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hhan\Desktop\이지스\울산신항\모델\삼일\"/>
    </mc:Choice>
  </mc:AlternateContent>
  <xr:revisionPtr revIDLastSave="0" documentId="13_ncr:1_{825A9819-C3A0-49DF-B243-89D3BA1C774A}" xr6:coauthVersionLast="47" xr6:coauthVersionMax="47" xr10:uidLastSave="{00000000-0000-0000-0000-000000000000}"/>
  <bookViews>
    <workbookView xWindow="28680" yWindow="-120" windowWidth="29040" windowHeight="15840" tabRatio="913" activeTab="14" xr2:uid="{51157D7A-F820-4B75-A6BB-45D07CD3304A}"/>
  </bookViews>
  <sheets>
    <sheet name="report" sheetId="20" r:id="rId1"/>
    <sheet name="Disclaimer" sheetId="1" r:id="rId2"/>
    <sheet name="펀드FS" sheetId="36" r:id="rId3"/>
    <sheet name="펀드수익률" sheetId="2" r:id="rId4"/>
    <sheet name="펀드차입금" sheetId="4" r:id="rId5"/>
    <sheet name="Sensitivity" sheetId="6" r:id="rId6"/>
    <sheet name="민감도" sheetId="5" r:id="rId7"/>
    <sheet name="사업개요" sheetId="9" r:id="rId8"/>
    <sheet name="실적" sheetId="10" r:id="rId9"/>
    <sheet name="Index" sheetId="11" r:id="rId10"/>
    <sheet name="매출" sheetId="13" r:id="rId11"/>
    <sheet name="MRG" sheetId="14" r:id="rId12"/>
    <sheet name="비용" sheetId="15" r:id="rId13"/>
    <sheet name="차입금상환" sheetId="12" r:id="rId14"/>
    <sheet name="Sheet1" sheetId="38" r:id="rId15"/>
    <sheet name="Waterfall" sheetId="23" r:id="rId16"/>
    <sheet name="CF(Q)" sheetId="18" r:id="rId17"/>
    <sheet name="CF(Y)" sheetId="21" r:id="rId18"/>
    <sheet name="IS(Q)" sheetId="16" r:id="rId19"/>
    <sheet name="IS(Y)" sheetId="17" r:id="rId20"/>
    <sheet name="배당" sheetId="22" r:id="rId21"/>
    <sheet name="BS" sheetId="19" r:id="rId22"/>
    <sheet name="TP" sheetId="25" r:id="rId23"/>
    <sheet name="TP(분기)" sheetId="37" r:id="rId24"/>
    <sheet name="예정운영비용" sheetId="24" r:id="rId25"/>
    <sheet name="운영비용" sheetId="26" r:id="rId26"/>
    <sheet name="대체비,유지보수비" sheetId="27" r:id="rId27"/>
    <sheet name="인력계획" sheetId="28" r:id="rId28"/>
    <sheet name="동력비" sheetId="29" r:id="rId29"/>
    <sheet name="PBC&gt;&gt;" sheetId="30" r:id="rId30"/>
    <sheet name="연도별매출" sheetId="31" r:id="rId31"/>
    <sheet name="상환스케줄" sheetId="32" r:id="rId32"/>
    <sheet name="장기B-2현할차" sheetId="33" r:id="rId33"/>
    <sheet name="자금운영(현금)" sheetId="34" r:id="rId34"/>
  </sheets>
  <externalReferences>
    <externalReference r:id="rId35"/>
  </externalReferences>
  <definedNames>
    <definedName name="_________________KEY2" localSheetId="1" hidden="1">#REF!</definedName>
    <definedName name="_________________KEY2" localSheetId="32" hidden="1">#REF!</definedName>
    <definedName name="____________KEY2" localSheetId="11" hidden="1">#REF!</definedName>
    <definedName name="____________KEY2" localSheetId="20" hidden="1">#REF!</definedName>
    <definedName name="____________KEY2" localSheetId="32" hidden="1">#REF!</definedName>
    <definedName name="____________KEY2" hidden="1">#REF!</definedName>
    <definedName name="___________KEY2" localSheetId="20" hidden="1">#REF!</definedName>
    <definedName name="___________KEY2" localSheetId="32" hidden="1">#REF!</definedName>
    <definedName name="___________KEY2" hidden="1">#REF!</definedName>
    <definedName name="__________KEY2" localSheetId="32" hidden="1">#REF!</definedName>
    <definedName name="__________KEY2" hidden="1">#REF!</definedName>
    <definedName name="_________KEY2" localSheetId="32" hidden="1">#REF!</definedName>
    <definedName name="_________KEY2" hidden="1">#REF!</definedName>
    <definedName name="________KEY2" localSheetId="32" hidden="1">#REF!</definedName>
    <definedName name="________KEY2" hidden="1">#REF!</definedName>
    <definedName name="_______KEY2" localSheetId="32" hidden="1">#REF!</definedName>
    <definedName name="_______KEY2" hidden="1">#REF!</definedName>
    <definedName name="______KEY2" localSheetId="32" hidden="1">#REF!</definedName>
    <definedName name="______KEY2" hidden="1">#REF!</definedName>
    <definedName name="_____KEY2" localSheetId="32" hidden="1">#REF!</definedName>
    <definedName name="_____KEY2" hidden="1">#REF!</definedName>
    <definedName name="____KEY2" localSheetId="32" hidden="1">#REF!</definedName>
    <definedName name="____KEY2" hidden="1">#REF!</definedName>
    <definedName name="___KEY2" localSheetId="32" hidden="1">#REF!</definedName>
    <definedName name="___KEY2" hidden="1">#REF!</definedName>
    <definedName name="__IntlFixup" hidden="1">TRUE</definedName>
    <definedName name="__KEY2" localSheetId="20" hidden="1">#REF!</definedName>
    <definedName name="__KEY2" localSheetId="32" hidden="1">#REF!</definedName>
    <definedName name="__KEY2" hidden="1">#REF!</definedName>
    <definedName name="_Fill" localSheetId="20" hidden="1">#REF!</definedName>
    <definedName name="_Fill" localSheetId="32" hidden="1">#REF!</definedName>
    <definedName name="_Fill" hidden="1">#REF!</definedName>
    <definedName name="_Key1" localSheetId="11" hidden="1">#REF!</definedName>
    <definedName name="_Key1" localSheetId="20" hidden="1">#REF!</definedName>
    <definedName name="_Key1" localSheetId="32" hidden="1">#REF!</definedName>
    <definedName name="_Key1" hidden="1">#REF!</definedName>
    <definedName name="_KEY2" localSheetId="32" hidden="1">#REF!</definedName>
    <definedName name="_KEY2" hidden="1">#REF!</definedName>
    <definedName name="_Order1" localSheetId="11" hidden="1">255</definedName>
    <definedName name="_Order1" localSheetId="32" hidden="1">1</definedName>
    <definedName name="_Order1" hidden="1">255</definedName>
    <definedName name="_Order2" hidden="1">255</definedName>
    <definedName name="_Parse_Out" localSheetId="11" hidden="1">#REF!</definedName>
    <definedName name="_Parse_Out" localSheetId="20" hidden="1">#REF!</definedName>
    <definedName name="_Parse_Out" localSheetId="32" hidden="1">#REF!</definedName>
    <definedName name="_Parse_Out" hidden="1">#REF!</definedName>
    <definedName name="_Sort" localSheetId="20" hidden="1">#REF!</definedName>
    <definedName name="_Sort" localSheetId="32" hidden="1">#REF!</definedName>
    <definedName name="_Sort" hidden="1">#REF!</definedName>
    <definedName name="_Tax1" localSheetId="0">Sensitivity!$E$15</definedName>
    <definedName name="_Tax1">Sensitivity!$E$15</definedName>
    <definedName name="_Tax2" localSheetId="0">Sensitivity!$E$16</definedName>
    <definedName name="_Tax2">Sensitivity!$E$16</definedName>
    <definedName name="a" localSheetId="21" hidden="1">{"AJD",#N/A,TRUE,"Summary";"AJD",#N/A,TRUE,"CFCONC-outputs";"AJD",#N/A,TRUE,"P&amp;LCONC-outputs";"AJD",#N/A,TRUE,"BSCONC-outputs";"AJD",#N/A,TRUE,"FSCONC-outputs"}</definedName>
    <definedName name="a" localSheetId="16" hidden="1">{"AJD",#N/A,TRUE,"Summary";"AJD",#N/A,TRUE,"CFCONC-outputs";"AJD",#N/A,TRUE,"P&amp;LCONC-outputs";"AJD",#N/A,TRUE,"BSCONC-outputs";"AJD",#N/A,TRUE,"FSCONC-outputs"}</definedName>
    <definedName name="a" localSheetId="1" hidden="1">{"AJD",#N/A,TRUE,"Summary";"AJD",#N/A,TRUE,"CFCONC-outputs";"AJD",#N/A,TRUE,"P&amp;LCONC-outputs";"AJD",#N/A,TRUE,"BSCONC-outputs";"AJD",#N/A,TRUE,"FSCONC-outputs"}</definedName>
    <definedName name="a" localSheetId="18" hidden="1">{"AJD",#N/A,TRUE,"Summary";"AJD",#N/A,TRUE,"CFCONC-outputs";"AJD",#N/A,TRUE,"P&amp;LCONC-outputs";"AJD",#N/A,TRUE,"BSCONC-outputs";"AJD",#N/A,TRUE,"FSCONC-outputs"}</definedName>
    <definedName name="a" localSheetId="0" hidden="1">{"AJD",#N/A,TRUE,"Summary";"AJD",#N/A,TRUE,"CFCONC-outputs";"AJD",#N/A,TRUE,"P&amp;LCONC-outputs";"AJD",#N/A,TRUE,"BSCONC-outputs";"AJD",#N/A,TRUE,"FSCONC-outputs"}</definedName>
    <definedName name="a" localSheetId="20" hidden="1">{"AJD",#N/A,TRUE,"Summary";"AJD",#N/A,TRUE,"CFCONC-outputs";"AJD",#N/A,TRUE,"P&amp;LCONC-outputs";"AJD",#N/A,TRUE,"BSCONC-outputs";"AJD",#N/A,TRUE,"FSCONC-outputs"}</definedName>
    <definedName name="aa" localSheetId="1" hidden="1">{"COM",#N/A,FALSE,"800 10th"}</definedName>
    <definedName name="aa" localSheetId="0" hidden="1">{"COM",#N/A,FALSE,"800 10th"}</definedName>
    <definedName name="aa" localSheetId="20" hidden="1">{"COM",#N/A,FALSE,"800 10th"}</definedName>
    <definedName name="aaa" localSheetId="1" hidden="1">{"COM",#N/A,FALSE,"800 10th"}</definedName>
    <definedName name="aaa" localSheetId="0" hidden="1">{"COM",#N/A,FALSE,"800 10th"}</definedName>
    <definedName name="aaa" localSheetId="20" hidden="1">{"COM",#N/A,FALSE,"800 10th"}</definedName>
    <definedName name="abc" localSheetId="1" hidden="1">{"'매출계획'!$D$2"}</definedName>
    <definedName name="abc" localSheetId="11" hidden="1">{"'매출계획'!$D$2"}</definedName>
    <definedName name="abc" localSheetId="0" hidden="1">{"'매출계획'!$D$2"}</definedName>
    <definedName name="abc" localSheetId="20" hidden="1">{"'매출계획'!$D$2"}</definedName>
    <definedName name="abc" localSheetId="32" hidden="1">{"'매출계획'!$D$2"}</definedName>
    <definedName name="ADG" localSheetId="1" hidden="1">{"'매출계획'!$D$2"}</definedName>
    <definedName name="ADG" localSheetId="11" hidden="1">{"'매출계획'!$D$2"}</definedName>
    <definedName name="ADG" localSheetId="0" hidden="1">{"'매출계획'!$D$2"}</definedName>
    <definedName name="ADG" localSheetId="20" hidden="1">{"'매출계획'!$D$2"}</definedName>
    <definedName name="ADG" localSheetId="32" hidden="1">{"'매출계획'!$D$2"}</definedName>
    <definedName name="as" localSheetId="1" hidden="1">{"'매출계획'!$D$2"}</definedName>
    <definedName name="as" localSheetId="11" hidden="1">{"'매출계획'!$D$2"}</definedName>
    <definedName name="as" localSheetId="0" hidden="1">{"'매출계획'!$D$2"}</definedName>
    <definedName name="as" localSheetId="20" hidden="1">{"'매출계획'!$D$2"}</definedName>
    <definedName name="as" localSheetId="32" hidden="1">{"'매출계획'!$D$2"}</definedName>
    <definedName name="AS2DocOpenMode" hidden="1">"AS2DocumentBrowse"</definedName>
    <definedName name="AZ" localSheetId="1" hidden="1">{"'매출계획'!$D$2"}</definedName>
    <definedName name="AZ" localSheetId="11" hidden="1">{"'매출계획'!$D$2"}</definedName>
    <definedName name="AZ" localSheetId="0" hidden="1">{"'매출계획'!$D$2"}</definedName>
    <definedName name="AZ" localSheetId="20" hidden="1">{"'매출계획'!$D$2"}</definedName>
    <definedName name="AZ" localSheetId="32" hidden="1">{"'매출계획'!$D$2"}</definedName>
    <definedName name="BB" localSheetId="1" hidden="1">{"'매출계획'!$D$2"}</definedName>
    <definedName name="BB" localSheetId="11" hidden="1">{"'매출계획'!$D$2"}</definedName>
    <definedName name="BB" localSheetId="0" hidden="1">{"'매출계획'!$D$2"}</definedName>
    <definedName name="BB" localSheetId="20" hidden="1">{"'매출계획'!$D$2"}</definedName>
    <definedName name="BB" localSheetId="32" hidden="1">{"'매출계획'!$D$2"}</definedName>
    <definedName name="bbb" localSheetId="1" hidden="1">{"COM",#N/A,FALSE,"800 10th"}</definedName>
    <definedName name="bbb" localSheetId="0" hidden="1">{"COM",#N/A,FALSE,"800 10th"}</definedName>
    <definedName name="bbb" localSheetId="20" hidden="1">{"COM",#N/A,FALSE,"800 10th"}</definedName>
    <definedName name="CC" localSheetId="1" hidden="1">{"'매출계획'!$D$2"}</definedName>
    <definedName name="CC" localSheetId="11" hidden="1">{"'매출계획'!$D$2"}</definedName>
    <definedName name="CC" localSheetId="0" hidden="1">{"'매출계획'!$D$2"}</definedName>
    <definedName name="CC" localSheetId="20" hidden="1">{"'매출계획'!$D$2"}</definedName>
    <definedName name="CC" localSheetId="32" hidden="1">{"'매출계획'!$D$2"}</definedName>
    <definedName name="cdf" localSheetId="1" hidden="1">{"'매출계획'!$D$2"}</definedName>
    <definedName name="cdf" localSheetId="11" hidden="1">{"'매출계획'!$D$2"}</definedName>
    <definedName name="cdf" localSheetId="0" hidden="1">{"'매출계획'!$D$2"}</definedName>
    <definedName name="cdf" localSheetId="20" hidden="1">{"'매출계획'!$D$2"}</definedName>
    <definedName name="cdf" localSheetId="32" hidden="1">{"'매출계획'!$D$2"}</definedName>
    <definedName name="ddddd" hidden="1">#REF!</definedName>
    <definedName name="df" localSheetId="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df" localSheetId="1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df" localSheetId="0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df" localSheetId="20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df" localSheetId="32" hidden="1">{"'매출계획'!$D$2"}</definedName>
    <definedName name="DFDF" hidden="1">#REF!</definedName>
    <definedName name="dsfsd" localSheetId="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dsfsd" localSheetId="1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dsfsd" localSheetId="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dsfsd" localSheetId="2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dsfsd" localSheetId="32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DSRA">Sensitivity!$L$31</definedName>
    <definedName name="DSRA_1">Sensitivity!$H$66</definedName>
    <definedName name="DSRA_원금">Sensitivity!$L$32</definedName>
    <definedName name="fgf" localSheetId="1" hidden="1">{"'매출계획'!$D$2"}</definedName>
    <definedName name="fgf" localSheetId="11" hidden="1">{"'매출계획'!$D$2"}</definedName>
    <definedName name="fgf" localSheetId="0" hidden="1">{"'매출계획'!$D$2"}</definedName>
    <definedName name="fgf" localSheetId="20" hidden="1">{"'매출계획'!$D$2"}</definedName>
    <definedName name="fgf" localSheetId="32" hidden="1">{"'매출계획'!$D$2"}</definedName>
    <definedName name="fgh" localSheetId="1" hidden="1">{"'매출계획'!$D$2"}</definedName>
    <definedName name="fgh" localSheetId="11" hidden="1">{"'매출계획'!$D$2"}</definedName>
    <definedName name="fgh" localSheetId="0" hidden="1">{"'매출계획'!$D$2"}</definedName>
    <definedName name="fgh" localSheetId="20" hidden="1">{"'매출계획'!$D$2"}</definedName>
    <definedName name="fgh" localSheetId="32" hidden="1">{"'매출계획'!$D$2"}</definedName>
    <definedName name="frghjhyjm" localSheetId="1" hidden="1">{"'매출계획'!$D$2"}</definedName>
    <definedName name="frghjhyjm" localSheetId="11" hidden="1">{"'매출계획'!$D$2"}</definedName>
    <definedName name="frghjhyjm" localSheetId="0" hidden="1">{"'매출계획'!$D$2"}</definedName>
    <definedName name="frghjhyjm" localSheetId="20" hidden="1">{"'매출계획'!$D$2"}</definedName>
    <definedName name="frghjhyjm" localSheetId="32" hidden="1">{"'매출계획'!$D$2"}</definedName>
    <definedName name="GDE" localSheetId="1" hidden="1">{"'매출계획'!$D$2"}</definedName>
    <definedName name="GDE" localSheetId="11" hidden="1">{"'매출계획'!$D$2"}</definedName>
    <definedName name="GDE" localSheetId="0" hidden="1">{"'매출계획'!$D$2"}</definedName>
    <definedName name="GDE" localSheetId="20" hidden="1">{"'매출계획'!$D$2"}</definedName>
    <definedName name="GDE" localSheetId="32" hidden="1">{"'매출계획'!$D$2"}</definedName>
    <definedName name="HTML_CodePage" hidden="1">949</definedName>
    <definedName name="HTML_Control" localSheetId="1" hidden="1">{"'매출계획'!$D$2"}</definedName>
    <definedName name="HTML_Control" localSheetId="11" hidden="1">{"'매출계획'!$D$2"}</definedName>
    <definedName name="HTML_Control" localSheetId="0" hidden="1">{"'매출계획'!$D$2"}</definedName>
    <definedName name="HTML_Control" localSheetId="20" hidden="1">{"'매출계획'!$D$2"}</definedName>
    <definedName name="HTML_Control" localSheetId="32" hidden="1">{"'매출계획'!$D$2"}</definedName>
    <definedName name="HTML_Description" hidden="1">""</definedName>
    <definedName name="HTML_Email" hidden="1">""</definedName>
    <definedName name="HTML_Header" hidden="1">"매출계획"</definedName>
    <definedName name="HTML_LastUpdate" hidden="1">"97-08-13"</definedName>
    <definedName name="HTML_LineAfter" hidden="1">FALSE</definedName>
    <definedName name="HTML_LineBefore" hidden="1">FALSE</definedName>
    <definedName name="HTML_Name" hidden="1">"이주형"</definedName>
    <definedName name="HTML_OBDlg2" hidden="1">TRUE</definedName>
    <definedName name="HTML_OBDlg4" hidden="1">TRUE</definedName>
    <definedName name="HTML_OS" hidden="1">0</definedName>
    <definedName name="HTML_PathFile" hidden="1">"C:\확대간부\MyHTML.htm"</definedName>
    <definedName name="HTML_Title" hidden="1">"7월확대"</definedName>
    <definedName name="ll" localSheetId="21" hidden="1">{"AJD",#N/A,TRUE,"Summary";"AJD",#N/A,TRUE,"CFCONC-outputs";"AJD",#N/A,TRUE,"P&amp;LCONC-outputs";"AJD",#N/A,TRUE,"BSCONC-outputs";"AJD",#N/A,TRUE,"FSCONC-outputs"}</definedName>
    <definedName name="ll" localSheetId="16" hidden="1">{"AJD",#N/A,TRUE,"Summary";"AJD",#N/A,TRUE,"CFCONC-outputs";"AJD",#N/A,TRUE,"P&amp;LCONC-outputs";"AJD",#N/A,TRUE,"BSCONC-outputs";"AJD",#N/A,TRUE,"FSCONC-outputs"}</definedName>
    <definedName name="ll" localSheetId="1" hidden="1">{"AJD",#N/A,TRUE,"Summary";"AJD",#N/A,TRUE,"CFCONC-outputs";"AJD",#N/A,TRUE,"P&amp;LCONC-outputs";"AJD",#N/A,TRUE,"BSCONC-outputs";"AJD",#N/A,TRUE,"FSCONC-outputs"}</definedName>
    <definedName name="ll" localSheetId="18" hidden="1">{"AJD",#N/A,TRUE,"Summary";"AJD",#N/A,TRUE,"CFCONC-outputs";"AJD",#N/A,TRUE,"P&amp;LCONC-outputs";"AJD",#N/A,TRUE,"BSCONC-outputs";"AJD",#N/A,TRUE,"FSCONC-outputs"}</definedName>
    <definedName name="ll" localSheetId="11" hidden="1">{"AJD",#N/A,TRUE,"Summary";"AJD",#N/A,TRUE,"CFCONC-outputs";"AJD",#N/A,TRUE,"P&amp;LCONC-outputs";"AJD",#N/A,TRUE,"BSCONC-outputs";"AJD",#N/A,TRUE,"FSCONC-outputs"}</definedName>
    <definedName name="ll" localSheetId="0" hidden="1">{"AJD",#N/A,TRUE,"Summary";"AJD",#N/A,TRUE,"CFCONC-outputs";"AJD",#N/A,TRUE,"P&amp;LCONC-outputs";"AJD",#N/A,TRUE,"BSCONC-outputs";"AJD",#N/A,TRUE,"FSCONC-outputs"}</definedName>
    <definedName name="ll" localSheetId="20" hidden="1">{"AJD",#N/A,TRUE,"Summary";"AJD",#N/A,TRUE,"CFCONC-outputs";"AJD",#N/A,TRUE,"P&amp;LCONC-outputs";"AJD",#N/A,TRUE,"BSCONC-outputs";"AJD",#N/A,TRUE,"FSCONC-outputs"}</definedName>
    <definedName name="ll" localSheetId="32" hidden="1">{"AJD",#N/A,TRUE,"Summary";"AJD",#N/A,TRUE,"CFCONC-outputs";"AJD",#N/A,TRUE,"P&amp;LCONC-outputs";"AJD",#N/A,TRUE,"BSCONC-outputs";"AJD",#N/A,TRUE,"FSCONC-outputs"}</definedName>
    <definedName name="LOAD" localSheetId="1" hidden="1">{"'매출계획'!$D$2"}</definedName>
    <definedName name="LOAD" localSheetId="11" hidden="1">{"'매출계획'!$D$2"}</definedName>
    <definedName name="LOAD" localSheetId="0" hidden="1">{"'매출계획'!$D$2"}</definedName>
    <definedName name="LOAD" localSheetId="20" hidden="1">{"'매출계획'!$D$2"}</definedName>
    <definedName name="LOAD" localSheetId="32" hidden="1">{"'매출계획'!$D$2"}</definedName>
    <definedName name="LOAD1" localSheetId="1" hidden="1">{"'매출계획'!$D$2"}</definedName>
    <definedName name="LOAD1" localSheetId="11" hidden="1">{"'매출계획'!$D$2"}</definedName>
    <definedName name="LOAD1" localSheetId="0" hidden="1">{"'매출계획'!$D$2"}</definedName>
    <definedName name="LOAD1" localSheetId="20" hidden="1">{"'매출계획'!$D$2"}</definedName>
    <definedName name="LOAD1" localSheetId="32" hidden="1">{"'매출계획'!$D$2"}</definedName>
    <definedName name="LOAD11" localSheetId="1" hidden="1">{"'매출계획'!$D$2"}</definedName>
    <definedName name="LOAD11" localSheetId="11" hidden="1">{"'매출계획'!$D$2"}</definedName>
    <definedName name="LOAD11" localSheetId="0" hidden="1">{"'매출계획'!$D$2"}</definedName>
    <definedName name="LOAD11" localSheetId="20" hidden="1">{"'매출계획'!$D$2"}</definedName>
    <definedName name="LOAD11" localSheetId="32" hidden="1">{"'매출계획'!$D$2"}</definedName>
    <definedName name="LOAD2" localSheetId="1" hidden="1">{"'매출계획'!$D$2"}</definedName>
    <definedName name="LOAD2" localSheetId="11" hidden="1">{"'매출계획'!$D$2"}</definedName>
    <definedName name="LOAD2" localSheetId="0" hidden="1">{"'매출계획'!$D$2"}</definedName>
    <definedName name="LOAD2" localSheetId="20" hidden="1">{"'매출계획'!$D$2"}</definedName>
    <definedName name="LOAD2" localSheetId="32" hidden="1">{"'매출계획'!$D$2"}</definedName>
    <definedName name="LOAD3" localSheetId="1" hidden="1">{"'매출계획'!$D$2"}</definedName>
    <definedName name="LOAD3" localSheetId="11" hidden="1">{"'매출계획'!$D$2"}</definedName>
    <definedName name="LOAD3" localSheetId="0" hidden="1">{"'매출계획'!$D$2"}</definedName>
    <definedName name="LOAD3" localSheetId="20" hidden="1">{"'매출계획'!$D$2"}</definedName>
    <definedName name="LOAD3" localSheetId="32" hidden="1">{"'매출계획'!$D$2"}</definedName>
    <definedName name="LOADDD" localSheetId="1" hidden="1">{"'매출계획'!$D$2"}</definedName>
    <definedName name="LOADDD" localSheetId="11" hidden="1">{"'매출계획'!$D$2"}</definedName>
    <definedName name="LOADDD" localSheetId="0" hidden="1">{"'매출계획'!$D$2"}</definedName>
    <definedName name="LOADDD" localSheetId="20" hidden="1">{"'매출계획'!$D$2"}</definedName>
    <definedName name="LOADDD" localSheetId="32" hidden="1">{"'매출계획'!$D$2"}</definedName>
    <definedName name="MinDSCR" localSheetId="0">Sensitivity!$L$29</definedName>
    <definedName name="MinDSCR">Sensitivity!$L$29</definedName>
    <definedName name="MM">Sensitivity!$F$20</definedName>
    <definedName name="olp" localSheetId="21" hidden="1">{"AJD",#N/A,TRUE,"Summary";"AJD",#N/A,TRUE,"CFCONC-outputs";"AJD",#N/A,TRUE,"P&amp;LCONC-outputs";"AJD",#N/A,TRUE,"BSCONC-outputs";"AJD",#N/A,TRUE,"FSCONC-outputs"}</definedName>
    <definedName name="olp" localSheetId="16" hidden="1">{"AJD",#N/A,TRUE,"Summary";"AJD",#N/A,TRUE,"CFCONC-outputs";"AJD",#N/A,TRUE,"P&amp;LCONC-outputs";"AJD",#N/A,TRUE,"BSCONC-outputs";"AJD",#N/A,TRUE,"FSCONC-outputs"}</definedName>
    <definedName name="olp" localSheetId="1" hidden="1">{"AJD",#N/A,TRUE,"Summary";"AJD",#N/A,TRUE,"CFCONC-outputs";"AJD",#N/A,TRUE,"P&amp;LCONC-outputs";"AJD",#N/A,TRUE,"BSCONC-outputs";"AJD",#N/A,TRUE,"FSCONC-outputs"}</definedName>
    <definedName name="olp" localSheetId="18" hidden="1">{"AJD",#N/A,TRUE,"Summary";"AJD",#N/A,TRUE,"CFCONC-outputs";"AJD",#N/A,TRUE,"P&amp;LCONC-outputs";"AJD",#N/A,TRUE,"BSCONC-outputs";"AJD",#N/A,TRUE,"FSCONC-outputs"}</definedName>
    <definedName name="olp" localSheetId="11" hidden="1">{"AJD",#N/A,TRUE,"Summary";"AJD",#N/A,TRUE,"CFCONC-outputs";"AJD",#N/A,TRUE,"P&amp;LCONC-outputs";"AJD",#N/A,TRUE,"BSCONC-outputs";"AJD",#N/A,TRUE,"FSCONC-outputs"}</definedName>
    <definedName name="olp" localSheetId="0" hidden="1">{"AJD",#N/A,TRUE,"Summary";"AJD",#N/A,TRUE,"CFCONC-outputs";"AJD",#N/A,TRUE,"P&amp;LCONC-outputs";"AJD",#N/A,TRUE,"BSCONC-outputs";"AJD",#N/A,TRUE,"FSCONC-outputs"}</definedName>
    <definedName name="olp" localSheetId="20" hidden="1">{"AJD",#N/A,TRUE,"Summary";"AJD",#N/A,TRUE,"CFCONC-outputs";"AJD",#N/A,TRUE,"P&amp;LCONC-outputs";"AJD",#N/A,TRUE,"BSCONC-outputs";"AJD",#N/A,TRUE,"FSCONC-outputs"}</definedName>
    <definedName name="olp" localSheetId="32" hidden="1">{"AJD",#N/A,TRUE,"Summary";"AJD",#N/A,TRUE,"CFCONC-outputs";"AJD",#N/A,TRUE,"P&amp;LCONC-outputs";"AJD",#N/A,TRUE,"BSCONC-outputs";"AJD",#N/A,TRUE,"FSCONC-outputs"}</definedName>
    <definedName name="_xlnm.Print_Area" localSheetId="21">BS!$A$5:$AQ$57</definedName>
    <definedName name="_xlnm.Print_Area" localSheetId="9">Index!$A$2:$AS$19</definedName>
    <definedName name="_xlnm.Print_Area" localSheetId="18">'IS(Q)'!$A$6:$AR$6</definedName>
    <definedName name="_xlnm.Print_Area" localSheetId="5">Sensitivity!$A$2:$AE$31</definedName>
    <definedName name="_xlnm.Print_Area" localSheetId="6">민감도!$B$2:$F$140</definedName>
    <definedName name="_xlnm.Print_Area" localSheetId="13">차입금상환!$A$4:$AI$109</definedName>
    <definedName name="_xlnm.Print_Titles" localSheetId="21">BS!$5:$6</definedName>
    <definedName name="_xlnm.Print_Titles" localSheetId="18">'IS(Q)'!$6:$6</definedName>
    <definedName name="results">민감도!$E$93:$E$140</definedName>
    <definedName name="sad" localSheetId="1" hidden="1">{"'매출계획'!$D$2"}</definedName>
    <definedName name="sad" localSheetId="11" hidden="1">{"'매출계획'!$D$2"}</definedName>
    <definedName name="sad" localSheetId="0" hidden="1">{"'매출계획'!$D$2"}</definedName>
    <definedName name="sad" localSheetId="20" hidden="1">{"'매출계획'!$D$2"}</definedName>
    <definedName name="sad" localSheetId="32" hidden="1">{"'매출계획'!$D$2"}</definedName>
    <definedName name="SAPBEXrevision" hidden="1">7</definedName>
    <definedName name="SAPBEXsysID" hidden="1">"PBP"</definedName>
    <definedName name="SAPBEXwbID" hidden="1">"3ZE9YFDOOU3MPJDU4Y17C4Y2G"</definedName>
    <definedName name="sdsd" localSheetId="1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sdsd" localSheetId="11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sdsd" localSheetId="0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sdsd" localSheetId="20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sdsd" localSheetId="32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soc투자" localSheetId="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soc투자" localSheetId="1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soc투자" localSheetId="0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soc투자" localSheetId="20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soc투자" localSheetId="32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ss" localSheetId="21" hidden="1">{"AJD",#N/A,TRUE,"Summary";"AJD",#N/A,TRUE,"CFCONC-outputs";"AJD",#N/A,TRUE,"P&amp;LCONC-outputs";"AJD",#N/A,TRUE,"BSCONC-outputs";"AJD",#N/A,TRUE,"FSCONC-outputs"}</definedName>
    <definedName name="ss" localSheetId="16" hidden="1">{"AJD",#N/A,TRUE,"Summary";"AJD",#N/A,TRUE,"CFCONC-outputs";"AJD",#N/A,TRUE,"P&amp;LCONC-outputs";"AJD",#N/A,TRUE,"BSCONC-outputs";"AJD",#N/A,TRUE,"FSCONC-outputs"}</definedName>
    <definedName name="ss" localSheetId="1" hidden="1">{"AJD",#N/A,TRUE,"Summary";"AJD",#N/A,TRUE,"CFCONC-outputs";"AJD",#N/A,TRUE,"P&amp;LCONC-outputs";"AJD",#N/A,TRUE,"BSCONC-outputs";"AJD",#N/A,TRUE,"FSCONC-outputs"}</definedName>
    <definedName name="ss" localSheetId="18" hidden="1">{"AJD",#N/A,TRUE,"Summary";"AJD",#N/A,TRUE,"CFCONC-outputs";"AJD",#N/A,TRUE,"P&amp;LCONC-outputs";"AJD",#N/A,TRUE,"BSCONC-outputs";"AJD",#N/A,TRUE,"FSCONC-outputs"}</definedName>
    <definedName name="ss" localSheetId="11" hidden="1">{"AJD",#N/A,TRUE,"Summary";"AJD",#N/A,TRUE,"CFCONC-outputs";"AJD",#N/A,TRUE,"P&amp;LCONC-outputs";"AJD",#N/A,TRUE,"BSCONC-outputs";"AJD",#N/A,TRUE,"FSCONC-outputs"}</definedName>
    <definedName name="ss" localSheetId="0" hidden="1">{"AJD",#N/A,TRUE,"Summary";"AJD",#N/A,TRUE,"CFCONC-outputs";"AJD",#N/A,TRUE,"P&amp;LCONC-outputs";"AJD",#N/A,TRUE,"BSCONC-outputs";"AJD",#N/A,TRUE,"FSCONC-outputs"}</definedName>
    <definedName name="ss" localSheetId="20" hidden="1">{"AJD",#N/A,TRUE,"Summary";"AJD",#N/A,TRUE,"CFCONC-outputs";"AJD",#N/A,TRUE,"P&amp;LCONC-outputs";"AJD",#N/A,TRUE,"BSCONC-outputs";"AJD",#N/A,TRUE,"FSCONC-outputs"}</definedName>
    <definedName name="ss" localSheetId="32" hidden="1">{"AJD",#N/A,TRUE,"Summary";"AJD",#N/A,TRUE,"CFCONC-outputs";"AJD",#N/A,TRUE,"P&amp;LCONC-outputs";"AJD",#N/A,TRUE,"BSCONC-outputs";"AJD",#N/A,TRUE,"FSCONC-outputs"}</definedName>
    <definedName name="wrn.AJDSuite." localSheetId="21" hidden="1">{"AJD",#N/A,TRUE,"Summary";"AJD",#N/A,TRUE,"CFCONC-outputs";"AJD",#N/A,TRUE,"P&amp;LCONC-outputs";"AJD",#N/A,TRUE,"BSCONC-outputs";"AJD",#N/A,TRUE,"FSCONC-outputs"}</definedName>
    <definedName name="wrn.AJDSuite." localSheetId="16" hidden="1">{"AJD",#N/A,TRUE,"Summary";"AJD",#N/A,TRUE,"CFCONC-outputs";"AJD",#N/A,TRUE,"P&amp;LCONC-outputs";"AJD",#N/A,TRUE,"BSCONC-outputs";"AJD",#N/A,TRUE,"FSCONC-outputs"}</definedName>
    <definedName name="wrn.AJDSuite." localSheetId="1" hidden="1">{"AJD",#N/A,TRUE,"Summary";"AJD",#N/A,TRUE,"CFCONC-outputs";"AJD",#N/A,TRUE,"P&amp;LCONC-outputs";"AJD",#N/A,TRUE,"BSCONC-outputs";"AJD",#N/A,TRUE,"FSCONC-outputs"}</definedName>
    <definedName name="wrn.AJDSuite." localSheetId="18" hidden="1">{"AJD",#N/A,TRUE,"Summary";"AJD",#N/A,TRUE,"CFCONC-outputs";"AJD",#N/A,TRUE,"P&amp;LCONC-outputs";"AJD",#N/A,TRUE,"BSCONC-outputs";"AJD",#N/A,TRUE,"FSCONC-outputs"}</definedName>
    <definedName name="wrn.AJDSuite." localSheetId="11" hidden="1">{"AJD",#N/A,TRUE,"Summary";"AJD",#N/A,TRUE,"CFCONC-outputs";"AJD",#N/A,TRUE,"P&amp;LCONC-outputs";"AJD",#N/A,TRUE,"BSCONC-outputs";"AJD",#N/A,TRUE,"FSCONC-outputs"}</definedName>
    <definedName name="wrn.AJDSuite." localSheetId="0" hidden="1">{"AJD",#N/A,TRUE,"Summary";"AJD",#N/A,TRUE,"CFCONC-outputs";"AJD",#N/A,TRUE,"P&amp;LCONC-outputs";"AJD",#N/A,TRUE,"BSCONC-outputs";"AJD",#N/A,TRUE,"FSCONC-outputs"}</definedName>
    <definedName name="wrn.AJDSuite." localSheetId="20" hidden="1">{"AJD",#N/A,TRUE,"Summary";"AJD",#N/A,TRUE,"CFCONC-outputs";"AJD",#N/A,TRUE,"P&amp;LCONC-outputs";"AJD",#N/A,TRUE,"BSCONC-outputs";"AJD",#N/A,TRUE,"FSCONC-outputs"}</definedName>
    <definedName name="wrn.AJDSuite." localSheetId="32" hidden="1">{"AJD",#N/A,TRUE,"Summary";"AJD",#N/A,TRUE,"CFCONC-outputs";"AJD",#N/A,TRUE,"P&amp;LCONC-outputs";"AJD",#N/A,TRUE,"BSCONC-outputs";"AJD",#N/A,TRUE,"FSCONC-outputs"}</definedName>
    <definedName name="wrn.COM." localSheetId="1" hidden="1">{"COM",#N/A,FALSE,"800 10th"}</definedName>
    <definedName name="wrn.COM." localSheetId="0" hidden="1">{"COM",#N/A,FALSE,"800 10th"}</definedName>
    <definedName name="wrn.COM." localSheetId="20" hidden="1">{"COM",#N/A,FALSE,"800 10th"}</definedName>
    <definedName name="wrn.COM.2" localSheetId="1" hidden="1">{"COM",#N/A,FALSE,"800 10th"}</definedName>
    <definedName name="wrn.COM.2" localSheetId="0" hidden="1">{"COM",#N/A,FALSE,"800 10th"}</definedName>
    <definedName name="wrn.COM.2" localSheetId="20" hidden="1">{"COM",#N/A,FALSE,"800 10th"}</definedName>
    <definedName name="wrn.com1" localSheetId="1" hidden="1">{"COM",#N/A,FALSE,"800 10th"}</definedName>
    <definedName name="wrn.com1" localSheetId="0" hidden="1">{"COM",#N/A,FALSE,"800 10th"}</definedName>
    <definedName name="wrn.com1" localSheetId="20" hidden="1">{"COM",#N/A,FALSE,"800 10th"}</definedName>
    <definedName name="wrn.COMLAWTC." localSheetId="1" hidden="1">{"Commish",#N/A,FALSE,"LAWTC"}</definedName>
    <definedName name="wrn.COMLAWTC." localSheetId="0" hidden="1">{"Commish",#N/A,FALSE,"LAWTC"}</definedName>
    <definedName name="wrn.COMLAWTC." localSheetId="20" hidden="1">{"Commish",#N/A,FALSE,"LAWTC"}</definedName>
    <definedName name="wrn.Construction._.Costs." localSheetId="21" hidden="1">{"Const Costs Dev",#N/A,FALSE,"Construction Cost Inputs";"Const Costs orig ccy",#N/A,FALSE,"Construction Cost Inputs";"Const Costs USD",#N/A,FALSE,"Construction Cost Inputs"}</definedName>
    <definedName name="wrn.Construction._.Costs." localSheetId="16" hidden="1">{"Const Costs Dev",#N/A,FALSE,"Construction Cost Inputs";"Const Costs orig ccy",#N/A,FALSE,"Construction Cost Inputs";"Const Costs USD",#N/A,FALSE,"Construction Cost Inputs"}</definedName>
    <definedName name="wrn.Construction._.Costs." localSheetId="1" hidden="1">{"Const Costs Dev",#N/A,FALSE,"Construction Cost Inputs";"Const Costs orig ccy",#N/A,FALSE,"Construction Cost Inputs";"Const Costs USD",#N/A,FALSE,"Construction Cost Inputs"}</definedName>
    <definedName name="wrn.Construction._.Costs." localSheetId="18" hidden="1">{"Const Costs Dev",#N/A,FALSE,"Construction Cost Inputs";"Const Costs orig ccy",#N/A,FALSE,"Construction Cost Inputs";"Const Costs USD",#N/A,FALSE,"Construction Cost Inputs"}</definedName>
    <definedName name="wrn.Construction._.Costs." localSheetId="11" hidden="1">{"Const Costs Dev",#N/A,FALSE,"Construction Cost Inputs";"Const Costs orig ccy",#N/A,FALSE,"Construction Cost Inputs";"Const Costs USD",#N/A,FALSE,"Construction Cost Inputs"}</definedName>
    <definedName name="wrn.Construction._.Costs." localSheetId="0" hidden="1">{"Const Costs Dev",#N/A,FALSE,"Construction Cost Inputs";"Const Costs orig ccy",#N/A,FALSE,"Construction Cost Inputs";"Const Costs USD",#N/A,FALSE,"Construction Cost Inputs"}</definedName>
    <definedName name="wrn.Construction._.Costs." localSheetId="20" hidden="1">{"Const Costs Dev",#N/A,FALSE,"Construction Cost Inputs";"Const Costs orig ccy",#N/A,FALSE,"Construction Cost Inputs";"Const Costs USD",#N/A,FALSE,"Construction Cost Inputs"}</definedName>
    <definedName name="wrn.Construction._.Costs." localSheetId="32" hidden="1">{"Const Costs Dev",#N/A,FALSE,"Construction Cost Inputs";"Const Costs orig ccy",#N/A,FALSE,"Construction Cost Inputs";"Const Costs USD",#N/A,FALSE,"Construction Cost Inputs"}</definedName>
    <definedName name="wrn.COSA94TAXRETURN." localSheetId="1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wrn.COSA94TAXRETURN." localSheetId="11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wrn.COSA94TAXRETURN." localSheetId="0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wrn.COSA94TAXRETURN." localSheetId="20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wrn.COSA94TAXRETURN." localSheetId="32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wrn.crossroads." localSheetId="1" hidden="1">{#N/A,#N/A,FALSE,"RENT ROLL";#N/A,#N/A,FALSE,"CAM";#N/A,#N/A,FALSE,"TAXES";#N/A,#N/A,FALSE,"INSURANCE";#N/A,#N/A,FALSE,"HVAC";#N/A,#N/A,FALSE,"MARKETING"}</definedName>
    <definedName name="wrn.crossroads." localSheetId="0" hidden="1">{#N/A,#N/A,FALSE,"RENT ROLL";#N/A,#N/A,FALSE,"CAM";#N/A,#N/A,FALSE,"TAXES";#N/A,#N/A,FALSE,"INSURANCE";#N/A,#N/A,FALSE,"HVAC";#N/A,#N/A,FALSE,"MARKETING"}</definedName>
    <definedName name="wrn.crossroads." localSheetId="20" hidden="1">{#N/A,#N/A,FALSE,"RENT ROLL";#N/A,#N/A,FALSE,"CAM";#N/A,#N/A,FALSE,"TAXES";#N/A,#N/A,FALSE,"INSURANCE";#N/A,#N/A,FALSE,"HVAC";#N/A,#N/A,FALSE,"MARKETING"}</definedName>
    <definedName name="wrn.Financing._.Inputs." localSheetId="21" hidden="1">{"BuildIn 2 Funding Assump",#N/A,FALSE,"Building Inputs";"BuildIn Capex plus Extras",#N/A,FALSE,"Building Inputs"}</definedName>
    <definedName name="wrn.Financing._.Inputs." localSheetId="16" hidden="1">{"BuildIn 2 Funding Assump",#N/A,FALSE,"Building Inputs";"BuildIn Capex plus Extras",#N/A,FALSE,"Building Inputs"}</definedName>
    <definedName name="wrn.Financing._.Inputs." localSheetId="1" hidden="1">{"BuildIn 2 Funding Assump",#N/A,FALSE,"Building Inputs";"BuildIn Capex plus Extras",#N/A,FALSE,"Building Inputs"}</definedName>
    <definedName name="wrn.Financing._.Inputs." localSheetId="18" hidden="1">{"BuildIn 2 Funding Assump",#N/A,FALSE,"Building Inputs";"BuildIn Capex plus Extras",#N/A,FALSE,"Building Inputs"}</definedName>
    <definedName name="wrn.Financing._.Inputs." localSheetId="11" hidden="1">{"BuildIn 2 Funding Assump",#N/A,FALSE,"Building Inputs";"BuildIn Capex plus Extras",#N/A,FALSE,"Building Inputs"}</definedName>
    <definedName name="wrn.Financing._.Inputs." localSheetId="0" hidden="1">{"BuildIn 2 Funding Assump",#N/A,FALSE,"Building Inputs";"BuildIn Capex plus Extras",#N/A,FALSE,"Building Inputs"}</definedName>
    <definedName name="wrn.Financing._.Inputs." localSheetId="20" hidden="1">{"BuildIn 2 Funding Assump",#N/A,FALSE,"Building Inputs";"BuildIn Capex plus Extras",#N/A,FALSE,"Building Inputs"}</definedName>
    <definedName name="wrn.Financing._.Inputs." localSheetId="32" hidden="1">{"BuildIn 2 Funding Assump",#N/A,FALSE,"Building Inputs";"BuildIn Capex plus Extras",#N/A,FALSE,"Building Inputs"}</definedName>
    <definedName name="wrn.OpCostIn." localSheetId="21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16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1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18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11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0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20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32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간단한세무조정계산서." localSheetId="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wrn.간단한세무조정계산서." localSheetId="1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wrn.간단한세무조정계산서." localSheetId="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wrn.간단한세무조정계산서." localSheetId="2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wrn.간단한세무조정계산서." localSheetId="32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wrn.세무조정계산서." localSheetId="1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계산서." localSheetId="11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계산서." localSheetId="0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계산서." localSheetId="20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계산서." localSheetId="32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모든양식." localSheetId="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세무조정모든양식." localSheetId="1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세무조정모든양식." localSheetId="0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세무조정모든양식." localSheetId="20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세무조정모든양식." localSheetId="32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xxx" localSheetId="1" hidden="1">{"COM",#N/A,FALSE,"800 10th"}</definedName>
    <definedName name="xxx" localSheetId="0" hidden="1">{"COM",#N/A,FALSE,"800 10th"}</definedName>
    <definedName name="xxx" localSheetId="20" hidden="1">{"COM",#N/A,FALSE,"800 10th"}</definedName>
    <definedName name="zzzz" localSheetId="1" hidden="1">{"Commish",#N/A,FALSE,"LAWTC"}</definedName>
    <definedName name="zzzz" localSheetId="0" hidden="1">{"Commish",#N/A,FALSE,"LAWTC"}</definedName>
    <definedName name="zzzz" localSheetId="20" hidden="1">{"Commish",#N/A,FALSE,"LAWTC"}</definedName>
    <definedName name="가공" localSheetId="1" hidden="1">{"'매출계획'!$D$2"}</definedName>
    <definedName name="가공" localSheetId="11" hidden="1">{"'매출계획'!$D$2"}</definedName>
    <definedName name="가공" localSheetId="0" hidden="1">{"'매출계획'!$D$2"}</definedName>
    <definedName name="가공" localSheetId="20" hidden="1">{"'매출계획'!$D$2"}</definedName>
    <definedName name="가공" localSheetId="32" hidden="1">{"'매출계획'!$D$2"}</definedName>
    <definedName name="감" localSheetId="1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감" localSheetId="11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감" localSheetId="0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감" localSheetId="20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감" localSheetId="32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기준년도" localSheetId="0">Sensitivity!$E$7</definedName>
    <definedName name="기준년도">Sensitivity!$E$7</definedName>
    <definedName name="기준분기" localSheetId="0">Sensitivity!$E$6</definedName>
    <definedName name="기준분기">Sensitivity!$E$6</definedName>
    <definedName name="기준시점">Sensitivity!$E$5</definedName>
    <definedName name="ㄴㄴㄴ" localSheetId="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ㄴㄴㄴ" localSheetId="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ㄴㄴㄴ" localSheetId="2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ㄴㅇㄹ" localSheetId="1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ㄴㅇㄹ" localSheetId="11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ㄴㅇㄹ" localSheetId="0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ㄴㅇㄹ" localSheetId="20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ㄴㅇㄹ" localSheetId="32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단순DSCR" localSheetId="0">Sensitivity!$L$28</definedName>
    <definedName name="단순DSCR">Sensitivity!$L$28</definedName>
    <definedName name="단위" localSheetId="0">Sensitivity!$E$20</definedName>
    <definedName name="단위">Sensitivity!$E$20</definedName>
    <definedName name="도장" localSheetId="1" hidden="1">{"'매출계획'!$D$2"}</definedName>
    <definedName name="도장" localSheetId="11" hidden="1">{"'매출계획'!$D$2"}</definedName>
    <definedName name="도장" localSheetId="0" hidden="1">{"'매출계획'!$D$2"}</definedName>
    <definedName name="도장" localSheetId="20" hidden="1">{"'매출계획'!$D$2"}</definedName>
    <definedName name="도장" localSheetId="32" hidden="1">{"'매출계획'!$D$2"}</definedName>
    <definedName name="도장151" localSheetId="1" hidden="1">{"'매출계획'!$D$2"}</definedName>
    <definedName name="도장151" localSheetId="11" hidden="1">{"'매출계획'!$D$2"}</definedName>
    <definedName name="도장151" localSheetId="0" hidden="1">{"'매출계획'!$D$2"}</definedName>
    <definedName name="도장151" localSheetId="20" hidden="1">{"'매출계획'!$D$2"}</definedName>
    <definedName name="도장151" localSheetId="32" hidden="1">{"'매출계획'!$D$2"}</definedName>
    <definedName name="도장신" localSheetId="1" hidden="1">{"'매출계획'!$D$2"}</definedName>
    <definedName name="도장신" localSheetId="11" hidden="1">{"'매출계획'!$D$2"}</definedName>
    <definedName name="도장신" localSheetId="0" hidden="1">{"'매출계획'!$D$2"}</definedName>
    <definedName name="도장신" localSheetId="20" hidden="1">{"'매출계획'!$D$2"}</definedName>
    <definedName name="도장신" localSheetId="32" hidden="1">{"'매출계획'!$D$2"}</definedName>
    <definedName name="ㄹ" localSheetId="21" hidden="1">{"AJD",#N/A,TRUE,"Summary";"AJD",#N/A,TRUE,"CFCONC-outputs";"AJD",#N/A,TRUE,"P&amp;LCONC-outputs";"AJD",#N/A,TRUE,"BSCONC-outputs";"AJD",#N/A,TRUE,"FSCONC-outputs"}</definedName>
    <definedName name="ㄹ" localSheetId="16" hidden="1">{"AJD",#N/A,TRUE,"Summary";"AJD",#N/A,TRUE,"CFCONC-outputs";"AJD",#N/A,TRUE,"P&amp;LCONC-outputs";"AJD",#N/A,TRUE,"BSCONC-outputs";"AJD",#N/A,TRUE,"FSCONC-outputs"}</definedName>
    <definedName name="ㄹ" localSheetId="1" hidden="1">{"AJD",#N/A,TRUE,"Summary";"AJD",#N/A,TRUE,"CFCONC-outputs";"AJD",#N/A,TRUE,"P&amp;LCONC-outputs";"AJD",#N/A,TRUE,"BSCONC-outputs";"AJD",#N/A,TRUE,"FSCONC-outputs"}</definedName>
    <definedName name="ㄹ" localSheetId="18" hidden="1">{"AJD",#N/A,TRUE,"Summary";"AJD",#N/A,TRUE,"CFCONC-outputs";"AJD",#N/A,TRUE,"P&amp;LCONC-outputs";"AJD",#N/A,TRUE,"BSCONC-outputs";"AJD",#N/A,TRUE,"FSCONC-outputs"}</definedName>
    <definedName name="ㄹ" localSheetId="11" hidden="1">{"AJD",#N/A,TRUE,"Summary";"AJD",#N/A,TRUE,"CFCONC-outputs";"AJD",#N/A,TRUE,"P&amp;LCONC-outputs";"AJD",#N/A,TRUE,"BSCONC-outputs";"AJD",#N/A,TRUE,"FSCONC-outputs"}</definedName>
    <definedName name="ㄹ" localSheetId="0" hidden="1">{"AJD",#N/A,TRUE,"Summary";"AJD",#N/A,TRUE,"CFCONC-outputs";"AJD",#N/A,TRUE,"P&amp;LCONC-outputs";"AJD",#N/A,TRUE,"BSCONC-outputs";"AJD",#N/A,TRUE,"FSCONC-outputs"}</definedName>
    <definedName name="ㄹ" localSheetId="20" hidden="1">{"AJD",#N/A,TRUE,"Summary";"AJD",#N/A,TRUE,"CFCONC-outputs";"AJD",#N/A,TRUE,"P&amp;LCONC-outputs";"AJD",#N/A,TRUE,"BSCONC-outputs";"AJD",#N/A,TRUE,"FSCONC-outputs"}</definedName>
    <definedName name="ㄹ" localSheetId="32" hidden="1">{"AJD",#N/A,TRUE,"Summary";"AJD",#N/A,TRUE,"CFCONC-outputs";"AJD",#N/A,TRUE,"P&amp;LCONC-outputs";"AJD",#N/A,TRUE,"BSCONC-outputs";"AJD",#N/A,TRUE,"FSCONC-outputs"}</definedName>
    <definedName name="ㄹㄹ" localSheetId="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ㄹㄹ" localSheetId="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ㄹㄹ" localSheetId="2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ㅁ" localSheetId="1" hidden="1">{"AJD",#N/A,TRUE,"Summary";"AJD",#N/A,TRUE,"CFCONC-outputs";"AJD",#N/A,TRUE,"P&amp;LCONC-outputs";"AJD",#N/A,TRUE,"BSCONC-outputs";"AJD",#N/A,TRUE,"FSCONC-outputs"}</definedName>
    <definedName name="ㅁ" localSheetId="11" hidden="1">{"AJD",#N/A,TRUE,"Summary";"AJD",#N/A,TRUE,"CFCONC-outputs";"AJD",#N/A,TRUE,"P&amp;LCONC-outputs";"AJD",#N/A,TRUE,"BSCONC-outputs";"AJD",#N/A,TRUE,"FSCONC-outputs"}</definedName>
    <definedName name="ㅁ" localSheetId="0" hidden="1">{"AJD",#N/A,TRUE,"Summary";"AJD",#N/A,TRUE,"CFCONC-outputs";"AJD",#N/A,TRUE,"P&amp;LCONC-outputs";"AJD",#N/A,TRUE,"BSCONC-outputs";"AJD",#N/A,TRUE,"FSCONC-outputs"}</definedName>
    <definedName name="ㅁ" localSheetId="20" hidden="1">{"AJD",#N/A,TRUE,"Summary";"AJD",#N/A,TRUE,"CFCONC-outputs";"AJD",#N/A,TRUE,"P&amp;LCONC-outputs";"AJD",#N/A,TRUE,"BSCONC-outputs";"AJD",#N/A,TRUE,"FSCONC-outputs"}</definedName>
    <definedName name="ㅁ" localSheetId="32" hidden="1">{"AJD",#N/A,TRUE,"Summary";"AJD",#N/A,TRUE,"CFCONC-outputs";"AJD",#N/A,TRUE,"P&amp;LCONC-outputs";"AJD",#N/A,TRUE,"BSCONC-outputs";"AJD",#N/A,TRUE,"FSCONC-outputs"}</definedName>
    <definedName name="ㅁㄴ" localSheetId="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ㅁㄴ" localSheetId="1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ㅁㄴ" localSheetId="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ㅁㄴ" localSheetId="2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ㅁㄴㅇ" localSheetId="1" hidden="1">{"COM",#N/A,FALSE,"800 10th"}</definedName>
    <definedName name="ㅁㄴㅇ" localSheetId="0" hidden="1">{"COM",#N/A,FALSE,"800 10th"}</definedName>
    <definedName name="ㅁㄴㅇ" localSheetId="20" hidden="1">{"COM",#N/A,FALSE,"800 10th"}</definedName>
    <definedName name="ㅁㅁㅁ" localSheetId="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ㅁㅁㅁ" localSheetId="1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ㅁㅁㅁ" localSheetId="0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ㅁㅁㅁ" localSheetId="20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물량1" localSheetId="1" hidden="1">{"'매출계획'!$D$2"}</definedName>
    <definedName name="물량1" localSheetId="11" hidden="1">{"'매출계획'!$D$2"}</definedName>
    <definedName name="물량1" localSheetId="0" hidden="1">{"'매출계획'!$D$2"}</definedName>
    <definedName name="물량1" localSheetId="20" hidden="1">{"'매출계획'!$D$2"}</definedName>
    <definedName name="물량1" localSheetId="32" hidden="1">{"'매출계획'!$D$2"}</definedName>
    <definedName name="민감도결과">민감도!$E$93:$E$140</definedName>
    <definedName name="ㅂㅂㅂㅂ" localSheetId="1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ㅂㅂㅂㅂ" localSheetId="11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ㅂㅂㅂㅂ" localSheetId="0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ㅂㅂㅂㅂ" localSheetId="20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ㅂㅂㅂㅂ" localSheetId="32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부대사업" localSheetId="1" hidden="1">{"COM",#N/A,FALSE,"800 10th"}</definedName>
    <definedName name="부대사업" localSheetId="0" hidden="1">{"COM",#N/A,FALSE,"800 10th"}</definedName>
    <definedName name="부대사업" localSheetId="20" hidden="1">{"COM",#N/A,FALSE,"800 10th"}</definedName>
    <definedName name="부대사업2" localSheetId="1" hidden="1">{"COM",#N/A,FALSE,"800 10th"}</definedName>
    <definedName name="부대사업2" localSheetId="0" hidden="1">{"COM",#N/A,FALSE,"800 10th"}</definedName>
    <definedName name="부대사업2" localSheetId="20" hidden="1">{"COM",#N/A,FALSE,"800 10th"}</definedName>
    <definedName name="부실확정자산" localSheetId="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부실확정자산" localSheetId="1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부실확정자산" localSheetId="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부실확정자산" localSheetId="2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부실확정자산" localSheetId="32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생산능력" localSheetId="1" hidden="1">{"'매출계획'!$D$2"}</definedName>
    <definedName name="생산능력" localSheetId="11" hidden="1">{"'매출계획'!$D$2"}</definedName>
    <definedName name="생산능력" localSheetId="0" hidden="1">{"'매출계획'!$D$2"}</definedName>
    <definedName name="생산능력" localSheetId="20" hidden="1">{"'매출계획'!$D$2"}</definedName>
    <definedName name="생산능력" localSheetId="32" hidden="1">{"'매출계획'!$D$2"}</definedName>
    <definedName name="소득공제">Sensitivity!$G$30</definedName>
    <definedName name="수금" localSheetId="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수금" localSheetId="1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수금" localSheetId="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수금" localSheetId="2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시나리오" localSheetId="0">민감도!$E$4</definedName>
    <definedName name="시나리오">민감도!$E$4</definedName>
    <definedName name="시작CASE">민감도!$U$3</definedName>
    <definedName name="ㅇㄴㄴ" localSheetId="1" hidden="1">{"COM",#N/A,FALSE,"800 10th"}</definedName>
    <definedName name="ㅇㄴㄴ" localSheetId="0" hidden="1">{"COM",#N/A,FALSE,"800 10th"}</definedName>
    <definedName name="ㅇㄴㄴ" localSheetId="20" hidden="1">{"COM",#N/A,FALSE,"800 10th"}</definedName>
    <definedName name="ㅇㅇㅇ" localSheetId="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ㅇㅇㅇ" localSheetId="1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ㅇㅇㅇ" localSheetId="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ㅇㅇㅇ" localSheetId="20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ㅇㅇㅇㅇ" localSheetId="1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ㅇㅇㅇㅇ" localSheetId="32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ㅇㅇㅇㅇ" hidden="1">#REF!</definedName>
    <definedName name="앙아앙ㅇ" localSheetId="1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앙아앙ㅇ" localSheetId="11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앙아앙ㅇ" localSheetId="0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앙아앙ㅇ" localSheetId="20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앙아앙ㅇ" localSheetId="32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약정체결">Sensitivity!$F$9</definedName>
    <definedName name="외작기획실" localSheetId="1" hidden="1">{"'매출계획'!$D$2"}</definedName>
    <definedName name="외작기획실" localSheetId="11" hidden="1">{"'매출계획'!$D$2"}</definedName>
    <definedName name="외작기획실" localSheetId="0" hidden="1">{"'매출계획'!$D$2"}</definedName>
    <definedName name="외작기획실" localSheetId="20" hidden="1">{"'매출계획'!$D$2"}</definedName>
    <definedName name="외작기획실" localSheetId="32" hidden="1">{"'매출계획'!$D$2"}</definedName>
    <definedName name="운영개시">Sensitivity!$F$11</definedName>
    <definedName name="운영기간">Sensitivity!$F$12</definedName>
    <definedName name="운영종료" localSheetId="0">Sensitivity!$F$13</definedName>
    <definedName name="운영종료">Sensitivity!$F$13</definedName>
    <definedName name="윤" localSheetId="1" hidden="1">{"'매출계획'!$D$2"}</definedName>
    <definedName name="윤" localSheetId="11" hidden="1">{"'매출계획'!$D$2"}</definedName>
    <definedName name="윤" localSheetId="0" hidden="1">{"'매출계획'!$D$2"}</definedName>
    <definedName name="윤" localSheetId="20" hidden="1">{"'매출계획'!$D$2"}</definedName>
    <definedName name="윤" localSheetId="32" hidden="1">{"'매출계획'!$D$2"}</definedName>
    <definedName name="이자율5">Sensitivity!$L$25</definedName>
    <definedName name="일수">Sensitivity!$E$8</definedName>
    <definedName name="임재형" localSheetId="11" hidden="1">#REF!</definedName>
    <definedName name="임재형" localSheetId="20" hidden="1">#REF!</definedName>
    <definedName name="임재형" hidden="1">#REF!</definedName>
    <definedName name="자동복사">민감도!#REF!</definedName>
    <definedName name="제조" localSheetId="11" hidden="1">#REF!</definedName>
    <definedName name="제조" localSheetId="20" hidden="1">#REF!</definedName>
    <definedName name="제조" localSheetId="32" hidden="1">#REF!</definedName>
    <definedName name="제조" hidden="1">#REF!</definedName>
    <definedName name="조립LOAD" localSheetId="1" hidden="1">{"'매출계획'!$D$2"}</definedName>
    <definedName name="조립LOAD" localSheetId="11" hidden="1">{"'매출계획'!$D$2"}</definedName>
    <definedName name="조립LOAD" localSheetId="0" hidden="1">{"'매출계획'!$D$2"}</definedName>
    <definedName name="조립LOAD" localSheetId="20" hidden="1">{"'매출계획'!$D$2"}</definedName>
    <definedName name="조립LOAD" localSheetId="32" hidden="1">{"'매출계획'!$D$2"}</definedName>
    <definedName name="종료CASE">민감도!$V$3</definedName>
    <definedName name="ㅋ" localSheetId="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ㅋ" localSheetId="1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ㅋ" localSheetId="0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ㅋ" localSheetId="20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ㅋ" localSheetId="32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탑재" localSheetId="1" hidden="1">{"'매출계획'!$D$2"}</definedName>
    <definedName name="탑재" localSheetId="11" hidden="1">{"'매출계획'!$D$2"}</definedName>
    <definedName name="탑재" localSheetId="0" hidden="1">{"'매출계획'!$D$2"}</definedName>
    <definedName name="탑재" localSheetId="20" hidden="1">{"'매출계획'!$D$2"}</definedName>
    <definedName name="탑재" localSheetId="32" hidden="1">{"'매출계획'!$D$2"}</definedName>
    <definedName name="후순위운영이자">펀드차입금!$H$83</definedName>
  </definedNames>
  <calcPr calcId="191029" iterate="1" iterateCount="5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38" l="1"/>
  <c r="I36" i="38"/>
  <c r="J36" i="38"/>
  <c r="G36" i="38"/>
  <c r="U120" i="12"/>
  <c r="U121" i="12"/>
  <c r="U122" i="12"/>
  <c r="U119" i="12"/>
  <c r="W119" i="12"/>
  <c r="X119" i="12"/>
  <c r="Y119" i="12"/>
  <c r="Z119" i="12"/>
  <c r="AA119" i="12"/>
  <c r="AB119" i="12"/>
  <c r="AC119" i="12"/>
  <c r="AD119" i="12"/>
  <c r="AE119" i="12"/>
  <c r="AF119" i="12"/>
  <c r="AG119" i="12"/>
  <c r="AH119" i="12"/>
  <c r="AI119" i="12"/>
  <c r="AJ119" i="12"/>
  <c r="AK119" i="12"/>
  <c r="AL119" i="12"/>
  <c r="AM119" i="12"/>
  <c r="AN119" i="12"/>
  <c r="AO119" i="12"/>
  <c r="AP119" i="12"/>
  <c r="AQ119" i="12"/>
  <c r="AR119" i="12"/>
  <c r="AS119" i="12"/>
  <c r="AT119" i="12"/>
  <c r="AU119" i="12"/>
  <c r="AV119" i="12"/>
  <c r="AW119" i="12"/>
  <c r="AX119" i="12"/>
  <c r="W120" i="12"/>
  <c r="X120" i="12"/>
  <c r="Y120" i="12"/>
  <c r="Z120" i="12"/>
  <c r="AA120" i="12"/>
  <c r="AB120" i="12"/>
  <c r="AC120" i="12"/>
  <c r="AD120" i="12"/>
  <c r="AE120" i="12"/>
  <c r="AF120" i="12"/>
  <c r="AG120" i="12"/>
  <c r="AH120" i="12"/>
  <c r="AI120" i="12"/>
  <c r="AJ120" i="12"/>
  <c r="AK120" i="12"/>
  <c r="AL120" i="12"/>
  <c r="AM120" i="12"/>
  <c r="AN120" i="12"/>
  <c r="AO120" i="12"/>
  <c r="AP120" i="12"/>
  <c r="AQ120" i="12"/>
  <c r="AR120" i="12"/>
  <c r="AS120" i="12"/>
  <c r="AT120" i="12"/>
  <c r="AU120" i="12"/>
  <c r="AV120" i="12"/>
  <c r="AW120" i="12"/>
  <c r="AX120" i="12"/>
  <c r="W121" i="12"/>
  <c r="X121" i="12"/>
  <c r="Y121" i="12"/>
  <c r="Z121" i="12"/>
  <c r="AA121" i="12"/>
  <c r="AB121" i="12"/>
  <c r="AC121" i="12"/>
  <c r="AD121" i="12"/>
  <c r="AE121" i="12"/>
  <c r="AF121" i="12"/>
  <c r="AG121" i="12"/>
  <c r="AH121" i="12"/>
  <c r="AI121" i="12"/>
  <c r="AJ121" i="12"/>
  <c r="AK121" i="12"/>
  <c r="AL121" i="12"/>
  <c r="AM121" i="12"/>
  <c r="AN121" i="12"/>
  <c r="AO121" i="12"/>
  <c r="AP121" i="12"/>
  <c r="AQ121" i="12"/>
  <c r="AR121" i="12"/>
  <c r="AS121" i="12"/>
  <c r="AT121" i="12"/>
  <c r="AU121" i="12"/>
  <c r="AV121" i="12"/>
  <c r="AW121" i="12"/>
  <c r="AX121" i="12"/>
  <c r="W122" i="12"/>
  <c r="X122" i="12"/>
  <c r="Y122" i="12"/>
  <c r="Z122" i="12"/>
  <c r="AA122" i="12"/>
  <c r="AB122" i="12"/>
  <c r="AC122" i="12"/>
  <c r="AD122" i="12"/>
  <c r="AE122" i="12"/>
  <c r="AF122" i="12"/>
  <c r="AG122" i="12"/>
  <c r="AH122" i="12"/>
  <c r="AI122" i="12"/>
  <c r="AJ122" i="12"/>
  <c r="AK122" i="12"/>
  <c r="AL122" i="12"/>
  <c r="AM122" i="12"/>
  <c r="AN122" i="12"/>
  <c r="AO122" i="12"/>
  <c r="AP122" i="12"/>
  <c r="AQ122" i="12"/>
  <c r="AR122" i="12"/>
  <c r="AS122" i="12"/>
  <c r="AT122" i="12"/>
  <c r="AU122" i="12"/>
  <c r="AV122" i="12"/>
  <c r="AW122" i="12"/>
  <c r="AX122" i="12"/>
  <c r="V120" i="12"/>
  <c r="V121" i="12"/>
  <c r="V122" i="12"/>
  <c r="V119" i="12"/>
  <c r="U116" i="12"/>
  <c r="U117" i="12"/>
  <c r="U118" i="12"/>
  <c r="U115" i="12"/>
  <c r="W115" i="12"/>
  <c r="X115" i="12"/>
  <c r="Y115" i="12"/>
  <c r="Z115" i="12"/>
  <c r="AA115" i="12"/>
  <c r="AB115" i="12"/>
  <c r="AC115" i="12"/>
  <c r="AD115" i="12"/>
  <c r="AE115" i="12"/>
  <c r="AF115" i="12"/>
  <c r="AG115" i="12"/>
  <c r="AH115" i="12"/>
  <c r="AI115" i="12"/>
  <c r="AJ115" i="12"/>
  <c r="AK115" i="12"/>
  <c r="AL115" i="12"/>
  <c r="AM115" i="12"/>
  <c r="AN115" i="12"/>
  <c r="AO115" i="12"/>
  <c r="AP115" i="12"/>
  <c r="AQ115" i="12"/>
  <c r="AR115" i="12"/>
  <c r="AS115" i="12"/>
  <c r="AT115" i="12"/>
  <c r="AU115" i="12"/>
  <c r="AV115" i="12"/>
  <c r="AW115" i="12"/>
  <c r="AX115" i="12"/>
  <c r="W116" i="12"/>
  <c r="X116" i="12"/>
  <c r="Y116" i="12"/>
  <c r="Z116" i="12"/>
  <c r="AA116" i="12"/>
  <c r="AB116" i="12"/>
  <c r="AC116" i="12"/>
  <c r="AD116" i="12"/>
  <c r="AE116" i="12"/>
  <c r="AF116" i="12"/>
  <c r="AG116" i="12"/>
  <c r="AH116" i="12"/>
  <c r="AI116" i="12"/>
  <c r="AJ116" i="12"/>
  <c r="AK116" i="12"/>
  <c r="AL116" i="12"/>
  <c r="AM116" i="12"/>
  <c r="AN116" i="12"/>
  <c r="AO116" i="12"/>
  <c r="AP116" i="12"/>
  <c r="AQ116" i="12"/>
  <c r="AR116" i="12"/>
  <c r="AS116" i="12"/>
  <c r="AT116" i="12"/>
  <c r="AU116" i="12"/>
  <c r="AV116" i="12"/>
  <c r="AW116" i="12"/>
  <c r="AX116" i="12"/>
  <c r="W117" i="12"/>
  <c r="X117" i="12"/>
  <c r="Y117" i="12"/>
  <c r="Z117" i="12"/>
  <c r="AA117" i="12"/>
  <c r="AB117" i="12"/>
  <c r="AC117" i="12"/>
  <c r="AD117" i="12"/>
  <c r="AE117" i="12"/>
  <c r="AF117" i="12"/>
  <c r="AG117" i="12"/>
  <c r="AH117" i="12"/>
  <c r="AI117" i="12"/>
  <c r="AJ117" i="12"/>
  <c r="AK117" i="12"/>
  <c r="AL117" i="12"/>
  <c r="AM117" i="12"/>
  <c r="AN117" i="12"/>
  <c r="AO117" i="12"/>
  <c r="AP117" i="12"/>
  <c r="AQ117" i="12"/>
  <c r="AR117" i="12"/>
  <c r="AS117" i="12"/>
  <c r="AT117" i="12"/>
  <c r="AU117" i="12"/>
  <c r="AV117" i="12"/>
  <c r="AW117" i="12"/>
  <c r="AX117" i="12"/>
  <c r="W118" i="12"/>
  <c r="X118" i="12"/>
  <c r="Y118" i="12"/>
  <c r="Z118" i="12"/>
  <c r="AA118" i="12"/>
  <c r="AB118" i="12"/>
  <c r="AC118" i="12"/>
  <c r="AD118" i="12"/>
  <c r="AE118" i="12"/>
  <c r="AF118" i="12"/>
  <c r="AG118" i="12"/>
  <c r="AH118" i="12"/>
  <c r="AI118" i="12"/>
  <c r="AJ118" i="12"/>
  <c r="AK118" i="12"/>
  <c r="AL118" i="12"/>
  <c r="AM118" i="12"/>
  <c r="AN118" i="12"/>
  <c r="AO118" i="12"/>
  <c r="AP118" i="12"/>
  <c r="AQ118" i="12"/>
  <c r="AR118" i="12"/>
  <c r="AS118" i="12"/>
  <c r="AT118" i="12"/>
  <c r="AU118" i="12"/>
  <c r="AV118" i="12"/>
  <c r="AW118" i="12"/>
  <c r="AX118" i="12"/>
  <c r="V118" i="12"/>
  <c r="V117" i="12"/>
  <c r="V116" i="12"/>
  <c r="V115" i="12"/>
  <c r="W110" i="12"/>
  <c r="X110" i="12"/>
  <c r="Y110" i="12"/>
  <c r="Z110" i="12"/>
  <c r="AA110" i="12"/>
  <c r="AB110" i="12"/>
  <c r="AC110" i="12"/>
  <c r="AD110" i="12"/>
  <c r="AE110" i="12"/>
  <c r="AF110" i="12"/>
  <c r="AG110" i="12"/>
  <c r="AH110" i="12"/>
  <c r="AI110" i="12"/>
  <c r="AJ110" i="12"/>
  <c r="AK110" i="12"/>
  <c r="AL110" i="12"/>
  <c r="AM110" i="12"/>
  <c r="AN110" i="12"/>
  <c r="AO110" i="12"/>
  <c r="W111" i="12"/>
  <c r="X111" i="12"/>
  <c r="Y111" i="12"/>
  <c r="Z111" i="12"/>
  <c r="AA111" i="12"/>
  <c r="AB111" i="12"/>
  <c r="AC111" i="12"/>
  <c r="AD111" i="12"/>
  <c r="AE111" i="12"/>
  <c r="AF111" i="12"/>
  <c r="AG111" i="12"/>
  <c r="AH111" i="12"/>
  <c r="AI111" i="12"/>
  <c r="AJ111" i="12"/>
  <c r="AK111" i="12"/>
  <c r="AL111" i="12"/>
  <c r="AM111" i="12"/>
  <c r="AN111" i="12"/>
  <c r="AP111" i="12"/>
  <c r="AQ111" i="12"/>
  <c r="AR111" i="12"/>
  <c r="AS111" i="12"/>
  <c r="AT111" i="12"/>
  <c r="AU111" i="12"/>
  <c r="AV111" i="12"/>
  <c r="AW111" i="12"/>
  <c r="AX111" i="12"/>
  <c r="V111" i="12"/>
  <c r="V110" i="12"/>
  <c r="AK109" i="12"/>
  <c r="T722" i="20"/>
  <c r="U722" i="20"/>
  <c r="V722" i="20"/>
  <c r="W722" i="20"/>
  <c r="T723" i="20"/>
  <c r="U723" i="20"/>
  <c r="V723" i="20"/>
  <c r="W723" i="20"/>
  <c r="T724" i="20"/>
  <c r="U724" i="20"/>
  <c r="V724" i="20"/>
  <c r="W724" i="20"/>
  <c r="T725" i="20"/>
  <c r="U725" i="20"/>
  <c r="V725" i="20"/>
  <c r="W725" i="20"/>
  <c r="T726" i="20"/>
  <c r="U726" i="20"/>
  <c r="V726" i="20"/>
  <c r="W726" i="20"/>
  <c r="S723" i="20"/>
  <c r="S724" i="20"/>
  <c r="S725" i="20"/>
  <c r="S726" i="20"/>
  <c r="S722" i="20"/>
  <c r="S719" i="20"/>
  <c r="T718" i="20"/>
  <c r="U718" i="20"/>
  <c r="V718" i="20"/>
  <c r="W718" i="20"/>
  <c r="S718" i="20"/>
  <c r="Y59" i="21"/>
  <c r="X59" i="21"/>
  <c r="Q62" i="5"/>
  <c r="R62" i="5"/>
  <c r="S62" i="5"/>
  <c r="T62" i="5"/>
  <c r="E62" i="5"/>
  <c r="T91" i="5"/>
  <c r="S91" i="5"/>
  <c r="R91" i="5"/>
  <c r="Q91" i="5"/>
  <c r="T90" i="5"/>
  <c r="S90" i="5"/>
  <c r="R90" i="5"/>
  <c r="Q90" i="5"/>
  <c r="T89" i="5"/>
  <c r="S89" i="5"/>
  <c r="R89" i="5"/>
  <c r="Q89" i="5"/>
  <c r="T88" i="5"/>
  <c r="S88" i="5"/>
  <c r="R88" i="5"/>
  <c r="Q88" i="5"/>
  <c r="T87" i="5"/>
  <c r="S87" i="5"/>
  <c r="R87" i="5"/>
  <c r="Q87" i="5"/>
  <c r="T86" i="5"/>
  <c r="S86" i="5"/>
  <c r="R86" i="5"/>
  <c r="Q86" i="5"/>
  <c r="T85" i="5"/>
  <c r="S85" i="5"/>
  <c r="R85" i="5"/>
  <c r="Q85" i="5"/>
  <c r="T84" i="5"/>
  <c r="S84" i="5"/>
  <c r="R84" i="5"/>
  <c r="Q84" i="5"/>
  <c r="T83" i="5"/>
  <c r="S83" i="5"/>
  <c r="R83" i="5"/>
  <c r="Q83" i="5"/>
  <c r="T82" i="5"/>
  <c r="S82" i="5"/>
  <c r="R82" i="5"/>
  <c r="Q82" i="5"/>
  <c r="T81" i="5"/>
  <c r="S81" i="5"/>
  <c r="R81" i="5"/>
  <c r="Q81" i="5"/>
  <c r="T80" i="5"/>
  <c r="S80" i="5"/>
  <c r="R80" i="5"/>
  <c r="Q80" i="5"/>
  <c r="T79" i="5"/>
  <c r="S79" i="5"/>
  <c r="R79" i="5"/>
  <c r="Q79" i="5"/>
  <c r="T78" i="5"/>
  <c r="S78" i="5"/>
  <c r="R78" i="5"/>
  <c r="Q78" i="5"/>
  <c r="T77" i="5"/>
  <c r="S77" i="5"/>
  <c r="R77" i="5"/>
  <c r="Q77" i="5"/>
  <c r="T76" i="5"/>
  <c r="S76" i="5"/>
  <c r="R76" i="5"/>
  <c r="Q76" i="5"/>
  <c r="T75" i="5"/>
  <c r="S75" i="5"/>
  <c r="R75" i="5"/>
  <c r="Q75" i="5"/>
  <c r="T74" i="5"/>
  <c r="S74" i="5"/>
  <c r="R74" i="5"/>
  <c r="Q74" i="5"/>
  <c r="T73" i="5"/>
  <c r="S73" i="5"/>
  <c r="R73" i="5"/>
  <c r="Q73" i="5"/>
  <c r="T72" i="5"/>
  <c r="S72" i="5"/>
  <c r="R72" i="5"/>
  <c r="Q72" i="5"/>
  <c r="T71" i="5"/>
  <c r="S71" i="5"/>
  <c r="R71" i="5"/>
  <c r="Q71" i="5"/>
  <c r="T70" i="5"/>
  <c r="S70" i="5"/>
  <c r="R70" i="5"/>
  <c r="Q70" i="5"/>
  <c r="T69" i="5"/>
  <c r="S69" i="5"/>
  <c r="R69" i="5"/>
  <c r="Q69" i="5"/>
  <c r="T68" i="5"/>
  <c r="S68" i="5"/>
  <c r="R68" i="5"/>
  <c r="Q68" i="5"/>
  <c r="T67" i="5"/>
  <c r="S67" i="5"/>
  <c r="R67" i="5"/>
  <c r="Q67" i="5"/>
  <c r="T66" i="5"/>
  <c r="S66" i="5"/>
  <c r="R66" i="5"/>
  <c r="Q66" i="5"/>
  <c r="T65" i="5"/>
  <c r="S65" i="5"/>
  <c r="R65" i="5"/>
  <c r="Q65" i="5"/>
  <c r="T64" i="5"/>
  <c r="S64" i="5"/>
  <c r="R64" i="5"/>
  <c r="Q64" i="5"/>
  <c r="T63" i="5"/>
  <c r="S63" i="5"/>
  <c r="R63" i="5"/>
  <c r="Q63" i="5"/>
  <c r="T61" i="5"/>
  <c r="S61" i="5"/>
  <c r="R61" i="5"/>
  <c r="Q61" i="5"/>
  <c r="T60" i="5"/>
  <c r="S60" i="5"/>
  <c r="R60" i="5"/>
  <c r="Q60" i="5"/>
  <c r="T59" i="5"/>
  <c r="S59" i="5"/>
  <c r="R59" i="5"/>
  <c r="Q59" i="5"/>
  <c r="T57" i="5"/>
  <c r="S57" i="5"/>
  <c r="R57" i="5"/>
  <c r="Q57" i="5"/>
  <c r="T56" i="5"/>
  <c r="S56" i="5"/>
  <c r="R56" i="5"/>
  <c r="Q56" i="5"/>
  <c r="T55" i="5"/>
  <c r="S55" i="5"/>
  <c r="R55" i="5"/>
  <c r="Q55" i="5"/>
  <c r="T54" i="5"/>
  <c r="S54" i="5"/>
  <c r="R54" i="5"/>
  <c r="Q54" i="5"/>
  <c r="T50" i="5"/>
  <c r="S50" i="5"/>
  <c r="R50" i="5"/>
  <c r="Q50" i="5"/>
  <c r="T49" i="5"/>
  <c r="S49" i="5"/>
  <c r="R49" i="5"/>
  <c r="Q49" i="5"/>
  <c r="T48" i="5"/>
  <c r="S48" i="5"/>
  <c r="R48" i="5"/>
  <c r="Q48" i="5"/>
  <c r="T47" i="5"/>
  <c r="S47" i="5"/>
  <c r="R47" i="5"/>
  <c r="Q47" i="5"/>
  <c r="T46" i="5"/>
  <c r="S46" i="5"/>
  <c r="R46" i="5"/>
  <c r="Q46" i="5"/>
  <c r="T45" i="5"/>
  <c r="S45" i="5"/>
  <c r="R45" i="5"/>
  <c r="Q45" i="5"/>
  <c r="T44" i="5"/>
  <c r="S44" i="5"/>
  <c r="R44" i="5"/>
  <c r="Q44" i="5"/>
  <c r="T43" i="5"/>
  <c r="S43" i="5"/>
  <c r="R43" i="5"/>
  <c r="Q43" i="5"/>
  <c r="T42" i="5"/>
  <c r="S42" i="5"/>
  <c r="R42" i="5"/>
  <c r="Q42" i="5"/>
  <c r="T41" i="5"/>
  <c r="S41" i="5"/>
  <c r="R41" i="5"/>
  <c r="Q41" i="5"/>
  <c r="T40" i="5"/>
  <c r="S40" i="5"/>
  <c r="R40" i="5"/>
  <c r="Q40" i="5"/>
  <c r="T39" i="5"/>
  <c r="S39" i="5"/>
  <c r="R39" i="5"/>
  <c r="Q39" i="5"/>
  <c r="T38" i="5"/>
  <c r="S38" i="5"/>
  <c r="R38" i="5"/>
  <c r="Q38" i="5"/>
  <c r="T37" i="5"/>
  <c r="S37" i="5"/>
  <c r="R37" i="5"/>
  <c r="Q37" i="5"/>
  <c r="T36" i="5"/>
  <c r="S36" i="5"/>
  <c r="R36" i="5"/>
  <c r="Q36" i="5"/>
  <c r="T35" i="5"/>
  <c r="S35" i="5"/>
  <c r="R35" i="5"/>
  <c r="Q35" i="5"/>
  <c r="T34" i="5"/>
  <c r="S34" i="5"/>
  <c r="R34" i="5"/>
  <c r="Q34" i="5"/>
  <c r="T33" i="5"/>
  <c r="S33" i="5"/>
  <c r="R33" i="5"/>
  <c r="Q33" i="5"/>
  <c r="T32" i="5"/>
  <c r="S32" i="5"/>
  <c r="R32" i="5"/>
  <c r="Q32" i="5"/>
  <c r="T31" i="5"/>
  <c r="S31" i="5"/>
  <c r="R31" i="5"/>
  <c r="Q31" i="5"/>
  <c r="T30" i="5"/>
  <c r="S30" i="5"/>
  <c r="R30" i="5"/>
  <c r="Q30" i="5"/>
  <c r="T29" i="5"/>
  <c r="S29" i="5"/>
  <c r="R29" i="5"/>
  <c r="Q29" i="5"/>
  <c r="T28" i="5"/>
  <c r="S28" i="5"/>
  <c r="R28" i="5"/>
  <c r="Q28" i="5"/>
  <c r="T27" i="5"/>
  <c r="S27" i="5"/>
  <c r="R27" i="5"/>
  <c r="Q27" i="5"/>
  <c r="T26" i="5"/>
  <c r="S26" i="5"/>
  <c r="R26" i="5"/>
  <c r="Q26" i="5"/>
  <c r="T25" i="5"/>
  <c r="S25" i="5"/>
  <c r="R25" i="5"/>
  <c r="Q25" i="5"/>
  <c r="T24" i="5"/>
  <c r="S24" i="5"/>
  <c r="R24" i="5"/>
  <c r="Q24" i="5"/>
  <c r="T23" i="5"/>
  <c r="S23" i="5"/>
  <c r="R23" i="5"/>
  <c r="Q23" i="5"/>
  <c r="T22" i="5"/>
  <c r="S22" i="5"/>
  <c r="R22" i="5"/>
  <c r="Q22" i="5"/>
  <c r="T21" i="5"/>
  <c r="S21" i="5"/>
  <c r="R21" i="5"/>
  <c r="Q21" i="5"/>
  <c r="T20" i="5"/>
  <c r="S20" i="5"/>
  <c r="R20" i="5"/>
  <c r="Q20" i="5"/>
  <c r="T19" i="5"/>
  <c r="S19" i="5"/>
  <c r="R19" i="5"/>
  <c r="Q19" i="5"/>
  <c r="T18" i="5"/>
  <c r="S18" i="5"/>
  <c r="R18" i="5"/>
  <c r="Q18" i="5"/>
  <c r="T17" i="5"/>
  <c r="S17" i="5"/>
  <c r="R17" i="5"/>
  <c r="Q17" i="5"/>
  <c r="T16" i="5"/>
  <c r="S16" i="5"/>
  <c r="R16" i="5"/>
  <c r="Q16" i="5"/>
  <c r="T15" i="5"/>
  <c r="S15" i="5"/>
  <c r="R15" i="5"/>
  <c r="Q15" i="5"/>
  <c r="T14" i="5"/>
  <c r="S14" i="5"/>
  <c r="R14" i="5"/>
  <c r="Q14" i="5"/>
  <c r="T13" i="5"/>
  <c r="S13" i="5"/>
  <c r="R13" i="5"/>
  <c r="Q13" i="5"/>
  <c r="T12" i="5"/>
  <c r="S12" i="5"/>
  <c r="R12" i="5"/>
  <c r="Q12" i="5"/>
  <c r="T11" i="5"/>
  <c r="S11" i="5"/>
  <c r="R11" i="5"/>
  <c r="Q11" i="5"/>
  <c r="T10" i="5"/>
  <c r="S10" i="5"/>
  <c r="R10" i="5"/>
  <c r="Q10" i="5"/>
  <c r="T9" i="5"/>
  <c r="S9" i="5"/>
  <c r="R9" i="5"/>
  <c r="Q9" i="5"/>
  <c r="T8" i="5"/>
  <c r="S8" i="5"/>
  <c r="R8" i="5"/>
  <c r="Q8" i="5"/>
  <c r="Q4" i="5"/>
  <c r="R4" i="5" s="1"/>
  <c r="S4" i="5" s="1"/>
  <c r="T4" i="5" s="1"/>
  <c r="T689" i="20"/>
  <c r="U689" i="20"/>
  <c r="V689" i="20"/>
  <c r="W689" i="20"/>
  <c r="X689" i="20"/>
  <c r="Y689" i="20"/>
  <c r="Z689" i="20"/>
  <c r="AA689" i="20"/>
  <c r="T690" i="20"/>
  <c r="U690" i="20"/>
  <c r="V690" i="20"/>
  <c r="T691" i="20"/>
  <c r="U691" i="20"/>
  <c r="V691" i="20"/>
  <c r="U688" i="20"/>
  <c r="V688" i="20"/>
  <c r="W688" i="20"/>
  <c r="X688" i="20"/>
  <c r="Y688" i="20"/>
  <c r="Z688" i="20"/>
  <c r="AA688" i="20"/>
  <c r="T688" i="20"/>
  <c r="U687" i="20"/>
  <c r="V687" i="20" s="1"/>
  <c r="W687" i="20" s="1"/>
  <c r="X687" i="20" s="1"/>
  <c r="Y687" i="20" s="1"/>
  <c r="Z687" i="20" s="1"/>
  <c r="AA687" i="20" s="1"/>
  <c r="AB687" i="20" s="1"/>
  <c r="AC687" i="20" s="1"/>
  <c r="AD687" i="20" s="1"/>
  <c r="T687" i="20"/>
  <c r="AI684" i="20"/>
  <c r="U686" i="20"/>
  <c r="V686" i="20"/>
  <c r="W686" i="20"/>
  <c r="X686" i="20"/>
  <c r="Y686" i="20"/>
  <c r="Z686" i="20"/>
  <c r="AA686" i="20"/>
  <c r="AB686" i="20"/>
  <c r="AC686" i="20"/>
  <c r="AD686" i="20"/>
  <c r="T686" i="20"/>
  <c r="AC684" i="20"/>
  <c r="AD684" i="20" s="1"/>
  <c r="AE684" i="20" s="1"/>
  <c r="AF684" i="20" s="1"/>
  <c r="AG684" i="20" s="1"/>
  <c r="AH684" i="20" s="1"/>
  <c r="V684" i="20"/>
  <c r="W684" i="20" s="1"/>
  <c r="X684" i="20" s="1"/>
  <c r="Y684" i="20" s="1"/>
  <c r="Z684" i="20" s="1"/>
  <c r="AA684" i="20" s="1"/>
  <c r="AB684" i="20" s="1"/>
  <c r="U684" i="20"/>
  <c r="U675" i="20"/>
  <c r="T661" i="20"/>
  <c r="T659" i="20"/>
  <c r="T658" i="20"/>
  <c r="T657" i="20"/>
  <c r="T656" i="20"/>
  <c r="U662" i="20"/>
  <c r="AO649" i="20" l="1"/>
  <c r="AP649" i="20"/>
  <c r="AQ649" i="20"/>
  <c r="AR649" i="20"/>
  <c r="AS649" i="20"/>
  <c r="AT649" i="20"/>
  <c r="AU649" i="20"/>
  <c r="AV649" i="20"/>
  <c r="AN649" i="20"/>
  <c r="AE649" i="20"/>
  <c r="AF649" i="20"/>
  <c r="AG649" i="20"/>
  <c r="AH649" i="20"/>
  <c r="AI649" i="20"/>
  <c r="AJ649" i="20"/>
  <c r="AK649" i="20"/>
  <c r="AL649" i="20"/>
  <c r="AM649" i="20"/>
  <c r="AD649" i="20"/>
  <c r="U649" i="20"/>
  <c r="V649" i="20"/>
  <c r="W649" i="20"/>
  <c r="X649" i="20"/>
  <c r="Y649" i="20"/>
  <c r="Z649" i="20"/>
  <c r="AA649" i="20"/>
  <c r="AB649" i="20"/>
  <c r="AC649" i="20"/>
  <c r="T649" i="20"/>
  <c r="AV643" i="20"/>
  <c r="AV644" i="20"/>
  <c r="U643" i="20"/>
  <c r="V643" i="20"/>
  <c r="W643" i="20"/>
  <c r="X643" i="20"/>
  <c r="Y643" i="20"/>
  <c r="Z643" i="20"/>
  <c r="AA643" i="20"/>
  <c r="AB643" i="20"/>
  <c r="AC643" i="20"/>
  <c r="AD643" i="20"/>
  <c r="AE643" i="20"/>
  <c r="AF643" i="20"/>
  <c r="AG643" i="20"/>
  <c r="AH643" i="20"/>
  <c r="AI643" i="20"/>
  <c r="AJ643" i="20"/>
  <c r="AK643" i="20"/>
  <c r="AL643" i="20"/>
  <c r="AM643" i="20"/>
  <c r="AN643" i="20"/>
  <c r="AO643" i="20"/>
  <c r="AP643" i="20"/>
  <c r="AQ643" i="20"/>
  <c r="AR643" i="20"/>
  <c r="AS643" i="20"/>
  <c r="AT643" i="20"/>
  <c r="AU643" i="20"/>
  <c r="U644" i="20"/>
  <c r="V644" i="20"/>
  <c r="W644" i="20"/>
  <c r="X644" i="20"/>
  <c r="Y644" i="20"/>
  <c r="Z644" i="20"/>
  <c r="AA644" i="20"/>
  <c r="AB644" i="20"/>
  <c r="AC644" i="20"/>
  <c r="AD644" i="20"/>
  <c r="AE644" i="20"/>
  <c r="AF644" i="20"/>
  <c r="AG644" i="20"/>
  <c r="AH644" i="20"/>
  <c r="AI644" i="20"/>
  <c r="AJ644" i="20"/>
  <c r="AK644" i="20"/>
  <c r="AL644" i="20"/>
  <c r="AM644" i="20"/>
  <c r="AN644" i="20"/>
  <c r="AO644" i="20"/>
  <c r="AP644" i="20"/>
  <c r="AQ644" i="20"/>
  <c r="AR644" i="20"/>
  <c r="AS644" i="20"/>
  <c r="AT644" i="20"/>
  <c r="AU644" i="20"/>
  <c r="T644" i="20"/>
  <c r="T643" i="20"/>
  <c r="H455" i="20"/>
  <c r="G455" i="20"/>
  <c r="F455" i="20"/>
  <c r="E455" i="20"/>
  <c r="D455" i="20"/>
  <c r="I453" i="20"/>
  <c r="H453" i="20"/>
  <c r="G453" i="20"/>
  <c r="F453" i="20"/>
  <c r="E453" i="20"/>
  <c r="D453" i="20"/>
  <c r="I451" i="20"/>
  <c r="H451" i="20"/>
  <c r="G451" i="20"/>
  <c r="F451" i="20"/>
  <c r="E451" i="20"/>
  <c r="D451" i="20"/>
  <c r="I449" i="20"/>
  <c r="H449" i="20"/>
  <c r="G449" i="20"/>
  <c r="F449" i="20"/>
  <c r="E449" i="20"/>
  <c r="D449" i="20"/>
  <c r="I447" i="20"/>
  <c r="H447" i="20"/>
  <c r="G447" i="20"/>
  <c r="F447" i="20"/>
  <c r="E447" i="20"/>
  <c r="D447" i="20"/>
  <c r="E442" i="20"/>
  <c r="F442" i="20" s="1"/>
  <c r="G442" i="20" s="1"/>
  <c r="H442" i="20" s="1"/>
  <c r="I442" i="20" s="1"/>
  <c r="J442" i="20" s="1"/>
  <c r="K442" i="20" s="1"/>
  <c r="L442" i="20" s="1"/>
  <c r="M442" i="20" s="1"/>
  <c r="N442" i="20" s="1"/>
  <c r="O442" i="20" s="1"/>
  <c r="P442" i="20" s="1"/>
  <c r="Q442" i="20" s="1"/>
  <c r="R442" i="20" s="1"/>
  <c r="S442" i="20" s="1"/>
  <c r="T442" i="20" s="1"/>
  <c r="U442" i="20" s="1"/>
  <c r="V442" i="20" s="1"/>
  <c r="W442" i="20" s="1"/>
  <c r="X442" i="20" s="1"/>
  <c r="Y442" i="20" s="1"/>
  <c r="Z442" i="20" s="1"/>
  <c r="AA442" i="20" s="1"/>
  <c r="AB442" i="20" s="1"/>
  <c r="AC442" i="20" s="1"/>
  <c r="AD442" i="20" s="1"/>
  <c r="AE442" i="20" s="1"/>
  <c r="AF442" i="20" s="1"/>
  <c r="F101" i="4"/>
  <c r="F88" i="4"/>
  <c r="F94" i="4"/>
  <c r="F93" i="4"/>
  <c r="F87" i="4"/>
  <c r="K844" i="20"/>
  <c r="J844" i="20"/>
  <c r="H844" i="20"/>
  <c r="G844" i="20"/>
  <c r="F844" i="20"/>
  <c r="E844" i="20"/>
  <c r="D844" i="20"/>
  <c r="F15" i="36"/>
  <c r="B63" i="36"/>
  <c r="B62" i="36"/>
  <c r="B61" i="36"/>
  <c r="B60" i="36"/>
  <c r="B59" i="36"/>
  <c r="B58" i="36"/>
  <c r="B57" i="36"/>
  <c r="B56" i="36"/>
  <c r="B55" i="36"/>
  <c r="B54" i="36"/>
  <c r="B95" i="36"/>
  <c r="B94" i="36"/>
  <c r="B93" i="36"/>
  <c r="B92" i="36"/>
  <c r="B91" i="36"/>
  <c r="B90" i="36"/>
  <c r="B89" i="36"/>
  <c r="B88" i="36"/>
  <c r="B87" i="36"/>
  <c r="B86" i="36"/>
  <c r="B85" i="36"/>
  <c r="M75" i="2"/>
  <c r="M74" i="2"/>
  <c r="H78" i="2"/>
  <c r="H77" i="2"/>
  <c r="H76" i="2"/>
  <c r="H75" i="2"/>
  <c r="H74" i="2"/>
  <c r="B31" i="36"/>
  <c r="F95" i="4" l="1"/>
  <c r="F89" i="4"/>
  <c r="F609" i="20"/>
  <c r="G609" i="20" s="1"/>
  <c r="H609" i="20" s="1"/>
  <c r="I609" i="20" s="1"/>
  <c r="J609" i="20" s="1"/>
  <c r="K609" i="20" s="1"/>
  <c r="L609" i="20" s="1"/>
  <c r="M609" i="20" s="1"/>
  <c r="N609" i="20" s="1"/>
  <c r="O609" i="20" s="1"/>
  <c r="P609" i="20" s="1"/>
  <c r="Q609" i="20" s="1"/>
  <c r="R609" i="20" s="1"/>
  <c r="S609" i="20" s="1"/>
  <c r="T609" i="20" s="1"/>
  <c r="U609" i="20" s="1"/>
  <c r="GD47" i="23"/>
  <c r="GC47" i="23"/>
  <c r="GB47" i="23"/>
  <c r="GA47" i="23"/>
  <c r="FZ47" i="23"/>
  <c r="FY47" i="23"/>
  <c r="FX47" i="23"/>
  <c r="FW47" i="23"/>
  <c r="FV47" i="23"/>
  <c r="FU47" i="23"/>
  <c r="FT47" i="23"/>
  <c r="FS47" i="23"/>
  <c r="FR47" i="23"/>
  <c r="FQ47" i="23"/>
  <c r="FP47" i="23"/>
  <c r="FO47" i="23"/>
  <c r="FN47" i="23"/>
  <c r="FM47" i="23"/>
  <c r="FL47" i="23"/>
  <c r="FK47" i="23"/>
  <c r="FJ47" i="23"/>
  <c r="FI47" i="23"/>
  <c r="FH47" i="23"/>
  <c r="FG47" i="23"/>
  <c r="FF47" i="23"/>
  <c r="FE47" i="23"/>
  <c r="FD47" i="23"/>
  <c r="FC47" i="23"/>
  <c r="FB47" i="23"/>
  <c r="FA47" i="23"/>
  <c r="EZ47" i="23"/>
  <c r="EY47" i="23"/>
  <c r="EX47" i="23"/>
  <c r="EW47" i="23"/>
  <c r="EV47" i="23"/>
  <c r="EU47" i="23"/>
  <c r="ET47" i="23"/>
  <c r="ES47" i="23"/>
  <c r="ER47" i="23"/>
  <c r="EQ47" i="23"/>
  <c r="EP47" i="23"/>
  <c r="EO47" i="23"/>
  <c r="EN47" i="23"/>
  <c r="EM47" i="23"/>
  <c r="EL47" i="23"/>
  <c r="EK47" i="23"/>
  <c r="EJ47" i="23"/>
  <c r="EI47" i="23"/>
  <c r="EH47" i="23"/>
  <c r="EG47" i="23"/>
  <c r="EF47" i="23"/>
  <c r="EE47" i="23"/>
  <c r="ED47" i="23"/>
  <c r="EC47" i="23"/>
  <c r="EB47" i="23"/>
  <c r="EA47" i="23"/>
  <c r="DZ47" i="23"/>
  <c r="DY47" i="23"/>
  <c r="DX47" i="23"/>
  <c r="DW47" i="23"/>
  <c r="DV47" i="23"/>
  <c r="DU47" i="23"/>
  <c r="DT47" i="23"/>
  <c r="DS47" i="23"/>
  <c r="DR47" i="23"/>
  <c r="DQ47" i="23"/>
  <c r="DP47" i="23"/>
  <c r="DO47" i="23"/>
  <c r="DN47" i="23"/>
  <c r="DM47" i="23"/>
  <c r="DL47" i="23"/>
  <c r="DK47" i="23"/>
  <c r="DJ47" i="23"/>
  <c r="DI47" i="23"/>
  <c r="DH47" i="23"/>
  <c r="DG47" i="23"/>
  <c r="DF47" i="23"/>
  <c r="DE47" i="23"/>
  <c r="DD47" i="23"/>
  <c r="DC47" i="23"/>
  <c r="DB47" i="23"/>
  <c r="DA47" i="23"/>
  <c r="CZ47" i="23"/>
  <c r="CY47" i="23"/>
  <c r="CX47" i="23"/>
  <c r="CW47" i="23"/>
  <c r="CV47" i="23"/>
  <c r="CU47" i="23"/>
  <c r="CT47" i="23"/>
  <c r="CS47" i="23"/>
  <c r="CR47" i="23"/>
  <c r="CQ47" i="23"/>
  <c r="CP47" i="23"/>
  <c r="CO47" i="23"/>
  <c r="CN47" i="23"/>
  <c r="CM47" i="23"/>
  <c r="CL47" i="23"/>
  <c r="CK47" i="23"/>
  <c r="CJ47" i="23"/>
  <c r="CI47" i="23"/>
  <c r="CH47" i="23"/>
  <c r="CG47" i="23"/>
  <c r="CF47" i="23"/>
  <c r="CE47" i="23"/>
  <c r="CD47" i="23"/>
  <c r="CC47" i="23"/>
  <c r="CB47" i="23"/>
  <c r="CA47" i="23"/>
  <c r="BZ47" i="23"/>
  <c r="BY47" i="23"/>
  <c r="BX47" i="23"/>
  <c r="BW47" i="23"/>
  <c r="BV47" i="23"/>
  <c r="BU47" i="23"/>
  <c r="BT47" i="23"/>
  <c r="BS47" i="23"/>
  <c r="BR47" i="23"/>
  <c r="BQ47" i="23"/>
  <c r="BP47" i="23"/>
  <c r="BO47" i="23"/>
  <c r="BN47" i="23"/>
  <c r="BM47" i="23"/>
  <c r="BL47" i="23"/>
  <c r="BK47" i="23"/>
  <c r="BJ47" i="23"/>
  <c r="BI47" i="23"/>
  <c r="BH47" i="23"/>
  <c r="BG47" i="23"/>
  <c r="BF47" i="23"/>
  <c r="BE47" i="23"/>
  <c r="BD47" i="23"/>
  <c r="BC47" i="23"/>
  <c r="BB47" i="23"/>
  <c r="BA47" i="23"/>
  <c r="AZ47" i="23"/>
  <c r="AY47" i="23"/>
  <c r="AX47" i="23"/>
  <c r="AW47" i="23"/>
  <c r="AV47" i="23"/>
  <c r="AU47" i="23"/>
  <c r="AT47" i="23"/>
  <c r="AS47" i="23"/>
  <c r="AR47" i="23"/>
  <c r="AQ47" i="23"/>
  <c r="AP47" i="23"/>
  <c r="AO47" i="23"/>
  <c r="AN47" i="23"/>
  <c r="AM47" i="23"/>
  <c r="AL47" i="23"/>
  <c r="AK47" i="23"/>
  <c r="AJ47" i="23"/>
  <c r="AI47" i="23"/>
  <c r="AH47" i="23"/>
  <c r="AG47" i="23"/>
  <c r="AF47" i="23"/>
  <c r="AE47" i="23"/>
  <c r="AD47" i="23"/>
  <c r="AC47" i="23"/>
  <c r="AB47" i="23"/>
  <c r="AA47" i="23"/>
  <c r="Z47" i="23"/>
  <c r="Y47" i="23"/>
  <c r="X47" i="23"/>
  <c r="W47" i="23"/>
  <c r="V47" i="23"/>
  <c r="U47" i="23"/>
  <c r="T47" i="23"/>
  <c r="S47" i="23"/>
  <c r="R47" i="23"/>
  <c r="Q47" i="23"/>
  <c r="P47" i="23"/>
  <c r="O47" i="23"/>
  <c r="N47" i="23"/>
  <c r="M47" i="23"/>
  <c r="L47" i="23"/>
  <c r="K47" i="23"/>
  <c r="J47" i="23"/>
  <c r="I47" i="23"/>
  <c r="H47" i="23"/>
  <c r="G47" i="23"/>
  <c r="GD39" i="23"/>
  <c r="GC39" i="23"/>
  <c r="GB39" i="23"/>
  <c r="GA39" i="23"/>
  <c r="FZ39" i="23"/>
  <c r="FY39" i="23"/>
  <c r="FX39" i="23"/>
  <c r="FW39" i="23"/>
  <c r="FV39" i="23"/>
  <c r="FU39" i="23"/>
  <c r="FT39" i="23"/>
  <c r="FS39" i="23"/>
  <c r="FR39" i="23"/>
  <c r="FQ39" i="23"/>
  <c r="FP39" i="23"/>
  <c r="FO39" i="23"/>
  <c r="N39" i="23"/>
  <c r="M39" i="23"/>
  <c r="L39" i="23"/>
  <c r="K39" i="23"/>
  <c r="J39" i="23"/>
  <c r="I39" i="23"/>
  <c r="H39" i="23"/>
  <c r="G39" i="23"/>
  <c r="R59" i="23"/>
  <c r="Q59" i="23"/>
  <c r="P59" i="23"/>
  <c r="O59" i="23"/>
  <c r="GD14" i="23"/>
  <c r="GC14" i="23"/>
  <c r="GB14" i="23"/>
  <c r="GA14" i="23"/>
  <c r="FZ14" i="23"/>
  <c r="FY14" i="23"/>
  <c r="FX14" i="23"/>
  <c r="FW14" i="23"/>
  <c r="FV14" i="23"/>
  <c r="FU14" i="23"/>
  <c r="FT14" i="23"/>
  <c r="FS14" i="23"/>
  <c r="FR14" i="23"/>
  <c r="FQ14" i="23"/>
  <c r="FP14" i="23"/>
  <c r="FO14" i="23"/>
  <c r="G17" i="23"/>
  <c r="F98" i="4" l="1"/>
  <c r="F103" i="4" s="1"/>
  <c r="F96" i="4"/>
  <c r="F90" i="4"/>
  <c r="P62" i="5"/>
  <c r="P61" i="5"/>
  <c r="P10" i="5"/>
  <c r="E91" i="5"/>
  <c r="R48" i="23"/>
  <c r="Q48" i="23"/>
  <c r="P48" i="23"/>
  <c r="O48" i="23"/>
  <c r="IA3" i="37"/>
  <c r="CJ209" i="37"/>
  <c r="CK209" i="37"/>
  <c r="CK141" i="37"/>
  <c r="F99" i="4" l="1"/>
  <c r="Q57" i="16"/>
  <c r="P57" i="16"/>
  <c r="R49" i="23"/>
  <c r="R58" i="23" s="1"/>
  <c r="Q49" i="23"/>
  <c r="Q58" i="23" s="1"/>
  <c r="O49" i="23"/>
  <c r="O58" i="23" s="1"/>
  <c r="O57" i="16"/>
  <c r="R57" i="16"/>
  <c r="P49" i="23"/>
  <c r="P58" i="23" s="1"/>
  <c r="Z25" i="18"/>
  <c r="J14" i="23" s="1"/>
  <c r="Y25" i="18"/>
  <c r="I14" i="23" s="1"/>
  <c r="X25" i="18"/>
  <c r="H14" i="23" s="1"/>
  <c r="W25" i="18"/>
  <c r="G14" i="23" s="1"/>
  <c r="AD25" i="18"/>
  <c r="N14" i="23" s="1"/>
  <c r="AC25" i="18"/>
  <c r="M14" i="23" s="1"/>
  <c r="AA25" i="18"/>
  <c r="K14" i="23" s="1"/>
  <c r="BD25" i="18"/>
  <c r="BL25" i="18"/>
  <c r="BT25" i="18"/>
  <c r="CB25" i="18"/>
  <c r="CJ25" i="18"/>
  <c r="CR25" i="18"/>
  <c r="CZ25" i="18"/>
  <c r="DH25" i="18"/>
  <c r="DP25" i="18"/>
  <c r="DX25" i="18"/>
  <c r="EF25" i="18"/>
  <c r="EN25" i="18"/>
  <c r="EV25" i="18"/>
  <c r="FD25" i="18"/>
  <c r="FL25" i="18"/>
  <c r="FT25" i="18"/>
  <c r="GB25" i="18"/>
  <c r="AG25" i="18"/>
  <c r="Q14" i="23" s="1"/>
  <c r="AO25" i="18"/>
  <c r="AW25" i="18"/>
  <c r="BE25" i="18"/>
  <c r="BM25" i="18"/>
  <c r="BU25" i="18"/>
  <c r="CC25" i="18"/>
  <c r="CK25" i="18"/>
  <c r="CS25" i="18"/>
  <c r="DA25" i="18"/>
  <c r="DI25" i="18"/>
  <c r="DQ25" i="18"/>
  <c r="DY25" i="18"/>
  <c r="EG25" i="18"/>
  <c r="EO25" i="18"/>
  <c r="EW25" i="18"/>
  <c r="FE25" i="18"/>
  <c r="FM25" i="18"/>
  <c r="FU25" i="18"/>
  <c r="GC25" i="18"/>
  <c r="AT25" i="18"/>
  <c r="BR25" i="18"/>
  <c r="CH25" i="18"/>
  <c r="DF25" i="18"/>
  <c r="DV25" i="18"/>
  <c r="ET25" i="18"/>
  <c r="FJ25" i="18"/>
  <c r="AU25" i="18"/>
  <c r="AH25" i="18"/>
  <c r="R14" i="23" s="1"/>
  <c r="AP25" i="18"/>
  <c r="AX25" i="18"/>
  <c r="BF25" i="18"/>
  <c r="BN25" i="18"/>
  <c r="BV25" i="18"/>
  <c r="CD25" i="18"/>
  <c r="CL25" i="18"/>
  <c r="CT25" i="18"/>
  <c r="DB25" i="18"/>
  <c r="DJ25" i="18"/>
  <c r="DR25" i="18"/>
  <c r="DZ25" i="18"/>
  <c r="EH25" i="18"/>
  <c r="EP25" i="18"/>
  <c r="EX25" i="18"/>
  <c r="FF25" i="18"/>
  <c r="FN25" i="18"/>
  <c r="FV25" i="18"/>
  <c r="GD25" i="18"/>
  <c r="AL25" i="18"/>
  <c r="BJ25" i="18"/>
  <c r="CX25" i="18"/>
  <c r="EL25" i="18"/>
  <c r="FR25" i="18"/>
  <c r="AE25" i="18"/>
  <c r="O14" i="23" s="1"/>
  <c r="AI25" i="18"/>
  <c r="AQ25" i="18"/>
  <c r="BB25" i="18"/>
  <c r="BZ25" i="18"/>
  <c r="CP25" i="18"/>
  <c r="DN25" i="18"/>
  <c r="ED25" i="18"/>
  <c r="FB25" i="18"/>
  <c r="FZ25" i="18"/>
  <c r="AM25" i="18"/>
  <c r="AZ25" i="18"/>
  <c r="BH25" i="18"/>
  <c r="BP25" i="18"/>
  <c r="BX25" i="18"/>
  <c r="CF25" i="18"/>
  <c r="CN25" i="18"/>
  <c r="CV25" i="18"/>
  <c r="DD25" i="18"/>
  <c r="DL25" i="18"/>
  <c r="DT25" i="18"/>
  <c r="EB25" i="18"/>
  <c r="EJ25" i="18"/>
  <c r="ER25" i="18"/>
  <c r="EZ25" i="18"/>
  <c r="FH25" i="18"/>
  <c r="FP25" i="18"/>
  <c r="FX25" i="18"/>
  <c r="AK25" i="18"/>
  <c r="AS25" i="18"/>
  <c r="BA25" i="18"/>
  <c r="BI25" i="18"/>
  <c r="BQ25" i="18"/>
  <c r="BY25" i="18"/>
  <c r="CG25" i="18"/>
  <c r="CO25" i="18"/>
  <c r="CW25" i="18"/>
  <c r="DE25" i="18"/>
  <c r="DM25" i="18"/>
  <c r="DU25" i="18"/>
  <c r="EC25" i="18"/>
  <c r="EK25" i="18"/>
  <c r="ES25" i="18"/>
  <c r="FA25" i="18"/>
  <c r="FI25" i="18"/>
  <c r="FQ25" i="18"/>
  <c r="FY25" i="18"/>
  <c r="IA119" i="37"/>
  <c r="HZ119" i="37"/>
  <c r="HY119" i="37"/>
  <c r="HX119" i="37"/>
  <c r="HW119" i="37"/>
  <c r="HV119" i="37"/>
  <c r="HU119" i="37"/>
  <c r="HT119" i="37"/>
  <c r="HS119" i="37"/>
  <c r="HR119" i="37"/>
  <c r="HQ119" i="37"/>
  <c r="HP119" i="37"/>
  <c r="HO119" i="37"/>
  <c r="HN119" i="37"/>
  <c r="HM119" i="37"/>
  <c r="HL119" i="37"/>
  <c r="HK119" i="37"/>
  <c r="HJ119" i="37"/>
  <c r="HI119" i="37"/>
  <c r="HH119" i="37"/>
  <c r="HG119" i="37"/>
  <c r="HF119" i="37"/>
  <c r="HE119" i="37"/>
  <c r="HD119" i="37"/>
  <c r="HC119" i="37"/>
  <c r="HB119" i="37"/>
  <c r="HA119" i="37"/>
  <c r="GZ119" i="37"/>
  <c r="GY119" i="37"/>
  <c r="GX119" i="37"/>
  <c r="GW119" i="37"/>
  <c r="GV119" i="37"/>
  <c r="GU119" i="37"/>
  <c r="GT119" i="37"/>
  <c r="GS119" i="37"/>
  <c r="GR119" i="37"/>
  <c r="GQ119" i="37"/>
  <c r="GP119" i="37"/>
  <c r="GO119" i="37"/>
  <c r="GN119" i="37"/>
  <c r="GM119" i="37"/>
  <c r="GL119" i="37"/>
  <c r="GK119" i="37"/>
  <c r="GJ119" i="37"/>
  <c r="GI119" i="37"/>
  <c r="GH119" i="37"/>
  <c r="GG119" i="37"/>
  <c r="GF119" i="37"/>
  <c r="GE119" i="37"/>
  <c r="GD119" i="37"/>
  <c r="GC119" i="37"/>
  <c r="GB119" i="37"/>
  <c r="GA119" i="37"/>
  <c r="FZ119" i="37"/>
  <c r="FY119" i="37"/>
  <c r="FX119" i="37"/>
  <c r="FW119" i="37"/>
  <c r="FV119" i="37"/>
  <c r="FU119" i="37"/>
  <c r="FT119" i="37"/>
  <c r="FS119" i="37"/>
  <c r="FR119" i="37"/>
  <c r="FQ119" i="37"/>
  <c r="FP119" i="37"/>
  <c r="FO119" i="37"/>
  <c r="FN119" i="37"/>
  <c r="FM119" i="37"/>
  <c r="FL119" i="37"/>
  <c r="FK119" i="37"/>
  <c r="FJ119" i="37"/>
  <c r="FI119" i="37"/>
  <c r="FH119" i="37"/>
  <c r="FG119" i="37"/>
  <c r="FF119" i="37"/>
  <c r="FE119" i="37"/>
  <c r="FD119" i="37"/>
  <c r="FC119" i="37"/>
  <c r="FB119" i="37"/>
  <c r="FA119" i="37"/>
  <c r="EZ119" i="37"/>
  <c r="EY119" i="37"/>
  <c r="EX119" i="37"/>
  <c r="EW119" i="37"/>
  <c r="EV119" i="37"/>
  <c r="EU119" i="37"/>
  <c r="ET119" i="37"/>
  <c r="ES119" i="37"/>
  <c r="ER119" i="37"/>
  <c r="EQ119" i="37"/>
  <c r="EP119" i="37"/>
  <c r="EO119" i="37"/>
  <c r="EN119" i="37"/>
  <c r="EM119" i="37"/>
  <c r="EL119" i="37"/>
  <c r="EK119" i="37"/>
  <c r="EJ119" i="37"/>
  <c r="EI119" i="37"/>
  <c r="EH119" i="37"/>
  <c r="EG119" i="37"/>
  <c r="EF119" i="37"/>
  <c r="EE119" i="37"/>
  <c r="ED119" i="37"/>
  <c r="EC119" i="37"/>
  <c r="EB119" i="37"/>
  <c r="EA119" i="37"/>
  <c r="DZ119" i="37"/>
  <c r="DY119" i="37"/>
  <c r="DX119" i="37"/>
  <c r="DW119" i="37"/>
  <c r="DV119" i="37"/>
  <c r="DU119" i="37"/>
  <c r="DT119" i="37"/>
  <c r="DS119" i="37"/>
  <c r="DR119" i="37"/>
  <c r="DQ119" i="37"/>
  <c r="DP119" i="37"/>
  <c r="DO119" i="37"/>
  <c r="DN119" i="37"/>
  <c r="DM119" i="37"/>
  <c r="DL119" i="37"/>
  <c r="DK119" i="37"/>
  <c r="DJ119" i="37"/>
  <c r="DI119" i="37"/>
  <c r="DH119" i="37"/>
  <c r="DG119" i="37"/>
  <c r="DF119" i="37"/>
  <c r="DE119" i="37"/>
  <c r="DD119" i="37"/>
  <c r="DC119" i="37"/>
  <c r="DB119" i="37"/>
  <c r="DA119" i="37"/>
  <c r="CZ119" i="37"/>
  <c r="CY119" i="37"/>
  <c r="CX119" i="37"/>
  <c r="CW119" i="37"/>
  <c r="CV119" i="37"/>
  <c r="CU119" i="37"/>
  <c r="CT119" i="37"/>
  <c r="CS119" i="37"/>
  <c r="CR119" i="37"/>
  <c r="CQ119" i="37"/>
  <c r="CP119" i="37"/>
  <c r="CO119" i="37"/>
  <c r="CN119" i="37"/>
  <c r="CM119" i="37"/>
  <c r="CL119" i="37"/>
  <c r="CK119" i="37"/>
  <c r="CJ119" i="37"/>
  <c r="CI119" i="37"/>
  <c r="CH119" i="37"/>
  <c r="CG119" i="37"/>
  <c r="CF119" i="37"/>
  <c r="CE119" i="37"/>
  <c r="CD119" i="37"/>
  <c r="CC119" i="37"/>
  <c r="CB119" i="37"/>
  <c r="CA119" i="37"/>
  <c r="BZ119" i="37"/>
  <c r="BY119" i="37"/>
  <c r="BX119" i="37"/>
  <c r="BW119" i="37"/>
  <c r="BV119" i="37"/>
  <c r="BU119" i="37"/>
  <c r="BT119" i="37"/>
  <c r="BS119" i="37"/>
  <c r="BR119" i="37"/>
  <c r="BQ119" i="37"/>
  <c r="BP119" i="37"/>
  <c r="BO119" i="37"/>
  <c r="BN119" i="37"/>
  <c r="BM119" i="37"/>
  <c r="BL119" i="37"/>
  <c r="BK119" i="37"/>
  <c r="BJ119" i="37"/>
  <c r="BI119" i="37"/>
  <c r="BH119" i="37"/>
  <c r="BG119" i="37"/>
  <c r="BF119" i="37"/>
  <c r="BE119" i="37"/>
  <c r="BD119" i="37"/>
  <c r="BC119" i="37"/>
  <c r="BB119" i="37"/>
  <c r="BA119" i="37"/>
  <c r="AZ119" i="37"/>
  <c r="AY119" i="37"/>
  <c r="AX119" i="37"/>
  <c r="AI3" i="37" l="1"/>
  <c r="P16" i="25" l="1"/>
  <c r="Q16" i="25" s="1"/>
  <c r="P4" i="25"/>
  <c r="H3" i="25"/>
  <c r="G24" i="25"/>
  <c r="G26" i="37"/>
  <c r="C723" i="20" l="1"/>
  <c r="C724" i="20" s="1"/>
  <c r="C725" i="20" s="1"/>
  <c r="C726" i="20" s="1"/>
  <c r="C727" i="20" s="1"/>
  <c r="C728" i="20" s="1"/>
  <c r="C729" i="20" s="1"/>
  <c r="C730" i="20" s="1"/>
  <c r="C731" i="20" s="1"/>
  <c r="C732" i="20" s="1"/>
  <c r="C733" i="20" s="1"/>
  <c r="C734" i="20" s="1"/>
  <c r="C735" i="20" s="1"/>
  <c r="C736" i="20" s="1"/>
  <c r="C737" i="20" s="1"/>
  <c r="C738" i="20" s="1"/>
  <c r="C739" i="20" s="1"/>
  <c r="C740" i="20" s="1"/>
  <c r="C741" i="20" s="1"/>
  <c r="C742" i="20" s="1"/>
  <c r="C743" i="20" s="1"/>
  <c r="C744" i="20" s="1"/>
  <c r="C745" i="20" s="1"/>
  <c r="C746" i="20" s="1"/>
  <c r="C747" i="20" s="1"/>
  <c r="C748" i="20" s="1"/>
  <c r="C749" i="20" s="1"/>
  <c r="C750" i="20" s="1"/>
  <c r="C751" i="20" s="1"/>
  <c r="C752" i="20" s="1"/>
  <c r="CI264" i="37" l="1"/>
  <c r="CJ264" i="37" s="1"/>
  <c r="CK264" i="37" s="1"/>
  <c r="CL264" i="37" s="1"/>
  <c r="CM264" i="37" s="1"/>
  <c r="CN264" i="37" s="1"/>
  <c r="CO264" i="37" s="1"/>
  <c r="CP264" i="37" s="1"/>
  <c r="CQ264" i="37" s="1"/>
  <c r="CR264" i="37" s="1"/>
  <c r="CS264" i="37" s="1"/>
  <c r="CT264" i="37" s="1"/>
  <c r="CU264" i="37" s="1"/>
  <c r="CV264" i="37" s="1"/>
  <c r="CW264" i="37" s="1"/>
  <c r="CX264" i="37" s="1"/>
  <c r="CY264" i="37" s="1"/>
  <c r="CZ264" i="37" s="1"/>
  <c r="DA264" i="37" s="1"/>
  <c r="DB264" i="37" s="1"/>
  <c r="DC264" i="37" s="1"/>
  <c r="DD264" i="37" s="1"/>
  <c r="DE264" i="37" s="1"/>
  <c r="DF264" i="37" s="1"/>
  <c r="DG264" i="37" s="1"/>
  <c r="DH264" i="37" s="1"/>
  <c r="DI264" i="37" s="1"/>
  <c r="DJ264" i="37" s="1"/>
  <c r="DK264" i="37" s="1"/>
  <c r="DL264" i="37" s="1"/>
  <c r="DM264" i="37" s="1"/>
  <c r="DN264" i="37" s="1"/>
  <c r="DO264" i="37" s="1"/>
  <c r="DP264" i="37" s="1"/>
  <c r="DQ264" i="37" s="1"/>
  <c r="DR264" i="37" s="1"/>
  <c r="DS264" i="37" s="1"/>
  <c r="DT264" i="37" s="1"/>
  <c r="DU264" i="37" s="1"/>
  <c r="DV264" i="37" s="1"/>
  <c r="DW264" i="37" s="1"/>
  <c r="DX264" i="37" s="1"/>
  <c r="DY264" i="37" s="1"/>
  <c r="DZ264" i="37" s="1"/>
  <c r="EA264" i="37" s="1"/>
  <c r="EB264" i="37" s="1"/>
  <c r="EC264" i="37" s="1"/>
  <c r="ED264" i="37" s="1"/>
  <c r="EE264" i="37" s="1"/>
  <c r="EF264" i="37" s="1"/>
  <c r="EG264" i="37" s="1"/>
  <c r="EH264" i="37" s="1"/>
  <c r="EI264" i="37" s="1"/>
  <c r="EJ264" i="37" s="1"/>
  <c r="EK264" i="37" s="1"/>
  <c r="EL264" i="37" s="1"/>
  <c r="EM264" i="37" s="1"/>
  <c r="EN264" i="37" s="1"/>
  <c r="EO264" i="37" s="1"/>
  <c r="EP264" i="37" s="1"/>
  <c r="EQ264" i="37" s="1"/>
  <c r="ER264" i="37" s="1"/>
  <c r="ES264" i="37" s="1"/>
  <c r="ET264" i="37" s="1"/>
  <c r="EU264" i="37" s="1"/>
  <c r="EV264" i="37" s="1"/>
  <c r="EW264" i="37" s="1"/>
  <c r="EX264" i="37" s="1"/>
  <c r="EY264" i="37" s="1"/>
  <c r="EZ264" i="37" s="1"/>
  <c r="FA264" i="37" s="1"/>
  <c r="FB264" i="37" s="1"/>
  <c r="FC264" i="37" s="1"/>
  <c r="FD264" i="37" s="1"/>
  <c r="FE264" i="37" s="1"/>
  <c r="FF264" i="37" s="1"/>
  <c r="FG264" i="37" s="1"/>
  <c r="FH264" i="37" s="1"/>
  <c r="FI264" i="37" s="1"/>
  <c r="FJ264" i="37" s="1"/>
  <c r="FK264" i="37" s="1"/>
  <c r="FL264" i="37" s="1"/>
  <c r="FM264" i="37" s="1"/>
  <c r="FN264" i="37" s="1"/>
  <c r="FO264" i="37" s="1"/>
  <c r="FP264" i="37" s="1"/>
  <c r="FQ264" i="37" s="1"/>
  <c r="FR264" i="37" s="1"/>
  <c r="FS264" i="37" s="1"/>
  <c r="FT264" i="37" s="1"/>
  <c r="FU264" i="37" s="1"/>
  <c r="FV264" i="37" s="1"/>
  <c r="FW264" i="37" s="1"/>
  <c r="FX264" i="37" s="1"/>
  <c r="FY264" i="37" s="1"/>
  <c r="FZ264" i="37" s="1"/>
  <c r="GA264" i="37" s="1"/>
  <c r="GB264" i="37" s="1"/>
  <c r="GC264" i="37" s="1"/>
  <c r="GD264" i="37" s="1"/>
  <c r="GE264" i="37" s="1"/>
  <c r="GF264" i="37" s="1"/>
  <c r="GG264" i="37" s="1"/>
  <c r="GH264" i="37" s="1"/>
  <c r="GI264" i="37" s="1"/>
  <c r="GJ264" i="37" s="1"/>
  <c r="GK264" i="37" s="1"/>
  <c r="GL264" i="37" s="1"/>
  <c r="GM264" i="37" s="1"/>
  <c r="GN264" i="37" s="1"/>
  <c r="GO264" i="37" s="1"/>
  <c r="GP264" i="37" s="1"/>
  <c r="GQ264" i="37" s="1"/>
  <c r="GR264" i="37" s="1"/>
  <c r="GS264" i="37" s="1"/>
  <c r="GT264" i="37" s="1"/>
  <c r="GU264" i="37" s="1"/>
  <c r="GV264" i="37" s="1"/>
  <c r="GW264" i="37" s="1"/>
  <c r="GX264" i="37" s="1"/>
  <c r="GY264" i="37" s="1"/>
  <c r="GZ264" i="37" s="1"/>
  <c r="HA264" i="37" s="1"/>
  <c r="HB264" i="37" s="1"/>
  <c r="HC264" i="37" s="1"/>
  <c r="HD264" i="37" s="1"/>
  <c r="HE264" i="37" s="1"/>
  <c r="HF264" i="37" s="1"/>
  <c r="HG264" i="37" s="1"/>
  <c r="HH264" i="37" s="1"/>
  <c r="HI264" i="37" s="1"/>
  <c r="HJ264" i="37" s="1"/>
  <c r="HK264" i="37" s="1"/>
  <c r="HL264" i="37" s="1"/>
  <c r="HM264" i="37" s="1"/>
  <c r="HN264" i="37" s="1"/>
  <c r="HO264" i="37" s="1"/>
  <c r="HP264" i="37" s="1"/>
  <c r="HQ264" i="37" s="1"/>
  <c r="HR264" i="37" s="1"/>
  <c r="HS264" i="37" s="1"/>
  <c r="HT264" i="37" s="1"/>
  <c r="HU264" i="37" s="1"/>
  <c r="HV264" i="37" s="1"/>
  <c r="HW264" i="37" s="1"/>
  <c r="HX264" i="37" s="1"/>
  <c r="HY264" i="37" s="1"/>
  <c r="HZ264" i="37" s="1"/>
  <c r="IA264" i="37" s="1"/>
  <c r="IA266" i="37"/>
  <c r="HZ266" i="37"/>
  <c r="HY266" i="37"/>
  <c r="HX266" i="37"/>
  <c r="HW266" i="37"/>
  <c r="HV266" i="37"/>
  <c r="HU266" i="37"/>
  <c r="HT266" i="37"/>
  <c r="HS266" i="37"/>
  <c r="HR266" i="37"/>
  <c r="HQ266" i="37"/>
  <c r="HP266" i="37"/>
  <c r="HO266" i="37"/>
  <c r="HN266" i="37"/>
  <c r="HM266" i="37"/>
  <c r="HL266" i="37"/>
  <c r="HK266" i="37"/>
  <c r="HJ266" i="37"/>
  <c r="HI266" i="37"/>
  <c r="HH266" i="37"/>
  <c r="HG266" i="37"/>
  <c r="HF266" i="37"/>
  <c r="HE266" i="37"/>
  <c r="HD266" i="37"/>
  <c r="HC266" i="37"/>
  <c r="HB266" i="37"/>
  <c r="HA266" i="37"/>
  <c r="GZ266" i="37"/>
  <c r="GY266" i="37"/>
  <c r="GX266" i="37"/>
  <c r="GW266" i="37"/>
  <c r="GV266" i="37"/>
  <c r="GU266" i="37"/>
  <c r="GT266" i="37"/>
  <c r="GS266" i="37"/>
  <c r="GR266" i="37"/>
  <c r="GQ266" i="37"/>
  <c r="GP266" i="37"/>
  <c r="GO266" i="37"/>
  <c r="GN266" i="37"/>
  <c r="GM266" i="37"/>
  <c r="GL266" i="37"/>
  <c r="GK266" i="37"/>
  <c r="GJ266" i="37"/>
  <c r="GI266" i="37"/>
  <c r="GH266" i="37"/>
  <c r="GG266" i="37"/>
  <c r="GF266" i="37"/>
  <c r="GE266" i="37"/>
  <c r="GD266" i="37"/>
  <c r="GC266" i="37"/>
  <c r="GB266" i="37"/>
  <c r="GA266" i="37"/>
  <c r="FZ266" i="37"/>
  <c r="FY266" i="37"/>
  <c r="FX266" i="37"/>
  <c r="FW266" i="37"/>
  <c r="FV266" i="37"/>
  <c r="FU266" i="37"/>
  <c r="FT266" i="37"/>
  <c r="FS266" i="37"/>
  <c r="FR266" i="37"/>
  <c r="FQ266" i="37"/>
  <c r="FP266" i="37"/>
  <c r="FO266" i="37"/>
  <c r="FN266" i="37"/>
  <c r="FM266" i="37"/>
  <c r="FL266" i="37"/>
  <c r="FK266" i="37"/>
  <c r="FJ266" i="37"/>
  <c r="FI266" i="37"/>
  <c r="FH266" i="37"/>
  <c r="FG266" i="37"/>
  <c r="FF266" i="37"/>
  <c r="FE266" i="37"/>
  <c r="FD266" i="37"/>
  <c r="FC266" i="37"/>
  <c r="FB266" i="37"/>
  <c r="FA266" i="37"/>
  <c r="EZ266" i="37"/>
  <c r="EY266" i="37"/>
  <c r="EX266" i="37"/>
  <c r="EW266" i="37"/>
  <c r="EV266" i="37"/>
  <c r="EU266" i="37"/>
  <c r="ET266" i="37"/>
  <c r="ES266" i="37"/>
  <c r="ER266" i="37"/>
  <c r="EQ266" i="37"/>
  <c r="EP266" i="37"/>
  <c r="EO266" i="37"/>
  <c r="EN266" i="37"/>
  <c r="EM266" i="37"/>
  <c r="EL266" i="37"/>
  <c r="EK266" i="37"/>
  <c r="EJ266" i="37"/>
  <c r="EI266" i="37"/>
  <c r="EH266" i="37"/>
  <c r="EG266" i="37"/>
  <c r="EF266" i="37"/>
  <c r="EE266" i="37"/>
  <c r="ED266" i="37"/>
  <c r="EC266" i="37"/>
  <c r="EB266" i="37"/>
  <c r="EA266" i="37"/>
  <c r="DZ266" i="37"/>
  <c r="DY266" i="37"/>
  <c r="DX266" i="37"/>
  <c r="DW266" i="37"/>
  <c r="DV266" i="37"/>
  <c r="DU266" i="37"/>
  <c r="DT266" i="37"/>
  <c r="DS266" i="37"/>
  <c r="DR266" i="37"/>
  <c r="DQ266" i="37"/>
  <c r="DP266" i="37"/>
  <c r="DO266" i="37"/>
  <c r="DN266" i="37"/>
  <c r="DM266" i="37"/>
  <c r="DL266" i="37"/>
  <c r="DK266" i="37"/>
  <c r="DJ266" i="37"/>
  <c r="DI266" i="37"/>
  <c r="DH266" i="37"/>
  <c r="DG266" i="37"/>
  <c r="DF266" i="37"/>
  <c r="DE266" i="37"/>
  <c r="DD266" i="37"/>
  <c r="DC266" i="37"/>
  <c r="DB266" i="37"/>
  <c r="DA266" i="37"/>
  <c r="CZ266" i="37"/>
  <c r="CY266" i="37"/>
  <c r="CX266" i="37"/>
  <c r="CW266" i="37"/>
  <c r="CV266" i="37"/>
  <c r="CU266" i="37"/>
  <c r="CT266" i="37"/>
  <c r="CS266" i="37"/>
  <c r="CR266" i="37"/>
  <c r="CQ266" i="37"/>
  <c r="CP266" i="37"/>
  <c r="CO266" i="37"/>
  <c r="CN266" i="37"/>
  <c r="CM266" i="37"/>
  <c r="CL266" i="37"/>
  <c r="CK266" i="37"/>
  <c r="CJ266" i="37"/>
  <c r="CI266" i="37"/>
  <c r="CH266" i="37"/>
  <c r="CG266" i="37"/>
  <c r="CF266" i="37"/>
  <c r="CE266" i="37"/>
  <c r="CD266" i="37"/>
  <c r="CC266" i="37"/>
  <c r="CB266" i="37"/>
  <c r="CA266" i="37"/>
  <c r="BZ266" i="37"/>
  <c r="BY266" i="37"/>
  <c r="BX266" i="37"/>
  <c r="BW266" i="37"/>
  <c r="BV266" i="37"/>
  <c r="BU266" i="37"/>
  <c r="BT266" i="37"/>
  <c r="BS266" i="37"/>
  <c r="BR266" i="37"/>
  <c r="BQ266" i="37"/>
  <c r="BP266" i="37"/>
  <c r="BO266" i="37"/>
  <c r="BN266" i="37"/>
  <c r="BM266" i="37"/>
  <c r="BL266" i="37"/>
  <c r="BK266" i="37"/>
  <c r="BJ266" i="37"/>
  <c r="BI266" i="37"/>
  <c r="BH266" i="37"/>
  <c r="BG266" i="37"/>
  <c r="BF266" i="37"/>
  <c r="BE266" i="37"/>
  <c r="BD266" i="37"/>
  <c r="BC266" i="37"/>
  <c r="BB266" i="37"/>
  <c r="BA266" i="37"/>
  <c r="AZ266" i="37"/>
  <c r="AY266" i="37"/>
  <c r="AX266" i="37"/>
  <c r="AW266" i="37"/>
  <c r="AV266" i="37"/>
  <c r="AU266" i="37"/>
  <c r="AT266" i="37"/>
  <c r="AS266" i="37"/>
  <c r="AR266" i="37"/>
  <c r="AQ266" i="37"/>
  <c r="AP266" i="37"/>
  <c r="AO266" i="37"/>
  <c r="AN266" i="37"/>
  <c r="AM266" i="37"/>
  <c r="AL266" i="37"/>
  <c r="AK266" i="37"/>
  <c r="AJ266" i="37"/>
  <c r="AI266" i="37"/>
  <c r="AH266" i="37"/>
  <c r="AG266" i="37"/>
  <c r="AF266" i="37"/>
  <c r="AE266" i="37"/>
  <c r="AD266" i="37"/>
  <c r="AC266" i="37"/>
  <c r="AB266" i="37"/>
  <c r="AA266" i="37"/>
  <c r="Z266" i="37"/>
  <c r="Y266" i="37"/>
  <c r="X266" i="37"/>
  <c r="IA265" i="37"/>
  <c r="HZ265" i="37"/>
  <c r="HY265" i="37"/>
  <c r="HY274" i="37" s="1"/>
  <c r="HZ274" i="37" s="1"/>
  <c r="IA274" i="37" s="1"/>
  <c r="HX265" i="37"/>
  <c r="HX273" i="37" s="1"/>
  <c r="HW265" i="37"/>
  <c r="HW273" i="37" s="1"/>
  <c r="HV265" i="37"/>
  <c r="HV273" i="37" s="1"/>
  <c r="HU265" i="37"/>
  <c r="HU273" i="37" s="1"/>
  <c r="HT265" i="37"/>
  <c r="HT273" i="37" s="1"/>
  <c r="HS265" i="37"/>
  <c r="HS273" i="37" s="1"/>
  <c r="HR265" i="37"/>
  <c r="HR273" i="37" s="1"/>
  <c r="HQ265" i="37"/>
  <c r="HQ273" i="37" s="1"/>
  <c r="HP265" i="37"/>
  <c r="HP273" i="37" s="1"/>
  <c r="HO265" i="37"/>
  <c r="HO273" i="37" s="1"/>
  <c r="HN265" i="37"/>
  <c r="HN273" i="37" s="1"/>
  <c r="HM265" i="37"/>
  <c r="HM273" i="37" s="1"/>
  <c r="HL265" i="37"/>
  <c r="HL273" i="37" s="1"/>
  <c r="HK265" i="37"/>
  <c r="HK273" i="37" s="1"/>
  <c r="HJ265" i="37"/>
  <c r="HJ274" i="37" s="1"/>
  <c r="HI265" i="37"/>
  <c r="HI274" i="37" s="1"/>
  <c r="HH265" i="37"/>
  <c r="HH273" i="37" s="1"/>
  <c r="HG265" i="37"/>
  <c r="HG273" i="37" s="1"/>
  <c r="HF265" i="37"/>
  <c r="HF273" i="37" s="1"/>
  <c r="HE265" i="37"/>
  <c r="HE273" i="37" s="1"/>
  <c r="HD265" i="37"/>
  <c r="HD273" i="37" s="1"/>
  <c r="HC265" i="37"/>
  <c r="HC273" i="37" s="1"/>
  <c r="HB265" i="37"/>
  <c r="HB274" i="37" s="1"/>
  <c r="HA265" i="37"/>
  <c r="HA274" i="37" s="1"/>
  <c r="GZ265" i="37"/>
  <c r="GZ273" i="37" s="1"/>
  <c r="GY265" i="37"/>
  <c r="GY273" i="37" s="1"/>
  <c r="GX265" i="37"/>
  <c r="GX273" i="37" s="1"/>
  <c r="GW265" i="37"/>
  <c r="GW273" i="37" s="1"/>
  <c r="GV265" i="37"/>
  <c r="GV273" i="37" s="1"/>
  <c r="GU265" i="37"/>
  <c r="GU273" i="37" s="1"/>
  <c r="GT265" i="37"/>
  <c r="GT274" i="37" s="1"/>
  <c r="GS265" i="37"/>
  <c r="GS274" i="37" s="1"/>
  <c r="GR265" i="37"/>
  <c r="GR273" i="37" s="1"/>
  <c r="GQ265" i="37"/>
  <c r="GQ273" i="37" s="1"/>
  <c r="GP265" i="37"/>
  <c r="GP273" i="37" s="1"/>
  <c r="GO265" i="37"/>
  <c r="GO273" i="37" s="1"/>
  <c r="GN265" i="37"/>
  <c r="GN273" i="37" s="1"/>
  <c r="GM265" i="37"/>
  <c r="GM273" i="37" s="1"/>
  <c r="GL265" i="37"/>
  <c r="GL273" i="37" s="1"/>
  <c r="GK265" i="37"/>
  <c r="GK273" i="37" s="1"/>
  <c r="GJ265" i="37"/>
  <c r="GJ273" i="37" s="1"/>
  <c r="GI265" i="37"/>
  <c r="GI273" i="37" s="1"/>
  <c r="GH265" i="37"/>
  <c r="GH273" i="37" s="1"/>
  <c r="GG265" i="37"/>
  <c r="GG273" i="37" s="1"/>
  <c r="GF265" i="37"/>
  <c r="GF273" i="37" s="1"/>
  <c r="GE265" i="37"/>
  <c r="GE273" i="37" s="1"/>
  <c r="GD265" i="37"/>
  <c r="GD274" i="37" s="1"/>
  <c r="GC265" i="37"/>
  <c r="GC274" i="37" s="1"/>
  <c r="GB265" i="37"/>
  <c r="GB273" i="37" s="1"/>
  <c r="GA265" i="37"/>
  <c r="GA273" i="37" s="1"/>
  <c r="FZ265" i="37"/>
  <c r="FZ273" i="37" s="1"/>
  <c r="FY265" i="37"/>
  <c r="FY273" i="37" s="1"/>
  <c r="FX265" i="37"/>
  <c r="FX273" i="37" s="1"/>
  <c r="FW265" i="37"/>
  <c r="FW273" i="37" s="1"/>
  <c r="FV265" i="37"/>
  <c r="FV274" i="37" s="1"/>
  <c r="FU265" i="37"/>
  <c r="FU274" i="37" s="1"/>
  <c r="FT265" i="37"/>
  <c r="FT273" i="37" s="1"/>
  <c r="FS265" i="37"/>
  <c r="FS273" i="37" s="1"/>
  <c r="FR265" i="37"/>
  <c r="FR273" i="37" s="1"/>
  <c r="FQ265" i="37"/>
  <c r="FQ273" i="37" s="1"/>
  <c r="FP265" i="37"/>
  <c r="FP273" i="37" s="1"/>
  <c r="FO265" i="37"/>
  <c r="FO273" i="37" s="1"/>
  <c r="FN265" i="37"/>
  <c r="FN274" i="37" s="1"/>
  <c r="FM265" i="37"/>
  <c r="FM274" i="37" s="1"/>
  <c r="FL265" i="37"/>
  <c r="FL273" i="37" s="1"/>
  <c r="FK265" i="37"/>
  <c r="FK273" i="37" s="1"/>
  <c r="FJ265" i="37"/>
  <c r="FJ273" i="37" s="1"/>
  <c r="FI265" i="37"/>
  <c r="FI273" i="37" s="1"/>
  <c r="FH265" i="37"/>
  <c r="FH273" i="37" s="1"/>
  <c r="FG265" i="37"/>
  <c r="FG273" i="37" s="1"/>
  <c r="FF265" i="37"/>
  <c r="FF273" i="37" s="1"/>
  <c r="FE265" i="37"/>
  <c r="FE273" i="37" s="1"/>
  <c r="FD265" i="37"/>
  <c r="FD273" i="37" s="1"/>
  <c r="FC265" i="37"/>
  <c r="FC273" i="37" s="1"/>
  <c r="FB265" i="37"/>
  <c r="FB273" i="37" s="1"/>
  <c r="FA265" i="37"/>
  <c r="FA273" i="37" s="1"/>
  <c r="EZ265" i="37"/>
  <c r="EZ273" i="37" s="1"/>
  <c r="EY265" i="37"/>
  <c r="EY273" i="37" s="1"/>
  <c r="EX265" i="37"/>
  <c r="EX274" i="37" s="1"/>
  <c r="EW265" i="37"/>
  <c r="EW274" i="37" s="1"/>
  <c r="EV265" i="37"/>
  <c r="EV273" i="37" s="1"/>
  <c r="EU265" i="37"/>
  <c r="EU273" i="37" s="1"/>
  <c r="ET265" i="37"/>
  <c r="ET273" i="37" s="1"/>
  <c r="ES265" i="37"/>
  <c r="ES273" i="37" s="1"/>
  <c r="ER265" i="37"/>
  <c r="ER273" i="37" s="1"/>
  <c r="EQ265" i="37"/>
  <c r="EQ273" i="37" s="1"/>
  <c r="EP265" i="37"/>
  <c r="EP274" i="37" s="1"/>
  <c r="EO265" i="37"/>
  <c r="EO274" i="37" s="1"/>
  <c r="EN265" i="37"/>
  <c r="EN273" i="37" s="1"/>
  <c r="EM265" i="37"/>
  <c r="EM273" i="37" s="1"/>
  <c r="EL265" i="37"/>
  <c r="EL273" i="37" s="1"/>
  <c r="EK265" i="37"/>
  <c r="EK273" i="37" s="1"/>
  <c r="EJ265" i="37"/>
  <c r="EJ273" i="37" s="1"/>
  <c r="EI265" i="37"/>
  <c r="EI273" i="37" s="1"/>
  <c r="EH265" i="37"/>
  <c r="EH274" i="37" s="1"/>
  <c r="EG265" i="37"/>
  <c r="EG274" i="37" s="1"/>
  <c r="EF265" i="37"/>
  <c r="EF273" i="37" s="1"/>
  <c r="EE265" i="37"/>
  <c r="EE273" i="37" s="1"/>
  <c r="ED265" i="37"/>
  <c r="ED273" i="37" s="1"/>
  <c r="EC265" i="37"/>
  <c r="EC273" i="37" s="1"/>
  <c r="EB265" i="37"/>
  <c r="EB273" i="37" s="1"/>
  <c r="EA265" i="37"/>
  <c r="EA273" i="37" s="1"/>
  <c r="DZ265" i="37"/>
  <c r="DZ273" i="37" s="1"/>
  <c r="DY265" i="37"/>
  <c r="DY273" i="37" s="1"/>
  <c r="DX265" i="37"/>
  <c r="DX273" i="37" s="1"/>
  <c r="DW265" i="37"/>
  <c r="DW273" i="37" s="1"/>
  <c r="DV265" i="37"/>
  <c r="DV273" i="37" s="1"/>
  <c r="DU265" i="37"/>
  <c r="DU273" i="37" s="1"/>
  <c r="DT265" i="37"/>
  <c r="DT273" i="37" s="1"/>
  <c r="DS265" i="37"/>
  <c r="DS273" i="37" s="1"/>
  <c r="DR265" i="37"/>
  <c r="DR274" i="37" s="1"/>
  <c r="DQ265" i="37"/>
  <c r="DQ274" i="37" s="1"/>
  <c r="DP265" i="37"/>
  <c r="DP273" i="37" s="1"/>
  <c r="DO265" i="37"/>
  <c r="DO273" i="37" s="1"/>
  <c r="DN265" i="37"/>
  <c r="DN273" i="37" s="1"/>
  <c r="DM265" i="37"/>
  <c r="DM273" i="37" s="1"/>
  <c r="DL265" i="37"/>
  <c r="DL273" i="37" s="1"/>
  <c r="DK265" i="37"/>
  <c r="DK273" i="37" s="1"/>
  <c r="DJ265" i="37"/>
  <c r="DJ274" i="37" s="1"/>
  <c r="DI265" i="37"/>
  <c r="DI274" i="37" s="1"/>
  <c r="DH265" i="37"/>
  <c r="DH273" i="37" s="1"/>
  <c r="DG265" i="37"/>
  <c r="DG273" i="37" s="1"/>
  <c r="DF265" i="37"/>
  <c r="DF273" i="37" s="1"/>
  <c r="DE265" i="37"/>
  <c r="DE273" i="37" s="1"/>
  <c r="DD265" i="37"/>
  <c r="DD273" i="37" s="1"/>
  <c r="DC265" i="37"/>
  <c r="DC273" i="37" s="1"/>
  <c r="DB265" i="37"/>
  <c r="DB274" i="37" s="1"/>
  <c r="DA265" i="37"/>
  <c r="DA274" i="37" s="1"/>
  <c r="CZ265" i="37"/>
  <c r="CZ273" i="37" s="1"/>
  <c r="CY265" i="37"/>
  <c r="CY273" i="37" s="1"/>
  <c r="CX265" i="37"/>
  <c r="CX273" i="37" s="1"/>
  <c r="CW265" i="37"/>
  <c r="CW273" i="37" s="1"/>
  <c r="CV265" i="37"/>
  <c r="CV273" i="37" s="1"/>
  <c r="CU265" i="37"/>
  <c r="CU273" i="37" s="1"/>
  <c r="CT265" i="37"/>
  <c r="CT273" i="37" s="1"/>
  <c r="CS265" i="37"/>
  <c r="CS273" i="37" s="1"/>
  <c r="CR265" i="37"/>
  <c r="CR273" i="37" s="1"/>
  <c r="CQ265" i="37"/>
  <c r="CQ273" i="37" s="1"/>
  <c r="CP265" i="37"/>
  <c r="CP273" i="37" s="1"/>
  <c r="CO265" i="37"/>
  <c r="CO273" i="37" s="1"/>
  <c r="CN265" i="37"/>
  <c r="CN273" i="37" s="1"/>
  <c r="CM265" i="37"/>
  <c r="CM273" i="37" s="1"/>
  <c r="CL265" i="37"/>
  <c r="CL274" i="37" s="1"/>
  <c r="CK265" i="37"/>
  <c r="CK274" i="37" s="1"/>
  <c r="CJ265" i="37"/>
  <c r="CJ273" i="37" s="1"/>
  <c r="CI265" i="37"/>
  <c r="CI273" i="37" s="1"/>
  <c r="CH265" i="37"/>
  <c r="CH273" i="37" s="1"/>
  <c r="CG265" i="37"/>
  <c r="CF265" i="37"/>
  <c r="CE265" i="37"/>
  <c r="CD265" i="37"/>
  <c r="CC265" i="37"/>
  <c r="CB265" i="37"/>
  <c r="CA265" i="37"/>
  <c r="BZ265" i="37"/>
  <c r="BY265" i="37"/>
  <c r="BX265" i="37"/>
  <c r="BW265" i="37"/>
  <c r="BV265" i="37"/>
  <c r="BU265" i="37"/>
  <c r="BT265" i="37"/>
  <c r="BS265" i="37"/>
  <c r="BR265" i="37"/>
  <c r="BQ265" i="37"/>
  <c r="BP265" i="37"/>
  <c r="BO265" i="37"/>
  <c r="BN265" i="37"/>
  <c r="BM265" i="37"/>
  <c r="BL265" i="37"/>
  <c r="BK265" i="37"/>
  <c r="BJ265" i="37"/>
  <c r="BI265" i="37"/>
  <c r="BH265" i="37"/>
  <c r="BG265" i="37"/>
  <c r="BF265" i="37"/>
  <c r="BE265" i="37"/>
  <c r="BD265" i="37"/>
  <c r="BC265" i="37"/>
  <c r="BB265" i="37"/>
  <c r="BA265" i="37"/>
  <c r="AZ265" i="37"/>
  <c r="AY265" i="37"/>
  <c r="AX265" i="37"/>
  <c r="AW265" i="37"/>
  <c r="AV265" i="37"/>
  <c r="AU265" i="37"/>
  <c r="AT265" i="37"/>
  <c r="AS265" i="37"/>
  <c r="AR265" i="37"/>
  <c r="AQ265" i="37"/>
  <c r="AP265" i="37"/>
  <c r="AO265" i="37"/>
  <c r="AN265" i="37"/>
  <c r="AM265" i="37"/>
  <c r="AL265" i="37"/>
  <c r="AK265" i="37"/>
  <c r="AJ265" i="37"/>
  <c r="AI265" i="37"/>
  <c r="AH265" i="37"/>
  <c r="AG265" i="37"/>
  <c r="AF265" i="37"/>
  <c r="AE265" i="37"/>
  <c r="AD265" i="37"/>
  <c r="AC265" i="37"/>
  <c r="AB265" i="37"/>
  <c r="AA265" i="37"/>
  <c r="Z265" i="37"/>
  <c r="Y265" i="37"/>
  <c r="X265" i="37"/>
  <c r="W266" i="37"/>
  <c r="W265" i="37"/>
  <c r="IA198" i="37"/>
  <c r="HZ198" i="37"/>
  <c r="HY198" i="37"/>
  <c r="HX198" i="37"/>
  <c r="HW198" i="37"/>
  <c r="HV198" i="37"/>
  <c r="HU198" i="37"/>
  <c r="HT198" i="37"/>
  <c r="HS198" i="37"/>
  <c r="HR198" i="37"/>
  <c r="HQ198" i="37"/>
  <c r="HP198" i="37"/>
  <c r="HO198" i="37"/>
  <c r="HN198" i="37"/>
  <c r="HM198" i="37"/>
  <c r="HL198" i="37"/>
  <c r="HK198" i="37"/>
  <c r="HJ198" i="37"/>
  <c r="HI198" i="37"/>
  <c r="HH198" i="37"/>
  <c r="HG198" i="37"/>
  <c r="HF198" i="37"/>
  <c r="HE198" i="37"/>
  <c r="HD198" i="37"/>
  <c r="HC198" i="37"/>
  <c r="HB198" i="37"/>
  <c r="HA198" i="37"/>
  <c r="GZ198" i="37"/>
  <c r="GY198" i="37"/>
  <c r="GX198" i="37"/>
  <c r="GW198" i="37"/>
  <c r="GV198" i="37"/>
  <c r="GU198" i="37"/>
  <c r="GT198" i="37"/>
  <c r="GS198" i="37"/>
  <c r="GR198" i="37"/>
  <c r="GQ198" i="37"/>
  <c r="GP198" i="37"/>
  <c r="GO198" i="37"/>
  <c r="GN198" i="37"/>
  <c r="GM198" i="37"/>
  <c r="GL198" i="37"/>
  <c r="GK198" i="37"/>
  <c r="GJ198" i="37"/>
  <c r="GI198" i="37"/>
  <c r="GH198" i="37"/>
  <c r="GG198" i="37"/>
  <c r="GF198" i="37"/>
  <c r="GE198" i="37"/>
  <c r="GD198" i="37"/>
  <c r="GC198" i="37"/>
  <c r="GB198" i="37"/>
  <c r="GA198" i="37"/>
  <c r="FZ198" i="37"/>
  <c r="FY198" i="37"/>
  <c r="FX198" i="37"/>
  <c r="FW198" i="37"/>
  <c r="FV198" i="37"/>
  <c r="FU198" i="37"/>
  <c r="FT198" i="37"/>
  <c r="FS198" i="37"/>
  <c r="FR198" i="37"/>
  <c r="FQ198" i="37"/>
  <c r="FP198" i="37"/>
  <c r="FO198" i="37"/>
  <c r="FN198" i="37"/>
  <c r="FM198" i="37"/>
  <c r="FL198" i="37"/>
  <c r="FK198" i="37"/>
  <c r="FJ198" i="37"/>
  <c r="FI198" i="37"/>
  <c r="FH198" i="37"/>
  <c r="FG198" i="37"/>
  <c r="FF198" i="37"/>
  <c r="FE198" i="37"/>
  <c r="FD198" i="37"/>
  <c r="FC198" i="37"/>
  <c r="FB198" i="37"/>
  <c r="FA198" i="37"/>
  <c r="EZ198" i="37"/>
  <c r="EY198" i="37"/>
  <c r="EX198" i="37"/>
  <c r="EW198" i="37"/>
  <c r="EV198" i="37"/>
  <c r="EU198" i="37"/>
  <c r="ET198" i="37"/>
  <c r="ES198" i="37"/>
  <c r="ER198" i="37"/>
  <c r="EQ198" i="37"/>
  <c r="EP198" i="37"/>
  <c r="EO198" i="37"/>
  <c r="EN198" i="37"/>
  <c r="EM198" i="37"/>
  <c r="EL198" i="37"/>
  <c r="EK198" i="37"/>
  <c r="EJ198" i="37"/>
  <c r="EI198" i="37"/>
  <c r="EH198" i="37"/>
  <c r="EG198" i="37"/>
  <c r="EF198" i="37"/>
  <c r="EE198" i="37"/>
  <c r="ED198" i="37"/>
  <c r="EC198" i="37"/>
  <c r="EB198" i="37"/>
  <c r="EA198" i="37"/>
  <c r="DZ198" i="37"/>
  <c r="DY198" i="37"/>
  <c r="DX198" i="37"/>
  <c r="DW198" i="37"/>
  <c r="DV198" i="37"/>
  <c r="DU198" i="37"/>
  <c r="DT198" i="37"/>
  <c r="DS198" i="37"/>
  <c r="DR198" i="37"/>
  <c r="DQ198" i="37"/>
  <c r="DP198" i="37"/>
  <c r="DO198" i="37"/>
  <c r="DN198" i="37"/>
  <c r="DM198" i="37"/>
  <c r="DL198" i="37"/>
  <c r="DK198" i="37"/>
  <c r="DJ198" i="37"/>
  <c r="DI198" i="37"/>
  <c r="DH198" i="37"/>
  <c r="DG198" i="37"/>
  <c r="DF198" i="37"/>
  <c r="DE198" i="37"/>
  <c r="DD198" i="37"/>
  <c r="DC198" i="37"/>
  <c r="DB198" i="37"/>
  <c r="DA198" i="37"/>
  <c r="CZ198" i="37"/>
  <c r="CY198" i="37"/>
  <c r="CX198" i="37"/>
  <c r="CW198" i="37"/>
  <c r="CV198" i="37"/>
  <c r="CU198" i="37"/>
  <c r="CT198" i="37"/>
  <c r="CS198" i="37"/>
  <c r="CR198" i="37"/>
  <c r="CQ198" i="37"/>
  <c r="CP198" i="37"/>
  <c r="CO198" i="37"/>
  <c r="CN198" i="37"/>
  <c r="CM198" i="37"/>
  <c r="CL198" i="37"/>
  <c r="CK198" i="37"/>
  <c r="CJ198" i="37"/>
  <c r="CI198" i="37"/>
  <c r="CH198" i="37"/>
  <c r="CG198" i="37"/>
  <c r="CF198" i="37"/>
  <c r="CE198" i="37"/>
  <c r="CD198" i="37"/>
  <c r="CC198" i="37"/>
  <c r="CB198" i="37"/>
  <c r="CA198" i="37"/>
  <c r="BZ198" i="37"/>
  <c r="BY198" i="37"/>
  <c r="BX198" i="37"/>
  <c r="BW198" i="37"/>
  <c r="BV198" i="37"/>
  <c r="BU198" i="37"/>
  <c r="BT198" i="37"/>
  <c r="BS198" i="37"/>
  <c r="BR198" i="37"/>
  <c r="BQ198" i="37"/>
  <c r="BP198" i="37"/>
  <c r="BO198" i="37"/>
  <c r="BN198" i="37"/>
  <c r="BM198" i="37"/>
  <c r="BL198" i="37"/>
  <c r="BK198" i="37"/>
  <c r="BJ198" i="37"/>
  <c r="BI198" i="37"/>
  <c r="BH198" i="37"/>
  <c r="BG198" i="37"/>
  <c r="BF198" i="37"/>
  <c r="BE198" i="37"/>
  <c r="BD198" i="37"/>
  <c r="BC198" i="37"/>
  <c r="BB198" i="37"/>
  <c r="BA198" i="37"/>
  <c r="AZ198" i="37"/>
  <c r="AY198" i="37"/>
  <c r="AX198" i="37"/>
  <c r="AW198" i="37"/>
  <c r="AV198" i="37"/>
  <c r="AU198" i="37"/>
  <c r="AT198" i="37"/>
  <c r="AS198" i="37"/>
  <c r="AR198" i="37"/>
  <c r="AQ198" i="37"/>
  <c r="AP198" i="37"/>
  <c r="AO198" i="37"/>
  <c r="AN198" i="37"/>
  <c r="AM198" i="37"/>
  <c r="AL198" i="37"/>
  <c r="AK198" i="37"/>
  <c r="AJ198" i="37"/>
  <c r="AI198" i="37"/>
  <c r="AH198" i="37"/>
  <c r="AG198" i="37"/>
  <c r="AF198" i="37"/>
  <c r="AE198" i="37"/>
  <c r="AD198" i="37"/>
  <c r="AC198" i="37"/>
  <c r="AB198" i="37"/>
  <c r="AA198" i="37"/>
  <c r="Z198" i="37"/>
  <c r="Y198" i="37"/>
  <c r="X198" i="37"/>
  <c r="W198" i="37"/>
  <c r="V198" i="37"/>
  <c r="U198" i="37"/>
  <c r="T198" i="37"/>
  <c r="S198" i="37"/>
  <c r="R198" i="37"/>
  <c r="Q198" i="37"/>
  <c r="P198" i="37"/>
  <c r="O198" i="37"/>
  <c r="N198" i="37"/>
  <c r="M198" i="37"/>
  <c r="L198" i="37"/>
  <c r="K198" i="37"/>
  <c r="IA197" i="37"/>
  <c r="HZ197" i="37"/>
  <c r="HY197" i="37"/>
  <c r="HX197" i="37"/>
  <c r="HW197" i="37"/>
  <c r="HV197" i="37"/>
  <c r="HU197" i="37"/>
  <c r="HT197" i="37"/>
  <c r="HS197" i="37"/>
  <c r="HR197" i="37"/>
  <c r="HQ197" i="37"/>
  <c r="HP197" i="37"/>
  <c r="HO197" i="37"/>
  <c r="HN197" i="37"/>
  <c r="HM197" i="37"/>
  <c r="HL197" i="37"/>
  <c r="HK197" i="37"/>
  <c r="HJ197" i="37"/>
  <c r="HI197" i="37"/>
  <c r="HH197" i="37"/>
  <c r="HG197" i="37"/>
  <c r="HF197" i="37"/>
  <c r="HE197" i="37"/>
  <c r="HD197" i="37"/>
  <c r="HC197" i="37"/>
  <c r="HB197" i="37"/>
  <c r="HA197" i="37"/>
  <c r="GZ197" i="37"/>
  <c r="GY197" i="37"/>
  <c r="GX197" i="37"/>
  <c r="GW197" i="37"/>
  <c r="GV197" i="37"/>
  <c r="GU197" i="37"/>
  <c r="GT197" i="37"/>
  <c r="GS197" i="37"/>
  <c r="GR197" i="37"/>
  <c r="GQ197" i="37"/>
  <c r="GP197" i="37"/>
  <c r="GO197" i="37"/>
  <c r="GN197" i="37"/>
  <c r="GM197" i="37"/>
  <c r="GL197" i="37"/>
  <c r="GK197" i="37"/>
  <c r="GJ197" i="37"/>
  <c r="GI197" i="37"/>
  <c r="GH197" i="37"/>
  <c r="GG197" i="37"/>
  <c r="GF197" i="37"/>
  <c r="GE197" i="37"/>
  <c r="GD197" i="37"/>
  <c r="GC197" i="37"/>
  <c r="GB197" i="37"/>
  <c r="GA197" i="37"/>
  <c r="FZ197" i="37"/>
  <c r="FY197" i="37"/>
  <c r="FX197" i="37"/>
  <c r="FW197" i="37"/>
  <c r="FV197" i="37"/>
  <c r="FU197" i="37"/>
  <c r="FT197" i="37"/>
  <c r="FS197" i="37"/>
  <c r="FR197" i="37"/>
  <c r="FQ197" i="37"/>
  <c r="FP197" i="37"/>
  <c r="FO197" i="37"/>
  <c r="FN197" i="37"/>
  <c r="FM197" i="37"/>
  <c r="FL197" i="37"/>
  <c r="FK197" i="37"/>
  <c r="FJ197" i="37"/>
  <c r="FI197" i="37"/>
  <c r="FH197" i="37"/>
  <c r="FG197" i="37"/>
  <c r="FF197" i="37"/>
  <c r="FE197" i="37"/>
  <c r="FD197" i="37"/>
  <c r="FC197" i="37"/>
  <c r="FB197" i="37"/>
  <c r="FA197" i="37"/>
  <c r="EZ197" i="37"/>
  <c r="EY197" i="37"/>
  <c r="EX197" i="37"/>
  <c r="EW197" i="37"/>
  <c r="EV197" i="37"/>
  <c r="EU197" i="37"/>
  <c r="ET197" i="37"/>
  <c r="ES197" i="37"/>
  <c r="ER197" i="37"/>
  <c r="EQ197" i="37"/>
  <c r="EP197" i="37"/>
  <c r="EO197" i="37"/>
  <c r="EN197" i="37"/>
  <c r="EM197" i="37"/>
  <c r="EL197" i="37"/>
  <c r="EK197" i="37"/>
  <c r="EJ197" i="37"/>
  <c r="EI197" i="37"/>
  <c r="EH197" i="37"/>
  <c r="EG197" i="37"/>
  <c r="EF197" i="37"/>
  <c r="EE197" i="37"/>
  <c r="ED197" i="37"/>
  <c r="EC197" i="37"/>
  <c r="EB197" i="37"/>
  <c r="EA197" i="37"/>
  <c r="DZ197" i="37"/>
  <c r="DY197" i="37"/>
  <c r="DX197" i="37"/>
  <c r="DW197" i="37"/>
  <c r="DV197" i="37"/>
  <c r="DU197" i="37"/>
  <c r="DT197" i="37"/>
  <c r="DS197" i="37"/>
  <c r="DR197" i="37"/>
  <c r="DQ197" i="37"/>
  <c r="DP197" i="37"/>
  <c r="DO197" i="37"/>
  <c r="DN197" i="37"/>
  <c r="DM197" i="37"/>
  <c r="DL197" i="37"/>
  <c r="DK197" i="37"/>
  <c r="DJ197" i="37"/>
  <c r="DI197" i="37"/>
  <c r="DH197" i="37"/>
  <c r="DG197" i="37"/>
  <c r="DF197" i="37"/>
  <c r="DE197" i="37"/>
  <c r="DD197" i="37"/>
  <c r="DC197" i="37"/>
  <c r="DB197" i="37"/>
  <c r="DA197" i="37"/>
  <c r="CZ197" i="37"/>
  <c r="CY197" i="37"/>
  <c r="CX197" i="37"/>
  <c r="CW197" i="37"/>
  <c r="CV197" i="37"/>
  <c r="CU197" i="37"/>
  <c r="CT197" i="37"/>
  <c r="CS197" i="37"/>
  <c r="CR197" i="37"/>
  <c r="CQ197" i="37"/>
  <c r="CP197" i="37"/>
  <c r="CO197" i="37"/>
  <c r="CN197" i="37"/>
  <c r="CM197" i="37"/>
  <c r="CL197" i="37"/>
  <c r="CK197" i="37"/>
  <c r="CJ197" i="37"/>
  <c r="CI197" i="37"/>
  <c r="CH197" i="37"/>
  <c r="CG197" i="37"/>
  <c r="CF197" i="37"/>
  <c r="CE197" i="37"/>
  <c r="CD197" i="37"/>
  <c r="CC197" i="37"/>
  <c r="CB197" i="37"/>
  <c r="CA197" i="37"/>
  <c r="BZ197" i="37"/>
  <c r="BY197" i="37"/>
  <c r="BX197" i="37"/>
  <c r="BW197" i="37"/>
  <c r="BV197" i="37"/>
  <c r="BU197" i="37"/>
  <c r="BT197" i="37"/>
  <c r="BS197" i="37"/>
  <c r="BR197" i="37"/>
  <c r="BQ197" i="37"/>
  <c r="BP197" i="37"/>
  <c r="BO197" i="37"/>
  <c r="BN197" i="37"/>
  <c r="BM197" i="37"/>
  <c r="BL197" i="37"/>
  <c r="BK197" i="37"/>
  <c r="BJ197" i="37"/>
  <c r="BI197" i="37"/>
  <c r="BH197" i="37"/>
  <c r="BG197" i="37"/>
  <c r="BF197" i="37"/>
  <c r="BE197" i="37"/>
  <c r="BD197" i="37"/>
  <c r="BC197" i="37"/>
  <c r="BB197" i="37"/>
  <c r="BA197" i="37"/>
  <c r="AZ197" i="37"/>
  <c r="AY197" i="37"/>
  <c r="AX197" i="37"/>
  <c r="AW197" i="37"/>
  <c r="AV197" i="37"/>
  <c r="AU197" i="37"/>
  <c r="AT197" i="37"/>
  <c r="AS197" i="37"/>
  <c r="AR197" i="37"/>
  <c r="AQ197" i="37"/>
  <c r="AP197" i="37"/>
  <c r="AO197" i="37"/>
  <c r="AN197" i="37"/>
  <c r="AM197" i="37"/>
  <c r="AL197" i="37"/>
  <c r="AK197" i="37"/>
  <c r="AJ197" i="37"/>
  <c r="AI197" i="37"/>
  <c r="AH197" i="37"/>
  <c r="AG197" i="37"/>
  <c r="AF197" i="37"/>
  <c r="AE197" i="37"/>
  <c r="AD197" i="37"/>
  <c r="AC197" i="37"/>
  <c r="AB197" i="37"/>
  <c r="AA197" i="37"/>
  <c r="Z197" i="37"/>
  <c r="Y197" i="37"/>
  <c r="X197" i="37"/>
  <c r="W197" i="37"/>
  <c r="V197" i="37"/>
  <c r="U197" i="37"/>
  <c r="T197" i="37"/>
  <c r="S197" i="37"/>
  <c r="R197" i="37"/>
  <c r="Q197" i="37"/>
  <c r="P197" i="37"/>
  <c r="O197" i="37"/>
  <c r="N197" i="37"/>
  <c r="M197" i="37"/>
  <c r="L197" i="37"/>
  <c r="K197" i="37"/>
  <c r="J198" i="37"/>
  <c r="L155" i="37"/>
  <c r="J137" i="37"/>
  <c r="N141" i="37"/>
  <c r="BN125" i="37"/>
  <c r="BM125" i="37"/>
  <c r="BL125" i="37"/>
  <c r="BK125" i="37"/>
  <c r="BJ125" i="37"/>
  <c r="BI125" i="37"/>
  <c r="BH125" i="37"/>
  <c r="BG125" i="37"/>
  <c r="BF125" i="37"/>
  <c r="BE125" i="37"/>
  <c r="BD125" i="37"/>
  <c r="BC125" i="37"/>
  <c r="BB125" i="37"/>
  <c r="BA125" i="37"/>
  <c r="AZ125" i="37"/>
  <c r="AY125" i="37"/>
  <c r="AX125" i="37"/>
  <c r="AW125" i="37"/>
  <c r="AV125" i="37"/>
  <c r="AU125" i="37"/>
  <c r="AT125" i="37"/>
  <c r="AS125" i="37"/>
  <c r="AR125" i="37"/>
  <c r="AQ125" i="37"/>
  <c r="AP125" i="37"/>
  <c r="AO125" i="37"/>
  <c r="AN125" i="37"/>
  <c r="AM125" i="37"/>
  <c r="AL125" i="37"/>
  <c r="AK125" i="37"/>
  <c r="AJ125" i="37"/>
  <c r="AI125" i="37"/>
  <c r="AH125" i="37"/>
  <c r="AG125" i="37"/>
  <c r="AF125" i="37"/>
  <c r="AE125" i="37"/>
  <c r="AD125" i="37"/>
  <c r="AC125" i="37"/>
  <c r="AB125" i="37"/>
  <c r="AA125" i="37"/>
  <c r="Z125" i="37"/>
  <c r="Y125" i="37"/>
  <c r="X125" i="37"/>
  <c r="W125" i="37"/>
  <c r="V125" i="37"/>
  <c r="U125" i="37"/>
  <c r="T125" i="37"/>
  <c r="S125" i="37"/>
  <c r="R125" i="37"/>
  <c r="Q125" i="37"/>
  <c r="P125" i="37"/>
  <c r="O125" i="37"/>
  <c r="N125" i="37"/>
  <c r="M125" i="37"/>
  <c r="L125" i="37"/>
  <c r="K125" i="37"/>
  <c r="J125" i="37"/>
  <c r="J124" i="37"/>
  <c r="H124" i="37" s="1"/>
  <c r="K114" i="37"/>
  <c r="L114" i="37" s="1"/>
  <c r="M114" i="37" s="1"/>
  <c r="N114" i="37" s="1"/>
  <c r="O114" i="37" s="1"/>
  <c r="P114" i="37" s="1"/>
  <c r="Q114" i="37" s="1"/>
  <c r="R114" i="37" s="1"/>
  <c r="S114" i="37" s="1"/>
  <c r="T114" i="37" s="1"/>
  <c r="U114" i="37" s="1"/>
  <c r="V114" i="37" s="1"/>
  <c r="W114" i="37" s="1"/>
  <c r="X114" i="37" s="1"/>
  <c r="Y114" i="37" s="1"/>
  <c r="Z114" i="37" s="1"/>
  <c r="AA114" i="37" s="1"/>
  <c r="AB114" i="37" s="1"/>
  <c r="AC114" i="37" s="1"/>
  <c r="AD114" i="37" s="1"/>
  <c r="AE114" i="37" s="1"/>
  <c r="AF114" i="37" s="1"/>
  <c r="AG114" i="37" s="1"/>
  <c r="AH114" i="37" s="1"/>
  <c r="AI114" i="37" s="1"/>
  <c r="AJ114" i="37" s="1"/>
  <c r="AK114" i="37" s="1"/>
  <c r="AL114" i="37" s="1"/>
  <c r="AM114" i="37" s="1"/>
  <c r="AN114" i="37" s="1"/>
  <c r="AO114" i="37" s="1"/>
  <c r="AP114" i="37" s="1"/>
  <c r="AQ114" i="37" s="1"/>
  <c r="AR114" i="37" s="1"/>
  <c r="AS114" i="37" s="1"/>
  <c r="AT114" i="37" s="1"/>
  <c r="AU114" i="37" s="1"/>
  <c r="AV114" i="37" s="1"/>
  <c r="AW114" i="37" s="1"/>
  <c r="AX114" i="37" s="1"/>
  <c r="AY114" i="37" s="1"/>
  <c r="AZ114" i="37" s="1"/>
  <c r="BA114" i="37" s="1"/>
  <c r="BB114" i="37" s="1"/>
  <c r="BC114" i="37" s="1"/>
  <c r="BD114" i="37" s="1"/>
  <c r="BE114" i="37" s="1"/>
  <c r="BF114" i="37" s="1"/>
  <c r="BG114" i="37" s="1"/>
  <c r="BH114" i="37" s="1"/>
  <c r="BI114" i="37" s="1"/>
  <c r="BJ114" i="37" s="1"/>
  <c r="BK114" i="37" s="1"/>
  <c r="BL114" i="37" s="1"/>
  <c r="BM114" i="37" s="1"/>
  <c r="BN114" i="37" s="1"/>
  <c r="BO114" i="37" s="1"/>
  <c r="BY117" i="37"/>
  <c r="BX117" i="37"/>
  <c r="BW117" i="37"/>
  <c r="BV117" i="37"/>
  <c r="BU117" i="37"/>
  <c r="BT117" i="37"/>
  <c r="BS117" i="37"/>
  <c r="BR117" i="37"/>
  <c r="BQ117" i="37"/>
  <c r="BP117" i="37"/>
  <c r="BO117" i="37"/>
  <c r="BN117" i="37"/>
  <c r="BM117" i="37"/>
  <c r="BL117" i="37"/>
  <c r="BK117" i="37"/>
  <c r="BJ117" i="37"/>
  <c r="BI117" i="37"/>
  <c r="BH117" i="37"/>
  <c r="BG117" i="37"/>
  <c r="BF117" i="37"/>
  <c r="BE117" i="37"/>
  <c r="BD117" i="37"/>
  <c r="BC117" i="37"/>
  <c r="BB117" i="37"/>
  <c r="BA117" i="37"/>
  <c r="AZ117" i="37"/>
  <c r="AY117" i="37"/>
  <c r="AX117" i="37"/>
  <c r="S53" i="37"/>
  <c r="CE107" i="11"/>
  <c r="CD107" i="11"/>
  <c r="CC107" i="11"/>
  <c r="CB107" i="11"/>
  <c r="CA107" i="11"/>
  <c r="BZ107" i="11"/>
  <c r="BY107" i="11"/>
  <c r="BX107" i="11"/>
  <c r="BX109" i="11" s="1"/>
  <c r="BZ54" i="37" s="1"/>
  <c r="BW107" i="11"/>
  <c r="BV107" i="11"/>
  <c r="BU107" i="11"/>
  <c r="BT107" i="11"/>
  <c r="BS107" i="11"/>
  <c r="BR107" i="11"/>
  <c r="BQ107" i="11"/>
  <c r="BP107" i="11"/>
  <c r="BO107" i="11"/>
  <c r="BN107" i="11"/>
  <c r="BM107" i="11"/>
  <c r="BL107" i="11"/>
  <c r="BK107" i="11"/>
  <c r="BJ107" i="11"/>
  <c r="BI107" i="11"/>
  <c r="BH107" i="11"/>
  <c r="BG107" i="11"/>
  <c r="BF107" i="11"/>
  <c r="BE107" i="11"/>
  <c r="BD107" i="11"/>
  <c r="BC107" i="11"/>
  <c r="BB107" i="11"/>
  <c r="BA107" i="11"/>
  <c r="AZ107" i="11"/>
  <c r="AZ109" i="11" s="1"/>
  <c r="BB54" i="37" s="1"/>
  <c r="AY107" i="11"/>
  <c r="AX107" i="11"/>
  <c r="AW107" i="11"/>
  <c r="AV107" i="11"/>
  <c r="AU107" i="11"/>
  <c r="AT107" i="11"/>
  <c r="AS107" i="11"/>
  <c r="AR107" i="11"/>
  <c r="AQ107" i="11"/>
  <c r="AP107" i="11"/>
  <c r="AO107" i="11"/>
  <c r="AN107" i="11"/>
  <c r="AM107" i="11"/>
  <c r="AL107" i="11"/>
  <c r="AK107" i="11"/>
  <c r="AJ107" i="11"/>
  <c r="AI107" i="11"/>
  <c r="AH107" i="11"/>
  <c r="AG107" i="11"/>
  <c r="AF107" i="11"/>
  <c r="AE107" i="11"/>
  <c r="AD107" i="11"/>
  <c r="AC107" i="11"/>
  <c r="AB107" i="11"/>
  <c r="AB109" i="11" s="1"/>
  <c r="AD54" i="37" s="1"/>
  <c r="AA107" i="11"/>
  <c r="Z107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E86" i="11"/>
  <c r="E109" i="11" s="1"/>
  <c r="H109" i="11" s="1"/>
  <c r="J54" i="37" s="1"/>
  <c r="GV274" i="37" l="1"/>
  <c r="EJ274" i="37"/>
  <c r="GS273" i="37"/>
  <c r="HY273" i="37"/>
  <c r="HZ273" i="37" s="1"/>
  <c r="IA273" i="37" s="1"/>
  <c r="ER274" i="37"/>
  <c r="HD274" i="37"/>
  <c r="CN274" i="37"/>
  <c r="EZ274" i="37"/>
  <c r="HL274" i="37"/>
  <c r="CV274" i="37"/>
  <c r="FH274" i="37"/>
  <c r="HT274" i="37"/>
  <c r="DD274" i="37"/>
  <c r="FP274" i="37"/>
  <c r="DA273" i="37"/>
  <c r="DL274" i="37"/>
  <c r="FX274" i="37"/>
  <c r="EG273" i="37"/>
  <c r="DT274" i="37"/>
  <c r="GF274" i="37"/>
  <c r="FM273" i="37"/>
  <c r="EB274" i="37"/>
  <c r="GN274" i="37"/>
  <c r="DB273" i="37"/>
  <c r="EH273" i="37"/>
  <c r="FN273" i="37"/>
  <c r="GT273" i="37"/>
  <c r="CO274" i="37"/>
  <c r="CW274" i="37"/>
  <c r="DE274" i="37"/>
  <c r="DM274" i="37"/>
  <c r="DU274" i="37"/>
  <c r="EC274" i="37"/>
  <c r="EK274" i="37"/>
  <c r="ES274" i="37"/>
  <c r="FA274" i="37"/>
  <c r="FI274" i="37"/>
  <c r="FQ274" i="37"/>
  <c r="FY274" i="37"/>
  <c r="GG274" i="37"/>
  <c r="GO274" i="37"/>
  <c r="GW274" i="37"/>
  <c r="HE274" i="37"/>
  <c r="HM274" i="37"/>
  <c r="HU274" i="37"/>
  <c r="DI273" i="37"/>
  <c r="EO273" i="37"/>
  <c r="FU273" i="37"/>
  <c r="HA273" i="37"/>
  <c r="CH274" i="37"/>
  <c r="CP274" i="37"/>
  <c r="CX274" i="37"/>
  <c r="DF274" i="37"/>
  <c r="DN274" i="37"/>
  <c r="DV274" i="37"/>
  <c r="ED274" i="37"/>
  <c r="EL274" i="37"/>
  <c r="ET274" i="37"/>
  <c r="FB274" i="37"/>
  <c r="FJ274" i="37"/>
  <c r="FR274" i="37"/>
  <c r="FZ274" i="37"/>
  <c r="GH274" i="37"/>
  <c r="GP274" i="37"/>
  <c r="GX274" i="37"/>
  <c r="HF274" i="37"/>
  <c r="HN274" i="37"/>
  <c r="HV274" i="37"/>
  <c r="DJ273" i="37"/>
  <c r="EP273" i="37"/>
  <c r="FV273" i="37"/>
  <c r="HB273" i="37"/>
  <c r="CI274" i="37"/>
  <c r="CQ274" i="37"/>
  <c r="CY274" i="37"/>
  <c r="DG274" i="37"/>
  <c r="DO274" i="37"/>
  <c r="DW274" i="37"/>
  <c r="EE274" i="37"/>
  <c r="EM274" i="37"/>
  <c r="EU274" i="37"/>
  <c r="FC274" i="37"/>
  <c r="FK274" i="37"/>
  <c r="FS274" i="37"/>
  <c r="GA274" i="37"/>
  <c r="GI274" i="37"/>
  <c r="GQ274" i="37"/>
  <c r="GY274" i="37"/>
  <c r="HG274" i="37"/>
  <c r="HO274" i="37"/>
  <c r="HW274" i="37"/>
  <c r="CK273" i="37"/>
  <c r="DQ273" i="37"/>
  <c r="EW273" i="37"/>
  <c r="GC273" i="37"/>
  <c r="HI273" i="37"/>
  <c r="CJ274" i="37"/>
  <c r="CR274" i="37"/>
  <c r="CZ274" i="37"/>
  <c r="DH274" i="37"/>
  <c r="DP274" i="37"/>
  <c r="DX274" i="37"/>
  <c r="EF274" i="37"/>
  <c r="EN274" i="37"/>
  <c r="EV274" i="37"/>
  <c r="FD274" i="37"/>
  <c r="FL274" i="37"/>
  <c r="FT274" i="37"/>
  <c r="GB274" i="37"/>
  <c r="GJ274" i="37"/>
  <c r="GR274" i="37"/>
  <c r="GZ274" i="37"/>
  <c r="HH274" i="37"/>
  <c r="HP274" i="37"/>
  <c r="HX274" i="37"/>
  <c r="CL273" i="37"/>
  <c r="DR273" i="37"/>
  <c r="EX273" i="37"/>
  <c r="GD273" i="37"/>
  <c r="HJ273" i="37"/>
  <c r="CS274" i="37"/>
  <c r="DY274" i="37"/>
  <c r="FE274" i="37"/>
  <c r="GK274" i="37"/>
  <c r="HQ274" i="37"/>
  <c r="CT274" i="37"/>
  <c r="DZ274" i="37"/>
  <c r="FF274" i="37"/>
  <c r="GL274" i="37"/>
  <c r="HR274" i="37"/>
  <c r="CM274" i="37"/>
  <c r="CU274" i="37"/>
  <c r="DC274" i="37"/>
  <c r="DK274" i="37"/>
  <c r="DS274" i="37"/>
  <c r="EA274" i="37"/>
  <c r="EI274" i="37"/>
  <c r="EQ274" i="37"/>
  <c r="EY274" i="37"/>
  <c r="FG274" i="37"/>
  <c r="FO274" i="37"/>
  <c r="FW274" i="37"/>
  <c r="GE274" i="37"/>
  <c r="GM274" i="37"/>
  <c r="GU274" i="37"/>
  <c r="HC274" i="37"/>
  <c r="HK274" i="37"/>
  <c r="HS274" i="37"/>
  <c r="BZ142" i="37"/>
  <c r="BZ210" i="37"/>
  <c r="AS109" i="11"/>
  <c r="AU54" i="37" s="1"/>
  <c r="BP114" i="37"/>
  <c r="W109" i="11"/>
  <c r="Y54" i="37" s="1"/>
  <c r="BC109" i="11"/>
  <c r="BE54" i="37" s="1"/>
  <c r="BK109" i="11"/>
  <c r="BM54" i="37" s="1"/>
  <c r="BS109" i="11"/>
  <c r="BU54" i="37" s="1"/>
  <c r="CA109" i="11"/>
  <c r="CC54" i="37" s="1"/>
  <c r="AN109" i="11"/>
  <c r="AP54" i="37" s="1"/>
  <c r="BD109" i="11"/>
  <c r="BF54" i="37" s="1"/>
  <c r="BL109" i="11"/>
  <c r="BN54" i="37" s="1"/>
  <c r="BT109" i="11"/>
  <c r="BV54" i="37" s="1"/>
  <c r="CB109" i="11"/>
  <c r="CD54" i="37" s="1"/>
  <c r="AM109" i="11"/>
  <c r="AO54" i="37" s="1"/>
  <c r="P109" i="11"/>
  <c r="R54" i="37" s="1"/>
  <c r="I109" i="11"/>
  <c r="K54" i="37" s="1"/>
  <c r="AO109" i="11"/>
  <c r="AQ54" i="37" s="1"/>
  <c r="BM109" i="11"/>
  <c r="BO54" i="37" s="1"/>
  <c r="BU109" i="11"/>
  <c r="BW54" i="37" s="1"/>
  <c r="CC109" i="11"/>
  <c r="CE54" i="37" s="1"/>
  <c r="O109" i="11"/>
  <c r="Q54" i="37" s="1"/>
  <c r="AU109" i="11"/>
  <c r="AW54" i="37" s="1"/>
  <c r="X109" i="11"/>
  <c r="Z54" i="37" s="1"/>
  <c r="AV109" i="11"/>
  <c r="AX54" i="37" s="1"/>
  <c r="Y109" i="11"/>
  <c r="AA54" i="37" s="1"/>
  <c r="AG109" i="11"/>
  <c r="AI54" i="37" s="1"/>
  <c r="BE109" i="11"/>
  <c r="BG54" i="37" s="1"/>
  <c r="R109" i="11"/>
  <c r="T54" i="37" s="1"/>
  <c r="Z109" i="11"/>
  <c r="AB54" i="37" s="1"/>
  <c r="AH109" i="11"/>
  <c r="AJ54" i="37" s="1"/>
  <c r="AP109" i="11"/>
  <c r="AR54" i="37" s="1"/>
  <c r="AX109" i="11"/>
  <c r="AZ54" i="37" s="1"/>
  <c r="BF109" i="11"/>
  <c r="BH54" i="37" s="1"/>
  <c r="BN109" i="11"/>
  <c r="BP54" i="37" s="1"/>
  <c r="BV109" i="11"/>
  <c r="BX54" i="37" s="1"/>
  <c r="CD109" i="11"/>
  <c r="CF54" i="37" s="1"/>
  <c r="AE109" i="11"/>
  <c r="AG54" i="37" s="1"/>
  <c r="AF109" i="11"/>
  <c r="AH54" i="37" s="1"/>
  <c r="Q109" i="11"/>
  <c r="S54" i="37" s="1"/>
  <c r="AW109" i="11"/>
  <c r="AY54" i="37" s="1"/>
  <c r="J109" i="11"/>
  <c r="L54" i="37" s="1"/>
  <c r="K109" i="11"/>
  <c r="M54" i="37" s="1"/>
  <c r="S109" i="11"/>
  <c r="U54" i="37" s="1"/>
  <c r="AA109" i="11"/>
  <c r="AC54" i="37" s="1"/>
  <c r="AI109" i="11"/>
  <c r="AK54" i="37" s="1"/>
  <c r="AQ109" i="11"/>
  <c r="AS54" i="37" s="1"/>
  <c r="AY109" i="11"/>
  <c r="BA54" i="37" s="1"/>
  <c r="BG109" i="11"/>
  <c r="BI54" i="37" s="1"/>
  <c r="BO109" i="11"/>
  <c r="BQ54" i="37" s="1"/>
  <c r="BW109" i="11"/>
  <c r="BY54" i="37" s="1"/>
  <c r="CE109" i="11"/>
  <c r="CG54" i="37" s="1"/>
  <c r="T109" i="11"/>
  <c r="V54" i="37" s="1"/>
  <c r="BP109" i="11"/>
  <c r="BR54" i="37" s="1"/>
  <c r="M109" i="11"/>
  <c r="O54" i="37" s="1"/>
  <c r="AK109" i="11"/>
  <c r="AM54" i="37" s="1"/>
  <c r="N109" i="11"/>
  <c r="P54" i="37" s="1"/>
  <c r="V109" i="11"/>
  <c r="X54" i="37" s="1"/>
  <c r="AD109" i="11"/>
  <c r="AF54" i="37" s="1"/>
  <c r="AL109" i="11"/>
  <c r="AN54" i="37" s="1"/>
  <c r="AT109" i="11"/>
  <c r="AV54" i="37" s="1"/>
  <c r="BB109" i="11"/>
  <c r="BD54" i="37" s="1"/>
  <c r="BJ109" i="11"/>
  <c r="BL54" i="37" s="1"/>
  <c r="BR109" i="11"/>
  <c r="BT54" i="37" s="1"/>
  <c r="BZ109" i="11"/>
  <c r="CB54" i="37" s="1"/>
  <c r="L109" i="11"/>
  <c r="N54" i="37" s="1"/>
  <c r="U109" i="11"/>
  <c r="W54" i="37" s="1"/>
  <c r="AC109" i="11"/>
  <c r="AE54" i="37" s="1"/>
  <c r="BY109" i="11"/>
  <c r="CA54" i="37" s="1"/>
  <c r="AJ109" i="11"/>
  <c r="AL54" i="37" s="1"/>
  <c r="BH109" i="11"/>
  <c r="BJ54" i="37" s="1"/>
  <c r="BQ109" i="11"/>
  <c r="BS54" i="37" s="1"/>
  <c r="AR109" i="11"/>
  <c r="AT54" i="37" s="1"/>
  <c r="BA109" i="11"/>
  <c r="BC54" i="37" s="1"/>
  <c r="BI109" i="11"/>
  <c r="BK54" i="37" s="1"/>
  <c r="CC106" i="11"/>
  <c r="CD106" i="11" s="1"/>
  <c r="CE106" i="11" s="1"/>
  <c r="BY106" i="11"/>
  <c r="BZ106" i="11" s="1"/>
  <c r="CA106" i="11" s="1"/>
  <c r="BU106" i="11"/>
  <c r="BV106" i="11" s="1"/>
  <c r="BW106" i="11" s="1"/>
  <c r="BQ106" i="11"/>
  <c r="BR106" i="11" s="1"/>
  <c r="BS106" i="11" s="1"/>
  <c r="BM106" i="11"/>
  <c r="BN106" i="11" s="1"/>
  <c r="BO106" i="11" s="1"/>
  <c r="BI106" i="11"/>
  <c r="BJ106" i="11" s="1"/>
  <c r="BK106" i="11" s="1"/>
  <c r="BE106" i="11"/>
  <c r="BF106" i="11" s="1"/>
  <c r="BG106" i="11" s="1"/>
  <c r="BA106" i="11"/>
  <c r="BB106" i="11" s="1"/>
  <c r="BC106" i="11" s="1"/>
  <c r="AW106" i="11"/>
  <c r="AX106" i="11" s="1"/>
  <c r="AY106" i="11" s="1"/>
  <c r="AS106" i="11"/>
  <c r="AT106" i="11" s="1"/>
  <c r="AU106" i="11" s="1"/>
  <c r="AO106" i="11"/>
  <c r="AP106" i="11" s="1"/>
  <c r="AQ106" i="11" s="1"/>
  <c r="AK106" i="11"/>
  <c r="AL106" i="11" s="1"/>
  <c r="AM106" i="11" s="1"/>
  <c r="AG106" i="11"/>
  <c r="AH106" i="11" s="1"/>
  <c r="AI106" i="11" s="1"/>
  <c r="AC106" i="11"/>
  <c r="AD106" i="11" s="1"/>
  <c r="AE106" i="11" s="1"/>
  <c r="Y106" i="11"/>
  <c r="Z106" i="11" s="1"/>
  <c r="AA106" i="11" s="1"/>
  <c r="U106" i="11"/>
  <c r="V106" i="11" s="1"/>
  <c r="W106" i="11" s="1"/>
  <c r="Q106" i="11"/>
  <c r="R106" i="11" s="1"/>
  <c r="S106" i="11" s="1"/>
  <c r="M106" i="11"/>
  <c r="N106" i="11" s="1"/>
  <c r="O106" i="11" s="1"/>
  <c r="I106" i="11"/>
  <c r="J106" i="11" s="1"/>
  <c r="K106" i="11" s="1"/>
  <c r="I105" i="11"/>
  <c r="J105" i="11" s="1"/>
  <c r="K105" i="11" s="1"/>
  <c r="L105" i="11" s="1"/>
  <c r="M105" i="11" s="1"/>
  <c r="N105" i="11" s="1"/>
  <c r="O105" i="11" s="1"/>
  <c r="P105" i="11" s="1"/>
  <c r="Q105" i="11" s="1"/>
  <c r="R105" i="11" s="1"/>
  <c r="S105" i="11" s="1"/>
  <c r="T105" i="11" s="1"/>
  <c r="U105" i="11" s="1"/>
  <c r="V105" i="11" s="1"/>
  <c r="W105" i="11" s="1"/>
  <c r="X105" i="11" s="1"/>
  <c r="Y105" i="11" s="1"/>
  <c r="Z105" i="11" s="1"/>
  <c r="AA105" i="11" s="1"/>
  <c r="AB105" i="11" s="1"/>
  <c r="AC105" i="11" s="1"/>
  <c r="AD105" i="11" s="1"/>
  <c r="AE105" i="11" s="1"/>
  <c r="AF105" i="11" s="1"/>
  <c r="AG105" i="11" s="1"/>
  <c r="AH105" i="11" s="1"/>
  <c r="AI105" i="11" s="1"/>
  <c r="AJ105" i="11" s="1"/>
  <c r="AK105" i="11" s="1"/>
  <c r="AL105" i="11" s="1"/>
  <c r="AM105" i="11" s="1"/>
  <c r="AN105" i="11" s="1"/>
  <c r="AO105" i="11" s="1"/>
  <c r="AP105" i="11" s="1"/>
  <c r="AQ105" i="11" s="1"/>
  <c r="AR105" i="11" s="1"/>
  <c r="AS105" i="11" s="1"/>
  <c r="AT105" i="11" s="1"/>
  <c r="AU105" i="11" s="1"/>
  <c r="AV105" i="11" s="1"/>
  <c r="AW105" i="11" s="1"/>
  <c r="AX105" i="11" s="1"/>
  <c r="AY105" i="11" s="1"/>
  <c r="AZ105" i="11" s="1"/>
  <c r="BA105" i="11" s="1"/>
  <c r="BB105" i="11" s="1"/>
  <c r="BC105" i="11" s="1"/>
  <c r="BD105" i="11" s="1"/>
  <c r="BE105" i="11" s="1"/>
  <c r="BF105" i="11" s="1"/>
  <c r="BG105" i="11" s="1"/>
  <c r="BH105" i="11" s="1"/>
  <c r="BI105" i="11" s="1"/>
  <c r="BJ105" i="11" s="1"/>
  <c r="BK105" i="11" s="1"/>
  <c r="BL105" i="11" s="1"/>
  <c r="BM105" i="11" s="1"/>
  <c r="BN105" i="11" s="1"/>
  <c r="BO105" i="11" s="1"/>
  <c r="BP105" i="11" s="1"/>
  <c r="BQ105" i="11" s="1"/>
  <c r="BR105" i="11" s="1"/>
  <c r="BS105" i="11" s="1"/>
  <c r="BT105" i="11" s="1"/>
  <c r="BU105" i="11" s="1"/>
  <c r="BV105" i="11" s="1"/>
  <c r="BW105" i="11" s="1"/>
  <c r="BX105" i="11" s="1"/>
  <c r="BY105" i="11" s="1"/>
  <c r="BZ105" i="11" s="1"/>
  <c r="CA105" i="11" s="1"/>
  <c r="CB105" i="11" s="1"/>
  <c r="CC105" i="11" s="1"/>
  <c r="CD105" i="11" s="1"/>
  <c r="CE105" i="11" s="1"/>
  <c r="H3" i="37"/>
  <c r="IA4" i="37"/>
  <c r="HZ4" i="37"/>
  <c r="HY4" i="37"/>
  <c r="HX4" i="37"/>
  <c r="HW4" i="37"/>
  <c r="HV4" i="37"/>
  <c r="HU4" i="37"/>
  <c r="HT4" i="37"/>
  <c r="HS4" i="37"/>
  <c r="HR4" i="37"/>
  <c r="HQ4" i="37"/>
  <c r="HP4" i="37"/>
  <c r="HO4" i="37"/>
  <c r="HN4" i="37"/>
  <c r="HM4" i="37"/>
  <c r="HL4" i="37"/>
  <c r="HK4" i="37"/>
  <c r="HJ4" i="37"/>
  <c r="HI4" i="37"/>
  <c r="HH4" i="37"/>
  <c r="HG4" i="37"/>
  <c r="HF4" i="37"/>
  <c r="HE4" i="37"/>
  <c r="HD4" i="37"/>
  <c r="HC4" i="37"/>
  <c r="HB4" i="37"/>
  <c r="HA4" i="37"/>
  <c r="GZ4" i="37"/>
  <c r="GY4" i="37"/>
  <c r="GX4" i="37"/>
  <c r="GW4" i="37"/>
  <c r="GV4" i="37"/>
  <c r="GU4" i="37"/>
  <c r="GT4" i="37"/>
  <c r="GS4" i="37"/>
  <c r="GR4" i="37"/>
  <c r="GQ4" i="37"/>
  <c r="GP4" i="37"/>
  <c r="GO4" i="37"/>
  <c r="GN4" i="37"/>
  <c r="GM4" i="37"/>
  <c r="GL4" i="37"/>
  <c r="GK4" i="37"/>
  <c r="GJ4" i="37"/>
  <c r="GI4" i="37"/>
  <c r="GH4" i="37"/>
  <c r="GG4" i="37"/>
  <c r="GF4" i="37"/>
  <c r="GE4" i="37"/>
  <c r="GD4" i="37"/>
  <c r="GC4" i="37"/>
  <c r="GB4" i="37"/>
  <c r="GA4" i="37"/>
  <c r="FZ4" i="37"/>
  <c r="FY4" i="37"/>
  <c r="FX4" i="37"/>
  <c r="FW4" i="37"/>
  <c r="FV4" i="37"/>
  <c r="FU4" i="37"/>
  <c r="FT4" i="37"/>
  <c r="FS4" i="37"/>
  <c r="FR4" i="37"/>
  <c r="FQ4" i="37"/>
  <c r="FP4" i="37"/>
  <c r="FO4" i="37"/>
  <c r="FN4" i="37"/>
  <c r="FM4" i="37"/>
  <c r="FL4" i="37"/>
  <c r="FK4" i="37"/>
  <c r="FJ4" i="37"/>
  <c r="FI4" i="37"/>
  <c r="FH4" i="37"/>
  <c r="FG4" i="37"/>
  <c r="FF4" i="37"/>
  <c r="FE4" i="37"/>
  <c r="FD4" i="37"/>
  <c r="FC4" i="37"/>
  <c r="FB4" i="37"/>
  <c r="FA4" i="37"/>
  <c r="EZ4" i="37"/>
  <c r="EY4" i="37"/>
  <c r="EX4" i="37"/>
  <c r="EW4" i="37"/>
  <c r="EV4" i="37"/>
  <c r="EU4" i="37"/>
  <c r="ET4" i="37"/>
  <c r="ES4" i="37"/>
  <c r="ER4" i="37"/>
  <c r="EQ4" i="37"/>
  <c r="EP4" i="37"/>
  <c r="EO4" i="37"/>
  <c r="EN4" i="37"/>
  <c r="EM4" i="37"/>
  <c r="EL4" i="37"/>
  <c r="EK4" i="37"/>
  <c r="EJ4" i="37"/>
  <c r="EI4" i="37"/>
  <c r="EH4" i="37"/>
  <c r="EG4" i="37"/>
  <c r="EF4" i="37"/>
  <c r="EE4" i="37"/>
  <c r="ED4" i="37"/>
  <c r="EC4" i="37"/>
  <c r="EB4" i="37"/>
  <c r="EA4" i="37"/>
  <c r="DZ4" i="37"/>
  <c r="DY4" i="37"/>
  <c r="DX4" i="37"/>
  <c r="DW4" i="37"/>
  <c r="DV4" i="37"/>
  <c r="DU4" i="37"/>
  <c r="DT4" i="37"/>
  <c r="DS4" i="37"/>
  <c r="DR4" i="37"/>
  <c r="DQ4" i="37"/>
  <c r="DP4" i="37"/>
  <c r="DO4" i="37"/>
  <c r="DN4" i="37"/>
  <c r="DM4" i="37"/>
  <c r="DL4" i="37"/>
  <c r="DK4" i="37"/>
  <c r="DJ4" i="37"/>
  <c r="DI4" i="37"/>
  <c r="DH4" i="37"/>
  <c r="DG4" i="37"/>
  <c r="DF4" i="37"/>
  <c r="DE4" i="37"/>
  <c r="DD4" i="37"/>
  <c r="DC4" i="37"/>
  <c r="DB4" i="37"/>
  <c r="DA4" i="37"/>
  <c r="CZ4" i="37"/>
  <c r="CY4" i="37"/>
  <c r="CX4" i="37"/>
  <c r="CW4" i="37"/>
  <c r="CV4" i="37"/>
  <c r="CU4" i="37"/>
  <c r="CT4" i="37"/>
  <c r="CS4" i="37"/>
  <c r="CR4" i="37"/>
  <c r="CQ4" i="37"/>
  <c r="CP4" i="37"/>
  <c r="CO4" i="37"/>
  <c r="CN4" i="37"/>
  <c r="CM4" i="37"/>
  <c r="CL4" i="37"/>
  <c r="CK4" i="37"/>
  <c r="CJ4" i="37"/>
  <c r="CI4" i="37"/>
  <c r="CH4" i="37"/>
  <c r="CG4" i="37"/>
  <c r="CF4" i="37"/>
  <c r="CE4" i="37"/>
  <c r="CD4" i="37"/>
  <c r="CC4" i="37"/>
  <c r="CB4" i="37"/>
  <c r="CA4" i="37"/>
  <c r="BZ4" i="37"/>
  <c r="BY4" i="37"/>
  <c r="BX4" i="37"/>
  <c r="BW4" i="37"/>
  <c r="BV4" i="37"/>
  <c r="BU4" i="37"/>
  <c r="BT4" i="37"/>
  <c r="BS4" i="37"/>
  <c r="BR4" i="37"/>
  <c r="BQ4" i="37"/>
  <c r="BP4" i="37"/>
  <c r="BO4" i="37"/>
  <c r="BN4" i="37"/>
  <c r="BM4" i="37"/>
  <c r="BL4" i="37"/>
  <c r="BK4" i="37"/>
  <c r="BJ4" i="37"/>
  <c r="BI4" i="37"/>
  <c r="BH4" i="37"/>
  <c r="BG4" i="37"/>
  <c r="BF4" i="37"/>
  <c r="BE4" i="37"/>
  <c r="BD4" i="37"/>
  <c r="BC4" i="37"/>
  <c r="BB4" i="37"/>
  <c r="BA4" i="37"/>
  <c r="AZ4" i="37"/>
  <c r="AY4" i="37"/>
  <c r="AX4" i="37"/>
  <c r="AW4" i="37"/>
  <c r="AV4" i="37"/>
  <c r="AU4" i="37"/>
  <c r="AT4" i="37"/>
  <c r="AS4" i="37"/>
  <c r="AR4" i="37"/>
  <c r="AQ4" i="37"/>
  <c r="AP4" i="37"/>
  <c r="AO4" i="37"/>
  <c r="AN4" i="37"/>
  <c r="AM4" i="37"/>
  <c r="AL4" i="37"/>
  <c r="AK4" i="37"/>
  <c r="AJ4" i="37"/>
  <c r="AI4" i="37"/>
  <c r="AH4" i="37"/>
  <c r="AG4" i="37"/>
  <c r="AF4" i="37"/>
  <c r="AE4" i="37"/>
  <c r="AD4" i="37"/>
  <c r="AC4" i="37"/>
  <c r="AB4" i="37"/>
  <c r="AA4" i="37"/>
  <c r="Z4" i="37"/>
  <c r="Y4" i="37"/>
  <c r="X4" i="37"/>
  <c r="W4" i="37"/>
  <c r="V4" i="37"/>
  <c r="U4" i="37"/>
  <c r="T4" i="37"/>
  <c r="S4" i="37"/>
  <c r="R4" i="37"/>
  <c r="Q4" i="37"/>
  <c r="P4" i="37"/>
  <c r="O4" i="37"/>
  <c r="N4" i="37"/>
  <c r="M4" i="37"/>
  <c r="L4" i="37"/>
  <c r="K4" i="37"/>
  <c r="J4" i="37"/>
  <c r="AG22" i="37"/>
  <c r="AF22" i="37"/>
  <c r="AE22" i="37"/>
  <c r="AD22" i="37"/>
  <c r="AC22" i="37"/>
  <c r="AB22" i="37"/>
  <c r="AA22" i="37"/>
  <c r="Z22" i="37"/>
  <c r="Y22" i="37"/>
  <c r="X22" i="37"/>
  <c r="W22" i="37"/>
  <c r="V22" i="37"/>
  <c r="U22" i="37"/>
  <c r="T22" i="37"/>
  <c r="S22" i="37"/>
  <c r="R22" i="37"/>
  <c r="Q22" i="37"/>
  <c r="P22" i="37"/>
  <c r="O22" i="37"/>
  <c r="N22" i="37"/>
  <c r="M22" i="37"/>
  <c r="L22" i="37"/>
  <c r="K22" i="37"/>
  <c r="AG21" i="37"/>
  <c r="AF21" i="37"/>
  <c r="AE21" i="37"/>
  <c r="AD21" i="37"/>
  <c r="AC21" i="37"/>
  <c r="AB21" i="37"/>
  <c r="AA21" i="37"/>
  <c r="Z21" i="37"/>
  <c r="Y21" i="37"/>
  <c r="X21" i="37"/>
  <c r="W21" i="37"/>
  <c r="V21" i="37"/>
  <c r="U21" i="37"/>
  <c r="T21" i="37"/>
  <c r="S21" i="37"/>
  <c r="R21" i="37"/>
  <c r="Q21" i="37"/>
  <c r="P21" i="37"/>
  <c r="O21" i="37"/>
  <c r="N21" i="37"/>
  <c r="M21" i="37"/>
  <c r="L21" i="37"/>
  <c r="K21" i="37"/>
  <c r="J22" i="37"/>
  <c r="J21" i="37"/>
  <c r="HZ11" i="37"/>
  <c r="HV11" i="37"/>
  <c r="HR11" i="37"/>
  <c r="HN11" i="37"/>
  <c r="HJ11" i="37"/>
  <c r="HF11" i="37"/>
  <c r="HB11" i="37"/>
  <c r="GX11" i="37"/>
  <c r="GT11" i="37"/>
  <c r="GP11" i="37"/>
  <c r="GL11" i="37"/>
  <c r="GH11" i="37"/>
  <c r="GD11" i="37"/>
  <c r="FZ11" i="37"/>
  <c r="FV11" i="37"/>
  <c r="FR11" i="37"/>
  <c r="FN11" i="37"/>
  <c r="FJ11" i="37"/>
  <c r="FF11" i="37"/>
  <c r="FB11" i="37"/>
  <c r="EX11" i="37"/>
  <c r="ET11" i="37"/>
  <c r="EP11" i="37"/>
  <c r="EL11" i="37"/>
  <c r="EH11" i="37"/>
  <c r="ED11" i="37"/>
  <c r="DZ11" i="37"/>
  <c r="DV11" i="37"/>
  <c r="DR11" i="37"/>
  <c r="DN11" i="37"/>
  <c r="DJ11" i="37"/>
  <c r="DF11" i="37"/>
  <c r="DB11" i="37"/>
  <c r="CX11" i="37"/>
  <c r="CT11" i="37"/>
  <c r="CP11" i="37"/>
  <c r="CL11" i="37"/>
  <c r="CH11" i="37"/>
  <c r="CD11" i="37"/>
  <c r="BZ11" i="37"/>
  <c r="BV11" i="37"/>
  <c r="BR11" i="37"/>
  <c r="BN11" i="37"/>
  <c r="BJ11" i="37"/>
  <c r="BF11" i="37"/>
  <c r="BB11" i="37"/>
  <c r="AX11" i="37"/>
  <c r="AT11" i="37"/>
  <c r="AP11" i="37"/>
  <c r="AL11" i="37"/>
  <c r="AH11" i="37"/>
  <c r="AD11" i="37"/>
  <c r="Z11" i="37"/>
  <c r="V11" i="37"/>
  <c r="R11" i="37"/>
  <c r="N11" i="37"/>
  <c r="J11" i="37"/>
  <c r="IA19" i="37"/>
  <c r="HW19" i="37"/>
  <c r="HX19" i="37" s="1"/>
  <c r="HY19" i="37" s="1"/>
  <c r="HY11" i="37" s="1"/>
  <c r="HS19" i="37"/>
  <c r="HT19" i="37" s="1"/>
  <c r="HU19" i="37" s="1"/>
  <c r="HU11" i="37" s="1"/>
  <c r="HO19" i="37"/>
  <c r="HP19" i="37" s="1"/>
  <c r="HQ19" i="37" s="1"/>
  <c r="HQ11" i="37" s="1"/>
  <c r="HK19" i="37"/>
  <c r="HL19" i="37" s="1"/>
  <c r="HM19" i="37" s="1"/>
  <c r="HM11" i="37" s="1"/>
  <c r="HG19" i="37"/>
  <c r="HH19" i="37" s="1"/>
  <c r="HI19" i="37" s="1"/>
  <c r="HI11" i="37" s="1"/>
  <c r="HC19" i="37"/>
  <c r="HD19" i="37" s="1"/>
  <c r="HE19" i="37" s="1"/>
  <c r="HE11" i="37" s="1"/>
  <c r="GY19" i="37"/>
  <c r="GZ19" i="37" s="1"/>
  <c r="HA19" i="37" s="1"/>
  <c r="HA11" i="37" s="1"/>
  <c r="GU19" i="37"/>
  <c r="GV19" i="37" s="1"/>
  <c r="GW19" i="37" s="1"/>
  <c r="GW11" i="37" s="1"/>
  <c r="GQ19" i="37"/>
  <c r="GR19" i="37" s="1"/>
  <c r="GS19" i="37" s="1"/>
  <c r="GS11" i="37" s="1"/>
  <c r="GM19" i="37"/>
  <c r="GN19" i="37" s="1"/>
  <c r="GO19" i="37" s="1"/>
  <c r="GO11" i="37" s="1"/>
  <c r="GI19" i="37"/>
  <c r="GJ19" i="37" s="1"/>
  <c r="GK19" i="37" s="1"/>
  <c r="GK11" i="37" s="1"/>
  <c r="GE19" i="37"/>
  <c r="GF19" i="37" s="1"/>
  <c r="GG19" i="37" s="1"/>
  <c r="GG11" i="37" s="1"/>
  <c r="GA19" i="37"/>
  <c r="GB19" i="37" s="1"/>
  <c r="GC19" i="37" s="1"/>
  <c r="GC11" i="37" s="1"/>
  <c r="FW19" i="37"/>
  <c r="FX19" i="37" s="1"/>
  <c r="FY19" i="37" s="1"/>
  <c r="FY11" i="37" s="1"/>
  <c r="FS19" i="37"/>
  <c r="FT19" i="37" s="1"/>
  <c r="FU19" i="37" s="1"/>
  <c r="FU11" i="37" s="1"/>
  <c r="FO19" i="37"/>
  <c r="FP19" i="37" s="1"/>
  <c r="FQ19" i="37" s="1"/>
  <c r="FQ11" i="37" s="1"/>
  <c r="FK19" i="37"/>
  <c r="FL19" i="37" s="1"/>
  <c r="FM19" i="37" s="1"/>
  <c r="FM11" i="37" s="1"/>
  <c r="FG19" i="37"/>
  <c r="FH19" i="37" s="1"/>
  <c r="FI19" i="37" s="1"/>
  <c r="FI11" i="37" s="1"/>
  <c r="FC19" i="37"/>
  <c r="FD19" i="37" s="1"/>
  <c r="FE19" i="37" s="1"/>
  <c r="FE11" i="37" s="1"/>
  <c r="EY19" i="37"/>
  <c r="EZ19" i="37" s="1"/>
  <c r="FA19" i="37" s="1"/>
  <c r="FA11" i="37" s="1"/>
  <c r="EU19" i="37"/>
  <c r="EV19" i="37" s="1"/>
  <c r="EW19" i="37" s="1"/>
  <c r="EW11" i="37" s="1"/>
  <c r="EQ19" i="37"/>
  <c r="ER19" i="37" s="1"/>
  <c r="ES19" i="37" s="1"/>
  <c r="ES11" i="37" s="1"/>
  <c r="EM19" i="37"/>
  <c r="EN19" i="37" s="1"/>
  <c r="EO19" i="37" s="1"/>
  <c r="EO11" i="37" s="1"/>
  <c r="EI19" i="37"/>
  <c r="EJ19" i="37" s="1"/>
  <c r="EK19" i="37" s="1"/>
  <c r="EK11" i="37" s="1"/>
  <c r="EE19" i="37"/>
  <c r="EF19" i="37" s="1"/>
  <c r="EG19" i="37" s="1"/>
  <c r="EG11" i="37" s="1"/>
  <c r="EA19" i="37"/>
  <c r="EB19" i="37" s="1"/>
  <c r="EC19" i="37" s="1"/>
  <c r="EC11" i="37" s="1"/>
  <c r="DW19" i="37"/>
  <c r="DX19" i="37" s="1"/>
  <c r="DY19" i="37" s="1"/>
  <c r="DY11" i="37" s="1"/>
  <c r="DS19" i="37"/>
  <c r="DT19" i="37" s="1"/>
  <c r="DU19" i="37" s="1"/>
  <c r="DU11" i="37" s="1"/>
  <c r="DO19" i="37"/>
  <c r="DP19" i="37" s="1"/>
  <c r="DQ19" i="37" s="1"/>
  <c r="DQ11" i="37" s="1"/>
  <c r="DK19" i="37"/>
  <c r="DL19" i="37" s="1"/>
  <c r="DM19" i="37" s="1"/>
  <c r="DM11" i="37" s="1"/>
  <c r="DG19" i="37"/>
  <c r="DH19" i="37" s="1"/>
  <c r="DI19" i="37" s="1"/>
  <c r="DI11" i="37" s="1"/>
  <c r="DC19" i="37"/>
  <c r="DD19" i="37" s="1"/>
  <c r="DE19" i="37" s="1"/>
  <c r="DE11" i="37" s="1"/>
  <c r="CY19" i="37"/>
  <c r="CZ19" i="37" s="1"/>
  <c r="DA19" i="37" s="1"/>
  <c r="DA11" i="37" s="1"/>
  <c r="CU19" i="37"/>
  <c r="CV19" i="37" s="1"/>
  <c r="CW19" i="37" s="1"/>
  <c r="CW11" i="37" s="1"/>
  <c r="CQ19" i="37"/>
  <c r="CR19" i="37" s="1"/>
  <c r="CS19" i="37" s="1"/>
  <c r="CS11" i="37" s="1"/>
  <c r="CM19" i="37"/>
  <c r="CN19" i="37" s="1"/>
  <c r="CO19" i="37" s="1"/>
  <c r="CO11" i="37" s="1"/>
  <c r="CI19" i="37"/>
  <c r="CJ19" i="37" s="1"/>
  <c r="CK19" i="37" s="1"/>
  <c r="CK11" i="37" s="1"/>
  <c r="CE19" i="37"/>
  <c r="CF19" i="37" s="1"/>
  <c r="CG19" i="37" s="1"/>
  <c r="CG11" i="37" s="1"/>
  <c r="CA19" i="37"/>
  <c r="CB19" i="37" s="1"/>
  <c r="CC19" i="37" s="1"/>
  <c r="CC11" i="37" s="1"/>
  <c r="BW19" i="37"/>
  <c r="BX19" i="37" s="1"/>
  <c r="BY19" i="37" s="1"/>
  <c r="BY11" i="37" s="1"/>
  <c r="BS19" i="37"/>
  <c r="BT19" i="37" s="1"/>
  <c r="BU19" i="37" s="1"/>
  <c r="BU11" i="37" s="1"/>
  <c r="BO19" i="37"/>
  <c r="BP19" i="37" s="1"/>
  <c r="BQ19" i="37" s="1"/>
  <c r="BQ11" i="37" s="1"/>
  <c r="BK19" i="37"/>
  <c r="BL19" i="37" s="1"/>
  <c r="BM19" i="37" s="1"/>
  <c r="BM11" i="37" s="1"/>
  <c r="BG19" i="37"/>
  <c r="BH19" i="37" s="1"/>
  <c r="BI19" i="37" s="1"/>
  <c r="BI11" i="37" s="1"/>
  <c r="BC19" i="37"/>
  <c r="BD19" i="37" s="1"/>
  <c r="BE19" i="37" s="1"/>
  <c r="BE11" i="37" s="1"/>
  <c r="AY19" i="37"/>
  <c r="AZ19" i="37" s="1"/>
  <c r="BA19" i="37" s="1"/>
  <c r="BA11" i="37" s="1"/>
  <c r="HV207" i="37" l="1"/>
  <c r="HV212" i="37" s="1"/>
  <c r="HN207" i="37"/>
  <c r="HN212" i="37" s="1"/>
  <c r="HF207" i="37"/>
  <c r="HF212" i="37" s="1"/>
  <c r="GX207" i="37"/>
  <c r="GX212" i="37" s="1"/>
  <c r="GP207" i="37"/>
  <c r="GP212" i="37" s="1"/>
  <c r="GH207" i="37"/>
  <c r="GH212" i="37" s="1"/>
  <c r="FZ207" i="37"/>
  <c r="FZ212" i="37" s="1"/>
  <c r="FR207" i="37"/>
  <c r="FR212" i="37" s="1"/>
  <c r="FJ207" i="37"/>
  <c r="FJ212" i="37" s="1"/>
  <c r="FB207" i="37"/>
  <c r="FB212" i="37" s="1"/>
  <c r="ET207" i="37"/>
  <c r="ET212" i="37" s="1"/>
  <c r="EL207" i="37"/>
  <c r="EL212" i="37" s="1"/>
  <c r="ED207" i="37"/>
  <c r="ED212" i="37" s="1"/>
  <c r="DV207" i="37"/>
  <c r="DV212" i="37" s="1"/>
  <c r="DN207" i="37"/>
  <c r="DN212" i="37" s="1"/>
  <c r="DF207" i="37"/>
  <c r="DF212" i="37" s="1"/>
  <c r="CX207" i="37"/>
  <c r="CX212" i="37" s="1"/>
  <c r="CP207" i="37"/>
  <c r="CP212" i="37" s="1"/>
  <c r="CH207" i="37"/>
  <c r="CH212" i="37" s="1"/>
  <c r="BZ207" i="37"/>
  <c r="BZ212" i="37" s="1"/>
  <c r="BR207" i="37"/>
  <c r="BR212" i="37" s="1"/>
  <c r="HI207" i="37"/>
  <c r="HI212" i="37" s="1"/>
  <c r="FU207" i="37"/>
  <c r="FU212" i="37" s="1"/>
  <c r="EG207" i="37"/>
  <c r="EG212" i="37" s="1"/>
  <c r="DA207" i="37"/>
  <c r="DA212" i="37" s="1"/>
  <c r="FS207" i="37"/>
  <c r="FS212" i="37" s="1"/>
  <c r="DG207" i="37"/>
  <c r="DG212" i="37" s="1"/>
  <c r="BS207" i="37"/>
  <c r="BS212" i="37" s="1"/>
  <c r="HU207" i="37"/>
  <c r="HU212" i="37" s="1"/>
  <c r="HM207" i="37"/>
  <c r="HM212" i="37" s="1"/>
  <c r="HE207" i="37"/>
  <c r="HE212" i="37" s="1"/>
  <c r="GW207" i="37"/>
  <c r="GW212" i="37" s="1"/>
  <c r="GO207" i="37"/>
  <c r="GO212" i="37" s="1"/>
  <c r="GG207" i="37"/>
  <c r="GG212" i="37" s="1"/>
  <c r="FY207" i="37"/>
  <c r="FY212" i="37" s="1"/>
  <c r="FQ207" i="37"/>
  <c r="FQ212" i="37" s="1"/>
  <c r="FI207" i="37"/>
  <c r="FI212" i="37" s="1"/>
  <c r="FA207" i="37"/>
  <c r="FA212" i="37" s="1"/>
  <c r="ES207" i="37"/>
  <c r="ES212" i="37" s="1"/>
  <c r="EK207" i="37"/>
  <c r="EK212" i="37" s="1"/>
  <c r="EC207" i="37"/>
  <c r="EC212" i="37" s="1"/>
  <c r="DU207" i="37"/>
  <c r="DU212" i="37" s="1"/>
  <c r="DM207" i="37"/>
  <c r="DM212" i="37" s="1"/>
  <c r="DE207" i="37"/>
  <c r="DE212" i="37" s="1"/>
  <c r="CW207" i="37"/>
  <c r="CW212" i="37" s="1"/>
  <c r="CO207" i="37"/>
  <c r="CO212" i="37" s="1"/>
  <c r="CG207" i="37"/>
  <c r="CG212" i="37" s="1"/>
  <c r="BY207" i="37"/>
  <c r="BY212" i="37" s="1"/>
  <c r="BQ207" i="37"/>
  <c r="BQ212" i="37" s="1"/>
  <c r="GS207" i="37"/>
  <c r="GS212" i="37" s="1"/>
  <c r="EO207" i="37"/>
  <c r="EO212" i="37" s="1"/>
  <c r="CK207" i="37"/>
  <c r="CK212" i="37" s="1"/>
  <c r="EU207" i="37"/>
  <c r="EU212" i="37" s="1"/>
  <c r="CQ207" i="37"/>
  <c r="CQ212" i="37" s="1"/>
  <c r="HT207" i="37"/>
  <c r="HT212" i="37" s="1"/>
  <c r="HL207" i="37"/>
  <c r="HL212" i="37" s="1"/>
  <c r="HD207" i="37"/>
  <c r="HD212" i="37" s="1"/>
  <c r="GV207" i="37"/>
  <c r="GV212" i="37" s="1"/>
  <c r="GN207" i="37"/>
  <c r="GN212" i="37" s="1"/>
  <c r="GF207" i="37"/>
  <c r="GF212" i="37" s="1"/>
  <c r="FX207" i="37"/>
  <c r="FX212" i="37" s="1"/>
  <c r="FP207" i="37"/>
  <c r="FP212" i="37" s="1"/>
  <c r="FH207" i="37"/>
  <c r="FH212" i="37" s="1"/>
  <c r="EZ207" i="37"/>
  <c r="EZ212" i="37" s="1"/>
  <c r="ER207" i="37"/>
  <c r="ER212" i="37" s="1"/>
  <c r="EJ207" i="37"/>
  <c r="EJ212" i="37" s="1"/>
  <c r="EB207" i="37"/>
  <c r="EB212" i="37" s="1"/>
  <c r="DT207" i="37"/>
  <c r="DT212" i="37" s="1"/>
  <c r="DL207" i="37"/>
  <c r="DL212" i="37" s="1"/>
  <c r="DD207" i="37"/>
  <c r="DD212" i="37" s="1"/>
  <c r="CV207" i="37"/>
  <c r="CV212" i="37" s="1"/>
  <c r="CN207" i="37"/>
  <c r="CN212" i="37" s="1"/>
  <c r="CF207" i="37"/>
  <c r="CF212" i="37" s="1"/>
  <c r="BX207" i="37"/>
  <c r="BX212" i="37" s="1"/>
  <c r="BP207" i="37"/>
  <c r="BP212" i="37" s="1"/>
  <c r="HA207" i="37"/>
  <c r="HA212" i="37" s="1"/>
  <c r="FM207" i="37"/>
  <c r="FM212" i="37" s="1"/>
  <c r="DQ207" i="37"/>
  <c r="DQ212" i="37" s="1"/>
  <c r="CC207" i="37"/>
  <c r="CC212" i="37" s="1"/>
  <c r="FK207" i="37"/>
  <c r="FK212" i="37" s="1"/>
  <c r="CY207" i="37"/>
  <c r="CY212" i="37" s="1"/>
  <c r="IA207" i="37"/>
  <c r="IA212" i="37" s="1"/>
  <c r="HS207" i="37"/>
  <c r="HS212" i="37" s="1"/>
  <c r="HK207" i="37"/>
  <c r="HK212" i="37" s="1"/>
  <c r="HC207" i="37"/>
  <c r="HC212" i="37" s="1"/>
  <c r="GU207" i="37"/>
  <c r="GU212" i="37" s="1"/>
  <c r="GM207" i="37"/>
  <c r="GM212" i="37" s="1"/>
  <c r="GE207" i="37"/>
  <c r="GE212" i="37" s="1"/>
  <c r="FW207" i="37"/>
  <c r="FW212" i="37" s="1"/>
  <c r="FO207" i="37"/>
  <c r="FO212" i="37" s="1"/>
  <c r="FG207" i="37"/>
  <c r="FG212" i="37" s="1"/>
  <c r="EY207" i="37"/>
  <c r="EY212" i="37" s="1"/>
  <c r="EQ207" i="37"/>
  <c r="EQ212" i="37" s="1"/>
  <c r="EI207" i="37"/>
  <c r="EI212" i="37" s="1"/>
  <c r="EA207" i="37"/>
  <c r="EA212" i="37" s="1"/>
  <c r="DS207" i="37"/>
  <c r="DS212" i="37" s="1"/>
  <c r="DK207" i="37"/>
  <c r="DK212" i="37" s="1"/>
  <c r="DC207" i="37"/>
  <c r="DC212" i="37" s="1"/>
  <c r="CU207" i="37"/>
  <c r="CU212" i="37" s="1"/>
  <c r="CM207" i="37"/>
  <c r="CM212" i="37" s="1"/>
  <c r="CE207" i="37"/>
  <c r="CE212" i="37" s="1"/>
  <c r="BW207" i="37"/>
  <c r="BW212" i="37" s="1"/>
  <c r="BO207" i="37"/>
  <c r="BO212" i="37" s="1"/>
  <c r="HQ207" i="37"/>
  <c r="HQ212" i="37" s="1"/>
  <c r="GC207" i="37"/>
  <c r="GC212" i="37" s="1"/>
  <c r="EW207" i="37"/>
  <c r="EW212" i="37" s="1"/>
  <c r="DI207" i="37"/>
  <c r="DI212" i="37" s="1"/>
  <c r="BU207" i="37"/>
  <c r="BU212" i="37" s="1"/>
  <c r="GA207" i="37"/>
  <c r="GA212" i="37" s="1"/>
  <c r="DO207" i="37"/>
  <c r="DO212" i="37" s="1"/>
  <c r="HZ207" i="37"/>
  <c r="HZ212" i="37" s="1"/>
  <c r="HR207" i="37"/>
  <c r="HR212" i="37" s="1"/>
  <c r="HJ207" i="37"/>
  <c r="HJ212" i="37" s="1"/>
  <c r="HB207" i="37"/>
  <c r="HB212" i="37" s="1"/>
  <c r="GT207" i="37"/>
  <c r="GT212" i="37" s="1"/>
  <c r="GL207" i="37"/>
  <c r="GL212" i="37" s="1"/>
  <c r="GD207" i="37"/>
  <c r="GD212" i="37" s="1"/>
  <c r="FV207" i="37"/>
  <c r="FV212" i="37" s="1"/>
  <c r="FN207" i="37"/>
  <c r="FN212" i="37" s="1"/>
  <c r="FF207" i="37"/>
  <c r="FF212" i="37" s="1"/>
  <c r="EX207" i="37"/>
  <c r="EX212" i="37" s="1"/>
  <c r="EP207" i="37"/>
  <c r="EP212" i="37" s="1"/>
  <c r="EH207" i="37"/>
  <c r="EH212" i="37" s="1"/>
  <c r="DZ207" i="37"/>
  <c r="DZ212" i="37" s="1"/>
  <c r="DR207" i="37"/>
  <c r="DR212" i="37" s="1"/>
  <c r="DJ207" i="37"/>
  <c r="DJ212" i="37" s="1"/>
  <c r="DB207" i="37"/>
  <c r="DB212" i="37" s="1"/>
  <c r="CT207" i="37"/>
  <c r="CT212" i="37" s="1"/>
  <c r="CL207" i="37"/>
  <c r="CL212" i="37" s="1"/>
  <c r="CD207" i="37"/>
  <c r="CD212" i="37" s="1"/>
  <c r="BV207" i="37"/>
  <c r="BV212" i="37" s="1"/>
  <c r="HY207" i="37"/>
  <c r="HY212" i="37" s="1"/>
  <c r="GK207" i="37"/>
  <c r="GK212" i="37" s="1"/>
  <c r="FE207" i="37"/>
  <c r="FE212" i="37" s="1"/>
  <c r="DY207" i="37"/>
  <c r="DY212" i="37" s="1"/>
  <c r="CS207" i="37"/>
  <c r="CS212" i="37" s="1"/>
  <c r="GI207" i="37"/>
  <c r="GI212" i="37" s="1"/>
  <c r="DW207" i="37"/>
  <c r="DW212" i="37" s="1"/>
  <c r="CA207" i="37"/>
  <c r="CA212" i="37" s="1"/>
  <c r="HX207" i="37"/>
  <c r="HX212" i="37" s="1"/>
  <c r="HP207" i="37"/>
  <c r="HP212" i="37" s="1"/>
  <c r="HH207" i="37"/>
  <c r="HH212" i="37" s="1"/>
  <c r="GZ207" i="37"/>
  <c r="GZ212" i="37" s="1"/>
  <c r="GR207" i="37"/>
  <c r="GR212" i="37" s="1"/>
  <c r="GJ207" i="37"/>
  <c r="GJ212" i="37" s="1"/>
  <c r="GB207" i="37"/>
  <c r="GB212" i="37" s="1"/>
  <c r="FT207" i="37"/>
  <c r="FT212" i="37" s="1"/>
  <c r="FL207" i="37"/>
  <c r="FL212" i="37" s="1"/>
  <c r="FD207" i="37"/>
  <c r="FD212" i="37" s="1"/>
  <c r="EV207" i="37"/>
  <c r="EV212" i="37" s="1"/>
  <c r="EN207" i="37"/>
  <c r="EN212" i="37" s="1"/>
  <c r="EF207" i="37"/>
  <c r="EF212" i="37" s="1"/>
  <c r="DX207" i="37"/>
  <c r="DX212" i="37" s="1"/>
  <c r="DP207" i="37"/>
  <c r="DP212" i="37" s="1"/>
  <c r="DH207" i="37"/>
  <c r="DH212" i="37" s="1"/>
  <c r="CZ207" i="37"/>
  <c r="CZ212" i="37" s="1"/>
  <c r="CR207" i="37"/>
  <c r="CR212" i="37" s="1"/>
  <c r="CJ207" i="37"/>
  <c r="CJ212" i="37" s="1"/>
  <c r="CB207" i="37"/>
  <c r="CB212" i="37" s="1"/>
  <c r="BT207" i="37"/>
  <c r="BT212" i="37" s="1"/>
  <c r="HW207" i="37"/>
  <c r="HW212" i="37" s="1"/>
  <c r="HO207" i="37"/>
  <c r="HO212" i="37" s="1"/>
  <c r="HG207" i="37"/>
  <c r="HG212" i="37" s="1"/>
  <c r="GY207" i="37"/>
  <c r="GY212" i="37" s="1"/>
  <c r="GQ207" i="37"/>
  <c r="GQ212" i="37" s="1"/>
  <c r="FC207" i="37"/>
  <c r="FC212" i="37" s="1"/>
  <c r="EM207" i="37"/>
  <c r="EM212" i="37" s="1"/>
  <c r="EE207" i="37"/>
  <c r="EE212" i="37" s="1"/>
  <c r="CI207" i="37"/>
  <c r="CI212" i="37" s="1"/>
  <c r="CA142" i="37"/>
  <c r="CA210" i="37"/>
  <c r="CF142" i="37"/>
  <c r="CF210" i="37"/>
  <c r="CE142" i="37"/>
  <c r="CE210" i="37"/>
  <c r="BV142" i="37"/>
  <c r="BV210" i="37"/>
  <c r="BR142" i="37"/>
  <c r="BR210" i="37"/>
  <c r="CG142" i="37"/>
  <c r="CG210" i="37"/>
  <c r="BX142" i="37"/>
  <c r="BX210" i="37"/>
  <c r="BW142" i="37"/>
  <c r="BW210" i="37"/>
  <c r="CD142" i="37"/>
  <c r="CD210" i="37"/>
  <c r="BY142" i="37"/>
  <c r="BY210" i="37"/>
  <c r="BP142" i="37"/>
  <c r="BP210" i="37"/>
  <c r="BO142" i="37"/>
  <c r="BO210" i="37"/>
  <c r="BQ142" i="37"/>
  <c r="BQ210" i="37"/>
  <c r="CB142" i="37"/>
  <c r="CB210" i="37"/>
  <c r="CC142" i="37"/>
  <c r="CC210" i="37"/>
  <c r="BS142" i="37"/>
  <c r="BS210" i="37"/>
  <c r="BT142" i="37"/>
  <c r="BT210" i="37"/>
  <c r="BU142" i="37"/>
  <c r="BU210" i="37"/>
  <c r="FA116" i="37"/>
  <c r="FA130" i="37"/>
  <c r="DN116" i="37"/>
  <c r="DN130" i="37"/>
  <c r="BM116" i="37"/>
  <c r="BM130" i="37"/>
  <c r="CS116" i="37"/>
  <c r="CS130" i="37"/>
  <c r="DY116" i="37"/>
  <c r="DY130" i="37"/>
  <c r="FE116" i="37"/>
  <c r="FE130" i="37"/>
  <c r="GK116" i="37"/>
  <c r="GK130" i="37"/>
  <c r="HQ116" i="37"/>
  <c r="HQ130" i="37"/>
  <c r="Z116" i="37"/>
  <c r="Z130" i="37"/>
  <c r="BF116" i="37"/>
  <c r="BF130" i="37"/>
  <c r="CL116" i="37"/>
  <c r="CL130" i="37"/>
  <c r="DR116" i="37"/>
  <c r="DR130" i="37"/>
  <c r="EX116" i="37"/>
  <c r="EX130" i="37"/>
  <c r="GD116" i="37"/>
  <c r="GD130" i="37"/>
  <c r="HJ116" i="37"/>
  <c r="HJ130" i="37"/>
  <c r="BI116" i="37"/>
  <c r="BI130" i="37"/>
  <c r="V116" i="37"/>
  <c r="V130" i="37"/>
  <c r="BQ116" i="37"/>
  <c r="BQ130" i="37"/>
  <c r="CW116" i="37"/>
  <c r="CW130" i="37"/>
  <c r="EC116" i="37"/>
  <c r="EC130" i="37"/>
  <c r="FI116" i="37"/>
  <c r="FI130" i="37"/>
  <c r="GO116" i="37"/>
  <c r="GO130" i="37"/>
  <c r="HU116" i="37"/>
  <c r="HU130" i="37"/>
  <c r="AD116" i="37"/>
  <c r="AD130" i="37"/>
  <c r="BJ116" i="37"/>
  <c r="BJ130" i="37"/>
  <c r="CP116" i="37"/>
  <c r="CP130" i="37"/>
  <c r="DV116" i="37"/>
  <c r="DV130" i="37"/>
  <c r="FB116" i="37"/>
  <c r="FB130" i="37"/>
  <c r="GH116" i="37"/>
  <c r="GH130" i="37"/>
  <c r="HN116" i="37"/>
  <c r="HN130" i="37"/>
  <c r="GG116" i="37"/>
  <c r="GG130" i="37"/>
  <c r="HF116" i="37"/>
  <c r="HF130" i="37"/>
  <c r="BU116" i="37"/>
  <c r="BU130" i="37"/>
  <c r="DA116" i="37"/>
  <c r="DA130" i="37"/>
  <c r="EG116" i="37"/>
  <c r="EG130" i="37"/>
  <c r="FM116" i="37"/>
  <c r="FM130" i="37"/>
  <c r="GS116" i="37"/>
  <c r="GS130" i="37"/>
  <c r="HY116" i="37"/>
  <c r="HY130" i="37"/>
  <c r="AH116" i="37"/>
  <c r="AH130" i="37"/>
  <c r="BN116" i="37"/>
  <c r="BN130" i="37"/>
  <c r="CT116" i="37"/>
  <c r="CT130" i="37"/>
  <c r="DZ116" i="37"/>
  <c r="DZ130" i="37"/>
  <c r="FF116" i="37"/>
  <c r="FF130" i="37"/>
  <c r="GL116" i="37"/>
  <c r="GL130" i="37"/>
  <c r="HR116" i="37"/>
  <c r="HR130" i="37"/>
  <c r="CH116" i="37"/>
  <c r="CH130" i="37"/>
  <c r="BY116" i="37"/>
  <c r="BY130" i="37"/>
  <c r="DE116" i="37"/>
  <c r="DE130" i="37"/>
  <c r="EK116" i="37"/>
  <c r="EK130" i="37"/>
  <c r="FQ116" i="37"/>
  <c r="FQ130" i="37"/>
  <c r="GW116" i="37"/>
  <c r="GW130" i="37"/>
  <c r="AL116" i="37"/>
  <c r="AL130" i="37"/>
  <c r="BR116" i="37"/>
  <c r="BR130" i="37"/>
  <c r="CX116" i="37"/>
  <c r="CX130" i="37"/>
  <c r="ED116" i="37"/>
  <c r="ED130" i="37"/>
  <c r="FJ116" i="37"/>
  <c r="FJ130" i="37"/>
  <c r="GP116" i="37"/>
  <c r="GP130" i="37"/>
  <c r="HV116" i="37"/>
  <c r="HV130" i="37"/>
  <c r="DU116" i="37"/>
  <c r="DU130" i="37"/>
  <c r="ET116" i="37"/>
  <c r="ET130" i="37"/>
  <c r="CC116" i="37"/>
  <c r="CC130" i="37"/>
  <c r="DI116" i="37"/>
  <c r="DI130" i="37"/>
  <c r="EO116" i="37"/>
  <c r="EO130" i="37"/>
  <c r="FU116" i="37"/>
  <c r="FU130" i="37"/>
  <c r="HA116" i="37"/>
  <c r="HA130" i="37"/>
  <c r="J116" i="37"/>
  <c r="J130" i="37"/>
  <c r="AP116" i="37"/>
  <c r="AP130" i="37"/>
  <c r="BV116" i="37"/>
  <c r="BV130" i="37"/>
  <c r="DB116" i="37"/>
  <c r="DB130" i="37"/>
  <c r="EH116" i="37"/>
  <c r="EH130" i="37"/>
  <c r="FN116" i="37"/>
  <c r="FN130" i="37"/>
  <c r="GT116" i="37"/>
  <c r="GT130" i="37"/>
  <c r="HZ116" i="37"/>
  <c r="HZ130" i="37"/>
  <c r="HM116" i="37"/>
  <c r="HM130" i="37"/>
  <c r="FZ116" i="37"/>
  <c r="FZ130" i="37"/>
  <c r="BA116" i="37"/>
  <c r="BA130" i="37"/>
  <c r="CG116" i="37"/>
  <c r="CG130" i="37"/>
  <c r="DM116" i="37"/>
  <c r="DM130" i="37"/>
  <c r="ES116" i="37"/>
  <c r="ES130" i="37"/>
  <c r="FY116" i="37"/>
  <c r="FY130" i="37"/>
  <c r="HE116" i="37"/>
  <c r="HE130" i="37"/>
  <c r="N116" i="37"/>
  <c r="N130" i="37"/>
  <c r="AT116" i="37"/>
  <c r="AT130" i="37"/>
  <c r="BZ116" i="37"/>
  <c r="BZ130" i="37"/>
  <c r="DF116" i="37"/>
  <c r="DF130" i="37"/>
  <c r="EL116" i="37"/>
  <c r="EL130" i="37"/>
  <c r="FR116" i="37"/>
  <c r="FR130" i="37"/>
  <c r="GX116" i="37"/>
  <c r="GX130" i="37"/>
  <c r="CO116" i="37"/>
  <c r="CO130" i="37"/>
  <c r="BB116" i="37"/>
  <c r="BB130" i="37"/>
  <c r="BE116" i="37"/>
  <c r="BE130" i="37"/>
  <c r="CK116" i="37"/>
  <c r="CK130" i="37"/>
  <c r="DQ116" i="37"/>
  <c r="DQ130" i="37"/>
  <c r="EW116" i="37"/>
  <c r="EW130" i="37"/>
  <c r="GC116" i="37"/>
  <c r="GC130" i="37"/>
  <c r="HI116" i="37"/>
  <c r="HI130" i="37"/>
  <c r="R116" i="37"/>
  <c r="R130" i="37"/>
  <c r="AX116" i="37"/>
  <c r="AX130" i="37"/>
  <c r="CD116" i="37"/>
  <c r="CD130" i="37"/>
  <c r="DJ116" i="37"/>
  <c r="DJ130" i="37"/>
  <c r="EP116" i="37"/>
  <c r="EP130" i="37"/>
  <c r="FV116" i="37"/>
  <c r="FV130" i="37"/>
  <c r="HB116" i="37"/>
  <c r="HB130" i="37"/>
  <c r="HW139" i="37"/>
  <c r="HW144" i="37" s="1"/>
  <c r="HO139" i="37"/>
  <c r="HO144" i="37" s="1"/>
  <c r="HG139" i="37"/>
  <c r="HG144" i="37" s="1"/>
  <c r="GY139" i="37"/>
  <c r="GY144" i="37" s="1"/>
  <c r="GQ139" i="37"/>
  <c r="GQ144" i="37" s="1"/>
  <c r="GI139" i="37"/>
  <c r="GI144" i="37" s="1"/>
  <c r="GA139" i="37"/>
  <c r="GA144" i="37" s="1"/>
  <c r="FS139" i="37"/>
  <c r="FS144" i="37" s="1"/>
  <c r="FK139" i="37"/>
  <c r="FK144" i="37" s="1"/>
  <c r="FC139" i="37"/>
  <c r="FC144" i="37" s="1"/>
  <c r="EU139" i="37"/>
  <c r="EU144" i="37" s="1"/>
  <c r="EM139" i="37"/>
  <c r="EM144" i="37" s="1"/>
  <c r="EE139" i="37"/>
  <c r="EE144" i="37" s="1"/>
  <c r="DW139" i="37"/>
  <c r="DW144" i="37" s="1"/>
  <c r="DO139" i="37"/>
  <c r="DO144" i="37" s="1"/>
  <c r="DG139" i="37"/>
  <c r="DG144" i="37" s="1"/>
  <c r="CY139" i="37"/>
  <c r="CY144" i="37" s="1"/>
  <c r="HV139" i="37"/>
  <c r="HV144" i="37" s="1"/>
  <c r="IA139" i="37"/>
  <c r="IA144" i="37" s="1"/>
  <c r="HS139" i="37"/>
  <c r="HS144" i="37" s="1"/>
  <c r="HK139" i="37"/>
  <c r="HK144" i="37" s="1"/>
  <c r="HC139" i="37"/>
  <c r="HC144" i="37" s="1"/>
  <c r="GU139" i="37"/>
  <c r="GU144" i="37" s="1"/>
  <c r="GM139" i="37"/>
  <c r="GM144" i="37" s="1"/>
  <c r="GE139" i="37"/>
  <c r="GE144" i="37" s="1"/>
  <c r="FW139" i="37"/>
  <c r="FW144" i="37" s="1"/>
  <c r="FO139" i="37"/>
  <c r="FO144" i="37" s="1"/>
  <c r="FG139" i="37"/>
  <c r="FG144" i="37" s="1"/>
  <c r="EY139" i="37"/>
  <c r="EY144" i="37" s="1"/>
  <c r="EQ139" i="37"/>
  <c r="EQ144" i="37" s="1"/>
  <c r="EI139" i="37"/>
  <c r="EI144" i="37" s="1"/>
  <c r="EA139" i="37"/>
  <c r="EA144" i="37" s="1"/>
  <c r="DS139" i="37"/>
  <c r="DS144" i="37" s="1"/>
  <c r="DK139" i="37"/>
  <c r="DK144" i="37" s="1"/>
  <c r="HZ139" i="37"/>
  <c r="HZ144" i="37" s="1"/>
  <c r="HR139" i="37"/>
  <c r="HR144" i="37" s="1"/>
  <c r="HQ139" i="37"/>
  <c r="HQ144" i="37" s="1"/>
  <c r="HF139" i="37"/>
  <c r="HF144" i="37" s="1"/>
  <c r="GV139" i="37"/>
  <c r="GV144" i="37" s="1"/>
  <c r="GK139" i="37"/>
  <c r="GK144" i="37" s="1"/>
  <c r="FZ139" i="37"/>
  <c r="FZ144" i="37" s="1"/>
  <c r="FP139" i="37"/>
  <c r="FP144" i="37" s="1"/>
  <c r="FE139" i="37"/>
  <c r="FE144" i="37" s="1"/>
  <c r="ET139" i="37"/>
  <c r="ET144" i="37" s="1"/>
  <c r="EJ139" i="37"/>
  <c r="EJ144" i="37" s="1"/>
  <c r="DY139" i="37"/>
  <c r="DY144" i="37" s="1"/>
  <c r="DN139" i="37"/>
  <c r="DN144" i="37" s="1"/>
  <c r="DD139" i="37"/>
  <c r="DD144" i="37" s="1"/>
  <c r="CU139" i="37"/>
  <c r="CU144" i="37" s="1"/>
  <c r="CM139" i="37"/>
  <c r="CM144" i="37" s="1"/>
  <c r="CE139" i="37"/>
  <c r="CE144" i="37" s="1"/>
  <c r="BW139" i="37"/>
  <c r="BW144" i="37" s="1"/>
  <c r="BO139" i="37"/>
  <c r="BO144" i="37" s="1"/>
  <c r="HP139" i="37"/>
  <c r="HP144" i="37" s="1"/>
  <c r="HE139" i="37"/>
  <c r="HE144" i="37" s="1"/>
  <c r="GT139" i="37"/>
  <c r="GT144" i="37" s="1"/>
  <c r="GJ139" i="37"/>
  <c r="GJ144" i="37" s="1"/>
  <c r="FY139" i="37"/>
  <c r="FY144" i="37" s="1"/>
  <c r="FN139" i="37"/>
  <c r="FN144" i="37" s="1"/>
  <c r="FD139" i="37"/>
  <c r="FD144" i="37" s="1"/>
  <c r="ES139" i="37"/>
  <c r="ES144" i="37" s="1"/>
  <c r="EH139" i="37"/>
  <c r="EH144" i="37" s="1"/>
  <c r="DX139" i="37"/>
  <c r="DX144" i="37" s="1"/>
  <c r="DM139" i="37"/>
  <c r="DM144" i="37" s="1"/>
  <c r="DC139" i="37"/>
  <c r="DC144" i="37" s="1"/>
  <c r="CT139" i="37"/>
  <c r="CT144" i="37" s="1"/>
  <c r="CL139" i="37"/>
  <c r="CL144" i="37" s="1"/>
  <c r="CD139" i="37"/>
  <c r="CD144" i="37" s="1"/>
  <c r="BV139" i="37"/>
  <c r="BV144" i="37" s="1"/>
  <c r="HN139" i="37"/>
  <c r="HN144" i="37" s="1"/>
  <c r="HD139" i="37"/>
  <c r="HD144" i="37" s="1"/>
  <c r="GS139" i="37"/>
  <c r="GS144" i="37" s="1"/>
  <c r="GH139" i="37"/>
  <c r="GH144" i="37" s="1"/>
  <c r="FX139" i="37"/>
  <c r="FX144" i="37" s="1"/>
  <c r="FM139" i="37"/>
  <c r="FM144" i="37" s="1"/>
  <c r="FB139" i="37"/>
  <c r="FB144" i="37" s="1"/>
  <c r="ER139" i="37"/>
  <c r="ER144" i="37" s="1"/>
  <c r="EG139" i="37"/>
  <c r="EG144" i="37" s="1"/>
  <c r="DV139" i="37"/>
  <c r="DV144" i="37" s="1"/>
  <c r="DL139" i="37"/>
  <c r="DL144" i="37" s="1"/>
  <c r="DB139" i="37"/>
  <c r="DB144" i="37" s="1"/>
  <c r="CS139" i="37"/>
  <c r="CS144" i="37" s="1"/>
  <c r="CK139" i="37"/>
  <c r="CK144" i="37" s="1"/>
  <c r="CC139" i="37"/>
  <c r="CC144" i="37" s="1"/>
  <c r="BU139" i="37"/>
  <c r="BU144" i="37" s="1"/>
  <c r="HY139" i="37"/>
  <c r="HY144" i="37" s="1"/>
  <c r="HL139" i="37"/>
  <c r="HL144" i="37" s="1"/>
  <c r="HA139" i="37"/>
  <c r="HA144" i="37" s="1"/>
  <c r="GP139" i="37"/>
  <c r="GP144" i="37" s="1"/>
  <c r="GF139" i="37"/>
  <c r="GF144" i="37" s="1"/>
  <c r="FU139" i="37"/>
  <c r="FU144" i="37" s="1"/>
  <c r="FJ139" i="37"/>
  <c r="FJ144" i="37" s="1"/>
  <c r="EZ139" i="37"/>
  <c r="EZ144" i="37" s="1"/>
  <c r="EO139" i="37"/>
  <c r="EO144" i="37" s="1"/>
  <c r="ED139" i="37"/>
  <c r="ED144" i="37" s="1"/>
  <c r="DT139" i="37"/>
  <c r="DT144" i="37" s="1"/>
  <c r="DI139" i="37"/>
  <c r="DI144" i="37" s="1"/>
  <c r="CZ139" i="37"/>
  <c r="CZ144" i="37" s="1"/>
  <c r="CQ139" i="37"/>
  <c r="CQ144" i="37" s="1"/>
  <c r="CI139" i="37"/>
  <c r="CI144" i="37" s="1"/>
  <c r="CA139" i="37"/>
  <c r="CA144" i="37" s="1"/>
  <c r="BS139" i="37"/>
  <c r="BS144" i="37" s="1"/>
  <c r="HX139" i="37"/>
  <c r="HX144" i="37" s="1"/>
  <c r="HJ139" i="37"/>
  <c r="HJ144" i="37" s="1"/>
  <c r="GZ139" i="37"/>
  <c r="GZ144" i="37" s="1"/>
  <c r="GO139" i="37"/>
  <c r="GO144" i="37" s="1"/>
  <c r="GD139" i="37"/>
  <c r="GD144" i="37" s="1"/>
  <c r="FT139" i="37"/>
  <c r="FT144" i="37" s="1"/>
  <c r="FI139" i="37"/>
  <c r="FI144" i="37" s="1"/>
  <c r="EX139" i="37"/>
  <c r="EX144" i="37" s="1"/>
  <c r="EN139" i="37"/>
  <c r="EN144" i="37" s="1"/>
  <c r="EC139" i="37"/>
  <c r="EC144" i="37" s="1"/>
  <c r="DR139" i="37"/>
  <c r="DR144" i="37" s="1"/>
  <c r="DH139" i="37"/>
  <c r="DH144" i="37" s="1"/>
  <c r="CX139" i="37"/>
  <c r="CX144" i="37" s="1"/>
  <c r="CP139" i="37"/>
  <c r="CP144" i="37" s="1"/>
  <c r="CH139" i="37"/>
  <c r="CH144" i="37" s="1"/>
  <c r="BZ139" i="37"/>
  <c r="BZ144" i="37" s="1"/>
  <c r="BR139" i="37"/>
  <c r="BR144" i="37" s="1"/>
  <c r="HB139" i="37"/>
  <c r="HB144" i="37" s="1"/>
  <c r="GB139" i="37"/>
  <c r="GB144" i="37" s="1"/>
  <c r="EW139" i="37"/>
  <c r="EW144" i="37" s="1"/>
  <c r="DU139" i="37"/>
  <c r="DU144" i="37" s="1"/>
  <c r="CV139" i="37"/>
  <c r="CV144" i="37" s="1"/>
  <c r="BY139" i="37"/>
  <c r="BY144" i="37" s="1"/>
  <c r="GX139" i="37"/>
  <c r="GX144" i="37" s="1"/>
  <c r="FV139" i="37"/>
  <c r="FV144" i="37" s="1"/>
  <c r="EV139" i="37"/>
  <c r="EV144" i="37" s="1"/>
  <c r="DQ139" i="37"/>
  <c r="DQ144" i="37" s="1"/>
  <c r="CR139" i="37"/>
  <c r="CR144" i="37" s="1"/>
  <c r="BX139" i="37"/>
  <c r="BX144" i="37" s="1"/>
  <c r="GW139" i="37"/>
  <c r="GW144" i="37" s="1"/>
  <c r="FR139" i="37"/>
  <c r="FR144" i="37" s="1"/>
  <c r="EP139" i="37"/>
  <c r="EP144" i="37" s="1"/>
  <c r="DP139" i="37"/>
  <c r="DP144" i="37" s="1"/>
  <c r="CO139" i="37"/>
  <c r="CO144" i="37" s="1"/>
  <c r="BT139" i="37"/>
  <c r="BT144" i="37" s="1"/>
  <c r="GN139" i="37"/>
  <c r="GN144" i="37" s="1"/>
  <c r="FA139" i="37"/>
  <c r="FA144" i="37" s="1"/>
  <c r="DE139" i="37"/>
  <c r="DE144" i="37" s="1"/>
  <c r="BQ139" i="37"/>
  <c r="BQ144" i="37" s="1"/>
  <c r="HU139" i="37"/>
  <c r="HU144" i="37" s="1"/>
  <c r="GG139" i="37"/>
  <c r="GG144" i="37" s="1"/>
  <c r="EK139" i="37"/>
  <c r="EK144" i="37" s="1"/>
  <c r="CW139" i="37"/>
  <c r="CW144" i="37" s="1"/>
  <c r="HT139" i="37"/>
  <c r="HT144" i="37" s="1"/>
  <c r="GC139" i="37"/>
  <c r="GC144" i="37" s="1"/>
  <c r="EF139" i="37"/>
  <c r="EF144" i="37" s="1"/>
  <c r="CN139" i="37"/>
  <c r="CN144" i="37" s="1"/>
  <c r="HM139" i="37"/>
  <c r="HM144" i="37" s="1"/>
  <c r="FQ139" i="37"/>
  <c r="FQ144" i="37" s="1"/>
  <c r="EB139" i="37"/>
  <c r="EB144" i="37" s="1"/>
  <c r="CJ139" i="37"/>
  <c r="CJ144" i="37" s="1"/>
  <c r="GR139" i="37"/>
  <c r="GR144" i="37" s="1"/>
  <c r="DF139" i="37"/>
  <c r="DF144" i="37" s="1"/>
  <c r="DZ139" i="37"/>
  <c r="DZ144" i="37" s="1"/>
  <c r="GL139" i="37"/>
  <c r="GL144" i="37" s="1"/>
  <c r="DA139" i="37"/>
  <c r="DA144" i="37" s="1"/>
  <c r="DJ139" i="37"/>
  <c r="DJ144" i="37" s="1"/>
  <c r="FL139" i="37"/>
  <c r="FL144" i="37" s="1"/>
  <c r="CG139" i="37"/>
  <c r="CG144" i="37" s="1"/>
  <c r="FH139" i="37"/>
  <c r="FH144" i="37" s="1"/>
  <c r="CF139" i="37"/>
  <c r="CF144" i="37" s="1"/>
  <c r="HI139" i="37"/>
  <c r="HI144" i="37" s="1"/>
  <c r="FF139" i="37"/>
  <c r="FF144" i="37" s="1"/>
  <c r="CB139" i="37"/>
  <c r="CB144" i="37" s="1"/>
  <c r="EL139" i="37"/>
  <c r="EL144" i="37" s="1"/>
  <c r="BP139" i="37"/>
  <c r="BP144" i="37" s="1"/>
  <c r="HH139" i="37"/>
  <c r="HH144" i="37" s="1"/>
  <c r="BQ114" i="37"/>
  <c r="IA51" i="37"/>
  <c r="IA56" i="37" s="1"/>
  <c r="HS51" i="37"/>
  <c r="HS56" i="37" s="1"/>
  <c r="HK51" i="37"/>
  <c r="HK56" i="37" s="1"/>
  <c r="HC51" i="37"/>
  <c r="HC56" i="37" s="1"/>
  <c r="GU51" i="37"/>
  <c r="GU56" i="37" s="1"/>
  <c r="GM51" i="37"/>
  <c r="GM56" i="37" s="1"/>
  <c r="GE51" i="37"/>
  <c r="GE56" i="37" s="1"/>
  <c r="FW51" i="37"/>
  <c r="FW56" i="37" s="1"/>
  <c r="HW51" i="37"/>
  <c r="HW56" i="37" s="1"/>
  <c r="HO51" i="37"/>
  <c r="HO56" i="37" s="1"/>
  <c r="HG51" i="37"/>
  <c r="HG56" i="37" s="1"/>
  <c r="GY51" i="37"/>
  <c r="GY56" i="37" s="1"/>
  <c r="GQ51" i="37"/>
  <c r="GQ56" i="37" s="1"/>
  <c r="GI51" i="37"/>
  <c r="GI56" i="37" s="1"/>
  <c r="GA51" i="37"/>
  <c r="GA56" i="37" s="1"/>
  <c r="HU51" i="37"/>
  <c r="HU56" i="37" s="1"/>
  <c r="HJ51" i="37"/>
  <c r="HJ56" i="37" s="1"/>
  <c r="GZ51" i="37"/>
  <c r="GZ56" i="37" s="1"/>
  <c r="GO51" i="37"/>
  <c r="GO56" i="37" s="1"/>
  <c r="GD51" i="37"/>
  <c r="GD56" i="37" s="1"/>
  <c r="FT51" i="37"/>
  <c r="FT56" i="37" s="1"/>
  <c r="FL51" i="37"/>
  <c r="FL56" i="37" s="1"/>
  <c r="FD51" i="37"/>
  <c r="FD56" i="37" s="1"/>
  <c r="EV51" i="37"/>
  <c r="EV56" i="37" s="1"/>
  <c r="EN51" i="37"/>
  <c r="EN56" i="37" s="1"/>
  <c r="EF51" i="37"/>
  <c r="EF56" i="37" s="1"/>
  <c r="DX51" i="37"/>
  <c r="DX56" i="37" s="1"/>
  <c r="DP51" i="37"/>
  <c r="DP56" i="37" s="1"/>
  <c r="DH51" i="37"/>
  <c r="DH56" i="37" s="1"/>
  <c r="CZ51" i="37"/>
  <c r="CZ56" i="37" s="1"/>
  <c r="CR51" i="37"/>
  <c r="CR56" i="37" s="1"/>
  <c r="CJ51" i="37"/>
  <c r="CJ56" i="37" s="1"/>
  <c r="CB51" i="37"/>
  <c r="CB56" i="37" s="1"/>
  <c r="BT51" i="37"/>
  <c r="BT56" i="37" s="1"/>
  <c r="HT51" i="37"/>
  <c r="HT56" i="37" s="1"/>
  <c r="HI51" i="37"/>
  <c r="HI56" i="37" s="1"/>
  <c r="GX51" i="37"/>
  <c r="GX56" i="37" s="1"/>
  <c r="GN51" i="37"/>
  <c r="GN56" i="37" s="1"/>
  <c r="GC51" i="37"/>
  <c r="GC56" i="37" s="1"/>
  <c r="FS51" i="37"/>
  <c r="FS56" i="37" s="1"/>
  <c r="FK51" i="37"/>
  <c r="FK56" i="37" s="1"/>
  <c r="FC51" i="37"/>
  <c r="FC56" i="37" s="1"/>
  <c r="EU51" i="37"/>
  <c r="EU56" i="37" s="1"/>
  <c r="EM51" i="37"/>
  <c r="EM56" i="37" s="1"/>
  <c r="EE51" i="37"/>
  <c r="EE56" i="37" s="1"/>
  <c r="DW51" i="37"/>
  <c r="DW56" i="37" s="1"/>
  <c r="DO51" i="37"/>
  <c r="DO56" i="37" s="1"/>
  <c r="DG51" i="37"/>
  <c r="DG56" i="37" s="1"/>
  <c r="CY51" i="37"/>
  <c r="CY56" i="37" s="1"/>
  <c r="CQ51" i="37"/>
  <c r="CQ56" i="37" s="1"/>
  <c r="CI51" i="37"/>
  <c r="CI56" i="37" s="1"/>
  <c r="CA51" i="37"/>
  <c r="CA56" i="37" s="1"/>
  <c r="BS51" i="37"/>
  <c r="BS56" i="37" s="1"/>
  <c r="HR51" i="37"/>
  <c r="HR56" i="37" s="1"/>
  <c r="HH51" i="37"/>
  <c r="HH56" i="37" s="1"/>
  <c r="GW51" i="37"/>
  <c r="GW56" i="37" s="1"/>
  <c r="GL51" i="37"/>
  <c r="GL56" i="37" s="1"/>
  <c r="GB51" i="37"/>
  <c r="GB56" i="37" s="1"/>
  <c r="FR51" i="37"/>
  <c r="FR56" i="37" s="1"/>
  <c r="FJ51" i="37"/>
  <c r="FJ56" i="37" s="1"/>
  <c r="FB51" i="37"/>
  <c r="FB56" i="37" s="1"/>
  <c r="ET51" i="37"/>
  <c r="ET56" i="37" s="1"/>
  <c r="EL51" i="37"/>
  <c r="EL56" i="37" s="1"/>
  <c r="ED51" i="37"/>
  <c r="ED56" i="37" s="1"/>
  <c r="DV51" i="37"/>
  <c r="DV56" i="37" s="1"/>
  <c r="DN51" i="37"/>
  <c r="DN56" i="37" s="1"/>
  <c r="DF51" i="37"/>
  <c r="DF56" i="37" s="1"/>
  <c r="CX51" i="37"/>
  <c r="CX56" i="37" s="1"/>
  <c r="CP51" i="37"/>
  <c r="CP56" i="37" s="1"/>
  <c r="CH51" i="37"/>
  <c r="CH56" i="37" s="1"/>
  <c r="BZ51" i="37"/>
  <c r="BZ56" i="37" s="1"/>
  <c r="BR51" i="37"/>
  <c r="BR56" i="37" s="1"/>
  <c r="HQ51" i="37"/>
  <c r="HQ56" i="37" s="1"/>
  <c r="HF51" i="37"/>
  <c r="HF56" i="37" s="1"/>
  <c r="GV51" i="37"/>
  <c r="GV56" i="37" s="1"/>
  <c r="GK51" i="37"/>
  <c r="GK56" i="37" s="1"/>
  <c r="FZ51" i="37"/>
  <c r="FZ56" i="37" s="1"/>
  <c r="FQ51" i="37"/>
  <c r="FQ56" i="37" s="1"/>
  <c r="FI51" i="37"/>
  <c r="FI56" i="37" s="1"/>
  <c r="FA51" i="37"/>
  <c r="FA56" i="37" s="1"/>
  <c r="ES51" i="37"/>
  <c r="ES56" i="37" s="1"/>
  <c r="EK51" i="37"/>
  <c r="EK56" i="37" s="1"/>
  <c r="EC51" i="37"/>
  <c r="EC56" i="37" s="1"/>
  <c r="DU51" i="37"/>
  <c r="DU56" i="37" s="1"/>
  <c r="DM51" i="37"/>
  <c r="DM56" i="37" s="1"/>
  <c r="DE51" i="37"/>
  <c r="DE56" i="37" s="1"/>
  <c r="CW51" i="37"/>
  <c r="CW56" i="37" s="1"/>
  <c r="CO51" i="37"/>
  <c r="CO56" i="37" s="1"/>
  <c r="CG51" i="37"/>
  <c r="CG56" i="37" s="1"/>
  <c r="BY51" i="37"/>
  <c r="BY56" i="37" s="1"/>
  <c r="BQ51" i="37"/>
  <c r="BQ56" i="37" s="1"/>
  <c r="HZ51" i="37"/>
  <c r="HZ56" i="37" s="1"/>
  <c r="HP51" i="37"/>
  <c r="HP56" i="37" s="1"/>
  <c r="HE51" i="37"/>
  <c r="HE56" i="37" s="1"/>
  <c r="GT51" i="37"/>
  <c r="GT56" i="37" s="1"/>
  <c r="GJ51" i="37"/>
  <c r="GJ56" i="37" s="1"/>
  <c r="FY51" i="37"/>
  <c r="FY56" i="37" s="1"/>
  <c r="FP51" i="37"/>
  <c r="FP56" i="37" s="1"/>
  <c r="FH51" i="37"/>
  <c r="FH56" i="37" s="1"/>
  <c r="EZ51" i="37"/>
  <c r="EZ56" i="37" s="1"/>
  <c r="ER51" i="37"/>
  <c r="ER56" i="37" s="1"/>
  <c r="EJ51" i="37"/>
  <c r="EJ56" i="37" s="1"/>
  <c r="EB51" i="37"/>
  <c r="EB56" i="37" s="1"/>
  <c r="DT51" i="37"/>
  <c r="DT56" i="37" s="1"/>
  <c r="DL51" i="37"/>
  <c r="DL56" i="37" s="1"/>
  <c r="DD51" i="37"/>
  <c r="DD56" i="37" s="1"/>
  <c r="CV51" i="37"/>
  <c r="CV56" i="37" s="1"/>
  <c r="CN51" i="37"/>
  <c r="CN56" i="37" s="1"/>
  <c r="CF51" i="37"/>
  <c r="CF56" i="37" s="1"/>
  <c r="BX51" i="37"/>
  <c r="BX56" i="37" s="1"/>
  <c r="BP51" i="37"/>
  <c r="BP56" i="37" s="1"/>
  <c r="HX51" i="37"/>
  <c r="HX56" i="37" s="1"/>
  <c r="HM51" i="37"/>
  <c r="HM56" i="37" s="1"/>
  <c r="HB51" i="37"/>
  <c r="HB56" i="37" s="1"/>
  <c r="GR51" i="37"/>
  <c r="GR56" i="37" s="1"/>
  <c r="GG51" i="37"/>
  <c r="GG56" i="37" s="1"/>
  <c r="FV51" i="37"/>
  <c r="FV56" i="37" s="1"/>
  <c r="FN51" i="37"/>
  <c r="FN56" i="37" s="1"/>
  <c r="FF51" i="37"/>
  <c r="FF56" i="37" s="1"/>
  <c r="EX51" i="37"/>
  <c r="EX56" i="37" s="1"/>
  <c r="EP51" i="37"/>
  <c r="EP56" i="37" s="1"/>
  <c r="EH51" i="37"/>
  <c r="EH56" i="37" s="1"/>
  <c r="DZ51" i="37"/>
  <c r="DZ56" i="37" s="1"/>
  <c r="DR51" i="37"/>
  <c r="DR56" i="37" s="1"/>
  <c r="DJ51" i="37"/>
  <c r="DJ56" i="37" s="1"/>
  <c r="DB51" i="37"/>
  <c r="DB56" i="37" s="1"/>
  <c r="CT51" i="37"/>
  <c r="CT56" i="37" s="1"/>
  <c r="CL51" i="37"/>
  <c r="CL56" i="37" s="1"/>
  <c r="CD51" i="37"/>
  <c r="CD56" i="37" s="1"/>
  <c r="BV51" i="37"/>
  <c r="BV56" i="37" s="1"/>
  <c r="HD51" i="37"/>
  <c r="HD56" i="37" s="1"/>
  <c r="FO51" i="37"/>
  <c r="FO56" i="37" s="1"/>
  <c r="EI51" i="37"/>
  <c r="EI56" i="37" s="1"/>
  <c r="DC51" i="37"/>
  <c r="DC56" i="37" s="1"/>
  <c r="BW51" i="37"/>
  <c r="BW56" i="37" s="1"/>
  <c r="HA51" i="37"/>
  <c r="HA56" i="37" s="1"/>
  <c r="FM51" i="37"/>
  <c r="FM56" i="37" s="1"/>
  <c r="EG51" i="37"/>
  <c r="EG56" i="37" s="1"/>
  <c r="DA51" i="37"/>
  <c r="DA56" i="37" s="1"/>
  <c r="BU51" i="37"/>
  <c r="BU56" i="37" s="1"/>
  <c r="GS51" i="37"/>
  <c r="GS56" i="37" s="1"/>
  <c r="FG51" i="37"/>
  <c r="FG56" i="37" s="1"/>
  <c r="EA51" i="37"/>
  <c r="EA56" i="37" s="1"/>
  <c r="CU51" i="37"/>
  <c r="CU56" i="37" s="1"/>
  <c r="BO51" i="37"/>
  <c r="BO56" i="37" s="1"/>
  <c r="GP51" i="37"/>
  <c r="GP56" i="37" s="1"/>
  <c r="FE51" i="37"/>
  <c r="FE56" i="37" s="1"/>
  <c r="DY51" i="37"/>
  <c r="DY56" i="37" s="1"/>
  <c r="CS51" i="37"/>
  <c r="CS56" i="37" s="1"/>
  <c r="HN51" i="37"/>
  <c r="HN56" i="37" s="1"/>
  <c r="FX51" i="37"/>
  <c r="FX56" i="37" s="1"/>
  <c r="EQ51" i="37"/>
  <c r="EQ56" i="37" s="1"/>
  <c r="DK51" i="37"/>
  <c r="DK56" i="37" s="1"/>
  <c r="CE51" i="37"/>
  <c r="CE56" i="37" s="1"/>
  <c r="HL51" i="37"/>
  <c r="HL56" i="37" s="1"/>
  <c r="FU51" i="37"/>
  <c r="FU56" i="37" s="1"/>
  <c r="EO51" i="37"/>
  <c r="EO56" i="37" s="1"/>
  <c r="DI51" i="37"/>
  <c r="DI56" i="37" s="1"/>
  <c r="CC51" i="37"/>
  <c r="CC56" i="37" s="1"/>
  <c r="EW51" i="37"/>
  <c r="EW56" i="37" s="1"/>
  <c r="DS51" i="37"/>
  <c r="DS56" i="37" s="1"/>
  <c r="DQ51" i="37"/>
  <c r="DQ56" i="37" s="1"/>
  <c r="HY51" i="37"/>
  <c r="HY56" i="37" s="1"/>
  <c r="CM51" i="37"/>
  <c r="CM56" i="37" s="1"/>
  <c r="GH51" i="37"/>
  <c r="GH56" i="37" s="1"/>
  <c r="GF51" i="37"/>
  <c r="GF56" i="37" s="1"/>
  <c r="EY51" i="37"/>
  <c r="EY56" i="37" s="1"/>
  <c r="HV51" i="37"/>
  <c r="HV56" i="37" s="1"/>
  <c r="CK51" i="37"/>
  <c r="CK56" i="37" s="1"/>
  <c r="FY35" i="37"/>
  <c r="FY42" i="37"/>
  <c r="AT35" i="37"/>
  <c r="AT42" i="37"/>
  <c r="GX35" i="37"/>
  <c r="GX42" i="37"/>
  <c r="CK35" i="37"/>
  <c r="CK42" i="37"/>
  <c r="DQ35" i="37"/>
  <c r="DQ42" i="37"/>
  <c r="GC35" i="37"/>
  <c r="GC42" i="37"/>
  <c r="AX35" i="37"/>
  <c r="AX42" i="37"/>
  <c r="DJ35" i="37"/>
  <c r="DJ42" i="37"/>
  <c r="FV35" i="37"/>
  <c r="FV42" i="37"/>
  <c r="HB35" i="37"/>
  <c r="HB42" i="37"/>
  <c r="BI35" i="37"/>
  <c r="BI42" i="37"/>
  <c r="CO35" i="37"/>
  <c r="CO42" i="37"/>
  <c r="DU35" i="37"/>
  <c r="DU42" i="37"/>
  <c r="FA35" i="37"/>
  <c r="FA42" i="37"/>
  <c r="GG35" i="37"/>
  <c r="GG42" i="37"/>
  <c r="HM35" i="37"/>
  <c r="HM42" i="37"/>
  <c r="V35" i="37"/>
  <c r="V42" i="37"/>
  <c r="BB35" i="37"/>
  <c r="BB42" i="37"/>
  <c r="CH35" i="37"/>
  <c r="CH42" i="37"/>
  <c r="DN35" i="37"/>
  <c r="DN42" i="37"/>
  <c r="ET35" i="37"/>
  <c r="ET42" i="37"/>
  <c r="FZ35" i="37"/>
  <c r="FZ42" i="37"/>
  <c r="HF35" i="37"/>
  <c r="HF42" i="37"/>
  <c r="ES35" i="37"/>
  <c r="ES42" i="37"/>
  <c r="BZ35" i="37"/>
  <c r="BZ42" i="37"/>
  <c r="BE35" i="37"/>
  <c r="BE42" i="37"/>
  <c r="EW35" i="37"/>
  <c r="EW42" i="37"/>
  <c r="HI35" i="37"/>
  <c r="HI42" i="37"/>
  <c r="R35" i="37"/>
  <c r="R42" i="37"/>
  <c r="CD35" i="37"/>
  <c r="CD42" i="37"/>
  <c r="EP35" i="37"/>
  <c r="EP42" i="37"/>
  <c r="BM35" i="37"/>
  <c r="BM42" i="37"/>
  <c r="CS35" i="37"/>
  <c r="CS42" i="37"/>
  <c r="DY35" i="37"/>
  <c r="DY42" i="37"/>
  <c r="FE35" i="37"/>
  <c r="FE42" i="37"/>
  <c r="GK35" i="37"/>
  <c r="GK42" i="37"/>
  <c r="HQ35" i="37"/>
  <c r="HQ42" i="37"/>
  <c r="Z35" i="37"/>
  <c r="Z42" i="37"/>
  <c r="BF35" i="37"/>
  <c r="BF42" i="37"/>
  <c r="CL35" i="37"/>
  <c r="CL42" i="37"/>
  <c r="DR35" i="37"/>
  <c r="DR42" i="37"/>
  <c r="EX35" i="37"/>
  <c r="EX42" i="37"/>
  <c r="GD35" i="37"/>
  <c r="GD42" i="37"/>
  <c r="HJ35" i="37"/>
  <c r="HJ42" i="37"/>
  <c r="BA35" i="37"/>
  <c r="BA42" i="37"/>
  <c r="GO35" i="37"/>
  <c r="GO42" i="37"/>
  <c r="CG35" i="37"/>
  <c r="CG42" i="37"/>
  <c r="DF35" i="37"/>
  <c r="DF42" i="37"/>
  <c r="CW35" i="37"/>
  <c r="CW42" i="37"/>
  <c r="HU35" i="37"/>
  <c r="HU42" i="37"/>
  <c r="BJ35" i="37"/>
  <c r="BJ42" i="37"/>
  <c r="DV35" i="37"/>
  <c r="DV42" i="37"/>
  <c r="GH35" i="37"/>
  <c r="GH42" i="37"/>
  <c r="BU35" i="37"/>
  <c r="BU42" i="37"/>
  <c r="DA35" i="37"/>
  <c r="DA42" i="37"/>
  <c r="EG35" i="37"/>
  <c r="EG42" i="37"/>
  <c r="FM35" i="37"/>
  <c r="FM42" i="37"/>
  <c r="GS35" i="37"/>
  <c r="GS42" i="37"/>
  <c r="HY35" i="37"/>
  <c r="HY42" i="37"/>
  <c r="AH35" i="37"/>
  <c r="AH42" i="37"/>
  <c r="BN35" i="37"/>
  <c r="BN42" i="37"/>
  <c r="CT35" i="37"/>
  <c r="CT42" i="37"/>
  <c r="DZ35" i="37"/>
  <c r="DZ42" i="37"/>
  <c r="FF35" i="37"/>
  <c r="FF42" i="37"/>
  <c r="GL35" i="37"/>
  <c r="GL42" i="37"/>
  <c r="HR35" i="37"/>
  <c r="HR42" i="37"/>
  <c r="DM35" i="37"/>
  <c r="DM42" i="37"/>
  <c r="N35" i="37"/>
  <c r="N42" i="37"/>
  <c r="FR35" i="37"/>
  <c r="FR42" i="37"/>
  <c r="EC35" i="37"/>
  <c r="EC42" i="37"/>
  <c r="BY35" i="37"/>
  <c r="BY42" i="37"/>
  <c r="DE35" i="37"/>
  <c r="DE42" i="37"/>
  <c r="EK35" i="37"/>
  <c r="EK42" i="37"/>
  <c r="FQ35" i="37"/>
  <c r="FQ42" i="37"/>
  <c r="GW35" i="37"/>
  <c r="GW42" i="37"/>
  <c r="AL35" i="37"/>
  <c r="AL42" i="37"/>
  <c r="BR35" i="37"/>
  <c r="BR42" i="37"/>
  <c r="CX35" i="37"/>
  <c r="CX42" i="37"/>
  <c r="ED35" i="37"/>
  <c r="ED42" i="37"/>
  <c r="FJ35" i="37"/>
  <c r="FJ42" i="37"/>
  <c r="GP35" i="37"/>
  <c r="GP42" i="37"/>
  <c r="HV35" i="37"/>
  <c r="HV42" i="37"/>
  <c r="HE35" i="37"/>
  <c r="HE42" i="37"/>
  <c r="EL35" i="37"/>
  <c r="EL42" i="37"/>
  <c r="BQ35" i="37"/>
  <c r="BQ42" i="37"/>
  <c r="FI35" i="37"/>
  <c r="FI42" i="37"/>
  <c r="AD35" i="37"/>
  <c r="AD42" i="37"/>
  <c r="CP35" i="37"/>
  <c r="CP42" i="37"/>
  <c r="FB35" i="37"/>
  <c r="FB42" i="37"/>
  <c r="HN35" i="37"/>
  <c r="HN42" i="37"/>
  <c r="CC35" i="37"/>
  <c r="CC42" i="37"/>
  <c r="DI35" i="37"/>
  <c r="DI42" i="37"/>
  <c r="EO35" i="37"/>
  <c r="EO42" i="37"/>
  <c r="FU35" i="37"/>
  <c r="FU42" i="37"/>
  <c r="HA35" i="37"/>
  <c r="HA42" i="37"/>
  <c r="J35" i="37"/>
  <c r="J42" i="37"/>
  <c r="AP35" i="37"/>
  <c r="AP42" i="37"/>
  <c r="BV35" i="37"/>
  <c r="BV42" i="37"/>
  <c r="DB35" i="37"/>
  <c r="DB42" i="37"/>
  <c r="EH35" i="37"/>
  <c r="EH42" i="37"/>
  <c r="FN35" i="37"/>
  <c r="FN42" i="37"/>
  <c r="GT35" i="37"/>
  <c r="GT42" i="37"/>
  <c r="HZ35" i="37"/>
  <c r="HZ42" i="37"/>
  <c r="H4" i="37"/>
  <c r="H21" i="37"/>
  <c r="H22" i="37"/>
  <c r="BC11" i="37"/>
  <c r="BK11" i="37"/>
  <c r="BS11" i="37"/>
  <c r="CA11" i="37"/>
  <c r="CI11" i="37"/>
  <c r="CQ11" i="37"/>
  <c r="CY11" i="37"/>
  <c r="DG11" i="37"/>
  <c r="DO11" i="37"/>
  <c r="DW11" i="37"/>
  <c r="EE11" i="37"/>
  <c r="EM11" i="37"/>
  <c r="EU11" i="37"/>
  <c r="FC11" i="37"/>
  <c r="FK11" i="37"/>
  <c r="FS11" i="37"/>
  <c r="GA11" i="37"/>
  <c r="GI11" i="37"/>
  <c r="GQ11" i="37"/>
  <c r="GY11" i="37"/>
  <c r="HG11" i="37"/>
  <c r="HO11" i="37"/>
  <c r="HW11" i="37"/>
  <c r="BD11" i="37"/>
  <c r="BL11" i="37"/>
  <c r="BT11" i="37"/>
  <c r="CB11" i="37"/>
  <c r="CJ11" i="37"/>
  <c r="CR11" i="37"/>
  <c r="CZ11" i="37"/>
  <c r="DH11" i="37"/>
  <c r="DP11" i="37"/>
  <c r="DX11" i="37"/>
  <c r="EF11" i="37"/>
  <c r="EN11" i="37"/>
  <c r="EV11" i="37"/>
  <c r="FD11" i="37"/>
  <c r="FL11" i="37"/>
  <c r="FT11" i="37"/>
  <c r="GB11" i="37"/>
  <c r="GJ11" i="37"/>
  <c r="GR11" i="37"/>
  <c r="GZ11" i="37"/>
  <c r="HH11" i="37"/>
  <c r="HP11" i="37"/>
  <c r="HX11" i="37"/>
  <c r="AY11" i="37"/>
  <c r="BG11" i="37"/>
  <c r="BO11" i="37"/>
  <c r="BW11" i="37"/>
  <c r="CE11" i="37"/>
  <c r="CM11" i="37"/>
  <c r="CU11" i="37"/>
  <c r="DC11" i="37"/>
  <c r="DK11" i="37"/>
  <c r="DS11" i="37"/>
  <c r="EA11" i="37"/>
  <c r="EI11" i="37"/>
  <c r="EQ11" i="37"/>
  <c r="EY11" i="37"/>
  <c r="FG11" i="37"/>
  <c r="FO11" i="37"/>
  <c r="FW11" i="37"/>
  <c r="GE11" i="37"/>
  <c r="GM11" i="37"/>
  <c r="GU11" i="37"/>
  <c r="HC11" i="37"/>
  <c r="HK11" i="37"/>
  <c r="HS11" i="37"/>
  <c r="IA11" i="37"/>
  <c r="AZ11" i="37"/>
  <c r="BH11" i="37"/>
  <c r="BP11" i="37"/>
  <c r="BX11" i="37"/>
  <c r="CF11" i="37"/>
  <c r="CN11" i="37"/>
  <c r="CV11" i="37"/>
  <c r="DD11" i="37"/>
  <c r="DL11" i="37"/>
  <c r="DT11" i="37"/>
  <c r="EB11" i="37"/>
  <c r="EJ11" i="37"/>
  <c r="ER11" i="37"/>
  <c r="EZ11" i="37"/>
  <c r="FH11" i="37"/>
  <c r="FP11" i="37"/>
  <c r="FX11" i="37"/>
  <c r="GF11" i="37"/>
  <c r="GN11" i="37"/>
  <c r="GV11" i="37"/>
  <c r="HD11" i="37"/>
  <c r="HL11" i="37"/>
  <c r="HT11" i="37"/>
  <c r="CF116" i="37" l="1"/>
  <c r="CF130" i="37"/>
  <c r="CE116" i="37"/>
  <c r="CE130" i="37"/>
  <c r="EE116" i="37"/>
  <c r="EE130" i="37"/>
  <c r="GV116" i="37"/>
  <c r="GV130" i="37"/>
  <c r="EJ116" i="37"/>
  <c r="EJ130" i="37"/>
  <c r="BX116" i="37"/>
  <c r="BX130" i="37"/>
  <c r="GU116" i="37"/>
  <c r="GU130" i="37"/>
  <c r="EI116" i="37"/>
  <c r="EI130" i="37"/>
  <c r="BW116" i="37"/>
  <c r="BW130" i="37"/>
  <c r="GR116" i="37"/>
  <c r="GR130" i="37"/>
  <c r="EF116" i="37"/>
  <c r="EF130" i="37"/>
  <c r="BT116" i="37"/>
  <c r="BT130" i="37"/>
  <c r="GI116" i="37"/>
  <c r="GI130" i="37"/>
  <c r="DW116" i="37"/>
  <c r="DW130" i="37"/>
  <c r="BK116" i="37"/>
  <c r="BK130" i="37"/>
  <c r="EQ116" i="37"/>
  <c r="EQ130" i="37"/>
  <c r="GN116" i="37"/>
  <c r="GN130" i="37"/>
  <c r="EB116" i="37"/>
  <c r="EB130" i="37"/>
  <c r="BP116" i="37"/>
  <c r="BP130" i="37"/>
  <c r="GM116" i="37"/>
  <c r="GM130" i="37"/>
  <c r="EA116" i="37"/>
  <c r="EA130" i="37"/>
  <c r="BO116" i="37"/>
  <c r="BO130" i="37"/>
  <c r="GJ116" i="37"/>
  <c r="GJ130" i="37"/>
  <c r="DX116" i="37"/>
  <c r="DX130" i="37"/>
  <c r="BL116" i="37"/>
  <c r="BL130" i="37"/>
  <c r="GA116" i="37"/>
  <c r="GA130" i="37"/>
  <c r="DO116" i="37"/>
  <c r="DO130" i="37"/>
  <c r="BC116" i="37"/>
  <c r="BC130" i="37"/>
  <c r="CB116" i="37"/>
  <c r="CB130" i="37"/>
  <c r="GF116" i="37"/>
  <c r="GF130" i="37"/>
  <c r="DT116" i="37"/>
  <c r="DT130" i="37"/>
  <c r="BH116" i="37"/>
  <c r="BH130" i="37"/>
  <c r="GE116" i="37"/>
  <c r="GE130" i="37"/>
  <c r="DS116" i="37"/>
  <c r="DS130" i="37"/>
  <c r="BG116" i="37"/>
  <c r="BG130" i="37"/>
  <c r="GB116" i="37"/>
  <c r="GB130" i="37"/>
  <c r="DP116" i="37"/>
  <c r="DP130" i="37"/>
  <c r="BD116" i="37"/>
  <c r="BD130" i="37"/>
  <c r="FS116" i="37"/>
  <c r="FS130" i="37"/>
  <c r="DG116" i="37"/>
  <c r="DG130" i="37"/>
  <c r="HC116" i="37"/>
  <c r="HC130" i="37"/>
  <c r="FW116" i="37"/>
  <c r="FW130" i="37"/>
  <c r="DH116" i="37"/>
  <c r="DH130" i="37"/>
  <c r="HW116" i="37"/>
  <c r="HW130" i="37"/>
  <c r="FK116" i="37"/>
  <c r="FK130" i="37"/>
  <c r="CY116" i="37"/>
  <c r="CY130" i="37"/>
  <c r="ER116" i="37"/>
  <c r="ER130" i="37"/>
  <c r="GZ116" i="37"/>
  <c r="GZ130" i="37"/>
  <c r="BS116" i="37"/>
  <c r="BS130" i="37"/>
  <c r="FX116" i="37"/>
  <c r="FX130" i="37"/>
  <c r="AY116" i="37"/>
  <c r="AY130" i="37"/>
  <c r="IA116" i="37"/>
  <c r="IA130" i="37"/>
  <c r="HX116" i="37"/>
  <c r="HX130" i="37"/>
  <c r="CZ116" i="37"/>
  <c r="CZ130" i="37"/>
  <c r="FC116" i="37"/>
  <c r="FC130" i="37"/>
  <c r="CQ116" i="37"/>
  <c r="CQ130" i="37"/>
  <c r="HD116" i="37"/>
  <c r="HD130" i="37"/>
  <c r="GQ116" i="37"/>
  <c r="GQ130" i="37"/>
  <c r="AZ116" i="37"/>
  <c r="AZ130" i="37"/>
  <c r="FT116" i="37"/>
  <c r="FT130" i="37"/>
  <c r="DD116" i="37"/>
  <c r="DD130" i="37"/>
  <c r="DC116" i="37"/>
  <c r="DC130" i="37"/>
  <c r="HO116" i="37"/>
  <c r="HO130" i="37"/>
  <c r="HT116" i="37"/>
  <c r="HT130" i="37"/>
  <c r="FH116" i="37"/>
  <c r="FH130" i="37"/>
  <c r="CV116" i="37"/>
  <c r="CV130" i="37"/>
  <c r="HS116" i="37"/>
  <c r="HS130" i="37"/>
  <c r="FG116" i="37"/>
  <c r="FG130" i="37"/>
  <c r="CU116" i="37"/>
  <c r="CU130" i="37"/>
  <c r="HP116" i="37"/>
  <c r="HP130" i="37"/>
  <c r="FD116" i="37"/>
  <c r="FD130" i="37"/>
  <c r="CR116" i="37"/>
  <c r="CR130" i="37"/>
  <c r="HG116" i="37"/>
  <c r="HG130" i="37"/>
  <c r="EU116" i="37"/>
  <c r="EU130" i="37"/>
  <c r="CI116" i="37"/>
  <c r="CI130" i="37"/>
  <c r="EN116" i="37"/>
  <c r="EN130" i="37"/>
  <c r="DL116" i="37"/>
  <c r="DL130" i="37"/>
  <c r="DK116" i="37"/>
  <c r="DK130" i="37"/>
  <c r="FP116" i="37"/>
  <c r="FP130" i="37"/>
  <c r="FO116" i="37"/>
  <c r="FO130" i="37"/>
  <c r="FL116" i="37"/>
  <c r="FL130" i="37"/>
  <c r="HL116" i="37"/>
  <c r="HL130" i="37"/>
  <c r="EZ116" i="37"/>
  <c r="EZ130" i="37"/>
  <c r="CN116" i="37"/>
  <c r="CN130" i="37"/>
  <c r="HK116" i="37"/>
  <c r="HK130" i="37"/>
  <c r="EY116" i="37"/>
  <c r="EY130" i="37"/>
  <c r="CM116" i="37"/>
  <c r="CM130" i="37"/>
  <c r="HH116" i="37"/>
  <c r="HH130" i="37"/>
  <c r="EV116" i="37"/>
  <c r="EV130" i="37"/>
  <c r="CJ116" i="37"/>
  <c r="CJ130" i="37"/>
  <c r="GY116" i="37"/>
  <c r="GY130" i="37"/>
  <c r="EM116" i="37"/>
  <c r="EM130" i="37"/>
  <c r="CA116" i="37"/>
  <c r="CA130" i="37"/>
  <c r="BR114" i="37"/>
  <c r="IA35" i="37"/>
  <c r="IA42" i="37"/>
  <c r="HX35" i="37"/>
  <c r="HX42" i="37"/>
  <c r="CZ35" i="37"/>
  <c r="CZ42" i="37"/>
  <c r="FC35" i="37"/>
  <c r="FC42" i="37"/>
  <c r="FH35" i="37"/>
  <c r="FH42" i="37"/>
  <c r="HS35" i="37"/>
  <c r="HS42" i="37"/>
  <c r="CU35" i="37"/>
  <c r="CU42" i="37"/>
  <c r="FD35" i="37"/>
  <c r="FD42" i="37"/>
  <c r="HG35" i="37"/>
  <c r="HG42" i="37"/>
  <c r="CI35" i="37"/>
  <c r="CI42" i="37"/>
  <c r="HL35" i="37"/>
  <c r="HL42" i="37"/>
  <c r="EZ35" i="37"/>
  <c r="EZ42" i="37"/>
  <c r="CN35" i="37"/>
  <c r="CN42" i="37"/>
  <c r="HK35" i="37"/>
  <c r="HK42" i="37"/>
  <c r="EY35" i="37"/>
  <c r="EY42" i="37"/>
  <c r="CM35" i="37"/>
  <c r="CM42" i="37"/>
  <c r="HH35" i="37"/>
  <c r="HH42" i="37"/>
  <c r="EV35" i="37"/>
  <c r="EV42" i="37"/>
  <c r="CJ35" i="37"/>
  <c r="CJ42" i="37"/>
  <c r="GY35" i="37"/>
  <c r="GY42" i="37"/>
  <c r="EM35" i="37"/>
  <c r="EM42" i="37"/>
  <c r="CA35" i="37"/>
  <c r="CA42" i="37"/>
  <c r="HT35" i="37"/>
  <c r="HT42" i="37"/>
  <c r="CV35" i="37"/>
  <c r="CV42" i="37"/>
  <c r="FG35" i="37"/>
  <c r="FG42" i="37"/>
  <c r="HP35" i="37"/>
  <c r="HP42" i="37"/>
  <c r="CR35" i="37"/>
  <c r="CR42" i="37"/>
  <c r="EU35" i="37"/>
  <c r="EU42" i="37"/>
  <c r="HD35" i="37"/>
  <c r="HD42" i="37"/>
  <c r="ER35" i="37"/>
  <c r="ER42" i="37"/>
  <c r="CF35" i="37"/>
  <c r="CF42" i="37"/>
  <c r="HC35" i="37"/>
  <c r="HC42" i="37"/>
  <c r="EQ35" i="37"/>
  <c r="EQ42" i="37"/>
  <c r="CE35" i="37"/>
  <c r="CE42" i="37"/>
  <c r="GZ35" i="37"/>
  <c r="GZ42" i="37"/>
  <c r="EN35" i="37"/>
  <c r="EN42" i="37"/>
  <c r="CB35" i="37"/>
  <c r="CB42" i="37"/>
  <c r="GQ35" i="37"/>
  <c r="GQ42" i="37"/>
  <c r="EE35" i="37"/>
  <c r="EE42" i="37"/>
  <c r="BS35" i="37"/>
  <c r="BS42" i="37"/>
  <c r="DC35" i="37"/>
  <c r="DC42" i="37"/>
  <c r="CQ35" i="37"/>
  <c r="CQ42" i="37"/>
  <c r="EJ35" i="37"/>
  <c r="EJ42" i="37"/>
  <c r="BW35" i="37"/>
  <c r="BW42" i="37"/>
  <c r="GI35" i="37"/>
  <c r="GI42" i="37"/>
  <c r="GN35" i="37"/>
  <c r="GN42" i="37"/>
  <c r="EB35" i="37"/>
  <c r="EB42" i="37"/>
  <c r="BP35" i="37"/>
  <c r="BP42" i="37"/>
  <c r="GM35" i="37"/>
  <c r="GM42" i="37"/>
  <c r="EA35" i="37"/>
  <c r="EA42" i="37"/>
  <c r="BO35" i="37"/>
  <c r="BO42" i="37"/>
  <c r="GJ35" i="37"/>
  <c r="GJ42" i="37"/>
  <c r="DX35" i="37"/>
  <c r="DX42" i="37"/>
  <c r="BL35" i="37"/>
  <c r="BL42" i="37"/>
  <c r="GA35" i="37"/>
  <c r="GA42" i="37"/>
  <c r="DO35" i="37"/>
  <c r="DO42" i="37"/>
  <c r="BC35" i="37"/>
  <c r="BC42" i="37"/>
  <c r="FP35" i="37"/>
  <c r="FP42" i="37"/>
  <c r="FL35" i="37"/>
  <c r="FL42" i="37"/>
  <c r="BX35" i="37"/>
  <c r="BX42" i="37"/>
  <c r="EI35" i="37"/>
  <c r="EI42" i="37"/>
  <c r="EF35" i="37"/>
  <c r="EF42" i="37"/>
  <c r="DW35" i="37"/>
  <c r="DW42" i="37"/>
  <c r="GF35" i="37"/>
  <c r="GF42" i="37"/>
  <c r="DT35" i="37"/>
  <c r="DT42" i="37"/>
  <c r="BH35" i="37"/>
  <c r="BH42" i="37"/>
  <c r="GE35" i="37"/>
  <c r="GE42" i="37"/>
  <c r="DS35" i="37"/>
  <c r="DS42" i="37"/>
  <c r="BG35" i="37"/>
  <c r="BG42" i="37"/>
  <c r="GB35" i="37"/>
  <c r="GB42" i="37"/>
  <c r="DP35" i="37"/>
  <c r="DP42" i="37"/>
  <c r="BD35" i="37"/>
  <c r="BD42" i="37"/>
  <c r="FS35" i="37"/>
  <c r="FS42" i="37"/>
  <c r="DG35" i="37"/>
  <c r="DG42" i="37"/>
  <c r="DD35" i="37"/>
  <c r="DD42" i="37"/>
  <c r="FO35" i="37"/>
  <c r="FO42" i="37"/>
  <c r="HO35" i="37"/>
  <c r="HO42" i="37"/>
  <c r="GV35" i="37"/>
  <c r="GV42" i="37"/>
  <c r="GU35" i="37"/>
  <c r="GU42" i="37"/>
  <c r="GR35" i="37"/>
  <c r="GR42" i="37"/>
  <c r="BT35" i="37"/>
  <c r="BT42" i="37"/>
  <c r="BK35" i="37"/>
  <c r="BK42" i="37"/>
  <c r="FX35" i="37"/>
  <c r="FX42" i="37"/>
  <c r="DL35" i="37"/>
  <c r="DL42" i="37"/>
  <c r="AZ35" i="37"/>
  <c r="AZ42" i="37"/>
  <c r="FW35" i="37"/>
  <c r="FW42" i="37"/>
  <c r="DK35" i="37"/>
  <c r="DK42" i="37"/>
  <c r="AY35" i="37"/>
  <c r="AY42" i="37"/>
  <c r="FT35" i="37"/>
  <c r="FT42" i="37"/>
  <c r="DH35" i="37"/>
  <c r="DH42" i="37"/>
  <c r="HW35" i="37"/>
  <c r="HW42" i="37"/>
  <c r="FK35" i="37"/>
  <c r="FK42" i="37"/>
  <c r="CY35" i="37"/>
  <c r="CY42" i="37"/>
  <c r="BS114" i="37" l="1"/>
  <c r="BT114" i="37" l="1"/>
  <c r="BU114" i="37" l="1"/>
  <c r="BV114" i="37" l="1"/>
  <c r="BW114" i="37" l="1"/>
  <c r="BX114" i="37" l="1"/>
  <c r="BY114" i="37" l="1"/>
  <c r="BZ114" i="37" l="1"/>
  <c r="CA114" i="37" l="1"/>
  <c r="CB114" i="37" l="1"/>
  <c r="CC114" i="37" l="1"/>
  <c r="CD114" i="37" l="1"/>
  <c r="CE114" i="37" l="1"/>
  <c r="CF114" i="37" l="1"/>
  <c r="CG114" i="37" l="1"/>
  <c r="CH114" i="37" l="1"/>
  <c r="CI114" i="37" l="1"/>
  <c r="CJ114" i="37" l="1"/>
  <c r="CK114" i="37" l="1"/>
  <c r="CL114" i="37" l="1"/>
  <c r="CM114" i="37" l="1"/>
  <c r="CN114" i="37" l="1"/>
  <c r="CO114" i="37" l="1"/>
  <c r="CP114" i="37" l="1"/>
  <c r="CQ114" i="37" l="1"/>
  <c r="CR114" i="37" l="1"/>
  <c r="CS114" i="37" l="1"/>
  <c r="CT114" i="37" l="1"/>
  <c r="CU114" i="37" l="1"/>
  <c r="CV114" i="37" l="1"/>
  <c r="CW114" i="37" l="1"/>
  <c r="CX114" i="37" l="1"/>
  <c r="CY114" i="37" l="1"/>
  <c r="CZ114" i="37" l="1"/>
  <c r="DA114" i="37" l="1"/>
  <c r="DB114" i="37" l="1"/>
  <c r="DC114" i="37" l="1"/>
  <c r="DD114" i="37" l="1"/>
  <c r="DE114" i="37" l="1"/>
  <c r="DF114" i="37" l="1"/>
  <c r="DG114" i="37" l="1"/>
  <c r="DH114" i="37" l="1"/>
  <c r="DI114" i="37" l="1"/>
  <c r="DJ114" i="37" l="1"/>
  <c r="DK114" i="37" l="1"/>
  <c r="DL114" i="37" l="1"/>
  <c r="DM114" i="37" l="1"/>
  <c r="DN114" i="37" l="1"/>
  <c r="DO114" i="37" l="1"/>
  <c r="DP114" i="37" l="1"/>
  <c r="DQ114" i="37" l="1"/>
  <c r="DR114" i="37" l="1"/>
  <c r="DS114" i="37" l="1"/>
  <c r="DT114" i="37" l="1"/>
  <c r="DU114" i="37" l="1"/>
  <c r="DV114" i="37" l="1"/>
  <c r="DW114" i="37" l="1"/>
  <c r="DX114" i="37" l="1"/>
  <c r="DY114" i="37" l="1"/>
  <c r="DZ114" i="37" l="1"/>
  <c r="EA114" i="37" l="1"/>
  <c r="EB114" i="37" l="1"/>
  <c r="EC114" i="37" l="1"/>
  <c r="ED114" i="37" l="1"/>
  <c r="EE114" i="37" l="1"/>
  <c r="EF114" i="37" l="1"/>
  <c r="EG114" i="37" l="1"/>
  <c r="EH114" i="37" l="1"/>
  <c r="EI114" i="37" l="1"/>
  <c r="EJ114" i="37" l="1"/>
  <c r="EK114" i="37" l="1"/>
  <c r="EL114" i="37" l="1"/>
  <c r="EM114" i="37" l="1"/>
  <c r="EN114" i="37" l="1"/>
  <c r="EO114" i="37" l="1"/>
  <c r="EP114" i="37" l="1"/>
  <c r="EQ114" i="37" l="1"/>
  <c r="ER114" i="37" l="1"/>
  <c r="ES114" i="37" l="1"/>
  <c r="ET114" i="37" l="1"/>
  <c r="EU114" i="37" l="1"/>
  <c r="EV114" i="37" l="1"/>
  <c r="EW114" i="37" l="1"/>
  <c r="EX114" i="37" l="1"/>
  <c r="EY114" i="37" l="1"/>
  <c r="EZ114" i="37" l="1"/>
  <c r="FA114" i="37" l="1"/>
  <c r="FB114" i="37" l="1"/>
  <c r="FC114" i="37" l="1"/>
  <c r="FD114" i="37" l="1"/>
  <c r="FE114" i="37" l="1"/>
  <c r="FF114" i="37" l="1"/>
  <c r="FG114" i="37" l="1"/>
  <c r="FH114" i="37" l="1"/>
  <c r="FI114" i="37" l="1"/>
  <c r="FJ114" i="37" l="1"/>
  <c r="FK114" i="37" l="1"/>
  <c r="FL114" i="37" l="1"/>
  <c r="FM114" i="37" l="1"/>
  <c r="FN114" i="37" l="1"/>
  <c r="FO114" i="37" l="1"/>
  <c r="FP114" i="37" l="1"/>
  <c r="FQ114" i="37" l="1"/>
  <c r="FR114" i="37" l="1"/>
  <c r="FS114" i="37" l="1"/>
  <c r="FT114" i="37" l="1"/>
  <c r="FU114" i="37" l="1"/>
  <c r="FV114" i="37" l="1"/>
  <c r="FW114" i="37" l="1"/>
  <c r="FX114" i="37" l="1"/>
  <c r="FY114" i="37" l="1"/>
  <c r="FZ114" i="37" l="1"/>
  <c r="GA114" i="37" l="1"/>
  <c r="GB114" i="37" l="1"/>
  <c r="GC114" i="37" l="1"/>
  <c r="GD114" i="37" l="1"/>
  <c r="GE114" i="37" l="1"/>
  <c r="GF114" i="37" l="1"/>
  <c r="GG114" i="37" l="1"/>
  <c r="GH114" i="37" l="1"/>
  <c r="GI114" i="37" l="1"/>
  <c r="GJ114" i="37" l="1"/>
  <c r="GK114" i="37" l="1"/>
  <c r="GL114" i="37" l="1"/>
  <c r="GM114" i="37" l="1"/>
  <c r="GN114" i="37" l="1"/>
  <c r="GO114" i="37" l="1"/>
  <c r="GP114" i="37" l="1"/>
  <c r="GQ114" i="37" l="1"/>
  <c r="GR114" i="37" l="1"/>
  <c r="GS114" i="37" l="1"/>
  <c r="GT114" i="37" l="1"/>
  <c r="GU114" i="37" l="1"/>
  <c r="GV114" i="37" l="1"/>
  <c r="GW114" i="37" l="1"/>
  <c r="GX114" i="37" l="1"/>
  <c r="GY114" i="37" l="1"/>
  <c r="GZ114" i="37" l="1"/>
  <c r="HA114" i="37" l="1"/>
  <c r="HB114" i="37" l="1"/>
  <c r="HC114" i="37" l="1"/>
  <c r="HD114" i="37" l="1"/>
  <c r="HE114" i="37" l="1"/>
  <c r="HF114" i="37" l="1"/>
  <c r="HG114" i="37" l="1"/>
  <c r="HH114" i="37" l="1"/>
  <c r="HI114" i="37" l="1"/>
  <c r="HJ114" i="37" l="1"/>
  <c r="HK114" i="37" l="1"/>
  <c r="HL114" i="37" l="1"/>
  <c r="HM114" i="37" l="1"/>
  <c r="HN114" i="37" l="1"/>
  <c r="HO114" i="37" l="1"/>
  <c r="HP114" i="37" l="1"/>
  <c r="HQ114" i="37" l="1"/>
  <c r="HR114" i="37" l="1"/>
  <c r="HS114" i="37" l="1"/>
  <c r="HT114" i="37" l="1"/>
  <c r="HU114" i="37" l="1"/>
  <c r="HV114" i="37" l="1"/>
  <c r="HW114" i="37" l="1"/>
  <c r="HX114" i="37" l="1"/>
  <c r="HY114" i="37" l="1"/>
  <c r="HZ114" i="37" l="1"/>
  <c r="IA114" i="37" l="1"/>
  <c r="AU19" i="37" l="1"/>
  <c r="AQ19" i="37"/>
  <c r="AM19" i="37"/>
  <c r="AM11" i="37" s="1"/>
  <c r="AI19" i="37"/>
  <c r="AE19" i="37"/>
  <c r="AE11" i="37" s="1"/>
  <c r="AA19" i="37"/>
  <c r="W19" i="37"/>
  <c r="S19" i="37"/>
  <c r="K19" i="37"/>
  <c r="O19" i="37"/>
  <c r="O11" i="37" s="1"/>
  <c r="K18" i="37"/>
  <c r="K10" i="37" s="1"/>
  <c r="K115" i="37" s="1"/>
  <c r="J10" i="37"/>
  <c r="J123" i="37" s="1"/>
  <c r="K123" i="37" s="1"/>
  <c r="L123" i="37" s="1"/>
  <c r="M123" i="37" s="1"/>
  <c r="N123" i="37" s="1"/>
  <c r="O123" i="37" s="1"/>
  <c r="P123" i="37" s="1"/>
  <c r="Q123" i="37" s="1"/>
  <c r="R123" i="37" s="1"/>
  <c r="S123" i="37" s="1"/>
  <c r="T123" i="37" s="1"/>
  <c r="U123" i="37" s="1"/>
  <c r="V123" i="37" s="1"/>
  <c r="W123" i="37" s="1"/>
  <c r="X123" i="37" s="1"/>
  <c r="Y123" i="37" s="1"/>
  <c r="Z123" i="37" s="1"/>
  <c r="AA123" i="37" s="1"/>
  <c r="AB123" i="37" s="1"/>
  <c r="AC123" i="37" s="1"/>
  <c r="AD123" i="37" s="1"/>
  <c r="AE123" i="37" s="1"/>
  <c r="AF123" i="37" s="1"/>
  <c r="AG123" i="37" s="1"/>
  <c r="AH123" i="37" s="1"/>
  <c r="AI123" i="37" s="1"/>
  <c r="AJ123" i="37" s="1"/>
  <c r="AK123" i="37" s="1"/>
  <c r="AL123" i="37" s="1"/>
  <c r="AM123" i="37" s="1"/>
  <c r="AN123" i="37" s="1"/>
  <c r="AO123" i="37" s="1"/>
  <c r="AP123" i="37" s="1"/>
  <c r="AQ123" i="37" s="1"/>
  <c r="AR123" i="37" s="1"/>
  <c r="AS123" i="37" s="1"/>
  <c r="AT123" i="37" s="1"/>
  <c r="AU123" i="37" s="1"/>
  <c r="AV123" i="37" s="1"/>
  <c r="AW123" i="37" s="1"/>
  <c r="AX123" i="37" s="1"/>
  <c r="AY123" i="37" s="1"/>
  <c r="AZ123" i="37" s="1"/>
  <c r="BA123" i="37" s="1"/>
  <c r="BB123" i="37" s="1"/>
  <c r="BC123" i="37" s="1"/>
  <c r="BD123" i="37" s="1"/>
  <c r="BE123" i="37" s="1"/>
  <c r="BF123" i="37" s="1"/>
  <c r="BG123" i="37" s="1"/>
  <c r="BH123" i="37" s="1"/>
  <c r="BI123" i="37" s="1"/>
  <c r="BJ123" i="37" s="1"/>
  <c r="BK123" i="37" s="1"/>
  <c r="BL123" i="37" s="1"/>
  <c r="BM123" i="37" s="1"/>
  <c r="BN123" i="37" s="1"/>
  <c r="AE116" i="37" l="1"/>
  <c r="AE130" i="37"/>
  <c r="AM116" i="37"/>
  <c r="AM130" i="37"/>
  <c r="O116" i="37"/>
  <c r="O130" i="37"/>
  <c r="J34" i="37"/>
  <c r="J115" i="37"/>
  <c r="K34" i="37"/>
  <c r="K41" i="37"/>
  <c r="AE35" i="37"/>
  <c r="AE42" i="37"/>
  <c r="AM35" i="37"/>
  <c r="AM42" i="37"/>
  <c r="O35" i="37"/>
  <c r="O42" i="37"/>
  <c r="AF19" i="37"/>
  <c r="AG19" i="37" s="1"/>
  <c r="AG11" i="37" s="1"/>
  <c r="L18" i="37"/>
  <c r="M18" i="37" s="1"/>
  <c r="AJ19" i="37"/>
  <c r="AI11" i="37"/>
  <c r="P19" i="37"/>
  <c r="L19" i="37"/>
  <c r="K11" i="37"/>
  <c r="AN19" i="37"/>
  <c r="T19" i="37"/>
  <c r="S11" i="37"/>
  <c r="AR19" i="37"/>
  <c r="AQ11" i="37"/>
  <c r="X19" i="37"/>
  <c r="W11" i="37"/>
  <c r="AV19" i="37"/>
  <c r="AU11" i="37"/>
  <c r="AB19" i="37"/>
  <c r="AA11" i="37"/>
  <c r="K116" i="37" l="1"/>
  <c r="K130" i="37"/>
  <c r="W116" i="37"/>
  <c r="W130" i="37"/>
  <c r="AU116" i="37"/>
  <c r="AU130" i="37"/>
  <c r="AQ116" i="37"/>
  <c r="AQ130" i="37"/>
  <c r="AI116" i="37"/>
  <c r="AI130" i="37"/>
  <c r="AA116" i="37"/>
  <c r="AA130" i="37"/>
  <c r="S116" i="37"/>
  <c r="S130" i="37"/>
  <c r="AG116" i="37"/>
  <c r="AG130" i="37"/>
  <c r="K35" i="37"/>
  <c r="K42" i="37"/>
  <c r="AG35" i="37"/>
  <c r="AG42" i="37"/>
  <c r="AU35" i="37"/>
  <c r="AU42" i="37"/>
  <c r="W35" i="37"/>
  <c r="W42" i="37"/>
  <c r="L10" i="37"/>
  <c r="L115" i="37" s="1"/>
  <c r="AQ35" i="37"/>
  <c r="AQ42" i="37"/>
  <c r="AA35" i="37"/>
  <c r="AA42" i="37"/>
  <c r="S35" i="37"/>
  <c r="S42" i="37"/>
  <c r="AI35" i="37"/>
  <c r="AI42" i="37"/>
  <c r="AF11" i="37"/>
  <c r="M19" i="37"/>
  <c r="M11" i="37" s="1"/>
  <c r="L11" i="37"/>
  <c r="Y19" i="37"/>
  <c r="Y11" i="37" s="1"/>
  <c r="X11" i="37"/>
  <c r="Q19" i="37"/>
  <c r="Q11" i="37" s="1"/>
  <c r="P11" i="37"/>
  <c r="AS19" i="37"/>
  <c r="AS11" i="37" s="1"/>
  <c r="AR11" i="37"/>
  <c r="N18" i="37"/>
  <c r="M10" i="37"/>
  <c r="M115" i="37" s="1"/>
  <c r="AC19" i="37"/>
  <c r="AC11" i="37" s="1"/>
  <c r="AB11" i="37"/>
  <c r="U19" i="37"/>
  <c r="U11" i="37" s="1"/>
  <c r="T11" i="37"/>
  <c r="AK19" i="37"/>
  <c r="AK11" i="37" s="1"/>
  <c r="AJ11" i="37"/>
  <c r="AO19" i="37"/>
  <c r="AO11" i="37" s="1"/>
  <c r="AN11" i="37"/>
  <c r="AW19" i="37"/>
  <c r="AW11" i="37" s="1"/>
  <c r="AV11" i="37"/>
  <c r="T116" i="37" l="1"/>
  <c r="T130" i="37"/>
  <c r="AV116" i="37"/>
  <c r="AV130" i="37"/>
  <c r="AB116" i="37"/>
  <c r="AB130" i="37"/>
  <c r="X116" i="37"/>
  <c r="X130" i="37"/>
  <c r="AW116" i="37"/>
  <c r="AW130" i="37"/>
  <c r="AC116" i="37"/>
  <c r="AC130" i="37"/>
  <c r="Y116" i="37"/>
  <c r="Y130" i="37"/>
  <c r="AN116" i="37"/>
  <c r="AN130" i="37"/>
  <c r="L116" i="37"/>
  <c r="L130" i="37"/>
  <c r="AO116" i="37"/>
  <c r="AO130" i="37"/>
  <c r="M116" i="37"/>
  <c r="M130" i="37"/>
  <c r="P116" i="37"/>
  <c r="P130" i="37"/>
  <c r="U116" i="37"/>
  <c r="U130" i="37"/>
  <c r="AJ116" i="37"/>
  <c r="AJ130" i="37"/>
  <c r="AR116" i="37"/>
  <c r="AR130" i="37"/>
  <c r="AF116" i="37"/>
  <c r="AF130" i="37"/>
  <c r="Q116" i="37"/>
  <c r="Q130" i="37"/>
  <c r="AK116" i="37"/>
  <c r="AK130" i="37"/>
  <c r="AS116" i="37"/>
  <c r="AS130" i="37"/>
  <c r="M34" i="37"/>
  <c r="M41" i="37"/>
  <c r="L34" i="37"/>
  <c r="L41" i="37"/>
  <c r="U35" i="37"/>
  <c r="U42" i="37"/>
  <c r="Q35" i="37"/>
  <c r="Q42" i="37"/>
  <c r="AV35" i="37"/>
  <c r="AV42" i="37"/>
  <c r="AB35" i="37"/>
  <c r="AB42" i="37"/>
  <c r="X35" i="37"/>
  <c r="X42" i="37"/>
  <c r="P35" i="37"/>
  <c r="P42" i="37"/>
  <c r="AW35" i="37"/>
  <c r="AW42" i="37"/>
  <c r="AC35" i="37"/>
  <c r="AC42" i="37"/>
  <c r="Y35" i="37"/>
  <c r="Y42" i="37"/>
  <c r="AN35" i="37"/>
  <c r="AN42" i="37"/>
  <c r="L35" i="37"/>
  <c r="L42" i="37"/>
  <c r="T35" i="37"/>
  <c r="T42" i="37"/>
  <c r="AO35" i="37"/>
  <c r="AO42" i="37"/>
  <c r="M35" i="37"/>
  <c r="M42" i="37"/>
  <c r="AJ35" i="37"/>
  <c r="AJ42" i="37"/>
  <c r="AR35" i="37"/>
  <c r="AR42" i="37"/>
  <c r="AF35" i="37"/>
  <c r="AF42" i="37"/>
  <c r="AK35" i="37"/>
  <c r="AK42" i="37"/>
  <c r="AS35" i="37"/>
  <c r="AS42" i="37"/>
  <c r="O18" i="37"/>
  <c r="N10" i="37"/>
  <c r="N115" i="37" s="1"/>
  <c r="N34" i="37" l="1"/>
  <c r="N41" i="37"/>
  <c r="P18" i="37"/>
  <c r="O10" i="37"/>
  <c r="O115" i="37" s="1"/>
  <c r="O34" i="37" l="1"/>
  <c r="O41" i="37"/>
  <c r="Q18" i="37"/>
  <c r="P10" i="37"/>
  <c r="P115" i="37" s="1"/>
  <c r="P34" i="37" l="1"/>
  <c r="P41" i="37"/>
  <c r="R18" i="37"/>
  <c r="Q10" i="37"/>
  <c r="Q115" i="37" s="1"/>
  <c r="Q34" i="37" l="1"/>
  <c r="Q41" i="37"/>
  <c r="S18" i="37"/>
  <c r="R10" i="37"/>
  <c r="R115" i="37" s="1"/>
  <c r="R34" i="37" l="1"/>
  <c r="R41" i="37"/>
  <c r="T18" i="37"/>
  <c r="S10" i="37"/>
  <c r="S115" i="37" s="1"/>
  <c r="S34" i="37" l="1"/>
  <c r="S41" i="37"/>
  <c r="U18" i="37"/>
  <c r="T10" i="37"/>
  <c r="T115" i="37" s="1"/>
  <c r="T34" i="37" l="1"/>
  <c r="T41" i="37"/>
  <c r="V18" i="37"/>
  <c r="U10" i="37"/>
  <c r="U115" i="37" s="1"/>
  <c r="U34" i="37" l="1"/>
  <c r="U41" i="37"/>
  <c r="W18" i="37"/>
  <c r="V10" i="37"/>
  <c r="V115" i="37" s="1"/>
  <c r="V34" i="37" l="1"/>
  <c r="V41" i="37"/>
  <c r="X18" i="37"/>
  <c r="W10" i="37"/>
  <c r="W115" i="37" s="1"/>
  <c r="W34" i="37" l="1"/>
  <c r="W41" i="37"/>
  <c r="Y18" i="37"/>
  <c r="X10" i="37"/>
  <c r="X115" i="37" s="1"/>
  <c r="X34" i="37" l="1"/>
  <c r="X41" i="37"/>
  <c r="Z18" i="37"/>
  <c r="Y10" i="37"/>
  <c r="Y115" i="37" s="1"/>
  <c r="Y34" i="37" l="1"/>
  <c r="Y41" i="37"/>
  <c r="AA18" i="37"/>
  <c r="Z10" i="37"/>
  <c r="Z115" i="37" s="1"/>
  <c r="Z34" i="37" l="1"/>
  <c r="Z41" i="37"/>
  <c r="AB18" i="37"/>
  <c r="AB10" i="37" s="1"/>
  <c r="AB115" i="37" s="1"/>
  <c r="AA10" i="37"/>
  <c r="AA115" i="37" s="1"/>
  <c r="AA34" i="37" l="1"/>
  <c r="AA41" i="37"/>
  <c r="AC18" i="37"/>
  <c r="AB34" i="37" l="1"/>
  <c r="AB41" i="37"/>
  <c r="AD18" i="37"/>
  <c r="AC10" i="37"/>
  <c r="AC115" i="37" s="1"/>
  <c r="AC34" i="37" l="1"/>
  <c r="AC41" i="37"/>
  <c r="AE18" i="37"/>
  <c r="AD10" i="37"/>
  <c r="AD115" i="37" s="1"/>
  <c r="AD34" i="37" l="1"/>
  <c r="AD41" i="37"/>
  <c r="AF18" i="37"/>
  <c r="AE10" i="37"/>
  <c r="AE115" i="37" s="1"/>
  <c r="AE34" i="37" l="1"/>
  <c r="AE41" i="37"/>
  <c r="AG18" i="37"/>
  <c r="AF10" i="37"/>
  <c r="AF115" i="37" s="1"/>
  <c r="AF34" i="37" l="1"/>
  <c r="AF41" i="37"/>
  <c r="AH18" i="37"/>
  <c r="AG10" i="37"/>
  <c r="AG115" i="37" s="1"/>
  <c r="AG34" i="37" l="1"/>
  <c r="AG41" i="37"/>
  <c r="AI18" i="37"/>
  <c r="AH10" i="37"/>
  <c r="AH115" i="37" s="1"/>
  <c r="AH34" i="37" l="1"/>
  <c r="AH41" i="37"/>
  <c r="AJ18" i="37"/>
  <c r="AI10" i="37"/>
  <c r="AI115" i="37" s="1"/>
  <c r="AI34" i="37" l="1"/>
  <c r="AI41" i="37"/>
  <c r="AK18" i="37"/>
  <c r="AJ10" i="37"/>
  <c r="AJ115" i="37" s="1"/>
  <c r="AJ34" i="37" l="1"/>
  <c r="AJ41" i="37"/>
  <c r="AL18" i="37"/>
  <c r="AK10" i="37"/>
  <c r="AK115" i="37" s="1"/>
  <c r="AK34" i="37" l="1"/>
  <c r="AK41" i="37"/>
  <c r="AM18" i="37"/>
  <c r="AL10" i="37"/>
  <c r="AL115" i="37" s="1"/>
  <c r="AL34" i="37" l="1"/>
  <c r="AL41" i="37"/>
  <c r="AN18" i="37"/>
  <c r="AM10" i="37"/>
  <c r="AM115" i="37" s="1"/>
  <c r="AM34" i="37" l="1"/>
  <c r="AM41" i="37"/>
  <c r="AO18" i="37"/>
  <c r="AN10" i="37"/>
  <c r="AN115" i="37" s="1"/>
  <c r="AN34" i="37" l="1"/>
  <c r="AN41" i="37"/>
  <c r="AP18" i="37"/>
  <c r="AO10" i="37"/>
  <c r="AO115" i="37" s="1"/>
  <c r="AO34" i="37" l="1"/>
  <c r="AO41" i="37"/>
  <c r="AQ18" i="37"/>
  <c r="AP10" i="37"/>
  <c r="AP115" i="37" s="1"/>
  <c r="AP34" i="37" l="1"/>
  <c r="AP41" i="37"/>
  <c r="AR18" i="37"/>
  <c r="AQ10" i="37"/>
  <c r="AQ115" i="37" s="1"/>
  <c r="AQ34" i="37" l="1"/>
  <c r="AQ41" i="37"/>
  <c r="AS18" i="37"/>
  <c r="AR10" i="37"/>
  <c r="AR115" i="37" s="1"/>
  <c r="AR34" i="37" l="1"/>
  <c r="AR41" i="37"/>
  <c r="AT18" i="37"/>
  <c r="AS10" i="37"/>
  <c r="AS115" i="37" s="1"/>
  <c r="AS34" i="37" l="1"/>
  <c r="AS41" i="37"/>
  <c r="AU18" i="37"/>
  <c r="AT10" i="37"/>
  <c r="AT115" i="37" s="1"/>
  <c r="AT34" i="37" l="1"/>
  <c r="AT41" i="37"/>
  <c r="AV18" i="37"/>
  <c r="AU10" i="37"/>
  <c r="AU115" i="37" s="1"/>
  <c r="AU34" i="37" l="1"/>
  <c r="AU41" i="37"/>
  <c r="AW18" i="37"/>
  <c r="AV10" i="37"/>
  <c r="AV115" i="37" s="1"/>
  <c r="AV34" i="37" l="1"/>
  <c r="AV41" i="37"/>
  <c r="AX18" i="37"/>
  <c r="AW10" i="37"/>
  <c r="AW115" i="37" s="1"/>
  <c r="AW34" i="37" l="1"/>
  <c r="AW41" i="37"/>
  <c r="AY18" i="37"/>
  <c r="AX10" i="37"/>
  <c r="AX115" i="37" s="1"/>
  <c r="AX118" i="37" l="1"/>
  <c r="AX34" i="37"/>
  <c r="AX41" i="37"/>
  <c r="AZ18" i="37"/>
  <c r="AY10" i="37"/>
  <c r="AY115" i="37" s="1"/>
  <c r="AY118" i="37" l="1"/>
  <c r="AY34" i="37"/>
  <c r="AY41" i="37"/>
  <c r="BA18" i="37"/>
  <c r="AZ10" i="37"/>
  <c r="AZ115" i="37" s="1"/>
  <c r="AZ118" i="37" l="1"/>
  <c r="AZ34" i="37"/>
  <c r="AZ41" i="37"/>
  <c r="BB18" i="37"/>
  <c r="BA10" i="37"/>
  <c r="BA115" i="37" s="1"/>
  <c r="BA118" i="37" l="1"/>
  <c r="BA34" i="37"/>
  <c r="BA41" i="37"/>
  <c r="BC18" i="37"/>
  <c r="BB10" i="37"/>
  <c r="BB115" i="37" s="1"/>
  <c r="BB118" i="37" l="1"/>
  <c r="BB34" i="37"/>
  <c r="BB41" i="37"/>
  <c r="BD18" i="37"/>
  <c r="BC10" i="37"/>
  <c r="BC115" i="37" s="1"/>
  <c r="BC118" i="37" l="1"/>
  <c r="BC34" i="37"/>
  <c r="BC41" i="37"/>
  <c r="BE18" i="37"/>
  <c r="BD10" i="37"/>
  <c r="BD115" i="37" s="1"/>
  <c r="BD118" i="37" l="1"/>
  <c r="BD34" i="37"/>
  <c r="BD41" i="37"/>
  <c r="BF18" i="37"/>
  <c r="BE10" i="37"/>
  <c r="BE115" i="37" s="1"/>
  <c r="BE118" i="37" l="1"/>
  <c r="BE34" i="37"/>
  <c r="BE41" i="37"/>
  <c r="BG18" i="37"/>
  <c r="BF10" i="37"/>
  <c r="BF115" i="37" s="1"/>
  <c r="BF118" i="37" l="1"/>
  <c r="BF34" i="37"/>
  <c r="BF41" i="37"/>
  <c r="BH18" i="37"/>
  <c r="BG10" i="37"/>
  <c r="BG115" i="37" s="1"/>
  <c r="BG118" i="37" l="1"/>
  <c r="BG34" i="37"/>
  <c r="BG41" i="37"/>
  <c r="BI18" i="37"/>
  <c r="BH10" i="37"/>
  <c r="BH115" i="37" s="1"/>
  <c r="BH118" i="37" l="1"/>
  <c r="BH34" i="37"/>
  <c r="BH41" i="37"/>
  <c r="BJ18" i="37"/>
  <c r="BI10" i="37"/>
  <c r="BI115" i="37" s="1"/>
  <c r="BI118" i="37" l="1"/>
  <c r="BI34" i="37"/>
  <c r="BI41" i="37"/>
  <c r="BK18" i="37"/>
  <c r="BJ10" i="37"/>
  <c r="BJ115" i="37" s="1"/>
  <c r="BJ118" i="37" l="1"/>
  <c r="BJ34" i="37"/>
  <c r="BJ41" i="37"/>
  <c r="BL18" i="37"/>
  <c r="BK10" i="37"/>
  <c r="BK115" i="37" s="1"/>
  <c r="BK118" i="37" l="1"/>
  <c r="BK34" i="37"/>
  <c r="BK41" i="37"/>
  <c r="BM18" i="37"/>
  <c r="BL10" i="37"/>
  <c r="BL115" i="37" s="1"/>
  <c r="BL118" i="37" l="1"/>
  <c r="BL34" i="37"/>
  <c r="BL41" i="37"/>
  <c r="BN18" i="37"/>
  <c r="BM10" i="37"/>
  <c r="BM115" i="37" s="1"/>
  <c r="BM118" i="37" l="1"/>
  <c r="BM34" i="37"/>
  <c r="BM41" i="37"/>
  <c r="BO18" i="37"/>
  <c r="BN10" i="37"/>
  <c r="BN115" i="37" s="1"/>
  <c r="BN118" i="37" l="1"/>
  <c r="BN34" i="37"/>
  <c r="BN41" i="37"/>
  <c r="BP18" i="37"/>
  <c r="BO10" i="37"/>
  <c r="BO115" i="37" l="1"/>
  <c r="BO129" i="37"/>
  <c r="BO118" i="37"/>
  <c r="BO120" i="37" s="1"/>
  <c r="BO34" i="37"/>
  <c r="BO41" i="37"/>
  <c r="BQ18" i="37"/>
  <c r="BP10" i="37"/>
  <c r="BP115" i="37" l="1"/>
  <c r="BP129" i="37"/>
  <c r="BP118" i="37"/>
  <c r="BP120" i="37" s="1"/>
  <c r="BP34" i="37"/>
  <c r="BP41" i="37"/>
  <c r="BR18" i="37"/>
  <c r="BQ10" i="37"/>
  <c r="BQ115" i="37" l="1"/>
  <c r="BQ129" i="37"/>
  <c r="BQ118" i="37"/>
  <c r="BQ120" i="37" s="1"/>
  <c r="BQ34" i="37"/>
  <c r="BQ41" i="37"/>
  <c r="BS18" i="37"/>
  <c r="BR10" i="37"/>
  <c r="BR115" i="37" l="1"/>
  <c r="BR129" i="37"/>
  <c r="BR118" i="37"/>
  <c r="BR120" i="37" s="1"/>
  <c r="BR34" i="37"/>
  <c r="BR41" i="37"/>
  <c r="BT18" i="37"/>
  <c r="BS10" i="37"/>
  <c r="BS115" i="37" l="1"/>
  <c r="BS129" i="37"/>
  <c r="BS118" i="37"/>
  <c r="BS120" i="37" s="1"/>
  <c r="BS34" i="37"/>
  <c r="BS41" i="37"/>
  <c r="BU18" i="37"/>
  <c r="BT10" i="37"/>
  <c r="BT115" i="37" l="1"/>
  <c r="BT129" i="37"/>
  <c r="BT118" i="37"/>
  <c r="BT120" i="37" s="1"/>
  <c r="BT34" i="37"/>
  <c r="BT41" i="37"/>
  <c r="BV18" i="37"/>
  <c r="BU10" i="37"/>
  <c r="BU115" i="37" l="1"/>
  <c r="BU129" i="37"/>
  <c r="BU118" i="37"/>
  <c r="BU120" i="37" s="1"/>
  <c r="BU34" i="37"/>
  <c r="BU41" i="37"/>
  <c r="BW18" i="37"/>
  <c r="BV10" i="37"/>
  <c r="BV115" i="37" l="1"/>
  <c r="BV129" i="37"/>
  <c r="BV118" i="37"/>
  <c r="BV120" i="37" s="1"/>
  <c r="BV34" i="37"/>
  <c r="BV41" i="37"/>
  <c r="BX18" i="37"/>
  <c r="BW10" i="37"/>
  <c r="BW115" i="37" l="1"/>
  <c r="BW129" i="37"/>
  <c r="BW118" i="37"/>
  <c r="BW120" i="37" s="1"/>
  <c r="BW34" i="37"/>
  <c r="BW41" i="37"/>
  <c r="BY18" i="37"/>
  <c r="BX10" i="37"/>
  <c r="BX115" i="37" l="1"/>
  <c r="BX129" i="37"/>
  <c r="BX118" i="37"/>
  <c r="BX120" i="37" s="1"/>
  <c r="BX34" i="37"/>
  <c r="BX41" i="37"/>
  <c r="BZ18" i="37"/>
  <c r="BY10" i="37"/>
  <c r="BY115" i="37" l="1"/>
  <c r="BY129" i="37"/>
  <c r="BY118" i="37"/>
  <c r="BY120" i="37" s="1"/>
  <c r="BY34" i="37"/>
  <c r="BY41" i="37"/>
  <c r="CA18" i="37"/>
  <c r="BZ10" i="37"/>
  <c r="BZ115" i="37" l="1"/>
  <c r="BZ129" i="37"/>
  <c r="BZ118" i="37"/>
  <c r="BZ120" i="37" s="1"/>
  <c r="BZ34" i="37"/>
  <c r="BZ41" i="37"/>
  <c r="CB18" i="37"/>
  <c r="CA10" i="37"/>
  <c r="CA115" i="37" l="1"/>
  <c r="CA129" i="37"/>
  <c r="CA34" i="37"/>
  <c r="CA41" i="37"/>
  <c r="CC18" i="37"/>
  <c r="CB10" i="37"/>
  <c r="CA118" i="37" l="1"/>
  <c r="CA120" i="37" s="1"/>
  <c r="CB115" i="37"/>
  <c r="CB129" i="37"/>
  <c r="CB118" i="37"/>
  <c r="CB120" i="37" s="1"/>
  <c r="CB34" i="37"/>
  <c r="CB41" i="37"/>
  <c r="CD18" i="37"/>
  <c r="CC10" i="37"/>
  <c r="CC115" i="37" l="1"/>
  <c r="CC129" i="37"/>
  <c r="CC34" i="37"/>
  <c r="CC41" i="37"/>
  <c r="CE18" i="37"/>
  <c r="CD10" i="37"/>
  <c r="CC118" i="37" l="1"/>
  <c r="CC120" i="37" s="1"/>
  <c r="CD115" i="37"/>
  <c r="CD129" i="37"/>
  <c r="CD118" i="37"/>
  <c r="CD120" i="37" s="1"/>
  <c r="CD34" i="37"/>
  <c r="CD41" i="37"/>
  <c r="CF18" i="37"/>
  <c r="CE10" i="37"/>
  <c r="CE115" i="37" l="1"/>
  <c r="CE129" i="37"/>
  <c r="CE34" i="37"/>
  <c r="CE41" i="37"/>
  <c r="CG18" i="37"/>
  <c r="CF10" i="37"/>
  <c r="CE118" i="37" l="1"/>
  <c r="CE120" i="37" s="1"/>
  <c r="CF115" i="37"/>
  <c r="CF129" i="37"/>
  <c r="CF118" i="37"/>
  <c r="CF120" i="37" s="1"/>
  <c r="CF34" i="37"/>
  <c r="CF41" i="37"/>
  <c r="CH18" i="37"/>
  <c r="CG10" i="37"/>
  <c r="CG115" i="37" l="1"/>
  <c r="CG129" i="37"/>
  <c r="CG34" i="37"/>
  <c r="CG41" i="37"/>
  <c r="CI18" i="37"/>
  <c r="CH10" i="37"/>
  <c r="CG118" i="37" l="1"/>
  <c r="CG120" i="37" s="1"/>
  <c r="CH115" i="37"/>
  <c r="CH129" i="37"/>
  <c r="CH118" i="37"/>
  <c r="CH120" i="37" s="1"/>
  <c r="CH34" i="37"/>
  <c r="CH41" i="37"/>
  <c r="CJ18" i="37"/>
  <c r="CI10" i="37"/>
  <c r="CI115" i="37" l="1"/>
  <c r="CI129" i="37"/>
  <c r="CI34" i="37"/>
  <c r="CI41" i="37"/>
  <c r="CK18" i="37"/>
  <c r="CJ10" i="37"/>
  <c r="CI118" i="37" l="1"/>
  <c r="CI120" i="37" s="1"/>
  <c r="CJ115" i="37"/>
  <c r="CJ129" i="37"/>
  <c r="CJ118" i="37"/>
  <c r="CJ120" i="37" s="1"/>
  <c r="CJ34" i="37"/>
  <c r="CJ41" i="37"/>
  <c r="CL18" i="37"/>
  <c r="CK10" i="37"/>
  <c r="CK115" i="37" l="1"/>
  <c r="CK129" i="37"/>
  <c r="CK34" i="37"/>
  <c r="CK41" i="37"/>
  <c r="CM18" i="37"/>
  <c r="CL10" i="37"/>
  <c r="CK118" i="37" l="1"/>
  <c r="CK120" i="37" s="1"/>
  <c r="CL115" i="37"/>
  <c r="CL129" i="37"/>
  <c r="CL118" i="37"/>
  <c r="CL120" i="37" s="1"/>
  <c r="CL34" i="37"/>
  <c r="CL41" i="37"/>
  <c r="CN18" i="37"/>
  <c r="CM10" i="37"/>
  <c r="CM115" i="37" l="1"/>
  <c r="CM129" i="37"/>
  <c r="CM118" i="37"/>
  <c r="CM120" i="37" s="1"/>
  <c r="CM34" i="37"/>
  <c r="CM41" i="37"/>
  <c r="CO18" i="37"/>
  <c r="CN10" i="37"/>
  <c r="CN115" i="37" l="1"/>
  <c r="CN129" i="37"/>
  <c r="CN118" i="37"/>
  <c r="CN120" i="37" s="1"/>
  <c r="CN34" i="37"/>
  <c r="CN41" i="37"/>
  <c r="CP18" i="37"/>
  <c r="CO10" i="37"/>
  <c r="CO115" i="37" l="1"/>
  <c r="CO129" i="37"/>
  <c r="CO118" i="37"/>
  <c r="CO120" i="37" s="1"/>
  <c r="CO34" i="37"/>
  <c r="CO41" i="37"/>
  <c r="CQ18" i="37"/>
  <c r="CP10" i="37"/>
  <c r="CP115" i="37" l="1"/>
  <c r="CP129" i="37"/>
  <c r="CP118" i="37"/>
  <c r="CP120" i="37" s="1"/>
  <c r="CP34" i="37"/>
  <c r="CP41" i="37"/>
  <c r="CR18" i="37"/>
  <c r="CQ10" i="37"/>
  <c r="CQ115" i="37" l="1"/>
  <c r="CQ129" i="37"/>
  <c r="CQ118" i="37"/>
  <c r="CQ120" i="37" s="1"/>
  <c r="CQ34" i="37"/>
  <c r="CQ41" i="37"/>
  <c r="CS18" i="37"/>
  <c r="CR10" i="37"/>
  <c r="CR115" i="37" l="1"/>
  <c r="CR129" i="37"/>
  <c r="CR118" i="37"/>
  <c r="CR120" i="37" s="1"/>
  <c r="CR34" i="37"/>
  <c r="CR41" i="37"/>
  <c r="CT18" i="37"/>
  <c r="CS10" i="37"/>
  <c r="CS115" i="37" l="1"/>
  <c r="CS129" i="37"/>
  <c r="CS118" i="37"/>
  <c r="CS120" i="37" s="1"/>
  <c r="CS34" i="37"/>
  <c r="CS41" i="37"/>
  <c r="CU18" i="37"/>
  <c r="CT10" i="37"/>
  <c r="CT115" i="37" l="1"/>
  <c r="CT129" i="37"/>
  <c r="CT118" i="37"/>
  <c r="CT120" i="37" s="1"/>
  <c r="CT34" i="37"/>
  <c r="CT41" i="37"/>
  <c r="CV18" i="37"/>
  <c r="CU10" i="37"/>
  <c r="CU115" i="37" l="1"/>
  <c r="CU129" i="37"/>
  <c r="CU118" i="37"/>
  <c r="CU120" i="37" s="1"/>
  <c r="CU34" i="37"/>
  <c r="CU41" i="37"/>
  <c r="CW18" i="37"/>
  <c r="CV10" i="37"/>
  <c r="CV115" i="37" l="1"/>
  <c r="CV129" i="37"/>
  <c r="CV118" i="37"/>
  <c r="CV120" i="37" s="1"/>
  <c r="CV34" i="37"/>
  <c r="CV41" i="37"/>
  <c r="CX18" i="37"/>
  <c r="CW10" i="37"/>
  <c r="CW115" i="37" l="1"/>
  <c r="CW129" i="37"/>
  <c r="CW118" i="37"/>
  <c r="CW120" i="37" s="1"/>
  <c r="CW34" i="37"/>
  <c r="CW41" i="37"/>
  <c r="CY18" i="37"/>
  <c r="CX10" i="37"/>
  <c r="CX115" i="37" l="1"/>
  <c r="CX129" i="37"/>
  <c r="CX118" i="37"/>
  <c r="CX120" i="37" s="1"/>
  <c r="CX34" i="37"/>
  <c r="CX41" i="37"/>
  <c r="CZ18" i="37"/>
  <c r="CY10" i="37"/>
  <c r="CY115" i="37" l="1"/>
  <c r="CY129" i="37"/>
  <c r="CY118" i="37"/>
  <c r="CY120" i="37" s="1"/>
  <c r="CY34" i="37"/>
  <c r="CY41" i="37"/>
  <c r="DA18" i="37"/>
  <c r="CZ10" i="37"/>
  <c r="CZ115" i="37" l="1"/>
  <c r="CZ129" i="37"/>
  <c r="CZ118" i="37"/>
  <c r="CZ120" i="37" s="1"/>
  <c r="CZ34" i="37"/>
  <c r="CZ41" i="37"/>
  <c r="DB18" i="37"/>
  <c r="DA10" i="37"/>
  <c r="DA115" i="37" l="1"/>
  <c r="DA129" i="37"/>
  <c r="DA118" i="37"/>
  <c r="DA120" i="37" s="1"/>
  <c r="DA34" i="37"/>
  <c r="DA41" i="37"/>
  <c r="DC18" i="37"/>
  <c r="DB10" i="37"/>
  <c r="DB115" i="37" l="1"/>
  <c r="DB129" i="37"/>
  <c r="DB118" i="37"/>
  <c r="DB120" i="37" s="1"/>
  <c r="DB34" i="37"/>
  <c r="DB41" i="37"/>
  <c r="DD18" i="37"/>
  <c r="DC10" i="37"/>
  <c r="DC115" i="37" l="1"/>
  <c r="DC129" i="37"/>
  <c r="DC118" i="37"/>
  <c r="DC120" i="37" s="1"/>
  <c r="DC34" i="37"/>
  <c r="DC41" i="37"/>
  <c r="DE18" i="37"/>
  <c r="DD10" i="37"/>
  <c r="DD115" i="37" l="1"/>
  <c r="DD129" i="37"/>
  <c r="DD118" i="37"/>
  <c r="DD120" i="37" s="1"/>
  <c r="DD34" i="37"/>
  <c r="DD41" i="37"/>
  <c r="DF18" i="37"/>
  <c r="DE10" i="37"/>
  <c r="DE115" i="37" l="1"/>
  <c r="DE129" i="37"/>
  <c r="DE118" i="37"/>
  <c r="DE120" i="37" s="1"/>
  <c r="DE34" i="37"/>
  <c r="DE41" i="37"/>
  <c r="DG18" i="37"/>
  <c r="DF10" i="37"/>
  <c r="DF115" i="37" l="1"/>
  <c r="DF129" i="37"/>
  <c r="DF118" i="37"/>
  <c r="DF120" i="37" s="1"/>
  <c r="DF34" i="37"/>
  <c r="DF41" i="37"/>
  <c r="DH18" i="37"/>
  <c r="DG10" i="37"/>
  <c r="DG115" i="37" l="1"/>
  <c r="DG129" i="37"/>
  <c r="DG118" i="37"/>
  <c r="DG120" i="37" s="1"/>
  <c r="DG34" i="37"/>
  <c r="DG41" i="37"/>
  <c r="DI18" i="37"/>
  <c r="DH10" i="37"/>
  <c r="DH115" i="37" l="1"/>
  <c r="DH129" i="37"/>
  <c r="DH118" i="37"/>
  <c r="DH120" i="37" s="1"/>
  <c r="DH34" i="37"/>
  <c r="DH41" i="37"/>
  <c r="DJ18" i="37"/>
  <c r="DI10" i="37"/>
  <c r="DI115" i="37" l="1"/>
  <c r="DI129" i="37"/>
  <c r="DI118" i="37"/>
  <c r="DI120" i="37" s="1"/>
  <c r="DI34" i="37"/>
  <c r="DI41" i="37"/>
  <c r="DK18" i="37"/>
  <c r="DJ10" i="37"/>
  <c r="DJ115" i="37" l="1"/>
  <c r="DJ129" i="37"/>
  <c r="DJ118" i="37"/>
  <c r="DJ120" i="37" s="1"/>
  <c r="DJ34" i="37"/>
  <c r="DJ41" i="37"/>
  <c r="DL18" i="37"/>
  <c r="DK10" i="37"/>
  <c r="DK115" i="37" l="1"/>
  <c r="DK129" i="37"/>
  <c r="DK118" i="37"/>
  <c r="DK120" i="37" s="1"/>
  <c r="DK34" i="37"/>
  <c r="DK41" i="37"/>
  <c r="DM18" i="37"/>
  <c r="DL10" i="37"/>
  <c r="DL115" i="37" l="1"/>
  <c r="DL129" i="37"/>
  <c r="DL118" i="37"/>
  <c r="DL120" i="37" s="1"/>
  <c r="DL34" i="37"/>
  <c r="DL41" i="37"/>
  <c r="DN18" i="37"/>
  <c r="DM10" i="37"/>
  <c r="DM115" i="37" l="1"/>
  <c r="DM129" i="37"/>
  <c r="DM118" i="37"/>
  <c r="DM120" i="37" s="1"/>
  <c r="DM34" i="37"/>
  <c r="DM41" i="37"/>
  <c r="DO18" i="37"/>
  <c r="DN10" i="37"/>
  <c r="DN115" i="37" l="1"/>
  <c r="DN129" i="37"/>
  <c r="DN118" i="37"/>
  <c r="DN120" i="37" s="1"/>
  <c r="DN34" i="37"/>
  <c r="DN41" i="37"/>
  <c r="DP18" i="37"/>
  <c r="DO10" i="37"/>
  <c r="DO115" i="37" l="1"/>
  <c r="DO129" i="37"/>
  <c r="DO118" i="37"/>
  <c r="DO120" i="37" s="1"/>
  <c r="DO34" i="37"/>
  <c r="DO41" i="37"/>
  <c r="DQ18" i="37"/>
  <c r="DP10" i="37"/>
  <c r="DP115" i="37" l="1"/>
  <c r="DP129" i="37"/>
  <c r="DP118" i="37"/>
  <c r="DP120" i="37" s="1"/>
  <c r="DP34" i="37"/>
  <c r="DP41" i="37"/>
  <c r="DR18" i="37"/>
  <c r="DQ10" i="37"/>
  <c r="DQ115" i="37" l="1"/>
  <c r="DQ129" i="37"/>
  <c r="DQ118" i="37"/>
  <c r="DQ120" i="37" s="1"/>
  <c r="DQ34" i="37"/>
  <c r="DQ41" i="37"/>
  <c r="DS18" i="37"/>
  <c r="DR10" i="37"/>
  <c r="DR115" i="37" l="1"/>
  <c r="DR129" i="37"/>
  <c r="DR118" i="37"/>
  <c r="DR120" i="37" s="1"/>
  <c r="DR34" i="37"/>
  <c r="DR41" i="37"/>
  <c r="DT18" i="37"/>
  <c r="DS10" i="37"/>
  <c r="DS115" i="37" l="1"/>
  <c r="DS129" i="37"/>
  <c r="DS118" i="37"/>
  <c r="DS120" i="37" s="1"/>
  <c r="DS34" i="37"/>
  <c r="DS41" i="37"/>
  <c r="DU18" i="37"/>
  <c r="DT10" i="37"/>
  <c r="DT115" i="37" l="1"/>
  <c r="DT129" i="37"/>
  <c r="DT118" i="37"/>
  <c r="DT120" i="37" s="1"/>
  <c r="DT34" i="37"/>
  <c r="DT41" i="37"/>
  <c r="DV18" i="37"/>
  <c r="DU10" i="37"/>
  <c r="DU115" i="37" l="1"/>
  <c r="DU129" i="37"/>
  <c r="DU118" i="37"/>
  <c r="DU120" i="37" s="1"/>
  <c r="DU34" i="37"/>
  <c r="DU41" i="37"/>
  <c r="DW18" i="37"/>
  <c r="DV10" i="37"/>
  <c r="DV115" i="37" l="1"/>
  <c r="DV129" i="37"/>
  <c r="DV118" i="37"/>
  <c r="DV120" i="37" s="1"/>
  <c r="DV34" i="37"/>
  <c r="DV41" i="37"/>
  <c r="DX18" i="37"/>
  <c r="DW10" i="37"/>
  <c r="DW115" i="37" l="1"/>
  <c r="DW129" i="37"/>
  <c r="DW118" i="37"/>
  <c r="DW120" i="37" s="1"/>
  <c r="DW34" i="37"/>
  <c r="DW41" i="37"/>
  <c r="DY18" i="37"/>
  <c r="DX10" i="37"/>
  <c r="DX115" i="37" l="1"/>
  <c r="DX129" i="37"/>
  <c r="DX118" i="37"/>
  <c r="DX120" i="37" s="1"/>
  <c r="DX34" i="37"/>
  <c r="DX41" i="37"/>
  <c r="DZ18" i="37"/>
  <c r="DY10" i="37"/>
  <c r="DY115" i="37" l="1"/>
  <c r="DY129" i="37"/>
  <c r="DY118" i="37"/>
  <c r="DY120" i="37" s="1"/>
  <c r="DY34" i="37"/>
  <c r="DY41" i="37"/>
  <c r="EA18" i="37"/>
  <c r="DZ10" i="37"/>
  <c r="DZ115" i="37" l="1"/>
  <c r="DZ129" i="37"/>
  <c r="DZ118" i="37"/>
  <c r="DZ120" i="37" s="1"/>
  <c r="DZ34" i="37"/>
  <c r="DZ41" i="37"/>
  <c r="EB18" i="37"/>
  <c r="EA10" i="37"/>
  <c r="EA115" i="37" l="1"/>
  <c r="EA129" i="37"/>
  <c r="EA34" i="37"/>
  <c r="EA41" i="37"/>
  <c r="EC18" i="37"/>
  <c r="EB10" i="37"/>
  <c r="EA118" i="37" l="1"/>
  <c r="EA120" i="37" s="1"/>
  <c r="EB115" i="37"/>
  <c r="EB129" i="37"/>
  <c r="EB118" i="37"/>
  <c r="EB120" i="37" s="1"/>
  <c r="EB34" i="37"/>
  <c r="EB41" i="37"/>
  <c r="ED18" i="37"/>
  <c r="EC10" i="37"/>
  <c r="EC115" i="37" l="1"/>
  <c r="EC129" i="37"/>
  <c r="EC118" i="37"/>
  <c r="EC120" i="37" s="1"/>
  <c r="EC34" i="37"/>
  <c r="EC41" i="37"/>
  <c r="EE18" i="37"/>
  <c r="ED10" i="37"/>
  <c r="ED115" i="37" l="1"/>
  <c r="ED129" i="37"/>
  <c r="ED118" i="37"/>
  <c r="ED120" i="37" s="1"/>
  <c r="ED34" i="37"/>
  <c r="ED41" i="37"/>
  <c r="EF18" i="37"/>
  <c r="EE10" i="37"/>
  <c r="EE115" i="37" l="1"/>
  <c r="EE129" i="37"/>
  <c r="EE118" i="37"/>
  <c r="EE120" i="37" s="1"/>
  <c r="EE34" i="37"/>
  <c r="EE41" i="37"/>
  <c r="EG18" i="37"/>
  <c r="EF10" i="37"/>
  <c r="EF115" i="37" l="1"/>
  <c r="EF129" i="37"/>
  <c r="EF118" i="37"/>
  <c r="EF120" i="37" s="1"/>
  <c r="EF34" i="37"/>
  <c r="EF41" i="37"/>
  <c r="EH18" i="37"/>
  <c r="EG10" i="37"/>
  <c r="EG115" i="37" l="1"/>
  <c r="EG129" i="37"/>
  <c r="EG118" i="37"/>
  <c r="EG120" i="37" s="1"/>
  <c r="EG34" i="37"/>
  <c r="EG41" i="37"/>
  <c r="EI18" i="37"/>
  <c r="EH10" i="37"/>
  <c r="EH115" i="37" l="1"/>
  <c r="EH129" i="37"/>
  <c r="EH118" i="37"/>
  <c r="EH120" i="37" s="1"/>
  <c r="EH34" i="37"/>
  <c r="EH41" i="37"/>
  <c r="EJ18" i="37"/>
  <c r="EI10" i="37"/>
  <c r="EI115" i="37" l="1"/>
  <c r="EI129" i="37"/>
  <c r="EI118" i="37"/>
  <c r="EI120" i="37" s="1"/>
  <c r="EI34" i="37"/>
  <c r="EI41" i="37"/>
  <c r="EK18" i="37"/>
  <c r="EJ10" i="37"/>
  <c r="EJ115" i="37" l="1"/>
  <c r="EJ129" i="37"/>
  <c r="EJ118" i="37"/>
  <c r="EJ120" i="37" s="1"/>
  <c r="EJ34" i="37"/>
  <c r="EJ41" i="37"/>
  <c r="EL18" i="37"/>
  <c r="EK10" i="37"/>
  <c r="EK115" i="37" l="1"/>
  <c r="EK129" i="37"/>
  <c r="EK118" i="37"/>
  <c r="EK120" i="37" s="1"/>
  <c r="EK34" i="37"/>
  <c r="EK41" i="37"/>
  <c r="EM18" i="37"/>
  <c r="EL10" i="37"/>
  <c r="EL115" i="37" l="1"/>
  <c r="EL129" i="37"/>
  <c r="EL118" i="37"/>
  <c r="EL120" i="37" s="1"/>
  <c r="EL34" i="37"/>
  <c r="EL41" i="37"/>
  <c r="EN18" i="37"/>
  <c r="EM10" i="37"/>
  <c r="EM115" i="37" l="1"/>
  <c r="EM129" i="37"/>
  <c r="EM118" i="37"/>
  <c r="EM120" i="37" s="1"/>
  <c r="EM34" i="37"/>
  <c r="EM41" i="37"/>
  <c r="EO18" i="37"/>
  <c r="EN10" i="37"/>
  <c r="EN115" i="37" l="1"/>
  <c r="EN129" i="37"/>
  <c r="EN118" i="37"/>
  <c r="EN120" i="37" s="1"/>
  <c r="EN34" i="37"/>
  <c r="EN41" i="37"/>
  <c r="EP18" i="37"/>
  <c r="EO10" i="37"/>
  <c r="EO115" i="37" l="1"/>
  <c r="EO129" i="37"/>
  <c r="EO118" i="37"/>
  <c r="EO120" i="37" s="1"/>
  <c r="EO34" i="37"/>
  <c r="EO41" i="37"/>
  <c r="EQ18" i="37"/>
  <c r="EP10" i="37"/>
  <c r="EP115" i="37" l="1"/>
  <c r="EP129" i="37"/>
  <c r="EP118" i="37"/>
  <c r="EP120" i="37" s="1"/>
  <c r="EP34" i="37"/>
  <c r="EP41" i="37"/>
  <c r="ER18" i="37"/>
  <c r="EQ10" i="37"/>
  <c r="EQ115" i="37" l="1"/>
  <c r="EQ129" i="37"/>
  <c r="EQ118" i="37"/>
  <c r="EQ120" i="37" s="1"/>
  <c r="EQ34" i="37"/>
  <c r="EQ41" i="37"/>
  <c r="ES18" i="37"/>
  <c r="ER10" i="37"/>
  <c r="ER115" i="37" l="1"/>
  <c r="ER129" i="37"/>
  <c r="ER118" i="37"/>
  <c r="ER120" i="37" s="1"/>
  <c r="ER34" i="37"/>
  <c r="ER41" i="37"/>
  <c r="ET18" i="37"/>
  <c r="ES10" i="37"/>
  <c r="ES115" i="37" l="1"/>
  <c r="ES129" i="37"/>
  <c r="ES118" i="37"/>
  <c r="ES120" i="37" s="1"/>
  <c r="ES34" i="37"/>
  <c r="ES41" i="37"/>
  <c r="EU18" i="37"/>
  <c r="ET10" i="37"/>
  <c r="ET115" i="37" l="1"/>
  <c r="ET129" i="37"/>
  <c r="ET118" i="37"/>
  <c r="ET120" i="37" s="1"/>
  <c r="ET34" i="37"/>
  <c r="ET41" i="37"/>
  <c r="EV18" i="37"/>
  <c r="EU10" i="37"/>
  <c r="EU115" i="37" l="1"/>
  <c r="EU129" i="37"/>
  <c r="EU118" i="37"/>
  <c r="EU120" i="37" s="1"/>
  <c r="EU34" i="37"/>
  <c r="EU41" i="37"/>
  <c r="EW18" i="37"/>
  <c r="EV10" i="37"/>
  <c r="EV115" i="37" l="1"/>
  <c r="EV129" i="37"/>
  <c r="EV118" i="37"/>
  <c r="EV120" i="37" s="1"/>
  <c r="EV34" i="37"/>
  <c r="EV41" i="37"/>
  <c r="EX18" i="37"/>
  <c r="EW10" i="37"/>
  <c r="EW115" i="37" l="1"/>
  <c r="EW129" i="37"/>
  <c r="EW118" i="37"/>
  <c r="EW120" i="37" s="1"/>
  <c r="EW34" i="37"/>
  <c r="EW41" i="37"/>
  <c r="EY18" i="37"/>
  <c r="EX10" i="37"/>
  <c r="EX115" i="37" l="1"/>
  <c r="EX129" i="37"/>
  <c r="EX118" i="37"/>
  <c r="EX120" i="37" s="1"/>
  <c r="EX34" i="37"/>
  <c r="EX41" i="37"/>
  <c r="EZ18" i="37"/>
  <c r="EY10" i="37"/>
  <c r="EY115" i="37" l="1"/>
  <c r="EY129" i="37"/>
  <c r="EY118" i="37"/>
  <c r="EY120" i="37" s="1"/>
  <c r="EY34" i="37"/>
  <c r="EY41" i="37"/>
  <c r="FA18" i="37"/>
  <c r="EZ10" i="37"/>
  <c r="EZ115" i="37" l="1"/>
  <c r="EZ129" i="37"/>
  <c r="EZ118" i="37"/>
  <c r="EZ120" i="37" s="1"/>
  <c r="EZ34" i="37"/>
  <c r="EZ41" i="37"/>
  <c r="FB18" i="37"/>
  <c r="FA10" i="37"/>
  <c r="FA115" i="37" l="1"/>
  <c r="FA129" i="37"/>
  <c r="FA118" i="37"/>
  <c r="FA120" i="37" s="1"/>
  <c r="FA34" i="37"/>
  <c r="FA41" i="37"/>
  <c r="FC18" i="37"/>
  <c r="FB10" i="37"/>
  <c r="FB115" i="37" l="1"/>
  <c r="FB129" i="37"/>
  <c r="FB118" i="37"/>
  <c r="FB120" i="37" s="1"/>
  <c r="FB34" i="37"/>
  <c r="FB41" i="37"/>
  <c r="FD18" i="37"/>
  <c r="FC10" i="37"/>
  <c r="FC115" i="37" l="1"/>
  <c r="FC129" i="37"/>
  <c r="FC118" i="37"/>
  <c r="FC120" i="37" s="1"/>
  <c r="FC34" i="37"/>
  <c r="FC41" i="37"/>
  <c r="FE18" i="37"/>
  <c r="FD10" i="37"/>
  <c r="FD115" i="37" l="1"/>
  <c r="FD129" i="37"/>
  <c r="FD118" i="37"/>
  <c r="FD120" i="37" s="1"/>
  <c r="FD34" i="37"/>
  <c r="FD41" i="37"/>
  <c r="FF18" i="37"/>
  <c r="FE10" i="37"/>
  <c r="FE115" i="37" l="1"/>
  <c r="FE129" i="37"/>
  <c r="FE118" i="37"/>
  <c r="FE120" i="37" s="1"/>
  <c r="FE34" i="37"/>
  <c r="FE41" i="37"/>
  <c r="FG18" i="37"/>
  <c r="FF10" i="37"/>
  <c r="FF115" i="37" l="1"/>
  <c r="FF129" i="37"/>
  <c r="FF118" i="37"/>
  <c r="FF120" i="37" s="1"/>
  <c r="FF34" i="37"/>
  <c r="FF41" i="37"/>
  <c r="FH18" i="37"/>
  <c r="FG10" i="37"/>
  <c r="FG115" i="37" l="1"/>
  <c r="FG129" i="37"/>
  <c r="FG118" i="37"/>
  <c r="FG120" i="37" s="1"/>
  <c r="FG34" i="37"/>
  <c r="FG41" i="37"/>
  <c r="FI18" i="37"/>
  <c r="FH10" i="37"/>
  <c r="FH115" i="37" l="1"/>
  <c r="FH129" i="37"/>
  <c r="FH118" i="37"/>
  <c r="FH120" i="37" s="1"/>
  <c r="FH34" i="37"/>
  <c r="FH41" i="37"/>
  <c r="FJ18" i="37"/>
  <c r="FI10" i="37"/>
  <c r="FI115" i="37" l="1"/>
  <c r="FI129" i="37"/>
  <c r="FI118" i="37"/>
  <c r="FI120" i="37" s="1"/>
  <c r="FI34" i="37"/>
  <c r="FI41" i="37"/>
  <c r="FK18" i="37"/>
  <c r="FJ10" i="37"/>
  <c r="FJ115" i="37" l="1"/>
  <c r="FJ129" i="37"/>
  <c r="FJ118" i="37"/>
  <c r="FJ120" i="37" s="1"/>
  <c r="FJ34" i="37"/>
  <c r="FJ41" i="37"/>
  <c r="FL18" i="37"/>
  <c r="FK10" i="37"/>
  <c r="FK115" i="37" l="1"/>
  <c r="FK129" i="37"/>
  <c r="FK118" i="37"/>
  <c r="FK120" i="37" s="1"/>
  <c r="FK34" i="37"/>
  <c r="FK41" i="37"/>
  <c r="FM18" i="37"/>
  <c r="FL10" i="37"/>
  <c r="FL115" i="37" l="1"/>
  <c r="FL129" i="37"/>
  <c r="FL118" i="37"/>
  <c r="FL120" i="37" s="1"/>
  <c r="FL34" i="37"/>
  <c r="FL41" i="37"/>
  <c r="FN18" i="37"/>
  <c r="FM10" i="37"/>
  <c r="FM115" i="37" l="1"/>
  <c r="FM129" i="37"/>
  <c r="FM118" i="37"/>
  <c r="FM120" i="37" s="1"/>
  <c r="FM34" i="37"/>
  <c r="FM41" i="37"/>
  <c r="FO18" i="37"/>
  <c r="FN10" i="37"/>
  <c r="FN115" i="37" l="1"/>
  <c r="FN129" i="37"/>
  <c r="FN118" i="37"/>
  <c r="FN120" i="37" s="1"/>
  <c r="FN34" i="37"/>
  <c r="FN41" i="37"/>
  <c r="FP18" i="37"/>
  <c r="FO10" i="37"/>
  <c r="FO115" i="37" l="1"/>
  <c r="FO129" i="37"/>
  <c r="FO118" i="37"/>
  <c r="FO120" i="37" s="1"/>
  <c r="FO34" i="37"/>
  <c r="FO41" i="37"/>
  <c r="FQ18" i="37"/>
  <c r="FP10" i="37"/>
  <c r="FP115" i="37" l="1"/>
  <c r="FP129" i="37"/>
  <c r="FP118" i="37"/>
  <c r="FP120" i="37" s="1"/>
  <c r="FP34" i="37"/>
  <c r="FP41" i="37"/>
  <c r="FR18" i="37"/>
  <c r="FQ10" i="37"/>
  <c r="FQ115" i="37" l="1"/>
  <c r="FQ129" i="37"/>
  <c r="FQ118" i="37"/>
  <c r="FQ120" i="37" s="1"/>
  <c r="FQ34" i="37"/>
  <c r="FQ41" i="37"/>
  <c r="FS18" i="37"/>
  <c r="FR10" i="37"/>
  <c r="FR115" i="37" l="1"/>
  <c r="FR129" i="37"/>
  <c r="FR118" i="37"/>
  <c r="FR120" i="37" s="1"/>
  <c r="FR34" i="37"/>
  <c r="FR41" i="37"/>
  <c r="FT18" i="37"/>
  <c r="FS10" i="37"/>
  <c r="FS115" i="37" l="1"/>
  <c r="FS129" i="37"/>
  <c r="FS118" i="37"/>
  <c r="FS120" i="37" s="1"/>
  <c r="FS34" i="37"/>
  <c r="FS41" i="37"/>
  <c r="FU18" i="37"/>
  <c r="FT10" i="37"/>
  <c r="FT115" i="37" l="1"/>
  <c r="FT129" i="37"/>
  <c r="FT118" i="37"/>
  <c r="FT120" i="37" s="1"/>
  <c r="FT34" i="37"/>
  <c r="FT41" i="37"/>
  <c r="FV18" i="37"/>
  <c r="FU10" i="37"/>
  <c r="FU115" i="37" l="1"/>
  <c r="FU129" i="37"/>
  <c r="FU118" i="37"/>
  <c r="FU120" i="37" s="1"/>
  <c r="FU34" i="37"/>
  <c r="FU41" i="37"/>
  <c r="FW18" i="37"/>
  <c r="FV10" i="37"/>
  <c r="FV115" i="37" l="1"/>
  <c r="FV129" i="37"/>
  <c r="FV118" i="37"/>
  <c r="FV120" i="37" s="1"/>
  <c r="FV34" i="37"/>
  <c r="FV41" i="37"/>
  <c r="FX18" i="37"/>
  <c r="FW10" i="37"/>
  <c r="FW115" i="37" l="1"/>
  <c r="FW129" i="37"/>
  <c r="FW118" i="37"/>
  <c r="FW120" i="37" s="1"/>
  <c r="FW34" i="37"/>
  <c r="FW41" i="37"/>
  <c r="FY18" i="37"/>
  <c r="FX10" i="37"/>
  <c r="FX115" i="37" l="1"/>
  <c r="FX129" i="37"/>
  <c r="FX118" i="37"/>
  <c r="FX120" i="37" s="1"/>
  <c r="FX34" i="37"/>
  <c r="FX41" i="37"/>
  <c r="FZ18" i="37"/>
  <c r="FY10" i="37"/>
  <c r="FY115" i="37" l="1"/>
  <c r="FY129" i="37"/>
  <c r="FY118" i="37"/>
  <c r="FY120" i="37" s="1"/>
  <c r="FY34" i="37"/>
  <c r="FY41" i="37"/>
  <c r="GA18" i="37"/>
  <c r="FZ10" i="37"/>
  <c r="FZ115" i="37" l="1"/>
  <c r="FZ129" i="37"/>
  <c r="FZ118" i="37"/>
  <c r="FZ120" i="37" s="1"/>
  <c r="FZ34" i="37"/>
  <c r="FZ41" i="37"/>
  <c r="GB18" i="37"/>
  <c r="GA10" i="37"/>
  <c r="GA115" i="37" l="1"/>
  <c r="GA129" i="37"/>
  <c r="GA118" i="37"/>
  <c r="GA120" i="37" s="1"/>
  <c r="GA34" i="37"/>
  <c r="GA41" i="37"/>
  <c r="GC18" i="37"/>
  <c r="GB10" i="37"/>
  <c r="GB115" i="37" l="1"/>
  <c r="GB129" i="37"/>
  <c r="GB118" i="37"/>
  <c r="GB120" i="37" s="1"/>
  <c r="GB34" i="37"/>
  <c r="GB41" i="37"/>
  <c r="GD18" i="37"/>
  <c r="GC10" i="37"/>
  <c r="GC115" i="37" l="1"/>
  <c r="GC129" i="37"/>
  <c r="GC118" i="37"/>
  <c r="GC120" i="37" s="1"/>
  <c r="GC34" i="37"/>
  <c r="GC41" i="37"/>
  <c r="GE18" i="37"/>
  <c r="GD10" i="37"/>
  <c r="GD115" i="37" l="1"/>
  <c r="GD129" i="37"/>
  <c r="GD118" i="37"/>
  <c r="GD120" i="37" s="1"/>
  <c r="GD34" i="37"/>
  <c r="GD41" i="37"/>
  <c r="GF18" i="37"/>
  <c r="GE10" i="37"/>
  <c r="GE115" i="37" l="1"/>
  <c r="GE129" i="37"/>
  <c r="GE118" i="37"/>
  <c r="GE120" i="37" s="1"/>
  <c r="GE34" i="37"/>
  <c r="GE41" i="37"/>
  <c r="GG18" i="37"/>
  <c r="GF10" i="37"/>
  <c r="GF115" i="37" l="1"/>
  <c r="GF129" i="37"/>
  <c r="GF118" i="37"/>
  <c r="GF120" i="37" s="1"/>
  <c r="GF34" i="37"/>
  <c r="GF41" i="37"/>
  <c r="GH18" i="37"/>
  <c r="GG10" i="37"/>
  <c r="GG115" i="37" l="1"/>
  <c r="GG129" i="37"/>
  <c r="GG118" i="37"/>
  <c r="GG120" i="37" s="1"/>
  <c r="GG34" i="37"/>
  <c r="GG41" i="37"/>
  <c r="GI18" i="37"/>
  <c r="GH10" i="37"/>
  <c r="GH115" i="37" l="1"/>
  <c r="GH129" i="37"/>
  <c r="GH118" i="37"/>
  <c r="GH120" i="37" s="1"/>
  <c r="GH34" i="37"/>
  <c r="GH41" i="37"/>
  <c r="GJ18" i="37"/>
  <c r="GI10" i="37"/>
  <c r="GI115" i="37" l="1"/>
  <c r="GI129" i="37"/>
  <c r="GI118" i="37"/>
  <c r="GI120" i="37" s="1"/>
  <c r="GI34" i="37"/>
  <c r="GI41" i="37"/>
  <c r="GK18" i="37"/>
  <c r="GJ10" i="37"/>
  <c r="GJ115" i="37" l="1"/>
  <c r="GJ129" i="37"/>
  <c r="GJ118" i="37"/>
  <c r="GJ120" i="37" s="1"/>
  <c r="GJ34" i="37"/>
  <c r="GJ41" i="37"/>
  <c r="GL18" i="37"/>
  <c r="GK10" i="37"/>
  <c r="GK115" i="37" l="1"/>
  <c r="GK129" i="37"/>
  <c r="GK118" i="37"/>
  <c r="GK120" i="37" s="1"/>
  <c r="GK34" i="37"/>
  <c r="GK41" i="37"/>
  <c r="GM18" i="37"/>
  <c r="GL10" i="37"/>
  <c r="GL115" i="37" l="1"/>
  <c r="GL129" i="37"/>
  <c r="GL118" i="37"/>
  <c r="GL120" i="37" s="1"/>
  <c r="GL34" i="37"/>
  <c r="GL41" i="37"/>
  <c r="GN18" i="37"/>
  <c r="GM10" i="37"/>
  <c r="GM115" i="37" l="1"/>
  <c r="GM129" i="37"/>
  <c r="GM118" i="37"/>
  <c r="GM120" i="37" s="1"/>
  <c r="GM34" i="37"/>
  <c r="GM41" i="37"/>
  <c r="GO18" i="37"/>
  <c r="GN10" i="37"/>
  <c r="GN115" i="37" l="1"/>
  <c r="GN129" i="37"/>
  <c r="GN118" i="37"/>
  <c r="GN120" i="37" s="1"/>
  <c r="GN34" i="37"/>
  <c r="GN41" i="37"/>
  <c r="GP18" i="37"/>
  <c r="GO10" i="37"/>
  <c r="GO115" i="37" l="1"/>
  <c r="GO129" i="37"/>
  <c r="GO118" i="37"/>
  <c r="GO120" i="37" s="1"/>
  <c r="GO34" i="37"/>
  <c r="GO41" i="37"/>
  <c r="GQ18" i="37"/>
  <c r="GP10" i="37"/>
  <c r="GP115" i="37" l="1"/>
  <c r="GP129" i="37"/>
  <c r="GP118" i="37"/>
  <c r="GP120" i="37" s="1"/>
  <c r="GP34" i="37"/>
  <c r="GP41" i="37"/>
  <c r="GR18" i="37"/>
  <c r="GQ10" i="37"/>
  <c r="GQ115" i="37" l="1"/>
  <c r="GQ129" i="37"/>
  <c r="GQ118" i="37"/>
  <c r="GQ120" i="37" s="1"/>
  <c r="GQ34" i="37"/>
  <c r="GQ41" i="37"/>
  <c r="GS18" i="37"/>
  <c r="GR10" i="37"/>
  <c r="GR115" i="37" l="1"/>
  <c r="GR129" i="37"/>
  <c r="GR118" i="37"/>
  <c r="GR120" i="37" s="1"/>
  <c r="GR34" i="37"/>
  <c r="GR41" i="37"/>
  <c r="GT18" i="37"/>
  <c r="GS10" i="37"/>
  <c r="GS115" i="37" l="1"/>
  <c r="GS129" i="37"/>
  <c r="GS118" i="37"/>
  <c r="GS120" i="37" s="1"/>
  <c r="GS34" i="37"/>
  <c r="GS41" i="37"/>
  <c r="GU18" i="37"/>
  <c r="GT10" i="37"/>
  <c r="GT115" i="37" l="1"/>
  <c r="GT129" i="37"/>
  <c r="GT118" i="37"/>
  <c r="GT120" i="37" s="1"/>
  <c r="GT34" i="37"/>
  <c r="GT41" i="37"/>
  <c r="GV18" i="37"/>
  <c r="GU10" i="37"/>
  <c r="GU115" i="37" l="1"/>
  <c r="GU129" i="37"/>
  <c r="GU118" i="37"/>
  <c r="GU120" i="37" s="1"/>
  <c r="GU34" i="37"/>
  <c r="GU41" i="37"/>
  <c r="GW18" i="37"/>
  <c r="GV10" i="37"/>
  <c r="GV115" i="37" l="1"/>
  <c r="GV129" i="37"/>
  <c r="GV118" i="37"/>
  <c r="GV120" i="37" s="1"/>
  <c r="GV34" i="37"/>
  <c r="GV41" i="37"/>
  <c r="GX18" i="37"/>
  <c r="GW10" i="37"/>
  <c r="GW115" i="37" l="1"/>
  <c r="GW129" i="37"/>
  <c r="GW118" i="37"/>
  <c r="GW120" i="37" s="1"/>
  <c r="GW34" i="37"/>
  <c r="GW41" i="37"/>
  <c r="GY18" i="37"/>
  <c r="GX10" i="37"/>
  <c r="GX115" i="37" l="1"/>
  <c r="GX129" i="37"/>
  <c r="GX118" i="37"/>
  <c r="GX120" i="37" s="1"/>
  <c r="GX34" i="37"/>
  <c r="GX41" i="37"/>
  <c r="GZ18" i="37"/>
  <c r="GY10" i="37"/>
  <c r="GY115" i="37" l="1"/>
  <c r="GY129" i="37"/>
  <c r="GY118" i="37"/>
  <c r="GY120" i="37" s="1"/>
  <c r="GY34" i="37"/>
  <c r="GY41" i="37"/>
  <c r="HA18" i="37"/>
  <c r="GZ10" i="37"/>
  <c r="GZ115" i="37" l="1"/>
  <c r="GZ129" i="37"/>
  <c r="GZ118" i="37"/>
  <c r="GZ120" i="37" s="1"/>
  <c r="GZ34" i="37"/>
  <c r="GZ41" i="37"/>
  <c r="HB18" i="37"/>
  <c r="HA10" i="37"/>
  <c r="HA115" i="37" l="1"/>
  <c r="HA129" i="37"/>
  <c r="HA118" i="37"/>
  <c r="HA120" i="37" s="1"/>
  <c r="HA34" i="37"/>
  <c r="HA41" i="37"/>
  <c r="HC18" i="37"/>
  <c r="HB10" i="37"/>
  <c r="HB115" i="37" l="1"/>
  <c r="HB129" i="37"/>
  <c r="HB118" i="37"/>
  <c r="HB120" i="37" s="1"/>
  <c r="HB34" i="37"/>
  <c r="HB41" i="37"/>
  <c r="HD18" i="37"/>
  <c r="HC10" i="37"/>
  <c r="HC115" i="37" l="1"/>
  <c r="HC129" i="37"/>
  <c r="HC118" i="37"/>
  <c r="HC120" i="37" s="1"/>
  <c r="HC34" i="37"/>
  <c r="HC41" i="37"/>
  <c r="HE18" i="37"/>
  <c r="HD10" i="37"/>
  <c r="HD115" i="37" l="1"/>
  <c r="HD129" i="37"/>
  <c r="HD118" i="37"/>
  <c r="HD120" i="37" s="1"/>
  <c r="HD34" i="37"/>
  <c r="HD41" i="37"/>
  <c r="HF18" i="37"/>
  <c r="HE10" i="37"/>
  <c r="HE115" i="37" l="1"/>
  <c r="HE129" i="37"/>
  <c r="HE118" i="37"/>
  <c r="HE120" i="37" s="1"/>
  <c r="HE34" i="37"/>
  <c r="HE41" i="37"/>
  <c r="HG18" i="37"/>
  <c r="HF10" i="37"/>
  <c r="HF115" i="37" l="1"/>
  <c r="HF129" i="37"/>
  <c r="HF118" i="37"/>
  <c r="HF120" i="37" s="1"/>
  <c r="HF34" i="37"/>
  <c r="HF41" i="37"/>
  <c r="HH18" i="37"/>
  <c r="HG10" i="37"/>
  <c r="HG115" i="37" l="1"/>
  <c r="HG129" i="37"/>
  <c r="HG118" i="37"/>
  <c r="HG120" i="37" s="1"/>
  <c r="HG34" i="37"/>
  <c r="HG41" i="37"/>
  <c r="HI18" i="37"/>
  <c r="HH10" i="37"/>
  <c r="HH115" i="37" l="1"/>
  <c r="HH129" i="37"/>
  <c r="HH118" i="37"/>
  <c r="HH120" i="37" s="1"/>
  <c r="HH34" i="37"/>
  <c r="HH41" i="37"/>
  <c r="HJ18" i="37"/>
  <c r="HI10" i="37"/>
  <c r="HI115" i="37" l="1"/>
  <c r="HI129" i="37"/>
  <c r="HI118" i="37"/>
  <c r="HI120" i="37" s="1"/>
  <c r="HI34" i="37"/>
  <c r="HI41" i="37"/>
  <c r="HK18" i="37"/>
  <c r="HJ10" i="37"/>
  <c r="HJ115" i="37" l="1"/>
  <c r="HJ129" i="37"/>
  <c r="HJ118" i="37"/>
  <c r="HJ120" i="37" s="1"/>
  <c r="HJ34" i="37"/>
  <c r="HJ41" i="37"/>
  <c r="HL18" i="37"/>
  <c r="HK10" i="37"/>
  <c r="HK115" i="37" l="1"/>
  <c r="HK129" i="37"/>
  <c r="HK118" i="37"/>
  <c r="HK120" i="37" s="1"/>
  <c r="HK34" i="37"/>
  <c r="HK41" i="37"/>
  <c r="HM18" i="37"/>
  <c r="HL10" i="37"/>
  <c r="HL115" i="37" l="1"/>
  <c r="HL129" i="37"/>
  <c r="HL118" i="37"/>
  <c r="HL120" i="37" s="1"/>
  <c r="HL34" i="37"/>
  <c r="HL41" i="37"/>
  <c r="HN18" i="37"/>
  <c r="HM10" i="37"/>
  <c r="HM115" i="37" l="1"/>
  <c r="HM129" i="37"/>
  <c r="HM118" i="37"/>
  <c r="HM120" i="37" s="1"/>
  <c r="HM34" i="37"/>
  <c r="HM41" i="37"/>
  <c r="HO18" i="37"/>
  <c r="HN10" i="37"/>
  <c r="HN115" i="37" l="1"/>
  <c r="HN129" i="37"/>
  <c r="HN118" i="37"/>
  <c r="HN120" i="37" s="1"/>
  <c r="HN34" i="37"/>
  <c r="HN41" i="37"/>
  <c r="HP18" i="37"/>
  <c r="HO10" i="37"/>
  <c r="HO115" i="37" l="1"/>
  <c r="HO129" i="37"/>
  <c r="HO118" i="37"/>
  <c r="HO120" i="37" s="1"/>
  <c r="HO34" i="37"/>
  <c r="HO41" i="37"/>
  <c r="HQ18" i="37"/>
  <c r="HP10" i="37"/>
  <c r="HP115" i="37" l="1"/>
  <c r="HP129" i="37"/>
  <c r="HP118" i="37"/>
  <c r="HP120" i="37" s="1"/>
  <c r="HP34" i="37"/>
  <c r="HP41" i="37"/>
  <c r="HR18" i="37"/>
  <c r="HQ10" i="37"/>
  <c r="HQ115" i="37" l="1"/>
  <c r="HQ129" i="37"/>
  <c r="HQ118" i="37"/>
  <c r="HQ120" i="37" s="1"/>
  <c r="HQ34" i="37"/>
  <c r="HQ41" i="37"/>
  <c r="HS18" i="37"/>
  <c r="HR10" i="37"/>
  <c r="HR115" i="37" l="1"/>
  <c r="HR129" i="37"/>
  <c r="HR118" i="37"/>
  <c r="HR120" i="37" s="1"/>
  <c r="HR34" i="37"/>
  <c r="HR41" i="37"/>
  <c r="HT18" i="37"/>
  <c r="HS10" i="37"/>
  <c r="HS115" i="37" l="1"/>
  <c r="HS129" i="37"/>
  <c r="HS118" i="37"/>
  <c r="HS120" i="37" s="1"/>
  <c r="HS34" i="37"/>
  <c r="HS41" i="37"/>
  <c r="HU18" i="37"/>
  <c r="HT10" i="37"/>
  <c r="HT115" i="37" l="1"/>
  <c r="HT129" i="37"/>
  <c r="HT34" i="37"/>
  <c r="HT41" i="37"/>
  <c r="HV18" i="37"/>
  <c r="HU10" i="37"/>
  <c r="HT118" i="37" l="1"/>
  <c r="HT120" i="37" s="1"/>
  <c r="HU115" i="37"/>
  <c r="HU129" i="37"/>
  <c r="HU118" i="37"/>
  <c r="HU120" i="37" s="1"/>
  <c r="HU34" i="37"/>
  <c r="HU41" i="37"/>
  <c r="HW18" i="37"/>
  <c r="HV10" i="37"/>
  <c r="HV115" i="37" l="1"/>
  <c r="HV129" i="37"/>
  <c r="HV118" i="37"/>
  <c r="HV120" i="37" s="1"/>
  <c r="HV34" i="37"/>
  <c r="HV41" i="37"/>
  <c r="HX18" i="37"/>
  <c r="HW10" i="37"/>
  <c r="HW115" i="37" l="1"/>
  <c r="HW129" i="37"/>
  <c r="HW118" i="37"/>
  <c r="HW120" i="37" s="1"/>
  <c r="HW34" i="37"/>
  <c r="HW41" i="37"/>
  <c r="HY18" i="37"/>
  <c r="HX10" i="37"/>
  <c r="HX115" i="37" l="1"/>
  <c r="HX129" i="37"/>
  <c r="HX118" i="37"/>
  <c r="HX120" i="37" s="1"/>
  <c r="HX34" i="37"/>
  <c r="HX41" i="37"/>
  <c r="HZ18" i="37"/>
  <c r="HY10" i="37"/>
  <c r="HY115" i="37" l="1"/>
  <c r="HY129" i="37"/>
  <c r="HY118" i="37"/>
  <c r="HY120" i="37" s="1"/>
  <c r="HY34" i="37"/>
  <c r="HY41" i="37"/>
  <c r="IA18" i="37"/>
  <c r="HZ10" i="37"/>
  <c r="HZ115" i="37" l="1"/>
  <c r="HZ129" i="37"/>
  <c r="HZ118" i="37"/>
  <c r="HZ120" i="37" s="1"/>
  <c r="HZ34" i="37"/>
  <c r="HZ41" i="37"/>
  <c r="IA10" i="37"/>
  <c r="IA115" i="37" l="1"/>
  <c r="IA129" i="37"/>
  <c r="IA118" i="37"/>
  <c r="IA120" i="37" s="1"/>
  <c r="IA121" i="37" s="1"/>
  <c r="IA113" i="37"/>
  <c r="AJ113" i="37"/>
  <c r="AK113" i="37"/>
  <c r="AL113" i="37"/>
  <c r="AM113" i="37"/>
  <c r="AN113" i="37"/>
  <c r="AO113" i="37"/>
  <c r="AP113" i="37"/>
  <c r="AQ113" i="37"/>
  <c r="AS113" i="37"/>
  <c r="AR113" i="37"/>
  <c r="AT113" i="37"/>
  <c r="AX113" i="37"/>
  <c r="AW113" i="37"/>
  <c r="AV113" i="37"/>
  <c r="AU113" i="37"/>
  <c r="BA113" i="37"/>
  <c r="AZ113" i="37"/>
  <c r="AY113" i="37"/>
  <c r="BC113" i="37"/>
  <c r="BB113" i="37"/>
  <c r="BD113" i="37"/>
  <c r="BG113" i="37"/>
  <c r="BE113" i="37"/>
  <c r="BF113" i="37"/>
  <c r="BH113" i="37"/>
  <c r="BI113" i="37"/>
  <c r="BJ113" i="37"/>
  <c r="BK113" i="37"/>
  <c r="BL113" i="37"/>
  <c r="BM113" i="37"/>
  <c r="BN113" i="37"/>
  <c r="BO113" i="37"/>
  <c r="BP113" i="37"/>
  <c r="BQ113" i="37"/>
  <c r="BR113" i="37"/>
  <c r="BS113" i="37"/>
  <c r="BT113" i="37"/>
  <c r="BU113" i="37"/>
  <c r="BX113" i="37"/>
  <c r="BV113" i="37"/>
  <c r="BW113" i="37"/>
  <c r="BY113" i="37"/>
  <c r="BZ113" i="37"/>
  <c r="CA113" i="37"/>
  <c r="CB113" i="37"/>
  <c r="CC113" i="37"/>
  <c r="CD113" i="37"/>
  <c r="CE113" i="37"/>
  <c r="CF113" i="37"/>
  <c r="CG113" i="37"/>
  <c r="CH113" i="37"/>
  <c r="CI113" i="37"/>
  <c r="CJ113" i="37"/>
  <c r="CK113" i="37"/>
  <c r="CL113" i="37"/>
  <c r="CM113" i="37"/>
  <c r="CN113" i="37"/>
  <c r="CO113" i="37"/>
  <c r="CP113" i="37"/>
  <c r="CQ113" i="37"/>
  <c r="CR113" i="37"/>
  <c r="CS113" i="37"/>
  <c r="CT113" i="37"/>
  <c r="CU113" i="37"/>
  <c r="CV113" i="37"/>
  <c r="CW113" i="37"/>
  <c r="CX113" i="37"/>
  <c r="CY113" i="37"/>
  <c r="CZ113" i="37"/>
  <c r="DA113" i="37"/>
  <c r="DB113" i="37"/>
  <c r="DC113" i="37"/>
  <c r="DD113" i="37"/>
  <c r="DE113" i="37"/>
  <c r="DF113" i="37"/>
  <c r="DG113" i="37"/>
  <c r="DH113" i="37"/>
  <c r="DI113" i="37"/>
  <c r="DJ113" i="37"/>
  <c r="DK113" i="37"/>
  <c r="DL113" i="37"/>
  <c r="DM113" i="37"/>
  <c r="DN113" i="37"/>
  <c r="DO113" i="37"/>
  <c r="DP113" i="37"/>
  <c r="DQ113" i="37"/>
  <c r="DR113" i="37"/>
  <c r="DS113" i="37"/>
  <c r="DT113" i="37"/>
  <c r="DU113" i="37"/>
  <c r="DV113" i="37"/>
  <c r="DW113" i="37"/>
  <c r="DX113" i="37"/>
  <c r="DY113" i="37"/>
  <c r="DZ113" i="37"/>
  <c r="EA113" i="37"/>
  <c r="EB113" i="37"/>
  <c r="EC113" i="37"/>
  <c r="ED113" i="37"/>
  <c r="EE113" i="37"/>
  <c r="EF113" i="37"/>
  <c r="EG113" i="37"/>
  <c r="EH113" i="37"/>
  <c r="EI113" i="37"/>
  <c r="EJ113" i="37"/>
  <c r="EK113" i="37"/>
  <c r="EL113" i="37"/>
  <c r="EM113" i="37"/>
  <c r="EN113" i="37"/>
  <c r="EO113" i="37"/>
  <c r="EP113" i="37"/>
  <c r="EQ113" i="37"/>
  <c r="ER113" i="37"/>
  <c r="ES113" i="37"/>
  <c r="ET113" i="37"/>
  <c r="EU113" i="37"/>
  <c r="EV113" i="37"/>
  <c r="EW113" i="37"/>
  <c r="EX113" i="37"/>
  <c r="EY113" i="37"/>
  <c r="EZ113" i="37"/>
  <c r="FA113" i="37"/>
  <c r="FB113" i="37"/>
  <c r="FC113" i="37"/>
  <c r="FD113" i="37"/>
  <c r="FE113" i="37"/>
  <c r="FF113" i="37"/>
  <c r="FG113" i="37"/>
  <c r="FH113" i="37"/>
  <c r="FI113" i="37"/>
  <c r="FJ113" i="37"/>
  <c r="FK113" i="37"/>
  <c r="FL113" i="37"/>
  <c r="FM113" i="37"/>
  <c r="FN113" i="37"/>
  <c r="FO113" i="37"/>
  <c r="FP113" i="37"/>
  <c r="FQ113" i="37"/>
  <c r="FR113" i="37"/>
  <c r="FS113" i="37"/>
  <c r="FT113" i="37"/>
  <c r="FU113" i="37"/>
  <c r="FV113" i="37"/>
  <c r="FW113" i="37"/>
  <c r="FX113" i="37"/>
  <c r="FY113" i="37"/>
  <c r="FZ113" i="37"/>
  <c r="GA113" i="37"/>
  <c r="GB113" i="37"/>
  <c r="GC113" i="37"/>
  <c r="GD113" i="37"/>
  <c r="GE113" i="37"/>
  <c r="GF113" i="37"/>
  <c r="GG113" i="37"/>
  <c r="GH113" i="37"/>
  <c r="GI113" i="37"/>
  <c r="GJ113" i="37"/>
  <c r="GK113" i="37"/>
  <c r="GL113" i="37"/>
  <c r="GP113" i="37"/>
  <c r="GN113" i="37"/>
  <c r="GM113" i="37"/>
  <c r="GO113" i="37"/>
  <c r="GQ113" i="37"/>
  <c r="GR113" i="37"/>
  <c r="GS113" i="37"/>
  <c r="GT113" i="37"/>
  <c r="GU113" i="37"/>
  <c r="GV113" i="37"/>
  <c r="GW113" i="37"/>
  <c r="GX113" i="37"/>
  <c r="GY113" i="37"/>
  <c r="GZ113" i="37"/>
  <c r="HA113" i="37"/>
  <c r="HD113" i="37"/>
  <c r="HB113" i="37"/>
  <c r="HC113" i="37"/>
  <c r="HE113" i="37"/>
  <c r="HF113" i="37"/>
  <c r="HH113" i="37"/>
  <c r="HG113" i="37"/>
  <c r="HI113" i="37"/>
  <c r="HK113" i="37"/>
  <c r="HJ113" i="37"/>
  <c r="HL113" i="37"/>
  <c r="HM113" i="37"/>
  <c r="HN113" i="37"/>
  <c r="HO113" i="37"/>
  <c r="HP113" i="37"/>
  <c r="HY113" i="37"/>
  <c r="HW113" i="37"/>
  <c r="HU113" i="37"/>
  <c r="HS113" i="37"/>
  <c r="HQ113" i="37"/>
  <c r="IA34" i="37"/>
  <c r="IA41" i="37"/>
  <c r="HR113" i="37" l="1"/>
  <c r="HZ113" i="37"/>
  <c r="HV113" i="37"/>
  <c r="HX113" i="37"/>
  <c r="HT113" i="37"/>
  <c r="HY121" i="37"/>
  <c r="HX121" i="37"/>
  <c r="HR121" i="37"/>
  <c r="HH121" i="37"/>
  <c r="HD121" i="37"/>
  <c r="GZ121" i="37"/>
  <c r="HQ121" i="37"/>
  <c r="GS121" i="37"/>
  <c r="HP121" i="37"/>
  <c r="GM121" i="37"/>
  <c r="HM121" i="37"/>
  <c r="GL121" i="37"/>
  <c r="HJ121" i="37"/>
  <c r="FX121" i="37"/>
  <c r="HU121" i="37"/>
  <c r="HA121" i="37"/>
  <c r="HW121" i="37"/>
  <c r="HO121" i="37"/>
  <c r="HG121" i="37"/>
  <c r="GU121" i="37"/>
  <c r="GH121" i="37"/>
  <c r="HV121" i="37"/>
  <c r="HN121" i="37"/>
  <c r="HF121" i="37"/>
  <c r="GT121" i="37"/>
  <c r="GE121" i="37"/>
  <c r="HT121" i="37"/>
  <c r="HL121" i="37"/>
  <c r="HC121" i="37"/>
  <c r="GR121" i="37"/>
  <c r="FW121" i="37"/>
  <c r="HS121" i="37"/>
  <c r="HK121" i="37"/>
  <c r="HB121" i="37"/>
  <c r="GP121" i="37"/>
  <c r="FO121" i="37"/>
  <c r="HI121" i="37"/>
  <c r="GW121" i="37"/>
  <c r="GJ121" i="37"/>
  <c r="GY121" i="37"/>
  <c r="GQ121" i="37"/>
  <c r="GI121" i="37"/>
  <c r="FQ121" i="37"/>
  <c r="HE121" i="37"/>
  <c r="GX121" i="37"/>
  <c r="GN121" i="37"/>
  <c r="GG121" i="37"/>
  <c r="FI121" i="37"/>
  <c r="GV121" i="37"/>
  <c r="GO121" i="37"/>
  <c r="GF121" i="37"/>
  <c r="FG121" i="37"/>
  <c r="GK121" i="37"/>
  <c r="FY121" i="37"/>
  <c r="GC121" i="37"/>
  <c r="FV121" i="37"/>
  <c r="FN121" i="37"/>
  <c r="FF121" i="37"/>
  <c r="GD121" i="37"/>
  <c r="FU121" i="37"/>
  <c r="FL121" i="37"/>
  <c r="ES121" i="37"/>
  <c r="GB121" i="37"/>
  <c r="FT121" i="37"/>
  <c r="FM121" i="37"/>
  <c r="EQ121" i="37"/>
  <c r="GA121" i="37"/>
  <c r="FS121" i="37"/>
  <c r="FK121" i="37"/>
  <c r="ER121" i="37"/>
  <c r="FZ121" i="37"/>
  <c r="FR121" i="37"/>
  <c r="FJ121" i="37"/>
  <c r="EP121" i="37"/>
  <c r="FP121" i="37"/>
  <c r="FH121" i="37"/>
  <c r="FA121" i="37"/>
  <c r="EK121" i="37"/>
  <c r="EZ121" i="37"/>
  <c r="EF121" i="37"/>
  <c r="EX121" i="37"/>
  <c r="ED121" i="37"/>
  <c r="EY121" i="37"/>
  <c r="EE121" i="37"/>
  <c r="FD121" i="37"/>
  <c r="EW121" i="37"/>
  <c r="EO121" i="37"/>
  <c r="EC121" i="37"/>
  <c r="FE121" i="37"/>
  <c r="EV121" i="37"/>
  <c r="EM121" i="37"/>
  <c r="DX121" i="37"/>
  <c r="FC121" i="37"/>
  <c r="EU121" i="37"/>
  <c r="EN121" i="37"/>
  <c r="DW121" i="37"/>
  <c r="FB121" i="37"/>
  <c r="ET121" i="37"/>
  <c r="EL121" i="37"/>
  <c r="DS121" i="37"/>
  <c r="EJ121" i="37"/>
  <c r="EB121" i="37"/>
  <c r="DR121" i="37"/>
  <c r="EI121" i="37"/>
  <c r="EA121" i="37"/>
  <c r="DP121" i="37"/>
  <c r="EH121" i="37"/>
  <c r="DZ121" i="37"/>
  <c r="DK121" i="37"/>
  <c r="EG121" i="37"/>
  <c r="DY121" i="37"/>
  <c r="DJ121" i="37"/>
  <c r="DV121" i="37"/>
  <c r="DQ121" i="37"/>
  <c r="DG121" i="37"/>
  <c r="DO121" i="37"/>
  <c r="DH121" i="37"/>
  <c r="DM121" i="37"/>
  <c r="DF121" i="37"/>
  <c r="DU121" i="37"/>
  <c r="DN121" i="37"/>
  <c r="CX121" i="37"/>
  <c r="DT121" i="37"/>
  <c r="DL121" i="37"/>
  <c r="CY121" i="37"/>
  <c r="DI121" i="37"/>
  <c r="DE121" i="37"/>
  <c r="CQ121" i="37"/>
  <c r="DC121" i="37"/>
  <c r="CR121" i="37"/>
  <c r="DD121" i="37"/>
  <c r="CP121" i="37"/>
  <c r="DB121" i="37"/>
  <c r="CJ121" i="37"/>
  <c r="DA121" i="37"/>
  <c r="CI121" i="37"/>
  <c r="CZ121" i="37"/>
  <c r="CH121" i="37"/>
  <c r="CW121" i="37"/>
  <c r="CO121" i="37"/>
  <c r="CG121" i="37"/>
  <c r="CV121" i="37"/>
  <c r="CN121" i="37"/>
  <c r="CF121" i="37"/>
  <c r="CT121" i="37"/>
  <c r="CM121" i="37"/>
  <c r="CE121" i="37"/>
  <c r="CU121" i="37"/>
  <c r="CL121" i="37"/>
  <c r="CD121" i="37"/>
  <c r="CS121" i="37"/>
  <c r="CK121" i="37"/>
  <c r="BX121" i="37"/>
  <c r="BW121" i="37"/>
  <c r="BV121" i="37"/>
  <c r="CC121" i="37"/>
  <c r="BS121" i="37"/>
  <c r="CB121" i="37"/>
  <c r="BR121" i="37"/>
  <c r="CA121" i="37"/>
  <c r="BQ121" i="37"/>
  <c r="BY121" i="37"/>
  <c r="BP121" i="37"/>
  <c r="BZ121" i="37"/>
  <c r="BO121" i="37"/>
  <c r="BN121" i="37"/>
  <c r="BU121" i="37"/>
  <c r="HZ121" i="37"/>
  <c r="BT121" i="37"/>
  <c r="H263" i="37" l="1"/>
  <c r="C263" i="37" s="1"/>
  <c r="H262" i="37"/>
  <c r="C262" i="37" s="1"/>
  <c r="H238" i="37"/>
  <c r="C238" i="37" s="1"/>
  <c r="H237" i="37"/>
  <c r="C237" i="37" s="1"/>
  <c r="F237" i="37"/>
  <c r="F238" i="37" s="1"/>
  <c r="F239" i="37" s="1"/>
  <c r="F240" i="37" s="1"/>
  <c r="F241" i="37" s="1"/>
  <c r="F242" i="37" s="1"/>
  <c r="F243" i="37" s="1"/>
  <c r="F244" i="37" s="1"/>
  <c r="F245" i="37" s="1"/>
  <c r="F246" i="37" s="1"/>
  <c r="F247" i="37" s="1"/>
  <c r="F248" i="37" s="1"/>
  <c r="F249" i="37" s="1"/>
  <c r="F250" i="37" s="1"/>
  <c r="F251" i="37" s="1"/>
  <c r="F252" i="37" s="1"/>
  <c r="F253" i="37" s="1"/>
  <c r="F254" i="37" s="1"/>
  <c r="F255" i="37" s="1"/>
  <c r="F256" i="37" s="1"/>
  <c r="F257" i="37" s="1"/>
  <c r="F258" i="37" s="1"/>
  <c r="F259" i="37" s="1"/>
  <c r="F260" i="37" s="1"/>
  <c r="F261" i="37" s="1"/>
  <c r="F262" i="37" s="1"/>
  <c r="F263" i="37" s="1"/>
  <c r="D237" i="37"/>
  <c r="D238" i="37" s="1"/>
  <c r="H236" i="37"/>
  <c r="C236" i="37" s="1"/>
  <c r="AK224" i="37"/>
  <c r="AJ224" i="37"/>
  <c r="AI224" i="37"/>
  <c r="AH224" i="37"/>
  <c r="AG224" i="37"/>
  <c r="AF224" i="37"/>
  <c r="AE224" i="37"/>
  <c r="AD224" i="37"/>
  <c r="AC224" i="37"/>
  <c r="AB224" i="37"/>
  <c r="AA224" i="37"/>
  <c r="Z224" i="37"/>
  <c r="Y224" i="37"/>
  <c r="X224" i="37"/>
  <c r="W224" i="37"/>
  <c r="V224" i="37"/>
  <c r="U224" i="37"/>
  <c r="T224" i="37"/>
  <c r="S224" i="37"/>
  <c r="R224" i="37"/>
  <c r="Q224" i="37"/>
  <c r="P224" i="37"/>
  <c r="O224" i="37"/>
  <c r="N224" i="37"/>
  <c r="M224" i="37"/>
  <c r="L224" i="37"/>
  <c r="K224" i="37"/>
  <c r="J224" i="37"/>
  <c r="AK223" i="37"/>
  <c r="AJ223" i="37"/>
  <c r="AJ225" i="37" s="1"/>
  <c r="AI223" i="37"/>
  <c r="AI225" i="37" s="1"/>
  <c r="AH223" i="37"/>
  <c r="AH225" i="37" s="1"/>
  <c r="AG223" i="37"/>
  <c r="AF223" i="37"/>
  <c r="AE223" i="37"/>
  <c r="AD223" i="37"/>
  <c r="AC223" i="37"/>
  <c r="AB223" i="37"/>
  <c r="AB225" i="37" s="1"/>
  <c r="AA223" i="37"/>
  <c r="AA225" i="37" s="1"/>
  <c r="Z223" i="37"/>
  <c r="Z225" i="37" s="1"/>
  <c r="Y223" i="37"/>
  <c r="X223" i="37"/>
  <c r="W223" i="37"/>
  <c r="V223" i="37"/>
  <c r="U223" i="37"/>
  <c r="T223" i="37"/>
  <c r="T225" i="37" s="1"/>
  <c r="S223" i="37"/>
  <c r="S225" i="37" s="1"/>
  <c r="R223" i="37"/>
  <c r="R225" i="37" s="1"/>
  <c r="Q223" i="37"/>
  <c r="P223" i="37"/>
  <c r="O223" i="37"/>
  <c r="N223" i="37"/>
  <c r="M223" i="37"/>
  <c r="L223" i="37"/>
  <c r="L225" i="37" s="1"/>
  <c r="K223" i="37"/>
  <c r="K225" i="37" s="1"/>
  <c r="J223" i="37"/>
  <c r="AK222" i="37"/>
  <c r="AJ222" i="37"/>
  <c r="AI222" i="37"/>
  <c r="AH222" i="37"/>
  <c r="AG222" i="37"/>
  <c r="AF222" i="37"/>
  <c r="AE222" i="37"/>
  <c r="AD222" i="37"/>
  <c r="AC222" i="37"/>
  <c r="AB222" i="37"/>
  <c r="AA222" i="37"/>
  <c r="Z222" i="37"/>
  <c r="Y222" i="37"/>
  <c r="X222" i="37"/>
  <c r="W222" i="37"/>
  <c r="V222" i="37"/>
  <c r="U222" i="37"/>
  <c r="T222" i="37"/>
  <c r="S222" i="37"/>
  <c r="R222" i="37"/>
  <c r="Q222" i="37"/>
  <c r="P222" i="37"/>
  <c r="O222" i="37"/>
  <c r="N222" i="37"/>
  <c r="M222" i="37"/>
  <c r="L222" i="37"/>
  <c r="K222" i="37"/>
  <c r="J222" i="37"/>
  <c r="AK221" i="37"/>
  <c r="AJ221" i="37"/>
  <c r="AI221" i="37"/>
  <c r="AH221" i="37"/>
  <c r="AG221" i="37"/>
  <c r="AF221" i="37"/>
  <c r="AE221" i="37"/>
  <c r="AD221" i="37"/>
  <c r="AC221" i="37"/>
  <c r="AB221" i="37"/>
  <c r="AA221" i="37"/>
  <c r="Z221" i="37"/>
  <c r="Y221" i="37"/>
  <c r="X221" i="37"/>
  <c r="W221" i="37"/>
  <c r="V221" i="37"/>
  <c r="U221" i="37"/>
  <c r="T221" i="37"/>
  <c r="S221" i="37"/>
  <c r="R221" i="37"/>
  <c r="Q221" i="37"/>
  <c r="P221" i="37"/>
  <c r="O221" i="37"/>
  <c r="N221" i="37"/>
  <c r="M221" i="37"/>
  <c r="L221" i="37"/>
  <c r="K221" i="37"/>
  <c r="J221" i="37"/>
  <c r="R209" i="37"/>
  <c r="Q209" i="37"/>
  <c r="P209" i="37"/>
  <c r="O209" i="37"/>
  <c r="N209" i="37"/>
  <c r="M209" i="37"/>
  <c r="L209" i="37"/>
  <c r="K209" i="37"/>
  <c r="J209" i="37"/>
  <c r="H195" i="37"/>
  <c r="C195" i="37" s="1"/>
  <c r="H194" i="37"/>
  <c r="C194" i="37" s="1"/>
  <c r="H170" i="37"/>
  <c r="C170" i="37" s="1"/>
  <c r="H169" i="37"/>
  <c r="C169" i="37" s="1"/>
  <c r="F169" i="37"/>
  <c r="F170" i="37" s="1"/>
  <c r="F171" i="37" s="1"/>
  <c r="F172" i="37" s="1"/>
  <c r="F173" i="37" s="1"/>
  <c r="F174" i="37" s="1"/>
  <c r="F175" i="37" s="1"/>
  <c r="F176" i="37" s="1"/>
  <c r="F177" i="37" s="1"/>
  <c r="F178" i="37" s="1"/>
  <c r="F179" i="37" s="1"/>
  <c r="F180" i="37" s="1"/>
  <c r="F181" i="37" s="1"/>
  <c r="F182" i="37" s="1"/>
  <c r="F183" i="37" s="1"/>
  <c r="F184" i="37" s="1"/>
  <c r="F185" i="37" s="1"/>
  <c r="F186" i="37" s="1"/>
  <c r="F187" i="37" s="1"/>
  <c r="F188" i="37" s="1"/>
  <c r="F189" i="37" s="1"/>
  <c r="F190" i="37" s="1"/>
  <c r="F191" i="37" s="1"/>
  <c r="F192" i="37" s="1"/>
  <c r="F193" i="37" s="1"/>
  <c r="F194" i="37" s="1"/>
  <c r="F195" i="37" s="1"/>
  <c r="D169" i="37"/>
  <c r="D170" i="37" s="1"/>
  <c r="H168" i="37"/>
  <c r="C168" i="37" s="1"/>
  <c r="J133" i="37" s="1"/>
  <c r="K133" i="37" s="1"/>
  <c r="L133" i="37" s="1"/>
  <c r="P163" i="37"/>
  <c r="P164" i="37" s="1"/>
  <c r="O163" i="37"/>
  <c r="O164" i="37" s="1"/>
  <c r="O230" i="37" s="1"/>
  <c r="N163" i="37"/>
  <c r="N164" i="37" s="1"/>
  <c r="M163" i="37"/>
  <c r="M164" i="37" s="1"/>
  <c r="M230" i="37" s="1"/>
  <c r="L163" i="37"/>
  <c r="L164" i="37" s="1"/>
  <c r="K163" i="37"/>
  <c r="K164" i="37" s="1"/>
  <c r="J163" i="37"/>
  <c r="J164" i="37" s="1"/>
  <c r="AK156" i="37"/>
  <c r="AJ156" i="37"/>
  <c r="AI156" i="37"/>
  <c r="AH156" i="37"/>
  <c r="AG156" i="37"/>
  <c r="AF156" i="37"/>
  <c r="AE156" i="37"/>
  <c r="AD156" i="37"/>
  <c r="AC156" i="37"/>
  <c r="AB156" i="37"/>
  <c r="AA156" i="37"/>
  <c r="Z156" i="37"/>
  <c r="Y156" i="37"/>
  <c r="X156" i="37"/>
  <c r="W156" i="37"/>
  <c r="V156" i="37"/>
  <c r="U156" i="37"/>
  <c r="T156" i="37"/>
  <c r="S156" i="37"/>
  <c r="R156" i="37"/>
  <c r="Q156" i="37"/>
  <c r="P156" i="37"/>
  <c r="O156" i="37"/>
  <c r="N156" i="37"/>
  <c r="M156" i="37"/>
  <c r="L156" i="37"/>
  <c r="K156" i="37"/>
  <c r="J156" i="37"/>
  <c r="AK155" i="37"/>
  <c r="AJ155" i="37"/>
  <c r="AI155" i="37"/>
  <c r="AH155" i="37"/>
  <c r="AG155" i="37"/>
  <c r="AF155" i="37"/>
  <c r="AF157" i="37" s="1"/>
  <c r="AE155" i="37"/>
  <c r="AD155" i="37"/>
  <c r="AC155" i="37"/>
  <c r="AB155" i="37"/>
  <c r="AA155" i="37"/>
  <c r="Z155" i="37"/>
  <c r="Y155" i="37"/>
  <c r="X155" i="37"/>
  <c r="X157" i="37" s="1"/>
  <c r="W155" i="37"/>
  <c r="V155" i="37"/>
  <c r="U155" i="37"/>
  <c r="T155" i="37"/>
  <c r="S155" i="37"/>
  <c r="R155" i="37"/>
  <c r="Q155" i="37"/>
  <c r="P155" i="37"/>
  <c r="P157" i="37" s="1"/>
  <c r="O155" i="37"/>
  <c r="N155" i="37"/>
  <c r="N157" i="37" s="1"/>
  <c r="M155" i="37"/>
  <c r="K155" i="37"/>
  <c r="J155" i="37"/>
  <c r="AK154" i="37"/>
  <c r="AJ154" i="37"/>
  <c r="AI154" i="37"/>
  <c r="AH154" i="37"/>
  <c r="AG154" i="37"/>
  <c r="AF154" i="37"/>
  <c r="AE154" i="37"/>
  <c r="AD154" i="37"/>
  <c r="AC154" i="37"/>
  <c r="AB154" i="37"/>
  <c r="AA154" i="37"/>
  <c r="Z154" i="37"/>
  <c r="Y154" i="37"/>
  <c r="X154" i="37"/>
  <c r="W154" i="37"/>
  <c r="V154" i="37"/>
  <c r="U154" i="37"/>
  <c r="T154" i="37"/>
  <c r="S154" i="37"/>
  <c r="R154" i="37"/>
  <c r="Q154" i="37"/>
  <c r="P154" i="37"/>
  <c r="O154" i="37"/>
  <c r="N154" i="37"/>
  <c r="M154" i="37"/>
  <c r="L154" i="37"/>
  <c r="K154" i="37"/>
  <c r="J154" i="37"/>
  <c r="AK153" i="37"/>
  <c r="AJ153" i="37"/>
  <c r="AI153" i="37"/>
  <c r="AH153" i="37"/>
  <c r="AG153" i="37"/>
  <c r="AF153" i="37"/>
  <c r="AE153" i="37"/>
  <c r="AD153" i="37"/>
  <c r="AC153" i="37"/>
  <c r="AB153" i="37"/>
  <c r="AA153" i="37"/>
  <c r="Z153" i="37"/>
  <c r="Y153" i="37"/>
  <c r="X153" i="37"/>
  <c r="W153" i="37"/>
  <c r="V153" i="37"/>
  <c r="U153" i="37"/>
  <c r="T153" i="37"/>
  <c r="S153" i="37"/>
  <c r="R153" i="37"/>
  <c r="Q153" i="37"/>
  <c r="P153" i="37"/>
  <c r="O153" i="37"/>
  <c r="N153" i="37"/>
  <c r="M153" i="37"/>
  <c r="L153" i="37"/>
  <c r="K153" i="37"/>
  <c r="J153" i="37"/>
  <c r="R141" i="37"/>
  <c r="Q141" i="37"/>
  <c r="P141" i="37"/>
  <c r="O141" i="37"/>
  <c r="M141" i="37"/>
  <c r="L141" i="37"/>
  <c r="K141" i="37"/>
  <c r="J141" i="37"/>
  <c r="H109" i="37"/>
  <c r="C109" i="37" s="1"/>
  <c r="H108" i="37"/>
  <c r="C108" i="37" s="1"/>
  <c r="H84" i="37"/>
  <c r="C84" i="37" s="1"/>
  <c r="H83" i="37"/>
  <c r="C83" i="37" s="1"/>
  <c r="F83" i="37"/>
  <c r="F84" i="37" s="1"/>
  <c r="F85" i="37" s="1"/>
  <c r="F86" i="37" s="1"/>
  <c r="F87" i="37" s="1"/>
  <c r="F88" i="37" s="1"/>
  <c r="F89" i="37" s="1"/>
  <c r="F90" i="37" s="1"/>
  <c r="F91" i="37" s="1"/>
  <c r="F92" i="37" s="1"/>
  <c r="F93" i="37" s="1"/>
  <c r="F94" i="37" s="1"/>
  <c r="F95" i="37" s="1"/>
  <c r="F96" i="37" s="1"/>
  <c r="F97" i="37" s="1"/>
  <c r="F98" i="37" s="1"/>
  <c r="F99" i="37" s="1"/>
  <c r="F100" i="37" s="1"/>
  <c r="F101" i="37" s="1"/>
  <c r="F102" i="37" s="1"/>
  <c r="F103" i="37" s="1"/>
  <c r="F104" i="37" s="1"/>
  <c r="F105" i="37" s="1"/>
  <c r="F106" i="37" s="1"/>
  <c r="F107" i="37" s="1"/>
  <c r="F108" i="37" s="1"/>
  <c r="F109" i="37" s="1"/>
  <c r="D83" i="37"/>
  <c r="D84" i="37" s="1"/>
  <c r="D85" i="37" s="1"/>
  <c r="H82" i="37"/>
  <c r="C82" i="37" s="1"/>
  <c r="P77" i="37"/>
  <c r="P78" i="37" s="1"/>
  <c r="P231" i="37" s="1"/>
  <c r="O77" i="37"/>
  <c r="O78" i="37" s="1"/>
  <c r="N77" i="37"/>
  <c r="N78" i="37" s="1"/>
  <c r="M77" i="37"/>
  <c r="M78" i="37" s="1"/>
  <c r="M231" i="37" s="1"/>
  <c r="L77" i="37"/>
  <c r="L78" i="37" s="1"/>
  <c r="L231" i="37" s="1"/>
  <c r="K77" i="37"/>
  <c r="K78" i="37" s="1"/>
  <c r="K231" i="37" s="1"/>
  <c r="J77" i="37"/>
  <c r="J78" i="37" s="1"/>
  <c r="AK71" i="37"/>
  <c r="AJ71" i="37"/>
  <c r="AI71" i="37"/>
  <c r="AH71" i="37"/>
  <c r="AG71" i="37"/>
  <c r="AF71" i="37"/>
  <c r="AE71" i="37"/>
  <c r="AD71" i="37"/>
  <c r="AC71" i="37"/>
  <c r="AB71" i="37"/>
  <c r="AA71" i="37"/>
  <c r="Z71" i="37"/>
  <c r="Y71" i="37"/>
  <c r="X71" i="37"/>
  <c r="W71" i="37"/>
  <c r="V71" i="37"/>
  <c r="U71" i="37"/>
  <c r="T71" i="37"/>
  <c r="S71" i="37"/>
  <c r="R71" i="37"/>
  <c r="Q71" i="37"/>
  <c r="P71" i="37"/>
  <c r="O71" i="37"/>
  <c r="N71" i="37"/>
  <c r="M71" i="37"/>
  <c r="L71" i="37"/>
  <c r="K71" i="37"/>
  <c r="J71" i="37"/>
  <c r="H70" i="37"/>
  <c r="H69" i="37"/>
  <c r="P55" i="37"/>
  <c r="M55" i="37"/>
  <c r="L55" i="37"/>
  <c r="H38" i="37"/>
  <c r="O37" i="37"/>
  <c r="N37" i="37"/>
  <c r="M37" i="37"/>
  <c r="L37" i="37"/>
  <c r="K37" i="37"/>
  <c r="J37" i="37"/>
  <c r="H30" i="37"/>
  <c r="BN23" i="37"/>
  <c r="BM23" i="37"/>
  <c r="BL23" i="37"/>
  <c r="BK23" i="37"/>
  <c r="BJ23" i="37"/>
  <c r="BI23" i="37"/>
  <c r="BH23" i="37"/>
  <c r="BG23" i="37"/>
  <c r="BF23" i="37"/>
  <c r="BE23" i="37"/>
  <c r="BD23" i="37"/>
  <c r="BC23" i="37"/>
  <c r="BB23" i="37"/>
  <c r="BA23" i="37"/>
  <c r="AZ23" i="37"/>
  <c r="AY23" i="37"/>
  <c r="AX23" i="37"/>
  <c r="AW23" i="37"/>
  <c r="AV23" i="37"/>
  <c r="AU23" i="37"/>
  <c r="AT23" i="37"/>
  <c r="AS23" i="37"/>
  <c r="AR23" i="37"/>
  <c r="AQ23" i="37"/>
  <c r="AP23" i="37"/>
  <c r="AO23" i="37"/>
  <c r="AN23" i="37"/>
  <c r="AM23" i="37"/>
  <c r="AL23" i="37"/>
  <c r="AK23" i="37"/>
  <c r="AJ23" i="37"/>
  <c r="AI23" i="37"/>
  <c r="AH23" i="37"/>
  <c r="AG23" i="37"/>
  <c r="AF23" i="37"/>
  <c r="AE23" i="37"/>
  <c r="AD23" i="37"/>
  <c r="AC23" i="37"/>
  <c r="AB23" i="37"/>
  <c r="AA23" i="37"/>
  <c r="Z23" i="37"/>
  <c r="Y23" i="37"/>
  <c r="X23" i="37"/>
  <c r="W23" i="37"/>
  <c r="V23" i="37"/>
  <c r="U23" i="37"/>
  <c r="T23" i="37"/>
  <c r="S23" i="37"/>
  <c r="R23" i="37"/>
  <c r="Q23" i="37"/>
  <c r="P23" i="37"/>
  <c r="O23" i="37"/>
  <c r="N23" i="37"/>
  <c r="M23" i="37"/>
  <c r="L23" i="37"/>
  <c r="K23" i="37"/>
  <c r="J23" i="37"/>
  <c r="D15" i="37"/>
  <c r="D14" i="37"/>
  <c r="D13" i="37"/>
  <c r="D12" i="37"/>
  <c r="H5" i="37"/>
  <c r="BN51" i="37"/>
  <c r="BN56" i="37" s="1"/>
  <c r="F3" i="37"/>
  <c r="G5" i="37" s="1"/>
  <c r="O62" i="5"/>
  <c r="N62" i="5"/>
  <c r="M62" i="5"/>
  <c r="L62" i="5"/>
  <c r="K62" i="5"/>
  <c r="J62" i="5"/>
  <c r="I62" i="5"/>
  <c r="H62" i="5"/>
  <c r="O61" i="5"/>
  <c r="N61" i="5"/>
  <c r="M61" i="5"/>
  <c r="L61" i="5"/>
  <c r="K61" i="5"/>
  <c r="J61" i="5"/>
  <c r="I61" i="5"/>
  <c r="H61" i="5"/>
  <c r="G62" i="5"/>
  <c r="G61" i="5"/>
  <c r="O53" i="5"/>
  <c r="K843" i="20"/>
  <c r="K842" i="20"/>
  <c r="J843" i="20"/>
  <c r="J842" i="20"/>
  <c r="K847" i="20"/>
  <c r="K848" i="20"/>
  <c r="K846" i="20"/>
  <c r="K845" i="20"/>
  <c r="J847" i="20"/>
  <c r="J848" i="20"/>
  <c r="J846" i="20"/>
  <c r="J845" i="20"/>
  <c r="H847" i="20"/>
  <c r="G847" i="20"/>
  <c r="F847" i="20"/>
  <c r="E847" i="20"/>
  <c r="D847" i="20"/>
  <c r="H848" i="20"/>
  <c r="G848" i="20"/>
  <c r="F848" i="20"/>
  <c r="E848" i="20"/>
  <c r="D848" i="20"/>
  <c r="H846" i="20"/>
  <c r="H845" i="20"/>
  <c r="G846" i="20"/>
  <c r="G845" i="20"/>
  <c r="F846" i="20"/>
  <c r="F845" i="20"/>
  <c r="E846" i="20"/>
  <c r="E845" i="20"/>
  <c r="D846" i="20"/>
  <c r="D845" i="20"/>
  <c r="HU44" i="37" l="1"/>
  <c r="HU132" i="37" s="1"/>
  <c r="HU200" i="37" s="1"/>
  <c r="HM44" i="37"/>
  <c r="HM132" i="37" s="1"/>
  <c r="HM200" i="37" s="1"/>
  <c r="HE44" i="37"/>
  <c r="HE132" i="37" s="1"/>
  <c r="HE200" i="37" s="1"/>
  <c r="GW44" i="37"/>
  <c r="GW132" i="37" s="1"/>
  <c r="GW200" i="37" s="1"/>
  <c r="GO44" i="37"/>
  <c r="GO132" i="37" s="1"/>
  <c r="GO200" i="37" s="1"/>
  <c r="GG44" i="37"/>
  <c r="GG132" i="37" s="1"/>
  <c r="GG200" i="37" s="1"/>
  <c r="FY44" i="37"/>
  <c r="FY132" i="37" s="1"/>
  <c r="FY200" i="37" s="1"/>
  <c r="FQ44" i="37"/>
  <c r="FQ132" i="37" s="1"/>
  <c r="FQ200" i="37" s="1"/>
  <c r="FI44" i="37"/>
  <c r="FI132" i="37" s="1"/>
  <c r="FI200" i="37" s="1"/>
  <c r="FA44" i="37"/>
  <c r="FA132" i="37" s="1"/>
  <c r="FA200" i="37" s="1"/>
  <c r="ES44" i="37"/>
  <c r="ES132" i="37" s="1"/>
  <c r="ES200" i="37" s="1"/>
  <c r="EK44" i="37"/>
  <c r="EK132" i="37" s="1"/>
  <c r="EK200" i="37" s="1"/>
  <c r="EC44" i="37"/>
  <c r="EC132" i="37" s="1"/>
  <c r="EC200" i="37" s="1"/>
  <c r="DU44" i="37"/>
  <c r="DU132" i="37" s="1"/>
  <c r="DU200" i="37" s="1"/>
  <c r="DM44" i="37"/>
  <c r="DM132" i="37" s="1"/>
  <c r="DM200" i="37" s="1"/>
  <c r="DE44" i="37"/>
  <c r="DE132" i="37" s="1"/>
  <c r="DE200" i="37" s="1"/>
  <c r="CW44" i="37"/>
  <c r="CW132" i="37" s="1"/>
  <c r="CW200" i="37" s="1"/>
  <c r="CO44" i="37"/>
  <c r="CO132" i="37" s="1"/>
  <c r="CO200" i="37" s="1"/>
  <c r="CG44" i="37"/>
  <c r="CG132" i="37" s="1"/>
  <c r="CG200" i="37" s="1"/>
  <c r="BY44" i="37"/>
  <c r="BY132" i="37" s="1"/>
  <c r="BY200" i="37" s="1"/>
  <c r="BQ44" i="37"/>
  <c r="BQ132" i="37" s="1"/>
  <c r="BQ200" i="37" s="1"/>
  <c r="BI44" i="37"/>
  <c r="BI132" i="37" s="1"/>
  <c r="BI200" i="37" s="1"/>
  <c r="BA44" i="37"/>
  <c r="BA132" i="37" s="1"/>
  <c r="BA200" i="37" s="1"/>
  <c r="AS44" i="37"/>
  <c r="AS132" i="37" s="1"/>
  <c r="AS200" i="37" s="1"/>
  <c r="AK44" i="37"/>
  <c r="AK132" i="37" s="1"/>
  <c r="AK200" i="37" s="1"/>
  <c r="AC44" i="37"/>
  <c r="U44" i="37"/>
  <c r="M44" i="37"/>
  <c r="GI44" i="37"/>
  <c r="GI132" i="37" s="1"/>
  <c r="GI200" i="37" s="1"/>
  <c r="GA44" i="37"/>
  <c r="GA132" i="37" s="1"/>
  <c r="GA200" i="37" s="1"/>
  <c r="EE44" i="37"/>
  <c r="EE132" i="37" s="1"/>
  <c r="EE200" i="37" s="1"/>
  <c r="CQ44" i="37"/>
  <c r="CQ132" i="37" s="1"/>
  <c r="CQ200" i="37" s="1"/>
  <c r="AM44" i="37"/>
  <c r="AM132" i="37" s="1"/>
  <c r="AM200" i="37" s="1"/>
  <c r="HN44" i="37"/>
  <c r="HN132" i="37" s="1"/>
  <c r="HN200" i="37" s="1"/>
  <c r="FJ44" i="37"/>
  <c r="FJ132" i="37" s="1"/>
  <c r="FJ200" i="37" s="1"/>
  <c r="DF44" i="37"/>
  <c r="DF132" i="37" s="1"/>
  <c r="DF200" i="37" s="1"/>
  <c r="BJ44" i="37"/>
  <c r="BJ132" i="37" s="1"/>
  <c r="BJ200" i="37" s="1"/>
  <c r="N44" i="37"/>
  <c r="HT44" i="37"/>
  <c r="HT132" i="37" s="1"/>
  <c r="HT200" i="37" s="1"/>
  <c r="HL44" i="37"/>
  <c r="HL132" i="37" s="1"/>
  <c r="HL200" i="37" s="1"/>
  <c r="HD44" i="37"/>
  <c r="HD132" i="37" s="1"/>
  <c r="HD200" i="37" s="1"/>
  <c r="GV44" i="37"/>
  <c r="GV132" i="37" s="1"/>
  <c r="GV200" i="37" s="1"/>
  <c r="GN44" i="37"/>
  <c r="GN132" i="37" s="1"/>
  <c r="GN200" i="37" s="1"/>
  <c r="GF44" i="37"/>
  <c r="GF132" i="37" s="1"/>
  <c r="GF200" i="37" s="1"/>
  <c r="FX44" i="37"/>
  <c r="FX132" i="37" s="1"/>
  <c r="FX200" i="37" s="1"/>
  <c r="FP44" i="37"/>
  <c r="FP132" i="37" s="1"/>
  <c r="FP200" i="37" s="1"/>
  <c r="FH44" i="37"/>
  <c r="FH132" i="37" s="1"/>
  <c r="FH200" i="37" s="1"/>
  <c r="EZ44" i="37"/>
  <c r="EZ132" i="37" s="1"/>
  <c r="EZ200" i="37" s="1"/>
  <c r="ER44" i="37"/>
  <c r="ER132" i="37" s="1"/>
  <c r="ER200" i="37" s="1"/>
  <c r="EJ44" i="37"/>
  <c r="EJ132" i="37" s="1"/>
  <c r="EJ200" i="37" s="1"/>
  <c r="EB44" i="37"/>
  <c r="EB132" i="37" s="1"/>
  <c r="EB200" i="37" s="1"/>
  <c r="DT44" i="37"/>
  <c r="DT132" i="37" s="1"/>
  <c r="DT200" i="37" s="1"/>
  <c r="DL44" i="37"/>
  <c r="DL132" i="37" s="1"/>
  <c r="DL200" i="37" s="1"/>
  <c r="DD44" i="37"/>
  <c r="DD132" i="37" s="1"/>
  <c r="DD200" i="37" s="1"/>
  <c r="CV44" i="37"/>
  <c r="CV132" i="37" s="1"/>
  <c r="CV200" i="37" s="1"/>
  <c r="CN44" i="37"/>
  <c r="CN132" i="37" s="1"/>
  <c r="CN200" i="37" s="1"/>
  <c r="CF44" i="37"/>
  <c r="CF132" i="37" s="1"/>
  <c r="CF200" i="37" s="1"/>
  <c r="BX44" i="37"/>
  <c r="BX132" i="37" s="1"/>
  <c r="BX200" i="37" s="1"/>
  <c r="BP44" i="37"/>
  <c r="BP132" i="37" s="1"/>
  <c r="BP200" i="37" s="1"/>
  <c r="BH44" i="37"/>
  <c r="BH132" i="37" s="1"/>
  <c r="BH200" i="37" s="1"/>
  <c r="AZ44" i="37"/>
  <c r="AZ132" i="37" s="1"/>
  <c r="AZ200" i="37" s="1"/>
  <c r="AR44" i="37"/>
  <c r="AR132" i="37" s="1"/>
  <c r="AR200" i="37" s="1"/>
  <c r="AJ44" i="37"/>
  <c r="AJ132" i="37" s="1"/>
  <c r="AJ200" i="37" s="1"/>
  <c r="AB44" i="37"/>
  <c r="AB132" i="37" s="1"/>
  <c r="AB200" i="37" s="1"/>
  <c r="T44" i="37"/>
  <c r="T132" i="37" s="1"/>
  <c r="T200" i="37" s="1"/>
  <c r="L44" i="37"/>
  <c r="GQ44" i="37"/>
  <c r="GQ132" i="37" s="1"/>
  <c r="GQ200" i="37" s="1"/>
  <c r="EU44" i="37"/>
  <c r="EU132" i="37" s="1"/>
  <c r="EU200" i="37" s="1"/>
  <c r="CY44" i="37"/>
  <c r="CY132" i="37" s="1"/>
  <c r="CY200" i="37" s="1"/>
  <c r="BC44" i="37"/>
  <c r="BC132" i="37" s="1"/>
  <c r="BC200" i="37" s="1"/>
  <c r="HF44" i="37"/>
  <c r="HF132" i="37" s="1"/>
  <c r="HF200" i="37" s="1"/>
  <c r="FR44" i="37"/>
  <c r="FR132" i="37" s="1"/>
  <c r="FR200" i="37" s="1"/>
  <c r="ED44" i="37"/>
  <c r="ED132" i="37" s="1"/>
  <c r="ED200" i="37" s="1"/>
  <c r="CP44" i="37"/>
  <c r="CP132" i="37" s="1"/>
  <c r="CP200" i="37" s="1"/>
  <c r="AL44" i="37"/>
  <c r="AL132" i="37" s="1"/>
  <c r="AL200" i="37" s="1"/>
  <c r="IA44" i="37"/>
  <c r="IA132" i="37" s="1"/>
  <c r="IA200" i="37" s="1"/>
  <c r="HS44" i="37"/>
  <c r="HS132" i="37" s="1"/>
  <c r="HS200" i="37" s="1"/>
  <c r="HK44" i="37"/>
  <c r="HK132" i="37" s="1"/>
  <c r="HK200" i="37" s="1"/>
  <c r="HC44" i="37"/>
  <c r="HC132" i="37" s="1"/>
  <c r="HC200" i="37" s="1"/>
  <c r="GU44" i="37"/>
  <c r="GU132" i="37" s="1"/>
  <c r="GU200" i="37" s="1"/>
  <c r="GM44" i="37"/>
  <c r="GM132" i="37" s="1"/>
  <c r="GM200" i="37" s="1"/>
  <c r="GE44" i="37"/>
  <c r="GE132" i="37" s="1"/>
  <c r="GE200" i="37" s="1"/>
  <c r="FW44" i="37"/>
  <c r="FW132" i="37" s="1"/>
  <c r="FW200" i="37" s="1"/>
  <c r="FO44" i="37"/>
  <c r="FO132" i="37" s="1"/>
  <c r="FO200" i="37" s="1"/>
  <c r="FG44" i="37"/>
  <c r="FG132" i="37" s="1"/>
  <c r="FG200" i="37" s="1"/>
  <c r="EY44" i="37"/>
  <c r="EY132" i="37" s="1"/>
  <c r="EY200" i="37" s="1"/>
  <c r="EQ44" i="37"/>
  <c r="EQ132" i="37" s="1"/>
  <c r="EQ200" i="37" s="1"/>
  <c r="EI44" i="37"/>
  <c r="EI132" i="37" s="1"/>
  <c r="EI200" i="37" s="1"/>
  <c r="EA44" i="37"/>
  <c r="EA132" i="37" s="1"/>
  <c r="EA200" i="37" s="1"/>
  <c r="DS44" i="37"/>
  <c r="DS132" i="37" s="1"/>
  <c r="DS200" i="37" s="1"/>
  <c r="DK44" i="37"/>
  <c r="DK132" i="37" s="1"/>
  <c r="DK200" i="37" s="1"/>
  <c r="DC44" i="37"/>
  <c r="DC132" i="37" s="1"/>
  <c r="DC200" i="37" s="1"/>
  <c r="CU44" i="37"/>
  <c r="CU132" i="37" s="1"/>
  <c r="CU200" i="37" s="1"/>
  <c r="CM44" i="37"/>
  <c r="CM132" i="37" s="1"/>
  <c r="CM200" i="37" s="1"/>
  <c r="CE44" i="37"/>
  <c r="CE132" i="37" s="1"/>
  <c r="CE200" i="37" s="1"/>
  <c r="BW44" i="37"/>
  <c r="BW132" i="37" s="1"/>
  <c r="BW200" i="37" s="1"/>
  <c r="BO44" i="37"/>
  <c r="BO132" i="37" s="1"/>
  <c r="BO200" i="37" s="1"/>
  <c r="BG44" i="37"/>
  <c r="BG132" i="37" s="1"/>
  <c r="AY44" i="37"/>
  <c r="AY132" i="37" s="1"/>
  <c r="AQ44" i="37"/>
  <c r="AQ132" i="37" s="1"/>
  <c r="AQ200" i="37" s="1"/>
  <c r="AI44" i="37"/>
  <c r="AA44" i="37"/>
  <c r="AA132" i="37" s="1"/>
  <c r="AA200" i="37" s="1"/>
  <c r="S44" i="37"/>
  <c r="S132" i="37" s="1"/>
  <c r="S200" i="37" s="1"/>
  <c r="K44" i="37"/>
  <c r="GY44" i="37"/>
  <c r="GY132" i="37" s="1"/>
  <c r="GY200" i="37" s="1"/>
  <c r="FC44" i="37"/>
  <c r="FC132" i="37" s="1"/>
  <c r="FC200" i="37" s="1"/>
  <c r="DG44" i="37"/>
  <c r="DG132" i="37" s="1"/>
  <c r="DG200" i="37" s="1"/>
  <c r="BS44" i="37"/>
  <c r="BS132" i="37" s="1"/>
  <c r="BS200" i="37" s="1"/>
  <c r="AE44" i="37"/>
  <c r="GP44" i="37"/>
  <c r="GP132" i="37" s="1"/>
  <c r="GP200" i="37" s="1"/>
  <c r="EL44" i="37"/>
  <c r="EL132" i="37" s="1"/>
  <c r="EL200" i="37" s="1"/>
  <c r="CH44" i="37"/>
  <c r="CH132" i="37" s="1"/>
  <c r="CH200" i="37" s="1"/>
  <c r="V44" i="37"/>
  <c r="V132" i="37" s="1"/>
  <c r="V200" i="37" s="1"/>
  <c r="HZ44" i="37"/>
  <c r="HZ132" i="37" s="1"/>
  <c r="HZ200" i="37" s="1"/>
  <c r="HR44" i="37"/>
  <c r="HR132" i="37" s="1"/>
  <c r="HR200" i="37" s="1"/>
  <c r="HJ44" i="37"/>
  <c r="HJ132" i="37" s="1"/>
  <c r="HJ200" i="37" s="1"/>
  <c r="HB44" i="37"/>
  <c r="HB132" i="37" s="1"/>
  <c r="HB200" i="37" s="1"/>
  <c r="GT44" i="37"/>
  <c r="GT132" i="37" s="1"/>
  <c r="GT200" i="37" s="1"/>
  <c r="GL44" i="37"/>
  <c r="GL132" i="37" s="1"/>
  <c r="GL200" i="37" s="1"/>
  <c r="GD44" i="37"/>
  <c r="GD132" i="37" s="1"/>
  <c r="GD200" i="37" s="1"/>
  <c r="FV44" i="37"/>
  <c r="FV132" i="37" s="1"/>
  <c r="FV200" i="37" s="1"/>
  <c r="FN44" i="37"/>
  <c r="FN132" i="37" s="1"/>
  <c r="FN200" i="37" s="1"/>
  <c r="FF44" i="37"/>
  <c r="FF132" i="37" s="1"/>
  <c r="FF200" i="37" s="1"/>
  <c r="EX44" i="37"/>
  <c r="EX132" i="37" s="1"/>
  <c r="EX200" i="37" s="1"/>
  <c r="EP44" i="37"/>
  <c r="EP132" i="37" s="1"/>
  <c r="EP200" i="37" s="1"/>
  <c r="EH44" i="37"/>
  <c r="EH132" i="37" s="1"/>
  <c r="EH200" i="37" s="1"/>
  <c r="DZ44" i="37"/>
  <c r="DZ132" i="37" s="1"/>
  <c r="DZ200" i="37" s="1"/>
  <c r="DR44" i="37"/>
  <c r="DR132" i="37" s="1"/>
  <c r="DR200" i="37" s="1"/>
  <c r="DJ44" i="37"/>
  <c r="DJ132" i="37" s="1"/>
  <c r="DJ200" i="37" s="1"/>
  <c r="DB44" i="37"/>
  <c r="DB132" i="37" s="1"/>
  <c r="DB200" i="37" s="1"/>
  <c r="CT44" i="37"/>
  <c r="CT132" i="37" s="1"/>
  <c r="CT200" i="37" s="1"/>
  <c r="CL44" i="37"/>
  <c r="CL132" i="37" s="1"/>
  <c r="CL200" i="37" s="1"/>
  <c r="CD44" i="37"/>
  <c r="CD132" i="37" s="1"/>
  <c r="CD200" i="37" s="1"/>
  <c r="BV44" i="37"/>
  <c r="BV132" i="37" s="1"/>
  <c r="BV200" i="37" s="1"/>
  <c r="BN44" i="37"/>
  <c r="BN132" i="37" s="1"/>
  <c r="BN200" i="37" s="1"/>
  <c r="BF44" i="37"/>
  <c r="BF132" i="37" s="1"/>
  <c r="BF200" i="37" s="1"/>
  <c r="AX44" i="37"/>
  <c r="AX132" i="37" s="1"/>
  <c r="AX200" i="37" s="1"/>
  <c r="AP44" i="37"/>
  <c r="AP132" i="37" s="1"/>
  <c r="AP200" i="37" s="1"/>
  <c r="AH44" i="37"/>
  <c r="Z44" i="37"/>
  <c r="Z132" i="37" s="1"/>
  <c r="Z200" i="37" s="1"/>
  <c r="R44" i="37"/>
  <c r="R132" i="37" s="1"/>
  <c r="R200" i="37" s="1"/>
  <c r="J44" i="37"/>
  <c r="HG44" i="37"/>
  <c r="HG132" i="37" s="1"/>
  <c r="HG200" i="37" s="1"/>
  <c r="FS44" i="37"/>
  <c r="FS132" i="37" s="1"/>
  <c r="FS200" i="37" s="1"/>
  <c r="DW44" i="37"/>
  <c r="DW132" i="37" s="1"/>
  <c r="DW200" i="37" s="1"/>
  <c r="CI44" i="37"/>
  <c r="CI132" i="37" s="1"/>
  <c r="CI200" i="37" s="1"/>
  <c r="AU44" i="37"/>
  <c r="AU132" i="37" s="1"/>
  <c r="AU200" i="37" s="1"/>
  <c r="HV44" i="37"/>
  <c r="HV132" i="37" s="1"/>
  <c r="HV200" i="37" s="1"/>
  <c r="FB44" i="37"/>
  <c r="FB132" i="37" s="1"/>
  <c r="FB200" i="37" s="1"/>
  <c r="CX44" i="37"/>
  <c r="CX132" i="37" s="1"/>
  <c r="CX200" i="37" s="1"/>
  <c r="BB44" i="37"/>
  <c r="BB132" i="37" s="1"/>
  <c r="BB200" i="37" s="1"/>
  <c r="HY44" i="37"/>
  <c r="HY132" i="37" s="1"/>
  <c r="HY200" i="37" s="1"/>
  <c r="HQ44" i="37"/>
  <c r="HQ132" i="37" s="1"/>
  <c r="HQ200" i="37" s="1"/>
  <c r="HI44" i="37"/>
  <c r="HI132" i="37" s="1"/>
  <c r="HI200" i="37" s="1"/>
  <c r="HA44" i="37"/>
  <c r="HA132" i="37" s="1"/>
  <c r="HA200" i="37" s="1"/>
  <c r="GS44" i="37"/>
  <c r="GS132" i="37" s="1"/>
  <c r="GS200" i="37" s="1"/>
  <c r="GK44" i="37"/>
  <c r="GK132" i="37" s="1"/>
  <c r="GK200" i="37" s="1"/>
  <c r="GC44" i="37"/>
  <c r="GC132" i="37" s="1"/>
  <c r="GC200" i="37" s="1"/>
  <c r="FU44" i="37"/>
  <c r="FU132" i="37" s="1"/>
  <c r="FU200" i="37" s="1"/>
  <c r="FM44" i="37"/>
  <c r="FM132" i="37" s="1"/>
  <c r="FM200" i="37" s="1"/>
  <c r="FE44" i="37"/>
  <c r="FE132" i="37" s="1"/>
  <c r="FE200" i="37" s="1"/>
  <c r="EW44" i="37"/>
  <c r="EW132" i="37" s="1"/>
  <c r="EW200" i="37" s="1"/>
  <c r="EO44" i="37"/>
  <c r="EO132" i="37" s="1"/>
  <c r="EO200" i="37" s="1"/>
  <c r="EG44" i="37"/>
  <c r="EG132" i="37" s="1"/>
  <c r="EG200" i="37" s="1"/>
  <c r="DY44" i="37"/>
  <c r="DY132" i="37" s="1"/>
  <c r="DY200" i="37" s="1"/>
  <c r="DQ44" i="37"/>
  <c r="DQ132" i="37" s="1"/>
  <c r="DQ200" i="37" s="1"/>
  <c r="DI44" i="37"/>
  <c r="DI132" i="37" s="1"/>
  <c r="DI200" i="37" s="1"/>
  <c r="DA44" i="37"/>
  <c r="DA132" i="37" s="1"/>
  <c r="DA200" i="37" s="1"/>
  <c r="CS44" i="37"/>
  <c r="CS132" i="37" s="1"/>
  <c r="CS200" i="37" s="1"/>
  <c r="CK44" i="37"/>
  <c r="CK132" i="37" s="1"/>
  <c r="CK200" i="37" s="1"/>
  <c r="CC44" i="37"/>
  <c r="CC132" i="37" s="1"/>
  <c r="CC200" i="37" s="1"/>
  <c r="BU44" i="37"/>
  <c r="BU132" i="37" s="1"/>
  <c r="BU200" i="37" s="1"/>
  <c r="BM44" i="37"/>
  <c r="BM132" i="37" s="1"/>
  <c r="BM200" i="37" s="1"/>
  <c r="BE44" i="37"/>
  <c r="BE132" i="37" s="1"/>
  <c r="BE200" i="37" s="1"/>
  <c r="AW44" i="37"/>
  <c r="AW132" i="37" s="1"/>
  <c r="AW200" i="37" s="1"/>
  <c r="AO44" i="37"/>
  <c r="AO132" i="37" s="1"/>
  <c r="AO200" i="37" s="1"/>
  <c r="AG44" i="37"/>
  <c r="AG132" i="37" s="1"/>
  <c r="AG200" i="37" s="1"/>
  <c r="Y44" i="37"/>
  <c r="Y132" i="37" s="1"/>
  <c r="Y200" i="37" s="1"/>
  <c r="Q44" i="37"/>
  <c r="HW44" i="37"/>
  <c r="HW132" i="37" s="1"/>
  <c r="HW200" i="37" s="1"/>
  <c r="FK44" i="37"/>
  <c r="FK132" i="37" s="1"/>
  <c r="FK200" i="37" s="1"/>
  <c r="DO44" i="37"/>
  <c r="DO132" i="37" s="1"/>
  <c r="DO200" i="37" s="1"/>
  <c r="BK44" i="37"/>
  <c r="BK132" i="37" s="1"/>
  <c r="BK200" i="37" s="1"/>
  <c r="W44" i="37"/>
  <c r="W132" i="37" s="1"/>
  <c r="W200" i="37" s="1"/>
  <c r="GH44" i="37"/>
  <c r="GH132" i="37" s="1"/>
  <c r="GH200" i="37" s="1"/>
  <c r="ET44" i="37"/>
  <c r="ET132" i="37" s="1"/>
  <c r="ET200" i="37" s="1"/>
  <c r="DN44" i="37"/>
  <c r="DN132" i="37" s="1"/>
  <c r="DN200" i="37" s="1"/>
  <c r="BZ44" i="37"/>
  <c r="BZ132" i="37" s="1"/>
  <c r="BZ200" i="37" s="1"/>
  <c r="AD44" i="37"/>
  <c r="AD132" i="37" s="1"/>
  <c r="AD200" i="37" s="1"/>
  <c r="HX44" i="37"/>
  <c r="HX132" i="37" s="1"/>
  <c r="HX200" i="37" s="1"/>
  <c r="HP44" i="37"/>
  <c r="HP132" i="37" s="1"/>
  <c r="HP200" i="37" s="1"/>
  <c r="HH44" i="37"/>
  <c r="HH132" i="37" s="1"/>
  <c r="HH200" i="37" s="1"/>
  <c r="GZ44" i="37"/>
  <c r="GZ132" i="37" s="1"/>
  <c r="GZ200" i="37" s="1"/>
  <c r="GR44" i="37"/>
  <c r="GR132" i="37" s="1"/>
  <c r="GR200" i="37" s="1"/>
  <c r="GJ44" i="37"/>
  <c r="GJ132" i="37" s="1"/>
  <c r="GJ200" i="37" s="1"/>
  <c r="GB44" i="37"/>
  <c r="GB132" i="37" s="1"/>
  <c r="GB200" i="37" s="1"/>
  <c r="FT44" i="37"/>
  <c r="FT132" i="37" s="1"/>
  <c r="FT200" i="37" s="1"/>
  <c r="FL44" i="37"/>
  <c r="FL132" i="37" s="1"/>
  <c r="FL200" i="37" s="1"/>
  <c r="FD44" i="37"/>
  <c r="FD132" i="37" s="1"/>
  <c r="FD200" i="37" s="1"/>
  <c r="EV44" i="37"/>
  <c r="EV132" i="37" s="1"/>
  <c r="EV200" i="37" s="1"/>
  <c r="EN44" i="37"/>
  <c r="EN132" i="37" s="1"/>
  <c r="EN200" i="37" s="1"/>
  <c r="EF44" i="37"/>
  <c r="EF132" i="37" s="1"/>
  <c r="EF200" i="37" s="1"/>
  <c r="DX44" i="37"/>
  <c r="DX132" i="37" s="1"/>
  <c r="DX200" i="37" s="1"/>
  <c r="DP44" i="37"/>
  <c r="DP132" i="37" s="1"/>
  <c r="DP200" i="37" s="1"/>
  <c r="DH44" i="37"/>
  <c r="DH132" i="37" s="1"/>
  <c r="DH200" i="37" s="1"/>
  <c r="CZ44" i="37"/>
  <c r="CZ132" i="37" s="1"/>
  <c r="CZ200" i="37" s="1"/>
  <c r="CR44" i="37"/>
  <c r="CR132" i="37" s="1"/>
  <c r="CR200" i="37" s="1"/>
  <c r="CJ44" i="37"/>
  <c r="CJ132" i="37" s="1"/>
  <c r="CJ200" i="37" s="1"/>
  <c r="CB44" i="37"/>
  <c r="CB132" i="37" s="1"/>
  <c r="CB200" i="37" s="1"/>
  <c r="BT44" i="37"/>
  <c r="BT132" i="37" s="1"/>
  <c r="BT200" i="37" s="1"/>
  <c r="BL44" i="37"/>
  <c r="BL132" i="37" s="1"/>
  <c r="BL200" i="37" s="1"/>
  <c r="BD44" i="37"/>
  <c r="BD132" i="37" s="1"/>
  <c r="BD200" i="37" s="1"/>
  <c r="AV44" i="37"/>
  <c r="AV132" i="37" s="1"/>
  <c r="AV200" i="37" s="1"/>
  <c r="AN44" i="37"/>
  <c r="AN132" i="37" s="1"/>
  <c r="AN200" i="37" s="1"/>
  <c r="AF44" i="37"/>
  <c r="AF132" i="37" s="1"/>
  <c r="AF200" i="37" s="1"/>
  <c r="X44" i="37"/>
  <c r="X132" i="37" s="1"/>
  <c r="X200" i="37" s="1"/>
  <c r="P44" i="37"/>
  <c r="HO44" i="37"/>
  <c r="HO132" i="37" s="1"/>
  <c r="HO200" i="37" s="1"/>
  <c r="EM44" i="37"/>
  <c r="EM132" i="37" s="1"/>
  <c r="EM200" i="37" s="1"/>
  <c r="CA44" i="37"/>
  <c r="CA132" i="37" s="1"/>
  <c r="CA200" i="37" s="1"/>
  <c r="O44" i="37"/>
  <c r="GX44" i="37"/>
  <c r="GX132" i="37" s="1"/>
  <c r="GX200" i="37" s="1"/>
  <c r="FZ44" i="37"/>
  <c r="FZ132" i="37" s="1"/>
  <c r="FZ200" i="37" s="1"/>
  <c r="DV44" i="37"/>
  <c r="DV132" i="37" s="1"/>
  <c r="DV200" i="37" s="1"/>
  <c r="BR44" i="37"/>
  <c r="BR132" i="37" s="1"/>
  <c r="BR200" i="37" s="1"/>
  <c r="AT44" i="37"/>
  <c r="AT132" i="37" s="1"/>
  <c r="AT200" i="37" s="1"/>
  <c r="T157" i="37"/>
  <c r="AB157" i="37"/>
  <c r="AJ157" i="37"/>
  <c r="O225" i="37"/>
  <c r="W225" i="37"/>
  <c r="AE225" i="37"/>
  <c r="AI132" i="37"/>
  <c r="AI200" i="37" s="1"/>
  <c r="AH132" i="37"/>
  <c r="AH200" i="37" s="1"/>
  <c r="Q132" i="37"/>
  <c r="Q200" i="37" s="1"/>
  <c r="AE132" i="37"/>
  <c r="AE200" i="37" s="1"/>
  <c r="AC132" i="37"/>
  <c r="AC200" i="37" s="1"/>
  <c r="U132" i="37"/>
  <c r="U200" i="37" s="1"/>
  <c r="H23" i="37"/>
  <c r="V157" i="37"/>
  <c r="AD157" i="37"/>
  <c r="J157" i="37"/>
  <c r="R157" i="37"/>
  <c r="Z157" i="37"/>
  <c r="AH157" i="37"/>
  <c r="K157" i="37"/>
  <c r="S157" i="37"/>
  <c r="AA157" i="37"/>
  <c r="AI157" i="37"/>
  <c r="N225" i="37"/>
  <c r="V225" i="37"/>
  <c r="AD225" i="37"/>
  <c r="G70" i="37"/>
  <c r="O157" i="37"/>
  <c r="W157" i="37"/>
  <c r="AE157" i="37"/>
  <c r="M157" i="37"/>
  <c r="U157" i="37"/>
  <c r="AC157" i="37"/>
  <c r="AK157" i="37"/>
  <c r="P225" i="37"/>
  <c r="X225" i="37"/>
  <c r="AF225" i="37"/>
  <c r="M79" i="37"/>
  <c r="H155" i="37"/>
  <c r="G155" i="37" s="1"/>
  <c r="H156" i="37"/>
  <c r="G156" i="37" s="1"/>
  <c r="Q157" i="37"/>
  <c r="Y157" i="37"/>
  <c r="AG157" i="37"/>
  <c r="Q225" i="37"/>
  <c r="Y225" i="37"/>
  <c r="AG225" i="37"/>
  <c r="H224" i="37"/>
  <c r="G224" i="37" s="1"/>
  <c r="L79" i="37"/>
  <c r="P25" i="37"/>
  <c r="AG25" i="37"/>
  <c r="Y25" i="37"/>
  <c r="Q25" i="37"/>
  <c r="Z25" i="37"/>
  <c r="AF25" i="37"/>
  <c r="X25" i="37"/>
  <c r="AE25" i="37"/>
  <c r="W25" i="37"/>
  <c r="AD25" i="37"/>
  <c r="V25" i="37"/>
  <c r="AC25" i="37"/>
  <c r="U25" i="37"/>
  <c r="R25" i="37"/>
  <c r="AB25" i="37"/>
  <c r="T25" i="37"/>
  <c r="AA25" i="37"/>
  <c r="S25" i="37"/>
  <c r="G69" i="37"/>
  <c r="Z51" i="37"/>
  <c r="Z56" i="37" s="1"/>
  <c r="BE51" i="37"/>
  <c r="BE56" i="37" s="1"/>
  <c r="BF51" i="37"/>
  <c r="BF56" i="37" s="1"/>
  <c r="Y51" i="37"/>
  <c r="Y56" i="37" s="1"/>
  <c r="J197" i="37"/>
  <c r="J129" i="37"/>
  <c r="J41" i="37"/>
  <c r="J231" i="37"/>
  <c r="J79" i="37"/>
  <c r="G82" i="37" s="1"/>
  <c r="O25" i="37"/>
  <c r="N25" i="37"/>
  <c r="M25" i="37"/>
  <c r="L25" i="37"/>
  <c r="K25" i="37"/>
  <c r="J25" i="37"/>
  <c r="AG51" i="37"/>
  <c r="AG56" i="37" s="1"/>
  <c r="BM51" i="37"/>
  <c r="BM56" i="37" s="1"/>
  <c r="G3" i="37"/>
  <c r="AH51" i="37"/>
  <c r="AH56" i="37" s="1"/>
  <c r="N210" i="37"/>
  <c r="N211" i="37" s="1"/>
  <c r="N142" i="37"/>
  <c r="N143" i="37" s="1"/>
  <c r="N55" i="37"/>
  <c r="V210" i="37"/>
  <c r="V142" i="37"/>
  <c r="BN207" i="37"/>
  <c r="BN212" i="37" s="1"/>
  <c r="BF207" i="37"/>
  <c r="BF212" i="37" s="1"/>
  <c r="AX207" i="37"/>
  <c r="AX212" i="37" s="1"/>
  <c r="AP207" i="37"/>
  <c r="AP212" i="37" s="1"/>
  <c r="AH207" i="37"/>
  <c r="AH212" i="37" s="1"/>
  <c r="Z207" i="37"/>
  <c r="Z212" i="37" s="1"/>
  <c r="R207" i="37"/>
  <c r="R212" i="37" s="1"/>
  <c r="J207" i="37"/>
  <c r="BM207" i="37"/>
  <c r="BM212" i="37" s="1"/>
  <c r="BE207" i="37"/>
  <c r="BE212" i="37" s="1"/>
  <c r="AW207" i="37"/>
  <c r="AW212" i="37" s="1"/>
  <c r="AO207" i="37"/>
  <c r="AO212" i="37" s="1"/>
  <c r="AG207" i="37"/>
  <c r="AG212" i="37" s="1"/>
  <c r="Y207" i="37"/>
  <c r="Y212" i="37" s="1"/>
  <c r="Q207" i="37"/>
  <c r="Q212" i="37" s="1"/>
  <c r="BL207" i="37"/>
  <c r="BL212" i="37" s="1"/>
  <c r="BD207" i="37"/>
  <c r="BD212" i="37" s="1"/>
  <c r="AV207" i="37"/>
  <c r="AV212" i="37" s="1"/>
  <c r="AN207" i="37"/>
  <c r="AN212" i="37" s="1"/>
  <c r="AF207" i="37"/>
  <c r="AF212" i="37" s="1"/>
  <c r="X207" i="37"/>
  <c r="X212" i="37" s="1"/>
  <c r="P207" i="37"/>
  <c r="P212" i="37" s="1"/>
  <c r="BK207" i="37"/>
  <c r="BK212" i="37" s="1"/>
  <c r="BC207" i="37"/>
  <c r="BC212" i="37" s="1"/>
  <c r="AU207" i="37"/>
  <c r="AU212" i="37" s="1"/>
  <c r="AM207" i="37"/>
  <c r="AM212" i="37" s="1"/>
  <c r="AE207" i="37"/>
  <c r="AE212" i="37" s="1"/>
  <c r="W207" i="37"/>
  <c r="W212" i="37" s="1"/>
  <c r="O207" i="37"/>
  <c r="O212" i="37" s="1"/>
  <c r="BJ207" i="37"/>
  <c r="BJ212" i="37" s="1"/>
  <c r="BB207" i="37"/>
  <c r="BB212" i="37" s="1"/>
  <c r="AT207" i="37"/>
  <c r="AT212" i="37" s="1"/>
  <c r="AL207" i="37"/>
  <c r="AL212" i="37" s="1"/>
  <c r="AD207" i="37"/>
  <c r="AD212" i="37" s="1"/>
  <c r="V207" i="37"/>
  <c r="V212" i="37" s="1"/>
  <c r="N207" i="37"/>
  <c r="N212" i="37" s="1"/>
  <c r="BH207" i="37"/>
  <c r="BH212" i="37" s="1"/>
  <c r="AZ207" i="37"/>
  <c r="AZ212" i="37" s="1"/>
  <c r="AR207" i="37"/>
  <c r="AR212" i="37" s="1"/>
  <c r="AJ207" i="37"/>
  <c r="AJ212" i="37" s="1"/>
  <c r="AB207" i="37"/>
  <c r="AB212" i="37" s="1"/>
  <c r="T207" i="37"/>
  <c r="T212" i="37" s="1"/>
  <c r="L207" i="37"/>
  <c r="L212" i="37" s="1"/>
  <c r="BG207" i="37"/>
  <c r="BG212" i="37" s="1"/>
  <c r="AY207" i="37"/>
  <c r="AY212" i="37" s="1"/>
  <c r="AQ207" i="37"/>
  <c r="AQ212" i="37" s="1"/>
  <c r="AI207" i="37"/>
  <c r="AI212" i="37" s="1"/>
  <c r="AA207" i="37"/>
  <c r="AA212" i="37" s="1"/>
  <c r="S207" i="37"/>
  <c r="S212" i="37" s="1"/>
  <c r="K207" i="37"/>
  <c r="K212" i="37" s="1"/>
  <c r="BI207" i="37"/>
  <c r="BI212" i="37" s="1"/>
  <c r="BA207" i="37"/>
  <c r="BA212" i="37" s="1"/>
  <c r="AS207" i="37"/>
  <c r="AS212" i="37" s="1"/>
  <c r="AK207" i="37"/>
  <c r="AK212" i="37" s="1"/>
  <c r="AC207" i="37"/>
  <c r="AC212" i="37" s="1"/>
  <c r="U207" i="37"/>
  <c r="U212" i="37" s="1"/>
  <c r="M207" i="37"/>
  <c r="M212" i="37" s="1"/>
  <c r="BI139" i="37"/>
  <c r="BI144" i="37" s="1"/>
  <c r="BA139" i="37"/>
  <c r="BA144" i="37" s="1"/>
  <c r="AS139" i="37"/>
  <c r="AS144" i="37" s="1"/>
  <c r="AK139" i="37"/>
  <c r="AK144" i="37" s="1"/>
  <c r="AC139" i="37"/>
  <c r="AC144" i="37" s="1"/>
  <c r="U139" i="37"/>
  <c r="U144" i="37" s="1"/>
  <c r="M139" i="37"/>
  <c r="M144" i="37" s="1"/>
  <c r="BH139" i="37"/>
  <c r="BH144" i="37" s="1"/>
  <c r="AZ139" i="37"/>
  <c r="AZ144" i="37" s="1"/>
  <c r="AR139" i="37"/>
  <c r="AR144" i="37" s="1"/>
  <c r="AJ139" i="37"/>
  <c r="AJ144" i="37" s="1"/>
  <c r="AB139" i="37"/>
  <c r="AB144" i="37" s="1"/>
  <c r="T139" i="37"/>
  <c r="T144" i="37" s="1"/>
  <c r="L139" i="37"/>
  <c r="L144" i="37" s="1"/>
  <c r="BG139" i="37"/>
  <c r="BG144" i="37" s="1"/>
  <c r="AY139" i="37"/>
  <c r="AY144" i="37" s="1"/>
  <c r="AQ139" i="37"/>
  <c r="AQ144" i="37" s="1"/>
  <c r="AI139" i="37"/>
  <c r="AI144" i="37" s="1"/>
  <c r="AA139" i="37"/>
  <c r="AA144" i="37" s="1"/>
  <c r="S139" i="37"/>
  <c r="S144" i="37" s="1"/>
  <c r="K139" i="37"/>
  <c r="K144" i="37" s="1"/>
  <c r="BN139" i="37"/>
  <c r="BN144" i="37" s="1"/>
  <c r="BF139" i="37"/>
  <c r="BF144" i="37" s="1"/>
  <c r="AX139" i="37"/>
  <c r="AX144" i="37" s="1"/>
  <c r="AP139" i="37"/>
  <c r="AP144" i="37" s="1"/>
  <c r="AH139" i="37"/>
  <c r="AH144" i="37" s="1"/>
  <c r="Z139" i="37"/>
  <c r="Z144" i="37" s="1"/>
  <c r="R139" i="37"/>
  <c r="R144" i="37" s="1"/>
  <c r="J139" i="37"/>
  <c r="BM139" i="37"/>
  <c r="BM144" i="37" s="1"/>
  <c r="BE139" i="37"/>
  <c r="BE144" i="37" s="1"/>
  <c r="AW139" i="37"/>
  <c r="AW144" i="37" s="1"/>
  <c r="AO139" i="37"/>
  <c r="AO144" i="37" s="1"/>
  <c r="AG139" i="37"/>
  <c r="AG144" i="37" s="1"/>
  <c r="Y139" i="37"/>
  <c r="Y144" i="37" s="1"/>
  <c r="Q139" i="37"/>
  <c r="Q144" i="37" s="1"/>
  <c r="BK139" i="37"/>
  <c r="BK144" i="37" s="1"/>
  <c r="BC139" i="37"/>
  <c r="BC144" i="37" s="1"/>
  <c r="AU139" i="37"/>
  <c r="AU144" i="37" s="1"/>
  <c r="AM139" i="37"/>
  <c r="AM144" i="37" s="1"/>
  <c r="AE139" i="37"/>
  <c r="AE144" i="37" s="1"/>
  <c r="W139" i="37"/>
  <c r="W144" i="37" s="1"/>
  <c r="O139" i="37"/>
  <c r="O144" i="37" s="1"/>
  <c r="AL139" i="37"/>
  <c r="AL144" i="37" s="1"/>
  <c r="BL139" i="37"/>
  <c r="BL144" i="37" s="1"/>
  <c r="AF139" i="37"/>
  <c r="AF144" i="37" s="1"/>
  <c r="BJ139" i="37"/>
  <c r="BJ144" i="37" s="1"/>
  <c r="AD139" i="37"/>
  <c r="AD144" i="37" s="1"/>
  <c r="BD139" i="37"/>
  <c r="BD144" i="37" s="1"/>
  <c r="X139" i="37"/>
  <c r="X144" i="37" s="1"/>
  <c r="BB139" i="37"/>
  <c r="BB144" i="37" s="1"/>
  <c r="V139" i="37"/>
  <c r="V144" i="37" s="1"/>
  <c r="AV139" i="37"/>
  <c r="AV144" i="37" s="1"/>
  <c r="P139" i="37"/>
  <c r="P144" i="37" s="1"/>
  <c r="AT139" i="37"/>
  <c r="AT144" i="37" s="1"/>
  <c r="N139" i="37"/>
  <c r="N144" i="37" s="1"/>
  <c r="AN139" i="37"/>
  <c r="AN144" i="37" s="1"/>
  <c r="BL51" i="37"/>
  <c r="BL56" i="37" s="1"/>
  <c r="BD51" i="37"/>
  <c r="BD56" i="37" s="1"/>
  <c r="AV51" i="37"/>
  <c r="AV56" i="37" s="1"/>
  <c r="AN51" i="37"/>
  <c r="AN56" i="37" s="1"/>
  <c r="AF51" i="37"/>
  <c r="AF56" i="37" s="1"/>
  <c r="X51" i="37"/>
  <c r="X56" i="37" s="1"/>
  <c r="P51" i="37"/>
  <c r="P56" i="37" s="1"/>
  <c r="P57" i="37" s="1"/>
  <c r="BK51" i="37"/>
  <c r="BK56" i="37" s="1"/>
  <c r="BC51" i="37"/>
  <c r="BC56" i="37" s="1"/>
  <c r="AU51" i="37"/>
  <c r="AU56" i="37" s="1"/>
  <c r="AM51" i="37"/>
  <c r="AM56" i="37" s="1"/>
  <c r="AE51" i="37"/>
  <c r="AE56" i="37" s="1"/>
  <c r="W51" i="37"/>
  <c r="W56" i="37" s="1"/>
  <c r="O51" i="37"/>
  <c r="O56" i="37" s="1"/>
  <c r="BJ51" i="37"/>
  <c r="BJ56" i="37" s="1"/>
  <c r="BB51" i="37"/>
  <c r="BB56" i="37" s="1"/>
  <c r="AT51" i="37"/>
  <c r="AT56" i="37" s="1"/>
  <c r="AL51" i="37"/>
  <c r="AL56" i="37" s="1"/>
  <c r="AD51" i="37"/>
  <c r="AD56" i="37" s="1"/>
  <c r="V51" i="37"/>
  <c r="V56" i="37" s="1"/>
  <c r="N51" i="37"/>
  <c r="N56" i="37" s="1"/>
  <c r="BI51" i="37"/>
  <c r="BI56" i="37" s="1"/>
  <c r="BA51" i="37"/>
  <c r="BA56" i="37" s="1"/>
  <c r="AS51" i="37"/>
  <c r="AS56" i="37" s="1"/>
  <c r="AK51" i="37"/>
  <c r="AK56" i="37" s="1"/>
  <c r="AC51" i="37"/>
  <c r="AC56" i="37" s="1"/>
  <c r="U51" i="37"/>
  <c r="U56" i="37" s="1"/>
  <c r="M51" i="37"/>
  <c r="M56" i="37" s="1"/>
  <c r="M57" i="37" s="1"/>
  <c r="BH51" i="37"/>
  <c r="BH56" i="37" s="1"/>
  <c r="AZ51" i="37"/>
  <c r="AZ56" i="37" s="1"/>
  <c r="AR51" i="37"/>
  <c r="AR56" i="37" s="1"/>
  <c r="AJ51" i="37"/>
  <c r="AJ56" i="37" s="1"/>
  <c r="AB51" i="37"/>
  <c r="AB56" i="37" s="1"/>
  <c r="T51" i="37"/>
  <c r="T56" i="37" s="1"/>
  <c r="L51" i="37"/>
  <c r="L56" i="37" s="1"/>
  <c r="L57" i="37" s="1"/>
  <c r="BG51" i="37"/>
  <c r="BG56" i="37" s="1"/>
  <c r="AY51" i="37"/>
  <c r="AY56" i="37" s="1"/>
  <c r="AQ51" i="37"/>
  <c r="AQ56" i="37" s="1"/>
  <c r="AI51" i="37"/>
  <c r="AI56" i="37" s="1"/>
  <c r="AA51" i="37"/>
  <c r="AA56" i="37" s="1"/>
  <c r="S51" i="37"/>
  <c r="S56" i="37" s="1"/>
  <c r="K51" i="37"/>
  <c r="K56" i="37" s="1"/>
  <c r="AO51" i="37"/>
  <c r="AO56" i="37" s="1"/>
  <c r="O210" i="37"/>
  <c r="O211" i="37" s="1"/>
  <c r="O142" i="37"/>
  <c r="O143" i="37" s="1"/>
  <c r="O55" i="37"/>
  <c r="W210" i="37"/>
  <c r="W142" i="37"/>
  <c r="H71" i="37"/>
  <c r="N231" i="37"/>
  <c r="N79" i="37"/>
  <c r="K79" i="37"/>
  <c r="J51" i="37"/>
  <c r="AP51" i="37"/>
  <c r="AP56" i="37" s="1"/>
  <c r="O231" i="37"/>
  <c r="O232" i="37" s="1"/>
  <c r="O233" i="37" s="1"/>
  <c r="O79" i="37"/>
  <c r="D86" i="37"/>
  <c r="Q51" i="37"/>
  <c r="Q56" i="37" s="1"/>
  <c r="AW51" i="37"/>
  <c r="AW56" i="37" s="1"/>
  <c r="R51" i="37"/>
  <c r="R56" i="37" s="1"/>
  <c r="AX51" i="37"/>
  <c r="AX56" i="37" s="1"/>
  <c r="P210" i="37"/>
  <c r="P211" i="37" s="1"/>
  <c r="P142" i="37"/>
  <c r="P143" i="37" s="1"/>
  <c r="X210" i="37"/>
  <c r="X142" i="37"/>
  <c r="Q210" i="37"/>
  <c r="Q211" i="37" s="1"/>
  <c r="Q142" i="37"/>
  <c r="Q143" i="37" s="1"/>
  <c r="Y210" i="37"/>
  <c r="Y142" i="37"/>
  <c r="S209" i="37"/>
  <c r="S141" i="37"/>
  <c r="J210" i="37"/>
  <c r="J211" i="37" s="1"/>
  <c r="J142" i="37"/>
  <c r="J143" i="37" s="1"/>
  <c r="R210" i="37"/>
  <c r="R211" i="37" s="1"/>
  <c r="R142" i="37"/>
  <c r="R143" i="37" s="1"/>
  <c r="Z210" i="37"/>
  <c r="Z142" i="37"/>
  <c r="K210" i="37"/>
  <c r="K211" i="37" s="1"/>
  <c r="K142" i="37"/>
  <c r="K143" i="37" s="1"/>
  <c r="S210" i="37"/>
  <c r="S142" i="37"/>
  <c r="AA210" i="37"/>
  <c r="AA142" i="37"/>
  <c r="Q55" i="37"/>
  <c r="P79" i="37"/>
  <c r="L210" i="37"/>
  <c r="L211" i="37" s="1"/>
  <c r="L142" i="37"/>
  <c r="L143" i="37" s="1"/>
  <c r="T210" i="37"/>
  <c r="T142" i="37"/>
  <c r="AB210" i="37"/>
  <c r="AB142" i="37"/>
  <c r="J55" i="37"/>
  <c r="R55" i="37"/>
  <c r="M210" i="37"/>
  <c r="M211" i="37" s="1"/>
  <c r="M142" i="37"/>
  <c r="M143" i="37" s="1"/>
  <c r="U210" i="37"/>
  <c r="U142" i="37"/>
  <c r="K55" i="37"/>
  <c r="S55" i="37"/>
  <c r="H118" i="37"/>
  <c r="K230" i="37"/>
  <c r="K232" i="37" s="1"/>
  <c r="K233" i="37" s="1"/>
  <c r="K165" i="37"/>
  <c r="AY200" i="37"/>
  <c r="BG200" i="37"/>
  <c r="L230" i="37"/>
  <c r="L232" i="37" s="1"/>
  <c r="L233" i="37" s="1"/>
  <c r="L165" i="37"/>
  <c r="D171" i="37"/>
  <c r="N230" i="37"/>
  <c r="N165" i="37"/>
  <c r="P230" i="37"/>
  <c r="P232" i="37" s="1"/>
  <c r="P233" i="37" s="1"/>
  <c r="P165" i="37"/>
  <c r="J230" i="37"/>
  <c r="J165" i="37"/>
  <c r="G168" i="37" s="1"/>
  <c r="O165" i="37"/>
  <c r="L157" i="37"/>
  <c r="M165" i="37"/>
  <c r="M232" i="37"/>
  <c r="M233" i="37" s="1"/>
  <c r="H223" i="37"/>
  <c r="G223" i="37" s="1"/>
  <c r="D239" i="37"/>
  <c r="M225" i="37"/>
  <c r="U225" i="37"/>
  <c r="AC225" i="37"/>
  <c r="AK225" i="37"/>
  <c r="J225" i="37"/>
  <c r="H207" i="37" l="1"/>
  <c r="H139" i="37"/>
  <c r="J232" i="37"/>
  <c r="J233" i="37" s="1"/>
  <c r="G236" i="37" s="1"/>
  <c r="H44" i="37"/>
  <c r="G85" i="37"/>
  <c r="L85" i="37" s="1"/>
  <c r="H85" i="37" s="1"/>
  <c r="C85" i="37" s="1"/>
  <c r="O213" i="37"/>
  <c r="G71" i="37"/>
  <c r="S57" i="37"/>
  <c r="O57" i="37"/>
  <c r="H157" i="37"/>
  <c r="G157" i="37" s="1"/>
  <c r="M145" i="37"/>
  <c r="M213" i="37"/>
  <c r="N232" i="37"/>
  <c r="N233" i="37" s="1"/>
  <c r="H225" i="37"/>
  <c r="G225" i="37" s="1"/>
  <c r="L213" i="37"/>
  <c r="G169" i="37"/>
  <c r="H25" i="37"/>
  <c r="K145" i="37"/>
  <c r="R57" i="37"/>
  <c r="L145" i="37"/>
  <c r="Q213" i="37"/>
  <c r="P213" i="37"/>
  <c r="Q145" i="37"/>
  <c r="R145" i="37"/>
  <c r="K213" i="37"/>
  <c r="Q57" i="37"/>
  <c r="R213" i="37"/>
  <c r="P145" i="37"/>
  <c r="N57" i="37"/>
  <c r="S143" i="37"/>
  <c r="S145" i="37" s="1"/>
  <c r="G238" i="37"/>
  <c r="O132" i="37"/>
  <c r="O145" i="37"/>
  <c r="G84" i="37"/>
  <c r="J212" i="37"/>
  <c r="H212" i="37" s="1"/>
  <c r="N132" i="37"/>
  <c r="P132" i="37"/>
  <c r="D172" i="37"/>
  <c r="G171" i="37"/>
  <c r="L171" i="37" s="1"/>
  <c r="H171" i="37" s="1"/>
  <c r="C171" i="37" s="1"/>
  <c r="M133" i="37" s="1"/>
  <c r="G83" i="37"/>
  <c r="J132" i="37"/>
  <c r="G237" i="37"/>
  <c r="G170" i="37"/>
  <c r="K57" i="37"/>
  <c r="S211" i="37"/>
  <c r="S213" i="37" s="1"/>
  <c r="J144" i="37"/>
  <c r="H144" i="37" s="1"/>
  <c r="K132" i="37"/>
  <c r="K129" i="37"/>
  <c r="G86" i="37"/>
  <c r="D87" i="37"/>
  <c r="L132" i="37"/>
  <c r="N213" i="37"/>
  <c r="G239" i="37"/>
  <c r="L239" i="37" s="1"/>
  <c r="H239" i="37" s="1"/>
  <c r="C239" i="37" s="1"/>
  <c r="D240" i="37"/>
  <c r="N145" i="37"/>
  <c r="H51" i="37"/>
  <c r="J56" i="37"/>
  <c r="H56" i="37" s="1"/>
  <c r="M132" i="37"/>
  <c r="IA29" i="37" l="1"/>
  <c r="HS29" i="37"/>
  <c r="HK29" i="37"/>
  <c r="HC29" i="37"/>
  <c r="GU29" i="37"/>
  <c r="GM29" i="37"/>
  <c r="GE29" i="37"/>
  <c r="FW29" i="37"/>
  <c r="FO29" i="37"/>
  <c r="FG29" i="37"/>
  <c r="EY29" i="37"/>
  <c r="EQ29" i="37"/>
  <c r="EI29" i="37"/>
  <c r="EA29" i="37"/>
  <c r="DS29" i="37"/>
  <c r="DK29" i="37"/>
  <c r="DC29" i="37"/>
  <c r="CU29" i="37"/>
  <c r="CM29" i="37"/>
  <c r="CE29" i="37"/>
  <c r="BW29" i="37"/>
  <c r="BO29" i="37"/>
  <c r="BG29" i="37"/>
  <c r="AY29" i="37"/>
  <c r="AQ29" i="37"/>
  <c r="AI29" i="37"/>
  <c r="AA29" i="37"/>
  <c r="S29" i="37"/>
  <c r="GN29" i="37"/>
  <c r="CV29" i="37"/>
  <c r="HZ29" i="37"/>
  <c r="HR29" i="37"/>
  <c r="HJ29" i="37"/>
  <c r="HB29" i="37"/>
  <c r="GT29" i="37"/>
  <c r="GL29" i="37"/>
  <c r="GD29" i="37"/>
  <c r="FV29" i="37"/>
  <c r="FN29" i="37"/>
  <c r="FF29" i="37"/>
  <c r="EX29" i="37"/>
  <c r="EP29" i="37"/>
  <c r="EH29" i="37"/>
  <c r="DZ29" i="37"/>
  <c r="DR29" i="37"/>
  <c r="DJ29" i="37"/>
  <c r="DB29" i="37"/>
  <c r="CT29" i="37"/>
  <c r="CL29" i="37"/>
  <c r="CD29" i="37"/>
  <c r="BV29" i="37"/>
  <c r="BN29" i="37"/>
  <c r="BF29" i="37"/>
  <c r="AX29" i="37"/>
  <c r="AP29" i="37"/>
  <c r="AH29" i="37"/>
  <c r="Z29" i="37"/>
  <c r="R29" i="37"/>
  <c r="GF29" i="37"/>
  <c r="CN29" i="37"/>
  <c r="AB29" i="37"/>
  <c r="HY29" i="37"/>
  <c r="HQ29" i="37"/>
  <c r="HI29" i="37"/>
  <c r="HA29" i="37"/>
  <c r="GS29" i="37"/>
  <c r="GK29" i="37"/>
  <c r="GC29" i="37"/>
  <c r="FU29" i="37"/>
  <c r="FM29" i="37"/>
  <c r="FE29" i="37"/>
  <c r="EW29" i="37"/>
  <c r="EO29" i="37"/>
  <c r="EG29" i="37"/>
  <c r="DY29" i="37"/>
  <c r="DQ29" i="37"/>
  <c r="DI29" i="37"/>
  <c r="DA29" i="37"/>
  <c r="CS29" i="37"/>
  <c r="CK29" i="37"/>
  <c r="CC29" i="37"/>
  <c r="BU29" i="37"/>
  <c r="BM29" i="37"/>
  <c r="BE29" i="37"/>
  <c r="AW29" i="37"/>
  <c r="AO29" i="37"/>
  <c r="AG29" i="37"/>
  <c r="Y29" i="37"/>
  <c r="Q29" i="37"/>
  <c r="FX29" i="37"/>
  <c r="CF29" i="37"/>
  <c r="T29" i="37"/>
  <c r="HX29" i="37"/>
  <c r="HP29" i="37"/>
  <c r="HH29" i="37"/>
  <c r="GZ29" i="37"/>
  <c r="GR29" i="37"/>
  <c r="GJ29" i="37"/>
  <c r="GB29" i="37"/>
  <c r="FT29" i="37"/>
  <c r="FL29" i="37"/>
  <c r="FD29" i="37"/>
  <c r="EV29" i="37"/>
  <c r="EN29" i="37"/>
  <c r="EF29" i="37"/>
  <c r="DX29" i="37"/>
  <c r="DP29" i="37"/>
  <c r="DH29" i="37"/>
  <c r="CZ29" i="37"/>
  <c r="CR29" i="37"/>
  <c r="CJ29" i="37"/>
  <c r="CB29" i="37"/>
  <c r="BT29" i="37"/>
  <c r="BL29" i="37"/>
  <c r="BD29" i="37"/>
  <c r="AV29" i="37"/>
  <c r="AN29" i="37"/>
  <c r="AF29" i="37"/>
  <c r="X29" i="37"/>
  <c r="P29" i="37"/>
  <c r="GV29" i="37"/>
  <c r="EZ29" i="37"/>
  <c r="DD29" i="37"/>
  <c r="AZ29" i="37"/>
  <c r="HW29" i="37"/>
  <c r="HO29" i="37"/>
  <c r="HG29" i="37"/>
  <c r="GY29" i="37"/>
  <c r="GQ29" i="37"/>
  <c r="GI29" i="37"/>
  <c r="GA29" i="37"/>
  <c r="FS29" i="37"/>
  <c r="FK29" i="37"/>
  <c r="FC29" i="37"/>
  <c r="EU29" i="37"/>
  <c r="EM29" i="37"/>
  <c r="EE29" i="37"/>
  <c r="DW29" i="37"/>
  <c r="DO29" i="37"/>
  <c r="DG29" i="37"/>
  <c r="CY29" i="37"/>
  <c r="CQ29" i="37"/>
  <c r="CI29" i="37"/>
  <c r="CA29" i="37"/>
  <c r="BS29" i="37"/>
  <c r="BK29" i="37"/>
  <c r="BC29" i="37"/>
  <c r="AU29" i="37"/>
  <c r="AM29" i="37"/>
  <c r="AE29" i="37"/>
  <c r="W29" i="37"/>
  <c r="HL29" i="37"/>
  <c r="FH29" i="37"/>
  <c r="EJ29" i="37"/>
  <c r="DL29" i="37"/>
  <c r="BP29" i="37"/>
  <c r="AR29" i="37"/>
  <c r="HV29" i="37"/>
  <c r="HN29" i="37"/>
  <c r="HF29" i="37"/>
  <c r="GX29" i="37"/>
  <c r="GP29" i="37"/>
  <c r="GH29" i="37"/>
  <c r="FZ29" i="37"/>
  <c r="FR29" i="37"/>
  <c r="FJ29" i="37"/>
  <c r="FB29" i="37"/>
  <c r="ET29" i="37"/>
  <c r="EL29" i="37"/>
  <c r="ED29" i="37"/>
  <c r="DV29" i="37"/>
  <c r="DN29" i="37"/>
  <c r="DF29" i="37"/>
  <c r="CX29" i="37"/>
  <c r="CP29" i="37"/>
  <c r="CH29" i="37"/>
  <c r="BZ29" i="37"/>
  <c r="BR29" i="37"/>
  <c r="BJ29" i="37"/>
  <c r="BB29" i="37"/>
  <c r="AT29" i="37"/>
  <c r="AL29" i="37"/>
  <c r="AD29" i="37"/>
  <c r="V29" i="37"/>
  <c r="HD29" i="37"/>
  <c r="FP29" i="37"/>
  <c r="ER29" i="37"/>
  <c r="DT29" i="37"/>
  <c r="BX29" i="37"/>
  <c r="AJ29" i="37"/>
  <c r="HU29" i="37"/>
  <c r="HM29" i="37"/>
  <c r="HE29" i="37"/>
  <c r="GW29" i="37"/>
  <c r="GO29" i="37"/>
  <c r="GG29" i="37"/>
  <c r="FY29" i="37"/>
  <c r="FQ29" i="37"/>
  <c r="FI29" i="37"/>
  <c r="FA29" i="37"/>
  <c r="ES29" i="37"/>
  <c r="EK29" i="37"/>
  <c r="EC29" i="37"/>
  <c r="DU29" i="37"/>
  <c r="DM29" i="37"/>
  <c r="DE29" i="37"/>
  <c r="CW29" i="37"/>
  <c r="CO29" i="37"/>
  <c r="CG29" i="37"/>
  <c r="BY29" i="37"/>
  <c r="BQ29" i="37"/>
  <c r="BI29" i="37"/>
  <c r="BA29" i="37"/>
  <c r="AS29" i="37"/>
  <c r="AK29" i="37"/>
  <c r="AC29" i="37"/>
  <c r="CT30" i="37" s="1"/>
  <c r="U29" i="37"/>
  <c r="HT29" i="37"/>
  <c r="EB29" i="37"/>
  <c r="BH29" i="37"/>
  <c r="O27" i="37"/>
  <c r="H132" i="37"/>
  <c r="K27" i="37"/>
  <c r="L27" i="37"/>
  <c r="M27" i="37"/>
  <c r="P26" i="37"/>
  <c r="N27" i="37"/>
  <c r="J27" i="37"/>
  <c r="J213" i="37"/>
  <c r="D173" i="37"/>
  <c r="G172" i="37"/>
  <c r="G87" i="37"/>
  <c r="D88" i="37"/>
  <c r="M86" i="37"/>
  <c r="L86" i="37"/>
  <c r="P200" i="37"/>
  <c r="M200" i="37"/>
  <c r="D241" i="37"/>
  <c r="G240" i="37"/>
  <c r="L200" i="37"/>
  <c r="J57" i="37"/>
  <c r="N200" i="37"/>
  <c r="K200" i="37"/>
  <c r="J200" i="37"/>
  <c r="J145" i="37"/>
  <c r="L129" i="37"/>
  <c r="O200" i="37"/>
  <c r="I76" i="2"/>
  <c r="H55" i="5"/>
  <c r="I55" i="5" s="1"/>
  <c r="J55" i="5" s="1"/>
  <c r="K55" i="5" s="1"/>
  <c r="L55" i="5" s="1"/>
  <c r="M55" i="5" s="1"/>
  <c r="N55" i="5" s="1"/>
  <c r="O55" i="5" s="1"/>
  <c r="BJ30" i="37" l="1"/>
  <c r="CY30" i="37"/>
  <c r="FK30" i="37"/>
  <c r="DV30" i="37"/>
  <c r="BG30" i="37"/>
  <c r="HW30" i="37"/>
  <c r="AR30" i="37"/>
  <c r="BY30" i="37"/>
  <c r="GH30" i="37"/>
  <c r="HS30" i="37"/>
  <c r="DD30" i="37"/>
  <c r="EK30" i="37"/>
  <c r="CB30" i="37"/>
  <c r="EQ30" i="37"/>
  <c r="FP30" i="37"/>
  <c r="GW30" i="37"/>
  <c r="DI30" i="37"/>
  <c r="AF30" i="37"/>
  <c r="FT30" i="37"/>
  <c r="HJ30" i="37"/>
  <c r="BD30" i="37"/>
  <c r="BE30" i="37"/>
  <c r="BF30" i="37"/>
  <c r="AM30" i="37"/>
  <c r="CK30" i="37"/>
  <c r="BV30" i="37"/>
  <c r="CM30" i="37"/>
  <c r="HO30" i="37"/>
  <c r="AZ30" i="37"/>
  <c r="U30" i="37"/>
  <c r="ED30" i="37"/>
  <c r="DG30" i="37"/>
  <c r="DP30" i="37"/>
  <c r="EW30" i="37"/>
  <c r="FN30" i="37"/>
  <c r="FW30" i="37"/>
  <c r="BH30" i="37"/>
  <c r="DT30" i="37"/>
  <c r="GF30" i="37"/>
  <c r="CJ30" i="37"/>
  <c r="DQ30" i="37"/>
  <c r="DZ30" i="37"/>
  <c r="CU30" i="37"/>
  <c r="AC30" i="37"/>
  <c r="CO30" i="37"/>
  <c r="FA30" i="37"/>
  <c r="HM30" i="37"/>
  <c r="AO30" i="37"/>
  <c r="DR30" i="37"/>
  <c r="HK30" i="37"/>
  <c r="BZ30" i="37"/>
  <c r="EL30" i="37"/>
  <c r="GX30" i="37"/>
  <c r="EF30" i="37"/>
  <c r="FM30" i="37"/>
  <c r="AY30" i="37"/>
  <c r="BC30" i="37"/>
  <c r="DO30" i="37"/>
  <c r="GA30" i="37"/>
  <c r="GC30" i="37"/>
  <c r="DY30" i="37"/>
  <c r="BW30" i="37"/>
  <c r="GP30" i="37"/>
  <c r="FS30" i="37"/>
  <c r="EV30" i="37"/>
  <c r="GK30" i="37"/>
  <c r="HZ30" i="37"/>
  <c r="GM30" i="37"/>
  <c r="BP30" i="37"/>
  <c r="EB30" i="37"/>
  <c r="GN30" i="37"/>
  <c r="DX30" i="37"/>
  <c r="FE30" i="37"/>
  <c r="EP30" i="37"/>
  <c r="DK30" i="37"/>
  <c r="AK30" i="37"/>
  <c r="CW30" i="37"/>
  <c r="FI30" i="37"/>
  <c r="HU30" i="37"/>
  <c r="CC30" i="37"/>
  <c r="EX30" i="37"/>
  <c r="V30" i="37"/>
  <c r="CH30" i="37"/>
  <c r="ET30" i="37"/>
  <c r="HF30" i="37"/>
  <c r="FL30" i="37"/>
  <c r="HI30" i="37"/>
  <c r="CE30" i="37"/>
  <c r="BK30" i="37"/>
  <c r="DW30" i="37"/>
  <c r="GI30" i="37"/>
  <c r="DL30" i="37"/>
  <c r="DB30" i="37"/>
  <c r="HP30" i="37"/>
  <c r="EO30" i="37"/>
  <c r="GB30" i="37"/>
  <c r="HY30" i="37"/>
  <c r="AQ30" i="37"/>
  <c r="IA30" i="37"/>
  <c r="BX30" i="37"/>
  <c r="EJ30" i="37"/>
  <c r="GV30" i="37"/>
  <c r="FD30" i="37"/>
  <c r="GS30" i="37"/>
  <c r="FV30" i="37"/>
  <c r="EY30" i="37"/>
  <c r="AS30" i="37"/>
  <c r="DE30" i="37"/>
  <c r="FQ30" i="37"/>
  <c r="AN30" i="37"/>
  <c r="DA30" i="37"/>
  <c r="GD30" i="37"/>
  <c r="AD30" i="37"/>
  <c r="CP30" i="37"/>
  <c r="FB30" i="37"/>
  <c r="HN30" i="37"/>
  <c r="GR30" i="37"/>
  <c r="AH30" i="37"/>
  <c r="EA30" i="37"/>
  <c r="BS30" i="37"/>
  <c r="EE30" i="37"/>
  <c r="GQ30" i="37"/>
  <c r="EH30" i="37"/>
  <c r="BL30" i="37"/>
  <c r="ES30" i="37"/>
  <c r="EI30" i="37"/>
  <c r="AU30" i="37"/>
  <c r="HH30" i="37"/>
  <c r="Z30" i="37"/>
  <c r="BO30" i="37"/>
  <c r="T30" i="37"/>
  <c r="CF30" i="37"/>
  <c r="ER30" i="37"/>
  <c r="HD30" i="37"/>
  <c r="GJ30" i="37"/>
  <c r="HQ30" i="37"/>
  <c r="GL30" i="37"/>
  <c r="FG30" i="37"/>
  <c r="BA30" i="37"/>
  <c r="DM30" i="37"/>
  <c r="FY30" i="37"/>
  <c r="BT30" i="37"/>
  <c r="EG30" i="37"/>
  <c r="GT30" i="37"/>
  <c r="AL30" i="37"/>
  <c r="CX30" i="37"/>
  <c r="FJ30" i="37"/>
  <c r="HV30" i="37"/>
  <c r="Q30" i="37"/>
  <c r="CD30" i="37"/>
  <c r="HC30" i="37"/>
  <c r="CA30" i="37"/>
  <c r="EM30" i="37"/>
  <c r="GY30" i="37"/>
  <c r="CR30" i="37"/>
  <c r="FX30" i="37"/>
  <c r="CG30" i="37"/>
  <c r="CL30" i="37"/>
  <c r="CZ30" i="37"/>
  <c r="HX30" i="37"/>
  <c r="Y30" i="37"/>
  <c r="AP30" i="37"/>
  <c r="DC30" i="37"/>
  <c r="AB30" i="37"/>
  <c r="CN30" i="37"/>
  <c r="EZ30" i="37"/>
  <c r="HL30" i="37"/>
  <c r="GZ30" i="37"/>
  <c r="R30" i="37"/>
  <c r="HR30" i="37"/>
  <c r="GE30" i="37"/>
  <c r="BI30" i="37"/>
  <c r="DU30" i="37"/>
  <c r="GG30" i="37"/>
  <c r="DH30" i="37"/>
  <c r="FU30" i="37"/>
  <c r="HB30" i="37"/>
  <c r="AT30" i="37"/>
  <c r="DF30" i="37"/>
  <c r="FR30" i="37"/>
  <c r="P30" i="37"/>
  <c r="AW30" i="37"/>
  <c r="DJ30" i="37"/>
  <c r="W30" i="37"/>
  <c r="CI30" i="37"/>
  <c r="EU30" i="37"/>
  <c r="HG30" i="37"/>
  <c r="FO30" i="37"/>
  <c r="CS30" i="37"/>
  <c r="HE30" i="37"/>
  <c r="BR30" i="37"/>
  <c r="S30" i="37"/>
  <c r="X30" i="37"/>
  <c r="BM30" i="37"/>
  <c r="BN30" i="37"/>
  <c r="DS30" i="37"/>
  <c r="AJ30" i="37"/>
  <c r="CV30" i="37"/>
  <c r="FH30" i="37"/>
  <c r="HT30" i="37"/>
  <c r="AG30" i="37"/>
  <c r="AX30" i="37"/>
  <c r="AA30" i="37"/>
  <c r="GU30" i="37"/>
  <c r="BQ30" i="37"/>
  <c r="EC30" i="37"/>
  <c r="GO30" i="37"/>
  <c r="EN30" i="37"/>
  <c r="HA30" i="37"/>
  <c r="AI30" i="37"/>
  <c r="BB30" i="37"/>
  <c r="DN30" i="37"/>
  <c r="FZ30" i="37"/>
  <c r="AV30" i="37"/>
  <c r="BU30" i="37"/>
  <c r="FF30" i="37"/>
  <c r="AE30" i="37"/>
  <c r="CQ30" i="37"/>
  <c r="FC30" i="37"/>
  <c r="H200" i="37"/>
  <c r="P27" i="37"/>
  <c r="Q26" i="37" s="1"/>
  <c r="H86" i="37"/>
  <c r="C86" i="37" s="1"/>
  <c r="L240" i="37"/>
  <c r="M240" i="37"/>
  <c r="D242" i="37"/>
  <c r="G241" i="37"/>
  <c r="M129" i="37"/>
  <c r="M172" i="37"/>
  <c r="L172" i="37"/>
  <c r="G88" i="37"/>
  <c r="D89" i="37"/>
  <c r="G173" i="37"/>
  <c r="D174" i="37"/>
  <c r="L87" i="37"/>
  <c r="N87" i="37"/>
  <c r="M87" i="37"/>
  <c r="H172" i="37" l="1"/>
  <c r="C172" i="37" s="1"/>
  <c r="N133" i="37" s="1"/>
  <c r="H87" i="37"/>
  <c r="C87" i="37" s="1"/>
  <c r="Q27" i="37"/>
  <c r="H240" i="37"/>
  <c r="C240" i="37" s="1"/>
  <c r="N173" i="37"/>
  <c r="M173" i="37"/>
  <c r="L173" i="37"/>
  <c r="G242" i="37"/>
  <c r="D243" i="37"/>
  <c r="G174" i="37"/>
  <c r="D175" i="37"/>
  <c r="D90" i="37"/>
  <c r="G89" i="37"/>
  <c r="N129" i="37"/>
  <c r="O88" i="37"/>
  <c r="N88" i="37"/>
  <c r="L88" i="37"/>
  <c r="M88" i="37"/>
  <c r="N241" i="37"/>
  <c r="L241" i="37"/>
  <c r="M241" i="37"/>
  <c r="O75" i="2"/>
  <c r="O74" i="2"/>
  <c r="N74" i="2"/>
  <c r="N75" i="2"/>
  <c r="H173" i="37" l="1"/>
  <c r="C173" i="37" s="1"/>
  <c r="O133" i="37" s="1"/>
  <c r="O129" i="37"/>
  <c r="H241" i="37"/>
  <c r="C241" i="37" s="1"/>
  <c r="N174" i="37"/>
  <c r="O174" i="37"/>
  <c r="M174" i="37"/>
  <c r="L174" i="37"/>
  <c r="D244" i="37"/>
  <c r="G243" i="37"/>
  <c r="N242" i="37"/>
  <c r="L242" i="37"/>
  <c r="O242" i="37"/>
  <c r="M242" i="37"/>
  <c r="R26" i="37"/>
  <c r="H88" i="37"/>
  <c r="C88" i="37" s="1"/>
  <c r="O89" i="37"/>
  <c r="P89" i="37"/>
  <c r="N89" i="37"/>
  <c r="M89" i="37"/>
  <c r="L89" i="37"/>
  <c r="D176" i="37"/>
  <c r="G175" i="37"/>
  <c r="D91" i="37"/>
  <c r="G90" i="37"/>
  <c r="M90" i="36"/>
  <c r="L90" i="36"/>
  <c r="K90" i="36"/>
  <c r="J90" i="36"/>
  <c r="I90" i="36"/>
  <c r="H90" i="36"/>
  <c r="G90" i="36"/>
  <c r="F90" i="36"/>
  <c r="AJ75" i="36"/>
  <c r="AI75" i="36"/>
  <c r="AH75" i="36"/>
  <c r="AG75" i="36"/>
  <c r="AF75" i="36"/>
  <c r="AE75" i="36"/>
  <c r="AD75" i="36"/>
  <c r="AC75" i="36"/>
  <c r="AB75" i="36"/>
  <c r="AA75" i="36"/>
  <c r="Z75" i="36"/>
  <c r="Y75" i="36"/>
  <c r="X75" i="36"/>
  <c r="W75" i="36"/>
  <c r="V75" i="36"/>
  <c r="U75" i="36"/>
  <c r="T75" i="36"/>
  <c r="S75" i="36"/>
  <c r="R75" i="36"/>
  <c r="Q75" i="36"/>
  <c r="P75" i="36"/>
  <c r="O75" i="36"/>
  <c r="N75" i="36"/>
  <c r="M75" i="36"/>
  <c r="L75" i="36"/>
  <c r="K75" i="36"/>
  <c r="J75" i="36"/>
  <c r="I75" i="36"/>
  <c r="H75" i="36"/>
  <c r="G75" i="36"/>
  <c r="F75" i="36"/>
  <c r="E75" i="36"/>
  <c r="H242" i="37" l="1"/>
  <c r="C242" i="37" s="1"/>
  <c r="M175" i="37"/>
  <c r="N175" i="37"/>
  <c r="O175" i="37"/>
  <c r="P175" i="37"/>
  <c r="L175" i="37"/>
  <c r="L90" i="37"/>
  <c r="M90" i="37"/>
  <c r="O90" i="37"/>
  <c r="N90" i="37"/>
  <c r="Q90" i="37"/>
  <c r="P90" i="37"/>
  <c r="L243" i="37"/>
  <c r="O243" i="37"/>
  <c r="P243" i="37"/>
  <c r="N243" i="37"/>
  <c r="M243" i="37"/>
  <c r="P129" i="37"/>
  <c r="H89" i="37"/>
  <c r="C89" i="37" s="1"/>
  <c r="D245" i="37"/>
  <c r="G244" i="37"/>
  <c r="D92" i="37"/>
  <c r="G91" i="37"/>
  <c r="D177" i="37"/>
  <c r="G176" i="37"/>
  <c r="R27" i="37"/>
  <c r="H174" i="37"/>
  <c r="C174" i="37" s="1"/>
  <c r="P133" i="37" s="1"/>
  <c r="H175" i="37" l="1"/>
  <c r="C175" i="37" s="1"/>
  <c r="Q133" i="37" s="1"/>
  <c r="D178" i="37"/>
  <c r="G177" i="37"/>
  <c r="Q129" i="37"/>
  <c r="H243" i="37"/>
  <c r="C243" i="37" s="1"/>
  <c r="P176" i="37"/>
  <c r="Q176" i="37"/>
  <c r="M176" i="37"/>
  <c r="N176" i="37"/>
  <c r="O176" i="37"/>
  <c r="L176" i="37"/>
  <c r="R91" i="37"/>
  <c r="Q91" i="37"/>
  <c r="N91" i="37"/>
  <c r="O91" i="37"/>
  <c r="P91" i="37"/>
  <c r="M91" i="37"/>
  <c r="L91" i="37"/>
  <c r="G92" i="37"/>
  <c r="D93" i="37"/>
  <c r="L244" i="37"/>
  <c r="O244" i="37"/>
  <c r="N244" i="37"/>
  <c r="Q244" i="37"/>
  <c r="P244" i="37"/>
  <c r="M244" i="37"/>
  <c r="S26" i="37"/>
  <c r="G245" i="37"/>
  <c r="D246" i="37"/>
  <c r="H90" i="37"/>
  <c r="C90" i="37" s="1"/>
  <c r="F110" i="14"/>
  <c r="E110" i="14"/>
  <c r="F99" i="14"/>
  <c r="F100" i="14"/>
  <c r="F101" i="14"/>
  <c r="F102" i="14"/>
  <c r="F103" i="14"/>
  <c r="F104" i="14"/>
  <c r="F105" i="14"/>
  <c r="F106" i="14"/>
  <c r="F107" i="14"/>
  <c r="F108" i="14"/>
  <c r="F109" i="14"/>
  <c r="F98" i="14"/>
  <c r="AL109" i="12"/>
  <c r="AM109" i="12"/>
  <c r="AN109" i="12"/>
  <c r="E65" i="14"/>
  <c r="I111" i="2"/>
  <c r="H111" i="2"/>
  <c r="AB57" i="2"/>
  <c r="AB58" i="2" s="1"/>
  <c r="H244" i="37" l="1"/>
  <c r="C244" i="37" s="1"/>
  <c r="H176" i="37"/>
  <c r="C176" i="37" s="1"/>
  <c r="R133" i="37" s="1"/>
  <c r="D94" i="37"/>
  <c r="G93" i="37"/>
  <c r="R129" i="37"/>
  <c r="S92" i="37"/>
  <c r="L92" i="37"/>
  <c r="O92" i="37"/>
  <c r="P92" i="37"/>
  <c r="N92" i="37"/>
  <c r="M92" i="37"/>
  <c r="R92" i="37"/>
  <c r="Q92" i="37"/>
  <c r="H91" i="37"/>
  <c r="C91" i="37" s="1"/>
  <c r="G246" i="37"/>
  <c r="D247" i="37"/>
  <c r="O245" i="37"/>
  <c r="R245" i="37"/>
  <c r="L245" i="37"/>
  <c r="P245" i="37"/>
  <c r="Q245" i="37"/>
  <c r="N245" i="37"/>
  <c r="M245" i="37"/>
  <c r="O177" i="37"/>
  <c r="P177" i="37"/>
  <c r="Q177" i="37"/>
  <c r="N177" i="37"/>
  <c r="M177" i="37"/>
  <c r="R177" i="37"/>
  <c r="L177" i="37"/>
  <c r="S27" i="37"/>
  <c r="D179" i="37"/>
  <c r="G178" i="37"/>
  <c r="V69" i="12"/>
  <c r="V68" i="12"/>
  <c r="S178" i="37" l="1"/>
  <c r="Q178" i="37"/>
  <c r="M178" i="37"/>
  <c r="N178" i="37"/>
  <c r="O178" i="37"/>
  <c r="R178" i="37"/>
  <c r="P178" i="37"/>
  <c r="L178" i="37"/>
  <c r="S129" i="37"/>
  <c r="D248" i="37"/>
  <c r="G247" i="37"/>
  <c r="G179" i="37"/>
  <c r="D180" i="37"/>
  <c r="Q246" i="37"/>
  <c r="R246" i="37"/>
  <c r="L246" i="37"/>
  <c r="O246" i="37"/>
  <c r="P246" i="37"/>
  <c r="N246" i="37"/>
  <c r="S246" i="37"/>
  <c r="M246" i="37"/>
  <c r="H177" i="37"/>
  <c r="C177" i="37" s="1"/>
  <c r="S133" i="37" s="1"/>
  <c r="T26" i="37"/>
  <c r="Q93" i="37"/>
  <c r="P93" i="37"/>
  <c r="L93" i="37"/>
  <c r="M93" i="37"/>
  <c r="T93" i="37"/>
  <c r="O93" i="37"/>
  <c r="R93" i="37"/>
  <c r="S93" i="37"/>
  <c r="N93" i="37"/>
  <c r="H245" i="37"/>
  <c r="C245" i="37" s="1"/>
  <c r="H92" i="37"/>
  <c r="C92" i="37" s="1"/>
  <c r="D95" i="37"/>
  <c r="G94" i="37"/>
  <c r="H66" i="5"/>
  <c r="I66" i="5" s="1"/>
  <c r="J66" i="5" s="1"/>
  <c r="K66" i="5" s="1"/>
  <c r="L66" i="5" s="1"/>
  <c r="M66" i="5" s="1"/>
  <c r="N66" i="5" s="1"/>
  <c r="H67" i="5"/>
  <c r="I67" i="5" s="1"/>
  <c r="J67" i="5" s="1"/>
  <c r="K67" i="5" s="1"/>
  <c r="L67" i="5" s="1"/>
  <c r="M67" i="5" s="1"/>
  <c r="N67" i="5" s="1"/>
  <c r="J78" i="2"/>
  <c r="J77" i="2"/>
  <c r="J76" i="2"/>
  <c r="J75" i="2"/>
  <c r="J74" i="2"/>
  <c r="I78" i="2"/>
  <c r="I77" i="2"/>
  <c r="I75" i="2"/>
  <c r="I74" i="2"/>
  <c r="D249" i="37" l="1"/>
  <c r="G248" i="37"/>
  <c r="T27" i="37"/>
  <c r="T129" i="37"/>
  <c r="H246" i="37"/>
  <c r="C246" i="37" s="1"/>
  <c r="G95" i="37"/>
  <c r="D96" i="37"/>
  <c r="H93" i="37"/>
  <c r="C93" i="37" s="1"/>
  <c r="G180" i="37"/>
  <c r="D181" i="37"/>
  <c r="M179" i="37"/>
  <c r="T179" i="37"/>
  <c r="R179" i="37"/>
  <c r="S179" i="37"/>
  <c r="O179" i="37"/>
  <c r="P179" i="37"/>
  <c r="Q179" i="37"/>
  <c r="N179" i="37"/>
  <c r="L179" i="37"/>
  <c r="H178" i="37"/>
  <c r="C178" i="37" s="1"/>
  <c r="T133" i="37" s="1"/>
  <c r="R94" i="37"/>
  <c r="S94" i="37"/>
  <c r="N94" i="37"/>
  <c r="U94" i="37"/>
  <c r="P94" i="37"/>
  <c r="M94" i="37"/>
  <c r="Q94" i="37"/>
  <c r="L94" i="37"/>
  <c r="T94" i="37"/>
  <c r="O94" i="37"/>
  <c r="Q247" i="37"/>
  <c r="N247" i="37"/>
  <c r="S247" i="37"/>
  <c r="T247" i="37"/>
  <c r="P247" i="37"/>
  <c r="R247" i="37"/>
  <c r="L247" i="37"/>
  <c r="O247" i="37"/>
  <c r="M247" i="37"/>
  <c r="R180" i="37" l="1"/>
  <c r="S180" i="37"/>
  <c r="O180" i="37"/>
  <c r="P180" i="37"/>
  <c r="Q180" i="37"/>
  <c r="N180" i="37"/>
  <c r="U180" i="37"/>
  <c r="T180" i="37"/>
  <c r="M180" i="37"/>
  <c r="L180" i="37"/>
  <c r="G96" i="37"/>
  <c r="D97" i="37"/>
  <c r="G181" i="37"/>
  <c r="D182" i="37"/>
  <c r="T95" i="37"/>
  <c r="S95" i="37"/>
  <c r="L95" i="37"/>
  <c r="P95" i="37"/>
  <c r="O95" i="37"/>
  <c r="Q95" i="37"/>
  <c r="N95" i="37"/>
  <c r="U95" i="37"/>
  <c r="R95" i="37"/>
  <c r="V95" i="37"/>
  <c r="M95" i="37"/>
  <c r="U26" i="37"/>
  <c r="U27" i="37" s="1"/>
  <c r="H247" i="37"/>
  <c r="C247" i="37" s="1"/>
  <c r="S248" i="37"/>
  <c r="L248" i="37"/>
  <c r="O248" i="37"/>
  <c r="Q248" i="37"/>
  <c r="N248" i="37"/>
  <c r="P248" i="37"/>
  <c r="R248" i="37"/>
  <c r="T248" i="37"/>
  <c r="U248" i="37"/>
  <c r="M248" i="37"/>
  <c r="H94" i="37"/>
  <c r="C94" i="37" s="1"/>
  <c r="U129" i="37"/>
  <c r="G249" i="37"/>
  <c r="D250" i="37"/>
  <c r="H179" i="37"/>
  <c r="C179" i="37" s="1"/>
  <c r="U133" i="37" s="1"/>
  <c r="R574" i="20"/>
  <c r="R573" i="20"/>
  <c r="R572" i="20"/>
  <c r="R571" i="20"/>
  <c r="R570" i="20"/>
  <c r="R569" i="20"/>
  <c r="R568" i="20"/>
  <c r="H54" i="5"/>
  <c r="I54" i="5" s="1"/>
  <c r="J54" i="5" s="1"/>
  <c r="K54" i="5" s="1"/>
  <c r="L54" i="5" s="1"/>
  <c r="M54" i="5" s="1"/>
  <c r="N54" i="5" s="1"/>
  <c r="H56" i="5"/>
  <c r="I56" i="5" s="1"/>
  <c r="J56" i="5" s="1"/>
  <c r="K56" i="5" s="1"/>
  <c r="L56" i="5" s="1"/>
  <c r="M56" i="5" s="1"/>
  <c r="N56" i="5" s="1"/>
  <c r="R559" i="20"/>
  <c r="R562" i="20"/>
  <c r="R563" i="20"/>
  <c r="R564" i="20"/>
  <c r="B30" i="36"/>
  <c r="B29" i="36"/>
  <c r="B28" i="36"/>
  <c r="B27" i="36"/>
  <c r="F33" i="36"/>
  <c r="F17" i="36"/>
  <c r="D49" i="36"/>
  <c r="F9" i="36"/>
  <c r="F42" i="36" s="1"/>
  <c r="F8" i="36"/>
  <c r="F12" i="36"/>
  <c r="F11" i="36"/>
  <c r="F14" i="36"/>
  <c r="F13" i="36"/>
  <c r="AJ5" i="36"/>
  <c r="AJ39" i="36" s="1"/>
  <c r="AI5" i="36"/>
  <c r="AI39" i="36" s="1"/>
  <c r="AH5" i="36"/>
  <c r="AH39" i="36" s="1"/>
  <c r="AG5" i="36"/>
  <c r="AG39" i="36" s="1"/>
  <c r="AF5" i="36"/>
  <c r="AF39" i="36" s="1"/>
  <c r="AE5" i="36"/>
  <c r="AE39" i="36" s="1"/>
  <c r="AD5" i="36"/>
  <c r="AD39" i="36" s="1"/>
  <c r="AC5" i="36"/>
  <c r="AC39" i="36" s="1"/>
  <c r="AB5" i="36"/>
  <c r="AB39" i="36" s="1"/>
  <c r="AA5" i="36"/>
  <c r="AA39" i="36" s="1"/>
  <c r="Z5" i="36"/>
  <c r="Z39" i="36" s="1"/>
  <c r="Y5" i="36"/>
  <c r="Y39" i="36" s="1"/>
  <c r="X5" i="36"/>
  <c r="X39" i="36" s="1"/>
  <c r="W5" i="36"/>
  <c r="W39" i="36" s="1"/>
  <c r="V5" i="36"/>
  <c r="V39" i="36" s="1"/>
  <c r="U5" i="36"/>
  <c r="U39" i="36" s="1"/>
  <c r="T5" i="36"/>
  <c r="T39" i="36" s="1"/>
  <c r="S5" i="36"/>
  <c r="S39" i="36" s="1"/>
  <c r="R5" i="36"/>
  <c r="R39" i="36" s="1"/>
  <c r="Q5" i="36"/>
  <c r="Q39" i="36" s="1"/>
  <c r="P5" i="36"/>
  <c r="P39" i="36" s="1"/>
  <c r="O5" i="36"/>
  <c r="O39" i="36" s="1"/>
  <c r="N5" i="36"/>
  <c r="N39" i="36" s="1"/>
  <c r="M5" i="36"/>
  <c r="M39" i="36" s="1"/>
  <c r="L5" i="36"/>
  <c r="L39" i="36" s="1"/>
  <c r="K5" i="36"/>
  <c r="K39" i="36" s="1"/>
  <c r="J5" i="36"/>
  <c r="J39" i="36" s="1"/>
  <c r="I5" i="36"/>
  <c r="I39" i="36" s="1"/>
  <c r="H5" i="36"/>
  <c r="H39" i="36" s="1"/>
  <c r="G5" i="36"/>
  <c r="G39" i="36" s="1"/>
  <c r="F5" i="36"/>
  <c r="F39" i="36" s="1"/>
  <c r="AJ4" i="36"/>
  <c r="AJ38" i="36" s="1"/>
  <c r="AI4" i="36"/>
  <c r="AI38" i="36" s="1"/>
  <c r="AH4" i="36"/>
  <c r="AH38" i="36" s="1"/>
  <c r="AG4" i="36"/>
  <c r="AG38" i="36" s="1"/>
  <c r="AF4" i="36"/>
  <c r="AF38" i="36" s="1"/>
  <c r="AE4" i="36"/>
  <c r="AE38" i="36" s="1"/>
  <c r="AD4" i="36"/>
  <c r="AD38" i="36" s="1"/>
  <c r="AC4" i="36"/>
  <c r="AC38" i="36" s="1"/>
  <c r="AB4" i="36"/>
  <c r="AB38" i="36" s="1"/>
  <c r="AA4" i="36"/>
  <c r="AA38" i="36" s="1"/>
  <c r="Z4" i="36"/>
  <c r="Z38" i="36" s="1"/>
  <c r="Y4" i="36"/>
  <c r="Y38" i="36" s="1"/>
  <c r="X4" i="36"/>
  <c r="X38" i="36" s="1"/>
  <c r="W4" i="36"/>
  <c r="W38" i="36" s="1"/>
  <c r="V4" i="36"/>
  <c r="V38" i="36" s="1"/>
  <c r="U4" i="36"/>
  <c r="U38" i="36" s="1"/>
  <c r="T4" i="36"/>
  <c r="T38" i="36" s="1"/>
  <c r="S4" i="36"/>
  <c r="S38" i="36" s="1"/>
  <c r="R4" i="36"/>
  <c r="R38" i="36" s="1"/>
  <c r="Q4" i="36"/>
  <c r="Q38" i="36" s="1"/>
  <c r="P4" i="36"/>
  <c r="P38" i="36" s="1"/>
  <c r="O4" i="36"/>
  <c r="O38" i="36" s="1"/>
  <c r="N4" i="36"/>
  <c r="N38" i="36" s="1"/>
  <c r="M4" i="36"/>
  <c r="M38" i="36" s="1"/>
  <c r="L4" i="36"/>
  <c r="L38" i="36" s="1"/>
  <c r="K4" i="36"/>
  <c r="K38" i="36" s="1"/>
  <c r="J4" i="36"/>
  <c r="J38" i="36" s="1"/>
  <c r="I4" i="36"/>
  <c r="I38" i="36" s="1"/>
  <c r="H4" i="36"/>
  <c r="H38" i="36" s="1"/>
  <c r="G4" i="36"/>
  <c r="G38" i="36" s="1"/>
  <c r="F4" i="36"/>
  <c r="F38" i="36" s="1"/>
  <c r="F46" i="36" l="1"/>
  <c r="G250" i="37"/>
  <c r="D251" i="37"/>
  <c r="H248" i="37"/>
  <c r="C248" i="37" s="1"/>
  <c r="R249" i="37"/>
  <c r="V249" i="37"/>
  <c r="O249" i="37"/>
  <c r="S249" i="37"/>
  <c r="T249" i="37"/>
  <c r="P249" i="37"/>
  <c r="Q249" i="37"/>
  <c r="L249" i="37"/>
  <c r="N249" i="37"/>
  <c r="U249" i="37"/>
  <c r="M249" i="37"/>
  <c r="V129" i="37"/>
  <c r="G182" i="37"/>
  <c r="D183" i="37"/>
  <c r="V26" i="37"/>
  <c r="V27" i="37" s="1"/>
  <c r="T181" i="37"/>
  <c r="M181" i="37"/>
  <c r="N181" i="37"/>
  <c r="R181" i="37"/>
  <c r="S181" i="37"/>
  <c r="O181" i="37"/>
  <c r="P181" i="37"/>
  <c r="Q181" i="37"/>
  <c r="V181" i="37"/>
  <c r="U181" i="37"/>
  <c r="L181" i="37"/>
  <c r="G97" i="37"/>
  <c r="D98" i="37"/>
  <c r="H95" i="37"/>
  <c r="C95" i="37" s="1"/>
  <c r="S96" i="37"/>
  <c r="L96" i="37"/>
  <c r="T96" i="37"/>
  <c r="P96" i="37"/>
  <c r="N96" i="37"/>
  <c r="U96" i="37"/>
  <c r="O96" i="37"/>
  <c r="W96" i="37"/>
  <c r="Q96" i="37"/>
  <c r="V96" i="37"/>
  <c r="M96" i="37"/>
  <c r="R96" i="37"/>
  <c r="H180" i="37"/>
  <c r="C180" i="37" s="1"/>
  <c r="V133" i="37" s="1"/>
  <c r="F45" i="36"/>
  <c r="AA68" i="36"/>
  <c r="AI68" i="36"/>
  <c r="I67" i="36"/>
  <c r="Q67" i="36"/>
  <c r="Y67" i="36"/>
  <c r="AG67" i="36"/>
  <c r="K68" i="36"/>
  <c r="S68" i="36"/>
  <c r="J67" i="36"/>
  <c r="R67" i="36"/>
  <c r="Z67" i="36"/>
  <c r="AH67" i="36"/>
  <c r="L68" i="36"/>
  <c r="T68" i="36"/>
  <c r="AB68" i="36"/>
  <c r="AJ68" i="36"/>
  <c r="K67" i="36"/>
  <c r="S67" i="36"/>
  <c r="AA67" i="36"/>
  <c r="AI67" i="36"/>
  <c r="M68" i="36"/>
  <c r="U68" i="36"/>
  <c r="AC68" i="36"/>
  <c r="L67" i="36"/>
  <c r="T67" i="36"/>
  <c r="AB67" i="36"/>
  <c r="AJ67" i="36"/>
  <c r="N68" i="36"/>
  <c r="V68" i="36"/>
  <c r="AD68" i="36"/>
  <c r="M67" i="36"/>
  <c r="U67" i="36"/>
  <c r="AC67" i="36"/>
  <c r="G68" i="36"/>
  <c r="O68" i="36"/>
  <c r="W68" i="36"/>
  <c r="AE68" i="36"/>
  <c r="N67" i="36"/>
  <c r="V67" i="36"/>
  <c r="AD67" i="36"/>
  <c r="H68" i="36"/>
  <c r="P68" i="36"/>
  <c r="X68" i="36"/>
  <c r="AF68" i="36"/>
  <c r="G67" i="36"/>
  <c r="O67" i="36"/>
  <c r="W67" i="36"/>
  <c r="AE67" i="36"/>
  <c r="I68" i="36"/>
  <c r="Q68" i="36"/>
  <c r="Y68" i="36"/>
  <c r="AG68" i="36"/>
  <c r="H67" i="36"/>
  <c r="P67" i="36"/>
  <c r="X67" i="36"/>
  <c r="AF67" i="36"/>
  <c r="J68" i="36"/>
  <c r="R68" i="36"/>
  <c r="Z68" i="36"/>
  <c r="AH68" i="36"/>
  <c r="F67" i="36"/>
  <c r="F68" i="36"/>
  <c r="G26" i="36"/>
  <c r="F26" i="36"/>
  <c r="H26" i="36"/>
  <c r="I26" i="36"/>
  <c r="J26" i="36"/>
  <c r="K26" i="36"/>
  <c r="L26" i="36"/>
  <c r="M26" i="36"/>
  <c r="G62" i="36"/>
  <c r="F62" i="36"/>
  <c r="H62" i="36"/>
  <c r="I62" i="36"/>
  <c r="J62" i="36"/>
  <c r="K62" i="36"/>
  <c r="L62" i="36"/>
  <c r="M62" i="36"/>
  <c r="S97" i="37" l="1"/>
  <c r="R97" i="37"/>
  <c r="T97" i="37"/>
  <c r="N97" i="37"/>
  <c r="U97" i="37"/>
  <c r="O97" i="37"/>
  <c r="M97" i="37"/>
  <c r="W97" i="37"/>
  <c r="V97" i="37"/>
  <c r="P97" i="37"/>
  <c r="X97" i="37"/>
  <c r="L97" i="37"/>
  <c r="Q97" i="37"/>
  <c r="D184" i="37"/>
  <c r="G183" i="37"/>
  <c r="T182" i="37"/>
  <c r="M182" i="37"/>
  <c r="N182" i="37"/>
  <c r="W182" i="37"/>
  <c r="R182" i="37"/>
  <c r="S182" i="37"/>
  <c r="O182" i="37"/>
  <c r="P182" i="37"/>
  <c r="Q182" i="37"/>
  <c r="V182" i="37"/>
  <c r="U182" i="37"/>
  <c r="L182" i="37"/>
  <c r="W129" i="37"/>
  <c r="H96" i="37"/>
  <c r="C96" i="37" s="1"/>
  <c r="H181" i="37"/>
  <c r="C181" i="37" s="1"/>
  <c r="W133" i="37" s="1"/>
  <c r="H249" i="37"/>
  <c r="C249" i="37" s="1"/>
  <c r="D252" i="37"/>
  <c r="G251" i="37"/>
  <c r="D99" i="37"/>
  <c r="G98" i="37"/>
  <c r="W26" i="37"/>
  <c r="W27" i="37" s="1"/>
  <c r="W250" i="37"/>
  <c r="V250" i="37"/>
  <c r="O250" i="37"/>
  <c r="S250" i="37"/>
  <c r="T250" i="37"/>
  <c r="P250" i="37"/>
  <c r="Q250" i="37"/>
  <c r="L250" i="37"/>
  <c r="N250" i="37"/>
  <c r="R250" i="37"/>
  <c r="U250" i="37"/>
  <c r="M250" i="37"/>
  <c r="D62" i="36"/>
  <c r="H250" i="37" l="1"/>
  <c r="C250" i="37" s="1"/>
  <c r="H182" i="37"/>
  <c r="C182" i="37" s="1"/>
  <c r="X133" i="37" s="1"/>
  <c r="D185" i="37"/>
  <c r="G184" i="37"/>
  <c r="P98" i="37"/>
  <c r="X98" i="37"/>
  <c r="Q98" i="37"/>
  <c r="M98" i="37"/>
  <c r="U98" i="37"/>
  <c r="O98" i="37"/>
  <c r="R98" i="37"/>
  <c r="W98" i="37"/>
  <c r="V98" i="37"/>
  <c r="S98" i="37"/>
  <c r="Y98" i="37"/>
  <c r="L98" i="37"/>
  <c r="N98" i="37"/>
  <c r="T98" i="37"/>
  <c r="X129" i="37"/>
  <c r="H97" i="37"/>
  <c r="C97" i="37" s="1"/>
  <c r="D253" i="37"/>
  <c r="G252" i="37"/>
  <c r="X26" i="37"/>
  <c r="X27" i="37" s="1"/>
  <c r="S251" i="37"/>
  <c r="L251" i="37"/>
  <c r="O251" i="37"/>
  <c r="W251" i="37"/>
  <c r="Q251" i="37"/>
  <c r="N251" i="37"/>
  <c r="P251" i="37"/>
  <c r="R251" i="37"/>
  <c r="T251" i="37"/>
  <c r="X251" i="37"/>
  <c r="V251" i="37"/>
  <c r="U251" i="37"/>
  <c r="M251" i="37"/>
  <c r="D100" i="37"/>
  <c r="G99" i="37"/>
  <c r="W183" i="37"/>
  <c r="S183" i="37"/>
  <c r="V183" i="37"/>
  <c r="X183" i="37"/>
  <c r="O183" i="37"/>
  <c r="P183" i="37"/>
  <c r="Q183" i="37"/>
  <c r="N183" i="37"/>
  <c r="U183" i="37"/>
  <c r="T183" i="37"/>
  <c r="M183" i="37"/>
  <c r="R183" i="37"/>
  <c r="L183" i="37"/>
  <c r="B49" i="4"/>
  <c r="B48" i="4"/>
  <c r="B47" i="4"/>
  <c r="B46" i="4"/>
  <c r="R99" i="37" l="1"/>
  <c r="Q99" i="37"/>
  <c r="L99" i="37"/>
  <c r="U99" i="37"/>
  <c r="W99" i="37"/>
  <c r="S99" i="37"/>
  <c r="X99" i="37"/>
  <c r="O99" i="37"/>
  <c r="Y99" i="37"/>
  <c r="P99" i="37"/>
  <c r="V99" i="37"/>
  <c r="N99" i="37"/>
  <c r="M99" i="37"/>
  <c r="T99" i="37"/>
  <c r="Z99" i="37"/>
  <c r="Y129" i="37"/>
  <c r="Y26" i="37"/>
  <c r="Y27" i="37" s="1"/>
  <c r="S252" i="37"/>
  <c r="X252" i="37"/>
  <c r="Y252" i="37"/>
  <c r="T252" i="37"/>
  <c r="P252" i="37"/>
  <c r="R252" i="37"/>
  <c r="L252" i="37"/>
  <c r="O252" i="37"/>
  <c r="V252" i="37"/>
  <c r="W252" i="37"/>
  <c r="Q252" i="37"/>
  <c r="N252" i="37"/>
  <c r="M252" i="37"/>
  <c r="U252" i="37"/>
  <c r="D254" i="37"/>
  <c r="G253" i="37"/>
  <c r="H183" i="37"/>
  <c r="C183" i="37" s="1"/>
  <c r="Y133" i="37" s="1"/>
  <c r="T184" i="37"/>
  <c r="R184" i="37"/>
  <c r="S184" i="37"/>
  <c r="O184" i="37"/>
  <c r="W184" i="37"/>
  <c r="P184" i="37"/>
  <c r="Q184" i="37"/>
  <c r="N184" i="37"/>
  <c r="V184" i="37"/>
  <c r="X184" i="37"/>
  <c r="M184" i="37"/>
  <c r="U184" i="37"/>
  <c r="Y184" i="37"/>
  <c r="L184" i="37"/>
  <c r="D186" i="37"/>
  <c r="G185" i="37"/>
  <c r="G100" i="37"/>
  <c r="D101" i="37"/>
  <c r="H251" i="37"/>
  <c r="C251" i="37" s="1"/>
  <c r="H98" i="37"/>
  <c r="C98" i="37" s="1"/>
  <c r="D14" i="17"/>
  <c r="D13" i="17"/>
  <c r="C16" i="21"/>
  <c r="D18" i="16"/>
  <c r="B44" i="4"/>
  <c r="B43" i="4"/>
  <c r="H184" i="37" l="1"/>
  <c r="C184" i="37" s="1"/>
  <c r="Z133" i="37" s="1"/>
  <c r="V253" i="37"/>
  <c r="N253" i="37"/>
  <c r="S253" i="37"/>
  <c r="Y253" i="37"/>
  <c r="W253" i="37"/>
  <c r="Z253" i="37"/>
  <c r="T253" i="37"/>
  <c r="Q253" i="37"/>
  <c r="R253" i="37"/>
  <c r="L253" i="37"/>
  <c r="O253" i="37"/>
  <c r="P253" i="37"/>
  <c r="X253" i="37"/>
  <c r="M253" i="37"/>
  <c r="U253" i="37"/>
  <c r="Z129" i="37"/>
  <c r="D102" i="37"/>
  <c r="G101" i="37"/>
  <c r="G254" i="37"/>
  <c r="D255" i="37"/>
  <c r="O100" i="37"/>
  <c r="Q100" i="37"/>
  <c r="V100" i="37"/>
  <c r="T100" i="37"/>
  <c r="N100" i="37"/>
  <c r="M100" i="37"/>
  <c r="P100" i="37"/>
  <c r="X100" i="37"/>
  <c r="Z100" i="37"/>
  <c r="L100" i="37"/>
  <c r="R100" i="37"/>
  <c r="S100" i="37"/>
  <c r="U100" i="37"/>
  <c r="W100" i="37"/>
  <c r="Y100" i="37"/>
  <c r="AA100" i="37"/>
  <c r="H252" i="37"/>
  <c r="C252" i="37" s="1"/>
  <c r="H99" i="37"/>
  <c r="C99" i="37" s="1"/>
  <c r="W185" i="37"/>
  <c r="V185" i="37"/>
  <c r="X185" i="37"/>
  <c r="Q185" i="37"/>
  <c r="U185" i="37"/>
  <c r="T185" i="37"/>
  <c r="Y185" i="37"/>
  <c r="M185" i="37"/>
  <c r="N185" i="37"/>
  <c r="O185" i="37"/>
  <c r="R185" i="37"/>
  <c r="P185" i="37"/>
  <c r="S185" i="37"/>
  <c r="Z185" i="37"/>
  <c r="L185" i="37"/>
  <c r="Z26" i="37"/>
  <c r="Z27" i="37" s="1"/>
  <c r="G186" i="37"/>
  <c r="D187" i="37"/>
  <c r="AY44" i="22"/>
  <c r="AX44" i="22"/>
  <c r="AW44" i="22"/>
  <c r="AV44" i="22"/>
  <c r="AU44" i="22"/>
  <c r="H253" i="37" l="1"/>
  <c r="C253" i="37" s="1"/>
  <c r="H100" i="37"/>
  <c r="C100" i="37" s="1"/>
  <c r="S186" i="37"/>
  <c r="V186" i="37"/>
  <c r="O186" i="37"/>
  <c r="P186" i="37"/>
  <c r="X186" i="37"/>
  <c r="Q186" i="37"/>
  <c r="U186" i="37"/>
  <c r="N186" i="37"/>
  <c r="Y186" i="37"/>
  <c r="M186" i="37"/>
  <c r="Z186" i="37"/>
  <c r="T186" i="37"/>
  <c r="R186" i="37"/>
  <c r="AA186" i="37"/>
  <c r="W186" i="37"/>
  <c r="L186" i="37"/>
  <c r="D256" i="37"/>
  <c r="G255" i="37"/>
  <c r="Y254" i="37"/>
  <c r="T254" i="37"/>
  <c r="P254" i="37"/>
  <c r="V254" i="37"/>
  <c r="X254" i="37"/>
  <c r="N254" i="37"/>
  <c r="AA254" i="37"/>
  <c r="Q254" i="37"/>
  <c r="S254" i="37"/>
  <c r="R254" i="37"/>
  <c r="W254" i="37"/>
  <c r="Z254" i="37"/>
  <c r="L254" i="37"/>
  <c r="O254" i="37"/>
  <c r="M254" i="37"/>
  <c r="U254" i="37"/>
  <c r="D188" i="37"/>
  <c r="G187" i="37"/>
  <c r="U101" i="37"/>
  <c r="R101" i="37"/>
  <c r="S101" i="37"/>
  <c r="Y101" i="37"/>
  <c r="AA101" i="37"/>
  <c r="Q101" i="37"/>
  <c r="V101" i="37"/>
  <c r="W101" i="37"/>
  <c r="N101" i="37"/>
  <c r="M101" i="37"/>
  <c r="AB101" i="37"/>
  <c r="P101" i="37"/>
  <c r="X101" i="37"/>
  <c r="T101" i="37"/>
  <c r="Z101" i="37"/>
  <c r="O101" i="37"/>
  <c r="L101" i="37"/>
  <c r="D103" i="37"/>
  <c r="G102" i="37"/>
  <c r="H185" i="37"/>
  <c r="C185" i="37" s="1"/>
  <c r="AA133" i="37" s="1"/>
  <c r="AA129" i="37"/>
  <c r="AA26" i="37"/>
  <c r="AA27" i="37" s="1"/>
  <c r="N10" i="5"/>
  <c r="M10" i="5"/>
  <c r="O39" i="10"/>
  <c r="O38" i="10"/>
  <c r="H17" i="15"/>
  <c r="F43" i="13"/>
  <c r="S41" i="13"/>
  <c r="R41" i="13"/>
  <c r="Q41" i="13"/>
  <c r="P41" i="13"/>
  <c r="O41" i="13"/>
  <c r="N41" i="13"/>
  <c r="M41" i="13"/>
  <c r="L41" i="13"/>
  <c r="K41" i="13"/>
  <c r="J41" i="13"/>
  <c r="I41" i="13"/>
  <c r="Q59" i="14"/>
  <c r="O9" i="14"/>
  <c r="N15" i="14"/>
  <c r="J932" i="20"/>
  <c r="I932" i="20"/>
  <c r="H932" i="20"/>
  <c r="G932" i="20"/>
  <c r="E932" i="20"/>
  <c r="K932" i="20"/>
  <c r="F928" i="20"/>
  <c r="G928" i="20" s="1"/>
  <c r="G945" i="20"/>
  <c r="F945" i="20"/>
  <c r="E945" i="20"/>
  <c r="G943" i="20"/>
  <c r="F943" i="20"/>
  <c r="E943" i="20"/>
  <c r="G938" i="20"/>
  <c r="F938" i="20"/>
  <c r="E938" i="20"/>
  <c r="G934" i="20"/>
  <c r="F934" i="20"/>
  <c r="E934" i="20"/>
  <c r="G930" i="20"/>
  <c r="F930" i="20"/>
  <c r="E930" i="20"/>
  <c r="G929" i="20"/>
  <c r="F929" i="20"/>
  <c r="E929" i="20"/>
  <c r="J934" i="20"/>
  <c r="F958" i="20"/>
  <c r="G958" i="20" s="1"/>
  <c r="H958" i="20" s="1"/>
  <c r="I958" i="20" s="1"/>
  <c r="K934" i="20"/>
  <c r="I934" i="20"/>
  <c r="K929" i="20"/>
  <c r="J929" i="20"/>
  <c r="I929" i="20"/>
  <c r="H943" i="20"/>
  <c r="H934" i="20"/>
  <c r="H930" i="20"/>
  <c r="H929" i="20"/>
  <c r="N37" i="20"/>
  <c r="O37" i="20" s="1"/>
  <c r="P37" i="20" s="1"/>
  <c r="Q37" i="20" s="1"/>
  <c r="R37" i="20" s="1"/>
  <c r="S37" i="20" s="1"/>
  <c r="T37" i="20" s="1"/>
  <c r="U37" i="20" s="1"/>
  <c r="V37" i="20" s="1"/>
  <c r="W37" i="20" s="1"/>
  <c r="X37" i="20" s="1"/>
  <c r="Y37" i="20" s="1"/>
  <c r="Z37" i="20" s="1"/>
  <c r="AA37" i="20" s="1"/>
  <c r="AB37" i="20" s="1"/>
  <c r="AC37" i="20" s="1"/>
  <c r="AD37" i="20" s="1"/>
  <c r="AE37" i="20" s="1"/>
  <c r="AF37" i="20" s="1"/>
  <c r="AG37" i="20" s="1"/>
  <c r="AH37" i="20" s="1"/>
  <c r="AI37" i="20" s="1"/>
  <c r="AJ37" i="20" s="1"/>
  <c r="AK37" i="20" s="1"/>
  <c r="AL37" i="20" s="1"/>
  <c r="AM37" i="20" s="1"/>
  <c r="AN37" i="20" s="1"/>
  <c r="AO37" i="20" s="1"/>
  <c r="O12" i="20"/>
  <c r="P12" i="20" s="1"/>
  <c r="D38" i="20" s="1"/>
  <c r="E38" i="20" s="1"/>
  <c r="F38" i="20" s="1"/>
  <c r="G38" i="20" s="1"/>
  <c r="H38" i="20" s="1"/>
  <c r="I38" i="20" s="1"/>
  <c r="J38" i="20" s="1"/>
  <c r="K38" i="20" s="1"/>
  <c r="L38" i="20" s="1"/>
  <c r="M38" i="20" s="1"/>
  <c r="N38" i="20" s="1"/>
  <c r="O38" i="20" s="1"/>
  <c r="P38" i="20" s="1"/>
  <c r="Q38" i="20" s="1"/>
  <c r="R38" i="20" s="1"/>
  <c r="S38" i="20" s="1"/>
  <c r="T38" i="20" s="1"/>
  <c r="U38" i="20" s="1"/>
  <c r="V38" i="20" s="1"/>
  <c r="W38" i="20" s="1"/>
  <c r="X38" i="20" s="1"/>
  <c r="Y38" i="20" s="1"/>
  <c r="Z38" i="20" s="1"/>
  <c r="AA38" i="20" s="1"/>
  <c r="AB38" i="20" s="1"/>
  <c r="AC38" i="20" s="1"/>
  <c r="AD38" i="20" s="1"/>
  <c r="AE38" i="20" s="1"/>
  <c r="AF38" i="20" s="1"/>
  <c r="AG38" i="20" s="1"/>
  <c r="AH38" i="20" s="1"/>
  <c r="AI38" i="20" s="1"/>
  <c r="AJ38" i="20" s="1"/>
  <c r="AK38" i="20" s="1"/>
  <c r="AL38" i="20" s="1"/>
  <c r="AM38" i="20" s="1"/>
  <c r="AN38" i="20" s="1"/>
  <c r="AO38" i="20" s="1"/>
  <c r="N12" i="20"/>
  <c r="M12" i="20"/>
  <c r="L12" i="20"/>
  <c r="K12" i="20"/>
  <c r="J12" i="20"/>
  <c r="I12" i="20"/>
  <c r="H12" i="20"/>
  <c r="G12" i="20"/>
  <c r="F12" i="20"/>
  <c r="E12" i="20"/>
  <c r="D12" i="20"/>
  <c r="D11" i="20"/>
  <c r="G6" i="20"/>
  <c r="H6" i="20" s="1"/>
  <c r="I6" i="20" s="1"/>
  <c r="J6" i="20" s="1"/>
  <c r="K6" i="20" s="1"/>
  <c r="L6" i="20" s="1"/>
  <c r="M6" i="20" s="1"/>
  <c r="N6" i="20" s="1"/>
  <c r="O6" i="20" s="1"/>
  <c r="P6" i="20" s="1"/>
  <c r="L10" i="5"/>
  <c r="C111" i="20"/>
  <c r="C112" i="20" s="1"/>
  <c r="C113" i="20" s="1"/>
  <c r="C114" i="20" s="1"/>
  <c r="C115" i="20" s="1"/>
  <c r="C116" i="20" s="1"/>
  <c r="C117" i="20" s="1"/>
  <c r="C118" i="20" s="1"/>
  <c r="C119" i="20" s="1"/>
  <c r="C120" i="20" s="1"/>
  <c r="C121" i="20" s="1"/>
  <c r="C122" i="20" s="1"/>
  <c r="C123" i="20" s="1"/>
  <c r="C124" i="20" s="1"/>
  <c r="C125" i="20" s="1"/>
  <c r="C126" i="20" s="1"/>
  <c r="C127" i="20" s="1"/>
  <c r="C128" i="20" s="1"/>
  <c r="C129" i="20" s="1"/>
  <c r="C130" i="20" s="1"/>
  <c r="C131" i="20" s="1"/>
  <c r="C132" i="20" s="1"/>
  <c r="C133" i="20" s="1"/>
  <c r="C134" i="20" s="1"/>
  <c r="C135" i="20" s="1"/>
  <c r="C136" i="20" s="1"/>
  <c r="C137" i="20" s="1"/>
  <c r="C138" i="20" s="1"/>
  <c r="C139" i="20" s="1"/>
  <c r="C140" i="20" s="1"/>
  <c r="C141" i="20" s="1"/>
  <c r="C142" i="20" s="1"/>
  <c r="C143" i="20" s="1"/>
  <c r="C144" i="20" s="1"/>
  <c r="C145" i="20" s="1"/>
  <c r="C146" i="20" s="1"/>
  <c r="C147" i="20" s="1"/>
  <c r="H101" i="37" l="1"/>
  <c r="C101" i="37" s="1"/>
  <c r="AB129" i="37"/>
  <c r="Q102" i="37"/>
  <c r="T102" i="37"/>
  <c r="Z102" i="37"/>
  <c r="L102" i="37"/>
  <c r="Y102" i="37"/>
  <c r="R102" i="37"/>
  <c r="U102" i="37"/>
  <c r="W102" i="37"/>
  <c r="S102" i="37"/>
  <c r="AA102" i="37"/>
  <c r="O102" i="37"/>
  <c r="V102" i="37"/>
  <c r="AB102" i="37"/>
  <c r="N102" i="37"/>
  <c r="M102" i="37"/>
  <c r="AC102" i="37"/>
  <c r="P102" i="37"/>
  <c r="X102" i="37"/>
  <c r="AA187" i="37"/>
  <c r="V187" i="37"/>
  <c r="U187" i="37"/>
  <c r="T187" i="37"/>
  <c r="M187" i="37"/>
  <c r="N187" i="37"/>
  <c r="O187" i="37"/>
  <c r="X187" i="37"/>
  <c r="Y187" i="37"/>
  <c r="R187" i="37"/>
  <c r="AB187" i="37"/>
  <c r="S187" i="37"/>
  <c r="Z187" i="37"/>
  <c r="W187" i="37"/>
  <c r="P187" i="37"/>
  <c r="Q187" i="37"/>
  <c r="L187" i="37"/>
  <c r="D104" i="37"/>
  <c r="G103" i="37"/>
  <c r="D189" i="37"/>
  <c r="G188" i="37"/>
  <c r="AB255" i="37"/>
  <c r="AA255" i="37"/>
  <c r="Z255" i="37"/>
  <c r="R255" i="37"/>
  <c r="L255" i="37"/>
  <c r="V255" i="37"/>
  <c r="S255" i="37"/>
  <c r="W255" i="37"/>
  <c r="Q255" i="37"/>
  <c r="O255" i="37"/>
  <c r="P255" i="37"/>
  <c r="T255" i="37"/>
  <c r="N255" i="37"/>
  <c r="X255" i="37"/>
  <c r="Y255" i="37"/>
  <c r="M255" i="37"/>
  <c r="U255" i="37"/>
  <c r="D257" i="37"/>
  <c r="G256" i="37"/>
  <c r="AB26" i="37"/>
  <c r="AB27" i="37" s="1"/>
  <c r="H186" i="37"/>
  <c r="C186" i="37" s="1"/>
  <c r="AB133" i="37" s="1"/>
  <c r="H254" i="37"/>
  <c r="C254" i="37" s="1"/>
  <c r="F932" i="20"/>
  <c r="E931" i="20"/>
  <c r="E933" i="20" s="1"/>
  <c r="F935" i="20"/>
  <c r="F936" i="20" s="1"/>
  <c r="G931" i="20"/>
  <c r="G940" i="20" s="1"/>
  <c r="F931" i="20"/>
  <c r="F940" i="20" s="1"/>
  <c r="G935" i="20"/>
  <c r="G936" i="20" s="1"/>
  <c r="E935" i="20"/>
  <c r="H935" i="20"/>
  <c r="H936" i="20" s="1"/>
  <c r="H931" i="20"/>
  <c r="H933" i="20" s="1"/>
  <c r="G104" i="20"/>
  <c r="U13" i="13"/>
  <c r="N84" i="20"/>
  <c r="O84" i="20" s="1"/>
  <c r="F59" i="20"/>
  <c r="G59" i="20" s="1"/>
  <c r="H59" i="20" s="1"/>
  <c r="I59" i="20" s="1"/>
  <c r="J59" i="20" s="1"/>
  <c r="K59" i="20" s="1"/>
  <c r="L59" i="20" s="1"/>
  <c r="M59" i="20" s="1"/>
  <c r="N59" i="20" s="1"/>
  <c r="O59" i="20" s="1"/>
  <c r="P59" i="20" s="1"/>
  <c r="M60" i="20"/>
  <c r="F154" i="20"/>
  <c r="E154" i="20"/>
  <c r="D154" i="20"/>
  <c r="E7" i="20"/>
  <c r="U33" i="20"/>
  <c r="V33" i="20" s="1"/>
  <c r="W33" i="20" s="1"/>
  <c r="X33" i="20" s="1"/>
  <c r="Y33" i="20" s="1"/>
  <c r="Z33" i="20" s="1"/>
  <c r="AA33" i="20" s="1"/>
  <c r="AB33" i="20" s="1"/>
  <c r="AC33" i="20" s="1"/>
  <c r="AD33" i="20" s="1"/>
  <c r="AE33" i="20" s="1"/>
  <c r="AF33" i="20" s="1"/>
  <c r="AG33" i="20" s="1"/>
  <c r="AH33" i="20" s="1"/>
  <c r="AI33" i="20" s="1"/>
  <c r="AJ33" i="20" s="1"/>
  <c r="AK33" i="20" s="1"/>
  <c r="AL33" i="20" s="1"/>
  <c r="AM33" i="20" s="1"/>
  <c r="AN33" i="20" s="1"/>
  <c r="AO33" i="20" s="1"/>
  <c r="AP33" i="20" s="1"/>
  <c r="AQ33" i="20" s="1"/>
  <c r="AR33" i="20" s="1"/>
  <c r="AS33" i="20" s="1"/>
  <c r="AT33" i="20" s="1"/>
  <c r="AU33" i="20" s="1"/>
  <c r="AV33" i="20" s="1"/>
  <c r="N20" i="20"/>
  <c r="O20" i="20" s="1"/>
  <c r="P20" i="20" s="1"/>
  <c r="Q20" i="20" s="1"/>
  <c r="R20" i="20" s="1"/>
  <c r="S20" i="20" s="1"/>
  <c r="T20" i="20" s="1"/>
  <c r="U20" i="20" s="1"/>
  <c r="V20" i="20" s="1"/>
  <c r="W20" i="20" s="1"/>
  <c r="X20" i="20" s="1"/>
  <c r="Y20" i="20" s="1"/>
  <c r="Z20" i="20" s="1"/>
  <c r="AA20" i="20" s="1"/>
  <c r="AB20" i="20" s="1"/>
  <c r="AC20" i="20" s="1"/>
  <c r="AD20" i="20" s="1"/>
  <c r="AE20" i="20" s="1"/>
  <c r="AF20" i="20" s="1"/>
  <c r="AG20" i="20" s="1"/>
  <c r="AH20" i="20" s="1"/>
  <c r="AI20" i="20" s="1"/>
  <c r="AJ20" i="20" s="1"/>
  <c r="AK20" i="20" s="1"/>
  <c r="AL20" i="20" s="1"/>
  <c r="AM20" i="20" s="1"/>
  <c r="AN20" i="20" s="1"/>
  <c r="AO20" i="20" s="1"/>
  <c r="G154" i="20" a="1"/>
  <c r="H255" i="37" l="1"/>
  <c r="C255" i="37" s="1"/>
  <c r="G189" i="37"/>
  <c r="D190" i="37"/>
  <c r="V103" i="37"/>
  <c r="AB103" i="37"/>
  <c r="N103" i="37"/>
  <c r="M103" i="37"/>
  <c r="AC103" i="37"/>
  <c r="P103" i="37"/>
  <c r="X103" i="37"/>
  <c r="AD103" i="37"/>
  <c r="R103" i="37"/>
  <c r="T103" i="37"/>
  <c r="L103" i="37"/>
  <c r="Y103" i="37"/>
  <c r="Z103" i="37"/>
  <c r="U103" i="37"/>
  <c r="W103" i="37"/>
  <c r="S103" i="37"/>
  <c r="AA103" i="37"/>
  <c r="O103" i="37"/>
  <c r="Q103" i="37"/>
  <c r="D105" i="37"/>
  <c r="G104" i="37"/>
  <c r="H102" i="37"/>
  <c r="C102" i="37" s="1"/>
  <c r="T256" i="37"/>
  <c r="S256" i="37"/>
  <c r="L256" i="37"/>
  <c r="O256" i="37"/>
  <c r="W256" i="37"/>
  <c r="Q256" i="37"/>
  <c r="Z256" i="37"/>
  <c r="N256" i="37"/>
  <c r="AA256" i="37"/>
  <c r="R256" i="37"/>
  <c r="AB256" i="37"/>
  <c r="P256" i="37"/>
  <c r="Y256" i="37"/>
  <c r="V256" i="37"/>
  <c r="X256" i="37"/>
  <c r="AC256" i="37"/>
  <c r="M256" i="37"/>
  <c r="U256" i="37"/>
  <c r="D258" i="37"/>
  <c r="G257" i="37"/>
  <c r="H187" i="37"/>
  <c r="C187" i="37" s="1"/>
  <c r="AC133" i="37" s="1"/>
  <c r="AC129" i="37"/>
  <c r="AC26" i="37"/>
  <c r="AC27" i="37" s="1"/>
  <c r="M188" i="37"/>
  <c r="N188" i="37"/>
  <c r="O188" i="37"/>
  <c r="R188" i="37"/>
  <c r="P188" i="37"/>
  <c r="Z188" i="37"/>
  <c r="S188" i="37"/>
  <c r="AA188" i="37"/>
  <c r="W188" i="37"/>
  <c r="Q188" i="37"/>
  <c r="V188" i="37"/>
  <c r="X188" i="37"/>
  <c r="U188" i="37"/>
  <c r="AC188" i="37"/>
  <c r="Y188" i="37"/>
  <c r="T188" i="37"/>
  <c r="AB188" i="37"/>
  <c r="L188" i="37"/>
  <c r="G154" i="20"/>
  <c r="H154" i="20" s="1"/>
  <c r="E940" i="20"/>
  <c r="H948" i="20"/>
  <c r="E955" i="20"/>
  <c r="E948" i="20"/>
  <c r="G933" i="20"/>
  <c r="E936" i="20"/>
  <c r="F933" i="20"/>
  <c r="F948" i="20" s="1"/>
  <c r="H940" i="20"/>
  <c r="F7" i="20"/>
  <c r="E11" i="20"/>
  <c r="P84" i="20"/>
  <c r="L60" i="20"/>
  <c r="H842" i="20"/>
  <c r="G842" i="20"/>
  <c r="E842" i="20"/>
  <c r="D842" i="20"/>
  <c r="E843" i="20"/>
  <c r="G843" i="20"/>
  <c r="H843" i="20"/>
  <c r="D843" i="20"/>
  <c r="C787" i="20"/>
  <c r="H188" i="37" l="1"/>
  <c r="C188" i="37" s="1"/>
  <c r="AD133" i="37" s="1"/>
  <c r="D106" i="37"/>
  <c r="G105" i="37"/>
  <c r="AD26" i="37"/>
  <c r="AD27" i="37" s="1"/>
  <c r="H103" i="37"/>
  <c r="C103" i="37" s="1"/>
  <c r="Y257" i="37"/>
  <c r="X257" i="37"/>
  <c r="AA257" i="37"/>
  <c r="O257" i="37"/>
  <c r="V257" i="37"/>
  <c r="W257" i="37"/>
  <c r="Z257" i="37"/>
  <c r="Q257" i="37"/>
  <c r="R257" i="37"/>
  <c r="AB257" i="37"/>
  <c r="N257" i="37"/>
  <c r="P257" i="37"/>
  <c r="S257" i="37"/>
  <c r="L257" i="37"/>
  <c r="T257" i="37"/>
  <c r="AD257" i="37"/>
  <c r="U257" i="37"/>
  <c r="AC257" i="37"/>
  <c r="M257" i="37"/>
  <c r="AD129" i="37"/>
  <c r="D259" i="37"/>
  <c r="G258" i="37"/>
  <c r="H256" i="37"/>
  <c r="C256" i="37" s="1"/>
  <c r="Z104" i="37"/>
  <c r="N104" i="37"/>
  <c r="M104" i="37"/>
  <c r="AC104" i="37"/>
  <c r="P104" i="37"/>
  <c r="X104" i="37"/>
  <c r="AD104" i="37"/>
  <c r="AE104" i="37"/>
  <c r="T104" i="37"/>
  <c r="L104" i="37"/>
  <c r="Y104" i="37"/>
  <c r="U104" i="37"/>
  <c r="W104" i="37"/>
  <c r="S104" i="37"/>
  <c r="AA104" i="37"/>
  <c r="R104" i="37"/>
  <c r="O104" i="37"/>
  <c r="Q104" i="37"/>
  <c r="V104" i="37"/>
  <c r="AB104" i="37"/>
  <c r="G190" i="37"/>
  <c r="D191" i="37"/>
  <c r="T189" i="37"/>
  <c r="AB189" i="37"/>
  <c r="R189" i="37"/>
  <c r="Z189" i="37"/>
  <c r="N189" i="37"/>
  <c r="O189" i="37"/>
  <c r="S189" i="37"/>
  <c r="AA189" i="37"/>
  <c r="M189" i="37"/>
  <c r="W189" i="37"/>
  <c r="P189" i="37"/>
  <c r="Q189" i="37"/>
  <c r="V189" i="37"/>
  <c r="AD189" i="37"/>
  <c r="X189" i="37"/>
  <c r="U189" i="37"/>
  <c r="AC189" i="37"/>
  <c r="Y189" i="37"/>
  <c r="L189" i="37"/>
  <c r="G955" i="20"/>
  <c r="G948" i="20"/>
  <c r="F955" i="20"/>
  <c r="G7" i="20"/>
  <c r="F11" i="20"/>
  <c r="Q84" i="20"/>
  <c r="K60" i="20"/>
  <c r="J60" i="20" s="1"/>
  <c r="I60" i="20" s="1"/>
  <c r="H60" i="20" s="1"/>
  <c r="AE133" i="37" l="1"/>
  <c r="H189" i="37"/>
  <c r="C189" i="37" s="1"/>
  <c r="D260" i="37"/>
  <c r="G259" i="37"/>
  <c r="D192" i="37"/>
  <c r="G191" i="37"/>
  <c r="H104" i="37"/>
  <c r="C104" i="37" s="1"/>
  <c r="AE129" i="37"/>
  <c r="AE26" i="37"/>
  <c r="AE27" i="37" s="1"/>
  <c r="AB190" i="37"/>
  <c r="R190" i="37"/>
  <c r="Z190" i="37"/>
  <c r="N190" i="37"/>
  <c r="O190" i="37"/>
  <c r="S190" i="37"/>
  <c r="AA190" i="37"/>
  <c r="M190" i="37"/>
  <c r="W190" i="37"/>
  <c r="P190" i="37"/>
  <c r="Q190" i="37"/>
  <c r="V190" i="37"/>
  <c r="AD190" i="37"/>
  <c r="AE190" i="37"/>
  <c r="X190" i="37"/>
  <c r="U190" i="37"/>
  <c r="AC190" i="37"/>
  <c r="Y190" i="37"/>
  <c r="T190" i="37"/>
  <c r="L190" i="37"/>
  <c r="AD105" i="37"/>
  <c r="AE105" i="37"/>
  <c r="Z105" i="37"/>
  <c r="L105" i="37"/>
  <c r="R105" i="37"/>
  <c r="U105" i="37"/>
  <c r="W105" i="37"/>
  <c r="S105" i="37"/>
  <c r="AA105" i="37"/>
  <c r="O105" i="37"/>
  <c r="V105" i="37"/>
  <c r="Q105" i="37"/>
  <c r="AB105" i="37"/>
  <c r="N105" i="37"/>
  <c r="Y105" i="37"/>
  <c r="M105" i="37"/>
  <c r="AC105" i="37"/>
  <c r="P105" i="37"/>
  <c r="X105" i="37"/>
  <c r="AF105" i="37"/>
  <c r="T105" i="37"/>
  <c r="D107" i="37"/>
  <c r="G106" i="37"/>
  <c r="X258" i="37"/>
  <c r="T258" i="37"/>
  <c r="AA258" i="37"/>
  <c r="V258" i="37"/>
  <c r="O258" i="37"/>
  <c r="W258" i="37"/>
  <c r="Z258" i="37"/>
  <c r="Q258" i="37"/>
  <c r="R258" i="37"/>
  <c r="N258" i="37"/>
  <c r="P258" i="37"/>
  <c r="S258" i="37"/>
  <c r="L258" i="37"/>
  <c r="AD258" i="37"/>
  <c r="AE258" i="37"/>
  <c r="Y258" i="37"/>
  <c r="AB258" i="37"/>
  <c r="AC258" i="37"/>
  <c r="M258" i="37"/>
  <c r="U258" i="37"/>
  <c r="H257" i="37"/>
  <c r="C257" i="37" s="1"/>
  <c r="G11" i="20"/>
  <c r="H7" i="20"/>
  <c r="R84" i="20"/>
  <c r="G60" i="20"/>
  <c r="AF106" i="37" l="1"/>
  <c r="Y106" i="37"/>
  <c r="AA106" i="37"/>
  <c r="W106" i="37"/>
  <c r="Q106" i="37"/>
  <c r="V106" i="37"/>
  <c r="N106" i="37"/>
  <c r="M106" i="37"/>
  <c r="AB106" i="37"/>
  <c r="P106" i="37"/>
  <c r="X106" i="37"/>
  <c r="AG106" i="37"/>
  <c r="T106" i="37"/>
  <c r="AC106" i="37"/>
  <c r="Z106" i="37"/>
  <c r="O106" i="37"/>
  <c r="AE106" i="37"/>
  <c r="L106" i="37"/>
  <c r="AD106" i="37"/>
  <c r="U106" i="37"/>
  <c r="R106" i="37"/>
  <c r="S106" i="37"/>
  <c r="D193" i="37"/>
  <c r="G192" i="37"/>
  <c r="P191" i="37"/>
  <c r="Z191" i="37"/>
  <c r="S191" i="37"/>
  <c r="AA191" i="37"/>
  <c r="W191" i="37"/>
  <c r="Q191" i="37"/>
  <c r="V191" i="37"/>
  <c r="X191" i="37"/>
  <c r="U191" i="37"/>
  <c r="AC191" i="37"/>
  <c r="AD191" i="37"/>
  <c r="AE191" i="37"/>
  <c r="Y191" i="37"/>
  <c r="AF191" i="37"/>
  <c r="T191" i="37"/>
  <c r="AB191" i="37"/>
  <c r="M191" i="37"/>
  <c r="N191" i="37"/>
  <c r="O191" i="37"/>
  <c r="R191" i="37"/>
  <c r="L191" i="37"/>
  <c r="D108" i="37"/>
  <c r="G107" i="37"/>
  <c r="AF129" i="37"/>
  <c r="Q259" i="37"/>
  <c r="L259" i="37"/>
  <c r="O259" i="37"/>
  <c r="V259" i="37"/>
  <c r="AF259" i="37"/>
  <c r="W259" i="37"/>
  <c r="Z259" i="37"/>
  <c r="R259" i="37"/>
  <c r="AB259" i="37"/>
  <c r="P259" i="37"/>
  <c r="N259" i="37"/>
  <c r="S259" i="37"/>
  <c r="Y259" i="37"/>
  <c r="AD259" i="37"/>
  <c r="AA259" i="37"/>
  <c r="AE259" i="37"/>
  <c r="X259" i="37"/>
  <c r="T259" i="37"/>
  <c r="AC259" i="37"/>
  <c r="M259" i="37"/>
  <c r="U259" i="37"/>
  <c r="D261" i="37"/>
  <c r="G260" i="37"/>
  <c r="H258" i="37"/>
  <c r="C258" i="37" s="1"/>
  <c r="H190" i="37"/>
  <c r="C190" i="37" s="1"/>
  <c r="AF133" i="37" s="1"/>
  <c r="H105" i="37"/>
  <c r="C105" i="37" s="1"/>
  <c r="AF26" i="37"/>
  <c r="AF27" i="37" s="1"/>
  <c r="H11" i="20"/>
  <c r="I7" i="20"/>
  <c r="S84" i="20"/>
  <c r="F60" i="20"/>
  <c r="D180" i="20"/>
  <c r="D181" i="20" s="1"/>
  <c r="D182" i="20" s="1"/>
  <c r="D183" i="20" s="1"/>
  <c r="D184" i="20" s="1"/>
  <c r="D185" i="20" s="1"/>
  <c r="D186" i="20" s="1"/>
  <c r="D187" i="20" s="1"/>
  <c r="D188" i="20" s="1"/>
  <c r="AG26" i="37" l="1"/>
  <c r="AG27" i="37" s="1"/>
  <c r="H259" i="37"/>
  <c r="C259" i="37" s="1"/>
  <c r="L107" i="37"/>
  <c r="T107" i="37"/>
  <c r="V107" i="37"/>
  <c r="N107" i="37"/>
  <c r="M107" i="37"/>
  <c r="AC107" i="37"/>
  <c r="AE107" i="37"/>
  <c r="P107" i="37"/>
  <c r="X107" i="37"/>
  <c r="AD107" i="37"/>
  <c r="AB107" i="37"/>
  <c r="AG107" i="37"/>
  <c r="Z107" i="37"/>
  <c r="R107" i="37"/>
  <c r="S107" i="37"/>
  <c r="U107" i="37"/>
  <c r="W107" i="37"/>
  <c r="Y107" i="37"/>
  <c r="AA107" i="37"/>
  <c r="O107" i="37"/>
  <c r="AF107" i="37"/>
  <c r="Q107" i="37"/>
  <c r="D194" i="37"/>
  <c r="G193" i="37"/>
  <c r="D262" i="37"/>
  <c r="G261" i="37"/>
  <c r="D109" i="37"/>
  <c r="J45" i="37" s="1"/>
  <c r="G108" i="37"/>
  <c r="H191" i="37"/>
  <c r="C191" i="37" s="1"/>
  <c r="AG133" i="37" s="1"/>
  <c r="AG129" i="37"/>
  <c r="U192" i="37"/>
  <c r="T192" i="37"/>
  <c r="M192" i="37"/>
  <c r="AC192" i="37"/>
  <c r="N192" i="37"/>
  <c r="AD192" i="37"/>
  <c r="O192" i="37"/>
  <c r="AE192" i="37"/>
  <c r="X192" i="37"/>
  <c r="Y192" i="37"/>
  <c r="R192" i="37"/>
  <c r="AB192" i="37"/>
  <c r="S192" i="37"/>
  <c r="Z192" i="37"/>
  <c r="W192" i="37"/>
  <c r="P192" i="37"/>
  <c r="AF192" i="37"/>
  <c r="Q192" i="37"/>
  <c r="AG192" i="37"/>
  <c r="AA192" i="37"/>
  <c r="V192" i="37"/>
  <c r="L192" i="37"/>
  <c r="AA260" i="37"/>
  <c r="Z260" i="37"/>
  <c r="W260" i="37"/>
  <c r="AE260" i="37"/>
  <c r="R260" i="37"/>
  <c r="S260" i="37"/>
  <c r="AG260" i="37"/>
  <c r="AB260" i="37"/>
  <c r="N260" i="37"/>
  <c r="Y260" i="37"/>
  <c r="O260" i="37"/>
  <c r="AF260" i="37"/>
  <c r="AD260" i="37"/>
  <c r="P260" i="37"/>
  <c r="T260" i="37"/>
  <c r="X260" i="37"/>
  <c r="Q260" i="37"/>
  <c r="L260" i="37"/>
  <c r="V260" i="37"/>
  <c r="AC260" i="37"/>
  <c r="M260" i="37"/>
  <c r="U260" i="37"/>
  <c r="H106" i="37"/>
  <c r="C106" i="37" s="1"/>
  <c r="I11" i="20"/>
  <c r="J7" i="20"/>
  <c r="T84" i="20"/>
  <c r="E60" i="20"/>
  <c r="K45" i="37" l="1"/>
  <c r="L45" i="37" s="1"/>
  <c r="M45" i="37" s="1"/>
  <c r="N45" i="37" s="1"/>
  <c r="O45" i="37" s="1"/>
  <c r="P45" i="37" s="1"/>
  <c r="Q45" i="37" s="1"/>
  <c r="R45" i="37" s="1"/>
  <c r="S45" i="37" s="1"/>
  <c r="T45" i="37" s="1"/>
  <c r="U45" i="37" s="1"/>
  <c r="V45" i="37" s="1"/>
  <c r="W45" i="37" s="1"/>
  <c r="X45" i="37" s="1"/>
  <c r="Y45" i="37" s="1"/>
  <c r="Z45" i="37" s="1"/>
  <c r="AA45" i="37" s="1"/>
  <c r="AB45" i="37" s="1"/>
  <c r="AC45" i="37" s="1"/>
  <c r="AD45" i="37" s="1"/>
  <c r="AE45" i="37" s="1"/>
  <c r="AF45" i="37" s="1"/>
  <c r="AG45" i="37" s="1"/>
  <c r="AH45" i="37" s="1"/>
  <c r="AH129" i="37"/>
  <c r="G109" i="37"/>
  <c r="AE261" i="37"/>
  <c r="AD261" i="37"/>
  <c r="Q261" i="37"/>
  <c r="AG261" i="37"/>
  <c r="N261" i="37"/>
  <c r="Y261" i="37"/>
  <c r="X261" i="37"/>
  <c r="AF261" i="37"/>
  <c r="T261" i="37"/>
  <c r="R261" i="37"/>
  <c r="L261" i="37"/>
  <c r="AB261" i="37"/>
  <c r="V261" i="37"/>
  <c r="W261" i="37"/>
  <c r="Z261" i="37"/>
  <c r="O261" i="37"/>
  <c r="S261" i="37"/>
  <c r="AA261" i="37"/>
  <c r="P261" i="37"/>
  <c r="U261" i="37"/>
  <c r="M261" i="37"/>
  <c r="AC261" i="37"/>
  <c r="H192" i="37"/>
  <c r="C192" i="37" s="1"/>
  <c r="AH133" i="37" s="1"/>
  <c r="D263" i="37"/>
  <c r="J201" i="37" s="1"/>
  <c r="K201" i="37" s="1"/>
  <c r="L201" i="37" s="1"/>
  <c r="M201" i="37" s="1"/>
  <c r="N201" i="37" s="1"/>
  <c r="O201" i="37" s="1"/>
  <c r="P201" i="37" s="1"/>
  <c r="Q201" i="37" s="1"/>
  <c r="R201" i="37" s="1"/>
  <c r="S201" i="37" s="1"/>
  <c r="T201" i="37" s="1"/>
  <c r="U201" i="37" s="1"/>
  <c r="V201" i="37" s="1"/>
  <c r="W201" i="37" s="1"/>
  <c r="X201" i="37" s="1"/>
  <c r="Y201" i="37" s="1"/>
  <c r="Z201" i="37" s="1"/>
  <c r="AA201" i="37" s="1"/>
  <c r="AB201" i="37" s="1"/>
  <c r="AC201" i="37" s="1"/>
  <c r="AD201" i="37" s="1"/>
  <c r="AE201" i="37" s="1"/>
  <c r="AF201" i="37" s="1"/>
  <c r="AG201" i="37" s="1"/>
  <c r="G262" i="37"/>
  <c r="H107" i="37"/>
  <c r="C107" i="37" s="1"/>
  <c r="U193" i="37"/>
  <c r="N193" i="37"/>
  <c r="Y193" i="37"/>
  <c r="M193" i="37"/>
  <c r="AB193" i="37"/>
  <c r="Z193" i="37"/>
  <c r="T193" i="37"/>
  <c r="R193" i="37"/>
  <c r="AA193" i="37"/>
  <c r="AE193" i="37"/>
  <c r="AF193" i="37"/>
  <c r="AG193" i="37"/>
  <c r="AD193" i="37"/>
  <c r="W193" i="37"/>
  <c r="S193" i="37"/>
  <c r="AC193" i="37"/>
  <c r="V193" i="37"/>
  <c r="O193" i="37"/>
  <c r="P193" i="37"/>
  <c r="X193" i="37"/>
  <c r="Q193" i="37"/>
  <c r="L193" i="37"/>
  <c r="D195" i="37"/>
  <c r="G194" i="37"/>
  <c r="AH26" i="37"/>
  <c r="AH27" i="37" s="1"/>
  <c r="H260" i="37"/>
  <c r="C260" i="37" s="1"/>
  <c r="J11" i="20"/>
  <c r="K7" i="20"/>
  <c r="U84" i="20"/>
  <c r="D60" i="20"/>
  <c r="AH201" i="37" l="1"/>
  <c r="AI45" i="37"/>
  <c r="AJ45" i="37" s="1"/>
  <c r="AK45" i="37" s="1"/>
  <c r="AL45" i="37" s="1"/>
  <c r="AM45" i="37" s="1"/>
  <c r="AN45" i="37" s="1"/>
  <c r="AO45" i="37" s="1"/>
  <c r="AP45" i="37" s="1"/>
  <c r="AQ45" i="37" s="1"/>
  <c r="AR45" i="37" s="1"/>
  <c r="AS45" i="37" s="1"/>
  <c r="AT45" i="37" s="1"/>
  <c r="AU45" i="37" s="1"/>
  <c r="AV45" i="37" s="1"/>
  <c r="AW45" i="37" s="1"/>
  <c r="AX45" i="37" s="1"/>
  <c r="AY45" i="37" s="1"/>
  <c r="AZ45" i="37" s="1"/>
  <c r="BA45" i="37" s="1"/>
  <c r="BB45" i="37" s="1"/>
  <c r="BC45" i="37" s="1"/>
  <c r="BD45" i="37" s="1"/>
  <c r="BE45" i="37" s="1"/>
  <c r="BF45" i="37" s="1"/>
  <c r="BG45" i="37" s="1"/>
  <c r="BH45" i="37" s="1"/>
  <c r="BI45" i="37" s="1"/>
  <c r="BJ45" i="37" s="1"/>
  <c r="BK45" i="37" s="1"/>
  <c r="BL45" i="37" s="1"/>
  <c r="BM45" i="37" s="1"/>
  <c r="BN45" i="37" s="1"/>
  <c r="BO45" i="37" s="1"/>
  <c r="BP45" i="37" s="1"/>
  <c r="BQ45" i="37" s="1"/>
  <c r="BR45" i="37" s="1"/>
  <c r="BS45" i="37" s="1"/>
  <c r="BT45" i="37" s="1"/>
  <c r="BU45" i="37" s="1"/>
  <c r="BV45" i="37" s="1"/>
  <c r="BW45" i="37" s="1"/>
  <c r="BX45" i="37" s="1"/>
  <c r="BY45" i="37" s="1"/>
  <c r="BZ45" i="37" s="1"/>
  <c r="CA45" i="37" s="1"/>
  <c r="CB45" i="37" s="1"/>
  <c r="CC45" i="37" s="1"/>
  <c r="CD45" i="37" s="1"/>
  <c r="CE45" i="37" s="1"/>
  <c r="CF45" i="37" s="1"/>
  <c r="CG45" i="37" s="1"/>
  <c r="CH45" i="37" s="1"/>
  <c r="CI45" i="37" s="1"/>
  <c r="CJ45" i="37" s="1"/>
  <c r="CK45" i="37" s="1"/>
  <c r="CL45" i="37" s="1"/>
  <c r="CM45" i="37" s="1"/>
  <c r="CN45" i="37" s="1"/>
  <c r="CO45" i="37" s="1"/>
  <c r="CP45" i="37" s="1"/>
  <c r="CQ45" i="37" s="1"/>
  <c r="CR45" i="37" s="1"/>
  <c r="CS45" i="37" s="1"/>
  <c r="CT45" i="37" s="1"/>
  <c r="CU45" i="37" s="1"/>
  <c r="CV45" i="37" s="1"/>
  <c r="CW45" i="37" s="1"/>
  <c r="CX45" i="37" s="1"/>
  <c r="CY45" i="37" s="1"/>
  <c r="CZ45" i="37" s="1"/>
  <c r="DA45" i="37" s="1"/>
  <c r="DB45" i="37" s="1"/>
  <c r="DC45" i="37" s="1"/>
  <c r="DD45" i="37" s="1"/>
  <c r="DE45" i="37" s="1"/>
  <c r="DF45" i="37" s="1"/>
  <c r="DG45" i="37" s="1"/>
  <c r="DH45" i="37" s="1"/>
  <c r="DI45" i="37" s="1"/>
  <c r="DJ45" i="37" s="1"/>
  <c r="DK45" i="37" s="1"/>
  <c r="DL45" i="37" s="1"/>
  <c r="DM45" i="37" s="1"/>
  <c r="DN45" i="37" s="1"/>
  <c r="DO45" i="37" s="1"/>
  <c r="DP45" i="37" s="1"/>
  <c r="DQ45" i="37" s="1"/>
  <c r="DR45" i="37" s="1"/>
  <c r="DS45" i="37" s="1"/>
  <c r="DT45" i="37" s="1"/>
  <c r="DU45" i="37" s="1"/>
  <c r="DV45" i="37" s="1"/>
  <c r="DW45" i="37" s="1"/>
  <c r="DX45" i="37" s="1"/>
  <c r="DY45" i="37" s="1"/>
  <c r="DZ45" i="37" s="1"/>
  <c r="EA45" i="37" s="1"/>
  <c r="EB45" i="37" s="1"/>
  <c r="EC45" i="37" s="1"/>
  <c r="ED45" i="37" s="1"/>
  <c r="EE45" i="37" s="1"/>
  <c r="EF45" i="37" s="1"/>
  <c r="EG45" i="37" s="1"/>
  <c r="EH45" i="37" s="1"/>
  <c r="EI45" i="37" s="1"/>
  <c r="EJ45" i="37" s="1"/>
  <c r="EK45" i="37" s="1"/>
  <c r="EL45" i="37" s="1"/>
  <c r="EM45" i="37" s="1"/>
  <c r="EN45" i="37" s="1"/>
  <c r="EO45" i="37" s="1"/>
  <c r="EP45" i="37" s="1"/>
  <c r="EQ45" i="37" s="1"/>
  <c r="ER45" i="37" s="1"/>
  <c r="ES45" i="37" s="1"/>
  <c r="ET45" i="37" s="1"/>
  <c r="EU45" i="37" s="1"/>
  <c r="EV45" i="37" s="1"/>
  <c r="EW45" i="37" s="1"/>
  <c r="EX45" i="37" s="1"/>
  <c r="EY45" i="37" s="1"/>
  <c r="EZ45" i="37" s="1"/>
  <c r="FA45" i="37" s="1"/>
  <c r="FB45" i="37" s="1"/>
  <c r="FC45" i="37" s="1"/>
  <c r="FD45" i="37" s="1"/>
  <c r="FE45" i="37" s="1"/>
  <c r="FF45" i="37" s="1"/>
  <c r="FG45" i="37" s="1"/>
  <c r="FH45" i="37" s="1"/>
  <c r="FI45" i="37" s="1"/>
  <c r="FJ45" i="37" s="1"/>
  <c r="FK45" i="37" s="1"/>
  <c r="FL45" i="37" s="1"/>
  <c r="FM45" i="37" s="1"/>
  <c r="FN45" i="37" s="1"/>
  <c r="FO45" i="37" s="1"/>
  <c r="FP45" i="37" s="1"/>
  <c r="FQ45" i="37" s="1"/>
  <c r="FR45" i="37" s="1"/>
  <c r="FS45" i="37" s="1"/>
  <c r="FT45" i="37" s="1"/>
  <c r="FU45" i="37" s="1"/>
  <c r="FV45" i="37" s="1"/>
  <c r="FW45" i="37" s="1"/>
  <c r="FX45" i="37" s="1"/>
  <c r="FY45" i="37" s="1"/>
  <c r="FZ45" i="37" s="1"/>
  <c r="GA45" i="37" s="1"/>
  <c r="GB45" i="37" s="1"/>
  <c r="GC45" i="37" s="1"/>
  <c r="GD45" i="37" s="1"/>
  <c r="GE45" i="37" s="1"/>
  <c r="GF45" i="37" s="1"/>
  <c r="GG45" i="37" s="1"/>
  <c r="GH45" i="37" s="1"/>
  <c r="GI45" i="37" s="1"/>
  <c r="GJ45" i="37" s="1"/>
  <c r="GK45" i="37" s="1"/>
  <c r="GL45" i="37" s="1"/>
  <c r="GM45" i="37" s="1"/>
  <c r="GN45" i="37" s="1"/>
  <c r="GO45" i="37" s="1"/>
  <c r="GP45" i="37" s="1"/>
  <c r="GQ45" i="37" s="1"/>
  <c r="GR45" i="37" s="1"/>
  <c r="GS45" i="37" s="1"/>
  <c r="GT45" i="37" s="1"/>
  <c r="GU45" i="37" s="1"/>
  <c r="GV45" i="37" s="1"/>
  <c r="GW45" i="37" s="1"/>
  <c r="GX45" i="37" s="1"/>
  <c r="GY45" i="37" s="1"/>
  <c r="GZ45" i="37" s="1"/>
  <c r="HA45" i="37" s="1"/>
  <c r="HB45" i="37" s="1"/>
  <c r="HC45" i="37" s="1"/>
  <c r="HD45" i="37" s="1"/>
  <c r="HE45" i="37" s="1"/>
  <c r="HF45" i="37" s="1"/>
  <c r="HG45" i="37" s="1"/>
  <c r="HH45" i="37" s="1"/>
  <c r="HI45" i="37" s="1"/>
  <c r="HJ45" i="37" s="1"/>
  <c r="HK45" i="37" s="1"/>
  <c r="HL45" i="37" s="1"/>
  <c r="HM45" i="37" s="1"/>
  <c r="HN45" i="37" s="1"/>
  <c r="HO45" i="37" s="1"/>
  <c r="HP45" i="37" s="1"/>
  <c r="HQ45" i="37" s="1"/>
  <c r="HR45" i="37" s="1"/>
  <c r="HS45" i="37" s="1"/>
  <c r="HT45" i="37" s="1"/>
  <c r="HU45" i="37" s="1"/>
  <c r="HV45" i="37" s="1"/>
  <c r="HW45" i="37" s="1"/>
  <c r="HX45" i="37" s="1"/>
  <c r="HY45" i="37" s="1"/>
  <c r="HZ45" i="37" s="1"/>
  <c r="IA45" i="37" s="1"/>
  <c r="H261" i="37"/>
  <c r="C261" i="37" s="1"/>
  <c r="G195" i="37"/>
  <c r="AI129" i="37"/>
  <c r="G263" i="37"/>
  <c r="H193" i="37"/>
  <c r="C193" i="37" s="1"/>
  <c r="AI133" i="37" s="1"/>
  <c r="AJ133" i="37" s="1"/>
  <c r="AK133" i="37" s="1"/>
  <c r="AL133" i="37" s="1"/>
  <c r="AM133" i="37" s="1"/>
  <c r="AN133" i="37" s="1"/>
  <c r="AO133" i="37" s="1"/>
  <c r="AP133" i="37" s="1"/>
  <c r="AQ133" i="37" s="1"/>
  <c r="AR133" i="37" s="1"/>
  <c r="AS133" i="37" s="1"/>
  <c r="AT133" i="37" s="1"/>
  <c r="AU133" i="37" s="1"/>
  <c r="AV133" i="37" s="1"/>
  <c r="AW133" i="37" s="1"/>
  <c r="AX133" i="37" s="1"/>
  <c r="AY133" i="37" s="1"/>
  <c r="AZ133" i="37" s="1"/>
  <c r="BA133" i="37" s="1"/>
  <c r="BB133" i="37" s="1"/>
  <c r="BC133" i="37" s="1"/>
  <c r="BD133" i="37" s="1"/>
  <c r="BE133" i="37" s="1"/>
  <c r="BF133" i="37" s="1"/>
  <c r="BG133" i="37" s="1"/>
  <c r="BH133" i="37" s="1"/>
  <c r="BI133" i="37" s="1"/>
  <c r="BJ133" i="37" s="1"/>
  <c r="BK133" i="37" s="1"/>
  <c r="BL133" i="37" s="1"/>
  <c r="BM133" i="37" s="1"/>
  <c r="BN133" i="37" s="1"/>
  <c r="BO133" i="37" s="1"/>
  <c r="BP133" i="37" s="1"/>
  <c r="BQ133" i="37" s="1"/>
  <c r="BR133" i="37" s="1"/>
  <c r="BS133" i="37" s="1"/>
  <c r="BT133" i="37" s="1"/>
  <c r="BU133" i="37" s="1"/>
  <c r="BV133" i="37" s="1"/>
  <c r="BW133" i="37" s="1"/>
  <c r="BX133" i="37" s="1"/>
  <c r="BY133" i="37" s="1"/>
  <c r="BZ133" i="37" s="1"/>
  <c r="CA133" i="37" s="1"/>
  <c r="CB133" i="37" s="1"/>
  <c r="CC133" i="37" s="1"/>
  <c r="CD133" i="37" s="1"/>
  <c r="CE133" i="37" s="1"/>
  <c r="CF133" i="37" s="1"/>
  <c r="CG133" i="37" s="1"/>
  <c r="CH133" i="37" s="1"/>
  <c r="CI133" i="37" s="1"/>
  <c r="CJ133" i="37" s="1"/>
  <c r="CK133" i="37" s="1"/>
  <c r="CL133" i="37" s="1"/>
  <c r="CM133" i="37" s="1"/>
  <c r="CN133" i="37" s="1"/>
  <c r="CO133" i="37" s="1"/>
  <c r="CP133" i="37" s="1"/>
  <c r="CQ133" i="37" s="1"/>
  <c r="CR133" i="37" s="1"/>
  <c r="CS133" i="37" s="1"/>
  <c r="CT133" i="37" s="1"/>
  <c r="CU133" i="37" s="1"/>
  <c r="CV133" i="37" s="1"/>
  <c r="CW133" i="37" s="1"/>
  <c r="CX133" i="37" s="1"/>
  <c r="CY133" i="37" s="1"/>
  <c r="CZ133" i="37" s="1"/>
  <c r="DA133" i="37" s="1"/>
  <c r="DB133" i="37" s="1"/>
  <c r="DC133" i="37" s="1"/>
  <c r="DD133" i="37" s="1"/>
  <c r="DE133" i="37" s="1"/>
  <c r="DF133" i="37" s="1"/>
  <c r="DG133" i="37" s="1"/>
  <c r="DH133" i="37" s="1"/>
  <c r="DI133" i="37" s="1"/>
  <c r="DJ133" i="37" s="1"/>
  <c r="DK133" i="37" s="1"/>
  <c r="DL133" i="37" s="1"/>
  <c r="DM133" i="37" s="1"/>
  <c r="DN133" i="37" s="1"/>
  <c r="DO133" i="37" s="1"/>
  <c r="DP133" i="37" s="1"/>
  <c r="DQ133" i="37" s="1"/>
  <c r="DR133" i="37" s="1"/>
  <c r="DS133" i="37" s="1"/>
  <c r="DT133" i="37" s="1"/>
  <c r="DU133" i="37" s="1"/>
  <c r="DV133" i="37" s="1"/>
  <c r="DW133" i="37" s="1"/>
  <c r="DX133" i="37" s="1"/>
  <c r="DY133" i="37" s="1"/>
  <c r="DZ133" i="37" s="1"/>
  <c r="EA133" i="37" s="1"/>
  <c r="EB133" i="37" s="1"/>
  <c r="EC133" i="37" s="1"/>
  <c r="ED133" i="37" s="1"/>
  <c r="EE133" i="37" s="1"/>
  <c r="EF133" i="37" s="1"/>
  <c r="EG133" i="37" s="1"/>
  <c r="EH133" i="37" s="1"/>
  <c r="EI133" i="37" s="1"/>
  <c r="EJ133" i="37" s="1"/>
  <c r="EK133" i="37" s="1"/>
  <c r="EL133" i="37" s="1"/>
  <c r="EM133" i="37" s="1"/>
  <c r="EN133" i="37" s="1"/>
  <c r="EO133" i="37" s="1"/>
  <c r="EP133" i="37" s="1"/>
  <c r="EQ133" i="37" s="1"/>
  <c r="ER133" i="37" s="1"/>
  <c r="ES133" i="37" s="1"/>
  <c r="ET133" i="37" s="1"/>
  <c r="EU133" i="37" s="1"/>
  <c r="EV133" i="37" s="1"/>
  <c r="EW133" i="37" s="1"/>
  <c r="EX133" i="37" s="1"/>
  <c r="EY133" i="37" s="1"/>
  <c r="EZ133" i="37" s="1"/>
  <c r="FA133" i="37" s="1"/>
  <c r="FB133" i="37" s="1"/>
  <c r="FC133" i="37" s="1"/>
  <c r="FD133" i="37" s="1"/>
  <c r="FE133" i="37" s="1"/>
  <c r="FF133" i="37" s="1"/>
  <c r="FG133" i="37" s="1"/>
  <c r="FH133" i="37" s="1"/>
  <c r="FI133" i="37" s="1"/>
  <c r="FJ133" i="37" s="1"/>
  <c r="FK133" i="37" s="1"/>
  <c r="FL133" i="37" s="1"/>
  <c r="FM133" i="37" s="1"/>
  <c r="FN133" i="37" s="1"/>
  <c r="FO133" i="37" s="1"/>
  <c r="FP133" i="37" s="1"/>
  <c r="FQ133" i="37" s="1"/>
  <c r="FR133" i="37" s="1"/>
  <c r="FS133" i="37" s="1"/>
  <c r="FT133" i="37" s="1"/>
  <c r="FU133" i="37" s="1"/>
  <c r="FV133" i="37" s="1"/>
  <c r="FW133" i="37" s="1"/>
  <c r="FX133" i="37" s="1"/>
  <c r="FY133" i="37" s="1"/>
  <c r="FZ133" i="37" s="1"/>
  <c r="GA133" i="37" s="1"/>
  <c r="GB133" i="37" s="1"/>
  <c r="GC133" i="37" s="1"/>
  <c r="GD133" i="37" s="1"/>
  <c r="GE133" i="37" s="1"/>
  <c r="GF133" i="37" s="1"/>
  <c r="GG133" i="37" s="1"/>
  <c r="GH133" i="37" s="1"/>
  <c r="GI133" i="37" s="1"/>
  <c r="GJ133" i="37" s="1"/>
  <c r="GK133" i="37" s="1"/>
  <c r="GL133" i="37" s="1"/>
  <c r="GM133" i="37" s="1"/>
  <c r="GN133" i="37" s="1"/>
  <c r="GO133" i="37" s="1"/>
  <c r="GP133" i="37" s="1"/>
  <c r="GQ133" i="37" s="1"/>
  <c r="GR133" i="37" s="1"/>
  <c r="GS133" i="37" s="1"/>
  <c r="GT133" i="37" s="1"/>
  <c r="GU133" i="37" s="1"/>
  <c r="GV133" i="37" s="1"/>
  <c r="GW133" i="37" s="1"/>
  <c r="GX133" i="37" s="1"/>
  <c r="GY133" i="37" s="1"/>
  <c r="GZ133" i="37" s="1"/>
  <c r="HA133" i="37" s="1"/>
  <c r="HB133" i="37" s="1"/>
  <c r="HC133" i="37" s="1"/>
  <c r="HD133" i="37" s="1"/>
  <c r="HE133" i="37" s="1"/>
  <c r="HF133" i="37" s="1"/>
  <c r="HG133" i="37" s="1"/>
  <c r="HH133" i="37" s="1"/>
  <c r="HI133" i="37" s="1"/>
  <c r="HJ133" i="37" s="1"/>
  <c r="HK133" i="37" s="1"/>
  <c r="HL133" i="37" s="1"/>
  <c r="HM133" i="37" s="1"/>
  <c r="HN133" i="37" s="1"/>
  <c r="HO133" i="37" s="1"/>
  <c r="HP133" i="37" s="1"/>
  <c r="HQ133" i="37" s="1"/>
  <c r="HR133" i="37" s="1"/>
  <c r="HS133" i="37" s="1"/>
  <c r="HT133" i="37" s="1"/>
  <c r="HU133" i="37" s="1"/>
  <c r="HV133" i="37" s="1"/>
  <c r="HW133" i="37" s="1"/>
  <c r="HX133" i="37" s="1"/>
  <c r="HY133" i="37" s="1"/>
  <c r="HZ133" i="37" s="1"/>
  <c r="IA133" i="37" s="1"/>
  <c r="AI26" i="37"/>
  <c r="J46" i="37"/>
  <c r="K11" i="20"/>
  <c r="L7" i="20"/>
  <c r="V84" i="20"/>
  <c r="C558" i="20"/>
  <c r="L507" i="20"/>
  <c r="M507" i="20" s="1"/>
  <c r="N507" i="20" s="1"/>
  <c r="O507" i="20" s="1"/>
  <c r="P507" i="20" s="1"/>
  <c r="Q507" i="20" s="1"/>
  <c r="R507" i="20" s="1"/>
  <c r="S507" i="20" s="1"/>
  <c r="T507" i="20" s="1"/>
  <c r="U507" i="20" s="1"/>
  <c r="V507" i="20" s="1"/>
  <c r="W507" i="20" s="1"/>
  <c r="X507" i="20" s="1"/>
  <c r="Y507" i="20" s="1"/>
  <c r="Z507" i="20" s="1"/>
  <c r="AA507" i="20" s="1"/>
  <c r="AB507" i="20" s="1"/>
  <c r="AC507" i="20" s="1"/>
  <c r="AD507" i="20" s="1"/>
  <c r="AE507" i="20" s="1"/>
  <c r="BD106" i="34"/>
  <c r="BD105" i="34"/>
  <c r="BC105" i="34"/>
  <c r="BB105" i="34"/>
  <c r="BI105" i="34" s="1"/>
  <c r="BA105" i="34"/>
  <c r="AZ105" i="34"/>
  <c r="AY105" i="34"/>
  <c r="BH105" i="34" s="1"/>
  <c r="AX105" i="34"/>
  <c r="AW105" i="34"/>
  <c r="BE105" i="34" s="1"/>
  <c r="AV105" i="34"/>
  <c r="BG105" i="34" s="1"/>
  <c r="AU105" i="34"/>
  <c r="AT105" i="34"/>
  <c r="AS105" i="34"/>
  <c r="BF105" i="34" s="1"/>
  <c r="BI104" i="34"/>
  <c r="BH104" i="34"/>
  <c r="BG104" i="34"/>
  <c r="BF104" i="34"/>
  <c r="BE104" i="34"/>
  <c r="BI103" i="34"/>
  <c r="BH103" i="34"/>
  <c r="BG103" i="34"/>
  <c r="BF103" i="34"/>
  <c r="BE103" i="34"/>
  <c r="BI102" i="34"/>
  <c r="BH102" i="34"/>
  <c r="BG102" i="34"/>
  <c r="BF102" i="34"/>
  <c r="BE102" i="34"/>
  <c r="BI101" i="34"/>
  <c r="BH101" i="34"/>
  <c r="BG101" i="34"/>
  <c r="BF101" i="34"/>
  <c r="BE101" i="34"/>
  <c r="BI100" i="34"/>
  <c r="BH100" i="34"/>
  <c r="BG100" i="34"/>
  <c r="BF100" i="34"/>
  <c r="BE100" i="34"/>
  <c r="BI99" i="34"/>
  <c r="BH99" i="34"/>
  <c r="BG99" i="34"/>
  <c r="BF99" i="34"/>
  <c r="BE99" i="34"/>
  <c r="BD98" i="34"/>
  <c r="BA98" i="34"/>
  <c r="BA106" i="34" s="1"/>
  <c r="AV98" i="34"/>
  <c r="AV106" i="34" s="1"/>
  <c r="BG106" i="34" s="1"/>
  <c r="BI97" i="34"/>
  <c r="BH97" i="34"/>
  <c r="BG97" i="34"/>
  <c r="BF97" i="34"/>
  <c r="BE97" i="34"/>
  <c r="BI96" i="34"/>
  <c r="BH96" i="34"/>
  <c r="BG96" i="34"/>
  <c r="BF96" i="34"/>
  <c r="BE96" i="34"/>
  <c r="BI95" i="34"/>
  <c r="BH95" i="34"/>
  <c r="BG95" i="34"/>
  <c r="BF95" i="34"/>
  <c r="BE95" i="34"/>
  <c r="BI94" i="34"/>
  <c r="BH94" i="34"/>
  <c r="BG94" i="34"/>
  <c r="BF94" i="34"/>
  <c r="BE94" i="34"/>
  <c r="BI93" i="34"/>
  <c r="BH93" i="34"/>
  <c r="BG93" i="34"/>
  <c r="AF26" i="18" s="1"/>
  <c r="BF93" i="34"/>
  <c r="BE93" i="34"/>
  <c r="BI92" i="34"/>
  <c r="BH92" i="34"/>
  <c r="BG92" i="34"/>
  <c r="BF92" i="34"/>
  <c r="BE92" i="34"/>
  <c r="BI91" i="34"/>
  <c r="BH91" i="34"/>
  <c r="BG91" i="34"/>
  <c r="BF91" i="34"/>
  <c r="BE91" i="34"/>
  <c r="BI90" i="34"/>
  <c r="BH90" i="34"/>
  <c r="BG90" i="34"/>
  <c r="BF90" i="34"/>
  <c r="BE90" i="34"/>
  <c r="BI89" i="34"/>
  <c r="BH89" i="34"/>
  <c r="BG89" i="34"/>
  <c r="BF89" i="34"/>
  <c r="BE89" i="34"/>
  <c r="BI88" i="34"/>
  <c r="BH88" i="34"/>
  <c r="BG88" i="34"/>
  <c r="BF88" i="34"/>
  <c r="BE88" i="34"/>
  <c r="BI87" i="34"/>
  <c r="BH87" i="34"/>
  <c r="BG87" i="34"/>
  <c r="BF87" i="34"/>
  <c r="BE87" i="34"/>
  <c r="BI86" i="34"/>
  <c r="BH86" i="34"/>
  <c r="BG86" i="34"/>
  <c r="BF86" i="34"/>
  <c r="BE86" i="34"/>
  <c r="BI85" i="34"/>
  <c r="BH85" i="34"/>
  <c r="BG85" i="34"/>
  <c r="BF85" i="34"/>
  <c r="BE85" i="34"/>
  <c r="BI84" i="34"/>
  <c r="BH84" i="34"/>
  <c r="BG84" i="34"/>
  <c r="BF84" i="34"/>
  <c r="BE84" i="34"/>
  <c r="BI83" i="34"/>
  <c r="BH83" i="34"/>
  <c r="BG83" i="34"/>
  <c r="BF83" i="34"/>
  <c r="BE83" i="34"/>
  <c r="BI82" i="34"/>
  <c r="BH82" i="34"/>
  <c r="BG82" i="34"/>
  <c r="BF82" i="34"/>
  <c r="BE82" i="34"/>
  <c r="BI81" i="34"/>
  <c r="BH81" i="34"/>
  <c r="BG81" i="34"/>
  <c r="BF81" i="34"/>
  <c r="BE81" i="34"/>
  <c r="BI80" i="34"/>
  <c r="BH80" i="34"/>
  <c r="BG80" i="34"/>
  <c r="BF80" i="34"/>
  <c r="BE80" i="34"/>
  <c r="BI79" i="34"/>
  <c r="BH79" i="34"/>
  <c r="BG79" i="34"/>
  <c r="BF79" i="34"/>
  <c r="BE79" i="34"/>
  <c r="BI78" i="34"/>
  <c r="BH78" i="34"/>
  <c r="BG78" i="34"/>
  <c r="BF78" i="34"/>
  <c r="BE78" i="34"/>
  <c r="BI77" i="34"/>
  <c r="BD77" i="34"/>
  <c r="BC77" i="34"/>
  <c r="BB77" i="34"/>
  <c r="BA77" i="34"/>
  <c r="AZ77" i="34"/>
  <c r="AY77" i="34"/>
  <c r="AX77" i="34"/>
  <c r="AW77" i="34"/>
  <c r="BG77" i="34" s="1"/>
  <c r="AV77" i="34"/>
  <c r="AU77" i="34"/>
  <c r="AT77" i="34"/>
  <c r="AS77" i="34"/>
  <c r="BI76" i="34"/>
  <c r="BH76" i="34"/>
  <c r="BG76" i="34"/>
  <c r="BF76" i="34"/>
  <c r="BE76" i="34"/>
  <c r="BI75" i="34"/>
  <c r="BH75" i="34"/>
  <c r="BG75" i="34"/>
  <c r="BF75" i="34"/>
  <c r="BE75" i="34"/>
  <c r="BI74" i="34"/>
  <c r="BH74" i="34"/>
  <c r="BG74" i="34"/>
  <c r="BF74" i="34"/>
  <c r="BE74" i="34"/>
  <c r="BI73" i="34"/>
  <c r="BH73" i="34"/>
  <c r="BG73" i="34"/>
  <c r="BF73" i="34"/>
  <c r="BE73" i="34"/>
  <c r="BI72" i="34"/>
  <c r="BH72" i="34"/>
  <c r="BG72" i="34"/>
  <c r="BF72" i="34"/>
  <c r="BE72" i="34"/>
  <c r="BI71" i="34"/>
  <c r="BH71" i="34"/>
  <c r="BG71" i="34"/>
  <c r="BF71" i="34"/>
  <c r="BE71" i="34"/>
  <c r="BI70" i="34"/>
  <c r="BH70" i="34"/>
  <c r="BG70" i="34"/>
  <c r="BF70" i="34"/>
  <c r="BE70" i="34"/>
  <c r="BI69" i="34"/>
  <c r="BH69" i="34"/>
  <c r="BG69" i="34"/>
  <c r="BF69" i="34"/>
  <c r="BE69" i="34"/>
  <c r="BI68" i="34"/>
  <c r="BH68" i="34"/>
  <c r="BG68" i="34"/>
  <c r="BF68" i="34"/>
  <c r="BE68" i="34"/>
  <c r="BI67" i="34"/>
  <c r="S11" i="15" s="1"/>
  <c r="BH67" i="34"/>
  <c r="BG67" i="34"/>
  <c r="Q11" i="15" s="1"/>
  <c r="P44" i="23" s="1"/>
  <c r="AS67" i="34"/>
  <c r="BI66" i="34"/>
  <c r="BH66" i="34"/>
  <c r="BG66" i="34"/>
  <c r="BI65" i="34"/>
  <c r="BH65" i="34"/>
  <c r="R41" i="12" s="1"/>
  <c r="Q74" i="16" s="1"/>
  <c r="BG65" i="34"/>
  <c r="BF65" i="34"/>
  <c r="BE65" i="34"/>
  <c r="BI64" i="34"/>
  <c r="BH64" i="34"/>
  <c r="BG64" i="34"/>
  <c r="BF64" i="34"/>
  <c r="BE64" i="34"/>
  <c r="BI63" i="34"/>
  <c r="BH63" i="34"/>
  <c r="BG63" i="34"/>
  <c r="BF63" i="34"/>
  <c r="BE63" i="34"/>
  <c r="BI62" i="34"/>
  <c r="BH62" i="34"/>
  <c r="BG62" i="34"/>
  <c r="BF62" i="34"/>
  <c r="BE62" i="34"/>
  <c r="BI61" i="34"/>
  <c r="BH61" i="34"/>
  <c r="BG61" i="34"/>
  <c r="BF61" i="34"/>
  <c r="BE61" i="34"/>
  <c r="BI60" i="34"/>
  <c r="BH60" i="34"/>
  <c r="BG60" i="34"/>
  <c r="BF60" i="34"/>
  <c r="BE60" i="34"/>
  <c r="BI59" i="34"/>
  <c r="BH59" i="34"/>
  <c r="BG59" i="34"/>
  <c r="BF59" i="34"/>
  <c r="BE59" i="34"/>
  <c r="BI58" i="34"/>
  <c r="BH58" i="34"/>
  <c r="BG58" i="34"/>
  <c r="BF58" i="34"/>
  <c r="BE58" i="34"/>
  <c r="BI57" i="34"/>
  <c r="BH57" i="34"/>
  <c r="BG57" i="34"/>
  <c r="BF57" i="34"/>
  <c r="BE57" i="34"/>
  <c r="BI56" i="34"/>
  <c r="BH56" i="34"/>
  <c r="BG56" i="34"/>
  <c r="BF56" i="34"/>
  <c r="BE56" i="34"/>
  <c r="BI55" i="34"/>
  <c r="BH55" i="34"/>
  <c r="BG55" i="34"/>
  <c r="BF55" i="34"/>
  <c r="BE55" i="34"/>
  <c r="BI54" i="34"/>
  <c r="BH54" i="34"/>
  <c r="BG54" i="34"/>
  <c r="BF54" i="34"/>
  <c r="BE54" i="34"/>
  <c r="BI53" i="34"/>
  <c r="BH53" i="34"/>
  <c r="BG53" i="34"/>
  <c r="BF53" i="34"/>
  <c r="BE53" i="34"/>
  <c r="BI52" i="34"/>
  <c r="BH52" i="34"/>
  <c r="BG52" i="34"/>
  <c r="BF52" i="34"/>
  <c r="BE52" i="34"/>
  <c r="BI51" i="34"/>
  <c r="BH51" i="34"/>
  <c r="BG51" i="34"/>
  <c r="BF51" i="34"/>
  <c r="BE51" i="34"/>
  <c r="BI50" i="34"/>
  <c r="BH50" i="34"/>
  <c r="BG50" i="34"/>
  <c r="BF50" i="34"/>
  <c r="BE50" i="34"/>
  <c r="BI49" i="34"/>
  <c r="BH49" i="34"/>
  <c r="BG49" i="34"/>
  <c r="BF49" i="34"/>
  <c r="BE49" i="34"/>
  <c r="BF48" i="34"/>
  <c r="O51" i="23" s="1"/>
  <c r="AE17" i="18" s="1"/>
  <c r="AE16" i="18" s="1"/>
  <c r="BD48" i="34"/>
  <c r="BC48" i="34"/>
  <c r="BB48" i="34"/>
  <c r="BI48" i="34" s="1"/>
  <c r="BA48" i="34"/>
  <c r="AZ48" i="34"/>
  <c r="AZ46" i="34" s="1"/>
  <c r="AZ98" i="34" s="1"/>
  <c r="AZ106" i="34" s="1"/>
  <c r="AY48" i="34"/>
  <c r="AY46" i="34" s="1"/>
  <c r="AX48" i="34"/>
  <c r="AW48" i="34"/>
  <c r="AW46" i="34" s="1"/>
  <c r="AW98" i="34" s="1"/>
  <c r="AW106" i="34" s="1"/>
  <c r="AV48" i="34"/>
  <c r="AU48" i="34"/>
  <c r="AT48" i="34"/>
  <c r="AS48" i="34"/>
  <c r="BI47" i="34"/>
  <c r="BH47" i="34"/>
  <c r="BG47" i="34"/>
  <c r="BF47" i="34"/>
  <c r="BE47" i="34"/>
  <c r="BF46" i="34"/>
  <c r="BD46" i="34"/>
  <c r="BC46" i="34"/>
  <c r="BC98" i="34" s="1"/>
  <c r="BC106" i="34" s="1"/>
  <c r="BB46" i="34"/>
  <c r="BB98" i="34" s="1"/>
  <c r="BB106" i="34" s="1"/>
  <c r="BI106" i="34" s="1"/>
  <c r="BA46" i="34"/>
  <c r="AX46" i="34"/>
  <c r="AX98" i="34" s="1"/>
  <c r="AX106" i="34" s="1"/>
  <c r="AV46" i="34"/>
  <c r="AU46" i="34"/>
  <c r="AU98" i="34" s="1"/>
  <c r="AU106" i="34" s="1"/>
  <c r="AT46" i="34"/>
  <c r="AS46" i="34"/>
  <c r="BI44" i="34"/>
  <c r="BH44" i="34"/>
  <c r="BG44" i="34"/>
  <c r="BF44" i="34"/>
  <c r="BE44" i="34"/>
  <c r="BI43" i="34"/>
  <c r="BH43" i="34"/>
  <c r="BG43" i="34"/>
  <c r="BF43" i="34"/>
  <c r="BE43" i="34"/>
  <c r="BI42" i="34"/>
  <c r="BH42" i="34"/>
  <c r="BG42" i="34"/>
  <c r="BF42" i="34"/>
  <c r="BE42" i="34"/>
  <c r="BI41" i="34"/>
  <c r="BH41" i="34"/>
  <c r="BG41" i="34"/>
  <c r="BF41" i="34"/>
  <c r="BE41" i="34"/>
  <c r="BG40" i="34"/>
  <c r="BD40" i="34"/>
  <c r="BC40" i="34"/>
  <c r="BI40" i="34" s="1"/>
  <c r="BB40" i="34"/>
  <c r="BA40" i="34"/>
  <c r="AZ40" i="34"/>
  <c r="BH40" i="34" s="1"/>
  <c r="AY40" i="34"/>
  <c r="AX40" i="34"/>
  <c r="AW40" i="34"/>
  <c r="AV40" i="34"/>
  <c r="AU40" i="34"/>
  <c r="AT40" i="34"/>
  <c r="AS40" i="34"/>
  <c r="BI39" i="34"/>
  <c r="BH39" i="34"/>
  <c r="BG39" i="34"/>
  <c r="BF39" i="34"/>
  <c r="BE39" i="34"/>
  <c r="BI38" i="34"/>
  <c r="BH38" i="34"/>
  <c r="BG38" i="34"/>
  <c r="BF38" i="34"/>
  <c r="BE38" i="34"/>
  <c r="BI37" i="34"/>
  <c r="BH37" i="34"/>
  <c r="BG37" i="34"/>
  <c r="BF37" i="34"/>
  <c r="BE37" i="34"/>
  <c r="BI36" i="34"/>
  <c r="BH36" i="34"/>
  <c r="BG36" i="34"/>
  <c r="BF36" i="34"/>
  <c r="BE36" i="34"/>
  <c r="BI35" i="34"/>
  <c r="BH35" i="34"/>
  <c r="BG35" i="34"/>
  <c r="BF35" i="34"/>
  <c r="BE35" i="34"/>
  <c r="BI34" i="34"/>
  <c r="BH34" i="34"/>
  <c r="BG34" i="34"/>
  <c r="BF34" i="34"/>
  <c r="BE34" i="34"/>
  <c r="BI33" i="34"/>
  <c r="BH33" i="34"/>
  <c r="BG33" i="34"/>
  <c r="BF33" i="34"/>
  <c r="BE33" i="34"/>
  <c r="BI32" i="34"/>
  <c r="BH32" i="34"/>
  <c r="BG32" i="34"/>
  <c r="BF32" i="34"/>
  <c r="BE32" i="34"/>
  <c r="BI31" i="34"/>
  <c r="BH31" i="34"/>
  <c r="R51" i="13" s="1"/>
  <c r="BG31" i="34"/>
  <c r="Q51" i="13" s="1"/>
  <c r="AF14" i="18" s="1"/>
  <c r="BF31" i="34"/>
  <c r="BE31" i="34"/>
  <c r="BI30" i="34"/>
  <c r="BH30" i="34"/>
  <c r="BG30" i="34"/>
  <c r="BF30" i="34"/>
  <c r="BE30" i="34"/>
  <c r="BI29" i="34"/>
  <c r="BH29" i="34"/>
  <c r="BG29" i="34"/>
  <c r="BF29" i="34"/>
  <c r="BE29" i="34"/>
  <c r="BI28" i="34"/>
  <c r="BH28" i="34"/>
  <c r="BG28" i="34"/>
  <c r="BF28" i="34"/>
  <c r="BE28" i="34"/>
  <c r="BF27" i="34"/>
  <c r="BD27" i="34"/>
  <c r="BC27" i="34"/>
  <c r="BB27" i="34"/>
  <c r="BI27" i="34" s="1"/>
  <c r="BA27" i="34"/>
  <c r="AZ27" i="34"/>
  <c r="BH27" i="34" s="1"/>
  <c r="AY27" i="34"/>
  <c r="AX27" i="34"/>
  <c r="AW27" i="34"/>
  <c r="BE27" i="34" s="1"/>
  <c r="AV27" i="34"/>
  <c r="AU27" i="34"/>
  <c r="AT27" i="34"/>
  <c r="AS27" i="34"/>
  <c r="BI26" i="34"/>
  <c r="BH26" i="34"/>
  <c r="BG26" i="34"/>
  <c r="BF26" i="34"/>
  <c r="BE26" i="34"/>
  <c r="BI25" i="34"/>
  <c r="BH25" i="34"/>
  <c r="BG25" i="34"/>
  <c r="BF25" i="34"/>
  <c r="BE25" i="34"/>
  <c r="BI24" i="34"/>
  <c r="BH24" i="34"/>
  <c r="BG24" i="34"/>
  <c r="BF24" i="34"/>
  <c r="BE24" i="34"/>
  <c r="BI23" i="34"/>
  <c r="BH23" i="34"/>
  <c r="BG23" i="34"/>
  <c r="BF23" i="34"/>
  <c r="BE23" i="34"/>
  <c r="BI22" i="34"/>
  <c r="BH22" i="34"/>
  <c r="BG22" i="34"/>
  <c r="BF22" i="34"/>
  <c r="BE22" i="34"/>
  <c r="BI21" i="34"/>
  <c r="BH21" i="34"/>
  <c r="BG21" i="34"/>
  <c r="BF21" i="34"/>
  <c r="BE21" i="34"/>
  <c r="BI20" i="34"/>
  <c r="BH20" i="34"/>
  <c r="BG20" i="34"/>
  <c r="BF20" i="34"/>
  <c r="BE20" i="34"/>
  <c r="BD19" i="34"/>
  <c r="BC19" i="34"/>
  <c r="BB19" i="34"/>
  <c r="BI19" i="34" s="1"/>
  <c r="BA19" i="34"/>
  <c r="AZ19" i="34"/>
  <c r="BH19" i="34" s="1"/>
  <c r="AY19" i="34"/>
  <c r="AX19" i="34"/>
  <c r="AW19" i="34"/>
  <c r="AV19" i="34"/>
  <c r="BG19" i="34" s="1"/>
  <c r="AU19" i="34"/>
  <c r="AT19" i="34"/>
  <c r="AS19" i="34"/>
  <c r="BI18" i="34"/>
  <c r="BH18" i="34"/>
  <c r="BG18" i="34"/>
  <c r="BF18" i="34"/>
  <c r="BE18" i="34"/>
  <c r="BI17" i="34"/>
  <c r="BH17" i="34"/>
  <c r="BG17" i="34"/>
  <c r="BF17" i="34"/>
  <c r="BE17" i="34"/>
  <c r="BI16" i="34"/>
  <c r="BH16" i="34"/>
  <c r="BG16" i="34"/>
  <c r="BF16" i="34"/>
  <c r="BE16" i="34"/>
  <c r="BH15" i="34"/>
  <c r="BD15" i="34"/>
  <c r="BC15" i="34"/>
  <c r="BB15" i="34"/>
  <c r="BI15" i="34" s="1"/>
  <c r="BA15" i="34"/>
  <c r="AZ15" i="34"/>
  <c r="AY15" i="34"/>
  <c r="AX15" i="34"/>
  <c r="AW15" i="34"/>
  <c r="AV15" i="34"/>
  <c r="BG15" i="34" s="1"/>
  <c r="AU15" i="34"/>
  <c r="AT15" i="34"/>
  <c r="AS15" i="34"/>
  <c r="BI14" i="34"/>
  <c r="BH14" i="34"/>
  <c r="BG14" i="34"/>
  <c r="BF14" i="34"/>
  <c r="P40" i="13" s="1"/>
  <c r="O45" i="16" s="1"/>
  <c r="BE14" i="34"/>
  <c r="BI13" i="34"/>
  <c r="S45" i="13" s="1"/>
  <c r="R47" i="16" s="1"/>
  <c r="R15" i="16" s="1"/>
  <c r="AH13" i="18" s="1"/>
  <c r="BH13" i="34"/>
  <c r="R45" i="13" s="1"/>
  <c r="Q47" i="16" s="1"/>
  <c r="Q15" i="16" s="1"/>
  <c r="AG13" i="18" s="1"/>
  <c r="BG13" i="34"/>
  <c r="AS13" i="34"/>
  <c r="BI12" i="34"/>
  <c r="BH12" i="34"/>
  <c r="BG12" i="34"/>
  <c r="Q39" i="13" s="1"/>
  <c r="P44" i="16" s="1"/>
  <c r="P12" i="16" s="1"/>
  <c r="AF10" i="18" s="1"/>
  <c r="BF12" i="34"/>
  <c r="BE12" i="34"/>
  <c r="BI11" i="34"/>
  <c r="BH11" i="34"/>
  <c r="BG11" i="34"/>
  <c r="BF11" i="34"/>
  <c r="BE11" i="34"/>
  <c r="BI10" i="34"/>
  <c r="BH10" i="34"/>
  <c r="BG10" i="34"/>
  <c r="BF10" i="34"/>
  <c r="BE10" i="34"/>
  <c r="BI9" i="34"/>
  <c r="S38" i="13" s="1"/>
  <c r="R43" i="16" s="1"/>
  <c r="R11" i="16" s="1"/>
  <c r="AH9" i="18" s="1"/>
  <c r="BH9" i="34"/>
  <c r="BG9" i="34"/>
  <c r="BF9" i="34"/>
  <c r="P38" i="13" s="1"/>
  <c r="O43" i="16" s="1"/>
  <c r="BE9" i="34"/>
  <c r="BI8" i="34"/>
  <c r="BH8" i="34"/>
  <c r="R37" i="13" s="1"/>
  <c r="BG8" i="34"/>
  <c r="BF8" i="34"/>
  <c r="P37" i="13" s="1"/>
  <c r="BE8" i="34"/>
  <c r="BI7" i="34"/>
  <c r="BH7" i="34"/>
  <c r="R36" i="13" s="1"/>
  <c r="BG7" i="34"/>
  <c r="BF7" i="34"/>
  <c r="P36" i="13" s="1"/>
  <c r="BE7" i="34"/>
  <c r="BH6" i="34"/>
  <c r="BF6" i="34"/>
  <c r="BD6" i="34"/>
  <c r="BC6" i="34"/>
  <c r="BB6" i="34"/>
  <c r="BA6" i="34"/>
  <c r="AZ6" i="34"/>
  <c r="AZ5" i="34" s="1"/>
  <c r="AY6" i="34"/>
  <c r="AX6" i="34"/>
  <c r="AX5" i="34" s="1"/>
  <c r="AX45" i="34" s="1"/>
  <c r="AX107" i="34" s="1"/>
  <c r="AW6" i="34"/>
  <c r="AV6" i="34"/>
  <c r="AU6" i="34"/>
  <c r="AU5" i="34" s="1"/>
  <c r="AU45" i="34" s="1"/>
  <c r="AU107" i="34" s="1"/>
  <c r="AT6" i="34"/>
  <c r="AS6" i="34"/>
  <c r="BD5" i="34"/>
  <c r="BD45" i="34" s="1"/>
  <c r="BD107" i="34" s="1"/>
  <c r="BC5" i="34"/>
  <c r="BA5" i="34"/>
  <c r="BA45" i="34" s="1"/>
  <c r="BA107" i="34" s="1"/>
  <c r="AY5" i="34"/>
  <c r="AW5" i="34"/>
  <c r="AV5" i="34"/>
  <c r="AS5" i="34"/>
  <c r="G127" i="33"/>
  <c r="G126" i="33"/>
  <c r="G121" i="33"/>
  <c r="G120" i="33"/>
  <c r="E113" i="33"/>
  <c r="E112" i="33"/>
  <c r="E111" i="33" s="1"/>
  <c r="E108" i="33"/>
  <c r="N103" i="33"/>
  <c r="M103" i="33"/>
  <c r="A103" i="33"/>
  <c r="N102" i="33"/>
  <c r="M102" i="33"/>
  <c r="A102" i="33"/>
  <c r="M101" i="33"/>
  <c r="N101" i="33" s="1"/>
  <c r="A101" i="33"/>
  <c r="N100" i="33"/>
  <c r="M100" i="33"/>
  <c r="A100" i="33"/>
  <c r="M99" i="33"/>
  <c r="N99" i="33" s="1"/>
  <c r="A99" i="33"/>
  <c r="M98" i="33"/>
  <c r="N98" i="33" s="1"/>
  <c r="A98" i="33"/>
  <c r="M97" i="33"/>
  <c r="N97" i="33" s="1"/>
  <c r="A97" i="33"/>
  <c r="N96" i="33"/>
  <c r="M96" i="33"/>
  <c r="A96" i="33"/>
  <c r="M95" i="33"/>
  <c r="N95" i="33" s="1"/>
  <c r="A95" i="33"/>
  <c r="N94" i="33"/>
  <c r="M94" i="33"/>
  <c r="A94" i="33"/>
  <c r="N93" i="33"/>
  <c r="M93" i="33"/>
  <c r="A93" i="33"/>
  <c r="N92" i="33"/>
  <c r="M92" i="33"/>
  <c r="A92" i="33"/>
  <c r="M91" i="33"/>
  <c r="N91" i="33" s="1"/>
  <c r="A91" i="33"/>
  <c r="M90" i="33"/>
  <c r="N90" i="33" s="1"/>
  <c r="A90" i="33"/>
  <c r="M89" i="33"/>
  <c r="N89" i="33" s="1"/>
  <c r="A89" i="33"/>
  <c r="N88" i="33"/>
  <c r="M88" i="33"/>
  <c r="A88" i="33"/>
  <c r="M87" i="33"/>
  <c r="N87" i="33" s="1"/>
  <c r="A87" i="33"/>
  <c r="N86" i="33"/>
  <c r="M86" i="33"/>
  <c r="A86" i="33"/>
  <c r="M85" i="33"/>
  <c r="N85" i="33" s="1"/>
  <c r="A85" i="33"/>
  <c r="V84" i="33"/>
  <c r="M84" i="33"/>
  <c r="N84" i="33" s="1"/>
  <c r="A84" i="33"/>
  <c r="M83" i="33"/>
  <c r="N83" i="33" s="1"/>
  <c r="A83" i="33"/>
  <c r="M82" i="33"/>
  <c r="N82" i="33" s="1"/>
  <c r="A82" i="33"/>
  <c r="N81" i="33"/>
  <c r="M81" i="33"/>
  <c r="A81" i="33"/>
  <c r="M80" i="33"/>
  <c r="N80" i="33" s="1"/>
  <c r="A80" i="33"/>
  <c r="N79" i="33"/>
  <c r="M79" i="33"/>
  <c r="A79" i="33"/>
  <c r="N78" i="33"/>
  <c r="M78" i="33"/>
  <c r="A78" i="33"/>
  <c r="N77" i="33"/>
  <c r="M77" i="33"/>
  <c r="A77" i="33"/>
  <c r="N76" i="33"/>
  <c r="M76" i="33"/>
  <c r="A76" i="33"/>
  <c r="N75" i="33"/>
  <c r="M75" i="33"/>
  <c r="A75" i="33"/>
  <c r="M74" i="33"/>
  <c r="N74" i="33" s="1"/>
  <c r="A74" i="33"/>
  <c r="M73" i="33"/>
  <c r="N73" i="33" s="1"/>
  <c r="A73" i="33"/>
  <c r="M72" i="33"/>
  <c r="N72" i="33" s="1"/>
  <c r="A72" i="33"/>
  <c r="N71" i="33"/>
  <c r="M71" i="33"/>
  <c r="A71" i="33"/>
  <c r="M70" i="33"/>
  <c r="N70" i="33" s="1"/>
  <c r="A70" i="33"/>
  <c r="N69" i="33"/>
  <c r="M69" i="33"/>
  <c r="A69" i="33"/>
  <c r="N68" i="33"/>
  <c r="M68" i="33"/>
  <c r="A68" i="33"/>
  <c r="M67" i="33"/>
  <c r="N67" i="33" s="1"/>
  <c r="A67" i="33"/>
  <c r="M66" i="33"/>
  <c r="N66" i="33" s="1"/>
  <c r="A66" i="33"/>
  <c r="M65" i="33"/>
  <c r="N65" i="33" s="1"/>
  <c r="A65" i="33"/>
  <c r="M64" i="33"/>
  <c r="N64" i="33" s="1"/>
  <c r="A64" i="33"/>
  <c r="N63" i="33"/>
  <c r="M63" i="33"/>
  <c r="A63" i="33"/>
  <c r="N62" i="33"/>
  <c r="M62" i="33"/>
  <c r="A62" i="33"/>
  <c r="M61" i="33"/>
  <c r="N61" i="33" s="1"/>
  <c r="A61" i="33"/>
  <c r="M60" i="33"/>
  <c r="N60" i="33" s="1"/>
  <c r="A60" i="33"/>
  <c r="N59" i="33"/>
  <c r="M59" i="33"/>
  <c r="A59" i="33"/>
  <c r="N58" i="33"/>
  <c r="M58" i="33"/>
  <c r="A58" i="33"/>
  <c r="M57" i="33"/>
  <c r="N57" i="33" s="1"/>
  <c r="A57" i="33"/>
  <c r="M56" i="33"/>
  <c r="N56" i="33" s="1"/>
  <c r="A56" i="33"/>
  <c r="M55" i="33"/>
  <c r="N55" i="33" s="1"/>
  <c r="A55" i="33"/>
  <c r="M54" i="33"/>
  <c r="N54" i="33" s="1"/>
  <c r="A54" i="33"/>
  <c r="N53" i="33"/>
  <c r="M53" i="33"/>
  <c r="A53" i="33"/>
  <c r="M52" i="33"/>
  <c r="N52" i="33" s="1"/>
  <c r="A52" i="33"/>
  <c r="N51" i="33"/>
  <c r="M51" i="33"/>
  <c r="A51" i="33"/>
  <c r="M50" i="33"/>
  <c r="N50" i="33" s="1"/>
  <c r="A50" i="33"/>
  <c r="M48" i="33"/>
  <c r="N48" i="33" s="1"/>
  <c r="A48" i="33"/>
  <c r="M47" i="33"/>
  <c r="N47" i="33" s="1"/>
  <c r="A47" i="33"/>
  <c r="N46" i="33"/>
  <c r="M46" i="33"/>
  <c r="A46" i="33"/>
  <c r="N45" i="33"/>
  <c r="M45" i="33"/>
  <c r="A45" i="33"/>
  <c r="M44" i="33"/>
  <c r="N44" i="33" s="1"/>
  <c r="A44" i="33"/>
  <c r="M43" i="33"/>
  <c r="N43" i="33" s="1"/>
  <c r="A43" i="33"/>
  <c r="M42" i="33"/>
  <c r="N42" i="33" s="1"/>
  <c r="A42" i="33"/>
  <c r="N40" i="33"/>
  <c r="M40" i="33"/>
  <c r="A40" i="33"/>
  <c r="M39" i="33"/>
  <c r="N39" i="33" s="1"/>
  <c r="A39" i="33"/>
  <c r="N38" i="33"/>
  <c r="M38" i="33"/>
  <c r="A38" i="33"/>
  <c r="U36" i="33"/>
  <c r="T36" i="33"/>
  <c r="N36" i="33"/>
  <c r="M36" i="33"/>
  <c r="A36" i="33"/>
  <c r="N35" i="33"/>
  <c r="M35" i="33"/>
  <c r="A35" i="33"/>
  <c r="M34" i="33"/>
  <c r="N34" i="33" s="1"/>
  <c r="A34" i="33"/>
  <c r="M32" i="33"/>
  <c r="N32" i="33" s="1"/>
  <c r="A32" i="33"/>
  <c r="T31" i="33"/>
  <c r="M31" i="33"/>
  <c r="N31" i="33" s="1"/>
  <c r="M30" i="33"/>
  <c r="N30" i="33" s="1"/>
  <c r="A30" i="33"/>
  <c r="M29" i="33"/>
  <c r="N29" i="33" s="1"/>
  <c r="M28" i="33"/>
  <c r="N28" i="33" s="1"/>
  <c r="A28" i="33"/>
  <c r="N27" i="33"/>
  <c r="M27" i="33"/>
  <c r="D27" i="33"/>
  <c r="D28" i="33" s="1"/>
  <c r="M26" i="33"/>
  <c r="N26" i="33" s="1"/>
  <c r="F26" i="33"/>
  <c r="A26" i="33"/>
  <c r="G25" i="33"/>
  <c r="G26" i="33" s="1"/>
  <c r="M24" i="33"/>
  <c r="N24" i="33" s="1"/>
  <c r="M23" i="33"/>
  <c r="N23" i="33" s="1"/>
  <c r="G23" i="33"/>
  <c r="G24" i="33" s="1"/>
  <c r="M22" i="33"/>
  <c r="G22" i="33"/>
  <c r="G21" i="33"/>
  <c r="G19" i="33"/>
  <c r="G20" i="33" s="1"/>
  <c r="G18" i="33"/>
  <c r="G17" i="33"/>
  <c r="G16" i="33"/>
  <c r="G15" i="33"/>
  <c r="G13" i="33"/>
  <c r="G14" i="33" s="1"/>
  <c r="G12" i="33"/>
  <c r="G11" i="33"/>
  <c r="H10" i="33"/>
  <c r="G10" i="33"/>
  <c r="I10" i="33" s="1"/>
  <c r="J10" i="33" s="1"/>
  <c r="H11" i="33" s="1"/>
  <c r="I11" i="33" s="1"/>
  <c r="E7" i="33"/>
  <c r="D5" i="33"/>
  <c r="F2" i="33"/>
  <c r="O65" i="32"/>
  <c r="L65" i="32"/>
  <c r="I65" i="32"/>
  <c r="O64" i="32"/>
  <c r="L64" i="32"/>
  <c r="I64" i="32"/>
  <c r="L63" i="32"/>
  <c r="O63" i="32" s="1"/>
  <c r="I63" i="32"/>
  <c r="L62" i="32"/>
  <c r="O62" i="32" s="1"/>
  <c r="I62" i="32"/>
  <c r="O61" i="32"/>
  <c r="L61" i="32"/>
  <c r="I61" i="32"/>
  <c r="L60" i="32"/>
  <c r="O60" i="32" s="1"/>
  <c r="I60" i="32"/>
  <c r="L59" i="32"/>
  <c r="O59" i="32" s="1"/>
  <c r="I59" i="32"/>
  <c r="O58" i="32"/>
  <c r="L58" i="32"/>
  <c r="I58" i="32"/>
  <c r="O57" i="32"/>
  <c r="L57" i="32"/>
  <c r="I57" i="32"/>
  <c r="O56" i="32"/>
  <c r="L56" i="32"/>
  <c r="I56" i="32"/>
  <c r="L55" i="32"/>
  <c r="O55" i="32" s="1"/>
  <c r="I55" i="32"/>
  <c r="L54" i="32"/>
  <c r="O54" i="32" s="1"/>
  <c r="I54" i="32"/>
  <c r="O53" i="32"/>
  <c r="L53" i="32"/>
  <c r="I53" i="32"/>
  <c r="L52" i="32"/>
  <c r="O52" i="32" s="1"/>
  <c r="I52" i="32"/>
  <c r="L51" i="32"/>
  <c r="O51" i="32" s="1"/>
  <c r="I51" i="32"/>
  <c r="O50" i="32"/>
  <c r="L50" i="32"/>
  <c r="I50" i="32"/>
  <c r="O49" i="32"/>
  <c r="L49" i="32"/>
  <c r="I49" i="32"/>
  <c r="O48" i="32"/>
  <c r="L48" i="32"/>
  <c r="I48" i="32"/>
  <c r="L47" i="32"/>
  <c r="O47" i="32" s="1"/>
  <c r="I47" i="32"/>
  <c r="L46" i="32"/>
  <c r="O46" i="32" s="1"/>
  <c r="I46" i="32"/>
  <c r="O45" i="32"/>
  <c r="L45" i="32"/>
  <c r="I45" i="32"/>
  <c r="L44" i="32"/>
  <c r="O44" i="32" s="1"/>
  <c r="I44" i="32"/>
  <c r="L43" i="32"/>
  <c r="O43" i="32" s="1"/>
  <c r="I43" i="32"/>
  <c r="O42" i="32"/>
  <c r="L42" i="32"/>
  <c r="I42" i="32"/>
  <c r="O41" i="32"/>
  <c r="L41" i="32"/>
  <c r="I41" i="32"/>
  <c r="O40" i="32"/>
  <c r="L40" i="32"/>
  <c r="I40" i="32"/>
  <c r="L39" i="32"/>
  <c r="O39" i="32" s="1"/>
  <c r="I39" i="32"/>
  <c r="L38" i="32"/>
  <c r="O38" i="32" s="1"/>
  <c r="I38" i="32"/>
  <c r="O37" i="32"/>
  <c r="L37" i="32"/>
  <c r="I37" i="32"/>
  <c r="L36" i="32"/>
  <c r="O36" i="32" s="1"/>
  <c r="I36" i="32"/>
  <c r="O35" i="32"/>
  <c r="L35" i="32"/>
  <c r="O34" i="32"/>
  <c r="L34" i="32"/>
  <c r="O33" i="32"/>
  <c r="L33" i="32"/>
  <c r="O32" i="32"/>
  <c r="L32" i="32"/>
  <c r="L31" i="32"/>
  <c r="O31" i="32" s="1"/>
  <c r="L30" i="32"/>
  <c r="O30" i="32" s="1"/>
  <c r="O29" i="32"/>
  <c r="L29" i="32"/>
  <c r="L28" i="32"/>
  <c r="O28" i="32" s="1"/>
  <c r="L27" i="32"/>
  <c r="O27" i="32" s="1"/>
  <c r="O26" i="32"/>
  <c r="L26" i="32"/>
  <c r="O25" i="32"/>
  <c r="L25" i="32"/>
  <c r="O24" i="32"/>
  <c r="L24" i="32"/>
  <c r="L23" i="32"/>
  <c r="O23" i="32" s="1"/>
  <c r="L22" i="32"/>
  <c r="L21" i="32"/>
  <c r="L20" i="32"/>
  <c r="L19" i="32"/>
  <c r="L18" i="32"/>
  <c r="K18" i="32"/>
  <c r="M18" i="32" s="1"/>
  <c r="K19" i="32" s="1"/>
  <c r="M19" i="32" s="1"/>
  <c r="K20" i="32" s="1"/>
  <c r="M20" i="32" s="1"/>
  <c r="K21" i="32" s="1"/>
  <c r="M21" i="32" s="1"/>
  <c r="K22" i="32" s="1"/>
  <c r="M22" i="32" s="1"/>
  <c r="K23" i="32" s="1"/>
  <c r="M23" i="32" s="1"/>
  <c r="K24" i="32" s="1"/>
  <c r="M24" i="32" s="1"/>
  <c r="K25" i="32" s="1"/>
  <c r="M25" i="32" s="1"/>
  <c r="K26" i="32" s="1"/>
  <c r="M26" i="32" s="1"/>
  <c r="K27" i="32" s="1"/>
  <c r="M27" i="32" s="1"/>
  <c r="K28" i="32" s="1"/>
  <c r="M28" i="32" s="1"/>
  <c r="K29" i="32" s="1"/>
  <c r="M29" i="32" s="1"/>
  <c r="K30" i="32" s="1"/>
  <c r="M30" i="32" s="1"/>
  <c r="K31" i="32" s="1"/>
  <c r="M31" i="32" s="1"/>
  <c r="K32" i="32" s="1"/>
  <c r="M32" i="32" s="1"/>
  <c r="K33" i="32" s="1"/>
  <c r="M33" i="32" s="1"/>
  <c r="K34" i="32" s="1"/>
  <c r="M34" i="32" s="1"/>
  <c r="K35" i="32" s="1"/>
  <c r="M35" i="32" s="1"/>
  <c r="K36" i="32" s="1"/>
  <c r="M36" i="32" s="1"/>
  <c r="K37" i="32" s="1"/>
  <c r="M37" i="32" s="1"/>
  <c r="K38" i="32" s="1"/>
  <c r="A10" i="32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9" i="32"/>
  <c r="A8" i="32"/>
  <c r="A7" i="32"/>
  <c r="G5" i="32"/>
  <c r="F5" i="32"/>
  <c r="E5" i="32"/>
  <c r="D5" i="32"/>
  <c r="C5" i="32"/>
  <c r="B5" i="32"/>
  <c r="F2" i="32"/>
  <c r="N68" i="31"/>
  <c r="M68" i="31"/>
  <c r="L68" i="31"/>
  <c r="K68" i="31"/>
  <c r="N67" i="31"/>
  <c r="M67" i="31"/>
  <c r="L67" i="31"/>
  <c r="K67" i="31"/>
  <c r="N65" i="31"/>
  <c r="M65" i="31"/>
  <c r="L65" i="31"/>
  <c r="K65" i="31"/>
  <c r="N64" i="31"/>
  <c r="M64" i="31"/>
  <c r="L64" i="31"/>
  <c r="K64" i="31"/>
  <c r="M57" i="31"/>
  <c r="L57" i="31"/>
  <c r="K57" i="31"/>
  <c r="E57" i="31"/>
  <c r="D57" i="31"/>
  <c r="M56" i="31"/>
  <c r="L56" i="31"/>
  <c r="K56" i="31"/>
  <c r="E56" i="31"/>
  <c r="D56" i="31"/>
  <c r="M55" i="31"/>
  <c r="L55" i="31"/>
  <c r="K55" i="31"/>
  <c r="E55" i="31"/>
  <c r="D55" i="31"/>
  <c r="M54" i="31"/>
  <c r="L54" i="31"/>
  <c r="K54" i="31"/>
  <c r="E54" i="31"/>
  <c r="D54" i="31"/>
  <c r="M53" i="31"/>
  <c r="L53" i="31"/>
  <c r="K53" i="31"/>
  <c r="E53" i="31"/>
  <c r="D53" i="31"/>
  <c r="M52" i="31"/>
  <c r="L52" i="31"/>
  <c r="K52" i="31"/>
  <c r="E52" i="31"/>
  <c r="D52" i="31"/>
  <c r="E50" i="31"/>
  <c r="D50" i="31"/>
  <c r="F48" i="31"/>
  <c r="F47" i="31"/>
  <c r="E47" i="31"/>
  <c r="D47" i="31"/>
  <c r="F46" i="31"/>
  <c r="E46" i="31"/>
  <c r="D46" i="31"/>
  <c r="M44" i="31"/>
  <c r="L44" i="31"/>
  <c r="K44" i="31"/>
  <c r="D44" i="31"/>
  <c r="M43" i="31"/>
  <c r="L43" i="31"/>
  <c r="K43" i="31"/>
  <c r="D43" i="31"/>
  <c r="D42" i="31"/>
  <c r="M41" i="31"/>
  <c r="L41" i="31"/>
  <c r="K41" i="31"/>
  <c r="D41" i="31"/>
  <c r="M40" i="31"/>
  <c r="L40" i="31"/>
  <c r="K40" i="31"/>
  <c r="D40" i="31"/>
  <c r="AP34" i="31"/>
  <c r="Z34" i="31"/>
  <c r="J34" i="31"/>
  <c r="AP33" i="31"/>
  <c r="AC33" i="31"/>
  <c r="P33" i="31"/>
  <c r="C33" i="31"/>
  <c r="AX31" i="31"/>
  <c r="AX34" i="31" s="1"/>
  <c r="AH31" i="31"/>
  <c r="AH34" i="31" s="1"/>
  <c r="AA31" i="31"/>
  <c r="AA34" i="31" s="1"/>
  <c r="Z31" i="31"/>
  <c r="Y31" i="31"/>
  <c r="Y34" i="31" s="1"/>
  <c r="R31" i="31"/>
  <c r="R34" i="31" s="1"/>
  <c r="Q31" i="31"/>
  <c r="Q34" i="31" s="1"/>
  <c r="J31" i="31"/>
  <c r="I31" i="31"/>
  <c r="I34" i="31" s="1"/>
  <c r="AP30" i="31"/>
  <c r="AP17" i="31" s="1"/>
  <c r="AP31" i="31" s="1"/>
  <c r="AC30" i="31"/>
  <c r="P30" i="31"/>
  <c r="C30" i="31"/>
  <c r="C29" i="31"/>
  <c r="C28" i="31"/>
  <c r="AP27" i="31"/>
  <c r="AC27" i="31"/>
  <c r="P27" i="31"/>
  <c r="C27" i="31"/>
  <c r="AP26" i="31"/>
  <c r="AC26" i="31"/>
  <c r="P26" i="31"/>
  <c r="C26" i="31"/>
  <c r="AP25" i="31"/>
  <c r="AC25" i="31"/>
  <c r="P25" i="31"/>
  <c r="P23" i="31" s="1"/>
  <c r="C25" i="31"/>
  <c r="AP24" i="31"/>
  <c r="AC24" i="31"/>
  <c r="P24" i="31"/>
  <c r="C24" i="31"/>
  <c r="BB23" i="31"/>
  <c r="BA23" i="31"/>
  <c r="AZ23" i="31"/>
  <c r="AZ17" i="31" s="1"/>
  <c r="AY23" i="31"/>
  <c r="AX23" i="31"/>
  <c r="AW23" i="31"/>
  <c r="AV23" i="31"/>
  <c r="AU23" i="31"/>
  <c r="AT23" i="31"/>
  <c r="AS23" i="31"/>
  <c r="AR23" i="31"/>
  <c r="AR17" i="31" s="1"/>
  <c r="AQ23" i="31"/>
  <c r="AP23" i="31"/>
  <c r="AO23" i="31"/>
  <c r="AN23" i="31"/>
  <c r="AM23" i="31"/>
  <c r="AL23" i="31"/>
  <c r="AK23" i="31"/>
  <c r="AJ23" i="31"/>
  <c r="AJ17" i="31" s="1"/>
  <c r="AI23" i="31"/>
  <c r="AH23" i="31"/>
  <c r="AG23" i="31"/>
  <c r="AF23" i="31"/>
  <c r="AE23" i="31"/>
  <c r="AD23" i="31"/>
  <c r="AC23" i="31"/>
  <c r="AB23" i="31"/>
  <c r="AB17" i="31" s="1"/>
  <c r="AA23" i="31"/>
  <c r="Z23" i="31"/>
  <c r="Y23" i="31"/>
  <c r="X23" i="31"/>
  <c r="W23" i="31"/>
  <c r="V23" i="31"/>
  <c r="U23" i="31"/>
  <c r="T23" i="31"/>
  <c r="T17" i="31" s="1"/>
  <c r="S23" i="31"/>
  <c r="R23" i="31"/>
  <c r="Q23" i="31"/>
  <c r="O23" i="31"/>
  <c r="N23" i="31"/>
  <c r="M23" i="31"/>
  <c r="M17" i="31" s="1"/>
  <c r="L23" i="31"/>
  <c r="K23" i="31"/>
  <c r="K17" i="31" s="1"/>
  <c r="J23" i="31"/>
  <c r="I23" i="31"/>
  <c r="H23" i="31"/>
  <c r="G23" i="31"/>
  <c r="F23" i="31"/>
  <c r="E23" i="31"/>
  <c r="D23" i="31"/>
  <c r="C23" i="31"/>
  <c r="AP22" i="31"/>
  <c r="AC22" i="31"/>
  <c r="P22" i="31"/>
  <c r="C22" i="31"/>
  <c r="AP21" i="31"/>
  <c r="AC21" i="31"/>
  <c r="P21" i="31"/>
  <c r="P19" i="31" s="1"/>
  <c r="C21" i="31"/>
  <c r="AP20" i="31"/>
  <c r="AC20" i="31"/>
  <c r="P20" i="31"/>
  <c r="C20" i="31"/>
  <c r="BB19" i="31"/>
  <c r="BA19" i="31"/>
  <c r="BA17" i="31" s="1"/>
  <c r="AZ19" i="31"/>
  <c r="AY19" i="31"/>
  <c r="AY17" i="31" s="1"/>
  <c r="AX19" i="31"/>
  <c r="AW19" i="31"/>
  <c r="AV19" i="31"/>
  <c r="AU19" i="31"/>
  <c r="AT19" i="31"/>
  <c r="AS19" i="31"/>
  <c r="AS17" i="31" s="1"/>
  <c r="AR19" i="31"/>
  <c r="AQ19" i="31"/>
  <c r="AP19" i="31"/>
  <c r="AO19" i="31"/>
  <c r="AN19" i="31"/>
  <c r="AM19" i="31"/>
  <c r="AL19" i="31"/>
  <c r="AK19" i="31"/>
  <c r="AK17" i="31" s="1"/>
  <c r="AJ19" i="31"/>
  <c r="AI19" i="31"/>
  <c r="AI17" i="31" s="1"/>
  <c r="AH19" i="31"/>
  <c r="AG19" i="31"/>
  <c r="AF19" i="31"/>
  <c r="AE19" i="31"/>
  <c r="AD19" i="31"/>
  <c r="AC19" i="31"/>
  <c r="AC17" i="31" s="1"/>
  <c r="AB19" i="31"/>
  <c r="AA19" i="31"/>
  <c r="AA17" i="31" s="1"/>
  <c r="Z19" i="31"/>
  <c r="Y19" i="31"/>
  <c r="X19" i="31"/>
  <c r="W19" i="31"/>
  <c r="V19" i="31"/>
  <c r="U19" i="31"/>
  <c r="U17" i="31" s="1"/>
  <c r="T19" i="31"/>
  <c r="S19" i="31"/>
  <c r="R19" i="31"/>
  <c r="Q19" i="31"/>
  <c r="O19" i="31"/>
  <c r="O17" i="31" s="1"/>
  <c r="N19" i="31"/>
  <c r="M19" i="31"/>
  <c r="L19" i="31"/>
  <c r="L17" i="31" s="1"/>
  <c r="K19" i="31"/>
  <c r="J19" i="31"/>
  <c r="I19" i="31"/>
  <c r="H19" i="31"/>
  <c r="G19" i="31"/>
  <c r="G17" i="31" s="1"/>
  <c r="F19" i="31"/>
  <c r="E19" i="31"/>
  <c r="D19" i="31"/>
  <c r="D17" i="31" s="1"/>
  <c r="AP18" i="31"/>
  <c r="AC18" i="31"/>
  <c r="P18" i="31"/>
  <c r="C18" i="31"/>
  <c r="BB17" i="31"/>
  <c r="AX17" i="31"/>
  <c r="AW17" i="31"/>
  <c r="AV17" i="31"/>
  <c r="AU17" i="31"/>
  <c r="AT17" i="31"/>
  <c r="AO17" i="31"/>
  <c r="AN17" i="31"/>
  <c r="AM17" i="31"/>
  <c r="AL17" i="31"/>
  <c r="AH17" i="31"/>
  <c r="AG17" i="31"/>
  <c r="AF17" i="31"/>
  <c r="AE17" i="31"/>
  <c r="AD17" i="31"/>
  <c r="Z17" i="31"/>
  <c r="Y17" i="31"/>
  <c r="X17" i="31"/>
  <c r="W17" i="31"/>
  <c r="V17" i="31"/>
  <c r="S17" i="31"/>
  <c r="R17" i="31"/>
  <c r="Q17" i="31"/>
  <c r="N17" i="31"/>
  <c r="J17" i="31"/>
  <c r="I17" i="31"/>
  <c r="H17" i="31"/>
  <c r="F17" i="31"/>
  <c r="E17" i="31"/>
  <c r="AP16" i="31"/>
  <c r="AC16" i="31"/>
  <c r="P16" i="31"/>
  <c r="C16" i="31"/>
  <c r="AP15" i="31"/>
  <c r="AC15" i="31"/>
  <c r="P15" i="31"/>
  <c r="P13" i="31" s="1"/>
  <c r="C15" i="31"/>
  <c r="AP14" i="31"/>
  <c r="AC14" i="31"/>
  <c r="P14" i="31"/>
  <c r="C14" i="31"/>
  <c r="BB13" i="31"/>
  <c r="BA13" i="31"/>
  <c r="BA31" i="31" s="1"/>
  <c r="BA34" i="31" s="1"/>
  <c r="AZ13" i="31"/>
  <c r="N66" i="31" s="1"/>
  <c r="AY13" i="31"/>
  <c r="AX13" i="31"/>
  <c r="AW13" i="31"/>
  <c r="AV13" i="31"/>
  <c r="AU13" i="31"/>
  <c r="AT13" i="31"/>
  <c r="L66" i="31" s="1"/>
  <c r="AS13" i="31"/>
  <c r="AS31" i="31" s="1"/>
  <c r="AS34" i="31" s="1"/>
  <c r="AR13" i="31"/>
  <c r="AQ13" i="31"/>
  <c r="AP13" i="31"/>
  <c r="AO13" i="31"/>
  <c r="AN13" i="31"/>
  <c r="AM13" i="31"/>
  <c r="AL13" i="31"/>
  <c r="AK13" i="31"/>
  <c r="AK31" i="31" s="1"/>
  <c r="AK34" i="31" s="1"/>
  <c r="AJ13" i="31"/>
  <c r="AI13" i="31"/>
  <c r="AH13" i="31"/>
  <c r="AG13" i="31"/>
  <c r="AF13" i="31"/>
  <c r="AE13" i="31"/>
  <c r="AD13" i="31"/>
  <c r="AC13" i="31"/>
  <c r="AB13" i="31"/>
  <c r="AA13" i="31"/>
  <c r="Z13" i="31"/>
  <c r="Y13" i="31"/>
  <c r="X13" i="31"/>
  <c r="W13" i="31"/>
  <c r="V13" i="31"/>
  <c r="U13" i="31"/>
  <c r="U31" i="31" s="1"/>
  <c r="U34" i="31" s="1"/>
  <c r="T13" i="31"/>
  <c r="S13" i="31"/>
  <c r="R13" i="31"/>
  <c r="Q13" i="31"/>
  <c r="O13" i="31"/>
  <c r="N13" i="31"/>
  <c r="M13" i="31"/>
  <c r="M31" i="31" s="1"/>
  <c r="M34" i="31" s="1"/>
  <c r="L13" i="31"/>
  <c r="K13" i="31"/>
  <c r="K31" i="31" s="1"/>
  <c r="K34" i="31" s="1"/>
  <c r="J13" i="31"/>
  <c r="I13" i="31"/>
  <c r="H13" i="31"/>
  <c r="G13" i="31"/>
  <c r="F13" i="31"/>
  <c r="E13" i="31"/>
  <c r="D13" i="31"/>
  <c r="C13" i="31"/>
  <c r="AP12" i="31"/>
  <c r="AC12" i="31"/>
  <c r="P12" i="31"/>
  <c r="C12" i="31"/>
  <c r="AP11" i="31"/>
  <c r="AC11" i="31"/>
  <c r="AC10" i="31" s="1"/>
  <c r="P11" i="31"/>
  <c r="P10" i="31" s="1"/>
  <c r="C11" i="31"/>
  <c r="C10" i="31" s="1"/>
  <c r="BB10" i="31"/>
  <c r="BB31" i="31" s="1"/>
  <c r="BB34" i="31" s="1"/>
  <c r="BA10" i="31"/>
  <c r="AZ10" i="31"/>
  <c r="N63" i="31" s="1"/>
  <c r="AY10" i="31"/>
  <c r="AX10" i="31"/>
  <c r="AW10" i="31"/>
  <c r="AV10" i="31"/>
  <c r="AU10" i="31"/>
  <c r="AT10" i="31"/>
  <c r="AT31" i="31" s="1"/>
  <c r="AT34" i="31" s="1"/>
  <c r="AS10" i="31"/>
  <c r="AR10" i="31"/>
  <c r="AQ10" i="31"/>
  <c r="AP10" i="31"/>
  <c r="AO10" i="31"/>
  <c r="AN10" i="31"/>
  <c r="AM10" i="31"/>
  <c r="AL10" i="31"/>
  <c r="AL31" i="31" s="1"/>
  <c r="AL34" i="31" s="1"/>
  <c r="AK10" i="31"/>
  <c r="AJ10" i="31"/>
  <c r="AI10" i="31"/>
  <c r="AH10" i="31"/>
  <c r="AG10" i="31"/>
  <c r="AF10" i="31"/>
  <c r="AF31" i="31" s="1"/>
  <c r="AF34" i="31" s="1"/>
  <c r="AE10" i="31"/>
  <c r="AD10" i="31"/>
  <c r="AD31" i="31" s="1"/>
  <c r="AB10" i="31"/>
  <c r="AA10" i="31"/>
  <c r="AA6" i="31" s="1"/>
  <c r="Z10" i="31"/>
  <c r="Y10" i="31"/>
  <c r="Y6" i="31" s="1"/>
  <c r="X10" i="31"/>
  <c r="W10" i="31"/>
  <c r="V10" i="31"/>
  <c r="V31" i="31" s="1"/>
  <c r="V34" i="31" s="1"/>
  <c r="U10" i="31"/>
  <c r="T10" i="31"/>
  <c r="S10" i="31"/>
  <c r="S6" i="31" s="1"/>
  <c r="R10" i="31"/>
  <c r="Q10" i="31"/>
  <c r="Q6" i="31" s="1"/>
  <c r="O10" i="31"/>
  <c r="N10" i="31"/>
  <c r="N31" i="31" s="1"/>
  <c r="N34" i="31" s="1"/>
  <c r="M10" i="31"/>
  <c r="L10" i="31"/>
  <c r="K10" i="31"/>
  <c r="K6" i="31" s="1"/>
  <c r="J10" i="31"/>
  <c r="I10" i="31"/>
  <c r="I6" i="31" s="1"/>
  <c r="H10" i="31"/>
  <c r="G10" i="31"/>
  <c r="F10" i="31"/>
  <c r="F31" i="31" s="1"/>
  <c r="F34" i="31" s="1"/>
  <c r="E10" i="31"/>
  <c r="D10" i="31"/>
  <c r="AP8" i="31"/>
  <c r="BB6" i="31"/>
  <c r="BA6" i="31"/>
  <c r="AZ6" i="31"/>
  <c r="AX6" i="31"/>
  <c r="AT6" i="31"/>
  <c r="AS6" i="31"/>
  <c r="AR6" i="31"/>
  <c r="AL6" i="31"/>
  <c r="AK6" i="31"/>
  <c r="AJ6" i="31"/>
  <c r="AH6" i="31"/>
  <c r="AF6" i="31"/>
  <c r="AD6" i="31"/>
  <c r="AC6" i="31"/>
  <c r="AB6" i="31"/>
  <c r="Z6" i="31"/>
  <c r="V6" i="31"/>
  <c r="U6" i="31"/>
  <c r="T6" i="31"/>
  <c r="R6" i="31"/>
  <c r="P6" i="31"/>
  <c r="N6" i="31"/>
  <c r="M6" i="31"/>
  <c r="L6" i="31"/>
  <c r="J6" i="31"/>
  <c r="F6" i="31"/>
  <c r="E6" i="31"/>
  <c r="D6" i="31"/>
  <c r="AP5" i="31"/>
  <c r="AP6" i="31" s="1"/>
  <c r="AC5" i="31"/>
  <c r="P5" i="31"/>
  <c r="C5" i="31"/>
  <c r="H55" i="29"/>
  <c r="G55" i="29"/>
  <c r="F55" i="29"/>
  <c r="E55" i="29"/>
  <c r="D55" i="29"/>
  <c r="AD30" i="29" s="1"/>
  <c r="AD31" i="29" s="1"/>
  <c r="H54" i="29"/>
  <c r="G54" i="29"/>
  <c r="F54" i="29"/>
  <c r="E54" i="29"/>
  <c r="D54" i="29"/>
  <c r="H53" i="29"/>
  <c r="G53" i="29"/>
  <c r="F53" i="29"/>
  <c r="E53" i="29"/>
  <c r="D53" i="29"/>
  <c r="I52" i="29"/>
  <c r="H51" i="29"/>
  <c r="G51" i="29"/>
  <c r="F51" i="29"/>
  <c r="E51" i="29"/>
  <c r="D51" i="29"/>
  <c r="I50" i="29"/>
  <c r="J50" i="29" s="1"/>
  <c r="J51" i="29" s="1"/>
  <c r="H49" i="29"/>
  <c r="G49" i="29"/>
  <c r="F49" i="29"/>
  <c r="E49" i="29"/>
  <c r="D49" i="29"/>
  <c r="I48" i="29"/>
  <c r="J48" i="29" s="1"/>
  <c r="J49" i="29" s="1"/>
  <c r="AF41" i="29"/>
  <c r="AG41" i="29" s="1"/>
  <c r="AH41" i="29" s="1"/>
  <c r="AI41" i="29" s="1"/>
  <c r="AJ41" i="29" s="1"/>
  <c r="AK41" i="29" s="1"/>
  <c r="AL41" i="29" s="1"/>
  <c r="AM41" i="29" s="1"/>
  <c r="AN41" i="29" s="1"/>
  <c r="AO41" i="29" s="1"/>
  <c r="AP41" i="29" s="1"/>
  <c r="AQ41" i="29" s="1"/>
  <c r="AR41" i="29" s="1"/>
  <c r="J41" i="29"/>
  <c r="K41" i="29" s="1"/>
  <c r="L41" i="29" s="1"/>
  <c r="M41" i="29" s="1"/>
  <c r="N41" i="29" s="1"/>
  <c r="O41" i="29" s="1"/>
  <c r="P41" i="29" s="1"/>
  <c r="Q41" i="29" s="1"/>
  <c r="R41" i="29" s="1"/>
  <c r="S41" i="29" s="1"/>
  <c r="T41" i="29" s="1"/>
  <c r="U41" i="29" s="1"/>
  <c r="V41" i="29" s="1"/>
  <c r="W41" i="29" s="1"/>
  <c r="X41" i="29" s="1"/>
  <c r="Y41" i="29" s="1"/>
  <c r="Z41" i="29" s="1"/>
  <c r="AA41" i="29" s="1"/>
  <c r="AB41" i="29" s="1"/>
  <c r="AC41" i="29" s="1"/>
  <c r="AD41" i="29" s="1"/>
  <c r="AE41" i="29" s="1"/>
  <c r="G41" i="29"/>
  <c r="H41" i="29" s="1"/>
  <c r="I41" i="29" s="1"/>
  <c r="F41" i="29"/>
  <c r="E41" i="29"/>
  <c r="J40" i="29"/>
  <c r="K40" i="29" s="1"/>
  <c r="L40" i="29" s="1"/>
  <c r="M40" i="29" s="1"/>
  <c r="N40" i="29" s="1"/>
  <c r="O40" i="29" s="1"/>
  <c r="P40" i="29" s="1"/>
  <c r="Q40" i="29" s="1"/>
  <c r="R40" i="29" s="1"/>
  <c r="S40" i="29" s="1"/>
  <c r="T40" i="29" s="1"/>
  <c r="U40" i="29" s="1"/>
  <c r="V40" i="29" s="1"/>
  <c r="W40" i="29" s="1"/>
  <c r="X40" i="29" s="1"/>
  <c r="Y40" i="29" s="1"/>
  <c r="Z40" i="29" s="1"/>
  <c r="AA40" i="29" s="1"/>
  <c r="AB40" i="29" s="1"/>
  <c r="AC40" i="29" s="1"/>
  <c r="AD40" i="29" s="1"/>
  <c r="AE40" i="29" s="1"/>
  <c r="AF40" i="29" s="1"/>
  <c r="AG40" i="29" s="1"/>
  <c r="AH40" i="29" s="1"/>
  <c r="AI40" i="29" s="1"/>
  <c r="AJ40" i="29" s="1"/>
  <c r="AK40" i="29" s="1"/>
  <c r="AL40" i="29" s="1"/>
  <c r="AM40" i="29" s="1"/>
  <c r="AN40" i="29" s="1"/>
  <c r="AO40" i="29" s="1"/>
  <c r="AP40" i="29" s="1"/>
  <c r="AQ40" i="29" s="1"/>
  <c r="AR40" i="29" s="1"/>
  <c r="G40" i="29"/>
  <c r="H40" i="29" s="1"/>
  <c r="I40" i="29" s="1"/>
  <c r="F40" i="29"/>
  <c r="E40" i="29"/>
  <c r="AR39" i="29"/>
  <c r="AP39" i="29"/>
  <c r="AM39" i="29"/>
  <c r="AL39" i="29"/>
  <c r="AJ39" i="29"/>
  <c r="AH39" i="29"/>
  <c r="AE39" i="29"/>
  <c r="AD39" i="29"/>
  <c r="AB39" i="29"/>
  <c r="Z39" i="29"/>
  <c r="V39" i="29"/>
  <c r="T39" i="29"/>
  <c r="R39" i="29"/>
  <c r="P39" i="29"/>
  <c r="N39" i="29"/>
  <c r="L39" i="29"/>
  <c r="J39" i="29"/>
  <c r="F39" i="29"/>
  <c r="D39" i="29"/>
  <c r="AR38" i="29"/>
  <c r="AQ38" i="29"/>
  <c r="AQ39" i="29" s="1"/>
  <c r="AP38" i="29"/>
  <c r="AO38" i="29"/>
  <c r="AO39" i="29" s="1"/>
  <c r="AN38" i="29"/>
  <c r="AN39" i="29" s="1"/>
  <c r="AM38" i="29"/>
  <c r="AL38" i="29"/>
  <c r="AK38" i="29"/>
  <c r="AK39" i="29" s="1"/>
  <c r="AJ38" i="29"/>
  <c r="AI38" i="29"/>
  <c r="AI39" i="29" s="1"/>
  <c r="AH38" i="29"/>
  <c r="AG38" i="29"/>
  <c r="AG39" i="29" s="1"/>
  <c r="AF38" i="29"/>
  <c r="AF39" i="29" s="1"/>
  <c r="AE38" i="29"/>
  <c r="AD38" i="29"/>
  <c r="AC38" i="29"/>
  <c r="AC39" i="29" s="1"/>
  <c r="AB38" i="29"/>
  <c r="AA38" i="29"/>
  <c r="AA39" i="29" s="1"/>
  <c r="Z38" i="29"/>
  <c r="Y38" i="29"/>
  <c r="Y39" i="29" s="1"/>
  <c r="X38" i="29"/>
  <c r="X39" i="29" s="1"/>
  <c r="W38" i="29"/>
  <c r="W39" i="29" s="1"/>
  <c r="V38" i="29"/>
  <c r="U38" i="29"/>
  <c r="U39" i="29" s="1"/>
  <c r="T38" i="29"/>
  <c r="S38" i="29"/>
  <c r="S39" i="29" s="1"/>
  <c r="R38" i="29"/>
  <c r="Q38" i="29"/>
  <c r="Q39" i="29" s="1"/>
  <c r="P38" i="29"/>
  <c r="O38" i="29"/>
  <c r="O39" i="29" s="1"/>
  <c r="N38" i="29"/>
  <c r="M38" i="29"/>
  <c r="M39" i="29" s="1"/>
  <c r="L38" i="29"/>
  <c r="K38" i="29"/>
  <c r="K39" i="29" s="1"/>
  <c r="J38" i="29"/>
  <c r="I38" i="29"/>
  <c r="I39" i="29" s="1"/>
  <c r="H38" i="29"/>
  <c r="H39" i="29" s="1"/>
  <c r="G38" i="29"/>
  <c r="G39" i="29" s="1"/>
  <c r="F38" i="29"/>
  <c r="E38" i="29"/>
  <c r="E39" i="29" s="1"/>
  <c r="D38" i="29"/>
  <c r="AR37" i="29"/>
  <c r="AO37" i="29"/>
  <c r="AN37" i="29"/>
  <c r="AL37" i="29"/>
  <c r="AJ37" i="29"/>
  <c r="AF37" i="29"/>
  <c r="AD37" i="29"/>
  <c r="AB37" i="29"/>
  <c r="Y37" i="29"/>
  <c r="X37" i="29"/>
  <c r="V37" i="29"/>
  <c r="T37" i="29"/>
  <c r="P37" i="29"/>
  <c r="N37" i="29"/>
  <c r="L37" i="29"/>
  <c r="H37" i="29"/>
  <c r="F37" i="29"/>
  <c r="D37" i="29"/>
  <c r="AR36" i="29"/>
  <c r="AQ36" i="29"/>
  <c r="AQ37" i="29" s="1"/>
  <c r="AP36" i="29"/>
  <c r="AP37" i="29" s="1"/>
  <c r="AO36" i="29"/>
  <c r="AN36" i="29"/>
  <c r="AM36" i="29"/>
  <c r="AM37" i="29" s="1"/>
  <c r="AL36" i="29"/>
  <c r="AK36" i="29"/>
  <c r="AK37" i="29" s="1"/>
  <c r="AJ36" i="29"/>
  <c r="AI36" i="29"/>
  <c r="AI37" i="29" s="1"/>
  <c r="AH36" i="29"/>
  <c r="AH37" i="29" s="1"/>
  <c r="AG36" i="29"/>
  <c r="AG37" i="29" s="1"/>
  <c r="AF36" i="29"/>
  <c r="AE36" i="29"/>
  <c r="AE37" i="29" s="1"/>
  <c r="AD36" i="29"/>
  <c r="AC36" i="29"/>
  <c r="AC37" i="29" s="1"/>
  <c r="AB36" i="29"/>
  <c r="AA36" i="29"/>
  <c r="AA37" i="29" s="1"/>
  <c r="Z36" i="29"/>
  <c r="Z37" i="29" s="1"/>
  <c r="Y36" i="29"/>
  <c r="X36" i="29"/>
  <c r="W36" i="29"/>
  <c r="W37" i="29" s="1"/>
  <c r="V36" i="29"/>
  <c r="U36" i="29"/>
  <c r="U37" i="29" s="1"/>
  <c r="T36" i="29"/>
  <c r="S36" i="29"/>
  <c r="S37" i="29" s="1"/>
  <c r="R36" i="29"/>
  <c r="R37" i="29" s="1"/>
  <c r="Q36" i="29"/>
  <c r="Q37" i="29" s="1"/>
  <c r="P36" i="29"/>
  <c r="O36" i="29"/>
  <c r="O37" i="29" s="1"/>
  <c r="N36" i="29"/>
  <c r="M36" i="29"/>
  <c r="M37" i="29" s="1"/>
  <c r="L36" i="29"/>
  <c r="K36" i="29"/>
  <c r="K37" i="29" s="1"/>
  <c r="J36" i="29"/>
  <c r="J37" i="29" s="1"/>
  <c r="I36" i="29"/>
  <c r="I37" i="29" s="1"/>
  <c r="H36" i="29"/>
  <c r="G36" i="29"/>
  <c r="G37" i="29" s="1"/>
  <c r="F36" i="29"/>
  <c r="E36" i="29"/>
  <c r="E37" i="29" s="1"/>
  <c r="D36" i="29"/>
  <c r="C35" i="29"/>
  <c r="AM33" i="29"/>
  <c r="AK33" i="29"/>
  <c r="AE33" i="29"/>
  <c r="AD33" i="29"/>
  <c r="AC33" i="29"/>
  <c r="W33" i="29"/>
  <c r="U33" i="29"/>
  <c r="R33" i="29"/>
  <c r="O33" i="29"/>
  <c r="N33" i="29"/>
  <c r="M33" i="29"/>
  <c r="G33" i="29"/>
  <c r="F33" i="29"/>
  <c r="E33" i="29"/>
  <c r="C33" i="29"/>
  <c r="AQ33" i="29" s="1"/>
  <c r="AR32" i="29"/>
  <c r="AR33" i="29" s="1"/>
  <c r="AQ32" i="29"/>
  <c r="AP32" i="29"/>
  <c r="AP33" i="29" s="1"/>
  <c r="AO32" i="29"/>
  <c r="AO33" i="29" s="1"/>
  <c r="AN32" i="29"/>
  <c r="AN33" i="29" s="1"/>
  <c r="AM32" i="29"/>
  <c r="AL32" i="29"/>
  <c r="AL33" i="29" s="1"/>
  <c r="AK32" i="29"/>
  <c r="AJ32" i="29"/>
  <c r="AJ33" i="29" s="1"/>
  <c r="AI32" i="29"/>
  <c r="AH32" i="29"/>
  <c r="AH33" i="29" s="1"/>
  <c r="AG32" i="29"/>
  <c r="AG33" i="29" s="1"/>
  <c r="AF32" i="29"/>
  <c r="AF33" i="29" s="1"/>
  <c r="AE32" i="29"/>
  <c r="AD32" i="29"/>
  <c r="AC32" i="29"/>
  <c r="AB32" i="29"/>
  <c r="AB33" i="29" s="1"/>
  <c r="AA32" i="29"/>
  <c r="Z32" i="29"/>
  <c r="Z33" i="29" s="1"/>
  <c r="Y32" i="29"/>
  <c r="Y33" i="29" s="1"/>
  <c r="X32" i="29"/>
  <c r="X33" i="29" s="1"/>
  <c r="W32" i="29"/>
  <c r="V32" i="29"/>
  <c r="V33" i="29" s="1"/>
  <c r="U32" i="29"/>
  <c r="T32" i="29"/>
  <c r="T33" i="29" s="1"/>
  <c r="S32" i="29"/>
  <c r="R32" i="29"/>
  <c r="Q32" i="29"/>
  <c r="Q33" i="29" s="1"/>
  <c r="P32" i="29"/>
  <c r="P33" i="29" s="1"/>
  <c r="O32" i="29"/>
  <c r="N32" i="29"/>
  <c r="M32" i="29"/>
  <c r="L32" i="29"/>
  <c r="L33" i="29" s="1"/>
  <c r="K32" i="29"/>
  <c r="J32" i="29"/>
  <c r="J33" i="29" s="1"/>
  <c r="I32" i="29"/>
  <c r="I33" i="29" s="1"/>
  <c r="H32" i="29"/>
  <c r="H33" i="29" s="1"/>
  <c r="G32" i="29"/>
  <c r="F32" i="29"/>
  <c r="E32" i="29"/>
  <c r="D32" i="29"/>
  <c r="D33" i="29" s="1"/>
  <c r="AI31" i="29"/>
  <c r="AR30" i="29"/>
  <c r="AR31" i="29" s="1"/>
  <c r="AQ30" i="29"/>
  <c r="AQ31" i="29" s="1"/>
  <c r="AP30" i="29"/>
  <c r="AP31" i="29" s="1"/>
  <c r="AI30" i="29"/>
  <c r="AB30" i="29"/>
  <c r="AB31" i="29" s="1"/>
  <c r="Z30" i="29"/>
  <c r="S30" i="29"/>
  <c r="S31" i="29" s="1"/>
  <c r="R30" i="29"/>
  <c r="R31" i="29" s="1"/>
  <c r="L30" i="29"/>
  <c r="L31" i="29" s="1"/>
  <c r="F30" i="29"/>
  <c r="F31" i="29" s="1"/>
  <c r="AR26" i="29"/>
  <c r="AR27" i="29" s="1"/>
  <c r="AK26" i="29"/>
  <c r="AK27" i="29" s="1"/>
  <c r="U26" i="29"/>
  <c r="U27" i="29" s="1"/>
  <c r="H22" i="29"/>
  <c r="G22" i="29"/>
  <c r="F22" i="29"/>
  <c r="E22" i="29"/>
  <c r="D22" i="29"/>
  <c r="J21" i="29"/>
  <c r="H21" i="29"/>
  <c r="G21" i="29"/>
  <c r="F21" i="29"/>
  <c r="E21" i="29"/>
  <c r="D21" i="29"/>
  <c r="H20" i="29"/>
  <c r="G20" i="29"/>
  <c r="F20" i="29"/>
  <c r="E20" i="29"/>
  <c r="D20" i="29"/>
  <c r="K19" i="29"/>
  <c r="J20" i="29" s="1"/>
  <c r="J19" i="29"/>
  <c r="H18" i="29"/>
  <c r="G18" i="29"/>
  <c r="F18" i="29"/>
  <c r="E18" i="29"/>
  <c r="D18" i="29"/>
  <c r="K17" i="29"/>
  <c r="J18" i="29" s="1"/>
  <c r="J17" i="29"/>
  <c r="J16" i="29"/>
  <c r="H16" i="29"/>
  <c r="G16" i="29"/>
  <c r="F16" i="29"/>
  <c r="E16" i="29"/>
  <c r="D16" i="29"/>
  <c r="J15" i="29"/>
  <c r="H15" i="29"/>
  <c r="G15" i="29"/>
  <c r="F15" i="29"/>
  <c r="E15" i="29"/>
  <c r="D15" i="29"/>
  <c r="H14" i="29"/>
  <c r="G14" i="29"/>
  <c r="F14" i="29"/>
  <c r="E14" i="29"/>
  <c r="D14" i="29"/>
  <c r="K13" i="29"/>
  <c r="J14" i="29" s="1"/>
  <c r="J13" i="29"/>
  <c r="H12" i="29"/>
  <c r="G12" i="29"/>
  <c r="F12" i="29"/>
  <c r="E12" i="29"/>
  <c r="D12" i="29"/>
  <c r="K11" i="29"/>
  <c r="J12" i="29" s="1"/>
  <c r="J11" i="29"/>
  <c r="H10" i="29"/>
  <c r="G10" i="29"/>
  <c r="F10" i="29"/>
  <c r="E10" i="29"/>
  <c r="D10" i="29"/>
  <c r="J10" i="29" s="1"/>
  <c r="C26" i="29" s="1"/>
  <c r="J9" i="29"/>
  <c r="H9" i="29"/>
  <c r="G9" i="29"/>
  <c r="F9" i="29"/>
  <c r="E9" i="29"/>
  <c r="D9" i="29"/>
  <c r="J8" i="29"/>
  <c r="H8" i="29"/>
  <c r="G8" i="29"/>
  <c r="F8" i="29"/>
  <c r="E8" i="29"/>
  <c r="D8" i="29"/>
  <c r="K7" i="29"/>
  <c r="J7" i="29"/>
  <c r="J6" i="29"/>
  <c r="H6" i="29"/>
  <c r="G6" i="29"/>
  <c r="F6" i="29"/>
  <c r="E6" i="29"/>
  <c r="D6" i="29"/>
  <c r="K5" i="29"/>
  <c r="J5" i="29"/>
  <c r="J4" i="29"/>
  <c r="H4" i="29"/>
  <c r="G4" i="29"/>
  <c r="F4" i="29"/>
  <c r="E4" i="29"/>
  <c r="D4" i="29"/>
  <c r="K3" i="29"/>
  <c r="J3" i="29"/>
  <c r="O120" i="28"/>
  <c r="M120" i="28"/>
  <c r="O119" i="28"/>
  <c r="M119" i="28"/>
  <c r="K119" i="28"/>
  <c r="G119" i="28"/>
  <c r="M118" i="28"/>
  <c r="K118" i="28"/>
  <c r="K117" i="28"/>
  <c r="Q114" i="28"/>
  <c r="N114" i="28"/>
  <c r="L114" i="28"/>
  <c r="K114" i="28"/>
  <c r="K120" i="28" s="1"/>
  <c r="J114" i="28"/>
  <c r="F114" i="28"/>
  <c r="Q113" i="28"/>
  <c r="Q122" i="28" s="1"/>
  <c r="P113" i="28"/>
  <c r="O113" i="28"/>
  <c r="O114" i="28" s="1"/>
  <c r="N113" i="28"/>
  <c r="M113" i="28"/>
  <c r="M114" i="28" s="1"/>
  <c r="L113" i="28"/>
  <c r="K113" i="28"/>
  <c r="J113" i="28"/>
  <c r="I113" i="28"/>
  <c r="H113" i="28"/>
  <c r="G113" i="28"/>
  <c r="G114" i="28" s="1"/>
  <c r="G120" i="28" s="1"/>
  <c r="F113" i="28"/>
  <c r="E113" i="28"/>
  <c r="E119" i="28" s="1"/>
  <c r="D113" i="28"/>
  <c r="O112" i="28"/>
  <c r="N112" i="28"/>
  <c r="M112" i="28"/>
  <c r="K112" i="28"/>
  <c r="J112" i="28"/>
  <c r="G112" i="28"/>
  <c r="E112" i="28"/>
  <c r="K111" i="28"/>
  <c r="J111" i="28"/>
  <c r="K110" i="28"/>
  <c r="K116" i="28" s="1"/>
  <c r="J110" i="28"/>
  <c r="S76" i="28"/>
  <c r="T76" i="28" s="1"/>
  <c r="U76" i="28" s="1"/>
  <c r="V76" i="28" s="1"/>
  <c r="W76" i="28" s="1"/>
  <c r="X76" i="28" s="1"/>
  <c r="Y76" i="28" s="1"/>
  <c r="Z76" i="28" s="1"/>
  <c r="AA76" i="28" s="1"/>
  <c r="AB76" i="28" s="1"/>
  <c r="AC76" i="28" s="1"/>
  <c r="AD76" i="28" s="1"/>
  <c r="AE76" i="28" s="1"/>
  <c r="AF76" i="28" s="1"/>
  <c r="AG76" i="28" s="1"/>
  <c r="AH76" i="28" s="1"/>
  <c r="AI76" i="28" s="1"/>
  <c r="AJ76" i="28" s="1"/>
  <c r="AK76" i="28" s="1"/>
  <c r="AL76" i="28" s="1"/>
  <c r="AM76" i="28" s="1"/>
  <c r="AN76" i="28" s="1"/>
  <c r="AO76" i="28" s="1"/>
  <c r="AP76" i="28" s="1"/>
  <c r="AQ76" i="28" s="1"/>
  <c r="AR76" i="28" s="1"/>
  <c r="AS76" i="28" s="1"/>
  <c r="AT76" i="28" s="1"/>
  <c r="AU76" i="28" s="1"/>
  <c r="L76" i="28"/>
  <c r="M76" i="28" s="1"/>
  <c r="N76" i="28" s="1"/>
  <c r="O76" i="28" s="1"/>
  <c r="P76" i="28" s="1"/>
  <c r="Q76" i="28" s="1"/>
  <c r="R76" i="28" s="1"/>
  <c r="J76" i="28"/>
  <c r="K76" i="28" s="1"/>
  <c r="I76" i="28"/>
  <c r="H75" i="28"/>
  <c r="G75" i="28"/>
  <c r="AU64" i="28"/>
  <c r="AT64" i="28"/>
  <c r="AS64" i="28"/>
  <c r="AR64" i="28"/>
  <c r="AQ64" i="28"/>
  <c r="AP64" i="28"/>
  <c r="AO64" i="28"/>
  <c r="AN64" i="28"/>
  <c r="AM64" i="28"/>
  <c r="AL64" i="28"/>
  <c r="AK64" i="28"/>
  <c r="AJ64" i="28"/>
  <c r="AI64" i="28"/>
  <c r="AH64" i="28"/>
  <c r="AG64" i="28"/>
  <c r="AF64" i="28"/>
  <c r="AE64" i="28"/>
  <c r="AD64" i="28"/>
  <c r="AC64" i="28"/>
  <c r="AB64" i="28"/>
  <c r="AA64" i="28"/>
  <c r="Z64" i="28"/>
  <c r="Y64" i="28"/>
  <c r="X64" i="28"/>
  <c r="W64" i="28"/>
  <c r="V64" i="28"/>
  <c r="U64" i="28"/>
  <c r="T64" i="28"/>
  <c r="S64" i="28"/>
  <c r="R64" i="28"/>
  <c r="Q64" i="28"/>
  <c r="P64" i="28"/>
  <c r="O64" i="28"/>
  <c r="N64" i="28"/>
  <c r="M64" i="28"/>
  <c r="L64" i="28"/>
  <c r="AB61" i="28"/>
  <c r="AE60" i="28"/>
  <c r="AF60" i="28" s="1"/>
  <c r="AG60" i="28" s="1"/>
  <c r="AH60" i="28" s="1"/>
  <c r="AI60" i="28" s="1"/>
  <c r="AJ60" i="28" s="1"/>
  <c r="AK60" i="28" s="1"/>
  <c r="AL60" i="28" s="1"/>
  <c r="AM60" i="28" s="1"/>
  <c r="AN60" i="28" s="1"/>
  <c r="AO60" i="28" s="1"/>
  <c r="AP60" i="28" s="1"/>
  <c r="AQ60" i="28" s="1"/>
  <c r="AR60" i="28" s="1"/>
  <c r="AS60" i="28" s="1"/>
  <c r="AT60" i="28" s="1"/>
  <c r="AU60" i="28" s="1"/>
  <c r="V60" i="28"/>
  <c r="W60" i="28" s="1"/>
  <c r="X60" i="28" s="1"/>
  <c r="Y60" i="28" s="1"/>
  <c r="Z60" i="28" s="1"/>
  <c r="AA60" i="28" s="1"/>
  <c r="AB60" i="28" s="1"/>
  <c r="AC60" i="28" s="1"/>
  <c r="AD60" i="28" s="1"/>
  <c r="U60" i="28"/>
  <c r="H60" i="28"/>
  <c r="I60" i="28" s="1"/>
  <c r="J60" i="28" s="1"/>
  <c r="K60" i="28" s="1"/>
  <c r="L60" i="28" s="1"/>
  <c r="M60" i="28" s="1"/>
  <c r="N60" i="28" s="1"/>
  <c r="O60" i="28" s="1"/>
  <c r="P60" i="28" s="1"/>
  <c r="Q60" i="28" s="1"/>
  <c r="R60" i="28" s="1"/>
  <c r="S60" i="28" s="1"/>
  <c r="AU53" i="28"/>
  <c r="AT53" i="28"/>
  <c r="AS53" i="28"/>
  <c r="AR53" i="28"/>
  <c r="AQ53" i="28"/>
  <c r="AP53" i="28"/>
  <c r="AO53" i="28"/>
  <c r="AN53" i="28"/>
  <c r="AM53" i="28"/>
  <c r="AL53" i="28"/>
  <c r="AK53" i="28"/>
  <c r="AJ53" i="28"/>
  <c r="AI53" i="28"/>
  <c r="AH53" i="28"/>
  <c r="AG53" i="28"/>
  <c r="AF53" i="28"/>
  <c r="AE53" i="28"/>
  <c r="AD53" i="28"/>
  <c r="AC53" i="28"/>
  <c r="AB53" i="28"/>
  <c r="AA53" i="28"/>
  <c r="Z53" i="28"/>
  <c r="Y53" i="28"/>
  <c r="X53" i="28"/>
  <c r="W53" i="28"/>
  <c r="V53" i="28"/>
  <c r="U53" i="28"/>
  <c r="T53" i="28"/>
  <c r="S53" i="28"/>
  <c r="R53" i="28"/>
  <c r="Q53" i="28"/>
  <c r="P53" i="28"/>
  <c r="O53" i="28"/>
  <c r="N53" i="28"/>
  <c r="M53" i="28"/>
  <c r="L53" i="28"/>
  <c r="K53" i="28"/>
  <c r="J53" i="28"/>
  <c r="I53" i="28"/>
  <c r="H53" i="28"/>
  <c r="G53" i="28"/>
  <c r="F53" i="28"/>
  <c r="AU52" i="28"/>
  <c r="AT52" i="28"/>
  <c r="AS52" i="28"/>
  <c r="AR52" i="28"/>
  <c r="AQ52" i="28"/>
  <c r="AP52" i="28"/>
  <c r="AO52" i="28"/>
  <c r="AN52" i="28"/>
  <c r="AM52" i="28"/>
  <c r="AL52" i="28"/>
  <c r="AK52" i="28"/>
  <c r="AJ52" i="28"/>
  <c r="AI52" i="28"/>
  <c r="AH52" i="28"/>
  <c r="AG52" i="28"/>
  <c r="AF52" i="28"/>
  <c r="AE52" i="28"/>
  <c r="AD52" i="28"/>
  <c r="AC52" i="28"/>
  <c r="AB52" i="28"/>
  <c r="AA52" i="28"/>
  <c r="Z52" i="28"/>
  <c r="Y52" i="28"/>
  <c r="X52" i="28"/>
  <c r="W52" i="28"/>
  <c r="V52" i="28"/>
  <c r="U52" i="28"/>
  <c r="T52" i="28"/>
  <c r="S52" i="28"/>
  <c r="R52" i="28"/>
  <c r="Q52" i="28"/>
  <c r="P52" i="28"/>
  <c r="O52" i="28"/>
  <c r="N52" i="28"/>
  <c r="M52" i="28"/>
  <c r="L52" i="28"/>
  <c r="K52" i="28"/>
  <c r="J52" i="28"/>
  <c r="I52" i="28"/>
  <c r="H52" i="28"/>
  <c r="G52" i="28"/>
  <c r="F52" i="28"/>
  <c r="AU51" i="28"/>
  <c r="AT51" i="28"/>
  <c r="AS51" i="28"/>
  <c r="AR51" i="28"/>
  <c r="AQ51" i="28"/>
  <c r="AP51" i="28"/>
  <c r="AO51" i="28"/>
  <c r="AN51" i="28"/>
  <c r="AM51" i="28"/>
  <c r="AL51" i="28"/>
  <c r="AK51" i="28"/>
  <c r="AJ51" i="28"/>
  <c r="AI51" i="28"/>
  <c r="AH51" i="28"/>
  <c r="AG51" i="28"/>
  <c r="AF51" i="28"/>
  <c r="AE51" i="28"/>
  <c r="AD51" i="28"/>
  <c r="AC51" i="28"/>
  <c r="AB51" i="28"/>
  <c r="AA51" i="28"/>
  <c r="Z51" i="28"/>
  <c r="Y51" i="28"/>
  <c r="X51" i="28"/>
  <c r="W51" i="28"/>
  <c r="V51" i="28"/>
  <c r="U51" i="28"/>
  <c r="T51" i="28"/>
  <c r="S51" i="28"/>
  <c r="R51" i="28"/>
  <c r="Q51" i="28"/>
  <c r="P51" i="28"/>
  <c r="O51" i="28"/>
  <c r="N51" i="28"/>
  <c r="M51" i="28"/>
  <c r="L51" i="28"/>
  <c r="K51" i="28"/>
  <c r="J51" i="28"/>
  <c r="I51" i="28"/>
  <c r="H51" i="28"/>
  <c r="G51" i="28"/>
  <c r="F51" i="28"/>
  <c r="AU50" i="28"/>
  <c r="AT50" i="28"/>
  <c r="AS50" i="28"/>
  <c r="AR50" i="28"/>
  <c r="AQ50" i="28"/>
  <c r="AP50" i="28"/>
  <c r="AO50" i="28"/>
  <c r="AN50" i="28"/>
  <c r="AM50" i="28"/>
  <c r="AL50" i="28"/>
  <c r="AK50" i="28"/>
  <c r="AJ50" i="28"/>
  <c r="AI50" i="28"/>
  <c r="AH50" i="28"/>
  <c r="AG50" i="28"/>
  <c r="AF50" i="28"/>
  <c r="AE50" i="28"/>
  <c r="AD50" i="28"/>
  <c r="AC50" i="28"/>
  <c r="AB50" i="28"/>
  <c r="AA50" i="28"/>
  <c r="Z50" i="28"/>
  <c r="Y50" i="28"/>
  <c r="X50" i="28"/>
  <c r="W50" i="28"/>
  <c r="V50" i="28"/>
  <c r="U50" i="28"/>
  <c r="T50" i="28"/>
  <c r="S50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F50" i="28"/>
  <c r="AU49" i="28"/>
  <c r="AT49" i="28"/>
  <c r="AS49" i="28"/>
  <c r="AR49" i="28"/>
  <c r="AQ49" i="28"/>
  <c r="AP49" i="28"/>
  <c r="AO49" i="28"/>
  <c r="AN49" i="28"/>
  <c r="AM49" i="28"/>
  <c r="AL49" i="28"/>
  <c r="AK49" i="28"/>
  <c r="AJ49" i="28"/>
  <c r="AI49" i="28"/>
  <c r="AH49" i="28"/>
  <c r="AG49" i="28"/>
  <c r="AF49" i="28"/>
  <c r="AE49" i="28"/>
  <c r="AD49" i="28"/>
  <c r="AC49" i="28"/>
  <c r="AB49" i="28"/>
  <c r="AA49" i="28"/>
  <c r="Z49" i="28"/>
  <c r="Y49" i="28"/>
  <c r="X49" i="28"/>
  <c r="W49" i="28"/>
  <c r="V49" i="28"/>
  <c r="U49" i="28"/>
  <c r="T49" i="28"/>
  <c r="S49" i="28"/>
  <c r="R49" i="28"/>
  <c r="Q49" i="28"/>
  <c r="P49" i="28"/>
  <c r="O49" i="28"/>
  <c r="N49" i="28"/>
  <c r="M49" i="28"/>
  <c r="L49" i="28"/>
  <c r="K49" i="28"/>
  <c r="J49" i="28"/>
  <c r="I49" i="28"/>
  <c r="H49" i="28"/>
  <c r="G49" i="28"/>
  <c r="F49" i="28"/>
  <c r="AU48" i="28"/>
  <c r="AT48" i="28"/>
  <c r="AS48" i="28"/>
  <c r="AR48" i="28"/>
  <c r="AQ48" i="28"/>
  <c r="AP48" i="28"/>
  <c r="AO48" i="28"/>
  <c r="AN48" i="28"/>
  <c r="AM48" i="28"/>
  <c r="AL48" i="28"/>
  <c r="AK48" i="28"/>
  <c r="AJ48" i="28"/>
  <c r="AI48" i="28"/>
  <c r="AH48" i="28"/>
  <c r="AG48" i="28"/>
  <c r="AF48" i="28"/>
  <c r="AE48" i="28"/>
  <c r="AE44" i="28" s="1"/>
  <c r="AD48" i="28"/>
  <c r="AC48" i="28"/>
  <c r="AB48" i="28"/>
  <c r="AA48" i="28"/>
  <c r="Z48" i="28"/>
  <c r="Y48" i="28"/>
  <c r="X48" i="28"/>
  <c r="W48" i="28"/>
  <c r="V48" i="28"/>
  <c r="U48" i="28"/>
  <c r="T48" i="28"/>
  <c r="S48" i="28"/>
  <c r="R48" i="28"/>
  <c r="Q48" i="28"/>
  <c r="P48" i="28"/>
  <c r="O48" i="28"/>
  <c r="N48" i="28"/>
  <c r="M48" i="28"/>
  <c r="L48" i="28"/>
  <c r="K48" i="28"/>
  <c r="J48" i="28"/>
  <c r="I48" i="28"/>
  <c r="H48" i="28"/>
  <c r="G48" i="28"/>
  <c r="F48" i="28"/>
  <c r="AU47" i="28"/>
  <c r="AT47" i="28"/>
  <c r="AS47" i="28"/>
  <c r="AR47" i="28"/>
  <c r="AQ47" i="28"/>
  <c r="AP47" i="28"/>
  <c r="AO47" i="28"/>
  <c r="AN47" i="28"/>
  <c r="AM47" i="28"/>
  <c r="AL47" i="28"/>
  <c r="AK47" i="28"/>
  <c r="AJ47" i="28"/>
  <c r="AI47" i="28"/>
  <c r="AH47" i="28"/>
  <c r="AG47" i="28"/>
  <c r="AG44" i="28" s="1"/>
  <c r="AF47" i="28"/>
  <c r="AE47" i="28"/>
  <c r="AD47" i="28"/>
  <c r="AC47" i="28"/>
  <c r="AB47" i="28"/>
  <c r="AA47" i="28"/>
  <c r="Z47" i="28"/>
  <c r="Y47" i="28"/>
  <c r="X47" i="28"/>
  <c r="W47" i="28"/>
  <c r="V47" i="28"/>
  <c r="U47" i="28"/>
  <c r="T47" i="28"/>
  <c r="S47" i="28"/>
  <c r="R47" i="28"/>
  <c r="Q47" i="28"/>
  <c r="Q44" i="28" s="1"/>
  <c r="P47" i="28"/>
  <c r="O47" i="28"/>
  <c r="N47" i="28"/>
  <c r="M47" i="28"/>
  <c r="L47" i="28"/>
  <c r="K47" i="28"/>
  <c r="J47" i="28"/>
  <c r="I47" i="28"/>
  <c r="H47" i="28"/>
  <c r="G47" i="28"/>
  <c r="F47" i="28"/>
  <c r="AU46" i="28"/>
  <c r="AT46" i="28"/>
  <c r="AS46" i="28"/>
  <c r="AR46" i="28"/>
  <c r="AQ46" i="28"/>
  <c r="AP46" i="28"/>
  <c r="AO46" i="28"/>
  <c r="AN46" i="28"/>
  <c r="AM46" i="28"/>
  <c r="AL46" i="28"/>
  <c r="AK46" i="28"/>
  <c r="AJ46" i="28"/>
  <c r="AI46" i="28"/>
  <c r="AI44" i="28" s="1"/>
  <c r="AH46" i="28"/>
  <c r="AG46" i="28"/>
  <c r="AF46" i="28"/>
  <c r="AF44" i="28" s="1"/>
  <c r="AE46" i="28"/>
  <c r="AD46" i="28"/>
  <c r="AC46" i="28"/>
  <c r="AB46" i="28"/>
  <c r="AA46" i="28"/>
  <c r="Z46" i="28"/>
  <c r="Y46" i="28"/>
  <c r="X46" i="28"/>
  <c r="W46" i="28"/>
  <c r="V46" i="28"/>
  <c r="U46" i="28"/>
  <c r="T46" i="28"/>
  <c r="S46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F46" i="28"/>
  <c r="AU45" i="28"/>
  <c r="AT45" i="28"/>
  <c r="AS45" i="28"/>
  <c r="AS44" i="28" s="1"/>
  <c r="AR45" i="28"/>
  <c r="AR44" i="28" s="1"/>
  <c r="AQ45" i="28"/>
  <c r="AP45" i="28"/>
  <c r="AO45" i="28"/>
  <c r="AN45" i="28"/>
  <c r="AM45" i="28"/>
  <c r="AL45" i="28"/>
  <c r="AL44" i="28" s="1"/>
  <c r="AK45" i="28"/>
  <c r="AK44" i="28" s="1"/>
  <c r="AJ45" i="28"/>
  <c r="AJ44" i="28" s="1"/>
  <c r="AI45" i="28"/>
  <c r="AH45" i="28"/>
  <c r="AH44" i="28" s="1"/>
  <c r="AG45" i="28"/>
  <c r="AF45" i="28"/>
  <c r="AE45" i="28"/>
  <c r="AD45" i="28"/>
  <c r="AC45" i="28"/>
  <c r="AC44" i="28" s="1"/>
  <c r="AB45" i="28"/>
  <c r="AB44" i="28" s="1"/>
  <c r="AA45" i="28"/>
  <c r="Z45" i="28"/>
  <c r="Y45" i="28"/>
  <c r="X45" i="28"/>
  <c r="W45" i="28"/>
  <c r="V45" i="28"/>
  <c r="V44" i="28" s="1"/>
  <c r="U45" i="28"/>
  <c r="U44" i="28" s="1"/>
  <c r="T45" i="28"/>
  <c r="T44" i="28" s="1"/>
  <c r="S45" i="28"/>
  <c r="R45" i="28"/>
  <c r="R44" i="28" s="1"/>
  <c r="Q45" i="28"/>
  <c r="P45" i="28"/>
  <c r="O45" i="28"/>
  <c r="O44" i="28" s="1"/>
  <c r="N45" i="28"/>
  <c r="N44" i="28" s="1"/>
  <c r="M45" i="28"/>
  <c r="M44" i="28" s="1"/>
  <c r="L45" i="28"/>
  <c r="L44" i="28" s="1"/>
  <c r="K45" i="28"/>
  <c r="J45" i="28"/>
  <c r="I45" i="28"/>
  <c r="H45" i="28"/>
  <c r="G45" i="28"/>
  <c r="F45" i="28"/>
  <c r="AU44" i="28"/>
  <c r="AT44" i="28"/>
  <c r="AQ44" i="28"/>
  <c r="AO44" i="28"/>
  <c r="AM44" i="28"/>
  <c r="AD44" i="28"/>
  <c r="AA44" i="28"/>
  <c r="Y44" i="28"/>
  <c r="W44" i="28"/>
  <c r="S44" i="28"/>
  <c r="P44" i="28"/>
  <c r="K44" i="28"/>
  <c r="I44" i="28"/>
  <c r="G44" i="28"/>
  <c r="R36" i="28"/>
  <c r="Q36" i="28"/>
  <c r="P36" i="28"/>
  <c r="P35" i="28" s="1"/>
  <c r="O36" i="28"/>
  <c r="N36" i="28"/>
  <c r="N35" i="28" s="1"/>
  <c r="M36" i="28"/>
  <c r="L36" i="28"/>
  <c r="L35" i="28" s="1"/>
  <c r="K36" i="28"/>
  <c r="K35" i="28" s="1"/>
  <c r="J36" i="28"/>
  <c r="I36" i="28"/>
  <c r="H36" i="28"/>
  <c r="G36" i="28"/>
  <c r="AU35" i="28"/>
  <c r="AT35" i="28"/>
  <c r="AS35" i="28"/>
  <c r="AR35" i="28"/>
  <c r="AQ35" i="28"/>
  <c r="AP35" i="28"/>
  <c r="AO35" i="28"/>
  <c r="AN35" i="28"/>
  <c r="AM35" i="28"/>
  <c r="AL35" i="28"/>
  <c r="AK35" i="28"/>
  <c r="AJ35" i="28"/>
  <c r="AI35" i="28"/>
  <c r="AH35" i="28"/>
  <c r="AG35" i="28"/>
  <c r="AF35" i="28"/>
  <c r="AE35" i="28"/>
  <c r="AD35" i="28"/>
  <c r="AC35" i="28"/>
  <c r="AB35" i="28"/>
  <c r="AA35" i="28"/>
  <c r="Z35" i="28"/>
  <c r="Y35" i="28"/>
  <c r="X35" i="28"/>
  <c r="W35" i="28"/>
  <c r="V35" i="28"/>
  <c r="U35" i="28"/>
  <c r="T35" i="28"/>
  <c r="S35" i="28"/>
  <c r="R35" i="28"/>
  <c r="Q35" i="28"/>
  <c r="O35" i="28"/>
  <c r="M35" i="28"/>
  <c r="J35" i="28"/>
  <c r="I35" i="28"/>
  <c r="H35" i="28"/>
  <c r="G35" i="28"/>
  <c r="F35" i="28"/>
  <c r="E32" i="28"/>
  <c r="E31" i="28"/>
  <c r="E30" i="28"/>
  <c r="AU29" i="28"/>
  <c r="AT29" i="28"/>
  <c r="AS29" i="28"/>
  <c r="AR29" i="28"/>
  <c r="AQ29" i="28"/>
  <c r="AP29" i="28"/>
  <c r="AO29" i="28"/>
  <c r="AN29" i="28"/>
  <c r="AM29" i="28"/>
  <c r="AL29" i="28"/>
  <c r="AK29" i="28"/>
  <c r="AJ29" i="28"/>
  <c r="AI29" i="28"/>
  <c r="AH29" i="28"/>
  <c r="AG29" i="28"/>
  <c r="AF29" i="28"/>
  <c r="AE29" i="28"/>
  <c r="AD29" i="28"/>
  <c r="AC29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F29" i="28"/>
  <c r="E28" i="28"/>
  <c r="E25" i="28"/>
  <c r="E24" i="28"/>
  <c r="AU23" i="28"/>
  <c r="AT23" i="28"/>
  <c r="AS23" i="28"/>
  <c r="AR23" i="28"/>
  <c r="AQ23" i="28"/>
  <c r="AP23" i="28"/>
  <c r="AO23" i="28"/>
  <c r="AN23" i="28"/>
  <c r="AM23" i="28"/>
  <c r="AL23" i="28"/>
  <c r="AK23" i="28"/>
  <c r="AJ23" i="28"/>
  <c r="AI23" i="28"/>
  <c r="AH23" i="28"/>
  <c r="AG23" i="28"/>
  <c r="AF23" i="28"/>
  <c r="AE23" i="28"/>
  <c r="AD23" i="28"/>
  <c r="AC23" i="28"/>
  <c r="AB23" i="28"/>
  <c r="AA23" i="28"/>
  <c r="Z23" i="28"/>
  <c r="Y23" i="28"/>
  <c r="X23" i="28"/>
  <c r="W23" i="28"/>
  <c r="V23" i="28"/>
  <c r="U23" i="28"/>
  <c r="T23" i="28"/>
  <c r="S23" i="28"/>
  <c r="R23" i="28"/>
  <c r="Q23" i="28"/>
  <c r="P23" i="28"/>
  <c r="O23" i="28"/>
  <c r="N23" i="28"/>
  <c r="M23" i="28"/>
  <c r="L23" i="28"/>
  <c r="K23" i="28"/>
  <c r="J23" i="28"/>
  <c r="I23" i="28"/>
  <c r="H23" i="28"/>
  <c r="G23" i="28"/>
  <c r="F23" i="28"/>
  <c r="E22" i="28"/>
  <c r="E19" i="28"/>
  <c r="E17" i="28"/>
  <c r="AU15" i="28"/>
  <c r="AT15" i="28"/>
  <c r="AS15" i="28"/>
  <c r="AR15" i="28"/>
  <c r="AQ15" i="28"/>
  <c r="AP15" i="28"/>
  <c r="AO15" i="28"/>
  <c r="AN15" i="28"/>
  <c r="AM15" i="28"/>
  <c r="AL15" i="28"/>
  <c r="AK15" i="28"/>
  <c r="AJ15" i="28"/>
  <c r="AI15" i="28"/>
  <c r="AH15" i="28"/>
  <c r="AG15" i="28"/>
  <c r="AF15" i="28"/>
  <c r="AE15" i="28"/>
  <c r="AD15" i="28"/>
  <c r="AC15" i="28"/>
  <c r="AB15" i="28"/>
  <c r="AA15" i="28"/>
  <c r="Z15" i="28"/>
  <c r="Y15" i="28"/>
  <c r="X15" i="28"/>
  <c r="W15" i="28"/>
  <c r="V15" i="28"/>
  <c r="U15" i="28"/>
  <c r="T15" i="28"/>
  <c r="S15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F15" i="28"/>
  <c r="E13" i="28"/>
  <c r="E11" i="28"/>
  <c r="AU9" i="28"/>
  <c r="AT9" i="28"/>
  <c r="AS9" i="28"/>
  <c r="AR9" i="28"/>
  <c r="AQ9" i="28"/>
  <c r="AP9" i="28"/>
  <c r="AO9" i="28"/>
  <c r="AN9" i="28"/>
  <c r="AM9" i="28"/>
  <c r="AL9" i="28"/>
  <c r="AK9" i="28"/>
  <c r="AJ9" i="28"/>
  <c r="AI9" i="28"/>
  <c r="AH9" i="28"/>
  <c r="AG9" i="28"/>
  <c r="AF9" i="28"/>
  <c r="AE9" i="28"/>
  <c r="AD9" i="28"/>
  <c r="AC9" i="28"/>
  <c r="AB9" i="28"/>
  <c r="AA9" i="28"/>
  <c r="AA61" i="28" s="1"/>
  <c r="Z9" i="28"/>
  <c r="Y9" i="28"/>
  <c r="Y61" i="28" s="1"/>
  <c r="X9" i="28"/>
  <c r="W9" i="28"/>
  <c r="V9" i="28"/>
  <c r="U9" i="28"/>
  <c r="T9" i="28"/>
  <c r="S9" i="28"/>
  <c r="S61" i="28" s="1"/>
  <c r="R9" i="28"/>
  <c r="Q9" i="28"/>
  <c r="Q61" i="28" s="1"/>
  <c r="P9" i="28"/>
  <c r="O9" i="28"/>
  <c r="N9" i="28"/>
  <c r="M9" i="28"/>
  <c r="L9" i="28"/>
  <c r="K9" i="28"/>
  <c r="K61" i="28" s="1"/>
  <c r="J9" i="28"/>
  <c r="I9" i="28"/>
  <c r="I61" i="28" s="1"/>
  <c r="H9" i="28"/>
  <c r="G9" i="28"/>
  <c r="F9" i="28"/>
  <c r="AD5" i="28"/>
  <c r="AE5" i="28" s="1"/>
  <c r="AF5" i="28" s="1"/>
  <c r="AG5" i="28" s="1"/>
  <c r="AH5" i="28" s="1"/>
  <c r="AI5" i="28" s="1"/>
  <c r="AJ5" i="28" s="1"/>
  <c r="AK5" i="28" s="1"/>
  <c r="AL5" i="28" s="1"/>
  <c r="AM5" i="28" s="1"/>
  <c r="AN5" i="28" s="1"/>
  <c r="AO5" i="28" s="1"/>
  <c r="AP5" i="28" s="1"/>
  <c r="AQ5" i="28" s="1"/>
  <c r="AR5" i="28" s="1"/>
  <c r="AS5" i="28" s="1"/>
  <c r="AT5" i="28" s="1"/>
  <c r="AU5" i="28" s="1"/>
  <c r="R5" i="28"/>
  <c r="S5" i="28" s="1"/>
  <c r="T5" i="28" s="1"/>
  <c r="U5" i="28" s="1"/>
  <c r="V5" i="28" s="1"/>
  <c r="W5" i="28" s="1"/>
  <c r="X5" i="28" s="1"/>
  <c r="Y5" i="28" s="1"/>
  <c r="Z5" i="28" s="1"/>
  <c r="AA5" i="28" s="1"/>
  <c r="AB5" i="28" s="1"/>
  <c r="AC5" i="28" s="1"/>
  <c r="K5" i="28"/>
  <c r="L5" i="28" s="1"/>
  <c r="M5" i="28" s="1"/>
  <c r="N5" i="28" s="1"/>
  <c r="O5" i="28" s="1"/>
  <c r="P5" i="28" s="1"/>
  <c r="Q5" i="28" s="1"/>
  <c r="J5" i="28"/>
  <c r="H5" i="28"/>
  <c r="I5" i="28" s="1"/>
  <c r="G5" i="28"/>
  <c r="G4" i="28"/>
  <c r="F4" i="28"/>
  <c r="I102" i="27"/>
  <c r="I101" i="27"/>
  <c r="I100" i="27"/>
  <c r="I99" i="27"/>
  <c r="I98" i="27"/>
  <c r="I97" i="27"/>
  <c r="I96" i="27"/>
  <c r="I95" i="27"/>
  <c r="I92" i="27"/>
  <c r="I91" i="27"/>
  <c r="I90" i="27"/>
  <c r="I89" i="27"/>
  <c r="I88" i="27"/>
  <c r="I87" i="27"/>
  <c r="I86" i="27"/>
  <c r="I85" i="27"/>
  <c r="I84" i="27"/>
  <c r="I83" i="27"/>
  <c r="I82" i="27"/>
  <c r="I79" i="27"/>
  <c r="I78" i="27"/>
  <c r="I77" i="27"/>
  <c r="I76" i="27"/>
  <c r="I75" i="27"/>
  <c r="I74" i="27"/>
  <c r="I73" i="27"/>
  <c r="I72" i="27"/>
  <c r="I71" i="27"/>
  <c r="I67" i="27"/>
  <c r="I66" i="27"/>
  <c r="BA64" i="27"/>
  <c r="AZ64" i="27"/>
  <c r="AY64" i="27"/>
  <c r="AX64" i="27"/>
  <c r="AW64" i="27"/>
  <c r="AV64" i="27"/>
  <c r="AU64" i="27"/>
  <c r="AT64" i="27"/>
  <c r="AS64" i="27"/>
  <c r="AR64" i="27"/>
  <c r="AQ64" i="27"/>
  <c r="AP64" i="27"/>
  <c r="AO64" i="27"/>
  <c r="AN64" i="27"/>
  <c r="AM64" i="27"/>
  <c r="AL64" i="27"/>
  <c r="AK64" i="27"/>
  <c r="AJ64" i="27"/>
  <c r="AI64" i="27"/>
  <c r="AH64" i="27"/>
  <c r="AG64" i="27"/>
  <c r="AF64" i="27"/>
  <c r="AE64" i="27"/>
  <c r="AD64" i="27"/>
  <c r="AC64" i="27"/>
  <c r="AB64" i="27"/>
  <c r="AA64" i="27"/>
  <c r="Z64" i="27"/>
  <c r="Y64" i="27"/>
  <c r="X64" i="27"/>
  <c r="W64" i="27"/>
  <c r="V64" i="27"/>
  <c r="U64" i="27"/>
  <c r="T64" i="27"/>
  <c r="S64" i="27"/>
  <c r="R64" i="27"/>
  <c r="Q64" i="27"/>
  <c r="P64" i="27"/>
  <c r="O64" i="27"/>
  <c r="O62" i="27" s="1"/>
  <c r="N64" i="27"/>
  <c r="M64" i="27"/>
  <c r="M62" i="27" s="1"/>
  <c r="L64" i="27"/>
  <c r="L62" i="27" s="1"/>
  <c r="K64" i="27"/>
  <c r="K62" i="27" s="1"/>
  <c r="J64" i="27"/>
  <c r="O63" i="27"/>
  <c r="N63" i="27"/>
  <c r="M63" i="27"/>
  <c r="J62" i="27"/>
  <c r="H58" i="27"/>
  <c r="BA56" i="27"/>
  <c r="AZ56" i="27"/>
  <c r="AY56" i="27"/>
  <c r="AX56" i="27"/>
  <c r="AW56" i="27"/>
  <c r="AV56" i="27"/>
  <c r="AU56" i="27"/>
  <c r="AT56" i="27"/>
  <c r="AS56" i="27"/>
  <c r="AR56" i="27"/>
  <c r="AQ56" i="27"/>
  <c r="AP56" i="27"/>
  <c r="AO56" i="27"/>
  <c r="AN56" i="27"/>
  <c r="AM56" i="27"/>
  <c r="AL56" i="27"/>
  <c r="AK56" i="27"/>
  <c r="AJ56" i="27"/>
  <c r="AI56" i="27"/>
  <c r="AH56" i="27"/>
  <c r="AG56" i="27"/>
  <c r="AF56" i="27"/>
  <c r="AE56" i="27"/>
  <c r="AD56" i="27"/>
  <c r="AC56" i="27"/>
  <c r="AB56" i="27"/>
  <c r="AA56" i="27"/>
  <c r="Z56" i="27"/>
  <c r="Y56" i="27"/>
  <c r="X56" i="27"/>
  <c r="W56" i="27"/>
  <c r="V56" i="27"/>
  <c r="U56" i="27"/>
  <c r="T56" i="27"/>
  <c r="S56" i="27"/>
  <c r="R56" i="27"/>
  <c r="Q56" i="27"/>
  <c r="P56" i="27"/>
  <c r="O56" i="27"/>
  <c r="N56" i="27"/>
  <c r="I56" i="27" s="1"/>
  <c r="M56" i="27"/>
  <c r="L56" i="27"/>
  <c r="K56" i="27"/>
  <c r="J56" i="27"/>
  <c r="G55" i="27"/>
  <c r="BA52" i="27"/>
  <c r="AZ52" i="27"/>
  <c r="AY52" i="27"/>
  <c r="AX52" i="27"/>
  <c r="AW52" i="27"/>
  <c r="AV52" i="27"/>
  <c r="AU52" i="27"/>
  <c r="AT52" i="27"/>
  <c r="AS52" i="27"/>
  <c r="AR52" i="27"/>
  <c r="AQ52" i="27"/>
  <c r="AP52" i="27"/>
  <c r="AO52" i="27"/>
  <c r="AN52" i="27"/>
  <c r="AM52" i="27"/>
  <c r="AL52" i="27"/>
  <c r="AK52" i="27"/>
  <c r="AJ52" i="27"/>
  <c r="AI52" i="27"/>
  <c r="AH52" i="27"/>
  <c r="AG52" i="27"/>
  <c r="AF52" i="27"/>
  <c r="AE52" i="27"/>
  <c r="AD52" i="27"/>
  <c r="AC52" i="27"/>
  <c r="AB52" i="27"/>
  <c r="AA52" i="27"/>
  <c r="Z52" i="27"/>
  <c r="Y52" i="27"/>
  <c r="X52" i="27"/>
  <c r="W52" i="27"/>
  <c r="V52" i="27"/>
  <c r="U52" i="27"/>
  <c r="T52" i="27"/>
  <c r="S52" i="27"/>
  <c r="R52" i="27"/>
  <c r="Q52" i="27"/>
  <c r="P52" i="27"/>
  <c r="O52" i="27"/>
  <c r="N52" i="27"/>
  <c r="M52" i="27"/>
  <c r="L52" i="27"/>
  <c r="K52" i="27"/>
  <c r="J52" i="27"/>
  <c r="G50" i="27"/>
  <c r="BA48" i="27"/>
  <c r="AZ48" i="27"/>
  <c r="AY48" i="27"/>
  <c r="AX48" i="27"/>
  <c r="AW48" i="27"/>
  <c r="AV48" i="27"/>
  <c r="AU48" i="27"/>
  <c r="AT48" i="27"/>
  <c r="AS48" i="27"/>
  <c r="AR48" i="27"/>
  <c r="AQ48" i="27"/>
  <c r="AP48" i="27"/>
  <c r="AO48" i="27"/>
  <c r="AN48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X48" i="27"/>
  <c r="W48" i="27"/>
  <c r="V48" i="27"/>
  <c r="U48" i="27"/>
  <c r="T48" i="27"/>
  <c r="S48" i="27"/>
  <c r="R48" i="27"/>
  <c r="Q48" i="27"/>
  <c r="P48" i="27"/>
  <c r="O48" i="27"/>
  <c r="N48" i="27"/>
  <c r="M48" i="27"/>
  <c r="L48" i="27"/>
  <c r="K48" i="27"/>
  <c r="J48" i="27"/>
  <c r="BA44" i="27"/>
  <c r="BA12" i="27" s="1"/>
  <c r="AZ44" i="27"/>
  <c r="AY44" i="27"/>
  <c r="AX44" i="27"/>
  <c r="AW44" i="27"/>
  <c r="AV44" i="27"/>
  <c r="AU44" i="27"/>
  <c r="AT44" i="27"/>
  <c r="AS44" i="27"/>
  <c r="AR44" i="27"/>
  <c r="AQ44" i="27"/>
  <c r="AP44" i="27"/>
  <c r="AO44" i="27"/>
  <c r="AN44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X44" i="27"/>
  <c r="W44" i="27"/>
  <c r="V44" i="27"/>
  <c r="U44" i="27"/>
  <c r="T44" i="27"/>
  <c r="S44" i="27"/>
  <c r="R44" i="27"/>
  <c r="Q44" i="27"/>
  <c r="P44" i="27"/>
  <c r="O44" i="27"/>
  <c r="N44" i="27"/>
  <c r="M44" i="27"/>
  <c r="L44" i="27"/>
  <c r="K44" i="27"/>
  <c r="J44" i="27"/>
  <c r="H42" i="27"/>
  <c r="BA40" i="27"/>
  <c r="AZ40" i="27"/>
  <c r="AY40" i="27"/>
  <c r="AX40" i="27"/>
  <c r="AW40" i="27"/>
  <c r="AV40" i="27"/>
  <c r="AU40" i="27"/>
  <c r="AT40" i="27"/>
  <c r="AS40" i="27"/>
  <c r="AR40" i="27"/>
  <c r="AQ40" i="27"/>
  <c r="AP40" i="27"/>
  <c r="AO40" i="27"/>
  <c r="AN40" i="27"/>
  <c r="AM40" i="27"/>
  <c r="AL40" i="27"/>
  <c r="AK40" i="27"/>
  <c r="AJ40" i="27"/>
  <c r="AI40" i="27"/>
  <c r="AH40" i="27"/>
  <c r="AG40" i="27"/>
  <c r="AG12" i="27" s="1"/>
  <c r="AF40" i="27"/>
  <c r="AE40" i="27"/>
  <c r="AD40" i="27"/>
  <c r="AC40" i="27"/>
  <c r="AB40" i="27"/>
  <c r="AA40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BA35" i="27"/>
  <c r="AZ35" i="27"/>
  <c r="AY35" i="27"/>
  <c r="AX35" i="27"/>
  <c r="AW35" i="27"/>
  <c r="AV35" i="27"/>
  <c r="AU35" i="27"/>
  <c r="AT35" i="27"/>
  <c r="AS35" i="27"/>
  <c r="AR35" i="27"/>
  <c r="AQ35" i="27"/>
  <c r="AP35" i="27"/>
  <c r="AO35" i="27"/>
  <c r="AN35" i="27"/>
  <c r="AM35" i="27"/>
  <c r="AL35" i="27"/>
  <c r="AK35" i="27"/>
  <c r="AJ35" i="27"/>
  <c r="AI35" i="27"/>
  <c r="AH35" i="27"/>
  <c r="AG35" i="27"/>
  <c r="AF35" i="27"/>
  <c r="AE35" i="27"/>
  <c r="AD35" i="27"/>
  <c r="AC35" i="27"/>
  <c r="AB35" i="27"/>
  <c r="AA35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BA30" i="27"/>
  <c r="AZ30" i="27"/>
  <c r="AY30" i="27"/>
  <c r="AY24" i="27" s="1"/>
  <c r="AY12" i="27" s="1"/>
  <c r="AX30" i="27"/>
  <c r="AX24" i="27" s="1"/>
  <c r="AW30" i="27"/>
  <c r="AV30" i="27"/>
  <c r="AU30" i="27"/>
  <c r="AT30" i="27"/>
  <c r="AS30" i="27"/>
  <c r="AR30" i="27"/>
  <c r="AQ30" i="27"/>
  <c r="AQ24" i="27" s="1"/>
  <c r="AQ12" i="27" s="1"/>
  <c r="AP30" i="27"/>
  <c r="AP24" i="27" s="1"/>
  <c r="AO30" i="27"/>
  <c r="AN30" i="27"/>
  <c r="AM30" i="27"/>
  <c r="AL30" i="27"/>
  <c r="AK30" i="27"/>
  <c r="AK24" i="27" s="1"/>
  <c r="AJ30" i="27"/>
  <c r="AI30" i="27"/>
  <c r="AI24" i="27" s="1"/>
  <c r="AI12" i="27" s="1"/>
  <c r="AI6" i="27" s="1"/>
  <c r="AH30" i="27"/>
  <c r="AH24" i="27" s="1"/>
  <c r="AG30" i="27"/>
  <c r="AF30" i="27"/>
  <c r="AE30" i="27"/>
  <c r="AD30" i="27"/>
  <c r="AC30" i="27"/>
  <c r="AB30" i="27"/>
  <c r="AA30" i="27"/>
  <c r="Z30" i="27"/>
  <c r="Z24" i="27" s="1"/>
  <c r="Y30" i="27"/>
  <c r="X30" i="27"/>
  <c r="W30" i="27"/>
  <c r="W24" i="27" s="1"/>
  <c r="W12" i="27" s="1"/>
  <c r="W6" i="27" s="1"/>
  <c r="V30" i="27"/>
  <c r="U30" i="27"/>
  <c r="U24" i="27" s="1"/>
  <c r="T30" i="27"/>
  <c r="S30" i="27"/>
  <c r="S24" i="27" s="1"/>
  <c r="S12" i="27" s="1"/>
  <c r="R30" i="27"/>
  <c r="R24" i="27" s="1"/>
  <c r="Q30" i="27"/>
  <c r="P30" i="27"/>
  <c r="BA24" i="27"/>
  <c r="AZ24" i="27"/>
  <c r="AW24" i="27"/>
  <c r="AW12" i="27" s="1"/>
  <c r="AV24" i="27"/>
  <c r="AU24" i="27"/>
  <c r="AU12" i="27" s="1"/>
  <c r="AT24" i="27"/>
  <c r="AS24" i="27"/>
  <c r="AR24" i="27"/>
  <c r="AO24" i="27"/>
  <c r="AN24" i="27"/>
  <c r="AM24" i="27"/>
  <c r="AL24" i="27"/>
  <c r="AJ24" i="27"/>
  <c r="AG24" i="27"/>
  <c r="AF24" i="27"/>
  <c r="AE24" i="27"/>
  <c r="AE12" i="27" s="1"/>
  <c r="AD24" i="27"/>
  <c r="AC24" i="27"/>
  <c r="AB24" i="27"/>
  <c r="AA24" i="27"/>
  <c r="Y24" i="27"/>
  <c r="Y12" i="27" s="1"/>
  <c r="X24" i="27"/>
  <c r="V24" i="27"/>
  <c r="T24" i="27"/>
  <c r="Q24" i="27"/>
  <c r="P24" i="27"/>
  <c r="O24" i="27"/>
  <c r="N24" i="27"/>
  <c r="M24" i="27"/>
  <c r="L24" i="27"/>
  <c r="K24" i="27"/>
  <c r="J24" i="27"/>
  <c r="BA20" i="27"/>
  <c r="AZ20" i="27"/>
  <c r="AY20" i="27"/>
  <c r="AX20" i="27"/>
  <c r="AX13" i="27" s="1"/>
  <c r="AX12" i="27" s="1"/>
  <c r="AW20" i="27"/>
  <c r="AV20" i="27"/>
  <c r="AU20" i="27"/>
  <c r="AT20" i="27"/>
  <c r="AS20" i="27"/>
  <c r="AR20" i="27"/>
  <c r="AQ20" i="27"/>
  <c r="AP20" i="27"/>
  <c r="AP13" i="27" s="1"/>
  <c r="AO20" i="27"/>
  <c r="AN20" i="27"/>
  <c r="AM20" i="27"/>
  <c r="AL20" i="27"/>
  <c r="AK20" i="27"/>
  <c r="AJ20" i="27"/>
  <c r="AI20" i="27"/>
  <c r="AH20" i="27"/>
  <c r="AH13" i="27" s="1"/>
  <c r="AH12" i="27" s="1"/>
  <c r="AG20" i="27"/>
  <c r="AF20" i="27"/>
  <c r="AE20" i="27"/>
  <c r="AD20" i="27"/>
  <c r="AC20" i="27"/>
  <c r="AB20" i="27"/>
  <c r="AA20" i="27"/>
  <c r="Z20" i="27"/>
  <c r="Z13" i="27" s="1"/>
  <c r="Z12" i="27" s="1"/>
  <c r="Y20" i="27"/>
  <c r="X20" i="27"/>
  <c r="W20" i="27"/>
  <c r="V20" i="27"/>
  <c r="U20" i="27"/>
  <c r="T20" i="27"/>
  <c r="S20" i="27"/>
  <c r="R20" i="27"/>
  <c r="R13" i="27" s="1"/>
  <c r="R12" i="27" s="1"/>
  <c r="Q20" i="27"/>
  <c r="P20" i="27"/>
  <c r="H19" i="27"/>
  <c r="BA13" i="27"/>
  <c r="AZ13" i="27"/>
  <c r="AY13" i="27"/>
  <c r="AW13" i="27"/>
  <c r="AV13" i="27"/>
  <c r="AU13" i="27"/>
  <c r="AT13" i="27"/>
  <c r="AS13" i="27"/>
  <c r="AR13" i="27"/>
  <c r="AQ13" i="27"/>
  <c r="AO13" i="27"/>
  <c r="AN13" i="27"/>
  <c r="AM13" i="27"/>
  <c r="AL13" i="27"/>
  <c r="AK13" i="27"/>
  <c r="AJ13" i="27"/>
  <c r="AI13" i="27"/>
  <c r="AG13" i="27"/>
  <c r="AF13" i="27"/>
  <c r="AE13" i="27"/>
  <c r="AD13" i="27"/>
  <c r="AC13" i="27"/>
  <c r="AB13" i="27"/>
  <c r="AA13" i="27"/>
  <c r="Y13" i="27"/>
  <c r="X13" i="27"/>
  <c r="W13" i="27"/>
  <c r="V13" i="27"/>
  <c r="U13" i="27"/>
  <c r="T13" i="27"/>
  <c r="S13" i="27"/>
  <c r="Q13" i="27"/>
  <c r="P13" i="27"/>
  <c r="O13" i="27"/>
  <c r="N13" i="27"/>
  <c r="M13" i="27"/>
  <c r="L13" i="27"/>
  <c r="K13" i="27"/>
  <c r="J13" i="27"/>
  <c r="J12" i="27" s="1"/>
  <c r="J6" i="27" s="1"/>
  <c r="AP12" i="27"/>
  <c r="AO12" i="27"/>
  <c r="AM12" i="27"/>
  <c r="AM6" i="27" s="1"/>
  <c r="AC12" i="27"/>
  <c r="Q12" i="27"/>
  <c r="O12" i="27"/>
  <c r="O11" i="27" s="1"/>
  <c r="K12" i="27"/>
  <c r="K11" i="27" s="1"/>
  <c r="J11" i="27"/>
  <c r="BB10" i="27"/>
  <c r="R9" i="27"/>
  <c r="S9" i="27" s="1"/>
  <c r="T9" i="27" s="1"/>
  <c r="U9" i="27" s="1"/>
  <c r="V9" i="27" s="1"/>
  <c r="W9" i="27" s="1"/>
  <c r="X9" i="27" s="1"/>
  <c r="Y9" i="27" s="1"/>
  <c r="Z9" i="27" s="1"/>
  <c r="AA9" i="27" s="1"/>
  <c r="AB9" i="27" s="1"/>
  <c r="AC9" i="27" s="1"/>
  <c r="AD9" i="27" s="1"/>
  <c r="AE9" i="27" s="1"/>
  <c r="AF9" i="27" s="1"/>
  <c r="AG9" i="27" s="1"/>
  <c r="AH9" i="27" s="1"/>
  <c r="AI9" i="27" s="1"/>
  <c r="AJ9" i="27" s="1"/>
  <c r="AK9" i="27" s="1"/>
  <c r="AL9" i="27" s="1"/>
  <c r="AM9" i="27" s="1"/>
  <c r="AN9" i="27" s="1"/>
  <c r="AO9" i="27" s="1"/>
  <c r="AP9" i="27" s="1"/>
  <c r="AQ9" i="27" s="1"/>
  <c r="AR9" i="27" s="1"/>
  <c r="AS9" i="27" s="1"/>
  <c r="AT9" i="27" s="1"/>
  <c r="AU9" i="27" s="1"/>
  <c r="AV9" i="27" s="1"/>
  <c r="AW9" i="27" s="1"/>
  <c r="AX9" i="27" s="1"/>
  <c r="AY9" i="27" s="1"/>
  <c r="AZ9" i="27" s="1"/>
  <c r="BA9" i="27" s="1"/>
  <c r="Q9" i="27"/>
  <c r="M9" i="27"/>
  <c r="N9" i="27" s="1"/>
  <c r="K9" i="27"/>
  <c r="L9" i="27" s="1"/>
  <c r="M8" i="27"/>
  <c r="L8" i="27"/>
  <c r="K8" i="27"/>
  <c r="J8" i="27"/>
  <c r="AO6" i="27"/>
  <c r="O6" i="27"/>
  <c r="K6" i="27"/>
  <c r="K5" i="27"/>
  <c r="I428" i="26"/>
  <c r="T408" i="26" s="1"/>
  <c r="T409" i="26" s="1"/>
  <c r="G428" i="26"/>
  <c r="H428" i="26" s="1"/>
  <c r="H427" i="26"/>
  <c r="I427" i="26" s="1"/>
  <c r="G427" i="26"/>
  <c r="G426" i="26"/>
  <c r="H426" i="26" s="1"/>
  <c r="I426" i="26" s="1"/>
  <c r="H425" i="26"/>
  <c r="I425" i="26" s="1"/>
  <c r="G425" i="26"/>
  <c r="G424" i="26"/>
  <c r="G422" i="26"/>
  <c r="H422" i="26" s="1"/>
  <c r="I422" i="26" s="1"/>
  <c r="B419" i="26"/>
  <c r="K412" i="26"/>
  <c r="O412" i="26" s="1"/>
  <c r="G412" i="26"/>
  <c r="G413" i="26" s="1"/>
  <c r="K411" i="26"/>
  <c r="O411" i="26" s="1"/>
  <c r="Q410" i="26"/>
  <c r="M410" i="26"/>
  <c r="I410" i="26"/>
  <c r="C410" i="26"/>
  <c r="R409" i="26"/>
  <c r="N409" i="26"/>
  <c r="J409" i="26"/>
  <c r="F409" i="26"/>
  <c r="P408" i="26"/>
  <c r="P409" i="26" s="1"/>
  <c r="L408" i="26"/>
  <c r="L409" i="26" s="1"/>
  <c r="H408" i="26"/>
  <c r="H409" i="26" s="1"/>
  <c r="R407" i="26"/>
  <c r="R410" i="26" s="1"/>
  <c r="Q407" i="26"/>
  <c r="M407" i="26"/>
  <c r="J407" i="26"/>
  <c r="J410" i="26" s="1"/>
  <c r="I407" i="26"/>
  <c r="C407" i="26"/>
  <c r="S406" i="26"/>
  <c r="O406" i="26"/>
  <c r="K406" i="26"/>
  <c r="G406" i="26"/>
  <c r="S405" i="26"/>
  <c r="O405" i="26"/>
  <c r="K405" i="26"/>
  <c r="G405" i="26"/>
  <c r="S404" i="26"/>
  <c r="R404" i="26"/>
  <c r="N404" i="26"/>
  <c r="O404" i="26" s="1"/>
  <c r="K404" i="26"/>
  <c r="J404" i="26"/>
  <c r="F404" i="26"/>
  <c r="G404" i="26" s="1"/>
  <c r="S403" i="26"/>
  <c r="O403" i="26"/>
  <c r="K403" i="26"/>
  <c r="G403" i="26"/>
  <c r="M402" i="26"/>
  <c r="Q402" i="26" s="1"/>
  <c r="I402" i="26"/>
  <c r="AT396" i="26"/>
  <c r="AS396" i="26"/>
  <c r="AR396" i="26"/>
  <c r="AQ396" i="26"/>
  <c r="AP396" i="26"/>
  <c r="AO396" i="26"/>
  <c r="AN396" i="26"/>
  <c r="AM396" i="26"/>
  <c r="AL396" i="26"/>
  <c r="AK396" i="26"/>
  <c r="AJ396" i="26"/>
  <c r="AI396" i="26"/>
  <c r="AH396" i="26"/>
  <c r="AG396" i="26"/>
  <c r="AF396" i="26"/>
  <c r="AE396" i="26"/>
  <c r="AD396" i="26"/>
  <c r="AC396" i="26"/>
  <c r="AB396" i="26"/>
  <c r="AA396" i="26"/>
  <c r="Z396" i="26"/>
  <c r="Y396" i="26"/>
  <c r="X396" i="26"/>
  <c r="W396" i="26"/>
  <c r="V396" i="26"/>
  <c r="U396" i="26"/>
  <c r="T396" i="26"/>
  <c r="S396" i="26"/>
  <c r="R396" i="26"/>
  <c r="Q396" i="26"/>
  <c r="P396" i="26"/>
  <c r="O396" i="26"/>
  <c r="N396" i="26"/>
  <c r="M396" i="26"/>
  <c r="L396" i="26"/>
  <c r="K396" i="26"/>
  <c r="J396" i="26"/>
  <c r="I396" i="26"/>
  <c r="H396" i="26"/>
  <c r="G396" i="26"/>
  <c r="F396" i="26"/>
  <c r="AT395" i="26"/>
  <c r="AS395" i="26"/>
  <c r="AR395" i="26"/>
  <c r="AQ395" i="26"/>
  <c r="AP395" i="26"/>
  <c r="AO395" i="26"/>
  <c r="AN395" i="26"/>
  <c r="AM395" i="26"/>
  <c r="AL395" i="26"/>
  <c r="AK395" i="26"/>
  <c r="AJ395" i="26"/>
  <c r="AI395" i="26"/>
  <c r="AH395" i="26"/>
  <c r="AG395" i="26"/>
  <c r="AF395" i="26"/>
  <c r="AE395" i="26"/>
  <c r="AD395" i="26"/>
  <c r="AC395" i="26"/>
  <c r="AB395" i="26"/>
  <c r="AA395" i="26"/>
  <c r="Z395" i="26"/>
  <c r="Y395" i="26"/>
  <c r="X395" i="26"/>
  <c r="W395" i="26"/>
  <c r="V395" i="26"/>
  <c r="U395" i="26"/>
  <c r="T395" i="26"/>
  <c r="S395" i="26"/>
  <c r="R395" i="26"/>
  <c r="Q395" i="26"/>
  <c r="P395" i="26"/>
  <c r="O395" i="26"/>
  <c r="N395" i="26"/>
  <c r="M395" i="26"/>
  <c r="L395" i="26"/>
  <c r="K395" i="26"/>
  <c r="J395" i="26"/>
  <c r="I395" i="26"/>
  <c r="H395" i="26"/>
  <c r="G395" i="26"/>
  <c r="F395" i="26"/>
  <c r="AT394" i="26"/>
  <c r="AS394" i="26"/>
  <c r="AR394" i="26"/>
  <c r="AQ394" i="26"/>
  <c r="AP394" i="26"/>
  <c r="AO394" i="26"/>
  <c r="AN394" i="26"/>
  <c r="AM394" i="26"/>
  <c r="AL394" i="26"/>
  <c r="AK394" i="26"/>
  <c r="AJ394" i="26"/>
  <c r="AI394" i="26"/>
  <c r="AH394" i="26"/>
  <c r="AG394" i="26"/>
  <c r="AF394" i="26"/>
  <c r="AE394" i="26"/>
  <c r="AD394" i="26"/>
  <c r="AC394" i="26"/>
  <c r="AB394" i="26"/>
  <c r="AA394" i="26"/>
  <c r="Z394" i="26"/>
  <c r="Y394" i="26"/>
  <c r="X394" i="26"/>
  <c r="W394" i="26"/>
  <c r="V394" i="26"/>
  <c r="U394" i="26"/>
  <c r="T394" i="26"/>
  <c r="S394" i="26"/>
  <c r="R394" i="26"/>
  <c r="Q394" i="26"/>
  <c r="P394" i="26"/>
  <c r="O394" i="26"/>
  <c r="N394" i="26"/>
  <c r="M394" i="26"/>
  <c r="L394" i="26"/>
  <c r="K394" i="26"/>
  <c r="J394" i="26"/>
  <c r="I394" i="26"/>
  <c r="H394" i="26"/>
  <c r="G394" i="26"/>
  <c r="F394" i="26"/>
  <c r="AT393" i="26"/>
  <c r="AS393" i="26"/>
  <c r="AR393" i="26"/>
  <c r="AQ393" i="26"/>
  <c r="AP393" i="26"/>
  <c r="AO393" i="26"/>
  <c r="AN393" i="26"/>
  <c r="AM393" i="26"/>
  <c r="AL393" i="26"/>
  <c r="AK393" i="26"/>
  <c r="AJ393" i="26"/>
  <c r="AI393" i="26"/>
  <c r="AH393" i="26"/>
  <c r="AG393" i="26"/>
  <c r="AF393" i="26"/>
  <c r="AE393" i="26"/>
  <c r="AD393" i="26"/>
  <c r="AC393" i="26"/>
  <c r="AB393" i="26"/>
  <c r="AA393" i="26"/>
  <c r="Z393" i="26"/>
  <c r="Y393" i="26"/>
  <c r="X393" i="26"/>
  <c r="W393" i="26"/>
  <c r="V393" i="26"/>
  <c r="U393" i="26"/>
  <c r="T393" i="26"/>
  <c r="S393" i="26"/>
  <c r="R393" i="26"/>
  <c r="Q393" i="26"/>
  <c r="P393" i="26"/>
  <c r="O393" i="26"/>
  <c r="N393" i="26"/>
  <c r="M393" i="26"/>
  <c r="L393" i="26"/>
  <c r="K393" i="26"/>
  <c r="J393" i="26"/>
  <c r="I393" i="26"/>
  <c r="H393" i="26"/>
  <c r="G393" i="26"/>
  <c r="F393" i="26"/>
  <c r="AT392" i="26"/>
  <c r="AS392" i="26"/>
  <c r="AR392" i="26"/>
  <c r="AQ392" i="26"/>
  <c r="AP392" i="26"/>
  <c r="AO392" i="26"/>
  <c r="AN392" i="26"/>
  <c r="AM392" i="26"/>
  <c r="AL392" i="26"/>
  <c r="AJ392" i="26"/>
  <c r="AI392" i="26"/>
  <c r="AH392" i="26"/>
  <c r="AG392" i="26"/>
  <c r="AF392" i="26"/>
  <c r="AE392" i="26"/>
  <c r="AD392" i="26"/>
  <c r="AB392" i="26"/>
  <c r="AA392" i="26"/>
  <c r="Z392" i="26"/>
  <c r="Y392" i="26"/>
  <c r="X392" i="26"/>
  <c r="W392" i="26"/>
  <c r="V392" i="26"/>
  <c r="T392" i="26"/>
  <c r="S392" i="26"/>
  <c r="R392" i="26"/>
  <c r="Q392" i="26"/>
  <c r="P392" i="26"/>
  <c r="O392" i="26"/>
  <c r="N392" i="26"/>
  <c r="L392" i="26"/>
  <c r="K392" i="26"/>
  <c r="J392" i="26"/>
  <c r="I392" i="26"/>
  <c r="H392" i="26"/>
  <c r="G392" i="26"/>
  <c r="F392" i="26"/>
  <c r="AF390" i="26"/>
  <c r="AE390" i="26"/>
  <c r="AD390" i="26"/>
  <c r="AC390" i="26"/>
  <c r="AB390" i="26"/>
  <c r="AA390" i="26"/>
  <c r="Z390" i="26"/>
  <c r="Y390" i="26"/>
  <c r="X390" i="26"/>
  <c r="W390" i="26"/>
  <c r="V390" i="26"/>
  <c r="U390" i="26"/>
  <c r="T390" i="26"/>
  <c r="S390" i="26"/>
  <c r="R390" i="26"/>
  <c r="Q390" i="26"/>
  <c r="P390" i="26"/>
  <c r="O390" i="26"/>
  <c r="N390" i="26"/>
  <c r="M390" i="26"/>
  <c r="L390" i="26"/>
  <c r="K390" i="26"/>
  <c r="J390" i="26"/>
  <c r="I390" i="26"/>
  <c r="H390" i="26"/>
  <c r="G390" i="26"/>
  <c r="F390" i="26"/>
  <c r="AT388" i="26"/>
  <c r="AS388" i="26"/>
  <c r="AR388" i="26"/>
  <c r="AK388" i="26"/>
  <c r="AF388" i="26"/>
  <c r="AD388" i="26"/>
  <c r="U388" i="26"/>
  <c r="T388" i="26"/>
  <c r="N388" i="26"/>
  <c r="H388" i="26"/>
  <c r="BJ386" i="26"/>
  <c r="BJ384" i="26"/>
  <c r="Z384" i="26"/>
  <c r="AA384" i="26" s="1"/>
  <c r="AB384" i="26" s="1"/>
  <c r="AC384" i="26" s="1"/>
  <c r="AD384" i="26" s="1"/>
  <c r="AE384" i="26" s="1"/>
  <c r="AF384" i="26" s="1"/>
  <c r="AG384" i="26" s="1"/>
  <c r="AH384" i="26" s="1"/>
  <c r="AI384" i="26" s="1"/>
  <c r="AJ384" i="26" s="1"/>
  <c r="AK384" i="26" s="1"/>
  <c r="AL384" i="26" s="1"/>
  <c r="AM384" i="26" s="1"/>
  <c r="AN384" i="26" s="1"/>
  <c r="AO384" i="26" s="1"/>
  <c r="AP384" i="26" s="1"/>
  <c r="AQ384" i="26" s="1"/>
  <c r="AR384" i="26" s="1"/>
  <c r="AS384" i="26" s="1"/>
  <c r="AT384" i="26" s="1"/>
  <c r="X384" i="26"/>
  <c r="Y384" i="26" s="1"/>
  <c r="W384" i="26"/>
  <c r="BJ383" i="26"/>
  <c r="BU382" i="26"/>
  <c r="BT382" i="26"/>
  <c r="BS382" i="26"/>
  <c r="BR382" i="26"/>
  <c r="BQ382" i="26"/>
  <c r="BP382" i="26"/>
  <c r="BO382" i="26"/>
  <c r="BN382" i="26"/>
  <c r="BM382" i="26"/>
  <c r="BL382" i="26"/>
  <c r="BK382" i="26"/>
  <c r="BJ382" i="26"/>
  <c r="BH382" i="26"/>
  <c r="BF382" i="26"/>
  <c r="BD382" i="26"/>
  <c r="BB382" i="26"/>
  <c r="AZ382" i="26"/>
  <c r="AX382" i="26"/>
  <c r="AV382" i="26"/>
  <c r="AT382" i="26"/>
  <c r="AR382" i="26"/>
  <c r="AP382" i="26"/>
  <c r="AN382" i="26"/>
  <c r="AL382" i="26"/>
  <c r="AJ382" i="26"/>
  <c r="AH382" i="26"/>
  <c r="AF382" i="26"/>
  <c r="AD382" i="26"/>
  <c r="AB382" i="26"/>
  <c r="Z382" i="26"/>
  <c r="X382" i="26"/>
  <c r="V382" i="26"/>
  <c r="T382" i="26"/>
  <c r="R382" i="26"/>
  <c r="P382" i="26"/>
  <c r="N382" i="26"/>
  <c r="L382" i="26"/>
  <c r="J382" i="26"/>
  <c r="H382" i="26"/>
  <c r="G382" i="26"/>
  <c r="F382" i="26"/>
  <c r="BI381" i="26"/>
  <c r="BG381" i="26"/>
  <c r="BE381" i="26"/>
  <c r="BC381" i="26"/>
  <c r="BA381" i="26"/>
  <c r="AY381" i="26"/>
  <c r="AW381" i="26"/>
  <c r="AU381" i="26"/>
  <c r="AS381" i="26"/>
  <c r="AQ381" i="26"/>
  <c r="AO381" i="26"/>
  <c r="AM381" i="26"/>
  <c r="AK381" i="26"/>
  <c r="AI381" i="26"/>
  <c r="AG381" i="26"/>
  <c r="AE381" i="26"/>
  <c r="AC381" i="26"/>
  <c r="AA381" i="26"/>
  <c r="Y381" i="26"/>
  <c r="W381" i="26"/>
  <c r="U381" i="26"/>
  <c r="S381" i="26"/>
  <c r="Q381" i="26"/>
  <c r="O381" i="26"/>
  <c r="M381" i="26"/>
  <c r="K381" i="26"/>
  <c r="I381" i="26"/>
  <c r="BI380" i="26"/>
  <c r="BG380" i="26"/>
  <c r="BE380" i="26"/>
  <c r="BC380" i="26"/>
  <c r="BA380" i="26"/>
  <c r="AY380" i="26"/>
  <c r="AW380" i="26"/>
  <c r="AU380" i="26"/>
  <c r="AS380" i="26"/>
  <c r="AQ380" i="26"/>
  <c r="AO380" i="26"/>
  <c r="AM380" i="26"/>
  <c r="AK380" i="26"/>
  <c r="AI380" i="26"/>
  <c r="AG380" i="26"/>
  <c r="AE380" i="26"/>
  <c r="AC380" i="26"/>
  <c r="AA380" i="26"/>
  <c r="Y380" i="26"/>
  <c r="W380" i="26"/>
  <c r="U380" i="26"/>
  <c r="S380" i="26"/>
  <c r="Q380" i="26"/>
  <c r="O380" i="26"/>
  <c r="M380" i="26"/>
  <c r="K380" i="26"/>
  <c r="I380" i="26"/>
  <c r="BI379" i="26"/>
  <c r="BG379" i="26"/>
  <c r="BE379" i="26"/>
  <c r="BC379" i="26"/>
  <c r="BA379" i="26"/>
  <c r="AY379" i="26"/>
  <c r="AW379" i="26"/>
  <c r="AU379" i="26"/>
  <c r="AS379" i="26"/>
  <c r="AQ379" i="26"/>
  <c r="AO379" i="26"/>
  <c r="AM379" i="26"/>
  <c r="AK379" i="26"/>
  <c r="AI379" i="26"/>
  <c r="AG379" i="26"/>
  <c r="AE379" i="26"/>
  <c r="AC379" i="26"/>
  <c r="AA379" i="26"/>
  <c r="Y379" i="26"/>
  <c r="W379" i="26"/>
  <c r="U379" i="26"/>
  <c r="S379" i="26"/>
  <c r="Q379" i="26"/>
  <c r="O379" i="26"/>
  <c r="M379" i="26"/>
  <c r="K379" i="26"/>
  <c r="I379" i="26"/>
  <c r="BI378" i="26"/>
  <c r="BG378" i="26"/>
  <c r="BE378" i="26"/>
  <c r="BC378" i="26"/>
  <c r="BA378" i="26"/>
  <c r="AY378" i="26"/>
  <c r="AW378" i="26"/>
  <c r="AU378" i="26"/>
  <c r="AS378" i="26"/>
  <c r="AQ378" i="26"/>
  <c r="AO378" i="26"/>
  <c r="AM378" i="26"/>
  <c r="AK378" i="26"/>
  <c r="AI378" i="26"/>
  <c r="AG378" i="26"/>
  <c r="AE378" i="26"/>
  <c r="AC378" i="26"/>
  <c r="AA378" i="26"/>
  <c r="Y378" i="26"/>
  <c r="W378" i="26"/>
  <c r="U378" i="26"/>
  <c r="S378" i="26"/>
  <c r="Q378" i="26"/>
  <c r="O378" i="26"/>
  <c r="M378" i="26"/>
  <c r="K378" i="26"/>
  <c r="I378" i="26"/>
  <c r="BI377" i="26"/>
  <c r="BG377" i="26"/>
  <c r="BE377" i="26"/>
  <c r="BC377" i="26"/>
  <c r="BA377" i="26"/>
  <c r="AY377" i="26"/>
  <c r="AW377" i="26"/>
  <c r="AU377" i="26"/>
  <c r="AS377" i="26"/>
  <c r="AQ377" i="26"/>
  <c r="AO377" i="26"/>
  <c r="AM377" i="26"/>
  <c r="AK377" i="26"/>
  <c r="AI377" i="26"/>
  <c r="AG377" i="26"/>
  <c r="AE377" i="26"/>
  <c r="AC377" i="26"/>
  <c r="AA377" i="26"/>
  <c r="Y377" i="26"/>
  <c r="W377" i="26"/>
  <c r="U377" i="26"/>
  <c r="S377" i="26"/>
  <c r="Q377" i="26"/>
  <c r="O377" i="26"/>
  <c r="M377" i="26"/>
  <c r="K377" i="26"/>
  <c r="I377" i="26"/>
  <c r="BI376" i="26"/>
  <c r="BG376" i="26"/>
  <c r="BE376" i="26"/>
  <c r="BC376" i="26"/>
  <c r="BA376" i="26"/>
  <c r="AY376" i="26"/>
  <c r="AW376" i="26"/>
  <c r="AU376" i="26"/>
  <c r="AS376" i="26"/>
  <c r="AQ376" i="26"/>
  <c r="AO376" i="26"/>
  <c r="AM376" i="26"/>
  <c r="AK376" i="26"/>
  <c r="AI376" i="26"/>
  <c r="AG376" i="26"/>
  <c r="AE376" i="26"/>
  <c r="AC376" i="26"/>
  <c r="AA376" i="26"/>
  <c r="Y376" i="26"/>
  <c r="W376" i="26"/>
  <c r="U376" i="26"/>
  <c r="S376" i="26"/>
  <c r="Q376" i="26"/>
  <c r="O376" i="26"/>
  <c r="M376" i="26"/>
  <c r="K376" i="26"/>
  <c r="I376" i="26"/>
  <c r="BI375" i="26"/>
  <c r="BG375" i="26"/>
  <c r="BE375" i="26"/>
  <c r="BC375" i="26"/>
  <c r="BA375" i="26"/>
  <c r="AY375" i="26"/>
  <c r="AW375" i="26"/>
  <c r="AU375" i="26"/>
  <c r="AS375" i="26"/>
  <c r="AQ375" i="26"/>
  <c r="AO375" i="26"/>
  <c r="AM375" i="26"/>
  <c r="AK375" i="26"/>
  <c r="AI375" i="26"/>
  <c r="AG375" i="26"/>
  <c r="AE375" i="26"/>
  <c r="AC375" i="26"/>
  <c r="AA375" i="26"/>
  <c r="Y375" i="26"/>
  <c r="W375" i="26"/>
  <c r="U375" i="26"/>
  <c r="S375" i="26"/>
  <c r="Q375" i="26"/>
  <c r="O375" i="26"/>
  <c r="M375" i="26"/>
  <c r="K375" i="26"/>
  <c r="I375" i="26"/>
  <c r="BI374" i="26"/>
  <c r="BG374" i="26"/>
  <c r="BE374" i="26"/>
  <c r="BC374" i="26"/>
  <c r="BA374" i="26"/>
  <c r="AY374" i="26"/>
  <c r="AW374" i="26"/>
  <c r="AU374" i="26"/>
  <c r="AS374" i="26"/>
  <c r="AQ374" i="26"/>
  <c r="AO374" i="26"/>
  <c r="AM374" i="26"/>
  <c r="AK374" i="26"/>
  <c r="AI374" i="26"/>
  <c r="AG374" i="26"/>
  <c r="AE374" i="26"/>
  <c r="AC374" i="26"/>
  <c r="AA374" i="26"/>
  <c r="Y374" i="26"/>
  <c r="W374" i="26"/>
  <c r="U374" i="26"/>
  <c r="S374" i="26"/>
  <c r="Q374" i="26"/>
  <c r="O374" i="26"/>
  <c r="M374" i="26"/>
  <c r="K374" i="26"/>
  <c r="I374" i="26"/>
  <c r="BI373" i="26"/>
  <c r="BG373" i="26"/>
  <c r="BG382" i="26" s="1"/>
  <c r="BE373" i="26"/>
  <c r="BC373" i="26"/>
  <c r="BA373" i="26"/>
  <c r="AY373" i="26"/>
  <c r="AW373" i="26"/>
  <c r="AU373" i="26"/>
  <c r="AS373" i="26"/>
  <c r="AQ373" i="26"/>
  <c r="AQ382" i="26" s="1"/>
  <c r="AO373" i="26"/>
  <c r="AM373" i="26"/>
  <c r="AK373" i="26"/>
  <c r="AI373" i="26"/>
  <c r="AG373" i="26"/>
  <c r="AE373" i="26"/>
  <c r="AC373" i="26"/>
  <c r="AA373" i="26"/>
  <c r="AA382" i="26" s="1"/>
  <c r="Y373" i="26"/>
  <c r="W373" i="26"/>
  <c r="U373" i="26"/>
  <c r="S373" i="26"/>
  <c r="Q373" i="26"/>
  <c r="O373" i="26"/>
  <c r="M373" i="26"/>
  <c r="K373" i="26"/>
  <c r="K382" i="26" s="1"/>
  <c r="I373" i="26"/>
  <c r="BI372" i="26"/>
  <c r="BI382" i="26" s="1"/>
  <c r="BG372" i="26"/>
  <c r="BE372" i="26"/>
  <c r="BC372" i="26"/>
  <c r="BA372" i="26"/>
  <c r="AY372" i="26"/>
  <c r="AW372" i="26"/>
  <c r="AW382" i="26" s="1"/>
  <c r="AU372" i="26"/>
  <c r="AS372" i="26"/>
  <c r="AS382" i="26" s="1"/>
  <c r="AQ372" i="26"/>
  <c r="AO372" i="26"/>
  <c r="AM372" i="26"/>
  <c r="AK372" i="26"/>
  <c r="AI372" i="26"/>
  <c r="AG372" i="26"/>
  <c r="AG382" i="26" s="1"/>
  <c r="AE372" i="26"/>
  <c r="AC372" i="26"/>
  <c r="AC382" i="26" s="1"/>
  <c r="AA372" i="26"/>
  <c r="Y372" i="26"/>
  <c r="W372" i="26"/>
  <c r="U372" i="26"/>
  <c r="S372" i="26"/>
  <c r="Q372" i="26"/>
  <c r="Q382" i="26" s="1"/>
  <c r="O372" i="26"/>
  <c r="M372" i="26"/>
  <c r="M382" i="26" s="1"/>
  <c r="K372" i="26"/>
  <c r="I372" i="26"/>
  <c r="BM370" i="26"/>
  <c r="BO370" i="26" s="1"/>
  <c r="BQ370" i="26" s="1"/>
  <c r="BS370" i="26" s="1"/>
  <c r="BU370" i="26" s="1"/>
  <c r="BE370" i="26"/>
  <c r="BG370" i="26" s="1"/>
  <c r="BI370" i="26" s="1"/>
  <c r="BK370" i="26" s="1"/>
  <c r="BC370" i="26"/>
  <c r="BJ369" i="26"/>
  <c r="BJ368" i="26"/>
  <c r="G368" i="26"/>
  <c r="F368" i="26"/>
  <c r="G367" i="26"/>
  <c r="F367" i="26"/>
  <c r="BJ367" i="26" s="1"/>
  <c r="BJ366" i="26"/>
  <c r="G366" i="26"/>
  <c r="F366" i="26"/>
  <c r="BJ364" i="26"/>
  <c r="N352" i="26"/>
  <c r="O352" i="26" s="1"/>
  <c r="P352" i="26" s="1"/>
  <c r="Q352" i="26" s="1"/>
  <c r="R352" i="26" s="1"/>
  <c r="S352" i="26" s="1"/>
  <c r="T352" i="26" s="1"/>
  <c r="U352" i="26" s="1"/>
  <c r="V352" i="26" s="1"/>
  <c r="W352" i="26" s="1"/>
  <c r="X352" i="26" s="1"/>
  <c r="Y352" i="26" s="1"/>
  <c r="Z352" i="26" s="1"/>
  <c r="AA352" i="26" s="1"/>
  <c r="AB352" i="26" s="1"/>
  <c r="AC352" i="26" s="1"/>
  <c r="AD352" i="26" s="1"/>
  <c r="AE352" i="26" s="1"/>
  <c r="AF352" i="26" s="1"/>
  <c r="AG352" i="26" s="1"/>
  <c r="AH352" i="26" s="1"/>
  <c r="AI352" i="26" s="1"/>
  <c r="AJ352" i="26" s="1"/>
  <c r="AK352" i="26" s="1"/>
  <c r="AL352" i="26" s="1"/>
  <c r="AM352" i="26" s="1"/>
  <c r="AN352" i="26" s="1"/>
  <c r="AO352" i="26" s="1"/>
  <c r="AP352" i="26" s="1"/>
  <c r="AQ352" i="26" s="1"/>
  <c r="AR352" i="26" s="1"/>
  <c r="AS352" i="26" s="1"/>
  <c r="AT352" i="26" s="1"/>
  <c r="AU352" i="26" s="1"/>
  <c r="H352" i="26"/>
  <c r="I352" i="26" s="1"/>
  <c r="J352" i="26" s="1"/>
  <c r="K352" i="26" s="1"/>
  <c r="L352" i="26" s="1"/>
  <c r="M352" i="26" s="1"/>
  <c r="M349" i="26"/>
  <c r="N349" i="26" s="1"/>
  <c r="O349" i="26" s="1"/>
  <c r="P349" i="26" s="1"/>
  <c r="Q349" i="26" s="1"/>
  <c r="R349" i="26" s="1"/>
  <c r="S349" i="26" s="1"/>
  <c r="T349" i="26" s="1"/>
  <c r="U349" i="26" s="1"/>
  <c r="V349" i="26" s="1"/>
  <c r="W349" i="26" s="1"/>
  <c r="X349" i="26" s="1"/>
  <c r="Y349" i="26" s="1"/>
  <c r="Z349" i="26" s="1"/>
  <c r="AA349" i="26" s="1"/>
  <c r="AB349" i="26" s="1"/>
  <c r="AC349" i="26" s="1"/>
  <c r="AD349" i="26" s="1"/>
  <c r="AE349" i="26" s="1"/>
  <c r="AF349" i="26" s="1"/>
  <c r="AG349" i="26" s="1"/>
  <c r="AH349" i="26" s="1"/>
  <c r="AI349" i="26" s="1"/>
  <c r="AJ349" i="26" s="1"/>
  <c r="AK349" i="26" s="1"/>
  <c r="AL349" i="26" s="1"/>
  <c r="AM349" i="26" s="1"/>
  <c r="AN349" i="26" s="1"/>
  <c r="AO349" i="26" s="1"/>
  <c r="AP349" i="26" s="1"/>
  <c r="AQ349" i="26" s="1"/>
  <c r="AR349" i="26" s="1"/>
  <c r="AS349" i="26" s="1"/>
  <c r="AT349" i="26" s="1"/>
  <c r="AU349" i="26" s="1"/>
  <c r="I349" i="26"/>
  <c r="J349" i="26" s="1"/>
  <c r="K349" i="26" s="1"/>
  <c r="L349" i="26" s="1"/>
  <c r="H349" i="26"/>
  <c r="H348" i="26"/>
  <c r="I348" i="26" s="1"/>
  <c r="J348" i="26" s="1"/>
  <c r="K348" i="26" s="1"/>
  <c r="L348" i="26" s="1"/>
  <c r="M348" i="26" s="1"/>
  <c r="N348" i="26" s="1"/>
  <c r="O348" i="26" s="1"/>
  <c r="P348" i="26" s="1"/>
  <c r="Q348" i="26" s="1"/>
  <c r="R348" i="26" s="1"/>
  <c r="S348" i="26" s="1"/>
  <c r="T348" i="26" s="1"/>
  <c r="U348" i="26" s="1"/>
  <c r="V348" i="26" s="1"/>
  <c r="W348" i="26" s="1"/>
  <c r="X348" i="26" s="1"/>
  <c r="Y348" i="26" s="1"/>
  <c r="Z348" i="26" s="1"/>
  <c r="AA348" i="26" s="1"/>
  <c r="AB348" i="26" s="1"/>
  <c r="AC348" i="26" s="1"/>
  <c r="AD348" i="26" s="1"/>
  <c r="AE348" i="26" s="1"/>
  <c r="AF348" i="26" s="1"/>
  <c r="AG348" i="26" s="1"/>
  <c r="AH348" i="26" s="1"/>
  <c r="AI348" i="26" s="1"/>
  <c r="AJ348" i="26" s="1"/>
  <c r="AK348" i="26" s="1"/>
  <c r="AL348" i="26" s="1"/>
  <c r="AM348" i="26" s="1"/>
  <c r="AN348" i="26" s="1"/>
  <c r="AO348" i="26" s="1"/>
  <c r="AP348" i="26" s="1"/>
  <c r="AQ348" i="26" s="1"/>
  <c r="AR348" i="26" s="1"/>
  <c r="AS348" i="26" s="1"/>
  <c r="AT348" i="26" s="1"/>
  <c r="AU348" i="26" s="1"/>
  <c r="M347" i="26"/>
  <c r="N347" i="26" s="1"/>
  <c r="O347" i="26" s="1"/>
  <c r="P347" i="26" s="1"/>
  <c r="Q347" i="26" s="1"/>
  <c r="R347" i="26" s="1"/>
  <c r="S347" i="26" s="1"/>
  <c r="T347" i="26" s="1"/>
  <c r="U347" i="26" s="1"/>
  <c r="V347" i="26" s="1"/>
  <c r="W347" i="26" s="1"/>
  <c r="X347" i="26" s="1"/>
  <c r="Y347" i="26" s="1"/>
  <c r="Z347" i="26" s="1"/>
  <c r="AA347" i="26" s="1"/>
  <c r="AB347" i="26" s="1"/>
  <c r="AC347" i="26" s="1"/>
  <c r="AD347" i="26" s="1"/>
  <c r="AE347" i="26" s="1"/>
  <c r="AF347" i="26" s="1"/>
  <c r="AG347" i="26" s="1"/>
  <c r="AH347" i="26" s="1"/>
  <c r="AI347" i="26" s="1"/>
  <c r="AJ347" i="26" s="1"/>
  <c r="AK347" i="26" s="1"/>
  <c r="AL347" i="26" s="1"/>
  <c r="AM347" i="26" s="1"/>
  <c r="AN347" i="26" s="1"/>
  <c r="AO347" i="26" s="1"/>
  <c r="AP347" i="26" s="1"/>
  <c r="AQ347" i="26" s="1"/>
  <c r="AR347" i="26" s="1"/>
  <c r="AS347" i="26" s="1"/>
  <c r="AT347" i="26" s="1"/>
  <c r="AU347" i="26" s="1"/>
  <c r="I347" i="26"/>
  <c r="J347" i="26" s="1"/>
  <c r="K347" i="26" s="1"/>
  <c r="L347" i="26" s="1"/>
  <c r="H347" i="26"/>
  <c r="F345" i="26"/>
  <c r="G344" i="26"/>
  <c r="F344" i="26"/>
  <c r="G341" i="26"/>
  <c r="F341" i="26"/>
  <c r="H340" i="26"/>
  <c r="H338" i="26"/>
  <c r="G336" i="26"/>
  <c r="G365" i="26" s="1"/>
  <c r="G364" i="26" s="1"/>
  <c r="F336" i="26"/>
  <c r="F365" i="26" s="1"/>
  <c r="F364" i="26" s="1"/>
  <c r="B336" i="26"/>
  <c r="J334" i="26"/>
  <c r="K334" i="26" s="1"/>
  <c r="L334" i="26" s="1"/>
  <c r="M334" i="26" s="1"/>
  <c r="N334" i="26" s="1"/>
  <c r="O334" i="26" s="1"/>
  <c r="P334" i="26" s="1"/>
  <c r="Q334" i="26" s="1"/>
  <c r="R334" i="26" s="1"/>
  <c r="S334" i="26" s="1"/>
  <c r="T334" i="26" s="1"/>
  <c r="U334" i="26" s="1"/>
  <c r="V334" i="26" s="1"/>
  <c r="W334" i="26" s="1"/>
  <c r="X334" i="26" s="1"/>
  <c r="Y334" i="26" s="1"/>
  <c r="Z334" i="26" s="1"/>
  <c r="AA334" i="26" s="1"/>
  <c r="AB334" i="26" s="1"/>
  <c r="AC334" i="26" s="1"/>
  <c r="AD334" i="26" s="1"/>
  <c r="AE334" i="26" s="1"/>
  <c r="AF334" i="26" s="1"/>
  <c r="AG334" i="26" s="1"/>
  <c r="AH334" i="26" s="1"/>
  <c r="AI334" i="26" s="1"/>
  <c r="AJ334" i="26" s="1"/>
  <c r="AK334" i="26" s="1"/>
  <c r="AL334" i="26" s="1"/>
  <c r="AM334" i="26" s="1"/>
  <c r="AN334" i="26" s="1"/>
  <c r="AO334" i="26" s="1"/>
  <c r="AP334" i="26" s="1"/>
  <c r="AQ334" i="26" s="1"/>
  <c r="AR334" i="26" s="1"/>
  <c r="AS334" i="26" s="1"/>
  <c r="AT334" i="26" s="1"/>
  <c r="AU334" i="26" s="1"/>
  <c r="I334" i="26"/>
  <c r="I331" i="26" s="1"/>
  <c r="H334" i="26"/>
  <c r="J332" i="26"/>
  <c r="H332" i="26"/>
  <c r="I332" i="26" s="1"/>
  <c r="H331" i="26"/>
  <c r="G331" i="26"/>
  <c r="F331" i="26"/>
  <c r="I330" i="26"/>
  <c r="J330" i="26" s="1"/>
  <c r="K330" i="26" s="1"/>
  <c r="L330" i="26" s="1"/>
  <c r="M330" i="26" s="1"/>
  <c r="N330" i="26" s="1"/>
  <c r="O330" i="26" s="1"/>
  <c r="P330" i="26" s="1"/>
  <c r="Q330" i="26" s="1"/>
  <c r="R330" i="26" s="1"/>
  <c r="S330" i="26" s="1"/>
  <c r="T330" i="26" s="1"/>
  <c r="U330" i="26" s="1"/>
  <c r="V330" i="26" s="1"/>
  <c r="W330" i="26" s="1"/>
  <c r="X330" i="26" s="1"/>
  <c r="Y330" i="26" s="1"/>
  <c r="Z330" i="26" s="1"/>
  <c r="AA330" i="26" s="1"/>
  <c r="AB330" i="26" s="1"/>
  <c r="AC330" i="26" s="1"/>
  <c r="AD330" i="26" s="1"/>
  <c r="AE330" i="26" s="1"/>
  <c r="AF330" i="26" s="1"/>
  <c r="AG330" i="26" s="1"/>
  <c r="AH330" i="26" s="1"/>
  <c r="AI330" i="26" s="1"/>
  <c r="AJ330" i="26" s="1"/>
  <c r="AK330" i="26" s="1"/>
  <c r="AL330" i="26" s="1"/>
  <c r="AM330" i="26" s="1"/>
  <c r="AN330" i="26" s="1"/>
  <c r="AO330" i="26" s="1"/>
  <c r="AP330" i="26" s="1"/>
  <c r="AQ330" i="26" s="1"/>
  <c r="AR330" i="26" s="1"/>
  <c r="AS330" i="26" s="1"/>
  <c r="AT330" i="26" s="1"/>
  <c r="AU330" i="26" s="1"/>
  <c r="H330" i="26"/>
  <c r="G329" i="26"/>
  <c r="H329" i="26" s="1"/>
  <c r="I329" i="26" s="1"/>
  <c r="J329" i="26" s="1"/>
  <c r="K329" i="26" s="1"/>
  <c r="L329" i="26" s="1"/>
  <c r="M329" i="26" s="1"/>
  <c r="N329" i="26" s="1"/>
  <c r="O329" i="26" s="1"/>
  <c r="P329" i="26" s="1"/>
  <c r="Q329" i="26" s="1"/>
  <c r="R329" i="26" s="1"/>
  <c r="S329" i="26" s="1"/>
  <c r="T329" i="26" s="1"/>
  <c r="U329" i="26" s="1"/>
  <c r="V329" i="26" s="1"/>
  <c r="W329" i="26" s="1"/>
  <c r="X329" i="26" s="1"/>
  <c r="Y329" i="26" s="1"/>
  <c r="Z329" i="26" s="1"/>
  <c r="AA329" i="26" s="1"/>
  <c r="AB329" i="26" s="1"/>
  <c r="AC329" i="26" s="1"/>
  <c r="AD329" i="26" s="1"/>
  <c r="AE329" i="26" s="1"/>
  <c r="AF329" i="26" s="1"/>
  <c r="AG329" i="26" s="1"/>
  <c r="AH329" i="26" s="1"/>
  <c r="AI329" i="26" s="1"/>
  <c r="AJ329" i="26" s="1"/>
  <c r="AK329" i="26" s="1"/>
  <c r="AL329" i="26" s="1"/>
  <c r="AM329" i="26" s="1"/>
  <c r="AN329" i="26" s="1"/>
  <c r="AO329" i="26" s="1"/>
  <c r="AP329" i="26" s="1"/>
  <c r="AQ329" i="26" s="1"/>
  <c r="AR329" i="26" s="1"/>
  <c r="AS329" i="26" s="1"/>
  <c r="AT329" i="26" s="1"/>
  <c r="AU329" i="26" s="1"/>
  <c r="H327" i="26"/>
  <c r="I327" i="26" s="1"/>
  <c r="J327" i="26" s="1"/>
  <c r="K327" i="26" s="1"/>
  <c r="L327" i="26" s="1"/>
  <c r="M327" i="26" s="1"/>
  <c r="N327" i="26" s="1"/>
  <c r="O327" i="26" s="1"/>
  <c r="P327" i="26" s="1"/>
  <c r="Q327" i="26" s="1"/>
  <c r="R327" i="26" s="1"/>
  <c r="S327" i="26" s="1"/>
  <c r="T327" i="26" s="1"/>
  <c r="U327" i="26" s="1"/>
  <c r="V327" i="26" s="1"/>
  <c r="W327" i="26" s="1"/>
  <c r="X327" i="26" s="1"/>
  <c r="Y327" i="26" s="1"/>
  <c r="Z327" i="26" s="1"/>
  <c r="AA327" i="26" s="1"/>
  <c r="AB327" i="26" s="1"/>
  <c r="AC327" i="26" s="1"/>
  <c r="AD327" i="26" s="1"/>
  <c r="AE327" i="26" s="1"/>
  <c r="AF327" i="26" s="1"/>
  <c r="AG327" i="26" s="1"/>
  <c r="AH327" i="26" s="1"/>
  <c r="AI327" i="26" s="1"/>
  <c r="AJ327" i="26" s="1"/>
  <c r="AK327" i="26" s="1"/>
  <c r="AL327" i="26" s="1"/>
  <c r="AM327" i="26" s="1"/>
  <c r="AN327" i="26" s="1"/>
  <c r="AO327" i="26" s="1"/>
  <c r="AP327" i="26" s="1"/>
  <c r="AQ327" i="26" s="1"/>
  <c r="AR327" i="26" s="1"/>
  <c r="AS327" i="26" s="1"/>
  <c r="AT327" i="26" s="1"/>
  <c r="AU327" i="26" s="1"/>
  <c r="J325" i="26"/>
  <c r="K325" i="26" s="1"/>
  <c r="L325" i="26" s="1"/>
  <c r="M325" i="26" s="1"/>
  <c r="N325" i="26" s="1"/>
  <c r="O325" i="26" s="1"/>
  <c r="P325" i="26" s="1"/>
  <c r="Q325" i="26" s="1"/>
  <c r="R325" i="26" s="1"/>
  <c r="S325" i="26" s="1"/>
  <c r="T325" i="26" s="1"/>
  <c r="U325" i="26" s="1"/>
  <c r="V325" i="26" s="1"/>
  <c r="W325" i="26" s="1"/>
  <c r="X325" i="26" s="1"/>
  <c r="Y325" i="26" s="1"/>
  <c r="Z325" i="26" s="1"/>
  <c r="AA325" i="26" s="1"/>
  <c r="AB325" i="26" s="1"/>
  <c r="AC325" i="26" s="1"/>
  <c r="AD325" i="26" s="1"/>
  <c r="AE325" i="26" s="1"/>
  <c r="AF325" i="26" s="1"/>
  <c r="AG325" i="26" s="1"/>
  <c r="AH325" i="26" s="1"/>
  <c r="AI325" i="26" s="1"/>
  <c r="AJ325" i="26" s="1"/>
  <c r="AK325" i="26" s="1"/>
  <c r="AL325" i="26" s="1"/>
  <c r="AM325" i="26" s="1"/>
  <c r="AN325" i="26" s="1"/>
  <c r="AO325" i="26" s="1"/>
  <c r="AP325" i="26" s="1"/>
  <c r="AQ325" i="26" s="1"/>
  <c r="AR325" i="26" s="1"/>
  <c r="AS325" i="26" s="1"/>
  <c r="AT325" i="26" s="1"/>
  <c r="AU325" i="26" s="1"/>
  <c r="I325" i="26"/>
  <c r="I324" i="26"/>
  <c r="H323" i="26"/>
  <c r="G323" i="26"/>
  <c r="F323" i="26"/>
  <c r="F322" i="26" s="1"/>
  <c r="H322" i="26"/>
  <c r="G322" i="26"/>
  <c r="J319" i="26"/>
  <c r="K319" i="26" s="1"/>
  <c r="L319" i="26" s="1"/>
  <c r="M319" i="26" s="1"/>
  <c r="N319" i="26" s="1"/>
  <c r="O319" i="26" s="1"/>
  <c r="P319" i="26" s="1"/>
  <c r="Q319" i="26" s="1"/>
  <c r="R319" i="26" s="1"/>
  <c r="S319" i="26" s="1"/>
  <c r="T319" i="26" s="1"/>
  <c r="U319" i="26" s="1"/>
  <c r="V319" i="26" s="1"/>
  <c r="W319" i="26" s="1"/>
  <c r="X319" i="26" s="1"/>
  <c r="Y319" i="26" s="1"/>
  <c r="Z319" i="26" s="1"/>
  <c r="AA319" i="26" s="1"/>
  <c r="AB319" i="26" s="1"/>
  <c r="AC319" i="26" s="1"/>
  <c r="AD319" i="26" s="1"/>
  <c r="AE319" i="26" s="1"/>
  <c r="AF319" i="26" s="1"/>
  <c r="AG319" i="26" s="1"/>
  <c r="AH319" i="26" s="1"/>
  <c r="AI319" i="26" s="1"/>
  <c r="AJ319" i="26" s="1"/>
  <c r="AK319" i="26" s="1"/>
  <c r="AL319" i="26" s="1"/>
  <c r="AM319" i="26" s="1"/>
  <c r="AN319" i="26" s="1"/>
  <c r="AO319" i="26" s="1"/>
  <c r="AP319" i="26" s="1"/>
  <c r="AQ319" i="26" s="1"/>
  <c r="AR319" i="26" s="1"/>
  <c r="AS319" i="26" s="1"/>
  <c r="AT319" i="26" s="1"/>
  <c r="AU319" i="26" s="1"/>
  <c r="I319" i="26"/>
  <c r="H319" i="26"/>
  <c r="G317" i="26"/>
  <c r="F317" i="26"/>
  <c r="G316" i="26"/>
  <c r="F316" i="26"/>
  <c r="H315" i="26"/>
  <c r="G315" i="26"/>
  <c r="F315" i="26"/>
  <c r="F313" i="26" s="1"/>
  <c r="H314" i="26"/>
  <c r="G314" i="26"/>
  <c r="F314" i="26"/>
  <c r="G313" i="26"/>
  <c r="I312" i="26"/>
  <c r="J312" i="26" s="1"/>
  <c r="K312" i="26" s="1"/>
  <c r="L312" i="26" s="1"/>
  <c r="M312" i="26" s="1"/>
  <c r="N312" i="26" s="1"/>
  <c r="O312" i="26" s="1"/>
  <c r="P312" i="26" s="1"/>
  <c r="Q312" i="26" s="1"/>
  <c r="R312" i="26" s="1"/>
  <c r="S312" i="26" s="1"/>
  <c r="T312" i="26" s="1"/>
  <c r="U312" i="26" s="1"/>
  <c r="V312" i="26" s="1"/>
  <c r="W312" i="26" s="1"/>
  <c r="X312" i="26" s="1"/>
  <c r="Y312" i="26" s="1"/>
  <c r="Z312" i="26" s="1"/>
  <c r="AA312" i="26" s="1"/>
  <c r="AB312" i="26" s="1"/>
  <c r="AC312" i="26" s="1"/>
  <c r="AD312" i="26" s="1"/>
  <c r="AE312" i="26" s="1"/>
  <c r="AF312" i="26" s="1"/>
  <c r="AG312" i="26" s="1"/>
  <c r="AH312" i="26" s="1"/>
  <c r="AI312" i="26" s="1"/>
  <c r="AJ312" i="26" s="1"/>
  <c r="AK312" i="26" s="1"/>
  <c r="AL312" i="26" s="1"/>
  <c r="AM312" i="26" s="1"/>
  <c r="AN312" i="26" s="1"/>
  <c r="AO312" i="26" s="1"/>
  <c r="AP312" i="26" s="1"/>
  <c r="AQ312" i="26" s="1"/>
  <c r="AR312" i="26" s="1"/>
  <c r="AS312" i="26" s="1"/>
  <c r="AT312" i="26" s="1"/>
  <c r="AU312" i="26" s="1"/>
  <c r="Z311" i="26"/>
  <c r="AA311" i="26" s="1"/>
  <c r="AB311" i="26" s="1"/>
  <c r="AC311" i="26" s="1"/>
  <c r="AD311" i="26" s="1"/>
  <c r="AE311" i="26" s="1"/>
  <c r="AF311" i="26" s="1"/>
  <c r="AG311" i="26" s="1"/>
  <c r="AH311" i="26" s="1"/>
  <c r="AI311" i="26" s="1"/>
  <c r="AJ311" i="26" s="1"/>
  <c r="AK311" i="26" s="1"/>
  <c r="AL311" i="26" s="1"/>
  <c r="AM311" i="26" s="1"/>
  <c r="AN311" i="26" s="1"/>
  <c r="AO311" i="26" s="1"/>
  <c r="AP311" i="26" s="1"/>
  <c r="AQ311" i="26" s="1"/>
  <c r="AR311" i="26" s="1"/>
  <c r="AS311" i="26" s="1"/>
  <c r="AT311" i="26" s="1"/>
  <c r="AU311" i="26" s="1"/>
  <c r="R311" i="26"/>
  <c r="S311" i="26" s="1"/>
  <c r="T311" i="26" s="1"/>
  <c r="U311" i="26" s="1"/>
  <c r="V311" i="26" s="1"/>
  <c r="W311" i="26" s="1"/>
  <c r="X311" i="26" s="1"/>
  <c r="Y311" i="26" s="1"/>
  <c r="J311" i="26"/>
  <c r="K311" i="26" s="1"/>
  <c r="L311" i="26" s="1"/>
  <c r="M311" i="26" s="1"/>
  <c r="N311" i="26" s="1"/>
  <c r="O311" i="26" s="1"/>
  <c r="P311" i="26" s="1"/>
  <c r="Q311" i="26" s="1"/>
  <c r="I311" i="26"/>
  <c r="Y310" i="26"/>
  <c r="Z310" i="26" s="1"/>
  <c r="AA310" i="26" s="1"/>
  <c r="AB310" i="26" s="1"/>
  <c r="AC310" i="26" s="1"/>
  <c r="AD310" i="26" s="1"/>
  <c r="AE310" i="26" s="1"/>
  <c r="AF310" i="26" s="1"/>
  <c r="AG310" i="26" s="1"/>
  <c r="AH310" i="26" s="1"/>
  <c r="AI310" i="26" s="1"/>
  <c r="AJ310" i="26" s="1"/>
  <c r="AK310" i="26" s="1"/>
  <c r="AL310" i="26" s="1"/>
  <c r="AM310" i="26" s="1"/>
  <c r="AN310" i="26" s="1"/>
  <c r="AO310" i="26" s="1"/>
  <c r="AP310" i="26" s="1"/>
  <c r="AQ310" i="26" s="1"/>
  <c r="AR310" i="26" s="1"/>
  <c r="AS310" i="26" s="1"/>
  <c r="AT310" i="26" s="1"/>
  <c r="AU310" i="26" s="1"/>
  <c r="Q310" i="26"/>
  <c r="R310" i="26" s="1"/>
  <c r="S310" i="26" s="1"/>
  <c r="T310" i="26" s="1"/>
  <c r="U310" i="26" s="1"/>
  <c r="V310" i="26" s="1"/>
  <c r="W310" i="26" s="1"/>
  <c r="X310" i="26" s="1"/>
  <c r="I310" i="26"/>
  <c r="J310" i="26" s="1"/>
  <c r="K310" i="26" s="1"/>
  <c r="L310" i="26" s="1"/>
  <c r="M310" i="26" s="1"/>
  <c r="N310" i="26" s="1"/>
  <c r="O310" i="26" s="1"/>
  <c r="P310" i="26" s="1"/>
  <c r="H310" i="26"/>
  <c r="Y309" i="26"/>
  <c r="Z309" i="26" s="1"/>
  <c r="AA309" i="26" s="1"/>
  <c r="AB309" i="26" s="1"/>
  <c r="AC309" i="26" s="1"/>
  <c r="AD309" i="26" s="1"/>
  <c r="AE309" i="26" s="1"/>
  <c r="AF309" i="26" s="1"/>
  <c r="AG309" i="26" s="1"/>
  <c r="AH309" i="26" s="1"/>
  <c r="AI309" i="26" s="1"/>
  <c r="AJ309" i="26" s="1"/>
  <c r="AK309" i="26" s="1"/>
  <c r="AL309" i="26" s="1"/>
  <c r="AM309" i="26" s="1"/>
  <c r="AN309" i="26" s="1"/>
  <c r="AO309" i="26" s="1"/>
  <c r="AP309" i="26" s="1"/>
  <c r="AQ309" i="26" s="1"/>
  <c r="AR309" i="26" s="1"/>
  <c r="AS309" i="26" s="1"/>
  <c r="AT309" i="26" s="1"/>
  <c r="AU309" i="26" s="1"/>
  <c r="Q309" i="26"/>
  <c r="R309" i="26" s="1"/>
  <c r="S309" i="26" s="1"/>
  <c r="T309" i="26" s="1"/>
  <c r="U309" i="26" s="1"/>
  <c r="V309" i="26" s="1"/>
  <c r="W309" i="26" s="1"/>
  <c r="X309" i="26" s="1"/>
  <c r="I309" i="26"/>
  <c r="J309" i="26" s="1"/>
  <c r="K309" i="26" s="1"/>
  <c r="L309" i="26" s="1"/>
  <c r="M309" i="26" s="1"/>
  <c r="N309" i="26" s="1"/>
  <c r="O309" i="26" s="1"/>
  <c r="P309" i="26" s="1"/>
  <c r="AU308" i="26"/>
  <c r="AT308" i="26"/>
  <c r="AS308" i="26"/>
  <c r="AR308" i="26"/>
  <c r="AQ308" i="26"/>
  <c r="AP308" i="26"/>
  <c r="AO308" i="26"/>
  <c r="AN308" i="26"/>
  <c r="AM308" i="26"/>
  <c r="AL308" i="26"/>
  <c r="AK308" i="26"/>
  <c r="AJ308" i="26"/>
  <c r="AI308" i="26"/>
  <c r="AH308" i="26"/>
  <c r="AG308" i="26"/>
  <c r="AF308" i="26"/>
  <c r="AE308" i="26"/>
  <c r="AD308" i="26"/>
  <c r="AC308" i="26"/>
  <c r="AB308" i="26"/>
  <c r="AA308" i="26"/>
  <c r="Z308" i="26"/>
  <c r="Y308" i="26"/>
  <c r="X308" i="26"/>
  <c r="W308" i="26"/>
  <c r="V308" i="26"/>
  <c r="U308" i="26"/>
  <c r="T308" i="26"/>
  <c r="S308" i="26"/>
  <c r="R308" i="26"/>
  <c r="Q308" i="26"/>
  <c r="P308" i="26"/>
  <c r="O308" i="26"/>
  <c r="N308" i="26"/>
  <c r="M308" i="26"/>
  <c r="L308" i="26"/>
  <c r="K308" i="26"/>
  <c r="J308" i="26"/>
  <c r="I308" i="26"/>
  <c r="H308" i="26"/>
  <c r="AU307" i="26"/>
  <c r="AT307" i="26"/>
  <c r="AS307" i="26"/>
  <c r="AR307" i="26"/>
  <c r="AQ307" i="26"/>
  <c r="AP307" i="26"/>
  <c r="AO307" i="26"/>
  <c r="AN307" i="26"/>
  <c r="AM307" i="26"/>
  <c r="AL307" i="26"/>
  <c r="AK307" i="26"/>
  <c r="AJ307" i="26"/>
  <c r="AI307" i="26"/>
  <c r="AH307" i="26"/>
  <c r="AG307" i="26"/>
  <c r="AF307" i="26"/>
  <c r="AE307" i="26"/>
  <c r="AD307" i="26"/>
  <c r="AC307" i="26"/>
  <c r="AB307" i="26"/>
  <c r="AA307" i="26"/>
  <c r="Z307" i="26"/>
  <c r="Y307" i="26"/>
  <c r="X307" i="26"/>
  <c r="W307" i="26"/>
  <c r="V307" i="26"/>
  <c r="U307" i="26"/>
  <c r="T307" i="26"/>
  <c r="S307" i="26"/>
  <c r="R307" i="26"/>
  <c r="Q307" i="26"/>
  <c r="P307" i="26"/>
  <c r="O307" i="26"/>
  <c r="N307" i="26"/>
  <c r="M307" i="26"/>
  <c r="L307" i="26"/>
  <c r="K307" i="26"/>
  <c r="J307" i="26"/>
  <c r="I307" i="26"/>
  <c r="H307" i="26"/>
  <c r="AU306" i="26"/>
  <c r="AT306" i="26"/>
  <c r="AS306" i="26"/>
  <c r="AR306" i="26"/>
  <c r="AQ306" i="26"/>
  <c r="AP306" i="26"/>
  <c r="AO306" i="26"/>
  <c r="AN306" i="26"/>
  <c r="AM306" i="26"/>
  <c r="AL306" i="26"/>
  <c r="AK306" i="26"/>
  <c r="AJ306" i="26"/>
  <c r="AI306" i="26"/>
  <c r="AH306" i="26"/>
  <c r="AG306" i="26"/>
  <c r="AF306" i="26"/>
  <c r="AE306" i="26"/>
  <c r="AD306" i="26"/>
  <c r="AC306" i="26"/>
  <c r="AB306" i="26"/>
  <c r="AA306" i="26"/>
  <c r="Z306" i="26"/>
  <c r="Y306" i="26"/>
  <c r="X306" i="26"/>
  <c r="W306" i="26"/>
  <c r="V306" i="26"/>
  <c r="U306" i="26"/>
  <c r="T306" i="26"/>
  <c r="S306" i="26"/>
  <c r="R306" i="26"/>
  <c r="Q306" i="26"/>
  <c r="P306" i="26"/>
  <c r="O306" i="26"/>
  <c r="N306" i="26"/>
  <c r="M306" i="26"/>
  <c r="L306" i="26"/>
  <c r="K306" i="26"/>
  <c r="J306" i="26"/>
  <c r="I306" i="26"/>
  <c r="H306" i="26"/>
  <c r="AU305" i="26"/>
  <c r="AT305" i="26"/>
  <c r="AS305" i="26"/>
  <c r="AR305" i="26"/>
  <c r="AQ305" i="26"/>
  <c r="AP305" i="26"/>
  <c r="AO305" i="26"/>
  <c r="AN305" i="26"/>
  <c r="AM305" i="26"/>
  <c r="AL305" i="26"/>
  <c r="AK305" i="26"/>
  <c r="AJ305" i="26"/>
  <c r="AI305" i="26"/>
  <c r="AH305" i="26"/>
  <c r="AG305" i="26"/>
  <c r="AF305" i="26"/>
  <c r="AE305" i="26"/>
  <c r="AD305" i="26"/>
  <c r="AC305" i="26"/>
  <c r="AB305" i="26"/>
  <c r="AA305" i="26"/>
  <c r="Z305" i="26"/>
  <c r="Y305" i="26"/>
  <c r="X305" i="26"/>
  <c r="W305" i="26"/>
  <c r="V305" i="26"/>
  <c r="U305" i="26"/>
  <c r="T305" i="26"/>
  <c r="S305" i="26"/>
  <c r="R305" i="26"/>
  <c r="Q305" i="26"/>
  <c r="P305" i="26"/>
  <c r="O305" i="26"/>
  <c r="N305" i="26"/>
  <c r="M305" i="26"/>
  <c r="L305" i="26"/>
  <c r="K305" i="26"/>
  <c r="J305" i="26"/>
  <c r="I305" i="26"/>
  <c r="H305" i="26"/>
  <c r="AU304" i="26"/>
  <c r="AT304" i="26"/>
  <c r="AS304" i="26"/>
  <c r="AR304" i="26"/>
  <c r="AQ304" i="26"/>
  <c r="AP304" i="26"/>
  <c r="AO304" i="26"/>
  <c r="AN304" i="26"/>
  <c r="AM304" i="26"/>
  <c r="AL304" i="26"/>
  <c r="AK304" i="26"/>
  <c r="AJ304" i="26"/>
  <c r="AI304" i="26"/>
  <c r="AH304" i="26"/>
  <c r="AG304" i="26"/>
  <c r="AF304" i="26"/>
  <c r="AE304" i="26"/>
  <c r="AD304" i="26"/>
  <c r="AC304" i="26"/>
  <c r="AB304" i="26"/>
  <c r="AA304" i="26"/>
  <c r="Z304" i="26"/>
  <c r="Y304" i="26"/>
  <c r="X304" i="26"/>
  <c r="W304" i="26"/>
  <c r="V304" i="26"/>
  <c r="U304" i="26"/>
  <c r="T304" i="26"/>
  <c r="S304" i="26"/>
  <c r="R304" i="26"/>
  <c r="Q304" i="26"/>
  <c r="P304" i="26"/>
  <c r="O304" i="26"/>
  <c r="N304" i="26"/>
  <c r="M304" i="26"/>
  <c r="L304" i="26"/>
  <c r="K304" i="26"/>
  <c r="J304" i="26"/>
  <c r="I304" i="26"/>
  <c r="H304" i="26"/>
  <c r="F303" i="26"/>
  <c r="F302" i="26"/>
  <c r="F301" i="26"/>
  <c r="R299" i="26"/>
  <c r="S299" i="26" s="1"/>
  <c r="T299" i="26" s="1"/>
  <c r="U299" i="26" s="1"/>
  <c r="V299" i="26" s="1"/>
  <c r="W299" i="26" s="1"/>
  <c r="X299" i="26" s="1"/>
  <c r="Y299" i="26" s="1"/>
  <c r="Z299" i="26" s="1"/>
  <c r="AA299" i="26" s="1"/>
  <c r="AB299" i="26" s="1"/>
  <c r="AC299" i="26" s="1"/>
  <c r="AD299" i="26" s="1"/>
  <c r="AE299" i="26" s="1"/>
  <c r="AF299" i="26" s="1"/>
  <c r="AG299" i="26" s="1"/>
  <c r="AH299" i="26" s="1"/>
  <c r="AI299" i="26" s="1"/>
  <c r="AJ299" i="26" s="1"/>
  <c r="AK299" i="26" s="1"/>
  <c r="AL299" i="26" s="1"/>
  <c r="AM299" i="26" s="1"/>
  <c r="AN299" i="26" s="1"/>
  <c r="AO299" i="26" s="1"/>
  <c r="AP299" i="26" s="1"/>
  <c r="AQ299" i="26" s="1"/>
  <c r="AR299" i="26" s="1"/>
  <c r="AS299" i="26" s="1"/>
  <c r="AT299" i="26" s="1"/>
  <c r="AU299" i="26" s="1"/>
  <c r="J299" i="26"/>
  <c r="K299" i="26" s="1"/>
  <c r="L299" i="26" s="1"/>
  <c r="M299" i="26" s="1"/>
  <c r="N299" i="26" s="1"/>
  <c r="O299" i="26" s="1"/>
  <c r="P299" i="26" s="1"/>
  <c r="Q299" i="26" s="1"/>
  <c r="H299" i="26"/>
  <c r="I299" i="26" s="1"/>
  <c r="G293" i="26"/>
  <c r="G292" i="26" s="1"/>
  <c r="F293" i="26"/>
  <c r="F292" i="26" s="1"/>
  <c r="F291" i="26" s="1"/>
  <c r="L288" i="26"/>
  <c r="M288" i="26" s="1"/>
  <c r="N288" i="26" s="1"/>
  <c r="J288" i="26"/>
  <c r="K288" i="26" s="1"/>
  <c r="K287" i="26" s="1"/>
  <c r="I288" i="26"/>
  <c r="I287" i="26"/>
  <c r="H287" i="26"/>
  <c r="G287" i="26"/>
  <c r="G283" i="26" s="1"/>
  <c r="F287" i="26"/>
  <c r="I286" i="26"/>
  <c r="J286" i="26" s="1"/>
  <c r="K286" i="26" s="1"/>
  <c r="H286" i="26"/>
  <c r="I285" i="26"/>
  <c r="I283" i="26" s="1"/>
  <c r="H285" i="26"/>
  <c r="H368" i="26" s="1"/>
  <c r="H283" i="26"/>
  <c r="F283" i="26"/>
  <c r="G279" i="26"/>
  <c r="F279" i="26"/>
  <c r="K275" i="26"/>
  <c r="L275" i="26" s="1"/>
  <c r="M275" i="26" s="1"/>
  <c r="N275" i="26" s="1"/>
  <c r="O275" i="26" s="1"/>
  <c r="P275" i="26" s="1"/>
  <c r="Q275" i="26" s="1"/>
  <c r="R275" i="26" s="1"/>
  <c r="S275" i="26" s="1"/>
  <c r="T275" i="26" s="1"/>
  <c r="U275" i="26" s="1"/>
  <c r="V275" i="26" s="1"/>
  <c r="W275" i="26" s="1"/>
  <c r="X275" i="26" s="1"/>
  <c r="Y275" i="26" s="1"/>
  <c r="Z275" i="26" s="1"/>
  <c r="AA275" i="26" s="1"/>
  <c r="AB275" i="26" s="1"/>
  <c r="AC275" i="26" s="1"/>
  <c r="AD275" i="26" s="1"/>
  <c r="AE275" i="26" s="1"/>
  <c r="AF275" i="26" s="1"/>
  <c r="AG275" i="26" s="1"/>
  <c r="AH275" i="26" s="1"/>
  <c r="AI275" i="26" s="1"/>
  <c r="AJ275" i="26" s="1"/>
  <c r="AK275" i="26" s="1"/>
  <c r="AL275" i="26" s="1"/>
  <c r="AM275" i="26" s="1"/>
  <c r="AN275" i="26" s="1"/>
  <c r="AO275" i="26" s="1"/>
  <c r="AP275" i="26" s="1"/>
  <c r="AQ275" i="26" s="1"/>
  <c r="AR275" i="26" s="1"/>
  <c r="AS275" i="26" s="1"/>
  <c r="AT275" i="26" s="1"/>
  <c r="AU275" i="26" s="1"/>
  <c r="J275" i="26"/>
  <c r="H275" i="26"/>
  <c r="I275" i="26" s="1"/>
  <c r="H272" i="26"/>
  <c r="I272" i="26" s="1"/>
  <c r="J272" i="26" s="1"/>
  <c r="K272" i="26" s="1"/>
  <c r="L272" i="26" s="1"/>
  <c r="M272" i="26" s="1"/>
  <c r="N272" i="26" s="1"/>
  <c r="O272" i="26" s="1"/>
  <c r="P272" i="26" s="1"/>
  <c r="Q272" i="26" s="1"/>
  <c r="R272" i="26" s="1"/>
  <c r="S272" i="26" s="1"/>
  <c r="T272" i="26" s="1"/>
  <c r="U272" i="26" s="1"/>
  <c r="V272" i="26" s="1"/>
  <c r="W272" i="26" s="1"/>
  <c r="X272" i="26" s="1"/>
  <c r="Y272" i="26" s="1"/>
  <c r="Z272" i="26" s="1"/>
  <c r="AA272" i="26" s="1"/>
  <c r="AB272" i="26" s="1"/>
  <c r="AC272" i="26" s="1"/>
  <c r="AD272" i="26" s="1"/>
  <c r="AE272" i="26" s="1"/>
  <c r="AF272" i="26" s="1"/>
  <c r="AG272" i="26" s="1"/>
  <c r="AH272" i="26" s="1"/>
  <c r="AI272" i="26" s="1"/>
  <c r="AJ272" i="26" s="1"/>
  <c r="AK272" i="26" s="1"/>
  <c r="AL272" i="26" s="1"/>
  <c r="AM272" i="26" s="1"/>
  <c r="AN272" i="26" s="1"/>
  <c r="AO272" i="26" s="1"/>
  <c r="AP272" i="26" s="1"/>
  <c r="AQ272" i="26" s="1"/>
  <c r="AR272" i="26" s="1"/>
  <c r="AS272" i="26" s="1"/>
  <c r="AT272" i="26" s="1"/>
  <c r="AU272" i="26" s="1"/>
  <c r="T263" i="26"/>
  <c r="U263" i="26" s="1"/>
  <c r="V263" i="26" s="1"/>
  <c r="W263" i="26" s="1"/>
  <c r="X263" i="26" s="1"/>
  <c r="Y263" i="26" s="1"/>
  <c r="Z263" i="26" s="1"/>
  <c r="AA263" i="26" s="1"/>
  <c r="AB263" i="26" s="1"/>
  <c r="AC263" i="26" s="1"/>
  <c r="AD263" i="26" s="1"/>
  <c r="AE263" i="26" s="1"/>
  <c r="AF263" i="26" s="1"/>
  <c r="AG263" i="26" s="1"/>
  <c r="AH263" i="26" s="1"/>
  <c r="AI263" i="26" s="1"/>
  <c r="AJ263" i="26" s="1"/>
  <c r="AK263" i="26" s="1"/>
  <c r="AL263" i="26" s="1"/>
  <c r="AM263" i="26" s="1"/>
  <c r="AN263" i="26" s="1"/>
  <c r="AO263" i="26" s="1"/>
  <c r="AP263" i="26" s="1"/>
  <c r="AQ263" i="26" s="1"/>
  <c r="AR263" i="26" s="1"/>
  <c r="AS263" i="26" s="1"/>
  <c r="AT263" i="26" s="1"/>
  <c r="AU263" i="26" s="1"/>
  <c r="P263" i="26"/>
  <c r="Q263" i="26" s="1"/>
  <c r="R263" i="26" s="1"/>
  <c r="S263" i="26" s="1"/>
  <c r="N263" i="26"/>
  <c r="O263" i="26" s="1"/>
  <c r="M263" i="26"/>
  <c r="G262" i="26"/>
  <c r="F262" i="26"/>
  <c r="I261" i="26"/>
  <c r="J261" i="26" s="1"/>
  <c r="K261" i="26" s="1"/>
  <c r="L261" i="26" s="1"/>
  <c r="M261" i="26" s="1"/>
  <c r="N261" i="26" s="1"/>
  <c r="O261" i="26" s="1"/>
  <c r="P261" i="26" s="1"/>
  <c r="Q261" i="26" s="1"/>
  <c r="R261" i="26" s="1"/>
  <c r="S261" i="26" s="1"/>
  <c r="T261" i="26" s="1"/>
  <c r="U261" i="26" s="1"/>
  <c r="V261" i="26" s="1"/>
  <c r="W261" i="26" s="1"/>
  <c r="X261" i="26" s="1"/>
  <c r="Y261" i="26" s="1"/>
  <c r="Z261" i="26" s="1"/>
  <c r="AA261" i="26" s="1"/>
  <c r="AB261" i="26" s="1"/>
  <c r="AC261" i="26" s="1"/>
  <c r="AD261" i="26" s="1"/>
  <c r="AE261" i="26" s="1"/>
  <c r="AF261" i="26" s="1"/>
  <c r="AG261" i="26" s="1"/>
  <c r="AH261" i="26" s="1"/>
  <c r="AI261" i="26" s="1"/>
  <c r="AJ261" i="26" s="1"/>
  <c r="AK261" i="26" s="1"/>
  <c r="AL261" i="26" s="1"/>
  <c r="AM261" i="26" s="1"/>
  <c r="AN261" i="26" s="1"/>
  <c r="AO261" i="26" s="1"/>
  <c r="AP261" i="26" s="1"/>
  <c r="AQ261" i="26" s="1"/>
  <c r="AR261" i="26" s="1"/>
  <c r="AS261" i="26" s="1"/>
  <c r="AT261" i="26" s="1"/>
  <c r="AU261" i="26" s="1"/>
  <c r="I260" i="26"/>
  <c r="J260" i="26" s="1"/>
  <c r="K260" i="26" s="1"/>
  <c r="L260" i="26" s="1"/>
  <c r="M260" i="26" s="1"/>
  <c r="N260" i="26" s="1"/>
  <c r="O260" i="26" s="1"/>
  <c r="P260" i="26" s="1"/>
  <c r="Q260" i="26" s="1"/>
  <c r="R260" i="26" s="1"/>
  <c r="S260" i="26" s="1"/>
  <c r="T260" i="26" s="1"/>
  <c r="U260" i="26" s="1"/>
  <c r="V260" i="26" s="1"/>
  <c r="W260" i="26" s="1"/>
  <c r="X260" i="26" s="1"/>
  <c r="Y260" i="26" s="1"/>
  <c r="Z260" i="26" s="1"/>
  <c r="AA260" i="26" s="1"/>
  <c r="AB260" i="26" s="1"/>
  <c r="AC260" i="26" s="1"/>
  <c r="AD260" i="26" s="1"/>
  <c r="AE260" i="26" s="1"/>
  <c r="AF260" i="26" s="1"/>
  <c r="AG260" i="26" s="1"/>
  <c r="AH260" i="26" s="1"/>
  <c r="AI260" i="26" s="1"/>
  <c r="AJ260" i="26" s="1"/>
  <c r="AK260" i="26" s="1"/>
  <c r="AL260" i="26" s="1"/>
  <c r="AM260" i="26" s="1"/>
  <c r="AN260" i="26" s="1"/>
  <c r="AO260" i="26" s="1"/>
  <c r="AP260" i="26" s="1"/>
  <c r="AQ260" i="26" s="1"/>
  <c r="AR260" i="26" s="1"/>
  <c r="AS260" i="26" s="1"/>
  <c r="AT260" i="26" s="1"/>
  <c r="AU260" i="26" s="1"/>
  <c r="H260" i="26"/>
  <c r="I259" i="26"/>
  <c r="J259" i="26" s="1"/>
  <c r="H258" i="26"/>
  <c r="G258" i="26"/>
  <c r="F258" i="26"/>
  <c r="J256" i="26"/>
  <c r="K256" i="26" s="1"/>
  <c r="L256" i="26" s="1"/>
  <c r="M256" i="26" s="1"/>
  <c r="N256" i="26" s="1"/>
  <c r="O256" i="26" s="1"/>
  <c r="P256" i="26" s="1"/>
  <c r="Q256" i="26" s="1"/>
  <c r="R256" i="26" s="1"/>
  <c r="S256" i="26" s="1"/>
  <c r="T256" i="26" s="1"/>
  <c r="U256" i="26" s="1"/>
  <c r="V256" i="26" s="1"/>
  <c r="W256" i="26" s="1"/>
  <c r="X256" i="26" s="1"/>
  <c r="Y256" i="26" s="1"/>
  <c r="Z256" i="26" s="1"/>
  <c r="AA256" i="26" s="1"/>
  <c r="AB256" i="26" s="1"/>
  <c r="AC256" i="26" s="1"/>
  <c r="AD256" i="26" s="1"/>
  <c r="AE256" i="26" s="1"/>
  <c r="AF256" i="26" s="1"/>
  <c r="AG256" i="26" s="1"/>
  <c r="AH256" i="26" s="1"/>
  <c r="AI256" i="26" s="1"/>
  <c r="AJ256" i="26" s="1"/>
  <c r="AK256" i="26" s="1"/>
  <c r="AL256" i="26" s="1"/>
  <c r="AM256" i="26" s="1"/>
  <c r="AN256" i="26" s="1"/>
  <c r="AO256" i="26" s="1"/>
  <c r="AP256" i="26" s="1"/>
  <c r="AQ256" i="26" s="1"/>
  <c r="AR256" i="26" s="1"/>
  <c r="AS256" i="26" s="1"/>
  <c r="AT256" i="26" s="1"/>
  <c r="AU256" i="26" s="1"/>
  <c r="I256" i="26"/>
  <c r="J254" i="26"/>
  <c r="K254" i="26" s="1"/>
  <c r="L254" i="26" s="1"/>
  <c r="M254" i="26" s="1"/>
  <c r="N254" i="26" s="1"/>
  <c r="O254" i="26" s="1"/>
  <c r="P254" i="26" s="1"/>
  <c r="Q254" i="26" s="1"/>
  <c r="R254" i="26" s="1"/>
  <c r="S254" i="26" s="1"/>
  <c r="T254" i="26" s="1"/>
  <c r="U254" i="26" s="1"/>
  <c r="V254" i="26" s="1"/>
  <c r="W254" i="26" s="1"/>
  <c r="X254" i="26" s="1"/>
  <c r="Y254" i="26" s="1"/>
  <c r="Z254" i="26" s="1"/>
  <c r="AA254" i="26" s="1"/>
  <c r="AB254" i="26" s="1"/>
  <c r="AC254" i="26" s="1"/>
  <c r="AD254" i="26" s="1"/>
  <c r="AE254" i="26" s="1"/>
  <c r="AF254" i="26" s="1"/>
  <c r="AG254" i="26" s="1"/>
  <c r="AH254" i="26" s="1"/>
  <c r="AI254" i="26" s="1"/>
  <c r="AJ254" i="26" s="1"/>
  <c r="AK254" i="26" s="1"/>
  <c r="AL254" i="26" s="1"/>
  <c r="AM254" i="26" s="1"/>
  <c r="AN254" i="26" s="1"/>
  <c r="AO254" i="26" s="1"/>
  <c r="AP254" i="26" s="1"/>
  <c r="AQ254" i="26" s="1"/>
  <c r="AR254" i="26" s="1"/>
  <c r="AS254" i="26" s="1"/>
  <c r="AT254" i="26" s="1"/>
  <c r="AU254" i="26" s="1"/>
  <c r="I254" i="26"/>
  <c r="I253" i="26"/>
  <c r="H252" i="26"/>
  <c r="H251" i="26" s="1"/>
  <c r="G252" i="26"/>
  <c r="G251" i="26" s="1"/>
  <c r="F252" i="26"/>
  <c r="F251" i="26" s="1"/>
  <c r="AU247" i="26"/>
  <c r="AT247" i="26"/>
  <c r="AS247" i="26"/>
  <c r="AR247" i="26"/>
  <c r="AQ247" i="26"/>
  <c r="AP247" i="26"/>
  <c r="AO247" i="26"/>
  <c r="AN247" i="26"/>
  <c r="AM247" i="26"/>
  <c r="AL247" i="26"/>
  <c r="AK247" i="26"/>
  <c r="AJ247" i="26"/>
  <c r="AI247" i="26"/>
  <c r="AH247" i="26"/>
  <c r="AG247" i="26"/>
  <c r="AF247" i="26"/>
  <c r="AE247" i="26"/>
  <c r="AD247" i="26"/>
  <c r="AC247" i="26"/>
  <c r="AB247" i="26"/>
  <c r="AA247" i="26"/>
  <c r="Z247" i="26"/>
  <c r="Y247" i="26"/>
  <c r="X247" i="26"/>
  <c r="W247" i="26"/>
  <c r="V247" i="26"/>
  <c r="U247" i="26"/>
  <c r="T247" i="26"/>
  <c r="S247" i="26"/>
  <c r="R247" i="26"/>
  <c r="Q247" i="26"/>
  <c r="P247" i="26"/>
  <c r="O247" i="26"/>
  <c r="N247" i="26"/>
  <c r="M247" i="26"/>
  <c r="L247" i="26"/>
  <c r="K247" i="26"/>
  <c r="J247" i="26"/>
  <c r="I247" i="26"/>
  <c r="H247" i="26"/>
  <c r="G245" i="26"/>
  <c r="F245" i="26"/>
  <c r="I242" i="26"/>
  <c r="J242" i="26" s="1"/>
  <c r="K242" i="26" s="1"/>
  <c r="L242" i="26" s="1"/>
  <c r="M242" i="26" s="1"/>
  <c r="N242" i="26" s="1"/>
  <c r="O242" i="26" s="1"/>
  <c r="P242" i="26" s="1"/>
  <c r="Q242" i="26" s="1"/>
  <c r="R242" i="26" s="1"/>
  <c r="S242" i="26" s="1"/>
  <c r="T242" i="26" s="1"/>
  <c r="U242" i="26" s="1"/>
  <c r="V242" i="26" s="1"/>
  <c r="W242" i="26" s="1"/>
  <c r="X242" i="26" s="1"/>
  <c r="Y242" i="26" s="1"/>
  <c r="Z242" i="26" s="1"/>
  <c r="AA242" i="26" s="1"/>
  <c r="AB242" i="26" s="1"/>
  <c r="AC242" i="26" s="1"/>
  <c r="AD242" i="26" s="1"/>
  <c r="AE242" i="26" s="1"/>
  <c r="AF242" i="26" s="1"/>
  <c r="AG242" i="26" s="1"/>
  <c r="AH242" i="26" s="1"/>
  <c r="AI242" i="26" s="1"/>
  <c r="AJ242" i="26" s="1"/>
  <c r="AK242" i="26" s="1"/>
  <c r="AL242" i="26" s="1"/>
  <c r="AM242" i="26" s="1"/>
  <c r="AN242" i="26" s="1"/>
  <c r="AO242" i="26" s="1"/>
  <c r="AP242" i="26" s="1"/>
  <c r="AQ242" i="26" s="1"/>
  <c r="AR242" i="26" s="1"/>
  <c r="AS242" i="26" s="1"/>
  <c r="AT242" i="26" s="1"/>
  <c r="AU242" i="26" s="1"/>
  <c r="H242" i="26"/>
  <c r="G240" i="26"/>
  <c r="F240" i="26"/>
  <c r="V239" i="26"/>
  <c r="W239" i="26" s="1"/>
  <c r="X239" i="26" s="1"/>
  <c r="Y239" i="26" s="1"/>
  <c r="Z239" i="26" s="1"/>
  <c r="AA239" i="26" s="1"/>
  <c r="AB239" i="26" s="1"/>
  <c r="AC239" i="26" s="1"/>
  <c r="AD239" i="26" s="1"/>
  <c r="AE239" i="26" s="1"/>
  <c r="AF239" i="26" s="1"/>
  <c r="AG239" i="26" s="1"/>
  <c r="AH239" i="26" s="1"/>
  <c r="AI239" i="26" s="1"/>
  <c r="AJ239" i="26" s="1"/>
  <c r="AK239" i="26" s="1"/>
  <c r="AL239" i="26" s="1"/>
  <c r="AM239" i="26" s="1"/>
  <c r="AN239" i="26" s="1"/>
  <c r="AO239" i="26" s="1"/>
  <c r="AP239" i="26" s="1"/>
  <c r="AQ239" i="26" s="1"/>
  <c r="AR239" i="26" s="1"/>
  <c r="AS239" i="26" s="1"/>
  <c r="AT239" i="26" s="1"/>
  <c r="AU239" i="26" s="1"/>
  <c r="H239" i="26"/>
  <c r="I239" i="26" s="1"/>
  <c r="J239" i="26" s="1"/>
  <c r="K239" i="26" s="1"/>
  <c r="L239" i="26" s="1"/>
  <c r="M239" i="26" s="1"/>
  <c r="N239" i="26" s="1"/>
  <c r="O239" i="26" s="1"/>
  <c r="P239" i="26" s="1"/>
  <c r="Q239" i="26" s="1"/>
  <c r="R239" i="26" s="1"/>
  <c r="S239" i="26" s="1"/>
  <c r="T239" i="26" s="1"/>
  <c r="U239" i="26" s="1"/>
  <c r="G239" i="26"/>
  <c r="F239" i="26"/>
  <c r="I238" i="26"/>
  <c r="I236" i="26" s="1"/>
  <c r="H238" i="26"/>
  <c r="G238" i="26"/>
  <c r="F238" i="26"/>
  <c r="J237" i="26"/>
  <c r="I237" i="26"/>
  <c r="H237" i="26"/>
  <c r="G237" i="26"/>
  <c r="F237" i="26"/>
  <c r="H236" i="26"/>
  <c r="F236" i="26"/>
  <c r="F225" i="26" s="1"/>
  <c r="F224" i="26" s="1"/>
  <c r="V235" i="26"/>
  <c r="W235" i="26" s="1"/>
  <c r="X235" i="26" s="1"/>
  <c r="Y235" i="26" s="1"/>
  <c r="Z235" i="26" s="1"/>
  <c r="AA235" i="26" s="1"/>
  <c r="AB235" i="26" s="1"/>
  <c r="AC235" i="26" s="1"/>
  <c r="AD235" i="26" s="1"/>
  <c r="AE235" i="26" s="1"/>
  <c r="AF235" i="26" s="1"/>
  <c r="AG235" i="26" s="1"/>
  <c r="AH235" i="26" s="1"/>
  <c r="AI235" i="26" s="1"/>
  <c r="AJ235" i="26" s="1"/>
  <c r="AK235" i="26" s="1"/>
  <c r="AL235" i="26" s="1"/>
  <c r="AM235" i="26" s="1"/>
  <c r="AN235" i="26" s="1"/>
  <c r="AO235" i="26" s="1"/>
  <c r="AP235" i="26" s="1"/>
  <c r="AQ235" i="26" s="1"/>
  <c r="AR235" i="26" s="1"/>
  <c r="AS235" i="26" s="1"/>
  <c r="AT235" i="26" s="1"/>
  <c r="AU235" i="26" s="1"/>
  <c r="P235" i="26"/>
  <c r="Q235" i="26" s="1"/>
  <c r="R235" i="26" s="1"/>
  <c r="S235" i="26" s="1"/>
  <c r="T235" i="26" s="1"/>
  <c r="U235" i="26" s="1"/>
  <c r="K235" i="26"/>
  <c r="L235" i="26" s="1"/>
  <c r="M235" i="26" s="1"/>
  <c r="N235" i="26" s="1"/>
  <c r="O235" i="26" s="1"/>
  <c r="J235" i="26"/>
  <c r="I235" i="26"/>
  <c r="J234" i="26"/>
  <c r="K234" i="26" s="1"/>
  <c r="L234" i="26" s="1"/>
  <c r="M234" i="26" s="1"/>
  <c r="N234" i="26" s="1"/>
  <c r="O234" i="26" s="1"/>
  <c r="P234" i="26" s="1"/>
  <c r="Q234" i="26" s="1"/>
  <c r="R234" i="26" s="1"/>
  <c r="S234" i="26" s="1"/>
  <c r="T234" i="26" s="1"/>
  <c r="U234" i="26" s="1"/>
  <c r="V234" i="26" s="1"/>
  <c r="W234" i="26" s="1"/>
  <c r="X234" i="26" s="1"/>
  <c r="Y234" i="26" s="1"/>
  <c r="Z234" i="26" s="1"/>
  <c r="AA234" i="26" s="1"/>
  <c r="AB234" i="26" s="1"/>
  <c r="AC234" i="26" s="1"/>
  <c r="AD234" i="26" s="1"/>
  <c r="AE234" i="26" s="1"/>
  <c r="AF234" i="26" s="1"/>
  <c r="AG234" i="26" s="1"/>
  <c r="AH234" i="26" s="1"/>
  <c r="AI234" i="26" s="1"/>
  <c r="AJ234" i="26" s="1"/>
  <c r="AK234" i="26" s="1"/>
  <c r="AL234" i="26" s="1"/>
  <c r="AM234" i="26" s="1"/>
  <c r="AN234" i="26" s="1"/>
  <c r="AO234" i="26" s="1"/>
  <c r="AP234" i="26" s="1"/>
  <c r="AQ234" i="26" s="1"/>
  <c r="AR234" i="26" s="1"/>
  <c r="AS234" i="26" s="1"/>
  <c r="AT234" i="26" s="1"/>
  <c r="AU234" i="26" s="1"/>
  <c r="I234" i="26"/>
  <c r="M233" i="26"/>
  <c r="N233" i="26" s="1"/>
  <c r="O233" i="26" s="1"/>
  <c r="P233" i="26" s="1"/>
  <c r="Q233" i="26" s="1"/>
  <c r="R233" i="26" s="1"/>
  <c r="S233" i="26" s="1"/>
  <c r="T233" i="26" s="1"/>
  <c r="U233" i="26" s="1"/>
  <c r="V233" i="26" s="1"/>
  <c r="W233" i="26" s="1"/>
  <c r="X233" i="26" s="1"/>
  <c r="Y233" i="26" s="1"/>
  <c r="Z233" i="26" s="1"/>
  <c r="AA233" i="26" s="1"/>
  <c r="AB233" i="26" s="1"/>
  <c r="AC233" i="26" s="1"/>
  <c r="AD233" i="26" s="1"/>
  <c r="AE233" i="26" s="1"/>
  <c r="AF233" i="26" s="1"/>
  <c r="AG233" i="26" s="1"/>
  <c r="AH233" i="26" s="1"/>
  <c r="AI233" i="26" s="1"/>
  <c r="AJ233" i="26" s="1"/>
  <c r="AK233" i="26" s="1"/>
  <c r="AL233" i="26" s="1"/>
  <c r="AM233" i="26" s="1"/>
  <c r="AN233" i="26" s="1"/>
  <c r="AO233" i="26" s="1"/>
  <c r="AP233" i="26" s="1"/>
  <c r="AQ233" i="26" s="1"/>
  <c r="AR233" i="26" s="1"/>
  <c r="AS233" i="26" s="1"/>
  <c r="AT233" i="26" s="1"/>
  <c r="AU233" i="26" s="1"/>
  <c r="I232" i="26"/>
  <c r="J232" i="26" s="1"/>
  <c r="K232" i="26" s="1"/>
  <c r="L232" i="26" s="1"/>
  <c r="M232" i="26" s="1"/>
  <c r="N232" i="26" s="1"/>
  <c r="O232" i="26" s="1"/>
  <c r="P232" i="26" s="1"/>
  <c r="Q232" i="26" s="1"/>
  <c r="R232" i="26" s="1"/>
  <c r="S232" i="26" s="1"/>
  <c r="T232" i="26" s="1"/>
  <c r="U232" i="26" s="1"/>
  <c r="V232" i="26" s="1"/>
  <c r="W232" i="26" s="1"/>
  <c r="X232" i="26" s="1"/>
  <c r="Y232" i="26" s="1"/>
  <c r="Z232" i="26" s="1"/>
  <c r="AA232" i="26" s="1"/>
  <c r="AB232" i="26" s="1"/>
  <c r="AC232" i="26" s="1"/>
  <c r="AD232" i="26" s="1"/>
  <c r="AE232" i="26" s="1"/>
  <c r="AF232" i="26" s="1"/>
  <c r="AG232" i="26" s="1"/>
  <c r="AH232" i="26" s="1"/>
  <c r="AI232" i="26" s="1"/>
  <c r="AJ232" i="26" s="1"/>
  <c r="AK232" i="26" s="1"/>
  <c r="AL232" i="26" s="1"/>
  <c r="AM232" i="26" s="1"/>
  <c r="AN232" i="26" s="1"/>
  <c r="AO232" i="26" s="1"/>
  <c r="AP232" i="26" s="1"/>
  <c r="AQ232" i="26" s="1"/>
  <c r="AR232" i="26" s="1"/>
  <c r="AS232" i="26" s="1"/>
  <c r="AT232" i="26" s="1"/>
  <c r="AU232" i="26" s="1"/>
  <c r="AU231" i="26"/>
  <c r="AT231" i="26"/>
  <c r="AS231" i="26"/>
  <c r="AR231" i="26"/>
  <c r="AQ231" i="26"/>
  <c r="AP231" i="26"/>
  <c r="AO231" i="26"/>
  <c r="AN231" i="26"/>
  <c r="AM231" i="26"/>
  <c r="AL231" i="26"/>
  <c r="AK231" i="26"/>
  <c r="AJ231" i="26"/>
  <c r="AI231" i="26"/>
  <c r="AH231" i="26"/>
  <c r="AG231" i="26"/>
  <c r="AF231" i="26"/>
  <c r="AE231" i="26"/>
  <c r="AD231" i="26"/>
  <c r="AC231" i="26"/>
  <c r="AB231" i="26"/>
  <c r="AA231" i="26"/>
  <c r="Z231" i="26"/>
  <c r="Y231" i="26"/>
  <c r="X231" i="26"/>
  <c r="W231" i="26"/>
  <c r="V231" i="26"/>
  <c r="U231" i="26"/>
  <c r="T231" i="26"/>
  <c r="S231" i="26"/>
  <c r="R231" i="26"/>
  <c r="Q231" i="26"/>
  <c r="P231" i="26"/>
  <c r="O231" i="26"/>
  <c r="N231" i="26"/>
  <c r="M231" i="26"/>
  <c r="L231" i="26"/>
  <c r="K231" i="26"/>
  <c r="J231" i="26"/>
  <c r="I231" i="26"/>
  <c r="H231" i="26"/>
  <c r="AU230" i="26"/>
  <c r="AT230" i="26"/>
  <c r="AS230" i="26"/>
  <c r="AR230" i="26"/>
  <c r="AQ230" i="26"/>
  <c r="AP230" i="26"/>
  <c r="AO230" i="26"/>
  <c r="AN230" i="26"/>
  <c r="AM230" i="26"/>
  <c r="AL230" i="26"/>
  <c r="AK230" i="26"/>
  <c r="AJ230" i="26"/>
  <c r="AI230" i="26"/>
  <c r="AH230" i="26"/>
  <c r="AG230" i="26"/>
  <c r="AF230" i="26"/>
  <c r="AE230" i="26"/>
  <c r="AD230" i="26"/>
  <c r="AC230" i="26"/>
  <c r="AB230" i="26"/>
  <c r="AA230" i="26"/>
  <c r="Z230" i="26"/>
  <c r="Y230" i="26"/>
  <c r="X230" i="26"/>
  <c r="W230" i="26"/>
  <c r="V230" i="26"/>
  <c r="U230" i="26"/>
  <c r="T230" i="26"/>
  <c r="S230" i="26"/>
  <c r="R230" i="26"/>
  <c r="Q230" i="26"/>
  <c r="P230" i="26"/>
  <c r="O230" i="26"/>
  <c r="N230" i="26"/>
  <c r="M230" i="26"/>
  <c r="L230" i="26"/>
  <c r="K230" i="26"/>
  <c r="J230" i="26"/>
  <c r="I230" i="26"/>
  <c r="H230" i="26"/>
  <c r="AU229" i="26"/>
  <c r="AT229" i="26"/>
  <c r="AS229" i="26"/>
  <c r="AR229" i="26"/>
  <c r="AQ229" i="26"/>
  <c r="AP229" i="26"/>
  <c r="AO229" i="26"/>
  <c r="AN229" i="26"/>
  <c r="AM229" i="26"/>
  <c r="AL229" i="26"/>
  <c r="AK229" i="26"/>
  <c r="AJ229" i="26"/>
  <c r="AI229" i="26"/>
  <c r="AH229" i="26"/>
  <c r="AG229" i="26"/>
  <c r="AF229" i="26"/>
  <c r="AE229" i="26"/>
  <c r="AD229" i="26"/>
  <c r="AC229" i="26"/>
  <c r="AB229" i="26"/>
  <c r="AA229" i="26"/>
  <c r="Z229" i="26"/>
  <c r="Y229" i="26"/>
  <c r="X229" i="26"/>
  <c r="W229" i="26"/>
  <c r="V229" i="26"/>
  <c r="U229" i="26"/>
  <c r="T229" i="26"/>
  <c r="S229" i="26"/>
  <c r="R229" i="26"/>
  <c r="Q229" i="26"/>
  <c r="P229" i="26"/>
  <c r="O229" i="26"/>
  <c r="N229" i="26"/>
  <c r="M229" i="26"/>
  <c r="L229" i="26"/>
  <c r="K229" i="26"/>
  <c r="J229" i="26"/>
  <c r="I229" i="26"/>
  <c r="H229" i="26"/>
  <c r="AU228" i="26"/>
  <c r="AT228" i="26"/>
  <c r="AS228" i="26"/>
  <c r="AR228" i="26"/>
  <c r="AQ228" i="26"/>
  <c r="AP228" i="26"/>
  <c r="AO228" i="26"/>
  <c r="AN228" i="26"/>
  <c r="AM228" i="26"/>
  <c r="AL228" i="26"/>
  <c r="AK228" i="26"/>
  <c r="AJ228" i="26"/>
  <c r="AI228" i="26"/>
  <c r="AH228" i="26"/>
  <c r="AG228" i="26"/>
  <c r="AF228" i="26"/>
  <c r="AE228" i="26"/>
  <c r="AD228" i="26"/>
  <c r="AC228" i="26"/>
  <c r="AB228" i="26"/>
  <c r="AA228" i="26"/>
  <c r="Z228" i="26"/>
  <c r="Y228" i="26"/>
  <c r="X228" i="26"/>
  <c r="W228" i="26"/>
  <c r="V228" i="26"/>
  <c r="U228" i="26"/>
  <c r="T228" i="26"/>
  <c r="S228" i="26"/>
  <c r="R228" i="26"/>
  <c r="Q228" i="26"/>
  <c r="P228" i="26"/>
  <c r="O228" i="26"/>
  <c r="N228" i="26"/>
  <c r="M228" i="26"/>
  <c r="L228" i="26"/>
  <c r="K228" i="26"/>
  <c r="J228" i="26"/>
  <c r="I228" i="26"/>
  <c r="H228" i="26"/>
  <c r="AU227" i="26"/>
  <c r="AT227" i="26"/>
  <c r="AS227" i="26"/>
  <c r="AR227" i="26"/>
  <c r="AQ227" i="26"/>
  <c r="AP227" i="26"/>
  <c r="AO227" i="26"/>
  <c r="AN227" i="26"/>
  <c r="AM227" i="26"/>
  <c r="AL227" i="26"/>
  <c r="AK227" i="26"/>
  <c r="AJ227" i="26"/>
  <c r="AI227" i="26"/>
  <c r="AH227" i="26"/>
  <c r="AG227" i="26"/>
  <c r="AF227" i="26"/>
  <c r="AE227" i="26"/>
  <c r="AD227" i="26"/>
  <c r="AC227" i="26"/>
  <c r="AB227" i="26"/>
  <c r="AA227" i="26"/>
  <c r="Z227" i="26"/>
  <c r="Y227" i="26"/>
  <c r="X227" i="26"/>
  <c r="W227" i="26"/>
  <c r="V227" i="26"/>
  <c r="U227" i="26"/>
  <c r="T227" i="26"/>
  <c r="S227" i="26"/>
  <c r="R227" i="26"/>
  <c r="Q227" i="26"/>
  <c r="P227" i="26"/>
  <c r="O227" i="26"/>
  <c r="N227" i="26"/>
  <c r="M227" i="26"/>
  <c r="L227" i="26"/>
  <c r="K227" i="26"/>
  <c r="J227" i="26"/>
  <c r="I227" i="26"/>
  <c r="H227" i="26"/>
  <c r="G226" i="26"/>
  <c r="F226" i="26"/>
  <c r="H223" i="26"/>
  <c r="I223" i="26" s="1"/>
  <c r="J223" i="26" s="1"/>
  <c r="K223" i="26" s="1"/>
  <c r="L223" i="26" s="1"/>
  <c r="M223" i="26" s="1"/>
  <c r="N223" i="26" s="1"/>
  <c r="O223" i="26" s="1"/>
  <c r="P223" i="26" s="1"/>
  <c r="Q223" i="26" s="1"/>
  <c r="R223" i="26" s="1"/>
  <c r="S223" i="26" s="1"/>
  <c r="T223" i="26" s="1"/>
  <c r="U223" i="26" s="1"/>
  <c r="V223" i="26" s="1"/>
  <c r="W223" i="26" s="1"/>
  <c r="X223" i="26" s="1"/>
  <c r="Y223" i="26" s="1"/>
  <c r="Z223" i="26" s="1"/>
  <c r="AA223" i="26" s="1"/>
  <c r="AB223" i="26" s="1"/>
  <c r="AC223" i="26" s="1"/>
  <c r="AD223" i="26" s="1"/>
  <c r="AE223" i="26" s="1"/>
  <c r="AF223" i="26" s="1"/>
  <c r="AG223" i="26" s="1"/>
  <c r="AH223" i="26" s="1"/>
  <c r="AI223" i="26" s="1"/>
  <c r="AJ223" i="26" s="1"/>
  <c r="AK223" i="26" s="1"/>
  <c r="AL223" i="26" s="1"/>
  <c r="AM223" i="26" s="1"/>
  <c r="AN223" i="26" s="1"/>
  <c r="AO223" i="26" s="1"/>
  <c r="AP223" i="26" s="1"/>
  <c r="AQ223" i="26" s="1"/>
  <c r="AR223" i="26" s="1"/>
  <c r="AS223" i="26" s="1"/>
  <c r="AT223" i="26" s="1"/>
  <c r="AU223" i="26" s="1"/>
  <c r="J222" i="26"/>
  <c r="K222" i="26" s="1"/>
  <c r="L222" i="26" s="1"/>
  <c r="M222" i="26" s="1"/>
  <c r="N222" i="26" s="1"/>
  <c r="O222" i="26" s="1"/>
  <c r="P222" i="26" s="1"/>
  <c r="Q222" i="26" s="1"/>
  <c r="R222" i="26" s="1"/>
  <c r="S222" i="26" s="1"/>
  <c r="T222" i="26" s="1"/>
  <c r="U222" i="26" s="1"/>
  <c r="V222" i="26" s="1"/>
  <c r="W222" i="26" s="1"/>
  <c r="X222" i="26" s="1"/>
  <c r="Y222" i="26" s="1"/>
  <c r="Z222" i="26" s="1"/>
  <c r="AA222" i="26" s="1"/>
  <c r="AB222" i="26" s="1"/>
  <c r="AC222" i="26" s="1"/>
  <c r="AD222" i="26" s="1"/>
  <c r="AE222" i="26" s="1"/>
  <c r="AF222" i="26" s="1"/>
  <c r="AG222" i="26" s="1"/>
  <c r="AH222" i="26" s="1"/>
  <c r="AI222" i="26" s="1"/>
  <c r="AJ222" i="26" s="1"/>
  <c r="AK222" i="26" s="1"/>
  <c r="AL222" i="26" s="1"/>
  <c r="AM222" i="26" s="1"/>
  <c r="AN222" i="26" s="1"/>
  <c r="AO222" i="26" s="1"/>
  <c r="AP222" i="26" s="1"/>
  <c r="AQ222" i="26" s="1"/>
  <c r="AR222" i="26" s="1"/>
  <c r="AS222" i="26" s="1"/>
  <c r="AT222" i="26" s="1"/>
  <c r="AU222" i="26" s="1"/>
  <c r="G222" i="26"/>
  <c r="H222" i="26" s="1"/>
  <c r="I222" i="26" s="1"/>
  <c r="E222" i="26"/>
  <c r="F220" i="26"/>
  <c r="J218" i="26"/>
  <c r="K218" i="26" s="1"/>
  <c r="L218" i="26" s="1"/>
  <c r="M218" i="26" s="1"/>
  <c r="N218" i="26" s="1"/>
  <c r="O218" i="26" s="1"/>
  <c r="P218" i="26" s="1"/>
  <c r="Q218" i="26" s="1"/>
  <c r="R218" i="26" s="1"/>
  <c r="S218" i="26" s="1"/>
  <c r="T218" i="26" s="1"/>
  <c r="U218" i="26" s="1"/>
  <c r="V218" i="26" s="1"/>
  <c r="W218" i="26" s="1"/>
  <c r="X218" i="26" s="1"/>
  <c r="Y218" i="26" s="1"/>
  <c r="Z218" i="26" s="1"/>
  <c r="AA218" i="26" s="1"/>
  <c r="AB218" i="26" s="1"/>
  <c r="AC218" i="26" s="1"/>
  <c r="AD218" i="26" s="1"/>
  <c r="AE218" i="26" s="1"/>
  <c r="AF218" i="26" s="1"/>
  <c r="AG218" i="26" s="1"/>
  <c r="AH218" i="26" s="1"/>
  <c r="AI218" i="26" s="1"/>
  <c r="AJ218" i="26" s="1"/>
  <c r="AK218" i="26" s="1"/>
  <c r="AL218" i="26" s="1"/>
  <c r="AM218" i="26" s="1"/>
  <c r="AN218" i="26" s="1"/>
  <c r="AO218" i="26" s="1"/>
  <c r="AP218" i="26" s="1"/>
  <c r="AQ218" i="26" s="1"/>
  <c r="AR218" i="26" s="1"/>
  <c r="AS218" i="26" s="1"/>
  <c r="AT218" i="26" s="1"/>
  <c r="AU218" i="26" s="1"/>
  <c r="H218" i="26"/>
  <c r="I218" i="26" s="1"/>
  <c r="G212" i="26"/>
  <c r="F212" i="26"/>
  <c r="F211" i="26"/>
  <c r="I209" i="26"/>
  <c r="J209" i="26" s="1"/>
  <c r="K209" i="26" s="1"/>
  <c r="L209" i="26" s="1"/>
  <c r="M209" i="26" s="1"/>
  <c r="N209" i="26" s="1"/>
  <c r="O209" i="26" s="1"/>
  <c r="P209" i="26" s="1"/>
  <c r="Q209" i="26" s="1"/>
  <c r="R209" i="26" s="1"/>
  <c r="S209" i="26" s="1"/>
  <c r="T209" i="26" s="1"/>
  <c r="U209" i="26" s="1"/>
  <c r="V209" i="26" s="1"/>
  <c r="W209" i="26" s="1"/>
  <c r="X209" i="26" s="1"/>
  <c r="Y209" i="26" s="1"/>
  <c r="Z209" i="26" s="1"/>
  <c r="AA209" i="26" s="1"/>
  <c r="AB209" i="26" s="1"/>
  <c r="AC209" i="26" s="1"/>
  <c r="AD209" i="26" s="1"/>
  <c r="AE209" i="26" s="1"/>
  <c r="AF209" i="26" s="1"/>
  <c r="AG209" i="26" s="1"/>
  <c r="AH209" i="26" s="1"/>
  <c r="AI209" i="26" s="1"/>
  <c r="AJ209" i="26" s="1"/>
  <c r="AK209" i="26" s="1"/>
  <c r="AL209" i="26" s="1"/>
  <c r="AM209" i="26" s="1"/>
  <c r="AN209" i="26" s="1"/>
  <c r="AO209" i="26" s="1"/>
  <c r="AP209" i="26" s="1"/>
  <c r="AQ209" i="26" s="1"/>
  <c r="AR209" i="26" s="1"/>
  <c r="AS209" i="26" s="1"/>
  <c r="AT209" i="26" s="1"/>
  <c r="AU209" i="26" s="1"/>
  <c r="H209" i="26"/>
  <c r="Q208" i="26"/>
  <c r="R208" i="26" s="1"/>
  <c r="S208" i="26" s="1"/>
  <c r="T208" i="26" s="1"/>
  <c r="U208" i="26" s="1"/>
  <c r="V208" i="26" s="1"/>
  <c r="W208" i="26" s="1"/>
  <c r="X208" i="26" s="1"/>
  <c r="Y208" i="26" s="1"/>
  <c r="Z208" i="26" s="1"/>
  <c r="AA208" i="26" s="1"/>
  <c r="AB208" i="26" s="1"/>
  <c r="AC208" i="26" s="1"/>
  <c r="AD208" i="26" s="1"/>
  <c r="AE208" i="26" s="1"/>
  <c r="AF208" i="26" s="1"/>
  <c r="AG208" i="26" s="1"/>
  <c r="AH208" i="26" s="1"/>
  <c r="AI208" i="26" s="1"/>
  <c r="AJ208" i="26" s="1"/>
  <c r="AK208" i="26" s="1"/>
  <c r="AL208" i="26" s="1"/>
  <c r="AM208" i="26" s="1"/>
  <c r="AN208" i="26" s="1"/>
  <c r="AO208" i="26" s="1"/>
  <c r="AP208" i="26" s="1"/>
  <c r="AQ208" i="26" s="1"/>
  <c r="AR208" i="26" s="1"/>
  <c r="AS208" i="26" s="1"/>
  <c r="AT208" i="26" s="1"/>
  <c r="AU208" i="26" s="1"/>
  <c r="I208" i="26"/>
  <c r="J208" i="26" s="1"/>
  <c r="K208" i="26" s="1"/>
  <c r="L208" i="26" s="1"/>
  <c r="M208" i="26" s="1"/>
  <c r="N208" i="26" s="1"/>
  <c r="O208" i="26" s="1"/>
  <c r="P208" i="26" s="1"/>
  <c r="H208" i="26"/>
  <c r="K206" i="26"/>
  <c r="N206" i="26" s="1"/>
  <c r="N202" i="26" s="1"/>
  <c r="V205" i="26"/>
  <c r="AA205" i="26" s="1"/>
  <c r="AF205" i="26" s="1"/>
  <c r="AK205" i="26" s="1"/>
  <c r="AP205" i="26" s="1"/>
  <c r="AU205" i="26" s="1"/>
  <c r="Q205" i="26"/>
  <c r="Q203" i="26"/>
  <c r="AT202" i="26"/>
  <c r="AS202" i="26"/>
  <c r="AQ202" i="26"/>
  <c r="AN202" i="26"/>
  <c r="AM202" i="26"/>
  <c r="AJ202" i="26"/>
  <c r="AH202" i="26"/>
  <c r="AG202" i="26"/>
  <c r="AE202" i="26"/>
  <c r="AD202" i="26"/>
  <c r="AB202" i="26"/>
  <c r="Y202" i="26"/>
  <c r="X202" i="26"/>
  <c r="U202" i="26"/>
  <c r="S202" i="26"/>
  <c r="R202" i="26"/>
  <c r="P202" i="26"/>
  <c r="O202" i="26"/>
  <c r="M202" i="26"/>
  <c r="L202" i="26"/>
  <c r="K202" i="26"/>
  <c r="J202" i="26"/>
  <c r="I202" i="26"/>
  <c r="H202" i="26"/>
  <c r="H188" i="26" s="1"/>
  <c r="G202" i="26"/>
  <c r="F202" i="26"/>
  <c r="AC201" i="26"/>
  <c r="AD201" i="26" s="1"/>
  <c r="AE201" i="26" s="1"/>
  <c r="AF201" i="26" s="1"/>
  <c r="AG201" i="26" s="1"/>
  <c r="AH201" i="26" s="1"/>
  <c r="AI201" i="26" s="1"/>
  <c r="AJ201" i="26" s="1"/>
  <c r="AK201" i="26" s="1"/>
  <c r="AL201" i="26" s="1"/>
  <c r="AM201" i="26" s="1"/>
  <c r="AN201" i="26" s="1"/>
  <c r="AO201" i="26" s="1"/>
  <c r="AP201" i="26" s="1"/>
  <c r="AQ201" i="26" s="1"/>
  <c r="AR201" i="26" s="1"/>
  <c r="AS201" i="26" s="1"/>
  <c r="AT201" i="26" s="1"/>
  <c r="AU201" i="26" s="1"/>
  <c r="N201" i="26"/>
  <c r="O201" i="26" s="1"/>
  <c r="P201" i="26" s="1"/>
  <c r="Q201" i="26" s="1"/>
  <c r="R201" i="26" s="1"/>
  <c r="S201" i="26" s="1"/>
  <c r="T201" i="26" s="1"/>
  <c r="U201" i="26" s="1"/>
  <c r="V201" i="26" s="1"/>
  <c r="W201" i="26" s="1"/>
  <c r="X201" i="26" s="1"/>
  <c r="Y201" i="26" s="1"/>
  <c r="Z201" i="26" s="1"/>
  <c r="AA201" i="26" s="1"/>
  <c r="AB201" i="26" s="1"/>
  <c r="M201" i="26"/>
  <c r="J201" i="26"/>
  <c r="K201" i="26" s="1"/>
  <c r="L201" i="26" s="1"/>
  <c r="I201" i="26"/>
  <c r="U200" i="26"/>
  <c r="V200" i="26" s="1"/>
  <c r="W200" i="26" s="1"/>
  <c r="X200" i="26" s="1"/>
  <c r="Y200" i="26" s="1"/>
  <c r="Z200" i="26" s="1"/>
  <c r="AA200" i="26" s="1"/>
  <c r="AB200" i="26" s="1"/>
  <c r="AC200" i="26" s="1"/>
  <c r="AD200" i="26" s="1"/>
  <c r="AE200" i="26" s="1"/>
  <c r="AF200" i="26" s="1"/>
  <c r="AG200" i="26" s="1"/>
  <c r="AH200" i="26" s="1"/>
  <c r="AI200" i="26" s="1"/>
  <c r="AJ200" i="26" s="1"/>
  <c r="AK200" i="26" s="1"/>
  <c r="AL200" i="26" s="1"/>
  <c r="AM200" i="26" s="1"/>
  <c r="AN200" i="26" s="1"/>
  <c r="AO200" i="26" s="1"/>
  <c r="AP200" i="26" s="1"/>
  <c r="AQ200" i="26" s="1"/>
  <c r="AR200" i="26" s="1"/>
  <c r="AS200" i="26" s="1"/>
  <c r="AT200" i="26" s="1"/>
  <c r="AU200" i="26" s="1"/>
  <c r="I200" i="26"/>
  <c r="J200" i="26" s="1"/>
  <c r="K200" i="26" s="1"/>
  <c r="L200" i="26" s="1"/>
  <c r="M200" i="26" s="1"/>
  <c r="N200" i="26" s="1"/>
  <c r="O200" i="26" s="1"/>
  <c r="P200" i="26" s="1"/>
  <c r="Q200" i="26" s="1"/>
  <c r="R200" i="26" s="1"/>
  <c r="S200" i="26" s="1"/>
  <c r="T200" i="26" s="1"/>
  <c r="H200" i="26"/>
  <c r="I199" i="26"/>
  <c r="J199" i="26" s="1"/>
  <c r="K199" i="26" s="1"/>
  <c r="L199" i="26" s="1"/>
  <c r="M199" i="26" s="1"/>
  <c r="N199" i="26" s="1"/>
  <c r="O199" i="26" s="1"/>
  <c r="P199" i="26" s="1"/>
  <c r="Q199" i="26" s="1"/>
  <c r="R199" i="26" s="1"/>
  <c r="S199" i="26" s="1"/>
  <c r="T199" i="26" s="1"/>
  <c r="U199" i="26" s="1"/>
  <c r="V199" i="26" s="1"/>
  <c r="W199" i="26" s="1"/>
  <c r="X199" i="26" s="1"/>
  <c r="Y199" i="26" s="1"/>
  <c r="Z199" i="26" s="1"/>
  <c r="AA199" i="26" s="1"/>
  <c r="AB199" i="26" s="1"/>
  <c r="AC199" i="26" s="1"/>
  <c r="AD199" i="26" s="1"/>
  <c r="AE199" i="26" s="1"/>
  <c r="AF199" i="26" s="1"/>
  <c r="AG199" i="26" s="1"/>
  <c r="AH199" i="26" s="1"/>
  <c r="AI199" i="26" s="1"/>
  <c r="AJ199" i="26" s="1"/>
  <c r="AK199" i="26" s="1"/>
  <c r="AL199" i="26" s="1"/>
  <c r="AM199" i="26" s="1"/>
  <c r="AN199" i="26" s="1"/>
  <c r="AO199" i="26" s="1"/>
  <c r="AP199" i="26" s="1"/>
  <c r="AQ199" i="26" s="1"/>
  <c r="AR199" i="26" s="1"/>
  <c r="AS199" i="26" s="1"/>
  <c r="AT199" i="26" s="1"/>
  <c r="AU199" i="26" s="1"/>
  <c r="H199" i="26"/>
  <c r="I198" i="26"/>
  <c r="J198" i="26" s="1"/>
  <c r="K198" i="26" s="1"/>
  <c r="L198" i="26" s="1"/>
  <c r="M198" i="26" s="1"/>
  <c r="N198" i="26" s="1"/>
  <c r="O198" i="26" s="1"/>
  <c r="P198" i="26" s="1"/>
  <c r="Q198" i="26" s="1"/>
  <c r="R198" i="26" s="1"/>
  <c r="S198" i="26" s="1"/>
  <c r="T198" i="26" s="1"/>
  <c r="U198" i="26" s="1"/>
  <c r="V198" i="26" s="1"/>
  <c r="W198" i="26" s="1"/>
  <c r="X198" i="26" s="1"/>
  <c r="Y198" i="26" s="1"/>
  <c r="Z198" i="26" s="1"/>
  <c r="AA198" i="26" s="1"/>
  <c r="AB198" i="26" s="1"/>
  <c r="AC198" i="26" s="1"/>
  <c r="AD198" i="26" s="1"/>
  <c r="AE198" i="26" s="1"/>
  <c r="AF198" i="26" s="1"/>
  <c r="AG198" i="26" s="1"/>
  <c r="AH198" i="26" s="1"/>
  <c r="AI198" i="26" s="1"/>
  <c r="AJ198" i="26" s="1"/>
  <c r="AK198" i="26" s="1"/>
  <c r="AL198" i="26" s="1"/>
  <c r="AM198" i="26" s="1"/>
  <c r="AN198" i="26" s="1"/>
  <c r="AO198" i="26" s="1"/>
  <c r="AP198" i="26" s="1"/>
  <c r="AQ198" i="26" s="1"/>
  <c r="AR198" i="26" s="1"/>
  <c r="AS198" i="26" s="1"/>
  <c r="AT198" i="26" s="1"/>
  <c r="AU198" i="26" s="1"/>
  <c r="H198" i="26"/>
  <c r="I197" i="26"/>
  <c r="H197" i="26"/>
  <c r="H366" i="26" s="1"/>
  <c r="N195" i="26"/>
  <c r="O195" i="26" s="1"/>
  <c r="P195" i="26" s="1"/>
  <c r="Q195" i="26" s="1"/>
  <c r="R195" i="26" s="1"/>
  <c r="S195" i="26" s="1"/>
  <c r="T195" i="26" s="1"/>
  <c r="U195" i="26" s="1"/>
  <c r="V195" i="26" s="1"/>
  <c r="W195" i="26" s="1"/>
  <c r="X195" i="26" s="1"/>
  <c r="Y195" i="26" s="1"/>
  <c r="Z195" i="26" s="1"/>
  <c r="AA195" i="26" s="1"/>
  <c r="AB195" i="26" s="1"/>
  <c r="AC195" i="26" s="1"/>
  <c r="AD195" i="26" s="1"/>
  <c r="AE195" i="26" s="1"/>
  <c r="AF195" i="26" s="1"/>
  <c r="AG195" i="26" s="1"/>
  <c r="AH195" i="26" s="1"/>
  <c r="AI195" i="26" s="1"/>
  <c r="AJ195" i="26" s="1"/>
  <c r="AK195" i="26" s="1"/>
  <c r="AL195" i="26" s="1"/>
  <c r="AM195" i="26" s="1"/>
  <c r="AN195" i="26" s="1"/>
  <c r="AO195" i="26" s="1"/>
  <c r="AP195" i="26" s="1"/>
  <c r="AQ195" i="26" s="1"/>
  <c r="AR195" i="26" s="1"/>
  <c r="AS195" i="26" s="1"/>
  <c r="AT195" i="26" s="1"/>
  <c r="AU195" i="26" s="1"/>
  <c r="M195" i="26"/>
  <c r="L195" i="26"/>
  <c r="I195" i="26"/>
  <c r="J195" i="26" s="1"/>
  <c r="K195" i="26" s="1"/>
  <c r="H195" i="26"/>
  <c r="F195" i="26"/>
  <c r="AC193" i="26"/>
  <c r="AG193" i="26" s="1"/>
  <c r="AK193" i="26" s="1"/>
  <c r="AO193" i="26" s="1"/>
  <c r="AS193" i="26" s="1"/>
  <c r="W193" i="26"/>
  <c r="AA193" i="26" s="1"/>
  <c r="AE193" i="26" s="1"/>
  <c r="AI193" i="26" s="1"/>
  <c r="AM193" i="26" s="1"/>
  <c r="AQ193" i="26" s="1"/>
  <c r="AU193" i="26" s="1"/>
  <c r="O193" i="26"/>
  <c r="S193" i="26" s="1"/>
  <c r="M193" i="26"/>
  <c r="Q193" i="26" s="1"/>
  <c r="U193" i="26" s="1"/>
  <c r="Y193" i="26" s="1"/>
  <c r="K193" i="26"/>
  <c r="J193" i="26"/>
  <c r="N193" i="26" s="1"/>
  <c r="R193" i="26" s="1"/>
  <c r="V193" i="26" s="1"/>
  <c r="Z193" i="26" s="1"/>
  <c r="AD193" i="26" s="1"/>
  <c r="AH193" i="26" s="1"/>
  <c r="AL193" i="26" s="1"/>
  <c r="AP193" i="26" s="1"/>
  <c r="AT193" i="26" s="1"/>
  <c r="I193" i="26"/>
  <c r="H193" i="26"/>
  <c r="L193" i="26" s="1"/>
  <c r="P193" i="26" s="1"/>
  <c r="T193" i="26" s="1"/>
  <c r="X193" i="26" s="1"/>
  <c r="AB193" i="26" s="1"/>
  <c r="AF193" i="26" s="1"/>
  <c r="AJ193" i="26" s="1"/>
  <c r="AN193" i="26" s="1"/>
  <c r="AR193" i="26" s="1"/>
  <c r="H192" i="26"/>
  <c r="I192" i="26" s="1"/>
  <c r="J192" i="26" s="1"/>
  <c r="K192" i="26" s="1"/>
  <c r="L192" i="26" s="1"/>
  <c r="M192" i="26" s="1"/>
  <c r="N192" i="26" s="1"/>
  <c r="O192" i="26" s="1"/>
  <c r="P192" i="26" s="1"/>
  <c r="Q192" i="26" s="1"/>
  <c r="R192" i="26" s="1"/>
  <c r="S192" i="26" s="1"/>
  <c r="T192" i="26" s="1"/>
  <c r="U192" i="26" s="1"/>
  <c r="V192" i="26" s="1"/>
  <c r="W192" i="26" s="1"/>
  <c r="X192" i="26" s="1"/>
  <c r="Y192" i="26" s="1"/>
  <c r="Z192" i="26" s="1"/>
  <c r="AA192" i="26" s="1"/>
  <c r="AB192" i="26" s="1"/>
  <c r="AC192" i="26" s="1"/>
  <c r="AD192" i="26" s="1"/>
  <c r="AE192" i="26" s="1"/>
  <c r="AF192" i="26" s="1"/>
  <c r="AG192" i="26" s="1"/>
  <c r="AH192" i="26" s="1"/>
  <c r="AI192" i="26" s="1"/>
  <c r="AJ192" i="26" s="1"/>
  <c r="AK192" i="26" s="1"/>
  <c r="AL192" i="26" s="1"/>
  <c r="AM192" i="26" s="1"/>
  <c r="AN192" i="26" s="1"/>
  <c r="AO192" i="26" s="1"/>
  <c r="AP192" i="26" s="1"/>
  <c r="AQ192" i="26" s="1"/>
  <c r="AR192" i="26" s="1"/>
  <c r="AS192" i="26" s="1"/>
  <c r="AT192" i="26" s="1"/>
  <c r="AU192" i="26" s="1"/>
  <c r="J191" i="26"/>
  <c r="K191" i="26" s="1"/>
  <c r="L191" i="26" s="1"/>
  <c r="H191" i="26"/>
  <c r="I191" i="26" s="1"/>
  <c r="H190" i="26"/>
  <c r="H367" i="26" s="1"/>
  <c r="J189" i="26"/>
  <c r="K189" i="26" s="1"/>
  <c r="L189" i="26" s="1"/>
  <c r="M189" i="26" s="1"/>
  <c r="N189" i="26" s="1"/>
  <c r="O189" i="26" s="1"/>
  <c r="P189" i="26" s="1"/>
  <c r="Q189" i="26" s="1"/>
  <c r="R189" i="26" s="1"/>
  <c r="S189" i="26" s="1"/>
  <c r="T189" i="26" s="1"/>
  <c r="U189" i="26" s="1"/>
  <c r="V189" i="26" s="1"/>
  <c r="W189" i="26" s="1"/>
  <c r="X189" i="26" s="1"/>
  <c r="Y189" i="26" s="1"/>
  <c r="Z189" i="26" s="1"/>
  <c r="AA189" i="26" s="1"/>
  <c r="AB189" i="26" s="1"/>
  <c r="AC189" i="26" s="1"/>
  <c r="AD189" i="26" s="1"/>
  <c r="AE189" i="26" s="1"/>
  <c r="AF189" i="26" s="1"/>
  <c r="AG189" i="26" s="1"/>
  <c r="AH189" i="26" s="1"/>
  <c r="AI189" i="26" s="1"/>
  <c r="AJ189" i="26" s="1"/>
  <c r="AK189" i="26" s="1"/>
  <c r="AL189" i="26" s="1"/>
  <c r="AM189" i="26" s="1"/>
  <c r="AN189" i="26" s="1"/>
  <c r="AO189" i="26" s="1"/>
  <c r="AP189" i="26" s="1"/>
  <c r="AQ189" i="26" s="1"/>
  <c r="AR189" i="26" s="1"/>
  <c r="AS189" i="26" s="1"/>
  <c r="AT189" i="26" s="1"/>
  <c r="AU189" i="26" s="1"/>
  <c r="G188" i="26"/>
  <c r="F188" i="26"/>
  <c r="R187" i="26"/>
  <c r="S187" i="26" s="1"/>
  <c r="T187" i="26" s="1"/>
  <c r="U187" i="26" s="1"/>
  <c r="V187" i="26" s="1"/>
  <c r="W187" i="26" s="1"/>
  <c r="X187" i="26" s="1"/>
  <c r="Y187" i="26" s="1"/>
  <c r="Z187" i="26" s="1"/>
  <c r="AA187" i="26" s="1"/>
  <c r="AB187" i="26" s="1"/>
  <c r="AC187" i="26" s="1"/>
  <c r="AD187" i="26" s="1"/>
  <c r="AE187" i="26" s="1"/>
  <c r="AF187" i="26" s="1"/>
  <c r="AG187" i="26" s="1"/>
  <c r="AH187" i="26" s="1"/>
  <c r="AI187" i="26" s="1"/>
  <c r="AJ187" i="26" s="1"/>
  <c r="AK187" i="26" s="1"/>
  <c r="AL187" i="26" s="1"/>
  <c r="AM187" i="26" s="1"/>
  <c r="AN187" i="26" s="1"/>
  <c r="AO187" i="26" s="1"/>
  <c r="AP187" i="26" s="1"/>
  <c r="AQ187" i="26" s="1"/>
  <c r="AR187" i="26" s="1"/>
  <c r="AS187" i="26" s="1"/>
  <c r="AT187" i="26" s="1"/>
  <c r="AU187" i="26" s="1"/>
  <c r="M187" i="26"/>
  <c r="N187" i="26" s="1"/>
  <c r="O187" i="26" s="1"/>
  <c r="P187" i="26" s="1"/>
  <c r="Q187" i="26" s="1"/>
  <c r="J187" i="26"/>
  <c r="K187" i="26" s="1"/>
  <c r="L187" i="26" s="1"/>
  <c r="H187" i="26"/>
  <c r="I187" i="26" s="1"/>
  <c r="V186" i="26"/>
  <c r="W186" i="26" s="1"/>
  <c r="X186" i="26" s="1"/>
  <c r="Y186" i="26" s="1"/>
  <c r="Z186" i="26" s="1"/>
  <c r="AA186" i="26" s="1"/>
  <c r="AB186" i="26" s="1"/>
  <c r="AC186" i="26" s="1"/>
  <c r="AD186" i="26" s="1"/>
  <c r="AE186" i="26" s="1"/>
  <c r="AF186" i="26" s="1"/>
  <c r="AG186" i="26" s="1"/>
  <c r="AH186" i="26" s="1"/>
  <c r="AI186" i="26" s="1"/>
  <c r="AJ186" i="26" s="1"/>
  <c r="AK186" i="26" s="1"/>
  <c r="AL186" i="26" s="1"/>
  <c r="AM186" i="26" s="1"/>
  <c r="AN186" i="26" s="1"/>
  <c r="AO186" i="26" s="1"/>
  <c r="AP186" i="26" s="1"/>
  <c r="AQ186" i="26" s="1"/>
  <c r="AR186" i="26" s="1"/>
  <c r="AS186" i="26" s="1"/>
  <c r="AT186" i="26" s="1"/>
  <c r="AU186" i="26" s="1"/>
  <c r="U186" i="26"/>
  <c r="M186" i="26"/>
  <c r="N186" i="26" s="1"/>
  <c r="O186" i="26" s="1"/>
  <c r="P186" i="26" s="1"/>
  <c r="Q186" i="26" s="1"/>
  <c r="R186" i="26" s="1"/>
  <c r="S186" i="26" s="1"/>
  <c r="T186" i="26" s="1"/>
  <c r="J186" i="26"/>
  <c r="K186" i="26" s="1"/>
  <c r="L186" i="26" s="1"/>
  <c r="I186" i="26"/>
  <c r="M185" i="26"/>
  <c r="N185" i="26" s="1"/>
  <c r="O185" i="26" s="1"/>
  <c r="P185" i="26" s="1"/>
  <c r="Q185" i="26" s="1"/>
  <c r="R185" i="26" s="1"/>
  <c r="S185" i="26" s="1"/>
  <c r="T185" i="26" s="1"/>
  <c r="U185" i="26" s="1"/>
  <c r="V185" i="26" s="1"/>
  <c r="W185" i="26" s="1"/>
  <c r="X185" i="26" s="1"/>
  <c r="Y185" i="26" s="1"/>
  <c r="Z185" i="26" s="1"/>
  <c r="AA185" i="26" s="1"/>
  <c r="AB185" i="26" s="1"/>
  <c r="AC185" i="26" s="1"/>
  <c r="AD185" i="26" s="1"/>
  <c r="AE185" i="26" s="1"/>
  <c r="AF185" i="26" s="1"/>
  <c r="AG185" i="26" s="1"/>
  <c r="AH185" i="26" s="1"/>
  <c r="AI185" i="26" s="1"/>
  <c r="AJ185" i="26" s="1"/>
  <c r="AK185" i="26" s="1"/>
  <c r="AL185" i="26" s="1"/>
  <c r="AM185" i="26" s="1"/>
  <c r="AN185" i="26" s="1"/>
  <c r="AO185" i="26" s="1"/>
  <c r="AP185" i="26" s="1"/>
  <c r="AQ185" i="26" s="1"/>
  <c r="AR185" i="26" s="1"/>
  <c r="AS185" i="26" s="1"/>
  <c r="AT185" i="26" s="1"/>
  <c r="AU185" i="26" s="1"/>
  <c r="I185" i="26"/>
  <c r="J185" i="26" s="1"/>
  <c r="K185" i="26" s="1"/>
  <c r="L185" i="26" s="1"/>
  <c r="H185" i="26"/>
  <c r="J184" i="26"/>
  <c r="I184" i="26"/>
  <c r="H184" i="26"/>
  <c r="I183" i="26"/>
  <c r="I182" i="26" s="1"/>
  <c r="H183" i="26"/>
  <c r="G183" i="26"/>
  <c r="F183" i="26"/>
  <c r="H182" i="26"/>
  <c r="G182" i="26"/>
  <c r="F182" i="26"/>
  <c r="I180" i="26"/>
  <c r="H180" i="26"/>
  <c r="H179" i="26" s="1"/>
  <c r="G179" i="26"/>
  <c r="F179" i="26"/>
  <c r="H178" i="26"/>
  <c r="I178" i="26" s="1"/>
  <c r="J178" i="26" s="1"/>
  <c r="K178" i="26" s="1"/>
  <c r="L178" i="26" s="1"/>
  <c r="M178" i="26" s="1"/>
  <c r="N178" i="26" s="1"/>
  <c r="O178" i="26" s="1"/>
  <c r="P178" i="26" s="1"/>
  <c r="Q178" i="26" s="1"/>
  <c r="R178" i="26" s="1"/>
  <c r="S178" i="26" s="1"/>
  <c r="T178" i="26" s="1"/>
  <c r="U178" i="26" s="1"/>
  <c r="V178" i="26" s="1"/>
  <c r="W178" i="26" s="1"/>
  <c r="X178" i="26" s="1"/>
  <c r="Y178" i="26" s="1"/>
  <c r="Z178" i="26" s="1"/>
  <c r="AA178" i="26" s="1"/>
  <c r="AB178" i="26" s="1"/>
  <c r="AC178" i="26" s="1"/>
  <c r="AD178" i="26" s="1"/>
  <c r="AE178" i="26" s="1"/>
  <c r="AF178" i="26" s="1"/>
  <c r="AG178" i="26" s="1"/>
  <c r="AH178" i="26" s="1"/>
  <c r="AI178" i="26" s="1"/>
  <c r="AJ178" i="26" s="1"/>
  <c r="AK178" i="26" s="1"/>
  <c r="AL178" i="26" s="1"/>
  <c r="AM178" i="26" s="1"/>
  <c r="AN178" i="26" s="1"/>
  <c r="AO178" i="26" s="1"/>
  <c r="AP178" i="26" s="1"/>
  <c r="AQ178" i="26" s="1"/>
  <c r="AR178" i="26" s="1"/>
  <c r="AS178" i="26" s="1"/>
  <c r="AT178" i="26" s="1"/>
  <c r="AU178" i="26" s="1"/>
  <c r="H177" i="26"/>
  <c r="I177" i="26" s="1"/>
  <c r="J177" i="26" s="1"/>
  <c r="K177" i="26" s="1"/>
  <c r="L177" i="26" s="1"/>
  <c r="M177" i="26" s="1"/>
  <c r="N177" i="26" s="1"/>
  <c r="O177" i="26" s="1"/>
  <c r="P177" i="26" s="1"/>
  <c r="Q177" i="26" s="1"/>
  <c r="R177" i="26" s="1"/>
  <c r="S177" i="26" s="1"/>
  <c r="T177" i="26" s="1"/>
  <c r="U177" i="26" s="1"/>
  <c r="V177" i="26" s="1"/>
  <c r="W177" i="26" s="1"/>
  <c r="X177" i="26" s="1"/>
  <c r="Y177" i="26" s="1"/>
  <c r="Z177" i="26" s="1"/>
  <c r="AA177" i="26" s="1"/>
  <c r="AB177" i="26" s="1"/>
  <c r="AC177" i="26" s="1"/>
  <c r="AD177" i="26" s="1"/>
  <c r="AE177" i="26" s="1"/>
  <c r="AF177" i="26" s="1"/>
  <c r="AG177" i="26" s="1"/>
  <c r="AH177" i="26" s="1"/>
  <c r="AI177" i="26" s="1"/>
  <c r="AJ177" i="26" s="1"/>
  <c r="AK177" i="26" s="1"/>
  <c r="AL177" i="26" s="1"/>
  <c r="AM177" i="26" s="1"/>
  <c r="AN177" i="26" s="1"/>
  <c r="AO177" i="26" s="1"/>
  <c r="AP177" i="26" s="1"/>
  <c r="AQ177" i="26" s="1"/>
  <c r="AR177" i="26" s="1"/>
  <c r="AS177" i="26" s="1"/>
  <c r="AT177" i="26" s="1"/>
  <c r="AU177" i="26" s="1"/>
  <c r="H176" i="26"/>
  <c r="I176" i="26" s="1"/>
  <c r="J176" i="26" s="1"/>
  <c r="K176" i="26" s="1"/>
  <c r="L176" i="26" s="1"/>
  <c r="M176" i="26" s="1"/>
  <c r="N176" i="26" s="1"/>
  <c r="O176" i="26" s="1"/>
  <c r="P176" i="26" s="1"/>
  <c r="Q176" i="26" s="1"/>
  <c r="R176" i="26" s="1"/>
  <c r="S176" i="26" s="1"/>
  <c r="T176" i="26" s="1"/>
  <c r="U176" i="26" s="1"/>
  <c r="V176" i="26" s="1"/>
  <c r="W176" i="26" s="1"/>
  <c r="X176" i="26" s="1"/>
  <c r="Y176" i="26" s="1"/>
  <c r="Z176" i="26" s="1"/>
  <c r="AA176" i="26" s="1"/>
  <c r="AB176" i="26" s="1"/>
  <c r="AC176" i="26" s="1"/>
  <c r="AD176" i="26" s="1"/>
  <c r="AE176" i="26" s="1"/>
  <c r="AF176" i="26" s="1"/>
  <c r="AG176" i="26" s="1"/>
  <c r="AH176" i="26" s="1"/>
  <c r="AI176" i="26" s="1"/>
  <c r="AJ176" i="26" s="1"/>
  <c r="AK176" i="26" s="1"/>
  <c r="AL176" i="26" s="1"/>
  <c r="AM176" i="26" s="1"/>
  <c r="AN176" i="26" s="1"/>
  <c r="AO176" i="26" s="1"/>
  <c r="AP176" i="26" s="1"/>
  <c r="AQ176" i="26" s="1"/>
  <c r="AR176" i="26" s="1"/>
  <c r="AS176" i="26" s="1"/>
  <c r="AT176" i="26" s="1"/>
  <c r="AU176" i="26" s="1"/>
  <c r="H173" i="26"/>
  <c r="I173" i="26" s="1"/>
  <c r="G172" i="26"/>
  <c r="F172" i="26"/>
  <c r="J161" i="26"/>
  <c r="K161" i="26" s="1"/>
  <c r="L161" i="26" s="1"/>
  <c r="M161" i="26" s="1"/>
  <c r="N161" i="26" s="1"/>
  <c r="O161" i="26" s="1"/>
  <c r="P161" i="26" s="1"/>
  <c r="Q161" i="26" s="1"/>
  <c r="R161" i="26" s="1"/>
  <c r="S161" i="26" s="1"/>
  <c r="T161" i="26" s="1"/>
  <c r="U161" i="26" s="1"/>
  <c r="V161" i="26" s="1"/>
  <c r="W161" i="26" s="1"/>
  <c r="X161" i="26" s="1"/>
  <c r="Y161" i="26" s="1"/>
  <c r="Z161" i="26" s="1"/>
  <c r="AA161" i="26" s="1"/>
  <c r="AB161" i="26" s="1"/>
  <c r="AC161" i="26" s="1"/>
  <c r="AD161" i="26" s="1"/>
  <c r="AE161" i="26" s="1"/>
  <c r="AF161" i="26" s="1"/>
  <c r="AG161" i="26" s="1"/>
  <c r="AH161" i="26" s="1"/>
  <c r="AI161" i="26" s="1"/>
  <c r="AJ161" i="26" s="1"/>
  <c r="AK161" i="26" s="1"/>
  <c r="AL161" i="26" s="1"/>
  <c r="AM161" i="26" s="1"/>
  <c r="AN161" i="26" s="1"/>
  <c r="AO161" i="26" s="1"/>
  <c r="AP161" i="26" s="1"/>
  <c r="AQ161" i="26" s="1"/>
  <c r="AR161" i="26" s="1"/>
  <c r="AS161" i="26" s="1"/>
  <c r="AT161" i="26" s="1"/>
  <c r="AU161" i="26" s="1"/>
  <c r="I161" i="26"/>
  <c r="H161" i="26"/>
  <c r="G161" i="26"/>
  <c r="F161" i="26"/>
  <c r="J160" i="26"/>
  <c r="K160" i="26" s="1"/>
  <c r="L160" i="26" s="1"/>
  <c r="M160" i="26" s="1"/>
  <c r="N160" i="26" s="1"/>
  <c r="O160" i="26" s="1"/>
  <c r="P160" i="26" s="1"/>
  <c r="Q160" i="26" s="1"/>
  <c r="R160" i="26" s="1"/>
  <c r="S160" i="26" s="1"/>
  <c r="T160" i="26" s="1"/>
  <c r="U160" i="26" s="1"/>
  <c r="V160" i="26" s="1"/>
  <c r="W160" i="26" s="1"/>
  <c r="X160" i="26" s="1"/>
  <c r="Y160" i="26" s="1"/>
  <c r="Z160" i="26" s="1"/>
  <c r="AA160" i="26" s="1"/>
  <c r="AB160" i="26" s="1"/>
  <c r="AC160" i="26" s="1"/>
  <c r="AD160" i="26" s="1"/>
  <c r="AE160" i="26" s="1"/>
  <c r="AF160" i="26" s="1"/>
  <c r="AG160" i="26" s="1"/>
  <c r="AH160" i="26" s="1"/>
  <c r="AI160" i="26" s="1"/>
  <c r="AJ160" i="26" s="1"/>
  <c r="AK160" i="26" s="1"/>
  <c r="AL160" i="26" s="1"/>
  <c r="AM160" i="26" s="1"/>
  <c r="AN160" i="26" s="1"/>
  <c r="AO160" i="26" s="1"/>
  <c r="AP160" i="26" s="1"/>
  <c r="AQ160" i="26" s="1"/>
  <c r="AR160" i="26" s="1"/>
  <c r="AS160" i="26" s="1"/>
  <c r="AT160" i="26" s="1"/>
  <c r="AU160" i="26" s="1"/>
  <c r="G160" i="26"/>
  <c r="H160" i="26" s="1"/>
  <c r="I160" i="26" s="1"/>
  <c r="F160" i="26"/>
  <c r="G159" i="26"/>
  <c r="H159" i="26" s="1"/>
  <c r="I159" i="26" s="1"/>
  <c r="J159" i="26" s="1"/>
  <c r="K159" i="26" s="1"/>
  <c r="L159" i="26" s="1"/>
  <c r="M159" i="26" s="1"/>
  <c r="N159" i="26" s="1"/>
  <c r="O159" i="26" s="1"/>
  <c r="P159" i="26" s="1"/>
  <c r="Q159" i="26" s="1"/>
  <c r="R159" i="26" s="1"/>
  <c r="S159" i="26" s="1"/>
  <c r="T159" i="26" s="1"/>
  <c r="U159" i="26" s="1"/>
  <c r="V159" i="26" s="1"/>
  <c r="W159" i="26" s="1"/>
  <c r="X159" i="26" s="1"/>
  <c r="Y159" i="26" s="1"/>
  <c r="Z159" i="26" s="1"/>
  <c r="AA159" i="26" s="1"/>
  <c r="AB159" i="26" s="1"/>
  <c r="AC159" i="26" s="1"/>
  <c r="AD159" i="26" s="1"/>
  <c r="AE159" i="26" s="1"/>
  <c r="AF159" i="26" s="1"/>
  <c r="AG159" i="26" s="1"/>
  <c r="AH159" i="26" s="1"/>
  <c r="AI159" i="26" s="1"/>
  <c r="AJ159" i="26" s="1"/>
  <c r="AK159" i="26" s="1"/>
  <c r="AL159" i="26" s="1"/>
  <c r="AM159" i="26" s="1"/>
  <c r="AN159" i="26" s="1"/>
  <c r="AO159" i="26" s="1"/>
  <c r="AP159" i="26" s="1"/>
  <c r="AQ159" i="26" s="1"/>
  <c r="AR159" i="26" s="1"/>
  <c r="AS159" i="26" s="1"/>
  <c r="AT159" i="26" s="1"/>
  <c r="AU159" i="26" s="1"/>
  <c r="F159" i="26"/>
  <c r="F155" i="26" s="1"/>
  <c r="G158" i="26"/>
  <c r="G155" i="26" s="1"/>
  <c r="I157" i="26"/>
  <c r="K157" i="26" s="1"/>
  <c r="M157" i="26" s="1"/>
  <c r="O157" i="26" s="1"/>
  <c r="Q157" i="26" s="1"/>
  <c r="S157" i="26" s="1"/>
  <c r="U157" i="26" s="1"/>
  <c r="W157" i="26" s="1"/>
  <c r="Y157" i="26" s="1"/>
  <c r="AA157" i="26" s="1"/>
  <c r="AC157" i="26" s="1"/>
  <c r="AE157" i="26" s="1"/>
  <c r="AG157" i="26" s="1"/>
  <c r="AI157" i="26" s="1"/>
  <c r="AK157" i="26" s="1"/>
  <c r="AM157" i="26" s="1"/>
  <c r="AO157" i="26" s="1"/>
  <c r="AQ157" i="26" s="1"/>
  <c r="AS157" i="26" s="1"/>
  <c r="AU157" i="26" s="1"/>
  <c r="H157" i="26"/>
  <c r="J157" i="26" s="1"/>
  <c r="L157" i="26" s="1"/>
  <c r="N157" i="26" s="1"/>
  <c r="P157" i="26" s="1"/>
  <c r="R157" i="26" s="1"/>
  <c r="T157" i="26" s="1"/>
  <c r="V157" i="26" s="1"/>
  <c r="X157" i="26" s="1"/>
  <c r="Z157" i="26" s="1"/>
  <c r="AB157" i="26" s="1"/>
  <c r="AD157" i="26" s="1"/>
  <c r="AF157" i="26" s="1"/>
  <c r="AH157" i="26" s="1"/>
  <c r="AJ157" i="26" s="1"/>
  <c r="AL157" i="26" s="1"/>
  <c r="AN157" i="26" s="1"/>
  <c r="AP157" i="26" s="1"/>
  <c r="AR157" i="26" s="1"/>
  <c r="AT157" i="26" s="1"/>
  <c r="K154" i="26"/>
  <c r="L154" i="26" s="1"/>
  <c r="M154" i="26" s="1"/>
  <c r="N154" i="26" s="1"/>
  <c r="O154" i="26" s="1"/>
  <c r="P154" i="26" s="1"/>
  <c r="Q154" i="26" s="1"/>
  <c r="R154" i="26" s="1"/>
  <c r="S154" i="26" s="1"/>
  <c r="T154" i="26" s="1"/>
  <c r="U154" i="26" s="1"/>
  <c r="V154" i="26" s="1"/>
  <c r="W154" i="26" s="1"/>
  <c r="X154" i="26" s="1"/>
  <c r="Y154" i="26" s="1"/>
  <c r="Z154" i="26" s="1"/>
  <c r="AA154" i="26" s="1"/>
  <c r="AB154" i="26" s="1"/>
  <c r="AC154" i="26" s="1"/>
  <c r="AD154" i="26" s="1"/>
  <c r="AE154" i="26" s="1"/>
  <c r="AF154" i="26" s="1"/>
  <c r="AG154" i="26" s="1"/>
  <c r="AH154" i="26" s="1"/>
  <c r="AI154" i="26" s="1"/>
  <c r="AJ154" i="26" s="1"/>
  <c r="AK154" i="26" s="1"/>
  <c r="AL154" i="26" s="1"/>
  <c r="AM154" i="26" s="1"/>
  <c r="AN154" i="26" s="1"/>
  <c r="AO154" i="26" s="1"/>
  <c r="AP154" i="26" s="1"/>
  <c r="AQ154" i="26" s="1"/>
  <c r="AR154" i="26" s="1"/>
  <c r="AS154" i="26" s="1"/>
  <c r="AT154" i="26" s="1"/>
  <c r="AU154" i="26" s="1"/>
  <c r="J154" i="26"/>
  <c r="I154" i="26"/>
  <c r="J153" i="26"/>
  <c r="K153" i="26" s="1"/>
  <c r="L153" i="26" s="1"/>
  <c r="M153" i="26" s="1"/>
  <c r="N153" i="26" s="1"/>
  <c r="O153" i="26" s="1"/>
  <c r="P153" i="26" s="1"/>
  <c r="Q153" i="26" s="1"/>
  <c r="R153" i="26" s="1"/>
  <c r="S153" i="26" s="1"/>
  <c r="T153" i="26" s="1"/>
  <c r="U153" i="26" s="1"/>
  <c r="V153" i="26" s="1"/>
  <c r="W153" i="26" s="1"/>
  <c r="X153" i="26" s="1"/>
  <c r="Y153" i="26" s="1"/>
  <c r="Z153" i="26" s="1"/>
  <c r="AA153" i="26" s="1"/>
  <c r="AB153" i="26" s="1"/>
  <c r="AC153" i="26" s="1"/>
  <c r="AD153" i="26" s="1"/>
  <c r="AE153" i="26" s="1"/>
  <c r="AF153" i="26" s="1"/>
  <c r="AG153" i="26" s="1"/>
  <c r="AH153" i="26" s="1"/>
  <c r="AI153" i="26" s="1"/>
  <c r="AJ153" i="26" s="1"/>
  <c r="AK153" i="26" s="1"/>
  <c r="AL153" i="26" s="1"/>
  <c r="AM153" i="26" s="1"/>
  <c r="AN153" i="26" s="1"/>
  <c r="AO153" i="26" s="1"/>
  <c r="AP153" i="26" s="1"/>
  <c r="AQ153" i="26" s="1"/>
  <c r="AR153" i="26" s="1"/>
  <c r="AS153" i="26" s="1"/>
  <c r="AT153" i="26" s="1"/>
  <c r="AU153" i="26" s="1"/>
  <c r="I153" i="26"/>
  <c r="I151" i="26"/>
  <c r="J151" i="26" s="1"/>
  <c r="K151" i="26" s="1"/>
  <c r="L151" i="26" s="1"/>
  <c r="M151" i="26" s="1"/>
  <c r="N151" i="26" s="1"/>
  <c r="O151" i="26" s="1"/>
  <c r="P151" i="26" s="1"/>
  <c r="Q151" i="26" s="1"/>
  <c r="R151" i="26" s="1"/>
  <c r="S151" i="26" s="1"/>
  <c r="T151" i="26" s="1"/>
  <c r="U151" i="26" s="1"/>
  <c r="V151" i="26" s="1"/>
  <c r="W151" i="26" s="1"/>
  <c r="X151" i="26" s="1"/>
  <c r="Y151" i="26" s="1"/>
  <c r="Z151" i="26" s="1"/>
  <c r="AA151" i="26" s="1"/>
  <c r="AB151" i="26" s="1"/>
  <c r="AC151" i="26" s="1"/>
  <c r="AD151" i="26" s="1"/>
  <c r="AE151" i="26" s="1"/>
  <c r="AF151" i="26" s="1"/>
  <c r="AG151" i="26" s="1"/>
  <c r="AH151" i="26" s="1"/>
  <c r="AI151" i="26" s="1"/>
  <c r="AJ151" i="26" s="1"/>
  <c r="AK151" i="26" s="1"/>
  <c r="AL151" i="26" s="1"/>
  <c r="AM151" i="26" s="1"/>
  <c r="AN151" i="26" s="1"/>
  <c r="AO151" i="26" s="1"/>
  <c r="AP151" i="26" s="1"/>
  <c r="AQ151" i="26" s="1"/>
  <c r="AR151" i="26" s="1"/>
  <c r="AS151" i="26" s="1"/>
  <c r="AT151" i="26" s="1"/>
  <c r="AU151" i="26" s="1"/>
  <c r="H151" i="26"/>
  <c r="I150" i="26"/>
  <c r="J150" i="26" s="1"/>
  <c r="K150" i="26" s="1"/>
  <c r="L150" i="26" s="1"/>
  <c r="M150" i="26" s="1"/>
  <c r="N150" i="26" s="1"/>
  <c r="O150" i="26" s="1"/>
  <c r="P150" i="26" s="1"/>
  <c r="Q150" i="26" s="1"/>
  <c r="R150" i="26" s="1"/>
  <c r="S150" i="26" s="1"/>
  <c r="T150" i="26" s="1"/>
  <c r="U150" i="26" s="1"/>
  <c r="V150" i="26" s="1"/>
  <c r="W150" i="26" s="1"/>
  <c r="X150" i="26" s="1"/>
  <c r="Y150" i="26" s="1"/>
  <c r="Z150" i="26" s="1"/>
  <c r="AA150" i="26" s="1"/>
  <c r="AB150" i="26" s="1"/>
  <c r="AC150" i="26" s="1"/>
  <c r="AD150" i="26" s="1"/>
  <c r="AE150" i="26" s="1"/>
  <c r="AF150" i="26" s="1"/>
  <c r="AG150" i="26" s="1"/>
  <c r="AH150" i="26" s="1"/>
  <c r="AI150" i="26" s="1"/>
  <c r="AJ150" i="26" s="1"/>
  <c r="AK150" i="26" s="1"/>
  <c r="AL150" i="26" s="1"/>
  <c r="AM150" i="26" s="1"/>
  <c r="AN150" i="26" s="1"/>
  <c r="AO150" i="26" s="1"/>
  <c r="AP150" i="26" s="1"/>
  <c r="AQ150" i="26" s="1"/>
  <c r="AR150" i="26" s="1"/>
  <c r="AS150" i="26" s="1"/>
  <c r="AT150" i="26" s="1"/>
  <c r="AU150" i="26" s="1"/>
  <c r="H150" i="26"/>
  <c r="I149" i="26"/>
  <c r="J149" i="26" s="1"/>
  <c r="K149" i="26" s="1"/>
  <c r="L149" i="26" s="1"/>
  <c r="M149" i="26" s="1"/>
  <c r="N149" i="26" s="1"/>
  <c r="O149" i="26" s="1"/>
  <c r="P149" i="26" s="1"/>
  <c r="Q149" i="26" s="1"/>
  <c r="R149" i="26" s="1"/>
  <c r="S149" i="26" s="1"/>
  <c r="T149" i="26" s="1"/>
  <c r="U149" i="26" s="1"/>
  <c r="V149" i="26" s="1"/>
  <c r="W149" i="26" s="1"/>
  <c r="X149" i="26" s="1"/>
  <c r="Y149" i="26" s="1"/>
  <c r="Z149" i="26" s="1"/>
  <c r="AA149" i="26" s="1"/>
  <c r="AB149" i="26" s="1"/>
  <c r="AC149" i="26" s="1"/>
  <c r="AD149" i="26" s="1"/>
  <c r="AE149" i="26" s="1"/>
  <c r="AF149" i="26" s="1"/>
  <c r="AG149" i="26" s="1"/>
  <c r="AH149" i="26" s="1"/>
  <c r="AI149" i="26" s="1"/>
  <c r="AJ149" i="26" s="1"/>
  <c r="AK149" i="26" s="1"/>
  <c r="AL149" i="26" s="1"/>
  <c r="AM149" i="26" s="1"/>
  <c r="AN149" i="26" s="1"/>
  <c r="AO149" i="26" s="1"/>
  <c r="AP149" i="26" s="1"/>
  <c r="AQ149" i="26" s="1"/>
  <c r="AR149" i="26" s="1"/>
  <c r="AS149" i="26" s="1"/>
  <c r="AT149" i="26" s="1"/>
  <c r="AU149" i="26" s="1"/>
  <c r="H149" i="26"/>
  <c r="AU148" i="26"/>
  <c r="AT148" i="26"/>
  <c r="AS148" i="26"/>
  <c r="AR148" i="26"/>
  <c r="AQ148" i="26"/>
  <c r="AP148" i="26"/>
  <c r="AO148" i="26"/>
  <c r="AN148" i="26"/>
  <c r="AM148" i="26"/>
  <c r="AL148" i="26"/>
  <c r="AK148" i="26"/>
  <c r="AJ148" i="26"/>
  <c r="AI148" i="26"/>
  <c r="AH148" i="26"/>
  <c r="AG148" i="26"/>
  <c r="AF148" i="26"/>
  <c r="AE148" i="26"/>
  <c r="AD148" i="26"/>
  <c r="AC148" i="26"/>
  <c r="AB148" i="26"/>
  <c r="AA148" i="26"/>
  <c r="Z148" i="26"/>
  <c r="Y148" i="26"/>
  <c r="X148" i="26"/>
  <c r="W148" i="26"/>
  <c r="V148" i="26"/>
  <c r="U148" i="26"/>
  <c r="T148" i="26"/>
  <c r="S148" i="26"/>
  <c r="R148" i="26"/>
  <c r="Q148" i="26"/>
  <c r="P148" i="26"/>
  <c r="O148" i="26"/>
  <c r="N148" i="26"/>
  <c r="M148" i="26"/>
  <c r="L148" i="26"/>
  <c r="K148" i="26"/>
  <c r="J148" i="26"/>
  <c r="I148" i="26"/>
  <c r="H148" i="26"/>
  <c r="I147" i="26"/>
  <c r="J147" i="26" s="1"/>
  <c r="F147" i="26"/>
  <c r="F146" i="26" s="1"/>
  <c r="G146" i="26"/>
  <c r="K145" i="26"/>
  <c r="L145" i="26" s="1"/>
  <c r="M145" i="26" s="1"/>
  <c r="N145" i="26" s="1"/>
  <c r="O145" i="26" s="1"/>
  <c r="P145" i="26" s="1"/>
  <c r="Q145" i="26" s="1"/>
  <c r="R145" i="26" s="1"/>
  <c r="S145" i="26" s="1"/>
  <c r="T145" i="26" s="1"/>
  <c r="U145" i="26" s="1"/>
  <c r="V145" i="26" s="1"/>
  <c r="W145" i="26" s="1"/>
  <c r="X145" i="26" s="1"/>
  <c r="Y145" i="26" s="1"/>
  <c r="Z145" i="26" s="1"/>
  <c r="AA145" i="26" s="1"/>
  <c r="AB145" i="26" s="1"/>
  <c r="AC145" i="26" s="1"/>
  <c r="AD145" i="26" s="1"/>
  <c r="AE145" i="26" s="1"/>
  <c r="AF145" i="26" s="1"/>
  <c r="AG145" i="26" s="1"/>
  <c r="AH145" i="26" s="1"/>
  <c r="AI145" i="26" s="1"/>
  <c r="AJ145" i="26" s="1"/>
  <c r="AK145" i="26" s="1"/>
  <c r="AL145" i="26" s="1"/>
  <c r="AM145" i="26" s="1"/>
  <c r="AN145" i="26" s="1"/>
  <c r="AO145" i="26" s="1"/>
  <c r="AP145" i="26" s="1"/>
  <c r="AQ145" i="26" s="1"/>
  <c r="AR145" i="26" s="1"/>
  <c r="AS145" i="26" s="1"/>
  <c r="AT145" i="26" s="1"/>
  <c r="AU145" i="26" s="1"/>
  <c r="J145" i="26"/>
  <c r="I145" i="26"/>
  <c r="J144" i="26"/>
  <c r="K144" i="26" s="1"/>
  <c r="L144" i="26" s="1"/>
  <c r="M144" i="26" s="1"/>
  <c r="N144" i="26" s="1"/>
  <c r="O144" i="26" s="1"/>
  <c r="P144" i="26" s="1"/>
  <c r="Q144" i="26" s="1"/>
  <c r="R144" i="26" s="1"/>
  <c r="S144" i="26" s="1"/>
  <c r="T144" i="26" s="1"/>
  <c r="U144" i="26" s="1"/>
  <c r="V144" i="26" s="1"/>
  <c r="W144" i="26" s="1"/>
  <c r="X144" i="26" s="1"/>
  <c r="Y144" i="26" s="1"/>
  <c r="Z144" i="26" s="1"/>
  <c r="AA144" i="26" s="1"/>
  <c r="AB144" i="26" s="1"/>
  <c r="AC144" i="26" s="1"/>
  <c r="AD144" i="26" s="1"/>
  <c r="AE144" i="26" s="1"/>
  <c r="AF144" i="26" s="1"/>
  <c r="AG144" i="26" s="1"/>
  <c r="AH144" i="26" s="1"/>
  <c r="AI144" i="26" s="1"/>
  <c r="AJ144" i="26" s="1"/>
  <c r="AK144" i="26" s="1"/>
  <c r="AL144" i="26" s="1"/>
  <c r="AM144" i="26" s="1"/>
  <c r="AN144" i="26" s="1"/>
  <c r="AO144" i="26" s="1"/>
  <c r="AP144" i="26" s="1"/>
  <c r="AQ144" i="26" s="1"/>
  <c r="AR144" i="26" s="1"/>
  <c r="AS144" i="26" s="1"/>
  <c r="AT144" i="26" s="1"/>
  <c r="AU144" i="26" s="1"/>
  <c r="I144" i="26"/>
  <c r="I143" i="26"/>
  <c r="J143" i="26" s="1"/>
  <c r="K143" i="26" s="1"/>
  <c r="L143" i="26" s="1"/>
  <c r="M143" i="26" s="1"/>
  <c r="N143" i="26" s="1"/>
  <c r="O143" i="26" s="1"/>
  <c r="P143" i="26" s="1"/>
  <c r="Q143" i="26" s="1"/>
  <c r="R143" i="26" s="1"/>
  <c r="S143" i="26" s="1"/>
  <c r="T143" i="26" s="1"/>
  <c r="U143" i="26" s="1"/>
  <c r="V143" i="26" s="1"/>
  <c r="W143" i="26" s="1"/>
  <c r="X143" i="26" s="1"/>
  <c r="Y143" i="26" s="1"/>
  <c r="Z143" i="26" s="1"/>
  <c r="AA143" i="26" s="1"/>
  <c r="AB143" i="26" s="1"/>
  <c r="AC143" i="26" s="1"/>
  <c r="AD143" i="26" s="1"/>
  <c r="AE143" i="26" s="1"/>
  <c r="AF143" i="26" s="1"/>
  <c r="AG143" i="26" s="1"/>
  <c r="AH143" i="26" s="1"/>
  <c r="AI143" i="26" s="1"/>
  <c r="AJ143" i="26" s="1"/>
  <c r="AK143" i="26" s="1"/>
  <c r="AL143" i="26" s="1"/>
  <c r="AM143" i="26" s="1"/>
  <c r="AN143" i="26" s="1"/>
  <c r="AO143" i="26" s="1"/>
  <c r="AP143" i="26" s="1"/>
  <c r="AQ143" i="26" s="1"/>
  <c r="AR143" i="26" s="1"/>
  <c r="AS143" i="26" s="1"/>
  <c r="AT143" i="26" s="1"/>
  <c r="AU143" i="26" s="1"/>
  <c r="I142" i="26"/>
  <c r="J142" i="26" s="1"/>
  <c r="K142" i="26" s="1"/>
  <c r="H141" i="26"/>
  <c r="G141" i="26"/>
  <c r="F141" i="26"/>
  <c r="F135" i="26" s="1"/>
  <c r="O140" i="26"/>
  <c r="P140" i="26" s="1"/>
  <c r="Q140" i="26" s="1"/>
  <c r="R140" i="26" s="1"/>
  <c r="S140" i="26" s="1"/>
  <c r="T140" i="26" s="1"/>
  <c r="U140" i="26" s="1"/>
  <c r="V140" i="26" s="1"/>
  <c r="W140" i="26" s="1"/>
  <c r="X140" i="26" s="1"/>
  <c r="Y140" i="26" s="1"/>
  <c r="Z140" i="26" s="1"/>
  <c r="AA140" i="26" s="1"/>
  <c r="AB140" i="26" s="1"/>
  <c r="AC140" i="26" s="1"/>
  <c r="AD140" i="26" s="1"/>
  <c r="AE140" i="26" s="1"/>
  <c r="AF140" i="26" s="1"/>
  <c r="AG140" i="26" s="1"/>
  <c r="AH140" i="26" s="1"/>
  <c r="AI140" i="26" s="1"/>
  <c r="AJ140" i="26" s="1"/>
  <c r="AK140" i="26" s="1"/>
  <c r="AL140" i="26" s="1"/>
  <c r="AM140" i="26" s="1"/>
  <c r="AN140" i="26" s="1"/>
  <c r="AO140" i="26" s="1"/>
  <c r="AP140" i="26" s="1"/>
  <c r="AQ140" i="26" s="1"/>
  <c r="AR140" i="26" s="1"/>
  <c r="AS140" i="26" s="1"/>
  <c r="AT140" i="26" s="1"/>
  <c r="AU140" i="26" s="1"/>
  <c r="L140" i="26"/>
  <c r="M140" i="26" s="1"/>
  <c r="N140" i="26" s="1"/>
  <c r="I140" i="26"/>
  <c r="J140" i="26" s="1"/>
  <c r="K140" i="26" s="1"/>
  <c r="N139" i="26"/>
  <c r="O139" i="26" s="1"/>
  <c r="P139" i="26" s="1"/>
  <c r="Q139" i="26" s="1"/>
  <c r="R139" i="26" s="1"/>
  <c r="S139" i="26" s="1"/>
  <c r="T139" i="26" s="1"/>
  <c r="U139" i="26" s="1"/>
  <c r="V139" i="26" s="1"/>
  <c r="W139" i="26" s="1"/>
  <c r="X139" i="26" s="1"/>
  <c r="Y139" i="26" s="1"/>
  <c r="Z139" i="26" s="1"/>
  <c r="AA139" i="26" s="1"/>
  <c r="AB139" i="26" s="1"/>
  <c r="AC139" i="26" s="1"/>
  <c r="AD139" i="26" s="1"/>
  <c r="AE139" i="26" s="1"/>
  <c r="AF139" i="26" s="1"/>
  <c r="AG139" i="26" s="1"/>
  <c r="AH139" i="26" s="1"/>
  <c r="AI139" i="26" s="1"/>
  <c r="AJ139" i="26" s="1"/>
  <c r="AK139" i="26" s="1"/>
  <c r="AL139" i="26" s="1"/>
  <c r="AM139" i="26" s="1"/>
  <c r="AN139" i="26" s="1"/>
  <c r="AO139" i="26" s="1"/>
  <c r="AP139" i="26" s="1"/>
  <c r="AQ139" i="26" s="1"/>
  <c r="AR139" i="26" s="1"/>
  <c r="AS139" i="26" s="1"/>
  <c r="AT139" i="26" s="1"/>
  <c r="AU139" i="26" s="1"/>
  <c r="K139" i="26"/>
  <c r="L139" i="26" s="1"/>
  <c r="M139" i="26" s="1"/>
  <c r="I139" i="26"/>
  <c r="J139" i="26" s="1"/>
  <c r="N138" i="26"/>
  <c r="O138" i="26" s="1"/>
  <c r="P138" i="26" s="1"/>
  <c r="Q138" i="26" s="1"/>
  <c r="R138" i="26" s="1"/>
  <c r="S138" i="26" s="1"/>
  <c r="T138" i="26" s="1"/>
  <c r="U138" i="26" s="1"/>
  <c r="V138" i="26" s="1"/>
  <c r="W138" i="26" s="1"/>
  <c r="X138" i="26" s="1"/>
  <c r="Y138" i="26" s="1"/>
  <c r="Z138" i="26" s="1"/>
  <c r="AA138" i="26" s="1"/>
  <c r="AB138" i="26" s="1"/>
  <c r="AC138" i="26" s="1"/>
  <c r="AD138" i="26" s="1"/>
  <c r="AE138" i="26" s="1"/>
  <c r="AF138" i="26" s="1"/>
  <c r="AG138" i="26" s="1"/>
  <c r="AH138" i="26" s="1"/>
  <c r="AI138" i="26" s="1"/>
  <c r="AJ138" i="26" s="1"/>
  <c r="AK138" i="26" s="1"/>
  <c r="AL138" i="26" s="1"/>
  <c r="AM138" i="26" s="1"/>
  <c r="AN138" i="26" s="1"/>
  <c r="AO138" i="26" s="1"/>
  <c r="AP138" i="26" s="1"/>
  <c r="AQ138" i="26" s="1"/>
  <c r="AR138" i="26" s="1"/>
  <c r="AS138" i="26" s="1"/>
  <c r="AT138" i="26" s="1"/>
  <c r="AU138" i="26" s="1"/>
  <c r="M138" i="26"/>
  <c r="J138" i="26"/>
  <c r="K138" i="26" s="1"/>
  <c r="L138" i="26" s="1"/>
  <c r="I138" i="26"/>
  <c r="I137" i="26"/>
  <c r="H136" i="26"/>
  <c r="G136" i="26"/>
  <c r="F136" i="26"/>
  <c r="G135" i="26"/>
  <c r="W133" i="26"/>
  <c r="X133" i="26" s="1"/>
  <c r="Y133" i="26" s="1"/>
  <c r="Z133" i="26" s="1"/>
  <c r="AA133" i="26" s="1"/>
  <c r="AB133" i="26" s="1"/>
  <c r="AC133" i="26" s="1"/>
  <c r="AD133" i="26" s="1"/>
  <c r="AE133" i="26" s="1"/>
  <c r="AF133" i="26" s="1"/>
  <c r="AG133" i="26" s="1"/>
  <c r="AH133" i="26" s="1"/>
  <c r="AI133" i="26" s="1"/>
  <c r="AJ133" i="26" s="1"/>
  <c r="AK133" i="26" s="1"/>
  <c r="AL133" i="26" s="1"/>
  <c r="AM133" i="26" s="1"/>
  <c r="AN133" i="26" s="1"/>
  <c r="AO133" i="26" s="1"/>
  <c r="AP133" i="26" s="1"/>
  <c r="AQ133" i="26" s="1"/>
  <c r="AR133" i="26" s="1"/>
  <c r="AS133" i="26" s="1"/>
  <c r="AT133" i="26" s="1"/>
  <c r="AU133" i="26" s="1"/>
  <c r="O133" i="26"/>
  <c r="P133" i="26" s="1"/>
  <c r="Q133" i="26" s="1"/>
  <c r="R133" i="26" s="1"/>
  <c r="S133" i="26" s="1"/>
  <c r="T133" i="26" s="1"/>
  <c r="U133" i="26" s="1"/>
  <c r="V133" i="26" s="1"/>
  <c r="L133" i="26"/>
  <c r="M133" i="26" s="1"/>
  <c r="N133" i="26" s="1"/>
  <c r="I133" i="26"/>
  <c r="J133" i="26" s="1"/>
  <c r="K133" i="26" s="1"/>
  <c r="K132" i="26"/>
  <c r="I132" i="26"/>
  <c r="J132" i="26" s="1"/>
  <c r="J131" i="26" s="1"/>
  <c r="H131" i="26"/>
  <c r="G131" i="26"/>
  <c r="F131" i="26"/>
  <c r="I129" i="26"/>
  <c r="J129" i="26" s="1"/>
  <c r="K129" i="26" s="1"/>
  <c r="L129" i="26" s="1"/>
  <c r="M129" i="26" s="1"/>
  <c r="N129" i="26" s="1"/>
  <c r="O129" i="26" s="1"/>
  <c r="P129" i="26" s="1"/>
  <c r="Q129" i="26" s="1"/>
  <c r="R129" i="26" s="1"/>
  <c r="S129" i="26" s="1"/>
  <c r="T129" i="26" s="1"/>
  <c r="U129" i="26" s="1"/>
  <c r="V129" i="26" s="1"/>
  <c r="W129" i="26" s="1"/>
  <c r="X129" i="26" s="1"/>
  <c r="Y129" i="26" s="1"/>
  <c r="Z129" i="26" s="1"/>
  <c r="AA129" i="26" s="1"/>
  <c r="AB129" i="26" s="1"/>
  <c r="AC129" i="26" s="1"/>
  <c r="AD129" i="26" s="1"/>
  <c r="AE129" i="26" s="1"/>
  <c r="AF129" i="26" s="1"/>
  <c r="AG129" i="26" s="1"/>
  <c r="AH129" i="26" s="1"/>
  <c r="AI129" i="26" s="1"/>
  <c r="AJ129" i="26" s="1"/>
  <c r="AK129" i="26" s="1"/>
  <c r="AL129" i="26" s="1"/>
  <c r="AM129" i="26" s="1"/>
  <c r="AN129" i="26" s="1"/>
  <c r="AO129" i="26" s="1"/>
  <c r="AP129" i="26" s="1"/>
  <c r="AQ129" i="26" s="1"/>
  <c r="AR129" i="26" s="1"/>
  <c r="AS129" i="26" s="1"/>
  <c r="AT129" i="26" s="1"/>
  <c r="AU129" i="26" s="1"/>
  <c r="H129" i="26"/>
  <c r="I127" i="26"/>
  <c r="J127" i="26" s="1"/>
  <c r="K127" i="26" s="1"/>
  <c r="L127" i="26" s="1"/>
  <c r="M127" i="26" s="1"/>
  <c r="N127" i="26" s="1"/>
  <c r="O127" i="26" s="1"/>
  <c r="P127" i="26" s="1"/>
  <c r="Q127" i="26" s="1"/>
  <c r="R127" i="26" s="1"/>
  <c r="S127" i="26" s="1"/>
  <c r="T127" i="26" s="1"/>
  <c r="U127" i="26" s="1"/>
  <c r="V127" i="26" s="1"/>
  <c r="W127" i="26" s="1"/>
  <c r="X127" i="26" s="1"/>
  <c r="Y127" i="26" s="1"/>
  <c r="Z127" i="26" s="1"/>
  <c r="AA127" i="26" s="1"/>
  <c r="AB127" i="26" s="1"/>
  <c r="AC127" i="26" s="1"/>
  <c r="AD127" i="26" s="1"/>
  <c r="AE127" i="26" s="1"/>
  <c r="AF127" i="26" s="1"/>
  <c r="AG127" i="26" s="1"/>
  <c r="AH127" i="26" s="1"/>
  <c r="AI127" i="26" s="1"/>
  <c r="AJ127" i="26" s="1"/>
  <c r="AK127" i="26" s="1"/>
  <c r="AL127" i="26" s="1"/>
  <c r="AM127" i="26" s="1"/>
  <c r="AN127" i="26" s="1"/>
  <c r="AO127" i="26" s="1"/>
  <c r="AP127" i="26" s="1"/>
  <c r="AQ127" i="26" s="1"/>
  <c r="AR127" i="26" s="1"/>
  <c r="AS127" i="26" s="1"/>
  <c r="AT127" i="26" s="1"/>
  <c r="AU127" i="26" s="1"/>
  <c r="H127" i="26"/>
  <c r="H126" i="26"/>
  <c r="I126" i="26" s="1"/>
  <c r="J126" i="26" s="1"/>
  <c r="K126" i="26" s="1"/>
  <c r="L126" i="26" s="1"/>
  <c r="M126" i="26" s="1"/>
  <c r="N126" i="26" s="1"/>
  <c r="O126" i="26" s="1"/>
  <c r="P126" i="26" s="1"/>
  <c r="Q126" i="26" s="1"/>
  <c r="R126" i="26" s="1"/>
  <c r="S126" i="26" s="1"/>
  <c r="T126" i="26" s="1"/>
  <c r="U126" i="26" s="1"/>
  <c r="V126" i="26" s="1"/>
  <c r="W126" i="26" s="1"/>
  <c r="X126" i="26" s="1"/>
  <c r="Y126" i="26" s="1"/>
  <c r="Z126" i="26" s="1"/>
  <c r="AA126" i="26" s="1"/>
  <c r="AB126" i="26" s="1"/>
  <c r="AC126" i="26" s="1"/>
  <c r="AD126" i="26" s="1"/>
  <c r="AE126" i="26" s="1"/>
  <c r="AF126" i="26" s="1"/>
  <c r="AG126" i="26" s="1"/>
  <c r="AH126" i="26" s="1"/>
  <c r="AI126" i="26" s="1"/>
  <c r="AJ126" i="26" s="1"/>
  <c r="AK126" i="26" s="1"/>
  <c r="AL126" i="26" s="1"/>
  <c r="AM126" i="26" s="1"/>
  <c r="AN126" i="26" s="1"/>
  <c r="AO126" i="26" s="1"/>
  <c r="AP126" i="26" s="1"/>
  <c r="AQ126" i="26" s="1"/>
  <c r="AR126" i="26" s="1"/>
  <c r="AS126" i="26" s="1"/>
  <c r="AT126" i="26" s="1"/>
  <c r="AU126" i="26" s="1"/>
  <c r="I125" i="26"/>
  <c r="H125" i="26"/>
  <c r="G124" i="26"/>
  <c r="F124" i="26"/>
  <c r="W123" i="26"/>
  <c r="X123" i="26" s="1"/>
  <c r="Y123" i="26" s="1"/>
  <c r="Z123" i="26" s="1"/>
  <c r="AA123" i="26" s="1"/>
  <c r="AB123" i="26" s="1"/>
  <c r="AC123" i="26" s="1"/>
  <c r="AD123" i="26" s="1"/>
  <c r="AE123" i="26" s="1"/>
  <c r="AF123" i="26" s="1"/>
  <c r="AG123" i="26" s="1"/>
  <c r="AH123" i="26" s="1"/>
  <c r="AI123" i="26" s="1"/>
  <c r="AJ123" i="26" s="1"/>
  <c r="AK123" i="26" s="1"/>
  <c r="AL123" i="26" s="1"/>
  <c r="AM123" i="26" s="1"/>
  <c r="AN123" i="26" s="1"/>
  <c r="AO123" i="26" s="1"/>
  <c r="AP123" i="26" s="1"/>
  <c r="AQ123" i="26" s="1"/>
  <c r="AR123" i="26" s="1"/>
  <c r="AS123" i="26" s="1"/>
  <c r="AT123" i="26" s="1"/>
  <c r="AU123" i="26" s="1"/>
  <c r="V123" i="26"/>
  <c r="L123" i="26"/>
  <c r="M123" i="26" s="1"/>
  <c r="N123" i="26" s="1"/>
  <c r="O123" i="26" s="1"/>
  <c r="P123" i="26" s="1"/>
  <c r="Q123" i="26" s="1"/>
  <c r="R123" i="26" s="1"/>
  <c r="S123" i="26" s="1"/>
  <c r="T123" i="26" s="1"/>
  <c r="U123" i="26" s="1"/>
  <c r="K123" i="26"/>
  <c r="J123" i="26"/>
  <c r="I123" i="26"/>
  <c r="I122" i="26"/>
  <c r="F122" i="26"/>
  <c r="F121" i="26" s="1"/>
  <c r="H121" i="26"/>
  <c r="G121" i="26"/>
  <c r="L120" i="26"/>
  <c r="L119" i="26" s="1"/>
  <c r="K120" i="26"/>
  <c r="K119" i="26" s="1"/>
  <c r="J120" i="26"/>
  <c r="I120" i="26"/>
  <c r="J119" i="26"/>
  <c r="I119" i="26"/>
  <c r="H119" i="26"/>
  <c r="G119" i="26"/>
  <c r="F119" i="26"/>
  <c r="K118" i="26"/>
  <c r="L118" i="26" s="1"/>
  <c r="M118" i="26" s="1"/>
  <c r="N118" i="26" s="1"/>
  <c r="O118" i="26" s="1"/>
  <c r="P118" i="26" s="1"/>
  <c r="Q118" i="26" s="1"/>
  <c r="R118" i="26" s="1"/>
  <c r="S118" i="26" s="1"/>
  <c r="T118" i="26" s="1"/>
  <c r="U118" i="26" s="1"/>
  <c r="V118" i="26" s="1"/>
  <c r="W118" i="26" s="1"/>
  <c r="X118" i="26" s="1"/>
  <c r="Y118" i="26" s="1"/>
  <c r="Z118" i="26" s="1"/>
  <c r="AA118" i="26" s="1"/>
  <c r="AB118" i="26" s="1"/>
  <c r="AC118" i="26" s="1"/>
  <c r="AD118" i="26" s="1"/>
  <c r="AE118" i="26" s="1"/>
  <c r="AF118" i="26" s="1"/>
  <c r="AG118" i="26" s="1"/>
  <c r="AH118" i="26" s="1"/>
  <c r="AI118" i="26" s="1"/>
  <c r="AJ118" i="26" s="1"/>
  <c r="AK118" i="26" s="1"/>
  <c r="AL118" i="26" s="1"/>
  <c r="AM118" i="26" s="1"/>
  <c r="AN118" i="26" s="1"/>
  <c r="AO118" i="26" s="1"/>
  <c r="AP118" i="26" s="1"/>
  <c r="AQ118" i="26" s="1"/>
  <c r="AR118" i="26" s="1"/>
  <c r="AS118" i="26" s="1"/>
  <c r="AT118" i="26" s="1"/>
  <c r="AU118" i="26" s="1"/>
  <c r="I118" i="26"/>
  <c r="J118" i="26" s="1"/>
  <c r="W117" i="26"/>
  <c r="X117" i="26" s="1"/>
  <c r="Y117" i="26" s="1"/>
  <c r="Z117" i="26" s="1"/>
  <c r="AA117" i="26" s="1"/>
  <c r="AB117" i="26" s="1"/>
  <c r="AC117" i="26" s="1"/>
  <c r="AD117" i="26" s="1"/>
  <c r="AE117" i="26" s="1"/>
  <c r="AF117" i="26" s="1"/>
  <c r="AG117" i="26" s="1"/>
  <c r="AH117" i="26" s="1"/>
  <c r="AI117" i="26" s="1"/>
  <c r="AJ117" i="26" s="1"/>
  <c r="AK117" i="26" s="1"/>
  <c r="AL117" i="26" s="1"/>
  <c r="AM117" i="26" s="1"/>
  <c r="AN117" i="26" s="1"/>
  <c r="AO117" i="26" s="1"/>
  <c r="AP117" i="26" s="1"/>
  <c r="AQ117" i="26" s="1"/>
  <c r="AR117" i="26" s="1"/>
  <c r="AS117" i="26" s="1"/>
  <c r="AT117" i="26" s="1"/>
  <c r="AU117" i="26" s="1"/>
  <c r="K117" i="26"/>
  <c r="L117" i="26" s="1"/>
  <c r="M117" i="26" s="1"/>
  <c r="N117" i="26" s="1"/>
  <c r="O117" i="26" s="1"/>
  <c r="P117" i="26" s="1"/>
  <c r="Q117" i="26" s="1"/>
  <c r="R117" i="26" s="1"/>
  <c r="S117" i="26" s="1"/>
  <c r="T117" i="26" s="1"/>
  <c r="U117" i="26" s="1"/>
  <c r="V117" i="26" s="1"/>
  <c r="J117" i="26"/>
  <c r="I117" i="26"/>
  <c r="O116" i="26"/>
  <c r="P116" i="26" s="1"/>
  <c r="Q116" i="26" s="1"/>
  <c r="R116" i="26" s="1"/>
  <c r="S116" i="26" s="1"/>
  <c r="T116" i="26" s="1"/>
  <c r="U116" i="26" s="1"/>
  <c r="V116" i="26" s="1"/>
  <c r="W116" i="26" s="1"/>
  <c r="X116" i="26" s="1"/>
  <c r="Y116" i="26" s="1"/>
  <c r="Z116" i="26" s="1"/>
  <c r="AA116" i="26" s="1"/>
  <c r="AB116" i="26" s="1"/>
  <c r="AC116" i="26" s="1"/>
  <c r="AD116" i="26" s="1"/>
  <c r="AE116" i="26" s="1"/>
  <c r="AF116" i="26" s="1"/>
  <c r="AG116" i="26" s="1"/>
  <c r="AH116" i="26" s="1"/>
  <c r="AI116" i="26" s="1"/>
  <c r="AJ116" i="26" s="1"/>
  <c r="AK116" i="26" s="1"/>
  <c r="AL116" i="26" s="1"/>
  <c r="AM116" i="26" s="1"/>
  <c r="AN116" i="26" s="1"/>
  <c r="AO116" i="26" s="1"/>
  <c r="AP116" i="26" s="1"/>
  <c r="AQ116" i="26" s="1"/>
  <c r="AR116" i="26" s="1"/>
  <c r="AS116" i="26" s="1"/>
  <c r="AT116" i="26" s="1"/>
  <c r="AU116" i="26" s="1"/>
  <c r="J116" i="26"/>
  <c r="K116" i="26" s="1"/>
  <c r="L116" i="26" s="1"/>
  <c r="M116" i="26" s="1"/>
  <c r="N116" i="26" s="1"/>
  <c r="I116" i="26"/>
  <c r="AE115" i="26"/>
  <c r="AF115" i="26" s="1"/>
  <c r="AG115" i="26" s="1"/>
  <c r="AH115" i="26" s="1"/>
  <c r="AI115" i="26" s="1"/>
  <c r="AJ115" i="26" s="1"/>
  <c r="AK115" i="26" s="1"/>
  <c r="AL115" i="26" s="1"/>
  <c r="AM115" i="26" s="1"/>
  <c r="AN115" i="26" s="1"/>
  <c r="AO115" i="26" s="1"/>
  <c r="AP115" i="26" s="1"/>
  <c r="AQ115" i="26" s="1"/>
  <c r="AR115" i="26" s="1"/>
  <c r="AS115" i="26" s="1"/>
  <c r="AT115" i="26" s="1"/>
  <c r="AU115" i="26" s="1"/>
  <c r="O115" i="26"/>
  <c r="P115" i="26" s="1"/>
  <c r="Q115" i="26" s="1"/>
  <c r="R115" i="26" s="1"/>
  <c r="S115" i="26" s="1"/>
  <c r="T115" i="26" s="1"/>
  <c r="U115" i="26" s="1"/>
  <c r="V115" i="26" s="1"/>
  <c r="W115" i="26" s="1"/>
  <c r="X115" i="26" s="1"/>
  <c r="Y115" i="26" s="1"/>
  <c r="Z115" i="26" s="1"/>
  <c r="AA115" i="26" s="1"/>
  <c r="AB115" i="26" s="1"/>
  <c r="AC115" i="26" s="1"/>
  <c r="AD115" i="26" s="1"/>
  <c r="N115" i="26"/>
  <c r="M115" i="26"/>
  <c r="I115" i="26"/>
  <c r="J115" i="26" s="1"/>
  <c r="K115" i="26" s="1"/>
  <c r="L114" i="26"/>
  <c r="M114" i="26" s="1"/>
  <c r="N114" i="26" s="1"/>
  <c r="O114" i="26" s="1"/>
  <c r="P114" i="26" s="1"/>
  <c r="Q114" i="26" s="1"/>
  <c r="R114" i="26" s="1"/>
  <c r="S114" i="26" s="1"/>
  <c r="T114" i="26" s="1"/>
  <c r="U114" i="26" s="1"/>
  <c r="V114" i="26" s="1"/>
  <c r="W114" i="26" s="1"/>
  <c r="X114" i="26" s="1"/>
  <c r="Y114" i="26" s="1"/>
  <c r="Z114" i="26" s="1"/>
  <c r="AA114" i="26" s="1"/>
  <c r="AB114" i="26" s="1"/>
  <c r="AC114" i="26" s="1"/>
  <c r="AD114" i="26" s="1"/>
  <c r="AE114" i="26" s="1"/>
  <c r="AF114" i="26" s="1"/>
  <c r="AG114" i="26" s="1"/>
  <c r="AH114" i="26" s="1"/>
  <c r="AI114" i="26" s="1"/>
  <c r="AJ114" i="26" s="1"/>
  <c r="AK114" i="26" s="1"/>
  <c r="AL114" i="26" s="1"/>
  <c r="AM114" i="26" s="1"/>
  <c r="AN114" i="26" s="1"/>
  <c r="AO114" i="26" s="1"/>
  <c r="AP114" i="26" s="1"/>
  <c r="AQ114" i="26" s="1"/>
  <c r="AR114" i="26" s="1"/>
  <c r="AS114" i="26" s="1"/>
  <c r="AT114" i="26" s="1"/>
  <c r="AU114" i="26" s="1"/>
  <c r="K114" i="26"/>
  <c r="J114" i="26"/>
  <c r="I114" i="26"/>
  <c r="AU113" i="26"/>
  <c r="AT113" i="26"/>
  <c r="AS113" i="26"/>
  <c r="AR113" i="26"/>
  <c r="AQ113" i="26"/>
  <c r="AP113" i="26"/>
  <c r="AO113" i="26"/>
  <c r="AN113" i="26"/>
  <c r="AM113" i="26"/>
  <c r="AL113" i="26"/>
  <c r="AK113" i="26"/>
  <c r="AJ113" i="26"/>
  <c r="AI113" i="26"/>
  <c r="AH113" i="26"/>
  <c r="AG113" i="26"/>
  <c r="AF113" i="26"/>
  <c r="AE113" i="26"/>
  <c r="AD113" i="26"/>
  <c r="AC113" i="26"/>
  <c r="AB113" i="26"/>
  <c r="AA113" i="26"/>
  <c r="Z113" i="26"/>
  <c r="Y113" i="26"/>
  <c r="X113" i="26"/>
  <c r="W113" i="26"/>
  <c r="V113" i="26"/>
  <c r="U113" i="26"/>
  <c r="T113" i="26"/>
  <c r="S113" i="26"/>
  <c r="R113" i="26"/>
  <c r="Q113" i="26"/>
  <c r="P113" i="26"/>
  <c r="O113" i="26"/>
  <c r="N113" i="26"/>
  <c r="M113" i="26"/>
  <c r="L113" i="26"/>
  <c r="K113" i="26"/>
  <c r="J113" i="26"/>
  <c r="I113" i="26"/>
  <c r="H113" i="26"/>
  <c r="AU112" i="26"/>
  <c r="AT112" i="26"/>
  <c r="AS112" i="26"/>
  <c r="AR112" i="26"/>
  <c r="AQ112" i="26"/>
  <c r="AP112" i="26"/>
  <c r="AO112" i="26"/>
  <c r="AN112" i="26"/>
  <c r="AM112" i="26"/>
  <c r="AL112" i="26"/>
  <c r="AK112" i="26"/>
  <c r="AJ112" i="26"/>
  <c r="AI112" i="26"/>
  <c r="AH112" i="26"/>
  <c r="AG112" i="26"/>
  <c r="AF112" i="26"/>
  <c r="AE112" i="26"/>
  <c r="AD112" i="26"/>
  <c r="AC112" i="26"/>
  <c r="AB112" i="26"/>
  <c r="AA112" i="26"/>
  <c r="Z112" i="26"/>
  <c r="Y112" i="26"/>
  <c r="X112" i="26"/>
  <c r="W112" i="26"/>
  <c r="V112" i="26"/>
  <c r="U112" i="26"/>
  <c r="T112" i="26"/>
  <c r="S112" i="26"/>
  <c r="R112" i="26"/>
  <c r="Q112" i="26"/>
  <c r="P112" i="26"/>
  <c r="O112" i="26"/>
  <c r="N112" i="26"/>
  <c r="M112" i="26"/>
  <c r="L112" i="26"/>
  <c r="K112" i="26"/>
  <c r="J112" i="26"/>
  <c r="I112" i="26"/>
  <c r="H112" i="26"/>
  <c r="AU111" i="26"/>
  <c r="AT111" i="26"/>
  <c r="AS111" i="26"/>
  <c r="AR111" i="26"/>
  <c r="AQ111" i="26"/>
  <c r="AP111" i="26"/>
  <c r="AO111" i="26"/>
  <c r="AN111" i="26"/>
  <c r="AM111" i="26"/>
  <c r="AL111" i="26"/>
  <c r="AK111" i="26"/>
  <c r="AJ111" i="26"/>
  <c r="AI111" i="26"/>
  <c r="AH111" i="26"/>
  <c r="AG111" i="26"/>
  <c r="AF111" i="26"/>
  <c r="AE111" i="26"/>
  <c r="AD111" i="26"/>
  <c r="AC111" i="26"/>
  <c r="AB111" i="26"/>
  <c r="AA111" i="26"/>
  <c r="Z111" i="26"/>
  <c r="Y111" i="26"/>
  <c r="X111" i="26"/>
  <c r="W111" i="26"/>
  <c r="V111" i="26"/>
  <c r="U111" i="26"/>
  <c r="T111" i="26"/>
  <c r="S111" i="26"/>
  <c r="R111" i="26"/>
  <c r="Q111" i="26"/>
  <c r="P111" i="26"/>
  <c r="O111" i="26"/>
  <c r="N111" i="26"/>
  <c r="M111" i="26"/>
  <c r="L111" i="26"/>
  <c r="K111" i="26"/>
  <c r="J111" i="26"/>
  <c r="I111" i="26"/>
  <c r="H111" i="26"/>
  <c r="AU110" i="26"/>
  <c r="AT110" i="26"/>
  <c r="AS110" i="26"/>
  <c r="AR110" i="26"/>
  <c r="AQ110" i="26"/>
  <c r="AP110" i="26"/>
  <c r="AO110" i="26"/>
  <c r="AN110" i="26"/>
  <c r="AM110" i="26"/>
  <c r="AL110" i="26"/>
  <c r="AK110" i="26"/>
  <c r="AJ110" i="26"/>
  <c r="AI110" i="26"/>
  <c r="AH110" i="26"/>
  <c r="AG110" i="26"/>
  <c r="AF110" i="26"/>
  <c r="AE110" i="26"/>
  <c r="AD110" i="26"/>
  <c r="AC110" i="26"/>
  <c r="AB110" i="26"/>
  <c r="AA110" i="26"/>
  <c r="Z110" i="26"/>
  <c r="Y110" i="26"/>
  <c r="X110" i="26"/>
  <c r="W110" i="26"/>
  <c r="V110" i="26"/>
  <c r="U110" i="26"/>
  <c r="T110" i="26"/>
  <c r="S110" i="26"/>
  <c r="R110" i="26"/>
  <c r="Q110" i="26"/>
  <c r="P110" i="26"/>
  <c r="O110" i="26"/>
  <c r="N110" i="26"/>
  <c r="M110" i="26"/>
  <c r="L110" i="26"/>
  <c r="K110" i="26"/>
  <c r="J110" i="26"/>
  <c r="I110" i="26"/>
  <c r="H110" i="26"/>
  <c r="AU109" i="26"/>
  <c r="AT109" i="26"/>
  <c r="AS109" i="26"/>
  <c r="AR109" i="26"/>
  <c r="AQ109" i="26"/>
  <c r="AP109" i="26"/>
  <c r="AO109" i="26"/>
  <c r="AN109" i="26"/>
  <c r="AM109" i="26"/>
  <c r="AL109" i="26"/>
  <c r="AK109" i="26"/>
  <c r="AJ109" i="26"/>
  <c r="AI109" i="26"/>
  <c r="AH109" i="26"/>
  <c r="AG109" i="26"/>
  <c r="AF109" i="26"/>
  <c r="AE109" i="26"/>
  <c r="AD109" i="26"/>
  <c r="AC109" i="26"/>
  <c r="AB109" i="26"/>
  <c r="AA109" i="26"/>
  <c r="Z109" i="26"/>
  <c r="Y109" i="26"/>
  <c r="X109" i="26"/>
  <c r="W109" i="26"/>
  <c r="V109" i="26"/>
  <c r="U109" i="26"/>
  <c r="T109" i="26"/>
  <c r="S109" i="26"/>
  <c r="R109" i="26"/>
  <c r="Q109" i="26"/>
  <c r="P109" i="26"/>
  <c r="O109" i="26"/>
  <c r="N109" i="26"/>
  <c r="M109" i="26"/>
  <c r="L109" i="26"/>
  <c r="K109" i="26"/>
  <c r="J109" i="26"/>
  <c r="I109" i="26"/>
  <c r="H109" i="26"/>
  <c r="G108" i="26"/>
  <c r="G107" i="26" s="1"/>
  <c r="G106" i="26" s="1"/>
  <c r="W104" i="26"/>
  <c r="X104" i="26" s="1"/>
  <c r="Y104" i="26" s="1"/>
  <c r="Z104" i="26" s="1"/>
  <c r="AA104" i="26" s="1"/>
  <c r="AB104" i="26" s="1"/>
  <c r="AC104" i="26" s="1"/>
  <c r="AD104" i="26" s="1"/>
  <c r="AE104" i="26" s="1"/>
  <c r="AF104" i="26" s="1"/>
  <c r="AG104" i="26" s="1"/>
  <c r="AH104" i="26" s="1"/>
  <c r="AI104" i="26" s="1"/>
  <c r="AJ104" i="26" s="1"/>
  <c r="AK104" i="26" s="1"/>
  <c r="AL104" i="26" s="1"/>
  <c r="AM104" i="26" s="1"/>
  <c r="AN104" i="26" s="1"/>
  <c r="AO104" i="26" s="1"/>
  <c r="AP104" i="26" s="1"/>
  <c r="AQ104" i="26" s="1"/>
  <c r="AR104" i="26" s="1"/>
  <c r="AS104" i="26" s="1"/>
  <c r="AT104" i="26" s="1"/>
  <c r="AU104" i="26" s="1"/>
  <c r="L104" i="26"/>
  <c r="M104" i="26" s="1"/>
  <c r="N104" i="26" s="1"/>
  <c r="O104" i="26" s="1"/>
  <c r="P104" i="26" s="1"/>
  <c r="Q104" i="26" s="1"/>
  <c r="R104" i="26" s="1"/>
  <c r="S104" i="26" s="1"/>
  <c r="T104" i="26" s="1"/>
  <c r="U104" i="26" s="1"/>
  <c r="V104" i="26" s="1"/>
  <c r="I104" i="26"/>
  <c r="J104" i="26" s="1"/>
  <c r="K104" i="26" s="1"/>
  <c r="H104" i="26"/>
  <c r="O103" i="26"/>
  <c r="P103" i="26" s="1"/>
  <c r="Q103" i="26" s="1"/>
  <c r="R103" i="26" s="1"/>
  <c r="S103" i="26" s="1"/>
  <c r="T103" i="26" s="1"/>
  <c r="U103" i="26" s="1"/>
  <c r="V103" i="26" s="1"/>
  <c r="W103" i="26" s="1"/>
  <c r="X103" i="26" s="1"/>
  <c r="Y103" i="26" s="1"/>
  <c r="Z103" i="26" s="1"/>
  <c r="AA103" i="26" s="1"/>
  <c r="AB103" i="26" s="1"/>
  <c r="AC103" i="26" s="1"/>
  <c r="AD103" i="26" s="1"/>
  <c r="AE103" i="26" s="1"/>
  <c r="AF103" i="26" s="1"/>
  <c r="AG103" i="26" s="1"/>
  <c r="AH103" i="26" s="1"/>
  <c r="AI103" i="26" s="1"/>
  <c r="AJ103" i="26" s="1"/>
  <c r="AK103" i="26" s="1"/>
  <c r="AL103" i="26" s="1"/>
  <c r="AM103" i="26" s="1"/>
  <c r="AN103" i="26" s="1"/>
  <c r="AO103" i="26" s="1"/>
  <c r="AP103" i="26" s="1"/>
  <c r="AQ103" i="26" s="1"/>
  <c r="AR103" i="26" s="1"/>
  <c r="AS103" i="26" s="1"/>
  <c r="AT103" i="26" s="1"/>
  <c r="AU103" i="26" s="1"/>
  <c r="L103" i="26"/>
  <c r="M103" i="26" s="1"/>
  <c r="N103" i="26" s="1"/>
  <c r="I103" i="26"/>
  <c r="J103" i="26" s="1"/>
  <c r="K103" i="26" s="1"/>
  <c r="G97" i="26"/>
  <c r="G96" i="26" s="1"/>
  <c r="F97" i="26"/>
  <c r="F96" i="26" s="1"/>
  <c r="G95" i="26"/>
  <c r="AB94" i="26"/>
  <c r="AC94" i="26" s="1"/>
  <c r="AD94" i="26" s="1"/>
  <c r="AE94" i="26" s="1"/>
  <c r="AF94" i="26" s="1"/>
  <c r="AG94" i="26" s="1"/>
  <c r="AH94" i="26" s="1"/>
  <c r="AI94" i="26" s="1"/>
  <c r="AJ94" i="26" s="1"/>
  <c r="AK94" i="26" s="1"/>
  <c r="AL94" i="26" s="1"/>
  <c r="AM94" i="26" s="1"/>
  <c r="AN94" i="26" s="1"/>
  <c r="AO94" i="26" s="1"/>
  <c r="AP94" i="26" s="1"/>
  <c r="AQ94" i="26" s="1"/>
  <c r="AR94" i="26" s="1"/>
  <c r="AS94" i="26" s="1"/>
  <c r="AT94" i="26" s="1"/>
  <c r="AU94" i="26" s="1"/>
  <c r="Q94" i="26"/>
  <c r="R94" i="26" s="1"/>
  <c r="S94" i="26" s="1"/>
  <c r="T94" i="26" s="1"/>
  <c r="U94" i="26" s="1"/>
  <c r="V94" i="26" s="1"/>
  <c r="W94" i="26" s="1"/>
  <c r="X94" i="26" s="1"/>
  <c r="Y94" i="26" s="1"/>
  <c r="Z94" i="26" s="1"/>
  <c r="AA94" i="26" s="1"/>
  <c r="L94" i="26"/>
  <c r="M94" i="26" s="1"/>
  <c r="N94" i="26" s="1"/>
  <c r="O94" i="26" s="1"/>
  <c r="P94" i="26" s="1"/>
  <c r="I94" i="26"/>
  <c r="J94" i="26" s="1"/>
  <c r="K94" i="26" s="1"/>
  <c r="H94" i="26"/>
  <c r="U93" i="26"/>
  <c r="V93" i="26" s="1"/>
  <c r="W93" i="26" s="1"/>
  <c r="X93" i="26" s="1"/>
  <c r="Y93" i="26" s="1"/>
  <c r="Z93" i="26" s="1"/>
  <c r="AA93" i="26" s="1"/>
  <c r="AB93" i="26" s="1"/>
  <c r="AC93" i="26" s="1"/>
  <c r="AD93" i="26" s="1"/>
  <c r="AE93" i="26" s="1"/>
  <c r="AF93" i="26" s="1"/>
  <c r="AG93" i="26" s="1"/>
  <c r="AH93" i="26" s="1"/>
  <c r="AI93" i="26" s="1"/>
  <c r="AJ93" i="26" s="1"/>
  <c r="AK93" i="26" s="1"/>
  <c r="AL93" i="26" s="1"/>
  <c r="AM93" i="26" s="1"/>
  <c r="AN93" i="26" s="1"/>
  <c r="AO93" i="26" s="1"/>
  <c r="AP93" i="26" s="1"/>
  <c r="AQ93" i="26" s="1"/>
  <c r="AR93" i="26" s="1"/>
  <c r="AS93" i="26" s="1"/>
  <c r="AT93" i="26" s="1"/>
  <c r="AU93" i="26" s="1"/>
  <c r="L93" i="26"/>
  <c r="M93" i="26" s="1"/>
  <c r="N93" i="26" s="1"/>
  <c r="O93" i="26" s="1"/>
  <c r="P93" i="26" s="1"/>
  <c r="Q93" i="26" s="1"/>
  <c r="R93" i="26" s="1"/>
  <c r="S93" i="26" s="1"/>
  <c r="T93" i="26" s="1"/>
  <c r="I93" i="26"/>
  <c r="J93" i="26" s="1"/>
  <c r="K93" i="26" s="1"/>
  <c r="F93" i="26"/>
  <c r="N92" i="26"/>
  <c r="O92" i="26" s="1"/>
  <c r="P92" i="26" s="1"/>
  <c r="Q92" i="26" s="1"/>
  <c r="R92" i="26" s="1"/>
  <c r="S92" i="26" s="1"/>
  <c r="T92" i="26" s="1"/>
  <c r="U92" i="26" s="1"/>
  <c r="V92" i="26" s="1"/>
  <c r="W92" i="26" s="1"/>
  <c r="X92" i="26" s="1"/>
  <c r="Y92" i="26" s="1"/>
  <c r="Z92" i="26" s="1"/>
  <c r="AA92" i="26" s="1"/>
  <c r="AB92" i="26" s="1"/>
  <c r="AC92" i="26" s="1"/>
  <c r="AD92" i="26" s="1"/>
  <c r="AE92" i="26" s="1"/>
  <c r="AF92" i="26" s="1"/>
  <c r="AG92" i="26" s="1"/>
  <c r="AH92" i="26" s="1"/>
  <c r="AI92" i="26" s="1"/>
  <c r="AJ92" i="26" s="1"/>
  <c r="AK92" i="26" s="1"/>
  <c r="AL92" i="26" s="1"/>
  <c r="AM92" i="26" s="1"/>
  <c r="AN92" i="26" s="1"/>
  <c r="AO92" i="26" s="1"/>
  <c r="AP92" i="26" s="1"/>
  <c r="AQ92" i="26" s="1"/>
  <c r="AR92" i="26" s="1"/>
  <c r="AS92" i="26" s="1"/>
  <c r="AT92" i="26" s="1"/>
  <c r="AU92" i="26" s="1"/>
  <c r="M92" i="26"/>
  <c r="L92" i="26"/>
  <c r="I92" i="26"/>
  <c r="J92" i="26" s="1"/>
  <c r="K92" i="26" s="1"/>
  <c r="L91" i="26"/>
  <c r="M91" i="26" s="1"/>
  <c r="N91" i="26" s="1"/>
  <c r="O91" i="26" s="1"/>
  <c r="P91" i="26" s="1"/>
  <c r="Q91" i="26" s="1"/>
  <c r="R91" i="26" s="1"/>
  <c r="S91" i="26" s="1"/>
  <c r="T91" i="26" s="1"/>
  <c r="U91" i="26" s="1"/>
  <c r="V91" i="26" s="1"/>
  <c r="W91" i="26" s="1"/>
  <c r="X91" i="26" s="1"/>
  <c r="Y91" i="26" s="1"/>
  <c r="Z91" i="26" s="1"/>
  <c r="AA91" i="26" s="1"/>
  <c r="AB91" i="26" s="1"/>
  <c r="AC91" i="26" s="1"/>
  <c r="AD91" i="26" s="1"/>
  <c r="AE91" i="26" s="1"/>
  <c r="AF91" i="26" s="1"/>
  <c r="AG91" i="26" s="1"/>
  <c r="AH91" i="26" s="1"/>
  <c r="AI91" i="26" s="1"/>
  <c r="AJ91" i="26" s="1"/>
  <c r="AK91" i="26" s="1"/>
  <c r="AL91" i="26" s="1"/>
  <c r="AM91" i="26" s="1"/>
  <c r="AN91" i="26" s="1"/>
  <c r="AO91" i="26" s="1"/>
  <c r="AP91" i="26" s="1"/>
  <c r="AQ91" i="26" s="1"/>
  <c r="AR91" i="26" s="1"/>
  <c r="AS91" i="26" s="1"/>
  <c r="AT91" i="26" s="1"/>
  <c r="AU91" i="26" s="1"/>
  <c r="K91" i="26"/>
  <c r="H91" i="26"/>
  <c r="I91" i="26" s="1"/>
  <c r="J91" i="26" s="1"/>
  <c r="H90" i="26"/>
  <c r="L89" i="26"/>
  <c r="M89" i="26" s="1"/>
  <c r="N89" i="26" s="1"/>
  <c r="O89" i="26" s="1"/>
  <c r="P89" i="26" s="1"/>
  <c r="Q89" i="26" s="1"/>
  <c r="R89" i="26" s="1"/>
  <c r="S89" i="26" s="1"/>
  <c r="T89" i="26" s="1"/>
  <c r="U89" i="26" s="1"/>
  <c r="V89" i="26" s="1"/>
  <c r="W89" i="26" s="1"/>
  <c r="X89" i="26" s="1"/>
  <c r="Y89" i="26" s="1"/>
  <c r="Z89" i="26" s="1"/>
  <c r="AA89" i="26" s="1"/>
  <c r="AB89" i="26" s="1"/>
  <c r="AC89" i="26" s="1"/>
  <c r="AD89" i="26" s="1"/>
  <c r="AE89" i="26" s="1"/>
  <c r="AF89" i="26" s="1"/>
  <c r="AG89" i="26" s="1"/>
  <c r="AH89" i="26" s="1"/>
  <c r="AI89" i="26" s="1"/>
  <c r="AJ89" i="26" s="1"/>
  <c r="AK89" i="26" s="1"/>
  <c r="AL89" i="26" s="1"/>
  <c r="AM89" i="26" s="1"/>
  <c r="AN89" i="26" s="1"/>
  <c r="AO89" i="26" s="1"/>
  <c r="AP89" i="26" s="1"/>
  <c r="AQ89" i="26" s="1"/>
  <c r="AR89" i="26" s="1"/>
  <c r="AS89" i="26" s="1"/>
  <c r="AT89" i="26" s="1"/>
  <c r="AU89" i="26" s="1"/>
  <c r="K89" i="26"/>
  <c r="J89" i="26"/>
  <c r="I89" i="26"/>
  <c r="J88" i="26"/>
  <c r="K88" i="26" s="1"/>
  <c r="I88" i="26"/>
  <c r="G87" i="26"/>
  <c r="F87" i="26"/>
  <c r="AB86" i="26"/>
  <c r="AC86" i="26" s="1"/>
  <c r="AD86" i="26" s="1"/>
  <c r="AE86" i="26" s="1"/>
  <c r="AF86" i="26" s="1"/>
  <c r="AG86" i="26" s="1"/>
  <c r="AH86" i="26" s="1"/>
  <c r="AI86" i="26" s="1"/>
  <c r="AJ86" i="26" s="1"/>
  <c r="AK86" i="26" s="1"/>
  <c r="AL86" i="26" s="1"/>
  <c r="AM86" i="26" s="1"/>
  <c r="AN86" i="26" s="1"/>
  <c r="AO86" i="26" s="1"/>
  <c r="AP86" i="26" s="1"/>
  <c r="AQ86" i="26" s="1"/>
  <c r="AR86" i="26" s="1"/>
  <c r="AS86" i="26" s="1"/>
  <c r="AT86" i="26" s="1"/>
  <c r="AU86" i="26" s="1"/>
  <c r="U86" i="26"/>
  <c r="V86" i="26" s="1"/>
  <c r="W86" i="26" s="1"/>
  <c r="X86" i="26" s="1"/>
  <c r="Y86" i="26" s="1"/>
  <c r="Z86" i="26" s="1"/>
  <c r="AA86" i="26" s="1"/>
  <c r="L86" i="26"/>
  <c r="M86" i="26" s="1"/>
  <c r="N86" i="26" s="1"/>
  <c r="O86" i="26" s="1"/>
  <c r="P86" i="26" s="1"/>
  <c r="Q86" i="26" s="1"/>
  <c r="R86" i="26" s="1"/>
  <c r="S86" i="26" s="1"/>
  <c r="T86" i="26" s="1"/>
  <c r="K86" i="26"/>
  <c r="J86" i="26"/>
  <c r="I86" i="26"/>
  <c r="W85" i="26"/>
  <c r="X85" i="26" s="1"/>
  <c r="Y85" i="26" s="1"/>
  <c r="Z85" i="26" s="1"/>
  <c r="AA85" i="26" s="1"/>
  <c r="AB85" i="26" s="1"/>
  <c r="AC85" i="26" s="1"/>
  <c r="AD85" i="26" s="1"/>
  <c r="AE85" i="26" s="1"/>
  <c r="AF85" i="26" s="1"/>
  <c r="AG85" i="26" s="1"/>
  <c r="AH85" i="26" s="1"/>
  <c r="AI85" i="26" s="1"/>
  <c r="AJ85" i="26" s="1"/>
  <c r="AK85" i="26" s="1"/>
  <c r="AL85" i="26" s="1"/>
  <c r="AM85" i="26" s="1"/>
  <c r="AN85" i="26" s="1"/>
  <c r="AO85" i="26" s="1"/>
  <c r="AP85" i="26" s="1"/>
  <c r="AQ85" i="26" s="1"/>
  <c r="AR85" i="26" s="1"/>
  <c r="AS85" i="26" s="1"/>
  <c r="AT85" i="26" s="1"/>
  <c r="AU85" i="26" s="1"/>
  <c r="R85" i="26"/>
  <c r="S85" i="26" s="1"/>
  <c r="T85" i="26" s="1"/>
  <c r="U85" i="26" s="1"/>
  <c r="V85" i="26" s="1"/>
  <c r="J85" i="26"/>
  <c r="K85" i="26" s="1"/>
  <c r="L85" i="26" s="1"/>
  <c r="M85" i="26" s="1"/>
  <c r="N85" i="26" s="1"/>
  <c r="O85" i="26" s="1"/>
  <c r="P85" i="26" s="1"/>
  <c r="Q85" i="26" s="1"/>
  <c r="I85" i="26"/>
  <c r="J84" i="26"/>
  <c r="I84" i="26"/>
  <c r="I83" i="26" s="1"/>
  <c r="H83" i="26"/>
  <c r="G83" i="26"/>
  <c r="F83" i="26"/>
  <c r="T82" i="26"/>
  <c r="U82" i="26" s="1"/>
  <c r="V82" i="26" s="1"/>
  <c r="W82" i="26" s="1"/>
  <c r="X82" i="26" s="1"/>
  <c r="Y82" i="26" s="1"/>
  <c r="Z82" i="26" s="1"/>
  <c r="AA82" i="26" s="1"/>
  <c r="AB82" i="26" s="1"/>
  <c r="AC82" i="26" s="1"/>
  <c r="AD82" i="26" s="1"/>
  <c r="AE82" i="26" s="1"/>
  <c r="AF82" i="26" s="1"/>
  <c r="AG82" i="26" s="1"/>
  <c r="AH82" i="26" s="1"/>
  <c r="AI82" i="26" s="1"/>
  <c r="AJ82" i="26" s="1"/>
  <c r="AK82" i="26" s="1"/>
  <c r="AL82" i="26" s="1"/>
  <c r="AM82" i="26" s="1"/>
  <c r="AN82" i="26" s="1"/>
  <c r="AO82" i="26" s="1"/>
  <c r="AP82" i="26" s="1"/>
  <c r="AQ82" i="26" s="1"/>
  <c r="AR82" i="26" s="1"/>
  <c r="AS82" i="26" s="1"/>
  <c r="AT82" i="26" s="1"/>
  <c r="AU82" i="26" s="1"/>
  <c r="O82" i="26"/>
  <c r="P82" i="26" s="1"/>
  <c r="Q82" i="26" s="1"/>
  <c r="R82" i="26" s="1"/>
  <c r="S82" i="26" s="1"/>
  <c r="L82" i="26"/>
  <c r="M82" i="26" s="1"/>
  <c r="N82" i="26" s="1"/>
  <c r="K82" i="26"/>
  <c r="J82" i="26"/>
  <c r="I82" i="26"/>
  <c r="H82" i="26"/>
  <c r="K81" i="26"/>
  <c r="J81" i="26"/>
  <c r="J79" i="26" s="1"/>
  <c r="I81" i="26"/>
  <c r="H81" i="26"/>
  <c r="I79" i="26"/>
  <c r="H79" i="26"/>
  <c r="G79" i="26"/>
  <c r="F79" i="26"/>
  <c r="V78" i="26"/>
  <c r="W78" i="26" s="1"/>
  <c r="X78" i="26" s="1"/>
  <c r="Y78" i="26" s="1"/>
  <c r="Z78" i="26" s="1"/>
  <c r="AA78" i="26" s="1"/>
  <c r="AB78" i="26" s="1"/>
  <c r="AC78" i="26" s="1"/>
  <c r="AD78" i="26" s="1"/>
  <c r="AE78" i="26" s="1"/>
  <c r="AF78" i="26" s="1"/>
  <c r="AG78" i="26" s="1"/>
  <c r="AH78" i="26" s="1"/>
  <c r="AI78" i="26" s="1"/>
  <c r="AJ78" i="26" s="1"/>
  <c r="AK78" i="26" s="1"/>
  <c r="AL78" i="26" s="1"/>
  <c r="AM78" i="26" s="1"/>
  <c r="AN78" i="26" s="1"/>
  <c r="AO78" i="26" s="1"/>
  <c r="AP78" i="26" s="1"/>
  <c r="AQ78" i="26" s="1"/>
  <c r="AR78" i="26" s="1"/>
  <c r="AS78" i="26" s="1"/>
  <c r="AT78" i="26" s="1"/>
  <c r="AU78" i="26" s="1"/>
  <c r="U78" i="26"/>
  <c r="M78" i="26"/>
  <c r="N78" i="26" s="1"/>
  <c r="O78" i="26" s="1"/>
  <c r="P78" i="26" s="1"/>
  <c r="Q78" i="26" s="1"/>
  <c r="R78" i="26" s="1"/>
  <c r="S78" i="26" s="1"/>
  <c r="T78" i="26" s="1"/>
  <c r="L78" i="26"/>
  <c r="I78" i="26"/>
  <c r="J78" i="26" s="1"/>
  <c r="K78" i="26" s="1"/>
  <c r="L77" i="26"/>
  <c r="M77" i="26" s="1"/>
  <c r="N77" i="26" s="1"/>
  <c r="O77" i="26" s="1"/>
  <c r="P77" i="26" s="1"/>
  <c r="Q77" i="26" s="1"/>
  <c r="R77" i="26" s="1"/>
  <c r="S77" i="26" s="1"/>
  <c r="T77" i="26" s="1"/>
  <c r="U77" i="26" s="1"/>
  <c r="V77" i="26" s="1"/>
  <c r="W77" i="26" s="1"/>
  <c r="X77" i="26" s="1"/>
  <c r="Y77" i="26" s="1"/>
  <c r="Z77" i="26" s="1"/>
  <c r="AA77" i="26" s="1"/>
  <c r="AB77" i="26" s="1"/>
  <c r="AC77" i="26" s="1"/>
  <c r="AD77" i="26" s="1"/>
  <c r="AE77" i="26" s="1"/>
  <c r="AF77" i="26" s="1"/>
  <c r="AG77" i="26" s="1"/>
  <c r="AH77" i="26" s="1"/>
  <c r="AI77" i="26" s="1"/>
  <c r="AJ77" i="26" s="1"/>
  <c r="AK77" i="26" s="1"/>
  <c r="AL77" i="26" s="1"/>
  <c r="AM77" i="26" s="1"/>
  <c r="AN77" i="26" s="1"/>
  <c r="AO77" i="26" s="1"/>
  <c r="AP77" i="26" s="1"/>
  <c r="AQ77" i="26" s="1"/>
  <c r="AR77" i="26" s="1"/>
  <c r="AS77" i="26" s="1"/>
  <c r="AT77" i="26" s="1"/>
  <c r="AU77" i="26" s="1"/>
  <c r="K77" i="26"/>
  <c r="H77" i="26"/>
  <c r="I77" i="26" s="1"/>
  <c r="J77" i="26" s="1"/>
  <c r="L76" i="26"/>
  <c r="K76" i="26"/>
  <c r="K74" i="26" s="1"/>
  <c r="K73" i="26" s="1"/>
  <c r="H76" i="26"/>
  <c r="H74" i="26" s="1"/>
  <c r="H73" i="26" s="1"/>
  <c r="M75" i="26"/>
  <c r="L75" i="26"/>
  <c r="K75" i="26"/>
  <c r="J75" i="26"/>
  <c r="J76" i="26" s="1"/>
  <c r="I75" i="26"/>
  <c r="I76" i="26" s="1"/>
  <c r="I74" i="26" s="1"/>
  <c r="I73" i="26" s="1"/>
  <c r="J74" i="26"/>
  <c r="J73" i="26" s="1"/>
  <c r="G74" i="26"/>
  <c r="G73" i="26" s="1"/>
  <c r="F74" i="26"/>
  <c r="F73" i="26"/>
  <c r="K72" i="26"/>
  <c r="J72" i="26"/>
  <c r="I72" i="26"/>
  <c r="AU71" i="26"/>
  <c r="AT71" i="26"/>
  <c r="AS71" i="26"/>
  <c r="AR71" i="26"/>
  <c r="AQ71" i="26"/>
  <c r="AP71" i="26"/>
  <c r="AO71" i="26"/>
  <c r="AN71" i="26"/>
  <c r="AM71" i="26"/>
  <c r="AL71" i="26"/>
  <c r="AK71" i="26"/>
  <c r="AJ71" i="26"/>
  <c r="AI71" i="26"/>
  <c r="AH71" i="26"/>
  <c r="AG71" i="26"/>
  <c r="AF71" i="26"/>
  <c r="AE71" i="26"/>
  <c r="AD71" i="26"/>
  <c r="AC71" i="26"/>
  <c r="AB71" i="26"/>
  <c r="AA71" i="26"/>
  <c r="Z71" i="26"/>
  <c r="Y71" i="26"/>
  <c r="X71" i="26"/>
  <c r="W71" i="26"/>
  <c r="V71" i="26"/>
  <c r="U71" i="26"/>
  <c r="T71" i="26"/>
  <c r="S71" i="26"/>
  <c r="R71" i="26"/>
  <c r="Q71" i="26"/>
  <c r="P71" i="26"/>
  <c r="O71" i="26"/>
  <c r="N71" i="26"/>
  <c r="M71" i="26"/>
  <c r="L71" i="26"/>
  <c r="K71" i="26"/>
  <c r="J71" i="26"/>
  <c r="J70" i="26" s="1"/>
  <c r="I71" i="26"/>
  <c r="H71" i="26"/>
  <c r="I70" i="26"/>
  <c r="H70" i="26"/>
  <c r="G70" i="26"/>
  <c r="F70" i="26"/>
  <c r="P69" i="26"/>
  <c r="Q69" i="26" s="1"/>
  <c r="R69" i="26" s="1"/>
  <c r="S69" i="26" s="1"/>
  <c r="T69" i="26" s="1"/>
  <c r="U69" i="26" s="1"/>
  <c r="V69" i="26" s="1"/>
  <c r="W69" i="26" s="1"/>
  <c r="X69" i="26" s="1"/>
  <c r="Y69" i="26" s="1"/>
  <c r="Z69" i="26" s="1"/>
  <c r="AA69" i="26" s="1"/>
  <c r="AB69" i="26" s="1"/>
  <c r="AC69" i="26" s="1"/>
  <c r="AD69" i="26" s="1"/>
  <c r="AE69" i="26" s="1"/>
  <c r="AF69" i="26" s="1"/>
  <c r="AG69" i="26" s="1"/>
  <c r="AH69" i="26" s="1"/>
  <c r="AI69" i="26" s="1"/>
  <c r="AJ69" i="26" s="1"/>
  <c r="AK69" i="26" s="1"/>
  <c r="AL69" i="26" s="1"/>
  <c r="AM69" i="26" s="1"/>
  <c r="AN69" i="26" s="1"/>
  <c r="AO69" i="26" s="1"/>
  <c r="AP69" i="26" s="1"/>
  <c r="AQ69" i="26" s="1"/>
  <c r="AR69" i="26" s="1"/>
  <c r="AS69" i="26" s="1"/>
  <c r="AT69" i="26" s="1"/>
  <c r="AU69" i="26" s="1"/>
  <c r="M69" i="26"/>
  <c r="N69" i="26" s="1"/>
  <c r="O69" i="26" s="1"/>
  <c r="L69" i="26"/>
  <c r="I69" i="26"/>
  <c r="J69" i="26" s="1"/>
  <c r="K69" i="26" s="1"/>
  <c r="F69" i="26"/>
  <c r="F67" i="26" s="1"/>
  <c r="G67" i="26"/>
  <c r="J65" i="26"/>
  <c r="K65" i="26" s="1"/>
  <c r="L65" i="26" s="1"/>
  <c r="M65" i="26" s="1"/>
  <c r="N65" i="26" s="1"/>
  <c r="O65" i="26" s="1"/>
  <c r="P65" i="26" s="1"/>
  <c r="Q65" i="26" s="1"/>
  <c r="R65" i="26" s="1"/>
  <c r="S65" i="26" s="1"/>
  <c r="T65" i="26" s="1"/>
  <c r="U65" i="26" s="1"/>
  <c r="V65" i="26" s="1"/>
  <c r="W65" i="26" s="1"/>
  <c r="X65" i="26" s="1"/>
  <c r="Y65" i="26" s="1"/>
  <c r="Z65" i="26" s="1"/>
  <c r="AA65" i="26" s="1"/>
  <c r="AB65" i="26" s="1"/>
  <c r="AC65" i="26" s="1"/>
  <c r="AD65" i="26" s="1"/>
  <c r="AE65" i="26" s="1"/>
  <c r="AF65" i="26" s="1"/>
  <c r="AG65" i="26" s="1"/>
  <c r="AH65" i="26" s="1"/>
  <c r="AI65" i="26" s="1"/>
  <c r="AJ65" i="26" s="1"/>
  <c r="AK65" i="26" s="1"/>
  <c r="AL65" i="26" s="1"/>
  <c r="AM65" i="26" s="1"/>
  <c r="AN65" i="26" s="1"/>
  <c r="AO65" i="26" s="1"/>
  <c r="AP65" i="26" s="1"/>
  <c r="AQ65" i="26" s="1"/>
  <c r="AR65" i="26" s="1"/>
  <c r="AS65" i="26" s="1"/>
  <c r="AT65" i="26" s="1"/>
  <c r="AU65" i="26" s="1"/>
  <c r="I65" i="26"/>
  <c r="H65" i="26"/>
  <c r="N63" i="26"/>
  <c r="O63" i="26" s="1"/>
  <c r="P63" i="26" s="1"/>
  <c r="Q63" i="26" s="1"/>
  <c r="R63" i="26" s="1"/>
  <c r="S63" i="26" s="1"/>
  <c r="T63" i="26" s="1"/>
  <c r="U63" i="26" s="1"/>
  <c r="V63" i="26" s="1"/>
  <c r="W63" i="26" s="1"/>
  <c r="X63" i="26" s="1"/>
  <c r="Y63" i="26" s="1"/>
  <c r="Z63" i="26" s="1"/>
  <c r="AA63" i="26" s="1"/>
  <c r="AB63" i="26" s="1"/>
  <c r="AC63" i="26" s="1"/>
  <c r="AD63" i="26" s="1"/>
  <c r="AE63" i="26" s="1"/>
  <c r="AF63" i="26" s="1"/>
  <c r="AG63" i="26" s="1"/>
  <c r="AH63" i="26" s="1"/>
  <c r="AI63" i="26" s="1"/>
  <c r="AJ63" i="26" s="1"/>
  <c r="AK63" i="26" s="1"/>
  <c r="AL63" i="26" s="1"/>
  <c r="AM63" i="26" s="1"/>
  <c r="AN63" i="26" s="1"/>
  <c r="AO63" i="26" s="1"/>
  <c r="AP63" i="26" s="1"/>
  <c r="AQ63" i="26" s="1"/>
  <c r="AR63" i="26" s="1"/>
  <c r="AS63" i="26" s="1"/>
  <c r="AT63" i="26" s="1"/>
  <c r="AU63" i="26" s="1"/>
  <c r="K63" i="26"/>
  <c r="L63" i="26" s="1"/>
  <c r="M63" i="26" s="1"/>
  <c r="J63" i="26"/>
  <c r="I63" i="26"/>
  <c r="H63" i="26"/>
  <c r="J62" i="26"/>
  <c r="K62" i="26" s="1"/>
  <c r="I62" i="26"/>
  <c r="H62" i="26"/>
  <c r="AU61" i="26"/>
  <c r="AT61" i="26"/>
  <c r="AS61" i="26"/>
  <c r="AR61" i="26"/>
  <c r="AQ61" i="26"/>
  <c r="AP61" i="26"/>
  <c r="AO61" i="26"/>
  <c r="AN61" i="26"/>
  <c r="AM61" i="26"/>
  <c r="AL61" i="26"/>
  <c r="AK61" i="26"/>
  <c r="AJ61" i="26"/>
  <c r="AI61" i="26"/>
  <c r="AH61" i="26"/>
  <c r="AG61" i="26"/>
  <c r="AF61" i="26"/>
  <c r="AE61" i="26"/>
  <c r="AD61" i="26"/>
  <c r="AC61" i="26"/>
  <c r="AB61" i="26"/>
  <c r="AA61" i="26"/>
  <c r="Z61" i="26"/>
  <c r="Y61" i="26"/>
  <c r="X61" i="26"/>
  <c r="W61" i="26"/>
  <c r="V61" i="26"/>
  <c r="U61" i="26"/>
  <c r="T61" i="26"/>
  <c r="S61" i="26"/>
  <c r="R61" i="26"/>
  <c r="Q61" i="26"/>
  <c r="P61" i="26"/>
  <c r="O61" i="26"/>
  <c r="N61" i="26"/>
  <c r="M61" i="26"/>
  <c r="L61" i="26"/>
  <c r="K61" i="26"/>
  <c r="J61" i="26"/>
  <c r="J59" i="26" s="1"/>
  <c r="J58" i="26" s="1"/>
  <c r="I61" i="26"/>
  <c r="H61" i="26"/>
  <c r="K60" i="26"/>
  <c r="L60" i="26" s="1"/>
  <c r="J60" i="26"/>
  <c r="I60" i="26"/>
  <c r="H60" i="26"/>
  <c r="I59" i="26"/>
  <c r="I58" i="26" s="1"/>
  <c r="H59" i="26"/>
  <c r="G59" i="26"/>
  <c r="H58" i="26"/>
  <c r="G58" i="26"/>
  <c r="F58" i="26"/>
  <c r="J54" i="26"/>
  <c r="K54" i="26" s="1"/>
  <c r="L54" i="26" s="1"/>
  <c r="M54" i="26" s="1"/>
  <c r="N54" i="26" s="1"/>
  <c r="O54" i="26" s="1"/>
  <c r="P54" i="26" s="1"/>
  <c r="Q54" i="26" s="1"/>
  <c r="R54" i="26" s="1"/>
  <c r="S54" i="26" s="1"/>
  <c r="T54" i="26" s="1"/>
  <c r="U54" i="26" s="1"/>
  <c r="V54" i="26" s="1"/>
  <c r="W54" i="26" s="1"/>
  <c r="X54" i="26" s="1"/>
  <c r="Y54" i="26" s="1"/>
  <c r="Z54" i="26" s="1"/>
  <c r="AA54" i="26" s="1"/>
  <c r="AB54" i="26" s="1"/>
  <c r="AC54" i="26" s="1"/>
  <c r="AD54" i="26" s="1"/>
  <c r="AE54" i="26" s="1"/>
  <c r="AF54" i="26" s="1"/>
  <c r="AG54" i="26" s="1"/>
  <c r="AH54" i="26" s="1"/>
  <c r="AI54" i="26" s="1"/>
  <c r="AJ54" i="26" s="1"/>
  <c r="AK54" i="26" s="1"/>
  <c r="AL54" i="26" s="1"/>
  <c r="AM54" i="26" s="1"/>
  <c r="AN54" i="26" s="1"/>
  <c r="AO54" i="26" s="1"/>
  <c r="AP54" i="26" s="1"/>
  <c r="AQ54" i="26" s="1"/>
  <c r="AR54" i="26" s="1"/>
  <c r="AS54" i="26" s="1"/>
  <c r="AT54" i="26" s="1"/>
  <c r="AU54" i="26" s="1"/>
  <c r="I54" i="26"/>
  <c r="H54" i="26"/>
  <c r="G52" i="26"/>
  <c r="F52" i="26"/>
  <c r="J51" i="26"/>
  <c r="K51" i="26" s="1"/>
  <c r="L51" i="26" s="1"/>
  <c r="M51" i="26" s="1"/>
  <c r="N51" i="26" s="1"/>
  <c r="O51" i="26" s="1"/>
  <c r="P51" i="26" s="1"/>
  <c r="Q51" i="26" s="1"/>
  <c r="R51" i="26" s="1"/>
  <c r="S51" i="26" s="1"/>
  <c r="T51" i="26" s="1"/>
  <c r="U51" i="26" s="1"/>
  <c r="V51" i="26" s="1"/>
  <c r="W51" i="26" s="1"/>
  <c r="X51" i="26" s="1"/>
  <c r="Y51" i="26" s="1"/>
  <c r="Z51" i="26" s="1"/>
  <c r="AA51" i="26" s="1"/>
  <c r="AB51" i="26" s="1"/>
  <c r="AC51" i="26" s="1"/>
  <c r="AD51" i="26" s="1"/>
  <c r="AE51" i="26" s="1"/>
  <c r="AF51" i="26" s="1"/>
  <c r="AG51" i="26" s="1"/>
  <c r="AH51" i="26" s="1"/>
  <c r="AI51" i="26" s="1"/>
  <c r="AJ51" i="26" s="1"/>
  <c r="AK51" i="26" s="1"/>
  <c r="AL51" i="26" s="1"/>
  <c r="AM51" i="26" s="1"/>
  <c r="AN51" i="26" s="1"/>
  <c r="AO51" i="26" s="1"/>
  <c r="AP51" i="26" s="1"/>
  <c r="AQ51" i="26" s="1"/>
  <c r="AR51" i="26" s="1"/>
  <c r="AS51" i="26" s="1"/>
  <c r="AT51" i="26" s="1"/>
  <c r="AU51" i="26" s="1"/>
  <c r="I51" i="26"/>
  <c r="G51" i="26"/>
  <c r="F51" i="26"/>
  <c r="I50" i="26"/>
  <c r="J50" i="26" s="1"/>
  <c r="K50" i="26" s="1"/>
  <c r="L50" i="26" s="1"/>
  <c r="M50" i="26" s="1"/>
  <c r="N50" i="26" s="1"/>
  <c r="O50" i="26" s="1"/>
  <c r="P50" i="26" s="1"/>
  <c r="Q50" i="26" s="1"/>
  <c r="R50" i="26" s="1"/>
  <c r="S50" i="26" s="1"/>
  <c r="T50" i="26" s="1"/>
  <c r="U50" i="26" s="1"/>
  <c r="V50" i="26" s="1"/>
  <c r="W50" i="26" s="1"/>
  <c r="X50" i="26" s="1"/>
  <c r="Y50" i="26" s="1"/>
  <c r="Z50" i="26" s="1"/>
  <c r="AA50" i="26" s="1"/>
  <c r="AB50" i="26" s="1"/>
  <c r="AC50" i="26" s="1"/>
  <c r="AD50" i="26" s="1"/>
  <c r="AE50" i="26" s="1"/>
  <c r="AF50" i="26" s="1"/>
  <c r="AG50" i="26" s="1"/>
  <c r="AH50" i="26" s="1"/>
  <c r="AI50" i="26" s="1"/>
  <c r="AJ50" i="26" s="1"/>
  <c r="AK50" i="26" s="1"/>
  <c r="AL50" i="26" s="1"/>
  <c r="AM50" i="26" s="1"/>
  <c r="AN50" i="26" s="1"/>
  <c r="AO50" i="26" s="1"/>
  <c r="AP50" i="26" s="1"/>
  <c r="AQ50" i="26" s="1"/>
  <c r="AR50" i="26" s="1"/>
  <c r="AS50" i="26" s="1"/>
  <c r="AT50" i="26" s="1"/>
  <c r="AU50" i="26" s="1"/>
  <c r="G50" i="26"/>
  <c r="F50" i="26"/>
  <c r="J49" i="26"/>
  <c r="K49" i="26" s="1"/>
  <c r="L49" i="26" s="1"/>
  <c r="M49" i="26" s="1"/>
  <c r="N49" i="26" s="1"/>
  <c r="O49" i="26" s="1"/>
  <c r="P49" i="26" s="1"/>
  <c r="Q49" i="26" s="1"/>
  <c r="R49" i="26" s="1"/>
  <c r="S49" i="26" s="1"/>
  <c r="T49" i="26" s="1"/>
  <c r="U49" i="26" s="1"/>
  <c r="V49" i="26" s="1"/>
  <c r="W49" i="26" s="1"/>
  <c r="X49" i="26" s="1"/>
  <c r="Y49" i="26" s="1"/>
  <c r="Z49" i="26" s="1"/>
  <c r="AA49" i="26" s="1"/>
  <c r="AB49" i="26" s="1"/>
  <c r="AC49" i="26" s="1"/>
  <c r="AD49" i="26" s="1"/>
  <c r="AE49" i="26" s="1"/>
  <c r="AF49" i="26" s="1"/>
  <c r="AG49" i="26" s="1"/>
  <c r="AH49" i="26" s="1"/>
  <c r="AI49" i="26" s="1"/>
  <c r="AJ49" i="26" s="1"/>
  <c r="AK49" i="26" s="1"/>
  <c r="AL49" i="26" s="1"/>
  <c r="AM49" i="26" s="1"/>
  <c r="AN49" i="26" s="1"/>
  <c r="AO49" i="26" s="1"/>
  <c r="AP49" i="26" s="1"/>
  <c r="AQ49" i="26" s="1"/>
  <c r="AR49" i="26" s="1"/>
  <c r="AS49" i="26" s="1"/>
  <c r="AT49" i="26" s="1"/>
  <c r="AU49" i="26" s="1"/>
  <c r="I49" i="26"/>
  <c r="G49" i="26"/>
  <c r="F49" i="26"/>
  <c r="I48" i="26"/>
  <c r="I47" i="26"/>
  <c r="I46" i="26" s="1"/>
  <c r="G47" i="26"/>
  <c r="F47" i="26"/>
  <c r="F46" i="26" s="1"/>
  <c r="F30" i="26" s="1"/>
  <c r="F29" i="26" s="1"/>
  <c r="H46" i="26"/>
  <c r="G46" i="26"/>
  <c r="AU45" i="26"/>
  <c r="AT45" i="26"/>
  <c r="AS45" i="26"/>
  <c r="AR45" i="26"/>
  <c r="AQ45" i="26"/>
  <c r="AP45" i="26"/>
  <c r="AO45" i="26"/>
  <c r="AN45" i="26"/>
  <c r="AM45" i="26"/>
  <c r="AL45" i="26"/>
  <c r="AK45" i="26"/>
  <c r="AJ45" i="26"/>
  <c r="AI45" i="26"/>
  <c r="AH45" i="26"/>
  <c r="AG45" i="26"/>
  <c r="AF45" i="26"/>
  <c r="AE45" i="26"/>
  <c r="AD45" i="26"/>
  <c r="AC45" i="26"/>
  <c r="AB45" i="26"/>
  <c r="AA45" i="26"/>
  <c r="Z45" i="26"/>
  <c r="Y45" i="26"/>
  <c r="X45" i="26"/>
  <c r="W45" i="26"/>
  <c r="V45" i="26"/>
  <c r="U45" i="26"/>
  <c r="T45" i="26"/>
  <c r="S45" i="26"/>
  <c r="R45" i="26"/>
  <c r="Q45" i="26"/>
  <c r="P45" i="26"/>
  <c r="O45" i="26"/>
  <c r="N45" i="26"/>
  <c r="M45" i="26"/>
  <c r="L45" i="26"/>
  <c r="K45" i="26"/>
  <c r="J45" i="26"/>
  <c r="I45" i="26"/>
  <c r="H45" i="26"/>
  <c r="I44" i="26"/>
  <c r="J44" i="26" s="1"/>
  <c r="K44" i="26" s="1"/>
  <c r="L44" i="26" s="1"/>
  <c r="M44" i="26" s="1"/>
  <c r="N44" i="26" s="1"/>
  <c r="O44" i="26" s="1"/>
  <c r="P44" i="26" s="1"/>
  <c r="Q44" i="26" s="1"/>
  <c r="R44" i="26" s="1"/>
  <c r="S44" i="26" s="1"/>
  <c r="T44" i="26" s="1"/>
  <c r="U44" i="26" s="1"/>
  <c r="V44" i="26" s="1"/>
  <c r="W44" i="26" s="1"/>
  <c r="X44" i="26" s="1"/>
  <c r="Y44" i="26" s="1"/>
  <c r="Z44" i="26" s="1"/>
  <c r="AA44" i="26" s="1"/>
  <c r="AB44" i="26" s="1"/>
  <c r="AC44" i="26" s="1"/>
  <c r="AD44" i="26" s="1"/>
  <c r="AE44" i="26" s="1"/>
  <c r="AF44" i="26" s="1"/>
  <c r="AG44" i="26" s="1"/>
  <c r="AH44" i="26" s="1"/>
  <c r="AI44" i="26" s="1"/>
  <c r="AJ44" i="26" s="1"/>
  <c r="AK44" i="26" s="1"/>
  <c r="AL44" i="26" s="1"/>
  <c r="AM44" i="26" s="1"/>
  <c r="AN44" i="26" s="1"/>
  <c r="AO44" i="26" s="1"/>
  <c r="AP44" i="26" s="1"/>
  <c r="AQ44" i="26" s="1"/>
  <c r="AR44" i="26" s="1"/>
  <c r="AS44" i="26" s="1"/>
  <c r="AT44" i="26" s="1"/>
  <c r="AU44" i="26" s="1"/>
  <c r="H44" i="26"/>
  <c r="AU43" i="26"/>
  <c r="AT43" i="26"/>
  <c r="AS43" i="26"/>
  <c r="AR43" i="26"/>
  <c r="AQ43" i="26"/>
  <c r="AP43" i="26"/>
  <c r="AO43" i="26"/>
  <c r="AN43" i="26"/>
  <c r="AM43" i="26"/>
  <c r="AL43" i="26"/>
  <c r="AK43" i="26"/>
  <c r="AJ43" i="26"/>
  <c r="AI43" i="26"/>
  <c r="AH43" i="26"/>
  <c r="AG43" i="26"/>
  <c r="AF43" i="26"/>
  <c r="AE43" i="26"/>
  <c r="AD43" i="26"/>
  <c r="AC43" i="26"/>
  <c r="AB43" i="26"/>
  <c r="AA43" i="26"/>
  <c r="Z43" i="26"/>
  <c r="Y43" i="26"/>
  <c r="X43" i="26"/>
  <c r="W43" i="26"/>
  <c r="V43" i="26"/>
  <c r="U43" i="26"/>
  <c r="T43" i="26"/>
  <c r="S43" i="26"/>
  <c r="R43" i="26"/>
  <c r="Q43" i="26"/>
  <c r="P43" i="26"/>
  <c r="O43" i="26"/>
  <c r="N43" i="26"/>
  <c r="M43" i="26"/>
  <c r="L43" i="26"/>
  <c r="K43" i="26"/>
  <c r="J43" i="26"/>
  <c r="I43" i="26"/>
  <c r="H43" i="26"/>
  <c r="L42" i="26"/>
  <c r="M42" i="26" s="1"/>
  <c r="N42" i="26" s="1"/>
  <c r="O42" i="26" s="1"/>
  <c r="P42" i="26" s="1"/>
  <c r="Q42" i="26" s="1"/>
  <c r="R42" i="26" s="1"/>
  <c r="S42" i="26" s="1"/>
  <c r="T42" i="26" s="1"/>
  <c r="U42" i="26" s="1"/>
  <c r="V42" i="26" s="1"/>
  <c r="W42" i="26" s="1"/>
  <c r="X42" i="26" s="1"/>
  <c r="Y42" i="26" s="1"/>
  <c r="Z42" i="26" s="1"/>
  <c r="AA42" i="26" s="1"/>
  <c r="AB42" i="26" s="1"/>
  <c r="AC42" i="26" s="1"/>
  <c r="AD42" i="26" s="1"/>
  <c r="AE42" i="26" s="1"/>
  <c r="AF42" i="26" s="1"/>
  <c r="AG42" i="26" s="1"/>
  <c r="AH42" i="26" s="1"/>
  <c r="AI42" i="26" s="1"/>
  <c r="AJ42" i="26" s="1"/>
  <c r="AK42" i="26" s="1"/>
  <c r="AL42" i="26" s="1"/>
  <c r="AM42" i="26" s="1"/>
  <c r="AN42" i="26" s="1"/>
  <c r="AO42" i="26" s="1"/>
  <c r="AP42" i="26" s="1"/>
  <c r="AQ42" i="26" s="1"/>
  <c r="AR42" i="26" s="1"/>
  <c r="AS42" i="26" s="1"/>
  <c r="AT42" i="26" s="1"/>
  <c r="AU42" i="26" s="1"/>
  <c r="K42" i="26"/>
  <c r="J42" i="26"/>
  <c r="I42" i="26"/>
  <c r="I41" i="26"/>
  <c r="J41" i="26" s="1"/>
  <c r="K41" i="26" s="1"/>
  <c r="L41" i="26" s="1"/>
  <c r="M41" i="26" s="1"/>
  <c r="N41" i="26" s="1"/>
  <c r="O41" i="26" s="1"/>
  <c r="P41" i="26" s="1"/>
  <c r="Q41" i="26" s="1"/>
  <c r="R41" i="26" s="1"/>
  <c r="S41" i="26" s="1"/>
  <c r="T41" i="26" s="1"/>
  <c r="U41" i="26" s="1"/>
  <c r="V41" i="26" s="1"/>
  <c r="W41" i="26" s="1"/>
  <c r="X41" i="26" s="1"/>
  <c r="Y41" i="26" s="1"/>
  <c r="Z41" i="26" s="1"/>
  <c r="AA41" i="26" s="1"/>
  <c r="AB41" i="26" s="1"/>
  <c r="AC41" i="26" s="1"/>
  <c r="AD41" i="26" s="1"/>
  <c r="AE41" i="26" s="1"/>
  <c r="AF41" i="26" s="1"/>
  <c r="AG41" i="26" s="1"/>
  <c r="AH41" i="26" s="1"/>
  <c r="AI41" i="26" s="1"/>
  <c r="AJ41" i="26" s="1"/>
  <c r="AK41" i="26" s="1"/>
  <c r="AL41" i="26" s="1"/>
  <c r="AM41" i="26" s="1"/>
  <c r="AN41" i="26" s="1"/>
  <c r="AO41" i="26" s="1"/>
  <c r="AP41" i="26" s="1"/>
  <c r="AQ41" i="26" s="1"/>
  <c r="AR41" i="26" s="1"/>
  <c r="AS41" i="26" s="1"/>
  <c r="AT41" i="26" s="1"/>
  <c r="AU41" i="26" s="1"/>
  <c r="AU40" i="26"/>
  <c r="AT40" i="26"/>
  <c r="AS40" i="26"/>
  <c r="AR40" i="26"/>
  <c r="AQ40" i="26"/>
  <c r="AP40" i="26"/>
  <c r="AO40" i="26"/>
  <c r="AN40" i="26"/>
  <c r="AM40" i="26"/>
  <c r="AL40" i="26"/>
  <c r="AK40" i="26"/>
  <c r="AJ40" i="26"/>
  <c r="AI40" i="26"/>
  <c r="AH40" i="26"/>
  <c r="AG40" i="26"/>
  <c r="AF40" i="26"/>
  <c r="AE40" i="26"/>
  <c r="AD40" i="26"/>
  <c r="AC40" i="26"/>
  <c r="AB40" i="26"/>
  <c r="AA40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I40" i="26"/>
  <c r="H40" i="26"/>
  <c r="AU39" i="26"/>
  <c r="AT39" i="26"/>
  <c r="AS39" i="26"/>
  <c r="AR39" i="26"/>
  <c r="AQ39" i="26"/>
  <c r="AP39" i="26"/>
  <c r="AO39" i="26"/>
  <c r="AN39" i="26"/>
  <c r="AM39" i="26"/>
  <c r="AL39" i="26"/>
  <c r="AK39" i="26"/>
  <c r="AJ39" i="26"/>
  <c r="AI39" i="26"/>
  <c r="AH39" i="26"/>
  <c r="AG39" i="26"/>
  <c r="AF39" i="26"/>
  <c r="AE39" i="26"/>
  <c r="AD39" i="26"/>
  <c r="AC39" i="26"/>
  <c r="AB39" i="26"/>
  <c r="AA39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I39" i="26"/>
  <c r="H39" i="26"/>
  <c r="AU38" i="26"/>
  <c r="AT38" i="26"/>
  <c r="AS38" i="26"/>
  <c r="AR38" i="26"/>
  <c r="AQ38" i="26"/>
  <c r="AP38" i="26"/>
  <c r="AO38" i="26"/>
  <c r="AN38" i="26"/>
  <c r="AM38" i="26"/>
  <c r="AL38" i="26"/>
  <c r="AK38" i="26"/>
  <c r="AJ38" i="26"/>
  <c r="AI38" i="26"/>
  <c r="AH38" i="26"/>
  <c r="AG38" i="26"/>
  <c r="AF38" i="26"/>
  <c r="AE38" i="26"/>
  <c r="AD38" i="26"/>
  <c r="AC38" i="26"/>
  <c r="AB38" i="26"/>
  <c r="AA38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I38" i="26"/>
  <c r="H38" i="26"/>
  <c r="AU37" i="26"/>
  <c r="AT37" i="26"/>
  <c r="AS37" i="26"/>
  <c r="AR37" i="26"/>
  <c r="AQ37" i="26"/>
  <c r="AP37" i="26"/>
  <c r="AO37" i="26"/>
  <c r="AN37" i="26"/>
  <c r="AM37" i="26"/>
  <c r="AL37" i="26"/>
  <c r="AK37" i="26"/>
  <c r="AJ37" i="26"/>
  <c r="AI37" i="26"/>
  <c r="AH37" i="26"/>
  <c r="AG37" i="26"/>
  <c r="AF37" i="26"/>
  <c r="AE37" i="26"/>
  <c r="AD37" i="26"/>
  <c r="AC37" i="26"/>
  <c r="AB37" i="26"/>
  <c r="AA37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I37" i="26"/>
  <c r="H37" i="26"/>
  <c r="AU36" i="26"/>
  <c r="AT36" i="26"/>
  <c r="AS36" i="26"/>
  <c r="AR36" i="26"/>
  <c r="AQ36" i="26"/>
  <c r="AP36" i="26"/>
  <c r="AO36" i="26"/>
  <c r="AN36" i="26"/>
  <c r="AM36" i="26"/>
  <c r="AL36" i="26"/>
  <c r="AK36" i="26"/>
  <c r="AJ36" i="26"/>
  <c r="AI36" i="26"/>
  <c r="AH36" i="26"/>
  <c r="AG36" i="26"/>
  <c r="AF36" i="26"/>
  <c r="AE36" i="26"/>
  <c r="AD36" i="26"/>
  <c r="AC36" i="26"/>
  <c r="AB36" i="26"/>
  <c r="AA36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I36" i="26"/>
  <c r="H36" i="26"/>
  <c r="AU35" i="26"/>
  <c r="AT35" i="26"/>
  <c r="AS35" i="26"/>
  <c r="AR35" i="26"/>
  <c r="AQ35" i="26"/>
  <c r="AP35" i="26"/>
  <c r="AO35" i="26"/>
  <c r="AN35" i="26"/>
  <c r="AM35" i="26"/>
  <c r="AL35" i="26"/>
  <c r="AK35" i="26"/>
  <c r="AJ35" i="26"/>
  <c r="AI35" i="26"/>
  <c r="AH35" i="26"/>
  <c r="AG35" i="26"/>
  <c r="AF35" i="26"/>
  <c r="AE35" i="26"/>
  <c r="AD35" i="26"/>
  <c r="AC35" i="26"/>
  <c r="AB35" i="26"/>
  <c r="AA35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I35" i="26"/>
  <c r="H35" i="26"/>
  <c r="AU34" i="26"/>
  <c r="AT34" i="26"/>
  <c r="AS34" i="26"/>
  <c r="AR34" i="26"/>
  <c r="AQ34" i="26"/>
  <c r="AP34" i="26"/>
  <c r="AO34" i="26"/>
  <c r="AN34" i="26"/>
  <c r="AM34" i="26"/>
  <c r="AL34" i="26"/>
  <c r="AK34" i="26"/>
  <c r="AJ34" i="26"/>
  <c r="AI34" i="26"/>
  <c r="AH34" i="26"/>
  <c r="AG34" i="26"/>
  <c r="AF34" i="26"/>
  <c r="AE34" i="26"/>
  <c r="AD34" i="26"/>
  <c r="AC34" i="26"/>
  <c r="AB34" i="26"/>
  <c r="AA34" i="26"/>
  <c r="Z34" i="26"/>
  <c r="Y34" i="26"/>
  <c r="X34" i="26"/>
  <c r="W34" i="26"/>
  <c r="V34" i="26"/>
  <c r="U34" i="26"/>
  <c r="T34" i="26"/>
  <c r="S34" i="26"/>
  <c r="R34" i="26"/>
  <c r="Q34" i="26"/>
  <c r="P34" i="26"/>
  <c r="O34" i="26"/>
  <c r="N34" i="26"/>
  <c r="M34" i="26"/>
  <c r="L34" i="26"/>
  <c r="K34" i="26"/>
  <c r="J34" i="26"/>
  <c r="I34" i="26"/>
  <c r="H34" i="26"/>
  <c r="AU33" i="26"/>
  <c r="AT33" i="26"/>
  <c r="AS33" i="26"/>
  <c r="AR33" i="26"/>
  <c r="AQ33" i="26"/>
  <c r="AP33" i="26"/>
  <c r="AO33" i="26"/>
  <c r="AN33" i="26"/>
  <c r="AM33" i="26"/>
  <c r="AL33" i="26"/>
  <c r="AK33" i="26"/>
  <c r="AJ33" i="26"/>
  <c r="AI33" i="26"/>
  <c r="AH33" i="26"/>
  <c r="AG33" i="26"/>
  <c r="AF33" i="26"/>
  <c r="AE33" i="26"/>
  <c r="AD33" i="26"/>
  <c r="AC33" i="26"/>
  <c r="AB33" i="26"/>
  <c r="AA33" i="26"/>
  <c r="Z33" i="26"/>
  <c r="Y33" i="26"/>
  <c r="X33" i="26"/>
  <c r="W33" i="26"/>
  <c r="V33" i="26"/>
  <c r="U33" i="26"/>
  <c r="T33" i="26"/>
  <c r="S33" i="26"/>
  <c r="R33" i="26"/>
  <c r="Q33" i="26"/>
  <c r="P33" i="26"/>
  <c r="O33" i="26"/>
  <c r="N33" i="26"/>
  <c r="M33" i="26"/>
  <c r="L33" i="26"/>
  <c r="K33" i="26"/>
  <c r="J33" i="26"/>
  <c r="I33" i="26"/>
  <c r="H33" i="26"/>
  <c r="AU32" i="26"/>
  <c r="AT32" i="26"/>
  <c r="AS32" i="26"/>
  <c r="AR32" i="26"/>
  <c r="AQ32" i="26"/>
  <c r="AP32" i="26"/>
  <c r="AO32" i="26"/>
  <c r="AN32" i="26"/>
  <c r="AM32" i="26"/>
  <c r="AL32" i="26"/>
  <c r="AK32" i="26"/>
  <c r="AJ32" i="26"/>
  <c r="AI32" i="26"/>
  <c r="AH32" i="26"/>
  <c r="AG32" i="26"/>
  <c r="AF32" i="26"/>
  <c r="AE32" i="26"/>
  <c r="AD32" i="26"/>
  <c r="AC32" i="26"/>
  <c r="AB32" i="26"/>
  <c r="AA32" i="26"/>
  <c r="Z32" i="26"/>
  <c r="Y32" i="26"/>
  <c r="X32" i="26"/>
  <c r="W32" i="26"/>
  <c r="V32" i="26"/>
  <c r="U32" i="26"/>
  <c r="T32" i="26"/>
  <c r="S32" i="26"/>
  <c r="R32" i="26"/>
  <c r="Q32" i="26"/>
  <c r="P32" i="26"/>
  <c r="O32" i="26"/>
  <c r="N32" i="26"/>
  <c r="M32" i="26"/>
  <c r="L32" i="26"/>
  <c r="K32" i="26"/>
  <c r="J32" i="26"/>
  <c r="I32" i="26"/>
  <c r="H32" i="26"/>
  <c r="G31" i="26"/>
  <c r="F31" i="26"/>
  <c r="G30" i="26"/>
  <c r="G29" i="26" s="1"/>
  <c r="F28" i="26"/>
  <c r="F25" i="26" s="1"/>
  <c r="AR27" i="26"/>
  <c r="AM27" i="26"/>
  <c r="AJ27" i="26"/>
  <c r="AE27" i="26"/>
  <c r="AB27" i="26"/>
  <c r="T27" i="26"/>
  <c r="L27" i="26"/>
  <c r="G25" i="26"/>
  <c r="N24" i="26"/>
  <c r="O24" i="26" s="1"/>
  <c r="P24" i="26" s="1"/>
  <c r="Q24" i="26" s="1"/>
  <c r="R24" i="26" s="1"/>
  <c r="S24" i="26" s="1"/>
  <c r="T24" i="26" s="1"/>
  <c r="U24" i="26" s="1"/>
  <c r="V24" i="26" s="1"/>
  <c r="W24" i="26" s="1"/>
  <c r="X24" i="26" s="1"/>
  <c r="Y24" i="26" s="1"/>
  <c r="Z24" i="26" s="1"/>
  <c r="AA24" i="26" s="1"/>
  <c r="AB24" i="26" s="1"/>
  <c r="AC24" i="26" s="1"/>
  <c r="AD24" i="26" s="1"/>
  <c r="AE24" i="26" s="1"/>
  <c r="AF24" i="26" s="1"/>
  <c r="AG24" i="26" s="1"/>
  <c r="AH24" i="26" s="1"/>
  <c r="AI24" i="26" s="1"/>
  <c r="AJ24" i="26" s="1"/>
  <c r="AK24" i="26" s="1"/>
  <c r="AL24" i="26" s="1"/>
  <c r="AM24" i="26" s="1"/>
  <c r="AN24" i="26" s="1"/>
  <c r="AO24" i="26" s="1"/>
  <c r="AP24" i="26" s="1"/>
  <c r="AQ24" i="26" s="1"/>
  <c r="AR24" i="26" s="1"/>
  <c r="AS24" i="26" s="1"/>
  <c r="AT24" i="26" s="1"/>
  <c r="AU24" i="26" s="1"/>
  <c r="I24" i="26"/>
  <c r="J24" i="26" s="1"/>
  <c r="K24" i="26" s="1"/>
  <c r="L24" i="26" s="1"/>
  <c r="M24" i="26" s="1"/>
  <c r="G16" i="26"/>
  <c r="F16" i="26"/>
  <c r="AU15" i="26"/>
  <c r="AU27" i="26" s="1"/>
  <c r="AT15" i="26"/>
  <c r="AS15" i="26"/>
  <c r="AS27" i="26" s="1"/>
  <c r="AR15" i="26"/>
  <c r="AQ15" i="26"/>
  <c r="AP15" i="26"/>
  <c r="AO15" i="26"/>
  <c r="AN15" i="26"/>
  <c r="AN27" i="26" s="1"/>
  <c r="AM15" i="26"/>
  <c r="AL15" i="26"/>
  <c r="AK15" i="26"/>
  <c r="AK27" i="26" s="1"/>
  <c r="AJ15" i="26"/>
  <c r="AI15" i="26"/>
  <c r="AH15" i="26"/>
  <c r="AG15" i="26"/>
  <c r="AG27" i="26" s="1"/>
  <c r="AF15" i="26"/>
  <c r="AF27" i="26" s="1"/>
  <c r="AE15" i="26"/>
  <c r="AD15" i="26"/>
  <c r="AC15" i="26"/>
  <c r="AC27" i="26" s="1"/>
  <c r="AB15" i="26"/>
  <c r="AA15" i="26"/>
  <c r="Z15" i="26"/>
  <c r="Y15" i="26"/>
  <c r="X15" i="26"/>
  <c r="X27" i="26" s="1"/>
  <c r="W15" i="26"/>
  <c r="W27" i="26" s="1"/>
  <c r="V15" i="26"/>
  <c r="U15" i="26"/>
  <c r="U27" i="26" s="1"/>
  <c r="T15" i="26"/>
  <c r="S15" i="26"/>
  <c r="R15" i="26"/>
  <c r="Q15" i="26"/>
  <c r="P15" i="26"/>
  <c r="P27" i="26" s="1"/>
  <c r="O15" i="26"/>
  <c r="O27" i="26" s="1"/>
  <c r="N15" i="26"/>
  <c r="M15" i="26"/>
  <c r="M27" i="26" s="1"/>
  <c r="L15" i="26"/>
  <c r="K15" i="26"/>
  <c r="J15" i="26"/>
  <c r="I15" i="26"/>
  <c r="I27" i="26" s="1"/>
  <c r="H15" i="26"/>
  <c r="H27" i="26" s="1"/>
  <c r="H14" i="26"/>
  <c r="H26" i="26" s="1"/>
  <c r="H13" i="26"/>
  <c r="G13" i="26"/>
  <c r="F13" i="26"/>
  <c r="F12" i="26" s="1"/>
  <c r="F9" i="26" s="1"/>
  <c r="F11" i="26"/>
  <c r="I5" i="26"/>
  <c r="G3" i="26"/>
  <c r="G4" i="26" s="1"/>
  <c r="F3" i="26"/>
  <c r="F4" i="26" s="1"/>
  <c r="G2" i="26"/>
  <c r="G303" i="26" s="1"/>
  <c r="G302" i="26" s="1"/>
  <c r="G301" i="26" s="1"/>
  <c r="H1" i="26"/>
  <c r="H57" i="26" s="1"/>
  <c r="G1" i="26"/>
  <c r="H280" i="25"/>
  <c r="H265" i="25"/>
  <c r="C265" i="25" s="1"/>
  <c r="H264" i="25"/>
  <c r="C264" i="25"/>
  <c r="H240" i="25"/>
  <c r="C240" i="25" s="1"/>
  <c r="H239" i="25"/>
  <c r="C239" i="25" s="1"/>
  <c r="F239" i="25"/>
  <c r="F240" i="25" s="1"/>
  <c r="F241" i="25" s="1"/>
  <c r="F242" i="25" s="1"/>
  <c r="F243" i="25" s="1"/>
  <c r="F244" i="25" s="1"/>
  <c r="F245" i="25" s="1"/>
  <c r="F246" i="25" s="1"/>
  <c r="F247" i="25" s="1"/>
  <c r="F248" i="25" s="1"/>
  <c r="F249" i="25" s="1"/>
  <c r="F250" i="25" s="1"/>
  <c r="F251" i="25" s="1"/>
  <c r="F252" i="25" s="1"/>
  <c r="F253" i="25" s="1"/>
  <c r="F254" i="25" s="1"/>
  <c r="F255" i="25" s="1"/>
  <c r="F256" i="25" s="1"/>
  <c r="F257" i="25" s="1"/>
  <c r="F258" i="25" s="1"/>
  <c r="F259" i="25" s="1"/>
  <c r="F260" i="25" s="1"/>
  <c r="F261" i="25" s="1"/>
  <c r="F262" i="25" s="1"/>
  <c r="F263" i="25" s="1"/>
  <c r="F264" i="25" s="1"/>
  <c r="F265" i="25" s="1"/>
  <c r="D239" i="25"/>
  <c r="D240" i="25" s="1"/>
  <c r="D241" i="25" s="1"/>
  <c r="D242" i="25" s="1"/>
  <c r="H238" i="25"/>
  <c r="C238" i="25"/>
  <c r="AK226" i="25"/>
  <c r="AJ226" i="25"/>
  <c r="AI226" i="25"/>
  <c r="AH226" i="25"/>
  <c r="AG226" i="25"/>
  <c r="AF226" i="25"/>
  <c r="AE226" i="25"/>
  <c r="AD226" i="25"/>
  <c r="AC226" i="25"/>
  <c r="AB226" i="25"/>
  <c r="AA226" i="25"/>
  <c r="Z226" i="25"/>
  <c r="Y226" i="25"/>
  <c r="X226" i="25"/>
  <c r="W226" i="25"/>
  <c r="V226" i="25"/>
  <c r="U226" i="25"/>
  <c r="T226" i="25"/>
  <c r="S226" i="25"/>
  <c r="R226" i="25"/>
  <c r="Q226" i="25"/>
  <c r="P226" i="25"/>
  <c r="O226" i="25"/>
  <c r="N226" i="25"/>
  <c r="M226" i="25"/>
  <c r="L226" i="25"/>
  <c r="K226" i="25"/>
  <c r="J226" i="25"/>
  <c r="AK225" i="25"/>
  <c r="AJ225" i="25"/>
  <c r="AI225" i="25"/>
  <c r="AH225" i="25"/>
  <c r="AH227" i="25" s="1"/>
  <c r="AG225" i="25"/>
  <c r="AF225" i="25"/>
  <c r="AE225" i="25"/>
  <c r="AD225" i="25"/>
  <c r="AC225" i="25"/>
  <c r="AB225" i="25"/>
  <c r="AA225" i="25"/>
  <c r="Z225" i="25"/>
  <c r="Z227" i="25" s="1"/>
  <c r="Y225" i="25"/>
  <c r="X225" i="25"/>
  <c r="W225" i="25"/>
  <c r="V225" i="25"/>
  <c r="U225" i="25"/>
  <c r="T225" i="25"/>
  <c r="S225" i="25"/>
  <c r="R225" i="25"/>
  <c r="R227" i="25" s="1"/>
  <c r="Q225" i="25"/>
  <c r="P225" i="25"/>
  <c r="O225" i="25"/>
  <c r="N225" i="25"/>
  <c r="M225" i="25"/>
  <c r="L225" i="25"/>
  <c r="K225" i="25"/>
  <c r="J225" i="25"/>
  <c r="J227" i="25" s="1"/>
  <c r="AK224" i="25"/>
  <c r="AJ224" i="25"/>
  <c r="AI224" i="25"/>
  <c r="AH224" i="25"/>
  <c r="AG224" i="25"/>
  <c r="AF224" i="25"/>
  <c r="AE224" i="25"/>
  <c r="AD224" i="25"/>
  <c r="AC224" i="25"/>
  <c r="AB224" i="25"/>
  <c r="AA224" i="25"/>
  <c r="Z224" i="25"/>
  <c r="Y224" i="25"/>
  <c r="X224" i="25"/>
  <c r="W224" i="25"/>
  <c r="V224" i="25"/>
  <c r="U224" i="25"/>
  <c r="T224" i="25"/>
  <c r="S224" i="25"/>
  <c r="R224" i="25"/>
  <c r="Q224" i="25"/>
  <c r="P224" i="25"/>
  <c r="O224" i="25"/>
  <c r="N224" i="25"/>
  <c r="M224" i="25"/>
  <c r="L224" i="25"/>
  <c r="K224" i="25"/>
  <c r="J224" i="25"/>
  <c r="AK223" i="25"/>
  <c r="AJ223" i="25"/>
  <c r="AI223" i="25"/>
  <c r="AH223" i="25"/>
  <c r="AG223" i="25"/>
  <c r="AF223" i="25"/>
  <c r="AE223" i="25"/>
  <c r="AD223" i="25"/>
  <c r="AC223" i="25"/>
  <c r="AB223" i="25"/>
  <c r="AA223" i="25"/>
  <c r="Z223" i="25"/>
  <c r="Y223" i="25"/>
  <c r="X223" i="25"/>
  <c r="W223" i="25"/>
  <c r="V223" i="25"/>
  <c r="U223" i="25"/>
  <c r="T223" i="25"/>
  <c r="S223" i="25"/>
  <c r="R223" i="25"/>
  <c r="Q223" i="25"/>
  <c r="P223" i="25"/>
  <c r="O223" i="25"/>
  <c r="N223" i="25"/>
  <c r="M223" i="25"/>
  <c r="L223" i="25"/>
  <c r="K223" i="25"/>
  <c r="J223" i="25"/>
  <c r="R211" i="25"/>
  <c r="Q211" i="25"/>
  <c r="P211" i="25"/>
  <c r="O211" i="25"/>
  <c r="N211" i="25"/>
  <c r="M211" i="25"/>
  <c r="L211" i="25"/>
  <c r="K211" i="25"/>
  <c r="J211" i="25"/>
  <c r="O207" i="25"/>
  <c r="N207" i="25"/>
  <c r="M207" i="25"/>
  <c r="L207" i="25"/>
  <c r="K207" i="25"/>
  <c r="J207" i="25"/>
  <c r="H198" i="25"/>
  <c r="C198" i="25" s="1"/>
  <c r="H197" i="25"/>
  <c r="C197" i="25" s="1"/>
  <c r="H173" i="25"/>
  <c r="C173" i="25" s="1"/>
  <c r="H172" i="25"/>
  <c r="C172" i="25" s="1"/>
  <c r="F172" i="25"/>
  <c r="F173" i="25" s="1"/>
  <c r="F174" i="25" s="1"/>
  <c r="F175" i="25" s="1"/>
  <c r="F176" i="25" s="1"/>
  <c r="F177" i="25" s="1"/>
  <c r="F178" i="25" s="1"/>
  <c r="F179" i="25" s="1"/>
  <c r="F180" i="25" s="1"/>
  <c r="F181" i="25" s="1"/>
  <c r="F182" i="25" s="1"/>
  <c r="F183" i="25" s="1"/>
  <c r="F184" i="25" s="1"/>
  <c r="F185" i="25" s="1"/>
  <c r="F186" i="25" s="1"/>
  <c r="F187" i="25" s="1"/>
  <c r="F188" i="25" s="1"/>
  <c r="F189" i="25" s="1"/>
  <c r="F190" i="25" s="1"/>
  <c r="F191" i="25" s="1"/>
  <c r="F192" i="25" s="1"/>
  <c r="F193" i="25" s="1"/>
  <c r="F194" i="25" s="1"/>
  <c r="F195" i="25" s="1"/>
  <c r="F196" i="25" s="1"/>
  <c r="F197" i="25" s="1"/>
  <c r="F198" i="25" s="1"/>
  <c r="D172" i="25"/>
  <c r="H171" i="25"/>
  <c r="C171" i="25" s="1"/>
  <c r="O167" i="25"/>
  <c r="M167" i="25"/>
  <c r="M232" i="25" s="1"/>
  <c r="P166" i="25"/>
  <c r="P167" i="25" s="1"/>
  <c r="P232" i="25" s="1"/>
  <c r="O166" i="25"/>
  <c r="N166" i="25"/>
  <c r="N167" i="25" s="1"/>
  <c r="M166" i="25"/>
  <c r="L166" i="25"/>
  <c r="L167" i="25" s="1"/>
  <c r="K166" i="25"/>
  <c r="K167" i="25" s="1"/>
  <c r="J166" i="25"/>
  <c r="J167" i="25" s="1"/>
  <c r="AK159" i="25"/>
  <c r="AJ159" i="25"/>
  <c r="AI159" i="25"/>
  <c r="AH159" i="25"/>
  <c r="AG159" i="25"/>
  <c r="AF159" i="25"/>
  <c r="AE159" i="25"/>
  <c r="AD159" i="25"/>
  <c r="AC159" i="25"/>
  <c r="AB159" i="25"/>
  <c r="AA159" i="25"/>
  <c r="Z159" i="25"/>
  <c r="Y159" i="25"/>
  <c r="X159" i="25"/>
  <c r="W159" i="25"/>
  <c r="V159" i="25"/>
  <c r="U159" i="25"/>
  <c r="T159" i="25"/>
  <c r="S159" i="25"/>
  <c r="R159" i="25"/>
  <c r="Q159" i="25"/>
  <c r="P159" i="25"/>
  <c r="O159" i="25"/>
  <c r="N159" i="25"/>
  <c r="M159" i="25"/>
  <c r="L159" i="25"/>
  <c r="K159" i="25"/>
  <c r="J159" i="25"/>
  <c r="AK158" i="25"/>
  <c r="AJ158" i="25"/>
  <c r="AJ160" i="25" s="1"/>
  <c r="AI158" i="25"/>
  <c r="AI160" i="25" s="1"/>
  <c r="AH158" i="25"/>
  <c r="AG158" i="25"/>
  <c r="AF158" i="25"/>
  <c r="AE158" i="25"/>
  <c r="AD158" i="25"/>
  <c r="AC158" i="25"/>
  <c r="AB158" i="25"/>
  <c r="AB160" i="25" s="1"/>
  <c r="AA158" i="25"/>
  <c r="AA160" i="25" s="1"/>
  <c r="Z158" i="25"/>
  <c r="Y158" i="25"/>
  <c r="X158" i="25"/>
  <c r="W158" i="25"/>
  <c r="V158" i="25"/>
  <c r="U158" i="25"/>
  <c r="T158" i="25"/>
  <c r="T160" i="25" s="1"/>
  <c r="S158" i="25"/>
  <c r="S160" i="25" s="1"/>
  <c r="R158" i="25"/>
  <c r="Q158" i="25"/>
  <c r="P158" i="25"/>
  <c r="O158" i="25"/>
  <c r="N158" i="25"/>
  <c r="M158" i="25"/>
  <c r="L158" i="25"/>
  <c r="L160" i="25" s="1"/>
  <c r="K158" i="25"/>
  <c r="J158" i="25"/>
  <c r="AK157" i="25"/>
  <c r="AJ157" i="25"/>
  <c r="AI157" i="25"/>
  <c r="AH157" i="25"/>
  <c r="AG157" i="25"/>
  <c r="AF157" i="25"/>
  <c r="AE157" i="25"/>
  <c r="AD157" i="25"/>
  <c r="AC157" i="25"/>
  <c r="AB157" i="25"/>
  <c r="AA157" i="25"/>
  <c r="Z157" i="25"/>
  <c r="Y157" i="25"/>
  <c r="X157" i="25"/>
  <c r="W157" i="25"/>
  <c r="V157" i="25"/>
  <c r="U157" i="25"/>
  <c r="T157" i="25"/>
  <c r="S157" i="25"/>
  <c r="R157" i="25"/>
  <c r="Q157" i="25"/>
  <c r="P157" i="25"/>
  <c r="O157" i="25"/>
  <c r="N157" i="25"/>
  <c r="M157" i="25"/>
  <c r="L157" i="25"/>
  <c r="K157" i="25"/>
  <c r="J157" i="25"/>
  <c r="AK156" i="25"/>
  <c r="AJ156" i="25"/>
  <c r="AI156" i="25"/>
  <c r="AH156" i="25"/>
  <c r="AG156" i="25"/>
  <c r="AF156" i="25"/>
  <c r="AE156" i="25"/>
  <c r="AD156" i="25"/>
  <c r="AC156" i="25"/>
  <c r="AB156" i="25"/>
  <c r="AA156" i="25"/>
  <c r="Z156" i="25"/>
  <c r="Y156" i="25"/>
  <c r="X156" i="25"/>
  <c r="W156" i="25"/>
  <c r="V156" i="25"/>
  <c r="U156" i="25"/>
  <c r="T156" i="25"/>
  <c r="S156" i="25"/>
  <c r="R156" i="25"/>
  <c r="Q156" i="25"/>
  <c r="P156" i="25"/>
  <c r="O156" i="25"/>
  <c r="N156" i="25"/>
  <c r="M156" i="25"/>
  <c r="L156" i="25"/>
  <c r="K156" i="25"/>
  <c r="J156" i="25"/>
  <c r="R144" i="25"/>
  <c r="Q144" i="25"/>
  <c r="P144" i="25"/>
  <c r="O144" i="25"/>
  <c r="N144" i="25"/>
  <c r="M144" i="25"/>
  <c r="L144" i="25"/>
  <c r="K144" i="25"/>
  <c r="J144" i="25"/>
  <c r="O140" i="25"/>
  <c r="N140" i="25"/>
  <c r="M140" i="25"/>
  <c r="L140" i="25"/>
  <c r="K140" i="25"/>
  <c r="J140" i="25"/>
  <c r="BN135" i="25"/>
  <c r="BN202" i="25" s="1"/>
  <c r="BM135" i="25"/>
  <c r="BM202" i="25" s="1"/>
  <c r="BL135" i="25"/>
  <c r="BL202" i="25" s="1"/>
  <c r="BK135" i="25"/>
  <c r="BK202" i="25" s="1"/>
  <c r="BJ135" i="25"/>
  <c r="BJ202" i="25" s="1"/>
  <c r="BI135" i="25"/>
  <c r="BI202" i="25" s="1"/>
  <c r="BH135" i="25"/>
  <c r="BH202" i="25" s="1"/>
  <c r="BG135" i="25"/>
  <c r="BG202" i="25" s="1"/>
  <c r="BF135" i="25"/>
  <c r="BF202" i="25" s="1"/>
  <c r="BE135" i="25"/>
  <c r="BE202" i="25" s="1"/>
  <c r="BD135" i="25"/>
  <c r="BD202" i="25" s="1"/>
  <c r="BC135" i="25"/>
  <c r="BC202" i="25" s="1"/>
  <c r="BB135" i="25"/>
  <c r="BB202" i="25" s="1"/>
  <c r="BA135" i="25"/>
  <c r="BA202" i="25" s="1"/>
  <c r="AZ135" i="25"/>
  <c r="AZ202" i="25" s="1"/>
  <c r="AY135" i="25"/>
  <c r="AY202" i="25" s="1"/>
  <c r="AX135" i="25"/>
  <c r="AX202" i="25" s="1"/>
  <c r="AW135" i="25"/>
  <c r="AW202" i="25" s="1"/>
  <c r="AV135" i="25"/>
  <c r="AV202" i="25" s="1"/>
  <c r="AU135" i="25"/>
  <c r="AU202" i="25" s="1"/>
  <c r="AT135" i="25"/>
  <c r="AT202" i="25" s="1"/>
  <c r="AS135" i="25"/>
  <c r="AS202" i="25" s="1"/>
  <c r="AR135" i="25"/>
  <c r="AR202" i="25" s="1"/>
  <c r="AQ135" i="25"/>
  <c r="AQ202" i="25" s="1"/>
  <c r="AP135" i="25"/>
  <c r="AP202" i="25" s="1"/>
  <c r="AO135" i="25"/>
  <c r="AO202" i="25" s="1"/>
  <c r="AN135" i="25"/>
  <c r="AN202" i="25" s="1"/>
  <c r="AM135" i="25"/>
  <c r="AM202" i="25" s="1"/>
  <c r="AL135" i="25"/>
  <c r="AL202" i="25" s="1"/>
  <c r="AK135" i="25"/>
  <c r="AK202" i="25" s="1"/>
  <c r="AJ135" i="25"/>
  <c r="AJ202" i="25" s="1"/>
  <c r="AI135" i="25"/>
  <c r="AI202" i="25" s="1"/>
  <c r="AH135" i="25"/>
  <c r="AH202" i="25" s="1"/>
  <c r="AG135" i="25"/>
  <c r="AG202" i="25" s="1"/>
  <c r="AF135" i="25"/>
  <c r="AF202" i="25" s="1"/>
  <c r="AE135" i="25"/>
  <c r="AE202" i="25" s="1"/>
  <c r="AD135" i="25"/>
  <c r="AD202" i="25" s="1"/>
  <c r="AC135" i="25"/>
  <c r="AC202" i="25" s="1"/>
  <c r="AB135" i="25"/>
  <c r="AB202" i="25" s="1"/>
  <c r="AA135" i="25"/>
  <c r="AA202" i="25" s="1"/>
  <c r="Z135" i="25"/>
  <c r="Z202" i="25" s="1"/>
  <c r="Y135" i="25"/>
  <c r="Y202" i="25" s="1"/>
  <c r="X135" i="25"/>
  <c r="X202" i="25" s="1"/>
  <c r="W135" i="25"/>
  <c r="W202" i="25" s="1"/>
  <c r="V135" i="25"/>
  <c r="V202" i="25" s="1"/>
  <c r="U135" i="25"/>
  <c r="U202" i="25" s="1"/>
  <c r="T135" i="25"/>
  <c r="T202" i="25" s="1"/>
  <c r="S135" i="25"/>
  <c r="S202" i="25" s="1"/>
  <c r="R135" i="25"/>
  <c r="R202" i="25" s="1"/>
  <c r="Q135" i="25"/>
  <c r="Q202" i="25" s="1"/>
  <c r="BN120" i="25"/>
  <c r="BM120" i="25"/>
  <c r="BL120" i="25"/>
  <c r="BK120" i="25"/>
  <c r="BJ120" i="25"/>
  <c r="BI120" i="25"/>
  <c r="BH120" i="25"/>
  <c r="BG120" i="25"/>
  <c r="BF120" i="25"/>
  <c r="BE120" i="25"/>
  <c r="BD120" i="25"/>
  <c r="BC120" i="25"/>
  <c r="BB120" i="25"/>
  <c r="BA120" i="25"/>
  <c r="AZ120" i="25"/>
  <c r="AY120" i="25"/>
  <c r="AX120" i="25"/>
  <c r="AW120" i="25"/>
  <c r="AV120" i="25"/>
  <c r="AU120" i="25"/>
  <c r="AT120" i="25"/>
  <c r="AS120" i="25"/>
  <c r="AR120" i="25"/>
  <c r="AQ120" i="25"/>
  <c r="AP120" i="25"/>
  <c r="AO120" i="25"/>
  <c r="AN120" i="25"/>
  <c r="AM120" i="25"/>
  <c r="AL120" i="25"/>
  <c r="AK120" i="25"/>
  <c r="AJ120" i="25"/>
  <c r="AI120" i="25"/>
  <c r="AH120" i="25"/>
  <c r="AG120" i="25"/>
  <c r="AF120" i="25"/>
  <c r="AE120" i="25"/>
  <c r="AD120" i="25"/>
  <c r="AC120" i="25"/>
  <c r="AB120" i="25"/>
  <c r="AA120" i="25"/>
  <c r="Z120" i="25"/>
  <c r="Y120" i="25"/>
  <c r="X120" i="25"/>
  <c r="H118" i="25"/>
  <c r="BN113" i="25"/>
  <c r="BM113" i="25"/>
  <c r="BL113" i="25"/>
  <c r="BK113" i="25"/>
  <c r="BJ113" i="25"/>
  <c r="BI113" i="25"/>
  <c r="BH113" i="25"/>
  <c r="BG113" i="25"/>
  <c r="BF113" i="25"/>
  <c r="BE113" i="25"/>
  <c r="BD113" i="25"/>
  <c r="BC113" i="25"/>
  <c r="BB113" i="25"/>
  <c r="BA113" i="25"/>
  <c r="AZ113" i="25"/>
  <c r="AY113" i="25"/>
  <c r="AX113" i="25"/>
  <c r="AW113" i="25"/>
  <c r="AV113" i="25"/>
  <c r="AU113" i="25"/>
  <c r="AT113" i="25"/>
  <c r="AS113" i="25"/>
  <c r="AR113" i="25"/>
  <c r="AQ113" i="25"/>
  <c r="AP113" i="25"/>
  <c r="AO113" i="25"/>
  <c r="AN113" i="25"/>
  <c r="AM113" i="25"/>
  <c r="AL113" i="25"/>
  <c r="AK113" i="25"/>
  <c r="AJ113" i="25"/>
  <c r="AI113" i="25"/>
  <c r="AH113" i="25"/>
  <c r="AG113" i="25"/>
  <c r="AF113" i="25"/>
  <c r="AE113" i="25"/>
  <c r="AD113" i="25"/>
  <c r="AC113" i="25"/>
  <c r="AB113" i="25"/>
  <c r="AA113" i="25"/>
  <c r="Z113" i="25"/>
  <c r="Y113" i="25"/>
  <c r="X113" i="25"/>
  <c r="W113" i="25"/>
  <c r="V113" i="25"/>
  <c r="U113" i="25"/>
  <c r="T113" i="25"/>
  <c r="Z112" i="25"/>
  <c r="Y112" i="25"/>
  <c r="X112" i="25"/>
  <c r="W112" i="25"/>
  <c r="V112" i="25"/>
  <c r="U112" i="25"/>
  <c r="T112" i="25"/>
  <c r="H105" i="25"/>
  <c r="C105" i="25" s="1"/>
  <c r="H104" i="25"/>
  <c r="C104" i="25" s="1"/>
  <c r="H80" i="25"/>
  <c r="C80" i="25" s="1"/>
  <c r="H79" i="25"/>
  <c r="C79" i="25" s="1"/>
  <c r="F79" i="25"/>
  <c r="F80" i="25" s="1"/>
  <c r="F81" i="25" s="1"/>
  <c r="F82" i="25" s="1"/>
  <c r="F83" i="25" s="1"/>
  <c r="F84" i="25" s="1"/>
  <c r="F85" i="25" s="1"/>
  <c r="F86" i="25" s="1"/>
  <c r="F87" i="25" s="1"/>
  <c r="F88" i="25" s="1"/>
  <c r="F89" i="25" s="1"/>
  <c r="F90" i="25" s="1"/>
  <c r="F91" i="25" s="1"/>
  <c r="F92" i="25" s="1"/>
  <c r="F93" i="25" s="1"/>
  <c r="F94" i="25" s="1"/>
  <c r="F95" i="25" s="1"/>
  <c r="F96" i="25" s="1"/>
  <c r="F97" i="25" s="1"/>
  <c r="F98" i="25" s="1"/>
  <c r="F99" i="25" s="1"/>
  <c r="F100" i="25" s="1"/>
  <c r="F101" i="25" s="1"/>
  <c r="F102" i="25" s="1"/>
  <c r="F103" i="25" s="1"/>
  <c r="F104" i="25" s="1"/>
  <c r="F105" i="25" s="1"/>
  <c r="D79" i="25"/>
  <c r="D80" i="25" s="1"/>
  <c r="H78" i="25"/>
  <c r="C78" i="25" s="1"/>
  <c r="M74" i="25"/>
  <c r="P73" i="25"/>
  <c r="P74" i="25" s="1"/>
  <c r="O73" i="25"/>
  <c r="O74" i="25" s="1"/>
  <c r="N73" i="25"/>
  <c r="N74" i="25" s="1"/>
  <c r="N233" i="25" s="1"/>
  <c r="M73" i="25"/>
  <c r="L73" i="25"/>
  <c r="L74" i="25" s="1"/>
  <c r="K73" i="25"/>
  <c r="K74" i="25" s="1"/>
  <c r="K233" i="25" s="1"/>
  <c r="J73" i="25"/>
  <c r="J74" i="25" s="1"/>
  <c r="AK67" i="25"/>
  <c r="AJ67" i="25"/>
  <c r="AI67" i="25"/>
  <c r="AH67" i="25"/>
  <c r="AG67" i="25"/>
  <c r="AF67" i="25"/>
  <c r="AE67" i="25"/>
  <c r="AD67" i="25"/>
  <c r="AC67" i="25"/>
  <c r="AB67" i="25"/>
  <c r="AA67" i="25"/>
  <c r="Z67" i="25"/>
  <c r="Y67" i="25"/>
  <c r="X67" i="25"/>
  <c r="W67" i="25"/>
  <c r="V67" i="25"/>
  <c r="U67" i="25"/>
  <c r="T67" i="25"/>
  <c r="S67" i="25"/>
  <c r="R67" i="25"/>
  <c r="Q67" i="25"/>
  <c r="P67" i="25"/>
  <c r="O67" i="25"/>
  <c r="N67" i="25"/>
  <c r="M67" i="25"/>
  <c r="L67" i="25"/>
  <c r="K67" i="25"/>
  <c r="J67" i="25"/>
  <c r="H66" i="25"/>
  <c r="H65" i="25"/>
  <c r="S49" i="25"/>
  <c r="S211" i="25" s="1"/>
  <c r="L47" i="25"/>
  <c r="L52" i="25" s="1"/>
  <c r="O45" i="25"/>
  <c r="N45" i="25"/>
  <c r="M45" i="25"/>
  <c r="L45" i="25"/>
  <c r="K45" i="25"/>
  <c r="J45" i="25"/>
  <c r="H35" i="25"/>
  <c r="O34" i="25"/>
  <c r="N34" i="25"/>
  <c r="M34" i="25"/>
  <c r="L34" i="25"/>
  <c r="K34" i="25"/>
  <c r="J34" i="25"/>
  <c r="J32" i="25"/>
  <c r="H28" i="25"/>
  <c r="J23" i="25"/>
  <c r="BN21" i="25"/>
  <c r="BM21" i="25"/>
  <c r="BL21" i="25"/>
  <c r="BK21" i="25"/>
  <c r="BJ21" i="25"/>
  <c r="BI21" i="25"/>
  <c r="BH21" i="25"/>
  <c r="BG21" i="25"/>
  <c r="BF21" i="25"/>
  <c r="BE21" i="25"/>
  <c r="BD21" i="25"/>
  <c r="BC21" i="25"/>
  <c r="BB21" i="25"/>
  <c r="BA21" i="25"/>
  <c r="AZ21" i="25"/>
  <c r="AY21" i="25"/>
  <c r="AX21" i="25"/>
  <c r="AW21" i="25"/>
  <c r="AV21" i="25"/>
  <c r="AU21" i="25"/>
  <c r="AT21" i="25"/>
  <c r="AS21" i="25"/>
  <c r="AR21" i="25"/>
  <c r="AQ21" i="25"/>
  <c r="AP21" i="25"/>
  <c r="AO21" i="25"/>
  <c r="AN21" i="25"/>
  <c r="AM21" i="25"/>
  <c r="AL21" i="25"/>
  <c r="AK21" i="25"/>
  <c r="AJ21" i="25"/>
  <c r="AI21" i="25"/>
  <c r="AH21" i="25"/>
  <c r="AG21" i="25"/>
  <c r="AF21" i="25"/>
  <c r="AE21" i="25"/>
  <c r="AD21" i="25"/>
  <c r="AC21" i="25"/>
  <c r="AB21" i="25"/>
  <c r="AA21" i="25"/>
  <c r="Z21" i="25"/>
  <c r="Y21" i="25"/>
  <c r="X21" i="25"/>
  <c r="W21" i="25"/>
  <c r="V21" i="25"/>
  <c r="U21" i="25"/>
  <c r="T21" i="25"/>
  <c r="S21" i="25"/>
  <c r="R21" i="25"/>
  <c r="Q21" i="25"/>
  <c r="P21" i="25"/>
  <c r="O21" i="25"/>
  <c r="N21" i="25"/>
  <c r="M21" i="25"/>
  <c r="L21" i="25"/>
  <c r="K21" i="25"/>
  <c r="J21" i="25"/>
  <c r="J40" i="25" s="1"/>
  <c r="H20" i="25"/>
  <c r="H19" i="25"/>
  <c r="K17" i="25"/>
  <c r="L17" i="25" s="1"/>
  <c r="D14" i="25"/>
  <c r="D13" i="25"/>
  <c r="D12" i="25"/>
  <c r="D11" i="25"/>
  <c r="J10" i="25"/>
  <c r="J38" i="25" s="1"/>
  <c r="H4" i="25"/>
  <c r="BM47" i="25"/>
  <c r="BM52" i="25" s="1"/>
  <c r="F3" i="25"/>
  <c r="G4" i="25" s="1"/>
  <c r="R43" i="24"/>
  <c r="Q43" i="24"/>
  <c r="P43" i="24"/>
  <c r="O43" i="24"/>
  <c r="N43" i="24"/>
  <c r="M43" i="24"/>
  <c r="L43" i="24"/>
  <c r="K43" i="24"/>
  <c r="J43" i="24"/>
  <c r="J45" i="24" s="1"/>
  <c r="J46" i="24" s="1"/>
  <c r="K41" i="24" s="1"/>
  <c r="H33" i="24"/>
  <c r="I33" i="24" s="1"/>
  <c r="J33" i="24" s="1"/>
  <c r="K33" i="24" s="1"/>
  <c r="L33" i="24" s="1"/>
  <c r="M33" i="24" s="1"/>
  <c r="E32" i="24"/>
  <c r="H31" i="24"/>
  <c r="I31" i="24" s="1"/>
  <c r="J31" i="24" s="1"/>
  <c r="K31" i="24" s="1"/>
  <c r="L31" i="24" s="1"/>
  <c r="M31" i="24" s="1"/>
  <c r="I28" i="24"/>
  <c r="J28" i="24" s="1"/>
  <c r="K28" i="24" s="1"/>
  <c r="L28" i="24" s="1"/>
  <c r="M28" i="24" s="1"/>
  <c r="AV25" i="24"/>
  <c r="AU25" i="24"/>
  <c r="AT25" i="24"/>
  <c r="AS25" i="24"/>
  <c r="AR25" i="24"/>
  <c r="AQ25" i="24"/>
  <c r="AP25" i="24"/>
  <c r="AO25" i="24"/>
  <c r="AN25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F25" i="24" s="1"/>
  <c r="F24" i="24"/>
  <c r="G21" i="24"/>
  <c r="H14" i="24"/>
  <c r="H15" i="24" s="1"/>
  <c r="G14" i="24"/>
  <c r="G15" i="24" s="1"/>
  <c r="H12" i="24"/>
  <c r="I12" i="24" s="1"/>
  <c r="AV10" i="24"/>
  <c r="AV9" i="24"/>
  <c r="AV8" i="24"/>
  <c r="AV7" i="24"/>
  <c r="AV6" i="24"/>
  <c r="M6" i="24"/>
  <c r="L6" i="24"/>
  <c r="K6" i="24"/>
  <c r="K3" i="24" s="1"/>
  <c r="J6" i="24"/>
  <c r="I6" i="24"/>
  <c r="H6" i="24"/>
  <c r="H3" i="24" s="1"/>
  <c r="G6" i="24"/>
  <c r="AV5" i="24"/>
  <c r="AV4" i="24"/>
  <c r="AV3" i="24"/>
  <c r="AU3" i="24"/>
  <c r="AT3" i="24"/>
  <c r="AS3" i="24"/>
  <c r="AR3" i="24"/>
  <c r="AQ3" i="24"/>
  <c r="AP3" i="24"/>
  <c r="AO3" i="24"/>
  <c r="AN3" i="24"/>
  <c r="AM3" i="24"/>
  <c r="AL3" i="24"/>
  <c r="AK3" i="24"/>
  <c r="AJ3" i="24"/>
  <c r="AI3" i="24"/>
  <c r="AH3" i="24"/>
  <c r="AG3" i="24"/>
  <c r="AF3" i="24"/>
  <c r="AE3" i="24"/>
  <c r="AD3" i="24"/>
  <c r="AC3" i="24"/>
  <c r="AB3" i="24"/>
  <c r="AA3" i="24"/>
  <c r="Z3" i="24"/>
  <c r="Y3" i="24"/>
  <c r="X3" i="24"/>
  <c r="W3" i="24"/>
  <c r="V3" i="24"/>
  <c r="U3" i="24"/>
  <c r="T3" i="24"/>
  <c r="S3" i="24"/>
  <c r="R3" i="24"/>
  <c r="Q3" i="24"/>
  <c r="P3" i="24"/>
  <c r="O3" i="24"/>
  <c r="N3" i="24"/>
  <c r="M3" i="24"/>
  <c r="L3" i="24"/>
  <c r="J3" i="24"/>
  <c r="I3" i="24"/>
  <c r="G3" i="24"/>
  <c r="C120" i="23"/>
  <c r="E119" i="23"/>
  <c r="E117" i="23"/>
  <c r="E118" i="23" s="1"/>
  <c r="N105" i="23"/>
  <c r="AA103" i="23"/>
  <c r="AB103" i="23" s="1"/>
  <c r="W103" i="23"/>
  <c r="X103" i="23" s="1"/>
  <c r="Y103" i="23" s="1"/>
  <c r="Z103" i="23" s="1"/>
  <c r="S103" i="23"/>
  <c r="T103" i="23" s="1"/>
  <c r="U103" i="23" s="1"/>
  <c r="V103" i="23" s="1"/>
  <c r="O103" i="23"/>
  <c r="P103" i="23" s="1"/>
  <c r="Q103" i="23" s="1"/>
  <c r="R103" i="23" s="1"/>
  <c r="E92" i="23"/>
  <c r="E91" i="23"/>
  <c r="G81" i="23"/>
  <c r="H81" i="23" s="1"/>
  <c r="F60" i="23"/>
  <c r="F77" i="23"/>
  <c r="F76" i="23"/>
  <c r="V45" i="23"/>
  <c r="U45" i="23"/>
  <c r="T45" i="23"/>
  <c r="AJ31" i="18" s="1"/>
  <c r="AJ30" i="18" s="1"/>
  <c r="S45" i="23"/>
  <c r="N45" i="23"/>
  <c r="M45" i="23"/>
  <c r="L45" i="23"/>
  <c r="K45" i="23"/>
  <c r="J45" i="23"/>
  <c r="I45" i="23"/>
  <c r="H45" i="23"/>
  <c r="G45" i="23"/>
  <c r="V44" i="23"/>
  <c r="U44" i="23"/>
  <c r="T44" i="23"/>
  <c r="N44" i="23"/>
  <c r="M44" i="23"/>
  <c r="L44" i="23"/>
  <c r="K44" i="23"/>
  <c r="J44" i="23"/>
  <c r="I44" i="23"/>
  <c r="H44" i="23"/>
  <c r="G44" i="23"/>
  <c r="F21" i="23"/>
  <c r="G19" i="23"/>
  <c r="H19" i="23" s="1"/>
  <c r="I19" i="23" s="1"/>
  <c r="J19" i="23" s="1"/>
  <c r="K19" i="23" s="1"/>
  <c r="L19" i="23" s="1"/>
  <c r="M19" i="23" s="1"/>
  <c r="N19" i="23" s="1"/>
  <c r="O19" i="23" s="1"/>
  <c r="P19" i="23" s="1"/>
  <c r="Q19" i="23" s="1"/>
  <c r="R19" i="23" s="1"/>
  <c r="S19" i="23" s="1"/>
  <c r="T19" i="23" s="1"/>
  <c r="U19" i="23" s="1"/>
  <c r="V19" i="23" s="1"/>
  <c r="W19" i="23" s="1"/>
  <c r="X19" i="23" s="1"/>
  <c r="Y19" i="23" s="1"/>
  <c r="Z19" i="23" s="1"/>
  <c r="AA19" i="23" s="1"/>
  <c r="AB19" i="23" s="1"/>
  <c r="AC19" i="23" s="1"/>
  <c r="AD19" i="23" s="1"/>
  <c r="AE19" i="23" s="1"/>
  <c r="AF19" i="23" s="1"/>
  <c r="AG19" i="23" s="1"/>
  <c r="AH19" i="23" s="1"/>
  <c r="AI19" i="23" s="1"/>
  <c r="AJ19" i="23" s="1"/>
  <c r="AK19" i="23" s="1"/>
  <c r="AL19" i="23" s="1"/>
  <c r="AM19" i="23" s="1"/>
  <c r="AN19" i="23" s="1"/>
  <c r="AO19" i="23" s="1"/>
  <c r="AP19" i="23" s="1"/>
  <c r="AQ19" i="23" s="1"/>
  <c r="AR19" i="23" s="1"/>
  <c r="AS19" i="23" s="1"/>
  <c r="AT19" i="23" s="1"/>
  <c r="AU19" i="23" s="1"/>
  <c r="AV19" i="23" s="1"/>
  <c r="AW19" i="23" s="1"/>
  <c r="AX19" i="23" s="1"/>
  <c r="AY19" i="23" s="1"/>
  <c r="AZ19" i="23" s="1"/>
  <c r="BA19" i="23" s="1"/>
  <c r="BB19" i="23" s="1"/>
  <c r="BC19" i="23" s="1"/>
  <c r="BD19" i="23" s="1"/>
  <c r="BE19" i="23" s="1"/>
  <c r="BF19" i="23" s="1"/>
  <c r="BG19" i="23" s="1"/>
  <c r="BH19" i="23" s="1"/>
  <c r="BI19" i="23" s="1"/>
  <c r="BJ19" i="23" s="1"/>
  <c r="BK19" i="23" s="1"/>
  <c r="BL19" i="23" s="1"/>
  <c r="BM19" i="23" s="1"/>
  <c r="BN19" i="23" s="1"/>
  <c r="BO19" i="23" s="1"/>
  <c r="BP19" i="23" s="1"/>
  <c r="BQ19" i="23" s="1"/>
  <c r="BR19" i="23" s="1"/>
  <c r="BS19" i="23" s="1"/>
  <c r="BT19" i="23" s="1"/>
  <c r="BU19" i="23" s="1"/>
  <c r="BV19" i="23" s="1"/>
  <c r="BW19" i="23" s="1"/>
  <c r="BX19" i="23" s="1"/>
  <c r="BY19" i="23" s="1"/>
  <c r="BZ19" i="23" s="1"/>
  <c r="CA19" i="23" s="1"/>
  <c r="CB19" i="23" s="1"/>
  <c r="CC19" i="23" s="1"/>
  <c r="CD19" i="23" s="1"/>
  <c r="CE19" i="23" s="1"/>
  <c r="CF19" i="23" s="1"/>
  <c r="CG19" i="23" s="1"/>
  <c r="CH19" i="23" s="1"/>
  <c r="CI19" i="23" s="1"/>
  <c r="CJ19" i="23" s="1"/>
  <c r="CK19" i="23" s="1"/>
  <c r="CL19" i="23" s="1"/>
  <c r="CM19" i="23" s="1"/>
  <c r="CN19" i="23" s="1"/>
  <c r="CO19" i="23" s="1"/>
  <c r="CP19" i="23" s="1"/>
  <c r="CQ19" i="23" s="1"/>
  <c r="CR19" i="23" s="1"/>
  <c r="CS19" i="23" s="1"/>
  <c r="CT19" i="23" s="1"/>
  <c r="CU19" i="23" s="1"/>
  <c r="CV19" i="23" s="1"/>
  <c r="CW19" i="23" s="1"/>
  <c r="CX19" i="23" s="1"/>
  <c r="CY19" i="23" s="1"/>
  <c r="CZ19" i="23" s="1"/>
  <c r="DA19" i="23" s="1"/>
  <c r="DB19" i="23" s="1"/>
  <c r="DC19" i="23" s="1"/>
  <c r="DD19" i="23" s="1"/>
  <c r="DE19" i="23" s="1"/>
  <c r="DF19" i="23" s="1"/>
  <c r="DG19" i="23" s="1"/>
  <c r="DH19" i="23" s="1"/>
  <c r="DI19" i="23" s="1"/>
  <c r="DJ19" i="23" s="1"/>
  <c r="DK19" i="23" s="1"/>
  <c r="DL19" i="23" s="1"/>
  <c r="DM19" i="23" s="1"/>
  <c r="DN19" i="23" s="1"/>
  <c r="DO19" i="23" s="1"/>
  <c r="DP19" i="23" s="1"/>
  <c r="DQ19" i="23" s="1"/>
  <c r="DR19" i="23" s="1"/>
  <c r="DS19" i="23" s="1"/>
  <c r="DT19" i="23" s="1"/>
  <c r="DU19" i="23" s="1"/>
  <c r="DV19" i="23" s="1"/>
  <c r="DW19" i="23" s="1"/>
  <c r="DX19" i="23" s="1"/>
  <c r="DY19" i="23" s="1"/>
  <c r="DZ19" i="23" s="1"/>
  <c r="EA19" i="23" s="1"/>
  <c r="EB19" i="23" s="1"/>
  <c r="EC19" i="23" s="1"/>
  <c r="ED19" i="23" s="1"/>
  <c r="EE19" i="23" s="1"/>
  <c r="EF19" i="23" s="1"/>
  <c r="EG19" i="23" s="1"/>
  <c r="EH19" i="23" s="1"/>
  <c r="EI19" i="23" s="1"/>
  <c r="EJ19" i="23" s="1"/>
  <c r="EK19" i="23" s="1"/>
  <c r="EL19" i="23" s="1"/>
  <c r="EM19" i="23" s="1"/>
  <c r="EN19" i="23" s="1"/>
  <c r="EO19" i="23" s="1"/>
  <c r="EP19" i="23" s="1"/>
  <c r="EQ19" i="23" s="1"/>
  <c r="ER19" i="23" s="1"/>
  <c r="ES19" i="23" s="1"/>
  <c r="ET19" i="23" s="1"/>
  <c r="EU19" i="23" s="1"/>
  <c r="EV19" i="23" s="1"/>
  <c r="EW19" i="23" s="1"/>
  <c r="EX19" i="23" s="1"/>
  <c r="EY19" i="23" s="1"/>
  <c r="EZ19" i="23" s="1"/>
  <c r="FA19" i="23" s="1"/>
  <c r="FB19" i="23" s="1"/>
  <c r="FC19" i="23" s="1"/>
  <c r="FD19" i="23" s="1"/>
  <c r="FE19" i="23" s="1"/>
  <c r="FF19" i="23" s="1"/>
  <c r="FG19" i="23" s="1"/>
  <c r="FH19" i="23" s="1"/>
  <c r="FI19" i="23" s="1"/>
  <c r="FJ19" i="23" s="1"/>
  <c r="FK19" i="23" s="1"/>
  <c r="FL19" i="23" s="1"/>
  <c r="FM19" i="23" s="1"/>
  <c r="FN19" i="23" s="1"/>
  <c r="FO19" i="23" s="1"/>
  <c r="FP19" i="23" s="1"/>
  <c r="FQ19" i="23" s="1"/>
  <c r="FR19" i="23" s="1"/>
  <c r="FS19" i="23" s="1"/>
  <c r="FT19" i="23" s="1"/>
  <c r="FU19" i="23" s="1"/>
  <c r="FV19" i="23" s="1"/>
  <c r="FW19" i="23" s="1"/>
  <c r="FX19" i="23" s="1"/>
  <c r="FY19" i="23" s="1"/>
  <c r="FZ19" i="23" s="1"/>
  <c r="GA19" i="23" s="1"/>
  <c r="GB19" i="23" s="1"/>
  <c r="GC19" i="23" s="1"/>
  <c r="GD19" i="23" s="1"/>
  <c r="GD34" i="23"/>
  <c r="GC34" i="23"/>
  <c r="GB34" i="23"/>
  <c r="GA34" i="23"/>
  <c r="FZ34" i="23"/>
  <c r="FY34" i="23"/>
  <c r="FX34" i="23"/>
  <c r="FW34" i="23"/>
  <c r="FV34" i="23"/>
  <c r="FU34" i="23"/>
  <c r="FT34" i="23"/>
  <c r="FS34" i="23"/>
  <c r="FR34" i="23"/>
  <c r="FQ34" i="23"/>
  <c r="FP34" i="23"/>
  <c r="FO34" i="23"/>
  <c r="C34" i="23"/>
  <c r="GD33" i="23"/>
  <c r="GC33" i="23"/>
  <c r="GB33" i="23"/>
  <c r="GA33" i="23"/>
  <c r="FZ33" i="23"/>
  <c r="FY33" i="23"/>
  <c r="FX33" i="23"/>
  <c r="FW33" i="23"/>
  <c r="FV33" i="23"/>
  <c r="FU33" i="23"/>
  <c r="FT33" i="23"/>
  <c r="FS33" i="23"/>
  <c r="FR33" i="23"/>
  <c r="FQ33" i="23"/>
  <c r="FP33" i="23"/>
  <c r="FO33" i="23"/>
  <c r="GD15" i="23"/>
  <c r="GC15" i="23"/>
  <c r="GB15" i="23"/>
  <c r="GA15" i="23"/>
  <c r="FZ15" i="23"/>
  <c r="FY15" i="23"/>
  <c r="FX15" i="23"/>
  <c r="FW15" i="23"/>
  <c r="FV15" i="23"/>
  <c r="FU15" i="23"/>
  <c r="FT15" i="23"/>
  <c r="FS15" i="23"/>
  <c r="FR15" i="23"/>
  <c r="FQ15" i="23"/>
  <c r="FP15" i="23"/>
  <c r="FO15" i="23"/>
  <c r="FN15" i="23"/>
  <c r="FM15" i="23"/>
  <c r="FL15" i="23"/>
  <c r="FK15" i="23"/>
  <c r="FJ15" i="23"/>
  <c r="FI15" i="23"/>
  <c r="FH15" i="23"/>
  <c r="FG15" i="23"/>
  <c r="FF15" i="23"/>
  <c r="FE15" i="23"/>
  <c r="FD15" i="23"/>
  <c r="FC15" i="23"/>
  <c r="FB15" i="23"/>
  <c r="FA15" i="23"/>
  <c r="EZ15" i="23"/>
  <c r="EY15" i="23"/>
  <c r="EX15" i="23"/>
  <c r="EW15" i="23"/>
  <c r="EV15" i="23"/>
  <c r="EU15" i="23"/>
  <c r="ET15" i="23"/>
  <c r="ES15" i="23"/>
  <c r="ER15" i="23"/>
  <c r="EQ15" i="23"/>
  <c r="EP15" i="23"/>
  <c r="EO15" i="23"/>
  <c r="EN15" i="23"/>
  <c r="EM15" i="23"/>
  <c r="EL15" i="23"/>
  <c r="EK15" i="23"/>
  <c r="EJ15" i="23"/>
  <c r="EI15" i="23"/>
  <c r="EH15" i="23"/>
  <c r="EG15" i="23"/>
  <c r="EF15" i="23"/>
  <c r="EE15" i="23"/>
  <c r="ED15" i="23"/>
  <c r="EC15" i="23"/>
  <c r="EB15" i="23"/>
  <c r="EA15" i="23"/>
  <c r="DZ15" i="23"/>
  <c r="DY15" i="23"/>
  <c r="DX15" i="23"/>
  <c r="DW15" i="23"/>
  <c r="DV15" i="23"/>
  <c r="DU15" i="23"/>
  <c r="DT15" i="23"/>
  <c r="DS15" i="23"/>
  <c r="DR15" i="23"/>
  <c r="DQ15" i="23"/>
  <c r="DP15" i="23"/>
  <c r="DO15" i="23"/>
  <c r="DN15" i="23"/>
  <c r="DM15" i="23"/>
  <c r="DL15" i="23"/>
  <c r="DK15" i="23"/>
  <c r="DJ15" i="23"/>
  <c r="DI15" i="23"/>
  <c r="DH15" i="23"/>
  <c r="DG15" i="23"/>
  <c r="DF15" i="23"/>
  <c r="DE15" i="23"/>
  <c r="DD15" i="23"/>
  <c r="DC15" i="23"/>
  <c r="DB15" i="23"/>
  <c r="DA15" i="23"/>
  <c r="CZ15" i="23"/>
  <c r="CY15" i="23"/>
  <c r="CX15" i="23"/>
  <c r="CW15" i="23"/>
  <c r="CV15" i="23"/>
  <c r="CU15" i="23"/>
  <c r="CT15" i="23"/>
  <c r="CS15" i="23"/>
  <c r="CR15" i="23"/>
  <c r="CQ15" i="23"/>
  <c r="CP15" i="23"/>
  <c r="CO15" i="23"/>
  <c r="CN15" i="23"/>
  <c r="CM15" i="23"/>
  <c r="CL15" i="23"/>
  <c r="CK15" i="23"/>
  <c r="CJ15" i="23"/>
  <c r="CI15" i="23"/>
  <c r="CH15" i="23"/>
  <c r="CG15" i="23"/>
  <c r="CF15" i="23"/>
  <c r="CE15" i="23"/>
  <c r="CD15" i="23"/>
  <c r="CC15" i="23"/>
  <c r="CB15" i="23"/>
  <c r="CA15" i="23"/>
  <c r="BZ15" i="23"/>
  <c r="BY15" i="23"/>
  <c r="BX15" i="23"/>
  <c r="BW15" i="23"/>
  <c r="BV15" i="23"/>
  <c r="BU15" i="23"/>
  <c r="BT15" i="23"/>
  <c r="BS15" i="23"/>
  <c r="BR15" i="23"/>
  <c r="BQ15" i="23"/>
  <c r="BP15" i="23"/>
  <c r="BO15" i="23"/>
  <c r="BN15" i="23"/>
  <c r="BM15" i="23"/>
  <c r="BL15" i="23"/>
  <c r="BK15" i="23"/>
  <c r="BJ15" i="23"/>
  <c r="BI15" i="23"/>
  <c r="BH15" i="23"/>
  <c r="BG15" i="23"/>
  <c r="BF15" i="23"/>
  <c r="BE15" i="23"/>
  <c r="BD15" i="23"/>
  <c r="BC15" i="23"/>
  <c r="BB15" i="23"/>
  <c r="BA15" i="23"/>
  <c r="AZ15" i="23"/>
  <c r="AY15" i="23"/>
  <c r="AX15" i="23"/>
  <c r="AW15" i="23"/>
  <c r="AV15" i="23"/>
  <c r="AU15" i="23"/>
  <c r="AT15" i="23"/>
  <c r="AS15" i="23"/>
  <c r="AR15" i="23"/>
  <c r="AQ15" i="23"/>
  <c r="AP15" i="23"/>
  <c r="AO15" i="23"/>
  <c r="AN15" i="23"/>
  <c r="AM15" i="23"/>
  <c r="AL15" i="23"/>
  <c r="AK15" i="23"/>
  <c r="AJ15" i="23"/>
  <c r="AI15" i="23"/>
  <c r="AH15" i="23"/>
  <c r="AG15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N15" i="23"/>
  <c r="M15" i="23"/>
  <c r="L15" i="23"/>
  <c r="K15" i="23"/>
  <c r="J15" i="23"/>
  <c r="I15" i="23"/>
  <c r="H15" i="23"/>
  <c r="G15" i="23"/>
  <c r="GD13" i="23"/>
  <c r="GC13" i="23"/>
  <c r="GB13" i="23"/>
  <c r="GA13" i="23"/>
  <c r="FZ13" i="23"/>
  <c r="FY13" i="23"/>
  <c r="FX13" i="23"/>
  <c r="FW13" i="23"/>
  <c r="FV13" i="23"/>
  <c r="FU13" i="23"/>
  <c r="FT13" i="23"/>
  <c r="FS13" i="23"/>
  <c r="FR13" i="23"/>
  <c r="FQ13" i="23"/>
  <c r="FP13" i="23"/>
  <c r="FO13" i="23"/>
  <c r="GD12" i="23"/>
  <c r="GC12" i="23"/>
  <c r="GB12" i="23"/>
  <c r="GA12" i="23"/>
  <c r="FZ12" i="23"/>
  <c r="FY12" i="23"/>
  <c r="FX12" i="23"/>
  <c r="FW12" i="23"/>
  <c r="FV12" i="23"/>
  <c r="FU12" i="23"/>
  <c r="FT12" i="23"/>
  <c r="FS12" i="23"/>
  <c r="FR12" i="23"/>
  <c r="FQ12" i="23"/>
  <c r="FP12" i="23"/>
  <c r="GD11" i="23"/>
  <c r="GC11" i="23"/>
  <c r="GB11" i="23"/>
  <c r="GA11" i="23"/>
  <c r="FZ11" i="23"/>
  <c r="FY11" i="23"/>
  <c r="FX11" i="23"/>
  <c r="FW11" i="23"/>
  <c r="FV11" i="23"/>
  <c r="FU11" i="23"/>
  <c r="FT11" i="23"/>
  <c r="FS11" i="23"/>
  <c r="FR11" i="23"/>
  <c r="FQ11" i="23"/>
  <c r="FP11" i="23"/>
  <c r="FO11" i="23"/>
  <c r="FN11" i="23"/>
  <c r="FM11" i="23"/>
  <c r="G10" i="23"/>
  <c r="H10" i="23" s="1"/>
  <c r="G6" i="23"/>
  <c r="G5" i="23" s="1"/>
  <c r="E82" i="22"/>
  <c r="AM79" i="22"/>
  <c r="AN79" i="22" s="1"/>
  <c r="AO79" i="22" s="1"/>
  <c r="AP79" i="22" s="1"/>
  <c r="AQ79" i="22" s="1"/>
  <c r="AR79" i="22" s="1"/>
  <c r="AS79" i="22" s="1"/>
  <c r="AT79" i="22" s="1"/>
  <c r="AU79" i="22" s="1"/>
  <c r="AV79" i="22" s="1"/>
  <c r="AW79" i="22" s="1"/>
  <c r="AX79" i="22" s="1"/>
  <c r="AY79" i="22" s="1"/>
  <c r="G79" i="22"/>
  <c r="H79" i="22" s="1"/>
  <c r="I79" i="22" s="1"/>
  <c r="J79" i="22" s="1"/>
  <c r="K79" i="22" s="1"/>
  <c r="L79" i="22" s="1"/>
  <c r="M79" i="22" s="1"/>
  <c r="N79" i="22" s="1"/>
  <c r="O79" i="22" s="1"/>
  <c r="P79" i="22" s="1"/>
  <c r="Q79" i="22" s="1"/>
  <c r="R79" i="22" s="1"/>
  <c r="S79" i="22" s="1"/>
  <c r="T79" i="22" s="1"/>
  <c r="U79" i="22" s="1"/>
  <c r="V79" i="22" s="1"/>
  <c r="W79" i="22" s="1"/>
  <c r="X79" i="22" s="1"/>
  <c r="Y79" i="22" s="1"/>
  <c r="Z79" i="22" s="1"/>
  <c r="AA79" i="22" s="1"/>
  <c r="AB79" i="22" s="1"/>
  <c r="AC79" i="22" s="1"/>
  <c r="AD79" i="22" s="1"/>
  <c r="AE79" i="22" s="1"/>
  <c r="AF79" i="22" s="1"/>
  <c r="AG79" i="22" s="1"/>
  <c r="AH79" i="22" s="1"/>
  <c r="AI79" i="22" s="1"/>
  <c r="AJ79" i="22" s="1"/>
  <c r="AK79" i="22" s="1"/>
  <c r="AL79" i="22" s="1"/>
  <c r="E75" i="22"/>
  <c r="E74" i="22"/>
  <c r="AU73" i="22"/>
  <c r="AY72" i="22"/>
  <c r="AX72" i="22"/>
  <c r="AW72" i="22"/>
  <c r="AV72" i="22"/>
  <c r="AU72" i="22"/>
  <c r="G68" i="22"/>
  <c r="AY61" i="22"/>
  <c r="AY73" i="22" s="1"/>
  <c r="AW61" i="22"/>
  <c r="AW73" i="22" s="1"/>
  <c r="AV61" i="22"/>
  <c r="AV73" i="22" s="1"/>
  <c r="G61" i="22"/>
  <c r="G73" i="22" s="1"/>
  <c r="AY58" i="22"/>
  <c r="AX58" i="22"/>
  <c r="AX61" i="22" s="1"/>
  <c r="AX73" i="22" s="1"/>
  <c r="AW58" i="22"/>
  <c r="AV58" i="22"/>
  <c r="AU58" i="22"/>
  <c r="G58" i="22"/>
  <c r="G60" i="22" s="1"/>
  <c r="E58" i="22"/>
  <c r="H57" i="22"/>
  <c r="H58" i="22" s="1"/>
  <c r="H61" i="22" s="1"/>
  <c r="H73" i="22" s="1"/>
  <c r="H55" i="22"/>
  <c r="G55" i="22"/>
  <c r="D44" i="22"/>
  <c r="AY43" i="22"/>
  <c r="AX43" i="22"/>
  <c r="AW43" i="22"/>
  <c r="AV43" i="22"/>
  <c r="AU43" i="22"/>
  <c r="AY40" i="22"/>
  <c r="AY39" i="22"/>
  <c r="AY38" i="22"/>
  <c r="AX38" i="22"/>
  <c r="AW38" i="22"/>
  <c r="AV38" i="22"/>
  <c r="AU38" i="22"/>
  <c r="G37" i="22"/>
  <c r="G32" i="22"/>
  <c r="AY31" i="22"/>
  <c r="G31" i="22"/>
  <c r="G34" i="22" s="1"/>
  <c r="H31" i="22" s="1"/>
  <c r="G30" i="22"/>
  <c r="F30" i="22"/>
  <c r="G26" i="22"/>
  <c r="G24" i="22"/>
  <c r="G23" i="22"/>
  <c r="H23" i="22" s="1"/>
  <c r="G17" i="22"/>
  <c r="AY14" i="22"/>
  <c r="AY11" i="22" s="1"/>
  <c r="AY12" i="22"/>
  <c r="AX12" i="22"/>
  <c r="AW12" i="22"/>
  <c r="AV12" i="22"/>
  <c r="H10" i="22"/>
  <c r="AY4" i="22"/>
  <c r="H3" i="22"/>
  <c r="G3" i="22"/>
  <c r="G46" i="21"/>
  <c r="C37" i="21"/>
  <c r="C41" i="21" s="1"/>
  <c r="C36" i="21"/>
  <c r="C28" i="21"/>
  <c r="C20" i="21"/>
  <c r="C17" i="21"/>
  <c r="C15" i="21"/>
  <c r="O430" i="20"/>
  <c r="N430" i="20"/>
  <c r="M430" i="20"/>
  <c r="L430" i="20"/>
  <c r="K430" i="20"/>
  <c r="J430" i="20"/>
  <c r="I430" i="20"/>
  <c r="H430" i="20"/>
  <c r="G430" i="20"/>
  <c r="F430" i="20"/>
  <c r="E430" i="20"/>
  <c r="D430" i="20"/>
  <c r="O402" i="20"/>
  <c r="N402" i="20"/>
  <c r="M402" i="20"/>
  <c r="L402" i="20"/>
  <c r="K402" i="20"/>
  <c r="J402" i="20"/>
  <c r="I402" i="20"/>
  <c r="H402" i="20"/>
  <c r="G402" i="20"/>
  <c r="F402" i="20"/>
  <c r="E402" i="20"/>
  <c r="D402" i="20"/>
  <c r="AQ378" i="20"/>
  <c r="AQ377" i="20"/>
  <c r="E351" i="20"/>
  <c r="F270" i="20"/>
  <c r="F199" i="20"/>
  <c r="CQI172" i="20"/>
  <c r="CQH172" i="20"/>
  <c r="CQG172" i="20"/>
  <c r="CQF172" i="20"/>
  <c r="CQE172" i="20"/>
  <c r="CQD172" i="20"/>
  <c r="CQC172" i="20"/>
  <c r="CQB172" i="20"/>
  <c r="CQA172" i="20"/>
  <c r="CPZ172" i="20"/>
  <c r="CPY172" i="20"/>
  <c r="CPX172" i="20"/>
  <c r="CPW172" i="20"/>
  <c r="CPV172" i="20"/>
  <c r="CPU172" i="20"/>
  <c r="CPT172" i="20"/>
  <c r="CPS172" i="20"/>
  <c r="CPR172" i="20"/>
  <c r="CPQ172" i="20"/>
  <c r="CPP172" i="20"/>
  <c r="CPO172" i="20"/>
  <c r="CPN172" i="20"/>
  <c r="CPM172" i="20"/>
  <c r="CPL172" i="20"/>
  <c r="CPK172" i="20"/>
  <c r="CPJ172" i="20"/>
  <c r="CPI172" i="20"/>
  <c r="CPH172" i="20"/>
  <c r="CPG172" i="20"/>
  <c r="CPF172" i="20"/>
  <c r="CPE172" i="20"/>
  <c r="CPD172" i="20"/>
  <c r="CPC172" i="20"/>
  <c r="CPB172" i="20"/>
  <c r="CPA172" i="20"/>
  <c r="COZ172" i="20"/>
  <c r="COY172" i="20"/>
  <c r="COX172" i="20"/>
  <c r="COW172" i="20"/>
  <c r="COV172" i="20"/>
  <c r="COU172" i="20"/>
  <c r="COT172" i="20"/>
  <c r="COS172" i="20"/>
  <c r="COR172" i="20"/>
  <c r="COQ172" i="20"/>
  <c r="COP172" i="20"/>
  <c r="COO172" i="20"/>
  <c r="CON172" i="20"/>
  <c r="COM172" i="20"/>
  <c r="COL172" i="20"/>
  <c r="COK172" i="20"/>
  <c r="COJ172" i="20"/>
  <c r="COI172" i="20"/>
  <c r="COH172" i="20"/>
  <c r="COG172" i="20"/>
  <c r="COF172" i="20"/>
  <c r="COE172" i="20"/>
  <c r="COD172" i="20"/>
  <c r="COC172" i="20"/>
  <c r="COB172" i="20"/>
  <c r="COA172" i="20"/>
  <c r="CNZ172" i="20"/>
  <c r="CNY172" i="20"/>
  <c r="CNX172" i="20"/>
  <c r="CNW172" i="20"/>
  <c r="CNV172" i="20"/>
  <c r="CNU172" i="20"/>
  <c r="CNT172" i="20"/>
  <c r="CNS172" i="20"/>
  <c r="CNR172" i="20"/>
  <c r="CNQ172" i="20"/>
  <c r="CNP172" i="20"/>
  <c r="CNO172" i="20"/>
  <c r="CNN172" i="20"/>
  <c r="CNM172" i="20"/>
  <c r="CNL172" i="20"/>
  <c r="CNK172" i="20"/>
  <c r="CNJ172" i="20"/>
  <c r="CNI172" i="20"/>
  <c r="CNH172" i="20"/>
  <c r="CNG172" i="20"/>
  <c r="CNF172" i="20"/>
  <c r="CNE172" i="20"/>
  <c r="CND172" i="20"/>
  <c r="CNC172" i="20"/>
  <c r="CNB172" i="20"/>
  <c r="CNA172" i="20"/>
  <c r="CMZ172" i="20"/>
  <c r="CMY172" i="20"/>
  <c r="CMX172" i="20"/>
  <c r="CMW172" i="20"/>
  <c r="CMV172" i="20"/>
  <c r="CMU172" i="20"/>
  <c r="CMT172" i="20"/>
  <c r="CMS172" i="20"/>
  <c r="CMR172" i="20"/>
  <c r="CMQ172" i="20"/>
  <c r="CMP172" i="20"/>
  <c r="CMO172" i="20"/>
  <c r="CMN172" i="20"/>
  <c r="CMM172" i="20"/>
  <c r="CML172" i="20"/>
  <c r="CMK172" i="20"/>
  <c r="CMJ172" i="20"/>
  <c r="CMI172" i="20"/>
  <c r="CMH172" i="20"/>
  <c r="CMG172" i="20"/>
  <c r="CMF172" i="20"/>
  <c r="CME172" i="20"/>
  <c r="CMD172" i="20"/>
  <c r="CMC172" i="20"/>
  <c r="CMB172" i="20"/>
  <c r="CMA172" i="20"/>
  <c r="CLZ172" i="20"/>
  <c r="CLY172" i="20"/>
  <c r="CLX172" i="20"/>
  <c r="CLW172" i="20"/>
  <c r="CLV172" i="20"/>
  <c r="CLU172" i="20"/>
  <c r="CLT172" i="20"/>
  <c r="CLS172" i="20"/>
  <c r="CLR172" i="20"/>
  <c r="CLQ172" i="20"/>
  <c r="CLP172" i="20"/>
  <c r="CLO172" i="20"/>
  <c r="CLN172" i="20"/>
  <c r="CLM172" i="20"/>
  <c r="CLL172" i="20"/>
  <c r="CLK172" i="20"/>
  <c r="CLJ172" i="20"/>
  <c r="CLI172" i="20"/>
  <c r="CLH172" i="20"/>
  <c r="CLG172" i="20"/>
  <c r="CLF172" i="20"/>
  <c r="CLE172" i="20"/>
  <c r="CLD172" i="20"/>
  <c r="CLC172" i="20"/>
  <c r="CLB172" i="20"/>
  <c r="CLA172" i="20"/>
  <c r="CKZ172" i="20"/>
  <c r="CKY172" i="20"/>
  <c r="CKX172" i="20"/>
  <c r="CKW172" i="20"/>
  <c r="CKV172" i="20"/>
  <c r="CKU172" i="20"/>
  <c r="CKT172" i="20"/>
  <c r="CKS172" i="20"/>
  <c r="CKR172" i="20"/>
  <c r="CKQ172" i="20"/>
  <c r="CKP172" i="20"/>
  <c r="CKO172" i="20"/>
  <c r="CKN172" i="20"/>
  <c r="CKM172" i="20"/>
  <c r="CKL172" i="20"/>
  <c r="CKK172" i="20"/>
  <c r="CKJ172" i="20"/>
  <c r="CKI172" i="20"/>
  <c r="CKH172" i="20"/>
  <c r="CKG172" i="20"/>
  <c r="CKF172" i="20"/>
  <c r="CKE172" i="20"/>
  <c r="CKD172" i="20"/>
  <c r="CKC172" i="20"/>
  <c r="CKB172" i="20"/>
  <c r="CKA172" i="20"/>
  <c r="CJZ172" i="20"/>
  <c r="CJY172" i="20"/>
  <c r="CJX172" i="20"/>
  <c r="CJW172" i="20"/>
  <c r="CJV172" i="20"/>
  <c r="CJU172" i="20"/>
  <c r="CJT172" i="20"/>
  <c r="CJS172" i="20"/>
  <c r="CJR172" i="20"/>
  <c r="CJQ172" i="20"/>
  <c r="CJP172" i="20"/>
  <c r="CJO172" i="20"/>
  <c r="CJN172" i="20"/>
  <c r="CJM172" i="20"/>
  <c r="CJL172" i="20"/>
  <c r="CJK172" i="20"/>
  <c r="CJJ172" i="20"/>
  <c r="CJI172" i="20"/>
  <c r="CJH172" i="20"/>
  <c r="CJG172" i="20"/>
  <c r="CJF172" i="20"/>
  <c r="CJE172" i="20"/>
  <c r="CJD172" i="20"/>
  <c r="CJC172" i="20"/>
  <c r="CJB172" i="20"/>
  <c r="CJA172" i="20"/>
  <c r="CIZ172" i="20"/>
  <c r="CIY172" i="20"/>
  <c r="CIX172" i="20"/>
  <c r="CIW172" i="20"/>
  <c r="CIV172" i="20"/>
  <c r="CIU172" i="20"/>
  <c r="CIT172" i="20"/>
  <c r="CIS172" i="20"/>
  <c r="CIR172" i="20"/>
  <c r="CIQ172" i="20"/>
  <c r="CIP172" i="20"/>
  <c r="CIO172" i="20"/>
  <c r="CIN172" i="20"/>
  <c r="CIM172" i="20"/>
  <c r="CIL172" i="20"/>
  <c r="CIK172" i="20"/>
  <c r="CIJ172" i="20"/>
  <c r="CII172" i="20"/>
  <c r="CIH172" i="20"/>
  <c r="CIG172" i="20"/>
  <c r="CIF172" i="20"/>
  <c r="CIE172" i="20"/>
  <c r="CID172" i="20"/>
  <c r="CIC172" i="20"/>
  <c r="CIB172" i="20"/>
  <c r="CIA172" i="20"/>
  <c r="CHZ172" i="20"/>
  <c r="CHY172" i="20"/>
  <c r="CHX172" i="20"/>
  <c r="CHW172" i="20"/>
  <c r="CHV172" i="20"/>
  <c r="CHU172" i="20"/>
  <c r="CHT172" i="20"/>
  <c r="CHS172" i="20"/>
  <c r="CHR172" i="20"/>
  <c r="CHQ172" i="20"/>
  <c r="CHP172" i="20"/>
  <c r="CHO172" i="20"/>
  <c r="CHN172" i="20"/>
  <c r="CHM172" i="20"/>
  <c r="CHL172" i="20"/>
  <c r="CHK172" i="20"/>
  <c r="CHJ172" i="20"/>
  <c r="CHI172" i="20"/>
  <c r="CHH172" i="20"/>
  <c r="CHG172" i="20"/>
  <c r="CHF172" i="20"/>
  <c r="CHE172" i="20"/>
  <c r="CHD172" i="20"/>
  <c r="CHC172" i="20"/>
  <c r="CHB172" i="20"/>
  <c r="CHA172" i="20"/>
  <c r="CGZ172" i="20"/>
  <c r="CGY172" i="20"/>
  <c r="CGX172" i="20"/>
  <c r="CGW172" i="20"/>
  <c r="CGV172" i="20"/>
  <c r="CGU172" i="20"/>
  <c r="CGT172" i="20"/>
  <c r="CGS172" i="20"/>
  <c r="CGR172" i="20"/>
  <c r="CGQ172" i="20"/>
  <c r="CGP172" i="20"/>
  <c r="CGO172" i="20"/>
  <c r="CGN172" i="20"/>
  <c r="CGM172" i="20"/>
  <c r="CGL172" i="20"/>
  <c r="CGK172" i="20"/>
  <c r="CGJ172" i="20"/>
  <c r="CGI172" i="20"/>
  <c r="CGH172" i="20"/>
  <c r="CGG172" i="20"/>
  <c r="CGF172" i="20"/>
  <c r="CGE172" i="20"/>
  <c r="CGD172" i="20"/>
  <c r="CGC172" i="20"/>
  <c r="CGB172" i="20"/>
  <c r="CGA172" i="20"/>
  <c r="CFZ172" i="20"/>
  <c r="CFY172" i="20"/>
  <c r="CFX172" i="20"/>
  <c r="CFW172" i="20"/>
  <c r="CFV172" i="20"/>
  <c r="CFU172" i="20"/>
  <c r="CFT172" i="20"/>
  <c r="CFS172" i="20"/>
  <c r="CFR172" i="20"/>
  <c r="CFQ172" i="20"/>
  <c r="CFP172" i="20"/>
  <c r="CFO172" i="20"/>
  <c r="CFN172" i="20"/>
  <c r="CFM172" i="20"/>
  <c r="CFL172" i="20"/>
  <c r="CFK172" i="20"/>
  <c r="CFJ172" i="20"/>
  <c r="CFI172" i="20"/>
  <c r="CFH172" i="20"/>
  <c r="CFG172" i="20"/>
  <c r="CFF172" i="20"/>
  <c r="CFE172" i="20"/>
  <c r="CFD172" i="20"/>
  <c r="CFC172" i="20"/>
  <c r="CFB172" i="20"/>
  <c r="CFA172" i="20"/>
  <c r="CEZ172" i="20"/>
  <c r="CEY172" i="20"/>
  <c r="CEX172" i="20"/>
  <c r="CEW172" i="20"/>
  <c r="CEV172" i="20"/>
  <c r="CEU172" i="20"/>
  <c r="CET172" i="20"/>
  <c r="CES172" i="20"/>
  <c r="CER172" i="20"/>
  <c r="CEQ172" i="20"/>
  <c r="CEP172" i="20"/>
  <c r="CEO172" i="20"/>
  <c r="CEN172" i="20"/>
  <c r="CEM172" i="20"/>
  <c r="CEL172" i="20"/>
  <c r="CEK172" i="20"/>
  <c r="CEJ172" i="20"/>
  <c r="CEI172" i="20"/>
  <c r="CEH172" i="20"/>
  <c r="CEG172" i="20"/>
  <c r="CEF172" i="20"/>
  <c r="CEE172" i="20"/>
  <c r="CED172" i="20"/>
  <c r="CEC172" i="20"/>
  <c r="CEB172" i="20"/>
  <c r="CEA172" i="20"/>
  <c r="CDZ172" i="20"/>
  <c r="CDY172" i="20"/>
  <c r="CDX172" i="20"/>
  <c r="CDW172" i="20"/>
  <c r="CDV172" i="20"/>
  <c r="CDU172" i="20"/>
  <c r="CDT172" i="20"/>
  <c r="CDS172" i="20"/>
  <c r="CDR172" i="20"/>
  <c r="CDQ172" i="20"/>
  <c r="CDP172" i="20"/>
  <c r="CDO172" i="20"/>
  <c r="CDN172" i="20"/>
  <c r="CDM172" i="20"/>
  <c r="CDL172" i="20"/>
  <c r="CDK172" i="20"/>
  <c r="CDJ172" i="20"/>
  <c r="CDI172" i="20"/>
  <c r="CDH172" i="20"/>
  <c r="CDG172" i="20"/>
  <c r="CDF172" i="20"/>
  <c r="CDE172" i="20"/>
  <c r="CDD172" i="20"/>
  <c r="CDC172" i="20"/>
  <c r="CDB172" i="20"/>
  <c r="CDA172" i="20"/>
  <c r="CCZ172" i="20"/>
  <c r="CCY172" i="20"/>
  <c r="CCX172" i="20"/>
  <c r="CCW172" i="20"/>
  <c r="CCV172" i="20"/>
  <c r="CCU172" i="20"/>
  <c r="CCT172" i="20"/>
  <c r="CCS172" i="20"/>
  <c r="CCR172" i="20"/>
  <c r="CCQ172" i="20"/>
  <c r="CCP172" i="20"/>
  <c r="CCO172" i="20"/>
  <c r="CCN172" i="20"/>
  <c r="CCM172" i="20"/>
  <c r="CCL172" i="20"/>
  <c r="CCK172" i="20"/>
  <c r="CCJ172" i="20"/>
  <c r="CCI172" i="20"/>
  <c r="CCH172" i="20"/>
  <c r="CCG172" i="20"/>
  <c r="CCF172" i="20"/>
  <c r="CCE172" i="20"/>
  <c r="CCD172" i="20"/>
  <c r="CCC172" i="20"/>
  <c r="CCB172" i="20"/>
  <c r="CCA172" i="20"/>
  <c r="CBZ172" i="20"/>
  <c r="CBY172" i="20"/>
  <c r="CBX172" i="20"/>
  <c r="CBW172" i="20"/>
  <c r="CBV172" i="20"/>
  <c r="CBU172" i="20"/>
  <c r="CBT172" i="20"/>
  <c r="CBS172" i="20"/>
  <c r="CBR172" i="20"/>
  <c r="CBQ172" i="20"/>
  <c r="CBP172" i="20"/>
  <c r="CBO172" i="20"/>
  <c r="CBN172" i="20"/>
  <c r="CBM172" i="20"/>
  <c r="CBL172" i="20"/>
  <c r="CBK172" i="20"/>
  <c r="CBJ172" i="20"/>
  <c r="CBI172" i="20"/>
  <c r="CBH172" i="20"/>
  <c r="CBG172" i="20"/>
  <c r="CBF172" i="20"/>
  <c r="CBE172" i="20"/>
  <c r="CBD172" i="20"/>
  <c r="CBC172" i="20"/>
  <c r="CBB172" i="20"/>
  <c r="CBA172" i="20"/>
  <c r="CAZ172" i="20"/>
  <c r="CAY172" i="20"/>
  <c r="CAX172" i="20"/>
  <c r="CAW172" i="20"/>
  <c r="CAV172" i="20"/>
  <c r="CAU172" i="20"/>
  <c r="CAT172" i="20"/>
  <c r="CAS172" i="20"/>
  <c r="CAR172" i="20"/>
  <c r="CAQ172" i="20"/>
  <c r="CAP172" i="20"/>
  <c r="CAO172" i="20"/>
  <c r="CAN172" i="20"/>
  <c r="CAM172" i="20"/>
  <c r="CAL172" i="20"/>
  <c r="CAK172" i="20"/>
  <c r="CAJ172" i="20"/>
  <c r="CAI172" i="20"/>
  <c r="CAH172" i="20"/>
  <c r="CAG172" i="20"/>
  <c r="CAF172" i="20"/>
  <c r="CAE172" i="20"/>
  <c r="CAD172" i="20"/>
  <c r="CAC172" i="20"/>
  <c r="CAB172" i="20"/>
  <c r="CAA172" i="20"/>
  <c r="BZZ172" i="20"/>
  <c r="BZY172" i="20"/>
  <c r="BZX172" i="20"/>
  <c r="BZW172" i="20"/>
  <c r="BZV172" i="20"/>
  <c r="BZU172" i="20"/>
  <c r="BZT172" i="20"/>
  <c r="BZS172" i="20"/>
  <c r="BZR172" i="20"/>
  <c r="BZQ172" i="20"/>
  <c r="BZP172" i="20"/>
  <c r="BZO172" i="20"/>
  <c r="BZN172" i="20"/>
  <c r="BZM172" i="20"/>
  <c r="BZL172" i="20"/>
  <c r="BZK172" i="20"/>
  <c r="BZJ172" i="20"/>
  <c r="BZI172" i="20"/>
  <c r="BZH172" i="20"/>
  <c r="BZG172" i="20"/>
  <c r="BZF172" i="20"/>
  <c r="BZE172" i="20"/>
  <c r="BZD172" i="20"/>
  <c r="BZC172" i="20"/>
  <c r="BZB172" i="20"/>
  <c r="BZA172" i="20"/>
  <c r="BYZ172" i="20"/>
  <c r="BYY172" i="20"/>
  <c r="BYX172" i="20"/>
  <c r="BYW172" i="20"/>
  <c r="BYV172" i="20"/>
  <c r="BYU172" i="20"/>
  <c r="BYT172" i="20"/>
  <c r="BYS172" i="20"/>
  <c r="BYR172" i="20"/>
  <c r="BYQ172" i="20"/>
  <c r="BYP172" i="20"/>
  <c r="BYO172" i="20"/>
  <c r="BYN172" i="20"/>
  <c r="BYM172" i="20"/>
  <c r="BYL172" i="20"/>
  <c r="BYK172" i="20"/>
  <c r="BYJ172" i="20"/>
  <c r="BYI172" i="20"/>
  <c r="BYH172" i="20"/>
  <c r="BYG172" i="20"/>
  <c r="BYF172" i="20"/>
  <c r="BYE172" i="20"/>
  <c r="BYD172" i="20"/>
  <c r="BYC172" i="20"/>
  <c r="BYB172" i="20"/>
  <c r="BYA172" i="20"/>
  <c r="BXZ172" i="20"/>
  <c r="BXY172" i="20"/>
  <c r="BXX172" i="20"/>
  <c r="BXW172" i="20"/>
  <c r="BXV172" i="20"/>
  <c r="BXU172" i="20"/>
  <c r="BXT172" i="20"/>
  <c r="BXS172" i="20"/>
  <c r="BXR172" i="20"/>
  <c r="BXQ172" i="20"/>
  <c r="BXP172" i="20"/>
  <c r="BXO172" i="20"/>
  <c r="BXN172" i="20"/>
  <c r="BXM172" i="20"/>
  <c r="BXL172" i="20"/>
  <c r="BXK172" i="20"/>
  <c r="BXJ172" i="20"/>
  <c r="BXI172" i="20"/>
  <c r="BXH172" i="20"/>
  <c r="BXG172" i="20"/>
  <c r="BXF172" i="20"/>
  <c r="BXE172" i="20"/>
  <c r="BXD172" i="20"/>
  <c r="BXC172" i="20"/>
  <c r="BXB172" i="20"/>
  <c r="BXA172" i="20"/>
  <c r="BWZ172" i="20"/>
  <c r="BWY172" i="20"/>
  <c r="BWX172" i="20"/>
  <c r="BWW172" i="20"/>
  <c r="BWV172" i="20"/>
  <c r="BWU172" i="20"/>
  <c r="BWT172" i="20"/>
  <c r="BWS172" i="20"/>
  <c r="BWR172" i="20"/>
  <c r="BWQ172" i="20"/>
  <c r="BWP172" i="20"/>
  <c r="BWO172" i="20"/>
  <c r="BWN172" i="20"/>
  <c r="BWM172" i="20"/>
  <c r="BWL172" i="20"/>
  <c r="BWK172" i="20"/>
  <c r="BWJ172" i="20"/>
  <c r="BWI172" i="20"/>
  <c r="BWH172" i="20"/>
  <c r="BWG172" i="20"/>
  <c r="BWF172" i="20"/>
  <c r="BWE172" i="20"/>
  <c r="BWD172" i="20"/>
  <c r="BWC172" i="20"/>
  <c r="BWB172" i="20"/>
  <c r="BWA172" i="20"/>
  <c r="BVZ172" i="20"/>
  <c r="BVY172" i="20"/>
  <c r="BVX172" i="20"/>
  <c r="BVW172" i="20"/>
  <c r="BVV172" i="20"/>
  <c r="BVU172" i="20"/>
  <c r="BVT172" i="20"/>
  <c r="BVS172" i="20"/>
  <c r="BVR172" i="20"/>
  <c r="BVQ172" i="20"/>
  <c r="BVP172" i="20"/>
  <c r="BVO172" i="20"/>
  <c r="BVN172" i="20"/>
  <c r="BVM172" i="20"/>
  <c r="BVL172" i="20"/>
  <c r="BVK172" i="20"/>
  <c r="BVJ172" i="20"/>
  <c r="BVI172" i="20"/>
  <c r="BVH172" i="20"/>
  <c r="BVG172" i="20"/>
  <c r="BVF172" i="20"/>
  <c r="BVE172" i="20"/>
  <c r="BVD172" i="20"/>
  <c r="BVC172" i="20"/>
  <c r="BVB172" i="20"/>
  <c r="BVA172" i="20"/>
  <c r="BUZ172" i="20"/>
  <c r="BUY172" i="20"/>
  <c r="BUX172" i="20"/>
  <c r="BUW172" i="20"/>
  <c r="BUV172" i="20"/>
  <c r="BUU172" i="20"/>
  <c r="BUT172" i="20"/>
  <c r="BUS172" i="20"/>
  <c r="BUR172" i="20"/>
  <c r="BUQ172" i="20"/>
  <c r="BUP172" i="20"/>
  <c r="BUO172" i="20"/>
  <c r="BUN172" i="20"/>
  <c r="BUM172" i="20"/>
  <c r="BUL172" i="20"/>
  <c r="BUK172" i="20"/>
  <c r="BUJ172" i="20"/>
  <c r="BUI172" i="20"/>
  <c r="BUH172" i="20"/>
  <c r="BUG172" i="20"/>
  <c r="BUF172" i="20"/>
  <c r="BUE172" i="20"/>
  <c r="BUD172" i="20"/>
  <c r="BUC172" i="20"/>
  <c r="BUB172" i="20"/>
  <c r="BUA172" i="20"/>
  <c r="BTZ172" i="20"/>
  <c r="BTY172" i="20"/>
  <c r="BTX172" i="20"/>
  <c r="BTW172" i="20"/>
  <c r="BTV172" i="20"/>
  <c r="BTU172" i="20"/>
  <c r="BTT172" i="20"/>
  <c r="BTS172" i="20"/>
  <c r="BTR172" i="20"/>
  <c r="BTQ172" i="20"/>
  <c r="BTP172" i="20"/>
  <c r="BTO172" i="20"/>
  <c r="BTN172" i="20"/>
  <c r="BTM172" i="20"/>
  <c r="BTL172" i="20"/>
  <c r="BTK172" i="20"/>
  <c r="BTJ172" i="20"/>
  <c r="BTI172" i="20"/>
  <c r="BTH172" i="20"/>
  <c r="BTG172" i="20"/>
  <c r="BTF172" i="20"/>
  <c r="BTE172" i="20"/>
  <c r="BTD172" i="20"/>
  <c r="BTC172" i="20"/>
  <c r="BTB172" i="20"/>
  <c r="BTA172" i="20"/>
  <c r="BSZ172" i="20"/>
  <c r="BSY172" i="20"/>
  <c r="BSX172" i="20"/>
  <c r="BSW172" i="20"/>
  <c r="BSV172" i="20"/>
  <c r="BSU172" i="20"/>
  <c r="BST172" i="20"/>
  <c r="BSS172" i="20"/>
  <c r="BSR172" i="20"/>
  <c r="BSQ172" i="20"/>
  <c r="BSP172" i="20"/>
  <c r="BSO172" i="20"/>
  <c r="BSN172" i="20"/>
  <c r="BSM172" i="20"/>
  <c r="BSL172" i="20"/>
  <c r="BSK172" i="20"/>
  <c r="BSJ172" i="20"/>
  <c r="BSI172" i="20"/>
  <c r="BSH172" i="20"/>
  <c r="BSG172" i="20"/>
  <c r="BSF172" i="20"/>
  <c r="BSE172" i="20"/>
  <c r="BSD172" i="20"/>
  <c r="BSC172" i="20"/>
  <c r="BSB172" i="20"/>
  <c r="BSA172" i="20"/>
  <c r="BRZ172" i="20"/>
  <c r="BRY172" i="20"/>
  <c r="BRX172" i="20"/>
  <c r="BRW172" i="20"/>
  <c r="BRV172" i="20"/>
  <c r="BRU172" i="20"/>
  <c r="BRT172" i="20"/>
  <c r="BRS172" i="20"/>
  <c r="BRR172" i="20"/>
  <c r="BRQ172" i="20"/>
  <c r="BRP172" i="20"/>
  <c r="BRO172" i="20"/>
  <c r="BRN172" i="20"/>
  <c r="BRM172" i="20"/>
  <c r="BRL172" i="20"/>
  <c r="BRK172" i="20"/>
  <c r="BRJ172" i="20"/>
  <c r="BRI172" i="20"/>
  <c r="BRH172" i="20"/>
  <c r="BRG172" i="20"/>
  <c r="BRF172" i="20"/>
  <c r="BRE172" i="20"/>
  <c r="BRD172" i="20"/>
  <c r="BRC172" i="20"/>
  <c r="BRB172" i="20"/>
  <c r="BRA172" i="20"/>
  <c r="BQZ172" i="20"/>
  <c r="BQY172" i="20"/>
  <c r="BQX172" i="20"/>
  <c r="BQW172" i="20"/>
  <c r="BQV172" i="20"/>
  <c r="BQU172" i="20"/>
  <c r="BQT172" i="20"/>
  <c r="BQS172" i="20"/>
  <c r="BQR172" i="20"/>
  <c r="BQQ172" i="20"/>
  <c r="BQP172" i="20"/>
  <c r="BQO172" i="20"/>
  <c r="BQN172" i="20"/>
  <c r="BQM172" i="20"/>
  <c r="BQL172" i="20"/>
  <c r="BQK172" i="20"/>
  <c r="BQJ172" i="20"/>
  <c r="BQI172" i="20"/>
  <c r="BQH172" i="20"/>
  <c r="BQG172" i="20"/>
  <c r="BQF172" i="20"/>
  <c r="BQE172" i="20"/>
  <c r="BQD172" i="20"/>
  <c r="BQC172" i="20"/>
  <c r="BQB172" i="20"/>
  <c r="BQA172" i="20"/>
  <c r="BPZ172" i="20"/>
  <c r="BPY172" i="20"/>
  <c r="BPX172" i="20"/>
  <c r="BPW172" i="20"/>
  <c r="BPV172" i="20"/>
  <c r="BPU172" i="20"/>
  <c r="BPT172" i="20"/>
  <c r="BPS172" i="20"/>
  <c r="BPR172" i="20"/>
  <c r="BPQ172" i="20"/>
  <c r="BPP172" i="20"/>
  <c r="BPO172" i="20"/>
  <c r="BPN172" i="20"/>
  <c r="BPM172" i="20"/>
  <c r="BPL172" i="20"/>
  <c r="BPK172" i="20"/>
  <c r="BPJ172" i="20"/>
  <c r="BPI172" i="20"/>
  <c r="BPH172" i="20"/>
  <c r="BPG172" i="20"/>
  <c r="BPF172" i="20"/>
  <c r="BPE172" i="20"/>
  <c r="BPD172" i="20"/>
  <c r="BPC172" i="20"/>
  <c r="BPB172" i="20"/>
  <c r="BPA172" i="20"/>
  <c r="BOZ172" i="20"/>
  <c r="BOY172" i="20"/>
  <c r="BOX172" i="20"/>
  <c r="BOW172" i="20"/>
  <c r="BOV172" i="20"/>
  <c r="BOU172" i="20"/>
  <c r="BOT172" i="20"/>
  <c r="BOS172" i="20"/>
  <c r="BOR172" i="20"/>
  <c r="BOQ172" i="20"/>
  <c r="BOP172" i="20"/>
  <c r="BOO172" i="20"/>
  <c r="BON172" i="20"/>
  <c r="BOM172" i="20"/>
  <c r="BOL172" i="20"/>
  <c r="BOK172" i="20"/>
  <c r="BOJ172" i="20"/>
  <c r="BOI172" i="20"/>
  <c r="BOH172" i="20"/>
  <c r="BOG172" i="20"/>
  <c r="BOF172" i="20"/>
  <c r="BOE172" i="20"/>
  <c r="BOD172" i="20"/>
  <c r="BOC172" i="20"/>
  <c r="BOB172" i="20"/>
  <c r="BOA172" i="20"/>
  <c r="BNZ172" i="20"/>
  <c r="BNY172" i="20"/>
  <c r="BNX172" i="20"/>
  <c r="BNW172" i="20"/>
  <c r="BNV172" i="20"/>
  <c r="BNU172" i="20"/>
  <c r="BNT172" i="20"/>
  <c r="BNS172" i="20"/>
  <c r="BNR172" i="20"/>
  <c r="BNQ172" i="20"/>
  <c r="BNP172" i="20"/>
  <c r="BNO172" i="20"/>
  <c r="BNN172" i="20"/>
  <c r="BNM172" i="20"/>
  <c r="BNL172" i="20"/>
  <c r="BNK172" i="20"/>
  <c r="BNJ172" i="20"/>
  <c r="BNI172" i="20"/>
  <c r="BNH172" i="20"/>
  <c r="BNG172" i="20"/>
  <c r="BNF172" i="20"/>
  <c r="BNE172" i="20"/>
  <c r="BND172" i="20"/>
  <c r="BNC172" i="20"/>
  <c r="BNB172" i="20"/>
  <c r="BNA172" i="20"/>
  <c r="BMZ172" i="20"/>
  <c r="BMY172" i="20"/>
  <c r="BMX172" i="20"/>
  <c r="BMW172" i="20"/>
  <c r="BMV172" i="20"/>
  <c r="BMU172" i="20"/>
  <c r="BMT172" i="20"/>
  <c r="BMS172" i="20"/>
  <c r="BMR172" i="20"/>
  <c r="BMQ172" i="20"/>
  <c r="BMP172" i="20"/>
  <c r="BMO172" i="20"/>
  <c r="BMN172" i="20"/>
  <c r="BMM172" i="20"/>
  <c r="BML172" i="20"/>
  <c r="BMK172" i="20"/>
  <c r="BMJ172" i="20"/>
  <c r="BMI172" i="20"/>
  <c r="BMH172" i="20"/>
  <c r="BMG172" i="20"/>
  <c r="BMF172" i="20"/>
  <c r="BME172" i="20"/>
  <c r="BMD172" i="20"/>
  <c r="BMC172" i="20"/>
  <c r="BMB172" i="20"/>
  <c r="BMA172" i="20"/>
  <c r="BLZ172" i="20"/>
  <c r="BLY172" i="20"/>
  <c r="BLX172" i="20"/>
  <c r="BLW172" i="20"/>
  <c r="BLV172" i="20"/>
  <c r="BLU172" i="20"/>
  <c r="BLT172" i="20"/>
  <c r="BLS172" i="20"/>
  <c r="BLR172" i="20"/>
  <c r="BLQ172" i="20"/>
  <c r="BLP172" i="20"/>
  <c r="BLO172" i="20"/>
  <c r="BLN172" i="20"/>
  <c r="BLM172" i="20"/>
  <c r="BLL172" i="20"/>
  <c r="BLK172" i="20"/>
  <c r="BLJ172" i="20"/>
  <c r="BLI172" i="20"/>
  <c r="BLH172" i="20"/>
  <c r="BLG172" i="20"/>
  <c r="BLF172" i="20"/>
  <c r="BLE172" i="20"/>
  <c r="BLD172" i="20"/>
  <c r="BLC172" i="20"/>
  <c r="BLB172" i="20"/>
  <c r="BLA172" i="20"/>
  <c r="BKZ172" i="20"/>
  <c r="BKY172" i="20"/>
  <c r="BKX172" i="20"/>
  <c r="BKW172" i="20"/>
  <c r="BKV172" i="20"/>
  <c r="BKU172" i="20"/>
  <c r="BKT172" i="20"/>
  <c r="BKS172" i="20"/>
  <c r="BKR172" i="20"/>
  <c r="BKQ172" i="20"/>
  <c r="BKP172" i="20"/>
  <c r="BKO172" i="20"/>
  <c r="BKN172" i="20"/>
  <c r="BKM172" i="20"/>
  <c r="BKL172" i="20"/>
  <c r="BKK172" i="20"/>
  <c r="BKJ172" i="20"/>
  <c r="BKI172" i="20"/>
  <c r="BKH172" i="20"/>
  <c r="BKG172" i="20"/>
  <c r="BKF172" i="20"/>
  <c r="BKE172" i="20"/>
  <c r="BKD172" i="20"/>
  <c r="BKC172" i="20"/>
  <c r="BKB172" i="20"/>
  <c r="BKA172" i="20"/>
  <c r="BJZ172" i="20"/>
  <c r="BJY172" i="20"/>
  <c r="BJX172" i="20"/>
  <c r="BJW172" i="20"/>
  <c r="BJV172" i="20"/>
  <c r="BJU172" i="20"/>
  <c r="BJT172" i="20"/>
  <c r="BJS172" i="20"/>
  <c r="BJR172" i="20"/>
  <c r="BJQ172" i="20"/>
  <c r="BJP172" i="20"/>
  <c r="BJO172" i="20"/>
  <c r="BJN172" i="20"/>
  <c r="BJM172" i="20"/>
  <c r="BJL172" i="20"/>
  <c r="BJK172" i="20"/>
  <c r="BJJ172" i="20"/>
  <c r="BJI172" i="20"/>
  <c r="BJH172" i="20"/>
  <c r="BJG172" i="20"/>
  <c r="BJF172" i="20"/>
  <c r="BJE172" i="20"/>
  <c r="BJD172" i="20"/>
  <c r="BJC172" i="20"/>
  <c r="BJB172" i="20"/>
  <c r="BJA172" i="20"/>
  <c r="BIZ172" i="20"/>
  <c r="BIY172" i="20"/>
  <c r="BIX172" i="20"/>
  <c r="BIW172" i="20"/>
  <c r="BIV172" i="20"/>
  <c r="BIU172" i="20"/>
  <c r="BIT172" i="20"/>
  <c r="BIS172" i="20"/>
  <c r="BIR172" i="20"/>
  <c r="BIQ172" i="20"/>
  <c r="BIP172" i="20"/>
  <c r="BIO172" i="20"/>
  <c r="BIN172" i="20"/>
  <c r="BIM172" i="20"/>
  <c r="BIL172" i="20"/>
  <c r="BIK172" i="20"/>
  <c r="BIJ172" i="20"/>
  <c r="BII172" i="20"/>
  <c r="BIH172" i="20"/>
  <c r="BIG172" i="20"/>
  <c r="BIF172" i="20"/>
  <c r="BIE172" i="20"/>
  <c r="BID172" i="20"/>
  <c r="BIC172" i="20"/>
  <c r="BIB172" i="20"/>
  <c r="BIA172" i="20"/>
  <c r="BHZ172" i="20"/>
  <c r="BHY172" i="20"/>
  <c r="BHX172" i="20"/>
  <c r="BHW172" i="20"/>
  <c r="BHV172" i="20"/>
  <c r="BHU172" i="20"/>
  <c r="BHT172" i="20"/>
  <c r="BHS172" i="20"/>
  <c r="BHR172" i="20"/>
  <c r="BHQ172" i="20"/>
  <c r="BHP172" i="20"/>
  <c r="BHO172" i="20"/>
  <c r="BHN172" i="20"/>
  <c r="BHM172" i="20"/>
  <c r="BHL172" i="20"/>
  <c r="BHK172" i="20"/>
  <c r="BHJ172" i="20"/>
  <c r="BHI172" i="20"/>
  <c r="BHH172" i="20"/>
  <c r="BHG172" i="20"/>
  <c r="BHF172" i="20"/>
  <c r="BHE172" i="20"/>
  <c r="BHD172" i="20"/>
  <c r="BHC172" i="20"/>
  <c r="BHB172" i="20"/>
  <c r="BHA172" i="20"/>
  <c r="BGZ172" i="20"/>
  <c r="BGY172" i="20"/>
  <c r="BGX172" i="20"/>
  <c r="BGW172" i="20"/>
  <c r="BGV172" i="20"/>
  <c r="BGU172" i="20"/>
  <c r="BGT172" i="20"/>
  <c r="BGS172" i="20"/>
  <c r="BGR172" i="20"/>
  <c r="BGQ172" i="20"/>
  <c r="BGP172" i="20"/>
  <c r="BGO172" i="20"/>
  <c r="BGN172" i="20"/>
  <c r="BGM172" i="20"/>
  <c r="BGL172" i="20"/>
  <c r="BGK172" i="20"/>
  <c r="BGJ172" i="20"/>
  <c r="BGI172" i="20"/>
  <c r="BGH172" i="20"/>
  <c r="BGG172" i="20"/>
  <c r="BGF172" i="20"/>
  <c r="BGE172" i="20"/>
  <c r="BGD172" i="20"/>
  <c r="BGC172" i="20"/>
  <c r="BGB172" i="20"/>
  <c r="BGA172" i="20"/>
  <c r="BFZ172" i="20"/>
  <c r="BFY172" i="20"/>
  <c r="BFX172" i="20"/>
  <c r="BFW172" i="20"/>
  <c r="BFV172" i="20"/>
  <c r="BFU172" i="20"/>
  <c r="BFT172" i="20"/>
  <c r="BFS172" i="20"/>
  <c r="BFR172" i="20"/>
  <c r="BFQ172" i="20"/>
  <c r="BFP172" i="20"/>
  <c r="BFO172" i="20"/>
  <c r="BFN172" i="20"/>
  <c r="BFM172" i="20"/>
  <c r="BFL172" i="20"/>
  <c r="BFK172" i="20"/>
  <c r="BFJ172" i="20"/>
  <c r="BFI172" i="20"/>
  <c r="BFH172" i="20"/>
  <c r="BFG172" i="20"/>
  <c r="BFF172" i="20"/>
  <c r="BFE172" i="20"/>
  <c r="BFD172" i="20"/>
  <c r="BFC172" i="20"/>
  <c r="BFB172" i="20"/>
  <c r="BFA172" i="20"/>
  <c r="BEZ172" i="20"/>
  <c r="BEY172" i="20"/>
  <c r="BEX172" i="20"/>
  <c r="BEW172" i="20"/>
  <c r="BEV172" i="20"/>
  <c r="BEU172" i="20"/>
  <c r="BET172" i="20"/>
  <c r="BES172" i="20"/>
  <c r="BER172" i="20"/>
  <c r="BEQ172" i="20"/>
  <c r="BEP172" i="20"/>
  <c r="BEO172" i="20"/>
  <c r="BEN172" i="20"/>
  <c r="BEM172" i="20"/>
  <c r="BEL172" i="20"/>
  <c r="BEK172" i="20"/>
  <c r="BEJ172" i="20"/>
  <c r="BEI172" i="20"/>
  <c r="BEH172" i="20"/>
  <c r="BEG172" i="20"/>
  <c r="BEF172" i="20"/>
  <c r="BEE172" i="20"/>
  <c r="BED172" i="20"/>
  <c r="BEC172" i="20"/>
  <c r="BEB172" i="20"/>
  <c r="BEA172" i="20"/>
  <c r="BDZ172" i="20"/>
  <c r="BDY172" i="20"/>
  <c r="BDX172" i="20"/>
  <c r="BDW172" i="20"/>
  <c r="BDV172" i="20"/>
  <c r="BDU172" i="20"/>
  <c r="BDT172" i="20"/>
  <c r="BDS172" i="20"/>
  <c r="BDR172" i="20"/>
  <c r="BDQ172" i="20"/>
  <c r="BDP172" i="20"/>
  <c r="BDO172" i="20"/>
  <c r="BDN172" i="20"/>
  <c r="BDM172" i="20"/>
  <c r="BDL172" i="20"/>
  <c r="BDK172" i="20"/>
  <c r="BDJ172" i="20"/>
  <c r="BDI172" i="20"/>
  <c r="BDH172" i="20"/>
  <c r="BDG172" i="20"/>
  <c r="BDF172" i="20"/>
  <c r="BDE172" i="20"/>
  <c r="BDD172" i="20"/>
  <c r="BDC172" i="20"/>
  <c r="BDB172" i="20"/>
  <c r="BDA172" i="20"/>
  <c r="BCZ172" i="20"/>
  <c r="BCY172" i="20"/>
  <c r="BCX172" i="20"/>
  <c r="BCW172" i="20"/>
  <c r="BCV172" i="20"/>
  <c r="BCU172" i="20"/>
  <c r="BCT172" i="20"/>
  <c r="BCS172" i="20"/>
  <c r="BCR172" i="20"/>
  <c r="BCQ172" i="20"/>
  <c r="BCP172" i="20"/>
  <c r="BCO172" i="20"/>
  <c r="BCN172" i="20"/>
  <c r="BCM172" i="20"/>
  <c r="BCL172" i="20"/>
  <c r="BCK172" i="20"/>
  <c r="BCJ172" i="20"/>
  <c r="BCI172" i="20"/>
  <c r="BCH172" i="20"/>
  <c r="BCG172" i="20"/>
  <c r="BCF172" i="20"/>
  <c r="BCE172" i="20"/>
  <c r="BCD172" i="20"/>
  <c r="BCC172" i="20"/>
  <c r="BCB172" i="20"/>
  <c r="BCA172" i="20"/>
  <c r="BBZ172" i="20"/>
  <c r="BBY172" i="20"/>
  <c r="BBX172" i="20"/>
  <c r="BBW172" i="20"/>
  <c r="BBV172" i="20"/>
  <c r="BBU172" i="20"/>
  <c r="BBT172" i="20"/>
  <c r="BBS172" i="20"/>
  <c r="BBR172" i="20"/>
  <c r="BBQ172" i="20"/>
  <c r="BBP172" i="20"/>
  <c r="BBO172" i="20"/>
  <c r="BBN172" i="20"/>
  <c r="BBM172" i="20"/>
  <c r="BBL172" i="20"/>
  <c r="BBK172" i="20"/>
  <c r="BBJ172" i="20"/>
  <c r="BBI172" i="20"/>
  <c r="BBH172" i="20"/>
  <c r="BBG172" i="20"/>
  <c r="BBF172" i="20"/>
  <c r="BBE172" i="20"/>
  <c r="BBD172" i="20"/>
  <c r="BBC172" i="20"/>
  <c r="BBB172" i="20"/>
  <c r="BBA172" i="20"/>
  <c r="BAZ172" i="20"/>
  <c r="BAY172" i="20"/>
  <c r="BAX172" i="20"/>
  <c r="BAW172" i="20"/>
  <c r="BAV172" i="20"/>
  <c r="BAU172" i="20"/>
  <c r="BAT172" i="20"/>
  <c r="BAS172" i="20"/>
  <c r="BAR172" i="20"/>
  <c r="BAQ172" i="20"/>
  <c r="BAP172" i="20"/>
  <c r="BAO172" i="20"/>
  <c r="BAN172" i="20"/>
  <c r="BAM172" i="20"/>
  <c r="BAL172" i="20"/>
  <c r="BAK172" i="20"/>
  <c r="BAJ172" i="20"/>
  <c r="BAI172" i="20"/>
  <c r="BAH172" i="20"/>
  <c r="BAG172" i="20"/>
  <c r="BAF172" i="20"/>
  <c r="BAE172" i="20"/>
  <c r="BAD172" i="20"/>
  <c r="BAC172" i="20"/>
  <c r="BAB172" i="20"/>
  <c r="BAA172" i="20"/>
  <c r="AZZ172" i="20"/>
  <c r="AZY172" i="20"/>
  <c r="AZX172" i="20"/>
  <c r="AZW172" i="20"/>
  <c r="AZV172" i="20"/>
  <c r="AZU172" i="20"/>
  <c r="AZT172" i="20"/>
  <c r="AZS172" i="20"/>
  <c r="AZR172" i="20"/>
  <c r="AZQ172" i="20"/>
  <c r="AZP172" i="20"/>
  <c r="AZO172" i="20"/>
  <c r="AZN172" i="20"/>
  <c r="AZM172" i="20"/>
  <c r="AZL172" i="20"/>
  <c r="AZK172" i="20"/>
  <c r="AZJ172" i="20"/>
  <c r="AZI172" i="20"/>
  <c r="AZH172" i="20"/>
  <c r="AZG172" i="20"/>
  <c r="AZF172" i="20"/>
  <c r="AZE172" i="20"/>
  <c r="AZD172" i="20"/>
  <c r="AZC172" i="20"/>
  <c r="AZB172" i="20"/>
  <c r="AZA172" i="20"/>
  <c r="AYZ172" i="20"/>
  <c r="AYY172" i="20"/>
  <c r="AYX172" i="20"/>
  <c r="AYW172" i="20"/>
  <c r="AYV172" i="20"/>
  <c r="AYU172" i="20"/>
  <c r="AYT172" i="20"/>
  <c r="AYS172" i="20"/>
  <c r="AYR172" i="20"/>
  <c r="AYQ172" i="20"/>
  <c r="AYP172" i="20"/>
  <c r="AYO172" i="20"/>
  <c r="AYN172" i="20"/>
  <c r="AYM172" i="20"/>
  <c r="AYL172" i="20"/>
  <c r="AYK172" i="20"/>
  <c r="AYJ172" i="20"/>
  <c r="AYI172" i="20"/>
  <c r="AYH172" i="20"/>
  <c r="AYG172" i="20"/>
  <c r="AYF172" i="20"/>
  <c r="AYE172" i="20"/>
  <c r="AYD172" i="20"/>
  <c r="AYC172" i="20"/>
  <c r="AYB172" i="20"/>
  <c r="AYA172" i="20"/>
  <c r="AXZ172" i="20"/>
  <c r="AXY172" i="20"/>
  <c r="AXX172" i="20"/>
  <c r="AXW172" i="20"/>
  <c r="AXV172" i="20"/>
  <c r="AXU172" i="20"/>
  <c r="AXT172" i="20"/>
  <c r="AXS172" i="20"/>
  <c r="AXR172" i="20"/>
  <c r="AXQ172" i="20"/>
  <c r="AXP172" i="20"/>
  <c r="AXO172" i="20"/>
  <c r="AXN172" i="20"/>
  <c r="AXM172" i="20"/>
  <c r="AXL172" i="20"/>
  <c r="AXK172" i="20"/>
  <c r="AXJ172" i="20"/>
  <c r="AXI172" i="20"/>
  <c r="AXH172" i="20"/>
  <c r="AXG172" i="20"/>
  <c r="AXF172" i="20"/>
  <c r="AXE172" i="20"/>
  <c r="AXD172" i="20"/>
  <c r="AXC172" i="20"/>
  <c r="AXB172" i="20"/>
  <c r="AXA172" i="20"/>
  <c r="AWZ172" i="20"/>
  <c r="AWY172" i="20"/>
  <c r="AWX172" i="20"/>
  <c r="AWW172" i="20"/>
  <c r="AWV172" i="20"/>
  <c r="AWU172" i="20"/>
  <c r="AWT172" i="20"/>
  <c r="AWS172" i="20"/>
  <c r="AWR172" i="20"/>
  <c r="AWQ172" i="20"/>
  <c r="AWP172" i="20"/>
  <c r="AWO172" i="20"/>
  <c r="AWN172" i="20"/>
  <c r="AWM172" i="20"/>
  <c r="AWL172" i="20"/>
  <c r="AWK172" i="20"/>
  <c r="AWJ172" i="20"/>
  <c r="AWI172" i="20"/>
  <c r="AWH172" i="20"/>
  <c r="AWG172" i="20"/>
  <c r="AWF172" i="20"/>
  <c r="AWE172" i="20"/>
  <c r="AWD172" i="20"/>
  <c r="AWC172" i="20"/>
  <c r="AWB172" i="20"/>
  <c r="AWA172" i="20"/>
  <c r="AVZ172" i="20"/>
  <c r="AVY172" i="20"/>
  <c r="AVX172" i="20"/>
  <c r="AVW172" i="20"/>
  <c r="AVV172" i="20"/>
  <c r="AVU172" i="20"/>
  <c r="AVT172" i="20"/>
  <c r="AVS172" i="20"/>
  <c r="AVR172" i="20"/>
  <c r="AVQ172" i="20"/>
  <c r="AVP172" i="20"/>
  <c r="AVO172" i="20"/>
  <c r="AVN172" i="20"/>
  <c r="AVM172" i="20"/>
  <c r="AVL172" i="20"/>
  <c r="AVK172" i="20"/>
  <c r="AVJ172" i="20"/>
  <c r="AVI172" i="20"/>
  <c r="AVH172" i="20"/>
  <c r="AVG172" i="20"/>
  <c r="AVF172" i="20"/>
  <c r="AVE172" i="20"/>
  <c r="AVD172" i="20"/>
  <c r="AVC172" i="20"/>
  <c r="AVB172" i="20"/>
  <c r="AVA172" i="20"/>
  <c r="AUZ172" i="20"/>
  <c r="AUY172" i="20"/>
  <c r="AUX172" i="20"/>
  <c r="AUW172" i="20"/>
  <c r="AUV172" i="20"/>
  <c r="AUU172" i="20"/>
  <c r="AUT172" i="20"/>
  <c r="AUS172" i="20"/>
  <c r="AUR172" i="20"/>
  <c r="AUQ172" i="20"/>
  <c r="AUP172" i="20"/>
  <c r="AUO172" i="20"/>
  <c r="AUN172" i="20"/>
  <c r="AUM172" i="20"/>
  <c r="AUL172" i="20"/>
  <c r="AUK172" i="20"/>
  <c r="AUJ172" i="20"/>
  <c r="AUI172" i="20"/>
  <c r="AUH172" i="20"/>
  <c r="AUG172" i="20"/>
  <c r="AUF172" i="20"/>
  <c r="AUE172" i="20"/>
  <c r="AUD172" i="20"/>
  <c r="AUC172" i="20"/>
  <c r="AUB172" i="20"/>
  <c r="AUA172" i="20"/>
  <c r="ATZ172" i="20"/>
  <c r="ATY172" i="20"/>
  <c r="ATX172" i="20"/>
  <c r="ATW172" i="20"/>
  <c r="ATV172" i="20"/>
  <c r="ATU172" i="20"/>
  <c r="ATT172" i="20"/>
  <c r="ATS172" i="20"/>
  <c r="ATR172" i="20"/>
  <c r="ATQ172" i="20"/>
  <c r="ATP172" i="20"/>
  <c r="ATO172" i="20"/>
  <c r="ATN172" i="20"/>
  <c r="ATM172" i="20"/>
  <c r="ATL172" i="20"/>
  <c r="ATK172" i="20"/>
  <c r="ATJ172" i="20"/>
  <c r="ATI172" i="20"/>
  <c r="ATH172" i="20"/>
  <c r="ATG172" i="20"/>
  <c r="ATF172" i="20"/>
  <c r="ATE172" i="20"/>
  <c r="ATD172" i="20"/>
  <c r="ATC172" i="20"/>
  <c r="ATB172" i="20"/>
  <c r="ATA172" i="20"/>
  <c r="ASZ172" i="20"/>
  <c r="ASY172" i="20"/>
  <c r="ASX172" i="20"/>
  <c r="ASW172" i="20"/>
  <c r="ASV172" i="20"/>
  <c r="ASU172" i="20"/>
  <c r="AST172" i="20"/>
  <c r="ASS172" i="20"/>
  <c r="ASR172" i="20"/>
  <c r="ASQ172" i="20"/>
  <c r="ASP172" i="20"/>
  <c r="ASO172" i="20"/>
  <c r="ASN172" i="20"/>
  <c r="ASM172" i="20"/>
  <c r="ASL172" i="20"/>
  <c r="ASK172" i="20"/>
  <c r="ASJ172" i="20"/>
  <c r="ASI172" i="20"/>
  <c r="ASH172" i="20"/>
  <c r="ASG172" i="20"/>
  <c r="ASF172" i="20"/>
  <c r="ASE172" i="20"/>
  <c r="ASD172" i="20"/>
  <c r="ASC172" i="20"/>
  <c r="ASB172" i="20"/>
  <c r="ASA172" i="20"/>
  <c r="ARZ172" i="20"/>
  <c r="ARY172" i="20"/>
  <c r="ARX172" i="20"/>
  <c r="ARW172" i="20"/>
  <c r="ARV172" i="20"/>
  <c r="ARU172" i="20"/>
  <c r="ART172" i="20"/>
  <c r="ARS172" i="20"/>
  <c r="ARR172" i="20"/>
  <c r="ARQ172" i="20"/>
  <c r="ARP172" i="20"/>
  <c r="ARO172" i="20"/>
  <c r="ARN172" i="20"/>
  <c r="ARM172" i="20"/>
  <c r="ARL172" i="20"/>
  <c r="ARK172" i="20"/>
  <c r="ARJ172" i="20"/>
  <c r="ARI172" i="20"/>
  <c r="ARH172" i="20"/>
  <c r="ARG172" i="20"/>
  <c r="ARF172" i="20"/>
  <c r="ARE172" i="20"/>
  <c r="ARD172" i="20"/>
  <c r="ARC172" i="20"/>
  <c r="ARB172" i="20"/>
  <c r="ARA172" i="20"/>
  <c r="AQZ172" i="20"/>
  <c r="AQY172" i="20"/>
  <c r="AQX172" i="20"/>
  <c r="AQW172" i="20"/>
  <c r="AQV172" i="20"/>
  <c r="AQU172" i="20"/>
  <c r="AQT172" i="20"/>
  <c r="AQS172" i="20"/>
  <c r="AQR172" i="20"/>
  <c r="AQQ172" i="20"/>
  <c r="AQP172" i="20"/>
  <c r="AQO172" i="20"/>
  <c r="AQN172" i="20"/>
  <c r="AQM172" i="20"/>
  <c r="AQL172" i="20"/>
  <c r="AQK172" i="20"/>
  <c r="AQJ172" i="20"/>
  <c r="AQI172" i="20"/>
  <c r="AQH172" i="20"/>
  <c r="AQG172" i="20"/>
  <c r="AQF172" i="20"/>
  <c r="AQE172" i="20"/>
  <c r="AQD172" i="20"/>
  <c r="AQC172" i="20"/>
  <c r="AQB172" i="20"/>
  <c r="AQA172" i="20"/>
  <c r="APZ172" i="20"/>
  <c r="APY172" i="20"/>
  <c r="APX172" i="20"/>
  <c r="APW172" i="20"/>
  <c r="APV172" i="20"/>
  <c r="APU172" i="20"/>
  <c r="APT172" i="20"/>
  <c r="APS172" i="20"/>
  <c r="APR172" i="20"/>
  <c r="APQ172" i="20"/>
  <c r="APP172" i="20"/>
  <c r="APO172" i="20"/>
  <c r="APN172" i="20"/>
  <c r="APM172" i="20"/>
  <c r="APL172" i="20"/>
  <c r="APK172" i="20"/>
  <c r="APJ172" i="20"/>
  <c r="API172" i="20"/>
  <c r="APH172" i="20"/>
  <c r="APG172" i="20"/>
  <c r="APF172" i="20"/>
  <c r="APE172" i="20"/>
  <c r="APD172" i="20"/>
  <c r="APC172" i="20"/>
  <c r="APB172" i="20"/>
  <c r="APA172" i="20"/>
  <c r="AOZ172" i="20"/>
  <c r="AOY172" i="20"/>
  <c r="AOX172" i="20"/>
  <c r="AOW172" i="20"/>
  <c r="AOV172" i="20"/>
  <c r="AOU172" i="20"/>
  <c r="AOT172" i="20"/>
  <c r="AOS172" i="20"/>
  <c r="AOR172" i="20"/>
  <c r="AOQ172" i="20"/>
  <c r="AOP172" i="20"/>
  <c r="AOO172" i="20"/>
  <c r="AON172" i="20"/>
  <c r="AOM172" i="20"/>
  <c r="AOL172" i="20"/>
  <c r="AOK172" i="20"/>
  <c r="AOJ172" i="20"/>
  <c r="AOI172" i="20"/>
  <c r="AOH172" i="20"/>
  <c r="AOG172" i="20"/>
  <c r="AOF172" i="20"/>
  <c r="AOE172" i="20"/>
  <c r="AOD172" i="20"/>
  <c r="AOC172" i="20"/>
  <c r="AOB172" i="20"/>
  <c r="AOA172" i="20"/>
  <c r="ANZ172" i="20"/>
  <c r="ANY172" i="20"/>
  <c r="ANX172" i="20"/>
  <c r="ANW172" i="20"/>
  <c r="ANV172" i="20"/>
  <c r="ANU172" i="20"/>
  <c r="ANT172" i="20"/>
  <c r="ANS172" i="20"/>
  <c r="ANR172" i="20"/>
  <c r="ANQ172" i="20"/>
  <c r="ANP172" i="20"/>
  <c r="ANO172" i="20"/>
  <c r="ANN172" i="20"/>
  <c r="ANM172" i="20"/>
  <c r="ANL172" i="20"/>
  <c r="ANK172" i="20"/>
  <c r="ANJ172" i="20"/>
  <c r="ANI172" i="20"/>
  <c r="ANH172" i="20"/>
  <c r="ANG172" i="20"/>
  <c r="ANF172" i="20"/>
  <c r="ANE172" i="20"/>
  <c r="AND172" i="20"/>
  <c r="ANC172" i="20"/>
  <c r="ANB172" i="20"/>
  <c r="ANA172" i="20"/>
  <c r="AMZ172" i="20"/>
  <c r="AMY172" i="20"/>
  <c r="AMX172" i="20"/>
  <c r="AMW172" i="20"/>
  <c r="AMV172" i="20"/>
  <c r="AMU172" i="20"/>
  <c r="AMT172" i="20"/>
  <c r="AMS172" i="20"/>
  <c r="AMR172" i="20"/>
  <c r="AMQ172" i="20"/>
  <c r="AMP172" i="20"/>
  <c r="AMO172" i="20"/>
  <c r="AMN172" i="20"/>
  <c r="AMM172" i="20"/>
  <c r="AML172" i="20"/>
  <c r="AMK172" i="20"/>
  <c r="AMJ172" i="20"/>
  <c r="AMI172" i="20"/>
  <c r="AMH172" i="20"/>
  <c r="AMG172" i="20"/>
  <c r="AMF172" i="20"/>
  <c r="AME172" i="20"/>
  <c r="AMD172" i="20"/>
  <c r="AMC172" i="20"/>
  <c r="AMB172" i="20"/>
  <c r="AMA172" i="20"/>
  <c r="ALZ172" i="20"/>
  <c r="ALY172" i="20"/>
  <c r="ALX172" i="20"/>
  <c r="ALW172" i="20"/>
  <c r="ALV172" i="20"/>
  <c r="ALU172" i="20"/>
  <c r="ALT172" i="20"/>
  <c r="ALS172" i="20"/>
  <c r="ALR172" i="20"/>
  <c r="ALQ172" i="20"/>
  <c r="ALP172" i="20"/>
  <c r="ALO172" i="20"/>
  <c r="ALN172" i="20"/>
  <c r="ALM172" i="20"/>
  <c r="ALL172" i="20"/>
  <c r="ALK172" i="20"/>
  <c r="ALJ172" i="20"/>
  <c r="ALI172" i="20"/>
  <c r="ALH172" i="20"/>
  <c r="ALG172" i="20"/>
  <c r="ALF172" i="20"/>
  <c r="ALE172" i="20"/>
  <c r="ALD172" i="20"/>
  <c r="ALC172" i="20"/>
  <c r="ALB172" i="20"/>
  <c r="ALA172" i="20"/>
  <c r="AKZ172" i="20"/>
  <c r="AKY172" i="20"/>
  <c r="AKX172" i="20"/>
  <c r="AKW172" i="20"/>
  <c r="AKV172" i="20"/>
  <c r="AKU172" i="20"/>
  <c r="AKT172" i="20"/>
  <c r="AKS172" i="20"/>
  <c r="AKR172" i="20"/>
  <c r="AKQ172" i="20"/>
  <c r="AKP172" i="20"/>
  <c r="AKO172" i="20"/>
  <c r="AKN172" i="20"/>
  <c r="AKM172" i="20"/>
  <c r="AKL172" i="20"/>
  <c r="AKK172" i="20"/>
  <c r="AKJ172" i="20"/>
  <c r="AKI172" i="20"/>
  <c r="AKH172" i="20"/>
  <c r="AKG172" i="20"/>
  <c r="AKF172" i="20"/>
  <c r="AKE172" i="20"/>
  <c r="AKD172" i="20"/>
  <c r="AKC172" i="20"/>
  <c r="AKB172" i="20"/>
  <c r="AKA172" i="20"/>
  <c r="AJZ172" i="20"/>
  <c r="AJY172" i="20"/>
  <c r="AJX172" i="20"/>
  <c r="AJW172" i="20"/>
  <c r="AJV172" i="20"/>
  <c r="AJU172" i="20"/>
  <c r="AJT172" i="20"/>
  <c r="AJS172" i="20"/>
  <c r="AJR172" i="20"/>
  <c r="AJQ172" i="20"/>
  <c r="AJP172" i="20"/>
  <c r="AJO172" i="20"/>
  <c r="AJN172" i="20"/>
  <c r="AJM172" i="20"/>
  <c r="AJL172" i="20"/>
  <c r="AJK172" i="20"/>
  <c r="AJJ172" i="20"/>
  <c r="AJI172" i="20"/>
  <c r="AJH172" i="20"/>
  <c r="AJG172" i="20"/>
  <c r="AJF172" i="20"/>
  <c r="AJE172" i="20"/>
  <c r="AJD172" i="20"/>
  <c r="AJC172" i="20"/>
  <c r="AJB172" i="20"/>
  <c r="AJA172" i="20"/>
  <c r="AIZ172" i="20"/>
  <c r="AIY172" i="20"/>
  <c r="AIX172" i="20"/>
  <c r="AIW172" i="20"/>
  <c r="AIV172" i="20"/>
  <c r="AIU172" i="20"/>
  <c r="AIT172" i="20"/>
  <c r="AIS172" i="20"/>
  <c r="AIR172" i="20"/>
  <c r="AIQ172" i="20"/>
  <c r="AIP172" i="20"/>
  <c r="AIO172" i="20"/>
  <c r="AIN172" i="20"/>
  <c r="AIM172" i="20"/>
  <c r="AIL172" i="20"/>
  <c r="AIK172" i="20"/>
  <c r="AIJ172" i="20"/>
  <c r="AII172" i="20"/>
  <c r="AIH172" i="20"/>
  <c r="AIG172" i="20"/>
  <c r="AIF172" i="20"/>
  <c r="AIE172" i="20"/>
  <c r="AID172" i="20"/>
  <c r="AIC172" i="20"/>
  <c r="AIB172" i="20"/>
  <c r="AIA172" i="20"/>
  <c r="AHZ172" i="20"/>
  <c r="AHY172" i="20"/>
  <c r="AHX172" i="20"/>
  <c r="AHW172" i="20"/>
  <c r="AHV172" i="20"/>
  <c r="AHU172" i="20"/>
  <c r="AHT172" i="20"/>
  <c r="AHS172" i="20"/>
  <c r="AHR172" i="20"/>
  <c r="AHQ172" i="20"/>
  <c r="AHP172" i="20"/>
  <c r="AHO172" i="20"/>
  <c r="AHN172" i="20"/>
  <c r="AHM172" i="20"/>
  <c r="AHL172" i="20"/>
  <c r="AHK172" i="20"/>
  <c r="AHJ172" i="20"/>
  <c r="AHI172" i="20"/>
  <c r="AHH172" i="20"/>
  <c r="AHG172" i="20"/>
  <c r="AHF172" i="20"/>
  <c r="AHE172" i="20"/>
  <c r="AHD172" i="20"/>
  <c r="AHC172" i="20"/>
  <c r="AHB172" i="20"/>
  <c r="AHA172" i="20"/>
  <c r="AGZ172" i="20"/>
  <c r="AGY172" i="20"/>
  <c r="AGX172" i="20"/>
  <c r="AGW172" i="20"/>
  <c r="AGV172" i="20"/>
  <c r="AGU172" i="20"/>
  <c r="AGT172" i="20"/>
  <c r="AGS172" i="20"/>
  <c r="AGR172" i="20"/>
  <c r="AGQ172" i="20"/>
  <c r="AGP172" i="20"/>
  <c r="AGO172" i="20"/>
  <c r="AGN172" i="20"/>
  <c r="AGM172" i="20"/>
  <c r="AGL172" i="20"/>
  <c r="AGK172" i="20"/>
  <c r="AGJ172" i="20"/>
  <c r="AGI172" i="20"/>
  <c r="AGH172" i="20"/>
  <c r="AGG172" i="20"/>
  <c r="AGF172" i="20"/>
  <c r="AGE172" i="20"/>
  <c r="AGD172" i="20"/>
  <c r="AGC172" i="20"/>
  <c r="AGB172" i="20"/>
  <c r="AGA172" i="20"/>
  <c r="AFZ172" i="20"/>
  <c r="AFY172" i="20"/>
  <c r="AFX172" i="20"/>
  <c r="AFW172" i="20"/>
  <c r="AFV172" i="20"/>
  <c r="AFU172" i="20"/>
  <c r="AFT172" i="20"/>
  <c r="AFS172" i="20"/>
  <c r="AFR172" i="20"/>
  <c r="AFQ172" i="20"/>
  <c r="AFP172" i="20"/>
  <c r="AFO172" i="20"/>
  <c r="AFN172" i="20"/>
  <c r="AFM172" i="20"/>
  <c r="AFL172" i="20"/>
  <c r="AFK172" i="20"/>
  <c r="AFJ172" i="20"/>
  <c r="AFI172" i="20"/>
  <c r="AFH172" i="20"/>
  <c r="AFG172" i="20"/>
  <c r="AFF172" i="20"/>
  <c r="AFE172" i="20"/>
  <c r="AFD172" i="20"/>
  <c r="AFC172" i="20"/>
  <c r="AFB172" i="20"/>
  <c r="AFA172" i="20"/>
  <c r="AEZ172" i="20"/>
  <c r="AEY172" i="20"/>
  <c r="AEX172" i="20"/>
  <c r="AEW172" i="20"/>
  <c r="AEV172" i="20"/>
  <c r="AEU172" i="20"/>
  <c r="AET172" i="20"/>
  <c r="AES172" i="20"/>
  <c r="AER172" i="20"/>
  <c r="AEQ172" i="20"/>
  <c r="AEP172" i="20"/>
  <c r="AEO172" i="20"/>
  <c r="AEN172" i="20"/>
  <c r="AEM172" i="20"/>
  <c r="AEL172" i="20"/>
  <c r="AEK172" i="20"/>
  <c r="AEJ172" i="20"/>
  <c r="AEI172" i="20"/>
  <c r="AEH172" i="20"/>
  <c r="AEG172" i="20"/>
  <c r="AEF172" i="20"/>
  <c r="AEE172" i="20"/>
  <c r="AED172" i="20"/>
  <c r="AEC172" i="20"/>
  <c r="AEB172" i="20"/>
  <c r="AEA172" i="20"/>
  <c r="ADZ172" i="20"/>
  <c r="ADY172" i="20"/>
  <c r="ADX172" i="20"/>
  <c r="ADW172" i="20"/>
  <c r="ADV172" i="20"/>
  <c r="ADU172" i="20"/>
  <c r="ADT172" i="20"/>
  <c r="ADS172" i="20"/>
  <c r="ADR172" i="20"/>
  <c r="ADQ172" i="20"/>
  <c r="ADP172" i="20"/>
  <c r="ADO172" i="20"/>
  <c r="ADN172" i="20"/>
  <c r="ADM172" i="20"/>
  <c r="ADL172" i="20"/>
  <c r="ADK172" i="20"/>
  <c r="ADJ172" i="20"/>
  <c r="ADI172" i="20"/>
  <c r="ADH172" i="20"/>
  <c r="ADG172" i="20"/>
  <c r="ADF172" i="20"/>
  <c r="ADE172" i="20"/>
  <c r="ADD172" i="20"/>
  <c r="ADC172" i="20"/>
  <c r="ADB172" i="20"/>
  <c r="ADA172" i="20"/>
  <c r="ACZ172" i="20"/>
  <c r="ACY172" i="20"/>
  <c r="ACX172" i="20"/>
  <c r="ACW172" i="20"/>
  <c r="ACV172" i="20"/>
  <c r="ACU172" i="20"/>
  <c r="ACT172" i="20"/>
  <c r="ACS172" i="20"/>
  <c r="ACR172" i="20"/>
  <c r="ACQ172" i="20"/>
  <c r="ACP172" i="20"/>
  <c r="ACO172" i="20"/>
  <c r="ACN172" i="20"/>
  <c r="ACM172" i="20"/>
  <c r="ACL172" i="20"/>
  <c r="ACK172" i="20"/>
  <c r="ACJ172" i="20"/>
  <c r="ACI172" i="20"/>
  <c r="ACH172" i="20"/>
  <c r="ACG172" i="20"/>
  <c r="ACF172" i="20"/>
  <c r="ACE172" i="20"/>
  <c r="ACD172" i="20"/>
  <c r="ACC172" i="20"/>
  <c r="ACB172" i="20"/>
  <c r="ACA172" i="20"/>
  <c r="ABZ172" i="20"/>
  <c r="ABY172" i="20"/>
  <c r="ABX172" i="20"/>
  <c r="ABW172" i="20"/>
  <c r="ABV172" i="20"/>
  <c r="ABU172" i="20"/>
  <c r="ABT172" i="20"/>
  <c r="ABS172" i="20"/>
  <c r="ABR172" i="20"/>
  <c r="ABQ172" i="20"/>
  <c r="ABP172" i="20"/>
  <c r="ABO172" i="20"/>
  <c r="ABN172" i="20"/>
  <c r="ABM172" i="20"/>
  <c r="ABL172" i="20"/>
  <c r="ABK172" i="20"/>
  <c r="ABJ172" i="20"/>
  <c r="ABI172" i="20"/>
  <c r="ABH172" i="20"/>
  <c r="ABG172" i="20"/>
  <c r="ABF172" i="20"/>
  <c r="ABE172" i="20"/>
  <c r="ABD172" i="20"/>
  <c r="ABC172" i="20"/>
  <c r="ABB172" i="20"/>
  <c r="ABA172" i="20"/>
  <c r="AAZ172" i="20"/>
  <c r="AAY172" i="20"/>
  <c r="AAX172" i="20"/>
  <c r="AAW172" i="20"/>
  <c r="AAV172" i="20"/>
  <c r="AAU172" i="20"/>
  <c r="AAT172" i="20"/>
  <c r="AAS172" i="20"/>
  <c r="AAR172" i="20"/>
  <c r="AAQ172" i="20"/>
  <c r="AAP172" i="20"/>
  <c r="AAO172" i="20"/>
  <c r="AAN172" i="20"/>
  <c r="AAM172" i="20"/>
  <c r="AAL172" i="20"/>
  <c r="AAK172" i="20"/>
  <c r="AAJ172" i="20"/>
  <c r="AAI172" i="20"/>
  <c r="AAH172" i="20"/>
  <c r="AAG172" i="20"/>
  <c r="AAF172" i="20"/>
  <c r="AAE172" i="20"/>
  <c r="AAD172" i="20"/>
  <c r="AAC172" i="20"/>
  <c r="AAB172" i="20"/>
  <c r="AAA172" i="20"/>
  <c r="ZZ172" i="20"/>
  <c r="ZY172" i="20"/>
  <c r="ZX172" i="20"/>
  <c r="ZW172" i="20"/>
  <c r="ZV172" i="20"/>
  <c r="ZU172" i="20"/>
  <c r="ZT172" i="20"/>
  <c r="ZS172" i="20"/>
  <c r="ZR172" i="20"/>
  <c r="ZQ172" i="20"/>
  <c r="ZP172" i="20"/>
  <c r="ZO172" i="20"/>
  <c r="ZN172" i="20"/>
  <c r="ZM172" i="20"/>
  <c r="ZL172" i="20"/>
  <c r="ZK172" i="20"/>
  <c r="ZJ172" i="20"/>
  <c r="ZI172" i="20"/>
  <c r="ZH172" i="20"/>
  <c r="ZG172" i="20"/>
  <c r="ZF172" i="20"/>
  <c r="ZE172" i="20"/>
  <c r="ZD172" i="20"/>
  <c r="ZC172" i="20"/>
  <c r="ZB172" i="20"/>
  <c r="ZA172" i="20"/>
  <c r="YZ172" i="20"/>
  <c r="YY172" i="20"/>
  <c r="YX172" i="20"/>
  <c r="YW172" i="20"/>
  <c r="YV172" i="20"/>
  <c r="YU172" i="20"/>
  <c r="YT172" i="20"/>
  <c r="YS172" i="20"/>
  <c r="YR172" i="20"/>
  <c r="YQ172" i="20"/>
  <c r="YP172" i="20"/>
  <c r="YO172" i="20"/>
  <c r="YN172" i="20"/>
  <c r="YM172" i="20"/>
  <c r="YL172" i="20"/>
  <c r="YK172" i="20"/>
  <c r="YJ172" i="20"/>
  <c r="YI172" i="20"/>
  <c r="YH172" i="20"/>
  <c r="YG172" i="20"/>
  <c r="YF172" i="20"/>
  <c r="YE172" i="20"/>
  <c r="YD172" i="20"/>
  <c r="YC172" i="20"/>
  <c r="YB172" i="20"/>
  <c r="YA172" i="20"/>
  <c r="XZ172" i="20"/>
  <c r="XY172" i="20"/>
  <c r="XX172" i="20"/>
  <c r="XW172" i="20"/>
  <c r="XV172" i="20"/>
  <c r="XU172" i="20"/>
  <c r="XT172" i="20"/>
  <c r="XS172" i="20"/>
  <c r="XR172" i="20"/>
  <c r="XQ172" i="20"/>
  <c r="XP172" i="20"/>
  <c r="XO172" i="20"/>
  <c r="XN172" i="20"/>
  <c r="XM172" i="20"/>
  <c r="XL172" i="20"/>
  <c r="XK172" i="20"/>
  <c r="XJ172" i="20"/>
  <c r="XI172" i="20"/>
  <c r="XH172" i="20"/>
  <c r="XG172" i="20"/>
  <c r="XF172" i="20"/>
  <c r="XE172" i="20"/>
  <c r="XD172" i="20"/>
  <c r="XC172" i="20"/>
  <c r="XB172" i="20"/>
  <c r="XA172" i="20"/>
  <c r="WZ172" i="20"/>
  <c r="WY172" i="20"/>
  <c r="WX172" i="20"/>
  <c r="WW172" i="20"/>
  <c r="WV172" i="20"/>
  <c r="WU172" i="20"/>
  <c r="WT172" i="20"/>
  <c r="WS172" i="20"/>
  <c r="WR172" i="20"/>
  <c r="WQ172" i="20"/>
  <c r="WP172" i="20"/>
  <c r="WO172" i="20"/>
  <c r="WN172" i="20"/>
  <c r="WM172" i="20"/>
  <c r="WL172" i="20"/>
  <c r="WK172" i="20"/>
  <c r="WJ172" i="20"/>
  <c r="WI172" i="20"/>
  <c r="WH172" i="20"/>
  <c r="WG172" i="20"/>
  <c r="WF172" i="20"/>
  <c r="WE172" i="20"/>
  <c r="WD172" i="20"/>
  <c r="WC172" i="20"/>
  <c r="WB172" i="20"/>
  <c r="WA172" i="20"/>
  <c r="VZ172" i="20"/>
  <c r="VY172" i="20"/>
  <c r="VX172" i="20"/>
  <c r="VW172" i="20"/>
  <c r="VV172" i="20"/>
  <c r="VU172" i="20"/>
  <c r="VT172" i="20"/>
  <c r="VS172" i="20"/>
  <c r="VR172" i="20"/>
  <c r="VQ172" i="20"/>
  <c r="VP172" i="20"/>
  <c r="VO172" i="20"/>
  <c r="VN172" i="20"/>
  <c r="VM172" i="20"/>
  <c r="VL172" i="20"/>
  <c r="VK172" i="20"/>
  <c r="VJ172" i="20"/>
  <c r="VI172" i="20"/>
  <c r="VH172" i="20"/>
  <c r="VG172" i="20"/>
  <c r="VF172" i="20"/>
  <c r="VE172" i="20"/>
  <c r="VD172" i="20"/>
  <c r="VC172" i="20"/>
  <c r="VB172" i="20"/>
  <c r="VA172" i="20"/>
  <c r="UZ172" i="20"/>
  <c r="UY172" i="20"/>
  <c r="UX172" i="20"/>
  <c r="UW172" i="20"/>
  <c r="UV172" i="20"/>
  <c r="UU172" i="20"/>
  <c r="UT172" i="20"/>
  <c r="US172" i="20"/>
  <c r="UR172" i="20"/>
  <c r="UQ172" i="20"/>
  <c r="UP172" i="20"/>
  <c r="UO172" i="20"/>
  <c r="UN172" i="20"/>
  <c r="UM172" i="20"/>
  <c r="UL172" i="20"/>
  <c r="UK172" i="20"/>
  <c r="UJ172" i="20"/>
  <c r="UI172" i="20"/>
  <c r="UH172" i="20"/>
  <c r="UG172" i="20"/>
  <c r="UF172" i="20"/>
  <c r="UE172" i="20"/>
  <c r="UD172" i="20"/>
  <c r="UC172" i="20"/>
  <c r="UB172" i="20"/>
  <c r="UA172" i="20"/>
  <c r="TZ172" i="20"/>
  <c r="TY172" i="20"/>
  <c r="TX172" i="20"/>
  <c r="TW172" i="20"/>
  <c r="TV172" i="20"/>
  <c r="TU172" i="20"/>
  <c r="TT172" i="20"/>
  <c r="TS172" i="20"/>
  <c r="TR172" i="20"/>
  <c r="TQ172" i="20"/>
  <c r="TP172" i="20"/>
  <c r="TO172" i="20"/>
  <c r="TN172" i="20"/>
  <c r="TM172" i="20"/>
  <c r="TL172" i="20"/>
  <c r="TK172" i="20"/>
  <c r="TJ172" i="20"/>
  <c r="TI172" i="20"/>
  <c r="TH172" i="20"/>
  <c r="TG172" i="20"/>
  <c r="TF172" i="20"/>
  <c r="TE172" i="20"/>
  <c r="TD172" i="20"/>
  <c r="TC172" i="20"/>
  <c r="TB172" i="20"/>
  <c r="TA172" i="20"/>
  <c r="SZ172" i="20"/>
  <c r="SY172" i="20"/>
  <c r="SX172" i="20"/>
  <c r="SW172" i="20"/>
  <c r="SV172" i="20"/>
  <c r="SU172" i="20"/>
  <c r="ST172" i="20"/>
  <c r="SS172" i="20"/>
  <c r="SR172" i="20"/>
  <c r="SQ172" i="20"/>
  <c r="SP172" i="20"/>
  <c r="SO172" i="20"/>
  <c r="SN172" i="20"/>
  <c r="SM172" i="20"/>
  <c r="SL172" i="20"/>
  <c r="SK172" i="20"/>
  <c r="SJ172" i="20"/>
  <c r="SI172" i="20"/>
  <c r="SH172" i="20"/>
  <c r="SG172" i="20"/>
  <c r="SF172" i="20"/>
  <c r="SE172" i="20"/>
  <c r="SD172" i="20"/>
  <c r="SC172" i="20"/>
  <c r="SB172" i="20"/>
  <c r="SA172" i="20"/>
  <c r="RZ172" i="20"/>
  <c r="RY172" i="20"/>
  <c r="RX172" i="20"/>
  <c r="RW172" i="20"/>
  <c r="RV172" i="20"/>
  <c r="RU172" i="20"/>
  <c r="RT172" i="20"/>
  <c r="RS172" i="20"/>
  <c r="RR172" i="20"/>
  <c r="RQ172" i="20"/>
  <c r="RP172" i="20"/>
  <c r="RO172" i="20"/>
  <c r="RN172" i="20"/>
  <c r="RM172" i="20"/>
  <c r="RL172" i="20"/>
  <c r="RK172" i="20"/>
  <c r="RJ172" i="20"/>
  <c r="RI172" i="20"/>
  <c r="RH172" i="20"/>
  <c r="RG172" i="20"/>
  <c r="RF172" i="20"/>
  <c r="RE172" i="20"/>
  <c r="RD172" i="20"/>
  <c r="RC172" i="20"/>
  <c r="RB172" i="20"/>
  <c r="RA172" i="20"/>
  <c r="QZ172" i="20"/>
  <c r="QY172" i="20"/>
  <c r="QX172" i="20"/>
  <c r="QW172" i="20"/>
  <c r="QV172" i="20"/>
  <c r="QU172" i="20"/>
  <c r="QT172" i="20"/>
  <c r="QS172" i="20"/>
  <c r="QR172" i="20"/>
  <c r="QQ172" i="20"/>
  <c r="QP172" i="20"/>
  <c r="QO172" i="20"/>
  <c r="QN172" i="20"/>
  <c r="QM172" i="20"/>
  <c r="QL172" i="20"/>
  <c r="QK172" i="20"/>
  <c r="QJ172" i="20"/>
  <c r="QI172" i="20"/>
  <c r="QH172" i="20"/>
  <c r="QG172" i="20"/>
  <c r="QF172" i="20"/>
  <c r="QE172" i="20"/>
  <c r="QD172" i="20"/>
  <c r="QC172" i="20"/>
  <c r="QB172" i="20"/>
  <c r="QA172" i="20"/>
  <c r="PZ172" i="20"/>
  <c r="PY172" i="20"/>
  <c r="PX172" i="20"/>
  <c r="PW172" i="20"/>
  <c r="PV172" i="20"/>
  <c r="PU172" i="20"/>
  <c r="PT172" i="20"/>
  <c r="PS172" i="20"/>
  <c r="PR172" i="20"/>
  <c r="PQ172" i="20"/>
  <c r="PP172" i="20"/>
  <c r="PO172" i="20"/>
  <c r="PN172" i="20"/>
  <c r="PM172" i="20"/>
  <c r="PL172" i="20"/>
  <c r="PK172" i="20"/>
  <c r="PJ172" i="20"/>
  <c r="PI172" i="20"/>
  <c r="PH172" i="20"/>
  <c r="PG172" i="20"/>
  <c r="PF172" i="20"/>
  <c r="PE172" i="20"/>
  <c r="PD172" i="20"/>
  <c r="PC172" i="20"/>
  <c r="PB172" i="20"/>
  <c r="PA172" i="20"/>
  <c r="OZ172" i="20"/>
  <c r="OY172" i="20"/>
  <c r="OX172" i="20"/>
  <c r="OW172" i="20"/>
  <c r="OV172" i="20"/>
  <c r="OU172" i="20"/>
  <c r="OT172" i="20"/>
  <c r="OS172" i="20"/>
  <c r="OR172" i="20"/>
  <c r="OQ172" i="20"/>
  <c r="OP172" i="20"/>
  <c r="OO172" i="20"/>
  <c r="ON172" i="20"/>
  <c r="OM172" i="20"/>
  <c r="OL172" i="20"/>
  <c r="OK172" i="20"/>
  <c r="OJ172" i="20"/>
  <c r="OI172" i="20"/>
  <c r="OH172" i="20"/>
  <c r="OG172" i="20"/>
  <c r="OF172" i="20"/>
  <c r="OE172" i="20"/>
  <c r="OD172" i="20"/>
  <c r="OC172" i="20"/>
  <c r="OB172" i="20"/>
  <c r="OA172" i="20"/>
  <c r="NZ172" i="20"/>
  <c r="NY172" i="20"/>
  <c r="NX172" i="20"/>
  <c r="NW172" i="20"/>
  <c r="NV172" i="20"/>
  <c r="NU172" i="20"/>
  <c r="NT172" i="20"/>
  <c r="NS172" i="20"/>
  <c r="NR172" i="20"/>
  <c r="NQ172" i="20"/>
  <c r="NP172" i="20"/>
  <c r="NO172" i="20"/>
  <c r="NN172" i="20"/>
  <c r="NM172" i="20"/>
  <c r="NL172" i="20"/>
  <c r="NK172" i="20"/>
  <c r="NJ172" i="20"/>
  <c r="NI172" i="20"/>
  <c r="NH172" i="20"/>
  <c r="NG172" i="20"/>
  <c r="NF172" i="20"/>
  <c r="NE172" i="20"/>
  <c r="ND172" i="20"/>
  <c r="NC172" i="20"/>
  <c r="NB172" i="20"/>
  <c r="NA172" i="20"/>
  <c r="MZ172" i="20"/>
  <c r="MY172" i="20"/>
  <c r="MX172" i="20"/>
  <c r="MW172" i="20"/>
  <c r="MV172" i="20"/>
  <c r="MU172" i="20"/>
  <c r="MT172" i="20"/>
  <c r="MS172" i="20"/>
  <c r="MR172" i="20"/>
  <c r="MQ172" i="20"/>
  <c r="MP172" i="20"/>
  <c r="MO172" i="20"/>
  <c r="MN172" i="20"/>
  <c r="MM172" i="20"/>
  <c r="ML172" i="20"/>
  <c r="MK172" i="20"/>
  <c r="MJ172" i="20"/>
  <c r="MI172" i="20"/>
  <c r="MH172" i="20"/>
  <c r="MG172" i="20"/>
  <c r="MF172" i="20"/>
  <c r="ME172" i="20"/>
  <c r="MD172" i="20"/>
  <c r="MC172" i="20"/>
  <c r="MB172" i="20"/>
  <c r="MA172" i="20"/>
  <c r="LZ172" i="20"/>
  <c r="LY172" i="20"/>
  <c r="LX172" i="20"/>
  <c r="LW172" i="20"/>
  <c r="LV172" i="20"/>
  <c r="LU172" i="20"/>
  <c r="LT172" i="20"/>
  <c r="LS172" i="20"/>
  <c r="LR172" i="20"/>
  <c r="LQ172" i="20"/>
  <c r="LP172" i="20"/>
  <c r="LO172" i="20"/>
  <c r="LN172" i="20"/>
  <c r="LM172" i="20"/>
  <c r="LL172" i="20"/>
  <c r="LK172" i="20"/>
  <c r="LJ172" i="20"/>
  <c r="LI172" i="20"/>
  <c r="LH172" i="20"/>
  <c r="LG172" i="20"/>
  <c r="LF172" i="20"/>
  <c r="LE172" i="20"/>
  <c r="LD172" i="20"/>
  <c r="LC172" i="20"/>
  <c r="LB172" i="20"/>
  <c r="LA172" i="20"/>
  <c r="KZ172" i="20"/>
  <c r="KY172" i="20"/>
  <c r="KX172" i="20"/>
  <c r="KW172" i="20"/>
  <c r="KV172" i="20"/>
  <c r="KU172" i="20"/>
  <c r="KT172" i="20"/>
  <c r="KS172" i="20"/>
  <c r="KR172" i="20"/>
  <c r="KQ172" i="20"/>
  <c r="KP172" i="20"/>
  <c r="KO172" i="20"/>
  <c r="KN172" i="20"/>
  <c r="KM172" i="20"/>
  <c r="KL172" i="20"/>
  <c r="KK172" i="20"/>
  <c r="KJ172" i="20"/>
  <c r="KI172" i="20"/>
  <c r="KH172" i="20"/>
  <c r="KG172" i="20"/>
  <c r="KF172" i="20"/>
  <c r="KE172" i="20"/>
  <c r="KD172" i="20"/>
  <c r="KC172" i="20"/>
  <c r="KB172" i="20"/>
  <c r="KA172" i="20"/>
  <c r="JZ172" i="20"/>
  <c r="JY172" i="20"/>
  <c r="JX172" i="20"/>
  <c r="JW172" i="20"/>
  <c r="JV172" i="20"/>
  <c r="JU172" i="20"/>
  <c r="JT172" i="20"/>
  <c r="JS172" i="20"/>
  <c r="JR172" i="20"/>
  <c r="JQ172" i="20"/>
  <c r="JP172" i="20"/>
  <c r="JO172" i="20"/>
  <c r="JN172" i="20"/>
  <c r="JM172" i="20"/>
  <c r="JL172" i="20"/>
  <c r="JK172" i="20"/>
  <c r="JJ172" i="20"/>
  <c r="JI172" i="20"/>
  <c r="JH172" i="20"/>
  <c r="JG172" i="20"/>
  <c r="JF172" i="20"/>
  <c r="JE172" i="20"/>
  <c r="JD172" i="20"/>
  <c r="JC172" i="20"/>
  <c r="JB172" i="20"/>
  <c r="JA172" i="20"/>
  <c r="IZ172" i="20"/>
  <c r="IY172" i="20"/>
  <c r="IX172" i="20"/>
  <c r="IW172" i="20"/>
  <c r="IV172" i="20"/>
  <c r="IU172" i="20"/>
  <c r="IT172" i="20"/>
  <c r="IS172" i="20"/>
  <c r="IR172" i="20"/>
  <c r="IQ172" i="20"/>
  <c r="IP172" i="20"/>
  <c r="IO172" i="20"/>
  <c r="IN172" i="20"/>
  <c r="IM172" i="20"/>
  <c r="IL172" i="20"/>
  <c r="IK172" i="20"/>
  <c r="IJ172" i="20"/>
  <c r="II172" i="20"/>
  <c r="IH172" i="20"/>
  <c r="IG172" i="20"/>
  <c r="IF172" i="20"/>
  <c r="IE172" i="20"/>
  <c r="ID172" i="20"/>
  <c r="IC172" i="20"/>
  <c r="IB172" i="20"/>
  <c r="IA172" i="20"/>
  <c r="HZ172" i="20"/>
  <c r="HY172" i="20"/>
  <c r="HX172" i="20"/>
  <c r="HW172" i="20"/>
  <c r="HV172" i="20"/>
  <c r="HU172" i="20"/>
  <c r="HT172" i="20"/>
  <c r="HS172" i="20"/>
  <c r="HR172" i="20"/>
  <c r="HQ172" i="20"/>
  <c r="HP172" i="20"/>
  <c r="HO172" i="20"/>
  <c r="HN172" i="20"/>
  <c r="HM172" i="20"/>
  <c r="HL172" i="20"/>
  <c r="HK172" i="20"/>
  <c r="HJ172" i="20"/>
  <c r="HI172" i="20"/>
  <c r="HH172" i="20"/>
  <c r="HG172" i="20"/>
  <c r="HF172" i="20"/>
  <c r="HE172" i="20"/>
  <c r="HD172" i="20"/>
  <c r="HC172" i="20"/>
  <c r="HB172" i="20"/>
  <c r="HA172" i="20"/>
  <c r="GZ172" i="20"/>
  <c r="GY172" i="20"/>
  <c r="GX172" i="20"/>
  <c r="GW172" i="20"/>
  <c r="GV172" i="20"/>
  <c r="GU172" i="20"/>
  <c r="GT172" i="20"/>
  <c r="GS172" i="20"/>
  <c r="GR172" i="20"/>
  <c r="GQ172" i="20"/>
  <c r="GP172" i="20"/>
  <c r="GO172" i="20"/>
  <c r="GN172" i="20"/>
  <c r="GM172" i="20"/>
  <c r="GL172" i="20"/>
  <c r="GK172" i="20"/>
  <c r="GJ172" i="20"/>
  <c r="GI172" i="20"/>
  <c r="GH172" i="20"/>
  <c r="GG172" i="20"/>
  <c r="GF172" i="20"/>
  <c r="GE172" i="20"/>
  <c r="GD172" i="20"/>
  <c r="GC172" i="20"/>
  <c r="GB172" i="20"/>
  <c r="GA172" i="20"/>
  <c r="FZ172" i="20"/>
  <c r="FY172" i="20"/>
  <c r="FX172" i="20"/>
  <c r="FW172" i="20"/>
  <c r="FV172" i="20"/>
  <c r="FU172" i="20"/>
  <c r="FT172" i="20"/>
  <c r="FS172" i="20"/>
  <c r="FR172" i="20"/>
  <c r="FQ172" i="20"/>
  <c r="FP172" i="20"/>
  <c r="FO172" i="20"/>
  <c r="FN172" i="20"/>
  <c r="FM172" i="20"/>
  <c r="FL172" i="20"/>
  <c r="FK172" i="20"/>
  <c r="FJ172" i="20"/>
  <c r="FI172" i="20"/>
  <c r="FH172" i="20"/>
  <c r="FG172" i="20"/>
  <c r="FF172" i="20"/>
  <c r="FE172" i="20"/>
  <c r="FD172" i="20"/>
  <c r="FC172" i="20"/>
  <c r="FB172" i="20"/>
  <c r="FA172" i="20"/>
  <c r="EZ172" i="20"/>
  <c r="EY172" i="20"/>
  <c r="EX172" i="20"/>
  <c r="EW172" i="20"/>
  <c r="EV172" i="20"/>
  <c r="EU172" i="20"/>
  <c r="ET172" i="20"/>
  <c r="ES172" i="20"/>
  <c r="ER172" i="20"/>
  <c r="EQ172" i="20"/>
  <c r="EP172" i="20"/>
  <c r="EO172" i="20"/>
  <c r="EN172" i="20"/>
  <c r="EM172" i="20"/>
  <c r="EL172" i="20"/>
  <c r="EK172" i="20"/>
  <c r="EJ172" i="20"/>
  <c r="EI172" i="20"/>
  <c r="EH172" i="20"/>
  <c r="EG172" i="20"/>
  <c r="EF172" i="20"/>
  <c r="EE172" i="20"/>
  <c r="ED172" i="20"/>
  <c r="EC172" i="20"/>
  <c r="EB172" i="20"/>
  <c r="EA172" i="20"/>
  <c r="DZ172" i="20"/>
  <c r="DY172" i="20"/>
  <c r="DX172" i="20"/>
  <c r="DW172" i="20"/>
  <c r="DV172" i="20"/>
  <c r="DU172" i="20"/>
  <c r="DT172" i="20"/>
  <c r="DS172" i="20"/>
  <c r="DR172" i="20"/>
  <c r="DQ172" i="20"/>
  <c r="DP172" i="20"/>
  <c r="DO172" i="20"/>
  <c r="DN172" i="20"/>
  <c r="DM172" i="20"/>
  <c r="DL172" i="20"/>
  <c r="DK172" i="20"/>
  <c r="DJ172" i="20"/>
  <c r="DI172" i="20"/>
  <c r="DH172" i="20"/>
  <c r="DG172" i="20"/>
  <c r="DF172" i="20"/>
  <c r="DE172" i="20"/>
  <c r="DD172" i="20"/>
  <c r="DC172" i="20"/>
  <c r="DB172" i="20"/>
  <c r="DA172" i="20"/>
  <c r="CZ172" i="20"/>
  <c r="CY172" i="20"/>
  <c r="CX172" i="20"/>
  <c r="CW172" i="20"/>
  <c r="CV172" i="20"/>
  <c r="CU172" i="20"/>
  <c r="CT172" i="20"/>
  <c r="CS172" i="20"/>
  <c r="CR172" i="20"/>
  <c r="CQ172" i="20"/>
  <c r="CP172" i="20"/>
  <c r="CO172" i="20"/>
  <c r="CN172" i="20"/>
  <c r="CM172" i="20"/>
  <c r="CL172" i="20"/>
  <c r="CK172" i="20"/>
  <c r="CJ172" i="20"/>
  <c r="CI172" i="20"/>
  <c r="CH172" i="20"/>
  <c r="CG172" i="20"/>
  <c r="CF172" i="20"/>
  <c r="CE172" i="20"/>
  <c r="CD172" i="20"/>
  <c r="CC172" i="20"/>
  <c r="CB172" i="20"/>
  <c r="CA172" i="20"/>
  <c r="BZ172" i="20"/>
  <c r="BY172" i="20"/>
  <c r="BX172" i="20"/>
  <c r="BW172" i="20"/>
  <c r="BV172" i="20"/>
  <c r="BU172" i="20"/>
  <c r="BT172" i="20"/>
  <c r="BS172" i="20"/>
  <c r="BR172" i="20"/>
  <c r="BQ172" i="20"/>
  <c r="BP172" i="20"/>
  <c r="BO172" i="20"/>
  <c r="BN172" i="20"/>
  <c r="BM172" i="20"/>
  <c r="BL172" i="20"/>
  <c r="BK172" i="20"/>
  <c r="BJ172" i="20"/>
  <c r="BI172" i="20"/>
  <c r="BH172" i="20"/>
  <c r="BG172" i="20"/>
  <c r="BF172" i="20"/>
  <c r="BE172" i="20"/>
  <c r="BD172" i="20"/>
  <c r="BC172" i="20"/>
  <c r="BB172" i="20"/>
  <c r="BA172" i="20"/>
  <c r="AZ172" i="20"/>
  <c r="AY172" i="20"/>
  <c r="AX172" i="20"/>
  <c r="AW172" i="20"/>
  <c r="AV172" i="20"/>
  <c r="AU172" i="20"/>
  <c r="AT172" i="20"/>
  <c r="AS172" i="20"/>
  <c r="AR172" i="20"/>
  <c r="AQ172" i="20"/>
  <c r="AP172" i="20"/>
  <c r="AO172" i="20"/>
  <c r="AN172" i="20"/>
  <c r="AM172" i="20"/>
  <c r="AL172" i="20"/>
  <c r="AK172" i="20"/>
  <c r="AJ172" i="20"/>
  <c r="AI172" i="20"/>
  <c r="AH172" i="20"/>
  <c r="AG172" i="20"/>
  <c r="AF172" i="20"/>
  <c r="AE172" i="20"/>
  <c r="AD172" i="20"/>
  <c r="AC172" i="20"/>
  <c r="AB172" i="20"/>
  <c r="AA172" i="20"/>
  <c r="Z172" i="20"/>
  <c r="Y172" i="20"/>
  <c r="X172" i="20"/>
  <c r="W172" i="20"/>
  <c r="V172" i="20"/>
  <c r="U172" i="20"/>
  <c r="T172" i="20"/>
  <c r="S172" i="20"/>
  <c r="R172" i="20"/>
  <c r="Q172" i="20"/>
  <c r="P172" i="20"/>
  <c r="O172" i="20"/>
  <c r="N172" i="20"/>
  <c r="M172" i="20"/>
  <c r="L172" i="20"/>
  <c r="K172" i="20"/>
  <c r="J172" i="20"/>
  <c r="I172" i="20"/>
  <c r="H172" i="20"/>
  <c r="G172" i="20"/>
  <c r="E250" i="19"/>
  <c r="E121" i="23" s="1"/>
  <c r="E249" i="19"/>
  <c r="E120" i="23" s="1"/>
  <c r="I247" i="19"/>
  <c r="I243" i="19"/>
  <c r="K241" i="19"/>
  <c r="J232" i="19"/>
  <c r="BB231" i="19"/>
  <c r="BB232" i="19" s="1"/>
  <c r="BA231" i="19"/>
  <c r="BA232" i="19" s="1"/>
  <c r="AZ231" i="19"/>
  <c r="AZ232" i="19" s="1"/>
  <c r="D226" i="19"/>
  <c r="D225" i="19"/>
  <c r="K224" i="19"/>
  <c r="D224" i="19"/>
  <c r="K223" i="19"/>
  <c r="D223" i="19"/>
  <c r="AY220" i="19"/>
  <c r="J220" i="19"/>
  <c r="K219" i="19"/>
  <c r="G11" i="22" s="1"/>
  <c r="K213" i="19"/>
  <c r="G27" i="22" s="1"/>
  <c r="H24" i="22" s="1"/>
  <c r="I213" i="19"/>
  <c r="J211" i="19"/>
  <c r="J212" i="19" s="1"/>
  <c r="J48" i="19" s="1"/>
  <c r="J210" i="19"/>
  <c r="K204" i="19"/>
  <c r="J204" i="19"/>
  <c r="J206" i="19" s="1"/>
  <c r="K203" i="19" s="1"/>
  <c r="BB203" i="19"/>
  <c r="L203" i="19"/>
  <c r="J203" i="19"/>
  <c r="L196" i="19"/>
  <c r="K196" i="19"/>
  <c r="BB189" i="19"/>
  <c r="K185" i="19"/>
  <c r="L180" i="19" s="1"/>
  <c r="I185" i="19"/>
  <c r="K184" i="19"/>
  <c r="K15" i="19" s="1"/>
  <c r="I184" i="19"/>
  <c r="J180" i="19" s="1"/>
  <c r="I176" i="19"/>
  <c r="J173" i="19"/>
  <c r="I168" i="19"/>
  <c r="J165" i="19"/>
  <c r="J168" i="19" s="1"/>
  <c r="K165" i="19" s="1"/>
  <c r="J164" i="19"/>
  <c r="K164" i="19" s="1"/>
  <c r="L164" i="19" s="1"/>
  <c r="M164" i="19" s="1"/>
  <c r="N164" i="19" s="1"/>
  <c r="O164" i="19" s="1"/>
  <c r="P164" i="19" s="1"/>
  <c r="Q164" i="19" s="1"/>
  <c r="R164" i="19" s="1"/>
  <c r="S164" i="19" s="1"/>
  <c r="T164" i="19" s="1"/>
  <c r="U164" i="19" s="1"/>
  <c r="V164" i="19" s="1"/>
  <c r="W164" i="19" s="1"/>
  <c r="X164" i="19" s="1"/>
  <c r="Y164" i="19" s="1"/>
  <c r="Z164" i="19" s="1"/>
  <c r="AA164" i="19" s="1"/>
  <c r="AB164" i="19" s="1"/>
  <c r="AC164" i="19" s="1"/>
  <c r="AD164" i="19" s="1"/>
  <c r="AE164" i="19" s="1"/>
  <c r="AF164" i="19" s="1"/>
  <c r="AG164" i="19" s="1"/>
  <c r="AH164" i="19" s="1"/>
  <c r="AI164" i="19" s="1"/>
  <c r="AJ164" i="19" s="1"/>
  <c r="AK164" i="19" s="1"/>
  <c r="AL164" i="19" s="1"/>
  <c r="AM164" i="19" s="1"/>
  <c r="AN164" i="19" s="1"/>
  <c r="AO164" i="19" s="1"/>
  <c r="AP164" i="19" s="1"/>
  <c r="AQ164" i="19" s="1"/>
  <c r="AR164" i="19" s="1"/>
  <c r="AS164" i="19" s="1"/>
  <c r="AT164" i="19" s="1"/>
  <c r="AU164" i="19" s="1"/>
  <c r="AV164" i="19" s="1"/>
  <c r="AW164" i="19" s="1"/>
  <c r="AX164" i="19" s="1"/>
  <c r="AY164" i="19" s="1"/>
  <c r="AZ164" i="19" s="1"/>
  <c r="BA164" i="19" s="1"/>
  <c r="BB164" i="19" s="1"/>
  <c r="BC164" i="19" s="1"/>
  <c r="BD164" i="19" s="1"/>
  <c r="BE164" i="19" s="1"/>
  <c r="BF164" i="19" s="1"/>
  <c r="BG164" i="19" s="1"/>
  <c r="BH164" i="19" s="1"/>
  <c r="BI164" i="19" s="1"/>
  <c r="BJ164" i="19" s="1"/>
  <c r="BK164" i="19" s="1"/>
  <c r="BL164" i="19" s="1"/>
  <c r="BM164" i="19" s="1"/>
  <c r="BN164" i="19" s="1"/>
  <c r="BO164" i="19" s="1"/>
  <c r="BP164" i="19" s="1"/>
  <c r="BQ164" i="19" s="1"/>
  <c r="BR164" i="19" s="1"/>
  <c r="BS164" i="19" s="1"/>
  <c r="BT164" i="19" s="1"/>
  <c r="BU164" i="19" s="1"/>
  <c r="BV164" i="19" s="1"/>
  <c r="BW164" i="19" s="1"/>
  <c r="BX164" i="19" s="1"/>
  <c r="BY164" i="19" s="1"/>
  <c r="BZ164" i="19" s="1"/>
  <c r="CA164" i="19" s="1"/>
  <c r="CB164" i="19" s="1"/>
  <c r="CC164" i="19" s="1"/>
  <c r="CD164" i="19" s="1"/>
  <c r="CE164" i="19" s="1"/>
  <c r="CF164" i="19" s="1"/>
  <c r="CG164" i="19" s="1"/>
  <c r="CH164" i="19" s="1"/>
  <c r="CI164" i="19" s="1"/>
  <c r="CJ164" i="19" s="1"/>
  <c r="CK164" i="19" s="1"/>
  <c r="CL164" i="19" s="1"/>
  <c r="CM164" i="19" s="1"/>
  <c r="CN164" i="19" s="1"/>
  <c r="CO164" i="19" s="1"/>
  <c r="CP164" i="19" s="1"/>
  <c r="CQ164" i="19" s="1"/>
  <c r="CR164" i="19" s="1"/>
  <c r="CS164" i="19" s="1"/>
  <c r="CT164" i="19" s="1"/>
  <c r="CU164" i="19" s="1"/>
  <c r="CV164" i="19" s="1"/>
  <c r="CW164" i="19" s="1"/>
  <c r="CX164" i="19" s="1"/>
  <c r="CY164" i="19" s="1"/>
  <c r="CZ164" i="19" s="1"/>
  <c r="DA164" i="19" s="1"/>
  <c r="DB164" i="19" s="1"/>
  <c r="DC164" i="19" s="1"/>
  <c r="DD164" i="19" s="1"/>
  <c r="DE164" i="19" s="1"/>
  <c r="DF164" i="19" s="1"/>
  <c r="DG164" i="19" s="1"/>
  <c r="DH164" i="19" s="1"/>
  <c r="DI164" i="19" s="1"/>
  <c r="DJ164" i="19" s="1"/>
  <c r="DK164" i="19" s="1"/>
  <c r="DL164" i="19" s="1"/>
  <c r="DM164" i="19" s="1"/>
  <c r="DN164" i="19" s="1"/>
  <c r="DO164" i="19" s="1"/>
  <c r="DP164" i="19" s="1"/>
  <c r="DQ164" i="19" s="1"/>
  <c r="DR164" i="19" s="1"/>
  <c r="DS164" i="19" s="1"/>
  <c r="DT164" i="19" s="1"/>
  <c r="DU164" i="19" s="1"/>
  <c r="DV164" i="19" s="1"/>
  <c r="DW164" i="19" s="1"/>
  <c r="DX164" i="19" s="1"/>
  <c r="DY164" i="19" s="1"/>
  <c r="DZ164" i="19" s="1"/>
  <c r="EA164" i="19" s="1"/>
  <c r="EB164" i="19" s="1"/>
  <c r="EC164" i="19" s="1"/>
  <c r="ED164" i="19" s="1"/>
  <c r="EE164" i="19" s="1"/>
  <c r="EF164" i="19" s="1"/>
  <c r="EG164" i="19" s="1"/>
  <c r="EH164" i="19" s="1"/>
  <c r="EI164" i="19" s="1"/>
  <c r="EJ164" i="19" s="1"/>
  <c r="EK164" i="19" s="1"/>
  <c r="EL164" i="19" s="1"/>
  <c r="EM164" i="19" s="1"/>
  <c r="EN164" i="19" s="1"/>
  <c r="EO164" i="19" s="1"/>
  <c r="EP164" i="19" s="1"/>
  <c r="EQ164" i="19" s="1"/>
  <c r="ER164" i="19" s="1"/>
  <c r="ES164" i="19" s="1"/>
  <c r="ET164" i="19" s="1"/>
  <c r="EU164" i="19" s="1"/>
  <c r="EV164" i="19" s="1"/>
  <c r="EW164" i="19" s="1"/>
  <c r="EX164" i="19" s="1"/>
  <c r="EY164" i="19" s="1"/>
  <c r="EZ164" i="19" s="1"/>
  <c r="FA164" i="19" s="1"/>
  <c r="FB164" i="19" s="1"/>
  <c r="FC164" i="19" s="1"/>
  <c r="FD164" i="19" s="1"/>
  <c r="FE164" i="19" s="1"/>
  <c r="FF164" i="19" s="1"/>
  <c r="FG164" i="19" s="1"/>
  <c r="FH164" i="19" s="1"/>
  <c r="FI164" i="19" s="1"/>
  <c r="FJ164" i="19" s="1"/>
  <c r="FK164" i="19" s="1"/>
  <c r="FL164" i="19" s="1"/>
  <c r="FM164" i="19" s="1"/>
  <c r="FN164" i="19" s="1"/>
  <c r="FO164" i="19" s="1"/>
  <c r="FP164" i="19" s="1"/>
  <c r="FQ164" i="19" s="1"/>
  <c r="L150" i="19"/>
  <c r="J150" i="19"/>
  <c r="I146" i="19"/>
  <c r="L143" i="19"/>
  <c r="J143" i="19"/>
  <c r="I138" i="19"/>
  <c r="E137" i="19"/>
  <c r="O137" i="19" s="1"/>
  <c r="J134" i="19"/>
  <c r="K134" i="19" s="1"/>
  <c r="L134" i="19" s="1"/>
  <c r="M134" i="19" s="1"/>
  <c r="N134" i="19" s="1"/>
  <c r="O134" i="19" s="1"/>
  <c r="P134" i="19" s="1"/>
  <c r="Q134" i="19" s="1"/>
  <c r="R134" i="19" s="1"/>
  <c r="S134" i="19" s="1"/>
  <c r="T134" i="19" s="1"/>
  <c r="U134" i="19" s="1"/>
  <c r="V134" i="19" s="1"/>
  <c r="W134" i="19" s="1"/>
  <c r="X134" i="19" s="1"/>
  <c r="Y134" i="19" s="1"/>
  <c r="Z134" i="19" s="1"/>
  <c r="AA134" i="19" s="1"/>
  <c r="AB134" i="19" s="1"/>
  <c r="AC134" i="19" s="1"/>
  <c r="AD134" i="19" s="1"/>
  <c r="AE134" i="19" s="1"/>
  <c r="AF134" i="19" s="1"/>
  <c r="AG134" i="19" s="1"/>
  <c r="AH134" i="19" s="1"/>
  <c r="AI134" i="19" s="1"/>
  <c r="AJ134" i="19" s="1"/>
  <c r="AK134" i="19" s="1"/>
  <c r="AL134" i="19" s="1"/>
  <c r="AM134" i="19" s="1"/>
  <c r="AN134" i="19" s="1"/>
  <c r="AO134" i="19" s="1"/>
  <c r="AP134" i="19" s="1"/>
  <c r="AQ134" i="19" s="1"/>
  <c r="AR134" i="19" s="1"/>
  <c r="AS134" i="19" s="1"/>
  <c r="AT134" i="19" s="1"/>
  <c r="AU134" i="19" s="1"/>
  <c r="AV134" i="19" s="1"/>
  <c r="AW134" i="19" s="1"/>
  <c r="AX134" i="19" s="1"/>
  <c r="AY134" i="19" s="1"/>
  <c r="AZ134" i="19" s="1"/>
  <c r="BA134" i="19" s="1"/>
  <c r="BB134" i="19" s="1"/>
  <c r="BC134" i="19" s="1"/>
  <c r="BD134" i="19" s="1"/>
  <c r="BE134" i="19" s="1"/>
  <c r="BF134" i="19" s="1"/>
  <c r="BG134" i="19" s="1"/>
  <c r="BH134" i="19" s="1"/>
  <c r="BI134" i="19" s="1"/>
  <c r="BJ134" i="19" s="1"/>
  <c r="BK134" i="19" s="1"/>
  <c r="BL134" i="19" s="1"/>
  <c r="BM134" i="19" s="1"/>
  <c r="BN134" i="19" s="1"/>
  <c r="BO134" i="19" s="1"/>
  <c r="BP134" i="19" s="1"/>
  <c r="BQ134" i="19" s="1"/>
  <c r="BR134" i="19" s="1"/>
  <c r="BS134" i="19" s="1"/>
  <c r="BT134" i="19" s="1"/>
  <c r="BU134" i="19" s="1"/>
  <c r="BV134" i="19" s="1"/>
  <c r="BW134" i="19" s="1"/>
  <c r="BX134" i="19" s="1"/>
  <c r="BY134" i="19" s="1"/>
  <c r="BZ134" i="19" s="1"/>
  <c r="CA134" i="19" s="1"/>
  <c r="CB134" i="19" s="1"/>
  <c r="CC134" i="19" s="1"/>
  <c r="CD134" i="19" s="1"/>
  <c r="CE134" i="19" s="1"/>
  <c r="CF134" i="19" s="1"/>
  <c r="CG134" i="19" s="1"/>
  <c r="CH134" i="19" s="1"/>
  <c r="CI134" i="19" s="1"/>
  <c r="CJ134" i="19" s="1"/>
  <c r="CK134" i="19" s="1"/>
  <c r="CL134" i="19" s="1"/>
  <c r="CM134" i="19" s="1"/>
  <c r="CN134" i="19" s="1"/>
  <c r="CO134" i="19" s="1"/>
  <c r="CP134" i="19" s="1"/>
  <c r="CQ134" i="19" s="1"/>
  <c r="CR134" i="19" s="1"/>
  <c r="CS134" i="19" s="1"/>
  <c r="CT134" i="19" s="1"/>
  <c r="CU134" i="19" s="1"/>
  <c r="CV134" i="19" s="1"/>
  <c r="CW134" i="19" s="1"/>
  <c r="CX134" i="19" s="1"/>
  <c r="CY134" i="19" s="1"/>
  <c r="CZ134" i="19" s="1"/>
  <c r="DA134" i="19" s="1"/>
  <c r="DB134" i="19" s="1"/>
  <c r="DC134" i="19" s="1"/>
  <c r="DD134" i="19" s="1"/>
  <c r="DE134" i="19" s="1"/>
  <c r="DF134" i="19" s="1"/>
  <c r="DG134" i="19" s="1"/>
  <c r="DH134" i="19" s="1"/>
  <c r="DI134" i="19" s="1"/>
  <c r="DJ134" i="19" s="1"/>
  <c r="DK134" i="19" s="1"/>
  <c r="DL134" i="19" s="1"/>
  <c r="DM134" i="19" s="1"/>
  <c r="DN134" i="19" s="1"/>
  <c r="DO134" i="19" s="1"/>
  <c r="DP134" i="19" s="1"/>
  <c r="DQ134" i="19" s="1"/>
  <c r="DR134" i="19" s="1"/>
  <c r="DS134" i="19" s="1"/>
  <c r="DT134" i="19" s="1"/>
  <c r="DU134" i="19" s="1"/>
  <c r="DV134" i="19" s="1"/>
  <c r="DW134" i="19" s="1"/>
  <c r="DX134" i="19" s="1"/>
  <c r="DY134" i="19" s="1"/>
  <c r="DZ134" i="19" s="1"/>
  <c r="EA134" i="19" s="1"/>
  <c r="EB134" i="19" s="1"/>
  <c r="EC134" i="19" s="1"/>
  <c r="ED134" i="19" s="1"/>
  <c r="EE134" i="19" s="1"/>
  <c r="EF134" i="19" s="1"/>
  <c r="EG134" i="19" s="1"/>
  <c r="EH134" i="19" s="1"/>
  <c r="EI134" i="19" s="1"/>
  <c r="EJ134" i="19" s="1"/>
  <c r="EK134" i="19" s="1"/>
  <c r="EL134" i="19" s="1"/>
  <c r="EM134" i="19" s="1"/>
  <c r="EN134" i="19" s="1"/>
  <c r="EO134" i="19" s="1"/>
  <c r="EP134" i="19" s="1"/>
  <c r="EQ134" i="19" s="1"/>
  <c r="ER134" i="19" s="1"/>
  <c r="ES134" i="19" s="1"/>
  <c r="ET134" i="19" s="1"/>
  <c r="EU134" i="19" s="1"/>
  <c r="EV134" i="19" s="1"/>
  <c r="EW134" i="19" s="1"/>
  <c r="EX134" i="19" s="1"/>
  <c r="EY134" i="19" s="1"/>
  <c r="EZ134" i="19" s="1"/>
  <c r="FA134" i="19" s="1"/>
  <c r="FB134" i="19" s="1"/>
  <c r="FC134" i="19" s="1"/>
  <c r="FD134" i="19" s="1"/>
  <c r="FE134" i="19" s="1"/>
  <c r="FF134" i="19" s="1"/>
  <c r="FG134" i="19" s="1"/>
  <c r="FH134" i="19" s="1"/>
  <c r="FI134" i="19" s="1"/>
  <c r="FJ134" i="19" s="1"/>
  <c r="FK134" i="19" s="1"/>
  <c r="FL134" i="19" s="1"/>
  <c r="FM134" i="19" s="1"/>
  <c r="FN134" i="19" s="1"/>
  <c r="FO134" i="19" s="1"/>
  <c r="FP134" i="19" s="1"/>
  <c r="FQ134" i="19" s="1"/>
  <c r="D131" i="19"/>
  <c r="K130" i="19"/>
  <c r="BB127" i="19"/>
  <c r="L127" i="19"/>
  <c r="C125" i="19"/>
  <c r="C133" i="19" s="1"/>
  <c r="I123" i="19"/>
  <c r="J120" i="19"/>
  <c r="C118" i="19"/>
  <c r="K116" i="19"/>
  <c r="L113" i="19" s="1"/>
  <c r="I116" i="19"/>
  <c r="J113" i="19"/>
  <c r="J115" i="19" s="1"/>
  <c r="J121" i="19" s="1"/>
  <c r="C111" i="19"/>
  <c r="I109" i="19"/>
  <c r="C104" i="19"/>
  <c r="I102" i="19"/>
  <c r="C97" i="19"/>
  <c r="K88" i="19"/>
  <c r="K13" i="19" s="1"/>
  <c r="I88" i="19"/>
  <c r="J85" i="19" s="1"/>
  <c r="C83" i="19"/>
  <c r="K81" i="19"/>
  <c r="K12" i="19" s="1"/>
  <c r="L12" i="19" s="1"/>
  <c r="M12" i="19" s="1"/>
  <c r="N12" i="19" s="1"/>
  <c r="O12" i="19" s="1"/>
  <c r="P12" i="19" s="1"/>
  <c r="Q12" i="19" s="1"/>
  <c r="R12" i="19" s="1"/>
  <c r="S12" i="19" s="1"/>
  <c r="T12" i="19" s="1"/>
  <c r="U12" i="19" s="1"/>
  <c r="V12" i="19" s="1"/>
  <c r="W12" i="19" s="1"/>
  <c r="X12" i="19" s="1"/>
  <c r="Y12" i="19" s="1"/>
  <c r="Z12" i="19" s="1"/>
  <c r="AA12" i="19" s="1"/>
  <c r="AB12" i="19" s="1"/>
  <c r="AC12" i="19" s="1"/>
  <c r="AD12" i="19" s="1"/>
  <c r="AE12" i="19" s="1"/>
  <c r="AF12" i="19" s="1"/>
  <c r="AG12" i="19" s="1"/>
  <c r="AH12" i="19" s="1"/>
  <c r="AI12" i="19" s="1"/>
  <c r="AJ12" i="19" s="1"/>
  <c r="AK12" i="19" s="1"/>
  <c r="AL12" i="19" s="1"/>
  <c r="AM12" i="19" s="1"/>
  <c r="AN12" i="19" s="1"/>
  <c r="AO12" i="19" s="1"/>
  <c r="AP12" i="19" s="1"/>
  <c r="AQ12" i="19" s="1"/>
  <c r="AR12" i="19" s="1"/>
  <c r="AS12" i="19" s="1"/>
  <c r="AT12" i="19" s="1"/>
  <c r="AU12" i="19" s="1"/>
  <c r="AV12" i="19" s="1"/>
  <c r="AW12" i="19" s="1"/>
  <c r="I81" i="19"/>
  <c r="J78" i="19" s="1"/>
  <c r="J81" i="19" s="1"/>
  <c r="K78" i="19" s="1"/>
  <c r="BB78" i="19"/>
  <c r="C76" i="19"/>
  <c r="I74" i="19"/>
  <c r="J71" i="19" s="1"/>
  <c r="L71" i="19"/>
  <c r="C69" i="19"/>
  <c r="K67" i="19"/>
  <c r="AD50" i="18" s="1"/>
  <c r="I67" i="19"/>
  <c r="J64" i="19" s="1"/>
  <c r="I53" i="19"/>
  <c r="I56" i="19" s="1"/>
  <c r="H53" i="19"/>
  <c r="G53" i="19"/>
  <c r="F53" i="19"/>
  <c r="I51" i="19"/>
  <c r="H51" i="19"/>
  <c r="G51" i="19"/>
  <c r="F51" i="19"/>
  <c r="K50" i="19"/>
  <c r="J49" i="19"/>
  <c r="H48" i="19"/>
  <c r="G48" i="19"/>
  <c r="F48" i="19"/>
  <c r="K47" i="19"/>
  <c r="J47" i="19"/>
  <c r="K231" i="19" s="1"/>
  <c r="K232" i="19" s="1"/>
  <c r="K46" i="19"/>
  <c r="J46" i="19"/>
  <c r="K45" i="19"/>
  <c r="J9" i="6" s="1"/>
  <c r="J45" i="19"/>
  <c r="I44" i="19"/>
  <c r="I192" i="19" s="1"/>
  <c r="J189" i="19" s="1"/>
  <c r="H44" i="19"/>
  <c r="H56" i="19" s="1"/>
  <c r="G44" i="19"/>
  <c r="F44" i="19"/>
  <c r="F56" i="19" s="1"/>
  <c r="K42" i="19"/>
  <c r="L42" i="19" s="1"/>
  <c r="M42" i="19" s="1"/>
  <c r="N42" i="19" s="1"/>
  <c r="O42" i="19" s="1"/>
  <c r="P42" i="19" s="1"/>
  <c r="Q42" i="19" s="1"/>
  <c r="R42" i="19" s="1"/>
  <c r="S42" i="19" s="1"/>
  <c r="T42" i="19" s="1"/>
  <c r="U42" i="19" s="1"/>
  <c r="V42" i="19" s="1"/>
  <c r="W42" i="19" s="1"/>
  <c r="X42" i="19" s="1"/>
  <c r="Y42" i="19" s="1"/>
  <c r="Z42" i="19" s="1"/>
  <c r="AA42" i="19" s="1"/>
  <c r="AB42" i="19" s="1"/>
  <c r="AC42" i="19" s="1"/>
  <c r="AD42" i="19" s="1"/>
  <c r="AE42" i="19" s="1"/>
  <c r="AF42" i="19" s="1"/>
  <c r="AG42" i="19" s="1"/>
  <c r="AH42" i="19" s="1"/>
  <c r="AI42" i="19" s="1"/>
  <c r="AJ42" i="19" s="1"/>
  <c r="AK42" i="19" s="1"/>
  <c r="AL42" i="19" s="1"/>
  <c r="AM42" i="19" s="1"/>
  <c r="AN42" i="19" s="1"/>
  <c r="AO42" i="19" s="1"/>
  <c r="AP42" i="19" s="1"/>
  <c r="AQ42" i="19" s="1"/>
  <c r="AR42" i="19" s="1"/>
  <c r="AS42" i="19" s="1"/>
  <c r="AT42" i="19" s="1"/>
  <c r="AU42" i="19" s="1"/>
  <c r="AV42" i="19" s="1"/>
  <c r="AW42" i="19" s="1"/>
  <c r="J42" i="19"/>
  <c r="P41" i="19"/>
  <c r="Q41" i="19" s="1"/>
  <c r="R41" i="19" s="1"/>
  <c r="S41" i="19" s="1"/>
  <c r="T41" i="19" s="1"/>
  <c r="U41" i="19" s="1"/>
  <c r="V41" i="19" s="1"/>
  <c r="W41" i="19" s="1"/>
  <c r="X41" i="19" s="1"/>
  <c r="Y41" i="19" s="1"/>
  <c r="Z41" i="19" s="1"/>
  <c r="AA41" i="19" s="1"/>
  <c r="AB41" i="19" s="1"/>
  <c r="AC41" i="19" s="1"/>
  <c r="AD41" i="19" s="1"/>
  <c r="AE41" i="19" s="1"/>
  <c r="AF41" i="19" s="1"/>
  <c r="AG41" i="19" s="1"/>
  <c r="AH41" i="19" s="1"/>
  <c r="AI41" i="19" s="1"/>
  <c r="AJ41" i="19" s="1"/>
  <c r="AK41" i="19" s="1"/>
  <c r="AL41" i="19" s="1"/>
  <c r="AM41" i="19" s="1"/>
  <c r="AN41" i="19" s="1"/>
  <c r="AO41" i="19" s="1"/>
  <c r="AP41" i="19" s="1"/>
  <c r="AQ41" i="19" s="1"/>
  <c r="AR41" i="19" s="1"/>
  <c r="AS41" i="19" s="1"/>
  <c r="AT41" i="19" s="1"/>
  <c r="AU41" i="19" s="1"/>
  <c r="AV41" i="19" s="1"/>
  <c r="AW41" i="19" s="1"/>
  <c r="AX41" i="19" s="1"/>
  <c r="L41" i="19"/>
  <c r="M41" i="19" s="1"/>
  <c r="N41" i="19" s="1"/>
  <c r="O41" i="19" s="1"/>
  <c r="J41" i="19"/>
  <c r="K40" i="19"/>
  <c r="J40" i="19"/>
  <c r="K39" i="19"/>
  <c r="J38" i="19"/>
  <c r="H35" i="19"/>
  <c r="G35" i="19"/>
  <c r="F35" i="19"/>
  <c r="K32" i="19"/>
  <c r="J32" i="19"/>
  <c r="I32" i="19"/>
  <c r="I30" i="19" s="1"/>
  <c r="K31" i="19"/>
  <c r="H30" i="19"/>
  <c r="H43" i="19" s="1"/>
  <c r="G30" i="19"/>
  <c r="F30" i="19"/>
  <c r="F43" i="19" s="1"/>
  <c r="J27" i="19"/>
  <c r="J26" i="19" s="1"/>
  <c r="I26" i="19"/>
  <c r="H26" i="19"/>
  <c r="G26" i="19"/>
  <c r="F26" i="19"/>
  <c r="I24" i="19"/>
  <c r="I17" i="19" s="1"/>
  <c r="H24" i="19"/>
  <c r="G24" i="19"/>
  <c r="F24" i="19"/>
  <c r="K23" i="19"/>
  <c r="I19" i="19"/>
  <c r="H19" i="19"/>
  <c r="G19" i="19"/>
  <c r="G17" i="19" s="1"/>
  <c r="F19" i="19"/>
  <c r="F17" i="19" s="1"/>
  <c r="K18" i="19"/>
  <c r="J18" i="19"/>
  <c r="H17" i="19"/>
  <c r="K14" i="19"/>
  <c r="J14" i="19"/>
  <c r="J12" i="19"/>
  <c r="K11" i="19"/>
  <c r="I9" i="19"/>
  <c r="I8" i="19" s="1"/>
  <c r="I29" i="19" s="1"/>
  <c r="H9" i="19"/>
  <c r="G9" i="19"/>
  <c r="G8" i="19" s="1"/>
  <c r="G29" i="19" s="1"/>
  <c r="F9" i="19"/>
  <c r="H8" i="19"/>
  <c r="H29" i="19" s="1"/>
  <c r="F8" i="19"/>
  <c r="F29" i="19" s="1"/>
  <c r="E56" i="18"/>
  <c r="BW52" i="18"/>
  <c r="BW51" i="18"/>
  <c r="BS51" i="18"/>
  <c r="BS52" i="18" s="1"/>
  <c r="BO51" i="18"/>
  <c r="BO52" i="18" s="1"/>
  <c r="V44" i="18"/>
  <c r="U44" i="18"/>
  <c r="T44" i="18"/>
  <c r="S44" i="18"/>
  <c r="R44" i="18"/>
  <c r="R39" i="18" s="1"/>
  <c r="Q44" i="18"/>
  <c r="P44" i="18"/>
  <c r="O44" i="18"/>
  <c r="O39" i="18" s="1"/>
  <c r="N44" i="18"/>
  <c r="M44" i="18"/>
  <c r="L44" i="18"/>
  <c r="K44" i="18"/>
  <c r="K39" i="18" s="1"/>
  <c r="J44" i="18"/>
  <c r="I44" i="18"/>
  <c r="H44" i="18"/>
  <c r="G44" i="18"/>
  <c r="G39" i="18" s="1"/>
  <c r="G33" i="18" s="1"/>
  <c r="C42" i="18"/>
  <c r="C80" i="23" s="1"/>
  <c r="V39" i="18"/>
  <c r="U39" i="18"/>
  <c r="U33" i="18" s="1"/>
  <c r="T39" i="18"/>
  <c r="T33" i="18" s="1"/>
  <c r="S39" i="18"/>
  <c r="Q39" i="18"/>
  <c r="P39" i="18"/>
  <c r="P33" i="18" s="1"/>
  <c r="N39" i="18"/>
  <c r="M39" i="18"/>
  <c r="L39" i="18"/>
  <c r="J39" i="18"/>
  <c r="I39" i="18"/>
  <c r="H39" i="18"/>
  <c r="V34" i="18"/>
  <c r="V33" i="18" s="1"/>
  <c r="U34" i="18"/>
  <c r="T34" i="18"/>
  <c r="S34" i="18"/>
  <c r="S33" i="18" s="1"/>
  <c r="R34" i="18"/>
  <c r="Q34" i="18"/>
  <c r="Q33" i="18" s="1"/>
  <c r="P34" i="18"/>
  <c r="O34" i="18"/>
  <c r="N34" i="18"/>
  <c r="N33" i="18" s="1"/>
  <c r="M34" i="18"/>
  <c r="L34" i="18"/>
  <c r="L33" i="18" s="1"/>
  <c r="K34" i="18"/>
  <c r="J34" i="18"/>
  <c r="I34" i="18"/>
  <c r="I33" i="18" s="1"/>
  <c r="H34" i="18"/>
  <c r="G34" i="18"/>
  <c r="O33" i="18"/>
  <c r="M33" i="18"/>
  <c r="F32" i="18"/>
  <c r="W31" i="18"/>
  <c r="W30" i="18" s="1"/>
  <c r="W27" i="18" s="1"/>
  <c r="V30" i="18"/>
  <c r="U30" i="18"/>
  <c r="T30" i="18"/>
  <c r="S30" i="18"/>
  <c r="R30" i="18"/>
  <c r="R27" i="18" s="1"/>
  <c r="Q30" i="18"/>
  <c r="P30" i="18"/>
  <c r="O30" i="18"/>
  <c r="O27" i="18" s="1"/>
  <c r="N30" i="18"/>
  <c r="N27" i="18" s="1"/>
  <c r="M30" i="18"/>
  <c r="L30" i="18"/>
  <c r="K30" i="18"/>
  <c r="K27" i="18" s="1"/>
  <c r="J30" i="18"/>
  <c r="J27" i="18" s="1"/>
  <c r="I30" i="18"/>
  <c r="H30" i="18"/>
  <c r="H27" i="18" s="1"/>
  <c r="G30" i="18"/>
  <c r="G27" i="18" s="1"/>
  <c r="F29" i="18"/>
  <c r="GD28" i="18"/>
  <c r="GC28" i="18"/>
  <c r="GB28" i="18"/>
  <c r="GA28" i="18"/>
  <c r="FZ28" i="18"/>
  <c r="FY28" i="18"/>
  <c r="FX28" i="18"/>
  <c r="FW28" i="18"/>
  <c r="FV28" i="18"/>
  <c r="FU28" i="18"/>
  <c r="FT28" i="18"/>
  <c r="FS28" i="18"/>
  <c r="FR28" i="18"/>
  <c r="FQ28" i="18"/>
  <c r="FP28" i="18"/>
  <c r="FO28" i="18"/>
  <c r="FN28" i="18"/>
  <c r="FM28" i="18"/>
  <c r="FL28" i="18"/>
  <c r="FK28" i="18"/>
  <c r="FJ28" i="18"/>
  <c r="FI28" i="18"/>
  <c r="FH28" i="18"/>
  <c r="FG28" i="18"/>
  <c r="FF28" i="18"/>
  <c r="FE28" i="18"/>
  <c r="FD28" i="18"/>
  <c r="FC28" i="18"/>
  <c r="FB28" i="18"/>
  <c r="FA28" i="18"/>
  <c r="EZ28" i="18"/>
  <c r="EY28" i="18"/>
  <c r="EX28" i="18"/>
  <c r="EW28" i="18"/>
  <c r="EV28" i="18"/>
  <c r="EU28" i="18"/>
  <c r="ET28" i="18"/>
  <c r="ES28" i="18"/>
  <c r="ER28" i="18"/>
  <c r="EQ28" i="18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7" i="18"/>
  <c r="U27" i="18"/>
  <c r="T27" i="18"/>
  <c r="S27" i="18"/>
  <c r="Q27" i="18"/>
  <c r="P27" i="18"/>
  <c r="M27" i="18"/>
  <c r="L27" i="18"/>
  <c r="I27" i="18"/>
  <c r="AH26" i="18"/>
  <c r="AG26" i="18"/>
  <c r="Q95" i="16" s="1"/>
  <c r="AE26" i="18"/>
  <c r="O94" i="16" s="1"/>
  <c r="N62" i="16"/>
  <c r="N25" i="16" s="1"/>
  <c r="M62" i="16"/>
  <c r="M25" i="16" s="1"/>
  <c r="K62" i="16"/>
  <c r="K25" i="16" s="1"/>
  <c r="J62" i="16"/>
  <c r="J25" i="16" s="1"/>
  <c r="I62" i="16"/>
  <c r="I25" i="16" s="1"/>
  <c r="H62" i="16"/>
  <c r="H25" i="16" s="1"/>
  <c r="GD24" i="18"/>
  <c r="FN75" i="16" s="1"/>
  <c r="FN31" i="16" s="1"/>
  <c r="GC24" i="18"/>
  <c r="FM75" i="16" s="1"/>
  <c r="FM31" i="16" s="1"/>
  <c r="GB24" i="18"/>
  <c r="FL75" i="16" s="1"/>
  <c r="FL31" i="16" s="1"/>
  <c r="GA24" i="18"/>
  <c r="FK75" i="16" s="1"/>
  <c r="FK31" i="16" s="1"/>
  <c r="FZ24" i="18"/>
  <c r="FJ75" i="16" s="1"/>
  <c r="FJ31" i="16" s="1"/>
  <c r="FY24" i="18"/>
  <c r="FX24" i="18"/>
  <c r="FH75" i="16" s="1"/>
  <c r="FH31" i="16" s="1"/>
  <c r="FW24" i="18"/>
  <c r="FG75" i="16" s="1"/>
  <c r="FG31" i="16" s="1"/>
  <c r="FV24" i="18"/>
  <c r="FF75" i="16" s="1"/>
  <c r="FF31" i="16" s="1"/>
  <c r="FU24" i="18"/>
  <c r="FE75" i="16" s="1"/>
  <c r="FE31" i="16" s="1"/>
  <c r="FT24" i="18"/>
  <c r="FD75" i="16" s="1"/>
  <c r="FD31" i="16" s="1"/>
  <c r="FS24" i="18"/>
  <c r="FC75" i="16" s="1"/>
  <c r="FC31" i="16" s="1"/>
  <c r="FR24" i="18"/>
  <c r="FB75" i="16" s="1"/>
  <c r="FB31" i="16" s="1"/>
  <c r="FQ24" i="18"/>
  <c r="FA75" i="16" s="1"/>
  <c r="FA31" i="16" s="1"/>
  <c r="FP24" i="18"/>
  <c r="EZ75" i="16" s="1"/>
  <c r="EZ31" i="16" s="1"/>
  <c r="FO24" i="18"/>
  <c r="EY75" i="16" s="1"/>
  <c r="EY31" i="16" s="1"/>
  <c r="FN24" i="18"/>
  <c r="EX75" i="16" s="1"/>
  <c r="EX31" i="16" s="1"/>
  <c r="FM24" i="18"/>
  <c r="EW75" i="16" s="1"/>
  <c r="EW31" i="16" s="1"/>
  <c r="FL24" i="18"/>
  <c r="EV75" i="16" s="1"/>
  <c r="EV31" i="16" s="1"/>
  <c r="FK24" i="18"/>
  <c r="EU75" i="16" s="1"/>
  <c r="EU31" i="16" s="1"/>
  <c r="FJ24" i="18"/>
  <c r="ET75" i="16" s="1"/>
  <c r="ET31" i="16" s="1"/>
  <c r="FI24" i="18"/>
  <c r="ES75" i="16" s="1"/>
  <c r="ES31" i="16" s="1"/>
  <c r="FH24" i="18"/>
  <c r="ER75" i="16" s="1"/>
  <c r="ER31" i="16" s="1"/>
  <c r="FG24" i="18"/>
  <c r="EQ75" i="16" s="1"/>
  <c r="EQ31" i="16" s="1"/>
  <c r="FF24" i="18"/>
  <c r="FE24" i="18"/>
  <c r="EO75" i="16" s="1"/>
  <c r="EO31" i="16" s="1"/>
  <c r="FD24" i="18"/>
  <c r="EN75" i="16" s="1"/>
  <c r="EN31" i="16" s="1"/>
  <c r="FC24" i="18"/>
  <c r="EM75" i="16" s="1"/>
  <c r="EM31" i="16" s="1"/>
  <c r="FB24" i="18"/>
  <c r="EL75" i="16" s="1"/>
  <c r="EL31" i="16" s="1"/>
  <c r="FA24" i="18"/>
  <c r="EK75" i="16" s="1"/>
  <c r="EK31" i="16" s="1"/>
  <c r="EZ24" i="18"/>
  <c r="EJ75" i="16" s="1"/>
  <c r="EJ31" i="16" s="1"/>
  <c r="EY24" i="18"/>
  <c r="EI75" i="16" s="1"/>
  <c r="EI31" i="16" s="1"/>
  <c r="EX24" i="18"/>
  <c r="EH75" i="16" s="1"/>
  <c r="EH31" i="16" s="1"/>
  <c r="EW24" i="18"/>
  <c r="EG75" i="16" s="1"/>
  <c r="EG31" i="16" s="1"/>
  <c r="EV24" i="18"/>
  <c r="EF75" i="16" s="1"/>
  <c r="EF31" i="16" s="1"/>
  <c r="EU24" i="18"/>
  <c r="EE75" i="16" s="1"/>
  <c r="EE31" i="16" s="1"/>
  <c r="ET24" i="18"/>
  <c r="ED75" i="16" s="1"/>
  <c r="ED31" i="16" s="1"/>
  <c r="ES24" i="18"/>
  <c r="ER24" i="18"/>
  <c r="EB75" i="16" s="1"/>
  <c r="EB31" i="16" s="1"/>
  <c r="EQ24" i="18"/>
  <c r="EA75" i="16" s="1"/>
  <c r="EA31" i="16" s="1"/>
  <c r="EP24" i="18"/>
  <c r="DZ75" i="16" s="1"/>
  <c r="DZ31" i="16" s="1"/>
  <c r="EO24" i="18"/>
  <c r="DY75" i="16" s="1"/>
  <c r="DY31" i="16" s="1"/>
  <c r="EN24" i="18"/>
  <c r="DX75" i="16" s="1"/>
  <c r="DX31" i="16" s="1"/>
  <c r="EM24" i="18"/>
  <c r="DW75" i="16" s="1"/>
  <c r="DW31" i="16" s="1"/>
  <c r="EL24" i="18"/>
  <c r="DV75" i="16" s="1"/>
  <c r="DV31" i="16" s="1"/>
  <c r="EK24" i="18"/>
  <c r="DU75" i="16" s="1"/>
  <c r="DU31" i="16" s="1"/>
  <c r="EJ24" i="18"/>
  <c r="DT75" i="16" s="1"/>
  <c r="DT31" i="16" s="1"/>
  <c r="EI24" i="18"/>
  <c r="DS75" i="16" s="1"/>
  <c r="DS31" i="16" s="1"/>
  <c r="EH24" i="18"/>
  <c r="DR75" i="16" s="1"/>
  <c r="DR31" i="16" s="1"/>
  <c r="EG24" i="18"/>
  <c r="DQ75" i="16" s="1"/>
  <c r="DQ31" i="16" s="1"/>
  <c r="EF24" i="18"/>
  <c r="DP75" i="16" s="1"/>
  <c r="DP31" i="16" s="1"/>
  <c r="EE24" i="18"/>
  <c r="ED24" i="18"/>
  <c r="DN75" i="16" s="1"/>
  <c r="DN31" i="16" s="1"/>
  <c r="EC24" i="18"/>
  <c r="DM75" i="16" s="1"/>
  <c r="DM31" i="16" s="1"/>
  <c r="EB24" i="18"/>
  <c r="DL75" i="16" s="1"/>
  <c r="DL31" i="16" s="1"/>
  <c r="EA24" i="18"/>
  <c r="DK75" i="16" s="1"/>
  <c r="DK31" i="16" s="1"/>
  <c r="DZ24" i="18"/>
  <c r="DJ75" i="16" s="1"/>
  <c r="DJ31" i="16" s="1"/>
  <c r="DY24" i="18"/>
  <c r="DI75" i="16" s="1"/>
  <c r="DI31" i="16" s="1"/>
  <c r="DX24" i="18"/>
  <c r="DH75" i="16" s="1"/>
  <c r="DH31" i="16" s="1"/>
  <c r="DW24" i="18"/>
  <c r="DG75" i="16" s="1"/>
  <c r="DG31" i="16" s="1"/>
  <c r="DV24" i="18"/>
  <c r="DF75" i="16" s="1"/>
  <c r="DF31" i="16" s="1"/>
  <c r="DU24" i="18"/>
  <c r="DT24" i="18"/>
  <c r="DD75" i="16" s="1"/>
  <c r="DD31" i="16" s="1"/>
  <c r="DS24" i="18"/>
  <c r="DC75" i="16" s="1"/>
  <c r="DC31" i="16" s="1"/>
  <c r="DR24" i="18"/>
  <c r="DQ24" i="18"/>
  <c r="DA75" i="16" s="1"/>
  <c r="DA31" i="16" s="1"/>
  <c r="DP24" i="18"/>
  <c r="CZ75" i="16" s="1"/>
  <c r="CZ31" i="16" s="1"/>
  <c r="DO24" i="18"/>
  <c r="CY75" i="16" s="1"/>
  <c r="CY31" i="16" s="1"/>
  <c r="DN24" i="18"/>
  <c r="CX75" i="16" s="1"/>
  <c r="CX31" i="16" s="1"/>
  <c r="DM24" i="18"/>
  <c r="CW75" i="16" s="1"/>
  <c r="CW31" i="16" s="1"/>
  <c r="DL24" i="18"/>
  <c r="CV75" i="16" s="1"/>
  <c r="CV31" i="16" s="1"/>
  <c r="DK24" i="18"/>
  <c r="CU75" i="16" s="1"/>
  <c r="CU31" i="16" s="1"/>
  <c r="DJ24" i="18"/>
  <c r="CT75" i="16" s="1"/>
  <c r="CT31" i="16" s="1"/>
  <c r="DI24" i="18"/>
  <c r="CS75" i="16" s="1"/>
  <c r="CS31" i="16" s="1"/>
  <c r="DH24" i="18"/>
  <c r="CR75" i="16" s="1"/>
  <c r="CR31" i="16" s="1"/>
  <c r="DG24" i="18"/>
  <c r="CQ75" i="16" s="1"/>
  <c r="CQ31" i="16" s="1"/>
  <c r="DF24" i="18"/>
  <c r="CP75" i="16" s="1"/>
  <c r="CP31" i="16" s="1"/>
  <c r="DE24" i="18"/>
  <c r="CO75" i="16" s="1"/>
  <c r="CO31" i="16" s="1"/>
  <c r="DD24" i="18"/>
  <c r="CN75" i="16" s="1"/>
  <c r="CN31" i="16" s="1"/>
  <c r="DC24" i="18"/>
  <c r="CM75" i="16" s="1"/>
  <c r="CM31" i="16" s="1"/>
  <c r="DB24" i="18"/>
  <c r="CL75" i="16" s="1"/>
  <c r="CL31" i="16" s="1"/>
  <c r="DA24" i="18"/>
  <c r="CK75" i="16" s="1"/>
  <c r="CK31" i="16" s="1"/>
  <c r="CZ24" i="18"/>
  <c r="CJ75" i="16" s="1"/>
  <c r="CJ31" i="16" s="1"/>
  <c r="CY24" i="18"/>
  <c r="CI75" i="16" s="1"/>
  <c r="CI31" i="16" s="1"/>
  <c r="CX24" i="18"/>
  <c r="CH75" i="16" s="1"/>
  <c r="CH31" i="16" s="1"/>
  <c r="CW24" i="18"/>
  <c r="CG75" i="16" s="1"/>
  <c r="CG31" i="16" s="1"/>
  <c r="CV24" i="18"/>
  <c r="CF75" i="16" s="1"/>
  <c r="CF31" i="16" s="1"/>
  <c r="CU24" i="18"/>
  <c r="CE75" i="16" s="1"/>
  <c r="CE31" i="16" s="1"/>
  <c r="CT24" i="18"/>
  <c r="CD75" i="16" s="1"/>
  <c r="CD31" i="16" s="1"/>
  <c r="CS24" i="18"/>
  <c r="CC75" i="16" s="1"/>
  <c r="CC31" i="16" s="1"/>
  <c r="CR24" i="18"/>
  <c r="CB75" i="16" s="1"/>
  <c r="CB31" i="16" s="1"/>
  <c r="CQ24" i="18"/>
  <c r="CA75" i="16" s="1"/>
  <c r="CA31" i="16" s="1"/>
  <c r="CP24" i="18"/>
  <c r="BZ75" i="16" s="1"/>
  <c r="BZ31" i="16" s="1"/>
  <c r="CO24" i="18"/>
  <c r="CN24" i="18"/>
  <c r="BX75" i="16" s="1"/>
  <c r="BX31" i="16" s="1"/>
  <c r="CM24" i="18"/>
  <c r="BW75" i="16" s="1"/>
  <c r="BW31" i="16" s="1"/>
  <c r="CL24" i="18"/>
  <c r="BV75" i="16" s="1"/>
  <c r="BV31" i="16" s="1"/>
  <c r="CK24" i="18"/>
  <c r="BU75" i="16" s="1"/>
  <c r="BU31" i="16" s="1"/>
  <c r="CJ24" i="18"/>
  <c r="BT75" i="16" s="1"/>
  <c r="BT31" i="16" s="1"/>
  <c r="CI24" i="18"/>
  <c r="BS75" i="16" s="1"/>
  <c r="BS31" i="16" s="1"/>
  <c r="CH24" i="18"/>
  <c r="BR75" i="16" s="1"/>
  <c r="BR31" i="16" s="1"/>
  <c r="CG24" i="18"/>
  <c r="BQ75" i="16" s="1"/>
  <c r="BQ31" i="16" s="1"/>
  <c r="CF24" i="18"/>
  <c r="BP75" i="16" s="1"/>
  <c r="BP31" i="16" s="1"/>
  <c r="CE24" i="18"/>
  <c r="BO75" i="16" s="1"/>
  <c r="BO31" i="16" s="1"/>
  <c r="CD24" i="18"/>
  <c r="BN75" i="16" s="1"/>
  <c r="BN31" i="16" s="1"/>
  <c r="CC24" i="18"/>
  <c r="BM75" i="16" s="1"/>
  <c r="BM31" i="16" s="1"/>
  <c r="CB24" i="18"/>
  <c r="BL75" i="16" s="1"/>
  <c r="BL31" i="16" s="1"/>
  <c r="CA24" i="18"/>
  <c r="BK75" i="16" s="1"/>
  <c r="BK31" i="16" s="1"/>
  <c r="BZ24" i="18"/>
  <c r="BJ75" i="16" s="1"/>
  <c r="BJ31" i="16" s="1"/>
  <c r="BY24" i="18"/>
  <c r="BI75" i="16" s="1"/>
  <c r="BI31" i="16" s="1"/>
  <c r="BX24" i="18"/>
  <c r="BH75" i="16" s="1"/>
  <c r="BH31" i="16" s="1"/>
  <c r="BW24" i="18"/>
  <c r="BG75" i="16" s="1"/>
  <c r="BG31" i="16" s="1"/>
  <c r="BV24" i="18"/>
  <c r="BF75" i="16" s="1"/>
  <c r="BF31" i="16" s="1"/>
  <c r="BU24" i="18"/>
  <c r="BE75" i="16" s="1"/>
  <c r="BE31" i="16" s="1"/>
  <c r="BT24" i="18"/>
  <c r="BD75" i="16" s="1"/>
  <c r="BD31" i="16" s="1"/>
  <c r="BS24" i="18"/>
  <c r="BC75" i="16" s="1"/>
  <c r="BC31" i="16" s="1"/>
  <c r="BR24" i="18"/>
  <c r="BB75" i="16" s="1"/>
  <c r="BB31" i="16" s="1"/>
  <c r="BQ24" i="18"/>
  <c r="BA75" i="16" s="1"/>
  <c r="BA31" i="16" s="1"/>
  <c r="BP24" i="18"/>
  <c r="AZ75" i="16" s="1"/>
  <c r="AZ31" i="16" s="1"/>
  <c r="BO24" i="18"/>
  <c r="AY75" i="16" s="1"/>
  <c r="AY31" i="16" s="1"/>
  <c r="BN24" i="18"/>
  <c r="BM24" i="18"/>
  <c r="AW75" i="16" s="1"/>
  <c r="AW31" i="16" s="1"/>
  <c r="BL24" i="18"/>
  <c r="AV75" i="16" s="1"/>
  <c r="AV31" i="16" s="1"/>
  <c r="BK24" i="18"/>
  <c r="AU75" i="16" s="1"/>
  <c r="AU31" i="16" s="1"/>
  <c r="BJ24" i="18"/>
  <c r="AT75" i="16" s="1"/>
  <c r="AT31" i="16" s="1"/>
  <c r="BI24" i="18"/>
  <c r="AS75" i="16" s="1"/>
  <c r="AS31" i="16" s="1"/>
  <c r="BH24" i="18"/>
  <c r="AR75" i="16" s="1"/>
  <c r="AR31" i="16" s="1"/>
  <c r="BG24" i="18"/>
  <c r="AQ75" i="16" s="1"/>
  <c r="AQ31" i="16" s="1"/>
  <c r="BF24" i="18"/>
  <c r="AP75" i="16" s="1"/>
  <c r="AP31" i="16" s="1"/>
  <c r="BE24" i="18"/>
  <c r="AO75" i="16" s="1"/>
  <c r="AO31" i="16" s="1"/>
  <c r="BD24" i="18"/>
  <c r="AN75" i="16" s="1"/>
  <c r="AN31" i="16" s="1"/>
  <c r="BC24" i="18"/>
  <c r="AM75" i="16" s="1"/>
  <c r="AM31" i="16" s="1"/>
  <c r="BB24" i="18"/>
  <c r="AL75" i="16" s="1"/>
  <c r="AL31" i="16" s="1"/>
  <c r="BA24" i="18"/>
  <c r="AK75" i="16" s="1"/>
  <c r="AK31" i="16" s="1"/>
  <c r="AZ24" i="18"/>
  <c r="AJ75" i="16" s="1"/>
  <c r="AJ31" i="16" s="1"/>
  <c r="AY24" i="18"/>
  <c r="AI75" i="16" s="1"/>
  <c r="AI31" i="16" s="1"/>
  <c r="AX24" i="18"/>
  <c r="AH75" i="16" s="1"/>
  <c r="AH31" i="16" s="1"/>
  <c r="AW24" i="18"/>
  <c r="AG75" i="16" s="1"/>
  <c r="AG31" i="16" s="1"/>
  <c r="AV24" i="18"/>
  <c r="AF75" i="16" s="1"/>
  <c r="AF31" i="16" s="1"/>
  <c r="AU24" i="18"/>
  <c r="AE75" i="16" s="1"/>
  <c r="AE31" i="16" s="1"/>
  <c r="AT24" i="18"/>
  <c r="AD75" i="16" s="1"/>
  <c r="AD31" i="16" s="1"/>
  <c r="AS24" i="18"/>
  <c r="AC75" i="16" s="1"/>
  <c r="AC31" i="16" s="1"/>
  <c r="AR24" i="18"/>
  <c r="AB75" i="16" s="1"/>
  <c r="AB31" i="16" s="1"/>
  <c r="AQ24" i="18"/>
  <c r="AA75" i="16" s="1"/>
  <c r="AA31" i="16" s="1"/>
  <c r="AP24" i="18"/>
  <c r="Z75" i="16" s="1"/>
  <c r="Z31" i="16" s="1"/>
  <c r="AO24" i="18"/>
  <c r="Y75" i="16" s="1"/>
  <c r="Y31" i="16" s="1"/>
  <c r="AN24" i="18"/>
  <c r="X75" i="16" s="1"/>
  <c r="X31" i="16" s="1"/>
  <c r="AM24" i="18"/>
  <c r="W75" i="16" s="1"/>
  <c r="W31" i="16" s="1"/>
  <c r="AL24" i="18"/>
  <c r="V75" i="16" s="1"/>
  <c r="V31" i="16" s="1"/>
  <c r="AK24" i="18"/>
  <c r="AJ24" i="18"/>
  <c r="T75" i="16" s="1"/>
  <c r="T31" i="16" s="1"/>
  <c r="AI24" i="18"/>
  <c r="S75" i="16" s="1"/>
  <c r="S31" i="16" s="1"/>
  <c r="AH24" i="18"/>
  <c r="R75" i="16" s="1"/>
  <c r="R31" i="16" s="1"/>
  <c r="AG24" i="18"/>
  <c r="Q75" i="16" s="1"/>
  <c r="Q31" i="16" s="1"/>
  <c r="AF24" i="18"/>
  <c r="P75" i="16" s="1"/>
  <c r="P31" i="16" s="1"/>
  <c r="AE24" i="18"/>
  <c r="O75" i="16" s="1"/>
  <c r="O31" i="16" s="1"/>
  <c r="AD24" i="18"/>
  <c r="N75" i="16" s="1"/>
  <c r="N31" i="16" s="1"/>
  <c r="AC24" i="18"/>
  <c r="M75" i="16" s="1"/>
  <c r="M31" i="16" s="1"/>
  <c r="AB24" i="18"/>
  <c r="L75" i="16" s="1"/>
  <c r="L31" i="16" s="1"/>
  <c r="AA24" i="18"/>
  <c r="K75" i="16" s="1"/>
  <c r="K31" i="16" s="1"/>
  <c r="Z24" i="18"/>
  <c r="J75" i="16" s="1"/>
  <c r="J31" i="16" s="1"/>
  <c r="Y24" i="18"/>
  <c r="I75" i="16" s="1"/>
  <c r="I31" i="16" s="1"/>
  <c r="X24" i="18"/>
  <c r="H75" i="16" s="1"/>
  <c r="H31" i="16" s="1"/>
  <c r="W24" i="18"/>
  <c r="G75" i="16" s="1"/>
  <c r="G31" i="16" s="1"/>
  <c r="GD23" i="18"/>
  <c r="FN76" i="16" s="1"/>
  <c r="FN32" i="16" s="1"/>
  <c r="GC23" i="18"/>
  <c r="GB23" i="18"/>
  <c r="FL76" i="16" s="1"/>
  <c r="FL32" i="16" s="1"/>
  <c r="GA23" i="18"/>
  <c r="FK76" i="16" s="1"/>
  <c r="FK32" i="16" s="1"/>
  <c r="FZ23" i="18"/>
  <c r="FJ76" i="16" s="1"/>
  <c r="FJ32" i="16" s="1"/>
  <c r="FY23" i="18"/>
  <c r="FI76" i="16" s="1"/>
  <c r="FI32" i="16" s="1"/>
  <c r="FX23" i="18"/>
  <c r="FH76" i="16" s="1"/>
  <c r="FH32" i="16" s="1"/>
  <c r="FW23" i="18"/>
  <c r="FG76" i="16" s="1"/>
  <c r="FG32" i="16" s="1"/>
  <c r="FV23" i="18"/>
  <c r="FF76" i="16" s="1"/>
  <c r="FF32" i="16" s="1"/>
  <c r="FU23" i="18"/>
  <c r="FE76" i="16" s="1"/>
  <c r="FE32" i="16" s="1"/>
  <c r="FT23" i="18"/>
  <c r="FD76" i="16" s="1"/>
  <c r="FD32" i="16" s="1"/>
  <c r="FS23" i="18"/>
  <c r="FC76" i="16" s="1"/>
  <c r="FC32" i="16" s="1"/>
  <c r="FR23" i="18"/>
  <c r="FB76" i="16" s="1"/>
  <c r="FB32" i="16" s="1"/>
  <c r="FQ23" i="18"/>
  <c r="FA76" i="16" s="1"/>
  <c r="FA32" i="16" s="1"/>
  <c r="FP23" i="18"/>
  <c r="EZ76" i="16" s="1"/>
  <c r="EZ32" i="16" s="1"/>
  <c r="FO23" i="18"/>
  <c r="EY76" i="16" s="1"/>
  <c r="EY32" i="16" s="1"/>
  <c r="FN23" i="18"/>
  <c r="EX76" i="16" s="1"/>
  <c r="EX32" i="16" s="1"/>
  <c r="FM23" i="18"/>
  <c r="EW76" i="16" s="1"/>
  <c r="EW32" i="16" s="1"/>
  <c r="FL23" i="18"/>
  <c r="EV76" i="16" s="1"/>
  <c r="EV32" i="16" s="1"/>
  <c r="FK23" i="18"/>
  <c r="EU76" i="16" s="1"/>
  <c r="EU32" i="16" s="1"/>
  <c r="FJ23" i="18"/>
  <c r="FI23" i="18"/>
  <c r="ES76" i="16" s="1"/>
  <c r="ES32" i="16" s="1"/>
  <c r="FH23" i="18"/>
  <c r="ER76" i="16" s="1"/>
  <c r="ER32" i="16" s="1"/>
  <c r="FG23" i="18"/>
  <c r="EQ76" i="16" s="1"/>
  <c r="EQ32" i="16" s="1"/>
  <c r="FF23" i="18"/>
  <c r="EP76" i="16" s="1"/>
  <c r="EP32" i="16" s="1"/>
  <c r="FE23" i="18"/>
  <c r="EO76" i="16" s="1"/>
  <c r="EO32" i="16" s="1"/>
  <c r="FD23" i="18"/>
  <c r="EN76" i="16" s="1"/>
  <c r="EN32" i="16" s="1"/>
  <c r="FC23" i="18"/>
  <c r="EM76" i="16" s="1"/>
  <c r="EM32" i="16" s="1"/>
  <c r="FB23" i="18"/>
  <c r="EL76" i="16" s="1"/>
  <c r="EL32" i="16" s="1"/>
  <c r="FA23" i="18"/>
  <c r="EZ23" i="18"/>
  <c r="EJ76" i="16" s="1"/>
  <c r="EJ32" i="16" s="1"/>
  <c r="EY23" i="18"/>
  <c r="EI76" i="16" s="1"/>
  <c r="EI32" i="16" s="1"/>
  <c r="EX23" i="18"/>
  <c r="EH76" i="16" s="1"/>
  <c r="EH32" i="16" s="1"/>
  <c r="EW23" i="18"/>
  <c r="EV23" i="18"/>
  <c r="EF76" i="16" s="1"/>
  <c r="EF32" i="16" s="1"/>
  <c r="EU23" i="18"/>
  <c r="EE76" i="16" s="1"/>
  <c r="EE32" i="16" s="1"/>
  <c r="ET23" i="18"/>
  <c r="ED76" i="16" s="1"/>
  <c r="ED32" i="16" s="1"/>
  <c r="ES23" i="18"/>
  <c r="EC76" i="16" s="1"/>
  <c r="EC32" i="16" s="1"/>
  <c r="ER23" i="18"/>
  <c r="EB76" i="16" s="1"/>
  <c r="EB32" i="16" s="1"/>
  <c r="EQ23" i="18"/>
  <c r="EA76" i="16" s="1"/>
  <c r="EA32" i="16" s="1"/>
  <c r="EP23" i="18"/>
  <c r="DZ76" i="16" s="1"/>
  <c r="DZ32" i="16" s="1"/>
  <c r="EO23" i="18"/>
  <c r="DY76" i="16" s="1"/>
  <c r="DY32" i="16" s="1"/>
  <c r="EN23" i="18"/>
  <c r="DX76" i="16" s="1"/>
  <c r="DX32" i="16" s="1"/>
  <c r="EM23" i="18"/>
  <c r="DW76" i="16" s="1"/>
  <c r="DW32" i="16" s="1"/>
  <c r="EL23" i="18"/>
  <c r="DV76" i="16" s="1"/>
  <c r="DV32" i="16" s="1"/>
  <c r="EK23" i="18"/>
  <c r="DU76" i="16" s="1"/>
  <c r="DU32" i="16" s="1"/>
  <c r="EJ23" i="18"/>
  <c r="DT76" i="16" s="1"/>
  <c r="DT32" i="16" s="1"/>
  <c r="EI23" i="18"/>
  <c r="DS76" i="16" s="1"/>
  <c r="DS32" i="16" s="1"/>
  <c r="EH23" i="18"/>
  <c r="DR76" i="16" s="1"/>
  <c r="DR32" i="16" s="1"/>
  <c r="EG23" i="18"/>
  <c r="DQ76" i="16" s="1"/>
  <c r="DQ32" i="16" s="1"/>
  <c r="EF23" i="18"/>
  <c r="DP76" i="16" s="1"/>
  <c r="DP32" i="16" s="1"/>
  <c r="EE23" i="18"/>
  <c r="DO76" i="16" s="1"/>
  <c r="DO32" i="16" s="1"/>
  <c r="ED23" i="18"/>
  <c r="DN76" i="16" s="1"/>
  <c r="DN32" i="16" s="1"/>
  <c r="EC23" i="18"/>
  <c r="DM76" i="16" s="1"/>
  <c r="DM32" i="16" s="1"/>
  <c r="EB23" i="18"/>
  <c r="DL76" i="16" s="1"/>
  <c r="DL32" i="16" s="1"/>
  <c r="EA23" i="18"/>
  <c r="DK76" i="16" s="1"/>
  <c r="DK32" i="16" s="1"/>
  <c r="DZ23" i="18"/>
  <c r="DJ76" i="16" s="1"/>
  <c r="DJ32" i="16" s="1"/>
  <c r="DY23" i="18"/>
  <c r="DI76" i="16" s="1"/>
  <c r="DI32" i="16" s="1"/>
  <c r="DX23" i="18"/>
  <c r="DH76" i="16" s="1"/>
  <c r="DH32" i="16" s="1"/>
  <c r="DW23" i="18"/>
  <c r="DG76" i="16" s="1"/>
  <c r="DG32" i="16" s="1"/>
  <c r="DV23" i="18"/>
  <c r="DF76" i="16" s="1"/>
  <c r="DF32" i="16" s="1"/>
  <c r="DU23" i="18"/>
  <c r="DE76" i="16" s="1"/>
  <c r="DE32" i="16" s="1"/>
  <c r="DT23" i="18"/>
  <c r="DD76" i="16" s="1"/>
  <c r="DD32" i="16" s="1"/>
  <c r="DS23" i="18"/>
  <c r="DC76" i="16" s="1"/>
  <c r="DC32" i="16" s="1"/>
  <c r="DR23" i="18"/>
  <c r="DB76" i="16" s="1"/>
  <c r="DB32" i="16" s="1"/>
  <c r="DQ23" i="18"/>
  <c r="DP23" i="18"/>
  <c r="CZ76" i="16" s="1"/>
  <c r="CZ32" i="16" s="1"/>
  <c r="DO23" i="18"/>
  <c r="CY76" i="16" s="1"/>
  <c r="CY32" i="16" s="1"/>
  <c r="DN23" i="18"/>
  <c r="CX76" i="16" s="1"/>
  <c r="CX32" i="16" s="1"/>
  <c r="DM23" i="18"/>
  <c r="CW76" i="16" s="1"/>
  <c r="CW32" i="16" s="1"/>
  <c r="DL23" i="18"/>
  <c r="CV76" i="16" s="1"/>
  <c r="CV32" i="16" s="1"/>
  <c r="DK23" i="18"/>
  <c r="CU76" i="16" s="1"/>
  <c r="CU32" i="16" s="1"/>
  <c r="DJ23" i="18"/>
  <c r="CT76" i="16" s="1"/>
  <c r="CT32" i="16" s="1"/>
  <c r="DI23" i="18"/>
  <c r="CS76" i="16" s="1"/>
  <c r="CS32" i="16" s="1"/>
  <c r="DH23" i="18"/>
  <c r="CR76" i="16" s="1"/>
  <c r="CR32" i="16" s="1"/>
  <c r="DG23" i="18"/>
  <c r="CQ76" i="16" s="1"/>
  <c r="CQ32" i="16" s="1"/>
  <c r="DF23" i="18"/>
  <c r="CP76" i="16" s="1"/>
  <c r="CP32" i="16" s="1"/>
  <c r="DE23" i="18"/>
  <c r="CO76" i="16" s="1"/>
  <c r="CO32" i="16" s="1"/>
  <c r="DD23" i="18"/>
  <c r="CN76" i="16" s="1"/>
  <c r="CN32" i="16" s="1"/>
  <c r="DC23" i="18"/>
  <c r="CM76" i="16" s="1"/>
  <c r="CM32" i="16" s="1"/>
  <c r="DB23" i="18"/>
  <c r="CL76" i="16" s="1"/>
  <c r="CL32" i="16" s="1"/>
  <c r="DA23" i="18"/>
  <c r="CK76" i="16" s="1"/>
  <c r="CK32" i="16" s="1"/>
  <c r="CZ23" i="18"/>
  <c r="CJ76" i="16" s="1"/>
  <c r="CJ32" i="16" s="1"/>
  <c r="CY23" i="18"/>
  <c r="CI76" i="16" s="1"/>
  <c r="CI32" i="16" s="1"/>
  <c r="CX23" i="18"/>
  <c r="CH76" i="16" s="1"/>
  <c r="CH32" i="16" s="1"/>
  <c r="CW23" i="18"/>
  <c r="CV23" i="18"/>
  <c r="CF76" i="16" s="1"/>
  <c r="CF32" i="16" s="1"/>
  <c r="CU23" i="18"/>
  <c r="CE76" i="16" s="1"/>
  <c r="CE32" i="16" s="1"/>
  <c r="CT23" i="18"/>
  <c r="CD76" i="16" s="1"/>
  <c r="CD32" i="16" s="1"/>
  <c r="CS23" i="18"/>
  <c r="C23" i="18"/>
  <c r="Z22" i="18"/>
  <c r="J33" i="23" s="1"/>
  <c r="Y22" i="18"/>
  <c r="I33" i="23" s="1"/>
  <c r="X22" i="18"/>
  <c r="H33" i="23" s="1"/>
  <c r="W22" i="18"/>
  <c r="G33" i="23" s="1"/>
  <c r="GD20" i="18"/>
  <c r="GC20" i="18"/>
  <c r="FM21" i="16" s="1"/>
  <c r="GB20" i="18"/>
  <c r="GA20" i="18"/>
  <c r="FK21" i="16" s="1"/>
  <c r="FZ20" i="18"/>
  <c r="FY20" i="18"/>
  <c r="FX20" i="18"/>
  <c r="FH21" i="16" s="1"/>
  <c r="FW20" i="18"/>
  <c r="FG21" i="16" s="1"/>
  <c r="FV20" i="18"/>
  <c r="FF21" i="16" s="1"/>
  <c r="FU20" i="18"/>
  <c r="FE21" i="16" s="1"/>
  <c r="FT20" i="18"/>
  <c r="FS20" i="18"/>
  <c r="FC21" i="16" s="1"/>
  <c r="FR20" i="18"/>
  <c r="FB21" i="16" s="1"/>
  <c r="FQ20" i="18"/>
  <c r="FP20" i="18"/>
  <c r="EZ21" i="16" s="1"/>
  <c r="FO20" i="18"/>
  <c r="EY21" i="16" s="1"/>
  <c r="FN20" i="18"/>
  <c r="EX21" i="16" s="1"/>
  <c r="FM20" i="18"/>
  <c r="EW21" i="16" s="1"/>
  <c r="FL20" i="18"/>
  <c r="FK20" i="18"/>
  <c r="EU21" i="16" s="1"/>
  <c r="FJ20" i="18"/>
  <c r="ET21" i="16" s="1"/>
  <c r="FI20" i="18"/>
  <c r="FH20" i="18"/>
  <c r="ER21" i="16" s="1"/>
  <c r="FG20" i="18"/>
  <c r="EQ21" i="16" s="1"/>
  <c r="FF20" i="18"/>
  <c r="EP21" i="16" s="1"/>
  <c r="FE20" i="18"/>
  <c r="EO21" i="16" s="1"/>
  <c r="FD20" i="18"/>
  <c r="FC20" i="18"/>
  <c r="EM21" i="16" s="1"/>
  <c r="FB20" i="18"/>
  <c r="FA20" i="18"/>
  <c r="EK21" i="16" s="1"/>
  <c r="EZ20" i="18"/>
  <c r="EJ21" i="16" s="1"/>
  <c r="EY20" i="18"/>
  <c r="EX20" i="18"/>
  <c r="EH21" i="16" s="1"/>
  <c r="EW20" i="18"/>
  <c r="EG21" i="16" s="1"/>
  <c r="EV20" i="18"/>
  <c r="EU20" i="18"/>
  <c r="EE21" i="16" s="1"/>
  <c r="ET20" i="18"/>
  <c r="ES20" i="18"/>
  <c r="ER20" i="18"/>
  <c r="EB21" i="16" s="1"/>
  <c r="EQ20" i="18"/>
  <c r="EA21" i="16" s="1"/>
  <c r="EP20" i="18"/>
  <c r="DZ21" i="16" s="1"/>
  <c r="EO20" i="18"/>
  <c r="DY21" i="16" s="1"/>
  <c r="EN20" i="18"/>
  <c r="EM20" i="18"/>
  <c r="DW21" i="16" s="1"/>
  <c r="EL20" i="18"/>
  <c r="EK20" i="18"/>
  <c r="EJ20" i="18"/>
  <c r="DT21" i="16" s="1"/>
  <c r="EI20" i="18"/>
  <c r="DS21" i="16" s="1"/>
  <c r="EH20" i="18"/>
  <c r="DR21" i="16" s="1"/>
  <c r="EG20" i="18"/>
  <c r="DQ21" i="16" s="1"/>
  <c r="EF20" i="18"/>
  <c r="EE20" i="18"/>
  <c r="DO21" i="16" s="1"/>
  <c r="ED20" i="18"/>
  <c r="DN21" i="16" s="1"/>
  <c r="EC20" i="18"/>
  <c r="EB20" i="18"/>
  <c r="DL21" i="16" s="1"/>
  <c r="EA20" i="18"/>
  <c r="DK21" i="16" s="1"/>
  <c r="DZ20" i="18"/>
  <c r="DJ21" i="16" s="1"/>
  <c r="DY20" i="18"/>
  <c r="DI21" i="16" s="1"/>
  <c r="DX20" i="18"/>
  <c r="DW20" i="18"/>
  <c r="DG21" i="16" s="1"/>
  <c r="DV20" i="18"/>
  <c r="DF21" i="16" s="1"/>
  <c r="DU20" i="18"/>
  <c r="DT20" i="18"/>
  <c r="DS20" i="18"/>
  <c r="DC21" i="16" s="1"/>
  <c r="DR20" i="18"/>
  <c r="DB21" i="16" s="1"/>
  <c r="DQ20" i="18"/>
  <c r="DA21" i="16" s="1"/>
  <c r="DP20" i="18"/>
  <c r="DO20" i="18"/>
  <c r="CY21" i="16" s="1"/>
  <c r="DN20" i="18"/>
  <c r="CX21" i="16" s="1"/>
  <c r="DM20" i="18"/>
  <c r="CW21" i="16" s="1"/>
  <c r="DL20" i="18"/>
  <c r="DK20" i="18"/>
  <c r="CU21" i="16" s="1"/>
  <c r="DJ20" i="18"/>
  <c r="CT21" i="16" s="1"/>
  <c r="DI20" i="18"/>
  <c r="CS21" i="16" s="1"/>
  <c r="DH20" i="18"/>
  <c r="DG20" i="18"/>
  <c r="CQ21" i="16" s="1"/>
  <c r="DF20" i="18"/>
  <c r="CP21" i="16" s="1"/>
  <c r="DE20" i="18"/>
  <c r="DD20" i="18"/>
  <c r="DC20" i="18"/>
  <c r="DB20" i="18"/>
  <c r="CL21" i="16" s="1"/>
  <c r="DA20" i="18"/>
  <c r="CK21" i="16" s="1"/>
  <c r="CZ20" i="18"/>
  <c r="CY20" i="18"/>
  <c r="CI21" i="16" s="1"/>
  <c r="CX20" i="18"/>
  <c r="CH21" i="16" s="1"/>
  <c r="CW20" i="18"/>
  <c r="CG21" i="16" s="1"/>
  <c r="CV20" i="18"/>
  <c r="CU20" i="18"/>
  <c r="CE21" i="16" s="1"/>
  <c r="CT20" i="18"/>
  <c r="CD21" i="16" s="1"/>
  <c r="CS20" i="18"/>
  <c r="CC21" i="16" s="1"/>
  <c r="CR20" i="18"/>
  <c r="CQ20" i="18"/>
  <c r="CA21" i="16" s="1"/>
  <c r="CP20" i="18"/>
  <c r="BZ21" i="16" s="1"/>
  <c r="CO20" i="18"/>
  <c r="BY21" i="16" s="1"/>
  <c r="CN20" i="18"/>
  <c r="BX21" i="16" s="1"/>
  <c r="CM20" i="18"/>
  <c r="BW21" i="16" s="1"/>
  <c r="CL20" i="18"/>
  <c r="BV21" i="16" s="1"/>
  <c r="CK20" i="18"/>
  <c r="BU21" i="16" s="1"/>
  <c r="CJ20" i="18"/>
  <c r="CI20" i="18"/>
  <c r="BS21" i="16" s="1"/>
  <c r="CH20" i="18"/>
  <c r="BR21" i="16" s="1"/>
  <c r="CG20" i="18"/>
  <c r="CF20" i="18"/>
  <c r="BP21" i="16" s="1"/>
  <c r="CE20" i="18"/>
  <c r="CD20" i="18"/>
  <c r="BN21" i="16" s="1"/>
  <c r="CC20" i="18"/>
  <c r="BM21" i="16" s="1"/>
  <c r="CB20" i="18"/>
  <c r="CA20" i="18"/>
  <c r="BK21" i="16" s="1"/>
  <c r="BZ20" i="18"/>
  <c r="BJ21" i="16" s="1"/>
  <c r="BY20" i="18"/>
  <c r="BX20" i="18"/>
  <c r="BH21" i="16" s="1"/>
  <c r="BW20" i="18"/>
  <c r="BG21" i="16" s="1"/>
  <c r="BV20" i="18"/>
  <c r="BF21" i="16" s="1"/>
  <c r="BU20" i="18"/>
  <c r="BE21" i="16" s="1"/>
  <c r="BT20" i="18"/>
  <c r="BS20" i="18"/>
  <c r="BC21" i="16" s="1"/>
  <c r="BR20" i="18"/>
  <c r="BB21" i="16" s="1"/>
  <c r="BQ20" i="18"/>
  <c r="BP20" i="18"/>
  <c r="AZ21" i="16" s="1"/>
  <c r="BO20" i="18"/>
  <c r="BN20" i="18"/>
  <c r="AX21" i="16" s="1"/>
  <c r="BM20" i="18"/>
  <c r="AW21" i="16" s="1"/>
  <c r="BL20" i="18"/>
  <c r="BK20" i="18"/>
  <c r="AU21" i="16" s="1"/>
  <c r="BJ20" i="18"/>
  <c r="AT21" i="16" s="1"/>
  <c r="BI20" i="18"/>
  <c r="BH20" i="18"/>
  <c r="BG20" i="18"/>
  <c r="AQ21" i="16" s="1"/>
  <c r="BF20" i="18"/>
  <c r="AP21" i="16" s="1"/>
  <c r="BE20" i="18"/>
  <c r="AO21" i="16" s="1"/>
  <c r="BD20" i="18"/>
  <c r="BC20" i="18"/>
  <c r="AM21" i="16" s="1"/>
  <c r="BB20" i="18"/>
  <c r="AL21" i="16" s="1"/>
  <c r="BA20" i="18"/>
  <c r="AK21" i="16" s="1"/>
  <c r="AZ20" i="18"/>
  <c r="AY20" i="18"/>
  <c r="AX20" i="18"/>
  <c r="AH21" i="16" s="1"/>
  <c r="AW20" i="18"/>
  <c r="AG21" i="16" s="1"/>
  <c r="AV20" i="18"/>
  <c r="AU20" i="18"/>
  <c r="AE21" i="16" s="1"/>
  <c r="AT20" i="18"/>
  <c r="AD21" i="16" s="1"/>
  <c r="AS20" i="18"/>
  <c r="AR20" i="18"/>
  <c r="AQ20" i="18"/>
  <c r="AA21" i="16" s="1"/>
  <c r="AP20" i="18"/>
  <c r="Z21" i="16" s="1"/>
  <c r="AO20" i="18"/>
  <c r="Y21" i="16" s="1"/>
  <c r="AN20" i="18"/>
  <c r="AM20" i="18"/>
  <c r="W21" i="16" s="1"/>
  <c r="AL20" i="18"/>
  <c r="V21" i="16" s="1"/>
  <c r="AK20" i="18"/>
  <c r="U21" i="16" s="1"/>
  <c r="AJ20" i="18"/>
  <c r="AH20" i="18"/>
  <c r="AF20" i="18"/>
  <c r="P21" i="16" s="1"/>
  <c r="AE20" i="18"/>
  <c r="O21" i="16" s="1"/>
  <c r="AD20" i="18"/>
  <c r="AC20" i="18"/>
  <c r="AB20" i="18"/>
  <c r="AA20" i="18"/>
  <c r="Z20" i="18"/>
  <c r="Y20" i="18"/>
  <c r="X20" i="18"/>
  <c r="W20" i="18"/>
  <c r="S20" i="18"/>
  <c r="S15" i="18" s="1"/>
  <c r="K20" i="18"/>
  <c r="K15" i="18" s="1"/>
  <c r="J20" i="18"/>
  <c r="I20" i="18"/>
  <c r="H20" i="18"/>
  <c r="G20" i="18"/>
  <c r="GD18" i="18"/>
  <c r="GC18" i="18"/>
  <c r="GB18" i="18"/>
  <c r="GA18" i="18"/>
  <c r="FZ18" i="18"/>
  <c r="FY18" i="18"/>
  <c r="FX18" i="18"/>
  <c r="FW18" i="18"/>
  <c r="FV18" i="18"/>
  <c r="FU18" i="18"/>
  <c r="FT18" i="18"/>
  <c r="FS18" i="18"/>
  <c r="FR18" i="18"/>
  <c r="FQ18" i="18"/>
  <c r="FP18" i="18"/>
  <c r="FO18" i="18"/>
  <c r="FN18" i="18"/>
  <c r="FM18" i="18"/>
  <c r="FL18" i="18"/>
  <c r="FK18" i="18"/>
  <c r="FJ18" i="18"/>
  <c r="FI18" i="18"/>
  <c r="FH18" i="18"/>
  <c r="FG18" i="18"/>
  <c r="FF18" i="18"/>
  <c r="FE18" i="18"/>
  <c r="FD18" i="18"/>
  <c r="FC18" i="18"/>
  <c r="FB18" i="18"/>
  <c r="FA18" i="18"/>
  <c r="EZ18" i="18"/>
  <c r="EY18" i="18"/>
  <c r="EX18" i="18"/>
  <c r="EW18" i="18"/>
  <c r="EV18" i="18"/>
  <c r="EU18" i="18"/>
  <c r="ET18" i="18"/>
  <c r="ES18" i="18"/>
  <c r="ER18" i="18"/>
  <c r="EQ18" i="18"/>
  <c r="EP18" i="18"/>
  <c r="EO18" i="18"/>
  <c r="EN18" i="18"/>
  <c r="EM18" i="18"/>
  <c r="EL18" i="18"/>
  <c r="EK18" i="18"/>
  <c r="EJ18" i="18"/>
  <c r="EI18" i="18"/>
  <c r="EH18" i="18"/>
  <c r="EG18" i="18"/>
  <c r="EF18" i="18"/>
  <c r="EE18" i="18"/>
  <c r="ED18" i="18"/>
  <c r="EC18" i="18"/>
  <c r="EB18" i="18"/>
  <c r="EA18" i="18"/>
  <c r="DZ18" i="18"/>
  <c r="DY18" i="18"/>
  <c r="DX18" i="18"/>
  <c r="DW18" i="18"/>
  <c r="DV18" i="18"/>
  <c r="DU18" i="18"/>
  <c r="DT18" i="18"/>
  <c r="DS18" i="18"/>
  <c r="DR18" i="18"/>
  <c r="DQ18" i="18"/>
  <c r="DP18" i="18"/>
  <c r="DO18" i="18"/>
  <c r="DN18" i="18"/>
  <c r="DM18" i="18"/>
  <c r="DL18" i="18"/>
  <c r="DK18" i="18"/>
  <c r="DJ18" i="18"/>
  <c r="DI18" i="18"/>
  <c r="DH18" i="18"/>
  <c r="DG18" i="18"/>
  <c r="DF18" i="18"/>
  <c r="DE18" i="18"/>
  <c r="DD18" i="18"/>
  <c r="DC18" i="18"/>
  <c r="DB18" i="18"/>
  <c r="DA18" i="18"/>
  <c r="CZ18" i="18"/>
  <c r="CY18" i="18"/>
  <c r="CX18" i="18"/>
  <c r="CW18" i="18"/>
  <c r="CV18" i="18"/>
  <c r="CU18" i="18"/>
  <c r="CT18" i="18"/>
  <c r="CS18" i="18"/>
  <c r="CR18" i="18"/>
  <c r="CQ18" i="18"/>
  <c r="CP18" i="18"/>
  <c r="CO18" i="18"/>
  <c r="CN18" i="18"/>
  <c r="CM18" i="18"/>
  <c r="CL18" i="18"/>
  <c r="CK18" i="18"/>
  <c r="CJ18" i="18"/>
  <c r="CI18" i="18"/>
  <c r="CH18" i="18"/>
  <c r="CG18" i="18"/>
  <c r="CF18" i="18"/>
  <c r="CE18" i="18"/>
  <c r="CD18" i="18"/>
  <c r="CC18" i="18"/>
  <c r="CB18" i="18"/>
  <c r="CA18" i="18"/>
  <c r="BZ18" i="18"/>
  <c r="BY18" i="18"/>
  <c r="BX18" i="18"/>
  <c r="BW18" i="18"/>
  <c r="BV18" i="18"/>
  <c r="BU18" i="18"/>
  <c r="BT18" i="18"/>
  <c r="BS18" i="18"/>
  <c r="BR18" i="18"/>
  <c r="BQ18" i="18"/>
  <c r="BP18" i="18"/>
  <c r="BO18" i="18"/>
  <c r="BN18" i="18"/>
  <c r="BM18" i="18"/>
  <c r="BL18" i="18"/>
  <c r="BK18" i="18"/>
  <c r="BJ18" i="18"/>
  <c r="BI18" i="18"/>
  <c r="BH18" i="18"/>
  <c r="BG18" i="18"/>
  <c r="BF18" i="18"/>
  <c r="BE18" i="18"/>
  <c r="BD18" i="18"/>
  <c r="BC18" i="18"/>
  <c r="BB18" i="18"/>
  <c r="BA18" i="18"/>
  <c r="AZ18" i="18"/>
  <c r="AY18" i="18"/>
  <c r="AX18" i="18"/>
  <c r="AW18" i="18"/>
  <c r="AV18" i="18"/>
  <c r="AU18" i="18"/>
  <c r="AT18" i="18"/>
  <c r="AS18" i="18"/>
  <c r="AR18" i="18"/>
  <c r="AQ18" i="18"/>
  <c r="AP18" i="18"/>
  <c r="AO18" i="18"/>
  <c r="AN18" i="18"/>
  <c r="AM18" i="18"/>
  <c r="AL18" i="18"/>
  <c r="AK18" i="18"/>
  <c r="AJ18" i="18"/>
  <c r="AI18" i="18"/>
  <c r="AH18" i="18"/>
  <c r="AG18" i="18"/>
  <c r="AF18" i="18"/>
  <c r="AE18" i="18"/>
  <c r="V15" i="18"/>
  <c r="U15" i="18"/>
  <c r="U6" i="18" s="1"/>
  <c r="T15" i="18"/>
  <c r="R15" i="18"/>
  <c r="Q15" i="18"/>
  <c r="Q6" i="18" s="1"/>
  <c r="Q48" i="18" s="1"/>
  <c r="P15" i="18"/>
  <c r="P6" i="18" s="1"/>
  <c r="O15" i="18"/>
  <c r="N15" i="18"/>
  <c r="M15" i="18"/>
  <c r="M6" i="18" s="1"/>
  <c r="M48" i="18" s="1"/>
  <c r="L15" i="18"/>
  <c r="J15" i="18"/>
  <c r="I15" i="18"/>
  <c r="H15" i="18"/>
  <c r="H6" i="18" s="1"/>
  <c r="G15" i="18"/>
  <c r="GD14" i="18"/>
  <c r="GC14" i="18"/>
  <c r="GB14" i="18"/>
  <c r="GA14" i="18"/>
  <c r="FZ14" i="18"/>
  <c r="FY14" i="18"/>
  <c r="FX14" i="18"/>
  <c r="FW14" i="18"/>
  <c r="FV14" i="18"/>
  <c r="FU14" i="18"/>
  <c r="FT14" i="18"/>
  <c r="FS14" i="18"/>
  <c r="FR14" i="18"/>
  <c r="FQ14" i="18"/>
  <c r="FP14" i="18"/>
  <c r="FO14" i="18"/>
  <c r="FN14" i="18"/>
  <c r="FM14" i="18"/>
  <c r="FL14" i="18"/>
  <c r="FK14" i="18"/>
  <c r="FJ14" i="18"/>
  <c r="FI14" i="18"/>
  <c r="FH14" i="18"/>
  <c r="FG14" i="18"/>
  <c r="FF14" i="18"/>
  <c r="FE14" i="18"/>
  <c r="FD14" i="18"/>
  <c r="FC14" i="18"/>
  <c r="FB14" i="18"/>
  <c r="FA14" i="18"/>
  <c r="EZ14" i="18"/>
  <c r="EY14" i="18"/>
  <c r="EX14" i="18"/>
  <c r="EW14" i="18"/>
  <c r="EV14" i="18"/>
  <c r="EU14" i="18"/>
  <c r="ET14" i="18"/>
  <c r="ES14" i="18"/>
  <c r="ER14" i="18"/>
  <c r="EQ14" i="18"/>
  <c r="EP14" i="18"/>
  <c r="EO14" i="18"/>
  <c r="EN14" i="18"/>
  <c r="EM14" i="18"/>
  <c r="EL14" i="18"/>
  <c r="EK14" i="18"/>
  <c r="EJ14" i="18"/>
  <c r="EI14" i="18"/>
  <c r="EH14" i="18"/>
  <c r="EG14" i="18"/>
  <c r="EF14" i="18"/>
  <c r="EE14" i="18"/>
  <c r="ED14" i="18"/>
  <c r="EC14" i="18"/>
  <c r="EB14" i="18"/>
  <c r="EA14" i="18"/>
  <c r="DZ14" i="18"/>
  <c r="DY14" i="18"/>
  <c r="DX14" i="18"/>
  <c r="DW14" i="18"/>
  <c r="DV14" i="18"/>
  <c r="DU14" i="18"/>
  <c r="DT14" i="18"/>
  <c r="DS14" i="18"/>
  <c r="DR14" i="18"/>
  <c r="DQ14" i="18"/>
  <c r="DP14" i="18"/>
  <c r="DO14" i="18"/>
  <c r="DN14" i="18"/>
  <c r="DM14" i="18"/>
  <c r="DL14" i="18"/>
  <c r="DK14" i="18"/>
  <c r="DJ14" i="18"/>
  <c r="DI14" i="18"/>
  <c r="DH14" i="18"/>
  <c r="DG14" i="18"/>
  <c r="DF14" i="18"/>
  <c r="DE14" i="18"/>
  <c r="DD14" i="18"/>
  <c r="DC14" i="18"/>
  <c r="DB14" i="18"/>
  <c r="DA14" i="18"/>
  <c r="CZ14" i="18"/>
  <c r="CY14" i="18"/>
  <c r="CX14" i="18"/>
  <c r="CW14" i="18"/>
  <c r="CV14" i="18"/>
  <c r="CU14" i="18"/>
  <c r="CT14" i="18"/>
  <c r="CS14" i="18"/>
  <c r="CR14" i="18"/>
  <c r="CQ14" i="18"/>
  <c r="CP14" i="18"/>
  <c r="CO14" i="18"/>
  <c r="CN14" i="18"/>
  <c r="CM14" i="18"/>
  <c r="CL14" i="18"/>
  <c r="CK14" i="18"/>
  <c r="CJ14" i="18"/>
  <c r="CI14" i="18"/>
  <c r="CH14" i="18"/>
  <c r="CG14" i="18"/>
  <c r="CF14" i="18"/>
  <c r="CE14" i="18"/>
  <c r="CD14" i="18"/>
  <c r="CC14" i="18"/>
  <c r="CB14" i="18"/>
  <c r="CA14" i="18"/>
  <c r="BZ14" i="18"/>
  <c r="BY14" i="18"/>
  <c r="BX14" i="18"/>
  <c r="BW14" i="18"/>
  <c r="BV14" i="18"/>
  <c r="BU14" i="18"/>
  <c r="BT14" i="18"/>
  <c r="BS14" i="18"/>
  <c r="BR14" i="18"/>
  <c r="BQ14" i="18"/>
  <c r="BP14" i="18"/>
  <c r="BO14" i="18"/>
  <c r="BN14" i="18"/>
  <c r="BM14" i="18"/>
  <c r="BL14" i="18"/>
  <c r="BK14" i="18"/>
  <c r="BJ14" i="18"/>
  <c r="BI14" i="18"/>
  <c r="BH14" i="18"/>
  <c r="BG14" i="18"/>
  <c r="BF14" i="18"/>
  <c r="BE14" i="18"/>
  <c r="BD14" i="18"/>
  <c r="BC14" i="18"/>
  <c r="BB14" i="18"/>
  <c r="BA14" i="18"/>
  <c r="AZ14" i="18"/>
  <c r="AY14" i="18"/>
  <c r="AX14" i="18"/>
  <c r="AW14" i="18"/>
  <c r="AU14" i="18"/>
  <c r="AT14" i="18"/>
  <c r="AS14" i="18"/>
  <c r="AQ14" i="18"/>
  <c r="AP14" i="18"/>
  <c r="AO14" i="18"/>
  <c r="AL14" i="18"/>
  <c r="AK14" i="18"/>
  <c r="AJ14" i="18"/>
  <c r="AI14" i="18"/>
  <c r="AD14" i="18"/>
  <c r="AC14" i="18"/>
  <c r="Z14" i="18"/>
  <c r="Y14" i="18"/>
  <c r="X14" i="18"/>
  <c r="W14" i="18"/>
  <c r="AH12" i="18"/>
  <c r="AG12" i="18"/>
  <c r="AF12" i="18"/>
  <c r="AE12" i="18"/>
  <c r="AD12" i="18"/>
  <c r="AC12" i="18"/>
  <c r="AB12" i="18"/>
  <c r="AA12" i="18"/>
  <c r="V7" i="18"/>
  <c r="U7" i="18"/>
  <c r="T7" i="18"/>
  <c r="S7" i="18"/>
  <c r="S6" i="18" s="1"/>
  <c r="S48" i="18" s="1"/>
  <c r="R7" i="18"/>
  <c r="R6" i="18" s="1"/>
  <c r="Q7" i="18"/>
  <c r="P7" i="18"/>
  <c r="O7" i="18"/>
  <c r="N7" i="18"/>
  <c r="N6" i="18" s="1"/>
  <c r="N48" i="18" s="1"/>
  <c r="M7" i="18"/>
  <c r="L7" i="18"/>
  <c r="K7" i="18"/>
  <c r="K6" i="18" s="1"/>
  <c r="J7" i="18"/>
  <c r="I7" i="18"/>
  <c r="H7" i="18"/>
  <c r="G7" i="18"/>
  <c r="V6" i="18"/>
  <c r="O6" i="18"/>
  <c r="O48" i="18" s="1"/>
  <c r="W5" i="18"/>
  <c r="W3" i="18" s="1"/>
  <c r="U5" i="18"/>
  <c r="T5" i="18" s="1"/>
  <c r="V3" i="18"/>
  <c r="D29" i="17"/>
  <c r="C21" i="21" s="1"/>
  <c r="F27" i="17"/>
  <c r="F26" i="17"/>
  <c r="F25" i="17"/>
  <c r="F24" i="17"/>
  <c r="D23" i="17"/>
  <c r="J22" i="17"/>
  <c r="I22" i="17"/>
  <c r="H22" i="17"/>
  <c r="G22" i="17"/>
  <c r="L19" i="17"/>
  <c r="D17" i="17"/>
  <c r="J13" i="17"/>
  <c r="J12" i="17" s="1"/>
  <c r="I13" i="17"/>
  <c r="I12" i="17" s="1"/>
  <c r="H13" i="17"/>
  <c r="H12" i="17" s="1"/>
  <c r="G13" i="17"/>
  <c r="G12" i="17" s="1"/>
  <c r="J10" i="17"/>
  <c r="J4" i="17" s="1"/>
  <c r="I10" i="17"/>
  <c r="I4" i="17" s="1"/>
  <c r="H10" i="17"/>
  <c r="H4" i="17" s="1"/>
  <c r="G10" i="17"/>
  <c r="G4" i="17" s="1"/>
  <c r="E9" i="17"/>
  <c r="H140" i="16"/>
  <c r="H139" i="16"/>
  <c r="H138" i="16"/>
  <c r="S135" i="16"/>
  <c r="G128" i="16"/>
  <c r="S127" i="16"/>
  <c r="R127" i="16"/>
  <c r="Q127" i="16"/>
  <c r="P127" i="16"/>
  <c r="O127" i="16"/>
  <c r="N127" i="16"/>
  <c r="M127" i="16"/>
  <c r="L127" i="16"/>
  <c r="K127" i="16"/>
  <c r="J127" i="16"/>
  <c r="V126" i="16"/>
  <c r="V125" i="16"/>
  <c r="V124" i="16"/>
  <c r="V123" i="16"/>
  <c r="V122" i="16"/>
  <c r="V121" i="16"/>
  <c r="V120" i="16"/>
  <c r="V119" i="16"/>
  <c r="V118" i="16"/>
  <c r="V117" i="16"/>
  <c r="S111" i="16"/>
  <c r="T119" i="16" s="1"/>
  <c r="R111" i="16"/>
  <c r="Q111" i="16"/>
  <c r="P111" i="16"/>
  <c r="P128" i="16" s="1"/>
  <c r="O111" i="16"/>
  <c r="O128" i="16" s="1"/>
  <c r="N111" i="16"/>
  <c r="M111" i="16"/>
  <c r="L111" i="16"/>
  <c r="K111" i="16"/>
  <c r="J111" i="16"/>
  <c r="I111" i="16"/>
  <c r="H110" i="16"/>
  <c r="J108" i="16"/>
  <c r="K108" i="16" s="1"/>
  <c r="L108" i="16" s="1"/>
  <c r="M108" i="16" s="1"/>
  <c r="N108" i="16" s="1"/>
  <c r="O108" i="16" s="1"/>
  <c r="P108" i="16" s="1"/>
  <c r="Q108" i="16" s="1"/>
  <c r="R108" i="16" s="1"/>
  <c r="FX101" i="16"/>
  <c r="FW101" i="16"/>
  <c r="FV101" i="16"/>
  <c r="FU101" i="16"/>
  <c r="FT101" i="16"/>
  <c r="FS101" i="16"/>
  <c r="FR101" i="16"/>
  <c r="FQ101" i="16"/>
  <c r="FP101" i="16"/>
  <c r="FO101" i="16"/>
  <c r="FN101" i="16"/>
  <c r="FM101" i="16"/>
  <c r="G100" i="16"/>
  <c r="G94" i="16" s="1"/>
  <c r="G96" i="16" s="1"/>
  <c r="G102" i="16" s="1"/>
  <c r="W26" i="18" s="1"/>
  <c r="G99" i="16"/>
  <c r="F99" i="16" s="1"/>
  <c r="G93" i="16"/>
  <c r="H93" i="16" s="1"/>
  <c r="G87" i="16"/>
  <c r="GD83" i="16"/>
  <c r="GC83" i="16"/>
  <c r="GB83" i="16"/>
  <c r="GA83" i="16"/>
  <c r="FZ83" i="16"/>
  <c r="FY83" i="16"/>
  <c r="FX83" i="16"/>
  <c r="FW83" i="16"/>
  <c r="FV83" i="16"/>
  <c r="FU83" i="16"/>
  <c r="FT83" i="16"/>
  <c r="FS83" i="16"/>
  <c r="FR83" i="16"/>
  <c r="FQ83" i="16"/>
  <c r="FP83" i="16"/>
  <c r="FO83" i="16"/>
  <c r="FN83" i="16"/>
  <c r="FM83" i="16"/>
  <c r="FL83" i="16"/>
  <c r="FK83" i="16"/>
  <c r="FJ83" i="16"/>
  <c r="FI83" i="16"/>
  <c r="FH83" i="16"/>
  <c r="FG83" i="16"/>
  <c r="FF83" i="16"/>
  <c r="FE83" i="16"/>
  <c r="FD83" i="16"/>
  <c r="FC83" i="16"/>
  <c r="FB83" i="16"/>
  <c r="FA83" i="16"/>
  <c r="EZ83" i="16"/>
  <c r="EY83" i="16"/>
  <c r="EX83" i="16"/>
  <c r="EW83" i="16"/>
  <c r="EV83" i="16"/>
  <c r="EU83" i="16"/>
  <c r="ET83" i="16"/>
  <c r="ES83" i="16"/>
  <c r="ER83" i="16"/>
  <c r="EQ83" i="16"/>
  <c r="EP83" i="16"/>
  <c r="EO83" i="16"/>
  <c r="EN83" i="16"/>
  <c r="EM83" i="16"/>
  <c r="EL83" i="16"/>
  <c r="EK83" i="16"/>
  <c r="EJ83" i="16"/>
  <c r="EI83" i="16"/>
  <c r="EH83" i="16"/>
  <c r="EG83" i="16"/>
  <c r="EF83" i="16"/>
  <c r="EE83" i="16"/>
  <c r="ED83" i="16"/>
  <c r="EC83" i="16"/>
  <c r="EB83" i="16"/>
  <c r="EA83" i="16"/>
  <c r="DZ83" i="16"/>
  <c r="DY83" i="16"/>
  <c r="DX83" i="16"/>
  <c r="DW83" i="16"/>
  <c r="DV83" i="16"/>
  <c r="DU83" i="16"/>
  <c r="DT83" i="16"/>
  <c r="DS83" i="16"/>
  <c r="DR83" i="16"/>
  <c r="DQ83" i="16"/>
  <c r="DP83" i="16"/>
  <c r="DO83" i="16"/>
  <c r="DN83" i="16"/>
  <c r="DM83" i="16"/>
  <c r="DL83" i="16"/>
  <c r="DK83" i="16"/>
  <c r="DJ83" i="16"/>
  <c r="DI83" i="16"/>
  <c r="DH83" i="16"/>
  <c r="DG83" i="16"/>
  <c r="DF83" i="16"/>
  <c r="DE83" i="16"/>
  <c r="DD83" i="16"/>
  <c r="DC83" i="16"/>
  <c r="DB83" i="16"/>
  <c r="DA83" i="16"/>
  <c r="CZ83" i="16"/>
  <c r="CY83" i="16"/>
  <c r="CX83" i="16"/>
  <c r="CW83" i="16"/>
  <c r="CV83" i="16"/>
  <c r="CU83" i="16"/>
  <c r="CT83" i="16"/>
  <c r="CS83" i="16"/>
  <c r="CR83" i="16"/>
  <c r="CQ83" i="16"/>
  <c r="CP83" i="16"/>
  <c r="CO83" i="16"/>
  <c r="CN83" i="16"/>
  <c r="CM83" i="16"/>
  <c r="CL83" i="16"/>
  <c r="CK83" i="16"/>
  <c r="CJ83" i="16"/>
  <c r="CI83" i="16"/>
  <c r="CH83" i="16"/>
  <c r="CG83" i="16"/>
  <c r="CF83" i="16"/>
  <c r="CE83" i="16"/>
  <c r="CD83" i="16"/>
  <c r="CC83" i="16"/>
  <c r="CB83" i="16"/>
  <c r="CA83" i="16"/>
  <c r="BZ83" i="16"/>
  <c r="BY83" i="16"/>
  <c r="BX83" i="16"/>
  <c r="BW83" i="16"/>
  <c r="BV83" i="16"/>
  <c r="BU83" i="16"/>
  <c r="BT83" i="16"/>
  <c r="BS83" i="16"/>
  <c r="BR83" i="16"/>
  <c r="BQ83" i="16"/>
  <c r="BP83" i="16"/>
  <c r="BO83" i="16"/>
  <c r="BN83" i="16"/>
  <c r="BM83" i="16"/>
  <c r="BL83" i="16"/>
  <c r="BK83" i="16"/>
  <c r="BJ83" i="16"/>
  <c r="BI83" i="16"/>
  <c r="BH83" i="16"/>
  <c r="BG83" i="16"/>
  <c r="BF83" i="16"/>
  <c r="BE83" i="16"/>
  <c r="BD83" i="16"/>
  <c r="BC83" i="16"/>
  <c r="BB83" i="16"/>
  <c r="BA83" i="16"/>
  <c r="AZ83" i="16"/>
  <c r="AY83" i="16"/>
  <c r="AX83" i="16"/>
  <c r="AW83" i="16"/>
  <c r="AV83" i="16"/>
  <c r="AU83" i="16"/>
  <c r="AT83" i="16"/>
  <c r="AS83" i="16"/>
  <c r="AR83" i="16"/>
  <c r="AQ83" i="16"/>
  <c r="AP83" i="16"/>
  <c r="AO83" i="16"/>
  <c r="AN83" i="16"/>
  <c r="AM83" i="16"/>
  <c r="AL83" i="16"/>
  <c r="AK83" i="16"/>
  <c r="AJ83" i="16"/>
  <c r="AI83" i="16"/>
  <c r="AH83" i="16"/>
  <c r="AG83" i="16"/>
  <c r="AF83" i="16"/>
  <c r="AE83" i="16"/>
  <c r="AD83" i="16"/>
  <c r="AC83" i="16"/>
  <c r="AB83" i="16"/>
  <c r="AA83" i="16"/>
  <c r="Z83" i="16"/>
  <c r="Y83" i="16"/>
  <c r="X83" i="16"/>
  <c r="W83" i="16"/>
  <c r="V83" i="16"/>
  <c r="U83" i="16"/>
  <c r="T83" i="16"/>
  <c r="S83" i="16"/>
  <c r="R83" i="16"/>
  <c r="Q83" i="16"/>
  <c r="P83" i="16"/>
  <c r="O83" i="16"/>
  <c r="N83" i="16"/>
  <c r="M83" i="16"/>
  <c r="L83" i="16"/>
  <c r="K83" i="16"/>
  <c r="J83" i="16"/>
  <c r="I83" i="16"/>
  <c r="H83" i="16"/>
  <c r="G83" i="16"/>
  <c r="F82" i="16"/>
  <c r="G81" i="16"/>
  <c r="H81" i="16" s="1"/>
  <c r="I81" i="16" s="1"/>
  <c r="J81" i="16" s="1"/>
  <c r="K81" i="16" s="1"/>
  <c r="L81" i="16" s="1"/>
  <c r="M81" i="16" s="1"/>
  <c r="N81" i="16" s="1"/>
  <c r="O81" i="16" s="1"/>
  <c r="P81" i="16" s="1"/>
  <c r="Q81" i="16" s="1"/>
  <c r="R81" i="16" s="1"/>
  <c r="S81" i="16" s="1"/>
  <c r="T81" i="16" s="1"/>
  <c r="U81" i="16" s="1"/>
  <c r="V81" i="16" s="1"/>
  <c r="W81" i="16" s="1"/>
  <c r="X81" i="16" s="1"/>
  <c r="Y81" i="16" s="1"/>
  <c r="Z81" i="16" s="1"/>
  <c r="AA81" i="16" s="1"/>
  <c r="AB81" i="16" s="1"/>
  <c r="AC81" i="16" s="1"/>
  <c r="AD81" i="16" s="1"/>
  <c r="AE81" i="16" s="1"/>
  <c r="AF81" i="16" s="1"/>
  <c r="AG81" i="16" s="1"/>
  <c r="AH81" i="16" s="1"/>
  <c r="AI81" i="16" s="1"/>
  <c r="AJ81" i="16" s="1"/>
  <c r="AK81" i="16" s="1"/>
  <c r="AL81" i="16" s="1"/>
  <c r="AM81" i="16" s="1"/>
  <c r="AN81" i="16" s="1"/>
  <c r="AO81" i="16" s="1"/>
  <c r="AP81" i="16" s="1"/>
  <c r="AQ81" i="16" s="1"/>
  <c r="AR81" i="16" s="1"/>
  <c r="AS81" i="16" s="1"/>
  <c r="AT81" i="16" s="1"/>
  <c r="AU81" i="16" s="1"/>
  <c r="AV81" i="16" s="1"/>
  <c r="AW81" i="16" s="1"/>
  <c r="AX81" i="16" s="1"/>
  <c r="AY81" i="16" s="1"/>
  <c r="AZ81" i="16" s="1"/>
  <c r="BA81" i="16" s="1"/>
  <c r="BB81" i="16" s="1"/>
  <c r="BC81" i="16" s="1"/>
  <c r="BD81" i="16" s="1"/>
  <c r="BE81" i="16" s="1"/>
  <c r="BF81" i="16" s="1"/>
  <c r="BG81" i="16" s="1"/>
  <c r="BH81" i="16" s="1"/>
  <c r="BI81" i="16" s="1"/>
  <c r="BJ81" i="16" s="1"/>
  <c r="BK81" i="16" s="1"/>
  <c r="BL81" i="16" s="1"/>
  <c r="BM81" i="16" s="1"/>
  <c r="BN81" i="16" s="1"/>
  <c r="BO81" i="16" s="1"/>
  <c r="BP81" i="16" s="1"/>
  <c r="BQ81" i="16" s="1"/>
  <c r="BR81" i="16" s="1"/>
  <c r="BS81" i="16" s="1"/>
  <c r="BT81" i="16" s="1"/>
  <c r="BU81" i="16" s="1"/>
  <c r="BV81" i="16" s="1"/>
  <c r="BW81" i="16" s="1"/>
  <c r="BX81" i="16" s="1"/>
  <c r="BY81" i="16" s="1"/>
  <c r="BZ81" i="16" s="1"/>
  <c r="CA81" i="16" s="1"/>
  <c r="CB81" i="16" s="1"/>
  <c r="CC81" i="16" s="1"/>
  <c r="CD81" i="16" s="1"/>
  <c r="CE81" i="16" s="1"/>
  <c r="CF81" i="16" s="1"/>
  <c r="CG81" i="16" s="1"/>
  <c r="CH81" i="16" s="1"/>
  <c r="CI81" i="16" s="1"/>
  <c r="CJ81" i="16" s="1"/>
  <c r="CK81" i="16" s="1"/>
  <c r="CL81" i="16" s="1"/>
  <c r="CM81" i="16" s="1"/>
  <c r="CN81" i="16" s="1"/>
  <c r="CO81" i="16" s="1"/>
  <c r="CP81" i="16" s="1"/>
  <c r="CQ81" i="16" s="1"/>
  <c r="CR81" i="16" s="1"/>
  <c r="CS81" i="16" s="1"/>
  <c r="CT81" i="16" s="1"/>
  <c r="CU81" i="16" s="1"/>
  <c r="CV81" i="16" s="1"/>
  <c r="CW81" i="16" s="1"/>
  <c r="CX81" i="16" s="1"/>
  <c r="CY81" i="16" s="1"/>
  <c r="CZ81" i="16" s="1"/>
  <c r="DA81" i="16" s="1"/>
  <c r="DB81" i="16" s="1"/>
  <c r="DC81" i="16" s="1"/>
  <c r="DD81" i="16" s="1"/>
  <c r="DE81" i="16" s="1"/>
  <c r="DF81" i="16" s="1"/>
  <c r="DG81" i="16" s="1"/>
  <c r="DH81" i="16" s="1"/>
  <c r="DI81" i="16" s="1"/>
  <c r="DJ81" i="16" s="1"/>
  <c r="DK81" i="16" s="1"/>
  <c r="DL81" i="16" s="1"/>
  <c r="DM81" i="16" s="1"/>
  <c r="DN81" i="16" s="1"/>
  <c r="DO81" i="16" s="1"/>
  <c r="DP81" i="16" s="1"/>
  <c r="DQ81" i="16" s="1"/>
  <c r="DR81" i="16" s="1"/>
  <c r="DS81" i="16" s="1"/>
  <c r="DT81" i="16" s="1"/>
  <c r="DU81" i="16" s="1"/>
  <c r="DV81" i="16" s="1"/>
  <c r="DW81" i="16" s="1"/>
  <c r="DX81" i="16" s="1"/>
  <c r="DY81" i="16" s="1"/>
  <c r="DZ81" i="16" s="1"/>
  <c r="EA81" i="16" s="1"/>
  <c r="EB81" i="16" s="1"/>
  <c r="EC81" i="16" s="1"/>
  <c r="ED81" i="16" s="1"/>
  <c r="EE81" i="16" s="1"/>
  <c r="EF81" i="16" s="1"/>
  <c r="EG81" i="16" s="1"/>
  <c r="EH81" i="16" s="1"/>
  <c r="EI81" i="16" s="1"/>
  <c r="EJ81" i="16" s="1"/>
  <c r="EK81" i="16" s="1"/>
  <c r="EL81" i="16" s="1"/>
  <c r="EM81" i="16" s="1"/>
  <c r="EN81" i="16" s="1"/>
  <c r="EO81" i="16" s="1"/>
  <c r="EP81" i="16" s="1"/>
  <c r="EQ81" i="16" s="1"/>
  <c r="ER81" i="16" s="1"/>
  <c r="ES81" i="16" s="1"/>
  <c r="ET81" i="16" s="1"/>
  <c r="EU81" i="16" s="1"/>
  <c r="EV81" i="16" s="1"/>
  <c r="EW81" i="16" s="1"/>
  <c r="EX81" i="16" s="1"/>
  <c r="EY81" i="16" s="1"/>
  <c r="EZ81" i="16" s="1"/>
  <c r="FA81" i="16" s="1"/>
  <c r="FB81" i="16" s="1"/>
  <c r="FC81" i="16" s="1"/>
  <c r="FD81" i="16" s="1"/>
  <c r="FE81" i="16" s="1"/>
  <c r="FF81" i="16" s="1"/>
  <c r="FG81" i="16" s="1"/>
  <c r="FH81" i="16" s="1"/>
  <c r="FI81" i="16" s="1"/>
  <c r="FJ81" i="16" s="1"/>
  <c r="FK81" i="16" s="1"/>
  <c r="FL81" i="16" s="1"/>
  <c r="FM81" i="16" s="1"/>
  <c r="FN81" i="16" s="1"/>
  <c r="FO81" i="16" s="1"/>
  <c r="FP81" i="16" s="1"/>
  <c r="FQ81" i="16" s="1"/>
  <c r="FR81" i="16" s="1"/>
  <c r="FS81" i="16" s="1"/>
  <c r="FT81" i="16" s="1"/>
  <c r="FU81" i="16" s="1"/>
  <c r="FV81" i="16" s="1"/>
  <c r="FW81" i="16" s="1"/>
  <c r="FX81" i="16" s="1"/>
  <c r="FY81" i="16" s="1"/>
  <c r="FZ81" i="16" s="1"/>
  <c r="GA81" i="16" s="1"/>
  <c r="GB81" i="16" s="1"/>
  <c r="GC81" i="16" s="1"/>
  <c r="GD81" i="16" s="1"/>
  <c r="GD76" i="16"/>
  <c r="GC76" i="16"/>
  <c r="GB76" i="16"/>
  <c r="GA76" i="16"/>
  <c r="FZ76" i="16"/>
  <c r="FZ32" i="16" s="1"/>
  <c r="FY76" i="16"/>
  <c r="FY32" i="16" s="1"/>
  <c r="FX76" i="16"/>
  <c r="FX32" i="16" s="1"/>
  <c r="FW76" i="16"/>
  <c r="FW32" i="16" s="1"/>
  <c r="FV76" i="16"/>
  <c r="FV32" i="16" s="1"/>
  <c r="FU76" i="16"/>
  <c r="FU32" i="16" s="1"/>
  <c r="FT76" i="16"/>
  <c r="FT32" i="16" s="1"/>
  <c r="FS76" i="16"/>
  <c r="FS32" i="16" s="1"/>
  <c r="FR76" i="16"/>
  <c r="FR32" i="16" s="1"/>
  <c r="FQ76" i="16"/>
  <c r="FQ32" i="16" s="1"/>
  <c r="FP76" i="16"/>
  <c r="FP32" i="16" s="1"/>
  <c r="FO76" i="16"/>
  <c r="FO32" i="16" s="1"/>
  <c r="FM76" i="16"/>
  <c r="FM32" i="16" s="1"/>
  <c r="ET76" i="16"/>
  <c r="ET32" i="16" s="1"/>
  <c r="EK76" i="16"/>
  <c r="EK32" i="16" s="1"/>
  <c r="EG76" i="16"/>
  <c r="EG32" i="16" s="1"/>
  <c r="DA76" i="16"/>
  <c r="DA32" i="16" s="1"/>
  <c r="CG76" i="16"/>
  <c r="CG32" i="16" s="1"/>
  <c r="CC76" i="16"/>
  <c r="CC32" i="16" s="1"/>
  <c r="AI76" i="16"/>
  <c r="AI32" i="16" s="1"/>
  <c r="AH76" i="16"/>
  <c r="AH32" i="16" s="1"/>
  <c r="AG76" i="16"/>
  <c r="AG32" i="16" s="1"/>
  <c r="AF76" i="16"/>
  <c r="AF32" i="16" s="1"/>
  <c r="AE76" i="16"/>
  <c r="AE32" i="16" s="1"/>
  <c r="AD76" i="16"/>
  <c r="AD32" i="16" s="1"/>
  <c r="AC76" i="16"/>
  <c r="AC32" i="16" s="1"/>
  <c r="AB76" i="16"/>
  <c r="AB32" i="16" s="1"/>
  <c r="AA76" i="16"/>
  <c r="AA32" i="16" s="1"/>
  <c r="Z76" i="16"/>
  <c r="Z32" i="16" s="1"/>
  <c r="Y76" i="16"/>
  <c r="X76" i="16"/>
  <c r="X32" i="16" s="1"/>
  <c r="W76" i="16"/>
  <c r="W32" i="16" s="1"/>
  <c r="V76" i="16"/>
  <c r="U76" i="16"/>
  <c r="U32" i="16" s="1"/>
  <c r="T76" i="16"/>
  <c r="T32" i="16" s="1"/>
  <c r="S76" i="16"/>
  <c r="S32" i="16" s="1"/>
  <c r="R76" i="16"/>
  <c r="R32" i="16" s="1"/>
  <c r="Q76" i="16"/>
  <c r="Q32" i="16" s="1"/>
  <c r="P76" i="16"/>
  <c r="P32" i="16" s="1"/>
  <c r="O76" i="16"/>
  <c r="N76" i="16"/>
  <c r="M76" i="16"/>
  <c r="M32" i="16" s="1"/>
  <c r="L76" i="16"/>
  <c r="L32" i="16" s="1"/>
  <c r="K76" i="16"/>
  <c r="K32" i="16" s="1"/>
  <c r="J76" i="16"/>
  <c r="J32" i="16" s="1"/>
  <c r="I76" i="16"/>
  <c r="I32" i="16" s="1"/>
  <c r="H76" i="16"/>
  <c r="H32" i="16" s="1"/>
  <c r="G76" i="16"/>
  <c r="G32" i="16" s="1"/>
  <c r="D76" i="16"/>
  <c r="D31" i="17" s="1"/>
  <c r="GD75" i="16"/>
  <c r="GC75" i="16"/>
  <c r="GB75" i="16"/>
  <c r="GA75" i="16"/>
  <c r="FZ75" i="16"/>
  <c r="FZ31" i="16" s="1"/>
  <c r="FY75" i="16"/>
  <c r="FY31" i="16" s="1"/>
  <c r="FX75" i="16"/>
  <c r="FX31" i="16" s="1"/>
  <c r="FW75" i="16"/>
  <c r="FV75" i="16"/>
  <c r="FV31" i="16" s="1"/>
  <c r="FU75" i="16"/>
  <c r="FU31" i="16" s="1"/>
  <c r="FT75" i="16"/>
  <c r="FT31" i="16" s="1"/>
  <c r="FS75" i="16"/>
  <c r="FS31" i="16" s="1"/>
  <c r="FR75" i="16"/>
  <c r="FR31" i="16" s="1"/>
  <c r="FQ75" i="16"/>
  <c r="FQ31" i="16" s="1"/>
  <c r="FP75" i="16"/>
  <c r="FP31" i="16" s="1"/>
  <c r="FO75" i="16"/>
  <c r="FI75" i="16"/>
  <c r="FI31" i="16" s="1"/>
  <c r="EP75" i="16"/>
  <c r="EP31" i="16" s="1"/>
  <c r="EC75" i="16"/>
  <c r="EC31" i="16" s="1"/>
  <c r="DO75" i="16"/>
  <c r="DO31" i="16" s="1"/>
  <c r="DE75" i="16"/>
  <c r="DE31" i="16" s="1"/>
  <c r="DB75" i="16"/>
  <c r="DB31" i="16" s="1"/>
  <c r="BY75" i="16"/>
  <c r="BY31" i="16" s="1"/>
  <c r="AX75" i="16"/>
  <c r="AX31" i="16" s="1"/>
  <c r="U75" i="16"/>
  <c r="GD74" i="16"/>
  <c r="GC74" i="16"/>
  <c r="GB74" i="16"/>
  <c r="GA74" i="16"/>
  <c r="N74" i="16"/>
  <c r="M74" i="16"/>
  <c r="L74" i="16"/>
  <c r="K74" i="16"/>
  <c r="K30" i="16" s="1"/>
  <c r="G73" i="16"/>
  <c r="H73" i="16" s="1"/>
  <c r="I73" i="16" s="1"/>
  <c r="J73" i="16" s="1"/>
  <c r="K73" i="16" s="1"/>
  <c r="L73" i="16" s="1"/>
  <c r="M73" i="16" s="1"/>
  <c r="N73" i="16" s="1"/>
  <c r="O73" i="16" s="1"/>
  <c r="P73" i="16" s="1"/>
  <c r="Q73" i="16" s="1"/>
  <c r="R73" i="16" s="1"/>
  <c r="S73" i="16" s="1"/>
  <c r="T73" i="16" s="1"/>
  <c r="U73" i="16" s="1"/>
  <c r="V73" i="16" s="1"/>
  <c r="W73" i="16" s="1"/>
  <c r="X73" i="16" s="1"/>
  <c r="Y73" i="16" s="1"/>
  <c r="Z73" i="16" s="1"/>
  <c r="AA73" i="16" s="1"/>
  <c r="AB73" i="16" s="1"/>
  <c r="AC73" i="16" s="1"/>
  <c r="AD73" i="16" s="1"/>
  <c r="AE73" i="16" s="1"/>
  <c r="AF73" i="16" s="1"/>
  <c r="AG73" i="16" s="1"/>
  <c r="AH73" i="16" s="1"/>
  <c r="AI73" i="16" s="1"/>
  <c r="AJ73" i="16" s="1"/>
  <c r="AK73" i="16" s="1"/>
  <c r="AL73" i="16" s="1"/>
  <c r="AM73" i="16" s="1"/>
  <c r="AN73" i="16" s="1"/>
  <c r="AO73" i="16" s="1"/>
  <c r="AP73" i="16" s="1"/>
  <c r="AQ73" i="16" s="1"/>
  <c r="AR73" i="16" s="1"/>
  <c r="AS73" i="16" s="1"/>
  <c r="AT73" i="16" s="1"/>
  <c r="AU73" i="16" s="1"/>
  <c r="AV73" i="16" s="1"/>
  <c r="AW73" i="16" s="1"/>
  <c r="AX73" i="16" s="1"/>
  <c r="AY73" i="16" s="1"/>
  <c r="AZ73" i="16" s="1"/>
  <c r="BA73" i="16" s="1"/>
  <c r="BB73" i="16" s="1"/>
  <c r="BC73" i="16" s="1"/>
  <c r="BD73" i="16" s="1"/>
  <c r="BE73" i="16" s="1"/>
  <c r="BF73" i="16" s="1"/>
  <c r="BG73" i="16" s="1"/>
  <c r="BH73" i="16" s="1"/>
  <c r="BI73" i="16" s="1"/>
  <c r="BJ73" i="16" s="1"/>
  <c r="BK73" i="16" s="1"/>
  <c r="BL73" i="16" s="1"/>
  <c r="BM73" i="16" s="1"/>
  <c r="BN73" i="16" s="1"/>
  <c r="BO73" i="16" s="1"/>
  <c r="BP73" i="16" s="1"/>
  <c r="BQ73" i="16" s="1"/>
  <c r="BR73" i="16" s="1"/>
  <c r="BS73" i="16" s="1"/>
  <c r="BT73" i="16" s="1"/>
  <c r="BU73" i="16" s="1"/>
  <c r="BV73" i="16" s="1"/>
  <c r="BW73" i="16" s="1"/>
  <c r="BX73" i="16" s="1"/>
  <c r="BY73" i="16" s="1"/>
  <c r="BZ73" i="16" s="1"/>
  <c r="CA73" i="16" s="1"/>
  <c r="CB73" i="16" s="1"/>
  <c r="CC73" i="16" s="1"/>
  <c r="CD73" i="16" s="1"/>
  <c r="CE73" i="16" s="1"/>
  <c r="CF73" i="16" s="1"/>
  <c r="CG73" i="16" s="1"/>
  <c r="CH73" i="16" s="1"/>
  <c r="CI73" i="16" s="1"/>
  <c r="CJ73" i="16" s="1"/>
  <c r="CK73" i="16" s="1"/>
  <c r="CL73" i="16" s="1"/>
  <c r="CM73" i="16" s="1"/>
  <c r="CN73" i="16" s="1"/>
  <c r="CO73" i="16" s="1"/>
  <c r="CP73" i="16" s="1"/>
  <c r="CQ73" i="16" s="1"/>
  <c r="CR73" i="16" s="1"/>
  <c r="CS73" i="16" s="1"/>
  <c r="CT73" i="16" s="1"/>
  <c r="CU73" i="16" s="1"/>
  <c r="CV73" i="16" s="1"/>
  <c r="CW73" i="16" s="1"/>
  <c r="CX73" i="16" s="1"/>
  <c r="CY73" i="16" s="1"/>
  <c r="CZ73" i="16" s="1"/>
  <c r="DA73" i="16" s="1"/>
  <c r="DB73" i="16" s="1"/>
  <c r="DC73" i="16" s="1"/>
  <c r="DD73" i="16" s="1"/>
  <c r="DE73" i="16" s="1"/>
  <c r="DF73" i="16" s="1"/>
  <c r="DG73" i="16" s="1"/>
  <c r="DH73" i="16" s="1"/>
  <c r="DI73" i="16" s="1"/>
  <c r="DJ73" i="16" s="1"/>
  <c r="DK73" i="16" s="1"/>
  <c r="DL73" i="16" s="1"/>
  <c r="DM73" i="16" s="1"/>
  <c r="DN73" i="16" s="1"/>
  <c r="DO73" i="16" s="1"/>
  <c r="DP73" i="16" s="1"/>
  <c r="DQ73" i="16" s="1"/>
  <c r="DR73" i="16" s="1"/>
  <c r="DS73" i="16" s="1"/>
  <c r="DT73" i="16" s="1"/>
  <c r="DU73" i="16" s="1"/>
  <c r="DV73" i="16" s="1"/>
  <c r="DW73" i="16" s="1"/>
  <c r="DX73" i="16" s="1"/>
  <c r="DY73" i="16" s="1"/>
  <c r="DZ73" i="16" s="1"/>
  <c r="EA73" i="16" s="1"/>
  <c r="EB73" i="16" s="1"/>
  <c r="EC73" i="16" s="1"/>
  <c r="ED73" i="16" s="1"/>
  <c r="EE73" i="16" s="1"/>
  <c r="EF73" i="16" s="1"/>
  <c r="EG73" i="16" s="1"/>
  <c r="EH73" i="16" s="1"/>
  <c r="EI73" i="16" s="1"/>
  <c r="EJ73" i="16" s="1"/>
  <c r="EK73" i="16" s="1"/>
  <c r="EL73" i="16" s="1"/>
  <c r="EM73" i="16" s="1"/>
  <c r="EN73" i="16" s="1"/>
  <c r="EO73" i="16" s="1"/>
  <c r="EP73" i="16" s="1"/>
  <c r="EQ73" i="16" s="1"/>
  <c r="ER73" i="16" s="1"/>
  <c r="ES73" i="16" s="1"/>
  <c r="ET73" i="16" s="1"/>
  <c r="EU73" i="16" s="1"/>
  <c r="EV73" i="16" s="1"/>
  <c r="EW73" i="16" s="1"/>
  <c r="EX73" i="16" s="1"/>
  <c r="EY73" i="16" s="1"/>
  <c r="EZ73" i="16" s="1"/>
  <c r="FA73" i="16" s="1"/>
  <c r="FB73" i="16" s="1"/>
  <c r="FC73" i="16" s="1"/>
  <c r="FD73" i="16" s="1"/>
  <c r="FE73" i="16" s="1"/>
  <c r="FF73" i="16" s="1"/>
  <c r="FG73" i="16" s="1"/>
  <c r="FH73" i="16" s="1"/>
  <c r="FI73" i="16" s="1"/>
  <c r="FJ73" i="16" s="1"/>
  <c r="FK73" i="16" s="1"/>
  <c r="FL73" i="16" s="1"/>
  <c r="FM73" i="16" s="1"/>
  <c r="FN73" i="16" s="1"/>
  <c r="FO73" i="16" s="1"/>
  <c r="FP73" i="16" s="1"/>
  <c r="FQ73" i="16" s="1"/>
  <c r="FR73" i="16" s="1"/>
  <c r="FS73" i="16" s="1"/>
  <c r="FT73" i="16" s="1"/>
  <c r="FU73" i="16" s="1"/>
  <c r="FV73" i="16" s="1"/>
  <c r="FW73" i="16" s="1"/>
  <c r="FX73" i="16" s="1"/>
  <c r="FY73" i="16" s="1"/>
  <c r="FZ73" i="16" s="1"/>
  <c r="GA73" i="16" s="1"/>
  <c r="GB73" i="16" s="1"/>
  <c r="GC73" i="16" s="1"/>
  <c r="GD73" i="16" s="1"/>
  <c r="F69" i="16"/>
  <c r="F68" i="16"/>
  <c r="F67" i="16"/>
  <c r="G66" i="16"/>
  <c r="H66" i="16" s="1"/>
  <c r="I66" i="16" s="1"/>
  <c r="J66" i="16" s="1"/>
  <c r="K66" i="16" s="1"/>
  <c r="L66" i="16" s="1"/>
  <c r="M66" i="16" s="1"/>
  <c r="N66" i="16" s="1"/>
  <c r="O66" i="16" s="1"/>
  <c r="P66" i="16" s="1"/>
  <c r="Q66" i="16" s="1"/>
  <c r="R66" i="16" s="1"/>
  <c r="S66" i="16" s="1"/>
  <c r="T66" i="16" s="1"/>
  <c r="U66" i="16" s="1"/>
  <c r="V66" i="16" s="1"/>
  <c r="W66" i="16" s="1"/>
  <c r="X66" i="16" s="1"/>
  <c r="Y66" i="16" s="1"/>
  <c r="Z66" i="16" s="1"/>
  <c r="AA66" i="16" s="1"/>
  <c r="AB66" i="16" s="1"/>
  <c r="AC66" i="16" s="1"/>
  <c r="AD66" i="16" s="1"/>
  <c r="AE66" i="16" s="1"/>
  <c r="AF66" i="16" s="1"/>
  <c r="AG66" i="16" s="1"/>
  <c r="AH66" i="16" s="1"/>
  <c r="AI66" i="16" s="1"/>
  <c r="AJ66" i="16" s="1"/>
  <c r="AK66" i="16" s="1"/>
  <c r="AL66" i="16" s="1"/>
  <c r="AM66" i="16" s="1"/>
  <c r="AN66" i="16" s="1"/>
  <c r="AO66" i="16" s="1"/>
  <c r="AP66" i="16" s="1"/>
  <c r="AQ66" i="16" s="1"/>
  <c r="AR66" i="16" s="1"/>
  <c r="AS66" i="16" s="1"/>
  <c r="AT66" i="16" s="1"/>
  <c r="AU66" i="16" s="1"/>
  <c r="AV66" i="16" s="1"/>
  <c r="AW66" i="16" s="1"/>
  <c r="AX66" i="16" s="1"/>
  <c r="AY66" i="16" s="1"/>
  <c r="AZ66" i="16" s="1"/>
  <c r="BA66" i="16" s="1"/>
  <c r="BB66" i="16" s="1"/>
  <c r="BC66" i="16" s="1"/>
  <c r="BD66" i="16" s="1"/>
  <c r="BE66" i="16" s="1"/>
  <c r="BF66" i="16" s="1"/>
  <c r="BG66" i="16" s="1"/>
  <c r="BH66" i="16" s="1"/>
  <c r="BI66" i="16" s="1"/>
  <c r="BJ66" i="16" s="1"/>
  <c r="BK66" i="16" s="1"/>
  <c r="BL66" i="16" s="1"/>
  <c r="BM66" i="16" s="1"/>
  <c r="BN66" i="16" s="1"/>
  <c r="BO66" i="16" s="1"/>
  <c r="BP66" i="16" s="1"/>
  <c r="BQ66" i="16" s="1"/>
  <c r="BR66" i="16" s="1"/>
  <c r="BS66" i="16" s="1"/>
  <c r="BT66" i="16" s="1"/>
  <c r="BU66" i="16" s="1"/>
  <c r="BV66" i="16" s="1"/>
  <c r="BW66" i="16" s="1"/>
  <c r="BX66" i="16" s="1"/>
  <c r="BY66" i="16" s="1"/>
  <c r="BZ66" i="16" s="1"/>
  <c r="CA66" i="16" s="1"/>
  <c r="CB66" i="16" s="1"/>
  <c r="CC66" i="16" s="1"/>
  <c r="CD66" i="16" s="1"/>
  <c r="CE66" i="16" s="1"/>
  <c r="CF66" i="16" s="1"/>
  <c r="CG66" i="16" s="1"/>
  <c r="CH66" i="16" s="1"/>
  <c r="CI66" i="16" s="1"/>
  <c r="CJ66" i="16" s="1"/>
  <c r="CK66" i="16" s="1"/>
  <c r="CL66" i="16" s="1"/>
  <c r="CM66" i="16" s="1"/>
  <c r="CN66" i="16" s="1"/>
  <c r="CO66" i="16" s="1"/>
  <c r="CP66" i="16" s="1"/>
  <c r="CQ66" i="16" s="1"/>
  <c r="CR66" i="16" s="1"/>
  <c r="CS66" i="16" s="1"/>
  <c r="CT66" i="16" s="1"/>
  <c r="CU66" i="16" s="1"/>
  <c r="CV66" i="16" s="1"/>
  <c r="CW66" i="16" s="1"/>
  <c r="CX66" i="16" s="1"/>
  <c r="CY66" i="16" s="1"/>
  <c r="CZ66" i="16" s="1"/>
  <c r="DA66" i="16" s="1"/>
  <c r="DB66" i="16" s="1"/>
  <c r="DC66" i="16" s="1"/>
  <c r="DD66" i="16" s="1"/>
  <c r="DE66" i="16" s="1"/>
  <c r="DF66" i="16" s="1"/>
  <c r="DG66" i="16" s="1"/>
  <c r="DH66" i="16" s="1"/>
  <c r="DI66" i="16" s="1"/>
  <c r="DJ66" i="16" s="1"/>
  <c r="DK66" i="16" s="1"/>
  <c r="DL66" i="16" s="1"/>
  <c r="DM66" i="16" s="1"/>
  <c r="DN66" i="16" s="1"/>
  <c r="DO66" i="16" s="1"/>
  <c r="DP66" i="16" s="1"/>
  <c r="DQ66" i="16" s="1"/>
  <c r="DR66" i="16" s="1"/>
  <c r="DS66" i="16" s="1"/>
  <c r="DT66" i="16" s="1"/>
  <c r="DU66" i="16" s="1"/>
  <c r="DV66" i="16" s="1"/>
  <c r="DW66" i="16" s="1"/>
  <c r="DX66" i="16" s="1"/>
  <c r="DY66" i="16" s="1"/>
  <c r="DZ66" i="16" s="1"/>
  <c r="EA66" i="16" s="1"/>
  <c r="EB66" i="16" s="1"/>
  <c r="EC66" i="16" s="1"/>
  <c r="ED66" i="16" s="1"/>
  <c r="EE66" i="16" s="1"/>
  <c r="EF66" i="16" s="1"/>
  <c r="EG66" i="16" s="1"/>
  <c r="EH66" i="16" s="1"/>
  <c r="EI66" i="16" s="1"/>
  <c r="EJ66" i="16" s="1"/>
  <c r="EK66" i="16" s="1"/>
  <c r="EL66" i="16" s="1"/>
  <c r="EM66" i="16" s="1"/>
  <c r="EN66" i="16" s="1"/>
  <c r="EO66" i="16" s="1"/>
  <c r="EP66" i="16" s="1"/>
  <c r="EQ66" i="16" s="1"/>
  <c r="ER66" i="16" s="1"/>
  <c r="ES66" i="16" s="1"/>
  <c r="ET66" i="16" s="1"/>
  <c r="EU66" i="16" s="1"/>
  <c r="EV66" i="16" s="1"/>
  <c r="EW66" i="16" s="1"/>
  <c r="EX66" i="16" s="1"/>
  <c r="EY66" i="16" s="1"/>
  <c r="EZ66" i="16" s="1"/>
  <c r="FA66" i="16" s="1"/>
  <c r="FB66" i="16" s="1"/>
  <c r="FC66" i="16" s="1"/>
  <c r="FD66" i="16" s="1"/>
  <c r="FE66" i="16" s="1"/>
  <c r="FF66" i="16" s="1"/>
  <c r="FG66" i="16" s="1"/>
  <c r="FH66" i="16" s="1"/>
  <c r="FI66" i="16" s="1"/>
  <c r="FJ66" i="16" s="1"/>
  <c r="FK66" i="16" s="1"/>
  <c r="FL66" i="16" s="1"/>
  <c r="FM66" i="16" s="1"/>
  <c r="FN66" i="16" s="1"/>
  <c r="FO66" i="16" s="1"/>
  <c r="FP66" i="16" s="1"/>
  <c r="FQ66" i="16" s="1"/>
  <c r="FR66" i="16" s="1"/>
  <c r="FS66" i="16" s="1"/>
  <c r="FT66" i="16" s="1"/>
  <c r="FU66" i="16" s="1"/>
  <c r="FV66" i="16" s="1"/>
  <c r="FW66" i="16" s="1"/>
  <c r="FX66" i="16" s="1"/>
  <c r="FY66" i="16" s="1"/>
  <c r="FZ66" i="16" s="1"/>
  <c r="GA66" i="16" s="1"/>
  <c r="GB66" i="16" s="1"/>
  <c r="GC66" i="16" s="1"/>
  <c r="GD66" i="16" s="1"/>
  <c r="GD62" i="16"/>
  <c r="GC62" i="16"/>
  <c r="GB62" i="16"/>
  <c r="GA62" i="16"/>
  <c r="FZ62" i="16"/>
  <c r="FZ25" i="16" s="1"/>
  <c r="FY62" i="16"/>
  <c r="FY25" i="16" s="1"/>
  <c r="FX62" i="16"/>
  <c r="FX25" i="16" s="1"/>
  <c r="FW62" i="16"/>
  <c r="FW25" i="16" s="1"/>
  <c r="FV62" i="16"/>
  <c r="FU62" i="16"/>
  <c r="FU25" i="16" s="1"/>
  <c r="FT62" i="16"/>
  <c r="FT25" i="16" s="1"/>
  <c r="FS62" i="16"/>
  <c r="FS25" i="16" s="1"/>
  <c r="FR62" i="16"/>
  <c r="FR25" i="16" s="1"/>
  <c r="FQ62" i="16"/>
  <c r="FQ25" i="16" s="1"/>
  <c r="FP62" i="16"/>
  <c r="FP25" i="16" s="1"/>
  <c r="FO62" i="16"/>
  <c r="FO25" i="16" s="1"/>
  <c r="G62" i="16"/>
  <c r="G25" i="16" s="1"/>
  <c r="GD61" i="16"/>
  <c r="GC61" i="16"/>
  <c r="GB61" i="16"/>
  <c r="GA61" i="16"/>
  <c r="GD60" i="16"/>
  <c r="GC60" i="16"/>
  <c r="GB60" i="16"/>
  <c r="GA60" i="16"/>
  <c r="GD59" i="16"/>
  <c r="GC59" i="16"/>
  <c r="GB59" i="16"/>
  <c r="GA59" i="16"/>
  <c r="FZ59" i="16"/>
  <c r="FY59" i="16"/>
  <c r="FX59" i="16"/>
  <c r="FW59" i="16"/>
  <c r="FV59" i="16"/>
  <c r="FU59" i="16"/>
  <c r="FT59" i="16"/>
  <c r="FS59" i="16"/>
  <c r="FR59" i="16"/>
  <c r="FQ59" i="16"/>
  <c r="FP59" i="16"/>
  <c r="FO59" i="16"/>
  <c r="FN59" i="16"/>
  <c r="FM59" i="16"/>
  <c r="FL59" i="16"/>
  <c r="FK59" i="16"/>
  <c r="FJ59" i="16"/>
  <c r="FI59" i="16"/>
  <c r="FH59" i="16"/>
  <c r="FG59" i="16"/>
  <c r="FF59" i="16"/>
  <c r="FE59" i="16"/>
  <c r="FD59" i="16"/>
  <c r="FC59" i="16"/>
  <c r="FB59" i="16"/>
  <c r="FA59" i="16"/>
  <c r="EZ59" i="16"/>
  <c r="EY59" i="16"/>
  <c r="EX59" i="16"/>
  <c r="EW59" i="16"/>
  <c r="EV59" i="16"/>
  <c r="EU59" i="16"/>
  <c r="ET59" i="16"/>
  <c r="ES59" i="16"/>
  <c r="ER59" i="16"/>
  <c r="EQ59" i="16"/>
  <c r="EP59" i="16"/>
  <c r="EO59" i="16"/>
  <c r="EN59" i="16"/>
  <c r="EM59" i="16"/>
  <c r="EL59" i="16"/>
  <c r="EK59" i="16"/>
  <c r="EJ59" i="16"/>
  <c r="EI59" i="16"/>
  <c r="EH59" i="16"/>
  <c r="EG59" i="16"/>
  <c r="EF59" i="16"/>
  <c r="EE59" i="16"/>
  <c r="ED59" i="16"/>
  <c r="EC59" i="16"/>
  <c r="EB59" i="16"/>
  <c r="EA59" i="16"/>
  <c r="DZ59" i="16"/>
  <c r="DY59" i="16"/>
  <c r="DX59" i="16"/>
  <c r="DW59" i="16"/>
  <c r="DV59" i="16"/>
  <c r="DU59" i="16"/>
  <c r="DT59" i="16"/>
  <c r="DS59" i="16"/>
  <c r="DR59" i="16"/>
  <c r="DQ59" i="16"/>
  <c r="DP59" i="16"/>
  <c r="DO59" i="16"/>
  <c r="DN59" i="16"/>
  <c r="DM59" i="16"/>
  <c r="DL59" i="16"/>
  <c r="DK59" i="16"/>
  <c r="DJ59" i="16"/>
  <c r="DI59" i="16"/>
  <c r="DH59" i="16"/>
  <c r="DG59" i="16"/>
  <c r="DF59" i="16"/>
  <c r="DE59" i="16"/>
  <c r="DD59" i="16"/>
  <c r="DC59" i="16"/>
  <c r="DB59" i="16"/>
  <c r="DA59" i="16"/>
  <c r="CZ59" i="16"/>
  <c r="CY59" i="16"/>
  <c r="CX59" i="16"/>
  <c r="CW59" i="16"/>
  <c r="CV59" i="16"/>
  <c r="CU59" i="16"/>
  <c r="CT59" i="16"/>
  <c r="CS59" i="16"/>
  <c r="CR59" i="16"/>
  <c r="CQ59" i="16"/>
  <c r="CP59" i="16"/>
  <c r="CO59" i="16"/>
  <c r="CN59" i="16"/>
  <c r="CM59" i="16"/>
  <c r="CL59" i="16"/>
  <c r="CK59" i="16"/>
  <c r="CJ59" i="16"/>
  <c r="CI59" i="16"/>
  <c r="CH59" i="16"/>
  <c r="CG59" i="16"/>
  <c r="CF59" i="16"/>
  <c r="CE59" i="16"/>
  <c r="CD59" i="16"/>
  <c r="CC59" i="16"/>
  <c r="CB59" i="16"/>
  <c r="CA59" i="16"/>
  <c r="BZ59" i="16"/>
  <c r="BY59" i="16"/>
  <c r="BX59" i="16"/>
  <c r="BW59" i="16"/>
  <c r="BV59" i="16"/>
  <c r="BU59" i="16"/>
  <c r="BT59" i="16"/>
  <c r="BS59" i="16"/>
  <c r="BR59" i="16"/>
  <c r="BQ59" i="16"/>
  <c r="BP59" i="16"/>
  <c r="BO59" i="16"/>
  <c r="BN59" i="16"/>
  <c r="BM59" i="16"/>
  <c r="BL59" i="16"/>
  <c r="BK59" i="16"/>
  <c r="BJ59" i="16"/>
  <c r="BI59" i="16"/>
  <c r="BH59" i="16"/>
  <c r="BG59" i="16"/>
  <c r="BF59" i="16"/>
  <c r="BE59" i="16"/>
  <c r="BD59" i="16"/>
  <c r="BC59" i="16"/>
  <c r="BB59" i="16"/>
  <c r="BA59" i="16"/>
  <c r="AZ59" i="16"/>
  <c r="AY59" i="16"/>
  <c r="AX59" i="16"/>
  <c r="AW59" i="16"/>
  <c r="AV59" i="16"/>
  <c r="AU59" i="16"/>
  <c r="AT59" i="16"/>
  <c r="AS59" i="16"/>
  <c r="AR59" i="16"/>
  <c r="AQ59" i="16"/>
  <c r="AP59" i="16"/>
  <c r="AO59" i="16"/>
  <c r="AN59" i="16"/>
  <c r="AM59" i="16"/>
  <c r="AL59" i="16"/>
  <c r="AK59" i="16"/>
  <c r="AJ59" i="16"/>
  <c r="AI59" i="16"/>
  <c r="AH59" i="16"/>
  <c r="AG59" i="16"/>
  <c r="AF59" i="16"/>
  <c r="AE59" i="16"/>
  <c r="AD59" i="16"/>
  <c r="AC59" i="16"/>
  <c r="AB59" i="16"/>
  <c r="AA59" i="16"/>
  <c r="Z59" i="16"/>
  <c r="Y59" i="16"/>
  <c r="X59" i="16"/>
  <c r="W59" i="16"/>
  <c r="V59" i="16"/>
  <c r="U59" i="16"/>
  <c r="T59" i="16"/>
  <c r="S59" i="16"/>
  <c r="R59" i="16"/>
  <c r="P59" i="16"/>
  <c r="O59" i="16"/>
  <c r="N59" i="16"/>
  <c r="N21" i="16" s="1"/>
  <c r="M59" i="16"/>
  <c r="M21" i="16" s="1"/>
  <c r="L59" i="16"/>
  <c r="L21" i="16" s="1"/>
  <c r="K59" i="16"/>
  <c r="K21" i="16" s="1"/>
  <c r="J59" i="16"/>
  <c r="J21" i="16" s="1"/>
  <c r="I59" i="16"/>
  <c r="I21" i="16" s="1"/>
  <c r="H59" i="16"/>
  <c r="H21" i="16" s="1"/>
  <c r="G59" i="16"/>
  <c r="G21" i="16" s="1"/>
  <c r="F55" i="16"/>
  <c r="G54" i="16"/>
  <c r="H54" i="16" s="1"/>
  <c r="I54" i="16" s="1"/>
  <c r="J54" i="16" s="1"/>
  <c r="K54" i="16" s="1"/>
  <c r="L54" i="16" s="1"/>
  <c r="M54" i="16" s="1"/>
  <c r="N54" i="16" s="1"/>
  <c r="O54" i="16" s="1"/>
  <c r="P54" i="16" s="1"/>
  <c r="Q54" i="16" s="1"/>
  <c r="R54" i="16" s="1"/>
  <c r="S54" i="16" s="1"/>
  <c r="T54" i="16" s="1"/>
  <c r="U54" i="16" s="1"/>
  <c r="V54" i="16" s="1"/>
  <c r="W54" i="16" s="1"/>
  <c r="X54" i="16" s="1"/>
  <c r="Y54" i="16" s="1"/>
  <c r="Z54" i="16" s="1"/>
  <c r="AA54" i="16" s="1"/>
  <c r="AB54" i="16" s="1"/>
  <c r="AC54" i="16" s="1"/>
  <c r="AD54" i="16" s="1"/>
  <c r="AE54" i="16" s="1"/>
  <c r="AF54" i="16" s="1"/>
  <c r="AG54" i="16" s="1"/>
  <c r="AH54" i="16" s="1"/>
  <c r="AI54" i="16" s="1"/>
  <c r="AJ54" i="16" s="1"/>
  <c r="AK54" i="16" s="1"/>
  <c r="AL54" i="16" s="1"/>
  <c r="AM54" i="16" s="1"/>
  <c r="AN54" i="16" s="1"/>
  <c r="AO54" i="16" s="1"/>
  <c r="AP54" i="16" s="1"/>
  <c r="AQ54" i="16" s="1"/>
  <c r="AR54" i="16" s="1"/>
  <c r="AS54" i="16" s="1"/>
  <c r="AT54" i="16" s="1"/>
  <c r="AU54" i="16" s="1"/>
  <c r="AV54" i="16" s="1"/>
  <c r="AW54" i="16" s="1"/>
  <c r="AX54" i="16" s="1"/>
  <c r="AY54" i="16" s="1"/>
  <c r="AZ54" i="16" s="1"/>
  <c r="BA54" i="16" s="1"/>
  <c r="BB54" i="16" s="1"/>
  <c r="BC54" i="16" s="1"/>
  <c r="BD54" i="16" s="1"/>
  <c r="BE54" i="16" s="1"/>
  <c r="BF54" i="16" s="1"/>
  <c r="BG54" i="16" s="1"/>
  <c r="BH54" i="16" s="1"/>
  <c r="BI54" i="16" s="1"/>
  <c r="BJ54" i="16" s="1"/>
  <c r="BK54" i="16" s="1"/>
  <c r="BL54" i="16" s="1"/>
  <c r="BM54" i="16" s="1"/>
  <c r="BN54" i="16" s="1"/>
  <c r="BO54" i="16" s="1"/>
  <c r="BP54" i="16" s="1"/>
  <c r="BQ54" i="16" s="1"/>
  <c r="BR54" i="16" s="1"/>
  <c r="BS54" i="16" s="1"/>
  <c r="BT54" i="16" s="1"/>
  <c r="BU54" i="16" s="1"/>
  <c r="BV54" i="16" s="1"/>
  <c r="BW54" i="16" s="1"/>
  <c r="BX54" i="16" s="1"/>
  <c r="BY54" i="16" s="1"/>
  <c r="BZ54" i="16" s="1"/>
  <c r="CA54" i="16" s="1"/>
  <c r="CB54" i="16" s="1"/>
  <c r="CC54" i="16" s="1"/>
  <c r="CD54" i="16" s="1"/>
  <c r="CE54" i="16" s="1"/>
  <c r="CF54" i="16" s="1"/>
  <c r="CG54" i="16" s="1"/>
  <c r="CH54" i="16" s="1"/>
  <c r="CI54" i="16" s="1"/>
  <c r="CJ54" i="16" s="1"/>
  <c r="CK54" i="16" s="1"/>
  <c r="CL54" i="16" s="1"/>
  <c r="CM54" i="16" s="1"/>
  <c r="CN54" i="16" s="1"/>
  <c r="CO54" i="16" s="1"/>
  <c r="CP54" i="16" s="1"/>
  <c r="CQ54" i="16" s="1"/>
  <c r="CR54" i="16" s="1"/>
  <c r="CS54" i="16" s="1"/>
  <c r="CT54" i="16" s="1"/>
  <c r="CU54" i="16" s="1"/>
  <c r="CV54" i="16" s="1"/>
  <c r="CW54" i="16" s="1"/>
  <c r="CX54" i="16" s="1"/>
  <c r="CY54" i="16" s="1"/>
  <c r="CZ54" i="16" s="1"/>
  <c r="DA54" i="16" s="1"/>
  <c r="DB54" i="16" s="1"/>
  <c r="DC54" i="16" s="1"/>
  <c r="DD54" i="16" s="1"/>
  <c r="DE54" i="16" s="1"/>
  <c r="DF54" i="16" s="1"/>
  <c r="DG54" i="16" s="1"/>
  <c r="DH54" i="16" s="1"/>
  <c r="DI54" i="16" s="1"/>
  <c r="DJ54" i="16" s="1"/>
  <c r="DK54" i="16" s="1"/>
  <c r="DL54" i="16" s="1"/>
  <c r="DM54" i="16" s="1"/>
  <c r="DN54" i="16" s="1"/>
  <c r="DO54" i="16" s="1"/>
  <c r="DP54" i="16" s="1"/>
  <c r="DQ54" i="16" s="1"/>
  <c r="DR54" i="16" s="1"/>
  <c r="DS54" i="16" s="1"/>
  <c r="DT54" i="16" s="1"/>
  <c r="DU54" i="16" s="1"/>
  <c r="DV54" i="16" s="1"/>
  <c r="DW54" i="16" s="1"/>
  <c r="DX54" i="16" s="1"/>
  <c r="DY54" i="16" s="1"/>
  <c r="DZ54" i="16" s="1"/>
  <c r="EA54" i="16" s="1"/>
  <c r="EB54" i="16" s="1"/>
  <c r="EC54" i="16" s="1"/>
  <c r="ED54" i="16" s="1"/>
  <c r="EE54" i="16" s="1"/>
  <c r="EF54" i="16" s="1"/>
  <c r="EG54" i="16" s="1"/>
  <c r="EH54" i="16" s="1"/>
  <c r="EI54" i="16" s="1"/>
  <c r="EJ54" i="16" s="1"/>
  <c r="EK54" i="16" s="1"/>
  <c r="EL54" i="16" s="1"/>
  <c r="EM54" i="16" s="1"/>
  <c r="EN54" i="16" s="1"/>
  <c r="EO54" i="16" s="1"/>
  <c r="EP54" i="16" s="1"/>
  <c r="EQ54" i="16" s="1"/>
  <c r="ER54" i="16" s="1"/>
  <c r="ES54" i="16" s="1"/>
  <c r="ET54" i="16" s="1"/>
  <c r="EU54" i="16" s="1"/>
  <c r="EV54" i="16" s="1"/>
  <c r="EW54" i="16" s="1"/>
  <c r="EX54" i="16" s="1"/>
  <c r="EY54" i="16" s="1"/>
  <c r="EZ54" i="16" s="1"/>
  <c r="FA54" i="16" s="1"/>
  <c r="FB54" i="16" s="1"/>
  <c r="FC54" i="16" s="1"/>
  <c r="FD54" i="16" s="1"/>
  <c r="FE54" i="16" s="1"/>
  <c r="FF54" i="16" s="1"/>
  <c r="FG54" i="16" s="1"/>
  <c r="FH54" i="16" s="1"/>
  <c r="FI54" i="16" s="1"/>
  <c r="FJ54" i="16" s="1"/>
  <c r="FK54" i="16" s="1"/>
  <c r="FL54" i="16" s="1"/>
  <c r="FM54" i="16" s="1"/>
  <c r="FN54" i="16" s="1"/>
  <c r="FO54" i="16" s="1"/>
  <c r="FP54" i="16" s="1"/>
  <c r="FQ54" i="16" s="1"/>
  <c r="FR54" i="16" s="1"/>
  <c r="FS54" i="16" s="1"/>
  <c r="FT54" i="16" s="1"/>
  <c r="FU54" i="16" s="1"/>
  <c r="FV54" i="16" s="1"/>
  <c r="FW54" i="16" s="1"/>
  <c r="FX54" i="16" s="1"/>
  <c r="FY54" i="16" s="1"/>
  <c r="FZ54" i="16" s="1"/>
  <c r="GA54" i="16" s="1"/>
  <c r="GB54" i="16" s="1"/>
  <c r="GC54" i="16" s="1"/>
  <c r="GD54" i="16" s="1"/>
  <c r="GD48" i="16"/>
  <c r="GC48" i="16"/>
  <c r="GB48" i="16"/>
  <c r="GA48" i="16"/>
  <c r="FZ48" i="16"/>
  <c r="FZ16" i="16" s="1"/>
  <c r="FY48" i="16"/>
  <c r="FY16" i="16" s="1"/>
  <c r="FX48" i="16"/>
  <c r="FX16" i="16" s="1"/>
  <c r="FW48" i="16"/>
  <c r="FW16" i="16" s="1"/>
  <c r="FV48" i="16"/>
  <c r="FV16" i="16" s="1"/>
  <c r="FU48" i="16"/>
  <c r="FU16" i="16" s="1"/>
  <c r="FT48" i="16"/>
  <c r="FT16" i="16" s="1"/>
  <c r="FS48" i="16"/>
  <c r="FS16" i="16" s="1"/>
  <c r="FR48" i="16"/>
  <c r="FR16" i="16" s="1"/>
  <c r="FQ48" i="16"/>
  <c r="FQ16" i="16" s="1"/>
  <c r="FP48" i="16"/>
  <c r="FP16" i="16" s="1"/>
  <c r="FO48" i="16"/>
  <c r="FO16" i="16" s="1"/>
  <c r="FN48" i="16"/>
  <c r="FN16" i="16" s="1"/>
  <c r="FM48" i="16"/>
  <c r="FM16" i="16" s="1"/>
  <c r="FL48" i="16"/>
  <c r="FL16" i="16" s="1"/>
  <c r="FK48" i="16"/>
  <c r="FK16" i="16" s="1"/>
  <c r="FJ48" i="16"/>
  <c r="FJ16" i="16" s="1"/>
  <c r="FI48" i="16"/>
  <c r="FI16" i="16" s="1"/>
  <c r="FH48" i="16"/>
  <c r="FH16" i="16" s="1"/>
  <c r="FG48" i="16"/>
  <c r="FG16" i="16" s="1"/>
  <c r="FF48" i="16"/>
  <c r="FF16" i="16" s="1"/>
  <c r="FE48" i="16"/>
  <c r="FE16" i="16" s="1"/>
  <c r="FD48" i="16"/>
  <c r="FD16" i="16" s="1"/>
  <c r="FC48" i="16"/>
  <c r="FC16" i="16" s="1"/>
  <c r="FB48" i="16"/>
  <c r="FB16" i="16" s="1"/>
  <c r="FA48" i="16"/>
  <c r="FA16" i="16" s="1"/>
  <c r="EZ48" i="16"/>
  <c r="EZ16" i="16" s="1"/>
  <c r="EY48" i="16"/>
  <c r="EY16" i="16" s="1"/>
  <c r="EX48" i="16"/>
  <c r="EX16" i="16" s="1"/>
  <c r="EW48" i="16"/>
  <c r="EW16" i="16" s="1"/>
  <c r="EV48" i="16"/>
  <c r="EV16" i="16" s="1"/>
  <c r="EU48" i="16"/>
  <c r="EU16" i="16" s="1"/>
  <c r="ET48" i="16"/>
  <c r="ET16" i="16" s="1"/>
  <c r="ES48" i="16"/>
  <c r="ES16" i="16" s="1"/>
  <c r="ER48" i="16"/>
  <c r="ER16" i="16" s="1"/>
  <c r="EQ48" i="16"/>
  <c r="EQ16" i="16" s="1"/>
  <c r="EP48" i="16"/>
  <c r="EP16" i="16" s="1"/>
  <c r="EO48" i="16"/>
  <c r="EO16" i="16" s="1"/>
  <c r="EN48" i="16"/>
  <c r="EN16" i="16" s="1"/>
  <c r="EM48" i="16"/>
  <c r="EM16" i="16" s="1"/>
  <c r="EL48" i="16"/>
  <c r="EL16" i="16" s="1"/>
  <c r="EK48" i="16"/>
  <c r="EK16" i="16" s="1"/>
  <c r="EJ48" i="16"/>
  <c r="EJ16" i="16" s="1"/>
  <c r="EI48" i="16"/>
  <c r="EI16" i="16" s="1"/>
  <c r="EH48" i="16"/>
  <c r="EH16" i="16" s="1"/>
  <c r="EG48" i="16"/>
  <c r="EG16" i="16" s="1"/>
  <c r="EF48" i="16"/>
  <c r="EF16" i="16" s="1"/>
  <c r="EE48" i="16"/>
  <c r="EE16" i="16" s="1"/>
  <c r="ED48" i="16"/>
  <c r="ED16" i="16" s="1"/>
  <c r="EC48" i="16"/>
  <c r="EC16" i="16" s="1"/>
  <c r="EB48" i="16"/>
  <c r="EB16" i="16" s="1"/>
  <c r="EA48" i="16"/>
  <c r="EA16" i="16" s="1"/>
  <c r="DZ48" i="16"/>
  <c r="DZ16" i="16" s="1"/>
  <c r="DY48" i="16"/>
  <c r="DY16" i="16" s="1"/>
  <c r="DX48" i="16"/>
  <c r="DX16" i="16" s="1"/>
  <c r="DW48" i="16"/>
  <c r="DV48" i="16"/>
  <c r="DV16" i="16" s="1"/>
  <c r="DU48" i="16"/>
  <c r="DU16" i="16" s="1"/>
  <c r="DT48" i="16"/>
  <c r="DT16" i="16" s="1"/>
  <c r="DS48" i="16"/>
  <c r="DS16" i="16" s="1"/>
  <c r="DR48" i="16"/>
  <c r="DR16" i="16" s="1"/>
  <c r="DQ48" i="16"/>
  <c r="DQ16" i="16" s="1"/>
  <c r="DP48" i="16"/>
  <c r="DP16" i="16" s="1"/>
  <c r="DO48" i="16"/>
  <c r="DO16" i="16" s="1"/>
  <c r="DN48" i="16"/>
  <c r="DN16" i="16" s="1"/>
  <c r="DM48" i="16"/>
  <c r="DM16" i="16" s="1"/>
  <c r="DL48" i="16"/>
  <c r="DL16" i="16" s="1"/>
  <c r="DK48" i="16"/>
  <c r="DK16" i="16" s="1"/>
  <c r="DJ48" i="16"/>
  <c r="DJ16" i="16" s="1"/>
  <c r="DI48" i="16"/>
  <c r="DH48" i="16"/>
  <c r="DH16" i="16" s="1"/>
  <c r="DG48" i="16"/>
  <c r="DG16" i="16" s="1"/>
  <c r="DF48" i="16"/>
  <c r="DF16" i="16" s="1"/>
  <c r="DE48" i="16"/>
  <c r="DE16" i="16" s="1"/>
  <c r="DD48" i="16"/>
  <c r="DD16" i="16" s="1"/>
  <c r="DC48" i="16"/>
  <c r="DC16" i="16" s="1"/>
  <c r="DB48" i="16"/>
  <c r="DB16" i="16" s="1"/>
  <c r="DA48" i="16"/>
  <c r="DA16" i="16" s="1"/>
  <c r="CZ48" i="16"/>
  <c r="CZ16" i="16" s="1"/>
  <c r="CY48" i="16"/>
  <c r="CX48" i="16"/>
  <c r="CX16" i="16" s="1"/>
  <c r="CW48" i="16"/>
  <c r="CW16" i="16" s="1"/>
  <c r="CV48" i="16"/>
  <c r="CV16" i="16" s="1"/>
  <c r="CU48" i="16"/>
  <c r="CU16" i="16" s="1"/>
  <c r="CT48" i="16"/>
  <c r="CT16" i="16" s="1"/>
  <c r="CS48" i="16"/>
  <c r="CS16" i="16" s="1"/>
  <c r="CR48" i="16"/>
  <c r="CR16" i="16" s="1"/>
  <c r="CQ48" i="16"/>
  <c r="CQ16" i="16" s="1"/>
  <c r="CP48" i="16"/>
  <c r="CP16" i="16" s="1"/>
  <c r="CO48" i="16"/>
  <c r="CO16" i="16" s="1"/>
  <c r="CN48" i="16"/>
  <c r="CN16" i="16" s="1"/>
  <c r="CM48" i="16"/>
  <c r="CM16" i="16" s="1"/>
  <c r="CL48" i="16"/>
  <c r="CL16" i="16" s="1"/>
  <c r="CK48" i="16"/>
  <c r="CK16" i="16" s="1"/>
  <c r="CJ48" i="16"/>
  <c r="CJ16" i="16" s="1"/>
  <c r="CI48" i="16"/>
  <c r="CI16" i="16" s="1"/>
  <c r="CH48" i="16"/>
  <c r="CH16" i="16" s="1"/>
  <c r="CG48" i="16"/>
  <c r="CG16" i="16" s="1"/>
  <c r="CF48" i="16"/>
  <c r="CF16" i="16" s="1"/>
  <c r="CE48" i="16"/>
  <c r="CE16" i="16" s="1"/>
  <c r="CD48" i="16"/>
  <c r="CD16" i="16" s="1"/>
  <c r="CC48" i="16"/>
  <c r="CC16" i="16" s="1"/>
  <c r="CB48" i="16"/>
  <c r="CB16" i="16" s="1"/>
  <c r="CA48" i="16"/>
  <c r="CA16" i="16" s="1"/>
  <c r="BZ48" i="16"/>
  <c r="BZ16" i="16" s="1"/>
  <c r="BY48" i="16"/>
  <c r="BY16" i="16" s="1"/>
  <c r="BX48" i="16"/>
  <c r="BW48" i="16"/>
  <c r="BW16" i="16" s="1"/>
  <c r="BV48" i="16"/>
  <c r="BV16" i="16" s="1"/>
  <c r="BU48" i="16"/>
  <c r="BU16" i="16" s="1"/>
  <c r="BT48" i="16"/>
  <c r="BT16" i="16" s="1"/>
  <c r="BS48" i="16"/>
  <c r="BS16" i="16" s="1"/>
  <c r="BR48" i="16"/>
  <c r="BR16" i="16" s="1"/>
  <c r="BQ48" i="16"/>
  <c r="BQ16" i="16" s="1"/>
  <c r="BP48" i="16"/>
  <c r="BP16" i="16" s="1"/>
  <c r="BO48" i="16"/>
  <c r="BO16" i="16" s="1"/>
  <c r="BN48" i="16"/>
  <c r="BN16" i="16" s="1"/>
  <c r="BM48" i="16"/>
  <c r="BM16" i="16" s="1"/>
  <c r="BL48" i="16"/>
  <c r="BL16" i="16" s="1"/>
  <c r="BK48" i="16"/>
  <c r="BJ48" i="16"/>
  <c r="BJ16" i="16" s="1"/>
  <c r="BI48" i="16"/>
  <c r="BI16" i="16" s="1"/>
  <c r="BH48" i="16"/>
  <c r="BH16" i="16" s="1"/>
  <c r="BG48" i="16"/>
  <c r="BG16" i="16" s="1"/>
  <c r="BF48" i="16"/>
  <c r="BF16" i="16" s="1"/>
  <c r="BE48" i="16"/>
  <c r="BE16" i="16" s="1"/>
  <c r="BD48" i="16"/>
  <c r="BD16" i="16" s="1"/>
  <c r="BC48" i="16"/>
  <c r="BC16" i="16" s="1"/>
  <c r="BB48" i="16"/>
  <c r="BB16" i="16" s="1"/>
  <c r="BA48" i="16"/>
  <c r="BA16" i="16" s="1"/>
  <c r="AZ48" i="16"/>
  <c r="AZ16" i="16" s="1"/>
  <c r="AY48" i="16"/>
  <c r="AY16" i="16" s="1"/>
  <c r="AX48" i="16"/>
  <c r="AX16" i="16" s="1"/>
  <c r="AW48" i="16"/>
  <c r="AW16" i="16" s="1"/>
  <c r="AV48" i="16"/>
  <c r="AV16" i="16" s="1"/>
  <c r="AU48" i="16"/>
  <c r="AU16" i="16" s="1"/>
  <c r="AT48" i="16"/>
  <c r="AT16" i="16" s="1"/>
  <c r="AS48" i="16"/>
  <c r="AS16" i="16" s="1"/>
  <c r="AR48" i="16"/>
  <c r="AR16" i="16" s="1"/>
  <c r="AQ48" i="16"/>
  <c r="AQ16" i="16" s="1"/>
  <c r="AP48" i="16"/>
  <c r="AP16" i="16" s="1"/>
  <c r="AO48" i="16"/>
  <c r="AN48" i="16"/>
  <c r="AN16" i="16" s="1"/>
  <c r="AM48" i="16"/>
  <c r="AM16" i="16" s="1"/>
  <c r="AL48" i="16"/>
  <c r="AL16" i="16" s="1"/>
  <c r="AK48" i="16"/>
  <c r="AK16" i="16" s="1"/>
  <c r="AJ48" i="16"/>
  <c r="AJ16" i="16" s="1"/>
  <c r="AI48" i="16"/>
  <c r="AI16" i="16" s="1"/>
  <c r="AH48" i="16"/>
  <c r="AH16" i="16" s="1"/>
  <c r="AG48" i="16"/>
  <c r="AG16" i="16" s="1"/>
  <c r="AE48" i="16"/>
  <c r="AE16" i="16" s="1"/>
  <c r="AD48" i="16"/>
  <c r="AD16" i="16" s="1"/>
  <c r="AC48" i="16"/>
  <c r="AC16" i="16" s="1"/>
  <c r="AA48" i="16"/>
  <c r="AA16" i="16" s="1"/>
  <c r="Z48" i="16"/>
  <c r="Z16" i="16" s="1"/>
  <c r="Y48" i="16"/>
  <c r="Y16" i="16" s="1"/>
  <c r="W48" i="16"/>
  <c r="W16" i="16" s="1"/>
  <c r="V48" i="16"/>
  <c r="V16" i="16" s="1"/>
  <c r="U48" i="16"/>
  <c r="U16" i="16" s="1"/>
  <c r="S48" i="16"/>
  <c r="R48" i="16"/>
  <c r="R16" i="16" s="1"/>
  <c r="Q48" i="16"/>
  <c r="Q16" i="16" s="1"/>
  <c r="O48" i="16"/>
  <c r="O16" i="16" s="1"/>
  <c r="N48" i="16"/>
  <c r="N16" i="16" s="1"/>
  <c r="K48" i="16"/>
  <c r="K16" i="16" s="1"/>
  <c r="I48" i="16"/>
  <c r="I16" i="16" s="1"/>
  <c r="G48" i="16"/>
  <c r="G16" i="16" s="1"/>
  <c r="D48" i="16"/>
  <c r="D11" i="17" s="1"/>
  <c r="V47" i="16"/>
  <c r="V15" i="16" s="1"/>
  <c r="AL13" i="18" s="1"/>
  <c r="U47" i="16"/>
  <c r="U15" i="16" s="1"/>
  <c r="AK13" i="18" s="1"/>
  <c r="T47" i="16"/>
  <c r="T15" i="16" s="1"/>
  <c r="AJ13" i="18" s="1"/>
  <c r="S47" i="16"/>
  <c r="S15" i="16" s="1"/>
  <c r="AI13" i="18" s="1"/>
  <c r="N47" i="16"/>
  <c r="N15" i="16" s="1"/>
  <c r="AD13" i="18" s="1"/>
  <c r="M47" i="16"/>
  <c r="M15" i="16" s="1"/>
  <c r="AC13" i="18" s="1"/>
  <c r="L47" i="16"/>
  <c r="L15" i="16" s="1"/>
  <c r="AB13" i="18" s="1"/>
  <c r="K47" i="16"/>
  <c r="K15" i="16" s="1"/>
  <c r="AA13" i="18" s="1"/>
  <c r="J47" i="16"/>
  <c r="J15" i="16" s="1"/>
  <c r="Z13" i="18" s="1"/>
  <c r="I47" i="16"/>
  <c r="I15" i="16" s="1"/>
  <c r="Y13" i="18" s="1"/>
  <c r="H47" i="16"/>
  <c r="H15" i="16" s="1"/>
  <c r="X13" i="18" s="1"/>
  <c r="G47" i="16"/>
  <c r="G15" i="16" s="1"/>
  <c r="W13" i="18" s="1"/>
  <c r="D47" i="16"/>
  <c r="D10" i="17" s="1"/>
  <c r="N46" i="16"/>
  <c r="N14" i="16" s="1"/>
  <c r="M46" i="16"/>
  <c r="M14" i="16" s="1"/>
  <c r="L46" i="16"/>
  <c r="L14" i="16" s="1"/>
  <c r="K46" i="16"/>
  <c r="K14" i="16" s="1"/>
  <c r="F46" i="16"/>
  <c r="D46" i="16"/>
  <c r="D9" i="17" s="1"/>
  <c r="V45" i="16"/>
  <c r="V13" i="16" s="1"/>
  <c r="AL11" i="18" s="1"/>
  <c r="U45" i="16"/>
  <c r="U13" i="16" s="1"/>
  <c r="AK11" i="18" s="1"/>
  <c r="T45" i="16"/>
  <c r="T13" i="16" s="1"/>
  <c r="AJ11" i="18" s="1"/>
  <c r="S45" i="16"/>
  <c r="S13" i="16" s="1"/>
  <c r="AI11" i="18" s="1"/>
  <c r="N45" i="16"/>
  <c r="N13" i="16" s="1"/>
  <c r="AD11" i="18" s="1"/>
  <c r="M45" i="16"/>
  <c r="M13" i="16" s="1"/>
  <c r="AC11" i="18" s="1"/>
  <c r="L45" i="16"/>
  <c r="L13" i="16" s="1"/>
  <c r="AB11" i="18" s="1"/>
  <c r="K45" i="16"/>
  <c r="K13" i="16" s="1"/>
  <c r="AA11" i="18" s="1"/>
  <c r="J45" i="16"/>
  <c r="J13" i="16" s="1"/>
  <c r="Z11" i="18" s="1"/>
  <c r="I45" i="16"/>
  <c r="I13" i="16" s="1"/>
  <c r="Y11" i="18" s="1"/>
  <c r="H45" i="16"/>
  <c r="H13" i="16" s="1"/>
  <c r="X11" i="18" s="1"/>
  <c r="G45" i="16"/>
  <c r="G13" i="16" s="1"/>
  <c r="W11" i="18" s="1"/>
  <c r="D45" i="16"/>
  <c r="D8" i="17" s="1"/>
  <c r="V44" i="16"/>
  <c r="V12" i="16" s="1"/>
  <c r="AL10" i="18" s="1"/>
  <c r="U44" i="16"/>
  <c r="U12" i="16" s="1"/>
  <c r="AK10" i="18" s="1"/>
  <c r="T44" i="16"/>
  <c r="T12" i="16" s="1"/>
  <c r="AJ10" i="18" s="1"/>
  <c r="S44" i="16"/>
  <c r="S12" i="16" s="1"/>
  <c r="AI10" i="18" s="1"/>
  <c r="N44" i="16"/>
  <c r="N12" i="16" s="1"/>
  <c r="AD10" i="18" s="1"/>
  <c r="M44" i="16"/>
  <c r="M12" i="16" s="1"/>
  <c r="AC10" i="18" s="1"/>
  <c r="L44" i="16"/>
  <c r="L12" i="16" s="1"/>
  <c r="AB10" i="18" s="1"/>
  <c r="K44" i="16"/>
  <c r="K12" i="16" s="1"/>
  <c r="AA10" i="18" s="1"/>
  <c r="J44" i="16"/>
  <c r="J12" i="16" s="1"/>
  <c r="Z10" i="18" s="1"/>
  <c r="I44" i="16"/>
  <c r="I12" i="16" s="1"/>
  <c r="Y10" i="18" s="1"/>
  <c r="H44" i="16"/>
  <c r="H12" i="16" s="1"/>
  <c r="X10" i="18" s="1"/>
  <c r="G44" i="16"/>
  <c r="G12" i="16" s="1"/>
  <c r="W10" i="18" s="1"/>
  <c r="D44" i="16"/>
  <c r="D7" i="17" s="1"/>
  <c r="V43" i="16"/>
  <c r="V11" i="16" s="1"/>
  <c r="AL9" i="18" s="1"/>
  <c r="U43" i="16"/>
  <c r="U11" i="16" s="1"/>
  <c r="AK9" i="18" s="1"/>
  <c r="T43" i="16"/>
  <c r="T11" i="16" s="1"/>
  <c r="AJ9" i="18" s="1"/>
  <c r="S43" i="16"/>
  <c r="S11" i="16" s="1"/>
  <c r="AI9" i="18" s="1"/>
  <c r="N43" i="16"/>
  <c r="N11" i="16" s="1"/>
  <c r="AD9" i="18" s="1"/>
  <c r="M43" i="16"/>
  <c r="M11" i="16" s="1"/>
  <c r="AC9" i="18" s="1"/>
  <c r="L43" i="16"/>
  <c r="L11" i="16" s="1"/>
  <c r="AB9" i="18" s="1"/>
  <c r="K43" i="16"/>
  <c r="K11" i="16" s="1"/>
  <c r="AA9" i="18" s="1"/>
  <c r="J43" i="16"/>
  <c r="J11" i="16" s="1"/>
  <c r="Z9" i="18" s="1"/>
  <c r="I43" i="16"/>
  <c r="I11" i="16" s="1"/>
  <c r="Y9" i="18" s="1"/>
  <c r="H43" i="16"/>
  <c r="H11" i="16" s="1"/>
  <c r="X9" i="18" s="1"/>
  <c r="G43" i="16"/>
  <c r="G11" i="16" s="1"/>
  <c r="W9" i="18" s="1"/>
  <c r="D43" i="16"/>
  <c r="D6" i="17" s="1"/>
  <c r="D42" i="16"/>
  <c r="D5" i="17" s="1"/>
  <c r="F41" i="16"/>
  <c r="G40" i="16"/>
  <c r="H40" i="16" s="1"/>
  <c r="I40" i="16" s="1"/>
  <c r="J40" i="16" s="1"/>
  <c r="K40" i="16" s="1"/>
  <c r="L40" i="16" s="1"/>
  <c r="M40" i="16" s="1"/>
  <c r="N40" i="16" s="1"/>
  <c r="O40" i="16" s="1"/>
  <c r="P40" i="16" s="1"/>
  <c r="Q40" i="16" s="1"/>
  <c r="R40" i="16" s="1"/>
  <c r="S40" i="16" s="1"/>
  <c r="T40" i="16" s="1"/>
  <c r="U40" i="16" s="1"/>
  <c r="V40" i="16" s="1"/>
  <c r="W40" i="16" s="1"/>
  <c r="X40" i="16" s="1"/>
  <c r="Y40" i="16" s="1"/>
  <c r="Z40" i="16" s="1"/>
  <c r="AA40" i="16" s="1"/>
  <c r="AB40" i="16" s="1"/>
  <c r="AC40" i="16" s="1"/>
  <c r="AD40" i="16" s="1"/>
  <c r="AE40" i="16" s="1"/>
  <c r="AF40" i="16" s="1"/>
  <c r="AG40" i="16" s="1"/>
  <c r="AH40" i="16" s="1"/>
  <c r="AI40" i="16" s="1"/>
  <c r="AJ40" i="16" s="1"/>
  <c r="AK40" i="16" s="1"/>
  <c r="AL40" i="16" s="1"/>
  <c r="AM40" i="16" s="1"/>
  <c r="AN40" i="16" s="1"/>
  <c r="AO40" i="16" s="1"/>
  <c r="AP40" i="16" s="1"/>
  <c r="AQ40" i="16" s="1"/>
  <c r="AR40" i="16" s="1"/>
  <c r="AS40" i="16" s="1"/>
  <c r="AT40" i="16" s="1"/>
  <c r="AU40" i="16" s="1"/>
  <c r="AV40" i="16" s="1"/>
  <c r="AW40" i="16" s="1"/>
  <c r="AX40" i="16" s="1"/>
  <c r="AY40" i="16" s="1"/>
  <c r="AZ40" i="16" s="1"/>
  <c r="BA40" i="16" s="1"/>
  <c r="BB40" i="16" s="1"/>
  <c r="BC40" i="16" s="1"/>
  <c r="BD40" i="16" s="1"/>
  <c r="BE40" i="16" s="1"/>
  <c r="BF40" i="16" s="1"/>
  <c r="BG40" i="16" s="1"/>
  <c r="BH40" i="16" s="1"/>
  <c r="BI40" i="16" s="1"/>
  <c r="BJ40" i="16" s="1"/>
  <c r="BK40" i="16" s="1"/>
  <c r="BL40" i="16" s="1"/>
  <c r="BM40" i="16" s="1"/>
  <c r="BN40" i="16" s="1"/>
  <c r="BO40" i="16" s="1"/>
  <c r="BP40" i="16" s="1"/>
  <c r="BQ40" i="16" s="1"/>
  <c r="BR40" i="16" s="1"/>
  <c r="BS40" i="16" s="1"/>
  <c r="BT40" i="16" s="1"/>
  <c r="BU40" i="16" s="1"/>
  <c r="BV40" i="16" s="1"/>
  <c r="BW40" i="16" s="1"/>
  <c r="BX40" i="16" s="1"/>
  <c r="BY40" i="16" s="1"/>
  <c r="BZ40" i="16" s="1"/>
  <c r="CA40" i="16" s="1"/>
  <c r="CB40" i="16" s="1"/>
  <c r="CC40" i="16" s="1"/>
  <c r="CD40" i="16" s="1"/>
  <c r="CE40" i="16" s="1"/>
  <c r="CF40" i="16" s="1"/>
  <c r="CG40" i="16" s="1"/>
  <c r="CH40" i="16" s="1"/>
  <c r="CI40" i="16" s="1"/>
  <c r="CJ40" i="16" s="1"/>
  <c r="CK40" i="16" s="1"/>
  <c r="CL40" i="16" s="1"/>
  <c r="CM40" i="16" s="1"/>
  <c r="CN40" i="16" s="1"/>
  <c r="CO40" i="16" s="1"/>
  <c r="CP40" i="16" s="1"/>
  <c r="CQ40" i="16" s="1"/>
  <c r="CR40" i="16" s="1"/>
  <c r="CS40" i="16" s="1"/>
  <c r="CT40" i="16" s="1"/>
  <c r="CU40" i="16" s="1"/>
  <c r="CV40" i="16" s="1"/>
  <c r="CW40" i="16" s="1"/>
  <c r="CX40" i="16" s="1"/>
  <c r="CY40" i="16" s="1"/>
  <c r="CZ40" i="16" s="1"/>
  <c r="DA40" i="16" s="1"/>
  <c r="DB40" i="16" s="1"/>
  <c r="DC40" i="16" s="1"/>
  <c r="DD40" i="16" s="1"/>
  <c r="DE40" i="16" s="1"/>
  <c r="DF40" i="16" s="1"/>
  <c r="DG40" i="16" s="1"/>
  <c r="DH40" i="16" s="1"/>
  <c r="DI40" i="16" s="1"/>
  <c r="DJ40" i="16" s="1"/>
  <c r="DK40" i="16" s="1"/>
  <c r="DL40" i="16" s="1"/>
  <c r="DM40" i="16" s="1"/>
  <c r="DN40" i="16" s="1"/>
  <c r="DO40" i="16" s="1"/>
  <c r="DP40" i="16" s="1"/>
  <c r="DQ40" i="16" s="1"/>
  <c r="DR40" i="16" s="1"/>
  <c r="DS40" i="16" s="1"/>
  <c r="DT40" i="16" s="1"/>
  <c r="DU40" i="16" s="1"/>
  <c r="DV40" i="16" s="1"/>
  <c r="DW40" i="16" s="1"/>
  <c r="DX40" i="16" s="1"/>
  <c r="DY40" i="16" s="1"/>
  <c r="DZ40" i="16" s="1"/>
  <c r="EA40" i="16" s="1"/>
  <c r="EB40" i="16" s="1"/>
  <c r="EC40" i="16" s="1"/>
  <c r="ED40" i="16" s="1"/>
  <c r="EE40" i="16" s="1"/>
  <c r="EF40" i="16" s="1"/>
  <c r="EG40" i="16" s="1"/>
  <c r="EH40" i="16" s="1"/>
  <c r="EI40" i="16" s="1"/>
  <c r="EJ40" i="16" s="1"/>
  <c r="EK40" i="16" s="1"/>
  <c r="EL40" i="16" s="1"/>
  <c r="EM40" i="16" s="1"/>
  <c r="EN40" i="16" s="1"/>
  <c r="EO40" i="16" s="1"/>
  <c r="EP40" i="16" s="1"/>
  <c r="EQ40" i="16" s="1"/>
  <c r="ER40" i="16" s="1"/>
  <c r="ES40" i="16" s="1"/>
  <c r="ET40" i="16" s="1"/>
  <c r="EU40" i="16" s="1"/>
  <c r="EV40" i="16" s="1"/>
  <c r="EW40" i="16" s="1"/>
  <c r="EX40" i="16" s="1"/>
  <c r="EY40" i="16" s="1"/>
  <c r="EZ40" i="16" s="1"/>
  <c r="FA40" i="16" s="1"/>
  <c r="FB40" i="16" s="1"/>
  <c r="FC40" i="16" s="1"/>
  <c r="FD40" i="16" s="1"/>
  <c r="FE40" i="16" s="1"/>
  <c r="FF40" i="16" s="1"/>
  <c r="FG40" i="16" s="1"/>
  <c r="FH40" i="16" s="1"/>
  <c r="FI40" i="16" s="1"/>
  <c r="FJ40" i="16" s="1"/>
  <c r="FK40" i="16" s="1"/>
  <c r="FL40" i="16" s="1"/>
  <c r="FM40" i="16" s="1"/>
  <c r="FN40" i="16" s="1"/>
  <c r="FO40" i="16" s="1"/>
  <c r="FP40" i="16" s="1"/>
  <c r="FQ40" i="16" s="1"/>
  <c r="FR40" i="16" s="1"/>
  <c r="FS40" i="16" s="1"/>
  <c r="FT40" i="16" s="1"/>
  <c r="FU40" i="16" s="1"/>
  <c r="FV40" i="16" s="1"/>
  <c r="FW40" i="16" s="1"/>
  <c r="FX40" i="16" s="1"/>
  <c r="FY40" i="16" s="1"/>
  <c r="FZ40" i="16" s="1"/>
  <c r="GA40" i="16" s="1"/>
  <c r="GB40" i="16" s="1"/>
  <c r="Y32" i="16"/>
  <c r="V32" i="16"/>
  <c r="N32" i="16"/>
  <c r="FW31" i="16"/>
  <c r="FO31" i="16"/>
  <c r="E31" i="16"/>
  <c r="D31" i="16"/>
  <c r="D30" i="17" s="1"/>
  <c r="D30" i="16"/>
  <c r="F28" i="16"/>
  <c r="FZ27" i="16"/>
  <c r="FY27" i="16"/>
  <c r="FX27" i="16"/>
  <c r="FW27" i="16"/>
  <c r="FV27" i="16"/>
  <c r="FU27" i="16"/>
  <c r="FT27" i="16"/>
  <c r="FS27" i="16"/>
  <c r="FR27" i="16"/>
  <c r="FQ27" i="16"/>
  <c r="FP27" i="16"/>
  <c r="FO27" i="16"/>
  <c r="FN27" i="16"/>
  <c r="FM27" i="16"/>
  <c r="FL27" i="16"/>
  <c r="FK27" i="16"/>
  <c r="FJ27" i="16"/>
  <c r="FI27" i="16"/>
  <c r="FH27" i="16"/>
  <c r="FG27" i="16"/>
  <c r="FF27" i="16"/>
  <c r="FE27" i="16"/>
  <c r="FD27" i="16"/>
  <c r="FC27" i="16"/>
  <c r="FB27" i="16"/>
  <c r="FA27" i="16"/>
  <c r="EZ27" i="16"/>
  <c r="EY27" i="16"/>
  <c r="EX27" i="16"/>
  <c r="EW27" i="16"/>
  <c r="EV27" i="16"/>
  <c r="EU27" i="16"/>
  <c r="ET27" i="16"/>
  <c r="ES27" i="16"/>
  <c r="ER27" i="16"/>
  <c r="EQ27" i="16"/>
  <c r="EP27" i="16"/>
  <c r="EO27" i="16"/>
  <c r="EN27" i="16"/>
  <c r="EM27" i="16"/>
  <c r="EL27" i="16"/>
  <c r="EK27" i="16"/>
  <c r="EJ27" i="16"/>
  <c r="EI27" i="16"/>
  <c r="EH27" i="16"/>
  <c r="EG27" i="16"/>
  <c r="EF27" i="16"/>
  <c r="EE27" i="16"/>
  <c r="ED27" i="16"/>
  <c r="EC27" i="16"/>
  <c r="EB27" i="16"/>
  <c r="EA27" i="16"/>
  <c r="DZ27" i="16"/>
  <c r="DY27" i="16"/>
  <c r="DX27" i="16"/>
  <c r="DW27" i="16"/>
  <c r="DV27" i="16"/>
  <c r="DU27" i="16"/>
  <c r="DT27" i="16"/>
  <c r="DS27" i="16"/>
  <c r="DR27" i="16"/>
  <c r="DQ27" i="16"/>
  <c r="DP27" i="16"/>
  <c r="DO27" i="16"/>
  <c r="DN27" i="16"/>
  <c r="DM27" i="16"/>
  <c r="DL27" i="16"/>
  <c r="DK27" i="16"/>
  <c r="DJ27" i="16"/>
  <c r="DI27" i="16"/>
  <c r="DH27" i="16"/>
  <c r="DG27" i="16"/>
  <c r="DF27" i="16"/>
  <c r="DE27" i="16"/>
  <c r="DD27" i="16"/>
  <c r="DC27" i="16"/>
  <c r="DB27" i="16"/>
  <c r="DA27" i="16"/>
  <c r="CZ27" i="16"/>
  <c r="CY27" i="16"/>
  <c r="CX27" i="16"/>
  <c r="CW27" i="16"/>
  <c r="CV27" i="16"/>
  <c r="CU27" i="16"/>
  <c r="CT27" i="16"/>
  <c r="CS27" i="16"/>
  <c r="CR27" i="16"/>
  <c r="CQ27" i="16"/>
  <c r="CP27" i="16"/>
  <c r="CO27" i="16"/>
  <c r="CN27" i="16"/>
  <c r="CM27" i="16"/>
  <c r="CL27" i="16"/>
  <c r="CK27" i="16"/>
  <c r="CJ27" i="16"/>
  <c r="CI27" i="16"/>
  <c r="CH27" i="16"/>
  <c r="CG27" i="16"/>
  <c r="CF27" i="16"/>
  <c r="CE27" i="16"/>
  <c r="CD27" i="16"/>
  <c r="CC27" i="16"/>
  <c r="CB27" i="16"/>
  <c r="CA27" i="16"/>
  <c r="BZ27" i="16"/>
  <c r="BY27" i="16"/>
  <c r="BX27" i="16"/>
  <c r="BW27" i="16"/>
  <c r="BV27" i="16"/>
  <c r="BU27" i="16"/>
  <c r="BT27" i="16"/>
  <c r="BS27" i="16"/>
  <c r="BR27" i="16"/>
  <c r="BQ27" i="16"/>
  <c r="BP27" i="16"/>
  <c r="BO27" i="16"/>
  <c r="BN27" i="16"/>
  <c r="BM27" i="16"/>
  <c r="BL27" i="16"/>
  <c r="BK27" i="16"/>
  <c r="BJ27" i="16"/>
  <c r="BI27" i="16"/>
  <c r="BH27" i="16"/>
  <c r="BG27" i="16"/>
  <c r="BF27" i="16"/>
  <c r="BE27" i="16"/>
  <c r="BD27" i="16"/>
  <c r="BC27" i="16"/>
  <c r="BB27" i="16"/>
  <c r="BA27" i="16"/>
  <c r="AZ27" i="16"/>
  <c r="AY27" i="16"/>
  <c r="AX27" i="16"/>
  <c r="AW27" i="16"/>
  <c r="AV27" i="16"/>
  <c r="AU27" i="16"/>
  <c r="AT27" i="16"/>
  <c r="AS27" i="16"/>
  <c r="AR27" i="16"/>
  <c r="AQ27" i="16"/>
  <c r="AP27" i="16"/>
  <c r="AO27" i="16"/>
  <c r="AN27" i="16"/>
  <c r="AM27" i="16"/>
  <c r="AL27" i="16"/>
  <c r="AK27" i="16"/>
  <c r="AJ27" i="16"/>
  <c r="AI27" i="16"/>
  <c r="AH27" i="16"/>
  <c r="AG27" i="16"/>
  <c r="AF27" i="16"/>
  <c r="AE27" i="16"/>
  <c r="AD27" i="16"/>
  <c r="AC27" i="16"/>
  <c r="AB27" i="16"/>
  <c r="AA27" i="16"/>
  <c r="Z27" i="16"/>
  <c r="Y27" i="16"/>
  <c r="X27" i="16"/>
  <c r="W27" i="16"/>
  <c r="V27" i="16"/>
  <c r="U27" i="16"/>
  <c r="T27" i="16"/>
  <c r="S27" i="16"/>
  <c r="R27" i="16"/>
  <c r="Q27" i="16"/>
  <c r="P27" i="16"/>
  <c r="O27" i="16"/>
  <c r="N27" i="16"/>
  <c r="M27" i="16"/>
  <c r="L27" i="16"/>
  <c r="K27" i="16"/>
  <c r="J27" i="16"/>
  <c r="I27" i="16"/>
  <c r="H27" i="16"/>
  <c r="G27" i="16"/>
  <c r="FV25" i="16"/>
  <c r="D25" i="16"/>
  <c r="D20" i="17" s="1"/>
  <c r="D24" i="16"/>
  <c r="D23" i="16"/>
  <c r="FZ21" i="16"/>
  <c r="FY21" i="16"/>
  <c r="FX21" i="16"/>
  <c r="FW21" i="16"/>
  <c r="FV21" i="16"/>
  <c r="FU21" i="16"/>
  <c r="FT21" i="16"/>
  <c r="FS21" i="16"/>
  <c r="FR21" i="16"/>
  <c r="FQ21" i="16"/>
  <c r="FP21" i="16"/>
  <c r="FO21" i="16"/>
  <c r="FN21" i="16"/>
  <c r="FL21" i="16"/>
  <c r="FJ21" i="16"/>
  <c r="FI21" i="16"/>
  <c r="FD21" i="16"/>
  <c r="FA21" i="16"/>
  <c r="EV21" i="16"/>
  <c r="ES21" i="16"/>
  <c r="EN21" i="16"/>
  <c r="EL21" i="16"/>
  <c r="EI21" i="16"/>
  <c r="EF21" i="16"/>
  <c r="ED21" i="16"/>
  <c r="EC21" i="16"/>
  <c r="DX21" i="16"/>
  <c r="DV21" i="16"/>
  <c r="DU21" i="16"/>
  <c r="DP21" i="16"/>
  <c r="DM21" i="16"/>
  <c r="DH21" i="16"/>
  <c r="DE21" i="16"/>
  <c r="DD21" i="16"/>
  <c r="CZ21" i="16"/>
  <c r="CV21" i="16"/>
  <c r="CR21" i="16"/>
  <c r="CO21" i="16"/>
  <c r="CN21" i="16"/>
  <c r="CM21" i="16"/>
  <c r="CJ21" i="16"/>
  <c r="CF21" i="16"/>
  <c r="CB21" i="16"/>
  <c r="BT21" i="16"/>
  <c r="BQ21" i="16"/>
  <c r="BO21" i="16"/>
  <c r="BL21" i="16"/>
  <c r="BI21" i="16"/>
  <c r="BD21" i="16"/>
  <c r="BA21" i="16"/>
  <c r="AY21" i="16"/>
  <c r="AV21" i="16"/>
  <c r="AS21" i="16"/>
  <c r="AR21" i="16"/>
  <c r="AN21" i="16"/>
  <c r="AJ21" i="16"/>
  <c r="AI21" i="16"/>
  <c r="AF21" i="16"/>
  <c r="AC21" i="16"/>
  <c r="AB21" i="16"/>
  <c r="X21" i="16"/>
  <c r="T21" i="16"/>
  <c r="S21" i="16"/>
  <c r="R21" i="16"/>
  <c r="D21" i="16"/>
  <c r="D16" i="17" s="1"/>
  <c r="C20" i="18" s="1"/>
  <c r="C19" i="21" s="1"/>
  <c r="D20" i="16"/>
  <c r="D15" i="17" s="1"/>
  <c r="C19" i="18" s="1"/>
  <c r="C18" i="21" s="1"/>
  <c r="DW16" i="16"/>
  <c r="DI16" i="16"/>
  <c r="CY16" i="16"/>
  <c r="BX16" i="16"/>
  <c r="BK16" i="16"/>
  <c r="AO16" i="16"/>
  <c r="S16" i="16"/>
  <c r="FZ14" i="16"/>
  <c r="FY14" i="16"/>
  <c r="FX14" i="16"/>
  <c r="FW14" i="16"/>
  <c r="FV14" i="16"/>
  <c r="FU14" i="16"/>
  <c r="FT14" i="16"/>
  <c r="FS14" i="16"/>
  <c r="FR14" i="16"/>
  <c r="FQ14" i="16"/>
  <c r="FP14" i="16"/>
  <c r="FO14" i="16"/>
  <c r="FN14" i="16"/>
  <c r="FM14" i="16"/>
  <c r="FL14" i="16"/>
  <c r="FK14" i="16"/>
  <c r="FJ14" i="16"/>
  <c r="FI14" i="16"/>
  <c r="FH14" i="16"/>
  <c r="FG14" i="16"/>
  <c r="FF14" i="16"/>
  <c r="FE14" i="16"/>
  <c r="FD14" i="16"/>
  <c r="FC14" i="16"/>
  <c r="FB14" i="16"/>
  <c r="FA14" i="16"/>
  <c r="EZ14" i="16"/>
  <c r="EY14" i="16"/>
  <c r="EX14" i="16"/>
  <c r="EW14" i="16"/>
  <c r="EV14" i="16"/>
  <c r="EU14" i="16"/>
  <c r="ET14" i="16"/>
  <c r="ES14" i="16"/>
  <c r="ER14" i="16"/>
  <c r="EQ14" i="16"/>
  <c r="EP14" i="16"/>
  <c r="EO14" i="16"/>
  <c r="EN14" i="16"/>
  <c r="EM14" i="16"/>
  <c r="EL14" i="16"/>
  <c r="EK14" i="16"/>
  <c r="EJ14" i="16"/>
  <c r="EI14" i="16"/>
  <c r="EH14" i="16"/>
  <c r="EG14" i="16"/>
  <c r="EF14" i="16"/>
  <c r="EE14" i="16"/>
  <c r="ED14" i="16"/>
  <c r="EC14" i="16"/>
  <c r="EB14" i="16"/>
  <c r="EA14" i="16"/>
  <c r="DZ14" i="16"/>
  <c r="DY14" i="16"/>
  <c r="DX14" i="16"/>
  <c r="DW14" i="16"/>
  <c r="DV14" i="16"/>
  <c r="DU14" i="16"/>
  <c r="DT14" i="16"/>
  <c r="DS14" i="16"/>
  <c r="DR14" i="16"/>
  <c r="DQ14" i="16"/>
  <c r="DP14" i="16"/>
  <c r="DO14" i="16"/>
  <c r="DN14" i="16"/>
  <c r="DM14" i="16"/>
  <c r="DL14" i="16"/>
  <c r="DK14" i="16"/>
  <c r="DJ14" i="16"/>
  <c r="DI14" i="16"/>
  <c r="DH14" i="16"/>
  <c r="DG14" i="16"/>
  <c r="DF14" i="16"/>
  <c r="DE14" i="16"/>
  <c r="DD14" i="16"/>
  <c r="DC14" i="16"/>
  <c r="DB14" i="16"/>
  <c r="DA14" i="16"/>
  <c r="CZ14" i="16"/>
  <c r="CY14" i="16"/>
  <c r="CX14" i="16"/>
  <c r="CW14" i="16"/>
  <c r="CV14" i="16"/>
  <c r="CU14" i="16"/>
  <c r="CT14" i="16"/>
  <c r="CS14" i="16"/>
  <c r="CR14" i="16"/>
  <c r="CQ14" i="16"/>
  <c r="CP14" i="16"/>
  <c r="CO14" i="16"/>
  <c r="CN14" i="16"/>
  <c r="CM14" i="16"/>
  <c r="CL14" i="16"/>
  <c r="CK14" i="16"/>
  <c r="CJ14" i="16"/>
  <c r="CI14" i="16"/>
  <c r="CH14" i="16"/>
  <c r="CG14" i="16"/>
  <c r="CF14" i="16"/>
  <c r="CE14" i="16"/>
  <c r="CD14" i="16"/>
  <c r="CC14" i="16"/>
  <c r="CB14" i="16"/>
  <c r="CA14" i="16"/>
  <c r="BZ14" i="16"/>
  <c r="BY14" i="16"/>
  <c r="BX14" i="16"/>
  <c r="BW14" i="16"/>
  <c r="BV14" i="16"/>
  <c r="BU14" i="16"/>
  <c r="BT14" i="16"/>
  <c r="BS14" i="16"/>
  <c r="BR14" i="16"/>
  <c r="BQ14" i="16"/>
  <c r="BP14" i="16"/>
  <c r="BO14" i="16"/>
  <c r="BN14" i="16"/>
  <c r="BM14" i="16"/>
  <c r="BL14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G8" i="16"/>
  <c r="H8" i="16" s="1"/>
  <c r="I8" i="16" s="1"/>
  <c r="K5" i="16"/>
  <c r="GE4" i="16"/>
  <c r="GE3" i="16"/>
  <c r="D33" i="15"/>
  <c r="N31" i="15"/>
  <c r="O31" i="15" s="1"/>
  <c r="P31" i="15" s="1"/>
  <c r="Q31" i="15" s="1"/>
  <c r="R31" i="15" s="1"/>
  <c r="S31" i="15" s="1"/>
  <c r="T31" i="15" s="1"/>
  <c r="U31" i="15" s="1"/>
  <c r="V31" i="15" s="1"/>
  <c r="W31" i="15" s="1"/>
  <c r="X31" i="15" s="1"/>
  <c r="Y31" i="15" s="1"/>
  <c r="Z31" i="15" s="1"/>
  <c r="AA31" i="15" s="1"/>
  <c r="AB31" i="15" s="1"/>
  <c r="AC31" i="15" s="1"/>
  <c r="AD31" i="15" s="1"/>
  <c r="AE31" i="15" s="1"/>
  <c r="AF31" i="15" s="1"/>
  <c r="AG31" i="15" s="1"/>
  <c r="AH31" i="15" s="1"/>
  <c r="AI31" i="15" s="1"/>
  <c r="AJ31" i="15" s="1"/>
  <c r="AK31" i="15" s="1"/>
  <c r="AL31" i="15" s="1"/>
  <c r="AM31" i="15" s="1"/>
  <c r="AN31" i="15" s="1"/>
  <c r="AO31" i="15" s="1"/>
  <c r="AP31" i="15" s="1"/>
  <c r="AQ31" i="15" s="1"/>
  <c r="AR31" i="15" s="1"/>
  <c r="AS31" i="15" s="1"/>
  <c r="AT31" i="15" s="1"/>
  <c r="M31" i="15"/>
  <c r="I31" i="15"/>
  <c r="J31" i="15" s="1"/>
  <c r="K31" i="15" s="1"/>
  <c r="L31" i="15" s="1"/>
  <c r="AZ28" i="15"/>
  <c r="AZ27" i="15" s="1"/>
  <c r="AY28" i="15"/>
  <c r="AX28" i="15"/>
  <c r="AX27" i="15" s="1"/>
  <c r="AW28" i="15"/>
  <c r="AW27" i="15" s="1"/>
  <c r="AY27" i="15"/>
  <c r="B27" i="15"/>
  <c r="B25" i="15"/>
  <c r="B24" i="15"/>
  <c r="B23" i="15"/>
  <c r="B22" i="15"/>
  <c r="B21" i="15"/>
  <c r="F20" i="15"/>
  <c r="F14" i="15"/>
  <c r="F13" i="15"/>
  <c r="S12" i="15"/>
  <c r="R45" i="23" s="1"/>
  <c r="Q12" i="15"/>
  <c r="P45" i="23" s="1"/>
  <c r="T11" i="15"/>
  <c r="S44" i="23" s="1"/>
  <c r="R11" i="15"/>
  <c r="W10" i="15"/>
  <c r="V10" i="15"/>
  <c r="U10" i="15"/>
  <c r="O10" i="15"/>
  <c r="N10" i="15"/>
  <c r="M10" i="15"/>
  <c r="L10" i="15"/>
  <c r="K10" i="15"/>
  <c r="J10" i="15"/>
  <c r="I10" i="15"/>
  <c r="H10" i="15"/>
  <c r="E10" i="15"/>
  <c r="E9" i="15" s="1"/>
  <c r="R9" i="15"/>
  <c r="F9" i="15" s="1"/>
  <c r="O5" i="15"/>
  <c r="N5" i="15"/>
  <c r="M5" i="15"/>
  <c r="L5" i="15"/>
  <c r="K5" i="15"/>
  <c r="J5" i="15"/>
  <c r="I5" i="15"/>
  <c r="H5" i="15"/>
  <c r="S89" i="14"/>
  <c r="R89" i="14"/>
  <c r="J88" i="14"/>
  <c r="J94" i="14" s="1"/>
  <c r="S87" i="14"/>
  <c r="R87" i="14"/>
  <c r="J86" i="14"/>
  <c r="J92" i="14" s="1"/>
  <c r="S85" i="14"/>
  <c r="R85" i="14"/>
  <c r="J78" i="14"/>
  <c r="K78" i="14" s="1"/>
  <c r="L78" i="14" s="1"/>
  <c r="M78" i="14" s="1"/>
  <c r="N78" i="14" s="1"/>
  <c r="O78" i="14" s="1"/>
  <c r="P78" i="14" s="1"/>
  <c r="Q78" i="14" s="1"/>
  <c r="R78" i="14" s="1"/>
  <c r="S78" i="14" s="1"/>
  <c r="T78" i="14" s="1"/>
  <c r="F78" i="14"/>
  <c r="G78" i="14" s="1"/>
  <c r="H78" i="14" s="1"/>
  <c r="I78" i="14" s="1"/>
  <c r="Q61" i="14"/>
  <c r="E59" i="14"/>
  <c r="H58" i="14"/>
  <c r="P56" i="14"/>
  <c r="O56" i="14"/>
  <c r="N56" i="14"/>
  <c r="M56" i="14"/>
  <c r="L56" i="14"/>
  <c r="L54" i="14" s="1"/>
  <c r="K56" i="14"/>
  <c r="K54" i="14" s="1"/>
  <c r="J56" i="14"/>
  <c r="I56" i="14"/>
  <c r="H56" i="14"/>
  <c r="G56" i="14"/>
  <c r="F56" i="14"/>
  <c r="E56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P54" i="14"/>
  <c r="O54" i="14"/>
  <c r="N54" i="14"/>
  <c r="M54" i="14"/>
  <c r="J54" i="14"/>
  <c r="I54" i="14"/>
  <c r="H54" i="14"/>
  <c r="G54" i="14"/>
  <c r="F54" i="14"/>
  <c r="E54" i="14"/>
  <c r="J53" i="14"/>
  <c r="G53" i="14"/>
  <c r="E53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P49" i="14"/>
  <c r="O49" i="14"/>
  <c r="H49" i="14"/>
  <c r="G49" i="14"/>
  <c r="F49" i="14"/>
  <c r="E49" i="14"/>
  <c r="P46" i="14"/>
  <c r="O46" i="14"/>
  <c r="N46" i="14"/>
  <c r="M46" i="14"/>
  <c r="L46" i="14"/>
  <c r="K46" i="14"/>
  <c r="J46" i="14"/>
  <c r="O45" i="14" s="1"/>
  <c r="I46" i="14"/>
  <c r="H46" i="14"/>
  <c r="G46" i="14"/>
  <c r="M45" i="14" s="1"/>
  <c r="F46" i="14"/>
  <c r="E46" i="14"/>
  <c r="L45" i="14"/>
  <c r="K45" i="14"/>
  <c r="J45" i="14"/>
  <c r="G45" i="14"/>
  <c r="E45" i="14"/>
  <c r="K44" i="14"/>
  <c r="L44" i="14" s="1"/>
  <c r="M44" i="14" s="1"/>
  <c r="N44" i="14" s="1"/>
  <c r="O44" i="14" s="1"/>
  <c r="P44" i="14" s="1"/>
  <c r="Q44" i="14" s="1"/>
  <c r="R44" i="14" s="1"/>
  <c r="S44" i="14" s="1"/>
  <c r="T44" i="14" s="1"/>
  <c r="G44" i="14"/>
  <c r="H44" i="14" s="1"/>
  <c r="I44" i="14" s="1"/>
  <c r="J44" i="14" s="1"/>
  <c r="F44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P42" i="14"/>
  <c r="O42" i="14"/>
  <c r="N42" i="14"/>
  <c r="M42" i="14"/>
  <c r="L42" i="14"/>
  <c r="L40" i="14" s="1"/>
  <c r="L58" i="14" s="1"/>
  <c r="K42" i="14"/>
  <c r="K40" i="14" s="1"/>
  <c r="K58" i="14" s="1"/>
  <c r="J42" i="14"/>
  <c r="J40" i="14" s="1"/>
  <c r="J58" i="14" s="1"/>
  <c r="I42" i="14"/>
  <c r="I40" i="14" s="1"/>
  <c r="I58" i="14" s="1"/>
  <c r="H42" i="14"/>
  <c r="G42" i="14"/>
  <c r="F42" i="14"/>
  <c r="E42" i="14"/>
  <c r="P41" i="14"/>
  <c r="O41" i="14"/>
  <c r="N41" i="14"/>
  <c r="M41" i="14"/>
  <c r="L41" i="14"/>
  <c r="K41" i="14"/>
  <c r="J41" i="14"/>
  <c r="I41" i="14"/>
  <c r="H41" i="14"/>
  <c r="G41" i="14"/>
  <c r="G40" i="14" s="1"/>
  <c r="G58" i="14" s="1"/>
  <c r="F41" i="14"/>
  <c r="E41" i="14"/>
  <c r="O40" i="14"/>
  <c r="O58" i="14" s="1"/>
  <c r="N40" i="14"/>
  <c r="N58" i="14" s="1"/>
  <c r="M40" i="14"/>
  <c r="M58" i="14" s="1"/>
  <c r="H40" i="14"/>
  <c r="F40" i="14"/>
  <c r="F58" i="14" s="1"/>
  <c r="E40" i="14"/>
  <c r="E58" i="14" s="1"/>
  <c r="E68" i="14" s="1"/>
  <c r="Q36" i="14"/>
  <c r="P36" i="14"/>
  <c r="N36" i="14"/>
  <c r="M36" i="14"/>
  <c r="L36" i="14"/>
  <c r="K36" i="14"/>
  <c r="J36" i="14"/>
  <c r="I36" i="14"/>
  <c r="H36" i="14"/>
  <c r="G36" i="14"/>
  <c r="F36" i="14"/>
  <c r="E36" i="14"/>
  <c r="P32" i="14"/>
  <c r="P40" i="14" s="1"/>
  <c r="P58" i="14" s="1"/>
  <c r="O32" i="14"/>
  <c r="N32" i="14"/>
  <c r="M32" i="14"/>
  <c r="L32" i="14"/>
  <c r="K32" i="14"/>
  <c r="J32" i="14"/>
  <c r="I32" i="14"/>
  <c r="H32" i="14"/>
  <c r="G32" i="14"/>
  <c r="F32" i="14"/>
  <c r="E32" i="14"/>
  <c r="F31" i="14"/>
  <c r="G31" i="14" s="1"/>
  <c r="H31" i="14" s="1"/>
  <c r="I31" i="14" s="1"/>
  <c r="J31" i="14" s="1"/>
  <c r="K31" i="14" s="1"/>
  <c r="L31" i="14" s="1"/>
  <c r="M31" i="14" s="1"/>
  <c r="N31" i="14" s="1"/>
  <c r="O31" i="14" s="1"/>
  <c r="P31" i="14" s="1"/>
  <c r="Q31" i="14" s="1"/>
  <c r="R31" i="14" s="1"/>
  <c r="S31" i="14" s="1"/>
  <c r="T31" i="14" s="1"/>
  <c r="Q28" i="14"/>
  <c r="P28" i="14"/>
  <c r="O28" i="14"/>
  <c r="I28" i="14"/>
  <c r="H28" i="14"/>
  <c r="G28" i="14"/>
  <c r="T27" i="14"/>
  <c r="S27" i="14"/>
  <c r="R27" i="14"/>
  <c r="S86" i="14" s="1"/>
  <c r="Q27" i="14"/>
  <c r="R88" i="14" s="1"/>
  <c r="P27" i="14"/>
  <c r="O27" i="14"/>
  <c r="N27" i="14"/>
  <c r="M27" i="14"/>
  <c r="N89" i="14" s="1"/>
  <c r="N95" i="14" s="1"/>
  <c r="L27" i="14"/>
  <c r="K27" i="14"/>
  <c r="J27" i="14"/>
  <c r="K87" i="14" s="1"/>
  <c r="K93" i="14" s="1"/>
  <c r="I27" i="14"/>
  <c r="J89" i="14" s="1"/>
  <c r="J95" i="14" s="1"/>
  <c r="H27" i="14"/>
  <c r="G27" i="14"/>
  <c r="F27" i="14"/>
  <c r="E27" i="14"/>
  <c r="F89" i="14" s="1"/>
  <c r="F95" i="14" s="1"/>
  <c r="D27" i="14"/>
  <c r="T26" i="14"/>
  <c r="S26" i="14"/>
  <c r="R26" i="14"/>
  <c r="Q26" i="14"/>
  <c r="P26" i="14"/>
  <c r="O26" i="14"/>
  <c r="N26" i="14"/>
  <c r="M26" i="14"/>
  <c r="L26" i="14"/>
  <c r="K26" i="14"/>
  <c r="K13" i="14" s="1"/>
  <c r="K14" i="14" s="1"/>
  <c r="K15" i="14" s="1"/>
  <c r="J26" i="14"/>
  <c r="J13" i="14" s="1"/>
  <c r="J14" i="14" s="1"/>
  <c r="J15" i="14" s="1"/>
  <c r="I26" i="14"/>
  <c r="I13" i="14" s="1"/>
  <c r="I14" i="14" s="1"/>
  <c r="I15" i="14" s="1"/>
  <c r="H26" i="14"/>
  <c r="G26" i="14"/>
  <c r="F26" i="14"/>
  <c r="E26" i="14"/>
  <c r="D26" i="14"/>
  <c r="T25" i="14"/>
  <c r="S25" i="14"/>
  <c r="R25" i="14"/>
  <c r="Q25" i="14"/>
  <c r="P25" i="14"/>
  <c r="P89" i="14" s="1"/>
  <c r="P95" i="14" s="1"/>
  <c r="O25" i="14"/>
  <c r="P87" i="14" s="1"/>
  <c r="P93" i="14" s="1"/>
  <c r="N25" i="14"/>
  <c r="N28" i="14" s="1"/>
  <c r="M25" i="14"/>
  <c r="M28" i="14" s="1"/>
  <c r="L25" i="14"/>
  <c r="K25" i="14"/>
  <c r="K88" i="14" s="1"/>
  <c r="K94" i="14" s="1"/>
  <c r="J25" i="14"/>
  <c r="I25" i="14"/>
  <c r="H25" i="14"/>
  <c r="H89" i="14" s="1"/>
  <c r="H95" i="14" s="1"/>
  <c r="G25" i="14"/>
  <c r="H87" i="14" s="1"/>
  <c r="H93" i="14" s="1"/>
  <c r="F25" i="14"/>
  <c r="F28" i="14" s="1"/>
  <c r="E25" i="14"/>
  <c r="E28" i="14" s="1"/>
  <c r="D25" i="14"/>
  <c r="L18" i="14"/>
  <c r="I18" i="14"/>
  <c r="H18" i="14"/>
  <c r="E16" i="14"/>
  <c r="E18" i="14" s="1"/>
  <c r="L13" i="14"/>
  <c r="F13" i="14"/>
  <c r="F14" i="14" s="1"/>
  <c r="F15" i="14" s="1"/>
  <c r="E13" i="14"/>
  <c r="E14" i="14" s="1"/>
  <c r="E15" i="14" s="1"/>
  <c r="M12" i="14"/>
  <c r="L12" i="14"/>
  <c r="G12" i="14"/>
  <c r="H13" i="14" s="1"/>
  <c r="H14" i="14" s="1"/>
  <c r="H15" i="14" s="1"/>
  <c r="F12" i="14"/>
  <c r="G16" i="14" s="1"/>
  <c r="G18" i="14" s="1"/>
  <c r="O11" i="14"/>
  <c r="F937" i="20" s="1"/>
  <c r="F939" i="20" s="1"/>
  <c r="F941" i="20" s="1"/>
  <c r="F942" i="20" s="1"/>
  <c r="N11" i="14"/>
  <c r="M61" i="9" s="1"/>
  <c r="M63" i="9" s="1"/>
  <c r="M11" i="14"/>
  <c r="L11" i="14"/>
  <c r="K11" i="14"/>
  <c r="J61" i="9" s="1"/>
  <c r="J63" i="9" s="1"/>
  <c r="J11" i="14"/>
  <c r="I11" i="14"/>
  <c r="H11" i="14"/>
  <c r="G61" i="9" s="1"/>
  <c r="G63" i="9" s="1"/>
  <c r="G11" i="14"/>
  <c r="F11" i="14"/>
  <c r="F16" i="14" s="1"/>
  <c r="F18" i="14" s="1"/>
  <c r="E11" i="14"/>
  <c r="L10" i="14"/>
  <c r="M10" i="14" s="1"/>
  <c r="N10" i="14" s="1"/>
  <c r="O10" i="14" s="1"/>
  <c r="P10" i="14" s="1"/>
  <c r="Q10" i="14" s="1"/>
  <c r="R10" i="14" s="1"/>
  <c r="S10" i="14" s="1"/>
  <c r="T10" i="14" s="1"/>
  <c r="H10" i="14"/>
  <c r="J9" i="14"/>
  <c r="T8" i="14"/>
  <c r="S8" i="14"/>
  <c r="R8" i="14"/>
  <c r="Q8" i="14"/>
  <c r="P8" i="14"/>
  <c r="O8" i="14"/>
  <c r="N8" i="14"/>
  <c r="F8" i="14"/>
  <c r="G8" i="14" s="1"/>
  <c r="H8" i="14" s="1"/>
  <c r="I8" i="14" s="1"/>
  <c r="L7" i="14"/>
  <c r="L9" i="14" s="1"/>
  <c r="E7" i="14"/>
  <c r="N6" i="14"/>
  <c r="N7" i="14" s="1"/>
  <c r="M6" i="14"/>
  <c r="M7" i="14" s="1"/>
  <c r="L6" i="14"/>
  <c r="F6" i="14"/>
  <c r="F7" i="14" s="1"/>
  <c r="E6" i="14"/>
  <c r="O5" i="14"/>
  <c r="P5" i="14" s="1"/>
  <c r="N5" i="14"/>
  <c r="O6" i="14" s="1"/>
  <c r="C69" i="13"/>
  <c r="C68" i="13"/>
  <c r="K52" i="13"/>
  <c r="J48" i="16" s="1"/>
  <c r="J16" i="16" s="1"/>
  <c r="S51" i="13"/>
  <c r="AH14" i="18" s="1"/>
  <c r="P51" i="13"/>
  <c r="M51" i="13"/>
  <c r="AB14" i="18" s="1"/>
  <c r="H50" i="13"/>
  <c r="I50" i="13" s="1"/>
  <c r="J50" i="13" s="1"/>
  <c r="K50" i="13" s="1"/>
  <c r="L50" i="13" s="1"/>
  <c r="M50" i="13" s="1"/>
  <c r="N50" i="13" s="1"/>
  <c r="O50" i="13" s="1"/>
  <c r="P50" i="13" s="1"/>
  <c r="Q50" i="13" s="1"/>
  <c r="R50" i="13" s="1"/>
  <c r="S50" i="13" s="1"/>
  <c r="T50" i="13" s="1"/>
  <c r="U50" i="13" s="1"/>
  <c r="V50" i="13" s="1"/>
  <c r="W50" i="13" s="1"/>
  <c r="X50" i="13" s="1"/>
  <c r="Y50" i="13" s="1"/>
  <c r="Z50" i="13" s="1"/>
  <c r="AA50" i="13" s="1"/>
  <c r="AB50" i="13" s="1"/>
  <c r="AC50" i="13" s="1"/>
  <c r="AD50" i="13" s="1"/>
  <c r="AE50" i="13" s="1"/>
  <c r="AF50" i="13" s="1"/>
  <c r="AG50" i="13" s="1"/>
  <c r="AH50" i="13" s="1"/>
  <c r="AI50" i="13" s="1"/>
  <c r="AJ50" i="13" s="1"/>
  <c r="AK50" i="13" s="1"/>
  <c r="AL50" i="13" s="1"/>
  <c r="AM50" i="13" s="1"/>
  <c r="AN50" i="13" s="1"/>
  <c r="AO50" i="13" s="1"/>
  <c r="AP50" i="13" s="1"/>
  <c r="AQ50" i="13" s="1"/>
  <c r="AR50" i="13" s="1"/>
  <c r="AS50" i="13" s="1"/>
  <c r="AT50" i="13" s="1"/>
  <c r="AU50" i="13" s="1"/>
  <c r="AV50" i="13" s="1"/>
  <c r="AW50" i="13" s="1"/>
  <c r="AX50" i="13" s="1"/>
  <c r="AY50" i="13" s="1"/>
  <c r="AZ50" i="13" s="1"/>
  <c r="BA50" i="13" s="1"/>
  <c r="BB50" i="13" s="1"/>
  <c r="BC50" i="13" s="1"/>
  <c r="BD50" i="13" s="1"/>
  <c r="BE50" i="13" s="1"/>
  <c r="BF50" i="13" s="1"/>
  <c r="BG50" i="13" s="1"/>
  <c r="BH50" i="13" s="1"/>
  <c r="BI50" i="13" s="1"/>
  <c r="BJ50" i="13" s="1"/>
  <c r="BK50" i="13" s="1"/>
  <c r="BL50" i="13" s="1"/>
  <c r="BM50" i="13" s="1"/>
  <c r="BN50" i="13" s="1"/>
  <c r="BO50" i="13" s="1"/>
  <c r="BP50" i="13" s="1"/>
  <c r="BQ50" i="13" s="1"/>
  <c r="BR50" i="13" s="1"/>
  <c r="BS50" i="13" s="1"/>
  <c r="BT50" i="13" s="1"/>
  <c r="BU50" i="13" s="1"/>
  <c r="BV50" i="13" s="1"/>
  <c r="BW50" i="13" s="1"/>
  <c r="BX50" i="13" s="1"/>
  <c r="BY50" i="13" s="1"/>
  <c r="BZ50" i="13" s="1"/>
  <c r="CA50" i="13" s="1"/>
  <c r="CB50" i="13" s="1"/>
  <c r="CC50" i="13" s="1"/>
  <c r="CD50" i="13" s="1"/>
  <c r="CE50" i="13" s="1"/>
  <c r="CF50" i="13" s="1"/>
  <c r="CG50" i="13" s="1"/>
  <c r="CH50" i="13" s="1"/>
  <c r="CI50" i="13" s="1"/>
  <c r="CJ50" i="13" s="1"/>
  <c r="CK50" i="13" s="1"/>
  <c r="CL50" i="13" s="1"/>
  <c r="CM50" i="13" s="1"/>
  <c r="CN50" i="13" s="1"/>
  <c r="CO50" i="13" s="1"/>
  <c r="CP50" i="13" s="1"/>
  <c r="CQ50" i="13" s="1"/>
  <c r="CR50" i="13" s="1"/>
  <c r="CS50" i="13" s="1"/>
  <c r="CT50" i="13" s="1"/>
  <c r="CU50" i="13" s="1"/>
  <c r="CV50" i="13" s="1"/>
  <c r="CW50" i="13" s="1"/>
  <c r="CX50" i="13" s="1"/>
  <c r="CY50" i="13" s="1"/>
  <c r="CZ50" i="13" s="1"/>
  <c r="DA50" i="13" s="1"/>
  <c r="DB50" i="13" s="1"/>
  <c r="DC50" i="13" s="1"/>
  <c r="DD50" i="13" s="1"/>
  <c r="DE50" i="13" s="1"/>
  <c r="DF50" i="13" s="1"/>
  <c r="DG50" i="13" s="1"/>
  <c r="DH50" i="13" s="1"/>
  <c r="DI50" i="13" s="1"/>
  <c r="DJ50" i="13" s="1"/>
  <c r="DK50" i="13" s="1"/>
  <c r="DL50" i="13" s="1"/>
  <c r="DM50" i="13" s="1"/>
  <c r="DN50" i="13" s="1"/>
  <c r="DO50" i="13" s="1"/>
  <c r="DP50" i="13" s="1"/>
  <c r="DQ50" i="13" s="1"/>
  <c r="DR50" i="13" s="1"/>
  <c r="DS50" i="13" s="1"/>
  <c r="DT50" i="13" s="1"/>
  <c r="DU50" i="13" s="1"/>
  <c r="DV50" i="13" s="1"/>
  <c r="DW50" i="13" s="1"/>
  <c r="DX50" i="13" s="1"/>
  <c r="DY50" i="13" s="1"/>
  <c r="DZ50" i="13" s="1"/>
  <c r="EA50" i="13" s="1"/>
  <c r="EB50" i="13" s="1"/>
  <c r="EC50" i="13" s="1"/>
  <c r="ED50" i="13" s="1"/>
  <c r="EE50" i="13" s="1"/>
  <c r="EF50" i="13" s="1"/>
  <c r="EG50" i="13" s="1"/>
  <c r="EH50" i="13" s="1"/>
  <c r="EI50" i="13" s="1"/>
  <c r="EJ50" i="13" s="1"/>
  <c r="EK50" i="13" s="1"/>
  <c r="EL50" i="13" s="1"/>
  <c r="EM50" i="13" s="1"/>
  <c r="EN50" i="13" s="1"/>
  <c r="EO50" i="13" s="1"/>
  <c r="EP50" i="13" s="1"/>
  <c r="EQ50" i="13" s="1"/>
  <c r="ER50" i="13" s="1"/>
  <c r="ES50" i="13" s="1"/>
  <c r="ET50" i="13" s="1"/>
  <c r="EU50" i="13" s="1"/>
  <c r="EV50" i="13" s="1"/>
  <c r="EW50" i="13" s="1"/>
  <c r="EX50" i="13" s="1"/>
  <c r="EY50" i="13" s="1"/>
  <c r="EZ50" i="13" s="1"/>
  <c r="FA50" i="13" s="1"/>
  <c r="FB50" i="13" s="1"/>
  <c r="FC50" i="13" s="1"/>
  <c r="FD50" i="13" s="1"/>
  <c r="FE50" i="13" s="1"/>
  <c r="FF50" i="13" s="1"/>
  <c r="FG50" i="13" s="1"/>
  <c r="FH50" i="13" s="1"/>
  <c r="FI50" i="13" s="1"/>
  <c r="FJ50" i="13" s="1"/>
  <c r="FK50" i="13" s="1"/>
  <c r="FL50" i="13" s="1"/>
  <c r="FM50" i="13" s="1"/>
  <c r="FN50" i="13" s="1"/>
  <c r="FO50" i="13" s="1"/>
  <c r="FP50" i="13" s="1"/>
  <c r="FQ50" i="13" s="1"/>
  <c r="FR50" i="13" s="1"/>
  <c r="FS50" i="13" s="1"/>
  <c r="FT50" i="13" s="1"/>
  <c r="FU50" i="13" s="1"/>
  <c r="FV50" i="13" s="1"/>
  <c r="FW50" i="13" s="1"/>
  <c r="FX50" i="13" s="1"/>
  <c r="FY50" i="13" s="1"/>
  <c r="FZ50" i="13" s="1"/>
  <c r="GA50" i="13" s="1"/>
  <c r="GB50" i="13" s="1"/>
  <c r="GC50" i="13" s="1"/>
  <c r="GD50" i="13" s="1"/>
  <c r="GE50" i="13" s="1"/>
  <c r="V49" i="13"/>
  <c r="N49" i="13"/>
  <c r="J49" i="13"/>
  <c r="Q45" i="13"/>
  <c r="P47" i="16" s="1"/>
  <c r="P15" i="16" s="1"/>
  <c r="AF13" i="18" s="1"/>
  <c r="S40" i="13"/>
  <c r="R45" i="16" s="1"/>
  <c r="R13" i="16" s="1"/>
  <c r="AH11" i="18" s="1"/>
  <c r="R40" i="13"/>
  <c r="Q45" i="16" s="1"/>
  <c r="Q13" i="16" s="1"/>
  <c r="AG11" i="18" s="1"/>
  <c r="Q40" i="13"/>
  <c r="S39" i="13"/>
  <c r="R44" i="16" s="1"/>
  <c r="R12" i="16" s="1"/>
  <c r="AH10" i="18" s="1"/>
  <c r="R39" i="13"/>
  <c r="Q44" i="16" s="1"/>
  <c r="Q12" i="16" s="1"/>
  <c r="AG10" i="18" s="1"/>
  <c r="P39" i="13"/>
  <c r="O44" i="16" s="1"/>
  <c r="R38" i="13"/>
  <c r="Q43" i="16" s="1"/>
  <c r="Q11" i="16" s="1"/>
  <c r="AG9" i="18" s="1"/>
  <c r="Q38" i="13"/>
  <c r="P43" i="16" s="1"/>
  <c r="P11" i="16" s="1"/>
  <c r="AF9" i="18" s="1"/>
  <c r="S37" i="13"/>
  <c r="Q37" i="13"/>
  <c r="S36" i="13"/>
  <c r="Q36" i="13"/>
  <c r="W35" i="13"/>
  <c r="V42" i="16" s="1"/>
  <c r="V35" i="13"/>
  <c r="U35" i="13"/>
  <c r="T35" i="13"/>
  <c r="S42" i="16" s="1"/>
  <c r="O35" i="13"/>
  <c r="N42" i="16" s="1"/>
  <c r="N35" i="13"/>
  <c r="M35" i="13"/>
  <c r="L35" i="13"/>
  <c r="K42" i="16" s="1"/>
  <c r="K35" i="13"/>
  <c r="J42" i="16" s="1"/>
  <c r="J35" i="13"/>
  <c r="I42" i="16" s="1"/>
  <c r="I35" i="13"/>
  <c r="H42" i="16" s="1"/>
  <c r="H35" i="13"/>
  <c r="G42" i="16" s="1"/>
  <c r="H34" i="13"/>
  <c r="H29" i="13"/>
  <c r="T28" i="13"/>
  <c r="F57" i="31" s="1"/>
  <c r="Q28" i="13"/>
  <c r="Q20" i="13" s="1"/>
  <c r="T27" i="13"/>
  <c r="F56" i="31" s="1"/>
  <c r="T26" i="13"/>
  <c r="F55" i="31" s="1"/>
  <c r="X25" i="13"/>
  <c r="Y25" i="13" s="1"/>
  <c r="Z25" i="13" s="1"/>
  <c r="AA25" i="13" s="1"/>
  <c r="AB25" i="13" s="1"/>
  <c r="AC25" i="13" s="1"/>
  <c r="AD25" i="13" s="1"/>
  <c r="AE25" i="13" s="1"/>
  <c r="AF25" i="13" s="1"/>
  <c r="AG25" i="13" s="1"/>
  <c r="AH25" i="13" s="1"/>
  <c r="AI25" i="13" s="1"/>
  <c r="AJ25" i="13" s="1"/>
  <c r="AK25" i="13" s="1"/>
  <c r="AL25" i="13" s="1"/>
  <c r="AM25" i="13" s="1"/>
  <c r="AN25" i="13" s="1"/>
  <c r="AO25" i="13" s="1"/>
  <c r="AP25" i="13" s="1"/>
  <c r="AQ25" i="13" s="1"/>
  <c r="AR25" i="13" s="1"/>
  <c r="AS25" i="13" s="1"/>
  <c r="AT25" i="13" s="1"/>
  <c r="AU25" i="13" s="1"/>
  <c r="AV25" i="13" s="1"/>
  <c r="AW25" i="13" s="1"/>
  <c r="AX25" i="13" s="1"/>
  <c r="AY25" i="13" s="1"/>
  <c r="AZ25" i="13" s="1"/>
  <c r="BA25" i="13" s="1"/>
  <c r="BB25" i="13" s="1"/>
  <c r="BC25" i="13" s="1"/>
  <c r="BD25" i="13" s="1"/>
  <c r="BE25" i="13" s="1"/>
  <c r="BF25" i="13" s="1"/>
  <c r="V25" i="13"/>
  <c r="T25" i="13"/>
  <c r="F54" i="31" s="1"/>
  <c r="V24" i="13"/>
  <c r="T24" i="13"/>
  <c r="F53" i="31" s="1"/>
  <c r="V23" i="13"/>
  <c r="W23" i="13" s="1"/>
  <c r="T23" i="13"/>
  <c r="F52" i="31" s="1"/>
  <c r="U22" i="13"/>
  <c r="U20" i="13" s="1"/>
  <c r="S22" i="13"/>
  <c r="E51" i="31" s="1"/>
  <c r="R22" i="13"/>
  <c r="O22" i="13"/>
  <c r="O20" i="13" s="1"/>
  <c r="N22" i="13"/>
  <c r="N20" i="13" s="1"/>
  <c r="M22" i="13"/>
  <c r="M20" i="13" s="1"/>
  <c r="L22" i="13"/>
  <c r="L20" i="13" s="1"/>
  <c r="K22" i="13"/>
  <c r="K20" i="13" s="1"/>
  <c r="J22" i="13"/>
  <c r="J20" i="13" s="1"/>
  <c r="I22" i="13"/>
  <c r="I20" i="13" s="1"/>
  <c r="H22" i="13"/>
  <c r="H20" i="13" s="1"/>
  <c r="P20" i="13"/>
  <c r="F20" i="13"/>
  <c r="S19" i="13"/>
  <c r="E48" i="31" s="1"/>
  <c r="R19" i="13"/>
  <c r="D48" i="31" s="1"/>
  <c r="K48" i="31" s="1"/>
  <c r="AH16" i="13"/>
  <c r="AG16" i="1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F45" i="31" s="1"/>
  <c r="Q16" i="13"/>
  <c r="P16" i="13"/>
  <c r="O16" i="13"/>
  <c r="N16" i="13"/>
  <c r="M16" i="13"/>
  <c r="L16" i="13"/>
  <c r="K16" i="13"/>
  <c r="J16" i="13"/>
  <c r="I16" i="13"/>
  <c r="H16" i="13"/>
  <c r="U15" i="13"/>
  <c r="S15" i="13"/>
  <c r="E44" i="31" s="1"/>
  <c r="U14" i="13"/>
  <c r="V14" i="13" s="1"/>
  <c r="W14" i="13" s="1"/>
  <c r="X14" i="13" s="1"/>
  <c r="Y14" i="13" s="1"/>
  <c r="Z14" i="13" s="1"/>
  <c r="AA14" i="13" s="1"/>
  <c r="AB14" i="13" s="1"/>
  <c r="AC14" i="13" s="1"/>
  <c r="AD14" i="13" s="1"/>
  <c r="AE14" i="13" s="1"/>
  <c r="AF14" i="13" s="1"/>
  <c r="AG14" i="13" s="1"/>
  <c r="AH14" i="13" s="1"/>
  <c r="AI14" i="13" s="1"/>
  <c r="AJ14" i="13" s="1"/>
  <c r="AK14" i="13" s="1"/>
  <c r="AL14" i="13" s="1"/>
  <c r="AM14" i="13" s="1"/>
  <c r="AN14" i="13" s="1"/>
  <c r="AO14" i="13" s="1"/>
  <c r="AP14" i="13" s="1"/>
  <c r="AQ14" i="13" s="1"/>
  <c r="AR14" i="13" s="1"/>
  <c r="AS14" i="13" s="1"/>
  <c r="AT14" i="13" s="1"/>
  <c r="AU14" i="13" s="1"/>
  <c r="AV14" i="13" s="1"/>
  <c r="AW14" i="13" s="1"/>
  <c r="AX14" i="13" s="1"/>
  <c r="AY14" i="13" s="1"/>
  <c r="AZ14" i="13" s="1"/>
  <c r="BA14" i="13" s="1"/>
  <c r="BB14" i="13" s="1"/>
  <c r="BC14" i="13" s="1"/>
  <c r="BD14" i="13" s="1"/>
  <c r="BE14" i="13" s="1"/>
  <c r="BF14" i="13" s="1"/>
  <c r="S14" i="13"/>
  <c r="E43" i="31" s="1"/>
  <c r="V13" i="13"/>
  <c r="W13" i="13" s="1"/>
  <c r="X13" i="13" s="1"/>
  <c r="Y13" i="13" s="1"/>
  <c r="Z13" i="13" s="1"/>
  <c r="AA13" i="13" s="1"/>
  <c r="AB13" i="13" s="1"/>
  <c r="AC13" i="13" s="1"/>
  <c r="AD13" i="13" s="1"/>
  <c r="AE13" i="13" s="1"/>
  <c r="AF13" i="13" s="1"/>
  <c r="AG13" i="13" s="1"/>
  <c r="AH13" i="13" s="1"/>
  <c r="AI13" i="13" s="1"/>
  <c r="AJ13" i="13" s="1"/>
  <c r="AK13" i="13" s="1"/>
  <c r="AL13" i="13" s="1"/>
  <c r="AM13" i="13" s="1"/>
  <c r="AN13" i="13" s="1"/>
  <c r="AO13" i="13" s="1"/>
  <c r="AP13" i="13" s="1"/>
  <c r="AQ13" i="13" s="1"/>
  <c r="AR13" i="13" s="1"/>
  <c r="AS13" i="13" s="1"/>
  <c r="AT13" i="13" s="1"/>
  <c r="AU13" i="13" s="1"/>
  <c r="AV13" i="13" s="1"/>
  <c r="AW13" i="13" s="1"/>
  <c r="AX13" i="13" s="1"/>
  <c r="AY13" i="13" s="1"/>
  <c r="AZ13" i="13" s="1"/>
  <c r="BA13" i="13" s="1"/>
  <c r="BB13" i="13" s="1"/>
  <c r="BC13" i="13" s="1"/>
  <c r="BD13" i="13" s="1"/>
  <c r="BE13" i="13" s="1"/>
  <c r="BF13" i="13" s="1"/>
  <c r="S13" i="13"/>
  <c r="E42" i="31" s="1"/>
  <c r="U12" i="13"/>
  <c r="S12" i="13"/>
  <c r="E41" i="31" s="1"/>
  <c r="U11" i="13"/>
  <c r="S11" i="13"/>
  <c r="E40" i="31" s="1"/>
  <c r="R10" i="13"/>
  <c r="D39" i="31" s="1"/>
  <c r="Q10" i="13"/>
  <c r="P10" i="13"/>
  <c r="O10" i="13"/>
  <c r="N10" i="13"/>
  <c r="M10" i="13"/>
  <c r="M6" i="13" s="1"/>
  <c r="L10" i="13"/>
  <c r="K10" i="13"/>
  <c r="J10" i="13"/>
  <c r="J6" i="13" s="1"/>
  <c r="I10" i="13"/>
  <c r="I6" i="13" s="1"/>
  <c r="H10" i="13"/>
  <c r="W7" i="13"/>
  <c r="V7" i="13"/>
  <c r="S7" i="13"/>
  <c r="R7" i="13"/>
  <c r="Q7" i="13"/>
  <c r="P7" i="13"/>
  <c r="O7" i="13"/>
  <c r="X6" i="13"/>
  <c r="Y6" i="13" s="1"/>
  <c r="T6" i="13"/>
  <c r="U7" i="13" s="1"/>
  <c r="R4" i="13"/>
  <c r="Q4" i="13"/>
  <c r="P4" i="13"/>
  <c r="O4" i="13"/>
  <c r="N4" i="13"/>
  <c r="M4" i="13"/>
  <c r="L4" i="13"/>
  <c r="K4" i="13"/>
  <c r="J4" i="13"/>
  <c r="I4" i="13"/>
  <c r="I3" i="13"/>
  <c r="H53" i="13"/>
  <c r="F105" i="12"/>
  <c r="F102" i="12"/>
  <c r="GA97" i="12"/>
  <c r="FZ97" i="12"/>
  <c r="FY97" i="12"/>
  <c r="FX97" i="12"/>
  <c r="FW97" i="12"/>
  <c r="FV97" i="12"/>
  <c r="FU97" i="12"/>
  <c r="FT97" i="12"/>
  <c r="FS97" i="12"/>
  <c r="FR97" i="12"/>
  <c r="FQ97" i="12"/>
  <c r="FP97" i="12"/>
  <c r="FO97" i="12"/>
  <c r="FN97" i="12"/>
  <c r="FM97" i="12"/>
  <c r="FL97" i="12"/>
  <c r="FK97" i="12"/>
  <c r="FJ97" i="12"/>
  <c r="FI97" i="12"/>
  <c r="FH97" i="12"/>
  <c r="FG97" i="12"/>
  <c r="FF97" i="12"/>
  <c r="FE97" i="12"/>
  <c r="FD97" i="12"/>
  <c r="FC97" i="12"/>
  <c r="FB97" i="12"/>
  <c r="FA97" i="12"/>
  <c r="EZ97" i="12"/>
  <c r="EY97" i="12"/>
  <c r="EX97" i="12"/>
  <c r="EW97" i="12"/>
  <c r="EV97" i="12"/>
  <c r="EU97" i="12"/>
  <c r="ET97" i="12"/>
  <c r="ES97" i="12"/>
  <c r="ER97" i="12"/>
  <c r="EQ97" i="12"/>
  <c r="EP97" i="12"/>
  <c r="EO97" i="12"/>
  <c r="EN97" i="12"/>
  <c r="EM97" i="12"/>
  <c r="EL97" i="12"/>
  <c r="EK97" i="12"/>
  <c r="EJ97" i="12"/>
  <c r="EI97" i="12"/>
  <c r="EH97" i="12"/>
  <c r="EG97" i="12"/>
  <c r="EF97" i="12"/>
  <c r="EE97" i="12"/>
  <c r="ED97" i="12"/>
  <c r="EC97" i="12"/>
  <c r="EB97" i="12"/>
  <c r="EA97" i="12"/>
  <c r="DZ97" i="12"/>
  <c r="DY97" i="12"/>
  <c r="DX97" i="12"/>
  <c r="DW97" i="12"/>
  <c r="DV97" i="12"/>
  <c r="DU97" i="12"/>
  <c r="DT97" i="12"/>
  <c r="DS97" i="12"/>
  <c r="DR97" i="12"/>
  <c r="DQ97" i="12"/>
  <c r="DP97" i="12"/>
  <c r="DO97" i="12"/>
  <c r="DN97" i="12"/>
  <c r="DM97" i="12"/>
  <c r="DL97" i="12"/>
  <c r="DK97" i="12"/>
  <c r="DJ97" i="12"/>
  <c r="DI97" i="12"/>
  <c r="DH97" i="12"/>
  <c r="DG97" i="12"/>
  <c r="DF97" i="12"/>
  <c r="DE97" i="12"/>
  <c r="DD97" i="12"/>
  <c r="DC97" i="12"/>
  <c r="DB97" i="12"/>
  <c r="DA97" i="12"/>
  <c r="CZ97" i="12"/>
  <c r="CY97" i="12"/>
  <c r="CX97" i="12"/>
  <c r="CW97" i="12"/>
  <c r="CV97" i="12"/>
  <c r="CU97" i="12"/>
  <c r="CT97" i="12"/>
  <c r="CS97" i="12"/>
  <c r="CR97" i="12"/>
  <c r="CQ97" i="12"/>
  <c r="CP97" i="12"/>
  <c r="CO97" i="12"/>
  <c r="CN97" i="12"/>
  <c r="CM97" i="12"/>
  <c r="CL97" i="12"/>
  <c r="CK97" i="12"/>
  <c r="CJ97" i="12"/>
  <c r="CI97" i="12"/>
  <c r="CH97" i="12"/>
  <c r="CG97" i="12"/>
  <c r="CF97" i="12"/>
  <c r="CE97" i="12"/>
  <c r="CD97" i="12"/>
  <c r="CC97" i="12"/>
  <c r="CB97" i="12"/>
  <c r="CA97" i="12"/>
  <c r="BZ97" i="12"/>
  <c r="BY97" i="12"/>
  <c r="BX97" i="12"/>
  <c r="BW97" i="12"/>
  <c r="BV97" i="12"/>
  <c r="BU97" i="12"/>
  <c r="BT97" i="12"/>
  <c r="BS97" i="12"/>
  <c r="BR97" i="12"/>
  <c r="BQ97" i="12"/>
  <c r="BP97" i="12"/>
  <c r="BO97" i="12"/>
  <c r="BN97" i="12"/>
  <c r="BM97" i="12"/>
  <c r="BL97" i="12"/>
  <c r="BK97" i="12"/>
  <c r="BJ97" i="12"/>
  <c r="BI97" i="12"/>
  <c r="BH97" i="12"/>
  <c r="BG97" i="12"/>
  <c r="BF97" i="12"/>
  <c r="BE97" i="12"/>
  <c r="BD97" i="12"/>
  <c r="BC97" i="12"/>
  <c r="BB97" i="12"/>
  <c r="BA97" i="12"/>
  <c r="AZ97" i="12"/>
  <c r="AY97" i="12"/>
  <c r="AW97" i="12"/>
  <c r="AV97" i="12"/>
  <c r="AU97" i="12"/>
  <c r="AT97" i="12"/>
  <c r="AS97" i="12"/>
  <c r="AR97" i="12"/>
  <c r="AQ97" i="12"/>
  <c r="AP97" i="12"/>
  <c r="AO97" i="12"/>
  <c r="AO111" i="12" s="1"/>
  <c r="AN97" i="12"/>
  <c r="AM97" i="12"/>
  <c r="AL97" i="12"/>
  <c r="AK97" i="12"/>
  <c r="AJ97" i="12"/>
  <c r="AI97" i="12"/>
  <c r="AH97" i="12"/>
  <c r="AG97" i="12"/>
  <c r="AF97" i="12"/>
  <c r="AE97" i="12"/>
  <c r="AD97" i="12"/>
  <c r="AC97" i="12"/>
  <c r="AB97" i="12"/>
  <c r="AA97" i="12"/>
  <c r="Z97" i="12"/>
  <c r="Y97" i="12"/>
  <c r="X97" i="12"/>
  <c r="W97" i="12"/>
  <c r="V97" i="12"/>
  <c r="U97" i="12"/>
  <c r="T97" i="12"/>
  <c r="S97" i="12"/>
  <c r="R97" i="12"/>
  <c r="Q97" i="12"/>
  <c r="P97" i="12"/>
  <c r="O97" i="12"/>
  <c r="N97" i="12"/>
  <c r="M97" i="12"/>
  <c r="L97" i="12"/>
  <c r="K97" i="12"/>
  <c r="I97" i="12"/>
  <c r="H97" i="12"/>
  <c r="H96" i="12"/>
  <c r="I36" i="19" s="1"/>
  <c r="I35" i="19" s="1"/>
  <c r="F93" i="12"/>
  <c r="P92" i="12"/>
  <c r="Q92" i="12" s="1"/>
  <c r="I92" i="12"/>
  <c r="J92" i="12" s="1"/>
  <c r="K92" i="12" s="1"/>
  <c r="L92" i="12" s="1"/>
  <c r="C91" i="12"/>
  <c r="J88" i="12"/>
  <c r="I88" i="12"/>
  <c r="C87" i="12"/>
  <c r="BM84" i="12"/>
  <c r="BL84" i="12"/>
  <c r="I84" i="12"/>
  <c r="J80" i="12"/>
  <c r="I80" i="12"/>
  <c r="BM76" i="12"/>
  <c r="BN76" i="12" s="1"/>
  <c r="BL76" i="12"/>
  <c r="I76" i="12"/>
  <c r="J76" i="12" s="1"/>
  <c r="BL72" i="12"/>
  <c r="BM72" i="12" s="1"/>
  <c r="J72" i="12"/>
  <c r="I72" i="12"/>
  <c r="H70" i="12"/>
  <c r="F64" i="12"/>
  <c r="GE56" i="12"/>
  <c r="GD56" i="12"/>
  <c r="GC56" i="12"/>
  <c r="GB56" i="12"/>
  <c r="GA56" i="12"/>
  <c r="FZ56" i="12"/>
  <c r="FY56" i="12"/>
  <c r="FX56" i="12"/>
  <c r="FW56" i="12"/>
  <c r="FV56" i="12"/>
  <c r="FU56" i="12"/>
  <c r="FT56" i="12"/>
  <c r="FS56" i="12"/>
  <c r="FR56" i="12"/>
  <c r="FQ56" i="12"/>
  <c r="FP56" i="12"/>
  <c r="FO56" i="12"/>
  <c r="FN56" i="12"/>
  <c r="FM56" i="12"/>
  <c r="FL56" i="12"/>
  <c r="FK56" i="12"/>
  <c r="FJ56" i="12"/>
  <c r="FI56" i="12"/>
  <c r="FH56" i="12"/>
  <c r="FG56" i="12"/>
  <c r="FF56" i="12"/>
  <c r="FE56" i="12"/>
  <c r="FD56" i="12"/>
  <c r="FC56" i="12"/>
  <c r="FB56" i="12"/>
  <c r="FA56" i="12"/>
  <c r="EZ56" i="12"/>
  <c r="EY56" i="12"/>
  <c r="EX56" i="12"/>
  <c r="EW56" i="12"/>
  <c r="EV56" i="12"/>
  <c r="EU56" i="12"/>
  <c r="ET56" i="12"/>
  <c r="ES56" i="12"/>
  <c r="ER56" i="12"/>
  <c r="EQ56" i="12"/>
  <c r="EP56" i="12"/>
  <c r="EO56" i="12"/>
  <c r="EN56" i="12"/>
  <c r="EM56" i="12"/>
  <c r="EL56" i="12"/>
  <c r="EK56" i="12"/>
  <c r="EJ56" i="12"/>
  <c r="EI56" i="12"/>
  <c r="EH56" i="12"/>
  <c r="EG56" i="12"/>
  <c r="EF56" i="12"/>
  <c r="EE56" i="12"/>
  <c r="ED56" i="12"/>
  <c r="EC56" i="12"/>
  <c r="EB56" i="12"/>
  <c r="EA56" i="12"/>
  <c r="DZ56" i="12"/>
  <c r="DY56" i="12"/>
  <c r="DX56" i="12"/>
  <c r="DW56" i="12"/>
  <c r="DV56" i="12"/>
  <c r="DU56" i="12"/>
  <c r="DT56" i="12"/>
  <c r="DS56" i="12"/>
  <c r="DR56" i="12"/>
  <c r="DQ56" i="12"/>
  <c r="DP56" i="12"/>
  <c r="DO56" i="12"/>
  <c r="DN56" i="12"/>
  <c r="DM56" i="12"/>
  <c r="DL56" i="12"/>
  <c r="DK56" i="12"/>
  <c r="DJ56" i="12"/>
  <c r="DI56" i="12"/>
  <c r="DH56" i="12"/>
  <c r="DG56" i="12"/>
  <c r="DF56" i="12"/>
  <c r="DE56" i="12"/>
  <c r="DD56" i="12"/>
  <c r="DC56" i="12"/>
  <c r="DB56" i="12"/>
  <c r="DA56" i="12"/>
  <c r="CZ56" i="12"/>
  <c r="CY56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O56" i="12"/>
  <c r="H47" i="12"/>
  <c r="I47" i="12" s="1"/>
  <c r="J47" i="12" s="1"/>
  <c r="K47" i="12" s="1"/>
  <c r="L47" i="12" s="1"/>
  <c r="M47" i="12" s="1"/>
  <c r="N47" i="12" s="1"/>
  <c r="O47" i="12" s="1"/>
  <c r="P47" i="12" s="1"/>
  <c r="S41" i="12"/>
  <c r="R74" i="16" s="1"/>
  <c r="Q41" i="12"/>
  <c r="P74" i="16" s="1"/>
  <c r="P41" i="12"/>
  <c r="O74" i="16" s="1"/>
  <c r="GE39" i="12"/>
  <c r="GD39" i="12"/>
  <c r="GC39" i="12"/>
  <c r="GB39" i="12"/>
  <c r="GA39" i="12"/>
  <c r="FZ39" i="12"/>
  <c r="FY39" i="12"/>
  <c r="FX39" i="12"/>
  <c r="FW39" i="12"/>
  <c r="FV39" i="12"/>
  <c r="FU39" i="12"/>
  <c r="FT39" i="12"/>
  <c r="FS39" i="12"/>
  <c r="FR39" i="12"/>
  <c r="FQ39" i="12"/>
  <c r="FP39" i="12"/>
  <c r="FO39" i="12"/>
  <c r="GD36" i="18" s="1"/>
  <c r="FN39" i="12"/>
  <c r="GC36" i="18" s="1"/>
  <c r="FM39" i="12"/>
  <c r="GB36" i="18" s="1"/>
  <c r="FL39" i="12"/>
  <c r="GA36" i="18" s="1"/>
  <c r="FK39" i="12"/>
  <c r="FZ36" i="18" s="1"/>
  <c r="FJ39" i="12"/>
  <c r="FY36" i="18" s="1"/>
  <c r="FI39" i="12"/>
  <c r="FX36" i="18" s="1"/>
  <c r="FH39" i="12"/>
  <c r="FW36" i="18" s="1"/>
  <c r="FG39" i="12"/>
  <c r="FV36" i="18" s="1"/>
  <c r="FF39" i="12"/>
  <c r="FU36" i="18" s="1"/>
  <c r="FE39" i="12"/>
  <c r="FT36" i="18" s="1"/>
  <c r="FD39" i="12"/>
  <c r="FS36" i="18" s="1"/>
  <c r="FC39" i="12"/>
  <c r="FR36" i="18" s="1"/>
  <c r="FB39" i="12"/>
  <c r="FQ36" i="18" s="1"/>
  <c r="FA39" i="12"/>
  <c r="FP36" i="18" s="1"/>
  <c r="EZ39" i="12"/>
  <c r="FO36" i="18" s="1"/>
  <c r="EY39" i="12"/>
  <c r="FN36" i="18" s="1"/>
  <c r="EX39" i="12"/>
  <c r="FM36" i="18" s="1"/>
  <c r="EW39" i="12"/>
  <c r="FL36" i="18" s="1"/>
  <c r="EV39" i="12"/>
  <c r="FK36" i="18" s="1"/>
  <c r="EU39" i="12"/>
  <c r="FJ36" i="18" s="1"/>
  <c r="ET39" i="12"/>
  <c r="FI36" i="18" s="1"/>
  <c r="ES39" i="12"/>
  <c r="FH36" i="18" s="1"/>
  <c r="ER39" i="12"/>
  <c r="FG36" i="18" s="1"/>
  <c r="EQ39" i="12"/>
  <c r="FF36" i="18" s="1"/>
  <c r="EP39" i="12"/>
  <c r="FE36" i="18" s="1"/>
  <c r="EO39" i="12"/>
  <c r="FD36" i="18" s="1"/>
  <c r="EN39" i="12"/>
  <c r="FC36" i="18" s="1"/>
  <c r="EM39" i="12"/>
  <c r="FB36" i="18" s="1"/>
  <c r="EL39" i="12"/>
  <c r="FA36" i="18" s="1"/>
  <c r="EK39" i="12"/>
  <c r="EZ36" i="18" s="1"/>
  <c r="EJ39" i="12"/>
  <c r="EY36" i="18" s="1"/>
  <c r="EI39" i="12"/>
  <c r="EX36" i="18" s="1"/>
  <c r="EH39" i="12"/>
  <c r="EW36" i="18" s="1"/>
  <c r="EG39" i="12"/>
  <c r="EV36" i="18" s="1"/>
  <c r="EF39" i="12"/>
  <c r="EU36" i="18" s="1"/>
  <c r="EE39" i="12"/>
  <c r="ET36" i="18" s="1"/>
  <c r="ED39" i="12"/>
  <c r="ES36" i="18" s="1"/>
  <c r="EC39" i="12"/>
  <c r="ER36" i="18" s="1"/>
  <c r="EB39" i="12"/>
  <c r="EQ36" i="18" s="1"/>
  <c r="EA39" i="12"/>
  <c r="EP36" i="18" s="1"/>
  <c r="DZ39" i="12"/>
  <c r="EO36" i="18" s="1"/>
  <c r="DY39" i="12"/>
  <c r="EN36" i="18" s="1"/>
  <c r="DX39" i="12"/>
  <c r="EM36" i="18" s="1"/>
  <c r="DW39" i="12"/>
  <c r="EL36" i="18" s="1"/>
  <c r="DV39" i="12"/>
  <c r="EK36" i="18" s="1"/>
  <c r="DU39" i="12"/>
  <c r="EJ36" i="18" s="1"/>
  <c r="DT39" i="12"/>
  <c r="EI36" i="18" s="1"/>
  <c r="DS39" i="12"/>
  <c r="EH36" i="18" s="1"/>
  <c r="DR39" i="12"/>
  <c r="EG36" i="18" s="1"/>
  <c r="DQ39" i="12"/>
  <c r="EF36" i="18" s="1"/>
  <c r="DP39" i="12"/>
  <c r="EE36" i="18" s="1"/>
  <c r="DO39" i="12"/>
  <c r="ED36" i="18" s="1"/>
  <c r="DN39" i="12"/>
  <c r="EC36" i="18" s="1"/>
  <c r="DM39" i="12"/>
  <c r="EB36" i="18" s="1"/>
  <c r="DL39" i="12"/>
  <c r="EA36" i="18" s="1"/>
  <c r="DK39" i="12"/>
  <c r="DZ36" i="18" s="1"/>
  <c r="DJ39" i="12"/>
  <c r="DY36" i="18" s="1"/>
  <c r="DI39" i="12"/>
  <c r="DX36" i="18" s="1"/>
  <c r="DH39" i="12"/>
  <c r="DW36" i="18" s="1"/>
  <c r="DG39" i="12"/>
  <c r="DV36" i="18" s="1"/>
  <c r="DF39" i="12"/>
  <c r="DU36" i="18" s="1"/>
  <c r="DE39" i="12"/>
  <c r="DT36" i="18" s="1"/>
  <c r="DD39" i="12"/>
  <c r="DS36" i="18" s="1"/>
  <c r="DC39" i="12"/>
  <c r="DR36" i="18" s="1"/>
  <c r="DB39" i="12"/>
  <c r="DQ36" i="18" s="1"/>
  <c r="DA39" i="12"/>
  <c r="DP36" i="18" s="1"/>
  <c r="CZ39" i="12"/>
  <c r="DO36" i="18" s="1"/>
  <c r="CY39" i="12"/>
  <c r="DN36" i="18" s="1"/>
  <c r="CX39" i="12"/>
  <c r="DM36" i="18" s="1"/>
  <c r="CW39" i="12"/>
  <c r="DL36" i="18" s="1"/>
  <c r="CV39" i="12"/>
  <c r="DK36" i="18" s="1"/>
  <c r="CU39" i="12"/>
  <c r="DJ36" i="18" s="1"/>
  <c r="CT39" i="12"/>
  <c r="DI36" i="18" s="1"/>
  <c r="CS39" i="12"/>
  <c r="DH36" i="18" s="1"/>
  <c r="CR39" i="12"/>
  <c r="DG36" i="18" s="1"/>
  <c r="CQ39" i="12"/>
  <c r="DF36" i="18" s="1"/>
  <c r="CP39" i="12"/>
  <c r="DE36" i="18" s="1"/>
  <c r="CO39" i="12"/>
  <c r="DD36" i="18" s="1"/>
  <c r="CN39" i="12"/>
  <c r="DC36" i="18" s="1"/>
  <c r="CM39" i="12"/>
  <c r="DB36" i="18" s="1"/>
  <c r="CL39" i="12"/>
  <c r="DA36" i="18" s="1"/>
  <c r="CK39" i="12"/>
  <c r="CZ36" i="18" s="1"/>
  <c r="CJ39" i="12"/>
  <c r="CY36" i="18" s="1"/>
  <c r="CI39" i="12"/>
  <c r="CX36" i="18" s="1"/>
  <c r="CH39" i="12"/>
  <c r="CW36" i="18" s="1"/>
  <c r="CG39" i="12"/>
  <c r="CV36" i="18" s="1"/>
  <c r="CF39" i="12"/>
  <c r="CU36" i="18" s="1"/>
  <c r="CE39" i="12"/>
  <c r="CT36" i="18" s="1"/>
  <c r="CD39" i="12"/>
  <c r="CS36" i="18" s="1"/>
  <c r="CC39" i="12"/>
  <c r="CR36" i="18" s="1"/>
  <c r="CB39" i="12"/>
  <c r="CQ36" i="18" s="1"/>
  <c r="CA39" i="12"/>
  <c r="CP36" i="18" s="1"/>
  <c r="BZ39" i="12"/>
  <c r="CO36" i="18" s="1"/>
  <c r="BY39" i="12"/>
  <c r="CN36" i="18" s="1"/>
  <c r="BX39" i="12"/>
  <c r="CM36" i="18" s="1"/>
  <c r="BW39" i="12"/>
  <c r="CL36" i="18" s="1"/>
  <c r="BV39" i="12"/>
  <c r="CK36" i="18" s="1"/>
  <c r="BU39" i="12"/>
  <c r="CJ36" i="18" s="1"/>
  <c r="BT39" i="12"/>
  <c r="CI36" i="18" s="1"/>
  <c r="BS39" i="12"/>
  <c r="CH36" i="18" s="1"/>
  <c r="BR39" i="12"/>
  <c r="CG36" i="18" s="1"/>
  <c r="BQ39" i="12"/>
  <c r="CF36" i="18" s="1"/>
  <c r="BP39" i="12"/>
  <c r="CE36" i="18" s="1"/>
  <c r="BO39" i="12"/>
  <c r="CD36" i="18" s="1"/>
  <c r="BN39" i="12"/>
  <c r="CC36" i="18" s="1"/>
  <c r="BM39" i="12"/>
  <c r="CB36" i="18" s="1"/>
  <c r="BL39" i="12"/>
  <c r="CA36" i="18" s="1"/>
  <c r="BK39" i="12"/>
  <c r="BZ36" i="18" s="1"/>
  <c r="BJ39" i="12"/>
  <c r="BY36" i="18" s="1"/>
  <c r="BI39" i="12"/>
  <c r="BX36" i="18" s="1"/>
  <c r="BH39" i="12"/>
  <c r="BW36" i="18" s="1"/>
  <c r="BG39" i="12"/>
  <c r="BV36" i="18" s="1"/>
  <c r="BF39" i="12"/>
  <c r="BU36" i="18" s="1"/>
  <c r="BE39" i="12"/>
  <c r="BT36" i="18" s="1"/>
  <c r="BD39" i="12"/>
  <c r="BS36" i="18" s="1"/>
  <c r="BC39" i="12"/>
  <c r="BR36" i="18" s="1"/>
  <c r="BB39" i="12"/>
  <c r="BQ36" i="18" s="1"/>
  <c r="BA39" i="12"/>
  <c r="BP36" i="18" s="1"/>
  <c r="AZ39" i="12"/>
  <c r="BO36" i="18" s="1"/>
  <c r="AY39" i="12"/>
  <c r="BN36" i="18" s="1"/>
  <c r="AX39" i="12"/>
  <c r="BM36" i="18" s="1"/>
  <c r="AW39" i="12"/>
  <c r="BL36" i="18" s="1"/>
  <c r="AV39" i="12"/>
  <c r="BK36" i="18" s="1"/>
  <c r="AU39" i="12"/>
  <c r="BJ36" i="18" s="1"/>
  <c r="AT39" i="12"/>
  <c r="BI36" i="18" s="1"/>
  <c r="AS39" i="12"/>
  <c r="BH36" i="18" s="1"/>
  <c r="AR39" i="12"/>
  <c r="BG36" i="18" s="1"/>
  <c r="AQ39" i="12"/>
  <c r="BF36" i="18" s="1"/>
  <c r="AP39" i="12"/>
  <c r="BE36" i="18" s="1"/>
  <c r="AO39" i="12"/>
  <c r="BD36" i="18" s="1"/>
  <c r="AN39" i="12"/>
  <c r="BC36" i="18" s="1"/>
  <c r="AM39" i="12"/>
  <c r="BB36" i="18" s="1"/>
  <c r="AL39" i="12"/>
  <c r="BA36" i="18" s="1"/>
  <c r="AK39" i="12"/>
  <c r="AZ36" i="18" s="1"/>
  <c r="AJ39" i="12"/>
  <c r="AY36" i="18" s="1"/>
  <c r="AI39" i="12"/>
  <c r="AX36" i="18" s="1"/>
  <c r="AH39" i="12"/>
  <c r="AW36" i="18" s="1"/>
  <c r="AG39" i="12"/>
  <c r="AV36" i="18" s="1"/>
  <c r="AF39" i="12"/>
  <c r="AU36" i="18" s="1"/>
  <c r="AE39" i="12"/>
  <c r="AT36" i="18" s="1"/>
  <c r="AD39" i="12"/>
  <c r="AS36" i="18" s="1"/>
  <c r="AC39" i="12"/>
  <c r="AR36" i="18" s="1"/>
  <c r="AB39" i="12"/>
  <c r="AQ36" i="18" s="1"/>
  <c r="AA39" i="12"/>
  <c r="AP36" i="18" s="1"/>
  <c r="Z39" i="12"/>
  <c r="AO36" i="18" s="1"/>
  <c r="Y39" i="12"/>
  <c r="AN36" i="18" s="1"/>
  <c r="X39" i="12"/>
  <c r="AM36" i="18" s="1"/>
  <c r="W39" i="12"/>
  <c r="AL36" i="18" s="1"/>
  <c r="V39" i="12"/>
  <c r="AK36" i="18" s="1"/>
  <c r="U39" i="12"/>
  <c r="AJ36" i="18" s="1"/>
  <c r="T39" i="12"/>
  <c r="AI36" i="18" s="1"/>
  <c r="S39" i="12"/>
  <c r="AH36" i="18" s="1"/>
  <c r="R39" i="12"/>
  <c r="AG36" i="18" s="1"/>
  <c r="Q39" i="12"/>
  <c r="AF36" i="18" s="1"/>
  <c r="P39" i="12"/>
  <c r="AE36" i="18" s="1"/>
  <c r="O39" i="12"/>
  <c r="N39" i="12"/>
  <c r="M39" i="12"/>
  <c r="L39" i="12"/>
  <c r="K39" i="12"/>
  <c r="J39" i="12"/>
  <c r="I39" i="12"/>
  <c r="H39" i="12"/>
  <c r="H33" i="12"/>
  <c r="H28" i="12"/>
  <c r="F24" i="12"/>
  <c r="H23" i="12"/>
  <c r="C22" i="12"/>
  <c r="C83" i="12" s="1"/>
  <c r="F19" i="12"/>
  <c r="H18" i="12"/>
  <c r="C17" i="12"/>
  <c r="C79" i="12" s="1"/>
  <c r="F14" i="12"/>
  <c r="H13" i="12"/>
  <c r="C12" i="12"/>
  <c r="C75" i="12" s="1"/>
  <c r="F9" i="12"/>
  <c r="H8" i="12"/>
  <c r="C7" i="12"/>
  <c r="C71" i="12" s="1"/>
  <c r="H4" i="12"/>
  <c r="D6" i="12"/>
  <c r="GE35" i="18" s="1"/>
  <c r="FO12" i="23" s="1"/>
  <c r="H44" i="12"/>
  <c r="H78" i="12" s="1"/>
  <c r="E97" i="11"/>
  <c r="E96" i="11"/>
  <c r="H95" i="11"/>
  <c r="I94" i="11"/>
  <c r="J94" i="11" s="1"/>
  <c r="K94" i="11" s="1"/>
  <c r="E85" i="11"/>
  <c r="N84" i="11"/>
  <c r="O83" i="11"/>
  <c r="O84" i="11" s="1"/>
  <c r="M83" i="11"/>
  <c r="L83" i="11" s="1"/>
  <c r="V80" i="11"/>
  <c r="W79" i="11"/>
  <c r="V79" i="11"/>
  <c r="V78" i="11"/>
  <c r="W78" i="11" s="1"/>
  <c r="V77" i="11"/>
  <c r="W77" i="11" s="1"/>
  <c r="V76" i="11"/>
  <c r="W76" i="11" s="1"/>
  <c r="V75" i="11"/>
  <c r="W75" i="11" s="1"/>
  <c r="X74" i="11"/>
  <c r="D44" i="1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K31" i="11"/>
  <c r="L31" i="11" s="1"/>
  <c r="M31" i="11" s="1"/>
  <c r="N31" i="11" s="1"/>
  <c r="H30" i="11"/>
  <c r="I30" i="11" s="1"/>
  <c r="J30" i="11" s="1"/>
  <c r="K30" i="11" s="1"/>
  <c r="F29" i="11"/>
  <c r="BA28" i="11"/>
  <c r="J24" i="11"/>
  <c r="K24" i="11" s="1"/>
  <c r="H23" i="11"/>
  <c r="I23" i="11" s="1"/>
  <c r="J23" i="11" s="1"/>
  <c r="K23" i="11" s="1"/>
  <c r="F22" i="11"/>
  <c r="BA21" i="11"/>
  <c r="G16" i="11"/>
  <c r="H16" i="11" s="1"/>
  <c r="H15" i="11" s="1"/>
  <c r="G8" i="11"/>
  <c r="E10" i="11" s="1"/>
  <c r="F118" i="10"/>
  <c r="T135" i="16" s="1"/>
  <c r="D118" i="10"/>
  <c r="U135" i="16" s="1"/>
  <c r="F114" i="10"/>
  <c r="D114" i="10"/>
  <c r="F110" i="10"/>
  <c r="D110" i="10"/>
  <c r="F91" i="10"/>
  <c r="D91" i="10"/>
  <c r="C82" i="10"/>
  <c r="D81" i="10" s="1"/>
  <c r="F81" i="10"/>
  <c r="Z124" i="25" s="1"/>
  <c r="B72" i="10"/>
  <c r="F70" i="10"/>
  <c r="F68" i="10"/>
  <c r="D68" i="10"/>
  <c r="F66" i="10"/>
  <c r="D66" i="10"/>
  <c r="F64" i="10"/>
  <c r="D64" i="10"/>
  <c r="F61" i="10"/>
  <c r="D61" i="10"/>
  <c r="K192" i="19" s="1"/>
  <c r="L189" i="19" s="1"/>
  <c r="F60" i="10"/>
  <c r="F58" i="10"/>
  <c r="D58" i="10"/>
  <c r="F54" i="10"/>
  <c r="D54" i="10"/>
  <c r="J46" i="10"/>
  <c r="F44" i="10"/>
  <c r="D44" i="10"/>
  <c r="D60" i="10" s="1"/>
  <c r="F39" i="10"/>
  <c r="D39" i="10"/>
  <c r="K27" i="19" s="1"/>
  <c r="F35" i="10"/>
  <c r="D35" i="10"/>
  <c r="K123" i="19" s="1"/>
  <c r="F32" i="10"/>
  <c r="D32" i="10"/>
  <c r="K107" i="19" s="1"/>
  <c r="F29" i="10"/>
  <c r="D29" i="10"/>
  <c r="K100" i="19" s="1"/>
  <c r="F26" i="10"/>
  <c r="D26" i="10"/>
  <c r="K93" i="19" s="1"/>
  <c r="F25" i="10"/>
  <c r="F22" i="10" s="1"/>
  <c r="D25" i="10"/>
  <c r="F23" i="10"/>
  <c r="D23" i="10"/>
  <c r="L14" i="10"/>
  <c r="L15" i="10" s="1"/>
  <c r="L16" i="10" s="1"/>
  <c r="L17" i="10" s="1"/>
  <c r="L18" i="10" s="1"/>
  <c r="L19" i="10" s="1"/>
  <c r="L20" i="10" s="1"/>
  <c r="L21" i="10" s="1"/>
  <c r="L13" i="10"/>
  <c r="F10" i="10"/>
  <c r="F9" i="10" s="1"/>
  <c r="F42" i="10" s="1"/>
  <c r="D10" i="10"/>
  <c r="D9" i="10" s="1"/>
  <c r="D106" i="9"/>
  <c r="D105" i="9"/>
  <c r="M70" i="9"/>
  <c r="L70" i="9"/>
  <c r="K70" i="9"/>
  <c r="E70" i="9"/>
  <c r="D70" i="9"/>
  <c r="O69" i="9"/>
  <c r="N69" i="9"/>
  <c r="M69" i="9"/>
  <c r="L69" i="9"/>
  <c r="K69" i="9"/>
  <c r="J69" i="9"/>
  <c r="I69" i="9"/>
  <c r="H69" i="9"/>
  <c r="G69" i="9"/>
  <c r="F69" i="9"/>
  <c r="E69" i="9"/>
  <c r="D69" i="9"/>
  <c r="O68" i="9"/>
  <c r="N68" i="9"/>
  <c r="M68" i="9"/>
  <c r="L68" i="9"/>
  <c r="K68" i="9"/>
  <c r="J68" i="9"/>
  <c r="I68" i="9"/>
  <c r="H68" i="9"/>
  <c r="G68" i="9"/>
  <c r="F68" i="9"/>
  <c r="E68" i="9"/>
  <c r="D68" i="9"/>
  <c r="N61" i="9"/>
  <c r="N63" i="9" s="1"/>
  <c r="L61" i="9"/>
  <c r="L63" i="9" s="1"/>
  <c r="K61" i="9"/>
  <c r="K63" i="9" s="1"/>
  <c r="I61" i="9"/>
  <c r="I63" i="9" s="1"/>
  <c r="H61" i="9"/>
  <c r="H63" i="9" s="1"/>
  <c r="F61" i="9"/>
  <c r="F63" i="9" s="1"/>
  <c r="E61" i="9"/>
  <c r="E63" i="9" s="1"/>
  <c r="D61" i="9"/>
  <c r="D63" i="9" s="1"/>
  <c r="E59" i="9"/>
  <c r="F59" i="9" s="1"/>
  <c r="G59" i="9" s="1"/>
  <c r="H59" i="9" s="1"/>
  <c r="I59" i="9" s="1"/>
  <c r="J59" i="9" s="1"/>
  <c r="K59" i="9" s="1"/>
  <c r="L59" i="9" s="1"/>
  <c r="M59" i="9" s="1"/>
  <c r="N59" i="9" s="1"/>
  <c r="O59" i="9" s="1"/>
  <c r="D50" i="9"/>
  <c r="C50" i="9"/>
  <c r="D35" i="9"/>
  <c r="D34" i="9"/>
  <c r="D33" i="9"/>
  <c r="D32" i="9"/>
  <c r="D31" i="9"/>
  <c r="D30" i="9"/>
  <c r="D29" i="9"/>
  <c r="D28" i="9"/>
  <c r="D27" i="9"/>
  <c r="D26" i="9"/>
  <c r="D25" i="9"/>
  <c r="J19" i="6"/>
  <c r="E13" i="6"/>
  <c r="F13" i="6" s="1"/>
  <c r="J10" i="6"/>
  <c r="O8" i="6"/>
  <c r="O9" i="6" s="1"/>
  <c r="E7" i="6"/>
  <c r="D119" i="5"/>
  <c r="K10" i="5"/>
  <c r="J10" i="5"/>
  <c r="I10" i="5"/>
  <c r="H10" i="5"/>
  <c r="G10" i="5"/>
  <c r="D8" i="5"/>
  <c r="D9" i="5" s="1"/>
  <c r="D10" i="5" s="1"/>
  <c r="D11" i="5" s="1"/>
  <c r="H4" i="5"/>
  <c r="I4" i="5" s="1"/>
  <c r="J4" i="5" s="1"/>
  <c r="K4" i="5" s="1"/>
  <c r="L4" i="5" s="1"/>
  <c r="M4" i="5" s="1"/>
  <c r="N4" i="5" s="1"/>
  <c r="O4" i="5" s="1"/>
  <c r="P4" i="5" s="1"/>
  <c r="E2" i="5"/>
  <c r="F65" i="4"/>
  <c r="F55" i="4"/>
  <c r="F59" i="4"/>
  <c r="B51" i="4"/>
  <c r="AA31" i="18" l="1"/>
  <c r="AA30" i="18" s="1"/>
  <c r="AB31" i="18"/>
  <c r="AB30" i="18" s="1"/>
  <c r="Z31" i="18"/>
  <c r="Z30" i="18" s="1"/>
  <c r="Z27" i="18" s="1"/>
  <c r="AD31" i="18"/>
  <c r="AD30" i="18" s="1"/>
  <c r="FT35" i="23"/>
  <c r="GB35" i="23"/>
  <c r="AC31" i="18"/>
  <c r="AC30" i="18" s="1"/>
  <c r="AC27" i="18" s="1"/>
  <c r="FV35" i="23"/>
  <c r="GD35" i="23"/>
  <c r="FX35" i="23"/>
  <c r="X31" i="18"/>
  <c r="X30" i="18" s="1"/>
  <c r="X27" i="18" s="1"/>
  <c r="AK31" i="18"/>
  <c r="AK30" i="18" s="1"/>
  <c r="AK27" i="18" s="1"/>
  <c r="Y31" i="18"/>
  <c r="Y30" i="18" s="1"/>
  <c r="Y27" i="18" s="1"/>
  <c r="AL31" i="18"/>
  <c r="AL30" i="18" s="1"/>
  <c r="AL27" i="18" s="1"/>
  <c r="FQ35" i="23"/>
  <c r="FY35" i="23"/>
  <c r="AI27" i="37"/>
  <c r="AI201" i="37"/>
  <c r="AJ201" i="37" s="1"/>
  <c r="AK201" i="37" s="1"/>
  <c r="AL201" i="37" s="1"/>
  <c r="AM201" i="37" s="1"/>
  <c r="AN201" i="37" s="1"/>
  <c r="AO201" i="37" s="1"/>
  <c r="AP201" i="37" s="1"/>
  <c r="AQ201" i="37" s="1"/>
  <c r="AR201" i="37" s="1"/>
  <c r="AS201" i="37" s="1"/>
  <c r="AT201" i="37" s="1"/>
  <c r="AU201" i="37" s="1"/>
  <c r="AV201" i="37" s="1"/>
  <c r="AW201" i="37" s="1"/>
  <c r="AX201" i="37" s="1"/>
  <c r="AY201" i="37" s="1"/>
  <c r="AZ201" i="37" s="1"/>
  <c r="BA201" i="37" s="1"/>
  <c r="BB201" i="37" s="1"/>
  <c r="BC201" i="37" s="1"/>
  <c r="BD201" i="37" s="1"/>
  <c r="BE201" i="37" s="1"/>
  <c r="BF201" i="37" s="1"/>
  <c r="BG201" i="37" s="1"/>
  <c r="BH201" i="37" s="1"/>
  <c r="BI201" i="37" s="1"/>
  <c r="BJ201" i="37" s="1"/>
  <c r="BK201" i="37" s="1"/>
  <c r="BL201" i="37" s="1"/>
  <c r="BM201" i="37" s="1"/>
  <c r="BN201" i="37" s="1"/>
  <c r="BO201" i="37" s="1"/>
  <c r="BP201" i="37" s="1"/>
  <c r="BQ201" i="37" s="1"/>
  <c r="BR201" i="37" s="1"/>
  <c r="BS201" i="37" s="1"/>
  <c r="BT201" i="37" s="1"/>
  <c r="BU201" i="37" s="1"/>
  <c r="BV201" i="37" s="1"/>
  <c r="BW201" i="37" s="1"/>
  <c r="BX201" i="37" s="1"/>
  <c r="BY201" i="37" s="1"/>
  <c r="BZ201" i="37" s="1"/>
  <c r="CA201" i="37" s="1"/>
  <c r="CB201" i="37" s="1"/>
  <c r="CC201" i="37" s="1"/>
  <c r="CD201" i="37" s="1"/>
  <c r="CE201" i="37" s="1"/>
  <c r="CF201" i="37" s="1"/>
  <c r="CG201" i="37" s="1"/>
  <c r="CH201" i="37" s="1"/>
  <c r="CI201" i="37" s="1"/>
  <c r="CJ201" i="37" s="1"/>
  <c r="CK201" i="37" s="1"/>
  <c r="CL201" i="37" s="1"/>
  <c r="CM201" i="37" s="1"/>
  <c r="CN201" i="37" s="1"/>
  <c r="CO201" i="37" s="1"/>
  <c r="CP201" i="37" s="1"/>
  <c r="CQ201" i="37" s="1"/>
  <c r="CR201" i="37" s="1"/>
  <c r="CS201" i="37" s="1"/>
  <c r="CT201" i="37" s="1"/>
  <c r="CU201" i="37" s="1"/>
  <c r="CV201" i="37" s="1"/>
  <c r="CW201" i="37" s="1"/>
  <c r="CX201" i="37" s="1"/>
  <c r="CY201" i="37" s="1"/>
  <c r="CZ201" i="37" s="1"/>
  <c r="DA201" i="37" s="1"/>
  <c r="DB201" i="37" s="1"/>
  <c r="DC201" i="37" s="1"/>
  <c r="DD201" i="37" s="1"/>
  <c r="DE201" i="37" s="1"/>
  <c r="DF201" i="37" s="1"/>
  <c r="DG201" i="37" s="1"/>
  <c r="DH201" i="37" s="1"/>
  <c r="DI201" i="37" s="1"/>
  <c r="DJ201" i="37" s="1"/>
  <c r="DK201" i="37" s="1"/>
  <c r="DL201" i="37" s="1"/>
  <c r="DM201" i="37" s="1"/>
  <c r="DN201" i="37" s="1"/>
  <c r="DO201" i="37" s="1"/>
  <c r="DP201" i="37" s="1"/>
  <c r="DQ201" i="37" s="1"/>
  <c r="DR201" i="37" s="1"/>
  <c r="DS201" i="37" s="1"/>
  <c r="DT201" i="37" s="1"/>
  <c r="DU201" i="37" s="1"/>
  <c r="DV201" i="37" s="1"/>
  <c r="DW201" i="37" s="1"/>
  <c r="DX201" i="37" s="1"/>
  <c r="DY201" i="37" s="1"/>
  <c r="DZ201" i="37" s="1"/>
  <c r="EA201" i="37" s="1"/>
  <c r="EB201" i="37" s="1"/>
  <c r="EC201" i="37" s="1"/>
  <c r="ED201" i="37" s="1"/>
  <c r="EE201" i="37" s="1"/>
  <c r="EF201" i="37" s="1"/>
  <c r="EG201" i="37" s="1"/>
  <c r="EH201" i="37" s="1"/>
  <c r="EI201" i="37" s="1"/>
  <c r="EJ201" i="37" s="1"/>
  <c r="EK201" i="37" s="1"/>
  <c r="EL201" i="37" s="1"/>
  <c r="EM201" i="37" s="1"/>
  <c r="EN201" i="37" s="1"/>
  <c r="EO201" i="37" s="1"/>
  <c r="EP201" i="37" s="1"/>
  <c r="EQ201" i="37" s="1"/>
  <c r="ER201" i="37" s="1"/>
  <c r="ES201" i="37" s="1"/>
  <c r="ET201" i="37" s="1"/>
  <c r="EU201" i="37" s="1"/>
  <c r="EV201" i="37" s="1"/>
  <c r="EW201" i="37" s="1"/>
  <c r="EX201" i="37" s="1"/>
  <c r="EY201" i="37" s="1"/>
  <c r="EZ201" i="37" s="1"/>
  <c r="FA201" i="37" s="1"/>
  <c r="FB201" i="37" s="1"/>
  <c r="FC201" i="37" s="1"/>
  <c r="FD201" i="37" s="1"/>
  <c r="FE201" i="37" s="1"/>
  <c r="FF201" i="37" s="1"/>
  <c r="FG201" i="37" s="1"/>
  <c r="FH201" i="37" s="1"/>
  <c r="FI201" i="37" s="1"/>
  <c r="FJ201" i="37" s="1"/>
  <c r="FK201" i="37" s="1"/>
  <c r="FL201" i="37" s="1"/>
  <c r="FM201" i="37" s="1"/>
  <c r="FN201" i="37" s="1"/>
  <c r="FO201" i="37" s="1"/>
  <c r="FP201" i="37" s="1"/>
  <c r="FQ201" i="37" s="1"/>
  <c r="FR201" i="37" s="1"/>
  <c r="FS201" i="37" s="1"/>
  <c r="FT201" i="37" s="1"/>
  <c r="FU201" i="37" s="1"/>
  <c r="FV201" i="37" s="1"/>
  <c r="FW201" i="37" s="1"/>
  <c r="FX201" i="37" s="1"/>
  <c r="FY201" i="37" s="1"/>
  <c r="FZ201" i="37" s="1"/>
  <c r="GA201" i="37" s="1"/>
  <c r="GB201" i="37" s="1"/>
  <c r="GC201" i="37" s="1"/>
  <c r="GD201" i="37" s="1"/>
  <c r="GE201" i="37" s="1"/>
  <c r="GF201" i="37" s="1"/>
  <c r="GG201" i="37" s="1"/>
  <c r="GH201" i="37" s="1"/>
  <c r="GI201" i="37" s="1"/>
  <c r="GJ201" i="37" s="1"/>
  <c r="GK201" i="37" s="1"/>
  <c r="GL201" i="37" s="1"/>
  <c r="GM201" i="37" s="1"/>
  <c r="GN201" i="37" s="1"/>
  <c r="GO201" i="37" s="1"/>
  <c r="GP201" i="37" s="1"/>
  <c r="GQ201" i="37" s="1"/>
  <c r="GR201" i="37" s="1"/>
  <c r="GS201" i="37" s="1"/>
  <c r="GT201" i="37" s="1"/>
  <c r="GU201" i="37" s="1"/>
  <c r="GV201" i="37" s="1"/>
  <c r="GW201" i="37" s="1"/>
  <c r="GX201" i="37" s="1"/>
  <c r="GY201" i="37" s="1"/>
  <c r="GZ201" i="37" s="1"/>
  <c r="HA201" i="37" s="1"/>
  <c r="HB201" i="37" s="1"/>
  <c r="HC201" i="37" s="1"/>
  <c r="HD201" i="37" s="1"/>
  <c r="HE201" i="37" s="1"/>
  <c r="HF201" i="37" s="1"/>
  <c r="HG201" i="37" s="1"/>
  <c r="HH201" i="37" s="1"/>
  <c r="HI201" i="37" s="1"/>
  <c r="HJ201" i="37" s="1"/>
  <c r="HK201" i="37" s="1"/>
  <c r="HL201" i="37" s="1"/>
  <c r="HM201" i="37" s="1"/>
  <c r="HN201" i="37" s="1"/>
  <c r="HO201" i="37" s="1"/>
  <c r="HP201" i="37" s="1"/>
  <c r="HQ201" i="37" s="1"/>
  <c r="HR201" i="37" s="1"/>
  <c r="HS201" i="37" s="1"/>
  <c r="HT201" i="37" s="1"/>
  <c r="HU201" i="37" s="1"/>
  <c r="HV201" i="37" s="1"/>
  <c r="HW201" i="37" s="1"/>
  <c r="HX201" i="37" s="1"/>
  <c r="HY201" i="37" s="1"/>
  <c r="HZ201" i="37" s="1"/>
  <c r="IA201" i="37" s="1"/>
  <c r="H96" i="11"/>
  <c r="N105" i="16"/>
  <c r="P6" i="15"/>
  <c r="P5" i="15" s="1"/>
  <c r="H45" i="37"/>
  <c r="J95" i="11"/>
  <c r="J96" i="11" s="1"/>
  <c r="M84" i="11"/>
  <c r="M85" i="11" s="1"/>
  <c r="Z95" i="11"/>
  <c r="Z96" i="11" s="1"/>
  <c r="E108" i="11"/>
  <c r="X75" i="11"/>
  <c r="I95" i="11"/>
  <c r="I96" i="11" s="1"/>
  <c r="O19" i="16"/>
  <c r="K46" i="37"/>
  <c r="P19" i="16"/>
  <c r="J202" i="37"/>
  <c r="J134" i="37"/>
  <c r="Q19" i="16"/>
  <c r="R19" i="16"/>
  <c r="AJ26" i="37"/>
  <c r="AJ129" i="37"/>
  <c r="I44" i="27"/>
  <c r="I48" i="27"/>
  <c r="U12" i="27"/>
  <c r="D13" i="16"/>
  <c r="D11" i="16"/>
  <c r="C9" i="18" s="1"/>
  <c r="O129" i="16"/>
  <c r="O130" i="16" s="1"/>
  <c r="AB27" i="18"/>
  <c r="P129" i="16"/>
  <c r="P130" i="16" s="1"/>
  <c r="F83" i="16"/>
  <c r="F27" i="16"/>
  <c r="M77" i="16"/>
  <c r="D12" i="16"/>
  <c r="C9" i="21" s="1"/>
  <c r="D15" i="16"/>
  <c r="C13" i="18" s="1"/>
  <c r="G4" i="16"/>
  <c r="GC77" i="16"/>
  <c r="GD77" i="16"/>
  <c r="AD27" i="18"/>
  <c r="F18" i="18"/>
  <c r="AA27" i="18"/>
  <c r="FS35" i="23"/>
  <c r="GA35" i="23"/>
  <c r="FO35" i="23"/>
  <c r="FW35" i="23"/>
  <c r="M227" i="25"/>
  <c r="U227" i="25"/>
  <c r="AC227" i="25"/>
  <c r="AK227" i="25"/>
  <c r="N160" i="25"/>
  <c r="V160" i="25"/>
  <c r="AD160" i="25"/>
  <c r="W160" i="25"/>
  <c r="O227" i="25"/>
  <c r="W227" i="25"/>
  <c r="AE227" i="25"/>
  <c r="G65" i="25"/>
  <c r="N75" i="25"/>
  <c r="M168" i="25"/>
  <c r="Q227" i="25"/>
  <c r="Y227" i="25"/>
  <c r="AG227" i="25"/>
  <c r="O160" i="25"/>
  <c r="AE160" i="25"/>
  <c r="K227" i="25"/>
  <c r="S227" i="25"/>
  <c r="AA227" i="25"/>
  <c r="AI227" i="25"/>
  <c r="P160" i="25"/>
  <c r="X160" i="25"/>
  <c r="AF160" i="25"/>
  <c r="L227" i="25"/>
  <c r="T227" i="25"/>
  <c r="AB227" i="25"/>
  <c r="AJ227" i="25"/>
  <c r="O23" i="25"/>
  <c r="K23" i="25"/>
  <c r="J160" i="25"/>
  <c r="R160" i="25"/>
  <c r="Z160" i="25"/>
  <c r="AH160" i="25"/>
  <c r="H225" i="25"/>
  <c r="T47" i="25"/>
  <c r="T52" i="25" s="1"/>
  <c r="H159" i="25"/>
  <c r="G159" i="25" s="1"/>
  <c r="P227" i="25"/>
  <c r="X227" i="25"/>
  <c r="AF227" i="25"/>
  <c r="Q160" i="25"/>
  <c r="Y160" i="25"/>
  <c r="AG160" i="25"/>
  <c r="N227" i="25"/>
  <c r="V227" i="25"/>
  <c r="AD227" i="25"/>
  <c r="H226" i="25"/>
  <c r="AG14" i="18"/>
  <c r="I16" i="11"/>
  <c r="J16" i="11" s="1"/>
  <c r="G3" i="16"/>
  <c r="J44" i="19"/>
  <c r="L85" i="19"/>
  <c r="Q35" i="13"/>
  <c r="P42" i="16" s="1"/>
  <c r="P10" i="16" s="1"/>
  <c r="P68" i="31"/>
  <c r="H57" i="19"/>
  <c r="L78" i="19"/>
  <c r="M30" i="16"/>
  <c r="AC22" i="18" s="1"/>
  <c r="M33" i="23" s="1"/>
  <c r="G3" i="23"/>
  <c r="K82" i="19"/>
  <c r="P65" i="31"/>
  <c r="P94" i="16"/>
  <c r="O85" i="11"/>
  <c r="Q26" i="25" s="1"/>
  <c r="Q140" i="25" s="1"/>
  <c r="O88" i="11"/>
  <c r="O86" i="11"/>
  <c r="P83" i="11"/>
  <c r="Q83" i="11" s="1"/>
  <c r="N77" i="16"/>
  <c r="J6" i="18"/>
  <c r="D107" i="9"/>
  <c r="FP35" i="23"/>
  <c r="N85" i="11"/>
  <c r="P26" i="25" s="1"/>
  <c r="P207" i="25" s="1"/>
  <c r="N88" i="11"/>
  <c r="E937" i="20"/>
  <c r="E939" i="20" s="1"/>
  <c r="E941" i="20" s="1"/>
  <c r="E942" i="20" s="1"/>
  <c r="N16" i="14"/>
  <c r="D10" i="16"/>
  <c r="G3" i="11"/>
  <c r="H20" i="12"/>
  <c r="I96" i="12"/>
  <c r="F956" i="20"/>
  <c r="F944" i="20"/>
  <c r="F946" i="20" s="1"/>
  <c r="F957" i="20" s="1"/>
  <c r="K49" i="16"/>
  <c r="D14" i="16"/>
  <c r="C11" i="21" s="1"/>
  <c r="J21" i="17"/>
  <c r="F57" i="19"/>
  <c r="F58" i="19" s="1"/>
  <c r="H8" i="11"/>
  <c r="H10" i="11" s="1"/>
  <c r="D16" i="16"/>
  <c r="C13" i="21" s="1"/>
  <c r="G6" i="18"/>
  <c r="G48" i="18" s="1"/>
  <c r="G50" i="18" s="1"/>
  <c r="H49" i="18" s="1"/>
  <c r="M86" i="11"/>
  <c r="O50" i="25" s="1"/>
  <c r="G21" i="17"/>
  <c r="H21" i="17"/>
  <c r="F39" i="12"/>
  <c r="H16" i="12"/>
  <c r="M9" i="13"/>
  <c r="H9" i="13"/>
  <c r="U10" i="13"/>
  <c r="K9" i="13"/>
  <c r="N9" i="13"/>
  <c r="S20" i="13"/>
  <c r="E49" i="31" s="1"/>
  <c r="U9" i="13"/>
  <c r="S16" i="13"/>
  <c r="E45" i="31" s="1"/>
  <c r="J9" i="13"/>
  <c r="R16" i="13"/>
  <c r="D45" i="31" s="1"/>
  <c r="H6" i="13"/>
  <c r="S10" i="13"/>
  <c r="E39" i="31" s="1"/>
  <c r="M30" i="13"/>
  <c r="L30" i="13"/>
  <c r="K6" i="13"/>
  <c r="L9" i="13"/>
  <c r="T15" i="13"/>
  <c r="F44" i="31" s="1"/>
  <c r="O9" i="13"/>
  <c r="N6" i="13"/>
  <c r="T7" i="13"/>
  <c r="H4" i="15"/>
  <c r="H3" i="15" s="1"/>
  <c r="H33" i="13"/>
  <c r="I9" i="13"/>
  <c r="L6" i="13"/>
  <c r="L11" i="20"/>
  <c r="M7" i="20"/>
  <c r="W84" i="20"/>
  <c r="L47" i="21"/>
  <c r="C559" i="20"/>
  <c r="S5" i="18"/>
  <c r="T3" i="18"/>
  <c r="U3" i="18"/>
  <c r="J33" i="18"/>
  <c r="X5" i="18"/>
  <c r="T6" i="18"/>
  <c r="T48" i="18" s="1"/>
  <c r="AJ27" i="18"/>
  <c r="K33" i="18"/>
  <c r="K48" i="18" s="1"/>
  <c r="L6" i="18"/>
  <c r="L48" i="18" s="1"/>
  <c r="U48" i="18"/>
  <c r="V48" i="18"/>
  <c r="J48" i="18"/>
  <c r="R33" i="18"/>
  <c r="R48" i="18" s="1"/>
  <c r="K77" i="16"/>
  <c r="F28" i="18"/>
  <c r="H33" i="18"/>
  <c r="L77" i="16"/>
  <c r="I6" i="18"/>
  <c r="I48" i="18" s="1"/>
  <c r="FU35" i="23"/>
  <c r="GC35" i="23"/>
  <c r="GB77" i="16"/>
  <c r="F24" i="18"/>
  <c r="FR35" i="23"/>
  <c r="FZ35" i="23"/>
  <c r="C22" i="21"/>
  <c r="D47" i="19" s="1"/>
  <c r="D534" i="20"/>
  <c r="E534" i="20"/>
  <c r="F534" i="20"/>
  <c r="G534" i="20"/>
  <c r="D525" i="20"/>
  <c r="E525" i="20"/>
  <c r="F525" i="20"/>
  <c r="G525" i="20"/>
  <c r="D516" i="20"/>
  <c r="H525" i="20"/>
  <c r="E516" i="20"/>
  <c r="I525" i="20"/>
  <c r="H516" i="20"/>
  <c r="J525" i="20"/>
  <c r="K525" i="20"/>
  <c r="F516" i="20"/>
  <c r="G516" i="20"/>
  <c r="I516" i="20"/>
  <c r="J516" i="20"/>
  <c r="AF507" i="20"/>
  <c r="K516" i="20"/>
  <c r="G199" i="20"/>
  <c r="E179" i="20"/>
  <c r="H31" i="12"/>
  <c r="T14" i="13"/>
  <c r="F43" i="31" s="1"/>
  <c r="I34" i="13"/>
  <c r="I33" i="13" s="1"/>
  <c r="R35" i="13"/>
  <c r="Q42" i="16" s="1"/>
  <c r="Q10" i="16" s="1"/>
  <c r="H3" i="16"/>
  <c r="K10" i="16"/>
  <c r="AA8" i="18" s="1"/>
  <c r="F14" i="16"/>
  <c r="N128" i="16"/>
  <c r="N129" i="16" s="1"/>
  <c r="N130" i="16" s="1"/>
  <c r="K33" i="19"/>
  <c r="L30" i="16"/>
  <c r="AB22" i="18" s="1"/>
  <c r="L33" i="23" s="1"/>
  <c r="H21" i="12"/>
  <c r="S49" i="16"/>
  <c r="T12" i="13"/>
  <c r="P64" i="31"/>
  <c r="T13" i="13"/>
  <c r="F42" i="31" s="1"/>
  <c r="H4" i="16"/>
  <c r="N30" i="16"/>
  <c r="L115" i="19"/>
  <c r="L116" i="19" s="1"/>
  <c r="AG47" i="25"/>
  <c r="AG52" i="25" s="1"/>
  <c r="P45" i="16"/>
  <c r="P13" i="16" s="1"/>
  <c r="AF11" i="18" s="1"/>
  <c r="K52" i="19"/>
  <c r="K51" i="19" s="1"/>
  <c r="AO47" i="25"/>
  <c r="AO52" i="25" s="1"/>
  <c r="G15" i="11"/>
  <c r="S35" i="13"/>
  <c r="R42" i="16" s="1"/>
  <c r="BD47" i="25"/>
  <c r="BD52" i="25" s="1"/>
  <c r="N104" i="16"/>
  <c r="N103" i="16" s="1"/>
  <c r="V127" i="16"/>
  <c r="BL47" i="25"/>
  <c r="BL52" i="25" s="1"/>
  <c r="D12" i="5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D45" i="5" s="1"/>
  <c r="D46" i="5" s="1"/>
  <c r="D47" i="5" s="1"/>
  <c r="D48" i="5" s="1"/>
  <c r="J8" i="6"/>
  <c r="AA124" i="25"/>
  <c r="D90" i="10"/>
  <c r="D109" i="10" s="1"/>
  <c r="D117" i="10" s="1"/>
  <c r="D119" i="10" s="1"/>
  <c r="K221" i="19" s="1"/>
  <c r="G14" i="22" s="1"/>
  <c r="X76" i="11"/>
  <c r="X77" i="11" s="1"/>
  <c r="O10" i="6"/>
  <c r="AU31" i="15"/>
  <c r="AV31" i="15" s="1"/>
  <c r="AW31" i="15" s="1"/>
  <c r="AX31" i="15" s="1"/>
  <c r="AY31" i="15" s="1"/>
  <c r="AZ31" i="15" s="1"/>
  <c r="K4" i="21"/>
  <c r="J209" i="19"/>
  <c r="K209" i="19" s="1"/>
  <c r="J218" i="19"/>
  <c r="K218" i="19" s="1"/>
  <c r="L218" i="19" s="1"/>
  <c r="M218" i="19" s="1"/>
  <c r="N218" i="19" s="1"/>
  <c r="O218" i="19" s="1"/>
  <c r="P218" i="19" s="1"/>
  <c r="Q218" i="19" s="1"/>
  <c r="R218" i="19" s="1"/>
  <c r="S218" i="19" s="1"/>
  <c r="T218" i="19" s="1"/>
  <c r="U218" i="19" s="1"/>
  <c r="V218" i="19" s="1"/>
  <c r="W218" i="19" s="1"/>
  <c r="X218" i="19" s="1"/>
  <c r="Y218" i="19" s="1"/>
  <c r="Z218" i="19" s="1"/>
  <c r="AA218" i="19" s="1"/>
  <c r="AB218" i="19" s="1"/>
  <c r="AC218" i="19" s="1"/>
  <c r="AD218" i="19" s="1"/>
  <c r="AE218" i="19" s="1"/>
  <c r="AF218" i="19" s="1"/>
  <c r="AG218" i="19" s="1"/>
  <c r="AH218" i="19" s="1"/>
  <c r="AI218" i="19" s="1"/>
  <c r="AJ218" i="19" s="1"/>
  <c r="AK218" i="19" s="1"/>
  <c r="AL218" i="19" s="1"/>
  <c r="AM218" i="19" s="1"/>
  <c r="AN218" i="19" s="1"/>
  <c r="AO218" i="19" s="1"/>
  <c r="AP218" i="19" s="1"/>
  <c r="AQ218" i="19" s="1"/>
  <c r="AR218" i="19" s="1"/>
  <c r="AS218" i="19" s="1"/>
  <c r="AT218" i="19" s="1"/>
  <c r="AU218" i="19" s="1"/>
  <c r="AV218" i="19" s="1"/>
  <c r="AW218" i="19" s="1"/>
  <c r="AX218" i="19" s="1"/>
  <c r="AY218" i="19" s="1"/>
  <c r="AZ218" i="19" s="1"/>
  <c r="BA218" i="19" s="1"/>
  <c r="BB218" i="19" s="1"/>
  <c r="J229" i="19"/>
  <c r="J7" i="19"/>
  <c r="K3" i="17"/>
  <c r="H100" i="12"/>
  <c r="I100" i="12" s="1"/>
  <c r="J100" i="12" s="1"/>
  <c r="K100" i="12" s="1"/>
  <c r="L100" i="12" s="1"/>
  <c r="M100" i="12" s="1"/>
  <c r="N100" i="12" s="1"/>
  <c r="O100" i="12" s="1"/>
  <c r="P100" i="12" s="1"/>
  <c r="Q100" i="12" s="1"/>
  <c r="R100" i="12" s="1"/>
  <c r="S100" i="12" s="1"/>
  <c r="T100" i="12" s="1"/>
  <c r="U100" i="12" s="1"/>
  <c r="V100" i="12" s="1"/>
  <c r="W100" i="12" s="1"/>
  <c r="X100" i="12" s="1"/>
  <c r="Y100" i="12" s="1"/>
  <c r="Z100" i="12" s="1"/>
  <c r="AA100" i="12" s="1"/>
  <c r="AB100" i="12" s="1"/>
  <c r="AC100" i="12" s="1"/>
  <c r="AD100" i="12" s="1"/>
  <c r="AE100" i="12" s="1"/>
  <c r="AF100" i="12" s="1"/>
  <c r="AG100" i="12" s="1"/>
  <c r="AH100" i="12" s="1"/>
  <c r="AI100" i="12" s="1"/>
  <c r="AJ100" i="12" s="1"/>
  <c r="AK100" i="12" s="1"/>
  <c r="AL100" i="12" s="1"/>
  <c r="AM100" i="12" s="1"/>
  <c r="AN100" i="12" s="1"/>
  <c r="AO100" i="12" s="1"/>
  <c r="AP100" i="12" s="1"/>
  <c r="AQ100" i="12" s="1"/>
  <c r="AR100" i="12" s="1"/>
  <c r="AS100" i="12" s="1"/>
  <c r="AT100" i="12" s="1"/>
  <c r="AU100" i="12" s="1"/>
  <c r="AV100" i="12" s="1"/>
  <c r="H30" i="12"/>
  <c r="I28" i="12" s="1"/>
  <c r="H15" i="12"/>
  <c r="H10" i="12"/>
  <c r="H35" i="12"/>
  <c r="I33" i="12" s="1"/>
  <c r="I4" i="12"/>
  <c r="H3" i="12"/>
  <c r="H25" i="12"/>
  <c r="I23" i="12" s="1"/>
  <c r="R30" i="16"/>
  <c r="R77" i="16"/>
  <c r="H36" i="12"/>
  <c r="Q47" i="12"/>
  <c r="F71" i="10"/>
  <c r="F72" i="10" s="1"/>
  <c r="J89" i="12"/>
  <c r="K88" i="12" s="1"/>
  <c r="O7" i="14"/>
  <c r="N70" i="9"/>
  <c r="L14" i="14"/>
  <c r="L15" i="14" s="1"/>
  <c r="M13" i="14"/>
  <c r="D22" i="10"/>
  <c r="L24" i="11"/>
  <c r="O31" i="11"/>
  <c r="K95" i="11"/>
  <c r="L94" i="11"/>
  <c r="BN72" i="12"/>
  <c r="K76" i="12"/>
  <c r="BN84" i="12"/>
  <c r="L84" i="11"/>
  <c r="K83" i="11"/>
  <c r="Q207" i="25"/>
  <c r="H97" i="11"/>
  <c r="H59" i="12"/>
  <c r="BO76" i="12"/>
  <c r="T11" i="13"/>
  <c r="P35" i="13"/>
  <c r="D42" i="10"/>
  <c r="L120" i="19"/>
  <c r="K25" i="19"/>
  <c r="K24" i="19" s="1"/>
  <c r="D71" i="9"/>
  <c r="D72" i="9" s="1"/>
  <c r="D74" i="9" s="1"/>
  <c r="L53" i="14"/>
  <c r="K53" i="14"/>
  <c r="GF4" i="16"/>
  <c r="GC40" i="16"/>
  <c r="K26" i="19"/>
  <c r="E17" i="11"/>
  <c r="H38" i="12"/>
  <c r="M9" i="14"/>
  <c r="M19" i="14"/>
  <c r="D70" i="10"/>
  <c r="D71" i="10" s="1"/>
  <c r="D72" i="10" s="1"/>
  <c r="N86" i="11"/>
  <c r="I97" i="11"/>
  <c r="L42" i="16"/>
  <c r="M48" i="13"/>
  <c r="Q5" i="14"/>
  <c r="Q6" i="14"/>
  <c r="Q7" i="14" s="1"/>
  <c r="E9" i="14"/>
  <c r="E19" i="14"/>
  <c r="J96" i="12"/>
  <c r="K80" i="12"/>
  <c r="P9" i="13"/>
  <c r="P30" i="13"/>
  <c r="M42" i="16"/>
  <c r="N48" i="13"/>
  <c r="M53" i="14"/>
  <c r="I18" i="12"/>
  <c r="F36" i="18"/>
  <c r="K72" i="12"/>
  <c r="Q9" i="13"/>
  <c r="Q30" i="13"/>
  <c r="U30" i="13"/>
  <c r="U31" i="13" s="1"/>
  <c r="M16" i="14"/>
  <c r="M18" i="14" s="1"/>
  <c r="M20" i="14" s="1"/>
  <c r="E20" i="14"/>
  <c r="J6" i="14"/>
  <c r="R28" i="14"/>
  <c r="I89" i="14"/>
  <c r="I95" i="14" s="1"/>
  <c r="Q89" i="14"/>
  <c r="Q95" i="14" s="1"/>
  <c r="K86" i="14"/>
  <c r="K92" i="14" s="1"/>
  <c r="K102" i="19"/>
  <c r="K103" i="19" s="1"/>
  <c r="F90" i="10"/>
  <c r="F109" i="10" s="1"/>
  <c r="F117" i="10" s="1"/>
  <c r="F119" i="10" s="1"/>
  <c r="J84" i="12"/>
  <c r="M92" i="12"/>
  <c r="F9" i="14"/>
  <c r="F19" i="14"/>
  <c r="F20" i="14" s="1"/>
  <c r="N18" i="14"/>
  <c r="N12" i="14"/>
  <c r="O12" i="14" s="1"/>
  <c r="P12" i="14" s="1"/>
  <c r="Q12" i="14" s="1"/>
  <c r="R12" i="14" s="1"/>
  <c r="S12" i="14" s="1"/>
  <c r="T12" i="14" s="1"/>
  <c r="K6" i="14"/>
  <c r="K16" i="14"/>
  <c r="K18" i="14" s="1"/>
  <c r="K28" i="14"/>
  <c r="L87" i="14"/>
  <c r="L93" i="14" s="1"/>
  <c r="L86" i="14"/>
  <c r="L92" i="14" s="1"/>
  <c r="L85" i="14"/>
  <c r="L91" i="14" s="1"/>
  <c r="S28" i="14"/>
  <c r="T87" i="14"/>
  <c r="T86" i="14"/>
  <c r="T85" i="14"/>
  <c r="M49" i="14"/>
  <c r="R86" i="14"/>
  <c r="Q44" i="23"/>
  <c r="O32" i="16"/>
  <c r="O77" i="16"/>
  <c r="O30" i="16"/>
  <c r="I70" i="12"/>
  <c r="D51" i="31"/>
  <c r="R20" i="13"/>
  <c r="T42" i="16"/>
  <c r="D28" i="14"/>
  <c r="E87" i="14"/>
  <c r="E93" i="14" s="1"/>
  <c r="E86" i="14"/>
  <c r="E92" i="14" s="1"/>
  <c r="E85" i="14"/>
  <c r="L28" i="14"/>
  <c r="M87" i="14"/>
  <c r="M93" i="14" s="1"/>
  <c r="M86" i="14"/>
  <c r="M92" i="14" s="1"/>
  <c r="M85" i="14"/>
  <c r="M91" i="14" s="1"/>
  <c r="L89" i="14"/>
  <c r="L95" i="14" s="1"/>
  <c r="L88" i="14"/>
  <c r="L94" i="14" s="1"/>
  <c r="T28" i="14"/>
  <c r="T89" i="14"/>
  <c r="T88" i="14"/>
  <c r="N49" i="14"/>
  <c r="O53" i="14"/>
  <c r="S88" i="14"/>
  <c r="R44" i="23"/>
  <c r="S10" i="15"/>
  <c r="K109" i="19"/>
  <c r="K110" i="19" s="1"/>
  <c r="P77" i="16"/>
  <c r="P30" i="16"/>
  <c r="R92" i="12"/>
  <c r="V22" i="13"/>
  <c r="V20" i="13" s="1"/>
  <c r="W24" i="13"/>
  <c r="X24" i="13" s="1"/>
  <c r="Y24" i="13" s="1"/>
  <c r="Z24" i="13" s="1"/>
  <c r="AA24" i="13" s="1"/>
  <c r="AB24" i="13" s="1"/>
  <c r="AC24" i="13" s="1"/>
  <c r="AD24" i="13" s="1"/>
  <c r="AE24" i="13" s="1"/>
  <c r="AF24" i="13" s="1"/>
  <c r="AG24" i="13" s="1"/>
  <c r="AH24" i="13" s="1"/>
  <c r="AI24" i="13" s="1"/>
  <c r="AJ24" i="13" s="1"/>
  <c r="AK24" i="13" s="1"/>
  <c r="AL24" i="13" s="1"/>
  <c r="AM24" i="13" s="1"/>
  <c r="AN24" i="13" s="1"/>
  <c r="AO24" i="13" s="1"/>
  <c r="AP24" i="13" s="1"/>
  <c r="AQ24" i="13" s="1"/>
  <c r="AR24" i="13" s="1"/>
  <c r="AS24" i="13" s="1"/>
  <c r="AT24" i="13" s="1"/>
  <c r="AU24" i="13" s="1"/>
  <c r="AV24" i="13" s="1"/>
  <c r="AW24" i="13" s="1"/>
  <c r="AX24" i="13" s="1"/>
  <c r="AY24" i="13" s="1"/>
  <c r="AZ24" i="13" s="1"/>
  <c r="BA24" i="13" s="1"/>
  <c r="BB24" i="13" s="1"/>
  <c r="BC24" i="13" s="1"/>
  <c r="BD24" i="13" s="1"/>
  <c r="BE24" i="13" s="1"/>
  <c r="BF24" i="13" s="1"/>
  <c r="U42" i="16"/>
  <c r="J85" i="14"/>
  <c r="J91" i="14" s="1"/>
  <c r="J87" i="14"/>
  <c r="J93" i="14" s="1"/>
  <c r="H94" i="12"/>
  <c r="H90" i="12"/>
  <c r="H82" i="12"/>
  <c r="Q77" i="16"/>
  <c r="Q30" i="16"/>
  <c r="R17" i="14"/>
  <c r="I938" i="20" s="1"/>
  <c r="J10" i="16"/>
  <c r="AE14" i="18"/>
  <c r="Q52" i="13"/>
  <c r="N9" i="14"/>
  <c r="N19" i="14"/>
  <c r="L19" i="14"/>
  <c r="L20" i="14" s="1"/>
  <c r="L21" i="14" s="1"/>
  <c r="L22" i="14" s="1"/>
  <c r="K85" i="14"/>
  <c r="K91" i="14" s="1"/>
  <c r="K89" i="14"/>
  <c r="K95" i="14" s="1"/>
  <c r="U31" i="16"/>
  <c r="F31" i="16" s="1"/>
  <c r="F75" i="16"/>
  <c r="N30" i="13"/>
  <c r="N10" i="16"/>
  <c r="N49" i="16"/>
  <c r="V10" i="16"/>
  <c r="V49" i="16"/>
  <c r="O11" i="16"/>
  <c r="J28" i="14"/>
  <c r="I49" i="14"/>
  <c r="Q10" i="15"/>
  <c r="AI31" i="18"/>
  <c r="AI30" i="18" s="1"/>
  <c r="AI27" i="18" s="1"/>
  <c r="O12" i="16"/>
  <c r="T22" i="13"/>
  <c r="F51" i="31" s="1"/>
  <c r="O30" i="13"/>
  <c r="G10" i="16"/>
  <c r="L48" i="13"/>
  <c r="G6" i="14"/>
  <c r="G13" i="14"/>
  <c r="G14" i="14" s="1"/>
  <c r="G15" i="14" s="1"/>
  <c r="F45" i="14"/>
  <c r="N45" i="14"/>
  <c r="J49" i="14"/>
  <c r="F53" i="14"/>
  <c r="F59" i="14" s="1"/>
  <c r="G59" i="14" s="1"/>
  <c r="G65" i="14" s="1"/>
  <c r="N53" i="14"/>
  <c r="E88" i="14"/>
  <c r="E94" i="14" s="1"/>
  <c r="M88" i="14"/>
  <c r="M94" i="14" s="1"/>
  <c r="E89" i="14"/>
  <c r="E95" i="14" s="1"/>
  <c r="M89" i="14"/>
  <c r="M95" i="14" s="1"/>
  <c r="S10" i="16"/>
  <c r="H101" i="12"/>
  <c r="H10" i="16"/>
  <c r="O13" i="16"/>
  <c r="H6" i="14"/>
  <c r="P6" i="14"/>
  <c r="J16" i="14"/>
  <c r="J18" i="14" s="1"/>
  <c r="K49" i="14"/>
  <c r="F85" i="14"/>
  <c r="F91" i="14" s="1"/>
  <c r="N85" i="14"/>
  <c r="N91" i="14" s="1"/>
  <c r="F86" i="14"/>
  <c r="F92" i="14" s="1"/>
  <c r="N86" i="14"/>
  <c r="N92" i="14" s="1"/>
  <c r="F87" i="14"/>
  <c r="F93" i="14" s="1"/>
  <c r="N87" i="14"/>
  <c r="N93" i="14" s="1"/>
  <c r="F88" i="14"/>
  <c r="F94" i="14" s="1"/>
  <c r="N88" i="14"/>
  <c r="N94" i="14" s="1"/>
  <c r="J3" i="13"/>
  <c r="K3" i="13" s="1"/>
  <c r="L3" i="13" s="1"/>
  <c r="M3" i="13" s="1"/>
  <c r="N3" i="13" s="1"/>
  <c r="O3" i="13" s="1"/>
  <c r="P3" i="13" s="1"/>
  <c r="Q3" i="13" s="1"/>
  <c r="R3" i="13" s="1"/>
  <c r="S3" i="13" s="1"/>
  <c r="X23" i="13"/>
  <c r="I10" i="16"/>
  <c r="I6" i="14"/>
  <c r="H45" i="14"/>
  <c r="P45" i="14"/>
  <c r="L49" i="14"/>
  <c r="H53" i="14"/>
  <c r="P53" i="14"/>
  <c r="G85" i="14"/>
  <c r="G91" i="14" s="1"/>
  <c r="O85" i="14"/>
  <c r="O91" i="14" s="1"/>
  <c r="G86" i="14"/>
  <c r="G92" i="14" s="1"/>
  <c r="O86" i="14"/>
  <c r="O92" i="14" s="1"/>
  <c r="G87" i="14"/>
  <c r="G93" i="14" s="1"/>
  <c r="O87" i="14"/>
  <c r="O93" i="14" s="1"/>
  <c r="G88" i="14"/>
  <c r="G94" i="14" s="1"/>
  <c r="O88" i="14"/>
  <c r="O94" i="14" s="1"/>
  <c r="G89" i="14"/>
  <c r="G95" i="14" s="1"/>
  <c r="O89" i="14"/>
  <c r="O95" i="14" s="1"/>
  <c r="T10" i="15"/>
  <c r="I4" i="16"/>
  <c r="I3" i="16"/>
  <c r="R30" i="13"/>
  <c r="R31" i="13" s="1"/>
  <c r="O48" i="13"/>
  <c r="I45" i="14"/>
  <c r="I53" i="14"/>
  <c r="H85" i="14"/>
  <c r="H91" i="14" s="1"/>
  <c r="P85" i="14"/>
  <c r="P91" i="14" s="1"/>
  <c r="H86" i="14"/>
  <c r="H92" i="14" s="1"/>
  <c r="P86" i="14"/>
  <c r="P92" i="14" s="1"/>
  <c r="H88" i="14"/>
  <c r="H94" i="14" s="1"/>
  <c r="P88" i="14"/>
  <c r="P94" i="14" s="1"/>
  <c r="AG20" i="18"/>
  <c r="Q59" i="16"/>
  <c r="F59" i="16" s="1"/>
  <c r="J8" i="16"/>
  <c r="S30" i="13"/>
  <c r="S31" i="13" s="1"/>
  <c r="I85" i="14"/>
  <c r="I91" i="14" s="1"/>
  <c r="Q85" i="14"/>
  <c r="I86" i="14"/>
  <c r="I92" i="14" s="1"/>
  <c r="Q86" i="14"/>
  <c r="I87" i="14"/>
  <c r="I93" i="14" s="1"/>
  <c r="Q87" i="14"/>
  <c r="I88" i="14"/>
  <c r="I94" i="14" s="1"/>
  <c r="Q88" i="14"/>
  <c r="Q94" i="14" s="1"/>
  <c r="Q47" i="14" s="1"/>
  <c r="AF31" i="18"/>
  <c r="AF30" i="18" s="1"/>
  <c r="AF27" i="18" s="1"/>
  <c r="C10" i="21"/>
  <c r="C11" i="18"/>
  <c r="AA22" i="18"/>
  <c r="K33" i="23" s="1"/>
  <c r="K29" i="16"/>
  <c r="GA77" i="16"/>
  <c r="C7" i="21"/>
  <c r="C8" i="18"/>
  <c r="I93" i="16"/>
  <c r="C8" i="21"/>
  <c r="C12" i="21"/>
  <c r="H87" i="16"/>
  <c r="I21" i="17"/>
  <c r="T124" i="16"/>
  <c r="I128" i="16"/>
  <c r="I129" i="16" s="1"/>
  <c r="I130" i="16" s="1"/>
  <c r="Q128" i="16"/>
  <c r="Q129" i="16" s="1"/>
  <c r="Q130" i="16" s="1"/>
  <c r="W35" i="18"/>
  <c r="H99" i="16"/>
  <c r="I99" i="16" s="1"/>
  <c r="J99" i="16" s="1"/>
  <c r="K99" i="16" s="1"/>
  <c r="L99" i="16" s="1"/>
  <c r="M99" i="16" s="1"/>
  <c r="N99" i="16" s="1"/>
  <c r="O99" i="16" s="1"/>
  <c r="T121" i="16"/>
  <c r="J128" i="16"/>
  <c r="R128" i="16"/>
  <c r="R129" i="16" s="1"/>
  <c r="R130" i="16" s="1"/>
  <c r="T118" i="16"/>
  <c r="T126" i="16"/>
  <c r="K128" i="16"/>
  <c r="K129" i="16" s="1"/>
  <c r="K130" i="16" s="1"/>
  <c r="S128" i="16"/>
  <c r="S129" i="16" s="1"/>
  <c r="S130" i="16" s="1"/>
  <c r="C40" i="21"/>
  <c r="C22" i="18"/>
  <c r="T123" i="16"/>
  <c r="L128" i="16"/>
  <c r="L129" i="16" s="1"/>
  <c r="L130" i="16" s="1"/>
  <c r="T120" i="16"/>
  <c r="M128" i="16"/>
  <c r="M129" i="16" s="1"/>
  <c r="M130" i="16" s="1"/>
  <c r="T117" i="16"/>
  <c r="T125" i="16"/>
  <c r="T122" i="16"/>
  <c r="L32" i="19"/>
  <c r="M32" i="19" s="1"/>
  <c r="N32" i="19" s="1"/>
  <c r="O32" i="19" s="1"/>
  <c r="P32" i="19" s="1"/>
  <c r="Q32" i="19" s="1"/>
  <c r="R32" i="19" s="1"/>
  <c r="S32" i="19" s="1"/>
  <c r="T32" i="19" s="1"/>
  <c r="U32" i="19" s="1"/>
  <c r="V32" i="19" s="1"/>
  <c r="W32" i="19" s="1"/>
  <c r="X32" i="19" s="1"/>
  <c r="Y32" i="19" s="1"/>
  <c r="Z32" i="19" s="1"/>
  <c r="AA32" i="19" s="1"/>
  <c r="AB32" i="19" s="1"/>
  <c r="AC32" i="19" s="1"/>
  <c r="AD32" i="19" s="1"/>
  <c r="AE32" i="19" s="1"/>
  <c r="AF32" i="19" s="1"/>
  <c r="AG32" i="19" s="1"/>
  <c r="AH32" i="19" s="1"/>
  <c r="AI32" i="19" s="1"/>
  <c r="AJ32" i="19" s="1"/>
  <c r="AK32" i="19" s="1"/>
  <c r="AL32" i="19" s="1"/>
  <c r="AM32" i="19" s="1"/>
  <c r="AN32" i="19" s="1"/>
  <c r="AO32" i="19" s="1"/>
  <c r="AP32" i="19" s="1"/>
  <c r="AQ32" i="19" s="1"/>
  <c r="AR32" i="19" s="1"/>
  <c r="AS32" i="19" s="1"/>
  <c r="AT32" i="19" s="1"/>
  <c r="AU32" i="19" s="1"/>
  <c r="AV32" i="19" s="1"/>
  <c r="AW32" i="19" s="1"/>
  <c r="H48" i="18"/>
  <c r="H50" i="18" s="1"/>
  <c r="I49" i="18" s="1"/>
  <c r="I50" i="18" s="1"/>
  <c r="J49" i="18" s="1"/>
  <c r="P48" i="18"/>
  <c r="W40" i="18"/>
  <c r="X35" i="18"/>
  <c r="K44" i="19"/>
  <c r="N113" i="23"/>
  <c r="AE49" i="18"/>
  <c r="Y5" i="18"/>
  <c r="I43" i="19"/>
  <c r="I57" i="19" s="1"/>
  <c r="I58" i="19" s="1"/>
  <c r="G56" i="19"/>
  <c r="G43" i="19"/>
  <c r="L64" i="19"/>
  <c r="K168" i="19"/>
  <c r="L165" i="19" s="1"/>
  <c r="K169" i="19"/>
  <c r="K10" i="19"/>
  <c r="K9" i="19" s="1"/>
  <c r="K8" i="19" s="1"/>
  <c r="E181" i="20"/>
  <c r="J213" i="19"/>
  <c r="G43" i="22"/>
  <c r="G44" i="22" s="1"/>
  <c r="L231" i="19"/>
  <c r="L232" i="19" s="1"/>
  <c r="I134" i="19"/>
  <c r="I164" i="19" s="1"/>
  <c r="J169" i="19" s="1"/>
  <c r="J135" i="19"/>
  <c r="I130" i="19"/>
  <c r="J127" i="19" s="1"/>
  <c r="G38" i="22"/>
  <c r="E180" i="20"/>
  <c r="L210" i="19"/>
  <c r="J116" i="19"/>
  <c r="K220" i="19"/>
  <c r="G12" i="22" s="1"/>
  <c r="N137" i="19"/>
  <c r="P63" i="23"/>
  <c r="P93" i="23" s="1"/>
  <c r="G47" i="22"/>
  <c r="G270" i="20"/>
  <c r="I10" i="23"/>
  <c r="H3" i="23"/>
  <c r="H37" i="22"/>
  <c r="FY63" i="23"/>
  <c r="FY93" i="23" s="1"/>
  <c r="ES63" i="23"/>
  <c r="ES93" i="23" s="1"/>
  <c r="FP63" i="23"/>
  <c r="FP93" i="23" s="1"/>
  <c r="EJ63" i="23"/>
  <c r="EJ93" i="23" s="1"/>
  <c r="FN63" i="23"/>
  <c r="FN93" i="23" s="1"/>
  <c r="EH63" i="23"/>
  <c r="EH93" i="23" s="1"/>
  <c r="FL63" i="23"/>
  <c r="FL93" i="23" s="1"/>
  <c r="EF63" i="23"/>
  <c r="EF93" i="23" s="1"/>
  <c r="DQ63" i="23"/>
  <c r="DQ93" i="23" s="1"/>
  <c r="BZ63" i="23"/>
  <c r="BZ93" i="23" s="1"/>
  <c r="AJ63" i="23"/>
  <c r="AJ93" i="23" s="1"/>
  <c r="EG63" i="23"/>
  <c r="EG93" i="23" s="1"/>
  <c r="CJ63" i="23"/>
  <c r="CJ93" i="23" s="1"/>
  <c r="AS63" i="23"/>
  <c r="AS93" i="23" s="1"/>
  <c r="FJ63" i="23"/>
  <c r="FJ93" i="23" s="1"/>
  <c r="CS63" i="23"/>
  <c r="CS93" i="23" s="1"/>
  <c r="BB63" i="23"/>
  <c r="BB93" i="23" s="1"/>
  <c r="L63" i="23"/>
  <c r="L93" i="23" s="1"/>
  <c r="DB63" i="23"/>
  <c r="DB93" i="23" s="1"/>
  <c r="BL63" i="23"/>
  <c r="BL93" i="23" s="1"/>
  <c r="U63" i="23"/>
  <c r="U93" i="23" s="1"/>
  <c r="DA63" i="23"/>
  <c r="DA93" i="23" s="1"/>
  <c r="BJ63" i="23"/>
  <c r="BJ93" i="23" s="1"/>
  <c r="T63" i="23"/>
  <c r="T93" i="23" s="1"/>
  <c r="DJ63" i="23"/>
  <c r="DJ93" i="23" s="1"/>
  <c r="BT63" i="23"/>
  <c r="BT93" i="23" s="1"/>
  <c r="AC63" i="23"/>
  <c r="AC93" i="23" s="1"/>
  <c r="DT63" i="23"/>
  <c r="DT93" i="23" s="1"/>
  <c r="CC63" i="23"/>
  <c r="CC93" i="23" s="1"/>
  <c r="AL63" i="23"/>
  <c r="AL93" i="23" s="1"/>
  <c r="EO63" i="23"/>
  <c r="EO93" i="23" s="1"/>
  <c r="CL63" i="23"/>
  <c r="CL93" i="23" s="1"/>
  <c r="AV63" i="23"/>
  <c r="AV93" i="23" s="1"/>
  <c r="H68" i="22"/>
  <c r="I68" i="22" s="1"/>
  <c r="J68" i="22" s="1"/>
  <c r="K68" i="22" s="1"/>
  <c r="L68" i="22" s="1"/>
  <c r="M68" i="22" s="1"/>
  <c r="N68" i="22" s="1"/>
  <c r="O68" i="22" s="1"/>
  <c r="P68" i="22" s="1"/>
  <c r="Q68" i="22" s="1"/>
  <c r="R68" i="22" s="1"/>
  <c r="S68" i="22" s="1"/>
  <c r="T68" i="22" s="1"/>
  <c r="U68" i="22" s="1"/>
  <c r="V68" i="22" s="1"/>
  <c r="W68" i="22" s="1"/>
  <c r="X68" i="22" s="1"/>
  <c r="Y68" i="22" s="1"/>
  <c r="Z68" i="22" s="1"/>
  <c r="AA68" i="22" s="1"/>
  <c r="AB68" i="22" s="1"/>
  <c r="AC68" i="22" s="1"/>
  <c r="AD68" i="22" s="1"/>
  <c r="AE68" i="22" s="1"/>
  <c r="AF68" i="22" s="1"/>
  <c r="AG68" i="22" s="1"/>
  <c r="AH68" i="22" s="1"/>
  <c r="AI68" i="22" s="1"/>
  <c r="AJ68" i="22" s="1"/>
  <c r="AK68" i="22" s="1"/>
  <c r="AL68" i="22" s="1"/>
  <c r="AM68" i="22" s="1"/>
  <c r="AN68" i="22" s="1"/>
  <c r="AO68" i="22" s="1"/>
  <c r="AP68" i="22" s="1"/>
  <c r="AQ68" i="22" s="1"/>
  <c r="AR68" i="22" s="1"/>
  <c r="AS68" i="22" s="1"/>
  <c r="AT68" i="22" s="1"/>
  <c r="AU68" i="22" s="1"/>
  <c r="AV68" i="22" s="1"/>
  <c r="AW68" i="22" s="1"/>
  <c r="AX68" i="22" s="1"/>
  <c r="AY68" i="22" s="1"/>
  <c r="F351" i="20"/>
  <c r="H30" i="22"/>
  <c r="I23" i="22"/>
  <c r="I55" i="22"/>
  <c r="I10" i="22"/>
  <c r="I57" i="22"/>
  <c r="G90" i="23"/>
  <c r="I81" i="23"/>
  <c r="F103" i="23"/>
  <c r="O102" i="23"/>
  <c r="K45" i="24"/>
  <c r="K46" i="24" s="1"/>
  <c r="L41" i="24" s="1"/>
  <c r="M17" i="25"/>
  <c r="L32" i="25"/>
  <c r="J12" i="24"/>
  <c r="I35" i="24"/>
  <c r="J135" i="25"/>
  <c r="K10" i="25"/>
  <c r="K40" i="25"/>
  <c r="Q47" i="25"/>
  <c r="Q52" i="25" s="1"/>
  <c r="AN47" i="25"/>
  <c r="AN52" i="25" s="1"/>
  <c r="BH47" i="25"/>
  <c r="BH52" i="25" s="1"/>
  <c r="L40" i="25"/>
  <c r="G3" i="25"/>
  <c r="M40" i="25"/>
  <c r="X47" i="25"/>
  <c r="X52" i="25" s="1"/>
  <c r="AR47" i="25"/>
  <c r="AR52" i="25" s="1"/>
  <c r="O233" i="25"/>
  <c r="O75" i="25"/>
  <c r="BN209" i="25"/>
  <c r="BN214" i="25" s="1"/>
  <c r="BF209" i="25"/>
  <c r="BF214" i="25" s="1"/>
  <c r="AX209" i="25"/>
  <c r="AX214" i="25" s="1"/>
  <c r="AP209" i="25"/>
  <c r="AP214" i="25" s="1"/>
  <c r="AH209" i="25"/>
  <c r="AH214" i="25" s="1"/>
  <c r="Z209" i="25"/>
  <c r="Z214" i="25" s="1"/>
  <c r="R209" i="25"/>
  <c r="R214" i="25" s="1"/>
  <c r="J209" i="25"/>
  <c r="BM209" i="25"/>
  <c r="BM214" i="25" s="1"/>
  <c r="BE209" i="25"/>
  <c r="BE214" i="25" s="1"/>
  <c r="AW209" i="25"/>
  <c r="AW214" i="25" s="1"/>
  <c r="AO209" i="25"/>
  <c r="AO214" i="25" s="1"/>
  <c r="AG209" i="25"/>
  <c r="AG214" i="25" s="1"/>
  <c r="Y209" i="25"/>
  <c r="Y214" i="25" s="1"/>
  <c r="Q209" i="25"/>
  <c r="Q214" i="25" s="1"/>
  <c r="BL209" i="25"/>
  <c r="BL214" i="25" s="1"/>
  <c r="BD209" i="25"/>
  <c r="BD214" i="25" s="1"/>
  <c r="AV209" i="25"/>
  <c r="AV214" i="25" s="1"/>
  <c r="AN209" i="25"/>
  <c r="AN214" i="25" s="1"/>
  <c r="AF209" i="25"/>
  <c r="AF214" i="25" s="1"/>
  <c r="X209" i="25"/>
  <c r="X214" i="25" s="1"/>
  <c r="P209" i="25"/>
  <c r="P214" i="25" s="1"/>
  <c r="BK209" i="25"/>
  <c r="BK214" i="25" s="1"/>
  <c r="BC209" i="25"/>
  <c r="BC214" i="25" s="1"/>
  <c r="AU209" i="25"/>
  <c r="AU214" i="25" s="1"/>
  <c r="AM209" i="25"/>
  <c r="AM214" i="25" s="1"/>
  <c r="AE209" i="25"/>
  <c r="AE214" i="25" s="1"/>
  <c r="W209" i="25"/>
  <c r="W214" i="25" s="1"/>
  <c r="O209" i="25"/>
  <c r="O214" i="25" s="1"/>
  <c r="BJ209" i="25"/>
  <c r="BJ214" i="25" s="1"/>
  <c r="BB209" i="25"/>
  <c r="BB214" i="25" s="1"/>
  <c r="AT209" i="25"/>
  <c r="AT214" i="25" s="1"/>
  <c r="AL209" i="25"/>
  <c r="AL214" i="25" s="1"/>
  <c r="AD209" i="25"/>
  <c r="AD214" i="25" s="1"/>
  <c r="V209" i="25"/>
  <c r="V214" i="25" s="1"/>
  <c r="N209" i="25"/>
  <c r="N214" i="25" s="1"/>
  <c r="BI209" i="25"/>
  <c r="BI214" i="25" s="1"/>
  <c r="BA209" i="25"/>
  <c r="BA214" i="25" s="1"/>
  <c r="AS209" i="25"/>
  <c r="AS214" i="25" s="1"/>
  <c r="AK209" i="25"/>
  <c r="AK214" i="25" s="1"/>
  <c r="AC209" i="25"/>
  <c r="AC214" i="25" s="1"/>
  <c r="U209" i="25"/>
  <c r="U214" i="25" s="1"/>
  <c r="M209" i="25"/>
  <c r="M214" i="25" s="1"/>
  <c r="BH209" i="25"/>
  <c r="BH214" i="25" s="1"/>
  <c r="AZ209" i="25"/>
  <c r="AZ214" i="25" s="1"/>
  <c r="AR209" i="25"/>
  <c r="AR214" i="25" s="1"/>
  <c r="AJ209" i="25"/>
  <c r="AJ214" i="25" s="1"/>
  <c r="AB209" i="25"/>
  <c r="AB214" i="25" s="1"/>
  <c r="T209" i="25"/>
  <c r="T214" i="25" s="1"/>
  <c r="L209" i="25"/>
  <c r="L214" i="25" s="1"/>
  <c r="BG209" i="25"/>
  <c r="BG214" i="25" s="1"/>
  <c r="AY209" i="25"/>
  <c r="AY214" i="25" s="1"/>
  <c r="AQ209" i="25"/>
  <c r="AQ214" i="25" s="1"/>
  <c r="AI209" i="25"/>
  <c r="AI214" i="25" s="1"/>
  <c r="AA209" i="25"/>
  <c r="AA214" i="25" s="1"/>
  <c r="S209" i="25"/>
  <c r="S214" i="25" s="1"/>
  <c r="K209" i="25"/>
  <c r="K214" i="25" s="1"/>
  <c r="BJ142" i="25"/>
  <c r="BJ147" i="25" s="1"/>
  <c r="BB142" i="25"/>
  <c r="BB147" i="25" s="1"/>
  <c r="AT142" i="25"/>
  <c r="AT147" i="25" s="1"/>
  <c r="AL142" i="25"/>
  <c r="AL147" i="25" s="1"/>
  <c r="AD142" i="25"/>
  <c r="AD147" i="25" s="1"/>
  <c r="V142" i="25"/>
  <c r="V147" i="25" s="1"/>
  <c r="N142" i="25"/>
  <c r="N147" i="25" s="1"/>
  <c r="BN47" i="25"/>
  <c r="BN52" i="25" s="1"/>
  <c r="BF47" i="25"/>
  <c r="BF52" i="25" s="1"/>
  <c r="AX47" i="25"/>
  <c r="AX52" i="25" s="1"/>
  <c r="AP47" i="25"/>
  <c r="AP52" i="25" s="1"/>
  <c r="AH47" i="25"/>
  <c r="AH52" i="25" s="1"/>
  <c r="Z47" i="25"/>
  <c r="Z52" i="25" s="1"/>
  <c r="R47" i="25"/>
  <c r="R52" i="25" s="1"/>
  <c r="J47" i="25"/>
  <c r="BI142" i="25"/>
  <c r="BI147" i="25" s="1"/>
  <c r="BA142" i="25"/>
  <c r="BA147" i="25" s="1"/>
  <c r="AS142" i="25"/>
  <c r="AS147" i="25" s="1"/>
  <c r="AK142" i="25"/>
  <c r="AK147" i="25" s="1"/>
  <c r="AC142" i="25"/>
  <c r="AC147" i="25" s="1"/>
  <c r="U142" i="25"/>
  <c r="U147" i="25" s="1"/>
  <c r="M142" i="25"/>
  <c r="M147" i="25" s="1"/>
  <c r="BH142" i="25"/>
  <c r="BH147" i="25" s="1"/>
  <c r="AZ142" i="25"/>
  <c r="AZ147" i="25" s="1"/>
  <c r="AR142" i="25"/>
  <c r="AR147" i="25" s="1"/>
  <c r="AJ142" i="25"/>
  <c r="AJ147" i="25" s="1"/>
  <c r="AB142" i="25"/>
  <c r="AB147" i="25" s="1"/>
  <c r="T142" i="25"/>
  <c r="T147" i="25" s="1"/>
  <c r="L142" i="25"/>
  <c r="L147" i="25" s="1"/>
  <c r="BG142" i="25"/>
  <c r="BG147" i="25" s="1"/>
  <c r="AY142" i="25"/>
  <c r="AY147" i="25" s="1"/>
  <c r="AQ142" i="25"/>
  <c r="AQ147" i="25" s="1"/>
  <c r="AI142" i="25"/>
  <c r="AI147" i="25" s="1"/>
  <c r="AA142" i="25"/>
  <c r="AA147" i="25" s="1"/>
  <c r="S142" i="25"/>
  <c r="S147" i="25" s="1"/>
  <c r="K142" i="25"/>
  <c r="K147" i="25" s="1"/>
  <c r="BK47" i="25"/>
  <c r="BK52" i="25" s="1"/>
  <c r="BC47" i="25"/>
  <c r="BC52" i="25" s="1"/>
  <c r="AU47" i="25"/>
  <c r="AU52" i="25" s="1"/>
  <c r="AM47" i="25"/>
  <c r="AM52" i="25" s="1"/>
  <c r="AE47" i="25"/>
  <c r="AE52" i="25" s="1"/>
  <c r="W47" i="25"/>
  <c r="W52" i="25" s="1"/>
  <c r="O47" i="25"/>
  <c r="O52" i="25" s="1"/>
  <c r="BN142" i="25"/>
  <c r="BN147" i="25" s="1"/>
  <c r="BF142" i="25"/>
  <c r="BF147" i="25" s="1"/>
  <c r="AX142" i="25"/>
  <c r="AX147" i="25" s="1"/>
  <c r="AP142" i="25"/>
  <c r="AP147" i="25" s="1"/>
  <c r="AH142" i="25"/>
  <c r="AH147" i="25" s="1"/>
  <c r="Z142" i="25"/>
  <c r="Z147" i="25" s="1"/>
  <c r="R142" i="25"/>
  <c r="R147" i="25" s="1"/>
  <c r="J142" i="25"/>
  <c r="BJ47" i="25"/>
  <c r="BJ52" i="25" s="1"/>
  <c r="BB47" i="25"/>
  <c r="BB52" i="25" s="1"/>
  <c r="AT47" i="25"/>
  <c r="AT52" i="25" s="1"/>
  <c r="AL47" i="25"/>
  <c r="AL52" i="25" s="1"/>
  <c r="AD47" i="25"/>
  <c r="AD52" i="25" s="1"/>
  <c r="V47" i="25"/>
  <c r="V52" i="25" s="1"/>
  <c r="N47" i="25"/>
  <c r="N52" i="25" s="1"/>
  <c r="BM142" i="25"/>
  <c r="BM147" i="25" s="1"/>
  <c r="BE142" i="25"/>
  <c r="BE147" i="25" s="1"/>
  <c r="AW142" i="25"/>
  <c r="AW147" i="25" s="1"/>
  <c r="AO142" i="25"/>
  <c r="AO147" i="25" s="1"/>
  <c r="AG142" i="25"/>
  <c r="AG147" i="25" s="1"/>
  <c r="Y142" i="25"/>
  <c r="Y147" i="25" s="1"/>
  <c r="Q142" i="25"/>
  <c r="Q147" i="25" s="1"/>
  <c r="BI47" i="25"/>
  <c r="BI52" i="25" s="1"/>
  <c r="BA47" i="25"/>
  <c r="BA52" i="25" s="1"/>
  <c r="AS47" i="25"/>
  <c r="AS52" i="25" s="1"/>
  <c r="AK47" i="25"/>
  <c r="AK52" i="25" s="1"/>
  <c r="AC47" i="25"/>
  <c r="AC52" i="25" s="1"/>
  <c r="U47" i="25"/>
  <c r="U52" i="25" s="1"/>
  <c r="M47" i="25"/>
  <c r="M52" i="25" s="1"/>
  <c r="BL142" i="25"/>
  <c r="BL147" i="25" s="1"/>
  <c r="BD142" i="25"/>
  <c r="BD147" i="25" s="1"/>
  <c r="AV142" i="25"/>
  <c r="AV147" i="25" s="1"/>
  <c r="AN142" i="25"/>
  <c r="AN147" i="25" s="1"/>
  <c r="AF142" i="25"/>
  <c r="AF147" i="25" s="1"/>
  <c r="X142" i="25"/>
  <c r="X147" i="25" s="1"/>
  <c r="P142" i="25"/>
  <c r="P147" i="25" s="1"/>
  <c r="BK142" i="25"/>
  <c r="BK147" i="25" s="1"/>
  <c r="BC142" i="25"/>
  <c r="BC147" i="25" s="1"/>
  <c r="AU142" i="25"/>
  <c r="AU147" i="25" s="1"/>
  <c r="AM142" i="25"/>
  <c r="AM147" i="25" s="1"/>
  <c r="AE142" i="25"/>
  <c r="AE147" i="25" s="1"/>
  <c r="W142" i="25"/>
  <c r="W147" i="25" s="1"/>
  <c r="O142" i="25"/>
  <c r="O147" i="25" s="1"/>
  <c r="BG47" i="25"/>
  <c r="BG52" i="25" s="1"/>
  <c r="AY47" i="25"/>
  <c r="AY52" i="25" s="1"/>
  <c r="AQ47" i="25"/>
  <c r="AQ52" i="25" s="1"/>
  <c r="AI47" i="25"/>
  <c r="AI52" i="25" s="1"/>
  <c r="AA47" i="25"/>
  <c r="AA52" i="25" s="1"/>
  <c r="S47" i="25"/>
  <c r="S52" i="25" s="1"/>
  <c r="K47" i="25"/>
  <c r="K52" i="25" s="1"/>
  <c r="L23" i="25"/>
  <c r="K32" i="25"/>
  <c r="N40" i="25"/>
  <c r="Y47" i="25"/>
  <c r="Y52" i="25" s="1"/>
  <c r="AV47" i="25"/>
  <c r="AV52" i="25" s="1"/>
  <c r="P233" i="25"/>
  <c r="P234" i="25" s="1"/>
  <c r="P235" i="25" s="1"/>
  <c r="P75" i="25"/>
  <c r="M23" i="25"/>
  <c r="O40" i="25"/>
  <c r="AB47" i="25"/>
  <c r="AB52" i="25" s="1"/>
  <c r="AW47" i="25"/>
  <c r="AW52" i="25" s="1"/>
  <c r="J233" i="25"/>
  <c r="J75" i="25"/>
  <c r="G80" i="25" s="1"/>
  <c r="N23" i="25"/>
  <c r="P40" i="25"/>
  <c r="AF47" i="25"/>
  <c r="AF52" i="25" s="1"/>
  <c r="AZ47" i="25"/>
  <c r="AZ52" i="25" s="1"/>
  <c r="M233" i="25"/>
  <c r="M75" i="25"/>
  <c r="H21" i="25"/>
  <c r="J200" i="25"/>
  <c r="J133" i="25"/>
  <c r="J111" i="25"/>
  <c r="J110" i="25" s="1"/>
  <c r="P23" i="25"/>
  <c r="P47" i="25"/>
  <c r="P52" i="25" s="1"/>
  <c r="AJ47" i="25"/>
  <c r="AJ52" i="25" s="1"/>
  <c r="BE47" i="25"/>
  <c r="BE52" i="25" s="1"/>
  <c r="G66" i="25"/>
  <c r="L233" i="25"/>
  <c r="L75" i="25"/>
  <c r="K75" i="25"/>
  <c r="N168" i="25"/>
  <c r="N232" i="25"/>
  <c r="N234" i="25" s="1"/>
  <c r="N235" i="25" s="1"/>
  <c r="D173" i="25"/>
  <c r="H67" i="25"/>
  <c r="G67" i="25" s="1"/>
  <c r="D81" i="25"/>
  <c r="H113" i="25"/>
  <c r="D243" i="25"/>
  <c r="L168" i="25"/>
  <c r="L232" i="25"/>
  <c r="G226" i="25"/>
  <c r="J168" i="25"/>
  <c r="G171" i="25" s="1"/>
  <c r="J232" i="25"/>
  <c r="J234" i="25" s="1"/>
  <c r="J235" i="25" s="1"/>
  <c r="M234" i="25"/>
  <c r="M235" i="25" s="1"/>
  <c r="H158" i="25"/>
  <c r="G158" i="25" s="1"/>
  <c r="K160" i="25"/>
  <c r="K168" i="25"/>
  <c r="K232" i="25"/>
  <c r="K234" i="25" s="1"/>
  <c r="K235" i="25" s="1"/>
  <c r="G242" i="25" s="1"/>
  <c r="O232" i="25"/>
  <c r="O234" i="25" s="1"/>
  <c r="O235" i="25" s="1"/>
  <c r="O168" i="25"/>
  <c r="G225" i="25"/>
  <c r="S144" i="25"/>
  <c r="M160" i="25"/>
  <c r="U160" i="25"/>
  <c r="AC160" i="25"/>
  <c r="AK160" i="25"/>
  <c r="P168" i="25"/>
  <c r="J27" i="26"/>
  <c r="R27" i="26"/>
  <c r="Z27" i="26"/>
  <c r="AH27" i="26"/>
  <c r="AP27" i="26"/>
  <c r="L62" i="26"/>
  <c r="M62" i="26" s="1"/>
  <c r="N62" i="26" s="1"/>
  <c r="O62" i="26" s="1"/>
  <c r="P62" i="26" s="1"/>
  <c r="Q62" i="26" s="1"/>
  <c r="R62" i="26" s="1"/>
  <c r="S62" i="26" s="1"/>
  <c r="T62" i="26" s="1"/>
  <c r="U62" i="26" s="1"/>
  <c r="V62" i="26" s="1"/>
  <c r="W62" i="26" s="1"/>
  <c r="X62" i="26" s="1"/>
  <c r="Y62" i="26" s="1"/>
  <c r="Z62" i="26" s="1"/>
  <c r="AA62" i="26" s="1"/>
  <c r="AB62" i="26" s="1"/>
  <c r="AC62" i="26" s="1"/>
  <c r="AD62" i="26" s="1"/>
  <c r="AE62" i="26" s="1"/>
  <c r="AF62" i="26" s="1"/>
  <c r="AG62" i="26" s="1"/>
  <c r="AH62" i="26" s="1"/>
  <c r="AI62" i="26" s="1"/>
  <c r="AJ62" i="26" s="1"/>
  <c r="AK62" i="26" s="1"/>
  <c r="AL62" i="26" s="1"/>
  <c r="AM62" i="26" s="1"/>
  <c r="AN62" i="26" s="1"/>
  <c r="AO62" i="26" s="1"/>
  <c r="AP62" i="26" s="1"/>
  <c r="AQ62" i="26" s="1"/>
  <c r="AR62" i="26" s="1"/>
  <c r="AS62" i="26" s="1"/>
  <c r="AT62" i="26" s="1"/>
  <c r="AU62" i="26" s="1"/>
  <c r="K59" i="26"/>
  <c r="K58" i="26" s="1"/>
  <c r="G12" i="26"/>
  <c r="N27" i="26"/>
  <c r="V27" i="26"/>
  <c r="AD27" i="26"/>
  <c r="AL27" i="26"/>
  <c r="AT27" i="26"/>
  <c r="J47" i="26"/>
  <c r="N75" i="26"/>
  <c r="M76" i="26"/>
  <c r="M74" i="26" s="1"/>
  <c r="M73" i="26" s="1"/>
  <c r="L81" i="26"/>
  <c r="K79" i="26"/>
  <c r="L88" i="26"/>
  <c r="Q27" i="26"/>
  <c r="Y27" i="26"/>
  <c r="AO27" i="26"/>
  <c r="M60" i="26"/>
  <c r="L59" i="26"/>
  <c r="L58" i="26" s="1"/>
  <c r="I1" i="26"/>
  <c r="H2" i="26"/>
  <c r="K27" i="26"/>
  <c r="S27" i="26"/>
  <c r="AA27" i="26"/>
  <c r="AI27" i="26"/>
  <c r="AQ27" i="26"/>
  <c r="K84" i="26"/>
  <c r="J83" i="26"/>
  <c r="L74" i="26"/>
  <c r="L73" i="26" s="1"/>
  <c r="F107" i="26"/>
  <c r="F106" i="26" s="1"/>
  <c r="F95" i="26" s="1"/>
  <c r="L142" i="26"/>
  <c r="K141" i="26"/>
  <c r="I121" i="26"/>
  <c r="J122" i="26"/>
  <c r="H87" i="26"/>
  <c r="I90" i="26"/>
  <c r="L72" i="26"/>
  <c r="K70" i="26"/>
  <c r="F210" i="26"/>
  <c r="J141" i="26"/>
  <c r="K147" i="26"/>
  <c r="H172" i="26"/>
  <c r="M120" i="26"/>
  <c r="J125" i="26"/>
  <c r="H135" i="26"/>
  <c r="K184" i="26"/>
  <c r="J183" i="26"/>
  <c r="J182" i="26" s="1"/>
  <c r="M191" i="26"/>
  <c r="N191" i="26" s="1"/>
  <c r="O191" i="26" s="1"/>
  <c r="P191" i="26" s="1"/>
  <c r="Q191" i="26" s="1"/>
  <c r="R191" i="26" s="1"/>
  <c r="S191" i="26" s="1"/>
  <c r="T191" i="26" s="1"/>
  <c r="U191" i="26" s="1"/>
  <c r="V191" i="26" s="1"/>
  <c r="W191" i="26" s="1"/>
  <c r="X191" i="26" s="1"/>
  <c r="Y191" i="26" s="1"/>
  <c r="Z191" i="26" s="1"/>
  <c r="AA191" i="26" s="1"/>
  <c r="AB191" i="26" s="1"/>
  <c r="AC191" i="26" s="1"/>
  <c r="AD191" i="26" s="1"/>
  <c r="AE191" i="26" s="1"/>
  <c r="AF191" i="26" s="1"/>
  <c r="AG191" i="26" s="1"/>
  <c r="AH191" i="26" s="1"/>
  <c r="AI191" i="26" s="1"/>
  <c r="AJ191" i="26" s="1"/>
  <c r="AK191" i="26" s="1"/>
  <c r="AL191" i="26" s="1"/>
  <c r="AM191" i="26" s="1"/>
  <c r="AN191" i="26" s="1"/>
  <c r="AO191" i="26" s="1"/>
  <c r="AP191" i="26" s="1"/>
  <c r="AQ191" i="26" s="1"/>
  <c r="AR191" i="26" s="1"/>
  <c r="AS191" i="26" s="1"/>
  <c r="AT191" i="26" s="1"/>
  <c r="AU191" i="26" s="1"/>
  <c r="L132" i="26"/>
  <c r="K131" i="26"/>
  <c r="I172" i="26"/>
  <c r="J173" i="26"/>
  <c r="J180" i="26"/>
  <c r="I179" i="26"/>
  <c r="J137" i="26"/>
  <c r="I136" i="26"/>
  <c r="I131" i="26"/>
  <c r="I141" i="26"/>
  <c r="I366" i="26"/>
  <c r="J197" i="26"/>
  <c r="V203" i="26"/>
  <c r="Q206" i="26"/>
  <c r="T206" i="26" s="1"/>
  <c r="G211" i="26"/>
  <c r="K259" i="26"/>
  <c r="J258" i="26"/>
  <c r="G220" i="26"/>
  <c r="I190" i="26"/>
  <c r="L287" i="26"/>
  <c r="J236" i="26"/>
  <c r="J238" i="26"/>
  <c r="K238" i="26" s="1"/>
  <c r="L238" i="26" s="1"/>
  <c r="M238" i="26" s="1"/>
  <c r="N238" i="26" s="1"/>
  <c r="O238" i="26" s="1"/>
  <c r="P238" i="26" s="1"/>
  <c r="Q238" i="26" s="1"/>
  <c r="R238" i="26" s="1"/>
  <c r="S238" i="26" s="1"/>
  <c r="T238" i="26" s="1"/>
  <c r="U238" i="26" s="1"/>
  <c r="V238" i="26" s="1"/>
  <c r="W238" i="26" s="1"/>
  <c r="X238" i="26" s="1"/>
  <c r="Y238" i="26" s="1"/>
  <c r="Z238" i="26" s="1"/>
  <c r="AA238" i="26" s="1"/>
  <c r="AB238" i="26" s="1"/>
  <c r="AC238" i="26" s="1"/>
  <c r="AD238" i="26" s="1"/>
  <c r="AE238" i="26" s="1"/>
  <c r="AF238" i="26" s="1"/>
  <c r="AG238" i="26" s="1"/>
  <c r="AH238" i="26" s="1"/>
  <c r="AI238" i="26" s="1"/>
  <c r="AJ238" i="26" s="1"/>
  <c r="AK238" i="26" s="1"/>
  <c r="AL238" i="26" s="1"/>
  <c r="AM238" i="26" s="1"/>
  <c r="AN238" i="26" s="1"/>
  <c r="AO238" i="26" s="1"/>
  <c r="AP238" i="26" s="1"/>
  <c r="AQ238" i="26" s="1"/>
  <c r="AR238" i="26" s="1"/>
  <c r="AS238" i="26" s="1"/>
  <c r="AT238" i="26" s="1"/>
  <c r="AU238" i="26" s="1"/>
  <c r="I258" i="26"/>
  <c r="M287" i="26"/>
  <c r="I314" i="26"/>
  <c r="K237" i="26"/>
  <c r="I315" i="26"/>
  <c r="J315" i="26" s="1"/>
  <c r="K315" i="26" s="1"/>
  <c r="L315" i="26" s="1"/>
  <c r="M315" i="26" s="1"/>
  <c r="N315" i="26" s="1"/>
  <c r="O315" i="26" s="1"/>
  <c r="P315" i="26" s="1"/>
  <c r="Q315" i="26" s="1"/>
  <c r="R315" i="26" s="1"/>
  <c r="S315" i="26" s="1"/>
  <c r="T315" i="26" s="1"/>
  <c r="U315" i="26" s="1"/>
  <c r="V315" i="26" s="1"/>
  <c r="W315" i="26" s="1"/>
  <c r="X315" i="26" s="1"/>
  <c r="Y315" i="26" s="1"/>
  <c r="Z315" i="26" s="1"/>
  <c r="AA315" i="26" s="1"/>
  <c r="AB315" i="26" s="1"/>
  <c r="AC315" i="26" s="1"/>
  <c r="AD315" i="26" s="1"/>
  <c r="AE315" i="26" s="1"/>
  <c r="AF315" i="26" s="1"/>
  <c r="AG315" i="26" s="1"/>
  <c r="AH315" i="26" s="1"/>
  <c r="AI315" i="26" s="1"/>
  <c r="AJ315" i="26" s="1"/>
  <c r="AK315" i="26" s="1"/>
  <c r="AL315" i="26" s="1"/>
  <c r="AM315" i="26" s="1"/>
  <c r="AN315" i="26" s="1"/>
  <c r="AO315" i="26" s="1"/>
  <c r="AP315" i="26" s="1"/>
  <c r="AQ315" i="26" s="1"/>
  <c r="AR315" i="26" s="1"/>
  <c r="AS315" i="26" s="1"/>
  <c r="AT315" i="26" s="1"/>
  <c r="AU315" i="26" s="1"/>
  <c r="H316" i="26"/>
  <c r="I316" i="26" s="1"/>
  <c r="J316" i="26" s="1"/>
  <c r="K316" i="26" s="1"/>
  <c r="L316" i="26" s="1"/>
  <c r="M316" i="26" s="1"/>
  <c r="N316" i="26" s="1"/>
  <c r="O316" i="26" s="1"/>
  <c r="P316" i="26" s="1"/>
  <c r="Q316" i="26" s="1"/>
  <c r="R316" i="26" s="1"/>
  <c r="S316" i="26" s="1"/>
  <c r="T316" i="26" s="1"/>
  <c r="U316" i="26" s="1"/>
  <c r="V316" i="26" s="1"/>
  <c r="W316" i="26" s="1"/>
  <c r="X316" i="26" s="1"/>
  <c r="Y316" i="26" s="1"/>
  <c r="Z316" i="26" s="1"/>
  <c r="AA316" i="26" s="1"/>
  <c r="AB316" i="26" s="1"/>
  <c r="AC316" i="26" s="1"/>
  <c r="AD316" i="26" s="1"/>
  <c r="AE316" i="26" s="1"/>
  <c r="AF316" i="26" s="1"/>
  <c r="AG316" i="26" s="1"/>
  <c r="AH316" i="26" s="1"/>
  <c r="AI316" i="26" s="1"/>
  <c r="AJ316" i="26" s="1"/>
  <c r="AK316" i="26" s="1"/>
  <c r="AL316" i="26" s="1"/>
  <c r="AM316" i="26" s="1"/>
  <c r="AN316" i="26" s="1"/>
  <c r="AO316" i="26" s="1"/>
  <c r="AP316" i="26" s="1"/>
  <c r="AQ316" i="26" s="1"/>
  <c r="AR316" i="26" s="1"/>
  <c r="AS316" i="26" s="1"/>
  <c r="AT316" i="26" s="1"/>
  <c r="AU316" i="26" s="1"/>
  <c r="G291" i="26"/>
  <c r="J253" i="26"/>
  <c r="I252" i="26"/>
  <c r="I251" i="26" s="1"/>
  <c r="I368" i="26"/>
  <c r="J285" i="26"/>
  <c r="O288" i="26"/>
  <c r="N287" i="26"/>
  <c r="G236" i="26"/>
  <c r="G225" i="26" s="1"/>
  <c r="G224" i="26" s="1"/>
  <c r="G10" i="26" s="1"/>
  <c r="P405" i="26"/>
  <c r="L405" i="26"/>
  <c r="H405" i="26"/>
  <c r="T405" i="26"/>
  <c r="Z31" i="29"/>
  <c r="AB388" i="26"/>
  <c r="AW6" i="27"/>
  <c r="J324" i="26"/>
  <c r="I323" i="26"/>
  <c r="I322" i="26" s="1"/>
  <c r="K332" i="26"/>
  <c r="J331" i="26"/>
  <c r="BJ365" i="26"/>
  <c r="U382" i="26"/>
  <c r="AK382" i="26"/>
  <c r="BA382" i="26"/>
  <c r="J287" i="26"/>
  <c r="H403" i="26"/>
  <c r="T403" i="26"/>
  <c r="P403" i="26"/>
  <c r="L403" i="26"/>
  <c r="AP6" i="27"/>
  <c r="K413" i="26"/>
  <c r="G414" i="26"/>
  <c r="R6" i="27"/>
  <c r="Z6" i="27"/>
  <c r="AH6" i="27"/>
  <c r="AX6" i="27"/>
  <c r="Y6" i="27"/>
  <c r="W382" i="26"/>
  <c r="AM382" i="26"/>
  <c r="BC382" i="26"/>
  <c r="O5" i="27"/>
  <c r="O10" i="27"/>
  <c r="O4" i="27" s="1"/>
  <c r="AO61" i="28"/>
  <c r="I382" i="26"/>
  <c r="Y382" i="26"/>
  <c r="AO382" i="26"/>
  <c r="BE382" i="26"/>
  <c r="S382" i="26"/>
  <c r="AI382" i="26"/>
  <c r="AY382" i="26"/>
  <c r="S411" i="26"/>
  <c r="P406" i="26"/>
  <c r="L406" i="26"/>
  <c r="H406" i="26"/>
  <c r="T406" i="26"/>
  <c r="Q6" i="27"/>
  <c r="AK12" i="27"/>
  <c r="AS12" i="27"/>
  <c r="I40" i="27"/>
  <c r="AC6" i="27"/>
  <c r="AE6" i="27"/>
  <c r="AI61" i="28"/>
  <c r="AQ61" i="28"/>
  <c r="J5" i="27"/>
  <c r="J10" i="27"/>
  <c r="J4" i="27" s="1"/>
  <c r="AG6" i="27"/>
  <c r="O382" i="26"/>
  <c r="AE382" i="26"/>
  <c r="AU382" i="26"/>
  <c r="S412" i="26"/>
  <c r="G423" i="26"/>
  <c r="H423" i="26" s="1"/>
  <c r="H424" i="26"/>
  <c r="I424" i="26" s="1"/>
  <c r="I423" i="26" s="1"/>
  <c r="AU6" i="27"/>
  <c r="M12" i="27"/>
  <c r="I24" i="27"/>
  <c r="U6" i="27"/>
  <c r="BA6" i="27"/>
  <c r="S6" i="27"/>
  <c r="AQ6" i="27"/>
  <c r="AY6" i="27"/>
  <c r="H336" i="26"/>
  <c r="H365" i="26" s="1"/>
  <c r="H364" i="26" s="1"/>
  <c r="T404" i="26"/>
  <c r="AA12" i="27"/>
  <c r="O61" i="28"/>
  <c r="N407" i="26"/>
  <c r="N410" i="26" s="1"/>
  <c r="I52" i="27"/>
  <c r="I64" i="27"/>
  <c r="H68" i="27" s="1"/>
  <c r="T61" i="28"/>
  <c r="AJ61" i="28"/>
  <c r="Q120" i="28"/>
  <c r="P114" i="28"/>
  <c r="L12" i="27"/>
  <c r="T12" i="27"/>
  <c r="AB12" i="27"/>
  <c r="AJ12" i="27"/>
  <c r="AR12" i="27"/>
  <c r="AZ12" i="27"/>
  <c r="M61" i="28"/>
  <c r="U61" i="28"/>
  <c r="AC61" i="28"/>
  <c r="AK61" i="28"/>
  <c r="AS61" i="28"/>
  <c r="L61" i="28"/>
  <c r="AR61" i="28"/>
  <c r="F44" i="28"/>
  <c r="F407" i="26"/>
  <c r="F410" i="26" s="1"/>
  <c r="I13" i="27"/>
  <c r="N12" i="27"/>
  <c r="V12" i="27"/>
  <c r="AD12" i="27"/>
  <c r="AL12" i="27"/>
  <c r="AT12" i="27"/>
  <c r="N62" i="27"/>
  <c r="G61" i="28"/>
  <c r="W61" i="28"/>
  <c r="AE61" i="28"/>
  <c r="AM61" i="28"/>
  <c r="AU61" i="28"/>
  <c r="H44" i="28"/>
  <c r="X44" i="28"/>
  <c r="AN44" i="28"/>
  <c r="K10" i="27"/>
  <c r="K4" i="27" s="1"/>
  <c r="I35" i="27"/>
  <c r="P12" i="27"/>
  <c r="X12" i="27"/>
  <c r="AF12" i="27"/>
  <c r="AN12" i="27"/>
  <c r="AV12" i="27"/>
  <c r="AG61" i="28"/>
  <c r="J44" i="28"/>
  <c r="Z44" i="28"/>
  <c r="AP44" i="28"/>
  <c r="J61" i="28"/>
  <c r="R61" i="28"/>
  <c r="Z61" i="28"/>
  <c r="AH61" i="28"/>
  <c r="AP61" i="28"/>
  <c r="F61" i="28"/>
  <c r="N61" i="28"/>
  <c r="V61" i="28"/>
  <c r="AD61" i="28"/>
  <c r="AL61" i="28"/>
  <c r="AT61" i="28"/>
  <c r="AQ26" i="29"/>
  <c r="AQ27" i="29" s="1"/>
  <c r="AI26" i="29"/>
  <c r="AI27" i="29" s="1"/>
  <c r="AA26" i="29"/>
  <c r="AA27" i="29" s="1"/>
  <c r="S26" i="29"/>
  <c r="S27" i="29" s="1"/>
  <c r="K26" i="29"/>
  <c r="K27" i="29" s="1"/>
  <c r="AO26" i="29"/>
  <c r="AO27" i="29" s="1"/>
  <c r="AG26" i="29"/>
  <c r="AG27" i="29" s="1"/>
  <c r="Y26" i="29"/>
  <c r="Y27" i="29" s="1"/>
  <c r="Q26" i="29"/>
  <c r="Q27" i="29" s="1"/>
  <c r="I26" i="29"/>
  <c r="I27" i="29" s="1"/>
  <c r="AM26" i="29"/>
  <c r="AM27" i="29" s="1"/>
  <c r="AE26" i="29"/>
  <c r="AE27" i="29" s="1"/>
  <c r="W26" i="29"/>
  <c r="W27" i="29" s="1"/>
  <c r="O26" i="29"/>
  <c r="O27" i="29" s="1"/>
  <c r="G26" i="29"/>
  <c r="G27" i="29" s="1"/>
  <c r="AP26" i="29"/>
  <c r="AP27" i="29" s="1"/>
  <c r="AC26" i="29"/>
  <c r="AC27" i="29" s="1"/>
  <c r="P26" i="29"/>
  <c r="P27" i="29" s="1"/>
  <c r="D26" i="29"/>
  <c r="D27" i="29" s="1"/>
  <c r="AL26" i="29"/>
  <c r="AL27" i="29" s="1"/>
  <c r="Z26" i="29"/>
  <c r="Z27" i="29" s="1"/>
  <c r="M26" i="29"/>
  <c r="M27" i="29" s="1"/>
  <c r="AJ26" i="29"/>
  <c r="AJ27" i="29" s="1"/>
  <c r="T26" i="29"/>
  <c r="T27" i="29" s="1"/>
  <c r="AD26" i="29"/>
  <c r="AD27" i="29" s="1"/>
  <c r="L26" i="29"/>
  <c r="L27" i="29" s="1"/>
  <c r="AH26" i="29"/>
  <c r="AH27" i="29" s="1"/>
  <c r="J26" i="29"/>
  <c r="J27" i="29" s="1"/>
  <c r="AF26" i="29"/>
  <c r="AF27" i="29" s="1"/>
  <c r="H26" i="29"/>
  <c r="H27" i="29" s="1"/>
  <c r="AB26" i="29"/>
  <c r="AB27" i="29" s="1"/>
  <c r="F26" i="29"/>
  <c r="F27" i="29" s="1"/>
  <c r="X26" i="29"/>
  <c r="X27" i="29" s="1"/>
  <c r="E26" i="29"/>
  <c r="E27" i="29" s="1"/>
  <c r="V26" i="29"/>
  <c r="V27" i="29" s="1"/>
  <c r="AN26" i="29"/>
  <c r="AN27" i="29" s="1"/>
  <c r="R26" i="29"/>
  <c r="R27" i="29" s="1"/>
  <c r="I75" i="28"/>
  <c r="E111" i="28"/>
  <c r="E118" i="28"/>
  <c r="D112" i="28"/>
  <c r="H61" i="28"/>
  <c r="P61" i="28"/>
  <c r="X61" i="28"/>
  <c r="AF61" i="28"/>
  <c r="AN61" i="28"/>
  <c r="N26" i="29"/>
  <c r="N27" i="29" s="1"/>
  <c r="O118" i="28"/>
  <c r="O111" i="28"/>
  <c r="AA30" i="29"/>
  <c r="J52" i="29"/>
  <c r="J53" i="29" s="1"/>
  <c r="I54" i="29"/>
  <c r="M50" i="31"/>
  <c r="AQ17" i="31"/>
  <c r="AQ31" i="31" s="1"/>
  <c r="AE31" i="31"/>
  <c r="AE34" i="31" s="1"/>
  <c r="AE6" i="31"/>
  <c r="AM31" i="31"/>
  <c r="AM34" i="31" s="1"/>
  <c r="AM6" i="31"/>
  <c r="AU31" i="31"/>
  <c r="AU34" i="31" s="1"/>
  <c r="AU6" i="31"/>
  <c r="C6" i="31"/>
  <c r="C31" i="31"/>
  <c r="C34" i="31" s="1"/>
  <c r="G111" i="28"/>
  <c r="G118" i="28"/>
  <c r="F112" i="28"/>
  <c r="J30" i="29"/>
  <c r="W31" i="31"/>
  <c r="W34" i="31" s="1"/>
  <c r="W6" i="31"/>
  <c r="K39" i="31"/>
  <c r="AN31" i="31"/>
  <c r="AN34" i="31" s="1"/>
  <c r="AN6" i="31"/>
  <c r="AV31" i="31"/>
  <c r="AV34" i="31" s="1"/>
  <c r="AV6" i="31"/>
  <c r="M38" i="32"/>
  <c r="K39" i="32" s="1"/>
  <c r="M39" i="32" s="1"/>
  <c r="K40" i="32" s="1"/>
  <c r="M40" i="32" s="1"/>
  <c r="K41" i="32" s="1"/>
  <c r="M41" i="32" s="1"/>
  <c r="K42" i="32" s="1"/>
  <c r="M42" i="32" s="1"/>
  <c r="K43" i="32" s="1"/>
  <c r="M43" i="32" s="1"/>
  <c r="K44" i="32" s="1"/>
  <c r="M44" i="32" s="1"/>
  <c r="K45" i="32" s="1"/>
  <c r="M45" i="32" s="1"/>
  <c r="K46" i="32" s="1"/>
  <c r="M46" i="32" s="1"/>
  <c r="K47" i="32" s="1"/>
  <c r="M47" i="32" s="1"/>
  <c r="K48" i="32" s="1"/>
  <c r="M48" i="32" s="1"/>
  <c r="K49" i="32" s="1"/>
  <c r="M49" i="32" s="1"/>
  <c r="K50" i="32" s="1"/>
  <c r="M50" i="32" s="1"/>
  <c r="K51" i="32" s="1"/>
  <c r="M51" i="32" s="1"/>
  <c r="K52" i="32" s="1"/>
  <c r="M52" i="32" s="1"/>
  <c r="K53" i="32" s="1"/>
  <c r="M53" i="32" s="1"/>
  <c r="K54" i="32" s="1"/>
  <c r="M54" i="32" s="1"/>
  <c r="K55" i="32" s="1"/>
  <c r="M55" i="32" s="1"/>
  <c r="K56" i="32" s="1"/>
  <c r="M56" i="32" s="1"/>
  <c r="K57" i="32" s="1"/>
  <c r="M57" i="32" s="1"/>
  <c r="K58" i="32" s="1"/>
  <c r="M58" i="32" s="1"/>
  <c r="K59" i="32" s="1"/>
  <c r="M59" i="32" s="1"/>
  <c r="K60" i="32" s="1"/>
  <c r="M60" i="32" s="1"/>
  <c r="K61" i="32" s="1"/>
  <c r="M61" i="32" s="1"/>
  <c r="K62" i="32" s="1"/>
  <c r="M62" i="32" s="1"/>
  <c r="K63" i="32" s="1"/>
  <c r="M63" i="32" s="1"/>
  <c r="K64" i="32" s="1"/>
  <c r="M64" i="32" s="1"/>
  <c r="K65" i="32" s="1"/>
  <c r="M65" i="32" s="1"/>
  <c r="I55" i="29"/>
  <c r="C59" i="29" s="1"/>
  <c r="AO30" i="29"/>
  <c r="AG30" i="29"/>
  <c r="Y30" i="29"/>
  <c r="Q30" i="29"/>
  <c r="I30" i="29"/>
  <c r="AM30" i="29"/>
  <c r="AE30" i="29"/>
  <c r="W30" i="29"/>
  <c r="O30" i="29"/>
  <c r="G30" i="29"/>
  <c r="AK30" i="29"/>
  <c r="AC30" i="29"/>
  <c r="U30" i="29"/>
  <c r="M30" i="29"/>
  <c r="E30" i="29"/>
  <c r="AJ30" i="29"/>
  <c r="X30" i="29"/>
  <c r="K30" i="29"/>
  <c r="AH30" i="29"/>
  <c r="T30" i="29"/>
  <c r="H30" i="29"/>
  <c r="AN30" i="29"/>
  <c r="V30" i="29"/>
  <c r="D30" i="29"/>
  <c r="AF30" i="29"/>
  <c r="P30" i="29"/>
  <c r="G31" i="31"/>
  <c r="G34" i="31" s="1"/>
  <c r="G6" i="31"/>
  <c r="O31" i="31"/>
  <c r="O34" i="31" s="1"/>
  <c r="O6" i="31"/>
  <c r="N30" i="29"/>
  <c r="AL30" i="29"/>
  <c r="H31" i="31"/>
  <c r="H34" i="31" s="1"/>
  <c r="H6" i="31"/>
  <c r="C19" i="31"/>
  <c r="L112" i="28"/>
  <c r="M111" i="28"/>
  <c r="I112" i="28"/>
  <c r="I119" i="28"/>
  <c r="I114" i="28"/>
  <c r="Q119" i="28"/>
  <c r="Q112" i="28"/>
  <c r="J22" i="29"/>
  <c r="C34" i="29" s="1"/>
  <c r="X31" i="31"/>
  <c r="X34" i="31" s="1"/>
  <c r="X6" i="31"/>
  <c r="AG6" i="31"/>
  <c r="AG31" i="31"/>
  <c r="AG34" i="31" s="1"/>
  <c r="AO6" i="31"/>
  <c r="AO31" i="31"/>
  <c r="AO34" i="31" s="1"/>
  <c r="M63" i="31"/>
  <c r="AW6" i="31"/>
  <c r="AW31" i="31"/>
  <c r="AC31" i="31"/>
  <c r="AC34" i="31" s="1"/>
  <c r="E31" i="31"/>
  <c r="E34" i="31" s="1"/>
  <c r="L42" i="31"/>
  <c r="L51" i="31"/>
  <c r="K121" i="28"/>
  <c r="F69" i="28" s="1"/>
  <c r="C17" i="31"/>
  <c r="K50" i="31"/>
  <c r="AI6" i="31"/>
  <c r="AI31" i="31"/>
  <c r="AI34" i="31" s="1"/>
  <c r="AQ6" i="31"/>
  <c r="M39" i="31"/>
  <c r="K63" i="31"/>
  <c r="AY6" i="31"/>
  <c r="AY31" i="31"/>
  <c r="AY34" i="31" s="1"/>
  <c r="D31" i="31"/>
  <c r="D34" i="31" s="1"/>
  <c r="L31" i="31"/>
  <c r="L34" i="31" s="1"/>
  <c r="T31" i="31"/>
  <c r="T34" i="31" s="1"/>
  <c r="AB31" i="31"/>
  <c r="AB34" i="31" s="1"/>
  <c r="E114" i="28"/>
  <c r="M51" i="31"/>
  <c r="S31" i="31"/>
  <c r="S34" i="31" s="1"/>
  <c r="P67" i="31"/>
  <c r="K33" i="29"/>
  <c r="M392" i="26" s="1"/>
  <c r="S33" i="29"/>
  <c r="U392" i="26" s="1"/>
  <c r="AA33" i="29"/>
  <c r="AC392" i="26" s="1"/>
  <c r="AI33" i="29"/>
  <c r="AK392" i="26" s="1"/>
  <c r="AJ31" i="31"/>
  <c r="AJ34" i="31" s="1"/>
  <c r="AR31" i="31"/>
  <c r="AR34" i="31" s="1"/>
  <c r="K42" i="31"/>
  <c r="M66" i="31"/>
  <c r="P17" i="31"/>
  <c r="P31" i="31" s="1"/>
  <c r="P34" i="31" s="1"/>
  <c r="L76" i="31"/>
  <c r="J59" i="32"/>
  <c r="AD34" i="31"/>
  <c r="M42" i="31"/>
  <c r="K66" i="31"/>
  <c r="L50" i="31"/>
  <c r="J50" i="32"/>
  <c r="K51" i="31"/>
  <c r="J48" i="32"/>
  <c r="J64" i="32"/>
  <c r="L22" i="33"/>
  <c r="AZ31" i="31"/>
  <c r="L39" i="31"/>
  <c r="J62" i="32"/>
  <c r="L63" i="31"/>
  <c r="BF5" i="34"/>
  <c r="J40" i="32"/>
  <c r="J42" i="32"/>
  <c r="J56" i="32"/>
  <c r="L26" i="33"/>
  <c r="K26" i="33"/>
  <c r="D29" i="33"/>
  <c r="F28" i="33"/>
  <c r="F29" i="33" s="1"/>
  <c r="I16" i="32"/>
  <c r="J36" i="32" s="1"/>
  <c r="L24" i="33"/>
  <c r="K24" i="33"/>
  <c r="G27" i="33"/>
  <c r="G28" i="33" s="1"/>
  <c r="J38" i="32"/>
  <c r="J54" i="32"/>
  <c r="J11" i="33"/>
  <c r="A104" i="33"/>
  <c r="BE77" i="34"/>
  <c r="BF77" i="34"/>
  <c r="P12" i="15" s="1"/>
  <c r="K22" i="33"/>
  <c r="K23" i="33"/>
  <c r="L23" i="33" s="1"/>
  <c r="AS45" i="34"/>
  <c r="AV45" i="34"/>
  <c r="BG5" i="34"/>
  <c r="AT5" i="34"/>
  <c r="AT45" i="34" s="1"/>
  <c r="BE6" i="34"/>
  <c r="BI6" i="34"/>
  <c r="BB5" i="34"/>
  <c r="M104" i="33"/>
  <c r="N22" i="33"/>
  <c r="N104" i="33" s="1"/>
  <c r="N105" i="33" s="1"/>
  <c r="BG6" i="34"/>
  <c r="BE13" i="34"/>
  <c r="BF13" i="34"/>
  <c r="P45" i="13" s="1"/>
  <c r="R49" i="13" s="1"/>
  <c r="AW45" i="34"/>
  <c r="AW107" i="34" s="1"/>
  <c r="BE46" i="34"/>
  <c r="AZ45" i="34"/>
  <c r="AZ107" i="34" s="1"/>
  <c r="BF15" i="34"/>
  <c r="BE15" i="34"/>
  <c r="T21" i="13" s="1"/>
  <c r="BG27" i="34"/>
  <c r="BF40" i="34"/>
  <c r="BG48" i="34"/>
  <c r="AY45" i="34"/>
  <c r="BH5" i="34"/>
  <c r="BG46" i="34"/>
  <c r="BE48" i="34"/>
  <c r="BG98" i="34"/>
  <c r="AY98" i="34"/>
  <c r="BH46" i="34"/>
  <c r="BH48" i="34"/>
  <c r="BC45" i="34"/>
  <c r="BC107" i="34" s="1"/>
  <c r="BH77" i="34"/>
  <c r="R12" i="15" s="1"/>
  <c r="Q45" i="23" s="1"/>
  <c r="BI98" i="34"/>
  <c r="BF19" i="34"/>
  <c r="BE19" i="34"/>
  <c r="BF67" i="34"/>
  <c r="P11" i="15" s="1"/>
  <c r="AS66" i="34"/>
  <c r="BE67" i="34"/>
  <c r="BE40" i="34"/>
  <c r="BI46" i="34"/>
  <c r="AT98" i="34"/>
  <c r="AT106" i="34" s="1"/>
  <c r="AJ27" i="37" l="1"/>
  <c r="H60" i="12"/>
  <c r="I8" i="11"/>
  <c r="Z97" i="11"/>
  <c r="L234" i="25"/>
  <c r="L235" i="25" s="1"/>
  <c r="P84" i="11"/>
  <c r="P88" i="11" s="1"/>
  <c r="J97" i="11"/>
  <c r="BD108" i="11"/>
  <c r="BF28" i="37" s="1"/>
  <c r="CA108" i="11"/>
  <c r="CC28" i="37" s="1"/>
  <c r="CC205" i="37" s="1"/>
  <c r="O108" i="11"/>
  <c r="AN108" i="11"/>
  <c r="AP28" i="37" s="1"/>
  <c r="BC108" i="11"/>
  <c r="BE28" i="37" s="1"/>
  <c r="H108" i="11"/>
  <c r="BL108" i="11"/>
  <c r="BN28" i="37" s="1"/>
  <c r="BS108" i="11"/>
  <c r="BU28" i="37" s="1"/>
  <c r="BU205" i="37" s="1"/>
  <c r="AE108" i="11"/>
  <c r="AG31" i="37" s="1"/>
  <c r="AG32" i="37" s="1"/>
  <c r="AV108" i="11"/>
  <c r="AX28" i="37" s="1"/>
  <c r="BK108" i="11"/>
  <c r="BM28" i="37" s="1"/>
  <c r="W108" i="11"/>
  <c r="CB108" i="11"/>
  <c r="CD28" i="37" s="1"/>
  <c r="CD205" i="37" s="1"/>
  <c r="X108" i="11"/>
  <c r="AM108" i="11"/>
  <c r="AO28" i="37" s="1"/>
  <c r="BT108" i="11"/>
  <c r="BV28" i="37" s="1"/>
  <c r="BV205" i="37" s="1"/>
  <c r="AF108" i="11"/>
  <c r="AH31" i="37" s="1"/>
  <c r="AH32" i="37" s="1"/>
  <c r="P108" i="11"/>
  <c r="AU108" i="11"/>
  <c r="AW28" i="37" s="1"/>
  <c r="AD108" i="11"/>
  <c r="AF31" i="37" s="1"/>
  <c r="AF32" i="37" s="1"/>
  <c r="V108" i="11"/>
  <c r="L108" i="11"/>
  <c r="BM108" i="11"/>
  <c r="BO28" i="37" s="1"/>
  <c r="BO205" i="37" s="1"/>
  <c r="J108" i="11"/>
  <c r="BV108" i="11"/>
  <c r="BX28" i="37" s="1"/>
  <c r="BX205" i="37" s="1"/>
  <c r="AI108" i="11"/>
  <c r="AK28" i="37" s="1"/>
  <c r="BP108" i="11"/>
  <c r="BR28" i="37" s="1"/>
  <c r="BR205" i="37" s="1"/>
  <c r="BB108" i="11"/>
  <c r="BD28" i="37" s="1"/>
  <c r="AT108" i="11"/>
  <c r="AV28" i="37" s="1"/>
  <c r="AO108" i="11"/>
  <c r="AQ28" i="37" s="1"/>
  <c r="AX108" i="11"/>
  <c r="AZ28" i="37" s="1"/>
  <c r="K108" i="11"/>
  <c r="BW108" i="11"/>
  <c r="BY28" i="37" s="1"/>
  <c r="BY205" i="37" s="1"/>
  <c r="AS108" i="11"/>
  <c r="AU28" i="37" s="1"/>
  <c r="BY108" i="11"/>
  <c r="CA28" i="37" s="1"/>
  <c r="CA205" i="37" s="1"/>
  <c r="BJ108" i="11"/>
  <c r="BL28" i="37" s="1"/>
  <c r="AJ108" i="11"/>
  <c r="AL28" i="37" s="1"/>
  <c r="I108" i="11"/>
  <c r="BU108" i="11"/>
  <c r="BW28" i="37" s="1"/>
  <c r="BW205" i="37" s="1"/>
  <c r="R108" i="11"/>
  <c r="CD108" i="11"/>
  <c r="CF28" i="37" s="1"/>
  <c r="CF205" i="37" s="1"/>
  <c r="AQ108" i="11"/>
  <c r="AS28" i="37" s="1"/>
  <c r="AB108" i="11"/>
  <c r="AD31" i="37" s="1"/>
  <c r="AD32" i="37" s="1"/>
  <c r="BI108" i="11"/>
  <c r="BK28" i="37" s="1"/>
  <c r="AK108" i="11"/>
  <c r="AM28" i="37" s="1"/>
  <c r="BF108" i="11"/>
  <c r="BH28" i="37" s="1"/>
  <c r="BE108" i="11"/>
  <c r="BG28" i="37" s="1"/>
  <c r="BR108" i="11"/>
  <c r="BT28" i="37" s="1"/>
  <c r="BT205" i="37" s="1"/>
  <c r="BH108" i="11"/>
  <c r="BJ28" i="37" s="1"/>
  <c r="Q108" i="11"/>
  <c r="CC108" i="11"/>
  <c r="CE28" i="37" s="1"/>
  <c r="CE205" i="37" s="1"/>
  <c r="Z108" i="11"/>
  <c r="AY108" i="11"/>
  <c r="BA28" i="37" s="1"/>
  <c r="AZ108" i="11"/>
  <c r="BB28" i="37" s="1"/>
  <c r="N108" i="11"/>
  <c r="BQ108" i="11"/>
  <c r="BS28" i="37" s="1"/>
  <c r="BS205" i="37" s="1"/>
  <c r="AG108" i="11"/>
  <c r="AI31" i="37" s="1"/>
  <c r="AI32" i="37" s="1"/>
  <c r="AC108" i="11"/>
  <c r="AE31" i="37" s="1"/>
  <c r="AE32" i="37" s="1"/>
  <c r="CE108" i="11"/>
  <c r="CG28" i="37" s="1"/>
  <c r="CG205" i="37" s="1"/>
  <c r="BA108" i="11"/>
  <c r="BC28" i="37" s="1"/>
  <c r="BN108" i="11"/>
  <c r="BP28" i="37" s="1"/>
  <c r="BP205" i="37" s="1"/>
  <c r="BZ108" i="11"/>
  <c r="CB28" i="37" s="1"/>
  <c r="CB205" i="37" s="1"/>
  <c r="T108" i="11"/>
  <c r="AR108" i="11"/>
  <c r="AT28" i="37" s="1"/>
  <c r="U108" i="11"/>
  <c r="Y108" i="11"/>
  <c r="AH108" i="11"/>
  <c r="AJ28" i="37" s="1"/>
  <c r="BG108" i="11"/>
  <c r="BI28" i="37" s="1"/>
  <c r="BX108" i="11"/>
  <c r="BZ28" i="37" s="1"/>
  <c r="BZ205" i="37" s="1"/>
  <c r="M108" i="11"/>
  <c r="AP108" i="11"/>
  <c r="AR28" i="37" s="1"/>
  <c r="BO108" i="11"/>
  <c r="BQ28" i="37" s="1"/>
  <c r="BQ205" i="37" s="1"/>
  <c r="AL108" i="11"/>
  <c r="AN28" i="37" s="1"/>
  <c r="AW108" i="11"/>
  <c r="AY28" i="37" s="1"/>
  <c r="S108" i="11"/>
  <c r="AA108" i="11"/>
  <c r="AC31" i="37" s="1"/>
  <c r="AC32" i="37" s="1"/>
  <c r="I15" i="11"/>
  <c r="G57" i="19"/>
  <c r="K202" i="37"/>
  <c r="K134" i="37"/>
  <c r="AK26" i="37"/>
  <c r="AK129" i="37"/>
  <c r="L46" i="37"/>
  <c r="N131" i="16"/>
  <c r="N134" i="16" s="1"/>
  <c r="O131" i="16"/>
  <c r="O133" i="16" s="1"/>
  <c r="P131" i="16"/>
  <c r="P134" i="16" s="1"/>
  <c r="C14" i="18"/>
  <c r="C10" i="18"/>
  <c r="C12" i="18"/>
  <c r="Q49" i="16"/>
  <c r="M29" i="16"/>
  <c r="Q131" i="16"/>
  <c r="Q134" i="16" s="1"/>
  <c r="G91" i="23"/>
  <c r="G92" i="23" s="1"/>
  <c r="H40" i="25"/>
  <c r="G172" i="25"/>
  <c r="H227" i="25"/>
  <c r="G227" i="25" s="1"/>
  <c r="C560" i="20"/>
  <c r="C561" i="20" s="1"/>
  <c r="H3" i="11"/>
  <c r="S48" i="13"/>
  <c r="Q48" i="13"/>
  <c r="L77" i="31" s="1"/>
  <c r="Q45" i="25"/>
  <c r="Q50" i="25"/>
  <c r="F71" i="9"/>
  <c r="E956" i="20"/>
  <c r="E944" i="20"/>
  <c r="E946" i="20" s="1"/>
  <c r="E957" i="20" s="1"/>
  <c r="K9" i="16"/>
  <c r="J50" i="18"/>
  <c r="K49" i="18" s="1"/>
  <c r="K50" i="18" s="1"/>
  <c r="L49" i="18" s="1"/>
  <c r="L50" i="18" s="1"/>
  <c r="M49" i="18" s="1"/>
  <c r="M50" i="18" s="1"/>
  <c r="N49" i="18" s="1"/>
  <c r="N50" i="18" s="1"/>
  <c r="O49" i="18" s="1"/>
  <c r="O50" i="18" s="1"/>
  <c r="P49" i="18" s="1"/>
  <c r="P50" i="18" s="1"/>
  <c r="Q49" i="18" s="1"/>
  <c r="Q50" i="18" s="1"/>
  <c r="R49" i="18" s="1"/>
  <c r="R50" i="18" s="1"/>
  <c r="S49" i="18" s="1"/>
  <c r="S50" i="18" s="1"/>
  <c r="T49" i="18" s="1"/>
  <c r="T50" i="18" s="1"/>
  <c r="U49" i="18" s="1"/>
  <c r="U50" i="18" s="1"/>
  <c r="V49" i="18" s="1"/>
  <c r="V50" i="18" s="1"/>
  <c r="E21" i="14"/>
  <c r="E22" i="14" s="1"/>
  <c r="P45" i="25"/>
  <c r="P140" i="25"/>
  <c r="M88" i="11"/>
  <c r="L29" i="16"/>
  <c r="I17" i="15"/>
  <c r="R48" i="13"/>
  <c r="S9" i="13"/>
  <c r="E38" i="31" s="1"/>
  <c r="O49" i="13"/>
  <c r="H20" i="15"/>
  <c r="M11" i="20"/>
  <c r="N7" i="20"/>
  <c r="X84" i="20"/>
  <c r="X40" i="18"/>
  <c r="X3" i="18"/>
  <c r="R5" i="18"/>
  <c r="S3" i="18"/>
  <c r="AG507" i="20"/>
  <c r="AH507" i="20" s="1"/>
  <c r="J534" i="20" s="1"/>
  <c r="H534" i="20"/>
  <c r="H199" i="20"/>
  <c r="I199" i="20" s="1"/>
  <c r="M113" i="19"/>
  <c r="M115" i="19" s="1"/>
  <c r="M116" i="19" s="1"/>
  <c r="M23" i="19" s="1"/>
  <c r="L23" i="19"/>
  <c r="S131" i="16"/>
  <c r="S134" i="16" s="1"/>
  <c r="F41" i="31"/>
  <c r="H67" i="13"/>
  <c r="I67" i="13" s="1"/>
  <c r="J67" i="13" s="1"/>
  <c r="K67" i="13" s="1"/>
  <c r="L67" i="13" s="1"/>
  <c r="M67" i="13" s="1"/>
  <c r="N67" i="13" s="1"/>
  <c r="O67" i="13" s="1"/>
  <c r="P67" i="13" s="1"/>
  <c r="Q67" i="13" s="1"/>
  <c r="R67" i="13" s="1"/>
  <c r="S67" i="13" s="1"/>
  <c r="T67" i="13" s="1"/>
  <c r="U67" i="13" s="1"/>
  <c r="V67" i="13" s="1"/>
  <c r="W67" i="13" s="1"/>
  <c r="X67" i="13" s="1"/>
  <c r="Y67" i="13" s="1"/>
  <c r="Z67" i="13" s="1"/>
  <c r="AA67" i="13" s="1"/>
  <c r="AB67" i="13" s="1"/>
  <c r="AC67" i="13" s="1"/>
  <c r="AD67" i="13" s="1"/>
  <c r="AE67" i="13" s="1"/>
  <c r="AF67" i="13" s="1"/>
  <c r="AG67" i="13" s="1"/>
  <c r="AH67" i="13" s="1"/>
  <c r="AI67" i="13" s="1"/>
  <c r="AJ67" i="13" s="1"/>
  <c r="AK67" i="13" s="1"/>
  <c r="AL67" i="13" s="1"/>
  <c r="AM67" i="13" s="1"/>
  <c r="AN67" i="13" s="1"/>
  <c r="AO67" i="13" s="1"/>
  <c r="AP67" i="13" s="1"/>
  <c r="AQ67" i="13" s="1"/>
  <c r="AR67" i="13" s="1"/>
  <c r="AS67" i="13" s="1"/>
  <c r="AT67" i="13" s="1"/>
  <c r="AU67" i="13" s="1"/>
  <c r="AV67" i="13" s="1"/>
  <c r="AW67" i="13" s="1"/>
  <c r="AX67" i="13" s="1"/>
  <c r="AY67" i="13" s="1"/>
  <c r="AZ67" i="13" s="1"/>
  <c r="I4" i="15"/>
  <c r="I3" i="15" s="1"/>
  <c r="J34" i="13"/>
  <c r="J33" i="13" s="1"/>
  <c r="I58" i="13"/>
  <c r="AD22" i="18"/>
  <c r="N33" i="23" s="1"/>
  <c r="N29" i="16"/>
  <c r="R131" i="16"/>
  <c r="R133" i="16" s="1"/>
  <c r="N113" i="19"/>
  <c r="M242" i="25"/>
  <c r="L45" i="24"/>
  <c r="L46" i="24" s="1"/>
  <c r="M41" i="24" s="1"/>
  <c r="K28" i="33"/>
  <c r="L28" i="33" s="1"/>
  <c r="K31" i="29"/>
  <c r="M388" i="26"/>
  <c r="G110" i="28"/>
  <c r="F111" i="28"/>
  <c r="G117" i="28"/>
  <c r="Y43" i="29"/>
  <c r="AB6" i="27"/>
  <c r="L84" i="26"/>
  <c r="K83" i="26"/>
  <c r="AL43" i="29"/>
  <c r="S43" i="29"/>
  <c r="J10" i="23"/>
  <c r="I3" i="23"/>
  <c r="O44" i="23"/>
  <c r="P10" i="15"/>
  <c r="BH98" i="34"/>
  <c r="AY106" i="34"/>
  <c r="BH106" i="34" s="1"/>
  <c r="O45" i="23"/>
  <c r="AQ34" i="29"/>
  <c r="AQ35" i="29" s="1"/>
  <c r="AI34" i="29"/>
  <c r="AI35" i="29" s="1"/>
  <c r="AK391" i="26" s="1"/>
  <c r="AA34" i="29"/>
  <c r="AA35" i="29" s="1"/>
  <c r="AC391" i="26" s="1"/>
  <c r="S34" i="29"/>
  <c r="S35" i="29" s="1"/>
  <c r="K34" i="29"/>
  <c r="K35" i="29" s="1"/>
  <c r="M391" i="26" s="1"/>
  <c r="AO34" i="29"/>
  <c r="AO35" i="29" s="1"/>
  <c r="AQ391" i="26" s="1"/>
  <c r="AG34" i="29"/>
  <c r="AG35" i="29" s="1"/>
  <c r="AI391" i="26" s="1"/>
  <c r="Y34" i="29"/>
  <c r="Y35" i="29" s="1"/>
  <c r="AA391" i="26" s="1"/>
  <c r="Q34" i="29"/>
  <c r="Q35" i="29" s="1"/>
  <c r="S391" i="26" s="1"/>
  <c r="I34" i="29"/>
  <c r="I35" i="29" s="1"/>
  <c r="K391" i="26" s="1"/>
  <c r="AM34" i="29"/>
  <c r="AM35" i="29" s="1"/>
  <c r="AO391" i="26" s="1"/>
  <c r="AE34" i="29"/>
  <c r="AE35" i="29" s="1"/>
  <c r="AG391" i="26" s="1"/>
  <c r="W34" i="29"/>
  <c r="W35" i="29" s="1"/>
  <c r="Y391" i="26" s="1"/>
  <c r="O34" i="29"/>
  <c r="O35" i="29" s="1"/>
  <c r="Q391" i="26" s="1"/>
  <c r="G34" i="29"/>
  <c r="G35" i="29" s="1"/>
  <c r="I391" i="26" s="1"/>
  <c r="AP34" i="29"/>
  <c r="AP35" i="29" s="1"/>
  <c r="AC34" i="29"/>
  <c r="AC35" i="29" s="1"/>
  <c r="AE391" i="26" s="1"/>
  <c r="P34" i="29"/>
  <c r="P35" i="29" s="1"/>
  <c r="R391" i="26" s="1"/>
  <c r="D34" i="29"/>
  <c r="D35" i="29" s="1"/>
  <c r="F391" i="26" s="1"/>
  <c r="AL34" i="29"/>
  <c r="AL35" i="29" s="1"/>
  <c r="AN391" i="26" s="1"/>
  <c r="Z34" i="29"/>
  <c r="Z35" i="29" s="1"/>
  <c r="AB391" i="26" s="1"/>
  <c r="M34" i="29"/>
  <c r="M35" i="29" s="1"/>
  <c r="O391" i="26" s="1"/>
  <c r="AD34" i="29"/>
  <c r="AD35" i="29" s="1"/>
  <c r="L34" i="29"/>
  <c r="L35" i="29" s="1"/>
  <c r="AN34" i="29"/>
  <c r="AN35" i="29" s="1"/>
  <c r="AP391" i="26" s="1"/>
  <c r="V34" i="29"/>
  <c r="V35" i="29" s="1"/>
  <c r="X391" i="26" s="1"/>
  <c r="F34" i="29"/>
  <c r="F35" i="29" s="1"/>
  <c r="AF34" i="29"/>
  <c r="AF35" i="29" s="1"/>
  <c r="AH391" i="26" s="1"/>
  <c r="H34" i="29"/>
  <c r="H35" i="29" s="1"/>
  <c r="J391" i="26" s="1"/>
  <c r="AB34" i="29"/>
  <c r="AB35" i="29" s="1"/>
  <c r="E34" i="29"/>
  <c r="E35" i="29" s="1"/>
  <c r="G391" i="26" s="1"/>
  <c r="X34" i="29"/>
  <c r="X35" i="29" s="1"/>
  <c r="Z391" i="26" s="1"/>
  <c r="U34" i="29"/>
  <c r="U35" i="29" s="1"/>
  <c r="AR34" i="29"/>
  <c r="AR35" i="29" s="1"/>
  <c r="T34" i="29"/>
  <c r="T35" i="29" s="1"/>
  <c r="V391" i="26" s="1"/>
  <c r="AJ34" i="29"/>
  <c r="AJ35" i="29" s="1"/>
  <c r="AL391" i="26" s="1"/>
  <c r="N34" i="29"/>
  <c r="N35" i="29" s="1"/>
  <c r="P391" i="26" s="1"/>
  <c r="AK34" i="29"/>
  <c r="AK35" i="29" s="1"/>
  <c r="AH34" i="29"/>
  <c r="AH35" i="29" s="1"/>
  <c r="AJ391" i="26" s="1"/>
  <c r="R34" i="29"/>
  <c r="R35" i="29" s="1"/>
  <c r="J34" i="29"/>
  <c r="J35" i="29" s="1"/>
  <c r="L391" i="26" s="1"/>
  <c r="T31" i="29"/>
  <c r="T44" i="29" s="1"/>
  <c r="V388" i="26"/>
  <c r="AC31" i="29"/>
  <c r="AE388" i="26"/>
  <c r="Q31" i="29"/>
  <c r="S388" i="26"/>
  <c r="O110" i="28"/>
  <c r="O117" i="28"/>
  <c r="N111" i="28"/>
  <c r="L43" i="29"/>
  <c r="AL6" i="27"/>
  <c r="AR6" i="27"/>
  <c r="AK6" i="27"/>
  <c r="P288" i="26"/>
  <c r="O287" i="26"/>
  <c r="K236" i="26"/>
  <c r="L237" i="26"/>
  <c r="I367" i="26"/>
  <c r="I188" i="26"/>
  <c r="J190" i="26"/>
  <c r="V202" i="26"/>
  <c r="AA203" i="26"/>
  <c r="K180" i="26"/>
  <c r="J179" i="26"/>
  <c r="N76" i="26"/>
  <c r="O75" i="26"/>
  <c r="N74" i="26"/>
  <c r="N73" i="26" s="1"/>
  <c r="H47" i="25"/>
  <c r="J52" i="25"/>
  <c r="H52" i="25" s="1"/>
  <c r="J214" i="25"/>
  <c r="H214" i="25" s="1"/>
  <c r="H209" i="25"/>
  <c r="J10" i="22"/>
  <c r="I3" i="22"/>
  <c r="BQ63" i="23"/>
  <c r="BQ93" i="23" s="1"/>
  <c r="Q63" i="23"/>
  <c r="Q93" i="23" s="1"/>
  <c r="CX63" i="23"/>
  <c r="CX93" i="23" s="1"/>
  <c r="AX63" i="23"/>
  <c r="AX93" i="23" s="1"/>
  <c r="EW63" i="23"/>
  <c r="EW93" i="23" s="1"/>
  <c r="CF63" i="23"/>
  <c r="CF93" i="23" s="1"/>
  <c r="AP63" i="23"/>
  <c r="AP93" i="23" s="1"/>
  <c r="DY63" i="23"/>
  <c r="DY93" i="23" s="1"/>
  <c r="BX63" i="23"/>
  <c r="BX93" i="23" s="1"/>
  <c r="X63" i="23"/>
  <c r="X93" i="23" s="1"/>
  <c r="DE63" i="23"/>
  <c r="DE93" i="23" s="1"/>
  <c r="BE63" i="23"/>
  <c r="BE93" i="23" s="1"/>
  <c r="FR63" i="23"/>
  <c r="FR93" i="23" s="1"/>
  <c r="GB63" i="23"/>
  <c r="GB93" i="23" s="1"/>
  <c r="GD63" i="23"/>
  <c r="GD93" i="23" s="1"/>
  <c r="EC63" i="23"/>
  <c r="EC93" i="23" s="1"/>
  <c r="K210" i="19"/>
  <c r="J52" i="19"/>
  <c r="J51" i="19" s="1"/>
  <c r="P133" i="16"/>
  <c r="I131" i="16"/>
  <c r="Q93" i="14"/>
  <c r="Q35" i="14"/>
  <c r="J4" i="16"/>
  <c r="J3" i="16"/>
  <c r="K8" i="16"/>
  <c r="H59" i="14"/>
  <c r="H65" i="14" s="1"/>
  <c r="Y8" i="18"/>
  <c r="G7" i="14"/>
  <c r="F70" i="9"/>
  <c r="AE9" i="18"/>
  <c r="R10" i="15"/>
  <c r="K84" i="12"/>
  <c r="K21" i="19"/>
  <c r="L99" i="19"/>
  <c r="J7" i="14"/>
  <c r="J19" i="14" s="1"/>
  <c r="I70" i="9"/>
  <c r="AF8" i="18"/>
  <c r="M21" i="14"/>
  <c r="M22" i="14" s="1"/>
  <c r="K84" i="11"/>
  <c r="J83" i="11"/>
  <c r="I35" i="12"/>
  <c r="J33" i="12" s="1"/>
  <c r="J4" i="12"/>
  <c r="I3" i="12"/>
  <c r="I25" i="12"/>
  <c r="J23" i="12" s="1"/>
  <c r="I20" i="12"/>
  <c r="J18" i="12" s="1"/>
  <c r="I30" i="12"/>
  <c r="J28" i="12" s="1"/>
  <c r="AG31" i="29"/>
  <c r="AG44" i="29" s="1"/>
  <c r="AI388" i="26"/>
  <c r="E110" i="28"/>
  <c r="E117" i="28"/>
  <c r="D111" i="28"/>
  <c r="L73" i="31"/>
  <c r="L74" i="31" s="1"/>
  <c r="M117" i="28"/>
  <c r="M110" i="28"/>
  <c r="L111" i="28"/>
  <c r="AN31" i="29"/>
  <c r="AP388" i="26"/>
  <c r="M31" i="29"/>
  <c r="M44" i="29" s="1"/>
  <c r="O388" i="26"/>
  <c r="AM31" i="29"/>
  <c r="AM44" i="29" s="1"/>
  <c r="AO388" i="26"/>
  <c r="AE43" i="29"/>
  <c r="K137" i="26"/>
  <c r="J136" i="26"/>
  <c r="M59" i="26"/>
  <c r="M58" i="26" s="1"/>
  <c r="N60" i="26"/>
  <c r="L135" i="25"/>
  <c r="F50" i="31"/>
  <c r="T20" i="13"/>
  <c r="AV107" i="34"/>
  <c r="BG107" i="34" s="1"/>
  <c r="BG45" i="34"/>
  <c r="J63" i="32"/>
  <c r="J55" i="32"/>
  <c r="J47" i="32"/>
  <c r="J39" i="32"/>
  <c r="J65" i="32"/>
  <c r="J57" i="32"/>
  <c r="J49" i="32"/>
  <c r="J41" i="32"/>
  <c r="J52" i="32"/>
  <c r="J61" i="32"/>
  <c r="J45" i="32"/>
  <c r="J60" i="32"/>
  <c r="J44" i="32"/>
  <c r="J53" i="32"/>
  <c r="J37" i="32"/>
  <c r="J16" i="32" s="1"/>
  <c r="J51" i="32"/>
  <c r="N76" i="31"/>
  <c r="AZ34" i="31"/>
  <c r="P66" i="31"/>
  <c r="Q111" i="28"/>
  <c r="Q118" i="28"/>
  <c r="P112" i="28"/>
  <c r="AH31" i="29"/>
  <c r="AH44" i="29" s="1"/>
  <c r="AJ388" i="26"/>
  <c r="AK31" i="29"/>
  <c r="AK44" i="29" s="1"/>
  <c r="AM388" i="26"/>
  <c r="Y31" i="29"/>
  <c r="Y44" i="29" s="1"/>
  <c r="AA388" i="26"/>
  <c r="X43" i="29"/>
  <c r="AD43" i="29"/>
  <c r="Q43" i="29"/>
  <c r="AQ43" i="29"/>
  <c r="AV6" i="27"/>
  <c r="AD6" i="27"/>
  <c r="AJ6" i="27"/>
  <c r="Z44" i="29"/>
  <c r="J368" i="26"/>
  <c r="K285" i="26"/>
  <c r="J283" i="26"/>
  <c r="H313" i="26"/>
  <c r="J366" i="26"/>
  <c r="K197" i="26"/>
  <c r="J172" i="26"/>
  <c r="K173" i="26"/>
  <c r="K125" i="26"/>
  <c r="M142" i="26"/>
  <c r="L141" i="26"/>
  <c r="H303" i="26"/>
  <c r="H279" i="26"/>
  <c r="H262" i="26"/>
  <c r="H226" i="26"/>
  <c r="H155" i="26"/>
  <c r="H108" i="26"/>
  <c r="H31" i="26"/>
  <c r="I2" i="26"/>
  <c r="M88" i="26"/>
  <c r="BG27" i="25"/>
  <c r="AY27" i="25"/>
  <c r="AQ27" i="25"/>
  <c r="AI27" i="25"/>
  <c r="AA27" i="25"/>
  <c r="S27" i="25"/>
  <c r="BN27" i="25"/>
  <c r="BF27" i="25"/>
  <c r="AX27" i="25"/>
  <c r="AP27" i="25"/>
  <c r="AH27" i="25"/>
  <c r="Z27" i="25"/>
  <c r="R27" i="25"/>
  <c r="BM27" i="25"/>
  <c r="BE27" i="25"/>
  <c r="AW27" i="25"/>
  <c r="AO27" i="25"/>
  <c r="AG27" i="25"/>
  <c r="Y27" i="25"/>
  <c r="Q27" i="25"/>
  <c r="BL27" i="25"/>
  <c r="BD27" i="25"/>
  <c r="AV27" i="25"/>
  <c r="AN27" i="25"/>
  <c r="AF27" i="25"/>
  <c r="X27" i="25"/>
  <c r="P27" i="25"/>
  <c r="R28" i="25" s="1"/>
  <c r="BK27" i="25"/>
  <c r="BC27" i="25"/>
  <c r="AU27" i="25"/>
  <c r="AM27" i="25"/>
  <c r="AE27" i="25"/>
  <c r="W27" i="25"/>
  <c r="BJ27" i="25"/>
  <c r="BB27" i="25"/>
  <c r="AT27" i="25"/>
  <c r="AL27" i="25"/>
  <c r="AD27" i="25"/>
  <c r="V27" i="25"/>
  <c r="BI27" i="25"/>
  <c r="BA27" i="25"/>
  <c r="AS27" i="25"/>
  <c r="AK27" i="25"/>
  <c r="AC27" i="25"/>
  <c r="U27" i="25"/>
  <c r="BH27" i="25"/>
  <c r="AZ27" i="25"/>
  <c r="AR27" i="25"/>
  <c r="AJ27" i="25"/>
  <c r="AB27" i="25"/>
  <c r="T27" i="25"/>
  <c r="H23" i="25"/>
  <c r="J202" i="25"/>
  <c r="K12" i="24"/>
  <c r="J35" i="24"/>
  <c r="I58" i="22"/>
  <c r="I61" i="22" s="1"/>
  <c r="I73" i="22" s="1"/>
  <c r="J57" i="22"/>
  <c r="CB63" i="23"/>
  <c r="CB93" i="23" s="1"/>
  <c r="AB63" i="23"/>
  <c r="AB93" i="23" s="1"/>
  <c r="DI63" i="23"/>
  <c r="DI93" i="23" s="1"/>
  <c r="BI63" i="23"/>
  <c r="BI93" i="23" s="1"/>
  <c r="GC63" i="23"/>
  <c r="GC93" i="23" s="1"/>
  <c r="CP63" i="23"/>
  <c r="CP93" i="23" s="1"/>
  <c r="BA63" i="23"/>
  <c r="BA93" i="23" s="1"/>
  <c r="FE63" i="23"/>
  <c r="FE93" i="23" s="1"/>
  <c r="CH63" i="23"/>
  <c r="CH93" i="23" s="1"/>
  <c r="AH63" i="23"/>
  <c r="AH93" i="23" s="1"/>
  <c r="DP63" i="23"/>
  <c r="DP93" i="23" s="1"/>
  <c r="BP63" i="23"/>
  <c r="BP93" i="23" s="1"/>
  <c r="DX63" i="23"/>
  <c r="DX93" i="23" s="1"/>
  <c r="DZ63" i="23"/>
  <c r="DZ93" i="23" s="1"/>
  <c r="EB63" i="23"/>
  <c r="EB93" i="23" s="1"/>
  <c r="EK63" i="23"/>
  <c r="EK93" i="23" s="1"/>
  <c r="K113" i="19"/>
  <c r="J23" i="19"/>
  <c r="J129" i="16"/>
  <c r="G12" i="23"/>
  <c r="L131" i="16"/>
  <c r="I87" i="16"/>
  <c r="X22" i="13"/>
  <c r="X20" i="13" s="1"/>
  <c r="Y23" i="13"/>
  <c r="AE11" i="18"/>
  <c r="AI8" i="18"/>
  <c r="S9" i="16"/>
  <c r="P48" i="16"/>
  <c r="AF22" i="18"/>
  <c r="P33" i="23" s="1"/>
  <c r="AH31" i="18"/>
  <c r="AH30" i="18" s="1"/>
  <c r="AH27" i="18" s="1"/>
  <c r="J70" i="12"/>
  <c r="AG31" i="18"/>
  <c r="AG30" i="18" s="1"/>
  <c r="AG27" i="18" s="1"/>
  <c r="N20" i="14"/>
  <c r="N21" i="14" s="1"/>
  <c r="E949" i="20" s="1"/>
  <c r="K96" i="12"/>
  <c r="L72" i="12"/>
  <c r="O212" i="25"/>
  <c r="O213" i="25" s="1"/>
  <c r="O215" i="25" s="1"/>
  <c r="O145" i="25"/>
  <c r="O146" i="25" s="1"/>
  <c r="O148" i="25" s="1"/>
  <c r="O51" i="25"/>
  <c r="O53" i="25" s="1"/>
  <c r="O42" i="16"/>
  <c r="P48" i="13"/>
  <c r="BP76" i="12"/>
  <c r="L86" i="11"/>
  <c r="N50" i="25" s="1"/>
  <c r="L85" i="11"/>
  <c r="L76" i="12"/>
  <c r="O19" i="14"/>
  <c r="R47" i="12"/>
  <c r="M131" i="16"/>
  <c r="F101" i="28"/>
  <c r="F95" i="28"/>
  <c r="F87" i="28"/>
  <c r="G69" i="28"/>
  <c r="F81" i="28"/>
  <c r="AP43" i="29"/>
  <c r="N120" i="26"/>
  <c r="M119" i="26"/>
  <c r="M135" i="25"/>
  <c r="H135" i="25" s="1"/>
  <c r="N17" i="25"/>
  <c r="M32" i="25"/>
  <c r="J55" i="22"/>
  <c r="P31" i="29"/>
  <c r="P44" i="29" s="1"/>
  <c r="R388" i="26"/>
  <c r="V6" i="27"/>
  <c r="M72" i="26"/>
  <c r="L70" i="26"/>
  <c r="K135" i="25"/>
  <c r="L169" i="19"/>
  <c r="L168" i="19"/>
  <c r="M165" i="19" s="1"/>
  <c r="I59" i="14"/>
  <c r="I65" i="14" s="1"/>
  <c r="K38" i="31"/>
  <c r="AG22" i="18"/>
  <c r="Q33" i="23" s="1"/>
  <c r="U10" i="16"/>
  <c r="U49" i="16"/>
  <c r="AE22" i="18"/>
  <c r="L10" i="16"/>
  <c r="Q84" i="11"/>
  <c r="Q88" i="11" s="1"/>
  <c r="R83" i="11"/>
  <c r="H40" i="12"/>
  <c r="H43" i="12" s="1"/>
  <c r="L3" i="17"/>
  <c r="N106" i="33"/>
  <c r="M105" i="33"/>
  <c r="AF31" i="29"/>
  <c r="AF44" i="29" s="1"/>
  <c r="AH388" i="26"/>
  <c r="AJ43" i="29"/>
  <c r="K414" i="26"/>
  <c r="G415" i="26"/>
  <c r="L332" i="26"/>
  <c r="K331" i="26"/>
  <c r="P135" i="25"/>
  <c r="K200" i="25"/>
  <c r="K133" i="25"/>
  <c r="K111" i="25"/>
  <c r="K110" i="25" s="1"/>
  <c r="K38" i="25"/>
  <c r="L10" i="25"/>
  <c r="G351" i="20"/>
  <c r="CW63" i="23"/>
  <c r="CW93" i="23" s="1"/>
  <c r="AW63" i="23"/>
  <c r="AW93" i="23" s="1"/>
  <c r="ET63" i="23"/>
  <c r="ET93" i="23" s="1"/>
  <c r="CD63" i="23"/>
  <c r="CD93" i="23" s="1"/>
  <c r="AD63" i="23"/>
  <c r="AD93" i="23" s="1"/>
  <c r="DL63" i="23"/>
  <c r="DL93" i="23" s="1"/>
  <c r="BV63" i="23"/>
  <c r="BV93" i="23" s="1"/>
  <c r="V63" i="23"/>
  <c r="V93" i="23" s="1"/>
  <c r="DD63" i="23"/>
  <c r="DD93" i="23" s="1"/>
  <c r="BD63" i="23"/>
  <c r="BD93" i="23" s="1"/>
  <c r="FM63" i="23"/>
  <c r="FM93" i="23" s="1"/>
  <c r="CK63" i="23"/>
  <c r="CK93" i="23" s="1"/>
  <c r="EN63" i="23"/>
  <c r="EN93" i="23" s="1"/>
  <c r="EP63" i="23"/>
  <c r="EP93" i="23" s="1"/>
  <c r="ER63" i="23"/>
  <c r="ER93" i="23" s="1"/>
  <c r="FA63" i="23"/>
  <c r="FA93" i="23" s="1"/>
  <c r="T127" i="16"/>
  <c r="T10" i="16"/>
  <c r="F21" i="14"/>
  <c r="F22" i="14" s="1"/>
  <c r="Q19" i="14"/>
  <c r="Q9" i="14"/>
  <c r="P85" i="11"/>
  <c r="R26" i="25" s="1"/>
  <c r="P86" i="11"/>
  <c r="BO72" i="12"/>
  <c r="F89" i="12"/>
  <c r="J97" i="12"/>
  <c r="I13" i="12"/>
  <c r="R10" i="16"/>
  <c r="R49" i="16"/>
  <c r="J77" i="19"/>
  <c r="K7" i="19"/>
  <c r="J3" i="19"/>
  <c r="J84" i="19"/>
  <c r="J70" i="19"/>
  <c r="J63" i="19"/>
  <c r="I7" i="19"/>
  <c r="H7" i="19" s="1"/>
  <c r="G7" i="19" s="1"/>
  <c r="F7" i="19" s="1"/>
  <c r="O11" i="6"/>
  <c r="G17" i="24"/>
  <c r="X78" i="11"/>
  <c r="G31" i="29"/>
  <c r="G44" i="29" s="1"/>
  <c r="I388" i="26"/>
  <c r="F43" i="29"/>
  <c r="AN6" i="27"/>
  <c r="Q92" i="14"/>
  <c r="Q34" i="14"/>
  <c r="F20" i="18"/>
  <c r="Q21" i="16"/>
  <c r="F21" i="16" s="1"/>
  <c r="J59" i="14"/>
  <c r="J65" i="14" s="1"/>
  <c r="AL8" i="18"/>
  <c r="V9" i="16"/>
  <c r="AG8" i="18"/>
  <c r="Q9" i="16"/>
  <c r="I59" i="12"/>
  <c r="L88" i="12"/>
  <c r="L38" i="31"/>
  <c r="L36" i="31" s="1"/>
  <c r="K76" i="31"/>
  <c r="M38" i="31"/>
  <c r="AQ34" i="31"/>
  <c r="AB43" i="29"/>
  <c r="AG43" i="29"/>
  <c r="AF6" i="27"/>
  <c r="T6" i="27"/>
  <c r="L259" i="26"/>
  <c r="K258" i="26"/>
  <c r="J90" i="26"/>
  <c r="I87" i="26"/>
  <c r="BB45" i="34"/>
  <c r="BI5" i="34"/>
  <c r="G29" i="33"/>
  <c r="D30" i="33"/>
  <c r="P63" i="31"/>
  <c r="AL31" i="29"/>
  <c r="AL44" i="29" s="1"/>
  <c r="AN388" i="26"/>
  <c r="D31" i="29"/>
  <c r="D44" i="29" s="1"/>
  <c r="F388" i="26"/>
  <c r="AJ31" i="29"/>
  <c r="AJ44" i="29" s="1"/>
  <c r="AL388" i="26"/>
  <c r="W31" i="29"/>
  <c r="W44" i="29" s="1"/>
  <c r="Y388" i="26"/>
  <c r="AP59" i="29"/>
  <c r="AP60" i="29" s="1"/>
  <c r="AR387" i="26" s="1"/>
  <c r="AH59" i="29"/>
  <c r="AH60" i="29" s="1"/>
  <c r="AJ387" i="26" s="1"/>
  <c r="Z59" i="29"/>
  <c r="Z60" i="29" s="1"/>
  <c r="AB387" i="26" s="1"/>
  <c r="R59" i="29"/>
  <c r="R60" i="29" s="1"/>
  <c r="T387" i="26" s="1"/>
  <c r="J59" i="29"/>
  <c r="J60" i="29" s="1"/>
  <c r="L387" i="26" s="1"/>
  <c r="AO59" i="29"/>
  <c r="AO60" i="29" s="1"/>
  <c r="AQ387" i="26" s="1"/>
  <c r="AG59" i="29"/>
  <c r="AG60" i="29" s="1"/>
  <c r="AI387" i="26" s="1"/>
  <c r="Y59" i="29"/>
  <c r="Y60" i="29" s="1"/>
  <c r="AA387" i="26" s="1"/>
  <c r="Q59" i="29"/>
  <c r="Q60" i="29" s="1"/>
  <c r="S387" i="26" s="1"/>
  <c r="I59" i="29"/>
  <c r="I60" i="29" s="1"/>
  <c r="K387" i="26" s="1"/>
  <c r="AN59" i="29"/>
  <c r="AN60" i="29" s="1"/>
  <c r="AP387" i="26" s="1"/>
  <c r="AF59" i="29"/>
  <c r="AF60" i="29" s="1"/>
  <c r="AH387" i="26" s="1"/>
  <c r="X59" i="29"/>
  <c r="X60" i="29" s="1"/>
  <c r="Z387" i="26" s="1"/>
  <c r="P59" i="29"/>
  <c r="P60" i="29" s="1"/>
  <c r="R387" i="26" s="1"/>
  <c r="H59" i="29"/>
  <c r="H60" i="29" s="1"/>
  <c r="J387" i="26" s="1"/>
  <c r="AL59" i="29"/>
  <c r="AL60" i="29" s="1"/>
  <c r="AN387" i="26" s="1"/>
  <c r="AD59" i="29"/>
  <c r="AD60" i="29" s="1"/>
  <c r="AF387" i="26" s="1"/>
  <c r="V59" i="29"/>
  <c r="V60" i="29" s="1"/>
  <c r="X387" i="26" s="1"/>
  <c r="N59" i="29"/>
  <c r="N60" i="29" s="1"/>
  <c r="P387" i="26" s="1"/>
  <c r="F59" i="29"/>
  <c r="F60" i="29" s="1"/>
  <c r="H387" i="26" s="1"/>
  <c r="AK59" i="29"/>
  <c r="AK60" i="29" s="1"/>
  <c r="AM387" i="26" s="1"/>
  <c r="U59" i="29"/>
  <c r="U60" i="29" s="1"/>
  <c r="W387" i="26" s="1"/>
  <c r="E59" i="29"/>
  <c r="E60" i="29" s="1"/>
  <c r="G387" i="26" s="1"/>
  <c r="AI59" i="29"/>
  <c r="AI60" i="29" s="1"/>
  <c r="AK387" i="26" s="1"/>
  <c r="S59" i="29"/>
  <c r="S60" i="29" s="1"/>
  <c r="U387" i="26" s="1"/>
  <c r="AC59" i="29"/>
  <c r="AC60" i="29" s="1"/>
  <c r="AE387" i="26" s="1"/>
  <c r="M59" i="29"/>
  <c r="M60" i="29" s="1"/>
  <c r="O387" i="26" s="1"/>
  <c r="AQ59" i="29"/>
  <c r="AQ60" i="29" s="1"/>
  <c r="AS387" i="26" s="1"/>
  <c r="O59" i="29"/>
  <c r="O60" i="29" s="1"/>
  <c r="Q387" i="26" s="1"/>
  <c r="AJ59" i="29"/>
  <c r="AJ60" i="29" s="1"/>
  <c r="AL387" i="26" s="1"/>
  <c r="K59" i="29"/>
  <c r="K60" i="29" s="1"/>
  <c r="M387" i="26" s="1"/>
  <c r="AA59" i="29"/>
  <c r="AA60" i="29" s="1"/>
  <c r="AC387" i="26" s="1"/>
  <c r="L59" i="29"/>
  <c r="L60" i="29" s="1"/>
  <c r="N387" i="26" s="1"/>
  <c r="AM59" i="29"/>
  <c r="AM60" i="29" s="1"/>
  <c r="AO387" i="26" s="1"/>
  <c r="AE59" i="29"/>
  <c r="AE60" i="29" s="1"/>
  <c r="AG387" i="26" s="1"/>
  <c r="AB59" i="29"/>
  <c r="AB60" i="29" s="1"/>
  <c r="AD387" i="26" s="1"/>
  <c r="W59" i="29"/>
  <c r="W60" i="29" s="1"/>
  <c r="Y387" i="26" s="1"/>
  <c r="T59" i="29"/>
  <c r="T60" i="29" s="1"/>
  <c r="V387" i="26" s="1"/>
  <c r="G59" i="29"/>
  <c r="G60" i="29" s="1"/>
  <c r="I387" i="26" s="1"/>
  <c r="D59" i="29"/>
  <c r="D60" i="29" s="1"/>
  <c r="F387" i="26" s="1"/>
  <c r="BJ387" i="26" s="1"/>
  <c r="AR59" i="29"/>
  <c r="AR60" i="29" s="1"/>
  <c r="AT387" i="26" s="1"/>
  <c r="H43" i="29"/>
  <c r="M43" i="29"/>
  <c r="O43" i="29"/>
  <c r="AO43" i="29"/>
  <c r="AI44" i="29"/>
  <c r="X6" i="27"/>
  <c r="L6" i="27"/>
  <c r="L11" i="27"/>
  <c r="P404" i="26"/>
  <c r="P407" i="26" s="1"/>
  <c r="P410" i="26" s="1"/>
  <c r="L404" i="26"/>
  <c r="L407" i="26" s="1"/>
  <c r="L410" i="26" s="1"/>
  <c r="H404" i="26"/>
  <c r="H407" i="26" s="1"/>
  <c r="H410" i="26" s="1"/>
  <c r="K253" i="26"/>
  <c r="J252" i="26"/>
  <c r="J251" i="26" s="1"/>
  <c r="G210" i="26"/>
  <c r="M132" i="26"/>
  <c r="L131" i="26"/>
  <c r="L147" i="26"/>
  <c r="M81" i="26"/>
  <c r="L79" i="26"/>
  <c r="K47" i="26"/>
  <c r="J48" i="26"/>
  <c r="J46" i="26" s="1"/>
  <c r="G243" i="25"/>
  <c r="D244" i="25"/>
  <c r="J147" i="25"/>
  <c r="H147" i="25" s="1"/>
  <c r="H142" i="25"/>
  <c r="O105" i="23"/>
  <c r="J23" i="22"/>
  <c r="I30" i="22"/>
  <c r="Z63" i="23"/>
  <c r="Z93" i="23" s="1"/>
  <c r="DH63" i="23"/>
  <c r="DH93" i="23" s="1"/>
  <c r="BH63" i="23"/>
  <c r="BH93" i="23" s="1"/>
  <c r="FZ63" i="23"/>
  <c r="FZ93" i="23" s="1"/>
  <c r="CO63" i="23"/>
  <c r="CO93" i="23" s="1"/>
  <c r="AO63" i="23"/>
  <c r="AO93" i="23" s="1"/>
  <c r="DV63" i="23"/>
  <c r="DV93" i="23" s="1"/>
  <c r="CG63" i="23"/>
  <c r="CG93" i="23" s="1"/>
  <c r="AG63" i="23"/>
  <c r="AG93" i="23" s="1"/>
  <c r="DN63" i="23"/>
  <c r="DN93" i="23" s="1"/>
  <c r="BN63" i="23"/>
  <c r="BN93" i="23" s="1"/>
  <c r="N63" i="23"/>
  <c r="N93" i="23" s="1"/>
  <c r="CV63" i="23"/>
  <c r="CV93" i="23" s="1"/>
  <c r="EV63" i="23"/>
  <c r="EV93" i="23" s="1"/>
  <c r="EX63" i="23"/>
  <c r="EX93" i="23" s="1"/>
  <c r="EZ63" i="23"/>
  <c r="EZ93" i="23" s="1"/>
  <c r="FI63" i="23"/>
  <c r="FI93" i="23" s="1"/>
  <c r="G71" i="22"/>
  <c r="E48" i="22"/>
  <c r="O100" i="16"/>
  <c r="P99" i="16"/>
  <c r="Q99" i="16" s="1"/>
  <c r="R99" i="16" s="1"/>
  <c r="S99" i="16" s="1"/>
  <c r="T99" i="16" s="1"/>
  <c r="U99" i="16" s="1"/>
  <c r="V99" i="16" s="1"/>
  <c r="W99" i="16" s="1"/>
  <c r="X99" i="16" s="1"/>
  <c r="Y99" i="16" s="1"/>
  <c r="Z99" i="16" s="1"/>
  <c r="AA99" i="16" s="1"/>
  <c r="AB99" i="16" s="1"/>
  <c r="AC99" i="16" s="1"/>
  <c r="AD99" i="16" s="1"/>
  <c r="AE99" i="16" s="1"/>
  <c r="AF99" i="16" s="1"/>
  <c r="AG99" i="16" s="1"/>
  <c r="AH99" i="16" s="1"/>
  <c r="AI99" i="16" s="1"/>
  <c r="AJ99" i="16" s="1"/>
  <c r="AK99" i="16" s="1"/>
  <c r="AL99" i="16" s="1"/>
  <c r="AM99" i="16" s="1"/>
  <c r="AN99" i="16" s="1"/>
  <c r="AO99" i="16" s="1"/>
  <c r="AP99" i="16" s="1"/>
  <c r="AQ99" i="16" s="1"/>
  <c r="AR99" i="16" s="1"/>
  <c r="AS99" i="16" s="1"/>
  <c r="AT99" i="16" s="1"/>
  <c r="AU99" i="16" s="1"/>
  <c r="AV99" i="16" s="1"/>
  <c r="AW99" i="16" s="1"/>
  <c r="AX99" i="16" s="1"/>
  <c r="AY99" i="16" s="1"/>
  <c r="AZ99" i="16" s="1"/>
  <c r="BA99" i="16" s="1"/>
  <c r="BB99" i="16" s="1"/>
  <c r="BC99" i="16" s="1"/>
  <c r="BD99" i="16" s="1"/>
  <c r="BE99" i="16" s="1"/>
  <c r="BF99" i="16" s="1"/>
  <c r="BG99" i="16" s="1"/>
  <c r="BH99" i="16" s="1"/>
  <c r="BI99" i="16" s="1"/>
  <c r="BJ99" i="16" s="1"/>
  <c r="BK99" i="16" s="1"/>
  <c r="BL99" i="16" s="1"/>
  <c r="BM99" i="16" s="1"/>
  <c r="BN99" i="16" s="1"/>
  <c r="BO99" i="16" s="1"/>
  <c r="BP99" i="16" s="1"/>
  <c r="BQ99" i="16" s="1"/>
  <c r="BR99" i="16" s="1"/>
  <c r="BS99" i="16" s="1"/>
  <c r="BT99" i="16" s="1"/>
  <c r="BU99" i="16" s="1"/>
  <c r="BV99" i="16" s="1"/>
  <c r="BW99" i="16" s="1"/>
  <c r="BX99" i="16" s="1"/>
  <c r="BY99" i="16" s="1"/>
  <c r="BZ99" i="16" s="1"/>
  <c r="CA99" i="16" s="1"/>
  <c r="CB99" i="16" s="1"/>
  <c r="CC99" i="16" s="1"/>
  <c r="CD99" i="16" s="1"/>
  <c r="CE99" i="16" s="1"/>
  <c r="CF99" i="16" s="1"/>
  <c r="CG99" i="16" s="1"/>
  <c r="CH99" i="16" s="1"/>
  <c r="CI99" i="16" s="1"/>
  <c r="CJ99" i="16" s="1"/>
  <c r="CK99" i="16" s="1"/>
  <c r="CL99" i="16" s="1"/>
  <c r="CM99" i="16" s="1"/>
  <c r="CN99" i="16" s="1"/>
  <c r="CO99" i="16" s="1"/>
  <c r="CP99" i="16" s="1"/>
  <c r="CQ99" i="16" s="1"/>
  <c r="CR99" i="16" s="1"/>
  <c r="CS99" i="16" s="1"/>
  <c r="CT99" i="16" s="1"/>
  <c r="CU99" i="16" s="1"/>
  <c r="CV99" i="16" s="1"/>
  <c r="CW99" i="16" s="1"/>
  <c r="CX99" i="16" s="1"/>
  <c r="CY99" i="16" s="1"/>
  <c r="CZ99" i="16" s="1"/>
  <c r="DA99" i="16" s="1"/>
  <c r="DB99" i="16" s="1"/>
  <c r="DC99" i="16" s="1"/>
  <c r="DD99" i="16" s="1"/>
  <c r="DE99" i="16" s="1"/>
  <c r="DF99" i="16" s="1"/>
  <c r="DG99" i="16" s="1"/>
  <c r="DH99" i="16" s="1"/>
  <c r="DI99" i="16" s="1"/>
  <c r="DJ99" i="16" s="1"/>
  <c r="DK99" i="16" s="1"/>
  <c r="DL99" i="16" s="1"/>
  <c r="DM99" i="16" s="1"/>
  <c r="DN99" i="16" s="1"/>
  <c r="DO99" i="16" s="1"/>
  <c r="DP99" i="16" s="1"/>
  <c r="DQ99" i="16" s="1"/>
  <c r="DR99" i="16" s="1"/>
  <c r="DS99" i="16" s="1"/>
  <c r="DT99" i="16" s="1"/>
  <c r="DU99" i="16" s="1"/>
  <c r="DV99" i="16" s="1"/>
  <c r="DW99" i="16" s="1"/>
  <c r="DX99" i="16" s="1"/>
  <c r="DY99" i="16" s="1"/>
  <c r="DZ99" i="16" s="1"/>
  <c r="EA99" i="16" s="1"/>
  <c r="EB99" i="16" s="1"/>
  <c r="EC99" i="16" s="1"/>
  <c r="ED99" i="16" s="1"/>
  <c r="EE99" i="16" s="1"/>
  <c r="EF99" i="16" s="1"/>
  <c r="EG99" i="16" s="1"/>
  <c r="EH99" i="16" s="1"/>
  <c r="EI99" i="16" s="1"/>
  <c r="EJ99" i="16" s="1"/>
  <c r="EK99" i="16" s="1"/>
  <c r="EL99" i="16" s="1"/>
  <c r="EM99" i="16" s="1"/>
  <c r="EN99" i="16" s="1"/>
  <c r="EO99" i="16" s="1"/>
  <c r="EP99" i="16" s="1"/>
  <c r="EQ99" i="16" s="1"/>
  <c r="ER99" i="16" s="1"/>
  <c r="ES99" i="16" s="1"/>
  <c r="ET99" i="16" s="1"/>
  <c r="EU99" i="16" s="1"/>
  <c r="EV99" i="16" s="1"/>
  <c r="EW99" i="16" s="1"/>
  <c r="EX99" i="16" s="1"/>
  <c r="EY99" i="16" s="1"/>
  <c r="EZ99" i="16" s="1"/>
  <c r="FA99" i="16" s="1"/>
  <c r="FB99" i="16" s="1"/>
  <c r="FC99" i="16" s="1"/>
  <c r="FD99" i="16" s="1"/>
  <c r="FE99" i="16" s="1"/>
  <c r="FF99" i="16" s="1"/>
  <c r="FG99" i="16" s="1"/>
  <c r="FH99" i="16" s="1"/>
  <c r="FI99" i="16" s="1"/>
  <c r="FJ99" i="16" s="1"/>
  <c r="FK99" i="16" s="1"/>
  <c r="FL99" i="16" s="1"/>
  <c r="FM99" i="16" s="1"/>
  <c r="FN99" i="16" s="1"/>
  <c r="FO99" i="16" s="1"/>
  <c r="FP99" i="16" s="1"/>
  <c r="FQ99" i="16" s="1"/>
  <c r="FR99" i="16" s="1"/>
  <c r="FS99" i="16" s="1"/>
  <c r="FT99" i="16" s="1"/>
  <c r="FU99" i="16" s="1"/>
  <c r="FV99" i="16" s="1"/>
  <c r="FW99" i="16" s="1"/>
  <c r="FX99" i="16" s="1"/>
  <c r="FY99" i="16" s="1"/>
  <c r="K131" i="16"/>
  <c r="Q91" i="14"/>
  <c r="Q33" i="14"/>
  <c r="I7" i="14"/>
  <c r="H70" i="9"/>
  <c r="X8" i="18"/>
  <c r="AE10" i="18"/>
  <c r="AD8" i="18"/>
  <c r="N9" i="16"/>
  <c r="L106" i="19"/>
  <c r="K22" i="19"/>
  <c r="D49" i="31"/>
  <c r="R9" i="13"/>
  <c r="D38" i="31" s="1"/>
  <c r="W22" i="13"/>
  <c r="W20" i="13" s="1"/>
  <c r="M10" i="16"/>
  <c r="R5" i="14"/>
  <c r="R6" i="14"/>
  <c r="I8" i="12"/>
  <c r="GG4" i="16"/>
  <c r="GD40" i="16"/>
  <c r="GH4" i="16" s="1"/>
  <c r="P31" i="11"/>
  <c r="AH22" i="18"/>
  <c r="R33" i="23" s="1"/>
  <c r="J15" i="11"/>
  <c r="K16" i="11"/>
  <c r="K229" i="19"/>
  <c r="L229" i="19" s="1"/>
  <c r="M229" i="19" s="1"/>
  <c r="N229" i="19" s="1"/>
  <c r="O229" i="19" s="1"/>
  <c r="P229" i="19" s="1"/>
  <c r="Q229" i="19" s="1"/>
  <c r="R229" i="19" s="1"/>
  <c r="S229" i="19" s="1"/>
  <c r="T229" i="19" s="1"/>
  <c r="U229" i="19" s="1"/>
  <c r="V229" i="19" s="1"/>
  <c r="W229" i="19" s="1"/>
  <c r="X229" i="19" s="1"/>
  <c r="Y229" i="19" s="1"/>
  <c r="Z229" i="19" s="1"/>
  <c r="AA229" i="19" s="1"/>
  <c r="AB229" i="19" s="1"/>
  <c r="AC229" i="19" s="1"/>
  <c r="AD229" i="19" s="1"/>
  <c r="AE229" i="19" s="1"/>
  <c r="AF229" i="19" s="1"/>
  <c r="AG229" i="19" s="1"/>
  <c r="AH229" i="19" s="1"/>
  <c r="AI229" i="19" s="1"/>
  <c r="AJ229" i="19" s="1"/>
  <c r="AK229" i="19" s="1"/>
  <c r="AL229" i="19" s="1"/>
  <c r="AM229" i="19" s="1"/>
  <c r="AN229" i="19" s="1"/>
  <c r="AO229" i="19" s="1"/>
  <c r="AP229" i="19" s="1"/>
  <c r="AQ229" i="19" s="1"/>
  <c r="AR229" i="19" s="1"/>
  <c r="AS229" i="19" s="1"/>
  <c r="AT229" i="19" s="1"/>
  <c r="AU229" i="19" s="1"/>
  <c r="AV229" i="19" s="1"/>
  <c r="AW229" i="19" s="1"/>
  <c r="AX229" i="19" s="1"/>
  <c r="AY229" i="19" s="1"/>
  <c r="AZ229" i="19" s="1"/>
  <c r="BA229" i="19" s="1"/>
  <c r="BB229" i="19" s="1"/>
  <c r="F40" i="31"/>
  <c r="T10" i="13"/>
  <c r="P51" i="23"/>
  <c r="AF17" i="18" s="1"/>
  <c r="AF16" i="18" s="1"/>
  <c r="Q6" i="15"/>
  <c r="J12" i="33"/>
  <c r="H12" i="33"/>
  <c r="I12" i="33" s="1"/>
  <c r="I120" i="28"/>
  <c r="H114" i="28"/>
  <c r="X31" i="29"/>
  <c r="X44" i="29" s="1"/>
  <c r="Z388" i="26"/>
  <c r="O31" i="29"/>
  <c r="O44" i="29" s="1"/>
  <c r="Q388" i="26"/>
  <c r="AO31" i="29"/>
  <c r="AO44" i="29" s="1"/>
  <c r="AQ388" i="26"/>
  <c r="J75" i="28"/>
  <c r="I14" i="26"/>
  <c r="G43" i="29"/>
  <c r="N6" i="27"/>
  <c r="N11" i="27"/>
  <c r="AA6" i="27"/>
  <c r="T407" i="26"/>
  <c r="T410" i="26" s="1"/>
  <c r="T411" i="26" s="1"/>
  <c r="R51" i="23"/>
  <c r="AH17" i="18" s="1"/>
  <c r="AH16" i="18" s="1"/>
  <c r="S6" i="15"/>
  <c r="S5" i="15" s="1"/>
  <c r="BE5" i="34"/>
  <c r="E120" i="28"/>
  <c r="D114" i="28"/>
  <c r="AY107" i="34"/>
  <c r="BH107" i="34" s="1"/>
  <c r="BH45" i="34"/>
  <c r="BF45" i="34"/>
  <c r="J43" i="32"/>
  <c r="I111" i="28"/>
  <c r="I118" i="28"/>
  <c r="H112" i="28"/>
  <c r="N31" i="29"/>
  <c r="N44" i="29" s="1"/>
  <c r="P388" i="26"/>
  <c r="V31" i="29"/>
  <c r="V44" i="29" s="1"/>
  <c r="X388" i="26"/>
  <c r="E31" i="29"/>
  <c r="E44" i="29" s="1"/>
  <c r="G388" i="26"/>
  <c r="AE31" i="29"/>
  <c r="AE44" i="29" s="1"/>
  <c r="AG388" i="26"/>
  <c r="R43" i="29"/>
  <c r="AF43" i="29"/>
  <c r="Z43" i="29"/>
  <c r="W43" i="29"/>
  <c r="K43" i="29"/>
  <c r="P6" i="27"/>
  <c r="O413" i="26"/>
  <c r="J323" i="26"/>
  <c r="J322" i="26" s="1"/>
  <c r="K324" i="26"/>
  <c r="W206" i="26"/>
  <c r="T202" i="26"/>
  <c r="I135" i="26"/>
  <c r="K122" i="26"/>
  <c r="J121" i="26"/>
  <c r="G7" i="26"/>
  <c r="H22" i="24" s="1"/>
  <c r="G81" i="25"/>
  <c r="L81" i="25" s="1"/>
  <c r="H81" i="25" s="1"/>
  <c r="C81" i="25" s="1"/>
  <c r="D82" i="25"/>
  <c r="O135" i="25"/>
  <c r="AK63" i="23"/>
  <c r="AK93" i="23" s="1"/>
  <c r="DR63" i="23"/>
  <c r="DR93" i="23" s="1"/>
  <c r="BR63" i="23"/>
  <c r="BR93" i="23" s="1"/>
  <c r="R63" i="23"/>
  <c r="R93" i="23" s="1"/>
  <c r="CZ63" i="23"/>
  <c r="CZ93" i="23" s="1"/>
  <c r="AZ63" i="23"/>
  <c r="AZ93" i="23" s="1"/>
  <c r="FB63" i="23"/>
  <c r="FB93" i="23" s="1"/>
  <c r="CR63" i="23"/>
  <c r="CR93" i="23" s="1"/>
  <c r="AR63" i="23"/>
  <c r="AR93" i="23" s="1"/>
  <c r="ED63" i="23"/>
  <c r="ED93" i="23" s="1"/>
  <c r="BY63" i="23"/>
  <c r="BY93" i="23" s="1"/>
  <c r="Y63" i="23"/>
  <c r="Y93" i="23" s="1"/>
  <c r="DF63" i="23"/>
  <c r="DF93" i="23" s="1"/>
  <c r="FD63" i="23"/>
  <c r="FD93" i="23" s="1"/>
  <c r="FF63" i="23"/>
  <c r="FF93" i="23" s="1"/>
  <c r="FH63" i="23"/>
  <c r="FH93" i="23" s="1"/>
  <c r="FQ63" i="23"/>
  <c r="FQ93" i="23" s="1"/>
  <c r="G49" i="22"/>
  <c r="K240" i="19"/>
  <c r="Z5" i="18"/>
  <c r="Y35" i="18"/>
  <c r="Y40" i="18"/>
  <c r="Y3" i="18"/>
  <c r="H12" i="23"/>
  <c r="J20" i="14"/>
  <c r="J21" i="14" s="1"/>
  <c r="J22" i="14" s="1"/>
  <c r="W8" i="18"/>
  <c r="Z8" i="18"/>
  <c r="E91" i="14"/>
  <c r="F65" i="14"/>
  <c r="F68" i="14" s="1"/>
  <c r="G68" i="14" s="1"/>
  <c r="H68" i="14" s="1"/>
  <c r="I68" i="14" s="1"/>
  <c r="I10" i="11"/>
  <c r="J17" i="15" s="1"/>
  <c r="I3" i="11"/>
  <c r="J8" i="11"/>
  <c r="E182" i="20"/>
  <c r="Q46" i="14"/>
  <c r="P7" i="14"/>
  <c r="O70" i="9"/>
  <c r="K13" i="23"/>
  <c r="AA7" i="18"/>
  <c r="P50" i="25"/>
  <c r="E71" i="9"/>
  <c r="E72" i="9" s="1"/>
  <c r="E74" i="9" s="1"/>
  <c r="K59" i="14"/>
  <c r="K65" i="14" s="1"/>
  <c r="BO84" i="12"/>
  <c r="L95" i="11"/>
  <c r="M94" i="11"/>
  <c r="M24" i="11"/>
  <c r="N13" i="14"/>
  <c r="M14" i="14"/>
  <c r="M15" i="14" s="1"/>
  <c r="L209" i="19"/>
  <c r="K212" i="19"/>
  <c r="T43" i="29"/>
  <c r="M11" i="27"/>
  <c r="I12" i="27"/>
  <c r="I6" i="27" s="1"/>
  <c r="M6" i="27"/>
  <c r="J314" i="26"/>
  <c r="I313" i="26"/>
  <c r="I57" i="26"/>
  <c r="J1" i="26"/>
  <c r="J81" i="23"/>
  <c r="O47" i="16"/>
  <c r="L27" i="33"/>
  <c r="K27" i="33"/>
  <c r="G9" i="26"/>
  <c r="G11" i="26"/>
  <c r="F10" i="26"/>
  <c r="G238" i="25"/>
  <c r="G241" i="25"/>
  <c r="L241" i="25" s="1"/>
  <c r="H241" i="25" s="1"/>
  <c r="C241" i="25" s="1"/>
  <c r="G239" i="25"/>
  <c r="G240" i="25"/>
  <c r="G78" i="25"/>
  <c r="G79" i="25"/>
  <c r="BF66" i="34"/>
  <c r="BE66" i="34"/>
  <c r="AS98" i="34"/>
  <c r="Q51" i="23"/>
  <c r="AG17" i="18" s="1"/>
  <c r="AG16" i="18" s="1"/>
  <c r="R6" i="15"/>
  <c r="R5" i="15" s="1"/>
  <c r="AT107" i="34"/>
  <c r="J58" i="32"/>
  <c r="J46" i="32"/>
  <c r="M76" i="31"/>
  <c r="AW34" i="31"/>
  <c r="H31" i="29"/>
  <c r="H44" i="29" s="1"/>
  <c r="J388" i="26"/>
  <c r="U31" i="29"/>
  <c r="U44" i="29" s="1"/>
  <c r="W388" i="26"/>
  <c r="I31" i="29"/>
  <c r="I44" i="29" s="1"/>
  <c r="K388" i="26"/>
  <c r="J31" i="29"/>
  <c r="J44" i="29" s="1"/>
  <c r="L388" i="26"/>
  <c r="AA31" i="29"/>
  <c r="AA44" i="29" s="1"/>
  <c r="AC388" i="26"/>
  <c r="V43" i="29"/>
  <c r="AH43" i="29"/>
  <c r="D43" i="29"/>
  <c r="D45" i="29" s="1"/>
  <c r="AM43" i="29"/>
  <c r="AA43" i="29"/>
  <c r="AT6" i="27"/>
  <c r="AZ6" i="27"/>
  <c r="T412" i="26"/>
  <c r="AS6" i="27"/>
  <c r="Q202" i="26"/>
  <c r="K183" i="26"/>
  <c r="K182" i="26" s="1"/>
  <c r="L184" i="26"/>
  <c r="F7" i="26"/>
  <c r="G22" i="24" s="1"/>
  <c r="H160" i="25"/>
  <c r="G160" i="25" s="1"/>
  <c r="G173" i="25"/>
  <c r="D174" i="25"/>
  <c r="N135" i="25"/>
  <c r="BF63" i="23"/>
  <c r="BF93" i="23" s="1"/>
  <c r="FU63" i="23"/>
  <c r="FU93" i="23" s="1"/>
  <c r="CN63" i="23"/>
  <c r="CN93" i="23" s="1"/>
  <c r="AN63" i="23"/>
  <c r="AN93" i="23" s="1"/>
  <c r="DU63" i="23"/>
  <c r="DU93" i="23" s="1"/>
  <c r="BU63" i="23"/>
  <c r="BU93" i="23" s="1"/>
  <c r="AF63" i="23"/>
  <c r="AF93" i="23" s="1"/>
  <c r="DM63" i="23"/>
  <c r="DM93" i="23" s="1"/>
  <c r="BM63" i="23"/>
  <c r="BM93" i="23" s="1"/>
  <c r="M63" i="23"/>
  <c r="M93" i="23" s="1"/>
  <c r="CT63" i="23"/>
  <c r="CT93" i="23" s="1"/>
  <c r="AT63" i="23"/>
  <c r="AT93" i="23" s="1"/>
  <c r="EL63" i="23"/>
  <c r="EL93" i="23" s="1"/>
  <c r="FT63" i="23"/>
  <c r="FT93" i="23" s="1"/>
  <c r="FV63" i="23"/>
  <c r="FV93" i="23" s="1"/>
  <c r="FX63" i="23"/>
  <c r="FX93" i="23" s="1"/>
  <c r="I37" i="22"/>
  <c r="H270" i="20"/>
  <c r="O11" i="23"/>
  <c r="F46" i="21"/>
  <c r="F49" i="18"/>
  <c r="J93" i="16"/>
  <c r="T3" i="13"/>
  <c r="H7" i="14"/>
  <c r="G70" i="9"/>
  <c r="S92" i="12"/>
  <c r="I20" i="15"/>
  <c r="K7" i="14"/>
  <c r="J70" i="9"/>
  <c r="N92" i="12"/>
  <c r="L80" i="12"/>
  <c r="K96" i="11"/>
  <c r="K97" i="11"/>
  <c r="H6" i="23"/>
  <c r="H5" i="23" s="1"/>
  <c r="L5" i="16"/>
  <c r="I53" i="13"/>
  <c r="I44" i="12"/>
  <c r="I21" i="12" s="1"/>
  <c r="L4" i="21"/>
  <c r="AK27" i="37" l="1"/>
  <c r="P24" i="25"/>
  <c r="AJ31" i="37"/>
  <c r="AJ32" i="37" s="1"/>
  <c r="S28" i="25"/>
  <c r="AK31" i="37"/>
  <c r="AK32" i="37" s="1"/>
  <c r="AA205" i="37"/>
  <c r="AA137" i="37"/>
  <c r="AA49" i="37"/>
  <c r="AA31" i="37"/>
  <c r="AA32" i="37" s="1"/>
  <c r="S205" i="37"/>
  <c r="S137" i="37"/>
  <c r="S49" i="37"/>
  <c r="S31" i="37"/>
  <c r="S32" i="37" s="1"/>
  <c r="S37" i="37" s="1"/>
  <c r="S61" i="37" s="1"/>
  <c r="R205" i="37"/>
  <c r="R137" i="37"/>
  <c r="R49" i="37"/>
  <c r="R31" i="37"/>
  <c r="R32" i="37" s="1"/>
  <c r="R37" i="37" s="1"/>
  <c r="R61" i="37" s="1"/>
  <c r="CC49" i="37"/>
  <c r="CC137" i="37"/>
  <c r="W205" i="37"/>
  <c r="W137" i="37"/>
  <c r="W49" i="37"/>
  <c r="W31" i="37"/>
  <c r="W32" i="37" s="1"/>
  <c r="CF49" i="37"/>
  <c r="CF137" i="37"/>
  <c r="BY49" i="37"/>
  <c r="BY137" i="37"/>
  <c r="BX49" i="37"/>
  <c r="BX137" i="37"/>
  <c r="BQ49" i="37"/>
  <c r="BQ137" i="37"/>
  <c r="BS49" i="37"/>
  <c r="BS137" i="37"/>
  <c r="BT49" i="37"/>
  <c r="BT137" i="37"/>
  <c r="T205" i="37"/>
  <c r="T137" i="37"/>
  <c r="T49" i="37"/>
  <c r="T31" i="37"/>
  <c r="T32" i="37" s="1"/>
  <c r="T37" i="37" s="1"/>
  <c r="M137" i="37"/>
  <c r="M205" i="37"/>
  <c r="M49" i="37"/>
  <c r="L137" i="37"/>
  <c r="L205" i="37"/>
  <c r="L49" i="37"/>
  <c r="BV49" i="37"/>
  <c r="BV137" i="37"/>
  <c r="BU49" i="37"/>
  <c r="BU137" i="37"/>
  <c r="V49" i="37"/>
  <c r="V205" i="37"/>
  <c r="V137" i="37"/>
  <c r="V31" i="37"/>
  <c r="V32" i="37" s="1"/>
  <c r="P49" i="37"/>
  <c r="P205" i="37"/>
  <c r="P137" i="37"/>
  <c r="P31" i="37"/>
  <c r="P32" i="37" s="1"/>
  <c r="P37" i="37" s="1"/>
  <c r="P61" i="37" s="1"/>
  <c r="BW137" i="37"/>
  <c r="BW49" i="37"/>
  <c r="BO49" i="37"/>
  <c r="BO137" i="37"/>
  <c r="O205" i="37"/>
  <c r="O49" i="37"/>
  <c r="O137" i="37"/>
  <c r="CB49" i="37"/>
  <c r="CB137" i="37"/>
  <c r="K137" i="37"/>
  <c r="K205" i="37"/>
  <c r="K49" i="37"/>
  <c r="N205" i="37"/>
  <c r="N49" i="37"/>
  <c r="N137" i="37"/>
  <c r="Z205" i="37"/>
  <c r="Z137" i="37"/>
  <c r="Z49" i="37"/>
  <c r="Z31" i="37"/>
  <c r="Z32" i="37" s="1"/>
  <c r="J205" i="37"/>
  <c r="J49" i="37"/>
  <c r="BZ49" i="37"/>
  <c r="BZ137" i="37"/>
  <c r="BP137" i="37"/>
  <c r="BP49" i="37"/>
  <c r="X205" i="37"/>
  <c r="X137" i="37"/>
  <c r="X49" i="37"/>
  <c r="X31" i="37"/>
  <c r="X32" i="37" s="1"/>
  <c r="CD49" i="37"/>
  <c r="CD137" i="37"/>
  <c r="AB137" i="37"/>
  <c r="AB49" i="37"/>
  <c r="AB205" i="37"/>
  <c r="AB31" i="37"/>
  <c r="AB32" i="37" s="1"/>
  <c r="Y205" i="37"/>
  <c r="Y137" i="37"/>
  <c r="Y49" i="37"/>
  <c r="Y31" i="37"/>
  <c r="Y32" i="37" s="1"/>
  <c r="U49" i="37"/>
  <c r="U205" i="37"/>
  <c r="U137" i="37"/>
  <c r="U31" i="37"/>
  <c r="U32" i="37" s="1"/>
  <c r="U37" i="37" s="1"/>
  <c r="CG49" i="37"/>
  <c r="CG137" i="37"/>
  <c r="CE49" i="37"/>
  <c r="CE137" i="37"/>
  <c r="CA49" i="37"/>
  <c r="CA137" i="37"/>
  <c r="BR49" i="37"/>
  <c r="BR137" i="37"/>
  <c r="Q205" i="37"/>
  <c r="Q137" i="37"/>
  <c r="Q49" i="37"/>
  <c r="Q31" i="37"/>
  <c r="Q32" i="37" s="1"/>
  <c r="Q37" i="37" s="1"/>
  <c r="Q61" i="37" s="1"/>
  <c r="AL129" i="37"/>
  <c r="AL26" i="37"/>
  <c r="L202" i="37"/>
  <c r="L134" i="37"/>
  <c r="M46" i="37"/>
  <c r="O132" i="16"/>
  <c r="O134" i="16"/>
  <c r="N132" i="16"/>
  <c r="R134" i="16"/>
  <c r="N133" i="16"/>
  <c r="N135" i="16" s="1"/>
  <c r="S133" i="16"/>
  <c r="P132" i="16"/>
  <c r="P135" i="16" s="1"/>
  <c r="S132" i="16"/>
  <c r="Q132" i="16"/>
  <c r="R132" i="16"/>
  <c r="R135" i="16" s="1"/>
  <c r="Q133" i="16"/>
  <c r="AS28" i="25"/>
  <c r="AP28" i="25"/>
  <c r="AV28" i="25"/>
  <c r="AU28" i="25"/>
  <c r="AQ117" i="23"/>
  <c r="CE117" i="23"/>
  <c r="CO117" i="23"/>
  <c r="FK118" i="23"/>
  <c r="AK118" i="23"/>
  <c r="DI110" i="23"/>
  <c r="DZ45" i="18" s="1"/>
  <c r="GB118" i="23"/>
  <c r="CZ110" i="23"/>
  <c r="DQ45" i="18" s="1"/>
  <c r="O119" i="23"/>
  <c r="Y118" i="23"/>
  <c r="J30" i="12"/>
  <c r="L88" i="11"/>
  <c r="BQ118" i="23"/>
  <c r="J68" i="14"/>
  <c r="K68" i="14" s="1"/>
  <c r="AR110" i="23"/>
  <c r="BI45" i="18" s="1"/>
  <c r="CA110" i="23"/>
  <c r="CR45" i="18" s="1"/>
  <c r="FD119" i="23"/>
  <c r="Q212" i="25"/>
  <c r="Q213" i="25" s="1"/>
  <c r="Q215" i="25" s="1"/>
  <c r="Q51" i="25"/>
  <c r="Q53" i="25" s="1"/>
  <c r="Q145" i="25"/>
  <c r="Q146" i="25" s="1"/>
  <c r="Q148" i="25" s="1"/>
  <c r="AW117" i="23"/>
  <c r="BP117" i="23"/>
  <c r="FT117" i="23"/>
  <c r="AB110" i="23"/>
  <c r="AS45" i="18" s="1"/>
  <c r="AV119" i="23"/>
  <c r="FH119" i="23"/>
  <c r="J58" i="13"/>
  <c r="N22" i="14"/>
  <c r="N57" i="14"/>
  <c r="N11" i="20"/>
  <c r="O7" i="20"/>
  <c r="Y84" i="20"/>
  <c r="Q5" i="18"/>
  <c r="R3" i="18"/>
  <c r="C562" i="20"/>
  <c r="I534" i="20"/>
  <c r="AI507" i="20"/>
  <c r="K534" i="20" s="1"/>
  <c r="DW119" i="23"/>
  <c r="BM119" i="23"/>
  <c r="BY121" i="23"/>
  <c r="EK120" i="23"/>
  <c r="CA120" i="23"/>
  <c r="P110" i="23"/>
  <c r="AG45" i="18" s="1"/>
  <c r="DP110" i="23"/>
  <c r="EG45" i="18" s="1"/>
  <c r="AY117" i="23"/>
  <c r="BI118" i="23"/>
  <c r="AU119" i="23"/>
  <c r="CI110" i="23"/>
  <c r="CZ45" i="18" s="1"/>
  <c r="CN117" i="23"/>
  <c r="Q120" i="23"/>
  <c r="CW117" i="23"/>
  <c r="FS118" i="23"/>
  <c r="DQ110" i="23"/>
  <c r="EH45" i="18" s="1"/>
  <c r="BH119" i="23"/>
  <c r="AG118" i="23"/>
  <c r="FT119" i="23"/>
  <c r="BX119" i="23"/>
  <c r="AC110" i="23"/>
  <c r="AT45" i="18" s="1"/>
  <c r="H120" i="23"/>
  <c r="DY119" i="23"/>
  <c r="EK121" i="23"/>
  <c r="W121" i="23"/>
  <c r="EM120" i="23"/>
  <c r="DO110" i="23"/>
  <c r="EF45" i="18" s="1"/>
  <c r="EN110" i="23"/>
  <c r="FE45" i="18" s="1"/>
  <c r="AW119" i="23"/>
  <c r="O117" i="23"/>
  <c r="AA110" i="23"/>
  <c r="AR45" i="18" s="1"/>
  <c r="CO110" i="23"/>
  <c r="DF45" i="18" s="1"/>
  <c r="L121" i="23"/>
  <c r="CI121" i="23"/>
  <c r="Y121" i="23"/>
  <c r="CB119" i="23"/>
  <c r="CV117" i="23"/>
  <c r="FA117" i="23"/>
  <c r="FU110" i="23"/>
  <c r="CK118" i="23"/>
  <c r="BM117" i="23"/>
  <c r="BT120" i="23"/>
  <c r="BO119" i="23"/>
  <c r="AG117" i="23"/>
  <c r="BH110" i="23"/>
  <c r="BY45" i="18" s="1"/>
  <c r="DC117" i="23"/>
  <c r="CW118" i="23"/>
  <c r="CO119" i="23"/>
  <c r="EM110" i="23"/>
  <c r="FD45" i="18" s="1"/>
  <c r="EB117" i="23"/>
  <c r="EV110" i="23"/>
  <c r="FM45" i="18" s="1"/>
  <c r="FI117" i="23"/>
  <c r="CF119" i="23"/>
  <c r="GC110" i="23"/>
  <c r="W117" i="23"/>
  <c r="CS118" i="23"/>
  <c r="AI110" i="23"/>
  <c r="AZ45" i="18" s="1"/>
  <c r="DY117" i="23"/>
  <c r="FA110" i="23"/>
  <c r="FR45" i="18" s="1"/>
  <c r="EF120" i="23"/>
  <c r="BX121" i="23"/>
  <c r="EA119" i="23"/>
  <c r="EU121" i="23"/>
  <c r="CK121" i="23"/>
  <c r="CB110" i="23"/>
  <c r="CS45" i="18" s="1"/>
  <c r="DU118" i="23"/>
  <c r="EU110" i="23"/>
  <c r="FL45" i="18" s="1"/>
  <c r="AM118" i="23"/>
  <c r="BD118" i="23"/>
  <c r="CU110" i="23"/>
  <c r="DL45" i="18" s="1"/>
  <c r="AR118" i="23"/>
  <c r="T120" i="23"/>
  <c r="EW121" i="23"/>
  <c r="AJ110" i="23"/>
  <c r="BA45" i="18" s="1"/>
  <c r="DH110" i="23"/>
  <c r="DY45" i="18" s="1"/>
  <c r="CR110" i="23"/>
  <c r="DI45" i="18" s="1"/>
  <c r="EQ117" i="23"/>
  <c r="EC118" i="23"/>
  <c r="AE120" i="23"/>
  <c r="GA110" i="23"/>
  <c r="FH117" i="23"/>
  <c r="AC117" i="23"/>
  <c r="AU118" i="23"/>
  <c r="AI120" i="23"/>
  <c r="BL118" i="23"/>
  <c r="CI117" i="23"/>
  <c r="FE118" i="23"/>
  <c r="FG110" i="23"/>
  <c r="FX45" i="18" s="1"/>
  <c r="BW118" i="23"/>
  <c r="DD118" i="23"/>
  <c r="FU120" i="23"/>
  <c r="BG120" i="23"/>
  <c r="CF120" i="23"/>
  <c r="X121" i="23"/>
  <c r="K34" i="13"/>
  <c r="K33" i="13" s="1"/>
  <c r="J4" i="15"/>
  <c r="J3" i="15" s="1"/>
  <c r="DK117" i="23"/>
  <c r="EZ117" i="23"/>
  <c r="S120" i="23"/>
  <c r="EW118" i="23"/>
  <c r="EJ121" i="23"/>
  <c r="EB110" i="23"/>
  <c r="ES45" i="18" s="1"/>
  <c r="AZ110" i="23"/>
  <c r="BQ45" i="18" s="1"/>
  <c r="DX110" i="23"/>
  <c r="EO45" i="18" s="1"/>
  <c r="FO117" i="23"/>
  <c r="FI118" i="23"/>
  <c r="AW120" i="23"/>
  <c r="AB117" i="23"/>
  <c r="P119" i="23"/>
  <c r="AK117" i="23"/>
  <c r="CY118" i="23"/>
  <c r="AW110" i="23"/>
  <c r="BN45" i="18" s="1"/>
  <c r="DP118" i="23"/>
  <c r="EM117" i="23"/>
  <c r="AI119" i="23"/>
  <c r="AV117" i="23"/>
  <c r="EI118" i="23"/>
  <c r="FP118" i="23"/>
  <c r="BG121" i="23"/>
  <c r="DS120" i="23"/>
  <c r="ER120" i="23"/>
  <c r="CJ121" i="23"/>
  <c r="H110" i="23"/>
  <c r="Y45" i="18" s="1"/>
  <c r="FL119" i="23"/>
  <c r="GB110" i="23"/>
  <c r="CA117" i="23"/>
  <c r="K118" i="23"/>
  <c r="DI120" i="23"/>
  <c r="EK119" i="23"/>
  <c r="Q117" i="23"/>
  <c r="EZ110" i="23"/>
  <c r="FQ45" i="18" s="1"/>
  <c r="S117" i="23"/>
  <c r="FW117" i="23"/>
  <c r="G119" i="23"/>
  <c r="BC110" i="23"/>
  <c r="BT45" i="18" s="1"/>
  <c r="AJ117" i="23"/>
  <c r="AN119" i="23"/>
  <c r="BQ117" i="23"/>
  <c r="DG118" i="23"/>
  <c r="BE110" i="23"/>
  <c r="BV45" i="18" s="1"/>
  <c r="DX118" i="23"/>
  <c r="EU117" i="23"/>
  <c r="AQ119" i="23"/>
  <c r="DH117" i="23"/>
  <c r="AC119" i="23"/>
  <c r="BK119" i="23"/>
  <c r="DS121" i="23"/>
  <c r="M121" i="23"/>
  <c r="BY120" i="23"/>
  <c r="EV121" i="23"/>
  <c r="P411" i="26"/>
  <c r="P412" i="26"/>
  <c r="H412" i="26"/>
  <c r="H411" i="26"/>
  <c r="H413" i="26"/>
  <c r="H414" i="26"/>
  <c r="M45" i="24"/>
  <c r="M46" i="24" s="1"/>
  <c r="N41" i="24"/>
  <c r="L411" i="26"/>
  <c r="L412" i="26"/>
  <c r="L413" i="26"/>
  <c r="O13" i="14"/>
  <c r="N14" i="14"/>
  <c r="Q5" i="15"/>
  <c r="BB107" i="34"/>
  <c r="BI107" i="34" s="1"/>
  <c r="BI45" i="34"/>
  <c r="I31" i="12"/>
  <c r="O33" i="23"/>
  <c r="K9" i="14"/>
  <c r="K19" i="14"/>
  <c r="K20" i="14" s="1"/>
  <c r="T92" i="12"/>
  <c r="H9" i="14"/>
  <c r="H19" i="14"/>
  <c r="H20" i="14" s="1"/>
  <c r="M77" i="31"/>
  <c r="M73" i="31"/>
  <c r="M74" i="31" s="1"/>
  <c r="K81" i="23"/>
  <c r="M95" i="11"/>
  <c r="N94" i="11"/>
  <c r="I26" i="26"/>
  <c r="I13" i="26"/>
  <c r="F39" i="31"/>
  <c r="T30" i="13"/>
  <c r="T31" i="13" s="1"/>
  <c r="T9" i="13"/>
  <c r="F38" i="31" s="1"/>
  <c r="M36" i="31" s="1"/>
  <c r="L110" i="23"/>
  <c r="AC45" i="18" s="1"/>
  <c r="BT110" i="23"/>
  <c r="CK45" i="18" s="1"/>
  <c r="EJ110" i="23"/>
  <c r="FA45" i="18" s="1"/>
  <c r="W110" i="23"/>
  <c r="AN45" i="18" s="1"/>
  <c r="CJ110" i="23"/>
  <c r="DA45" i="18" s="1"/>
  <c r="FP110" i="23"/>
  <c r="K117" i="23"/>
  <c r="BW117" i="23"/>
  <c r="EI117" i="23"/>
  <c r="AC118" i="23"/>
  <c r="CO118" i="23"/>
  <c r="FA118" i="23"/>
  <c r="AM119" i="23"/>
  <c r="EV119" i="23"/>
  <c r="AU110" i="23"/>
  <c r="BL45" i="18" s="1"/>
  <c r="DG110" i="23"/>
  <c r="DX45" i="18" s="1"/>
  <c r="FS110" i="23"/>
  <c r="BH117" i="23"/>
  <c r="DT117" i="23"/>
  <c r="H119" i="23"/>
  <c r="DD119" i="23"/>
  <c r="FT110" i="23"/>
  <c r="BI117" i="23"/>
  <c r="DU117" i="23"/>
  <c r="G118" i="23"/>
  <c r="BS118" i="23"/>
  <c r="EE118" i="23"/>
  <c r="Q119" i="23"/>
  <c r="DT119" i="23"/>
  <c r="Q110" i="23"/>
  <c r="AH45" i="18" s="1"/>
  <c r="CC110" i="23"/>
  <c r="CT45" i="18" s="1"/>
  <c r="EO110" i="23"/>
  <c r="FF45" i="18" s="1"/>
  <c r="X118" i="23"/>
  <c r="CJ118" i="23"/>
  <c r="EV118" i="23"/>
  <c r="U120" i="23"/>
  <c r="AU117" i="23"/>
  <c r="DG117" i="23"/>
  <c r="FS117" i="23"/>
  <c r="BE118" i="23"/>
  <c r="DQ118" i="23"/>
  <c r="GC118" i="23"/>
  <c r="CV119" i="23"/>
  <c r="AM120" i="23"/>
  <c r="BG110" i="23"/>
  <c r="BX45" i="18" s="1"/>
  <c r="DS110" i="23"/>
  <c r="EJ45" i="18" s="1"/>
  <c r="H117" i="23"/>
  <c r="BT117" i="23"/>
  <c r="EF117" i="23"/>
  <c r="T119" i="23"/>
  <c r="I120" i="23"/>
  <c r="CK117" i="23"/>
  <c r="EW117" i="23"/>
  <c r="AI118" i="23"/>
  <c r="CU118" i="23"/>
  <c r="FG118" i="23"/>
  <c r="BL119" i="23"/>
  <c r="AA120" i="23"/>
  <c r="BA110" i="23"/>
  <c r="BR45" i="18" s="1"/>
  <c r="DM110" i="23"/>
  <c r="ED45" i="18" s="1"/>
  <c r="FY110" i="23"/>
  <c r="BP118" i="23"/>
  <c r="EB118" i="23"/>
  <c r="CN119" i="23"/>
  <c r="CI119" i="23"/>
  <c r="EU119" i="23"/>
  <c r="AF120" i="23"/>
  <c r="CR120" i="23"/>
  <c r="FD120" i="23"/>
  <c r="EG120" i="23"/>
  <c r="S121" i="23"/>
  <c r="CE121" i="23"/>
  <c r="EQ121" i="23"/>
  <c r="CK119" i="23"/>
  <c r="EW119" i="23"/>
  <c r="AJ121" i="23"/>
  <c r="CV121" i="23"/>
  <c r="FH121" i="23"/>
  <c r="CE120" i="23"/>
  <c r="EQ120" i="23"/>
  <c r="AK121" i="23"/>
  <c r="CW121" i="23"/>
  <c r="FI121" i="23"/>
  <c r="CM119" i="23"/>
  <c r="EY119" i="23"/>
  <c r="AR120" i="23"/>
  <c r="DD120" i="23"/>
  <c r="FP120" i="23"/>
  <c r="CW120" i="23"/>
  <c r="FI120" i="23"/>
  <c r="AU121" i="23"/>
  <c r="DG121" i="23"/>
  <c r="FS121" i="23"/>
  <c r="FI119" i="23"/>
  <c r="AV121" i="23"/>
  <c r="DH121" i="23"/>
  <c r="FT121" i="23"/>
  <c r="CY120" i="23"/>
  <c r="FK120" i="23"/>
  <c r="AW121" i="23"/>
  <c r="DI121" i="23"/>
  <c r="FU121" i="23"/>
  <c r="AC8" i="18"/>
  <c r="R50" i="25"/>
  <c r="G71" i="9"/>
  <c r="G72" i="9" s="1"/>
  <c r="G74" i="9" s="1"/>
  <c r="L133" i="25"/>
  <c r="L111" i="25"/>
  <c r="L110" i="25" s="1"/>
  <c r="L200" i="25"/>
  <c r="L38" i="25"/>
  <c r="M10" i="25"/>
  <c r="M3" i="17"/>
  <c r="Q86" i="11"/>
  <c r="Q85" i="11"/>
  <c r="S26" i="25" s="1"/>
  <c r="G101" i="28"/>
  <c r="G95" i="28"/>
  <c r="G87" i="28"/>
  <c r="G81" i="28"/>
  <c r="H69" i="28"/>
  <c r="M134" i="16"/>
  <c r="M133" i="16"/>
  <c r="M132" i="16"/>
  <c r="K115" i="19"/>
  <c r="K121" i="19" s="1"/>
  <c r="I121" i="19" s="1"/>
  <c r="K117" i="19"/>
  <c r="BL28" i="25"/>
  <c r="Y28" i="25"/>
  <c r="AX28" i="25"/>
  <c r="AJ28" i="25"/>
  <c r="BI28" i="25"/>
  <c r="V28" i="25"/>
  <c r="BC28" i="25"/>
  <c r="K366" i="26"/>
  <c r="L197" i="26"/>
  <c r="AC43" i="29"/>
  <c r="L137" i="26"/>
  <c r="K136" i="26"/>
  <c r="AN44" i="29"/>
  <c r="K10" i="22"/>
  <c r="J3" i="22"/>
  <c r="J367" i="26"/>
  <c r="J188" i="26"/>
  <c r="K190" i="26"/>
  <c r="P43" i="29"/>
  <c r="Q44" i="29"/>
  <c r="AM391" i="26"/>
  <c r="AK43" i="29"/>
  <c r="AD391" i="26"/>
  <c r="AB44" i="29"/>
  <c r="L242" i="25"/>
  <c r="H242" i="25" s="1"/>
  <c r="C242" i="25" s="1"/>
  <c r="L97" i="11"/>
  <c r="L96" i="11"/>
  <c r="O202" i="25"/>
  <c r="K75" i="28"/>
  <c r="J14" i="26"/>
  <c r="EC117" i="23"/>
  <c r="O118" i="23"/>
  <c r="CA118" i="23"/>
  <c r="EM118" i="23"/>
  <c r="Y119" i="23"/>
  <c r="EJ119" i="23"/>
  <c r="Y110" i="23"/>
  <c r="AP45" i="18" s="1"/>
  <c r="CK110" i="23"/>
  <c r="DB45" i="18" s="1"/>
  <c r="EW110" i="23"/>
  <c r="FN45" i="18" s="1"/>
  <c r="AF118" i="23"/>
  <c r="CR118" i="23"/>
  <c r="FD118" i="23"/>
  <c r="AK120" i="23"/>
  <c r="BC117" i="23"/>
  <c r="DO117" i="23"/>
  <c r="GA117" i="23"/>
  <c r="BM118" i="23"/>
  <c r="DY118" i="23"/>
  <c r="K119" i="23"/>
  <c r="DH119" i="23"/>
  <c r="CC120" i="23"/>
  <c r="BO110" i="23"/>
  <c r="CF45" i="18" s="1"/>
  <c r="EA110" i="23"/>
  <c r="ER45" i="18" s="1"/>
  <c r="P117" i="23"/>
  <c r="CB117" i="23"/>
  <c r="EN117" i="23"/>
  <c r="AB119" i="23"/>
  <c r="Y120" i="23"/>
  <c r="CS117" i="23"/>
  <c r="FE117" i="23"/>
  <c r="AQ118" i="23"/>
  <c r="DC118" i="23"/>
  <c r="FO118" i="23"/>
  <c r="BY119" i="23"/>
  <c r="AS120" i="23"/>
  <c r="BI110" i="23"/>
  <c r="BZ45" i="18" s="1"/>
  <c r="DU110" i="23"/>
  <c r="EL45" i="18" s="1"/>
  <c r="L118" i="23"/>
  <c r="BX118" i="23"/>
  <c r="EJ118" i="23"/>
  <c r="CZ119" i="23"/>
  <c r="CQ119" i="23"/>
  <c r="FC119" i="23"/>
  <c r="AN120" i="23"/>
  <c r="CZ120" i="23"/>
  <c r="FL120" i="23"/>
  <c r="EO120" i="23"/>
  <c r="AA121" i="23"/>
  <c r="CM121" i="23"/>
  <c r="EY121" i="23"/>
  <c r="CS119" i="23"/>
  <c r="FE119" i="23"/>
  <c r="AR121" i="23"/>
  <c r="DD121" i="23"/>
  <c r="FP121" i="23"/>
  <c r="CM120" i="23"/>
  <c r="EY120" i="23"/>
  <c r="AS121" i="23"/>
  <c r="DE121" i="23"/>
  <c r="FQ121" i="23"/>
  <c r="CU119" i="23"/>
  <c r="FG119" i="23"/>
  <c r="AZ120" i="23"/>
  <c r="DL120" i="23"/>
  <c r="FX120" i="23"/>
  <c r="DE120" i="23"/>
  <c r="FQ120" i="23"/>
  <c r="BC121" i="23"/>
  <c r="DO121" i="23"/>
  <c r="GA121" i="23"/>
  <c r="FQ119" i="23"/>
  <c r="BD121" i="23"/>
  <c r="DP121" i="23"/>
  <c r="GB121" i="23"/>
  <c r="DG120" i="23"/>
  <c r="FS120" i="23"/>
  <c r="BE121" i="23"/>
  <c r="DQ121" i="23"/>
  <c r="GC121" i="23"/>
  <c r="Q31" i="11"/>
  <c r="N13" i="23"/>
  <c r="AD7" i="18"/>
  <c r="Q32" i="14"/>
  <c r="Q40" i="14" s="1"/>
  <c r="Q58" i="14" s="1"/>
  <c r="FY101" i="16"/>
  <c r="FZ99" i="16"/>
  <c r="K46" i="26"/>
  <c r="K48" i="26"/>
  <c r="L47" i="26"/>
  <c r="M259" i="26"/>
  <c r="L258" i="26"/>
  <c r="P76" i="31"/>
  <c r="AH8" i="18"/>
  <c r="R9" i="16"/>
  <c r="BP72" i="12"/>
  <c r="R207" i="25"/>
  <c r="R140" i="25"/>
  <c r="R45" i="25"/>
  <c r="AJ8" i="18"/>
  <c r="AB8" i="18"/>
  <c r="N32" i="25"/>
  <c r="O17" i="25"/>
  <c r="AG28" i="25"/>
  <c r="BF28" i="25"/>
  <c r="AR28" i="25"/>
  <c r="AD28" i="25"/>
  <c r="BK28" i="25"/>
  <c r="N88" i="26"/>
  <c r="F49" i="31"/>
  <c r="Q17" i="14"/>
  <c r="H938" i="20" s="1"/>
  <c r="J84" i="11"/>
  <c r="K88" i="11" s="1"/>
  <c r="I83" i="11"/>
  <c r="M84" i="26"/>
  <c r="L83" i="26"/>
  <c r="K44" i="29"/>
  <c r="N5" i="27"/>
  <c r="N10" i="27"/>
  <c r="N4" i="27" s="1"/>
  <c r="K133" i="16"/>
  <c r="K132" i="16"/>
  <c r="K134" i="16"/>
  <c r="M4" i="21"/>
  <c r="M80" i="12"/>
  <c r="J20" i="15"/>
  <c r="F6" i="26"/>
  <c r="F8" i="26" s="1"/>
  <c r="F5" i="26"/>
  <c r="C5" i="26" s="1"/>
  <c r="P9" i="14"/>
  <c r="P19" i="14"/>
  <c r="W202" i="26"/>
  <c r="Z206" i="26"/>
  <c r="U3" i="13"/>
  <c r="M209" i="19"/>
  <c r="N209" i="19" s="1"/>
  <c r="O209" i="19" s="1"/>
  <c r="P209" i="19" s="1"/>
  <c r="Q209" i="19" s="1"/>
  <c r="R209" i="19" s="1"/>
  <c r="S209" i="19" s="1"/>
  <c r="T209" i="19" s="1"/>
  <c r="U209" i="19" s="1"/>
  <c r="V209" i="19" s="1"/>
  <c r="W209" i="19" s="1"/>
  <c r="X209" i="19" s="1"/>
  <c r="Y209" i="19" s="1"/>
  <c r="Z209" i="19" s="1"/>
  <c r="AA209" i="19" s="1"/>
  <c r="AB209" i="19" s="1"/>
  <c r="AC209" i="19" s="1"/>
  <c r="AD209" i="19" s="1"/>
  <c r="AE209" i="19" s="1"/>
  <c r="AF209" i="19" s="1"/>
  <c r="AG209" i="19" s="1"/>
  <c r="AH209" i="19" s="1"/>
  <c r="AI209" i="19" s="1"/>
  <c r="AJ209" i="19" s="1"/>
  <c r="AK209" i="19" s="1"/>
  <c r="AL209" i="19" s="1"/>
  <c r="AM209" i="19" s="1"/>
  <c r="AN209" i="19" s="1"/>
  <c r="AO209" i="19" s="1"/>
  <c r="AP209" i="19" s="1"/>
  <c r="AQ209" i="19" s="1"/>
  <c r="AR209" i="19" s="1"/>
  <c r="AS209" i="19" s="1"/>
  <c r="AT209" i="19" s="1"/>
  <c r="AU209" i="19" s="1"/>
  <c r="AV209" i="19" s="1"/>
  <c r="AW209" i="19" s="1"/>
  <c r="AX209" i="19" s="1"/>
  <c r="AY209" i="19" s="1"/>
  <c r="AZ209" i="19" s="1"/>
  <c r="BA209" i="19" s="1"/>
  <c r="BB209" i="19" s="1"/>
  <c r="L212" i="19"/>
  <c r="L213" i="19" s="1"/>
  <c r="BP84" i="12"/>
  <c r="P212" i="25"/>
  <c r="P213" i="25" s="1"/>
  <c r="P215" i="25" s="1"/>
  <c r="P145" i="25"/>
  <c r="P146" i="25" s="1"/>
  <c r="P148" i="25" s="1"/>
  <c r="P51" i="25"/>
  <c r="P53" i="25" s="1"/>
  <c r="K242" i="19"/>
  <c r="D83" i="25"/>
  <c r="G82" i="25"/>
  <c r="K323" i="26"/>
  <c r="K322" i="26" s="1"/>
  <c r="L324" i="26"/>
  <c r="BP110" i="23"/>
  <c r="CG45" i="18" s="1"/>
  <c r="EF110" i="23"/>
  <c r="EW45" i="18" s="1"/>
  <c r="T110" i="23"/>
  <c r="AK45" i="18" s="1"/>
  <c r="CF110" i="23"/>
  <c r="CW45" i="18" s="1"/>
  <c r="FH110" i="23"/>
  <c r="FY45" i="18" s="1"/>
  <c r="AF110" i="23"/>
  <c r="AW45" i="18" s="1"/>
  <c r="AA117" i="23"/>
  <c r="CM117" i="23"/>
  <c r="EY117" i="23"/>
  <c r="AS118" i="23"/>
  <c r="DE118" i="23"/>
  <c r="FQ118" i="23"/>
  <c r="BD119" i="23"/>
  <c r="GB119" i="23"/>
  <c r="BK110" i="23"/>
  <c r="CB45" i="18" s="1"/>
  <c r="DW110" i="23"/>
  <c r="EN45" i="18" s="1"/>
  <c r="L117" i="23"/>
  <c r="BX117" i="23"/>
  <c r="EJ117" i="23"/>
  <c r="X119" i="23"/>
  <c r="AG120" i="23"/>
  <c r="M117" i="23"/>
  <c r="BY117" i="23"/>
  <c r="EK117" i="23"/>
  <c r="W118" i="23"/>
  <c r="CI118" i="23"/>
  <c r="EU118" i="23"/>
  <c r="AG119" i="23"/>
  <c r="EZ119" i="23"/>
  <c r="AG110" i="23"/>
  <c r="AX45" i="18" s="1"/>
  <c r="CS110" i="23"/>
  <c r="DJ45" i="18" s="1"/>
  <c r="FE110" i="23"/>
  <c r="FV45" i="18" s="1"/>
  <c r="AN118" i="23"/>
  <c r="CZ118" i="23"/>
  <c r="FL118" i="23"/>
  <c r="BU120" i="23"/>
  <c r="BK117" i="23"/>
  <c r="DW117" i="23"/>
  <c r="I118" i="23"/>
  <c r="BU118" i="23"/>
  <c r="EG118" i="23"/>
  <c r="S119" i="23"/>
  <c r="DX119" i="23"/>
  <c r="K110" i="23"/>
  <c r="AB45" i="18" s="1"/>
  <c r="BW110" i="23"/>
  <c r="CN45" i="18" s="1"/>
  <c r="EI110" i="23"/>
  <c r="EZ45" i="18" s="1"/>
  <c r="X117" i="23"/>
  <c r="CJ117" i="23"/>
  <c r="EV117" i="23"/>
  <c r="AJ119" i="23"/>
  <c r="AO120" i="23"/>
  <c r="DA117" i="23"/>
  <c r="FM117" i="23"/>
  <c r="AY118" i="23"/>
  <c r="DK118" i="23"/>
  <c r="FW118" i="23"/>
  <c r="DL119" i="23"/>
  <c r="CS120" i="23"/>
  <c r="BQ110" i="23"/>
  <c r="CH45" i="18" s="1"/>
  <c r="EC110" i="23"/>
  <c r="ET45" i="18" s="1"/>
  <c r="T118" i="23"/>
  <c r="CF118" i="23"/>
  <c r="ER118" i="23"/>
  <c r="M120" i="23"/>
  <c r="CY119" i="23"/>
  <c r="FK119" i="23"/>
  <c r="AV120" i="23"/>
  <c r="DH120" i="23"/>
  <c r="FT120" i="23"/>
  <c r="EW120" i="23"/>
  <c r="AI121" i="23"/>
  <c r="CU121" i="23"/>
  <c r="FG121" i="23"/>
  <c r="DA119" i="23"/>
  <c r="FM119" i="23"/>
  <c r="AZ121" i="23"/>
  <c r="DL121" i="23"/>
  <c r="FX121" i="23"/>
  <c r="CU120" i="23"/>
  <c r="FG120" i="23"/>
  <c r="BA121" i="23"/>
  <c r="DM121" i="23"/>
  <c r="FY121" i="23"/>
  <c r="DC119" i="23"/>
  <c r="FO119" i="23"/>
  <c r="BH120" i="23"/>
  <c r="DT120" i="23"/>
  <c r="BA120" i="23"/>
  <c r="DM120" i="23"/>
  <c r="FY120" i="23"/>
  <c r="BK121" i="23"/>
  <c r="DW121" i="23"/>
  <c r="DM119" i="23"/>
  <c r="FY119" i="23"/>
  <c r="BL121" i="23"/>
  <c r="DX121" i="23"/>
  <c r="BC120" i="23"/>
  <c r="DO120" i="23"/>
  <c r="GA120" i="23"/>
  <c r="BM121" i="23"/>
  <c r="DY121" i="23"/>
  <c r="K15" i="11"/>
  <c r="L16" i="11"/>
  <c r="I19" i="14"/>
  <c r="I20" i="14" s="1"/>
  <c r="I9" i="14"/>
  <c r="L253" i="26"/>
  <c r="K252" i="26"/>
  <c r="K251" i="26" s="1"/>
  <c r="D31" i="33"/>
  <c r="G30" i="33"/>
  <c r="F30" i="33"/>
  <c r="K77" i="31"/>
  <c r="K73" i="31"/>
  <c r="K74" i="31" s="1"/>
  <c r="H17" i="24"/>
  <c r="X79" i="11"/>
  <c r="J91" i="19"/>
  <c r="I63" i="19"/>
  <c r="I91" i="19" s="1"/>
  <c r="K63" i="19"/>
  <c r="L63" i="19" s="1"/>
  <c r="I16" i="12"/>
  <c r="L331" i="26"/>
  <c r="M332" i="26"/>
  <c r="K202" i="25"/>
  <c r="N212" i="25"/>
  <c r="N213" i="25" s="1"/>
  <c r="N215" i="25" s="1"/>
  <c r="N145" i="25"/>
  <c r="N146" i="25" s="1"/>
  <c r="N148" i="25" s="1"/>
  <c r="N51" i="25"/>
  <c r="N53" i="25" s="1"/>
  <c r="P16" i="16"/>
  <c r="P49" i="16"/>
  <c r="J87" i="16"/>
  <c r="P28" i="25"/>
  <c r="AO28" i="25"/>
  <c r="BN28" i="25"/>
  <c r="AA28" i="25"/>
  <c r="AZ28" i="25"/>
  <c r="AL28" i="25"/>
  <c r="I303" i="26"/>
  <c r="I262" i="26"/>
  <c r="I279" i="26"/>
  <c r="I226" i="26"/>
  <c r="I155" i="26"/>
  <c r="I108" i="26"/>
  <c r="J2" i="26"/>
  <c r="I31" i="26"/>
  <c r="AN43" i="29"/>
  <c r="M116" i="28"/>
  <c r="M121" i="28" s="1"/>
  <c r="F70" i="28" s="1"/>
  <c r="L110" i="28"/>
  <c r="E116" i="28"/>
  <c r="E121" i="28" s="1"/>
  <c r="F66" i="28" s="1"/>
  <c r="D110" i="28"/>
  <c r="K86" i="11"/>
  <c r="M50" i="25" s="1"/>
  <c r="K85" i="11"/>
  <c r="F72" i="9"/>
  <c r="F74" i="9" s="1"/>
  <c r="O76" i="26"/>
  <c r="P75" i="26"/>
  <c r="O74" i="26"/>
  <c r="O73" i="26" s="1"/>
  <c r="E43" i="29"/>
  <c r="AC44" i="29"/>
  <c r="U391" i="26"/>
  <c r="S44" i="29"/>
  <c r="K10" i="23"/>
  <c r="J3" i="23"/>
  <c r="G23" i="24"/>
  <c r="J10" i="11"/>
  <c r="K17" i="15" s="1"/>
  <c r="J3" i="11"/>
  <c r="K8" i="11"/>
  <c r="O135" i="16"/>
  <c r="I270" i="20"/>
  <c r="N202" i="25"/>
  <c r="G6" i="26"/>
  <c r="G8" i="26" s="1"/>
  <c r="CV110" i="23"/>
  <c r="DM45" i="18" s="1"/>
  <c r="Y117" i="23"/>
  <c r="AV110" i="23"/>
  <c r="BM45" i="18" s="1"/>
  <c r="DL110" i="23"/>
  <c r="EC45" i="18" s="1"/>
  <c r="G110" i="23"/>
  <c r="BL110" i="23"/>
  <c r="CC45" i="18" s="1"/>
  <c r="AI117" i="23"/>
  <c r="CU117" i="23"/>
  <c r="FG117" i="23"/>
  <c r="BA118" i="23"/>
  <c r="DM118" i="23"/>
  <c r="FY118" i="23"/>
  <c r="BP119" i="23"/>
  <c r="O120" i="23"/>
  <c r="BS110" i="23"/>
  <c r="CJ45" i="18" s="1"/>
  <c r="EE110" i="23"/>
  <c r="EV45" i="18" s="1"/>
  <c r="T117" i="23"/>
  <c r="CF117" i="23"/>
  <c r="ER117" i="23"/>
  <c r="AF119" i="23"/>
  <c r="BE120" i="23"/>
  <c r="U117" i="23"/>
  <c r="CG117" i="23"/>
  <c r="ES117" i="23"/>
  <c r="AE118" i="23"/>
  <c r="CQ118" i="23"/>
  <c r="FC118" i="23"/>
  <c r="AO119" i="23"/>
  <c r="FP119" i="23"/>
  <c r="AO110" i="23"/>
  <c r="BF45" i="18" s="1"/>
  <c r="DA110" i="23"/>
  <c r="DR45" i="18" s="1"/>
  <c r="FM110" i="23"/>
  <c r="GD45" i="18" s="1"/>
  <c r="AV118" i="23"/>
  <c r="DH118" i="23"/>
  <c r="FT118" i="23"/>
  <c r="G117" i="23"/>
  <c r="BS117" i="23"/>
  <c r="EE117" i="23"/>
  <c r="Q118" i="23"/>
  <c r="CC118" i="23"/>
  <c r="EO118" i="23"/>
  <c r="AA119" i="23"/>
  <c r="EN119" i="23"/>
  <c r="S110" i="23"/>
  <c r="AJ45" i="18" s="1"/>
  <c r="CE110" i="23"/>
  <c r="CV45" i="18" s="1"/>
  <c r="EQ110" i="23"/>
  <c r="FH45" i="18" s="1"/>
  <c r="AF117" i="23"/>
  <c r="CR117" i="23"/>
  <c r="FD117" i="23"/>
  <c r="AR119" i="23"/>
  <c r="CK120" i="23"/>
  <c r="DI117" i="23"/>
  <c r="FU117" i="23"/>
  <c r="BG118" i="23"/>
  <c r="DS118" i="23"/>
  <c r="M119" i="23"/>
  <c r="EB119" i="23"/>
  <c r="M110" i="23"/>
  <c r="AD45" i="18" s="1"/>
  <c r="BY110" i="23"/>
  <c r="CP45" i="18" s="1"/>
  <c r="EK110" i="23"/>
  <c r="FB45" i="18" s="1"/>
  <c r="AB118" i="23"/>
  <c r="CN118" i="23"/>
  <c r="EZ118" i="23"/>
  <c r="AC120" i="23"/>
  <c r="DG119" i="23"/>
  <c r="FS119" i="23"/>
  <c r="BD120" i="23"/>
  <c r="DP120" i="23"/>
  <c r="GB120" i="23"/>
  <c r="FE120" i="23"/>
  <c r="AQ121" i="23"/>
  <c r="DC121" i="23"/>
  <c r="FO121" i="23"/>
  <c r="DI119" i="23"/>
  <c r="FU119" i="23"/>
  <c r="BH121" i="23"/>
  <c r="DT121" i="23"/>
  <c r="AQ120" i="23"/>
  <c r="DC120" i="23"/>
  <c r="FO120" i="23"/>
  <c r="BI121" i="23"/>
  <c r="DU121" i="23"/>
  <c r="AY119" i="23"/>
  <c r="DK119" i="23"/>
  <c r="FW119" i="23"/>
  <c r="BP120" i="23"/>
  <c r="EB120" i="23"/>
  <c r="BI120" i="23"/>
  <c r="DU120" i="23"/>
  <c r="G121" i="23"/>
  <c r="BS121" i="23"/>
  <c r="EE121" i="23"/>
  <c r="DU119" i="23"/>
  <c r="H121" i="23"/>
  <c r="BT121" i="23"/>
  <c r="EF121" i="23"/>
  <c r="BK120" i="23"/>
  <c r="DW120" i="23"/>
  <c r="I121" i="23"/>
  <c r="BU121" i="23"/>
  <c r="EG121" i="23"/>
  <c r="M79" i="26"/>
  <c r="N81" i="26"/>
  <c r="L29" i="33"/>
  <c r="K29" i="33"/>
  <c r="J98" i="19"/>
  <c r="K70" i="19"/>
  <c r="L70" i="19" s="1"/>
  <c r="M70" i="19" s="1"/>
  <c r="N70" i="19" s="1"/>
  <c r="O70" i="19" s="1"/>
  <c r="P70" i="19" s="1"/>
  <c r="Q70" i="19" s="1"/>
  <c r="R70" i="19" s="1"/>
  <c r="S70" i="19" s="1"/>
  <c r="T70" i="19" s="1"/>
  <c r="U70" i="19" s="1"/>
  <c r="V70" i="19" s="1"/>
  <c r="W70" i="19" s="1"/>
  <c r="X70" i="19" s="1"/>
  <c r="Y70" i="19" s="1"/>
  <c r="Z70" i="19" s="1"/>
  <c r="AA70" i="19" s="1"/>
  <c r="AB70" i="19" s="1"/>
  <c r="AC70" i="19" s="1"/>
  <c r="AD70" i="19" s="1"/>
  <c r="AE70" i="19" s="1"/>
  <c r="AF70" i="19" s="1"/>
  <c r="AG70" i="19" s="1"/>
  <c r="AH70" i="19" s="1"/>
  <c r="AI70" i="19" s="1"/>
  <c r="AJ70" i="19" s="1"/>
  <c r="AK70" i="19" s="1"/>
  <c r="AL70" i="19" s="1"/>
  <c r="AM70" i="19" s="1"/>
  <c r="AN70" i="19" s="1"/>
  <c r="AO70" i="19" s="1"/>
  <c r="AP70" i="19" s="1"/>
  <c r="AQ70" i="19" s="1"/>
  <c r="AR70" i="19" s="1"/>
  <c r="AS70" i="19" s="1"/>
  <c r="AT70" i="19" s="1"/>
  <c r="AU70" i="19" s="1"/>
  <c r="AV70" i="19" s="1"/>
  <c r="AW70" i="19" s="1"/>
  <c r="AX70" i="19" s="1"/>
  <c r="AY70" i="19" s="1"/>
  <c r="AZ70" i="19" s="1"/>
  <c r="BA70" i="19" s="1"/>
  <c r="BB70" i="19" s="1"/>
  <c r="I70" i="19"/>
  <c r="I98" i="19" s="1"/>
  <c r="W41" i="18"/>
  <c r="M202" i="25"/>
  <c r="BQ76" i="12"/>
  <c r="M72" i="12"/>
  <c r="K70" i="12"/>
  <c r="K57" i="22"/>
  <c r="J58" i="22"/>
  <c r="J61" i="22" s="1"/>
  <c r="J73" i="22" s="1"/>
  <c r="K25" i="25"/>
  <c r="J25" i="25"/>
  <c r="O25" i="25"/>
  <c r="N25" i="25"/>
  <c r="M25" i="25"/>
  <c r="L25" i="25"/>
  <c r="X28" i="25"/>
  <c r="AW28" i="25"/>
  <c r="AI28" i="25"/>
  <c r="BH28" i="25"/>
  <c r="U28" i="25"/>
  <c r="AT28" i="25"/>
  <c r="N142" i="26"/>
  <c r="M141" i="26"/>
  <c r="Q117" i="28"/>
  <c r="P111" i="28"/>
  <c r="Q110" i="28"/>
  <c r="G9" i="14"/>
  <c r="G19" i="14"/>
  <c r="G20" i="14" s="1"/>
  <c r="M237" i="26"/>
  <c r="L236" i="26"/>
  <c r="N43" i="29"/>
  <c r="H391" i="26"/>
  <c r="F44" i="29"/>
  <c r="N115" i="19"/>
  <c r="N116" i="19" s="1"/>
  <c r="G174" i="25"/>
  <c r="L174" i="25" s="1"/>
  <c r="H174" i="25" s="1"/>
  <c r="C174" i="25" s="1"/>
  <c r="D175" i="25"/>
  <c r="K1" i="26"/>
  <c r="J57" i="26"/>
  <c r="M5" i="27"/>
  <c r="M10" i="27"/>
  <c r="M4" i="27" s="1"/>
  <c r="Q45" i="14"/>
  <c r="Q51" i="14" s="1"/>
  <c r="S413" i="26"/>
  <c r="T413" i="26" s="1"/>
  <c r="P413" i="26"/>
  <c r="H13" i="33"/>
  <c r="I13" i="33" s="1"/>
  <c r="J13" i="33" s="1"/>
  <c r="CM110" i="23"/>
  <c r="DD45" i="18" s="1"/>
  <c r="EY110" i="23"/>
  <c r="FP45" i="18" s="1"/>
  <c r="AN117" i="23"/>
  <c r="CZ117" i="23"/>
  <c r="FL117" i="23"/>
  <c r="BA119" i="23"/>
  <c r="BE117" i="23"/>
  <c r="DQ117" i="23"/>
  <c r="GC117" i="23"/>
  <c r="BO118" i="23"/>
  <c r="EA118" i="23"/>
  <c r="U119" i="23"/>
  <c r="ER119" i="23"/>
  <c r="U110" i="23"/>
  <c r="AL45" i="18" s="1"/>
  <c r="CG110" i="23"/>
  <c r="CX45" i="18" s="1"/>
  <c r="ES110" i="23"/>
  <c r="FJ45" i="18" s="1"/>
  <c r="AJ118" i="23"/>
  <c r="CV118" i="23"/>
  <c r="FH118" i="23"/>
  <c r="AU120" i="23"/>
  <c r="DO119" i="23"/>
  <c r="GA119" i="23"/>
  <c r="BL120" i="23"/>
  <c r="DX120" i="23"/>
  <c r="DA120" i="23"/>
  <c r="FM120" i="23"/>
  <c r="AY121" i="23"/>
  <c r="DK121" i="23"/>
  <c r="FW121" i="23"/>
  <c r="DQ119" i="23"/>
  <c r="GC119" i="23"/>
  <c r="BP121" i="23"/>
  <c r="EB121" i="23"/>
  <c r="AY120" i="23"/>
  <c r="DK120" i="23"/>
  <c r="FW120" i="23"/>
  <c r="BQ121" i="23"/>
  <c r="EC121" i="23"/>
  <c r="BG119" i="23"/>
  <c r="DS119" i="23"/>
  <c r="L120" i="23"/>
  <c r="BX120" i="23"/>
  <c r="EJ120" i="23"/>
  <c r="BQ120" i="23"/>
  <c r="EC120" i="23"/>
  <c r="O121" i="23"/>
  <c r="CA121" i="23"/>
  <c r="EM121" i="23"/>
  <c r="EC119" i="23"/>
  <c r="P121" i="23"/>
  <c r="CB121" i="23"/>
  <c r="EN121" i="23"/>
  <c r="BS120" i="23"/>
  <c r="EE120" i="23"/>
  <c r="Q121" i="23"/>
  <c r="CC121" i="23"/>
  <c r="EO121" i="23"/>
  <c r="I38" i="12"/>
  <c r="K23" i="22"/>
  <c r="J30" i="22"/>
  <c r="M147" i="26"/>
  <c r="O12" i="6"/>
  <c r="K84" i="19"/>
  <c r="L84" i="19" s="1"/>
  <c r="M84" i="19" s="1"/>
  <c r="N84" i="19" s="1"/>
  <c r="O84" i="19" s="1"/>
  <c r="P84" i="19" s="1"/>
  <c r="Q84" i="19" s="1"/>
  <c r="R84" i="19" s="1"/>
  <c r="S84" i="19" s="1"/>
  <c r="T84" i="19" s="1"/>
  <c r="U84" i="19" s="1"/>
  <c r="V84" i="19" s="1"/>
  <c r="W84" i="19" s="1"/>
  <c r="X84" i="19" s="1"/>
  <c r="Y84" i="19" s="1"/>
  <c r="Z84" i="19" s="1"/>
  <c r="AA84" i="19" s="1"/>
  <c r="AB84" i="19" s="1"/>
  <c r="AC84" i="19" s="1"/>
  <c r="AD84" i="19" s="1"/>
  <c r="AE84" i="19" s="1"/>
  <c r="AF84" i="19" s="1"/>
  <c r="AG84" i="19" s="1"/>
  <c r="AH84" i="19" s="1"/>
  <c r="AI84" i="19" s="1"/>
  <c r="AJ84" i="19" s="1"/>
  <c r="AK84" i="19" s="1"/>
  <c r="AL84" i="19" s="1"/>
  <c r="AM84" i="19" s="1"/>
  <c r="AN84" i="19" s="1"/>
  <c r="AO84" i="19" s="1"/>
  <c r="AP84" i="19" s="1"/>
  <c r="AQ84" i="19" s="1"/>
  <c r="AR84" i="19" s="1"/>
  <c r="AS84" i="19" s="1"/>
  <c r="AT84" i="19" s="1"/>
  <c r="AU84" i="19" s="1"/>
  <c r="AV84" i="19" s="1"/>
  <c r="AW84" i="19" s="1"/>
  <c r="AX84" i="19" s="1"/>
  <c r="AY84" i="19" s="1"/>
  <c r="AZ84" i="19" s="1"/>
  <c r="BA84" i="19" s="1"/>
  <c r="BB84" i="19" s="1"/>
  <c r="I84" i="19"/>
  <c r="K28" i="12"/>
  <c r="K415" i="26"/>
  <c r="G416" i="26"/>
  <c r="H415" i="26"/>
  <c r="N72" i="26"/>
  <c r="M70" i="26"/>
  <c r="S47" i="12"/>
  <c r="L132" i="16"/>
  <c r="L134" i="16"/>
  <c r="L133" i="16"/>
  <c r="AF28" i="25"/>
  <c r="BE28" i="25"/>
  <c r="AQ28" i="25"/>
  <c r="AC28" i="25"/>
  <c r="BB28" i="25"/>
  <c r="W28" i="25"/>
  <c r="K368" i="26"/>
  <c r="L285" i="26"/>
  <c r="K283" i="26"/>
  <c r="L202" i="25"/>
  <c r="I134" i="16"/>
  <c r="I133" i="16"/>
  <c r="I132" i="16"/>
  <c r="AT391" i="26"/>
  <c r="AR44" i="29"/>
  <c r="AR43" i="29"/>
  <c r="O120" i="26"/>
  <c r="N119" i="26"/>
  <c r="AN28" i="25"/>
  <c r="BM28" i="25"/>
  <c r="Z28" i="25"/>
  <c r="AY28" i="25"/>
  <c r="AK28" i="25"/>
  <c r="BJ28" i="25"/>
  <c r="AE28" i="25"/>
  <c r="L125" i="26"/>
  <c r="N59" i="26"/>
  <c r="N58" i="26" s="1"/>
  <c r="O60" i="26"/>
  <c r="J35" i="12"/>
  <c r="K4" i="12"/>
  <c r="J3" i="12"/>
  <c r="J25" i="12"/>
  <c r="K23" i="12" s="1"/>
  <c r="J20" i="12"/>
  <c r="L84" i="12"/>
  <c r="L96" i="12" s="1"/>
  <c r="L180" i="26"/>
  <c r="K179" i="26"/>
  <c r="W391" i="26"/>
  <c r="U43" i="29"/>
  <c r="AS391" i="26"/>
  <c r="AQ44" i="29"/>
  <c r="AE31" i="18"/>
  <c r="J43" i="29"/>
  <c r="I94" i="12"/>
  <c r="I78" i="12"/>
  <c r="I90" i="12"/>
  <c r="I82" i="12"/>
  <c r="I12" i="23"/>
  <c r="L122" i="26"/>
  <c r="K121" i="26"/>
  <c r="O110" i="23"/>
  <c r="AF45" i="18" s="1"/>
  <c r="BX110" i="23"/>
  <c r="CO45" i="18" s="1"/>
  <c r="ER110" i="23"/>
  <c r="FI45" i="18" s="1"/>
  <c r="X110" i="23"/>
  <c r="AO45" i="18" s="1"/>
  <c r="CN110" i="23"/>
  <c r="DE45" i="18" s="1"/>
  <c r="FX110" i="23"/>
  <c r="BG117" i="23"/>
  <c r="DS117" i="23"/>
  <c r="M118" i="23"/>
  <c r="BY118" i="23"/>
  <c r="EK118" i="23"/>
  <c r="W119" i="23"/>
  <c r="DP119" i="23"/>
  <c r="AE110" i="23"/>
  <c r="AV45" i="18" s="1"/>
  <c r="CQ110" i="23"/>
  <c r="DH45" i="18" s="1"/>
  <c r="FC110" i="23"/>
  <c r="FT45" i="18" s="1"/>
  <c r="AR117" i="23"/>
  <c r="DD117" i="23"/>
  <c r="FP117" i="23"/>
  <c r="BE119" i="23"/>
  <c r="FD110" i="23"/>
  <c r="FU45" i="18" s="1"/>
  <c r="AS117" i="23"/>
  <c r="DE117" i="23"/>
  <c r="FQ117" i="23"/>
  <c r="BC118" i="23"/>
  <c r="DO118" i="23"/>
  <c r="GA118" i="23"/>
  <c r="CR119" i="23"/>
  <c r="BM120" i="23"/>
  <c r="BM110" i="23"/>
  <c r="CD45" i="18" s="1"/>
  <c r="DY110" i="23"/>
  <c r="EP45" i="18" s="1"/>
  <c r="H118" i="23"/>
  <c r="BT118" i="23"/>
  <c r="EF118" i="23"/>
  <c r="BT119" i="23"/>
  <c r="AE117" i="23"/>
  <c r="CQ117" i="23"/>
  <c r="FC117" i="23"/>
  <c r="AO118" i="23"/>
  <c r="DA118" i="23"/>
  <c r="FM118" i="23"/>
  <c r="AZ119" i="23"/>
  <c r="G120" i="23"/>
  <c r="AQ110" i="23"/>
  <c r="BH45" i="18" s="1"/>
  <c r="DC110" i="23"/>
  <c r="DT45" i="18" s="1"/>
  <c r="FO110" i="23"/>
  <c r="BD117" i="23"/>
  <c r="DP117" i="23"/>
  <c r="GB117" i="23"/>
  <c r="CJ119" i="23"/>
  <c r="BU117" i="23"/>
  <c r="EG117" i="23"/>
  <c r="S118" i="23"/>
  <c r="CE118" i="23"/>
  <c r="EQ118" i="23"/>
  <c r="AK119" i="23"/>
  <c r="FX119" i="23"/>
  <c r="AK110" i="23"/>
  <c r="BB45" i="18" s="1"/>
  <c r="CW110" i="23"/>
  <c r="DN45" i="18" s="1"/>
  <c r="FI110" i="23"/>
  <c r="FZ45" i="18" s="1"/>
  <c r="AZ118" i="23"/>
  <c r="DL118" i="23"/>
  <c r="FX118" i="23"/>
  <c r="BS119" i="23"/>
  <c r="EE119" i="23"/>
  <c r="P120" i="23"/>
  <c r="CB120" i="23"/>
  <c r="EN120" i="23"/>
  <c r="DQ120" i="23"/>
  <c r="GC120" i="23"/>
  <c r="BO121" i="23"/>
  <c r="EA121" i="23"/>
  <c r="BU119" i="23"/>
  <c r="EG119" i="23"/>
  <c r="T121" i="23"/>
  <c r="CF121" i="23"/>
  <c r="ER121" i="23"/>
  <c r="BO120" i="23"/>
  <c r="EA120" i="23"/>
  <c r="U121" i="23"/>
  <c r="CG121" i="23"/>
  <c r="ES121" i="23"/>
  <c r="BW119" i="23"/>
  <c r="EI119" i="23"/>
  <c r="AB120" i="23"/>
  <c r="CN120" i="23"/>
  <c r="EZ120" i="23"/>
  <c r="CG120" i="23"/>
  <c r="ES120" i="23"/>
  <c r="AE121" i="23"/>
  <c r="CQ121" i="23"/>
  <c r="FC121" i="23"/>
  <c r="ES119" i="23"/>
  <c r="AF121" i="23"/>
  <c r="CR121" i="23"/>
  <c r="FD121" i="23"/>
  <c r="CI120" i="23"/>
  <c r="EU120" i="23"/>
  <c r="AG121" i="23"/>
  <c r="CS121" i="23"/>
  <c r="FE121" i="23"/>
  <c r="S6" i="14"/>
  <c r="S5" i="14"/>
  <c r="T6" i="14" s="1"/>
  <c r="N243" i="25"/>
  <c r="L243" i="25"/>
  <c r="M243" i="25"/>
  <c r="Q13" i="23"/>
  <c r="AG7" i="18"/>
  <c r="L7" i="19"/>
  <c r="K3" i="19"/>
  <c r="I36" i="12"/>
  <c r="K55" i="22"/>
  <c r="S49" i="13"/>
  <c r="AH28" i="25"/>
  <c r="BG28" i="25"/>
  <c r="T28" i="25"/>
  <c r="AM28" i="25"/>
  <c r="L173" i="26"/>
  <c r="K172" i="26"/>
  <c r="N77" i="31"/>
  <c r="N73" i="31"/>
  <c r="N74" i="31" s="1"/>
  <c r="AF203" i="26"/>
  <c r="AA202" i="26"/>
  <c r="Q288" i="26"/>
  <c r="P287" i="26"/>
  <c r="AI43" i="29"/>
  <c r="O116" i="28"/>
  <c r="O121" i="28" s="1"/>
  <c r="F71" i="28" s="1"/>
  <c r="N110" i="28"/>
  <c r="T391" i="26"/>
  <c r="R44" i="29"/>
  <c r="N391" i="26"/>
  <c r="L44" i="29"/>
  <c r="AR391" i="26"/>
  <c r="AP44" i="29"/>
  <c r="J199" i="20"/>
  <c r="H71" i="22"/>
  <c r="G72" i="22"/>
  <c r="G244" i="25"/>
  <c r="D245" i="25"/>
  <c r="M88" i="12"/>
  <c r="H351" i="20"/>
  <c r="O414" i="26"/>
  <c r="L414" i="26"/>
  <c r="T108" i="16"/>
  <c r="U108" i="16" s="1"/>
  <c r="V108" i="16" s="1"/>
  <c r="K93" i="16"/>
  <c r="J37" i="22"/>
  <c r="M184" i="26"/>
  <c r="L183" i="26"/>
  <c r="L182" i="26" s="1"/>
  <c r="L59" i="14"/>
  <c r="M59" i="14" s="1"/>
  <c r="M65" i="14" s="1"/>
  <c r="AS106" i="34"/>
  <c r="BF98" i="34"/>
  <c r="BE98" i="34"/>
  <c r="O15" i="16"/>
  <c r="K314" i="26"/>
  <c r="J313" i="26"/>
  <c r="N24" i="11"/>
  <c r="E183" i="20"/>
  <c r="I6" i="23"/>
  <c r="I5" i="23" s="1"/>
  <c r="M5" i="16"/>
  <c r="J53" i="13"/>
  <c r="J44" i="12"/>
  <c r="Z40" i="18"/>
  <c r="AA5" i="18"/>
  <c r="Z35" i="18"/>
  <c r="Z3" i="18"/>
  <c r="I110" i="28"/>
  <c r="I117" i="28"/>
  <c r="H111" i="28"/>
  <c r="AN110" i="23"/>
  <c r="BE45" i="18" s="1"/>
  <c r="DD110" i="23"/>
  <c r="DU45" i="18" s="1"/>
  <c r="AO117" i="23"/>
  <c r="BD110" i="23"/>
  <c r="BU45" i="18" s="1"/>
  <c r="DT110" i="23"/>
  <c r="EK45" i="18" s="1"/>
  <c r="I117" i="23"/>
  <c r="BO117" i="23"/>
  <c r="EA117" i="23"/>
  <c r="U118" i="23"/>
  <c r="CG118" i="23"/>
  <c r="ES118" i="23"/>
  <c r="AE119" i="23"/>
  <c r="EF119" i="23"/>
  <c r="AM110" i="23"/>
  <c r="BD45" i="18" s="1"/>
  <c r="CY110" i="23"/>
  <c r="DP45" i="18" s="1"/>
  <c r="FK110" i="23"/>
  <c r="GB45" i="18" s="1"/>
  <c r="AZ117" i="23"/>
  <c r="DL117" i="23"/>
  <c r="FX117" i="23"/>
  <c r="BQ119" i="23"/>
  <c r="FL110" i="23"/>
  <c r="GC45" i="18" s="1"/>
  <c r="BA117" i="23"/>
  <c r="DM117" i="23"/>
  <c r="FY117" i="23"/>
  <c r="BK118" i="23"/>
  <c r="DW118" i="23"/>
  <c r="I119" i="23"/>
  <c r="DE119" i="23"/>
  <c r="I110" i="23"/>
  <c r="Z45" i="18" s="1"/>
  <c r="BU110" i="23"/>
  <c r="CL45" i="18" s="1"/>
  <c r="EG110" i="23"/>
  <c r="EX45" i="18" s="1"/>
  <c r="P118" i="23"/>
  <c r="CB118" i="23"/>
  <c r="EN118" i="23"/>
  <c r="CG119" i="23"/>
  <c r="AM117" i="23"/>
  <c r="CY117" i="23"/>
  <c r="FK117" i="23"/>
  <c r="AW118" i="23"/>
  <c r="DI118" i="23"/>
  <c r="FU118" i="23"/>
  <c r="BI119" i="23"/>
  <c r="W120" i="23"/>
  <c r="AY110" i="23"/>
  <c r="BP45" i="18" s="1"/>
  <c r="DK110" i="23"/>
  <c r="EB45" i="18" s="1"/>
  <c r="FW110" i="23"/>
  <c r="BL117" i="23"/>
  <c r="DX117" i="23"/>
  <c r="L119" i="23"/>
  <c r="CW119" i="23"/>
  <c r="CC117" i="23"/>
  <c r="EO117" i="23"/>
  <c r="AA118" i="23"/>
  <c r="CM118" i="23"/>
  <c r="EY118" i="23"/>
  <c r="AS119" i="23"/>
  <c r="K120" i="23"/>
  <c r="AS110" i="23"/>
  <c r="BJ45" i="18" s="1"/>
  <c r="DE110" i="23"/>
  <c r="DV45" i="18" s="1"/>
  <c r="FQ110" i="23"/>
  <c r="BH118" i="23"/>
  <c r="DT118" i="23"/>
  <c r="BC119" i="23"/>
  <c r="CA119" i="23"/>
  <c r="EM119" i="23"/>
  <c r="X120" i="23"/>
  <c r="CJ120" i="23"/>
  <c r="EV120" i="23"/>
  <c r="DY120" i="23"/>
  <c r="K121" i="23"/>
  <c r="BW121" i="23"/>
  <c r="EI121" i="23"/>
  <c r="CC119" i="23"/>
  <c r="EO119" i="23"/>
  <c r="AB121" i="23"/>
  <c r="CN121" i="23"/>
  <c r="EZ121" i="23"/>
  <c r="BW120" i="23"/>
  <c r="EI120" i="23"/>
  <c r="AC121" i="23"/>
  <c r="CO121" i="23"/>
  <c r="FA121" i="23"/>
  <c r="CE119" i="23"/>
  <c r="EQ119" i="23"/>
  <c r="AJ120" i="23"/>
  <c r="CV120" i="23"/>
  <c r="FH120" i="23"/>
  <c r="CO120" i="23"/>
  <c r="FA120" i="23"/>
  <c r="AM121" i="23"/>
  <c r="CY121" i="23"/>
  <c r="FK121" i="23"/>
  <c r="FA119" i="23"/>
  <c r="AN121" i="23"/>
  <c r="CZ121" i="23"/>
  <c r="FL121" i="23"/>
  <c r="CQ120" i="23"/>
  <c r="FC120" i="23"/>
  <c r="AO121" i="23"/>
  <c r="DA121" i="23"/>
  <c r="FM121" i="23"/>
  <c r="K36" i="31"/>
  <c r="P102" i="23"/>
  <c r="M131" i="26"/>
  <c r="N132" i="26"/>
  <c r="L5" i="27"/>
  <c r="L10" i="27"/>
  <c r="L4" i="27" s="1"/>
  <c r="K90" i="26"/>
  <c r="J87" i="26"/>
  <c r="J59" i="12"/>
  <c r="J105" i="19"/>
  <c r="K105" i="19" s="1"/>
  <c r="L105" i="19" s="1"/>
  <c r="K77" i="19"/>
  <c r="L77" i="19" s="1"/>
  <c r="I77" i="19"/>
  <c r="I105" i="19" s="1"/>
  <c r="P202" i="25"/>
  <c r="R84" i="11"/>
  <c r="R88" i="11" s="1"/>
  <c r="S83" i="11"/>
  <c r="AK8" i="18"/>
  <c r="U9" i="16"/>
  <c r="M169" i="19"/>
  <c r="M168" i="19"/>
  <c r="N165" i="19" s="1"/>
  <c r="M76" i="12"/>
  <c r="O10" i="16"/>
  <c r="O49" i="16"/>
  <c r="Z23" i="13"/>
  <c r="Y22" i="13"/>
  <c r="Y20" i="13" s="1"/>
  <c r="J130" i="16"/>
  <c r="J131" i="16"/>
  <c r="L12" i="24"/>
  <c r="K35" i="24"/>
  <c r="BD28" i="25"/>
  <c r="Q28" i="25"/>
  <c r="AB28" i="25"/>
  <c r="BA28" i="25"/>
  <c r="J135" i="26"/>
  <c r="I15" i="12"/>
  <c r="J13" i="12" s="1"/>
  <c r="I10" i="12"/>
  <c r="J8" i="12" s="1"/>
  <c r="P13" i="23"/>
  <c r="AF7" i="18"/>
  <c r="K4" i="16"/>
  <c r="K3" i="16"/>
  <c r="L8" i="16"/>
  <c r="I43" i="29"/>
  <c r="AF391" i="26"/>
  <c r="AD44" i="29"/>
  <c r="G116" i="28"/>
  <c r="G121" i="28" s="1"/>
  <c r="F67" i="28" s="1"/>
  <c r="F110" i="28"/>
  <c r="AL27" i="37" l="1"/>
  <c r="AL31" i="37" s="1"/>
  <c r="AL32" i="37" s="1"/>
  <c r="AB12" i="37"/>
  <c r="AB267" i="37" s="1"/>
  <c r="AB37" i="37"/>
  <c r="V37" i="37"/>
  <c r="V12" i="37"/>
  <c r="Z12" i="37"/>
  <c r="Z267" i="37" s="1"/>
  <c r="Z37" i="37"/>
  <c r="Y12" i="37"/>
  <c r="Y267" i="37" s="1"/>
  <c r="Y37" i="37"/>
  <c r="AA12" i="37"/>
  <c r="AA267" i="37" s="1"/>
  <c r="AA37" i="37"/>
  <c r="X37" i="37"/>
  <c r="X12" i="37"/>
  <c r="X267" i="37" s="1"/>
  <c r="W12" i="37"/>
  <c r="W267" i="37" s="1"/>
  <c r="W37" i="37"/>
  <c r="N46" i="37"/>
  <c r="M134" i="37"/>
  <c r="AM26" i="37"/>
  <c r="AM27" i="37" s="1"/>
  <c r="AM31" i="37" s="1"/>
  <c r="AM32" i="37" s="1"/>
  <c r="AM129" i="37"/>
  <c r="M202" i="37"/>
  <c r="Q135" i="16"/>
  <c r="H202" i="25"/>
  <c r="G11" i="11"/>
  <c r="K58" i="13"/>
  <c r="O11" i="20"/>
  <c r="P7" i="20"/>
  <c r="P11" i="20" s="1"/>
  <c r="Z84" i="20"/>
  <c r="P5" i="18"/>
  <c r="Q3" i="18"/>
  <c r="C563" i="20"/>
  <c r="AJ507" i="20"/>
  <c r="D543" i="20" s="1"/>
  <c r="L135" i="16"/>
  <c r="L34" i="13"/>
  <c r="L33" i="13" s="1"/>
  <c r="K4" i="15"/>
  <c r="J16" i="12"/>
  <c r="J15" i="12"/>
  <c r="K13" i="12" s="1"/>
  <c r="K15" i="12" s="1"/>
  <c r="J38" i="12"/>
  <c r="J10" i="12"/>
  <c r="N147" i="26"/>
  <c r="P25" i="25"/>
  <c r="J262" i="26"/>
  <c r="J279" i="26"/>
  <c r="J303" i="26"/>
  <c r="J226" i="26"/>
  <c r="J155" i="26"/>
  <c r="J108" i="26"/>
  <c r="J31" i="26"/>
  <c r="K2" i="26"/>
  <c r="I17" i="24"/>
  <c r="X80" i="11"/>
  <c r="M82" i="25"/>
  <c r="L82" i="25"/>
  <c r="Z202" i="26"/>
  <c r="AC206" i="26"/>
  <c r="O88" i="26"/>
  <c r="BQ72" i="12"/>
  <c r="L136" i="26"/>
  <c r="M137" i="26"/>
  <c r="M135" i="16"/>
  <c r="S207" i="25"/>
  <c r="S140" i="25"/>
  <c r="S45" i="25"/>
  <c r="J36" i="12"/>
  <c r="H14" i="33"/>
  <c r="I14" i="33" s="1"/>
  <c r="J14" i="33" s="1"/>
  <c r="N237" i="26"/>
  <c r="M236" i="26"/>
  <c r="J126" i="19"/>
  <c r="K98" i="19"/>
  <c r="L98" i="19" s="1"/>
  <c r="K87" i="16"/>
  <c r="H19" i="24"/>
  <c r="H20" i="24" s="1"/>
  <c r="H18" i="24"/>
  <c r="M253" i="26"/>
  <c r="L252" i="26"/>
  <c r="L251" i="26" s="1"/>
  <c r="D84" i="25"/>
  <c r="G83" i="25"/>
  <c r="V3" i="13"/>
  <c r="S50" i="25"/>
  <c r="H71" i="9"/>
  <c r="L81" i="23"/>
  <c r="W108" i="16"/>
  <c r="V107" i="16"/>
  <c r="O119" i="26"/>
  <c r="P120" i="26"/>
  <c r="O415" i="26"/>
  <c r="L415" i="26"/>
  <c r="M12" i="24"/>
  <c r="L35" i="24"/>
  <c r="AE8" i="18"/>
  <c r="O9" i="16"/>
  <c r="K59" i="12"/>
  <c r="J94" i="12"/>
  <c r="J90" i="12"/>
  <c r="J78" i="12"/>
  <c r="J82" i="12"/>
  <c r="L314" i="26"/>
  <c r="K313" i="26"/>
  <c r="I71" i="22"/>
  <c r="H72" i="22"/>
  <c r="F89" i="28"/>
  <c r="G71" i="28"/>
  <c r="AE30" i="18"/>
  <c r="L179" i="26"/>
  <c r="M180" i="26"/>
  <c r="I135" i="16"/>
  <c r="L368" i="26"/>
  <c r="M285" i="26"/>
  <c r="L23" i="22"/>
  <c r="K30" i="22"/>
  <c r="L70" i="12"/>
  <c r="BQ84" i="12"/>
  <c r="N4" i="21"/>
  <c r="I84" i="11"/>
  <c r="H83" i="11"/>
  <c r="H84" i="11" s="1"/>
  <c r="FZ101" i="16"/>
  <c r="GA99" i="16"/>
  <c r="K367" i="26"/>
  <c r="L190" i="26"/>
  <c r="K188" i="26"/>
  <c r="K21" i="14"/>
  <c r="K22" i="14" s="1"/>
  <c r="P60" i="26"/>
  <c r="O59" i="26"/>
  <c r="O58" i="26" s="1"/>
  <c r="O13" i="6"/>
  <c r="G21" i="14"/>
  <c r="G22" i="14" s="1"/>
  <c r="N141" i="26"/>
  <c r="O142" i="26"/>
  <c r="N72" i="12"/>
  <c r="G34" i="23"/>
  <c r="G35" i="23" s="1"/>
  <c r="F98" i="28"/>
  <c r="F78" i="28"/>
  <c r="F92" i="28"/>
  <c r="F84" i="28"/>
  <c r="G66" i="28"/>
  <c r="I21" i="14"/>
  <c r="I22" i="14" s="1"/>
  <c r="M83" i="26"/>
  <c r="N84" i="26"/>
  <c r="J86" i="11"/>
  <c r="L50" i="25" s="1"/>
  <c r="J85" i="11"/>
  <c r="L366" i="26"/>
  <c r="M197" i="26"/>
  <c r="H81" i="28"/>
  <c r="H101" i="26" s="1"/>
  <c r="H101" i="28"/>
  <c r="H297" i="26" s="1"/>
  <c r="H95" i="28"/>
  <c r="H216" i="26" s="1"/>
  <c r="H87" i="28"/>
  <c r="H20" i="26" s="1"/>
  <c r="I69" i="28"/>
  <c r="H21" i="14"/>
  <c r="H22" i="14" s="1"/>
  <c r="L90" i="26"/>
  <c r="K87" i="26"/>
  <c r="H110" i="28"/>
  <c r="I116" i="28"/>
  <c r="I121" i="28" s="1"/>
  <c r="F68" i="28" s="1"/>
  <c r="AE13" i="18"/>
  <c r="N184" i="26"/>
  <c r="M183" i="26"/>
  <c r="M182" i="26" s="1"/>
  <c r="R86" i="11"/>
  <c r="R85" i="11"/>
  <c r="T26" i="25" s="1"/>
  <c r="O132" i="26"/>
  <c r="N131" i="26"/>
  <c r="O24" i="11"/>
  <c r="K37" i="22"/>
  <c r="M7" i="19"/>
  <c r="L3" i="19"/>
  <c r="L38" i="19"/>
  <c r="L50" i="19"/>
  <c r="L45" i="19"/>
  <c r="L18" i="19"/>
  <c r="L46" i="19"/>
  <c r="L40" i="19"/>
  <c r="L27" i="19"/>
  <c r="L14" i="19"/>
  <c r="M14" i="19" s="1"/>
  <c r="L121" i="26"/>
  <c r="M122" i="26"/>
  <c r="K57" i="26"/>
  <c r="L1" i="26"/>
  <c r="K3" i="11"/>
  <c r="L8" i="11"/>
  <c r="K10" i="11"/>
  <c r="M212" i="25"/>
  <c r="M213" i="25" s="1"/>
  <c r="M215" i="25" s="1"/>
  <c r="M51" i="25"/>
  <c r="M53" i="25" s="1"/>
  <c r="M145" i="25"/>
  <c r="M146" i="25" s="1"/>
  <c r="M148" i="25" s="1"/>
  <c r="N332" i="26"/>
  <c r="M331" i="26"/>
  <c r="M210" i="19"/>
  <c r="L52" i="19"/>
  <c r="L51" i="19" s="1"/>
  <c r="R13" i="23"/>
  <c r="AH7" i="18"/>
  <c r="K18" i="12"/>
  <c r="K20" i="12" s="1"/>
  <c r="J26" i="26"/>
  <c r="J13" i="26"/>
  <c r="L93" i="16"/>
  <c r="S84" i="11"/>
  <c r="S88" i="11" s="1"/>
  <c r="T83" i="11"/>
  <c r="L55" i="22"/>
  <c r="N76" i="12"/>
  <c r="J12" i="23"/>
  <c r="L65" i="14"/>
  <c r="L68" i="14" s="1"/>
  <c r="M68" i="14" s="1"/>
  <c r="N88" i="12"/>
  <c r="R288" i="26"/>
  <c r="Q287" i="26"/>
  <c r="M125" i="26"/>
  <c r="N70" i="26"/>
  <c r="O72" i="26"/>
  <c r="D176" i="25"/>
  <c r="G175" i="25"/>
  <c r="N79" i="26"/>
  <c r="O81" i="26"/>
  <c r="J4" i="23"/>
  <c r="F102" i="28"/>
  <c r="F96" i="28"/>
  <c r="F82" i="28"/>
  <c r="G70" i="28"/>
  <c r="F88" i="28"/>
  <c r="P9" i="16"/>
  <c r="M63" i="19"/>
  <c r="N80" i="12"/>
  <c r="L13" i="23"/>
  <c r="AB7" i="18"/>
  <c r="J21" i="12"/>
  <c r="L75" i="28"/>
  <c r="K14" i="26"/>
  <c r="M200" i="25"/>
  <c r="M133" i="25"/>
  <c r="M111" i="25"/>
  <c r="M110" i="25" s="1"/>
  <c r="N10" i="25"/>
  <c r="M38" i="25"/>
  <c r="R212" i="25"/>
  <c r="R213" i="25" s="1"/>
  <c r="R215" i="25" s="1"/>
  <c r="R145" i="25"/>
  <c r="R146" i="25" s="1"/>
  <c r="R148" i="25" s="1"/>
  <c r="R51" i="25"/>
  <c r="R53" i="25" s="1"/>
  <c r="M13" i="23"/>
  <c r="AC7" i="18"/>
  <c r="U92" i="12"/>
  <c r="T47" i="12"/>
  <c r="J134" i="16"/>
  <c r="J133" i="16"/>
  <c r="J132" i="16"/>
  <c r="L4" i="16"/>
  <c r="L3" i="16"/>
  <c r="M8" i="16"/>
  <c r="AA40" i="18"/>
  <c r="AA35" i="18"/>
  <c r="AA3" i="18"/>
  <c r="AB5" i="18"/>
  <c r="S414" i="26"/>
  <c r="T414" i="26" s="1"/>
  <c r="P414" i="26"/>
  <c r="G245" i="25"/>
  <c r="D246" i="25"/>
  <c r="K199" i="20"/>
  <c r="M173" i="26"/>
  <c r="L172" i="26"/>
  <c r="N59" i="14"/>
  <c r="N65" i="14" s="1"/>
  <c r="Q50" i="14"/>
  <c r="Q55" i="14"/>
  <c r="Q54" i="14" s="1"/>
  <c r="BR76" i="12"/>
  <c r="J6" i="23"/>
  <c r="J5" i="23" s="1"/>
  <c r="N5" i="16"/>
  <c r="K53" i="13"/>
  <c r="K44" i="12"/>
  <c r="K31" i="12" s="1"/>
  <c r="L10" i="23"/>
  <c r="K3" i="23"/>
  <c r="Q75" i="26"/>
  <c r="P74" i="26"/>
  <c r="P73" i="26" s="1"/>
  <c r="P76" i="26"/>
  <c r="I112" i="19"/>
  <c r="I95" i="19"/>
  <c r="K30" i="33"/>
  <c r="L30" i="33" s="1"/>
  <c r="L15" i="11"/>
  <c r="M16" i="11"/>
  <c r="M324" i="26"/>
  <c r="L323" i="26"/>
  <c r="L322" i="26" s="1"/>
  <c r="N259" i="26"/>
  <c r="M258" i="26"/>
  <c r="L10" i="22"/>
  <c r="K3" i="22"/>
  <c r="N95" i="11"/>
  <c r="O94" i="11"/>
  <c r="N45" i="24"/>
  <c r="N46" i="24" s="1"/>
  <c r="O41" i="24" s="1"/>
  <c r="K416" i="26"/>
  <c r="G417" i="26"/>
  <c r="H416" i="26"/>
  <c r="H243" i="25"/>
  <c r="C243" i="25" s="1"/>
  <c r="F93" i="28"/>
  <c r="F85" i="28"/>
  <c r="F99" i="28"/>
  <c r="F79" i="28"/>
  <c r="G67" i="28"/>
  <c r="I40" i="12"/>
  <c r="I43" i="12" s="1"/>
  <c r="M77" i="19"/>
  <c r="L80" i="19"/>
  <c r="L81" i="19" s="1"/>
  <c r="M78" i="19" s="1"/>
  <c r="AA23" i="13"/>
  <c r="Z22" i="13"/>
  <c r="Z20" i="13" s="1"/>
  <c r="N169" i="19"/>
  <c r="N168" i="19"/>
  <c r="O165" i="19" s="1"/>
  <c r="M105" i="19"/>
  <c r="P105" i="23"/>
  <c r="E184" i="20"/>
  <c r="BF106" i="34"/>
  <c r="BE106" i="34"/>
  <c r="AS107" i="34"/>
  <c r="I351" i="20"/>
  <c r="O244" i="25"/>
  <c r="L244" i="25"/>
  <c r="N244" i="25"/>
  <c r="M244" i="25"/>
  <c r="AK203" i="26"/>
  <c r="M84" i="12"/>
  <c r="L4" i="12"/>
  <c r="K3" i="12"/>
  <c r="K25" i="12"/>
  <c r="L23" i="12" s="1"/>
  <c r="K30" i="12"/>
  <c r="O59" i="14"/>
  <c r="P59" i="14" s="1"/>
  <c r="J31" i="12"/>
  <c r="O113" i="19"/>
  <c r="N23" i="19"/>
  <c r="Q116" i="28"/>
  <c r="Q121" i="28" s="1"/>
  <c r="F72" i="28" s="1"/>
  <c r="P110" i="28"/>
  <c r="K58" i="22"/>
  <c r="K61" i="22" s="1"/>
  <c r="K73" i="22" s="1"/>
  <c r="L57" i="22"/>
  <c r="X45" i="18"/>
  <c r="J270" i="20"/>
  <c r="J119" i="19"/>
  <c r="K119" i="19" s="1"/>
  <c r="L119" i="19" s="1"/>
  <c r="M119" i="19" s="1"/>
  <c r="N119" i="19" s="1"/>
  <c r="O119" i="19" s="1"/>
  <c r="P119" i="19" s="1"/>
  <c r="Q119" i="19" s="1"/>
  <c r="R119" i="19" s="1"/>
  <c r="S119" i="19" s="1"/>
  <c r="T119" i="19" s="1"/>
  <c r="U119" i="19" s="1"/>
  <c r="V119" i="19" s="1"/>
  <c r="W119" i="19" s="1"/>
  <c r="X119" i="19" s="1"/>
  <c r="Y119" i="19" s="1"/>
  <c r="Z119" i="19" s="1"/>
  <c r="AA119" i="19" s="1"/>
  <c r="AB119" i="19" s="1"/>
  <c r="AC119" i="19" s="1"/>
  <c r="AD119" i="19" s="1"/>
  <c r="AE119" i="19" s="1"/>
  <c r="AF119" i="19" s="1"/>
  <c r="AG119" i="19" s="1"/>
  <c r="AH119" i="19" s="1"/>
  <c r="AI119" i="19" s="1"/>
  <c r="AJ119" i="19" s="1"/>
  <c r="AK119" i="19" s="1"/>
  <c r="AL119" i="19" s="1"/>
  <c r="AM119" i="19" s="1"/>
  <c r="AN119" i="19" s="1"/>
  <c r="AO119" i="19" s="1"/>
  <c r="AP119" i="19" s="1"/>
  <c r="AQ119" i="19" s="1"/>
  <c r="AR119" i="19" s="1"/>
  <c r="AS119" i="19" s="1"/>
  <c r="AT119" i="19" s="1"/>
  <c r="AU119" i="19" s="1"/>
  <c r="AV119" i="19" s="1"/>
  <c r="AW119" i="19" s="1"/>
  <c r="AX119" i="19" s="1"/>
  <c r="AY119" i="19" s="1"/>
  <c r="AZ119" i="19" s="1"/>
  <c r="BA119" i="19" s="1"/>
  <c r="BB119" i="19" s="1"/>
  <c r="J112" i="19"/>
  <c r="K91" i="19"/>
  <c r="G31" i="33"/>
  <c r="F31" i="33"/>
  <c r="D32" i="33"/>
  <c r="K20" i="15"/>
  <c r="K135" i="16"/>
  <c r="O32" i="25"/>
  <c r="P17" i="25"/>
  <c r="L48" i="26"/>
  <c r="L46" i="26"/>
  <c r="M47" i="26"/>
  <c r="R31" i="11"/>
  <c r="K135" i="26"/>
  <c r="N3" i="17"/>
  <c r="M97" i="11"/>
  <c r="M96" i="11"/>
  <c r="K33" i="12"/>
  <c r="K35" i="12" s="1"/>
  <c r="P13" i="14"/>
  <c r="O14" i="14"/>
  <c r="O15" i="14" s="1"/>
  <c r="O16" i="14" s="1"/>
  <c r="O18" i="14" s="1"/>
  <c r="O20" i="14" s="1"/>
  <c r="O21" i="14" s="1"/>
  <c r="F949" i="20" s="1"/>
  <c r="AN129" i="37" l="1"/>
  <c r="O46" i="37"/>
  <c r="N134" i="37"/>
  <c r="N202" i="37"/>
  <c r="AN26" i="37"/>
  <c r="M38" i="19"/>
  <c r="I88" i="11"/>
  <c r="J88" i="11"/>
  <c r="L17" i="15"/>
  <c r="H54" i="13"/>
  <c r="H18" i="15"/>
  <c r="H11" i="11"/>
  <c r="M40" i="19"/>
  <c r="J40" i="12"/>
  <c r="Y41" i="18" s="1"/>
  <c r="I34" i="23" s="1"/>
  <c r="I35" i="23" s="1"/>
  <c r="L4" i="15"/>
  <c r="K3" i="15"/>
  <c r="L58" i="13"/>
  <c r="D100" i="20"/>
  <c r="E950" i="20"/>
  <c r="N68" i="14"/>
  <c r="H21" i="24"/>
  <c r="G5" i="26" s="1"/>
  <c r="AA84" i="20"/>
  <c r="O5" i="18"/>
  <c r="P3" i="18"/>
  <c r="C564" i="20"/>
  <c r="AK507" i="20"/>
  <c r="E543" i="20" s="1"/>
  <c r="M34" i="13"/>
  <c r="M33" i="13" s="1"/>
  <c r="M50" i="19"/>
  <c r="J15" i="33"/>
  <c r="H15" i="33"/>
  <c r="I15" i="33" s="1"/>
  <c r="O45" i="24"/>
  <c r="O46" i="24" s="1"/>
  <c r="P41" i="24" s="1"/>
  <c r="L199" i="20"/>
  <c r="J351" i="20"/>
  <c r="E185" i="20"/>
  <c r="M46" i="26"/>
  <c r="M48" i="26"/>
  <c r="N47" i="26"/>
  <c r="L20" i="15"/>
  <c r="L58" i="22"/>
  <c r="L61" i="22" s="1"/>
  <c r="L73" i="22" s="1"/>
  <c r="M57" i="22"/>
  <c r="J135" i="16"/>
  <c r="N125" i="26"/>
  <c r="K12" i="23"/>
  <c r="S86" i="11"/>
  <c r="S85" i="11"/>
  <c r="U26" i="25" s="1"/>
  <c r="N97" i="11"/>
  <c r="N96" i="11"/>
  <c r="M323" i="26"/>
  <c r="M322" i="26" s="1"/>
  <c r="N324" i="26"/>
  <c r="I172" i="19"/>
  <c r="I157" i="19"/>
  <c r="I142" i="19"/>
  <c r="I188" i="19" s="1"/>
  <c r="I195" i="19"/>
  <c r="I119" i="19"/>
  <c r="I126" i="19" s="1"/>
  <c r="I149" i="19"/>
  <c r="K270" i="20"/>
  <c r="O115" i="19"/>
  <c r="O116" i="19" s="1"/>
  <c r="J145" i="19"/>
  <c r="J146" i="19" s="1"/>
  <c r="K143" i="19" s="1"/>
  <c r="H244" i="25"/>
  <c r="C244" i="25" s="1"/>
  <c r="AS108" i="34"/>
  <c r="AT108" i="34" s="1"/>
  <c r="AU108" i="34" s="1"/>
  <c r="BF107" i="34"/>
  <c r="BE107" i="34"/>
  <c r="Q102" i="23"/>
  <c r="K94" i="12"/>
  <c r="K90" i="12"/>
  <c r="K78" i="12"/>
  <c r="K82" i="12"/>
  <c r="L28" i="12"/>
  <c r="L30" i="12" s="1"/>
  <c r="N200" i="25"/>
  <c r="N133" i="25"/>
  <c r="N111" i="25"/>
  <c r="N110" i="25" s="1"/>
  <c r="O10" i="25"/>
  <c r="N38" i="25"/>
  <c r="K26" i="26"/>
  <c r="K13" i="26"/>
  <c r="G96" i="28"/>
  <c r="G88" i="28"/>
  <c r="G102" i="28"/>
  <c r="H70" i="28"/>
  <c r="G82" i="28"/>
  <c r="G176" i="25"/>
  <c r="D177" i="25"/>
  <c r="L18" i="12"/>
  <c r="L20" i="12" s="1"/>
  <c r="K21" i="12"/>
  <c r="M121" i="26"/>
  <c r="N122" i="26"/>
  <c r="N7" i="19"/>
  <c r="M3" i="19"/>
  <c r="F83" i="28"/>
  <c r="P59" i="26"/>
  <c r="P58" i="26" s="1"/>
  <c r="Q60" i="26"/>
  <c r="I86" i="11"/>
  <c r="K50" i="25" s="1"/>
  <c r="I85" i="11"/>
  <c r="M23" i="22"/>
  <c r="L30" i="22"/>
  <c r="BR72" i="12"/>
  <c r="J17" i="24"/>
  <c r="X108" i="16"/>
  <c r="W107" i="16"/>
  <c r="P81" i="26"/>
  <c r="O79" i="26"/>
  <c r="Q13" i="14"/>
  <c r="P14" i="14"/>
  <c r="P15" i="14" s="1"/>
  <c r="O332" i="26"/>
  <c r="N331" i="26"/>
  <c r="V92" i="12"/>
  <c r="F32" i="33"/>
  <c r="D33" i="33"/>
  <c r="G32" i="33"/>
  <c r="K31" i="33"/>
  <c r="L31" i="33" s="1"/>
  <c r="X41" i="18"/>
  <c r="M172" i="26"/>
  <c r="N173" i="26"/>
  <c r="M4" i="16"/>
  <c r="M3" i="16"/>
  <c r="N8" i="16"/>
  <c r="U47" i="12"/>
  <c r="M75" i="28"/>
  <c r="L14" i="26"/>
  <c r="N63" i="19"/>
  <c r="M55" i="22"/>
  <c r="M93" i="16"/>
  <c r="L57" i="26"/>
  <c r="M1" i="26"/>
  <c r="AB275" i="25"/>
  <c r="M46" i="19"/>
  <c r="N12" i="24"/>
  <c r="O12" i="24" s="1"/>
  <c r="P12" i="24" s="1"/>
  <c r="Q12" i="24" s="1"/>
  <c r="R12" i="24" s="1"/>
  <c r="S12" i="24" s="1"/>
  <c r="T12" i="24" s="1"/>
  <c r="U12" i="24" s="1"/>
  <c r="V12" i="24" s="1"/>
  <c r="W12" i="24" s="1"/>
  <c r="X12" i="24" s="1"/>
  <c r="Y12" i="24" s="1"/>
  <c r="Z12" i="24" s="1"/>
  <c r="AA12" i="24" s="1"/>
  <c r="AB12" i="24" s="1"/>
  <c r="AC12" i="24" s="1"/>
  <c r="AD12" i="24" s="1"/>
  <c r="AE12" i="24" s="1"/>
  <c r="AF12" i="24" s="1"/>
  <c r="AG12" i="24" s="1"/>
  <c r="AH12" i="24" s="1"/>
  <c r="AI12" i="24" s="1"/>
  <c r="AJ12" i="24" s="1"/>
  <c r="AK12" i="24" s="1"/>
  <c r="AL12" i="24" s="1"/>
  <c r="AM12" i="24" s="1"/>
  <c r="AN12" i="24" s="1"/>
  <c r="AO12" i="24" s="1"/>
  <c r="AP12" i="24" s="1"/>
  <c r="AQ12" i="24" s="1"/>
  <c r="AR12" i="24" s="1"/>
  <c r="AS12" i="24" s="1"/>
  <c r="AT12" i="24" s="1"/>
  <c r="AU12" i="24" s="1"/>
  <c r="AV12" i="24" s="1"/>
  <c r="M35" i="24"/>
  <c r="E35" i="24" s="1"/>
  <c r="I19" i="24"/>
  <c r="I18" i="24"/>
  <c r="K8" i="12"/>
  <c r="O169" i="19"/>
  <c r="O168" i="19"/>
  <c r="P165" i="19" s="1"/>
  <c r="M58" i="13"/>
  <c r="S288" i="26"/>
  <c r="R287" i="26"/>
  <c r="T207" i="25"/>
  <c r="T140" i="25"/>
  <c r="T45" i="25"/>
  <c r="S415" i="26"/>
  <c r="T415" i="26" s="1"/>
  <c r="AB433" i="26" s="1" a="1"/>
  <c r="P415" i="26"/>
  <c r="O57" i="14"/>
  <c r="O65" i="14" s="1"/>
  <c r="O22" i="14"/>
  <c r="J172" i="19"/>
  <c r="J157" i="19"/>
  <c r="J142" i="19"/>
  <c r="J188" i="19" s="1"/>
  <c r="J195" i="19"/>
  <c r="K112" i="19"/>
  <c r="J149" i="19"/>
  <c r="O259" i="26"/>
  <c r="N258" i="26"/>
  <c r="R75" i="26"/>
  <c r="Q74" i="26"/>
  <c r="Q73" i="26" s="1"/>
  <c r="Q76" i="26"/>
  <c r="D247" i="25"/>
  <c r="G246" i="25"/>
  <c r="G72" i="28"/>
  <c r="F90" i="28"/>
  <c r="N84" i="12"/>
  <c r="N96" i="12" s="1"/>
  <c r="AA22" i="13"/>
  <c r="AA20" i="13" s="1"/>
  <c r="AB23" i="13"/>
  <c r="O95" i="11"/>
  <c r="P94" i="11"/>
  <c r="L3" i="23"/>
  <c r="M10" i="23"/>
  <c r="Q53" i="14"/>
  <c r="L245" i="25"/>
  <c r="P245" i="25"/>
  <c r="M245" i="25"/>
  <c r="O245" i="25"/>
  <c r="N245" i="25"/>
  <c r="K36" i="12"/>
  <c r="L33" i="12"/>
  <c r="L35" i="12" s="1"/>
  <c r="Q17" i="25"/>
  <c r="P32" i="25"/>
  <c r="O3" i="17"/>
  <c r="N105" i="19"/>
  <c r="G99" i="28"/>
  <c r="G79" i="28"/>
  <c r="H67" i="28"/>
  <c r="G93" i="28"/>
  <c r="G85" i="28"/>
  <c r="K417" i="26"/>
  <c r="H417" i="26"/>
  <c r="F433" i="26" s="1" a="1"/>
  <c r="M15" i="11"/>
  <c r="N16" i="11"/>
  <c r="BS76" i="12"/>
  <c r="N67" i="14"/>
  <c r="I52" i="13"/>
  <c r="P72" i="26"/>
  <c r="O70" i="26"/>
  <c r="K6" i="23"/>
  <c r="K5" i="23" s="1"/>
  <c r="O5" i="16"/>
  <c r="L53" i="13"/>
  <c r="L44" i="12"/>
  <c r="M18" i="19"/>
  <c r="L37" i="22"/>
  <c r="P132" i="26"/>
  <c r="O131" i="26"/>
  <c r="F94" i="28"/>
  <c r="F91" i="28" s="1"/>
  <c r="F100" i="28"/>
  <c r="F97" i="28" s="1"/>
  <c r="F86" i="28"/>
  <c r="G68" i="28"/>
  <c r="F80" i="28"/>
  <c r="L212" i="25"/>
  <c r="L213" i="25" s="1"/>
  <c r="L215" i="25" s="1"/>
  <c r="L145" i="25"/>
  <c r="L146" i="25" s="1"/>
  <c r="L148" i="25" s="1"/>
  <c r="L51" i="25"/>
  <c r="L53" i="25" s="1"/>
  <c r="F77" i="28"/>
  <c r="O72" i="12"/>
  <c r="M368" i="26"/>
  <c r="N285" i="26"/>
  <c r="AE27" i="18"/>
  <c r="J71" i="22"/>
  <c r="I72" i="22"/>
  <c r="W3" i="13"/>
  <c r="N253" i="26"/>
  <c r="M252" i="26"/>
  <c r="M251" i="26" s="1"/>
  <c r="AC202" i="26"/>
  <c r="AF206" i="26"/>
  <c r="P29" i="25"/>
  <c r="M136" i="26"/>
  <c r="N137" i="26"/>
  <c r="K303" i="26"/>
  <c r="K279" i="26"/>
  <c r="K262" i="26"/>
  <c r="K226" i="26"/>
  <c r="K155" i="26"/>
  <c r="K108" i="26"/>
  <c r="K31" i="26"/>
  <c r="L2" i="26"/>
  <c r="O416" i="26"/>
  <c r="L416" i="26"/>
  <c r="AB40" i="18"/>
  <c r="AB35" i="18"/>
  <c r="AC5" i="18"/>
  <c r="AB3" i="18"/>
  <c r="M8" i="11"/>
  <c r="L10" i="11"/>
  <c r="M17" i="15" s="1"/>
  <c r="L3" i="11"/>
  <c r="O4" i="21"/>
  <c r="P24" i="11"/>
  <c r="T50" i="25"/>
  <c r="I71" i="9"/>
  <c r="I72" i="9" s="1"/>
  <c r="I74" i="9" s="1"/>
  <c r="M366" i="26"/>
  <c r="N197" i="26"/>
  <c r="M96" i="12"/>
  <c r="O141" i="26"/>
  <c r="P142" i="26"/>
  <c r="O14" i="6"/>
  <c r="L367" i="26"/>
  <c r="M190" i="26"/>
  <c r="L188" i="26"/>
  <c r="L313" i="26"/>
  <c r="M314" i="26"/>
  <c r="Q120" i="26"/>
  <c r="P119" i="26"/>
  <c r="N83" i="25"/>
  <c r="L83" i="25"/>
  <c r="M83" i="25"/>
  <c r="L135" i="26"/>
  <c r="H82" i="25"/>
  <c r="C82" i="25" s="1"/>
  <c r="K16" i="12"/>
  <c r="L13" i="12"/>
  <c r="L15" i="12" s="1"/>
  <c r="L59" i="12"/>
  <c r="D85" i="25"/>
  <c r="G84" i="25"/>
  <c r="M98" i="19"/>
  <c r="P88" i="26"/>
  <c r="BR84" i="12"/>
  <c r="H72" i="9"/>
  <c r="H74" i="9" s="1"/>
  <c r="K126" i="19"/>
  <c r="N236" i="26"/>
  <c r="O237" i="26"/>
  <c r="L91" i="19"/>
  <c r="K95" i="19"/>
  <c r="AB274" i="25"/>
  <c r="H38" i="22"/>
  <c r="M45" i="19"/>
  <c r="O84" i="26"/>
  <c r="N83" i="26"/>
  <c r="S31" i="11"/>
  <c r="M4" i="12"/>
  <c r="L3" i="12"/>
  <c r="L25" i="12"/>
  <c r="M23" i="12" s="1"/>
  <c r="AP203" i="26"/>
  <c r="AK202" i="26"/>
  <c r="O80" i="12"/>
  <c r="O88" i="12"/>
  <c r="T84" i="11"/>
  <c r="T88" i="11" s="1"/>
  <c r="U83" i="11"/>
  <c r="M10" i="22"/>
  <c r="L3" i="22"/>
  <c r="J117" i="23"/>
  <c r="J118" i="23"/>
  <c r="K63" i="23"/>
  <c r="N77" i="19"/>
  <c r="M80" i="19"/>
  <c r="M81" i="19" s="1"/>
  <c r="N78" i="19" s="1"/>
  <c r="Q49" i="14"/>
  <c r="L175" i="25"/>
  <c r="M175" i="25"/>
  <c r="O76" i="12"/>
  <c r="M27" i="19"/>
  <c r="L26" i="19"/>
  <c r="O184" i="26"/>
  <c r="N183" i="26"/>
  <c r="N182" i="26" s="1"/>
  <c r="M90" i="26"/>
  <c r="L87" i="26"/>
  <c r="I101" i="28"/>
  <c r="I297" i="26" s="1"/>
  <c r="I95" i="28"/>
  <c r="I216" i="26" s="1"/>
  <c r="I87" i="28"/>
  <c r="I20" i="26" s="1"/>
  <c r="I81" i="28"/>
  <c r="I101" i="26" s="1"/>
  <c r="J69" i="28"/>
  <c r="G98" i="28"/>
  <c r="G92" i="28"/>
  <c r="G84" i="28"/>
  <c r="G78" i="28"/>
  <c r="H66" i="28"/>
  <c r="GA101" i="16"/>
  <c r="GB99" i="16"/>
  <c r="H85" i="11"/>
  <c r="H86" i="11"/>
  <c r="J50" i="25" s="1"/>
  <c r="M70" i="12"/>
  <c r="M179" i="26"/>
  <c r="N180" i="26"/>
  <c r="H71" i="28"/>
  <c r="G89" i="28"/>
  <c r="O13" i="23"/>
  <c r="AE7" i="18"/>
  <c r="M81" i="23"/>
  <c r="S212" i="25"/>
  <c r="S213" i="25" s="1"/>
  <c r="S215" i="25" s="1"/>
  <c r="S51" i="25"/>
  <c r="S53" i="25" s="1"/>
  <c r="S145" i="25"/>
  <c r="S146" i="25" s="1"/>
  <c r="S148" i="25" s="1"/>
  <c r="L87" i="16"/>
  <c r="O147" i="26"/>
  <c r="AN27" i="37" l="1"/>
  <c r="AN31" i="37" s="1"/>
  <c r="AN32" i="37" s="1"/>
  <c r="Q24" i="25"/>
  <c r="Q25" i="25" s="1"/>
  <c r="J43" i="12"/>
  <c r="N50" i="19"/>
  <c r="AO26" i="37"/>
  <c r="AO27" i="37" s="1"/>
  <c r="AO31" i="37" s="1"/>
  <c r="AO32" i="37" s="1"/>
  <c r="P46" i="37"/>
  <c r="O134" i="37"/>
  <c r="AO129" i="37"/>
  <c r="O202" i="37"/>
  <c r="H23" i="24"/>
  <c r="H83" i="25"/>
  <c r="C83" i="25" s="1"/>
  <c r="I11" i="11"/>
  <c r="I18" i="15"/>
  <c r="I54" i="13"/>
  <c r="M4" i="15"/>
  <c r="L3" i="15"/>
  <c r="E100" i="20"/>
  <c r="F950" i="20"/>
  <c r="O68" i="14"/>
  <c r="AB84" i="20"/>
  <c r="O3" i="18"/>
  <c r="N5" i="18"/>
  <c r="AL507" i="20"/>
  <c r="F543" i="20" s="1"/>
  <c r="N34" i="13"/>
  <c r="N33" i="13" s="1"/>
  <c r="K433" i="26"/>
  <c r="K385" i="26" s="1"/>
  <c r="I433" i="26"/>
  <c r="I385" i="26" s="1"/>
  <c r="G433" i="26"/>
  <c r="G385" i="26" s="1"/>
  <c r="L433" i="26"/>
  <c r="L385" i="26" s="1"/>
  <c r="J433" i="26"/>
  <c r="J385" i="26" s="1"/>
  <c r="H433" i="26"/>
  <c r="H385" i="26" s="1"/>
  <c r="F433" i="26"/>
  <c r="F385" i="26" s="1"/>
  <c r="BJ385" i="26" s="1"/>
  <c r="M433" i="26"/>
  <c r="M385" i="26" s="1"/>
  <c r="AF433" i="26"/>
  <c r="AF385" i="26" s="1"/>
  <c r="AD433" i="26"/>
  <c r="AD385" i="26" s="1"/>
  <c r="AB433" i="26"/>
  <c r="AB385" i="26" s="1"/>
  <c r="AE433" i="26"/>
  <c r="AE385" i="26" s="1"/>
  <c r="AC433" i="26"/>
  <c r="AC385" i="26" s="1"/>
  <c r="P45" i="24"/>
  <c r="P46" i="24" s="1"/>
  <c r="Q41" i="24" s="1"/>
  <c r="P113" i="19"/>
  <c r="O23" i="19"/>
  <c r="M313" i="26"/>
  <c r="N314" i="26"/>
  <c r="L12" i="23"/>
  <c r="N368" i="26"/>
  <c r="O285" i="26"/>
  <c r="O417" i="26"/>
  <c r="L417" i="26"/>
  <c r="GB101" i="16"/>
  <c r="GC99" i="16"/>
  <c r="P76" i="12"/>
  <c r="P84" i="26"/>
  <c r="O83" i="26"/>
  <c r="G97" i="28"/>
  <c r="AC274" i="25"/>
  <c r="I38" i="22"/>
  <c r="N45" i="19"/>
  <c r="N98" i="19"/>
  <c r="N8" i="11"/>
  <c r="M3" i="11"/>
  <c r="M10" i="11"/>
  <c r="P30" i="25"/>
  <c r="P34" i="25" s="1"/>
  <c r="J72" i="22"/>
  <c r="K71" i="22"/>
  <c r="G100" i="28"/>
  <c r="G80" i="28"/>
  <c r="G94" i="28"/>
  <c r="H68" i="28"/>
  <c r="G86" i="28"/>
  <c r="N18" i="19"/>
  <c r="O16" i="11"/>
  <c r="N15" i="11"/>
  <c r="P3" i="17"/>
  <c r="H245" i="25"/>
  <c r="C245" i="25" s="1"/>
  <c r="O97" i="11"/>
  <c r="O96" i="11"/>
  <c r="R76" i="26"/>
  <c r="R74" i="26" s="1"/>
  <c r="R73" i="26" s="1"/>
  <c r="S75" i="26"/>
  <c r="O67" i="14"/>
  <c r="N52" i="13" s="1"/>
  <c r="O66" i="14"/>
  <c r="N75" i="28"/>
  <c r="M14" i="26"/>
  <c r="N172" i="26"/>
  <c r="O173" i="26"/>
  <c r="Q81" i="26"/>
  <c r="P79" i="26"/>
  <c r="BS72" i="12"/>
  <c r="K212" i="25"/>
  <c r="K213" i="25" s="1"/>
  <c r="K215" i="25" s="1"/>
  <c r="K51" i="25"/>
  <c r="K53" i="25" s="1"/>
  <c r="K145" i="25"/>
  <c r="K146" i="25" s="1"/>
  <c r="K148" i="25" s="1"/>
  <c r="N40" i="19"/>
  <c r="H96" i="28"/>
  <c r="H217" i="26" s="1"/>
  <c r="H82" i="28"/>
  <c r="H102" i="26" s="1"/>
  <c r="H102" i="28"/>
  <c r="H298" i="26" s="1"/>
  <c r="H88" i="28"/>
  <c r="H21" i="26" s="1"/>
  <c r="I70" i="28"/>
  <c r="O324" i="26"/>
  <c r="N323" i="26"/>
  <c r="N322" i="26" s="1"/>
  <c r="U207" i="25"/>
  <c r="U140" i="25"/>
  <c r="U45" i="25"/>
  <c r="N70" i="12"/>
  <c r="J95" i="28"/>
  <c r="J216" i="26" s="1"/>
  <c r="K69" i="28"/>
  <c r="J101" i="28"/>
  <c r="J297" i="26" s="1"/>
  <c r="J81" i="28"/>
  <c r="J101" i="26" s="1"/>
  <c r="J87" i="28"/>
  <c r="J20" i="26" s="1"/>
  <c r="AC40" i="18"/>
  <c r="AD5" i="18"/>
  <c r="AC35" i="18"/>
  <c r="AC3" i="18"/>
  <c r="O183" i="26"/>
  <c r="O182" i="26" s="1"/>
  <c r="P184" i="26"/>
  <c r="O77" i="19"/>
  <c r="N80" i="19"/>
  <c r="N81" i="19" s="1"/>
  <c r="O78" i="19" s="1"/>
  <c r="M59" i="12"/>
  <c r="N10" i="22"/>
  <c r="M3" i="22"/>
  <c r="L126" i="19"/>
  <c r="N90" i="26"/>
  <c r="M87" i="26"/>
  <c r="V83" i="11"/>
  <c r="U84" i="11"/>
  <c r="U88" i="11" s="1"/>
  <c r="AU203" i="26"/>
  <c r="AP202" i="26"/>
  <c r="BS84" i="12"/>
  <c r="M13" i="12"/>
  <c r="M15" i="12" s="1"/>
  <c r="L16" i="12"/>
  <c r="T212" i="25"/>
  <c r="T145" i="25"/>
  <c r="P72" i="12"/>
  <c r="AB22" i="13"/>
  <c r="AB20" i="13" s="1"/>
  <c r="AC23" i="13"/>
  <c r="K38" i="12"/>
  <c r="K10" i="12"/>
  <c r="L8" i="12" s="1"/>
  <c r="AC275" i="25"/>
  <c r="N46" i="19"/>
  <c r="N93" i="16"/>
  <c r="L32" i="33"/>
  <c r="K32" i="33"/>
  <c r="O122" i="26"/>
  <c r="N121" i="26"/>
  <c r="U50" i="25"/>
  <c r="J71" i="9"/>
  <c r="M20" i="15"/>
  <c r="F103" i="28"/>
  <c r="O105" i="19"/>
  <c r="L246" i="25"/>
  <c r="P246" i="25"/>
  <c r="M246" i="25"/>
  <c r="Q246" i="25"/>
  <c r="N246" i="25"/>
  <c r="O246" i="25"/>
  <c r="O258" i="26"/>
  <c r="P259" i="26"/>
  <c r="K142" i="19"/>
  <c r="K188" i="19" s="1"/>
  <c r="K195" i="19"/>
  <c r="L112" i="19"/>
  <c r="K149" i="19"/>
  <c r="K172" i="19"/>
  <c r="K157" i="19"/>
  <c r="G33" i="33"/>
  <c r="F33" i="33"/>
  <c r="D34" i="33"/>
  <c r="W92" i="12"/>
  <c r="Q59" i="26"/>
  <c r="Q58" i="26" s="1"/>
  <c r="R60" i="26"/>
  <c r="M58" i="22"/>
  <c r="M61" i="22" s="1"/>
  <c r="M73" i="22" s="1"/>
  <c r="N57" i="22"/>
  <c r="M199" i="20"/>
  <c r="O331" i="26"/>
  <c r="P332" i="26"/>
  <c r="L270" i="20"/>
  <c r="H48" i="16"/>
  <c r="H16" i="16" s="1"/>
  <c r="O84" i="12"/>
  <c r="O96" i="12" s="1"/>
  <c r="O99" i="12" s="1"/>
  <c r="P99" i="12" s="1"/>
  <c r="J202" i="19"/>
  <c r="J179" i="19"/>
  <c r="S287" i="26"/>
  <c r="T288" i="26"/>
  <c r="O63" i="19"/>
  <c r="N4" i="16"/>
  <c r="N3" i="16"/>
  <c r="O8" i="16"/>
  <c r="J19" i="24"/>
  <c r="J18" i="24"/>
  <c r="M18" i="12"/>
  <c r="M20" i="12" s="1"/>
  <c r="L21" i="12"/>
  <c r="Q105" i="23"/>
  <c r="N48" i="26"/>
  <c r="N46" i="26" s="1"/>
  <c r="O47" i="26"/>
  <c r="M87" i="16"/>
  <c r="N81" i="23"/>
  <c r="H89" i="28"/>
  <c r="H22" i="26" s="1"/>
  <c r="I71" i="28"/>
  <c r="J212" i="25"/>
  <c r="J213" i="25" s="1"/>
  <c r="J145" i="25"/>
  <c r="J146" i="25" s="1"/>
  <c r="J51" i="25"/>
  <c r="G77" i="28"/>
  <c r="N27" i="19"/>
  <c r="M26" i="19"/>
  <c r="P80" i="12"/>
  <c r="K20" i="19"/>
  <c r="K19" i="19" s="1"/>
  <c r="K17" i="19" s="1"/>
  <c r="K29" i="19" s="1"/>
  <c r="L92" i="19"/>
  <c r="K96" i="19"/>
  <c r="O236" i="26"/>
  <c r="P237" i="26"/>
  <c r="N366" i="26"/>
  <c r="O197" i="26"/>
  <c r="O137" i="26"/>
  <c r="N136" i="26"/>
  <c r="Q132" i="26"/>
  <c r="P131" i="26"/>
  <c r="Q72" i="26"/>
  <c r="P70" i="26"/>
  <c r="M3" i="23"/>
  <c r="N10" i="23"/>
  <c r="P168" i="19"/>
  <c r="Q165" i="19" s="1"/>
  <c r="P169" i="19"/>
  <c r="N38" i="19"/>
  <c r="Y108" i="16"/>
  <c r="X107" i="16"/>
  <c r="N23" i="22"/>
  <c r="M30" i="22"/>
  <c r="G177" i="25"/>
  <c r="D178" i="25"/>
  <c r="M28" i="12"/>
  <c r="M30" i="12" s="1"/>
  <c r="L31" i="12"/>
  <c r="I209" i="19"/>
  <c r="I202" i="19"/>
  <c r="I179" i="19"/>
  <c r="S108" i="16" s="1"/>
  <c r="O125" i="26"/>
  <c r="E186" i="20"/>
  <c r="T86" i="11"/>
  <c r="T85" i="11"/>
  <c r="V26" i="25" s="1"/>
  <c r="N84" i="25"/>
  <c r="O84" i="25"/>
  <c r="L84" i="25"/>
  <c r="M84" i="25"/>
  <c r="Q119" i="26"/>
  <c r="R120" i="26"/>
  <c r="Q142" i="26"/>
  <c r="P141" i="26"/>
  <c r="Q24" i="11"/>
  <c r="P4" i="21"/>
  <c r="AI206" i="26"/>
  <c r="AF202" i="26"/>
  <c r="X3" i="13"/>
  <c r="D86" i="25"/>
  <c r="G85" i="25"/>
  <c r="L94" i="12"/>
  <c r="L78" i="12"/>
  <c r="L82" i="12"/>
  <c r="L90" i="12"/>
  <c r="D248" i="25"/>
  <c r="G247" i="25"/>
  <c r="M57" i="26"/>
  <c r="N1" i="26"/>
  <c r="N55" i="22"/>
  <c r="V47" i="12"/>
  <c r="H92" i="28"/>
  <c r="H84" i="28"/>
  <c r="I66" i="28"/>
  <c r="H98" i="28"/>
  <c r="H78" i="28"/>
  <c r="P88" i="12"/>
  <c r="T31" i="11"/>
  <c r="P147" i="26"/>
  <c r="O180" i="26"/>
  <c r="N179" i="26"/>
  <c r="G83" i="28"/>
  <c r="K93" i="23"/>
  <c r="M91" i="19"/>
  <c r="O15" i="6"/>
  <c r="N433" i="26" a="1"/>
  <c r="M135" i="26"/>
  <c r="O253" i="26"/>
  <c r="N252" i="26"/>
  <c r="N251" i="26" s="1"/>
  <c r="BT76" i="12"/>
  <c r="H99" i="28"/>
  <c r="H295" i="26" s="1"/>
  <c r="H93" i="28"/>
  <c r="H214" i="26" s="1"/>
  <c r="H85" i="28"/>
  <c r="H18" i="26" s="1"/>
  <c r="H79" i="28"/>
  <c r="H99" i="26" s="1"/>
  <c r="I67" i="28"/>
  <c r="R17" i="25"/>
  <c r="Q32" i="25"/>
  <c r="G90" i="28"/>
  <c r="H72" i="28"/>
  <c r="J175" i="19"/>
  <c r="G74" i="16" s="1"/>
  <c r="N58" i="13"/>
  <c r="L13" i="26"/>
  <c r="L26" i="26"/>
  <c r="H34" i="23"/>
  <c r="R13" i="14"/>
  <c r="Q14" i="14"/>
  <c r="Q15" i="14" s="1"/>
  <c r="L176" i="25"/>
  <c r="N176" i="25"/>
  <c r="M176" i="25"/>
  <c r="K351" i="20"/>
  <c r="J16" i="33"/>
  <c r="J17" i="33" s="1"/>
  <c r="H16" i="33"/>
  <c r="I16" i="33" s="1"/>
  <c r="H17" i="33"/>
  <c r="I17" i="33" s="1"/>
  <c r="M25" i="12"/>
  <c r="N23" i="12" s="1"/>
  <c r="N4" i="12"/>
  <c r="M3" i="12"/>
  <c r="H175" i="25"/>
  <c r="C175" i="25" s="1"/>
  <c r="M367" i="26"/>
  <c r="N190" i="26"/>
  <c r="M188" i="26"/>
  <c r="L262" i="26"/>
  <c r="L279" i="26"/>
  <c r="L303" i="26"/>
  <c r="L226" i="26"/>
  <c r="L155" i="26"/>
  <c r="L108" i="26"/>
  <c r="L31" i="26"/>
  <c r="M2" i="26"/>
  <c r="G91" i="28"/>
  <c r="Q88" i="26"/>
  <c r="L6" i="23"/>
  <c r="L5" i="23" s="1"/>
  <c r="P5" i="16"/>
  <c r="M53" i="13"/>
  <c r="M44" i="12"/>
  <c r="S416" i="26"/>
  <c r="T416" i="26" s="1"/>
  <c r="AG433" i="26" s="1"/>
  <c r="AG385" i="26" s="1"/>
  <c r="P416" i="26"/>
  <c r="M37" i="22"/>
  <c r="L36" i="12"/>
  <c r="M33" i="12"/>
  <c r="M35" i="12" s="1"/>
  <c r="Q94" i="11"/>
  <c r="P95" i="11"/>
  <c r="O7" i="19"/>
  <c r="N3" i="19"/>
  <c r="O200" i="25"/>
  <c r="O111" i="25"/>
  <c r="O110" i="25" s="1"/>
  <c r="O133" i="25"/>
  <c r="P10" i="25"/>
  <c r="O38" i="25"/>
  <c r="BF108" i="34"/>
  <c r="AE51" i="18" s="1"/>
  <c r="AV108" i="34"/>
  <c r="AW108" i="34" s="1"/>
  <c r="AX108" i="34" s="1"/>
  <c r="N14" i="19"/>
  <c r="P134" i="37" l="1"/>
  <c r="Q46" i="37"/>
  <c r="P202" i="37"/>
  <c r="AP26" i="37"/>
  <c r="AP129" i="37"/>
  <c r="N17" i="15"/>
  <c r="J18" i="15"/>
  <c r="J54" i="13"/>
  <c r="J11" i="11"/>
  <c r="O14" i="19"/>
  <c r="N4" i="15"/>
  <c r="M3" i="15"/>
  <c r="AC84" i="20"/>
  <c r="M5" i="18"/>
  <c r="N3" i="18"/>
  <c r="AM507" i="20"/>
  <c r="G543" i="20" s="1"/>
  <c r="O34" i="13"/>
  <c r="O33" i="13" s="1"/>
  <c r="Q45" i="24"/>
  <c r="Q46" i="24" s="1"/>
  <c r="R41" i="24" s="1"/>
  <c r="R45" i="24" s="1"/>
  <c r="R46" i="24" s="1"/>
  <c r="S13" i="14"/>
  <c r="BU76" i="12"/>
  <c r="S17" i="25"/>
  <c r="R32" i="25"/>
  <c r="O252" i="26"/>
  <c r="O251" i="26" s="1"/>
  <c r="P253" i="26"/>
  <c r="H97" i="28"/>
  <c r="H294" i="26"/>
  <c r="H293" i="26" s="1"/>
  <c r="O55" i="22"/>
  <c r="H84" i="25"/>
  <c r="C84" i="25" s="1"/>
  <c r="N30" i="22"/>
  <c r="O23" i="22"/>
  <c r="Z108" i="16"/>
  <c r="Y107" i="16"/>
  <c r="P137" i="26"/>
  <c r="O136" i="26"/>
  <c r="J71" i="28"/>
  <c r="I89" i="28"/>
  <c r="I22" i="26" s="1"/>
  <c r="M21" i="12"/>
  <c r="N18" i="12"/>
  <c r="N20" i="12" s="1"/>
  <c r="P63" i="19"/>
  <c r="N199" i="20"/>
  <c r="N58" i="22"/>
  <c r="N61" i="22" s="1"/>
  <c r="N73" i="22" s="1"/>
  <c r="O57" i="22"/>
  <c r="P258" i="26"/>
  <c r="Q259" i="26"/>
  <c r="J72" i="9"/>
  <c r="J74" i="9" s="1"/>
  <c r="M12" i="23"/>
  <c r="M48" i="16"/>
  <c r="H100" i="28"/>
  <c r="H296" i="26" s="1"/>
  <c r="H80" i="28"/>
  <c r="H100" i="26" s="1"/>
  <c r="H94" i="28"/>
  <c r="H215" i="26" s="1"/>
  <c r="H86" i="28"/>
  <c r="H19" i="26" s="1"/>
  <c r="I68" i="28"/>
  <c r="O98" i="19"/>
  <c r="Q4" i="21"/>
  <c r="Q332" i="26"/>
  <c r="P331" i="26"/>
  <c r="R59" i="26"/>
  <c r="R58" i="26" s="1"/>
  <c r="S60" i="26"/>
  <c r="P105" i="19"/>
  <c r="U212" i="25"/>
  <c r="U145" i="25"/>
  <c r="L38" i="12"/>
  <c r="L10" i="12"/>
  <c r="L40" i="12" s="1"/>
  <c r="AD40" i="18"/>
  <c r="AE5" i="18"/>
  <c r="AD35" i="18"/>
  <c r="AD3" i="18"/>
  <c r="P324" i="26"/>
  <c r="O323" i="26"/>
  <c r="O322" i="26" s="1"/>
  <c r="Q79" i="26"/>
  <c r="R81" i="26"/>
  <c r="H176" i="25"/>
  <c r="C176" i="25" s="1"/>
  <c r="O177" i="25"/>
  <c r="L177" i="25"/>
  <c r="N177" i="25"/>
  <c r="M177" i="25"/>
  <c r="O38" i="19"/>
  <c r="N26" i="19"/>
  <c r="O27" i="19"/>
  <c r="O90" i="26"/>
  <c r="N87" i="26"/>
  <c r="S76" i="26"/>
  <c r="S74" i="26"/>
  <c r="S73" i="26" s="1"/>
  <c r="T75" i="26"/>
  <c r="P57" i="25"/>
  <c r="S417" i="26"/>
  <c r="T417" i="26" s="1"/>
  <c r="AH433" i="26" s="1"/>
  <c r="AH385" i="26" s="1"/>
  <c r="AI385" i="26" s="1"/>
  <c r="AJ385" i="26" s="1"/>
  <c r="AK385" i="26" s="1"/>
  <c r="AL385" i="26" s="1"/>
  <c r="AM385" i="26" s="1"/>
  <c r="AN385" i="26" s="1"/>
  <c r="AO385" i="26" s="1"/>
  <c r="AP385" i="26" s="1"/>
  <c r="AQ385" i="26" s="1"/>
  <c r="AR385" i="26" s="1"/>
  <c r="AS385" i="26" s="1"/>
  <c r="AT385" i="26" s="1"/>
  <c r="P417" i="26"/>
  <c r="U433" i="26" s="1" a="1"/>
  <c r="G77" i="16"/>
  <c r="G30" i="16"/>
  <c r="N57" i="26"/>
  <c r="O1" i="26"/>
  <c r="D179" i="25"/>
  <c r="G178" i="25"/>
  <c r="Q168" i="19"/>
  <c r="R165" i="19" s="1"/>
  <c r="Q169" i="19"/>
  <c r="R132" i="26"/>
  <c r="Q131" i="26"/>
  <c r="R433" i="26"/>
  <c r="R385" i="26" s="1"/>
  <c r="P433" i="26"/>
  <c r="P385" i="26" s="1"/>
  <c r="N433" i="26"/>
  <c r="N385" i="26" s="1"/>
  <c r="T433" i="26"/>
  <c r="T385" i="26" s="1"/>
  <c r="S433" i="26"/>
  <c r="S385" i="26" s="1"/>
  <c r="Q433" i="26"/>
  <c r="Q385" i="26" s="1"/>
  <c r="O433" i="26"/>
  <c r="O385" i="26" s="1"/>
  <c r="P200" i="25"/>
  <c r="P133" i="25"/>
  <c r="P111" i="25"/>
  <c r="P110" i="25" s="1"/>
  <c r="Q10" i="25"/>
  <c r="P38" i="25"/>
  <c r="P96" i="11"/>
  <c r="P97" i="11"/>
  <c r="R88" i="26"/>
  <c r="H35" i="23"/>
  <c r="U31" i="11"/>
  <c r="H91" i="28"/>
  <c r="H213" i="26"/>
  <c r="H212" i="26" s="1"/>
  <c r="R142" i="26"/>
  <c r="Q141" i="26"/>
  <c r="E187" i="20"/>
  <c r="E188" i="20"/>
  <c r="O366" i="26"/>
  <c r="P197" i="26"/>
  <c r="G103" i="28"/>
  <c r="O81" i="23"/>
  <c r="O48" i="26"/>
  <c r="O46" i="26" s="1"/>
  <c r="P47" i="26"/>
  <c r="R102" i="23"/>
  <c r="O93" i="16"/>
  <c r="AC22" i="13"/>
  <c r="AC20" i="13" s="1"/>
  <c r="AD23" i="13"/>
  <c r="Q72" i="12"/>
  <c r="J12" i="6"/>
  <c r="U85" i="11"/>
  <c r="W26" i="25" s="1"/>
  <c r="U86" i="11"/>
  <c r="Q3" i="17"/>
  <c r="M6" i="23"/>
  <c r="Q5" i="16"/>
  <c r="N53" i="13"/>
  <c r="N44" i="12"/>
  <c r="AD274" i="25"/>
  <c r="J38" i="22"/>
  <c r="O45" i="19"/>
  <c r="Q84" i="26"/>
  <c r="P83" i="26"/>
  <c r="P285" i="26"/>
  <c r="O368" i="26"/>
  <c r="R24" i="11"/>
  <c r="H83" i="28"/>
  <c r="H17" i="26"/>
  <c r="N25" i="12"/>
  <c r="O23" i="12" s="1"/>
  <c r="O4" i="12"/>
  <c r="N3" i="12"/>
  <c r="P7" i="19"/>
  <c r="O3" i="19"/>
  <c r="R94" i="11"/>
  <c r="Q95" i="11"/>
  <c r="N37" i="22"/>
  <c r="M94" i="12"/>
  <c r="M90" i="12"/>
  <c r="M82" i="12"/>
  <c r="M78" i="12"/>
  <c r="L351" i="20"/>
  <c r="O58" i="13"/>
  <c r="I72" i="28"/>
  <c r="H90" i="28"/>
  <c r="H23" i="26" s="1"/>
  <c r="I99" i="28"/>
  <c r="I295" i="26" s="1"/>
  <c r="I79" i="28"/>
  <c r="I99" i="26" s="1"/>
  <c r="J67" i="28"/>
  <c r="I93" i="28"/>
  <c r="I214" i="26" s="1"/>
  <c r="I85" i="28"/>
  <c r="I18" i="26" s="1"/>
  <c r="O179" i="26"/>
  <c r="P180" i="26"/>
  <c r="P247" i="25"/>
  <c r="Q247" i="25"/>
  <c r="O247" i="25"/>
  <c r="N247" i="25"/>
  <c r="M247" i="25"/>
  <c r="R247" i="25"/>
  <c r="L247" i="25"/>
  <c r="N85" i="25"/>
  <c r="M85" i="25"/>
  <c r="L85" i="25"/>
  <c r="O85" i="25"/>
  <c r="P85" i="25"/>
  <c r="Y3" i="13"/>
  <c r="R119" i="26"/>
  <c r="S120" i="26"/>
  <c r="V207" i="25"/>
  <c r="V140" i="25"/>
  <c r="V45" i="25"/>
  <c r="O50" i="19"/>
  <c r="M270" i="20"/>
  <c r="X92" i="12"/>
  <c r="W83" i="11"/>
  <c r="V84" i="11"/>
  <c r="V88" i="11" s="1"/>
  <c r="P77" i="19"/>
  <c r="O80" i="19"/>
  <c r="O81" i="19" s="1"/>
  <c r="P78" i="19" s="1"/>
  <c r="O40" i="19"/>
  <c r="BT72" i="12"/>
  <c r="O172" i="26"/>
  <c r="P173" i="26"/>
  <c r="P16" i="11"/>
  <c r="O15" i="11"/>
  <c r="L71" i="22"/>
  <c r="K72" i="22"/>
  <c r="O314" i="26"/>
  <c r="N313" i="26"/>
  <c r="M303" i="26"/>
  <c r="M279" i="26"/>
  <c r="M262" i="26"/>
  <c r="M226" i="26"/>
  <c r="M155" i="26"/>
  <c r="M108" i="26"/>
  <c r="M31" i="26"/>
  <c r="N2" i="26"/>
  <c r="Q147" i="26"/>
  <c r="Q88" i="12"/>
  <c r="J18" i="6"/>
  <c r="J17" i="6" s="1"/>
  <c r="D249" i="25"/>
  <c r="G248" i="25"/>
  <c r="D87" i="25"/>
  <c r="G86" i="25"/>
  <c r="V50" i="25"/>
  <c r="K71" i="9"/>
  <c r="K72" i="9" s="1"/>
  <c r="K74" i="9" s="1"/>
  <c r="P125" i="26"/>
  <c r="J53" i="25"/>
  <c r="N87" i="16"/>
  <c r="P8" i="16"/>
  <c r="O3" i="16"/>
  <c r="O4" i="16"/>
  <c r="F34" i="33"/>
  <c r="G34" i="33"/>
  <c r="D35" i="33"/>
  <c r="L195" i="19"/>
  <c r="M112" i="19"/>
  <c r="L149" i="19"/>
  <c r="L172" i="19"/>
  <c r="L157" i="19"/>
  <c r="L142" i="19"/>
  <c r="L188" i="19" s="1"/>
  <c r="AD275" i="25"/>
  <c r="O46" i="19"/>
  <c r="N13" i="12"/>
  <c r="M16" i="12"/>
  <c r="O10" i="22"/>
  <c r="N3" i="22"/>
  <c r="N59" i="12"/>
  <c r="P183" i="26"/>
  <c r="P182" i="26" s="1"/>
  <c r="Q184" i="26"/>
  <c r="O70" i="12"/>
  <c r="O8" i="11"/>
  <c r="N10" i="11"/>
  <c r="O17" i="15" s="1"/>
  <c r="N3" i="11"/>
  <c r="Q76" i="12"/>
  <c r="J13" i="6"/>
  <c r="I98" i="28"/>
  <c r="I78" i="28"/>
  <c r="J66" i="28"/>
  <c r="I92" i="28"/>
  <c r="I84" i="28"/>
  <c r="W47" i="12"/>
  <c r="J148" i="25"/>
  <c r="N20" i="15"/>
  <c r="M26" i="26"/>
  <c r="M13" i="26"/>
  <c r="O18" i="19"/>
  <c r="M36" i="12"/>
  <c r="N33" i="12"/>
  <c r="N35" i="12" s="1"/>
  <c r="Q29" i="25"/>
  <c r="H18" i="33"/>
  <c r="I18" i="33" s="1"/>
  <c r="BG108" i="34"/>
  <c r="AF51" i="18" s="1"/>
  <c r="AY108" i="34"/>
  <c r="AZ108" i="34" s="1"/>
  <c r="BA108" i="34" s="1"/>
  <c r="N367" i="26"/>
  <c r="N188" i="26"/>
  <c r="O190" i="26"/>
  <c r="N91" i="19"/>
  <c r="H77" i="28"/>
  <c r="H103" i="28" s="1"/>
  <c r="H98" i="26"/>
  <c r="H97" i="26" s="1"/>
  <c r="AL206" i="26"/>
  <c r="AI202" i="26"/>
  <c r="M31" i="12"/>
  <c r="N28" i="12"/>
  <c r="N30" i="12" s="1"/>
  <c r="O10" i="23"/>
  <c r="N3" i="23"/>
  <c r="R72" i="26"/>
  <c r="Q70" i="26"/>
  <c r="N135" i="26"/>
  <c r="Q237" i="26"/>
  <c r="P236" i="26"/>
  <c r="Q80" i="12"/>
  <c r="J14" i="6"/>
  <c r="J215" i="25"/>
  <c r="T287" i="26"/>
  <c r="U288" i="26"/>
  <c r="P84" i="12"/>
  <c r="P96" i="12" s="1"/>
  <c r="K202" i="19"/>
  <c r="K179" i="19"/>
  <c r="H246" i="25"/>
  <c r="C246" i="25" s="1"/>
  <c r="O121" i="26"/>
  <c r="P122" i="26"/>
  <c r="K40" i="12"/>
  <c r="K43" i="12" s="1"/>
  <c r="BT84" i="12"/>
  <c r="M126" i="19"/>
  <c r="K81" i="28"/>
  <c r="K101" i="26" s="1"/>
  <c r="K101" i="28"/>
  <c r="K297" i="26" s="1"/>
  <c r="L69" i="28"/>
  <c r="K95" i="28"/>
  <c r="K216" i="26" s="1"/>
  <c r="K87" i="28"/>
  <c r="K20" i="26" s="1"/>
  <c r="I96" i="28"/>
  <c r="I217" i="26" s="1"/>
  <c r="I102" i="28"/>
  <c r="I298" i="26" s="1"/>
  <c r="I82" i="28"/>
  <c r="I102" i="26" s="1"/>
  <c r="J70" i="28"/>
  <c r="I88" i="28"/>
  <c r="I21" i="26" s="1"/>
  <c r="O75" i="28"/>
  <c r="N14" i="26"/>
  <c r="GC101" i="16"/>
  <c r="GD99" i="16"/>
  <c r="GD101" i="16" s="1"/>
  <c r="P115" i="19"/>
  <c r="P116" i="19" s="1"/>
  <c r="L43" i="12" l="1"/>
  <c r="AP27" i="37"/>
  <c r="AP31" i="37" s="1"/>
  <c r="AP32" i="37" s="1"/>
  <c r="R46" i="37"/>
  <c r="AQ26" i="37"/>
  <c r="AQ27" i="37" s="1"/>
  <c r="AQ31" i="37" s="1"/>
  <c r="AQ32" i="37" s="1"/>
  <c r="AQ129" i="37"/>
  <c r="Q202" i="37"/>
  <c r="Q134" i="37"/>
  <c r="F188" i="20"/>
  <c r="F180" i="20"/>
  <c r="F187" i="20"/>
  <c r="F184" i="20"/>
  <c r="F179" i="20"/>
  <c r="F182" i="20"/>
  <c r="F183" i="20"/>
  <c r="F185" i="20"/>
  <c r="F181" i="20"/>
  <c r="F186" i="20"/>
  <c r="M5" i="23"/>
  <c r="H85" i="25"/>
  <c r="C85" i="25" s="1"/>
  <c r="H177" i="25"/>
  <c r="C177" i="25" s="1"/>
  <c r="K11" i="11"/>
  <c r="K18" i="15"/>
  <c r="K54" i="13"/>
  <c r="O4" i="15"/>
  <c r="N3" i="15"/>
  <c r="AD84" i="20"/>
  <c r="G177" i="20"/>
  <c r="F177" i="20"/>
  <c r="J177" i="20"/>
  <c r="I177" i="20"/>
  <c r="H177" i="20"/>
  <c r="L5" i="18"/>
  <c r="M3" i="18"/>
  <c r="AN507" i="20"/>
  <c r="H543" i="20" s="1"/>
  <c r="P50" i="19"/>
  <c r="M8" i="12"/>
  <c r="M38" i="12" s="1"/>
  <c r="P34" i="13"/>
  <c r="P33" i="13" s="1"/>
  <c r="P40" i="19"/>
  <c r="Y433" i="26"/>
  <c r="Y385" i="26" s="1"/>
  <c r="W433" i="26"/>
  <c r="W385" i="26" s="1"/>
  <c r="U433" i="26"/>
  <c r="U385" i="26" s="1"/>
  <c r="V433" i="26"/>
  <c r="V385" i="26" s="1"/>
  <c r="AA433" i="26"/>
  <c r="AA385" i="26" s="1"/>
  <c r="Z433" i="26"/>
  <c r="Z385" i="26" s="1"/>
  <c r="X433" i="26"/>
  <c r="X385" i="26" s="1"/>
  <c r="P70" i="12"/>
  <c r="V212" i="25"/>
  <c r="V145" i="25"/>
  <c r="G249" i="25"/>
  <c r="D250" i="25"/>
  <c r="P314" i="26"/>
  <c r="O313" i="26"/>
  <c r="BU72" i="12"/>
  <c r="H247" i="25"/>
  <c r="C247" i="25" s="1"/>
  <c r="S24" i="11"/>
  <c r="N94" i="12"/>
  <c r="N82" i="12"/>
  <c r="N90" i="12"/>
  <c r="N78" i="12"/>
  <c r="P93" i="16"/>
  <c r="G29" i="16"/>
  <c r="P38" i="19"/>
  <c r="R79" i="26"/>
  <c r="S81" i="26"/>
  <c r="N12" i="23"/>
  <c r="R332" i="26"/>
  <c r="Q331" i="26"/>
  <c r="Q258" i="26"/>
  <c r="R259" i="26"/>
  <c r="O199" i="20"/>
  <c r="N21" i="12"/>
  <c r="O18" i="12"/>
  <c r="O20" i="12" s="1"/>
  <c r="T17" i="25"/>
  <c r="S32" i="25"/>
  <c r="Q122" i="26"/>
  <c r="P121" i="26"/>
  <c r="V288" i="26"/>
  <c r="U287" i="26"/>
  <c r="H128" i="26"/>
  <c r="H124" i="26" s="1"/>
  <c r="H107" i="26" s="1"/>
  <c r="H105" i="26"/>
  <c r="H96" i="26" s="1"/>
  <c r="J18" i="33"/>
  <c r="O20" i="15"/>
  <c r="N6" i="23"/>
  <c r="O53" i="13"/>
  <c r="O44" i="12"/>
  <c r="R5" i="16"/>
  <c r="Q183" i="26"/>
  <c r="Q182" i="26" s="1"/>
  <c r="R184" i="26"/>
  <c r="AE275" i="25"/>
  <c r="P46" i="19"/>
  <c r="M149" i="19"/>
  <c r="M172" i="19"/>
  <c r="M157" i="19"/>
  <c r="M142" i="19"/>
  <c r="M188" i="19" s="1"/>
  <c r="M195" i="19"/>
  <c r="N112" i="19"/>
  <c r="Q8" i="16"/>
  <c r="P3" i="16"/>
  <c r="P4" i="16"/>
  <c r="P15" i="11"/>
  <c r="Q16" i="11"/>
  <c r="Y92" i="12"/>
  <c r="P58" i="13"/>
  <c r="AE274" i="25"/>
  <c r="K38" i="22"/>
  <c r="P45" i="19"/>
  <c r="P48" i="26"/>
  <c r="P46" i="26" s="1"/>
  <c r="Q47" i="26"/>
  <c r="P366" i="26"/>
  <c r="Q197" i="26"/>
  <c r="R131" i="26"/>
  <c r="S132" i="26"/>
  <c r="AE40" i="18"/>
  <c r="AF5" i="18"/>
  <c r="AE35" i="18"/>
  <c r="AE3" i="18"/>
  <c r="P98" i="19"/>
  <c r="P55" i="22"/>
  <c r="BV76" i="12"/>
  <c r="S72" i="26"/>
  <c r="R70" i="26"/>
  <c r="T120" i="26"/>
  <c r="S119" i="26"/>
  <c r="Q200" i="25"/>
  <c r="Q133" i="25"/>
  <c r="Q111" i="25"/>
  <c r="Q110" i="25" s="1"/>
  <c r="R10" i="25"/>
  <c r="Q38" i="25"/>
  <c r="AA108" i="16"/>
  <c r="Z107" i="16"/>
  <c r="H321" i="26"/>
  <c r="H320" i="26"/>
  <c r="H318" i="26"/>
  <c r="H317" i="26" s="1"/>
  <c r="H302" i="26" s="1"/>
  <c r="H300" i="26"/>
  <c r="H292" i="26"/>
  <c r="P23" i="19"/>
  <c r="Q113" i="19"/>
  <c r="O91" i="19"/>
  <c r="I90" i="28"/>
  <c r="I23" i="26" s="1"/>
  <c r="J72" i="28"/>
  <c r="O37" i="22"/>
  <c r="R72" i="12"/>
  <c r="H244" i="26"/>
  <c r="H243" i="26"/>
  <c r="H241" i="26"/>
  <c r="H219" i="26"/>
  <c r="R168" i="19"/>
  <c r="S165" i="19" s="1"/>
  <c r="R169" i="19"/>
  <c r="P323" i="26"/>
  <c r="P322" i="26" s="1"/>
  <c r="Q324" i="26"/>
  <c r="O30" i="22"/>
  <c r="P23" i="22"/>
  <c r="T13" i="14"/>
  <c r="R88" i="12"/>
  <c r="W84" i="11"/>
  <c r="W88" i="11" s="1"/>
  <c r="X83" i="11"/>
  <c r="AL202" i="26"/>
  <c r="AO206" i="26"/>
  <c r="J84" i="28"/>
  <c r="J78" i="28"/>
  <c r="J98" i="28"/>
  <c r="J92" i="28"/>
  <c r="K66" i="28"/>
  <c r="R76" i="12"/>
  <c r="L34" i="33"/>
  <c r="K34" i="33"/>
  <c r="O86" i="25"/>
  <c r="L86" i="25"/>
  <c r="P86" i="25"/>
  <c r="Q86" i="25"/>
  <c r="N86" i="25"/>
  <c r="M86" i="25"/>
  <c r="N279" i="26"/>
  <c r="N303" i="26"/>
  <c r="N262" i="26"/>
  <c r="N226" i="26"/>
  <c r="N155" i="26"/>
  <c r="N108" i="26"/>
  <c r="N31" i="26"/>
  <c r="O2" i="26"/>
  <c r="Q173" i="26"/>
  <c r="P172" i="26"/>
  <c r="M351" i="20"/>
  <c r="Q96" i="11"/>
  <c r="Q97" i="11"/>
  <c r="Q7" i="19"/>
  <c r="P3" i="19"/>
  <c r="O25" i="12"/>
  <c r="P23" i="12" s="1"/>
  <c r="P4" i="12"/>
  <c r="O3" i="12"/>
  <c r="H16" i="26"/>
  <c r="P178" i="25"/>
  <c r="O178" i="25"/>
  <c r="N178" i="25"/>
  <c r="L178" i="25"/>
  <c r="M178" i="25"/>
  <c r="T74" i="26"/>
  <c r="T73" i="26" s="1"/>
  <c r="U75" i="26"/>
  <c r="T76" i="26"/>
  <c r="O26" i="19"/>
  <c r="P27" i="19"/>
  <c r="Q105" i="19"/>
  <c r="I100" i="28"/>
  <c r="I296" i="26" s="1"/>
  <c r="I94" i="28"/>
  <c r="I215" i="26" s="1"/>
  <c r="I86" i="28"/>
  <c r="I19" i="26" s="1"/>
  <c r="I80" i="28"/>
  <c r="I100" i="26" s="1"/>
  <c r="J68" i="28"/>
  <c r="O58" i="22"/>
  <c r="O61" i="22" s="1"/>
  <c r="O73" i="22" s="1"/>
  <c r="P57" i="22"/>
  <c r="J89" i="28"/>
  <c r="J22" i="26" s="1"/>
  <c r="K71" i="28"/>
  <c r="Z41" i="18"/>
  <c r="O87" i="16"/>
  <c r="V85" i="11"/>
  <c r="X26" i="25" s="1"/>
  <c r="V86" i="11"/>
  <c r="N4" i="23"/>
  <c r="X47" i="12"/>
  <c r="I91" i="28"/>
  <c r="I213" i="26"/>
  <c r="I212" i="26" s="1"/>
  <c r="J96" i="28"/>
  <c r="J217" i="26" s="1"/>
  <c r="J82" i="28"/>
  <c r="J102" i="26" s="1"/>
  <c r="K70" i="28"/>
  <c r="J88" i="28"/>
  <c r="J21" i="26" s="1"/>
  <c r="J102" i="28"/>
  <c r="J298" i="26" s="1"/>
  <c r="P10" i="23"/>
  <c r="O3" i="23"/>
  <c r="N13" i="26"/>
  <c r="N26" i="26"/>
  <c r="Q30" i="25"/>
  <c r="Q34" i="25" s="1"/>
  <c r="I98" i="26"/>
  <c r="L202" i="19"/>
  <c r="L179" i="19"/>
  <c r="Q77" i="19"/>
  <c r="P80" i="19"/>
  <c r="P81" i="19" s="1"/>
  <c r="Q78" i="19" s="1"/>
  <c r="S94" i="11"/>
  <c r="R95" i="11"/>
  <c r="P368" i="26"/>
  <c r="Q285" i="26"/>
  <c r="P81" i="23"/>
  <c r="V31" i="11"/>
  <c r="S88" i="26"/>
  <c r="D180" i="25"/>
  <c r="G179" i="25"/>
  <c r="P90" i="26"/>
  <c r="O87" i="26"/>
  <c r="AA41" i="18"/>
  <c r="T60" i="26"/>
  <c r="S59" i="26"/>
  <c r="S58" i="26" s="1"/>
  <c r="M16" i="16"/>
  <c r="M9" i="16" s="1"/>
  <c r="M49" i="16"/>
  <c r="P252" i="26"/>
  <c r="P251" i="26" s="1"/>
  <c r="Q253" i="26"/>
  <c r="Q84" i="12"/>
  <c r="Q96" i="12" s="1"/>
  <c r="J15" i="6"/>
  <c r="J11" i="6" s="1"/>
  <c r="I17" i="26"/>
  <c r="R80" i="12"/>
  <c r="D36" i="33"/>
  <c r="G35" i="33"/>
  <c r="Q125" i="26"/>
  <c r="G87" i="25"/>
  <c r="D88" i="25"/>
  <c r="R147" i="26"/>
  <c r="R237" i="26"/>
  <c r="Q236" i="26"/>
  <c r="BH108" i="34"/>
  <c r="AG51" i="18" s="1"/>
  <c r="BB108" i="34"/>
  <c r="BC108" i="34" s="1"/>
  <c r="BD108" i="34" s="1"/>
  <c r="I97" i="28"/>
  <c r="I294" i="26"/>
  <c r="I293" i="26" s="1"/>
  <c r="O59" i="12"/>
  <c r="W50" i="25"/>
  <c r="D32" i="15"/>
  <c r="L71" i="9"/>
  <c r="L72" i="9" s="1"/>
  <c r="L74" i="9" s="1"/>
  <c r="AD22" i="13"/>
  <c r="AD20" i="13" s="1"/>
  <c r="AE23" i="13"/>
  <c r="P14" i="19"/>
  <c r="O57" i="26"/>
  <c r="P1" i="26"/>
  <c r="R4" i="21"/>
  <c r="Q63" i="19"/>
  <c r="O135" i="26"/>
  <c r="L87" i="28"/>
  <c r="L20" i="26" s="1"/>
  <c r="L95" i="28"/>
  <c r="L216" i="26" s="1"/>
  <c r="L81" i="28"/>
  <c r="L101" i="26" s="1"/>
  <c r="L101" i="28"/>
  <c r="L297" i="26" s="1"/>
  <c r="M69" i="28"/>
  <c r="O10" i="11"/>
  <c r="O3" i="11"/>
  <c r="P8" i="11"/>
  <c r="O3" i="22"/>
  <c r="P10" i="22"/>
  <c r="P75" i="28"/>
  <c r="O14" i="26"/>
  <c r="BU84" i="12"/>
  <c r="N31" i="12"/>
  <c r="O28" i="12"/>
  <c r="O30" i="12" s="1"/>
  <c r="K145" i="19" s="1"/>
  <c r="P18" i="19"/>
  <c r="N126" i="19"/>
  <c r="O367" i="26"/>
  <c r="P190" i="26"/>
  <c r="O188" i="26"/>
  <c r="O33" i="12"/>
  <c r="O35" i="12" s="1"/>
  <c r="N36" i="12"/>
  <c r="N16" i="12"/>
  <c r="Q248" i="25"/>
  <c r="M248" i="25"/>
  <c r="L248" i="25"/>
  <c r="P248" i="25"/>
  <c r="S248" i="25"/>
  <c r="N248" i="25"/>
  <c r="R248" i="25"/>
  <c r="O248" i="25"/>
  <c r="M71" i="22"/>
  <c r="L72" i="22"/>
  <c r="N270" i="20"/>
  <c r="Z3" i="13"/>
  <c r="Q180" i="26"/>
  <c r="P179" i="26"/>
  <c r="J99" i="28"/>
  <c r="J295" i="26" s="1"/>
  <c r="J85" i="28"/>
  <c r="J18" i="26" s="1"/>
  <c r="J93" i="28"/>
  <c r="J214" i="26" s="1"/>
  <c r="J79" i="28"/>
  <c r="J99" i="26" s="1"/>
  <c r="K67" i="28"/>
  <c r="N15" i="12"/>
  <c r="O13" i="12" s="1"/>
  <c r="R84" i="26"/>
  <c r="Q83" i="26"/>
  <c r="R3" i="17"/>
  <c r="W207" i="25"/>
  <c r="W140" i="25"/>
  <c r="W45" i="25"/>
  <c r="R105" i="23"/>
  <c r="R141" i="26"/>
  <c r="S142" i="26"/>
  <c r="P136" i="26"/>
  <c r="Q137" i="26"/>
  <c r="R134" i="37" l="1"/>
  <c r="R202" i="37"/>
  <c r="AR129" i="37"/>
  <c r="AR26" i="37"/>
  <c r="S46" i="37"/>
  <c r="N5" i="23"/>
  <c r="L11" i="11"/>
  <c r="L54" i="13"/>
  <c r="L18" i="15"/>
  <c r="P17" i="15"/>
  <c r="M10" i="12"/>
  <c r="N8" i="12" s="1"/>
  <c r="N38" i="12" s="1"/>
  <c r="Q14" i="19"/>
  <c r="P4" i="15"/>
  <c r="O3" i="15"/>
  <c r="AE84" i="20"/>
  <c r="K5" i="18"/>
  <c r="L3" i="18"/>
  <c r="AO507" i="20"/>
  <c r="I543" i="20" s="1"/>
  <c r="Q34" i="13"/>
  <c r="Q33" i="13" s="1"/>
  <c r="J16" i="6"/>
  <c r="K15" i="6" s="1"/>
  <c r="O16" i="12"/>
  <c r="O15" i="12"/>
  <c r="P13" i="12" s="1"/>
  <c r="P15" i="12" s="1"/>
  <c r="Q98" i="19"/>
  <c r="P199" i="20"/>
  <c r="S259" i="26"/>
  <c r="R258" i="26"/>
  <c r="S79" i="26"/>
  <c r="T81" i="26"/>
  <c r="O303" i="26"/>
  <c r="O279" i="26"/>
  <c r="O262" i="26"/>
  <c r="O226" i="26"/>
  <c r="O155" i="26"/>
  <c r="O108" i="26"/>
  <c r="P2" i="26"/>
  <c r="O31" i="26"/>
  <c r="J98" i="26"/>
  <c r="W85" i="11"/>
  <c r="Y26" i="25" s="1"/>
  <c r="W86" i="11"/>
  <c r="P30" i="22"/>
  <c r="Q23" i="22"/>
  <c r="S72" i="12"/>
  <c r="R180" i="26"/>
  <c r="Q179" i="26"/>
  <c r="O126" i="19"/>
  <c r="M101" i="28"/>
  <c r="M297" i="26" s="1"/>
  <c r="M81" i="28"/>
  <c r="M101" i="26" s="1"/>
  <c r="M95" i="28"/>
  <c r="M216" i="26" s="1"/>
  <c r="N69" i="28"/>
  <c r="M87" i="28"/>
  <c r="M20" i="26" s="1"/>
  <c r="AE22" i="13"/>
  <c r="AE20" i="13" s="1"/>
  <c r="AF23" i="13"/>
  <c r="I16" i="26"/>
  <c r="U60" i="26"/>
  <c r="T59" i="26"/>
  <c r="T58" i="26" s="1"/>
  <c r="D181" i="25"/>
  <c r="G180" i="25"/>
  <c r="S95" i="11"/>
  <c r="T94" i="11"/>
  <c r="P87" i="16"/>
  <c r="P58" i="22"/>
  <c r="P61" i="22" s="1"/>
  <c r="P73" i="22" s="1"/>
  <c r="Q57" i="22"/>
  <c r="H12" i="26"/>
  <c r="H28" i="26"/>
  <c r="H25" i="26" s="1"/>
  <c r="H55" i="26"/>
  <c r="H53" i="26"/>
  <c r="H52" i="26" s="1"/>
  <c r="H30" i="26" s="1"/>
  <c r="H56" i="26"/>
  <c r="R7" i="19"/>
  <c r="Q3" i="19"/>
  <c r="J17" i="26"/>
  <c r="S88" i="12"/>
  <c r="S168" i="19"/>
  <c r="T165" i="19" s="1"/>
  <c r="S169" i="19"/>
  <c r="P37" i="22"/>
  <c r="Q55" i="22"/>
  <c r="T132" i="26"/>
  <c r="S131" i="26"/>
  <c r="Q50" i="19"/>
  <c r="O94" i="12"/>
  <c r="O78" i="12"/>
  <c r="O90" i="12"/>
  <c r="O82" i="12"/>
  <c r="W288" i="26"/>
  <c r="V287" i="26"/>
  <c r="O21" i="12"/>
  <c r="P18" i="12"/>
  <c r="P20" i="12" s="1"/>
  <c r="P50" i="12" s="1"/>
  <c r="S147" i="26"/>
  <c r="I83" i="28"/>
  <c r="I97" i="26"/>
  <c r="K102" i="28"/>
  <c r="K298" i="26" s="1"/>
  <c r="K82" i="28"/>
  <c r="K102" i="26" s="1"/>
  <c r="K88" i="28"/>
  <c r="K21" i="26" s="1"/>
  <c r="K96" i="28"/>
  <c r="K217" i="26" s="1"/>
  <c r="L70" i="28"/>
  <c r="Y47" i="12"/>
  <c r="J34" i="23"/>
  <c r="O62" i="16"/>
  <c r="AF274" i="25"/>
  <c r="L38" i="22"/>
  <c r="Q45" i="19"/>
  <c r="Z92" i="12"/>
  <c r="AF275" i="25"/>
  <c r="Q46" i="19"/>
  <c r="Q38" i="19"/>
  <c r="Q75" i="28"/>
  <c r="P14" i="26"/>
  <c r="P10" i="11"/>
  <c r="Q17" i="15" s="1"/>
  <c r="P3" i="11"/>
  <c r="Q8" i="11"/>
  <c r="O270" i="20"/>
  <c r="R96" i="11"/>
  <c r="R97" i="11"/>
  <c r="S4" i="21"/>
  <c r="P57" i="26"/>
  <c r="Q1" i="26"/>
  <c r="H248" i="25"/>
  <c r="C248" i="25" s="1"/>
  <c r="O36" i="12"/>
  <c r="P33" i="12"/>
  <c r="P35" i="12" s="1"/>
  <c r="BV84" i="12"/>
  <c r="Q10" i="22"/>
  <c r="P3" i="22"/>
  <c r="R63" i="19"/>
  <c r="BI108" i="34"/>
  <c r="AH51" i="18" s="1"/>
  <c r="BE108" i="34"/>
  <c r="G88" i="25"/>
  <c r="D89" i="25"/>
  <c r="L35" i="33"/>
  <c r="K35" i="33"/>
  <c r="K34" i="23"/>
  <c r="K35" i="23" s="1"/>
  <c r="T88" i="26"/>
  <c r="I77" i="28"/>
  <c r="Q57" i="25"/>
  <c r="R105" i="19"/>
  <c r="V75" i="26"/>
  <c r="U74" i="26"/>
  <c r="U73" i="26" s="1"/>
  <c r="U76" i="26"/>
  <c r="Q4" i="12"/>
  <c r="P3" i="12"/>
  <c r="P25" i="12"/>
  <c r="Q23" i="12" s="1"/>
  <c r="N351" i="20"/>
  <c r="S76" i="12"/>
  <c r="K72" i="28"/>
  <c r="J90" i="28"/>
  <c r="J23" i="26" s="1"/>
  <c r="Q366" i="26"/>
  <c r="R197" i="26"/>
  <c r="Q4" i="16"/>
  <c r="Q3" i="16"/>
  <c r="R8" i="16"/>
  <c r="P20" i="15"/>
  <c r="Q121" i="26"/>
  <c r="R122" i="26"/>
  <c r="T24" i="11"/>
  <c r="Q10" i="23"/>
  <c r="P3" i="23"/>
  <c r="X50" i="25"/>
  <c r="E32" i="15"/>
  <c r="F34" i="15" s="1"/>
  <c r="M71" i="9"/>
  <c r="M72" i="9" s="1"/>
  <c r="M74" i="9" s="1"/>
  <c r="O6" i="23"/>
  <c r="O5" i="23" s="1"/>
  <c r="P53" i="13"/>
  <c r="S5" i="16"/>
  <c r="P44" i="12"/>
  <c r="Q179" i="25"/>
  <c r="O179" i="25"/>
  <c r="N179" i="25"/>
  <c r="P179" i="25"/>
  <c r="L179" i="25"/>
  <c r="M179" i="25"/>
  <c r="Q27" i="19"/>
  <c r="P26" i="19"/>
  <c r="M40" i="12"/>
  <c r="M43" i="12" s="1"/>
  <c r="S102" i="23"/>
  <c r="S3" i="17"/>
  <c r="K99" i="28"/>
  <c r="K295" i="26" s="1"/>
  <c r="K93" i="28"/>
  <c r="K214" i="26" s="1"/>
  <c r="K85" i="28"/>
  <c r="K18" i="26" s="1"/>
  <c r="L67" i="28"/>
  <c r="K79" i="28"/>
  <c r="K99" i="26" s="1"/>
  <c r="AA3" i="13"/>
  <c r="Q18" i="19"/>
  <c r="E34" i="15"/>
  <c r="Q87" i="25"/>
  <c r="L87" i="25"/>
  <c r="M87" i="25"/>
  <c r="O87" i="25"/>
  <c r="P87" i="25"/>
  <c r="N87" i="25"/>
  <c r="R87" i="25"/>
  <c r="G36" i="33"/>
  <c r="D37" i="33"/>
  <c r="F36" i="33"/>
  <c r="R84" i="12"/>
  <c r="R96" i="12" s="1"/>
  <c r="Q368" i="26"/>
  <c r="R285" i="26"/>
  <c r="K89" i="28"/>
  <c r="K22" i="26" s="1"/>
  <c r="L71" i="28"/>
  <c r="H86" i="25"/>
  <c r="C86" i="25" s="1"/>
  <c r="Q115" i="19"/>
  <c r="Q116" i="19" s="1"/>
  <c r="T72" i="26"/>
  <c r="S70" i="26"/>
  <c r="O12" i="23"/>
  <c r="Q58" i="13"/>
  <c r="Q40" i="19"/>
  <c r="N149" i="19"/>
  <c r="N172" i="19"/>
  <c r="N157" i="19"/>
  <c r="N142" i="19"/>
  <c r="N188" i="19" s="1"/>
  <c r="N195" i="19"/>
  <c r="O112" i="19"/>
  <c r="H20" i="33"/>
  <c r="I20" i="33" s="1"/>
  <c r="J19" i="33"/>
  <c r="H19" i="33"/>
  <c r="I19" i="33" s="1"/>
  <c r="R20" i="33" s="1"/>
  <c r="Q93" i="16"/>
  <c r="P313" i="26"/>
  <c r="Q314" i="26"/>
  <c r="R253" i="26"/>
  <c r="Q252" i="26"/>
  <c r="Q251" i="26" s="1"/>
  <c r="T142" i="26"/>
  <c r="S141" i="26"/>
  <c r="I320" i="26"/>
  <c r="I300" i="26"/>
  <c r="I321" i="26"/>
  <c r="I318" i="26"/>
  <c r="I292" i="26"/>
  <c r="X207" i="25"/>
  <c r="X140" i="25"/>
  <c r="X45" i="25"/>
  <c r="R83" i="26"/>
  <c r="S84" i="26"/>
  <c r="R137" i="26"/>
  <c r="Q136" i="26"/>
  <c r="P135" i="26"/>
  <c r="N71" i="22"/>
  <c r="M72" i="22"/>
  <c r="P367" i="26"/>
  <c r="Q190" i="26"/>
  <c r="P188" i="26"/>
  <c r="O31" i="12"/>
  <c r="P28" i="12"/>
  <c r="O26" i="26"/>
  <c r="O13" i="26"/>
  <c r="W212" i="25"/>
  <c r="W145" i="25"/>
  <c r="P59" i="12"/>
  <c r="S80" i="12"/>
  <c r="W31" i="11"/>
  <c r="J100" i="28"/>
  <c r="J296" i="26" s="1"/>
  <c r="J94" i="28"/>
  <c r="J215" i="26" s="1"/>
  <c r="J86" i="28"/>
  <c r="J19" i="26" s="1"/>
  <c r="J80" i="28"/>
  <c r="J100" i="26" s="1"/>
  <c r="K68" i="28"/>
  <c r="K98" i="28"/>
  <c r="K84" i="28"/>
  <c r="L66" i="28"/>
  <c r="K92" i="28"/>
  <c r="K78" i="28"/>
  <c r="AR206" i="26"/>
  <c r="AO202" i="26"/>
  <c r="H240" i="26"/>
  <c r="AF40" i="18"/>
  <c r="AG5" i="18"/>
  <c r="AF35" i="18"/>
  <c r="AF3" i="18"/>
  <c r="Q15" i="11"/>
  <c r="R16" i="11"/>
  <c r="S184" i="26"/>
  <c r="R183" i="26"/>
  <c r="R182" i="26" s="1"/>
  <c r="S332" i="26"/>
  <c r="R331" i="26"/>
  <c r="Q70" i="12"/>
  <c r="R236" i="26"/>
  <c r="S237" i="26"/>
  <c r="R125" i="26"/>
  <c r="Q90" i="26"/>
  <c r="P87" i="26"/>
  <c r="Q81" i="23"/>
  <c r="R77" i="19"/>
  <c r="Q80" i="19"/>
  <c r="Q81" i="19" s="1"/>
  <c r="R78" i="19" s="1"/>
  <c r="I219" i="26"/>
  <c r="I243" i="26"/>
  <c r="I241" i="26"/>
  <c r="I244" i="26"/>
  <c r="N118" i="23"/>
  <c r="H178" i="25"/>
  <c r="C178" i="25" s="1"/>
  <c r="Q172" i="26"/>
  <c r="R173" i="26"/>
  <c r="J213" i="26"/>
  <c r="J212" i="26" s="1"/>
  <c r="R324" i="26"/>
  <c r="Q323" i="26"/>
  <c r="Q322" i="26" s="1"/>
  <c r="P91" i="19"/>
  <c r="R200" i="25"/>
  <c r="R133" i="25"/>
  <c r="R111" i="25"/>
  <c r="R110" i="25" s="1"/>
  <c r="R38" i="25"/>
  <c r="S10" i="25"/>
  <c r="T119" i="26"/>
  <c r="U120" i="26"/>
  <c r="BW76" i="12"/>
  <c r="R47" i="26"/>
  <c r="Q48" i="26"/>
  <c r="Q46" i="26" s="1"/>
  <c r="M202" i="19"/>
  <c r="M179" i="19"/>
  <c r="G250" i="25"/>
  <c r="D251" i="25"/>
  <c r="J97" i="28"/>
  <c r="J294" i="26"/>
  <c r="J293" i="26" s="1"/>
  <c r="X84" i="11"/>
  <c r="X88" i="11" s="1"/>
  <c r="Y83" i="11"/>
  <c r="AB108" i="16"/>
  <c r="AA107" i="16"/>
  <c r="U17" i="25"/>
  <c r="T32" i="25"/>
  <c r="BV72" i="12"/>
  <c r="R249" i="25"/>
  <c r="Q249" i="25"/>
  <c r="O249" i="25"/>
  <c r="T249" i="25"/>
  <c r="S249" i="25"/>
  <c r="N249" i="25"/>
  <c r="M249" i="25"/>
  <c r="L249" i="25"/>
  <c r="P249" i="25"/>
  <c r="AR27" i="37" l="1"/>
  <c r="AR31" i="37" s="1"/>
  <c r="AR32" i="37" s="1"/>
  <c r="R24" i="25"/>
  <c r="R25" i="25" s="1"/>
  <c r="R29" i="25" s="1"/>
  <c r="R30" i="25" s="1"/>
  <c r="R34" i="25" s="1"/>
  <c r="N10" i="12"/>
  <c r="N40" i="12" s="1"/>
  <c r="AC41" i="18" s="1"/>
  <c r="AS26" i="37"/>
  <c r="AS27" i="37" s="1"/>
  <c r="AS31" i="37" s="1"/>
  <c r="AS32" i="37" s="1"/>
  <c r="AS129" i="37"/>
  <c r="S202" i="37"/>
  <c r="T46" i="37"/>
  <c r="S134" i="37"/>
  <c r="R38" i="19"/>
  <c r="M54" i="13"/>
  <c r="M18" i="15"/>
  <c r="M11" i="11"/>
  <c r="R40" i="19"/>
  <c r="R14" i="19"/>
  <c r="S14" i="19" s="1"/>
  <c r="Q4" i="15"/>
  <c r="P3" i="15"/>
  <c r="AF84" i="20"/>
  <c r="GI56" i="18"/>
  <c r="GI57" i="18" s="1"/>
  <c r="J5" i="18"/>
  <c r="K3" i="18"/>
  <c r="AE56" i="18"/>
  <c r="AE57" i="18" s="1"/>
  <c r="AP507" i="20"/>
  <c r="K11" i="6"/>
  <c r="R50" i="19"/>
  <c r="R34" i="13"/>
  <c r="R33" i="13" s="1"/>
  <c r="R113" i="19"/>
  <c r="Q23" i="19"/>
  <c r="P12" i="23"/>
  <c r="R18" i="19"/>
  <c r="Q20" i="15"/>
  <c r="P13" i="26"/>
  <c r="P26" i="26"/>
  <c r="L102" i="28"/>
  <c r="L298" i="26" s="1"/>
  <c r="L88" i="28"/>
  <c r="L21" i="26" s="1"/>
  <c r="L96" i="28"/>
  <c r="L217" i="26" s="1"/>
  <c r="L82" i="28"/>
  <c r="L102" i="26" s="1"/>
  <c r="M70" i="28"/>
  <c r="T169" i="19"/>
  <c r="T168" i="19"/>
  <c r="U165" i="19" s="1"/>
  <c r="BX76" i="12"/>
  <c r="R323" i="26"/>
  <c r="R322" i="26" s="1"/>
  <c r="S324" i="26"/>
  <c r="R90" i="26"/>
  <c r="Q87" i="26"/>
  <c r="R15" i="11"/>
  <c r="S16" i="11"/>
  <c r="K213" i="26"/>
  <c r="X31" i="11"/>
  <c r="J20" i="33"/>
  <c r="E109" i="33"/>
  <c r="D38" i="33"/>
  <c r="F37" i="33"/>
  <c r="G37" i="33"/>
  <c r="G108" i="33" s="1"/>
  <c r="L93" i="28"/>
  <c r="L214" i="26" s="1"/>
  <c r="L99" i="28"/>
  <c r="L295" i="26" s="1"/>
  <c r="L79" i="28"/>
  <c r="L99" i="26" s="1"/>
  <c r="L85" i="28"/>
  <c r="L18" i="26" s="1"/>
  <c r="M67" i="28"/>
  <c r="T147" i="26"/>
  <c r="K16" i="6"/>
  <c r="K10" i="6"/>
  <c r="K9" i="6"/>
  <c r="K8" i="6"/>
  <c r="K13" i="6"/>
  <c r="K12" i="6"/>
  <c r="K14" i="6"/>
  <c r="R4" i="12"/>
  <c r="Q3" i="12"/>
  <c r="Q25" i="12"/>
  <c r="R23" i="12" s="1"/>
  <c r="AG274" i="25"/>
  <c r="M38" i="22"/>
  <c r="R45" i="19"/>
  <c r="J35" i="23"/>
  <c r="J16" i="26"/>
  <c r="T95" i="11"/>
  <c r="U94" i="11"/>
  <c r="AF22" i="13"/>
  <c r="AF20" i="13" s="1"/>
  <c r="AG23" i="13"/>
  <c r="P262" i="26"/>
  <c r="P303" i="26"/>
  <c r="P279" i="26"/>
  <c r="P226" i="26"/>
  <c r="P108" i="26"/>
  <c r="P155" i="26"/>
  <c r="P31" i="26"/>
  <c r="Q2" i="26"/>
  <c r="U81" i="26"/>
  <c r="T79" i="26"/>
  <c r="R172" i="26"/>
  <c r="S173" i="26"/>
  <c r="L36" i="33"/>
  <c r="K36" i="33"/>
  <c r="V76" i="26"/>
  <c r="V74" i="26" s="1"/>
  <c r="V73" i="26" s="1"/>
  <c r="W75" i="26"/>
  <c r="J83" i="28"/>
  <c r="Q58" i="22"/>
  <c r="Q61" i="22" s="1"/>
  <c r="Q73" i="22" s="1"/>
  <c r="R57" i="22"/>
  <c r="S96" i="11"/>
  <c r="S97" i="11"/>
  <c r="R23" i="22"/>
  <c r="Q30" i="22"/>
  <c r="R98" i="19"/>
  <c r="O71" i="22"/>
  <c r="N72" i="22"/>
  <c r="K90" i="28"/>
  <c r="K23" i="26" s="1"/>
  <c r="L72" i="28"/>
  <c r="AG275" i="25"/>
  <c r="R46" i="19"/>
  <c r="S77" i="19"/>
  <c r="R80" i="19"/>
  <c r="R81" i="19" s="1"/>
  <c r="S78" i="19" s="1"/>
  <c r="S236" i="26"/>
  <c r="T237" i="26"/>
  <c r="K294" i="26"/>
  <c r="Q135" i="26"/>
  <c r="I317" i="26"/>
  <c r="I302" i="26" s="1"/>
  <c r="R58" i="13"/>
  <c r="U72" i="26"/>
  <c r="T70" i="26"/>
  <c r="AB41" i="18"/>
  <c r="Q26" i="19"/>
  <c r="R27" i="19"/>
  <c r="S105" i="19"/>
  <c r="R88" i="25"/>
  <c r="N88" i="25"/>
  <c r="M88" i="25"/>
  <c r="O88" i="25"/>
  <c r="Q88" i="25"/>
  <c r="L88" i="25"/>
  <c r="P88" i="25"/>
  <c r="S88" i="25"/>
  <c r="T4" i="21"/>
  <c r="Q10" i="11"/>
  <c r="R17" i="15" s="1"/>
  <c r="Q3" i="11"/>
  <c r="R8" i="11"/>
  <c r="I105" i="26"/>
  <c r="I96" i="26" s="1"/>
  <c r="I128" i="26"/>
  <c r="I124" i="26" s="1"/>
  <c r="I107" i="26" s="1"/>
  <c r="Q37" i="22"/>
  <c r="S7" i="19"/>
  <c r="S50" i="19" s="1"/>
  <c r="R3" i="19"/>
  <c r="Q180" i="25"/>
  <c r="N180" i="25"/>
  <c r="R180" i="25"/>
  <c r="P180" i="25"/>
  <c r="L180" i="25"/>
  <c r="O180" i="25"/>
  <c r="M180" i="25"/>
  <c r="P126" i="19"/>
  <c r="Q199" i="20"/>
  <c r="P31" i="12"/>
  <c r="J244" i="26"/>
  <c r="J243" i="26"/>
  <c r="J241" i="26"/>
  <c r="J219" i="26"/>
  <c r="K94" i="28"/>
  <c r="K215" i="26" s="1"/>
  <c r="K86" i="28"/>
  <c r="K19" i="26" s="1"/>
  <c r="K100" i="28"/>
  <c r="K296" i="26" s="1"/>
  <c r="L68" i="28"/>
  <c r="K80" i="28"/>
  <c r="K100" i="26" s="1"/>
  <c r="S137" i="26"/>
  <c r="R136" i="26"/>
  <c r="S253" i="26"/>
  <c r="R252" i="26"/>
  <c r="R251" i="26" s="1"/>
  <c r="X212" i="25"/>
  <c r="X145" i="25"/>
  <c r="X123" i="25"/>
  <c r="X122" i="25" s="1"/>
  <c r="X126" i="25" s="1"/>
  <c r="U24" i="11"/>
  <c r="R121" i="26"/>
  <c r="S122" i="26"/>
  <c r="R366" i="26"/>
  <c r="S197" i="26"/>
  <c r="BW84" i="12"/>
  <c r="P270" i="20"/>
  <c r="AA92" i="12"/>
  <c r="P21" i="12"/>
  <c r="P52" i="12" s="1"/>
  <c r="Q18" i="12"/>
  <c r="P49" i="12"/>
  <c r="P51" i="12" s="1"/>
  <c r="D182" i="25"/>
  <c r="G181" i="25"/>
  <c r="Y50" i="25"/>
  <c r="F32" i="15"/>
  <c r="N71" i="9"/>
  <c r="N72" i="9" s="1"/>
  <c r="N74" i="9" s="1"/>
  <c r="T259" i="26"/>
  <c r="S258" i="26"/>
  <c r="L98" i="28"/>
  <c r="L92" i="28"/>
  <c r="L84" i="28"/>
  <c r="M66" i="28"/>
  <c r="L78" i="28"/>
  <c r="G251" i="25"/>
  <c r="D252" i="25"/>
  <c r="V120" i="26"/>
  <c r="U119" i="26"/>
  <c r="K83" i="28"/>
  <c r="K17" i="26"/>
  <c r="K16" i="26" s="1"/>
  <c r="T80" i="12"/>
  <c r="U142" i="26"/>
  <c r="T141" i="26"/>
  <c r="L89" i="28"/>
  <c r="L22" i="26" s="1"/>
  <c r="M71" i="28"/>
  <c r="U88" i="26"/>
  <c r="D90" i="25"/>
  <c r="G89" i="25"/>
  <c r="R10" i="22"/>
  <c r="Q3" i="22"/>
  <c r="M34" i="23"/>
  <c r="M35" i="23" s="1"/>
  <c r="U132" i="26"/>
  <c r="T131" i="26"/>
  <c r="O250" i="25"/>
  <c r="N250" i="25"/>
  <c r="Q250" i="25"/>
  <c r="R250" i="25"/>
  <c r="M250" i="25"/>
  <c r="T250" i="25"/>
  <c r="U250" i="25"/>
  <c r="P250" i="25"/>
  <c r="L250" i="25"/>
  <c r="S250" i="25"/>
  <c r="Y84" i="11"/>
  <c r="Y88" i="11" s="1"/>
  <c r="Z83" i="11"/>
  <c r="Z84" i="11" s="1"/>
  <c r="Z88" i="11" s="1"/>
  <c r="X85" i="11"/>
  <c r="Z26" i="25" s="1"/>
  <c r="X86" i="11"/>
  <c r="S47" i="26"/>
  <c r="R48" i="26"/>
  <c r="R46" i="26" s="1"/>
  <c r="Q91" i="19"/>
  <c r="J91" i="28"/>
  <c r="R81" i="23"/>
  <c r="Q59" i="12"/>
  <c r="T84" i="26"/>
  <c r="S83" i="26"/>
  <c r="Q313" i="26"/>
  <c r="R314" i="26"/>
  <c r="O149" i="19"/>
  <c r="O172" i="19"/>
  <c r="O157" i="19"/>
  <c r="O142" i="19"/>
  <c r="O188" i="19" s="1"/>
  <c r="O195" i="19"/>
  <c r="P112" i="19"/>
  <c r="S84" i="12"/>
  <c r="AB3" i="13"/>
  <c r="T3" i="17"/>
  <c r="H179" i="25"/>
  <c r="C179" i="25" s="1"/>
  <c r="P94" i="12"/>
  <c r="P82" i="12"/>
  <c r="P78" i="12"/>
  <c r="P90" i="12"/>
  <c r="R4" i="16"/>
  <c r="R3" i="16"/>
  <c r="S8" i="16"/>
  <c r="T76" i="12"/>
  <c r="P30" i="12"/>
  <c r="Q57" i="26"/>
  <c r="R1" i="26"/>
  <c r="P6" i="23"/>
  <c r="P5" i="23" s="1"/>
  <c r="T5" i="16"/>
  <c r="Q53" i="13"/>
  <c r="Q44" i="12"/>
  <c r="O25" i="16"/>
  <c r="Z47" i="12"/>
  <c r="O8" i="12"/>
  <c r="R55" i="22"/>
  <c r="Q87" i="16"/>
  <c r="R179" i="26"/>
  <c r="S180" i="26"/>
  <c r="Y207" i="25"/>
  <c r="Y140" i="25"/>
  <c r="Y45" i="25"/>
  <c r="AC108" i="16"/>
  <c r="AB107" i="16"/>
  <c r="V17" i="25"/>
  <c r="U32" i="25"/>
  <c r="R70" i="12"/>
  <c r="Q367" i="26"/>
  <c r="Q188" i="26"/>
  <c r="R190" i="26"/>
  <c r="R10" i="23"/>
  <c r="Q3" i="23"/>
  <c r="O351" i="20"/>
  <c r="U59" i="26"/>
  <c r="U58" i="26" s="1"/>
  <c r="V60" i="26"/>
  <c r="N95" i="28"/>
  <c r="N216" i="26" s="1"/>
  <c r="N87" i="28"/>
  <c r="N20" i="26" s="1"/>
  <c r="N81" i="28"/>
  <c r="N101" i="26" s="1"/>
  <c r="O69" i="28"/>
  <c r="N101" i="28"/>
  <c r="N297" i="26" s="1"/>
  <c r="J97" i="26"/>
  <c r="P16" i="12"/>
  <c r="Q13" i="12"/>
  <c r="Q15" i="12" s="1"/>
  <c r="S125" i="26"/>
  <c r="T332" i="26"/>
  <c r="S331" i="26"/>
  <c r="J321" i="26"/>
  <c r="J318" i="26"/>
  <c r="J317" i="26" s="1"/>
  <c r="J302" i="26" s="1"/>
  <c r="J320" i="26"/>
  <c r="J292" i="26"/>
  <c r="J300" i="26"/>
  <c r="S200" i="25"/>
  <c r="S133" i="25"/>
  <c r="S111" i="25"/>
  <c r="S110" i="25" s="1"/>
  <c r="S38" i="25"/>
  <c r="T10" i="25"/>
  <c r="S183" i="26"/>
  <c r="S182" i="26" s="1"/>
  <c r="T184" i="26"/>
  <c r="AU206" i="26"/>
  <c r="AU202" i="26" s="1"/>
  <c r="AR202" i="26"/>
  <c r="R93" i="16"/>
  <c r="H249" i="25"/>
  <c r="C249" i="25" s="1"/>
  <c r="BW72" i="12"/>
  <c r="I240" i="26"/>
  <c r="AH5" i="18"/>
  <c r="AG40" i="18"/>
  <c r="AG35" i="18"/>
  <c r="AG3" i="18"/>
  <c r="K77" i="28"/>
  <c r="K98" i="26"/>
  <c r="K97" i="26" s="1"/>
  <c r="N202" i="19"/>
  <c r="N179" i="19"/>
  <c r="R368" i="26"/>
  <c r="S285" i="26"/>
  <c r="H87" i="25"/>
  <c r="C87" i="25" s="1"/>
  <c r="I103" i="28"/>
  <c r="S63" i="19"/>
  <c r="P36" i="12"/>
  <c r="Q33" i="12"/>
  <c r="R75" i="28"/>
  <c r="Q14" i="26"/>
  <c r="W287" i="26"/>
  <c r="X288" i="26"/>
  <c r="T88" i="12"/>
  <c r="I28" i="26"/>
  <c r="I25" i="26" s="1"/>
  <c r="I55" i="26"/>
  <c r="I56" i="26"/>
  <c r="I53" i="26"/>
  <c r="S96" i="12"/>
  <c r="T72" i="12"/>
  <c r="J77" i="28"/>
  <c r="N43" i="12" l="1"/>
  <c r="S40" i="19"/>
  <c r="Z103" i="11"/>
  <c r="Z102" i="11"/>
  <c r="U46" i="37"/>
  <c r="AT26" i="37"/>
  <c r="T134" i="37"/>
  <c r="T202" i="37"/>
  <c r="AT129" i="37"/>
  <c r="S38" i="19"/>
  <c r="N18" i="15"/>
  <c r="N54" i="13"/>
  <c r="N11" i="11"/>
  <c r="R4" i="15"/>
  <c r="Q3" i="15"/>
  <c r="AG84" i="20"/>
  <c r="I5" i="18"/>
  <c r="J3" i="18"/>
  <c r="AQ507" i="20"/>
  <c r="S34" i="13"/>
  <c r="S33" i="13" s="1"/>
  <c r="S70" i="12"/>
  <c r="Q36" i="12"/>
  <c r="T84" i="12"/>
  <c r="S314" i="26"/>
  <c r="R313" i="26"/>
  <c r="Y86" i="11"/>
  <c r="Y85" i="11"/>
  <c r="AA26" i="25" s="1"/>
  <c r="L98" i="26"/>
  <c r="V24" i="11"/>
  <c r="L86" i="28"/>
  <c r="L19" i="26" s="1"/>
  <c r="L100" i="28"/>
  <c r="L296" i="26" s="1"/>
  <c r="L94" i="28"/>
  <c r="L215" i="26" s="1"/>
  <c r="L80" i="28"/>
  <c r="L100" i="26" s="1"/>
  <c r="M68" i="28"/>
  <c r="H180" i="25"/>
  <c r="C180" i="25" s="1"/>
  <c r="T7" i="19"/>
  <c r="T14" i="19" s="1"/>
  <c r="S3" i="19"/>
  <c r="R10" i="11"/>
  <c r="S17" i="15" s="1"/>
  <c r="R3" i="11"/>
  <c r="S8" i="11"/>
  <c r="L34" i="23"/>
  <c r="R57" i="25"/>
  <c r="P71" i="22"/>
  <c r="O72" i="22"/>
  <c r="AH23" i="13"/>
  <c r="AG22" i="13"/>
  <c r="AG20" i="13" s="1"/>
  <c r="K212" i="26"/>
  <c r="J128" i="26"/>
  <c r="J124" i="26" s="1"/>
  <c r="J107" i="26" s="1"/>
  <c r="J105" i="26"/>
  <c r="J96" i="26" s="1"/>
  <c r="O38" i="12"/>
  <c r="O10" i="12"/>
  <c r="P8" i="12" s="1"/>
  <c r="R37" i="22"/>
  <c r="U4" i="21"/>
  <c r="S4" i="12"/>
  <c r="R3" i="12"/>
  <c r="R25" i="12"/>
  <c r="S23" i="12" s="1"/>
  <c r="K91" i="28"/>
  <c r="K103" i="28" s="1"/>
  <c r="BY76" i="12"/>
  <c r="U169" i="19"/>
  <c r="U168" i="19"/>
  <c r="V165" i="19" s="1"/>
  <c r="S93" i="16"/>
  <c r="M89" i="28"/>
  <c r="M22" i="26" s="1"/>
  <c r="N71" i="28"/>
  <c r="M98" i="28"/>
  <c r="M92" i="28"/>
  <c r="M84" i="28"/>
  <c r="N66" i="28"/>
  <c r="M78" i="28"/>
  <c r="H34" i="15"/>
  <c r="AB92" i="12"/>
  <c r="T63" i="19"/>
  <c r="Q12" i="23"/>
  <c r="Q94" i="12"/>
  <c r="Q82" i="12"/>
  <c r="Q78" i="12"/>
  <c r="Q90" i="12"/>
  <c r="U76" i="12"/>
  <c r="P149" i="19"/>
  <c r="P172" i="19"/>
  <c r="P157" i="19"/>
  <c r="P142" i="19"/>
  <c r="P188" i="19" s="1"/>
  <c r="P195" i="19"/>
  <c r="Q112" i="19"/>
  <c r="Z50" i="25"/>
  <c r="H32" i="15"/>
  <c r="I34" i="15" s="1"/>
  <c r="O71" i="9"/>
  <c r="O72" i="9" s="1"/>
  <c r="S10" i="22"/>
  <c r="R3" i="22"/>
  <c r="V119" i="26"/>
  <c r="W120" i="26"/>
  <c r="L83" i="28"/>
  <c r="L17" i="26"/>
  <c r="Y212" i="25"/>
  <c r="Y145" i="25"/>
  <c r="Y123" i="25"/>
  <c r="Y122" i="25" s="1"/>
  <c r="Y126" i="25" s="1"/>
  <c r="Q270" i="20"/>
  <c r="Q6" i="23"/>
  <c r="U5" i="16"/>
  <c r="R53" i="13"/>
  <c r="R44" i="12"/>
  <c r="T105" i="19"/>
  <c r="K293" i="26"/>
  <c r="U95" i="11"/>
  <c r="V94" i="11"/>
  <c r="Q35" i="12"/>
  <c r="R33" i="12" s="1"/>
  <c r="D39" i="33"/>
  <c r="G38" i="33"/>
  <c r="F38" i="33"/>
  <c r="S15" i="11"/>
  <c r="T16" i="11"/>
  <c r="T331" i="26"/>
  <c r="U332" i="26"/>
  <c r="S10" i="23"/>
  <c r="R3" i="23"/>
  <c r="U84" i="26"/>
  <c r="T83" i="26"/>
  <c r="H250" i="25"/>
  <c r="C250" i="25" s="1"/>
  <c r="Q126" i="19"/>
  <c r="K97" i="28"/>
  <c r="U237" i="26"/>
  <c r="T236" i="26"/>
  <c r="S98" i="19"/>
  <c r="S57" i="22"/>
  <c r="R58" i="22"/>
  <c r="R61" i="22" s="1"/>
  <c r="R73" i="22" s="1"/>
  <c r="T97" i="11"/>
  <c r="T96" i="11"/>
  <c r="M93" i="28"/>
  <c r="M214" i="26" s="1"/>
  <c r="M85" i="28"/>
  <c r="M18" i="26" s="1"/>
  <c r="M99" i="28"/>
  <c r="M295" i="26" s="1"/>
  <c r="N67" i="28"/>
  <c r="M79" i="28"/>
  <c r="M99" i="26" s="1"/>
  <c r="M102" i="28"/>
  <c r="M298" i="26" s="1"/>
  <c r="M96" i="28"/>
  <c r="M217" i="26" s="1"/>
  <c r="M88" i="28"/>
  <c r="M21" i="26" s="1"/>
  <c r="M82" i="28"/>
  <c r="M102" i="26" s="1"/>
  <c r="N70" i="28"/>
  <c r="Q62" i="16"/>
  <c r="Q25" i="16" s="1"/>
  <c r="T180" i="26"/>
  <c r="S179" i="26"/>
  <c r="U3" i="17"/>
  <c r="S48" i="26"/>
  <c r="S46" i="26" s="1"/>
  <c r="T47" i="26"/>
  <c r="I52" i="26"/>
  <c r="I30" i="26" s="1"/>
  <c r="U88" i="12"/>
  <c r="AH40" i="18"/>
  <c r="AI5" i="18"/>
  <c r="AH35" i="18"/>
  <c r="AH3" i="18"/>
  <c r="R62" i="16" s="1"/>
  <c r="R25" i="16" s="1"/>
  <c r="AA47" i="12"/>
  <c r="S4" i="16"/>
  <c r="S3" i="16"/>
  <c r="T8" i="16"/>
  <c r="O202" i="19"/>
  <c r="O179" i="19"/>
  <c r="R59" i="12"/>
  <c r="S81" i="23"/>
  <c r="O89" i="25"/>
  <c r="S89" i="25"/>
  <c r="M89" i="25"/>
  <c r="P89" i="25"/>
  <c r="R89" i="25"/>
  <c r="L89" i="25"/>
  <c r="T89" i="25"/>
  <c r="N89" i="25"/>
  <c r="Q89" i="25"/>
  <c r="U141" i="26"/>
  <c r="V142" i="26"/>
  <c r="S251" i="25"/>
  <c r="U251" i="25"/>
  <c r="O251" i="25"/>
  <c r="R251" i="25"/>
  <c r="P251" i="25"/>
  <c r="V251" i="25"/>
  <c r="L251" i="25"/>
  <c r="Q251" i="25"/>
  <c r="T251" i="25"/>
  <c r="N251" i="25"/>
  <c r="M251" i="25"/>
  <c r="L97" i="28"/>
  <c r="L294" i="26"/>
  <c r="L293" i="26" s="1"/>
  <c r="S252" i="26"/>
  <c r="S251" i="26" s="1"/>
  <c r="T253" i="26"/>
  <c r="D226" i="20"/>
  <c r="R199" i="20"/>
  <c r="H88" i="25"/>
  <c r="C88" i="25" s="1"/>
  <c r="S27" i="19"/>
  <c r="R26" i="19"/>
  <c r="AH275" i="25"/>
  <c r="S46" i="19"/>
  <c r="T173" i="26"/>
  <c r="S172" i="26"/>
  <c r="R20" i="15"/>
  <c r="S18" i="19"/>
  <c r="BX84" i="12"/>
  <c r="P351" i="20"/>
  <c r="R91" i="19"/>
  <c r="Z207" i="25"/>
  <c r="Z140" i="25"/>
  <c r="Z45" i="25"/>
  <c r="S366" i="26"/>
  <c r="T197" i="26"/>
  <c r="I12" i="26"/>
  <c r="U184" i="26"/>
  <c r="T183" i="26"/>
  <c r="T182" i="26" s="1"/>
  <c r="T125" i="26"/>
  <c r="R367" i="26"/>
  <c r="R188" i="26"/>
  <c r="S190" i="26"/>
  <c r="V32" i="25"/>
  <c r="W17" i="25"/>
  <c r="D91" i="25"/>
  <c r="G90" i="25"/>
  <c r="U80" i="12"/>
  <c r="T258" i="26"/>
  <c r="U259" i="26"/>
  <c r="N181" i="25"/>
  <c r="P181" i="25"/>
  <c r="O181" i="25"/>
  <c r="R181" i="25"/>
  <c r="L181" i="25"/>
  <c r="Q181" i="25"/>
  <c r="S181" i="25"/>
  <c r="M181" i="25"/>
  <c r="T122" i="26"/>
  <c r="S121" i="26"/>
  <c r="V72" i="26"/>
  <c r="U70" i="26"/>
  <c r="U79" i="26"/>
  <c r="V81" i="26"/>
  <c r="AH274" i="25"/>
  <c r="N38" i="22"/>
  <c r="S45" i="19"/>
  <c r="H22" i="33"/>
  <c r="I22" i="33" s="1"/>
  <c r="J21" i="33"/>
  <c r="H21" i="33"/>
  <c r="I21" i="33" s="1"/>
  <c r="S90" i="26"/>
  <c r="R87" i="26"/>
  <c r="R115" i="19"/>
  <c r="R116" i="19" s="1"/>
  <c r="G252" i="25"/>
  <c r="D253" i="25"/>
  <c r="L91" i="28"/>
  <c r="L213" i="26"/>
  <c r="L212" i="26" s="1"/>
  <c r="Q21" i="12"/>
  <c r="Q52" i="12" s="1"/>
  <c r="Q49" i="12"/>
  <c r="S368" i="26"/>
  <c r="T285" i="26"/>
  <c r="O101" i="28"/>
  <c r="O297" i="26" s="1"/>
  <c r="O95" i="28"/>
  <c r="O216" i="26" s="1"/>
  <c r="O87" i="28"/>
  <c r="O20" i="26" s="1"/>
  <c r="O81" i="28"/>
  <c r="O101" i="26" s="1"/>
  <c r="P69" i="28"/>
  <c r="R87" i="16"/>
  <c r="J103" i="28"/>
  <c r="Y288" i="26"/>
  <c r="X287" i="26"/>
  <c r="Q26" i="26"/>
  <c r="Q13" i="26"/>
  <c r="K128" i="26"/>
  <c r="K124" i="26" s="1"/>
  <c r="K107" i="26" s="1"/>
  <c r="K105" i="26"/>
  <c r="K96" i="26" s="1"/>
  <c r="BX72" i="12"/>
  <c r="AD108" i="16"/>
  <c r="AC107" i="16"/>
  <c r="U131" i="26"/>
  <c r="V132" i="26"/>
  <c r="D183" i="25"/>
  <c r="G182" i="25"/>
  <c r="S136" i="26"/>
  <c r="T137" i="26"/>
  <c r="S58" i="13"/>
  <c r="S80" i="19"/>
  <c r="S81" i="19" s="1"/>
  <c r="T78" i="19" s="1"/>
  <c r="T77" i="19"/>
  <c r="L90" i="28"/>
  <c r="L23" i="26" s="1"/>
  <c r="M72" i="28"/>
  <c r="S23" i="22"/>
  <c r="R30" i="22"/>
  <c r="W76" i="26"/>
  <c r="W74" i="26" s="1"/>
  <c r="W73" i="26" s="1"/>
  <c r="X75" i="26"/>
  <c r="Q303" i="26"/>
  <c r="Q279" i="26"/>
  <c r="Q262" i="26"/>
  <c r="Q226" i="26"/>
  <c r="Q108" i="26"/>
  <c r="Q155" i="26"/>
  <c r="R2" i="26"/>
  <c r="Q31" i="26"/>
  <c r="J28" i="26"/>
  <c r="J25" i="26" s="1"/>
  <c r="J56" i="26"/>
  <c r="J55" i="26"/>
  <c r="J53" i="26"/>
  <c r="J12" i="26"/>
  <c r="Q20" i="12"/>
  <c r="Q50" i="12" s="1"/>
  <c r="V59" i="26"/>
  <c r="V58" i="26" s="1"/>
  <c r="W60" i="26"/>
  <c r="T96" i="12"/>
  <c r="T99" i="12" s="1"/>
  <c r="U72" i="12"/>
  <c r="S75" i="28"/>
  <c r="R14" i="26"/>
  <c r="T133" i="25"/>
  <c r="T111" i="25"/>
  <c r="T110" i="25" s="1"/>
  <c r="T114" i="25" s="1"/>
  <c r="T115" i="25" s="1"/>
  <c r="T200" i="25"/>
  <c r="T38" i="25"/>
  <c r="U10" i="25"/>
  <c r="Q16" i="12"/>
  <c r="R13" i="12"/>
  <c r="R15" i="12" s="1"/>
  <c r="S55" i="22"/>
  <c r="S1" i="26"/>
  <c r="R57" i="26"/>
  <c r="AC3" i="13"/>
  <c r="Z86" i="11"/>
  <c r="Z85" i="11"/>
  <c r="AB26" i="25" s="1"/>
  <c r="V88" i="26"/>
  <c r="K28" i="26"/>
  <c r="K25" i="26" s="1"/>
  <c r="K12" i="26" s="1"/>
  <c r="K55" i="26"/>
  <c r="K56" i="26"/>
  <c r="K53" i="26"/>
  <c r="J240" i="26"/>
  <c r="Q28" i="12"/>
  <c r="U147" i="26"/>
  <c r="Y31" i="11"/>
  <c r="S323" i="26"/>
  <c r="S322" i="26" s="1"/>
  <c r="T324" i="26"/>
  <c r="T50" i="19" l="1"/>
  <c r="T38" i="19"/>
  <c r="T40" i="19"/>
  <c r="AT27" i="37"/>
  <c r="AT31" i="37" s="1"/>
  <c r="AT32" i="37" s="1"/>
  <c r="U202" i="37"/>
  <c r="AU129" i="37"/>
  <c r="U134" i="37"/>
  <c r="V46" i="37"/>
  <c r="Q5" i="23"/>
  <c r="O11" i="11"/>
  <c r="O18" i="15"/>
  <c r="O54" i="13"/>
  <c r="S4" i="15"/>
  <c r="R3" i="15"/>
  <c r="AH84" i="20"/>
  <c r="I3" i="18"/>
  <c r="H5" i="18"/>
  <c r="AR507" i="20"/>
  <c r="T34" i="13"/>
  <c r="T33" i="13" s="1"/>
  <c r="R36" i="12"/>
  <c r="R35" i="12"/>
  <c r="S33" i="12" s="1"/>
  <c r="S35" i="12" s="1"/>
  <c r="S113" i="19"/>
  <c r="R23" i="19"/>
  <c r="E226" i="20"/>
  <c r="S199" i="20"/>
  <c r="V141" i="26"/>
  <c r="W142" i="26"/>
  <c r="U324" i="26"/>
  <c r="T323" i="26"/>
  <c r="T322" i="26" s="1"/>
  <c r="K52" i="26"/>
  <c r="K30" i="26" s="1"/>
  <c r="BY72" i="12"/>
  <c r="L244" i="26"/>
  <c r="L243" i="26"/>
  <c r="L241" i="26"/>
  <c r="L240" i="26" s="1"/>
  <c r="L219" i="26"/>
  <c r="Q90" i="25"/>
  <c r="R90" i="25"/>
  <c r="M90" i="25"/>
  <c r="U90" i="25"/>
  <c r="S90" i="25"/>
  <c r="T90" i="25"/>
  <c r="L90" i="25"/>
  <c r="N90" i="25"/>
  <c r="P90" i="25"/>
  <c r="O90" i="25"/>
  <c r="V184" i="26"/>
  <c r="U183" i="26"/>
  <c r="U182" i="26" s="1"/>
  <c r="T366" i="26"/>
  <c r="U197" i="26"/>
  <c r="S20" i="15"/>
  <c r="U173" i="26"/>
  <c r="T172" i="26"/>
  <c r="T81" i="23"/>
  <c r="R12" i="23"/>
  <c r="N88" i="28"/>
  <c r="N21" i="26" s="1"/>
  <c r="N102" i="28"/>
  <c r="N298" i="26" s="1"/>
  <c r="O70" i="28"/>
  <c r="N82" i="28"/>
  <c r="N102" i="26" s="1"/>
  <c r="N96" i="28"/>
  <c r="N217" i="26" s="1"/>
  <c r="N99" i="28"/>
  <c r="N295" i="26" s="1"/>
  <c r="N93" i="28"/>
  <c r="N214" i="26" s="1"/>
  <c r="N79" i="28"/>
  <c r="N99" i="26" s="1"/>
  <c r="N85" i="28"/>
  <c r="N18" i="26" s="1"/>
  <c r="O67" i="28"/>
  <c r="T10" i="23"/>
  <c r="S3" i="23"/>
  <c r="L38" i="33"/>
  <c r="K38" i="33"/>
  <c r="O74" i="9"/>
  <c r="F46" i="9"/>
  <c r="V76" i="12"/>
  <c r="U63" i="19"/>
  <c r="M213" i="26"/>
  <c r="BZ76" i="12"/>
  <c r="U7" i="19"/>
  <c r="T3" i="19"/>
  <c r="AA50" i="25"/>
  <c r="I32" i="15"/>
  <c r="J34" i="15" s="1"/>
  <c r="S57" i="26"/>
  <c r="T1" i="26"/>
  <c r="U200" i="25"/>
  <c r="U133" i="25"/>
  <c r="U111" i="25"/>
  <c r="U110" i="25" s="1"/>
  <c r="U114" i="25" s="1"/>
  <c r="U115" i="25" s="1"/>
  <c r="V10" i="25"/>
  <c r="U38" i="25"/>
  <c r="R262" i="26"/>
  <c r="R303" i="26"/>
  <c r="R279" i="26"/>
  <c r="R226" i="26"/>
  <c r="R155" i="26"/>
  <c r="R31" i="26"/>
  <c r="R108" i="26"/>
  <c r="S2" i="26"/>
  <c r="U77" i="19"/>
  <c r="T80" i="19"/>
  <c r="T81" i="19" s="1"/>
  <c r="U78" i="19" s="1"/>
  <c r="G91" i="25"/>
  <c r="D92" i="25"/>
  <c r="S367" i="26"/>
  <c r="T190" i="26"/>
  <c r="S188" i="26"/>
  <c r="T4" i="16"/>
  <c r="T3" i="16"/>
  <c r="U8" i="16"/>
  <c r="AI56" i="18"/>
  <c r="AI57" i="18" s="1"/>
  <c r="AI35" i="18"/>
  <c r="AI3" i="18"/>
  <c r="AJ5" i="18"/>
  <c r="R126" i="19"/>
  <c r="D40" i="33"/>
  <c r="G39" i="33"/>
  <c r="F39" i="33"/>
  <c r="K321" i="26"/>
  <c r="K292" i="26"/>
  <c r="K318" i="26"/>
  <c r="K320" i="26"/>
  <c r="K300" i="26"/>
  <c r="D299" i="20"/>
  <c r="R270" i="20"/>
  <c r="L16" i="26"/>
  <c r="J28" i="15"/>
  <c r="M294" i="26"/>
  <c r="M293" i="26" s="1"/>
  <c r="T93" i="16"/>
  <c r="O40" i="12"/>
  <c r="O43" i="12" s="1"/>
  <c r="L35" i="23"/>
  <c r="R6" i="23"/>
  <c r="V5" i="16"/>
  <c r="S53" i="13"/>
  <c r="S44" i="12"/>
  <c r="F40" i="18"/>
  <c r="BY84" i="12"/>
  <c r="Z212" i="25"/>
  <c r="Z145" i="25"/>
  <c r="Z123" i="25"/>
  <c r="Z122" i="25" s="1"/>
  <c r="Z126" i="25" s="1"/>
  <c r="AC92" i="12"/>
  <c r="P38" i="12"/>
  <c r="P10" i="12"/>
  <c r="P40" i="12" s="1"/>
  <c r="K244" i="26"/>
  <c r="K243" i="26"/>
  <c r="K241" i="26"/>
  <c r="K219" i="26"/>
  <c r="T314" i="26"/>
  <c r="S313" i="26"/>
  <c r="W24" i="11"/>
  <c r="U84" i="12"/>
  <c r="U96" i="12" s="1"/>
  <c r="Q31" i="12"/>
  <c r="Q30" i="12"/>
  <c r="U253" i="26"/>
  <c r="T252" i="26"/>
  <c r="T251" i="26" s="1"/>
  <c r="R94" i="12"/>
  <c r="R82" i="12"/>
  <c r="R90" i="12"/>
  <c r="R78" i="12"/>
  <c r="W119" i="26"/>
  <c r="X120" i="26"/>
  <c r="Q172" i="19"/>
  <c r="Q157" i="19"/>
  <c r="Q142" i="19"/>
  <c r="Q188" i="19" s="1"/>
  <c r="Q195" i="19"/>
  <c r="R112" i="19"/>
  <c r="Q149" i="19"/>
  <c r="T55" i="22"/>
  <c r="T75" i="28"/>
  <c r="S14" i="26"/>
  <c r="X60" i="26"/>
  <c r="W59" i="26"/>
  <c r="W58" i="26" s="1"/>
  <c r="J52" i="26"/>
  <c r="J30" i="26" s="1"/>
  <c r="G183" i="25"/>
  <c r="D184" i="25"/>
  <c r="T90" i="26"/>
  <c r="S87" i="26"/>
  <c r="AI274" i="25"/>
  <c r="O38" i="22"/>
  <c r="T45" i="19"/>
  <c r="V259" i="26"/>
  <c r="U258" i="26"/>
  <c r="U125" i="26"/>
  <c r="Q351" i="20"/>
  <c r="V3" i="17"/>
  <c r="T179" i="26"/>
  <c r="U180" i="26"/>
  <c r="V84" i="26"/>
  <c r="U83" i="26"/>
  <c r="U105" i="19"/>
  <c r="I28" i="15"/>
  <c r="I27" i="15" s="1"/>
  <c r="T4" i="12"/>
  <c r="S3" i="12"/>
  <c r="S25" i="12"/>
  <c r="T23" i="12" s="1"/>
  <c r="E48" i="9" s="1"/>
  <c r="Q71" i="22"/>
  <c r="P72" i="22"/>
  <c r="Y75" i="26"/>
  <c r="X76" i="26"/>
  <c r="X74" i="26" s="1"/>
  <c r="X73" i="26" s="1"/>
  <c r="S59" i="12"/>
  <c r="T48" i="26"/>
  <c r="T46" i="26"/>
  <c r="U47" i="26"/>
  <c r="W88" i="26"/>
  <c r="T23" i="22"/>
  <c r="S30" i="22"/>
  <c r="U137" i="26"/>
  <c r="T136" i="26"/>
  <c r="AE108" i="16"/>
  <c r="AD107" i="16"/>
  <c r="S87" i="16"/>
  <c r="Q51" i="12"/>
  <c r="W72" i="26"/>
  <c r="V70" i="26"/>
  <c r="T18" i="19"/>
  <c r="L318" i="26"/>
  <c r="L317" i="26" s="1"/>
  <c r="L302" i="26" s="1"/>
  <c r="L320" i="26"/>
  <c r="L300" i="26"/>
  <c r="L292" i="26" s="1"/>
  <c r="L321" i="26"/>
  <c r="T98" i="19"/>
  <c r="T15" i="11"/>
  <c r="U16" i="11"/>
  <c r="P202" i="19"/>
  <c r="P179" i="19"/>
  <c r="M98" i="26"/>
  <c r="N89" i="28"/>
  <c r="N22" i="26" s="1"/>
  <c r="O71" i="28"/>
  <c r="M80" i="28"/>
  <c r="M100" i="26" s="1"/>
  <c r="M86" i="28"/>
  <c r="M19" i="26" s="1"/>
  <c r="N68" i="28"/>
  <c r="M94" i="28"/>
  <c r="M215" i="26" s="1"/>
  <c r="M100" i="28"/>
  <c r="M296" i="26" s="1"/>
  <c r="L97" i="26"/>
  <c r="V147" i="26"/>
  <c r="AB207" i="25"/>
  <c r="AB140" i="25"/>
  <c r="AB45" i="25"/>
  <c r="V72" i="12"/>
  <c r="F45" i="9"/>
  <c r="S135" i="26"/>
  <c r="W132" i="26"/>
  <c r="V131" i="26"/>
  <c r="T368" i="26"/>
  <c r="U285" i="26"/>
  <c r="R18" i="12"/>
  <c r="J22" i="33"/>
  <c r="R135" i="26"/>
  <c r="T27" i="19"/>
  <c r="S26" i="19"/>
  <c r="V88" i="12"/>
  <c r="V95" i="11"/>
  <c r="W94" i="11"/>
  <c r="T10" i="22"/>
  <c r="S3" i="22"/>
  <c r="N98" i="28"/>
  <c r="N92" i="28"/>
  <c r="N78" i="28"/>
  <c r="O66" i="28"/>
  <c r="N84" i="28"/>
  <c r="V169" i="19"/>
  <c r="V168" i="19"/>
  <c r="W165" i="19" s="1"/>
  <c r="V4" i="21"/>
  <c r="S37" i="22"/>
  <c r="AI23" i="13"/>
  <c r="AH22" i="13"/>
  <c r="AH20" i="13" s="1"/>
  <c r="L77" i="28"/>
  <c r="L103" i="28" s="1"/>
  <c r="T70" i="12"/>
  <c r="D254" i="25"/>
  <c r="G253" i="25"/>
  <c r="T121" i="26"/>
  <c r="U122" i="26"/>
  <c r="AI275" i="25"/>
  <c r="T46" i="19"/>
  <c r="Z31" i="11"/>
  <c r="AD3" i="13"/>
  <c r="R26" i="26"/>
  <c r="R13" i="26"/>
  <c r="T58" i="13"/>
  <c r="R182" i="25"/>
  <c r="Q182" i="25"/>
  <c r="T182" i="25"/>
  <c r="O182" i="25"/>
  <c r="P182" i="25"/>
  <c r="N182" i="25"/>
  <c r="S182" i="25"/>
  <c r="L182" i="25"/>
  <c r="M182" i="25"/>
  <c r="Z288" i="26"/>
  <c r="Y287" i="26"/>
  <c r="W252" i="25"/>
  <c r="O252" i="25"/>
  <c r="P252" i="25"/>
  <c r="V252" i="25"/>
  <c r="L252" i="25"/>
  <c r="Q252" i="25"/>
  <c r="R252" i="25"/>
  <c r="T252" i="25"/>
  <c r="N252" i="25"/>
  <c r="M252" i="25"/>
  <c r="S252" i="25"/>
  <c r="U252" i="25"/>
  <c r="H251" i="25"/>
  <c r="C251" i="25" s="1"/>
  <c r="S58" i="22"/>
  <c r="S61" i="22" s="1"/>
  <c r="S73" i="22" s="1"/>
  <c r="T57" i="22"/>
  <c r="V332" i="26"/>
  <c r="U331" i="26"/>
  <c r="AB50" i="25"/>
  <c r="J32" i="15"/>
  <c r="R16" i="12"/>
  <c r="S13" i="12"/>
  <c r="N72" i="28"/>
  <c r="M90" i="28"/>
  <c r="M23" i="26" s="1"/>
  <c r="P101" i="28"/>
  <c r="P297" i="26" s="1"/>
  <c r="P87" i="28"/>
  <c r="P20" i="26" s="1"/>
  <c r="P95" i="28"/>
  <c r="P216" i="26" s="1"/>
  <c r="P81" i="28"/>
  <c r="P101" i="26" s="1"/>
  <c r="Q69" i="28"/>
  <c r="V79" i="26"/>
  <c r="W81" i="26"/>
  <c r="H181" i="25"/>
  <c r="C181" i="25" s="1"/>
  <c r="V80" i="12"/>
  <c r="F47" i="9"/>
  <c r="W32" i="25"/>
  <c r="X17" i="25"/>
  <c r="S91" i="19"/>
  <c r="H89" i="25"/>
  <c r="C89" i="25" s="1"/>
  <c r="AB47" i="12"/>
  <c r="V237" i="26"/>
  <c r="U236" i="26"/>
  <c r="R4" i="23"/>
  <c r="U97" i="11"/>
  <c r="U96" i="11"/>
  <c r="M83" i="28"/>
  <c r="M17" i="26"/>
  <c r="M16" i="26" s="1"/>
  <c r="S3" i="11"/>
  <c r="T8" i="11"/>
  <c r="S10" i="11"/>
  <c r="AA207" i="25"/>
  <c r="AA140" i="25"/>
  <c r="AA45" i="25"/>
  <c r="P43" i="12" l="1"/>
  <c r="W46" i="37"/>
  <c r="V202" i="37"/>
  <c r="AV129" i="37"/>
  <c r="V134" i="37"/>
  <c r="AU26" i="37"/>
  <c r="H27" i="37"/>
  <c r="R5" i="23"/>
  <c r="P11" i="11"/>
  <c r="P18" i="15"/>
  <c r="P54" i="13"/>
  <c r="T17" i="15"/>
  <c r="U50" i="19"/>
  <c r="U38" i="19"/>
  <c r="U40" i="19"/>
  <c r="U14" i="19"/>
  <c r="T4" i="15"/>
  <c r="S3" i="15"/>
  <c r="AI84" i="20"/>
  <c r="H3" i="18"/>
  <c r="G5" i="18"/>
  <c r="G3" i="18" s="1"/>
  <c r="AS507" i="20"/>
  <c r="U34" i="13"/>
  <c r="U33" i="13" s="1"/>
  <c r="U90" i="26"/>
  <c r="T87" i="26"/>
  <c r="L28" i="26"/>
  <c r="L25" i="26" s="1"/>
  <c r="L55" i="26"/>
  <c r="L56" i="26"/>
  <c r="L53" i="26"/>
  <c r="K28" i="15"/>
  <c r="K27" i="15" s="1"/>
  <c r="Q63" i="14"/>
  <c r="W169" i="19"/>
  <c r="W168" i="19"/>
  <c r="X165" i="19" s="1"/>
  <c r="U27" i="19"/>
  <c r="T26" i="19"/>
  <c r="AE3" i="13"/>
  <c r="K34" i="15"/>
  <c r="V122" i="26"/>
  <c r="U121" i="26"/>
  <c r="U70" i="12"/>
  <c r="T37" i="22"/>
  <c r="AF108" i="16"/>
  <c r="AE107" i="16"/>
  <c r="U23" i="22"/>
  <c r="T30" i="22"/>
  <c r="R183" i="25"/>
  <c r="T183" i="25"/>
  <c r="O183" i="25"/>
  <c r="N183" i="25"/>
  <c r="L183" i="25"/>
  <c r="S183" i="25"/>
  <c r="P183" i="25"/>
  <c r="Q183" i="25"/>
  <c r="U183" i="25"/>
  <c r="M183" i="25"/>
  <c r="V236" i="26"/>
  <c r="W237" i="26"/>
  <c r="N90" i="28"/>
  <c r="N23" i="26" s="1"/>
  <c r="O72" i="28"/>
  <c r="AB212" i="25"/>
  <c r="AB145" i="25"/>
  <c r="AB123" i="25"/>
  <c r="W332" i="26"/>
  <c r="V331" i="26"/>
  <c r="AC47" i="12"/>
  <c r="T91" i="19"/>
  <c r="Q95" i="28"/>
  <c r="Q216" i="26" s="1"/>
  <c r="Q87" i="28"/>
  <c r="Q20" i="26" s="1"/>
  <c r="Q101" i="28"/>
  <c r="Q297" i="26" s="1"/>
  <c r="Q81" i="28"/>
  <c r="Q101" i="26" s="1"/>
  <c r="R69" i="28"/>
  <c r="T58" i="22"/>
  <c r="T61" i="22" s="1"/>
  <c r="T73" i="22" s="1"/>
  <c r="U57" i="22"/>
  <c r="H252" i="25"/>
  <c r="C252" i="25" s="1"/>
  <c r="H182" i="25"/>
  <c r="C182" i="25" s="1"/>
  <c r="AA31" i="11"/>
  <c r="O253" i="25"/>
  <c r="P253" i="25"/>
  <c r="N253" i="25"/>
  <c r="Q253" i="25"/>
  <c r="W253" i="25"/>
  <c r="T253" i="25"/>
  <c r="V253" i="25"/>
  <c r="M253" i="25"/>
  <c r="L253" i="25"/>
  <c r="S253" i="25"/>
  <c r="X253" i="25"/>
  <c r="U253" i="25"/>
  <c r="R253" i="25"/>
  <c r="O92" i="28"/>
  <c r="O84" i="28"/>
  <c r="O98" i="28"/>
  <c r="P66" i="28"/>
  <c r="O78" i="28"/>
  <c r="W147" i="26"/>
  <c r="V105" i="19"/>
  <c r="Y120" i="26"/>
  <c r="X119" i="26"/>
  <c r="Q8" i="12"/>
  <c r="S126" i="19"/>
  <c r="V77" i="19"/>
  <c r="U80" i="19"/>
  <c r="U81" i="19" s="1"/>
  <c r="V78" i="19" s="1"/>
  <c r="V7" i="19"/>
  <c r="U3" i="19"/>
  <c r="V63" i="19"/>
  <c r="W184" i="26"/>
  <c r="V183" i="26"/>
  <c r="V182" i="26" s="1"/>
  <c r="X142" i="26"/>
  <c r="W141" i="26"/>
  <c r="Y17" i="25"/>
  <c r="X32" i="25"/>
  <c r="D255" i="25"/>
  <c r="G254" i="25"/>
  <c r="N77" i="28"/>
  <c r="N98" i="26"/>
  <c r="U10" i="22"/>
  <c r="T3" i="22"/>
  <c r="L128" i="26"/>
  <c r="L124" i="26" s="1"/>
  <c r="L107" i="26" s="1"/>
  <c r="L96" i="26"/>
  <c r="L105" i="26"/>
  <c r="N94" i="28"/>
  <c r="N215" i="26" s="1"/>
  <c r="N100" i="28"/>
  <c r="N296" i="26" s="1"/>
  <c r="N80" i="28"/>
  <c r="N100" i="26" s="1"/>
  <c r="O68" i="28"/>
  <c r="N86" i="28"/>
  <c r="N19" i="26" s="1"/>
  <c r="R71" i="22"/>
  <c r="Q72" i="22"/>
  <c r="W3" i="17"/>
  <c r="V84" i="12"/>
  <c r="F48" i="9"/>
  <c r="AA127" i="25"/>
  <c r="AA112" i="25" s="1"/>
  <c r="S94" i="12"/>
  <c r="S82" i="12"/>
  <c r="S90" i="12"/>
  <c r="S78" i="12"/>
  <c r="S12" i="23"/>
  <c r="S303" i="26"/>
  <c r="S279" i="26"/>
  <c r="S262" i="26"/>
  <c r="S226" i="26"/>
  <c r="S155" i="26"/>
  <c r="S108" i="26"/>
  <c r="S31" i="26"/>
  <c r="T2" i="26"/>
  <c r="T20" i="15"/>
  <c r="U58" i="13"/>
  <c r="AI22" i="13"/>
  <c r="AI20" i="13" s="1"/>
  <c r="AJ23" i="13"/>
  <c r="R118" i="23"/>
  <c r="X81" i="26"/>
  <c r="W79" i="26"/>
  <c r="W4" i="21"/>
  <c r="N91" i="28"/>
  <c r="N213" i="26"/>
  <c r="N212" i="26" s="1"/>
  <c r="H24" i="33"/>
  <c r="I24" i="33" s="1"/>
  <c r="H23" i="33"/>
  <c r="I23" i="33" s="1"/>
  <c r="J23" i="33"/>
  <c r="U18" i="19"/>
  <c r="U48" i="26"/>
  <c r="U46" i="26" s="1"/>
  <c r="V47" i="26"/>
  <c r="D383" i="20"/>
  <c r="R351" i="20"/>
  <c r="W259" i="26"/>
  <c r="V258" i="26"/>
  <c r="AD41" i="18"/>
  <c r="J27" i="15"/>
  <c r="E299" i="20"/>
  <c r="S270" i="20"/>
  <c r="L39" i="33"/>
  <c r="K39" i="33"/>
  <c r="CA76" i="12"/>
  <c r="F226" i="20"/>
  <c r="T199" i="20"/>
  <c r="O96" i="28"/>
  <c r="O217" i="26" s="1"/>
  <c r="O88" i="28"/>
  <c r="O21" i="26" s="1"/>
  <c r="O102" i="28"/>
  <c r="O298" i="26" s="1"/>
  <c r="O82" i="28"/>
  <c r="O102" i="26" s="1"/>
  <c r="P70" i="28"/>
  <c r="U81" i="23"/>
  <c r="W131" i="26"/>
  <c r="X132" i="26"/>
  <c r="T135" i="26"/>
  <c r="R172" i="19"/>
  <c r="R157" i="19"/>
  <c r="R142" i="19"/>
  <c r="R188" i="19" s="1"/>
  <c r="R195" i="19"/>
  <c r="S112" i="19"/>
  <c r="R149" i="19"/>
  <c r="P71" i="28"/>
  <c r="O89" i="28"/>
  <c r="O22" i="26" s="1"/>
  <c r="V137" i="26"/>
  <c r="U136" i="26"/>
  <c r="U4" i="12"/>
  <c r="T3" i="12"/>
  <c r="T25" i="12"/>
  <c r="U23" i="12" s="1"/>
  <c r="F6" i="4"/>
  <c r="F6" i="36" s="1"/>
  <c r="S26" i="26"/>
  <c r="S13" i="26"/>
  <c r="X24" i="11"/>
  <c r="K240" i="26"/>
  <c r="V14" i="19"/>
  <c r="U4" i="16"/>
  <c r="U3" i="16"/>
  <c r="V8" i="16"/>
  <c r="AA212" i="25"/>
  <c r="AA123" i="25"/>
  <c r="AA122" i="25" s="1"/>
  <c r="AA126" i="25" s="1"/>
  <c r="AA145" i="25"/>
  <c r="W76" i="12"/>
  <c r="O99" i="28"/>
  <c r="O295" i="26" s="1"/>
  <c r="O79" i="28"/>
  <c r="O99" i="26" s="1"/>
  <c r="O85" i="28"/>
  <c r="O18" i="26" s="1"/>
  <c r="P67" i="28"/>
  <c r="O93" i="28"/>
  <c r="O214" i="26" s="1"/>
  <c r="U172" i="26"/>
  <c r="V173" i="26"/>
  <c r="H90" i="25"/>
  <c r="C90" i="25" s="1"/>
  <c r="U323" i="26"/>
  <c r="U322" i="26" s="1"/>
  <c r="V324" i="26"/>
  <c r="S36" i="12"/>
  <c r="T33" i="12"/>
  <c r="T35" i="12" s="1"/>
  <c r="M28" i="26"/>
  <c r="M25" i="26" s="1"/>
  <c r="M56" i="26"/>
  <c r="M55" i="26"/>
  <c r="M53" i="26"/>
  <c r="M52" i="26" s="1"/>
  <c r="M30" i="26" s="1"/>
  <c r="T87" i="16"/>
  <c r="S6" i="23"/>
  <c r="S5" i="23" s="1"/>
  <c r="W5" i="16"/>
  <c r="T53" i="13"/>
  <c r="T44" i="12"/>
  <c r="T59" i="12"/>
  <c r="Z75" i="26"/>
  <c r="Y74" i="26"/>
  <c r="Y73" i="26" s="1"/>
  <c r="Y76" i="26"/>
  <c r="V180" i="26"/>
  <c r="U179" i="26"/>
  <c r="G184" i="25"/>
  <c r="D185" i="25"/>
  <c r="U75" i="28"/>
  <c r="T14" i="26"/>
  <c r="Q202" i="19"/>
  <c r="Q179" i="19"/>
  <c r="V253" i="26"/>
  <c r="U252" i="26"/>
  <c r="U251" i="26" s="1"/>
  <c r="AD92" i="12"/>
  <c r="U93" i="16"/>
  <c r="G92" i="25"/>
  <c r="D93" i="25"/>
  <c r="M212" i="26"/>
  <c r="U366" i="26"/>
  <c r="V197" i="26"/>
  <c r="S115" i="19"/>
  <c r="S116" i="19" s="1"/>
  <c r="D41" i="33"/>
  <c r="G40" i="33"/>
  <c r="F40" i="33"/>
  <c r="T367" i="26"/>
  <c r="U190" i="26"/>
  <c r="T188" i="26"/>
  <c r="V200" i="25"/>
  <c r="V133" i="25"/>
  <c r="V111" i="25"/>
  <c r="V110" i="25" s="1"/>
  <c r="V114" i="25" s="1"/>
  <c r="V115" i="25" s="1"/>
  <c r="W10" i="25"/>
  <c r="V38" i="25"/>
  <c r="R21" i="12"/>
  <c r="R52" i="12" s="1"/>
  <c r="R49" i="12"/>
  <c r="R20" i="12"/>
  <c r="R50" i="12" s="1"/>
  <c r="M97" i="26"/>
  <c r="M321" i="26"/>
  <c r="M320" i="26"/>
  <c r="M318" i="26"/>
  <c r="M317" i="26" s="1"/>
  <c r="M302" i="26" s="1"/>
  <c r="M300" i="26"/>
  <c r="M292" i="26"/>
  <c r="K317" i="26"/>
  <c r="K302" i="26" s="1"/>
  <c r="R91" i="25"/>
  <c r="S91" i="25"/>
  <c r="N91" i="25"/>
  <c r="V91" i="25"/>
  <c r="Q91" i="25"/>
  <c r="P91" i="25"/>
  <c r="L91" i="25"/>
  <c r="T91" i="25"/>
  <c r="M91" i="25"/>
  <c r="U91" i="25"/>
  <c r="O91" i="25"/>
  <c r="M91" i="28"/>
  <c r="T3" i="23"/>
  <c r="U10" i="23"/>
  <c r="BZ72" i="12"/>
  <c r="N97" i="28"/>
  <c r="N294" i="26"/>
  <c r="N293" i="26" s="1"/>
  <c r="X59" i="26"/>
  <c r="X58" i="26" s="1"/>
  <c r="Y60" i="26"/>
  <c r="W80" i="12"/>
  <c r="S16" i="12"/>
  <c r="AJ275" i="25"/>
  <c r="U46" i="19"/>
  <c r="W95" i="11"/>
  <c r="X94" i="11"/>
  <c r="W88" i="12"/>
  <c r="V97" i="11"/>
  <c r="V96" i="11"/>
  <c r="U8" i="11"/>
  <c r="T10" i="11"/>
  <c r="U17" i="15" s="1"/>
  <c r="T3" i="11"/>
  <c r="AA288" i="26"/>
  <c r="Z287" i="26"/>
  <c r="U368" i="26"/>
  <c r="V285" i="26"/>
  <c r="S15" i="12"/>
  <c r="T13" i="12" s="1"/>
  <c r="W84" i="26"/>
  <c r="V83" i="26"/>
  <c r="AJ274" i="25"/>
  <c r="P38" i="22"/>
  <c r="U45" i="19"/>
  <c r="N17" i="26"/>
  <c r="W72" i="12"/>
  <c r="M77" i="28"/>
  <c r="U15" i="11"/>
  <c r="V16" i="11"/>
  <c r="U98" i="19"/>
  <c r="X72" i="26"/>
  <c r="W70" i="26"/>
  <c r="X88" i="26"/>
  <c r="V125" i="26"/>
  <c r="U55" i="22"/>
  <c r="R28" i="12"/>
  <c r="T313" i="26"/>
  <c r="U314" i="26"/>
  <c r="AE41" i="18"/>
  <c r="P42" i="12"/>
  <c r="BZ84" i="12"/>
  <c r="M97" i="28"/>
  <c r="AJ35" i="18"/>
  <c r="AK5" i="18"/>
  <c r="AJ3" i="18"/>
  <c r="T57" i="26"/>
  <c r="U1" i="26"/>
  <c r="AU27" i="37" l="1"/>
  <c r="AU31" i="37" s="1"/>
  <c r="AU32" i="37" s="1"/>
  <c r="BZ117" i="37"/>
  <c r="CA117" i="37"/>
  <c r="CB117" i="37"/>
  <c r="CC117" i="37"/>
  <c r="AW129" i="37"/>
  <c r="W202" i="37"/>
  <c r="X46" i="37"/>
  <c r="AV26" i="37"/>
  <c r="AV27" i="37" s="1"/>
  <c r="AV31" i="37" s="1"/>
  <c r="AV32" i="37" s="1"/>
  <c r="W134" i="37"/>
  <c r="F40" i="36"/>
  <c r="F69" i="36"/>
  <c r="F54" i="4"/>
  <c r="T15" i="12"/>
  <c r="E46" i="9"/>
  <c r="V50" i="19"/>
  <c r="H945" i="20"/>
  <c r="Q71" i="14"/>
  <c r="Q11" i="11"/>
  <c r="Q54" i="13"/>
  <c r="Q18" i="15"/>
  <c r="V40" i="19"/>
  <c r="V38" i="19"/>
  <c r="R51" i="12"/>
  <c r="U4" i="15"/>
  <c r="T3" i="15"/>
  <c r="AJ84" i="20"/>
  <c r="AT507" i="20"/>
  <c r="V34" i="13"/>
  <c r="V33" i="13" s="1"/>
  <c r="U3" i="23"/>
  <c r="V10" i="23"/>
  <c r="O213" i="26"/>
  <c r="W125" i="26"/>
  <c r="W16" i="11"/>
  <c r="V15" i="11"/>
  <c r="AK274" i="25"/>
  <c r="Q38" i="22"/>
  <c r="V45" i="19"/>
  <c r="AA287" i="26"/>
  <c r="AB288" i="26"/>
  <c r="X88" i="12"/>
  <c r="CA72" i="12"/>
  <c r="P184" i="25"/>
  <c r="R184" i="25"/>
  <c r="L184" i="25"/>
  <c r="T184" i="25"/>
  <c r="S184" i="25"/>
  <c r="V184" i="25"/>
  <c r="N184" i="25"/>
  <c r="Q184" i="25"/>
  <c r="O184" i="25"/>
  <c r="U184" i="25"/>
  <c r="M184" i="25"/>
  <c r="U59" i="12"/>
  <c r="X76" i="12"/>
  <c r="P89" i="28"/>
  <c r="P22" i="26" s="1"/>
  <c r="Q71" i="28"/>
  <c r="V81" i="23"/>
  <c r="N241" i="26"/>
  <c r="N244" i="26"/>
  <c r="N219" i="26"/>
  <c r="N243" i="26"/>
  <c r="X4" i="21"/>
  <c r="AJ22" i="13"/>
  <c r="AJ20" i="13" s="1"/>
  <c r="AK23" i="13"/>
  <c r="R72" i="22"/>
  <c r="S71" i="22"/>
  <c r="O100" i="28"/>
  <c r="O296" i="26" s="1"/>
  <c r="O80" i="28"/>
  <c r="O100" i="26" s="1"/>
  <c r="P68" i="28"/>
  <c r="O94" i="28"/>
  <c r="O215" i="26" s="1"/>
  <c r="O86" i="28"/>
  <c r="O19" i="26" s="1"/>
  <c r="W183" i="26"/>
  <c r="W182" i="26" s="1"/>
  <c r="X184" i="26"/>
  <c r="S62" i="16"/>
  <c r="S25" i="16" s="1"/>
  <c r="X147" i="26"/>
  <c r="O90" i="28"/>
  <c r="O23" i="26" s="1"/>
  <c r="P72" i="28"/>
  <c r="U37" i="22"/>
  <c r="X72" i="12"/>
  <c r="Y81" i="26"/>
  <c r="X79" i="26"/>
  <c r="V252" i="26"/>
  <c r="V251" i="26" s="1"/>
  <c r="W253" i="26"/>
  <c r="U25" i="12"/>
  <c r="V23" i="12" s="1"/>
  <c r="V4" i="12"/>
  <c r="U3" i="12"/>
  <c r="G6" i="4"/>
  <c r="U20" i="15"/>
  <c r="T262" i="26"/>
  <c r="T279" i="26"/>
  <c r="T303" i="26"/>
  <c r="T226" i="26"/>
  <c r="T155" i="26"/>
  <c r="T108" i="26"/>
  <c r="T31" i="26"/>
  <c r="U2" i="26"/>
  <c r="W84" i="12"/>
  <c r="Z17" i="25"/>
  <c r="Y32" i="25"/>
  <c r="T126" i="19"/>
  <c r="H253" i="25"/>
  <c r="C253" i="25" s="1"/>
  <c r="AD47" i="12"/>
  <c r="AF3" i="13"/>
  <c r="X80" i="12"/>
  <c r="V18" i="19"/>
  <c r="D256" i="25"/>
  <c r="G255" i="25"/>
  <c r="AL5" i="18"/>
  <c r="AK35" i="18"/>
  <c r="AK3" i="18"/>
  <c r="CA84" i="12"/>
  <c r="Y88" i="26"/>
  <c r="V4" i="16"/>
  <c r="V3" i="16"/>
  <c r="W8" i="16"/>
  <c r="W97" i="11"/>
  <c r="W96" i="11"/>
  <c r="Y59" i="26"/>
  <c r="Y58" i="26" s="1"/>
  <c r="Z60" i="26"/>
  <c r="F50" i="9"/>
  <c r="M244" i="26"/>
  <c r="M219" i="26"/>
  <c r="M243" i="26"/>
  <c r="M241" i="26"/>
  <c r="AE92" i="12"/>
  <c r="V323" i="26"/>
  <c r="V322" i="26" s="1"/>
  <c r="W324" i="26"/>
  <c r="P93" i="28"/>
  <c r="P214" i="26" s="1"/>
  <c r="P99" i="28"/>
  <c r="P295" i="26" s="1"/>
  <c r="P85" i="28"/>
  <c r="P18" i="26" s="1"/>
  <c r="P79" i="28"/>
  <c r="P99" i="26" s="1"/>
  <c r="Q67" i="28"/>
  <c r="U135" i="26"/>
  <c r="S142" i="19"/>
  <c r="S188" i="19" s="1"/>
  <c r="S195" i="19"/>
  <c r="T112" i="19"/>
  <c r="S149" i="19"/>
  <c r="S172" i="19"/>
  <c r="S157" i="19"/>
  <c r="P96" i="28"/>
  <c r="P217" i="26" s="1"/>
  <c r="P102" i="28"/>
  <c r="P298" i="26" s="1"/>
  <c r="Q70" i="28"/>
  <c r="P82" i="28"/>
  <c r="P102" i="26" s="1"/>
  <c r="P88" i="28"/>
  <c r="P21" i="26" s="1"/>
  <c r="W7" i="19"/>
  <c r="V3" i="19"/>
  <c r="W236" i="26"/>
  <c r="X237" i="26"/>
  <c r="V70" i="12"/>
  <c r="Y94" i="11"/>
  <c r="X95" i="11"/>
  <c r="M12" i="26"/>
  <c r="U57" i="26"/>
  <c r="V1" i="26"/>
  <c r="T12" i="23"/>
  <c r="N16" i="26"/>
  <c r="T6" i="23"/>
  <c r="T5" i="23" s="1"/>
  <c r="X5" i="16"/>
  <c r="U53" i="13"/>
  <c r="U44" i="12"/>
  <c r="R31" i="12"/>
  <c r="R30" i="12"/>
  <c r="S28" i="12" s="1"/>
  <c r="N83" i="28"/>
  <c r="V8" i="11"/>
  <c r="U3" i="11"/>
  <c r="U10" i="11"/>
  <c r="V17" i="15" s="1"/>
  <c r="AK275" i="25"/>
  <c r="V46" i="19"/>
  <c r="W180" i="26"/>
  <c r="V179" i="26"/>
  <c r="U87" i="16"/>
  <c r="W14" i="19"/>
  <c r="Y24" i="11"/>
  <c r="W137" i="26"/>
  <c r="V136" i="26"/>
  <c r="CB76" i="12"/>
  <c r="N34" i="23"/>
  <c r="X3" i="17"/>
  <c r="V10" i="22"/>
  <c r="U3" i="22"/>
  <c r="Q38" i="12"/>
  <c r="Q10" i="12"/>
  <c r="Q40" i="12" s="1"/>
  <c r="Z120" i="26"/>
  <c r="Y119" i="26"/>
  <c r="W105" i="19"/>
  <c r="O77" i="28"/>
  <c r="O98" i="26"/>
  <c r="O97" i="26" s="1"/>
  <c r="U58" i="22"/>
  <c r="U61" i="22" s="1"/>
  <c r="U73" i="22" s="1"/>
  <c r="V57" i="22"/>
  <c r="W331" i="26"/>
  <c r="X332" i="26"/>
  <c r="V23" i="22"/>
  <c r="U30" i="22"/>
  <c r="AG108" i="16"/>
  <c r="AF107" i="16"/>
  <c r="L12" i="26"/>
  <c r="V368" i="26"/>
  <c r="W285" i="26"/>
  <c r="U367" i="26"/>
  <c r="V190" i="26"/>
  <c r="U188" i="26"/>
  <c r="M103" i="28"/>
  <c r="O34" i="23"/>
  <c r="O35" i="23" s="1"/>
  <c r="Y72" i="26"/>
  <c r="X70" i="26"/>
  <c r="W38" i="19"/>
  <c r="N318" i="26"/>
  <c r="N320" i="26"/>
  <c r="N321" i="26"/>
  <c r="N300" i="26"/>
  <c r="N292" i="26" s="1"/>
  <c r="W267" i="25"/>
  <c r="W200" i="25"/>
  <c r="W111" i="25"/>
  <c r="W110" i="25" s="1"/>
  <c r="W114" i="25" s="1"/>
  <c r="W115" i="25" s="1"/>
  <c r="W133" i="25"/>
  <c r="X10" i="25"/>
  <c r="W38" i="25"/>
  <c r="L40" i="33"/>
  <c r="K40" i="33"/>
  <c r="V366" i="26"/>
  <c r="W197" i="26"/>
  <c r="G93" i="25"/>
  <c r="D94" i="25"/>
  <c r="T13" i="26"/>
  <c r="T26" i="26"/>
  <c r="R202" i="19"/>
  <c r="R179" i="19"/>
  <c r="F299" i="20"/>
  <c r="T270" i="20"/>
  <c r="X259" i="26"/>
  <c r="W258" i="26"/>
  <c r="V48" i="26"/>
  <c r="V46" i="26" s="1"/>
  <c r="W47" i="26"/>
  <c r="N97" i="26"/>
  <c r="P92" i="28"/>
  <c r="P98" i="28"/>
  <c r="P78" i="28"/>
  <c r="P84" i="28"/>
  <c r="Q66" i="28"/>
  <c r="AB31" i="11"/>
  <c r="H183" i="25"/>
  <c r="C183" i="25" s="1"/>
  <c r="W122" i="26"/>
  <c r="V121" i="26"/>
  <c r="V27" i="19"/>
  <c r="U26" i="19"/>
  <c r="L52" i="26"/>
  <c r="L30" i="26" s="1"/>
  <c r="T113" i="19"/>
  <c r="S23" i="19"/>
  <c r="G185" i="25"/>
  <c r="D186" i="25"/>
  <c r="U313" i="26"/>
  <c r="V314" i="26"/>
  <c r="X84" i="26"/>
  <c r="W83" i="26"/>
  <c r="U13" i="12"/>
  <c r="T16" i="12"/>
  <c r="T94" i="12"/>
  <c r="T82" i="12"/>
  <c r="T90" i="12"/>
  <c r="T78" i="12"/>
  <c r="H25" i="33"/>
  <c r="I25" i="33" s="1"/>
  <c r="J24" i="33"/>
  <c r="V58" i="13"/>
  <c r="N103" i="28"/>
  <c r="W63" i="19"/>
  <c r="W77" i="19"/>
  <c r="V80" i="19"/>
  <c r="V81" i="19" s="1"/>
  <c r="W78" i="19" s="1"/>
  <c r="O97" i="28"/>
  <c r="O294" i="26"/>
  <c r="O293" i="26" s="1"/>
  <c r="L28" i="15"/>
  <c r="R63" i="14"/>
  <c r="X168" i="19"/>
  <c r="Y165" i="19" s="1"/>
  <c r="X169" i="19"/>
  <c r="V90" i="26"/>
  <c r="U87" i="26"/>
  <c r="AB127" i="25"/>
  <c r="AB112" i="25" s="1"/>
  <c r="V98" i="19"/>
  <c r="V172" i="26"/>
  <c r="W173" i="26"/>
  <c r="G41" i="33"/>
  <c r="V41" i="33" s="1"/>
  <c r="F41" i="33"/>
  <c r="D42" i="33"/>
  <c r="R92" i="25"/>
  <c r="V92" i="25"/>
  <c r="S92" i="25"/>
  <c r="N92" i="25"/>
  <c r="U92" i="25"/>
  <c r="O92" i="25"/>
  <c r="W92" i="25"/>
  <c r="P92" i="25"/>
  <c r="M92" i="25"/>
  <c r="L92" i="25"/>
  <c r="T92" i="25"/>
  <c r="Q92" i="25"/>
  <c r="S351" i="20"/>
  <c r="E383" i="20"/>
  <c r="V55" i="22"/>
  <c r="V96" i="12"/>
  <c r="H91" i="25"/>
  <c r="C91" i="25" s="1"/>
  <c r="M128" i="26"/>
  <c r="M124" i="26" s="1"/>
  <c r="M107" i="26" s="1"/>
  <c r="M105" i="26"/>
  <c r="M96" i="26"/>
  <c r="S18" i="12"/>
  <c r="V93" i="16"/>
  <c r="V75" i="28"/>
  <c r="U14" i="26"/>
  <c r="Z76" i="26"/>
  <c r="Z74" i="26" s="1"/>
  <c r="Z73" i="26" s="1"/>
  <c r="AA75" i="26"/>
  <c r="T36" i="12"/>
  <c r="U33" i="12"/>
  <c r="Y132" i="26"/>
  <c r="X131" i="26"/>
  <c r="G226" i="20"/>
  <c r="U199" i="20"/>
  <c r="V254" i="25"/>
  <c r="U254" i="25"/>
  <c r="M254" i="25"/>
  <c r="T254" i="25"/>
  <c r="Y254" i="25"/>
  <c r="S254" i="25"/>
  <c r="W254" i="25"/>
  <c r="L254" i="25"/>
  <c r="P254" i="25"/>
  <c r="Q254" i="25"/>
  <c r="X254" i="25"/>
  <c r="R254" i="25"/>
  <c r="O254" i="25"/>
  <c r="N254" i="25"/>
  <c r="Y142" i="26"/>
  <c r="X141" i="26"/>
  <c r="O83" i="28"/>
  <c r="O17" i="26"/>
  <c r="O16" i="26" s="1"/>
  <c r="R95" i="28"/>
  <c r="R216" i="26" s="1"/>
  <c r="R81" i="28"/>
  <c r="R101" i="26" s="1"/>
  <c r="R101" i="28"/>
  <c r="R297" i="26" s="1"/>
  <c r="S69" i="28"/>
  <c r="R87" i="28"/>
  <c r="R20" i="26" s="1"/>
  <c r="U91" i="19"/>
  <c r="S24" i="25" l="1"/>
  <c r="Q43" i="12"/>
  <c r="CD117" i="37"/>
  <c r="CE117" i="37"/>
  <c r="CF117" i="37"/>
  <c r="CG117" i="37"/>
  <c r="W50" i="19"/>
  <c r="X134" i="37"/>
  <c r="X202" i="37"/>
  <c r="AW26" i="37"/>
  <c r="AW27" i="37" s="1"/>
  <c r="AW31" i="37" s="1"/>
  <c r="AW32" i="37" s="1"/>
  <c r="Y46" i="37"/>
  <c r="AX129" i="37"/>
  <c r="AX120" i="37"/>
  <c r="G6" i="36"/>
  <c r="G54" i="4"/>
  <c r="R18" i="15"/>
  <c r="R11" i="11"/>
  <c r="R54" i="13"/>
  <c r="I945" i="20"/>
  <c r="R71" i="14"/>
  <c r="V4" i="15"/>
  <c r="U3" i="15"/>
  <c r="AK84" i="20"/>
  <c r="AU507" i="20"/>
  <c r="W34" i="13"/>
  <c r="W33" i="13" s="1"/>
  <c r="S31" i="12"/>
  <c r="S30" i="12"/>
  <c r="T28" i="12" s="1"/>
  <c r="L27" i="15"/>
  <c r="X63" i="19"/>
  <c r="D187" i="25"/>
  <c r="G186" i="25"/>
  <c r="P213" i="26"/>
  <c r="G299" i="20"/>
  <c r="U270" i="20"/>
  <c r="O128" i="26"/>
  <c r="O124" i="26" s="1"/>
  <c r="O107" i="26" s="1"/>
  <c r="O96" i="26"/>
  <c r="O105" i="26"/>
  <c r="CC76" i="12"/>
  <c r="W179" i="26"/>
  <c r="X180" i="26"/>
  <c r="U94" i="12"/>
  <c r="U82" i="12"/>
  <c r="U78" i="12"/>
  <c r="U90" i="12"/>
  <c r="X8" i="16"/>
  <c r="W3" i="16"/>
  <c r="W4" i="16"/>
  <c r="T255" i="25"/>
  <c r="M255" i="25"/>
  <c r="P255" i="25"/>
  <c r="Y255" i="25"/>
  <c r="S255" i="25"/>
  <c r="R255" i="25"/>
  <c r="Z255" i="25"/>
  <c r="X255" i="25"/>
  <c r="O255" i="25"/>
  <c r="W255" i="25"/>
  <c r="L255" i="25"/>
  <c r="V255" i="25"/>
  <c r="N255" i="25"/>
  <c r="Q255" i="25"/>
  <c r="U255" i="25"/>
  <c r="V20" i="15"/>
  <c r="Y79" i="26"/>
  <c r="Z81" i="26"/>
  <c r="Y4" i="21"/>
  <c r="O91" i="28"/>
  <c r="O103" i="28" s="1"/>
  <c r="S101" i="28"/>
  <c r="S297" i="26" s="1"/>
  <c r="S81" i="28"/>
  <c r="S101" i="26" s="1"/>
  <c r="T69" i="28"/>
  <c r="S87" i="28"/>
  <c r="S20" i="26" s="1"/>
  <c r="S95" i="28"/>
  <c r="S216" i="26" s="1"/>
  <c r="H254" i="25"/>
  <c r="C254" i="25" s="1"/>
  <c r="W93" i="16"/>
  <c r="P185" i="25"/>
  <c r="W185" i="25"/>
  <c r="L185" i="25"/>
  <c r="T185" i="25"/>
  <c r="V185" i="25"/>
  <c r="S185" i="25"/>
  <c r="N185" i="25"/>
  <c r="Q185" i="25"/>
  <c r="O185" i="25"/>
  <c r="R185" i="25"/>
  <c r="U185" i="25"/>
  <c r="M185" i="25"/>
  <c r="V26" i="19"/>
  <c r="W27" i="19"/>
  <c r="Y259" i="26"/>
  <c r="X258" i="26"/>
  <c r="Z72" i="26"/>
  <c r="Y70" i="26"/>
  <c r="U6" i="23"/>
  <c r="Y5" i="16"/>
  <c r="V44" i="12"/>
  <c r="V53" i="13"/>
  <c r="X7" i="19"/>
  <c r="X38" i="19" s="1"/>
  <c r="W3" i="19"/>
  <c r="D257" i="25"/>
  <c r="G256" i="25"/>
  <c r="X84" i="12"/>
  <c r="X96" i="12"/>
  <c r="Y72" i="12"/>
  <c r="P100" i="28"/>
  <c r="P296" i="26" s="1"/>
  <c r="P94" i="28"/>
  <c r="P215" i="26" s="1"/>
  <c r="P86" i="28"/>
  <c r="P19" i="26" s="1"/>
  <c r="P80" i="28"/>
  <c r="P100" i="26" s="1"/>
  <c r="Q68" i="28"/>
  <c r="Y76" i="12"/>
  <c r="H184" i="25"/>
  <c r="C184" i="25" s="1"/>
  <c r="Y88" i="12"/>
  <c r="H26" i="33"/>
  <c r="I26" i="33" s="1"/>
  <c r="J25" i="33"/>
  <c r="J26" i="33" s="1"/>
  <c r="T115" i="19"/>
  <c r="T116" i="19" s="1"/>
  <c r="W121" i="26"/>
  <c r="X122" i="26"/>
  <c r="AC31" i="11"/>
  <c r="W75" i="28"/>
  <c r="V14" i="26"/>
  <c r="T351" i="20"/>
  <c r="F383" i="20"/>
  <c r="H92" i="25"/>
  <c r="C92" i="25" s="1"/>
  <c r="Y84" i="26"/>
  <c r="X83" i="26"/>
  <c r="P17" i="26"/>
  <c r="P16" i="26" s="1"/>
  <c r="Z142" i="26"/>
  <c r="Y141" i="26"/>
  <c r="AA76" i="26"/>
  <c r="AA74" i="26" s="1"/>
  <c r="AA73" i="26" s="1"/>
  <c r="AB75" i="26"/>
  <c r="W90" i="26"/>
  <c r="V87" i="26"/>
  <c r="N128" i="26"/>
  <c r="N124" i="26" s="1"/>
  <c r="N107" i="26" s="1"/>
  <c r="N105" i="26"/>
  <c r="N96" i="26"/>
  <c r="X137" i="26"/>
  <c r="W136" i="26"/>
  <c r="X96" i="11"/>
  <c r="X97" i="11"/>
  <c r="W323" i="26"/>
  <c r="W322" i="26" s="1"/>
  <c r="X324" i="26"/>
  <c r="AF92" i="12"/>
  <c r="Z59" i="26"/>
  <c r="Z58" i="26" s="1"/>
  <c r="AA60" i="26"/>
  <c r="AE47" i="12"/>
  <c r="W81" i="23"/>
  <c r="AC288" i="26"/>
  <c r="AB287" i="26"/>
  <c r="AH108" i="16"/>
  <c r="AG107" i="16"/>
  <c r="U62" i="16"/>
  <c r="U25" i="16" s="1"/>
  <c r="U303" i="26"/>
  <c r="U279" i="26"/>
  <c r="U262" i="26"/>
  <c r="U226" i="26"/>
  <c r="U155" i="26"/>
  <c r="U108" i="26"/>
  <c r="U31" i="26"/>
  <c r="V2" i="26"/>
  <c r="V135" i="26" s="1"/>
  <c r="V25" i="12"/>
  <c r="W23" i="12" s="1"/>
  <c r="W4" i="12"/>
  <c r="V3" i="12"/>
  <c r="H6" i="4"/>
  <c r="W96" i="12"/>
  <c r="X16" i="11"/>
  <c r="W15" i="11"/>
  <c r="X105" i="19"/>
  <c r="V87" i="16"/>
  <c r="W8" i="11"/>
  <c r="V10" i="11"/>
  <c r="W17" i="15" s="1"/>
  <c r="V3" i="11"/>
  <c r="V57" i="26"/>
  <c r="W1" i="26"/>
  <c r="Z94" i="11"/>
  <c r="Y95" i="11"/>
  <c r="T195" i="19"/>
  <c r="U112" i="19"/>
  <c r="T149" i="19"/>
  <c r="T172" i="19"/>
  <c r="T157" i="19"/>
  <c r="T142" i="19"/>
  <c r="T188" i="19" s="1"/>
  <c r="U36" i="12"/>
  <c r="U26" i="26"/>
  <c r="U13" i="26"/>
  <c r="S49" i="12"/>
  <c r="S21" i="12"/>
  <c r="S52" i="12" s="1"/>
  <c r="S20" i="12"/>
  <c r="S50" i="12" s="1"/>
  <c r="X173" i="26"/>
  <c r="W172" i="26"/>
  <c r="Y168" i="19"/>
  <c r="Z165" i="19" s="1"/>
  <c r="Y169" i="19"/>
  <c r="X77" i="19"/>
  <c r="W80" i="19"/>
  <c r="W81" i="19" s="1"/>
  <c r="X78" i="19" s="1"/>
  <c r="Q98" i="28"/>
  <c r="Q92" i="28"/>
  <c r="R66" i="28"/>
  <c r="Q84" i="28"/>
  <c r="Q78" i="28"/>
  <c r="W48" i="26"/>
  <c r="W46" i="26" s="1"/>
  <c r="X47" i="26"/>
  <c r="G94" i="25"/>
  <c r="D95" i="25"/>
  <c r="X267" i="25"/>
  <c r="X200" i="25"/>
  <c r="X133" i="25"/>
  <c r="X111" i="25"/>
  <c r="X110" i="25" s="1"/>
  <c r="X114" i="25" s="1"/>
  <c r="X115" i="25" s="1"/>
  <c r="Y10" i="25"/>
  <c r="X38" i="25"/>
  <c r="V367" i="26"/>
  <c r="V188" i="26"/>
  <c r="W190" i="26"/>
  <c r="Y3" i="17"/>
  <c r="Z24" i="11"/>
  <c r="M240" i="26"/>
  <c r="U12" i="23"/>
  <c r="W18" i="19"/>
  <c r="AG3" i="13"/>
  <c r="U35" i="12"/>
  <c r="V33" i="12" s="1"/>
  <c r="T71" i="22"/>
  <c r="S72" i="22"/>
  <c r="AK22" i="13"/>
  <c r="AK20" i="13" s="1"/>
  <c r="AL23" i="13"/>
  <c r="N240" i="26"/>
  <c r="V59" i="12"/>
  <c r="W40" i="19"/>
  <c r="X125" i="26"/>
  <c r="W10" i="23"/>
  <c r="V3" i="23"/>
  <c r="Z132" i="26"/>
  <c r="Y131" i="26"/>
  <c r="Q96" i="28"/>
  <c r="Q217" i="26" s="1"/>
  <c r="Q102" i="28"/>
  <c r="Q298" i="26" s="1"/>
  <c r="Q82" i="28"/>
  <c r="Q102" i="26" s="1"/>
  <c r="R70" i="28"/>
  <c r="Q88" i="28"/>
  <c r="Q21" i="26" s="1"/>
  <c r="S202" i="19"/>
  <c r="S179" i="19"/>
  <c r="Q99" i="28"/>
  <c r="Q295" i="26" s="1"/>
  <c r="Q85" i="28"/>
  <c r="Q18" i="26" s="1"/>
  <c r="R67" i="28"/>
  <c r="Q93" i="28"/>
  <c r="Q214" i="26" s="1"/>
  <c r="Q79" i="28"/>
  <c r="Q99" i="26" s="1"/>
  <c r="Z88" i="26"/>
  <c r="AM5" i="18"/>
  <c r="AL35" i="18"/>
  <c r="AL3" i="18"/>
  <c r="Y80" i="12"/>
  <c r="AA17" i="25"/>
  <c r="Z32" i="25"/>
  <c r="V37" i="22"/>
  <c r="Y147" i="26"/>
  <c r="X183" i="26"/>
  <c r="X182" i="26" s="1"/>
  <c r="Y184" i="26"/>
  <c r="U16" i="12"/>
  <c r="O28" i="26"/>
  <c r="O25" i="26" s="1"/>
  <c r="O55" i="26"/>
  <c r="O56" i="26"/>
  <c r="O53" i="26"/>
  <c r="O12" i="26"/>
  <c r="R93" i="25"/>
  <c r="M93" i="25"/>
  <c r="S93" i="25"/>
  <c r="P93" i="25"/>
  <c r="N93" i="25"/>
  <c r="O93" i="25"/>
  <c r="U93" i="25"/>
  <c r="V93" i="25"/>
  <c r="W93" i="25"/>
  <c r="X93" i="25"/>
  <c r="L93" i="25"/>
  <c r="T93" i="25"/>
  <c r="Q93" i="25"/>
  <c r="V58" i="22"/>
  <c r="V61" i="22" s="1"/>
  <c r="V73" i="22" s="1"/>
  <c r="W57" i="22"/>
  <c r="W70" i="12"/>
  <c r="V91" i="19"/>
  <c r="H226" i="20"/>
  <c r="V199" i="20"/>
  <c r="W314" i="26"/>
  <c r="V313" i="26"/>
  <c r="P77" i="28"/>
  <c r="P98" i="26"/>
  <c r="N317" i="26"/>
  <c r="N302" i="26" s="1"/>
  <c r="W368" i="26"/>
  <c r="X285" i="26"/>
  <c r="X331" i="26"/>
  <c r="Y332" i="26"/>
  <c r="AF41" i="18"/>
  <c r="Q42" i="12"/>
  <c r="W10" i="22"/>
  <c r="V3" i="22"/>
  <c r="Y237" i="26"/>
  <c r="X236" i="26"/>
  <c r="U15" i="12"/>
  <c r="V13" i="12" s="1"/>
  <c r="X253" i="26"/>
  <c r="W252" i="26"/>
  <c r="W251" i="26" s="1"/>
  <c r="Q72" i="28"/>
  <c r="P90" i="28"/>
  <c r="P23" i="26" s="1"/>
  <c r="Q89" i="28"/>
  <c r="Q22" i="26" s="1"/>
  <c r="R71" i="28"/>
  <c r="W58" i="13"/>
  <c r="V30" i="22"/>
  <c r="W23" i="22"/>
  <c r="AA120" i="26"/>
  <c r="Z119" i="26"/>
  <c r="N28" i="26"/>
  <c r="N25" i="26" s="1"/>
  <c r="N56" i="26"/>
  <c r="N55" i="26"/>
  <c r="N12" i="26"/>
  <c r="N53" i="26"/>
  <c r="N52" i="26" s="1"/>
  <c r="N30" i="26" s="1"/>
  <c r="W55" i="22"/>
  <c r="G42" i="33"/>
  <c r="F42" i="33"/>
  <c r="D43" i="33"/>
  <c r="W98" i="19"/>
  <c r="O318" i="26"/>
  <c r="O300" i="26"/>
  <c r="O320" i="26"/>
  <c r="O292" i="26"/>
  <c r="O321" i="26"/>
  <c r="P97" i="28"/>
  <c r="P294" i="26"/>
  <c r="P293" i="26" s="1"/>
  <c r="W366" i="26"/>
  <c r="X197" i="26"/>
  <c r="R8" i="12"/>
  <c r="N35" i="23"/>
  <c r="AL275" i="25"/>
  <c r="W46" i="19"/>
  <c r="CB84" i="12"/>
  <c r="U126" i="19"/>
  <c r="CB72" i="12"/>
  <c r="AL274" i="25"/>
  <c r="R38" i="22"/>
  <c r="W45" i="19"/>
  <c r="O212" i="26"/>
  <c r="S25" i="25" l="1"/>
  <c r="S29" i="25" s="1"/>
  <c r="S30" i="25" s="1"/>
  <c r="S34" i="25" s="1"/>
  <c r="S57" i="25" s="1"/>
  <c r="AX26" i="37"/>
  <c r="Z46" i="37"/>
  <c r="AY129" i="37"/>
  <c r="AY120" i="37"/>
  <c r="Y202" i="37"/>
  <c r="Y134" i="37"/>
  <c r="G40" i="36"/>
  <c r="G69" i="36"/>
  <c r="H6" i="36"/>
  <c r="H54" i="4"/>
  <c r="U5" i="23"/>
  <c r="L145" i="19"/>
  <c r="L146" i="19" s="1"/>
  <c r="M143" i="19" s="1"/>
  <c r="M146" i="19" s="1"/>
  <c r="X14" i="19"/>
  <c r="S11" i="11"/>
  <c r="X40" i="19"/>
  <c r="X50" i="19"/>
  <c r="S18" i="15"/>
  <c r="S54" i="13"/>
  <c r="S51" i="12"/>
  <c r="W4" i="15"/>
  <c r="V3" i="15"/>
  <c r="AL84" i="20"/>
  <c r="X34" i="13"/>
  <c r="X33" i="13" s="1"/>
  <c r="V36" i="12"/>
  <c r="V35" i="12"/>
  <c r="W33" i="12" s="1"/>
  <c r="V16" i="12"/>
  <c r="V15" i="12"/>
  <c r="W13" i="12" s="1"/>
  <c r="W15" i="12" s="1"/>
  <c r="T31" i="12"/>
  <c r="T30" i="12"/>
  <c r="U28" i="12" s="1"/>
  <c r="R99" i="28"/>
  <c r="R295" i="26" s="1"/>
  <c r="R79" i="28"/>
  <c r="R99" i="26" s="1"/>
  <c r="R85" i="28"/>
  <c r="R18" i="26" s="1"/>
  <c r="S67" i="28"/>
  <c r="R93" i="28"/>
  <c r="R214" i="26" s="1"/>
  <c r="V256" i="25"/>
  <c r="Z256" i="25"/>
  <c r="T256" i="25"/>
  <c r="X256" i="25"/>
  <c r="N256" i="25"/>
  <c r="L256" i="25"/>
  <c r="AA256" i="25"/>
  <c r="O256" i="25"/>
  <c r="W256" i="25"/>
  <c r="S256" i="25"/>
  <c r="M256" i="25"/>
  <c r="U256" i="25"/>
  <c r="Y256" i="25"/>
  <c r="P256" i="25"/>
  <c r="R256" i="25"/>
  <c r="Q256" i="25"/>
  <c r="X366" i="26"/>
  <c r="Y197" i="26"/>
  <c r="O244" i="26"/>
  <c r="O243" i="26"/>
  <c r="O241" i="26"/>
  <c r="O240" i="26" s="1"/>
  <c r="O219" i="26"/>
  <c r="R38" i="12"/>
  <c r="R10" i="12"/>
  <c r="R40" i="12" s="1"/>
  <c r="V12" i="23"/>
  <c r="W367" i="26"/>
  <c r="X190" i="26"/>
  <c r="W188" i="26"/>
  <c r="W87" i="16"/>
  <c r="Y105" i="19"/>
  <c r="AF47" i="12"/>
  <c r="AD31" i="11"/>
  <c r="Y253" i="26"/>
  <c r="X252" i="26"/>
  <c r="X251" i="26" s="1"/>
  <c r="W58" i="22"/>
  <c r="W61" i="22" s="1"/>
  <c r="W73" i="22" s="1"/>
  <c r="X57" i="22"/>
  <c r="O52" i="26"/>
  <c r="O30" i="26" s="1"/>
  <c r="Z147" i="26"/>
  <c r="AB17" i="25"/>
  <c r="AA32" i="25"/>
  <c r="AM56" i="18"/>
  <c r="AM57" i="18" s="1"/>
  <c r="AN5" i="18"/>
  <c r="AM35" i="18"/>
  <c r="AM3" i="18"/>
  <c r="W59" i="12"/>
  <c r="X18" i="19"/>
  <c r="D96" i="25"/>
  <c r="G95" i="25"/>
  <c r="Y96" i="11"/>
  <c r="Y97" i="11"/>
  <c r="AB60" i="26"/>
  <c r="AA59" i="26"/>
  <c r="AA58" i="26" s="1"/>
  <c r="AB76" i="26"/>
  <c r="AB74" i="26" s="1"/>
  <c r="AB73" i="26" s="1"/>
  <c r="AC75" i="26"/>
  <c r="AA142" i="26"/>
  <c r="Z141" i="26"/>
  <c r="Y84" i="12"/>
  <c r="Y96" i="12" s="1"/>
  <c r="D258" i="25"/>
  <c r="G257" i="25"/>
  <c r="W26" i="19"/>
  <c r="X27" i="19"/>
  <c r="Y63" i="19"/>
  <c r="Y137" i="26"/>
  <c r="X136" i="26"/>
  <c r="P28" i="26"/>
  <c r="P25" i="26" s="1"/>
  <c r="P55" i="26"/>
  <c r="P56" i="26"/>
  <c r="P53" i="26"/>
  <c r="P52" i="26" s="1"/>
  <c r="P30" i="26" s="1"/>
  <c r="P12" i="26"/>
  <c r="X121" i="26"/>
  <c r="Y122" i="26"/>
  <c r="Z76" i="12"/>
  <c r="Z79" i="26"/>
  <c r="AA81" i="26"/>
  <c r="CD76" i="12"/>
  <c r="H299" i="20"/>
  <c r="V270" i="20"/>
  <c r="AA119" i="26"/>
  <c r="AB120" i="26"/>
  <c r="S71" i="28"/>
  <c r="R89" i="28"/>
  <c r="R22" i="26" s="1"/>
  <c r="Z237" i="26"/>
  <c r="Y236" i="26"/>
  <c r="P34" i="23"/>
  <c r="P35" i="23" s="1"/>
  <c r="W91" i="19"/>
  <c r="AA88" i="26"/>
  <c r="T72" i="22"/>
  <c r="U71" i="22"/>
  <c r="X48" i="26"/>
  <c r="Y47" i="26"/>
  <c r="X46" i="26"/>
  <c r="Q98" i="26"/>
  <c r="T18" i="12"/>
  <c r="E47" i="9" s="1"/>
  <c r="T202" i="19"/>
  <c r="T179" i="19"/>
  <c r="W57" i="26"/>
  <c r="X1" i="26"/>
  <c r="Y16" i="11"/>
  <c r="X15" i="11"/>
  <c r="V279" i="26"/>
  <c r="V303" i="26"/>
  <c r="V262" i="26"/>
  <c r="V226" i="26"/>
  <c r="V155" i="26"/>
  <c r="V108" i="26"/>
  <c r="V31" i="26"/>
  <c r="W2" i="26"/>
  <c r="W135" i="26" s="1"/>
  <c r="AD288" i="26"/>
  <c r="AC287" i="26"/>
  <c r="AG92" i="12"/>
  <c r="P83" i="28"/>
  <c r="U351" i="20"/>
  <c r="G383" i="20"/>
  <c r="W20" i="15"/>
  <c r="W94" i="25"/>
  <c r="O94" i="25"/>
  <c r="S94" i="25"/>
  <c r="M94" i="25"/>
  <c r="R94" i="25"/>
  <c r="Y94" i="25"/>
  <c r="N94" i="25"/>
  <c r="P94" i="25"/>
  <c r="V94" i="25"/>
  <c r="L94" i="25"/>
  <c r="T94" i="25"/>
  <c r="Q94" i="25"/>
  <c r="X94" i="25"/>
  <c r="U94" i="25"/>
  <c r="Y77" i="19"/>
  <c r="X80" i="19"/>
  <c r="X81" i="19" s="1"/>
  <c r="Y78" i="19" s="1"/>
  <c r="AI108" i="16"/>
  <c r="AH107" i="16"/>
  <c r="Y331" i="26"/>
  <c r="Z332" i="26"/>
  <c r="P97" i="26"/>
  <c r="Z184" i="26"/>
  <c r="Y183" i="26"/>
  <c r="Y182" i="26" s="1"/>
  <c r="W37" i="22"/>
  <c r="Z80" i="12"/>
  <c r="Z131" i="26"/>
  <c r="AA132" i="26"/>
  <c r="Y125" i="26"/>
  <c r="Y267" i="25"/>
  <c r="Y200" i="25"/>
  <c r="Y133" i="25"/>
  <c r="Y111" i="25"/>
  <c r="Y110" i="25" s="1"/>
  <c r="Y114" i="25" s="1"/>
  <c r="Y115" i="25" s="1"/>
  <c r="Z10" i="25"/>
  <c r="Y38" i="25"/>
  <c r="Q17" i="26"/>
  <c r="Z259" i="26"/>
  <c r="Y258" i="26"/>
  <c r="H185" i="25"/>
  <c r="C185" i="25" s="1"/>
  <c r="P212" i="26"/>
  <c r="CC72" i="12"/>
  <c r="X58" i="13"/>
  <c r="P103" i="28"/>
  <c r="I226" i="20"/>
  <c r="W199" i="20"/>
  <c r="H93" i="25"/>
  <c r="C93" i="25" s="1"/>
  <c r="V4" i="23"/>
  <c r="AA24" i="11"/>
  <c r="R98" i="28"/>
  <c r="R78" i="28"/>
  <c r="R84" i="28"/>
  <c r="S66" i="28"/>
  <c r="R92" i="28"/>
  <c r="Z168" i="19"/>
  <c r="AA165" i="19" s="1"/>
  <c r="Z169" i="19"/>
  <c r="Y324" i="26"/>
  <c r="X323" i="26"/>
  <c r="X322" i="26" s="1"/>
  <c r="Y83" i="26"/>
  <c r="Z84" i="26"/>
  <c r="V13" i="26"/>
  <c r="V26" i="26"/>
  <c r="U113" i="19"/>
  <c r="T23" i="19"/>
  <c r="Y7" i="19"/>
  <c r="X3" i="19"/>
  <c r="Z4" i="21"/>
  <c r="P91" i="28"/>
  <c r="X4" i="12"/>
  <c r="W3" i="12"/>
  <c r="W25" i="12"/>
  <c r="X23" i="12" s="1"/>
  <c r="I6" i="4"/>
  <c r="V126" i="19"/>
  <c r="W30" i="22"/>
  <c r="X23" i="22"/>
  <c r="P321" i="26"/>
  <c r="P320" i="26"/>
  <c r="P318" i="26"/>
  <c r="P317" i="26" s="1"/>
  <c r="P302" i="26" s="1"/>
  <c r="P300" i="26"/>
  <c r="P292" i="26" s="1"/>
  <c r="L42" i="33"/>
  <c r="K42" i="33"/>
  <c r="AM274" i="25"/>
  <c r="S38" i="22"/>
  <c r="X45" i="19"/>
  <c r="O317" i="26"/>
  <c r="O302" i="26" s="1"/>
  <c r="R96" i="28"/>
  <c r="R217" i="26" s="1"/>
  <c r="R102" i="28"/>
  <c r="R298" i="26" s="1"/>
  <c r="R82" i="28"/>
  <c r="R102" i="26" s="1"/>
  <c r="R88" i="28"/>
  <c r="R21" i="26" s="1"/>
  <c r="S70" i="28"/>
  <c r="X10" i="23"/>
  <c r="W3" i="23"/>
  <c r="Z3" i="17"/>
  <c r="Q213" i="26"/>
  <c r="V6" i="23"/>
  <c r="Z5" i="16"/>
  <c r="W53" i="13"/>
  <c r="W44" i="12"/>
  <c r="X90" i="26"/>
  <c r="W87" i="26"/>
  <c r="X75" i="28"/>
  <c r="W14" i="26"/>
  <c r="H27" i="33"/>
  <c r="I27" i="33" s="1"/>
  <c r="J27" i="33" s="1"/>
  <c r="V94" i="12"/>
  <c r="V78" i="12"/>
  <c r="V82" i="12"/>
  <c r="V90" i="12"/>
  <c r="X93" i="16"/>
  <c r="T101" i="28"/>
  <c r="T297" i="26" s="1"/>
  <c r="U69" i="28"/>
  <c r="T81" i="28"/>
  <c r="T101" i="26" s="1"/>
  <c r="T95" i="28"/>
  <c r="T216" i="26" s="1"/>
  <c r="T87" i="28"/>
  <c r="T20" i="26" s="1"/>
  <c r="Y8" i="16"/>
  <c r="X3" i="16"/>
  <c r="X4" i="16"/>
  <c r="P186" i="25"/>
  <c r="N186" i="25"/>
  <c r="S186" i="25"/>
  <c r="O186" i="25"/>
  <c r="X186" i="25"/>
  <c r="V186" i="25"/>
  <c r="Q186" i="25"/>
  <c r="L186" i="25"/>
  <c r="W186" i="25"/>
  <c r="T186" i="25"/>
  <c r="R186" i="25"/>
  <c r="M186" i="25"/>
  <c r="U186" i="25"/>
  <c r="X98" i="19"/>
  <c r="F43" i="33"/>
  <c r="V25" i="33" s="1"/>
  <c r="D44" i="33"/>
  <c r="G43" i="33"/>
  <c r="CC84" i="12"/>
  <c r="AM275" i="25"/>
  <c r="X46" i="19"/>
  <c r="X55" i="22"/>
  <c r="Q90" i="28"/>
  <c r="Q23" i="26" s="1"/>
  <c r="R72" i="28"/>
  <c r="W3" i="22"/>
  <c r="X10" i="22"/>
  <c r="X368" i="26"/>
  <c r="Y285" i="26"/>
  <c r="W313" i="26"/>
  <c r="X314" i="26"/>
  <c r="X70" i="12"/>
  <c r="V62" i="16"/>
  <c r="V25" i="16" s="1"/>
  <c r="AL22" i="13"/>
  <c r="AL20" i="13" s="1"/>
  <c r="AM23" i="13"/>
  <c r="AH3" i="13"/>
  <c r="Q294" i="26"/>
  <c r="Y173" i="26"/>
  <c r="X172" i="26"/>
  <c r="U149" i="19"/>
  <c r="U172" i="19"/>
  <c r="U157" i="19"/>
  <c r="U142" i="19"/>
  <c r="U188" i="19" s="1"/>
  <c r="U195" i="19"/>
  <c r="V112" i="19"/>
  <c r="W10" i="11"/>
  <c r="W3" i="11"/>
  <c r="X8" i="11"/>
  <c r="X81" i="23"/>
  <c r="Z88" i="12"/>
  <c r="Q100" i="28"/>
  <c r="Q296" i="26" s="1"/>
  <c r="Q94" i="28"/>
  <c r="Q215" i="26" s="1"/>
  <c r="Q86" i="28"/>
  <c r="Q19" i="26" s="1"/>
  <c r="Q80" i="28"/>
  <c r="Q100" i="26" s="1"/>
  <c r="R68" i="28"/>
  <c r="Z72" i="12"/>
  <c r="AA72" i="26"/>
  <c r="Z70" i="26"/>
  <c r="H255" i="25"/>
  <c r="C255" i="25" s="1"/>
  <c r="X179" i="26"/>
  <c r="Y180" i="26"/>
  <c r="D188" i="25"/>
  <c r="G187" i="25"/>
  <c r="AX27" i="37" l="1"/>
  <c r="AX31" i="37" s="1"/>
  <c r="AX32" i="37" s="1"/>
  <c r="R43" i="12"/>
  <c r="Z134" i="37"/>
  <c r="Z202" i="37"/>
  <c r="AZ129" i="37"/>
  <c r="AZ120" i="37"/>
  <c r="AY26" i="37"/>
  <c r="AY27" i="37" s="1"/>
  <c r="AY31" i="37" s="1"/>
  <c r="AY32" i="37" s="1"/>
  <c r="L31" i="19"/>
  <c r="AA46" i="37"/>
  <c r="H40" i="36"/>
  <c r="H69" i="36"/>
  <c r="I6" i="36"/>
  <c r="I69" i="36" s="1"/>
  <c r="I54" i="4"/>
  <c r="V5" i="23"/>
  <c r="H186" i="25"/>
  <c r="C186" i="25" s="1"/>
  <c r="X17" i="15"/>
  <c r="Y40" i="19"/>
  <c r="T18" i="15"/>
  <c r="T11" i="11"/>
  <c r="T54" i="13"/>
  <c r="X4" i="15"/>
  <c r="W3" i="15"/>
  <c r="AM84" i="20"/>
  <c r="Y50" i="19"/>
  <c r="Y34" i="13"/>
  <c r="Y33" i="13" s="1"/>
  <c r="W36" i="12"/>
  <c r="W35" i="12"/>
  <c r="X33" i="12" s="1"/>
  <c r="X35" i="12" s="1"/>
  <c r="Z7" i="19"/>
  <c r="Y3" i="19"/>
  <c r="CD72" i="12"/>
  <c r="AA332" i="26"/>
  <c r="Z331" i="26"/>
  <c r="Q77" i="28"/>
  <c r="S89" i="28"/>
  <c r="S22" i="26" s="1"/>
  <c r="T71" i="28"/>
  <c r="I299" i="20"/>
  <c r="W270" i="20"/>
  <c r="H256" i="25"/>
  <c r="C256" i="25" s="1"/>
  <c r="AN275" i="25"/>
  <c r="Y46" i="19"/>
  <c r="Y81" i="23"/>
  <c r="X10" i="11"/>
  <c r="Y17" i="15" s="1"/>
  <c r="X3" i="11"/>
  <c r="Y8" i="11"/>
  <c r="W13" i="26"/>
  <c r="W26" i="26"/>
  <c r="S102" i="28"/>
  <c r="S298" i="26" s="1"/>
  <c r="S82" i="28"/>
  <c r="S102" i="26" s="1"/>
  <c r="T70" i="28"/>
  <c r="S96" i="28"/>
  <c r="S217" i="26" s="1"/>
  <c r="S88" i="28"/>
  <c r="S21" i="26" s="1"/>
  <c r="X30" i="22"/>
  <c r="Y23" i="22"/>
  <c r="AA168" i="19"/>
  <c r="AB165" i="19" s="1"/>
  <c r="AA169" i="19"/>
  <c r="Z125" i="26"/>
  <c r="Y15" i="11"/>
  <c r="Z16" i="11"/>
  <c r="AB119" i="26"/>
  <c r="AC120" i="26"/>
  <c r="X59" i="12"/>
  <c r="S99" i="28"/>
  <c r="S295" i="26" s="1"/>
  <c r="S93" i="28"/>
  <c r="S214" i="26" s="1"/>
  <c r="S85" i="28"/>
  <c r="S18" i="26" s="1"/>
  <c r="S79" i="28"/>
  <c r="S99" i="26" s="1"/>
  <c r="T67" i="28"/>
  <c r="U202" i="19"/>
  <c r="U179" i="19"/>
  <c r="Y58" i="13"/>
  <c r="AA72" i="12"/>
  <c r="AA88" i="12"/>
  <c r="U101" i="28"/>
  <c r="U297" i="26" s="1"/>
  <c r="U81" i="28"/>
  <c r="U101" i="26" s="1"/>
  <c r="U95" i="28"/>
  <c r="U216" i="26" s="1"/>
  <c r="U87" i="28"/>
  <c r="U20" i="26" s="1"/>
  <c r="V69" i="28"/>
  <c r="H28" i="33"/>
  <c r="I28" i="33" s="1"/>
  <c r="J28" i="33" s="1"/>
  <c r="Y90" i="26"/>
  <c r="X87" i="26"/>
  <c r="R187" i="25"/>
  <c r="N187" i="25"/>
  <c r="X187" i="25"/>
  <c r="S187" i="25"/>
  <c r="V187" i="25"/>
  <c r="P187" i="25"/>
  <c r="Y187" i="25"/>
  <c r="W187" i="25"/>
  <c r="L187" i="25"/>
  <c r="O187" i="25"/>
  <c r="Q187" i="25"/>
  <c r="T187" i="25"/>
  <c r="U187" i="25"/>
  <c r="M187" i="25"/>
  <c r="Z180" i="26"/>
  <c r="Y179" i="26"/>
  <c r="D189" i="25"/>
  <c r="G188" i="25"/>
  <c r="Y10" i="22"/>
  <c r="X3" i="22"/>
  <c r="Y55" i="22"/>
  <c r="CD84" i="12"/>
  <c r="Y93" i="16"/>
  <c r="Y75" i="28"/>
  <c r="X14" i="26"/>
  <c r="R213" i="26"/>
  <c r="H94" i="25"/>
  <c r="C94" i="25" s="1"/>
  <c r="AE288" i="26"/>
  <c r="AD287" i="26"/>
  <c r="X57" i="26"/>
  <c r="Y1" i="26"/>
  <c r="Y48" i="26"/>
  <c r="Z47" i="26"/>
  <c r="Y46" i="26"/>
  <c r="X135" i="26"/>
  <c r="N257" i="25"/>
  <c r="M257" i="25"/>
  <c r="U257" i="25"/>
  <c r="X257" i="25"/>
  <c r="O257" i="25"/>
  <c r="P257" i="25"/>
  <c r="Y257" i="25"/>
  <c r="V257" i="25"/>
  <c r="W257" i="25"/>
  <c r="R257" i="25"/>
  <c r="Q257" i="25"/>
  <c r="T257" i="25"/>
  <c r="S257" i="25"/>
  <c r="AA257" i="25"/>
  <c r="Z257" i="25"/>
  <c r="L257" i="25"/>
  <c r="AB257" i="25"/>
  <c r="AC60" i="26"/>
  <c r="AB59" i="26"/>
  <c r="AB58" i="26" s="1"/>
  <c r="X95" i="25"/>
  <c r="U95" i="25"/>
  <c r="V95" i="25"/>
  <c r="O95" i="25"/>
  <c r="W95" i="25"/>
  <c r="M95" i="25"/>
  <c r="Z95" i="25"/>
  <c r="P95" i="25"/>
  <c r="R95" i="25"/>
  <c r="S95" i="25"/>
  <c r="Q95" i="25"/>
  <c r="L95" i="25"/>
  <c r="N95" i="25"/>
  <c r="Y95" i="25"/>
  <c r="T95" i="25"/>
  <c r="Z253" i="26"/>
  <c r="Y252" i="26"/>
  <c r="Y251" i="26" s="1"/>
  <c r="AG47" i="12"/>
  <c r="AG41" i="18"/>
  <c r="R42" i="12"/>
  <c r="Z324" i="26"/>
  <c r="Y323" i="26"/>
  <c r="Y322" i="26" s="1"/>
  <c r="S98" i="28"/>
  <c r="S92" i="28"/>
  <c r="S78" i="28"/>
  <c r="T66" i="28"/>
  <c r="S84" i="28"/>
  <c r="P244" i="26"/>
  <c r="P243" i="26"/>
  <c r="P241" i="26"/>
  <c r="P219" i="26"/>
  <c r="AJ108" i="16"/>
  <c r="AI107" i="16"/>
  <c r="V351" i="20"/>
  <c r="H383" i="20"/>
  <c r="CE76" i="12"/>
  <c r="AB81" i="26"/>
  <c r="AA79" i="26"/>
  <c r="Z137" i="26"/>
  <c r="Y136" i="26"/>
  <c r="G258" i="25"/>
  <c r="D259" i="25"/>
  <c r="G96" i="25"/>
  <c r="D97" i="25"/>
  <c r="W62" i="16"/>
  <c r="W25" i="16" s="1"/>
  <c r="AC17" i="25"/>
  <c r="AB32" i="25"/>
  <c r="X58" i="22"/>
  <c r="X61" i="22" s="1"/>
  <c r="X73" i="22" s="1"/>
  <c r="Y57" i="22"/>
  <c r="X367" i="26"/>
  <c r="Y190" i="26"/>
  <c r="X188" i="26"/>
  <c r="Y366" i="26"/>
  <c r="Z197" i="26"/>
  <c r="V45" i="33"/>
  <c r="K43" i="33"/>
  <c r="T43" i="33"/>
  <c r="V43" i="33" s="1"/>
  <c r="L43" i="33"/>
  <c r="R27" i="33"/>
  <c r="S20" i="33" s="1"/>
  <c r="V149" i="19"/>
  <c r="V172" i="19"/>
  <c r="V157" i="19"/>
  <c r="V142" i="19"/>
  <c r="V188" i="19" s="1"/>
  <c r="V195" i="19"/>
  <c r="W112" i="19"/>
  <c r="Q293" i="26"/>
  <c r="AI3" i="13"/>
  <c r="Y70" i="12"/>
  <c r="Q212" i="26"/>
  <c r="W126" i="19"/>
  <c r="U115" i="19"/>
  <c r="R17" i="26"/>
  <c r="V118" i="23"/>
  <c r="Q16" i="26"/>
  <c r="AB132" i="26"/>
  <c r="AA131" i="26"/>
  <c r="X37" i="22"/>
  <c r="X20" i="15"/>
  <c r="AH92" i="12"/>
  <c r="V71" i="22"/>
  <c r="U72" i="22"/>
  <c r="AA76" i="12"/>
  <c r="Y27" i="19"/>
  <c r="X26" i="19"/>
  <c r="Z84" i="12"/>
  <c r="Z96" i="12" s="1"/>
  <c r="AB142" i="26"/>
  <c r="AA141" i="26"/>
  <c r="W12" i="23"/>
  <c r="S8" i="12"/>
  <c r="AM22" i="13"/>
  <c r="AM20" i="13" s="1"/>
  <c r="AN23" i="13"/>
  <c r="W94" i="12"/>
  <c r="W82" i="12"/>
  <c r="W78" i="12"/>
  <c r="W90" i="12"/>
  <c r="Y10" i="23"/>
  <c r="X3" i="23"/>
  <c r="R294" i="26"/>
  <c r="R80" i="28"/>
  <c r="R100" i="26" s="1"/>
  <c r="R94" i="28"/>
  <c r="R215" i="26" s="1"/>
  <c r="R86" i="28"/>
  <c r="R19" i="26" s="1"/>
  <c r="S68" i="28"/>
  <c r="R100" i="28"/>
  <c r="R296" i="26" s="1"/>
  <c r="W6" i="23"/>
  <c r="W5" i="23" s="1"/>
  <c r="AA5" i="16"/>
  <c r="X53" i="13"/>
  <c r="X44" i="12"/>
  <c r="Y172" i="26"/>
  <c r="Z173" i="26"/>
  <c r="Y4" i="12"/>
  <c r="X3" i="12"/>
  <c r="X25" i="12"/>
  <c r="Y23" i="12" s="1"/>
  <c r="J6" i="4"/>
  <c r="AB72" i="26"/>
  <c r="AA70" i="26"/>
  <c r="Q97" i="28"/>
  <c r="X313" i="26"/>
  <c r="Y314" i="26"/>
  <c r="S72" i="28"/>
  <c r="R90" i="28"/>
  <c r="R23" i="26" s="1"/>
  <c r="Y4" i="16"/>
  <c r="Y3" i="16"/>
  <c r="Z8" i="16"/>
  <c r="Q91" i="28"/>
  <c r="AA3" i="17"/>
  <c r="R98" i="26"/>
  <c r="J226" i="20"/>
  <c r="X199" i="20"/>
  <c r="AA259" i="26"/>
  <c r="Z258" i="26"/>
  <c r="Q83" i="28"/>
  <c r="Z77" i="19"/>
  <c r="Y80" i="19"/>
  <c r="Y81" i="19" s="1"/>
  <c r="Z78" i="19" s="1"/>
  <c r="W303" i="26"/>
  <c r="W279" i="26"/>
  <c r="W262" i="26"/>
  <c r="W226" i="26"/>
  <c r="W155" i="26"/>
  <c r="X2" i="26"/>
  <c r="W108" i="26"/>
  <c r="W31" i="26"/>
  <c r="AB88" i="26"/>
  <c r="Z63" i="19"/>
  <c r="AD75" i="26"/>
  <c r="AC76" i="26"/>
  <c r="AC74" i="26" s="1"/>
  <c r="AC73" i="26" s="1"/>
  <c r="AO5" i="18"/>
  <c r="AN35" i="18"/>
  <c r="AN3" i="18"/>
  <c r="AA147" i="26"/>
  <c r="Y38" i="19"/>
  <c r="Z105" i="19"/>
  <c r="Y98" i="19"/>
  <c r="AA80" i="12"/>
  <c r="T49" i="12"/>
  <c r="T21" i="12"/>
  <c r="T52" i="12" s="1"/>
  <c r="T20" i="12"/>
  <c r="T50" i="12" s="1"/>
  <c r="Z236" i="26"/>
  <c r="AA237" i="26"/>
  <c r="X87" i="16"/>
  <c r="U31" i="12"/>
  <c r="U30" i="12"/>
  <c r="V28" i="12" s="1"/>
  <c r="W16" i="12"/>
  <c r="X13" i="12"/>
  <c r="X15" i="12" s="1"/>
  <c r="Y368" i="26"/>
  <c r="Z285" i="26"/>
  <c r="F44" i="33"/>
  <c r="D45" i="33"/>
  <c r="G44" i="33"/>
  <c r="AN274" i="25"/>
  <c r="T38" i="22"/>
  <c r="Y45" i="19"/>
  <c r="AA4" i="21"/>
  <c r="AA84" i="26"/>
  <c r="Z83" i="26"/>
  <c r="AB24" i="11"/>
  <c r="Z200" i="25"/>
  <c r="Z267" i="25"/>
  <c r="Z133" i="25"/>
  <c r="Z111" i="25"/>
  <c r="Z110" i="25" s="1"/>
  <c r="Z114" i="25" s="1"/>
  <c r="Z115" i="25" s="1"/>
  <c r="Z38" i="25"/>
  <c r="AA10" i="25"/>
  <c r="AA184" i="26"/>
  <c r="Z183" i="26"/>
  <c r="Z182" i="26" s="1"/>
  <c r="P128" i="26"/>
  <c r="P124" i="26" s="1"/>
  <c r="P107" i="26" s="1"/>
  <c r="P105" i="26"/>
  <c r="P96" i="26"/>
  <c r="Q97" i="26"/>
  <c r="X91" i="19"/>
  <c r="Y121" i="26"/>
  <c r="Z122" i="26"/>
  <c r="Y18" i="19"/>
  <c r="AE31" i="11"/>
  <c r="Y14" i="19"/>
  <c r="N143" i="19"/>
  <c r="N146" i="19" s="1"/>
  <c r="M31" i="19"/>
  <c r="AZ26" i="37" l="1"/>
  <c r="BA120" i="37"/>
  <c r="BA129" i="37"/>
  <c r="AA202" i="37"/>
  <c r="AB46" i="37"/>
  <c r="AA134" i="37"/>
  <c r="I40" i="36"/>
  <c r="J6" i="36"/>
  <c r="J54" i="4"/>
  <c r="H95" i="25"/>
  <c r="C95" i="25" s="1"/>
  <c r="Z40" i="19"/>
  <c r="Z50" i="19"/>
  <c r="Z38" i="19"/>
  <c r="U54" i="13"/>
  <c r="U11" i="11"/>
  <c r="U18" i="15"/>
  <c r="T51" i="12"/>
  <c r="U18" i="12"/>
  <c r="U49" i="12" s="1"/>
  <c r="Y4" i="15"/>
  <c r="X3" i="15"/>
  <c r="AN84" i="20"/>
  <c r="Z14" i="19"/>
  <c r="Z34" i="13"/>
  <c r="Z33" i="13" s="1"/>
  <c r="H29" i="33"/>
  <c r="I29" i="33" s="1"/>
  <c r="J29" i="33" s="1"/>
  <c r="AA122" i="26"/>
  <c r="Z121" i="26"/>
  <c r="AB4" i="21"/>
  <c r="AA105" i="19"/>
  <c r="X279" i="26"/>
  <c r="X262" i="26"/>
  <c r="X303" i="26"/>
  <c r="X226" i="26"/>
  <c r="X155" i="26"/>
  <c r="X108" i="26"/>
  <c r="Y2" i="26"/>
  <c r="X31" i="26"/>
  <c r="R97" i="26"/>
  <c r="S90" i="28"/>
  <c r="S23" i="26" s="1"/>
  <c r="T72" i="28"/>
  <c r="R293" i="26"/>
  <c r="W71" i="22"/>
  <c r="V72" i="22"/>
  <c r="Z70" i="12"/>
  <c r="Y96" i="25"/>
  <c r="T96" i="25"/>
  <c r="Q96" i="25"/>
  <c r="L96" i="25"/>
  <c r="M96" i="25"/>
  <c r="S96" i="25"/>
  <c r="AA96" i="25"/>
  <c r="P96" i="25"/>
  <c r="N96" i="25"/>
  <c r="W96" i="25"/>
  <c r="Z96" i="25"/>
  <c r="X96" i="25"/>
  <c r="R96" i="25"/>
  <c r="U96" i="25"/>
  <c r="V96" i="25"/>
  <c r="O96" i="25"/>
  <c r="Q34" i="23"/>
  <c r="Q35" i="23" s="1"/>
  <c r="Z75" i="28"/>
  <c r="Y14" i="26"/>
  <c r="H187" i="25"/>
  <c r="C187" i="25" s="1"/>
  <c r="Y59" i="12"/>
  <c r="AB169" i="19"/>
  <c r="AB168" i="19"/>
  <c r="AC165" i="19" s="1"/>
  <c r="Z81" i="23"/>
  <c r="Q103" i="28"/>
  <c r="AB80" i="12"/>
  <c r="AA63" i="19"/>
  <c r="AB84" i="26"/>
  <c r="AA83" i="26"/>
  <c r="Z4" i="16"/>
  <c r="Z3" i="16"/>
  <c r="AA8" i="16"/>
  <c r="V202" i="19"/>
  <c r="V179" i="19"/>
  <c r="G97" i="25"/>
  <c r="D98" i="25"/>
  <c r="AA137" i="26"/>
  <c r="Z136" i="26"/>
  <c r="AK108" i="16"/>
  <c r="AJ107" i="16"/>
  <c r="AA47" i="26"/>
  <c r="Z46" i="26"/>
  <c r="Z48" i="26"/>
  <c r="Q128" i="26"/>
  <c r="Q124" i="26" s="1"/>
  <c r="Q107" i="26" s="1"/>
  <c r="Q105" i="26"/>
  <c r="Q96" i="26" s="1"/>
  <c r="Z368" i="26"/>
  <c r="AA285" i="26"/>
  <c r="R77" i="28"/>
  <c r="AB3" i="17"/>
  <c r="Z314" i="26"/>
  <c r="Y313" i="26"/>
  <c r="AB76" i="12"/>
  <c r="S17" i="26"/>
  <c r="AA324" i="26"/>
  <c r="Z323" i="26"/>
  <c r="Z322" i="26" s="1"/>
  <c r="Y57" i="26"/>
  <c r="Z1" i="26"/>
  <c r="Z15" i="11"/>
  <c r="AA16" i="11"/>
  <c r="D46" i="33"/>
  <c r="F45" i="33"/>
  <c r="G45" i="33"/>
  <c r="X94" i="12"/>
  <c r="X90" i="12"/>
  <c r="X82" i="12"/>
  <c r="X78" i="12"/>
  <c r="S38" i="12"/>
  <c r="S10" i="12"/>
  <c r="S40" i="12" s="1"/>
  <c r="Y87" i="16"/>
  <c r="Z10" i="23"/>
  <c r="Y3" i="23"/>
  <c r="Y26" i="19"/>
  <c r="Z27" i="19"/>
  <c r="AA253" i="26"/>
  <c r="Z252" i="26"/>
  <c r="Z251" i="26" s="1"/>
  <c r="AF31" i="11"/>
  <c r="AC24" i="11"/>
  <c r="V31" i="12"/>
  <c r="V30" i="12"/>
  <c r="W28" i="12" s="1"/>
  <c r="R97" i="28"/>
  <c r="X126" i="19"/>
  <c r="Q219" i="26"/>
  <c r="Q244" i="26"/>
  <c r="Q241" i="26"/>
  <c r="Q240" i="26" s="1"/>
  <c r="Q243" i="26"/>
  <c r="Y367" i="26"/>
  <c r="Y188" i="26"/>
  <c r="Z190" i="26"/>
  <c r="AA183" i="26"/>
  <c r="AA182" i="26" s="1"/>
  <c r="AB184" i="26"/>
  <c r="Z98" i="19"/>
  <c r="X12" i="23"/>
  <c r="AA77" i="19"/>
  <c r="Z80" i="19"/>
  <c r="Z81" i="19" s="1"/>
  <c r="AA78" i="19" s="1"/>
  <c r="AJ3" i="13"/>
  <c r="Y58" i="22"/>
  <c r="Y61" i="22" s="1"/>
  <c r="Y73" i="22" s="1"/>
  <c r="Z57" i="22"/>
  <c r="T84" i="28"/>
  <c r="T98" i="28"/>
  <c r="T78" i="28"/>
  <c r="U66" i="28"/>
  <c r="T92" i="28"/>
  <c r="Z93" i="16"/>
  <c r="Z10" i="22"/>
  <c r="Y3" i="22"/>
  <c r="AA180" i="26"/>
  <c r="Z179" i="26"/>
  <c r="T102" i="28"/>
  <c r="T298" i="26" s="1"/>
  <c r="T82" i="28"/>
  <c r="T102" i="26" s="1"/>
  <c r="T96" i="28"/>
  <c r="T217" i="26" s="1"/>
  <c r="U70" i="28"/>
  <c r="T88" i="28"/>
  <c r="T21" i="26" s="1"/>
  <c r="AP5" i="18"/>
  <c r="AO35" i="18"/>
  <c r="AO3" i="18"/>
  <c r="AB259" i="26"/>
  <c r="AA258" i="26"/>
  <c r="Y199" i="20"/>
  <c r="K226" i="20"/>
  <c r="Z4" i="12"/>
  <c r="Y3" i="12"/>
  <c r="Y25" i="12"/>
  <c r="Z23" i="12" s="1"/>
  <c r="K6" i="4"/>
  <c r="AC142" i="26"/>
  <c r="AB141" i="26"/>
  <c r="Y20" i="15"/>
  <c r="Q55" i="26"/>
  <c r="Q28" i="26"/>
  <c r="Q25" i="26" s="1"/>
  <c r="Q56" i="26"/>
  <c r="Q53" i="26"/>
  <c r="Q12" i="26"/>
  <c r="G259" i="25"/>
  <c r="D260" i="25"/>
  <c r="S98" i="26"/>
  <c r="AH47" i="12"/>
  <c r="AC59" i="26"/>
  <c r="AC58" i="26" s="1"/>
  <c r="AD60" i="26"/>
  <c r="Z90" i="26"/>
  <c r="Y87" i="26"/>
  <c r="AA125" i="26"/>
  <c r="J299" i="20"/>
  <c r="X270" i="20"/>
  <c r="U21" i="12"/>
  <c r="U52" i="12" s="1"/>
  <c r="U20" i="12"/>
  <c r="U50" i="12" s="1"/>
  <c r="AD76" i="26"/>
  <c r="AE75" i="26"/>
  <c r="AD74" i="26"/>
  <c r="AD73" i="26" s="1"/>
  <c r="AC88" i="26"/>
  <c r="O143" i="19"/>
  <c r="O146" i="19" s="1"/>
  <c r="N31" i="19"/>
  <c r="Z172" i="26"/>
  <c r="AA173" i="26"/>
  <c r="S100" i="28"/>
  <c r="S296" i="26" s="1"/>
  <c r="S94" i="28"/>
  <c r="S215" i="26" s="1"/>
  <c r="S86" i="28"/>
  <c r="S19" i="26" s="1"/>
  <c r="T68" i="28"/>
  <c r="S80" i="28"/>
  <c r="S100" i="26" s="1"/>
  <c r="AA84" i="12"/>
  <c r="AA96" i="12" s="1"/>
  <c r="Y37" i="22"/>
  <c r="R16" i="26"/>
  <c r="U116" i="19"/>
  <c r="Q300" i="26"/>
  <c r="Q292" i="26" s="1"/>
  <c r="Q320" i="26"/>
  <c r="Q321" i="26"/>
  <c r="Q318" i="26"/>
  <c r="T258" i="25"/>
  <c r="P258" i="25"/>
  <c r="Y258" i="25"/>
  <c r="M258" i="25"/>
  <c r="L258" i="25"/>
  <c r="AB258" i="25"/>
  <c r="N258" i="25"/>
  <c r="U258" i="25"/>
  <c r="AC258" i="25"/>
  <c r="S258" i="25"/>
  <c r="AA258" i="25"/>
  <c r="X258" i="25"/>
  <c r="W258" i="25"/>
  <c r="Q258" i="25"/>
  <c r="O258" i="25"/>
  <c r="V258" i="25"/>
  <c r="R258" i="25"/>
  <c r="Z258" i="25"/>
  <c r="AC81" i="26"/>
  <c r="AB79" i="26"/>
  <c r="W351" i="20"/>
  <c r="I383" i="20"/>
  <c r="S91" i="28"/>
  <c r="S213" i="26"/>
  <c r="S212" i="26" s="1"/>
  <c r="AE287" i="26"/>
  <c r="AF288" i="26"/>
  <c r="R212" i="26"/>
  <c r="AB88" i="12"/>
  <c r="Y10" i="11"/>
  <c r="Z17" i="15" s="1"/>
  <c r="Y3" i="11"/>
  <c r="Z8" i="11"/>
  <c r="Y91" i="19"/>
  <c r="X16" i="12"/>
  <c r="Y13" i="12"/>
  <c r="Y15" i="12" s="1"/>
  <c r="Z18" i="19"/>
  <c r="AO274" i="25"/>
  <c r="U38" i="22"/>
  <c r="Z45" i="19"/>
  <c r="K44" i="33"/>
  <c r="L44" i="33"/>
  <c r="AB147" i="26"/>
  <c r="AC72" i="26"/>
  <c r="AB70" i="26"/>
  <c r="AI92" i="12"/>
  <c r="R83" i="28"/>
  <c r="W149" i="19"/>
  <c r="W172" i="19"/>
  <c r="W157" i="19"/>
  <c r="W142" i="19"/>
  <c r="W188" i="19" s="1"/>
  <c r="W195" i="19"/>
  <c r="X112" i="19"/>
  <c r="AD17" i="25"/>
  <c r="AC32" i="25"/>
  <c r="CF76" i="12"/>
  <c r="P240" i="26"/>
  <c r="S97" i="28"/>
  <c r="S294" i="26"/>
  <c r="S293" i="26" s="1"/>
  <c r="H257" i="25"/>
  <c r="C257" i="25" s="1"/>
  <c r="R91" i="28"/>
  <c r="CE84" i="12"/>
  <c r="V87" i="28"/>
  <c r="V20" i="26" s="1"/>
  <c r="V101" i="28"/>
  <c r="V297" i="26" s="1"/>
  <c r="V95" i="28"/>
  <c r="V216" i="26" s="1"/>
  <c r="W69" i="28"/>
  <c r="V81" i="28"/>
  <c r="V101" i="26" s="1"/>
  <c r="Z58" i="13"/>
  <c r="T99" i="28"/>
  <c r="T295" i="26" s="1"/>
  <c r="T93" i="28"/>
  <c r="T214" i="26" s="1"/>
  <c r="T79" i="28"/>
  <c r="T99" i="26" s="1"/>
  <c r="U67" i="28"/>
  <c r="T85" i="28"/>
  <c r="T18" i="26" s="1"/>
  <c r="Z23" i="22"/>
  <c r="Y30" i="22"/>
  <c r="AA267" i="25"/>
  <c r="AA200" i="25"/>
  <c r="AA133" i="25"/>
  <c r="AA111" i="25"/>
  <c r="AA110" i="25" s="1"/>
  <c r="AA114" i="25" s="1"/>
  <c r="AA115" i="25" s="1"/>
  <c r="AA38" i="25"/>
  <c r="AB10" i="25"/>
  <c r="X13" i="26"/>
  <c r="X26" i="26"/>
  <c r="R188" i="25"/>
  <c r="Q188" i="25"/>
  <c r="S188" i="25"/>
  <c r="L188" i="25"/>
  <c r="W188" i="25"/>
  <c r="O188" i="25"/>
  <c r="V188" i="25"/>
  <c r="T188" i="25"/>
  <c r="X188" i="25"/>
  <c r="N188" i="25"/>
  <c r="P188" i="25"/>
  <c r="Y188" i="25"/>
  <c r="Z188" i="25"/>
  <c r="U188" i="25"/>
  <c r="M188" i="25"/>
  <c r="AB72" i="12"/>
  <c r="AD120" i="26"/>
  <c r="AC119" i="26"/>
  <c r="X6" i="23"/>
  <c r="X5" i="23" s="1"/>
  <c r="AB5" i="16"/>
  <c r="Y53" i="13"/>
  <c r="Y44" i="12"/>
  <c r="T89" i="28"/>
  <c r="T22" i="26" s="1"/>
  <c r="U71" i="28"/>
  <c r="AB332" i="26"/>
  <c r="AA331" i="26"/>
  <c r="AA236" i="26"/>
  <c r="AB237" i="26"/>
  <c r="Z366" i="26"/>
  <c r="AA197" i="26"/>
  <c r="AN22" i="13"/>
  <c r="AN20" i="13" s="1"/>
  <c r="AO23" i="13"/>
  <c r="AC132" i="26"/>
  <c r="AB131" i="26"/>
  <c r="Z55" i="22"/>
  <c r="G189" i="25"/>
  <c r="D190" i="25"/>
  <c r="AO275" i="25"/>
  <c r="Z46" i="19"/>
  <c r="CE72" i="12"/>
  <c r="AA7" i="19"/>
  <c r="Z3" i="19"/>
  <c r="X36" i="12"/>
  <c r="Y33" i="12"/>
  <c r="S43" i="12" l="1"/>
  <c r="AZ27" i="37"/>
  <c r="AZ31" i="37" s="1"/>
  <c r="AZ32" i="37" s="1"/>
  <c r="T24" i="25"/>
  <c r="AB202" i="37"/>
  <c r="BB129" i="37"/>
  <c r="BB120" i="37"/>
  <c r="AB134" i="37"/>
  <c r="AC46" i="37"/>
  <c r="BA26" i="37"/>
  <c r="BA27" i="37" s="1"/>
  <c r="BA31" i="37" s="1"/>
  <c r="BA32" i="37" s="1"/>
  <c r="J69" i="36"/>
  <c r="J40" i="36"/>
  <c r="K6" i="36"/>
  <c r="K54" i="4"/>
  <c r="V11" i="11"/>
  <c r="V18" i="15"/>
  <c r="V54" i="13"/>
  <c r="Z4" i="15"/>
  <c r="Y3" i="15"/>
  <c r="AO84" i="20"/>
  <c r="AA34" i="13"/>
  <c r="AA33" i="13" s="1"/>
  <c r="W31" i="12"/>
  <c r="W30" i="12"/>
  <c r="X28" i="12" s="1"/>
  <c r="AA23" i="22"/>
  <c r="Z30" i="22"/>
  <c r="Y6" i="23"/>
  <c r="AC5" i="16"/>
  <c r="Z53" i="13"/>
  <c r="Z44" i="12"/>
  <c r="T294" i="26"/>
  <c r="Y303" i="26"/>
  <c r="Y279" i="26"/>
  <c r="Y262" i="26"/>
  <c r="Y226" i="26"/>
  <c r="Y155" i="26"/>
  <c r="Y108" i="26"/>
  <c r="Z2" i="26"/>
  <c r="Y31" i="26"/>
  <c r="AC131" i="26"/>
  <c r="AD132" i="26"/>
  <c r="AA366" i="26"/>
  <c r="AB197" i="26"/>
  <c r="AC237" i="26"/>
  <c r="AB236" i="26"/>
  <c r="CF72" i="12"/>
  <c r="AP23" i="13"/>
  <c r="AO22" i="13"/>
  <c r="AO20" i="13" s="1"/>
  <c r="AE120" i="26"/>
  <c r="AD119" i="26"/>
  <c r="H188" i="25"/>
  <c r="C188" i="25" s="1"/>
  <c r="R244" i="26"/>
  <c r="R243" i="26"/>
  <c r="R241" i="26"/>
  <c r="R219" i="26"/>
  <c r="AE76" i="26"/>
  <c r="AF75" i="26"/>
  <c r="AE74" i="26"/>
  <c r="AE73" i="26" s="1"/>
  <c r="AD142" i="26"/>
  <c r="AC141" i="26"/>
  <c r="U102" i="28"/>
  <c r="U298" i="26" s="1"/>
  <c r="U88" i="28"/>
  <c r="U21" i="26" s="1"/>
  <c r="U96" i="28"/>
  <c r="U217" i="26" s="1"/>
  <c r="V70" i="28"/>
  <c r="U82" i="28"/>
  <c r="U102" i="26" s="1"/>
  <c r="AB180" i="26"/>
  <c r="AA179" i="26"/>
  <c r="AA57" i="22"/>
  <c r="Z58" i="22"/>
  <c r="Z61" i="22" s="1"/>
  <c r="Z73" i="22" s="1"/>
  <c r="AA98" i="19"/>
  <c r="AA15" i="11"/>
  <c r="AB16" i="11"/>
  <c r="AA1" i="26"/>
  <c r="Z57" i="26"/>
  <c r="G190" i="25"/>
  <c r="D191" i="25"/>
  <c r="Y94" i="12"/>
  <c r="Y82" i="12"/>
  <c r="Y78" i="12"/>
  <c r="Y90" i="12"/>
  <c r="CF84" i="12"/>
  <c r="W202" i="19"/>
  <c r="W179" i="19"/>
  <c r="AJ92" i="12"/>
  <c r="AC88" i="12"/>
  <c r="G260" i="25"/>
  <c r="D261" i="25"/>
  <c r="Q52" i="26"/>
  <c r="Q30" i="26" s="1"/>
  <c r="T17" i="26"/>
  <c r="AA80" i="19"/>
  <c r="AA81" i="19" s="1"/>
  <c r="AB78" i="19" s="1"/>
  <c r="AB77" i="19"/>
  <c r="Z87" i="16"/>
  <c r="T8" i="12"/>
  <c r="E45" i="9" s="1"/>
  <c r="AC3" i="17"/>
  <c r="AB47" i="26"/>
  <c r="AA48" i="26"/>
  <c r="AA46" i="26" s="1"/>
  <c r="AB137" i="26"/>
  <c r="AA136" i="26"/>
  <c r="AA4" i="16"/>
  <c r="AA3" i="16"/>
  <c r="AB8" i="16"/>
  <c r="AC80" i="12"/>
  <c r="H96" i="25"/>
  <c r="C96" i="25" s="1"/>
  <c r="AC4" i="21"/>
  <c r="AC72" i="12"/>
  <c r="S320" i="26"/>
  <c r="S321" i="26"/>
  <c r="S318" i="26"/>
  <c r="S317" i="26" s="1"/>
  <c r="S302" i="26" s="1"/>
  <c r="S300" i="26"/>
  <c r="S292" i="26" s="1"/>
  <c r="Z91" i="19"/>
  <c r="V113" i="19"/>
  <c r="U23" i="19"/>
  <c r="AB84" i="12"/>
  <c r="V259" i="25"/>
  <c r="W259" i="25"/>
  <c r="AD259" i="25"/>
  <c r="X259" i="25"/>
  <c r="N259" i="25"/>
  <c r="AB259" i="25"/>
  <c r="L259" i="25"/>
  <c r="P259" i="25"/>
  <c r="M259" i="25"/>
  <c r="R259" i="25"/>
  <c r="U259" i="25"/>
  <c r="O259" i="25"/>
  <c r="Z259" i="25"/>
  <c r="T259" i="25"/>
  <c r="Q259" i="25"/>
  <c r="Y259" i="25"/>
  <c r="AA259" i="25"/>
  <c r="AC259" i="25"/>
  <c r="S259" i="25"/>
  <c r="AA10" i="22"/>
  <c r="Z3" i="22"/>
  <c r="Z367" i="26"/>
  <c r="Z188" i="26"/>
  <c r="AA190" i="26"/>
  <c r="AD24" i="11"/>
  <c r="AG31" i="11"/>
  <c r="T47" i="33"/>
  <c r="V47" i="33" s="1"/>
  <c r="V49" i="33"/>
  <c r="AC76" i="12"/>
  <c r="D99" i="25"/>
  <c r="G98" i="25"/>
  <c r="AC84" i="26"/>
  <c r="AB83" i="26"/>
  <c r="R128" i="26"/>
  <c r="R124" i="26" s="1"/>
  <c r="R107" i="26" s="1"/>
  <c r="R105" i="26"/>
  <c r="R96" i="26"/>
  <c r="AB122" i="26"/>
  <c r="AA121" i="26"/>
  <c r="H30" i="33"/>
  <c r="I30" i="33" s="1"/>
  <c r="J30" i="33" s="1"/>
  <c r="AB267" i="25"/>
  <c r="AB200" i="25"/>
  <c r="AB133" i="25"/>
  <c r="AB111" i="25"/>
  <c r="AB110" i="25" s="1"/>
  <c r="AB114" i="25" s="1"/>
  <c r="AB115" i="25" s="1"/>
  <c r="AB38" i="25"/>
  <c r="AC10" i="25"/>
  <c r="AA58" i="13"/>
  <c r="CG76" i="12"/>
  <c r="S244" i="26"/>
  <c r="S243" i="26"/>
  <c r="S241" i="26"/>
  <c r="S240" i="26" s="1"/>
  <c r="S219" i="26"/>
  <c r="Q317" i="26"/>
  <c r="Q302" i="26" s="1"/>
  <c r="R28" i="26"/>
  <c r="R25" i="26" s="1"/>
  <c r="R56" i="26"/>
  <c r="R55" i="26"/>
  <c r="R53" i="26"/>
  <c r="R12" i="26"/>
  <c r="AB173" i="26"/>
  <c r="AA172" i="26"/>
  <c r="AI47" i="12"/>
  <c r="AA4" i="12"/>
  <c r="Z3" i="12"/>
  <c r="Z25" i="12"/>
  <c r="AA23" i="12" s="1"/>
  <c r="L6" i="4"/>
  <c r="Y62" i="16"/>
  <c r="Y25" i="16" s="1"/>
  <c r="AA10" i="23"/>
  <c r="Z3" i="23"/>
  <c r="AA323" i="26"/>
  <c r="AA322" i="26" s="1"/>
  <c r="AB324" i="26"/>
  <c r="AB97" i="25"/>
  <c r="W97" i="25"/>
  <c r="T97" i="25"/>
  <c r="O97" i="25"/>
  <c r="L97" i="25"/>
  <c r="U97" i="25"/>
  <c r="X97" i="25"/>
  <c r="Q97" i="25"/>
  <c r="Z97" i="25"/>
  <c r="S97" i="25"/>
  <c r="P97" i="25"/>
  <c r="N97" i="25"/>
  <c r="M97" i="25"/>
  <c r="V97" i="25"/>
  <c r="Y97" i="25"/>
  <c r="AA97" i="25"/>
  <c r="R97" i="25"/>
  <c r="AA81" i="23"/>
  <c r="Z59" i="12"/>
  <c r="Y26" i="26"/>
  <c r="Y13" i="26"/>
  <c r="X71" i="22"/>
  <c r="W72" i="22"/>
  <c r="V189" i="25"/>
  <c r="W189" i="25"/>
  <c r="L189" i="25"/>
  <c r="N189" i="25"/>
  <c r="X189" i="25"/>
  <c r="Q189" i="25"/>
  <c r="Z189" i="25"/>
  <c r="O189" i="25"/>
  <c r="R189" i="25"/>
  <c r="S189" i="25"/>
  <c r="P189" i="25"/>
  <c r="AA189" i="25"/>
  <c r="Y189" i="25"/>
  <c r="T189" i="25"/>
  <c r="M189" i="25"/>
  <c r="U189" i="25"/>
  <c r="Y36" i="12"/>
  <c r="AA55" i="22"/>
  <c r="AB331" i="26"/>
  <c r="AC332" i="26"/>
  <c r="U89" i="28"/>
  <c r="U22" i="26" s="1"/>
  <c r="V71" i="28"/>
  <c r="AD32" i="25"/>
  <c r="AE17" i="25"/>
  <c r="AA18" i="19"/>
  <c r="P143" i="19"/>
  <c r="P146" i="19" s="1"/>
  <c r="O31" i="19"/>
  <c r="V18" i="12"/>
  <c r="S97" i="26"/>
  <c r="Y35" i="12"/>
  <c r="Z33" i="12" s="1"/>
  <c r="AC259" i="26"/>
  <c r="AB258" i="26"/>
  <c r="Y12" i="23"/>
  <c r="Y126" i="19"/>
  <c r="G46" i="33"/>
  <c r="F46" i="33"/>
  <c r="D47" i="33"/>
  <c r="S16" i="26"/>
  <c r="R103" i="28"/>
  <c r="AC169" i="19"/>
  <c r="AC168" i="19"/>
  <c r="AD165" i="19" s="1"/>
  <c r="AA75" i="28"/>
  <c r="Z14" i="26"/>
  <c r="U72" i="28"/>
  <c r="T90" i="28"/>
  <c r="T23" i="26" s="1"/>
  <c r="W101" i="28"/>
  <c r="W297" i="26" s="1"/>
  <c r="W95" i="28"/>
  <c r="W216" i="26" s="1"/>
  <c r="W87" i="28"/>
  <c r="W20" i="26" s="1"/>
  <c r="X69" i="28"/>
  <c r="W81" i="28"/>
  <c r="W101" i="26" s="1"/>
  <c r="AC147" i="26"/>
  <c r="AA14" i="19"/>
  <c r="X351" i="20"/>
  <c r="J383" i="20"/>
  <c r="H258" i="25"/>
  <c r="C258" i="25" s="1"/>
  <c r="Z37" i="22"/>
  <c r="AB125" i="26"/>
  <c r="S77" i="28"/>
  <c r="S103" i="28" s="1"/>
  <c r="AQ5" i="18"/>
  <c r="AP35" i="18"/>
  <c r="AP3" i="18"/>
  <c r="AA93" i="16"/>
  <c r="T213" i="26"/>
  <c r="T212" i="26" s="1"/>
  <c r="AB183" i="26"/>
  <c r="AB182" i="26" s="1"/>
  <c r="AC184" i="26"/>
  <c r="AB253" i="26"/>
  <c r="AA252" i="26"/>
  <c r="AA251" i="26" s="1"/>
  <c r="S83" i="28"/>
  <c r="AA314" i="26"/>
  <c r="Z313" i="26"/>
  <c r="AB105" i="19"/>
  <c r="AD72" i="26"/>
  <c r="AC70" i="26"/>
  <c r="AP274" i="25"/>
  <c r="V38" i="22"/>
  <c r="AA45" i="19"/>
  <c r="Z10" i="11"/>
  <c r="AA17" i="15" s="1"/>
  <c r="Z3" i="11"/>
  <c r="AA8" i="11"/>
  <c r="AD88" i="26"/>
  <c r="U51" i="12"/>
  <c r="L226" i="20"/>
  <c r="Z199" i="20"/>
  <c r="U98" i="28"/>
  <c r="U92" i="28"/>
  <c r="U84" i="28"/>
  <c r="U78" i="28"/>
  <c r="V66" i="28"/>
  <c r="AK3" i="13"/>
  <c r="AA38" i="19"/>
  <c r="Y135" i="26"/>
  <c r="AB285" i="26"/>
  <c r="AA368" i="26"/>
  <c r="AA70" i="12"/>
  <c r="AP275" i="25"/>
  <c r="AA46" i="19"/>
  <c r="AB7" i="19"/>
  <c r="AA3" i="19"/>
  <c r="U93" i="28"/>
  <c r="U214" i="26" s="1"/>
  <c r="U85" i="28"/>
  <c r="U18" i="26" s="1"/>
  <c r="U99" i="28"/>
  <c r="U295" i="26" s="1"/>
  <c r="V67" i="28"/>
  <c r="U79" i="28"/>
  <c r="U99" i="26" s="1"/>
  <c r="X149" i="19"/>
  <c r="X172" i="19"/>
  <c r="X157" i="19"/>
  <c r="X142" i="19"/>
  <c r="X188" i="19" s="1"/>
  <c r="X195" i="19"/>
  <c r="Y112" i="19"/>
  <c r="AA50" i="19"/>
  <c r="Y16" i="12"/>
  <c r="Z13" i="12"/>
  <c r="Z15" i="12" s="1"/>
  <c r="AG288" i="26"/>
  <c r="AF287" i="26"/>
  <c r="AC79" i="26"/>
  <c r="AD81" i="26"/>
  <c r="T100" i="28"/>
  <c r="T296" i="26" s="1"/>
  <c r="T94" i="28"/>
  <c r="T215" i="26" s="1"/>
  <c r="T80" i="28"/>
  <c r="T100" i="26" s="1"/>
  <c r="U68" i="28"/>
  <c r="T86" i="28"/>
  <c r="T19" i="26" s="1"/>
  <c r="K299" i="20"/>
  <c r="Y270" i="20"/>
  <c r="AA90" i="26"/>
  <c r="Z87" i="26"/>
  <c r="AD59" i="26"/>
  <c r="AD58" i="26" s="1"/>
  <c r="AE60" i="26"/>
  <c r="Z20" i="15"/>
  <c r="T77" i="28"/>
  <c r="T98" i="26"/>
  <c r="T97" i="26" s="1"/>
  <c r="AA27" i="19"/>
  <c r="Z26" i="19"/>
  <c r="AH41" i="18"/>
  <c r="S42" i="12"/>
  <c r="AL108" i="16"/>
  <c r="AK107" i="16"/>
  <c r="AB63" i="19"/>
  <c r="R320" i="26"/>
  <c r="R321" i="26"/>
  <c r="R318" i="26"/>
  <c r="R300" i="26"/>
  <c r="R292" i="26" s="1"/>
  <c r="AA40" i="19"/>
  <c r="T25" i="25" l="1"/>
  <c r="T29" i="25" s="1"/>
  <c r="T30" i="25" s="1"/>
  <c r="T34" i="25" s="1"/>
  <c r="AC134" i="37"/>
  <c r="W11" i="11"/>
  <c r="X11" i="11" s="1"/>
  <c r="BC129" i="37"/>
  <c r="BC120" i="37"/>
  <c r="BB26" i="37"/>
  <c r="AD46" i="37"/>
  <c r="AC202" i="37"/>
  <c r="K40" i="36"/>
  <c r="K69" i="36"/>
  <c r="L6" i="36"/>
  <c r="L69" i="36" s="1"/>
  <c r="L54" i="4"/>
  <c r="Y5" i="23"/>
  <c r="W18" i="15"/>
  <c r="W54" i="13"/>
  <c r="X18" i="15"/>
  <c r="X54" i="13"/>
  <c r="AA4" i="15"/>
  <c r="Z3" i="15"/>
  <c r="AB34" i="13"/>
  <c r="AB33" i="13" s="1"/>
  <c r="X31" i="12"/>
  <c r="X30" i="12"/>
  <c r="Y28" i="12" s="1"/>
  <c r="J31" i="33"/>
  <c r="H32" i="33"/>
  <c r="I32" i="33" s="1"/>
  <c r="H31" i="33"/>
  <c r="I31" i="33" s="1"/>
  <c r="Z36" i="12"/>
  <c r="Z35" i="12"/>
  <c r="AA33" i="12" s="1"/>
  <c r="AB40" i="19"/>
  <c r="R317" i="26"/>
  <c r="R302" i="26" s="1"/>
  <c r="T128" i="26"/>
  <c r="T124" i="26" s="1"/>
  <c r="T107" i="26" s="1"/>
  <c r="T96" i="26"/>
  <c r="T105" i="26"/>
  <c r="AB90" i="26"/>
  <c r="AA87" i="26"/>
  <c r="AB50" i="19"/>
  <c r="AQ275" i="25"/>
  <c r="AB46" i="19"/>
  <c r="U17" i="26"/>
  <c r="Z26" i="26"/>
  <c r="Z13" i="26"/>
  <c r="V49" i="12"/>
  <c r="V21" i="12"/>
  <c r="V52" i="12" s="1"/>
  <c r="V20" i="12"/>
  <c r="V50" i="12" s="1"/>
  <c r="AA59" i="12"/>
  <c r="AA367" i="26"/>
  <c r="AB190" i="26"/>
  <c r="AA188" i="26"/>
  <c r="AD4" i="21"/>
  <c r="AB48" i="26"/>
  <c r="AB46" i="26"/>
  <c r="AC47" i="26"/>
  <c r="AD237" i="26"/>
  <c r="AC236" i="26"/>
  <c r="AB23" i="22"/>
  <c r="AA30" i="22"/>
  <c r="Y172" i="19"/>
  <c r="Y157" i="19"/>
  <c r="Y142" i="19"/>
  <c r="Y188" i="19" s="1"/>
  <c r="Y195" i="19"/>
  <c r="Z112" i="19"/>
  <c r="Y149" i="19"/>
  <c r="V85" i="28"/>
  <c r="V18" i="26" s="1"/>
  <c r="V93" i="28"/>
  <c r="V214" i="26" s="1"/>
  <c r="V79" i="28"/>
  <c r="V99" i="26" s="1"/>
  <c r="W67" i="28"/>
  <c r="V99" i="28"/>
  <c r="V295" i="26" s="1"/>
  <c r="AB93" i="16"/>
  <c r="AB75" i="28"/>
  <c r="AA14" i="26"/>
  <c r="Z4" i="23"/>
  <c r="AB314" i="26"/>
  <c r="AA313" i="26"/>
  <c r="AB81" i="23"/>
  <c r="AJ47" i="12"/>
  <c r="AB98" i="19"/>
  <c r="CG72" i="12"/>
  <c r="AB366" i="26"/>
  <c r="AC197" i="26"/>
  <c r="AB70" i="12"/>
  <c r="U97" i="28"/>
  <c r="U294" i="26"/>
  <c r="AC105" i="19"/>
  <c r="Z126" i="19"/>
  <c r="Q143" i="19"/>
  <c r="Q146" i="19" s="1"/>
  <c r="P31" i="19"/>
  <c r="AB18" i="19"/>
  <c r="AD332" i="26"/>
  <c r="AC331" i="26"/>
  <c r="AB10" i="23"/>
  <c r="AA3" i="23"/>
  <c r="CH76" i="12"/>
  <c r="N98" i="25"/>
  <c r="Y98" i="25"/>
  <c r="V98" i="25"/>
  <c r="Q98" i="25"/>
  <c r="P98" i="25"/>
  <c r="R98" i="25"/>
  <c r="W98" i="25"/>
  <c r="Z98" i="25"/>
  <c r="L98" i="25"/>
  <c r="U98" i="25"/>
  <c r="X98" i="25"/>
  <c r="S98" i="25"/>
  <c r="T98" i="25"/>
  <c r="AA98" i="25"/>
  <c r="AB98" i="25"/>
  <c r="AC98" i="25"/>
  <c r="M98" i="25"/>
  <c r="O98" i="25"/>
  <c r="AD3" i="17"/>
  <c r="Z94" i="12"/>
  <c r="Z82" i="12"/>
  <c r="Z90" i="12"/>
  <c r="Z78" i="12"/>
  <c r="U80" i="28"/>
  <c r="U100" i="26" s="1"/>
  <c r="U94" i="28"/>
  <c r="U215" i="26" s="1"/>
  <c r="U100" i="28"/>
  <c r="U296" i="26" s="1"/>
  <c r="U86" i="28"/>
  <c r="U19" i="26" s="1"/>
  <c r="V68" i="28"/>
  <c r="U91" i="28"/>
  <c r="U213" i="26"/>
  <c r="U212" i="26" s="1"/>
  <c r="AC183" i="26"/>
  <c r="AC182" i="26" s="1"/>
  <c r="AD184" i="26"/>
  <c r="AA37" i="22"/>
  <c r="X101" i="28"/>
  <c r="X297" i="26" s="1"/>
  <c r="Y69" i="28"/>
  <c r="X95" i="28"/>
  <c r="X216" i="26" s="1"/>
  <c r="X81" i="28"/>
  <c r="X101" i="26" s="1"/>
  <c r="X87" i="28"/>
  <c r="X20" i="26" s="1"/>
  <c r="W71" i="28"/>
  <c r="V89" i="28"/>
  <c r="V22" i="26" s="1"/>
  <c r="AH31" i="11"/>
  <c r="AC84" i="12"/>
  <c r="R34" i="23"/>
  <c r="R35" i="23" s="1"/>
  <c r="AH288" i="26"/>
  <c r="AG287" i="26"/>
  <c r="X202" i="19"/>
  <c r="X179" i="19"/>
  <c r="AL3" i="13"/>
  <c r="M226" i="20"/>
  <c r="AA199" i="20"/>
  <c r="AA3" i="11"/>
  <c r="AB8" i="11"/>
  <c r="AA10" i="11"/>
  <c r="AE72" i="26"/>
  <c r="AD70" i="26"/>
  <c r="S28" i="26"/>
  <c r="S25" i="26" s="1"/>
  <c r="S55" i="26"/>
  <c r="S56" i="26"/>
  <c r="S53" i="26"/>
  <c r="S52" i="26" s="1"/>
  <c r="S30" i="26" s="1"/>
  <c r="S12" i="26"/>
  <c r="AB121" i="26"/>
  <c r="AC122" i="26"/>
  <c r="D100" i="25"/>
  <c r="G99" i="25"/>
  <c r="AE24" i="11"/>
  <c r="AD72" i="12"/>
  <c r="T38" i="12"/>
  <c r="T10" i="12"/>
  <c r="T40" i="12" s="1"/>
  <c r="AI41" i="18" s="1"/>
  <c r="AC77" i="19"/>
  <c r="AB80" i="19"/>
  <c r="AB81" i="19" s="1"/>
  <c r="AC78" i="19" s="1"/>
  <c r="AD88" i="12"/>
  <c r="AA58" i="22"/>
  <c r="AA61" i="22" s="1"/>
  <c r="AA73" i="22" s="1"/>
  <c r="AB57" i="22"/>
  <c r="AE132" i="26"/>
  <c r="AD131" i="26"/>
  <c r="Z262" i="26"/>
  <c r="Z226" i="26"/>
  <c r="Z303" i="26"/>
  <c r="Z279" i="26"/>
  <c r="Z155" i="26"/>
  <c r="Z108" i="26"/>
  <c r="Z31" i="26"/>
  <c r="AA2" i="26"/>
  <c r="T293" i="26"/>
  <c r="AC7" i="19"/>
  <c r="AB3" i="19"/>
  <c r="AB38" i="19"/>
  <c r="AB55" i="22"/>
  <c r="AB4" i="12"/>
  <c r="AA3" i="12"/>
  <c r="AA25" i="12"/>
  <c r="AB23" i="12" s="1"/>
  <c r="M6" i="4"/>
  <c r="AB58" i="13"/>
  <c r="V115" i="19"/>
  <c r="V116" i="19" s="1"/>
  <c r="CG84" i="12"/>
  <c r="AE119" i="26"/>
  <c r="AF120" i="26"/>
  <c r="T97" i="28"/>
  <c r="AE88" i="26"/>
  <c r="AD169" i="19"/>
  <c r="AD168" i="19"/>
  <c r="AE165" i="19" s="1"/>
  <c r="G47" i="33"/>
  <c r="F47" i="33"/>
  <c r="D48" i="33"/>
  <c r="AE32" i="25"/>
  <c r="AF17" i="25"/>
  <c r="AB27" i="19"/>
  <c r="AA26" i="19"/>
  <c r="AF60" i="26"/>
  <c r="AE59" i="26"/>
  <c r="AE58" i="26" s="1"/>
  <c r="AD79" i="26"/>
  <c r="AE81" i="26"/>
  <c r="Z6" i="23"/>
  <c r="AD5" i="16"/>
  <c r="AA53" i="13"/>
  <c r="AA44" i="12"/>
  <c r="Z62" i="16"/>
  <c r="Z25" i="16" s="1"/>
  <c r="AC125" i="26"/>
  <c r="AB14" i="19"/>
  <c r="AC14" i="19" s="1"/>
  <c r="AD259" i="26"/>
  <c r="AC258" i="26"/>
  <c r="AC173" i="26"/>
  <c r="AB172" i="26"/>
  <c r="AA91" i="19"/>
  <c r="AB96" i="12"/>
  <c r="AB136" i="26"/>
  <c r="AC137" i="26"/>
  <c r="AA87" i="16"/>
  <c r="T16" i="26"/>
  <c r="AK92" i="12"/>
  <c r="D192" i="25"/>
  <c r="G191" i="25"/>
  <c r="AB179" i="26"/>
  <c r="AC180" i="26"/>
  <c r="AD141" i="26"/>
  <c r="AE142" i="26"/>
  <c r="R240" i="26"/>
  <c r="AC253" i="26"/>
  <c r="AB252" i="26"/>
  <c r="AB251" i="26" s="1"/>
  <c r="Z12" i="23"/>
  <c r="Y351" i="20"/>
  <c r="K383" i="20"/>
  <c r="V72" i="28"/>
  <c r="U90" i="28"/>
  <c r="U23" i="26" s="1"/>
  <c r="K46" i="33"/>
  <c r="L46" i="33"/>
  <c r="H189" i="25"/>
  <c r="C189" i="25" s="1"/>
  <c r="AC267" i="25"/>
  <c r="AC200" i="25"/>
  <c r="AC133" i="25"/>
  <c r="AC111" i="25"/>
  <c r="AC110" i="25" s="1"/>
  <c r="AC114" i="25" s="1"/>
  <c r="AC115" i="25" s="1"/>
  <c r="AD10" i="25"/>
  <c r="AC38" i="25"/>
  <c r="AB10" i="22"/>
  <c r="AA3" i="22"/>
  <c r="H259" i="25"/>
  <c r="C259" i="25" s="1"/>
  <c r="AD80" i="12"/>
  <c r="T83" i="28"/>
  <c r="T103" i="28" s="1"/>
  <c r="D262" i="25"/>
  <c r="G261" i="25"/>
  <c r="V190" i="25"/>
  <c r="Q190" i="25"/>
  <c r="O190" i="25"/>
  <c r="X190" i="25"/>
  <c r="AA190" i="25"/>
  <c r="Y190" i="25"/>
  <c r="P190" i="25"/>
  <c r="R190" i="25"/>
  <c r="AB190" i="25"/>
  <c r="W190" i="25"/>
  <c r="N190" i="25"/>
  <c r="T190" i="25"/>
  <c r="S190" i="25"/>
  <c r="Z190" i="25"/>
  <c r="L190" i="25"/>
  <c r="U190" i="25"/>
  <c r="M190" i="25"/>
  <c r="AA57" i="26"/>
  <c r="AB1" i="26"/>
  <c r="AP22" i="13"/>
  <c r="AP20" i="13" s="1"/>
  <c r="AQ23" i="13"/>
  <c r="Z135" i="26"/>
  <c r="AC63" i="19"/>
  <c r="AM108" i="16"/>
  <c r="AL107" i="16"/>
  <c r="L299" i="20"/>
  <c r="Z270" i="20"/>
  <c r="Z16" i="12"/>
  <c r="AA13" i="12"/>
  <c r="AA15" i="12" s="1"/>
  <c r="AB368" i="26"/>
  <c r="AC285" i="26"/>
  <c r="V92" i="28"/>
  <c r="W66" i="28"/>
  <c r="V98" i="28"/>
  <c r="V84" i="28"/>
  <c r="V78" i="28"/>
  <c r="T243" i="26"/>
  <c r="T244" i="26"/>
  <c r="T241" i="26"/>
  <c r="T219" i="26"/>
  <c r="S128" i="26"/>
  <c r="S124" i="26" s="1"/>
  <c r="S107" i="26" s="1"/>
  <c r="S96" i="26"/>
  <c r="S105" i="26"/>
  <c r="H97" i="25"/>
  <c r="C97" i="25" s="1"/>
  <c r="AC324" i="26"/>
  <c r="AB323" i="26"/>
  <c r="AB322" i="26" s="1"/>
  <c r="AC83" i="26"/>
  <c r="AD84" i="26"/>
  <c r="AA20" i="15"/>
  <c r="U77" i="28"/>
  <c r="U98" i="26"/>
  <c r="U97" i="26" s="1"/>
  <c r="AQ274" i="25"/>
  <c r="W38" i="22"/>
  <c r="AB45" i="19"/>
  <c r="T91" i="28"/>
  <c r="AQ56" i="18"/>
  <c r="AQ57" i="18" s="1"/>
  <c r="AQ35" i="18"/>
  <c r="AQ3" i="18"/>
  <c r="AR5" i="18"/>
  <c r="AD147" i="26"/>
  <c r="Y71" i="22"/>
  <c r="X72" i="22"/>
  <c r="R52" i="26"/>
  <c r="R30" i="26" s="1"/>
  <c r="AD76" i="12"/>
  <c r="AB4" i="16"/>
  <c r="AB3" i="16"/>
  <c r="AC8" i="16"/>
  <c r="X260" i="25"/>
  <c r="O260" i="25"/>
  <c r="U260" i="25"/>
  <c r="AC260" i="25"/>
  <c r="T260" i="25"/>
  <c r="N260" i="25"/>
  <c r="AE260" i="25"/>
  <c r="Z260" i="25"/>
  <c r="L260" i="25"/>
  <c r="AB260" i="25"/>
  <c r="AD260" i="25"/>
  <c r="S260" i="25"/>
  <c r="R260" i="25"/>
  <c r="Q260" i="25"/>
  <c r="Y260" i="25"/>
  <c r="AA260" i="25"/>
  <c r="P260" i="25"/>
  <c r="V260" i="25"/>
  <c r="W260" i="25"/>
  <c r="M260" i="25"/>
  <c r="AB15" i="11"/>
  <c r="AC16" i="11"/>
  <c r="V102" i="28"/>
  <c r="V298" i="26" s="1"/>
  <c r="V96" i="28"/>
  <c r="V217" i="26" s="1"/>
  <c r="V82" i="28"/>
  <c r="V102" i="26" s="1"/>
  <c r="V88" i="28"/>
  <c r="V21" i="26" s="1"/>
  <c r="W70" i="28"/>
  <c r="AG75" i="26"/>
  <c r="AF76" i="26"/>
  <c r="AF74" i="26" s="1"/>
  <c r="AF73" i="26" s="1"/>
  <c r="L40" i="36" l="1"/>
  <c r="BB27" i="37"/>
  <c r="BB31" i="37" s="1"/>
  <c r="BB32" i="37" s="1"/>
  <c r="T43" i="12"/>
  <c r="AD202" i="37"/>
  <c r="AE46" i="37"/>
  <c r="BC26" i="37"/>
  <c r="BC27" i="37" s="1"/>
  <c r="BC31" i="37" s="1"/>
  <c r="BC32" i="37" s="1"/>
  <c r="BD129" i="37"/>
  <c r="BD120" i="37"/>
  <c r="AD134" i="37"/>
  <c r="M6" i="36"/>
  <c r="M54" i="4"/>
  <c r="Z5" i="23"/>
  <c r="AB17" i="15"/>
  <c r="Y18" i="15"/>
  <c r="Y11" i="11"/>
  <c r="Y54" i="13"/>
  <c r="AB4" i="15"/>
  <c r="AA3" i="15"/>
  <c r="AC34" i="13"/>
  <c r="AC33" i="13" s="1"/>
  <c r="W113" i="19"/>
  <c r="V23" i="19"/>
  <c r="AA36" i="12"/>
  <c r="AA35" i="12"/>
  <c r="AB33" i="12" s="1"/>
  <c r="Y31" i="12"/>
  <c r="Y30" i="12"/>
  <c r="Z28" i="12" s="1"/>
  <c r="AC4" i="12"/>
  <c r="AB3" i="12"/>
  <c r="AB25" i="12"/>
  <c r="AC23" i="12" s="1"/>
  <c r="N6" i="4"/>
  <c r="AD77" i="19"/>
  <c r="AC80" i="19"/>
  <c r="AC81" i="19" s="1"/>
  <c r="AD78" i="19" s="1"/>
  <c r="AD84" i="12"/>
  <c r="Y95" i="28"/>
  <c r="Y216" i="26" s="1"/>
  <c r="Y87" i="28"/>
  <c r="Y20" i="26" s="1"/>
  <c r="Y101" i="28"/>
  <c r="Y297" i="26" s="1"/>
  <c r="Z69" i="28"/>
  <c r="Y81" i="28"/>
  <c r="Y101" i="26" s="1"/>
  <c r="V17" i="26"/>
  <c r="AL92" i="12"/>
  <c r="AE259" i="26"/>
  <c r="AD258" i="26"/>
  <c r="AF81" i="26"/>
  <c r="AE79" i="26"/>
  <c r="AG120" i="26"/>
  <c r="AF119" i="26"/>
  <c r="AC38" i="19"/>
  <c r="S34" i="23"/>
  <c r="N226" i="20"/>
  <c r="AB199" i="20"/>
  <c r="V86" i="28"/>
  <c r="V19" i="26" s="1"/>
  <c r="V100" i="28"/>
  <c r="V296" i="26" s="1"/>
  <c r="V94" i="28"/>
  <c r="V215" i="26" s="1"/>
  <c r="V80" i="28"/>
  <c r="V100" i="26" s="1"/>
  <c r="W68" i="28"/>
  <c r="R143" i="19"/>
  <c r="R146" i="19" s="1"/>
  <c r="Q31" i="19"/>
  <c r="AC93" i="16"/>
  <c r="AC50" i="19"/>
  <c r="M299" i="20"/>
  <c r="AA270" i="20"/>
  <c r="AE141" i="26"/>
  <c r="AF142" i="26"/>
  <c r="AC172" i="26"/>
  <c r="AD173" i="26"/>
  <c r="AE72" i="12"/>
  <c r="AE3" i="17"/>
  <c r="AR35" i="18"/>
  <c r="AS5" i="18"/>
  <c r="AR3" i="18"/>
  <c r="AR274" i="25"/>
  <c r="X38" i="22"/>
  <c r="AC45" i="19"/>
  <c r="AE84" i="26"/>
  <c r="AD83" i="26"/>
  <c r="AQ22" i="13"/>
  <c r="AQ20" i="13" s="1"/>
  <c r="AR23" i="13"/>
  <c r="H260" i="25"/>
  <c r="C260" i="25" s="1"/>
  <c r="Z71" i="22"/>
  <c r="Y72" i="22"/>
  <c r="AE147" i="26"/>
  <c r="AA62" i="16"/>
  <c r="AA25" i="16" s="1"/>
  <c r="V97" i="28"/>
  <c r="V294" i="26"/>
  <c r="V293" i="26" s="1"/>
  <c r="W261" i="25"/>
  <c r="T261" i="25"/>
  <c r="AD261" i="25"/>
  <c r="AB261" i="25"/>
  <c r="N261" i="25"/>
  <c r="S261" i="25"/>
  <c r="AA261" i="25"/>
  <c r="U261" i="25"/>
  <c r="AC261" i="25"/>
  <c r="Z261" i="25"/>
  <c r="P261" i="25"/>
  <c r="Q261" i="25"/>
  <c r="Y261" i="25"/>
  <c r="X261" i="25"/>
  <c r="AE261" i="25"/>
  <c r="L261" i="25"/>
  <c r="AF261" i="25"/>
  <c r="V261" i="25"/>
  <c r="M261" i="25"/>
  <c r="R261" i="25"/>
  <c r="O261" i="25"/>
  <c r="AC179" i="26"/>
  <c r="AD180" i="26"/>
  <c r="AC136" i="26"/>
  <c r="AD137" i="26"/>
  <c r="AB91" i="19"/>
  <c r="AF88" i="26"/>
  <c r="AC96" i="12"/>
  <c r="AC121" i="26"/>
  <c r="AD122" i="26"/>
  <c r="AM3" i="13"/>
  <c r="CI76" i="12"/>
  <c r="AC70" i="12"/>
  <c r="AC98" i="19"/>
  <c r="AK47" i="12"/>
  <c r="Y202" i="19"/>
  <c r="Y179" i="19"/>
  <c r="AD236" i="26"/>
  <c r="AE237" i="26"/>
  <c r="AB367" i="26"/>
  <c r="AC190" i="26"/>
  <c r="AB188" i="26"/>
  <c r="AB59" i="12"/>
  <c r="L383" i="20"/>
  <c r="Z351" i="20"/>
  <c r="T28" i="26"/>
  <c r="T25" i="26" s="1"/>
  <c r="T12" i="26" s="1"/>
  <c r="T56" i="26"/>
  <c r="T55" i="26"/>
  <c r="T53" i="26"/>
  <c r="AB135" i="26"/>
  <c r="D49" i="33"/>
  <c r="G48" i="33"/>
  <c r="F48" i="33"/>
  <c r="T321" i="26"/>
  <c r="T318" i="26"/>
  <c r="T317" i="26" s="1"/>
  <c r="T302" i="26" s="1"/>
  <c r="T300" i="26"/>
  <c r="T292" i="26" s="1"/>
  <c r="T320" i="26"/>
  <c r="U8" i="12"/>
  <c r="AI31" i="11"/>
  <c r="AC366" i="26"/>
  <c r="AD197" i="26"/>
  <c r="AA26" i="26"/>
  <c r="AA13" i="26"/>
  <c r="W79" i="28"/>
  <c r="W99" i="26" s="1"/>
  <c r="W99" i="28"/>
  <c r="W295" i="26" s="1"/>
  <c r="W93" i="28"/>
  <c r="W214" i="26" s="1"/>
  <c r="X67" i="28"/>
  <c r="W85" i="28"/>
  <c r="W18" i="26" s="1"/>
  <c r="AC48" i="26"/>
  <c r="AC46" i="26" s="1"/>
  <c r="AD47" i="26"/>
  <c r="W18" i="12"/>
  <c r="U16" i="26"/>
  <c r="AC40" i="19"/>
  <c r="AB20" i="15"/>
  <c r="AC323" i="26"/>
  <c r="AC322" i="26" s="1"/>
  <c r="AD324" i="26"/>
  <c r="V91" i="28"/>
  <c r="V213" i="26"/>
  <c r="V212" i="26" s="1"/>
  <c r="AA303" i="26"/>
  <c r="AA279" i="26"/>
  <c r="AA262" i="26"/>
  <c r="AA226" i="26"/>
  <c r="AA155" i="26"/>
  <c r="AA108" i="26"/>
  <c r="AA31" i="26"/>
  <c r="AB2" i="26"/>
  <c r="AB37" i="22"/>
  <c r="AC75" i="28"/>
  <c r="AB14" i="26"/>
  <c r="U83" i="28"/>
  <c r="AC90" i="26"/>
  <c r="AB87" i="26"/>
  <c r="AC10" i="22"/>
  <c r="AB3" i="22"/>
  <c r="AF59" i="26"/>
  <c r="AF58" i="26" s="1"/>
  <c r="AG60" i="26"/>
  <c r="AC368" i="26"/>
  <c r="AD285" i="26"/>
  <c r="V53" i="33"/>
  <c r="T51" i="33"/>
  <c r="V51" i="33" s="1"/>
  <c r="K47" i="33"/>
  <c r="L47" i="33" s="1"/>
  <c r="AA135" i="26"/>
  <c r="AE88" i="12"/>
  <c r="AF24" i="11"/>
  <c r="AF72" i="26"/>
  <c r="AE70" i="26"/>
  <c r="AE184" i="26"/>
  <c r="AD183" i="26"/>
  <c r="AD182" i="26" s="1"/>
  <c r="AE332" i="26"/>
  <c r="AD331" i="26"/>
  <c r="AA126" i="19"/>
  <c r="CH72" i="12"/>
  <c r="V51" i="12"/>
  <c r="AR275" i="25"/>
  <c r="AC46" i="19"/>
  <c r="AC15" i="11"/>
  <c r="AD16" i="11"/>
  <c r="AA12" i="23"/>
  <c r="S191" i="25"/>
  <c r="V191" i="25"/>
  <c r="T191" i="25"/>
  <c r="N191" i="25"/>
  <c r="W191" i="25"/>
  <c r="Y191" i="25"/>
  <c r="L191" i="25"/>
  <c r="O191" i="25"/>
  <c r="Q191" i="25"/>
  <c r="X191" i="25"/>
  <c r="AA191" i="25"/>
  <c r="R191" i="25"/>
  <c r="Z191" i="25"/>
  <c r="P191" i="25"/>
  <c r="AB191" i="25"/>
  <c r="M191" i="25"/>
  <c r="U191" i="25"/>
  <c r="AC191" i="25"/>
  <c r="AA94" i="12"/>
  <c r="AA78" i="12"/>
  <c r="AA82" i="12"/>
  <c r="AA90" i="12"/>
  <c r="AH75" i="26"/>
  <c r="AG74" i="26"/>
  <c r="AG73" i="26" s="1"/>
  <c r="AG76" i="26"/>
  <c r="T240" i="26"/>
  <c r="AN108" i="16"/>
  <c r="AM107" i="16"/>
  <c r="AD253" i="26"/>
  <c r="AC252" i="26"/>
  <c r="AC251" i="26" s="1"/>
  <c r="G192" i="25"/>
  <c r="D193" i="25"/>
  <c r="W96" i="28"/>
  <c r="W217" i="26" s="1"/>
  <c r="W88" i="28"/>
  <c r="W21" i="26" s="1"/>
  <c r="W102" i="28"/>
  <c r="W298" i="26" s="1"/>
  <c r="X70" i="28"/>
  <c r="W82" i="28"/>
  <c r="W102" i="26" s="1"/>
  <c r="AC4" i="16"/>
  <c r="AC3" i="16"/>
  <c r="AD8" i="16"/>
  <c r="AE76" i="12"/>
  <c r="U128" i="26"/>
  <c r="U124" i="26" s="1"/>
  <c r="U107" i="26" s="1"/>
  <c r="U105" i="26"/>
  <c r="U96" i="26" s="1"/>
  <c r="AD63" i="19"/>
  <c r="AE80" i="12"/>
  <c r="AB87" i="16"/>
  <c r="AC27" i="19"/>
  <c r="AB26" i="19"/>
  <c r="AE169" i="19"/>
  <c r="AE168" i="19"/>
  <c r="AF165" i="19" s="1"/>
  <c r="AC58" i="13"/>
  <c r="AF132" i="26"/>
  <c r="AE131" i="26"/>
  <c r="W99" i="25"/>
  <c r="R99" i="25"/>
  <c r="O99" i="25"/>
  <c r="Z99" i="25"/>
  <c r="Y99" i="25"/>
  <c r="S99" i="25"/>
  <c r="N99" i="25"/>
  <c r="X99" i="25"/>
  <c r="AA99" i="25"/>
  <c r="V99" i="25"/>
  <c r="U99" i="25"/>
  <c r="P99" i="25"/>
  <c r="L99" i="25"/>
  <c r="AD99" i="25"/>
  <c r="M99" i="25"/>
  <c r="AC99" i="25"/>
  <c r="AB99" i="25"/>
  <c r="Q99" i="25"/>
  <c r="T99" i="25"/>
  <c r="AA6" i="23"/>
  <c r="AA5" i="23" s="1"/>
  <c r="AE5" i="16"/>
  <c r="AB53" i="13"/>
  <c r="AB44" i="12"/>
  <c r="X71" i="28"/>
  <c r="W89" i="28"/>
  <c r="W22" i="26" s="1"/>
  <c r="AB3" i="23"/>
  <c r="AC10" i="23"/>
  <c r="AC18" i="19"/>
  <c r="AD105" i="19"/>
  <c r="AC81" i="23"/>
  <c r="AB313" i="26"/>
  <c r="AC314" i="26"/>
  <c r="AE4" i="21"/>
  <c r="H190" i="25"/>
  <c r="C190" i="25" s="1"/>
  <c r="W72" i="28"/>
  <c r="V90" i="28"/>
  <c r="V23" i="26" s="1"/>
  <c r="AD125" i="26"/>
  <c r="AG17" i="25"/>
  <c r="AF32" i="25"/>
  <c r="CH84" i="12"/>
  <c r="AC55" i="22"/>
  <c r="AD7" i="19"/>
  <c r="AC3" i="19"/>
  <c r="AB58" i="22"/>
  <c r="AB61" i="22" s="1"/>
  <c r="AB73" i="22" s="1"/>
  <c r="AC57" i="22"/>
  <c r="D101" i="25"/>
  <c r="G100" i="25"/>
  <c r="AC8" i="11"/>
  <c r="AB10" i="11"/>
  <c r="AC17" i="15" s="1"/>
  <c r="AB3" i="11"/>
  <c r="AI288" i="26"/>
  <c r="AH287" i="26"/>
  <c r="U243" i="26"/>
  <c r="U219" i="26"/>
  <c r="U241" i="26"/>
  <c r="U244" i="26"/>
  <c r="U293" i="26"/>
  <c r="AC23" i="22"/>
  <c r="AB30" i="22"/>
  <c r="J32" i="33"/>
  <c r="W92" i="28"/>
  <c r="W84" i="28"/>
  <c r="W98" i="28"/>
  <c r="W78" i="28"/>
  <c r="X66" i="28"/>
  <c r="AB57" i="26"/>
  <c r="AC1" i="26"/>
  <c r="D263" i="25"/>
  <c r="G262" i="25"/>
  <c r="U103" i="28"/>
  <c r="AA16" i="12"/>
  <c r="AB13" i="12"/>
  <c r="V77" i="28"/>
  <c r="V98" i="26"/>
  <c r="V97" i="26" s="1"/>
  <c r="AD267" i="25"/>
  <c r="AD200" i="25"/>
  <c r="AD133" i="25"/>
  <c r="AD111" i="25"/>
  <c r="AD110" i="25" s="1"/>
  <c r="AD114" i="25" s="1"/>
  <c r="AD115" i="25" s="1"/>
  <c r="AE10" i="25"/>
  <c r="AD38" i="25"/>
  <c r="H98" i="25"/>
  <c r="C98" i="25" s="1"/>
  <c r="Z118" i="23"/>
  <c r="Z172" i="19"/>
  <c r="Z157" i="19"/>
  <c r="Z142" i="19"/>
  <c r="Z188" i="19" s="1"/>
  <c r="Z195" i="19"/>
  <c r="AA112" i="19"/>
  <c r="Z149" i="19"/>
  <c r="AE134" i="37" l="1"/>
  <c r="BD26" i="37"/>
  <c r="AE202" i="37"/>
  <c r="BE129" i="37"/>
  <c r="BE120" i="37"/>
  <c r="AF46" i="37"/>
  <c r="M69" i="36"/>
  <c r="M40" i="36"/>
  <c r="N6" i="36"/>
  <c r="N40" i="36" s="1"/>
  <c r="N54" i="4"/>
  <c r="Z18" i="15"/>
  <c r="Z54" i="13"/>
  <c r="Z11" i="11"/>
  <c r="AC4" i="15"/>
  <c r="AB3" i="15"/>
  <c r="AD34" i="13"/>
  <c r="AD33" i="13" s="1"/>
  <c r="Z31" i="12"/>
  <c r="Z30" i="12"/>
  <c r="AA28" i="12" s="1"/>
  <c r="AB36" i="12"/>
  <c r="AB35" i="12"/>
  <c r="AC33" i="12" s="1"/>
  <c r="U321" i="26"/>
  <c r="U320" i="26"/>
  <c r="U318" i="26"/>
  <c r="U317" i="26" s="1"/>
  <c r="U302" i="26" s="1"/>
  <c r="U300" i="26"/>
  <c r="U292" i="26" s="1"/>
  <c r="Z202" i="19"/>
  <c r="Z179" i="19"/>
  <c r="X84" i="28"/>
  <c r="X98" i="28"/>
  <c r="Y66" i="28"/>
  <c r="X92" i="28"/>
  <c r="X78" i="28"/>
  <c r="AC58" i="22"/>
  <c r="AC61" i="22" s="1"/>
  <c r="AC73" i="22" s="1"/>
  <c r="AD57" i="22"/>
  <c r="W17" i="26"/>
  <c r="L262" i="25"/>
  <c r="AB262" i="25"/>
  <c r="S262" i="25"/>
  <c r="AA262" i="25"/>
  <c r="AE262" i="25"/>
  <c r="R262" i="25"/>
  <c r="U262" i="25"/>
  <c r="AC262" i="25"/>
  <c r="X262" i="25"/>
  <c r="Z262" i="25"/>
  <c r="Q262" i="25"/>
  <c r="Y262" i="25"/>
  <c r="O262" i="25"/>
  <c r="M262" i="25"/>
  <c r="V262" i="25"/>
  <c r="W262" i="25"/>
  <c r="AG262" i="25"/>
  <c r="P262" i="25"/>
  <c r="T262" i="25"/>
  <c r="AF262" i="25"/>
  <c r="N262" i="25"/>
  <c r="AD262" i="25"/>
  <c r="W213" i="26"/>
  <c r="AD18" i="19"/>
  <c r="AD4" i="16"/>
  <c r="AD3" i="16"/>
  <c r="AE8" i="16"/>
  <c r="AB126" i="19"/>
  <c r="AD14" i="19"/>
  <c r="H261" i="25"/>
  <c r="C261" i="25" s="1"/>
  <c r="AF72" i="12"/>
  <c r="V16" i="26"/>
  <c r="AE84" i="12"/>
  <c r="AE96" i="12" s="1"/>
  <c r="AB16" i="12"/>
  <c r="AE125" i="26"/>
  <c r="D264" i="25"/>
  <c r="G263" i="25"/>
  <c r="H33" i="33"/>
  <c r="I33" i="33" s="1"/>
  <c r="J33" i="33" s="1"/>
  <c r="AE100" i="25"/>
  <c r="Z100" i="25"/>
  <c r="W100" i="25"/>
  <c r="R100" i="25"/>
  <c r="O100" i="25"/>
  <c r="T100" i="25"/>
  <c r="AB100" i="25"/>
  <c r="X100" i="25"/>
  <c r="Y100" i="25"/>
  <c r="U100" i="25"/>
  <c r="P100" i="25"/>
  <c r="M100" i="25"/>
  <c r="S100" i="25"/>
  <c r="AC100" i="25"/>
  <c r="N100" i="25"/>
  <c r="V100" i="25"/>
  <c r="AD100" i="25"/>
  <c r="Q100" i="25"/>
  <c r="AA100" i="25"/>
  <c r="L100" i="25"/>
  <c r="AD81" i="23"/>
  <c r="X89" i="28"/>
  <c r="X22" i="26" s="1"/>
  <c r="Y71" i="28"/>
  <c r="AE63" i="19"/>
  <c r="AH76" i="26"/>
  <c r="AH74" i="26" s="1"/>
  <c r="AH73" i="26" s="1"/>
  <c r="AI75" i="26"/>
  <c r="AN3" i="13"/>
  <c r="AE122" i="26"/>
  <c r="AD121" i="26"/>
  <c r="AD50" i="19"/>
  <c r="AE258" i="26"/>
  <c r="AF259" i="26"/>
  <c r="V83" i="28"/>
  <c r="AB15" i="12"/>
  <c r="AC13" i="12" s="1"/>
  <c r="AD368" i="26"/>
  <c r="AE285" i="26"/>
  <c r="AD10" i="22"/>
  <c r="AC3" i="22"/>
  <c r="AD40" i="19"/>
  <c r="U38" i="12"/>
  <c r="E50" i="9"/>
  <c r="U10" i="12"/>
  <c r="U40" i="12" s="1"/>
  <c r="K48" i="33"/>
  <c r="L48" i="33" s="1"/>
  <c r="T52" i="26"/>
  <c r="T30" i="26" s="1"/>
  <c r="AA351" i="20"/>
  <c r="M383" i="20"/>
  <c r="AD70" i="12"/>
  <c r="AC91" i="19"/>
  <c r="V321" i="26"/>
  <c r="V318" i="26"/>
  <c r="V320" i="26"/>
  <c r="V300" i="26"/>
  <c r="V292" i="26" s="1"/>
  <c r="Z72" i="22"/>
  <c r="AA71" i="22"/>
  <c r="S143" i="19"/>
  <c r="S146" i="19" s="1"/>
  <c r="R31" i="19"/>
  <c r="AG119" i="26"/>
  <c r="AH120" i="26"/>
  <c r="AF4" i="21"/>
  <c r="AC3" i="23"/>
  <c r="AD10" i="23"/>
  <c r="G193" i="25"/>
  <c r="D194" i="25"/>
  <c r="AB6" i="23"/>
  <c r="AB5" i="23" s="1"/>
  <c r="AF5" i="16"/>
  <c r="AC44" i="12"/>
  <c r="AC53" i="13"/>
  <c r="AC87" i="16"/>
  <c r="AB192" i="25"/>
  <c r="Z192" i="25"/>
  <c r="N192" i="25"/>
  <c r="V192" i="25"/>
  <c r="P192" i="25"/>
  <c r="S192" i="25"/>
  <c r="R192" i="25"/>
  <c r="L192" i="25"/>
  <c r="W192" i="25"/>
  <c r="T192" i="25"/>
  <c r="Q192" i="25"/>
  <c r="Y192" i="25"/>
  <c r="AD192" i="25"/>
  <c r="X192" i="25"/>
  <c r="AA192" i="25"/>
  <c r="O192" i="25"/>
  <c r="M192" i="25"/>
  <c r="U192" i="25"/>
  <c r="AC192" i="25"/>
  <c r="AO108" i="16"/>
  <c r="AN107" i="16"/>
  <c r="AE16" i="11"/>
  <c r="AD15" i="11"/>
  <c r="AB13" i="26"/>
  <c r="AB26" i="26"/>
  <c r="U28" i="26"/>
  <c r="U25" i="26" s="1"/>
  <c r="U55" i="26"/>
  <c r="U56" i="26"/>
  <c r="U53" i="26"/>
  <c r="U52" i="26" s="1"/>
  <c r="U30" i="26" s="1"/>
  <c r="D50" i="33"/>
  <c r="G49" i="33"/>
  <c r="F49" i="33"/>
  <c r="T37" i="33" s="1"/>
  <c r="AC59" i="12"/>
  <c r="AF84" i="26"/>
  <c r="AE83" i="26"/>
  <c r="AT5" i="18"/>
  <c r="AS35" i="18"/>
  <c r="AS3" i="18"/>
  <c r="AF3" i="17"/>
  <c r="Z95" i="28"/>
  <c r="Z216" i="26" s="1"/>
  <c r="Z101" i="28"/>
  <c r="Z297" i="26" s="1"/>
  <c r="Z81" i="28"/>
  <c r="Z101" i="26" s="1"/>
  <c r="Z87" i="28"/>
  <c r="Z20" i="26" s="1"/>
  <c r="AA69" i="28"/>
  <c r="AE236" i="26"/>
  <c r="AF237" i="26"/>
  <c r="AG88" i="26"/>
  <c r="AS274" i="25"/>
  <c r="Y38" i="22"/>
  <c r="AD45" i="19"/>
  <c r="AB12" i="23"/>
  <c r="AD172" i="26"/>
  <c r="AE173" i="26"/>
  <c r="O226" i="20"/>
  <c r="AC199" i="20"/>
  <c r="AD38" i="19"/>
  <c r="H191" i="25"/>
  <c r="C191" i="25" s="1"/>
  <c r="H99" i="25"/>
  <c r="C99" i="25" s="1"/>
  <c r="AG132" i="26"/>
  <c r="AF131" i="26"/>
  <c r="AF168" i="19"/>
  <c r="AG165" i="19" s="1"/>
  <c r="AF169" i="19"/>
  <c r="AG72" i="26"/>
  <c r="AF70" i="26"/>
  <c r="W21" i="12"/>
  <c r="W52" i="12" s="1"/>
  <c r="W49" i="12"/>
  <c r="W20" i="12"/>
  <c r="W50" i="12" s="1"/>
  <c r="V128" i="26"/>
  <c r="V124" i="26" s="1"/>
  <c r="V107" i="26" s="1"/>
  <c r="V105" i="26"/>
  <c r="V96" i="26" s="1"/>
  <c r="W77" i="28"/>
  <c r="W98" i="26"/>
  <c r="AH17" i="25"/>
  <c r="AG32" i="25"/>
  <c r="AC313" i="26"/>
  <c r="AD314" i="26"/>
  <c r="AB94" i="12"/>
  <c r="AB82" i="12"/>
  <c r="AB90" i="12"/>
  <c r="AB78" i="12"/>
  <c r="AE253" i="26"/>
  <c r="AD252" i="26"/>
  <c r="AD251" i="26" s="1"/>
  <c r="CI72" i="12"/>
  <c r="AE331" i="26"/>
  <c r="AF332" i="26"/>
  <c r="AD75" i="28"/>
  <c r="AC14" i="26"/>
  <c r="AC37" i="22"/>
  <c r="AC20" i="15"/>
  <c r="AJ31" i="11"/>
  <c r="AC367" i="26"/>
  <c r="AD190" i="26"/>
  <c r="AC188" i="26"/>
  <c r="AL47" i="12"/>
  <c r="AE137" i="26"/>
  <c r="AD136" i="26"/>
  <c r="AM92" i="12"/>
  <c r="AE77" i="19"/>
  <c r="AD80" i="19"/>
  <c r="AD81" i="19" s="1"/>
  <c r="AE78" i="19" s="1"/>
  <c r="W115" i="19"/>
  <c r="W116" i="19" s="1"/>
  <c r="AA142" i="19"/>
  <c r="AA188" i="19" s="1"/>
  <c r="AA195" i="19"/>
  <c r="AB112" i="19"/>
  <c r="AA149" i="19"/>
  <c r="AA172" i="19"/>
  <c r="AA157" i="19"/>
  <c r="AC57" i="26"/>
  <c r="AD1" i="26"/>
  <c r="D102" i="25"/>
  <c r="G101" i="25"/>
  <c r="CI84" i="12"/>
  <c r="U240" i="26"/>
  <c r="AD8" i="11"/>
  <c r="AC3" i="11"/>
  <c r="AC10" i="11"/>
  <c r="AD17" i="15" s="1"/>
  <c r="AD58" i="13"/>
  <c r="AF88" i="12"/>
  <c r="V241" i="26"/>
  <c r="V240" i="26" s="1"/>
  <c r="V243" i="26"/>
  <c r="V219" i="26"/>
  <c r="V244" i="26"/>
  <c r="X93" i="28"/>
  <c r="X214" i="26" s="1"/>
  <c r="X99" i="28"/>
  <c r="X295" i="26" s="1"/>
  <c r="X85" i="28"/>
  <c r="X18" i="26" s="1"/>
  <c r="Y67" i="28"/>
  <c r="X79" i="28"/>
  <c r="X99" i="26" s="1"/>
  <c r="AE7" i="19"/>
  <c r="AD3" i="19"/>
  <c r="AE267" i="25"/>
  <c r="AE200" i="25"/>
  <c r="AE111" i="25"/>
  <c r="AE110" i="25" s="1"/>
  <c r="AE114" i="25" s="1"/>
  <c r="AE115" i="25" s="1"/>
  <c r="AE133" i="25"/>
  <c r="AF10" i="25"/>
  <c r="AE38" i="25"/>
  <c r="V103" i="28"/>
  <c r="W294" i="26"/>
  <c r="AD23" i="22"/>
  <c r="AC30" i="22"/>
  <c r="W90" i="28"/>
  <c r="W23" i="26" s="1"/>
  <c r="X72" i="28"/>
  <c r="AF76" i="12"/>
  <c r="X96" i="28"/>
  <c r="X217" i="26" s="1"/>
  <c r="X88" i="28"/>
  <c r="X21" i="26" s="1"/>
  <c r="X102" i="28"/>
  <c r="X298" i="26" s="1"/>
  <c r="X82" i="28"/>
  <c r="X102" i="26" s="1"/>
  <c r="Y70" i="28"/>
  <c r="AS275" i="25"/>
  <c r="AD46" i="19"/>
  <c r="AG59" i="26"/>
  <c r="AG58" i="26" s="1"/>
  <c r="AH60" i="26"/>
  <c r="AD90" i="26"/>
  <c r="AC87" i="26"/>
  <c r="AB262" i="26"/>
  <c r="AB279" i="26"/>
  <c r="AB303" i="26"/>
  <c r="AB226" i="26"/>
  <c r="AB155" i="26"/>
  <c r="AB108" i="26"/>
  <c r="AB31" i="26"/>
  <c r="AC2" i="26"/>
  <c r="AD323" i="26"/>
  <c r="AD322" i="26" s="1"/>
  <c r="AE324" i="26"/>
  <c r="AD366" i="26"/>
  <c r="AE197" i="26"/>
  <c r="CJ76" i="12"/>
  <c r="AC135" i="26"/>
  <c r="N299" i="20"/>
  <c r="AB270" i="20"/>
  <c r="AD93" i="16"/>
  <c r="W100" i="28"/>
  <c r="W296" i="26" s="1"/>
  <c r="W80" i="28"/>
  <c r="W100" i="26" s="1"/>
  <c r="X68" i="28"/>
  <c r="W94" i="28"/>
  <c r="W215" i="26" s="1"/>
  <c r="W86" i="28"/>
  <c r="W19" i="26" s="1"/>
  <c r="AI287" i="26"/>
  <c r="AJ288" i="26"/>
  <c r="AD55" i="22"/>
  <c r="AE105" i="19"/>
  <c r="AD27" i="19"/>
  <c r="AC26" i="19"/>
  <c r="AF80" i="12"/>
  <c r="AE183" i="26"/>
  <c r="AE182" i="26" s="1"/>
  <c r="AF184" i="26"/>
  <c r="AG24" i="11"/>
  <c r="AD48" i="26"/>
  <c r="AD46" i="26" s="1"/>
  <c r="AE47" i="26"/>
  <c r="AD98" i="19"/>
  <c r="AE180" i="26"/>
  <c r="AD179" i="26"/>
  <c r="AF147" i="26"/>
  <c r="AR22" i="13"/>
  <c r="AR20" i="13" s="1"/>
  <c r="AS23" i="13"/>
  <c r="AD96" i="12"/>
  <c r="AG142" i="26"/>
  <c r="AF141" i="26"/>
  <c r="AG81" i="26"/>
  <c r="AF79" i="26"/>
  <c r="AC25" i="12"/>
  <c r="AD23" i="12" s="1"/>
  <c r="AD4" i="12"/>
  <c r="AC3" i="12"/>
  <c r="O6" i="4"/>
  <c r="BD27" i="37" l="1"/>
  <c r="BD31" i="37" s="1"/>
  <c r="BD32" i="37" s="1"/>
  <c r="U24" i="25"/>
  <c r="U43" i="12"/>
  <c r="N69" i="36"/>
  <c r="BF129" i="37"/>
  <c r="BF120" i="37"/>
  <c r="AG46" i="37"/>
  <c r="AF202" i="37"/>
  <c r="BE26" i="37"/>
  <c r="BE27" i="37" s="1"/>
  <c r="BE31" i="37" s="1"/>
  <c r="BE32" i="37" s="1"/>
  <c r="AF134" i="37"/>
  <c r="O6" i="36"/>
  <c r="O40" i="36" s="1"/>
  <c r="O54" i="4"/>
  <c r="AA18" i="15"/>
  <c r="AA54" i="13"/>
  <c r="AD4" i="15"/>
  <c r="AC3" i="15"/>
  <c r="X18" i="12"/>
  <c r="X20" i="12" s="1"/>
  <c r="X50" i="12" s="1"/>
  <c r="V8" i="12"/>
  <c r="V38" i="12" s="1"/>
  <c r="AE38" i="19"/>
  <c r="AE34" i="13"/>
  <c r="AE33" i="13" s="1"/>
  <c r="AC16" i="12"/>
  <c r="AC15" i="12"/>
  <c r="AD13" i="12" s="1"/>
  <c r="AC36" i="12"/>
  <c r="AC35" i="12"/>
  <c r="AD33" i="12" s="1"/>
  <c r="AA31" i="12"/>
  <c r="AA30" i="12"/>
  <c r="AB28" i="12" s="1"/>
  <c r="X90" i="28"/>
  <c r="X23" i="26" s="1"/>
  <c r="Y72" i="28"/>
  <c r="AD101" i="25"/>
  <c r="Y101" i="25"/>
  <c r="V101" i="25"/>
  <c r="Q101" i="25"/>
  <c r="N101" i="25"/>
  <c r="AB101" i="25"/>
  <c r="M101" i="25"/>
  <c r="T101" i="25"/>
  <c r="O101" i="25"/>
  <c r="S101" i="25"/>
  <c r="AC101" i="25"/>
  <c r="W101" i="25"/>
  <c r="AA101" i="25"/>
  <c r="AE101" i="25"/>
  <c r="L101" i="25"/>
  <c r="AF101" i="25"/>
  <c r="R101" i="25"/>
  <c r="X101" i="25"/>
  <c r="P101" i="25"/>
  <c r="Z101" i="25"/>
  <c r="U101" i="25"/>
  <c r="AE172" i="26"/>
  <c r="AF173" i="26"/>
  <c r="AE55" i="22"/>
  <c r="AF183" i="26"/>
  <c r="AF182" i="26" s="1"/>
  <c r="AG184" i="26"/>
  <c r="AJ287" i="26"/>
  <c r="AK288" i="26"/>
  <c r="AD30" i="22"/>
  <c r="AE23" i="22"/>
  <c r="AF267" i="25"/>
  <c r="AF200" i="25"/>
  <c r="AF133" i="25"/>
  <c r="AF111" i="25"/>
  <c r="AF110" i="25" s="1"/>
  <c r="AF114" i="25" s="1"/>
  <c r="AF115" i="25" s="1"/>
  <c r="AG10" i="25"/>
  <c r="AF38" i="25"/>
  <c r="AF7" i="19"/>
  <c r="AE3" i="19"/>
  <c r="AE58" i="13"/>
  <c r="AE8" i="11"/>
  <c r="AD10" i="11"/>
  <c r="AE17" i="15" s="1"/>
  <c r="AD3" i="11"/>
  <c r="AN92" i="12"/>
  <c r="CJ72" i="12"/>
  <c r="AH72" i="26"/>
  <c r="AG70" i="26"/>
  <c r="P226" i="20"/>
  <c r="AD199" i="20"/>
  <c r="AA95" i="28"/>
  <c r="AA216" i="26" s="1"/>
  <c r="AA101" i="28"/>
  <c r="AA297" i="26" s="1"/>
  <c r="AA81" i="28"/>
  <c r="AA101" i="26" s="1"/>
  <c r="AB69" i="28"/>
  <c r="AA87" i="28"/>
  <c r="AA20" i="26" s="1"/>
  <c r="AF83" i="26"/>
  <c r="AG84" i="26"/>
  <c r="AD59" i="12"/>
  <c r="AE10" i="23"/>
  <c r="AD3" i="23"/>
  <c r="AH119" i="26"/>
  <c r="AI120" i="26"/>
  <c r="AE121" i="26"/>
  <c r="AF122" i="26"/>
  <c r="H100" i="25"/>
  <c r="C100" i="25" s="1"/>
  <c r="O263" i="25"/>
  <c r="Q263" i="25"/>
  <c r="Y263" i="25"/>
  <c r="AE263" i="25"/>
  <c r="R263" i="25"/>
  <c r="L263" i="25"/>
  <c r="AA263" i="25"/>
  <c r="M263" i="25"/>
  <c r="W263" i="25"/>
  <c r="Z263" i="25"/>
  <c r="AF263" i="25"/>
  <c r="N263" i="25"/>
  <c r="U263" i="25"/>
  <c r="AC263" i="25"/>
  <c r="P263" i="25"/>
  <c r="AD263" i="25"/>
  <c r="AG263" i="25"/>
  <c r="T263" i="25"/>
  <c r="S263" i="25"/>
  <c r="AB263" i="25"/>
  <c r="X263" i="25"/>
  <c r="V263" i="25"/>
  <c r="AE18" i="19"/>
  <c r="X294" i="26"/>
  <c r="X293" i="26" s="1"/>
  <c r="AH142" i="26"/>
  <c r="AG141" i="26"/>
  <c r="AE93" i="16"/>
  <c r="AS22" i="13"/>
  <c r="AS20" i="13" s="1"/>
  <c r="AT23" i="13"/>
  <c r="AE98" i="19"/>
  <c r="AF105" i="19"/>
  <c r="Y96" i="28"/>
  <c r="Y217" i="26" s="1"/>
  <c r="Y82" i="28"/>
  <c r="Y102" i="26" s="1"/>
  <c r="Y102" i="28"/>
  <c r="Y298" i="26" s="1"/>
  <c r="Z70" i="28"/>
  <c r="Y88" i="28"/>
  <c r="Y21" i="26" s="1"/>
  <c r="AH132" i="26"/>
  <c r="AG131" i="26"/>
  <c r="AM47" i="12"/>
  <c r="AE75" i="28"/>
  <c r="AD14" i="26"/>
  <c r="O299" i="20"/>
  <c r="AC270" i="20"/>
  <c r="CK76" i="12"/>
  <c r="AE323" i="26"/>
  <c r="AE322" i="26" s="1"/>
  <c r="AF324" i="26"/>
  <c r="AA202" i="19"/>
  <c r="AA179" i="19"/>
  <c r="AK31" i="11"/>
  <c r="AD20" i="15"/>
  <c r="T55" i="33"/>
  <c r="V55" i="33" s="1"/>
  <c r="V57" i="33"/>
  <c r="T64" i="33"/>
  <c r="V64" i="33" s="1"/>
  <c r="AC94" i="12"/>
  <c r="AC78" i="12"/>
  <c r="AC82" i="12"/>
  <c r="AC90" i="12"/>
  <c r="AE50" i="19"/>
  <c r="AF50" i="19" s="1"/>
  <c r="Y89" i="28"/>
  <c r="Y22" i="26" s="1"/>
  <c r="Z71" i="28"/>
  <c r="D265" i="25"/>
  <c r="G264" i="25"/>
  <c r="H262" i="25"/>
  <c r="C262" i="25" s="1"/>
  <c r="X83" i="28"/>
  <c r="X17" i="26"/>
  <c r="AE366" i="26"/>
  <c r="AF197" i="26"/>
  <c r="X100" i="28"/>
  <c r="X296" i="26" s="1"/>
  <c r="X86" i="28"/>
  <c r="X19" i="26" s="1"/>
  <c r="X80" i="28"/>
  <c r="X100" i="26" s="1"/>
  <c r="Y68" i="28"/>
  <c r="X94" i="28"/>
  <c r="X215" i="26" s="1"/>
  <c r="AG147" i="26"/>
  <c r="AH24" i="11"/>
  <c r="AG76" i="12"/>
  <c r="W293" i="26"/>
  <c r="AG88" i="12"/>
  <c r="D51" i="33"/>
  <c r="G50" i="33"/>
  <c r="F50" i="33"/>
  <c r="AP108" i="16"/>
  <c r="AO107" i="16"/>
  <c r="AA72" i="22"/>
  <c r="AB71" i="22"/>
  <c r="AF8" i="16"/>
  <c r="AE3" i="16"/>
  <c r="AE4" i="16"/>
  <c r="W212" i="26"/>
  <c r="AG79" i="26"/>
  <c r="AH81" i="26"/>
  <c r="AE46" i="26"/>
  <c r="AE48" i="26"/>
  <c r="AF47" i="26"/>
  <c r="AE179" i="26"/>
  <c r="AF180" i="26"/>
  <c r="AD25" i="12"/>
  <c r="AE23" i="12" s="1"/>
  <c r="AE4" i="12"/>
  <c r="AD3" i="12"/>
  <c r="P6" i="4"/>
  <c r="AE90" i="26"/>
  <c r="AD87" i="26"/>
  <c r="X113" i="19"/>
  <c r="W23" i="19"/>
  <c r="AD135" i="26"/>
  <c r="AD367" i="26"/>
  <c r="AD188" i="26"/>
  <c r="AE190" i="26"/>
  <c r="AG80" i="12"/>
  <c r="AC303" i="26"/>
  <c r="AC279" i="26"/>
  <c r="AC262" i="26"/>
  <c r="AC226" i="26"/>
  <c r="AC155" i="26"/>
  <c r="AC108" i="26"/>
  <c r="AC31" i="26"/>
  <c r="AD2" i="26"/>
  <c r="AH59" i="26"/>
  <c r="AH58" i="26" s="1"/>
  <c r="AI60" i="26"/>
  <c r="AT275" i="25"/>
  <c r="AE46" i="19"/>
  <c r="W97" i="28"/>
  <c r="AF137" i="26"/>
  <c r="AE136" i="26"/>
  <c r="AI17" i="25"/>
  <c r="AH32" i="25"/>
  <c r="W51" i="12"/>
  <c r="AG168" i="19"/>
  <c r="AH165" i="19" s="1"/>
  <c r="AG169" i="19"/>
  <c r="AC62" i="16"/>
  <c r="AC25" i="16" s="1"/>
  <c r="AF63" i="19"/>
  <c r="AF84" i="12"/>
  <c r="W91" i="28"/>
  <c r="AD58" i="22"/>
  <c r="AD61" i="22" s="1"/>
  <c r="AD73" i="22" s="1"/>
  <c r="AE57" i="22"/>
  <c r="Y99" i="28"/>
  <c r="Y295" i="26" s="1"/>
  <c r="Y79" i="28"/>
  <c r="Y99" i="26" s="1"/>
  <c r="Y93" i="28"/>
  <c r="Y214" i="26" s="1"/>
  <c r="Z67" i="28"/>
  <c r="Y85" i="28"/>
  <c r="Y18" i="26" s="1"/>
  <c r="CJ84" i="12"/>
  <c r="AF331" i="26"/>
  <c r="AG332" i="26"/>
  <c r="AE252" i="26"/>
  <c r="AE251" i="26" s="1"/>
  <c r="AF253" i="26"/>
  <c r="W97" i="26"/>
  <c r="X21" i="12"/>
  <c r="X52" i="12" s="1"/>
  <c r="X49" i="12"/>
  <c r="AH88" i="26"/>
  <c r="AC12" i="23"/>
  <c r="AG4" i="21"/>
  <c r="T143" i="19"/>
  <c r="T146" i="19" s="1"/>
  <c r="S31" i="19"/>
  <c r="AD91" i="19"/>
  <c r="AE70" i="12"/>
  <c r="AJ41" i="18"/>
  <c r="AE81" i="23"/>
  <c r="AF125" i="26"/>
  <c r="V28" i="26"/>
  <c r="V25" i="26" s="1"/>
  <c r="V56" i="26"/>
  <c r="V55" i="26"/>
  <c r="V53" i="26"/>
  <c r="V52" i="26" s="1"/>
  <c r="V30" i="26" s="1"/>
  <c r="V12" i="26"/>
  <c r="AE14" i="19"/>
  <c r="AC126" i="19"/>
  <c r="W16" i="26"/>
  <c r="AU5" i="18"/>
  <c r="AT35" i="18"/>
  <c r="AT3" i="18"/>
  <c r="AB351" i="20"/>
  <c r="N383" i="20"/>
  <c r="AE10" i="22"/>
  <c r="AD3" i="22"/>
  <c r="AO3" i="13"/>
  <c r="AI76" i="26"/>
  <c r="AI74" i="26" s="1"/>
  <c r="AI73" i="26" s="1"/>
  <c r="AJ75" i="26"/>
  <c r="AG72" i="12"/>
  <c r="W83" i="28"/>
  <c r="W103" i="28" s="1"/>
  <c r="X98" i="26"/>
  <c r="X97" i="26" s="1"/>
  <c r="AC6" i="23"/>
  <c r="AG5" i="16"/>
  <c r="AD44" i="12"/>
  <c r="AD53" i="13"/>
  <c r="D103" i="25"/>
  <c r="G102" i="25"/>
  <c r="AF77" i="19"/>
  <c r="AE80" i="19"/>
  <c r="AE81" i="19" s="1"/>
  <c r="AF78" i="19" s="1"/>
  <c r="AC26" i="26"/>
  <c r="AC13" i="26"/>
  <c r="AG237" i="26"/>
  <c r="AF236" i="26"/>
  <c r="U12" i="26"/>
  <c r="H192" i="25"/>
  <c r="C192" i="25" s="1"/>
  <c r="AD87" i="16"/>
  <c r="D195" i="25"/>
  <c r="G194" i="25"/>
  <c r="AF285" i="26"/>
  <c r="AE368" i="26"/>
  <c r="AF258" i="26"/>
  <c r="AG259" i="26"/>
  <c r="X91" i="28"/>
  <c r="X213" i="26"/>
  <c r="X212" i="26" s="1"/>
  <c r="AD37" i="22"/>
  <c r="AE314" i="26"/>
  <c r="AD313" i="26"/>
  <c r="AD26" i="19"/>
  <c r="AE27" i="19"/>
  <c r="AD57" i="26"/>
  <c r="AE1" i="26"/>
  <c r="AB195" i="19"/>
  <c r="AC112" i="19"/>
  <c r="AB149" i="19"/>
  <c r="AB172" i="19"/>
  <c r="AB157" i="19"/>
  <c r="AB142" i="19"/>
  <c r="AB188" i="19" s="1"/>
  <c r="AT274" i="25"/>
  <c r="Z38" i="22"/>
  <c r="AE45" i="19"/>
  <c r="AG3" i="17"/>
  <c r="AF16" i="11"/>
  <c r="AE15" i="11"/>
  <c r="Q193" i="25"/>
  <c r="Z193" i="25"/>
  <c r="P193" i="25"/>
  <c r="AB193" i="25"/>
  <c r="AE193" i="25"/>
  <c r="S193" i="25"/>
  <c r="R193" i="25"/>
  <c r="N193" i="25"/>
  <c r="W193" i="25"/>
  <c r="T193" i="25"/>
  <c r="L193" i="25"/>
  <c r="AD193" i="25"/>
  <c r="X193" i="25"/>
  <c r="AA193" i="25"/>
  <c r="O193" i="25"/>
  <c r="Y193" i="25"/>
  <c r="V193" i="25"/>
  <c r="M193" i="25"/>
  <c r="AC193" i="25"/>
  <c r="U193" i="25"/>
  <c r="V317" i="26"/>
  <c r="V302" i="26" s="1"/>
  <c r="AE40" i="19"/>
  <c r="H34" i="33"/>
  <c r="I34" i="33" s="1"/>
  <c r="J34" i="33" s="1"/>
  <c r="Y98" i="28"/>
  <c r="Y92" i="28"/>
  <c r="Y78" i="28"/>
  <c r="Z66" i="28"/>
  <c r="Y84" i="28"/>
  <c r="U25" i="25" l="1"/>
  <c r="U29" i="25" s="1"/>
  <c r="U30" i="25" s="1"/>
  <c r="U34" i="25" s="1"/>
  <c r="V10" i="12"/>
  <c r="V40" i="12" s="1"/>
  <c r="V43" i="12" s="1"/>
  <c r="O69" i="36"/>
  <c r="BF26" i="37"/>
  <c r="AG202" i="37"/>
  <c r="AH46" i="37"/>
  <c r="AG134" i="37"/>
  <c r="BG129" i="37"/>
  <c r="BG120" i="37"/>
  <c r="P6" i="36"/>
  <c r="P40" i="36" s="1"/>
  <c r="P54" i="4"/>
  <c r="AC5" i="23"/>
  <c r="AF14" i="19"/>
  <c r="AF40" i="19"/>
  <c r="AA11" i="11"/>
  <c r="AE4" i="15"/>
  <c r="AD3" i="15"/>
  <c r="AF34" i="13"/>
  <c r="AF33" i="13" s="1"/>
  <c r="H35" i="33"/>
  <c r="I35" i="33" s="1"/>
  <c r="J35" i="33" s="1"/>
  <c r="AD36" i="12"/>
  <c r="AD35" i="12"/>
  <c r="AE33" i="12" s="1"/>
  <c r="AB31" i="12"/>
  <c r="AB30" i="12"/>
  <c r="AC28" i="12" s="1"/>
  <c r="AD16" i="12"/>
  <c r="AD15" i="12"/>
  <c r="AE13" i="12" s="1"/>
  <c r="AE15" i="12" s="1"/>
  <c r="Y17" i="26"/>
  <c r="AG16" i="11"/>
  <c r="AF15" i="11"/>
  <c r="AG258" i="26"/>
  <c r="AH259" i="26"/>
  <c r="X128" i="26"/>
  <c r="X124" i="26" s="1"/>
  <c r="X107" i="26" s="1"/>
  <c r="X105" i="26"/>
  <c r="X96" i="26"/>
  <c r="AJ74" i="26"/>
  <c r="AJ73" i="26" s="1"/>
  <c r="AK75" i="26"/>
  <c r="AJ76" i="26"/>
  <c r="Y98" i="26"/>
  <c r="AU274" i="25"/>
  <c r="AA38" i="22"/>
  <c r="AF45" i="19"/>
  <c r="AC149" i="19"/>
  <c r="AC172" i="19"/>
  <c r="AC157" i="19"/>
  <c r="AC142" i="19"/>
  <c r="AC188" i="19" s="1"/>
  <c r="AC195" i="19"/>
  <c r="AD112" i="19"/>
  <c r="G103" i="25"/>
  <c r="D104" i="25"/>
  <c r="AH332" i="26"/>
  <c r="AG331" i="26"/>
  <c r="AJ17" i="25"/>
  <c r="AI32" i="25"/>
  <c r="X16" i="26"/>
  <c r="G265" i="25"/>
  <c r="J203" i="25"/>
  <c r="D247" i="20"/>
  <c r="AE199" i="20"/>
  <c r="AQ108" i="16"/>
  <c r="AP107" i="16"/>
  <c r="Z89" i="28"/>
  <c r="Z22" i="26" s="1"/>
  <c r="AA71" i="28"/>
  <c r="CL76" i="12"/>
  <c r="AN47" i="12"/>
  <c r="AF93" i="16"/>
  <c r="AF18" i="19"/>
  <c r="AK41" i="18"/>
  <c r="AG7" i="19"/>
  <c r="AG40" i="19" s="1"/>
  <c r="AF3" i="19"/>
  <c r="AE30" i="22"/>
  <c r="AF23" i="22"/>
  <c r="AF55" i="22"/>
  <c r="Y91" i="28"/>
  <c r="Y213" i="26"/>
  <c r="AH80" i="12"/>
  <c r="AF90" i="26"/>
  <c r="AE87" i="26"/>
  <c r="AF46" i="26"/>
  <c r="AF48" i="26"/>
  <c r="AG47" i="26"/>
  <c r="Y97" i="28"/>
  <c r="Y294" i="26"/>
  <c r="H193" i="25"/>
  <c r="C193" i="25" s="1"/>
  <c r="AE57" i="26"/>
  <c r="AF1" i="26"/>
  <c r="AE313" i="26"/>
  <c r="AF314" i="26"/>
  <c r="X244" i="26"/>
  <c r="X243" i="26"/>
  <c r="X241" i="26"/>
  <c r="X240" i="26" s="1"/>
  <c r="X219" i="26"/>
  <c r="AF368" i="26"/>
  <c r="AG285" i="26"/>
  <c r="AD94" i="12"/>
  <c r="AD78" i="12"/>
  <c r="AD90" i="12"/>
  <c r="AD82" i="12"/>
  <c r="AD12" i="23"/>
  <c r="X51" i="12"/>
  <c r="CK84" i="12"/>
  <c r="AF136" i="26"/>
  <c r="AG137" i="26"/>
  <c r="AH76" i="12"/>
  <c r="Y100" i="28"/>
  <c r="Y296" i="26" s="1"/>
  <c r="Y94" i="28"/>
  <c r="Y215" i="26" s="1"/>
  <c r="Y86" i="28"/>
  <c r="Y19" i="26" s="1"/>
  <c r="Z68" i="28"/>
  <c r="Y80" i="28"/>
  <c r="Y100" i="26" s="1"/>
  <c r="AE20" i="15"/>
  <c r="H263" i="25"/>
  <c r="C263" i="25" s="1"/>
  <c r="AG122" i="26"/>
  <c r="AF121" i="26"/>
  <c r="AH84" i="26"/>
  <c r="AG83" i="26"/>
  <c r="AO92" i="12"/>
  <c r="AH184" i="26"/>
  <c r="AG183" i="26"/>
  <c r="AG182" i="26" s="1"/>
  <c r="AD62" i="16"/>
  <c r="AD25" i="16" s="1"/>
  <c r="AD126" i="19"/>
  <c r="AE58" i="22"/>
  <c r="AE61" i="22" s="1"/>
  <c r="AE73" i="22" s="1"/>
  <c r="AF57" i="22"/>
  <c r="P299" i="20"/>
  <c r="AD270" i="20"/>
  <c r="AH131" i="26"/>
  <c r="AI132" i="26"/>
  <c r="AG105" i="19"/>
  <c r="AJ120" i="26"/>
  <c r="AI119" i="26"/>
  <c r="AH70" i="26"/>
  <c r="AI72" i="26"/>
  <c r="Y90" i="28"/>
  <c r="Y23" i="26" s="1"/>
  <c r="Z72" i="28"/>
  <c r="X115" i="19"/>
  <c r="X116" i="19" s="1"/>
  <c r="AG180" i="26"/>
  <c r="AF179" i="26"/>
  <c r="AL31" i="11"/>
  <c r="AB202" i="19"/>
  <c r="AB179" i="19"/>
  <c r="AG236" i="26"/>
  <c r="AH237" i="26"/>
  <c r="AH79" i="26"/>
  <c r="AI81" i="26"/>
  <c r="AG8" i="16"/>
  <c r="AF4" i="16"/>
  <c r="AF3" i="16"/>
  <c r="L50" i="33"/>
  <c r="K50" i="33"/>
  <c r="AD13" i="26"/>
  <c r="AD26" i="26"/>
  <c r="W8" i="12"/>
  <c r="AG267" i="25"/>
  <c r="AG200" i="25"/>
  <c r="AG133" i="25"/>
  <c r="AG111" i="25"/>
  <c r="AG110" i="25" s="1"/>
  <c r="AG114" i="25" s="1"/>
  <c r="AG115" i="25" s="1"/>
  <c r="AH10" i="25"/>
  <c r="AG38" i="25"/>
  <c r="AG173" i="26"/>
  <c r="AF172" i="26"/>
  <c r="H101" i="25"/>
  <c r="C101" i="25" s="1"/>
  <c r="T34" i="23"/>
  <c r="X194" i="25"/>
  <c r="N194" i="25"/>
  <c r="Q194" i="25"/>
  <c r="W194" i="25"/>
  <c r="Y194" i="25"/>
  <c r="L194" i="25"/>
  <c r="AF194" i="25"/>
  <c r="O194" i="25"/>
  <c r="R194" i="25"/>
  <c r="Z194" i="25"/>
  <c r="AB194" i="25"/>
  <c r="AD194" i="25"/>
  <c r="V194" i="25"/>
  <c r="P194" i="25"/>
  <c r="S194" i="25"/>
  <c r="T194" i="25"/>
  <c r="AE194" i="25"/>
  <c r="AA194" i="25"/>
  <c r="U194" i="25"/>
  <c r="AC194" i="25"/>
  <c r="M194" i="25"/>
  <c r="AH72" i="12"/>
  <c r="AU56" i="18"/>
  <c r="AU57" i="18" s="1"/>
  <c r="AV5" i="18"/>
  <c r="AU35" i="18"/>
  <c r="AU3" i="18"/>
  <c r="U143" i="19"/>
  <c r="U146" i="19" s="1"/>
  <c r="T31" i="19"/>
  <c r="AH4" i="21"/>
  <c r="Y18" i="12"/>
  <c r="AU275" i="25"/>
  <c r="AF46" i="19"/>
  <c r="AH88" i="12"/>
  <c r="AI24" i="11"/>
  <c r="AE37" i="22"/>
  <c r="D196" i="25"/>
  <c r="G195" i="25"/>
  <c r="AG84" i="12"/>
  <c r="AG96" i="12" s="1"/>
  <c r="AF4" i="12"/>
  <c r="AE3" i="12"/>
  <c r="AE25" i="12"/>
  <c r="AF23" i="12" s="1"/>
  <c r="Q6" i="4"/>
  <c r="W318" i="26"/>
  <c r="W300" i="26"/>
  <c r="W292" i="26"/>
  <c r="W320" i="26"/>
  <c r="W321" i="26"/>
  <c r="AG77" i="19"/>
  <c r="AF80" i="19"/>
  <c r="AF81" i="19" s="1"/>
  <c r="AG78" i="19" s="1"/>
  <c r="AF96" i="12"/>
  <c r="W28" i="26"/>
  <c r="W25" i="26" s="1"/>
  <c r="W12" i="26" s="1"/>
  <c r="W56" i="26"/>
  <c r="W55" i="26"/>
  <c r="W53" i="26"/>
  <c r="AG125" i="26"/>
  <c r="AF81" i="23"/>
  <c r="AF70" i="12"/>
  <c r="AI88" i="26"/>
  <c r="W128" i="26"/>
  <c r="W124" i="26" s="1"/>
  <c r="W107" i="26" s="1"/>
  <c r="W105" i="26"/>
  <c r="W96" i="26" s="1"/>
  <c r="Z99" i="28"/>
  <c r="Z295" i="26" s="1"/>
  <c r="Z93" i="28"/>
  <c r="Z214" i="26" s="1"/>
  <c r="Z79" i="28"/>
  <c r="Z99" i="26" s="1"/>
  <c r="Z85" i="28"/>
  <c r="Z18" i="26" s="1"/>
  <c r="AA67" i="28"/>
  <c r="AH168" i="19"/>
  <c r="AI165" i="19" s="1"/>
  <c r="AH169" i="19"/>
  <c r="AJ60" i="26"/>
  <c r="AI59" i="26"/>
  <c r="AI58" i="26" s="1"/>
  <c r="AB72" i="22"/>
  <c r="AC71" i="22"/>
  <c r="G51" i="33"/>
  <c r="F51" i="33"/>
  <c r="U37" i="33" s="1"/>
  <c r="T32" i="33" s="1"/>
  <c r="D52" i="33"/>
  <c r="AF75" i="28"/>
  <c r="AE14" i="26"/>
  <c r="Z96" i="28"/>
  <c r="Z217" i="26" s="1"/>
  <c r="Z88" i="28"/>
  <c r="Z21" i="26" s="1"/>
  <c r="AA70" i="28"/>
  <c r="Z102" i="28"/>
  <c r="Z298" i="26" s="1"/>
  <c r="Z82" i="28"/>
  <c r="Z102" i="26" s="1"/>
  <c r="AF98" i="19"/>
  <c r="AH141" i="26"/>
  <c r="AI142" i="26"/>
  <c r="AD4" i="23"/>
  <c r="AE87" i="16"/>
  <c r="AF252" i="26"/>
  <c r="AF251" i="26" s="1"/>
  <c r="AG253" i="26"/>
  <c r="AE367" i="26"/>
  <c r="AF190" i="26"/>
  <c r="AE188" i="26"/>
  <c r="W244" i="26"/>
  <c r="W243" i="26"/>
  <c r="W241" i="26"/>
  <c r="W240" i="26" s="1"/>
  <c r="W219" i="26"/>
  <c r="AH147" i="26"/>
  <c r="AF366" i="26"/>
  <c r="AG197" i="26"/>
  <c r="AF323" i="26"/>
  <c r="AF322" i="26" s="1"/>
  <c r="AG324" i="26"/>
  <c r="AT22" i="13"/>
  <c r="AT20" i="13" s="1"/>
  <c r="AU23" i="13"/>
  <c r="X321" i="26"/>
  <c r="X320" i="26"/>
  <c r="X318" i="26"/>
  <c r="X300" i="26"/>
  <c r="X292" i="26" s="1"/>
  <c r="AF10" i="23"/>
  <c r="AE3" i="23"/>
  <c r="AB95" i="28"/>
  <c r="AB216" i="26" s="1"/>
  <c r="AB87" i="28"/>
  <c r="AB20" i="26" s="1"/>
  <c r="AC69" i="28"/>
  <c r="AB81" i="28"/>
  <c r="AB101" i="26" s="1"/>
  <c r="AB101" i="28"/>
  <c r="AB297" i="26" s="1"/>
  <c r="CK72" i="12"/>
  <c r="AD6" i="23"/>
  <c r="AH5" i="16"/>
  <c r="AE53" i="13"/>
  <c r="AE44" i="12"/>
  <c r="AF58" i="13"/>
  <c r="AE3" i="22"/>
  <c r="AF10" i="22"/>
  <c r="AE91" i="19"/>
  <c r="AG63" i="19"/>
  <c r="Z92" i="28"/>
  <c r="Z78" i="28"/>
  <c r="AA66" i="28"/>
  <c r="Z84" i="28"/>
  <c r="Z98" i="28"/>
  <c r="AH3" i="17"/>
  <c r="AE26" i="19"/>
  <c r="AF27" i="19"/>
  <c r="L102" i="25"/>
  <c r="AE102" i="25"/>
  <c r="AB102" i="25"/>
  <c r="W102" i="25"/>
  <c r="T102" i="25"/>
  <c r="O102" i="25"/>
  <c r="AA102" i="25"/>
  <c r="M102" i="25"/>
  <c r="AC102" i="25"/>
  <c r="AG102" i="25"/>
  <c r="N102" i="25"/>
  <c r="P102" i="25"/>
  <c r="AF102" i="25"/>
  <c r="V102" i="25"/>
  <c r="Q102" i="25"/>
  <c r="R102" i="25"/>
  <c r="AD102" i="25"/>
  <c r="Y102" i="25"/>
  <c r="U102" i="25"/>
  <c r="X102" i="25"/>
  <c r="Z102" i="25"/>
  <c r="S102" i="25"/>
  <c r="X77" i="28"/>
  <c r="AP3" i="13"/>
  <c r="AC351" i="20"/>
  <c r="O383" i="20"/>
  <c r="AD279" i="26"/>
  <c r="AD303" i="26"/>
  <c r="AD226" i="26"/>
  <c r="AD262" i="26"/>
  <c r="AD155" i="26"/>
  <c r="AD108" i="26"/>
  <c r="AD31" i="26"/>
  <c r="AE2" i="26"/>
  <c r="AE135" i="26" s="1"/>
  <c r="AF38" i="19"/>
  <c r="X97" i="28"/>
  <c r="AE59" i="12"/>
  <c r="AE10" i="11"/>
  <c r="AE3" i="11"/>
  <c r="AF8" i="11"/>
  <c r="AL288" i="26"/>
  <c r="AK287" i="26"/>
  <c r="BF27" i="37" l="1"/>
  <c r="BF31" i="37" s="1"/>
  <c r="BF32" i="37" s="1"/>
  <c r="BH129" i="37"/>
  <c r="BH120" i="37"/>
  <c r="AG50" i="19"/>
  <c r="P69" i="36"/>
  <c r="AI46" i="37"/>
  <c r="AG38" i="19"/>
  <c r="AH202" i="37"/>
  <c r="BG26" i="37"/>
  <c r="BG27" i="37" s="1"/>
  <c r="BG31" i="37" s="1"/>
  <c r="BG32" i="37" s="1"/>
  <c r="AH134" i="37"/>
  <c r="Q6" i="36"/>
  <c r="Q69" i="36" s="1"/>
  <c r="Q54" i="4"/>
  <c r="AD5" i="23"/>
  <c r="AB54" i="13"/>
  <c r="AB18" i="15"/>
  <c r="AB11" i="11"/>
  <c r="AF17" i="15"/>
  <c r="AG14" i="19"/>
  <c r="AF4" i="15"/>
  <c r="AE3" i="15"/>
  <c r="AG34" i="13"/>
  <c r="AG33" i="13" s="1"/>
  <c r="Y113" i="19"/>
  <c r="X23" i="19"/>
  <c r="AE36" i="12"/>
  <c r="AE35" i="12"/>
  <c r="AF33" i="12" s="1"/>
  <c r="AF35" i="12" s="1"/>
  <c r="D411" i="20"/>
  <c r="AD351" i="20"/>
  <c r="AA98" i="28"/>
  <c r="AB66" i="28"/>
  <c r="AA92" i="28"/>
  <c r="AA84" i="28"/>
  <c r="AA78" i="28"/>
  <c r="AF87" i="16"/>
  <c r="AE13" i="26"/>
  <c r="AE26" i="26"/>
  <c r="T33" i="33"/>
  <c r="AG4" i="12"/>
  <c r="AF3" i="12"/>
  <c r="AF25" i="12"/>
  <c r="AG23" i="12" s="1"/>
  <c r="R6" i="4"/>
  <c r="AW5" i="18"/>
  <c r="AV35" i="18"/>
  <c r="AV3" i="18"/>
  <c r="AD7" i="15"/>
  <c r="AP92" i="12"/>
  <c r="AF20" i="15"/>
  <c r="AF57" i="26"/>
  <c r="AG1" i="26"/>
  <c r="AI332" i="26"/>
  <c r="AH331" i="26"/>
  <c r="AG103" i="25"/>
  <c r="Q103" i="25"/>
  <c r="L103" i="25"/>
  <c r="AB103" i="25"/>
  <c r="Y103" i="25"/>
  <c r="T103" i="25"/>
  <c r="AD103" i="25"/>
  <c r="O103" i="25"/>
  <c r="R103" i="25"/>
  <c r="M103" i="25"/>
  <c r="AE103" i="25"/>
  <c r="Z103" i="25"/>
  <c r="AF103" i="25"/>
  <c r="X103" i="25"/>
  <c r="P103" i="25"/>
  <c r="U103" i="25"/>
  <c r="S103" i="25"/>
  <c r="N103" i="25"/>
  <c r="AC103" i="25"/>
  <c r="AA103" i="25"/>
  <c r="V103" i="25"/>
  <c r="W103" i="25"/>
  <c r="Y83" i="28"/>
  <c r="D53" i="33"/>
  <c r="F52" i="33"/>
  <c r="G52" i="33"/>
  <c r="AI3" i="17"/>
  <c r="Z98" i="26"/>
  <c r="Z97" i="26" s="1"/>
  <c r="AF91" i="19"/>
  <c r="AE94" i="12"/>
  <c r="AE78" i="12"/>
  <c r="AE90" i="12"/>
  <c r="AE82" i="12"/>
  <c r="AG75" i="28"/>
  <c r="AF14" i="26"/>
  <c r="T69" i="33"/>
  <c r="V69" i="33" s="1"/>
  <c r="K51" i="33"/>
  <c r="V61" i="33"/>
  <c r="T59" i="33"/>
  <c r="V59" i="33" s="1"/>
  <c r="L51" i="33"/>
  <c r="Y21" i="12"/>
  <c r="Y52" i="12" s="1"/>
  <c r="Y49" i="12"/>
  <c r="Y20" i="12"/>
  <c r="Y50" i="12" s="1"/>
  <c r="H194" i="25"/>
  <c r="C194" i="25" s="1"/>
  <c r="W38" i="12"/>
  <c r="W10" i="12"/>
  <c r="W40" i="12" s="1"/>
  <c r="AJ72" i="26"/>
  <c r="AI70" i="26"/>
  <c r="AH105" i="19"/>
  <c r="AH137" i="26"/>
  <c r="AG136" i="26"/>
  <c r="CL84" i="12"/>
  <c r="AG48" i="26"/>
  <c r="AH47" i="26"/>
  <c r="AG46" i="26"/>
  <c r="AH7" i="19"/>
  <c r="AG3" i="19"/>
  <c r="U34" i="23"/>
  <c r="AK17" i="25"/>
  <c r="AJ32" i="25"/>
  <c r="AC202" i="19"/>
  <c r="AC179" i="19"/>
  <c r="AG58" i="13"/>
  <c r="AE303" i="26"/>
  <c r="AE262" i="26"/>
  <c r="AE279" i="26"/>
  <c r="AE226" i="26"/>
  <c r="AE155" i="26"/>
  <c r="AE108" i="26"/>
  <c r="AF2" i="26"/>
  <c r="AE31" i="26"/>
  <c r="AQ3" i="13"/>
  <c r="H102" i="25"/>
  <c r="C102" i="25" s="1"/>
  <c r="AI147" i="26"/>
  <c r="AF10" i="11"/>
  <c r="AG17" i="15" s="1"/>
  <c r="AF3" i="11"/>
  <c r="AG8" i="11"/>
  <c r="X103" i="28"/>
  <c r="Z213" i="26"/>
  <c r="X317" i="26"/>
  <c r="X302" i="26" s="1"/>
  <c r="AG98" i="19"/>
  <c r="AK60" i="26"/>
  <c r="AJ59" i="26"/>
  <c r="AJ58" i="26" s="1"/>
  <c r="AH125" i="26"/>
  <c r="W317" i="26"/>
  <c r="W302" i="26" s="1"/>
  <c r="AJ24" i="11"/>
  <c r="AI4" i="21"/>
  <c r="AG179" i="26"/>
  <c r="AH180" i="26"/>
  <c r="AJ132" i="26"/>
  <c r="AI131" i="26"/>
  <c r="AG121" i="26"/>
  <c r="AH122" i="26"/>
  <c r="AF135" i="26"/>
  <c r="Y212" i="26"/>
  <c r="AO47" i="12"/>
  <c r="CM76" i="12"/>
  <c r="Y97" i="26"/>
  <c r="AI259" i="26"/>
  <c r="AH258" i="26"/>
  <c r="AF59" i="12"/>
  <c r="AA99" i="28"/>
  <c r="AA295" i="26" s="1"/>
  <c r="AA93" i="28"/>
  <c r="AA214" i="26" s="1"/>
  <c r="AA85" i="28"/>
  <c r="AA18" i="26" s="1"/>
  <c r="AA79" i="28"/>
  <c r="AA99" i="26" s="1"/>
  <c r="AB67" i="28"/>
  <c r="AI88" i="12"/>
  <c r="AH50" i="19"/>
  <c r="AH236" i="26"/>
  <c r="AI237" i="26"/>
  <c r="E247" i="20"/>
  <c r="AF199" i="20"/>
  <c r="Y77" i="28"/>
  <c r="Y103" i="28" s="1"/>
  <c r="AJ142" i="26"/>
  <c r="AI141" i="26"/>
  <c r="AH14" i="19"/>
  <c r="AG10" i="23"/>
  <c r="AF3" i="23"/>
  <c r="AD118" i="23"/>
  <c r="AG70" i="12"/>
  <c r="AI76" i="12"/>
  <c r="AG368" i="26"/>
  <c r="AH285" i="26"/>
  <c r="AH40" i="19"/>
  <c r="AE6" i="23"/>
  <c r="AE5" i="23" s="1"/>
  <c r="AI5" i="16"/>
  <c r="AF53" i="13"/>
  <c r="AF44" i="12"/>
  <c r="AH63" i="19"/>
  <c r="AG10" i="22"/>
  <c r="AF3" i="22"/>
  <c r="AH253" i="26"/>
  <c r="AG252" i="26"/>
  <c r="AG251" i="26" s="1"/>
  <c r="AI168" i="19"/>
  <c r="AJ165" i="19" s="1"/>
  <c r="AI169" i="19"/>
  <c r="AJ88" i="26"/>
  <c r="AG81" i="23"/>
  <c r="W52" i="26"/>
  <c r="W30" i="26" s="1"/>
  <c r="V143" i="19"/>
  <c r="V146" i="19" s="1"/>
  <c r="U31" i="19"/>
  <c r="AG172" i="26"/>
  <c r="AH173" i="26"/>
  <c r="AG4" i="16"/>
  <c r="AG3" i="16"/>
  <c r="AH8" i="16"/>
  <c r="AA72" i="28"/>
  <c r="Z90" i="28"/>
  <c r="Z23" i="26" s="1"/>
  <c r="AE126" i="19"/>
  <c r="Y293" i="26"/>
  <c r="AG55" i="22"/>
  <c r="AG18" i="19"/>
  <c r="K203" i="25"/>
  <c r="J204" i="25"/>
  <c r="AC31" i="12"/>
  <c r="AC30" i="12"/>
  <c r="AD28" i="12" s="1"/>
  <c r="H36" i="33"/>
  <c r="I36" i="33" s="1"/>
  <c r="J36" i="33" s="1"/>
  <c r="AH38" i="19"/>
  <c r="AU22" i="13"/>
  <c r="AU20" i="13" s="1"/>
  <c r="AV23" i="13"/>
  <c r="AA102" i="28"/>
  <c r="AA298" i="26" s="1"/>
  <c r="AA96" i="28"/>
  <c r="AA217" i="26" s="1"/>
  <c r="AA82" i="28"/>
  <c r="AA102" i="26" s="1"/>
  <c r="AA88" i="28"/>
  <c r="AA21" i="26" s="1"/>
  <c r="AB70" i="28"/>
  <c r="AC72" i="22"/>
  <c r="AD71" i="22"/>
  <c r="AD195" i="25"/>
  <c r="Y195" i="25"/>
  <c r="W195" i="25"/>
  <c r="AE195" i="25"/>
  <c r="N195" i="25"/>
  <c r="V195" i="25"/>
  <c r="O195" i="25"/>
  <c r="P195" i="25"/>
  <c r="T195" i="25"/>
  <c r="R195" i="25"/>
  <c r="Z195" i="25"/>
  <c r="X195" i="25"/>
  <c r="AA195" i="25"/>
  <c r="L195" i="25"/>
  <c r="AB195" i="25"/>
  <c r="Q195" i="25"/>
  <c r="S195" i="25"/>
  <c r="AG195" i="25"/>
  <c r="AF195" i="25"/>
  <c r="U195" i="25"/>
  <c r="M195" i="25"/>
  <c r="AC195" i="25"/>
  <c r="AI79" i="26"/>
  <c r="AJ81" i="26"/>
  <c r="AM31" i="11"/>
  <c r="AI184" i="26"/>
  <c r="AH183" i="26"/>
  <c r="AH182" i="26" s="1"/>
  <c r="AH83" i="26"/>
  <c r="AI84" i="26"/>
  <c r="AG90" i="26"/>
  <c r="AF87" i="26"/>
  <c r="AG93" i="16"/>
  <c r="AA89" i="28"/>
  <c r="AA22" i="26" s="1"/>
  <c r="AB71" i="28"/>
  <c r="AL75" i="26"/>
  <c r="AK74" i="26"/>
  <c r="AK73" i="26" s="1"/>
  <c r="AK76" i="26"/>
  <c r="AE16" i="12"/>
  <c r="AF13" i="12"/>
  <c r="Z83" i="28"/>
  <c r="Z17" i="26"/>
  <c r="Z16" i="26" s="1"/>
  <c r="AM288" i="26"/>
  <c r="AL287" i="26"/>
  <c r="AG27" i="19"/>
  <c r="AF26" i="19"/>
  <c r="AG366" i="26"/>
  <c r="AH197" i="26"/>
  <c r="Z294" i="26"/>
  <c r="CL72" i="12"/>
  <c r="AC101" i="28"/>
  <c r="AC297" i="26" s="1"/>
  <c r="AC81" i="28"/>
  <c r="AC101" i="26" s="1"/>
  <c r="AC95" i="28"/>
  <c r="AC216" i="26" s="1"/>
  <c r="AD69" i="28"/>
  <c r="AC87" i="28"/>
  <c r="AC20" i="26" s="1"/>
  <c r="AH324" i="26"/>
  <c r="AG323" i="26"/>
  <c r="AG322" i="26" s="1"/>
  <c r="AF367" i="26"/>
  <c r="AG190" i="26"/>
  <c r="AF188" i="26"/>
  <c r="AH84" i="12"/>
  <c r="G196" i="25"/>
  <c r="D197" i="25"/>
  <c r="AE62" i="16"/>
  <c r="AE25" i="16" s="1"/>
  <c r="AH200" i="25"/>
  <c r="AH267" i="25"/>
  <c r="AH133" i="25"/>
  <c r="AH111" i="25"/>
  <c r="AH110" i="25" s="1"/>
  <c r="AH114" i="25" s="1"/>
  <c r="AH115" i="25" s="1"/>
  <c r="AH38" i="25"/>
  <c r="AI10" i="25"/>
  <c r="AF313" i="26"/>
  <c r="AG314" i="26"/>
  <c r="AI80" i="12"/>
  <c r="AF30" i="22"/>
  <c r="AG23" i="22"/>
  <c r="AR108" i="16"/>
  <c r="AQ107" i="16"/>
  <c r="X28" i="26"/>
  <c r="X25" i="26" s="1"/>
  <c r="X55" i="26"/>
  <c r="X56" i="26"/>
  <c r="X53" i="26"/>
  <c r="X52" i="26" s="1"/>
  <c r="X30" i="26" s="1"/>
  <c r="AG15" i="11"/>
  <c r="AH16" i="11"/>
  <c r="AH77" i="19"/>
  <c r="AG80" i="19"/>
  <c r="AG81" i="19" s="1"/>
  <c r="AH78" i="19" s="1"/>
  <c r="AF37" i="22"/>
  <c r="AV275" i="25"/>
  <c r="AG46" i="19"/>
  <c r="AE12" i="23"/>
  <c r="AI72" i="12"/>
  <c r="AJ119" i="26"/>
  <c r="AK120" i="26"/>
  <c r="D324" i="20"/>
  <c r="AE270" i="20"/>
  <c r="AF58" i="22"/>
  <c r="AF61" i="22" s="1"/>
  <c r="AF73" i="22" s="1"/>
  <c r="AG57" i="22"/>
  <c r="Z100" i="28"/>
  <c r="Z296" i="26" s="1"/>
  <c r="Z94" i="28"/>
  <c r="Z215" i="26" s="1"/>
  <c r="Z80" i="28"/>
  <c r="Z100" i="26" s="1"/>
  <c r="Z86" i="28"/>
  <c r="Z19" i="26" s="1"/>
  <c r="AA68" i="28"/>
  <c r="D105" i="25"/>
  <c r="G104" i="25"/>
  <c r="AD149" i="19"/>
  <c r="AD172" i="19"/>
  <c r="AD157" i="19"/>
  <c r="AD142" i="19"/>
  <c r="AD188" i="19" s="1"/>
  <c r="AD195" i="19"/>
  <c r="AE112" i="19"/>
  <c r="AV274" i="25"/>
  <c r="AB38" i="22"/>
  <c r="AG45" i="19"/>
  <c r="Y16" i="26"/>
  <c r="W43" i="12" l="1"/>
  <c r="Q40" i="36"/>
  <c r="AJ46" i="37"/>
  <c r="BI120" i="37"/>
  <c r="BI129" i="37"/>
  <c r="BH26" i="37"/>
  <c r="BH27" i="37" s="1"/>
  <c r="BH31" i="37" s="1"/>
  <c r="BH32" i="37" s="1"/>
  <c r="AI134" i="37"/>
  <c r="AI202" i="37"/>
  <c r="R6" i="36"/>
  <c r="R54" i="4"/>
  <c r="AC54" i="13"/>
  <c r="AC18" i="15"/>
  <c r="AC11" i="11"/>
  <c r="X8" i="12"/>
  <c r="X38" i="12" s="1"/>
  <c r="AG4" i="15"/>
  <c r="AF3" i="15"/>
  <c r="AH34" i="13"/>
  <c r="AH33" i="13" s="1"/>
  <c r="AD31" i="12"/>
  <c r="AD30" i="12"/>
  <c r="AE28" i="12" s="1"/>
  <c r="H38" i="33"/>
  <c r="I38" i="33" s="1"/>
  <c r="J37" i="33"/>
  <c r="H37" i="33"/>
  <c r="I37" i="33" s="1"/>
  <c r="D198" i="25"/>
  <c r="G197" i="25"/>
  <c r="AM287" i="26"/>
  <c r="AN288" i="26"/>
  <c r="AA90" i="28"/>
  <c r="AA23" i="26" s="1"/>
  <c r="AB72" i="28"/>
  <c r="Y28" i="26"/>
  <c r="Y25" i="26" s="1"/>
  <c r="Y12" i="26" s="1"/>
  <c r="Y56" i="26"/>
  <c r="Y55" i="26"/>
  <c r="Y53" i="26"/>
  <c r="AI84" i="12"/>
  <c r="AD101" i="28"/>
  <c r="AD297" i="26" s="1"/>
  <c r="AD95" i="28"/>
  <c r="AD216" i="26" s="1"/>
  <c r="AD81" i="28"/>
  <c r="AD101" i="26" s="1"/>
  <c r="AD87" i="28"/>
  <c r="AD20" i="26" s="1"/>
  <c r="AE69" i="28"/>
  <c r="Z97" i="28"/>
  <c r="AB102" i="28"/>
  <c r="AB298" i="26" s="1"/>
  <c r="AB96" i="28"/>
  <c r="AB217" i="26" s="1"/>
  <c r="AC70" i="28"/>
  <c r="AB82" i="28"/>
  <c r="AB102" i="26" s="1"/>
  <c r="AB88" i="28"/>
  <c r="AB21" i="26" s="1"/>
  <c r="AH10" i="23"/>
  <c r="AG3" i="23"/>
  <c r="AW274" i="25"/>
  <c r="AC38" i="22"/>
  <c r="AH45" i="19"/>
  <c r="AA94" i="28"/>
  <c r="AA215" i="26" s="1"/>
  <c r="AA86" i="28"/>
  <c r="AA19" i="26" s="1"/>
  <c r="AA100" i="28"/>
  <c r="AA296" i="26" s="1"/>
  <c r="AB68" i="28"/>
  <c r="AA80" i="28"/>
  <c r="AA100" i="26" s="1"/>
  <c r="AH15" i="11"/>
  <c r="AI16" i="11"/>
  <c r="AF16" i="12"/>
  <c r="AH90" i="26"/>
  <c r="AG87" i="26"/>
  <c r="G105" i="25"/>
  <c r="J41" i="25"/>
  <c r="AG58" i="22"/>
  <c r="AG61" i="22" s="1"/>
  <c r="AG73" i="22" s="1"/>
  <c r="AH57" i="22"/>
  <c r="AW275" i="25"/>
  <c r="AH46" i="19"/>
  <c r="AS108" i="16"/>
  <c r="AR107" i="16"/>
  <c r="AI267" i="25"/>
  <c r="AI200" i="25"/>
  <c r="AI133" i="25"/>
  <c r="AI111" i="25"/>
  <c r="AI110" i="25" s="1"/>
  <c r="AI114" i="25" s="1"/>
  <c r="AI115" i="25" s="1"/>
  <c r="AI38" i="25"/>
  <c r="AJ10" i="25"/>
  <c r="AG367" i="26"/>
  <c r="AG188" i="26"/>
  <c r="AH190" i="26"/>
  <c r="AJ84" i="26"/>
  <c r="AI83" i="26"/>
  <c r="AH368" i="26"/>
  <c r="AI285" i="26"/>
  <c r="AH121" i="26"/>
  <c r="AI122" i="26"/>
  <c r="AH98" i="19"/>
  <c r="Z212" i="26"/>
  <c r="AF262" i="26"/>
  <c r="AF279" i="26"/>
  <c r="AF303" i="26"/>
  <c r="AF226" i="26"/>
  <c r="AF108" i="26"/>
  <c r="AF155" i="26"/>
  <c r="AG2" i="26"/>
  <c r="AF31" i="26"/>
  <c r="AI7" i="19"/>
  <c r="AH3" i="19"/>
  <c r="AG57" i="26"/>
  <c r="AH1" i="26"/>
  <c r="T34" i="33"/>
  <c r="AA83" i="28"/>
  <c r="AA17" i="26"/>
  <c r="AA16" i="26" s="1"/>
  <c r="AH18" i="19"/>
  <c r="AD196" i="25"/>
  <c r="N196" i="25"/>
  <c r="AG196" i="25"/>
  <c r="T196" i="25"/>
  <c r="X196" i="25"/>
  <c r="S196" i="25"/>
  <c r="Q196" i="25"/>
  <c r="Z196" i="25"/>
  <c r="AE196" i="25"/>
  <c r="AB196" i="25"/>
  <c r="O196" i="25"/>
  <c r="R196" i="25"/>
  <c r="Y196" i="25"/>
  <c r="AF196" i="25"/>
  <c r="W196" i="25"/>
  <c r="V196" i="25"/>
  <c r="L196" i="25"/>
  <c r="AA196" i="25"/>
  <c r="P196" i="25"/>
  <c r="U196" i="25"/>
  <c r="AC196" i="25"/>
  <c r="M196" i="25"/>
  <c r="Y300" i="26"/>
  <c r="Y292" i="26" s="1"/>
  <c r="Y318" i="26"/>
  <c r="Y317" i="26" s="1"/>
  <c r="Y302" i="26" s="1"/>
  <c r="Y320" i="26"/>
  <c r="Y321" i="26"/>
  <c r="AE149" i="19"/>
  <c r="AE172" i="19"/>
  <c r="AE157" i="19"/>
  <c r="AE142" i="19"/>
  <c r="AE188" i="19" s="1"/>
  <c r="AE195" i="19"/>
  <c r="AF112" i="19"/>
  <c r="CM72" i="12"/>
  <c r="AH93" i="16"/>
  <c r="AF126" i="19"/>
  <c r="AH81" i="23"/>
  <c r="AH10" i="22"/>
  <c r="AG3" i="22"/>
  <c r="AF94" i="12"/>
  <c r="AF90" i="12"/>
  <c r="AF82" i="12"/>
  <c r="AF78" i="12"/>
  <c r="AJ88" i="12"/>
  <c r="AK59" i="26"/>
  <c r="AK58" i="26" s="1"/>
  <c r="AL60" i="26"/>
  <c r="Z91" i="28"/>
  <c r="AF6" i="23"/>
  <c r="AF5" i="23" s="1"/>
  <c r="AJ5" i="16"/>
  <c r="AG53" i="13"/>
  <c r="AG44" i="12"/>
  <c r="AH58" i="13"/>
  <c r="AG135" i="26"/>
  <c r="AF13" i="26"/>
  <c r="AF26" i="26"/>
  <c r="AJ332" i="26"/>
  <c r="AI331" i="26"/>
  <c r="AG20" i="15"/>
  <c r="AF12" i="23"/>
  <c r="AA213" i="26"/>
  <c r="AA212" i="26" s="1"/>
  <c r="AV22" i="13"/>
  <c r="AV20" i="13" s="1"/>
  <c r="AW23" i="13"/>
  <c r="AJ169" i="19"/>
  <c r="AJ168" i="19"/>
  <c r="AK165" i="19" s="1"/>
  <c r="AP47" i="12"/>
  <c r="AJ147" i="26"/>
  <c r="AL17" i="25"/>
  <c r="AK32" i="25"/>
  <c r="CM84" i="12"/>
  <c r="AI137" i="26"/>
  <c r="AH136" i="26"/>
  <c r="AH75" i="28"/>
  <c r="AG14" i="26"/>
  <c r="AG91" i="19"/>
  <c r="AQ92" i="12"/>
  <c r="AX5" i="18"/>
  <c r="AW35" i="18"/>
  <c r="AW3" i="18"/>
  <c r="AH4" i="12"/>
  <c r="AG3" i="12"/>
  <c r="AG25" i="12"/>
  <c r="AH23" i="12" s="1"/>
  <c r="S6" i="4"/>
  <c r="AB98" i="28"/>
  <c r="AB92" i="28"/>
  <c r="AB78" i="28"/>
  <c r="AB84" i="28"/>
  <c r="AC66" i="28"/>
  <c r="AL120" i="26"/>
  <c r="AK119" i="26"/>
  <c r="F247" i="20"/>
  <c r="AG199" i="20"/>
  <c r="AD202" i="19"/>
  <c r="AD179" i="19"/>
  <c r="AA97" i="28"/>
  <c r="AA294" i="26"/>
  <c r="AA293" i="26" s="1"/>
  <c r="AJ80" i="12"/>
  <c r="AH323" i="26"/>
  <c r="AH322" i="26" s="1"/>
  <c r="AI324" i="26"/>
  <c r="AI183" i="26"/>
  <c r="AI182" i="26" s="1"/>
  <c r="AJ184" i="26"/>
  <c r="AI63" i="19"/>
  <c r="H195" i="25"/>
  <c r="C195" i="25" s="1"/>
  <c r="AH70" i="12"/>
  <c r="Y219" i="26"/>
  <c r="Y243" i="26"/>
  <c r="Y241" i="26"/>
  <c r="Y244" i="26"/>
  <c r="AI105" i="19"/>
  <c r="Z128" i="26"/>
  <c r="Z124" i="26" s="1"/>
  <c r="Z107" i="26" s="1"/>
  <c r="Z105" i="26"/>
  <c r="Z96" i="26"/>
  <c r="L52" i="33"/>
  <c r="K52" i="33"/>
  <c r="AE351" i="20"/>
  <c r="E411" i="20"/>
  <c r="AL76" i="26"/>
  <c r="AM75" i="26"/>
  <c r="AL74" i="26"/>
  <c r="AL73" i="26" s="1"/>
  <c r="AJ259" i="26"/>
  <c r="AI258" i="26"/>
  <c r="AI253" i="26"/>
  <c r="AH252" i="26"/>
  <c r="AH251" i="26" s="1"/>
  <c r="AH314" i="26"/>
  <c r="AG313" i="26"/>
  <c r="AK88" i="26"/>
  <c r="AI125" i="26"/>
  <c r="AR3" i="13"/>
  <c r="AI47" i="26"/>
  <c r="AH48" i="26"/>
  <c r="AH46" i="26"/>
  <c r="Y51" i="12"/>
  <c r="Z77" i="28"/>
  <c r="Z103" i="28" s="1"/>
  <c r="AJ3" i="17"/>
  <c r="H103" i="25"/>
  <c r="C103" i="25" s="1"/>
  <c r="AF15" i="12"/>
  <c r="AG13" i="12" s="1"/>
  <c r="AG87" i="16"/>
  <c r="AG37" i="22"/>
  <c r="AI96" i="12"/>
  <c r="AJ72" i="12"/>
  <c r="AI77" i="19"/>
  <c r="AH80" i="19"/>
  <c r="AH81" i="19" s="1"/>
  <c r="AI78" i="19" s="1"/>
  <c r="AE71" i="22"/>
  <c r="AD72" i="22"/>
  <c r="V31" i="19"/>
  <c r="W143" i="19"/>
  <c r="W146" i="19" s="1"/>
  <c r="AI180" i="26"/>
  <c r="AH179" i="26"/>
  <c r="AJ76" i="12"/>
  <c r="Y105" i="26"/>
  <c r="Y96" i="26" s="1"/>
  <c r="Y128" i="26"/>
  <c r="Y124" i="26" s="1"/>
  <c r="Y107" i="26" s="1"/>
  <c r="CN76" i="12"/>
  <c r="AK72" i="26"/>
  <c r="AJ70" i="26"/>
  <c r="Z18" i="12"/>
  <c r="G53" i="33"/>
  <c r="D54" i="33"/>
  <c r="F53" i="33"/>
  <c r="Y115" i="19"/>
  <c r="Y116" i="19" s="1"/>
  <c r="E324" i="20"/>
  <c r="AF270" i="20"/>
  <c r="AK142" i="26"/>
  <c r="AJ141" i="26"/>
  <c r="Z28" i="26"/>
  <c r="Z25" i="26" s="1"/>
  <c r="Z56" i="26"/>
  <c r="Z55" i="26"/>
  <c r="Z53" i="26"/>
  <c r="Z293" i="26"/>
  <c r="AH366" i="26"/>
  <c r="AI197" i="26"/>
  <c r="AB79" i="28"/>
  <c r="AB99" i="26" s="1"/>
  <c r="AB99" i="28"/>
  <c r="AB295" i="26" s="1"/>
  <c r="AB85" i="28"/>
  <c r="AB18" i="26" s="1"/>
  <c r="AC67" i="28"/>
  <c r="AB93" i="28"/>
  <c r="AB214" i="26" s="1"/>
  <c r="AH96" i="12"/>
  <c r="X12" i="26"/>
  <c r="AH4" i="16"/>
  <c r="AH3" i="16"/>
  <c r="AI8" i="16"/>
  <c r="AB89" i="28"/>
  <c r="AB22" i="26" s="1"/>
  <c r="AC71" i="28"/>
  <c r="AN31" i="11"/>
  <c r="AH23" i="22"/>
  <c r="AG30" i="22"/>
  <c r="AG26" i="19"/>
  <c r="AH27" i="19"/>
  <c r="AK81" i="26"/>
  <c r="AJ79" i="26"/>
  <c r="L203" i="25"/>
  <c r="K204" i="25"/>
  <c r="AH55" i="22"/>
  <c r="AH172" i="26"/>
  <c r="AI173" i="26"/>
  <c r="AI236" i="26"/>
  <c r="AJ237" i="26"/>
  <c r="AG59" i="12"/>
  <c r="AK132" i="26"/>
  <c r="AJ131" i="26"/>
  <c r="AJ4" i="21"/>
  <c r="AK24" i="11"/>
  <c r="AE7" i="15"/>
  <c r="AG10" i="11"/>
  <c r="AG3" i="11"/>
  <c r="AH8" i="11"/>
  <c r="AL41" i="18"/>
  <c r="AA77" i="28"/>
  <c r="AA98" i="26"/>
  <c r="AA97" i="26" s="1"/>
  <c r="AF36" i="12"/>
  <c r="AG33" i="12"/>
  <c r="BI26" i="37" l="1"/>
  <c r="AK46" i="37"/>
  <c r="AJ202" i="37"/>
  <c r="BJ129" i="37"/>
  <c r="BJ120" i="37"/>
  <c r="AJ134" i="37"/>
  <c r="R40" i="36"/>
  <c r="R69" i="36"/>
  <c r="S6" i="36"/>
  <c r="S69" i="36" s="1"/>
  <c r="S54" i="4"/>
  <c r="X10" i="12"/>
  <c r="X40" i="12" s="1"/>
  <c r="AM41" i="18" s="1"/>
  <c r="AD18" i="15"/>
  <c r="AD54" i="13"/>
  <c r="AD11" i="11"/>
  <c r="AI50" i="19"/>
  <c r="AH17" i="15"/>
  <c r="AI40" i="19"/>
  <c r="AH4" i="15"/>
  <c r="AG3" i="15"/>
  <c r="AI34" i="13"/>
  <c r="AI33" i="13" s="1"/>
  <c r="AE31" i="12"/>
  <c r="AE30" i="12"/>
  <c r="AF28" i="12" s="1"/>
  <c r="AG16" i="12"/>
  <c r="AG15" i="12"/>
  <c r="AH13" i="12" s="1"/>
  <c r="AH15" i="12" s="1"/>
  <c r="AH59" i="12"/>
  <c r="AK79" i="26"/>
  <c r="AL81" i="26"/>
  <c r="AJ180" i="26"/>
  <c r="AI179" i="26"/>
  <c r="AK72" i="12"/>
  <c r="AJ258" i="26"/>
  <c r="AK259" i="26"/>
  <c r="AB98" i="26"/>
  <c r="AG62" i="16"/>
  <c r="AG25" i="16" s="1"/>
  <c r="AK147" i="26"/>
  <c r="AK88" i="12"/>
  <c r="AI10" i="22"/>
  <c r="AH3" i="22"/>
  <c r="AX275" i="25"/>
  <c r="AI46" i="19"/>
  <c r="AI90" i="26"/>
  <c r="AH87" i="26"/>
  <c r="F54" i="33"/>
  <c r="D55" i="33"/>
  <c r="G54" i="33"/>
  <c r="Z21" i="12"/>
  <c r="Z52" i="12" s="1"/>
  <c r="Z49" i="12"/>
  <c r="Z20" i="12"/>
  <c r="Z50" i="12" s="1"/>
  <c r="AK76" i="12"/>
  <c r="AF351" i="20"/>
  <c r="F411" i="20"/>
  <c r="Y240" i="26"/>
  <c r="AJ183" i="26"/>
  <c r="AJ182" i="26" s="1"/>
  <c r="AK184" i="26"/>
  <c r="AL119" i="26"/>
  <c r="AM120" i="26"/>
  <c r="AB213" i="26"/>
  <c r="AG12" i="23"/>
  <c r="AG26" i="26"/>
  <c r="AG13" i="26"/>
  <c r="AG94" i="12"/>
  <c r="AG82" i="12"/>
  <c r="AG78" i="12"/>
  <c r="AG90" i="12"/>
  <c r="AG126" i="19"/>
  <c r="CN72" i="12"/>
  <c r="AF149" i="19"/>
  <c r="AF172" i="19"/>
  <c r="AF157" i="19"/>
  <c r="AF142" i="19"/>
  <c r="AF188" i="19" s="1"/>
  <c r="AF195" i="19"/>
  <c r="AG112" i="19"/>
  <c r="AJ7" i="19"/>
  <c r="AI3" i="19"/>
  <c r="AI98" i="19"/>
  <c r="AE101" i="28"/>
  <c r="AE297" i="26" s="1"/>
  <c r="AE87" i="28"/>
  <c r="AE20" i="26" s="1"/>
  <c r="AE95" i="28"/>
  <c r="AE216" i="26" s="1"/>
  <c r="AF69" i="28"/>
  <c r="AE81" i="28"/>
  <c r="AE101" i="26" s="1"/>
  <c r="Y52" i="26"/>
  <c r="Y30" i="26" s="1"/>
  <c r="AG36" i="12"/>
  <c r="AG6" i="23"/>
  <c r="AK5" i="16"/>
  <c r="AH53" i="13"/>
  <c r="AH44" i="12"/>
  <c r="AL24" i="11"/>
  <c r="Z318" i="26"/>
  <c r="Z317" i="26" s="1"/>
  <c r="Z302" i="26" s="1"/>
  <c r="Z320" i="26"/>
  <c r="Z321" i="26"/>
  <c r="Z292" i="26"/>
  <c r="Z300" i="26"/>
  <c r="V34" i="23"/>
  <c r="U655" i="20" s="1"/>
  <c r="AK131" i="26"/>
  <c r="AL132" i="26"/>
  <c r="AJ173" i="26"/>
  <c r="AI172" i="26"/>
  <c r="AI55" i="22"/>
  <c r="Z12" i="26"/>
  <c r="F324" i="20"/>
  <c r="AG270" i="20"/>
  <c r="V66" i="33"/>
  <c r="T74" i="33"/>
  <c r="V74" i="33" s="1"/>
  <c r="X143" i="19"/>
  <c r="X146" i="19" s="1"/>
  <c r="W31" i="19"/>
  <c r="AJ47" i="26"/>
  <c r="AI46" i="26"/>
  <c r="AI48" i="26"/>
  <c r="AJ125" i="26"/>
  <c r="AI252" i="26"/>
  <c r="AI251" i="26" s="1"/>
  <c r="AJ253" i="26"/>
  <c r="AM76" i="26"/>
  <c r="AM74" i="26" s="1"/>
  <c r="AM73" i="26" s="1"/>
  <c r="AN75" i="26"/>
  <c r="AI70" i="12"/>
  <c r="AB294" i="26"/>
  <c r="AB293" i="26" s="1"/>
  <c r="AY5" i="18"/>
  <c r="AX35" i="18"/>
  <c r="AX3" i="18"/>
  <c r="AI75" i="28"/>
  <c r="AH14" i="26"/>
  <c r="AL59" i="26"/>
  <c r="AL58" i="26" s="1"/>
  <c r="AM60" i="26"/>
  <c r="H196" i="25"/>
  <c r="C196" i="25" s="1"/>
  <c r="AA28" i="26"/>
  <c r="AA25" i="26" s="1"/>
  <c r="AA56" i="26"/>
  <c r="AA55" i="26"/>
  <c r="AA53" i="26"/>
  <c r="AA12" i="26"/>
  <c r="AI14" i="19"/>
  <c r="AH367" i="26"/>
  <c r="AH188" i="26"/>
  <c r="AI190" i="26"/>
  <c r="AI57" i="22"/>
  <c r="AH58" i="22"/>
  <c r="AH61" i="22" s="1"/>
  <c r="AH73" i="22" s="1"/>
  <c r="AX274" i="25"/>
  <c r="AD38" i="22"/>
  <c r="AI45" i="19"/>
  <c r="AB90" i="28"/>
  <c r="AB23" i="26" s="1"/>
  <c r="AC72" i="28"/>
  <c r="J38" i="33"/>
  <c r="AI27" i="19"/>
  <c r="AH26" i="19"/>
  <c r="AC99" i="28"/>
  <c r="AC295" i="26" s="1"/>
  <c r="AC93" i="28"/>
  <c r="AC214" i="26" s="1"/>
  <c r="AC85" i="28"/>
  <c r="AC18" i="26" s="1"/>
  <c r="AD67" i="28"/>
  <c r="AC79" i="28"/>
  <c r="AC99" i="26" s="1"/>
  <c r="Z52" i="26"/>
  <c r="Z30" i="26" s="1"/>
  <c r="AL72" i="26"/>
  <c r="AK70" i="26"/>
  <c r="CO76" i="12"/>
  <c r="AH37" i="22"/>
  <c r="AH87" i="16"/>
  <c r="AK3" i="17"/>
  <c r="AL88" i="26"/>
  <c r="AJ324" i="26"/>
  <c r="AI323" i="26"/>
  <c r="AI322" i="26" s="1"/>
  <c r="AH199" i="20"/>
  <c r="G247" i="20"/>
  <c r="AI4" i="12"/>
  <c r="AH3" i="12"/>
  <c r="AH25" i="12"/>
  <c r="AI23" i="12" s="1"/>
  <c r="T6" i="4"/>
  <c r="AK169" i="19"/>
  <c r="AK168" i="19"/>
  <c r="AL165" i="19" s="1"/>
  <c r="AI81" i="23"/>
  <c r="AE202" i="19"/>
  <c r="AE179" i="19"/>
  <c r="AK141" i="26"/>
  <c r="AL142" i="26"/>
  <c r="AR92" i="12"/>
  <c r="AH135" i="26"/>
  <c r="AI18" i="19"/>
  <c r="AI1" i="26"/>
  <c r="AH57" i="26"/>
  <c r="AJ122" i="26"/>
  <c r="AI121" i="26"/>
  <c r="AO288" i="26"/>
  <c r="AN287" i="26"/>
  <c r="AG35" i="12"/>
  <c r="AH33" i="12" s="1"/>
  <c r="AH35" i="12" s="1"/>
  <c r="AQ47" i="12"/>
  <c r="AA244" i="26"/>
  <c r="AA243" i="26"/>
  <c r="AA241" i="26"/>
  <c r="AA219" i="26"/>
  <c r="AH20" i="15"/>
  <c r="AA128" i="26"/>
  <c r="AA124" i="26" s="1"/>
  <c r="AA107" i="26" s="1"/>
  <c r="AA105" i="26"/>
  <c r="AA96" i="26" s="1"/>
  <c r="AO31" i="11"/>
  <c r="AF7" i="15"/>
  <c r="AF71" i="22"/>
  <c r="AE72" i="22"/>
  <c r="AJ105" i="19"/>
  <c r="AA292" i="26"/>
  <c r="AA320" i="26"/>
  <c r="AA321" i="26"/>
  <c r="AA300" i="26"/>
  <c r="AA318" i="26"/>
  <c r="AI136" i="26"/>
  <c r="AJ137" i="26"/>
  <c r="AX23" i="13"/>
  <c r="AW22" i="13"/>
  <c r="AW20" i="13" s="1"/>
  <c r="AA91" i="28"/>
  <c r="AI93" i="16"/>
  <c r="AI38" i="19"/>
  <c r="AJ267" i="25"/>
  <c r="AJ200" i="25"/>
  <c r="AJ133" i="25"/>
  <c r="AJ111" i="25"/>
  <c r="AJ110" i="25" s="1"/>
  <c r="AJ114" i="25" s="1"/>
  <c r="AJ115" i="25" s="1"/>
  <c r="AJ38" i="25"/>
  <c r="AK10" i="25"/>
  <c r="K41" i="25"/>
  <c r="J42" i="25"/>
  <c r="AB94" i="28"/>
  <c r="AB215" i="26" s="1"/>
  <c r="AB80" i="28"/>
  <c r="AB100" i="26" s="1"/>
  <c r="AB100" i="28"/>
  <c r="AB296" i="26" s="1"/>
  <c r="AC68" i="28"/>
  <c r="AB86" i="28"/>
  <c r="AB19" i="26" s="1"/>
  <c r="AC102" i="28"/>
  <c r="AC298" i="26" s="1"/>
  <c r="AC88" i="28"/>
  <c r="AC21" i="26" s="1"/>
  <c r="AC82" i="28"/>
  <c r="AC102" i="26" s="1"/>
  <c r="AC96" i="28"/>
  <c r="AC217" i="26" s="1"/>
  <c r="AD70" i="28"/>
  <c r="AH10" i="11"/>
  <c r="AI17" i="15" s="1"/>
  <c r="AH3" i="11"/>
  <c r="AI8" i="11"/>
  <c r="AK4" i="21"/>
  <c r="AK237" i="26"/>
  <c r="AJ236" i="26"/>
  <c r="M203" i="25"/>
  <c r="L204" i="25"/>
  <c r="AC89" i="28"/>
  <c r="AC22" i="26" s="1"/>
  <c r="AD71" i="28"/>
  <c r="Z113" i="19"/>
  <c r="Y23" i="19"/>
  <c r="AI314" i="26"/>
  <c r="AH313" i="26"/>
  <c r="AK80" i="12"/>
  <c r="AC98" i="28"/>
  <c r="AC92" i="28"/>
  <c r="AC84" i="28"/>
  <c r="AC78" i="28"/>
  <c r="AD66" i="28"/>
  <c r="CN84" i="12"/>
  <c r="AJ331" i="26"/>
  <c r="AK332" i="26"/>
  <c r="Z244" i="26"/>
  <c r="Z243" i="26"/>
  <c r="Z241" i="26"/>
  <c r="Z219" i="26"/>
  <c r="AT108" i="16"/>
  <c r="AS107" i="16"/>
  <c r="AI15" i="11"/>
  <c r="AJ16" i="11"/>
  <c r="AI10" i="23"/>
  <c r="AH3" i="23"/>
  <c r="AJ84" i="12"/>
  <c r="AI4" i="16"/>
  <c r="AI3" i="16"/>
  <c r="AJ8" i="16"/>
  <c r="AA103" i="28"/>
  <c r="AI23" i="22"/>
  <c r="AH30" i="22"/>
  <c r="AI366" i="26"/>
  <c r="AJ197" i="26"/>
  <c r="AI80" i="19"/>
  <c r="AI81" i="19" s="1"/>
  <c r="AJ78" i="19" s="1"/>
  <c r="AJ77" i="19"/>
  <c r="AS3" i="13"/>
  <c r="AJ63" i="19"/>
  <c r="AB17" i="26"/>
  <c r="AH91" i="19"/>
  <c r="AL32" i="25"/>
  <c r="AM17" i="25"/>
  <c r="AI58" i="13"/>
  <c r="AG303" i="26"/>
  <c r="AG279" i="26"/>
  <c r="AG262" i="26"/>
  <c r="AG226" i="26"/>
  <c r="AG108" i="26"/>
  <c r="AG155" i="26"/>
  <c r="AH2" i="26"/>
  <c r="AG31" i="26"/>
  <c r="AI368" i="26"/>
  <c r="AJ285" i="26"/>
  <c r="AK84" i="26"/>
  <c r="AJ83" i="26"/>
  <c r="G198" i="25"/>
  <c r="J136" i="25"/>
  <c r="BI27" i="37" l="1"/>
  <c r="BI31" i="37" s="1"/>
  <c r="BI32" i="37" s="1"/>
  <c r="V24" i="25"/>
  <c r="S40" i="36"/>
  <c r="X43" i="12"/>
  <c r="AE11" i="11"/>
  <c r="AK202" i="37"/>
  <c r="BK129" i="37"/>
  <c r="BK120" i="37"/>
  <c r="AL46" i="37"/>
  <c r="AJ38" i="19"/>
  <c r="BJ26" i="37"/>
  <c r="AK134" i="37"/>
  <c r="T6" i="36"/>
  <c r="T40" i="36" s="1"/>
  <c r="T54" i="4"/>
  <c r="AG5" i="23"/>
  <c r="Y8" i="12"/>
  <c r="AJ40" i="19"/>
  <c r="AF11" i="11"/>
  <c r="AF54" i="13"/>
  <c r="AF18" i="15"/>
  <c r="AE54" i="13"/>
  <c r="AE18" i="15"/>
  <c r="AI4" i="15"/>
  <c r="AH3" i="15"/>
  <c r="Z51" i="12"/>
  <c r="AJ34" i="13"/>
  <c r="AJ33" i="13" s="1"/>
  <c r="AF31" i="12"/>
  <c r="AF30" i="12"/>
  <c r="AG28" i="12" s="1"/>
  <c r="AJ23" i="22"/>
  <c r="AI30" i="22"/>
  <c r="AK267" i="25"/>
  <c r="AK200" i="25"/>
  <c r="AK133" i="25"/>
  <c r="AK111" i="25"/>
  <c r="AK110" i="25" s="1"/>
  <c r="AK114" i="25" s="1"/>
  <c r="AK115" i="25" s="1"/>
  <c r="AL10" i="25"/>
  <c r="AK38" i="25"/>
  <c r="AC17" i="26"/>
  <c r="AL4" i="21"/>
  <c r="AX22" i="13"/>
  <c r="AX20" i="13" s="1"/>
  <c r="AY23" i="13"/>
  <c r="AF72" i="22"/>
  <c r="AG71" i="22"/>
  <c r="AI20" i="15"/>
  <c r="AG7" i="15"/>
  <c r="AH26" i="26"/>
  <c r="AH13" i="26"/>
  <c r="AH12" i="23"/>
  <c r="AB320" i="26"/>
  <c r="AB321" i="26"/>
  <c r="AB300" i="26"/>
  <c r="AB292" i="26" s="1"/>
  <c r="AB318" i="26"/>
  <c r="AB317" i="26" s="1"/>
  <c r="AB302" i="26" s="1"/>
  <c r="AO75" i="26"/>
  <c r="AN76" i="26"/>
  <c r="AN74" i="26" s="1"/>
  <c r="AN73" i="26" s="1"/>
  <c r="AJ48" i="26"/>
  <c r="AJ46" i="26"/>
  <c r="AK47" i="26"/>
  <c r="AM24" i="11"/>
  <c r="AL184" i="26"/>
  <c r="AK183" i="26"/>
  <c r="AK182" i="26" s="1"/>
  <c r="K53" i="33"/>
  <c r="L53" i="33"/>
  <c r="AH16" i="12"/>
  <c r="AI13" i="12"/>
  <c r="AI15" i="12" s="1"/>
  <c r="AJ58" i="13"/>
  <c r="AJ366" i="26"/>
  <c r="AK197" i="26"/>
  <c r="AC213" i="26"/>
  <c r="AL80" i="12"/>
  <c r="Z115" i="19"/>
  <c r="Z116" i="19" s="1"/>
  <c r="N203" i="25"/>
  <c r="M204" i="25"/>
  <c r="AD96" i="28"/>
  <c r="AD217" i="26" s="1"/>
  <c r="AD82" i="28"/>
  <c r="AD102" i="26" s="1"/>
  <c r="AD102" i="28"/>
  <c r="AD298" i="26" s="1"/>
  <c r="AD88" i="28"/>
  <c r="AD21" i="26" s="1"/>
  <c r="AE70" i="28"/>
  <c r="AJ93" i="16"/>
  <c r="AA317" i="26"/>
  <c r="AA302" i="26" s="1"/>
  <c r="AK105" i="19"/>
  <c r="AP288" i="26"/>
  <c r="AO287" i="26"/>
  <c r="AM72" i="26"/>
  <c r="AL70" i="26"/>
  <c r="J39" i="33"/>
  <c r="H39" i="33"/>
  <c r="I39" i="33" s="1"/>
  <c r="AJ75" i="28"/>
  <c r="AI14" i="26"/>
  <c r="AY35" i="18"/>
  <c r="AY56" i="18"/>
  <c r="AY57" i="18" s="1"/>
  <c r="AZ5" i="18"/>
  <c r="AY3" i="18"/>
  <c r="AB97" i="28"/>
  <c r="AH94" i="12"/>
  <c r="AH90" i="12"/>
  <c r="AH82" i="12"/>
  <c r="AH78" i="12"/>
  <c r="AH36" i="12"/>
  <c r="AI33" i="12"/>
  <c r="AI35" i="12" s="1"/>
  <c r="AG172" i="19"/>
  <c r="AG157" i="19"/>
  <c r="AG142" i="19"/>
  <c r="AG188" i="19" s="1"/>
  <c r="AG195" i="19"/>
  <c r="AH112" i="19"/>
  <c r="AG149" i="19"/>
  <c r="F55" i="33"/>
  <c r="D56" i="33"/>
  <c r="G55" i="33"/>
  <c r="AJ10" i="22"/>
  <c r="AI3" i="22"/>
  <c r="AK84" i="12"/>
  <c r="AL237" i="26"/>
  <c r="AK236" i="26"/>
  <c r="AM32" i="25"/>
  <c r="AN17" i="25"/>
  <c r="AB16" i="26"/>
  <c r="K136" i="25"/>
  <c r="J137" i="25"/>
  <c r="AJ368" i="26"/>
  <c r="AK285" i="26"/>
  <c r="AB83" i="28"/>
  <c r="AJ15" i="11"/>
  <c r="AK16" i="11"/>
  <c r="AC294" i="26"/>
  <c r="L41" i="25"/>
  <c r="K42" i="25"/>
  <c r="AM88" i="26"/>
  <c r="AD72" i="28"/>
  <c r="AC90" i="28"/>
  <c r="AC23" i="26" s="1"/>
  <c r="AK253" i="26"/>
  <c r="AJ252" i="26"/>
  <c r="AJ251" i="26" s="1"/>
  <c r="AJ55" i="22"/>
  <c r="AB97" i="26"/>
  <c r="AL84" i="26"/>
  <c r="AK83" i="26"/>
  <c r="AT3" i="13"/>
  <c r="AU108" i="16"/>
  <c r="AT107" i="16"/>
  <c r="AA240" i="26"/>
  <c r="AJ27" i="19"/>
  <c r="AI26" i="19"/>
  <c r="AI58" i="22"/>
  <c r="AI61" i="22" s="1"/>
  <c r="AI73" i="22" s="1"/>
  <c r="AJ57" i="22"/>
  <c r="AK77" i="19"/>
  <c r="AJ80" i="19"/>
  <c r="AJ81" i="19" s="1"/>
  <c r="AK78" i="19" s="1"/>
  <c r="Z240" i="26"/>
  <c r="AJ314" i="26"/>
  <c r="AI313" i="26"/>
  <c r="AK137" i="26"/>
  <c r="AJ136" i="26"/>
  <c r="AP31" i="11"/>
  <c r="AL141" i="26"/>
  <c r="AM142" i="26"/>
  <c r="AJ4" i="12"/>
  <c r="AI3" i="12"/>
  <c r="AI25" i="12"/>
  <c r="AJ23" i="12" s="1"/>
  <c r="U6" i="4"/>
  <c r="AL3" i="17"/>
  <c r="AI87" i="16"/>
  <c r="AI367" i="26"/>
  <c r="AJ190" i="26"/>
  <c r="AI188" i="26"/>
  <c r="AF202" i="19"/>
  <c r="AF179" i="19"/>
  <c r="AB77" i="28"/>
  <c r="AK96" i="12"/>
  <c r="AL72" i="12"/>
  <c r="AI59" i="12"/>
  <c r="H247" i="20"/>
  <c r="AI199" i="20"/>
  <c r="AK125" i="26"/>
  <c r="G324" i="20"/>
  <c r="AH270" i="20"/>
  <c r="AJ90" i="26"/>
  <c r="AI87" i="26"/>
  <c r="W34" i="23"/>
  <c r="AL88" i="12"/>
  <c r="AI91" i="19"/>
  <c r="AK331" i="26"/>
  <c r="AL332" i="26"/>
  <c r="AD89" i="28"/>
  <c r="AD22" i="26" s="1"/>
  <c r="AE71" i="28"/>
  <c r="AI37" i="22"/>
  <c r="AF101" i="28"/>
  <c r="AF297" i="26" s="1"/>
  <c r="AF95" i="28"/>
  <c r="AF216" i="26" s="1"/>
  <c r="AG69" i="28"/>
  <c r="AF81" i="28"/>
  <c r="AF101" i="26" s="1"/>
  <c r="AF87" i="28"/>
  <c r="AF20" i="26" s="1"/>
  <c r="AJ98" i="19"/>
  <c r="AK7" i="19"/>
  <c r="AJ3" i="19"/>
  <c r="AH126" i="19"/>
  <c r="AB212" i="26"/>
  <c r="AJ96" i="12"/>
  <c r="AH262" i="26"/>
  <c r="AH303" i="26"/>
  <c r="AH226" i="26"/>
  <c r="AH279" i="26"/>
  <c r="AH155" i="26"/>
  <c r="AH108" i="26"/>
  <c r="AH31" i="26"/>
  <c r="AI2" i="26"/>
  <c r="AH4" i="23"/>
  <c r="AH6" i="23"/>
  <c r="AL5" i="16"/>
  <c r="AI53" i="13"/>
  <c r="AI44" i="12"/>
  <c r="AJ121" i="26"/>
  <c r="AK122" i="26"/>
  <c r="AJ18" i="19"/>
  <c r="AL169" i="19"/>
  <c r="AL168" i="19"/>
  <c r="AM165" i="19" s="1"/>
  <c r="AK324" i="26"/>
  <c r="AJ323" i="26"/>
  <c r="AJ322" i="26" s="1"/>
  <c r="CP76" i="12"/>
  <c r="AD99" i="28"/>
  <c r="AD295" i="26" s="1"/>
  <c r="AD85" i="28"/>
  <c r="AD18" i="26" s="1"/>
  <c r="AD93" i="28"/>
  <c r="AD214" i="26" s="1"/>
  <c r="AE67" i="28"/>
  <c r="AD79" i="28"/>
  <c r="AD99" i="26" s="1"/>
  <c r="AY274" i="25"/>
  <c r="AE38" i="22"/>
  <c r="AJ45" i="19"/>
  <c r="AJ14" i="19"/>
  <c r="AA52" i="26"/>
  <c r="AA30" i="26" s="1"/>
  <c r="AM132" i="26"/>
  <c r="AL131" i="26"/>
  <c r="Y38" i="12"/>
  <c r="Y10" i="12"/>
  <c r="Y40" i="12" s="1"/>
  <c r="AB91" i="28"/>
  <c r="AA18" i="12"/>
  <c r="AY275" i="25"/>
  <c r="AJ46" i="19"/>
  <c r="AL147" i="26"/>
  <c r="AL259" i="26"/>
  <c r="AK258" i="26"/>
  <c r="AL79" i="26"/>
  <c r="AM81" i="26"/>
  <c r="CO84" i="12"/>
  <c r="AI3" i="11"/>
  <c r="AJ8" i="11"/>
  <c r="AI10" i="11"/>
  <c r="AI57" i="26"/>
  <c r="AJ1" i="26"/>
  <c r="AS92" i="12"/>
  <c r="AJ4" i="16"/>
  <c r="AJ3" i="16"/>
  <c r="AK8" i="16"/>
  <c r="AC100" i="28"/>
  <c r="AC296" i="26" s="1"/>
  <c r="AC80" i="28"/>
  <c r="AC100" i="26" s="1"/>
  <c r="AC94" i="28"/>
  <c r="AC215" i="26" s="1"/>
  <c r="AD68" i="28"/>
  <c r="AC86" i="28"/>
  <c r="AC19" i="26" s="1"/>
  <c r="AR47" i="12"/>
  <c r="AJ70" i="12"/>
  <c r="AK173" i="26"/>
  <c r="AJ172" i="26"/>
  <c r="AK63" i="19"/>
  <c r="AD92" i="28"/>
  <c r="AD98" i="28"/>
  <c r="AD84" i="28"/>
  <c r="AD78" i="28"/>
  <c r="AE66" i="28"/>
  <c r="AJ10" i="23"/>
  <c r="AI3" i="23"/>
  <c r="AC77" i="28"/>
  <c r="AC98" i="26"/>
  <c r="AJ81" i="23"/>
  <c r="AN60" i="26"/>
  <c r="AM59" i="26"/>
  <c r="AM58" i="26" s="1"/>
  <c r="AH62" i="16"/>
  <c r="AH25" i="16" s="1"/>
  <c r="Y143" i="19"/>
  <c r="Y146" i="19" s="1"/>
  <c r="X31" i="19"/>
  <c r="CO72" i="12"/>
  <c r="AJ50" i="19"/>
  <c r="AM119" i="26"/>
  <c r="AN120" i="26"/>
  <c r="AG351" i="20"/>
  <c r="G411" i="20"/>
  <c r="AL76" i="12"/>
  <c r="AJ179" i="26"/>
  <c r="AK180" i="26"/>
  <c r="T69" i="36" l="1"/>
  <c r="BJ27" i="37"/>
  <c r="BJ31" i="37" s="1"/>
  <c r="BJ32" i="37" s="1"/>
  <c r="V25" i="25"/>
  <c r="V29" i="25" s="1"/>
  <c r="V30" i="25" s="1"/>
  <c r="Y43" i="12"/>
  <c r="AL202" i="37"/>
  <c r="AM46" i="37"/>
  <c r="BK26" i="37"/>
  <c r="BK27" i="37" s="1"/>
  <c r="BK31" i="37" s="1"/>
  <c r="BK32" i="37" s="1"/>
  <c r="AL134" i="37"/>
  <c r="BL129" i="37"/>
  <c r="BL120" i="37"/>
  <c r="U6" i="36"/>
  <c r="U40" i="36" s="1"/>
  <c r="U54" i="4"/>
  <c r="AH5" i="23"/>
  <c r="AK50" i="19"/>
  <c r="AK14" i="19"/>
  <c r="AJ17" i="15"/>
  <c r="AG18" i="15"/>
  <c r="AG11" i="11"/>
  <c r="AG54" i="13"/>
  <c r="AJ4" i="15"/>
  <c r="AI3" i="15"/>
  <c r="AK34" i="13"/>
  <c r="AK33" i="13" s="1"/>
  <c r="AG31" i="12"/>
  <c r="AG30" i="12"/>
  <c r="AH28" i="12" s="1"/>
  <c r="AA113" i="19"/>
  <c r="Z23" i="19"/>
  <c r="AK18" i="19"/>
  <c r="AD294" i="26"/>
  <c r="AK172" i="26"/>
  <c r="AL173" i="26"/>
  <c r="AI6" i="23"/>
  <c r="AI5" i="23" s="1"/>
  <c r="AM5" i="16"/>
  <c r="AJ53" i="13"/>
  <c r="AJ44" i="12"/>
  <c r="AA49" i="12"/>
  <c r="AA21" i="12"/>
  <c r="AA52" i="12" s="1"/>
  <c r="AA20" i="12"/>
  <c r="AA50" i="12" s="1"/>
  <c r="CP72" i="12"/>
  <c r="AM131" i="26"/>
  <c r="AN132" i="26"/>
  <c r="AZ274" i="25"/>
  <c r="AF38" i="22"/>
  <c r="AK45" i="19"/>
  <c r="AM169" i="19"/>
  <c r="AM168" i="19"/>
  <c r="AN165" i="19" s="1"/>
  <c r="AJ37" i="22"/>
  <c r="AL125" i="26"/>
  <c r="I247" i="20"/>
  <c r="AJ199" i="20"/>
  <c r="AJ367" i="26"/>
  <c r="AK190" i="26"/>
  <c r="AJ188" i="26"/>
  <c r="AC97" i="28"/>
  <c r="AB28" i="26"/>
  <c r="AB25" i="26" s="1"/>
  <c r="AB56" i="26"/>
  <c r="AB55" i="26"/>
  <c r="AB53" i="26"/>
  <c r="AB12" i="26"/>
  <c r="AM237" i="26"/>
  <c r="AL236" i="26"/>
  <c r="AK10" i="22"/>
  <c r="AJ3" i="22"/>
  <c r="AG202" i="19"/>
  <c r="AG179" i="19"/>
  <c r="AZ35" i="18"/>
  <c r="BA5" i="18"/>
  <c r="AZ3" i="18"/>
  <c r="H40" i="33"/>
  <c r="I40" i="33" s="1"/>
  <c r="J40" i="33" s="1"/>
  <c r="AK58" i="13"/>
  <c r="AY22" i="13"/>
  <c r="AY20" i="13" s="1"/>
  <c r="AZ23" i="13"/>
  <c r="AH118" i="23"/>
  <c r="AL63" i="19"/>
  <c r="AK70" i="12"/>
  <c r="AT92" i="12"/>
  <c r="AE92" i="28"/>
  <c r="AE84" i="28"/>
  <c r="AE98" i="28"/>
  <c r="AF66" i="28"/>
  <c r="AE78" i="28"/>
  <c r="AS47" i="12"/>
  <c r="AJ57" i="26"/>
  <c r="AK1" i="26"/>
  <c r="AZ275" i="25"/>
  <c r="AK46" i="19"/>
  <c r="CQ76" i="12"/>
  <c r="AI94" i="12"/>
  <c r="AI90" i="12"/>
  <c r="AI82" i="12"/>
  <c r="AI78" i="12"/>
  <c r="AL7" i="19"/>
  <c r="AK3" i="19"/>
  <c r="AM88" i="12"/>
  <c r="AQ31" i="11"/>
  <c r="AL77" i="19"/>
  <c r="AK80" i="19"/>
  <c r="AK81" i="19" s="1"/>
  <c r="AL78" i="19" s="1"/>
  <c r="AV108" i="16"/>
  <c r="AU107" i="16"/>
  <c r="AM84" i="26"/>
  <c r="AL83" i="26"/>
  <c r="AK55" i="22"/>
  <c r="AL253" i="26"/>
  <c r="AK252" i="26"/>
  <c r="AK251" i="26" s="1"/>
  <c r="AK368" i="26"/>
  <c r="AL285" i="26"/>
  <c r="AO17" i="25"/>
  <c r="AN32" i="25"/>
  <c r="AL84" i="12"/>
  <c r="AK93" i="16"/>
  <c r="AN24" i="11"/>
  <c r="AJ3" i="23"/>
  <c r="AK10" i="23"/>
  <c r="AM76" i="12"/>
  <c r="AN59" i="26"/>
  <c r="AN58" i="26" s="1"/>
  <c r="AO60" i="26"/>
  <c r="AD98" i="26"/>
  <c r="AN81" i="26"/>
  <c r="AM79" i="26"/>
  <c r="AK98" i="19"/>
  <c r="AM332" i="26"/>
  <c r="AL331" i="26"/>
  <c r="AN142" i="26"/>
  <c r="AM141" i="26"/>
  <c r="AK314" i="26"/>
  <c r="AJ313" i="26"/>
  <c r="AN88" i="26"/>
  <c r="AK15" i="11"/>
  <c r="AL16" i="11"/>
  <c r="AL105" i="19"/>
  <c r="AK48" i="26"/>
  <c r="AK46" i="26" s="1"/>
  <c r="AL47" i="26"/>
  <c r="AM4" i="21"/>
  <c r="AM3" i="17"/>
  <c r="T79" i="33"/>
  <c r="V79" i="33" s="1"/>
  <c r="V71" i="33"/>
  <c r="K54" i="33"/>
  <c r="L54" i="33" s="1"/>
  <c r="AI12" i="23"/>
  <c r="AE96" i="28"/>
  <c r="AE217" i="26" s="1"/>
  <c r="AE102" i="28"/>
  <c r="AE298" i="26" s="1"/>
  <c r="AE88" i="28"/>
  <c r="AE21" i="26" s="1"/>
  <c r="AE82" i="28"/>
  <c r="AE102" i="26" s="1"/>
  <c r="AF70" i="28"/>
  <c r="AM80" i="12"/>
  <c r="AC16" i="26"/>
  <c r="H324" i="20"/>
  <c r="AI270" i="20"/>
  <c r="AL96" i="12"/>
  <c r="AM72" i="12"/>
  <c r="AJ87" i="16"/>
  <c r="AK4" i="12"/>
  <c r="AJ3" i="12"/>
  <c r="AJ25" i="12"/>
  <c r="AK23" i="12" s="1"/>
  <c r="V6" i="4"/>
  <c r="AJ58" i="22"/>
  <c r="AJ61" i="22" s="1"/>
  <c r="AJ73" i="22" s="1"/>
  <c r="AK57" i="22"/>
  <c r="G56" i="33"/>
  <c r="D57" i="33"/>
  <c r="F56" i="33"/>
  <c r="AI36" i="12"/>
  <c r="AJ33" i="12"/>
  <c r="AI26" i="26"/>
  <c r="AI13" i="26"/>
  <c r="AC212" i="26"/>
  <c r="AI16" i="12"/>
  <c r="AJ13" i="12"/>
  <c r="AG72" i="22"/>
  <c r="AH71" i="22"/>
  <c r="AC83" i="28"/>
  <c r="AC103" i="28" s="1"/>
  <c r="AI126" i="19"/>
  <c r="AL180" i="26"/>
  <c r="AK179" i="26"/>
  <c r="Z143" i="19"/>
  <c r="Z146" i="19" s="1"/>
  <c r="Y31" i="19"/>
  <c r="AK4" i="16"/>
  <c r="AK3" i="16"/>
  <c r="AL8" i="16"/>
  <c r="AI303" i="26"/>
  <c r="AI279" i="26"/>
  <c r="AI262" i="26"/>
  <c r="AI226" i="26"/>
  <c r="AI155" i="26"/>
  <c r="AI108" i="26"/>
  <c r="AI31" i="26"/>
  <c r="AJ2" i="26"/>
  <c r="AJ135" i="26" s="1"/>
  <c r="AD213" i="26"/>
  <c r="AK8" i="11"/>
  <c r="AJ10" i="11"/>
  <c r="AK17" i="15" s="1"/>
  <c r="AJ3" i="11"/>
  <c r="AM259" i="26"/>
  <c r="AL258" i="26"/>
  <c r="AN41" i="18"/>
  <c r="AE79" i="28"/>
  <c r="AE99" i="26" s="1"/>
  <c r="AE99" i="28"/>
  <c r="AE295" i="26" s="1"/>
  <c r="AF67" i="28"/>
  <c r="AE93" i="28"/>
  <c r="AE214" i="26" s="1"/>
  <c r="AE85" i="28"/>
  <c r="AE18" i="26" s="1"/>
  <c r="AL122" i="26"/>
  <c r="AK121" i="26"/>
  <c r="AF71" i="28"/>
  <c r="AE89" i="28"/>
  <c r="AE22" i="26" s="1"/>
  <c r="AL137" i="26"/>
  <c r="AK136" i="26"/>
  <c r="AU3" i="13"/>
  <c r="AH7" i="15"/>
  <c r="AK38" i="19"/>
  <c r="AL38" i="19" s="1"/>
  <c r="L136" i="25"/>
  <c r="K137" i="25"/>
  <c r="AK75" i="28"/>
  <c r="AJ14" i="26"/>
  <c r="AN72" i="26"/>
  <c r="AM70" i="26"/>
  <c r="AC91" i="28"/>
  <c r="AM184" i="26"/>
  <c r="AL183" i="26"/>
  <c r="AL182" i="26" s="1"/>
  <c r="AI135" i="26"/>
  <c r="AK23" i="22"/>
  <c r="AJ30" i="22"/>
  <c r="AD100" i="28"/>
  <c r="AD296" i="26" s="1"/>
  <c r="AD94" i="28"/>
  <c r="AD215" i="26" s="1"/>
  <c r="AD80" i="28"/>
  <c r="AD100" i="26" s="1"/>
  <c r="AD86" i="28"/>
  <c r="AD19" i="26" s="1"/>
  <c r="AE68" i="28"/>
  <c r="AM147" i="26"/>
  <c r="Z8" i="12"/>
  <c r="AB244" i="26"/>
  <c r="AB243" i="26"/>
  <c r="AB241" i="26"/>
  <c r="AB219" i="26"/>
  <c r="AG95" i="28"/>
  <c r="AG216" i="26" s="1"/>
  <c r="AG87" i="28"/>
  <c r="AG20" i="26" s="1"/>
  <c r="AH69" i="28"/>
  <c r="AG81" i="28"/>
  <c r="AG101" i="26" s="1"/>
  <c r="AG101" i="28"/>
  <c r="AG297" i="26" s="1"/>
  <c r="AK90" i="26"/>
  <c r="AJ87" i="26"/>
  <c r="AJ59" i="12"/>
  <c r="AB128" i="26"/>
  <c r="AB124" i="26" s="1"/>
  <c r="AB107" i="26" s="1"/>
  <c r="AB105" i="26"/>
  <c r="AB96" i="26" s="1"/>
  <c r="AK40" i="19"/>
  <c r="AH172" i="19"/>
  <c r="AH157" i="19"/>
  <c r="AH142" i="19"/>
  <c r="AH188" i="19" s="1"/>
  <c r="AH195" i="19"/>
  <c r="AI112" i="19"/>
  <c r="AH149" i="19"/>
  <c r="AK366" i="26"/>
  <c r="AL197" i="26"/>
  <c r="AJ20" i="15"/>
  <c r="AD83" i="28"/>
  <c r="AD17" i="26"/>
  <c r="AD16" i="26" s="1"/>
  <c r="AO120" i="26"/>
  <c r="AN119" i="26"/>
  <c r="H411" i="20"/>
  <c r="AH351" i="20"/>
  <c r="AK81" i="23"/>
  <c r="AC97" i="26"/>
  <c r="CP84" i="12"/>
  <c r="AL324" i="26"/>
  <c r="AK323" i="26"/>
  <c r="AK322" i="26" s="1"/>
  <c r="AJ91" i="19"/>
  <c r="AB103" i="28"/>
  <c r="AK27" i="19"/>
  <c r="AJ26" i="19"/>
  <c r="AD90" i="28"/>
  <c r="AD23" i="26" s="1"/>
  <c r="AE72" i="28"/>
  <c r="M41" i="25"/>
  <c r="L42" i="25"/>
  <c r="AC293" i="26"/>
  <c r="AQ288" i="26"/>
  <c r="AP287" i="26"/>
  <c r="O203" i="25"/>
  <c r="N204" i="25"/>
  <c r="AP75" i="26"/>
  <c r="AO76" i="26"/>
  <c r="AO74" i="26" s="1"/>
  <c r="AO73" i="26" s="1"/>
  <c r="AL267" i="25"/>
  <c r="AL200" i="25"/>
  <c r="AL133" i="25"/>
  <c r="AL111" i="25"/>
  <c r="AL110" i="25" s="1"/>
  <c r="AL114" i="25" s="1"/>
  <c r="AL115" i="25" s="1"/>
  <c r="AM10" i="25"/>
  <c r="AL38" i="25"/>
  <c r="V11" i="25" l="1"/>
  <c r="V34" i="25"/>
  <c r="BM129" i="37"/>
  <c r="BM120" i="37"/>
  <c r="BL26" i="37"/>
  <c r="AM134" i="37"/>
  <c r="AN46" i="37"/>
  <c r="U69" i="36"/>
  <c r="AM202" i="37"/>
  <c r="V6" i="36"/>
  <c r="V69" i="36" s="1"/>
  <c r="V54" i="4"/>
  <c r="AL40" i="19"/>
  <c r="AH18" i="15"/>
  <c r="AH11" i="11"/>
  <c r="AH54" i="13"/>
  <c r="AL14" i="19"/>
  <c r="AL50" i="19"/>
  <c r="AK4" i="15"/>
  <c r="AJ3" i="15"/>
  <c r="AB18" i="12"/>
  <c r="AB21" i="12" s="1"/>
  <c r="AB52" i="12" s="1"/>
  <c r="AL34" i="13"/>
  <c r="AL33" i="13" s="1"/>
  <c r="H41" i="33"/>
  <c r="I41" i="33" s="1"/>
  <c r="J41" i="33" s="1"/>
  <c r="AM122" i="26"/>
  <c r="AL121" i="26"/>
  <c r="P203" i="25"/>
  <c r="O204" i="25"/>
  <c r="AQ287" i="26"/>
  <c r="AR288" i="26"/>
  <c r="AF89" i="28"/>
  <c r="AF22" i="26" s="1"/>
  <c r="AG71" i="28"/>
  <c r="AK20" i="15"/>
  <c r="AE100" i="28"/>
  <c r="AE296" i="26" s="1"/>
  <c r="AE80" i="28"/>
  <c r="AE100" i="26" s="1"/>
  <c r="AE94" i="28"/>
  <c r="AE215" i="26" s="1"/>
  <c r="AF68" i="28"/>
  <c r="AE86" i="28"/>
  <c r="AE19" i="26" s="1"/>
  <c r="L55" i="33"/>
  <c r="K55" i="33"/>
  <c r="AC128" i="26"/>
  <c r="AC124" i="26" s="1"/>
  <c r="AC107" i="26" s="1"/>
  <c r="AC105" i="26"/>
  <c r="AC96" i="26" s="1"/>
  <c r="AP120" i="26"/>
  <c r="AO119" i="26"/>
  <c r="AH202" i="19"/>
  <c r="AH179" i="19"/>
  <c r="AK59" i="12"/>
  <c r="AM183" i="26"/>
  <c r="AM182" i="26" s="1"/>
  <c r="AN184" i="26"/>
  <c r="AJ6" i="23"/>
  <c r="AJ5" i="23" s="1"/>
  <c r="AN5" i="16"/>
  <c r="AK44" i="12"/>
  <c r="AK53" i="13"/>
  <c r="AD91" i="28"/>
  <c r="AH72" i="22"/>
  <c r="AI71" i="22"/>
  <c r="AF102" i="28"/>
  <c r="AF298" i="26" s="1"/>
  <c r="AF96" i="28"/>
  <c r="AF217" i="26" s="1"/>
  <c r="AF88" i="28"/>
  <c r="AF21" i="26" s="1"/>
  <c r="AG70" i="28"/>
  <c r="AF82" i="28"/>
  <c r="AF102" i="26" s="1"/>
  <c r="AL55" i="22"/>
  <c r="AM7" i="19"/>
  <c r="AM38" i="19" s="1"/>
  <c r="AL3" i="19"/>
  <c r="AF98" i="28"/>
  <c r="AF84" i="28"/>
  <c r="AF92" i="28"/>
  <c r="AF78" i="28"/>
  <c r="AG66" i="28"/>
  <c r="AU92" i="12"/>
  <c r="BA274" i="25"/>
  <c r="AG38" i="22"/>
  <c r="AL45" i="19"/>
  <c r="I411" i="20"/>
  <c r="AI351" i="20"/>
  <c r="AK91" i="19"/>
  <c r="AD28" i="26"/>
  <c r="AD25" i="26" s="1"/>
  <c r="AD12" i="26" s="1"/>
  <c r="AD56" i="26"/>
  <c r="AD55" i="26"/>
  <c r="AD53" i="26"/>
  <c r="AL90" i="26"/>
  <c r="AK87" i="26"/>
  <c r="AB240" i="26"/>
  <c r="AL8" i="11"/>
  <c r="AK3" i="11"/>
  <c r="AK10" i="11"/>
  <c r="AL17" i="15" s="1"/>
  <c r="AJ262" i="26"/>
  <c r="AJ279" i="26"/>
  <c r="AJ303" i="26"/>
  <c r="AJ226" i="26"/>
  <c r="AJ155" i="26"/>
  <c r="AJ108" i="26"/>
  <c r="AJ31" i="26"/>
  <c r="AK2" i="26"/>
  <c r="AL4" i="16"/>
  <c r="AL3" i="16"/>
  <c r="AM8" i="16"/>
  <c r="AM180" i="26"/>
  <c r="AL179" i="26"/>
  <c r="AK313" i="26"/>
  <c r="AL314" i="26"/>
  <c r="AO59" i="26"/>
  <c r="AO58" i="26" s="1"/>
  <c r="AP60" i="26"/>
  <c r="AL368" i="26"/>
  <c r="AM285" i="26"/>
  <c r="AE97" i="28"/>
  <c r="AE294" i="26"/>
  <c r="AE293" i="26" s="1"/>
  <c r="AZ22" i="13"/>
  <c r="AZ20" i="13" s="1"/>
  <c r="BA23" i="13"/>
  <c r="AB52" i="26"/>
  <c r="AB30" i="26" s="1"/>
  <c r="AJ126" i="19"/>
  <c r="AJ16" i="12"/>
  <c r="AK87" i="16"/>
  <c r="AC55" i="26"/>
  <c r="AC28" i="26"/>
  <c r="AC25" i="26" s="1"/>
  <c r="AC56" i="26"/>
  <c r="AC53" i="26"/>
  <c r="AC52" i="26" s="1"/>
  <c r="AC30" i="26" s="1"/>
  <c r="AC12" i="26"/>
  <c r="AI7" i="15"/>
  <c r="AM77" i="19"/>
  <c r="AL80" i="19"/>
  <c r="AL81" i="19" s="1"/>
  <c r="AM78" i="19" s="1"/>
  <c r="AN88" i="12"/>
  <c r="AK57" i="26"/>
  <c r="AL1" i="26"/>
  <c r="AE17" i="26"/>
  <c r="AL70" i="12"/>
  <c r="AJ62" i="16"/>
  <c r="AJ25" i="16" s="1"/>
  <c r="AM125" i="26"/>
  <c r="AM137" i="26"/>
  <c r="AL136" i="26"/>
  <c r="AJ36" i="12"/>
  <c r="AK25" i="12"/>
  <c r="AL23" i="12" s="1"/>
  <c r="AL4" i="12"/>
  <c r="AK3" i="12"/>
  <c r="W6" i="4"/>
  <c r="AN76" i="12"/>
  <c r="AE91" i="28"/>
  <c r="AE213" i="26"/>
  <c r="AE212" i="26" s="1"/>
  <c r="AM63" i="19"/>
  <c r="BB5" i="18"/>
  <c r="BA35" i="18"/>
  <c r="BA3" i="18"/>
  <c r="AL10" i="22"/>
  <c r="AK3" i="22"/>
  <c r="AL172" i="26"/>
  <c r="AM173" i="26"/>
  <c r="AH31" i="12"/>
  <c r="AH30" i="12"/>
  <c r="AI28" i="12" s="1"/>
  <c r="AO142" i="26"/>
  <c r="AN141" i="26"/>
  <c r="AH95" i="28"/>
  <c r="AH216" i="26" s="1"/>
  <c r="AH101" i="28"/>
  <c r="AH297" i="26" s="1"/>
  <c r="AH87" i="28"/>
  <c r="AH20" i="26" s="1"/>
  <c r="AI69" i="28"/>
  <c r="AH81" i="28"/>
  <c r="AH101" i="26" s="1"/>
  <c r="AJ13" i="26"/>
  <c r="AJ26" i="26"/>
  <c r="AV3" i="13"/>
  <c r="X34" i="23"/>
  <c r="AJ35" i="12"/>
  <c r="AK33" i="12" s="1"/>
  <c r="AM16" i="11"/>
  <c r="AL15" i="11"/>
  <c r="AO81" i="26"/>
  <c r="AN79" i="26"/>
  <c r="AL93" i="16"/>
  <c r="AN84" i="26"/>
  <c r="AM83" i="26"/>
  <c r="AR31" i="11"/>
  <c r="CR76" i="12"/>
  <c r="AL58" i="13"/>
  <c r="AJ12" i="23"/>
  <c r="J247" i="20"/>
  <c r="AK199" i="20"/>
  <c r="AN168" i="19"/>
  <c r="AO165" i="19" s="1"/>
  <c r="AN169" i="19"/>
  <c r="AA51" i="12"/>
  <c r="AC321" i="26"/>
  <c r="AC320" i="26"/>
  <c r="AC318" i="26"/>
  <c r="AC300" i="26"/>
  <c r="AC292" i="26" s="1"/>
  <c r="CQ84" i="12"/>
  <c r="AO72" i="26"/>
  <c r="AN70" i="26"/>
  <c r="AP76" i="26"/>
  <c r="AQ75" i="26"/>
  <c r="AP74" i="26"/>
  <c r="AP73" i="26" s="1"/>
  <c r="AL366" i="26"/>
  <c r="AM197" i="26"/>
  <c r="AL75" i="28"/>
  <c r="AK14" i="26"/>
  <c r="AC244" i="26"/>
  <c r="AC219" i="26"/>
  <c r="AC243" i="26"/>
  <c r="AC241" i="26"/>
  <c r="AJ15" i="12"/>
  <c r="AK13" i="12" s="1"/>
  <c r="AN80" i="12"/>
  <c r="AN3" i="17"/>
  <c r="AM105" i="19"/>
  <c r="AM331" i="26"/>
  <c r="AN332" i="26"/>
  <c r="AD97" i="26"/>
  <c r="AK3" i="23"/>
  <c r="AL10" i="23"/>
  <c r="AM84" i="12"/>
  <c r="AM96" i="12" s="1"/>
  <c r="AO132" i="26"/>
  <c r="AN131" i="26"/>
  <c r="AB49" i="12"/>
  <c r="AD293" i="26"/>
  <c r="AA115" i="19"/>
  <c r="AA116" i="19" s="1"/>
  <c r="N41" i="25"/>
  <c r="M42" i="25"/>
  <c r="Z38" i="12"/>
  <c r="Z10" i="12"/>
  <c r="Z40" i="12" s="1"/>
  <c r="AM267" i="25"/>
  <c r="AM200" i="25"/>
  <c r="AM111" i="25"/>
  <c r="AM110" i="25" s="1"/>
  <c r="AM114" i="25" s="1"/>
  <c r="AM115" i="25" s="1"/>
  <c r="AM133" i="25"/>
  <c r="AN10" i="25"/>
  <c r="AM38" i="25"/>
  <c r="AF72" i="28"/>
  <c r="AE90" i="28"/>
  <c r="AE23" i="26" s="1"/>
  <c r="AL27" i="19"/>
  <c r="AK26" i="19"/>
  <c r="AL81" i="23"/>
  <c r="AI142" i="19"/>
  <c r="AI188" i="19" s="1"/>
  <c r="AI195" i="19"/>
  <c r="AJ112" i="19"/>
  <c r="AI149" i="19"/>
  <c r="AI172" i="19"/>
  <c r="AI157" i="19"/>
  <c r="AN147" i="26"/>
  <c r="AF99" i="28"/>
  <c r="AF295" i="26" s="1"/>
  <c r="AF85" i="28"/>
  <c r="AF18" i="26" s="1"/>
  <c r="AF93" i="28"/>
  <c r="AF214" i="26" s="1"/>
  <c r="AF79" i="28"/>
  <c r="AF99" i="26" s="1"/>
  <c r="AG67" i="28"/>
  <c r="AN259" i="26"/>
  <c r="AM258" i="26"/>
  <c r="F57" i="33"/>
  <c r="D58" i="33"/>
  <c r="G57" i="33"/>
  <c r="V76" i="33" s="1"/>
  <c r="AK58" i="22"/>
  <c r="AK61" i="22" s="1"/>
  <c r="AK73" i="22" s="1"/>
  <c r="AL57" i="22"/>
  <c r="AN72" i="12"/>
  <c r="AJ270" i="20"/>
  <c r="I324" i="20"/>
  <c r="AL46" i="26"/>
  <c r="AL48" i="26"/>
  <c r="AM47" i="26"/>
  <c r="AD77" i="28"/>
  <c r="AO24" i="11"/>
  <c r="AL252" i="26"/>
  <c r="AL251" i="26" s="1"/>
  <c r="AM253" i="26"/>
  <c r="AT47" i="12"/>
  <c r="AK37" i="22"/>
  <c r="AJ94" i="12"/>
  <c r="AJ90" i="12"/>
  <c r="AJ78" i="12"/>
  <c r="AJ82" i="12"/>
  <c r="AD97" i="28"/>
  <c r="AL323" i="26"/>
  <c r="AL322" i="26" s="1"/>
  <c r="AM324" i="26"/>
  <c r="AL23" i="22"/>
  <c r="AK30" i="22"/>
  <c r="M136" i="25"/>
  <c r="L137" i="25"/>
  <c r="AD212" i="26"/>
  <c r="AA143" i="19"/>
  <c r="AA146" i="19" s="1"/>
  <c r="Z31" i="19"/>
  <c r="AN4" i="21"/>
  <c r="AO88" i="26"/>
  <c r="AL98" i="19"/>
  <c r="AP17" i="25"/>
  <c r="AO32" i="25"/>
  <c r="AW108" i="16"/>
  <c r="AV107" i="16"/>
  <c r="BA275" i="25"/>
  <c r="AL46" i="19"/>
  <c r="AE77" i="28"/>
  <c r="AE98" i="26"/>
  <c r="AE97" i="26" s="1"/>
  <c r="AM236" i="26"/>
  <c r="AN237" i="26"/>
  <c r="AK367" i="26"/>
  <c r="AL190" i="26"/>
  <c r="AK188" i="26"/>
  <c r="CQ72" i="12"/>
  <c r="AL18" i="19"/>
  <c r="BL27" i="37" l="1"/>
  <c r="BL31" i="37" s="1"/>
  <c r="BL32" i="37" s="1"/>
  <c r="W24" i="25"/>
  <c r="Z43" i="12"/>
  <c r="BN129" i="37"/>
  <c r="BN120" i="37"/>
  <c r="AO46" i="37"/>
  <c r="AN134" i="37"/>
  <c r="AN202" i="37"/>
  <c r="BM26" i="37"/>
  <c r="BM27" i="37" s="1"/>
  <c r="V40" i="36"/>
  <c r="W6" i="36"/>
  <c r="W69" i="36" s="1"/>
  <c r="W54" i="4"/>
  <c r="AM50" i="19"/>
  <c r="AB20" i="12"/>
  <c r="AB50" i="12" s="1"/>
  <c r="AB51" i="12" s="1"/>
  <c r="AI18" i="15"/>
  <c r="AI54" i="13"/>
  <c r="AA8" i="12"/>
  <c r="AL4" i="15"/>
  <c r="AK3" i="15"/>
  <c r="AM34" i="13"/>
  <c r="AM33" i="13" s="1"/>
  <c r="AK16" i="12"/>
  <c r="AK15" i="12"/>
  <c r="AL13" i="12" s="1"/>
  <c r="AL15" i="12" s="1"/>
  <c r="AI31" i="12"/>
  <c r="AI30" i="12"/>
  <c r="AJ28" i="12" s="1"/>
  <c r="AK36" i="12"/>
  <c r="AK35" i="12"/>
  <c r="AL33" i="12" s="1"/>
  <c r="AL35" i="12" s="1"/>
  <c r="AB143" i="19"/>
  <c r="AB146" i="19" s="1"/>
  <c r="AA31" i="19"/>
  <c r="N136" i="25"/>
  <c r="M137" i="25"/>
  <c r="AM46" i="26"/>
  <c r="AM48" i="26"/>
  <c r="AN47" i="26"/>
  <c r="AO72" i="12"/>
  <c r="AK26" i="26"/>
  <c r="AK13" i="26"/>
  <c r="AN173" i="26"/>
  <c r="AM172" i="26"/>
  <c r="AK12" i="23"/>
  <c r="AE244" i="26"/>
  <c r="AE243" i="26"/>
  <c r="AE241" i="26"/>
  <c r="AE219" i="26"/>
  <c r="AE83" i="28"/>
  <c r="AG98" i="28"/>
  <c r="AG84" i="28"/>
  <c r="AH66" i="28"/>
  <c r="AG78" i="28"/>
  <c r="AG92" i="28"/>
  <c r="AG89" i="28"/>
  <c r="AG22" i="26" s="1"/>
  <c r="AH71" i="28"/>
  <c r="AP88" i="26"/>
  <c r="AD241" i="26"/>
  <c r="AD244" i="26"/>
  <c r="AD219" i="26"/>
  <c r="AD243" i="26"/>
  <c r="AN253" i="26"/>
  <c r="AM252" i="26"/>
  <c r="AM251" i="26" s="1"/>
  <c r="AJ195" i="19"/>
  <c r="AK112" i="19"/>
  <c r="AJ149" i="19"/>
  <c r="AJ172" i="19"/>
  <c r="AJ157" i="19"/>
  <c r="AJ142" i="19"/>
  <c r="AJ188" i="19" s="1"/>
  <c r="AM81" i="23"/>
  <c r="AF90" i="28"/>
  <c r="AF23" i="26" s="1"/>
  <c r="AG72" i="28"/>
  <c r="O41" i="25"/>
  <c r="N42" i="25"/>
  <c r="AD128" i="26"/>
  <c r="AD124" i="26" s="1"/>
  <c r="AD107" i="26" s="1"/>
  <c r="AD105" i="26"/>
  <c r="AD96" i="26"/>
  <c r="AO80" i="12"/>
  <c r="AM75" i="28"/>
  <c r="AL14" i="26"/>
  <c r="AC317" i="26"/>
  <c r="AC302" i="26" s="1"/>
  <c r="AO168" i="19"/>
  <c r="AP165" i="19" s="1"/>
  <c r="AO169" i="19"/>
  <c r="AO84" i="26"/>
  <c r="AN83" i="26"/>
  <c r="AN16" i="11"/>
  <c r="AM15" i="11"/>
  <c r="AI95" i="28"/>
  <c r="AI216" i="26" s="1"/>
  <c r="AI81" i="28"/>
  <c r="AI101" i="26" s="1"/>
  <c r="AJ69" i="28"/>
  <c r="AI101" i="28"/>
  <c r="AI297" i="26" s="1"/>
  <c r="AI87" i="28"/>
  <c r="AI20" i="26" s="1"/>
  <c r="AP142" i="26"/>
  <c r="AO141" i="26"/>
  <c r="BC5" i="18"/>
  <c r="BB35" i="18"/>
  <c r="BB3" i="18"/>
  <c r="AL57" i="26"/>
  <c r="AM1" i="26"/>
  <c r="J411" i="20"/>
  <c r="AJ351" i="20"/>
  <c r="AF98" i="26"/>
  <c r="AN183" i="26"/>
  <c r="AN182" i="26" s="1"/>
  <c r="AO184" i="26"/>
  <c r="AX108" i="16"/>
  <c r="AW107" i="16"/>
  <c r="AL30" i="22"/>
  <c r="AM23" i="22"/>
  <c r="AD103" i="28"/>
  <c r="AO147" i="26"/>
  <c r="AN331" i="26"/>
  <c r="AO332" i="26"/>
  <c r="AP72" i="26"/>
  <c r="AO70" i="26"/>
  <c r="CS76" i="12"/>
  <c r="AM10" i="22"/>
  <c r="AL3" i="22"/>
  <c r="AM368" i="26"/>
  <c r="AN285" i="26"/>
  <c r="AM314" i="26"/>
  <c r="AL313" i="26"/>
  <c r="AK303" i="26"/>
  <c r="AK279" i="26"/>
  <c r="AK262" i="26"/>
  <c r="AK226" i="26"/>
  <c r="AK155" i="26"/>
  <c r="AK108" i="26"/>
  <c r="AK31" i="26"/>
  <c r="AL2" i="26"/>
  <c r="AF213" i="26"/>
  <c r="AK94" i="12"/>
  <c r="AK82" i="12"/>
  <c r="AK78" i="12"/>
  <c r="AK90" i="12"/>
  <c r="Q203" i="25"/>
  <c r="P204" i="25"/>
  <c r="AO4" i="21"/>
  <c r="AO259" i="26"/>
  <c r="AN258" i="26"/>
  <c r="AI202" i="19"/>
  <c r="AI179" i="19"/>
  <c r="AO41" i="18"/>
  <c r="AB113" i="19"/>
  <c r="AA23" i="19"/>
  <c r="AN84" i="12"/>
  <c r="AL135" i="26"/>
  <c r="BB274" i="25"/>
  <c r="AH38" i="22"/>
  <c r="AM45" i="19"/>
  <c r="AF17" i="26"/>
  <c r="AM55" i="22"/>
  <c r="AE128" i="26"/>
  <c r="AE124" i="26" s="1"/>
  <c r="AE107" i="26" s="1"/>
  <c r="AE105" i="26"/>
  <c r="AE96" i="26" s="1"/>
  <c r="AM18" i="19"/>
  <c r="AJ7" i="15"/>
  <c r="AE103" i="28"/>
  <c r="AQ17" i="25"/>
  <c r="AP32" i="25"/>
  <c r="AP24" i="11"/>
  <c r="AL58" i="22"/>
  <c r="AL61" i="22" s="1"/>
  <c r="AL73" i="22" s="1"/>
  <c r="AM57" i="22"/>
  <c r="AG99" i="28"/>
  <c r="AG295" i="26" s="1"/>
  <c r="AG79" i="28"/>
  <c r="AG99" i="26" s="1"/>
  <c r="AH67" i="28"/>
  <c r="AG93" i="28"/>
  <c r="AG214" i="26" s="1"/>
  <c r="AG85" i="28"/>
  <c r="AG18" i="26" s="1"/>
  <c r="AN267" i="25"/>
  <c r="AN200" i="25"/>
  <c r="AN133" i="25"/>
  <c r="AN111" i="25"/>
  <c r="AN110" i="25" s="1"/>
  <c r="AN114" i="25" s="1"/>
  <c r="AN115" i="25" s="1"/>
  <c r="AO10" i="25"/>
  <c r="AN38" i="25"/>
  <c r="AP132" i="26"/>
  <c r="AO131" i="26"/>
  <c r="AM366" i="26"/>
  <c r="AN197" i="26"/>
  <c r="AM58" i="13"/>
  <c r="AW3" i="13"/>
  <c r="AO76" i="12"/>
  <c r="AL25" i="12"/>
  <c r="AM23" i="12" s="1"/>
  <c r="AM4" i="12"/>
  <c r="AL3" i="12"/>
  <c r="X6" i="4"/>
  <c r="AN137" i="26"/>
  <c r="AM136" i="26"/>
  <c r="AO88" i="12"/>
  <c r="AL87" i="16"/>
  <c r="BA22" i="13"/>
  <c r="BA20" i="13" s="1"/>
  <c r="BB23" i="13"/>
  <c r="AM179" i="26"/>
  <c r="AN180" i="26"/>
  <c r="AF294" i="26"/>
  <c r="AL20" i="15"/>
  <c r="AS288" i="26"/>
  <c r="AR287" i="26"/>
  <c r="AM121" i="26"/>
  <c r="AN122" i="26"/>
  <c r="AO237" i="26"/>
  <c r="AN236" i="26"/>
  <c r="AU47" i="12"/>
  <c r="J324" i="20"/>
  <c r="AK270" i="20"/>
  <c r="AA38" i="12"/>
  <c r="AA10" i="12"/>
  <c r="AA40" i="12" s="1"/>
  <c r="AM10" i="23"/>
  <c r="AL3" i="23"/>
  <c r="AM93" i="16"/>
  <c r="AK6" i="23"/>
  <c r="AO5" i="16"/>
  <c r="AL44" i="12"/>
  <c r="AL53" i="13"/>
  <c r="AD52" i="26"/>
  <c r="AD30" i="26" s="1"/>
  <c r="AP119" i="26"/>
  <c r="AQ120" i="26"/>
  <c r="AK135" i="26"/>
  <c r="BB275" i="25"/>
  <c r="AM46" i="19"/>
  <c r="AL37" i="22"/>
  <c r="AD320" i="26"/>
  <c r="AD321" i="26"/>
  <c r="AD318" i="26"/>
  <c r="AD292" i="26"/>
  <c r="AD300" i="26"/>
  <c r="AO3" i="17"/>
  <c r="CR84" i="12"/>
  <c r="K247" i="20"/>
  <c r="AL199" i="20"/>
  <c r="AN125" i="26"/>
  <c r="AM70" i="12"/>
  <c r="AK126" i="19"/>
  <c r="AP59" i="26"/>
  <c r="AP58" i="26" s="1"/>
  <c r="AQ60" i="26"/>
  <c r="AN8" i="16"/>
  <c r="AM4" i="16"/>
  <c r="AM3" i="16"/>
  <c r="AM90" i="26"/>
  <c r="AL87" i="26"/>
  <c r="AN7" i="19"/>
  <c r="AM3" i="19"/>
  <c r="AG96" i="28"/>
  <c r="AG217" i="26" s="1"/>
  <c r="AG82" i="28"/>
  <c r="AG102" i="26" s="1"/>
  <c r="AH70" i="28"/>
  <c r="AG102" i="28"/>
  <c r="AG298" i="26" s="1"/>
  <c r="AG88" i="28"/>
  <c r="AG21" i="26" s="1"/>
  <c r="AI72" i="22"/>
  <c r="AJ71" i="22"/>
  <c r="AM40" i="19"/>
  <c r="AF86" i="28"/>
  <c r="AF19" i="26" s="1"/>
  <c r="AF94" i="28"/>
  <c r="AF215" i="26" s="1"/>
  <c r="AG68" i="28"/>
  <c r="AF100" i="28"/>
  <c r="AF296" i="26" s="1"/>
  <c r="AF80" i="28"/>
  <c r="AF100" i="26" s="1"/>
  <c r="CR72" i="12"/>
  <c r="AM98" i="19"/>
  <c r="AN63" i="19"/>
  <c r="AL367" i="26"/>
  <c r="AL188" i="26"/>
  <c r="AM190" i="26"/>
  <c r="AM323" i="26"/>
  <c r="AM322" i="26" s="1"/>
  <c r="AN324" i="26"/>
  <c r="D59" i="33"/>
  <c r="G58" i="33"/>
  <c r="F58" i="33"/>
  <c r="AL26" i="19"/>
  <c r="AM27" i="19"/>
  <c r="AN105" i="19"/>
  <c r="AC240" i="26"/>
  <c r="AQ74" i="26"/>
  <c r="AQ73" i="26" s="1"/>
  <c r="AQ76" i="26"/>
  <c r="AR75" i="26"/>
  <c r="AS31" i="11"/>
  <c r="AO79" i="26"/>
  <c r="AP81" i="26"/>
  <c r="AK62" i="16"/>
  <c r="AK25" i="16" s="1"/>
  <c r="AE16" i="26"/>
  <c r="AN77" i="19"/>
  <c r="AM80" i="19"/>
  <c r="AM81" i="19" s="1"/>
  <c r="AN78" i="19" s="1"/>
  <c r="AE321" i="26"/>
  <c r="AE300" i="26"/>
  <c r="AE318" i="26"/>
  <c r="AE317" i="26" s="1"/>
  <c r="AE302" i="26" s="1"/>
  <c r="AE292" i="26"/>
  <c r="AE320" i="26"/>
  <c r="AM8" i="11"/>
  <c r="AL10" i="11"/>
  <c r="AL3" i="11"/>
  <c r="AL91" i="19"/>
  <c r="AV92" i="12"/>
  <c r="AL59" i="12"/>
  <c r="AM14" i="19"/>
  <c r="H42" i="33"/>
  <c r="I42" i="33" s="1"/>
  <c r="J42" i="33" s="1"/>
  <c r="W25" i="25" l="1"/>
  <c r="W29" i="25" s="1"/>
  <c r="W30" i="25" s="1"/>
  <c r="AA43" i="12"/>
  <c r="AC18" i="12"/>
  <c r="W40" i="36"/>
  <c r="BM121" i="37"/>
  <c r="AX121" i="37"/>
  <c r="AY121" i="37"/>
  <c r="AZ121" i="37"/>
  <c r="BA121" i="37"/>
  <c r="BB121" i="37"/>
  <c r="BC121" i="37"/>
  <c r="BD121" i="37"/>
  <c r="BF121" i="37"/>
  <c r="BE121" i="37"/>
  <c r="BG121" i="37"/>
  <c r="BI121" i="37"/>
  <c r="BH121" i="37"/>
  <c r="BK121" i="37"/>
  <c r="BJ121" i="37"/>
  <c r="BL121" i="37"/>
  <c r="BZ122" i="37"/>
  <c r="BZ53" i="37" s="1"/>
  <c r="BZ209" i="37" s="1"/>
  <c r="BZ211" i="37" s="1"/>
  <c r="BZ213" i="37" s="1"/>
  <c r="BR122" i="37"/>
  <c r="BR53" i="37" s="1"/>
  <c r="BR209" i="37" s="1"/>
  <c r="BR211" i="37" s="1"/>
  <c r="BR213" i="37" s="1"/>
  <c r="CG122" i="37"/>
  <c r="CG53" i="37" s="1"/>
  <c r="CG209" i="37" s="1"/>
  <c r="CG211" i="37" s="1"/>
  <c r="CG213" i="37" s="1"/>
  <c r="BY122" i="37"/>
  <c r="BY53" i="37" s="1"/>
  <c r="BY209" i="37" s="1"/>
  <c r="BY211" i="37" s="1"/>
  <c r="BY213" i="37" s="1"/>
  <c r="BQ122" i="37"/>
  <c r="BQ53" i="37" s="1"/>
  <c r="BQ209" i="37" s="1"/>
  <c r="BQ211" i="37" s="1"/>
  <c r="BQ213" i="37" s="1"/>
  <c r="CF122" i="37"/>
  <c r="CF53" i="37" s="1"/>
  <c r="CF209" i="37" s="1"/>
  <c r="CF211" i="37" s="1"/>
  <c r="CF213" i="37" s="1"/>
  <c r="BX122" i="37"/>
  <c r="BX53" i="37" s="1"/>
  <c r="BX209" i="37" s="1"/>
  <c r="BX211" i="37" s="1"/>
  <c r="BX213" i="37" s="1"/>
  <c r="BP122" i="37"/>
  <c r="BP53" i="37" s="1"/>
  <c r="BP209" i="37" s="1"/>
  <c r="BP211" i="37" s="1"/>
  <c r="BP213" i="37" s="1"/>
  <c r="CE122" i="37"/>
  <c r="CE53" i="37" s="1"/>
  <c r="CE209" i="37" s="1"/>
  <c r="CE211" i="37" s="1"/>
  <c r="CE213" i="37" s="1"/>
  <c r="BW122" i="37"/>
  <c r="BW53" i="37" s="1"/>
  <c r="BW209" i="37" s="1"/>
  <c r="BW211" i="37" s="1"/>
  <c r="BW213" i="37" s="1"/>
  <c r="BO122" i="37"/>
  <c r="BO53" i="37" s="1"/>
  <c r="BO209" i="37" s="1"/>
  <c r="BO211" i="37" s="1"/>
  <c r="BO213" i="37" s="1"/>
  <c r="CD122" i="37"/>
  <c r="CD53" i="37" s="1"/>
  <c r="CD209" i="37" s="1"/>
  <c r="CD211" i="37" s="1"/>
  <c r="CD213" i="37" s="1"/>
  <c r="BV122" i="37"/>
  <c r="BV53" i="37" s="1"/>
  <c r="BV209" i="37" s="1"/>
  <c r="BV211" i="37" s="1"/>
  <c r="BV213" i="37" s="1"/>
  <c r="CC122" i="37"/>
  <c r="CC53" i="37" s="1"/>
  <c r="CC209" i="37" s="1"/>
  <c r="CC211" i="37" s="1"/>
  <c r="CC213" i="37" s="1"/>
  <c r="BU122" i="37"/>
  <c r="BU53" i="37" s="1"/>
  <c r="BU209" i="37" s="1"/>
  <c r="BU211" i="37" s="1"/>
  <c r="BU213" i="37" s="1"/>
  <c r="CB122" i="37"/>
  <c r="CB53" i="37" s="1"/>
  <c r="CB209" i="37" s="1"/>
  <c r="CB211" i="37" s="1"/>
  <c r="CB213" i="37" s="1"/>
  <c r="CA122" i="37"/>
  <c r="CA53" i="37" s="1"/>
  <c r="CA209" i="37" s="1"/>
  <c r="CA211" i="37" s="1"/>
  <c r="CA213" i="37" s="1"/>
  <c r="BT122" i="37"/>
  <c r="BT53" i="37" s="1"/>
  <c r="BT209" i="37" s="1"/>
  <c r="BT211" i="37" s="1"/>
  <c r="BT213" i="37" s="1"/>
  <c r="BS122" i="37"/>
  <c r="BS53" i="37" s="1"/>
  <c r="BS209" i="37" s="1"/>
  <c r="BS211" i="37" s="1"/>
  <c r="BS213" i="37" s="1"/>
  <c r="BN26" i="37"/>
  <c r="BM31" i="37"/>
  <c r="BM32" i="37" s="1"/>
  <c r="AO134" i="37"/>
  <c r="T53" i="37"/>
  <c r="U53" i="37"/>
  <c r="V53" i="37"/>
  <c r="W53" i="37"/>
  <c r="X53" i="37"/>
  <c r="AA53" i="37"/>
  <c r="Z53" i="37"/>
  <c r="Y53" i="37"/>
  <c r="AB53" i="37"/>
  <c r="AP46" i="37"/>
  <c r="AO202" i="37"/>
  <c r="X6" i="36"/>
  <c r="X40" i="36" s="1"/>
  <c r="X54" i="4"/>
  <c r="AK5" i="23"/>
  <c r="AM17" i="15"/>
  <c r="AI11" i="11"/>
  <c r="AB8" i="12"/>
  <c r="AB10" i="12" s="1"/>
  <c r="AB40" i="12" s="1"/>
  <c r="AM4" i="15"/>
  <c r="AL3" i="15"/>
  <c r="AN34" i="13"/>
  <c r="AN33" i="13" s="1"/>
  <c r="AN14" i="19"/>
  <c r="AO14" i="19" s="1"/>
  <c r="H43" i="33"/>
  <c r="I43" i="33" s="1"/>
  <c r="J43" i="33"/>
  <c r="H44" i="33"/>
  <c r="I44" i="33" s="1"/>
  <c r="AO77" i="19"/>
  <c r="AN80" i="19"/>
  <c r="AN81" i="19" s="1"/>
  <c r="AO78" i="19" s="1"/>
  <c r="AL94" i="12"/>
  <c r="AL82" i="12"/>
  <c r="AL78" i="12"/>
  <c r="AL90" i="12"/>
  <c r="AV47" i="12"/>
  <c r="AM87" i="16"/>
  <c r="AP88" i="12"/>
  <c r="AP76" i="12"/>
  <c r="AO267" i="25"/>
  <c r="AO133" i="25"/>
  <c r="AO111" i="25"/>
  <c r="AO110" i="25" s="1"/>
  <c r="AO114" i="25" s="1"/>
  <c r="AO115" i="25" s="1"/>
  <c r="AO200" i="25"/>
  <c r="AP10" i="25"/>
  <c r="AO38" i="25"/>
  <c r="AQ24" i="11"/>
  <c r="AN55" i="22"/>
  <c r="AN50" i="19"/>
  <c r="AB115" i="19"/>
  <c r="AN368" i="26"/>
  <c r="AO285" i="26"/>
  <c r="AM3" i="22"/>
  <c r="AN10" i="22"/>
  <c r="AP332" i="26"/>
  <c r="AO331" i="26"/>
  <c r="AM57" i="26"/>
  <c r="AN1" i="26"/>
  <c r="P41" i="25"/>
  <c r="O42" i="25"/>
  <c r="AJ202" i="19"/>
  <c r="AJ179" i="19"/>
  <c r="AG98" i="26"/>
  <c r="AN46" i="26"/>
  <c r="AN48" i="26"/>
  <c r="AO47" i="26"/>
  <c r="AE28" i="26"/>
  <c r="AE25" i="26" s="1"/>
  <c r="AE55" i="26"/>
  <c r="AE56" i="26"/>
  <c r="AE53" i="26"/>
  <c r="AE12" i="26"/>
  <c r="AO7" i="19"/>
  <c r="AN3" i="19"/>
  <c r="AO8" i="16"/>
  <c r="AN3" i="16"/>
  <c r="AN4" i="16"/>
  <c r="AN179" i="26"/>
  <c r="AO180" i="26"/>
  <c r="AN366" i="26"/>
  <c r="AO197" i="26"/>
  <c r="CT76" i="12"/>
  <c r="AK7" i="15"/>
  <c r="AP168" i="19"/>
  <c r="AQ165" i="19" s="1"/>
  <c r="AP169" i="19"/>
  <c r="AG90" i="28"/>
  <c r="AG23" i="26" s="1"/>
  <c r="AH72" i="28"/>
  <c r="AH89" i="28"/>
  <c r="AH22" i="26" s="1"/>
  <c r="AI71" i="28"/>
  <c r="AH78" i="28"/>
  <c r="AH98" i="28"/>
  <c r="AH92" i="28"/>
  <c r="AI66" i="28"/>
  <c r="AH84" i="28"/>
  <c r="O136" i="25"/>
  <c r="N137" i="25"/>
  <c r="AN98" i="19"/>
  <c r="AF16" i="26"/>
  <c r="Y34" i="23"/>
  <c r="AY108" i="16"/>
  <c r="AX107" i="16"/>
  <c r="K411" i="20"/>
  <c r="AK351" i="20"/>
  <c r="AL62" i="16"/>
  <c r="AL25" i="16" s="1"/>
  <c r="AJ95" i="28"/>
  <c r="AJ216" i="26" s="1"/>
  <c r="AJ101" i="28"/>
  <c r="AJ297" i="26" s="1"/>
  <c r="AJ81" i="28"/>
  <c r="AJ101" i="26" s="1"/>
  <c r="AJ87" i="28"/>
  <c r="AJ20" i="26" s="1"/>
  <c r="AK69" i="28"/>
  <c r="AN15" i="11"/>
  <c r="AO16" i="11"/>
  <c r="AG83" i="28"/>
  <c r="AG17" i="26"/>
  <c r="AL16" i="12"/>
  <c r="AM13" i="12"/>
  <c r="AM15" i="12" s="1"/>
  <c r="AN90" i="26"/>
  <c r="AM87" i="26"/>
  <c r="AQ119" i="26"/>
  <c r="AR120" i="26"/>
  <c r="AN10" i="23"/>
  <c r="AM3" i="23"/>
  <c r="AL270" i="20"/>
  <c r="K324" i="20"/>
  <c r="AF293" i="26"/>
  <c r="AO137" i="26"/>
  <c r="AN136" i="26"/>
  <c r="AN58" i="13"/>
  <c r="AF83" i="28"/>
  <c r="AN38" i="19"/>
  <c r="AL12" i="23"/>
  <c r="AL13" i="26"/>
  <c r="AL26" i="26"/>
  <c r="AO253" i="26"/>
  <c r="AN252" i="26"/>
  <c r="AN251" i="26" s="1"/>
  <c r="AD240" i="26"/>
  <c r="AG294" i="26"/>
  <c r="AC143" i="19"/>
  <c r="AC146" i="19" s="1"/>
  <c r="AB31" i="19"/>
  <c r="AL4" i="23"/>
  <c r="AM135" i="26"/>
  <c r="AM58" i="22"/>
  <c r="AM61" i="22" s="1"/>
  <c r="AM73" i="22" s="1"/>
  <c r="AN57" i="22"/>
  <c r="AJ72" i="22"/>
  <c r="AK71" i="22"/>
  <c r="AR76" i="26"/>
  <c r="AR74" i="26" s="1"/>
  <c r="AR73" i="26" s="1"/>
  <c r="AS75" i="26"/>
  <c r="G59" i="33"/>
  <c r="D60" i="33"/>
  <c r="F59" i="33"/>
  <c r="AM367" i="26"/>
  <c r="AN190" i="26"/>
  <c r="AM188" i="26"/>
  <c r="AG100" i="28"/>
  <c r="AG296" i="26" s="1"/>
  <c r="AG94" i="28"/>
  <c r="AG215" i="26" s="1"/>
  <c r="AG86" i="28"/>
  <c r="AG19" i="26" s="1"/>
  <c r="AG80" i="28"/>
  <c r="AG100" i="26" s="1"/>
  <c r="AH68" i="28"/>
  <c r="AR60" i="26"/>
  <c r="AQ59" i="26"/>
  <c r="AQ58" i="26" s="1"/>
  <c r="AN70" i="12"/>
  <c r="L247" i="20"/>
  <c r="AM199" i="20"/>
  <c r="AF97" i="28"/>
  <c r="BB22" i="13"/>
  <c r="BB20" i="13" s="1"/>
  <c r="BC23" i="13"/>
  <c r="BC274" i="25"/>
  <c r="AI38" i="22"/>
  <c r="AN45" i="19"/>
  <c r="AF212" i="26"/>
  <c r="AL279" i="26"/>
  <c r="AL303" i="26"/>
  <c r="AL262" i="26"/>
  <c r="AL226" i="26"/>
  <c r="AL155" i="26"/>
  <c r="AL108" i="26"/>
  <c r="AL31" i="26"/>
  <c r="AM2" i="26"/>
  <c r="AF97" i="26"/>
  <c r="BC56" i="18"/>
  <c r="BC57" i="18" s="1"/>
  <c r="BD5" i="18"/>
  <c r="BC35" i="18"/>
  <c r="BC3" i="18"/>
  <c r="AO83" i="26"/>
  <c r="AP84" i="26"/>
  <c r="AK149" i="19"/>
  <c r="AK172" i="19"/>
  <c r="AK157" i="19"/>
  <c r="AK142" i="19"/>
  <c r="AK188" i="19" s="1"/>
  <c r="AK195" i="19"/>
  <c r="AL112" i="19"/>
  <c r="AP72" i="12"/>
  <c r="AT288" i="26"/>
  <c r="AS287" i="26"/>
  <c r="AX3" i="13"/>
  <c r="AW92" i="12"/>
  <c r="L56" i="33"/>
  <c r="K56" i="33"/>
  <c r="AN323" i="26"/>
  <c r="AN322" i="26" s="1"/>
  <c r="AO324" i="26"/>
  <c r="AL6" i="23"/>
  <c r="AP5" i="16"/>
  <c r="AM53" i="13"/>
  <c r="AM44" i="12"/>
  <c r="AM10" i="11"/>
  <c r="AM3" i="11"/>
  <c r="AN8" i="11"/>
  <c r="AP79" i="26"/>
  <c r="AQ81" i="26"/>
  <c r="CS72" i="12"/>
  <c r="AO125" i="26"/>
  <c r="AP237" i="26"/>
  <c r="AO236" i="26"/>
  <c r="AP131" i="26"/>
  <c r="AQ132" i="26"/>
  <c r="AR17" i="25"/>
  <c r="AQ32" i="25"/>
  <c r="AF91" i="28"/>
  <c r="AM30" i="22"/>
  <c r="AN23" i="22"/>
  <c r="AF77" i="28"/>
  <c r="AF103" i="28" s="1"/>
  <c r="AN75" i="28"/>
  <c r="AM14" i="26"/>
  <c r="AQ88" i="26"/>
  <c r="AO173" i="26"/>
  <c r="AN172" i="26"/>
  <c r="AM59" i="12"/>
  <c r="AO105" i="19"/>
  <c r="AM20" i="15"/>
  <c r="AM26" i="19"/>
  <c r="AN27" i="19"/>
  <c r="CS84" i="12"/>
  <c r="AP3" i="17"/>
  <c r="AM37" i="22"/>
  <c r="AN93" i="16"/>
  <c r="AP41" i="18"/>
  <c r="AO84" i="12"/>
  <c r="AP259" i="26"/>
  <c r="AO258" i="26"/>
  <c r="AP4" i="21"/>
  <c r="AM313" i="26"/>
  <c r="AN314" i="26"/>
  <c r="AQ72" i="26"/>
  <c r="AP70" i="26"/>
  <c r="AP80" i="12"/>
  <c r="AN81" i="23"/>
  <c r="AE240" i="26"/>
  <c r="AN96" i="12"/>
  <c r="AM33" i="12"/>
  <c r="AL36" i="12"/>
  <c r="V42" i="33"/>
  <c r="T41" i="33" s="1"/>
  <c r="AM91" i="19"/>
  <c r="AT31" i="11"/>
  <c r="AO63" i="19"/>
  <c r="AN40" i="19"/>
  <c r="AH102" i="28"/>
  <c r="AH298" i="26" s="1"/>
  <c r="AH88" i="28"/>
  <c r="AH21" i="26" s="1"/>
  <c r="AH82" i="28"/>
  <c r="AH102" i="26" s="1"/>
  <c r="AI70" i="28"/>
  <c r="AH96" i="28"/>
  <c r="AH217" i="26" s="1"/>
  <c r="AL126" i="19"/>
  <c r="AD317" i="26"/>
  <c r="AD302" i="26" s="1"/>
  <c r="BC275" i="25"/>
  <c r="AN46" i="19"/>
  <c r="AN121" i="26"/>
  <c r="AO122" i="26"/>
  <c r="AM25" i="12"/>
  <c r="AN23" i="12" s="1"/>
  <c r="AN4" i="12"/>
  <c r="AM3" i="12"/>
  <c r="Y6" i="4"/>
  <c r="AH99" i="28"/>
  <c r="AH295" i="26" s="1"/>
  <c r="AH93" i="28"/>
  <c r="AH214" i="26" s="1"/>
  <c r="AI67" i="28"/>
  <c r="AH85" i="28"/>
  <c r="AH18" i="26" s="1"/>
  <c r="AH79" i="28"/>
  <c r="AH99" i="26" s="1"/>
  <c r="AN18" i="19"/>
  <c r="R203" i="25"/>
  <c r="Q204" i="25"/>
  <c r="AP147" i="26"/>
  <c r="AO183" i="26"/>
  <c r="AO182" i="26" s="1"/>
  <c r="AP184" i="26"/>
  <c r="AQ142" i="26"/>
  <c r="AP141" i="26"/>
  <c r="AG91" i="28"/>
  <c r="AG213" i="26"/>
  <c r="AG212" i="26" s="1"/>
  <c r="AJ31" i="12"/>
  <c r="AJ30" i="12"/>
  <c r="AK28" i="12" s="1"/>
  <c r="V655" i="20" l="1"/>
  <c r="BN27" i="37"/>
  <c r="W11" i="25"/>
  <c r="W268" i="25" s="1"/>
  <c r="W34" i="25"/>
  <c r="X69" i="36"/>
  <c r="AC20" i="12"/>
  <c r="AC49" i="12"/>
  <c r="AC21" i="12"/>
  <c r="AC52" i="12" s="1"/>
  <c r="CA38" i="37"/>
  <c r="CA141" i="37"/>
  <c r="CA143" i="37" s="1"/>
  <c r="CA145" i="37" s="1"/>
  <c r="CD38" i="37"/>
  <c r="CD141" i="37"/>
  <c r="CD143" i="37" s="1"/>
  <c r="CD145" i="37" s="1"/>
  <c r="BY38" i="37"/>
  <c r="BY141" i="37"/>
  <c r="BY143" i="37" s="1"/>
  <c r="BY145" i="37" s="1"/>
  <c r="CG38" i="37"/>
  <c r="CG141" i="37"/>
  <c r="CG143" i="37" s="1"/>
  <c r="CG145" i="37" s="1"/>
  <c r="BU38" i="37"/>
  <c r="BU141" i="37"/>
  <c r="BU143" i="37" s="1"/>
  <c r="BU145" i="37" s="1"/>
  <c r="BP38" i="37"/>
  <c r="BP141" i="37"/>
  <c r="BP143" i="37" s="1"/>
  <c r="BP145" i="37" s="1"/>
  <c r="CC38" i="37"/>
  <c r="CC141" i="37"/>
  <c r="CC143" i="37" s="1"/>
  <c r="CC145" i="37" s="1"/>
  <c r="BX38" i="37"/>
  <c r="BX141" i="37"/>
  <c r="BX143" i="37" s="1"/>
  <c r="BX145" i="37" s="1"/>
  <c r="BT38" i="37"/>
  <c r="BT141" i="37"/>
  <c r="BT143" i="37" s="1"/>
  <c r="BT145" i="37" s="1"/>
  <c r="BO38" i="37"/>
  <c r="BO141" i="37"/>
  <c r="BO143" i="37" s="1"/>
  <c r="BO145" i="37" s="1"/>
  <c r="CF38" i="37"/>
  <c r="CF141" i="37"/>
  <c r="CF143" i="37" s="1"/>
  <c r="CF145" i="37" s="1"/>
  <c r="BR38" i="37"/>
  <c r="BR141" i="37"/>
  <c r="BR143" i="37" s="1"/>
  <c r="BR145" i="37" s="1"/>
  <c r="BV38" i="37"/>
  <c r="BV141" i="37"/>
  <c r="BV143" i="37" s="1"/>
  <c r="BV145" i="37" s="1"/>
  <c r="BQ38" i="37"/>
  <c r="BQ141" i="37"/>
  <c r="BQ143" i="37" s="1"/>
  <c r="BQ145" i="37" s="1"/>
  <c r="BS38" i="37"/>
  <c r="BS141" i="37"/>
  <c r="BS143" i="37" s="1"/>
  <c r="BS145" i="37" s="1"/>
  <c r="CB38" i="37"/>
  <c r="CB141" i="37"/>
  <c r="CB143" i="37" s="1"/>
  <c r="CB145" i="37" s="1"/>
  <c r="BW38" i="37"/>
  <c r="BW141" i="37"/>
  <c r="BW143" i="37" s="1"/>
  <c r="BW145" i="37" s="1"/>
  <c r="BZ38" i="37"/>
  <c r="BZ141" i="37"/>
  <c r="BZ143" i="37" s="1"/>
  <c r="BZ145" i="37" s="1"/>
  <c r="CE38" i="37"/>
  <c r="CE141" i="37"/>
  <c r="CE143" i="37" s="1"/>
  <c r="CE145" i="37" s="1"/>
  <c r="BO26" i="37"/>
  <c r="BO27" i="37" s="1"/>
  <c r="BN31" i="37"/>
  <c r="BN32" i="37" s="1"/>
  <c r="Z209" i="37"/>
  <c r="Z211" i="37" s="1"/>
  <c r="Z213" i="37" s="1"/>
  <c r="Z141" i="37"/>
  <c r="Z143" i="37" s="1"/>
  <c r="Z145" i="37" s="1"/>
  <c r="Z55" i="37"/>
  <c r="Z57" i="37" s="1"/>
  <c r="Z38" i="37"/>
  <c r="AA209" i="37"/>
  <c r="AA211" i="37" s="1"/>
  <c r="AA213" i="37" s="1"/>
  <c r="AA141" i="37"/>
  <c r="AA143" i="37" s="1"/>
  <c r="AA145" i="37" s="1"/>
  <c r="AA55" i="37"/>
  <c r="AA57" i="37" s="1"/>
  <c r="AA38" i="37"/>
  <c r="AQ46" i="37"/>
  <c r="W209" i="37"/>
  <c r="W211" i="37" s="1"/>
  <c r="W213" i="37" s="1"/>
  <c r="W141" i="37"/>
  <c r="W143" i="37" s="1"/>
  <c r="W145" i="37" s="1"/>
  <c r="W55" i="37"/>
  <c r="W57" i="37" s="1"/>
  <c r="W38" i="37"/>
  <c r="V209" i="37"/>
  <c r="V211" i="37" s="1"/>
  <c r="V213" i="37" s="1"/>
  <c r="V141" i="37"/>
  <c r="V143" i="37" s="1"/>
  <c r="V145" i="37" s="1"/>
  <c r="V38" i="37"/>
  <c r="V55" i="37"/>
  <c r="V57" i="37" s="1"/>
  <c r="X209" i="37"/>
  <c r="X211" i="37" s="1"/>
  <c r="X213" i="37" s="1"/>
  <c r="X141" i="37"/>
  <c r="X143" i="37" s="1"/>
  <c r="X145" i="37" s="1"/>
  <c r="X55" i="37"/>
  <c r="X57" i="37" s="1"/>
  <c r="X38" i="37"/>
  <c r="AB209" i="37"/>
  <c r="AB211" i="37" s="1"/>
  <c r="AB213" i="37" s="1"/>
  <c r="AB141" i="37"/>
  <c r="AB143" i="37" s="1"/>
  <c r="AB145" i="37" s="1"/>
  <c r="AB38" i="37"/>
  <c r="AB55" i="37"/>
  <c r="AB57" i="37" s="1"/>
  <c r="U209" i="37"/>
  <c r="U211" i="37" s="1"/>
  <c r="U213" i="37" s="1"/>
  <c r="U141" i="37"/>
  <c r="U143" i="37" s="1"/>
  <c r="U145" i="37" s="1"/>
  <c r="U38" i="37"/>
  <c r="U61" i="37" s="1"/>
  <c r="U55" i="37"/>
  <c r="U57" i="37" s="1"/>
  <c r="Y209" i="37"/>
  <c r="Y211" i="37" s="1"/>
  <c r="Y213" i="37" s="1"/>
  <c r="Y141" i="37"/>
  <c r="Y143" i="37" s="1"/>
  <c r="Y145" i="37" s="1"/>
  <c r="Y55" i="37"/>
  <c r="Y57" i="37" s="1"/>
  <c r="Y38" i="37"/>
  <c r="T209" i="37"/>
  <c r="T211" i="37" s="1"/>
  <c r="T141" i="37"/>
  <c r="T143" i="37" s="1"/>
  <c r="T55" i="37"/>
  <c r="T38" i="37"/>
  <c r="T61" i="37" s="1"/>
  <c r="AP134" i="37"/>
  <c r="AP202" i="37"/>
  <c r="Y6" i="36"/>
  <c r="Y40" i="36" s="1"/>
  <c r="Y54" i="4"/>
  <c r="AL5" i="23"/>
  <c r="AB38" i="12"/>
  <c r="AB43" i="12" s="1"/>
  <c r="AN17" i="15"/>
  <c r="AO38" i="19"/>
  <c r="AJ18" i="15"/>
  <c r="AJ11" i="11"/>
  <c r="AJ54" i="13"/>
  <c r="AO40" i="19"/>
  <c r="AN4" i="15"/>
  <c r="AM3" i="15"/>
  <c r="AO34" i="13"/>
  <c r="AO33" i="13" s="1"/>
  <c r="AK31" i="12"/>
  <c r="AK30" i="12"/>
  <c r="AL28" i="12" s="1"/>
  <c r="AP105" i="19"/>
  <c r="AR132" i="26"/>
  <c r="AQ131" i="26"/>
  <c r="CT72" i="12"/>
  <c r="AF321" i="26"/>
  <c r="AF320" i="26"/>
  <c r="AF318" i="26"/>
  <c r="AF300" i="26"/>
  <c r="AF292" i="26"/>
  <c r="AR119" i="26"/>
  <c r="AS120" i="26"/>
  <c r="AH17" i="26"/>
  <c r="AQ168" i="19"/>
  <c r="AR165" i="19" s="1"/>
  <c r="AQ169" i="19"/>
  <c r="AO4" i="16"/>
  <c r="AO3" i="16"/>
  <c r="AP8" i="16"/>
  <c r="AO46" i="26"/>
  <c r="AO48" i="26"/>
  <c r="AP47" i="26"/>
  <c r="AG77" i="28"/>
  <c r="J44" i="33"/>
  <c r="V27" i="33"/>
  <c r="V26" i="33" s="1"/>
  <c r="Z34" i="23"/>
  <c r="AO27" i="19"/>
  <c r="AN26" i="19"/>
  <c r="AK202" i="19"/>
  <c r="AK179" i="19"/>
  <c r="BC22" i="13"/>
  <c r="BC20" i="13" s="1"/>
  <c r="BD23" i="13"/>
  <c r="AT75" i="26"/>
  <c r="AS74" i="26"/>
  <c r="AS73" i="26" s="1"/>
  <c r="AS76" i="26"/>
  <c r="AK72" i="22"/>
  <c r="AL71" i="22"/>
  <c r="AD143" i="19"/>
  <c r="AD146" i="19" s="1"/>
  <c r="AC31" i="19"/>
  <c r="AO15" i="11"/>
  <c r="AP16" i="11"/>
  <c r="AI98" i="28"/>
  <c r="AI84" i="28"/>
  <c r="AJ66" i="28"/>
  <c r="AI78" i="28"/>
  <c r="AI92" i="28"/>
  <c r="AP7" i="19"/>
  <c r="AP38" i="19" s="1"/>
  <c r="AO3" i="19"/>
  <c r="Q41" i="25"/>
  <c r="P42" i="25"/>
  <c r="AI102" i="28"/>
  <c r="AI298" i="26" s="1"/>
  <c r="AI82" i="28"/>
  <c r="AI102" i="26" s="1"/>
  <c r="AI96" i="28"/>
  <c r="AI217" i="26" s="1"/>
  <c r="AI88" i="28"/>
  <c r="AI21" i="26" s="1"/>
  <c r="AJ70" i="28"/>
  <c r="AQ332" i="26"/>
  <c r="AP331" i="26"/>
  <c r="AR24" i="11"/>
  <c r="AQ76" i="12"/>
  <c r="AR142" i="26"/>
  <c r="AQ141" i="26"/>
  <c r="AN313" i="26"/>
  <c r="AO314" i="26"/>
  <c r="AX92" i="12"/>
  <c r="BE5" i="18"/>
  <c r="BD35" i="18"/>
  <c r="BD3" i="18"/>
  <c r="M247" i="20"/>
  <c r="AN199" i="20"/>
  <c r="AN367" i="26"/>
  <c r="AO190" i="26"/>
  <c r="AN188" i="26"/>
  <c r="AK101" i="28"/>
  <c r="AK297" i="26" s="1"/>
  <c r="AK95" i="28"/>
  <c r="AK216" i="26" s="1"/>
  <c r="AK81" i="28"/>
  <c r="AK101" i="26" s="1"/>
  <c r="AK87" i="28"/>
  <c r="AK20" i="26" s="1"/>
  <c r="AL69" i="28"/>
  <c r="AH294" i="26"/>
  <c r="AO10" i="22"/>
  <c r="AN3" i="22"/>
  <c r="AM36" i="12"/>
  <c r="AO93" i="16"/>
  <c r="AQ184" i="26"/>
  <c r="AP183" i="26"/>
  <c r="AP182" i="26" s="1"/>
  <c r="AQ80" i="12"/>
  <c r="AM35" i="12"/>
  <c r="AN33" i="12" s="1"/>
  <c r="AN35" i="12" s="1"/>
  <c r="AQ72" i="12"/>
  <c r="AP137" i="26"/>
  <c r="AO136" i="26"/>
  <c r="AH98" i="26"/>
  <c r="AE52" i="26"/>
  <c r="AE30" i="26" s="1"/>
  <c r="AN57" i="26"/>
  <c r="AO1" i="26"/>
  <c r="AB116" i="19"/>
  <c r="AP267" i="25"/>
  <c r="AP200" i="25"/>
  <c r="AP133" i="25"/>
  <c r="AP111" i="25"/>
  <c r="AP110" i="25" s="1"/>
  <c r="AP114" i="25" s="1"/>
  <c r="AP115" i="25" s="1"/>
  <c r="AP38" i="25"/>
  <c r="AQ10" i="25"/>
  <c r="AQ88" i="12"/>
  <c r="AW47" i="12"/>
  <c r="AP84" i="12"/>
  <c r="AP96" i="12" s="1"/>
  <c r="AP110" i="12" s="1"/>
  <c r="S203" i="25"/>
  <c r="R204" i="25"/>
  <c r="AO4" i="12"/>
  <c r="AN3" i="12"/>
  <c r="AN25" i="12"/>
  <c r="AO23" i="12" s="1"/>
  <c r="Z6" i="4"/>
  <c r="AP14" i="19"/>
  <c r="AM6" i="23"/>
  <c r="AM5" i="23" s="1"/>
  <c r="AN53" i="13"/>
  <c r="AN44" i="12"/>
  <c r="AQ5" i="16"/>
  <c r="AR88" i="26"/>
  <c r="AP236" i="26"/>
  <c r="AQ237" i="26"/>
  <c r="AY3" i="13"/>
  <c r="AF128" i="26"/>
  <c r="AF124" i="26" s="1"/>
  <c r="AF107" i="26" s="1"/>
  <c r="AF105" i="26"/>
  <c r="AF96" i="26"/>
  <c r="AO58" i="13"/>
  <c r="AZ108" i="16"/>
  <c r="AY107" i="16"/>
  <c r="AF28" i="26"/>
  <c r="AF25" i="26" s="1"/>
  <c r="AF12" i="26" s="1"/>
  <c r="AF56" i="26"/>
  <c r="AF55" i="26"/>
  <c r="AF53" i="26"/>
  <c r="AF52" i="26" s="1"/>
  <c r="AF30" i="26" s="1"/>
  <c r="AH91" i="28"/>
  <c r="AH213" i="26"/>
  <c r="CT84" i="12"/>
  <c r="AL7" i="15"/>
  <c r="AO81" i="23"/>
  <c r="AN59" i="12"/>
  <c r="AS17" i="25"/>
  <c r="AR32" i="25"/>
  <c r="AR81" i="26"/>
  <c r="AQ79" i="26"/>
  <c r="AP324" i="26"/>
  <c r="AO323" i="26"/>
  <c r="AO322" i="26" s="1"/>
  <c r="AU288" i="26"/>
  <c r="AU287" i="26" s="1"/>
  <c r="AT287" i="26"/>
  <c r="AQ84" i="26"/>
  <c r="AP83" i="26"/>
  <c r="AO70" i="12"/>
  <c r="AH100" i="28"/>
  <c r="AH296" i="26" s="1"/>
  <c r="AH86" i="28"/>
  <c r="AH19" i="26" s="1"/>
  <c r="AH80" i="28"/>
  <c r="AH100" i="26" s="1"/>
  <c r="AH94" i="28"/>
  <c r="AH215" i="26" s="1"/>
  <c r="AI68" i="28"/>
  <c r="AN58" i="22"/>
  <c r="AN61" i="22" s="1"/>
  <c r="AN73" i="22" s="1"/>
  <c r="AO57" i="22"/>
  <c r="AL118" i="23"/>
  <c r="AG293" i="26"/>
  <c r="L324" i="20"/>
  <c r="AM270" i="20"/>
  <c r="AG16" i="26"/>
  <c r="AI72" i="28"/>
  <c r="AH90" i="28"/>
  <c r="AH23" i="26" s="1"/>
  <c r="CU76" i="12"/>
  <c r="AO366" i="26"/>
  <c r="AP197" i="26"/>
  <c r="AO50" i="19"/>
  <c r="AQ41" i="18"/>
  <c r="AN91" i="19"/>
  <c r="AP40" i="19"/>
  <c r="AQ4" i="21"/>
  <c r="AN30" i="22"/>
  <c r="AO23" i="22"/>
  <c r="AO18" i="19"/>
  <c r="AP63" i="19"/>
  <c r="AR72" i="26"/>
  <c r="AQ70" i="26"/>
  <c r="AN37" i="22"/>
  <c r="AM26" i="26"/>
  <c r="AM13" i="26"/>
  <c r="AM94" i="12"/>
  <c r="AM78" i="12"/>
  <c r="AM90" i="12"/>
  <c r="AM82" i="12"/>
  <c r="AO96" i="12"/>
  <c r="F60" i="33"/>
  <c r="D61" i="33"/>
  <c r="G60" i="33"/>
  <c r="AG97" i="28"/>
  <c r="AO90" i="26"/>
  <c r="AN87" i="26"/>
  <c r="L411" i="20"/>
  <c r="AL351" i="20"/>
  <c r="P136" i="25"/>
  <c r="O137" i="25"/>
  <c r="AO55" i="22"/>
  <c r="AN87" i="16"/>
  <c r="AU31" i="11"/>
  <c r="AG219" i="26"/>
  <c r="AG244" i="26"/>
  <c r="AG241" i="26"/>
  <c r="AG240" i="26" s="1"/>
  <c r="AG243" i="26"/>
  <c r="AI99" i="28"/>
  <c r="AI295" i="26" s="1"/>
  <c r="AI93" i="28"/>
  <c r="AI214" i="26" s="1"/>
  <c r="AI85" i="28"/>
  <c r="AI18" i="26" s="1"/>
  <c r="AI79" i="28"/>
  <c r="AI99" i="26" s="1"/>
  <c r="AJ67" i="28"/>
  <c r="AN20" i="15"/>
  <c r="AM12" i="23"/>
  <c r="AP253" i="26"/>
  <c r="AO252" i="26"/>
  <c r="AO251" i="26" s="1"/>
  <c r="AI89" i="28"/>
  <c r="AI22" i="26" s="1"/>
  <c r="AJ71" i="28"/>
  <c r="AO179" i="26"/>
  <c r="AP180" i="26"/>
  <c r="AO121" i="26"/>
  <c r="AP122" i="26"/>
  <c r="AQ147" i="26"/>
  <c r="AP125" i="26"/>
  <c r="BD275" i="25"/>
  <c r="AO46" i="19"/>
  <c r="AM126" i="19"/>
  <c r="AQ259" i="26"/>
  <c r="AP258" i="26"/>
  <c r="AQ3" i="17"/>
  <c r="AO172" i="26"/>
  <c r="AP173" i="26"/>
  <c r="AO75" i="28"/>
  <c r="AN14" i="26"/>
  <c r="AN10" i="11"/>
  <c r="AO17" i="15" s="1"/>
  <c r="AN3" i="11"/>
  <c r="AO8" i="11"/>
  <c r="AL149" i="19"/>
  <c r="AL172" i="19"/>
  <c r="AL157" i="19"/>
  <c r="AL142" i="19"/>
  <c r="AL188" i="19" s="1"/>
  <c r="AL195" i="19"/>
  <c r="AM112" i="19"/>
  <c r="AM303" i="26"/>
  <c r="AM279" i="26"/>
  <c r="AM262" i="26"/>
  <c r="AM226" i="26"/>
  <c r="AM155" i="26"/>
  <c r="AM108" i="26"/>
  <c r="AN2" i="26"/>
  <c r="AM31" i="26"/>
  <c r="AF244" i="26"/>
  <c r="AF243" i="26"/>
  <c r="AF241" i="26"/>
  <c r="AF240" i="26" s="1"/>
  <c r="AF219" i="26"/>
  <c r="BD274" i="25"/>
  <c r="AJ38" i="22"/>
  <c r="AO45" i="19"/>
  <c r="AS60" i="26"/>
  <c r="AR59" i="26"/>
  <c r="AR58" i="26" s="1"/>
  <c r="V81" i="33"/>
  <c r="K57" i="33"/>
  <c r="L57" i="33" s="1"/>
  <c r="AO10" i="23"/>
  <c r="AN3" i="23"/>
  <c r="AM16" i="12"/>
  <c r="AN13" i="12"/>
  <c r="AN15" i="12" s="1"/>
  <c r="AO98" i="19"/>
  <c r="AG97" i="26"/>
  <c r="AO368" i="26"/>
  <c r="AP285" i="26"/>
  <c r="AC8" i="12"/>
  <c r="AP77" i="19"/>
  <c r="AO80" i="19"/>
  <c r="AO81" i="19" s="1"/>
  <c r="AP78" i="19" s="1"/>
  <c r="AC50" i="12" l="1"/>
  <c r="AC51" i="12" s="1"/>
  <c r="AD18" i="12"/>
  <c r="BP26" i="37"/>
  <c r="BO31" i="37"/>
  <c r="BO32" i="37" s="1"/>
  <c r="T57" i="37"/>
  <c r="AR46" i="37"/>
  <c r="T145" i="37"/>
  <c r="X217" i="37"/>
  <c r="X149" i="37"/>
  <c r="X61" i="37"/>
  <c r="AP50" i="19"/>
  <c r="Y69" i="36"/>
  <c r="T213" i="37"/>
  <c r="AB217" i="37"/>
  <c r="AB149" i="37"/>
  <c r="AB61" i="37"/>
  <c r="Y217" i="37"/>
  <c r="Y149" i="37"/>
  <c r="Y61" i="37"/>
  <c r="AQ202" i="37"/>
  <c r="AA149" i="37"/>
  <c r="AA217" i="37"/>
  <c r="AA61" i="37"/>
  <c r="W217" i="37"/>
  <c r="W149" i="37"/>
  <c r="W61" i="37"/>
  <c r="AQ134" i="37"/>
  <c r="V217" i="37"/>
  <c r="V149" i="37"/>
  <c r="V61" i="37"/>
  <c r="Z61" i="37"/>
  <c r="Z217" i="37"/>
  <c r="Z149" i="37"/>
  <c r="Z6" i="36"/>
  <c r="Z69" i="36" s="1"/>
  <c r="Z54" i="4"/>
  <c r="AK54" i="13"/>
  <c r="AK18" i="15"/>
  <c r="AK11" i="11"/>
  <c r="AO4" i="15"/>
  <c r="AN3" i="15"/>
  <c r="AP34" i="13"/>
  <c r="AP33" i="13" s="1"/>
  <c r="AL31" i="12"/>
  <c r="AL30" i="12"/>
  <c r="AM28" i="12" s="1"/>
  <c r="AG128" i="26"/>
  <c r="AG124" i="26" s="1"/>
  <c r="AG107" i="26" s="1"/>
  <c r="AG105" i="26"/>
  <c r="AG96" i="26" s="1"/>
  <c r="AL202" i="19"/>
  <c r="AL179" i="19"/>
  <c r="AN6" i="23"/>
  <c r="AN5" i="23" s="1"/>
  <c r="AR5" i="16"/>
  <c r="AO53" i="13"/>
  <c r="AO44" i="12"/>
  <c r="AP172" i="26"/>
  <c r="AQ173" i="26"/>
  <c r="BE275" i="25"/>
  <c r="AP46" i="19"/>
  <c r="AQ122" i="26"/>
  <c r="AP121" i="26"/>
  <c r="AP90" i="26"/>
  <c r="AO87" i="26"/>
  <c r="L58" i="33"/>
  <c r="K58" i="33"/>
  <c r="AR4" i="21"/>
  <c r="CV76" i="12"/>
  <c r="AO59" i="12"/>
  <c r="AP58" i="13"/>
  <c r="AP4" i="12"/>
  <c r="AO3" i="12"/>
  <c r="AO25" i="12"/>
  <c r="AP23" i="12" s="1"/>
  <c r="AA6" i="4"/>
  <c r="AR88" i="12"/>
  <c r="AC113" i="19"/>
  <c r="AB23" i="19"/>
  <c r="AQ137" i="26"/>
  <c r="AP136" i="26"/>
  <c r="AR80" i="12"/>
  <c r="N247" i="20"/>
  <c r="AO199" i="20"/>
  <c r="AN62" i="16"/>
  <c r="AN25" i="16" s="1"/>
  <c r="AS24" i="11"/>
  <c r="AM71" i="22"/>
  <c r="AL72" i="22"/>
  <c r="CU72" i="12"/>
  <c r="AP10" i="23"/>
  <c r="AO3" i="23"/>
  <c r="AQ125" i="26"/>
  <c r="AQ253" i="26"/>
  <c r="AP252" i="26"/>
  <c r="AP251" i="26" s="1"/>
  <c r="D62" i="33"/>
  <c r="F61" i="33"/>
  <c r="G61" i="33"/>
  <c r="AP18" i="19"/>
  <c r="AO91" i="19"/>
  <c r="AA34" i="23"/>
  <c r="AT17" i="25"/>
  <c r="AS32" i="25"/>
  <c r="AH212" i="26"/>
  <c r="AN12" i="23"/>
  <c r="AQ7" i="19"/>
  <c r="AQ40" i="19" s="1"/>
  <c r="AP3" i="19"/>
  <c r="AI213" i="26"/>
  <c r="AQ63" i="19"/>
  <c r="AS59" i="26"/>
  <c r="AS58" i="26" s="1"/>
  <c r="AT60" i="26"/>
  <c r="AN303" i="26"/>
  <c r="AN279" i="26"/>
  <c r="AN262" i="26"/>
  <c r="AN226" i="26"/>
  <c r="AN155" i="26"/>
  <c r="AN108" i="26"/>
  <c r="AN31" i="26"/>
  <c r="AO2" i="26"/>
  <c r="AQ267" i="25"/>
  <c r="AQ200" i="25"/>
  <c r="AQ133" i="25"/>
  <c r="AQ111" i="25"/>
  <c r="AQ110" i="25" s="1"/>
  <c r="AQ114" i="25" s="1"/>
  <c r="AQ115" i="25" s="1"/>
  <c r="AQ38" i="25"/>
  <c r="AR10" i="25"/>
  <c r="AO57" i="26"/>
  <c r="AP1" i="26"/>
  <c r="AN36" i="12"/>
  <c r="AO33" i="12"/>
  <c r="AO35" i="12" s="1"/>
  <c r="AR332" i="26"/>
  <c r="AQ331" i="26"/>
  <c r="AI77" i="28"/>
  <c r="AI98" i="26"/>
  <c r="AP4" i="16"/>
  <c r="AP3" i="16"/>
  <c r="AQ8" i="16"/>
  <c r="AR169" i="19"/>
  <c r="AR168" i="19"/>
  <c r="AS165" i="19" s="1"/>
  <c r="AM351" i="20"/>
  <c r="M411" i="20"/>
  <c r="AO37" i="22"/>
  <c r="AR3" i="17"/>
  <c r="AQ180" i="26"/>
  <c r="AP179" i="26"/>
  <c r="AJ93" i="28"/>
  <c r="AJ214" i="26" s="1"/>
  <c r="AJ85" i="28"/>
  <c r="AJ18" i="26" s="1"/>
  <c r="AK67" i="28"/>
  <c r="AJ79" i="28"/>
  <c r="AJ99" i="26" s="1"/>
  <c r="AJ99" i="28"/>
  <c r="AJ295" i="26" s="1"/>
  <c r="AO87" i="16"/>
  <c r="Q136" i="25"/>
  <c r="P137" i="25"/>
  <c r="AS72" i="26"/>
  <c r="AR70" i="26"/>
  <c r="AP23" i="22"/>
  <c r="AO30" i="22"/>
  <c r="AI90" i="28"/>
  <c r="AI23" i="26" s="1"/>
  <c r="AJ72" i="28"/>
  <c r="AG28" i="26"/>
  <c r="AG25" i="26" s="1"/>
  <c r="AG55" i="26"/>
  <c r="AG56" i="26"/>
  <c r="AG53" i="26"/>
  <c r="AG52" i="26" s="1"/>
  <c r="AG30" i="26" s="1"/>
  <c r="AP323" i="26"/>
  <c r="AP322" i="26" s="1"/>
  <c r="AQ324" i="26"/>
  <c r="AP81" i="23"/>
  <c r="AH97" i="26"/>
  <c r="AQ183" i="26"/>
  <c r="AQ182" i="26" s="1"/>
  <c r="AR184" i="26"/>
  <c r="AP10" i="22"/>
  <c r="AO3" i="22"/>
  <c r="AH293" i="26"/>
  <c r="AL101" i="28"/>
  <c r="AL297" i="26" s="1"/>
  <c r="AL95" i="28"/>
  <c r="AL216" i="26" s="1"/>
  <c r="AM69" i="28"/>
  <c r="AL87" i="28"/>
  <c r="AL20" i="26" s="1"/>
  <c r="AL81" i="28"/>
  <c r="AL101" i="26" s="1"/>
  <c r="BF5" i="18"/>
  <c r="BE35" i="18"/>
  <c r="BE3" i="18"/>
  <c r="AS142" i="26"/>
  <c r="AR141" i="26"/>
  <c r="AJ98" i="28"/>
  <c r="AJ92" i="28"/>
  <c r="AJ78" i="28"/>
  <c r="AK66" i="28"/>
  <c r="AJ84" i="28"/>
  <c r="AP15" i="11"/>
  <c r="AQ16" i="11"/>
  <c r="AH16" i="26"/>
  <c r="AR259" i="26"/>
  <c r="AQ258" i="26"/>
  <c r="AN16" i="12"/>
  <c r="AO13" i="12"/>
  <c r="AO15" i="12" s="1"/>
  <c r="AN13" i="26"/>
  <c r="AN26" i="26"/>
  <c r="AN126" i="19"/>
  <c r="AG321" i="26"/>
  <c r="AG300" i="26"/>
  <c r="AG292" i="26" s="1"/>
  <c r="AG318" i="26"/>
  <c r="AG320" i="26"/>
  <c r="AO58" i="22"/>
  <c r="AO61" i="22" s="1"/>
  <c r="AO73" i="22" s="1"/>
  <c r="AP57" i="22"/>
  <c r="AP70" i="12"/>
  <c r="AR84" i="26"/>
  <c r="AQ83" i="26"/>
  <c r="CU84" i="12"/>
  <c r="AH77" i="28"/>
  <c r="AH97" i="28"/>
  <c r="AO367" i="26"/>
  <c r="AO188" i="26"/>
  <c r="AP190" i="26"/>
  <c r="AJ96" i="28"/>
  <c r="AJ217" i="26" s="1"/>
  <c r="AJ102" i="28"/>
  <c r="AJ298" i="26" s="1"/>
  <c r="AK70" i="28"/>
  <c r="AJ88" i="28"/>
  <c r="AJ21" i="26" s="1"/>
  <c r="AJ82" i="28"/>
  <c r="AJ102" i="26" s="1"/>
  <c r="AI83" i="28"/>
  <c r="AI17" i="26"/>
  <c r="AI16" i="26" s="1"/>
  <c r="AT76" i="26"/>
  <c r="AU75" i="26"/>
  <c r="AT74" i="26"/>
  <c r="AT73" i="26" s="1"/>
  <c r="AG103" i="28"/>
  <c r="AH83" i="28"/>
  <c r="AR147" i="26"/>
  <c r="AP98" i="19"/>
  <c r="AC38" i="12"/>
  <c r="AC10" i="12"/>
  <c r="AC40" i="12" s="1"/>
  <c r="AP368" i="26"/>
  <c r="AQ285" i="26"/>
  <c r="BE274" i="25"/>
  <c r="AK38" i="22"/>
  <c r="AP45" i="19"/>
  <c r="AM7" i="15"/>
  <c r="AP75" i="28"/>
  <c r="AO14" i="26"/>
  <c r="AO20" i="15"/>
  <c r="AP55" i="22"/>
  <c r="M324" i="20"/>
  <c r="AN270" i="20"/>
  <c r="AQ236" i="26"/>
  <c r="AR237" i="26"/>
  <c r="AY92" i="12"/>
  <c r="AR76" i="12"/>
  <c r="AI97" i="28"/>
  <c r="AI294" i="26"/>
  <c r="AI293" i="26" s="1"/>
  <c r="BD22" i="13"/>
  <c r="BD20" i="13" s="1"/>
  <c r="BE23" i="13"/>
  <c r="AO26" i="19"/>
  <c r="AP27" i="19"/>
  <c r="AQ47" i="26"/>
  <c r="AP48" i="26"/>
  <c r="AP46" i="26"/>
  <c r="AS132" i="26"/>
  <c r="AR131" i="26"/>
  <c r="AM149" i="19"/>
  <c r="AM172" i="19"/>
  <c r="AM157" i="19"/>
  <c r="AM142" i="19"/>
  <c r="AM188" i="19" s="1"/>
  <c r="AM195" i="19"/>
  <c r="AN112" i="19"/>
  <c r="AP366" i="26"/>
  <c r="AQ197" i="26"/>
  <c r="AI94" i="28"/>
  <c r="AI215" i="26" s="1"/>
  <c r="AI86" i="28"/>
  <c r="AI19" i="26" s="1"/>
  <c r="AI100" i="28"/>
  <c r="AI296" i="26" s="1"/>
  <c r="AJ68" i="28"/>
  <c r="AI80" i="28"/>
  <c r="AI100" i="26" s="1"/>
  <c r="AS81" i="26"/>
  <c r="AR79" i="26"/>
  <c r="BA108" i="16"/>
  <c r="AZ107" i="16"/>
  <c r="AZ3" i="13"/>
  <c r="AN94" i="12"/>
  <c r="AN82" i="12"/>
  <c r="AN78" i="12"/>
  <c r="AN90" i="12"/>
  <c r="T203" i="25"/>
  <c r="S204" i="25"/>
  <c r="H45" i="33"/>
  <c r="I45" i="33" s="1"/>
  <c r="H46" i="33"/>
  <c r="I46" i="33" s="1"/>
  <c r="J45" i="33"/>
  <c r="J46" i="33" s="1"/>
  <c r="AF317" i="26"/>
  <c r="AF302" i="26" s="1"/>
  <c r="AO10" i="11"/>
  <c r="AP17" i="15" s="1"/>
  <c r="AO3" i="11"/>
  <c r="AP8" i="11"/>
  <c r="AK71" i="28"/>
  <c r="AJ89" i="28"/>
  <c r="AJ22" i="26" s="1"/>
  <c r="AV31" i="11"/>
  <c r="AQ77" i="19"/>
  <c r="AP80" i="19"/>
  <c r="AP81" i="19" s="1"/>
  <c r="AQ78" i="19" s="1"/>
  <c r="AS88" i="26"/>
  <c r="AQ84" i="12"/>
  <c r="AX47" i="12"/>
  <c r="AO135" i="26"/>
  <c r="AR72" i="12"/>
  <c r="AP93" i="16"/>
  <c r="AN135" i="26"/>
  <c r="AO313" i="26"/>
  <c r="AP314" i="26"/>
  <c r="R41" i="25"/>
  <c r="Q42" i="25"/>
  <c r="AE143" i="19"/>
  <c r="AE146" i="19" s="1"/>
  <c r="AD31" i="19"/>
  <c r="AT120" i="26"/>
  <c r="AS119" i="26"/>
  <c r="AQ105" i="19"/>
  <c r="BP27" i="37" l="1"/>
  <c r="X24" i="25"/>
  <c r="AC43" i="12"/>
  <c r="BO37" i="37"/>
  <c r="BO12" i="37"/>
  <c r="BO267" i="37" s="1"/>
  <c r="BO149" i="37"/>
  <c r="BO217" i="37"/>
  <c r="Z40" i="36"/>
  <c r="AD49" i="12"/>
  <c r="AD21" i="12"/>
  <c r="AD52" i="12" s="1"/>
  <c r="AD20" i="12"/>
  <c r="BQ26" i="37"/>
  <c r="BQ27" i="37" s="1"/>
  <c r="BP31" i="37"/>
  <c r="BP32" i="37" s="1"/>
  <c r="AR134" i="37"/>
  <c r="AR202" i="37"/>
  <c r="AS46" i="37"/>
  <c r="AA6" i="36"/>
  <c r="AA69" i="36" s="1"/>
  <c r="AA54" i="4"/>
  <c r="AQ14" i="19"/>
  <c r="AL54" i="13"/>
  <c r="AL18" i="15"/>
  <c r="AL11" i="11"/>
  <c r="AD8" i="12"/>
  <c r="AD38" i="12" s="1"/>
  <c r="AP4" i="15"/>
  <c r="AO3" i="15"/>
  <c r="AQ34" i="13"/>
  <c r="AQ33" i="13" s="1"/>
  <c r="AM31" i="12"/>
  <c r="AM30" i="12"/>
  <c r="AN28" i="12" s="1"/>
  <c r="AT88" i="26"/>
  <c r="AS131" i="26"/>
  <c r="AT132" i="26"/>
  <c r="AQ70" i="12"/>
  <c r="AQ1" i="26"/>
  <c r="AP57" i="26"/>
  <c r="BB108" i="16"/>
  <c r="BA107" i="16"/>
  <c r="AI91" i="28"/>
  <c r="AI103" i="28" s="1"/>
  <c r="AR122" i="26"/>
  <c r="AQ121" i="26"/>
  <c r="AQ55" i="22"/>
  <c r="AH318" i="26"/>
  <c r="AH317" i="26" s="1"/>
  <c r="AH302" i="26" s="1"/>
  <c r="AH320" i="26"/>
  <c r="AH321" i="26"/>
  <c r="AH300" i="26"/>
  <c r="AH292" i="26" s="1"/>
  <c r="AH128" i="26"/>
  <c r="AH124" i="26" s="1"/>
  <c r="AH107" i="26" s="1"/>
  <c r="AH105" i="26"/>
  <c r="AH96" i="26" s="1"/>
  <c r="AP37" i="22"/>
  <c r="AR267" i="25"/>
  <c r="AR133" i="25"/>
  <c r="AR111" i="25"/>
  <c r="AR110" i="25" s="1"/>
  <c r="AR114" i="25" s="1"/>
  <c r="AR115" i="25" s="1"/>
  <c r="AR200" i="25"/>
  <c r="AR38" i="25"/>
  <c r="AS10" i="25"/>
  <c r="AO303" i="26"/>
  <c r="AO262" i="26"/>
  <c r="AO279" i="26"/>
  <c r="AO226" i="26"/>
  <c r="AO155" i="26"/>
  <c r="AO108" i="26"/>
  <c r="AP2" i="26"/>
  <c r="AO31" i="26"/>
  <c r="AT59" i="26"/>
  <c r="AT58" i="26" s="1"/>
  <c r="AU60" i="26"/>
  <c r="AU59" i="26" s="1"/>
  <c r="AU58" i="26" s="1"/>
  <c r="AQ18" i="19"/>
  <c r="AR125" i="26"/>
  <c r="CW76" i="12"/>
  <c r="AS4" i="21"/>
  <c r="AS76" i="12"/>
  <c r="AQ4" i="16"/>
  <c r="AQ3" i="16"/>
  <c r="AR8" i="16"/>
  <c r="AS79" i="26"/>
  <c r="AT81" i="26"/>
  <c r="AJ294" i="26"/>
  <c r="AP59" i="12"/>
  <c r="R42" i="25"/>
  <c r="S41" i="25"/>
  <c r="AQ27" i="19"/>
  <c r="AP26" i="19"/>
  <c r="AZ92" i="12"/>
  <c r="AS237" i="26"/>
  <c r="AR236" i="26"/>
  <c r="AQ98" i="19"/>
  <c r="AO126" i="19"/>
  <c r="AQ15" i="11"/>
  <c r="AR16" i="11"/>
  <c r="AK93" i="28"/>
  <c r="AK214" i="26" s="1"/>
  <c r="AK85" i="28"/>
  <c r="AK18" i="26" s="1"/>
  <c r="AK99" i="28"/>
  <c r="AK295" i="26" s="1"/>
  <c r="AK79" i="28"/>
  <c r="AK99" i="26" s="1"/>
  <c r="AL67" i="28"/>
  <c r="AR63" i="19"/>
  <c r="AH244" i="26"/>
  <c r="AH243" i="26"/>
  <c r="AH241" i="26"/>
  <c r="AH219" i="26"/>
  <c r="AT24" i="11"/>
  <c r="AP135" i="26"/>
  <c r="BF275" i="25"/>
  <c r="AQ46" i="19"/>
  <c r="AS259" i="26"/>
  <c r="AR258" i="26"/>
  <c r="BG5" i="18"/>
  <c r="BF35" i="18"/>
  <c r="BF3" i="18"/>
  <c r="AS70" i="26"/>
  <c r="AT72" i="26"/>
  <c r="AO16" i="12"/>
  <c r="AP13" i="12"/>
  <c r="AH28" i="26"/>
  <c r="AH25" i="26" s="1"/>
  <c r="AH56" i="26"/>
  <c r="AH55" i="26"/>
  <c r="AH12" i="26"/>
  <c r="AH53" i="26"/>
  <c r="AR84" i="12"/>
  <c r="AR96" i="12" s="1"/>
  <c r="AR110" i="12" s="1"/>
  <c r="AQ368" i="26"/>
  <c r="AR285" i="26"/>
  <c r="AT142" i="26"/>
  <c r="AS141" i="26"/>
  <c r="AQ10" i="22"/>
  <c r="AP3" i="22"/>
  <c r="AQ81" i="23"/>
  <c r="AJ90" i="28"/>
  <c r="AJ23" i="26" s="1"/>
  <c r="AK72" i="28"/>
  <c r="AN351" i="20"/>
  <c r="N411" i="20"/>
  <c r="AR331" i="26"/>
  <c r="AS332" i="26"/>
  <c r="AQ10" i="23"/>
  <c r="AP3" i="23"/>
  <c r="AR137" i="26"/>
  <c r="AQ136" i="26"/>
  <c r="AQ80" i="19"/>
  <c r="AQ81" i="19" s="1"/>
  <c r="AR78" i="19" s="1"/>
  <c r="AR77" i="19"/>
  <c r="AJ213" i="26"/>
  <c r="U203" i="25"/>
  <c r="T204" i="25"/>
  <c r="AK89" i="28"/>
  <c r="AK22" i="26" s="1"/>
  <c r="AL71" i="28"/>
  <c r="AQ366" i="26"/>
  <c r="AR197" i="26"/>
  <c r="AS72" i="12"/>
  <c r="V50" i="33"/>
  <c r="T49" i="33" s="1"/>
  <c r="AQ75" i="28"/>
  <c r="AP14" i="26"/>
  <c r="AU76" i="26"/>
  <c r="AU74" i="26"/>
  <c r="AU73" i="26" s="1"/>
  <c r="AG317" i="26"/>
  <c r="AG302" i="26" s="1"/>
  <c r="AO36" i="12"/>
  <c r="AP33" i="12"/>
  <c r="AQ38" i="19"/>
  <c r="AP91" i="19"/>
  <c r="G62" i="33"/>
  <c r="D63" i="33"/>
  <c r="F62" i="33"/>
  <c r="AR173" i="26"/>
  <c r="AQ172" i="26"/>
  <c r="AM202" i="19"/>
  <c r="AM179" i="19"/>
  <c r="AQ48" i="26"/>
  <c r="AQ46" i="26" s="1"/>
  <c r="AR47" i="26"/>
  <c r="AI28" i="26"/>
  <c r="AI25" i="26" s="1"/>
  <c r="AI55" i="26"/>
  <c r="AI56" i="26"/>
  <c r="AI53" i="26"/>
  <c r="AI12" i="26"/>
  <c r="AS3" i="17"/>
  <c r="AI212" i="26"/>
  <c r="AP58" i="22"/>
  <c r="AP61" i="22" s="1"/>
  <c r="AP73" i="22" s="1"/>
  <c r="AQ57" i="22"/>
  <c r="CV72" i="12"/>
  <c r="AI318" i="26"/>
  <c r="AI320" i="26"/>
  <c r="AI321" i="26"/>
  <c r="AI300" i="26"/>
  <c r="AI292" i="26" s="1"/>
  <c r="N324" i="20"/>
  <c r="AO270" i="20"/>
  <c r="AO26" i="26"/>
  <c r="AO13" i="26"/>
  <c r="AP367" i="26"/>
  <c r="AP188" i="26"/>
  <c r="AQ190" i="26"/>
  <c r="AJ94" i="28"/>
  <c r="AJ215" i="26" s="1"/>
  <c r="AJ100" i="28"/>
  <c r="AJ296" i="26" s="1"/>
  <c r="AJ80" i="28"/>
  <c r="AJ100" i="26" s="1"/>
  <c r="AJ86" i="28"/>
  <c r="AJ19" i="26" s="1"/>
  <c r="AK68" i="28"/>
  <c r="AJ17" i="26"/>
  <c r="AJ16" i="26" s="1"/>
  <c r="R136" i="25"/>
  <c r="Q137" i="25"/>
  <c r="AN7" i="15"/>
  <c r="V46" i="33"/>
  <c r="T45" i="33" s="1"/>
  <c r="BA3" i="13"/>
  <c r="AN149" i="19"/>
  <c r="AN172" i="19"/>
  <c r="AN157" i="19"/>
  <c r="AN142" i="19"/>
  <c r="AN188" i="19" s="1"/>
  <c r="AN195" i="19"/>
  <c r="AO112" i="19"/>
  <c r="AR41" i="18"/>
  <c r="AH103" i="28"/>
  <c r="AS84" i="26"/>
  <c r="AR83" i="26"/>
  <c r="AQ50" i="19"/>
  <c r="AK98" i="28"/>
  <c r="AK92" i="28"/>
  <c r="AK84" i="28"/>
  <c r="AK78" i="28"/>
  <c r="AL66" i="28"/>
  <c r="AO62" i="16"/>
  <c r="AO25" i="16" s="1"/>
  <c r="AS184" i="26"/>
  <c r="AR183" i="26"/>
  <c r="AR182" i="26" s="1"/>
  <c r="AQ23" i="22"/>
  <c r="AP30" i="22"/>
  <c r="AS169" i="19"/>
  <c r="AS168" i="19"/>
  <c r="AT165" i="19" s="1"/>
  <c r="AT32" i="25"/>
  <c r="AU17" i="25"/>
  <c r="AP199" i="20"/>
  <c r="O247" i="20"/>
  <c r="AC115" i="19"/>
  <c r="AC116" i="19" s="1"/>
  <c r="AQ58" i="13"/>
  <c r="AQ90" i="26"/>
  <c r="AP87" i="26"/>
  <c r="AU120" i="26"/>
  <c r="AU119" i="26" s="1"/>
  <c r="AT119" i="26"/>
  <c r="BF23" i="13"/>
  <c r="BF22" i="13" s="1"/>
  <c r="BF20" i="13" s="1"/>
  <c r="BE22" i="13"/>
  <c r="BE20" i="13" s="1"/>
  <c r="CV84" i="12"/>
  <c r="AQ323" i="26"/>
  <c r="AQ322" i="26" s="1"/>
  <c r="AR324" i="26"/>
  <c r="AS80" i="12"/>
  <c r="AW31" i="11"/>
  <c r="AQ314" i="26"/>
  <c r="AP313" i="26"/>
  <c r="AQ93" i="16"/>
  <c r="AX55" i="12"/>
  <c r="AY47" i="12"/>
  <c r="AR105" i="19"/>
  <c r="J47" i="33"/>
  <c r="H47" i="33"/>
  <c r="I47" i="33" s="1"/>
  <c r="H48" i="33"/>
  <c r="I48" i="33" s="1"/>
  <c r="AS147" i="26"/>
  <c r="AP10" i="11"/>
  <c r="AQ17" i="15" s="1"/>
  <c r="AP3" i="11"/>
  <c r="AQ8" i="11"/>
  <c r="AF143" i="19"/>
  <c r="AF146" i="19" s="1"/>
  <c r="AE31" i="19"/>
  <c r="AQ96" i="12"/>
  <c r="AQ110" i="12" s="1"/>
  <c r="AO6" i="23"/>
  <c r="AS5" i="16"/>
  <c r="AP53" i="13"/>
  <c r="AP44" i="12"/>
  <c r="AP20" i="15"/>
  <c r="BF274" i="25"/>
  <c r="AL38" i="22"/>
  <c r="AQ45" i="19"/>
  <c r="AK102" i="28"/>
  <c r="AK298" i="26" s="1"/>
  <c r="AK96" i="28"/>
  <c r="AK217" i="26" s="1"/>
  <c r="AK88" i="28"/>
  <c r="AK21" i="26" s="1"/>
  <c r="AL70" i="28"/>
  <c r="AK82" i="28"/>
  <c r="AK102" i="26" s="1"/>
  <c r="AJ77" i="28"/>
  <c r="AJ98" i="26"/>
  <c r="AO12" i="23"/>
  <c r="AM101" i="28"/>
  <c r="AM297" i="26" s="1"/>
  <c r="AM87" i="28"/>
  <c r="AM20" i="26" s="1"/>
  <c r="AM81" i="28"/>
  <c r="AM101" i="26" s="1"/>
  <c r="AN69" i="28"/>
  <c r="AM95" i="28"/>
  <c r="AM216" i="26" s="1"/>
  <c r="AG12" i="26"/>
  <c r="AP87" i="16"/>
  <c r="AR180" i="26"/>
  <c r="AQ179" i="26"/>
  <c r="AI97" i="26"/>
  <c r="AO94" i="12"/>
  <c r="AO90" i="12"/>
  <c r="AO82" i="12"/>
  <c r="AO78" i="12"/>
  <c r="AR7" i="19"/>
  <c r="AQ3" i="19"/>
  <c r="AR253" i="26"/>
  <c r="AQ252" i="26"/>
  <c r="AQ251" i="26" s="1"/>
  <c r="AN71" i="22"/>
  <c r="AM72" i="22"/>
  <c r="AS88" i="12"/>
  <c r="AP35" i="12"/>
  <c r="AQ4" i="12"/>
  <c r="AP3" i="12"/>
  <c r="AP25" i="12"/>
  <c r="AQ23" i="12" s="1"/>
  <c r="AP15" i="12"/>
  <c r="AB6" i="4"/>
  <c r="X25" i="25" l="1"/>
  <c r="X29" i="25" s="1"/>
  <c r="X30" i="25" s="1"/>
  <c r="AA40" i="36"/>
  <c r="BP37" i="37"/>
  <c r="BP12" i="37"/>
  <c r="BP267" i="37" s="1"/>
  <c r="BP149" i="37"/>
  <c r="BP217" i="37"/>
  <c r="AD50" i="12"/>
  <c r="AE18" i="12"/>
  <c r="AD51" i="12"/>
  <c r="BR26" i="37"/>
  <c r="BQ31" i="37"/>
  <c r="BQ32" i="37" s="1"/>
  <c r="AS202" i="37"/>
  <c r="AT46" i="37"/>
  <c r="AS134" i="37"/>
  <c r="AB6" i="36"/>
  <c r="AB54" i="4"/>
  <c r="AO5" i="23"/>
  <c r="AD10" i="12"/>
  <c r="AD40" i="12" s="1"/>
  <c r="AS41" i="18" s="1"/>
  <c r="AM11" i="11"/>
  <c r="AM18" i="15"/>
  <c r="AM54" i="13"/>
  <c r="AQ4" i="15"/>
  <c r="AP3" i="15"/>
  <c r="AR34" i="13"/>
  <c r="AR33" i="13" s="1"/>
  <c r="AS105" i="19"/>
  <c r="AN101" i="28"/>
  <c r="AN297" i="26" s="1"/>
  <c r="AN81" i="28"/>
  <c r="AN101" i="26" s="1"/>
  <c r="AN95" i="28"/>
  <c r="AN216" i="26" s="1"/>
  <c r="AN87" i="28"/>
  <c r="AN20" i="26" s="1"/>
  <c r="AO69" i="28"/>
  <c r="AO7" i="15"/>
  <c r="AN72" i="22"/>
  <c r="AO71" i="22"/>
  <c r="AS7" i="19"/>
  <c r="AR3" i="19"/>
  <c r="AL102" i="28"/>
  <c r="AL298" i="26" s="1"/>
  <c r="AL88" i="28"/>
  <c r="AL21" i="26" s="1"/>
  <c r="AL96" i="28"/>
  <c r="AL217" i="26" s="1"/>
  <c r="AM70" i="28"/>
  <c r="AL82" i="28"/>
  <c r="AL102" i="26" s="1"/>
  <c r="AQ3" i="11"/>
  <c r="AR8" i="11"/>
  <c r="AQ10" i="11"/>
  <c r="AT147" i="26"/>
  <c r="AR314" i="26"/>
  <c r="AQ313" i="26"/>
  <c r="AK77" i="28"/>
  <c r="AK98" i="26"/>
  <c r="AN202" i="19"/>
  <c r="AN179" i="19"/>
  <c r="CW72" i="12"/>
  <c r="AS173" i="26"/>
  <c r="AR172" i="26"/>
  <c r="AQ91" i="19"/>
  <c r="AJ212" i="26"/>
  <c r="AS331" i="26"/>
  <c r="AT332" i="26"/>
  <c r="AS84" i="12"/>
  <c r="AH52" i="26"/>
  <c r="AH30" i="26" s="1"/>
  <c r="AT70" i="26"/>
  <c r="AU72" i="26"/>
  <c r="AU70" i="26" s="1"/>
  <c r="AP12" i="23"/>
  <c r="S42" i="25"/>
  <c r="T41" i="25"/>
  <c r="AJ97" i="28"/>
  <c r="AT4" i="21"/>
  <c r="AQ37" i="22"/>
  <c r="BC108" i="16"/>
  <c r="BB107" i="16"/>
  <c r="AR58" i="13"/>
  <c r="AY55" i="12"/>
  <c r="AZ47" i="12"/>
  <c r="AR90" i="26"/>
  <c r="AQ87" i="26"/>
  <c r="AD113" i="19"/>
  <c r="AC23" i="19"/>
  <c r="AU32" i="25"/>
  <c r="AV17" i="25"/>
  <c r="AR23" i="22"/>
  <c r="AQ30" i="22"/>
  <c r="AK83" i="28"/>
  <c r="AK17" i="26"/>
  <c r="AK16" i="26" s="1"/>
  <c r="AK100" i="28"/>
  <c r="AK296" i="26" s="1"/>
  <c r="AK80" i="28"/>
  <c r="AK100" i="26" s="1"/>
  <c r="AK86" i="28"/>
  <c r="AK19" i="26" s="1"/>
  <c r="AL68" i="28"/>
  <c r="AK94" i="28"/>
  <c r="AK215" i="26" s="1"/>
  <c r="AR48" i="26"/>
  <c r="AR46" i="26"/>
  <c r="AS47" i="26"/>
  <c r="AP36" i="12"/>
  <c r="AQ33" i="12"/>
  <c r="AQ35" i="12" s="1"/>
  <c r="AJ91" i="28"/>
  <c r="AT141" i="26"/>
  <c r="AU142" i="26"/>
  <c r="AU141" i="26" s="1"/>
  <c r="BG56" i="18"/>
  <c r="BG57" i="18" s="1"/>
  <c r="BG35" i="18"/>
  <c r="BH5" i="18"/>
  <c r="BG3" i="18"/>
  <c r="BG275" i="25"/>
  <c r="AR46" i="19"/>
  <c r="AL99" i="28"/>
  <c r="AL295" i="26" s="1"/>
  <c r="AL93" i="28"/>
  <c r="AL214" i="26" s="1"/>
  <c r="AL79" i="28"/>
  <c r="AL99" i="26" s="1"/>
  <c r="AL85" i="28"/>
  <c r="AL18" i="26" s="1"/>
  <c r="AM67" i="28"/>
  <c r="AR27" i="19"/>
  <c r="AQ26" i="19"/>
  <c r="AR18" i="19"/>
  <c r="AP262" i="26"/>
  <c r="AP279" i="26"/>
  <c r="AP226" i="26"/>
  <c r="AP303" i="26"/>
  <c r="AP155" i="26"/>
  <c r="AP108" i="26"/>
  <c r="AP31" i="26"/>
  <c r="AQ2" i="26"/>
  <c r="AS200" i="25"/>
  <c r="AS267" i="25"/>
  <c r="AS133" i="25"/>
  <c r="AS111" i="25"/>
  <c r="AS110" i="25" s="1"/>
  <c r="AS114" i="25" s="1"/>
  <c r="AS115" i="25" s="1"/>
  <c r="AT10" i="25"/>
  <c r="AS38" i="25"/>
  <c r="AU88" i="26"/>
  <c r="BG274" i="25"/>
  <c r="AM38" i="22"/>
  <c r="AR45" i="19"/>
  <c r="P247" i="20"/>
  <c r="AQ199" i="20"/>
  <c r="AS83" i="26"/>
  <c r="AT84" i="26"/>
  <c r="AQ367" i="26"/>
  <c r="AR190" i="26"/>
  <c r="AQ188" i="26"/>
  <c r="AI244" i="26"/>
  <c r="AI243" i="26"/>
  <c r="AI241" i="26"/>
  <c r="AI219" i="26"/>
  <c r="AR15" i="11"/>
  <c r="AS16" i="11"/>
  <c r="AQ57" i="26"/>
  <c r="AR1" i="26"/>
  <c r="AQ20" i="15"/>
  <c r="AX31" i="11"/>
  <c r="AR179" i="26"/>
  <c r="AS180" i="26"/>
  <c r="AY53" i="12"/>
  <c r="AT184" i="26"/>
  <c r="AS183" i="26"/>
  <c r="AS182" i="26" s="1"/>
  <c r="AK97" i="28"/>
  <c r="AK294" i="26"/>
  <c r="AK293" i="26" s="1"/>
  <c r="AI317" i="26"/>
  <c r="AI302" i="26" s="1"/>
  <c r="AR40" i="19"/>
  <c r="V203" i="25"/>
  <c r="U204" i="25"/>
  <c r="AR81" i="23"/>
  <c r="AH240" i="26"/>
  <c r="AR55" i="22"/>
  <c r="AT88" i="12"/>
  <c r="AP6" i="23"/>
  <c r="AT5" i="16"/>
  <c r="AQ53" i="13"/>
  <c r="AQ44" i="12"/>
  <c r="AT80" i="12"/>
  <c r="AK91" i="28"/>
  <c r="AK213" i="26"/>
  <c r="AK212" i="26" s="1"/>
  <c r="AS253" i="26"/>
  <c r="AR252" i="26"/>
  <c r="AR251" i="26" s="1"/>
  <c r="AI128" i="26"/>
  <c r="AI124" i="26" s="1"/>
  <c r="AI107" i="26" s="1"/>
  <c r="AI96" i="26"/>
  <c r="AI105" i="26"/>
  <c r="AP94" i="12"/>
  <c r="AP78" i="12"/>
  <c r="AP82" i="12"/>
  <c r="AP90" i="12"/>
  <c r="AG143" i="19"/>
  <c r="AG146" i="19" s="1"/>
  <c r="AF31" i="19"/>
  <c r="AT169" i="19"/>
  <c r="AT168" i="19"/>
  <c r="AU165" i="19" s="1"/>
  <c r="R137" i="25"/>
  <c r="S136" i="25"/>
  <c r="AT3" i="17"/>
  <c r="AI52" i="26"/>
  <c r="AI30" i="26" s="1"/>
  <c r="AR38" i="19"/>
  <c r="AS96" i="12"/>
  <c r="AS110" i="12" s="1"/>
  <c r="AT72" i="12"/>
  <c r="AR366" i="26"/>
  <c r="AS197" i="26"/>
  <c r="AM71" i="28"/>
  <c r="AL89" i="28"/>
  <c r="AL22" i="26" s="1"/>
  <c r="AT259" i="26"/>
  <c r="AS258" i="26"/>
  <c r="AQ59" i="12"/>
  <c r="AE8" i="12"/>
  <c r="CX76" i="12"/>
  <c r="AR121" i="26"/>
  <c r="AS122" i="26"/>
  <c r="AQ87" i="16"/>
  <c r="AJ97" i="26"/>
  <c r="J48" i="33"/>
  <c r="AR93" i="16"/>
  <c r="AS324" i="26"/>
  <c r="AR323" i="26"/>
  <c r="AR322" i="26" s="1"/>
  <c r="AB34" i="23"/>
  <c r="BB3" i="13"/>
  <c r="O324" i="20"/>
  <c r="AP270" i="20"/>
  <c r="AQ58" i="22"/>
  <c r="AQ61" i="22" s="1"/>
  <c r="AQ73" i="22" s="1"/>
  <c r="AR57" i="22"/>
  <c r="D64" i="33"/>
  <c r="G63" i="33"/>
  <c r="F63" i="33"/>
  <c r="AP26" i="26"/>
  <c r="AP13" i="26"/>
  <c r="AS77" i="19"/>
  <c r="AR80" i="19"/>
  <c r="AR81" i="19" s="1"/>
  <c r="AS78" i="19" s="1"/>
  <c r="AQ135" i="26"/>
  <c r="AP4" i="23"/>
  <c r="AP16" i="12"/>
  <c r="AQ13" i="12"/>
  <c r="AQ15" i="12" s="1"/>
  <c r="AT237" i="26"/>
  <c r="AS236" i="26"/>
  <c r="AT79" i="26"/>
  <c r="AU81" i="26"/>
  <c r="AU79" i="26" s="1"/>
  <c r="AR70" i="12"/>
  <c r="K59" i="33"/>
  <c r="L59" i="33"/>
  <c r="AO351" i="20"/>
  <c r="O411" i="20"/>
  <c r="AL72" i="28"/>
  <c r="AK90" i="28"/>
  <c r="AK23" i="26" s="1"/>
  <c r="AR10" i="22"/>
  <c r="AQ3" i="22"/>
  <c r="AR368" i="26"/>
  <c r="AS285" i="26"/>
  <c r="AU24" i="11"/>
  <c r="AP126" i="19"/>
  <c r="AR98" i="19"/>
  <c r="AT76" i="12"/>
  <c r="AS125" i="26"/>
  <c r="AU132" i="26"/>
  <c r="AU131" i="26" s="1"/>
  <c r="AT131" i="26"/>
  <c r="AN31" i="12"/>
  <c r="AN30" i="12"/>
  <c r="AO28" i="12" s="1"/>
  <c r="AO172" i="19"/>
  <c r="AO157" i="19"/>
  <c r="AO142" i="19"/>
  <c r="AO188" i="19" s="1"/>
  <c r="AO195" i="19"/>
  <c r="AP112" i="19"/>
  <c r="AO149" i="19"/>
  <c r="AJ28" i="26"/>
  <c r="AJ25" i="26" s="1"/>
  <c r="AJ55" i="26"/>
  <c r="AJ56" i="26"/>
  <c r="AJ53" i="26"/>
  <c r="AJ52" i="26" s="1"/>
  <c r="AJ30" i="26" s="1"/>
  <c r="AR75" i="28"/>
  <c r="AQ14" i="26"/>
  <c r="AR136" i="26"/>
  <c r="AS137" i="26"/>
  <c r="AR10" i="23"/>
  <c r="AQ3" i="23"/>
  <c r="AR4" i="12"/>
  <c r="AQ3" i="12"/>
  <c r="AQ25" i="12"/>
  <c r="AR23" i="12" s="1"/>
  <c r="AC6" i="4"/>
  <c r="CW84" i="12"/>
  <c r="AL98" i="28"/>
  <c r="AL92" i="28"/>
  <c r="AM66" i="28"/>
  <c r="AL84" i="28"/>
  <c r="AL78" i="28"/>
  <c r="AR50" i="19"/>
  <c r="AS50" i="19" s="1"/>
  <c r="AJ83" i="28"/>
  <c r="AJ103" i="28" s="1"/>
  <c r="AR14" i="19"/>
  <c r="AP62" i="16"/>
  <c r="AP25" i="16" s="1"/>
  <c r="AS63" i="19"/>
  <c r="BA92" i="12"/>
  <c r="AJ293" i="26"/>
  <c r="AR4" i="16"/>
  <c r="AR3" i="16"/>
  <c r="AS8" i="16"/>
  <c r="X11" i="25" l="1"/>
  <c r="X268" i="25" s="1"/>
  <c r="X34" i="25"/>
  <c r="BR27" i="37"/>
  <c r="AD43" i="12"/>
  <c r="BQ37" i="37"/>
  <c r="BQ217" i="37" s="1"/>
  <c r="BQ12" i="37"/>
  <c r="BQ267" i="37" s="1"/>
  <c r="AE21" i="12"/>
  <c r="AE52" i="12" s="1"/>
  <c r="AE49" i="12"/>
  <c r="AE20" i="12"/>
  <c r="BS26" i="37"/>
  <c r="BS27" i="37" s="1"/>
  <c r="BR31" i="37"/>
  <c r="BR32" i="37" s="1"/>
  <c r="AU46" i="37"/>
  <c r="AT134" i="37"/>
  <c r="AT202" i="37"/>
  <c r="AB40" i="36"/>
  <c r="AB69" i="36"/>
  <c r="AC6" i="36"/>
  <c r="AC69" i="36" s="1"/>
  <c r="AC54" i="4"/>
  <c r="AP5" i="23"/>
  <c r="AR17" i="15"/>
  <c r="AN11" i="11"/>
  <c r="AN18" i="15"/>
  <c r="AN54" i="13"/>
  <c r="AS14" i="19"/>
  <c r="AS38" i="19"/>
  <c r="AS40" i="19"/>
  <c r="AR4" i="15"/>
  <c r="AQ3" i="15"/>
  <c r="AS34" i="13"/>
  <c r="AS33" i="13" s="1"/>
  <c r="AO31" i="12"/>
  <c r="AO30" i="12"/>
  <c r="AP28" i="12" s="1"/>
  <c r="F64" i="33"/>
  <c r="D65" i="33"/>
  <c r="G64" i="33"/>
  <c r="AR87" i="16"/>
  <c r="AV24" i="11"/>
  <c r="AR58" i="22"/>
  <c r="AR61" i="22" s="1"/>
  <c r="AR73" i="22" s="1"/>
  <c r="AS57" i="22"/>
  <c r="P324" i="20"/>
  <c r="AQ270" i="20"/>
  <c r="AS93" i="16"/>
  <c r="AS121" i="26"/>
  <c r="AT122" i="26"/>
  <c r="CY76" i="12"/>
  <c r="AU259" i="26"/>
  <c r="AU258" i="26" s="1"/>
  <c r="AT258" i="26"/>
  <c r="AU80" i="12"/>
  <c r="AI240" i="26"/>
  <c r="AM99" i="28"/>
  <c r="AM295" i="26" s="1"/>
  <c r="AM79" i="28"/>
  <c r="AM99" i="26" s="1"/>
  <c r="AM93" i="28"/>
  <c r="AM214" i="26" s="1"/>
  <c r="AM85" i="28"/>
  <c r="AM18" i="26" s="1"/>
  <c r="AN67" i="28"/>
  <c r="BA47" i="12"/>
  <c r="AZ55" i="12"/>
  <c r="AT84" i="12"/>
  <c r="AJ243" i="26"/>
  <c r="AJ244" i="26"/>
  <c r="AJ241" i="26"/>
  <c r="AJ240" i="26" s="1"/>
  <c r="AJ219" i="26"/>
  <c r="AR313" i="26"/>
  <c r="AS314" i="26"/>
  <c r="AL98" i="26"/>
  <c r="AU88" i="12"/>
  <c r="AR57" i="26"/>
  <c r="AS1" i="26"/>
  <c r="AU84" i="26"/>
  <c r="AU83" i="26" s="1"/>
  <c r="AT83" i="26"/>
  <c r="BH274" i="25"/>
  <c r="AN38" i="22"/>
  <c r="AS45" i="19"/>
  <c r="AR91" i="19"/>
  <c r="AO95" i="28"/>
  <c r="AO216" i="26" s="1"/>
  <c r="AO101" i="28"/>
  <c r="AO297" i="26" s="1"/>
  <c r="AO87" i="28"/>
  <c r="AO20" i="26" s="1"/>
  <c r="AO81" i="28"/>
  <c r="AO101" i="26" s="1"/>
  <c r="AP69" i="28"/>
  <c r="AQ26" i="26"/>
  <c r="AQ13" i="26"/>
  <c r="AT125" i="26"/>
  <c r="AM72" i="28"/>
  <c r="AL90" i="28"/>
  <c r="AL23" i="26" s="1"/>
  <c r="AT77" i="19"/>
  <c r="AS80" i="19"/>
  <c r="AS81" i="19" s="1"/>
  <c r="AT78" i="19" s="1"/>
  <c r="J49" i="33"/>
  <c r="H49" i="33"/>
  <c r="I49" i="33" s="1"/>
  <c r="AU3" i="17"/>
  <c r="BB92" i="12"/>
  <c r="AL17" i="26"/>
  <c r="CX84" i="12"/>
  <c r="AR3" i="23"/>
  <c r="AS10" i="23"/>
  <c r="AS75" i="28"/>
  <c r="AR14" i="26"/>
  <c r="AU76" i="12"/>
  <c r="AQ126" i="19"/>
  <c r="AS368" i="26"/>
  <c r="AT285" i="26"/>
  <c r="AT236" i="26"/>
  <c r="AU237" i="26"/>
  <c r="AU236" i="26" s="1"/>
  <c r="AP7" i="15"/>
  <c r="AR59" i="12"/>
  <c r="AU169" i="19"/>
  <c r="AU168" i="19"/>
  <c r="AV165" i="19" s="1"/>
  <c r="AQ94" i="12"/>
  <c r="AQ82" i="12"/>
  <c r="AQ90" i="12"/>
  <c r="AQ78" i="12"/>
  <c r="AT180" i="26"/>
  <c r="AS179" i="26"/>
  <c r="AR20" i="15"/>
  <c r="AS15" i="11"/>
  <c r="AT16" i="11"/>
  <c r="AR199" i="20"/>
  <c r="AD115" i="19"/>
  <c r="AD116" i="19" s="1"/>
  <c r="AZ53" i="12"/>
  <c r="AS58" i="13"/>
  <c r="AR37" i="22"/>
  <c r="T42" i="25"/>
  <c r="U41" i="25"/>
  <c r="AK97" i="26"/>
  <c r="AU147" i="26"/>
  <c r="AQ303" i="26"/>
  <c r="AQ279" i="26"/>
  <c r="AQ262" i="26"/>
  <c r="AQ226" i="26"/>
  <c r="AQ155" i="26"/>
  <c r="AQ108" i="26"/>
  <c r="AQ31" i="26"/>
  <c r="AR2" i="26"/>
  <c r="BH35" i="18"/>
  <c r="BI5" i="18"/>
  <c r="BH3" i="18"/>
  <c r="AQ36" i="12"/>
  <c r="AR33" i="12"/>
  <c r="AR35" i="12" s="1"/>
  <c r="AK28" i="26"/>
  <c r="AK25" i="26" s="1"/>
  <c r="AK56" i="26"/>
  <c r="AK55" i="26"/>
  <c r="AK12" i="26"/>
  <c r="AK53" i="26"/>
  <c r="AK103" i="28"/>
  <c r="AQ6" i="23"/>
  <c r="AQ5" i="23" s="1"/>
  <c r="AU5" i="16"/>
  <c r="AR53" i="13"/>
  <c r="AR44" i="12"/>
  <c r="AL91" i="28"/>
  <c r="AL213" i="26"/>
  <c r="AJ128" i="26"/>
  <c r="AJ124" i="26" s="1"/>
  <c r="AJ107" i="26" s="1"/>
  <c r="AJ105" i="26"/>
  <c r="AJ96" i="26" s="1"/>
  <c r="AE38" i="12"/>
  <c r="AE10" i="12"/>
  <c r="AN71" i="28"/>
  <c r="AM89" i="28"/>
  <c r="AM22" i="26" s="1"/>
  <c r="AS81" i="23"/>
  <c r="AR367" i="26"/>
  <c r="AR188" i="26"/>
  <c r="AS190" i="26"/>
  <c r="AS18" i="19"/>
  <c r="AU4" i="21"/>
  <c r="AS172" i="26"/>
  <c r="AT173" i="26"/>
  <c r="AS8" i="11"/>
  <c r="AR10" i="11"/>
  <c r="AS17" i="15" s="1"/>
  <c r="AR3" i="11"/>
  <c r="AS4" i="16"/>
  <c r="AS3" i="16"/>
  <c r="AT8" i="16"/>
  <c r="AQ16" i="12"/>
  <c r="AR13" i="12"/>
  <c r="BC3" i="13"/>
  <c r="AS366" i="26"/>
  <c r="AT197" i="26"/>
  <c r="AT253" i="26"/>
  <c r="AS252" i="26"/>
  <c r="AS251" i="26" s="1"/>
  <c r="AS55" i="22"/>
  <c r="AS27" i="19"/>
  <c r="AR26" i="19"/>
  <c r="AQ12" i="23"/>
  <c r="AS90" i="26"/>
  <c r="AR87" i="26"/>
  <c r="AU332" i="26"/>
  <c r="AU331" i="26" s="1"/>
  <c r="AT331" i="26"/>
  <c r="CX72" i="12"/>
  <c r="AM96" i="28"/>
  <c r="AM217" i="26" s="1"/>
  <c r="AM88" i="28"/>
  <c r="AM21" i="26" s="1"/>
  <c r="AM102" i="28"/>
  <c r="AM298" i="26" s="1"/>
  <c r="AM82" i="28"/>
  <c r="AM102" i="26" s="1"/>
  <c r="AN70" i="28"/>
  <c r="AT7" i="19"/>
  <c r="AS3" i="19"/>
  <c r="AS4" i="12"/>
  <c r="AR3" i="12"/>
  <c r="AR25" i="12"/>
  <c r="AS23" i="12" s="1"/>
  <c r="AR15" i="12"/>
  <c r="AD6" i="4"/>
  <c r="AM98" i="28"/>
  <c r="AM92" i="28"/>
  <c r="AM84" i="28"/>
  <c r="AN66" i="28"/>
  <c r="AM78" i="28"/>
  <c r="AK321" i="26"/>
  <c r="AK320" i="26"/>
  <c r="AK318" i="26"/>
  <c r="AK300" i="26"/>
  <c r="AK292" i="26" s="1"/>
  <c r="AP172" i="19"/>
  <c r="AP157" i="19"/>
  <c r="AP142" i="19"/>
  <c r="AP188" i="19" s="1"/>
  <c r="AP195" i="19"/>
  <c r="AQ112" i="19"/>
  <c r="AP149" i="19"/>
  <c r="AL294" i="26"/>
  <c r="AS136" i="26"/>
  <c r="AT137" i="26"/>
  <c r="AS98" i="19"/>
  <c r="AS323" i="26"/>
  <c r="AS322" i="26" s="1"/>
  <c r="AT324" i="26"/>
  <c r="AJ318" i="26"/>
  <c r="AJ320" i="26"/>
  <c r="AJ321" i="26"/>
  <c r="AJ300" i="26"/>
  <c r="AJ292" i="26"/>
  <c r="AR135" i="26"/>
  <c r="AJ12" i="26"/>
  <c r="AO202" i="19"/>
  <c r="AO179" i="19"/>
  <c r="AS10" i="22"/>
  <c r="AR3" i="22"/>
  <c r="AP351" i="20"/>
  <c r="AP118" i="23"/>
  <c r="K60" i="33"/>
  <c r="L60" i="33"/>
  <c r="T136" i="25"/>
  <c r="S137" i="25"/>
  <c r="AK243" i="26"/>
  <c r="AK219" i="26"/>
  <c r="AK241" i="26"/>
  <c r="AK244" i="26"/>
  <c r="W203" i="25"/>
  <c r="V204" i="25"/>
  <c r="AU184" i="26"/>
  <c r="AU183" i="26" s="1"/>
  <c r="AU182" i="26" s="1"/>
  <c r="AT183" i="26"/>
  <c r="AT182" i="26" s="1"/>
  <c r="AY31" i="11"/>
  <c r="AT267" i="25"/>
  <c r="AT200" i="25"/>
  <c r="AT133" i="25"/>
  <c r="AT111" i="25"/>
  <c r="AT110" i="25" s="1"/>
  <c r="AT114" i="25" s="1"/>
  <c r="AT115" i="25" s="1"/>
  <c r="AU10" i="25"/>
  <c r="AT38" i="25"/>
  <c r="AC34" i="23"/>
  <c r="AT47" i="26"/>
  <c r="AS48" i="26"/>
  <c r="AS46" i="26" s="1"/>
  <c r="AS23" i="22"/>
  <c r="AR30" i="22"/>
  <c r="AO72" i="22"/>
  <c r="AP71" i="22"/>
  <c r="AT63" i="19"/>
  <c r="AS70" i="12"/>
  <c r="AU72" i="12"/>
  <c r="AT96" i="12"/>
  <c r="AT110" i="12" s="1"/>
  <c r="AH143" i="19"/>
  <c r="AH146" i="19" s="1"/>
  <c r="AG31" i="19"/>
  <c r="BH275" i="25"/>
  <c r="AS46" i="19"/>
  <c r="AL100" i="28"/>
  <c r="AL296" i="26" s="1"/>
  <c r="AL94" i="28"/>
  <c r="AL215" i="26" s="1"/>
  <c r="AL80" i="28"/>
  <c r="AL100" i="26" s="1"/>
  <c r="AL86" i="28"/>
  <c r="AL19" i="26" s="1"/>
  <c r="AM68" i="28"/>
  <c r="AW17" i="25"/>
  <c r="AV32" i="25"/>
  <c r="BD108" i="16"/>
  <c r="BC107" i="16"/>
  <c r="AT105" i="19"/>
  <c r="BQ149" i="37" l="1"/>
  <c r="AE40" i="12"/>
  <c r="AE43" i="12" s="1"/>
  <c r="BR37" i="37"/>
  <c r="BR149" i="37" s="1"/>
  <c r="BR12" i="37"/>
  <c r="BR267" i="37" s="1"/>
  <c r="AE50" i="12"/>
  <c r="AE51" i="12" s="1"/>
  <c r="AF18" i="12"/>
  <c r="BT26" i="37"/>
  <c r="BS31" i="37"/>
  <c r="BS32" i="37" s="1"/>
  <c r="AT14" i="19"/>
  <c r="AU202" i="37"/>
  <c r="AU134" i="37"/>
  <c r="AV46" i="37"/>
  <c r="AC40" i="36"/>
  <c r="AD6" i="36"/>
  <c r="AD69" i="36" s="1"/>
  <c r="AD54" i="4"/>
  <c r="AT40" i="19"/>
  <c r="AF8" i="12"/>
  <c r="AO11" i="11"/>
  <c r="AO54" i="13"/>
  <c r="AO18" i="15"/>
  <c r="AT50" i="19"/>
  <c r="AS4" i="15"/>
  <c r="AR3" i="15"/>
  <c r="AT38" i="19"/>
  <c r="AT34" i="13"/>
  <c r="AT33" i="13" s="1"/>
  <c r="AU137" i="26"/>
  <c r="AU136" i="26" s="1"/>
  <c r="AT136" i="26"/>
  <c r="AU105" i="19"/>
  <c r="AT18" i="19"/>
  <c r="AS37" i="22"/>
  <c r="U136" i="25"/>
  <c r="T137" i="25"/>
  <c r="H137" i="25" s="1"/>
  <c r="H136" i="25"/>
  <c r="AJ317" i="26"/>
  <c r="AJ302" i="26" s="1"/>
  <c r="AL97" i="28"/>
  <c r="AM98" i="26"/>
  <c r="BD3" i="13"/>
  <c r="AT41" i="18"/>
  <c r="AU16" i="11"/>
  <c r="AT15" i="11"/>
  <c r="AM90" i="28"/>
  <c r="AM23" i="26" s="1"/>
  <c r="AN72" i="28"/>
  <c r="AL97" i="26"/>
  <c r="BA53" i="12"/>
  <c r="CZ76" i="12"/>
  <c r="AU267" i="25"/>
  <c r="AU200" i="25"/>
  <c r="AU111" i="25"/>
  <c r="AU110" i="25" s="1"/>
  <c r="AU114" i="25" s="1"/>
  <c r="AU115" i="25" s="1"/>
  <c r="AU133" i="25"/>
  <c r="AV10" i="25"/>
  <c r="AU38" i="25"/>
  <c r="AT48" i="26"/>
  <c r="AT46" i="26" s="1"/>
  <c r="AU47" i="26"/>
  <c r="AL293" i="26"/>
  <c r="AN102" i="28"/>
  <c r="AN298" i="26" s="1"/>
  <c r="AN82" i="28"/>
  <c r="AN102" i="26" s="1"/>
  <c r="AN96" i="28"/>
  <c r="AN217" i="26" s="1"/>
  <c r="AN88" i="28"/>
  <c r="AN21" i="26" s="1"/>
  <c r="AO70" i="28"/>
  <c r="AU253" i="26"/>
  <c r="AU252" i="26" s="1"/>
  <c r="AU251" i="26" s="1"/>
  <c r="AT252" i="26"/>
  <c r="AT251" i="26" s="1"/>
  <c r="AT172" i="26"/>
  <c r="AU173" i="26"/>
  <c r="AU172" i="26" s="1"/>
  <c r="AT70" i="12"/>
  <c r="AK240" i="26"/>
  <c r="AN98" i="28"/>
  <c r="AN92" i="28"/>
  <c r="AO66" i="28"/>
  <c r="AN84" i="28"/>
  <c r="AN78" i="28"/>
  <c r="AT90" i="26"/>
  <c r="AS87" i="26"/>
  <c r="AT366" i="26"/>
  <c r="AU197" i="26"/>
  <c r="AU366" i="26" s="1"/>
  <c r="AT4" i="16"/>
  <c r="AT3" i="16"/>
  <c r="AU8" i="16"/>
  <c r="AV4" i="21"/>
  <c r="AR36" i="12"/>
  <c r="AS33" i="12"/>
  <c r="AS35" i="12" s="1"/>
  <c r="AR262" i="26"/>
  <c r="AR279" i="26"/>
  <c r="AR303" i="26"/>
  <c r="AR226" i="26"/>
  <c r="AR155" i="26"/>
  <c r="AR108" i="26"/>
  <c r="AR31" i="26"/>
  <c r="AS2" i="26"/>
  <c r="U42" i="25"/>
  <c r="V41" i="25"/>
  <c r="H50" i="33"/>
  <c r="I50" i="33" s="1"/>
  <c r="AL77" i="28"/>
  <c r="BB47" i="12"/>
  <c r="BA55" i="12"/>
  <c r="AS58" i="22"/>
  <c r="AS61" i="22" s="1"/>
  <c r="AS73" i="22" s="1"/>
  <c r="AT57" i="22"/>
  <c r="AS87" i="16"/>
  <c r="AT23" i="22"/>
  <c r="AS30" i="22"/>
  <c r="BE108" i="16"/>
  <c r="BD107" i="16"/>
  <c r="AV72" i="12"/>
  <c r="AN89" i="28"/>
  <c r="AN22" i="26" s="1"/>
  <c r="AO71" i="28"/>
  <c r="AR12" i="23"/>
  <c r="AK128" i="26"/>
  <c r="AK124" i="26" s="1"/>
  <c r="AK107" i="26" s="1"/>
  <c r="AK105" i="26"/>
  <c r="AK96" i="26"/>
  <c r="AX17" i="25"/>
  <c r="AW32" i="25"/>
  <c r="AM100" i="28"/>
  <c r="AM296" i="26" s="1"/>
  <c r="AM80" i="28"/>
  <c r="AM100" i="26" s="1"/>
  <c r="AN68" i="28"/>
  <c r="AM94" i="28"/>
  <c r="AM215" i="26" s="1"/>
  <c r="AM86" i="28"/>
  <c r="AM19" i="26" s="1"/>
  <c r="BI275" i="25"/>
  <c r="AT46" i="19"/>
  <c r="AU63" i="19"/>
  <c r="AU324" i="26"/>
  <c r="AU323" i="26" s="1"/>
  <c r="AU322" i="26" s="1"/>
  <c r="AT323" i="26"/>
  <c r="AT322" i="26" s="1"/>
  <c r="AQ142" i="19"/>
  <c r="AQ188" i="19" s="1"/>
  <c r="AQ195" i="19"/>
  <c r="AR112" i="19"/>
  <c r="AQ149" i="19"/>
  <c r="AQ172" i="19"/>
  <c r="AQ157" i="19"/>
  <c r="AK317" i="26"/>
  <c r="AK302" i="26" s="1"/>
  <c r="AM17" i="26"/>
  <c r="AS367" i="26"/>
  <c r="AT190" i="26"/>
  <c r="AS188" i="26"/>
  <c r="AF38" i="12"/>
  <c r="AF10" i="12"/>
  <c r="AK52" i="26"/>
  <c r="AK30" i="26" s="1"/>
  <c r="AT58" i="13"/>
  <c r="AS199" i="20"/>
  <c r="AU180" i="26"/>
  <c r="AU179" i="26" s="1"/>
  <c r="AT179" i="26"/>
  <c r="CY84" i="12"/>
  <c r="V54" i="33"/>
  <c r="T53" i="33" s="1"/>
  <c r="AU125" i="26"/>
  <c r="AN99" i="28"/>
  <c r="AN295" i="26" s="1"/>
  <c r="AN85" i="28"/>
  <c r="AN18" i="26" s="1"/>
  <c r="AN79" i="28"/>
  <c r="AN99" i="26" s="1"/>
  <c r="AN93" i="28"/>
  <c r="AN214" i="26" s="1"/>
  <c r="AO67" i="28"/>
  <c r="AU122" i="26"/>
  <c r="AU121" i="26" s="1"/>
  <c r="AT121" i="26"/>
  <c r="AV76" i="12"/>
  <c r="AR13" i="26"/>
  <c r="AR26" i="26"/>
  <c r="T39" i="33"/>
  <c r="T38" i="33" s="1"/>
  <c r="J50" i="33"/>
  <c r="AU84" i="12"/>
  <c r="AU96" i="12" s="1"/>
  <c r="AU110" i="12" s="1"/>
  <c r="X203" i="25"/>
  <c r="W204" i="25"/>
  <c r="AM91" i="28"/>
  <c r="AM213" i="26"/>
  <c r="AM212" i="26" s="1"/>
  <c r="AS13" i="12"/>
  <c r="AS15" i="12" s="1"/>
  <c r="AR16" i="12"/>
  <c r="AI143" i="19"/>
  <c r="AI146" i="19" s="1"/>
  <c r="AH31" i="19"/>
  <c r="AT10" i="22"/>
  <c r="AS3" i="22"/>
  <c r="AS135" i="26"/>
  <c r="AP202" i="19"/>
  <c r="AP179" i="19"/>
  <c r="AM97" i="28"/>
  <c r="AM294" i="26"/>
  <c r="AM293" i="26" s="1"/>
  <c r="AT81" i="23"/>
  <c r="AR94" i="12"/>
  <c r="AR78" i="12"/>
  <c r="AR82" i="12"/>
  <c r="AR90" i="12"/>
  <c r="AE113" i="19"/>
  <c r="AD23" i="19"/>
  <c r="AT368" i="26"/>
  <c r="AU285" i="26"/>
  <c r="AL16" i="26"/>
  <c r="K61" i="33"/>
  <c r="L61" i="33" s="1"/>
  <c r="AZ31" i="11"/>
  <c r="AQ7" i="15"/>
  <c r="AS25" i="12"/>
  <c r="AT23" i="12" s="1"/>
  <c r="AT4" i="12"/>
  <c r="AS3" i="12"/>
  <c r="AE6" i="4"/>
  <c r="AU7" i="19"/>
  <c r="AT3" i="19"/>
  <c r="CY72" i="12"/>
  <c r="AT27" i="19"/>
  <c r="AS26" i="19"/>
  <c r="AT55" i="22"/>
  <c r="AR6" i="23"/>
  <c r="AR5" i="23" s="1"/>
  <c r="AV5" i="16"/>
  <c r="AS53" i="13"/>
  <c r="AS44" i="12"/>
  <c r="AL212" i="26"/>
  <c r="AR62" i="16"/>
  <c r="AR25" i="16" s="1"/>
  <c r="AT75" i="28"/>
  <c r="AS14" i="26"/>
  <c r="AL83" i="28"/>
  <c r="AU77" i="19"/>
  <c r="AT80" i="19"/>
  <c r="AT81" i="19" s="1"/>
  <c r="AU78" i="19" s="1"/>
  <c r="AV80" i="12"/>
  <c r="AW24" i="11"/>
  <c r="F65" i="33"/>
  <c r="G65" i="33"/>
  <c r="D66" i="33"/>
  <c r="AT8" i="11"/>
  <c r="AS3" i="11"/>
  <c r="AS10" i="11"/>
  <c r="AT17" i="15" s="1"/>
  <c r="BJ5" i="18"/>
  <c r="BI35" i="18"/>
  <c r="BI3" i="18"/>
  <c r="AS20" i="15"/>
  <c r="AV168" i="19"/>
  <c r="AW165" i="19" s="1"/>
  <c r="AV169" i="19"/>
  <c r="AS59" i="12"/>
  <c r="AS3" i="23"/>
  <c r="AT10" i="23"/>
  <c r="AV3" i="17"/>
  <c r="AP101" i="28"/>
  <c r="AP297" i="26" s="1"/>
  <c r="AQ69" i="28"/>
  <c r="AP95" i="28"/>
  <c r="AP216" i="26" s="1"/>
  <c r="AP87" i="28"/>
  <c r="AP20" i="26" s="1"/>
  <c r="AP81" i="28"/>
  <c r="AP101" i="26" s="1"/>
  <c r="AS57" i="26"/>
  <c r="AT1" i="26"/>
  <c r="AT93" i="16"/>
  <c r="AP31" i="12"/>
  <c r="AP30" i="12"/>
  <c r="AQ28" i="12" s="1"/>
  <c r="AT98" i="19"/>
  <c r="AP72" i="22"/>
  <c r="AQ71" i="22"/>
  <c r="AR126" i="19"/>
  <c r="BC92" i="12"/>
  <c r="AS91" i="19"/>
  <c r="BI274" i="25"/>
  <c r="AO38" i="22"/>
  <c r="AT45" i="19"/>
  <c r="AV88" i="12"/>
  <c r="AS313" i="26"/>
  <c r="AT314" i="26"/>
  <c r="BT27" i="37" l="1"/>
  <c r="Y24" i="25"/>
  <c r="BR217" i="37"/>
  <c r="BS37" i="37"/>
  <c r="BS149" i="37" s="1"/>
  <c r="BS12" i="37"/>
  <c r="BS267" i="37" s="1"/>
  <c r="AF20" i="12"/>
  <c r="AF50" i="12" s="1"/>
  <c r="AF49" i="12"/>
  <c r="AF21" i="12"/>
  <c r="AF52" i="12" s="1"/>
  <c r="BU26" i="37"/>
  <c r="BU27" i="37" s="1"/>
  <c r="BT31" i="37"/>
  <c r="BT32" i="37" s="1"/>
  <c r="AV202" i="37"/>
  <c r="AV134" i="37"/>
  <c r="AW46" i="37"/>
  <c r="AD40" i="36"/>
  <c r="AE6" i="36"/>
  <c r="AE40" i="36" s="1"/>
  <c r="AE54" i="4"/>
  <c r="AU50" i="19"/>
  <c r="AP18" i="15"/>
  <c r="AP54" i="13"/>
  <c r="AP11" i="11"/>
  <c r="AT4" i="15"/>
  <c r="AS3" i="15"/>
  <c r="AU34" i="13"/>
  <c r="AU33" i="13" s="1"/>
  <c r="AQ31" i="12"/>
  <c r="AQ30" i="12"/>
  <c r="AR28" i="12" s="1"/>
  <c r="AM320" i="26"/>
  <c r="AM300" i="26"/>
  <c r="AM321" i="26"/>
  <c r="AM292" i="26"/>
  <c r="AM318" i="26"/>
  <c r="AU10" i="22"/>
  <c r="AT3" i="22"/>
  <c r="AT13" i="12"/>
  <c r="AT15" i="12" s="1"/>
  <c r="AS16" i="12"/>
  <c r="AW76" i="12"/>
  <c r="AG8" i="12"/>
  <c r="AM16" i="26"/>
  <c r="AQ202" i="19"/>
  <c r="AQ179" i="19"/>
  <c r="AN100" i="28"/>
  <c r="AN296" i="26" s="1"/>
  <c r="AN80" i="28"/>
  <c r="AN100" i="26" s="1"/>
  <c r="AN94" i="28"/>
  <c r="AN215" i="26" s="1"/>
  <c r="AN86" i="28"/>
  <c r="AN19" i="26" s="1"/>
  <c r="AO68" i="28"/>
  <c r="AT58" i="22"/>
  <c r="AT61" i="22" s="1"/>
  <c r="AT73" i="22" s="1"/>
  <c r="F57" i="22"/>
  <c r="BB53" i="12"/>
  <c r="AW4" i="21"/>
  <c r="AN17" i="26"/>
  <c r="AD34" i="23"/>
  <c r="W655" i="20" s="1"/>
  <c r="AS62" i="16"/>
  <c r="AS25" i="16" s="1"/>
  <c r="AT26" i="19"/>
  <c r="AU27" i="19"/>
  <c r="F66" i="33"/>
  <c r="D67" i="33"/>
  <c r="G66" i="33"/>
  <c r="BA31" i="11"/>
  <c r="AM83" i="28"/>
  <c r="BC47" i="12"/>
  <c r="BB55" i="12"/>
  <c r="T63" i="33"/>
  <c r="V63" i="33" s="1"/>
  <c r="AV8" i="16"/>
  <c r="AU3" i="16"/>
  <c r="AU4" i="16"/>
  <c r="AO92" i="28"/>
  <c r="AP66" i="28"/>
  <c r="AO84" i="28"/>
  <c r="AO78" i="28"/>
  <c r="AO98" i="28"/>
  <c r="AV267" i="25"/>
  <c r="AV200" i="25"/>
  <c r="AV133" i="25"/>
  <c r="AV111" i="25"/>
  <c r="AV110" i="25" s="1"/>
  <c r="AV114" i="25" s="1"/>
  <c r="AV115" i="25" s="1"/>
  <c r="AW10" i="25"/>
  <c r="AV38" i="25"/>
  <c r="AU93" i="16"/>
  <c r="AU75" i="28"/>
  <c r="AT14" i="26"/>
  <c r="AU10" i="23"/>
  <c r="AT3" i="23"/>
  <c r="AS12" i="23"/>
  <c r="AL241" i="26"/>
  <c r="AL243" i="26"/>
  <c r="AL219" i="26"/>
  <c r="AL244" i="26"/>
  <c r="BJ274" i="25"/>
  <c r="AP38" i="22"/>
  <c r="AU45" i="19"/>
  <c r="AW3" i="17"/>
  <c r="BK5" i="18"/>
  <c r="BJ35" i="18"/>
  <c r="BJ3" i="18"/>
  <c r="AS6" i="23"/>
  <c r="AW5" i="16"/>
  <c r="AT53" i="13"/>
  <c r="AT44" i="12"/>
  <c r="CZ72" i="12"/>
  <c r="AU40" i="19"/>
  <c r="AJ143" i="19"/>
  <c r="AJ146" i="19" s="1"/>
  <c r="AI31" i="19"/>
  <c r="Y203" i="25"/>
  <c r="X204" i="25"/>
  <c r="AS303" i="26"/>
  <c r="AS279" i="26"/>
  <c r="AS262" i="26"/>
  <c r="AS226" i="26"/>
  <c r="AS155" i="26"/>
  <c r="AS108" i="26"/>
  <c r="AS31" i="26"/>
  <c r="AT2" i="26"/>
  <c r="AS36" i="12"/>
  <c r="AT33" i="12"/>
  <c r="AT35" i="12" s="1"/>
  <c r="AN91" i="28"/>
  <c r="AN213" i="26"/>
  <c r="AN212" i="26" s="1"/>
  <c r="AU70" i="12"/>
  <c r="BE3" i="13"/>
  <c r="AT91" i="19"/>
  <c r="AU314" i="26"/>
  <c r="AU313" i="26" s="1"/>
  <c r="AT313" i="26"/>
  <c r="AT25" i="12"/>
  <c r="AU23" i="12" s="1"/>
  <c r="AU4" i="12"/>
  <c r="AT3" i="12"/>
  <c r="AF6" i="4"/>
  <c r="AP71" i="28"/>
  <c r="AO89" i="28"/>
  <c r="AO22" i="26" s="1"/>
  <c r="AN97" i="28"/>
  <c r="AN294" i="26"/>
  <c r="AN293" i="26" s="1"/>
  <c r="DA76" i="12"/>
  <c r="AV105" i="19"/>
  <c r="AS126" i="19"/>
  <c r="AT57" i="26"/>
  <c r="AU1" i="26"/>
  <c r="AU57" i="26" s="1"/>
  <c r="BD92" i="12"/>
  <c r="AQ72" i="22"/>
  <c r="AR71" i="22"/>
  <c r="AW168" i="19"/>
  <c r="AX165" i="19" s="1"/>
  <c r="AW169" i="19"/>
  <c r="AU8" i="11"/>
  <c r="AT10" i="11"/>
  <c r="AT3" i="11"/>
  <c r="AL28" i="26"/>
  <c r="AL25" i="26" s="1"/>
  <c r="AL56" i="26"/>
  <c r="AL55" i="26"/>
  <c r="AL53" i="26"/>
  <c r="AM244" i="26"/>
  <c r="AM243" i="26"/>
  <c r="AM241" i="26"/>
  <c r="AM240" i="26" s="1"/>
  <c r="AM219" i="26"/>
  <c r="AV84" i="12"/>
  <c r="AV96" i="12" s="1"/>
  <c r="AV110" i="12" s="1"/>
  <c r="AT367" i="26"/>
  <c r="AT188" i="26"/>
  <c r="AU190" i="26"/>
  <c r="BJ275" i="25"/>
  <c r="AU46" i="19"/>
  <c r="BF108" i="16"/>
  <c r="BE107" i="16"/>
  <c r="AL103" i="28"/>
  <c r="AL320" i="26"/>
  <c r="AL321" i="26"/>
  <c r="AL318" i="26"/>
  <c r="AL300" i="26"/>
  <c r="AL292" i="26" s="1"/>
  <c r="K139" i="25"/>
  <c r="K141" i="25" s="1"/>
  <c r="J139" i="25"/>
  <c r="J141" i="25" s="1"/>
  <c r="O139" i="25"/>
  <c r="O141" i="25" s="1"/>
  <c r="N139" i="25"/>
  <c r="N141" i="25" s="1"/>
  <c r="M139" i="25"/>
  <c r="M141" i="25" s="1"/>
  <c r="L139" i="25"/>
  <c r="L141" i="25" s="1"/>
  <c r="AT135" i="26"/>
  <c r="AW88" i="12"/>
  <c r="AQ95" i="28"/>
  <c r="AQ216" i="26" s="1"/>
  <c r="AQ81" i="28"/>
  <c r="AQ101" i="26" s="1"/>
  <c r="AR69" i="28"/>
  <c r="AQ101" i="28"/>
  <c r="AQ297" i="26" s="1"/>
  <c r="AQ87" i="28"/>
  <c r="AQ20" i="26" s="1"/>
  <c r="AT20" i="15"/>
  <c r="AX24" i="11"/>
  <c r="AV77" i="19"/>
  <c r="AU80" i="19"/>
  <c r="AU81" i="19" s="1"/>
  <c r="AV78" i="19" s="1"/>
  <c r="AU368" i="26"/>
  <c r="AE115" i="19"/>
  <c r="AE116" i="19"/>
  <c r="H52" i="33"/>
  <c r="I52" i="33" s="1"/>
  <c r="H51" i="33"/>
  <c r="CZ84" i="12"/>
  <c r="AV63" i="19"/>
  <c r="AY17" i="25"/>
  <c r="AX32" i="25"/>
  <c r="AT87" i="16"/>
  <c r="V42" i="25"/>
  <c r="W41" i="25"/>
  <c r="AU48" i="26"/>
  <c r="AU46" i="26" s="1"/>
  <c r="AU38" i="19"/>
  <c r="V136" i="25"/>
  <c r="U137" i="25"/>
  <c r="AT37" i="22"/>
  <c r="AT59" i="12"/>
  <c r="AU58" i="13"/>
  <c r="AR195" i="19"/>
  <c r="AS112" i="19"/>
  <c r="AR149" i="19"/>
  <c r="AR172" i="19"/>
  <c r="AR157" i="19"/>
  <c r="AR142" i="19"/>
  <c r="AR188" i="19" s="1"/>
  <c r="AW72" i="12"/>
  <c r="AT30" i="22"/>
  <c r="AU23" i="22"/>
  <c r="AU90" i="26"/>
  <c r="AU87" i="26" s="1"/>
  <c r="AT87" i="26"/>
  <c r="AM97" i="26"/>
  <c r="AU14" i="19"/>
  <c r="AS26" i="26"/>
  <c r="AS13" i="26"/>
  <c r="AS94" i="12"/>
  <c r="AS78" i="12"/>
  <c r="AS82" i="12"/>
  <c r="AS90" i="12"/>
  <c r="AU55" i="22"/>
  <c r="AU81" i="23"/>
  <c r="AU98" i="19"/>
  <c r="AW80" i="12"/>
  <c r="AR7" i="15"/>
  <c r="AV7" i="19"/>
  <c r="AU3" i="19"/>
  <c r="AO99" i="28"/>
  <c r="AO295" i="26" s="1"/>
  <c r="AO79" i="28"/>
  <c r="AO99" i="26" s="1"/>
  <c r="AO85" i="28"/>
  <c r="AO18" i="26" s="1"/>
  <c r="AP67" i="28"/>
  <c r="AO93" i="28"/>
  <c r="AO214" i="26" s="1"/>
  <c r="AT199" i="20"/>
  <c r="AN77" i="28"/>
  <c r="AN98" i="26"/>
  <c r="AN97" i="26" s="1"/>
  <c r="AO96" i="28"/>
  <c r="AO217" i="26" s="1"/>
  <c r="AO102" i="28"/>
  <c r="AO298" i="26" s="1"/>
  <c r="AO82" i="28"/>
  <c r="AO102" i="26" s="1"/>
  <c r="AP70" i="28"/>
  <c r="AO88" i="28"/>
  <c r="AO21" i="26" s="1"/>
  <c r="AL128" i="26"/>
  <c r="AL124" i="26" s="1"/>
  <c r="AL107" i="26" s="1"/>
  <c r="AL105" i="26"/>
  <c r="AL96" i="26"/>
  <c r="AO72" i="28"/>
  <c r="AN90" i="28"/>
  <c r="AN23" i="26" s="1"/>
  <c r="AV16" i="11"/>
  <c r="AU15" i="11"/>
  <c r="AM77" i="28"/>
  <c r="AM103" i="28" s="1"/>
  <c r="AU18" i="19"/>
  <c r="BS217" i="37" l="1"/>
  <c r="Y25" i="25"/>
  <c r="Y29" i="25" s="1"/>
  <c r="Y30" i="25" s="1"/>
  <c r="AF51" i="12"/>
  <c r="AG18" i="12"/>
  <c r="BT37" i="37"/>
  <c r="BT149" i="37" s="1"/>
  <c r="BT12" i="37"/>
  <c r="BT267" i="37" s="1"/>
  <c r="AE69" i="36"/>
  <c r="AG49" i="12"/>
  <c r="AG20" i="12"/>
  <c r="AG21" i="12"/>
  <c r="AG52" i="12" s="1"/>
  <c r="AF40" i="12"/>
  <c r="BV26" i="37"/>
  <c r="BU31" i="37"/>
  <c r="BU32" i="37" s="1"/>
  <c r="AW202" i="37"/>
  <c r="AW134" i="37"/>
  <c r="AX46" i="37"/>
  <c r="AF6" i="36"/>
  <c r="AF40" i="36" s="1"/>
  <c r="AF54" i="4"/>
  <c r="AS5" i="23"/>
  <c r="AQ18" i="15"/>
  <c r="AQ54" i="13"/>
  <c r="AU17" i="15"/>
  <c r="AQ11" i="11"/>
  <c r="AU4" i="15"/>
  <c r="AT3" i="15"/>
  <c r="AV34" i="13"/>
  <c r="AV33" i="13" s="1"/>
  <c r="AR31" i="12"/>
  <c r="AR30" i="12"/>
  <c r="AS28" i="12" s="1"/>
  <c r="AV18" i="19"/>
  <c r="AV15" i="11"/>
  <c r="AW16" i="11"/>
  <c r="AU30" i="22"/>
  <c r="AV23" i="22"/>
  <c r="T61" i="33"/>
  <c r="I51" i="33"/>
  <c r="AU10" i="11"/>
  <c r="AU3" i="11"/>
  <c r="AV8" i="11"/>
  <c r="AX4" i="21"/>
  <c r="N150" i="25"/>
  <c r="N143" i="25"/>
  <c r="N149" i="25" s="1"/>
  <c r="N151" i="25" s="1"/>
  <c r="AU367" i="26"/>
  <c r="AU188" i="26"/>
  <c r="AW105" i="19"/>
  <c r="AP89" i="28"/>
  <c r="AP22" i="26" s="1"/>
  <c r="AQ71" i="28"/>
  <c r="AU91" i="19"/>
  <c r="DA72" i="12"/>
  <c r="AO294" i="26"/>
  <c r="AU3" i="22"/>
  <c r="AV10" i="22"/>
  <c r="AV81" i="23"/>
  <c r="T68" i="33"/>
  <c r="V68" i="33" s="1"/>
  <c r="AW77" i="19"/>
  <c r="AV80" i="19"/>
  <c r="AV81" i="19" s="1"/>
  <c r="AW78" i="19" s="1"/>
  <c r="O150" i="25"/>
  <c r="O143" i="25"/>
  <c r="O149" i="25" s="1"/>
  <c r="AX168" i="19"/>
  <c r="AY165" i="19" s="1"/>
  <c r="AX169" i="19"/>
  <c r="BF3" i="13"/>
  <c r="AV70" i="12"/>
  <c r="AX3" i="17"/>
  <c r="BK274" i="25"/>
  <c r="AQ38" i="22"/>
  <c r="AV45" i="19"/>
  <c r="AO98" i="26"/>
  <c r="AW8" i="16"/>
  <c r="AV3" i="16"/>
  <c r="AV4" i="16"/>
  <c r="AM317" i="26"/>
  <c r="AM302" i="26" s="1"/>
  <c r="AN128" i="26"/>
  <c r="AN124" i="26" s="1"/>
  <c r="AN107" i="26" s="1"/>
  <c r="AN105" i="26"/>
  <c r="AN96" i="26" s="1"/>
  <c r="AP102" i="28"/>
  <c r="AP298" i="26" s="1"/>
  <c r="AP96" i="28"/>
  <c r="AP217" i="26" s="1"/>
  <c r="AQ70" i="28"/>
  <c r="AP88" i="28"/>
  <c r="AP21" i="26" s="1"/>
  <c r="AP82" i="28"/>
  <c r="AP102" i="26" s="1"/>
  <c r="AV14" i="19"/>
  <c r="AR95" i="28"/>
  <c r="AR216" i="26" s="1"/>
  <c r="AR87" i="28"/>
  <c r="AR20" i="26" s="1"/>
  <c r="AR101" i="28"/>
  <c r="AR297" i="26" s="1"/>
  <c r="AS69" i="28"/>
  <c r="AR81" i="28"/>
  <c r="AR101" i="26" s="1"/>
  <c r="AP85" i="28"/>
  <c r="AP18" i="26" s="1"/>
  <c r="AP79" i="28"/>
  <c r="AP99" i="26" s="1"/>
  <c r="AP93" i="28"/>
  <c r="AP214" i="26" s="1"/>
  <c r="AP99" i="28"/>
  <c r="AP295" i="26" s="1"/>
  <c r="AQ67" i="28"/>
  <c r="AV98" i="19"/>
  <c r="AM128" i="26"/>
  <c r="AM124" i="26" s="1"/>
  <c r="AM107" i="26" s="1"/>
  <c r="AM105" i="26"/>
  <c r="AM96" i="26" s="1"/>
  <c r="AX72" i="12"/>
  <c r="AS149" i="19"/>
  <c r="AS172" i="19"/>
  <c r="AS157" i="19"/>
  <c r="AS142" i="19"/>
  <c r="AS188" i="19" s="1"/>
  <c r="AS195" i="19"/>
  <c r="AT112" i="19"/>
  <c r="AV58" i="13"/>
  <c r="AZ17" i="25"/>
  <c r="AY32" i="25"/>
  <c r="DA84" i="12"/>
  <c r="AY24" i="11"/>
  <c r="M150" i="25"/>
  <c r="M143" i="25"/>
  <c r="M149" i="25" s="1"/>
  <c r="AL317" i="26"/>
  <c r="AL302" i="26" s="1"/>
  <c r="AO90" i="28"/>
  <c r="AO23" i="26" s="1"/>
  <c r="AP72" i="28"/>
  <c r="AV55" i="22"/>
  <c r="AU37" i="22"/>
  <c r="W42" i="25"/>
  <c r="X41" i="25"/>
  <c r="AW63" i="19"/>
  <c r="L150" i="25"/>
  <c r="L143" i="25"/>
  <c r="L149" i="25" s="1"/>
  <c r="L151" i="25" s="1"/>
  <c r="AW84" i="12"/>
  <c r="AW96" i="12" s="1"/>
  <c r="AW110" i="12" s="1"/>
  <c r="AR72" i="22"/>
  <c r="AS71" i="22"/>
  <c r="AN244" i="26"/>
  <c r="AN243" i="26"/>
  <c r="AN241" i="26"/>
  <c r="AN240" i="26" s="1"/>
  <c r="AN219" i="26"/>
  <c r="AL240" i="26"/>
  <c r="AT13" i="26"/>
  <c r="AT26" i="26"/>
  <c r="AW267" i="25"/>
  <c r="AW200" i="25"/>
  <c r="AW133" i="25"/>
  <c r="AW111" i="25"/>
  <c r="AW110" i="25" s="1"/>
  <c r="AW114" i="25" s="1"/>
  <c r="AW115" i="25" s="1"/>
  <c r="AX10" i="25"/>
  <c r="AW38" i="25"/>
  <c r="AO17" i="26"/>
  <c r="BC53" i="12"/>
  <c r="AU26" i="19"/>
  <c r="AV27" i="19"/>
  <c r="AO100" i="28"/>
  <c r="AO296" i="26" s="1"/>
  <c r="AO94" i="28"/>
  <c r="AO215" i="26" s="1"/>
  <c r="AO86" i="28"/>
  <c r="AO19" i="26" s="1"/>
  <c r="AO80" i="28"/>
  <c r="AO100" i="26" s="1"/>
  <c r="AP68" i="28"/>
  <c r="AW7" i="19"/>
  <c r="AV3" i="19"/>
  <c r="AT4" i="23"/>
  <c r="AU14" i="26"/>
  <c r="AP84" i="28"/>
  <c r="AP78" i="28"/>
  <c r="AP92" i="28"/>
  <c r="AP98" i="28"/>
  <c r="AQ66" i="28"/>
  <c r="BD47" i="12"/>
  <c r="BC55" i="12"/>
  <c r="AN16" i="26"/>
  <c r="AM28" i="26"/>
  <c r="AM25" i="26" s="1"/>
  <c r="AM12" i="26" s="1"/>
  <c r="AM55" i="26"/>
  <c r="AM56" i="26"/>
  <c r="AM53" i="26"/>
  <c r="AX76" i="12"/>
  <c r="AV50" i="19"/>
  <c r="BG108" i="16"/>
  <c r="BF107" i="16"/>
  <c r="AL52" i="26"/>
  <c r="AL30" i="26" s="1"/>
  <c r="AT126" i="19"/>
  <c r="AS7" i="15"/>
  <c r="W136" i="25"/>
  <c r="V137" i="25"/>
  <c r="AL12" i="26"/>
  <c r="BE92" i="12"/>
  <c r="DB76" i="12"/>
  <c r="AU33" i="12"/>
  <c r="AU35" i="12" s="1"/>
  <c r="AT36" i="12"/>
  <c r="Z203" i="25"/>
  <c r="Y204" i="25"/>
  <c r="AV40" i="19"/>
  <c r="AW40" i="19" s="1"/>
  <c r="AT62" i="16"/>
  <c r="AT25" i="16" s="1"/>
  <c r="AV10" i="23"/>
  <c r="AU3" i="23"/>
  <c r="AO91" i="28"/>
  <c r="AO213" i="26"/>
  <c r="AN83" i="28"/>
  <c r="AN103" i="28" s="1"/>
  <c r="AG38" i="12"/>
  <c r="AG10" i="12"/>
  <c r="AG40" i="12" s="1"/>
  <c r="AX80" i="12"/>
  <c r="AR202" i="19"/>
  <c r="AR179" i="19"/>
  <c r="AU59" i="12"/>
  <c r="AV38" i="19"/>
  <c r="AU87" i="16"/>
  <c r="AF113" i="19"/>
  <c r="AE23" i="19"/>
  <c r="AU20" i="15"/>
  <c r="AX88" i="12"/>
  <c r="J143" i="25"/>
  <c r="J150" i="25"/>
  <c r="K150" i="25"/>
  <c r="K143" i="25"/>
  <c r="K149" i="25" s="1"/>
  <c r="K151" i="25" s="1"/>
  <c r="BK275" i="25"/>
  <c r="AV46" i="19"/>
  <c r="AU25" i="12"/>
  <c r="AV23" i="12" s="1"/>
  <c r="AV4" i="12"/>
  <c r="AU3" i="12"/>
  <c r="AG6" i="4"/>
  <c r="AT94" i="12"/>
  <c r="AT82" i="12"/>
  <c r="AT90" i="12"/>
  <c r="AT78" i="12"/>
  <c r="AT12" i="23"/>
  <c r="AV93" i="16"/>
  <c r="K62" i="33"/>
  <c r="L62" i="33" s="1"/>
  <c r="AT16" i="12"/>
  <c r="AU13" i="12"/>
  <c r="AT6" i="23"/>
  <c r="AU53" i="13"/>
  <c r="AU44" i="12"/>
  <c r="AX5" i="16"/>
  <c r="AN321" i="26"/>
  <c r="AN320" i="26"/>
  <c r="AN318" i="26"/>
  <c r="AN300" i="26"/>
  <c r="AN292" i="26"/>
  <c r="AT279" i="26"/>
  <c r="AT303" i="26"/>
  <c r="AT262" i="26"/>
  <c r="AT226" i="26"/>
  <c r="AT155" i="26"/>
  <c r="AT108" i="26"/>
  <c r="AT31" i="26"/>
  <c r="AU2" i="26"/>
  <c r="AK143" i="19"/>
  <c r="AK146" i="19" s="1"/>
  <c r="AJ31" i="19"/>
  <c r="BL5" i="18"/>
  <c r="BK56" i="18"/>
  <c r="BK57" i="18" s="1"/>
  <c r="BK35" i="18"/>
  <c r="BK3" i="18"/>
  <c r="F67" i="33"/>
  <c r="D68" i="33"/>
  <c r="G67" i="33"/>
  <c r="BV27" i="37" l="1"/>
  <c r="Y11" i="25"/>
  <c r="Y268" i="25" s="1"/>
  <c r="Y34" i="25"/>
  <c r="AG43" i="12"/>
  <c r="BT217" i="37"/>
  <c r="AU41" i="18"/>
  <c r="AE34" i="23" s="1"/>
  <c r="AF43" i="12"/>
  <c r="BU37" i="37"/>
  <c r="BU149" i="37" s="1"/>
  <c r="BU12" i="37"/>
  <c r="BU267" i="37" s="1"/>
  <c r="AW38" i="19"/>
  <c r="AG50" i="12"/>
  <c r="AG51" i="12" s="1"/>
  <c r="AH18" i="12"/>
  <c r="BW26" i="37"/>
  <c r="BW27" i="37" s="1"/>
  <c r="BV31" i="37"/>
  <c r="BV32" i="37" s="1"/>
  <c r="AX134" i="37"/>
  <c r="AY46" i="37"/>
  <c r="AF69" i="36"/>
  <c r="AX202" i="37"/>
  <c r="AG6" i="36"/>
  <c r="AG69" i="36" s="1"/>
  <c r="AG54" i="4"/>
  <c r="AT5" i="23"/>
  <c r="O151" i="25"/>
  <c r="M151" i="25"/>
  <c r="AV17" i="15"/>
  <c r="M61" i="20"/>
  <c r="I61" i="20"/>
  <c r="D61" i="20"/>
  <c r="L61" i="20"/>
  <c r="K8" i="20"/>
  <c r="F8" i="20"/>
  <c r="O61" i="20"/>
  <c r="G61" i="20"/>
  <c r="G85" i="20"/>
  <c r="F61" i="20"/>
  <c r="D8" i="20"/>
  <c r="D13" i="20" s="1"/>
  <c r="D14" i="20" s="1"/>
  <c r="G8" i="20"/>
  <c r="H85" i="20"/>
  <c r="I8" i="20"/>
  <c r="E61" i="20"/>
  <c r="N61" i="20"/>
  <c r="E85" i="20"/>
  <c r="P61" i="20"/>
  <c r="H8" i="20"/>
  <c r="L8" i="20"/>
  <c r="F85" i="20"/>
  <c r="H61" i="20"/>
  <c r="J8" i="20"/>
  <c r="E8" i="20"/>
  <c r="H34" i="20"/>
  <c r="N8" i="20"/>
  <c r="J61" i="20"/>
  <c r="K61" i="20"/>
  <c r="M8" i="20"/>
  <c r="D85" i="20"/>
  <c r="AU47" i="13"/>
  <c r="AR54" i="13"/>
  <c r="AR11" i="11"/>
  <c r="AR18" i="15"/>
  <c r="AV47" i="13"/>
  <c r="AS47" i="13"/>
  <c r="AM37" i="13"/>
  <c r="H47" i="13"/>
  <c r="I47" i="13"/>
  <c r="K47" i="13"/>
  <c r="J47" i="13"/>
  <c r="M47" i="13"/>
  <c r="L47" i="13"/>
  <c r="O47" i="13"/>
  <c r="N47" i="13"/>
  <c r="Q47" i="13"/>
  <c r="P47" i="13"/>
  <c r="R47" i="13"/>
  <c r="S47" i="13"/>
  <c r="V47" i="13"/>
  <c r="T47" i="13"/>
  <c r="U47" i="13"/>
  <c r="X47" i="13"/>
  <c r="W47" i="13"/>
  <c r="Y47" i="13"/>
  <c r="Z47" i="13"/>
  <c r="AC47" i="13"/>
  <c r="AA47" i="13"/>
  <c r="AB47" i="13"/>
  <c r="AE47" i="13"/>
  <c r="AD47" i="13"/>
  <c r="AH47" i="13"/>
  <c r="AF47" i="13"/>
  <c r="AG47" i="13"/>
  <c r="AJ47" i="13"/>
  <c r="AI47" i="13"/>
  <c r="AM47" i="13"/>
  <c r="AK47" i="13"/>
  <c r="AL47" i="13"/>
  <c r="AO47" i="13"/>
  <c r="AN47" i="13"/>
  <c r="AP47" i="13"/>
  <c r="AR47" i="13"/>
  <c r="AQ47" i="13"/>
  <c r="AT47" i="13"/>
  <c r="AM38" i="13"/>
  <c r="AL43" i="16" s="1"/>
  <c r="AL11" i="16" s="1"/>
  <c r="BB9" i="18" s="1"/>
  <c r="AS42" i="13"/>
  <c r="AU42" i="13"/>
  <c r="AO39" i="13"/>
  <c r="AN44" i="16" s="1"/>
  <c r="AN12" i="16" s="1"/>
  <c r="BD10" i="18" s="1"/>
  <c r="AQ37" i="13"/>
  <c r="AP38" i="13"/>
  <c r="AP39" i="13"/>
  <c r="AR37" i="13"/>
  <c r="AR38" i="13"/>
  <c r="AQ43" i="16" s="1"/>
  <c r="AQ11" i="16" s="1"/>
  <c r="BG9" i="18" s="1"/>
  <c r="AR39" i="13"/>
  <c r="AQ44" i="16" s="1"/>
  <c r="AQ12" i="16" s="1"/>
  <c r="BG10" i="18" s="1"/>
  <c r="AQ44" i="13"/>
  <c r="AQ46" i="13"/>
  <c r="AQ45" i="13" s="1"/>
  <c r="AP47" i="16" s="1"/>
  <c r="AP15" i="16" s="1"/>
  <c r="BF13" i="18" s="1"/>
  <c r="AP37" i="13"/>
  <c r="Y38" i="13"/>
  <c r="Y37" i="13"/>
  <c r="Z38" i="13"/>
  <c r="Y43" i="16" s="1"/>
  <c r="Y11" i="16" s="1"/>
  <c r="AO9" i="18" s="1"/>
  <c r="X38" i="13"/>
  <c r="X37" i="13"/>
  <c r="AB37" i="13"/>
  <c r="X39" i="13"/>
  <c r="Y39" i="13"/>
  <c r="AB39" i="13"/>
  <c r="Z37" i="13"/>
  <c r="Z39" i="13"/>
  <c r="Y44" i="16" s="1"/>
  <c r="Y12" i="16" s="1"/>
  <c r="AO10" i="18" s="1"/>
  <c r="AD39" i="13"/>
  <c r="AC39" i="13"/>
  <c r="AB44" i="16" s="1"/>
  <c r="AB12" i="16" s="1"/>
  <c r="AR10" i="18" s="1"/>
  <c r="AA39" i="13"/>
  <c r="AB38" i="13"/>
  <c r="AA38" i="13"/>
  <c r="Z43" i="16" s="1"/>
  <c r="Z11" i="16" s="1"/>
  <c r="AP9" i="18" s="1"/>
  <c r="AD37" i="13"/>
  <c r="AA37" i="13"/>
  <c r="AC37" i="13"/>
  <c r="AD38" i="13"/>
  <c r="AC43" i="16" s="1"/>
  <c r="AC11" i="16" s="1"/>
  <c r="AS9" i="18" s="1"/>
  <c r="AC38" i="13"/>
  <c r="AB43" i="16" s="1"/>
  <c r="AB11" i="16" s="1"/>
  <c r="AR9" i="18" s="1"/>
  <c r="AE38" i="13"/>
  <c r="AE39" i="13"/>
  <c r="AF37" i="13"/>
  <c r="AF38" i="13"/>
  <c r="AG37" i="13"/>
  <c r="AE37" i="13"/>
  <c r="AH38" i="13"/>
  <c r="AG43" i="16" s="1"/>
  <c r="AG11" i="16" s="1"/>
  <c r="AW9" i="18" s="1"/>
  <c r="AF39" i="13"/>
  <c r="AE44" i="16" s="1"/>
  <c r="AE12" i="16" s="1"/>
  <c r="AU10" i="18" s="1"/>
  <c r="AG39" i="13"/>
  <c r="AG38" i="13"/>
  <c r="AH39" i="13"/>
  <c r="AG44" i="16" s="1"/>
  <c r="AG12" i="16" s="1"/>
  <c r="AW10" i="18" s="1"/>
  <c r="AH37" i="13"/>
  <c r="AJ38" i="13"/>
  <c r="AI38" i="13"/>
  <c r="AH43" i="16" s="1"/>
  <c r="AH11" i="16" s="1"/>
  <c r="AX9" i="18" s="1"/>
  <c r="AJ37" i="13"/>
  <c r="AI37" i="13"/>
  <c r="AK39" i="13"/>
  <c r="AL38" i="13"/>
  <c r="AK37" i="13"/>
  <c r="AI39" i="13"/>
  <c r="AK38" i="13"/>
  <c r="AJ43" i="16" s="1"/>
  <c r="AJ11" i="16" s="1"/>
  <c r="AZ9" i="18" s="1"/>
  <c r="AJ39" i="13"/>
  <c r="AI44" i="16" s="1"/>
  <c r="AI12" i="16" s="1"/>
  <c r="AY10" i="18" s="1"/>
  <c r="AL39" i="13"/>
  <c r="AK44" i="16" s="1"/>
  <c r="AK12" i="16" s="1"/>
  <c r="BA10" i="18" s="1"/>
  <c r="AL37" i="13"/>
  <c r="AM39" i="13"/>
  <c r="AO38" i="13"/>
  <c r="AN43" i="16" s="1"/>
  <c r="AN11" i="16" s="1"/>
  <c r="BD9" i="18" s="1"/>
  <c r="AN37" i="13"/>
  <c r="AN39" i="13"/>
  <c r="AN38" i="13"/>
  <c r="AO37" i="13"/>
  <c r="AR42" i="13"/>
  <c r="AQ39" i="13"/>
  <c r="AP44" i="16" s="1"/>
  <c r="AP12" i="16" s="1"/>
  <c r="BF10" i="18" s="1"/>
  <c r="AQ38" i="13"/>
  <c r="AR44" i="13"/>
  <c r="AR46" i="13"/>
  <c r="X46" i="13"/>
  <c r="Y46" i="13"/>
  <c r="Y45" i="13" s="1"/>
  <c r="X47" i="16" s="1"/>
  <c r="X15" i="16" s="1"/>
  <c r="AN13" i="18" s="1"/>
  <c r="Z46" i="13"/>
  <c r="Z45" i="13" s="1"/>
  <c r="Y47" i="16" s="1"/>
  <c r="Y15" i="16" s="1"/>
  <c r="AO13" i="18" s="1"/>
  <c r="AB46" i="13"/>
  <c r="AB45" i="13" s="1"/>
  <c r="AA47" i="16" s="1"/>
  <c r="AA15" i="16" s="1"/>
  <c r="AQ13" i="18" s="1"/>
  <c r="AA46" i="13"/>
  <c r="AA45" i="13" s="1"/>
  <c r="Z47" i="16" s="1"/>
  <c r="Z15" i="16" s="1"/>
  <c r="AP13" i="18" s="1"/>
  <c r="AC46" i="13"/>
  <c r="AD46" i="13"/>
  <c r="AE46" i="13"/>
  <c r="AF46" i="13"/>
  <c r="AF45" i="13" s="1"/>
  <c r="AE47" i="16" s="1"/>
  <c r="AE15" i="16" s="1"/>
  <c r="AU13" i="18" s="1"/>
  <c r="AG46" i="13"/>
  <c r="AG45" i="13" s="1"/>
  <c r="AF47" i="16" s="1"/>
  <c r="AF15" i="16" s="1"/>
  <c r="AV13" i="18" s="1"/>
  <c r="AH46" i="13"/>
  <c r="AJ46" i="13"/>
  <c r="AJ45" i="13" s="1"/>
  <c r="AI47" i="16" s="1"/>
  <c r="AI15" i="16" s="1"/>
  <c r="AY13" i="18" s="1"/>
  <c r="AI46" i="13"/>
  <c r="AI45" i="13" s="1"/>
  <c r="AH47" i="16" s="1"/>
  <c r="AH15" i="16" s="1"/>
  <c r="AX13" i="18" s="1"/>
  <c r="AK46" i="13"/>
  <c r="AL46" i="13"/>
  <c r="AM46" i="13"/>
  <c r="AN46" i="13"/>
  <c r="AN45" i="13" s="1"/>
  <c r="AM47" i="16" s="1"/>
  <c r="AM15" i="16" s="1"/>
  <c r="BC13" i="18" s="1"/>
  <c r="AO46" i="13"/>
  <c r="AO45" i="13" s="1"/>
  <c r="AN47" i="16" s="1"/>
  <c r="AN15" i="16" s="1"/>
  <c r="BD13" i="18" s="1"/>
  <c r="AP46" i="13"/>
  <c r="AP45" i="13" s="1"/>
  <c r="AO47" i="16" s="1"/>
  <c r="AO15" i="16" s="1"/>
  <c r="BE13" i="18" s="1"/>
  <c r="AV42" i="13"/>
  <c r="T44" i="13"/>
  <c r="U44" i="13"/>
  <c r="V44" i="13"/>
  <c r="W44" i="13"/>
  <c r="X44" i="13"/>
  <c r="Y44" i="13"/>
  <c r="Z44" i="13"/>
  <c r="AA44" i="13"/>
  <c r="AB44" i="13"/>
  <c r="AC44" i="13"/>
  <c r="AD44" i="13"/>
  <c r="AE44" i="13"/>
  <c r="AF44" i="13"/>
  <c r="AG44" i="13"/>
  <c r="AH44" i="13"/>
  <c r="AI44" i="13"/>
  <c r="AJ44" i="13"/>
  <c r="AK44" i="13"/>
  <c r="AL44" i="13"/>
  <c r="AM44" i="13"/>
  <c r="AN44" i="13"/>
  <c r="AO44" i="13"/>
  <c r="AP44" i="13"/>
  <c r="T42" i="13"/>
  <c r="V42" i="13"/>
  <c r="U42" i="13"/>
  <c r="X42" i="13"/>
  <c r="W42" i="13"/>
  <c r="Y42" i="13"/>
  <c r="Z42" i="13"/>
  <c r="AC42" i="13"/>
  <c r="AA42" i="13"/>
  <c r="AB42" i="13"/>
  <c r="AE42" i="13"/>
  <c r="AD42" i="13"/>
  <c r="AF42" i="13"/>
  <c r="AG42" i="13"/>
  <c r="AI42" i="13"/>
  <c r="AH42" i="13"/>
  <c r="AK42" i="13"/>
  <c r="AJ42" i="13"/>
  <c r="AM42" i="13"/>
  <c r="AL42" i="13"/>
  <c r="AO42" i="13"/>
  <c r="AN42" i="13"/>
  <c r="AQ42" i="13"/>
  <c r="AP42" i="13"/>
  <c r="AT42" i="13"/>
  <c r="AV4" i="15"/>
  <c r="AU3" i="15"/>
  <c r="AM43" i="16"/>
  <c r="AM11" i="16" s="1"/>
  <c r="BC9" i="18" s="1"/>
  <c r="AP43" i="16"/>
  <c r="AP11" i="16" s="1"/>
  <c r="BF9" i="18" s="1"/>
  <c r="AW50" i="19"/>
  <c r="AW34" i="13"/>
  <c r="AW33" i="13" s="1"/>
  <c r="AW47" i="13" s="1"/>
  <c r="AS31" i="12"/>
  <c r="AS30" i="12"/>
  <c r="AT28" i="12" s="1"/>
  <c r="AU303" i="26"/>
  <c r="AU279" i="26"/>
  <c r="AU262" i="26"/>
  <c r="AU226" i="26"/>
  <c r="AU155" i="26"/>
  <c r="AU108" i="26"/>
  <c r="AU31" i="26"/>
  <c r="AU135" i="26"/>
  <c r="AW4" i="12"/>
  <c r="AV3" i="12"/>
  <c r="AV25" i="12"/>
  <c r="AW23" i="12" s="1"/>
  <c r="AH6" i="4"/>
  <c r="K152" i="25"/>
  <c r="AH8" i="12"/>
  <c r="G68" i="33"/>
  <c r="D69" i="33"/>
  <c r="F68" i="33"/>
  <c r="AR45" i="13"/>
  <c r="AQ47" i="16" s="1"/>
  <c r="AQ15" i="16" s="1"/>
  <c r="BG13" i="18" s="1"/>
  <c r="AT7" i="15"/>
  <c r="BL275" i="25"/>
  <c r="AW46" i="19"/>
  <c r="J149" i="25"/>
  <c r="J151" i="25" s="1"/>
  <c r="J152" i="25" s="1"/>
  <c r="DC76" i="12"/>
  <c r="AX77" i="12"/>
  <c r="AY76" i="12" s="1"/>
  <c r="AW93" i="16"/>
  <c r="AY88" i="12"/>
  <c r="AV20" i="15"/>
  <c r="AU36" i="12"/>
  <c r="AV33" i="12"/>
  <c r="AU26" i="26"/>
  <c r="AU13" i="26"/>
  <c r="AT118" i="23"/>
  <c r="AW27" i="19"/>
  <c r="AV26" i="19"/>
  <c r="AO16" i="26"/>
  <c r="AV37" i="22"/>
  <c r="BA17" i="25"/>
  <c r="AZ32" i="25"/>
  <c r="AW58" i="13"/>
  <c r="AX73" i="12"/>
  <c r="AY72" i="12" s="1"/>
  <c r="AM44" i="16"/>
  <c r="AM12" i="16" s="1"/>
  <c r="BC10" i="18" s="1"/>
  <c r="AO293" i="26"/>
  <c r="N152" i="25"/>
  <c r="AV10" i="11"/>
  <c r="AW17" i="15" s="1"/>
  <c r="AV3" i="11"/>
  <c r="AW8" i="11"/>
  <c r="AW15" i="11"/>
  <c r="AX16" i="11"/>
  <c r="AN317" i="26"/>
  <c r="AN302" i="26" s="1"/>
  <c r="AU16" i="12"/>
  <c r="AU15" i="12"/>
  <c r="AV13" i="12" s="1"/>
  <c r="AV15" i="12" s="1"/>
  <c r="AX81" i="12"/>
  <c r="AY80" i="12"/>
  <c r="AW10" i="23"/>
  <c r="AV3" i="23"/>
  <c r="W137" i="25"/>
  <c r="X136" i="25"/>
  <c r="AM52" i="26"/>
  <c r="AM30" i="26" s="1"/>
  <c r="BD53" i="12"/>
  <c r="AO83" i="28"/>
  <c r="AS72" i="22"/>
  <c r="AT71" i="22"/>
  <c r="AW4" i="16"/>
  <c r="AW3" i="16"/>
  <c r="AX8" i="16"/>
  <c r="AW81" i="23"/>
  <c r="AO97" i="28"/>
  <c r="DB72" i="12"/>
  <c r="AQ89" i="28"/>
  <c r="AQ22" i="26" s="1"/>
  <c r="AR71" i="28"/>
  <c r="BE47" i="12"/>
  <c r="BD55" i="12"/>
  <c r="AP94" i="28"/>
  <c r="AP215" i="26" s="1"/>
  <c r="AP100" i="28"/>
  <c r="AP296" i="26" s="1"/>
  <c r="AP80" i="28"/>
  <c r="AP100" i="26" s="1"/>
  <c r="AP86" i="28"/>
  <c r="AP19" i="26" s="1"/>
  <c r="AQ68" i="28"/>
  <c r="AZ24" i="11"/>
  <c r="AT149" i="19"/>
  <c r="AT172" i="19"/>
  <c r="AT157" i="19"/>
  <c r="AT142" i="19"/>
  <c r="AT188" i="19" s="1"/>
  <c r="AT195" i="19"/>
  <c r="AU112" i="19"/>
  <c r="AS101" i="28"/>
  <c r="AS297" i="26" s="1"/>
  <c r="AS81" i="28"/>
  <c r="AS101" i="26" s="1"/>
  <c r="AS95" i="28"/>
  <c r="AS216" i="26" s="1"/>
  <c r="AT69" i="28"/>
  <c r="AS87" i="28"/>
  <c r="AS20" i="26" s="1"/>
  <c r="AW14" i="19"/>
  <c r="AO97" i="26"/>
  <c r="H41" i="13"/>
  <c r="X43" i="16"/>
  <c r="X11" i="16" s="1"/>
  <c r="AN9" i="18" s="1"/>
  <c r="X44" i="16"/>
  <c r="X12" i="16" s="1"/>
  <c r="AN10" i="18" s="1"/>
  <c r="AA44" i="16"/>
  <c r="AA12" i="16" s="1"/>
  <c r="AQ10" i="18" s="1"/>
  <c r="AA43" i="16"/>
  <c r="AA11" i="16" s="1"/>
  <c r="AQ9" i="18" s="1"/>
  <c r="AC44" i="16"/>
  <c r="AC12" i="16" s="1"/>
  <c r="AS10" i="18" s="1"/>
  <c r="Z44" i="16"/>
  <c r="Z12" i="16" s="1"/>
  <c r="AP10" i="18" s="1"/>
  <c r="AC45" i="13"/>
  <c r="AB47" i="16" s="1"/>
  <c r="AB15" i="16" s="1"/>
  <c r="AR13" i="18" s="1"/>
  <c r="AD45" i="13"/>
  <c r="AD43" i="16"/>
  <c r="AD11" i="16" s="1"/>
  <c r="AT9" i="18" s="1"/>
  <c r="AE45" i="13"/>
  <c r="AD47" i="16" s="1"/>
  <c r="AD15" i="16" s="1"/>
  <c r="AT13" i="18" s="1"/>
  <c r="AD44" i="16"/>
  <c r="AD12" i="16" s="1"/>
  <c r="AT10" i="18" s="1"/>
  <c r="AE43" i="16"/>
  <c r="AE11" i="16" s="1"/>
  <c r="AU9" i="18" s="1"/>
  <c r="AF44" i="16"/>
  <c r="AF12" i="16" s="1"/>
  <c r="AV10" i="18" s="1"/>
  <c r="AF43" i="16"/>
  <c r="AF11" i="16" s="1"/>
  <c r="AV9" i="18" s="1"/>
  <c r="AH45" i="13"/>
  <c r="AG47" i="16" s="1"/>
  <c r="AG15" i="16" s="1"/>
  <c r="AW13" i="18" s="1"/>
  <c r="AH44" i="16"/>
  <c r="AH12" i="16" s="1"/>
  <c r="AX10" i="18" s="1"/>
  <c r="AJ44" i="16"/>
  <c r="AJ12" i="16" s="1"/>
  <c r="AZ10" i="18" s="1"/>
  <c r="AI43" i="16"/>
  <c r="AI11" i="16" s="1"/>
  <c r="AY9" i="18" s="1"/>
  <c r="AK45" i="13"/>
  <c r="AJ47" i="16" s="1"/>
  <c r="AJ15" i="16" s="1"/>
  <c r="AZ13" i="18" s="1"/>
  <c r="AL44" i="16"/>
  <c r="AL12" i="16" s="1"/>
  <c r="BB10" i="18" s="1"/>
  <c r="AM45" i="13"/>
  <c r="AL47" i="16" s="1"/>
  <c r="AL15" i="16" s="1"/>
  <c r="BB13" i="18" s="1"/>
  <c r="AO43" i="16"/>
  <c r="AO11" i="16" s="1"/>
  <c r="BE9" i="18" s="1"/>
  <c r="AL45" i="13"/>
  <c r="AK47" i="16" s="1"/>
  <c r="AK15" i="16" s="1"/>
  <c r="BA13" i="18" s="1"/>
  <c r="AK43" i="16"/>
  <c r="AK11" i="16" s="1"/>
  <c r="BA9" i="18" s="1"/>
  <c r="AO44" i="16"/>
  <c r="AO12" i="16" s="1"/>
  <c r="BE10" i="18" s="1"/>
  <c r="AY168" i="19"/>
  <c r="AZ165" i="19" s="1"/>
  <c r="AY169" i="19"/>
  <c r="AY4" i="21"/>
  <c r="AU6" i="23"/>
  <c r="AU5" i="23" s="1"/>
  <c r="AV53" i="13"/>
  <c r="AY5" i="16"/>
  <c r="AV44" i="12"/>
  <c r="AV30" i="22"/>
  <c r="AW23" i="22"/>
  <c r="AF115" i="19"/>
  <c r="AF116" i="19" s="1"/>
  <c r="AV41" i="18"/>
  <c r="BF92" i="12"/>
  <c r="AQ98" i="28"/>
  <c r="AQ92" i="28"/>
  <c r="AR66" i="28"/>
  <c r="AQ84" i="28"/>
  <c r="AQ78" i="28"/>
  <c r="AX200" i="25"/>
  <c r="AX267" i="25"/>
  <c r="AX133" i="25"/>
  <c r="AX111" i="25"/>
  <c r="AX110" i="25" s="1"/>
  <c r="AX114" i="25" s="1"/>
  <c r="AX115" i="25" s="1"/>
  <c r="AX38" i="25"/>
  <c r="AY10" i="25"/>
  <c r="AQ102" i="28"/>
  <c r="AQ298" i="26" s="1"/>
  <c r="AQ82" i="28"/>
  <c r="AQ102" i="26" s="1"/>
  <c r="AQ96" i="28"/>
  <c r="AQ217" i="26" s="1"/>
  <c r="AQ88" i="28"/>
  <c r="AQ21" i="26" s="1"/>
  <c r="AR70" i="28"/>
  <c r="AO77" i="28"/>
  <c r="AO103" i="28" s="1"/>
  <c r="AW70" i="12"/>
  <c r="AW18" i="19"/>
  <c r="AX84" i="12"/>
  <c r="AX63" i="19"/>
  <c r="AW55" i="22"/>
  <c r="AQ72" i="28"/>
  <c r="AP90" i="28"/>
  <c r="AP23" i="26" s="1"/>
  <c r="M152" i="25"/>
  <c r="AS202" i="19"/>
  <c r="AS179" i="19"/>
  <c r="AQ99" i="28"/>
  <c r="AQ295" i="26" s="1"/>
  <c r="AQ93" i="28"/>
  <c r="AQ214" i="26" s="1"/>
  <c r="AQ85" i="28"/>
  <c r="AQ18" i="26" s="1"/>
  <c r="AQ79" i="28"/>
  <c r="AQ99" i="26" s="1"/>
  <c r="AR67" i="28"/>
  <c r="AY3" i="17"/>
  <c r="O152" i="25"/>
  <c r="AX105" i="19"/>
  <c r="AP97" i="28"/>
  <c r="AP294" i="26"/>
  <c r="AP293" i="26" s="1"/>
  <c r="AU94" i="12"/>
  <c r="AU90" i="12"/>
  <c r="AU78" i="12"/>
  <c r="AU82" i="12"/>
  <c r="AV59" i="12"/>
  <c r="AA203" i="25"/>
  <c r="Z204" i="25"/>
  <c r="AU126" i="19"/>
  <c r="BH108" i="16"/>
  <c r="BG107" i="16"/>
  <c r="AP91" i="28"/>
  <c r="AP213" i="26"/>
  <c r="AP212" i="26" s="1"/>
  <c r="DB84" i="12"/>
  <c r="V62" i="33"/>
  <c r="U25" i="33"/>
  <c r="U26" i="33" s="1"/>
  <c r="X62" i="33"/>
  <c r="J51" i="33"/>
  <c r="V58" i="33"/>
  <c r="T57" i="33" s="1"/>
  <c r="T60" i="33" s="1"/>
  <c r="BM5" i="18"/>
  <c r="BL35" i="18"/>
  <c r="BL3" i="18"/>
  <c r="K63" i="33"/>
  <c r="L63" i="33" s="1"/>
  <c r="AV87" i="16"/>
  <c r="AO212" i="26"/>
  <c r="AN28" i="26"/>
  <c r="AN25" i="26" s="1"/>
  <c r="AN55" i="26"/>
  <c r="AN56" i="26"/>
  <c r="AN53" i="26"/>
  <c r="AN52" i="26" s="1"/>
  <c r="AN30" i="26" s="1"/>
  <c r="AP77" i="28"/>
  <c r="AP98" i="26"/>
  <c r="AP97" i="26" s="1"/>
  <c r="L152" i="25"/>
  <c r="X42" i="25"/>
  <c r="Y41" i="25"/>
  <c r="BL274" i="25"/>
  <c r="AR38" i="22"/>
  <c r="AW45" i="19"/>
  <c r="AX77" i="19"/>
  <c r="AW80" i="19"/>
  <c r="AW81" i="19" s="1"/>
  <c r="AX78" i="19" s="1"/>
  <c r="AU12" i="23"/>
  <c r="AL143" i="19"/>
  <c r="AL146" i="19" s="1"/>
  <c r="AK31" i="19"/>
  <c r="AP83" i="28"/>
  <c r="AP17" i="26"/>
  <c r="AP16" i="26" s="1"/>
  <c r="AX7" i="19"/>
  <c r="AW3" i="19"/>
  <c r="AW98" i="19"/>
  <c r="AW10" i="22"/>
  <c r="AV3" i="22"/>
  <c r="AV91" i="19"/>
  <c r="Q61" i="20" a="1"/>
  <c r="BU217" i="37" l="1"/>
  <c r="BV37" i="37"/>
  <c r="BV149" i="37" s="1"/>
  <c r="BV12" i="37"/>
  <c r="BV267" i="37" s="1"/>
  <c r="BV217" i="37"/>
  <c r="AH21" i="12"/>
  <c r="AH52" i="12" s="1"/>
  <c r="AH49" i="12"/>
  <c r="AH20" i="12"/>
  <c r="BX26" i="37"/>
  <c r="BW31" i="37"/>
  <c r="BW32" i="37" s="1"/>
  <c r="AY134" i="37"/>
  <c r="AZ46" i="37"/>
  <c r="AY202" i="37"/>
  <c r="AG40" i="36"/>
  <c r="Q61" i="20"/>
  <c r="Q62" i="20" s="1"/>
  <c r="H62" i="20"/>
  <c r="AH6" i="36"/>
  <c r="AH54" i="4"/>
  <c r="F86" i="20"/>
  <c r="H86" i="20"/>
  <c r="F62" i="20"/>
  <c r="I62" i="20"/>
  <c r="H73" i="20"/>
  <c r="P62" i="20"/>
  <c r="F69" i="20"/>
  <c r="E86" i="20"/>
  <c r="G86" i="20"/>
  <c r="E73" i="20"/>
  <c r="E80" i="20" s="1"/>
  <c r="M62" i="20"/>
  <c r="AS54" i="13"/>
  <c r="AS37" i="13" s="1"/>
  <c r="AS18" i="15"/>
  <c r="AS11" i="11"/>
  <c r="E13" i="20"/>
  <c r="E14" i="20" s="1"/>
  <c r="E9" i="20"/>
  <c r="F73" i="20"/>
  <c r="F80" i="20" s="1"/>
  <c r="D69" i="20"/>
  <c r="N62" i="20"/>
  <c r="G62" i="20"/>
  <c r="AR41" i="13"/>
  <c r="BG12" i="18" s="1"/>
  <c r="J9" i="20"/>
  <c r="J13" i="20"/>
  <c r="J14" i="20" s="1"/>
  <c r="E62" i="20"/>
  <c r="G73" i="20"/>
  <c r="G80" i="20" s="1"/>
  <c r="O62" i="20"/>
  <c r="E69" i="20"/>
  <c r="M9" i="20"/>
  <c r="M13" i="20"/>
  <c r="M14" i="20" s="1"/>
  <c r="I13" i="20"/>
  <c r="I14" i="20" s="1"/>
  <c r="I9" i="20"/>
  <c r="F13" i="20"/>
  <c r="F14" i="20" s="1"/>
  <c r="F9" i="20"/>
  <c r="AX50" i="19"/>
  <c r="K62" i="20"/>
  <c r="K9" i="20"/>
  <c r="K13" i="20"/>
  <c r="K14" i="20" s="1"/>
  <c r="J62" i="20"/>
  <c r="L9" i="20"/>
  <c r="L13" i="20"/>
  <c r="L14" i="20" s="1"/>
  <c r="G13" i="20"/>
  <c r="G14" i="20" s="1"/>
  <c r="G9" i="20"/>
  <c r="D73" i="20"/>
  <c r="L62" i="20"/>
  <c r="N9" i="20"/>
  <c r="N13" i="20"/>
  <c r="N14" i="20" s="1"/>
  <c r="H9" i="20"/>
  <c r="H13" i="20"/>
  <c r="H14" i="20" s="1"/>
  <c r="X41" i="13"/>
  <c r="AM12" i="18" s="1"/>
  <c r="AW42" i="13"/>
  <c r="AD41" i="13"/>
  <c r="AS12" i="18" s="1"/>
  <c r="AM41" i="13"/>
  <c r="BB12" i="18" s="1"/>
  <c r="AE41" i="13"/>
  <c r="AT12" i="18" s="1"/>
  <c r="U41" i="13"/>
  <c r="AL41" i="13"/>
  <c r="AJ41" i="13"/>
  <c r="AB41" i="13"/>
  <c r="V41" i="13"/>
  <c r="V48" i="13" s="1"/>
  <c r="AK41" i="13"/>
  <c r="AA41" i="13"/>
  <c r="T41" i="13"/>
  <c r="AP41" i="13"/>
  <c r="BE12" i="18" s="1"/>
  <c r="AH41" i="13"/>
  <c r="AC41" i="13"/>
  <c r="AQ41" i="13"/>
  <c r="BF12" i="18" s="1"/>
  <c r="AI41" i="13"/>
  <c r="Z41" i="13"/>
  <c r="AO12" i="18" s="1"/>
  <c r="AN41" i="13"/>
  <c r="BC12" i="18" s="1"/>
  <c r="AG41" i="13"/>
  <c r="AV12" i="18" s="1"/>
  <c r="Y41" i="13"/>
  <c r="AN12" i="18" s="1"/>
  <c r="AO41" i="13"/>
  <c r="BD12" i="18" s="1"/>
  <c r="AF41" i="13"/>
  <c r="AU12" i="18" s="1"/>
  <c r="W41" i="13"/>
  <c r="AW4" i="15"/>
  <c r="AV3" i="15"/>
  <c r="BA12" i="18"/>
  <c r="AX34" i="13"/>
  <c r="AX33" i="13" s="1"/>
  <c r="AX47" i="13" s="1"/>
  <c r="AG113" i="19"/>
  <c r="AF23" i="19"/>
  <c r="AZ72" i="12"/>
  <c r="AT31" i="12"/>
  <c r="AT30" i="12"/>
  <c r="AU28" i="12" s="1"/>
  <c r="AY77" i="19"/>
  <c r="AX80" i="19"/>
  <c r="AX81" i="19" s="1"/>
  <c r="AY78" i="19" s="1"/>
  <c r="BM274" i="25"/>
  <c r="AS38" i="22"/>
  <c r="AX45" i="19"/>
  <c r="AU7" i="15"/>
  <c r="BI108" i="16"/>
  <c r="BH107" i="16"/>
  <c r="AX70" i="12"/>
  <c r="AV94" i="12"/>
  <c r="AV90" i="12"/>
  <c r="AV82" i="12"/>
  <c r="AV78" i="12"/>
  <c r="AC47" i="16"/>
  <c r="AC15" i="16" s="1"/>
  <c r="AS13" i="18" s="1"/>
  <c r="J137" i="19"/>
  <c r="W12" i="18"/>
  <c r="G46" i="16"/>
  <c r="H48" i="13"/>
  <c r="AU149" i="19"/>
  <c r="AU172" i="19"/>
  <c r="AU157" i="19"/>
  <c r="AU142" i="19"/>
  <c r="AU188" i="19" s="1"/>
  <c r="AU195" i="19"/>
  <c r="AV112" i="19"/>
  <c r="AT72" i="22"/>
  <c r="F71" i="22"/>
  <c r="AX10" i="23"/>
  <c r="AW3" i="23"/>
  <c r="AW10" i="11"/>
  <c r="AX17" i="15" s="1"/>
  <c r="AW3" i="11"/>
  <c r="AX8" i="11"/>
  <c r="AO320" i="26"/>
  <c r="AO300" i="26"/>
  <c r="AO292" i="26" s="1"/>
  <c r="AO321" i="26"/>
  <c r="AO318" i="26"/>
  <c r="AQ90" i="28"/>
  <c r="AQ23" i="26" s="1"/>
  <c r="AR72" i="28"/>
  <c r="AX10" i="22"/>
  <c r="AW3" i="22"/>
  <c r="AP28" i="26"/>
  <c r="AP25" i="26" s="1"/>
  <c r="AP12" i="26" s="1"/>
  <c r="AP55" i="26"/>
  <c r="AP56" i="26"/>
  <c r="AP53" i="26"/>
  <c r="AP244" i="26"/>
  <c r="AP243" i="26"/>
  <c r="AP241" i="26"/>
  <c r="AP219" i="26"/>
  <c r="AP321" i="26"/>
  <c r="AP318" i="26"/>
  <c r="AP320" i="26"/>
  <c r="AP300" i="26"/>
  <c r="AP292" i="26" s="1"/>
  <c r="AX55" i="22"/>
  <c r="AY267" i="25"/>
  <c r="AY200" i="25"/>
  <c r="AY133" i="25"/>
  <c r="AY111" i="25"/>
  <c r="AY110" i="25" s="1"/>
  <c r="AY114" i="25" s="1"/>
  <c r="AY115" i="25" s="1"/>
  <c r="AY38" i="25"/>
  <c r="AZ10" i="25"/>
  <c r="AQ98" i="26"/>
  <c r="AF34" i="23"/>
  <c r="AZ169" i="19"/>
  <c r="AZ168" i="19"/>
  <c r="BA165" i="19" s="1"/>
  <c r="AW12" i="18"/>
  <c r="M137" i="19"/>
  <c r="Z12" i="18"/>
  <c r="J46" i="16"/>
  <c r="K48" i="13"/>
  <c r="AX14" i="19"/>
  <c r="Y136" i="25"/>
  <c r="X137" i="25"/>
  <c r="AX38" i="19"/>
  <c r="DD76" i="12"/>
  <c r="G69" i="33"/>
  <c r="D70" i="33"/>
  <c r="F69" i="33"/>
  <c r="Z41" i="25"/>
  <c r="Y42" i="25"/>
  <c r="AV126" i="19"/>
  <c r="AQ17" i="26"/>
  <c r="AP12" i="18"/>
  <c r="K137" i="19"/>
  <c r="X12" i="18"/>
  <c r="H46" i="16"/>
  <c r="I48" i="13"/>
  <c r="AO96" i="26"/>
  <c r="AO128" i="26"/>
  <c r="AO124" i="26" s="1"/>
  <c r="AO107" i="26" s="1"/>
  <c r="AO105" i="26"/>
  <c r="AT202" i="19"/>
  <c r="AT179" i="19"/>
  <c r="AV6" i="23"/>
  <c r="AV5" i="23" s="1"/>
  <c r="AZ5" i="16"/>
  <c r="AW53" i="13"/>
  <c r="AW44" i="12"/>
  <c r="BB17" i="25"/>
  <c r="BA32" i="25"/>
  <c r="AO28" i="26"/>
  <c r="AO25" i="26" s="1"/>
  <c r="AO56" i="26"/>
  <c r="AO55" i="26"/>
  <c r="AO53" i="26"/>
  <c r="AO52" i="26" s="1"/>
  <c r="AO30" i="26" s="1"/>
  <c r="AO12" i="26"/>
  <c r="K64" i="33"/>
  <c r="L64" i="33" s="1"/>
  <c r="AZ3" i="17"/>
  <c r="AY63" i="19"/>
  <c r="AR84" i="28"/>
  <c r="AR78" i="28"/>
  <c r="AR98" i="28"/>
  <c r="AR92" i="28"/>
  <c r="AS66" i="28"/>
  <c r="AZ12" i="18"/>
  <c r="L137" i="19"/>
  <c r="Y12" i="18"/>
  <c r="I46" i="16"/>
  <c r="J48" i="13"/>
  <c r="AT95" i="28"/>
  <c r="AT216" i="26" s="1"/>
  <c r="AT81" i="28"/>
  <c r="AT101" i="26" s="1"/>
  <c r="AU69" i="28"/>
  <c r="AT101" i="28"/>
  <c r="AT297" i="26" s="1"/>
  <c r="AT87" i="28"/>
  <c r="AT20" i="26" s="1"/>
  <c r="AQ94" i="28"/>
  <c r="AQ215" i="26" s="1"/>
  <c r="AQ86" i="28"/>
  <c r="AQ19" i="26" s="1"/>
  <c r="AQ100" i="28"/>
  <c r="AQ296" i="26" s="1"/>
  <c r="AR68" i="28"/>
  <c r="AQ80" i="28"/>
  <c r="AQ100" i="26" s="1"/>
  <c r="AX40" i="19"/>
  <c r="AZ76" i="12"/>
  <c r="AO219" i="26"/>
  <c r="AO243" i="26"/>
  <c r="AO241" i="26"/>
  <c r="AO244" i="26"/>
  <c r="AQ91" i="28"/>
  <c r="AQ213" i="26"/>
  <c r="BG92" i="12"/>
  <c r="AX12" i="18"/>
  <c r="AR12" i="18"/>
  <c r="X45" i="13"/>
  <c r="BE53" i="12"/>
  <c r="AR89" i="28"/>
  <c r="AR22" i="26" s="1"/>
  <c r="AS71" i="28"/>
  <c r="AX81" i="23"/>
  <c r="AX15" i="11"/>
  <c r="AY16" i="11"/>
  <c r="AY15" i="11" s="1"/>
  <c r="AW26" i="19"/>
  <c r="AX27" i="19"/>
  <c r="AX26" i="19" s="1"/>
  <c r="F77" i="12"/>
  <c r="AH38" i="12"/>
  <c r="AH10" i="12"/>
  <c r="AH40" i="12" s="1"/>
  <c r="AW91" i="19"/>
  <c r="AX98" i="19"/>
  <c r="AM143" i="19"/>
  <c r="AM146" i="19" s="1"/>
  <c r="AL31" i="19"/>
  <c r="AP128" i="26"/>
  <c r="AP124" i="26" s="1"/>
  <c r="AP107" i="26" s="1"/>
  <c r="AP105" i="26"/>
  <c r="AP96" i="26" s="1"/>
  <c r="AV62" i="16"/>
  <c r="AV25" i="16" s="1"/>
  <c r="DC84" i="12"/>
  <c r="AY105" i="19"/>
  <c r="AX85" i="12"/>
  <c r="AX97" i="12" s="1"/>
  <c r="F97" i="12" s="1"/>
  <c r="AY84" i="12"/>
  <c r="AY96" i="12" s="1"/>
  <c r="AX18" i="19"/>
  <c r="AQ294" i="26"/>
  <c r="AX23" i="22"/>
  <c r="AW30" i="22"/>
  <c r="AY12" i="18"/>
  <c r="W43" i="16"/>
  <c r="BF47" i="12"/>
  <c r="BE55" i="12"/>
  <c r="AX4" i="16"/>
  <c r="AX3" i="16"/>
  <c r="AY8" i="16"/>
  <c r="F73" i="12"/>
  <c r="AW37" i="22"/>
  <c r="AZ88" i="12"/>
  <c r="BM275" i="25"/>
  <c r="AX46" i="19"/>
  <c r="AX4" i="12"/>
  <c r="AW3" i="12"/>
  <c r="AW25" i="12"/>
  <c r="AX23" i="12" s="1"/>
  <c r="AI6" i="4"/>
  <c r="AY7" i="19"/>
  <c r="AX3" i="19"/>
  <c r="AP103" i="28"/>
  <c r="AV12" i="23"/>
  <c r="AB203" i="25"/>
  <c r="AA204" i="25"/>
  <c r="AZ4" i="21"/>
  <c r="AQ12" i="18"/>
  <c r="DC72" i="12"/>
  <c r="AZ80" i="12"/>
  <c r="AV36" i="12"/>
  <c r="AW20" i="15"/>
  <c r="AV35" i="12"/>
  <c r="AW33" i="12" s="1"/>
  <c r="AN12" i="26"/>
  <c r="AW87" i="16"/>
  <c r="BN5" i="18"/>
  <c r="BM35" i="18"/>
  <c r="BM3" i="18"/>
  <c r="J52" i="33"/>
  <c r="U39" i="33"/>
  <c r="U38" i="33" s="1"/>
  <c r="F3" i="33"/>
  <c r="F4" i="33" s="1"/>
  <c r="O55" i="12"/>
  <c r="AR99" i="28"/>
  <c r="AR295" i="26" s="1"/>
  <c r="AR93" i="28"/>
  <c r="AR214" i="26" s="1"/>
  <c r="AR79" i="28"/>
  <c r="AR99" i="26" s="1"/>
  <c r="AR85" i="28"/>
  <c r="AR18" i="26" s="1"/>
  <c r="AS67" i="28"/>
  <c r="AR96" i="28"/>
  <c r="AR217" i="26" s="1"/>
  <c r="AR88" i="28"/>
  <c r="AR21" i="26" s="1"/>
  <c r="AR82" i="28"/>
  <c r="AR102" i="26" s="1"/>
  <c r="AS70" i="28"/>
  <c r="AR102" i="28"/>
  <c r="AR298" i="26" s="1"/>
  <c r="W44" i="16"/>
  <c r="BA24" i="11"/>
  <c r="F81" i="12"/>
  <c r="AV16" i="12"/>
  <c r="AW13" i="12"/>
  <c r="AW15" i="12" s="1"/>
  <c r="AX96" i="12"/>
  <c r="AX110" i="12" s="1"/>
  <c r="AX58" i="13"/>
  <c r="AX93" i="16"/>
  <c r="I73" i="20" a="1"/>
  <c r="G69" i="20" a="1"/>
  <c r="BX27" i="37" l="1"/>
  <c r="Z24" i="25"/>
  <c r="AH43" i="12"/>
  <c r="BW37" i="37"/>
  <c r="BW149" i="37" s="1"/>
  <c r="BW12" i="37"/>
  <c r="BW267" i="37" s="1"/>
  <c r="AH50" i="12"/>
  <c r="AI18" i="12"/>
  <c r="AH51" i="12"/>
  <c r="BY26" i="37"/>
  <c r="BY27" i="37" s="1"/>
  <c r="BX31" i="37"/>
  <c r="BX32" i="37" s="1"/>
  <c r="AS44" i="13"/>
  <c r="BA46" i="37"/>
  <c r="AK12" i="18"/>
  <c r="AZ202" i="37"/>
  <c r="AZ134" i="37"/>
  <c r="D64" i="20"/>
  <c r="AH40" i="36"/>
  <c r="G69" i="20"/>
  <c r="H69" i="20" s="1"/>
  <c r="I73" i="20"/>
  <c r="J73" i="20" s="1"/>
  <c r="D74" i="20"/>
  <c r="D80" i="20"/>
  <c r="D86" i="20"/>
  <c r="H80" i="20"/>
  <c r="AH69" i="36"/>
  <c r="AI6" i="36"/>
  <c r="AI54" i="4"/>
  <c r="F74" i="20"/>
  <c r="G74" i="20"/>
  <c r="AS46" i="13"/>
  <c r="AS45" i="13" s="1"/>
  <c r="AR47" i="16" s="1"/>
  <c r="AR15" i="16" s="1"/>
  <c r="BH13" i="18" s="1"/>
  <c r="AT18" i="15"/>
  <c r="AT11" i="11"/>
  <c r="AT54" i="13"/>
  <c r="AT44" i="13" s="1"/>
  <c r="H74" i="20"/>
  <c r="E74" i="20"/>
  <c r="AS39" i="13"/>
  <c r="AR44" i="16" s="1"/>
  <c r="AR12" i="16" s="1"/>
  <c r="BH10" i="18" s="1"/>
  <c r="AS38" i="13"/>
  <c r="AR43" i="16" s="1"/>
  <c r="AR11" i="16" s="1"/>
  <c r="BH9" i="18" s="1"/>
  <c r="AT39" i="13"/>
  <c r="AX42" i="13"/>
  <c r="AS41" i="13"/>
  <c r="BH12" i="18" s="1"/>
  <c r="AX4" i="15"/>
  <c r="AW3" i="15"/>
  <c r="AY34" i="13"/>
  <c r="AY33" i="13" s="1"/>
  <c r="AY47" i="13" s="1"/>
  <c r="AI8" i="12"/>
  <c r="AW36" i="12"/>
  <c r="AW35" i="12"/>
  <c r="AX33" i="12" s="1"/>
  <c r="P53" i="12"/>
  <c r="P54" i="12" s="1"/>
  <c r="P55" i="12" s="1"/>
  <c r="W12" i="16"/>
  <c r="AY58" i="13"/>
  <c r="AW12" i="23"/>
  <c r="AY93" i="16"/>
  <c r="BO5" i="18"/>
  <c r="BN35" i="18"/>
  <c r="BN3" i="18"/>
  <c r="AY81" i="23"/>
  <c r="BH92" i="12"/>
  <c r="AR294" i="26"/>
  <c r="AP240" i="26"/>
  <c r="AS72" i="28"/>
  <c r="AR90" i="28"/>
  <c r="AR23" i="26" s="1"/>
  <c r="BA80" i="12"/>
  <c r="AC203" i="25"/>
  <c r="AB204" i="25"/>
  <c r="BA88" i="12"/>
  <c r="DD84" i="12"/>
  <c r="AQ212" i="26"/>
  <c r="AR98" i="26"/>
  <c r="BB32" i="25"/>
  <c r="BC17" i="25"/>
  <c r="Z42" i="25"/>
  <c r="AA41" i="25"/>
  <c r="BA169" i="19"/>
  <c r="BA168" i="19"/>
  <c r="BB165" i="19" s="1"/>
  <c r="AY10" i="23"/>
  <c r="AX3" i="23"/>
  <c r="BN274" i="25"/>
  <c r="AT38" i="22"/>
  <c r="F38" i="22" s="1"/>
  <c r="AR17" i="26"/>
  <c r="BJ108" i="16"/>
  <c r="BI107" i="16"/>
  <c r="AG115" i="19"/>
  <c r="AG116" i="19" s="1"/>
  <c r="W47" i="16"/>
  <c r="I14" i="16"/>
  <c r="I9" i="16" s="1"/>
  <c r="I49" i="16"/>
  <c r="J14" i="16"/>
  <c r="J9" i="16" s="1"/>
  <c r="J49" i="16"/>
  <c r="AP317" i="26"/>
  <c r="AP302" i="26" s="1"/>
  <c r="K49" i="13"/>
  <c r="BF55" i="12"/>
  <c r="BG47" i="12"/>
  <c r="AY23" i="22"/>
  <c r="AY30" i="22" s="1"/>
  <c r="AX30" i="22"/>
  <c r="AZ84" i="12"/>
  <c r="AQ293" i="26"/>
  <c r="F85" i="12"/>
  <c r="AX25" i="12"/>
  <c r="AY23" i="12" s="1"/>
  <c r="AZ105" i="19"/>
  <c r="AO240" i="26"/>
  <c r="I13" i="23"/>
  <c r="Y7" i="18"/>
  <c r="BA3" i="17"/>
  <c r="H14" i="16"/>
  <c r="H9" i="16" s="1"/>
  <c r="H49" i="16"/>
  <c r="AV7" i="15"/>
  <c r="Z136" i="25"/>
  <c r="Y137" i="25"/>
  <c r="Z7" i="18"/>
  <c r="J13" i="23"/>
  <c r="AQ97" i="26"/>
  <c r="AY55" i="22"/>
  <c r="AV149" i="19"/>
  <c r="AV172" i="19"/>
  <c r="AV157" i="19"/>
  <c r="AV142" i="19"/>
  <c r="AV188" i="19" s="1"/>
  <c r="AV195" i="19"/>
  <c r="AW112" i="19"/>
  <c r="G14" i="16"/>
  <c r="G49" i="16"/>
  <c r="AY70" i="12"/>
  <c r="AU31" i="12"/>
  <c r="AU30" i="12"/>
  <c r="AV28" i="12" s="1"/>
  <c r="BF53" i="12"/>
  <c r="AW16" i="12"/>
  <c r="AX13" i="12"/>
  <c r="AX15" i="12" s="1"/>
  <c r="U33" i="33"/>
  <c r="V38" i="33"/>
  <c r="AY4" i="16"/>
  <c r="AY3" i="16"/>
  <c r="AZ8" i="16"/>
  <c r="AS93" i="28"/>
  <c r="AS214" i="26" s="1"/>
  <c r="AS85" i="28"/>
  <c r="AS18" i="26" s="1"/>
  <c r="AS99" i="28"/>
  <c r="AS295" i="26" s="1"/>
  <c r="AT67" i="28"/>
  <c r="AS79" i="28"/>
  <c r="AS99" i="26" s="1"/>
  <c r="H53" i="33"/>
  <c r="AX87" i="16"/>
  <c r="AX20" i="15"/>
  <c r="DD72" i="12"/>
  <c r="BA4" i="21"/>
  <c r="AI12" i="18"/>
  <c r="T48" i="13"/>
  <c r="AS102" i="28"/>
  <c r="AS298" i="26" s="1"/>
  <c r="AS96" i="28"/>
  <c r="AS217" i="26" s="1"/>
  <c r="AS88" i="28"/>
  <c r="AS21" i="26" s="1"/>
  <c r="AT70" i="28"/>
  <c r="AS82" i="28"/>
  <c r="AS102" i="26" s="1"/>
  <c r="AZ7" i="19"/>
  <c r="AY3" i="19"/>
  <c r="AY4" i="12"/>
  <c r="AX3" i="12"/>
  <c r="AJ6" i="4"/>
  <c r="F43" i="36" s="1"/>
  <c r="BN275" i="25"/>
  <c r="AL12" i="18"/>
  <c r="W48" i="13"/>
  <c r="AQ97" i="28"/>
  <c r="AN143" i="19"/>
  <c r="AN146" i="19" s="1"/>
  <c r="AM31" i="19"/>
  <c r="AY98" i="19"/>
  <c r="AS89" i="28"/>
  <c r="AS22" i="26" s="1"/>
  <c r="AT71" i="28"/>
  <c r="AU101" i="28"/>
  <c r="AU297" i="26" s="1"/>
  <c r="AU95" i="28"/>
  <c r="AU216" i="26" s="1"/>
  <c r="AU87" i="28"/>
  <c r="AU20" i="26" s="1"/>
  <c r="AU81" i="28"/>
  <c r="AU101" i="26" s="1"/>
  <c r="AW94" i="12"/>
  <c r="AW82" i="12"/>
  <c r="AW90" i="12"/>
  <c r="AW78" i="12"/>
  <c r="H13" i="23"/>
  <c r="X7" i="18"/>
  <c r="AQ16" i="26"/>
  <c r="AW126" i="19"/>
  <c r="F70" i="33"/>
  <c r="G70" i="33"/>
  <c r="D71" i="33"/>
  <c r="AQ77" i="28"/>
  <c r="AX10" i="11"/>
  <c r="AX3" i="11"/>
  <c r="AY8" i="11"/>
  <c r="G13" i="23"/>
  <c r="W7" i="18"/>
  <c r="AY80" i="19"/>
  <c r="AY81" i="19" s="1"/>
  <c r="AZ78" i="19" s="1"/>
  <c r="AZ77" i="19"/>
  <c r="AX37" i="22"/>
  <c r="AS98" i="28"/>
  <c r="AS92" i="28"/>
  <c r="AS84" i="28"/>
  <c r="AS78" i="28"/>
  <c r="AT66" i="28"/>
  <c r="AZ63" i="19"/>
  <c r="AQ83" i="28"/>
  <c r="L65" i="33"/>
  <c r="K65" i="33"/>
  <c r="AZ267" i="25"/>
  <c r="AZ133" i="25"/>
  <c r="AZ111" i="25"/>
  <c r="AZ110" i="25" s="1"/>
  <c r="AZ114" i="25" s="1"/>
  <c r="AZ115" i="25" s="1"/>
  <c r="AZ200" i="25"/>
  <c r="AZ38" i="25"/>
  <c r="BA10" i="25"/>
  <c r="AP52" i="26"/>
  <c r="AP30" i="26" s="1"/>
  <c r="AY10" i="22"/>
  <c r="AX3" i="22"/>
  <c r="AU202" i="19"/>
  <c r="AU179" i="19"/>
  <c r="J136" i="19"/>
  <c r="AZ96" i="12"/>
  <c r="BA72" i="12"/>
  <c r="AW62" i="16"/>
  <c r="AW25" i="16" s="1"/>
  <c r="AJ12" i="18"/>
  <c r="U48" i="13"/>
  <c r="W11" i="16"/>
  <c r="AX91" i="19"/>
  <c r="AW41" i="18"/>
  <c r="E615" i="20" s="1"/>
  <c r="BA76" i="12"/>
  <c r="AR86" i="28"/>
  <c r="AR19" i="26" s="1"/>
  <c r="AR94" i="28"/>
  <c r="AR215" i="26" s="1"/>
  <c r="AR100" i="28"/>
  <c r="AR296" i="26" s="1"/>
  <c r="AR80" i="28"/>
  <c r="AR100" i="26" s="1"/>
  <c r="AS68" i="28"/>
  <c r="U13" i="23"/>
  <c r="AK7" i="18"/>
  <c r="AR91" i="28"/>
  <c r="AR213" i="26"/>
  <c r="AR212" i="26" s="1"/>
  <c r="DE76" i="12"/>
  <c r="AO317" i="26"/>
  <c r="AO302" i="26" s="1"/>
  <c r="AW6" i="23"/>
  <c r="BA5" i="16"/>
  <c r="AX53" i="13"/>
  <c r="AX44" i="12"/>
  <c r="Z25" i="25" l="1"/>
  <c r="BW217" i="37"/>
  <c r="AI38" i="12"/>
  <c r="BX37" i="37"/>
  <c r="BX149" i="37" s="1"/>
  <c r="BX12" i="37"/>
  <c r="BX267" i="37" s="1"/>
  <c r="AT38" i="13"/>
  <c r="AS43" i="16" s="1"/>
  <c r="AS11" i="16" s="1"/>
  <c r="BI9" i="18" s="1"/>
  <c r="AT37" i="13"/>
  <c r="AT46" i="13"/>
  <c r="AT45" i="13" s="1"/>
  <c r="AS47" i="16" s="1"/>
  <c r="AS15" i="16" s="1"/>
  <c r="BI13" i="18" s="1"/>
  <c r="AI49" i="12"/>
  <c r="AI20" i="12"/>
  <c r="AI21" i="12"/>
  <c r="AI52" i="12" s="1"/>
  <c r="BZ26" i="37"/>
  <c r="BY31" i="37"/>
  <c r="BY32" i="37" s="1"/>
  <c r="BA134" i="37"/>
  <c r="BB46" i="37"/>
  <c r="BA202" i="37"/>
  <c r="AI40" i="36"/>
  <c r="F41" i="36"/>
  <c r="AI69" i="36"/>
  <c r="AJ6" i="36"/>
  <c r="AJ40" i="36" s="1"/>
  <c r="AJ54" i="4"/>
  <c r="AW5" i="23"/>
  <c r="AY17" i="15"/>
  <c r="AU11" i="11"/>
  <c r="AU18" i="15"/>
  <c r="AU54" i="13"/>
  <c r="AU38" i="13" s="1"/>
  <c r="AI10" i="12"/>
  <c r="AI40" i="12" s="1"/>
  <c r="AX41" i="18" s="1"/>
  <c r="F615" i="20" s="1"/>
  <c r="AU37" i="13"/>
  <c r="AU44" i="13"/>
  <c r="AU41" i="13" s="1"/>
  <c r="AU46" i="13"/>
  <c r="AY42" i="13"/>
  <c r="AT41" i="13"/>
  <c r="BI12" i="18" s="1"/>
  <c r="AY4" i="15"/>
  <c r="AX3" i="15"/>
  <c r="AZ34" i="13"/>
  <c r="AZ33" i="13" s="1"/>
  <c r="AZ47" i="13" s="1"/>
  <c r="AV31" i="12"/>
  <c r="AV30" i="12"/>
  <c r="AW28" i="12" s="1"/>
  <c r="AH113" i="19"/>
  <c r="AG23" i="19"/>
  <c r="AX36" i="12"/>
  <c r="AX35" i="12"/>
  <c r="AY33" i="12" s="1"/>
  <c r="AY35" i="12" s="1"/>
  <c r="Q53" i="12"/>
  <c r="Q54" i="12" s="1"/>
  <c r="Q55" i="12" s="1"/>
  <c r="P56" i="12"/>
  <c r="BB72" i="12"/>
  <c r="AY3" i="22"/>
  <c r="AW7" i="15"/>
  <c r="AS98" i="26"/>
  <c r="AX126" i="19"/>
  <c r="AT89" i="28"/>
  <c r="AT22" i="26" s="1"/>
  <c r="AU71" i="28"/>
  <c r="AU89" i="28" s="1"/>
  <c r="AU22" i="26" s="1"/>
  <c r="S13" i="23"/>
  <c r="AI7" i="18"/>
  <c r="AY20" i="15"/>
  <c r="AW172" i="19"/>
  <c r="AW157" i="19"/>
  <c r="AW142" i="19"/>
  <c r="AW188" i="19" s="1"/>
  <c r="AW195" i="19"/>
  <c r="AX112" i="19"/>
  <c r="AW149" i="19"/>
  <c r="BA84" i="12"/>
  <c r="BA96" i="12" s="1"/>
  <c r="BG53" i="12"/>
  <c r="AX12" i="23"/>
  <c r="J139" i="19"/>
  <c r="J138" i="19"/>
  <c r="K135" i="19" s="1"/>
  <c r="AY3" i="11"/>
  <c r="AZ8" i="11"/>
  <c r="AY10" i="11"/>
  <c r="AX94" i="12"/>
  <c r="AX90" i="12"/>
  <c r="AX78" i="12"/>
  <c r="AX82" i="12"/>
  <c r="DF76" i="12"/>
  <c r="AY91" i="19"/>
  <c r="AM9" i="18"/>
  <c r="AR244" i="26"/>
  <c r="AR243" i="26"/>
  <c r="AR241" i="26"/>
  <c r="AR219" i="26"/>
  <c r="AS17" i="26"/>
  <c r="BA77" i="19"/>
  <c r="AZ80" i="19"/>
  <c r="AZ81" i="19" s="1"/>
  <c r="BA78" i="19" s="1"/>
  <c r="AZ98" i="19"/>
  <c r="BA7" i="19"/>
  <c r="AZ3" i="19"/>
  <c r="BB88" i="12"/>
  <c r="AT72" i="28"/>
  <c r="AS90" i="28"/>
  <c r="AS23" i="26" s="1"/>
  <c r="BI92" i="12"/>
  <c r="BO56" i="18"/>
  <c r="BO57" i="18" s="1"/>
  <c r="BO35" i="18"/>
  <c r="BP5" i="18"/>
  <c r="BO3" i="18"/>
  <c r="AZ93" i="16"/>
  <c r="AS44" i="16"/>
  <c r="AR16" i="26"/>
  <c r="BB169" i="19"/>
  <c r="BB168" i="19"/>
  <c r="BC165" i="19" s="1"/>
  <c r="BC32" i="25"/>
  <c r="BD17" i="25"/>
  <c r="DE84" i="12"/>
  <c r="AS91" i="28"/>
  <c r="AS213" i="26"/>
  <c r="I53" i="33"/>
  <c r="T66" i="33"/>
  <c r="AZ4" i="16"/>
  <c r="AZ3" i="16"/>
  <c r="BA8" i="16"/>
  <c r="U34" i="33"/>
  <c r="V33" i="33"/>
  <c r="W33" i="33" s="1"/>
  <c r="AV202" i="19"/>
  <c r="AV179" i="19"/>
  <c r="AS294" i="26"/>
  <c r="G71" i="33"/>
  <c r="F71" i="33"/>
  <c r="D72" i="33"/>
  <c r="AQ28" i="26"/>
  <c r="AQ25" i="26" s="1"/>
  <c r="AQ55" i="26"/>
  <c r="AQ56" i="26"/>
  <c r="AQ53" i="26"/>
  <c r="AQ12" i="26"/>
  <c r="AO143" i="19"/>
  <c r="AO146" i="19" s="1"/>
  <c r="AN31" i="19"/>
  <c r="DE72" i="12"/>
  <c r="H54" i="33"/>
  <c r="I54" i="33" s="1"/>
  <c r="T73" i="33" s="1"/>
  <c r="V73" i="33" s="1"/>
  <c r="AZ70" i="12"/>
  <c r="Z137" i="25"/>
  <c r="AA136" i="25"/>
  <c r="AQ321" i="26"/>
  <c r="AQ292" i="26"/>
  <c r="AQ318" i="26"/>
  <c r="AQ317" i="26" s="1"/>
  <c r="AQ302" i="26" s="1"/>
  <c r="AQ320" i="26"/>
  <c r="AQ300" i="26"/>
  <c r="AR83" i="28"/>
  <c r="AD203" i="25"/>
  <c r="AC204" i="25"/>
  <c r="AM10" i="18"/>
  <c r="BA267" i="25"/>
  <c r="BA200" i="25"/>
  <c r="BA133" i="25"/>
  <c r="BA111" i="25"/>
  <c r="BA110" i="25" s="1"/>
  <c r="BA114" i="25" s="1"/>
  <c r="BA115" i="25" s="1"/>
  <c r="BB10" i="25"/>
  <c r="BA38" i="25"/>
  <c r="K66" i="33"/>
  <c r="L66" i="33" s="1"/>
  <c r="W15" i="16"/>
  <c r="AA42" i="25"/>
  <c r="AB41" i="25"/>
  <c r="AG34" i="23"/>
  <c r="AX6" i="23"/>
  <c r="BB5" i="16"/>
  <c r="AY53" i="13"/>
  <c r="AY44" i="12"/>
  <c r="AX16" i="12"/>
  <c r="AY13" i="12"/>
  <c r="BA63" i="19"/>
  <c r="AZ4" i="12"/>
  <c r="AY3" i="12"/>
  <c r="AY25" i="12"/>
  <c r="AZ23" i="12" s="1"/>
  <c r="BB4" i="21"/>
  <c r="AT99" i="28"/>
  <c r="AT295" i="26" s="1"/>
  <c r="AT93" i="28"/>
  <c r="AT214" i="26" s="1"/>
  <c r="AT79" i="28"/>
  <c r="AT99" i="26" s="1"/>
  <c r="AT85" i="28"/>
  <c r="AT18" i="26" s="1"/>
  <c r="AU67" i="28"/>
  <c r="AQ128" i="26"/>
  <c r="AQ124" i="26" s="1"/>
  <c r="AQ107" i="26" s="1"/>
  <c r="AQ96" i="26"/>
  <c r="AQ105" i="26"/>
  <c r="AR97" i="26"/>
  <c r="AR293" i="26"/>
  <c r="AZ81" i="23"/>
  <c r="V13" i="23"/>
  <c r="AL7" i="18"/>
  <c r="AT96" i="28"/>
  <c r="AT217" i="26" s="1"/>
  <c r="AT82" i="28"/>
  <c r="AT102" i="26" s="1"/>
  <c r="AU70" i="28"/>
  <c r="AT102" i="28"/>
  <c r="AT298" i="26" s="1"/>
  <c r="AT88" i="28"/>
  <c r="AT21" i="26" s="1"/>
  <c r="AY37" i="22"/>
  <c r="AQ103" i="28"/>
  <c r="W49" i="13"/>
  <c r="BG55" i="12"/>
  <c r="BH47" i="12"/>
  <c r="AX4" i="23"/>
  <c r="AR77" i="28"/>
  <c r="AR103" i="28" s="1"/>
  <c r="BB80" i="12"/>
  <c r="AR97" i="28"/>
  <c r="AJ7" i="18"/>
  <c r="T13" i="23"/>
  <c r="AS80" i="28"/>
  <c r="AS100" i="26" s="1"/>
  <c r="AT68" i="28"/>
  <c r="AS94" i="28"/>
  <c r="AS215" i="26" s="1"/>
  <c r="AS100" i="28"/>
  <c r="AS296" i="26" s="1"/>
  <c r="AS86" i="28"/>
  <c r="AS19" i="26" s="1"/>
  <c r="BB76" i="12"/>
  <c r="AT98" i="28"/>
  <c r="AT78" i="28"/>
  <c r="AT92" i="28"/>
  <c r="AT84" i="28"/>
  <c r="AU66" i="28"/>
  <c r="AY87" i="16"/>
  <c r="G9" i="16"/>
  <c r="BB3" i="17"/>
  <c r="BA105" i="19"/>
  <c r="BK108" i="16"/>
  <c r="BJ107" i="16"/>
  <c r="AZ10" i="23"/>
  <c r="AY3" i="23"/>
  <c r="AQ244" i="26"/>
  <c r="AQ243" i="26"/>
  <c r="AQ241" i="26"/>
  <c r="AQ219" i="26"/>
  <c r="AX62" i="16"/>
  <c r="AX25" i="16" s="1"/>
  <c r="AZ58" i="13"/>
  <c r="X655" i="20" l="1"/>
  <c r="BZ27" i="37"/>
  <c r="Z29" i="25"/>
  <c r="Z30" i="25" s="1"/>
  <c r="BX217" i="37"/>
  <c r="AI43" i="12"/>
  <c r="BY37" i="37"/>
  <c r="BY149" i="37" s="1"/>
  <c r="BY12" i="37"/>
  <c r="BY267" i="37" s="1"/>
  <c r="AI50" i="12"/>
  <c r="AJ18" i="12"/>
  <c r="AI51" i="12"/>
  <c r="CA26" i="37"/>
  <c r="CA27" i="37" s="1"/>
  <c r="BZ31" i="37"/>
  <c r="BZ32" i="37" s="1"/>
  <c r="BB202" i="37"/>
  <c r="BC46" i="37"/>
  <c r="AU39" i="13"/>
  <c r="AT44" i="16" s="1"/>
  <c r="AT12" i="16" s="1"/>
  <c r="BJ10" i="18" s="1"/>
  <c r="BB134" i="37"/>
  <c r="AJ69" i="36"/>
  <c r="AX5" i="23"/>
  <c r="AJ8" i="12"/>
  <c r="AZ17" i="15"/>
  <c r="AV11" i="11"/>
  <c r="AV18" i="15"/>
  <c r="AV54" i="13"/>
  <c r="AV44" i="13" s="1"/>
  <c r="AZ42" i="13"/>
  <c r="AZ4" i="15"/>
  <c r="AY3" i="15"/>
  <c r="BA34" i="13"/>
  <c r="BA33" i="13" s="1"/>
  <c r="BA47" i="13" s="1"/>
  <c r="R53" i="12"/>
  <c r="R54" i="12" s="1"/>
  <c r="R55" i="12" s="1"/>
  <c r="Q56" i="12"/>
  <c r="AW31" i="12"/>
  <c r="AW30" i="12"/>
  <c r="AX28" i="12" s="1"/>
  <c r="DF72" i="12"/>
  <c r="AT90" i="28"/>
  <c r="AT23" i="26" s="1"/>
  <c r="AU72" i="28"/>
  <c r="AU90" i="28" s="1"/>
  <c r="AU23" i="26" s="1"/>
  <c r="BL108" i="16"/>
  <c r="AW88" i="16" s="1"/>
  <c r="BK107" i="16"/>
  <c r="AT213" i="26"/>
  <c r="AY16" i="12"/>
  <c r="AT77" i="28"/>
  <c r="AT98" i="26"/>
  <c r="AT100" i="28"/>
  <c r="AT296" i="26" s="1"/>
  <c r="AT86" i="28"/>
  <c r="AT19" i="26" s="1"/>
  <c r="AU68" i="28"/>
  <c r="AT94" i="28"/>
  <c r="AT215" i="26" s="1"/>
  <c r="AT80" i="28"/>
  <c r="AT100" i="26" s="1"/>
  <c r="AE203" i="25"/>
  <c r="AD204" i="25"/>
  <c r="BC88" i="12"/>
  <c r="AZ91" i="19"/>
  <c r="AS97" i="26"/>
  <c r="AT97" i="28"/>
  <c r="AT294" i="26"/>
  <c r="AT293" i="26" s="1"/>
  <c r="BI47" i="12"/>
  <c r="BH55" i="12"/>
  <c r="AY94" i="12"/>
  <c r="AY78" i="12"/>
  <c r="AY90" i="12"/>
  <c r="AY82" i="12"/>
  <c r="BA70" i="12"/>
  <c r="BC169" i="19"/>
  <c r="BC168" i="19"/>
  <c r="BD165" i="19" s="1"/>
  <c r="BB7" i="19"/>
  <c r="AP373" i="20" s="1"/>
  <c r="BA3" i="19"/>
  <c r="BA98" i="19"/>
  <c r="AS16" i="26"/>
  <c r="DG76" i="12"/>
  <c r="AW202" i="19"/>
  <c r="AW179" i="19"/>
  <c r="AS77" i="28"/>
  <c r="AS103" i="28" s="1"/>
  <c r="BC72" i="12"/>
  <c r="AY36" i="12"/>
  <c r="AZ33" i="12"/>
  <c r="AZ35" i="12" s="1"/>
  <c r="AX7" i="15"/>
  <c r="AQ240" i="26"/>
  <c r="BC76" i="12"/>
  <c r="AR318" i="26"/>
  <c r="AR320" i="26"/>
  <c r="AR300" i="26"/>
  <c r="AR321" i="26"/>
  <c r="AR292" i="26"/>
  <c r="AB42" i="25"/>
  <c r="AC41" i="25"/>
  <c r="F72" i="33"/>
  <c r="G72" i="33"/>
  <c r="D73" i="33"/>
  <c r="AS293" i="26"/>
  <c r="DF84" i="12"/>
  <c r="BP35" i="18"/>
  <c r="BQ5" i="18"/>
  <c r="BP3" i="18"/>
  <c r="AS83" i="28"/>
  <c r="BB105" i="19"/>
  <c r="BH53" i="12"/>
  <c r="AU96" i="28"/>
  <c r="AU217" i="26" s="1"/>
  <c r="AU88" i="28"/>
  <c r="AU21" i="26" s="1"/>
  <c r="AU82" i="28"/>
  <c r="AU102" i="26" s="1"/>
  <c r="AU102" i="28"/>
  <c r="AU298" i="26" s="1"/>
  <c r="BC4" i="21"/>
  <c r="AS97" i="28"/>
  <c r="V67" i="33"/>
  <c r="W69" i="33" s="1"/>
  <c r="J53" i="33"/>
  <c r="J54" i="33" s="1"/>
  <c r="AY12" i="23"/>
  <c r="AY6" i="23"/>
  <c r="AY5" i="23" s="1"/>
  <c r="BC5" i="16"/>
  <c r="AZ53" i="13"/>
  <c r="AZ44" i="12"/>
  <c r="AH34" i="23"/>
  <c r="BA4" i="12"/>
  <c r="AZ3" i="12"/>
  <c r="AZ25" i="12"/>
  <c r="BA23" i="12" s="1"/>
  <c r="BB63" i="19"/>
  <c r="AP143" i="19"/>
  <c r="AP146" i="19" s="1"/>
  <c r="AO31" i="19"/>
  <c r="K67" i="33"/>
  <c r="L67" i="33" s="1"/>
  <c r="AS212" i="26"/>
  <c r="AS12" i="16"/>
  <c r="BA8" i="11"/>
  <c r="AZ10" i="11"/>
  <c r="BA17" i="15" s="1"/>
  <c r="AZ3" i="11"/>
  <c r="AH115" i="19"/>
  <c r="AH116" i="19" s="1"/>
  <c r="AR240" i="26"/>
  <c r="AY126" i="19"/>
  <c r="AR128" i="26"/>
  <c r="AR124" i="26" s="1"/>
  <c r="AR107" i="26" s="1"/>
  <c r="AR105" i="26"/>
  <c r="AR96" i="26" s="1"/>
  <c r="AM13" i="18"/>
  <c r="BA4" i="16"/>
  <c r="BA3" i="16"/>
  <c r="BB8" i="16"/>
  <c r="AU45" i="13"/>
  <c r="BC3" i="17"/>
  <c r="AT83" i="28"/>
  <c r="AT17" i="26"/>
  <c r="AT16" i="26" s="1"/>
  <c r="BC80" i="12"/>
  <c r="AX118" i="23"/>
  <c r="AU99" i="28"/>
  <c r="AU295" i="26" s="1"/>
  <c r="AU79" i="28"/>
  <c r="AU99" i="26" s="1"/>
  <c r="AU93" i="28"/>
  <c r="AU214" i="26" s="1"/>
  <c r="AU85" i="28"/>
  <c r="AU18" i="26" s="1"/>
  <c r="AY15" i="12"/>
  <c r="AZ13" i="12" s="1"/>
  <c r="AQ52" i="26"/>
  <c r="AQ30" i="26" s="1"/>
  <c r="BB77" i="19"/>
  <c r="BB80" i="19" s="1"/>
  <c r="BB81" i="19" s="1"/>
  <c r="BA80" i="19"/>
  <c r="BB84" i="12"/>
  <c r="BB96" i="12" s="1"/>
  <c r="AZ87" i="16"/>
  <c r="AU92" i="28"/>
  <c r="AU84" i="28"/>
  <c r="AU98" i="28"/>
  <c r="AU78" i="28"/>
  <c r="BA81" i="23"/>
  <c r="AB136" i="25"/>
  <c r="AA137" i="25"/>
  <c r="AZ3" i="23"/>
  <c r="BA10" i="23"/>
  <c r="AT43" i="16"/>
  <c r="BB267" i="25"/>
  <c r="BB200" i="25"/>
  <c r="BB133" i="25"/>
  <c r="BB111" i="25"/>
  <c r="BB110" i="25" s="1"/>
  <c r="BB114" i="25" s="1"/>
  <c r="BB115" i="25" s="1"/>
  <c r="BC10" i="25"/>
  <c r="BB38" i="25"/>
  <c r="BE17" i="25"/>
  <c r="BD32" i="25"/>
  <c r="AR28" i="26"/>
  <c r="AR25" i="26" s="1"/>
  <c r="AR55" i="26"/>
  <c r="AR56" i="26"/>
  <c r="AR53" i="26"/>
  <c r="BA93" i="16"/>
  <c r="BJ92" i="12"/>
  <c r="K139" i="19"/>
  <c r="AX172" i="19"/>
  <c r="AX157" i="19"/>
  <c r="AX142" i="19"/>
  <c r="AX188" i="19" s="1"/>
  <c r="AX195" i="19"/>
  <c r="AY112" i="19"/>
  <c r="AX149" i="19"/>
  <c r="AZ20" i="15"/>
  <c r="Z11" i="25" l="1"/>
  <c r="Z268" i="25" s="1"/>
  <c r="Z34" i="25"/>
  <c r="BY217" i="37"/>
  <c r="BZ37" i="37"/>
  <c r="BZ12" i="37"/>
  <c r="BZ267" i="37" s="1"/>
  <c r="BZ149" i="37"/>
  <c r="BZ217" i="37"/>
  <c r="AJ21" i="12"/>
  <c r="AJ52" i="12" s="1"/>
  <c r="AJ20" i="12"/>
  <c r="AJ49" i="12"/>
  <c r="CB26" i="37"/>
  <c r="CA31" i="37"/>
  <c r="CA32" i="37" s="1"/>
  <c r="AE372" i="20"/>
  <c r="AL372" i="20"/>
  <c r="M432" i="20" s="1"/>
  <c r="M372" i="20"/>
  <c r="L371" i="20"/>
  <c r="Z371" i="20"/>
  <c r="AJ372" i="20"/>
  <c r="K432" i="20" s="1"/>
  <c r="BC134" i="37"/>
  <c r="BD46" i="37"/>
  <c r="AN371" i="20"/>
  <c r="Q371" i="20"/>
  <c r="D403" i="20" s="1"/>
  <c r="AK371" i="20"/>
  <c r="L431" i="20" s="1"/>
  <c r="BC202" i="37"/>
  <c r="AY89" i="16"/>
  <c r="AY90" i="16" s="1"/>
  <c r="AY35" i="16" s="1"/>
  <c r="AY101" i="16" s="1"/>
  <c r="AY88" i="16"/>
  <c r="AJ38" i="12"/>
  <c r="AJ10" i="12"/>
  <c r="AU88" i="16"/>
  <c r="AV88" i="16"/>
  <c r="D372" i="20"/>
  <c r="E371" i="20"/>
  <c r="F362" i="20"/>
  <c r="E372" i="20"/>
  <c r="E362" i="20"/>
  <c r="D362" i="20"/>
  <c r="D371" i="20"/>
  <c r="G371" i="20"/>
  <c r="G362" i="20"/>
  <c r="H372" i="20"/>
  <c r="G372" i="20"/>
  <c r="I371" i="20"/>
  <c r="K371" i="20"/>
  <c r="H371" i="20"/>
  <c r="I372" i="20"/>
  <c r="H362" i="20"/>
  <c r="I362" i="20"/>
  <c r="J362" i="20"/>
  <c r="K362" i="20"/>
  <c r="K372" i="20"/>
  <c r="J372" i="20"/>
  <c r="L372" i="20"/>
  <c r="N372" i="20"/>
  <c r="N362" i="20"/>
  <c r="N371" i="20"/>
  <c r="L362" i="20"/>
  <c r="M362" i="20"/>
  <c r="O371" i="20"/>
  <c r="O372" i="20"/>
  <c r="M371" i="20"/>
  <c r="P372" i="20"/>
  <c r="P371" i="20"/>
  <c r="S371" i="20"/>
  <c r="F403" i="20" s="1"/>
  <c r="P362" i="20"/>
  <c r="O362" i="20"/>
  <c r="Q372" i="20"/>
  <c r="D404" i="20" s="1"/>
  <c r="R371" i="20"/>
  <c r="E403" i="20" s="1"/>
  <c r="Q362" i="20"/>
  <c r="R372" i="20"/>
  <c r="E404" i="20" s="1"/>
  <c r="R362" i="20"/>
  <c r="E394" i="20" s="1"/>
  <c r="S372" i="20"/>
  <c r="F404" i="20" s="1"/>
  <c r="S362" i="20"/>
  <c r="F394" i="20" s="1"/>
  <c r="T372" i="20"/>
  <c r="G404" i="20" s="1"/>
  <c r="T371" i="20"/>
  <c r="G403" i="20" s="1"/>
  <c r="T362" i="20"/>
  <c r="G394" i="20" s="1"/>
  <c r="U371" i="20"/>
  <c r="U372" i="20"/>
  <c r="H404" i="20" s="1"/>
  <c r="U362" i="20"/>
  <c r="H394" i="20" s="1"/>
  <c r="V372" i="20"/>
  <c r="I404" i="20" s="1"/>
  <c r="X372" i="20"/>
  <c r="K404" i="20" s="1"/>
  <c r="V371" i="20"/>
  <c r="I403" i="20" s="1"/>
  <c r="W362" i="20"/>
  <c r="J394" i="20" s="1"/>
  <c r="W371" i="20"/>
  <c r="J403" i="20" s="1"/>
  <c r="Y371" i="20"/>
  <c r="L403" i="20" s="1"/>
  <c r="W372" i="20"/>
  <c r="J404" i="20" s="1"/>
  <c r="V362" i="20"/>
  <c r="I394" i="20" s="1"/>
  <c r="Y372" i="20"/>
  <c r="L404" i="20" s="1"/>
  <c r="X362" i="20"/>
  <c r="K394" i="20" s="1"/>
  <c r="AA362" i="20"/>
  <c r="N394" i="20" s="1"/>
  <c r="X371" i="20"/>
  <c r="K403" i="20" s="1"/>
  <c r="Z362" i="20"/>
  <c r="M394" i="20" s="1"/>
  <c r="Z372" i="20"/>
  <c r="Y362" i="20"/>
  <c r="L394" i="20" s="1"/>
  <c r="AB362" i="20"/>
  <c r="O394" i="20" s="1"/>
  <c r="AB371" i="20"/>
  <c r="O403" i="20" s="1"/>
  <c r="AA371" i="20"/>
  <c r="N403" i="20" s="1"/>
  <c r="AB372" i="20"/>
  <c r="AC371" i="20"/>
  <c r="D431" i="20" s="1"/>
  <c r="AC372" i="20"/>
  <c r="D432" i="20" s="1"/>
  <c r="AC362" i="20"/>
  <c r="AD372" i="20"/>
  <c r="E432" i="20" s="1"/>
  <c r="AF371" i="20"/>
  <c r="G431" i="20" s="1"/>
  <c r="AE362" i="20"/>
  <c r="F422" i="20" s="1"/>
  <c r="AD371" i="20"/>
  <c r="E431" i="20" s="1"/>
  <c r="AD362" i="20"/>
  <c r="E422" i="20" s="1"/>
  <c r="AE371" i="20"/>
  <c r="F431" i="20" s="1"/>
  <c r="AF372" i="20"/>
  <c r="G432" i="20" s="1"/>
  <c r="AF362" i="20"/>
  <c r="G422" i="20" s="1"/>
  <c r="AI372" i="20"/>
  <c r="J432" i="20" s="1"/>
  <c r="AH362" i="20"/>
  <c r="I422" i="20" s="1"/>
  <c r="AG362" i="20"/>
  <c r="H422" i="20" s="1"/>
  <c r="AG371" i="20"/>
  <c r="H431" i="20" s="1"/>
  <c r="AI362" i="20"/>
  <c r="J422" i="20" s="1"/>
  <c r="AH372" i="20"/>
  <c r="I432" i="20" s="1"/>
  <c r="AH371" i="20"/>
  <c r="I431" i="20" s="1"/>
  <c r="AI371" i="20"/>
  <c r="AK362" i="20"/>
  <c r="L422" i="20" s="1"/>
  <c r="AL362" i="20"/>
  <c r="M422" i="20" s="1"/>
  <c r="AK372" i="20"/>
  <c r="L432" i="20" s="1"/>
  <c r="AJ362" i="20"/>
  <c r="K422" i="20" s="1"/>
  <c r="AN362" i="20"/>
  <c r="O422" i="20" s="1"/>
  <c r="AM362" i="20"/>
  <c r="N422" i="20" s="1"/>
  <c r="AO371" i="20"/>
  <c r="AO372" i="20"/>
  <c r="AP360" i="20"/>
  <c r="AP365" i="20"/>
  <c r="AP375" i="20"/>
  <c r="AP374" i="20"/>
  <c r="AP357" i="20"/>
  <c r="AP371" i="20"/>
  <c r="AP369" i="20"/>
  <c r="AP366" i="20"/>
  <c r="AP354" i="20"/>
  <c r="AP352" i="20"/>
  <c r="AP361" i="20"/>
  <c r="AP362" i="20"/>
  <c r="AP356" i="20"/>
  <c r="AP372" i="20"/>
  <c r="AP358" i="20"/>
  <c r="AP364" i="20"/>
  <c r="AP367" i="20"/>
  <c r="AP376" i="20"/>
  <c r="AW18" i="15"/>
  <c r="AW54" i="13"/>
  <c r="AW44" i="13" s="1"/>
  <c r="AW41" i="13" s="1"/>
  <c r="AW11" i="11"/>
  <c r="AL371" i="20"/>
  <c r="M431" i="20" s="1"/>
  <c r="AV46" i="13"/>
  <c r="AV45" i="13" s="1"/>
  <c r="AU47" i="16" s="1"/>
  <c r="AU15" i="16" s="1"/>
  <c r="BK13" i="18" s="1"/>
  <c r="AN372" i="20"/>
  <c r="O432" i="20" s="1"/>
  <c r="F372" i="20"/>
  <c r="AM371" i="20"/>
  <c r="N431" i="20" s="1"/>
  <c r="F371" i="20"/>
  <c r="AG372" i="20"/>
  <c r="H432" i="20" s="1"/>
  <c r="AJ371" i="20"/>
  <c r="K431" i="20" s="1"/>
  <c r="AT511" i="20"/>
  <c r="AU508" i="20"/>
  <c r="AT508" i="20"/>
  <c r="AT509" i="20"/>
  <c r="AU509" i="20"/>
  <c r="AU511" i="20"/>
  <c r="AP353" i="20"/>
  <c r="J371" i="20"/>
  <c r="AM372" i="20"/>
  <c r="N432" i="20" s="1"/>
  <c r="AA372" i="20"/>
  <c r="N404" i="20" s="1"/>
  <c r="AV38" i="13"/>
  <c r="AU43" i="16" s="1"/>
  <c r="AU11" i="16" s="1"/>
  <c r="BK9" i="18" s="1"/>
  <c r="AV37" i="13"/>
  <c r="AV39" i="13"/>
  <c r="AU44" i="16" s="1"/>
  <c r="AU12" i="16" s="1"/>
  <c r="BK10" i="18" s="1"/>
  <c r="AW38" i="13"/>
  <c r="AW39" i="13"/>
  <c r="AW46" i="13"/>
  <c r="BA42" i="13"/>
  <c r="AV41" i="13"/>
  <c r="BK12" i="18" s="1"/>
  <c r="BA4" i="15"/>
  <c r="AZ3" i="15"/>
  <c r="BB34" i="13"/>
  <c r="BB33" i="13" s="1"/>
  <c r="BB47" i="13" s="1"/>
  <c r="R56" i="12"/>
  <c r="S53" i="12"/>
  <c r="S54" i="12" s="1"/>
  <c r="S55" i="12" s="1"/>
  <c r="AX31" i="12"/>
  <c r="AX30" i="12"/>
  <c r="AY28" i="12" s="1"/>
  <c r="AZ16" i="12"/>
  <c r="AZ15" i="12"/>
  <c r="BA13" i="12" s="1"/>
  <c r="BA15" i="12" s="1"/>
  <c r="BA3" i="23"/>
  <c r="BB10" i="23"/>
  <c r="AU213" i="26"/>
  <c r="AT47" i="16"/>
  <c r="AZ6" i="23"/>
  <c r="AZ5" i="23" s="1"/>
  <c r="BD5" i="16"/>
  <c r="BA53" i="13"/>
  <c r="BA44" i="12"/>
  <c r="AQ143" i="19"/>
  <c r="AQ146" i="19" s="1"/>
  <c r="AP31" i="19"/>
  <c r="BR5" i="18"/>
  <c r="BQ35" i="18"/>
  <c r="BQ3" i="18"/>
  <c r="AS321" i="26"/>
  <c r="AS320" i="26"/>
  <c r="AS318" i="26"/>
  <c r="AS300" i="26"/>
  <c r="AS292" i="26"/>
  <c r="BD168" i="19"/>
  <c r="BE165" i="19" s="1"/>
  <c r="BD169" i="19"/>
  <c r="BI53" i="12"/>
  <c r="AS128" i="26"/>
  <c r="AS124" i="26" s="1"/>
  <c r="AS107" i="26" s="1"/>
  <c r="AS105" i="26"/>
  <c r="AS96" i="26" s="1"/>
  <c r="AZ12" i="23"/>
  <c r="G73" i="33"/>
  <c r="F73" i="33"/>
  <c r="D74" i="33"/>
  <c r="AC42" i="25"/>
  <c r="AD41" i="25"/>
  <c r="BB98" i="19"/>
  <c r="BJ47" i="12"/>
  <c r="BI55" i="12"/>
  <c r="BL107" i="16"/>
  <c r="H88" i="16"/>
  <c r="G89" i="16"/>
  <c r="G90" i="16" s="1"/>
  <c r="L89" i="16"/>
  <c r="L90" i="16" s="1"/>
  <c r="K88" i="16"/>
  <c r="N88" i="16"/>
  <c r="K89" i="16"/>
  <c r="K90" i="16" s="1"/>
  <c r="H89" i="16"/>
  <c r="H90" i="16" s="1"/>
  <c r="H35" i="16" s="1"/>
  <c r="H101" i="16" s="1"/>
  <c r="I89" i="16"/>
  <c r="I90" i="16" s="1"/>
  <c r="I35" i="16" s="1"/>
  <c r="I101" i="16" s="1"/>
  <c r="N89" i="16"/>
  <c r="N90" i="16" s="1"/>
  <c r="N35" i="16" s="1"/>
  <c r="N101" i="16" s="1"/>
  <c r="J89" i="16"/>
  <c r="J90" i="16" s="1"/>
  <c r="I88" i="16"/>
  <c r="J88" i="16"/>
  <c r="L88" i="16"/>
  <c r="G88" i="16"/>
  <c r="M88" i="16"/>
  <c r="M89" i="16"/>
  <c r="M90" i="16" s="1"/>
  <c r="M35" i="16" s="1"/>
  <c r="M101" i="16" s="1"/>
  <c r="Q88" i="16"/>
  <c r="O89" i="16"/>
  <c r="O88" i="16"/>
  <c r="P89" i="16"/>
  <c r="P90" i="16" s="1"/>
  <c r="P35" i="16" s="1"/>
  <c r="P101" i="16" s="1"/>
  <c r="Q89" i="16"/>
  <c r="Q90" i="16" s="1"/>
  <c r="Q35" i="16" s="1"/>
  <c r="Q101" i="16" s="1"/>
  <c r="P88" i="16"/>
  <c r="T88" i="16"/>
  <c r="T89" i="16"/>
  <c r="T90" i="16" s="1"/>
  <c r="T35" i="16" s="1"/>
  <c r="T101" i="16" s="1"/>
  <c r="S89" i="16"/>
  <c r="S90" i="16" s="1"/>
  <c r="S88" i="16"/>
  <c r="U89" i="16"/>
  <c r="U90" i="16" s="1"/>
  <c r="U35" i="16" s="1"/>
  <c r="U101" i="16" s="1"/>
  <c r="Y89" i="16"/>
  <c r="Y90" i="16" s="1"/>
  <c r="Y35" i="16" s="1"/>
  <c r="Y101" i="16" s="1"/>
  <c r="W89" i="16"/>
  <c r="W90" i="16" s="1"/>
  <c r="Y88" i="16"/>
  <c r="X89" i="16"/>
  <c r="X90" i="16" s="1"/>
  <c r="X35" i="16" s="1"/>
  <c r="X101" i="16" s="1"/>
  <c r="U88" i="16"/>
  <c r="X88" i="16"/>
  <c r="W88" i="16"/>
  <c r="AB89" i="16"/>
  <c r="AB90" i="16" s="1"/>
  <c r="AB35" i="16" s="1"/>
  <c r="AB101" i="16" s="1"/>
  <c r="AA89" i="16"/>
  <c r="AA90" i="16" s="1"/>
  <c r="AA88" i="16"/>
  <c r="AB88" i="16"/>
  <c r="AC89" i="16"/>
  <c r="AC90" i="16" s="1"/>
  <c r="AC35" i="16" s="1"/>
  <c r="AC101" i="16" s="1"/>
  <c r="AE88" i="16"/>
  <c r="AI88" i="16"/>
  <c r="AC88" i="16"/>
  <c r="AE89" i="16"/>
  <c r="AE90" i="16" s="1"/>
  <c r="AF89" i="16"/>
  <c r="AF90" i="16" s="1"/>
  <c r="AF35" i="16" s="1"/>
  <c r="AF101" i="16" s="1"/>
  <c r="AG88" i="16"/>
  <c r="AG89" i="16"/>
  <c r="AG90" i="16" s="1"/>
  <c r="AG35" i="16" s="1"/>
  <c r="AG101" i="16" s="1"/>
  <c r="AF88" i="16"/>
  <c r="AI89" i="16"/>
  <c r="AI90" i="16" s="1"/>
  <c r="AJ88" i="16"/>
  <c r="AJ89" i="16"/>
  <c r="AJ90" i="16" s="1"/>
  <c r="AJ35" i="16" s="1"/>
  <c r="AJ101" i="16" s="1"/>
  <c r="AK88" i="16"/>
  <c r="AN89" i="16"/>
  <c r="AN90" i="16" s="1"/>
  <c r="AN35" i="16" s="1"/>
  <c r="AN101" i="16" s="1"/>
  <c r="AK89" i="16"/>
  <c r="AK90" i="16" s="1"/>
  <c r="AK35" i="16" s="1"/>
  <c r="AK101" i="16" s="1"/>
  <c r="AM89" i="16"/>
  <c r="AM90" i="16" s="1"/>
  <c r="AO88" i="16"/>
  <c r="AM88" i="16"/>
  <c r="AN88" i="16"/>
  <c r="AO89" i="16"/>
  <c r="AO90" i="16" s="1"/>
  <c r="AO35" i="16" s="1"/>
  <c r="AO101" i="16" s="1"/>
  <c r="AR88" i="16"/>
  <c r="AQ89" i="16"/>
  <c r="AQ90" i="16" s="1"/>
  <c r="AQ88" i="16"/>
  <c r="AV89" i="16"/>
  <c r="AV90" i="16" s="1"/>
  <c r="AV35" i="16" s="1"/>
  <c r="AV101" i="16" s="1"/>
  <c r="AR89" i="16"/>
  <c r="AR90" i="16" s="1"/>
  <c r="AR35" i="16" s="1"/>
  <c r="AR101" i="16" s="1"/>
  <c r="AS89" i="16"/>
  <c r="AS90" i="16" s="1"/>
  <c r="AS35" i="16" s="1"/>
  <c r="AS101" i="16" s="1"/>
  <c r="AS88" i="16"/>
  <c r="BB8" i="11"/>
  <c r="BA3" i="11"/>
  <c r="BA10" i="11"/>
  <c r="BB17" i="15" s="1"/>
  <c r="BF17" i="25"/>
  <c r="BE32" i="25"/>
  <c r="BB81" i="23"/>
  <c r="BI10" i="18"/>
  <c r="BA25" i="12"/>
  <c r="BB23" i="12" s="1"/>
  <c r="BB4" i="12"/>
  <c r="BA3" i="12"/>
  <c r="K68" i="33"/>
  <c r="L68" i="33" s="1"/>
  <c r="BD72" i="12"/>
  <c r="BB3" i="19"/>
  <c r="AV174" i="19" s="1"/>
  <c r="AQ376" i="20"/>
  <c r="AQ374" i="20"/>
  <c r="AQ372" i="20"/>
  <c r="AQ373" i="20"/>
  <c r="AQ375" i="20"/>
  <c r="AQ371" i="20"/>
  <c r="D394" i="20"/>
  <c r="H403" i="20"/>
  <c r="M404" i="20"/>
  <c r="M403" i="20"/>
  <c r="D422" i="20"/>
  <c r="O404" i="20"/>
  <c r="F432" i="20"/>
  <c r="J431" i="20"/>
  <c r="O431" i="20"/>
  <c r="J129" i="19"/>
  <c r="AC136" i="25"/>
  <c r="AB137" i="25"/>
  <c r="AU17" i="26"/>
  <c r="AU16" i="26" s="1"/>
  <c r="BK92" i="12"/>
  <c r="DH76" i="12"/>
  <c r="AT318" i="26"/>
  <c r="AT317" i="26" s="1"/>
  <c r="AT302" i="26" s="1"/>
  <c r="AT320" i="26"/>
  <c r="AT292" i="26"/>
  <c r="AT321" i="26"/>
  <c r="AT300" i="26"/>
  <c r="BA91" i="19"/>
  <c r="AU100" i="28"/>
  <c r="AU296" i="26" s="1"/>
  <c r="AU80" i="28"/>
  <c r="AU100" i="26" s="1"/>
  <c r="AU94" i="28"/>
  <c r="AU215" i="26" s="1"/>
  <c r="AU86" i="28"/>
  <c r="AU19" i="26" s="1"/>
  <c r="BJ12" i="18"/>
  <c r="AZ62" i="16"/>
  <c r="AZ25" i="16" s="1"/>
  <c r="AY142" i="19"/>
  <c r="AY188" i="19" s="1"/>
  <c r="AY195" i="19"/>
  <c r="AZ112" i="19"/>
  <c r="AY149" i="19"/>
  <c r="AY172" i="19"/>
  <c r="AY157" i="19"/>
  <c r="AR12" i="26"/>
  <c r="BC267" i="25"/>
  <c r="BC200" i="25"/>
  <c r="BC111" i="25"/>
  <c r="BC110" i="25" s="1"/>
  <c r="BC114" i="25" s="1"/>
  <c r="BC115" i="25" s="1"/>
  <c r="BC133" i="25"/>
  <c r="BD10" i="25"/>
  <c r="BC38" i="25"/>
  <c r="BC84" i="12"/>
  <c r="BC96" i="12" s="1"/>
  <c r="BB4" i="16"/>
  <c r="BB3" i="16"/>
  <c r="BC8" i="16"/>
  <c r="AS244" i="26"/>
  <c r="AS219" i="26"/>
  <c r="AS243" i="26"/>
  <c r="AS241" i="26"/>
  <c r="AS240" i="26" s="1"/>
  <c r="AR317" i="26"/>
  <c r="AR302" i="26" s="1"/>
  <c r="AT11" i="16"/>
  <c r="BD80" i="12"/>
  <c r="AS28" i="26"/>
  <c r="AS25" i="26" s="1"/>
  <c r="AS55" i="26"/>
  <c r="AS56" i="26"/>
  <c r="AS53" i="26"/>
  <c r="AS12" i="26"/>
  <c r="AZ94" i="12"/>
  <c r="AZ82" i="12"/>
  <c r="AZ90" i="12"/>
  <c r="AZ78" i="12"/>
  <c r="AR52" i="26"/>
  <c r="AR30" i="26" s="1"/>
  <c r="H55" i="33"/>
  <c r="H56" i="33"/>
  <c r="I56" i="33" s="1"/>
  <c r="T78" i="33" s="1"/>
  <c r="V78" i="33" s="1"/>
  <c r="BD88" i="12"/>
  <c r="AW89" i="16"/>
  <c r="AW90" i="16" s="1"/>
  <c r="AW35" i="16" s="1"/>
  <c r="AW101" i="16" s="1"/>
  <c r="M15" i="15"/>
  <c r="AB25" i="18" s="1"/>
  <c r="L14" i="23" s="1"/>
  <c r="Q15" i="15"/>
  <c r="AF25" i="18" s="1"/>
  <c r="P14" i="23" s="1"/>
  <c r="U15" i="15"/>
  <c r="AJ25" i="18" s="1"/>
  <c r="Y15" i="15"/>
  <c r="AN25" i="18" s="1"/>
  <c r="AI113" i="19"/>
  <c r="AH23" i="19"/>
  <c r="AZ88" i="16"/>
  <c r="AZ89" i="16"/>
  <c r="AZ90" i="16" s="1"/>
  <c r="AZ35" i="16" s="1"/>
  <c r="AZ101" i="16" s="1"/>
  <c r="BA87" i="16"/>
  <c r="AT55" i="26"/>
  <c r="AT28" i="26"/>
  <c r="AT25" i="26" s="1"/>
  <c r="AT56" i="26"/>
  <c r="AT53" i="26"/>
  <c r="AT12" i="26"/>
  <c r="AY131" i="19"/>
  <c r="AZ126" i="19"/>
  <c r="K136" i="19"/>
  <c r="K131" i="19"/>
  <c r="AX202" i="19"/>
  <c r="AX179" i="19"/>
  <c r="AU77" i="28"/>
  <c r="AU98" i="26"/>
  <c r="AU97" i="26" s="1"/>
  <c r="BB93" i="16"/>
  <c r="AU97" i="28"/>
  <c r="AU294" i="26"/>
  <c r="AU293" i="26" s="1"/>
  <c r="DG84" i="12"/>
  <c r="BD76" i="12"/>
  <c r="AZ36" i="12"/>
  <c r="BA33" i="12"/>
  <c r="BA35" i="12" s="1"/>
  <c r="BB70" i="12"/>
  <c r="L129" i="19"/>
  <c r="AT97" i="26"/>
  <c r="AT212" i="26"/>
  <c r="AU89" i="16"/>
  <c r="AU90" i="16" s="1"/>
  <c r="AF203" i="25"/>
  <c r="AE204" i="25"/>
  <c r="AT91" i="28"/>
  <c r="AT103" i="28" s="1"/>
  <c r="DG72" i="12"/>
  <c r="CB27" i="37" l="1"/>
  <c r="AA24" i="25"/>
  <c r="CA37" i="37"/>
  <c r="CA12" i="37"/>
  <c r="CA267" i="37" s="1"/>
  <c r="CA149" i="37"/>
  <c r="CA217" i="37"/>
  <c r="AY174" i="19"/>
  <c r="AV128" i="19"/>
  <c r="AJ50" i="12"/>
  <c r="AJ51" i="12" s="1"/>
  <c r="AK18" i="12"/>
  <c r="CC26" i="37"/>
  <c r="CC27" i="37" s="1"/>
  <c r="CB31" i="37"/>
  <c r="CB32" i="37" s="1"/>
  <c r="BD202" i="37"/>
  <c r="AU128" i="19"/>
  <c r="AY129" i="19"/>
  <c r="K129" i="19"/>
  <c r="AU131" i="19"/>
  <c r="AV131" i="19"/>
  <c r="AW128" i="19"/>
  <c r="BE46" i="37"/>
  <c r="AY128" i="19"/>
  <c r="BD134" i="37"/>
  <c r="AP359" i="20"/>
  <c r="AT510" i="20"/>
  <c r="AT512" i="20" s="1"/>
  <c r="AT514" i="20" s="1"/>
  <c r="AW37" i="13"/>
  <c r="AU510" i="20"/>
  <c r="AU513" i="20" s="1"/>
  <c r="AK8" i="12"/>
  <c r="AJ40" i="12"/>
  <c r="AJ43" i="12" s="1"/>
  <c r="AP363" i="20"/>
  <c r="AP355" i="20"/>
  <c r="AP368" i="20"/>
  <c r="AX18" i="15"/>
  <c r="AX11" i="11"/>
  <c r="AX54" i="13"/>
  <c r="AX38" i="13" s="1"/>
  <c r="AW43" i="16" s="1"/>
  <c r="AW11" i="16" s="1"/>
  <c r="BM9" i="18" s="1"/>
  <c r="BB42" i="13"/>
  <c r="BB4" i="15"/>
  <c r="BA3" i="15"/>
  <c r="AU129" i="19"/>
  <c r="BC34" i="13"/>
  <c r="BC33" i="13" s="1"/>
  <c r="BC47" i="13" s="1"/>
  <c r="S56" i="12"/>
  <c r="T53" i="12"/>
  <c r="T54" i="12" s="1"/>
  <c r="T55" i="12" s="1"/>
  <c r="AY31" i="12"/>
  <c r="AY30" i="12"/>
  <c r="AZ28" i="12" s="1"/>
  <c r="AU28" i="26"/>
  <c r="AU25" i="26" s="1"/>
  <c r="AU12" i="26" s="1"/>
  <c r="AU55" i="26"/>
  <c r="AU56" i="26"/>
  <c r="AU53" i="26"/>
  <c r="AU52" i="26" s="1"/>
  <c r="AU30" i="26" s="1"/>
  <c r="AU35" i="16"/>
  <c r="AU101" i="16" s="1"/>
  <c r="BC8" i="11"/>
  <c r="BB10" i="11"/>
  <c r="BC17" i="15" s="1"/>
  <c r="BB3" i="11"/>
  <c r="AQ35" i="16"/>
  <c r="AQ101" i="16" s="1"/>
  <c r="AA35" i="16"/>
  <c r="AA101" i="16" s="1"/>
  <c r="AS174" i="19"/>
  <c r="BE76" i="12"/>
  <c r="AU318" i="26"/>
  <c r="AU300" i="26"/>
  <c r="AU320" i="26"/>
  <c r="AU292" i="26"/>
  <c r="AU321" i="26"/>
  <c r="AU128" i="26"/>
  <c r="AU124" i="26" s="1"/>
  <c r="AU107" i="26" s="1"/>
  <c r="AU96" i="26"/>
  <c r="AU105" i="26"/>
  <c r="K128" i="19"/>
  <c r="K138" i="19"/>
  <c r="AP380" i="20"/>
  <c r="AP379" i="20"/>
  <c r="AT52" i="26"/>
  <c r="AT30" i="26" s="1"/>
  <c r="AS52" i="26"/>
  <c r="AS30" i="26" s="1"/>
  <c r="BL92" i="12"/>
  <c r="AD136" i="25"/>
  <c r="AC137" i="25"/>
  <c r="BE72" i="12"/>
  <c r="BC81" i="23"/>
  <c r="AE35" i="16"/>
  <c r="AE101" i="16" s="1"/>
  <c r="L35" i="16"/>
  <c r="L101" i="16" s="1"/>
  <c r="AS129" i="19"/>
  <c r="AP377" i="20"/>
  <c r="DH72" i="12"/>
  <c r="BA36" i="12"/>
  <c r="BB33" i="12"/>
  <c r="BD267" i="25"/>
  <c r="BD200" i="25"/>
  <c r="BD133" i="25"/>
  <c r="BD111" i="25"/>
  <c r="BD110" i="25" s="1"/>
  <c r="BD114" i="25" s="1"/>
  <c r="BD115" i="25" s="1"/>
  <c r="BE10" i="25"/>
  <c r="BD38" i="25"/>
  <c r="AV44" i="16"/>
  <c r="AZ195" i="19"/>
  <c r="BA112" i="19"/>
  <c r="AZ149" i="19"/>
  <c r="AZ172" i="19"/>
  <c r="AZ174" i="19" s="1"/>
  <c r="AZ157" i="19"/>
  <c r="AZ142" i="19"/>
  <c r="AZ188" i="19" s="1"/>
  <c r="O90" i="16"/>
  <c r="K94" i="16"/>
  <c r="J35" i="16"/>
  <c r="J101" i="16" s="1"/>
  <c r="G35" i="16"/>
  <c r="AD42" i="25"/>
  <c r="AE41" i="25"/>
  <c r="AS131" i="19"/>
  <c r="BA62" i="16"/>
  <c r="BA25" i="16" s="1"/>
  <c r="AR143" i="19"/>
  <c r="AR146" i="19" s="1"/>
  <c r="AQ31" i="19"/>
  <c r="BB13" i="12"/>
  <c r="BA16" i="12"/>
  <c r="AV129" i="19"/>
  <c r="BE88" i="12"/>
  <c r="AZ131" i="19"/>
  <c r="AZ128" i="19"/>
  <c r="BA126" i="19"/>
  <c r="AZ129" i="19"/>
  <c r="AW45" i="13"/>
  <c r="BB91" i="19"/>
  <c r="DI76" i="12"/>
  <c r="AP378" i="20"/>
  <c r="S35" i="16"/>
  <c r="S101" i="16" s="1"/>
  <c r="M129" i="19"/>
  <c r="AU174" i="19"/>
  <c r="BA12" i="23"/>
  <c r="AU212" i="26"/>
  <c r="BE80" i="12"/>
  <c r="AT241" i="26"/>
  <c r="AT240" i="26" s="1"/>
  <c r="AT244" i="26"/>
  <c r="AT219" i="26"/>
  <c r="AT243" i="26"/>
  <c r="BC70" i="12"/>
  <c r="AT128" i="26"/>
  <c r="AT124" i="26" s="1"/>
  <c r="AT107" i="26" s="1"/>
  <c r="AT105" i="26"/>
  <c r="AT96" i="26"/>
  <c r="AG203" i="25"/>
  <c r="AF204" i="25"/>
  <c r="DH84" i="12"/>
  <c r="BC93" i="16"/>
  <c r="AI115" i="19"/>
  <c r="AI116" i="19" s="1"/>
  <c r="X62" i="16"/>
  <c r="X25" i="16" s="1"/>
  <c r="BJ9" i="18"/>
  <c r="BD84" i="12"/>
  <c r="AY202" i="19"/>
  <c r="AY179" i="19"/>
  <c r="AI35" i="16"/>
  <c r="AI101" i="16" s="1"/>
  <c r="AT128" i="19"/>
  <c r="J128" i="19"/>
  <c r="J130" i="19" s="1"/>
  <c r="K127" i="19" s="1"/>
  <c r="D75" i="33"/>
  <c r="G74" i="33"/>
  <c r="F74" i="33"/>
  <c r="J131" i="19"/>
  <c r="BS5" i="18"/>
  <c r="BR35" i="18"/>
  <c r="BR3" i="18"/>
  <c r="BA94" i="12"/>
  <c r="BA78" i="12"/>
  <c r="BA82" i="12"/>
  <c r="BA90" i="12"/>
  <c r="AU91" i="28"/>
  <c r="AX174" i="19"/>
  <c r="T62" i="16"/>
  <c r="T25" i="16" s="1"/>
  <c r="BD8" i="16"/>
  <c r="BC3" i="16"/>
  <c r="BC4" i="16"/>
  <c r="BG17" i="25"/>
  <c r="BF32" i="25"/>
  <c r="AT129" i="19"/>
  <c r="BE168" i="19"/>
  <c r="BF165" i="19" s="1"/>
  <c r="BE169" i="19"/>
  <c r="AS317" i="26"/>
  <c r="AS302" i="26" s="1"/>
  <c r="BC10" i="23"/>
  <c r="BB3" i="23"/>
  <c r="AQ380" i="20"/>
  <c r="AQ379" i="20"/>
  <c r="BA6" i="23"/>
  <c r="BE5" i="16"/>
  <c r="BB44" i="12"/>
  <c r="BB53" i="13"/>
  <c r="AM35" i="16"/>
  <c r="AM101" i="16" s="1"/>
  <c r="K35" i="16"/>
  <c r="BJ53" i="12"/>
  <c r="L69" i="33"/>
  <c r="K69" i="33"/>
  <c r="BA88" i="16"/>
  <c r="BA89" i="16"/>
  <c r="BA90" i="16" s="1"/>
  <c r="BA35" i="16" s="1"/>
  <c r="BA101" i="16" s="1"/>
  <c r="BB87" i="16"/>
  <c r="I55" i="33"/>
  <c r="T71" i="33"/>
  <c r="AV43" i="16"/>
  <c r="AU83" i="28"/>
  <c r="AU103" i="28" s="1"/>
  <c r="J174" i="19"/>
  <c r="J176" i="19" s="1"/>
  <c r="L128" i="19"/>
  <c r="L130" i="19" s="1"/>
  <c r="M127" i="19" s="1"/>
  <c r="K174" i="19"/>
  <c r="L174" i="19"/>
  <c r="M174" i="19"/>
  <c r="M131" i="19"/>
  <c r="L131" i="19"/>
  <c r="N131" i="19"/>
  <c r="N128" i="19"/>
  <c r="N129" i="19"/>
  <c r="M128" i="19"/>
  <c r="N174" i="19"/>
  <c r="O174" i="19"/>
  <c r="R174" i="19"/>
  <c r="O129" i="19"/>
  <c r="P174" i="19"/>
  <c r="O131" i="19"/>
  <c r="O128" i="19"/>
  <c r="P128" i="19"/>
  <c r="Q174" i="19"/>
  <c r="Q128" i="19"/>
  <c r="P131" i="19"/>
  <c r="S128" i="19"/>
  <c r="R131" i="19"/>
  <c r="R128" i="19"/>
  <c r="P129" i="19"/>
  <c r="Q129" i="19"/>
  <c r="Q131" i="19"/>
  <c r="R129" i="19"/>
  <c r="S129" i="19"/>
  <c r="T129" i="19"/>
  <c r="S131" i="19"/>
  <c r="T174" i="19"/>
  <c r="S174" i="19"/>
  <c r="T128" i="19"/>
  <c r="V174" i="19"/>
  <c r="U174" i="19"/>
  <c r="U129" i="19"/>
  <c r="U128" i="19"/>
  <c r="U131" i="19"/>
  <c r="T131" i="19"/>
  <c r="Y129" i="19"/>
  <c r="W131" i="19"/>
  <c r="V129" i="19"/>
  <c r="V128" i="19"/>
  <c r="W174" i="19"/>
  <c r="V131" i="19"/>
  <c r="W128" i="19"/>
  <c r="X128" i="19"/>
  <c r="W129" i="19"/>
  <c r="Y128" i="19"/>
  <c r="X131" i="19"/>
  <c r="X174" i="19"/>
  <c r="Y131" i="19"/>
  <c r="Y174" i="19"/>
  <c r="X129" i="19"/>
  <c r="Z128" i="19"/>
  <c r="AA131" i="19"/>
  <c r="Z131" i="19"/>
  <c r="AA174" i="19"/>
  <c r="Z174" i="19"/>
  <c r="Z129" i="19"/>
  <c r="AA128" i="19"/>
  <c r="AB174" i="19"/>
  <c r="AA129" i="19"/>
  <c r="AB131" i="19"/>
  <c r="AB128" i="19"/>
  <c r="AD129" i="19"/>
  <c r="AB129" i="19"/>
  <c r="AC174" i="19"/>
  <c r="AE131" i="19"/>
  <c r="AC131" i="19"/>
  <c r="AD131" i="19"/>
  <c r="AD174" i="19"/>
  <c r="AC128" i="19"/>
  <c r="AE174" i="19"/>
  <c r="AD128" i="19"/>
  <c r="AC129" i="19"/>
  <c r="AE128" i="19"/>
  <c r="AH131" i="19"/>
  <c r="AF129" i="19"/>
  <c r="AF131" i="19"/>
  <c r="AF174" i="19"/>
  <c r="AE129" i="19"/>
  <c r="AF128" i="19"/>
  <c r="AG131" i="19"/>
  <c r="AH174" i="19"/>
  <c r="AG174" i="19"/>
  <c r="AG129" i="19"/>
  <c r="AG128" i="19"/>
  <c r="AI174" i="19"/>
  <c r="AH129" i="19"/>
  <c r="AI128" i="19"/>
  <c r="AJ174" i="19"/>
  <c r="AK131" i="19"/>
  <c r="AJ129" i="19"/>
  <c r="AJ131" i="19"/>
  <c r="AJ128" i="19"/>
  <c r="AH128" i="19"/>
  <c r="AI129" i="19"/>
  <c r="AN129" i="19"/>
  <c r="AI131" i="19"/>
  <c r="AK174" i="19"/>
  <c r="AK128" i="19"/>
  <c r="AL129" i="19"/>
  <c r="AL174" i="19"/>
  <c r="AM174" i="19"/>
  <c r="AL131" i="19"/>
  <c r="AL128" i="19"/>
  <c r="AK129" i="19"/>
  <c r="AP129" i="19"/>
  <c r="AM131" i="19"/>
  <c r="AM128" i="19"/>
  <c r="AO174" i="19"/>
  <c r="AN174" i="19"/>
  <c r="AM129" i="19"/>
  <c r="AN131" i="19"/>
  <c r="AP174" i="19"/>
  <c r="AO128" i="19"/>
  <c r="AN128" i="19"/>
  <c r="AP128" i="19"/>
  <c r="AP131" i="19"/>
  <c r="AQ129" i="19"/>
  <c r="AR174" i="19"/>
  <c r="AO131" i="19"/>
  <c r="AQ128" i="19"/>
  <c r="AQ174" i="19"/>
  <c r="AO129" i="19"/>
  <c r="AR129" i="19"/>
  <c r="AQ131" i="19"/>
  <c r="AR131" i="19"/>
  <c r="AW129" i="19"/>
  <c r="AX129" i="19"/>
  <c r="AX131" i="19"/>
  <c r="AW131" i="19"/>
  <c r="AR128" i="19"/>
  <c r="AX128" i="19"/>
  <c r="AW174" i="19"/>
  <c r="AS128" i="19"/>
  <c r="AT174" i="19"/>
  <c r="BB25" i="12"/>
  <c r="BC23" i="12" s="1"/>
  <c r="BB15" i="12"/>
  <c r="BB35" i="12"/>
  <c r="BC4" i="12"/>
  <c r="BB3" i="12"/>
  <c r="W35" i="16"/>
  <c r="W101" i="16" s="1"/>
  <c r="BK47" i="12"/>
  <c r="BJ55" i="12"/>
  <c r="AT131" i="19"/>
  <c r="AT15" i="16"/>
  <c r="AA25" i="25" l="1"/>
  <c r="CB37" i="37"/>
  <c r="CB12" i="37"/>
  <c r="CB267" i="37" s="1"/>
  <c r="CB149" i="37"/>
  <c r="CB217" i="37"/>
  <c r="AK20" i="12"/>
  <c r="AK50" i="12" s="1"/>
  <c r="AK49" i="12"/>
  <c r="AK21" i="12"/>
  <c r="AK52" i="12" s="1"/>
  <c r="CD26" i="37"/>
  <c r="CC31" i="37"/>
  <c r="CC32" i="37" s="1"/>
  <c r="AX44" i="13"/>
  <c r="BF46" i="37"/>
  <c r="BE134" i="37"/>
  <c r="BE202" i="37"/>
  <c r="BA5" i="23"/>
  <c r="AU512" i="20"/>
  <c r="AU514" i="20" s="1"/>
  <c r="AX46" i="13"/>
  <c r="AX45" i="13" s="1"/>
  <c r="AW47" i="16" s="1"/>
  <c r="AW15" i="16" s="1"/>
  <c r="BM13" i="18" s="1"/>
  <c r="AT513" i="20"/>
  <c r="AY41" i="18"/>
  <c r="AK10" i="12"/>
  <c r="AK38" i="12"/>
  <c r="AX39" i="13"/>
  <c r="AW44" i="16" s="1"/>
  <c r="AW12" i="16" s="1"/>
  <c r="BM10" i="18" s="1"/>
  <c r="AX37" i="13"/>
  <c r="AY11" i="11"/>
  <c r="M130" i="19"/>
  <c r="N127" i="19" s="1"/>
  <c r="N130" i="19" s="1"/>
  <c r="O127" i="19" s="1"/>
  <c r="O130" i="19" s="1"/>
  <c r="P127" i="19" s="1"/>
  <c r="P130" i="19" s="1"/>
  <c r="Q127" i="19" s="1"/>
  <c r="Q130" i="19" s="1"/>
  <c r="R127" i="19" s="1"/>
  <c r="R130" i="19" s="1"/>
  <c r="S127" i="19" s="1"/>
  <c r="S130" i="19" s="1"/>
  <c r="T127" i="19" s="1"/>
  <c r="T130" i="19" s="1"/>
  <c r="U127" i="19" s="1"/>
  <c r="U130" i="19" s="1"/>
  <c r="V127" i="19" s="1"/>
  <c r="V130" i="19" s="1"/>
  <c r="W127" i="19" s="1"/>
  <c r="W130" i="19" s="1"/>
  <c r="X127" i="19" s="1"/>
  <c r="X130" i="19" s="1"/>
  <c r="Y127" i="19" s="1"/>
  <c r="Y130" i="19" s="1"/>
  <c r="Z127" i="19" s="1"/>
  <c r="Z130" i="19" s="1"/>
  <c r="AA127" i="19" s="1"/>
  <c r="AA130" i="19" s="1"/>
  <c r="AB127" i="19" s="1"/>
  <c r="AB130" i="19" s="1"/>
  <c r="AC127" i="19" s="1"/>
  <c r="AC130" i="19" s="1"/>
  <c r="AD127" i="19" s="1"/>
  <c r="AD130" i="19" s="1"/>
  <c r="AE127" i="19" s="1"/>
  <c r="AE130" i="19" s="1"/>
  <c r="AF127" i="19" s="1"/>
  <c r="AF130" i="19" s="1"/>
  <c r="AG127" i="19" s="1"/>
  <c r="AG130" i="19" s="1"/>
  <c r="AH127" i="19" s="1"/>
  <c r="AH130" i="19" s="1"/>
  <c r="AI127" i="19" s="1"/>
  <c r="AI130" i="19" s="1"/>
  <c r="AJ127" i="19" s="1"/>
  <c r="AJ130" i="19" s="1"/>
  <c r="AK127" i="19" s="1"/>
  <c r="AK130" i="19" s="1"/>
  <c r="AL127" i="19" s="1"/>
  <c r="AL130" i="19" s="1"/>
  <c r="AM127" i="19" s="1"/>
  <c r="AM130" i="19" s="1"/>
  <c r="AN127" i="19" s="1"/>
  <c r="AN130" i="19" s="1"/>
  <c r="AO127" i="19" s="1"/>
  <c r="AO130" i="19" s="1"/>
  <c r="AP127" i="19" s="1"/>
  <c r="AP130" i="19" s="1"/>
  <c r="AQ127" i="19" s="1"/>
  <c r="AQ130" i="19" s="1"/>
  <c r="AR127" i="19" s="1"/>
  <c r="AR130" i="19" s="1"/>
  <c r="AS127" i="19" s="1"/>
  <c r="AS130" i="19" s="1"/>
  <c r="AT127" i="19" s="1"/>
  <c r="AT130" i="19" s="1"/>
  <c r="AU127" i="19" s="1"/>
  <c r="AU130" i="19" s="1"/>
  <c r="AV127" i="19" s="1"/>
  <c r="AV130" i="19" s="1"/>
  <c r="AW127" i="19" s="1"/>
  <c r="AW130" i="19" s="1"/>
  <c r="AX127" i="19" s="1"/>
  <c r="AX130" i="19" s="1"/>
  <c r="AY127" i="19" s="1"/>
  <c r="AY130" i="19" s="1"/>
  <c r="AZ127" i="19" s="1"/>
  <c r="AZ130" i="19" s="1"/>
  <c r="BA127" i="19" s="1"/>
  <c r="AY18" i="15"/>
  <c r="AY54" i="13"/>
  <c r="BC42" i="13"/>
  <c r="AX41" i="13"/>
  <c r="BM12" i="18" s="1"/>
  <c r="BC4" i="15"/>
  <c r="BB3" i="15"/>
  <c r="BD34" i="13"/>
  <c r="BD33" i="13" s="1"/>
  <c r="BD47" i="13" s="1"/>
  <c r="K132" i="19"/>
  <c r="U53" i="12"/>
  <c r="U54" i="12" s="1"/>
  <c r="U55" i="12" s="1"/>
  <c r="T56" i="12"/>
  <c r="AJ113" i="19"/>
  <c r="AI23" i="19"/>
  <c r="AZ31" i="12"/>
  <c r="AZ30" i="12"/>
  <c r="BA28" i="12" s="1"/>
  <c r="BB12" i="23"/>
  <c r="DI84" i="12"/>
  <c r="AE42" i="25"/>
  <c r="AF41" i="25"/>
  <c r="G101" i="16"/>
  <c r="P62" i="16"/>
  <c r="BM92" i="12"/>
  <c r="BF76" i="12"/>
  <c r="BB6" i="23"/>
  <c r="BF5" i="16"/>
  <c r="BC53" i="13"/>
  <c r="BC44" i="12"/>
  <c r="AV11" i="16"/>
  <c r="BB94" i="12"/>
  <c r="BB90" i="12"/>
  <c r="BB78" i="12"/>
  <c r="BB82" i="12"/>
  <c r="BS56" i="18"/>
  <c r="BS57" i="18" s="1"/>
  <c r="BT5" i="18"/>
  <c r="BS35" i="18"/>
  <c r="BS3" i="18"/>
  <c r="K70" i="33"/>
  <c r="L70" i="33" s="1"/>
  <c r="BE84" i="12"/>
  <c r="BF80" i="12"/>
  <c r="AS143" i="19"/>
  <c r="AS146" i="19" s="1"/>
  <c r="AR31" i="19"/>
  <c r="BC33" i="12"/>
  <c r="BB36" i="12"/>
  <c r="BD96" i="12"/>
  <c r="BC10" i="11"/>
  <c r="BC3" i="11"/>
  <c r="BD8" i="11"/>
  <c r="L62" i="16"/>
  <c r="L25" i="16" s="1"/>
  <c r="K101" i="16"/>
  <c r="G75" i="33"/>
  <c r="F75" i="33"/>
  <c r="D76" i="33"/>
  <c r="BD93" i="16"/>
  <c r="BA149" i="19"/>
  <c r="BA172" i="19"/>
  <c r="BA174" i="19" s="1"/>
  <c r="BA157" i="19"/>
  <c r="BA142" i="19"/>
  <c r="BA188" i="19" s="1"/>
  <c r="BA195" i="19"/>
  <c r="BB112" i="19"/>
  <c r="BE267" i="25"/>
  <c r="BE200" i="25"/>
  <c r="BE133" i="25"/>
  <c r="BE111" i="25"/>
  <c r="BE110" i="25" s="1"/>
  <c r="BE114" i="25" s="1"/>
  <c r="BE115" i="25" s="1"/>
  <c r="BF10" i="25"/>
  <c r="BE38" i="25"/>
  <c r="AU244" i="26"/>
  <c r="AU243" i="26"/>
  <c r="AU241" i="26"/>
  <c r="AU240" i="26" s="1"/>
  <c r="AU219" i="26"/>
  <c r="BA131" i="19"/>
  <c r="I131" i="19" s="1"/>
  <c r="BA128" i="19"/>
  <c r="BB126" i="19"/>
  <c r="AR50" i="16" s="1"/>
  <c r="BA129" i="19"/>
  <c r="BF88" i="12"/>
  <c r="O35" i="16"/>
  <c r="AV12" i="16"/>
  <c r="BC87" i="16"/>
  <c r="BB4" i="23"/>
  <c r="BE8" i="16"/>
  <c r="BD3" i="16"/>
  <c r="BD4" i="16"/>
  <c r="BC35" i="12"/>
  <c r="BD4" i="12"/>
  <c r="BC3" i="12"/>
  <c r="BC25" i="12"/>
  <c r="BD23" i="12" s="1"/>
  <c r="BJ13" i="18"/>
  <c r="K173" i="19"/>
  <c r="J34" i="19"/>
  <c r="V72" i="33"/>
  <c r="J55" i="33"/>
  <c r="J56" i="33" s="1"/>
  <c r="BD10" i="23"/>
  <c r="BC3" i="23"/>
  <c r="AH203" i="25"/>
  <c r="AG204" i="25"/>
  <c r="BD70" i="12"/>
  <c r="DJ76" i="12"/>
  <c r="DI72" i="12"/>
  <c r="BD81" i="23"/>
  <c r="BL47" i="12"/>
  <c r="BF168" i="19"/>
  <c r="BG165" i="19" s="1"/>
  <c r="BF169" i="19"/>
  <c r="AV47" i="16"/>
  <c r="BB16" i="12"/>
  <c r="BC13" i="12"/>
  <c r="BC15" i="12" s="1"/>
  <c r="AZ202" i="19"/>
  <c r="AZ179" i="19"/>
  <c r="AU317" i="26"/>
  <c r="AU302" i="26" s="1"/>
  <c r="BH17" i="25"/>
  <c r="BG32" i="25"/>
  <c r="BB62" i="16"/>
  <c r="BB25" i="16" s="1"/>
  <c r="BE96" i="12"/>
  <c r="BF72" i="12"/>
  <c r="AE136" i="25"/>
  <c r="AD137" i="25"/>
  <c r="BL12" i="18"/>
  <c r="AI34" i="23" l="1"/>
  <c r="G615" i="20"/>
  <c r="CD27" i="37"/>
  <c r="AA29" i="25"/>
  <c r="AA30" i="25" s="1"/>
  <c r="AL18" i="12"/>
  <c r="CC37" i="37"/>
  <c r="CC217" i="37" s="1"/>
  <c r="CC12" i="37"/>
  <c r="CC267" i="37" s="1"/>
  <c r="AL21" i="12"/>
  <c r="AL52" i="12" s="1"/>
  <c r="AL20" i="12"/>
  <c r="AL49" i="12"/>
  <c r="AK51" i="12"/>
  <c r="CE26" i="37"/>
  <c r="CE27" i="37" s="1"/>
  <c r="CD31" i="37"/>
  <c r="CD32" i="37" s="1"/>
  <c r="BG46" i="37"/>
  <c r="BF134" i="37"/>
  <c r="BF202" i="37"/>
  <c r="BB5" i="23"/>
  <c r="AK40" i="12"/>
  <c r="AK43" i="12" s="1"/>
  <c r="AL8" i="12"/>
  <c r="AY46" i="13"/>
  <c r="AY45" i="13" s="1"/>
  <c r="AX47" i="16" s="1"/>
  <c r="AX15" i="16" s="1"/>
  <c r="BN13" i="18" s="1"/>
  <c r="S50" i="16"/>
  <c r="AY44" i="13"/>
  <c r="AY41" i="13" s="1"/>
  <c r="BN12" i="18" s="1"/>
  <c r="K50" i="16"/>
  <c r="AM50" i="16"/>
  <c r="AY37" i="13"/>
  <c r="AQ50" i="16"/>
  <c r="AY39" i="13"/>
  <c r="AX44" i="16" s="1"/>
  <c r="AX12" i="16" s="1"/>
  <c r="BN10" i="18" s="1"/>
  <c r="AZ11" i="11"/>
  <c r="AZ18" i="15"/>
  <c r="AZ54" i="13"/>
  <c r="BD17" i="15"/>
  <c r="AY38" i="13"/>
  <c r="BD42" i="13"/>
  <c r="BD4" i="15"/>
  <c r="BC3" i="15"/>
  <c r="AL50" i="16"/>
  <c r="Z50" i="16"/>
  <c r="AK50" i="16"/>
  <c r="X50" i="16"/>
  <c r="AI50" i="16"/>
  <c r="W50" i="16"/>
  <c r="AG50" i="16"/>
  <c r="AJ50" i="16"/>
  <c r="N50" i="16"/>
  <c r="V50" i="16"/>
  <c r="AP50" i="16"/>
  <c r="AT50" i="16"/>
  <c r="AV50" i="16"/>
  <c r="Y50" i="16"/>
  <c r="AU50" i="16"/>
  <c r="M50" i="16"/>
  <c r="U50" i="16"/>
  <c r="AO50" i="16"/>
  <c r="AS50" i="16"/>
  <c r="AB50" i="16"/>
  <c r="AW50" i="16"/>
  <c r="L50" i="16"/>
  <c r="T50" i="16"/>
  <c r="AN50" i="16"/>
  <c r="BE34" i="13"/>
  <c r="BE33" i="13" s="1"/>
  <c r="BE47" i="13" s="1"/>
  <c r="BA31" i="12"/>
  <c r="BA30" i="12"/>
  <c r="BB28" i="12" s="1"/>
  <c r="BE93" i="16"/>
  <c r="AT143" i="19"/>
  <c r="AT146" i="19" s="1"/>
  <c r="AS31" i="19"/>
  <c r="AE137" i="25"/>
  <c r="AF136" i="25"/>
  <c r="H58" i="33"/>
  <c r="I58" i="33" s="1"/>
  <c r="H57" i="33"/>
  <c r="BB118" i="23"/>
  <c r="BB128" i="19"/>
  <c r="BB129" i="19"/>
  <c r="I50" i="16"/>
  <c r="H50" i="16"/>
  <c r="J50" i="16"/>
  <c r="G50" i="16"/>
  <c r="BF200" i="25"/>
  <c r="BF267" i="25"/>
  <c r="BF133" i="25"/>
  <c r="BF111" i="25"/>
  <c r="BF110" i="25" s="1"/>
  <c r="BF114" i="25" s="1"/>
  <c r="BF115" i="25" s="1"/>
  <c r="BF38" i="25"/>
  <c r="BG10" i="25"/>
  <c r="AF50" i="16"/>
  <c r="BC6" i="23"/>
  <c r="BC5" i="23" s="1"/>
  <c r="BG5" i="16"/>
  <c r="BD53" i="13"/>
  <c r="BD44" i="12"/>
  <c r="AA50" i="16"/>
  <c r="BE81" i="23"/>
  <c r="BE70" i="12"/>
  <c r="O101" i="16"/>
  <c r="AE50" i="16"/>
  <c r="P25" i="16"/>
  <c r="R50" i="16"/>
  <c r="DK76" i="12"/>
  <c r="BI17" i="25"/>
  <c r="BH32" i="25"/>
  <c r="BM47" i="12"/>
  <c r="BE10" i="23"/>
  <c r="BD3" i="23"/>
  <c r="AZ50" i="16"/>
  <c r="BC89" i="16"/>
  <c r="BC90" i="16" s="1"/>
  <c r="BC35" i="16" s="1"/>
  <c r="BC101" i="16" s="1"/>
  <c r="BD87" i="16"/>
  <c r="BC88" i="16"/>
  <c r="BB149" i="19"/>
  <c r="BB172" i="19"/>
  <c r="BB174" i="19" s="1"/>
  <c r="BB157" i="19"/>
  <c r="BB142" i="19"/>
  <c r="BB188" i="19" s="1"/>
  <c r="BB195" i="19"/>
  <c r="BF84" i="12"/>
  <c r="BF96" i="12" s="1"/>
  <c r="BC12" i="23"/>
  <c r="BL9" i="18"/>
  <c r="AY50" i="16"/>
  <c r="Q50" i="16"/>
  <c r="BC16" i="12"/>
  <c r="BD13" i="12"/>
  <c r="BD15" i="12" s="1"/>
  <c r="BG72" i="12"/>
  <c r="AV15" i="16"/>
  <c r="AI203" i="25"/>
  <c r="AH204" i="25"/>
  <c r="D77" i="33"/>
  <c r="F76" i="33"/>
  <c r="G76" i="33"/>
  <c r="BU5" i="18"/>
  <c r="BT35" i="18"/>
  <c r="BT3" i="18"/>
  <c r="BG76" i="12"/>
  <c r="P50" i="16"/>
  <c r="AX50" i="16"/>
  <c r="K175" i="19"/>
  <c r="H74" i="16" s="1"/>
  <c r="BG88" i="12"/>
  <c r="BA202" i="19"/>
  <c r="BA179" i="19"/>
  <c r="G103" i="16"/>
  <c r="O50" i="16"/>
  <c r="BG168" i="19"/>
  <c r="BH165" i="19" s="1"/>
  <c r="BG169" i="19"/>
  <c r="DJ72" i="12"/>
  <c r="BE4" i="12"/>
  <c r="BD3" i="12"/>
  <c r="BD25" i="12"/>
  <c r="BE23" i="12" s="1"/>
  <c r="BE4" i="16"/>
  <c r="BE3" i="16"/>
  <c r="BF8" i="16"/>
  <c r="BL10" i="18"/>
  <c r="K71" i="33"/>
  <c r="L71" i="33" s="1"/>
  <c r="BC36" i="12"/>
  <c r="BD33" i="12"/>
  <c r="BD35" i="12" s="1"/>
  <c r="BC94" i="12"/>
  <c r="BC82" i="12"/>
  <c r="BC90" i="12"/>
  <c r="BC78" i="12"/>
  <c r="AF42" i="25"/>
  <c r="AG41" i="25"/>
  <c r="AD50" i="16"/>
  <c r="AJ115" i="19"/>
  <c r="AJ116" i="19" s="1"/>
  <c r="AH50" i="16"/>
  <c r="BD10" i="11"/>
  <c r="BE17" i="15" s="1"/>
  <c r="BD3" i="11"/>
  <c r="BE8" i="11"/>
  <c r="BG80" i="12"/>
  <c r="AX43" i="16"/>
  <c r="BN92" i="12"/>
  <c r="DJ84" i="12"/>
  <c r="AC50" i="16"/>
  <c r="V53" i="12"/>
  <c r="V54" i="12" s="1"/>
  <c r="V55" i="12" s="1"/>
  <c r="U56" i="12"/>
  <c r="CC149" i="37" l="1"/>
  <c r="AA11" i="25"/>
  <c r="AA268" i="25" s="1"/>
  <c r="AA34" i="25"/>
  <c r="CD37" i="37"/>
  <c r="CD12" i="37"/>
  <c r="CD267" i="37" s="1"/>
  <c r="CD149" i="37"/>
  <c r="CD217" i="37"/>
  <c r="AL50" i="12"/>
  <c r="AL51" i="12" s="1"/>
  <c r="AM18" i="12"/>
  <c r="CF26" i="37"/>
  <c r="CE31" i="37"/>
  <c r="CE32" i="37" s="1"/>
  <c r="BH46" i="37"/>
  <c r="BG202" i="37"/>
  <c r="BG134" i="37"/>
  <c r="AL10" i="12"/>
  <c r="AL38" i="12"/>
  <c r="AZ41" i="18"/>
  <c r="BA54" i="13"/>
  <c r="BA18" i="15"/>
  <c r="BA11" i="11"/>
  <c r="AZ38" i="13"/>
  <c r="AY43" i="16" s="1"/>
  <c r="AY11" i="16" s="1"/>
  <c r="BO9" i="18" s="1"/>
  <c r="AZ39" i="13"/>
  <c r="AY44" i="16" s="1"/>
  <c r="AY12" i="16" s="1"/>
  <c r="AZ37" i="13"/>
  <c r="AZ44" i="13"/>
  <c r="AZ41" i="13" s="1"/>
  <c r="AZ46" i="13"/>
  <c r="AZ45" i="13" s="1"/>
  <c r="BE42" i="13"/>
  <c r="BE4" i="15"/>
  <c r="BD3" i="15"/>
  <c r="BF34" i="13"/>
  <c r="BF33" i="13" s="1"/>
  <c r="BF47" i="13" s="1"/>
  <c r="K176" i="19"/>
  <c r="BH80" i="12"/>
  <c r="BH169" i="19"/>
  <c r="BH168" i="19"/>
  <c r="BI165" i="19" s="1"/>
  <c r="BL13" i="18"/>
  <c r="BN47" i="12"/>
  <c r="BF70" i="12"/>
  <c r="BO92" i="12"/>
  <c r="BD6" i="23"/>
  <c r="BD5" i="23" s="1"/>
  <c r="BH5" i="16"/>
  <c r="BE53" i="13"/>
  <c r="BE44" i="12"/>
  <c r="BD36" i="12"/>
  <c r="BE33" i="12"/>
  <c r="BE35" i="12" s="1"/>
  <c r="BF4" i="16"/>
  <c r="BF3" i="16"/>
  <c r="BG8" i="16"/>
  <c r="K72" i="33"/>
  <c r="L72" i="33" s="1"/>
  <c r="BF93" i="16"/>
  <c r="W53" i="12"/>
  <c r="W54" i="12" s="1"/>
  <c r="W55" i="12" s="1"/>
  <c r="V56" i="12"/>
  <c r="L173" i="19"/>
  <c r="K34" i="19"/>
  <c r="K30" i="19" s="1"/>
  <c r="BD12" i="23"/>
  <c r="AJ203" i="25"/>
  <c r="AI204" i="25"/>
  <c r="BG267" i="25"/>
  <c r="BG200" i="25"/>
  <c r="BG133" i="25"/>
  <c r="BG111" i="25"/>
  <c r="BG110" i="25" s="1"/>
  <c r="BG114" i="25" s="1"/>
  <c r="BG115" i="25" s="1"/>
  <c r="BG38" i="25"/>
  <c r="BH10" i="25"/>
  <c r="BD94" i="12"/>
  <c r="BD78" i="12"/>
  <c r="BD90" i="12"/>
  <c r="BD82" i="12"/>
  <c r="AH41" i="25"/>
  <c r="AG42" i="25"/>
  <c r="BA50" i="16"/>
  <c r="H77" i="16"/>
  <c r="H30" i="16"/>
  <c r="BH76" i="12"/>
  <c r="BV5" i="18"/>
  <c r="BU35" i="18"/>
  <c r="BU3" i="18"/>
  <c r="G77" i="33"/>
  <c r="F77" i="33"/>
  <c r="D78" i="33"/>
  <c r="BD16" i="12"/>
  <c r="BE13" i="12"/>
  <c r="BE15" i="12" s="1"/>
  <c r="BF10" i="23"/>
  <c r="BE3" i="23"/>
  <c r="BJ17" i="25"/>
  <c r="BI32" i="25"/>
  <c r="AG136" i="25"/>
  <c r="AF137" i="25"/>
  <c r="BF4" i="12"/>
  <c r="BE3" i="12"/>
  <c r="BE25" i="12"/>
  <c r="BF23" i="12" s="1"/>
  <c r="BH72" i="12"/>
  <c r="BG84" i="12"/>
  <c r="AX11" i="16"/>
  <c r="DK72" i="12"/>
  <c r="G104" i="16"/>
  <c r="H100" i="16"/>
  <c r="G105" i="16"/>
  <c r="BH88" i="12"/>
  <c r="BB202" i="19"/>
  <c r="BB179" i="19"/>
  <c r="BD89" i="16"/>
  <c r="BD90" i="16" s="1"/>
  <c r="BD35" i="16" s="1"/>
  <c r="BD101" i="16" s="1"/>
  <c r="BE87" i="16"/>
  <c r="BD88" i="16"/>
  <c r="DL76" i="12"/>
  <c r="BF81" i="23"/>
  <c r="I57" i="33"/>
  <c r="T76" i="33"/>
  <c r="BB31" i="12"/>
  <c r="BB30" i="12"/>
  <c r="BC28" i="12" s="1"/>
  <c r="DK84" i="12"/>
  <c r="BB130" i="19"/>
  <c r="T83" i="33"/>
  <c r="V83" i="33" s="1"/>
  <c r="AU143" i="19"/>
  <c r="AU146" i="19" s="1"/>
  <c r="AT31" i="19"/>
  <c r="AK113" i="19"/>
  <c r="AJ23" i="19"/>
  <c r="BE10" i="11"/>
  <c r="BF17" i="15" s="1"/>
  <c r="BE3" i="11"/>
  <c r="BF8" i="11"/>
  <c r="AJ34" i="23" l="1"/>
  <c r="H615" i="20"/>
  <c r="CF27" i="37"/>
  <c r="AB24" i="25"/>
  <c r="CE37" i="37"/>
  <c r="CE149" i="37" s="1"/>
  <c r="CE12" i="37"/>
  <c r="CE267" i="37" s="1"/>
  <c r="CE217" i="37"/>
  <c r="AM20" i="12"/>
  <c r="AM50" i="12" s="1"/>
  <c r="AM21" i="12"/>
  <c r="AM52" i="12" s="1"/>
  <c r="AM49" i="12"/>
  <c r="CG26" i="37"/>
  <c r="CG27" i="37" s="1"/>
  <c r="CF31" i="37"/>
  <c r="CF32" i="37" s="1"/>
  <c r="BH134" i="37"/>
  <c r="BH202" i="37"/>
  <c r="BI46" i="37"/>
  <c r="AM8" i="12"/>
  <c r="AL40" i="12"/>
  <c r="AL43" i="12" s="1"/>
  <c r="BB54" i="13"/>
  <c r="BB18" i="15"/>
  <c r="BB11" i="11"/>
  <c r="BA39" i="13"/>
  <c r="AZ44" i="16" s="1"/>
  <c r="AZ12" i="16" s="1"/>
  <c r="BP10" i="18" s="1"/>
  <c r="BA37" i="13"/>
  <c r="BA38" i="13"/>
  <c r="BA44" i="13"/>
  <c r="BA46" i="13"/>
  <c r="BA45" i="13" s="1"/>
  <c r="AZ47" i="16" s="1"/>
  <c r="AZ15" i="16" s="1"/>
  <c r="BP13" i="18" s="1"/>
  <c r="BF42" i="13"/>
  <c r="BF4" i="15"/>
  <c r="BE3" i="15"/>
  <c r="BG34" i="13"/>
  <c r="BG33" i="13" s="1"/>
  <c r="BG47" i="13" s="1"/>
  <c r="BO10" i="18"/>
  <c r="BG10" i="23"/>
  <c r="BF3" i="23"/>
  <c r="BW5" i="18"/>
  <c r="BV35" i="18"/>
  <c r="BV3" i="18"/>
  <c r="BI88" i="12"/>
  <c r="BF10" i="11"/>
  <c r="BG17" i="15" s="1"/>
  <c r="BF3" i="11"/>
  <c r="BG8" i="11"/>
  <c r="BI76" i="12"/>
  <c r="BO47" i="12"/>
  <c r="BC31" i="12"/>
  <c r="BC30" i="12"/>
  <c r="BD28" i="12" s="1"/>
  <c r="D79" i="33"/>
  <c r="G78" i="33"/>
  <c r="F78" i="33"/>
  <c r="AH136" i="25"/>
  <c r="AG137" i="25"/>
  <c r="X53" i="12"/>
  <c r="X54" i="12" s="1"/>
  <c r="X55" i="12" s="1"/>
  <c r="W56" i="12"/>
  <c r="BE36" i="12"/>
  <c r="BF33" i="12"/>
  <c r="BF35" i="12" s="1"/>
  <c r="BG70" i="12"/>
  <c r="BI169" i="19"/>
  <c r="BI168" i="19"/>
  <c r="BJ165" i="19" s="1"/>
  <c r="BE89" i="16"/>
  <c r="BE90" i="16" s="1"/>
  <c r="BE35" i="16" s="1"/>
  <c r="BE101" i="16" s="1"/>
  <c r="BF87" i="16"/>
  <c r="BE88" i="16"/>
  <c r="BH84" i="12"/>
  <c r="AY47" i="16"/>
  <c r="BJ32" i="25"/>
  <c r="BK17" i="25"/>
  <c r="AZ43" i="16"/>
  <c r="AZ11" i="16" s="1"/>
  <c r="BP9" i="18" s="1"/>
  <c r="BP92" i="12"/>
  <c r="AK115" i="19"/>
  <c r="BH96" i="12"/>
  <c r="BI72" i="12"/>
  <c r="DM76" i="12"/>
  <c r="BG96" i="12"/>
  <c r="BH267" i="25"/>
  <c r="BH200" i="25"/>
  <c r="BH133" i="25"/>
  <c r="BH111" i="25"/>
  <c r="BH110" i="25" s="1"/>
  <c r="BH114" i="25" s="1"/>
  <c r="BH115" i="25" s="1"/>
  <c r="BH38" i="25"/>
  <c r="BI10" i="25"/>
  <c r="BG81" i="23"/>
  <c r="BN9" i="18"/>
  <c r="BE6" i="23"/>
  <c r="BI5" i="16"/>
  <c r="BF53" i="13"/>
  <c r="BF44" i="12"/>
  <c r="AV143" i="19"/>
  <c r="AV146" i="19" s="1"/>
  <c r="AU31" i="19"/>
  <c r="DL72" i="12"/>
  <c r="BO12" i="18"/>
  <c r="V77" i="33"/>
  <c r="J57" i="33"/>
  <c r="J58" i="33" s="1"/>
  <c r="BE16" i="12"/>
  <c r="BF13" i="12"/>
  <c r="BF15" i="12" s="1"/>
  <c r="BE62" i="16"/>
  <c r="BE25" i="16" s="1"/>
  <c r="H29" i="16"/>
  <c r="BG4" i="16"/>
  <c r="BG3" i="16"/>
  <c r="BH8" i="16"/>
  <c r="BE94" i="12"/>
  <c r="BE90" i="12"/>
  <c r="BE78" i="12"/>
  <c r="BE82" i="12"/>
  <c r="BI80" i="12"/>
  <c r="AK203" i="25"/>
  <c r="AJ204" i="25"/>
  <c r="BG93" i="16"/>
  <c r="BB50" i="16"/>
  <c r="BD62" i="16"/>
  <c r="BG4" i="12"/>
  <c r="BF3" i="12"/>
  <c r="BF25" i="12"/>
  <c r="BG23" i="12" s="1"/>
  <c r="BE12" i="23"/>
  <c r="DL84" i="12"/>
  <c r="L73" i="33"/>
  <c r="K73" i="33"/>
  <c r="AH42" i="25"/>
  <c r="AI41" i="25"/>
  <c r="L175" i="19"/>
  <c r="I74" i="16" s="1"/>
  <c r="AB25" i="25" l="1"/>
  <c r="AN18" i="12"/>
  <c r="CF37" i="37"/>
  <c r="CF217" i="37" s="1"/>
  <c r="CF12" i="37"/>
  <c r="CF267" i="37" s="1"/>
  <c r="AN49" i="12"/>
  <c r="AN20" i="12"/>
  <c r="AN21" i="12"/>
  <c r="AN52" i="12" s="1"/>
  <c r="AM51" i="12"/>
  <c r="CH26" i="37"/>
  <c r="CG31" i="37"/>
  <c r="CG32" i="37" s="1"/>
  <c r="BJ46" i="37"/>
  <c r="BI202" i="37"/>
  <c r="BI134" i="37"/>
  <c r="BE5" i="23"/>
  <c r="BF4" i="23"/>
  <c r="BF118" i="23" s="1"/>
  <c r="BA41" i="18"/>
  <c r="AM10" i="12"/>
  <c r="AM40" i="12" s="1"/>
  <c r="AM38" i="12"/>
  <c r="AM43" i="12" s="1"/>
  <c r="BC54" i="13"/>
  <c r="BC18" i="15"/>
  <c r="BC11" i="11"/>
  <c r="BB39" i="13"/>
  <c r="BA44" i="16" s="1"/>
  <c r="BA12" i="16" s="1"/>
  <c r="BQ10" i="18" s="1"/>
  <c r="BB37" i="13"/>
  <c r="BB38" i="13"/>
  <c r="BA43" i="16" s="1"/>
  <c r="BA11" i="16" s="1"/>
  <c r="BQ9" i="18" s="1"/>
  <c r="BB44" i="13"/>
  <c r="BB41" i="13" s="1"/>
  <c r="BB46" i="13"/>
  <c r="BB45" i="13" s="1"/>
  <c r="BA47" i="16" s="1"/>
  <c r="BA15" i="16" s="1"/>
  <c r="BQ13" i="18" s="1"/>
  <c r="BG42" i="13"/>
  <c r="BA41" i="13"/>
  <c r="BP12" i="18" s="1"/>
  <c r="BG4" i="15"/>
  <c r="BF3" i="15"/>
  <c r="BH34" i="13"/>
  <c r="BH33" i="13" s="1"/>
  <c r="BH47" i="13" s="1"/>
  <c r="L176" i="19"/>
  <c r="M173" i="19" s="1"/>
  <c r="BD31" i="12"/>
  <c r="BD30" i="12"/>
  <c r="BE28" i="12" s="1"/>
  <c r="DM72" i="12"/>
  <c r="AW143" i="19"/>
  <c r="AW146" i="19" s="1"/>
  <c r="AV31" i="19"/>
  <c r="BQ92" i="12"/>
  <c r="BI84" i="12"/>
  <c r="BF94" i="12"/>
  <c r="BF90" i="12"/>
  <c r="BF78" i="12"/>
  <c r="BF82" i="12"/>
  <c r="AK116" i="19"/>
  <c r="BP47" i="12"/>
  <c r="BF6" i="23"/>
  <c r="BJ5" i="16"/>
  <c r="BG53" i="13"/>
  <c r="BG44" i="12"/>
  <c r="H59" i="33"/>
  <c r="BH4" i="16"/>
  <c r="BH3" i="16"/>
  <c r="BI8" i="16"/>
  <c r="BF16" i="12"/>
  <c r="BG13" i="12"/>
  <c r="BG15" i="12" s="1"/>
  <c r="BH81" i="23"/>
  <c r="BK32" i="25"/>
  <c r="BL17" i="25"/>
  <c r="BH10" i="23"/>
  <c r="BG3" i="23"/>
  <c r="BJ80" i="12"/>
  <c r="BH93" i="16"/>
  <c r="I77" i="16"/>
  <c r="I30" i="16"/>
  <c r="AI42" i="25"/>
  <c r="AJ41" i="25"/>
  <c r="BD25" i="16"/>
  <c r="DN76" i="12"/>
  <c r="BG87" i="16"/>
  <c r="BJ88" i="12"/>
  <c r="L74" i="33"/>
  <c r="K74" i="33"/>
  <c r="BJ76" i="12"/>
  <c r="BC50" i="16"/>
  <c r="BI96" i="12"/>
  <c r="BJ72" i="12"/>
  <c r="BJ169" i="19"/>
  <c r="BJ168" i="19"/>
  <c r="BK165" i="19" s="1"/>
  <c r="AH137" i="25"/>
  <c r="AI136" i="25"/>
  <c r="F79" i="33"/>
  <c r="G79" i="33"/>
  <c r="D80" i="33"/>
  <c r="BH70" i="12"/>
  <c r="BF12" i="23"/>
  <c r="AL203" i="25"/>
  <c r="AK204" i="25"/>
  <c r="DM84" i="12"/>
  <c r="BH4" i="12"/>
  <c r="BG3" i="12"/>
  <c r="BG25" i="12"/>
  <c r="BH23" i="12" s="1"/>
  <c r="BI267" i="25"/>
  <c r="BI200" i="25"/>
  <c r="BI133" i="25"/>
  <c r="BI111" i="25"/>
  <c r="BI110" i="25" s="1"/>
  <c r="BI114" i="25" s="1"/>
  <c r="BI115" i="25" s="1"/>
  <c r="BJ10" i="25"/>
  <c r="BI38" i="25"/>
  <c r="AY15" i="16"/>
  <c r="BF36" i="12"/>
  <c r="BG33" i="12"/>
  <c r="Y53" i="12"/>
  <c r="Y54" i="12" s="1"/>
  <c r="Y55" i="12" s="1"/>
  <c r="X56" i="12"/>
  <c r="BG3" i="11"/>
  <c r="BH8" i="11"/>
  <c r="BG10" i="11"/>
  <c r="BW56" i="18"/>
  <c r="BW57" i="18" s="1"/>
  <c r="BW35" i="18"/>
  <c r="BW3" i="18"/>
  <c r="BX5" i="18"/>
  <c r="AK34" i="23" l="1"/>
  <c r="I615" i="20"/>
  <c r="CF149" i="37"/>
  <c r="CH27" i="37"/>
  <c r="AB29" i="25"/>
  <c r="AB30" i="25" s="1"/>
  <c r="CG37" i="37"/>
  <c r="CG149" i="37" s="1"/>
  <c r="CG12" i="37"/>
  <c r="CG267" i="37" s="1"/>
  <c r="L34" i="19"/>
  <c r="AN50" i="12"/>
  <c r="AO18" i="12"/>
  <c r="AN51" i="12"/>
  <c r="CI26" i="37"/>
  <c r="CI27" i="37" s="1"/>
  <c r="AN8" i="12"/>
  <c r="AN38" i="12" s="1"/>
  <c r="BJ202" i="37"/>
  <c r="BK46" i="37"/>
  <c r="BJ134" i="37"/>
  <c r="BF5" i="23"/>
  <c r="BB41" i="18"/>
  <c r="BH17" i="15"/>
  <c r="BD11" i="11"/>
  <c r="BD54" i="13"/>
  <c r="BD38" i="13" s="1"/>
  <c r="BC43" i="16" s="1"/>
  <c r="BC11" i="16" s="1"/>
  <c r="BS9" i="18" s="1"/>
  <c r="BD18" i="15"/>
  <c r="BC37" i="13"/>
  <c r="BC38" i="13"/>
  <c r="BB43" i="16" s="1"/>
  <c r="BB11" i="16" s="1"/>
  <c r="BR9" i="18" s="1"/>
  <c r="BC39" i="13"/>
  <c r="BD39" i="13"/>
  <c r="BC44" i="16" s="1"/>
  <c r="BC12" i="16" s="1"/>
  <c r="BS10" i="18" s="1"/>
  <c r="BD46" i="13"/>
  <c r="BD45" i="13" s="1"/>
  <c r="BC47" i="16" s="1"/>
  <c r="BC15" i="16" s="1"/>
  <c r="BS13" i="18" s="1"/>
  <c r="BC44" i="13"/>
  <c r="BC46" i="13"/>
  <c r="BC45" i="13" s="1"/>
  <c r="BB47" i="16" s="1"/>
  <c r="BB15" i="16" s="1"/>
  <c r="BR13" i="18" s="1"/>
  <c r="BH42" i="13"/>
  <c r="BH4" i="15"/>
  <c r="BG3" i="15"/>
  <c r="BI34" i="13"/>
  <c r="BI33" i="13" s="1"/>
  <c r="BI47" i="13" s="1"/>
  <c r="BE31" i="12"/>
  <c r="BE30" i="12"/>
  <c r="BF28" i="12" s="1"/>
  <c r="AM203" i="25"/>
  <c r="AL204" i="25"/>
  <c r="BG36" i="12"/>
  <c r="AJ136" i="25"/>
  <c r="AI137" i="25"/>
  <c r="BQ12" i="18"/>
  <c r="BD50" i="16"/>
  <c r="I59" i="33"/>
  <c r="T81" i="33"/>
  <c r="BG94" i="12"/>
  <c r="BG82" i="12"/>
  <c r="BG78" i="12"/>
  <c r="BG90" i="12"/>
  <c r="BI8" i="11"/>
  <c r="BH10" i="11"/>
  <c r="BI17" i="15" s="1"/>
  <c r="BH3" i="11"/>
  <c r="BG88" i="16"/>
  <c r="BG89" i="16"/>
  <c r="BG90" i="16" s="1"/>
  <c r="BG35" i="16" s="1"/>
  <c r="BG101" i="16" s="1"/>
  <c r="BH87" i="16"/>
  <c r="BF62" i="16"/>
  <c r="I29" i="16"/>
  <c r="Z53" i="12"/>
  <c r="Z54" i="12" s="1"/>
  <c r="Z55" i="12" s="1"/>
  <c r="Y56" i="12"/>
  <c r="BG6" i="23"/>
  <c r="BG5" i="23" s="1"/>
  <c r="BK5" i="16"/>
  <c r="BH53" i="13"/>
  <c r="BH44" i="12"/>
  <c r="BK80" i="12"/>
  <c r="BI4" i="16"/>
  <c r="BI3" i="16"/>
  <c r="BJ8" i="16"/>
  <c r="AJ42" i="25"/>
  <c r="AK41" i="25"/>
  <c r="BJ267" i="25"/>
  <c r="BJ200" i="25"/>
  <c r="BJ133" i="25"/>
  <c r="BJ111" i="25"/>
  <c r="BJ110" i="25" s="1"/>
  <c r="BJ114" i="25" s="1"/>
  <c r="BJ115" i="25" s="1"/>
  <c r="BK10" i="25"/>
  <c r="BJ38" i="25"/>
  <c r="BB44" i="16"/>
  <c r="BB12" i="16" s="1"/>
  <c r="BR10" i="18" s="1"/>
  <c r="BK88" i="12"/>
  <c r="BG16" i="12"/>
  <c r="BH13" i="12"/>
  <c r="BH15" i="12" s="1"/>
  <c r="H60" i="33"/>
  <c r="I60" i="33" s="1"/>
  <c r="BJ84" i="12"/>
  <c r="BJ96" i="12" s="1"/>
  <c r="DN84" i="12"/>
  <c r="BM17" i="25"/>
  <c r="BL32" i="25"/>
  <c r="BX35" i="18"/>
  <c r="BY5" i="18"/>
  <c r="BX3" i="18"/>
  <c r="BH62" i="16" s="1"/>
  <c r="BH25" i="16" s="1"/>
  <c r="BO13" i="18"/>
  <c r="BG12" i="23"/>
  <c r="BK169" i="19"/>
  <c r="BK168" i="19"/>
  <c r="BL165" i="19" s="1"/>
  <c r="DO76" i="12"/>
  <c r="BH3" i="23"/>
  <c r="BI10" i="23"/>
  <c r="AX143" i="19"/>
  <c r="AX146" i="19" s="1"/>
  <c r="AW31" i="19"/>
  <c r="BI70" i="12"/>
  <c r="D81" i="33"/>
  <c r="F80" i="33"/>
  <c r="G80" i="33"/>
  <c r="DN72" i="12"/>
  <c r="BG35" i="12"/>
  <c r="BH33" i="12" s="1"/>
  <c r="BI4" i="12"/>
  <c r="BH3" i="12"/>
  <c r="BH25" i="12"/>
  <c r="BI23" i="12" s="1"/>
  <c r="K75" i="33"/>
  <c r="L75" i="33" s="1"/>
  <c r="BI93" i="16"/>
  <c r="BI81" i="23"/>
  <c r="AL113" i="19"/>
  <c r="AK23" i="19"/>
  <c r="M175" i="19"/>
  <c r="J74" i="16" s="1"/>
  <c r="BQ47" i="12"/>
  <c r="BR92" i="12"/>
  <c r="AL34" i="23" l="1"/>
  <c r="J615" i="20"/>
  <c r="Y655" i="20"/>
  <c r="AB34" i="25"/>
  <c r="AB11" i="25"/>
  <c r="AB268" i="25" s="1"/>
  <c r="CG217" i="37"/>
  <c r="AN10" i="12"/>
  <c r="AN40" i="12" s="1"/>
  <c r="AN43" i="12" s="1"/>
  <c r="AO20" i="12"/>
  <c r="AO50" i="12" s="1"/>
  <c r="AO49" i="12"/>
  <c r="AO21" i="12"/>
  <c r="AO52" i="12" s="1"/>
  <c r="AP18" i="12"/>
  <c r="CJ26" i="37"/>
  <c r="BL46" i="37"/>
  <c r="BK202" i="37"/>
  <c r="BK134" i="37"/>
  <c r="BD44" i="13"/>
  <c r="BD41" i="13" s="1"/>
  <c r="BS12" i="18" s="1"/>
  <c r="BD37" i="13"/>
  <c r="AO8" i="12"/>
  <c r="BE18" i="15"/>
  <c r="BE11" i="11"/>
  <c r="BE54" i="13"/>
  <c r="BE37" i="13"/>
  <c r="BE39" i="13"/>
  <c r="BD44" i="16" s="1"/>
  <c r="BD12" i="16" s="1"/>
  <c r="BT10" i="18" s="1"/>
  <c r="BE44" i="13"/>
  <c r="BE46" i="13"/>
  <c r="BE45" i="13" s="1"/>
  <c r="BD47" i="16" s="1"/>
  <c r="BD15" i="16" s="1"/>
  <c r="BT13" i="18" s="1"/>
  <c r="BI42" i="13"/>
  <c r="BC41" i="13"/>
  <c r="BR12" i="18" s="1"/>
  <c r="BI4" i="15"/>
  <c r="BH3" i="15"/>
  <c r="BJ34" i="13"/>
  <c r="BJ33" i="13" s="1"/>
  <c r="BJ47" i="13" s="1"/>
  <c r="BH36" i="12"/>
  <c r="BH35" i="12"/>
  <c r="BI33" i="12" s="1"/>
  <c r="BI35" i="12" s="1"/>
  <c r="BJ81" i="23"/>
  <c r="BN17" i="25"/>
  <c r="BN32" i="25" s="1"/>
  <c r="BM32" i="25"/>
  <c r="G81" i="33"/>
  <c r="D82" i="33"/>
  <c r="F81" i="33"/>
  <c r="DO84" i="12"/>
  <c r="BL88" i="12"/>
  <c r="V82" i="33"/>
  <c r="X63" i="33"/>
  <c r="X64" i="33" s="1"/>
  <c r="U31" i="33"/>
  <c r="J59" i="33"/>
  <c r="J60" i="33" s="1"/>
  <c r="BF31" i="12"/>
  <c r="BF30" i="12"/>
  <c r="BG28" i="12" s="1"/>
  <c r="L76" i="33"/>
  <c r="K76" i="33"/>
  <c r="J30" i="16"/>
  <c r="J77" i="16"/>
  <c r="BK96" i="12"/>
  <c r="BL80" i="12"/>
  <c r="BH88" i="16"/>
  <c r="BH89" i="16"/>
  <c r="BH90" i="16" s="1"/>
  <c r="BH35" i="16" s="1"/>
  <c r="BH101" i="16" s="1"/>
  <c r="BI87" i="16"/>
  <c r="AY143" i="19"/>
  <c r="AY146" i="19" s="1"/>
  <c r="AZ143" i="19" s="1"/>
  <c r="AZ146" i="19" s="1"/>
  <c r="BA143" i="19" s="1"/>
  <c r="BA146" i="19" s="1"/>
  <c r="BB143" i="19" s="1"/>
  <c r="BB146" i="19" s="1"/>
  <c r="AX31" i="19"/>
  <c r="DP76" i="12"/>
  <c r="AL115" i="19"/>
  <c r="AL116" i="19" s="1"/>
  <c r="BI3" i="23"/>
  <c r="BJ10" i="23"/>
  <c r="BS92" i="12"/>
  <c r="DO72" i="12"/>
  <c r="BJ70" i="12"/>
  <c r="BL168" i="19"/>
  <c r="BM165" i="19" s="1"/>
  <c r="BL169" i="19"/>
  <c r="BH12" i="23"/>
  <c r="AK42" i="25"/>
  <c r="AL41" i="25"/>
  <c r="Z56" i="12"/>
  <c r="AA53" i="12"/>
  <c r="AA54" i="12" s="1"/>
  <c r="AA55" i="12" s="1"/>
  <c r="BZ5" i="18"/>
  <c r="BY35" i="18"/>
  <c r="BY3" i="18"/>
  <c r="BI62" i="16" s="1"/>
  <c r="BI25" i="16" s="1"/>
  <c r="M176" i="19"/>
  <c r="BI13" i="12"/>
  <c r="BI15" i="12" s="1"/>
  <c r="BH16" i="12"/>
  <c r="BJ93" i="16"/>
  <c r="BJ4" i="16"/>
  <c r="BJ3" i="16"/>
  <c r="BK8" i="16"/>
  <c r="BF25" i="16"/>
  <c r="AK136" i="25"/>
  <c r="AJ137" i="25"/>
  <c r="BR47" i="12"/>
  <c r="BS47" i="12" s="1"/>
  <c r="BT47" i="12" s="1"/>
  <c r="BU47" i="12" s="1"/>
  <c r="BV47" i="12" s="1"/>
  <c r="BW47" i="12" s="1"/>
  <c r="BX47" i="12" s="1"/>
  <c r="BY47" i="12" s="1"/>
  <c r="BZ47" i="12" s="1"/>
  <c r="CA47" i="12" s="1"/>
  <c r="CB47" i="12" s="1"/>
  <c r="CC47" i="12" s="1"/>
  <c r="CD47" i="12" s="1"/>
  <c r="CE47" i="12" s="1"/>
  <c r="CF47" i="12" s="1"/>
  <c r="CG47" i="12" s="1"/>
  <c r="CH47" i="12" s="1"/>
  <c r="CI47" i="12" s="1"/>
  <c r="CJ47" i="12" s="1"/>
  <c r="CK47" i="12" s="1"/>
  <c r="CL47" i="12" s="1"/>
  <c r="CM47" i="12" s="1"/>
  <c r="CN47" i="12" s="1"/>
  <c r="CO47" i="12" s="1"/>
  <c r="CP47" i="12" s="1"/>
  <c r="CQ47" i="12" s="1"/>
  <c r="CR47" i="12" s="1"/>
  <c r="CS47" i="12" s="1"/>
  <c r="CT47" i="12" s="1"/>
  <c r="CU47" i="12" s="1"/>
  <c r="CV47" i="12" s="1"/>
  <c r="CW47" i="12" s="1"/>
  <c r="CX47" i="12" s="1"/>
  <c r="CY47" i="12" s="1"/>
  <c r="CZ47" i="12" s="1"/>
  <c r="DA47" i="12" s="1"/>
  <c r="DB47" i="12" s="1"/>
  <c r="DC47" i="12" s="1"/>
  <c r="DD47" i="12" s="1"/>
  <c r="DE47" i="12" s="1"/>
  <c r="DF47" i="12" s="1"/>
  <c r="DG47" i="12" s="1"/>
  <c r="DH47" i="12" s="1"/>
  <c r="DI47" i="12" s="1"/>
  <c r="DJ47" i="12" s="1"/>
  <c r="DK47" i="12" s="1"/>
  <c r="DL47" i="12" s="1"/>
  <c r="DM47" i="12" s="1"/>
  <c r="DN47" i="12" s="1"/>
  <c r="DO47" i="12" s="1"/>
  <c r="DP47" i="12" s="1"/>
  <c r="DQ47" i="12" s="1"/>
  <c r="DR47" i="12" s="1"/>
  <c r="DS47" i="12" s="1"/>
  <c r="DT47" i="12" s="1"/>
  <c r="DU47" i="12" s="1"/>
  <c r="DV47" i="12" s="1"/>
  <c r="DW47" i="12" s="1"/>
  <c r="DX47" i="12" s="1"/>
  <c r="DY47" i="12" s="1"/>
  <c r="DZ47" i="12" s="1"/>
  <c r="EA47" i="12" s="1"/>
  <c r="EB47" i="12" s="1"/>
  <c r="EC47" i="12" s="1"/>
  <c r="ED47" i="12" s="1"/>
  <c r="EE47" i="12" s="1"/>
  <c r="EF47" i="12" s="1"/>
  <c r="EG47" i="12" s="1"/>
  <c r="EH47" i="12" s="1"/>
  <c r="EI47" i="12" s="1"/>
  <c r="EJ47" i="12" s="1"/>
  <c r="EK47" i="12" s="1"/>
  <c r="EL47" i="12" s="1"/>
  <c r="EM47" i="12" s="1"/>
  <c r="EN47" i="12" s="1"/>
  <c r="EO47" i="12" s="1"/>
  <c r="EP47" i="12" s="1"/>
  <c r="EQ47" i="12" s="1"/>
  <c r="ER47" i="12" s="1"/>
  <c r="ES47" i="12" s="1"/>
  <c r="ET47" i="12" s="1"/>
  <c r="EU47" i="12" s="1"/>
  <c r="EV47" i="12" s="1"/>
  <c r="EW47" i="12" s="1"/>
  <c r="EX47" i="12" s="1"/>
  <c r="EY47" i="12" s="1"/>
  <c r="EZ47" i="12" s="1"/>
  <c r="FA47" i="12" s="1"/>
  <c r="FB47" i="12" s="1"/>
  <c r="FC47" i="12" s="1"/>
  <c r="FD47" i="12" s="1"/>
  <c r="FE47" i="12" s="1"/>
  <c r="FF47" i="12" s="1"/>
  <c r="FG47" i="12" s="1"/>
  <c r="FH47" i="12" s="1"/>
  <c r="FI47" i="12" s="1"/>
  <c r="FJ47" i="12" s="1"/>
  <c r="FK47" i="12" s="1"/>
  <c r="FL47" i="12" s="1"/>
  <c r="FM47" i="12" s="1"/>
  <c r="FN47" i="12" s="1"/>
  <c r="FO47" i="12" s="1"/>
  <c r="FP47" i="12" s="1"/>
  <c r="FQ47" i="12" s="1"/>
  <c r="FR47" i="12" s="1"/>
  <c r="FS47" i="12" s="1"/>
  <c r="FT47" i="12" s="1"/>
  <c r="FU47" i="12" s="1"/>
  <c r="FV47" i="12" s="1"/>
  <c r="FW47" i="12" s="1"/>
  <c r="FX47" i="12" s="1"/>
  <c r="FY47" i="12" s="1"/>
  <c r="FZ47" i="12" s="1"/>
  <c r="GA47" i="12" s="1"/>
  <c r="GB47" i="12" s="1"/>
  <c r="GC47" i="12" s="1"/>
  <c r="GD47" i="12" s="1"/>
  <c r="GE47" i="12" s="1"/>
  <c r="U33" i="16" s="1"/>
  <c r="BI25" i="12"/>
  <c r="BJ23" i="12" s="1"/>
  <c r="BJ4" i="12"/>
  <c r="BI3" i="12"/>
  <c r="BK267" i="25"/>
  <c r="BK200" i="25"/>
  <c r="BK111" i="25"/>
  <c r="BK110" i="25" s="1"/>
  <c r="BK114" i="25" s="1"/>
  <c r="BK115" i="25" s="1"/>
  <c r="BK133" i="25"/>
  <c r="BL10" i="25"/>
  <c r="BK38" i="25"/>
  <c r="BH94" i="12"/>
  <c r="BH82" i="12"/>
  <c r="BH78" i="12"/>
  <c r="BH90" i="12"/>
  <c r="BH6" i="23"/>
  <c r="BH5" i="23" s="1"/>
  <c r="BL5" i="16"/>
  <c r="BI44" i="12"/>
  <c r="BI53" i="13"/>
  <c r="AN203" i="25"/>
  <c r="AM204" i="25"/>
  <c r="BE50" i="16"/>
  <c r="BJ8" i="11"/>
  <c r="BI3" i="11"/>
  <c r="BI10" i="11"/>
  <c r="BJ17" i="15" s="1"/>
  <c r="BC41" i="18" l="1"/>
  <c r="CJ27" i="37"/>
  <c r="AC24" i="25"/>
  <c r="AP21" i="12"/>
  <c r="AP52" i="12" s="1"/>
  <c r="AP49" i="12"/>
  <c r="AP20" i="12"/>
  <c r="AP50" i="12" s="1"/>
  <c r="AO51" i="12"/>
  <c r="CK26" i="37"/>
  <c r="CK27" i="37" s="1"/>
  <c r="BL202" i="37"/>
  <c r="BL134" i="37"/>
  <c r="BM46" i="37"/>
  <c r="BN46" i="37"/>
  <c r="BE38" i="13"/>
  <c r="BD43" i="16" s="1"/>
  <c r="BD11" i="16" s="1"/>
  <c r="BT9" i="18" s="1"/>
  <c r="AO10" i="12"/>
  <c r="AO40" i="12" s="1"/>
  <c r="AO38" i="12"/>
  <c r="BF18" i="15"/>
  <c r="BF11" i="11"/>
  <c r="BF54" i="13"/>
  <c r="BF37" i="13" s="1"/>
  <c r="BJ42" i="13"/>
  <c r="BE41" i="13"/>
  <c r="BT12" i="18" s="1"/>
  <c r="BJ4" i="15"/>
  <c r="BI3" i="15"/>
  <c r="BK34" i="13"/>
  <c r="BK33" i="13" s="1"/>
  <c r="BK47" i="13" s="1"/>
  <c r="X33" i="16"/>
  <c r="N173" i="19"/>
  <c r="M34" i="19"/>
  <c r="AA56" i="12"/>
  <c r="AB53" i="12"/>
  <c r="AB54" i="12" s="1"/>
  <c r="AA33" i="16" s="1"/>
  <c r="Z33" i="16"/>
  <c r="DP72" i="12"/>
  <c r="DP84" i="12"/>
  <c r="BI6" i="23"/>
  <c r="BM5" i="16"/>
  <c r="BJ44" i="12"/>
  <c r="BJ53" i="13"/>
  <c r="J29" i="16"/>
  <c r="BG31" i="12"/>
  <c r="BG30" i="12"/>
  <c r="BH28" i="12" s="1"/>
  <c r="BK8" i="11"/>
  <c r="BJ10" i="11"/>
  <c r="BK17" i="15" s="1"/>
  <c r="BJ3" i="11"/>
  <c r="W33" i="16"/>
  <c r="Y33" i="16"/>
  <c r="AL42" i="25"/>
  <c r="AM41" i="25"/>
  <c r="O33" i="16"/>
  <c r="P33" i="16"/>
  <c r="P29" i="16" s="1"/>
  <c r="R33" i="16"/>
  <c r="R29" i="16" s="1"/>
  <c r="Q33" i="16"/>
  <c r="Q29" i="16" s="1"/>
  <c r="S33" i="16"/>
  <c r="T33" i="16"/>
  <c r="BJ33" i="16"/>
  <c r="BI12" i="23"/>
  <c r="BM168" i="19"/>
  <c r="BN165" i="19" s="1"/>
  <c r="BM169" i="19"/>
  <c r="AM113" i="19"/>
  <c r="AL23" i="19"/>
  <c r="BM80" i="12"/>
  <c r="BL96" i="12"/>
  <c r="J61" i="33"/>
  <c r="H61" i="33"/>
  <c r="I61" i="33" s="1"/>
  <c r="X67" i="33" s="1"/>
  <c r="H62" i="33"/>
  <c r="I62" i="33" s="1"/>
  <c r="BI36" i="12"/>
  <c r="BJ33" i="12"/>
  <c r="BJ35" i="12" s="1"/>
  <c r="V31" i="33"/>
  <c r="U32" i="33"/>
  <c r="V32" i="33" s="1"/>
  <c r="F82" i="33"/>
  <c r="D83" i="33"/>
  <c r="G82" i="33"/>
  <c r="AO203" i="25"/>
  <c r="AN204" i="25"/>
  <c r="BL8" i="16"/>
  <c r="BK33" i="16"/>
  <c r="BK3" i="16"/>
  <c r="BK4" i="16"/>
  <c r="BK93" i="16"/>
  <c r="CA5" i="18"/>
  <c r="BZ35" i="18"/>
  <c r="BZ3" i="18"/>
  <c r="BJ62" i="16" s="1"/>
  <c r="BT92" i="12"/>
  <c r="BL267" i="25"/>
  <c r="BL200" i="25"/>
  <c r="BL133" i="25"/>
  <c r="BL111" i="25"/>
  <c r="BL110" i="25" s="1"/>
  <c r="BL114" i="25" s="1"/>
  <c r="BL115" i="25" s="1"/>
  <c r="BM10" i="25"/>
  <c r="BL38" i="25"/>
  <c r="BJ25" i="12"/>
  <c r="BK23" i="12" s="1"/>
  <c r="BK4" i="12"/>
  <c r="BJ3" i="12"/>
  <c r="BK70" i="12"/>
  <c r="BK10" i="23"/>
  <c r="BJ3" i="23"/>
  <c r="DQ76" i="12"/>
  <c r="BM88" i="12"/>
  <c r="K77" i="33"/>
  <c r="L77" i="33" s="1"/>
  <c r="BI94" i="12"/>
  <c r="BI82" i="12"/>
  <c r="BI78" i="12"/>
  <c r="BI90" i="12"/>
  <c r="AL136" i="25"/>
  <c r="AK137" i="25"/>
  <c r="BF50" i="16"/>
  <c r="BJ13" i="12"/>
  <c r="BJ15" i="12" s="1"/>
  <c r="BI16" i="12"/>
  <c r="BI88" i="16"/>
  <c r="BI89" i="16"/>
  <c r="BI90" i="16" s="1"/>
  <c r="BI35" i="16" s="1"/>
  <c r="BI101" i="16" s="1"/>
  <c r="BJ87" i="16"/>
  <c r="V33" i="16"/>
  <c r="BK81" i="23"/>
  <c r="AM34" i="23" l="1"/>
  <c r="K615" i="20"/>
  <c r="AC25" i="25"/>
  <c r="AO43" i="12"/>
  <c r="AQ18" i="12"/>
  <c r="AP51" i="12"/>
  <c r="H46" i="37"/>
  <c r="CL26" i="37"/>
  <c r="BM134" i="37"/>
  <c r="BM202" i="37"/>
  <c r="BI5" i="23"/>
  <c r="BF46" i="13"/>
  <c r="BF45" i="13" s="1"/>
  <c r="BE47" i="16" s="1"/>
  <c r="BE15" i="16" s="1"/>
  <c r="BU13" i="18" s="1"/>
  <c r="BF44" i="13"/>
  <c r="BF41" i="13" s="1"/>
  <c r="BU12" i="18" s="1"/>
  <c r="AP8" i="12"/>
  <c r="BF39" i="13"/>
  <c r="BE44" i="16" s="1"/>
  <c r="BE12" i="16" s="1"/>
  <c r="BU10" i="18" s="1"/>
  <c r="BF38" i="13"/>
  <c r="BE43" i="16" s="1"/>
  <c r="BE11" i="16" s="1"/>
  <c r="BU9" i="18" s="1"/>
  <c r="BD41" i="18"/>
  <c r="BG18" i="15"/>
  <c r="BG54" i="13"/>
  <c r="BG39" i="13" s="1"/>
  <c r="BF44" i="16" s="1"/>
  <c r="BF12" i="16" s="1"/>
  <c r="BV10" i="18" s="1"/>
  <c r="BG11" i="11"/>
  <c r="BG37" i="13"/>
  <c r="BG38" i="13"/>
  <c r="BG44" i="13"/>
  <c r="BK42" i="13"/>
  <c r="BK4" i="15"/>
  <c r="BJ3" i="15"/>
  <c r="BL34" i="13"/>
  <c r="BL33" i="13" s="1"/>
  <c r="BL47" i="13" s="1"/>
  <c r="BH31" i="12"/>
  <c r="BH30" i="12"/>
  <c r="BI28" i="12" s="1"/>
  <c r="BK87" i="16"/>
  <c r="BN88" i="12"/>
  <c r="BU92" i="12"/>
  <c r="BJ94" i="12"/>
  <c r="BJ82" i="12"/>
  <c r="BJ78" i="12"/>
  <c r="BJ90" i="12"/>
  <c r="BL10" i="23"/>
  <c r="BK3" i="23"/>
  <c r="BM267" i="25"/>
  <c r="BM200" i="25"/>
  <c r="BM133" i="25"/>
  <c r="BM111" i="25"/>
  <c r="BM110" i="25" s="1"/>
  <c r="BM114" i="25" s="1"/>
  <c r="BM115" i="25" s="1"/>
  <c r="BN10" i="25"/>
  <c r="BM38" i="25"/>
  <c r="AM136" i="25"/>
  <c r="AL137" i="25"/>
  <c r="BJ25" i="16"/>
  <c r="BG50" i="16"/>
  <c r="J62" i="33"/>
  <c r="AM115" i="19"/>
  <c r="AM116" i="19" s="1"/>
  <c r="N175" i="19"/>
  <c r="N176" i="19" s="1"/>
  <c r="BL4" i="12"/>
  <c r="BK3" i="12"/>
  <c r="BK25" i="12"/>
  <c r="BL23" i="12" s="1"/>
  <c r="BL81" i="23"/>
  <c r="BJ16" i="12"/>
  <c r="BK13" i="12"/>
  <c r="DR76" i="12"/>
  <c r="D84" i="33"/>
  <c r="F83" i="33"/>
  <c r="G83" i="33"/>
  <c r="BK33" i="12"/>
  <c r="BK35" i="12" s="1"/>
  <c r="BJ36" i="12"/>
  <c r="BN168" i="19"/>
  <c r="BO165" i="19" s="1"/>
  <c r="BN169" i="19"/>
  <c r="BM8" i="16"/>
  <c r="BL33" i="16"/>
  <c r="BL4" i="16"/>
  <c r="BL3" i="16"/>
  <c r="BN80" i="12"/>
  <c r="BM96" i="12"/>
  <c r="O29" i="16"/>
  <c r="BJ4" i="23"/>
  <c r="AP203" i="25"/>
  <c r="AO204" i="25"/>
  <c r="BJ12" i="23"/>
  <c r="K78" i="33"/>
  <c r="L78" i="33" s="1"/>
  <c r="BL70" i="12"/>
  <c r="CA56" i="18"/>
  <c r="CA57" i="18" s="1"/>
  <c r="CB5" i="18"/>
  <c r="CA35" i="18"/>
  <c r="CA3" i="18"/>
  <c r="BL93" i="16"/>
  <c r="AM42" i="25"/>
  <c r="AN41" i="25"/>
  <c r="BJ6" i="23"/>
  <c r="BN5" i="16"/>
  <c r="BK53" i="13"/>
  <c r="BK44" i="12"/>
  <c r="DQ72" i="12"/>
  <c r="AB55" i="12"/>
  <c r="BK10" i="11"/>
  <c r="BK3" i="11"/>
  <c r="BL8" i="11"/>
  <c r="DQ84" i="12"/>
  <c r="BF43" i="16"/>
  <c r="BF11" i="16" s="1"/>
  <c r="BV9" i="18" s="1"/>
  <c r="AN34" i="23" l="1"/>
  <c r="L615" i="20"/>
  <c r="CL27" i="37"/>
  <c r="J48" i="37"/>
  <c r="J50" i="37" s="1"/>
  <c r="BN202" i="37"/>
  <c r="L48" i="37"/>
  <c r="L50" i="37" s="1"/>
  <c r="M48" i="37"/>
  <c r="M50" i="37" s="1"/>
  <c r="M52" i="37" s="1"/>
  <c r="M58" i="37" s="1"/>
  <c r="P47" i="37"/>
  <c r="P48" i="37" s="1"/>
  <c r="N48" i="37"/>
  <c r="N50" i="37" s="1"/>
  <c r="N59" i="37" s="1"/>
  <c r="O48" i="37"/>
  <c r="O50" i="37" s="1"/>
  <c r="O52" i="37" s="1"/>
  <c r="O58" i="37" s="1"/>
  <c r="K48" i="37"/>
  <c r="K50" i="37" s="1"/>
  <c r="K52" i="37" s="1"/>
  <c r="K58" i="37" s="1"/>
  <c r="AQ49" i="12"/>
  <c r="AQ21" i="12"/>
  <c r="AQ52" i="12" s="1"/>
  <c r="AQ20" i="12"/>
  <c r="AQ50" i="12" s="1"/>
  <c r="AR18" i="12"/>
  <c r="BN134" i="37"/>
  <c r="L59" i="37"/>
  <c r="L52" i="37"/>
  <c r="L58" i="37" s="1"/>
  <c r="L60" i="37" s="1"/>
  <c r="J59" i="37"/>
  <c r="J52" i="37"/>
  <c r="J58" i="37" s="1"/>
  <c r="CM26" i="37"/>
  <c r="CM27" i="37" s="1"/>
  <c r="BJ5" i="23"/>
  <c r="BG46" i="13"/>
  <c r="BG45" i="13" s="1"/>
  <c r="BF47" i="16" s="1"/>
  <c r="BF15" i="16" s="1"/>
  <c r="BV13" i="18" s="1"/>
  <c r="AP10" i="12"/>
  <c r="AP40" i="12" s="1"/>
  <c r="AP38" i="12"/>
  <c r="BL17" i="15"/>
  <c r="BH54" i="13"/>
  <c r="BH39" i="13" s="1"/>
  <c r="BG44" i="16" s="1"/>
  <c r="BG12" i="16" s="1"/>
  <c r="BW10" i="18" s="1"/>
  <c r="BH18" i="15"/>
  <c r="BH11" i="11"/>
  <c r="BH44" i="13"/>
  <c r="BH46" i="13"/>
  <c r="BH45" i="13" s="1"/>
  <c r="BG47" i="16" s="1"/>
  <c r="BG15" i="16" s="1"/>
  <c r="BW13" i="18" s="1"/>
  <c r="BL42" i="13"/>
  <c r="BG41" i="13"/>
  <c r="BV12" i="18" s="1"/>
  <c r="BL4" i="15"/>
  <c r="BK3" i="15"/>
  <c r="BM34" i="13"/>
  <c r="BM33" i="13" s="1"/>
  <c r="BM47" i="13" s="1"/>
  <c r="O173" i="19"/>
  <c r="N34" i="19"/>
  <c r="AN113" i="19"/>
  <c r="AM23" i="19"/>
  <c r="BK12" i="23"/>
  <c r="K79" i="33"/>
  <c r="L79" i="33"/>
  <c r="BK78" i="12"/>
  <c r="BK94" i="12"/>
  <c r="BK82" i="12"/>
  <c r="BK90" i="12"/>
  <c r="AM137" i="25"/>
  <c r="AN136" i="25"/>
  <c r="BM10" i="23"/>
  <c r="BL3" i="23"/>
  <c r="BO88" i="12"/>
  <c r="BM4" i="12"/>
  <c r="BL3" i="12"/>
  <c r="BL25" i="12"/>
  <c r="BM23" i="12" s="1"/>
  <c r="BK6" i="23"/>
  <c r="BK5" i="23" s="1"/>
  <c r="BO5" i="16"/>
  <c r="BL53" i="13"/>
  <c r="BL44" i="12"/>
  <c r="F84" i="33"/>
  <c r="G84" i="33"/>
  <c r="D85" i="33"/>
  <c r="DR84" i="12"/>
  <c r="AC53" i="12"/>
  <c r="AC54" i="12" s="1"/>
  <c r="AB33" i="16" s="1"/>
  <c r="AB56" i="12"/>
  <c r="BM33" i="16"/>
  <c r="BM4" i="16"/>
  <c r="BM3" i="16"/>
  <c r="BN8" i="16"/>
  <c r="BN200" i="25"/>
  <c r="BN267" i="25"/>
  <c r="BN133" i="25"/>
  <c r="BN111" i="25"/>
  <c r="BN110" i="25" s="1"/>
  <c r="BN114" i="25" s="1"/>
  <c r="BN115" i="25" s="1"/>
  <c r="BI116" i="25" s="1"/>
  <c r="BN38" i="25"/>
  <c r="DR72" i="12"/>
  <c r="AQ203" i="25"/>
  <c r="AP204" i="25"/>
  <c r="DS76" i="12"/>
  <c r="CC5" i="18"/>
  <c r="CB35" i="18"/>
  <c r="CB3" i="18"/>
  <c r="BL62" i="16" s="1"/>
  <c r="BL25" i="16" s="1"/>
  <c r="BH50" i="16"/>
  <c r="BM93" i="16"/>
  <c r="BL10" i="11"/>
  <c r="BM17" i="15" s="1"/>
  <c r="BL3" i="11"/>
  <c r="BM8" i="11"/>
  <c r="BM70" i="12"/>
  <c r="BO80" i="12"/>
  <c r="BN96" i="12"/>
  <c r="BO168" i="19"/>
  <c r="BP165" i="19" s="1"/>
  <c r="BO169" i="19"/>
  <c r="BK16" i="12"/>
  <c r="BK15" i="12"/>
  <c r="BL13" i="12" s="1"/>
  <c r="BL15" i="12" s="1"/>
  <c r="H63" i="33"/>
  <c r="I63" i="33" s="1"/>
  <c r="X72" i="33" s="1"/>
  <c r="H64" i="33"/>
  <c r="I64" i="33" s="1"/>
  <c r="AN42" i="25"/>
  <c r="AO41" i="25"/>
  <c r="BJ118" i="23"/>
  <c r="BK36" i="12"/>
  <c r="BL33" i="12"/>
  <c r="BM81" i="23"/>
  <c r="BV92" i="12"/>
  <c r="BK89" i="16"/>
  <c r="BK90" i="16" s="1"/>
  <c r="BK35" i="16" s="1"/>
  <c r="BK101" i="16" s="1"/>
  <c r="BL87" i="16"/>
  <c r="BK88" i="16"/>
  <c r="BI31" i="12"/>
  <c r="BI30" i="12"/>
  <c r="BJ28" i="12" s="1"/>
  <c r="M59" i="37" l="1"/>
  <c r="AP43" i="12"/>
  <c r="O59" i="37"/>
  <c r="O60" i="37" s="1"/>
  <c r="O61" i="37" s="1"/>
  <c r="BO202" i="37"/>
  <c r="K59" i="37"/>
  <c r="K60" i="37" s="1"/>
  <c r="K61" i="37" s="1"/>
  <c r="N52" i="37"/>
  <c r="N58" i="37" s="1"/>
  <c r="N60" i="37" s="1"/>
  <c r="N61" i="37" s="1"/>
  <c r="AR49" i="12"/>
  <c r="AR21" i="12"/>
  <c r="AR52" i="12" s="1"/>
  <c r="AR20" i="12"/>
  <c r="AQ51" i="12"/>
  <c r="BO134" i="37"/>
  <c r="J60" i="37"/>
  <c r="J61" i="37" s="1"/>
  <c r="M60" i="37"/>
  <c r="M61" i="37" s="1"/>
  <c r="P50" i="37"/>
  <c r="Q47" i="37"/>
  <c r="L61" i="37"/>
  <c r="CN26" i="37"/>
  <c r="BH38" i="13"/>
  <c r="BG43" i="16" s="1"/>
  <c r="BG11" i="16" s="1"/>
  <c r="BW9" i="18" s="1"/>
  <c r="BH37" i="13"/>
  <c r="K674" i="20"/>
  <c r="BK116" i="25"/>
  <c r="BN116" i="25"/>
  <c r="BM116" i="25"/>
  <c r="U116" i="25"/>
  <c r="U117" i="25" s="1"/>
  <c r="V116" i="25"/>
  <c r="V117" i="25" s="1"/>
  <c r="X116" i="25"/>
  <c r="X117" i="25" s="1"/>
  <c r="W116" i="25"/>
  <c r="W117" i="25" s="1"/>
  <c r="Z116" i="25"/>
  <c r="Z117" i="25" s="1"/>
  <c r="AB116" i="25"/>
  <c r="AB117" i="25" s="1"/>
  <c r="AA116" i="25"/>
  <c r="AA117" i="25" s="1"/>
  <c r="AC116" i="25"/>
  <c r="AF116" i="25"/>
  <c r="AD116" i="25"/>
  <c r="AE116" i="25"/>
  <c r="AG116" i="25"/>
  <c r="Y116" i="25"/>
  <c r="Y117" i="25" s="1"/>
  <c r="AI116" i="25"/>
  <c r="AJ116" i="25"/>
  <c r="AL116" i="25"/>
  <c r="AH116" i="25"/>
  <c r="AK116" i="25"/>
  <c r="AM116" i="25"/>
  <c r="AO116" i="25"/>
  <c r="AN116" i="25"/>
  <c r="AP116" i="25"/>
  <c r="AQ116" i="25"/>
  <c r="AR116" i="25"/>
  <c r="AS116" i="25"/>
  <c r="AT116" i="25"/>
  <c r="AV116" i="25"/>
  <c r="AU116" i="25"/>
  <c r="AW116" i="25"/>
  <c r="AX116" i="25"/>
  <c r="AZ116" i="25"/>
  <c r="AY116" i="25"/>
  <c r="BA116" i="25"/>
  <c r="BB116" i="25"/>
  <c r="BC116" i="25"/>
  <c r="BD116" i="25"/>
  <c r="BE116" i="25"/>
  <c r="BF116" i="25"/>
  <c r="BG116" i="25"/>
  <c r="BH116" i="25"/>
  <c r="BJ116" i="25"/>
  <c r="BL116" i="25"/>
  <c r="AQ8" i="12"/>
  <c r="BE41" i="18"/>
  <c r="BI54" i="13"/>
  <c r="BI44" i="13" s="1"/>
  <c r="BI11" i="11"/>
  <c r="BI18" i="15"/>
  <c r="BI39" i="13"/>
  <c r="BH44" i="16" s="1"/>
  <c r="BH12" i="16" s="1"/>
  <c r="BX10" i="18" s="1"/>
  <c r="BI38" i="13"/>
  <c r="BI37" i="13"/>
  <c r="BI46" i="13"/>
  <c r="BI45" i="13" s="1"/>
  <c r="BH47" i="16" s="1"/>
  <c r="BH15" i="16" s="1"/>
  <c r="BX13" i="18" s="1"/>
  <c r="BM42" i="13"/>
  <c r="BH41" i="13"/>
  <c r="BW12" i="18" s="1"/>
  <c r="BM4" i="15"/>
  <c r="BL3" i="15"/>
  <c r="BN34" i="13"/>
  <c r="BN33" i="13" s="1"/>
  <c r="BN47" i="13" s="1"/>
  <c r="BJ31" i="12"/>
  <c r="BJ30" i="12"/>
  <c r="BK28" i="12" s="1"/>
  <c r="BL6" i="23"/>
  <c r="BL5" i="23" s="1"/>
  <c r="BP5" i="16"/>
  <c r="BM53" i="13"/>
  <c r="BM44" i="12"/>
  <c r="BL89" i="16"/>
  <c r="BL90" i="16" s="1"/>
  <c r="BL35" i="16" s="1"/>
  <c r="BL101" i="16" s="1"/>
  <c r="BM87" i="16"/>
  <c r="BL88" i="16"/>
  <c r="BL36" i="12"/>
  <c r="AR203" i="25"/>
  <c r="AQ204" i="25"/>
  <c r="D86" i="33"/>
  <c r="F85" i="33"/>
  <c r="G85" i="33"/>
  <c r="BN10" i="23"/>
  <c r="BM3" i="23"/>
  <c r="AN115" i="19"/>
  <c r="AN116" i="19" s="1"/>
  <c r="BP169" i="19"/>
  <c r="BP168" i="19"/>
  <c r="BQ165" i="19" s="1"/>
  <c r="BN70" i="12"/>
  <c r="BL12" i="23"/>
  <c r="BW92" i="12"/>
  <c r="CD5" i="18"/>
  <c r="CC35" i="18"/>
  <c r="CC3" i="18"/>
  <c r="BM62" i="16" s="1"/>
  <c r="BM25" i="16" s="1"/>
  <c r="DS72" i="12"/>
  <c r="L80" i="33"/>
  <c r="K80" i="33"/>
  <c r="BH43" i="16"/>
  <c r="BH11" i="16" s="1"/>
  <c r="BX9" i="18" s="1"/>
  <c r="BM10" i="11"/>
  <c r="BN17" i="15" s="1"/>
  <c r="BM3" i="11"/>
  <c r="BN8" i="11"/>
  <c r="AC55" i="12"/>
  <c r="BL78" i="12"/>
  <c r="BL94" i="12"/>
  <c r="BL90" i="12"/>
  <c r="BL82" i="12"/>
  <c r="BP88" i="12"/>
  <c r="AO136" i="25"/>
  <c r="AN137" i="25"/>
  <c r="BN81" i="23"/>
  <c r="AP41" i="25"/>
  <c r="AO42" i="25"/>
  <c r="J63" i="33"/>
  <c r="J64" i="33" s="1"/>
  <c r="BP80" i="12"/>
  <c r="BO96" i="12"/>
  <c r="BN93" i="16"/>
  <c r="DT76" i="12"/>
  <c r="BN33" i="16"/>
  <c r="BN4" i="16"/>
  <c r="BN3" i="16"/>
  <c r="BO8" i="16"/>
  <c r="BN4" i="12"/>
  <c r="BM3" i="12"/>
  <c r="BM25" i="12"/>
  <c r="BN23" i="12" s="1"/>
  <c r="BL16" i="12"/>
  <c r="BM13" i="12"/>
  <c r="BM15" i="12" s="1"/>
  <c r="BL35" i="12"/>
  <c r="BM33" i="12" s="1"/>
  <c r="O175" i="19"/>
  <c r="O176" i="19" s="1"/>
  <c r="BI50" i="16"/>
  <c r="DS84" i="12"/>
  <c r="AO34" i="23" l="1"/>
  <c r="M615" i="20"/>
  <c r="D625" i="20" s="1"/>
  <c r="CN27" i="37"/>
  <c r="AD24" i="25"/>
  <c r="BP202" i="37"/>
  <c r="AR50" i="12"/>
  <c r="AS18" i="12"/>
  <c r="AR51" i="12"/>
  <c r="BP134" i="37"/>
  <c r="Q48" i="37"/>
  <c r="P59" i="37"/>
  <c r="P52" i="37"/>
  <c r="P58" i="37" s="1"/>
  <c r="CO26" i="37"/>
  <c r="CO27" i="37" s="1"/>
  <c r="AQ10" i="12"/>
  <c r="AQ40" i="12" s="1"/>
  <c r="AQ38" i="12"/>
  <c r="BJ18" i="15"/>
  <c r="BJ11" i="11"/>
  <c r="BJ54" i="13"/>
  <c r="BJ37" i="13" s="1"/>
  <c r="BJ46" i="13"/>
  <c r="BJ45" i="13" s="1"/>
  <c r="BI47" i="16" s="1"/>
  <c r="BI15" i="16" s="1"/>
  <c r="BY13" i="18" s="1"/>
  <c r="BN42" i="13"/>
  <c r="BI41" i="13"/>
  <c r="BX12" i="18" s="1"/>
  <c r="BN4" i="15"/>
  <c r="BM3" i="15"/>
  <c r="BO34" i="13"/>
  <c r="BO33" i="13" s="1"/>
  <c r="BO47" i="13" s="1"/>
  <c r="BM36" i="12"/>
  <c r="BM35" i="12"/>
  <c r="BN33" i="12" s="1"/>
  <c r="J65" i="33"/>
  <c r="H66" i="33"/>
  <c r="I66" i="33" s="1"/>
  <c r="H65" i="33"/>
  <c r="I65" i="33" s="1"/>
  <c r="X77" i="33" s="1"/>
  <c r="AS203" i="25"/>
  <c r="AR204" i="25"/>
  <c r="BQ80" i="12"/>
  <c r="BP96" i="12"/>
  <c r="BX92" i="12"/>
  <c r="BO70" i="12"/>
  <c r="BO33" i="16"/>
  <c r="BO4" i="16"/>
  <c r="BO3" i="16"/>
  <c r="BP8" i="16"/>
  <c r="BQ169" i="19"/>
  <c r="BQ168" i="19"/>
  <c r="BR165" i="19" s="1"/>
  <c r="K81" i="33"/>
  <c r="L81" i="33" s="1"/>
  <c r="BM89" i="16"/>
  <c r="BM90" i="16" s="1"/>
  <c r="BM35" i="16" s="1"/>
  <c r="BM101" i="16" s="1"/>
  <c r="BN87" i="16"/>
  <c r="BM88" i="16"/>
  <c r="BM78" i="12"/>
  <c r="BM94" i="12"/>
  <c r="BM82" i="12"/>
  <c r="BM90" i="12"/>
  <c r="BM12" i="23"/>
  <c r="BK31" i="12"/>
  <c r="BK30" i="12"/>
  <c r="BL28" i="12" s="1"/>
  <c r="DU76" i="12"/>
  <c r="AP42" i="25"/>
  <c r="AQ41" i="25"/>
  <c r="AP136" i="25"/>
  <c r="AO137" i="25"/>
  <c r="AD53" i="12"/>
  <c r="AD54" i="12" s="1"/>
  <c r="AC33" i="16" s="1"/>
  <c r="AC56" i="12"/>
  <c r="BN10" i="11"/>
  <c r="BO17" i="15" s="1"/>
  <c r="BN3" i="11"/>
  <c r="BO8" i="11"/>
  <c r="DT84" i="12"/>
  <c r="BM16" i="12"/>
  <c r="BN13" i="12"/>
  <c r="BN15" i="12" s="1"/>
  <c r="BJ50" i="16"/>
  <c r="BO93" i="16"/>
  <c r="BO81" i="23"/>
  <c r="DT72" i="12"/>
  <c r="CE5" i="18"/>
  <c r="CD35" i="18"/>
  <c r="CD3" i="18"/>
  <c r="BN62" i="16" s="1"/>
  <c r="BN25" i="16" s="1"/>
  <c r="AO113" i="19"/>
  <c r="AN23" i="19"/>
  <c r="G86" i="33"/>
  <c r="F86" i="33"/>
  <c r="D87" i="33"/>
  <c r="BO4" i="12"/>
  <c r="BN3" i="12"/>
  <c r="BN25" i="12"/>
  <c r="BO23" i="12" s="1"/>
  <c r="BQ88" i="12"/>
  <c r="BM6" i="23"/>
  <c r="BQ5" i="16"/>
  <c r="BN53" i="13"/>
  <c r="BN44" i="12"/>
  <c r="P173" i="19"/>
  <c r="O34" i="19"/>
  <c r="BO10" i="23"/>
  <c r="BN3" i="23"/>
  <c r="AD25" i="25" l="1"/>
  <c r="AQ43" i="12"/>
  <c r="BQ202" i="37"/>
  <c r="BJ44" i="13"/>
  <c r="BJ41" i="13" s="1"/>
  <c r="BY12" i="18" s="1"/>
  <c r="BJ38" i="13"/>
  <c r="BI43" i="16" s="1"/>
  <c r="BI11" i="16" s="1"/>
  <c r="BY9" i="18" s="1"/>
  <c r="AS21" i="12"/>
  <c r="AS52" i="12" s="1"/>
  <c r="AS49" i="12"/>
  <c r="AS20" i="12"/>
  <c r="AS50" i="12" s="1"/>
  <c r="BJ39" i="13"/>
  <c r="BI44" i="16" s="1"/>
  <c r="BI12" i="16" s="1"/>
  <c r="BY10" i="18" s="1"/>
  <c r="BQ134" i="37"/>
  <c r="P60" i="37"/>
  <c r="Q50" i="37"/>
  <c r="R47" i="37"/>
  <c r="CP26" i="37"/>
  <c r="BM5" i="23"/>
  <c r="BN4" i="23"/>
  <c r="BN118" i="23" s="1"/>
  <c r="AR8" i="12"/>
  <c r="BF41" i="18"/>
  <c r="BK54" i="13"/>
  <c r="BK39" i="13" s="1"/>
  <c r="BJ44" i="16" s="1"/>
  <c r="BJ12" i="16" s="1"/>
  <c r="BZ10" i="18" s="1"/>
  <c r="BK18" i="15"/>
  <c r="BK11" i="11"/>
  <c r="BK46" i="13"/>
  <c r="BK45" i="13" s="1"/>
  <c r="BJ47" i="16" s="1"/>
  <c r="BJ15" i="16" s="1"/>
  <c r="BZ13" i="18" s="1"/>
  <c r="BO42" i="13"/>
  <c r="BO4" i="15"/>
  <c r="BN3" i="15"/>
  <c r="BP34" i="13"/>
  <c r="BP33" i="13" s="1"/>
  <c r="BP47" i="13" s="1"/>
  <c r="BN36" i="12"/>
  <c r="BN35" i="12"/>
  <c r="BO33" i="12" s="1"/>
  <c r="BL31" i="12"/>
  <c r="BL30" i="12"/>
  <c r="BM28" i="12" s="1"/>
  <c r="K82" i="33"/>
  <c r="L82" i="33"/>
  <c r="DU72" i="12"/>
  <c r="BN16" i="12"/>
  <c r="BO13" i="12"/>
  <c r="BO15" i="12" s="1"/>
  <c r="AD55" i="12"/>
  <c r="DV76" i="12"/>
  <c r="BR169" i="19"/>
  <c r="BR168" i="19"/>
  <c r="BS165" i="19" s="1"/>
  <c r="AO115" i="19"/>
  <c r="BO87" i="16"/>
  <c r="BY92" i="12"/>
  <c r="AT203" i="25"/>
  <c r="AS204" i="25"/>
  <c r="BP10" i="23"/>
  <c r="BO3" i="23"/>
  <c r="BP93" i="16"/>
  <c r="J66" i="33"/>
  <c r="AP137" i="25"/>
  <c r="AQ136" i="25"/>
  <c r="BP33" i="16"/>
  <c r="BP4" i="16"/>
  <c r="BP3" i="16"/>
  <c r="BQ8" i="16"/>
  <c r="BR88" i="12"/>
  <c r="G87" i="33"/>
  <c r="D88" i="33"/>
  <c r="F87" i="33"/>
  <c r="BN12" i="23"/>
  <c r="BO3" i="11"/>
  <c r="BP8" i="11"/>
  <c r="BO10" i="11"/>
  <c r="AQ42" i="25"/>
  <c r="AR41" i="25"/>
  <c r="BK50" i="16"/>
  <c r="BR80" i="12"/>
  <c r="BQ96" i="12"/>
  <c r="P175" i="19"/>
  <c r="P176" i="19"/>
  <c r="DU84" i="12"/>
  <c r="BP4" i="12"/>
  <c r="BO3" i="12"/>
  <c r="BO25" i="12"/>
  <c r="BP23" i="12" s="1"/>
  <c r="CE35" i="18"/>
  <c r="CE56" i="18"/>
  <c r="CE57" i="18" s="1"/>
  <c r="CE3" i="18"/>
  <c r="CF5" i="18"/>
  <c r="BP70" i="12"/>
  <c r="BN78" i="12"/>
  <c r="BN94" i="12"/>
  <c r="BN82" i="12"/>
  <c r="BN90" i="12"/>
  <c r="BP81" i="23"/>
  <c r="BN6" i="23"/>
  <c r="BR5" i="16"/>
  <c r="BO53" i="13"/>
  <c r="BO44" i="12"/>
  <c r="AP34" i="23" l="1"/>
  <c r="Z655" i="20" s="1"/>
  <c r="N615" i="20"/>
  <c r="E625" i="20" s="1"/>
  <c r="CP27" i="37"/>
  <c r="BR202" i="37"/>
  <c r="AT18" i="12"/>
  <c r="AS51" i="12"/>
  <c r="BR134" i="37"/>
  <c r="R48" i="37"/>
  <c r="Q59" i="37"/>
  <c r="Q52" i="37"/>
  <c r="Q58" i="37" s="1"/>
  <c r="Q60" i="37" s="1"/>
  <c r="CQ26" i="37"/>
  <c r="CQ27" i="37" s="1"/>
  <c r="BN5" i="23"/>
  <c r="AR38" i="12"/>
  <c r="AR10" i="12"/>
  <c r="AR40" i="12" s="1"/>
  <c r="BK44" i="13"/>
  <c r="BK37" i="13"/>
  <c r="BK38" i="13"/>
  <c r="BJ43" i="16" s="1"/>
  <c r="BJ11" i="16" s="1"/>
  <c r="BZ9" i="18" s="1"/>
  <c r="BP17" i="15"/>
  <c r="BL11" i="11"/>
  <c r="BL54" i="13"/>
  <c r="BL18" i="15"/>
  <c r="BP42" i="13"/>
  <c r="BK41" i="13"/>
  <c r="BZ12" i="18" s="1"/>
  <c r="BP4" i="15"/>
  <c r="BO3" i="15"/>
  <c r="BQ34" i="13"/>
  <c r="BQ33" i="13" s="1"/>
  <c r="BQ47" i="13" s="1"/>
  <c r="BO36" i="12"/>
  <c r="BO35" i="12"/>
  <c r="BP33" i="12" s="1"/>
  <c r="BO16" i="12"/>
  <c r="BP13" i="12"/>
  <c r="BP15" i="12" s="1"/>
  <c r="BZ92" i="12"/>
  <c r="BM31" i="12"/>
  <c r="BM30" i="12"/>
  <c r="BN28" i="12" s="1"/>
  <c r="AR136" i="25"/>
  <c r="AQ137" i="25"/>
  <c r="BP3" i="23"/>
  <c r="BQ10" i="23"/>
  <c r="DV72" i="12"/>
  <c r="Q173" i="19"/>
  <c r="P34" i="19"/>
  <c r="CF35" i="18"/>
  <c r="CG5" i="18"/>
  <c r="CF3" i="18"/>
  <c r="BP62" i="16" s="1"/>
  <c r="BP25" i="16" s="1"/>
  <c r="BS169" i="19"/>
  <c r="BS168" i="19"/>
  <c r="BT165" i="19" s="1"/>
  <c r="BQ70" i="12"/>
  <c r="AR42" i="25"/>
  <c r="AS41" i="25"/>
  <c r="G88" i="33"/>
  <c r="D89" i="33"/>
  <c r="F88" i="33"/>
  <c r="BQ93" i="16"/>
  <c r="BQ4" i="12"/>
  <c r="BP3" i="12"/>
  <c r="BP25" i="12"/>
  <c r="BQ23" i="12" s="1"/>
  <c r="DV84" i="12"/>
  <c r="K83" i="33"/>
  <c r="L83" i="33" s="1"/>
  <c r="BL50" i="16"/>
  <c r="BS80" i="12"/>
  <c r="BR96" i="12"/>
  <c r="BO6" i="23"/>
  <c r="BO5" i="23" s="1"/>
  <c r="BS5" i="16"/>
  <c r="BP53" i="13"/>
  <c r="BP44" i="12"/>
  <c r="BQ33" i="16"/>
  <c r="BQ4" i="16"/>
  <c r="BQ3" i="16"/>
  <c r="BR8" i="16"/>
  <c r="BO88" i="16"/>
  <c r="BO89" i="16"/>
  <c r="BO90" i="16" s="1"/>
  <c r="BO35" i="16" s="1"/>
  <c r="BO101" i="16" s="1"/>
  <c r="BP87" i="16"/>
  <c r="DW76" i="12"/>
  <c r="BO78" i="12"/>
  <c r="BO94" i="12"/>
  <c r="BO82" i="12"/>
  <c r="BO90" i="12"/>
  <c r="BQ81" i="23"/>
  <c r="BO12" i="23"/>
  <c r="BQ8" i="11"/>
  <c r="BP10" i="11"/>
  <c r="BQ17" i="15" s="1"/>
  <c r="BP3" i="11"/>
  <c r="BS88" i="12"/>
  <c r="H67" i="33"/>
  <c r="I67" i="33" s="1"/>
  <c r="X82" i="33" s="1"/>
  <c r="AU203" i="25"/>
  <c r="AT204" i="25"/>
  <c r="H204" i="25" s="1"/>
  <c r="H203" i="25"/>
  <c r="AO116" i="19"/>
  <c r="AE53" i="12"/>
  <c r="AE54" i="12" s="1"/>
  <c r="AD33" i="16" s="1"/>
  <c r="AD56" i="12"/>
  <c r="AR43" i="12" l="1"/>
  <c r="BS202" i="37"/>
  <c r="AT20" i="12"/>
  <c r="AT50" i="12" s="1"/>
  <c r="AT21" i="12"/>
  <c r="AT52" i="12" s="1"/>
  <c r="AT49" i="12"/>
  <c r="AT51" i="12" s="1"/>
  <c r="AU18" i="12"/>
  <c r="BS134" i="37"/>
  <c r="R50" i="37"/>
  <c r="S47" i="37"/>
  <c r="CR26" i="37"/>
  <c r="AS8" i="12"/>
  <c r="BG41" i="18"/>
  <c r="BM54" i="13"/>
  <c r="BM18" i="15"/>
  <c r="BM11" i="11"/>
  <c r="BL38" i="13"/>
  <c r="BK43" i="16" s="1"/>
  <c r="BK11" i="16" s="1"/>
  <c r="CA9" i="18" s="1"/>
  <c r="BL37" i="13"/>
  <c r="BL39" i="13"/>
  <c r="BK44" i="16" s="1"/>
  <c r="BK12" i="16" s="1"/>
  <c r="CA10" i="18" s="1"/>
  <c r="BL44" i="13"/>
  <c r="BL46" i="13"/>
  <c r="BL45" i="13" s="1"/>
  <c r="BK47" i="16" s="1"/>
  <c r="BK15" i="16" s="1"/>
  <c r="CA13" i="18" s="1"/>
  <c r="BQ42" i="13"/>
  <c r="BQ4" i="15"/>
  <c r="BP3" i="15"/>
  <c r="BR34" i="13"/>
  <c r="BR33" i="13" s="1"/>
  <c r="BR47" i="13" s="1"/>
  <c r="AE55" i="12"/>
  <c r="AF53" i="12" s="1"/>
  <c r="AF54" i="12" s="1"/>
  <c r="AE33" i="16" s="1"/>
  <c r="BN31" i="12"/>
  <c r="BN30" i="12"/>
  <c r="BO28" i="12" s="1"/>
  <c r="BP36" i="12"/>
  <c r="BP35" i="12"/>
  <c r="BQ33" i="12" s="1"/>
  <c r="AS136" i="25"/>
  <c r="AR137" i="25"/>
  <c r="BP78" i="12"/>
  <c r="BP94" i="12"/>
  <c r="BP82" i="12"/>
  <c r="BP90" i="12"/>
  <c r="BT80" i="12"/>
  <c r="BS96" i="12"/>
  <c r="Q175" i="19"/>
  <c r="Q176" i="19" s="1"/>
  <c r="H68" i="33"/>
  <c r="I68" i="33" s="1"/>
  <c r="BQ25" i="12"/>
  <c r="BR23" i="12" s="1"/>
  <c r="BR4" i="12"/>
  <c r="BQ3" i="12"/>
  <c r="BT168" i="19"/>
  <c r="BU165" i="19" s="1"/>
  <c r="BT169" i="19"/>
  <c r="CH5" i="18"/>
  <c r="CG35" i="18"/>
  <c r="CG3" i="18"/>
  <c r="BQ62" i="16" s="1"/>
  <c r="BQ25" i="16" s="1"/>
  <c r="AV203" i="25"/>
  <c r="AU204" i="25"/>
  <c r="AE56" i="12"/>
  <c r="J67" i="33"/>
  <c r="J68" i="33" s="1"/>
  <c r="BR8" i="11"/>
  <c r="BQ3" i="11"/>
  <c r="BQ10" i="11"/>
  <c r="BR17" i="15" s="1"/>
  <c r="BR4" i="16"/>
  <c r="BR3" i="16"/>
  <c r="BS8" i="16"/>
  <c r="BR33" i="16"/>
  <c r="AP113" i="19"/>
  <c r="AO23" i="19"/>
  <c r="DX76" i="12"/>
  <c r="BM50" i="16"/>
  <c r="DW84" i="12"/>
  <c r="BP12" i="23"/>
  <c r="BQ13" i="12"/>
  <c r="BQ15" i="12" s="1"/>
  <c r="BP16" i="12"/>
  <c r="BP6" i="23"/>
  <c r="BP5" i="23" s="1"/>
  <c r="BT5" i="16"/>
  <c r="BQ44" i="12"/>
  <c r="BQ53" i="13"/>
  <c r="AS42" i="25"/>
  <c r="AT41" i="25"/>
  <c r="O206" i="25"/>
  <c r="O208" i="25" s="1"/>
  <c r="M206" i="25"/>
  <c r="M208" i="25" s="1"/>
  <c r="L206" i="25"/>
  <c r="L208" i="25" s="1"/>
  <c r="K206" i="25"/>
  <c r="K208" i="25" s="1"/>
  <c r="J206" i="25"/>
  <c r="J208" i="25" s="1"/>
  <c r="N206" i="25"/>
  <c r="N208" i="25" s="1"/>
  <c r="BT88" i="12"/>
  <c r="BR81" i="23"/>
  <c r="BP88" i="16"/>
  <c r="BP89" i="16"/>
  <c r="BP90" i="16" s="1"/>
  <c r="BP35" i="16" s="1"/>
  <c r="BP101" i="16" s="1"/>
  <c r="BQ87" i="16"/>
  <c r="F89" i="33"/>
  <c r="G89" i="33"/>
  <c r="D90" i="33"/>
  <c r="BQ3" i="23"/>
  <c r="BR10" i="23"/>
  <c r="BR93" i="16"/>
  <c r="L84" i="33"/>
  <c r="K84" i="33"/>
  <c r="CA92" i="12"/>
  <c r="BR70" i="12"/>
  <c r="DW72" i="12"/>
  <c r="AQ34" i="23" l="1"/>
  <c r="O615" i="20"/>
  <c r="F625" i="20" s="1"/>
  <c r="CR27" i="37"/>
  <c r="AE24" i="25"/>
  <c r="BT202" i="37"/>
  <c r="AU21" i="12"/>
  <c r="AU52" i="12" s="1"/>
  <c r="AU49" i="12"/>
  <c r="AU20" i="12"/>
  <c r="BT134" i="37"/>
  <c r="S48" i="37"/>
  <c r="R59" i="37"/>
  <c r="R52" i="37"/>
  <c r="R58" i="37" s="1"/>
  <c r="CS26" i="37"/>
  <c r="CS27" i="37" s="1"/>
  <c r="AS38" i="12"/>
  <c r="AS10" i="12"/>
  <c r="BN18" i="15"/>
  <c r="BN11" i="11"/>
  <c r="BN54" i="13"/>
  <c r="BM38" i="13"/>
  <c r="BL43" i="16" s="1"/>
  <c r="BL11" i="16" s="1"/>
  <c r="CB9" i="18" s="1"/>
  <c r="BM39" i="13"/>
  <c r="BM37" i="13"/>
  <c r="BM44" i="13"/>
  <c r="BM46" i="13"/>
  <c r="BM45" i="13" s="1"/>
  <c r="BL47" i="16" s="1"/>
  <c r="BL15" i="16" s="1"/>
  <c r="CB13" i="18" s="1"/>
  <c r="BR42" i="13"/>
  <c r="BL41" i="13"/>
  <c r="CA12" i="18" s="1"/>
  <c r="BR4" i="15"/>
  <c r="BQ3" i="15"/>
  <c r="BS34" i="13"/>
  <c r="BS33" i="13" s="1"/>
  <c r="BS47" i="13" s="1"/>
  <c r="BO31" i="12"/>
  <c r="BO30" i="12"/>
  <c r="BP28" i="12" s="1"/>
  <c r="BQ36" i="12"/>
  <c r="BQ35" i="12"/>
  <c r="BR33" i="12" s="1"/>
  <c r="BR35" i="12" s="1"/>
  <c r="BT8" i="16"/>
  <c r="BS33" i="16"/>
  <c r="BS3" i="16"/>
  <c r="BS4" i="16"/>
  <c r="BQ88" i="16"/>
  <c r="BQ89" i="16"/>
  <c r="BQ90" i="16" s="1"/>
  <c r="BQ35" i="16" s="1"/>
  <c r="BQ101" i="16" s="1"/>
  <c r="BR87" i="16"/>
  <c r="BN50" i="16"/>
  <c r="BQ12" i="23"/>
  <c r="CI5" i="18"/>
  <c r="CH35" i="18"/>
  <c r="CH3" i="18"/>
  <c r="BR62" i="16" s="1"/>
  <c r="BR25" i="16" s="1"/>
  <c r="K85" i="33"/>
  <c r="L85" i="33" s="1"/>
  <c r="N217" i="25"/>
  <c r="N210" i="25"/>
  <c r="N216" i="25" s="1"/>
  <c r="N218" i="25" s="1"/>
  <c r="DX84" i="12"/>
  <c r="DY76" i="12"/>
  <c r="D91" i="33"/>
  <c r="F90" i="33"/>
  <c r="G90" i="33"/>
  <c r="BU88" i="12"/>
  <c r="BQ78" i="12"/>
  <c r="BQ94" i="12"/>
  <c r="BQ90" i="12"/>
  <c r="BQ82" i="12"/>
  <c r="BS70" i="12"/>
  <c r="BS93" i="16"/>
  <c r="BS10" i="23"/>
  <c r="BR3" i="23"/>
  <c r="M217" i="25"/>
  <c r="M210" i="25"/>
  <c r="M216" i="25" s="1"/>
  <c r="BL44" i="16"/>
  <c r="BL12" i="16" s="1"/>
  <c r="CB10" i="18" s="1"/>
  <c r="BQ6" i="23"/>
  <c r="BU5" i="16"/>
  <c r="BR44" i="12"/>
  <c r="BR53" i="13"/>
  <c r="AW203" i="25"/>
  <c r="AV204" i="25"/>
  <c r="L217" i="25"/>
  <c r="L210" i="25"/>
  <c r="L216" i="25" s="1"/>
  <c r="AP115" i="19"/>
  <c r="AP116" i="19" s="1"/>
  <c r="BU168" i="19"/>
  <c r="BV165" i="19" s="1"/>
  <c r="BU169" i="19"/>
  <c r="DX72" i="12"/>
  <c r="CB92" i="12"/>
  <c r="BS81" i="23"/>
  <c r="J217" i="25"/>
  <c r="J210" i="25"/>
  <c r="K217" i="25"/>
  <c r="K210" i="25"/>
  <c r="K216" i="25" s="1"/>
  <c r="O210" i="25"/>
  <c r="O216" i="25" s="1"/>
  <c r="O217" i="25"/>
  <c r="BS8" i="11"/>
  <c r="BR10" i="11"/>
  <c r="BS17" i="15" s="1"/>
  <c r="BR3" i="11"/>
  <c r="BU80" i="12"/>
  <c r="BT96" i="12"/>
  <c r="AT42" i="25"/>
  <c r="H42" i="25" s="1"/>
  <c r="AU41" i="25"/>
  <c r="H41" i="25"/>
  <c r="BR13" i="12"/>
  <c r="BR15" i="12" s="1"/>
  <c r="BQ16" i="12"/>
  <c r="H69" i="33"/>
  <c r="I69" i="33" s="1"/>
  <c r="J69" i="33" s="1"/>
  <c r="BR25" i="12"/>
  <c r="BS23" i="12" s="1"/>
  <c r="BS4" i="12"/>
  <c r="BR3" i="12"/>
  <c r="AF55" i="12"/>
  <c r="R173" i="19"/>
  <c r="Q34" i="19"/>
  <c r="AT136" i="25"/>
  <c r="AS137" i="25"/>
  <c r="AE25" i="25" l="1"/>
  <c r="BU202" i="37"/>
  <c r="AU50" i="12"/>
  <c r="AV18" i="12"/>
  <c r="AU51" i="12"/>
  <c r="K218" i="25"/>
  <c r="K219" i="25" s="1"/>
  <c r="BU134" i="37"/>
  <c r="R60" i="37"/>
  <c r="T47" i="37"/>
  <c r="S50" i="37"/>
  <c r="CT26" i="37"/>
  <c r="BQ5" i="23"/>
  <c r="BR4" i="23"/>
  <c r="BR118" i="23" s="1"/>
  <c r="O218" i="25"/>
  <c r="O219" i="25" s="1"/>
  <c r="AT8" i="12"/>
  <c r="AS40" i="12"/>
  <c r="AS43" i="12" s="1"/>
  <c r="BO18" i="15"/>
  <c r="BO54" i="13"/>
  <c r="BO11" i="11"/>
  <c r="BN38" i="13"/>
  <c r="BN37" i="13"/>
  <c r="BN39" i="13"/>
  <c r="BM44" i="16" s="1"/>
  <c r="BM12" i="16" s="1"/>
  <c r="CC10" i="18" s="1"/>
  <c r="BN44" i="13"/>
  <c r="BN46" i="13"/>
  <c r="BN45" i="13" s="1"/>
  <c r="BM47" i="16" s="1"/>
  <c r="BM15" i="16" s="1"/>
  <c r="CC13" i="18" s="1"/>
  <c r="BS42" i="13"/>
  <c r="BM41" i="13"/>
  <c r="CB12" i="18" s="1"/>
  <c r="BS4" i="15"/>
  <c r="BR3" i="15"/>
  <c r="BT34" i="13"/>
  <c r="BT33" i="13" s="1"/>
  <c r="BT47" i="13" s="1"/>
  <c r="AQ113" i="19"/>
  <c r="AP23" i="19"/>
  <c r="J70" i="33"/>
  <c r="H70" i="33"/>
  <c r="I70" i="33" s="1"/>
  <c r="BP31" i="12"/>
  <c r="BP30" i="12"/>
  <c r="BQ28" i="12" s="1"/>
  <c r="BT81" i="23"/>
  <c r="DY72" i="12"/>
  <c r="BR78" i="12"/>
  <c r="BR94" i="12"/>
  <c r="BR82" i="12"/>
  <c r="BR90" i="12"/>
  <c r="J216" i="25"/>
  <c r="J218" i="25" s="1"/>
  <c r="J219" i="25" s="1"/>
  <c r="CC92" i="12"/>
  <c r="L218" i="25"/>
  <c r="L219" i="25" s="1"/>
  <c r="BT93" i="16"/>
  <c r="K86" i="33"/>
  <c r="L86" i="33" s="1"/>
  <c r="N219" i="25"/>
  <c r="BS33" i="12"/>
  <c r="BS35" i="12" s="1"/>
  <c r="BR36" i="12"/>
  <c r="BS25" i="12"/>
  <c r="BT23" i="12" s="1"/>
  <c r="BT4" i="12"/>
  <c r="BS3" i="12"/>
  <c r="BR12" i="23"/>
  <c r="AU136" i="25"/>
  <c r="AT137" i="25"/>
  <c r="R175" i="19"/>
  <c r="R176" i="19" s="1"/>
  <c r="BV80" i="12"/>
  <c r="BU96" i="12"/>
  <c r="BV168" i="19"/>
  <c r="BW165" i="19" s="1"/>
  <c r="BV169" i="19"/>
  <c r="AG53" i="12"/>
  <c r="AG54" i="12" s="1"/>
  <c r="AF33" i="16" s="1"/>
  <c r="AF56" i="12"/>
  <c r="BR16" i="12"/>
  <c r="BS13" i="12"/>
  <c r="D92" i="33"/>
  <c r="F91" i="33"/>
  <c r="G91" i="33"/>
  <c r="CI56" i="18"/>
  <c r="CI57" i="18" s="1"/>
  <c r="CJ5" i="18"/>
  <c r="CI35" i="18"/>
  <c r="CI3" i="18"/>
  <c r="BO50" i="16"/>
  <c r="BM43" i="16"/>
  <c r="BM11" i="16" s="1"/>
  <c r="CC9" i="18" s="1"/>
  <c r="AX203" i="25"/>
  <c r="AW204" i="25"/>
  <c r="K44" i="25"/>
  <c r="K46" i="25" s="1"/>
  <c r="J44" i="25"/>
  <c r="J46" i="25" s="1"/>
  <c r="O44" i="25"/>
  <c r="O46" i="25" s="1"/>
  <c r="N44" i="25"/>
  <c r="N46" i="25" s="1"/>
  <c r="M44" i="25"/>
  <c r="M46" i="25" s="1"/>
  <c r="L44" i="25"/>
  <c r="L46" i="25" s="1"/>
  <c r="M218" i="25"/>
  <c r="M219" i="25" s="1"/>
  <c r="BT10" i="23"/>
  <c r="BS3" i="23"/>
  <c r="DZ76" i="12"/>
  <c r="BS87" i="16"/>
  <c r="BR6" i="23"/>
  <c r="BV5" i="16"/>
  <c r="BS53" i="13"/>
  <c r="BS44" i="12"/>
  <c r="DY84" i="12"/>
  <c r="BU8" i="16"/>
  <c r="BT33" i="16"/>
  <c r="BT3" i="16"/>
  <c r="BT4" i="16"/>
  <c r="AU42" i="25"/>
  <c r="AV41" i="25"/>
  <c r="BS10" i="11"/>
  <c r="BS3" i="11"/>
  <c r="BT8" i="11"/>
  <c r="BT70" i="12"/>
  <c r="BV88" i="12"/>
  <c r="CT27" i="37" l="1"/>
  <c r="BV202" i="37"/>
  <c r="AV21" i="12"/>
  <c r="AV52" i="12" s="1"/>
  <c r="AV20" i="12"/>
  <c r="AV49" i="12"/>
  <c r="BV134" i="37"/>
  <c r="S59" i="37"/>
  <c r="S52" i="37"/>
  <c r="S58" i="37" s="1"/>
  <c r="T48" i="37"/>
  <c r="CU26" i="37"/>
  <c r="CU27" i="37" s="1"/>
  <c r="BR5" i="23"/>
  <c r="BH41" i="18"/>
  <c r="AT10" i="12"/>
  <c r="AT40" i="12" s="1"/>
  <c r="AT38" i="12"/>
  <c r="AU8" i="12"/>
  <c r="BT17" i="15"/>
  <c r="BP18" i="15"/>
  <c r="BP11" i="11"/>
  <c r="BP54" i="13"/>
  <c r="BO39" i="13"/>
  <c r="BN44" i="16" s="1"/>
  <c r="BN12" i="16" s="1"/>
  <c r="CD10" i="18" s="1"/>
  <c r="BO38" i="13"/>
  <c r="BO37" i="13"/>
  <c r="BO44" i="13"/>
  <c r="BO46" i="13"/>
  <c r="BO45" i="13" s="1"/>
  <c r="BN47" i="16" s="1"/>
  <c r="BN15" i="16" s="1"/>
  <c r="CD13" i="18" s="1"/>
  <c r="BT42" i="13"/>
  <c r="BN41" i="13"/>
  <c r="CC12" i="18" s="1"/>
  <c r="BT4" i="15"/>
  <c r="BS3" i="15"/>
  <c r="BU34" i="13"/>
  <c r="BU33" i="13" s="1"/>
  <c r="BU47" i="13" s="1"/>
  <c r="S173" i="19"/>
  <c r="R34" i="19"/>
  <c r="BQ31" i="12"/>
  <c r="BQ30" i="12"/>
  <c r="BR28" i="12" s="1"/>
  <c r="M55" i="25"/>
  <c r="M48" i="25"/>
  <c r="M54" i="25" s="1"/>
  <c r="DZ72" i="12"/>
  <c r="DZ84" i="12"/>
  <c r="BP50" i="16"/>
  <c r="L55" i="25"/>
  <c r="L48" i="25"/>
  <c r="L54" i="25" s="1"/>
  <c r="K87" i="33"/>
  <c r="L87" i="33" s="1"/>
  <c r="BS16" i="12"/>
  <c r="BW168" i="19"/>
  <c r="BX165" i="19" s="1"/>
  <c r="BW169" i="19"/>
  <c r="BU4" i="12"/>
  <c r="BT3" i="12"/>
  <c r="BT25" i="12"/>
  <c r="BU23" i="12" s="1"/>
  <c r="BU93" i="16"/>
  <c r="EA76" i="12"/>
  <c r="BN43" i="16"/>
  <c r="BN11" i="16" s="1"/>
  <c r="CD9" i="18" s="1"/>
  <c r="AU137" i="25"/>
  <c r="AV136" i="25"/>
  <c r="AQ115" i="19"/>
  <c r="AQ116" i="19" s="1"/>
  <c r="AY203" i="25"/>
  <c r="AX204" i="25"/>
  <c r="F92" i="33"/>
  <c r="G92" i="33"/>
  <c r="D93" i="33"/>
  <c r="BW80" i="12"/>
  <c r="BV96" i="12"/>
  <c r="BU81" i="23"/>
  <c r="BS12" i="23"/>
  <c r="BS36" i="12"/>
  <c r="BT33" i="12"/>
  <c r="BT35" i="12" s="1"/>
  <c r="K55" i="25"/>
  <c r="K48" i="25"/>
  <c r="K54" i="25" s="1"/>
  <c r="BU10" i="23"/>
  <c r="BT3" i="23"/>
  <c r="CK5" i="18"/>
  <c r="CJ35" i="18"/>
  <c r="CJ3" i="18"/>
  <c r="BT62" i="16" s="1"/>
  <c r="BT25" i="16" s="1"/>
  <c r="AG55" i="12"/>
  <c r="BW88" i="12"/>
  <c r="J55" i="25"/>
  <c r="J48" i="25"/>
  <c r="BU33" i="16"/>
  <c r="BU4" i="16"/>
  <c r="BU3" i="16"/>
  <c r="BV8" i="16"/>
  <c r="BS89" i="16"/>
  <c r="BS90" i="16" s="1"/>
  <c r="BS35" i="16" s="1"/>
  <c r="BS101" i="16" s="1"/>
  <c r="BT87" i="16"/>
  <c r="BS88" i="16"/>
  <c r="BS6" i="23"/>
  <c r="BS5" i="23" s="1"/>
  <c r="BT53" i="13"/>
  <c r="BT44" i="12"/>
  <c r="BW5" i="16"/>
  <c r="BS78" i="12"/>
  <c r="BS94" i="12"/>
  <c r="BS90" i="12"/>
  <c r="BS82" i="12"/>
  <c r="BS15" i="12"/>
  <c r="BT13" i="12" s="1"/>
  <c r="CD92" i="12"/>
  <c r="H71" i="33"/>
  <c r="I71" i="33" s="1"/>
  <c r="J71" i="33" s="1"/>
  <c r="BT10" i="11"/>
  <c r="BU17" i="15" s="1"/>
  <c r="BT3" i="11"/>
  <c r="BU8" i="11"/>
  <c r="BU70" i="12"/>
  <c r="AV42" i="25"/>
  <c r="AW41" i="25"/>
  <c r="N55" i="25"/>
  <c r="N48" i="25"/>
  <c r="N54" i="25" s="1"/>
  <c r="O55" i="25"/>
  <c r="O48" i="25"/>
  <c r="O54" i="25" s="1"/>
  <c r="AR34" i="23" l="1"/>
  <c r="P615" i="20"/>
  <c r="G625" i="20" s="1"/>
  <c r="AT43" i="12"/>
  <c r="S60" i="37"/>
  <c r="BW202" i="37"/>
  <c r="AW18" i="12"/>
  <c r="AV50" i="12"/>
  <c r="AV51" i="12" s="1"/>
  <c r="BW134" i="37"/>
  <c r="U47" i="37"/>
  <c r="U48" i="37" s="1"/>
  <c r="T50" i="37"/>
  <c r="CV26" i="37"/>
  <c r="N56" i="25"/>
  <c r="L56" i="25"/>
  <c r="L57" i="25" s="1"/>
  <c r="M56" i="25"/>
  <c r="AU38" i="12"/>
  <c r="AU10" i="12"/>
  <c r="BI41" i="18"/>
  <c r="BQ54" i="13"/>
  <c r="BQ18" i="15"/>
  <c r="BQ11" i="11"/>
  <c r="BP38" i="13"/>
  <c r="BO43" i="16" s="1"/>
  <c r="BO11" i="16" s="1"/>
  <c r="CE9" i="18" s="1"/>
  <c r="BP39" i="13"/>
  <c r="BO44" i="16" s="1"/>
  <c r="BO12" i="16" s="1"/>
  <c r="CE10" i="18" s="1"/>
  <c r="BP37" i="13"/>
  <c r="BP44" i="13"/>
  <c r="BP46" i="13"/>
  <c r="BP45" i="13" s="1"/>
  <c r="BO47" i="16" s="1"/>
  <c r="BO15" i="16" s="1"/>
  <c r="CE13" i="18" s="1"/>
  <c r="BU42" i="13"/>
  <c r="BO41" i="13"/>
  <c r="CD12" i="18" s="1"/>
  <c r="BU4" i="15"/>
  <c r="BT3" i="15"/>
  <c r="BV34" i="13"/>
  <c r="BV33" i="13" s="1"/>
  <c r="BV47" i="13" s="1"/>
  <c r="BR31" i="12"/>
  <c r="BR30" i="12"/>
  <c r="BS28" i="12" s="1"/>
  <c r="BT16" i="12"/>
  <c r="BT15" i="12"/>
  <c r="BU13" i="12" s="1"/>
  <c r="BU15" i="12" s="1"/>
  <c r="H72" i="33"/>
  <c r="I72" i="33" s="1"/>
  <c r="J72" i="33" s="1"/>
  <c r="BV10" i="23"/>
  <c r="BU3" i="23"/>
  <c r="BV81" i="23"/>
  <c r="K88" i="33"/>
  <c r="L88" i="33" s="1"/>
  <c r="CE92" i="12"/>
  <c r="N57" i="25"/>
  <c r="BT78" i="12"/>
  <c r="BT94" i="12"/>
  <c r="BT90" i="12"/>
  <c r="BT82" i="12"/>
  <c r="BV33" i="16"/>
  <c r="BV4" i="16"/>
  <c r="BV3" i="16"/>
  <c r="BW8" i="16"/>
  <c r="BX88" i="12"/>
  <c r="AW136" i="25"/>
  <c r="AV137" i="25"/>
  <c r="BV4" i="12"/>
  <c r="BU3" i="12"/>
  <c r="BU25" i="12"/>
  <c r="BV23" i="12" s="1"/>
  <c r="EA84" i="12"/>
  <c r="BU10" i="11"/>
  <c r="BV17" i="15" s="1"/>
  <c r="BU3" i="11"/>
  <c r="BV8" i="11"/>
  <c r="BT6" i="23"/>
  <c r="BT5" i="23" s="1"/>
  <c r="BX5" i="16"/>
  <c r="BU53" i="13"/>
  <c r="BU44" i="12"/>
  <c r="BV93" i="16"/>
  <c r="AX41" i="25"/>
  <c r="AW42" i="25"/>
  <c r="BQ50" i="16"/>
  <c r="BT12" i="23"/>
  <c r="AZ203" i="25"/>
  <c r="AY204" i="25"/>
  <c r="K56" i="25"/>
  <c r="K57" i="25" s="1"/>
  <c r="EA72" i="12"/>
  <c r="S175" i="19"/>
  <c r="S176" i="19" s="1"/>
  <c r="CL5" i="18"/>
  <c r="CK35" i="18"/>
  <c r="CK3" i="18"/>
  <c r="BU62" i="16" s="1"/>
  <c r="BU25" i="16" s="1"/>
  <c r="BT36" i="12"/>
  <c r="BU33" i="12"/>
  <c r="BX80" i="12"/>
  <c r="BW96" i="12"/>
  <c r="M57" i="25"/>
  <c r="O56" i="25"/>
  <c r="O57" i="25" s="1"/>
  <c r="AH53" i="12"/>
  <c r="AH54" i="12" s="1"/>
  <c r="AG33" i="16" s="1"/>
  <c r="AG56" i="12"/>
  <c r="AR113" i="19"/>
  <c r="AQ23" i="19"/>
  <c r="EB76" i="12"/>
  <c r="BV70" i="12"/>
  <c r="BT89" i="16"/>
  <c r="BT90" i="16" s="1"/>
  <c r="BT35" i="16" s="1"/>
  <c r="BT101" i="16" s="1"/>
  <c r="BU87" i="16"/>
  <c r="BT88" i="16"/>
  <c r="J54" i="25"/>
  <c r="J56" i="25" s="1"/>
  <c r="J57" i="25" s="1"/>
  <c r="D94" i="33"/>
  <c r="F93" i="33"/>
  <c r="G93" i="33"/>
  <c r="BX169" i="19"/>
  <c r="BX168" i="19"/>
  <c r="BY165" i="19" s="1"/>
  <c r="AS34" i="23" l="1"/>
  <c r="Q615" i="20"/>
  <c r="H625" i="20" s="1"/>
  <c r="CV27" i="37"/>
  <c r="AF24" i="25"/>
  <c r="BX202" i="37"/>
  <c r="AW20" i="12"/>
  <c r="AW50" i="12" s="1"/>
  <c r="AW21" i="12"/>
  <c r="AW52" i="12" s="1"/>
  <c r="AW49" i="12"/>
  <c r="AX18" i="12"/>
  <c r="BX134" i="37"/>
  <c r="T52" i="37"/>
  <c r="T58" i="37" s="1"/>
  <c r="T59" i="37"/>
  <c r="V47" i="37"/>
  <c r="V48" i="37" s="1"/>
  <c r="U50" i="37"/>
  <c r="CW26" i="37"/>
  <c r="CW27" i="37" s="1"/>
  <c r="AV8" i="12"/>
  <c r="AU40" i="12"/>
  <c r="AU43" i="12" s="1"/>
  <c r="BR11" i="11"/>
  <c r="BR54" i="13"/>
  <c r="BR18" i="15"/>
  <c r="BQ39" i="13"/>
  <c r="BP44" i="16" s="1"/>
  <c r="BP12" i="16" s="1"/>
  <c r="CF10" i="18" s="1"/>
  <c r="BQ37" i="13"/>
  <c r="BQ38" i="13"/>
  <c r="BP43" i="16" s="1"/>
  <c r="BP11" i="16" s="1"/>
  <c r="CF9" i="18" s="1"/>
  <c r="BQ44" i="13"/>
  <c r="BQ46" i="13"/>
  <c r="BQ45" i="13" s="1"/>
  <c r="BP47" i="16" s="1"/>
  <c r="BP15" i="16" s="1"/>
  <c r="CF13" i="18" s="1"/>
  <c r="BV42" i="13"/>
  <c r="BP41" i="13"/>
  <c r="CE12" i="18" s="1"/>
  <c r="BV4" i="15"/>
  <c r="BU3" i="15"/>
  <c r="AH55" i="12"/>
  <c r="AI53" i="12" s="1"/>
  <c r="AI54" i="12" s="1"/>
  <c r="AH33" i="16" s="1"/>
  <c r="BW34" i="13"/>
  <c r="BW33" i="13" s="1"/>
  <c r="BW47" i="13" s="1"/>
  <c r="H73" i="33"/>
  <c r="I73" i="33" s="1"/>
  <c r="J73" i="33" s="1"/>
  <c r="BS31" i="12"/>
  <c r="BS30" i="12"/>
  <c r="BT28" i="12" s="1"/>
  <c r="T173" i="19"/>
  <c r="S34" i="19"/>
  <c r="AX136" i="25"/>
  <c r="AW137" i="25"/>
  <c r="BR50" i="16"/>
  <c r="BW81" i="23"/>
  <c r="BW10" i="23"/>
  <c r="BV3" i="23"/>
  <c r="BA203" i="25"/>
  <c r="AZ204" i="25"/>
  <c r="BU89" i="16"/>
  <c r="BU90" i="16" s="1"/>
  <c r="BU35" i="16" s="1"/>
  <c r="BU101" i="16" s="1"/>
  <c r="BV87" i="16"/>
  <c r="BU88" i="16"/>
  <c r="BU12" i="23"/>
  <c r="CM5" i="18"/>
  <c r="CL35" i="18"/>
  <c r="CL3" i="18"/>
  <c r="BV62" i="16" s="1"/>
  <c r="BV25" i="16" s="1"/>
  <c r="EB72" i="12"/>
  <c r="BU78" i="12"/>
  <c r="BU94" i="12"/>
  <c r="BU90" i="12"/>
  <c r="BU82" i="12"/>
  <c r="AX42" i="25"/>
  <c r="AY41" i="25"/>
  <c r="G94" i="33"/>
  <c r="F94" i="33"/>
  <c r="D95" i="33"/>
  <c r="CF92" i="12"/>
  <c r="L89" i="33"/>
  <c r="K89" i="33"/>
  <c r="EC76" i="12"/>
  <c r="BW93" i="16"/>
  <c r="BY80" i="12"/>
  <c r="BX96" i="12"/>
  <c r="BV10" i="11"/>
  <c r="BW17" i="15" s="1"/>
  <c r="BV3" i="11"/>
  <c r="BW8" i="11"/>
  <c r="EB84" i="12"/>
  <c r="BW4" i="12"/>
  <c r="BV3" i="12"/>
  <c r="BV25" i="12"/>
  <c r="BW23" i="12" s="1"/>
  <c r="BY169" i="19"/>
  <c r="BY168" i="19"/>
  <c r="BZ165" i="19" s="1"/>
  <c r="BW70" i="12"/>
  <c r="AR115" i="19"/>
  <c r="AR116" i="19" s="1"/>
  <c r="BU36" i="12"/>
  <c r="BU35" i="12"/>
  <c r="BV33" i="12" s="1"/>
  <c r="BY88" i="12"/>
  <c r="BU6" i="23"/>
  <c r="BY5" i="16"/>
  <c r="BV53" i="13"/>
  <c r="BV44" i="12"/>
  <c r="BW33" i="16"/>
  <c r="BW4" i="16"/>
  <c r="BW3" i="16"/>
  <c r="BX8" i="16"/>
  <c r="BU16" i="12"/>
  <c r="BV13" i="12"/>
  <c r="BV15" i="12" s="1"/>
  <c r="AF25" i="25" l="1"/>
  <c r="BY202" i="37"/>
  <c r="AX20" i="12"/>
  <c r="AX49" i="12"/>
  <c r="AX21" i="12"/>
  <c r="AX52" i="12" s="1"/>
  <c r="AW51" i="12"/>
  <c r="BY134" i="37"/>
  <c r="U59" i="37"/>
  <c r="U52" i="37"/>
  <c r="U58" i="37" s="1"/>
  <c r="V50" i="37"/>
  <c r="W47" i="37"/>
  <c r="W48" i="37" s="1"/>
  <c r="T60" i="37"/>
  <c r="CX26" i="37"/>
  <c r="BU5" i="23"/>
  <c r="BV4" i="23"/>
  <c r="BV118" i="23" s="1"/>
  <c r="BJ41" i="18"/>
  <c r="AV10" i="12"/>
  <c r="AV38" i="12"/>
  <c r="BS18" i="15"/>
  <c r="BS54" i="13"/>
  <c r="BS11" i="11"/>
  <c r="AH56" i="12"/>
  <c r="BR39" i="13"/>
  <c r="BQ44" i="16" s="1"/>
  <c r="BQ12" i="16" s="1"/>
  <c r="CG10" i="18" s="1"/>
  <c r="BR37" i="13"/>
  <c r="BR38" i="13"/>
  <c r="BQ43" i="16" s="1"/>
  <c r="BQ11" i="16" s="1"/>
  <c r="CG9" i="18" s="1"/>
  <c r="BR44" i="13"/>
  <c r="BR46" i="13"/>
  <c r="BR45" i="13" s="1"/>
  <c r="BQ47" i="16" s="1"/>
  <c r="BQ15" i="16" s="1"/>
  <c r="CG13" i="18" s="1"/>
  <c r="BW42" i="13"/>
  <c r="BQ41" i="13"/>
  <c r="CF12" i="18" s="1"/>
  <c r="BW4" i="15"/>
  <c r="BV3" i="15"/>
  <c r="BX34" i="13"/>
  <c r="BX33" i="13" s="1"/>
  <c r="BX47" i="13" s="1"/>
  <c r="BV36" i="12"/>
  <c r="BV35" i="12"/>
  <c r="BW33" i="12" s="1"/>
  <c r="BZ88" i="12"/>
  <c r="BZ169" i="19"/>
  <c r="BZ168" i="19"/>
  <c r="CA165" i="19" s="1"/>
  <c r="BT31" i="12"/>
  <c r="BT30" i="12"/>
  <c r="BU28" i="12" s="1"/>
  <c r="BX70" i="12"/>
  <c r="BS50" i="16"/>
  <c r="D96" i="33"/>
  <c r="F95" i="33"/>
  <c r="G95" i="33"/>
  <c r="CG92" i="12"/>
  <c r="BV12" i="23"/>
  <c r="BX81" i="23"/>
  <c r="AX137" i="25"/>
  <c r="AY136" i="25"/>
  <c r="BW3" i="11"/>
  <c r="BX8" i="11"/>
  <c r="BW10" i="11"/>
  <c r="BZ80" i="12"/>
  <c r="BY96" i="12"/>
  <c r="BX93" i="16"/>
  <c r="ED76" i="12"/>
  <c r="K90" i="33"/>
  <c r="L90" i="33" s="1"/>
  <c r="CM56" i="18"/>
  <c r="CM57" i="18" s="1"/>
  <c r="CM35" i="18"/>
  <c r="CM3" i="18"/>
  <c r="CN5" i="18"/>
  <c r="BW87" i="16"/>
  <c r="EC72" i="12"/>
  <c r="BB203" i="25"/>
  <c r="BA204" i="25"/>
  <c r="BX4" i="12"/>
  <c r="BW3" i="12"/>
  <c r="BW25" i="12"/>
  <c r="BX23" i="12" s="1"/>
  <c r="EC84" i="12"/>
  <c r="BV16" i="12"/>
  <c r="BW13" i="12"/>
  <c r="AS113" i="19"/>
  <c r="AR23" i="19"/>
  <c r="AY42" i="25"/>
  <c r="AZ41" i="25"/>
  <c r="BV6" i="23"/>
  <c r="BZ5" i="16"/>
  <c r="BW53" i="13"/>
  <c r="BW44" i="12"/>
  <c r="AI55" i="12"/>
  <c r="BX33" i="16"/>
  <c r="BX4" i="16"/>
  <c r="BX3" i="16"/>
  <c r="BY8" i="16"/>
  <c r="BV78" i="12"/>
  <c r="BV94" i="12"/>
  <c r="BV82" i="12"/>
  <c r="BV90" i="12"/>
  <c r="BX10" i="23"/>
  <c r="BW3" i="23"/>
  <c r="T175" i="19"/>
  <c r="T176" i="19" s="1"/>
  <c r="H74" i="33"/>
  <c r="I74" i="33" s="1"/>
  <c r="J74" i="33" s="1"/>
  <c r="AT34" i="23" l="1"/>
  <c r="AA655" i="20" s="1"/>
  <c r="R615" i="20"/>
  <c r="I625" i="20" s="1"/>
  <c r="CX27" i="37"/>
  <c r="BZ202" i="37"/>
  <c r="AX50" i="12"/>
  <c r="AX51" i="12" s="1"/>
  <c r="AX56" i="12" s="1"/>
  <c r="AY18" i="12"/>
  <c r="U60" i="37"/>
  <c r="BZ134" i="37"/>
  <c r="W50" i="37"/>
  <c r="X47" i="37"/>
  <c r="X48" i="37" s="1"/>
  <c r="V52" i="37"/>
  <c r="V58" i="37" s="1"/>
  <c r="V59" i="37"/>
  <c r="CY26" i="37"/>
  <c r="CY27" i="37" s="1"/>
  <c r="BV5" i="23"/>
  <c r="AW8" i="12"/>
  <c r="AV40" i="12"/>
  <c r="AV43" i="12" s="1"/>
  <c r="BT11" i="11"/>
  <c r="BT54" i="13"/>
  <c r="BT46" i="13" s="1"/>
  <c r="BT45" i="13" s="1"/>
  <c r="BS47" i="16" s="1"/>
  <c r="BS15" i="16" s="1"/>
  <c r="CI13" i="18" s="1"/>
  <c r="BT18" i="15"/>
  <c r="BX17" i="15"/>
  <c r="BS38" i="13"/>
  <c r="BS39" i="13"/>
  <c r="BS37" i="13"/>
  <c r="BT39" i="13"/>
  <c r="BT38" i="13"/>
  <c r="BS43" i="16" s="1"/>
  <c r="BS11" i="16" s="1"/>
  <c r="CI9" i="18" s="1"/>
  <c r="BT44" i="13"/>
  <c r="BS44" i="13"/>
  <c r="BS46" i="13"/>
  <c r="BS45" i="13" s="1"/>
  <c r="BR47" i="16" s="1"/>
  <c r="BR15" i="16" s="1"/>
  <c r="CH13" i="18" s="1"/>
  <c r="BX42" i="13"/>
  <c r="BR41" i="13"/>
  <c r="CG12" i="18" s="1"/>
  <c r="BX4" i="15"/>
  <c r="BW3" i="15"/>
  <c r="BY34" i="13"/>
  <c r="BY33" i="13" s="1"/>
  <c r="BY47" i="13" s="1"/>
  <c r="H75" i="33"/>
  <c r="I75" i="33" s="1"/>
  <c r="J75" i="33" s="1"/>
  <c r="U173" i="19"/>
  <c r="T34" i="19"/>
  <c r="BW36" i="12"/>
  <c r="BW35" i="12"/>
  <c r="BX33" i="12" s="1"/>
  <c r="BU31" i="12"/>
  <c r="BU30" i="12"/>
  <c r="BV28" i="12" s="1"/>
  <c r="BT50" i="16"/>
  <c r="AI56" i="12"/>
  <c r="AJ53" i="12"/>
  <c r="AJ54" i="12" s="1"/>
  <c r="AI33" i="16" s="1"/>
  <c r="BY4" i="12"/>
  <c r="BX3" i="12"/>
  <c r="BX25" i="12"/>
  <c r="BY23" i="12" s="1"/>
  <c r="AS115" i="19"/>
  <c r="ED84" i="12"/>
  <c r="CA80" i="12"/>
  <c r="BZ96" i="12"/>
  <c r="G96" i="33"/>
  <c r="F96" i="33"/>
  <c r="D97" i="33"/>
  <c r="BY70" i="12"/>
  <c r="BW16" i="12"/>
  <c r="BW15" i="12"/>
  <c r="BX13" i="12" s="1"/>
  <c r="BW12" i="23"/>
  <c r="BY81" i="23"/>
  <c r="CA169" i="19"/>
  <c r="CA168" i="19"/>
  <c r="CB165" i="19" s="1"/>
  <c r="BX3" i="23"/>
  <c r="BY10" i="23"/>
  <c r="BW6" i="23"/>
  <c r="BW5" i="23" s="1"/>
  <c r="CA5" i="16"/>
  <c r="BX53" i="13"/>
  <c r="BX44" i="12"/>
  <c r="BY33" i="16"/>
  <c r="BY4" i="16"/>
  <c r="BY3" i="16"/>
  <c r="BZ8" i="16"/>
  <c r="BW78" i="12"/>
  <c r="BW94" i="12"/>
  <c r="BW90" i="12"/>
  <c r="BW82" i="12"/>
  <c r="EE76" i="12"/>
  <c r="BY8" i="11"/>
  <c r="BX10" i="11"/>
  <c r="BY17" i="15" s="1"/>
  <c r="BX3" i="11"/>
  <c r="CH92" i="12"/>
  <c r="BS44" i="16"/>
  <c r="BS12" i="16" s="1"/>
  <c r="CI10" i="18" s="1"/>
  <c r="BC203" i="25"/>
  <c r="BB204" i="25"/>
  <c r="AZ42" i="25"/>
  <c r="BA41" i="25"/>
  <c r="ED72" i="12"/>
  <c r="BW88" i="16"/>
  <c r="BW89" i="16"/>
  <c r="BW90" i="16" s="1"/>
  <c r="BW35" i="16" s="1"/>
  <c r="BW101" i="16" s="1"/>
  <c r="BX87" i="16"/>
  <c r="BR44" i="16"/>
  <c r="BR12" i="16" s="1"/>
  <c r="CH10" i="18" s="1"/>
  <c r="BR43" i="16"/>
  <c r="BR11" i="16" s="1"/>
  <c r="CH9" i="18" s="1"/>
  <c r="CA88" i="12"/>
  <c r="CN35" i="18"/>
  <c r="CO5" i="18"/>
  <c r="CN3" i="18"/>
  <c r="BX62" i="16" s="1"/>
  <c r="BX25" i="16" s="1"/>
  <c r="BY93" i="16"/>
  <c r="AZ136" i="25"/>
  <c r="AY137" i="25"/>
  <c r="K91" i="33"/>
  <c r="L91" i="33"/>
  <c r="CA202" i="37" l="1"/>
  <c r="AY49" i="12"/>
  <c r="AY21" i="12"/>
  <c r="AY52" i="12" s="1"/>
  <c r="AY54" i="12" s="1"/>
  <c r="AX33" i="16" s="1"/>
  <c r="AY20" i="12"/>
  <c r="CA134" i="37"/>
  <c r="V60" i="37"/>
  <c r="V13" i="37" s="1"/>
  <c r="X50" i="37"/>
  <c r="Y47" i="37"/>
  <c r="Y48" i="37" s="1"/>
  <c r="W59" i="37"/>
  <c r="W52" i="37"/>
  <c r="W58" i="37" s="1"/>
  <c r="CZ26" i="37"/>
  <c r="BK41" i="18"/>
  <c r="AW10" i="12"/>
  <c r="AW38" i="12"/>
  <c r="BT37" i="13"/>
  <c r="BU54" i="13"/>
  <c r="BU39" i="13" s="1"/>
  <c r="BT44" i="16" s="1"/>
  <c r="BT12" i="16" s="1"/>
  <c r="CJ10" i="18" s="1"/>
  <c r="BU18" i="15"/>
  <c r="BU11" i="11"/>
  <c r="BY42" i="13"/>
  <c r="BS41" i="13"/>
  <c r="CH12" i="18" s="1"/>
  <c r="BT41" i="13"/>
  <c r="CI12" i="18" s="1"/>
  <c r="BY4" i="15"/>
  <c r="BX3" i="15"/>
  <c r="BZ34" i="13"/>
  <c r="BZ33" i="13" s="1"/>
  <c r="BZ47" i="13" s="1"/>
  <c r="BX16" i="12"/>
  <c r="BX15" i="12"/>
  <c r="BY13" i="12" s="1"/>
  <c r="BV31" i="12"/>
  <c r="BV30" i="12"/>
  <c r="BW28" i="12" s="1"/>
  <c r="BX36" i="12"/>
  <c r="BX35" i="12"/>
  <c r="BY33" i="12" s="1"/>
  <c r="BY35" i="12" s="1"/>
  <c r="H76" i="33"/>
  <c r="I76" i="33" s="1"/>
  <c r="J76" i="33" s="1"/>
  <c r="BX78" i="12"/>
  <c r="BX94" i="12"/>
  <c r="BX90" i="12"/>
  <c r="BX82" i="12"/>
  <c r="CB168" i="19"/>
  <c r="CC165" i="19" s="1"/>
  <c r="CB169" i="19"/>
  <c r="CP5" i="18"/>
  <c r="CO35" i="18"/>
  <c r="CO3" i="18"/>
  <c r="BY62" i="16" s="1"/>
  <c r="BY25" i="16" s="1"/>
  <c r="EE72" i="12"/>
  <c r="CI92" i="12"/>
  <c r="AS116" i="19"/>
  <c r="CB80" i="12"/>
  <c r="CA96" i="12"/>
  <c r="BA136" i="25"/>
  <c r="AZ137" i="25"/>
  <c r="BZ93" i="16"/>
  <c r="BX12" i="23"/>
  <c r="CB88" i="12"/>
  <c r="BX6" i="23"/>
  <c r="BX5" i="23" s="1"/>
  <c r="CB5" i="16"/>
  <c r="BY53" i="13"/>
  <c r="BY44" i="12"/>
  <c r="BZ70" i="12"/>
  <c r="BZ8" i="11"/>
  <c r="BY3" i="11"/>
  <c r="BY10" i="11"/>
  <c r="BZ17" i="15" s="1"/>
  <c r="BZ4" i="16"/>
  <c r="BZ3" i="16"/>
  <c r="CA8" i="16"/>
  <c r="BZ33" i="16"/>
  <c r="BY3" i="23"/>
  <c r="BZ10" i="23"/>
  <c r="F97" i="33"/>
  <c r="G97" i="33"/>
  <c r="D98" i="33"/>
  <c r="U175" i="19"/>
  <c r="U176" i="19" s="1"/>
  <c r="BA42" i="25"/>
  <c r="BB41" i="25"/>
  <c r="BY25" i="12"/>
  <c r="BZ23" i="12" s="1"/>
  <c r="BZ4" i="12"/>
  <c r="BY3" i="12"/>
  <c r="BD203" i="25"/>
  <c r="BC204" i="25"/>
  <c r="BX88" i="16"/>
  <c r="BX89" i="16"/>
  <c r="BX90" i="16" s="1"/>
  <c r="BX35" i="16" s="1"/>
  <c r="BX101" i="16" s="1"/>
  <c r="BY87" i="16"/>
  <c r="EF76" i="12"/>
  <c r="BU50" i="16"/>
  <c r="BZ81" i="23"/>
  <c r="K92" i="33"/>
  <c r="L92" i="33" s="1"/>
  <c r="EE84" i="12"/>
  <c r="AJ55" i="12"/>
  <c r="AU34" i="23" l="1"/>
  <c r="S615" i="20"/>
  <c r="J625" i="20" s="1"/>
  <c r="CZ27" i="37"/>
  <c r="AG24" i="25"/>
  <c r="CB202" i="37"/>
  <c r="W60" i="37"/>
  <c r="W13" i="37" s="1"/>
  <c r="W268" i="37" s="1"/>
  <c r="BU44" i="13"/>
  <c r="BU38" i="13"/>
  <c r="BT43" i="16" s="1"/>
  <c r="BT11" i="16" s="1"/>
  <c r="CJ9" i="18" s="1"/>
  <c r="AY50" i="12"/>
  <c r="AY51" i="12" s="1"/>
  <c r="AY56" i="12" s="1"/>
  <c r="AZ18" i="12"/>
  <c r="CB134" i="37"/>
  <c r="Y50" i="37"/>
  <c r="Z47" i="37"/>
  <c r="Z48" i="37" s="1"/>
  <c r="X52" i="37"/>
  <c r="X58" i="37" s="1"/>
  <c r="X59" i="37"/>
  <c r="DA26" i="37"/>
  <c r="DA27" i="37" s="1"/>
  <c r="BU37" i="13"/>
  <c r="AX8" i="12"/>
  <c r="AW40" i="12"/>
  <c r="AW43" i="12" s="1"/>
  <c r="BU46" i="13"/>
  <c r="BU45" i="13" s="1"/>
  <c r="BT47" i="16" s="1"/>
  <c r="BT15" i="16" s="1"/>
  <c r="CJ13" i="18" s="1"/>
  <c r="BV18" i="15"/>
  <c r="BV54" i="13"/>
  <c r="BV39" i="13" s="1"/>
  <c r="BU44" i="16" s="1"/>
  <c r="BU12" i="16" s="1"/>
  <c r="CK10" i="18" s="1"/>
  <c r="BV11" i="11"/>
  <c r="BZ42" i="13"/>
  <c r="BU41" i="13"/>
  <c r="CJ12" i="18" s="1"/>
  <c r="BZ4" i="15"/>
  <c r="BY3" i="15"/>
  <c r="CA34" i="13"/>
  <c r="CA33" i="13" s="1"/>
  <c r="CA47" i="13" s="1"/>
  <c r="BW31" i="12"/>
  <c r="BW30" i="12"/>
  <c r="BX28" i="12" s="1"/>
  <c r="BY16" i="12"/>
  <c r="BY15" i="12"/>
  <c r="BZ13" i="12" s="1"/>
  <c r="BZ15" i="12" s="1"/>
  <c r="BB42" i="25"/>
  <c r="BC41" i="25"/>
  <c r="L93" i="33"/>
  <c r="K93" i="33"/>
  <c r="BY36" i="12"/>
  <c r="BZ33" i="12"/>
  <c r="BZ35" i="12" s="1"/>
  <c r="H77" i="33"/>
  <c r="I77" i="33" s="1"/>
  <c r="J77" i="33" s="1"/>
  <c r="CA70" i="12"/>
  <c r="CA93" i="16"/>
  <c r="BY12" i="23"/>
  <c r="BY6" i="23"/>
  <c r="CC5" i="16"/>
  <c r="BZ53" i="13"/>
  <c r="BZ44" i="12"/>
  <c r="EG76" i="12"/>
  <c r="CA81" i="23"/>
  <c r="BE203" i="25"/>
  <c r="BD204" i="25"/>
  <c r="CA8" i="11"/>
  <c r="BZ10" i="11"/>
  <c r="CA17" i="15" s="1"/>
  <c r="BZ3" i="11"/>
  <c r="CQ5" i="18"/>
  <c r="CP35" i="18"/>
  <c r="CP3" i="18"/>
  <c r="BZ62" i="16" s="1"/>
  <c r="BZ25" i="16" s="1"/>
  <c r="CC80" i="12"/>
  <c r="CB96" i="12"/>
  <c r="AT113" i="19"/>
  <c r="AS23" i="19"/>
  <c r="BY88" i="16"/>
  <c r="BY89" i="16"/>
  <c r="BY90" i="16" s="1"/>
  <c r="BY35" i="16" s="1"/>
  <c r="BY101" i="16" s="1"/>
  <c r="BZ87" i="16"/>
  <c r="BZ25" i="12"/>
  <c r="CA23" i="12" s="1"/>
  <c r="CA4" i="12"/>
  <c r="BZ3" i="12"/>
  <c r="CB8" i="16"/>
  <c r="CA33" i="16"/>
  <c r="CA3" i="16"/>
  <c r="CA4" i="16"/>
  <c r="CC88" i="12"/>
  <c r="EF72" i="12"/>
  <c r="AK53" i="12"/>
  <c r="AK54" i="12" s="1"/>
  <c r="AJ33" i="16" s="1"/>
  <c r="AJ56" i="12"/>
  <c r="V173" i="19"/>
  <c r="U34" i="19"/>
  <c r="CA10" i="23"/>
  <c r="BZ3" i="23"/>
  <c r="BB136" i="25"/>
  <c r="BA137" i="25"/>
  <c r="CJ92" i="12"/>
  <c r="EF84" i="12"/>
  <c r="G98" i="33"/>
  <c r="D99" i="33"/>
  <c r="F98" i="33"/>
  <c r="BV50" i="16"/>
  <c r="BY78" i="12"/>
  <c r="BY94" i="12"/>
  <c r="BY90" i="12"/>
  <c r="BY82" i="12"/>
  <c r="CC168" i="19"/>
  <c r="CD165" i="19" s="1"/>
  <c r="CC169" i="19"/>
  <c r="AG25" i="25" l="1"/>
  <c r="CC202" i="37"/>
  <c r="AZ49" i="12"/>
  <c r="AZ20" i="12"/>
  <c r="AZ21" i="12"/>
  <c r="AZ52" i="12" s="1"/>
  <c r="AZ54" i="12" s="1"/>
  <c r="AY33" i="16" s="1"/>
  <c r="CC134" i="37"/>
  <c r="X60" i="37"/>
  <c r="X13" i="37" s="1"/>
  <c r="X268" i="37" s="1"/>
  <c r="Z50" i="37"/>
  <c r="AA47" i="37"/>
  <c r="AA48" i="37" s="1"/>
  <c r="Y59" i="37"/>
  <c r="Y52" i="37"/>
  <c r="Y58" i="37" s="1"/>
  <c r="DB26" i="37"/>
  <c r="BY5" i="23"/>
  <c r="BZ4" i="23"/>
  <c r="BZ118" i="23" s="1"/>
  <c r="BV37" i="13"/>
  <c r="AK55" i="12"/>
  <c r="AL53" i="12" s="1"/>
  <c r="AL54" i="12" s="1"/>
  <c r="AK33" i="16" s="1"/>
  <c r="BL41" i="18"/>
  <c r="AX10" i="12"/>
  <c r="AX38" i="12"/>
  <c r="BV46" i="13"/>
  <c r="BV45" i="13" s="1"/>
  <c r="BU47" i="16" s="1"/>
  <c r="BU15" i="16" s="1"/>
  <c r="CK13" i="18" s="1"/>
  <c r="BW11" i="11"/>
  <c r="BV44" i="13"/>
  <c r="BV41" i="13" s="1"/>
  <c r="CK12" i="18" s="1"/>
  <c r="BV38" i="13"/>
  <c r="BU43" i="16" s="1"/>
  <c r="BU11" i="16" s="1"/>
  <c r="CK9" i="18" s="1"/>
  <c r="BW18" i="15"/>
  <c r="BW54" i="13"/>
  <c r="BW46" i="13" s="1"/>
  <c r="BW45" i="13" s="1"/>
  <c r="BV47" i="16" s="1"/>
  <c r="BV15" i="16" s="1"/>
  <c r="CL13" i="18" s="1"/>
  <c r="CA42" i="13"/>
  <c r="CA4" i="15"/>
  <c r="BZ3" i="15"/>
  <c r="CB34" i="13"/>
  <c r="CB33" i="13" s="1"/>
  <c r="CB47" i="13" s="1"/>
  <c r="J78" i="33"/>
  <c r="H78" i="33"/>
  <c r="I78" i="33" s="1"/>
  <c r="BX31" i="12"/>
  <c r="BX30" i="12"/>
  <c r="BY28" i="12" s="1"/>
  <c r="CB10" i="23"/>
  <c r="CA3" i="23"/>
  <c r="L94" i="33"/>
  <c r="K94" i="33"/>
  <c r="CA10" i="11"/>
  <c r="CA3" i="11"/>
  <c r="CB8" i="11"/>
  <c r="EH76" i="12"/>
  <c r="CB70" i="12"/>
  <c r="BZ16" i="12"/>
  <c r="CA13" i="12"/>
  <c r="CA15" i="12" s="1"/>
  <c r="BC136" i="25"/>
  <c r="BB137" i="25"/>
  <c r="CD168" i="19"/>
  <c r="CE165" i="19" s="1"/>
  <c r="CD169" i="19"/>
  <c r="CK92" i="12"/>
  <c r="CC8" i="16"/>
  <c r="CB33" i="16"/>
  <c r="CB3" i="16"/>
  <c r="CB4" i="16"/>
  <c r="BZ78" i="12"/>
  <c r="BZ94" i="12"/>
  <c r="BZ82" i="12"/>
  <c r="BZ90" i="12"/>
  <c r="V175" i="19"/>
  <c r="V176" i="19" s="1"/>
  <c r="AT115" i="19"/>
  <c r="AT116" i="19" s="1"/>
  <c r="BZ12" i="23"/>
  <c r="BZ6" i="23"/>
  <c r="CA53" i="13"/>
  <c r="CD5" i="16"/>
  <c r="CA44" i="12"/>
  <c r="CB81" i="23"/>
  <c r="BC42" i="25"/>
  <c r="BD41" i="25"/>
  <c r="CB93" i="16"/>
  <c r="CD88" i="12"/>
  <c r="CA87" i="16"/>
  <c r="CD80" i="12"/>
  <c r="CC96" i="12"/>
  <c r="EG72" i="12"/>
  <c r="BW50" i="16"/>
  <c r="BF203" i="25"/>
  <c r="BE204" i="25"/>
  <c r="CQ56" i="18"/>
  <c r="CQ57" i="18" s="1"/>
  <c r="CR5" i="18"/>
  <c r="CQ35" i="18"/>
  <c r="CQ3" i="18"/>
  <c r="EG84" i="12"/>
  <c r="CA25" i="12"/>
  <c r="CB23" i="12" s="1"/>
  <c r="CB4" i="12"/>
  <c r="CA3" i="12"/>
  <c r="D100" i="33"/>
  <c r="F99" i="33"/>
  <c r="G99" i="33"/>
  <c r="CA33" i="12"/>
  <c r="CA35" i="12" s="1"/>
  <c r="BZ36" i="12"/>
  <c r="AV34" i="23" l="1"/>
  <c r="T615" i="20"/>
  <c r="K625" i="20" s="1"/>
  <c r="DB27" i="37"/>
  <c r="AK56" i="12"/>
  <c r="CD202" i="37"/>
  <c r="Y60" i="37"/>
  <c r="Y13" i="37" s="1"/>
  <c r="Y268" i="37" s="1"/>
  <c r="AZ50" i="12"/>
  <c r="BA18" i="12"/>
  <c r="AZ51" i="12"/>
  <c r="AZ56" i="12" s="1"/>
  <c r="CD134" i="37"/>
  <c r="AB47" i="37"/>
  <c r="AB48" i="37" s="1"/>
  <c r="AA50" i="37"/>
  <c r="Z59" i="37"/>
  <c r="Z52" i="37"/>
  <c r="Z58" i="37" s="1"/>
  <c r="DC26" i="37"/>
  <c r="DC27" i="37" s="1"/>
  <c r="BZ5" i="23"/>
  <c r="AY8" i="12"/>
  <c r="AX40" i="12"/>
  <c r="AX43" i="12" s="1"/>
  <c r="BW44" i="13"/>
  <c r="BW41" i="13" s="1"/>
  <c r="CL12" i="18" s="1"/>
  <c r="BW39" i="13"/>
  <c r="BV44" i="16" s="1"/>
  <c r="BV12" i="16" s="1"/>
  <c r="CL10" i="18" s="1"/>
  <c r="CB17" i="15"/>
  <c r="BW37" i="13"/>
  <c r="BW38" i="13"/>
  <c r="BV43" i="16" s="1"/>
  <c r="BV11" i="16" s="1"/>
  <c r="CL9" i="18" s="1"/>
  <c r="BX54" i="13"/>
  <c r="BX11" i="11"/>
  <c r="BX18" i="15"/>
  <c r="AL55" i="12"/>
  <c r="AL56" i="12" s="1"/>
  <c r="CB42" i="13"/>
  <c r="CB4" i="15"/>
  <c r="CA3" i="15"/>
  <c r="CC34" i="13"/>
  <c r="CC33" i="13" s="1"/>
  <c r="CC47" i="13" s="1"/>
  <c r="W173" i="19"/>
  <c r="V34" i="19"/>
  <c r="BY31" i="12"/>
  <c r="BY30" i="12"/>
  <c r="BZ28" i="12" s="1"/>
  <c r="AU113" i="19"/>
  <c r="AT23" i="19"/>
  <c r="CA12" i="23"/>
  <c r="EH72" i="12"/>
  <c r="CA89" i="16"/>
  <c r="CA90" i="16" s="1"/>
  <c r="CA35" i="16" s="1"/>
  <c r="CA101" i="16" s="1"/>
  <c r="CB87" i="16"/>
  <c r="CA88" i="16"/>
  <c r="CA78" i="12"/>
  <c r="CA94" i="12"/>
  <c r="CA82" i="12"/>
  <c r="CA90" i="12"/>
  <c r="BC137" i="25"/>
  <c r="BD136" i="25"/>
  <c r="CB10" i="11"/>
  <c r="CC17" i="15" s="1"/>
  <c r="CB3" i="11"/>
  <c r="CC8" i="11"/>
  <c r="CC4" i="12"/>
  <c r="CB3" i="12"/>
  <c r="CB25" i="12"/>
  <c r="CC23" i="12" s="1"/>
  <c r="EH84" i="12"/>
  <c r="CS5" i="18"/>
  <c r="CR35" i="18"/>
  <c r="CR3" i="18"/>
  <c r="CB62" i="16" s="1"/>
  <c r="CB25" i="16" s="1"/>
  <c r="CC93" i="16"/>
  <c r="BX50" i="16"/>
  <c r="H79" i="33"/>
  <c r="I79" i="33" s="1"/>
  <c r="J79" i="33" s="1"/>
  <c r="CA6" i="23"/>
  <c r="CA5" i="23" s="1"/>
  <c r="CB53" i="13"/>
  <c r="CE5" i="16"/>
  <c r="CB44" i="12"/>
  <c r="K95" i="33"/>
  <c r="L95" i="33" s="1"/>
  <c r="CE88" i="12"/>
  <c r="CC81" i="23"/>
  <c r="AM53" i="12"/>
  <c r="AM54" i="12" s="1"/>
  <c r="AL33" i="16" s="1"/>
  <c r="CC70" i="12"/>
  <c r="BD42" i="25"/>
  <c r="BE41" i="25"/>
  <c r="EI76" i="12"/>
  <c r="CA36" i="12"/>
  <c r="CB33" i="12"/>
  <c r="D101" i="33"/>
  <c r="G100" i="33"/>
  <c r="F100" i="33"/>
  <c r="CC33" i="16"/>
  <c r="CC4" i="16"/>
  <c r="CC3" i="16"/>
  <c r="CD8" i="16"/>
  <c r="CE80" i="12"/>
  <c r="CD96" i="12"/>
  <c r="CE168" i="19"/>
  <c r="CF165" i="19" s="1"/>
  <c r="CE169" i="19"/>
  <c r="CA16" i="12"/>
  <c r="CB13" i="12"/>
  <c r="CB15" i="12" s="1"/>
  <c r="BG203" i="25"/>
  <c r="BF204" i="25"/>
  <c r="CL92" i="12"/>
  <c r="CC10" i="23"/>
  <c r="CB3" i="23"/>
  <c r="CE202" i="37" l="1"/>
  <c r="BA49" i="12"/>
  <c r="BA21" i="12"/>
  <c r="BA52" i="12" s="1"/>
  <c r="BA54" i="12" s="1"/>
  <c r="AZ33" i="16" s="1"/>
  <c r="BA20" i="12"/>
  <c r="Z60" i="37"/>
  <c r="Z13" i="37" s="1"/>
  <c r="Z268" i="37" s="1"/>
  <c r="CE134" i="37"/>
  <c r="AA59" i="37"/>
  <c r="AA52" i="37"/>
  <c r="AA58" i="37" s="1"/>
  <c r="AC47" i="37"/>
  <c r="AC48" i="37" s="1"/>
  <c r="AD47" i="37" s="1"/>
  <c r="AD48" i="37" s="1"/>
  <c r="AE47" i="37" s="1"/>
  <c r="AE48" i="37" s="1"/>
  <c r="AF47" i="37" s="1"/>
  <c r="AF48" i="37" s="1"/>
  <c r="AG47" i="37" s="1"/>
  <c r="AG48" i="37" s="1"/>
  <c r="AH47" i="37" s="1"/>
  <c r="AH48" i="37" s="1"/>
  <c r="AI47" i="37" s="1"/>
  <c r="AB50" i="37"/>
  <c r="DD26" i="37"/>
  <c r="BM41" i="18"/>
  <c r="AY10" i="12"/>
  <c r="AY40" i="12" s="1"/>
  <c r="BN41" i="18" s="1"/>
  <c r="AX34" i="23" s="1"/>
  <c r="AY38" i="12"/>
  <c r="BX37" i="13"/>
  <c r="BX46" i="13"/>
  <c r="BX45" i="13" s="1"/>
  <c r="BW47" i="16" s="1"/>
  <c r="BW15" i="16" s="1"/>
  <c r="CM13" i="18" s="1"/>
  <c r="BX44" i="13"/>
  <c r="BX41" i="13" s="1"/>
  <c r="CM12" i="18" s="1"/>
  <c r="BX38" i="13"/>
  <c r="BW43" i="16" s="1"/>
  <c r="BW11" i="16" s="1"/>
  <c r="CM9" i="18" s="1"/>
  <c r="BY54" i="13"/>
  <c r="BY37" i="13" s="1"/>
  <c r="BY18" i="15"/>
  <c r="BY11" i="11"/>
  <c r="BX39" i="13"/>
  <c r="BW44" i="16" s="1"/>
  <c r="BW12" i="16" s="1"/>
  <c r="CM10" i="18" s="1"/>
  <c r="BY39" i="13"/>
  <c r="BX44" i="16" s="1"/>
  <c r="BX12" i="16" s="1"/>
  <c r="CN10" i="18" s="1"/>
  <c r="BY46" i="13"/>
  <c r="BY45" i="13" s="1"/>
  <c r="BX47" i="16" s="1"/>
  <c r="BX15" i="16" s="1"/>
  <c r="CN13" i="18" s="1"/>
  <c r="CC42" i="13"/>
  <c r="CC4" i="15"/>
  <c r="CB3" i="15"/>
  <c r="CD34" i="13"/>
  <c r="CD33" i="13" s="1"/>
  <c r="CD47" i="13" s="1"/>
  <c r="AM55" i="12"/>
  <c r="AN53" i="12" s="1"/>
  <c r="AN54" i="12" s="1"/>
  <c r="AM33" i="16" s="1"/>
  <c r="BZ31" i="12"/>
  <c r="BZ30" i="12"/>
  <c r="CA28" i="12" s="1"/>
  <c r="CF88" i="12"/>
  <c r="EI72" i="12"/>
  <c r="AU115" i="19"/>
  <c r="AU116" i="19" s="1"/>
  <c r="CF80" i="12"/>
  <c r="CE96" i="12"/>
  <c r="CM92" i="12"/>
  <c r="CD70" i="12"/>
  <c r="H80" i="33"/>
  <c r="I80" i="33" s="1"/>
  <c r="J80" i="33" s="1"/>
  <c r="CC10" i="11"/>
  <c r="CD17" i="15" s="1"/>
  <c r="CC3" i="11"/>
  <c r="CD8" i="11"/>
  <c r="BH203" i="25"/>
  <c r="BG204" i="25"/>
  <c r="K96" i="33"/>
  <c r="L96" i="33" s="1"/>
  <c r="CD10" i="23"/>
  <c r="CC3" i="23"/>
  <c r="D102" i="33"/>
  <c r="F101" i="33"/>
  <c r="G101" i="33"/>
  <c r="BF41" i="25"/>
  <c r="BE42" i="25"/>
  <c r="CB12" i="23"/>
  <c r="CD33" i="16"/>
  <c r="CD4" i="16"/>
  <c r="CD3" i="16"/>
  <c r="CE8" i="16"/>
  <c r="CB36" i="12"/>
  <c r="CD93" i="16"/>
  <c r="CT5" i="18"/>
  <c r="CS35" i="18"/>
  <c r="CS3" i="18"/>
  <c r="CC62" i="16" s="1"/>
  <c r="CC25" i="16" s="1"/>
  <c r="CD4" i="12"/>
  <c r="CC3" i="12"/>
  <c r="CC25" i="12"/>
  <c r="CD23" i="12" s="1"/>
  <c r="CB6" i="23"/>
  <c r="CB5" i="23" s="1"/>
  <c r="CF5" i="16"/>
  <c r="CC53" i="13"/>
  <c r="CC44" i="12"/>
  <c r="BY50" i="16"/>
  <c r="CF169" i="19"/>
  <c r="CF168" i="19"/>
  <c r="CG165" i="19" s="1"/>
  <c r="CD81" i="23"/>
  <c r="CB35" i="12"/>
  <c r="CC33" i="12" s="1"/>
  <c r="EI84" i="12"/>
  <c r="BE136" i="25"/>
  <c r="BD137" i="25"/>
  <c r="CB89" i="16"/>
  <c r="CB90" i="16" s="1"/>
  <c r="CB35" i="16" s="1"/>
  <c r="CB101" i="16" s="1"/>
  <c r="CC87" i="16"/>
  <c r="CB88" i="16"/>
  <c r="CB16" i="12"/>
  <c r="CC13" i="12"/>
  <c r="CC15" i="12" s="1"/>
  <c r="EJ76" i="12"/>
  <c r="CB78" i="12"/>
  <c r="CB94" i="12"/>
  <c r="CB82" i="12"/>
  <c r="CB90" i="12"/>
  <c r="W175" i="19"/>
  <c r="W176" i="19" s="1"/>
  <c r="AW34" i="23" l="1"/>
  <c r="AB655" i="20" s="1"/>
  <c r="T655" i="20" s="1"/>
  <c r="U615" i="20"/>
  <c r="DD27" i="37"/>
  <c r="AH24" i="25"/>
  <c r="AI48" i="37"/>
  <c r="AJ47" i="37" s="1"/>
  <c r="AJ48" i="37" s="1"/>
  <c r="AK47" i="37" s="1"/>
  <c r="AK48" i="37" s="1"/>
  <c r="AL47" i="37" s="1"/>
  <c r="P43" i="25"/>
  <c r="AY43" i="12"/>
  <c r="CF202" i="37"/>
  <c r="BB18" i="12"/>
  <c r="BA50" i="12"/>
  <c r="BA51" i="12" s="1"/>
  <c r="BA56" i="12" s="1"/>
  <c r="AA60" i="37"/>
  <c r="AA13" i="37" s="1"/>
  <c r="AA268" i="37" s="1"/>
  <c r="CF134" i="37"/>
  <c r="AB59" i="37"/>
  <c r="AB52" i="37"/>
  <c r="AB58" i="37" s="1"/>
  <c r="DE26" i="37"/>
  <c r="DE27" i="37" s="1"/>
  <c r="AZ8" i="12"/>
  <c r="BY38" i="13"/>
  <c r="BX43" i="16" s="1"/>
  <c r="BX11" i="16" s="1"/>
  <c r="CN9" i="18" s="1"/>
  <c r="AZ10" i="12"/>
  <c r="AZ40" i="12" s="1"/>
  <c r="BO41" i="18" s="1"/>
  <c r="AY34" i="23" s="1"/>
  <c r="AZ38" i="12"/>
  <c r="BY44" i="13"/>
  <c r="BY41" i="13" s="1"/>
  <c r="CN12" i="18" s="1"/>
  <c r="BZ18" i="15"/>
  <c r="BZ54" i="13"/>
  <c r="BZ11" i="11"/>
  <c r="AM56" i="12"/>
  <c r="CD42" i="13"/>
  <c r="CD4" i="15"/>
  <c r="CC3" i="15"/>
  <c r="CE34" i="13"/>
  <c r="CE33" i="13" s="1"/>
  <c r="CE47" i="13" s="1"/>
  <c r="H81" i="33"/>
  <c r="I81" i="33" s="1"/>
  <c r="J81" i="33" s="1"/>
  <c r="CA31" i="12"/>
  <c r="CA30" i="12"/>
  <c r="CB28" i="12" s="1"/>
  <c r="CC36" i="12"/>
  <c r="CC35" i="12"/>
  <c r="CD33" i="12" s="1"/>
  <c r="CG88" i="12"/>
  <c r="CC16" i="12"/>
  <c r="CD13" i="12"/>
  <c r="CD15" i="12" s="1"/>
  <c r="G102" i="33"/>
  <c r="F102" i="33"/>
  <c r="D103" i="33"/>
  <c r="CE93" i="16"/>
  <c r="CE33" i="16"/>
  <c r="CE4" i="16"/>
  <c r="CE3" i="16"/>
  <c r="CF8" i="16"/>
  <c r="CC78" i="12"/>
  <c r="CC94" i="12"/>
  <c r="CC90" i="12"/>
  <c r="CC82" i="12"/>
  <c r="BZ50" i="16"/>
  <c r="BI203" i="25"/>
  <c r="BH204" i="25"/>
  <c r="CN92" i="12"/>
  <c r="EJ72" i="12"/>
  <c r="CC12" i="23"/>
  <c r="CE10" i="23"/>
  <c r="CD3" i="23"/>
  <c r="EK76" i="12"/>
  <c r="X173" i="19"/>
  <c r="W34" i="19"/>
  <c r="CC89" i="16"/>
  <c r="CC90" i="16" s="1"/>
  <c r="CC35" i="16" s="1"/>
  <c r="CC101" i="16" s="1"/>
  <c r="CD87" i="16"/>
  <c r="CC88" i="16"/>
  <c r="CG169" i="19"/>
  <c r="CG168" i="19"/>
  <c r="CH165" i="19" s="1"/>
  <c r="AN55" i="12"/>
  <c r="CE81" i="23"/>
  <c r="CE4" i="12"/>
  <c r="CD3" i="12"/>
  <c r="CD25" i="12"/>
  <c r="CE23" i="12" s="1"/>
  <c r="CU5" i="18"/>
  <c r="CT35" i="18"/>
  <c r="CT3" i="18"/>
  <c r="CD62" i="16" s="1"/>
  <c r="CD25" i="16" s="1"/>
  <c r="CD10" i="11"/>
  <c r="CE17" i="15" s="1"/>
  <c r="CD3" i="11"/>
  <c r="CE8" i="11"/>
  <c r="CE70" i="12"/>
  <c r="CG80" i="12"/>
  <c r="CF96" i="12"/>
  <c r="BF136" i="25"/>
  <c r="BE137" i="25"/>
  <c r="BF42" i="25"/>
  <c r="BG41" i="25"/>
  <c r="AV113" i="19"/>
  <c r="AU23" i="19"/>
  <c r="EJ84" i="12"/>
  <c r="L97" i="33"/>
  <c r="K97" i="33"/>
  <c r="CC6" i="23"/>
  <c r="CG5" i="16"/>
  <c r="CD53" i="13"/>
  <c r="CD44" i="12"/>
  <c r="L625" i="20" l="1"/>
  <c r="D615" i="20"/>
  <c r="P44" i="25"/>
  <c r="P46" i="25" s="1"/>
  <c r="AL48" i="37"/>
  <c r="AM47" i="37" s="1"/>
  <c r="AM48" i="37" s="1"/>
  <c r="AN47" i="37" s="1"/>
  <c r="AN48" i="37" s="1"/>
  <c r="AO47" i="37" s="1"/>
  <c r="AO48" i="37" s="1"/>
  <c r="AP47" i="37" s="1"/>
  <c r="Q43" i="25"/>
  <c r="AH25" i="25"/>
  <c r="AZ43" i="12"/>
  <c r="CG202" i="37"/>
  <c r="BB49" i="12"/>
  <c r="BB21" i="12"/>
  <c r="BB52" i="12" s="1"/>
  <c r="BB54" i="12" s="1"/>
  <c r="BA33" i="16" s="1"/>
  <c r="BB20" i="12"/>
  <c r="CG134" i="37"/>
  <c r="AB60" i="37"/>
  <c r="AB13" i="37" s="1"/>
  <c r="AB268" i="37" s="1"/>
  <c r="DF26" i="37"/>
  <c r="CC5" i="23"/>
  <c r="CD4" i="23"/>
  <c r="CD118" i="23" s="1"/>
  <c r="BZ37" i="13"/>
  <c r="BZ38" i="13"/>
  <c r="BY43" i="16" s="1"/>
  <c r="BY11" i="16" s="1"/>
  <c r="CO9" i="18" s="1"/>
  <c r="BA8" i="12"/>
  <c r="BZ46" i="13"/>
  <c r="BZ45" i="13" s="1"/>
  <c r="BY47" i="16" s="1"/>
  <c r="BY15" i="16" s="1"/>
  <c r="CO13" i="18" s="1"/>
  <c r="BZ44" i="13"/>
  <c r="BZ41" i="13" s="1"/>
  <c r="CO12" i="18" s="1"/>
  <c r="CA18" i="15"/>
  <c r="CA54" i="13"/>
  <c r="CA39" i="13" s="1"/>
  <c r="BZ44" i="16" s="1"/>
  <c r="BZ12" i="16" s="1"/>
  <c r="CP10" i="18" s="1"/>
  <c r="BZ39" i="13"/>
  <c r="BY44" i="16" s="1"/>
  <c r="BY12" i="16" s="1"/>
  <c r="CO10" i="18" s="1"/>
  <c r="CA11" i="11"/>
  <c r="CA37" i="13"/>
  <c r="CE42" i="13"/>
  <c r="CE4" i="15"/>
  <c r="CD3" i="15"/>
  <c r="CF34" i="13"/>
  <c r="CF33" i="13" s="1"/>
  <c r="CF47" i="13" s="1"/>
  <c r="CD36" i="12"/>
  <c r="CD35" i="12"/>
  <c r="CE33" i="12" s="1"/>
  <c r="CB31" i="12"/>
  <c r="CB30" i="12"/>
  <c r="CC28" i="12" s="1"/>
  <c r="H82" i="33"/>
  <c r="I82" i="33" s="1"/>
  <c r="H83" i="33"/>
  <c r="I83" i="33" s="1"/>
  <c r="J82" i="33"/>
  <c r="J83" i="33" s="1"/>
  <c r="BG42" i="25"/>
  <c r="BH41" i="25"/>
  <c r="CF4" i="12"/>
  <c r="CE3" i="12"/>
  <c r="CE25" i="12"/>
  <c r="CF23" i="12" s="1"/>
  <c r="EL76" i="12"/>
  <c r="CF33" i="16"/>
  <c r="CF4" i="16"/>
  <c r="CF3" i="16"/>
  <c r="CG8" i="16"/>
  <c r="CD78" i="12"/>
  <c r="CD94" i="12"/>
  <c r="CD82" i="12"/>
  <c r="CD90" i="12"/>
  <c r="AO53" i="12"/>
  <c r="AO54" i="12" s="1"/>
  <c r="AN33" i="16" s="1"/>
  <c r="AN56" i="12"/>
  <c r="K98" i="33"/>
  <c r="L98" i="33" s="1"/>
  <c r="CO92" i="12"/>
  <c r="CE3" i="11"/>
  <c r="CF8" i="11"/>
  <c r="CE10" i="11"/>
  <c r="CF10" i="23"/>
  <c r="CE3" i="23"/>
  <c r="CD16" i="12"/>
  <c r="CE13" i="12"/>
  <c r="EK84" i="12"/>
  <c r="CF70" i="12"/>
  <c r="CH169" i="19"/>
  <c r="CH168" i="19"/>
  <c r="CI165" i="19" s="1"/>
  <c r="CA50" i="16"/>
  <c r="CD6" i="23"/>
  <c r="CH5" i="16"/>
  <c r="CE53" i="13"/>
  <c r="CE44" i="12"/>
  <c r="BF137" i="25"/>
  <c r="BG136" i="25"/>
  <c r="CD12" i="23"/>
  <c r="EK72" i="12"/>
  <c r="CF93" i="16"/>
  <c r="X175" i="19"/>
  <c r="X176" i="19" s="1"/>
  <c r="CF81" i="23"/>
  <c r="BJ203" i="25"/>
  <c r="BI204" i="25"/>
  <c r="AV115" i="19"/>
  <c r="AV116" i="19" s="1"/>
  <c r="CH80" i="12"/>
  <c r="CG96" i="12"/>
  <c r="CU56" i="18"/>
  <c r="CU57" i="18" s="1"/>
  <c r="CU35" i="18"/>
  <c r="CU3" i="18"/>
  <c r="CV5" i="18"/>
  <c r="CE87" i="16"/>
  <c r="CH88" i="12"/>
  <c r="D104" i="33"/>
  <c r="F103" i="33"/>
  <c r="G103" i="33"/>
  <c r="AP48" i="37" l="1"/>
  <c r="AQ47" i="37" s="1"/>
  <c r="AQ48" i="37" s="1"/>
  <c r="AR47" i="37" s="1"/>
  <c r="AR48" i="37" s="1"/>
  <c r="AS47" i="37" s="1"/>
  <c r="AS48" i="37" s="1"/>
  <c r="AT47" i="37" s="1"/>
  <c r="R43" i="25"/>
  <c r="DF27" i="37"/>
  <c r="DG26" i="37" s="1"/>
  <c r="Q44" i="25"/>
  <c r="Q46" i="25" s="1"/>
  <c r="P48" i="25"/>
  <c r="P54" i="25" s="1"/>
  <c r="P55" i="25"/>
  <c r="CH202" i="37"/>
  <c r="BC18" i="12"/>
  <c r="BB50" i="12"/>
  <c r="BB51" i="12" s="1"/>
  <c r="BB56" i="12" s="1"/>
  <c r="CH134" i="37"/>
  <c r="CD5" i="23"/>
  <c r="CA46" i="13"/>
  <c r="CA45" i="13" s="1"/>
  <c r="BZ47" i="16" s="1"/>
  <c r="BZ15" i="16" s="1"/>
  <c r="CP13" i="18" s="1"/>
  <c r="CA44" i="13"/>
  <c r="CA41" i="13" s="1"/>
  <c r="BA10" i="12"/>
  <c r="BA38" i="12"/>
  <c r="CA38" i="13"/>
  <c r="BZ43" i="16" s="1"/>
  <c r="BZ11" i="16" s="1"/>
  <c r="CP9" i="18" s="1"/>
  <c r="CB11" i="11"/>
  <c r="CB54" i="13"/>
  <c r="CB37" i="13" s="1"/>
  <c r="CB18" i="15"/>
  <c r="CF17" i="15"/>
  <c r="AO55" i="12"/>
  <c r="AO56" i="12" s="1"/>
  <c r="CB38" i="13"/>
  <c r="CA43" i="16" s="1"/>
  <c r="CA11" i="16" s="1"/>
  <c r="CQ9" i="18" s="1"/>
  <c r="CF42" i="13"/>
  <c r="CF4" i="15"/>
  <c r="CE3" i="15"/>
  <c r="CG34" i="13"/>
  <c r="CG33" i="13" s="1"/>
  <c r="CG47" i="13" s="1"/>
  <c r="CC31" i="12"/>
  <c r="CC30" i="12"/>
  <c r="CD28" i="12" s="1"/>
  <c r="CE36" i="12"/>
  <c r="CE35" i="12"/>
  <c r="CF33" i="12" s="1"/>
  <c r="K99" i="33"/>
  <c r="L99" i="33" s="1"/>
  <c r="CE88" i="16"/>
  <c r="CE89" i="16"/>
  <c r="CE90" i="16" s="1"/>
  <c r="CE35" i="16" s="1"/>
  <c r="CE101" i="16" s="1"/>
  <c r="CF87" i="16"/>
  <c r="Y173" i="19"/>
  <c r="X34" i="19"/>
  <c r="CE78" i="12"/>
  <c r="CE94" i="12"/>
  <c r="CE90" i="12"/>
  <c r="CE82" i="12"/>
  <c r="BH136" i="25"/>
  <c r="BG137" i="25"/>
  <c r="CG70" i="12"/>
  <c r="CE16" i="12"/>
  <c r="CE15" i="12"/>
  <c r="CF13" i="12" s="1"/>
  <c r="BH42" i="25"/>
  <c r="BI41" i="25"/>
  <c r="CI80" i="12"/>
  <c r="CH96" i="12"/>
  <c r="CV35" i="18"/>
  <c r="CW5" i="18"/>
  <c r="CV3" i="18"/>
  <c r="CF62" i="16" s="1"/>
  <c r="CF25" i="16" s="1"/>
  <c r="AV23" i="19"/>
  <c r="AW113" i="19"/>
  <c r="D105" i="33"/>
  <c r="G104" i="33"/>
  <c r="F104" i="33"/>
  <c r="CG81" i="23"/>
  <c r="EL84" i="12"/>
  <c r="CE6" i="23"/>
  <c r="CE5" i="23" s="1"/>
  <c r="CI5" i="16"/>
  <c r="CF53" i="13"/>
  <c r="CF44" i="12"/>
  <c r="H84" i="33"/>
  <c r="I84" i="33" s="1"/>
  <c r="J84" i="33"/>
  <c r="CG33" i="16"/>
  <c r="CG4" i="16"/>
  <c r="CG3" i="16"/>
  <c r="CH8" i="16"/>
  <c r="EM76" i="12"/>
  <c r="BK203" i="25"/>
  <c r="BJ204" i="25"/>
  <c r="CG8" i="11"/>
  <c r="CF10" i="11"/>
  <c r="CG17" i="15" s="1"/>
  <c r="CF3" i="11"/>
  <c r="CG93" i="16"/>
  <c r="CI169" i="19"/>
  <c r="CI168" i="19"/>
  <c r="CJ165" i="19" s="1"/>
  <c r="CF3" i="23"/>
  <c r="CG10" i="23"/>
  <c r="CI88" i="12"/>
  <c r="CE12" i="23"/>
  <c r="EL72" i="12"/>
  <c r="CP92" i="12"/>
  <c r="CB50" i="16"/>
  <c r="CG4" i="12"/>
  <c r="CF3" i="12"/>
  <c r="CF25" i="12"/>
  <c r="CG23" i="12" s="1"/>
  <c r="DG27" i="37" l="1"/>
  <c r="P56" i="25"/>
  <c r="AT48" i="37"/>
  <c r="AU47" i="37" s="1"/>
  <c r="AU48" i="37" s="1"/>
  <c r="AV47" i="37" s="1"/>
  <c r="AV48" i="37" s="1"/>
  <c r="AW47" i="37" s="1"/>
  <c r="AW48" i="37" s="1"/>
  <c r="AX47" i="37" s="1"/>
  <c r="S43" i="25"/>
  <c r="Q48" i="25"/>
  <c r="Q54" i="25" s="1"/>
  <c r="Q55" i="25"/>
  <c r="R44" i="25"/>
  <c r="R46" i="25" s="1"/>
  <c r="CI202" i="37"/>
  <c r="AP53" i="12"/>
  <c r="AP54" i="12" s="1"/>
  <c r="AO33" i="16" s="1"/>
  <c r="BC21" i="12"/>
  <c r="BC52" i="12" s="1"/>
  <c r="BC54" i="12" s="1"/>
  <c r="BB33" i="16" s="1"/>
  <c r="BC49" i="12"/>
  <c r="BC20" i="12"/>
  <c r="BC50" i="12" s="1"/>
  <c r="BC51" i="12" s="1"/>
  <c r="BC56" i="12" s="1"/>
  <c r="CI134" i="37"/>
  <c r="DH26" i="37"/>
  <c r="DH27" i="37" s="1"/>
  <c r="CB46" i="13"/>
  <c r="CB45" i="13" s="1"/>
  <c r="CA47" i="16" s="1"/>
  <c r="CA15" i="16" s="1"/>
  <c r="CQ13" i="18" s="1"/>
  <c r="BB8" i="12"/>
  <c r="BA40" i="12"/>
  <c r="BP41" i="18" s="1"/>
  <c r="AZ34" i="23" s="1"/>
  <c r="CB44" i="13"/>
  <c r="CB39" i="13"/>
  <c r="CA44" i="16" s="1"/>
  <c r="CA12" i="16" s="1"/>
  <c r="CQ10" i="18" s="1"/>
  <c r="CP12" i="18"/>
  <c r="CC54" i="13"/>
  <c r="CC39" i="13" s="1"/>
  <c r="CB44" i="16" s="1"/>
  <c r="CB12" i="16" s="1"/>
  <c r="CR10" i="18" s="1"/>
  <c r="CC18" i="15"/>
  <c r="CC11" i="11"/>
  <c r="CG42" i="13"/>
  <c r="CB41" i="13"/>
  <c r="CQ12" i="18" s="1"/>
  <c r="CG4" i="15"/>
  <c r="CF3" i="15"/>
  <c r="CH34" i="13"/>
  <c r="CH33" i="13" s="1"/>
  <c r="CH47" i="13" s="1"/>
  <c r="CF16" i="12"/>
  <c r="CF15" i="12"/>
  <c r="CG13" i="12" s="1"/>
  <c r="CD31" i="12"/>
  <c r="CD30" i="12"/>
  <c r="CE28" i="12" s="1"/>
  <c r="CF36" i="12"/>
  <c r="CF35" i="12"/>
  <c r="CG33" i="12" s="1"/>
  <c r="CJ168" i="19"/>
  <c r="CK165" i="19" s="1"/>
  <c r="CJ169" i="19"/>
  <c r="CF6" i="23"/>
  <c r="CJ5" i="16"/>
  <c r="CG53" i="13"/>
  <c r="CG44" i="12"/>
  <c r="EN76" i="12"/>
  <c r="CH70" i="12"/>
  <c r="CH8" i="11"/>
  <c r="CG3" i="11"/>
  <c r="CG10" i="11"/>
  <c r="CH17" i="15" s="1"/>
  <c r="CH4" i="16"/>
  <c r="CH3" i="16"/>
  <c r="CI8" i="16"/>
  <c r="CH33" i="16"/>
  <c r="K100" i="33"/>
  <c r="L100" i="33"/>
  <c r="CJ80" i="12"/>
  <c r="CI96" i="12"/>
  <c r="CF78" i="12"/>
  <c r="CF94" i="12"/>
  <c r="CF90" i="12"/>
  <c r="CF82" i="12"/>
  <c r="D106" i="33"/>
  <c r="G105" i="33"/>
  <c r="F105" i="33"/>
  <c r="CQ92" i="12"/>
  <c r="CC50" i="16"/>
  <c r="CG25" i="12"/>
  <c r="CH23" i="12" s="1"/>
  <c r="CH4" i="12"/>
  <c r="CG3" i="12"/>
  <c r="EM72" i="12"/>
  <c r="CJ88" i="12"/>
  <c r="H85" i="33"/>
  <c r="I85" i="33" s="1"/>
  <c r="J85" i="33" s="1"/>
  <c r="J86" i="33" s="1"/>
  <c r="H86" i="33"/>
  <c r="I86" i="33" s="1"/>
  <c r="CH81" i="23"/>
  <c r="CX5" i="18"/>
  <c r="CW35" i="18"/>
  <c r="CW3" i="18"/>
  <c r="CG62" i="16" s="1"/>
  <c r="CG25" i="16" s="1"/>
  <c r="BI42" i="25"/>
  <c r="BJ41" i="25"/>
  <c r="AW115" i="19"/>
  <c r="AW116" i="19" s="1"/>
  <c r="CF12" i="23"/>
  <c r="CH93" i="16"/>
  <c r="BL203" i="25"/>
  <c r="BK204" i="25"/>
  <c r="BI136" i="25"/>
  <c r="BH137" i="25"/>
  <c r="Y175" i="19"/>
  <c r="Y176" i="19" s="1"/>
  <c r="CG3" i="23"/>
  <c r="CH10" i="23"/>
  <c r="AP55" i="12"/>
  <c r="EM84" i="12"/>
  <c r="CF88" i="16"/>
  <c r="CF89" i="16"/>
  <c r="CF90" i="16" s="1"/>
  <c r="CF35" i="16" s="1"/>
  <c r="CF101" i="16" s="1"/>
  <c r="CG87" i="16"/>
  <c r="CF5" i="23" l="1"/>
  <c r="Q56" i="25"/>
  <c r="R55" i="25"/>
  <c r="R48" i="25"/>
  <c r="R54" i="25" s="1"/>
  <c r="R56" i="25" s="1"/>
  <c r="S44" i="25"/>
  <c r="S46" i="25" s="1"/>
  <c r="AX48" i="37"/>
  <c r="AY47" i="37" s="1"/>
  <c r="AY48" i="37" s="1"/>
  <c r="AZ47" i="37" s="1"/>
  <c r="AZ48" i="37" s="1"/>
  <c r="BA47" i="37" s="1"/>
  <c r="BA48" i="37" s="1"/>
  <c r="BB47" i="37" s="1"/>
  <c r="T43" i="25"/>
  <c r="BA43" i="12"/>
  <c r="CJ202" i="37"/>
  <c r="CC44" i="13"/>
  <c r="CC41" i="13" s="1"/>
  <c r="BD18" i="12"/>
  <c r="CJ134" i="37"/>
  <c r="DI26" i="37"/>
  <c r="CC37" i="13"/>
  <c r="CC38" i="13"/>
  <c r="CB43" i="16" s="1"/>
  <c r="CB11" i="16" s="1"/>
  <c r="CR9" i="18" s="1"/>
  <c r="CC46" i="13"/>
  <c r="CC45" i="13" s="1"/>
  <c r="CB47" i="16" s="1"/>
  <c r="CB15" i="16" s="1"/>
  <c r="CR13" i="18" s="1"/>
  <c r="BB10" i="12"/>
  <c r="BB40" i="12" s="1"/>
  <c r="BQ41" i="18" s="1"/>
  <c r="BA34" i="23" s="1"/>
  <c r="BC8" i="12"/>
  <c r="BB38" i="12"/>
  <c r="CD18" i="15"/>
  <c r="CD54" i="13"/>
  <c r="CD44" i="13" s="1"/>
  <c r="CD11" i="11"/>
  <c r="CH42" i="13"/>
  <c r="CH4" i="15"/>
  <c r="CG3" i="15"/>
  <c r="CI34" i="13"/>
  <c r="CI33" i="13" s="1"/>
  <c r="CI47" i="13" s="1"/>
  <c r="H87" i="33"/>
  <c r="I87" i="33" s="1"/>
  <c r="J87" i="33" s="1"/>
  <c r="CG36" i="12"/>
  <c r="CG35" i="12"/>
  <c r="CH33" i="12" s="1"/>
  <c r="Z173" i="19"/>
  <c r="Y34" i="19"/>
  <c r="CE31" i="12"/>
  <c r="CE30" i="12"/>
  <c r="CF28" i="12" s="1"/>
  <c r="CG16" i="12"/>
  <c r="CG15" i="12"/>
  <c r="CH13" i="12" s="1"/>
  <c r="AP56" i="12"/>
  <c r="AQ53" i="12"/>
  <c r="AQ54" i="12" s="1"/>
  <c r="AP33" i="16" s="1"/>
  <c r="CG12" i="23"/>
  <c r="CH25" i="12"/>
  <c r="CI23" i="12" s="1"/>
  <c r="CI4" i="12"/>
  <c r="CH3" i="12"/>
  <c r="CG6" i="23"/>
  <c r="CK5" i="16"/>
  <c r="CH44" i="12"/>
  <c r="CH53" i="13"/>
  <c r="EO76" i="12"/>
  <c r="CR92" i="12"/>
  <c r="CI93" i="16"/>
  <c r="CI8" i="11"/>
  <c r="CH10" i="11"/>
  <c r="CI17" i="15" s="1"/>
  <c r="CH3" i="11"/>
  <c r="CI10" i="23"/>
  <c r="CH3" i="23"/>
  <c r="BJ136" i="25"/>
  <c r="BI137" i="25"/>
  <c r="K101" i="33"/>
  <c r="L101" i="33" s="1"/>
  <c r="CJ8" i="16"/>
  <c r="CI33" i="16"/>
  <c r="CI3" i="16"/>
  <c r="CI4" i="16"/>
  <c r="CY5" i="18"/>
  <c r="CX35" i="18"/>
  <c r="CX3" i="18"/>
  <c r="CH62" i="16" s="1"/>
  <c r="CH25" i="16" s="1"/>
  <c r="CK88" i="12"/>
  <c r="EN84" i="12"/>
  <c r="BJ42" i="25"/>
  <c r="BK41" i="25"/>
  <c r="G106" i="33"/>
  <c r="D107" i="33"/>
  <c r="F106" i="33"/>
  <c r="CG78" i="12"/>
  <c r="CG94" i="12"/>
  <c r="CG90" i="12"/>
  <c r="CG82" i="12"/>
  <c r="CK168" i="19"/>
  <c r="CL165" i="19" s="1"/>
  <c r="CK169" i="19"/>
  <c r="CD50" i="16"/>
  <c r="CI70" i="12"/>
  <c r="AX113" i="19"/>
  <c r="AW23" i="19"/>
  <c r="EN72" i="12"/>
  <c r="CK80" i="12"/>
  <c r="CJ96" i="12"/>
  <c r="CG88" i="16"/>
  <c r="CG89" i="16"/>
  <c r="CG90" i="16" s="1"/>
  <c r="CG35" i="16" s="1"/>
  <c r="CG101" i="16" s="1"/>
  <c r="CH87" i="16"/>
  <c r="BM203" i="25"/>
  <c r="BL204" i="25"/>
  <c r="CI81" i="23"/>
  <c r="BB43" i="12" l="1"/>
  <c r="BB48" i="37"/>
  <c r="DI27" i="37"/>
  <c r="AI24" i="25"/>
  <c r="AI25" i="25" s="1"/>
  <c r="S55" i="25"/>
  <c r="S48" i="25"/>
  <c r="S54" i="25" s="1"/>
  <c r="T44" i="25"/>
  <c r="T46" i="25" s="1"/>
  <c r="CK202" i="37"/>
  <c r="CD37" i="13"/>
  <c r="CD38" i="13"/>
  <c r="CC43" i="16" s="1"/>
  <c r="CC11" i="16" s="1"/>
  <c r="CS9" i="18" s="1"/>
  <c r="BD21" i="12"/>
  <c r="BD52" i="12" s="1"/>
  <c r="BD54" i="12" s="1"/>
  <c r="BC33" i="16" s="1"/>
  <c r="BD49" i="12"/>
  <c r="BD20" i="12"/>
  <c r="CK134" i="37"/>
  <c r="DJ26" i="37"/>
  <c r="BC47" i="37"/>
  <c r="BC48" i="37" s="1"/>
  <c r="CG5" i="23"/>
  <c r="CH4" i="23"/>
  <c r="CH118" i="23" s="1"/>
  <c r="CD39" i="13"/>
  <c r="CC44" i="16" s="1"/>
  <c r="CC12" i="16" s="1"/>
  <c r="CS10" i="18" s="1"/>
  <c r="CD46" i="13"/>
  <c r="CD45" i="13" s="1"/>
  <c r="CC47" i="16" s="1"/>
  <c r="CC15" i="16" s="1"/>
  <c r="CS13" i="18" s="1"/>
  <c r="BC10" i="12"/>
  <c r="BC38" i="12"/>
  <c r="CE11" i="11"/>
  <c r="CR12" i="18"/>
  <c r="CE18" i="15"/>
  <c r="CE54" i="13"/>
  <c r="CE39" i="13"/>
  <c r="CD44" i="16" s="1"/>
  <c r="CD12" i="16" s="1"/>
  <c r="CT10" i="18" s="1"/>
  <c r="CI42" i="13"/>
  <c r="CD41" i="13"/>
  <c r="CS12" i="18" s="1"/>
  <c r="CI4" i="15"/>
  <c r="CH3" i="15"/>
  <c r="CJ34" i="13"/>
  <c r="CJ33" i="13" s="1"/>
  <c r="CJ47" i="13" s="1"/>
  <c r="AQ55" i="12"/>
  <c r="AR53" i="12" s="1"/>
  <c r="AR54" i="12" s="1"/>
  <c r="AQ33" i="16" s="1"/>
  <c r="CF31" i="12"/>
  <c r="CF30" i="12"/>
  <c r="CG28" i="12" s="1"/>
  <c r="CH36" i="12"/>
  <c r="CH35" i="12"/>
  <c r="CI33" i="12" s="1"/>
  <c r="CI35" i="12" s="1"/>
  <c r="CH16" i="12"/>
  <c r="CH15" i="12"/>
  <c r="CI13" i="12" s="1"/>
  <c r="H88" i="33"/>
  <c r="I88" i="33" s="1"/>
  <c r="J88" i="33"/>
  <c r="CS92" i="12"/>
  <c r="CJ4" i="12"/>
  <c r="CI3" i="12"/>
  <c r="CI25" i="12"/>
  <c r="CJ23" i="12" s="1"/>
  <c r="BK42" i="25"/>
  <c r="BL41" i="25"/>
  <c r="CE50" i="16"/>
  <c r="CJ10" i="23"/>
  <c r="CI3" i="23"/>
  <c r="CI87" i="16"/>
  <c r="AX115" i="19"/>
  <c r="AX116" i="19" s="1"/>
  <c r="CJ93" i="16"/>
  <c r="CH78" i="12"/>
  <c r="CH94" i="12"/>
  <c r="CH90" i="12"/>
  <c r="CH82" i="12"/>
  <c r="Z175" i="19"/>
  <c r="Z176" i="19" s="1"/>
  <c r="F107" i="33"/>
  <c r="G107" i="33"/>
  <c r="CJ81" i="23"/>
  <c r="EO72" i="12"/>
  <c r="CJ70" i="12"/>
  <c r="CL168" i="19"/>
  <c r="CM165" i="19" s="1"/>
  <c r="CL169" i="19"/>
  <c r="K102" i="33"/>
  <c r="L102" i="33"/>
  <c r="CH6" i="23"/>
  <c r="CL5" i="16"/>
  <c r="CI53" i="13"/>
  <c r="CI44" i="12"/>
  <c r="AQ56" i="12"/>
  <c r="EO84" i="12"/>
  <c r="CK8" i="16"/>
  <c r="CJ33" i="16"/>
  <c r="CJ3" i="16"/>
  <c r="CJ4" i="16"/>
  <c r="CI10" i="11"/>
  <c r="CI3" i="11"/>
  <c r="CJ8" i="11"/>
  <c r="CH12" i="23"/>
  <c r="EP76" i="12"/>
  <c r="BN203" i="25"/>
  <c r="BN204" i="25" s="1"/>
  <c r="BM204" i="25"/>
  <c r="CL80" i="12"/>
  <c r="CK96" i="12"/>
  <c r="CL88" i="12"/>
  <c r="CY56" i="18"/>
  <c r="CY57" i="18" s="1"/>
  <c r="CZ5" i="18"/>
  <c r="CY35" i="18"/>
  <c r="CY3" i="18"/>
  <c r="BK136" i="25"/>
  <c r="BJ137" i="25"/>
  <c r="DJ27" i="37" l="1"/>
  <c r="T55" i="25"/>
  <c r="T48" i="25"/>
  <c r="S56" i="25"/>
  <c r="CL202" i="37"/>
  <c r="BE18" i="12"/>
  <c r="BD50" i="12"/>
  <c r="BD51" i="12" s="1"/>
  <c r="BD56" i="12" s="1"/>
  <c r="CL134" i="37"/>
  <c r="DK26" i="37"/>
  <c r="DK27" i="37" s="1"/>
  <c r="BD47" i="37"/>
  <c r="CH5" i="23"/>
  <c r="BD8" i="12"/>
  <c r="BC40" i="12"/>
  <c r="BR41" i="18" s="1"/>
  <c r="BB34" i="23" s="1"/>
  <c r="CE37" i="13"/>
  <c r="CE38" i="13"/>
  <c r="CD43" i="16" s="1"/>
  <c r="CD11" i="16" s="1"/>
  <c r="CT9" i="18" s="1"/>
  <c r="CJ17" i="15"/>
  <c r="CE46" i="13"/>
  <c r="CE45" i="13" s="1"/>
  <c r="CD47" i="16" s="1"/>
  <c r="CD15" i="16" s="1"/>
  <c r="CT13" i="18" s="1"/>
  <c r="CE44" i="13"/>
  <c r="CE41" i="13" s="1"/>
  <c r="CT12" i="18" s="1"/>
  <c r="CF18" i="15"/>
  <c r="CF11" i="11"/>
  <c r="CF54" i="13"/>
  <c r="CF38" i="13"/>
  <c r="CE43" i="16" s="1"/>
  <c r="CE11" i="16" s="1"/>
  <c r="CU9" i="18" s="1"/>
  <c r="CF46" i="13"/>
  <c r="CF45" i="13" s="1"/>
  <c r="CE47" i="16" s="1"/>
  <c r="CE15" i="16" s="1"/>
  <c r="CU13" i="18" s="1"/>
  <c r="CJ42" i="13"/>
  <c r="CJ4" i="15"/>
  <c r="CI3" i="15"/>
  <c r="AR55" i="12"/>
  <c r="AS53" i="12" s="1"/>
  <c r="AS54" i="12" s="1"/>
  <c r="AR33" i="16" s="1"/>
  <c r="CK34" i="13"/>
  <c r="CK33" i="13" s="1"/>
  <c r="CK47" i="13" s="1"/>
  <c r="CI16" i="12"/>
  <c r="CI15" i="12"/>
  <c r="CJ13" i="12" s="1"/>
  <c r="AY113" i="19"/>
  <c r="AX23" i="19"/>
  <c r="CG31" i="12"/>
  <c r="CG30" i="12"/>
  <c r="CH28" i="12" s="1"/>
  <c r="CK93" i="16"/>
  <c r="AA173" i="19"/>
  <c r="Z34" i="19"/>
  <c r="CF50" i="16"/>
  <c r="CK81" i="23"/>
  <c r="H89" i="33"/>
  <c r="I89" i="33" s="1"/>
  <c r="CI36" i="12"/>
  <c r="CJ33" i="12"/>
  <c r="CJ35" i="12" s="1"/>
  <c r="CM168" i="19"/>
  <c r="CN165" i="19" s="1"/>
  <c r="CM169" i="19"/>
  <c r="L103" i="33"/>
  <c r="K103" i="33"/>
  <c r="K104" i="33" s="1"/>
  <c r="CK10" i="23"/>
  <c r="CJ3" i="23"/>
  <c r="BL42" i="25"/>
  <c r="BM41" i="25"/>
  <c r="CK4" i="12"/>
  <c r="CJ3" i="12"/>
  <c r="CJ25" i="12"/>
  <c r="CK23" i="12" s="1"/>
  <c r="CT92" i="12"/>
  <c r="J89" i="33"/>
  <c r="BK137" i="25"/>
  <c r="BL136" i="25"/>
  <c r="CM88" i="12"/>
  <c r="CI78" i="12"/>
  <c r="CI94" i="12"/>
  <c r="CI82" i="12"/>
  <c r="CI90" i="12"/>
  <c r="EQ76" i="12"/>
  <c r="CJ10" i="11"/>
  <c r="CK17" i="15" s="1"/>
  <c r="CJ3" i="11"/>
  <c r="CK8" i="11"/>
  <c r="CI89" i="16"/>
  <c r="CI90" i="16" s="1"/>
  <c r="CI35" i="16" s="1"/>
  <c r="CI101" i="16" s="1"/>
  <c r="CJ87" i="16"/>
  <c r="CI88" i="16"/>
  <c r="CI12" i="23"/>
  <c r="CK33" i="16"/>
  <c r="CK4" i="16"/>
  <c r="CK3" i="16"/>
  <c r="CL8" i="16"/>
  <c r="DA5" i="18"/>
  <c r="CZ35" i="18"/>
  <c r="CZ3" i="18"/>
  <c r="CJ62" i="16" s="1"/>
  <c r="CJ25" i="16" s="1"/>
  <c r="CM80" i="12"/>
  <c r="CL96" i="12"/>
  <c r="CI6" i="23"/>
  <c r="CI5" i="23" s="1"/>
  <c r="CM5" i="16"/>
  <c r="CJ53" i="13"/>
  <c r="CJ44" i="12"/>
  <c r="EP84" i="12"/>
  <c r="CK70" i="12"/>
  <c r="EP72" i="12"/>
  <c r="BD48" i="37" l="1"/>
  <c r="U43" i="25"/>
  <c r="BC43" i="12"/>
  <c r="CM202" i="37"/>
  <c r="BE21" i="12"/>
  <c r="BE52" i="12" s="1"/>
  <c r="BE54" i="12" s="1"/>
  <c r="BD33" i="16" s="1"/>
  <c r="BE49" i="12"/>
  <c r="BE20" i="12"/>
  <c r="CM134" i="37"/>
  <c r="DL26" i="37"/>
  <c r="BE47" i="37"/>
  <c r="BE48" i="37" s="1"/>
  <c r="CF37" i="13"/>
  <c r="BD10" i="12"/>
  <c r="BD40" i="12" s="1"/>
  <c r="BS41" i="18" s="1"/>
  <c r="BC34" i="23" s="1"/>
  <c r="BD38" i="12"/>
  <c r="CF39" i="13"/>
  <c r="CE44" i="16" s="1"/>
  <c r="CE12" i="16" s="1"/>
  <c r="CU10" i="18" s="1"/>
  <c r="CF44" i="13"/>
  <c r="CF41" i="13" s="1"/>
  <c r="CU12" i="18" s="1"/>
  <c r="CG54" i="13"/>
  <c r="CG39" i="13" s="1"/>
  <c r="CF44" i="16" s="1"/>
  <c r="CF12" i="16" s="1"/>
  <c r="CV10" i="18" s="1"/>
  <c r="CG18" i="15"/>
  <c r="CG11" i="11"/>
  <c r="AR56" i="12"/>
  <c r="CG44" i="13"/>
  <c r="CK42" i="13"/>
  <c r="CK4" i="15"/>
  <c r="CJ3" i="15"/>
  <c r="CL34" i="13"/>
  <c r="CL33" i="13" s="1"/>
  <c r="CL47" i="13" s="1"/>
  <c r="CH31" i="12"/>
  <c r="CH30" i="12"/>
  <c r="CI28" i="12" s="1"/>
  <c r="CJ16" i="12"/>
  <c r="CJ15" i="12"/>
  <c r="CK13" i="12" s="1"/>
  <c r="BM136" i="25"/>
  <c r="BL137" i="25"/>
  <c r="CU92" i="12"/>
  <c r="EQ84" i="12"/>
  <c r="CK10" i="11"/>
  <c r="CL17" i="15" s="1"/>
  <c r="CK3" i="11"/>
  <c r="CL8" i="11"/>
  <c r="CN169" i="19"/>
  <c r="CN168" i="19"/>
  <c r="CO165" i="19" s="1"/>
  <c r="CL10" i="23"/>
  <c r="CK3" i="23"/>
  <c r="CJ12" i="23"/>
  <c r="CN80" i="12"/>
  <c r="CM96" i="12"/>
  <c r="DB5" i="18"/>
  <c r="DA35" i="18"/>
  <c r="DA3" i="18"/>
  <c r="CK62" i="16" s="1"/>
  <c r="CK25" i="16" s="1"/>
  <c r="AS55" i="12"/>
  <c r="CL81" i="23"/>
  <c r="CL33" i="16"/>
  <c r="CL4" i="16"/>
  <c r="CL3" i="16"/>
  <c r="CM8" i="16"/>
  <c r="CG50" i="16"/>
  <c r="H90" i="33"/>
  <c r="I90" i="33" s="1"/>
  <c r="J90" i="33" s="1"/>
  <c r="CJ78" i="12"/>
  <c r="CJ94" i="12"/>
  <c r="CJ90" i="12"/>
  <c r="CJ82" i="12"/>
  <c r="CJ6" i="23"/>
  <c r="CJ5" i="23" s="1"/>
  <c r="CN5" i="16"/>
  <c r="CK53" i="13"/>
  <c r="CK44" i="12"/>
  <c r="AY115" i="19"/>
  <c r="AY116" i="19" s="1"/>
  <c r="AZ113" i="19" s="1"/>
  <c r="CJ89" i="16"/>
  <c r="CJ90" i="16" s="1"/>
  <c r="CJ35" i="16" s="1"/>
  <c r="CJ101" i="16" s="1"/>
  <c r="CK87" i="16"/>
  <c r="CJ88" i="16"/>
  <c r="BN41" i="25"/>
  <c r="BN42" i="25" s="1"/>
  <c r="BM42" i="25"/>
  <c r="CJ36" i="12"/>
  <c r="CK33" i="12"/>
  <c r="CK35" i="12" s="1"/>
  <c r="EQ72" i="12"/>
  <c r="CL70" i="12"/>
  <c r="ER76" i="12"/>
  <c r="CN88" i="12"/>
  <c r="CL4" i="12"/>
  <c r="CK3" i="12"/>
  <c r="CK25" i="12"/>
  <c r="CL23" i="12" s="1"/>
  <c r="K105" i="33"/>
  <c r="L104" i="33"/>
  <c r="L105" i="33" s="1"/>
  <c r="CL93" i="16"/>
  <c r="AA175" i="19"/>
  <c r="AA176" i="19" s="1"/>
  <c r="BD43" i="12" l="1"/>
  <c r="U44" i="25"/>
  <c r="U46" i="25" s="1"/>
  <c r="DL27" i="37"/>
  <c r="DM26" i="37" s="1"/>
  <c r="CN202" i="37"/>
  <c r="BF18" i="12"/>
  <c r="BE50" i="12"/>
  <c r="BE51" i="12" s="1"/>
  <c r="BE56" i="12" s="1"/>
  <c r="CN134" i="37"/>
  <c r="BF47" i="37"/>
  <c r="CG37" i="13"/>
  <c r="BE8" i="12"/>
  <c r="CG46" i="13"/>
  <c r="CG45" i="13" s="1"/>
  <c r="CF47" i="16" s="1"/>
  <c r="CF15" i="16" s="1"/>
  <c r="CV13" i="18" s="1"/>
  <c r="CG38" i="13"/>
  <c r="CF43" i="16" s="1"/>
  <c r="CF11" i="16" s="1"/>
  <c r="CV9" i="18" s="1"/>
  <c r="CH11" i="11"/>
  <c r="CH54" i="13"/>
  <c r="CH39" i="13" s="1"/>
  <c r="CG44" i="16" s="1"/>
  <c r="CG12" i="16" s="1"/>
  <c r="CW10" i="18" s="1"/>
  <c r="CH18" i="15"/>
  <c r="CH37" i="13"/>
  <c r="CH46" i="13"/>
  <c r="CH45" i="13" s="1"/>
  <c r="CG47" i="16" s="1"/>
  <c r="CG15" i="16" s="1"/>
  <c r="CW13" i="18" s="1"/>
  <c r="CL42" i="13"/>
  <c r="CV12" i="18"/>
  <c r="CG41" i="13"/>
  <c r="CL4" i="15"/>
  <c r="CK3" i="15"/>
  <c r="CM34" i="13"/>
  <c r="CM33" i="13" s="1"/>
  <c r="CM47" i="13" s="1"/>
  <c r="CK16" i="12"/>
  <c r="CK15" i="12"/>
  <c r="CL13" i="12" s="1"/>
  <c r="CI31" i="12"/>
  <c r="CI30" i="12"/>
  <c r="CJ28" i="12" s="1"/>
  <c r="H91" i="33"/>
  <c r="I91" i="33" s="1"/>
  <c r="J91" i="33"/>
  <c r="CM4" i="12"/>
  <c r="CL3" i="12"/>
  <c r="CL25" i="12"/>
  <c r="CM23" i="12" s="1"/>
  <c r="CH50" i="16"/>
  <c r="DC5" i="18"/>
  <c r="DB35" i="18"/>
  <c r="DB3" i="18"/>
  <c r="CL62" i="16" s="1"/>
  <c r="CL25" i="16" s="1"/>
  <c r="ER84" i="12"/>
  <c r="CO169" i="19"/>
  <c r="CO168" i="19"/>
  <c r="CP165" i="19" s="1"/>
  <c r="CV92" i="12"/>
  <c r="CM10" i="23"/>
  <c r="CL3" i="23"/>
  <c r="CO80" i="12"/>
  <c r="CN96" i="12"/>
  <c r="CM93" i="16"/>
  <c r="CO88" i="12"/>
  <c r="CK89" i="16"/>
  <c r="CK90" i="16" s="1"/>
  <c r="CK35" i="16" s="1"/>
  <c r="CK101" i="16" s="1"/>
  <c r="CL87" i="16"/>
  <c r="CK88" i="16"/>
  <c r="AZ115" i="19"/>
  <c r="AZ116" i="19" s="1"/>
  <c r="BA113" i="19" s="1"/>
  <c r="CK78" i="12"/>
  <c r="CK94" i="12"/>
  <c r="CK82" i="12"/>
  <c r="CK90" i="12"/>
  <c r="CL10" i="11"/>
  <c r="CM17" i="15" s="1"/>
  <c r="CL3" i="11"/>
  <c r="CM8" i="11"/>
  <c r="BN136" i="25"/>
  <c r="BN137" i="25" s="1"/>
  <c r="BM137" i="25"/>
  <c r="AB173" i="19"/>
  <c r="AA34" i="19"/>
  <c r="CM33" i="16"/>
  <c r="CM4" i="16"/>
  <c r="CM3" i="16"/>
  <c r="CN8" i="16"/>
  <c r="AT53" i="12"/>
  <c r="AT54" i="12" s="1"/>
  <c r="AS33" i="16" s="1"/>
  <c r="AS56" i="12"/>
  <c r="ES76" i="12"/>
  <c r="CM70" i="12"/>
  <c r="ER72" i="12"/>
  <c r="CK36" i="12"/>
  <c r="CL33" i="12"/>
  <c r="CM81" i="23"/>
  <c r="CK12" i="23"/>
  <c r="CK6" i="23"/>
  <c r="CO5" i="16"/>
  <c r="CL53" i="13"/>
  <c r="CL44" i="12"/>
  <c r="DM27" i="37" l="1"/>
  <c r="AJ24" i="25"/>
  <c r="AJ25" i="25" s="1"/>
  <c r="BF48" i="37"/>
  <c r="U55" i="25"/>
  <c r="U48" i="25"/>
  <c r="CO202" i="37"/>
  <c r="BF21" i="12"/>
  <c r="BF52" i="12" s="1"/>
  <c r="BF54" i="12" s="1"/>
  <c r="BE33" i="16" s="1"/>
  <c r="BF20" i="12"/>
  <c r="BF49" i="12"/>
  <c r="CO134" i="37"/>
  <c r="DN26" i="37"/>
  <c r="BG47" i="37"/>
  <c r="BG48" i="37" s="1"/>
  <c r="CK5" i="23"/>
  <c r="CL4" i="23"/>
  <c r="CL118" i="23" s="1"/>
  <c r="CH44" i="13"/>
  <c r="CH41" i="13" s="1"/>
  <c r="CW12" i="18" s="1"/>
  <c r="CH38" i="13"/>
  <c r="CG43" i="16" s="1"/>
  <c r="CG11" i="16" s="1"/>
  <c r="CW9" i="18" s="1"/>
  <c r="BE10" i="12"/>
  <c r="BE38" i="12"/>
  <c r="CI11" i="11"/>
  <c r="CI18" i="15"/>
  <c r="CI54" i="13"/>
  <c r="CI44" i="13" s="1"/>
  <c r="CI39" i="13"/>
  <c r="CH44" i="16" s="1"/>
  <c r="CH12" i="16" s="1"/>
  <c r="CX10" i="18" s="1"/>
  <c r="CI37" i="13"/>
  <c r="CI46" i="13"/>
  <c r="CI45" i="13" s="1"/>
  <c r="CH47" i="16" s="1"/>
  <c r="CH15" i="16" s="1"/>
  <c r="CX13" i="18" s="1"/>
  <c r="CM42" i="13"/>
  <c r="CM4" i="15"/>
  <c r="CL3" i="15"/>
  <c r="CN34" i="13"/>
  <c r="CN33" i="13" s="1"/>
  <c r="CN47" i="13" s="1"/>
  <c r="CJ31" i="12"/>
  <c r="CJ30" i="12"/>
  <c r="CK28" i="12" s="1"/>
  <c r="CL16" i="12"/>
  <c r="CL15" i="12"/>
  <c r="CM13" i="12" s="1"/>
  <c r="CN33" i="16"/>
  <c r="CN4" i="16"/>
  <c r="CN3" i="16"/>
  <c r="CO8" i="16"/>
  <c r="CL36" i="12"/>
  <c r="CN4" i="12"/>
  <c r="CM3" i="12"/>
  <c r="CM25" i="12"/>
  <c r="CN23" i="12" s="1"/>
  <c r="ET76" i="12"/>
  <c r="CM3" i="11"/>
  <c r="CN8" i="11"/>
  <c r="CM10" i="11"/>
  <c r="CL35" i="12"/>
  <c r="CM33" i="12" s="1"/>
  <c r="CL12" i="23"/>
  <c r="CI50" i="16"/>
  <c r="CP88" i="12"/>
  <c r="CN93" i="16"/>
  <c r="CN81" i="23"/>
  <c r="ES72" i="12"/>
  <c r="CN70" i="12"/>
  <c r="BA115" i="19"/>
  <c r="BA116" i="19" s="1"/>
  <c r="BB113" i="19" s="1"/>
  <c r="AT55" i="12"/>
  <c r="CP80" i="12"/>
  <c r="CO96" i="12"/>
  <c r="CN10" i="23"/>
  <c r="CM3" i="23"/>
  <c r="CP169" i="19"/>
  <c r="CP168" i="19"/>
  <c r="CQ165" i="19" s="1"/>
  <c r="DC56" i="18"/>
  <c r="DC57" i="18" s="1"/>
  <c r="DC35" i="18"/>
  <c r="DC3" i="18"/>
  <c r="DD5" i="18"/>
  <c r="H92" i="33"/>
  <c r="I92" i="33" s="1"/>
  <c r="J92" i="33" s="1"/>
  <c r="CW92" i="12"/>
  <c r="CL6" i="23"/>
  <c r="CP5" i="16"/>
  <c r="CM53" i="13"/>
  <c r="CM44" i="12"/>
  <c r="CL78" i="12"/>
  <c r="CL94" i="12"/>
  <c r="CL82" i="12"/>
  <c r="CL90" i="12"/>
  <c r="AB175" i="19"/>
  <c r="AB176" i="19" s="1"/>
  <c r="CM87" i="16"/>
  <c r="ES84" i="12"/>
  <c r="DN27" i="37" l="1"/>
  <c r="CP202" i="37"/>
  <c r="BG18" i="12"/>
  <c r="BF50" i="12"/>
  <c r="BF51" i="12" s="1"/>
  <c r="BF56" i="12" s="1"/>
  <c r="CP134" i="37"/>
  <c r="DO26" i="37"/>
  <c r="DO27" i="37" s="1"/>
  <c r="BH47" i="37"/>
  <c r="CL5" i="23"/>
  <c r="CI38" i="13"/>
  <c r="CH43" i="16" s="1"/>
  <c r="CH11" i="16" s="1"/>
  <c r="CX9" i="18" s="1"/>
  <c r="BF8" i="12"/>
  <c r="BE40" i="12"/>
  <c r="BT41" i="18" s="1"/>
  <c r="BD34" i="23" s="1"/>
  <c r="CN17" i="15"/>
  <c r="CJ11" i="11"/>
  <c r="CJ18" i="15"/>
  <c r="CJ54" i="13"/>
  <c r="CJ38" i="13" s="1"/>
  <c r="CI43" i="16" s="1"/>
  <c r="CI11" i="16" s="1"/>
  <c r="CY9" i="18" s="1"/>
  <c r="CN42" i="13"/>
  <c r="CI41" i="13"/>
  <c r="CX12" i="18" s="1"/>
  <c r="CN4" i="15"/>
  <c r="CM3" i="15"/>
  <c r="CO34" i="13"/>
  <c r="CO33" i="13" s="1"/>
  <c r="CO47" i="13" s="1"/>
  <c r="AC173" i="19"/>
  <c r="AB34" i="19"/>
  <c r="CM36" i="12"/>
  <c r="CM35" i="12"/>
  <c r="CN33" i="12" s="1"/>
  <c r="H93" i="33"/>
  <c r="I93" i="33" s="1"/>
  <c r="J93" i="33" s="1"/>
  <c r="CM16" i="12"/>
  <c r="CM15" i="12"/>
  <c r="CN13" i="12" s="1"/>
  <c r="CK31" i="12"/>
  <c r="CK30" i="12"/>
  <c r="CL28" i="12" s="1"/>
  <c r="CO4" i="12"/>
  <c r="CN3" i="12"/>
  <c r="CN25" i="12"/>
  <c r="CO23" i="12" s="1"/>
  <c r="CO33" i="16"/>
  <c r="CO4" i="16"/>
  <c r="CO3" i="16"/>
  <c r="CP8" i="16"/>
  <c r="CM88" i="16"/>
  <c r="CM89" i="16"/>
  <c r="CM90" i="16" s="1"/>
  <c r="CM35" i="16" s="1"/>
  <c r="CM101" i="16" s="1"/>
  <c r="CN87" i="16"/>
  <c r="CJ50" i="16"/>
  <c r="ET84" i="12"/>
  <c r="CX92" i="12"/>
  <c r="DD35" i="18"/>
  <c r="DE5" i="18"/>
  <c r="DD3" i="18"/>
  <c r="CN62" i="16" s="1"/>
  <c r="CN25" i="16" s="1"/>
  <c r="CQ80" i="12"/>
  <c r="CP96" i="12"/>
  <c r="CO81" i="23"/>
  <c r="CQ169" i="19"/>
  <c r="CQ168" i="19"/>
  <c r="CR165" i="19" s="1"/>
  <c r="CM12" i="23"/>
  <c r="AU53" i="12"/>
  <c r="AU54" i="12" s="1"/>
  <c r="AT33" i="16" s="1"/>
  <c r="AT56" i="12"/>
  <c r="CO70" i="12"/>
  <c r="BB115" i="19"/>
  <c r="BB116" i="19" s="1"/>
  <c r="CQ88" i="12"/>
  <c r="CM78" i="12"/>
  <c r="CM94" i="12"/>
  <c r="CM90" i="12"/>
  <c r="CM82" i="12"/>
  <c r="CN3" i="23"/>
  <c r="CO10" i="23"/>
  <c r="ET72" i="12"/>
  <c r="CM6" i="23"/>
  <c r="CM5" i="23" s="1"/>
  <c r="CQ5" i="16"/>
  <c r="CN53" i="13"/>
  <c r="CN44" i="12"/>
  <c r="EU76" i="12"/>
  <c r="CO93" i="16"/>
  <c r="CO8" i="11"/>
  <c r="CN10" i="11"/>
  <c r="CO17" i="15" s="1"/>
  <c r="CN3" i="11"/>
  <c r="BH48" i="37" l="1"/>
  <c r="V43" i="25"/>
  <c r="BE43" i="12"/>
  <c r="CQ202" i="37"/>
  <c r="BG20" i="12"/>
  <c r="BG50" i="12" s="1"/>
  <c r="BG21" i="12"/>
  <c r="BG52" i="12" s="1"/>
  <c r="BG54" i="12" s="1"/>
  <c r="BF33" i="16" s="1"/>
  <c r="BG49" i="12"/>
  <c r="BH18" i="12"/>
  <c r="CQ134" i="37"/>
  <c r="DP26" i="37"/>
  <c r="BI47" i="37"/>
  <c r="BI48" i="37" s="1"/>
  <c r="CJ46" i="13"/>
  <c r="CJ45" i="13" s="1"/>
  <c r="CI47" i="16" s="1"/>
  <c r="CI15" i="16" s="1"/>
  <c r="CY13" i="18" s="1"/>
  <c r="BF10" i="12"/>
  <c r="BF38" i="12"/>
  <c r="CJ44" i="13"/>
  <c r="CJ41" i="13" s="1"/>
  <c r="CY12" i="18" s="1"/>
  <c r="CJ37" i="13"/>
  <c r="CK18" i="15"/>
  <c r="CK11" i="11"/>
  <c r="CK54" i="13"/>
  <c r="CK44" i="13" s="1"/>
  <c r="CJ39" i="13"/>
  <c r="CI44" i="16" s="1"/>
  <c r="CI12" i="16" s="1"/>
  <c r="CY10" i="18" s="1"/>
  <c r="CO42" i="13"/>
  <c r="CO4" i="15"/>
  <c r="CN3" i="15"/>
  <c r="CP34" i="13"/>
  <c r="CP33" i="13" s="1"/>
  <c r="CP47" i="13" s="1"/>
  <c r="CN16" i="12"/>
  <c r="CN15" i="12"/>
  <c r="CO13" i="12" s="1"/>
  <c r="H94" i="33"/>
  <c r="I94" i="33" s="1"/>
  <c r="J94" i="33" s="1"/>
  <c r="CN36" i="12"/>
  <c r="CN35" i="12"/>
  <c r="CO33" i="12" s="1"/>
  <c r="CL31" i="12"/>
  <c r="CL30" i="12"/>
  <c r="CM28" i="12" s="1"/>
  <c r="CN6" i="23"/>
  <c r="CN5" i="23" s="1"/>
  <c r="CR5" i="16"/>
  <c r="CO44" i="12"/>
  <c r="CO53" i="13"/>
  <c r="EV76" i="12"/>
  <c r="CP81" i="23"/>
  <c r="AU55" i="12"/>
  <c r="CP4" i="16"/>
  <c r="CP3" i="16"/>
  <c r="CQ8" i="16"/>
  <c r="CP33" i="16"/>
  <c r="CO25" i="12"/>
  <c r="CP23" i="12" s="1"/>
  <c r="CP4" i="12"/>
  <c r="CO3" i="12"/>
  <c r="CO3" i="23"/>
  <c r="CP10" i="23"/>
  <c r="CY92" i="12"/>
  <c r="CN88" i="16"/>
  <c r="CN89" i="16"/>
  <c r="CN90" i="16" s="1"/>
  <c r="CN35" i="16" s="1"/>
  <c r="CN101" i="16" s="1"/>
  <c r="CO87" i="16"/>
  <c r="CK50" i="16"/>
  <c r="CP93" i="16"/>
  <c r="CP8" i="11"/>
  <c r="CO3" i="11"/>
  <c r="CO10" i="11"/>
  <c r="CP17" i="15" s="1"/>
  <c r="CN78" i="12"/>
  <c r="CN94" i="12"/>
  <c r="CN82" i="12"/>
  <c r="CN90" i="12"/>
  <c r="CR168" i="19"/>
  <c r="CS165" i="19" s="1"/>
  <c r="CR169" i="19"/>
  <c r="DF5" i="18"/>
  <c r="DE35" i="18"/>
  <c r="DE3" i="18"/>
  <c r="CO62" i="16" s="1"/>
  <c r="CO25" i="16" s="1"/>
  <c r="EU84" i="12"/>
  <c r="EU72" i="12"/>
  <c r="CR88" i="12"/>
  <c r="CP70" i="12"/>
  <c r="CR80" i="12"/>
  <c r="CQ96" i="12"/>
  <c r="CN12" i="23"/>
  <c r="AC175" i="19"/>
  <c r="AC176" i="19" s="1"/>
  <c r="V44" i="25" l="1"/>
  <c r="V46" i="25" s="1"/>
  <c r="DP27" i="37"/>
  <c r="AK24" i="25"/>
  <c r="AK25" i="25" s="1"/>
  <c r="CR202" i="37"/>
  <c r="CK39" i="13"/>
  <c r="CJ44" i="16" s="1"/>
  <c r="CJ12" i="16" s="1"/>
  <c r="CZ10" i="18" s="1"/>
  <c r="CK38" i="13"/>
  <c r="CJ43" i="16" s="1"/>
  <c r="CJ11" i="16" s="1"/>
  <c r="CZ9" i="18" s="1"/>
  <c r="CK37" i="13"/>
  <c r="BH49" i="12"/>
  <c r="BH20" i="12"/>
  <c r="BH21" i="12"/>
  <c r="BH52" i="12" s="1"/>
  <c r="BH54" i="12" s="1"/>
  <c r="BG33" i="16" s="1"/>
  <c r="BG51" i="12"/>
  <c r="BG56" i="12" s="1"/>
  <c r="CR134" i="37"/>
  <c r="DQ26" i="37"/>
  <c r="DQ27" i="37" s="1"/>
  <c r="BJ47" i="37"/>
  <c r="BG8" i="12"/>
  <c r="BF40" i="12"/>
  <c r="BU41" i="18" s="1"/>
  <c r="BE34" i="23" s="1"/>
  <c r="CK46" i="13"/>
  <c r="CK45" i="13" s="1"/>
  <c r="CJ47" i="16" s="1"/>
  <c r="CJ15" i="16" s="1"/>
  <c r="CZ13" i="18" s="1"/>
  <c r="CL18" i="15"/>
  <c r="CL54" i="13"/>
  <c r="CL39" i="13" s="1"/>
  <c r="CK44" i="16" s="1"/>
  <c r="CK12" i="16" s="1"/>
  <c r="DA10" i="18" s="1"/>
  <c r="CL11" i="11"/>
  <c r="CL38" i="13"/>
  <c r="CL37" i="13"/>
  <c r="CL44" i="13"/>
  <c r="CL46" i="13"/>
  <c r="CL45" i="13" s="1"/>
  <c r="CK47" i="16" s="1"/>
  <c r="CK15" i="16" s="1"/>
  <c r="DA13" i="18" s="1"/>
  <c r="CP42" i="13"/>
  <c r="CK41" i="13"/>
  <c r="CZ12" i="18" s="1"/>
  <c r="CP4" i="15"/>
  <c r="CO3" i="15"/>
  <c r="CQ34" i="13"/>
  <c r="CQ33" i="13" s="1"/>
  <c r="CQ47" i="13" s="1"/>
  <c r="CM31" i="12"/>
  <c r="CM30" i="12"/>
  <c r="CN28" i="12" s="1"/>
  <c r="CO36" i="12"/>
  <c r="CO35" i="12"/>
  <c r="CP33" i="12" s="1"/>
  <c r="CO16" i="12"/>
  <c r="CO15" i="12"/>
  <c r="CP13" i="12" s="1"/>
  <c r="CL50" i="16"/>
  <c r="EW76" i="12"/>
  <c r="EV72" i="12"/>
  <c r="CQ8" i="11"/>
  <c r="CP10" i="11"/>
  <c r="CQ17" i="15" s="1"/>
  <c r="CP3" i="11"/>
  <c r="CQ93" i="16"/>
  <c r="CK43" i="16"/>
  <c r="CK11" i="16" s="1"/>
  <c r="DA9" i="18" s="1"/>
  <c r="CZ92" i="12"/>
  <c r="AV53" i="12"/>
  <c r="AV54" i="12" s="1"/>
  <c r="AU33" i="16" s="1"/>
  <c r="AU56" i="12"/>
  <c r="AD173" i="19"/>
  <c r="AC34" i="19"/>
  <c r="CO12" i="23"/>
  <c r="CS168" i="19"/>
  <c r="CT165" i="19" s="1"/>
  <c r="CS169" i="19"/>
  <c r="CQ10" i="23"/>
  <c r="CP3" i="23"/>
  <c r="CQ70" i="12"/>
  <c r="EV84" i="12"/>
  <c r="CO78" i="12"/>
  <c r="CO94" i="12"/>
  <c r="CO90" i="12"/>
  <c r="CO82" i="12"/>
  <c r="CQ81" i="23"/>
  <c r="H95" i="33"/>
  <c r="I95" i="33" s="1"/>
  <c r="J95" i="33" s="1"/>
  <c r="CO88" i="16"/>
  <c r="CO89" i="16"/>
  <c r="CO90" i="16" s="1"/>
  <c r="CO35" i="16" s="1"/>
  <c r="CO101" i="16" s="1"/>
  <c r="CP87" i="16"/>
  <c r="CP25" i="12"/>
  <c r="CQ23" i="12" s="1"/>
  <c r="CQ4" i="12"/>
  <c r="CP3" i="12"/>
  <c r="CR8" i="16"/>
  <c r="CQ33" i="16"/>
  <c r="CQ3" i="16"/>
  <c r="CQ4" i="16"/>
  <c r="CS88" i="12"/>
  <c r="CS80" i="12"/>
  <c r="CR96" i="12"/>
  <c r="DG5" i="18"/>
  <c r="DF35" i="18"/>
  <c r="DF3" i="18"/>
  <c r="CP62" i="16" s="1"/>
  <c r="CP25" i="16" s="1"/>
  <c r="CO6" i="23"/>
  <c r="CS5" i="16"/>
  <c r="CP44" i="12"/>
  <c r="CP53" i="13"/>
  <c r="BJ48" i="37" l="1"/>
  <c r="V48" i="25"/>
  <c r="V55" i="25"/>
  <c r="BF43" i="12"/>
  <c r="CS202" i="37"/>
  <c r="BI18" i="12"/>
  <c r="BH50" i="12"/>
  <c r="BH51" i="12" s="1"/>
  <c r="BH56" i="12" s="1"/>
  <c r="CS134" i="37"/>
  <c r="DR26" i="37"/>
  <c r="BK47" i="37"/>
  <c r="BK48" i="37" s="1"/>
  <c r="CO5" i="23"/>
  <c r="CP4" i="23"/>
  <c r="CP118" i="23" s="1"/>
  <c r="BG10" i="12"/>
  <c r="BG40" i="12" s="1"/>
  <c r="BV41" i="18" s="1"/>
  <c r="BF34" i="23" s="1"/>
  <c r="BG38" i="12"/>
  <c r="CM11" i="11"/>
  <c r="CM18" i="15"/>
  <c r="CM54" i="13"/>
  <c r="CM44" i="13" s="1"/>
  <c r="AV55" i="12"/>
  <c r="AV56" i="12" s="1"/>
  <c r="CM38" i="13"/>
  <c r="CM37" i="13"/>
  <c r="CM39" i="13"/>
  <c r="CQ42" i="13"/>
  <c r="CL41" i="13"/>
  <c r="DA12" i="18" s="1"/>
  <c r="CQ4" i="15"/>
  <c r="CP3" i="15"/>
  <c r="CR34" i="13"/>
  <c r="CR33" i="13" s="1"/>
  <c r="CR47" i="13" s="1"/>
  <c r="CP16" i="12"/>
  <c r="CP15" i="12"/>
  <c r="CQ13" i="12" s="1"/>
  <c r="J96" i="33"/>
  <c r="H96" i="33"/>
  <c r="I96" i="33" s="1"/>
  <c r="CP36" i="12"/>
  <c r="CP35" i="12"/>
  <c r="CQ33" i="12" s="1"/>
  <c r="CN31" i="12"/>
  <c r="CN30" i="12"/>
  <c r="CO28" i="12" s="1"/>
  <c r="DA92" i="12"/>
  <c r="CP6" i="23"/>
  <c r="CT5" i="16"/>
  <c r="CQ53" i="13"/>
  <c r="CQ44" i="12"/>
  <c r="CP78" i="12"/>
  <c r="CP94" i="12"/>
  <c r="CP90" i="12"/>
  <c r="CP82" i="12"/>
  <c r="CR10" i="23"/>
  <c r="CQ3" i="23"/>
  <c r="CP12" i="23"/>
  <c r="CL44" i="16"/>
  <c r="CL12" i="16" s="1"/>
  <c r="DB10" i="18" s="1"/>
  <c r="CL43" i="16"/>
  <c r="CL11" i="16" s="1"/>
  <c r="DB9" i="18" s="1"/>
  <c r="CQ10" i="11"/>
  <c r="CQ3" i="11"/>
  <c r="CR8" i="11"/>
  <c r="DG56" i="18"/>
  <c r="DG57" i="18" s="1"/>
  <c r="DH5" i="18"/>
  <c r="DG35" i="18"/>
  <c r="DG3" i="18"/>
  <c r="CM50" i="16"/>
  <c r="CR4" i="12"/>
  <c r="CQ3" i="12"/>
  <c r="CQ25" i="12"/>
  <c r="CR23" i="12" s="1"/>
  <c r="CQ87" i="16"/>
  <c r="CR70" i="12"/>
  <c r="EX76" i="12"/>
  <c r="CT168" i="19"/>
  <c r="CU165" i="19" s="1"/>
  <c r="CT169" i="19"/>
  <c r="CR81" i="23"/>
  <c r="CR93" i="16"/>
  <c r="CT88" i="12"/>
  <c r="CT80" i="12"/>
  <c r="CS96" i="12"/>
  <c r="CS8" i="16"/>
  <c r="CR33" i="16"/>
  <c r="CR4" i="16"/>
  <c r="CR3" i="16"/>
  <c r="EW84" i="12"/>
  <c r="AD175" i="19"/>
  <c r="AD176" i="19" s="1"/>
  <c r="EW72" i="12"/>
  <c r="DR27" i="37" l="1"/>
  <c r="AW53" i="12"/>
  <c r="AW54" i="12" s="1"/>
  <c r="AV33" i="16" s="1"/>
  <c r="BG43" i="12"/>
  <c r="CT202" i="37"/>
  <c r="BI20" i="12"/>
  <c r="BI50" i="12" s="1"/>
  <c r="BI49" i="12"/>
  <c r="BI51" i="12" s="1"/>
  <c r="BI56" i="12" s="1"/>
  <c r="BI21" i="12"/>
  <c r="BI52" i="12" s="1"/>
  <c r="BI54" i="12" s="1"/>
  <c r="BH33" i="16" s="1"/>
  <c r="BJ18" i="12"/>
  <c r="CT134" i="37"/>
  <c r="DS26" i="37"/>
  <c r="DS27" i="37" s="1"/>
  <c r="BH8" i="12"/>
  <c r="BL47" i="37"/>
  <c r="CM46" i="13"/>
  <c r="CM45" i="13" s="1"/>
  <c r="CL47" i="16" s="1"/>
  <c r="CL15" i="16" s="1"/>
  <c r="DB13" i="18" s="1"/>
  <c r="CP5" i="23"/>
  <c r="BH10" i="12"/>
  <c r="BH40" i="12" s="1"/>
  <c r="BW41" i="18" s="1"/>
  <c r="BG34" i="23" s="1"/>
  <c r="BH38" i="12"/>
  <c r="CR17" i="15"/>
  <c r="CN54" i="13"/>
  <c r="CN18" i="15"/>
  <c r="CN11" i="11"/>
  <c r="CR42" i="13"/>
  <c r="CM41" i="13"/>
  <c r="DB12" i="18" s="1"/>
  <c r="CR4" i="15"/>
  <c r="CQ3" i="15"/>
  <c r="AW55" i="12"/>
  <c r="AX53" i="12" s="1"/>
  <c r="CS34" i="13"/>
  <c r="CS33" i="13" s="1"/>
  <c r="CS47" i="13" s="1"/>
  <c r="CQ36" i="12"/>
  <c r="CQ35" i="12"/>
  <c r="CR33" i="12" s="1"/>
  <c r="CO31" i="12"/>
  <c r="CO30" i="12"/>
  <c r="CP28" i="12" s="1"/>
  <c r="CQ16" i="12"/>
  <c r="CQ15" i="12"/>
  <c r="CR13" i="12" s="1"/>
  <c r="CR15" i="12" s="1"/>
  <c r="CN50" i="16"/>
  <c r="CS70" i="12"/>
  <c r="CS4" i="12"/>
  <c r="CR3" i="12"/>
  <c r="CR25" i="12"/>
  <c r="CS23" i="12" s="1"/>
  <c r="CQ78" i="12"/>
  <c r="CQ94" i="12"/>
  <c r="CQ82" i="12"/>
  <c r="CQ90" i="12"/>
  <c r="H97" i="33"/>
  <c r="I97" i="33" s="1"/>
  <c r="J97" i="33" s="1"/>
  <c r="EX72" i="12"/>
  <c r="EX84" i="12"/>
  <c r="CS33" i="16"/>
  <c r="CS4" i="16"/>
  <c r="CS3" i="16"/>
  <c r="CT8" i="16"/>
  <c r="CQ89" i="16"/>
  <c r="CQ90" i="16" s="1"/>
  <c r="CQ35" i="16" s="1"/>
  <c r="CQ101" i="16" s="1"/>
  <c r="CR87" i="16"/>
  <c r="CQ88" i="16"/>
  <c r="AE173" i="19"/>
  <c r="AD34" i="19"/>
  <c r="CS81" i="23"/>
  <c r="CU80" i="12"/>
  <c r="CT96" i="12"/>
  <c r="CS93" i="16"/>
  <c r="EY76" i="12"/>
  <c r="CR10" i="11"/>
  <c r="CS17" i="15" s="1"/>
  <c r="CR3" i="11"/>
  <c r="CS8" i="11"/>
  <c r="CQ12" i="23"/>
  <c r="CS10" i="23"/>
  <c r="CR3" i="23"/>
  <c r="DB92" i="12"/>
  <c r="CU168" i="19"/>
  <c r="CV165" i="19" s="1"/>
  <c r="CU169" i="19"/>
  <c r="DI5" i="18"/>
  <c r="DH35" i="18"/>
  <c r="DH3" i="18"/>
  <c r="CR62" i="16" s="1"/>
  <c r="CR25" i="16" s="1"/>
  <c r="CQ6" i="23"/>
  <c r="CQ5" i="23" s="1"/>
  <c r="CU5" i="16"/>
  <c r="CR53" i="13"/>
  <c r="CR44" i="12"/>
  <c r="CU88" i="12"/>
  <c r="BL48" i="37" l="1"/>
  <c r="W43" i="25"/>
  <c r="BH43" i="12"/>
  <c r="AW56" i="12"/>
  <c r="AX54" i="12" s="1"/>
  <c r="AW33" i="16" s="1"/>
  <c r="CU202" i="37"/>
  <c r="BJ49" i="12"/>
  <c r="BJ21" i="12"/>
  <c r="BJ52" i="12" s="1"/>
  <c r="BJ54" i="12" s="1"/>
  <c r="BI33" i="16" s="1"/>
  <c r="BJ20" i="12"/>
  <c r="CU134" i="37"/>
  <c r="DT26" i="37"/>
  <c r="BM47" i="37"/>
  <c r="BM48" i="37" s="1"/>
  <c r="BI8" i="12"/>
  <c r="BI10" i="12" s="1"/>
  <c r="BI40" i="12" s="1"/>
  <c r="BX41" i="18" s="1"/>
  <c r="BH34" i="23" s="1"/>
  <c r="CO54" i="13"/>
  <c r="CO46" i="13" s="1"/>
  <c r="CO45" i="13" s="1"/>
  <c r="CN47" i="16" s="1"/>
  <c r="CN15" i="16" s="1"/>
  <c r="DD13" i="18" s="1"/>
  <c r="CO18" i="15"/>
  <c r="CO11" i="11"/>
  <c r="CN38" i="13"/>
  <c r="CM43" i="16" s="1"/>
  <c r="CM11" i="16" s="1"/>
  <c r="DC9" i="18" s="1"/>
  <c r="CN39" i="13"/>
  <c r="CM44" i="16" s="1"/>
  <c r="CM12" i="16" s="1"/>
  <c r="DC10" i="18" s="1"/>
  <c r="CN37" i="13"/>
  <c r="CN44" i="13"/>
  <c r="CN41" i="13" s="1"/>
  <c r="DC12" i="18" s="1"/>
  <c r="CN46" i="13"/>
  <c r="CN45" i="13" s="1"/>
  <c r="CM47" i="16" s="1"/>
  <c r="CM15" i="16" s="1"/>
  <c r="DC13" i="18" s="1"/>
  <c r="CO44" i="13"/>
  <c r="CS42" i="13"/>
  <c r="CS4" i="15"/>
  <c r="CR3" i="15"/>
  <c r="CT34" i="13"/>
  <c r="CT33" i="13" s="1"/>
  <c r="CT47" i="13" s="1"/>
  <c r="CP31" i="12"/>
  <c r="CP30" i="12"/>
  <c r="CQ28" i="12" s="1"/>
  <c r="CR36" i="12"/>
  <c r="CR35" i="12"/>
  <c r="CS33" i="12" s="1"/>
  <c r="CS35" i="12" s="1"/>
  <c r="CR16" i="12"/>
  <c r="CS13" i="12"/>
  <c r="CS15" i="12" s="1"/>
  <c r="CR78" i="12"/>
  <c r="CR94" i="12"/>
  <c r="CR82" i="12"/>
  <c r="CR90" i="12"/>
  <c r="CV169" i="19"/>
  <c r="CV168" i="19"/>
  <c r="CW165" i="19" s="1"/>
  <c r="EY84" i="12"/>
  <c r="H98" i="33"/>
  <c r="I98" i="33" s="1"/>
  <c r="J98" i="33" s="1"/>
  <c r="CR89" i="16"/>
  <c r="CR90" i="16" s="1"/>
  <c r="CR35" i="16" s="1"/>
  <c r="CR101" i="16" s="1"/>
  <c r="CS87" i="16"/>
  <c r="CR88" i="16"/>
  <c r="CR6" i="23"/>
  <c r="CR5" i="23" s="1"/>
  <c r="CV5" i="16"/>
  <c r="CS53" i="13"/>
  <c r="CS44" i="12"/>
  <c r="CT81" i="23"/>
  <c r="CT33" i="16"/>
  <c r="CT4" i="16"/>
  <c r="CT3" i="16"/>
  <c r="CU8" i="16"/>
  <c r="EY72" i="12"/>
  <c r="EZ76" i="12"/>
  <c r="DC92" i="12"/>
  <c r="CV88" i="12"/>
  <c r="DJ5" i="18"/>
  <c r="DI35" i="18"/>
  <c r="DI3" i="18"/>
  <c r="CS62" i="16" s="1"/>
  <c r="CS25" i="16" s="1"/>
  <c r="CS10" i="11"/>
  <c r="CT17" i="15" s="1"/>
  <c r="CS3" i="11"/>
  <c r="CT8" i="11"/>
  <c r="CT70" i="12"/>
  <c r="CT93" i="16"/>
  <c r="CR12" i="23"/>
  <c r="CT10" i="23"/>
  <c r="CS3" i="23"/>
  <c r="CV80" i="12"/>
  <c r="CU96" i="12"/>
  <c r="AE175" i="19"/>
  <c r="AE176" i="19" s="1"/>
  <c r="CO50" i="16"/>
  <c r="CT4" i="12"/>
  <c r="CS3" i="12"/>
  <c r="CS25" i="12"/>
  <c r="CT23" i="12" s="1"/>
  <c r="W44" i="25" l="1"/>
  <c r="W46" i="25" s="1"/>
  <c r="DT27" i="37"/>
  <c r="DU26" i="37" s="1"/>
  <c r="CV202" i="37"/>
  <c r="BI38" i="12"/>
  <c r="BI43" i="12" s="1"/>
  <c r="BK18" i="12"/>
  <c r="BJ50" i="12"/>
  <c r="BJ51" i="12" s="1"/>
  <c r="BJ56" i="12" s="1"/>
  <c r="CV134" i="37"/>
  <c r="BN47" i="37"/>
  <c r="BJ8" i="12"/>
  <c r="CP18" i="15"/>
  <c r="CP11" i="11"/>
  <c r="CP54" i="13"/>
  <c r="CP39" i="13" s="1"/>
  <c r="CO44" i="16" s="1"/>
  <c r="CO12" i="16" s="1"/>
  <c r="DE10" i="18" s="1"/>
  <c r="CO39" i="13"/>
  <c r="CN44" i="16" s="1"/>
  <c r="CN12" i="16" s="1"/>
  <c r="DD10" i="18" s="1"/>
  <c r="CO37" i="13"/>
  <c r="CO38" i="13"/>
  <c r="CN43" i="16" s="1"/>
  <c r="CN11" i="16" s="1"/>
  <c r="DD9" i="18" s="1"/>
  <c r="CP37" i="13"/>
  <c r="CP44" i="13"/>
  <c r="CP46" i="13"/>
  <c r="CP45" i="13" s="1"/>
  <c r="CO47" i="16" s="1"/>
  <c r="CO15" i="16" s="1"/>
  <c r="DE13" i="18" s="1"/>
  <c r="CT42" i="13"/>
  <c r="CO41" i="13"/>
  <c r="DD12" i="18" s="1"/>
  <c r="CT4" i="15"/>
  <c r="CS3" i="15"/>
  <c r="CU34" i="13"/>
  <c r="CU33" i="13" s="1"/>
  <c r="CU47" i="13" s="1"/>
  <c r="H99" i="33"/>
  <c r="I99" i="33" s="1"/>
  <c r="J99" i="33"/>
  <c r="CQ31" i="12"/>
  <c r="CQ30" i="12"/>
  <c r="CR28" i="12" s="1"/>
  <c r="CU81" i="23"/>
  <c r="EZ84" i="12"/>
  <c r="CS36" i="12"/>
  <c r="CT33" i="12"/>
  <c r="CT35" i="12" s="1"/>
  <c r="CS12" i="23"/>
  <c r="CS89" i="16"/>
  <c r="CS90" i="16" s="1"/>
  <c r="CS35" i="16" s="1"/>
  <c r="CS101" i="16" s="1"/>
  <c r="CT87" i="16"/>
  <c r="CS88" i="16"/>
  <c r="CS16" i="12"/>
  <c r="CT13" i="12"/>
  <c r="CT15" i="12" s="1"/>
  <c r="DK5" i="18"/>
  <c r="DJ35" i="18"/>
  <c r="DJ3" i="18"/>
  <c r="CT62" i="16" s="1"/>
  <c r="CT25" i="16" s="1"/>
  <c r="CT10" i="11"/>
  <c r="CU17" i="15" s="1"/>
  <c r="CT3" i="11"/>
  <c r="CU8" i="11"/>
  <c r="CU4" i="12"/>
  <c r="CT3" i="12"/>
  <c r="CT25" i="12"/>
  <c r="CU23" i="12" s="1"/>
  <c r="CU10" i="23"/>
  <c r="CT3" i="23"/>
  <c r="CS6" i="23"/>
  <c r="CW5" i="16"/>
  <c r="CT53" i="13"/>
  <c r="CT44" i="12"/>
  <c r="FA76" i="12"/>
  <c r="EZ72" i="12"/>
  <c r="CW169" i="19"/>
  <c r="CW168" i="19"/>
  <c r="CX165" i="19" s="1"/>
  <c r="CU70" i="12"/>
  <c r="CW80" i="12"/>
  <c r="CV96" i="12"/>
  <c r="CU93" i="16"/>
  <c r="CW88" i="12"/>
  <c r="AF173" i="19"/>
  <c r="AE34" i="19"/>
  <c r="DD92" i="12"/>
  <c r="CU33" i="16"/>
  <c r="CU4" i="16"/>
  <c r="CU3" i="16"/>
  <c r="CV8" i="16"/>
  <c r="CS78" i="12"/>
  <c r="CS94" i="12"/>
  <c r="CS82" i="12"/>
  <c r="CS90" i="12"/>
  <c r="CP50" i="16"/>
  <c r="DU27" i="37" l="1"/>
  <c r="AL24" i="25"/>
  <c r="AL25" i="25" s="1"/>
  <c r="W55" i="25"/>
  <c r="W48" i="25"/>
  <c r="CW202" i="37"/>
  <c r="BK21" i="12"/>
  <c r="BK20" i="12"/>
  <c r="BL18" i="12" s="1"/>
  <c r="CW134" i="37"/>
  <c r="DV26" i="37"/>
  <c r="CP38" i="13"/>
  <c r="CO43" i="16" s="1"/>
  <c r="CO11" i="16" s="1"/>
  <c r="DE9" i="18" s="1"/>
  <c r="BN48" i="37"/>
  <c r="BO47" i="37" s="1"/>
  <c r="BO48" i="37" s="1"/>
  <c r="CS5" i="23"/>
  <c r="CT4" i="23"/>
  <c r="CT118" i="23" s="1"/>
  <c r="BJ10" i="12"/>
  <c r="BJ40" i="12" s="1"/>
  <c r="BY41" i="18" s="1"/>
  <c r="BI34" i="23" s="1"/>
  <c r="BJ38" i="12"/>
  <c r="BJ43" i="12" s="1"/>
  <c r="CQ54" i="13"/>
  <c r="CQ46" i="13" s="1"/>
  <c r="CQ45" i="13" s="1"/>
  <c r="CP47" i="16" s="1"/>
  <c r="CP15" i="16" s="1"/>
  <c r="DF13" i="18" s="1"/>
  <c r="CQ18" i="15"/>
  <c r="CQ11" i="11"/>
  <c r="CU42" i="13"/>
  <c r="CP41" i="13"/>
  <c r="DE12" i="18" s="1"/>
  <c r="CU4" i="15"/>
  <c r="CT3" i="15"/>
  <c r="CV34" i="13"/>
  <c r="CV33" i="13" s="1"/>
  <c r="CV47" i="13" s="1"/>
  <c r="CR31" i="12"/>
  <c r="CR30" i="12"/>
  <c r="CS28" i="12" s="1"/>
  <c r="DK35" i="18"/>
  <c r="DK56" i="18"/>
  <c r="DK57" i="18" s="1"/>
  <c r="DL5" i="18"/>
  <c r="DK3" i="18"/>
  <c r="CX80" i="12"/>
  <c r="CW96" i="12"/>
  <c r="CT6" i="23"/>
  <c r="CX5" i="16"/>
  <c r="CU53" i="13"/>
  <c r="CU44" i="12"/>
  <c r="CV93" i="16"/>
  <c r="FB76" i="12"/>
  <c r="CV10" i="23"/>
  <c r="CU3" i="23"/>
  <c r="CV81" i="23"/>
  <c r="AF175" i="19"/>
  <c r="AF176" i="19" s="1"/>
  <c r="CX169" i="19"/>
  <c r="CX168" i="19"/>
  <c r="CY165" i="19" s="1"/>
  <c r="CV4" i="12"/>
  <c r="CU3" i="12"/>
  <c r="CU25" i="12"/>
  <c r="CV23" i="12" s="1"/>
  <c r="CT78" i="12"/>
  <c r="CT94" i="12"/>
  <c r="CT90" i="12"/>
  <c r="CT82" i="12"/>
  <c r="CT16" i="12"/>
  <c r="CU13" i="12"/>
  <c r="CX88" i="12"/>
  <c r="CV33" i="16"/>
  <c r="CV4" i="16"/>
  <c r="CV3" i="16"/>
  <c r="CW8" i="16"/>
  <c r="CQ50" i="16"/>
  <c r="FA72" i="12"/>
  <c r="CT36" i="12"/>
  <c r="CU33" i="12"/>
  <c r="DE92" i="12"/>
  <c r="CV70" i="12"/>
  <c r="H101" i="33"/>
  <c r="I101" i="33" s="1"/>
  <c r="J100" i="33"/>
  <c r="J101" i="33" s="1"/>
  <c r="H100" i="33"/>
  <c r="I100" i="33" s="1"/>
  <c r="CU3" i="11"/>
  <c r="CV8" i="11"/>
  <c r="CU10" i="11"/>
  <c r="CT12" i="23"/>
  <c r="CU87" i="16"/>
  <c r="FA84" i="12"/>
  <c r="DV27" i="37" l="1"/>
  <c r="CX202" i="37"/>
  <c r="BL21" i="12"/>
  <c r="BL20" i="12"/>
  <c r="BM18" i="12" s="1"/>
  <c r="CX134" i="37"/>
  <c r="BP47" i="37"/>
  <c r="BO50" i="37"/>
  <c r="DW26" i="37"/>
  <c r="DW27" i="37" s="1"/>
  <c r="CT5" i="23"/>
  <c r="CQ44" i="13"/>
  <c r="CQ41" i="13" s="1"/>
  <c r="DF12" i="18" s="1"/>
  <c r="CQ37" i="13"/>
  <c r="CQ39" i="13"/>
  <c r="CP44" i="16" s="1"/>
  <c r="CP12" i="16" s="1"/>
  <c r="DF10" i="18" s="1"/>
  <c r="CQ38" i="13"/>
  <c r="CP43" i="16" s="1"/>
  <c r="CP11" i="16" s="1"/>
  <c r="DF9" i="18" s="1"/>
  <c r="BK8" i="12"/>
  <c r="CR11" i="11"/>
  <c r="CR18" i="15"/>
  <c r="CR54" i="13"/>
  <c r="CV17" i="15"/>
  <c r="CV42" i="13"/>
  <c r="CV4" i="15"/>
  <c r="CU3" i="15"/>
  <c r="CW34" i="13"/>
  <c r="CW33" i="13" s="1"/>
  <c r="CW47" i="13" s="1"/>
  <c r="AG173" i="19"/>
  <c r="AF34" i="19"/>
  <c r="CS31" i="12"/>
  <c r="CS30" i="12"/>
  <c r="CT28" i="12" s="1"/>
  <c r="CY88" i="12"/>
  <c r="CU6" i="23"/>
  <c r="CU5" i="23" s="1"/>
  <c r="CY5" i="16"/>
  <c r="CV53" i="13"/>
  <c r="CV44" i="12"/>
  <c r="CU36" i="12"/>
  <c r="DL35" i="18"/>
  <c r="DM5" i="18"/>
  <c r="DL3" i="18"/>
  <c r="CV62" i="16" s="1"/>
  <c r="CV25" i="16" s="1"/>
  <c r="CW8" i="11"/>
  <c r="CV10" i="11"/>
  <c r="CW17" i="15" s="1"/>
  <c r="CV3" i="11"/>
  <c r="J102" i="33"/>
  <c r="H102" i="33"/>
  <c r="I102" i="33" s="1"/>
  <c r="CU16" i="12"/>
  <c r="CY169" i="19"/>
  <c r="CY168" i="19"/>
  <c r="CZ165" i="19" s="1"/>
  <c r="CV3" i="23"/>
  <c r="CW10" i="23"/>
  <c r="CU78" i="12"/>
  <c r="CU94" i="12"/>
  <c r="CU90" i="12"/>
  <c r="CU82" i="12"/>
  <c r="CW33" i="16"/>
  <c r="CW4" i="16"/>
  <c r="CW3" i="16"/>
  <c r="CX8" i="16"/>
  <c r="CU35" i="12"/>
  <c r="CV33" i="12" s="1"/>
  <c r="CU15" i="12"/>
  <c r="CV13" i="12" s="1"/>
  <c r="CU12" i="23"/>
  <c r="FB72" i="12"/>
  <c r="FB84" i="12"/>
  <c r="CR50" i="16"/>
  <c r="CU88" i="16"/>
  <c r="CU89" i="16"/>
  <c r="CU90" i="16" s="1"/>
  <c r="CU35" i="16" s="1"/>
  <c r="CU101" i="16" s="1"/>
  <c r="CV87" i="16"/>
  <c r="CY80" i="12"/>
  <c r="CX96" i="12"/>
  <c r="CW4" i="12"/>
  <c r="CV3" i="12"/>
  <c r="CV25" i="12"/>
  <c r="CW23" i="12" s="1"/>
  <c r="CW70" i="12"/>
  <c r="DF92" i="12"/>
  <c r="CW81" i="23"/>
  <c r="FC76" i="12"/>
  <c r="CW93" i="16"/>
  <c r="BP48" i="37" l="1"/>
  <c r="X43" i="25"/>
  <c r="CY202" i="37"/>
  <c r="BM21" i="12"/>
  <c r="BM20" i="12"/>
  <c r="BN18" i="12" s="1"/>
  <c r="CY134" i="37"/>
  <c r="BO59" i="37"/>
  <c r="BO52" i="37"/>
  <c r="BQ47" i="37"/>
  <c r="BP50" i="37"/>
  <c r="DX26" i="37"/>
  <c r="BK10" i="12"/>
  <c r="BK40" i="12" s="1"/>
  <c r="BZ41" i="18" s="1"/>
  <c r="BJ34" i="23" s="1"/>
  <c r="BK38" i="12"/>
  <c r="CS18" i="15"/>
  <c r="CS54" i="13"/>
  <c r="CS38" i="13" s="1"/>
  <c r="CR43" i="16" s="1"/>
  <c r="CR11" i="16" s="1"/>
  <c r="DH9" i="18" s="1"/>
  <c r="CS11" i="11"/>
  <c r="CR37" i="13"/>
  <c r="CR38" i="13"/>
  <c r="CQ43" i="16" s="1"/>
  <c r="CQ11" i="16" s="1"/>
  <c r="DG9" i="18" s="1"/>
  <c r="CR39" i="13"/>
  <c r="CQ44" i="16" s="1"/>
  <c r="CQ12" i="16" s="1"/>
  <c r="DG10" i="18" s="1"/>
  <c r="CS39" i="13"/>
  <c r="CS37" i="13"/>
  <c r="CS44" i="13"/>
  <c r="CS46" i="13"/>
  <c r="CS45" i="13" s="1"/>
  <c r="CR47" i="16" s="1"/>
  <c r="CR15" i="16" s="1"/>
  <c r="DH13" i="18" s="1"/>
  <c r="CR44" i="13"/>
  <c r="CR41" i="13" s="1"/>
  <c r="DG12" i="18" s="1"/>
  <c r="CR46" i="13"/>
  <c r="CR45" i="13" s="1"/>
  <c r="CQ47" i="16" s="1"/>
  <c r="CQ15" i="16" s="1"/>
  <c r="DG13" i="18" s="1"/>
  <c r="CW42" i="13"/>
  <c r="CW4" i="15"/>
  <c r="CV3" i="15"/>
  <c r="CX34" i="13"/>
  <c r="CX33" i="13" s="1"/>
  <c r="CX47" i="13" s="1"/>
  <c r="CV36" i="12"/>
  <c r="CV35" i="12"/>
  <c r="CW33" i="12" s="1"/>
  <c r="CT31" i="12"/>
  <c r="CT30" i="12"/>
  <c r="CU28" i="12" s="1"/>
  <c r="CV16" i="12"/>
  <c r="CV15" i="12"/>
  <c r="CW13" i="12" s="1"/>
  <c r="CW15" i="12" s="1"/>
  <c r="CW3" i="23"/>
  <c r="CX10" i="23"/>
  <c r="J103" i="33"/>
  <c r="H103" i="33"/>
  <c r="I103" i="33" s="1"/>
  <c r="CZ88" i="12"/>
  <c r="DN5" i="18"/>
  <c r="DM35" i="18"/>
  <c r="DM3" i="18"/>
  <c r="CW62" i="16" s="1"/>
  <c r="CW25" i="16" s="1"/>
  <c r="CR44" i="16"/>
  <c r="CR12" i="16" s="1"/>
  <c r="DH10" i="18" s="1"/>
  <c r="CX81" i="23"/>
  <c r="CX93" i="16"/>
  <c r="FD76" i="12"/>
  <c r="FC72" i="12"/>
  <c r="CV6" i="23"/>
  <c r="CZ5" i="16"/>
  <c r="CW44" i="12"/>
  <c r="CW53" i="13"/>
  <c r="CS50" i="16"/>
  <c r="DG92" i="12"/>
  <c r="CW25" i="12"/>
  <c r="CX23" i="12" s="1"/>
  <c r="CX4" i="12"/>
  <c r="CW3" i="12"/>
  <c r="CX4" i="16"/>
  <c r="CX3" i="16"/>
  <c r="CY8" i="16"/>
  <c r="CX33" i="16"/>
  <c r="CX8" i="11"/>
  <c r="CW3" i="11"/>
  <c r="CW10" i="11"/>
  <c r="CX17" i="15" s="1"/>
  <c r="AG175" i="19"/>
  <c r="AG176" i="19" s="1"/>
  <c r="CX70" i="12"/>
  <c r="FC84" i="12"/>
  <c r="CV12" i="23"/>
  <c r="CZ80" i="12"/>
  <c r="CY96" i="12"/>
  <c r="CV88" i="16"/>
  <c r="CV89" i="16"/>
  <c r="CV90" i="16" s="1"/>
  <c r="CV35" i="16" s="1"/>
  <c r="CV101" i="16" s="1"/>
  <c r="CW87" i="16"/>
  <c r="CZ168" i="19"/>
  <c r="DA165" i="19" s="1"/>
  <c r="CZ169" i="19"/>
  <c r="CV78" i="12"/>
  <c r="CV94" i="12"/>
  <c r="CV90" i="12"/>
  <c r="CV82" i="12"/>
  <c r="BK43" i="12" l="1"/>
  <c r="DX27" i="37"/>
  <c r="AM24" i="25"/>
  <c r="AM25" i="25" s="1"/>
  <c r="X44" i="25"/>
  <c r="X46" i="25" s="1"/>
  <c r="CZ202" i="37"/>
  <c r="BN21" i="12"/>
  <c r="BN20" i="12"/>
  <c r="BO18" i="12" s="1"/>
  <c r="CZ134" i="37"/>
  <c r="BP59" i="37"/>
  <c r="BP52" i="37"/>
  <c r="BQ48" i="37"/>
  <c r="DY26" i="37"/>
  <c r="DY27" i="37" s="1"/>
  <c r="CV5" i="23"/>
  <c r="BL8" i="12"/>
  <c r="CT18" i="15"/>
  <c r="CT11" i="11"/>
  <c r="CT54" i="13"/>
  <c r="CT39" i="13" s="1"/>
  <c r="CS44" i="16" s="1"/>
  <c r="CS12" i="16" s="1"/>
  <c r="DI10" i="18" s="1"/>
  <c r="CT38" i="13"/>
  <c r="CT44" i="13"/>
  <c r="CX42" i="13"/>
  <c r="CS41" i="13"/>
  <c r="DH12" i="18" s="1"/>
  <c r="CX4" i="15"/>
  <c r="CW3" i="15"/>
  <c r="CY34" i="13"/>
  <c r="CY33" i="13" s="1"/>
  <c r="CY47" i="13" s="1"/>
  <c r="CU31" i="12"/>
  <c r="CU30" i="12"/>
  <c r="CV28" i="12" s="1"/>
  <c r="CW36" i="12"/>
  <c r="CW35" i="12"/>
  <c r="CX33" i="12" s="1"/>
  <c r="CZ8" i="16"/>
  <c r="CY33" i="16"/>
  <c r="CY3" i="16"/>
  <c r="CY4" i="16"/>
  <c r="DH92" i="12"/>
  <c r="FE76" i="12"/>
  <c r="CW88" i="16"/>
  <c r="CW89" i="16"/>
  <c r="CW90" i="16" s="1"/>
  <c r="CW35" i="16" s="1"/>
  <c r="CW101" i="16" s="1"/>
  <c r="CX87" i="16"/>
  <c r="FD72" i="12"/>
  <c r="CY10" i="23"/>
  <c r="CX3" i="23"/>
  <c r="CX13" i="12"/>
  <c r="CX15" i="12" s="1"/>
  <c r="CW16" i="12"/>
  <c r="CT50" i="16"/>
  <c r="CW78" i="12"/>
  <c r="CW94" i="12"/>
  <c r="CW90" i="12"/>
  <c r="CW82" i="12"/>
  <c r="CW12" i="23"/>
  <c r="CY8" i="11"/>
  <c r="CX10" i="11"/>
  <c r="CY17" i="15" s="1"/>
  <c r="CX3" i="11"/>
  <c r="CY70" i="12"/>
  <c r="AH173" i="19"/>
  <c r="AG34" i="19"/>
  <c r="DA80" i="12"/>
  <c r="CZ96" i="12"/>
  <c r="CW6" i="23"/>
  <c r="DA5" i="16"/>
  <c r="CX44" i="12"/>
  <c r="CX53" i="13"/>
  <c r="CY93" i="16"/>
  <c r="DO5" i="18"/>
  <c r="DN35" i="18"/>
  <c r="DN3" i="18"/>
  <c r="CX62" i="16" s="1"/>
  <c r="CX25" i="16" s="1"/>
  <c r="DA168" i="19"/>
  <c r="DB165" i="19" s="1"/>
  <c r="DA169" i="19"/>
  <c r="FD84" i="12"/>
  <c r="CS43" i="16"/>
  <c r="CS11" i="16" s="1"/>
  <c r="DI9" i="18" s="1"/>
  <c r="CX25" i="12"/>
  <c r="CY23" i="12" s="1"/>
  <c r="CY4" i="12"/>
  <c r="CX3" i="12"/>
  <c r="CY81" i="23"/>
  <c r="DA88" i="12"/>
  <c r="H104" i="33"/>
  <c r="I104" i="33" s="1"/>
  <c r="J104" i="33" s="1"/>
  <c r="X55" i="25" l="1"/>
  <c r="X48" i="25"/>
  <c r="DA202" i="37"/>
  <c r="BO21" i="12"/>
  <c r="BO20" i="12"/>
  <c r="BP18" i="12" s="1"/>
  <c r="DA134" i="37"/>
  <c r="BR47" i="37"/>
  <c r="BQ50" i="37"/>
  <c r="DZ26" i="37"/>
  <c r="CT46" i="13"/>
  <c r="CT45" i="13" s="1"/>
  <c r="CS47" i="16" s="1"/>
  <c r="CS15" i="16" s="1"/>
  <c r="DI13" i="18" s="1"/>
  <c r="CW5" i="23"/>
  <c r="CX4" i="23"/>
  <c r="CX118" i="23" s="1"/>
  <c r="BL38" i="12"/>
  <c r="BL10" i="12"/>
  <c r="BL40" i="12" s="1"/>
  <c r="CA41" i="18" s="1"/>
  <c r="BK34" i="23" s="1"/>
  <c r="CU11" i="11"/>
  <c r="CT37" i="13"/>
  <c r="CU18" i="15"/>
  <c r="CU54" i="13"/>
  <c r="CU37" i="13" s="1"/>
  <c r="CY42" i="13"/>
  <c r="CT41" i="13"/>
  <c r="DI12" i="18" s="1"/>
  <c r="CY4" i="15"/>
  <c r="CX3" i="15"/>
  <c r="CZ34" i="13"/>
  <c r="CZ33" i="13" s="1"/>
  <c r="CZ47" i="13" s="1"/>
  <c r="CX36" i="12"/>
  <c r="CX35" i="12"/>
  <c r="CY33" i="12" s="1"/>
  <c r="CV31" i="12"/>
  <c r="CV30" i="12"/>
  <c r="CW28" i="12" s="1"/>
  <c r="H105" i="33"/>
  <c r="I105" i="33" s="1"/>
  <c r="J105" i="33" s="1"/>
  <c r="CZ81" i="23"/>
  <c r="DO56" i="18"/>
  <c r="DO57" i="18" s="1"/>
  <c r="DP5" i="18"/>
  <c r="DO35" i="18"/>
  <c r="DO3" i="18"/>
  <c r="CX78" i="12"/>
  <c r="CX94" i="12"/>
  <c r="CX90" i="12"/>
  <c r="CX82" i="12"/>
  <c r="AH175" i="19"/>
  <c r="AH176" i="19" s="1"/>
  <c r="CY10" i="11"/>
  <c r="CY3" i="11"/>
  <c r="CZ8" i="11"/>
  <c r="FE84" i="12"/>
  <c r="CZ10" i="23"/>
  <c r="CY3" i="23"/>
  <c r="FF76" i="12"/>
  <c r="DB88" i="12"/>
  <c r="CZ93" i="16"/>
  <c r="FE72" i="12"/>
  <c r="DA8" i="16"/>
  <c r="CZ33" i="16"/>
  <c r="CZ3" i="16"/>
  <c r="CZ4" i="16"/>
  <c r="DB168" i="19"/>
  <c r="DC165" i="19" s="1"/>
  <c r="DB169" i="19"/>
  <c r="CY25" i="12"/>
  <c r="CZ23" i="12" s="1"/>
  <c r="CZ4" i="12"/>
  <c r="CY3" i="12"/>
  <c r="DB80" i="12"/>
  <c r="DA96" i="12"/>
  <c r="CZ70" i="12"/>
  <c r="CX16" i="12"/>
  <c r="CY13" i="12"/>
  <c r="CY15" i="12" s="1"/>
  <c r="DI92" i="12"/>
  <c r="CY87" i="16"/>
  <c r="CX12" i="23"/>
  <c r="CX6" i="23"/>
  <c r="DB5" i="16"/>
  <c r="CY53" i="13"/>
  <c r="CY44" i="12"/>
  <c r="CU50" i="16"/>
  <c r="DZ27" i="37" l="1"/>
  <c r="BL43" i="12"/>
  <c r="DB202" i="37"/>
  <c r="BP21" i="12"/>
  <c r="BP20" i="12"/>
  <c r="BQ18" i="12" s="1"/>
  <c r="DB134" i="37"/>
  <c r="BQ59" i="37"/>
  <c r="BQ52" i="37"/>
  <c r="BR48" i="37"/>
  <c r="EA26" i="37"/>
  <c r="EA27" i="37" s="1"/>
  <c r="CU44" i="13"/>
  <c r="CU41" i="13" s="1"/>
  <c r="DJ12" i="18" s="1"/>
  <c r="CU38" i="13"/>
  <c r="CT43" i="16" s="1"/>
  <c r="CT11" i="16" s="1"/>
  <c r="DJ9" i="18" s="1"/>
  <c r="CU39" i="13"/>
  <c r="CT44" i="16" s="1"/>
  <c r="CT12" i="16" s="1"/>
  <c r="DJ10" i="18" s="1"/>
  <c r="CX5" i="23"/>
  <c r="BM8" i="12"/>
  <c r="CZ17" i="15"/>
  <c r="CU46" i="13"/>
  <c r="CU45" i="13" s="1"/>
  <c r="CT47" i="16" s="1"/>
  <c r="CT15" i="16" s="1"/>
  <c r="DJ13" i="18" s="1"/>
  <c r="CV18" i="15"/>
  <c r="CV54" i="13"/>
  <c r="CV39" i="13" s="1"/>
  <c r="CU44" i="16" s="1"/>
  <c r="CU12" i="16" s="1"/>
  <c r="DK10" i="18" s="1"/>
  <c r="CV11" i="11"/>
  <c r="CV38" i="13"/>
  <c r="CU43" i="16" s="1"/>
  <c r="CU11" i="16" s="1"/>
  <c r="DK9" i="18" s="1"/>
  <c r="CV46" i="13"/>
  <c r="CV45" i="13" s="1"/>
  <c r="CU47" i="16" s="1"/>
  <c r="CU15" i="16" s="1"/>
  <c r="DK13" i="18" s="1"/>
  <c r="CZ42" i="13"/>
  <c r="CZ4" i="15"/>
  <c r="CY3" i="15"/>
  <c r="DA34" i="13"/>
  <c r="DA33" i="13" s="1"/>
  <c r="DA47" i="13" s="1"/>
  <c r="H106" i="33"/>
  <c r="I106" i="33" s="1"/>
  <c r="J106" i="33" s="1"/>
  <c r="AI173" i="19"/>
  <c r="AH34" i="19"/>
  <c r="CY36" i="12"/>
  <c r="CY35" i="12"/>
  <c r="CZ33" i="12" s="1"/>
  <c r="DA70" i="12"/>
  <c r="DA33" i="16"/>
  <c r="DA4" i="16"/>
  <c r="DA3" i="16"/>
  <c r="DB8" i="16"/>
  <c r="DA93" i="16"/>
  <c r="DC80" i="12"/>
  <c r="DB96" i="12"/>
  <c r="CW31" i="12"/>
  <c r="CW30" i="12"/>
  <c r="CX28" i="12" s="1"/>
  <c r="DA10" i="23"/>
  <c r="CZ3" i="23"/>
  <c r="CY16" i="12"/>
  <c r="CZ13" i="12"/>
  <c r="CZ15" i="12" s="1"/>
  <c r="DA4" i="12"/>
  <c r="CZ3" i="12"/>
  <c r="CZ25" i="12"/>
  <c r="DA23" i="12" s="1"/>
  <c r="DC88" i="12"/>
  <c r="DJ92" i="12"/>
  <c r="CV50" i="16"/>
  <c r="CZ10" i="11"/>
  <c r="DA17" i="15" s="1"/>
  <c r="CZ3" i="11"/>
  <c r="DA8" i="11"/>
  <c r="FF72" i="12"/>
  <c r="FF84" i="12"/>
  <c r="CY78" i="12"/>
  <c r="CY94" i="12"/>
  <c r="CY90" i="12"/>
  <c r="CY82" i="12"/>
  <c r="CY89" i="16"/>
  <c r="CY90" i="16" s="1"/>
  <c r="CY35" i="16" s="1"/>
  <c r="CY101" i="16" s="1"/>
  <c r="CZ87" i="16"/>
  <c r="CY88" i="16"/>
  <c r="CY6" i="23"/>
  <c r="CY5" i="23" s="1"/>
  <c r="CZ53" i="13"/>
  <c r="DC5" i="16"/>
  <c r="CZ44" i="12"/>
  <c r="CY12" i="23"/>
  <c r="DA81" i="23"/>
  <c r="DC168" i="19"/>
  <c r="DD165" i="19" s="1"/>
  <c r="DC169" i="19"/>
  <c r="FG76" i="12"/>
  <c r="DQ5" i="18"/>
  <c r="DP35" i="18"/>
  <c r="DP3" i="18"/>
  <c r="CZ62" i="16" s="1"/>
  <c r="CZ25" i="16" s="1"/>
  <c r="DC202" i="37" l="1"/>
  <c r="BQ21" i="12"/>
  <c r="BQ20" i="12"/>
  <c r="BR18" i="12" s="1"/>
  <c r="DC134" i="37"/>
  <c r="BS47" i="37"/>
  <c r="BR50" i="37"/>
  <c r="EB26" i="37"/>
  <c r="CV44" i="13"/>
  <c r="CV41" i="13" s="1"/>
  <c r="DK12" i="18" s="1"/>
  <c r="CV37" i="13"/>
  <c r="BM38" i="12"/>
  <c r="BM10" i="12"/>
  <c r="BM40" i="12" s="1"/>
  <c r="CB41" i="18" s="1"/>
  <c r="BL34" i="23" s="1"/>
  <c r="CW54" i="13"/>
  <c r="CW44" i="13" s="1"/>
  <c r="CW18" i="15"/>
  <c r="CW11" i="11"/>
  <c r="CW39" i="13"/>
  <c r="CV44" i="16" s="1"/>
  <c r="CV12" i="16" s="1"/>
  <c r="DL10" i="18" s="1"/>
  <c r="CW37" i="13"/>
  <c r="CW38" i="13"/>
  <c r="CV43" i="16" s="1"/>
  <c r="CV11" i="16" s="1"/>
  <c r="DL9" i="18" s="1"/>
  <c r="CW46" i="13"/>
  <c r="CW45" i="13" s="1"/>
  <c r="CV47" i="16" s="1"/>
  <c r="CV15" i="16" s="1"/>
  <c r="DL13" i="18" s="1"/>
  <c r="DA42" i="13"/>
  <c r="DA4" i="15"/>
  <c r="CZ3" i="15"/>
  <c r="DB34" i="13"/>
  <c r="DB33" i="13" s="1"/>
  <c r="DB47" i="13" s="1"/>
  <c r="CZ36" i="12"/>
  <c r="CZ35" i="12"/>
  <c r="DA33" i="12" s="1"/>
  <c r="CX31" i="12"/>
  <c r="CX30" i="12"/>
  <c r="CY28" i="12" s="1"/>
  <c r="DB93" i="16"/>
  <c r="DB70" i="12"/>
  <c r="DA10" i="11"/>
  <c r="DB17" i="15" s="1"/>
  <c r="DA3" i="11"/>
  <c r="DB8" i="11"/>
  <c r="DD80" i="12"/>
  <c r="DC96" i="12"/>
  <c r="CZ6" i="23"/>
  <c r="DD5" i="16"/>
  <c r="DA53" i="13"/>
  <c r="DA44" i="12"/>
  <c r="DB4" i="12"/>
  <c r="DA3" i="12"/>
  <c r="DA25" i="12"/>
  <c r="DB23" i="12" s="1"/>
  <c r="DB33" i="16"/>
  <c r="DB4" i="16"/>
  <c r="DB3" i="16"/>
  <c r="DC8" i="16"/>
  <c r="DR5" i="18"/>
  <c r="DQ35" i="18"/>
  <c r="DQ3" i="18"/>
  <c r="DA62" i="16" s="1"/>
  <c r="DA25" i="16" s="1"/>
  <c r="DB10" i="23"/>
  <c r="DA3" i="23"/>
  <c r="CZ78" i="12"/>
  <c r="CZ94" i="12"/>
  <c r="CZ82" i="12"/>
  <c r="CZ90" i="12"/>
  <c r="DB81" i="23"/>
  <c r="FG72" i="12"/>
  <c r="DD88" i="12"/>
  <c r="H107" i="33"/>
  <c r="I107" i="33" s="1"/>
  <c r="J107" i="33" s="1"/>
  <c r="DD169" i="19"/>
  <c r="DD168" i="19"/>
  <c r="DE165" i="19" s="1"/>
  <c r="FH76" i="12"/>
  <c r="CZ12" i="23"/>
  <c r="CW50" i="16"/>
  <c r="CZ16" i="12"/>
  <c r="DA13" i="12"/>
  <c r="DA15" i="12" s="1"/>
  <c r="CZ89" i="16"/>
  <c r="CZ90" i="16" s="1"/>
  <c r="CZ35" i="16" s="1"/>
  <c r="CZ101" i="16" s="1"/>
  <c r="DA87" i="16"/>
  <c r="CZ88" i="16"/>
  <c r="FG84" i="12"/>
  <c r="DK92" i="12"/>
  <c r="AI175" i="19"/>
  <c r="AI176" i="19" s="1"/>
  <c r="EB27" i="37" l="1"/>
  <c r="AN24" i="25"/>
  <c r="AN25" i="25" s="1"/>
  <c r="BM43" i="12"/>
  <c r="DD202" i="37"/>
  <c r="BR20" i="12"/>
  <c r="BS18" i="12" s="1"/>
  <c r="BR21" i="12"/>
  <c r="DD134" i="37"/>
  <c r="BR59" i="37"/>
  <c r="BR52" i="37"/>
  <c r="BS48" i="37"/>
  <c r="EC26" i="37"/>
  <c r="EC27" i="37" s="1"/>
  <c r="CZ5" i="23"/>
  <c r="BN8" i="12"/>
  <c r="CX54" i="13"/>
  <c r="CX44" i="13" s="1"/>
  <c r="CX11" i="11"/>
  <c r="CX18" i="15"/>
  <c r="CX37" i="13"/>
  <c r="CX39" i="13"/>
  <c r="CW44" i="16" s="1"/>
  <c r="CW12" i="16" s="1"/>
  <c r="DM10" i="18" s="1"/>
  <c r="CX38" i="13"/>
  <c r="DB42" i="13"/>
  <c r="CW41" i="13"/>
  <c r="DL12" i="18" s="1"/>
  <c r="DB4" i="15"/>
  <c r="DA3" i="15"/>
  <c r="DC34" i="13"/>
  <c r="DC33" i="13" s="1"/>
  <c r="DC47" i="13" s="1"/>
  <c r="CY31" i="12"/>
  <c r="CY30" i="12"/>
  <c r="CZ28" i="12" s="1"/>
  <c r="DA36" i="12"/>
  <c r="DA35" i="12"/>
  <c r="DB33" i="12" s="1"/>
  <c r="DB35" i="12" s="1"/>
  <c r="DC33" i="16"/>
  <c r="DC4" i="16"/>
  <c r="DC3" i="16"/>
  <c r="DD8" i="16"/>
  <c r="DA6" i="23"/>
  <c r="DE5" i="16"/>
  <c r="DB53" i="13"/>
  <c r="DB44" i="12"/>
  <c r="FH84" i="12"/>
  <c r="DC4" i="12"/>
  <c r="DB3" i="12"/>
  <c r="DB25" i="12"/>
  <c r="DC23" i="12" s="1"/>
  <c r="DA89" i="16"/>
  <c r="DA90" i="16" s="1"/>
  <c r="DA35" i="16" s="1"/>
  <c r="DA101" i="16" s="1"/>
  <c r="DB87" i="16"/>
  <c r="DA88" i="16"/>
  <c r="DC81" i="23"/>
  <c r="DC10" i="23"/>
  <c r="DB3" i="23"/>
  <c r="CX50" i="16"/>
  <c r="DC70" i="12"/>
  <c r="DA78" i="12"/>
  <c r="DA94" i="12"/>
  <c r="DA82" i="12"/>
  <c r="DA90" i="12"/>
  <c r="AJ173" i="19"/>
  <c r="AI34" i="19"/>
  <c r="FI76" i="12"/>
  <c r="DE88" i="12"/>
  <c r="DA12" i="23"/>
  <c r="CW43" i="16"/>
  <c r="CW11" i="16" s="1"/>
  <c r="DM9" i="18" s="1"/>
  <c r="DE80" i="12"/>
  <c r="DD96" i="12"/>
  <c r="DC93" i="16"/>
  <c r="DL92" i="12"/>
  <c r="DA16" i="12"/>
  <c r="DB13" i="12"/>
  <c r="DB15" i="12" s="1"/>
  <c r="DE169" i="19"/>
  <c r="DE168" i="19"/>
  <c r="DF165" i="19" s="1"/>
  <c r="FH72" i="12"/>
  <c r="DS5" i="18"/>
  <c r="DR35" i="18"/>
  <c r="DR3" i="18"/>
  <c r="DB62" i="16" s="1"/>
  <c r="DB25" i="16" s="1"/>
  <c r="DB10" i="11"/>
  <c r="DC17" i="15" s="1"/>
  <c r="DB3" i="11"/>
  <c r="DC8" i="11"/>
  <c r="DE202" i="37" l="1"/>
  <c r="BS21" i="12"/>
  <c r="BS20" i="12"/>
  <c r="BT18" i="12" s="1"/>
  <c r="DE134" i="37"/>
  <c r="BT47" i="37"/>
  <c r="BS50" i="37"/>
  <c r="ED26" i="37"/>
  <c r="CX46" i="13"/>
  <c r="CX45" i="13" s="1"/>
  <c r="CW47" i="16" s="1"/>
  <c r="CW15" i="16" s="1"/>
  <c r="DM13" i="18" s="1"/>
  <c r="DA5" i="23"/>
  <c r="DB4" i="23"/>
  <c r="DB118" i="23" s="1"/>
  <c r="BN38" i="12"/>
  <c r="BN10" i="12"/>
  <c r="BN40" i="12" s="1"/>
  <c r="CC41" i="18" s="1"/>
  <c r="BM34" i="23" s="1"/>
  <c r="CY18" i="15"/>
  <c r="CY54" i="13"/>
  <c r="CY38" i="13" s="1"/>
  <c r="CX43" i="16" s="1"/>
  <c r="CX11" i="16" s="1"/>
  <c r="DN9" i="18" s="1"/>
  <c r="CY11" i="11"/>
  <c r="CY37" i="13"/>
  <c r="CY44" i="13"/>
  <c r="CY46" i="13"/>
  <c r="CY45" i="13" s="1"/>
  <c r="CX47" i="16" s="1"/>
  <c r="CX15" i="16" s="1"/>
  <c r="DN13" i="18" s="1"/>
  <c r="DC42" i="13"/>
  <c r="CX41" i="13"/>
  <c r="DC4" i="15"/>
  <c r="DB3" i="15"/>
  <c r="DD34" i="13"/>
  <c r="DD33" i="13" s="1"/>
  <c r="DD47" i="13" s="1"/>
  <c r="CZ31" i="12"/>
  <c r="CZ30" i="12"/>
  <c r="DA28" i="12" s="1"/>
  <c r="DB78" i="12"/>
  <c r="DB94" i="12"/>
  <c r="DB90" i="12"/>
  <c r="DB82" i="12"/>
  <c r="DB36" i="12"/>
  <c r="DC33" i="12"/>
  <c r="DC35" i="12" s="1"/>
  <c r="FJ76" i="12"/>
  <c r="DD10" i="23"/>
  <c r="DC3" i="23"/>
  <c r="DB12" i="23"/>
  <c r="DM92" i="12"/>
  <c r="DD93" i="16"/>
  <c r="DD4" i="12"/>
  <c r="DC3" i="12"/>
  <c r="DC25" i="12"/>
  <c r="DD23" i="12" s="1"/>
  <c r="FI72" i="12"/>
  <c r="DF169" i="19"/>
  <c r="DF168" i="19"/>
  <c r="DG165" i="19" s="1"/>
  <c r="AJ175" i="19"/>
  <c r="AJ176" i="19" s="1"/>
  <c r="FI84" i="12"/>
  <c r="DB6" i="23"/>
  <c r="DF5" i="16"/>
  <c r="DC53" i="13"/>
  <c r="DC44" i="12"/>
  <c r="DC87" i="16"/>
  <c r="DD33" i="16"/>
  <c r="DD4" i="16"/>
  <c r="DD3" i="16"/>
  <c r="DE8" i="16"/>
  <c r="DF80" i="12"/>
  <c r="DE96" i="12"/>
  <c r="DF88" i="12"/>
  <c r="DD70" i="12"/>
  <c r="DD81" i="23"/>
  <c r="CY50" i="16"/>
  <c r="DC3" i="11"/>
  <c r="DD8" i="11"/>
  <c r="DC10" i="11"/>
  <c r="DS56" i="18"/>
  <c r="DS57" i="18" s="1"/>
  <c r="DS35" i="18"/>
  <c r="DT5" i="18"/>
  <c r="DS3" i="18"/>
  <c r="DB16" i="12"/>
  <c r="DC13" i="12"/>
  <c r="ED27" i="37" l="1"/>
  <c r="BN43" i="12"/>
  <c r="DF202" i="37"/>
  <c r="BT21" i="12"/>
  <c r="BT20" i="12"/>
  <c r="BU18" i="12" s="1"/>
  <c r="DF134" i="37"/>
  <c r="BS59" i="37"/>
  <c r="BS52" i="37"/>
  <c r="BT48" i="37"/>
  <c r="EE26" i="37"/>
  <c r="EE27" i="37" s="1"/>
  <c r="BO8" i="12"/>
  <c r="CY39" i="13"/>
  <c r="CX44" i="16" s="1"/>
  <c r="CX12" i="16" s="1"/>
  <c r="DN10" i="18" s="1"/>
  <c r="DB5" i="23"/>
  <c r="BO38" i="12"/>
  <c r="BO10" i="12"/>
  <c r="BO40" i="12" s="1"/>
  <c r="CD41" i="18" s="1"/>
  <c r="BN34" i="23" s="1"/>
  <c r="CZ11" i="11"/>
  <c r="CZ18" i="15"/>
  <c r="CZ54" i="13"/>
  <c r="CZ44" i="13" s="1"/>
  <c r="DM12" i="18"/>
  <c r="DD17" i="15"/>
  <c r="CZ39" i="13"/>
  <c r="CY44" i="16" s="1"/>
  <c r="CY12" i="16" s="1"/>
  <c r="DO10" i="18" s="1"/>
  <c r="CZ46" i="13"/>
  <c r="CZ45" i="13" s="1"/>
  <c r="CY47" i="16" s="1"/>
  <c r="CY15" i="16" s="1"/>
  <c r="DO13" i="18" s="1"/>
  <c r="DD42" i="13"/>
  <c r="CY41" i="13"/>
  <c r="DN12" i="18" s="1"/>
  <c r="DD4" i="15"/>
  <c r="DC3" i="15"/>
  <c r="DE34" i="13"/>
  <c r="DE33" i="13" s="1"/>
  <c r="DE47" i="13" s="1"/>
  <c r="DC16" i="12"/>
  <c r="DC6" i="23"/>
  <c r="DC5" i="23" s="1"/>
  <c r="DG5" i="16"/>
  <c r="DD53" i="13"/>
  <c r="DD44" i="12"/>
  <c r="DG80" i="12"/>
  <c r="DF96" i="12"/>
  <c r="DE8" i="11"/>
  <c r="DD10" i="11"/>
  <c r="DE17" i="15" s="1"/>
  <c r="DD3" i="11"/>
  <c r="DE33" i="16"/>
  <c r="DE4" i="16"/>
  <c r="DE3" i="16"/>
  <c r="DF8" i="16"/>
  <c r="DC88" i="16"/>
  <c r="DC89" i="16"/>
  <c r="DC90" i="16" s="1"/>
  <c r="DC35" i="16" s="1"/>
  <c r="DC101" i="16" s="1"/>
  <c r="DD87" i="16"/>
  <c r="AK173" i="19"/>
  <c r="AJ34" i="19"/>
  <c r="DC36" i="12"/>
  <c r="DD33" i="12"/>
  <c r="DD35" i="12" s="1"/>
  <c r="DA31" i="12"/>
  <c r="DA30" i="12"/>
  <c r="DB28" i="12" s="1"/>
  <c r="DE70" i="12"/>
  <c r="DT35" i="18"/>
  <c r="DU5" i="18"/>
  <c r="DT3" i="18"/>
  <c r="DD62" i="16" s="1"/>
  <c r="DD25" i="16" s="1"/>
  <c r="DE81" i="23"/>
  <c r="DG88" i="12"/>
  <c r="DE4" i="12"/>
  <c r="DD3" i="12"/>
  <c r="DD25" i="12"/>
  <c r="DE23" i="12" s="1"/>
  <c r="DE93" i="16"/>
  <c r="DD3" i="23"/>
  <c r="DE10" i="23"/>
  <c r="DC78" i="12"/>
  <c r="DC94" i="12"/>
  <c r="DC90" i="12"/>
  <c r="DC82" i="12"/>
  <c r="CZ50" i="16"/>
  <c r="DG169" i="19"/>
  <c r="DG168" i="19"/>
  <c r="DH165" i="19" s="1"/>
  <c r="FJ72" i="12"/>
  <c r="DC12" i="23"/>
  <c r="FJ84" i="12"/>
  <c r="DC15" i="12"/>
  <c r="DD13" i="12" s="1"/>
  <c r="DN92" i="12"/>
  <c r="FK76" i="12"/>
  <c r="BO43" i="12" l="1"/>
  <c r="DG202" i="37"/>
  <c r="BU20" i="12"/>
  <c r="BV18" i="12" s="1"/>
  <c r="BU21" i="12"/>
  <c r="DG134" i="37"/>
  <c r="BU47" i="37"/>
  <c r="BT50" i="37"/>
  <c r="EF26" i="37"/>
  <c r="CZ37" i="13"/>
  <c r="CZ38" i="13"/>
  <c r="CY43" i="16" s="1"/>
  <c r="CY11" i="16" s="1"/>
  <c r="DO9" i="18" s="1"/>
  <c r="BP8" i="12"/>
  <c r="DA11" i="11"/>
  <c r="DA54" i="13"/>
  <c r="DA39" i="13" s="1"/>
  <c r="CZ44" i="16" s="1"/>
  <c r="CZ12" i="16" s="1"/>
  <c r="DP10" i="18" s="1"/>
  <c r="DA18" i="15"/>
  <c r="DA37" i="13"/>
  <c r="DA38" i="13"/>
  <c r="DA46" i="13"/>
  <c r="DA45" i="13" s="1"/>
  <c r="CZ47" i="16" s="1"/>
  <c r="CZ15" i="16" s="1"/>
  <c r="DP13" i="18" s="1"/>
  <c r="DE42" i="13"/>
  <c r="CZ41" i="13"/>
  <c r="DO12" i="18" s="1"/>
  <c r="DE4" i="15"/>
  <c r="DD3" i="15"/>
  <c r="DF34" i="13"/>
  <c r="DF33" i="13" s="1"/>
  <c r="DF47" i="13" s="1"/>
  <c r="DD16" i="12"/>
  <c r="DD15" i="12"/>
  <c r="DE13" i="12" s="1"/>
  <c r="DB31" i="12"/>
  <c r="DB30" i="12"/>
  <c r="DC28" i="12" s="1"/>
  <c r="DD88" i="16"/>
  <c r="DD89" i="16"/>
  <c r="DD90" i="16" s="1"/>
  <c r="DD35" i="16" s="1"/>
  <c r="DD101" i="16" s="1"/>
  <c r="DE87" i="16"/>
  <c r="DF8" i="11"/>
  <c r="DE3" i="11"/>
  <c r="DE10" i="11"/>
  <c r="DF17" i="15" s="1"/>
  <c r="DF70" i="12"/>
  <c r="DH88" i="12"/>
  <c r="DV5" i="18"/>
  <c r="DU35" i="18"/>
  <c r="DU3" i="18"/>
  <c r="DE62" i="16" s="1"/>
  <c r="DE25" i="16" s="1"/>
  <c r="DD36" i="12"/>
  <c r="DE33" i="12"/>
  <c r="DE35" i="12" s="1"/>
  <c r="DH80" i="12"/>
  <c r="DG96" i="12"/>
  <c r="DD78" i="12"/>
  <c r="DD94" i="12"/>
  <c r="DD82" i="12"/>
  <c r="DD90" i="12"/>
  <c r="DE3" i="23"/>
  <c r="DF10" i="23"/>
  <c r="FL76" i="12"/>
  <c r="DO92" i="12"/>
  <c r="DH168" i="19"/>
  <c r="DI165" i="19" s="1"/>
  <c r="DH169" i="19"/>
  <c r="DD12" i="23"/>
  <c r="DF4" i="16"/>
  <c r="DF3" i="16"/>
  <c r="DG8" i="16"/>
  <c r="DF33" i="16"/>
  <c r="FK84" i="12"/>
  <c r="FK72" i="12"/>
  <c r="DF93" i="16"/>
  <c r="DA50" i="16"/>
  <c r="CZ43" i="16"/>
  <c r="CZ11" i="16" s="1"/>
  <c r="DP9" i="18" s="1"/>
  <c r="DE25" i="12"/>
  <c r="DF23" i="12" s="1"/>
  <c r="DF4" i="12"/>
  <c r="DE3" i="12"/>
  <c r="DF81" i="23"/>
  <c r="AK175" i="19"/>
  <c r="AK176" i="19" s="1"/>
  <c r="DD6" i="23"/>
  <c r="DD5" i="23" s="1"/>
  <c r="DH5" i="16"/>
  <c r="DE53" i="13"/>
  <c r="DE44" i="12"/>
  <c r="EF27" i="37" l="1"/>
  <c r="AO24" i="25"/>
  <c r="AO25" i="25" s="1"/>
  <c r="DH202" i="37"/>
  <c r="BV20" i="12"/>
  <c r="BW18" i="12" s="1"/>
  <c r="BV21" i="12"/>
  <c r="DH134" i="37"/>
  <c r="BT59" i="37"/>
  <c r="BT52" i="37"/>
  <c r="BU48" i="37"/>
  <c r="EG26" i="37"/>
  <c r="EG27" i="37" s="1"/>
  <c r="BP38" i="12"/>
  <c r="BP10" i="12"/>
  <c r="BP40" i="12" s="1"/>
  <c r="CE41" i="18" s="1"/>
  <c r="BO34" i="23" s="1"/>
  <c r="DA44" i="13"/>
  <c r="DA41" i="13" s="1"/>
  <c r="DP12" i="18" s="1"/>
  <c r="DB18" i="15"/>
  <c r="DB11" i="11"/>
  <c r="DB54" i="13"/>
  <c r="DB38" i="13" s="1"/>
  <c r="DA43" i="16" s="1"/>
  <c r="DA11" i="16" s="1"/>
  <c r="DQ9" i="18" s="1"/>
  <c r="DB37" i="13"/>
  <c r="DB39" i="13"/>
  <c r="DA44" i="16" s="1"/>
  <c r="DA12" i="16" s="1"/>
  <c r="DQ10" i="18" s="1"/>
  <c r="DF42" i="13"/>
  <c r="DF4" i="15"/>
  <c r="DE3" i="15"/>
  <c r="DG34" i="13"/>
  <c r="DG33" i="13" s="1"/>
  <c r="DG47" i="13" s="1"/>
  <c r="DC31" i="12"/>
  <c r="DC30" i="12"/>
  <c r="DD28" i="12" s="1"/>
  <c r="DE16" i="12"/>
  <c r="DE15" i="12"/>
  <c r="DF13" i="12" s="1"/>
  <c r="DF15" i="12" s="1"/>
  <c r="DG81" i="23"/>
  <c r="DI168" i="19"/>
  <c r="DJ165" i="19" s="1"/>
  <c r="DI169" i="19"/>
  <c r="DE88" i="16"/>
  <c r="DE89" i="16"/>
  <c r="DE90" i="16" s="1"/>
  <c r="DE35" i="16" s="1"/>
  <c r="DE101" i="16" s="1"/>
  <c r="DF87" i="16"/>
  <c r="DH8" i="16"/>
  <c r="DG33" i="16"/>
  <c r="DG3" i="16"/>
  <c r="DG4" i="16"/>
  <c r="DE36" i="12"/>
  <c r="DF33" i="12"/>
  <c r="DF35" i="12" s="1"/>
  <c r="AL173" i="19"/>
  <c r="AK34" i="19"/>
  <c r="DG93" i="16"/>
  <c r="FL84" i="12"/>
  <c r="DP92" i="12"/>
  <c r="DB50" i="16"/>
  <c r="FM76" i="12"/>
  <c r="DE12" i="23"/>
  <c r="DW5" i="18"/>
  <c r="DV35" i="18"/>
  <c r="DV3" i="18"/>
  <c r="DF62" i="16" s="1"/>
  <c r="DF25" i="16" s="1"/>
  <c r="DG10" i="23"/>
  <c r="DF3" i="23"/>
  <c r="DE6" i="23"/>
  <c r="DI5" i="16"/>
  <c r="DF53" i="13"/>
  <c r="DF44" i="12"/>
  <c r="DF25" i="12"/>
  <c r="DG23" i="12" s="1"/>
  <c r="DG4" i="12"/>
  <c r="DF3" i="12"/>
  <c r="DG70" i="12"/>
  <c r="DE78" i="12"/>
  <c r="DE94" i="12"/>
  <c r="DE82" i="12"/>
  <c r="DE90" i="12"/>
  <c r="FL72" i="12"/>
  <c r="DI80" i="12"/>
  <c r="DH96" i="12"/>
  <c r="DI88" i="12"/>
  <c r="DG8" i="11"/>
  <c r="DF10" i="11"/>
  <c r="DF3" i="11"/>
  <c r="BP43" i="12" l="1"/>
  <c r="DI202" i="37"/>
  <c r="BW21" i="12"/>
  <c r="BW20" i="12"/>
  <c r="BX18" i="12" s="1"/>
  <c r="DI134" i="37"/>
  <c r="BV47" i="37"/>
  <c r="BU50" i="37"/>
  <c r="EH26" i="37"/>
  <c r="DB46" i="13"/>
  <c r="DB45" i="13" s="1"/>
  <c r="DA47" i="16" s="1"/>
  <c r="DA15" i="16" s="1"/>
  <c r="DQ13" i="18" s="1"/>
  <c r="DE5" i="23"/>
  <c r="DF4" i="23"/>
  <c r="DF118" i="23" s="1"/>
  <c r="BQ8" i="12"/>
  <c r="DG17" i="15"/>
  <c r="DC11" i="11"/>
  <c r="DB44" i="13"/>
  <c r="DB41" i="13" s="1"/>
  <c r="DQ12" i="18" s="1"/>
  <c r="DC18" i="15"/>
  <c r="DC54" i="13"/>
  <c r="DC38" i="13" s="1"/>
  <c r="DB43" i="16" s="1"/>
  <c r="DB11" i="16" s="1"/>
  <c r="DR9" i="18" s="1"/>
  <c r="DG42" i="13"/>
  <c r="DG4" i="15"/>
  <c r="DF3" i="15"/>
  <c r="DH34" i="13"/>
  <c r="DH33" i="13" s="1"/>
  <c r="DH47" i="13" s="1"/>
  <c r="DD31" i="12"/>
  <c r="DD30" i="12"/>
  <c r="DE28" i="12" s="1"/>
  <c r="FM84" i="12"/>
  <c r="DF16" i="12"/>
  <c r="DG13" i="12"/>
  <c r="DJ88" i="12"/>
  <c r="FM72" i="12"/>
  <c r="DH93" i="16"/>
  <c r="DG33" i="12"/>
  <c r="DG35" i="12" s="1"/>
  <c r="DF36" i="12"/>
  <c r="DI8" i="16"/>
  <c r="DH33" i="16"/>
  <c r="DH3" i="16"/>
  <c r="DH4" i="16"/>
  <c r="DG15" i="12"/>
  <c r="DG25" i="12"/>
  <c r="DH23" i="12" s="1"/>
  <c r="DH4" i="12"/>
  <c r="DG3" i="12"/>
  <c r="DJ80" i="12"/>
  <c r="DI96" i="12"/>
  <c r="DH10" i="23"/>
  <c r="DG3" i="23"/>
  <c r="DF12" i="23"/>
  <c r="DF78" i="12"/>
  <c r="DF94" i="12"/>
  <c r="DF82" i="12"/>
  <c r="DF90" i="12"/>
  <c r="DW56" i="18"/>
  <c r="DW57" i="18" s="1"/>
  <c r="DX5" i="18"/>
  <c r="DW35" i="18"/>
  <c r="DW3" i="18"/>
  <c r="DG87" i="16"/>
  <c r="DJ168" i="19"/>
  <c r="DK165" i="19" s="1"/>
  <c r="DJ169" i="19"/>
  <c r="DH81" i="23"/>
  <c r="FN76" i="12"/>
  <c r="DQ92" i="12"/>
  <c r="DC50" i="16"/>
  <c r="DF6" i="23"/>
  <c r="DG53" i="13"/>
  <c r="DG44" i="12"/>
  <c r="DJ5" i="16"/>
  <c r="DG10" i="11"/>
  <c r="DG3" i="11"/>
  <c r="DH8" i="11"/>
  <c r="DH70" i="12"/>
  <c r="AL175" i="19"/>
  <c r="AL176" i="19" s="1"/>
  <c r="EH27" i="37" l="1"/>
  <c r="BV48" i="37"/>
  <c r="DJ202" i="37"/>
  <c r="BX21" i="12"/>
  <c r="BX20" i="12"/>
  <c r="BY18" i="12" s="1"/>
  <c r="DJ134" i="37"/>
  <c r="BU59" i="37"/>
  <c r="BU52" i="37"/>
  <c r="BW47" i="37"/>
  <c r="BW48" i="37" s="1"/>
  <c r="BV50" i="37"/>
  <c r="EI26" i="37"/>
  <c r="EI27" i="37" s="1"/>
  <c r="DF5" i="23"/>
  <c r="DC46" i="13"/>
  <c r="DC45" i="13" s="1"/>
  <c r="DB47" i="16" s="1"/>
  <c r="DB15" i="16" s="1"/>
  <c r="DR13" i="18" s="1"/>
  <c r="DC44" i="13"/>
  <c r="DC41" i="13" s="1"/>
  <c r="DR12" i="18" s="1"/>
  <c r="DC39" i="13"/>
  <c r="DB44" i="16" s="1"/>
  <c r="DB12" i="16" s="1"/>
  <c r="DR10" i="18" s="1"/>
  <c r="BQ38" i="12"/>
  <c r="BQ10" i="12"/>
  <c r="BQ40" i="12" s="1"/>
  <c r="CF41" i="18" s="1"/>
  <c r="BP34" i="23" s="1"/>
  <c r="DH17" i="15"/>
  <c r="DC37" i="13"/>
  <c r="DD54" i="13"/>
  <c r="DD18" i="15"/>
  <c r="DD11" i="11"/>
  <c r="DH42" i="13"/>
  <c r="DH4" i="15"/>
  <c r="DG3" i="15"/>
  <c r="DI34" i="13"/>
  <c r="DI33" i="13" s="1"/>
  <c r="DI47" i="13" s="1"/>
  <c r="DE31" i="12"/>
  <c r="DE30" i="12"/>
  <c r="DF28" i="12" s="1"/>
  <c r="DH10" i="11"/>
  <c r="DI17" i="15" s="1"/>
  <c r="DH3" i="11"/>
  <c r="DI8" i="11"/>
  <c r="DI93" i="16"/>
  <c r="DK88" i="12"/>
  <c r="DG12" i="23"/>
  <c r="DD50" i="16"/>
  <c r="FN72" i="12"/>
  <c r="DK168" i="19"/>
  <c r="DL165" i="19" s="1"/>
  <c r="DK169" i="19"/>
  <c r="AM173" i="19"/>
  <c r="AL34" i="19"/>
  <c r="DR92" i="12"/>
  <c r="DI81" i="23"/>
  <c r="DG6" i="23"/>
  <c r="DG5" i="23" s="1"/>
  <c r="DH53" i="13"/>
  <c r="DK5" i="16"/>
  <c r="DH44" i="12"/>
  <c r="FO76" i="12"/>
  <c r="DY5" i="18"/>
  <c r="DX35" i="18"/>
  <c r="DX3" i="18"/>
  <c r="DH62" i="16" s="1"/>
  <c r="DH25" i="16" s="1"/>
  <c r="DK80" i="12"/>
  <c r="DJ96" i="12"/>
  <c r="DI10" i="23"/>
  <c r="DH3" i="23"/>
  <c r="DG16" i="12"/>
  <c r="DH13" i="12"/>
  <c r="DI33" i="16"/>
  <c r="DI4" i="16"/>
  <c r="DI3" i="16"/>
  <c r="DJ8" i="16"/>
  <c r="DG89" i="16"/>
  <c r="DG90" i="16" s="1"/>
  <c r="DG35" i="16" s="1"/>
  <c r="DG101" i="16" s="1"/>
  <c r="DH87" i="16"/>
  <c r="DG88" i="16"/>
  <c r="FN84" i="12"/>
  <c r="DG78" i="12"/>
  <c r="DG94" i="12"/>
  <c r="DG90" i="12"/>
  <c r="DG82" i="12"/>
  <c r="DI70" i="12"/>
  <c r="DI4" i="12"/>
  <c r="DH3" i="12"/>
  <c r="DH25" i="12"/>
  <c r="DI23" i="12" s="1"/>
  <c r="DG36" i="12"/>
  <c r="DH33" i="12"/>
  <c r="DH35" i="12" s="1"/>
  <c r="BQ43" i="12" l="1"/>
  <c r="DK202" i="37"/>
  <c r="BY21" i="12"/>
  <c r="BY20" i="12"/>
  <c r="BZ18" i="12" s="1"/>
  <c r="DK134" i="37"/>
  <c r="BV59" i="37"/>
  <c r="BV52" i="37"/>
  <c r="BX47" i="37"/>
  <c r="BW50" i="37"/>
  <c r="EJ26" i="37"/>
  <c r="BR8" i="12"/>
  <c r="DE54" i="13"/>
  <c r="DE18" i="15"/>
  <c r="DE11" i="11"/>
  <c r="DD37" i="13"/>
  <c r="DD39" i="13"/>
  <c r="DD38" i="13"/>
  <c r="DD44" i="13"/>
  <c r="DD46" i="13"/>
  <c r="DD45" i="13" s="1"/>
  <c r="DC47" i="16" s="1"/>
  <c r="DC15" i="16" s="1"/>
  <c r="DS13" i="18" s="1"/>
  <c r="DI42" i="13"/>
  <c r="DI4" i="15"/>
  <c r="DH3" i="15"/>
  <c r="DJ34" i="13"/>
  <c r="DJ33" i="13" s="1"/>
  <c r="DJ47" i="13" s="1"/>
  <c r="DF31" i="12"/>
  <c r="DF30" i="12"/>
  <c r="DG28" i="12" s="1"/>
  <c r="DJ93" i="16"/>
  <c r="DJ33" i="16"/>
  <c r="DJ4" i="16"/>
  <c r="DJ3" i="16"/>
  <c r="DK8" i="16"/>
  <c r="DH78" i="12"/>
  <c r="DH94" i="12"/>
  <c r="DH90" i="12"/>
  <c r="DH82" i="12"/>
  <c r="DJ81" i="23"/>
  <c r="FO84" i="12"/>
  <c r="DH36" i="12"/>
  <c r="DI33" i="12"/>
  <c r="DI35" i="12" s="1"/>
  <c r="DH89" i="16"/>
  <c r="DH90" i="16" s="1"/>
  <c r="DH35" i="16" s="1"/>
  <c r="DH101" i="16" s="1"/>
  <c r="DI87" i="16"/>
  <c r="DH88" i="16"/>
  <c r="AM175" i="19"/>
  <c r="AM176" i="19" s="1"/>
  <c r="FO72" i="12"/>
  <c r="DI10" i="11"/>
  <c r="DJ17" i="15" s="1"/>
  <c r="DI3" i="11"/>
  <c r="DJ8" i="11"/>
  <c r="DL80" i="12"/>
  <c r="DK96" i="12"/>
  <c r="DJ4" i="12"/>
  <c r="DI3" i="12"/>
  <c r="DI25" i="12"/>
  <c r="DJ23" i="12" s="1"/>
  <c r="DE50" i="16"/>
  <c r="DJ10" i="23"/>
  <c r="DI3" i="23"/>
  <c r="DH12" i="23"/>
  <c r="DJ70" i="12"/>
  <c r="DH16" i="12"/>
  <c r="DH15" i="12"/>
  <c r="DI13" i="12" s="1"/>
  <c r="DC44" i="16"/>
  <c r="DC12" i="16" s="1"/>
  <c r="DS10" i="18" s="1"/>
  <c r="DC43" i="16"/>
  <c r="DC11" i="16" s="1"/>
  <c r="DS9" i="18" s="1"/>
  <c r="DZ5" i="18"/>
  <c r="DY35" i="18"/>
  <c r="DY3" i="18"/>
  <c r="DI62" i="16" s="1"/>
  <c r="DI25" i="16" s="1"/>
  <c r="DL169" i="19"/>
  <c r="DL168" i="19"/>
  <c r="DM165" i="19" s="1"/>
  <c r="DL88" i="12"/>
  <c r="DH6" i="23"/>
  <c r="DL5" i="16"/>
  <c r="DI53" i="13"/>
  <c r="DI44" i="12"/>
  <c r="DS92" i="12"/>
  <c r="FP76" i="12"/>
  <c r="BX48" i="37" l="1"/>
  <c r="Z43" i="25"/>
  <c r="EJ27" i="37"/>
  <c r="AP24" i="25"/>
  <c r="AP25" i="25" s="1"/>
  <c r="DL202" i="37"/>
  <c r="BZ21" i="12"/>
  <c r="BZ20" i="12"/>
  <c r="CA18" i="12" s="1"/>
  <c r="DL134" i="37"/>
  <c r="BW59" i="37"/>
  <c r="BW52" i="37"/>
  <c r="BY47" i="37"/>
  <c r="BY48" i="37" s="1"/>
  <c r="BX50" i="37"/>
  <c r="EK26" i="37"/>
  <c r="EK27" i="37" s="1"/>
  <c r="DH5" i="23"/>
  <c r="BR38" i="12"/>
  <c r="BR10" i="12"/>
  <c r="BR40" i="12" s="1"/>
  <c r="CG41" i="18" s="1"/>
  <c r="BQ34" i="23" s="1"/>
  <c r="DF54" i="13"/>
  <c r="DF18" i="15"/>
  <c r="DF11" i="11"/>
  <c r="DE39" i="13"/>
  <c r="DE37" i="13"/>
  <c r="DE38" i="13"/>
  <c r="DD43" i="16" s="1"/>
  <c r="DD11" i="16" s="1"/>
  <c r="DT9" i="18" s="1"/>
  <c r="DE44" i="13"/>
  <c r="DE46" i="13"/>
  <c r="DE45" i="13" s="1"/>
  <c r="DD47" i="16" s="1"/>
  <c r="DD15" i="16" s="1"/>
  <c r="DT13" i="18" s="1"/>
  <c r="DJ42" i="13"/>
  <c r="DD41" i="13"/>
  <c r="DS12" i="18" s="1"/>
  <c r="DJ4" i="15"/>
  <c r="DI3" i="15"/>
  <c r="DK34" i="13"/>
  <c r="DK33" i="13" s="1"/>
  <c r="DK47" i="13" s="1"/>
  <c r="AN173" i="19"/>
  <c r="AM34" i="19"/>
  <c r="DG31" i="12"/>
  <c r="DG30" i="12"/>
  <c r="DH28" i="12" s="1"/>
  <c r="DK4" i="12"/>
  <c r="DJ3" i="12"/>
  <c r="DJ25" i="12"/>
  <c r="DK23" i="12" s="1"/>
  <c r="DJ10" i="11"/>
  <c r="DK17" i="15" s="1"/>
  <c r="DJ3" i="11"/>
  <c r="DK8" i="11"/>
  <c r="DI36" i="12"/>
  <c r="DJ33" i="12"/>
  <c r="DJ35" i="12" s="1"/>
  <c r="DI78" i="12"/>
  <c r="DI94" i="12"/>
  <c r="DI82" i="12"/>
  <c r="DI90" i="12"/>
  <c r="DI16" i="12"/>
  <c r="DF50" i="16"/>
  <c r="DM169" i="19"/>
  <c r="DM168" i="19"/>
  <c r="DN165" i="19" s="1"/>
  <c r="DI12" i="23"/>
  <c r="DI6" i="23"/>
  <c r="DM5" i="16"/>
  <c r="DJ53" i="13"/>
  <c r="DJ44" i="12"/>
  <c r="DM88" i="12"/>
  <c r="EA5" i="18"/>
  <c r="DZ35" i="18"/>
  <c r="DZ3" i="18"/>
  <c r="DJ62" i="16" s="1"/>
  <c r="DJ25" i="16" s="1"/>
  <c r="DD44" i="16"/>
  <c r="DD12" i="16" s="1"/>
  <c r="DT10" i="18" s="1"/>
  <c r="DK81" i="23"/>
  <c r="DI15" i="12"/>
  <c r="DJ13" i="12" s="1"/>
  <c r="DJ15" i="12" s="1"/>
  <c r="DK93" i="16"/>
  <c r="DT92" i="12"/>
  <c r="DM80" i="12"/>
  <c r="DL96" i="12"/>
  <c r="FP84" i="12"/>
  <c r="FQ76" i="12"/>
  <c r="DK70" i="12"/>
  <c r="DK10" i="23"/>
  <c r="DJ3" i="23"/>
  <c r="FP72" i="12"/>
  <c r="DI89" i="16"/>
  <c r="DI90" i="16" s="1"/>
  <c r="DI35" i="16" s="1"/>
  <c r="DI101" i="16" s="1"/>
  <c r="DJ87" i="16"/>
  <c r="DI88" i="16"/>
  <c r="DK33" i="16"/>
  <c r="DK4" i="16"/>
  <c r="DK3" i="16"/>
  <c r="DL8" i="16"/>
  <c r="BR43" i="12" l="1"/>
  <c r="DM202" i="37"/>
  <c r="CA21" i="12"/>
  <c r="CA20" i="12"/>
  <c r="CB18" i="12" s="1"/>
  <c r="DM134" i="37"/>
  <c r="BX59" i="37"/>
  <c r="BX52" i="37"/>
  <c r="BZ47" i="37"/>
  <c r="BY50" i="37"/>
  <c r="EL26" i="37"/>
  <c r="DI5" i="23"/>
  <c r="DJ4" i="23"/>
  <c r="DJ118" i="23" s="1"/>
  <c r="BS8" i="12"/>
  <c r="DG18" i="15"/>
  <c r="DG54" i="13"/>
  <c r="DG11" i="11"/>
  <c r="DF39" i="13"/>
  <c r="DF38" i="13"/>
  <c r="DF37" i="13"/>
  <c r="DF44" i="13"/>
  <c r="DF46" i="13"/>
  <c r="DF45" i="13" s="1"/>
  <c r="DE47" i="16" s="1"/>
  <c r="DE15" i="16" s="1"/>
  <c r="DU13" i="18" s="1"/>
  <c r="DK42" i="13"/>
  <c r="DE41" i="13"/>
  <c r="DT12" i="18" s="1"/>
  <c r="DK4" i="15"/>
  <c r="DJ3" i="15"/>
  <c r="DL34" i="13"/>
  <c r="DL33" i="13" s="1"/>
  <c r="DL47" i="13" s="1"/>
  <c r="DJ78" i="12"/>
  <c r="DJ94" i="12"/>
  <c r="DJ90" i="12"/>
  <c r="DJ82" i="12"/>
  <c r="DN169" i="19"/>
  <c r="DN168" i="19"/>
  <c r="DO165" i="19" s="1"/>
  <c r="DJ6" i="23"/>
  <c r="DN5" i="16"/>
  <c r="DK53" i="13"/>
  <c r="DK44" i="12"/>
  <c r="DL4" i="12"/>
  <c r="DK3" i="12"/>
  <c r="DK25" i="12"/>
  <c r="DL23" i="12" s="1"/>
  <c r="DH31" i="12"/>
  <c r="DH30" i="12"/>
  <c r="DI28" i="12" s="1"/>
  <c r="DK87" i="16"/>
  <c r="DJ12" i="23"/>
  <c r="FQ72" i="12"/>
  <c r="DN80" i="12"/>
  <c r="DM96" i="12"/>
  <c r="DL93" i="16"/>
  <c r="DL81" i="23"/>
  <c r="FQ84" i="12"/>
  <c r="DL70" i="12"/>
  <c r="DU92" i="12"/>
  <c r="DL33" i="16"/>
  <c r="DL4" i="16"/>
  <c r="DL3" i="16"/>
  <c r="DM8" i="16"/>
  <c r="FR76" i="12"/>
  <c r="DE43" i="16"/>
  <c r="DE11" i="16" s="1"/>
  <c r="DU9" i="18" s="1"/>
  <c r="DE44" i="16"/>
  <c r="DE12" i="16" s="1"/>
  <c r="DU10" i="18" s="1"/>
  <c r="EA56" i="18"/>
  <c r="EA57" i="18" s="1"/>
  <c r="EA35" i="18"/>
  <c r="EB5" i="18"/>
  <c r="EA3" i="18"/>
  <c r="DJ36" i="12"/>
  <c r="DK33" i="12"/>
  <c r="DG50" i="16"/>
  <c r="DL10" i="23"/>
  <c r="DK3" i="23"/>
  <c r="DK3" i="11"/>
  <c r="DL8" i="11"/>
  <c r="DK10" i="11"/>
  <c r="DN88" i="12"/>
  <c r="DJ16" i="12"/>
  <c r="DK13" i="12"/>
  <c r="DK15" i="12" s="1"/>
  <c r="AN175" i="19"/>
  <c r="AN176" i="19" s="1"/>
  <c r="EL27" i="37" l="1"/>
  <c r="BZ48" i="37"/>
  <c r="DN202" i="37"/>
  <c r="CB21" i="12"/>
  <c r="CB20" i="12"/>
  <c r="CC18" i="12" s="1"/>
  <c r="DN134" i="37"/>
  <c r="BY59" i="37"/>
  <c r="BY52" i="37"/>
  <c r="CA47" i="37"/>
  <c r="CA48" i="37" s="1"/>
  <c r="BZ50" i="37"/>
  <c r="EM26" i="37"/>
  <c r="EM27" i="37" s="1"/>
  <c r="DJ5" i="23"/>
  <c r="BS38" i="12"/>
  <c r="BS10" i="12"/>
  <c r="BS40" i="12" s="1"/>
  <c r="CH41" i="18" s="1"/>
  <c r="BR34" i="23" s="1"/>
  <c r="DH11" i="11"/>
  <c r="DH18" i="15"/>
  <c r="DH54" i="13"/>
  <c r="DH39" i="13" s="1"/>
  <c r="DG44" i="16" s="1"/>
  <c r="DG12" i="16" s="1"/>
  <c r="DW10" i="18" s="1"/>
  <c r="DL17" i="15"/>
  <c r="DG37" i="13"/>
  <c r="DG39" i="13"/>
  <c r="DG38" i="13"/>
  <c r="DG44" i="13"/>
  <c r="DG46" i="13"/>
  <c r="DG45" i="13" s="1"/>
  <c r="DF47" i="16" s="1"/>
  <c r="DF15" i="16" s="1"/>
  <c r="DV13" i="18" s="1"/>
  <c r="DL42" i="13"/>
  <c r="DF41" i="13"/>
  <c r="DU12" i="18" s="1"/>
  <c r="DL4" i="15"/>
  <c r="DK3" i="15"/>
  <c r="DM34" i="13"/>
  <c r="DM33" i="13" s="1"/>
  <c r="DM47" i="13" s="1"/>
  <c r="DI31" i="12"/>
  <c r="DI30" i="12"/>
  <c r="DJ28" i="12" s="1"/>
  <c r="DK88" i="16"/>
  <c r="DK89" i="16"/>
  <c r="DK90" i="16" s="1"/>
  <c r="DK35" i="16" s="1"/>
  <c r="DK101" i="16" s="1"/>
  <c r="DL87" i="16"/>
  <c r="DK78" i="12"/>
  <c r="DK94" i="12"/>
  <c r="DK90" i="12"/>
  <c r="DK82" i="12"/>
  <c r="DO88" i="12"/>
  <c r="DM33" i="16"/>
  <c r="DM4" i="16"/>
  <c r="DM3" i="16"/>
  <c r="DN8" i="16"/>
  <c r="FR84" i="12"/>
  <c r="EB35" i="18"/>
  <c r="EC5" i="18"/>
  <c r="EB3" i="18"/>
  <c r="DL62" i="16" s="1"/>
  <c r="DL25" i="16" s="1"/>
  <c r="FR72" i="12"/>
  <c r="DO80" i="12"/>
  <c r="DN96" i="12"/>
  <c r="DK16" i="12"/>
  <c r="DL13" i="12"/>
  <c r="DL15" i="12" s="1"/>
  <c r="DK36" i="12"/>
  <c r="DK12" i="23"/>
  <c r="DH50" i="16"/>
  <c r="DM81" i="23"/>
  <c r="AO173" i="19"/>
  <c r="AN34" i="19"/>
  <c r="DK6" i="23"/>
  <c r="DK5" i="23" s="1"/>
  <c r="DO5" i="16"/>
  <c r="DL53" i="13"/>
  <c r="DL44" i="12"/>
  <c r="DM70" i="12"/>
  <c r="DL3" i="23"/>
  <c r="DM10" i="23"/>
  <c r="DM8" i="11"/>
  <c r="DL10" i="11"/>
  <c r="DM17" i="15" s="1"/>
  <c r="DL3" i="11"/>
  <c r="DF44" i="16"/>
  <c r="DF12" i="16" s="1"/>
  <c r="DV10" i="18" s="1"/>
  <c r="DF43" i="16"/>
  <c r="DF11" i="16" s="1"/>
  <c r="DV9" i="18" s="1"/>
  <c r="DV92" i="12"/>
  <c r="DO169" i="19"/>
  <c r="DO168" i="19"/>
  <c r="DP165" i="19" s="1"/>
  <c r="DM93" i="16"/>
  <c r="FS76" i="12"/>
  <c r="DK35" i="12"/>
  <c r="DL33" i="12" s="1"/>
  <c r="DM4" i="12"/>
  <c r="DL3" i="12"/>
  <c r="DL25" i="12"/>
  <c r="DM23" i="12" s="1"/>
  <c r="BS43" i="12" l="1"/>
  <c r="DO202" i="37"/>
  <c r="DH46" i="13"/>
  <c r="DH45" i="13" s="1"/>
  <c r="DG47" i="16" s="1"/>
  <c r="DG15" i="16" s="1"/>
  <c r="DW13" i="18" s="1"/>
  <c r="CC21" i="12"/>
  <c r="CC20" i="12"/>
  <c r="CD18" i="12" s="1"/>
  <c r="DO134" i="37"/>
  <c r="BZ59" i="37"/>
  <c r="BZ52" i="37"/>
  <c r="CB47" i="37"/>
  <c r="CA50" i="37"/>
  <c r="EN26" i="37"/>
  <c r="DH44" i="13"/>
  <c r="DH38" i="13"/>
  <c r="DG43" i="16" s="1"/>
  <c r="DG11" i="16" s="1"/>
  <c r="DW9" i="18" s="1"/>
  <c r="DH37" i="13"/>
  <c r="BT8" i="12"/>
  <c r="BT10" i="12" s="1"/>
  <c r="BT40" i="12" s="1"/>
  <c r="CI41" i="18" s="1"/>
  <c r="BS34" i="23" s="1"/>
  <c r="DI18" i="15"/>
  <c r="DI54" i="13"/>
  <c r="DI37" i="13" s="1"/>
  <c r="DI11" i="11"/>
  <c r="DI38" i="13"/>
  <c r="DH43" i="16" s="1"/>
  <c r="DH11" i="16" s="1"/>
  <c r="DX9" i="18" s="1"/>
  <c r="DM42" i="13"/>
  <c r="DH41" i="13"/>
  <c r="DW12" i="18" s="1"/>
  <c r="DG41" i="13"/>
  <c r="DV12" i="18" s="1"/>
  <c r="DM4" i="15"/>
  <c r="DL3" i="15"/>
  <c r="DN34" i="13"/>
  <c r="DN33" i="13" s="1"/>
  <c r="DN47" i="13" s="1"/>
  <c r="DL36" i="12"/>
  <c r="DL35" i="12"/>
  <c r="DM33" i="12" s="1"/>
  <c r="DM35" i="12" s="1"/>
  <c r="DJ31" i="12"/>
  <c r="DJ30" i="12"/>
  <c r="DK28" i="12" s="1"/>
  <c r="DM3" i="23"/>
  <c r="DN10" i="23"/>
  <c r="DN81" i="23"/>
  <c r="DM25" i="12"/>
  <c r="DN23" i="12" s="1"/>
  <c r="DN4" i="12"/>
  <c r="DM3" i="12"/>
  <c r="DN93" i="16"/>
  <c r="DP168" i="19"/>
  <c r="DQ165" i="19" s="1"/>
  <c r="DP169" i="19"/>
  <c r="DM13" i="12"/>
  <c r="DM15" i="12" s="1"/>
  <c r="DL16" i="12"/>
  <c r="FS84" i="12"/>
  <c r="FS72" i="12"/>
  <c r="ED5" i="18"/>
  <c r="EC35" i="18"/>
  <c r="EC3" i="18"/>
  <c r="DM62" i="16" s="1"/>
  <c r="DM25" i="16" s="1"/>
  <c r="DL12" i="23"/>
  <c r="DN4" i="16"/>
  <c r="DN3" i="16"/>
  <c r="DO8" i="16"/>
  <c r="DN33" i="16"/>
  <c r="DL6" i="23"/>
  <c r="DL5" i="23" s="1"/>
  <c r="DP5" i="16"/>
  <c r="DM53" i="13"/>
  <c r="DM44" i="12"/>
  <c r="AO175" i="19"/>
  <c r="AO176" i="19" s="1"/>
  <c r="DP80" i="12"/>
  <c r="DO96" i="12"/>
  <c r="DL88" i="16"/>
  <c r="DL89" i="16"/>
  <c r="DL90" i="16" s="1"/>
  <c r="DL35" i="16" s="1"/>
  <c r="DL101" i="16" s="1"/>
  <c r="DM87" i="16"/>
  <c r="DN8" i="11"/>
  <c r="DM3" i="11"/>
  <c r="DM10" i="11"/>
  <c r="DN17" i="15" s="1"/>
  <c r="DN70" i="12"/>
  <c r="DI50" i="16"/>
  <c r="FT76" i="12"/>
  <c r="DW92" i="12"/>
  <c r="DL78" i="12"/>
  <c r="DL94" i="12"/>
  <c r="DL90" i="12"/>
  <c r="DL82" i="12"/>
  <c r="DP88" i="12"/>
  <c r="EN27" i="37" l="1"/>
  <c r="AQ24" i="25"/>
  <c r="AQ25" i="25" s="1"/>
  <c r="CB48" i="37"/>
  <c r="AA43" i="25"/>
  <c r="BT38" i="12"/>
  <c r="BT43" i="12" s="1"/>
  <c r="BU8" i="12"/>
  <c r="BU10" i="12" s="1"/>
  <c r="BU40" i="12" s="1"/>
  <c r="CJ41" i="18" s="1"/>
  <c r="BT34" i="23" s="1"/>
  <c r="DP202" i="37"/>
  <c r="CD21" i="12"/>
  <c r="CD20" i="12"/>
  <c r="CE18" i="12" s="1"/>
  <c r="DP134" i="37"/>
  <c r="CA59" i="37"/>
  <c r="CA52" i="37"/>
  <c r="CC47" i="37"/>
  <c r="CC48" i="37" s="1"/>
  <c r="CB50" i="37"/>
  <c r="EO26" i="37"/>
  <c r="EO27" i="37" s="1"/>
  <c r="DI46" i="13"/>
  <c r="DI45" i="13" s="1"/>
  <c r="DH47" i="16" s="1"/>
  <c r="DH15" i="16" s="1"/>
  <c r="DX13" i="18" s="1"/>
  <c r="DI44" i="13"/>
  <c r="DI41" i="13" s="1"/>
  <c r="DX12" i="18" s="1"/>
  <c r="DI39" i="13"/>
  <c r="DH44" i="16" s="1"/>
  <c r="DH12" i="16" s="1"/>
  <c r="DX10" i="18" s="1"/>
  <c r="BU38" i="12"/>
  <c r="DJ18" i="15"/>
  <c r="DJ11" i="11"/>
  <c r="DJ54" i="13"/>
  <c r="DJ39" i="13" s="1"/>
  <c r="DI44" i="16" s="1"/>
  <c r="DI12" i="16" s="1"/>
  <c r="DY10" i="18" s="1"/>
  <c r="DJ37" i="13"/>
  <c r="DN42" i="13"/>
  <c r="DN4" i="15"/>
  <c r="DM3" i="15"/>
  <c r="DO34" i="13"/>
  <c r="DO33" i="13" s="1"/>
  <c r="DO47" i="13" s="1"/>
  <c r="DK31" i="12"/>
  <c r="DK30" i="12"/>
  <c r="DL28" i="12" s="1"/>
  <c r="DM36" i="12"/>
  <c r="DN33" i="12"/>
  <c r="DN35" i="12" s="1"/>
  <c r="DO70" i="12"/>
  <c r="DP8" i="16"/>
  <c r="DO33" i="16"/>
  <c r="DO3" i="16"/>
  <c r="DO4" i="16"/>
  <c r="DM6" i="23"/>
  <c r="DQ5" i="16"/>
  <c r="DN44" i="12"/>
  <c r="DN53" i="13"/>
  <c r="DQ80" i="12"/>
  <c r="DP96" i="12"/>
  <c r="DN25" i="12"/>
  <c r="DO23" i="12" s="1"/>
  <c r="DO4" i="12"/>
  <c r="DN3" i="12"/>
  <c r="DJ50" i="16"/>
  <c r="DX92" i="12"/>
  <c r="DM78" i="12"/>
  <c r="DM94" i="12"/>
  <c r="DM90" i="12"/>
  <c r="DM82" i="12"/>
  <c r="FT72" i="12"/>
  <c r="FT84" i="12"/>
  <c r="DO81" i="23"/>
  <c r="DO8" i="11"/>
  <c r="DN10" i="11"/>
  <c r="DO17" i="15" s="1"/>
  <c r="DN3" i="11"/>
  <c r="DM88" i="16"/>
  <c r="DM89" i="16"/>
  <c r="DM90" i="16" s="1"/>
  <c r="DM35" i="16" s="1"/>
  <c r="DM101" i="16" s="1"/>
  <c r="DN87" i="16"/>
  <c r="DQ168" i="19"/>
  <c r="DR165" i="19" s="1"/>
  <c r="DQ169" i="19"/>
  <c r="FU76" i="12"/>
  <c r="AP173" i="19"/>
  <c r="AO34" i="19"/>
  <c r="DN13" i="12"/>
  <c r="DM16" i="12"/>
  <c r="DQ88" i="12"/>
  <c r="DM12" i="23"/>
  <c r="EE5" i="18"/>
  <c r="ED35" i="18"/>
  <c r="ED3" i="18"/>
  <c r="DN62" i="16" s="1"/>
  <c r="DN25" i="16" s="1"/>
  <c r="DO93" i="16"/>
  <c r="DO10" i="23"/>
  <c r="DN3" i="23"/>
  <c r="BU43" i="12" l="1"/>
  <c r="DQ202" i="37"/>
  <c r="CE21" i="12"/>
  <c r="CE20" i="12"/>
  <c r="CF18" i="12" s="1"/>
  <c r="DQ134" i="37"/>
  <c r="CB59" i="37"/>
  <c r="CB52" i="37"/>
  <c r="CD47" i="37"/>
  <c r="CC50" i="37"/>
  <c r="EP26" i="37"/>
  <c r="DJ46" i="13"/>
  <c r="DJ45" i="13" s="1"/>
  <c r="DI47" i="16" s="1"/>
  <c r="DI15" i="16" s="1"/>
  <c r="DY13" i="18" s="1"/>
  <c r="BV8" i="12"/>
  <c r="BV10" i="12" s="1"/>
  <c r="DJ44" i="13"/>
  <c r="DJ41" i="13" s="1"/>
  <c r="DY12" i="18" s="1"/>
  <c r="DJ38" i="13"/>
  <c r="DI43" i="16" s="1"/>
  <c r="DI11" i="16" s="1"/>
  <c r="DY9" i="18" s="1"/>
  <c r="DM5" i="23"/>
  <c r="DN4" i="23"/>
  <c r="DN118" i="23" s="1"/>
  <c r="DK18" i="15"/>
  <c r="DK54" i="13"/>
  <c r="DK46" i="13" s="1"/>
  <c r="DK45" i="13" s="1"/>
  <c r="DJ47" i="16" s="1"/>
  <c r="DJ15" i="16" s="1"/>
  <c r="DZ13" i="18" s="1"/>
  <c r="DK11" i="11"/>
  <c r="DK37" i="13"/>
  <c r="DO42" i="13"/>
  <c r="DO4" i="15"/>
  <c r="DN3" i="15"/>
  <c r="DP34" i="13"/>
  <c r="DP33" i="13" s="1"/>
  <c r="DP47" i="13" s="1"/>
  <c r="DL31" i="12"/>
  <c r="DL30" i="12"/>
  <c r="DM28" i="12" s="1"/>
  <c r="DP81" i="23"/>
  <c r="DK50" i="16"/>
  <c r="DN16" i="12"/>
  <c r="AP175" i="19"/>
  <c r="AP176" i="19" s="1"/>
  <c r="DR168" i="19"/>
  <c r="DS165" i="19" s="1"/>
  <c r="DR169" i="19"/>
  <c r="DY92" i="12"/>
  <c r="DN78" i="12"/>
  <c r="DN94" i="12"/>
  <c r="DN90" i="12"/>
  <c r="DN82" i="12"/>
  <c r="DO33" i="12"/>
  <c r="DO35" i="12" s="1"/>
  <c r="DN36" i="12"/>
  <c r="FU84" i="12"/>
  <c r="DP93" i="16"/>
  <c r="FV76" i="12"/>
  <c r="DP4" i="12"/>
  <c r="DO3" i="12"/>
  <c r="DO25" i="12"/>
  <c r="DP23" i="12" s="1"/>
  <c r="EE56" i="18"/>
  <c r="EE57" i="18" s="1"/>
  <c r="EF5" i="18"/>
  <c r="EE35" i="18"/>
  <c r="EE3" i="18"/>
  <c r="DN12" i="23"/>
  <c r="DO87" i="16"/>
  <c r="DN6" i="23"/>
  <c r="DR5" i="16"/>
  <c r="DO53" i="13"/>
  <c r="DO44" i="12"/>
  <c r="DQ8" i="16"/>
  <c r="DP33" i="16"/>
  <c r="DP3" i="16"/>
  <c r="DP4" i="16"/>
  <c r="DO10" i="11"/>
  <c r="DO3" i="11"/>
  <c r="DP8" i="11"/>
  <c r="FU72" i="12"/>
  <c r="DN15" i="12"/>
  <c r="DO13" i="12" s="1"/>
  <c r="DR80" i="12"/>
  <c r="DQ96" i="12"/>
  <c r="DP10" i="23"/>
  <c r="DO3" i="23"/>
  <c r="DR88" i="12"/>
  <c r="DP70" i="12"/>
  <c r="CD48" i="37" l="1"/>
  <c r="EP27" i="37"/>
  <c r="BV38" i="12"/>
  <c r="DR202" i="37"/>
  <c r="BV40" i="12"/>
  <c r="CK41" i="18" s="1"/>
  <c r="BU34" i="23" s="1"/>
  <c r="BW8" i="12"/>
  <c r="BW38" i="12" s="1"/>
  <c r="CF20" i="12"/>
  <c r="CG18" i="12" s="1"/>
  <c r="CF21" i="12"/>
  <c r="DR134" i="37"/>
  <c r="CC59" i="37"/>
  <c r="CC52" i="37"/>
  <c r="CE47" i="37"/>
  <c r="CE48" i="37" s="1"/>
  <c r="CD50" i="37"/>
  <c r="EQ26" i="37"/>
  <c r="EQ27" i="37" s="1"/>
  <c r="DK44" i="13"/>
  <c r="DK41" i="13" s="1"/>
  <c r="DZ12" i="18" s="1"/>
  <c r="DK38" i="13"/>
  <c r="DJ43" i="16" s="1"/>
  <c r="DJ11" i="16" s="1"/>
  <c r="DZ9" i="18" s="1"/>
  <c r="DK39" i="13"/>
  <c r="DJ44" i="16" s="1"/>
  <c r="DJ12" i="16" s="1"/>
  <c r="DZ10" i="18" s="1"/>
  <c r="DN5" i="23"/>
  <c r="DL11" i="11"/>
  <c r="DL18" i="15"/>
  <c r="DL54" i="13"/>
  <c r="DP17" i="15"/>
  <c r="DP42" i="13"/>
  <c r="DP4" i="15"/>
  <c r="DO3" i="15"/>
  <c r="DQ34" i="13"/>
  <c r="DQ33" i="13" s="1"/>
  <c r="DQ47" i="13" s="1"/>
  <c r="DO16" i="12"/>
  <c r="DO15" i="12"/>
  <c r="DP13" i="12" s="1"/>
  <c r="AQ173" i="19"/>
  <c r="AP34" i="19"/>
  <c r="DO89" i="16"/>
  <c r="DO90" i="16" s="1"/>
  <c r="DO35" i="16" s="1"/>
  <c r="DO101" i="16" s="1"/>
  <c r="DP87" i="16"/>
  <c r="DO88" i="16"/>
  <c r="EG5" i="18"/>
  <c r="EF35" i="18"/>
  <c r="EF3" i="18"/>
  <c r="DP62" i="16" s="1"/>
  <c r="DP25" i="16" s="1"/>
  <c r="FV84" i="12"/>
  <c r="DO6" i="23"/>
  <c r="DO5" i="23" s="1"/>
  <c r="DS5" i="16"/>
  <c r="DP53" i="13"/>
  <c r="DP44" i="12"/>
  <c r="DQ10" i="23"/>
  <c r="DP3" i="23"/>
  <c r="DS168" i="19"/>
  <c r="DT165" i="19" s="1"/>
  <c r="DS169" i="19"/>
  <c r="DM31" i="12"/>
  <c r="DM30" i="12"/>
  <c r="DN28" i="12" s="1"/>
  <c r="DS88" i="12"/>
  <c r="DO78" i="12"/>
  <c r="DO94" i="12"/>
  <c r="DO90" i="12"/>
  <c r="DO82" i="12"/>
  <c r="DQ81" i="23"/>
  <c r="DS80" i="12"/>
  <c r="DR96" i="12"/>
  <c r="DQ93" i="16"/>
  <c r="FV72" i="12"/>
  <c r="DQ70" i="12"/>
  <c r="DL50" i="16"/>
  <c r="DP10" i="11"/>
  <c r="DQ17" i="15" s="1"/>
  <c r="DP3" i="11"/>
  <c r="DQ8" i="11"/>
  <c r="DQ4" i="12"/>
  <c r="DP3" i="12"/>
  <c r="DP25" i="12"/>
  <c r="DQ23" i="12" s="1"/>
  <c r="DZ92" i="12"/>
  <c r="DQ33" i="16"/>
  <c r="DQ4" i="16"/>
  <c r="DQ3" i="16"/>
  <c r="DR8" i="16"/>
  <c r="DO12" i="23"/>
  <c r="FW76" i="12"/>
  <c r="DO36" i="12"/>
  <c r="DP33" i="12"/>
  <c r="BW10" i="12" l="1"/>
  <c r="BV43" i="12"/>
  <c r="DS202" i="37"/>
  <c r="CG21" i="12"/>
  <c r="CG20" i="12"/>
  <c r="CH18" i="12" s="1"/>
  <c r="DS134" i="37"/>
  <c r="CD59" i="37"/>
  <c r="CD52" i="37"/>
  <c r="CF47" i="37"/>
  <c r="CE50" i="37"/>
  <c r="ER26" i="37"/>
  <c r="DM54" i="13"/>
  <c r="DM11" i="11"/>
  <c r="DM18" i="15"/>
  <c r="DL39" i="13"/>
  <c r="DK44" i="16" s="1"/>
  <c r="DK12" i="16" s="1"/>
  <c r="EA10" i="18" s="1"/>
  <c r="DL37" i="13"/>
  <c r="DL38" i="13"/>
  <c r="DK43" i="16" s="1"/>
  <c r="DK11" i="16" s="1"/>
  <c r="EA9" i="18" s="1"/>
  <c r="DL44" i="13"/>
  <c r="DL46" i="13"/>
  <c r="DL45" i="13" s="1"/>
  <c r="DK47" i="16" s="1"/>
  <c r="DK15" i="16" s="1"/>
  <c r="EA13" i="18" s="1"/>
  <c r="DQ42" i="13"/>
  <c r="DQ4" i="15"/>
  <c r="DP3" i="15"/>
  <c r="DR34" i="13"/>
  <c r="DR33" i="13" s="1"/>
  <c r="DR47" i="13" s="1"/>
  <c r="DN31" i="12"/>
  <c r="DN30" i="12"/>
  <c r="DO28" i="12" s="1"/>
  <c r="DP16" i="12"/>
  <c r="DP15" i="12"/>
  <c r="DQ13" i="12" s="1"/>
  <c r="DP36" i="12"/>
  <c r="DR4" i="12"/>
  <c r="DQ3" i="12"/>
  <c r="DQ25" i="12"/>
  <c r="DR23" i="12" s="1"/>
  <c r="DP35" i="12"/>
  <c r="DQ33" i="12" s="1"/>
  <c r="DR81" i="23"/>
  <c r="DT169" i="19"/>
  <c r="DT168" i="19"/>
  <c r="DU165" i="19" s="1"/>
  <c r="DP12" i="23"/>
  <c r="FX76" i="12"/>
  <c r="DT88" i="12"/>
  <c r="DP6" i="23"/>
  <c r="DP5" i="23" s="1"/>
  <c r="DT5" i="16"/>
  <c r="DQ53" i="13"/>
  <c r="DQ44" i="12"/>
  <c r="DR70" i="12"/>
  <c r="DM50" i="16"/>
  <c r="DP78" i="12"/>
  <c r="DP94" i="12"/>
  <c r="DP82" i="12"/>
  <c r="DP90" i="12"/>
  <c r="EH5" i="18"/>
  <c r="EG35" i="18"/>
  <c r="EG3" i="18"/>
  <c r="DQ62" i="16" s="1"/>
  <c r="DQ25" i="16" s="1"/>
  <c r="FW72" i="12"/>
  <c r="DT80" i="12"/>
  <c r="DS96" i="12"/>
  <c r="DP89" i="16"/>
  <c r="DP90" i="16" s="1"/>
  <c r="DP35" i="16" s="1"/>
  <c r="DP101" i="16" s="1"/>
  <c r="DQ87" i="16"/>
  <c r="DP88" i="16"/>
  <c r="DR10" i="23"/>
  <c r="DQ3" i="23"/>
  <c r="AQ175" i="19"/>
  <c r="AQ176" i="19" s="1"/>
  <c r="DQ10" i="11"/>
  <c r="DR17" i="15" s="1"/>
  <c r="DQ3" i="11"/>
  <c r="DR8" i="11"/>
  <c r="DR93" i="16"/>
  <c r="EA92" i="12"/>
  <c r="DR33" i="16"/>
  <c r="DR4" i="16"/>
  <c r="DR3" i="16"/>
  <c r="DS8" i="16"/>
  <c r="FW84" i="12"/>
  <c r="ER27" i="37" l="1"/>
  <c r="AR24" i="25"/>
  <c r="AR25" i="25" s="1"/>
  <c r="CF48" i="37"/>
  <c r="AB43" i="25"/>
  <c r="BW40" i="12"/>
  <c r="BX8" i="12"/>
  <c r="DT202" i="37"/>
  <c r="CH21" i="12"/>
  <c r="CH20" i="12"/>
  <c r="CI18" i="12" s="1"/>
  <c r="DT134" i="37"/>
  <c r="CE59" i="37"/>
  <c r="CE52" i="37"/>
  <c r="CG47" i="37"/>
  <c r="CG48" i="37" s="1"/>
  <c r="CF50" i="37"/>
  <c r="ES26" i="37"/>
  <c r="ES27" i="37" s="1"/>
  <c r="DN54" i="13"/>
  <c r="DN18" i="15"/>
  <c r="DN11" i="11"/>
  <c r="DM39" i="13"/>
  <c r="DL44" i="16" s="1"/>
  <c r="DL12" i="16" s="1"/>
  <c r="EB10" i="18" s="1"/>
  <c r="DM37" i="13"/>
  <c r="DM38" i="13"/>
  <c r="DL43" i="16" s="1"/>
  <c r="DL11" i="16" s="1"/>
  <c r="EB9" i="18" s="1"/>
  <c r="DM44" i="13"/>
  <c r="DM46" i="13"/>
  <c r="DM45" i="13" s="1"/>
  <c r="DL47" i="16" s="1"/>
  <c r="DL15" i="16" s="1"/>
  <c r="EB13" i="18" s="1"/>
  <c r="DR42" i="13"/>
  <c r="DL41" i="13"/>
  <c r="EA12" i="18" s="1"/>
  <c r="DR4" i="15"/>
  <c r="DQ3" i="15"/>
  <c r="DS34" i="13"/>
  <c r="DS33" i="13" s="1"/>
  <c r="DS47" i="13" s="1"/>
  <c r="DQ36" i="12"/>
  <c r="DQ35" i="12"/>
  <c r="DR33" i="12" s="1"/>
  <c r="DO31" i="12"/>
  <c r="DO30" i="12"/>
  <c r="DP28" i="12" s="1"/>
  <c r="AR173" i="19"/>
  <c r="AQ34" i="19"/>
  <c r="DQ89" i="16"/>
  <c r="DQ90" i="16" s="1"/>
  <c r="DQ35" i="16" s="1"/>
  <c r="DQ101" i="16" s="1"/>
  <c r="DR87" i="16"/>
  <c r="DQ88" i="16"/>
  <c r="EI5" i="18"/>
  <c r="EH35" i="18"/>
  <c r="EH3" i="18"/>
  <c r="DR62" i="16" s="1"/>
  <c r="DR25" i="16" s="1"/>
  <c r="DS4" i="12"/>
  <c r="DR3" i="12"/>
  <c r="DR25" i="12"/>
  <c r="DS23" i="12" s="1"/>
  <c r="DS70" i="12"/>
  <c r="DU88" i="12"/>
  <c r="DQ16" i="12"/>
  <c r="EB92" i="12"/>
  <c r="DR10" i="11"/>
  <c r="DS17" i="15" s="1"/>
  <c r="DR3" i="11"/>
  <c r="DS8" i="11"/>
  <c r="DS10" i="23"/>
  <c r="DR3" i="23"/>
  <c r="DN50" i="16"/>
  <c r="DS93" i="16"/>
  <c r="DQ6" i="23"/>
  <c r="DU5" i="16"/>
  <c r="DR53" i="13"/>
  <c r="DR44" i="12"/>
  <c r="DQ78" i="12"/>
  <c r="DQ94" i="12"/>
  <c r="DQ90" i="12"/>
  <c r="DQ82" i="12"/>
  <c r="FY76" i="12"/>
  <c r="FX84" i="12"/>
  <c r="DQ15" i="12"/>
  <c r="DR13" i="12" s="1"/>
  <c r="FX72" i="12"/>
  <c r="DS81" i="23"/>
  <c r="DU169" i="19"/>
  <c r="DU168" i="19"/>
  <c r="DV165" i="19" s="1"/>
  <c r="DS33" i="16"/>
  <c r="DS4" i="16"/>
  <c r="DS3" i="16"/>
  <c r="DT8" i="16"/>
  <c r="DU80" i="12"/>
  <c r="DT96" i="12"/>
  <c r="DQ12" i="23"/>
  <c r="BX10" i="12" l="1"/>
  <c r="BX38" i="12"/>
  <c r="CL41" i="18"/>
  <c r="BV34" i="23" s="1"/>
  <c r="BW43" i="12"/>
  <c r="DU202" i="37"/>
  <c r="CI21" i="12"/>
  <c r="CI20" i="12"/>
  <c r="CJ18" i="12" s="1"/>
  <c r="DU134" i="37"/>
  <c r="CH47" i="37"/>
  <c r="CG50" i="37"/>
  <c r="CF59" i="37"/>
  <c r="CF52" i="37"/>
  <c r="ET26" i="37"/>
  <c r="DQ5" i="23"/>
  <c r="DR4" i="23"/>
  <c r="DR118" i="23" s="1"/>
  <c r="DO11" i="11"/>
  <c r="DO54" i="13"/>
  <c r="DO18" i="15"/>
  <c r="DN39" i="13"/>
  <c r="DN38" i="13"/>
  <c r="DM43" i="16" s="1"/>
  <c r="DM11" i="16" s="1"/>
  <c r="EC9" i="18" s="1"/>
  <c r="DN37" i="13"/>
  <c r="DN44" i="13"/>
  <c r="DN46" i="13"/>
  <c r="DN45" i="13" s="1"/>
  <c r="DM47" i="16" s="1"/>
  <c r="DM15" i="16" s="1"/>
  <c r="EC13" i="18" s="1"/>
  <c r="DS42" i="13"/>
  <c r="EB12" i="18"/>
  <c r="DM41" i="13"/>
  <c r="DS4" i="15"/>
  <c r="DR3" i="15"/>
  <c r="DT34" i="13"/>
  <c r="DT33" i="13" s="1"/>
  <c r="DT47" i="13" s="1"/>
  <c r="DP31" i="12"/>
  <c r="DP30" i="12"/>
  <c r="DQ28" i="12" s="1"/>
  <c r="DR36" i="12"/>
  <c r="DR35" i="12"/>
  <c r="DS33" i="12" s="1"/>
  <c r="FZ76" i="12"/>
  <c r="DR78" i="12"/>
  <c r="DR94" i="12"/>
  <c r="DR90" i="12"/>
  <c r="DR82" i="12"/>
  <c r="DT70" i="12"/>
  <c r="DT33" i="16"/>
  <c r="DT4" i="16"/>
  <c r="DT3" i="16"/>
  <c r="DU8" i="16"/>
  <c r="AR175" i="19"/>
  <c r="AR176" i="19" s="1"/>
  <c r="DV169" i="19"/>
  <c r="DV168" i="19"/>
  <c r="DW165" i="19" s="1"/>
  <c r="DT93" i="16"/>
  <c r="DO50" i="16"/>
  <c r="FY72" i="12"/>
  <c r="DS3" i="11"/>
  <c r="DT8" i="11"/>
  <c r="DS10" i="11"/>
  <c r="DM44" i="16"/>
  <c r="DM12" i="16" s="1"/>
  <c r="EC10" i="18" s="1"/>
  <c r="DV88" i="12"/>
  <c r="DR12" i="23"/>
  <c r="EI56" i="18"/>
  <c r="EI57" i="18" s="1"/>
  <c r="EI35" i="18"/>
  <c r="EI3" i="18"/>
  <c r="EJ5" i="18"/>
  <c r="DR6" i="23"/>
  <c r="DV5" i="16"/>
  <c r="DS53" i="13"/>
  <c r="DS44" i="12"/>
  <c r="EC92" i="12"/>
  <c r="DS87" i="16"/>
  <c r="DR16" i="12"/>
  <c r="DT4" i="12"/>
  <c r="DS3" i="12"/>
  <c r="DS25" i="12"/>
  <c r="DT23" i="12" s="1"/>
  <c r="DV80" i="12"/>
  <c r="DU96" i="12"/>
  <c r="DT81" i="23"/>
  <c r="FY84" i="12"/>
  <c r="DT10" i="23"/>
  <c r="DS3" i="23"/>
  <c r="DR15" i="12"/>
  <c r="DS13" i="12" s="1"/>
  <c r="DS15" i="12" s="1"/>
  <c r="ET27" i="37" l="1"/>
  <c r="CH48" i="37"/>
  <c r="BX40" i="12"/>
  <c r="CM41" i="18" s="1"/>
  <c r="BW34" i="23" s="1"/>
  <c r="BY8" i="12"/>
  <c r="DV202" i="37"/>
  <c r="CJ20" i="12"/>
  <c r="CK18" i="12" s="1"/>
  <c r="CJ21" i="12"/>
  <c r="DV134" i="37"/>
  <c r="CG59" i="37"/>
  <c r="CG52" i="37"/>
  <c r="CI47" i="37"/>
  <c r="CI48" i="37" s="1"/>
  <c r="EU26" i="37"/>
  <c r="EU27" i="37" s="1"/>
  <c r="DR5" i="23"/>
  <c r="DT17" i="15"/>
  <c r="DP11" i="11"/>
  <c r="DP54" i="13"/>
  <c r="DP39" i="13" s="1"/>
  <c r="DO44" i="16" s="1"/>
  <c r="DO12" i="16" s="1"/>
  <c r="EE10" i="18" s="1"/>
  <c r="DP18" i="15"/>
  <c r="DO38" i="13"/>
  <c r="DO39" i="13"/>
  <c r="DO37" i="13"/>
  <c r="DO44" i="13"/>
  <c r="DO46" i="13"/>
  <c r="DO45" i="13" s="1"/>
  <c r="DN47" i="16" s="1"/>
  <c r="DN15" i="16" s="1"/>
  <c r="ED13" i="18" s="1"/>
  <c r="DT42" i="13"/>
  <c r="DN41" i="13"/>
  <c r="EC12" i="18" s="1"/>
  <c r="DT4" i="15"/>
  <c r="DS3" i="15"/>
  <c r="DU34" i="13"/>
  <c r="DU33" i="13" s="1"/>
  <c r="DU47" i="13" s="1"/>
  <c r="DS36" i="12"/>
  <c r="DS35" i="12"/>
  <c r="DT33" i="12" s="1"/>
  <c r="AS173" i="19"/>
  <c r="AR34" i="19"/>
  <c r="DQ31" i="12"/>
  <c r="DQ30" i="12"/>
  <c r="DR28" i="12" s="1"/>
  <c r="DT3" i="23"/>
  <c r="DU10" i="23"/>
  <c r="EJ35" i="18"/>
  <c r="EK5" i="18"/>
  <c r="EJ3" i="18"/>
  <c r="DT62" i="16" s="1"/>
  <c r="DT25" i="16" s="1"/>
  <c r="FZ72" i="12"/>
  <c r="GA76" i="12"/>
  <c r="DU70" i="12"/>
  <c r="DS88" i="16"/>
  <c r="DS89" i="16"/>
  <c r="DS90" i="16" s="1"/>
  <c r="DS35" i="16" s="1"/>
  <c r="DS101" i="16" s="1"/>
  <c r="DT87" i="16"/>
  <c r="DS12" i="23"/>
  <c r="DU93" i="16"/>
  <c r="FZ84" i="12"/>
  <c r="DS78" i="12"/>
  <c r="DS94" i="12"/>
  <c r="DS82" i="12"/>
  <c r="DS90" i="12"/>
  <c r="DW169" i="19"/>
  <c r="DW168" i="19"/>
  <c r="DX165" i="19" s="1"/>
  <c r="DW80" i="12"/>
  <c r="DV96" i="12"/>
  <c r="DW88" i="12"/>
  <c r="DN43" i="16"/>
  <c r="DN11" i="16" s="1"/>
  <c r="ED9" i="18" s="1"/>
  <c r="DN44" i="16"/>
  <c r="DN12" i="16" s="1"/>
  <c r="ED10" i="18" s="1"/>
  <c r="DU33" i="16"/>
  <c r="DU4" i="16"/>
  <c r="DU3" i="16"/>
  <c r="DV8" i="16"/>
  <c r="DS6" i="23"/>
  <c r="DS5" i="23" s="1"/>
  <c r="DW5" i="16"/>
  <c r="DT53" i="13"/>
  <c r="DT44" i="12"/>
  <c r="DU4" i="12"/>
  <c r="DT3" i="12"/>
  <c r="DT25" i="12"/>
  <c r="DU23" i="12" s="1"/>
  <c r="ED92" i="12"/>
  <c r="DU81" i="23"/>
  <c r="DS16" i="12"/>
  <c r="DT13" i="12"/>
  <c r="DT15" i="12" s="1"/>
  <c r="DU8" i="11"/>
  <c r="DT10" i="11"/>
  <c r="DU17" i="15" s="1"/>
  <c r="DT3" i="11"/>
  <c r="DP50" i="16"/>
  <c r="BY10" i="12" l="1"/>
  <c r="BY38" i="12"/>
  <c r="BX43" i="12"/>
  <c r="DW202" i="37"/>
  <c r="CK21" i="12"/>
  <c r="CK20" i="12"/>
  <c r="CL18" i="12" s="1"/>
  <c r="DW134" i="37"/>
  <c r="CJ47" i="37"/>
  <c r="EV26" i="37"/>
  <c r="DP38" i="13"/>
  <c r="DO43" i="16" s="1"/>
  <c r="DO11" i="16" s="1"/>
  <c r="EE9" i="18" s="1"/>
  <c r="DQ18" i="15"/>
  <c r="DQ11" i="11"/>
  <c r="DQ54" i="13"/>
  <c r="DQ38" i="13" s="1"/>
  <c r="DP43" i="16" s="1"/>
  <c r="DP11" i="16" s="1"/>
  <c r="EF9" i="18" s="1"/>
  <c r="DP46" i="13"/>
  <c r="DP45" i="13" s="1"/>
  <c r="DO47" i="16" s="1"/>
  <c r="DO15" i="16" s="1"/>
  <c r="EE13" i="18" s="1"/>
  <c r="DP37" i="13"/>
  <c r="DP44" i="13"/>
  <c r="DP41" i="13" s="1"/>
  <c r="EE12" i="18" s="1"/>
  <c r="DQ37" i="13"/>
  <c r="DU42" i="13"/>
  <c r="DO41" i="13"/>
  <c r="ED12" i="18" s="1"/>
  <c r="DU4" i="15"/>
  <c r="DT3" i="15"/>
  <c r="DV34" i="13"/>
  <c r="DV33" i="13" s="1"/>
  <c r="DV47" i="13" s="1"/>
  <c r="DR31" i="12"/>
  <c r="DR30" i="12"/>
  <c r="DS28" i="12" s="1"/>
  <c r="DT36" i="12"/>
  <c r="DT35" i="12"/>
  <c r="DU33" i="12" s="1"/>
  <c r="DU3" i="23"/>
  <c r="DV10" i="23"/>
  <c r="AS175" i="19"/>
  <c r="AS176" i="19" s="1"/>
  <c r="DV8" i="11"/>
  <c r="DU3" i="11"/>
  <c r="DU10" i="11"/>
  <c r="DV17" i="15" s="1"/>
  <c r="DV81" i="23"/>
  <c r="DT78" i="12"/>
  <c r="DT94" i="12"/>
  <c r="DT82" i="12"/>
  <c r="DT90" i="12"/>
  <c r="DV70" i="12"/>
  <c r="DX88" i="12"/>
  <c r="DV93" i="16"/>
  <c r="DV4" i="16"/>
  <c r="DV3" i="16"/>
  <c r="DW8" i="16"/>
  <c r="DV33" i="16"/>
  <c r="GA72" i="12"/>
  <c r="EL5" i="18"/>
  <c r="EK35" i="18"/>
  <c r="EK3" i="18"/>
  <c r="DU62" i="16" s="1"/>
  <c r="DU25" i="16" s="1"/>
  <c r="DT12" i="23"/>
  <c r="DX168" i="19"/>
  <c r="DY165" i="19" s="1"/>
  <c r="DX169" i="19"/>
  <c r="DU13" i="12"/>
  <c r="DU15" i="12" s="1"/>
  <c r="DT16" i="12"/>
  <c r="EE92" i="12"/>
  <c r="DQ50" i="16"/>
  <c r="GA84" i="12"/>
  <c r="DU25" i="12"/>
  <c r="DV23" i="12" s="1"/>
  <c r="DV4" i="12"/>
  <c r="DU3" i="12"/>
  <c r="DX80" i="12"/>
  <c r="DW96" i="12"/>
  <c r="DT6" i="23"/>
  <c r="DT5" i="23" s="1"/>
  <c r="DX5" i="16"/>
  <c r="DU44" i="12"/>
  <c r="DU53" i="13"/>
  <c r="DT88" i="16"/>
  <c r="DT89" i="16"/>
  <c r="DT90" i="16" s="1"/>
  <c r="DT35" i="16" s="1"/>
  <c r="DT101" i="16" s="1"/>
  <c r="DU87" i="16"/>
  <c r="GB76" i="12"/>
  <c r="CJ48" i="37" l="1"/>
  <c r="AC43" i="25"/>
  <c r="EV27" i="37"/>
  <c r="AS24" i="25"/>
  <c r="AS25" i="25" s="1"/>
  <c r="BY40" i="12"/>
  <c r="CN41" i="18" s="1"/>
  <c r="BX34" i="23" s="1"/>
  <c r="BZ8" i="12"/>
  <c r="DX202" i="37"/>
  <c r="CL21" i="12"/>
  <c r="CL20" i="12"/>
  <c r="CM18" i="12" s="1"/>
  <c r="DX134" i="37"/>
  <c r="CK47" i="37"/>
  <c r="CK48" i="37" s="1"/>
  <c r="EW26" i="37"/>
  <c r="EW27" i="37" s="1"/>
  <c r="DQ46" i="13"/>
  <c r="DQ45" i="13" s="1"/>
  <c r="DP47" i="16" s="1"/>
  <c r="DP15" i="16" s="1"/>
  <c r="EF13" i="18" s="1"/>
  <c r="DQ44" i="13"/>
  <c r="DQ39" i="13"/>
  <c r="DP44" i="16" s="1"/>
  <c r="DP12" i="16" s="1"/>
  <c r="EF10" i="18" s="1"/>
  <c r="DR18" i="15"/>
  <c r="DR54" i="13"/>
  <c r="DR38" i="13" s="1"/>
  <c r="DQ43" i="16" s="1"/>
  <c r="DQ11" i="16" s="1"/>
  <c r="EG9" i="18" s="1"/>
  <c r="DR11" i="11"/>
  <c r="DR44" i="13"/>
  <c r="DR46" i="13"/>
  <c r="DR45" i="13" s="1"/>
  <c r="DQ47" i="16" s="1"/>
  <c r="DQ15" i="16" s="1"/>
  <c r="EG13" i="18" s="1"/>
  <c r="DV42" i="13"/>
  <c r="DQ41" i="13"/>
  <c r="EF12" i="18" s="1"/>
  <c r="DV4" i="15"/>
  <c r="DU3" i="15"/>
  <c r="DW34" i="13"/>
  <c r="DW33" i="13" s="1"/>
  <c r="DW47" i="13" s="1"/>
  <c r="DU36" i="12"/>
  <c r="DU35" i="12"/>
  <c r="DV33" i="12" s="1"/>
  <c r="AT173" i="19"/>
  <c r="AS34" i="19"/>
  <c r="DS31" i="12"/>
  <c r="DS30" i="12"/>
  <c r="DT28" i="12" s="1"/>
  <c r="DW10" i="23"/>
  <c r="DV3" i="23"/>
  <c r="GB72" i="12"/>
  <c r="DR50" i="16"/>
  <c r="DU6" i="23"/>
  <c r="DY5" i="16"/>
  <c r="DV44" i="12"/>
  <c r="DV53" i="13"/>
  <c r="DU88" i="16"/>
  <c r="DU89" i="16"/>
  <c r="DU90" i="16" s="1"/>
  <c r="DU35" i="16" s="1"/>
  <c r="DU101" i="16" s="1"/>
  <c r="DV87" i="16"/>
  <c r="DY88" i="12"/>
  <c r="DV25" i="12"/>
  <c r="DW23" i="12" s="1"/>
  <c r="DW4" i="12"/>
  <c r="DV3" i="12"/>
  <c r="EF92" i="12"/>
  <c r="DW93" i="16"/>
  <c r="DW81" i="23"/>
  <c r="DW8" i="11"/>
  <c r="DV10" i="11"/>
  <c r="DW17" i="15" s="1"/>
  <c r="DV3" i="11"/>
  <c r="DV13" i="12"/>
  <c r="DU16" i="12"/>
  <c r="GB84" i="12"/>
  <c r="DU12" i="23"/>
  <c r="EM5" i="18"/>
  <c r="EL35" i="18"/>
  <c r="EL3" i="18"/>
  <c r="DV62" i="16" s="1"/>
  <c r="DV25" i="16" s="1"/>
  <c r="DU78" i="12"/>
  <c r="DU94" i="12"/>
  <c r="DU90" i="12"/>
  <c r="DU82" i="12"/>
  <c r="DY80" i="12"/>
  <c r="DX96" i="12"/>
  <c r="DY168" i="19"/>
  <c r="DZ165" i="19" s="1"/>
  <c r="DY169" i="19"/>
  <c r="DX8" i="16"/>
  <c r="DW33" i="16"/>
  <c r="DW3" i="16"/>
  <c r="DW4" i="16"/>
  <c r="DW70" i="12"/>
  <c r="BZ10" i="12" l="1"/>
  <c r="BZ40" i="12" s="1"/>
  <c r="CO41" i="18" s="1"/>
  <c r="BY34" i="23" s="1"/>
  <c r="BZ38" i="12"/>
  <c r="BZ43" i="12" s="1"/>
  <c r="BY43" i="12"/>
  <c r="DY202" i="37"/>
  <c r="DR39" i="13"/>
  <c r="DQ44" i="16" s="1"/>
  <c r="DQ12" i="16" s="1"/>
  <c r="EG10" i="18" s="1"/>
  <c r="CM21" i="12"/>
  <c r="CM20" i="12"/>
  <c r="CN18" i="12" s="1"/>
  <c r="DY134" i="37"/>
  <c r="CL47" i="37"/>
  <c r="EX26" i="37"/>
  <c r="DU5" i="23"/>
  <c r="DV4" i="23"/>
  <c r="DV118" i="23" s="1"/>
  <c r="DS18" i="15"/>
  <c r="DS54" i="13"/>
  <c r="DS37" i="13" s="1"/>
  <c r="DR37" i="13"/>
  <c r="DS11" i="11"/>
  <c r="DS38" i="13"/>
  <c r="DR43" i="16" s="1"/>
  <c r="DR11" i="16" s="1"/>
  <c r="EH9" i="18" s="1"/>
  <c r="DS44" i="13"/>
  <c r="DW42" i="13"/>
  <c r="DR41" i="13"/>
  <c r="EG12" i="18" s="1"/>
  <c r="DW4" i="15"/>
  <c r="DV3" i="15"/>
  <c r="DX34" i="13"/>
  <c r="DX33" i="13" s="1"/>
  <c r="DX47" i="13" s="1"/>
  <c r="DV36" i="12"/>
  <c r="DV35" i="12"/>
  <c r="DW33" i="12" s="1"/>
  <c r="DT31" i="12"/>
  <c r="DT30" i="12"/>
  <c r="DU28" i="12" s="1"/>
  <c r="DY8" i="16"/>
  <c r="DX33" i="16"/>
  <c r="DX4" i="16"/>
  <c r="DX3" i="16"/>
  <c r="DZ80" i="12"/>
  <c r="DY96" i="12"/>
  <c r="DV12" i="23"/>
  <c r="DV6" i="23"/>
  <c r="DZ5" i="16"/>
  <c r="DW53" i="13"/>
  <c r="DW44" i="12"/>
  <c r="DX70" i="12"/>
  <c r="DS50" i="16"/>
  <c r="EM56" i="18"/>
  <c r="EM57" i="18" s="1"/>
  <c r="EN5" i="18"/>
  <c r="EM35" i="18"/>
  <c r="EM3" i="18"/>
  <c r="DX81" i="23"/>
  <c r="DX4" i="12"/>
  <c r="DW3" i="12"/>
  <c r="DW25" i="12"/>
  <c r="DX23" i="12" s="1"/>
  <c r="DZ88" i="12"/>
  <c r="DX93" i="16"/>
  <c r="AT175" i="19"/>
  <c r="AT176" i="19" s="1"/>
  <c r="DX10" i="23"/>
  <c r="DW3" i="23"/>
  <c r="DV78" i="12"/>
  <c r="DV94" i="12"/>
  <c r="DV82" i="12"/>
  <c r="DV90" i="12"/>
  <c r="DV16" i="12"/>
  <c r="DW10" i="11"/>
  <c r="DW3" i="11"/>
  <c r="DX8" i="11"/>
  <c r="DZ168" i="19"/>
  <c r="EA165" i="19" s="1"/>
  <c r="DZ169" i="19"/>
  <c r="EG92" i="12"/>
  <c r="DV15" i="12"/>
  <c r="DW13" i="12" s="1"/>
  <c r="DW87" i="16"/>
  <c r="EX27" i="37" l="1"/>
  <c r="CL48" i="37"/>
  <c r="CA8" i="12"/>
  <c r="DZ202" i="37"/>
  <c r="CN20" i="12"/>
  <c r="CO18" i="12" s="1"/>
  <c r="CN21" i="12"/>
  <c r="DZ134" i="37"/>
  <c r="CM47" i="37"/>
  <c r="CM48" i="37" s="1"/>
  <c r="EY26" i="37"/>
  <c r="EY27" i="37" s="1"/>
  <c r="DS46" i="13"/>
  <c r="DS45" i="13" s="1"/>
  <c r="DR47" i="16" s="1"/>
  <c r="DR15" i="16" s="1"/>
  <c r="EH13" i="18" s="1"/>
  <c r="DS39" i="13"/>
  <c r="DR44" i="16" s="1"/>
  <c r="DR12" i="16" s="1"/>
  <c r="EH10" i="18" s="1"/>
  <c r="DV5" i="23"/>
  <c r="DX17" i="15"/>
  <c r="DT54" i="13"/>
  <c r="DT18" i="15"/>
  <c r="DT11" i="11"/>
  <c r="DX42" i="13"/>
  <c r="DS41" i="13"/>
  <c r="EH12" i="18" s="1"/>
  <c r="DX4" i="15"/>
  <c r="DW3" i="15"/>
  <c r="DY34" i="13"/>
  <c r="DY33" i="13" s="1"/>
  <c r="DY47" i="13" s="1"/>
  <c r="DW16" i="12"/>
  <c r="DW15" i="12"/>
  <c r="DX13" i="12" s="1"/>
  <c r="DW36" i="12"/>
  <c r="DW35" i="12"/>
  <c r="DX33" i="12" s="1"/>
  <c r="DX35" i="12" s="1"/>
  <c r="AU173" i="19"/>
  <c r="AT34" i="19"/>
  <c r="DY10" i="23"/>
  <c r="DX3" i="23"/>
  <c r="DW78" i="12"/>
  <c r="DW94" i="12"/>
  <c r="DW82" i="12"/>
  <c r="DW90" i="12"/>
  <c r="DT50" i="16"/>
  <c r="DY93" i="16"/>
  <c r="EA88" i="12"/>
  <c r="DX10" i="11"/>
  <c r="DY17" i="15" s="1"/>
  <c r="DX3" i="11"/>
  <c r="DY8" i="11"/>
  <c r="DY33" i="16"/>
  <c r="DY4" i="16"/>
  <c r="DY3" i="16"/>
  <c r="DZ8" i="16"/>
  <c r="DW12" i="23"/>
  <c r="DW89" i="16"/>
  <c r="DW90" i="16" s="1"/>
  <c r="DW35" i="16" s="1"/>
  <c r="DW101" i="16" s="1"/>
  <c r="DX87" i="16"/>
  <c r="DW88" i="16"/>
  <c r="EA168" i="19"/>
  <c r="EB165" i="19" s="1"/>
  <c r="EA169" i="19"/>
  <c r="EO5" i="18"/>
  <c r="EN35" i="18"/>
  <c r="EN3" i="18"/>
  <c r="DX62" i="16" s="1"/>
  <c r="DX25" i="16" s="1"/>
  <c r="EA80" i="12"/>
  <c r="DZ96" i="12"/>
  <c r="DY4" i="12"/>
  <c r="DX3" i="12"/>
  <c r="DX25" i="12"/>
  <c r="DY23" i="12" s="1"/>
  <c r="DU31" i="12"/>
  <c r="DU30" i="12"/>
  <c r="DV28" i="12" s="1"/>
  <c r="EH92" i="12"/>
  <c r="DW6" i="23"/>
  <c r="DW5" i="23" s="1"/>
  <c r="EA5" i="16"/>
  <c r="DX53" i="13"/>
  <c r="DX44" i="12"/>
  <c r="DY81" i="23"/>
  <c r="DY70" i="12"/>
  <c r="CA10" i="12" l="1"/>
  <c r="CA40" i="12" s="1"/>
  <c r="CP41" i="18" s="1"/>
  <c r="BZ34" i="23" s="1"/>
  <c r="CA38" i="12"/>
  <c r="CB8" i="12"/>
  <c r="EA202" i="37"/>
  <c r="CO21" i="12"/>
  <c r="CO20" i="12"/>
  <c r="CP18" i="12" s="1"/>
  <c r="EA134" i="37"/>
  <c r="CN47" i="37"/>
  <c r="EZ26" i="37"/>
  <c r="DU54" i="13"/>
  <c r="DU11" i="11"/>
  <c r="DU18" i="15"/>
  <c r="DT37" i="13"/>
  <c r="DT38" i="13"/>
  <c r="DS43" i="16" s="1"/>
  <c r="DS11" i="16" s="1"/>
  <c r="EI9" i="18" s="1"/>
  <c r="DT39" i="13"/>
  <c r="DS44" i="16" s="1"/>
  <c r="DS12" i="16" s="1"/>
  <c r="EI10" i="18" s="1"/>
  <c r="DT44" i="13"/>
  <c r="DT46" i="13"/>
  <c r="DT45" i="13" s="1"/>
  <c r="DS47" i="16" s="1"/>
  <c r="DS15" i="16" s="1"/>
  <c r="EI13" i="18" s="1"/>
  <c r="DY42" i="13"/>
  <c r="DY4" i="15"/>
  <c r="DX3" i="15"/>
  <c r="DZ34" i="13"/>
  <c r="DZ33" i="13" s="1"/>
  <c r="DZ47" i="13" s="1"/>
  <c r="DV31" i="12"/>
  <c r="DV30" i="12"/>
  <c r="DW28" i="12" s="1"/>
  <c r="DX16" i="12"/>
  <c r="DX15" i="12"/>
  <c r="DY13" i="12" s="1"/>
  <c r="EI92" i="12"/>
  <c r="DZ4" i="12"/>
  <c r="DY3" i="12"/>
  <c r="DY25" i="12"/>
  <c r="DZ23" i="12" s="1"/>
  <c r="DY10" i="11"/>
  <c r="DZ17" i="15" s="1"/>
  <c r="DY3" i="11"/>
  <c r="DZ8" i="11"/>
  <c r="EB80" i="12"/>
  <c r="EA96" i="12"/>
  <c r="DX78" i="12"/>
  <c r="DX94" i="12"/>
  <c r="DX82" i="12"/>
  <c r="DX90" i="12"/>
  <c r="DZ70" i="12"/>
  <c r="DX12" i="23"/>
  <c r="EB169" i="19"/>
  <c r="EB168" i="19"/>
  <c r="EC165" i="19" s="1"/>
  <c r="DZ33" i="16"/>
  <c r="DZ4" i="16"/>
  <c r="DZ3" i="16"/>
  <c r="EA8" i="16"/>
  <c r="DX6" i="23"/>
  <c r="DX5" i="23" s="1"/>
  <c r="EB5" i="16"/>
  <c r="DY53" i="13"/>
  <c r="DY44" i="12"/>
  <c r="DZ81" i="23"/>
  <c r="EP5" i="18"/>
  <c r="EO35" i="18"/>
  <c r="EO3" i="18"/>
  <c r="DY62" i="16" s="1"/>
  <c r="DY25" i="16" s="1"/>
  <c r="EB88" i="12"/>
  <c r="AU175" i="19"/>
  <c r="AU176" i="19" s="1"/>
  <c r="DX89" i="16"/>
  <c r="DX90" i="16" s="1"/>
  <c r="DX35" i="16" s="1"/>
  <c r="DX101" i="16" s="1"/>
  <c r="DY87" i="16"/>
  <c r="DX88" i="16"/>
  <c r="DU50" i="16"/>
  <c r="DZ93" i="16"/>
  <c r="DZ10" i="23"/>
  <c r="DY3" i="23"/>
  <c r="DX36" i="12"/>
  <c r="DY33" i="12"/>
  <c r="DY35" i="12" s="1"/>
  <c r="CN48" i="37" l="1"/>
  <c r="AD43" i="25"/>
  <c r="EZ27" i="37"/>
  <c r="AT24" i="25"/>
  <c r="CA43" i="12"/>
  <c r="CB10" i="12"/>
  <c r="CB40" i="12" s="1"/>
  <c r="CQ41" i="18" s="1"/>
  <c r="CA34" i="23" s="1"/>
  <c r="CB38" i="12"/>
  <c r="CB43" i="12" s="1"/>
  <c r="CC8" i="12"/>
  <c r="EB202" i="37"/>
  <c r="CP21" i="12"/>
  <c r="CP20" i="12"/>
  <c r="CQ18" i="12" s="1"/>
  <c r="EB134" i="37"/>
  <c r="CO47" i="37"/>
  <c r="CO48" i="37" s="1"/>
  <c r="FA26" i="37"/>
  <c r="FA27" i="37" s="1"/>
  <c r="DV18" i="15"/>
  <c r="DV54" i="13"/>
  <c r="DV11" i="11"/>
  <c r="DU39" i="13"/>
  <c r="DU37" i="13"/>
  <c r="DU38" i="13"/>
  <c r="DU44" i="13"/>
  <c r="DU46" i="13"/>
  <c r="DU45" i="13" s="1"/>
  <c r="DT47" i="16" s="1"/>
  <c r="DT15" i="16" s="1"/>
  <c r="EJ13" i="18" s="1"/>
  <c r="DZ42" i="13"/>
  <c r="DT41" i="13"/>
  <c r="EI12" i="18" s="1"/>
  <c r="DZ4" i="15"/>
  <c r="DY3" i="15"/>
  <c r="EA34" i="13"/>
  <c r="EA33" i="13" s="1"/>
  <c r="EA47" i="13" s="1"/>
  <c r="DY16" i="12"/>
  <c r="DY15" i="12"/>
  <c r="DZ13" i="12" s="1"/>
  <c r="AV173" i="19"/>
  <c r="AU34" i="19"/>
  <c r="DW31" i="12"/>
  <c r="DW30" i="12"/>
  <c r="DX28" i="12" s="1"/>
  <c r="EA93" i="16"/>
  <c r="EA33" i="16"/>
  <c r="EA4" i="16"/>
  <c r="EA3" i="16"/>
  <c r="EB8" i="16"/>
  <c r="EA4" i="12"/>
  <c r="DZ3" i="12"/>
  <c r="DZ25" i="12"/>
  <c r="EA23" i="12" s="1"/>
  <c r="DY89" i="16"/>
  <c r="DY90" i="16" s="1"/>
  <c r="DY35" i="16" s="1"/>
  <c r="DY101" i="16" s="1"/>
  <c r="DZ87" i="16"/>
  <c r="DY88" i="16"/>
  <c r="DY12" i="23"/>
  <c r="DY6" i="23"/>
  <c r="EC5" i="16"/>
  <c r="DZ53" i="13"/>
  <c r="DZ44" i="12"/>
  <c r="EA10" i="23"/>
  <c r="DZ3" i="23"/>
  <c r="EQ5" i="18"/>
  <c r="EP35" i="18"/>
  <c r="EP3" i="18"/>
  <c r="DZ62" i="16" s="1"/>
  <c r="DZ25" i="16" s="1"/>
  <c r="DV50" i="16"/>
  <c r="EC88" i="12"/>
  <c r="EC169" i="19"/>
  <c r="EC168" i="19"/>
  <c r="ED165" i="19" s="1"/>
  <c r="DY36" i="12"/>
  <c r="DZ33" i="12"/>
  <c r="DZ10" i="11"/>
  <c r="EA17" i="15" s="1"/>
  <c r="DZ3" i="11"/>
  <c r="EA8" i="11"/>
  <c r="DY78" i="12"/>
  <c r="DY94" i="12"/>
  <c r="DY82" i="12"/>
  <c r="DY90" i="12"/>
  <c r="EC80" i="12"/>
  <c r="EB96" i="12"/>
  <c r="EJ92" i="12"/>
  <c r="EA81" i="23"/>
  <c r="EA70" i="12"/>
  <c r="DT44" i="16"/>
  <c r="DT12" i="16" s="1"/>
  <c r="EJ10" i="18" s="1"/>
  <c r="DT43" i="16"/>
  <c r="DT11" i="16" s="1"/>
  <c r="EJ9" i="18" s="1"/>
  <c r="H24" i="25" l="1"/>
  <c r="AT25" i="25"/>
  <c r="H25" i="25" s="1"/>
  <c r="CC38" i="12"/>
  <c r="CC10" i="12"/>
  <c r="CC40" i="12" s="1"/>
  <c r="CR41" i="18" s="1"/>
  <c r="CB34" i="23" s="1"/>
  <c r="CD8" i="12"/>
  <c r="CD38" i="12" s="1"/>
  <c r="EC202" i="37"/>
  <c r="CD10" i="12"/>
  <c r="CD40" i="12" s="1"/>
  <c r="CS41" i="18" s="1"/>
  <c r="CC34" i="23" s="1"/>
  <c r="CQ20" i="12"/>
  <c r="CR18" i="12" s="1"/>
  <c r="CQ21" i="12"/>
  <c r="EC134" i="37"/>
  <c r="CP47" i="37"/>
  <c r="FB26" i="37"/>
  <c r="DY5" i="23"/>
  <c r="DZ4" i="23"/>
  <c r="DZ118" i="23" s="1"/>
  <c r="DW54" i="13"/>
  <c r="DW18" i="15"/>
  <c r="DW11" i="11"/>
  <c r="DV37" i="13"/>
  <c r="DV39" i="13"/>
  <c r="DV38" i="13"/>
  <c r="DU43" i="16" s="1"/>
  <c r="DU11" i="16" s="1"/>
  <c r="EK9" i="18" s="1"/>
  <c r="DV44" i="13"/>
  <c r="DV46" i="13"/>
  <c r="DV45" i="13" s="1"/>
  <c r="DU47" i="16" s="1"/>
  <c r="DU15" i="16" s="1"/>
  <c r="EK13" i="18" s="1"/>
  <c r="EA42" i="13"/>
  <c r="EJ12" i="18"/>
  <c r="DU41" i="13"/>
  <c r="EA4" i="15"/>
  <c r="DZ3" i="15"/>
  <c r="EB34" i="13"/>
  <c r="EB33" i="13" s="1"/>
  <c r="EB47" i="13" s="1"/>
  <c r="DX31" i="12"/>
  <c r="DX30" i="12"/>
  <c r="DY28" i="12" s="1"/>
  <c r="DZ16" i="12"/>
  <c r="DZ15" i="12"/>
  <c r="EA13" i="12" s="1"/>
  <c r="ED80" i="12"/>
  <c r="EC96" i="12"/>
  <c r="EA3" i="11"/>
  <c r="EB8" i="11"/>
  <c r="EA10" i="11"/>
  <c r="EB93" i="16"/>
  <c r="EB70" i="12"/>
  <c r="DZ6" i="23"/>
  <c r="ED5" i="16"/>
  <c r="EA53" i="13"/>
  <c r="EA44" i="12"/>
  <c r="EB10" i="23"/>
  <c r="EA3" i="23"/>
  <c r="EB33" i="16"/>
  <c r="EB4" i="16"/>
  <c r="EB3" i="16"/>
  <c r="EC8" i="16"/>
  <c r="AV175" i="19"/>
  <c r="AV176" i="19" s="1"/>
  <c r="ED88" i="12"/>
  <c r="EB81" i="23"/>
  <c r="DZ78" i="12"/>
  <c r="DZ94" i="12"/>
  <c r="DZ90" i="12"/>
  <c r="DZ82" i="12"/>
  <c r="DW50" i="16"/>
  <c r="DZ36" i="12"/>
  <c r="ED169" i="19"/>
  <c r="ED168" i="19"/>
  <c r="EE165" i="19" s="1"/>
  <c r="DZ12" i="23"/>
  <c r="EB4" i="12"/>
  <c r="EA3" i="12"/>
  <c r="EA25" i="12"/>
  <c r="EB23" i="12" s="1"/>
  <c r="EK92" i="12"/>
  <c r="EA87" i="16"/>
  <c r="DU44" i="16"/>
  <c r="DU12" i="16" s="1"/>
  <c r="EK10" i="18" s="1"/>
  <c r="EQ56" i="18"/>
  <c r="EQ57" i="18" s="1"/>
  <c r="EQ35" i="18"/>
  <c r="EQ3" i="18"/>
  <c r="ER5" i="18"/>
  <c r="DZ35" i="12"/>
  <c r="EA33" i="12" s="1"/>
  <c r="FB27" i="37" l="1"/>
  <c r="CP48" i="37"/>
  <c r="CE8" i="12"/>
  <c r="CD43" i="12"/>
  <c r="CC43" i="12"/>
  <c r="ED202" i="37"/>
  <c r="CR21" i="12"/>
  <c r="CR20" i="12"/>
  <c r="CS18" i="12" s="1"/>
  <c r="ED134" i="37"/>
  <c r="CQ47" i="37"/>
  <c r="CQ48" i="37" s="1"/>
  <c r="FC26" i="37"/>
  <c r="FC27" i="37" s="1"/>
  <c r="DZ5" i="23"/>
  <c r="DX11" i="11"/>
  <c r="DX54" i="13"/>
  <c r="DX18" i="15"/>
  <c r="EB17" i="15"/>
  <c r="DW38" i="13"/>
  <c r="DW37" i="13"/>
  <c r="DW39" i="13"/>
  <c r="DV44" i="16" s="1"/>
  <c r="DV12" i="16" s="1"/>
  <c r="EL10" i="18" s="1"/>
  <c r="DW44" i="13"/>
  <c r="DW46" i="13"/>
  <c r="DW45" i="13" s="1"/>
  <c r="DV47" i="16" s="1"/>
  <c r="DV15" i="16" s="1"/>
  <c r="EL13" i="18" s="1"/>
  <c r="EB42" i="13"/>
  <c r="DV41" i="13"/>
  <c r="EK12" i="18" s="1"/>
  <c r="EB4" i="15"/>
  <c r="EA3" i="15"/>
  <c r="EC34" i="13"/>
  <c r="EC33" i="13" s="1"/>
  <c r="EC47" i="13" s="1"/>
  <c r="EA16" i="12"/>
  <c r="EA15" i="12"/>
  <c r="EB13" i="12" s="1"/>
  <c r="DY31" i="12"/>
  <c r="DY30" i="12"/>
  <c r="DZ28" i="12" s="1"/>
  <c r="EA36" i="12"/>
  <c r="EA35" i="12"/>
  <c r="EB33" i="12" s="1"/>
  <c r="EB35" i="12" s="1"/>
  <c r="EA12" i="23"/>
  <c r="EC81" i="23"/>
  <c r="AW173" i="19"/>
  <c r="AV34" i="19"/>
  <c r="EL92" i="12"/>
  <c r="EB3" i="23"/>
  <c r="EC10" i="23"/>
  <c r="DV43" i="16"/>
  <c r="DV11" i="16" s="1"/>
  <c r="EL9" i="18" s="1"/>
  <c r="EC93" i="16"/>
  <c r="EC8" i="11"/>
  <c r="EB10" i="11"/>
  <c r="EC17" i="15" s="1"/>
  <c r="EB3" i="11"/>
  <c r="ER35" i="18"/>
  <c r="ES5" i="18"/>
  <c r="ER3" i="18"/>
  <c r="EB62" i="16" s="1"/>
  <c r="EB25" i="16" s="1"/>
  <c r="EC4" i="12"/>
  <c r="EB3" i="12"/>
  <c r="EB25" i="12"/>
  <c r="EC23" i="12" s="1"/>
  <c r="EE169" i="19"/>
  <c r="EE168" i="19"/>
  <c r="EF165" i="19" s="1"/>
  <c r="EC33" i="16"/>
  <c r="EC4" i="16"/>
  <c r="EC3" i="16"/>
  <c r="ED8" i="16"/>
  <c r="EE80" i="12"/>
  <c r="ED96" i="12"/>
  <c r="EA88" i="16"/>
  <c r="EA89" i="16"/>
  <c r="EA90" i="16" s="1"/>
  <c r="EA35" i="16" s="1"/>
  <c r="EA101" i="16" s="1"/>
  <c r="EB87" i="16"/>
  <c r="EA78" i="12"/>
  <c r="EA94" i="12"/>
  <c r="EA90" i="12"/>
  <c r="EA82" i="12"/>
  <c r="EE88" i="12"/>
  <c r="DX50" i="16"/>
  <c r="EC70" i="12"/>
  <c r="EA6" i="23"/>
  <c r="EA5" i="23" s="1"/>
  <c r="EE5" i="16"/>
  <c r="EB53" i="13"/>
  <c r="EB44" i="12"/>
  <c r="CE38" i="12" l="1"/>
  <c r="CE10" i="12"/>
  <c r="EE202" i="37"/>
  <c r="CS21" i="12"/>
  <c r="CS20" i="12"/>
  <c r="CT18" i="12" s="1"/>
  <c r="EE134" i="37"/>
  <c r="CR47" i="37"/>
  <c r="FD26" i="37"/>
  <c r="DY54" i="13"/>
  <c r="DY18" i="15"/>
  <c r="DY11" i="11"/>
  <c r="DX38" i="13"/>
  <c r="DX39" i="13"/>
  <c r="DX37" i="13"/>
  <c r="DX44" i="13"/>
  <c r="DX46" i="13"/>
  <c r="DX45" i="13" s="1"/>
  <c r="DW47" i="16" s="1"/>
  <c r="DW15" i="16" s="1"/>
  <c r="EM13" i="18" s="1"/>
  <c r="EC42" i="13"/>
  <c r="DW41" i="13"/>
  <c r="EL12" i="18" s="1"/>
  <c r="EC4" i="15"/>
  <c r="EB3" i="15"/>
  <c r="ED34" i="13"/>
  <c r="ED33" i="13" s="1"/>
  <c r="ED47" i="13" s="1"/>
  <c r="DZ31" i="12"/>
  <c r="DZ30" i="12"/>
  <c r="EA28" i="12" s="1"/>
  <c r="EB16" i="12"/>
  <c r="EB15" i="12"/>
  <c r="EC13" i="12" s="1"/>
  <c r="DY50" i="16"/>
  <c r="EB36" i="12"/>
  <c r="EC33" i="12"/>
  <c r="EC35" i="12" s="1"/>
  <c r="DW44" i="16"/>
  <c r="DW12" i="16" s="1"/>
  <c r="EM10" i="18" s="1"/>
  <c r="DW43" i="16"/>
  <c r="DW11" i="16" s="1"/>
  <c r="EM9" i="18" s="1"/>
  <c r="EB78" i="12"/>
  <c r="EB94" i="12"/>
  <c r="EB82" i="12"/>
  <c r="EB90" i="12"/>
  <c r="ET5" i="18"/>
  <c r="ES35" i="18"/>
  <c r="ES3" i="18"/>
  <c r="EC62" i="16" s="1"/>
  <c r="EC25" i="16" s="1"/>
  <c r="ED93" i="16"/>
  <c r="EB12" i="23"/>
  <c r="EF88" i="12"/>
  <c r="ED70" i="12"/>
  <c r="EF168" i="19"/>
  <c r="EG165" i="19" s="1"/>
  <c r="EF169" i="19"/>
  <c r="ED81" i="23"/>
  <c r="EF80" i="12"/>
  <c r="EE96" i="12"/>
  <c r="EB88" i="16"/>
  <c r="EB89" i="16"/>
  <c r="EB90" i="16" s="1"/>
  <c r="EB35" i="16" s="1"/>
  <c r="EB101" i="16" s="1"/>
  <c r="EC87" i="16"/>
  <c r="EC25" i="12"/>
  <c r="ED23" i="12" s="1"/>
  <c r="ED4" i="12"/>
  <c r="EC3" i="12"/>
  <c r="EM92" i="12"/>
  <c r="ED4" i="16"/>
  <c r="ED3" i="16"/>
  <c r="EE8" i="16"/>
  <c r="ED33" i="16"/>
  <c r="EB6" i="23"/>
  <c r="EB5" i="23" s="1"/>
  <c r="EF5" i="16"/>
  <c r="EC44" i="12"/>
  <c r="EC53" i="13"/>
  <c r="ED8" i="11"/>
  <c r="EC3" i="11"/>
  <c r="EC10" i="11"/>
  <c r="ED17" i="15" s="1"/>
  <c r="EC3" i="23"/>
  <c r="ED10" i="23"/>
  <c r="AW175" i="19"/>
  <c r="AW176" i="19" s="1"/>
  <c r="FD27" i="37" l="1"/>
  <c r="AU24" i="25"/>
  <c r="CR48" i="37"/>
  <c r="AE43" i="25"/>
  <c r="CE40" i="12"/>
  <c r="CT41" i="18" s="1"/>
  <c r="CD34" i="23" s="1"/>
  <c r="CF8" i="12"/>
  <c r="EF202" i="37"/>
  <c r="CT21" i="12"/>
  <c r="CT20" i="12"/>
  <c r="CU18" i="12" s="1"/>
  <c r="EF134" i="37"/>
  <c r="CS47" i="37"/>
  <c r="CS48" i="37" s="1"/>
  <c r="FE26" i="37"/>
  <c r="FE27" i="37" s="1"/>
  <c r="DZ18" i="15"/>
  <c r="DZ11" i="11"/>
  <c r="DZ54" i="13"/>
  <c r="DY37" i="13"/>
  <c r="DY38" i="13"/>
  <c r="DX43" i="16" s="1"/>
  <c r="DX11" i="16" s="1"/>
  <c r="EN9" i="18" s="1"/>
  <c r="DY39" i="13"/>
  <c r="DX44" i="16" s="1"/>
  <c r="DX12" i="16" s="1"/>
  <c r="EN10" i="18" s="1"/>
  <c r="DY44" i="13"/>
  <c r="DY46" i="13"/>
  <c r="DY45" i="13" s="1"/>
  <c r="DX47" i="16" s="1"/>
  <c r="DX15" i="16" s="1"/>
  <c r="EN13" i="18" s="1"/>
  <c r="ED42" i="13"/>
  <c r="DX41" i="13"/>
  <c r="EM12" i="18" s="1"/>
  <c r="ED4" i="15"/>
  <c r="EC3" i="15"/>
  <c r="EE34" i="13"/>
  <c r="EE33" i="13" s="1"/>
  <c r="EE47" i="13" s="1"/>
  <c r="EC16" i="12"/>
  <c r="EC15" i="12"/>
  <c r="ED13" i="12" s="1"/>
  <c r="EA31" i="12"/>
  <c r="EA30" i="12"/>
  <c r="EB28" i="12" s="1"/>
  <c r="EC6" i="23"/>
  <c r="EG5" i="16"/>
  <c r="ED44" i="12"/>
  <c r="ED53" i="13"/>
  <c r="EN92" i="12"/>
  <c r="EG88" i="12"/>
  <c r="ED25" i="12"/>
  <c r="EE23" i="12" s="1"/>
  <c r="EE4" i="12"/>
  <c r="ED3" i="12"/>
  <c r="AX173" i="19"/>
  <c r="AW34" i="19"/>
  <c r="EE93" i="16"/>
  <c r="EC36" i="12"/>
  <c r="ED33" i="12"/>
  <c r="DZ50" i="16"/>
  <c r="EF8" i="16"/>
  <c r="EE33" i="16"/>
  <c r="EE4" i="16"/>
  <c r="EE3" i="16"/>
  <c r="EG168" i="19"/>
  <c r="EH165" i="19" s="1"/>
  <c r="EG169" i="19"/>
  <c r="EE81" i="23"/>
  <c r="EC88" i="16"/>
  <c r="EC89" i="16"/>
  <c r="EC90" i="16" s="1"/>
  <c r="EC35" i="16" s="1"/>
  <c r="EC101" i="16" s="1"/>
  <c r="ED87" i="16"/>
  <c r="EE8" i="11"/>
  <c r="ED10" i="11"/>
  <c r="EE17" i="15" s="1"/>
  <c r="ED3" i="11"/>
  <c r="EE10" i="23"/>
  <c r="ED3" i="23"/>
  <c r="EC78" i="12"/>
  <c r="EC94" i="12"/>
  <c r="EC82" i="12"/>
  <c r="EC90" i="12"/>
  <c r="EG80" i="12"/>
  <c r="EF96" i="12"/>
  <c r="EC12" i="23"/>
  <c r="EE70" i="12"/>
  <c r="EU5" i="18"/>
  <c r="ET35" i="18"/>
  <c r="ET3" i="18"/>
  <c r="ED62" i="16" s="1"/>
  <c r="ED25" i="16" s="1"/>
  <c r="CE43" i="12" l="1"/>
  <c r="AU25" i="25"/>
  <c r="CF38" i="12"/>
  <c r="CF10" i="12"/>
  <c r="EG202" i="37"/>
  <c r="CU21" i="12"/>
  <c r="CU20" i="12"/>
  <c r="CV18" i="12" s="1"/>
  <c r="EG134" i="37"/>
  <c r="CT47" i="37"/>
  <c r="FF26" i="37"/>
  <c r="EC5" i="23"/>
  <c r="ED4" i="23"/>
  <c r="ED118" i="23" s="1"/>
  <c r="EA11" i="11"/>
  <c r="EA18" i="15"/>
  <c r="EA54" i="13"/>
  <c r="DZ37" i="13"/>
  <c r="DZ38" i="13"/>
  <c r="DY43" i="16" s="1"/>
  <c r="DY11" i="16" s="1"/>
  <c r="EO9" i="18" s="1"/>
  <c r="DZ39" i="13"/>
  <c r="DZ44" i="13"/>
  <c r="DZ46" i="13"/>
  <c r="DZ45" i="13" s="1"/>
  <c r="DY47" i="16" s="1"/>
  <c r="DY15" i="16" s="1"/>
  <c r="EO13" i="18" s="1"/>
  <c r="EE42" i="13"/>
  <c r="DY41" i="13"/>
  <c r="EN12" i="18" s="1"/>
  <c r="EE4" i="15"/>
  <c r="ED3" i="15"/>
  <c r="EF34" i="13"/>
  <c r="EF33" i="13" s="1"/>
  <c r="EF47" i="13" s="1"/>
  <c r="EB31" i="12"/>
  <c r="EB30" i="12"/>
  <c r="EC28" i="12" s="1"/>
  <c r="ED16" i="12"/>
  <c r="ED15" i="12"/>
  <c r="EE13" i="12" s="1"/>
  <c r="EE10" i="11"/>
  <c r="EE3" i="11"/>
  <c r="EF8" i="11"/>
  <c r="EF81" i="23"/>
  <c r="EF70" i="12"/>
  <c r="AX175" i="19"/>
  <c r="AX176" i="19" s="1"/>
  <c r="ED12" i="23"/>
  <c r="EA50" i="16"/>
  <c r="ED36" i="12"/>
  <c r="EH88" i="12"/>
  <c r="EO92" i="12"/>
  <c r="ED6" i="23"/>
  <c r="EH5" i="16"/>
  <c r="EE53" i="13"/>
  <c r="EE44" i="12"/>
  <c r="EE87" i="16"/>
  <c r="EU56" i="18"/>
  <c r="EU57" i="18" s="1"/>
  <c r="EV5" i="18"/>
  <c r="EU35" i="18"/>
  <c r="EU3" i="18"/>
  <c r="EF10" i="23"/>
  <c r="EE3" i="23"/>
  <c r="EH168" i="19"/>
  <c r="EI165" i="19" s="1"/>
  <c r="EH169" i="19"/>
  <c r="EG8" i="16"/>
  <c r="EF33" i="16"/>
  <c r="EF3" i="16"/>
  <c r="EF4" i="16"/>
  <c r="EF93" i="16"/>
  <c r="EH80" i="12"/>
  <c r="EG96" i="12"/>
  <c r="EE25" i="12"/>
  <c r="EF23" i="12" s="1"/>
  <c r="EF4" i="12"/>
  <c r="EE3" i="12"/>
  <c r="DY44" i="16"/>
  <c r="DY12" i="16" s="1"/>
  <c r="EO10" i="18" s="1"/>
  <c r="ED35" i="12"/>
  <c r="EE33" i="12" s="1"/>
  <c r="ED78" i="12"/>
  <c r="ED94" i="12"/>
  <c r="ED82" i="12"/>
  <c r="ED90" i="12"/>
  <c r="FF27" i="37" l="1"/>
  <c r="CT48" i="37"/>
  <c r="CF40" i="12"/>
  <c r="CU41" i="18" s="1"/>
  <c r="CE34" i="23" s="1"/>
  <c r="CG8" i="12"/>
  <c r="CF43" i="12"/>
  <c r="EH202" i="37"/>
  <c r="CV20" i="12"/>
  <c r="CW18" i="12" s="1"/>
  <c r="CV21" i="12"/>
  <c r="EH134" i="37"/>
  <c r="CU47" i="37"/>
  <c r="CU48" i="37" s="1"/>
  <c r="FG26" i="37"/>
  <c r="FG27" i="37" s="1"/>
  <c r="ED5" i="23"/>
  <c r="EF17" i="15"/>
  <c r="EB18" i="15"/>
  <c r="EB11" i="11"/>
  <c r="EB54" i="13"/>
  <c r="EA38" i="13"/>
  <c r="EA39" i="13"/>
  <c r="EA37" i="13"/>
  <c r="EA44" i="13"/>
  <c r="EA46" i="13"/>
  <c r="EA45" i="13" s="1"/>
  <c r="DZ47" i="16" s="1"/>
  <c r="DZ15" i="16" s="1"/>
  <c r="EP13" i="18" s="1"/>
  <c r="EF42" i="13"/>
  <c r="EO12" i="18"/>
  <c r="DZ41" i="13"/>
  <c r="EF4" i="15"/>
  <c r="EE3" i="15"/>
  <c r="EG34" i="13"/>
  <c r="EG33" i="13" s="1"/>
  <c r="EG47" i="13" s="1"/>
  <c r="EE16" i="12"/>
  <c r="EE15" i="12"/>
  <c r="EF13" i="12" s="1"/>
  <c r="EF15" i="12" s="1"/>
  <c r="EE36" i="12"/>
  <c r="EE35" i="12"/>
  <c r="EF33" i="12" s="1"/>
  <c r="EC31" i="12"/>
  <c r="EC30" i="12"/>
  <c r="ED28" i="12" s="1"/>
  <c r="EG33" i="16"/>
  <c r="EG4" i="16"/>
  <c r="EG3" i="16"/>
  <c r="EH8" i="16"/>
  <c r="EG70" i="12"/>
  <c r="EE6" i="23"/>
  <c r="EE5" i="23" s="1"/>
  <c r="EF53" i="13"/>
  <c r="EF44" i="12"/>
  <c r="EI5" i="16"/>
  <c r="EG4" i="12"/>
  <c r="EF3" i="12"/>
  <c r="EF25" i="12"/>
  <c r="EG23" i="12" s="1"/>
  <c r="EG93" i="16"/>
  <c r="EE12" i="23"/>
  <c r="EE78" i="12"/>
  <c r="EE94" i="12"/>
  <c r="EE82" i="12"/>
  <c r="EE90" i="12"/>
  <c r="AY173" i="19"/>
  <c r="AX34" i="19"/>
  <c r="EG81" i="23"/>
  <c r="EI168" i="19"/>
  <c r="EJ165" i="19" s="1"/>
  <c r="EI169" i="19"/>
  <c r="EW5" i="18"/>
  <c r="EV35" i="18"/>
  <c r="EV3" i="18"/>
  <c r="EF62" i="16" s="1"/>
  <c r="EF25" i="16" s="1"/>
  <c r="EG10" i="23"/>
  <c r="EF3" i="23"/>
  <c r="EI88" i="12"/>
  <c r="EI80" i="12"/>
  <c r="EH96" i="12"/>
  <c r="EB50" i="16"/>
  <c r="DZ44" i="16"/>
  <c r="DZ12" i="16" s="1"/>
  <c r="EP10" i="18" s="1"/>
  <c r="DZ43" i="16"/>
  <c r="DZ11" i="16" s="1"/>
  <c r="EP9" i="18" s="1"/>
  <c r="EE89" i="16"/>
  <c r="EE90" i="16" s="1"/>
  <c r="EE35" i="16" s="1"/>
  <c r="EE101" i="16" s="1"/>
  <c r="EF87" i="16"/>
  <c r="EE88" i="16"/>
  <c r="EP92" i="12"/>
  <c r="EF10" i="11"/>
  <c r="EG17" i="15" s="1"/>
  <c r="EF3" i="11"/>
  <c r="EG8" i="11"/>
  <c r="CG38" i="12" l="1"/>
  <c r="CG10" i="12"/>
  <c r="CG40" i="12" s="1"/>
  <c r="CV41" i="18" s="1"/>
  <c r="CF34" i="23" s="1"/>
  <c r="CH8" i="12"/>
  <c r="EI202" i="37"/>
  <c r="CW21" i="12"/>
  <c r="CW20" i="12"/>
  <c r="CX18" i="12" s="1"/>
  <c r="EI134" i="37"/>
  <c r="CV47" i="37"/>
  <c r="FH26" i="37"/>
  <c r="EC54" i="13"/>
  <c r="EC18" i="15"/>
  <c r="EC11" i="11"/>
  <c r="EB38" i="13"/>
  <c r="EB37" i="13"/>
  <c r="EB39" i="13"/>
  <c r="EB44" i="13"/>
  <c r="EB46" i="13"/>
  <c r="EB45" i="13" s="1"/>
  <c r="EA47" i="16" s="1"/>
  <c r="EA15" i="16" s="1"/>
  <c r="EQ13" i="18" s="1"/>
  <c r="EG42" i="13"/>
  <c r="EA41" i="13"/>
  <c r="EP12" i="18" s="1"/>
  <c r="EG4" i="15"/>
  <c r="EF3" i="15"/>
  <c r="EH34" i="13"/>
  <c r="EH33" i="13" s="1"/>
  <c r="EH47" i="13" s="1"/>
  <c r="EF36" i="12"/>
  <c r="EF35" i="12"/>
  <c r="EG33" i="12" s="1"/>
  <c r="EH81" i="23"/>
  <c r="EH33" i="16"/>
  <c r="EH4" i="16"/>
  <c r="EH3" i="16"/>
  <c r="EI8" i="16"/>
  <c r="ED31" i="12"/>
  <c r="ED30" i="12"/>
  <c r="EE28" i="12" s="1"/>
  <c r="EJ80" i="12"/>
  <c r="EI96" i="12"/>
  <c r="EX5" i="18"/>
  <c r="EW35" i="18"/>
  <c r="EW3" i="18"/>
  <c r="EG62" i="16" s="1"/>
  <c r="EG25" i="16" s="1"/>
  <c r="EH10" i="23"/>
  <c r="EG3" i="23"/>
  <c r="EH70" i="12"/>
  <c r="EC50" i="16"/>
  <c r="EH4" i="12"/>
  <c r="EG3" i="12"/>
  <c r="EG25" i="12"/>
  <c r="EH23" i="12" s="1"/>
  <c r="EA44" i="16"/>
  <c r="EA12" i="16" s="1"/>
  <c r="EQ10" i="18" s="1"/>
  <c r="EA43" i="16"/>
  <c r="EA11" i="16" s="1"/>
  <c r="EQ9" i="18" s="1"/>
  <c r="EJ169" i="19"/>
  <c r="EJ168" i="19"/>
  <c r="EK165" i="19" s="1"/>
  <c r="EF12" i="23"/>
  <c r="EQ92" i="12"/>
  <c r="EF78" i="12"/>
  <c r="EF94" i="12"/>
  <c r="EF82" i="12"/>
  <c r="EF90" i="12"/>
  <c r="EH93" i="16"/>
  <c r="EF16" i="12"/>
  <c r="EG13" i="12"/>
  <c r="EG15" i="12" s="1"/>
  <c r="EG10" i="11"/>
  <c r="EH17" i="15" s="1"/>
  <c r="EG3" i="11"/>
  <c r="EH8" i="11"/>
  <c r="EF89" i="16"/>
  <c r="EF90" i="16" s="1"/>
  <c r="EF35" i="16" s="1"/>
  <c r="EF101" i="16" s="1"/>
  <c r="EG87" i="16"/>
  <c r="EF88" i="16"/>
  <c r="EF6" i="23"/>
  <c r="EF5" i="23" s="1"/>
  <c r="EJ5" i="16"/>
  <c r="EG53" i="13"/>
  <c r="EG44" i="12"/>
  <c r="EJ88" i="12"/>
  <c r="AY175" i="19"/>
  <c r="AY176" i="19" s="1"/>
  <c r="AZ173" i="19" s="1"/>
  <c r="CV48" i="37" l="1"/>
  <c r="AF43" i="25"/>
  <c r="FH27" i="37"/>
  <c r="FI26" i="37" s="1"/>
  <c r="CH10" i="12"/>
  <c r="CH40" i="12" s="1"/>
  <c r="CW41" i="18" s="1"/>
  <c r="CG34" i="23" s="1"/>
  <c r="CH38" i="12"/>
  <c r="CG43" i="12"/>
  <c r="EJ202" i="37"/>
  <c r="CX20" i="12"/>
  <c r="CY18" i="12" s="1"/>
  <c r="CX21" i="12"/>
  <c r="EJ134" i="37"/>
  <c r="CW47" i="37"/>
  <c r="CW48" i="37" s="1"/>
  <c r="ED11" i="11"/>
  <c r="ED18" i="15"/>
  <c r="ED54" i="13"/>
  <c r="EC38" i="13"/>
  <c r="EB43" i="16" s="1"/>
  <c r="EB11" i="16" s="1"/>
  <c r="ER9" i="18" s="1"/>
  <c r="EC39" i="13"/>
  <c r="EC37" i="13"/>
  <c r="EC44" i="13"/>
  <c r="EC46" i="13"/>
  <c r="EC45" i="13" s="1"/>
  <c r="EB47" i="16" s="1"/>
  <c r="EB15" i="16" s="1"/>
  <c r="ER13" i="18" s="1"/>
  <c r="EH42" i="13"/>
  <c r="EB41" i="13"/>
  <c r="EQ12" i="18" s="1"/>
  <c r="EH4" i="15"/>
  <c r="EG3" i="15"/>
  <c r="EI34" i="13"/>
  <c r="EI33" i="13" s="1"/>
  <c r="EI47" i="13" s="1"/>
  <c r="EG36" i="12"/>
  <c r="EG35" i="12"/>
  <c r="EH33" i="12" s="1"/>
  <c r="EG6" i="23"/>
  <c r="EK5" i="16"/>
  <c r="EH53" i="13"/>
  <c r="EH44" i="12"/>
  <c r="EB44" i="16"/>
  <c r="EB12" i="16" s="1"/>
  <c r="ER10" i="18" s="1"/>
  <c r="EE31" i="12"/>
  <c r="EE30" i="12"/>
  <c r="EF28" i="12" s="1"/>
  <c r="EI81" i="23"/>
  <c r="EK88" i="12"/>
  <c r="EG89" i="16"/>
  <c r="EG90" i="16" s="1"/>
  <c r="EG35" i="16" s="1"/>
  <c r="EG101" i="16" s="1"/>
  <c r="EH87" i="16"/>
  <c r="EG88" i="16"/>
  <c r="ER92" i="12"/>
  <c r="EI70" i="12"/>
  <c r="EK80" i="12"/>
  <c r="EJ96" i="12"/>
  <c r="EG16" i="12"/>
  <c r="EH13" i="12"/>
  <c r="EH15" i="12" s="1"/>
  <c r="AZ175" i="19"/>
  <c r="AZ176" i="19" s="1"/>
  <c r="BA173" i="19" s="1"/>
  <c r="EG78" i="12"/>
  <c r="EG94" i="12"/>
  <c r="EG82" i="12"/>
  <c r="EG90" i="12"/>
  <c r="EH10" i="11"/>
  <c r="EI17" i="15" s="1"/>
  <c r="EH3" i="11"/>
  <c r="EI8" i="11"/>
  <c r="EK169" i="19"/>
  <c r="EK168" i="19"/>
  <c r="EL165" i="19" s="1"/>
  <c r="EI10" i="23"/>
  <c r="EH3" i="23"/>
  <c r="EG12" i="23"/>
  <c r="EI33" i="16"/>
  <c r="EI4" i="16"/>
  <c r="EI3" i="16"/>
  <c r="EJ8" i="16"/>
  <c r="EI93" i="16"/>
  <c r="EY5" i="18"/>
  <c r="EX35" i="18"/>
  <c r="EX3" i="18"/>
  <c r="EH62" i="16" s="1"/>
  <c r="EH25" i="16" s="1"/>
  <c r="ED50" i="16"/>
  <c r="EI4" i="12"/>
  <c r="EH3" i="12"/>
  <c r="EH25" i="12"/>
  <c r="EI23" i="12" s="1"/>
  <c r="FI27" i="37" l="1"/>
  <c r="AV24" i="25"/>
  <c r="CH43" i="12"/>
  <c r="CI8" i="12"/>
  <c r="EK202" i="37"/>
  <c r="CY21" i="12"/>
  <c r="CY20" i="12"/>
  <c r="CZ18" i="12" s="1"/>
  <c r="EK134" i="37"/>
  <c r="CX47" i="37"/>
  <c r="FJ26" i="37"/>
  <c r="EG5" i="23"/>
  <c r="EH4" i="23"/>
  <c r="EH118" i="23" s="1"/>
  <c r="EE18" i="15"/>
  <c r="EE54" i="13"/>
  <c r="EE11" i="11"/>
  <c r="ED39" i="13"/>
  <c r="EC44" i="16" s="1"/>
  <c r="EC12" i="16" s="1"/>
  <c r="ES10" i="18" s="1"/>
  <c r="ED37" i="13"/>
  <c r="ED38" i="13"/>
  <c r="EC43" i="16" s="1"/>
  <c r="EC11" i="16" s="1"/>
  <c r="ES9" i="18" s="1"/>
  <c r="ED44" i="13"/>
  <c r="ED46" i="13"/>
  <c r="ED45" i="13" s="1"/>
  <c r="EC47" i="16" s="1"/>
  <c r="EC15" i="16" s="1"/>
  <c r="ES13" i="18" s="1"/>
  <c r="EI42" i="13"/>
  <c r="EC41" i="13"/>
  <c r="ER12" i="18" s="1"/>
  <c r="EI4" i="15"/>
  <c r="EH3" i="15"/>
  <c r="EJ34" i="13"/>
  <c r="EJ33" i="13" s="1"/>
  <c r="EJ47" i="13" s="1"/>
  <c r="EF31" i="12"/>
  <c r="EF30" i="12"/>
  <c r="EG28" i="12" s="1"/>
  <c r="EH36" i="12"/>
  <c r="EH35" i="12"/>
  <c r="EI33" i="12" s="1"/>
  <c r="BA175" i="19"/>
  <c r="BA176" i="19" s="1"/>
  <c r="BB173" i="19" s="1"/>
  <c r="EJ93" i="16"/>
  <c r="EE50" i="16"/>
  <c r="EH16" i="12"/>
  <c r="EI13" i="12"/>
  <c r="EI15" i="12" s="1"/>
  <c r="EL169" i="19"/>
  <c r="EL168" i="19"/>
  <c r="EM165" i="19" s="1"/>
  <c r="ES92" i="12"/>
  <c r="EL88" i="12"/>
  <c r="EH12" i="23"/>
  <c r="EL80" i="12"/>
  <c r="EK96" i="12"/>
  <c r="EI87" i="16"/>
  <c r="EI3" i="11"/>
  <c r="EJ8" i="11"/>
  <c r="EI10" i="11"/>
  <c r="EH78" i="12"/>
  <c r="EH94" i="12"/>
  <c r="EH82" i="12"/>
  <c r="EH90" i="12"/>
  <c r="EY56" i="18"/>
  <c r="EY57" i="18" s="1"/>
  <c r="EY35" i="18"/>
  <c r="EY3" i="18"/>
  <c r="EZ5" i="18"/>
  <c r="EJ4" i="12"/>
  <c r="EI3" i="12"/>
  <c r="EI25" i="12"/>
  <c r="EJ23" i="12" s="1"/>
  <c r="EJ33" i="16"/>
  <c r="EJ4" i="16"/>
  <c r="EJ3" i="16"/>
  <c r="EK8" i="16"/>
  <c r="EJ10" i="23"/>
  <c r="EI3" i="23"/>
  <c r="EH6" i="23"/>
  <c r="EL5" i="16"/>
  <c r="EI53" i="13"/>
  <c r="EI44" i="12"/>
  <c r="EJ70" i="12"/>
  <c r="EJ81" i="23"/>
  <c r="AV25" i="25" l="1"/>
  <c r="FJ27" i="37"/>
  <c r="CX48" i="37"/>
  <c r="CI38" i="12"/>
  <c r="CI10" i="12"/>
  <c r="CI40" i="12" s="1"/>
  <c r="CX41" i="18" s="1"/>
  <c r="CH34" i="23" s="1"/>
  <c r="CJ8" i="12"/>
  <c r="EL202" i="37"/>
  <c r="CZ21" i="12"/>
  <c r="CZ20" i="12"/>
  <c r="DA18" i="12" s="1"/>
  <c r="EL134" i="37"/>
  <c r="CY47" i="37"/>
  <c r="CY48" i="37" s="1"/>
  <c r="FK26" i="37"/>
  <c r="FK27" i="37" s="1"/>
  <c r="EH5" i="23"/>
  <c r="EJ17" i="15"/>
  <c r="EF11" i="11"/>
  <c r="EF54" i="13"/>
  <c r="EF18" i="15"/>
  <c r="EE39" i="13"/>
  <c r="EE37" i="13"/>
  <c r="EE38" i="13"/>
  <c r="EE44" i="13"/>
  <c r="EE46" i="13"/>
  <c r="EE45" i="13" s="1"/>
  <c r="ED47" i="16" s="1"/>
  <c r="ED15" i="16" s="1"/>
  <c r="ET13" i="18" s="1"/>
  <c r="EJ42" i="13"/>
  <c r="ED41" i="13"/>
  <c r="ES12" i="18" s="1"/>
  <c r="EJ4" i="15"/>
  <c r="EI3" i="15"/>
  <c r="EK34" i="13"/>
  <c r="EK33" i="13" s="1"/>
  <c r="EK47" i="13" s="1"/>
  <c r="BB175" i="19"/>
  <c r="BB176" i="19" s="1"/>
  <c r="EI36" i="12"/>
  <c r="EI35" i="12"/>
  <c r="EJ33" i="12" s="1"/>
  <c r="EJ35" i="12" s="1"/>
  <c r="EG31" i="12"/>
  <c r="EG30" i="12"/>
  <c r="EH28" i="12" s="1"/>
  <c r="EK81" i="23"/>
  <c r="EK33" i="16"/>
  <c r="EK4" i="16"/>
  <c r="EK3" i="16"/>
  <c r="EL8" i="16"/>
  <c r="EZ35" i="18"/>
  <c r="FA5" i="18"/>
  <c r="EZ3" i="18"/>
  <c r="EJ62" i="16" s="1"/>
  <c r="EJ25" i="16" s="1"/>
  <c r="EK93" i="16"/>
  <c r="EM80" i="12"/>
  <c r="EL96" i="12"/>
  <c r="EM88" i="12"/>
  <c r="EI12" i="23"/>
  <c r="EI16" i="12"/>
  <c r="EJ13" i="12"/>
  <c r="EJ15" i="12" s="1"/>
  <c r="EI88" i="16"/>
  <c r="EI89" i="16"/>
  <c r="EI90" i="16" s="1"/>
  <c r="EI35" i="16" s="1"/>
  <c r="EI101" i="16" s="1"/>
  <c r="EJ87" i="16"/>
  <c r="ET92" i="12"/>
  <c r="EM169" i="19"/>
  <c r="EM168" i="19"/>
  <c r="EN165" i="19" s="1"/>
  <c r="EK70" i="12"/>
  <c r="EI78" i="12"/>
  <c r="EI94" i="12"/>
  <c r="EI82" i="12"/>
  <c r="EI90" i="12"/>
  <c r="ED44" i="16"/>
  <c r="ED12" i="16" s="1"/>
  <c r="ET10" i="18" s="1"/>
  <c r="ED43" i="16"/>
  <c r="ED11" i="16" s="1"/>
  <c r="ET9" i="18" s="1"/>
  <c r="EF50" i="16"/>
  <c r="EJ3" i="23"/>
  <c r="EK10" i="23"/>
  <c r="EK4" i="12"/>
  <c r="EJ3" i="12"/>
  <c r="EJ25" i="12"/>
  <c r="EK23" i="12" s="1"/>
  <c r="EI6" i="23"/>
  <c r="EI5" i="23" s="1"/>
  <c r="EM5" i="16"/>
  <c r="EJ53" i="13"/>
  <c r="EJ44" i="12"/>
  <c r="EK8" i="11"/>
  <c r="EJ10" i="11"/>
  <c r="EK17" i="15" s="1"/>
  <c r="EJ3" i="11"/>
  <c r="CJ38" i="12" l="1"/>
  <c r="CJ10" i="12"/>
  <c r="CJ40" i="12" s="1"/>
  <c r="CY41" i="18" s="1"/>
  <c r="CI34" i="23" s="1"/>
  <c r="CK8" i="12"/>
  <c r="CI43" i="12"/>
  <c r="EM202" i="37"/>
  <c r="DA21" i="12"/>
  <c r="DA20" i="12"/>
  <c r="DB18" i="12" s="1"/>
  <c r="EM134" i="37"/>
  <c r="CZ47" i="37"/>
  <c r="FL26" i="37"/>
  <c r="EG54" i="13"/>
  <c r="EG18" i="15"/>
  <c r="EG11" i="11"/>
  <c r="EF38" i="13"/>
  <c r="EE43" i="16" s="1"/>
  <c r="EE11" i="16" s="1"/>
  <c r="EU9" i="18" s="1"/>
  <c r="EF37" i="13"/>
  <c r="EF39" i="13"/>
  <c r="EF44" i="13"/>
  <c r="EF46" i="13"/>
  <c r="EF45" i="13" s="1"/>
  <c r="EE47" i="16" s="1"/>
  <c r="EE15" i="16" s="1"/>
  <c r="EU13" i="18" s="1"/>
  <c r="EK42" i="13"/>
  <c r="EE41" i="13"/>
  <c r="ET12" i="18" s="1"/>
  <c r="EK4" i="15"/>
  <c r="EJ3" i="15"/>
  <c r="EL34" i="13"/>
  <c r="EL33" i="13" s="1"/>
  <c r="EL47" i="13" s="1"/>
  <c r="EH31" i="12"/>
  <c r="EH30" i="12"/>
  <c r="EI28" i="12" s="1"/>
  <c r="EJ78" i="12"/>
  <c r="EJ94" i="12"/>
  <c r="EJ82" i="12"/>
  <c r="EJ90" i="12"/>
  <c r="EK3" i="23"/>
  <c r="EL10" i="23"/>
  <c r="EE44" i="16"/>
  <c r="EE12" i="16" s="1"/>
  <c r="EU10" i="18" s="1"/>
  <c r="EN88" i="12"/>
  <c r="EJ36" i="12"/>
  <c r="EK33" i="12"/>
  <c r="EK35" i="12" s="1"/>
  <c r="EL8" i="11"/>
  <c r="EK3" i="11"/>
  <c r="EK10" i="11"/>
  <c r="EL17" i="15" s="1"/>
  <c r="EU92" i="12"/>
  <c r="EN80" i="12"/>
  <c r="EM96" i="12"/>
  <c r="FB5" i="18"/>
  <c r="FA35" i="18"/>
  <c r="FA3" i="18"/>
  <c r="EK62" i="16" s="1"/>
  <c r="EK25" i="16" s="1"/>
  <c r="EL70" i="12"/>
  <c r="EK13" i="12"/>
  <c r="EK15" i="12" s="1"/>
  <c r="EJ16" i="12"/>
  <c r="EJ12" i="23"/>
  <c r="EL81" i="23"/>
  <c r="EJ88" i="16"/>
  <c r="EJ89" i="16"/>
  <c r="EJ90" i="16" s="1"/>
  <c r="EJ35" i="16" s="1"/>
  <c r="EJ101" i="16" s="1"/>
  <c r="EK87" i="16"/>
  <c r="EJ6" i="23"/>
  <c r="EJ5" i="23" s="1"/>
  <c r="EN5" i="16"/>
  <c r="EK53" i="13"/>
  <c r="EK44" i="12"/>
  <c r="EK25" i="12"/>
  <c r="EL23" i="12" s="1"/>
  <c r="EL4" i="12"/>
  <c r="EK3" i="12"/>
  <c r="EL4" i="16"/>
  <c r="EL3" i="16"/>
  <c r="EM8" i="16"/>
  <c r="EL33" i="16"/>
  <c r="EL93" i="16"/>
  <c r="EN168" i="19"/>
  <c r="EO165" i="19" s="1"/>
  <c r="EN169" i="19"/>
  <c r="EG50" i="16"/>
  <c r="FL27" i="37" l="1"/>
  <c r="AW24" i="25"/>
  <c r="CZ48" i="37"/>
  <c r="DA47" i="37" s="1"/>
  <c r="CK10" i="12"/>
  <c r="CK40" i="12" s="1"/>
  <c r="CZ41" i="18" s="1"/>
  <c r="CJ34" i="23" s="1"/>
  <c r="CK38" i="12"/>
  <c r="CL8" i="12"/>
  <c r="CJ43" i="12"/>
  <c r="EN202" i="37"/>
  <c r="DB21" i="12"/>
  <c r="DB20" i="12"/>
  <c r="DC18" i="12" s="1"/>
  <c r="EN134" i="37"/>
  <c r="FM26" i="37"/>
  <c r="FM27" i="37" s="1"/>
  <c r="EH18" i="15"/>
  <c r="EH54" i="13"/>
  <c r="EH11" i="11"/>
  <c r="EG39" i="13"/>
  <c r="EF44" i="16" s="1"/>
  <c r="EF12" i="16" s="1"/>
  <c r="EV10" i="18" s="1"/>
  <c r="EG38" i="13"/>
  <c r="EF43" i="16" s="1"/>
  <c r="EF11" i="16" s="1"/>
  <c r="EV9" i="18" s="1"/>
  <c r="EG37" i="13"/>
  <c r="EG44" i="13"/>
  <c r="EG46" i="13"/>
  <c r="EG45" i="13" s="1"/>
  <c r="EF47" i="16" s="1"/>
  <c r="EF15" i="16" s="1"/>
  <c r="EV13" i="18" s="1"/>
  <c r="EL42" i="13"/>
  <c r="EF41" i="13"/>
  <c r="EL4" i="15"/>
  <c r="EK3" i="15"/>
  <c r="EM34" i="13"/>
  <c r="EM33" i="13" s="1"/>
  <c r="EM47" i="13" s="1"/>
  <c r="EM93" i="16"/>
  <c r="EM70" i="12"/>
  <c r="EV92" i="12"/>
  <c r="EI31" i="12"/>
  <c r="EI30" i="12"/>
  <c r="EJ28" i="12" s="1"/>
  <c r="EH50" i="16"/>
  <c r="EL25" i="12"/>
  <c r="EM23" i="12" s="1"/>
  <c r="EM4" i="12"/>
  <c r="EL3" i="12"/>
  <c r="EK12" i="23"/>
  <c r="EK6" i="23"/>
  <c r="EO5" i="16"/>
  <c r="EL53" i="13"/>
  <c r="EL44" i="12"/>
  <c r="EO88" i="12"/>
  <c r="EK88" i="16"/>
  <c r="EK89" i="16"/>
  <c r="EK90" i="16" s="1"/>
  <c r="EK35" i="16" s="1"/>
  <c r="EK101" i="16" s="1"/>
  <c r="EL87" i="16"/>
  <c r="EL13" i="12"/>
  <c r="EL15" i="12" s="1"/>
  <c r="EK16" i="12"/>
  <c r="FC5" i="18"/>
  <c r="FB35" i="18"/>
  <c r="FB3" i="18"/>
  <c r="EL62" i="16" s="1"/>
  <c r="EL25" i="16" s="1"/>
  <c r="EO168" i="19"/>
  <c r="EP165" i="19" s="1"/>
  <c r="EO169" i="19"/>
  <c r="EM8" i="11"/>
  <c r="EL10" i="11"/>
  <c r="EM17" i="15" s="1"/>
  <c r="EL3" i="11"/>
  <c r="EK78" i="12"/>
  <c r="EK94" i="12"/>
  <c r="EK90" i="12"/>
  <c r="EK82" i="12"/>
  <c r="EO80" i="12"/>
  <c r="EN96" i="12"/>
  <c r="EK36" i="12"/>
  <c r="EL33" i="12"/>
  <c r="EM10" i="23"/>
  <c r="EL3" i="23"/>
  <c r="EN8" i="16"/>
  <c r="EM33" i="16"/>
  <c r="EM3" i="16"/>
  <c r="EM4" i="16"/>
  <c r="EM81" i="23"/>
  <c r="DA48" i="37" l="1"/>
  <c r="AG43" i="25"/>
  <c r="AW25" i="25"/>
  <c r="CK43" i="12"/>
  <c r="CL38" i="12"/>
  <c r="CL10" i="12"/>
  <c r="CL40" i="12" s="1"/>
  <c r="DA41" i="18" s="1"/>
  <c r="CK34" i="23" s="1"/>
  <c r="EO202" i="37"/>
  <c r="DC21" i="12"/>
  <c r="DC20" i="12"/>
  <c r="DD18" i="12" s="1"/>
  <c r="EO134" i="37"/>
  <c r="DB47" i="37"/>
  <c r="FN26" i="37"/>
  <c r="EK5" i="23"/>
  <c r="EL4" i="23"/>
  <c r="EL118" i="23" s="1"/>
  <c r="EI18" i="15"/>
  <c r="EI54" i="13"/>
  <c r="EU12" i="18"/>
  <c r="EI11" i="11"/>
  <c r="EH38" i="13"/>
  <c r="EG43" i="16" s="1"/>
  <c r="EG11" i="16" s="1"/>
  <c r="EW9" i="18" s="1"/>
  <c r="EH39" i="13"/>
  <c r="EG44" i="16" s="1"/>
  <c r="EG12" i="16" s="1"/>
  <c r="EW10" i="18" s="1"/>
  <c r="EH37" i="13"/>
  <c r="EH44" i="13"/>
  <c r="EH46" i="13"/>
  <c r="EH45" i="13" s="1"/>
  <c r="EG47" i="16" s="1"/>
  <c r="EG15" i="16" s="1"/>
  <c r="EW13" i="18" s="1"/>
  <c r="EM42" i="13"/>
  <c r="EG41" i="13"/>
  <c r="EV12" i="18" s="1"/>
  <c r="EM4" i="15"/>
  <c r="EL3" i="15"/>
  <c r="EN34" i="13"/>
  <c r="EN33" i="13" s="1"/>
  <c r="EN47" i="13" s="1"/>
  <c r="EJ31" i="12"/>
  <c r="EJ30" i="12"/>
  <c r="EK28" i="12" s="1"/>
  <c r="EL12" i="23"/>
  <c r="EM87" i="16"/>
  <c r="EL78" i="12"/>
  <c r="EL94" i="12"/>
  <c r="EL90" i="12"/>
  <c r="EL82" i="12"/>
  <c r="EW92" i="12"/>
  <c r="FD5" i="18"/>
  <c r="FC35" i="18"/>
  <c r="FC56" i="18"/>
  <c r="FC57" i="18" s="1"/>
  <c r="FC3" i="18"/>
  <c r="EM10" i="11"/>
  <c r="EM3" i="11"/>
  <c r="EN8" i="11"/>
  <c r="EO8" i="16"/>
  <c r="EN33" i="16"/>
  <c r="EN3" i="16"/>
  <c r="EN4" i="16"/>
  <c r="EP168" i="19"/>
  <c r="EQ165" i="19" s="1"/>
  <c r="EP169" i="19"/>
  <c r="EN70" i="12"/>
  <c r="EP80" i="12"/>
  <c r="EO96" i="12"/>
  <c r="EL16" i="12"/>
  <c r="EM13" i="12"/>
  <c r="EM15" i="12" s="1"/>
  <c r="EN10" i="23"/>
  <c r="EM3" i="23"/>
  <c r="EI50" i="16"/>
  <c r="EN81" i="23"/>
  <c r="EL6" i="23"/>
  <c r="EM53" i="13"/>
  <c r="EM44" i="12"/>
  <c r="EP5" i="16"/>
  <c r="EM25" i="12"/>
  <c r="EN23" i="12" s="1"/>
  <c r="EN4" i="12"/>
  <c r="EM3" i="12"/>
  <c r="EN93" i="16"/>
  <c r="EL36" i="12"/>
  <c r="EP88" i="12"/>
  <c r="EL35" i="12"/>
  <c r="EM33" i="12" s="1"/>
  <c r="EM35" i="12" s="1"/>
  <c r="FN27" i="37" l="1"/>
  <c r="DB48" i="37"/>
  <c r="CM8" i="12"/>
  <c r="CM10" i="12"/>
  <c r="CM40" i="12" s="1"/>
  <c r="DB41" i="18" s="1"/>
  <c r="CL34" i="23" s="1"/>
  <c r="CN8" i="12"/>
  <c r="CM38" i="12"/>
  <c r="CM43" i="12" s="1"/>
  <c r="CL43" i="12"/>
  <c r="EP202" i="37"/>
  <c r="DD21" i="12"/>
  <c r="DD20" i="12"/>
  <c r="DE18" i="12" s="1"/>
  <c r="EP134" i="37"/>
  <c r="DC47" i="37"/>
  <c r="DC48" i="37" s="1"/>
  <c r="FO26" i="37"/>
  <c r="FO27" i="37" s="1"/>
  <c r="EL5" i="23"/>
  <c r="EN17" i="15"/>
  <c r="EJ18" i="15"/>
  <c r="EJ54" i="13"/>
  <c r="EJ11" i="11"/>
  <c r="EI37" i="13"/>
  <c r="EI38" i="13"/>
  <c r="EH43" i="16" s="1"/>
  <c r="EH11" i="16" s="1"/>
  <c r="EX9" i="18" s="1"/>
  <c r="EI39" i="13"/>
  <c r="EI44" i="13"/>
  <c r="EI46" i="13"/>
  <c r="EI45" i="13" s="1"/>
  <c r="EH47" i="16" s="1"/>
  <c r="EH15" i="16" s="1"/>
  <c r="EX13" i="18" s="1"/>
  <c r="EN42" i="13"/>
  <c r="EH41" i="13"/>
  <c r="EW12" i="18" s="1"/>
  <c r="EN4" i="15"/>
  <c r="EM3" i="15"/>
  <c r="EO34" i="13"/>
  <c r="EO33" i="13" s="1"/>
  <c r="EO47" i="13" s="1"/>
  <c r="EK31" i="12"/>
  <c r="EK30" i="12"/>
  <c r="EL28" i="12" s="1"/>
  <c r="FE5" i="18"/>
  <c r="FD35" i="18"/>
  <c r="FD3" i="18"/>
  <c r="EN62" i="16" s="1"/>
  <c r="EN25" i="16" s="1"/>
  <c r="EO81" i="23"/>
  <c r="EO10" i="23"/>
  <c r="EN3" i="23"/>
  <c r="EO33" i="16"/>
  <c r="EO4" i="16"/>
  <c r="EO3" i="16"/>
  <c r="EP8" i="16"/>
  <c r="EO93" i="16"/>
  <c r="EQ80" i="12"/>
  <c r="EP96" i="12"/>
  <c r="EQ88" i="12"/>
  <c r="EQ168" i="19"/>
  <c r="ER165" i="19" s="1"/>
  <c r="EQ169" i="19"/>
  <c r="EN10" i="11"/>
  <c r="EO17" i="15" s="1"/>
  <c r="EN3" i="11"/>
  <c r="EO8" i="11"/>
  <c r="EM36" i="12"/>
  <c r="EN33" i="12"/>
  <c r="EN35" i="12" s="1"/>
  <c r="EM78" i="12"/>
  <c r="EM94" i="12"/>
  <c r="EM90" i="12"/>
  <c r="EM82" i="12"/>
  <c r="EM89" i="16"/>
  <c r="EM90" i="16" s="1"/>
  <c r="EM35" i="16" s="1"/>
  <c r="EM101" i="16" s="1"/>
  <c r="EN87" i="16"/>
  <c r="EM88" i="16"/>
  <c r="EJ50" i="16"/>
  <c r="EM6" i="23"/>
  <c r="EM5" i="23" s="1"/>
  <c r="EN53" i="13"/>
  <c r="EQ5" i="16"/>
  <c r="EN44" i="12"/>
  <c r="EX92" i="12"/>
  <c r="EO4" i="12"/>
  <c r="EN3" i="12"/>
  <c r="EN25" i="12"/>
  <c r="EO23" i="12" s="1"/>
  <c r="EM16" i="12"/>
  <c r="EN13" i="12"/>
  <c r="EO70" i="12"/>
  <c r="EM12" i="23"/>
  <c r="EH44" i="16"/>
  <c r="EH12" i="16" s="1"/>
  <c r="EX10" i="18" s="1"/>
  <c r="CN38" i="12" l="1"/>
  <c r="CN10" i="12"/>
  <c r="EQ202" i="37"/>
  <c r="DE21" i="12"/>
  <c r="DE20" i="12"/>
  <c r="DF18" i="12" s="1"/>
  <c r="EQ134" i="37"/>
  <c r="DD47" i="37"/>
  <c r="FP26" i="37"/>
  <c r="EK54" i="13"/>
  <c r="EK18" i="15"/>
  <c r="EK11" i="11"/>
  <c r="EJ37" i="13"/>
  <c r="EJ38" i="13"/>
  <c r="EI43" i="16" s="1"/>
  <c r="EI11" i="16" s="1"/>
  <c r="EY9" i="18" s="1"/>
  <c r="EJ39" i="13"/>
  <c r="EI44" i="16" s="1"/>
  <c r="EI12" i="16" s="1"/>
  <c r="EY10" i="18" s="1"/>
  <c r="EJ44" i="13"/>
  <c r="EJ46" i="13"/>
  <c r="EJ45" i="13" s="1"/>
  <c r="EI47" i="16" s="1"/>
  <c r="EI15" i="16" s="1"/>
  <c r="EY13" i="18" s="1"/>
  <c r="EO42" i="13"/>
  <c r="EI41" i="13"/>
  <c r="EX12" i="18" s="1"/>
  <c r="EO4" i="15"/>
  <c r="EN3" i="15"/>
  <c r="EP34" i="13"/>
  <c r="EP33" i="13" s="1"/>
  <c r="EP47" i="13" s="1"/>
  <c r="EL31" i="12"/>
  <c r="EL30" i="12"/>
  <c r="EM28" i="12" s="1"/>
  <c r="EN16" i="12"/>
  <c r="EY92" i="12"/>
  <c r="EP4" i="12"/>
  <c r="EO3" i="12"/>
  <c r="EO25" i="12"/>
  <c r="EP23" i="12" s="1"/>
  <c r="EN78" i="12"/>
  <c r="EN94" i="12"/>
  <c r="EN90" i="12"/>
  <c r="EN82" i="12"/>
  <c r="EN36" i="12"/>
  <c r="EO33" i="12"/>
  <c r="EO10" i="11"/>
  <c r="EP17" i="15" s="1"/>
  <c r="EO3" i="11"/>
  <c r="EP8" i="11"/>
  <c r="ER80" i="12"/>
  <c r="EQ96" i="12"/>
  <c r="EK50" i="16"/>
  <c r="EP81" i="23"/>
  <c r="FF5" i="18"/>
  <c r="FE35" i="18"/>
  <c r="FE3" i="18"/>
  <c r="EO62" i="16" s="1"/>
  <c r="EO25" i="16" s="1"/>
  <c r="EN6" i="23"/>
  <c r="EN5" i="23" s="1"/>
  <c r="ER5" i="16"/>
  <c r="EO53" i="13"/>
  <c r="EO44" i="12"/>
  <c r="EP93" i="16"/>
  <c r="EN15" i="12"/>
  <c r="EO13" i="12" s="1"/>
  <c r="EN89" i="16"/>
  <c r="EN90" i="16" s="1"/>
  <c r="EN35" i="16" s="1"/>
  <c r="EN101" i="16" s="1"/>
  <c r="EO87" i="16"/>
  <c r="EN88" i="16"/>
  <c r="ER169" i="19"/>
  <c r="ER168" i="19"/>
  <c r="ES165" i="19" s="1"/>
  <c r="EP10" i="23"/>
  <c r="EO3" i="23"/>
  <c r="EP70" i="12"/>
  <c r="EP33" i="16"/>
  <c r="EP4" i="16"/>
  <c r="EP3" i="16"/>
  <c r="EQ8" i="16"/>
  <c r="ER88" i="12"/>
  <c r="EN12" i="23"/>
  <c r="DD48" i="37" l="1"/>
  <c r="AH43" i="25"/>
  <c r="FP27" i="37"/>
  <c r="FQ26" i="37" s="1"/>
  <c r="CN40" i="12"/>
  <c r="DC41" i="18" s="1"/>
  <c r="CM34" i="23" s="1"/>
  <c r="CO8" i="12"/>
  <c r="CN43" i="12"/>
  <c r="ER202" i="37"/>
  <c r="DF21" i="12"/>
  <c r="DF20" i="12"/>
  <c r="DG18" i="12" s="1"/>
  <c r="ER134" i="37"/>
  <c r="DE47" i="37"/>
  <c r="DE48" i="37" s="1"/>
  <c r="EL18" i="15"/>
  <c r="EL54" i="13"/>
  <c r="EL11" i="11"/>
  <c r="EK39" i="13"/>
  <c r="EJ44" i="16" s="1"/>
  <c r="EJ12" i="16" s="1"/>
  <c r="EZ10" i="18" s="1"/>
  <c r="EK38" i="13"/>
  <c r="EJ43" i="16" s="1"/>
  <c r="EJ11" i="16" s="1"/>
  <c r="EZ9" i="18" s="1"/>
  <c r="EK37" i="13"/>
  <c r="EK44" i="13"/>
  <c r="EK46" i="13"/>
  <c r="EK45" i="13" s="1"/>
  <c r="EJ47" i="16" s="1"/>
  <c r="EJ15" i="16" s="1"/>
  <c r="EZ13" i="18" s="1"/>
  <c r="EP42" i="13"/>
  <c r="EJ41" i="13"/>
  <c r="EY12" i="18" s="1"/>
  <c r="EP4" i="15"/>
  <c r="EO3" i="15"/>
  <c r="EQ34" i="13"/>
  <c r="EQ33" i="13" s="1"/>
  <c r="EQ47" i="13" s="1"/>
  <c r="EO16" i="12"/>
  <c r="EO15" i="12"/>
  <c r="EP13" i="12" s="1"/>
  <c r="EM31" i="12"/>
  <c r="EM30" i="12"/>
  <c r="EN28" i="12" s="1"/>
  <c r="EZ92" i="12"/>
  <c r="EL50" i="16"/>
  <c r="ES80" i="12"/>
  <c r="ER96" i="12"/>
  <c r="ES88" i="12"/>
  <c r="EP10" i="11"/>
  <c r="EP3" i="11"/>
  <c r="EQ8" i="11"/>
  <c r="EQ70" i="12"/>
  <c r="EQ33" i="16"/>
  <c r="EQ4" i="16"/>
  <c r="EQ3" i="16"/>
  <c r="ER8" i="16"/>
  <c r="EQ10" i="23"/>
  <c r="EP3" i="23"/>
  <c r="EQ93" i="16"/>
  <c r="EO12" i="23"/>
  <c r="EO89" i="16"/>
  <c r="EO90" i="16" s="1"/>
  <c r="EO35" i="16" s="1"/>
  <c r="EO101" i="16" s="1"/>
  <c r="EP87" i="16"/>
  <c r="EO88" i="16"/>
  <c r="FG5" i="18"/>
  <c r="FF35" i="18"/>
  <c r="FF3" i="18"/>
  <c r="EP62" i="16" s="1"/>
  <c r="EP25" i="16" s="1"/>
  <c r="EO6" i="23"/>
  <c r="ES5" i="16"/>
  <c r="EP53" i="13"/>
  <c r="EP44" i="12"/>
  <c r="EQ4" i="12"/>
  <c r="EP3" i="12"/>
  <c r="EP25" i="12"/>
  <c r="EQ23" i="12" s="1"/>
  <c r="EO78" i="12"/>
  <c r="EO94" i="12"/>
  <c r="EO90" i="12"/>
  <c r="EO82" i="12"/>
  <c r="EO36" i="12"/>
  <c r="EO35" i="12"/>
  <c r="EP33" i="12" s="1"/>
  <c r="ES169" i="19"/>
  <c r="ES168" i="19"/>
  <c r="ET165" i="19" s="1"/>
  <c r="EQ81" i="23"/>
  <c r="FQ27" i="37" l="1"/>
  <c r="AX24" i="25"/>
  <c r="CO38" i="12"/>
  <c r="CO10" i="12"/>
  <c r="ES202" i="37"/>
  <c r="DG21" i="12"/>
  <c r="DG20" i="12"/>
  <c r="DH18" i="12" s="1"/>
  <c r="ES134" i="37"/>
  <c r="DF47" i="37"/>
  <c r="FR26" i="37"/>
  <c r="EO5" i="23"/>
  <c r="EP4" i="23"/>
  <c r="EP118" i="23" s="1"/>
  <c r="EQ17" i="15"/>
  <c r="EM11" i="11"/>
  <c r="EM18" i="15"/>
  <c r="EM54" i="13"/>
  <c r="EL38" i="13"/>
  <c r="EK43" i="16" s="1"/>
  <c r="EK11" i="16" s="1"/>
  <c r="FA9" i="18" s="1"/>
  <c r="EL39" i="13"/>
  <c r="EK44" i="16" s="1"/>
  <c r="EK12" i="16" s="1"/>
  <c r="FA10" i="18" s="1"/>
  <c r="EL37" i="13"/>
  <c r="EL44" i="13"/>
  <c r="EL46" i="13"/>
  <c r="EL45" i="13" s="1"/>
  <c r="EK47" i="16" s="1"/>
  <c r="EK15" i="16" s="1"/>
  <c r="FA13" i="18" s="1"/>
  <c r="EQ42" i="13"/>
  <c r="EK41" i="13"/>
  <c r="EZ12" i="18" s="1"/>
  <c r="EQ4" i="15"/>
  <c r="EP3" i="15"/>
  <c r="ER34" i="13"/>
  <c r="ER33" i="13" s="1"/>
  <c r="ER47" i="13" s="1"/>
  <c r="EN31" i="12"/>
  <c r="EN30" i="12"/>
  <c r="EO28" i="12" s="1"/>
  <c r="EP16" i="12"/>
  <c r="EP15" i="12"/>
  <c r="EQ13" i="12" s="1"/>
  <c r="EP36" i="12"/>
  <c r="ER4" i="12"/>
  <c r="EQ3" i="12"/>
  <c r="EQ25" i="12"/>
  <c r="ER23" i="12" s="1"/>
  <c r="EP78" i="12"/>
  <c r="EP94" i="12"/>
  <c r="EP90" i="12"/>
  <c r="EP82" i="12"/>
  <c r="ER70" i="12"/>
  <c r="EP12" i="23"/>
  <c r="EM50" i="16"/>
  <c r="ER81" i="23"/>
  <c r="FG56" i="18"/>
  <c r="FG57" i="18" s="1"/>
  <c r="FG35" i="18"/>
  <c r="FG3" i="18"/>
  <c r="FH5" i="18"/>
  <c r="ET169" i="19"/>
  <c r="ET168" i="19"/>
  <c r="EU165" i="19" s="1"/>
  <c r="EP35" i="12"/>
  <c r="EQ33" i="12" s="1"/>
  <c r="ER33" i="16"/>
  <c r="ER4" i="16"/>
  <c r="ER3" i="16"/>
  <c r="ES8" i="16"/>
  <c r="ER10" i="23"/>
  <c r="EQ3" i="23"/>
  <c r="EQ3" i="11"/>
  <c r="ER8" i="11"/>
  <c r="EQ10" i="11"/>
  <c r="FA92" i="12"/>
  <c r="ET88" i="12"/>
  <c r="EQ87" i="16"/>
  <c r="ER93" i="16"/>
  <c r="EP6" i="23"/>
  <c r="ET5" i="16"/>
  <c r="EQ53" i="13"/>
  <c r="EQ44" i="12"/>
  <c r="ET80" i="12"/>
  <c r="ES96" i="12"/>
  <c r="AX25" i="25" l="1"/>
  <c r="FR27" i="37"/>
  <c r="DF48" i="37"/>
  <c r="CO40" i="12"/>
  <c r="DD41" i="18" s="1"/>
  <c r="CN34" i="23" s="1"/>
  <c r="CP8" i="12"/>
  <c r="ET202" i="37"/>
  <c r="DH21" i="12"/>
  <c r="DH20" i="12"/>
  <c r="DI18" i="12" s="1"/>
  <c r="ET134" i="37"/>
  <c r="DG47" i="37"/>
  <c r="DG48" i="37" s="1"/>
  <c r="FS26" i="37"/>
  <c r="FS27" i="37" s="1"/>
  <c r="EP5" i="23"/>
  <c r="ER17" i="15"/>
  <c r="EN11" i="11"/>
  <c r="EN54" i="13"/>
  <c r="EN38" i="13" s="1"/>
  <c r="EM43" i="16" s="1"/>
  <c r="EM11" i="16" s="1"/>
  <c r="FC9" i="18" s="1"/>
  <c r="EN18" i="15"/>
  <c r="EM38" i="13"/>
  <c r="EL43" i="16" s="1"/>
  <c r="EL11" i="16" s="1"/>
  <c r="FB9" i="18" s="1"/>
  <c r="EM39" i="13"/>
  <c r="EM37" i="13"/>
  <c r="EN46" i="13"/>
  <c r="EN45" i="13" s="1"/>
  <c r="EM47" i="16" s="1"/>
  <c r="EM15" i="16" s="1"/>
  <c r="FC13" i="18" s="1"/>
  <c r="EM44" i="13"/>
  <c r="EM46" i="13"/>
  <c r="EM45" i="13" s="1"/>
  <c r="EL47" i="16" s="1"/>
  <c r="EL15" i="16" s="1"/>
  <c r="FB13" i="18" s="1"/>
  <c r="ER42" i="13"/>
  <c r="EL41" i="13"/>
  <c r="FA12" i="18" s="1"/>
  <c r="ER4" i="15"/>
  <c r="EQ3" i="15"/>
  <c r="ES34" i="13"/>
  <c r="ES33" i="13" s="1"/>
  <c r="ES47" i="13" s="1"/>
  <c r="EO31" i="12"/>
  <c r="EO30" i="12"/>
  <c r="EP28" i="12" s="1"/>
  <c r="EQ36" i="12"/>
  <c r="EQ35" i="12"/>
  <c r="ER33" i="12" s="1"/>
  <c r="ER35" i="12" s="1"/>
  <c r="EQ6" i="23"/>
  <c r="EQ5" i="23" s="1"/>
  <c r="EU5" i="16"/>
  <c r="ER53" i="13"/>
  <c r="ER44" i="12"/>
  <c r="FH35" i="18"/>
  <c r="FI5" i="18"/>
  <c r="FH3" i="18"/>
  <c r="ER62" i="16" s="1"/>
  <c r="ER25" i="16" s="1"/>
  <c r="EQ78" i="12"/>
  <c r="EQ94" i="12"/>
  <c r="EQ90" i="12"/>
  <c r="EQ82" i="12"/>
  <c r="EU88" i="12"/>
  <c r="EQ12" i="23"/>
  <c r="EQ16" i="12"/>
  <c r="ER3" i="23"/>
  <c r="ES10" i="23"/>
  <c r="EQ88" i="16"/>
  <c r="EQ89" i="16"/>
  <c r="EQ90" i="16" s="1"/>
  <c r="EQ35" i="16" s="1"/>
  <c r="EQ101" i="16" s="1"/>
  <c r="ER87" i="16"/>
  <c r="FB92" i="12"/>
  <c r="ES33" i="16"/>
  <c r="ES4" i="16"/>
  <c r="ES3" i="16"/>
  <c r="ET8" i="16"/>
  <c r="EU169" i="19"/>
  <c r="EU168" i="19"/>
  <c r="EV165" i="19" s="1"/>
  <c r="ES81" i="23"/>
  <c r="EU80" i="12"/>
  <c r="ET96" i="12"/>
  <c r="EN50" i="16"/>
  <c r="ES4" i="12"/>
  <c r="ER3" i="12"/>
  <c r="ER25" i="12"/>
  <c r="ES23" i="12" s="1"/>
  <c r="ES70" i="12"/>
  <c r="EQ15" i="12"/>
  <c r="ER13" i="12" s="1"/>
  <c r="EL44" i="16"/>
  <c r="EL12" i="16" s="1"/>
  <c r="FB10" i="18" s="1"/>
  <c r="ES8" i="11"/>
  <c r="ER10" i="11"/>
  <c r="ES17" i="15" s="1"/>
  <c r="ER3" i="11"/>
  <c r="ES93" i="16"/>
  <c r="CO43" i="12" l="1"/>
  <c r="CP38" i="12"/>
  <c r="CP10" i="12"/>
  <c r="CP40" i="12" s="1"/>
  <c r="DE41" i="18" s="1"/>
  <c r="CO34" i="23" s="1"/>
  <c r="CQ8" i="12"/>
  <c r="EU202" i="37"/>
  <c r="DI21" i="12"/>
  <c r="DI20" i="12"/>
  <c r="DJ18" i="12" s="1"/>
  <c r="EU134" i="37"/>
  <c r="DH47" i="37"/>
  <c r="FT26" i="37"/>
  <c r="EN44" i="13"/>
  <c r="EN41" i="13" s="1"/>
  <c r="EN39" i="13"/>
  <c r="EM44" i="16" s="1"/>
  <c r="EM12" i="16" s="1"/>
  <c r="FC10" i="18" s="1"/>
  <c r="EN37" i="13"/>
  <c r="EO54" i="13"/>
  <c r="EO44" i="13" s="1"/>
  <c r="EO18" i="15"/>
  <c r="EO11" i="11"/>
  <c r="EO38" i="13"/>
  <c r="EN43" i="16" s="1"/>
  <c r="EN11" i="16" s="1"/>
  <c r="FD9" i="18" s="1"/>
  <c r="EO37" i="13"/>
  <c r="EO39" i="13"/>
  <c r="EN44" i="16" s="1"/>
  <c r="EN12" i="16" s="1"/>
  <c r="FD10" i="18" s="1"/>
  <c r="ES42" i="13"/>
  <c r="EM41" i="13"/>
  <c r="FB12" i="18" s="1"/>
  <c r="ES4" i="15"/>
  <c r="ER3" i="15"/>
  <c r="ET34" i="13"/>
  <c r="ET33" i="13" s="1"/>
  <c r="ET47" i="13" s="1"/>
  <c r="EP31" i="12"/>
  <c r="EP30" i="12"/>
  <c r="EQ28" i="12" s="1"/>
  <c r="ER16" i="12"/>
  <c r="ER15" i="12"/>
  <c r="ES13" i="12" s="1"/>
  <c r="ET4" i="16"/>
  <c r="ET3" i="16"/>
  <c r="EU8" i="16"/>
  <c r="ET33" i="16"/>
  <c r="ER78" i="12"/>
  <c r="ER94" i="12"/>
  <c r="ER82" i="12"/>
  <c r="ER90" i="12"/>
  <c r="ER36" i="12"/>
  <c r="ES33" i="12"/>
  <c r="ES35" i="12" s="1"/>
  <c r="EO50" i="16"/>
  <c r="EV88" i="12"/>
  <c r="ET70" i="12"/>
  <c r="ET93" i="16"/>
  <c r="EV80" i="12"/>
  <c r="EU96" i="12"/>
  <c r="ES3" i="23"/>
  <c r="ET10" i="23"/>
  <c r="FJ5" i="18"/>
  <c r="FI35" i="18"/>
  <c r="FI3" i="18"/>
  <c r="ES62" i="16" s="1"/>
  <c r="ES25" i="16" s="1"/>
  <c r="ET8" i="11"/>
  <c r="ES3" i="11"/>
  <c r="ES10" i="11"/>
  <c r="ET17" i="15" s="1"/>
  <c r="ES25" i="12"/>
  <c r="ET23" i="12" s="1"/>
  <c r="ET4" i="12"/>
  <c r="ES3" i="12"/>
  <c r="ER6" i="23"/>
  <c r="EV5" i="16"/>
  <c r="ES53" i="13"/>
  <c r="ES44" i="12"/>
  <c r="ET81" i="23"/>
  <c r="EV168" i="19"/>
  <c r="EW165" i="19" s="1"/>
  <c r="EV169" i="19"/>
  <c r="FC92" i="12"/>
  <c r="ER12" i="23"/>
  <c r="ER88" i="16"/>
  <c r="ER89" i="16"/>
  <c r="ER90" i="16" s="1"/>
  <c r="ER35" i="16" s="1"/>
  <c r="ER101" i="16" s="1"/>
  <c r="ES87" i="16"/>
  <c r="DH48" i="37" l="1"/>
  <c r="AI43" i="25"/>
  <c r="FT27" i="37"/>
  <c r="FU26" i="37" s="1"/>
  <c r="CQ10" i="12"/>
  <c r="CQ38" i="12"/>
  <c r="CP43" i="12"/>
  <c r="EV202" i="37"/>
  <c r="DJ21" i="12"/>
  <c r="DJ20" i="12"/>
  <c r="DK18" i="12" s="1"/>
  <c r="EV134" i="37"/>
  <c r="DI47" i="37"/>
  <c r="DI48" i="37" s="1"/>
  <c r="EO46" i="13"/>
  <c r="EO45" i="13" s="1"/>
  <c r="EN47" i="16" s="1"/>
  <c r="EN15" i="16" s="1"/>
  <c r="FD13" i="18" s="1"/>
  <c r="ER5" i="23"/>
  <c r="EP18" i="15"/>
  <c r="EP54" i="13"/>
  <c r="EP38" i="13" s="1"/>
  <c r="EO43" i="16" s="1"/>
  <c r="EO11" i="16" s="1"/>
  <c r="FE9" i="18" s="1"/>
  <c r="EP11" i="11"/>
  <c r="FC12" i="18"/>
  <c r="EP39" i="13"/>
  <c r="EO44" i="16" s="1"/>
  <c r="EO12" i="16" s="1"/>
  <c r="FE10" i="18" s="1"/>
  <c r="ET42" i="13"/>
  <c r="EO41" i="13"/>
  <c r="FD12" i="18" s="1"/>
  <c r="ET4" i="15"/>
  <c r="ES3" i="15"/>
  <c r="EU34" i="13"/>
  <c r="EU33" i="13" s="1"/>
  <c r="EU47" i="13" s="1"/>
  <c r="ES16" i="12"/>
  <c r="ES15" i="12"/>
  <c r="ET13" i="12" s="1"/>
  <c r="EQ31" i="12"/>
  <c r="EQ30" i="12"/>
  <c r="ER28" i="12" s="1"/>
  <c r="EU81" i="23"/>
  <c r="FK5" i="18"/>
  <c r="FJ35" i="18"/>
  <c r="FJ3" i="18"/>
  <c r="ET62" i="16" s="1"/>
  <c r="ET25" i="16" s="1"/>
  <c r="ES12" i="23"/>
  <c r="EU70" i="12"/>
  <c r="EP50" i="16"/>
  <c r="ET25" i="12"/>
  <c r="EU23" i="12" s="1"/>
  <c r="EU4" i="12"/>
  <c r="ET3" i="12"/>
  <c r="ES6" i="23"/>
  <c r="EW5" i="16"/>
  <c r="ET44" i="12"/>
  <c r="ET53" i="13"/>
  <c r="EU10" i="23"/>
  <c r="ET3" i="23"/>
  <c r="EW88" i="12"/>
  <c r="FD92" i="12"/>
  <c r="ES78" i="12"/>
  <c r="ES94" i="12"/>
  <c r="ES90" i="12"/>
  <c r="ES82" i="12"/>
  <c r="EU8" i="11"/>
  <c r="ET10" i="11"/>
  <c r="EU17" i="15" s="1"/>
  <c r="ET3" i="11"/>
  <c r="EU93" i="16"/>
  <c r="ES88" i="16"/>
  <c r="ES89" i="16"/>
  <c r="ES90" i="16" s="1"/>
  <c r="ES35" i="16" s="1"/>
  <c r="ES101" i="16" s="1"/>
  <c r="ET87" i="16"/>
  <c r="EW168" i="19"/>
  <c r="EX165" i="19" s="1"/>
  <c r="EW169" i="19"/>
  <c r="EW80" i="12"/>
  <c r="EV96" i="12"/>
  <c r="ES36" i="12"/>
  <c r="ET33" i="12"/>
  <c r="ET35" i="12" s="1"/>
  <c r="EV8" i="16"/>
  <c r="EU33" i="16"/>
  <c r="EU3" i="16"/>
  <c r="EU4" i="16"/>
  <c r="FU27" i="37" l="1"/>
  <c r="AY24" i="25"/>
  <c r="AY25" i="25" s="1"/>
  <c r="CQ40" i="12"/>
  <c r="DF41" i="18" s="1"/>
  <c r="CP34" i="23" s="1"/>
  <c r="CR8" i="12"/>
  <c r="EW202" i="37"/>
  <c r="DK21" i="12"/>
  <c r="DK20" i="12"/>
  <c r="DL18" i="12" s="1"/>
  <c r="EW134" i="37"/>
  <c r="DJ47" i="37"/>
  <c r="FV26" i="37"/>
  <c r="EP46" i="13"/>
  <c r="EP45" i="13" s="1"/>
  <c r="EO47" i="16" s="1"/>
  <c r="EO15" i="16" s="1"/>
  <c r="FE13" i="18" s="1"/>
  <c r="EP44" i="13"/>
  <c r="EP41" i="13" s="1"/>
  <c r="FE12" i="18" s="1"/>
  <c r="ES5" i="23"/>
  <c r="ET4" i="23"/>
  <c r="ET118" i="23" s="1"/>
  <c r="EQ18" i="15"/>
  <c r="EQ54" i="13"/>
  <c r="EQ38" i="13" s="1"/>
  <c r="EP43" i="16" s="1"/>
  <c r="EP11" i="16" s="1"/>
  <c r="FF9" i="18" s="1"/>
  <c r="EP37" i="13"/>
  <c r="EQ11" i="11"/>
  <c r="EU42" i="13"/>
  <c r="EU4" i="15"/>
  <c r="ET3" i="15"/>
  <c r="EV34" i="13"/>
  <c r="EV33" i="13" s="1"/>
  <c r="EV47" i="13" s="1"/>
  <c r="ER31" i="12"/>
  <c r="ER30" i="12"/>
  <c r="ES28" i="12" s="1"/>
  <c r="ET16" i="12"/>
  <c r="ET15" i="12"/>
  <c r="EU13" i="12" s="1"/>
  <c r="EU15" i="12" s="1"/>
  <c r="EV93" i="16"/>
  <c r="EV10" i="23"/>
  <c r="EU3" i="23"/>
  <c r="EX80" i="12"/>
  <c r="EW96" i="12"/>
  <c r="EW8" i="16"/>
  <c r="EV33" i="16"/>
  <c r="EV3" i="16"/>
  <c r="EV4" i="16"/>
  <c r="EV4" i="12"/>
  <c r="EU3" i="12"/>
  <c r="EU25" i="12"/>
  <c r="EV23" i="12" s="1"/>
  <c r="FE92" i="12"/>
  <c r="ET12" i="23"/>
  <c r="EV81" i="23"/>
  <c r="FK56" i="18"/>
  <c r="FK57" i="18" s="1"/>
  <c r="FL5" i="18"/>
  <c r="FK35" i="18"/>
  <c r="FK3" i="18"/>
  <c r="EU87" i="16"/>
  <c r="EU33" i="12"/>
  <c r="EU35" i="12" s="1"/>
  <c r="ET36" i="12"/>
  <c r="ET6" i="23"/>
  <c r="EX5" i="16"/>
  <c r="EU53" i="13"/>
  <c r="EU44" i="12"/>
  <c r="ET78" i="12"/>
  <c r="ET94" i="12"/>
  <c r="ET82" i="12"/>
  <c r="ET90" i="12"/>
  <c r="EQ50" i="16"/>
  <c r="EU10" i="11"/>
  <c r="EU3" i="11"/>
  <c r="EV8" i="11"/>
  <c r="EX88" i="12"/>
  <c r="EX168" i="19"/>
  <c r="EY165" i="19" s="1"/>
  <c r="EX169" i="19"/>
  <c r="EV70" i="12"/>
  <c r="FV27" i="37" l="1"/>
  <c r="DJ48" i="37"/>
  <c r="CR10" i="12"/>
  <c r="CR40" i="12" s="1"/>
  <c r="DG41" i="18" s="1"/>
  <c r="CQ34" i="23" s="1"/>
  <c r="CR38" i="12"/>
  <c r="CQ43" i="12"/>
  <c r="EX202" i="37"/>
  <c r="DL21" i="12"/>
  <c r="DL20" i="12"/>
  <c r="DM18" i="12" s="1"/>
  <c r="EX134" i="37"/>
  <c r="DK47" i="37"/>
  <c r="DK48" i="37" s="1"/>
  <c r="FW26" i="37"/>
  <c r="FW27" i="37" s="1"/>
  <c r="EQ46" i="13"/>
  <c r="EQ45" i="13" s="1"/>
  <c r="EP47" i="16" s="1"/>
  <c r="EP15" i="16" s="1"/>
  <c r="FF13" i="18" s="1"/>
  <c r="EQ44" i="13"/>
  <c r="EQ39" i="13"/>
  <c r="EP44" i="16" s="1"/>
  <c r="EP12" i="16" s="1"/>
  <c r="FF10" i="18" s="1"/>
  <c r="EQ37" i="13"/>
  <c r="ET5" i="23"/>
  <c r="EV17" i="15"/>
  <c r="ER18" i="15"/>
  <c r="ER54" i="13"/>
  <c r="ER11" i="11"/>
  <c r="EV42" i="13"/>
  <c r="EQ41" i="13"/>
  <c r="FF12" i="18" s="1"/>
  <c r="EV4" i="15"/>
  <c r="EU3" i="15"/>
  <c r="EW34" i="13"/>
  <c r="EW33" i="13" s="1"/>
  <c r="EW47" i="13" s="1"/>
  <c r="ES31" i="12"/>
  <c r="ES30" i="12"/>
  <c r="ET28" i="12" s="1"/>
  <c r="EW33" i="16"/>
  <c r="EW4" i="16"/>
  <c r="EW3" i="16"/>
  <c r="EX8" i="16"/>
  <c r="EU16" i="12"/>
  <c r="EV13" i="12"/>
  <c r="EV15" i="12" s="1"/>
  <c r="EV10" i="11"/>
  <c r="EW17" i="15" s="1"/>
  <c r="EV3" i="11"/>
  <c r="EW8" i="11"/>
  <c r="EY88" i="12"/>
  <c r="EW70" i="12"/>
  <c r="EU6" i="23"/>
  <c r="EU5" i="23" s="1"/>
  <c r="EY5" i="16"/>
  <c r="EV53" i="13"/>
  <c r="EV44" i="12"/>
  <c r="EW81" i="23"/>
  <c r="EY80" i="12"/>
  <c r="EX96" i="12"/>
  <c r="EY168" i="19"/>
  <c r="EZ165" i="19" s="1"/>
  <c r="EY169" i="19"/>
  <c r="EU36" i="12"/>
  <c r="EV33" i="12"/>
  <c r="EV35" i="12" s="1"/>
  <c r="FM5" i="18"/>
  <c r="FL35" i="18"/>
  <c r="FL3" i="18"/>
  <c r="EV62" i="16" s="1"/>
  <c r="EV25" i="16" s="1"/>
  <c r="ER50" i="16"/>
  <c r="EU12" i="23"/>
  <c r="FF92" i="12"/>
  <c r="EW4" i="12"/>
  <c r="EV3" i="12"/>
  <c r="EV25" i="12"/>
  <c r="EW23" i="12" s="1"/>
  <c r="EW93" i="16"/>
  <c r="EU78" i="12"/>
  <c r="EU94" i="12"/>
  <c r="EU90" i="12"/>
  <c r="EU82" i="12"/>
  <c r="EU89" i="16"/>
  <c r="EU90" i="16" s="1"/>
  <c r="EU35" i="16" s="1"/>
  <c r="EU101" i="16" s="1"/>
  <c r="EV87" i="16"/>
  <c r="EU88" i="16"/>
  <c r="EW10" i="23"/>
  <c r="EV3" i="23"/>
  <c r="CR43" i="12" l="1"/>
  <c r="CS8" i="12"/>
  <c r="EY202" i="37"/>
  <c r="DM21" i="12"/>
  <c r="DM20" i="12"/>
  <c r="DN18" i="12" s="1"/>
  <c r="EY134" i="37"/>
  <c r="DL47" i="37"/>
  <c r="FX26" i="37"/>
  <c r="ES54" i="13"/>
  <c r="ES11" i="11"/>
  <c r="ES18" i="15"/>
  <c r="ER37" i="13"/>
  <c r="ER38" i="13"/>
  <c r="EQ43" i="16" s="1"/>
  <c r="EQ11" i="16" s="1"/>
  <c r="FG9" i="18" s="1"/>
  <c r="ER39" i="13"/>
  <c r="EQ44" i="16" s="1"/>
  <c r="EQ12" i="16" s="1"/>
  <c r="FG10" i="18" s="1"/>
  <c r="ER44" i="13"/>
  <c r="ER46" i="13"/>
  <c r="ER45" i="13" s="1"/>
  <c r="EQ47" i="16" s="1"/>
  <c r="EQ15" i="16" s="1"/>
  <c r="FG13" i="18" s="1"/>
  <c r="EW42" i="13"/>
  <c r="EW4" i="15"/>
  <c r="EV3" i="15"/>
  <c r="EX34" i="13"/>
  <c r="EX33" i="13" s="1"/>
  <c r="EX47" i="13" s="1"/>
  <c r="ET31" i="12"/>
  <c r="ET30" i="12"/>
  <c r="EU28" i="12" s="1"/>
  <c r="EZ80" i="12"/>
  <c r="EY96" i="12"/>
  <c r="EV89" i="16"/>
  <c r="EV90" i="16" s="1"/>
  <c r="EV35" i="16" s="1"/>
  <c r="EV101" i="16" s="1"/>
  <c r="EW87" i="16"/>
  <c r="EV88" i="16"/>
  <c r="EX4" i="12"/>
  <c r="EW3" i="12"/>
  <c r="EW25" i="12"/>
  <c r="EX23" i="12" s="1"/>
  <c r="EV12" i="23"/>
  <c r="EX70" i="12"/>
  <c r="EX33" i="16"/>
  <c r="EX4" i="16"/>
  <c r="EX3" i="16"/>
  <c r="EY8" i="16"/>
  <c r="EV78" i="12"/>
  <c r="EV94" i="12"/>
  <c r="EV90" i="12"/>
  <c r="EV82" i="12"/>
  <c r="EZ88" i="12"/>
  <c r="ES50" i="16"/>
  <c r="EX10" i="23"/>
  <c r="EW3" i="23"/>
  <c r="EX81" i="23"/>
  <c r="FN5" i="18"/>
  <c r="FM35" i="18"/>
  <c r="FM3" i="18"/>
  <c r="EW62" i="16" s="1"/>
  <c r="EW25" i="16" s="1"/>
  <c r="EZ169" i="19"/>
  <c r="EZ168" i="19"/>
  <c r="FA165" i="19" s="1"/>
  <c r="EW10" i="11"/>
  <c r="EX17" i="15" s="1"/>
  <c r="EW3" i="11"/>
  <c r="EX8" i="11"/>
  <c r="EX93" i="16"/>
  <c r="FG92" i="12"/>
  <c r="EV36" i="12"/>
  <c r="EW33" i="12"/>
  <c r="EV6" i="23"/>
  <c r="EV5" i="23" s="1"/>
  <c r="EZ5" i="16"/>
  <c r="EW53" i="13"/>
  <c r="EW44" i="12"/>
  <c r="EV16" i="12"/>
  <c r="EW13" i="12"/>
  <c r="EW15" i="12" s="1"/>
  <c r="DL48" i="37" l="1"/>
  <c r="AJ43" i="25"/>
  <c r="FX27" i="37"/>
  <c r="AZ24" i="25"/>
  <c r="AZ25" i="25" s="1"/>
  <c r="CS10" i="12"/>
  <c r="CS40" i="12" s="1"/>
  <c r="DH41" i="18" s="1"/>
  <c r="CR34" i="23" s="1"/>
  <c r="CS38" i="12"/>
  <c r="EZ202" i="37"/>
  <c r="DN20" i="12"/>
  <c r="DO18" i="12" s="1"/>
  <c r="DN21" i="12"/>
  <c r="EZ134" i="37"/>
  <c r="DM47" i="37"/>
  <c r="DM48" i="37" s="1"/>
  <c r="FY26" i="37"/>
  <c r="FY27" i="37" s="1"/>
  <c r="ET11" i="11"/>
  <c r="ET18" i="15"/>
  <c r="ET54" i="13"/>
  <c r="ES37" i="13"/>
  <c r="ES39" i="13"/>
  <c r="ER44" i="16" s="1"/>
  <c r="ER12" i="16" s="1"/>
  <c r="FH10" i="18" s="1"/>
  <c r="ES38" i="13"/>
  <c r="ER43" i="16" s="1"/>
  <c r="ER11" i="16" s="1"/>
  <c r="FH9" i="18" s="1"/>
  <c r="ES44" i="13"/>
  <c r="ES46" i="13"/>
  <c r="ES45" i="13" s="1"/>
  <c r="ER47" i="16" s="1"/>
  <c r="ER15" i="16" s="1"/>
  <c r="FH13" i="18" s="1"/>
  <c r="EX42" i="13"/>
  <c r="ER41" i="13"/>
  <c r="FG12" i="18" s="1"/>
  <c r="EX4" i="15"/>
  <c r="EW3" i="15"/>
  <c r="EY34" i="13"/>
  <c r="EY33" i="13" s="1"/>
  <c r="EY47" i="13" s="1"/>
  <c r="EU31" i="12"/>
  <c r="EU30" i="12"/>
  <c r="EV28" i="12" s="1"/>
  <c r="EW78" i="12"/>
  <c r="EW94" i="12"/>
  <c r="EW82" i="12"/>
  <c r="EW90" i="12"/>
  <c r="EW36" i="12"/>
  <c r="FA88" i="12"/>
  <c r="EY33" i="16"/>
  <c r="EY4" i="16"/>
  <c r="EY3" i="16"/>
  <c r="EZ8" i="16"/>
  <c r="EY70" i="12"/>
  <c r="EY4" i="12"/>
  <c r="EX3" i="12"/>
  <c r="EX25" i="12"/>
  <c r="EY23" i="12" s="1"/>
  <c r="FA80" i="12"/>
  <c r="EZ96" i="12"/>
  <c r="EW35" i="12"/>
  <c r="EX33" i="12" s="1"/>
  <c r="FO5" i="18"/>
  <c r="FN35" i="18"/>
  <c r="FN3" i="18"/>
  <c r="EX62" i="16" s="1"/>
  <c r="EX25" i="16" s="1"/>
  <c r="EY81" i="23"/>
  <c r="ET50" i="16"/>
  <c r="FH92" i="12"/>
  <c r="EW12" i="23"/>
  <c r="EW6" i="23"/>
  <c r="FA5" i="16"/>
  <c r="EX53" i="13"/>
  <c r="EX44" i="12"/>
  <c r="EY10" i="23"/>
  <c r="EX3" i="23"/>
  <c r="EY93" i="16"/>
  <c r="EX10" i="11"/>
  <c r="EY17" i="15" s="1"/>
  <c r="EX3" i="11"/>
  <c r="EY8" i="11"/>
  <c r="EW16" i="12"/>
  <c r="EX13" i="12"/>
  <c r="FA169" i="19"/>
  <c r="FA168" i="19"/>
  <c r="FB165" i="19" s="1"/>
  <c r="EW89" i="16"/>
  <c r="EW90" i="16" s="1"/>
  <c r="EW35" i="16" s="1"/>
  <c r="EW101" i="16" s="1"/>
  <c r="EX87" i="16"/>
  <c r="EW88" i="16"/>
  <c r="CS43" i="12" l="1"/>
  <c r="CT8" i="12"/>
  <c r="FA202" i="37"/>
  <c r="DO20" i="12"/>
  <c r="DP18" i="12" s="1"/>
  <c r="DO21" i="12"/>
  <c r="FA134" i="37"/>
  <c r="DN47" i="37"/>
  <c r="FZ26" i="37"/>
  <c r="EW5" i="23"/>
  <c r="EX4" i="23"/>
  <c r="EX118" i="23" s="1"/>
  <c r="EU18" i="15"/>
  <c r="EU54" i="13"/>
  <c r="EU11" i="11"/>
  <c r="ET38" i="13"/>
  <c r="ET37" i="13"/>
  <c r="ET39" i="13"/>
  <c r="ES44" i="16" s="1"/>
  <c r="ES12" i="16" s="1"/>
  <c r="FI10" i="18" s="1"/>
  <c r="ET44" i="13"/>
  <c r="ET46" i="13"/>
  <c r="ET45" i="13" s="1"/>
  <c r="ES47" i="16" s="1"/>
  <c r="ES15" i="16" s="1"/>
  <c r="FI13" i="18" s="1"/>
  <c r="EY42" i="13"/>
  <c r="ES41" i="13"/>
  <c r="FH12" i="18" s="1"/>
  <c r="EY4" i="15"/>
  <c r="EX3" i="15"/>
  <c r="EZ34" i="13"/>
  <c r="EZ33" i="13" s="1"/>
  <c r="EZ47" i="13" s="1"/>
  <c r="EV31" i="12"/>
  <c r="EV30" i="12"/>
  <c r="EW28" i="12" s="1"/>
  <c r="EX36" i="12"/>
  <c r="EX35" i="12"/>
  <c r="EY33" i="12" s="1"/>
  <c r="FB169" i="19"/>
  <c r="FB168" i="19"/>
  <c r="FC165" i="19" s="1"/>
  <c r="EX6" i="23"/>
  <c r="FB5" i="16"/>
  <c r="EY53" i="13"/>
  <c r="EY44" i="12"/>
  <c r="EX12" i="23"/>
  <c r="FB88" i="12"/>
  <c r="FO56" i="18"/>
  <c r="FO57" i="18" s="1"/>
  <c r="FO35" i="18"/>
  <c r="FO3" i="18"/>
  <c r="FP5" i="18"/>
  <c r="EZ70" i="12"/>
  <c r="FI92" i="12"/>
  <c r="EZ10" i="23"/>
  <c r="EY3" i="23"/>
  <c r="EZ93" i="16"/>
  <c r="EZ81" i="23"/>
  <c r="EZ33" i="16"/>
  <c r="EZ4" i="16"/>
  <c r="EZ3" i="16"/>
  <c r="FA8" i="16"/>
  <c r="EY3" i="11"/>
  <c r="EZ8" i="11"/>
  <c r="EY10" i="11"/>
  <c r="EX16" i="12"/>
  <c r="EY87" i="16"/>
  <c r="FB80" i="12"/>
  <c r="FA96" i="12"/>
  <c r="EZ4" i="12"/>
  <c r="EY3" i="12"/>
  <c r="EY25" i="12"/>
  <c r="EZ23" i="12" s="1"/>
  <c r="EX78" i="12"/>
  <c r="EX94" i="12"/>
  <c r="EX90" i="12"/>
  <c r="EX82" i="12"/>
  <c r="EU50" i="16"/>
  <c r="EX15" i="12"/>
  <c r="EY13" i="12" s="1"/>
  <c r="ES43" i="16"/>
  <c r="ES11" i="16" s="1"/>
  <c r="FI9" i="18" s="1"/>
  <c r="FZ27" i="37" l="1"/>
  <c r="DN48" i="37"/>
  <c r="CT38" i="12"/>
  <c r="CT10" i="12"/>
  <c r="CT40" i="12" s="1"/>
  <c r="DI41" i="18" s="1"/>
  <c r="CS34" i="23" s="1"/>
  <c r="CU8" i="12"/>
  <c r="FB202" i="37"/>
  <c r="DP21" i="12"/>
  <c r="DP20" i="12"/>
  <c r="DQ18" i="12" s="1"/>
  <c r="FB134" i="37"/>
  <c r="DO47" i="37"/>
  <c r="DO48" i="37" s="1"/>
  <c r="GA26" i="37"/>
  <c r="GA27" i="37" s="1"/>
  <c r="EX5" i="23"/>
  <c r="EV11" i="11"/>
  <c r="EV18" i="15"/>
  <c r="EV54" i="13"/>
  <c r="EZ17" i="15"/>
  <c r="EU38" i="13"/>
  <c r="EU37" i="13"/>
  <c r="EU39" i="13"/>
  <c r="ET44" i="16" s="1"/>
  <c r="ET12" i="16" s="1"/>
  <c r="FJ10" i="18" s="1"/>
  <c r="EU44" i="13"/>
  <c r="EU46" i="13"/>
  <c r="EU45" i="13" s="1"/>
  <c r="ET47" i="16" s="1"/>
  <c r="ET15" i="16" s="1"/>
  <c r="FJ13" i="18" s="1"/>
  <c r="EZ42" i="13"/>
  <c r="ET41" i="13"/>
  <c r="FI12" i="18" s="1"/>
  <c r="EZ4" i="15"/>
  <c r="EY3" i="15"/>
  <c r="FA34" i="13"/>
  <c r="FA33" i="13" s="1"/>
  <c r="FA47" i="13" s="1"/>
  <c r="EY16" i="12"/>
  <c r="EY15" i="12"/>
  <c r="EZ13" i="12" s="1"/>
  <c r="EY36" i="12"/>
  <c r="EY35" i="12"/>
  <c r="EZ33" i="12" s="1"/>
  <c r="EW31" i="12"/>
  <c r="EW30" i="12"/>
  <c r="EX28" i="12" s="1"/>
  <c r="FJ92" i="12"/>
  <c r="ET43" i="16"/>
  <c r="ET11" i="16" s="1"/>
  <c r="FJ9" i="18" s="1"/>
  <c r="FA33" i="16"/>
  <c r="FA4" i="16"/>
  <c r="FA3" i="16"/>
  <c r="FB8" i="16"/>
  <c r="FA81" i="23"/>
  <c r="FP35" i="18"/>
  <c r="FQ5" i="18"/>
  <c r="FP3" i="18"/>
  <c r="EZ62" i="16" s="1"/>
  <c r="EZ25" i="16" s="1"/>
  <c r="EZ3" i="23"/>
  <c r="FA10" i="23"/>
  <c r="FC88" i="12"/>
  <c r="EY78" i="12"/>
  <c r="EY94" i="12"/>
  <c r="EY82" i="12"/>
  <c r="EY90" i="12"/>
  <c r="FA4" i="12"/>
  <c r="EZ3" i="12"/>
  <c r="EZ25" i="12"/>
  <c r="FA23" i="12" s="1"/>
  <c r="EY6" i="23"/>
  <c r="EY5" i="23" s="1"/>
  <c r="FC5" i="16"/>
  <c r="EZ53" i="13"/>
  <c r="EZ44" i="12"/>
  <c r="FA70" i="12"/>
  <c r="EY12" i="23"/>
  <c r="EY88" i="16"/>
  <c r="EY89" i="16"/>
  <c r="EY90" i="16" s="1"/>
  <c r="EY35" i="16" s="1"/>
  <c r="EY101" i="16" s="1"/>
  <c r="EZ87" i="16"/>
  <c r="FA8" i="11"/>
  <c r="EZ10" i="11"/>
  <c r="FA17" i="15" s="1"/>
  <c r="EZ3" i="11"/>
  <c r="EV50" i="16"/>
  <c r="FC80" i="12"/>
  <c r="FB96" i="12"/>
  <c r="FA93" i="16"/>
  <c r="FC169" i="19"/>
  <c r="FC168" i="19"/>
  <c r="FD165" i="19" s="1"/>
  <c r="CU10" i="12" l="1"/>
  <c r="CU40" i="12" s="1"/>
  <c r="DJ41" i="18" s="1"/>
  <c r="CT34" i="23" s="1"/>
  <c r="CU38" i="12"/>
  <c r="CV8" i="12"/>
  <c r="CT43" i="12"/>
  <c r="FC202" i="37"/>
  <c r="DQ21" i="12"/>
  <c r="DQ20" i="12"/>
  <c r="DR18" i="12" s="1"/>
  <c r="FC134" i="37"/>
  <c r="DP47" i="37"/>
  <c r="GB26" i="37"/>
  <c r="EW18" i="15"/>
  <c r="EW11" i="11"/>
  <c r="EW54" i="13"/>
  <c r="EV37" i="13"/>
  <c r="EV39" i="13"/>
  <c r="EV38" i="13"/>
  <c r="EV44" i="13"/>
  <c r="EV46" i="13"/>
  <c r="EV45" i="13" s="1"/>
  <c r="EU47" i="16" s="1"/>
  <c r="EU15" i="16" s="1"/>
  <c r="FK13" i="18" s="1"/>
  <c r="FA42" i="13"/>
  <c r="EU41" i="13"/>
  <c r="FJ12" i="18" s="1"/>
  <c r="FA4" i="15"/>
  <c r="EZ3" i="15"/>
  <c r="FB34" i="13"/>
  <c r="FB33" i="13" s="1"/>
  <c r="FB47" i="13" s="1"/>
  <c r="EX31" i="12"/>
  <c r="EX30" i="12"/>
  <c r="EY28" i="12" s="1"/>
  <c r="EZ36" i="12"/>
  <c r="EZ35" i="12"/>
  <c r="FA33" i="12" s="1"/>
  <c r="EZ16" i="12"/>
  <c r="EZ15" i="12"/>
  <c r="FA13" i="12" s="1"/>
  <c r="FA15" i="12" s="1"/>
  <c r="FB93" i="16"/>
  <c r="FD80" i="12"/>
  <c r="FC96" i="12"/>
  <c r="FB8" i="11"/>
  <c r="FA3" i="11"/>
  <c r="FA10" i="11"/>
  <c r="FB17" i="15" s="1"/>
  <c r="EZ78" i="12"/>
  <c r="EZ94" i="12"/>
  <c r="EZ90" i="12"/>
  <c r="EZ82" i="12"/>
  <c r="FB81" i="23"/>
  <c r="EW50" i="16"/>
  <c r="FD88" i="12"/>
  <c r="FD168" i="19"/>
  <c r="FE165" i="19" s="1"/>
  <c r="FD169" i="19"/>
  <c r="FK92" i="12"/>
  <c r="FA3" i="23"/>
  <c r="FB10" i="23"/>
  <c r="EU44" i="16"/>
  <c r="EU12" i="16" s="1"/>
  <c r="FK10" i="18" s="1"/>
  <c r="EU43" i="16"/>
  <c r="EU11" i="16" s="1"/>
  <c r="FK9" i="18" s="1"/>
  <c r="EZ6" i="23"/>
  <c r="EZ5" i="23" s="1"/>
  <c r="FD5" i="16"/>
  <c r="FA44" i="12"/>
  <c r="FA53" i="13"/>
  <c r="FA25" i="12"/>
  <c r="FB23" i="12" s="1"/>
  <c r="FB4" i="12"/>
  <c r="FA3" i="12"/>
  <c r="FB70" i="12"/>
  <c r="FR5" i="18"/>
  <c r="FQ35" i="18"/>
  <c r="FQ3" i="18"/>
  <c r="FA62" i="16" s="1"/>
  <c r="FA25" i="16" s="1"/>
  <c r="FB4" i="16"/>
  <c r="FB3" i="16"/>
  <c r="FC8" i="16"/>
  <c r="FB33" i="16"/>
  <c r="EZ88" i="16"/>
  <c r="EZ89" i="16"/>
  <c r="EZ90" i="16" s="1"/>
  <c r="EZ35" i="16" s="1"/>
  <c r="EZ101" i="16" s="1"/>
  <c r="FA87" i="16"/>
  <c r="EZ12" i="23"/>
  <c r="GB27" i="37" l="1"/>
  <c r="BA24" i="25"/>
  <c r="BA25" i="25" s="1"/>
  <c r="DP48" i="37"/>
  <c r="AK43" i="25"/>
  <c r="CV38" i="12"/>
  <c r="CV10" i="12"/>
  <c r="CV40" i="12" s="1"/>
  <c r="DK41" i="18" s="1"/>
  <c r="CU34" i="23" s="1"/>
  <c r="CU43" i="12"/>
  <c r="FD202" i="37"/>
  <c r="DR20" i="12"/>
  <c r="DS18" i="12" s="1"/>
  <c r="DR21" i="12"/>
  <c r="FD134" i="37"/>
  <c r="DQ47" i="37"/>
  <c r="DQ48" i="37" s="1"/>
  <c r="GC26" i="37"/>
  <c r="GC27" i="37" s="1"/>
  <c r="EX18" i="15"/>
  <c r="EX54" i="13"/>
  <c r="EX11" i="11"/>
  <c r="EW38" i="13"/>
  <c r="EV43" i="16" s="1"/>
  <c r="EV11" i="16" s="1"/>
  <c r="FL9" i="18" s="1"/>
  <c r="EW39" i="13"/>
  <c r="EV44" i="16" s="1"/>
  <c r="EV12" i="16" s="1"/>
  <c r="FL10" i="18" s="1"/>
  <c r="EW37" i="13"/>
  <c r="EW44" i="13"/>
  <c r="EW46" i="13"/>
  <c r="EW45" i="13" s="1"/>
  <c r="EV47" i="16" s="1"/>
  <c r="EV15" i="16" s="1"/>
  <c r="FL13" i="18" s="1"/>
  <c r="FB42" i="13"/>
  <c r="EV41" i="13"/>
  <c r="FK12" i="18" s="1"/>
  <c r="FB4" i="15"/>
  <c r="FA3" i="15"/>
  <c r="FC34" i="13"/>
  <c r="FC33" i="13" s="1"/>
  <c r="FC47" i="13" s="1"/>
  <c r="FA36" i="12"/>
  <c r="FA35" i="12"/>
  <c r="FB33" i="12" s="1"/>
  <c r="EY31" i="12"/>
  <c r="EY30" i="12"/>
  <c r="EZ28" i="12" s="1"/>
  <c r="FA78" i="12"/>
  <c r="FA94" i="12"/>
  <c r="FA82" i="12"/>
  <c r="FA90" i="12"/>
  <c r="FC10" i="23"/>
  <c r="FB3" i="23"/>
  <c r="FE80" i="12"/>
  <c r="FD96" i="12"/>
  <c r="FB13" i="12"/>
  <c r="FB15" i="12" s="1"/>
  <c r="FA16" i="12"/>
  <c r="FE168" i="19"/>
  <c r="FF165" i="19" s="1"/>
  <c r="FE169" i="19"/>
  <c r="FC81" i="23"/>
  <c r="FC70" i="12"/>
  <c r="FE88" i="12"/>
  <c r="FA6" i="23"/>
  <c r="FE5" i="16"/>
  <c r="FB44" i="12"/>
  <c r="FB53" i="13"/>
  <c r="FC93" i="16"/>
  <c r="FD8" i="16"/>
  <c r="FC33" i="16"/>
  <c r="FC3" i="16"/>
  <c r="FC4" i="16"/>
  <c r="FA12" i="23"/>
  <c r="FC8" i="11"/>
  <c r="FB10" i="11"/>
  <c r="FC17" i="15" s="1"/>
  <c r="FB3" i="11"/>
  <c r="FA88" i="16"/>
  <c r="FA89" i="16"/>
  <c r="FA90" i="16" s="1"/>
  <c r="FA35" i="16" s="1"/>
  <c r="FA101" i="16" s="1"/>
  <c r="FB87" i="16"/>
  <c r="EX50" i="16"/>
  <c r="FS5" i="18"/>
  <c r="FR35" i="18"/>
  <c r="FR3" i="18"/>
  <c r="FB62" i="16" s="1"/>
  <c r="FB25" i="16" s="1"/>
  <c r="FB25" i="12"/>
  <c r="FC23" i="12" s="1"/>
  <c r="FC4" i="12"/>
  <c r="FB3" i="12"/>
  <c r="FL92" i="12"/>
  <c r="CW8" i="12" l="1"/>
  <c r="CV43" i="12"/>
  <c r="FE202" i="37"/>
  <c r="DS21" i="12"/>
  <c r="DS20" i="12"/>
  <c r="DT18" i="12" s="1"/>
  <c r="FE134" i="37"/>
  <c r="DR47" i="37"/>
  <c r="GD26" i="37"/>
  <c r="FA5" i="23"/>
  <c r="FB4" i="23"/>
  <c r="EY11" i="11"/>
  <c r="EY18" i="15"/>
  <c r="EY54" i="13"/>
  <c r="EX38" i="13"/>
  <c r="EW43" i="16" s="1"/>
  <c r="EW11" i="16" s="1"/>
  <c r="FM9" i="18" s="1"/>
  <c r="EX39" i="13"/>
  <c r="EX37" i="13"/>
  <c r="EX44" i="13"/>
  <c r="EX46" i="13"/>
  <c r="EX45" i="13" s="1"/>
  <c r="EW47" i="16" s="1"/>
  <c r="EW15" i="16" s="1"/>
  <c r="FM13" i="18" s="1"/>
  <c r="FC42" i="13"/>
  <c r="EW41" i="13"/>
  <c r="FL12" i="18" s="1"/>
  <c r="FC4" i="15"/>
  <c r="FB3" i="15"/>
  <c r="FD34" i="13"/>
  <c r="FD33" i="13" s="1"/>
  <c r="FD47" i="13" s="1"/>
  <c r="FB36" i="12"/>
  <c r="FB35" i="12"/>
  <c r="FC33" i="12" s="1"/>
  <c r="FC87" i="16"/>
  <c r="FB12" i="23"/>
  <c r="FS56" i="18"/>
  <c r="FS57" i="18" s="1"/>
  <c r="FT5" i="18"/>
  <c r="FS35" i="18"/>
  <c r="FS3" i="18"/>
  <c r="FF80" i="12"/>
  <c r="FE96" i="12"/>
  <c r="FD4" i="12"/>
  <c r="FC3" i="12"/>
  <c r="FC25" i="12"/>
  <c r="FD23" i="12" s="1"/>
  <c r="FC10" i="11"/>
  <c r="FC3" i="11"/>
  <c r="FD8" i="11"/>
  <c r="FD93" i="16"/>
  <c r="EW44" i="16"/>
  <c r="EW12" i="16" s="1"/>
  <c r="FM10" i="18" s="1"/>
  <c r="FF168" i="19"/>
  <c r="FG165" i="19" s="1"/>
  <c r="FF169" i="19"/>
  <c r="FB118" i="23"/>
  <c r="EY50" i="16"/>
  <c r="FD10" i="23"/>
  <c r="FC3" i="23"/>
  <c r="FF88" i="12"/>
  <c r="FM92" i="12"/>
  <c r="FB78" i="12"/>
  <c r="FB94" i="12"/>
  <c r="FB82" i="12"/>
  <c r="FB90" i="12"/>
  <c r="FD81" i="23"/>
  <c r="FB6" i="23"/>
  <c r="FF5" i="16"/>
  <c r="F5" i="16" s="1"/>
  <c r="FC53" i="13"/>
  <c r="FC44" i="12"/>
  <c r="FE8" i="16"/>
  <c r="FD33" i="16"/>
  <c r="FD4" i="16"/>
  <c r="FD3" i="16"/>
  <c r="FD70" i="12"/>
  <c r="FB16" i="12"/>
  <c r="FC13" i="12"/>
  <c r="EZ31" i="12"/>
  <c r="EZ30" i="12"/>
  <c r="FA28" i="12" s="1"/>
  <c r="DR48" i="37" l="1"/>
  <c r="GD27" i="37"/>
  <c r="GE26" i="37" s="1"/>
  <c r="CW10" i="12"/>
  <c r="CW40" i="12" s="1"/>
  <c r="DL41" i="18" s="1"/>
  <c r="CV34" i="23" s="1"/>
  <c r="CW38" i="12"/>
  <c r="CX8" i="12"/>
  <c r="FF202" i="37"/>
  <c r="DT21" i="12"/>
  <c r="DT20" i="12"/>
  <c r="DU18" i="12" s="1"/>
  <c r="FF134" i="37"/>
  <c r="DS47" i="37"/>
  <c r="DS48" i="37" s="1"/>
  <c r="FB5" i="23"/>
  <c r="FD17" i="15"/>
  <c r="EZ54" i="13"/>
  <c r="EZ11" i="11"/>
  <c r="EZ18" i="15"/>
  <c r="EY37" i="13"/>
  <c r="EY39" i="13"/>
  <c r="EX44" i="16" s="1"/>
  <c r="EX12" i="16" s="1"/>
  <c r="FN10" i="18" s="1"/>
  <c r="EY38" i="13"/>
  <c r="EY44" i="13"/>
  <c r="EY46" i="13"/>
  <c r="EY45" i="13" s="1"/>
  <c r="EX47" i="16" s="1"/>
  <c r="EX15" i="16" s="1"/>
  <c r="FN13" i="18" s="1"/>
  <c r="FD42" i="13"/>
  <c r="EX41" i="13"/>
  <c r="FM12" i="18" s="1"/>
  <c r="FD4" i="15"/>
  <c r="FC3" i="15"/>
  <c r="FE34" i="13"/>
  <c r="FE33" i="13" s="1"/>
  <c r="FE47" i="13" s="1"/>
  <c r="FA31" i="12"/>
  <c r="FA30" i="12"/>
  <c r="FB28" i="12" s="1"/>
  <c r="FC36" i="12"/>
  <c r="FC35" i="12"/>
  <c r="FD33" i="12" s="1"/>
  <c r="FD35" i="12" s="1"/>
  <c r="FC6" i="23"/>
  <c r="FC5" i="23" s="1"/>
  <c r="FG5" i="16"/>
  <c r="FD53" i="13"/>
  <c r="FD44" i="12"/>
  <c r="FU5" i="18"/>
  <c r="FT35" i="18"/>
  <c r="FT3" i="18"/>
  <c r="FD62" i="16" s="1"/>
  <c r="FD25" i="16" s="1"/>
  <c r="FC16" i="12"/>
  <c r="FE33" i="16"/>
  <c r="FE4" i="16"/>
  <c r="FE3" i="16"/>
  <c r="FF8" i="16"/>
  <c r="EZ50" i="16"/>
  <c r="FC78" i="12"/>
  <c r="FC94" i="12"/>
  <c r="FC82" i="12"/>
  <c r="FC90" i="12"/>
  <c r="FE10" i="23"/>
  <c r="FD3" i="23"/>
  <c r="FG168" i="19"/>
  <c r="FH165" i="19" s="1"/>
  <c r="FG169" i="19"/>
  <c r="EX43" i="16"/>
  <c r="EX11" i="16" s="1"/>
  <c r="FN9" i="18" s="1"/>
  <c r="FE70" i="12"/>
  <c r="FG80" i="12"/>
  <c r="FF96" i="12"/>
  <c r="FC89" i="16"/>
  <c r="FC90" i="16" s="1"/>
  <c r="FC35" i="16" s="1"/>
  <c r="FC101" i="16" s="1"/>
  <c r="FD87" i="16"/>
  <c r="FC88" i="16"/>
  <c r="FN92" i="12"/>
  <c r="FE93" i="16"/>
  <c r="FE4" i="12"/>
  <c r="FD3" i="12"/>
  <c r="FD25" i="12"/>
  <c r="FE23" i="12" s="1"/>
  <c r="FE81" i="23"/>
  <c r="FG88" i="12"/>
  <c r="FD10" i="11"/>
  <c r="FE17" i="15" s="1"/>
  <c r="FD3" i="11"/>
  <c r="FE8" i="11"/>
  <c r="FC15" i="12"/>
  <c r="FD13" i="12" s="1"/>
  <c r="FD15" i="12" s="1"/>
  <c r="FC12" i="23"/>
  <c r="GE27" i="37" l="1"/>
  <c r="CW43" i="12"/>
  <c r="CX38" i="12"/>
  <c r="CX10" i="12"/>
  <c r="CX40" i="12" s="1"/>
  <c r="DM41" i="18" s="1"/>
  <c r="CW34" i="23" s="1"/>
  <c r="FG202" i="37"/>
  <c r="DU21" i="12"/>
  <c r="DU20" i="12"/>
  <c r="DV18" i="12" s="1"/>
  <c r="FG134" i="37"/>
  <c r="DT47" i="37"/>
  <c r="GF26" i="37"/>
  <c r="GF27" i="37" s="1"/>
  <c r="FA54" i="13"/>
  <c r="FA18" i="15"/>
  <c r="FA11" i="11"/>
  <c r="EZ37" i="13"/>
  <c r="EZ38" i="13"/>
  <c r="EY43" i="16" s="1"/>
  <c r="EY11" i="16" s="1"/>
  <c r="FO9" i="18" s="1"/>
  <c r="EZ39" i="13"/>
  <c r="EZ44" i="13"/>
  <c r="EZ46" i="13"/>
  <c r="EZ45" i="13" s="1"/>
  <c r="EY47" i="16" s="1"/>
  <c r="EY15" i="16" s="1"/>
  <c r="FO13" i="18" s="1"/>
  <c r="FE42" i="13"/>
  <c r="EY41" i="13"/>
  <c r="FN12" i="18" s="1"/>
  <c r="FE4" i="15"/>
  <c r="FD3" i="15"/>
  <c r="FF34" i="13"/>
  <c r="FF33" i="13" s="1"/>
  <c r="FF47" i="13" s="1"/>
  <c r="FD78" i="12"/>
  <c r="FD94" i="12"/>
  <c r="FD90" i="12"/>
  <c r="FD82" i="12"/>
  <c r="FH88" i="12"/>
  <c r="EY44" i="16"/>
  <c r="EY12" i="16" s="1"/>
  <c r="FO10" i="18" s="1"/>
  <c r="FD16" i="12"/>
  <c r="FE13" i="12"/>
  <c r="FE15" i="12" s="1"/>
  <c r="FD36" i="12"/>
  <c r="FE33" i="12"/>
  <c r="FE35" i="12" s="1"/>
  <c r="FE10" i="11"/>
  <c r="FF17" i="15" s="1"/>
  <c r="FE3" i="11"/>
  <c r="FF8" i="11"/>
  <c r="FF33" i="16"/>
  <c r="FF4" i="16"/>
  <c r="FF3" i="16"/>
  <c r="FG8" i="16"/>
  <c r="FD89" i="16"/>
  <c r="FD90" i="16" s="1"/>
  <c r="FD35" i="16" s="1"/>
  <c r="FD101" i="16" s="1"/>
  <c r="FE87" i="16"/>
  <c r="FD88" i="16"/>
  <c r="FF81" i="23"/>
  <c r="FO92" i="12"/>
  <c r="FD6" i="23"/>
  <c r="FD5" i="23" s="1"/>
  <c r="FH5" i="16"/>
  <c r="FE53" i="13"/>
  <c r="FE44" i="12"/>
  <c r="FH80" i="12"/>
  <c r="FG96" i="12"/>
  <c r="FA50" i="16"/>
  <c r="FF93" i="16"/>
  <c r="FH169" i="19"/>
  <c r="FH168" i="19"/>
  <c r="FI165" i="19" s="1"/>
  <c r="FF4" i="12"/>
  <c r="FE3" i="12"/>
  <c r="FE25" i="12"/>
  <c r="FF23" i="12" s="1"/>
  <c r="FD12" i="23"/>
  <c r="FB31" i="12"/>
  <c r="FB30" i="12"/>
  <c r="FC28" i="12" s="1"/>
  <c r="FF70" i="12"/>
  <c r="FF10" i="23"/>
  <c r="FE3" i="23"/>
  <c r="FV5" i="18"/>
  <c r="FU35" i="18"/>
  <c r="FU3" i="18"/>
  <c r="FE62" i="16" s="1"/>
  <c r="FE25" i="16" s="1"/>
  <c r="DT48" i="37" l="1"/>
  <c r="AL43" i="25"/>
  <c r="CY8" i="12"/>
  <c r="CX43" i="12"/>
  <c r="FH202" i="37"/>
  <c r="DV20" i="12"/>
  <c r="DW18" i="12" s="1"/>
  <c r="DV21" i="12"/>
  <c r="FH134" i="37"/>
  <c r="DU47" i="37"/>
  <c r="DU48" i="37" s="1"/>
  <c r="GG26" i="37"/>
  <c r="FB18" i="15"/>
  <c r="FB11" i="11"/>
  <c r="FB54" i="13"/>
  <c r="FA39" i="13"/>
  <c r="EZ44" i="16" s="1"/>
  <c r="EZ12" i="16" s="1"/>
  <c r="FP10" i="18" s="1"/>
  <c r="FA37" i="13"/>
  <c r="FA38" i="13"/>
  <c r="FA44" i="13"/>
  <c r="FA46" i="13"/>
  <c r="FA45" i="13" s="1"/>
  <c r="EZ47" i="16" s="1"/>
  <c r="EZ15" i="16" s="1"/>
  <c r="FP13" i="18" s="1"/>
  <c r="FF42" i="13"/>
  <c r="EZ41" i="13"/>
  <c r="FO12" i="18" s="1"/>
  <c r="FF4" i="15"/>
  <c r="FE3" i="15"/>
  <c r="FG34" i="13"/>
  <c r="FG33" i="13" s="1"/>
  <c r="FG47" i="13" s="1"/>
  <c r="FC31" i="12"/>
  <c r="FC30" i="12"/>
  <c r="FD28" i="12" s="1"/>
  <c r="FI169" i="19"/>
  <c r="FI168" i="19"/>
  <c r="FJ165" i="19" s="1"/>
  <c r="FE6" i="23"/>
  <c r="FI5" i="16"/>
  <c r="FF53" i="13"/>
  <c r="FF44" i="12"/>
  <c r="FI88" i="12"/>
  <c r="FG10" i="23"/>
  <c r="FF3" i="23"/>
  <c r="FE36" i="12"/>
  <c r="FF33" i="12"/>
  <c r="FG93" i="16"/>
  <c r="FI80" i="12"/>
  <c r="FH96" i="12"/>
  <c r="FE16" i="12"/>
  <c r="FF13" i="12"/>
  <c r="FF15" i="12" s="1"/>
  <c r="FP92" i="12"/>
  <c r="FG81" i="23"/>
  <c r="FG33" i="16"/>
  <c r="FG4" i="16"/>
  <c r="FG3" i="16"/>
  <c r="FH8" i="16"/>
  <c r="FE12" i="23"/>
  <c r="FW5" i="18"/>
  <c r="FV35" i="18"/>
  <c r="FV3" i="18"/>
  <c r="FF62" i="16" s="1"/>
  <c r="FF25" i="16" s="1"/>
  <c r="FG70" i="12"/>
  <c r="FF35" i="12"/>
  <c r="FG4" i="12"/>
  <c r="FF3" i="12"/>
  <c r="FF25" i="12"/>
  <c r="FG23" i="12" s="1"/>
  <c r="FE78" i="12"/>
  <c r="FE94" i="12"/>
  <c r="FE90" i="12"/>
  <c r="FE82" i="12"/>
  <c r="FE89" i="16"/>
  <c r="FE90" i="16" s="1"/>
  <c r="FE35" i="16" s="1"/>
  <c r="FE101" i="16" s="1"/>
  <c r="FF87" i="16"/>
  <c r="FE88" i="16"/>
  <c r="FF10" i="11"/>
  <c r="FG17" i="15" s="1"/>
  <c r="FF3" i="11"/>
  <c r="FG8" i="11"/>
  <c r="EZ43" i="16"/>
  <c r="EZ11" i="16" s="1"/>
  <c r="FP9" i="18" s="1"/>
  <c r="FB50" i="16"/>
  <c r="GG27" i="37" l="1"/>
  <c r="BB24" i="25"/>
  <c r="BB25" i="25" s="1"/>
  <c r="CY10" i="12"/>
  <c r="CY40" i="12" s="1"/>
  <c r="DN41" i="18" s="1"/>
  <c r="CX34" i="23" s="1"/>
  <c r="CZ8" i="12"/>
  <c r="CY38" i="12"/>
  <c r="CY43" i="12" s="1"/>
  <c r="FI202" i="37"/>
  <c r="DW21" i="12"/>
  <c r="DW20" i="12"/>
  <c r="DX18" i="12" s="1"/>
  <c r="FI134" i="37"/>
  <c r="DV47" i="37"/>
  <c r="GH26" i="37"/>
  <c r="FE5" i="23"/>
  <c r="FF4" i="23"/>
  <c r="FF118" i="23" s="1"/>
  <c r="FC11" i="11"/>
  <c r="FC54" i="13"/>
  <c r="FC18" i="15"/>
  <c r="FB39" i="13"/>
  <c r="FB37" i="13"/>
  <c r="FB38" i="13"/>
  <c r="FA43" i="16" s="1"/>
  <c r="FA11" i="16" s="1"/>
  <c r="FQ9" i="18" s="1"/>
  <c r="FB44" i="13"/>
  <c r="FB46" i="13"/>
  <c r="FB45" i="13" s="1"/>
  <c r="FA47" i="16" s="1"/>
  <c r="FA15" i="16" s="1"/>
  <c r="FQ13" i="18" s="1"/>
  <c r="FG42" i="13"/>
  <c r="FA41" i="13"/>
  <c r="FP12" i="18" s="1"/>
  <c r="FG4" i="15"/>
  <c r="FF3" i="15"/>
  <c r="FH34" i="13"/>
  <c r="FH33" i="13" s="1"/>
  <c r="FH47" i="13" s="1"/>
  <c r="FD31" i="12"/>
  <c r="FD30" i="12"/>
  <c r="FE28" i="12" s="1"/>
  <c r="FF36" i="12"/>
  <c r="FG33" i="12"/>
  <c r="FG35" i="12" s="1"/>
  <c r="FF78" i="12"/>
  <c r="FF94" i="12"/>
  <c r="FF82" i="12"/>
  <c r="FF90" i="12"/>
  <c r="FQ92" i="12"/>
  <c r="FC50" i="16"/>
  <c r="FG3" i="11"/>
  <c r="FH8" i="11"/>
  <c r="FG10" i="11"/>
  <c r="FF12" i="23"/>
  <c r="FW3" i="18"/>
  <c r="FW35" i="18"/>
  <c r="FW56" i="18"/>
  <c r="FW57" i="18" s="1"/>
  <c r="FX5" i="18"/>
  <c r="FF16" i="12"/>
  <c r="FG13" i="12"/>
  <c r="FJ80" i="12"/>
  <c r="FI96" i="12"/>
  <c r="FH10" i="23"/>
  <c r="FG3" i="23"/>
  <c r="FA44" i="16"/>
  <c r="FA12" i="16" s="1"/>
  <c r="FQ10" i="18" s="1"/>
  <c r="FH81" i="23"/>
  <c r="FG87" i="16"/>
  <c r="FH93" i="16"/>
  <c r="FJ169" i="19"/>
  <c r="FJ168" i="19"/>
  <c r="FK165" i="19" s="1"/>
  <c r="FH70" i="12"/>
  <c r="FH4" i="12"/>
  <c r="FG3" i="12"/>
  <c r="FG25" i="12"/>
  <c r="FH23" i="12" s="1"/>
  <c r="FH33" i="16"/>
  <c r="FH4" i="16"/>
  <c r="FH3" i="16"/>
  <c r="FI8" i="16"/>
  <c r="FF6" i="23"/>
  <c r="FJ5" i="16"/>
  <c r="FG53" i="13"/>
  <c r="FG44" i="12"/>
  <c r="FJ88" i="12"/>
  <c r="GH27" i="37" l="1"/>
  <c r="DV48" i="37"/>
  <c r="CZ10" i="12"/>
  <c r="CZ40" i="12" s="1"/>
  <c r="DO41" i="18" s="1"/>
  <c r="CY34" i="23" s="1"/>
  <c r="CZ38" i="12"/>
  <c r="CZ43" i="12" s="1"/>
  <c r="DA8" i="12"/>
  <c r="FJ202" i="37"/>
  <c r="DX21" i="12"/>
  <c r="DX20" i="12"/>
  <c r="DY18" i="12" s="1"/>
  <c r="FJ134" i="37"/>
  <c r="DW47" i="37"/>
  <c r="DW48" i="37" s="1"/>
  <c r="GI26" i="37"/>
  <c r="GI27" i="37" s="1"/>
  <c r="FF5" i="23"/>
  <c r="FH17" i="15"/>
  <c r="FD11" i="11"/>
  <c r="FD18" i="15"/>
  <c r="FD54" i="13"/>
  <c r="FC39" i="13"/>
  <c r="FB44" i="16" s="1"/>
  <c r="FB12" i="16" s="1"/>
  <c r="FR10" i="18" s="1"/>
  <c r="FC37" i="13"/>
  <c r="FC38" i="13"/>
  <c r="FB43" i="16" s="1"/>
  <c r="FB11" i="16" s="1"/>
  <c r="FR9" i="18" s="1"/>
  <c r="FC44" i="13"/>
  <c r="FC46" i="13"/>
  <c r="FC45" i="13" s="1"/>
  <c r="FB47" i="16" s="1"/>
  <c r="FB15" i="16" s="1"/>
  <c r="FR13" i="18" s="1"/>
  <c r="FH42" i="13"/>
  <c r="FB41" i="13"/>
  <c r="FQ12" i="18" s="1"/>
  <c r="FH4" i="15"/>
  <c r="FG3" i="15"/>
  <c r="FI34" i="13"/>
  <c r="FI33" i="13" s="1"/>
  <c r="FI47" i="13" s="1"/>
  <c r="FE31" i="12"/>
  <c r="FE30" i="12"/>
  <c r="FF28" i="12" s="1"/>
  <c r="FG16" i="12"/>
  <c r="FI4" i="12"/>
  <c r="FH3" i="12"/>
  <c r="FH25" i="12"/>
  <c r="FI23" i="12" s="1"/>
  <c r="FH3" i="23"/>
  <c r="FI10" i="23"/>
  <c r="FG36" i="12"/>
  <c r="FH33" i="12"/>
  <c r="FG6" i="23"/>
  <c r="FG5" i="23" s="1"/>
  <c r="FK5" i="16"/>
  <c r="FH53" i="13"/>
  <c r="FH44" i="12"/>
  <c r="FI8" i="11"/>
  <c r="FH10" i="11"/>
  <c r="FI17" i="15" s="1"/>
  <c r="FH3" i="11"/>
  <c r="FI81" i="23"/>
  <c r="FK88" i="12"/>
  <c r="FX35" i="18"/>
  <c r="FY5" i="18"/>
  <c r="FX3" i="18"/>
  <c r="FH62" i="16" s="1"/>
  <c r="FH25" i="16" s="1"/>
  <c r="FG78" i="12"/>
  <c r="FG94" i="12"/>
  <c r="FG90" i="12"/>
  <c r="FG82" i="12"/>
  <c r="FK169" i="19"/>
  <c r="FK168" i="19"/>
  <c r="FL165" i="19" s="1"/>
  <c r="FG12" i="23"/>
  <c r="FR92" i="12"/>
  <c r="FI33" i="16"/>
  <c r="FI4" i="16"/>
  <c r="FI3" i="16"/>
  <c r="FJ8" i="16"/>
  <c r="FG15" i="12"/>
  <c r="FH13" i="12" s="1"/>
  <c r="FD50" i="16"/>
  <c r="FI70" i="12"/>
  <c r="FI93" i="16"/>
  <c r="FG88" i="16"/>
  <c r="FG89" i="16"/>
  <c r="FG90" i="16" s="1"/>
  <c r="FG35" i="16" s="1"/>
  <c r="FG101" i="16" s="1"/>
  <c r="FH87" i="16"/>
  <c r="FK80" i="12"/>
  <c r="FJ96" i="12"/>
  <c r="DA38" i="12" l="1"/>
  <c r="DA10" i="12"/>
  <c r="DA40" i="12" s="1"/>
  <c r="DP41" i="18" s="1"/>
  <c r="CZ34" i="23" s="1"/>
  <c r="DB8" i="12"/>
  <c r="FK202" i="37"/>
  <c r="DY21" i="12"/>
  <c r="DY20" i="12"/>
  <c r="DZ18" i="12" s="1"/>
  <c r="FK134" i="37"/>
  <c r="DX47" i="37"/>
  <c r="GJ26" i="37"/>
  <c r="FE18" i="15"/>
  <c r="FE11" i="11"/>
  <c r="FE54" i="13"/>
  <c r="FD39" i="13"/>
  <c r="FC44" i="16" s="1"/>
  <c r="FC12" i="16" s="1"/>
  <c r="FS10" i="18" s="1"/>
  <c r="FD37" i="13"/>
  <c r="FD38" i="13"/>
  <c r="FD44" i="13"/>
  <c r="FD46" i="13"/>
  <c r="FD45" i="13" s="1"/>
  <c r="FC47" i="16" s="1"/>
  <c r="FC15" i="16" s="1"/>
  <c r="FS13" i="18" s="1"/>
  <c r="FI42" i="13"/>
  <c r="FC41" i="13"/>
  <c r="FR12" i="18" s="1"/>
  <c r="FI4" i="15"/>
  <c r="FH3" i="15"/>
  <c r="FJ34" i="13"/>
  <c r="FJ33" i="13" s="1"/>
  <c r="FJ47" i="13" s="1"/>
  <c r="FH16" i="12"/>
  <c r="FH15" i="12"/>
  <c r="FI13" i="12" s="1"/>
  <c r="FF31" i="12"/>
  <c r="FF30" i="12"/>
  <c r="FG28" i="12" s="1"/>
  <c r="FS92" i="12"/>
  <c r="FL80" i="12"/>
  <c r="FK96" i="12"/>
  <c r="FL168" i="19"/>
  <c r="FM165" i="19" s="1"/>
  <c r="FL169" i="19"/>
  <c r="FJ70" i="12"/>
  <c r="FE50" i="16"/>
  <c r="FH88" i="16"/>
  <c r="FH89" i="16"/>
  <c r="FH90" i="16" s="1"/>
  <c r="FH35" i="16" s="1"/>
  <c r="FH101" i="16" s="1"/>
  <c r="FI87" i="16"/>
  <c r="FJ93" i="16"/>
  <c r="FC43" i="16"/>
  <c r="FC11" i="16" s="1"/>
  <c r="FS9" i="18" s="1"/>
  <c r="FH36" i="12"/>
  <c r="FL88" i="12"/>
  <c r="FH6" i="23"/>
  <c r="FL5" i="16"/>
  <c r="FI44" i="12"/>
  <c r="FI53" i="13"/>
  <c r="FI25" i="12"/>
  <c r="FJ23" i="12" s="1"/>
  <c r="FJ4" i="12"/>
  <c r="FI3" i="12"/>
  <c r="FJ8" i="11"/>
  <c r="FI3" i="11"/>
  <c r="FI10" i="11"/>
  <c r="FJ17" i="15" s="1"/>
  <c r="FH35" i="12"/>
  <c r="FI33" i="12" s="1"/>
  <c r="FI35" i="12" s="1"/>
  <c r="FJ81" i="23"/>
  <c r="FH78" i="12"/>
  <c r="FH94" i="12"/>
  <c r="FH90" i="12"/>
  <c r="FH82" i="12"/>
  <c r="FI3" i="23"/>
  <c r="FJ10" i="23"/>
  <c r="FZ5" i="18"/>
  <c r="FY35" i="18"/>
  <c r="FY3" i="18"/>
  <c r="FI62" i="16" s="1"/>
  <c r="FI25" i="16" s="1"/>
  <c r="FJ4" i="16"/>
  <c r="FJ3" i="16"/>
  <c r="FK8" i="16"/>
  <c r="FJ33" i="16"/>
  <c r="FH12" i="23"/>
  <c r="DX48" i="37" l="1"/>
  <c r="AM43" i="25"/>
  <c r="GJ27" i="37"/>
  <c r="BC24" i="25"/>
  <c r="BC25" i="25" s="1"/>
  <c r="DB10" i="12"/>
  <c r="DB40" i="12" s="1"/>
  <c r="DQ41" i="18" s="1"/>
  <c r="DA34" i="23" s="1"/>
  <c r="DB38" i="12"/>
  <c r="DC8" i="12"/>
  <c r="DA43" i="12"/>
  <c r="FL202" i="37"/>
  <c r="DZ20" i="12"/>
  <c r="EA18" i="12" s="1"/>
  <c r="DZ21" i="12"/>
  <c r="FL134" i="37"/>
  <c r="DY47" i="37"/>
  <c r="DY48" i="37" s="1"/>
  <c r="GK26" i="37"/>
  <c r="GK27" i="37" s="1"/>
  <c r="FH5" i="23"/>
  <c r="FF18" i="15"/>
  <c r="FF11" i="11"/>
  <c r="FF54" i="13"/>
  <c r="FE39" i="13"/>
  <c r="FE37" i="13"/>
  <c r="FE38" i="13"/>
  <c r="FE44" i="13"/>
  <c r="FE46" i="13"/>
  <c r="FE45" i="13" s="1"/>
  <c r="FD47" i="16" s="1"/>
  <c r="FD15" i="16" s="1"/>
  <c r="FT13" i="18" s="1"/>
  <c r="FJ42" i="13"/>
  <c r="FD41" i="13"/>
  <c r="FS12" i="18" s="1"/>
  <c r="FJ4" i="15"/>
  <c r="FI3" i="15"/>
  <c r="FK34" i="13"/>
  <c r="FK33" i="13" s="1"/>
  <c r="FK47" i="13" s="1"/>
  <c r="FI16" i="12"/>
  <c r="FI15" i="12"/>
  <c r="FJ13" i="12" s="1"/>
  <c r="FI78" i="12"/>
  <c r="FI94" i="12"/>
  <c r="FI90" i="12"/>
  <c r="FI82" i="12"/>
  <c r="FK93" i="16"/>
  <c r="FM88" i="12"/>
  <c r="FI88" i="16"/>
  <c r="FI89" i="16"/>
  <c r="FI90" i="16" s="1"/>
  <c r="FI35" i="16" s="1"/>
  <c r="FI101" i="16" s="1"/>
  <c r="FJ87" i="16"/>
  <c r="FK70" i="12"/>
  <c r="FM168" i="19"/>
  <c r="FN165" i="19" s="1"/>
  <c r="FM169" i="19"/>
  <c r="FT92" i="12"/>
  <c r="FI36" i="12"/>
  <c r="FJ33" i="12"/>
  <c r="FJ35" i="12" s="1"/>
  <c r="FF50" i="16"/>
  <c r="FI12" i="23"/>
  <c r="GA5" i="18"/>
  <c r="FZ3" i="18"/>
  <c r="FJ62" i="16" s="1"/>
  <c r="FJ25" i="16" s="1"/>
  <c r="FZ35" i="18"/>
  <c r="FL8" i="16"/>
  <c r="FK33" i="16"/>
  <c r="FK4" i="16"/>
  <c r="FK3" i="16"/>
  <c r="FI6" i="23"/>
  <c r="FM5" i="16"/>
  <c r="FJ44" i="12"/>
  <c r="FJ53" i="13"/>
  <c r="FD44" i="16"/>
  <c r="FD12" i="16" s="1"/>
  <c r="FT10" i="18" s="1"/>
  <c r="FD43" i="16"/>
  <c r="FD11" i="16" s="1"/>
  <c r="FT9" i="18" s="1"/>
  <c r="FM80" i="12"/>
  <c r="FL96" i="12"/>
  <c r="FJ25" i="12"/>
  <c r="FK23" i="12" s="1"/>
  <c r="FK4" i="12"/>
  <c r="FJ3" i="12"/>
  <c r="FK81" i="23"/>
  <c r="FK10" i="23"/>
  <c r="FJ3" i="23"/>
  <c r="FG31" i="12"/>
  <c r="FG30" i="12"/>
  <c r="FH28" i="12" s="1"/>
  <c r="FK8" i="11"/>
  <c r="FJ10" i="11"/>
  <c r="FK17" i="15" s="1"/>
  <c r="FJ3" i="11"/>
  <c r="DB43" i="12" l="1"/>
  <c r="DC38" i="12"/>
  <c r="DC10" i="12"/>
  <c r="DC40" i="12" s="1"/>
  <c r="DR41" i="18" s="1"/>
  <c r="DB34" i="23" s="1"/>
  <c r="FM202" i="37"/>
  <c r="EA20" i="12"/>
  <c r="EB18" i="12" s="1"/>
  <c r="EA21" i="12"/>
  <c r="FM134" i="37"/>
  <c r="DZ47" i="37"/>
  <c r="GL26" i="37"/>
  <c r="FI5" i="23"/>
  <c r="FJ4" i="23"/>
  <c r="FJ118" i="23" s="1"/>
  <c r="FG18" i="15"/>
  <c r="FG54" i="13"/>
  <c r="FG11" i="11"/>
  <c r="FF39" i="13"/>
  <c r="FE44" i="16" s="1"/>
  <c r="FE12" i="16" s="1"/>
  <c r="FU10" i="18" s="1"/>
  <c r="FF38" i="13"/>
  <c r="FF37" i="13"/>
  <c r="FF44" i="13"/>
  <c r="FF46" i="13"/>
  <c r="FF45" i="13" s="1"/>
  <c r="FE47" i="16" s="1"/>
  <c r="FE15" i="16" s="1"/>
  <c r="FU13" i="18" s="1"/>
  <c r="FK42" i="13"/>
  <c r="FE41" i="13"/>
  <c r="FT12" i="18" s="1"/>
  <c r="FK4" i="15"/>
  <c r="FJ3" i="15"/>
  <c r="FL34" i="13"/>
  <c r="FL33" i="13" s="1"/>
  <c r="FL47" i="13" s="1"/>
  <c r="FH31" i="12"/>
  <c r="FH30" i="12"/>
  <c r="FI28" i="12" s="1"/>
  <c r="FJ16" i="12"/>
  <c r="FJ15" i="12"/>
  <c r="FK13" i="12" s="1"/>
  <c r="FK87" i="16"/>
  <c r="GA56" i="18"/>
  <c r="GA57" i="18" s="1"/>
  <c r="GB5" i="18"/>
  <c r="GA35" i="18"/>
  <c r="GA3" i="18"/>
  <c r="FL10" i="23"/>
  <c r="FK3" i="23"/>
  <c r="FJ78" i="12"/>
  <c r="FJ94" i="12"/>
  <c r="FJ90" i="12"/>
  <c r="FJ82" i="12"/>
  <c r="FM8" i="16"/>
  <c r="FL33" i="16"/>
  <c r="FL3" i="16"/>
  <c r="FL4" i="16"/>
  <c r="FK33" i="12"/>
  <c r="FK35" i="12" s="1"/>
  <c r="FJ36" i="12"/>
  <c r="FU92" i="12"/>
  <c r="FN168" i="19"/>
  <c r="FO165" i="19" s="1"/>
  <c r="FN169" i="19"/>
  <c r="FJ6" i="23"/>
  <c r="FN5" i="16"/>
  <c r="FK53" i="13"/>
  <c r="FK44" i="12"/>
  <c r="FK25" i="12"/>
  <c r="FL23" i="12" s="1"/>
  <c r="FL4" i="12"/>
  <c r="FK3" i="12"/>
  <c r="FK10" i="11"/>
  <c r="FK3" i="11"/>
  <c r="FL8" i="11"/>
  <c r="FN80" i="12"/>
  <c r="FM96" i="12"/>
  <c r="FL81" i="23"/>
  <c r="FL70" i="12"/>
  <c r="FN88" i="12"/>
  <c r="FL93" i="16"/>
  <c r="FE43" i="16"/>
  <c r="FE11" i="16" s="1"/>
  <c r="FU9" i="18" s="1"/>
  <c r="FG50" i="16"/>
  <c r="FJ12" i="23"/>
  <c r="DZ48" i="37" l="1"/>
  <c r="GL27" i="37"/>
  <c r="DD8" i="12"/>
  <c r="DD38" i="12"/>
  <c r="DD10" i="12"/>
  <c r="DC43" i="12"/>
  <c r="FN202" i="37"/>
  <c r="EB21" i="12"/>
  <c r="EB20" i="12"/>
  <c r="EC18" i="12" s="1"/>
  <c r="FN134" i="37"/>
  <c r="EA47" i="37"/>
  <c r="EA48" i="37" s="1"/>
  <c r="GM26" i="37"/>
  <c r="GM27" i="37" s="1"/>
  <c r="FJ5" i="23"/>
  <c r="FH18" i="15"/>
  <c r="FH54" i="13"/>
  <c r="FH11" i="11"/>
  <c r="FL17" i="15"/>
  <c r="FG38" i="13"/>
  <c r="FF43" i="16" s="1"/>
  <c r="FF11" i="16" s="1"/>
  <c r="FV9" i="18" s="1"/>
  <c r="FG37" i="13"/>
  <c r="FG39" i="13"/>
  <c r="FG44" i="13"/>
  <c r="FG46" i="13"/>
  <c r="FG45" i="13" s="1"/>
  <c r="FF47" i="16" s="1"/>
  <c r="FF15" i="16" s="1"/>
  <c r="FV13" i="18" s="1"/>
  <c r="FL42" i="13"/>
  <c r="FF41" i="13"/>
  <c r="FU12" i="18" s="1"/>
  <c r="FL4" i="15"/>
  <c r="FK3" i="15"/>
  <c r="FM34" i="13"/>
  <c r="FM33" i="13" s="1"/>
  <c r="FM47" i="13" s="1"/>
  <c r="FK16" i="12"/>
  <c r="FK15" i="12"/>
  <c r="FL13" i="12" s="1"/>
  <c r="FI31" i="12"/>
  <c r="FI30" i="12"/>
  <c r="FJ28" i="12" s="1"/>
  <c r="FM81" i="23"/>
  <c r="GC5" i="18"/>
  <c r="GB35" i="18"/>
  <c r="GB3" i="18"/>
  <c r="FL62" i="16" s="1"/>
  <c r="FL25" i="16" s="1"/>
  <c r="FO88" i="12"/>
  <c r="FO168" i="19"/>
  <c r="FP165" i="19" s="1"/>
  <c r="FO169" i="19"/>
  <c r="FF44" i="16"/>
  <c r="FF12" i="16" s="1"/>
  <c r="FV10" i="18" s="1"/>
  <c r="FV92" i="12"/>
  <c r="FM33" i="16"/>
  <c r="FM4" i="16"/>
  <c r="FM3" i="16"/>
  <c r="FN8" i="16"/>
  <c r="FK89" i="16"/>
  <c r="FK90" i="16" s="1"/>
  <c r="FK35" i="16" s="1"/>
  <c r="FK101" i="16" s="1"/>
  <c r="FL87" i="16"/>
  <c r="FK88" i="16"/>
  <c r="FK6" i="23"/>
  <c r="FK5" i="23" s="1"/>
  <c r="FL53" i="13"/>
  <c r="FL44" i="12"/>
  <c r="FO5" i="16"/>
  <c r="FM4" i="12"/>
  <c r="FL3" i="12"/>
  <c r="FL25" i="12"/>
  <c r="FM23" i="12" s="1"/>
  <c r="FK78" i="12"/>
  <c r="FK94" i="12"/>
  <c r="FK82" i="12"/>
  <c r="FK90" i="12"/>
  <c r="FM10" i="23"/>
  <c r="FL3" i="23"/>
  <c r="FO80" i="12"/>
  <c r="FN96" i="12"/>
  <c r="FM93" i="16"/>
  <c r="FK36" i="12"/>
  <c r="FL33" i="12"/>
  <c r="FL35" i="12" s="1"/>
  <c r="FM70" i="12"/>
  <c r="FL10" i="11"/>
  <c r="FM17" i="15" s="1"/>
  <c r="FL3" i="11"/>
  <c r="FM8" i="11"/>
  <c r="FH50" i="16"/>
  <c r="FK12" i="23"/>
  <c r="DD40" i="12" l="1"/>
  <c r="DS41" i="18" s="1"/>
  <c r="DC34" i="23" s="1"/>
  <c r="DE8" i="12"/>
  <c r="DD43" i="12"/>
  <c r="FO202" i="37"/>
  <c r="EC21" i="12"/>
  <c r="EC20" i="12"/>
  <c r="ED18" i="12" s="1"/>
  <c r="FO134" i="37"/>
  <c r="EB47" i="37"/>
  <c r="GN26" i="37"/>
  <c r="FI54" i="13"/>
  <c r="FI18" i="15"/>
  <c r="FI11" i="11"/>
  <c r="FH37" i="13"/>
  <c r="FH38" i="13"/>
  <c r="FG43" i="16" s="1"/>
  <c r="FG11" i="16" s="1"/>
  <c r="FW9" i="18" s="1"/>
  <c r="FH39" i="13"/>
  <c r="FG44" i="16" s="1"/>
  <c r="FG12" i="16" s="1"/>
  <c r="FW10" i="18" s="1"/>
  <c r="FH44" i="13"/>
  <c r="FH46" i="13"/>
  <c r="FH45" i="13" s="1"/>
  <c r="FG47" i="16" s="1"/>
  <c r="FG15" i="16" s="1"/>
  <c r="FW13" i="18" s="1"/>
  <c r="FM42" i="13"/>
  <c r="FG41" i="13"/>
  <c r="FV12" i="18" s="1"/>
  <c r="FM4" i="15"/>
  <c r="FL3" i="15"/>
  <c r="FN34" i="13"/>
  <c r="FN33" i="13" s="1"/>
  <c r="FN47" i="13" s="1"/>
  <c r="FJ31" i="12"/>
  <c r="FJ30" i="12"/>
  <c r="FK28" i="12" s="1"/>
  <c r="FL16" i="12"/>
  <c r="FL15" i="12"/>
  <c r="FM13" i="12" s="1"/>
  <c r="GD5" i="18"/>
  <c r="GC35" i="18"/>
  <c r="GC3" i="18"/>
  <c r="FM62" i="16" s="1"/>
  <c r="FM25" i="16" s="1"/>
  <c r="FW92" i="12"/>
  <c r="FN81" i="23"/>
  <c r="FP169" i="19"/>
  <c r="FP168" i="19"/>
  <c r="FQ165" i="19" s="1"/>
  <c r="FN70" i="12"/>
  <c r="FP80" i="12"/>
  <c r="FO96" i="12"/>
  <c r="FL89" i="16"/>
  <c r="FL90" i="16" s="1"/>
  <c r="FM87" i="16"/>
  <c r="FL88" i="16"/>
  <c r="FN93" i="16"/>
  <c r="FN10" i="23"/>
  <c r="FM3" i="23"/>
  <c r="FN33" i="16"/>
  <c r="FN4" i="16"/>
  <c r="FN3" i="16"/>
  <c r="FO8" i="16"/>
  <c r="FL78" i="12"/>
  <c r="FL94" i="12"/>
  <c r="FL82" i="12"/>
  <c r="FL90" i="12"/>
  <c r="FP88" i="12"/>
  <c r="FL36" i="12"/>
  <c r="FM33" i="12"/>
  <c r="FM10" i="11"/>
  <c r="FN17" i="15" s="1"/>
  <c r="FM3" i="11"/>
  <c r="FN8" i="11"/>
  <c r="FI50" i="16"/>
  <c r="FL12" i="23"/>
  <c r="FL6" i="23"/>
  <c r="FL5" i="23" s="1"/>
  <c r="FP5" i="16"/>
  <c r="FM53" i="13"/>
  <c r="FM44" i="12"/>
  <c r="FN4" i="12"/>
  <c r="FM3" i="12"/>
  <c r="FM25" i="12"/>
  <c r="FN23" i="12" s="1"/>
  <c r="EB48" i="37" l="1"/>
  <c r="AN43" i="25"/>
  <c r="GN27" i="37"/>
  <c r="GO26" i="37" s="1"/>
  <c r="DE38" i="12"/>
  <c r="DE10" i="12"/>
  <c r="DE40" i="12" s="1"/>
  <c r="DT41" i="18" s="1"/>
  <c r="DD34" i="23" s="1"/>
  <c r="DF8" i="12"/>
  <c r="FP202" i="37"/>
  <c r="ED21" i="12"/>
  <c r="ED20" i="12"/>
  <c r="EE18" i="12" s="1"/>
  <c r="FP134" i="37"/>
  <c r="EC47" i="37"/>
  <c r="EC48" i="37" s="1"/>
  <c r="FJ54" i="13"/>
  <c r="FJ18" i="15"/>
  <c r="FJ11" i="11"/>
  <c r="FI37" i="13"/>
  <c r="FI39" i="13"/>
  <c r="FI38" i="13"/>
  <c r="FH43" i="16" s="1"/>
  <c r="FH11" i="16" s="1"/>
  <c r="FX9" i="18" s="1"/>
  <c r="FI44" i="13"/>
  <c r="FI46" i="13"/>
  <c r="FI45" i="13" s="1"/>
  <c r="FH47" i="16" s="1"/>
  <c r="FH15" i="16" s="1"/>
  <c r="FX13" i="18" s="1"/>
  <c r="FN42" i="13"/>
  <c r="FH41" i="13"/>
  <c r="FW12" i="18" s="1"/>
  <c r="FN4" i="15"/>
  <c r="FM3" i="15"/>
  <c r="FO34" i="13"/>
  <c r="FO33" i="13" s="1"/>
  <c r="FO47" i="13" s="1"/>
  <c r="FM16" i="12"/>
  <c r="FM15" i="12"/>
  <c r="FN13" i="12" s="1"/>
  <c r="FK31" i="12"/>
  <c r="FK30" i="12"/>
  <c r="FL28" i="12" s="1"/>
  <c r="FM78" i="12"/>
  <c r="FM94" i="12"/>
  <c r="FM82" i="12"/>
  <c r="FM90" i="12"/>
  <c r="FM6" i="23"/>
  <c r="FQ5" i="16"/>
  <c r="FN53" i="13"/>
  <c r="FN44" i="12"/>
  <c r="FM89" i="16"/>
  <c r="FM90" i="16" s="1"/>
  <c r="FN87" i="16"/>
  <c r="FM88" i="16"/>
  <c r="FO81" i="23"/>
  <c r="FJ50" i="16"/>
  <c r="FX92" i="12"/>
  <c r="FQ80" i="12"/>
  <c r="FP96" i="12"/>
  <c r="FM36" i="12"/>
  <c r="FO10" i="23"/>
  <c r="FN3" i="23"/>
  <c r="FH44" i="16"/>
  <c r="FH12" i="16" s="1"/>
  <c r="FX10" i="18" s="1"/>
  <c r="FM35" i="12"/>
  <c r="FN33" i="12" s="1"/>
  <c r="FN10" i="11"/>
  <c r="FO17" i="15" s="1"/>
  <c r="FN3" i="11"/>
  <c r="FO8" i="11"/>
  <c r="FO93" i="16"/>
  <c r="FQ169" i="19"/>
  <c r="FQ168" i="19"/>
  <c r="FM12" i="23"/>
  <c r="FO4" i="12"/>
  <c r="FN3" i="12"/>
  <c r="FN25" i="12"/>
  <c r="FO23" i="12" s="1"/>
  <c r="FQ88" i="12"/>
  <c r="FO33" i="16"/>
  <c r="FO22" i="16"/>
  <c r="FO4" i="16"/>
  <c r="FO3" i="16"/>
  <c r="FP8" i="16"/>
  <c r="FO70" i="12"/>
  <c r="GD35" i="18"/>
  <c r="GD3" i="18"/>
  <c r="GO27" i="37" l="1"/>
  <c r="BD24" i="25"/>
  <c r="BD25" i="25" s="1"/>
  <c r="DF10" i="12"/>
  <c r="DF38" i="12"/>
  <c r="DE43" i="12"/>
  <c r="FQ202" i="37"/>
  <c r="EE21" i="12"/>
  <c r="EE20" i="12"/>
  <c r="EF18" i="12" s="1"/>
  <c r="FQ134" i="37"/>
  <c r="ED47" i="37"/>
  <c r="GP26" i="37"/>
  <c r="J16" i="21"/>
  <c r="G16" i="21"/>
  <c r="H16" i="21"/>
  <c r="I16" i="21"/>
  <c r="M16" i="21"/>
  <c r="BA16" i="21"/>
  <c r="BC16" i="21"/>
  <c r="BB16" i="21"/>
  <c r="AZ16" i="21"/>
  <c r="FM5" i="23"/>
  <c r="FM92" i="23" s="1"/>
  <c r="FN4" i="23"/>
  <c r="FN118" i="23" s="1"/>
  <c r="FK18" i="15"/>
  <c r="FK54" i="13"/>
  <c r="FK11" i="11"/>
  <c r="FJ39" i="13"/>
  <c r="FJ38" i="13"/>
  <c r="FJ37" i="13"/>
  <c r="FJ44" i="13"/>
  <c r="FJ46" i="13"/>
  <c r="FJ45" i="13" s="1"/>
  <c r="FI47" i="16" s="1"/>
  <c r="FI15" i="16" s="1"/>
  <c r="FY13" i="18" s="1"/>
  <c r="FO42" i="13"/>
  <c r="FI41" i="13"/>
  <c r="FX12" i="18" s="1"/>
  <c r="FO4" i="15"/>
  <c r="FN3" i="15"/>
  <c r="FP34" i="13"/>
  <c r="FP33" i="13" s="1"/>
  <c r="FP47" i="13" s="1"/>
  <c r="FN36" i="12"/>
  <c r="FN35" i="12"/>
  <c r="FO33" i="12" s="1"/>
  <c r="FO35" i="12" s="1"/>
  <c r="F35" i="12" s="1"/>
  <c r="FL31" i="12"/>
  <c r="FL30" i="12"/>
  <c r="FM28" i="12" s="1"/>
  <c r="FN16" i="12"/>
  <c r="FN15" i="12"/>
  <c r="FO13" i="12" s="1"/>
  <c r="M39" i="21"/>
  <c r="R17" i="21"/>
  <c r="Q8" i="21"/>
  <c r="Q11" i="21"/>
  <c r="Q19" i="21"/>
  <c r="L20" i="21"/>
  <c r="O44" i="21"/>
  <c r="L19" i="21"/>
  <c r="M11" i="21"/>
  <c r="N19" i="21"/>
  <c r="P39" i="21"/>
  <c r="K10" i="21"/>
  <c r="K28" i="21"/>
  <c r="K27" i="21" s="1"/>
  <c r="P8" i="21"/>
  <c r="L34" i="21"/>
  <c r="P40" i="21"/>
  <c r="G289" i="20" s="1"/>
  <c r="L25" i="21"/>
  <c r="N22" i="21"/>
  <c r="Q12" i="21"/>
  <c r="L13" i="21"/>
  <c r="K87" i="19" s="1"/>
  <c r="J41" i="21"/>
  <c r="N9" i="21"/>
  <c r="P35" i="21"/>
  <c r="M19" i="21"/>
  <c r="P41" i="21"/>
  <c r="O41" i="21"/>
  <c r="N23" i="21"/>
  <c r="L10" i="21"/>
  <c r="K41" i="21"/>
  <c r="O24" i="21"/>
  <c r="K13" i="21"/>
  <c r="J87" i="19" s="1"/>
  <c r="K40" i="21"/>
  <c r="O40" i="21"/>
  <c r="F289" i="20" s="1"/>
  <c r="P23" i="21"/>
  <c r="P31" i="21"/>
  <c r="K12" i="21"/>
  <c r="K24" i="21"/>
  <c r="M13" i="21"/>
  <c r="O23" i="21"/>
  <c r="L7" i="21"/>
  <c r="P12" i="21"/>
  <c r="K30" i="21"/>
  <c r="Q9" i="21"/>
  <c r="K22" i="21"/>
  <c r="K31" i="21"/>
  <c r="K23" i="21"/>
  <c r="K9" i="21"/>
  <c r="K8" i="21"/>
  <c r="Q44" i="21"/>
  <c r="L17" i="21"/>
  <c r="M8" i="21"/>
  <c r="N13" i="21"/>
  <c r="E275" i="20" s="1"/>
  <c r="P9" i="21"/>
  <c r="P19" i="21"/>
  <c r="H30" i="21"/>
  <c r="K35" i="21"/>
  <c r="N8" i="21"/>
  <c r="Q22" i="21"/>
  <c r="N34" i="21"/>
  <c r="L22" i="21"/>
  <c r="P34" i="21"/>
  <c r="R41" i="21"/>
  <c r="R35" i="21"/>
  <c r="L39" i="21"/>
  <c r="N7" i="21"/>
  <c r="E273" i="20" s="1"/>
  <c r="Q31" i="21"/>
  <c r="O31" i="21"/>
  <c r="M10" i="21"/>
  <c r="K20" i="21"/>
  <c r="M41" i="21"/>
  <c r="R9" i="21"/>
  <c r="O17" i="21"/>
  <c r="M7" i="21"/>
  <c r="Q28" i="21"/>
  <c r="Q27" i="21" s="1"/>
  <c r="M23" i="21"/>
  <c r="O8" i="21"/>
  <c r="M35" i="21"/>
  <c r="R19" i="21"/>
  <c r="P22" i="21"/>
  <c r="R28" i="21"/>
  <c r="R27" i="21" s="1"/>
  <c r="K34" i="21"/>
  <c r="Q39" i="21"/>
  <c r="N28" i="21"/>
  <c r="N27" i="21" s="1"/>
  <c r="L12" i="21"/>
  <c r="M12" i="21"/>
  <c r="R11" i="21"/>
  <c r="K7" i="21"/>
  <c r="O19" i="21"/>
  <c r="R23" i="21"/>
  <c r="N35" i="21"/>
  <c r="N30" i="21"/>
  <c r="E285" i="20" s="1"/>
  <c r="N39" i="21"/>
  <c r="O35" i="21"/>
  <c r="M21" i="21"/>
  <c r="L44" i="21"/>
  <c r="L21" i="21"/>
  <c r="N10" i="21"/>
  <c r="M25" i="21"/>
  <c r="P11" i="21"/>
  <c r="M34" i="21"/>
  <c r="Q35" i="21"/>
  <c r="N12" i="21"/>
  <c r="Q23" i="21"/>
  <c r="N31" i="21"/>
  <c r="R44" i="21"/>
  <c r="P44" i="21"/>
  <c r="O9" i="21"/>
  <c r="O28" i="21"/>
  <c r="O27" i="21" s="1"/>
  <c r="L23" i="21"/>
  <c r="N17" i="21"/>
  <c r="R34" i="21"/>
  <c r="M28" i="21"/>
  <c r="Q40" i="21"/>
  <c r="H289" i="20" s="1"/>
  <c r="M17" i="21"/>
  <c r="S34" i="21"/>
  <c r="O11" i="21"/>
  <c r="K39" i="21"/>
  <c r="M30" i="21"/>
  <c r="L31" i="21"/>
  <c r="M15" i="21"/>
  <c r="N44" i="21"/>
  <c r="K19" i="21"/>
  <c r="K44" i="21"/>
  <c r="I8" i="21"/>
  <c r="M9" i="21"/>
  <c r="P17" i="21"/>
  <c r="L11" i="21"/>
  <c r="M22" i="21"/>
  <c r="N41" i="21"/>
  <c r="L35" i="21"/>
  <c r="J11" i="21"/>
  <c r="O39" i="21"/>
  <c r="P28" i="21"/>
  <c r="P27" i="21" s="1"/>
  <c r="L9" i="21"/>
  <c r="L28" i="21"/>
  <c r="L27" i="21" s="1"/>
  <c r="L30" i="21"/>
  <c r="O12" i="21"/>
  <c r="G39" i="21"/>
  <c r="I35" i="21"/>
  <c r="I23" i="21"/>
  <c r="O34" i="21"/>
  <c r="K17" i="21"/>
  <c r="L8" i="21"/>
  <c r="S41" i="21"/>
  <c r="H40" i="21"/>
  <c r="S23" i="21"/>
  <c r="J25" i="21"/>
  <c r="I12" i="21"/>
  <c r="H12" i="21"/>
  <c r="J19" i="21"/>
  <c r="S8" i="21"/>
  <c r="J15" i="21"/>
  <c r="J40" i="21"/>
  <c r="I40" i="21"/>
  <c r="J13" i="21"/>
  <c r="G34" i="21"/>
  <c r="I17" i="21"/>
  <c r="Q41" i="21"/>
  <c r="J24" i="21"/>
  <c r="H41" i="21"/>
  <c r="I19" i="21"/>
  <c r="J12" i="21"/>
  <c r="J42" i="21"/>
  <c r="J35" i="21"/>
  <c r="G15" i="21"/>
  <c r="S40" i="21"/>
  <c r="J289" i="20" s="1"/>
  <c r="R8" i="21"/>
  <c r="H23" i="21"/>
  <c r="J21" i="21"/>
  <c r="J39" i="21"/>
  <c r="S39" i="21"/>
  <c r="H10" i="21"/>
  <c r="I43" i="21"/>
  <c r="O22" i="21"/>
  <c r="M31" i="21"/>
  <c r="I18" i="21"/>
  <c r="I7" i="21"/>
  <c r="I15" i="21"/>
  <c r="R13" i="21"/>
  <c r="I275" i="20" s="1"/>
  <c r="S44" i="21"/>
  <c r="H21" i="21"/>
  <c r="H15" i="21"/>
  <c r="G22" i="21"/>
  <c r="I34" i="21"/>
  <c r="S35" i="21"/>
  <c r="S28" i="21"/>
  <c r="S27" i="21" s="1"/>
  <c r="I10" i="21"/>
  <c r="J37" i="21"/>
  <c r="I20" i="21"/>
  <c r="H18" i="21"/>
  <c r="H43" i="21"/>
  <c r="G20" i="21"/>
  <c r="R39" i="21"/>
  <c r="Q17" i="21"/>
  <c r="G17" i="21"/>
  <c r="H22" i="21"/>
  <c r="T19" i="21"/>
  <c r="I30" i="21"/>
  <c r="G19" i="21"/>
  <c r="G28" i="21"/>
  <c r="G27" i="21" s="1"/>
  <c r="G36" i="21"/>
  <c r="J7" i="21"/>
  <c r="H35" i="21"/>
  <c r="H13" i="21"/>
  <c r="G31" i="21"/>
  <c r="S17" i="21"/>
  <c r="I13" i="21"/>
  <c r="T17" i="21"/>
  <c r="K21" i="21"/>
  <c r="L41" i="21"/>
  <c r="I42" i="21"/>
  <c r="H42" i="21"/>
  <c r="I24" i="21"/>
  <c r="J17" i="21"/>
  <c r="J8" i="21"/>
  <c r="I39" i="21"/>
  <c r="H9" i="21"/>
  <c r="Q34" i="21"/>
  <c r="H31" i="21"/>
  <c r="G8" i="21"/>
  <c r="R40" i="21"/>
  <c r="I289" i="20" s="1"/>
  <c r="G12" i="21"/>
  <c r="G40" i="21"/>
  <c r="H39" i="21"/>
  <c r="S12" i="21"/>
  <c r="J18" i="21"/>
  <c r="G30" i="21"/>
  <c r="I22" i="21"/>
  <c r="G18" i="21"/>
  <c r="R31" i="21"/>
  <c r="S9" i="21"/>
  <c r="I25" i="21"/>
  <c r="G42" i="21"/>
  <c r="G23" i="21"/>
  <c r="I11" i="21"/>
  <c r="J9" i="21"/>
  <c r="G9" i="21"/>
  <c r="G21" i="21"/>
  <c r="H17" i="21"/>
  <c r="J31" i="21"/>
  <c r="R12" i="21"/>
  <c r="I31" i="21"/>
  <c r="H11" i="21"/>
  <c r="G11" i="21"/>
  <c r="H20" i="21"/>
  <c r="G10" i="21"/>
  <c r="I44" i="21"/>
  <c r="H25" i="21"/>
  <c r="H7" i="21"/>
  <c r="H8" i="21"/>
  <c r="H36" i="21"/>
  <c r="H34" i="21"/>
  <c r="J43" i="21"/>
  <c r="T35" i="21"/>
  <c r="J22" i="21"/>
  <c r="S11" i="21"/>
  <c r="T41" i="21"/>
  <c r="G43" i="21"/>
  <c r="G24" i="21"/>
  <c r="I28" i="21"/>
  <c r="I27" i="21" s="1"/>
  <c r="G13" i="21"/>
  <c r="G37" i="21"/>
  <c r="T9" i="21"/>
  <c r="J28" i="21"/>
  <c r="J27" i="21" s="1"/>
  <c r="S31" i="21"/>
  <c r="J23" i="21"/>
  <c r="I37" i="21"/>
  <c r="J44" i="21"/>
  <c r="I9" i="21"/>
  <c r="I21" i="21"/>
  <c r="H24" i="21"/>
  <c r="G35" i="21"/>
  <c r="H28" i="21"/>
  <c r="H27" i="21" s="1"/>
  <c r="G7" i="21"/>
  <c r="T12" i="21"/>
  <c r="J34" i="21"/>
  <c r="G44" i="21"/>
  <c r="H44" i="21"/>
  <c r="I41" i="21"/>
  <c r="T23" i="21"/>
  <c r="T40" i="21"/>
  <c r="K289" i="20" s="1"/>
  <c r="T31" i="21"/>
  <c r="S19" i="21"/>
  <c r="T13" i="21"/>
  <c r="K275" i="20" s="1"/>
  <c r="J10" i="21"/>
  <c r="S13" i="21"/>
  <c r="J275" i="20" s="1"/>
  <c r="J36" i="21"/>
  <c r="H19" i="21"/>
  <c r="J20" i="21"/>
  <c r="I36" i="21"/>
  <c r="T11" i="21"/>
  <c r="T39" i="21"/>
  <c r="T28" i="21"/>
  <c r="T27" i="21" s="1"/>
  <c r="G25" i="21"/>
  <c r="W39" i="21"/>
  <c r="V41" i="21"/>
  <c r="G41" i="21"/>
  <c r="H37" i="21"/>
  <c r="T34" i="21"/>
  <c r="T44" i="21"/>
  <c r="J30" i="21"/>
  <c r="T8" i="21"/>
  <c r="V23" i="21"/>
  <c r="V35" i="21"/>
  <c r="U19" i="21"/>
  <c r="U28" i="21"/>
  <c r="U27" i="21" s="1"/>
  <c r="U13" i="21"/>
  <c r="L275" i="20" s="1"/>
  <c r="V44" i="21"/>
  <c r="U8" i="21"/>
  <c r="U34" i="21"/>
  <c r="V19" i="21"/>
  <c r="U17" i="21"/>
  <c r="U11" i="21"/>
  <c r="V11" i="21"/>
  <c r="L40" i="21"/>
  <c r="V13" i="21"/>
  <c r="M275" i="20" s="1"/>
  <c r="U31" i="21"/>
  <c r="U35" i="21"/>
  <c r="U9" i="21"/>
  <c r="V31" i="21"/>
  <c r="U39" i="21"/>
  <c r="V28" i="21"/>
  <c r="V27" i="21" s="1"/>
  <c r="U41" i="21"/>
  <c r="V40" i="21"/>
  <c r="M289" i="20" s="1"/>
  <c r="U44" i="21"/>
  <c r="U23" i="21"/>
  <c r="W44" i="21"/>
  <c r="W11" i="21"/>
  <c r="V17" i="21"/>
  <c r="U40" i="21"/>
  <c r="L289" i="20" s="1"/>
  <c r="U12" i="21"/>
  <c r="V9" i="21"/>
  <c r="W17" i="21"/>
  <c r="V8" i="21"/>
  <c r="W8" i="21"/>
  <c r="W40" i="21"/>
  <c r="N289" i="20" s="1"/>
  <c r="V39" i="21"/>
  <c r="V34" i="21"/>
  <c r="W19" i="21"/>
  <c r="W23" i="21"/>
  <c r="V12" i="21"/>
  <c r="Y13" i="21"/>
  <c r="P275" i="20" s="1"/>
  <c r="W9" i="21"/>
  <c r="X28" i="21"/>
  <c r="X27" i="21" s="1"/>
  <c r="X31" i="21"/>
  <c r="W12" i="21"/>
  <c r="X9" i="21"/>
  <c r="W28" i="21"/>
  <c r="W27" i="21" s="1"/>
  <c r="X34" i="21"/>
  <c r="X17" i="21"/>
  <c r="X13" i="21"/>
  <c r="O275" i="20" s="1"/>
  <c r="W35" i="21"/>
  <c r="X41" i="21"/>
  <c r="X44" i="21"/>
  <c r="W34" i="21"/>
  <c r="X8" i="21"/>
  <c r="W41" i="21"/>
  <c r="X11" i="21"/>
  <c r="X40" i="21"/>
  <c r="O289" i="20" s="1"/>
  <c r="W13" i="21"/>
  <c r="N275" i="20" s="1"/>
  <c r="Y31" i="21"/>
  <c r="X39" i="21"/>
  <c r="X12" i="21"/>
  <c r="X23" i="21"/>
  <c r="Z41" i="21"/>
  <c r="X19" i="21"/>
  <c r="W31" i="21"/>
  <c r="Y41" i="21"/>
  <c r="Y17" i="21"/>
  <c r="X35" i="21"/>
  <c r="AA12" i="21"/>
  <c r="Z23" i="21"/>
  <c r="Y35" i="21"/>
  <c r="AA17" i="21"/>
  <c r="Y40" i="21"/>
  <c r="P289" i="20" s="1"/>
  <c r="Z35" i="21"/>
  <c r="Z40" i="21"/>
  <c r="Y8" i="21"/>
  <c r="Y44" i="21"/>
  <c r="Z19" i="21"/>
  <c r="AA39" i="21"/>
  <c r="Y39" i="21"/>
  <c r="AA19" i="21"/>
  <c r="AB17" i="21"/>
  <c r="Y9" i="21"/>
  <c r="Y28" i="21"/>
  <c r="Y27" i="21" s="1"/>
  <c r="Y12" i="21"/>
  <c r="AA31" i="21"/>
  <c r="Y23" i="21"/>
  <c r="AA23" i="21"/>
  <c r="Z39" i="21"/>
  <c r="AB31" i="21"/>
  <c r="Y19" i="21"/>
  <c r="Y11" i="21"/>
  <c r="Z31" i="21"/>
  <c r="Z28" i="21"/>
  <c r="Z27" i="21" s="1"/>
  <c r="AB40" i="21"/>
  <c r="AC34" i="21"/>
  <c r="Z13" i="21"/>
  <c r="Q275" i="20" s="1"/>
  <c r="AA8" i="21"/>
  <c r="AB39" i="21"/>
  <c r="AA41" i="21"/>
  <c r="Z44" i="21"/>
  <c r="AB19" i="21"/>
  <c r="AA28" i="21"/>
  <c r="AA27" i="21" s="1"/>
  <c r="Z34" i="21"/>
  <c r="AD40" i="21"/>
  <c r="AB28" i="21"/>
  <c r="AB27" i="21" s="1"/>
  <c r="Z8" i="21"/>
  <c r="AB11" i="21"/>
  <c r="AA40" i="21"/>
  <c r="AA13" i="21"/>
  <c r="R275" i="20" s="1"/>
  <c r="AA44" i="21"/>
  <c r="AB34" i="21"/>
  <c r="AA11" i="21"/>
  <c r="Z17" i="21"/>
  <c r="Y34" i="21"/>
  <c r="Z12" i="21"/>
  <c r="Z11" i="21"/>
  <c r="AB35" i="21"/>
  <c r="AB9" i="21"/>
  <c r="AA9" i="21"/>
  <c r="Z9" i="21"/>
  <c r="AA35" i="21"/>
  <c r="AA34" i="21"/>
  <c r="AC19" i="21"/>
  <c r="AB23" i="21"/>
  <c r="AC8" i="21"/>
  <c r="AB44" i="21"/>
  <c r="AC28" i="21"/>
  <c r="AC27" i="21" s="1"/>
  <c r="AC39" i="21"/>
  <c r="AC31" i="21"/>
  <c r="AC11" i="21"/>
  <c r="AC44" i="21"/>
  <c r="AC23" i="21"/>
  <c r="AB13" i="21"/>
  <c r="S275" i="20" s="1"/>
  <c r="AC13" i="21"/>
  <c r="T275" i="20" s="1"/>
  <c r="AC17" i="21"/>
  <c r="AB41" i="21"/>
  <c r="AB8" i="21"/>
  <c r="AC41" i="21"/>
  <c r="AC9" i="21"/>
  <c r="AC40" i="21"/>
  <c r="AC12" i="21"/>
  <c r="AC35" i="21"/>
  <c r="AB12" i="21"/>
  <c r="AD9" i="21"/>
  <c r="AE12" i="21"/>
  <c r="AD22" i="21"/>
  <c r="AD8" i="21"/>
  <c r="AD44" i="21"/>
  <c r="AD13" i="21"/>
  <c r="U275" i="20" s="1"/>
  <c r="AD11" i="21"/>
  <c r="AF41" i="21"/>
  <c r="AE44" i="21"/>
  <c r="AE22" i="21"/>
  <c r="AD35" i="21"/>
  <c r="AE8" i="21"/>
  <c r="AE35" i="21"/>
  <c r="AD23" i="21"/>
  <c r="AD19" i="21"/>
  <c r="AD28" i="21"/>
  <c r="AD27" i="21" s="1"/>
  <c r="AE23" i="21"/>
  <c r="AE40" i="21"/>
  <c r="V289" i="20" s="1"/>
  <c r="AD17" i="21"/>
  <c r="AE28" i="21"/>
  <c r="AE27" i="21" s="1"/>
  <c r="AF22" i="21"/>
  <c r="AF9" i="21"/>
  <c r="AF19" i="21"/>
  <c r="AE41" i="21"/>
  <c r="AD41" i="21"/>
  <c r="AD31" i="21"/>
  <c r="AD34" i="21"/>
  <c r="AD39" i="21"/>
  <c r="AE19" i="21"/>
  <c r="AE31" i="21"/>
  <c r="AE11" i="21"/>
  <c r="AF8" i="21"/>
  <c r="AE17" i="21"/>
  <c r="AF12" i="21"/>
  <c r="AD12" i="21"/>
  <c r="AH12" i="21"/>
  <c r="AG17" i="21"/>
  <c r="AE39" i="21"/>
  <c r="AE9" i="21"/>
  <c r="AG28" i="21"/>
  <c r="AG27" i="21" s="1"/>
  <c r="AG8" i="21"/>
  <c r="AF35" i="21"/>
  <c r="AF34" i="21"/>
  <c r="AF31" i="21"/>
  <c r="AE13" i="21"/>
  <c r="V275" i="20" s="1"/>
  <c r="AF11" i="21"/>
  <c r="AF17" i="21"/>
  <c r="AF44" i="21"/>
  <c r="AF23" i="21"/>
  <c r="AF40" i="21"/>
  <c r="AH22" i="21"/>
  <c r="AF39" i="21"/>
  <c r="AF13" i="21"/>
  <c r="W275" i="20" s="1"/>
  <c r="AF28" i="21"/>
  <c r="AF27" i="21" s="1"/>
  <c r="AE34" i="21"/>
  <c r="AG35" i="21"/>
  <c r="AI11" i="21"/>
  <c r="AG41" i="21"/>
  <c r="AH8" i="21"/>
  <c r="AG13" i="21"/>
  <c r="X275" i="20" s="1"/>
  <c r="AH11" i="21"/>
  <c r="AG22" i="21"/>
  <c r="AG9" i="21"/>
  <c r="AI34" i="21"/>
  <c r="AH40" i="21"/>
  <c r="AH44" i="21"/>
  <c r="AH35" i="21"/>
  <c r="AH39" i="21"/>
  <c r="AH41" i="21"/>
  <c r="AH34" i="21"/>
  <c r="AG19" i="21"/>
  <c r="AG39" i="21"/>
  <c r="AH9" i="21"/>
  <c r="AH17" i="21"/>
  <c r="AG12" i="21"/>
  <c r="AG23" i="21"/>
  <c r="AG11" i="21"/>
  <c r="AH19" i="21"/>
  <c r="AH31" i="21"/>
  <c r="AG34" i="21"/>
  <c r="AH23" i="21"/>
  <c r="AI13" i="21"/>
  <c r="Z275" i="20" s="1"/>
  <c r="AG40" i="21"/>
  <c r="X289" i="20" s="1"/>
  <c r="AI8" i="21"/>
  <c r="AI41" i="21"/>
  <c r="AG31" i="21"/>
  <c r="AG44" i="21"/>
  <c r="AH13" i="21"/>
  <c r="Y275" i="20" s="1"/>
  <c r="AH28" i="21"/>
  <c r="AH27" i="21" s="1"/>
  <c r="AI28" i="21"/>
  <c r="AI27" i="21" s="1"/>
  <c r="AI22" i="21"/>
  <c r="AI31" i="21"/>
  <c r="AI44" i="21"/>
  <c r="AI39" i="21"/>
  <c r="AI12" i="21"/>
  <c r="AI9" i="21"/>
  <c r="AI35" i="21"/>
  <c r="AI19" i="21"/>
  <c r="AI40" i="21"/>
  <c r="Z289" i="20" s="1"/>
  <c r="AI23" i="21"/>
  <c r="AI17" i="21"/>
  <c r="AJ28" i="21"/>
  <c r="AJ27" i="21" s="1"/>
  <c r="AK13" i="21"/>
  <c r="AB275" i="20" s="1"/>
  <c r="AJ41" i="21"/>
  <c r="AK19" i="21"/>
  <c r="AK35" i="21"/>
  <c r="AK41" i="21"/>
  <c r="AJ8" i="21"/>
  <c r="AJ11" i="21"/>
  <c r="AK22" i="21"/>
  <c r="AK44" i="21"/>
  <c r="AJ39" i="21"/>
  <c r="AJ23" i="21"/>
  <c r="AK17" i="21"/>
  <c r="AK11" i="21"/>
  <c r="AK12" i="21"/>
  <c r="AK34" i="21"/>
  <c r="AJ31" i="21"/>
  <c r="AK23" i="21"/>
  <c r="AJ35" i="21"/>
  <c r="AK39" i="21"/>
  <c r="AJ12" i="21"/>
  <c r="AJ17" i="21"/>
  <c r="AK8" i="21"/>
  <c r="AJ44" i="21"/>
  <c r="AJ34" i="21"/>
  <c r="AJ9" i="21"/>
  <c r="AK28" i="21"/>
  <c r="AK27" i="21" s="1"/>
  <c r="AK31" i="21"/>
  <c r="AJ13" i="21"/>
  <c r="AA275" i="20" s="1"/>
  <c r="AJ19" i="21"/>
  <c r="AJ22" i="21"/>
  <c r="AL8" i="21"/>
  <c r="AL35" i="21"/>
  <c r="AK9" i="21"/>
  <c r="AL13" i="21"/>
  <c r="AC275" i="20" s="1"/>
  <c r="AL39" i="21"/>
  <c r="AL23" i="21"/>
  <c r="AN31" i="21"/>
  <c r="AL19" i="21"/>
  <c r="AL34" i="21"/>
  <c r="AM8" i="21"/>
  <c r="AL44" i="21"/>
  <c r="AL41" i="21"/>
  <c r="AM34" i="21"/>
  <c r="AM35" i="21"/>
  <c r="AL11" i="21"/>
  <c r="AL12" i="21"/>
  <c r="AL17" i="21"/>
  <c r="AL31" i="21"/>
  <c r="AL28" i="21"/>
  <c r="AL27" i="21" s="1"/>
  <c r="AL22" i="21"/>
  <c r="AM31" i="21"/>
  <c r="AN28" i="21"/>
  <c r="AN27" i="21" s="1"/>
  <c r="AN13" i="21"/>
  <c r="AE275" i="20" s="1"/>
  <c r="AN44" i="21"/>
  <c r="AM12" i="21"/>
  <c r="AL9" i="21"/>
  <c r="AM28" i="21"/>
  <c r="AM27" i="21" s="1"/>
  <c r="AN12" i="21"/>
  <c r="AN8" i="21"/>
  <c r="AM19" i="21"/>
  <c r="AM22" i="21"/>
  <c r="AN23" i="21"/>
  <c r="AM23" i="21"/>
  <c r="AN9" i="21"/>
  <c r="AM39" i="21"/>
  <c r="AM17" i="21"/>
  <c r="AM13" i="21"/>
  <c r="AD275" i="20" s="1"/>
  <c r="AM41" i="21"/>
  <c r="AM9" i="21"/>
  <c r="AN22" i="21"/>
  <c r="AM44" i="21"/>
  <c r="AM11" i="21"/>
  <c r="AN41" i="21"/>
  <c r="AO17" i="21"/>
  <c r="AN34" i="21"/>
  <c r="AN19" i="21"/>
  <c r="AO31" i="21"/>
  <c r="AN35" i="21"/>
  <c r="AO12" i="21"/>
  <c r="AN11" i="21"/>
  <c r="AN17" i="21"/>
  <c r="AN39" i="21"/>
  <c r="AO34" i="21"/>
  <c r="AO9" i="21"/>
  <c r="AO35" i="21"/>
  <c r="AO41" i="21"/>
  <c r="AO13" i="21"/>
  <c r="AF275" i="20" s="1"/>
  <c r="AP12" i="21"/>
  <c r="AO44" i="21"/>
  <c r="AO39" i="21"/>
  <c r="AO11" i="21"/>
  <c r="AO8" i="21"/>
  <c r="AQ8" i="21"/>
  <c r="AP23" i="21"/>
  <c r="AO22" i="21"/>
  <c r="AO28" i="21"/>
  <c r="AO27" i="21" s="1"/>
  <c r="AO19" i="21"/>
  <c r="AO23" i="21"/>
  <c r="AQ9" i="21"/>
  <c r="AQ28" i="21"/>
  <c r="AQ27" i="21" s="1"/>
  <c r="AP8" i="21"/>
  <c r="AP35" i="21"/>
  <c r="AP9" i="21"/>
  <c r="AP39" i="21"/>
  <c r="AP22" i="21"/>
  <c r="AQ11" i="21"/>
  <c r="AP41" i="21"/>
  <c r="AQ31" i="21"/>
  <c r="AQ34" i="21"/>
  <c r="AP31" i="21"/>
  <c r="AQ35" i="21"/>
  <c r="AP19" i="21"/>
  <c r="AQ17" i="21"/>
  <c r="AP28" i="21"/>
  <c r="AP27" i="21" s="1"/>
  <c r="AQ23" i="21"/>
  <c r="AQ22" i="21"/>
  <c r="AR19" i="21"/>
  <c r="AP13" i="21"/>
  <c r="AG275" i="20" s="1"/>
  <c r="AQ19" i="21"/>
  <c r="AP34" i="21"/>
  <c r="AQ39" i="21"/>
  <c r="AP44" i="21"/>
  <c r="AP11" i="21"/>
  <c r="AQ44" i="21"/>
  <c r="AR11" i="21"/>
  <c r="AP17" i="21"/>
  <c r="AQ13" i="21"/>
  <c r="AH275" i="20" s="1"/>
  <c r="AT11" i="21"/>
  <c r="AR13" i="21"/>
  <c r="AI275" i="20" s="1"/>
  <c r="AR34" i="21"/>
  <c r="AR12" i="21"/>
  <c r="AR17" i="21"/>
  <c r="AR8" i="21"/>
  <c r="AS13" i="21"/>
  <c r="AJ275" i="20" s="1"/>
  <c r="AR41" i="21"/>
  <c r="AS31" i="21"/>
  <c r="AR23" i="21"/>
  <c r="AR28" i="21"/>
  <c r="AR27" i="21" s="1"/>
  <c r="AR44" i="21"/>
  <c r="AS23" i="21"/>
  <c r="AR22" i="21"/>
  <c r="AR35" i="21"/>
  <c r="AR31" i="21"/>
  <c r="AQ12" i="21"/>
  <c r="AS44" i="21"/>
  <c r="AQ41" i="21"/>
  <c r="AR9" i="21"/>
  <c r="AR39" i="21"/>
  <c r="AS28" i="21"/>
  <c r="AS27" i="21" s="1"/>
  <c r="AT35" i="21"/>
  <c r="AS39" i="21"/>
  <c r="AS11" i="21"/>
  <c r="AT22" i="21"/>
  <c r="AS17" i="21"/>
  <c r="AS34" i="21"/>
  <c r="AS12" i="21"/>
  <c r="AS9" i="21"/>
  <c r="AS22" i="21"/>
  <c r="AS41" i="21"/>
  <c r="AT31" i="21"/>
  <c r="AT41" i="21"/>
  <c r="AS8" i="21"/>
  <c r="AS19" i="21"/>
  <c r="AT19" i="21"/>
  <c r="AS35" i="21"/>
  <c r="AU11" i="21"/>
  <c r="AU35" i="21"/>
  <c r="AT34" i="21"/>
  <c r="AU23" i="21"/>
  <c r="AU39" i="21"/>
  <c r="AU19" i="21"/>
  <c r="AT28" i="21"/>
  <c r="AT27" i="21" s="1"/>
  <c r="AT12" i="21"/>
  <c r="AU28" i="21"/>
  <c r="AU27" i="21" s="1"/>
  <c r="AT44" i="21"/>
  <c r="AU9" i="21"/>
  <c r="AV31" i="21"/>
  <c r="AU22" i="21"/>
  <c r="AT13" i="21"/>
  <c r="AK275" i="20" s="1"/>
  <c r="AU8" i="21"/>
  <c r="AU44" i="21"/>
  <c r="AT17" i="21"/>
  <c r="AU17" i="21"/>
  <c r="AU13" i="21"/>
  <c r="AL275" i="20" s="1"/>
  <c r="AT8" i="21"/>
  <c r="AT9" i="21"/>
  <c r="AU31" i="21"/>
  <c r="AV12" i="21"/>
  <c r="AW44" i="21"/>
  <c r="AV23" i="21"/>
  <c r="AT23" i="21"/>
  <c r="AT39" i="21"/>
  <c r="AW12" i="21"/>
  <c r="AX41" i="21"/>
  <c r="N11" i="21"/>
  <c r="AU12" i="21"/>
  <c r="AX23" i="21"/>
  <c r="AU41" i="21"/>
  <c r="AU34" i="21"/>
  <c r="AV19" i="21"/>
  <c r="AV8" i="21"/>
  <c r="AV35" i="21"/>
  <c r="AV22" i="21"/>
  <c r="AV11" i="21"/>
  <c r="AV41" i="21"/>
  <c r="AW22" i="21"/>
  <c r="AV34" i="21"/>
  <c r="AV44" i="21"/>
  <c r="AV9" i="21"/>
  <c r="AW13" i="21"/>
  <c r="AN275" i="20" s="1"/>
  <c r="AV28" i="21"/>
  <c r="AV27" i="21" s="1"/>
  <c r="AX34" i="21"/>
  <c r="AW35" i="21"/>
  <c r="AV17" i="21"/>
  <c r="AV13" i="21"/>
  <c r="AM275" i="20" s="1"/>
  <c r="AV39" i="21"/>
  <c r="AX35" i="21"/>
  <c r="AW17" i="21"/>
  <c r="AX44" i="21"/>
  <c r="AW41" i="21"/>
  <c r="AW28" i="21"/>
  <c r="AW27" i="21" s="1"/>
  <c r="AX22" i="21"/>
  <c r="AX19" i="21"/>
  <c r="AX31" i="21"/>
  <c r="AX28" i="21"/>
  <c r="AX27" i="21" s="1"/>
  <c r="AW11" i="21"/>
  <c r="AY22" i="21"/>
  <c r="K11" i="21"/>
  <c r="AW39" i="21"/>
  <c r="AW23" i="21"/>
  <c r="AW19" i="21"/>
  <c r="AW9" i="21"/>
  <c r="AW34" i="21"/>
  <c r="AW8" i="21"/>
  <c r="AW31" i="21"/>
  <c r="AX39" i="21"/>
  <c r="AY35" i="21"/>
  <c r="AY19" i="21"/>
  <c r="AZ34" i="21"/>
  <c r="AY28" i="21"/>
  <c r="AY27" i="21" s="1"/>
  <c r="AZ25" i="21"/>
  <c r="AQ282" i="20" s="1"/>
  <c r="AX17" i="21"/>
  <c r="BA37" i="21"/>
  <c r="AZ197" i="19" s="1"/>
  <c r="AY31" i="21"/>
  <c r="AY17" i="21"/>
  <c r="AY39" i="21"/>
  <c r="AY23" i="21"/>
  <c r="AX13" i="21"/>
  <c r="AO275" i="20" s="1"/>
  <c r="AY34" i="21"/>
  <c r="AY44" i="21"/>
  <c r="BC9" i="21"/>
  <c r="BB25" i="21"/>
  <c r="BB13" i="21"/>
  <c r="BA9" i="21"/>
  <c r="AZ20" i="21"/>
  <c r="AZ19" i="21"/>
  <c r="AZ30" i="21"/>
  <c r="AQ285" i="20" s="1"/>
  <c r="AZ8" i="21"/>
  <c r="AZ15" i="21"/>
  <c r="BA8" i="21"/>
  <c r="BA39" i="21"/>
  <c r="AZ18" i="21"/>
  <c r="AQ278" i="20" s="1"/>
  <c r="AZ40" i="21"/>
  <c r="AQ289" i="20" s="1"/>
  <c r="BA36" i="21"/>
  <c r="AZ73" i="19" s="1"/>
  <c r="AZ9" i="21"/>
  <c r="AY13" i="21"/>
  <c r="AP275" i="20" s="1"/>
  <c r="AZ36" i="21"/>
  <c r="AY73" i="19" s="1"/>
  <c r="AZ24" i="21"/>
  <c r="AQ281" i="20" s="1"/>
  <c r="BA10" i="21"/>
  <c r="AZ43" i="21"/>
  <c r="AQ290" i="20" s="1"/>
  <c r="AZ42" i="21"/>
  <c r="AY72" i="19" s="1"/>
  <c r="AZ7" i="21"/>
  <c r="AQ273" i="20" s="1"/>
  <c r="AZ37" i="21"/>
  <c r="AY197" i="19" s="1"/>
  <c r="AZ28" i="21"/>
  <c r="AZ27" i="21" s="1"/>
  <c r="BA12" i="21"/>
  <c r="BA25" i="21"/>
  <c r="AZ41" i="21"/>
  <c r="AZ10" i="21"/>
  <c r="AZ21" i="21"/>
  <c r="BA20" i="21"/>
  <c r="BC35" i="21"/>
  <c r="AZ11" i="21"/>
  <c r="AZ12" i="21"/>
  <c r="AZ35" i="21"/>
  <c r="AZ23" i="21"/>
  <c r="AZ13" i="21"/>
  <c r="AQ275" i="20" s="1"/>
  <c r="AZ22" i="21"/>
  <c r="BB20" i="21"/>
  <c r="AZ31" i="21"/>
  <c r="BA24" i="21"/>
  <c r="AZ17" i="21"/>
  <c r="BA41" i="21"/>
  <c r="AZ44" i="21"/>
  <c r="AZ39" i="21"/>
  <c r="BB31" i="21"/>
  <c r="BB42" i="21"/>
  <c r="BA72" i="19" s="1"/>
  <c r="BA28" i="21"/>
  <c r="BA27" i="21" s="1"/>
  <c r="BC36" i="21"/>
  <c r="BB73" i="19" s="1"/>
  <c r="BA19" i="21"/>
  <c r="L24" i="21"/>
  <c r="BB18" i="21"/>
  <c r="BB11" i="21"/>
  <c r="BB9" i="21"/>
  <c r="BC22" i="21"/>
  <c r="BC12" i="21"/>
  <c r="BA17" i="21"/>
  <c r="BB34" i="21"/>
  <c r="BB37" i="21"/>
  <c r="BA197" i="19" s="1"/>
  <c r="BC18" i="21"/>
  <c r="BB30" i="21"/>
  <c r="M24" i="21"/>
  <c r="BB10" i="21"/>
  <c r="BA42" i="21"/>
  <c r="AZ72" i="19" s="1"/>
  <c r="BA15" i="21"/>
  <c r="BA34" i="21"/>
  <c r="BA35" i="21"/>
  <c r="BB21" i="21"/>
  <c r="BC15" i="21"/>
  <c r="BC41" i="21"/>
  <c r="BB12" i="21"/>
  <c r="BC17" i="21"/>
  <c r="BA13" i="21"/>
  <c r="BA40" i="21"/>
  <c r="BB28" i="21"/>
  <c r="BB27" i="21" s="1"/>
  <c r="BC19" i="21"/>
  <c r="BB15" i="21"/>
  <c r="BC37" i="21"/>
  <c r="BB197" i="19" s="1"/>
  <c r="BB44" i="21"/>
  <c r="BA21" i="21"/>
  <c r="BA18" i="21"/>
  <c r="BC44" i="21"/>
  <c r="BB40" i="21"/>
  <c r="BB19" i="21"/>
  <c r="BA30" i="21"/>
  <c r="BA11" i="21"/>
  <c r="BB8" i="21"/>
  <c r="BB39" i="21"/>
  <c r="BA22" i="21"/>
  <c r="BC39" i="21"/>
  <c r="BB22" i="21"/>
  <c r="BC28" i="21"/>
  <c r="BC27" i="21" s="1"/>
  <c r="BB17" i="21"/>
  <c r="BB41" i="21"/>
  <c r="BC34" i="21"/>
  <c r="BA43" i="21"/>
  <c r="BB43" i="21"/>
  <c r="BC13" i="21"/>
  <c r="BC42" i="21"/>
  <c r="BB72" i="19" s="1"/>
  <c r="BC30" i="21"/>
  <c r="BB24" i="21"/>
  <c r="BC31" i="21"/>
  <c r="BC24" i="21"/>
  <c r="BA44" i="21"/>
  <c r="BB7" i="21"/>
  <c r="BA31" i="21"/>
  <c r="BA7" i="21"/>
  <c r="BA23" i="21"/>
  <c r="BB35" i="21"/>
  <c r="BB23" i="21"/>
  <c r="BC8" i="21"/>
  <c r="BC43" i="21"/>
  <c r="BC10" i="21"/>
  <c r="BB36" i="21"/>
  <c r="BA73" i="19" s="1"/>
  <c r="BC25" i="21"/>
  <c r="BC7" i="21"/>
  <c r="BC20" i="21"/>
  <c r="BC11" i="21"/>
  <c r="BC40" i="21"/>
  <c r="BC21" i="21"/>
  <c r="BC23" i="21"/>
  <c r="FP33" i="16"/>
  <c r="FP22" i="16"/>
  <c r="FP4" i="16"/>
  <c r="FP3" i="16"/>
  <c r="FQ8" i="16"/>
  <c r="FI44" i="16"/>
  <c r="FI12" i="16" s="1"/>
  <c r="FY10" i="18" s="1"/>
  <c r="FI43" i="16"/>
  <c r="FI11" i="16" s="1"/>
  <c r="FY9" i="18" s="1"/>
  <c r="FP10" i="23"/>
  <c r="FO3" i="23"/>
  <c r="FN12" i="23"/>
  <c r="F35" i="18"/>
  <c r="FP93" i="16"/>
  <c r="FK50" i="16"/>
  <c r="FO3" i="11"/>
  <c r="FP8" i="11"/>
  <c r="FO10" i="11"/>
  <c r="FR80" i="12"/>
  <c r="FQ96" i="12"/>
  <c r="FO87" i="16"/>
  <c r="FN78" i="12"/>
  <c r="FN94" i="12"/>
  <c r="FN90" i="12"/>
  <c r="FN82" i="12"/>
  <c r="FN6" i="23"/>
  <c r="FR5" i="16"/>
  <c r="FO53" i="13"/>
  <c r="FO44" i="12"/>
  <c r="FP81" i="23"/>
  <c r="FP70" i="12"/>
  <c r="FY92" i="12"/>
  <c r="FR88" i="12"/>
  <c r="FP4" i="12"/>
  <c r="FO3" i="12"/>
  <c r="FO25" i="12"/>
  <c r="F25" i="12" s="1"/>
  <c r="F22" i="12" s="1"/>
  <c r="BC49" i="21" l="1"/>
  <c r="BC50" i="21"/>
  <c r="BC48" i="21"/>
  <c r="BA49" i="21"/>
  <c r="BA50" i="21"/>
  <c r="BA48" i="21"/>
  <c r="AZ48" i="21"/>
  <c r="AZ49" i="21"/>
  <c r="AZ50" i="21"/>
  <c r="BB49" i="21"/>
  <c r="BB50" i="21"/>
  <c r="BB48" i="21"/>
  <c r="AQ277" i="20"/>
  <c r="F281" i="20"/>
  <c r="F111" i="20"/>
  <c r="GP27" i="37"/>
  <c r="ED48" i="37"/>
  <c r="DF40" i="12"/>
  <c r="DU41" i="18" s="1"/>
  <c r="DG8" i="12"/>
  <c r="FR202" i="37"/>
  <c r="EF21" i="12"/>
  <c r="EF20" i="12"/>
  <c r="EG18" i="12" s="1"/>
  <c r="FR134" i="37"/>
  <c r="EE47" i="37"/>
  <c r="EE48" i="37" s="1"/>
  <c r="GQ26" i="37"/>
  <c r="GQ27" i="37" s="1"/>
  <c r="FN5" i="23"/>
  <c r="FN92" i="23" s="1"/>
  <c r="BB51" i="21"/>
  <c r="BB52" i="21"/>
  <c r="BC51" i="21"/>
  <c r="BC52" i="21"/>
  <c r="BA51" i="21"/>
  <c r="BA52" i="21"/>
  <c r="FL11" i="11"/>
  <c r="FL18" i="15"/>
  <c r="FL54" i="13"/>
  <c r="AZ52" i="21"/>
  <c r="AZ51" i="21"/>
  <c r="FK39" i="13"/>
  <c r="FK38" i="13"/>
  <c r="FK37" i="13"/>
  <c r="FK44" i="13"/>
  <c r="FK46" i="13"/>
  <c r="FK45" i="13" s="1"/>
  <c r="FJ47" i="16" s="1"/>
  <c r="FJ15" i="16" s="1"/>
  <c r="FZ13" i="18" s="1"/>
  <c r="AX12" i="21" s="1"/>
  <c r="FP42" i="13"/>
  <c r="FJ41" i="13"/>
  <c r="FY12" i="18" s="1"/>
  <c r="FP4" i="15"/>
  <c r="FO3" i="15"/>
  <c r="AQ280" i="20"/>
  <c r="R289" i="20"/>
  <c r="E318" i="20" s="1"/>
  <c r="S289" i="20"/>
  <c r="F318" i="20" s="1"/>
  <c r="T289" i="20"/>
  <c r="G318" i="20" s="1"/>
  <c r="AQ279" i="20"/>
  <c r="W289" i="20"/>
  <c r="J318" i="20" s="1"/>
  <c r="U289" i="20"/>
  <c r="H318" i="20" s="1"/>
  <c r="Q289" i="20"/>
  <c r="D318" i="20" s="1"/>
  <c r="Y289" i="20"/>
  <c r="L318" i="20" s="1"/>
  <c r="L29" i="21"/>
  <c r="L26" i="21" s="1"/>
  <c r="AZ38" i="21"/>
  <c r="AQ288" i="20" s="1"/>
  <c r="J29" i="21"/>
  <c r="J26" i="21" s="1"/>
  <c r="G29" i="21"/>
  <c r="G26" i="21" s="1"/>
  <c r="H6" i="21"/>
  <c r="BB29" i="21"/>
  <c r="BB26" i="21" s="1"/>
  <c r="G6" i="21"/>
  <c r="BA29" i="21"/>
  <c r="BA26" i="21" s="1"/>
  <c r="FQ34" i="13"/>
  <c r="FQ33" i="13" s="1"/>
  <c r="FQ47" i="13" s="1"/>
  <c r="K29" i="21"/>
  <c r="K26" i="21" s="1"/>
  <c r="FO16" i="12"/>
  <c r="F16" i="12" s="1"/>
  <c r="FO15" i="12"/>
  <c r="F15" i="12" s="1"/>
  <c r="F12" i="12" s="1"/>
  <c r="FM31" i="12"/>
  <c r="FM30" i="12"/>
  <c r="FN28" i="12" s="1"/>
  <c r="AZ6" i="21"/>
  <c r="AQ272" i="20" s="1"/>
  <c r="AQ274" i="20" s="1"/>
  <c r="AZ33" i="21"/>
  <c r="AQ287" i="20" s="1"/>
  <c r="AY190" i="19"/>
  <c r="N329" i="20"/>
  <c r="L329" i="20"/>
  <c r="AC190" i="19"/>
  <c r="Z190" i="19"/>
  <c r="E304" i="20"/>
  <c r="W190" i="19"/>
  <c r="J6" i="21"/>
  <c r="H14" i="21"/>
  <c r="N190" i="19"/>
  <c r="J190" i="19"/>
  <c r="J192" i="19" s="1"/>
  <c r="K189" i="19" s="1"/>
  <c r="F35" i="21"/>
  <c r="FN62" i="16"/>
  <c r="N24" i="21"/>
  <c r="F110" i="20" s="1"/>
  <c r="F12" i="23"/>
  <c r="BA6" i="21"/>
  <c r="AZ29" i="21"/>
  <c r="AT190" i="19"/>
  <c r="AS190" i="19"/>
  <c r="AQ190" i="19"/>
  <c r="AN190" i="19"/>
  <c r="K304" i="20"/>
  <c r="AE190" i="19"/>
  <c r="Y190" i="19"/>
  <c r="D304" i="20"/>
  <c r="R190" i="19"/>
  <c r="N29" i="21"/>
  <c r="K6" i="21"/>
  <c r="M190" i="19"/>
  <c r="FO78" i="12"/>
  <c r="F78" i="12" s="1"/>
  <c r="FO94" i="12"/>
  <c r="F94" i="12" s="1"/>
  <c r="FO90" i="12"/>
  <c r="F90" i="12" s="1"/>
  <c r="FO82" i="12"/>
  <c r="F82" i="12" s="1"/>
  <c r="FS80" i="12"/>
  <c r="FR96" i="12"/>
  <c r="FQ70" i="12"/>
  <c r="FN7" i="15"/>
  <c r="FO6" i="23"/>
  <c r="FO5" i="23" s="1"/>
  <c r="FO92" i="23" s="1"/>
  <c r="FS5" i="16"/>
  <c r="FP53" i="13"/>
  <c r="FP44" i="12"/>
  <c r="I304" i="20"/>
  <c r="O304" i="20"/>
  <c r="D329" i="20"/>
  <c r="K329" i="20"/>
  <c r="BC38" i="21"/>
  <c r="BA33" i="21"/>
  <c r="AZ190" i="19"/>
  <c r="BB33" i="21"/>
  <c r="BA190" i="19"/>
  <c r="AR190" i="19"/>
  <c r="J329" i="20"/>
  <c r="I329" i="20"/>
  <c r="AK190" i="19"/>
  <c r="P304" i="20"/>
  <c r="M304" i="20"/>
  <c r="AG190" i="19"/>
  <c r="G304" i="20"/>
  <c r="G14" i="21"/>
  <c r="F17" i="21"/>
  <c r="BC29" i="21"/>
  <c r="BB6" i="21"/>
  <c r="BA53" i="21"/>
  <c r="BA14" i="21"/>
  <c r="AX190" i="19"/>
  <c r="N304" i="20"/>
  <c r="AJ190" i="19"/>
  <c r="AD190" i="19"/>
  <c r="AA190" i="19"/>
  <c r="J14" i="21"/>
  <c r="F23" i="21"/>
  <c r="BC6" i="21"/>
  <c r="FQ4" i="12"/>
  <c r="FP3" i="12"/>
  <c r="FQ8" i="11"/>
  <c r="FP10" i="11"/>
  <c r="FP3" i="11"/>
  <c r="FQ81" i="23"/>
  <c r="FO88" i="16"/>
  <c r="FO89" i="16"/>
  <c r="FO90" i="16" s="1"/>
  <c r="FP87" i="16"/>
  <c r="FP3" i="23"/>
  <c r="FQ10" i="23"/>
  <c r="AX40" i="22"/>
  <c r="BB38" i="21"/>
  <c r="BA38" i="21"/>
  <c r="AV190" i="19"/>
  <c r="AI190" i="19"/>
  <c r="AF190" i="19"/>
  <c r="AH190" i="19"/>
  <c r="F304" i="20"/>
  <c r="AB190" i="19"/>
  <c r="H33" i="21"/>
  <c r="I14" i="21"/>
  <c r="F28" i="21"/>
  <c r="M27" i="21"/>
  <c r="FO36" i="12"/>
  <c r="F36" i="12" s="1"/>
  <c r="FP33" i="12"/>
  <c r="FP35" i="12" s="1"/>
  <c r="FS88" i="12"/>
  <c r="M329" i="20"/>
  <c r="AW190" i="19"/>
  <c r="AO190" i="19"/>
  <c r="F329" i="20"/>
  <c r="L304" i="20"/>
  <c r="H304" i="20"/>
  <c r="X190" i="19"/>
  <c r="V190" i="19"/>
  <c r="P190" i="19"/>
  <c r="I33" i="21"/>
  <c r="I6" i="21"/>
  <c r="J38" i="21"/>
  <c r="G38" i="21"/>
  <c r="M6" i="21"/>
  <c r="K190" i="19"/>
  <c r="FL50" i="16"/>
  <c r="F50" i="16" s="1"/>
  <c r="FQ93" i="16"/>
  <c r="BC33" i="21"/>
  <c r="BB190" i="19"/>
  <c r="BB192" i="19" s="1"/>
  <c r="FJ44" i="16"/>
  <c r="FJ12" i="16" s="1"/>
  <c r="FZ10" i="18" s="1"/>
  <c r="AX9" i="21" s="1"/>
  <c r="FJ43" i="16"/>
  <c r="FJ11" i="16" s="1"/>
  <c r="FZ9" i="18" s="1"/>
  <c r="AX8" i="21" s="1"/>
  <c r="FQ33" i="16"/>
  <c r="FQ22" i="16"/>
  <c r="FQ4" i="16"/>
  <c r="FQ3" i="16"/>
  <c r="FR8" i="16"/>
  <c r="P329" i="20"/>
  <c r="AZ53" i="21"/>
  <c r="AZ14" i="21"/>
  <c r="O329" i="20"/>
  <c r="H329" i="20"/>
  <c r="AM190" i="19"/>
  <c r="S190" i="19"/>
  <c r="J33" i="21"/>
  <c r="G33" i="21"/>
  <c r="M29" i="21"/>
  <c r="Q190" i="19"/>
  <c r="F34" i="21"/>
  <c r="L190" i="19"/>
  <c r="L192" i="19" s="1"/>
  <c r="M189" i="19" s="1"/>
  <c r="H29" i="21"/>
  <c r="H26" i="21" s="1"/>
  <c r="L6" i="21"/>
  <c r="I318" i="20"/>
  <c r="K318" i="20"/>
  <c r="M318" i="20"/>
  <c r="FZ92" i="12"/>
  <c r="BB53" i="21"/>
  <c r="BB14" i="21"/>
  <c r="BC53" i="21"/>
  <c r="BC14" i="21"/>
  <c r="AU190" i="19"/>
  <c r="G329" i="20"/>
  <c r="AP190" i="19"/>
  <c r="E329" i="20"/>
  <c r="AL190" i="19"/>
  <c r="J304" i="20"/>
  <c r="U190" i="19"/>
  <c r="T190" i="19"/>
  <c r="H38" i="21"/>
  <c r="I38" i="21"/>
  <c r="I29" i="21"/>
  <c r="I26" i="21" s="1"/>
  <c r="F31" i="21"/>
  <c r="N6" i="21"/>
  <c r="E272" i="20" s="1"/>
  <c r="O190" i="19"/>
  <c r="F19" i="21"/>
  <c r="F39" i="21"/>
  <c r="FP23" i="12"/>
  <c r="DE34" i="23" l="1"/>
  <c r="AJ40" i="21"/>
  <c r="AA289" i="20" s="1"/>
  <c r="N318" i="20" s="1"/>
  <c r="DG10" i="12"/>
  <c r="DG40" i="12" s="1"/>
  <c r="DV41" i="18" s="1"/>
  <c r="DF34" i="23" s="1"/>
  <c r="DG38" i="12"/>
  <c r="DH8" i="12"/>
  <c r="DF43" i="12"/>
  <c r="FS202" i="37"/>
  <c r="EG21" i="12"/>
  <c r="EG20" i="12"/>
  <c r="EH18" i="12" s="1"/>
  <c r="FS134" i="37"/>
  <c r="EF47" i="37"/>
  <c r="GR26" i="37"/>
  <c r="M192" i="19"/>
  <c r="N189" i="19" s="1"/>
  <c r="N192" i="19" s="1"/>
  <c r="O189" i="19" s="1"/>
  <c r="FM11" i="11"/>
  <c r="FM54" i="13"/>
  <c r="FM18" i="15"/>
  <c r="FQ4" i="15"/>
  <c r="FP3" i="15"/>
  <c r="FL38" i="13"/>
  <c r="FL37" i="13"/>
  <c r="FL39" i="13"/>
  <c r="FL44" i="13"/>
  <c r="FL46" i="13"/>
  <c r="FL45" i="13" s="1"/>
  <c r="FK47" i="16" s="1"/>
  <c r="FK15" i="16" s="1"/>
  <c r="GA13" i="18" s="1"/>
  <c r="FQ42" i="13"/>
  <c r="FK41" i="13"/>
  <c r="FZ12" i="18" s="1"/>
  <c r="AX11" i="21" s="1"/>
  <c r="H5" i="21"/>
  <c r="G5" i="21"/>
  <c r="AZ26" i="21"/>
  <c r="AQ283" i="20" s="1"/>
  <c r="AQ284" i="20"/>
  <c r="AY66" i="19"/>
  <c r="AQ276" i="20"/>
  <c r="E281" i="20"/>
  <c r="N26" i="21"/>
  <c r="E283" i="20" s="1"/>
  <c r="E284" i="20"/>
  <c r="G32" i="21"/>
  <c r="I32" i="21"/>
  <c r="FR34" i="13"/>
  <c r="FR33" i="13" s="1"/>
  <c r="FR47" i="13" s="1"/>
  <c r="FN31" i="12"/>
  <c r="FN30" i="12"/>
  <c r="FO28" i="12" s="1"/>
  <c r="AV39" i="22"/>
  <c r="BA234" i="19"/>
  <c r="FQ3" i="23"/>
  <c r="FR10" i="23"/>
  <c r="FR4" i="12"/>
  <c r="FQ3" i="12"/>
  <c r="FK43" i="16"/>
  <c r="FK11" i="16" s="1"/>
  <c r="GA9" i="18" s="1"/>
  <c r="FK44" i="16"/>
  <c r="FK12" i="16" s="1"/>
  <c r="GA10" i="18" s="1"/>
  <c r="FO7" i="15"/>
  <c r="FR70" i="12"/>
  <c r="BA5" i="21"/>
  <c r="AZ65" i="19"/>
  <c r="BB5" i="21"/>
  <c r="BA65" i="19"/>
  <c r="J32" i="21"/>
  <c r="BC32" i="21"/>
  <c r="F27" i="21"/>
  <c r="M26" i="21"/>
  <c r="H32" i="21"/>
  <c r="FP6" i="23"/>
  <c r="FP5" i="23" s="1"/>
  <c r="FP92" i="23" s="1"/>
  <c r="FT5" i="16"/>
  <c r="FQ53" i="13"/>
  <c r="FQ44" i="12"/>
  <c r="AU40" i="22"/>
  <c r="AZ236" i="19"/>
  <c r="FR22" i="16"/>
  <c r="FR4" i="16"/>
  <c r="FR3" i="16"/>
  <c r="FS8" i="16"/>
  <c r="FR33" i="16"/>
  <c r="AU39" i="22"/>
  <c r="AZ234" i="19"/>
  <c r="BB66" i="19"/>
  <c r="GA92" i="12"/>
  <c r="FR8" i="11"/>
  <c r="FQ3" i="11"/>
  <c r="FQ10" i="11"/>
  <c r="BC5" i="21"/>
  <c r="BB65" i="19"/>
  <c r="BB32" i="21"/>
  <c r="FP78" i="12"/>
  <c r="FP94" i="12"/>
  <c r="FP90" i="12"/>
  <c r="FP82" i="12"/>
  <c r="FP88" i="16"/>
  <c r="FP89" i="16"/>
  <c r="FP90" i="16" s="1"/>
  <c r="FQ87" i="16"/>
  <c r="BA66" i="19"/>
  <c r="O192" i="19"/>
  <c r="P189" i="19" s="1"/>
  <c r="P192" i="19" s="1"/>
  <c r="Q189" i="19" s="1"/>
  <c r="Q192" i="19" s="1"/>
  <c r="R189" i="19" s="1"/>
  <c r="R192" i="19" s="1"/>
  <c r="S189" i="19" s="1"/>
  <c r="S192" i="19" s="1"/>
  <c r="T189" i="19" s="1"/>
  <c r="T192" i="19" s="1"/>
  <c r="U189" i="19" s="1"/>
  <c r="U192" i="19" s="1"/>
  <c r="V189" i="19" s="1"/>
  <c r="V192" i="19" s="1"/>
  <c r="W189" i="19" s="1"/>
  <c r="W192" i="19" s="1"/>
  <c r="X189" i="19" s="1"/>
  <c r="X192" i="19" s="1"/>
  <c r="Y189" i="19" s="1"/>
  <c r="Y192" i="19" s="1"/>
  <c r="Z189" i="19" s="1"/>
  <c r="Z192" i="19" s="1"/>
  <c r="AA189" i="19" s="1"/>
  <c r="AA192" i="19" s="1"/>
  <c r="AB189" i="19" s="1"/>
  <c r="AB192" i="19" s="1"/>
  <c r="AC189" i="19" s="1"/>
  <c r="AC192" i="19" s="1"/>
  <c r="AD189" i="19" s="1"/>
  <c r="AD192" i="19" s="1"/>
  <c r="AE189" i="19" s="1"/>
  <c r="AE192" i="19" s="1"/>
  <c r="AF189" i="19" s="1"/>
  <c r="AF192" i="19" s="1"/>
  <c r="AG189" i="19" s="1"/>
  <c r="AG192" i="19" s="1"/>
  <c r="AH189" i="19" s="1"/>
  <c r="AH192" i="19" s="1"/>
  <c r="AI189" i="19" s="1"/>
  <c r="AI192" i="19" s="1"/>
  <c r="AJ189" i="19" s="1"/>
  <c r="AJ192" i="19" s="1"/>
  <c r="AK189" i="19" s="1"/>
  <c r="AK192" i="19" s="1"/>
  <c r="AL189" i="19" s="1"/>
  <c r="AL192" i="19" s="1"/>
  <c r="AM189" i="19" s="1"/>
  <c r="AM192" i="19" s="1"/>
  <c r="AN189" i="19" s="1"/>
  <c r="AN192" i="19" s="1"/>
  <c r="AO189" i="19" s="1"/>
  <c r="AO192" i="19" s="1"/>
  <c r="AP189" i="19" s="1"/>
  <c r="AP192" i="19" s="1"/>
  <c r="AQ189" i="19" s="1"/>
  <c r="AQ192" i="19" s="1"/>
  <c r="AR189" i="19" s="1"/>
  <c r="AR192" i="19" s="1"/>
  <c r="AS189" i="19" s="1"/>
  <c r="AS192" i="19" s="1"/>
  <c r="AT189" i="19" s="1"/>
  <c r="AT192" i="19" s="1"/>
  <c r="AU189" i="19" s="1"/>
  <c r="AU192" i="19" s="1"/>
  <c r="AV189" i="19" s="1"/>
  <c r="AV192" i="19" s="1"/>
  <c r="AW189" i="19" s="1"/>
  <c r="AW192" i="19" s="1"/>
  <c r="AX189" i="19" s="1"/>
  <c r="AX192" i="19" s="1"/>
  <c r="AY189" i="19" s="1"/>
  <c r="AY192" i="19" s="1"/>
  <c r="AZ189" i="19" s="1"/>
  <c r="AZ192" i="19" s="1"/>
  <c r="BA189" i="19" s="1"/>
  <c r="FR93" i="16"/>
  <c r="FT88" i="12"/>
  <c r="AX39" i="22"/>
  <c r="FP17" i="15"/>
  <c r="AW40" i="22"/>
  <c r="BB236" i="19"/>
  <c r="FP13" i="12"/>
  <c r="FP36" i="12"/>
  <c r="FQ33" i="12"/>
  <c r="BA32" i="21"/>
  <c r="FN25" i="16"/>
  <c r="J5" i="21"/>
  <c r="AZ32" i="21"/>
  <c r="AQ286" i="20" s="1"/>
  <c r="AW39" i="22"/>
  <c r="BB234" i="19"/>
  <c r="FP25" i="12"/>
  <c r="FQ23" i="12" s="1"/>
  <c r="AZ66" i="19"/>
  <c r="FT80" i="12"/>
  <c r="FS96" i="12"/>
  <c r="AZ5" i="21"/>
  <c r="AQ271" i="20" s="1"/>
  <c r="AY65" i="19"/>
  <c r="BC26" i="21"/>
  <c r="I5" i="21"/>
  <c r="AV40" i="22"/>
  <c r="BA236" i="19"/>
  <c r="FR81" i="23"/>
  <c r="I48" i="21" l="1"/>
  <c r="J48" i="21"/>
  <c r="G50" i="21"/>
  <c r="G49" i="21"/>
  <c r="G48" i="21"/>
  <c r="H48" i="21"/>
  <c r="GR27" i="37"/>
  <c r="BE24" i="25"/>
  <c r="BE25" i="25" s="1"/>
  <c r="EF48" i="37"/>
  <c r="EG47" i="37" s="1"/>
  <c r="DG43" i="12"/>
  <c r="DH10" i="12"/>
  <c r="DH40" i="12" s="1"/>
  <c r="DW41" i="18" s="1"/>
  <c r="DG34" i="23" s="1"/>
  <c r="DH38" i="12"/>
  <c r="DH43" i="12" s="1"/>
  <c r="DI8" i="12"/>
  <c r="FT202" i="37"/>
  <c r="EH21" i="12"/>
  <c r="EH20" i="12"/>
  <c r="EI18" i="12" s="1"/>
  <c r="FT134" i="37"/>
  <c r="GS26" i="37"/>
  <c r="GS27" i="37" s="1"/>
  <c r="H45" i="21"/>
  <c r="G45" i="21"/>
  <c r="G47" i="21" s="1"/>
  <c r="H46" i="21" s="1"/>
  <c r="H52" i="21" s="1"/>
  <c r="FN18" i="15"/>
  <c r="FN54" i="13"/>
  <c r="FN11" i="11"/>
  <c r="FR4" i="15"/>
  <c r="FQ3" i="15"/>
  <c r="FM38" i="13"/>
  <c r="FM39" i="13"/>
  <c r="FL44" i="16" s="1"/>
  <c r="FL12" i="16" s="1"/>
  <c r="GB10" i="18" s="1"/>
  <c r="FM37" i="13"/>
  <c r="FM44" i="13"/>
  <c r="FM46" i="13"/>
  <c r="FM45" i="13" s="1"/>
  <c r="FL47" i="16" s="1"/>
  <c r="FL15" i="16" s="1"/>
  <c r="GB13" i="18" s="1"/>
  <c r="FR42" i="13"/>
  <c r="FL41" i="13"/>
  <c r="GA12" i="18" s="1"/>
  <c r="I51" i="21"/>
  <c r="J51" i="21"/>
  <c r="G51" i="21"/>
  <c r="G52" i="21"/>
  <c r="H51" i="21"/>
  <c r="I45" i="21"/>
  <c r="FS34" i="13"/>
  <c r="FS33" i="13" s="1"/>
  <c r="FS47" i="13" s="1"/>
  <c r="FQ25" i="12"/>
  <c r="FR23" i="12" s="1"/>
  <c r="FO31" i="12"/>
  <c r="F31" i="12" s="1"/>
  <c r="FO30" i="12"/>
  <c r="F30" i="12" s="1"/>
  <c r="FQ88" i="16"/>
  <c r="FQ89" i="16"/>
  <c r="FQ90" i="16" s="1"/>
  <c r="FR87" i="16"/>
  <c r="FS81" i="23"/>
  <c r="FS93" i="16"/>
  <c r="FQ6" i="23"/>
  <c r="FU5" i="16"/>
  <c r="FR53" i="13"/>
  <c r="FR44" i="12"/>
  <c r="BB45" i="21"/>
  <c r="FS70" i="12"/>
  <c r="FL43" i="16"/>
  <c r="FL11" i="16" s="1"/>
  <c r="GB9" i="18" s="1"/>
  <c r="FQ78" i="12"/>
  <c r="FQ94" i="12"/>
  <c r="FQ90" i="12"/>
  <c r="FQ82" i="12"/>
  <c r="FQ17" i="15"/>
  <c r="AZ45" i="21"/>
  <c r="AQ291" i="20" s="1"/>
  <c r="FS8" i="11"/>
  <c r="FR10" i="11"/>
  <c r="FO11" i="11" s="1"/>
  <c r="FR3" i="11"/>
  <c r="FQ36" i="12"/>
  <c r="FP16" i="12"/>
  <c r="FP15" i="12"/>
  <c r="FQ13" i="12" s="1"/>
  <c r="FU80" i="12"/>
  <c r="FT96" i="12"/>
  <c r="FU88" i="12"/>
  <c r="BA45" i="21"/>
  <c r="E274" i="20"/>
  <c r="FP5" i="15"/>
  <c r="FP12" i="15"/>
  <c r="FO45" i="23" s="1"/>
  <c r="FP11" i="15"/>
  <c r="GB92" i="12"/>
  <c r="FT8" i="16"/>
  <c r="FS33" i="16"/>
  <c r="FS22" i="16"/>
  <c r="FS3" i="16"/>
  <c r="FS4" i="16"/>
  <c r="FS4" i="12"/>
  <c r="FR3" i="12"/>
  <c r="FS10" i="23"/>
  <c r="FR3" i="23"/>
  <c r="J45" i="21"/>
  <c r="BC45" i="21"/>
  <c r="FQ35" i="12"/>
  <c r="FR33" i="12" s="1"/>
  <c r="H50" i="21" l="1"/>
  <c r="H49" i="21"/>
  <c r="EG48" i="37"/>
  <c r="AO43" i="25"/>
  <c r="DI38" i="12"/>
  <c r="DI10" i="12"/>
  <c r="DI40" i="12" s="1"/>
  <c r="DX41" i="18" s="1"/>
  <c r="DH34" i="23" s="1"/>
  <c r="DJ8" i="12"/>
  <c r="FU202" i="37"/>
  <c r="EI21" i="12"/>
  <c r="EI20" i="12"/>
  <c r="EJ18" i="12" s="1"/>
  <c r="FU134" i="37"/>
  <c r="EH47" i="37"/>
  <c r="GT26" i="37"/>
  <c r="FQ5" i="23"/>
  <c r="FQ92" i="23" s="1"/>
  <c r="FR4" i="23"/>
  <c r="FR118" i="23" s="1"/>
  <c r="H47" i="21"/>
  <c r="I46" i="21" s="1"/>
  <c r="FP54" i="13"/>
  <c r="FP11" i="11"/>
  <c r="FO18" i="15"/>
  <c r="FP18" i="15" s="1"/>
  <c r="FQ18" i="15" s="1"/>
  <c r="FR18" i="15" s="1"/>
  <c r="FS18" i="15" s="1"/>
  <c r="FO54" i="13"/>
  <c r="FS4" i="15"/>
  <c r="FR3" i="15"/>
  <c r="FN39" i="13"/>
  <c r="FM44" i="16" s="1"/>
  <c r="FM12" i="16" s="1"/>
  <c r="GC10" i="18" s="1"/>
  <c r="FN38" i="13"/>
  <c r="FM43" i="16" s="1"/>
  <c r="FM11" i="16" s="1"/>
  <c r="GC9" i="18" s="1"/>
  <c r="FN37" i="13"/>
  <c r="FN44" i="13"/>
  <c r="FN46" i="13"/>
  <c r="FN45" i="13" s="1"/>
  <c r="FM47" i="16" s="1"/>
  <c r="FM15" i="16" s="1"/>
  <c r="GC13" i="18" s="1"/>
  <c r="FS42" i="13"/>
  <c r="GB12" i="18"/>
  <c r="FM41" i="13"/>
  <c r="FT34" i="13"/>
  <c r="FT33" i="13" s="1"/>
  <c r="FT47" i="13" s="1"/>
  <c r="FR36" i="12"/>
  <c r="FR35" i="12"/>
  <c r="FS33" i="12" s="1"/>
  <c r="FR25" i="12"/>
  <c r="FS23" i="12" s="1"/>
  <c r="FT4" i="12"/>
  <c r="FS3" i="12"/>
  <c r="FQ16" i="12"/>
  <c r="FQ15" i="12"/>
  <c r="FR13" i="12" s="1"/>
  <c r="FR6" i="23"/>
  <c r="FS53" i="13"/>
  <c r="FS44" i="12"/>
  <c r="FV5" i="16"/>
  <c r="FS10" i="11"/>
  <c r="FS3" i="11"/>
  <c r="FT8" i="11"/>
  <c r="FT10" i="23"/>
  <c r="FS3" i="23"/>
  <c r="E294" i="20"/>
  <c r="FV80" i="12"/>
  <c r="FU96" i="12"/>
  <c r="FT93" i="16"/>
  <c r="FT81" i="23"/>
  <c r="FO44" i="23"/>
  <c r="FP10" i="15"/>
  <c r="FR78" i="12"/>
  <c r="FR94" i="12"/>
  <c r="FR82" i="12"/>
  <c r="FR90" i="12"/>
  <c r="FS87" i="16"/>
  <c r="FR17" i="15"/>
  <c r="FT70" i="12"/>
  <c r="FU8" i="16"/>
  <c r="FT33" i="16"/>
  <c r="FT22" i="16"/>
  <c r="FT3" i="16"/>
  <c r="FT4" i="16"/>
  <c r="GC92" i="12"/>
  <c r="FQ5" i="15"/>
  <c r="FQ12" i="15"/>
  <c r="FP45" i="23" s="1"/>
  <c r="FQ11" i="15"/>
  <c r="FV88" i="12"/>
  <c r="FP28" i="12"/>
  <c r="I50" i="21" l="1"/>
  <c r="I49" i="21"/>
  <c r="I52" i="21"/>
  <c r="GT27" i="37"/>
  <c r="EH48" i="37"/>
  <c r="DJ38" i="12"/>
  <c r="DJ10" i="12"/>
  <c r="DI43" i="12"/>
  <c r="FV202" i="37"/>
  <c r="EJ21" i="12"/>
  <c r="EJ20" i="12"/>
  <c r="EK18" i="12" s="1"/>
  <c r="FV134" i="37"/>
  <c r="EI47" i="37"/>
  <c r="EI48" i="37" s="1"/>
  <c r="GU26" i="37"/>
  <c r="GU27" i="37" s="1"/>
  <c r="FR5" i="23"/>
  <c r="FR92" i="23" s="1"/>
  <c r="I47" i="21"/>
  <c r="J46" i="21" s="1"/>
  <c r="FQ54" i="13"/>
  <c r="FQ11" i="11"/>
  <c r="FT4" i="15"/>
  <c r="FS3" i="15"/>
  <c r="FO38" i="13"/>
  <c r="FN43" i="16" s="1"/>
  <c r="FN11" i="16" s="1"/>
  <c r="GD9" i="18" s="1"/>
  <c r="F9" i="18" s="1"/>
  <c r="FO39" i="13"/>
  <c r="FO37" i="13"/>
  <c r="FO44" i="13"/>
  <c r="FO46" i="13"/>
  <c r="FO45" i="13" s="1"/>
  <c r="FN47" i="16" s="1"/>
  <c r="FN15" i="16" s="1"/>
  <c r="GD13" i="18" s="1"/>
  <c r="F13" i="18" s="1"/>
  <c r="FT42" i="13"/>
  <c r="FN41" i="13"/>
  <c r="GC12" i="18" s="1"/>
  <c r="FU34" i="13"/>
  <c r="FU33" i="13" s="1"/>
  <c r="FU47" i="13" s="1"/>
  <c r="FS25" i="12"/>
  <c r="FT23" i="12" s="1"/>
  <c r="FS36" i="12"/>
  <c r="FS35" i="12"/>
  <c r="FT33" i="12" s="1"/>
  <c r="FP31" i="12"/>
  <c r="FP30" i="12"/>
  <c r="FQ28" i="12" s="1"/>
  <c r="FS17" i="15"/>
  <c r="FU33" i="16"/>
  <c r="FU22" i="16"/>
  <c r="FU4" i="16"/>
  <c r="FU3" i="16"/>
  <c r="FV8" i="16"/>
  <c r="FS6" i="23"/>
  <c r="FS5" i="23" s="1"/>
  <c r="FS92" i="23" s="1"/>
  <c r="FT53" i="13"/>
  <c r="FW5" i="16"/>
  <c r="FT44" i="12"/>
  <c r="FU81" i="23"/>
  <c r="FT10" i="11"/>
  <c r="FT3" i="11"/>
  <c r="FU8" i="11"/>
  <c r="FS78" i="12"/>
  <c r="FS94" i="12"/>
  <c r="FS82" i="12"/>
  <c r="FS90" i="12"/>
  <c r="FU10" i="23"/>
  <c r="FT3" i="23"/>
  <c r="FR12" i="15"/>
  <c r="FQ45" i="23" s="1"/>
  <c r="FR11" i="15"/>
  <c r="FR5" i="15"/>
  <c r="GD92" i="12"/>
  <c r="FS89" i="16"/>
  <c r="FS90" i="16" s="1"/>
  <c r="FT87" i="16"/>
  <c r="FS88" i="16"/>
  <c r="FU4" i="12"/>
  <c r="FT3" i="12"/>
  <c r="FU70" i="12"/>
  <c r="FU93" i="16"/>
  <c r="FW88" i="12"/>
  <c r="FN44" i="16"/>
  <c r="FN12" i="16" s="1"/>
  <c r="GD10" i="18" s="1"/>
  <c r="F10" i="18" s="1"/>
  <c r="FW80" i="12"/>
  <c r="FV96" i="12"/>
  <c r="FP44" i="23"/>
  <c r="FQ10" i="15"/>
  <c r="FR16" i="12"/>
  <c r="FR15" i="12"/>
  <c r="FS13" i="12" s="1"/>
  <c r="J49" i="21" l="1"/>
  <c r="J50" i="21"/>
  <c r="DJ40" i="12"/>
  <c r="DY41" i="18" s="1"/>
  <c r="DK8" i="12"/>
  <c r="FW202" i="37"/>
  <c r="EK21" i="12"/>
  <c r="EK20" i="12"/>
  <c r="EL18" i="12" s="1"/>
  <c r="FW134" i="37"/>
  <c r="EJ47" i="37"/>
  <c r="GV26" i="37"/>
  <c r="AY12" i="21"/>
  <c r="F12" i="21" s="1"/>
  <c r="J47" i="21"/>
  <c r="K46" i="21" s="1"/>
  <c r="W49" i="18" s="1"/>
  <c r="G11" i="23" s="1"/>
  <c r="J52" i="21"/>
  <c r="FR54" i="13"/>
  <c r="FR11" i="11"/>
  <c r="FS54" i="13" s="1"/>
  <c r="FU4" i="15"/>
  <c r="FT3" i="15"/>
  <c r="FP37" i="13"/>
  <c r="FP40" i="13"/>
  <c r="FO45" i="16" s="1"/>
  <c r="FO13" i="16" s="1"/>
  <c r="FP38" i="13"/>
  <c r="FO43" i="16" s="1"/>
  <c r="FO11" i="16" s="1"/>
  <c r="FP39" i="13"/>
  <c r="FO44" i="16" s="1"/>
  <c r="FO12" i="16" s="1"/>
  <c r="FP36" i="13"/>
  <c r="FP44" i="13"/>
  <c r="FP41" i="13" s="1"/>
  <c r="FP46" i="13"/>
  <c r="FP45" i="13" s="1"/>
  <c r="FO47" i="16" s="1"/>
  <c r="FO15" i="16" s="1"/>
  <c r="FU42" i="13"/>
  <c r="FO41" i="13"/>
  <c r="GD12" i="18" s="1"/>
  <c r="FV34" i="13"/>
  <c r="FV33" i="13" s="1"/>
  <c r="FV47" i="13" s="1"/>
  <c r="FT36" i="12"/>
  <c r="FT35" i="12"/>
  <c r="FU33" i="12" s="1"/>
  <c r="FS16" i="12"/>
  <c r="FS15" i="12"/>
  <c r="FT13" i="12" s="1"/>
  <c r="FQ31" i="12"/>
  <c r="FQ30" i="12"/>
  <c r="FR28" i="12" s="1"/>
  <c r="FT25" i="12"/>
  <c r="FU23" i="12" s="1"/>
  <c r="FV93" i="16"/>
  <c r="FT78" i="12"/>
  <c r="FT94" i="12"/>
  <c r="FT90" i="12"/>
  <c r="FT82" i="12"/>
  <c r="FV33" i="16"/>
  <c r="FV22" i="16"/>
  <c r="FV4" i="16"/>
  <c r="FV3" i="16"/>
  <c r="FW8" i="16"/>
  <c r="FS5" i="15"/>
  <c r="FS12" i="15"/>
  <c r="FR45" i="23" s="1"/>
  <c r="FS11" i="15"/>
  <c r="FQ44" i="23"/>
  <c r="FR10" i="15"/>
  <c r="FT17" i="15"/>
  <c r="FX88" i="12"/>
  <c r="FX80" i="12"/>
  <c r="FW96" i="12"/>
  <c r="FV10" i="23"/>
  <c r="FU3" i="23"/>
  <c r="FT6" i="23"/>
  <c r="FT5" i="23" s="1"/>
  <c r="FT92" i="23" s="1"/>
  <c r="FX5" i="16"/>
  <c r="FU53" i="13"/>
  <c r="FU44" i="12"/>
  <c r="FP7" i="15"/>
  <c r="FV4" i="12"/>
  <c r="FU3" i="12"/>
  <c r="FU10" i="11"/>
  <c r="FU3" i="11"/>
  <c r="FV8" i="11"/>
  <c r="FV70" i="12"/>
  <c r="FT89" i="16"/>
  <c r="FT90" i="16" s="1"/>
  <c r="FU87" i="16"/>
  <c r="FT88" i="16"/>
  <c r="AY8" i="21"/>
  <c r="F8" i="21" s="1"/>
  <c r="AY9" i="21"/>
  <c r="F9" i="21" s="1"/>
  <c r="GE92" i="12"/>
  <c r="FV81" i="23"/>
  <c r="DJ43" i="12" l="1"/>
  <c r="EJ48" i="37"/>
  <c r="AP43" i="25"/>
  <c r="GV27" i="37"/>
  <c r="BF24" i="25"/>
  <c r="BF25" i="25" s="1"/>
  <c r="DI34" i="23"/>
  <c r="AK40" i="21"/>
  <c r="AB289" i="20" s="1"/>
  <c r="O318" i="20" s="1"/>
  <c r="DK38" i="12"/>
  <c r="DK10" i="12"/>
  <c r="DK40" i="12" s="1"/>
  <c r="DZ41" i="18" s="1"/>
  <c r="DJ34" i="23" s="1"/>
  <c r="FX202" i="37"/>
  <c r="EL21" i="12"/>
  <c r="EL20" i="12"/>
  <c r="EM18" i="12" s="1"/>
  <c r="FX134" i="37"/>
  <c r="EK47" i="37"/>
  <c r="EK48" i="37" s="1"/>
  <c r="GW26" i="37"/>
  <c r="GW27" i="37" s="1"/>
  <c r="F12" i="18"/>
  <c r="AY11" i="21"/>
  <c r="F11" i="21" s="1"/>
  <c r="FV4" i="15"/>
  <c r="FU3" i="15"/>
  <c r="FQ39" i="13"/>
  <c r="FQ38" i="13"/>
  <c r="FP43" i="16" s="1"/>
  <c r="FP11" i="16" s="1"/>
  <c r="FQ40" i="13"/>
  <c r="FQ37" i="13"/>
  <c r="FQ36" i="13"/>
  <c r="FQ44" i="13"/>
  <c r="FQ41" i="13" s="1"/>
  <c r="FQ46" i="13"/>
  <c r="FQ45" i="13" s="1"/>
  <c r="FP47" i="16" s="1"/>
  <c r="FP15" i="16" s="1"/>
  <c r="FV42" i="13"/>
  <c r="FP35" i="13"/>
  <c r="FP48" i="13" s="1"/>
  <c r="FW34" i="13"/>
  <c r="FW33" i="13" s="1"/>
  <c r="FW47" i="13" s="1"/>
  <c r="FT16" i="12"/>
  <c r="FT15" i="12"/>
  <c r="FU13" i="12" s="1"/>
  <c r="FU36" i="12"/>
  <c r="FU35" i="12"/>
  <c r="FV33" i="12" s="1"/>
  <c r="FU25" i="12"/>
  <c r="FV23" i="12" s="1"/>
  <c r="FV10" i="11"/>
  <c r="FS11" i="11" s="1"/>
  <c r="FV3" i="11"/>
  <c r="FW8" i="11"/>
  <c r="FR31" i="12"/>
  <c r="FR30" i="12"/>
  <c r="FS28" i="12" s="1"/>
  <c r="FY88" i="12"/>
  <c r="FR44" i="23"/>
  <c r="FS10" i="15"/>
  <c r="FW93" i="16"/>
  <c r="FO42" i="16"/>
  <c r="FU6" i="23"/>
  <c r="FY5" i="16"/>
  <c r="FV53" i="13"/>
  <c r="FV44" i="12"/>
  <c r="FW10" i="23"/>
  <c r="FV3" i="23"/>
  <c r="FW4" i="12"/>
  <c r="FV3" i="12"/>
  <c r="FW70" i="12"/>
  <c r="FQ7" i="15"/>
  <c r="FP44" i="16"/>
  <c r="FP12" i="16" s="1"/>
  <c r="FP45" i="16"/>
  <c r="FP13" i="16" s="1"/>
  <c r="FU78" i="12"/>
  <c r="FU94" i="12"/>
  <c r="FU82" i="12"/>
  <c r="FU90" i="12"/>
  <c r="FW33" i="16"/>
  <c r="FW22" i="16"/>
  <c r="FW4" i="16"/>
  <c r="FW3" i="16"/>
  <c r="FX8" i="16"/>
  <c r="FT12" i="15"/>
  <c r="FS45" i="23" s="1"/>
  <c r="FT5" i="15"/>
  <c r="FW81" i="23"/>
  <c r="FU89" i="16"/>
  <c r="FU90" i="16" s="1"/>
  <c r="FV87" i="16"/>
  <c r="FU88" i="16"/>
  <c r="FU17" i="15"/>
  <c r="FY80" i="12"/>
  <c r="FX96" i="12"/>
  <c r="DL8" i="12" l="1"/>
  <c r="DK43" i="12"/>
  <c r="FY202" i="37"/>
  <c r="EM21" i="12"/>
  <c r="EM20" i="12"/>
  <c r="EN18" i="12" s="1"/>
  <c r="FY134" i="37"/>
  <c r="EL47" i="37"/>
  <c r="GX26" i="37"/>
  <c r="FU5" i="23"/>
  <c r="FU92" i="23" s="1"/>
  <c r="FV4" i="23"/>
  <c r="FV118" i="23" s="1"/>
  <c r="FT11" i="11"/>
  <c r="FT54" i="13"/>
  <c r="FW4" i="15"/>
  <c r="FV3" i="15"/>
  <c r="FR36" i="13"/>
  <c r="FR37" i="13"/>
  <c r="FR39" i="13"/>
  <c r="FQ44" i="16" s="1"/>
  <c r="FQ12" i="16" s="1"/>
  <c r="FR38" i="13"/>
  <c r="FR40" i="13"/>
  <c r="FR44" i="13"/>
  <c r="FR41" i="13" s="1"/>
  <c r="FR46" i="13"/>
  <c r="FR45" i="13" s="1"/>
  <c r="FQ47" i="16" s="1"/>
  <c r="FQ15" i="16" s="1"/>
  <c r="FW42" i="13"/>
  <c r="FQ35" i="13"/>
  <c r="FQ48" i="13" s="1"/>
  <c r="FX34" i="13"/>
  <c r="FX33" i="13" s="1"/>
  <c r="FX47" i="13" s="1"/>
  <c r="FV25" i="12"/>
  <c r="FW23" i="12" s="1"/>
  <c r="FV36" i="12"/>
  <c r="FV35" i="12"/>
  <c r="FW33" i="12" s="1"/>
  <c r="FU16" i="12"/>
  <c r="FU15" i="12"/>
  <c r="FV13" i="12" s="1"/>
  <c r="FS31" i="12"/>
  <c r="FS30" i="12"/>
  <c r="FT28" i="12" s="1"/>
  <c r="FX93" i="16"/>
  <c r="FZ88" i="12"/>
  <c r="FO49" i="16"/>
  <c r="FO10" i="16"/>
  <c r="FO9" i="16" s="1"/>
  <c r="FX33" i="16"/>
  <c r="FX22" i="16"/>
  <c r="FX4" i="16"/>
  <c r="FX3" i="16"/>
  <c r="FY8" i="16"/>
  <c r="FX70" i="12"/>
  <c r="FV78" i="12"/>
  <c r="FV94" i="12"/>
  <c r="FV82" i="12"/>
  <c r="FV90" i="12"/>
  <c r="FU12" i="15"/>
  <c r="FT45" i="23" s="1"/>
  <c r="FU5" i="15"/>
  <c r="FW87" i="16"/>
  <c r="FV17" i="15"/>
  <c r="FW3" i="11"/>
  <c r="FX8" i="11"/>
  <c r="FW10" i="11"/>
  <c r="FZ80" i="12"/>
  <c r="FY96" i="12"/>
  <c r="FQ43" i="16"/>
  <c r="FQ11" i="16" s="1"/>
  <c r="FQ45" i="16"/>
  <c r="FQ13" i="16" s="1"/>
  <c r="FX4" i="12"/>
  <c r="FW3" i="12"/>
  <c r="FX81" i="23"/>
  <c r="FR7" i="15"/>
  <c r="FX10" i="23"/>
  <c r="FW3" i="23"/>
  <c r="FV6" i="23"/>
  <c r="FZ5" i="16"/>
  <c r="FW53" i="13"/>
  <c r="FW44" i="12"/>
  <c r="GX27" i="37" l="1"/>
  <c r="EL48" i="37"/>
  <c r="DL38" i="12"/>
  <c r="DL10" i="12"/>
  <c r="DL40" i="12" s="1"/>
  <c r="EA41" i="18" s="1"/>
  <c r="DK34" i="23" s="1"/>
  <c r="DM8" i="12"/>
  <c r="FZ202" i="37"/>
  <c r="EN21" i="12"/>
  <c r="EN20" i="12"/>
  <c r="EO18" i="12" s="1"/>
  <c r="FZ134" i="37"/>
  <c r="EM47" i="37"/>
  <c r="EM48" i="37" s="1"/>
  <c r="GY26" i="37"/>
  <c r="GY27" i="37" s="1"/>
  <c r="FP42" i="16"/>
  <c r="FV5" i="23"/>
  <c r="FV92" i="23" s="1"/>
  <c r="FU54" i="13"/>
  <c r="FU11" i="11"/>
  <c r="FX4" i="15"/>
  <c r="FW3" i="15"/>
  <c r="FS36" i="13"/>
  <c r="FS40" i="13"/>
  <c r="FR45" i="16" s="1"/>
  <c r="FR13" i="16" s="1"/>
  <c r="FS39" i="13"/>
  <c r="FS38" i="13"/>
  <c r="FR43" i="16" s="1"/>
  <c r="FR11" i="16" s="1"/>
  <c r="FS37" i="13"/>
  <c r="FS44" i="13"/>
  <c r="FS41" i="13" s="1"/>
  <c r="FS46" i="13"/>
  <c r="FS45" i="13" s="1"/>
  <c r="FR47" i="16" s="1"/>
  <c r="FR15" i="16" s="1"/>
  <c r="FX42" i="13"/>
  <c r="FR35" i="13"/>
  <c r="FR48" i="13" s="1"/>
  <c r="FY34" i="13"/>
  <c r="FY33" i="13" s="1"/>
  <c r="FY47" i="13" s="1"/>
  <c r="FT31" i="12"/>
  <c r="FT30" i="12"/>
  <c r="FU28" i="12" s="1"/>
  <c r="FV16" i="12"/>
  <c r="FV15" i="12"/>
  <c r="FW13" i="12" s="1"/>
  <c r="FW36" i="12"/>
  <c r="FW35" i="12"/>
  <c r="FX33" i="12" s="1"/>
  <c r="FW25" i="12"/>
  <c r="FX23" i="12" s="1"/>
  <c r="FQ42" i="16"/>
  <c r="FW78" i="12"/>
  <c r="FW94" i="12"/>
  <c r="FW82" i="12"/>
  <c r="FW90" i="12"/>
  <c r="FX3" i="23"/>
  <c r="FY10" i="23"/>
  <c r="FW17" i="15"/>
  <c r="FT18" i="15" s="1"/>
  <c r="FU18" i="15" s="1"/>
  <c r="FV18" i="15" s="1"/>
  <c r="FW18" i="15" s="1"/>
  <c r="FP49" i="16"/>
  <c r="FP10" i="16"/>
  <c r="FP9" i="16" s="1"/>
  <c r="GA80" i="12"/>
  <c r="FZ96" i="12"/>
  <c r="FW6" i="23"/>
  <c r="FW5" i="23" s="1"/>
  <c r="FW92" i="23" s="1"/>
  <c r="GA5" i="16"/>
  <c r="FX53" i="13"/>
  <c r="FX44" i="12"/>
  <c r="FW88" i="16"/>
  <c r="FW89" i="16"/>
  <c r="FW90" i="16" s="1"/>
  <c r="FX87" i="16"/>
  <c r="GA88" i="12"/>
  <c r="FY81" i="23"/>
  <c r="FY8" i="11"/>
  <c r="FX10" i="11"/>
  <c r="FX3" i="11"/>
  <c r="FY70" i="12"/>
  <c r="FY93" i="16"/>
  <c r="FS7" i="15"/>
  <c r="FY4" i="12"/>
  <c r="FX3" i="12"/>
  <c r="FY33" i="16"/>
  <c r="FY22" i="16"/>
  <c r="FY4" i="16"/>
  <c r="FY3" i="16"/>
  <c r="FZ8" i="16"/>
  <c r="FR44" i="16"/>
  <c r="FR12" i="16" s="1"/>
  <c r="FV5" i="15"/>
  <c r="FV12" i="15"/>
  <c r="FU45" i="23" s="1"/>
  <c r="DM10" i="12" l="1"/>
  <c r="DM40" i="12" s="1"/>
  <c r="EB41" i="18" s="1"/>
  <c r="DL34" i="23" s="1"/>
  <c r="DM38" i="12"/>
  <c r="DN8" i="12"/>
  <c r="DL43" i="12"/>
  <c r="GA202" i="37"/>
  <c r="EO21" i="12"/>
  <c r="EO20" i="12"/>
  <c r="EP18" i="12" s="1"/>
  <c r="GA134" i="37"/>
  <c r="EN47" i="37"/>
  <c r="GZ26" i="37"/>
  <c r="FV11" i="11"/>
  <c r="FW54" i="13" s="1"/>
  <c r="FV54" i="13"/>
  <c r="FY4" i="15"/>
  <c r="FX3" i="15"/>
  <c r="FT36" i="13"/>
  <c r="FT39" i="13"/>
  <c r="FS44" i="16" s="1"/>
  <c r="FS12" i="16" s="1"/>
  <c r="FT38" i="13"/>
  <c r="FS43" i="16" s="1"/>
  <c r="FS11" i="16" s="1"/>
  <c r="FT37" i="13"/>
  <c r="FT40" i="13"/>
  <c r="FS45" i="16" s="1"/>
  <c r="FS13" i="16" s="1"/>
  <c r="FT44" i="13"/>
  <c r="FT41" i="13" s="1"/>
  <c r="FT46" i="13"/>
  <c r="FT45" i="13" s="1"/>
  <c r="FS47" i="16" s="1"/>
  <c r="FS15" i="16" s="1"/>
  <c r="FY42" i="13"/>
  <c r="FS35" i="13"/>
  <c r="FS48" i="13" s="1"/>
  <c r="FZ34" i="13"/>
  <c r="FZ33" i="13" s="1"/>
  <c r="FZ47" i="13" s="1"/>
  <c r="FT7" i="15"/>
  <c r="FT11" i="15"/>
  <c r="FX25" i="12"/>
  <c r="FY23" i="12" s="1"/>
  <c r="FX36" i="12"/>
  <c r="FX35" i="12"/>
  <c r="FY33" i="12" s="1"/>
  <c r="FW16" i="12"/>
  <c r="FW15" i="12"/>
  <c r="FX13" i="12" s="1"/>
  <c r="FU31" i="12"/>
  <c r="FU30" i="12"/>
  <c r="FV28" i="12" s="1"/>
  <c r="FY3" i="23"/>
  <c r="FZ10" i="23"/>
  <c r="FZ70" i="12"/>
  <c r="FR42" i="16"/>
  <c r="FQ10" i="16"/>
  <c r="FQ9" i="16" s="1"/>
  <c r="FQ49" i="16"/>
  <c r="FZ93" i="16"/>
  <c r="FX78" i="12"/>
  <c r="FX94" i="12"/>
  <c r="FX90" i="12"/>
  <c r="FX82" i="12"/>
  <c r="FX6" i="23"/>
  <c r="FX5" i="23" s="1"/>
  <c r="FX92" i="23" s="1"/>
  <c r="GB5" i="16"/>
  <c r="FY53" i="13"/>
  <c r="FY44" i="12"/>
  <c r="FX17" i="15"/>
  <c r="GB80" i="12"/>
  <c r="GA96" i="12"/>
  <c r="FZ8" i="11"/>
  <c r="FY3" i="11"/>
  <c r="FY10" i="11"/>
  <c r="GB88" i="12"/>
  <c r="FZ4" i="12"/>
  <c r="FY3" i="12"/>
  <c r="FZ22" i="16"/>
  <c r="FZ4" i="16"/>
  <c r="FZ3" i="16"/>
  <c r="GA8" i="16"/>
  <c r="FZ33" i="16"/>
  <c r="F33" i="16" s="1"/>
  <c r="FZ81" i="23"/>
  <c r="FX88" i="16"/>
  <c r="FX89" i="16"/>
  <c r="FX90" i="16" s="1"/>
  <c r="FY87" i="16"/>
  <c r="FW12" i="15"/>
  <c r="FV45" i="23" s="1"/>
  <c r="FW5" i="15"/>
  <c r="GZ27" i="37" l="1"/>
  <c r="BG24" i="25"/>
  <c r="BG25" i="25" s="1"/>
  <c r="EN48" i="37"/>
  <c r="AQ43" i="25"/>
  <c r="DM43" i="12"/>
  <c r="DN38" i="12"/>
  <c r="DN10" i="12"/>
  <c r="DN40" i="12" s="1"/>
  <c r="EC41" i="18" s="1"/>
  <c r="GB202" i="37"/>
  <c r="EP20" i="12"/>
  <c r="EQ18" i="12" s="1"/>
  <c r="EP21" i="12"/>
  <c r="GB134" i="37"/>
  <c r="EO47" i="37"/>
  <c r="EO48" i="37" s="1"/>
  <c r="HA26" i="37"/>
  <c r="HA27" i="37" s="1"/>
  <c r="FZ4" i="15"/>
  <c r="FY3" i="15"/>
  <c r="FU38" i="13"/>
  <c r="FT43" i="16" s="1"/>
  <c r="FT11" i="16" s="1"/>
  <c r="FU39" i="13"/>
  <c r="FU37" i="13"/>
  <c r="FU36" i="13"/>
  <c r="FU40" i="13"/>
  <c r="FT45" i="16" s="1"/>
  <c r="FT13" i="16" s="1"/>
  <c r="FU44" i="13"/>
  <c r="FU41" i="13" s="1"/>
  <c r="FU46" i="13"/>
  <c r="FU45" i="13" s="1"/>
  <c r="FT47" i="16" s="1"/>
  <c r="FT15" i="16" s="1"/>
  <c r="FZ42" i="13"/>
  <c r="FT35" i="13"/>
  <c r="FT48" i="13" s="1"/>
  <c r="GA34" i="13"/>
  <c r="GA33" i="13" s="1"/>
  <c r="GA47" i="13" s="1"/>
  <c r="FY36" i="12"/>
  <c r="FY35" i="12"/>
  <c r="FZ33" i="12" s="1"/>
  <c r="FY25" i="12"/>
  <c r="FZ23" i="12" s="1"/>
  <c r="GA93" i="16"/>
  <c r="GA10" i="23"/>
  <c r="FZ3" i="23"/>
  <c r="GA4" i="12"/>
  <c r="FZ3" i="12"/>
  <c r="GA8" i="11"/>
  <c r="FZ10" i="11"/>
  <c r="FW11" i="11" s="1"/>
  <c r="FZ3" i="11"/>
  <c r="GB96" i="12"/>
  <c r="FV31" i="12"/>
  <c r="FV30" i="12"/>
  <c r="FW28" i="12" s="1"/>
  <c r="FS44" i="23"/>
  <c r="FT10" i="15"/>
  <c r="GA81" i="23"/>
  <c r="FX5" i="15"/>
  <c r="FX12" i="15"/>
  <c r="FW45" i="23" s="1"/>
  <c r="FX16" i="12"/>
  <c r="FX15" i="12"/>
  <c r="FY13" i="12" s="1"/>
  <c r="FT44" i="16"/>
  <c r="FT12" i="16" s="1"/>
  <c r="GC88" i="12"/>
  <c r="FY78" i="12"/>
  <c r="FY94" i="12"/>
  <c r="FY90" i="12"/>
  <c r="FY82" i="12"/>
  <c r="FY88" i="16"/>
  <c r="FY89" i="16"/>
  <c r="FY90" i="16" s="1"/>
  <c r="FZ87" i="16"/>
  <c r="GB8" i="16"/>
  <c r="GA3" i="16"/>
  <c r="GA4" i="16"/>
  <c r="FY6" i="23"/>
  <c r="GC5" i="16"/>
  <c r="FZ44" i="12"/>
  <c r="FZ53" i="13"/>
  <c r="FY17" i="15"/>
  <c r="FR10" i="16"/>
  <c r="FR9" i="16" s="1"/>
  <c r="FR49" i="16"/>
  <c r="GA70" i="12"/>
  <c r="FU11" i="15"/>
  <c r="FU7" i="15"/>
  <c r="DM34" i="23" l="1"/>
  <c r="DO8" i="12"/>
  <c r="DN43" i="12"/>
  <c r="GC202" i="37"/>
  <c r="EQ20" i="12"/>
  <c r="ER18" i="12" s="1"/>
  <c r="EQ21" i="12"/>
  <c r="GC134" i="37"/>
  <c r="EP47" i="37"/>
  <c r="HB26" i="37"/>
  <c r="FS42" i="16"/>
  <c r="FY5" i="23"/>
  <c r="FY92" i="23" s="1"/>
  <c r="FZ4" i="23"/>
  <c r="FZ118" i="23" s="1"/>
  <c r="FX11" i="11"/>
  <c r="FX54" i="13"/>
  <c r="GA4" i="15"/>
  <c r="FZ3" i="15"/>
  <c r="FV37" i="13"/>
  <c r="FV36" i="13"/>
  <c r="FV40" i="13"/>
  <c r="FV39" i="13"/>
  <c r="FU44" i="16" s="1"/>
  <c r="FU12" i="16" s="1"/>
  <c r="FV38" i="13"/>
  <c r="FV44" i="13"/>
  <c r="FV41" i="13" s="1"/>
  <c r="FV46" i="13"/>
  <c r="FV45" i="13" s="1"/>
  <c r="FU47" i="16" s="1"/>
  <c r="FU15" i="16" s="1"/>
  <c r="GA42" i="13"/>
  <c r="FU35" i="13"/>
  <c r="FU48" i="13" s="1"/>
  <c r="GB34" i="13"/>
  <c r="GB33" i="13" s="1"/>
  <c r="GB47" i="13" s="1"/>
  <c r="FW31" i="12"/>
  <c r="FW30" i="12"/>
  <c r="FX28" i="12" s="1"/>
  <c r="FZ36" i="12"/>
  <c r="FZ35" i="12"/>
  <c r="GA33" i="12" s="1"/>
  <c r="FY16" i="12"/>
  <c r="FY15" i="12"/>
  <c r="FZ13" i="12" s="1"/>
  <c r="FY12" i="15"/>
  <c r="FX45" i="23" s="1"/>
  <c r="FY5" i="15"/>
  <c r="GA87" i="16"/>
  <c r="FZ6" i="23"/>
  <c r="GD5" i="16"/>
  <c r="GA53" i="13"/>
  <c r="GA44" i="12"/>
  <c r="GA10" i="11"/>
  <c r="GA3" i="11"/>
  <c r="GB8" i="11"/>
  <c r="GB93" i="16"/>
  <c r="FT44" i="23"/>
  <c r="FU10" i="15"/>
  <c r="FV7" i="15"/>
  <c r="FV11" i="15"/>
  <c r="FZ25" i="12"/>
  <c r="GA23" i="12" s="1"/>
  <c r="GD88" i="12"/>
  <c r="FT42" i="16"/>
  <c r="GB4" i="12"/>
  <c r="GA3" i="12"/>
  <c r="FU43" i="16"/>
  <c r="FU11" i="16" s="1"/>
  <c r="FU45" i="16"/>
  <c r="FU13" i="16" s="1"/>
  <c r="GB81" i="23"/>
  <c r="FS10" i="16"/>
  <c r="FS9" i="16" s="1"/>
  <c r="FS49" i="16"/>
  <c r="GB70" i="12"/>
  <c r="FZ17" i="15"/>
  <c r="FZ78" i="12"/>
  <c r="FZ94" i="12"/>
  <c r="FZ82" i="12"/>
  <c r="FZ90" i="12"/>
  <c r="GC8" i="16"/>
  <c r="GF3" i="16"/>
  <c r="GB3" i="16"/>
  <c r="GB4" i="16"/>
  <c r="GB10" i="23"/>
  <c r="GA3" i="23"/>
  <c r="EP48" i="37" l="1"/>
  <c r="HB27" i="37"/>
  <c r="HC26" i="37" s="1"/>
  <c r="DO10" i="12"/>
  <c r="DO40" i="12" s="1"/>
  <c r="ED41" i="18" s="1"/>
  <c r="DO38" i="12"/>
  <c r="DP8" i="12"/>
  <c r="GD202" i="37"/>
  <c r="ER20" i="12"/>
  <c r="ES18" i="12" s="1"/>
  <c r="ER21" i="12"/>
  <c r="GD134" i="37"/>
  <c r="EQ47" i="37"/>
  <c r="EQ48" i="37" s="1"/>
  <c r="FZ5" i="23"/>
  <c r="FZ92" i="23" s="1"/>
  <c r="FY54" i="13"/>
  <c r="FY11" i="11"/>
  <c r="GB4" i="15"/>
  <c r="GA3" i="15"/>
  <c r="FX37" i="13"/>
  <c r="FX38" i="13"/>
  <c r="FX36" i="13"/>
  <c r="FX40" i="13"/>
  <c r="FX39" i="13"/>
  <c r="FW40" i="13"/>
  <c r="FW38" i="13"/>
  <c r="FW39" i="13"/>
  <c r="FW36" i="13"/>
  <c r="FW37" i="13"/>
  <c r="FX44" i="13"/>
  <c r="FX41" i="13" s="1"/>
  <c r="FX46" i="13"/>
  <c r="FX45" i="13" s="1"/>
  <c r="FW47" i="16" s="1"/>
  <c r="FW15" i="16" s="1"/>
  <c r="FW44" i="13"/>
  <c r="FW41" i="13" s="1"/>
  <c r="FW46" i="13"/>
  <c r="FW45" i="13" s="1"/>
  <c r="FV47" i="16" s="1"/>
  <c r="FV15" i="16" s="1"/>
  <c r="GB42" i="13"/>
  <c r="FV35" i="13"/>
  <c r="GC34" i="13"/>
  <c r="GC33" i="13" s="1"/>
  <c r="GC47" i="13" s="1"/>
  <c r="GA25" i="12"/>
  <c r="GB23" i="12" s="1"/>
  <c r="GA36" i="12"/>
  <c r="GA35" i="12"/>
  <c r="GB33" i="12" s="1"/>
  <c r="FX31" i="12"/>
  <c r="FX30" i="12"/>
  <c r="FY28" i="12" s="1"/>
  <c r="GC93" i="16"/>
  <c r="FZ16" i="12"/>
  <c r="FZ15" i="12"/>
  <c r="GA13" i="12" s="1"/>
  <c r="FU44" i="23"/>
  <c r="FV10" i="15"/>
  <c r="GA89" i="16"/>
  <c r="GA90" i="16" s="1"/>
  <c r="GB87" i="16"/>
  <c r="GA88" i="16"/>
  <c r="GC70" i="12"/>
  <c r="GD70" i="12" s="1"/>
  <c r="GE70" i="12" s="1"/>
  <c r="FV45" i="16"/>
  <c r="FV13" i="16" s="1"/>
  <c r="FV43" i="16"/>
  <c r="FV11" i="16" s="1"/>
  <c r="FV44" i="16"/>
  <c r="FV12" i="16" s="1"/>
  <c r="GA78" i="12"/>
  <c r="GA94" i="12"/>
  <c r="GA90" i="12"/>
  <c r="GA82" i="12"/>
  <c r="GE88" i="12"/>
  <c r="GC81" i="23"/>
  <c r="GB85" i="12"/>
  <c r="GB81" i="12"/>
  <c r="GB73" i="12"/>
  <c r="GB77" i="12"/>
  <c r="GC4" i="12"/>
  <c r="GB3" i="12"/>
  <c r="FW11" i="15"/>
  <c r="FW7" i="15"/>
  <c r="GB10" i="11"/>
  <c r="GB3" i="11"/>
  <c r="GC8" i="11"/>
  <c r="GA17" i="15"/>
  <c r="FX18" i="15" s="1"/>
  <c r="FY18" i="15" s="1"/>
  <c r="FZ18" i="15" s="1"/>
  <c r="GA18" i="15" s="1"/>
  <c r="GG3" i="16"/>
  <c r="GC4" i="16"/>
  <c r="GC3" i="16"/>
  <c r="GD8" i="16"/>
  <c r="GC10" i="23"/>
  <c r="GB3" i="23"/>
  <c r="FW43" i="16"/>
  <c r="FW11" i="16" s="1"/>
  <c r="FW45" i="16"/>
  <c r="FW13" i="16" s="1"/>
  <c r="FW44" i="16"/>
  <c r="FW12" i="16" s="1"/>
  <c r="FZ5" i="15"/>
  <c r="FZ12" i="15"/>
  <c r="FY45" i="23" s="1"/>
  <c r="FT10" i="16"/>
  <c r="FT9" i="16" s="1"/>
  <c r="FT49" i="16"/>
  <c r="FU42" i="16"/>
  <c r="FV48" i="13"/>
  <c r="GA6" i="23"/>
  <c r="GA5" i="23" s="1"/>
  <c r="GA92" i="23" s="1"/>
  <c r="GE5" i="16"/>
  <c r="GB53" i="13"/>
  <c r="GB44" i="12"/>
  <c r="HC27" i="37" l="1"/>
  <c r="DN34" i="23"/>
  <c r="AL40" i="21"/>
  <c r="AC289" i="20" s="1"/>
  <c r="P318" i="20" s="1"/>
  <c r="DP38" i="12"/>
  <c r="DP10" i="12"/>
  <c r="DP40" i="12" s="1"/>
  <c r="EE41" i="18" s="1"/>
  <c r="DO34" i="23" s="1"/>
  <c r="DQ8" i="12"/>
  <c r="DO43" i="12"/>
  <c r="GE202" i="37"/>
  <c r="ES21" i="12"/>
  <c r="ES20" i="12"/>
  <c r="ET18" i="12" s="1"/>
  <c r="GE134" i="37"/>
  <c r="ER47" i="37"/>
  <c r="HD26" i="37"/>
  <c r="HD27" i="37" s="1"/>
  <c r="FZ54" i="13"/>
  <c r="FZ11" i="11"/>
  <c r="GA54" i="13" s="1"/>
  <c r="GC4" i="15"/>
  <c r="GB3" i="15"/>
  <c r="FY39" i="13"/>
  <c r="FY38" i="13"/>
  <c r="FY40" i="13"/>
  <c r="FY36" i="13"/>
  <c r="FY37" i="13"/>
  <c r="FY44" i="13"/>
  <c r="FY41" i="13" s="1"/>
  <c r="FY46" i="13"/>
  <c r="FY45" i="13" s="1"/>
  <c r="GC42" i="13"/>
  <c r="GD34" i="13"/>
  <c r="GD33" i="13" s="1"/>
  <c r="GD47" i="13" s="1"/>
  <c r="GB36" i="12"/>
  <c r="GB35" i="12"/>
  <c r="GC33" i="12" s="1"/>
  <c r="GB6" i="23"/>
  <c r="GB5" i="23" s="1"/>
  <c r="GB92" i="23" s="1"/>
  <c r="GF5" i="16"/>
  <c r="GC53" i="13"/>
  <c r="GC44" i="12"/>
  <c r="GA16" i="12"/>
  <c r="GA15" i="12"/>
  <c r="GB13" i="12" s="1"/>
  <c r="FX35" i="13"/>
  <c r="GB97" i="12"/>
  <c r="GC72" i="12"/>
  <c r="FY31" i="12"/>
  <c r="FY30" i="12"/>
  <c r="FZ28" i="12" s="1"/>
  <c r="GH3" i="16"/>
  <c r="GD4" i="16"/>
  <c r="GD3" i="16"/>
  <c r="GC80" i="12"/>
  <c r="FW35" i="13"/>
  <c r="FV44" i="23"/>
  <c r="FW10" i="15"/>
  <c r="FU10" i="16"/>
  <c r="FU9" i="16" s="1"/>
  <c r="FU49" i="16"/>
  <c r="GB25" i="12"/>
  <c r="GC23" i="12" s="1"/>
  <c r="GC84" i="12"/>
  <c r="GD93" i="16"/>
  <c r="GB78" i="12"/>
  <c r="GB94" i="12"/>
  <c r="GB82" i="12"/>
  <c r="GB90" i="12"/>
  <c r="GA5" i="15"/>
  <c r="GA12" i="15"/>
  <c r="FZ45" i="23" s="1"/>
  <c r="GC10" i="11"/>
  <c r="GC3" i="11"/>
  <c r="GD8" i="11"/>
  <c r="GC85" i="12"/>
  <c r="GC81" i="12"/>
  <c r="GC73" i="12"/>
  <c r="GC77" i="12"/>
  <c r="GD4" i="12"/>
  <c r="GC3" i="12"/>
  <c r="GB17" i="15"/>
  <c r="GD10" i="23"/>
  <c r="GC3" i="23"/>
  <c r="GC76" i="12"/>
  <c r="GD81" i="23"/>
  <c r="GB89" i="16"/>
  <c r="GB90" i="16" s="1"/>
  <c r="GC87" i="16"/>
  <c r="GB88" i="16"/>
  <c r="ER48" i="37" l="1"/>
  <c r="AR43" i="25"/>
  <c r="DQ10" i="12"/>
  <c r="DQ40" i="12" s="1"/>
  <c r="EF41" i="18" s="1"/>
  <c r="DP34" i="23" s="1"/>
  <c r="DQ38" i="12"/>
  <c r="DR8" i="12"/>
  <c r="DP43" i="12"/>
  <c r="GF202" i="37"/>
  <c r="ET21" i="12"/>
  <c r="ET20" i="12"/>
  <c r="EU18" i="12" s="1"/>
  <c r="GF134" i="37"/>
  <c r="ES47" i="37"/>
  <c r="ES48" i="37" s="1"/>
  <c r="HE26" i="37"/>
  <c r="M14" i="17"/>
  <c r="BC14" i="17"/>
  <c r="GD4" i="15"/>
  <c r="GC3" i="15"/>
  <c r="FZ38" i="13"/>
  <c r="FZ40" i="13"/>
  <c r="FZ37" i="13"/>
  <c r="FZ36" i="13"/>
  <c r="FZ39" i="13"/>
  <c r="FZ44" i="13"/>
  <c r="FZ41" i="13" s="1"/>
  <c r="FZ46" i="13"/>
  <c r="FZ45" i="13" s="1"/>
  <c r="FY47" i="16" s="1"/>
  <c r="FY15" i="16" s="1"/>
  <c r="GD42" i="13"/>
  <c r="GE34" i="13"/>
  <c r="GB16" i="12"/>
  <c r="GB15" i="12"/>
  <c r="GC13" i="12" s="1"/>
  <c r="GC36" i="12"/>
  <c r="GC35" i="12"/>
  <c r="GD33" i="12" s="1"/>
  <c r="GD35" i="12" s="1"/>
  <c r="FZ31" i="12"/>
  <c r="FZ30" i="12"/>
  <c r="GA28" i="12" s="1"/>
  <c r="FX47" i="16"/>
  <c r="FX15" i="16" s="1"/>
  <c r="GC82" i="12"/>
  <c r="GD80" i="12"/>
  <c r="GD85" i="12"/>
  <c r="GD81" i="12"/>
  <c r="GD73" i="12"/>
  <c r="GD77" i="12"/>
  <c r="GE4" i="12"/>
  <c r="GD3" i="12"/>
  <c r="GC6" i="23"/>
  <c r="GG5" i="16"/>
  <c r="GD53" i="13"/>
  <c r="GD44" i="12"/>
  <c r="GC89" i="16"/>
  <c r="GC90" i="16" s="1"/>
  <c r="GD87" i="16"/>
  <c r="GC88" i="16"/>
  <c r="GD76" i="12"/>
  <c r="GC78" i="12"/>
  <c r="FX11" i="15"/>
  <c r="FX7" i="15"/>
  <c r="FX43" i="16"/>
  <c r="FX11" i="16" s="1"/>
  <c r="GC94" i="12"/>
  <c r="GC90" i="12"/>
  <c r="GC17" i="15"/>
  <c r="GC97" i="12"/>
  <c r="GD3" i="23"/>
  <c r="FZ48" i="23" s="1"/>
  <c r="FY35" i="13"/>
  <c r="GD84" i="12"/>
  <c r="GC25" i="12"/>
  <c r="GD23" i="12" s="1"/>
  <c r="FX44" i="16"/>
  <c r="FX12" i="16" s="1"/>
  <c r="H95" i="16"/>
  <c r="I95" i="16"/>
  <c r="J95" i="16"/>
  <c r="N95" i="16"/>
  <c r="M95" i="16"/>
  <c r="L95" i="16"/>
  <c r="R95" i="16"/>
  <c r="O95" i="16"/>
  <c r="P95" i="16"/>
  <c r="P96" i="16" s="1"/>
  <c r="P102" i="16" s="1"/>
  <c r="K181" i="19"/>
  <c r="K95" i="16"/>
  <c r="BA181" i="19"/>
  <c r="BB181" i="19"/>
  <c r="J181" i="19"/>
  <c r="AZ181" i="19"/>
  <c r="AY181" i="19"/>
  <c r="FW42" i="16"/>
  <c r="FX48" i="13"/>
  <c r="GB12" i="15"/>
  <c r="GA45" i="23" s="1"/>
  <c r="GB5" i="15"/>
  <c r="GD10" i="11"/>
  <c r="GA11" i="11" s="1"/>
  <c r="GD3" i="11"/>
  <c r="FX45" i="16"/>
  <c r="FX13" i="16" s="1"/>
  <c r="I30" i="17"/>
  <c r="I28" i="17" s="1"/>
  <c r="I33" i="17" s="1"/>
  <c r="I35" i="17" s="1"/>
  <c r="L6" i="17"/>
  <c r="L17" i="17"/>
  <c r="H30" i="17"/>
  <c r="H28" i="17" s="1"/>
  <c r="H33" i="17" s="1"/>
  <c r="H35" i="17" s="1"/>
  <c r="G30" i="17"/>
  <c r="G28" i="17" s="1"/>
  <c r="G33" i="17" s="1"/>
  <c r="G35" i="17" s="1"/>
  <c r="O10" i="17"/>
  <c r="J30" i="17"/>
  <c r="J28" i="17" s="1"/>
  <c r="J33" i="17" s="1"/>
  <c r="J35" i="17" s="1"/>
  <c r="L8" i="17"/>
  <c r="L5" i="17"/>
  <c r="L10" i="17"/>
  <c r="L31" i="17"/>
  <c r="L29" i="17"/>
  <c r="L7" i="17"/>
  <c r="M10" i="17"/>
  <c r="K30" i="17"/>
  <c r="K10" i="17"/>
  <c r="L30" i="17"/>
  <c r="K8" i="17"/>
  <c r="K6" i="17"/>
  <c r="K31" i="17"/>
  <c r="L23" i="17"/>
  <c r="L22" i="17" s="1"/>
  <c r="K17" i="17"/>
  <c r="L16" i="17"/>
  <c r="K16" i="17"/>
  <c r="K23" i="17"/>
  <c r="K22" i="17" s="1"/>
  <c r="K20" i="17"/>
  <c r="L9" i="17"/>
  <c r="K7" i="17"/>
  <c r="K11" i="17"/>
  <c r="K5" i="17"/>
  <c r="M9" i="17"/>
  <c r="O6" i="17"/>
  <c r="N31" i="17"/>
  <c r="M5" i="17"/>
  <c r="O30" i="17"/>
  <c r="M8" i="17"/>
  <c r="M23" i="17"/>
  <c r="M16" i="17"/>
  <c r="N30" i="17"/>
  <c r="N16" i="17"/>
  <c r="O23" i="17"/>
  <c r="O22" i="17" s="1"/>
  <c r="M29" i="17"/>
  <c r="N8" i="17"/>
  <c r="M30" i="17"/>
  <c r="M11" i="17"/>
  <c r="O20" i="17"/>
  <c r="F210" i="20" s="1"/>
  <c r="N23" i="17"/>
  <c r="N22" i="17" s="1"/>
  <c r="E212" i="20" s="1"/>
  <c r="M7" i="17"/>
  <c r="N6" i="17"/>
  <c r="O31" i="17"/>
  <c r="M6" i="17"/>
  <c r="M31" i="17"/>
  <c r="N20" i="17"/>
  <c r="E210" i="20" s="1"/>
  <c r="P7" i="17"/>
  <c r="N5" i="17"/>
  <c r="E201" i="20" s="1"/>
  <c r="O9" i="17"/>
  <c r="P30" i="17"/>
  <c r="N7" i="17"/>
  <c r="P10" i="17"/>
  <c r="P23" i="17"/>
  <c r="P22" i="17" s="1"/>
  <c r="G212" i="20" s="1"/>
  <c r="P9" i="17"/>
  <c r="P31" i="17"/>
  <c r="N10" i="17"/>
  <c r="N9" i="17"/>
  <c r="P6" i="17"/>
  <c r="P16" i="17"/>
  <c r="O7" i="17"/>
  <c r="O16" i="17"/>
  <c r="R30" i="17"/>
  <c r="Q9" i="17"/>
  <c r="Q6" i="17"/>
  <c r="Q23" i="17"/>
  <c r="Q22" i="17" s="1"/>
  <c r="Q7" i="17"/>
  <c r="S23" i="17"/>
  <c r="S22" i="17" s="1"/>
  <c r="J212" i="20" s="1"/>
  <c r="R6" i="17"/>
  <c r="R11" i="17"/>
  <c r="I203" i="20" s="1"/>
  <c r="Q10" i="17"/>
  <c r="Q31" i="17"/>
  <c r="Q30" i="17"/>
  <c r="Q16" i="17"/>
  <c r="S9" i="17"/>
  <c r="R23" i="17"/>
  <c r="R22" i="17" s="1"/>
  <c r="S7" i="17"/>
  <c r="T11" i="17"/>
  <c r="K203" i="20" s="1"/>
  <c r="R16" i="17"/>
  <c r="S16" i="17"/>
  <c r="R9" i="17"/>
  <c r="S30" i="17"/>
  <c r="V30" i="17"/>
  <c r="R10" i="17"/>
  <c r="R7" i="17"/>
  <c r="T9" i="17"/>
  <c r="T23" i="17"/>
  <c r="T22" i="17" s="1"/>
  <c r="K212" i="20" s="1"/>
  <c r="S10" i="17"/>
  <c r="T30" i="17"/>
  <c r="S11" i="17"/>
  <c r="J203" i="20" s="1"/>
  <c r="U7" i="17"/>
  <c r="S6" i="17"/>
  <c r="T6" i="17"/>
  <c r="U6" i="17"/>
  <c r="T7" i="17"/>
  <c r="T16" i="17"/>
  <c r="T10" i="17"/>
  <c r="U23" i="17"/>
  <c r="U22" i="17" s="1"/>
  <c r="L212" i="20" s="1"/>
  <c r="V10" i="17"/>
  <c r="U30" i="17"/>
  <c r="V23" i="17"/>
  <c r="V22" i="17" s="1"/>
  <c r="U11" i="17"/>
  <c r="L203" i="20" s="1"/>
  <c r="U10" i="17"/>
  <c r="U9" i="17"/>
  <c r="U16" i="17"/>
  <c r="V7" i="17"/>
  <c r="W23" i="17"/>
  <c r="W22" i="17" s="1"/>
  <c r="N212" i="20" s="1"/>
  <c r="V11" i="17"/>
  <c r="M203" i="20" s="1"/>
  <c r="V9" i="17"/>
  <c r="V6" i="17"/>
  <c r="W16" i="17"/>
  <c r="W9" i="17"/>
  <c r="W11" i="17"/>
  <c r="N203" i="20" s="1"/>
  <c r="X30" i="17"/>
  <c r="X6" i="17"/>
  <c r="Y16" i="17"/>
  <c r="Y30" i="17"/>
  <c r="W10" i="17"/>
  <c r="W7" i="17"/>
  <c r="W6" i="17"/>
  <c r="V16" i="17"/>
  <c r="Y23" i="17"/>
  <c r="Y22" i="17" s="1"/>
  <c r="Y11" i="17"/>
  <c r="P203" i="20" s="1"/>
  <c r="W30" i="17"/>
  <c r="X16" i="17"/>
  <c r="Y9" i="17"/>
  <c r="Z11" i="17"/>
  <c r="Q203" i="20" s="1"/>
  <c r="X10" i="17"/>
  <c r="Y6" i="17"/>
  <c r="Y10" i="17"/>
  <c r="X23" i="17"/>
  <c r="X22" i="17" s="1"/>
  <c r="O212" i="20" s="1"/>
  <c r="X9" i="17"/>
  <c r="Y7" i="17"/>
  <c r="X7" i="17"/>
  <c r="X11" i="17"/>
  <c r="O203" i="20" s="1"/>
  <c r="AA23" i="17"/>
  <c r="AA22" i="17" s="1"/>
  <c r="Z23" i="17"/>
  <c r="Z22" i="17" s="1"/>
  <c r="Z10" i="17"/>
  <c r="Z7" i="17"/>
  <c r="Z16" i="17"/>
  <c r="AA11" i="17"/>
  <c r="Z9" i="17"/>
  <c r="Z30" i="17"/>
  <c r="Z6" i="17"/>
  <c r="AB7" i="17"/>
  <c r="AB16" i="17"/>
  <c r="AC10" i="17"/>
  <c r="AA7" i="17"/>
  <c r="AC23" i="17"/>
  <c r="AC22" i="17" s="1"/>
  <c r="AB10" i="17"/>
  <c r="AB11" i="17"/>
  <c r="AA16" i="17"/>
  <c r="AA6" i="17"/>
  <c r="AB23" i="17"/>
  <c r="AB22" i="17" s="1"/>
  <c r="AA9" i="17"/>
  <c r="AB9" i="17"/>
  <c r="AB30" i="17"/>
  <c r="AA30" i="17"/>
  <c r="AA10" i="17"/>
  <c r="AB6" i="17"/>
  <c r="AC7" i="17"/>
  <c r="AC9" i="17"/>
  <c r="AC30" i="17"/>
  <c r="AC11" i="17"/>
  <c r="AD16" i="17"/>
  <c r="AC6" i="17"/>
  <c r="AD6" i="17"/>
  <c r="AD10" i="17"/>
  <c r="AD30" i="17"/>
  <c r="AC16" i="17"/>
  <c r="AD9" i="17"/>
  <c r="AD11" i="17"/>
  <c r="AF31" i="17"/>
  <c r="AD23" i="17"/>
  <c r="AD22" i="17" s="1"/>
  <c r="U212" i="20" s="1"/>
  <c r="AF6" i="17"/>
  <c r="AD31" i="17"/>
  <c r="AE31" i="17"/>
  <c r="AF10" i="17"/>
  <c r="AG6" i="17"/>
  <c r="AD7" i="17"/>
  <c r="AE11" i="17"/>
  <c r="V203" i="20" s="1"/>
  <c r="AG7" i="17"/>
  <c r="AE10" i="17"/>
  <c r="AF16" i="17"/>
  <c r="AH7" i="17"/>
  <c r="AG11" i="17"/>
  <c r="X203" i="20" s="1"/>
  <c r="AE9" i="17"/>
  <c r="AE6" i="17"/>
  <c r="AE23" i="17"/>
  <c r="AE22" i="17" s="1"/>
  <c r="AF9" i="17"/>
  <c r="AE30" i="17"/>
  <c r="AG9" i="17"/>
  <c r="AG23" i="17"/>
  <c r="AG22" i="17" s="1"/>
  <c r="AE16" i="17"/>
  <c r="AF23" i="17"/>
  <c r="AF22" i="17" s="1"/>
  <c r="W212" i="20" s="1"/>
  <c r="AE7" i="17"/>
  <c r="AH6" i="17"/>
  <c r="AG16" i="17"/>
  <c r="AI6" i="17"/>
  <c r="AF11" i="17"/>
  <c r="W203" i="20" s="1"/>
  <c r="AI31" i="17"/>
  <c r="AF30" i="17"/>
  <c r="AG31" i="17"/>
  <c r="AF7" i="17"/>
  <c r="AI30" i="17"/>
  <c r="AH31" i="17"/>
  <c r="AG10" i="17"/>
  <c r="AH23" i="17"/>
  <c r="AH22" i="17" s="1"/>
  <c r="AK30" i="17"/>
  <c r="AH30" i="17"/>
  <c r="AH10" i="17"/>
  <c r="AI7" i="17"/>
  <c r="AI11" i="17"/>
  <c r="Z203" i="20" s="1"/>
  <c r="AJ31" i="17"/>
  <c r="AG30" i="17"/>
  <c r="AI10" i="17"/>
  <c r="AH16" i="17"/>
  <c r="AH11" i="17"/>
  <c r="AJ6" i="17"/>
  <c r="AI23" i="17"/>
  <c r="AI22" i="17" s="1"/>
  <c r="AH9" i="17"/>
  <c r="AJ7" i="17"/>
  <c r="AJ30" i="17"/>
  <c r="AI9" i="17"/>
  <c r="AJ23" i="17"/>
  <c r="AJ22" i="17" s="1"/>
  <c r="AK31" i="17"/>
  <c r="AK23" i="17"/>
  <c r="AK22" i="17" s="1"/>
  <c r="AJ9" i="17"/>
  <c r="AK6" i="17"/>
  <c r="AI16" i="17"/>
  <c r="AK10" i="17"/>
  <c r="AK11" i="17"/>
  <c r="AJ10" i="17"/>
  <c r="AJ11" i="17"/>
  <c r="AJ16" i="17"/>
  <c r="AK7" i="17"/>
  <c r="AL16" i="17"/>
  <c r="AK9" i="17"/>
  <c r="AK16" i="17"/>
  <c r="AL6" i="17"/>
  <c r="AL9" i="17"/>
  <c r="AL10" i="17"/>
  <c r="AL11" i="17"/>
  <c r="AC203" i="20" s="1"/>
  <c r="AL23" i="17"/>
  <c r="AL22" i="17" s="1"/>
  <c r="AC212" i="20" s="1"/>
  <c r="AL7" i="17"/>
  <c r="AL30" i="17"/>
  <c r="AL31" i="17"/>
  <c r="AM23" i="17"/>
  <c r="AM22" i="17" s="1"/>
  <c r="AN31" i="17"/>
  <c r="AM11" i="17"/>
  <c r="AD203" i="20" s="1"/>
  <c r="AN16" i="17"/>
  <c r="AM7" i="17"/>
  <c r="AM16" i="17"/>
  <c r="AM6" i="17"/>
  <c r="AM10" i="17"/>
  <c r="AM31" i="17"/>
  <c r="AM9" i="17"/>
  <c r="AO10" i="17"/>
  <c r="AN30" i="17"/>
  <c r="AP9" i="17"/>
  <c r="AN7" i="17"/>
  <c r="AN23" i="17"/>
  <c r="AN22" i="17" s="1"/>
  <c r="AM30" i="17"/>
  <c r="AQ30" i="17"/>
  <c r="AO31" i="17"/>
  <c r="AN6" i="17"/>
  <c r="AO6" i="17"/>
  <c r="AN10" i="17"/>
  <c r="AO30" i="17"/>
  <c r="AN11" i="17"/>
  <c r="AE203" i="20" s="1"/>
  <c r="AO16" i="17"/>
  <c r="AO9" i="17"/>
  <c r="AN9" i="17"/>
  <c r="AQ10" i="17"/>
  <c r="AO7" i="17"/>
  <c r="AP6" i="17"/>
  <c r="AP23" i="17"/>
  <c r="AP22" i="17" s="1"/>
  <c r="AO11" i="17"/>
  <c r="AF203" i="20" s="1"/>
  <c r="AO23" i="17"/>
  <c r="AO22" i="17" s="1"/>
  <c r="AQ7" i="17"/>
  <c r="AQ16" i="17"/>
  <c r="AP11" i="17"/>
  <c r="AG203" i="20" s="1"/>
  <c r="AP31" i="17"/>
  <c r="AP10" i="17"/>
  <c r="AP7" i="17"/>
  <c r="AQ23" i="17"/>
  <c r="AQ22" i="17" s="1"/>
  <c r="AQ9" i="17"/>
  <c r="AQ31" i="17"/>
  <c r="AQ6" i="17"/>
  <c r="AP16" i="17"/>
  <c r="AP30" i="17"/>
  <c r="AV16" i="17"/>
  <c r="AQ11" i="17"/>
  <c r="AR30" i="17"/>
  <c r="AR6" i="17"/>
  <c r="AR9" i="17"/>
  <c r="AS7" i="17"/>
  <c r="AR16" i="17"/>
  <c r="AR10" i="17"/>
  <c r="AR11" i="17"/>
  <c r="AR31" i="17"/>
  <c r="AR23" i="17"/>
  <c r="AR22" i="17" s="1"/>
  <c r="AT31" i="17"/>
  <c r="AS23" i="17"/>
  <c r="AS22" i="17" s="1"/>
  <c r="AR7" i="17"/>
  <c r="AT10" i="17"/>
  <c r="AS9" i="17"/>
  <c r="AS31" i="17"/>
  <c r="AT23" i="17"/>
  <c r="AT22" i="17" s="1"/>
  <c r="AT30" i="17"/>
  <c r="AT7" i="17"/>
  <c r="AT6" i="17"/>
  <c r="AS11" i="17"/>
  <c r="AJ203" i="20" s="1"/>
  <c r="AS30" i="17"/>
  <c r="AS6" i="17"/>
  <c r="AT9" i="17"/>
  <c r="AS16" i="17"/>
  <c r="AT11" i="17"/>
  <c r="AS10" i="17"/>
  <c r="AT16" i="17"/>
  <c r="AU7" i="17"/>
  <c r="AU10" i="17"/>
  <c r="AU23" i="17"/>
  <c r="AU22" i="17" s="1"/>
  <c r="AW10" i="17"/>
  <c r="AW23" i="17"/>
  <c r="AW22" i="17" s="1"/>
  <c r="AU6" i="17"/>
  <c r="AX9" i="17"/>
  <c r="AV23" i="17"/>
  <c r="AV22" i="17" s="1"/>
  <c r="AM212" i="20" s="1"/>
  <c r="AU11" i="17"/>
  <c r="AL203" i="20" s="1"/>
  <c r="AW6" i="17"/>
  <c r="AU16" i="17"/>
  <c r="AV7" i="17"/>
  <c r="AX30" i="17"/>
  <c r="AW7" i="17"/>
  <c r="AV6" i="17"/>
  <c r="AU31" i="17"/>
  <c r="AW31" i="17"/>
  <c r="AV30" i="17"/>
  <c r="AW11" i="17"/>
  <c r="AN203" i="20" s="1"/>
  <c r="AW30" i="17"/>
  <c r="AV9" i="17"/>
  <c r="AU9" i="17"/>
  <c r="AU30" i="17"/>
  <c r="AV31" i="17"/>
  <c r="AV10" i="17"/>
  <c r="AV11" i="17"/>
  <c r="AM203" i="20" s="1"/>
  <c r="AX10" i="17"/>
  <c r="AX11" i="17"/>
  <c r="AO203" i="20" s="1"/>
  <c r="AX23" i="17"/>
  <c r="AX22" i="17" s="1"/>
  <c r="AZ9" i="17"/>
  <c r="AY16" i="17"/>
  <c r="AX6" i="17"/>
  <c r="AY11" i="17"/>
  <c r="AP203" i="20" s="1"/>
  <c r="AX16" i="17"/>
  <c r="AY23" i="17"/>
  <c r="AY22" i="17" s="1"/>
  <c r="AP212" i="20" s="1"/>
  <c r="AX7" i="17"/>
  <c r="AX31" i="17"/>
  <c r="AZ5" i="17"/>
  <c r="AW9" i="17"/>
  <c r="AW16" i="17"/>
  <c r="AZ34" i="17"/>
  <c r="AZ23" i="17"/>
  <c r="AZ22" i="17" s="1"/>
  <c r="AQ212" i="20" s="1"/>
  <c r="AY30" i="17"/>
  <c r="AY10" i="17"/>
  <c r="AY6" i="17"/>
  <c r="AZ20" i="17"/>
  <c r="AQ210" i="20" s="1"/>
  <c r="AZ10" i="17"/>
  <c r="AZ16" i="17"/>
  <c r="AZ30" i="17"/>
  <c r="AZ31" i="17"/>
  <c r="AY9" i="17"/>
  <c r="AZ17" i="17"/>
  <c r="BA30" i="17"/>
  <c r="K9" i="17"/>
  <c r="AZ7" i="17"/>
  <c r="AY31" i="17"/>
  <c r="AZ11" i="17"/>
  <c r="AQ203" i="20" s="1"/>
  <c r="AZ6" i="17"/>
  <c r="AY7" i="17"/>
  <c r="BA31" i="17"/>
  <c r="BA10" i="17"/>
  <c r="AZ8" i="17"/>
  <c r="BA7" i="17"/>
  <c r="BA17" i="17"/>
  <c r="BC29" i="17"/>
  <c r="AT214" i="20" s="1"/>
  <c r="BC11" i="17"/>
  <c r="AT203" i="20" s="1"/>
  <c r="BC20" i="17"/>
  <c r="AT210" i="20" s="1"/>
  <c r="BA16" i="17"/>
  <c r="BC5" i="17"/>
  <c r="M20" i="17"/>
  <c r="BC34" i="17"/>
  <c r="BA11" i="17"/>
  <c r="AR203" i="20" s="1"/>
  <c r="BB17" i="17"/>
  <c r="BA34" i="17"/>
  <c r="AR217" i="20" s="1"/>
  <c r="BC31" i="17"/>
  <c r="BA8" i="17"/>
  <c r="BA20" i="17"/>
  <c r="AR210" i="20" s="1"/>
  <c r="L20" i="17"/>
  <c r="L34" i="17"/>
  <c r="BA6" i="17"/>
  <c r="BC8" i="17"/>
  <c r="BC16" i="17"/>
  <c r="BC13" i="17"/>
  <c r="AT205" i="20" s="1"/>
  <c r="BC23" i="17"/>
  <c r="BC22" i="17" s="1"/>
  <c r="BA9" i="17"/>
  <c r="BB11" i="17"/>
  <c r="AS203" i="20" s="1"/>
  <c r="BC30" i="17"/>
  <c r="BC6" i="17"/>
  <c r="BB31" i="17"/>
  <c r="BB34" i="17"/>
  <c r="BA23" i="17"/>
  <c r="BA22" i="17" s="1"/>
  <c r="AR212" i="20" s="1"/>
  <c r="BB20" i="17"/>
  <c r="AS210" i="20" s="1"/>
  <c r="BB16" i="17"/>
  <c r="BC7" i="17"/>
  <c r="BB9" i="17"/>
  <c r="BB30" i="17"/>
  <c r="BC9" i="17"/>
  <c r="BC10" i="17"/>
  <c r="BB23" i="17"/>
  <c r="BB22" i="17" s="1"/>
  <c r="K34" i="17"/>
  <c r="BC17" i="17"/>
  <c r="BC15" i="17"/>
  <c r="AT206" i="20" s="1"/>
  <c r="K29" i="17"/>
  <c r="K28" i="17" s="1"/>
  <c r="FY44" i="16"/>
  <c r="FY12" i="16" s="1"/>
  <c r="FY43" i="16"/>
  <c r="FY11" i="16" s="1"/>
  <c r="FY45" i="16"/>
  <c r="FY13" i="16" s="1"/>
  <c r="FV42" i="16"/>
  <c r="FW48" i="13"/>
  <c r="GC96" i="12"/>
  <c r="GD72" i="12"/>
  <c r="FZ49" i="23" l="1"/>
  <c r="FZ58" i="23" s="1"/>
  <c r="FZ57" i="16"/>
  <c r="FV48" i="23"/>
  <c r="G48" i="23"/>
  <c r="H48" i="23"/>
  <c r="I48" i="23"/>
  <c r="J48" i="23"/>
  <c r="FP48" i="23"/>
  <c r="FO48" i="23"/>
  <c r="FR48" i="23"/>
  <c r="FS48" i="23"/>
  <c r="FQ48" i="23"/>
  <c r="FT48" i="23"/>
  <c r="FW48" i="23"/>
  <c r="FU48" i="23"/>
  <c r="FY48" i="23"/>
  <c r="FX48" i="23"/>
  <c r="HE27" i="37"/>
  <c r="BH24" i="25"/>
  <c r="BH25" i="25" s="1"/>
  <c r="CH275" i="37"/>
  <c r="D722" i="20" s="1"/>
  <c r="DY275" i="37"/>
  <c r="EI275" i="37"/>
  <c r="CY275" i="37"/>
  <c r="D739" i="20" s="1"/>
  <c r="DV275" i="37"/>
  <c r="FP275" i="37"/>
  <c r="CO275" i="37"/>
  <c r="D729" i="20" s="1"/>
  <c r="FA275" i="37"/>
  <c r="DW275" i="37"/>
  <c r="EL275" i="37"/>
  <c r="CR275" i="37"/>
  <c r="D732" i="20" s="1"/>
  <c r="FD275" i="37"/>
  <c r="CW275" i="37"/>
  <c r="D737" i="20" s="1"/>
  <c r="DJ275" i="37"/>
  <c r="D750" i="20" s="1"/>
  <c r="EX275" i="37"/>
  <c r="DL275" i="37"/>
  <c r="D752" i="20" s="1"/>
  <c r="DD275" i="37"/>
  <c r="D744" i="20" s="1"/>
  <c r="FX275" i="37"/>
  <c r="FL275" i="37"/>
  <c r="FI275" i="37"/>
  <c r="EE275" i="37"/>
  <c r="FB275" i="37"/>
  <c r="CZ275" i="37"/>
  <c r="D740" i="20" s="1"/>
  <c r="DS275" i="37"/>
  <c r="DR275" i="37"/>
  <c r="FF275" i="37"/>
  <c r="DT275" i="37"/>
  <c r="DN275" i="37"/>
  <c r="GC275" i="37"/>
  <c r="DE275" i="37"/>
  <c r="D745" i="20" s="1"/>
  <c r="FQ275" i="37"/>
  <c r="CP275" i="37"/>
  <c r="D730" i="20" s="1"/>
  <c r="EM275" i="37"/>
  <c r="EF275" i="37"/>
  <c r="FZ275" i="37"/>
  <c r="DH275" i="37"/>
  <c r="D748" i="20" s="1"/>
  <c r="FT275" i="37"/>
  <c r="CK275" i="37"/>
  <c r="D725" i="20" s="1"/>
  <c r="EW275" i="37"/>
  <c r="EA275" i="37"/>
  <c r="FN275" i="37"/>
  <c r="FR275" i="37"/>
  <c r="EY275" i="37"/>
  <c r="EC275" i="37"/>
  <c r="DM275" i="37"/>
  <c r="FY275" i="37"/>
  <c r="DF275" i="37"/>
  <c r="D746" i="20" s="1"/>
  <c r="EQ275" i="37"/>
  <c r="EN275" i="37"/>
  <c r="DP275" i="37"/>
  <c r="GB275" i="37"/>
  <c r="CS275" i="37"/>
  <c r="D733" i="20" s="1"/>
  <c r="FE275" i="37"/>
  <c r="EH275" i="37"/>
  <c r="FV275" i="37"/>
  <c r="FG275" i="37"/>
  <c r="DU275" i="37"/>
  <c r="DA275" i="37"/>
  <c r="D741" i="20" s="1"/>
  <c r="FJ275" i="37"/>
  <c r="CQ275" i="37"/>
  <c r="D731" i="20" s="1"/>
  <c r="CM275" i="37"/>
  <c r="D727" i="20" s="1"/>
  <c r="DX275" i="37"/>
  <c r="FC275" i="37"/>
  <c r="FM275" i="37"/>
  <c r="EP275" i="37"/>
  <c r="CX275" i="37"/>
  <c r="D738" i="20" s="1"/>
  <c r="CU275" i="37"/>
  <c r="D735" i="20" s="1"/>
  <c r="FO275" i="37"/>
  <c r="EB275" i="37"/>
  <c r="ER275" i="37"/>
  <c r="GD275" i="37"/>
  <c r="ED275" i="37"/>
  <c r="CL275" i="37"/>
  <c r="D726" i="20" s="1"/>
  <c r="FK275" i="37"/>
  <c r="EG275" i="37"/>
  <c r="DI275" i="37"/>
  <c r="D749" i="20" s="1"/>
  <c r="FU275" i="37"/>
  <c r="EK275" i="37"/>
  <c r="CI275" i="37"/>
  <c r="D723" i="20" s="1"/>
  <c r="DC275" i="37"/>
  <c r="D743" i="20" s="1"/>
  <c r="EJ275" i="37"/>
  <c r="EZ275" i="37"/>
  <c r="DZ275" i="37"/>
  <c r="ET275" i="37"/>
  <c r="DG275" i="37"/>
  <c r="D747" i="20" s="1"/>
  <c r="FS275" i="37"/>
  <c r="EO275" i="37"/>
  <c r="CV275" i="37"/>
  <c r="D736" i="20" s="1"/>
  <c r="DQ275" i="37"/>
  <c r="EU275" i="37"/>
  <c r="CT275" i="37"/>
  <c r="D734" i="20" s="1"/>
  <c r="DK275" i="37"/>
  <c r="D751" i="20" s="1"/>
  <c r="FW275" i="37"/>
  <c r="CN275" i="37"/>
  <c r="D728" i="20" s="1"/>
  <c r="FH275" i="37"/>
  <c r="ES275" i="37"/>
  <c r="DO275" i="37"/>
  <c r="CJ275" i="37"/>
  <c r="D724" i="20" s="1"/>
  <c r="EV275" i="37"/>
  <c r="GA275" i="37"/>
  <c r="DB275" i="37"/>
  <c r="D742" i="20" s="1"/>
  <c r="DQ43" i="12"/>
  <c r="GE275" i="37" s="1"/>
  <c r="DR38" i="12"/>
  <c r="DR10" i="12"/>
  <c r="DR40" i="12" s="1"/>
  <c r="EG41" i="18" s="1"/>
  <c r="DQ34" i="23" s="1"/>
  <c r="GG202" i="37"/>
  <c r="EU21" i="12"/>
  <c r="EU20" i="12"/>
  <c r="EV18" i="12" s="1"/>
  <c r="GG134" i="37"/>
  <c r="ET47" i="37"/>
  <c r="HF26" i="37"/>
  <c r="V560" i="20"/>
  <c r="T560" i="20"/>
  <c r="W560" i="20"/>
  <c r="S560" i="20"/>
  <c r="X560" i="20"/>
  <c r="Z560" i="20"/>
  <c r="U560" i="20"/>
  <c r="Y560" i="20"/>
  <c r="AR207" i="20"/>
  <c r="N558" i="20"/>
  <c r="N561" i="20"/>
  <c r="N557" i="20"/>
  <c r="N560" i="20"/>
  <c r="N559" i="20"/>
  <c r="N562" i="20"/>
  <c r="N563" i="20"/>
  <c r="N564" i="20"/>
  <c r="GC5" i="23"/>
  <c r="GC92" i="23" s="1"/>
  <c r="FV16" i="23"/>
  <c r="FV20" i="23" s="1"/>
  <c r="AS207" i="20"/>
  <c r="GB11" i="11"/>
  <c r="GB54" i="13"/>
  <c r="AQ217" i="20"/>
  <c r="AS217" i="20"/>
  <c r="AT217" i="20"/>
  <c r="AD212" i="20"/>
  <c r="D260" i="20" s="1"/>
  <c r="AL212" i="20"/>
  <c r="L260" i="20" s="1"/>
  <c r="S212" i="20"/>
  <c r="F239" i="20" s="1"/>
  <c r="Q212" i="20"/>
  <c r="D239" i="20" s="1"/>
  <c r="AQ201" i="20"/>
  <c r="AT201" i="20"/>
  <c r="AQ207" i="20"/>
  <c r="AF212" i="20"/>
  <c r="F260" i="20" s="1"/>
  <c r="Z212" i="20"/>
  <c r="M239" i="20" s="1"/>
  <c r="X212" i="20"/>
  <c r="K239" i="20" s="1"/>
  <c r="F212" i="20"/>
  <c r="H212" i="20"/>
  <c r="I212" i="20"/>
  <c r="M212" i="20"/>
  <c r="P212" i="20"/>
  <c r="R212" i="20"/>
  <c r="E239" i="20" s="1"/>
  <c r="T212" i="20"/>
  <c r="G239" i="20" s="1"/>
  <c r="V212" i="20"/>
  <c r="I239" i="20" s="1"/>
  <c r="Y212" i="20"/>
  <c r="L239" i="20" s="1"/>
  <c r="AB212" i="20"/>
  <c r="O239" i="20" s="1"/>
  <c r="AE212" i="20"/>
  <c r="E260" i="20" s="1"/>
  <c r="AG212" i="20"/>
  <c r="G260" i="20" s="1"/>
  <c r="AH212" i="20"/>
  <c r="H260" i="20" s="1"/>
  <c r="AI212" i="20"/>
  <c r="I260" i="20" s="1"/>
  <c r="AJ212" i="20"/>
  <c r="J260" i="20" s="1"/>
  <c r="AN212" i="20"/>
  <c r="N260" i="20" s="1"/>
  <c r="AO212" i="20"/>
  <c r="O260" i="20" s="1"/>
  <c r="AS212" i="20"/>
  <c r="AT212" i="20"/>
  <c r="AK212" i="20"/>
  <c r="K260" i="20" s="1"/>
  <c r="AA212" i="20"/>
  <c r="N239" i="20" s="1"/>
  <c r="GE4" i="15"/>
  <c r="GE3" i="15" s="1"/>
  <c r="GD3" i="15"/>
  <c r="GA38" i="13"/>
  <c r="GA36" i="13"/>
  <c r="GA37" i="13"/>
  <c r="GA40" i="13"/>
  <c r="GA39" i="13"/>
  <c r="GA44" i="13"/>
  <c r="GA41" i="13" s="1"/>
  <c r="GA46" i="13"/>
  <c r="GA45" i="13" s="1"/>
  <c r="FZ47" i="16" s="1"/>
  <c r="FZ15" i="16" s="1"/>
  <c r="F15" i="16" s="1"/>
  <c r="GE33" i="13"/>
  <c r="S203" i="20"/>
  <c r="F230" i="20" s="1"/>
  <c r="R203" i="20"/>
  <c r="E230" i="20" s="1"/>
  <c r="AI203" i="20"/>
  <c r="I251" i="20" s="1"/>
  <c r="AB203" i="20"/>
  <c r="O230" i="20" s="1"/>
  <c r="U203" i="20"/>
  <c r="H230" i="20" s="1"/>
  <c r="T203" i="20"/>
  <c r="G230" i="20" s="1"/>
  <c r="AK203" i="20"/>
  <c r="K251" i="20" s="1"/>
  <c r="Y203" i="20"/>
  <c r="L230" i="20" s="1"/>
  <c r="AH203" i="20"/>
  <c r="H251" i="20" s="1"/>
  <c r="AA203" i="20"/>
  <c r="N230" i="20" s="1"/>
  <c r="AT207" i="20"/>
  <c r="L28" i="17"/>
  <c r="AD24" i="15"/>
  <c r="I22" i="15"/>
  <c r="FZ35" i="13"/>
  <c r="FZ48" i="13" s="1"/>
  <c r="GA31" i="12"/>
  <c r="GA30" i="12"/>
  <c r="GB28" i="12" s="1"/>
  <c r="GC16" i="12"/>
  <c r="GC15" i="12"/>
  <c r="GD13" i="12" s="1"/>
  <c r="GD15" i="12" s="1"/>
  <c r="D230" i="20"/>
  <c r="I230" i="20"/>
  <c r="J230" i="20"/>
  <c r="K230" i="20"/>
  <c r="M230" i="20"/>
  <c r="P230" i="20"/>
  <c r="D251" i="20"/>
  <c r="F251" i="20"/>
  <c r="E251" i="20"/>
  <c r="G251" i="20"/>
  <c r="J251" i="20"/>
  <c r="L251" i="20"/>
  <c r="M251" i="20"/>
  <c r="N251" i="20"/>
  <c r="O251" i="20"/>
  <c r="P251" i="20"/>
  <c r="GD96" i="12"/>
  <c r="GE72" i="12"/>
  <c r="K4" i="17"/>
  <c r="GD94" i="12"/>
  <c r="GD90" i="12"/>
  <c r="Q86" i="19"/>
  <c r="GD17" i="15"/>
  <c r="GD36" i="12"/>
  <c r="GE33" i="12"/>
  <c r="GE35" i="12" s="1"/>
  <c r="GE84" i="12"/>
  <c r="GC5" i="15"/>
  <c r="GC12" i="15"/>
  <c r="GB45" i="23" s="1"/>
  <c r="GD97" i="12"/>
  <c r="M4" i="17"/>
  <c r="FW49" i="16"/>
  <c r="FW10" i="16"/>
  <c r="O96" i="16"/>
  <c r="GD78" i="12"/>
  <c r="GE76" i="12"/>
  <c r="FY42" i="16"/>
  <c r="AZ4" i="17"/>
  <c r="L86" i="19"/>
  <c r="FX42" i="16"/>
  <c r="FY48" i="13"/>
  <c r="FW44" i="23"/>
  <c r="FX10" i="15"/>
  <c r="GD25" i="12"/>
  <c r="GE23" i="12" s="1"/>
  <c r="GD82" i="12"/>
  <c r="GE80" i="12"/>
  <c r="F16" i="17"/>
  <c r="H17" i="11"/>
  <c r="I17" i="11"/>
  <c r="G17" i="11"/>
  <c r="K17" i="11"/>
  <c r="J17" i="11"/>
  <c r="O17" i="11"/>
  <c r="M17" i="11"/>
  <c r="L17" i="11"/>
  <c r="N17" i="11"/>
  <c r="Q17" i="11"/>
  <c r="P17" i="11"/>
  <c r="S17" i="11"/>
  <c r="R17" i="11"/>
  <c r="U17" i="11"/>
  <c r="T17" i="11"/>
  <c r="V17" i="11"/>
  <c r="W17" i="11"/>
  <c r="Y17" i="11"/>
  <c r="X17" i="11"/>
  <c r="Z17" i="11"/>
  <c r="AA17" i="11"/>
  <c r="AB17" i="11"/>
  <c r="AE17" i="11"/>
  <c r="AC17" i="11"/>
  <c r="AF17" i="11"/>
  <c r="AG17" i="11"/>
  <c r="AD17" i="11"/>
  <c r="AH17" i="11"/>
  <c r="AI17" i="11"/>
  <c r="AJ17" i="11"/>
  <c r="AK17" i="11"/>
  <c r="AL17" i="11"/>
  <c r="AN17" i="11"/>
  <c r="AM17" i="11"/>
  <c r="AO17" i="11"/>
  <c r="AQ17" i="11"/>
  <c r="AP17" i="11"/>
  <c r="AR17" i="11"/>
  <c r="AS17" i="11"/>
  <c r="AT17" i="11"/>
  <c r="AU17" i="11"/>
  <c r="AX17" i="11"/>
  <c r="AW17" i="11"/>
  <c r="AV17" i="11"/>
  <c r="AY17" i="11"/>
  <c r="FY11" i="15"/>
  <c r="FY7" i="15"/>
  <c r="H239" i="20"/>
  <c r="J239" i="20"/>
  <c r="P239" i="20"/>
  <c r="M260" i="20"/>
  <c r="P260" i="20"/>
  <c r="BC4" i="17"/>
  <c r="FV10" i="16"/>
  <c r="FV49" i="16"/>
  <c r="FZ45" i="16"/>
  <c r="FZ13" i="16" s="1"/>
  <c r="FZ44" i="16"/>
  <c r="FZ12" i="16" s="1"/>
  <c r="F12" i="16" s="1"/>
  <c r="FZ43" i="16"/>
  <c r="FZ11" i="16" s="1"/>
  <c r="R86" i="19"/>
  <c r="F30" i="17"/>
  <c r="GD6" i="23"/>
  <c r="GD48" i="23" s="1"/>
  <c r="GH5" i="16"/>
  <c r="GE53" i="13"/>
  <c r="GE44" i="12"/>
  <c r="F10" i="11"/>
  <c r="F11" i="11"/>
  <c r="L94" i="16"/>
  <c r="K96" i="16"/>
  <c r="K102" i="16" s="1"/>
  <c r="GD4" i="23"/>
  <c r="AY46" i="22" s="1"/>
  <c r="L152" i="19"/>
  <c r="AY19" i="22"/>
  <c r="F23" i="17"/>
  <c r="M22" i="17"/>
  <c r="F22" i="17" s="1"/>
  <c r="F9" i="17"/>
  <c r="H96" i="16"/>
  <c r="H102" i="16" s="1"/>
  <c r="I94" i="16"/>
  <c r="GE81" i="12"/>
  <c r="GE77" i="12"/>
  <c r="GE3" i="12"/>
  <c r="GE73" i="12"/>
  <c r="GE85" i="12"/>
  <c r="FT49" i="23" l="1"/>
  <c r="FT58" i="23" s="1"/>
  <c r="FT66" i="23" s="1"/>
  <c r="FT57" i="16"/>
  <c r="FT56" i="16" s="1"/>
  <c r="FT18" i="16" s="1"/>
  <c r="J49" i="23"/>
  <c r="J58" i="23" s="1"/>
  <c r="J59" i="23" s="1"/>
  <c r="J51" i="23" s="1"/>
  <c r="Z17" i="18" s="1"/>
  <c r="Z16" i="18" s="1"/>
  <c r="J57" i="16"/>
  <c r="I49" i="23"/>
  <c r="I57" i="16"/>
  <c r="I19" i="16" s="1"/>
  <c r="FS49" i="23"/>
  <c r="FS58" i="23" s="1"/>
  <c r="FS57" i="16"/>
  <c r="FS56" i="16" s="1"/>
  <c r="FS18" i="16" s="1"/>
  <c r="FQ49" i="23"/>
  <c r="FQ58" i="23" s="1"/>
  <c r="FQ66" i="23" s="1"/>
  <c r="FQ57" i="16"/>
  <c r="FQ56" i="16" s="1"/>
  <c r="FQ18" i="16" s="1"/>
  <c r="FR49" i="23"/>
  <c r="FR57" i="16"/>
  <c r="FR56" i="16" s="1"/>
  <c r="FR18" i="16" s="1"/>
  <c r="H49" i="23"/>
  <c r="H57" i="16"/>
  <c r="GD57" i="16"/>
  <c r="FX49" i="23"/>
  <c r="FX58" i="23" s="1"/>
  <c r="FX66" i="23" s="1"/>
  <c r="FX57" i="16"/>
  <c r="G57" i="16"/>
  <c r="FY49" i="23"/>
  <c r="FY57" i="16"/>
  <c r="FY56" i="16" s="1"/>
  <c r="FY18" i="16" s="1"/>
  <c r="FV49" i="23"/>
  <c r="FV58" i="23" s="1"/>
  <c r="FV66" i="23" s="1"/>
  <c r="FV57" i="16"/>
  <c r="FU49" i="23"/>
  <c r="FU58" i="23" s="1"/>
  <c r="FU66" i="23" s="1"/>
  <c r="FU57" i="16"/>
  <c r="FU19" i="16" s="1"/>
  <c r="FO49" i="23"/>
  <c r="FO58" i="23" s="1"/>
  <c r="FO57" i="16"/>
  <c r="FO56" i="16" s="1"/>
  <c r="FO18" i="16" s="1"/>
  <c r="FW49" i="23"/>
  <c r="FW58" i="23" s="1"/>
  <c r="FW57" i="16"/>
  <c r="FW56" i="16" s="1"/>
  <c r="FW18" i="16" s="1"/>
  <c r="FP49" i="23"/>
  <c r="FP58" i="23" s="1"/>
  <c r="FP66" i="23" s="1"/>
  <c r="FP57" i="16"/>
  <c r="GA48" i="23"/>
  <c r="G49" i="23"/>
  <c r="G58" i="23" s="1"/>
  <c r="GB48" i="23"/>
  <c r="GC48" i="23"/>
  <c r="HF27" i="37"/>
  <c r="ET48" i="37"/>
  <c r="EU47" i="37" s="1"/>
  <c r="DS8" i="12"/>
  <c r="DS38" i="12"/>
  <c r="DS10" i="12"/>
  <c r="DR43" i="12"/>
  <c r="GF275" i="37" s="1"/>
  <c r="GH202" i="37"/>
  <c r="EV21" i="12"/>
  <c r="EV20" i="12"/>
  <c r="EW18" i="12" s="1"/>
  <c r="GH134" i="37"/>
  <c r="HG26" i="37"/>
  <c r="HG27" i="37" s="1"/>
  <c r="S565" i="20"/>
  <c r="T558" i="20" s="1"/>
  <c r="T565" i="20" s="1"/>
  <c r="U558" i="20" s="1"/>
  <c r="U565" i="20" s="1"/>
  <c r="V558" i="20" s="1"/>
  <c r="V565" i="20" s="1"/>
  <c r="W558" i="20" s="1"/>
  <c r="W565" i="20" s="1"/>
  <c r="X558" i="20" s="1"/>
  <c r="X565" i="20" s="1"/>
  <c r="Y558" i="20" s="1"/>
  <c r="Y565" i="20" s="1"/>
  <c r="Z558" i="20" s="1"/>
  <c r="Z565" i="20" s="1"/>
  <c r="R560" i="20"/>
  <c r="AC53" i="37"/>
  <c r="B212" i="20"/>
  <c r="H19" i="16"/>
  <c r="H56" i="16"/>
  <c r="H18" i="16" s="1"/>
  <c r="J19" i="16"/>
  <c r="J56" i="16"/>
  <c r="J18" i="16" s="1"/>
  <c r="FZ16" i="23"/>
  <c r="FZ20" i="23" s="1"/>
  <c r="FP56" i="16"/>
  <c r="FP18" i="16" s="1"/>
  <c r="FP19" i="16"/>
  <c r="FX16" i="23"/>
  <c r="FX20" i="23" s="1"/>
  <c r="N565" i="20"/>
  <c r="FZ66" i="23"/>
  <c r="FU16" i="23"/>
  <c r="FU20" i="23" s="1"/>
  <c r="FW16" i="23"/>
  <c r="FW20" i="23" s="1"/>
  <c r="FR16" i="23"/>
  <c r="FR20" i="23" s="1"/>
  <c r="G16" i="23"/>
  <c r="FQ16" i="23"/>
  <c r="FQ20" i="23" s="1"/>
  <c r="FP16" i="23"/>
  <c r="FP20" i="23" s="1"/>
  <c r="FT16" i="23"/>
  <c r="FT20" i="23" s="1"/>
  <c r="FS16" i="23"/>
  <c r="FS20" i="23" s="1"/>
  <c r="FY16" i="23"/>
  <c r="FY20" i="23" s="1"/>
  <c r="FO16" i="23"/>
  <c r="FO20" i="23" s="1"/>
  <c r="GD5" i="23"/>
  <c r="GD92" i="23" s="1"/>
  <c r="GE47" i="13"/>
  <c r="F47" i="13" s="1"/>
  <c r="D105" i="20"/>
  <c r="GC54" i="13"/>
  <c r="GC11" i="11"/>
  <c r="H600" i="20"/>
  <c r="V581" i="20" s="1"/>
  <c r="K598" i="20"/>
  <c r="Y580" i="20" s="1"/>
  <c r="E596" i="20"/>
  <c r="S579" i="20" s="1"/>
  <c r="L598" i="20"/>
  <c r="Z580" i="20" s="1"/>
  <c r="K602" i="20"/>
  <c r="Y582" i="20" s="1"/>
  <c r="H602" i="20"/>
  <c r="V582" i="20" s="1"/>
  <c r="L602" i="20"/>
  <c r="Z582" i="20" s="1"/>
  <c r="G602" i="20"/>
  <c r="U582" i="20" s="1"/>
  <c r="F600" i="20"/>
  <c r="T581" i="20" s="1"/>
  <c r="H596" i="20"/>
  <c r="V579" i="20" s="1"/>
  <c r="K596" i="20"/>
  <c r="Y579" i="20" s="1"/>
  <c r="F602" i="20"/>
  <c r="T582" i="20" s="1"/>
  <c r="I598" i="20"/>
  <c r="W580" i="20" s="1"/>
  <c r="J598" i="20"/>
  <c r="X580" i="20" s="1"/>
  <c r="F598" i="20"/>
  <c r="T580" i="20" s="1"/>
  <c r="I602" i="20"/>
  <c r="W582" i="20" s="1"/>
  <c r="G598" i="20"/>
  <c r="U580" i="20" s="1"/>
  <c r="J596" i="20"/>
  <c r="X579" i="20" s="1"/>
  <c r="H598" i="20"/>
  <c r="V580" i="20" s="1"/>
  <c r="E602" i="20"/>
  <c r="S582" i="20" s="1"/>
  <c r="F596" i="20"/>
  <c r="T579" i="20" s="1"/>
  <c r="E600" i="20"/>
  <c r="S581" i="20" s="1"/>
  <c r="E598" i="20"/>
  <c r="S580" i="20" s="1"/>
  <c r="G596" i="20"/>
  <c r="U579" i="20" s="1"/>
  <c r="L596" i="20"/>
  <c r="Z579" i="20" s="1"/>
  <c r="J600" i="20"/>
  <c r="X581" i="20" s="1"/>
  <c r="K600" i="20"/>
  <c r="Y581" i="20" s="1"/>
  <c r="G600" i="20"/>
  <c r="U581" i="20" s="1"/>
  <c r="J602" i="20"/>
  <c r="X582" i="20" s="1"/>
  <c r="L600" i="20"/>
  <c r="Z581" i="20" s="1"/>
  <c r="I600" i="20"/>
  <c r="W581" i="20" s="1"/>
  <c r="I596" i="20"/>
  <c r="W579" i="20" s="1"/>
  <c r="GB40" i="13"/>
  <c r="GB36" i="13"/>
  <c r="GB38" i="13"/>
  <c r="GB39" i="13"/>
  <c r="GB37" i="13"/>
  <c r="GB44" i="13"/>
  <c r="GB46" i="13"/>
  <c r="GE42" i="13"/>
  <c r="AH24" i="15"/>
  <c r="AQ24" i="15"/>
  <c r="L26" i="15"/>
  <c r="K24" i="15"/>
  <c r="K25" i="15"/>
  <c r="M93" i="19" s="1"/>
  <c r="AP24" i="15"/>
  <c r="AP26" i="15"/>
  <c r="AJ24" i="15"/>
  <c r="AI18" i="13"/>
  <c r="AK18" i="13"/>
  <c r="AJ18" i="13"/>
  <c r="AJ16" i="13" s="1"/>
  <c r="AL18" i="13"/>
  <c r="AM18" i="13"/>
  <c r="AN18" i="13"/>
  <c r="AO18" i="13"/>
  <c r="AQ18" i="13"/>
  <c r="AP18" i="13"/>
  <c r="AS18" i="13"/>
  <c r="AT18" i="13"/>
  <c r="AT16" i="13" s="1"/>
  <c r="AR18" i="13"/>
  <c r="AU18" i="13"/>
  <c r="AV18" i="13"/>
  <c r="AW18" i="13"/>
  <c r="AW16" i="13" s="1"/>
  <c r="AX18" i="13"/>
  <c r="AY18" i="13"/>
  <c r="BB18" i="13"/>
  <c r="BA18" i="13"/>
  <c r="AZ18" i="13"/>
  <c r="BE18" i="13"/>
  <c r="BD18" i="13"/>
  <c r="BC18" i="13"/>
  <c r="BF18" i="13"/>
  <c r="F42" i="13"/>
  <c r="J60" i="13"/>
  <c r="I59" i="13"/>
  <c r="I61" i="13"/>
  <c r="K63" i="13"/>
  <c r="J63" i="13"/>
  <c r="J59" i="13"/>
  <c r="I60" i="13"/>
  <c r="I64" i="13"/>
  <c r="K61" i="13"/>
  <c r="K59" i="13"/>
  <c r="K64" i="13"/>
  <c r="J64" i="13"/>
  <c r="K62" i="13"/>
  <c r="I63" i="13"/>
  <c r="J62" i="13"/>
  <c r="I62" i="13"/>
  <c r="J61" i="13"/>
  <c r="N63" i="13"/>
  <c r="M63" i="13"/>
  <c r="K60" i="13"/>
  <c r="L61" i="13"/>
  <c r="L64" i="13"/>
  <c r="M64" i="13"/>
  <c r="M60" i="13"/>
  <c r="O64" i="13"/>
  <c r="L63" i="13"/>
  <c r="M61" i="13"/>
  <c r="L60" i="13"/>
  <c r="N60" i="13"/>
  <c r="N61" i="13"/>
  <c r="N64" i="13"/>
  <c r="O63" i="13"/>
  <c r="P61" i="13"/>
  <c r="O61" i="13"/>
  <c r="P63" i="13"/>
  <c r="O60" i="13"/>
  <c r="Q61" i="13"/>
  <c r="P60" i="13"/>
  <c r="Q64" i="13"/>
  <c r="P64" i="13"/>
  <c r="Q60" i="13"/>
  <c r="Q63" i="13"/>
  <c r="R61" i="13"/>
  <c r="S64" i="13"/>
  <c r="R64" i="13"/>
  <c r="T60" i="13"/>
  <c r="S63" i="13"/>
  <c r="S61" i="13"/>
  <c r="S60" i="13"/>
  <c r="R60" i="13"/>
  <c r="T63" i="13"/>
  <c r="T61" i="13"/>
  <c r="R63" i="13"/>
  <c r="U64" i="13"/>
  <c r="U60" i="13"/>
  <c r="T64" i="13"/>
  <c r="U63" i="13"/>
  <c r="V60" i="13"/>
  <c r="V64" i="13"/>
  <c r="U61" i="13"/>
  <c r="V63" i="13"/>
  <c r="W64" i="13"/>
  <c r="V61" i="13"/>
  <c r="W60" i="13"/>
  <c r="W61" i="13"/>
  <c r="W63" i="13"/>
  <c r="X61" i="13"/>
  <c r="X64" i="13"/>
  <c r="X63" i="13"/>
  <c r="Y61" i="13"/>
  <c r="X60" i="13"/>
  <c r="Y64" i="13"/>
  <c r="AB63" i="13"/>
  <c r="Z64" i="13"/>
  <c r="Y60" i="13"/>
  <c r="AA63" i="13"/>
  <c r="Y63" i="13"/>
  <c r="Z61" i="13"/>
  <c r="AA61" i="13"/>
  <c r="AA60" i="13"/>
  <c r="Z63" i="13"/>
  <c r="Z60" i="13"/>
  <c r="AC61" i="13"/>
  <c r="AB64" i="13"/>
  <c r="AC64" i="13"/>
  <c r="AB60" i="13"/>
  <c r="AB61" i="13"/>
  <c r="AA64" i="13"/>
  <c r="AD64" i="13"/>
  <c r="AD60" i="13"/>
  <c r="AC63" i="13"/>
  <c r="AD61" i="13"/>
  <c r="AD63" i="13"/>
  <c r="AC60" i="13"/>
  <c r="AE61" i="13"/>
  <c r="AF64" i="13"/>
  <c r="AE60" i="13"/>
  <c r="AG63" i="13"/>
  <c r="AE63" i="13"/>
  <c r="AE64" i="13"/>
  <c r="AF60" i="13"/>
  <c r="AG61" i="13"/>
  <c r="AH63" i="13"/>
  <c r="AG60" i="13"/>
  <c r="AF63" i="13"/>
  <c r="AF61" i="13"/>
  <c r="AG64" i="13"/>
  <c r="AH61" i="13"/>
  <c r="AI61" i="13"/>
  <c r="AH64" i="13"/>
  <c r="AI63" i="13"/>
  <c r="AJ61" i="13"/>
  <c r="AJ64" i="13"/>
  <c r="AH60" i="13"/>
  <c r="AI60" i="13"/>
  <c r="AI64" i="13"/>
  <c r="AJ60" i="13"/>
  <c r="AK63" i="13"/>
  <c r="AJ63" i="13"/>
  <c r="AL63" i="13"/>
  <c r="AK60" i="13"/>
  <c r="AK64" i="13"/>
  <c r="AK61" i="13"/>
  <c r="AL64" i="13"/>
  <c r="AM60" i="13"/>
  <c r="AL61" i="13"/>
  <c r="AL60" i="13"/>
  <c r="AM63" i="13"/>
  <c r="AN60" i="13"/>
  <c r="AN64" i="13"/>
  <c r="AM64" i="13"/>
  <c r="AM61" i="13"/>
  <c r="AO61" i="13"/>
  <c r="AN61" i="13"/>
  <c r="AN63" i="13"/>
  <c r="AP63" i="13"/>
  <c r="AQ61" i="13"/>
  <c r="AO63" i="13"/>
  <c r="AP60" i="13"/>
  <c r="AP61" i="13"/>
  <c r="AO60" i="13"/>
  <c r="AP64" i="13"/>
  <c r="AQ60" i="13"/>
  <c r="AS61" i="13"/>
  <c r="AR64" i="13"/>
  <c r="AQ64" i="13"/>
  <c r="AO64" i="13"/>
  <c r="AR60" i="13"/>
  <c r="AR61" i="13"/>
  <c r="AS60" i="13"/>
  <c r="AS64" i="13"/>
  <c r="AT63" i="13"/>
  <c r="AQ63" i="13"/>
  <c r="AT60" i="13"/>
  <c r="AS63" i="13"/>
  <c r="AT61" i="13"/>
  <c r="AR63" i="13"/>
  <c r="AU60" i="13"/>
  <c r="AT64" i="13"/>
  <c r="AV64" i="13"/>
  <c r="AU63" i="13"/>
  <c r="AU61" i="13"/>
  <c r="AU64" i="13"/>
  <c r="AX59" i="13"/>
  <c r="AV61" i="13"/>
  <c r="AW63" i="13"/>
  <c r="AW62" i="13"/>
  <c r="AV63" i="13"/>
  <c r="AX61" i="13"/>
  <c r="AY63" i="13"/>
  <c r="AX60" i="13"/>
  <c r="AX63" i="13"/>
  <c r="AW59" i="13"/>
  <c r="AW64" i="13"/>
  <c r="AV60" i="13"/>
  <c r="AW61" i="13"/>
  <c r="AY62" i="13"/>
  <c r="AX62" i="13"/>
  <c r="AY64" i="13"/>
  <c r="AW60" i="13"/>
  <c r="AX64" i="13"/>
  <c r="AY61" i="13"/>
  <c r="AY60" i="13"/>
  <c r="I68" i="13"/>
  <c r="I69" i="13"/>
  <c r="K68" i="13"/>
  <c r="D966" i="20" s="1"/>
  <c r="J68" i="13"/>
  <c r="J69" i="13"/>
  <c r="O69" i="13"/>
  <c r="O68" i="13"/>
  <c r="Q68" i="13"/>
  <c r="Q69" i="13"/>
  <c r="P68" i="13"/>
  <c r="P69" i="13"/>
  <c r="R68" i="13"/>
  <c r="R69" i="13"/>
  <c r="S69" i="13"/>
  <c r="T69" i="13"/>
  <c r="S68" i="13"/>
  <c r="T68" i="13"/>
  <c r="W68" i="13"/>
  <c r="V69" i="13"/>
  <c r="U69" i="13"/>
  <c r="U68" i="13"/>
  <c r="V68" i="13"/>
  <c r="W69" i="13"/>
  <c r="X68" i="13"/>
  <c r="Z69" i="13"/>
  <c r="X69" i="13"/>
  <c r="Y68" i="13"/>
  <c r="Z68" i="13"/>
  <c r="AB68" i="13"/>
  <c r="AA69" i="13"/>
  <c r="Y69" i="13"/>
  <c r="AC69" i="13"/>
  <c r="AC68" i="13"/>
  <c r="AA68" i="13"/>
  <c r="AB69" i="13"/>
  <c r="AD69" i="13"/>
  <c r="AD68" i="13"/>
  <c r="AE69" i="13"/>
  <c r="AF68" i="13"/>
  <c r="AE68" i="13"/>
  <c r="AH69" i="13"/>
  <c r="AF69" i="13"/>
  <c r="AG69" i="13"/>
  <c r="AG68" i="13"/>
  <c r="AI68" i="13"/>
  <c r="AJ69" i="13"/>
  <c r="AI69" i="13"/>
  <c r="AH68" i="13"/>
  <c r="AJ68" i="13"/>
  <c r="AK68" i="13"/>
  <c r="AL69" i="13"/>
  <c r="AK69" i="13"/>
  <c r="AO69" i="13"/>
  <c r="AL68" i="13"/>
  <c r="AN68" i="13"/>
  <c r="AM68" i="13"/>
  <c r="AN69" i="13"/>
  <c r="AM69" i="13"/>
  <c r="AP68" i="13"/>
  <c r="AO68" i="13"/>
  <c r="AP69" i="13"/>
  <c r="AQ69" i="13"/>
  <c r="AS69" i="13"/>
  <c r="AQ68" i="13"/>
  <c r="AR68" i="13"/>
  <c r="AR69" i="13"/>
  <c r="AU69" i="13"/>
  <c r="AS68" i="13"/>
  <c r="AT69" i="13"/>
  <c r="AT68" i="13"/>
  <c r="AW69" i="13"/>
  <c r="AU68" i="13"/>
  <c r="AV69" i="13"/>
  <c r="AV68" i="13"/>
  <c r="AX68" i="13"/>
  <c r="AX69" i="13"/>
  <c r="AW68" i="13"/>
  <c r="AZ69" i="13"/>
  <c r="AY69" i="13"/>
  <c r="AY68" i="13"/>
  <c r="AZ68" i="13"/>
  <c r="H68" i="13"/>
  <c r="H64" i="13"/>
  <c r="H60" i="13"/>
  <c r="H62" i="13"/>
  <c r="H61" i="13"/>
  <c r="H59" i="13"/>
  <c r="H69" i="13"/>
  <c r="J86" i="19" s="1"/>
  <c r="J88" i="19" s="1"/>
  <c r="H63" i="13"/>
  <c r="AV16" i="13"/>
  <c r="BF16" i="13"/>
  <c r="AZ16" i="13"/>
  <c r="BE16" i="13"/>
  <c r="AL16" i="13"/>
  <c r="BB16" i="13"/>
  <c r="AR16" i="13"/>
  <c r="AK16" i="13"/>
  <c r="AS16" i="13"/>
  <c r="AP16" i="13"/>
  <c r="AM16" i="13"/>
  <c r="AX16" i="13"/>
  <c r="AO16" i="13"/>
  <c r="BA16" i="13"/>
  <c r="AY16" i="13"/>
  <c r="AQ16" i="13"/>
  <c r="BC16" i="13"/>
  <c r="AI16" i="13"/>
  <c r="AN16" i="13"/>
  <c r="AU16" i="13"/>
  <c r="BD16" i="13"/>
  <c r="AS508" i="20"/>
  <c r="AT200" i="20"/>
  <c r="AT202" i="20" s="1"/>
  <c r="AP508" i="20"/>
  <c r="AQ200" i="20"/>
  <c r="AQ202" i="20" s="1"/>
  <c r="AG26" i="15"/>
  <c r="V24" i="15"/>
  <c r="K22" i="15"/>
  <c r="AQ26" i="15"/>
  <c r="J22" i="15"/>
  <c r="AS24" i="15"/>
  <c r="N22" i="15"/>
  <c r="AH26" i="15"/>
  <c r="AT24" i="15"/>
  <c r="AI26" i="15"/>
  <c r="Y26" i="15"/>
  <c r="M22" i="15"/>
  <c r="J26" i="15"/>
  <c r="AF24" i="15"/>
  <c r="U26" i="15"/>
  <c r="L22" i="15"/>
  <c r="AD26" i="15"/>
  <c r="K26" i="15"/>
  <c r="AJ26" i="15"/>
  <c r="P26" i="15"/>
  <c r="GA35" i="13"/>
  <c r="GA48" i="13" s="1"/>
  <c r="AE24" i="15"/>
  <c r="J24" i="15"/>
  <c r="AB24" i="15"/>
  <c r="I25" i="15"/>
  <c r="AO26" i="15"/>
  <c r="AE26" i="15"/>
  <c r="I21" i="15"/>
  <c r="H24" i="15"/>
  <c r="AB26" i="15"/>
  <c r="S24" i="15"/>
  <c r="H25" i="15"/>
  <c r="J93" i="19" s="1"/>
  <c r="T26" i="15"/>
  <c r="AF26" i="15"/>
  <c r="J21" i="15"/>
  <c r="H21" i="15"/>
  <c r="AM26" i="15"/>
  <c r="AW22" i="15"/>
  <c r="V26" i="15"/>
  <c r="AY26" i="15"/>
  <c r="AN24" i="15"/>
  <c r="AX21" i="15"/>
  <c r="AZ24" i="15"/>
  <c r="AM24" i="15"/>
  <c r="Q24" i="15"/>
  <c r="AC26" i="15"/>
  <c r="U24" i="15"/>
  <c r="J25" i="15"/>
  <c r="L93" i="19" s="1"/>
  <c r="S26" i="15"/>
  <c r="AW25" i="15"/>
  <c r="AY93" i="19" s="1"/>
  <c r="Q26" i="15"/>
  <c r="Q22" i="15"/>
  <c r="AX22" i="15"/>
  <c r="AL26" i="15"/>
  <c r="Y24" i="15"/>
  <c r="R26" i="15"/>
  <c r="AA24" i="15"/>
  <c r="AZ26" i="15"/>
  <c r="AO24" i="15"/>
  <c r="I24" i="15"/>
  <c r="T24" i="15"/>
  <c r="D212" i="20"/>
  <c r="AY21" i="15"/>
  <c r="AX25" i="15"/>
  <c r="AZ93" i="19" s="1"/>
  <c r="AX26" i="15"/>
  <c r="Z24" i="15"/>
  <c r="AV24" i="15"/>
  <c r="AK24" i="15"/>
  <c r="P22" i="15"/>
  <c r="AA26" i="15"/>
  <c r="O22" i="15"/>
  <c r="AK26" i="15"/>
  <c r="AT26" i="15"/>
  <c r="O26" i="15"/>
  <c r="AW24" i="15"/>
  <c r="AN26" i="15"/>
  <c r="AX24" i="15"/>
  <c r="AL24" i="15"/>
  <c r="R24" i="15"/>
  <c r="AY24" i="15"/>
  <c r="H22" i="15"/>
  <c r="P24" i="15"/>
  <c r="AW21" i="15"/>
  <c r="AR26" i="15"/>
  <c r="M24" i="15"/>
  <c r="AU24" i="15"/>
  <c r="AI24" i="15"/>
  <c r="AC24" i="15"/>
  <c r="AW26" i="15"/>
  <c r="O24" i="15"/>
  <c r="X26" i="15"/>
  <c r="M26" i="15"/>
  <c r="AU26" i="15"/>
  <c r="N24" i="15"/>
  <c r="AS26" i="15"/>
  <c r="AR24" i="15"/>
  <c r="AG24" i="15"/>
  <c r="W24" i="15"/>
  <c r="L24" i="15"/>
  <c r="X24" i="15"/>
  <c r="W26" i="15"/>
  <c r="Z26" i="15"/>
  <c r="N26" i="15"/>
  <c r="AV26" i="15"/>
  <c r="GB45" i="13"/>
  <c r="GB41" i="13"/>
  <c r="I96" i="16"/>
  <c r="I102" i="16" s="1"/>
  <c r="Y26" i="18" s="1"/>
  <c r="J94" i="16"/>
  <c r="J96" i="16" s="1"/>
  <c r="J102" i="16" s="1"/>
  <c r="Z26" i="18" s="1"/>
  <c r="BB8" i="17"/>
  <c r="AW4" i="19"/>
  <c r="AT18" i="11"/>
  <c r="AO4" i="19"/>
  <c r="AL18" i="11"/>
  <c r="AF4" i="19"/>
  <c r="AC18" i="11"/>
  <c r="Y4" i="19"/>
  <c r="V18" i="11"/>
  <c r="O4" i="19"/>
  <c r="L18" i="11"/>
  <c r="FX49" i="16"/>
  <c r="FX10" i="16"/>
  <c r="FX9" i="16" s="1"/>
  <c r="GE96" i="12"/>
  <c r="GE25" i="12"/>
  <c r="X26" i="18"/>
  <c r="H103" i="16"/>
  <c r="L96" i="16"/>
  <c r="L102" i="16" s="1"/>
  <c r="M94" i="16"/>
  <c r="M96" i="16" s="1"/>
  <c r="M102" i="16" s="1"/>
  <c r="AV4" i="19"/>
  <c r="AS18" i="11"/>
  <c r="AN4" i="19"/>
  <c r="AK18" i="11"/>
  <c r="AH4" i="19"/>
  <c r="AE18" i="11"/>
  <c r="W4" i="19"/>
  <c r="T18" i="11"/>
  <c r="P4" i="19"/>
  <c r="M18" i="11"/>
  <c r="GE82" i="12"/>
  <c r="GE36" i="12"/>
  <c r="GE97" i="12"/>
  <c r="AU4" i="19"/>
  <c r="AR18" i="11"/>
  <c r="AM4" i="19"/>
  <c r="AJ18" i="11"/>
  <c r="AE4" i="19"/>
  <c r="AB18" i="11"/>
  <c r="X4" i="19"/>
  <c r="U18" i="11"/>
  <c r="R4" i="19"/>
  <c r="O18" i="11"/>
  <c r="BB7" i="17"/>
  <c r="F7" i="17" s="1"/>
  <c r="FV9" i="16"/>
  <c r="BA5" i="17"/>
  <c r="AR201" i="20" s="1"/>
  <c r="BB4" i="19"/>
  <c r="AY18" i="11"/>
  <c r="AS4" i="19"/>
  <c r="AP18" i="11"/>
  <c r="AL4" i="19"/>
  <c r="AI18" i="11"/>
  <c r="AD4" i="19"/>
  <c r="AA18" i="11"/>
  <c r="U4" i="19"/>
  <c r="R18" i="11"/>
  <c r="M4" i="19"/>
  <c r="J18" i="11"/>
  <c r="GE78" i="12"/>
  <c r="O102" i="16"/>
  <c r="GD5" i="15"/>
  <c r="GD12" i="15"/>
  <c r="GC45" i="23" s="1"/>
  <c r="GD16" i="12"/>
  <c r="GE13" i="12"/>
  <c r="GE16" i="12" s="1"/>
  <c r="GE94" i="12"/>
  <c r="GE90" i="12"/>
  <c r="F11" i="16"/>
  <c r="BB6" i="17"/>
  <c r="F6" i="17" s="1"/>
  <c r="FX44" i="23"/>
  <c r="FY10" i="15"/>
  <c r="AY4" i="19"/>
  <c r="AV18" i="11"/>
  <c r="AT4" i="19"/>
  <c r="AQ18" i="11"/>
  <c r="AK4" i="19"/>
  <c r="AH18" i="11"/>
  <c r="AC4" i="19"/>
  <c r="Z18" i="11"/>
  <c r="V4" i="19"/>
  <c r="S18" i="11"/>
  <c r="N4" i="19"/>
  <c r="K18" i="11"/>
  <c r="L87" i="19"/>
  <c r="L88" i="19" s="1"/>
  <c r="FY10" i="16"/>
  <c r="FY9" i="16" s="1"/>
  <c r="FY49" i="16"/>
  <c r="AB125" i="25"/>
  <c r="AB122" i="25" s="1"/>
  <c r="AB126" i="25" s="1"/>
  <c r="GD118" i="23"/>
  <c r="F118" i="23" s="1"/>
  <c r="GE17" i="15"/>
  <c r="GB18" i="15" s="1"/>
  <c r="GC18" i="15" s="1"/>
  <c r="GD18" i="15" s="1"/>
  <c r="GE18" i="15" s="1"/>
  <c r="F53" i="13"/>
  <c r="AZ4" i="19"/>
  <c r="AW18" i="11"/>
  <c r="AR4" i="19"/>
  <c r="AO18" i="11"/>
  <c r="AG4" i="19"/>
  <c r="AD18" i="11"/>
  <c r="AA4" i="19"/>
  <c r="X18" i="11"/>
  <c r="S4" i="19"/>
  <c r="P18" i="11"/>
  <c r="J4" i="19"/>
  <c r="G18" i="11"/>
  <c r="F17" i="11"/>
  <c r="FW9" i="16"/>
  <c r="GB31" i="12"/>
  <c r="GB30" i="12"/>
  <c r="GC28" i="12" s="1"/>
  <c r="J62" i="12"/>
  <c r="Q7" i="6" s="1"/>
  <c r="H61" i="12"/>
  <c r="H65" i="12"/>
  <c r="J65" i="12"/>
  <c r="J66" i="12" s="1"/>
  <c r="M37" i="19"/>
  <c r="D366" i="20" s="1"/>
  <c r="I103" i="12"/>
  <c r="L37" i="19"/>
  <c r="K103" i="12"/>
  <c r="I61" i="12"/>
  <c r="I65" i="12"/>
  <c r="I66" i="12" s="1"/>
  <c r="H103" i="12"/>
  <c r="J61" i="12"/>
  <c r="L103" i="12"/>
  <c r="K37" i="19"/>
  <c r="J103" i="12"/>
  <c r="K61" i="12"/>
  <c r="O32" i="17"/>
  <c r="N37" i="19"/>
  <c r="E366" i="20" s="1"/>
  <c r="N32" i="17"/>
  <c r="E215" i="20" s="1"/>
  <c r="L62" i="12"/>
  <c r="Q9" i="6" s="1"/>
  <c r="M62" i="12"/>
  <c r="Q10" i="6" s="1"/>
  <c r="K62" i="12"/>
  <c r="H62" i="12"/>
  <c r="P32" i="17"/>
  <c r="M103" i="12"/>
  <c r="O37" i="19"/>
  <c r="P37" i="19"/>
  <c r="N103" i="12"/>
  <c r="L61" i="12"/>
  <c r="O62" i="12"/>
  <c r="M61" i="12"/>
  <c r="O61" i="12"/>
  <c r="N62" i="12"/>
  <c r="N61" i="12"/>
  <c r="Q37" i="19"/>
  <c r="H366" i="20" s="1"/>
  <c r="Q32" i="17"/>
  <c r="H215" i="20" s="1"/>
  <c r="O103" i="12"/>
  <c r="R32" i="17"/>
  <c r="I215" i="20" s="1"/>
  <c r="R37" i="19"/>
  <c r="I366" i="20" s="1"/>
  <c r="P62" i="12"/>
  <c r="Q13" i="6" s="1"/>
  <c r="P61" i="12"/>
  <c r="S37" i="19"/>
  <c r="P103" i="12"/>
  <c r="S32" i="17"/>
  <c r="R62" i="12"/>
  <c r="Q15" i="6" s="1"/>
  <c r="T32" i="17"/>
  <c r="R103" i="12"/>
  <c r="U32" i="17"/>
  <c r="Q103" i="12"/>
  <c r="Q61" i="12"/>
  <c r="Q62" i="12"/>
  <c r="U37" i="19"/>
  <c r="V32" i="17"/>
  <c r="M215" i="20" s="1"/>
  <c r="T37" i="19"/>
  <c r="K366" i="20" s="1"/>
  <c r="W32" i="17"/>
  <c r="N215" i="20" s="1"/>
  <c r="Y37" i="19"/>
  <c r="R61" i="12"/>
  <c r="S103" i="12"/>
  <c r="T103" i="12"/>
  <c r="W37" i="19"/>
  <c r="N366" i="20" s="1"/>
  <c r="S61" i="12"/>
  <c r="T61" i="12"/>
  <c r="T62" i="12"/>
  <c r="U61" i="12"/>
  <c r="V62" i="12"/>
  <c r="W62" i="12"/>
  <c r="V37" i="19"/>
  <c r="M366" i="20" s="1"/>
  <c r="S62" i="12"/>
  <c r="U62" i="12"/>
  <c r="U103" i="12"/>
  <c r="X32" i="17"/>
  <c r="O215" i="20" s="1"/>
  <c r="V103" i="12"/>
  <c r="Y32" i="17"/>
  <c r="P215" i="20" s="1"/>
  <c r="X103" i="12"/>
  <c r="X37" i="19"/>
  <c r="O366" i="20" s="1"/>
  <c r="W103" i="12"/>
  <c r="V61" i="12"/>
  <c r="AA32" i="17"/>
  <c r="Z37" i="19"/>
  <c r="X62" i="12"/>
  <c r="Z32" i="17"/>
  <c r="W61" i="12"/>
  <c r="Z103" i="12"/>
  <c r="X61" i="12"/>
  <c r="Y61" i="12"/>
  <c r="AB32" i="17"/>
  <c r="AB37" i="19"/>
  <c r="Y62" i="12"/>
  <c r="AA37" i="19"/>
  <c r="AD32" i="17"/>
  <c r="Z61" i="12"/>
  <c r="Z62" i="12"/>
  <c r="Y103" i="12"/>
  <c r="AC32" i="17"/>
  <c r="AC37" i="19"/>
  <c r="AA62" i="12"/>
  <c r="AB103" i="12"/>
  <c r="AA61" i="12"/>
  <c r="AB61" i="12"/>
  <c r="AA103" i="12"/>
  <c r="AC103" i="12"/>
  <c r="AC61" i="12"/>
  <c r="AF32" i="17"/>
  <c r="AE37" i="19"/>
  <c r="AD37" i="19"/>
  <c r="AC62" i="12"/>
  <c r="AE32" i="17"/>
  <c r="AB62" i="12"/>
  <c r="AF37" i="19"/>
  <c r="AD62" i="12"/>
  <c r="AG32" i="17"/>
  <c r="X215" i="20" s="1"/>
  <c r="AF103" i="12"/>
  <c r="AE62" i="12"/>
  <c r="AD103" i="12"/>
  <c r="AD61" i="12"/>
  <c r="AH32" i="17"/>
  <c r="Y215" i="20" s="1"/>
  <c r="AE61" i="12"/>
  <c r="AG103" i="12"/>
  <c r="AK32" i="17"/>
  <c r="AB215" i="20" s="1"/>
  <c r="AG62" i="12"/>
  <c r="AF61" i="12"/>
  <c r="AG37" i="19"/>
  <c r="AE103" i="12"/>
  <c r="AG61" i="12"/>
  <c r="AI32" i="17"/>
  <c r="AH37" i="19"/>
  <c r="AI37" i="19"/>
  <c r="AF62" i="12"/>
  <c r="AH62" i="12"/>
  <c r="AJ103" i="12"/>
  <c r="AJ32" i="17"/>
  <c r="AA215" i="20" s="1"/>
  <c r="AH61" i="12"/>
  <c r="AH103" i="12"/>
  <c r="AL32" i="17"/>
  <c r="AJ37" i="19"/>
  <c r="AI62" i="12"/>
  <c r="AJ61" i="12"/>
  <c r="AI103" i="12"/>
  <c r="AK37" i="19"/>
  <c r="AI61" i="12"/>
  <c r="AM32" i="17"/>
  <c r="AN32" i="17"/>
  <c r="AL37" i="19"/>
  <c r="AL61" i="12"/>
  <c r="AN37" i="19"/>
  <c r="AK61" i="12"/>
  <c r="AO32" i="17"/>
  <c r="AF215" i="20" s="1"/>
  <c r="AL103" i="12"/>
  <c r="AM37" i="19"/>
  <c r="AK103" i="12"/>
  <c r="AP32" i="17"/>
  <c r="AM103" i="12"/>
  <c r="AM61" i="12"/>
  <c r="AO37" i="19"/>
  <c r="AN103" i="12"/>
  <c r="AR37" i="19"/>
  <c r="AO61" i="12"/>
  <c r="AR32" i="17"/>
  <c r="AP37" i="19"/>
  <c r="AN61" i="12"/>
  <c r="AQ32" i="17"/>
  <c r="AT32" i="17"/>
  <c r="AS32" i="17"/>
  <c r="AO103" i="12"/>
  <c r="AQ37" i="19"/>
  <c r="AP103" i="12"/>
  <c r="AP61" i="12"/>
  <c r="AQ103" i="12"/>
  <c r="AQ61" i="12"/>
  <c r="AT103" i="12"/>
  <c r="AS37" i="19"/>
  <c r="AR61" i="12"/>
  <c r="AR103" i="12"/>
  <c r="AU32" i="17"/>
  <c r="AT37" i="19"/>
  <c r="AV32" i="17"/>
  <c r="AM215" i="20" s="1"/>
  <c r="AT61" i="12"/>
  <c r="AW32" i="17"/>
  <c r="AV103" i="12"/>
  <c r="AS61" i="12"/>
  <c r="AU37" i="19"/>
  <c r="AV61" i="12"/>
  <c r="AS103" i="12"/>
  <c r="AV37" i="19"/>
  <c r="AU103" i="12"/>
  <c r="AY32" i="17"/>
  <c r="AP215" i="20" s="1"/>
  <c r="AX32" i="17"/>
  <c r="AO215" i="20" s="1"/>
  <c r="AU61" i="12"/>
  <c r="AW37" i="19"/>
  <c r="AX37" i="19"/>
  <c r="AZ32" i="17"/>
  <c r="AQ215" i="20" s="1"/>
  <c r="BA32" i="17"/>
  <c r="AR215" i="20" s="1"/>
  <c r="BB32" i="17"/>
  <c r="AS215" i="20" s="1"/>
  <c r="BC32" i="17"/>
  <c r="M32" i="17"/>
  <c r="FZ7" i="15"/>
  <c r="FZ11" i="15"/>
  <c r="BA4" i="19"/>
  <c r="AX18" i="11"/>
  <c r="AP4" i="19"/>
  <c r="AM18" i="11"/>
  <c r="AJ4" i="19"/>
  <c r="AG18" i="11"/>
  <c r="AB4" i="19"/>
  <c r="Y18" i="11"/>
  <c r="T4" i="19"/>
  <c r="Q18" i="11"/>
  <c r="L4" i="19"/>
  <c r="I18" i="11"/>
  <c r="FZ42" i="16"/>
  <c r="AX4" i="19"/>
  <c r="AU18" i="11"/>
  <c r="AQ4" i="19"/>
  <c r="AN18" i="11"/>
  <c r="AI4" i="19"/>
  <c r="AF18" i="11"/>
  <c r="Z4" i="19"/>
  <c r="W18" i="11"/>
  <c r="Q4" i="19"/>
  <c r="N18" i="11"/>
  <c r="K4" i="19"/>
  <c r="H18" i="11"/>
  <c r="BB10" i="17"/>
  <c r="F10" i="17" s="1"/>
  <c r="FS19" i="16" l="1"/>
  <c r="FU56" i="16"/>
  <c r="FU18" i="16" s="1"/>
  <c r="FQ19" i="16"/>
  <c r="FT19" i="16"/>
  <c r="FY58" i="23"/>
  <c r="FY66" i="23" s="1"/>
  <c r="H58" i="23"/>
  <c r="H59" i="23" s="1"/>
  <c r="H51" i="23" s="1"/>
  <c r="X17" i="18" s="1"/>
  <c r="X16" i="18" s="1"/>
  <c r="FR58" i="23"/>
  <c r="FR66" i="23" s="1"/>
  <c r="I58" i="23"/>
  <c r="I59" i="23" s="1"/>
  <c r="I51" i="23" s="1"/>
  <c r="Y17" i="18" s="1"/>
  <c r="Y16" i="18" s="1"/>
  <c r="FW19" i="16"/>
  <c r="FY19" i="16"/>
  <c r="G20" i="23"/>
  <c r="G22" i="23" s="1"/>
  <c r="G28" i="23" s="1"/>
  <c r="W43" i="18" s="1"/>
  <c r="FO19" i="16"/>
  <c r="FR19" i="16"/>
  <c r="I56" i="16"/>
  <c r="I18" i="16" s="1"/>
  <c r="GB49" i="23"/>
  <c r="GB58" i="23" s="1"/>
  <c r="GB57" i="16"/>
  <c r="GB56" i="16" s="1"/>
  <c r="GA49" i="23"/>
  <c r="GA58" i="23" s="1"/>
  <c r="GA57" i="16"/>
  <c r="GA56" i="16" s="1"/>
  <c r="GC49" i="23"/>
  <c r="GC58" i="23" s="1"/>
  <c r="GC57" i="16"/>
  <c r="GC56" i="16" s="1"/>
  <c r="GB16" i="23"/>
  <c r="GB20" i="23" s="1"/>
  <c r="EU48" i="37"/>
  <c r="DS40" i="12"/>
  <c r="DS43" i="12" s="1"/>
  <c r="GG275" i="37" s="1"/>
  <c r="DT8" i="12"/>
  <c r="GI202" i="37"/>
  <c r="EW20" i="12"/>
  <c r="EX18" i="12" s="1"/>
  <c r="EW21" i="12"/>
  <c r="GI134" i="37"/>
  <c r="EV47" i="37"/>
  <c r="EV48" i="37" s="1"/>
  <c r="HH26" i="37"/>
  <c r="AC209" i="37"/>
  <c r="AC141" i="37"/>
  <c r="AC38" i="37"/>
  <c r="AZ13" i="17"/>
  <c r="R579" i="20"/>
  <c r="R582" i="20"/>
  <c r="R580" i="20"/>
  <c r="R581" i="20"/>
  <c r="F604" i="20"/>
  <c r="FX56" i="16"/>
  <c r="FX18" i="16" s="1"/>
  <c r="FX19" i="16"/>
  <c r="FZ56" i="16"/>
  <c r="FZ18" i="16" s="1"/>
  <c r="FZ19" i="16"/>
  <c r="FV19" i="16"/>
  <c r="BA14" i="17" s="1"/>
  <c r="FV56" i="16"/>
  <c r="FV18" i="16" s="1"/>
  <c r="BA13" i="17" s="1"/>
  <c r="G56" i="16"/>
  <c r="G18" i="16" s="1"/>
  <c r="G19" i="16"/>
  <c r="K14" i="17" s="1"/>
  <c r="FO66" i="23"/>
  <c r="AY151" i="19"/>
  <c r="FS66" i="23"/>
  <c r="AZ151" i="19"/>
  <c r="FW66" i="23"/>
  <c r="BA151" i="19"/>
  <c r="GA16" i="23"/>
  <c r="GA20" i="23" s="1"/>
  <c r="GC16" i="23"/>
  <c r="GC20" i="23" s="1"/>
  <c r="GD16" i="23"/>
  <c r="GD20" i="23" s="1"/>
  <c r="H604" i="20"/>
  <c r="K604" i="20"/>
  <c r="E604" i="20"/>
  <c r="J604" i="20"/>
  <c r="L604" i="20"/>
  <c r="I604" i="20"/>
  <c r="G604" i="20"/>
  <c r="K85" i="19"/>
  <c r="K86" i="19" s="1"/>
  <c r="J13" i="19"/>
  <c r="AB366" i="20"/>
  <c r="O398" i="20" s="1"/>
  <c r="R366" i="20"/>
  <c r="E398" i="20" s="1"/>
  <c r="AM366" i="20"/>
  <c r="N426" i="20" s="1"/>
  <c r="AH366" i="20"/>
  <c r="I426" i="20" s="1"/>
  <c r="AE366" i="20"/>
  <c r="F426" i="20" s="1"/>
  <c r="GD54" i="13"/>
  <c r="GD11" i="11"/>
  <c r="GE54" i="13" s="1"/>
  <c r="D598" i="20"/>
  <c r="K599" i="20" s="1"/>
  <c r="AK366" i="20"/>
  <c r="L426" i="20" s="1"/>
  <c r="V366" i="20"/>
  <c r="I398" i="20" s="1"/>
  <c r="S215" i="20"/>
  <c r="F242" i="20" s="1"/>
  <c r="D600" i="20"/>
  <c r="K601" i="20" s="1"/>
  <c r="X366" i="20"/>
  <c r="K398" i="20" s="1"/>
  <c r="GE15" i="12"/>
  <c r="AL366" i="20"/>
  <c r="M426" i="20" s="1"/>
  <c r="AF366" i="20"/>
  <c r="G426" i="20" s="1"/>
  <c r="W366" i="20"/>
  <c r="J398" i="20" s="1"/>
  <c r="W215" i="20"/>
  <c r="J242" i="20" s="1"/>
  <c r="F215" i="20"/>
  <c r="N94" i="16"/>
  <c r="N96" i="16" s="1"/>
  <c r="N102" i="16" s="1"/>
  <c r="K182" i="19" s="1"/>
  <c r="T215" i="20"/>
  <c r="G242" i="20" s="1"/>
  <c r="AC366" i="20"/>
  <c r="D426" i="20" s="1"/>
  <c r="G215" i="20"/>
  <c r="J215" i="20"/>
  <c r="K215" i="20"/>
  <c r="L215" i="20"/>
  <c r="Q215" i="20"/>
  <c r="D242" i="20" s="1"/>
  <c r="R215" i="20"/>
  <c r="E242" i="20" s="1"/>
  <c r="Z215" i="20"/>
  <c r="M242" i="20" s="1"/>
  <c r="AC215" i="20"/>
  <c r="P242" i="20" s="1"/>
  <c r="AD215" i="20"/>
  <c r="D263" i="20" s="1"/>
  <c r="AE215" i="20"/>
  <c r="E263" i="20" s="1"/>
  <c r="AG215" i="20"/>
  <c r="G263" i="20" s="1"/>
  <c r="AH215" i="20"/>
  <c r="H263" i="20" s="1"/>
  <c r="AJ215" i="20"/>
  <c r="J263" i="20" s="1"/>
  <c r="AK215" i="20"/>
  <c r="K263" i="20" s="1"/>
  <c r="AL215" i="20"/>
  <c r="L263" i="20" s="1"/>
  <c r="AN215" i="20"/>
  <c r="N263" i="20" s="1"/>
  <c r="AT215" i="20"/>
  <c r="AD366" i="20"/>
  <c r="E426" i="20" s="1"/>
  <c r="Z366" i="20"/>
  <c r="M398" i="20" s="1"/>
  <c r="D602" i="20"/>
  <c r="J603" i="20" s="1"/>
  <c r="AI366" i="20"/>
  <c r="J426" i="20" s="1"/>
  <c r="D596" i="20"/>
  <c r="E597" i="20" s="1"/>
  <c r="AA366" i="20"/>
  <c r="N398" i="20" s="1"/>
  <c r="V215" i="20"/>
  <c r="I242" i="20" s="1"/>
  <c r="U215" i="20"/>
  <c r="H242" i="20" s="1"/>
  <c r="Q366" i="20"/>
  <c r="D398" i="20" s="1"/>
  <c r="F366" i="20"/>
  <c r="G366" i="20"/>
  <c r="J366" i="20"/>
  <c r="L366" i="20"/>
  <c r="P366" i="20"/>
  <c r="S366" i="20"/>
  <c r="F398" i="20" s="1"/>
  <c r="U366" i="20"/>
  <c r="H398" i="20" s="1"/>
  <c r="T366" i="20"/>
  <c r="G398" i="20" s="1"/>
  <c r="Y366" i="20"/>
  <c r="L398" i="20" s="1"/>
  <c r="AG366" i="20"/>
  <c r="H426" i="20" s="1"/>
  <c r="AN366" i="20"/>
  <c r="O426" i="20" s="1"/>
  <c r="AO366" i="20"/>
  <c r="AJ366" i="20"/>
  <c r="K426" i="20" s="1"/>
  <c r="AI215" i="20"/>
  <c r="I263" i="20" s="1"/>
  <c r="GC38" i="13"/>
  <c r="GC36" i="13"/>
  <c r="GC39" i="13"/>
  <c r="GC37" i="13"/>
  <c r="GC40" i="13"/>
  <c r="GC44" i="13"/>
  <c r="GC41" i="13" s="1"/>
  <c r="GC46" i="13"/>
  <c r="GC45" i="13" s="1"/>
  <c r="GB47" i="16" s="1"/>
  <c r="AW65" i="13"/>
  <c r="J65" i="13"/>
  <c r="AY59" i="13"/>
  <c r="AY65" i="13" s="1"/>
  <c r="AX65" i="13"/>
  <c r="K65" i="13"/>
  <c r="I65" i="13"/>
  <c r="GB35" i="13"/>
  <c r="GB48" i="13" s="1"/>
  <c r="H65" i="13"/>
  <c r="J182" i="19"/>
  <c r="J183" i="19" s="1"/>
  <c r="K180" i="19" s="1"/>
  <c r="K183" i="19" s="1"/>
  <c r="F26" i="15"/>
  <c r="K89" i="19"/>
  <c r="F24" i="15"/>
  <c r="GC31" i="12"/>
  <c r="GC30" i="12"/>
  <c r="GD28" i="12" s="1"/>
  <c r="GB11" i="15"/>
  <c r="GB7" i="15"/>
  <c r="K49" i="19"/>
  <c r="K48" i="19" s="1"/>
  <c r="J54" i="19"/>
  <c r="AE4" i="22"/>
  <c r="M4" i="22"/>
  <c r="AJ49" i="19"/>
  <c r="AJ48" i="19" s="1"/>
  <c r="F263" i="20"/>
  <c r="M263" i="20"/>
  <c r="O263" i="20"/>
  <c r="P263" i="20"/>
  <c r="BC28" i="17"/>
  <c r="AT213" i="20" s="1"/>
  <c r="Q49" i="19"/>
  <c r="Q48" i="19" s="1"/>
  <c r="H373" i="20" s="1"/>
  <c r="AM4" i="22"/>
  <c r="P4" i="22"/>
  <c r="F103" i="12"/>
  <c r="H104" i="12"/>
  <c r="I101" i="12" s="1"/>
  <c r="I104" i="12" s="1"/>
  <c r="J101" i="12" s="1"/>
  <c r="J104" i="12" s="1"/>
  <c r="H66" i="12"/>
  <c r="W4" i="22"/>
  <c r="M85" i="19"/>
  <c r="L13" i="19"/>
  <c r="E959" i="20" s="1"/>
  <c r="D964" i="20" s="1"/>
  <c r="R4" i="22"/>
  <c r="AL49" i="19"/>
  <c r="AL48" i="19" s="1"/>
  <c r="BA4" i="17"/>
  <c r="AE49" i="19"/>
  <c r="AE48" i="19" s="1"/>
  <c r="L4" i="22"/>
  <c r="K4" i="22"/>
  <c r="GA45" i="16"/>
  <c r="AQ49" i="19"/>
  <c r="AQ48" i="19" s="1"/>
  <c r="T49" i="19"/>
  <c r="T48" i="19" s="1"/>
  <c r="K373" i="20" s="1"/>
  <c r="AL4" i="22"/>
  <c r="GA7" i="15"/>
  <c r="AY22" i="15" s="1"/>
  <c r="GA11" i="15"/>
  <c r="O242" i="20"/>
  <c r="F61" i="12"/>
  <c r="H63" i="12"/>
  <c r="AA49" i="19"/>
  <c r="AA48" i="19" s="1"/>
  <c r="AV4" i="22"/>
  <c r="V49" i="19"/>
  <c r="V48" i="19" s="1"/>
  <c r="M373" i="20" s="1"/>
  <c r="AP4" i="22"/>
  <c r="O103" i="16"/>
  <c r="Q4" i="22"/>
  <c r="N4" i="22"/>
  <c r="AQ219" i="20"/>
  <c r="P49" i="19"/>
  <c r="P48" i="19" s="1"/>
  <c r="AJ4" i="22"/>
  <c r="K25" i="21"/>
  <c r="O49" i="19"/>
  <c r="O48" i="19" s="1"/>
  <c r="F373" i="20" s="1"/>
  <c r="AK4" i="22"/>
  <c r="H4" i="22"/>
  <c r="AI49" i="19"/>
  <c r="AI48" i="19" s="1"/>
  <c r="L122" i="19"/>
  <c r="K55" i="19"/>
  <c r="L49" i="19"/>
  <c r="L48" i="19" s="1"/>
  <c r="K54" i="19"/>
  <c r="AF4" i="22"/>
  <c r="F18" i="11"/>
  <c r="AC127" i="25"/>
  <c r="AC112" i="25" s="1"/>
  <c r="AT49" i="19"/>
  <c r="AT48" i="19" s="1"/>
  <c r="U49" i="19"/>
  <c r="U48" i="19" s="1"/>
  <c r="L373" i="20" s="1"/>
  <c r="AO4" i="22"/>
  <c r="R49" i="19"/>
  <c r="R48" i="19" s="1"/>
  <c r="I373" i="20" s="1"/>
  <c r="AI4" i="22"/>
  <c r="AN49" i="19"/>
  <c r="AN48" i="19" s="1"/>
  <c r="AO49" i="19"/>
  <c r="AO48" i="19" s="1"/>
  <c r="GA47" i="16"/>
  <c r="FY44" i="23"/>
  <c r="FZ10" i="15"/>
  <c r="J122" i="19"/>
  <c r="I4" i="19"/>
  <c r="AC4" i="22"/>
  <c r="Y4" i="22"/>
  <c r="AS49" i="19"/>
  <c r="AS48" i="19" s="1"/>
  <c r="AM49" i="19"/>
  <c r="AM48" i="19" s="1"/>
  <c r="S4" i="22"/>
  <c r="U4" i="22"/>
  <c r="FZ10" i="16"/>
  <c r="FZ49" i="16"/>
  <c r="F32" i="17"/>
  <c r="M28" i="17"/>
  <c r="V4" i="22"/>
  <c r="AP49" i="19"/>
  <c r="AP48" i="19" s="1"/>
  <c r="Z49" i="19"/>
  <c r="Z48" i="19" s="1"/>
  <c r="AT4" i="22"/>
  <c r="X4" i="22"/>
  <c r="G4" i="22"/>
  <c r="AX49" i="19"/>
  <c r="AX48" i="19" s="1"/>
  <c r="AB49" i="19"/>
  <c r="AB48" i="19" s="1"/>
  <c r="S373" i="20" s="1"/>
  <c r="AW4" i="22"/>
  <c r="AG49" i="19"/>
  <c r="AG48" i="19" s="1"/>
  <c r="AC49" i="19"/>
  <c r="AC48" i="19" s="1"/>
  <c r="AU4" i="22"/>
  <c r="Z4" i="22"/>
  <c r="T4" i="22"/>
  <c r="W49" i="19"/>
  <c r="W48" i="19" s="1"/>
  <c r="N373" i="20" s="1"/>
  <c r="AR4" i="22"/>
  <c r="Y49" i="19"/>
  <c r="Y48" i="19" s="1"/>
  <c r="P373" i="20" s="1"/>
  <c r="AS4" i="22"/>
  <c r="GA44" i="16"/>
  <c r="K242" i="20"/>
  <c r="O4" i="22"/>
  <c r="GE12" i="15"/>
  <c r="GE5" i="15"/>
  <c r="GD49" i="23" s="1"/>
  <c r="GD58" i="23" s="1"/>
  <c r="J4" i="22"/>
  <c r="AX42" i="19"/>
  <c r="AX12" i="19"/>
  <c r="AX32" i="19"/>
  <c r="AO362" i="20" s="1"/>
  <c r="AD49" i="19"/>
  <c r="AD48" i="19" s="1"/>
  <c r="AX4" i="22"/>
  <c r="X49" i="19"/>
  <c r="X48" i="19" s="1"/>
  <c r="O373" i="20" s="1"/>
  <c r="AQ4" i="22"/>
  <c r="AV49" i="19"/>
  <c r="AV48" i="19" s="1"/>
  <c r="AW49" i="19"/>
  <c r="AW48" i="19" s="1"/>
  <c r="GA43" i="16"/>
  <c r="L242" i="20"/>
  <c r="S49" i="19"/>
  <c r="S48" i="19" s="1"/>
  <c r="J373" i="20" s="1"/>
  <c r="AN4" i="22"/>
  <c r="N49" i="19"/>
  <c r="N48" i="19" s="1"/>
  <c r="E373" i="20" s="1"/>
  <c r="AG4" i="22"/>
  <c r="I4" i="22"/>
  <c r="AU49" i="19"/>
  <c r="AU48" i="19" s="1"/>
  <c r="AD4" i="22"/>
  <c r="AB4" i="22"/>
  <c r="GA42" i="16"/>
  <c r="N242" i="20"/>
  <c r="AR49" i="19"/>
  <c r="AR48" i="19" s="1"/>
  <c r="AI373" i="20" s="1"/>
  <c r="AK49" i="19"/>
  <c r="AK48" i="19" s="1"/>
  <c r="L54" i="19"/>
  <c r="M49" i="19"/>
  <c r="M48" i="19" s="1"/>
  <c r="D373" i="20" s="1"/>
  <c r="AH4" i="22"/>
  <c r="AA4" i="22"/>
  <c r="AT219" i="20"/>
  <c r="AH49" i="19"/>
  <c r="AH48" i="19" s="1"/>
  <c r="I100" i="16"/>
  <c r="I103" i="16" s="1"/>
  <c r="H105" i="16"/>
  <c r="H104" i="16"/>
  <c r="AF49" i="19"/>
  <c r="AF48" i="19" s="1"/>
  <c r="W373" i="20" s="1"/>
  <c r="GB45" i="16"/>
  <c r="GB43" i="16"/>
  <c r="GB44" i="16"/>
  <c r="J151" i="19" l="1"/>
  <c r="AZ14" i="17"/>
  <c r="GA66" i="23"/>
  <c r="GB66" i="23"/>
  <c r="G29" i="23"/>
  <c r="G30" i="23" s="1"/>
  <c r="H27" i="23" s="1"/>
  <c r="K13" i="17"/>
  <c r="BB14" i="17"/>
  <c r="HH27" i="37"/>
  <c r="BI24" i="25"/>
  <c r="BI25" i="25" s="1"/>
  <c r="DT38" i="12"/>
  <c r="DT10" i="12"/>
  <c r="EH41" i="18"/>
  <c r="AJ62" i="12"/>
  <c r="GJ202" i="37"/>
  <c r="AC117" i="25"/>
  <c r="CH117" i="37"/>
  <c r="CH122" i="37" s="1"/>
  <c r="CH53" i="37" s="1"/>
  <c r="CH209" i="37" s="1"/>
  <c r="CJ117" i="37"/>
  <c r="CJ122" i="37" s="1"/>
  <c r="CJ53" i="37" s="1"/>
  <c r="CI117" i="37"/>
  <c r="CI122" i="37" s="1"/>
  <c r="CI53" i="37" s="1"/>
  <c r="CI209" i="37" s="1"/>
  <c r="CK117" i="37"/>
  <c r="CK122" i="37" s="1"/>
  <c r="EX20" i="12"/>
  <c r="EY18" i="12" s="1"/>
  <c r="EX21" i="12"/>
  <c r="GJ134" i="37"/>
  <c r="EW47" i="37"/>
  <c r="HI26" i="37"/>
  <c r="HI27" i="37" s="1"/>
  <c r="BB13" i="17"/>
  <c r="AS205" i="20" s="1"/>
  <c r="AR205" i="20"/>
  <c r="AQ205" i="20"/>
  <c r="E594" i="20"/>
  <c r="G601" i="20"/>
  <c r="H601" i="20"/>
  <c r="F601" i="20"/>
  <c r="B215" i="20"/>
  <c r="I599" i="20"/>
  <c r="L599" i="20"/>
  <c r="G599" i="20"/>
  <c r="L597" i="20"/>
  <c r="GD56" i="16"/>
  <c r="J184" i="19"/>
  <c r="J15" i="19" s="1"/>
  <c r="J185" i="19"/>
  <c r="J33" i="19" s="1"/>
  <c r="J30" i="19" s="1"/>
  <c r="G59" i="23"/>
  <c r="T116" i="25"/>
  <c r="T117" i="25" s="1"/>
  <c r="H597" i="20"/>
  <c r="K597" i="20"/>
  <c r="D604" i="20"/>
  <c r="E605" i="20" s="1"/>
  <c r="J601" i="20"/>
  <c r="L601" i="20"/>
  <c r="I601" i="20"/>
  <c r="E601" i="20"/>
  <c r="AK373" i="20"/>
  <c r="L433" i="20" s="1"/>
  <c r="E603" i="20"/>
  <c r="F599" i="20"/>
  <c r="G597" i="20"/>
  <c r="AM373" i="20"/>
  <c r="N433" i="20" s="1"/>
  <c r="Q373" i="20"/>
  <c r="D405" i="20" s="1"/>
  <c r="AJ373" i="20"/>
  <c r="K433" i="20" s="1"/>
  <c r="AE373" i="20"/>
  <c r="F433" i="20" s="1"/>
  <c r="K603" i="20"/>
  <c r="E599" i="20"/>
  <c r="I597" i="20"/>
  <c r="AB373" i="20"/>
  <c r="O405" i="20" s="1"/>
  <c r="AL373" i="20"/>
  <c r="M433" i="20" s="1"/>
  <c r="AG373" i="20"/>
  <c r="H433" i="20" s="1"/>
  <c r="V373" i="20"/>
  <c r="I405" i="20" s="1"/>
  <c r="G373" i="20"/>
  <c r="T373" i="20"/>
  <c r="G405" i="20" s="1"/>
  <c r="Y373" i="20"/>
  <c r="L405" i="20" s="1"/>
  <c r="AO373" i="20"/>
  <c r="AH373" i="20"/>
  <c r="I433" i="20" s="1"/>
  <c r="AC373" i="20"/>
  <c r="D433" i="20" s="1"/>
  <c r="H599" i="20"/>
  <c r="F597" i="20"/>
  <c r="Z373" i="20"/>
  <c r="M405" i="20" s="1"/>
  <c r="H603" i="20"/>
  <c r="AN373" i="20"/>
  <c r="O433" i="20" s="1"/>
  <c r="R373" i="20"/>
  <c r="E405" i="20" s="1"/>
  <c r="AA373" i="20"/>
  <c r="N405" i="20" s="1"/>
  <c r="J597" i="20"/>
  <c r="J599" i="20"/>
  <c r="AF373" i="20"/>
  <c r="G433" i="20" s="1"/>
  <c r="G603" i="20"/>
  <c r="U373" i="20"/>
  <c r="H405" i="20" s="1"/>
  <c r="X373" i="20"/>
  <c r="K405" i="20" s="1"/>
  <c r="AD373" i="20"/>
  <c r="E433" i="20" s="1"/>
  <c r="Q94" i="16"/>
  <c r="Q96" i="16" s="1"/>
  <c r="Q102" i="16" s="1"/>
  <c r="F603" i="20"/>
  <c r="L603" i="20"/>
  <c r="I603" i="20"/>
  <c r="GD36" i="13"/>
  <c r="GD39" i="13"/>
  <c r="GC44" i="16" s="1"/>
  <c r="GD38" i="13"/>
  <c r="GD37" i="13"/>
  <c r="GD40" i="13"/>
  <c r="GC45" i="16" s="1"/>
  <c r="GD44" i="13"/>
  <c r="GD41" i="13" s="1"/>
  <c r="GD46" i="13"/>
  <c r="GD45" i="13" s="1"/>
  <c r="GC47" i="16" s="1"/>
  <c r="AQ508" i="20"/>
  <c r="AR200" i="20"/>
  <c r="AR202" i="20" s="1"/>
  <c r="AZ21" i="15"/>
  <c r="D215" i="20"/>
  <c r="GC35" i="13"/>
  <c r="GC48" i="13" s="1"/>
  <c r="GD31" i="12"/>
  <c r="GD30" i="12"/>
  <c r="GE28" i="12" s="1"/>
  <c r="GD45" i="23"/>
  <c r="GC66" i="23"/>
  <c r="O104" i="16"/>
  <c r="P100" i="16"/>
  <c r="P103" i="16" s="1"/>
  <c r="O105" i="16"/>
  <c r="AB49" i="25"/>
  <c r="X49" i="25"/>
  <c r="Y49" i="25"/>
  <c r="W49" i="25"/>
  <c r="AA49" i="25"/>
  <c r="Z49" i="25"/>
  <c r="K18" i="17"/>
  <c r="J123" i="19"/>
  <c r="AC49" i="25"/>
  <c r="K53" i="19"/>
  <c r="K56" i="19" s="1"/>
  <c r="FZ44" i="23"/>
  <c r="GA10" i="15"/>
  <c r="J100" i="16"/>
  <c r="J103" i="16" s="1"/>
  <c r="I105" i="16"/>
  <c r="I104" i="16"/>
  <c r="T49" i="25"/>
  <c r="U49" i="25"/>
  <c r="V49" i="25"/>
  <c r="GA49" i="16"/>
  <c r="FZ9" i="16"/>
  <c r="BB5" i="17"/>
  <c r="AS201" i="20" s="1"/>
  <c r="GA44" i="23"/>
  <c r="GB10" i="15"/>
  <c r="GC11" i="15"/>
  <c r="GC7" i="15"/>
  <c r="M18" i="17"/>
  <c r="L123" i="19"/>
  <c r="J36" i="19"/>
  <c r="I60" i="12"/>
  <c r="F405" i="20"/>
  <c r="J405" i="20"/>
  <c r="J433" i="20"/>
  <c r="AB276" i="25"/>
  <c r="AB278" i="25" s="1"/>
  <c r="K101" i="12"/>
  <c r="K104" i="12" s="1"/>
  <c r="W37" i="18" l="1"/>
  <c r="G23" i="23"/>
  <c r="G25" i="23" s="1"/>
  <c r="G36" i="23" s="1"/>
  <c r="G40" i="23" s="1"/>
  <c r="G24" i="23"/>
  <c r="EW48" i="37"/>
  <c r="AS43" i="25"/>
  <c r="CK53" i="37"/>
  <c r="DR34" i="23"/>
  <c r="AM40" i="21"/>
  <c r="AD289" i="20" s="1"/>
  <c r="D343" i="20" s="1"/>
  <c r="DT40" i="12"/>
  <c r="EI41" i="18" s="1"/>
  <c r="DS34" i="23" s="1"/>
  <c r="DU8" i="12"/>
  <c r="DT43" i="12"/>
  <c r="GH275" i="37" s="1"/>
  <c r="GK202" i="37"/>
  <c r="CK38" i="37"/>
  <c r="EY20" i="12"/>
  <c r="EZ18" i="12" s="1"/>
  <c r="EY21" i="12"/>
  <c r="CI38" i="37"/>
  <c r="CI141" i="37"/>
  <c r="CJ38" i="37"/>
  <c r="CJ141" i="37"/>
  <c r="CH38" i="37"/>
  <c r="CH141" i="37"/>
  <c r="GK134" i="37"/>
  <c r="EX47" i="37"/>
  <c r="HJ26" i="37"/>
  <c r="D601" i="20"/>
  <c r="F594" i="20"/>
  <c r="G51" i="23"/>
  <c r="W17" i="18" s="1"/>
  <c r="J152" i="19"/>
  <c r="G64" i="23"/>
  <c r="H605" i="20"/>
  <c r="F605" i="20"/>
  <c r="J605" i="20"/>
  <c r="L605" i="20"/>
  <c r="I605" i="20"/>
  <c r="K605" i="20"/>
  <c r="G605" i="20"/>
  <c r="D597" i="20"/>
  <c r="D599" i="20"/>
  <c r="AY25" i="15"/>
  <c r="GB42" i="16"/>
  <c r="GB49" i="16" s="1"/>
  <c r="D603" i="20"/>
  <c r="GE36" i="13"/>
  <c r="GE38" i="13"/>
  <c r="GE40" i="13"/>
  <c r="AZ62" i="13" s="1"/>
  <c r="GE37" i="13"/>
  <c r="F37" i="13" s="1"/>
  <c r="GE39" i="13"/>
  <c r="GE44" i="13"/>
  <c r="GE41" i="13" s="1"/>
  <c r="GE46" i="13"/>
  <c r="GD35" i="13"/>
  <c r="GD48" i="13" s="1"/>
  <c r="J105" i="16"/>
  <c r="J104" i="16"/>
  <c r="K100" i="16"/>
  <c r="K103" i="16" s="1"/>
  <c r="X211" i="25"/>
  <c r="X213" i="25" s="1"/>
  <c r="X215" i="25" s="1"/>
  <c r="X144" i="25"/>
  <c r="X146" i="25" s="1"/>
  <c r="X148" i="25" s="1"/>
  <c r="X51" i="25"/>
  <c r="X53" i="25" s="1"/>
  <c r="X54" i="25" s="1"/>
  <c r="X56" i="25" s="1"/>
  <c r="X12" i="25" s="1"/>
  <c r="X269" i="25" s="1"/>
  <c r="X35" i="25"/>
  <c r="GC43" i="16"/>
  <c r="AC276" i="25"/>
  <c r="L101" i="12"/>
  <c r="L104" i="12" s="1"/>
  <c r="GD11" i="15"/>
  <c r="GD7" i="15"/>
  <c r="M120" i="19"/>
  <c r="L25" i="19"/>
  <c r="L24" i="19" s="1"/>
  <c r="GC42" i="16"/>
  <c r="BB4" i="17"/>
  <c r="K23" i="16"/>
  <c r="O23" i="16"/>
  <c r="L23" i="16"/>
  <c r="P23" i="16"/>
  <c r="Q23" i="16"/>
  <c r="M23" i="16"/>
  <c r="R23" i="16"/>
  <c r="N23" i="16"/>
  <c r="F54" i="13"/>
  <c r="K120" i="19"/>
  <c r="J25" i="19"/>
  <c r="J24" i="19" s="1"/>
  <c r="AB211" i="25"/>
  <c r="AB213" i="25" s="1"/>
  <c r="AB215" i="25" s="1"/>
  <c r="AB144" i="25"/>
  <c r="AB146" i="25" s="1"/>
  <c r="AB148" i="25" s="1"/>
  <c r="AB51" i="25"/>
  <c r="AB53" i="25" s="1"/>
  <c r="AB35" i="25"/>
  <c r="Q100" i="16"/>
  <c r="Q103" i="16" s="1"/>
  <c r="P105" i="16"/>
  <c r="P104" i="16"/>
  <c r="V211" i="25"/>
  <c r="V213" i="25" s="1"/>
  <c r="V215" i="25" s="1"/>
  <c r="V144" i="25"/>
  <c r="V146" i="25" s="1"/>
  <c r="V148" i="25" s="1"/>
  <c r="V51" i="25"/>
  <c r="V53" i="25" s="1"/>
  <c r="V54" i="25" s="1"/>
  <c r="V56" i="25" s="1"/>
  <c r="V12" i="25" s="1"/>
  <c r="V35" i="25"/>
  <c r="BA93" i="19"/>
  <c r="U211" i="25"/>
  <c r="U213" i="25" s="1"/>
  <c r="U215" i="25" s="1"/>
  <c r="U51" i="25"/>
  <c r="U53" i="25" s="1"/>
  <c r="U54" i="25" s="1"/>
  <c r="U56" i="25" s="1"/>
  <c r="U144" i="25"/>
  <c r="U146" i="25" s="1"/>
  <c r="U148" i="25" s="1"/>
  <c r="U35" i="25"/>
  <c r="U57" i="25" s="1"/>
  <c r="GB44" i="23"/>
  <c r="GC10" i="15"/>
  <c r="T211" i="25"/>
  <c r="T213" i="25" s="1"/>
  <c r="T144" i="25"/>
  <c r="T146" i="25" s="1"/>
  <c r="T35" i="25"/>
  <c r="T57" i="25" s="1"/>
  <c r="T51" i="25"/>
  <c r="AR219" i="20"/>
  <c r="Z211" i="25"/>
  <c r="Z213" i="25" s="1"/>
  <c r="Z215" i="25" s="1"/>
  <c r="Z144" i="25"/>
  <c r="Z146" i="25" s="1"/>
  <c r="Z148" i="25" s="1"/>
  <c r="Z51" i="25"/>
  <c r="Z53" i="25" s="1"/>
  <c r="Z35" i="25"/>
  <c r="AA211" i="25"/>
  <c r="AA213" i="25" s="1"/>
  <c r="AA215" i="25" s="1"/>
  <c r="AA144" i="25"/>
  <c r="AA146" i="25" s="1"/>
  <c r="AA148" i="25" s="1"/>
  <c r="AA51" i="25"/>
  <c r="AA53" i="25" s="1"/>
  <c r="AA35" i="25"/>
  <c r="W211" i="25"/>
  <c r="W213" i="25" s="1"/>
  <c r="W215" i="25" s="1"/>
  <c r="W144" i="25"/>
  <c r="W146" i="25" s="1"/>
  <c r="W148" i="25" s="1"/>
  <c r="W51" i="25"/>
  <c r="W53" i="25" s="1"/>
  <c r="W54" i="25" s="1"/>
  <c r="W56" i="25" s="1"/>
  <c r="W12" i="25" s="1"/>
  <c r="W269" i="25" s="1"/>
  <c r="W35" i="25"/>
  <c r="GE31" i="12"/>
  <c r="GE30" i="12"/>
  <c r="AC211" i="25"/>
  <c r="AC144" i="25"/>
  <c r="AC35" i="25"/>
  <c r="Y211" i="25"/>
  <c r="Y213" i="25" s="1"/>
  <c r="Y215" i="25" s="1"/>
  <c r="Y144" i="25"/>
  <c r="Y146" i="25" s="1"/>
  <c r="Y148" i="25" s="1"/>
  <c r="Y51" i="25"/>
  <c r="Y53" i="25" s="1"/>
  <c r="Y35" i="25"/>
  <c r="G43" i="23" l="1"/>
  <c r="W16" i="18"/>
  <c r="K16" i="21"/>
  <c r="K15" i="21"/>
  <c r="K53" i="21" s="1"/>
  <c r="J54" i="23"/>
  <c r="HJ27" i="37"/>
  <c r="EX48" i="37"/>
  <c r="DU38" i="12"/>
  <c r="DU10" i="12"/>
  <c r="GL202" i="37"/>
  <c r="EZ21" i="12"/>
  <c r="EZ20" i="12"/>
  <c r="FA18" i="12" s="1"/>
  <c r="GL134" i="37"/>
  <c r="EY47" i="37"/>
  <c r="EY48" i="37" s="1"/>
  <c r="HK26" i="37"/>
  <c r="HK27" i="37" s="1"/>
  <c r="GC49" i="16"/>
  <c r="D605" i="20"/>
  <c r="D674" i="20"/>
  <c r="AZ60" i="13"/>
  <c r="F60" i="13" s="1"/>
  <c r="AR508" i="20"/>
  <c r="AS200" i="20"/>
  <c r="AS202" i="20" s="1"/>
  <c r="W152" i="25"/>
  <c r="W219" i="25"/>
  <c r="W57" i="25"/>
  <c r="V219" i="25"/>
  <c r="V152" i="25"/>
  <c r="V57" i="25"/>
  <c r="T53" i="25"/>
  <c r="GD44" i="16"/>
  <c r="F44" i="16" s="1"/>
  <c r="F39" i="13"/>
  <c r="AZ61" i="13" s="1"/>
  <c r="F61" i="13" s="1"/>
  <c r="F44" i="13"/>
  <c r="AZ63" i="13"/>
  <c r="O60" i="16"/>
  <c r="T148" i="25"/>
  <c r="H146" i="25"/>
  <c r="R100" i="16"/>
  <c r="Q105" i="16"/>
  <c r="Q104" i="16"/>
  <c r="GD45" i="16"/>
  <c r="K60" i="16"/>
  <c r="GE45" i="13"/>
  <c r="AZ64" i="13" s="1"/>
  <c r="F46" i="13"/>
  <c r="P60" i="16"/>
  <c r="L60" i="16"/>
  <c r="Y152" i="25"/>
  <c r="Y219" i="25"/>
  <c r="Y57" i="25"/>
  <c r="AA152" i="25"/>
  <c r="AA219" i="25"/>
  <c r="AA57" i="25"/>
  <c r="T215" i="25"/>
  <c r="GD43" i="16"/>
  <c r="F43" i="16" s="1"/>
  <c r="F38" i="13"/>
  <c r="N60" i="16"/>
  <c r="X219" i="25"/>
  <c r="X152" i="25"/>
  <c r="X57" i="25"/>
  <c r="Z219" i="25"/>
  <c r="Z152" i="25"/>
  <c r="Z57" i="25"/>
  <c r="GE35" i="13"/>
  <c r="AZ59" i="13" s="1"/>
  <c r="R60" i="16"/>
  <c r="GC44" i="23"/>
  <c r="GD10" i="15"/>
  <c r="K122" i="19"/>
  <c r="L18" i="17" s="1"/>
  <c r="M60" i="16"/>
  <c r="K104" i="16"/>
  <c r="L100" i="16"/>
  <c r="L103" i="16" s="1"/>
  <c r="K105" i="16"/>
  <c r="GD66" i="23"/>
  <c r="BB151" i="19"/>
  <c r="Q60" i="16"/>
  <c r="M122" i="19"/>
  <c r="N18" i="17" s="1"/>
  <c r="GE11" i="15"/>
  <c r="GE7" i="15"/>
  <c r="AD276" i="25"/>
  <c r="M101" i="12"/>
  <c r="M104" i="12" s="1"/>
  <c r="AB152" i="25"/>
  <c r="AB219" i="25"/>
  <c r="AB57" i="25"/>
  <c r="DU40" i="12" l="1"/>
  <c r="EJ41" i="18" s="1"/>
  <c r="DT34" i="23" s="1"/>
  <c r="DV8" i="12"/>
  <c r="GM202" i="37"/>
  <c r="FA20" i="12"/>
  <c r="FB18" i="12" s="1"/>
  <c r="FA21" i="12"/>
  <c r="GM134" i="37"/>
  <c r="EZ47" i="37"/>
  <c r="HL26" i="37"/>
  <c r="E674" i="20"/>
  <c r="E208" i="20"/>
  <c r="AZ65" i="13"/>
  <c r="AZ22" i="15"/>
  <c r="M123" i="19"/>
  <c r="H148" i="25"/>
  <c r="F41" i="13"/>
  <c r="T54" i="25"/>
  <c r="T56" i="25" s="1"/>
  <c r="GD44" i="23"/>
  <c r="GE10" i="15"/>
  <c r="AE276" i="25"/>
  <c r="N101" i="12"/>
  <c r="N104" i="12" s="1"/>
  <c r="S23" i="16"/>
  <c r="T23" i="16"/>
  <c r="U23" i="16"/>
  <c r="V23" i="16"/>
  <c r="L104" i="16"/>
  <c r="M100" i="16"/>
  <c r="M103" i="16" s="1"/>
  <c r="L105" i="16"/>
  <c r="G23" i="16"/>
  <c r="H23" i="16"/>
  <c r="I23" i="16"/>
  <c r="J23" i="16"/>
  <c r="GD42" i="16"/>
  <c r="GE48" i="13"/>
  <c r="GD47" i="16"/>
  <c r="F47" i="16" s="1"/>
  <c r="F45" i="13"/>
  <c r="F64" i="13"/>
  <c r="K124" i="19"/>
  <c r="DU43" i="12" l="1"/>
  <c r="GI275" i="37" s="1"/>
  <c r="EZ48" i="37"/>
  <c r="AT43" i="25"/>
  <c r="HL27" i="37"/>
  <c r="HM26" i="37" s="1"/>
  <c r="DV10" i="12"/>
  <c r="DV38" i="12"/>
  <c r="GN202" i="37"/>
  <c r="FB21" i="12"/>
  <c r="FB20" i="12"/>
  <c r="FC18" i="12" s="1"/>
  <c r="GN134" i="37"/>
  <c r="FA47" i="37"/>
  <c r="FA48" i="37" s="1"/>
  <c r="F674" i="20"/>
  <c r="T60" i="16"/>
  <c r="M104" i="16"/>
  <c r="N100" i="16"/>
  <c r="M105" i="16"/>
  <c r="S60" i="16"/>
  <c r="GD49" i="16"/>
  <c r="AZ25" i="15"/>
  <c r="N120" i="19"/>
  <c r="M25" i="19"/>
  <c r="M24" i="19" s="1"/>
  <c r="D357" i="20" s="1"/>
  <c r="AS219" i="20"/>
  <c r="J60" i="16"/>
  <c r="AF276" i="25"/>
  <c r="O101" i="12"/>
  <c r="O104" i="12" s="1"/>
  <c r="I60" i="16"/>
  <c r="F63" i="13"/>
  <c r="H60" i="16"/>
  <c r="V60" i="16"/>
  <c r="G60" i="16"/>
  <c r="U60" i="16"/>
  <c r="HM27" i="37" l="1"/>
  <c r="BJ24" i="25"/>
  <c r="BJ25" i="25" s="1"/>
  <c r="DV40" i="12"/>
  <c r="DW8" i="12"/>
  <c r="GO202" i="37"/>
  <c r="FC21" i="12"/>
  <c r="FC20" i="12"/>
  <c r="FD18" i="12" s="1"/>
  <c r="GO134" i="37"/>
  <c r="FB47" i="37"/>
  <c r="HN26" i="37"/>
  <c r="G674" i="20"/>
  <c r="AG276" i="25"/>
  <c r="P101" i="12"/>
  <c r="P104" i="12" s="1"/>
  <c r="N122" i="19"/>
  <c r="O18" i="17" s="1"/>
  <c r="BB93" i="19"/>
  <c r="HN27" i="37" l="1"/>
  <c r="FB48" i="37"/>
  <c r="FC47" i="37" s="1"/>
  <c r="DV43" i="12"/>
  <c r="GJ275" i="37" s="1"/>
  <c r="EK41" i="18"/>
  <c r="DU34" i="23" s="1"/>
  <c r="DW38" i="12"/>
  <c r="DW10" i="12"/>
  <c r="DW40" i="12" s="1"/>
  <c r="GP202" i="37"/>
  <c r="FD21" i="12"/>
  <c r="FD20" i="12"/>
  <c r="FE18" i="12" s="1"/>
  <c r="GP134" i="37"/>
  <c r="HO26" i="37"/>
  <c r="HO27" i="37" s="1"/>
  <c r="F208" i="20"/>
  <c r="H674" i="20"/>
  <c r="N123" i="19"/>
  <c r="O120" i="19" s="1"/>
  <c r="AH276" i="25"/>
  <c r="Q101" i="12"/>
  <c r="Q104" i="12" s="1"/>
  <c r="W23" i="16"/>
  <c r="X23" i="16"/>
  <c r="Y23" i="16"/>
  <c r="Z23" i="16"/>
  <c r="FC48" i="37" l="1"/>
  <c r="DX8" i="12"/>
  <c r="AK62" i="12"/>
  <c r="EL41" i="18"/>
  <c r="DW43" i="12"/>
  <c r="GK275" i="37" s="1"/>
  <c r="GQ202" i="37"/>
  <c r="FE20" i="12"/>
  <c r="FF18" i="12" s="1"/>
  <c r="FE21" i="12"/>
  <c r="GQ134" i="37"/>
  <c r="FD47" i="37"/>
  <c r="FD48" i="37" s="1"/>
  <c r="HP26" i="37"/>
  <c r="N25" i="19"/>
  <c r="N24" i="19" s="1"/>
  <c r="E357" i="20" s="1"/>
  <c r="I674" i="20"/>
  <c r="Y60" i="16"/>
  <c r="X60" i="16"/>
  <c r="W60" i="16"/>
  <c r="O122" i="19"/>
  <c r="P18" i="17" s="1"/>
  <c r="AI276" i="25"/>
  <c r="R101" i="12"/>
  <c r="R104" i="12" s="1"/>
  <c r="S101" i="12" s="1"/>
  <c r="S104" i="12" s="1"/>
  <c r="T101" i="12" s="1"/>
  <c r="T104" i="12" s="1"/>
  <c r="U101" i="12" s="1"/>
  <c r="U104" i="12" s="1"/>
  <c r="V101" i="12" s="1"/>
  <c r="V104" i="12" s="1"/>
  <c r="W101" i="12" s="1"/>
  <c r="W104" i="12" s="1"/>
  <c r="X101" i="12" s="1"/>
  <c r="X104" i="12" s="1"/>
  <c r="Y101" i="12" s="1"/>
  <c r="Y104" i="12" s="1"/>
  <c r="Z101" i="12" s="1"/>
  <c r="Z104" i="12" s="1"/>
  <c r="AA101" i="12" s="1"/>
  <c r="AA104" i="12" s="1"/>
  <c r="AB101" i="12" s="1"/>
  <c r="AB104" i="12" s="1"/>
  <c r="AC101" i="12" s="1"/>
  <c r="AC104" i="12" s="1"/>
  <c r="AD101" i="12" s="1"/>
  <c r="AD104" i="12" s="1"/>
  <c r="AE101" i="12" s="1"/>
  <c r="AE104" i="12" s="1"/>
  <c r="AF101" i="12" s="1"/>
  <c r="AF104" i="12" s="1"/>
  <c r="AG101" i="12" s="1"/>
  <c r="AG104" i="12" s="1"/>
  <c r="AH101" i="12" s="1"/>
  <c r="AH104" i="12" s="1"/>
  <c r="AI101" i="12" s="1"/>
  <c r="AI104" i="12" s="1"/>
  <c r="AJ101" i="12" s="1"/>
  <c r="AJ104" i="12" s="1"/>
  <c r="AK101" i="12" s="1"/>
  <c r="AK104" i="12" s="1"/>
  <c r="AL101" i="12" s="1"/>
  <c r="AL104" i="12" s="1"/>
  <c r="AM101" i="12" s="1"/>
  <c r="AM104" i="12" s="1"/>
  <c r="AN101" i="12" s="1"/>
  <c r="AN104" i="12" s="1"/>
  <c r="AO101" i="12" s="1"/>
  <c r="AO104" i="12" s="1"/>
  <c r="AP101" i="12" s="1"/>
  <c r="AP104" i="12" s="1"/>
  <c r="AQ101" i="12" s="1"/>
  <c r="AQ104" i="12" s="1"/>
  <c r="AR101" i="12" s="1"/>
  <c r="AR104" i="12" s="1"/>
  <c r="AS101" i="12" s="1"/>
  <c r="AS104" i="12" s="1"/>
  <c r="AT101" i="12" s="1"/>
  <c r="AT104" i="12" s="1"/>
  <c r="AU101" i="12" s="1"/>
  <c r="AU104" i="12" s="1"/>
  <c r="AV101" i="12" s="1"/>
  <c r="AV104" i="12" s="1"/>
  <c r="Z60" i="16"/>
  <c r="HP27" i="37" l="1"/>
  <c r="BK24" i="25"/>
  <c r="BK25" i="25" s="1"/>
  <c r="DV34" i="23"/>
  <c r="AN40" i="21"/>
  <c r="AE289" i="20" s="1"/>
  <c r="E343" i="20" s="1"/>
  <c r="DX10" i="12"/>
  <c r="DX38" i="12"/>
  <c r="GR202" i="37"/>
  <c r="FF21" i="12"/>
  <c r="FF20" i="12"/>
  <c r="FG18" i="12" s="1"/>
  <c r="GR134" i="37"/>
  <c r="FE47" i="37"/>
  <c r="HQ26" i="37"/>
  <c r="HQ27" i="37" s="1"/>
  <c r="G208" i="20"/>
  <c r="O123" i="19"/>
  <c r="O25" i="19" s="1"/>
  <c r="O24" i="19" s="1"/>
  <c r="J674" i="20"/>
  <c r="AA23" i="16"/>
  <c r="AB23" i="16"/>
  <c r="AC23" i="16"/>
  <c r="AD23" i="16"/>
  <c r="P120" i="19"/>
  <c r="FE48" i="37" l="1"/>
  <c r="AU43" i="25"/>
  <c r="DX40" i="12"/>
  <c r="EM41" i="18" s="1"/>
  <c r="DW34" i="23" s="1"/>
  <c r="DY8" i="12"/>
  <c r="GS202" i="37"/>
  <c r="FG21" i="12"/>
  <c r="FG20" i="12"/>
  <c r="FH18" i="12" s="1"/>
  <c r="GS134" i="37"/>
  <c r="FF47" i="37"/>
  <c r="HR26" i="37"/>
  <c r="AD60" i="16"/>
  <c r="AC60" i="16"/>
  <c r="AB60" i="16"/>
  <c r="AA60" i="16"/>
  <c r="P122" i="19"/>
  <c r="Q18" i="17" s="1"/>
  <c r="HR27" i="37" l="1"/>
  <c r="FF48" i="37"/>
  <c r="FG47" i="37" s="1"/>
  <c r="DY38" i="12"/>
  <c r="DY10" i="12"/>
  <c r="DY40" i="12" s="1"/>
  <c r="DX43" i="12"/>
  <c r="GL275" i="37" s="1"/>
  <c r="GT202" i="37"/>
  <c r="FH20" i="12"/>
  <c r="FI18" i="12" s="1"/>
  <c r="FH21" i="12"/>
  <c r="GT134" i="37"/>
  <c r="HS26" i="37"/>
  <c r="HS27" i="37" s="1"/>
  <c r="P123" i="19"/>
  <c r="Q120" i="19" s="1"/>
  <c r="H208" i="20"/>
  <c r="AE23" i="16"/>
  <c r="AF23" i="16"/>
  <c r="AG23" i="16"/>
  <c r="AH23" i="16"/>
  <c r="P25" i="19"/>
  <c r="P24" i="19" s="1"/>
  <c r="FG48" i="37" l="1"/>
  <c r="DZ8" i="12"/>
  <c r="DY43" i="12"/>
  <c r="GM275" i="37" s="1"/>
  <c r="EN41" i="18"/>
  <c r="DX34" i="23" s="1"/>
  <c r="GU202" i="37"/>
  <c r="FI21" i="12"/>
  <c r="FI20" i="12"/>
  <c r="FJ18" i="12" s="1"/>
  <c r="GU134" i="37"/>
  <c r="FH47" i="37"/>
  <c r="FH48" i="37" s="1"/>
  <c r="HT26" i="37"/>
  <c r="G357" i="20"/>
  <c r="AE60" i="16"/>
  <c r="Q122" i="19"/>
  <c r="R18" i="17" s="1"/>
  <c r="AH60" i="16"/>
  <c r="AG60" i="16"/>
  <c r="AF60" i="16"/>
  <c r="HT27" i="37" l="1"/>
  <c r="BL24" i="25"/>
  <c r="BL25" i="25" s="1"/>
  <c r="DZ38" i="12"/>
  <c r="DZ10" i="12"/>
  <c r="DZ40" i="12" s="1"/>
  <c r="GV202" i="37"/>
  <c r="FJ20" i="12"/>
  <c r="FK18" i="12" s="1"/>
  <c r="FJ21" i="12"/>
  <c r="GV134" i="37"/>
  <c r="FI47" i="37"/>
  <c r="HU26" i="37"/>
  <c r="HU27" i="37" s="1"/>
  <c r="I208" i="20"/>
  <c r="Q123" i="19"/>
  <c r="AI23" i="16"/>
  <c r="AJ23" i="16"/>
  <c r="AK23" i="16"/>
  <c r="AL23" i="16"/>
  <c r="FI48" i="37" l="1"/>
  <c r="AV43" i="25"/>
  <c r="EA8" i="12"/>
  <c r="EO41" i="18"/>
  <c r="DZ43" i="12"/>
  <c r="GN275" i="37" s="1"/>
  <c r="GW202" i="37"/>
  <c r="FK21" i="12"/>
  <c r="FK20" i="12"/>
  <c r="FL18" i="12" s="1"/>
  <c r="GW134" i="37"/>
  <c r="FJ47" i="37"/>
  <c r="HV26" i="37"/>
  <c r="AL60" i="16"/>
  <c r="R120" i="19"/>
  <c r="Q25" i="19"/>
  <c r="Q24" i="19" s="1"/>
  <c r="AK60" i="16"/>
  <c r="AJ60" i="16"/>
  <c r="AI60" i="16"/>
  <c r="HV27" i="37" l="1"/>
  <c r="FJ48" i="37"/>
  <c r="FK47" i="37" s="1"/>
  <c r="DY34" i="23"/>
  <c r="EA38" i="12"/>
  <c r="EA10" i="12"/>
  <c r="EA40" i="12" s="1"/>
  <c r="GX202" i="37"/>
  <c r="FL21" i="12"/>
  <c r="FL20" i="12"/>
  <c r="FM18" i="12" s="1"/>
  <c r="GX134" i="37"/>
  <c r="HW26" i="37"/>
  <c r="HW27" i="37" s="1"/>
  <c r="R122" i="19"/>
  <c r="S18" i="17" s="1"/>
  <c r="FK48" i="37" l="1"/>
  <c r="EB8" i="12"/>
  <c r="EP41" i="18"/>
  <c r="AL62" i="12"/>
  <c r="EA43" i="12"/>
  <c r="GO275" i="37" s="1"/>
  <c r="GY202" i="37"/>
  <c r="FM21" i="12"/>
  <c r="FM20" i="12"/>
  <c r="FN18" i="12" s="1"/>
  <c r="GY134" i="37"/>
  <c r="FL47" i="37"/>
  <c r="FL48" i="37" s="1"/>
  <c r="HX26" i="37"/>
  <c r="J208" i="20"/>
  <c r="R123" i="19"/>
  <c r="S120" i="19" s="1"/>
  <c r="AM23" i="16"/>
  <c r="AN23" i="16"/>
  <c r="AO23" i="16"/>
  <c r="AP23" i="16"/>
  <c r="HX27" i="37" l="1"/>
  <c r="BM24" i="25"/>
  <c r="BM25" i="25" s="1"/>
  <c r="DZ34" i="23"/>
  <c r="AO40" i="21"/>
  <c r="AF289" i="20" s="1"/>
  <c r="F343" i="20" s="1"/>
  <c r="EB38" i="12"/>
  <c r="EB10" i="12"/>
  <c r="EB40" i="12" s="1"/>
  <c r="GZ202" i="37"/>
  <c r="FN21" i="12"/>
  <c r="FN20" i="12"/>
  <c r="FO18" i="12" s="1"/>
  <c r="GZ134" i="37"/>
  <c r="FM47" i="37"/>
  <c r="HY26" i="37"/>
  <c r="HY27" i="37" s="1"/>
  <c r="R25" i="19"/>
  <c r="R24" i="19" s="1"/>
  <c r="I357" i="20"/>
  <c r="AN60" i="16"/>
  <c r="AM60" i="16"/>
  <c r="S122" i="19"/>
  <c r="T18" i="17" s="1"/>
  <c r="AP60" i="16"/>
  <c r="AO60" i="16"/>
  <c r="FM48" i="37" l="1"/>
  <c r="AW43" i="25"/>
  <c r="EC8" i="12"/>
  <c r="EB43" i="12"/>
  <c r="GP275" i="37" s="1"/>
  <c r="EQ41" i="18"/>
  <c r="EA34" i="23" s="1"/>
  <c r="HA202" i="37"/>
  <c r="FO21" i="12"/>
  <c r="F21" i="12" s="1"/>
  <c r="FO20" i="12"/>
  <c r="F20" i="12" s="1"/>
  <c r="F17" i="12" s="1"/>
  <c r="HA134" i="37"/>
  <c r="FN47" i="37"/>
  <c r="HZ26" i="37"/>
  <c r="K208" i="20"/>
  <c r="S123" i="19"/>
  <c r="T120" i="19" s="1"/>
  <c r="AQ23" i="16"/>
  <c r="AR23" i="16"/>
  <c r="AS23" i="16"/>
  <c r="AT23" i="16"/>
  <c r="HZ27" i="37" l="1"/>
  <c r="BN24" i="25"/>
  <c r="FN48" i="37"/>
  <c r="FO47" i="37" s="1"/>
  <c r="EC38" i="12"/>
  <c r="EC10" i="12"/>
  <c r="EC40" i="12" s="1"/>
  <c r="ER41" i="18" s="1"/>
  <c r="EB34" i="23" s="1"/>
  <c r="HB202" i="37"/>
  <c r="FP18" i="12"/>
  <c r="HB134" i="37"/>
  <c r="IA26" i="37"/>
  <c r="IA27" i="37" s="1"/>
  <c r="G27" i="37" s="1"/>
  <c r="S25" i="19"/>
  <c r="S24" i="19" s="1"/>
  <c r="J357" i="20" s="1"/>
  <c r="AT60" i="16"/>
  <c r="AS60" i="16"/>
  <c r="AR60" i="16"/>
  <c r="T122" i="19"/>
  <c r="U18" i="17" s="1"/>
  <c r="AQ60" i="16"/>
  <c r="FO48" i="37" l="1"/>
  <c r="BN25" i="25"/>
  <c r="G25" i="25" s="1"/>
  <c r="ED8" i="12"/>
  <c r="EC43" i="12"/>
  <c r="GQ275" i="37" s="1"/>
  <c r="HC202" i="37"/>
  <c r="FP21" i="12"/>
  <c r="FP20" i="12"/>
  <c r="FQ18" i="12" s="1"/>
  <c r="HC134" i="37"/>
  <c r="FP47" i="37"/>
  <c r="FP48" i="37" s="1"/>
  <c r="L208" i="20"/>
  <c r="B208" i="20" s="1"/>
  <c r="T123" i="19"/>
  <c r="AU23" i="16"/>
  <c r="AV23" i="16"/>
  <c r="AW23" i="16"/>
  <c r="AX23" i="16"/>
  <c r="ED38" i="12" l="1"/>
  <c r="ED10" i="12"/>
  <c r="ED40" i="12" s="1"/>
  <c r="HD202" i="37"/>
  <c r="FQ21" i="12"/>
  <c r="FQ20" i="12"/>
  <c r="FR18" i="12" s="1"/>
  <c r="HD134" i="37"/>
  <c r="FQ47" i="37"/>
  <c r="U120" i="19"/>
  <c r="T25" i="19"/>
  <c r="T24" i="19" s="1"/>
  <c r="K357" i="20" s="1"/>
  <c r="AX60" i="16"/>
  <c r="AW60" i="16"/>
  <c r="AV60" i="16"/>
  <c r="AU60" i="16"/>
  <c r="FQ48" i="37" l="1"/>
  <c r="AX43" i="25"/>
  <c r="EE8" i="12"/>
  <c r="ES41" i="18"/>
  <c r="ED43" i="12"/>
  <c r="GR275" i="37" s="1"/>
  <c r="HE202" i="37"/>
  <c r="FR20" i="12"/>
  <c r="FS18" i="12" s="1"/>
  <c r="FR21" i="12"/>
  <c r="HE134" i="37"/>
  <c r="FR47" i="37"/>
  <c r="H26" i="37"/>
  <c r="U122" i="19"/>
  <c r="V18" i="17" s="1"/>
  <c r="FR48" i="37" l="1"/>
  <c r="EC34" i="23"/>
  <c r="EE38" i="12"/>
  <c r="EE10" i="12"/>
  <c r="EE40" i="12" s="1"/>
  <c r="HF202" i="37"/>
  <c r="FS20" i="12"/>
  <c r="FT18" i="12" s="1"/>
  <c r="FS21" i="12"/>
  <c r="HF134" i="37"/>
  <c r="FS47" i="37"/>
  <c r="FS48" i="37" s="1"/>
  <c r="AY23" i="16"/>
  <c r="AZ23" i="16"/>
  <c r="BA23" i="16"/>
  <c r="BB23" i="16"/>
  <c r="U123" i="19"/>
  <c r="EF8" i="12" l="1"/>
  <c r="ET41" i="18"/>
  <c r="AM62" i="12"/>
  <c r="EE43" i="12"/>
  <c r="GS275" i="37" s="1"/>
  <c r="HG202" i="37"/>
  <c r="FT20" i="12"/>
  <c r="FU18" i="12" s="1"/>
  <c r="FT21" i="12"/>
  <c r="HG134" i="37"/>
  <c r="FT47" i="37"/>
  <c r="V120" i="19"/>
  <c r="U25" i="19"/>
  <c r="U24" i="19" s="1"/>
  <c r="L357" i="20" s="1"/>
  <c r="BB60" i="16"/>
  <c r="BA60" i="16"/>
  <c r="AZ60" i="16"/>
  <c r="AY60" i="16"/>
  <c r="FT48" i="37" l="1"/>
  <c r="AY43" i="25"/>
  <c r="ED34" i="23"/>
  <c r="AP40" i="21"/>
  <c r="AG289" i="20" s="1"/>
  <c r="G343" i="20" s="1"/>
  <c r="EF10" i="12"/>
  <c r="EF40" i="12" s="1"/>
  <c r="EF38" i="12"/>
  <c r="EG8" i="12"/>
  <c r="HH202" i="37"/>
  <c r="FU20" i="12"/>
  <c r="FV18" i="12" s="1"/>
  <c r="FU21" i="12"/>
  <c r="HH134" i="37"/>
  <c r="FU47" i="37"/>
  <c r="FU48" i="37" s="1"/>
  <c r="V122" i="19"/>
  <c r="W18" i="17" s="1"/>
  <c r="EG10" i="12" l="1"/>
  <c r="EG40" i="12" s="1"/>
  <c r="EV41" i="18" s="1"/>
  <c r="EF34" i="23" s="1"/>
  <c r="EG38" i="12"/>
  <c r="EG43" i="12" s="1"/>
  <c r="GU275" i="37" s="1"/>
  <c r="EH8" i="12"/>
  <c r="EF43" i="12"/>
  <c r="GT275" i="37" s="1"/>
  <c r="EU41" i="18"/>
  <c r="HI202" i="37"/>
  <c r="FV21" i="12"/>
  <c r="FV20" i="12"/>
  <c r="FW18" i="12" s="1"/>
  <c r="HI134" i="37"/>
  <c r="FV47" i="37"/>
  <c r="N208" i="20"/>
  <c r="BC23" i="16"/>
  <c r="BD23" i="16"/>
  <c r="BE23" i="16"/>
  <c r="BF23" i="16"/>
  <c r="V123" i="19"/>
  <c r="FV48" i="37" l="1"/>
  <c r="EE34" i="23"/>
  <c r="EH10" i="12"/>
  <c r="EH40" i="12" s="1"/>
  <c r="EH38" i="12"/>
  <c r="EH43" i="12" s="1"/>
  <c r="GV275" i="37" s="1"/>
  <c r="EI8" i="12"/>
  <c r="HJ202" i="37"/>
  <c r="FW20" i="12"/>
  <c r="FX18" i="12" s="1"/>
  <c r="FW21" i="12"/>
  <c r="HJ134" i="37"/>
  <c r="FW47" i="37"/>
  <c r="FW48" i="37" s="1"/>
  <c r="BD60" i="16"/>
  <c r="BC60" i="16"/>
  <c r="BF60" i="16"/>
  <c r="W120" i="19"/>
  <c r="V25" i="19"/>
  <c r="V24" i="19" s="1"/>
  <c r="BE60" i="16"/>
  <c r="EI38" i="12" l="1"/>
  <c r="EI10" i="12"/>
  <c r="EI40" i="12" s="1"/>
  <c r="EX41" i="18" s="1"/>
  <c r="EH34" i="23" s="1"/>
  <c r="EJ8" i="12"/>
  <c r="EW41" i="18"/>
  <c r="AN62" i="12"/>
  <c r="HK202" i="37"/>
  <c r="FX21" i="12"/>
  <c r="FX20" i="12"/>
  <c r="FY18" i="12" s="1"/>
  <c r="HK134" i="37"/>
  <c r="FX47" i="37"/>
  <c r="M357" i="20"/>
  <c r="W122" i="19"/>
  <c r="X18" i="17" s="1"/>
  <c r="FX48" i="37" l="1"/>
  <c r="AZ43" i="25"/>
  <c r="EG34" i="23"/>
  <c r="AQ40" i="21"/>
  <c r="AH289" i="20" s="1"/>
  <c r="H343" i="20" s="1"/>
  <c r="EJ10" i="12"/>
  <c r="EJ40" i="12" s="1"/>
  <c r="EY41" i="18" s="1"/>
  <c r="EI34" i="23" s="1"/>
  <c r="EJ38" i="12"/>
  <c r="EJ43" i="12" s="1"/>
  <c r="GX275" i="37" s="1"/>
  <c r="EK8" i="12"/>
  <c r="EI43" i="12"/>
  <c r="GW275" i="37" s="1"/>
  <c r="HL202" i="37"/>
  <c r="FY21" i="12"/>
  <c r="FY20" i="12"/>
  <c r="FZ18" i="12" s="1"/>
  <c r="HL134" i="37"/>
  <c r="FY47" i="37"/>
  <c r="FY48" i="37" s="1"/>
  <c r="O208" i="20"/>
  <c r="BG23" i="16"/>
  <c r="BH23" i="16"/>
  <c r="BI23" i="16"/>
  <c r="BJ23" i="16"/>
  <c r="W123" i="19"/>
  <c r="EK10" i="12" l="1"/>
  <c r="EK40" i="12" s="1"/>
  <c r="EZ41" i="18" s="1"/>
  <c r="EJ34" i="23" s="1"/>
  <c r="EK38" i="12"/>
  <c r="EK43" i="12" s="1"/>
  <c r="GY275" i="37" s="1"/>
  <c r="EL8" i="12"/>
  <c r="HM202" i="37"/>
  <c r="FZ20" i="12"/>
  <c r="GA18" i="12" s="1"/>
  <c r="FZ21" i="12"/>
  <c r="HM134" i="37"/>
  <c r="FZ47" i="37"/>
  <c r="BJ60" i="16"/>
  <c r="BI60" i="16"/>
  <c r="BH60" i="16"/>
  <c r="X120" i="19"/>
  <c r="W25" i="19"/>
  <c r="W24" i="19" s="1"/>
  <c r="N357" i="20" s="1"/>
  <c r="BG60" i="16"/>
  <c r="FZ48" i="37" l="1"/>
  <c r="GA47" i="37" s="1"/>
  <c r="EL10" i="12"/>
  <c r="EL38" i="12"/>
  <c r="HN202" i="37"/>
  <c r="GA21" i="12"/>
  <c r="GA20" i="12"/>
  <c r="GB18" i="12" s="1"/>
  <c r="HN134" i="37"/>
  <c r="X122" i="19"/>
  <c r="Y18" i="17" s="1"/>
  <c r="GA48" i="37" l="1"/>
  <c r="EL40" i="12"/>
  <c r="EM8" i="12"/>
  <c r="HO202" i="37"/>
  <c r="GB20" i="12"/>
  <c r="GC18" i="12" s="1"/>
  <c r="GB21" i="12"/>
  <c r="HO134" i="37"/>
  <c r="GB47" i="37"/>
  <c r="GB48" i="37" s="1"/>
  <c r="P208" i="20"/>
  <c r="BK23" i="16"/>
  <c r="BL23" i="16"/>
  <c r="BM23" i="16"/>
  <c r="BN23" i="16"/>
  <c r="X123" i="19"/>
  <c r="EM10" i="12" l="1"/>
  <c r="EM40" i="12" s="1"/>
  <c r="FB41" i="18" s="1"/>
  <c r="EL34" i="23" s="1"/>
  <c r="EM38" i="12"/>
  <c r="EN8" i="12"/>
  <c r="FA41" i="18"/>
  <c r="AO62" i="12"/>
  <c r="EL43" i="12"/>
  <c r="GZ275" i="37" s="1"/>
  <c r="HP202" i="37"/>
  <c r="GC21" i="12"/>
  <c r="GC20" i="12"/>
  <c r="GD18" i="12" s="1"/>
  <c r="HP134" i="37"/>
  <c r="GC47" i="37"/>
  <c r="BM60" i="16"/>
  <c r="BN60" i="16"/>
  <c r="Y120" i="19"/>
  <c r="X25" i="19"/>
  <c r="X24" i="19" s="1"/>
  <c r="O357" i="20" s="1"/>
  <c r="BL60" i="16"/>
  <c r="BK60" i="16"/>
  <c r="GC48" i="37" l="1"/>
  <c r="BA43" i="25"/>
  <c r="EK34" i="23"/>
  <c r="AR40" i="21"/>
  <c r="AI289" i="20" s="1"/>
  <c r="I343" i="20" s="1"/>
  <c r="EN38" i="12"/>
  <c r="EN10" i="12"/>
  <c r="EN40" i="12" s="1"/>
  <c r="FC41" i="18" s="1"/>
  <c r="EM34" i="23" s="1"/>
  <c r="EM43" i="12"/>
  <c r="HA275" i="37" s="1"/>
  <c r="HQ202" i="37"/>
  <c r="GD21" i="12"/>
  <c r="GD20" i="12"/>
  <c r="GE18" i="12" s="1"/>
  <c r="HQ134" i="37"/>
  <c r="GD47" i="37"/>
  <c r="Y122" i="19"/>
  <c r="Z18" i="17" s="1"/>
  <c r="GD48" i="37" l="1"/>
  <c r="EO8" i="12"/>
  <c r="EN43" i="12"/>
  <c r="HB275" i="37" s="1"/>
  <c r="HR202" i="37"/>
  <c r="GE21" i="12"/>
  <c r="GE20" i="12"/>
  <c r="HR134" i="37"/>
  <c r="GE47" i="37"/>
  <c r="GE48" i="37" s="1"/>
  <c r="BO23" i="16"/>
  <c r="BP23" i="16"/>
  <c r="BQ23" i="16"/>
  <c r="BR23" i="16"/>
  <c r="Y123" i="19"/>
  <c r="EO38" i="12" l="1"/>
  <c r="EO10" i="12"/>
  <c r="EO40" i="12" s="1"/>
  <c r="FD41" i="18" s="1"/>
  <c r="EN34" i="23" s="1"/>
  <c r="HS202" i="37"/>
  <c r="HS134" i="37"/>
  <c r="GF47" i="37"/>
  <c r="BR60" i="16"/>
  <c r="BQ60" i="16"/>
  <c r="BP60" i="16"/>
  <c r="BO60" i="16"/>
  <c r="Z120" i="19"/>
  <c r="Y25" i="19"/>
  <c r="Y24" i="19" s="1"/>
  <c r="GF48" i="37" l="1"/>
  <c r="BB43" i="25"/>
  <c r="EP8" i="12"/>
  <c r="EO43" i="12"/>
  <c r="HC275" i="37" s="1"/>
  <c r="HT202" i="37"/>
  <c r="HT134" i="37"/>
  <c r="GG47" i="37"/>
  <c r="GG48" i="37" s="1"/>
  <c r="Z122" i="19"/>
  <c r="AA18" i="17" s="1"/>
  <c r="EP38" i="12" l="1"/>
  <c r="EP10" i="12"/>
  <c r="EP40" i="12" s="1"/>
  <c r="HU202" i="37"/>
  <c r="HU134" i="37"/>
  <c r="GH47" i="37"/>
  <c r="R208" i="20"/>
  <c r="Z123" i="19"/>
  <c r="AA120" i="19" s="1"/>
  <c r="BS23" i="16"/>
  <c r="BT23" i="16"/>
  <c r="BU23" i="16"/>
  <c r="BV23" i="16"/>
  <c r="GH48" i="37" l="1"/>
  <c r="EQ8" i="12"/>
  <c r="FE41" i="18"/>
  <c r="EP43" i="12"/>
  <c r="HD275" i="37" s="1"/>
  <c r="HV202" i="37"/>
  <c r="HV134" i="37"/>
  <c r="GI47" i="37"/>
  <c r="GI48" i="37" s="1"/>
  <c r="Z25" i="19"/>
  <c r="Z24" i="19" s="1"/>
  <c r="BT60" i="16"/>
  <c r="BS60" i="16"/>
  <c r="BV60" i="16"/>
  <c r="AA122" i="19"/>
  <c r="AB18" i="17" s="1"/>
  <c r="BU60" i="16"/>
  <c r="EO34" i="23" l="1"/>
  <c r="EQ38" i="12"/>
  <c r="EQ10" i="12"/>
  <c r="EQ40" i="12" s="1"/>
  <c r="HW202" i="37"/>
  <c r="HW134" i="37"/>
  <c r="GJ47" i="37"/>
  <c r="S208" i="20"/>
  <c r="BW23" i="16"/>
  <c r="BX23" i="16"/>
  <c r="BY23" i="16"/>
  <c r="BZ23" i="16"/>
  <c r="AA123" i="19"/>
  <c r="GJ48" i="37" l="1"/>
  <c r="BC43" i="25"/>
  <c r="ER8" i="12"/>
  <c r="FF41" i="18"/>
  <c r="AP62" i="12"/>
  <c r="EQ43" i="12"/>
  <c r="HE275" i="37" s="1"/>
  <c r="HX202" i="37"/>
  <c r="HX134" i="37"/>
  <c r="GK47" i="37"/>
  <c r="GK48" i="37" s="1"/>
  <c r="BZ60" i="16"/>
  <c r="BY60" i="16"/>
  <c r="BX60" i="16"/>
  <c r="BW60" i="16"/>
  <c r="AB120" i="19"/>
  <c r="AA25" i="19"/>
  <c r="AA24" i="19" s="1"/>
  <c r="R357" i="20" s="1"/>
  <c r="EP34" i="23" l="1"/>
  <c r="AS40" i="21"/>
  <c r="AJ289" i="20" s="1"/>
  <c r="J343" i="20" s="1"/>
  <c r="ER10" i="12"/>
  <c r="ER40" i="12" s="1"/>
  <c r="FG41" i="18" s="1"/>
  <c r="EQ34" i="23" s="1"/>
  <c r="ER38" i="12"/>
  <c r="ER43" i="12" s="1"/>
  <c r="HF275" i="37" s="1"/>
  <c r="ES8" i="12"/>
  <c r="HY202" i="37"/>
  <c r="HY134" i="37"/>
  <c r="GL47" i="37"/>
  <c r="E389" i="20"/>
  <c r="AB122" i="19"/>
  <c r="AC18" i="17" s="1"/>
  <c r="GL48" i="37" l="1"/>
  <c r="ES38" i="12"/>
  <c r="ES10" i="12"/>
  <c r="ES40" i="12" s="1"/>
  <c r="HZ202" i="37"/>
  <c r="H133" i="37"/>
  <c r="HZ134" i="37"/>
  <c r="GM47" i="37"/>
  <c r="GM48" i="37" s="1"/>
  <c r="T208" i="20"/>
  <c r="G235" i="20" s="1"/>
  <c r="CA23" i="16"/>
  <c r="CB23" i="16"/>
  <c r="CC23" i="16"/>
  <c r="CD23" i="16"/>
  <c r="AB123" i="19"/>
  <c r="ET8" i="12" l="1"/>
  <c r="FH41" i="18"/>
  <c r="ES43" i="12"/>
  <c r="HG275" i="37" s="1"/>
  <c r="IA202" i="37"/>
  <c r="H202" i="37" s="1"/>
  <c r="H201" i="37"/>
  <c r="IA134" i="37"/>
  <c r="H134" i="37" s="1"/>
  <c r="GN47" i="37"/>
  <c r="CD60" i="16"/>
  <c r="CC60" i="16"/>
  <c r="CB60" i="16"/>
  <c r="AC120" i="19"/>
  <c r="AB25" i="19"/>
  <c r="AB24" i="19" s="1"/>
  <c r="CA60" i="16"/>
  <c r="GN48" i="37" l="1"/>
  <c r="BD43" i="25"/>
  <c r="ER34" i="23"/>
  <c r="ET38" i="12"/>
  <c r="ET10" i="12"/>
  <c r="ET40" i="12" s="1"/>
  <c r="EU8" i="12"/>
  <c r="O204" i="37"/>
  <c r="O206" i="37" s="1"/>
  <c r="P203" i="37"/>
  <c r="P204" i="37" s="1"/>
  <c r="N204" i="37"/>
  <c r="N206" i="37" s="1"/>
  <c r="M204" i="37"/>
  <c r="M206" i="37" s="1"/>
  <c r="L204" i="37"/>
  <c r="L206" i="37" s="1"/>
  <c r="K204" i="37"/>
  <c r="K206" i="37" s="1"/>
  <c r="J204" i="37"/>
  <c r="J206" i="37" s="1"/>
  <c r="GO47" i="37"/>
  <c r="GO48" i="37" s="1"/>
  <c r="S357" i="20"/>
  <c r="AC122" i="19"/>
  <c r="AD18" i="17" s="1"/>
  <c r="FI41" i="18" l="1"/>
  <c r="AQ62" i="12"/>
  <c r="EU10" i="12"/>
  <c r="EU40" i="12" s="1"/>
  <c r="FJ41" i="18" s="1"/>
  <c r="ET34" i="23" s="1"/>
  <c r="EU38" i="12"/>
  <c r="ET43" i="12"/>
  <c r="HH275" i="37" s="1"/>
  <c r="J215" i="37"/>
  <c r="J208" i="37"/>
  <c r="P206" i="37"/>
  <c r="Q203" i="37"/>
  <c r="M215" i="37"/>
  <c r="M208" i="37"/>
  <c r="M214" i="37" s="1"/>
  <c r="M216" i="37" s="1"/>
  <c r="M217" i="37" s="1"/>
  <c r="K215" i="37"/>
  <c r="K208" i="37"/>
  <c r="K214" i="37" s="1"/>
  <c r="N208" i="37"/>
  <c r="N214" i="37" s="1"/>
  <c r="N215" i="37"/>
  <c r="L215" i="37"/>
  <c r="L208" i="37"/>
  <c r="L214" i="37" s="1"/>
  <c r="L216" i="37" s="1"/>
  <c r="L217" i="37" s="1"/>
  <c r="O208" i="37"/>
  <c r="O214" i="37" s="1"/>
  <c r="O215" i="37"/>
  <c r="GP47" i="37"/>
  <c r="U208" i="20"/>
  <c r="CE23" i="16"/>
  <c r="CF23" i="16"/>
  <c r="CG23" i="16"/>
  <c r="CH23" i="16"/>
  <c r="AC123" i="19"/>
  <c r="GP48" i="37" l="1"/>
  <c r="N216" i="37"/>
  <c r="N217" i="37" s="1"/>
  <c r="EV8" i="12"/>
  <c r="EU43" i="12"/>
  <c r="HI275" i="37" s="1"/>
  <c r="ES34" i="23"/>
  <c r="AT40" i="21"/>
  <c r="AK289" i="20" s="1"/>
  <c r="K343" i="20" s="1"/>
  <c r="O216" i="37"/>
  <c r="O217" i="37" s="1"/>
  <c r="P215" i="37"/>
  <c r="P208" i="37"/>
  <c r="P214" i="37" s="1"/>
  <c r="P216" i="37" s="1"/>
  <c r="Q204" i="37"/>
  <c r="J214" i="37"/>
  <c r="J216" i="37" s="1"/>
  <c r="J217" i="37" s="1"/>
  <c r="K216" i="37"/>
  <c r="K217" i="37" s="1"/>
  <c r="GQ47" i="37"/>
  <c r="GQ48" i="37" s="1"/>
  <c r="CH60" i="16"/>
  <c r="CG60" i="16"/>
  <c r="CF60" i="16"/>
  <c r="AD120" i="19"/>
  <c r="AC25" i="19"/>
  <c r="AC24" i="19" s="1"/>
  <c r="T357" i="20" s="1"/>
  <c r="CE60" i="16"/>
  <c r="EV10" i="12" l="1"/>
  <c r="EV40" i="12" s="1"/>
  <c r="EV38" i="12"/>
  <c r="EW8" i="12"/>
  <c r="Q206" i="37"/>
  <c r="R203" i="37"/>
  <c r="GR47" i="37"/>
  <c r="AD122" i="19"/>
  <c r="AE18" i="17" s="1"/>
  <c r="G389" i="20"/>
  <c r="GR48" i="37" l="1"/>
  <c r="BE43" i="25"/>
  <c r="EW38" i="12"/>
  <c r="EW10" i="12"/>
  <c r="EW40" i="12" s="1"/>
  <c r="FL41" i="18" s="1"/>
  <c r="EV34" i="23" s="1"/>
  <c r="EV43" i="12"/>
  <c r="HJ275" i="37" s="1"/>
  <c r="FK41" i="18"/>
  <c r="R204" i="37"/>
  <c r="Q215" i="37"/>
  <c r="Q208" i="37"/>
  <c r="GS47" i="37"/>
  <c r="GS48" i="37" s="1"/>
  <c r="AD123" i="19"/>
  <c r="AE120" i="19" s="1"/>
  <c r="CI23" i="16"/>
  <c r="CJ23" i="16"/>
  <c r="CK23" i="16"/>
  <c r="CL23" i="16"/>
  <c r="EU34" i="23" l="1"/>
  <c r="EX8" i="12"/>
  <c r="EW43" i="12"/>
  <c r="HK275" i="37" s="1"/>
  <c r="Q214" i="37"/>
  <c r="Q216" i="37" s="1"/>
  <c r="R206" i="37"/>
  <c r="S203" i="37"/>
  <c r="GT47" i="37"/>
  <c r="AD25" i="19"/>
  <c r="AD24" i="19" s="1"/>
  <c r="U357" i="20" s="1"/>
  <c r="H389" i="20" s="1"/>
  <c r="CL60" i="16"/>
  <c r="CK60" i="16"/>
  <c r="AE122" i="19"/>
  <c r="AF18" i="17" s="1"/>
  <c r="CJ60" i="16"/>
  <c r="CI60" i="16"/>
  <c r="GT48" i="37" l="1"/>
  <c r="EX38" i="12"/>
  <c r="EX10" i="12"/>
  <c r="EX40" i="12" s="1"/>
  <c r="EY8" i="12"/>
  <c r="S204" i="37"/>
  <c r="R208" i="37"/>
  <c r="R215" i="37"/>
  <c r="GU47" i="37"/>
  <c r="GU48" i="37" s="1"/>
  <c r="CM23" i="16"/>
  <c r="CN23" i="16"/>
  <c r="CO23" i="16"/>
  <c r="CP23" i="16"/>
  <c r="AE123" i="19"/>
  <c r="EX43" i="12" l="1"/>
  <c r="HL275" i="37" s="1"/>
  <c r="EY10" i="12"/>
  <c r="EY40" i="12" s="1"/>
  <c r="FN41" i="18" s="1"/>
  <c r="EX34" i="23" s="1"/>
  <c r="EY38" i="12"/>
  <c r="FM41" i="18"/>
  <c r="AR62" i="12"/>
  <c r="R214" i="37"/>
  <c r="R216" i="37" s="1"/>
  <c r="S206" i="37"/>
  <c r="T203" i="37"/>
  <c r="GV47" i="37"/>
  <c r="CN60" i="16"/>
  <c r="CM60" i="16"/>
  <c r="AF120" i="19"/>
  <c r="AE25" i="19"/>
  <c r="AE24" i="19" s="1"/>
  <c r="CP60" i="16"/>
  <c r="CO60" i="16"/>
  <c r="GV48" i="37" l="1"/>
  <c r="BF43" i="25"/>
  <c r="EZ8" i="12"/>
  <c r="EW34" i="23"/>
  <c r="AU40" i="21"/>
  <c r="AL289" i="20" s="1"/>
  <c r="L343" i="20" s="1"/>
  <c r="EY43" i="12"/>
  <c r="HM275" i="37" s="1"/>
  <c r="T204" i="37"/>
  <c r="S215" i="37"/>
  <c r="S208" i="37"/>
  <c r="GW47" i="37"/>
  <c r="GW48" i="37" s="1"/>
  <c r="V357" i="20"/>
  <c r="AF122" i="19"/>
  <c r="AG18" i="17" s="1"/>
  <c r="EZ38" i="12" l="1"/>
  <c r="EZ10" i="12"/>
  <c r="EZ40" i="12" s="1"/>
  <c r="FO41" i="18" s="1"/>
  <c r="EY34" i="23" s="1"/>
  <c r="FA8" i="12"/>
  <c r="S214" i="37"/>
  <c r="S216" i="37" s="1"/>
  <c r="T206" i="37"/>
  <c r="U203" i="37"/>
  <c r="U204" i="37" s="1"/>
  <c r="GX47" i="37"/>
  <c r="X208" i="20"/>
  <c r="K235" i="20" s="1"/>
  <c r="AF123" i="19"/>
  <c r="AG120" i="19" s="1"/>
  <c r="CQ23" i="16"/>
  <c r="CR23" i="16"/>
  <c r="CS23" i="16"/>
  <c r="CT23" i="16"/>
  <c r="GX48" i="37" l="1"/>
  <c r="FA10" i="12"/>
  <c r="FA40" i="12" s="1"/>
  <c r="FP41" i="18" s="1"/>
  <c r="EZ34" i="23" s="1"/>
  <c r="FA38" i="12"/>
  <c r="FB8" i="12"/>
  <c r="EZ43" i="12"/>
  <c r="HN275" i="37" s="1"/>
  <c r="V203" i="37"/>
  <c r="V204" i="37" s="1"/>
  <c r="U206" i="37"/>
  <c r="T215" i="37"/>
  <c r="T208" i="37"/>
  <c r="GY47" i="37"/>
  <c r="GY48" i="37" s="1"/>
  <c r="AF25" i="19"/>
  <c r="AF24" i="19" s="1"/>
  <c r="W357" i="20"/>
  <c r="CT60" i="16"/>
  <c r="CS60" i="16"/>
  <c r="CR60" i="16"/>
  <c r="CQ60" i="16"/>
  <c r="AG122" i="19"/>
  <c r="AH18" i="17" s="1"/>
  <c r="FA43" i="12" l="1"/>
  <c r="HO275" i="37" s="1"/>
  <c r="FB38" i="12"/>
  <c r="FB10" i="12"/>
  <c r="FB40" i="12" s="1"/>
  <c r="U208" i="37"/>
  <c r="U214" i="37" s="1"/>
  <c r="U215" i="37"/>
  <c r="T214" i="37"/>
  <c r="T216" i="37" s="1"/>
  <c r="W203" i="37"/>
  <c r="W204" i="37" s="1"/>
  <c r="V206" i="37"/>
  <c r="GZ47" i="37"/>
  <c r="AG123" i="19"/>
  <c r="Y208" i="20"/>
  <c r="L235" i="20" s="1"/>
  <c r="CU23" i="16"/>
  <c r="CV23" i="16"/>
  <c r="CW23" i="16"/>
  <c r="CX23" i="16"/>
  <c r="AH120" i="19"/>
  <c r="AG25" i="19"/>
  <c r="AG24" i="19" s="1"/>
  <c r="X357" i="20" s="1"/>
  <c r="GZ48" i="37" l="1"/>
  <c r="BG43" i="25"/>
  <c r="FC8" i="12"/>
  <c r="FQ41" i="18"/>
  <c r="FB43" i="12"/>
  <c r="HP275" i="37" s="1"/>
  <c r="U216" i="37"/>
  <c r="W206" i="37"/>
  <c r="X203" i="37"/>
  <c r="X204" i="37" s="1"/>
  <c r="V215" i="37"/>
  <c r="V208" i="37"/>
  <c r="V214" i="37" s="1"/>
  <c r="V216" i="37" s="1"/>
  <c r="V15" i="37" s="1"/>
  <c r="HA47" i="37"/>
  <c r="HA48" i="37" s="1"/>
  <c r="CV60" i="16"/>
  <c r="CU60" i="16"/>
  <c r="K389" i="20"/>
  <c r="AH122" i="19"/>
  <c r="AI18" i="17" s="1"/>
  <c r="CX60" i="16"/>
  <c r="CW60" i="16"/>
  <c r="FA34" i="23" l="1"/>
  <c r="FC10" i="12"/>
  <c r="FC40" i="12" s="1"/>
  <c r="FC38" i="12"/>
  <c r="X206" i="37"/>
  <c r="Y203" i="37"/>
  <c r="Y204" i="37" s="1"/>
  <c r="W215" i="37"/>
  <c r="W208" i="37"/>
  <c r="W214" i="37" s="1"/>
  <c r="HB47" i="37"/>
  <c r="CY23" i="16"/>
  <c r="CZ23" i="16"/>
  <c r="DA23" i="16"/>
  <c r="DB23" i="16"/>
  <c r="AH123" i="19"/>
  <c r="HB48" i="37" l="1"/>
  <c r="FD8" i="12"/>
  <c r="FC43" i="12"/>
  <c r="HQ275" i="37" s="1"/>
  <c r="FR41" i="18"/>
  <c r="AS62" i="12"/>
  <c r="W216" i="37"/>
  <c r="W15" i="37" s="1"/>
  <c r="W270" i="37" s="1"/>
  <c r="Y206" i="37"/>
  <c r="Z203" i="37"/>
  <c r="Z204" i="37" s="1"/>
  <c r="X208" i="37"/>
  <c r="X214" i="37" s="1"/>
  <c r="X215" i="37"/>
  <c r="HC47" i="37"/>
  <c r="HC48" i="37" s="1"/>
  <c r="CY60" i="16"/>
  <c r="CZ60" i="16"/>
  <c r="AI120" i="19"/>
  <c r="AH25" i="19"/>
  <c r="AH24" i="19" s="1"/>
  <c r="Y357" i="20" s="1"/>
  <c r="DB60" i="16"/>
  <c r="DA60" i="16"/>
  <c r="FB34" i="23" l="1"/>
  <c r="AV40" i="21"/>
  <c r="AM289" i="20" s="1"/>
  <c r="M343" i="20" s="1"/>
  <c r="FD38" i="12"/>
  <c r="FD10" i="12"/>
  <c r="FD40" i="12" s="1"/>
  <c r="FS41" i="18" s="1"/>
  <c r="FC34" i="23" s="1"/>
  <c r="X216" i="37"/>
  <c r="X15" i="37" s="1"/>
  <c r="X270" i="37" s="1"/>
  <c r="AA203" i="37"/>
  <c r="AA204" i="37" s="1"/>
  <c r="Z206" i="37"/>
  <c r="Y215" i="37"/>
  <c r="Y208" i="37"/>
  <c r="Y214" i="37" s="1"/>
  <c r="Y216" i="37" s="1"/>
  <c r="Y15" i="37" s="1"/>
  <c r="Y270" i="37" s="1"/>
  <c r="HD47" i="37"/>
  <c r="L389" i="20"/>
  <c r="AI122" i="19"/>
  <c r="AJ18" i="17" s="1"/>
  <c r="FD43" i="12" l="1"/>
  <c r="HR275" i="37" s="1"/>
  <c r="HD48" i="37"/>
  <c r="BH43" i="25"/>
  <c r="FE8" i="12"/>
  <c r="Z215" i="37"/>
  <c r="Z208" i="37"/>
  <c r="Z214" i="37" s="1"/>
  <c r="AA206" i="37"/>
  <c r="AB203" i="37"/>
  <c r="AB204" i="37" s="1"/>
  <c r="HE47" i="37"/>
  <c r="HE48" i="37" s="1"/>
  <c r="DC23" i="16"/>
  <c r="DD23" i="16"/>
  <c r="DE23" i="16"/>
  <c r="DF23" i="16"/>
  <c r="AI123" i="19"/>
  <c r="FE38" i="12" l="1"/>
  <c r="FE10" i="12"/>
  <c r="FE40" i="12" s="1"/>
  <c r="FT41" i="18" s="1"/>
  <c r="FD34" i="23" s="1"/>
  <c r="Z216" i="37"/>
  <c r="Z15" i="37" s="1"/>
  <c r="Z270" i="37" s="1"/>
  <c r="AB206" i="37"/>
  <c r="AC203" i="37"/>
  <c r="AC204" i="37" s="1"/>
  <c r="AD203" i="37" s="1"/>
  <c r="AD204" i="37" s="1"/>
  <c r="AE203" i="37" s="1"/>
  <c r="AE204" i="37" s="1"/>
  <c r="AF203" i="37" s="1"/>
  <c r="AF204" i="37" s="1"/>
  <c r="AG203" i="37" s="1"/>
  <c r="AG204" i="37" s="1"/>
  <c r="AH203" i="37" s="1"/>
  <c r="AH204" i="37" s="1"/>
  <c r="AI203" i="37" s="1"/>
  <c r="AA215" i="37"/>
  <c r="AA208" i="37"/>
  <c r="AA214" i="37" s="1"/>
  <c r="HF47" i="37"/>
  <c r="AJ120" i="19"/>
  <c r="AI25" i="19"/>
  <c r="AI24" i="19" s="1"/>
  <c r="DF60" i="16"/>
  <c r="DE60" i="16"/>
  <c r="DD60" i="16"/>
  <c r="DC60" i="16"/>
  <c r="HF48" i="37" l="1"/>
  <c r="AI204" i="37"/>
  <c r="AJ203" i="37" s="1"/>
  <c r="AJ204" i="37" s="1"/>
  <c r="AK203" i="37" s="1"/>
  <c r="AK204" i="37" s="1"/>
  <c r="AL203" i="37" s="1"/>
  <c r="P205" i="25"/>
  <c r="FF8" i="12"/>
  <c r="AA216" i="37"/>
  <c r="AA15" i="37" s="1"/>
  <c r="AA270" i="37" s="1"/>
  <c r="FE43" i="12"/>
  <c r="HS275" i="37" s="1"/>
  <c r="AB215" i="37"/>
  <c r="AB208" i="37"/>
  <c r="AB214" i="37" s="1"/>
  <c r="AB216" i="37" s="1"/>
  <c r="AB15" i="37" s="1"/>
  <c r="AB270" i="37" s="1"/>
  <c r="HG47" i="37"/>
  <c r="HG48" i="37" s="1"/>
  <c r="AJ122" i="19"/>
  <c r="AK18" i="17" s="1"/>
  <c r="P206" i="25" l="1"/>
  <c r="P208" i="25" s="1"/>
  <c r="AL204" i="37"/>
  <c r="AM203" i="37" s="1"/>
  <c r="AM204" i="37" s="1"/>
  <c r="AN203" i="37" s="1"/>
  <c r="AN204" i="37" s="1"/>
  <c r="AO203" i="37" s="1"/>
  <c r="AO204" i="37" s="1"/>
  <c r="AP203" i="37" s="1"/>
  <c r="Q205" i="25"/>
  <c r="FF10" i="12"/>
  <c r="FF40" i="12" s="1"/>
  <c r="FF38" i="12"/>
  <c r="FF43" i="12" s="1"/>
  <c r="HT275" i="37" s="1"/>
  <c r="FG8" i="12"/>
  <c r="HH47" i="37"/>
  <c r="DG23" i="16"/>
  <c r="DH23" i="16"/>
  <c r="DI23" i="16"/>
  <c r="DJ23" i="16"/>
  <c r="AJ123" i="19"/>
  <c r="HH48" i="37" l="1"/>
  <c r="HI47" i="37" s="1"/>
  <c r="AP204" i="37"/>
  <c r="AQ203" i="37" s="1"/>
  <c r="AQ204" i="37" s="1"/>
  <c r="AR203" i="37" s="1"/>
  <c r="AR204" i="37" s="1"/>
  <c r="AS203" i="37" s="1"/>
  <c r="AS204" i="37" s="1"/>
  <c r="AT203" i="37" s="1"/>
  <c r="R205" i="25"/>
  <c r="Q206" i="25"/>
  <c r="Q208" i="25" s="1"/>
  <c r="P210" i="25"/>
  <c r="P216" i="25" s="1"/>
  <c r="P218" i="25" s="1"/>
  <c r="P217" i="25"/>
  <c r="FG38" i="12"/>
  <c r="FG10" i="12"/>
  <c r="FG40" i="12" s="1"/>
  <c r="FV41" i="18" s="1"/>
  <c r="FF34" i="23" s="1"/>
  <c r="FU41" i="18"/>
  <c r="AT62" i="12"/>
  <c r="DJ60" i="16"/>
  <c r="DI60" i="16"/>
  <c r="DH60" i="16"/>
  <c r="AK120" i="19"/>
  <c r="AJ25" i="19"/>
  <c r="AJ24" i="19" s="1"/>
  <c r="DG60" i="16"/>
  <c r="HI48" i="37" l="1"/>
  <c r="BI43" i="25"/>
  <c r="AT204" i="37"/>
  <c r="AU203" i="37" s="1"/>
  <c r="AU204" i="37" s="1"/>
  <c r="AV203" i="37" s="1"/>
  <c r="AV204" i="37" s="1"/>
  <c r="AW203" i="37" s="1"/>
  <c r="AW204" i="37" s="1"/>
  <c r="AX203" i="37" s="1"/>
  <c r="S205" i="25"/>
  <c r="R206" i="25"/>
  <c r="R208" i="25" s="1"/>
  <c r="Q217" i="25"/>
  <c r="Q210" i="25"/>
  <c r="Q216" i="25" s="1"/>
  <c r="FE34" i="23"/>
  <c r="AW40" i="21"/>
  <c r="AN289" i="20" s="1"/>
  <c r="N343" i="20" s="1"/>
  <c r="FG43" i="12"/>
  <c r="HU275" i="37" s="1"/>
  <c r="FH8" i="12"/>
  <c r="HJ47" i="37"/>
  <c r="AK122" i="19"/>
  <c r="AL18" i="17" s="1"/>
  <c r="Q218" i="25" l="1"/>
  <c r="S206" i="25"/>
  <c r="S208" i="25" s="1"/>
  <c r="AX204" i="37"/>
  <c r="AY203" i="37" s="1"/>
  <c r="AY204" i="37" s="1"/>
  <c r="AZ203" i="37" s="1"/>
  <c r="AZ204" i="37" s="1"/>
  <c r="BA203" i="37" s="1"/>
  <c r="BA204" i="37" s="1"/>
  <c r="BB203" i="37" s="1"/>
  <c r="T205" i="25"/>
  <c r="HJ48" i="37"/>
  <c r="HK47" i="37" s="1"/>
  <c r="R210" i="25"/>
  <c r="R216" i="25" s="1"/>
  <c r="R218" i="25" s="1"/>
  <c r="R217" i="25"/>
  <c r="FH10" i="12"/>
  <c r="FH40" i="12" s="1"/>
  <c r="FW41" i="18" s="1"/>
  <c r="FG34" i="23" s="1"/>
  <c r="FH38" i="12"/>
  <c r="FI8" i="12"/>
  <c r="AC208" i="20"/>
  <c r="DK23" i="16"/>
  <c r="DL23" i="16"/>
  <c r="DM23" i="16"/>
  <c r="DN23" i="16"/>
  <c r="AK123" i="19"/>
  <c r="FH43" i="12" l="1"/>
  <c r="HV275" i="37" s="1"/>
  <c r="HK48" i="37"/>
  <c r="S217" i="25"/>
  <c r="S210" i="25"/>
  <c r="S216" i="25" s="1"/>
  <c r="S218" i="25" s="1"/>
  <c r="T206" i="25"/>
  <c r="T208" i="25" s="1"/>
  <c r="BB204" i="37"/>
  <c r="BC203" i="37" s="1"/>
  <c r="BC204" i="37" s="1"/>
  <c r="BD203" i="37" s="1"/>
  <c r="BD204" i="37" s="1"/>
  <c r="BE203" i="37" s="1"/>
  <c r="BE204" i="37" s="1"/>
  <c r="BF203" i="37" s="1"/>
  <c r="U205" i="25"/>
  <c r="U206" i="25" s="1"/>
  <c r="U208" i="25" s="1"/>
  <c r="FI10" i="12"/>
  <c r="FI40" i="12" s="1"/>
  <c r="FX41" i="18" s="1"/>
  <c r="FH34" i="23" s="1"/>
  <c r="FI38" i="12"/>
  <c r="FJ8" i="12"/>
  <c r="HL47" i="37"/>
  <c r="HL48" i="37" s="1"/>
  <c r="DN60" i="16"/>
  <c r="DM60" i="16"/>
  <c r="DL60" i="16"/>
  <c r="DK60" i="16"/>
  <c r="AL120" i="19"/>
  <c r="AK25" i="19"/>
  <c r="AK24" i="19" s="1"/>
  <c r="U217" i="25" l="1"/>
  <c r="U210" i="25"/>
  <c r="U216" i="25" s="1"/>
  <c r="U218" i="25" s="1"/>
  <c r="BF204" i="37"/>
  <c r="BG203" i="37" s="1"/>
  <c r="BG204" i="37" s="1"/>
  <c r="BH203" i="37" s="1"/>
  <c r="BH204" i="37" s="1"/>
  <c r="BI203" i="37" s="1"/>
  <c r="BI204" i="37" s="1"/>
  <c r="BJ203" i="37" s="1"/>
  <c r="V205" i="25"/>
  <c r="V206" i="25" s="1"/>
  <c r="V208" i="25" s="1"/>
  <c r="T217" i="25"/>
  <c r="T210" i="25"/>
  <c r="T216" i="25" s="1"/>
  <c r="T218" i="25" s="1"/>
  <c r="FJ10" i="12"/>
  <c r="FJ40" i="12" s="1"/>
  <c r="FY41" i="18" s="1"/>
  <c r="FI34" i="23" s="1"/>
  <c r="FJ38" i="12"/>
  <c r="FJ43" i="12" s="1"/>
  <c r="HX275" i="37" s="1"/>
  <c r="FK8" i="12"/>
  <c r="FI43" i="12"/>
  <c r="HW275" i="37" s="1"/>
  <c r="HM47" i="37"/>
  <c r="AL122" i="19"/>
  <c r="AM18" i="17" s="1"/>
  <c r="V217" i="25" l="1"/>
  <c r="V210" i="25"/>
  <c r="V216" i="25" s="1"/>
  <c r="V218" i="25" s="1"/>
  <c r="V14" i="25" s="1"/>
  <c r="HM48" i="37"/>
  <c r="HN47" i="37" s="1"/>
  <c r="BJ43" i="25"/>
  <c r="BJ204" i="37"/>
  <c r="BK203" i="37" s="1"/>
  <c r="BK204" i="37" s="1"/>
  <c r="BL203" i="37" s="1"/>
  <c r="BL204" i="37" s="1"/>
  <c r="BM203" i="37" s="1"/>
  <c r="BM204" i="37" s="1"/>
  <c r="BN203" i="37" s="1"/>
  <c r="W205" i="25"/>
  <c r="W206" i="25" s="1"/>
  <c r="W208" i="25" s="1"/>
  <c r="FK38" i="12"/>
  <c r="FK10" i="12"/>
  <c r="FK40" i="12" s="1"/>
  <c r="DO23" i="16"/>
  <c r="DP23" i="16"/>
  <c r="DQ23" i="16"/>
  <c r="DR23" i="16"/>
  <c r="AL123" i="19"/>
  <c r="HN48" i="37" l="1"/>
  <c r="W210" i="25"/>
  <c r="W216" i="25" s="1"/>
  <c r="W217" i="25"/>
  <c r="BN204" i="37"/>
  <c r="BO203" i="37" s="1"/>
  <c r="BO204" i="37" s="1"/>
  <c r="FL8" i="12"/>
  <c r="FZ41" i="18"/>
  <c r="AU62" i="12"/>
  <c r="FK43" i="12"/>
  <c r="HY275" i="37" s="1"/>
  <c r="HO47" i="37"/>
  <c r="HO48" i="37" s="1"/>
  <c r="DR60" i="16"/>
  <c r="AM120" i="19"/>
  <c r="AL25" i="19"/>
  <c r="AL24" i="19" s="1"/>
  <c r="AC357" i="20" s="1"/>
  <c r="DQ60" i="16"/>
  <c r="DP60" i="16"/>
  <c r="DO60" i="16"/>
  <c r="W218" i="25" l="1"/>
  <c r="W14" i="25" s="1"/>
  <c r="W271" i="25" s="1"/>
  <c r="BO206" i="37"/>
  <c r="BP203" i="37"/>
  <c r="AX40" i="21"/>
  <c r="AO289" i="20" s="1"/>
  <c r="O343" i="20" s="1"/>
  <c r="FJ34" i="23"/>
  <c r="FL38" i="12"/>
  <c r="FL10" i="12"/>
  <c r="FL40" i="12" s="1"/>
  <c r="GA41" i="18" s="1"/>
  <c r="FK34" i="23" s="1"/>
  <c r="FM8" i="12"/>
  <c r="HP47" i="37"/>
  <c r="D417" i="20"/>
  <c r="AM122" i="19"/>
  <c r="AN18" i="17" s="1"/>
  <c r="HP48" i="37" l="1"/>
  <c r="BK43" i="25"/>
  <c r="BP204" i="37"/>
  <c r="BO208" i="37"/>
  <c r="BO214" i="37" s="1"/>
  <c r="BO216" i="37" s="1"/>
  <c r="BO15" i="37" s="1"/>
  <c r="BO270" i="37" s="1"/>
  <c r="BO215" i="37"/>
  <c r="FM38" i="12"/>
  <c r="FM10" i="12"/>
  <c r="FM40" i="12" s="1"/>
  <c r="GB41" i="18" s="1"/>
  <c r="FL34" i="23" s="1"/>
  <c r="FL43" i="12"/>
  <c r="HZ275" i="37" s="1"/>
  <c r="HQ47" i="37"/>
  <c r="HQ48" i="37" s="1"/>
  <c r="AE208" i="20"/>
  <c r="E256" i="20" s="1"/>
  <c r="DS23" i="16"/>
  <c r="DT23" i="16"/>
  <c r="DU23" i="16"/>
  <c r="DV23" i="16"/>
  <c r="AM123" i="19"/>
  <c r="BP206" i="37" l="1"/>
  <c r="BQ203" i="37"/>
  <c r="FM43" i="12"/>
  <c r="IA275" i="37" s="1"/>
  <c r="FN8" i="12"/>
  <c r="HR47" i="37"/>
  <c r="DV60" i="16"/>
  <c r="DU60" i="16"/>
  <c r="DT60" i="16"/>
  <c r="DS60" i="16"/>
  <c r="AN120" i="19"/>
  <c r="AM25" i="19"/>
  <c r="AM24" i="19" s="1"/>
  <c r="AD357" i="20" s="1"/>
  <c r="Q8" i="6"/>
  <c r="Q11" i="6"/>
  <c r="Q12" i="6"/>
  <c r="Q14" i="6"/>
  <c r="M40" i="21"/>
  <c r="N40" i="21"/>
  <c r="E289" i="20" s="1"/>
  <c r="B289" i="20" s="1"/>
  <c r="BQ204" i="37" l="1"/>
  <c r="X205" i="25"/>
  <c r="X206" i="25" s="1"/>
  <c r="X208" i="25" s="1"/>
  <c r="HR48" i="37"/>
  <c r="HS47" i="37" s="1"/>
  <c r="BP208" i="37"/>
  <c r="BP214" i="37" s="1"/>
  <c r="BP215" i="37"/>
  <c r="FN10" i="12"/>
  <c r="FN38" i="12"/>
  <c r="FO8" i="12"/>
  <c r="Q16" i="6"/>
  <c r="P11" i="6" s="1"/>
  <c r="E417" i="20"/>
  <c r="AN122" i="19"/>
  <c r="AO18" i="17" s="1"/>
  <c r="HS48" i="37" l="1"/>
  <c r="X210" i="25"/>
  <c r="X216" i="25" s="1"/>
  <c r="X217" i="25"/>
  <c r="BP216" i="37"/>
  <c r="BP15" i="37" s="1"/>
  <c r="BP270" i="37" s="1"/>
  <c r="BR203" i="37"/>
  <c r="BQ206" i="37"/>
  <c r="FO10" i="12"/>
  <c r="FO40" i="12" s="1"/>
  <c r="GD41" i="18" s="1"/>
  <c r="FN34" i="23" s="1"/>
  <c r="FO38" i="12"/>
  <c r="FP8" i="12"/>
  <c r="FN40" i="12"/>
  <c r="F10" i="12"/>
  <c r="F7" i="12" s="1"/>
  <c r="HT47" i="37"/>
  <c r="HT48" i="37" s="1"/>
  <c r="P12" i="6"/>
  <c r="P14" i="6"/>
  <c r="AF208" i="20"/>
  <c r="F256" i="20" s="1"/>
  <c r="AN123" i="19"/>
  <c r="AO120" i="19" s="1"/>
  <c r="P10" i="6"/>
  <c r="P15" i="6"/>
  <c r="P13" i="6"/>
  <c r="P7" i="6"/>
  <c r="P9" i="6"/>
  <c r="P8" i="6"/>
  <c r="DW23" i="16"/>
  <c r="DX23" i="16"/>
  <c r="DY23" i="16"/>
  <c r="DZ23" i="16"/>
  <c r="X218" i="25" l="1"/>
  <c r="X14" i="25" s="1"/>
  <c r="X271" i="25" s="1"/>
  <c r="BR204" i="37"/>
  <c r="BQ215" i="37"/>
  <c r="BQ208" i="37"/>
  <c r="BQ214" i="37" s="1"/>
  <c r="BQ216" i="37" s="1"/>
  <c r="BQ15" i="37" s="1"/>
  <c r="BQ270" i="37" s="1"/>
  <c r="GC41" i="18"/>
  <c r="F40" i="12"/>
  <c r="AV62" i="12"/>
  <c r="FN43" i="12"/>
  <c r="FP38" i="12"/>
  <c r="FP10" i="12"/>
  <c r="FO43" i="12"/>
  <c r="HU47" i="37"/>
  <c r="AN25" i="19"/>
  <c r="AN24" i="19" s="1"/>
  <c r="DX60" i="16"/>
  <c r="P16" i="6"/>
  <c r="DZ60" i="16"/>
  <c r="DY60" i="16"/>
  <c r="DW60" i="16"/>
  <c r="AO122" i="19"/>
  <c r="AP18" i="17" s="1"/>
  <c r="HU48" i="37" l="1"/>
  <c r="BL43" i="25"/>
  <c r="BS203" i="37"/>
  <c r="BR206" i="37"/>
  <c r="FP40" i="12"/>
  <c r="FP43" i="12" s="1"/>
  <c r="FQ8" i="12"/>
  <c r="FM34" i="23"/>
  <c r="F34" i="23" s="1"/>
  <c r="AY40" i="21"/>
  <c r="F41" i="18"/>
  <c r="HV47" i="37"/>
  <c r="AG208" i="20"/>
  <c r="AE357" i="20"/>
  <c r="AO123" i="19"/>
  <c r="AP120" i="19" s="1"/>
  <c r="EA23" i="16"/>
  <c r="EB23" i="16"/>
  <c r="EC23" i="16"/>
  <c r="ED23" i="16"/>
  <c r="HV48" i="37" l="1"/>
  <c r="BR215" i="37"/>
  <c r="BR208" i="37"/>
  <c r="BR214" i="37" s="1"/>
  <c r="BR216" i="37" s="1"/>
  <c r="BR15" i="37" s="1"/>
  <c r="BR270" i="37" s="1"/>
  <c r="BS204" i="37"/>
  <c r="AP289" i="20"/>
  <c r="F40" i="21"/>
  <c r="FQ10" i="12"/>
  <c r="FQ38" i="12"/>
  <c r="HW47" i="37"/>
  <c r="HW48" i="37" s="1"/>
  <c r="AO25" i="19"/>
  <c r="AO24" i="19" s="1"/>
  <c r="AF357" i="20" s="1"/>
  <c r="G417" i="20" s="1"/>
  <c r="ED60" i="16"/>
  <c r="EC60" i="16"/>
  <c r="EB60" i="16"/>
  <c r="AP122" i="19"/>
  <c r="AQ18" i="17" s="1"/>
  <c r="EA60" i="16"/>
  <c r="BS206" i="37" l="1"/>
  <c r="BT203" i="37"/>
  <c r="FQ40" i="12"/>
  <c r="FQ43" i="12" s="1"/>
  <c r="FR8" i="12"/>
  <c r="D289" i="20"/>
  <c r="P343" i="20"/>
  <c r="HX47" i="37"/>
  <c r="EE23" i="16"/>
  <c r="EF23" i="16"/>
  <c r="EG23" i="16"/>
  <c r="EH23" i="16"/>
  <c r="AP123" i="19"/>
  <c r="HX48" i="37" l="1"/>
  <c r="BM43" i="25"/>
  <c r="BT204" i="37"/>
  <c r="BS215" i="37"/>
  <c r="BS208" i="37"/>
  <c r="BS214" i="37" s="1"/>
  <c r="BS216" i="37" s="1"/>
  <c r="BS15" i="37" s="1"/>
  <c r="BS270" i="37" s="1"/>
  <c r="FR10" i="12"/>
  <c r="FR38" i="12"/>
  <c r="HY47" i="37"/>
  <c r="HY48" i="37" s="1"/>
  <c r="EH60" i="16"/>
  <c r="EG60" i="16"/>
  <c r="EF60" i="16"/>
  <c r="EE60" i="16"/>
  <c r="AQ120" i="19"/>
  <c r="AP25" i="19"/>
  <c r="AP24" i="19" s="1"/>
  <c r="AG357" i="20" s="1"/>
  <c r="BU203" i="37" l="1"/>
  <c r="BT206" i="37"/>
  <c r="FR40" i="12"/>
  <c r="FR43" i="12" s="1"/>
  <c r="FS8" i="12"/>
  <c r="HZ47" i="37"/>
  <c r="H417" i="20"/>
  <c r="AQ122" i="19"/>
  <c r="AR18" i="17" s="1"/>
  <c r="BT208" i="37" l="1"/>
  <c r="BT214" i="37" s="1"/>
  <c r="BT216" i="37" s="1"/>
  <c r="BT15" i="37" s="1"/>
  <c r="BT270" i="37" s="1"/>
  <c r="BT215" i="37"/>
  <c r="HZ48" i="37"/>
  <c r="IA47" i="37" s="1"/>
  <c r="BU204" i="37"/>
  <c r="Y205" i="25"/>
  <c r="Y206" i="25" s="1"/>
  <c r="Y208" i="25" s="1"/>
  <c r="FS10" i="12"/>
  <c r="FS38" i="12"/>
  <c r="AI208" i="20"/>
  <c r="EI23" i="16"/>
  <c r="EJ23" i="16"/>
  <c r="EK23" i="16"/>
  <c r="EL23" i="16"/>
  <c r="AQ123" i="19"/>
  <c r="IA48" i="37" l="1"/>
  <c r="H48" i="37" s="1"/>
  <c r="Y43" i="25"/>
  <c r="BN43" i="25"/>
  <c r="BV203" i="37"/>
  <c r="BU206" i="37"/>
  <c r="Y210" i="25"/>
  <c r="Y216" i="25" s="1"/>
  <c r="Y218" i="25" s="1"/>
  <c r="Y14" i="25" s="1"/>
  <c r="Y271" i="25" s="1"/>
  <c r="Y217" i="25"/>
  <c r="FT8" i="12"/>
  <c r="FS40" i="12"/>
  <c r="FS43" i="12" s="1"/>
  <c r="AR120" i="19"/>
  <c r="AQ25" i="19"/>
  <c r="AQ24" i="19" s="1"/>
  <c r="AH357" i="20" s="1"/>
  <c r="EL60" i="16"/>
  <c r="EK60" i="16"/>
  <c r="EJ60" i="16"/>
  <c r="EI60" i="16"/>
  <c r="BU215" i="37" l="1"/>
  <c r="BU208" i="37"/>
  <c r="BU214" i="37" s="1"/>
  <c r="BU216" i="37" s="1"/>
  <c r="BU15" i="37" s="1"/>
  <c r="BU270" i="37" s="1"/>
  <c r="BV204" i="37"/>
  <c r="Y44" i="25"/>
  <c r="Y46" i="25" s="1"/>
  <c r="AD44" i="25"/>
  <c r="AM44" i="25"/>
  <c r="AB44" i="25"/>
  <c r="AB46" i="25" s="1"/>
  <c r="AN44" i="25"/>
  <c r="AJ44" i="25"/>
  <c r="AO44" i="25"/>
  <c r="AK44" i="25"/>
  <c r="AE44" i="25"/>
  <c r="AP44" i="25"/>
  <c r="AH44" i="25"/>
  <c r="AI44" i="25"/>
  <c r="AA44" i="25"/>
  <c r="AA46" i="25" s="1"/>
  <c r="AG44" i="25"/>
  <c r="AF44" i="25"/>
  <c r="AL44" i="25"/>
  <c r="AQ44" i="25"/>
  <c r="AR44" i="25"/>
  <c r="AS44" i="25"/>
  <c r="AT44" i="25"/>
  <c r="AU44" i="25"/>
  <c r="AV44" i="25"/>
  <c r="AW44" i="25"/>
  <c r="AX44" i="25"/>
  <c r="AY44" i="25"/>
  <c r="AZ44" i="25"/>
  <c r="BA44" i="25"/>
  <c r="BB44" i="25"/>
  <c r="Z44" i="25"/>
  <c r="Z46" i="25" s="1"/>
  <c r="BC44" i="25"/>
  <c r="BD44" i="25"/>
  <c r="BE44" i="25"/>
  <c r="BF44" i="25"/>
  <c r="BG44" i="25"/>
  <c r="BH44" i="25"/>
  <c r="BI44" i="25"/>
  <c r="BJ44" i="25"/>
  <c r="BK44" i="25"/>
  <c r="BL44" i="25"/>
  <c r="BM44" i="25"/>
  <c r="AC44" i="25"/>
  <c r="H43" i="25"/>
  <c r="BN44" i="25"/>
  <c r="H44" i="25" s="1"/>
  <c r="FT10" i="12"/>
  <c r="FT38" i="12"/>
  <c r="I417" i="20"/>
  <c r="AR122" i="19"/>
  <c r="AS18" i="17" s="1"/>
  <c r="Y48" i="25" l="1"/>
  <c r="Y54" i="25" s="1"/>
  <c r="Y56" i="25" s="1"/>
  <c r="Y12" i="25" s="1"/>
  <c r="Y269" i="25" s="1"/>
  <c r="Y55" i="25"/>
  <c r="Z48" i="25"/>
  <c r="Z54" i="25" s="1"/>
  <c r="Z56" i="25" s="1"/>
  <c r="Z12" i="25" s="1"/>
  <c r="Z269" i="25" s="1"/>
  <c r="Z55" i="25"/>
  <c r="AA48" i="25"/>
  <c r="AA54" i="25" s="1"/>
  <c r="AA55" i="25"/>
  <c r="BW203" i="37"/>
  <c r="BV206" i="37"/>
  <c r="AB55" i="25"/>
  <c r="AB48" i="25"/>
  <c r="AB54" i="25" s="1"/>
  <c r="FT40" i="12"/>
  <c r="FT43" i="12" s="1"/>
  <c r="FU8" i="12"/>
  <c r="H47" i="37"/>
  <c r="AJ208" i="20"/>
  <c r="EM23" i="16"/>
  <c r="EN23" i="16"/>
  <c r="EO23" i="16"/>
  <c r="EP23" i="16"/>
  <c r="AR123" i="19"/>
  <c r="AA56" i="25" l="1"/>
  <c r="AA12" i="25" s="1"/>
  <c r="AA269" i="25" s="1"/>
  <c r="BV215" i="37"/>
  <c r="BV208" i="37"/>
  <c r="BV214" i="37" s="1"/>
  <c r="BV216" i="37" s="1"/>
  <c r="BV15" i="37" s="1"/>
  <c r="BV270" i="37" s="1"/>
  <c r="AB56" i="25"/>
  <c r="AB12" i="25" s="1"/>
  <c r="AB269" i="25" s="1"/>
  <c r="BW204" i="37"/>
  <c r="FU38" i="12"/>
  <c r="FU10" i="12"/>
  <c r="FU40" i="12" s="1"/>
  <c r="AS120" i="19"/>
  <c r="AR25" i="19"/>
  <c r="AR24" i="19" s="1"/>
  <c r="EP60" i="16"/>
  <c r="EO60" i="16"/>
  <c r="EN60" i="16"/>
  <c r="EM60" i="16"/>
  <c r="BW206" i="37" l="1"/>
  <c r="BX203" i="37"/>
  <c r="FV8" i="12"/>
  <c r="FU43" i="12"/>
  <c r="AI357" i="20"/>
  <c r="AS122" i="19"/>
  <c r="AT18" i="17" s="1"/>
  <c r="BX204" i="37" l="1"/>
  <c r="BW215" i="37"/>
  <c r="BW208" i="37"/>
  <c r="BW214" i="37" s="1"/>
  <c r="BW216" i="37" s="1"/>
  <c r="BW15" i="37" s="1"/>
  <c r="BW270" i="37" s="1"/>
  <c r="FV38" i="12"/>
  <c r="FV10" i="12"/>
  <c r="FV40" i="12" s="1"/>
  <c r="FW8" i="12"/>
  <c r="AK208" i="20"/>
  <c r="AS123" i="19"/>
  <c r="AT120" i="19"/>
  <c r="AS25" i="19"/>
  <c r="AS24" i="19" s="1"/>
  <c r="AJ357" i="20" s="1"/>
  <c r="EQ23" i="16"/>
  <c r="ER23" i="16"/>
  <c r="ES23" i="16"/>
  <c r="ET23" i="16"/>
  <c r="BX206" i="37" l="1"/>
  <c r="BY203" i="37"/>
  <c r="FW38" i="12"/>
  <c r="FW10" i="12"/>
  <c r="FW40" i="12" s="1"/>
  <c r="FX8" i="12"/>
  <c r="FV43" i="12"/>
  <c r="ET60" i="16"/>
  <c r="ES60" i="16"/>
  <c r="ER60" i="16"/>
  <c r="EQ60" i="16"/>
  <c r="K417" i="20"/>
  <c r="AT122" i="19"/>
  <c r="AU18" i="17" s="1"/>
  <c r="BY204" i="37" l="1"/>
  <c r="Z205" i="25"/>
  <c r="Z206" i="25" s="1"/>
  <c r="Z208" i="25" s="1"/>
  <c r="BX215" i="37"/>
  <c r="BX208" i="37"/>
  <c r="BX214" i="37" s="1"/>
  <c r="BX216" i="37" s="1"/>
  <c r="BX15" i="37" s="1"/>
  <c r="BX270" i="37" s="1"/>
  <c r="FX10" i="12"/>
  <c r="FX38" i="12"/>
  <c r="FW43" i="12"/>
  <c r="AL208" i="20"/>
  <c r="EU23" i="16"/>
  <c r="EV23" i="16"/>
  <c r="EW23" i="16"/>
  <c r="EX23" i="16"/>
  <c r="AT123" i="19"/>
  <c r="Z217" i="25" l="1"/>
  <c r="Z210" i="25"/>
  <c r="Z216" i="25" s="1"/>
  <c r="Z218" i="25" s="1"/>
  <c r="Z14" i="25" s="1"/>
  <c r="Z271" i="25" s="1"/>
  <c r="BY206" i="37"/>
  <c r="BZ203" i="37"/>
  <c r="FY8" i="12"/>
  <c r="FX40" i="12"/>
  <c r="FX43" i="12" s="1"/>
  <c r="EX60" i="16"/>
  <c r="EW60" i="16"/>
  <c r="EV60" i="16"/>
  <c r="EU60" i="16"/>
  <c r="AU120" i="19"/>
  <c r="AT25" i="19"/>
  <c r="AT24" i="19" s="1"/>
  <c r="AK357" i="20" s="1"/>
  <c r="BZ204" i="37" l="1"/>
  <c r="BY208" i="37"/>
  <c r="BY214" i="37" s="1"/>
  <c r="BY216" i="37" s="1"/>
  <c r="BY15" i="37" s="1"/>
  <c r="BY270" i="37" s="1"/>
  <c r="BY215" i="37"/>
  <c r="FY10" i="12"/>
  <c r="FY40" i="12" s="1"/>
  <c r="FZ8" i="12"/>
  <c r="FY38" i="12"/>
  <c r="L417" i="20"/>
  <c r="AU122" i="19"/>
  <c r="AV18" i="17" s="1"/>
  <c r="FY43" i="12" l="1"/>
  <c r="CA203" i="37"/>
  <c r="BZ206" i="37"/>
  <c r="FZ10" i="12"/>
  <c r="FZ38" i="12"/>
  <c r="AM208" i="20"/>
  <c r="M256" i="20" s="1"/>
  <c r="EY23" i="16"/>
  <c r="EZ23" i="16"/>
  <c r="FA23" i="16"/>
  <c r="FB23" i="16"/>
  <c r="AU123" i="19"/>
  <c r="BZ215" i="37" l="1"/>
  <c r="BZ208" i="37"/>
  <c r="BZ214" i="37" s="1"/>
  <c r="BZ216" i="37" s="1"/>
  <c r="BZ15" i="37" s="1"/>
  <c r="BZ270" i="37" s="1"/>
  <c r="CA204" i="37"/>
  <c r="FZ40" i="12"/>
  <c r="FZ43" i="12" s="1"/>
  <c r="GA8" i="12"/>
  <c r="EY60" i="16"/>
  <c r="AV120" i="19"/>
  <c r="AU25" i="19"/>
  <c r="AU24" i="19" s="1"/>
  <c r="AL357" i="20" s="1"/>
  <c r="FB60" i="16"/>
  <c r="FA60" i="16"/>
  <c r="EZ60" i="16"/>
  <c r="CA206" i="37" l="1"/>
  <c r="CB203" i="37"/>
  <c r="GA10" i="12"/>
  <c r="GA38" i="12"/>
  <c r="M417" i="20"/>
  <c r="AV122" i="19"/>
  <c r="AW18" i="17" s="1"/>
  <c r="CB204" i="37" l="1"/>
  <c r="CA215" i="37"/>
  <c r="CA208" i="37"/>
  <c r="CA214" i="37" s="1"/>
  <c r="CA216" i="37" s="1"/>
  <c r="CA15" i="37" s="1"/>
  <c r="CA270" i="37" s="1"/>
  <c r="GB8" i="12"/>
  <c r="GA40" i="12"/>
  <c r="GA43" i="12" s="1"/>
  <c r="AN208" i="20"/>
  <c r="N256" i="20" s="1"/>
  <c r="FC23" i="16"/>
  <c r="FD23" i="16"/>
  <c r="FE23" i="16"/>
  <c r="FF23" i="16"/>
  <c r="AV123" i="19"/>
  <c r="CC203" i="37" l="1"/>
  <c r="CB206" i="37"/>
  <c r="GB38" i="12"/>
  <c r="GB10" i="12"/>
  <c r="AW120" i="19"/>
  <c r="AV25" i="19"/>
  <c r="AV24" i="19" s="1"/>
  <c r="FF60" i="16"/>
  <c r="FE60" i="16"/>
  <c r="FD60" i="16"/>
  <c r="FC60" i="16"/>
  <c r="CB215" i="37" l="1"/>
  <c r="CB208" i="37"/>
  <c r="CB214" i="37" s="1"/>
  <c r="CB216" i="37" s="1"/>
  <c r="CB15" i="37" s="1"/>
  <c r="CB270" i="37" s="1"/>
  <c r="CC204" i="37"/>
  <c r="AA205" i="25"/>
  <c r="AA206" i="25" s="1"/>
  <c r="AA208" i="25" s="1"/>
  <c r="GB40" i="12"/>
  <c r="GB43" i="12" s="1"/>
  <c r="GC8" i="12"/>
  <c r="AW122" i="19"/>
  <c r="AX18" i="17" s="1"/>
  <c r="AA210" i="25" l="1"/>
  <c r="AA216" i="25" s="1"/>
  <c r="AA217" i="25"/>
  <c r="CD203" i="37"/>
  <c r="CC206" i="37"/>
  <c r="GC10" i="12"/>
  <c r="GC38" i="12"/>
  <c r="FG23" i="16"/>
  <c r="FH23" i="16"/>
  <c r="FI23" i="16"/>
  <c r="FJ23" i="16"/>
  <c r="AW123" i="19"/>
  <c r="AA218" i="25" l="1"/>
  <c r="AA14" i="25" s="1"/>
  <c r="AA271" i="25" s="1"/>
  <c r="CC215" i="37"/>
  <c r="CC208" i="37"/>
  <c r="CC214" i="37" s="1"/>
  <c r="CC216" i="37" s="1"/>
  <c r="CC15" i="37" s="1"/>
  <c r="CC270" i="37" s="1"/>
  <c r="CD204" i="37"/>
  <c r="GC40" i="12"/>
  <c r="GC43" i="12" s="1"/>
  <c r="GD8" i="12"/>
  <c r="AX120" i="19"/>
  <c r="AW25" i="19"/>
  <c r="AW24" i="19" s="1"/>
  <c r="AN357" i="20" s="1"/>
  <c r="FJ60" i="16"/>
  <c r="FI60" i="16"/>
  <c r="FH60" i="16"/>
  <c r="FG60" i="16"/>
  <c r="CE203" i="37" l="1"/>
  <c r="CD206" i="37"/>
  <c r="GD38" i="12"/>
  <c r="GD10" i="12"/>
  <c r="O417" i="20"/>
  <c r="AX122" i="19"/>
  <c r="AY18" i="17" s="1"/>
  <c r="CD215" i="37" l="1"/>
  <c r="CD208" i="37"/>
  <c r="CD214" i="37" s="1"/>
  <c r="CD216" i="37" s="1"/>
  <c r="CD15" i="37" s="1"/>
  <c r="CD270" i="37" s="1"/>
  <c r="CE204" i="37"/>
  <c r="GD40" i="12"/>
  <c r="GD43" i="12" s="1"/>
  <c r="GE8" i="12"/>
  <c r="AP208" i="20"/>
  <c r="FK23" i="16"/>
  <c r="FL23" i="16"/>
  <c r="FM23" i="16"/>
  <c r="FN23" i="16"/>
  <c r="AX123" i="19"/>
  <c r="CF203" i="37" l="1"/>
  <c r="CE206" i="37"/>
  <c r="GE10" i="12"/>
  <c r="GE40" i="12" s="1"/>
  <c r="I62" i="12" s="1"/>
  <c r="GE38" i="12"/>
  <c r="FN60" i="16"/>
  <c r="FM60" i="16"/>
  <c r="AY120" i="19"/>
  <c r="AX25" i="19"/>
  <c r="AX24" i="19" s="1"/>
  <c r="FL60" i="16"/>
  <c r="FK60" i="16"/>
  <c r="CE215" i="37" l="1"/>
  <c r="CE208" i="37"/>
  <c r="CE214" i="37" s="1"/>
  <c r="CE216" i="37" s="1"/>
  <c r="CE15" i="37" s="1"/>
  <c r="CE270" i="37" s="1"/>
  <c r="CF204" i="37"/>
  <c r="GE43" i="12"/>
  <c r="F62" i="12"/>
  <c r="I63" i="12"/>
  <c r="F357" i="20"/>
  <c r="H357" i="20"/>
  <c r="P357" i="20"/>
  <c r="Q357" i="20"/>
  <c r="Z357" i="20"/>
  <c r="AA357" i="20"/>
  <c r="AB357" i="20"/>
  <c r="AM357" i="20"/>
  <c r="AO357" i="20"/>
  <c r="AY122" i="19"/>
  <c r="AZ18" i="17" s="1"/>
  <c r="F389" i="20"/>
  <c r="J417" i="20"/>
  <c r="CF206" i="37" l="1"/>
  <c r="CG203" i="37"/>
  <c r="K36" i="19"/>
  <c r="J60" i="12"/>
  <c r="J63" i="12" s="1"/>
  <c r="N417" i="20"/>
  <c r="O389" i="20"/>
  <c r="N389" i="20"/>
  <c r="M389" i="20"/>
  <c r="D389" i="20"/>
  <c r="F417" i="20"/>
  <c r="J389" i="20"/>
  <c r="I389" i="20"/>
  <c r="FO23" i="16"/>
  <c r="FP23" i="16"/>
  <c r="FQ23" i="16"/>
  <c r="FR23" i="16"/>
  <c r="AY123" i="19"/>
  <c r="AZ120" i="19" s="1"/>
  <c r="CG204" i="37" l="1"/>
  <c r="AB205" i="25"/>
  <c r="AB206" i="25" s="1"/>
  <c r="AB208" i="25" s="1"/>
  <c r="CF215" i="37"/>
  <c r="CF208" i="37"/>
  <c r="CF214" i="37" s="1"/>
  <c r="CF216" i="37" s="1"/>
  <c r="CF15" i="37" s="1"/>
  <c r="CF270" i="37" s="1"/>
  <c r="K60" i="12"/>
  <c r="K63" i="12" s="1"/>
  <c r="L36" i="19"/>
  <c r="K35" i="19"/>
  <c r="J45" i="10"/>
  <c r="J47" i="10" s="1"/>
  <c r="FO60" i="16"/>
  <c r="AZ122" i="19"/>
  <c r="BA18" i="17" s="1"/>
  <c r="FR60" i="16"/>
  <c r="FQ60" i="16"/>
  <c r="FP60" i="16"/>
  <c r="AB217" i="25" l="1"/>
  <c r="AB210" i="25"/>
  <c r="AB216" i="25" s="1"/>
  <c r="AB218" i="25" s="1"/>
  <c r="AB14" i="25" s="1"/>
  <c r="AB271" i="25" s="1"/>
  <c r="CH203" i="37"/>
  <c r="CG206" i="37"/>
  <c r="K43" i="19"/>
  <c r="K57" i="19" s="1"/>
  <c r="K58" i="19" s="1"/>
  <c r="K217" i="19"/>
  <c r="L60" i="12"/>
  <c r="L63" i="12" s="1"/>
  <c r="M36" i="19"/>
  <c r="D365" i="20" s="1"/>
  <c r="AR208" i="20"/>
  <c r="FS23" i="16"/>
  <c r="FT23" i="16"/>
  <c r="FU23" i="16"/>
  <c r="FV23" i="16"/>
  <c r="AZ123" i="19"/>
  <c r="BA120" i="19" s="1"/>
  <c r="CG215" i="37" l="1"/>
  <c r="CG208" i="37"/>
  <c r="CG214" i="37" s="1"/>
  <c r="CG216" i="37" s="1"/>
  <c r="CG15" i="37" s="1"/>
  <c r="CG270" i="37" s="1"/>
  <c r="CH204" i="37"/>
  <c r="CI203" i="37" s="1"/>
  <c r="CI204" i="37" s="1"/>
  <c r="CJ203" i="37" s="1"/>
  <c r="CJ204" i="37" s="1"/>
  <c r="CK203" i="37" s="1"/>
  <c r="CK204" i="37" s="1"/>
  <c r="CL203" i="37" s="1"/>
  <c r="AC205" i="25"/>
  <c r="AC206" i="25" s="1"/>
  <c r="N36" i="19"/>
  <c r="M60" i="12"/>
  <c r="M63" i="12" s="1"/>
  <c r="FT60" i="16"/>
  <c r="BA122" i="19"/>
  <c r="BB18" i="17" s="1"/>
  <c r="FV60" i="16"/>
  <c r="FS60" i="16"/>
  <c r="FU60" i="16"/>
  <c r="CL204" i="37" l="1"/>
  <c r="CM203" i="37" s="1"/>
  <c r="CM204" i="37" s="1"/>
  <c r="CN203" i="37" s="1"/>
  <c r="CN204" i="37" s="1"/>
  <c r="CO203" i="37" s="1"/>
  <c r="CO204" i="37" s="1"/>
  <c r="CP203" i="37" s="1"/>
  <c r="AD205" i="25"/>
  <c r="AD206" i="25" s="1"/>
  <c r="N60" i="12"/>
  <c r="N63" i="12" s="1"/>
  <c r="O36" i="19"/>
  <c r="F365" i="20" s="1"/>
  <c r="AS208" i="20"/>
  <c r="FW23" i="16"/>
  <c r="FX23" i="16"/>
  <c r="FY23" i="16"/>
  <c r="FZ23" i="16"/>
  <c r="BA123" i="19"/>
  <c r="BB120" i="19" s="1"/>
  <c r="CP204" i="37" l="1"/>
  <c r="CQ203" i="37" s="1"/>
  <c r="CQ204" i="37" s="1"/>
  <c r="CR203" i="37" s="1"/>
  <c r="CR204" i="37" s="1"/>
  <c r="CS203" i="37" s="1"/>
  <c r="CS204" i="37" s="1"/>
  <c r="CT203" i="37" s="1"/>
  <c r="AE205" i="25"/>
  <c r="AE206" i="25" s="1"/>
  <c r="O60" i="12"/>
  <c r="O63" i="12" s="1"/>
  <c r="P36" i="19"/>
  <c r="BB122" i="19"/>
  <c r="BC18" i="17" s="1"/>
  <c r="FY60" i="16"/>
  <c r="FX60" i="16"/>
  <c r="FZ60" i="16"/>
  <c r="F23" i="16"/>
  <c r="FW60" i="16"/>
  <c r="CT204" i="37" l="1"/>
  <c r="CU203" i="37" s="1"/>
  <c r="CU204" i="37" s="1"/>
  <c r="CV203" i="37" s="1"/>
  <c r="CV204" i="37" s="1"/>
  <c r="CW203" i="37" s="1"/>
  <c r="CW204" i="37" s="1"/>
  <c r="CX203" i="37" s="1"/>
  <c r="AF205" i="25"/>
  <c r="AF206" i="25" s="1"/>
  <c r="Q36" i="19"/>
  <c r="H365" i="20" s="1"/>
  <c r="P60" i="12"/>
  <c r="P63" i="12" s="1"/>
  <c r="M208" i="20"/>
  <c r="Q208" i="20"/>
  <c r="D235" i="20" s="1"/>
  <c r="V208" i="20"/>
  <c r="I235" i="20" s="1"/>
  <c r="W208" i="20"/>
  <c r="J235" i="20" s="1"/>
  <c r="Z208" i="20"/>
  <c r="M235" i="20" s="1"/>
  <c r="AA208" i="20"/>
  <c r="AB208" i="20"/>
  <c r="O235" i="20" s="1"/>
  <c r="AD208" i="20"/>
  <c r="D256" i="20" s="1"/>
  <c r="AH208" i="20"/>
  <c r="H256" i="20" s="1"/>
  <c r="AO208" i="20"/>
  <c r="AQ208" i="20"/>
  <c r="AT208" i="20"/>
  <c r="BB123" i="19"/>
  <c r="F60" i="16"/>
  <c r="H235" i="20"/>
  <c r="P235" i="20"/>
  <c r="I256" i="20"/>
  <c r="J256" i="20"/>
  <c r="F18" i="17"/>
  <c r="CX204" i="37" l="1"/>
  <c r="CY203" i="37" s="1"/>
  <c r="CY204" i="37" s="1"/>
  <c r="CZ203" i="37" s="1"/>
  <c r="CZ204" i="37" s="1"/>
  <c r="DA203" i="37" s="1"/>
  <c r="DA204" i="37" s="1"/>
  <c r="DB203" i="37" s="1"/>
  <c r="AG205" i="25"/>
  <c r="AG206" i="25" s="1"/>
  <c r="R36" i="19"/>
  <c r="Q60" i="12"/>
  <c r="Q63" i="12" s="1"/>
  <c r="N235" i="20"/>
  <c r="O256" i="20"/>
  <c r="K256" i="20"/>
  <c r="F235" i="20"/>
  <c r="D208" i="20"/>
  <c r="E235" i="20"/>
  <c r="G256" i="20"/>
  <c r="P256" i="20"/>
  <c r="L256" i="20"/>
  <c r="DB204" i="37" l="1"/>
  <c r="DC203" i="37" s="1"/>
  <c r="DC204" i="37" s="1"/>
  <c r="DD203" i="37" s="1"/>
  <c r="DD204" i="37" s="1"/>
  <c r="DE203" i="37" s="1"/>
  <c r="DE204" i="37" s="1"/>
  <c r="DF203" i="37" s="1"/>
  <c r="AH205" i="25"/>
  <c r="AH206" i="25" s="1"/>
  <c r="S36" i="19"/>
  <c r="J365" i="20" s="1"/>
  <c r="R60" i="12"/>
  <c r="R63" i="12" s="1"/>
  <c r="DF204" i="37" l="1"/>
  <c r="DG203" i="37" s="1"/>
  <c r="DG204" i="37" s="1"/>
  <c r="DH203" i="37" s="1"/>
  <c r="DH204" i="37" s="1"/>
  <c r="DI203" i="37" s="1"/>
  <c r="DI204" i="37" s="1"/>
  <c r="DJ203" i="37" s="1"/>
  <c r="AI205" i="25"/>
  <c r="AI206" i="25" s="1"/>
  <c r="T36" i="19"/>
  <c r="K365" i="20" s="1"/>
  <c r="S60" i="12"/>
  <c r="S63" i="12" s="1"/>
  <c r="DJ204" i="37" l="1"/>
  <c r="DK203" i="37" s="1"/>
  <c r="DK204" i="37" s="1"/>
  <c r="DL203" i="37" s="1"/>
  <c r="DL204" i="37" s="1"/>
  <c r="DM203" i="37" s="1"/>
  <c r="DM204" i="37" s="1"/>
  <c r="DN203" i="37" s="1"/>
  <c r="AJ205" i="25"/>
  <c r="AJ206" i="25" s="1"/>
  <c r="U36" i="19"/>
  <c r="T60" i="12"/>
  <c r="T63" i="12" s="1"/>
  <c r="DN204" i="37" l="1"/>
  <c r="DO203" i="37" s="1"/>
  <c r="DO204" i="37" s="1"/>
  <c r="DP203" i="37" s="1"/>
  <c r="DP204" i="37" s="1"/>
  <c r="DQ203" i="37" s="1"/>
  <c r="DQ204" i="37" s="1"/>
  <c r="DR203" i="37" s="1"/>
  <c r="AK205" i="25"/>
  <c r="AK206" i="25" s="1"/>
  <c r="U60" i="12"/>
  <c r="U63" i="12" s="1"/>
  <c r="V36" i="19"/>
  <c r="DR204" i="37" l="1"/>
  <c r="DS203" i="37" s="1"/>
  <c r="DS204" i="37" s="1"/>
  <c r="DT203" i="37" s="1"/>
  <c r="DT204" i="37" s="1"/>
  <c r="DU203" i="37" s="1"/>
  <c r="DU204" i="37" s="1"/>
  <c r="DV203" i="37" s="1"/>
  <c r="AL205" i="25"/>
  <c r="AL206" i="25" s="1"/>
  <c r="W36" i="19"/>
  <c r="V60" i="12"/>
  <c r="V63" i="12" s="1"/>
  <c r="DV204" i="37" l="1"/>
  <c r="DW203" i="37" s="1"/>
  <c r="DW204" i="37" s="1"/>
  <c r="DX203" i="37" s="1"/>
  <c r="DX204" i="37" s="1"/>
  <c r="DY203" i="37" s="1"/>
  <c r="DY204" i="37" s="1"/>
  <c r="DZ203" i="37" s="1"/>
  <c r="AM205" i="25"/>
  <c r="AM206" i="25" s="1"/>
  <c r="X36" i="19"/>
  <c r="O365" i="20" s="1"/>
  <c r="W60" i="12"/>
  <c r="W63" i="12" s="1"/>
  <c r="DZ204" i="37" l="1"/>
  <c r="EA203" i="37" s="1"/>
  <c r="EA204" i="37" s="1"/>
  <c r="EB203" i="37" s="1"/>
  <c r="EB204" i="37" s="1"/>
  <c r="EC203" i="37" s="1"/>
  <c r="EC204" i="37" s="1"/>
  <c r="ED203" i="37" s="1"/>
  <c r="AN205" i="25"/>
  <c r="AN206" i="25" s="1"/>
  <c r="Y36" i="19"/>
  <c r="P365" i="20" s="1"/>
  <c r="X60" i="12"/>
  <c r="X63" i="12" s="1"/>
  <c r="ED204" i="37" l="1"/>
  <c r="EE203" i="37" s="1"/>
  <c r="EE204" i="37" s="1"/>
  <c r="EF203" i="37" s="1"/>
  <c r="EF204" i="37" s="1"/>
  <c r="EG203" i="37" s="1"/>
  <c r="EG204" i="37" s="1"/>
  <c r="EH203" i="37" s="1"/>
  <c r="AO205" i="25"/>
  <c r="AO206" i="25" s="1"/>
  <c r="Z36" i="19"/>
  <c r="Q365" i="20" s="1"/>
  <c r="D397" i="20" s="1"/>
  <c r="Y60" i="12"/>
  <c r="Y63" i="12" s="1"/>
  <c r="EH204" i="37" l="1"/>
  <c r="EI203" i="37" s="1"/>
  <c r="EI204" i="37" s="1"/>
  <c r="EJ203" i="37" s="1"/>
  <c r="EJ204" i="37" s="1"/>
  <c r="EK203" i="37" s="1"/>
  <c r="EK204" i="37" s="1"/>
  <c r="EL203" i="37" s="1"/>
  <c r="AP205" i="25"/>
  <c r="AP206" i="25" s="1"/>
  <c r="AA36" i="19"/>
  <c r="R365" i="20" s="1"/>
  <c r="E397" i="20" s="1"/>
  <c r="Z60" i="12"/>
  <c r="Z63" i="12" s="1"/>
  <c r="EL204" i="37" l="1"/>
  <c r="EM203" i="37" s="1"/>
  <c r="EM204" i="37" s="1"/>
  <c r="EN203" i="37" s="1"/>
  <c r="EN204" i="37" s="1"/>
  <c r="EO203" i="37" s="1"/>
  <c r="EO204" i="37" s="1"/>
  <c r="EP203" i="37" s="1"/>
  <c r="AQ205" i="25"/>
  <c r="AQ206" i="25" s="1"/>
  <c r="AA60" i="12"/>
  <c r="AA63" i="12" s="1"/>
  <c r="AB36" i="19"/>
  <c r="S365" i="20" s="1"/>
  <c r="EP204" i="37" l="1"/>
  <c r="EQ203" i="37" s="1"/>
  <c r="EQ204" i="37" s="1"/>
  <c r="ER203" i="37" s="1"/>
  <c r="ER204" i="37" s="1"/>
  <c r="ES203" i="37" s="1"/>
  <c r="ES204" i="37" s="1"/>
  <c r="ET203" i="37" s="1"/>
  <c r="AR205" i="25"/>
  <c r="AR206" i="25" s="1"/>
  <c r="AC36" i="19"/>
  <c r="T365" i="20" s="1"/>
  <c r="G397" i="20" s="1"/>
  <c r="AB60" i="12"/>
  <c r="AB63" i="12" s="1"/>
  <c r="ET204" i="37" l="1"/>
  <c r="EU203" i="37" s="1"/>
  <c r="EU204" i="37" s="1"/>
  <c r="EV203" i="37" s="1"/>
  <c r="EV204" i="37" s="1"/>
  <c r="EW203" i="37" s="1"/>
  <c r="EW204" i="37" s="1"/>
  <c r="EX203" i="37" s="1"/>
  <c r="AS205" i="25"/>
  <c r="AS206" i="25" s="1"/>
  <c r="AD36" i="19"/>
  <c r="U365" i="20" s="1"/>
  <c r="H397" i="20" s="1"/>
  <c r="AC60" i="12"/>
  <c r="AC63" i="12" s="1"/>
  <c r="EX204" i="37" l="1"/>
  <c r="EY203" i="37" s="1"/>
  <c r="EY204" i="37" s="1"/>
  <c r="EZ203" i="37" s="1"/>
  <c r="EZ204" i="37" s="1"/>
  <c r="FA203" i="37" s="1"/>
  <c r="FA204" i="37" s="1"/>
  <c r="FB203" i="37" s="1"/>
  <c r="AT205" i="25"/>
  <c r="AE36" i="19"/>
  <c r="V365" i="20" s="1"/>
  <c r="AD60" i="12"/>
  <c r="AD63" i="12" s="1"/>
  <c r="AT206" i="25" l="1"/>
  <c r="H205" i="25"/>
  <c r="FB204" i="37"/>
  <c r="FC203" i="37" s="1"/>
  <c r="FC204" i="37" s="1"/>
  <c r="FD203" i="37" s="1"/>
  <c r="FD204" i="37" s="1"/>
  <c r="FE203" i="37" s="1"/>
  <c r="FE204" i="37" s="1"/>
  <c r="FF203" i="37" s="1"/>
  <c r="AU205" i="25"/>
  <c r="AU206" i="25" s="1"/>
  <c r="AF36" i="19"/>
  <c r="W365" i="20" s="1"/>
  <c r="J397" i="20" s="1"/>
  <c r="AE60" i="12"/>
  <c r="AE63" i="12" s="1"/>
  <c r="FF204" i="37" l="1"/>
  <c r="FG203" i="37" s="1"/>
  <c r="FG204" i="37" s="1"/>
  <c r="FH203" i="37" s="1"/>
  <c r="FH204" i="37" s="1"/>
  <c r="FI203" i="37" s="1"/>
  <c r="FI204" i="37" s="1"/>
  <c r="FJ203" i="37" s="1"/>
  <c r="AV205" i="25"/>
  <c r="AV206" i="25" s="1"/>
  <c r="AF60" i="12"/>
  <c r="AF63" i="12" s="1"/>
  <c r="AG36" i="19"/>
  <c r="X365" i="20" s="1"/>
  <c r="K397" i="20" s="1"/>
  <c r="FJ204" i="37" l="1"/>
  <c r="FK203" i="37" s="1"/>
  <c r="FK204" i="37" s="1"/>
  <c r="FL203" i="37" s="1"/>
  <c r="FL204" i="37" s="1"/>
  <c r="FM203" i="37" s="1"/>
  <c r="FM204" i="37" s="1"/>
  <c r="FN203" i="37" s="1"/>
  <c r="AW205" i="25"/>
  <c r="AW206" i="25" s="1"/>
  <c r="AH36" i="19"/>
  <c r="Y365" i="20" s="1"/>
  <c r="L397" i="20" s="1"/>
  <c r="AG60" i="12"/>
  <c r="AG63" i="12" s="1"/>
  <c r="FN204" i="37" l="1"/>
  <c r="FO203" i="37" s="1"/>
  <c r="FO204" i="37" s="1"/>
  <c r="FP203" i="37" s="1"/>
  <c r="FP204" i="37" s="1"/>
  <c r="FQ203" i="37" s="1"/>
  <c r="FQ204" i="37" s="1"/>
  <c r="FR203" i="37" s="1"/>
  <c r="AX205" i="25"/>
  <c r="AX206" i="25" s="1"/>
  <c r="AI36" i="19"/>
  <c r="Z365" i="20" s="1"/>
  <c r="M397" i="20" s="1"/>
  <c r="AH60" i="12"/>
  <c r="AH63" i="12" s="1"/>
  <c r="FR204" i="37" l="1"/>
  <c r="FS203" i="37" s="1"/>
  <c r="FS204" i="37" s="1"/>
  <c r="FT203" i="37" s="1"/>
  <c r="FT204" i="37" s="1"/>
  <c r="FU203" i="37" s="1"/>
  <c r="FU204" i="37" s="1"/>
  <c r="FV203" i="37" s="1"/>
  <c r="AY205" i="25"/>
  <c r="AY206" i="25" s="1"/>
  <c r="AI60" i="12"/>
  <c r="AI63" i="12" s="1"/>
  <c r="AJ36" i="19"/>
  <c r="AA365" i="20" s="1"/>
  <c r="N397" i="20" s="1"/>
  <c r="FV204" i="37" l="1"/>
  <c r="FW203" i="37" s="1"/>
  <c r="FW204" i="37" s="1"/>
  <c r="FX203" i="37" s="1"/>
  <c r="FX204" i="37" s="1"/>
  <c r="FY203" i="37" s="1"/>
  <c r="FY204" i="37" s="1"/>
  <c r="FZ203" i="37" s="1"/>
  <c r="AZ205" i="25"/>
  <c r="AZ206" i="25" s="1"/>
  <c r="AK36" i="19"/>
  <c r="AB365" i="20" s="1"/>
  <c r="O397" i="20" s="1"/>
  <c r="AJ60" i="12"/>
  <c r="AJ63" i="12" s="1"/>
  <c r="FZ204" i="37" l="1"/>
  <c r="GA203" i="37" s="1"/>
  <c r="GA204" i="37" s="1"/>
  <c r="GB203" i="37" s="1"/>
  <c r="GB204" i="37" s="1"/>
  <c r="GC203" i="37" s="1"/>
  <c r="GC204" i="37" s="1"/>
  <c r="GD203" i="37" s="1"/>
  <c r="BA205" i="25"/>
  <c r="BA206" i="25" s="1"/>
  <c r="AL36" i="19"/>
  <c r="AC365" i="20" s="1"/>
  <c r="D425" i="20" s="1"/>
  <c r="AK60" i="12"/>
  <c r="AK63" i="12" s="1"/>
  <c r="GD204" i="37" l="1"/>
  <c r="GE203" i="37" s="1"/>
  <c r="GE204" i="37" s="1"/>
  <c r="GF203" i="37" s="1"/>
  <c r="GF204" i="37" s="1"/>
  <c r="GG203" i="37" s="1"/>
  <c r="GG204" i="37" s="1"/>
  <c r="GH203" i="37" s="1"/>
  <c r="BB205" i="25"/>
  <c r="BB206" i="25" s="1"/>
  <c r="AL60" i="12"/>
  <c r="AL63" i="12" s="1"/>
  <c r="AM36" i="19"/>
  <c r="AD365" i="20" s="1"/>
  <c r="E425" i="20" s="1"/>
  <c r="GH204" i="37" l="1"/>
  <c r="GI203" i="37" s="1"/>
  <c r="GI204" i="37" s="1"/>
  <c r="GJ203" i="37" s="1"/>
  <c r="GJ204" i="37" s="1"/>
  <c r="GK203" i="37" s="1"/>
  <c r="GK204" i="37" s="1"/>
  <c r="GL203" i="37" s="1"/>
  <c r="BC205" i="25"/>
  <c r="BC206" i="25" s="1"/>
  <c r="AN36" i="19"/>
  <c r="AE365" i="20" s="1"/>
  <c r="F425" i="20" s="1"/>
  <c r="AM60" i="12"/>
  <c r="AM63" i="12" s="1"/>
  <c r="GL204" i="37" l="1"/>
  <c r="GM203" i="37" s="1"/>
  <c r="GM204" i="37" s="1"/>
  <c r="GN203" i="37" s="1"/>
  <c r="GN204" i="37" s="1"/>
  <c r="GO203" i="37" s="1"/>
  <c r="GO204" i="37" s="1"/>
  <c r="GP203" i="37" s="1"/>
  <c r="BD205" i="25"/>
  <c r="BD206" i="25" s="1"/>
  <c r="AO36" i="19"/>
  <c r="AF365" i="20" s="1"/>
  <c r="G425" i="20" s="1"/>
  <c r="AN60" i="12"/>
  <c r="AN63" i="12" s="1"/>
  <c r="GP204" i="37" l="1"/>
  <c r="GQ203" i="37" s="1"/>
  <c r="GQ204" i="37" s="1"/>
  <c r="GR203" i="37" s="1"/>
  <c r="GR204" i="37" s="1"/>
  <c r="GS203" i="37" s="1"/>
  <c r="GS204" i="37" s="1"/>
  <c r="GT203" i="37" s="1"/>
  <c r="BE205" i="25"/>
  <c r="BE206" i="25" s="1"/>
  <c r="AP36" i="19"/>
  <c r="AG365" i="20" s="1"/>
  <c r="H425" i="20" s="1"/>
  <c r="AO60" i="12"/>
  <c r="AO63" i="12" s="1"/>
  <c r="GT204" i="37" l="1"/>
  <c r="GU203" i="37" s="1"/>
  <c r="GU204" i="37" s="1"/>
  <c r="GV203" i="37" s="1"/>
  <c r="GV204" i="37" s="1"/>
  <c r="GW203" i="37" s="1"/>
  <c r="GW204" i="37" s="1"/>
  <c r="GX203" i="37" s="1"/>
  <c r="BF205" i="25"/>
  <c r="BF206" i="25" s="1"/>
  <c r="AQ36" i="19"/>
  <c r="AH365" i="20" s="1"/>
  <c r="I425" i="20" s="1"/>
  <c r="AP60" i="12"/>
  <c r="AP63" i="12" s="1"/>
  <c r="F397" i="20"/>
  <c r="I397" i="20"/>
  <c r="GX204" i="37" l="1"/>
  <c r="GY203" i="37" s="1"/>
  <c r="GY204" i="37" s="1"/>
  <c r="GZ203" i="37" s="1"/>
  <c r="GZ204" i="37" s="1"/>
  <c r="HA203" i="37" s="1"/>
  <c r="HA204" i="37" s="1"/>
  <c r="HB203" i="37" s="1"/>
  <c r="BG205" i="25"/>
  <c r="BG206" i="25" s="1"/>
  <c r="AQ60" i="12"/>
  <c r="AQ63" i="12" s="1"/>
  <c r="AR36" i="19"/>
  <c r="AI365" i="20" s="1"/>
  <c r="J425" i="20" s="1"/>
  <c r="HB204" i="37" l="1"/>
  <c r="HC203" i="37" s="1"/>
  <c r="HC204" i="37" s="1"/>
  <c r="HD203" i="37" s="1"/>
  <c r="HD204" i="37" s="1"/>
  <c r="HE203" i="37" s="1"/>
  <c r="HE204" i="37" s="1"/>
  <c r="HF203" i="37" s="1"/>
  <c r="BH205" i="25"/>
  <c r="BH206" i="25" s="1"/>
  <c r="AR60" i="12"/>
  <c r="AR63" i="12" s="1"/>
  <c r="AS36" i="19"/>
  <c r="AJ365" i="20" s="1"/>
  <c r="K425" i="20" s="1"/>
  <c r="HF204" i="37" l="1"/>
  <c r="HG203" i="37" s="1"/>
  <c r="HG204" i="37" s="1"/>
  <c r="HH203" i="37" s="1"/>
  <c r="HH204" i="37" s="1"/>
  <c r="HI203" i="37" s="1"/>
  <c r="HI204" i="37" s="1"/>
  <c r="HJ203" i="37" s="1"/>
  <c r="BI205" i="25"/>
  <c r="BI206" i="25" s="1"/>
  <c r="AT36" i="19"/>
  <c r="AS60" i="12"/>
  <c r="AS63" i="12" s="1"/>
  <c r="HJ204" i="37" l="1"/>
  <c r="HK203" i="37" s="1"/>
  <c r="HK204" i="37" s="1"/>
  <c r="HL203" i="37" s="1"/>
  <c r="HL204" i="37" s="1"/>
  <c r="HM203" i="37" s="1"/>
  <c r="HM204" i="37" s="1"/>
  <c r="HN203" i="37" s="1"/>
  <c r="BJ205" i="25"/>
  <c r="BJ206" i="25" s="1"/>
  <c r="AU36" i="19"/>
  <c r="AL365" i="20" s="1"/>
  <c r="M425" i="20" s="1"/>
  <c r="AT60" i="12"/>
  <c r="AT63" i="12" s="1"/>
  <c r="HN204" i="37" l="1"/>
  <c r="HO203" i="37" s="1"/>
  <c r="HO204" i="37" s="1"/>
  <c r="HP203" i="37" s="1"/>
  <c r="HP204" i="37" s="1"/>
  <c r="HQ203" i="37" s="1"/>
  <c r="HQ204" i="37" s="1"/>
  <c r="HR203" i="37" s="1"/>
  <c r="BK205" i="25"/>
  <c r="BK206" i="25" s="1"/>
  <c r="AU60" i="12"/>
  <c r="AU63" i="12" s="1"/>
  <c r="AV36" i="19"/>
  <c r="E365" i="20"/>
  <c r="G365" i="20"/>
  <c r="I365" i="20"/>
  <c r="L365" i="20"/>
  <c r="M365" i="20"/>
  <c r="N365" i="20"/>
  <c r="AK365" i="20"/>
  <c r="L425" i="20" s="1"/>
  <c r="AM365" i="20"/>
  <c r="N425" i="20" s="1"/>
  <c r="HR204" i="37" l="1"/>
  <c r="HS203" i="37" s="1"/>
  <c r="HS204" i="37" s="1"/>
  <c r="HT203" i="37" s="1"/>
  <c r="HT204" i="37" s="1"/>
  <c r="HU203" i="37" s="1"/>
  <c r="HU204" i="37" s="1"/>
  <c r="HV203" i="37" s="1"/>
  <c r="BL205" i="25"/>
  <c r="BL206" i="25" s="1"/>
  <c r="AW36" i="19"/>
  <c r="AN365" i="20" s="1"/>
  <c r="O425" i="20" s="1"/>
  <c r="AV60" i="12"/>
  <c r="AV63" i="12" s="1"/>
  <c r="AX36" i="19" s="1"/>
  <c r="AO365" i="20" s="1"/>
  <c r="J94" i="19"/>
  <c r="J95" i="19" s="1"/>
  <c r="J20" i="19" s="1"/>
  <c r="L94" i="19"/>
  <c r="L95" i="19" s="1"/>
  <c r="M92" i="19" s="1"/>
  <c r="M94" i="19"/>
  <c r="J101" i="19"/>
  <c r="J102" i="19" s="1"/>
  <c r="J21" i="19" s="1"/>
  <c r="L101" i="19"/>
  <c r="L102" i="19" s="1"/>
  <c r="L21" i="19" s="1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J108" i="19"/>
  <c r="J109" i="19" s="1"/>
  <c r="J22" i="19" s="1"/>
  <c r="L108" i="19"/>
  <c r="L109" i="19" s="1"/>
  <c r="L22" i="19" s="1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E8" i="5"/>
  <c r="E9" i="5"/>
  <c r="S5" i="13" s="1"/>
  <c r="E10" i="5"/>
  <c r="T5" i="13" s="1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22" i="6" s="1"/>
  <c r="F5" i="13" s="1"/>
  <c r="E54" i="5"/>
  <c r="C60" i="4" s="1"/>
  <c r="E55" i="5"/>
  <c r="E56" i="5"/>
  <c r="E57" i="5"/>
  <c r="C72" i="4" s="1"/>
  <c r="E58" i="5"/>
  <c r="C73" i="4" s="1"/>
  <c r="E59" i="5"/>
  <c r="E61" i="5"/>
  <c r="E63" i="5"/>
  <c r="E65" i="5"/>
  <c r="E66" i="5"/>
  <c r="E67" i="5"/>
  <c r="G11" i="2" s="1"/>
  <c r="E69" i="5"/>
  <c r="D25" i="6" s="1"/>
  <c r="F23" i="11" s="1"/>
  <c r="E70" i="5"/>
  <c r="E25" i="6" s="1"/>
  <c r="F25" i="11" s="1"/>
  <c r="E72" i="5"/>
  <c r="D28" i="6" s="1"/>
  <c r="E15" i="13" s="1"/>
  <c r="E73" i="5"/>
  <c r="E74" i="5"/>
  <c r="F32" i="11" s="1"/>
  <c r="E76" i="5"/>
  <c r="L28" i="6" s="1"/>
  <c r="E41" i="22" s="1"/>
  <c r="E77" i="5"/>
  <c r="L29" i="6" s="1"/>
  <c r="E42" i="22" s="1"/>
  <c r="E79" i="5"/>
  <c r="E8" i="15" s="1"/>
  <c r="E80" i="5"/>
  <c r="E35" i="6" s="1"/>
  <c r="H7" i="27" s="1"/>
  <c r="P7" i="27" s="1"/>
  <c r="E81" i="5"/>
  <c r="C14" i="27" s="1"/>
  <c r="E82" i="5"/>
  <c r="B220" i="26" s="1"/>
  <c r="E84" i="5"/>
  <c r="D5" i="15" s="1"/>
  <c r="E85" i="5"/>
  <c r="E113" i="5" s="1"/>
  <c r="E86" i="5"/>
  <c r="E88" i="5"/>
  <c r="G28" i="37" s="1"/>
  <c r="CH28" i="37" s="1"/>
  <c r="CH205" i="37" s="1"/>
  <c r="CH206" i="37" s="1"/>
  <c r="E89" i="5"/>
  <c r="AY42" i="22" l="1"/>
  <c r="AX42" i="22"/>
  <c r="AW42" i="22"/>
  <c r="AV42" i="22"/>
  <c r="AX41" i="22"/>
  <c r="AY41" i="22"/>
  <c r="AW41" i="22"/>
  <c r="AV41" i="22"/>
  <c r="AU41" i="22"/>
  <c r="HV204" i="37"/>
  <c r="HW203" i="37" s="1"/>
  <c r="HW204" i="37" s="1"/>
  <c r="HX203" i="37" s="1"/>
  <c r="HX204" i="37" s="1"/>
  <c r="HY203" i="37" s="1"/>
  <c r="HY204" i="37" s="1"/>
  <c r="HZ203" i="37" s="1"/>
  <c r="BM205" i="25"/>
  <c r="BM206" i="25" s="1"/>
  <c r="CH215" i="37"/>
  <c r="CH208" i="37"/>
  <c r="CH137" i="37"/>
  <c r="CI28" i="37"/>
  <c r="CI205" i="37" s="1"/>
  <c r="CI206" i="37" s="1"/>
  <c r="CH49" i="37"/>
  <c r="CH50" i="37" s="1"/>
  <c r="CH31" i="37"/>
  <c r="E34" i="6"/>
  <c r="Q4" i="14" s="1"/>
  <c r="R95" i="14" s="1"/>
  <c r="D83" i="4"/>
  <c r="I61" i="2"/>
  <c r="G44" i="2"/>
  <c r="G10" i="2"/>
  <c r="G29" i="2"/>
  <c r="G9" i="2"/>
  <c r="H11" i="2"/>
  <c r="AJ72" i="36"/>
  <c r="M87" i="36" s="1"/>
  <c r="AB72" i="36"/>
  <c r="T72" i="36"/>
  <c r="L72" i="36"/>
  <c r="AI72" i="36"/>
  <c r="AA72" i="36"/>
  <c r="S72" i="36"/>
  <c r="K72" i="36"/>
  <c r="AH72" i="36"/>
  <c r="Z72" i="36"/>
  <c r="R72" i="36"/>
  <c r="J72" i="36"/>
  <c r="I72" i="36"/>
  <c r="F87" i="36" s="1"/>
  <c r="AG72" i="36"/>
  <c r="L87" i="36" s="1"/>
  <c r="Y72" i="36"/>
  <c r="J87" i="36" s="1"/>
  <c r="Q72" i="36"/>
  <c r="H87" i="36" s="1"/>
  <c r="M72" i="36"/>
  <c r="G87" i="36" s="1"/>
  <c r="AF72" i="36"/>
  <c r="X72" i="36"/>
  <c r="P72" i="36"/>
  <c r="H72" i="36"/>
  <c r="AE72" i="36"/>
  <c r="W72" i="36"/>
  <c r="O72" i="36"/>
  <c r="G72" i="36"/>
  <c r="AC72" i="36"/>
  <c r="K87" i="36" s="1"/>
  <c r="AD72" i="36"/>
  <c r="V72" i="36"/>
  <c r="N72" i="36"/>
  <c r="F72" i="36"/>
  <c r="U72" i="36"/>
  <c r="I87" i="36" s="1"/>
  <c r="E10" i="6"/>
  <c r="AB56" i="4" s="1"/>
  <c r="AH8" i="4"/>
  <c r="Z8" i="4"/>
  <c r="R8" i="4"/>
  <c r="J8" i="4"/>
  <c r="AG8" i="4"/>
  <c r="Y8" i="4"/>
  <c r="X8" i="4"/>
  <c r="AE8" i="4"/>
  <c r="W8" i="4"/>
  <c r="O8" i="4"/>
  <c r="H8" i="4"/>
  <c r="S8" i="4"/>
  <c r="I8" i="4"/>
  <c r="P8" i="4"/>
  <c r="AD8" i="4"/>
  <c r="V8" i="4"/>
  <c r="N8" i="4"/>
  <c r="Q8" i="4"/>
  <c r="AF8" i="4"/>
  <c r="AC8" i="4"/>
  <c r="U8" i="4"/>
  <c r="M8" i="4"/>
  <c r="AA8" i="4"/>
  <c r="AJ8" i="4"/>
  <c r="AB8" i="4"/>
  <c r="T8" i="4"/>
  <c r="L8" i="4"/>
  <c r="AI8" i="4"/>
  <c r="K8" i="4"/>
  <c r="G8" i="4"/>
  <c r="G93" i="4" s="1"/>
  <c r="K17" i="24"/>
  <c r="D72" i="4"/>
  <c r="C63" i="4" s="1"/>
  <c r="D82" i="4"/>
  <c r="Q29" i="6" s="1"/>
  <c r="C64" i="4"/>
  <c r="D73" i="4"/>
  <c r="D79" i="4"/>
  <c r="Q26" i="6" s="1"/>
  <c r="D78" i="4"/>
  <c r="Q25" i="6" s="1"/>
  <c r="D81" i="4"/>
  <c r="Q28" i="6" s="1"/>
  <c r="D80" i="4"/>
  <c r="Q27" i="6" s="1"/>
  <c r="E115" i="5"/>
  <c r="B277" i="26"/>
  <c r="E112" i="5"/>
  <c r="M95" i="19"/>
  <c r="M20" i="19" s="1"/>
  <c r="M220" i="26"/>
  <c r="M248" i="26" s="1"/>
  <c r="AE220" i="26"/>
  <c r="AE248" i="26" s="1"/>
  <c r="V245" i="26"/>
  <c r="V225" i="26" s="1"/>
  <c r="I220" i="26"/>
  <c r="I246" i="26" s="1"/>
  <c r="AM220" i="26"/>
  <c r="AM211" i="26" s="1"/>
  <c r="AM9" i="26" s="1"/>
  <c r="AM68" i="26" s="1"/>
  <c r="AM67" i="26" s="1"/>
  <c r="AM29" i="26" s="1"/>
  <c r="W245" i="26"/>
  <c r="W225" i="26" s="1"/>
  <c r="R220" i="26"/>
  <c r="R211" i="26" s="1"/>
  <c r="R9" i="26" s="1"/>
  <c r="AP220" i="26"/>
  <c r="AP211" i="26" s="1"/>
  <c r="AP9" i="26" s="1"/>
  <c r="AG245" i="26"/>
  <c r="AG225" i="26" s="1"/>
  <c r="S220" i="26"/>
  <c r="S211" i="26" s="1"/>
  <c r="S9" i="26" s="1"/>
  <c r="J245" i="26"/>
  <c r="J225" i="26" s="1"/>
  <c r="J224" i="26" s="1"/>
  <c r="AH245" i="26"/>
  <c r="AH225" i="26" s="1"/>
  <c r="J220" i="26"/>
  <c r="J248" i="26" s="1"/>
  <c r="AO220" i="26"/>
  <c r="AO248" i="26" s="1"/>
  <c r="T220" i="26"/>
  <c r="T211" i="26" s="1"/>
  <c r="T9" i="26" s="1"/>
  <c r="T68" i="26" s="1"/>
  <c r="T67" i="26" s="1"/>
  <c r="T29" i="26" s="1"/>
  <c r="K245" i="26"/>
  <c r="K225" i="26" s="1"/>
  <c r="K224" i="26" s="1"/>
  <c r="AP245" i="26"/>
  <c r="AP225" i="26" s="1"/>
  <c r="AR245" i="26"/>
  <c r="AR225" i="26" s="1"/>
  <c r="AE245" i="26"/>
  <c r="AE225" i="26" s="1"/>
  <c r="AB220" i="26"/>
  <c r="AB246" i="26" s="1"/>
  <c r="L245" i="26"/>
  <c r="L225" i="26" s="1"/>
  <c r="AQ245" i="26"/>
  <c r="AQ225" i="26" s="1"/>
  <c r="AD220" i="26"/>
  <c r="AD211" i="26" s="1"/>
  <c r="AD9" i="26" s="1"/>
  <c r="T245" i="26"/>
  <c r="T225" i="26" s="1"/>
  <c r="K32" i="15"/>
  <c r="N19" i="17"/>
  <c r="V24" i="16" s="1"/>
  <c r="V61" i="16" s="1"/>
  <c r="L8" i="15"/>
  <c r="K46" i="23" s="1"/>
  <c r="K50" i="23" s="1"/>
  <c r="FP8" i="15"/>
  <c r="FO46" i="23" s="1"/>
  <c r="FX8" i="15"/>
  <c r="FW46" i="23" s="1"/>
  <c r="GE8" i="15"/>
  <c r="GD58" i="16" s="1"/>
  <c r="GD63" i="16" s="1"/>
  <c r="M8" i="15"/>
  <c r="L46" i="23" s="1"/>
  <c r="L50" i="23" s="1"/>
  <c r="FQ8" i="15"/>
  <c r="FP46" i="23" s="1"/>
  <c r="FY8" i="15"/>
  <c r="FX46" i="23" s="1"/>
  <c r="N8" i="15"/>
  <c r="M46" i="23" s="1"/>
  <c r="M50" i="23" s="1"/>
  <c r="FR8" i="15"/>
  <c r="FQ46" i="23" s="1"/>
  <c r="FZ8" i="15"/>
  <c r="FY46" i="23" s="1"/>
  <c r="FW8" i="15"/>
  <c r="FV46" i="23" s="1"/>
  <c r="O8" i="15"/>
  <c r="N46" i="23" s="1"/>
  <c r="N50" i="23" s="1"/>
  <c r="FS8" i="15"/>
  <c r="FR46" i="23" s="1"/>
  <c r="GA8" i="15"/>
  <c r="FZ46" i="23" s="1"/>
  <c r="S8" i="15"/>
  <c r="R46" i="23" s="1"/>
  <c r="H8" i="15"/>
  <c r="G46" i="23" s="1"/>
  <c r="G50" i="23" s="1"/>
  <c r="P8" i="15"/>
  <c r="O46" i="23" s="1"/>
  <c r="FT8" i="15"/>
  <c r="FS46" i="23" s="1"/>
  <c r="GB8" i="15"/>
  <c r="GA58" i="16" s="1"/>
  <c r="GA63" i="16" s="1"/>
  <c r="I8" i="15"/>
  <c r="H46" i="23" s="1"/>
  <c r="Q8" i="15"/>
  <c r="P46" i="23" s="1"/>
  <c r="FU8" i="15"/>
  <c r="FT58" i="16" s="1"/>
  <c r="FT20" i="16" s="1"/>
  <c r="GC8" i="15"/>
  <c r="GB58" i="16" s="1"/>
  <c r="GB63" i="16" s="1"/>
  <c r="J8" i="15"/>
  <c r="I46" i="23" s="1"/>
  <c r="R8" i="15"/>
  <c r="Q46" i="23" s="1"/>
  <c r="FV8" i="15"/>
  <c r="FU58" i="16" s="1"/>
  <c r="FU20" i="16" s="1"/>
  <c r="GD8" i="15"/>
  <c r="GC58" i="16" s="1"/>
  <c r="GC63" i="16" s="1"/>
  <c r="K8" i="15"/>
  <c r="J46" i="23" s="1"/>
  <c r="K19" i="17"/>
  <c r="G24" i="16" s="1"/>
  <c r="G61" i="16" s="1"/>
  <c r="J19" i="19"/>
  <c r="J17" i="19" s="1"/>
  <c r="M19" i="17"/>
  <c r="N24" i="16" s="1"/>
  <c r="N61" i="16" s="1"/>
  <c r="AO245" i="26"/>
  <c r="AO225" i="26" s="1"/>
  <c r="AD245" i="26"/>
  <c r="AD225" i="26" s="1"/>
  <c r="S245" i="26"/>
  <c r="S225" i="26" s="1"/>
  <c r="I245" i="26"/>
  <c r="I225" i="26" s="1"/>
  <c r="I224" i="26" s="1"/>
  <c r="AL220" i="26"/>
  <c r="AA220" i="26"/>
  <c r="Q220" i="26"/>
  <c r="AM245" i="26"/>
  <c r="AM225" i="26" s="1"/>
  <c r="R245" i="26"/>
  <c r="R225" i="26" s="1"/>
  <c r="AJ220" i="26"/>
  <c r="Z220" i="26"/>
  <c r="O220" i="26"/>
  <c r="AL245" i="26"/>
  <c r="AL225" i="26" s="1"/>
  <c r="AA245" i="26"/>
  <c r="AA225" i="26" s="1"/>
  <c r="Q245" i="26"/>
  <c r="Q225" i="26" s="1"/>
  <c r="AT220" i="26"/>
  <c r="AI220" i="26"/>
  <c r="Y220" i="26"/>
  <c r="N220" i="26"/>
  <c r="M106" i="19"/>
  <c r="M109" i="19" s="1"/>
  <c r="AB245" i="26"/>
  <c r="AB225" i="26" s="1"/>
  <c r="AU220" i="26"/>
  <c r="AU245" i="26"/>
  <c r="AU225" i="26" s="1"/>
  <c r="AJ245" i="26"/>
  <c r="AJ225" i="26" s="1"/>
  <c r="Z245" i="26"/>
  <c r="Z225" i="26" s="1"/>
  <c r="O245" i="26"/>
  <c r="O225" i="26" s="1"/>
  <c r="AR220" i="26"/>
  <c r="AH220" i="26"/>
  <c r="W220" i="26"/>
  <c r="L220" i="26"/>
  <c r="M99" i="19"/>
  <c r="M102" i="19" s="1"/>
  <c r="M21" i="19" s="1"/>
  <c r="AT245" i="26"/>
  <c r="AT225" i="26" s="1"/>
  <c r="AI245" i="26"/>
  <c r="AI225" i="26" s="1"/>
  <c r="Y245" i="26"/>
  <c r="Y225" i="26" s="1"/>
  <c r="N245" i="26"/>
  <c r="N225" i="26" s="1"/>
  <c r="AQ220" i="26"/>
  <c r="AG220" i="26"/>
  <c r="V220" i="26"/>
  <c r="K220" i="26"/>
  <c r="L20" i="19"/>
  <c r="L19" i="19" s="1"/>
  <c r="L17" i="19" s="1"/>
  <c r="BB5" i="13"/>
  <c r="AT5" i="13"/>
  <c r="AL5" i="13"/>
  <c r="AD5" i="13"/>
  <c r="V5" i="13"/>
  <c r="BA5" i="13"/>
  <c r="AS5" i="13"/>
  <c r="AK5" i="13"/>
  <c r="AC5" i="13"/>
  <c r="U5" i="13"/>
  <c r="AZ5" i="13"/>
  <c r="AR5" i="13"/>
  <c r="AJ5" i="13"/>
  <c r="AB5" i="13"/>
  <c r="AY5" i="13"/>
  <c r="AQ5" i="13"/>
  <c r="AI5" i="13"/>
  <c r="AA5" i="13"/>
  <c r="Q30" i="6"/>
  <c r="I25" i="11"/>
  <c r="Q25" i="11"/>
  <c r="Y25" i="11"/>
  <c r="AG25" i="11"/>
  <c r="AO25" i="11"/>
  <c r="AW25" i="11"/>
  <c r="J25" i="11"/>
  <c r="R25" i="11"/>
  <c r="Z25" i="11"/>
  <c r="AH25" i="11"/>
  <c r="AP25" i="11"/>
  <c r="AX25" i="11"/>
  <c r="K25" i="11"/>
  <c r="S25" i="11"/>
  <c r="AA25" i="11"/>
  <c r="AI25" i="11"/>
  <c r="AQ25" i="11"/>
  <c r="AY25" i="11"/>
  <c r="L25" i="11"/>
  <c r="L23" i="11" s="1"/>
  <c r="T25" i="11"/>
  <c r="AB25" i="11"/>
  <c r="AJ25" i="11"/>
  <c r="AR25" i="11"/>
  <c r="AZ25" i="11"/>
  <c r="M25" i="11"/>
  <c r="U25" i="11"/>
  <c r="AC25" i="11"/>
  <c r="AK25" i="11"/>
  <c r="AS25" i="11"/>
  <c r="BA25" i="11"/>
  <c r="N25" i="11"/>
  <c r="V25" i="11"/>
  <c r="AD25" i="11"/>
  <c r="AL25" i="11"/>
  <c r="AT25" i="11"/>
  <c r="G25" i="11"/>
  <c r="O25" i="11"/>
  <c r="W25" i="11"/>
  <c r="AE25" i="11"/>
  <c r="AM25" i="11"/>
  <c r="AU25" i="11"/>
  <c r="H25" i="11"/>
  <c r="P25" i="11"/>
  <c r="X25" i="11"/>
  <c r="AF25" i="11"/>
  <c r="AN25" i="11"/>
  <c r="AV25" i="11"/>
  <c r="BF5" i="13"/>
  <c r="AX5" i="13"/>
  <c r="AP5" i="13"/>
  <c r="AH5" i="13"/>
  <c r="Z5" i="13"/>
  <c r="P63" i="27"/>
  <c r="P62" i="27" s="1"/>
  <c r="P11" i="27"/>
  <c r="Q7" i="27"/>
  <c r="BE5" i="13"/>
  <c r="AW5" i="13"/>
  <c r="AO5" i="13"/>
  <c r="AG5" i="13"/>
  <c r="Y5" i="13"/>
  <c r="BD5" i="13"/>
  <c r="AV5" i="13"/>
  <c r="AN5" i="13"/>
  <c r="AF5" i="13"/>
  <c r="X5" i="13"/>
  <c r="M237" i="19"/>
  <c r="U237" i="19"/>
  <c r="AC237" i="19"/>
  <c r="AK237" i="19"/>
  <c r="AS237" i="19"/>
  <c r="BA237" i="19"/>
  <c r="BA238" i="19" s="1"/>
  <c r="O237" i="19"/>
  <c r="W237" i="19"/>
  <c r="AE237" i="19"/>
  <c r="AM237" i="19"/>
  <c r="AU237" i="19"/>
  <c r="Q237" i="19"/>
  <c r="Y237" i="19"/>
  <c r="AG237" i="19"/>
  <c r="AO237" i="19"/>
  <c r="AW237" i="19"/>
  <c r="N237" i="19"/>
  <c r="AA237" i="19"/>
  <c r="AN237" i="19"/>
  <c r="AZ237" i="19"/>
  <c r="AZ238" i="19" s="1"/>
  <c r="P237" i="19"/>
  <c r="AB237" i="19"/>
  <c r="AP237" i="19"/>
  <c r="BB237" i="19"/>
  <c r="BB238" i="19" s="1"/>
  <c r="R237" i="19"/>
  <c r="AD237" i="19"/>
  <c r="AQ237" i="19"/>
  <c r="S237" i="19"/>
  <c r="AF237" i="19"/>
  <c r="AR237" i="19"/>
  <c r="T237" i="19"/>
  <c r="AH237" i="19"/>
  <c r="AT237" i="19"/>
  <c r="J237" i="19"/>
  <c r="J238" i="19" s="1"/>
  <c r="V237" i="19"/>
  <c r="AI237" i="19"/>
  <c r="AV237" i="19"/>
  <c r="K237" i="19"/>
  <c r="X237" i="19"/>
  <c r="AJ237" i="19"/>
  <c r="AX237" i="19"/>
  <c r="L237" i="19"/>
  <c r="Z237" i="19"/>
  <c r="AL237" i="19"/>
  <c r="AY237" i="19"/>
  <c r="BC5" i="13"/>
  <c r="AU5" i="13"/>
  <c r="AM5" i="13"/>
  <c r="AE5" i="13"/>
  <c r="W5" i="13"/>
  <c r="AN245" i="26"/>
  <c r="AN225" i="26" s="1"/>
  <c r="AF245" i="26"/>
  <c r="AF225" i="26" s="1"/>
  <c r="X245" i="26"/>
  <c r="X225" i="26" s="1"/>
  <c r="P245" i="26"/>
  <c r="P225" i="26" s="1"/>
  <c r="H245" i="26"/>
  <c r="H225" i="26" s="1"/>
  <c r="H224" i="26" s="1"/>
  <c r="AN220" i="26"/>
  <c r="AF220" i="26"/>
  <c r="X220" i="26"/>
  <c r="P220" i="26"/>
  <c r="H220" i="26"/>
  <c r="M32" i="11"/>
  <c r="U32" i="11"/>
  <c r="AC32" i="11"/>
  <c r="AK32" i="11"/>
  <c r="AS32" i="11"/>
  <c r="BA32" i="11"/>
  <c r="N32" i="11"/>
  <c r="V32" i="11"/>
  <c r="AD32" i="11"/>
  <c r="AL32" i="11"/>
  <c r="AT32" i="11"/>
  <c r="G32" i="11"/>
  <c r="O32" i="11"/>
  <c r="W32" i="11"/>
  <c r="AE32" i="11"/>
  <c r="AM32" i="11"/>
  <c r="AU32" i="11"/>
  <c r="H32" i="11"/>
  <c r="P32" i="11"/>
  <c r="X32" i="11"/>
  <c r="AF32" i="11"/>
  <c r="AN32" i="11"/>
  <c r="AV32" i="11"/>
  <c r="I32" i="11"/>
  <c r="Q32" i="11"/>
  <c r="Y32" i="11"/>
  <c r="AG32" i="11"/>
  <c r="AO32" i="11"/>
  <c r="AW32" i="11"/>
  <c r="J32" i="11"/>
  <c r="R32" i="11"/>
  <c r="Z32" i="11"/>
  <c r="AH32" i="11"/>
  <c r="AP32" i="11"/>
  <c r="AX32" i="11"/>
  <c r="K32" i="11"/>
  <c r="S32" i="11"/>
  <c r="AA32" i="11"/>
  <c r="AI32" i="11"/>
  <c r="AQ32" i="11"/>
  <c r="AY32" i="11"/>
  <c r="L32" i="11"/>
  <c r="L30" i="11" s="1"/>
  <c r="T32" i="11"/>
  <c r="AB32" i="11"/>
  <c r="AJ32" i="11"/>
  <c r="AR32" i="11"/>
  <c r="AZ32" i="11"/>
  <c r="AK21" i="18"/>
  <c r="U39" i="23" s="1"/>
  <c r="AS21" i="18"/>
  <c r="AC39" i="23" s="1"/>
  <c r="BA21" i="18"/>
  <c r="AK39" i="23" s="1"/>
  <c r="BI21" i="18"/>
  <c r="AS39" i="23" s="1"/>
  <c r="BQ21" i="18"/>
  <c r="BA39" i="23" s="1"/>
  <c r="BY21" i="18"/>
  <c r="BI39" i="23" s="1"/>
  <c r="CG21" i="18"/>
  <c r="BQ39" i="23" s="1"/>
  <c r="CO21" i="18"/>
  <c r="BY39" i="23" s="1"/>
  <c r="CW21" i="18"/>
  <c r="CG39" i="23" s="1"/>
  <c r="DE21" i="18"/>
  <c r="CO39" i="23" s="1"/>
  <c r="DM21" i="18"/>
  <c r="CW39" i="23" s="1"/>
  <c r="DU21" i="18"/>
  <c r="DE39" i="23" s="1"/>
  <c r="AE21" i="18"/>
  <c r="O39" i="23" s="1"/>
  <c r="AM21" i="18"/>
  <c r="W39" i="23" s="1"/>
  <c r="AU21" i="18"/>
  <c r="AE39" i="23" s="1"/>
  <c r="BC21" i="18"/>
  <c r="AM39" i="23" s="1"/>
  <c r="BK21" i="18"/>
  <c r="AU39" i="23" s="1"/>
  <c r="BS21" i="18"/>
  <c r="BC39" i="23" s="1"/>
  <c r="CA21" i="18"/>
  <c r="BK39" i="23" s="1"/>
  <c r="CI21" i="18"/>
  <c r="BS39" i="23" s="1"/>
  <c r="CQ21" i="18"/>
  <c r="CA39" i="23" s="1"/>
  <c r="CY21" i="18"/>
  <c r="CI39" i="23" s="1"/>
  <c r="DG21" i="18"/>
  <c r="CQ39" i="23" s="1"/>
  <c r="DO21" i="18"/>
  <c r="CY39" i="23" s="1"/>
  <c r="AG21" i="18"/>
  <c r="Q39" i="23" s="1"/>
  <c r="AO21" i="18"/>
  <c r="Y39" i="23" s="1"/>
  <c r="AW21" i="18"/>
  <c r="AG39" i="23" s="1"/>
  <c r="BE21" i="18"/>
  <c r="AO39" i="23" s="1"/>
  <c r="BM21" i="18"/>
  <c r="AW39" i="23" s="1"/>
  <c r="BU21" i="18"/>
  <c r="BE39" i="23" s="1"/>
  <c r="CC21" i="18"/>
  <c r="BM39" i="23" s="1"/>
  <c r="CK21" i="18"/>
  <c r="BU39" i="23" s="1"/>
  <c r="CS21" i="18"/>
  <c r="CC39" i="23" s="1"/>
  <c r="DA21" i="18"/>
  <c r="CK39" i="23" s="1"/>
  <c r="DI21" i="18"/>
  <c r="CS39" i="23" s="1"/>
  <c r="DQ21" i="18"/>
  <c r="DA39" i="23" s="1"/>
  <c r="AN21" i="18"/>
  <c r="X39" i="23" s="1"/>
  <c r="AZ21" i="18"/>
  <c r="AJ39" i="23" s="1"/>
  <c r="BN21" i="18"/>
  <c r="AX39" i="23" s="1"/>
  <c r="BZ21" i="18"/>
  <c r="BJ39" i="23" s="1"/>
  <c r="CM21" i="18"/>
  <c r="BW39" i="23" s="1"/>
  <c r="CZ21" i="18"/>
  <c r="CJ39" i="23" s="1"/>
  <c r="DL21" i="18"/>
  <c r="CV39" i="23" s="1"/>
  <c r="DX21" i="18"/>
  <c r="DH39" i="23" s="1"/>
  <c r="EF21" i="18"/>
  <c r="DP39" i="23" s="1"/>
  <c r="EN21" i="18"/>
  <c r="DX39" i="23" s="1"/>
  <c r="EV21" i="18"/>
  <c r="EF39" i="23" s="1"/>
  <c r="FD21" i="18"/>
  <c r="EN39" i="23" s="1"/>
  <c r="FL21" i="18"/>
  <c r="EV39" i="23" s="1"/>
  <c r="FT21" i="18"/>
  <c r="FD39" i="23" s="1"/>
  <c r="GB21" i="18"/>
  <c r="FL39" i="23" s="1"/>
  <c r="AP21" i="18"/>
  <c r="Z39" i="23" s="1"/>
  <c r="BB21" i="18"/>
  <c r="AL39" i="23" s="1"/>
  <c r="BO21" i="18"/>
  <c r="AY39" i="23" s="1"/>
  <c r="CB21" i="18"/>
  <c r="BL39" i="23" s="1"/>
  <c r="CN21" i="18"/>
  <c r="BX39" i="23" s="1"/>
  <c r="DB21" i="18"/>
  <c r="CL39" i="23" s="1"/>
  <c r="DN21" i="18"/>
  <c r="CX39" i="23" s="1"/>
  <c r="DY21" i="18"/>
  <c r="DI39" i="23" s="1"/>
  <c r="EG21" i="18"/>
  <c r="DQ39" i="23" s="1"/>
  <c r="EO21" i="18"/>
  <c r="DY39" i="23" s="1"/>
  <c r="EW21" i="18"/>
  <c r="EG39" i="23" s="1"/>
  <c r="FE21" i="18"/>
  <c r="EO39" i="23" s="1"/>
  <c r="FM21" i="18"/>
  <c r="EW39" i="23" s="1"/>
  <c r="FU21" i="18"/>
  <c r="FE39" i="23" s="1"/>
  <c r="GC21" i="18"/>
  <c r="FM39" i="23" s="1"/>
  <c r="AQ21" i="18"/>
  <c r="AA39" i="23" s="1"/>
  <c r="BD21" i="18"/>
  <c r="AN39" i="23" s="1"/>
  <c r="BP21" i="18"/>
  <c r="AZ39" i="23" s="1"/>
  <c r="CD21" i="18"/>
  <c r="BN39" i="23" s="1"/>
  <c r="CP21" i="18"/>
  <c r="BZ39" i="23" s="1"/>
  <c r="DC21" i="18"/>
  <c r="CM39" i="23" s="1"/>
  <c r="DP21" i="18"/>
  <c r="CZ39" i="23" s="1"/>
  <c r="DZ21" i="18"/>
  <c r="DJ39" i="23" s="1"/>
  <c r="EH21" i="18"/>
  <c r="DR39" i="23" s="1"/>
  <c r="EP21" i="18"/>
  <c r="DZ39" i="23" s="1"/>
  <c r="EX21" i="18"/>
  <c r="EH39" i="23" s="1"/>
  <c r="FF21" i="18"/>
  <c r="EP39" i="23" s="1"/>
  <c r="FN21" i="18"/>
  <c r="EX39" i="23" s="1"/>
  <c r="FV21" i="18"/>
  <c r="FF39" i="23" s="1"/>
  <c r="GD21" i="18"/>
  <c r="FN39" i="23" s="1"/>
  <c r="AF21" i="18"/>
  <c r="P39" i="23" s="1"/>
  <c r="AR21" i="18"/>
  <c r="AB39" i="23" s="1"/>
  <c r="BF21" i="18"/>
  <c r="AP39" i="23" s="1"/>
  <c r="BR21" i="18"/>
  <c r="BB39" i="23" s="1"/>
  <c r="CE21" i="18"/>
  <c r="BO39" i="23" s="1"/>
  <c r="CR21" i="18"/>
  <c r="CB39" i="23" s="1"/>
  <c r="DD21" i="18"/>
  <c r="CN39" i="23" s="1"/>
  <c r="DR21" i="18"/>
  <c r="DB39" i="23" s="1"/>
  <c r="EA21" i="18"/>
  <c r="DK39" i="23" s="1"/>
  <c r="EI21" i="18"/>
  <c r="DS39" i="23" s="1"/>
  <c r="EQ21" i="18"/>
  <c r="EA39" i="23" s="1"/>
  <c r="EY21" i="18"/>
  <c r="EI39" i="23" s="1"/>
  <c r="FG21" i="18"/>
  <c r="EQ39" i="23" s="1"/>
  <c r="FO21" i="18"/>
  <c r="EY39" i="23" s="1"/>
  <c r="FW21" i="18"/>
  <c r="FG39" i="23" s="1"/>
  <c r="AH21" i="18"/>
  <c r="R39" i="23" s="1"/>
  <c r="AT21" i="18"/>
  <c r="AD39" i="23" s="1"/>
  <c r="BG21" i="18"/>
  <c r="AQ39" i="23" s="1"/>
  <c r="BT21" i="18"/>
  <c r="BD39" i="23" s="1"/>
  <c r="CF21" i="18"/>
  <c r="BP39" i="23" s="1"/>
  <c r="CT21" i="18"/>
  <c r="CD39" i="23" s="1"/>
  <c r="DF21" i="18"/>
  <c r="CP39" i="23" s="1"/>
  <c r="DS21" i="18"/>
  <c r="DC39" i="23" s="1"/>
  <c r="EB21" i="18"/>
  <c r="DL39" i="23" s="1"/>
  <c r="EJ21" i="18"/>
  <c r="DT39" i="23" s="1"/>
  <c r="ER21" i="18"/>
  <c r="EB39" i="23" s="1"/>
  <c r="EZ21" i="18"/>
  <c r="EJ39" i="23" s="1"/>
  <c r="FH21" i="18"/>
  <c r="ER39" i="23" s="1"/>
  <c r="FP21" i="18"/>
  <c r="EZ39" i="23" s="1"/>
  <c r="FX21" i="18"/>
  <c r="FH39" i="23" s="1"/>
  <c r="AI21" i="18"/>
  <c r="S39" i="23" s="1"/>
  <c r="AV21" i="18"/>
  <c r="AF39" i="23" s="1"/>
  <c r="BH21" i="18"/>
  <c r="AR39" i="23" s="1"/>
  <c r="BV21" i="18"/>
  <c r="BF39" i="23" s="1"/>
  <c r="CH21" i="18"/>
  <c r="BR39" i="23" s="1"/>
  <c r="CU21" i="18"/>
  <c r="CE39" i="23" s="1"/>
  <c r="DH21" i="18"/>
  <c r="CR39" i="23" s="1"/>
  <c r="DT21" i="18"/>
  <c r="DD39" i="23" s="1"/>
  <c r="EC21" i="18"/>
  <c r="DM39" i="23" s="1"/>
  <c r="EK21" i="18"/>
  <c r="DU39" i="23" s="1"/>
  <c r="ES21" i="18"/>
  <c r="EC39" i="23" s="1"/>
  <c r="FA21" i="18"/>
  <c r="EK39" i="23" s="1"/>
  <c r="FI21" i="18"/>
  <c r="ES39" i="23" s="1"/>
  <c r="FQ21" i="18"/>
  <c r="FA39" i="23" s="1"/>
  <c r="FY21" i="18"/>
  <c r="FI39" i="23" s="1"/>
  <c r="AJ21" i="18"/>
  <c r="T39" i="23" s="1"/>
  <c r="AX21" i="18"/>
  <c r="AH39" i="23" s="1"/>
  <c r="BJ21" i="18"/>
  <c r="AT39" i="23" s="1"/>
  <c r="BW21" i="18"/>
  <c r="BG39" i="23" s="1"/>
  <c r="CJ21" i="18"/>
  <c r="BT39" i="23" s="1"/>
  <c r="CV21" i="18"/>
  <c r="CF39" i="23" s="1"/>
  <c r="DJ21" i="18"/>
  <c r="CT39" i="23" s="1"/>
  <c r="DV21" i="18"/>
  <c r="DF39" i="23" s="1"/>
  <c r="ED21" i="18"/>
  <c r="DN39" i="23" s="1"/>
  <c r="EL21" i="18"/>
  <c r="DV39" i="23" s="1"/>
  <c r="ET21" i="18"/>
  <c r="ED39" i="23" s="1"/>
  <c r="FB21" i="18"/>
  <c r="EL39" i="23" s="1"/>
  <c r="FJ21" i="18"/>
  <c r="ET39" i="23" s="1"/>
  <c r="FR21" i="18"/>
  <c r="FB39" i="23" s="1"/>
  <c r="FZ21" i="18"/>
  <c r="FJ39" i="23" s="1"/>
  <c r="AL21" i="18"/>
  <c r="V39" i="23" s="1"/>
  <c r="AY21" i="18"/>
  <c r="AI39" i="23" s="1"/>
  <c r="BL21" i="18"/>
  <c r="AV39" i="23" s="1"/>
  <c r="BX21" i="18"/>
  <c r="BH39" i="23" s="1"/>
  <c r="CL21" i="18"/>
  <c r="BV39" i="23" s="1"/>
  <c r="CX21" i="18"/>
  <c r="CH39" i="23" s="1"/>
  <c r="DK21" i="18"/>
  <c r="CU39" i="23" s="1"/>
  <c r="DW21" i="18"/>
  <c r="DG39" i="23" s="1"/>
  <c r="EE21" i="18"/>
  <c r="DO39" i="23" s="1"/>
  <c r="EM21" i="18"/>
  <c r="DW39" i="23" s="1"/>
  <c r="EU21" i="18"/>
  <c r="EE39" i="23" s="1"/>
  <c r="FC21" i="18"/>
  <c r="EM39" i="23" s="1"/>
  <c r="FK21" i="18"/>
  <c r="EU39" i="23" s="1"/>
  <c r="FS21" i="18"/>
  <c r="FC39" i="23" s="1"/>
  <c r="GA21" i="18"/>
  <c r="FK39" i="23" s="1"/>
  <c r="G26" i="25"/>
  <c r="E28" i="6"/>
  <c r="F30" i="11"/>
  <c r="L12" i="6"/>
  <c r="L15" i="6"/>
  <c r="F65" i="23"/>
  <c r="AS245" i="26"/>
  <c r="AS225" i="26" s="1"/>
  <c r="AK245" i="26"/>
  <c r="AK225" i="26" s="1"/>
  <c r="AC245" i="26"/>
  <c r="AC225" i="26" s="1"/>
  <c r="U245" i="26"/>
  <c r="U225" i="26" s="1"/>
  <c r="M245" i="26"/>
  <c r="M225" i="26" s="1"/>
  <c r="AS220" i="26"/>
  <c r="AK220" i="26"/>
  <c r="AC220" i="26"/>
  <c r="U220" i="26"/>
  <c r="C21" i="2"/>
  <c r="C50" i="2"/>
  <c r="C36" i="2"/>
  <c r="E114" i="5"/>
  <c r="K235" i="19"/>
  <c r="S235" i="19"/>
  <c r="AA235" i="19"/>
  <c r="AI235" i="19"/>
  <c r="AQ235" i="19"/>
  <c r="AY235" i="19"/>
  <c r="M235" i="19"/>
  <c r="U235" i="19"/>
  <c r="AC235" i="19"/>
  <c r="AK235" i="19"/>
  <c r="AS235" i="19"/>
  <c r="BA235" i="19"/>
  <c r="O235" i="19"/>
  <c r="W235" i="19"/>
  <c r="AE235" i="19"/>
  <c r="AM235" i="19"/>
  <c r="AU235" i="19"/>
  <c r="J235" i="19"/>
  <c r="X235" i="19"/>
  <c r="AJ235" i="19"/>
  <c r="AW235" i="19"/>
  <c r="L235" i="19"/>
  <c r="Y235" i="19"/>
  <c r="AL235" i="19"/>
  <c r="AX235" i="19"/>
  <c r="N235" i="19"/>
  <c r="Z235" i="19"/>
  <c r="AN235" i="19"/>
  <c r="AZ235" i="19"/>
  <c r="P235" i="19"/>
  <c r="AB235" i="19"/>
  <c r="AO235" i="19"/>
  <c r="BB235" i="19"/>
  <c r="Q235" i="19"/>
  <c r="AD235" i="19"/>
  <c r="AP235" i="19"/>
  <c r="R235" i="19"/>
  <c r="AF235" i="19"/>
  <c r="AR235" i="19"/>
  <c r="T235" i="19"/>
  <c r="AG235" i="19"/>
  <c r="AT235" i="19"/>
  <c r="V235" i="19"/>
  <c r="AH235" i="19"/>
  <c r="AV235" i="19"/>
  <c r="F47" i="36" l="1"/>
  <c r="AA93" i="4"/>
  <c r="AD93" i="4"/>
  <c r="X93" i="4"/>
  <c r="P93" i="4"/>
  <c r="Y93" i="4"/>
  <c r="U93" i="4"/>
  <c r="AG93" i="4"/>
  <c r="AI93" i="4"/>
  <c r="AC93" i="4"/>
  <c r="S93" i="4"/>
  <c r="AF93" i="4"/>
  <c r="R93" i="4"/>
  <c r="T93" i="4"/>
  <c r="Q93" i="4"/>
  <c r="O93" i="4"/>
  <c r="Z93" i="4"/>
  <c r="AB93" i="4"/>
  <c r="N93" i="4"/>
  <c r="W93" i="4"/>
  <c r="AH93" i="4"/>
  <c r="AJ93" i="4"/>
  <c r="V93" i="4"/>
  <c r="AE93" i="4"/>
  <c r="M93" i="4"/>
  <c r="L93" i="4"/>
  <c r="K93" i="4"/>
  <c r="I93" i="4"/>
  <c r="J93" i="4"/>
  <c r="H93" i="4"/>
  <c r="F39" i="23"/>
  <c r="R50" i="23"/>
  <c r="FX50" i="23"/>
  <c r="FZ50" i="23"/>
  <c r="FP50" i="23"/>
  <c r="P50" i="23"/>
  <c r="FR50" i="23"/>
  <c r="J50" i="23"/>
  <c r="H50" i="23"/>
  <c r="FV50" i="23"/>
  <c r="FW50" i="23"/>
  <c r="FS50" i="23"/>
  <c r="FY50" i="23"/>
  <c r="FO50" i="23"/>
  <c r="Q50" i="23"/>
  <c r="O50" i="23"/>
  <c r="FQ50" i="23"/>
  <c r="I50" i="23"/>
  <c r="AX45" i="22"/>
  <c r="AW45" i="22"/>
  <c r="AV45" i="22"/>
  <c r="AY45" i="22"/>
  <c r="R34" i="14"/>
  <c r="R91" i="14"/>
  <c r="F47" i="23"/>
  <c r="R35" i="14"/>
  <c r="R14" i="14"/>
  <c r="R15" i="14" s="1"/>
  <c r="R93" i="14"/>
  <c r="R61" i="14"/>
  <c r="R92" i="14"/>
  <c r="I930" i="20"/>
  <c r="I931" i="20" s="1"/>
  <c r="R7" i="14"/>
  <c r="R9" i="14" s="1"/>
  <c r="R94" i="14"/>
  <c r="R47" i="14" s="1"/>
  <c r="R46" i="14" s="1"/>
  <c r="R4" i="14"/>
  <c r="S34" i="14" s="1"/>
  <c r="R33" i="14"/>
  <c r="HZ204" i="37"/>
  <c r="IA203" i="37" s="1"/>
  <c r="BN205" i="25"/>
  <c r="CI215" i="37"/>
  <c r="CI208" i="37"/>
  <c r="CH32" i="37"/>
  <c r="CH52" i="37"/>
  <c r="CH59" i="37"/>
  <c r="CI137" i="37"/>
  <c r="CJ28" i="37"/>
  <c r="CJ205" i="37" s="1"/>
  <c r="CJ206" i="37" s="1"/>
  <c r="CI49" i="37"/>
  <c r="CI50" i="37" s="1"/>
  <c r="CI31" i="37"/>
  <c r="CI32" i="37" s="1"/>
  <c r="AA60" i="4"/>
  <c r="Z60" i="4"/>
  <c r="AD4" i="13"/>
  <c r="S56" i="4"/>
  <c r="H61" i="2"/>
  <c r="H44" i="2"/>
  <c r="G27" i="2"/>
  <c r="G42" i="2"/>
  <c r="G28" i="2"/>
  <c r="G43" i="2"/>
  <c r="H10" i="2"/>
  <c r="H29" i="2"/>
  <c r="H9" i="2"/>
  <c r="I11" i="2"/>
  <c r="AH60" i="4"/>
  <c r="Y60" i="4"/>
  <c r="J60" i="4"/>
  <c r="K56" i="4"/>
  <c r="X56" i="4"/>
  <c r="AG56" i="4"/>
  <c r="H56" i="4"/>
  <c r="T56" i="4"/>
  <c r="AE60" i="4"/>
  <c r="W60" i="4"/>
  <c r="Z56" i="4"/>
  <c r="Y56" i="4"/>
  <c r="AE56" i="4"/>
  <c r="R56" i="4"/>
  <c r="Q56" i="4"/>
  <c r="W56" i="4"/>
  <c r="J56" i="4"/>
  <c r="P60" i="4"/>
  <c r="O56" i="4"/>
  <c r="AG60" i="4"/>
  <c r="H60" i="4"/>
  <c r="AD60" i="4"/>
  <c r="F72" i="4"/>
  <c r="D5" i="12" s="1"/>
  <c r="AQ11" i="12" s="1"/>
  <c r="S60" i="4"/>
  <c r="AC47" i="36"/>
  <c r="U47" i="36"/>
  <c r="M47" i="36"/>
  <c r="AA56" i="4"/>
  <c r="Q60" i="4"/>
  <c r="I56" i="4"/>
  <c r="O60" i="4"/>
  <c r="V60" i="4"/>
  <c r="T60" i="4"/>
  <c r="V56" i="4"/>
  <c r="AJ60" i="4"/>
  <c r="AJ47" i="36"/>
  <c r="AB47" i="36"/>
  <c r="T47" i="36"/>
  <c r="L47" i="36"/>
  <c r="R60" i="4"/>
  <c r="I60" i="4"/>
  <c r="AF60" i="4"/>
  <c r="G60" i="4"/>
  <c r="N60" i="4"/>
  <c r="N56" i="4"/>
  <c r="K60" i="4"/>
  <c r="L56" i="4"/>
  <c r="AI47" i="36"/>
  <c r="AA47" i="36"/>
  <c r="S47" i="36"/>
  <c r="K47" i="36"/>
  <c r="AH56" i="4"/>
  <c r="AI56" i="4"/>
  <c r="X60" i="4"/>
  <c r="P56" i="4"/>
  <c r="F60" i="4"/>
  <c r="AC60" i="4"/>
  <c r="AJ56" i="4"/>
  <c r="AF56" i="4"/>
  <c r="AH47" i="36"/>
  <c r="Z47" i="36"/>
  <c r="R47" i="36"/>
  <c r="J47" i="36"/>
  <c r="AC56" i="4"/>
  <c r="L60" i="4"/>
  <c r="U56" i="4"/>
  <c r="AG47" i="36"/>
  <c r="Y47" i="36"/>
  <c r="Q47" i="36"/>
  <c r="I47" i="36"/>
  <c r="U60" i="4"/>
  <c r="AF47" i="36"/>
  <c r="X47" i="36"/>
  <c r="P47" i="36"/>
  <c r="H47" i="36"/>
  <c r="M60" i="4"/>
  <c r="AI60" i="4"/>
  <c r="AE47" i="36"/>
  <c r="W47" i="36"/>
  <c r="O47" i="36"/>
  <c r="G47" i="36"/>
  <c r="M56" i="4"/>
  <c r="AD56" i="4"/>
  <c r="AB60" i="4"/>
  <c r="AB66" i="4" s="1"/>
  <c r="AD47" i="36"/>
  <c r="V47" i="36"/>
  <c r="N47" i="36"/>
  <c r="AA8" i="36"/>
  <c r="AD8" i="36"/>
  <c r="L43" i="4"/>
  <c r="X8" i="36"/>
  <c r="G8" i="36"/>
  <c r="D8" i="4"/>
  <c r="F69" i="4" s="1"/>
  <c r="F43" i="4"/>
  <c r="M8" i="36"/>
  <c r="P8" i="36"/>
  <c r="Y8" i="36"/>
  <c r="K8" i="36"/>
  <c r="U8" i="36"/>
  <c r="I8" i="36"/>
  <c r="AG8" i="36"/>
  <c r="AI8" i="36"/>
  <c r="AC8" i="36"/>
  <c r="S8" i="36"/>
  <c r="J8" i="36"/>
  <c r="G43" i="4"/>
  <c r="L8" i="36"/>
  <c r="AF8" i="36"/>
  <c r="H8" i="36"/>
  <c r="R8" i="36"/>
  <c r="I43" i="4"/>
  <c r="T8" i="36"/>
  <c r="Q8" i="36"/>
  <c r="O8" i="36"/>
  <c r="Z8" i="36"/>
  <c r="K43" i="4"/>
  <c r="AB8" i="36"/>
  <c r="N8" i="36"/>
  <c r="H43" i="4"/>
  <c r="W8" i="36"/>
  <c r="AH8" i="36"/>
  <c r="M43" i="4"/>
  <c r="AJ8" i="36"/>
  <c r="V8" i="36"/>
  <c r="J43" i="4"/>
  <c r="AE8" i="36"/>
  <c r="L17" i="24"/>
  <c r="K19" i="24"/>
  <c r="K18" i="24"/>
  <c r="I248" i="26"/>
  <c r="AE246" i="26"/>
  <c r="AB248" i="26"/>
  <c r="AB211" i="26"/>
  <c r="AB9" i="26" s="1"/>
  <c r="AB68" i="26" s="1"/>
  <c r="AB67" i="26" s="1"/>
  <c r="AB29" i="26" s="1"/>
  <c r="AB11" i="26" s="1"/>
  <c r="AB249" i="26"/>
  <c r="AO246" i="26"/>
  <c r="AD246" i="26"/>
  <c r="AP249" i="26"/>
  <c r="N92" i="19"/>
  <c r="AD249" i="26"/>
  <c r="R246" i="26"/>
  <c r="T246" i="26"/>
  <c r="R248" i="26"/>
  <c r="R249" i="26"/>
  <c r="AD248" i="26"/>
  <c r="D77" i="4"/>
  <c r="J246" i="26"/>
  <c r="I24" i="16"/>
  <c r="I61" i="16" s="1"/>
  <c r="AP248" i="26"/>
  <c r="AP246" i="26"/>
  <c r="FT46" i="23"/>
  <c r="FU16" i="15"/>
  <c r="M249" i="26"/>
  <c r="M246" i="26"/>
  <c r="M211" i="26"/>
  <c r="M9" i="26" s="1"/>
  <c r="GB46" i="23"/>
  <c r="S24" i="16"/>
  <c r="S61" i="16" s="1"/>
  <c r="T24" i="16"/>
  <c r="T61" i="16" s="1"/>
  <c r="E209" i="20"/>
  <c r="M24" i="16"/>
  <c r="M61" i="16" s="1"/>
  <c r="S249" i="26"/>
  <c r="D511" i="20"/>
  <c r="U24" i="16"/>
  <c r="U61" i="16" s="1"/>
  <c r="S248" i="26"/>
  <c r="S246" i="26"/>
  <c r="J24" i="16"/>
  <c r="J61" i="16" s="1"/>
  <c r="O24" i="16"/>
  <c r="O61" i="16" s="1"/>
  <c r="GA46" i="23"/>
  <c r="GB16" i="15"/>
  <c r="AY23" i="15"/>
  <c r="AY29" i="15" s="1"/>
  <c r="Q24" i="16"/>
  <c r="Q61" i="16" s="1"/>
  <c r="R24" i="16"/>
  <c r="R61" i="16" s="1"/>
  <c r="N99" i="19"/>
  <c r="N102" i="19" s="1"/>
  <c r="N21" i="19" s="1"/>
  <c r="K24" i="16"/>
  <c r="K61" i="16" s="1"/>
  <c r="GC16" i="15"/>
  <c r="GD46" i="23"/>
  <c r="AZ23" i="15"/>
  <c r="AZ29" i="15" s="1"/>
  <c r="H24" i="16"/>
  <c r="H61" i="16" s="1"/>
  <c r="L24" i="16"/>
  <c r="L61" i="16" s="1"/>
  <c r="GE16" i="15"/>
  <c r="GD16" i="15"/>
  <c r="P24" i="16"/>
  <c r="P61" i="16" s="1"/>
  <c r="FV16" i="15"/>
  <c r="T248" i="26"/>
  <c r="T249" i="26"/>
  <c r="AO211" i="26"/>
  <c r="AO9" i="26" s="1"/>
  <c r="AO68" i="26" s="1"/>
  <c r="AO67" i="26" s="1"/>
  <c r="AO29" i="26" s="1"/>
  <c r="AO249" i="26"/>
  <c r="J211" i="26"/>
  <c r="J249" i="26"/>
  <c r="AM246" i="26"/>
  <c r="AM248" i="26"/>
  <c r="AM249" i="26"/>
  <c r="I211" i="26"/>
  <c r="I9" i="26" s="1"/>
  <c r="I68" i="26" s="1"/>
  <c r="I67" i="26" s="1"/>
  <c r="I29" i="26" s="1"/>
  <c r="I249" i="26"/>
  <c r="FU46" i="23"/>
  <c r="L34" i="15"/>
  <c r="L32" i="15"/>
  <c r="AE211" i="26"/>
  <c r="AE9" i="26" s="1"/>
  <c r="AE68" i="26" s="1"/>
  <c r="AE67" i="26" s="1"/>
  <c r="AE29" i="26" s="1"/>
  <c r="AE11" i="26" s="1"/>
  <c r="AE249" i="26"/>
  <c r="GC46" i="23"/>
  <c r="I58" i="16"/>
  <c r="I20" i="16" s="1"/>
  <c r="J16" i="15"/>
  <c r="G58" i="16"/>
  <c r="H16" i="15"/>
  <c r="H23" i="15"/>
  <c r="H29" i="15" s="1"/>
  <c r="M58" i="16"/>
  <c r="M20" i="16" s="1"/>
  <c r="N16" i="15"/>
  <c r="R58" i="16"/>
  <c r="R20" i="16" s="1"/>
  <c r="S16" i="15"/>
  <c r="FX58" i="16"/>
  <c r="FX20" i="16" s="1"/>
  <c r="FY16" i="15"/>
  <c r="FZ58" i="16"/>
  <c r="FZ20" i="16" s="1"/>
  <c r="GA16" i="15"/>
  <c r="FP58" i="16"/>
  <c r="FP20" i="16" s="1"/>
  <c r="FQ16" i="15"/>
  <c r="P58" i="16"/>
  <c r="P20" i="16" s="1"/>
  <c r="Q16" i="15"/>
  <c r="FR58" i="16"/>
  <c r="FR20" i="16" s="1"/>
  <c r="FS16" i="15"/>
  <c r="L58" i="16"/>
  <c r="L20" i="16" s="1"/>
  <c r="M16" i="15"/>
  <c r="J58" i="16"/>
  <c r="J20" i="16" s="1"/>
  <c r="K16" i="15"/>
  <c r="H58" i="16"/>
  <c r="H20" i="16" s="1"/>
  <c r="I16" i="15"/>
  <c r="N58" i="16"/>
  <c r="O16" i="15"/>
  <c r="FV58" i="16"/>
  <c r="FV20" i="16" s="1"/>
  <c r="FW16" i="15"/>
  <c r="FW58" i="16"/>
  <c r="FW20" i="16" s="1"/>
  <c r="FX16" i="15"/>
  <c r="FS58" i="16"/>
  <c r="FS20" i="16" s="1"/>
  <c r="FT16" i="15"/>
  <c r="AX23" i="15"/>
  <c r="AX29" i="15" s="1"/>
  <c r="FY58" i="16"/>
  <c r="FY20" i="16" s="1"/>
  <c r="FZ16" i="15"/>
  <c r="FO58" i="16"/>
  <c r="FO20" i="16" s="1"/>
  <c r="AW23" i="15"/>
  <c r="AW29" i="15" s="1"/>
  <c r="FP16" i="15"/>
  <c r="Q58" i="16"/>
  <c r="Q20" i="16" s="1"/>
  <c r="R16" i="15"/>
  <c r="O58" i="16"/>
  <c r="O20" i="16" s="1"/>
  <c r="P16" i="15"/>
  <c r="J23" i="15"/>
  <c r="J29" i="15" s="1"/>
  <c r="FQ58" i="16"/>
  <c r="FQ20" i="16" s="1"/>
  <c r="FR16" i="15"/>
  <c r="K58" i="16"/>
  <c r="K20" i="16" s="1"/>
  <c r="L16" i="15"/>
  <c r="I23" i="15"/>
  <c r="I29" i="15" s="1"/>
  <c r="N106" i="19"/>
  <c r="N109" i="19" s="1"/>
  <c r="N22" i="19" s="1"/>
  <c r="M22" i="19"/>
  <c r="M19" i="19" s="1"/>
  <c r="AU249" i="26"/>
  <c r="AU246" i="26"/>
  <c r="AU211" i="26"/>
  <c r="AU9" i="26" s="1"/>
  <c r="AU68" i="26" s="1"/>
  <c r="AU67" i="26" s="1"/>
  <c r="AU29" i="26" s="1"/>
  <c r="AU11" i="26" s="1"/>
  <c r="AU248" i="26"/>
  <c r="K211" i="26"/>
  <c r="K249" i="26"/>
  <c r="K248" i="26"/>
  <c r="K246" i="26"/>
  <c r="V211" i="26"/>
  <c r="V9" i="26" s="1"/>
  <c r="V68" i="26" s="1"/>
  <c r="V67" i="26" s="1"/>
  <c r="V29" i="26" s="1"/>
  <c r="V249" i="26"/>
  <c r="V248" i="26"/>
  <c r="V246" i="26"/>
  <c r="L249" i="26"/>
  <c r="L248" i="26"/>
  <c r="L211" i="26"/>
  <c r="L9" i="26" s="1"/>
  <c r="L68" i="26" s="1"/>
  <c r="L67" i="26" s="1"/>
  <c r="L29" i="26" s="1"/>
  <c r="L11" i="26" s="1"/>
  <c r="L246" i="26"/>
  <c r="N211" i="26"/>
  <c r="N9" i="26" s="1"/>
  <c r="N68" i="26" s="1"/>
  <c r="N67" i="26" s="1"/>
  <c r="N29" i="26" s="1"/>
  <c r="N249" i="26"/>
  <c r="N248" i="26"/>
  <c r="N246" i="26"/>
  <c r="AG211" i="26"/>
  <c r="AG9" i="26" s="1"/>
  <c r="AG68" i="26" s="1"/>
  <c r="AG67" i="26" s="1"/>
  <c r="AG29" i="26" s="1"/>
  <c r="AG249" i="26"/>
  <c r="AG248" i="26"/>
  <c r="AG246" i="26"/>
  <c r="W249" i="26"/>
  <c r="W248" i="26"/>
  <c r="W246" i="26"/>
  <c r="W211" i="26"/>
  <c r="W9" i="26" s="1"/>
  <c r="W68" i="26" s="1"/>
  <c r="W67" i="26" s="1"/>
  <c r="W29" i="26" s="1"/>
  <c r="W11" i="26" s="1"/>
  <c r="Y211" i="26"/>
  <c r="Y9" i="26" s="1"/>
  <c r="Y68" i="26" s="1"/>
  <c r="Y67" i="26" s="1"/>
  <c r="Y29" i="26" s="1"/>
  <c r="Y249" i="26"/>
  <c r="Y248" i="26"/>
  <c r="Y246" i="26"/>
  <c r="M23" i="11"/>
  <c r="M22" i="11" s="1"/>
  <c r="AQ211" i="26"/>
  <c r="AQ9" i="26" s="1"/>
  <c r="AQ68" i="26" s="1"/>
  <c r="AQ67" i="26" s="1"/>
  <c r="AQ29" i="26" s="1"/>
  <c r="AQ249" i="26"/>
  <c r="AQ248" i="26"/>
  <c r="AQ246" i="26"/>
  <c r="AH211" i="26"/>
  <c r="AH9" i="26" s="1"/>
  <c r="AH68" i="26" s="1"/>
  <c r="AH67" i="26" s="1"/>
  <c r="AH29" i="26" s="1"/>
  <c r="AH249" i="26"/>
  <c r="AH248" i="26"/>
  <c r="AH246" i="26"/>
  <c r="AI211" i="26"/>
  <c r="AI9" i="26" s="1"/>
  <c r="AI68" i="26" s="1"/>
  <c r="AI67" i="26" s="1"/>
  <c r="AI29" i="26" s="1"/>
  <c r="AI249" i="26"/>
  <c r="AI248" i="26"/>
  <c r="AI246" i="26"/>
  <c r="Q211" i="26"/>
  <c r="Q9" i="26" s="1"/>
  <c r="Q68" i="26" s="1"/>
  <c r="Q67" i="26" s="1"/>
  <c r="Q29" i="26" s="1"/>
  <c r="Q246" i="26"/>
  <c r="Q249" i="26"/>
  <c r="Q248" i="26"/>
  <c r="AR249" i="26"/>
  <c r="AR211" i="26"/>
  <c r="AR9" i="26" s="1"/>
  <c r="AR68" i="26" s="1"/>
  <c r="AR67" i="26" s="1"/>
  <c r="AR29" i="26" s="1"/>
  <c r="AR11" i="26" s="1"/>
  <c r="AR248" i="26"/>
  <c r="AR246" i="26"/>
  <c r="AT211" i="26"/>
  <c r="AT9" i="26" s="1"/>
  <c r="AT68" i="26" s="1"/>
  <c r="AT67" i="26" s="1"/>
  <c r="AT29" i="26" s="1"/>
  <c r="AT249" i="26"/>
  <c r="AT248" i="26"/>
  <c r="AT246" i="26"/>
  <c r="O246" i="26"/>
  <c r="O249" i="26"/>
  <c r="O211" i="26"/>
  <c r="O9" i="26" s="1"/>
  <c r="O68" i="26" s="1"/>
  <c r="O67" i="26" s="1"/>
  <c r="O29" i="26" s="1"/>
  <c r="O11" i="26" s="1"/>
  <c r="O248" i="26"/>
  <c r="AA211" i="26"/>
  <c r="AA9" i="26" s="1"/>
  <c r="AA68" i="26" s="1"/>
  <c r="AA67" i="26" s="1"/>
  <c r="AA29" i="26" s="1"/>
  <c r="AA246" i="26"/>
  <c r="AA249" i="26"/>
  <c r="AA248" i="26"/>
  <c r="Z211" i="26"/>
  <c r="Z9" i="26" s="1"/>
  <c r="Z68" i="26" s="1"/>
  <c r="Z67" i="26" s="1"/>
  <c r="Z29" i="26" s="1"/>
  <c r="Z246" i="26"/>
  <c r="Z249" i="26"/>
  <c r="Z248" i="26"/>
  <c r="AL211" i="26"/>
  <c r="AL9" i="26" s="1"/>
  <c r="AL68" i="26" s="1"/>
  <c r="AL67" i="26" s="1"/>
  <c r="AL29" i="26" s="1"/>
  <c r="AL246" i="26"/>
  <c r="AL249" i="26"/>
  <c r="AL248" i="26"/>
  <c r="AJ211" i="26"/>
  <c r="AJ9" i="26" s="1"/>
  <c r="AJ68" i="26" s="1"/>
  <c r="AJ67" i="26" s="1"/>
  <c r="AJ29" i="26" s="1"/>
  <c r="AJ11" i="26" s="1"/>
  <c r="AJ246" i="26"/>
  <c r="AJ249" i="26"/>
  <c r="AJ248" i="26"/>
  <c r="T8" i="15"/>
  <c r="U8" i="15"/>
  <c r="V8" i="15"/>
  <c r="W8" i="15"/>
  <c r="AH19" i="18"/>
  <c r="AH15" i="18" s="1"/>
  <c r="AH6" i="18" s="1"/>
  <c r="AE19" i="18"/>
  <c r="EU22" i="16"/>
  <c r="AU20" i="21"/>
  <c r="AL279" i="20" s="1"/>
  <c r="L333" i="20" s="1"/>
  <c r="BV22" i="16"/>
  <c r="EL22" i="16"/>
  <c r="BG22" i="16"/>
  <c r="X20" i="21"/>
  <c r="O279" i="20" s="1"/>
  <c r="EC22" i="16"/>
  <c r="AR22" i="16"/>
  <c r="DT22" i="16"/>
  <c r="AD22" i="16"/>
  <c r="DK22" i="16"/>
  <c r="AL20" i="21"/>
  <c r="AC279" i="20" s="1"/>
  <c r="P308" i="20" s="1"/>
  <c r="P22" i="16"/>
  <c r="P17" i="23"/>
  <c r="DJ22" i="16"/>
  <c r="FM22" i="16"/>
  <c r="CX22" i="16"/>
  <c r="FD22" i="16"/>
  <c r="CJ22" i="16"/>
  <c r="CK22" i="16"/>
  <c r="Y22" i="16"/>
  <c r="BC22" i="16"/>
  <c r="W20" i="21"/>
  <c r="N279" i="20" s="1"/>
  <c r="CO22" i="16"/>
  <c r="AC22" i="16"/>
  <c r="M30" i="11"/>
  <c r="M29" i="11" s="1"/>
  <c r="H211" i="26"/>
  <c r="H246" i="26"/>
  <c r="H248" i="26"/>
  <c r="H249" i="26"/>
  <c r="G160" i="20"/>
  <c r="N21" i="20"/>
  <c r="U14" i="24"/>
  <c r="U15" i="24" s="1"/>
  <c r="T3" i="26"/>
  <c r="AE4" i="13"/>
  <c r="Z8" i="27"/>
  <c r="T4" i="28"/>
  <c r="AM21" i="20"/>
  <c r="H166" i="20"/>
  <c r="AY8" i="27"/>
  <c r="AS4" i="28"/>
  <c r="AT14" i="24"/>
  <c r="AT15" i="24" s="1"/>
  <c r="AS3" i="26"/>
  <c r="BD4" i="13"/>
  <c r="P21" i="20"/>
  <c r="I160" i="20"/>
  <c r="AB8" i="27"/>
  <c r="V4" i="28"/>
  <c r="W14" i="24"/>
  <c r="W15" i="24" s="1"/>
  <c r="V3" i="26"/>
  <c r="AG4" i="13"/>
  <c r="AO21" i="20"/>
  <c r="J166" i="20"/>
  <c r="BA8" i="27"/>
  <c r="AU4" i="28"/>
  <c r="AV14" i="24"/>
  <c r="AV15" i="24" s="1"/>
  <c r="AU3" i="26"/>
  <c r="BF4" i="13"/>
  <c r="AC26" i="25"/>
  <c r="AC50" i="25"/>
  <c r="AS20" i="21"/>
  <c r="AJ279" i="20" s="1"/>
  <c r="J333" i="20" s="1"/>
  <c r="EM22" i="16"/>
  <c r="BH22" i="16"/>
  <c r="ED22" i="16"/>
  <c r="AT22" i="16"/>
  <c r="DU22" i="16"/>
  <c r="AF22" i="16"/>
  <c r="DL22" i="16"/>
  <c r="R22" i="16"/>
  <c r="R17" i="23"/>
  <c r="DB22" i="16"/>
  <c r="FN22" i="16"/>
  <c r="CZ22" i="16"/>
  <c r="FE22" i="16"/>
  <c r="CL22" i="16"/>
  <c r="EV22" i="16"/>
  <c r="BW22" i="16"/>
  <c r="AB20" i="21"/>
  <c r="S279" i="20" s="1"/>
  <c r="F308" i="20" s="1"/>
  <c r="CC22" i="16"/>
  <c r="Q22" i="16"/>
  <c r="Q17" i="23"/>
  <c r="U20" i="21"/>
  <c r="L279" i="20" s="1"/>
  <c r="AU22" i="16"/>
  <c r="CG22" i="16"/>
  <c r="U22" i="16"/>
  <c r="P211" i="26"/>
  <c r="P246" i="26"/>
  <c r="P248" i="26"/>
  <c r="P249" i="26"/>
  <c r="G162" i="20"/>
  <c r="V21" i="20"/>
  <c r="AC14" i="24"/>
  <c r="AC15" i="24" s="1"/>
  <c r="AB3" i="26"/>
  <c r="AM4" i="13"/>
  <c r="AH8" i="27"/>
  <c r="AB4" i="28"/>
  <c r="AD68" i="26"/>
  <c r="AD67" i="26" s="1"/>
  <c r="AD29" i="26" s="1"/>
  <c r="X21" i="20"/>
  <c r="I162" i="20"/>
  <c r="AJ8" i="27"/>
  <c r="AD4" i="28"/>
  <c r="AE14" i="24"/>
  <c r="AE15" i="24" s="1"/>
  <c r="AD3" i="26"/>
  <c r="AO4" i="13"/>
  <c r="P11" i="14"/>
  <c r="O8" i="20"/>
  <c r="I34" i="20"/>
  <c r="S4" i="13"/>
  <c r="N8" i="27"/>
  <c r="H4" i="28"/>
  <c r="I14" i="24"/>
  <c r="I15" i="24" s="1"/>
  <c r="I20" i="24" s="1"/>
  <c r="I21" i="24" s="1"/>
  <c r="H3" i="26"/>
  <c r="Q11" i="14"/>
  <c r="E18" i="20"/>
  <c r="P8" i="20"/>
  <c r="J34" i="20"/>
  <c r="D158" i="20"/>
  <c r="T4" i="13"/>
  <c r="O8" i="27"/>
  <c r="I4" i="28"/>
  <c r="J14" i="24"/>
  <c r="J15" i="24" s="1"/>
  <c r="J20" i="24" s="1"/>
  <c r="I3" i="26"/>
  <c r="E158" i="20"/>
  <c r="R11" i="14"/>
  <c r="D21" i="20"/>
  <c r="U4" i="13"/>
  <c r="P8" i="27"/>
  <c r="J4" i="28"/>
  <c r="K14" i="24"/>
  <c r="K15" i="24" s="1"/>
  <c r="J3" i="26"/>
  <c r="R68" i="26"/>
  <c r="R67" i="26" s="1"/>
  <c r="R29" i="26" s="1"/>
  <c r="AA19" i="18"/>
  <c r="X19" i="18"/>
  <c r="X15" i="18" s="1"/>
  <c r="X6" i="18" s="1"/>
  <c r="AQ20" i="21"/>
  <c r="AH279" i="20" s="1"/>
  <c r="H333" i="20" s="1"/>
  <c r="EE22" i="16"/>
  <c r="AV22" i="16"/>
  <c r="DV22" i="16"/>
  <c r="AH22" i="16"/>
  <c r="DM22" i="16"/>
  <c r="S22" i="16"/>
  <c r="N20" i="21"/>
  <c r="E279" i="20" s="1"/>
  <c r="DC22" i="16"/>
  <c r="AJ20" i="21"/>
  <c r="AA279" i="20" s="1"/>
  <c r="N308" i="20" s="1"/>
  <c r="AX20" i="21"/>
  <c r="AO279" i="20" s="1"/>
  <c r="O333" i="20" s="1"/>
  <c r="FG22" i="16"/>
  <c r="CN22" i="16"/>
  <c r="FF22" i="16"/>
  <c r="CM22" i="16"/>
  <c r="AF20" i="21"/>
  <c r="W279" i="20" s="1"/>
  <c r="J308" i="20" s="1"/>
  <c r="EW22" i="16"/>
  <c r="BX22" i="16"/>
  <c r="EN22" i="16"/>
  <c r="BJ22" i="16"/>
  <c r="BU22" i="16"/>
  <c r="AI20" i="21"/>
  <c r="Z279" i="20" s="1"/>
  <c r="M308" i="20" s="1"/>
  <c r="CY22" i="16"/>
  <c r="S20" i="21"/>
  <c r="J279" i="20" s="1"/>
  <c r="AM22" i="16"/>
  <c r="BY22" i="16"/>
  <c r="X211" i="26"/>
  <c r="X246" i="26"/>
  <c r="X248" i="26"/>
  <c r="X249" i="26"/>
  <c r="G164" i="20"/>
  <c r="AD21" i="20"/>
  <c r="AK14" i="24"/>
  <c r="AK15" i="24" s="1"/>
  <c r="AJ3" i="26"/>
  <c r="AU4" i="13"/>
  <c r="AP8" i="27"/>
  <c r="AJ4" i="28"/>
  <c r="AF21" i="20"/>
  <c r="I164" i="20"/>
  <c r="AR8" i="27"/>
  <c r="AL4" i="28"/>
  <c r="AM14" i="24"/>
  <c r="AM15" i="24" s="1"/>
  <c r="AL3" i="26"/>
  <c r="AW4" i="13"/>
  <c r="J21" i="20"/>
  <c r="K158" i="20"/>
  <c r="AA4" i="13"/>
  <c r="V8" i="27"/>
  <c r="P4" i="28"/>
  <c r="Q14" i="24"/>
  <c r="Q15" i="24" s="1"/>
  <c r="P3" i="26"/>
  <c r="K21" i="20"/>
  <c r="D160" i="20"/>
  <c r="AB4" i="13"/>
  <c r="W8" i="27"/>
  <c r="Q4" i="28"/>
  <c r="R14" i="24"/>
  <c r="R15" i="24" s="1"/>
  <c r="Q3" i="26"/>
  <c r="E160" i="20"/>
  <c r="L21" i="20"/>
  <c r="AC4" i="13"/>
  <c r="X8" i="27"/>
  <c r="R4" i="28"/>
  <c r="S14" i="24"/>
  <c r="S15" i="24" s="1"/>
  <c r="R3" i="26"/>
  <c r="T11" i="26"/>
  <c r="G61" i="23"/>
  <c r="AF19" i="18"/>
  <c r="AF15" i="18" s="1"/>
  <c r="AF6" i="18" s="1"/>
  <c r="DW22" i="16"/>
  <c r="AO20" i="21"/>
  <c r="AF279" i="20" s="1"/>
  <c r="F333" i="20" s="1"/>
  <c r="R20" i="21"/>
  <c r="I279" i="20" s="1"/>
  <c r="AI22" i="16"/>
  <c r="DN22" i="16"/>
  <c r="T22" i="16"/>
  <c r="DD22" i="16"/>
  <c r="FH22" i="16"/>
  <c r="CP22" i="16"/>
  <c r="EY22" i="16"/>
  <c r="AV20" i="21"/>
  <c r="AM279" i="20" s="1"/>
  <c r="M333" i="20" s="1"/>
  <c r="CB22" i="16"/>
  <c r="EX22" i="16"/>
  <c r="BZ22" i="16"/>
  <c r="EO22" i="16"/>
  <c r="BL22" i="16"/>
  <c r="EF22" i="16"/>
  <c r="AX22" i="16"/>
  <c r="BM22" i="16"/>
  <c r="CQ22" i="16"/>
  <c r="AG20" i="21"/>
  <c r="X279" i="20" s="1"/>
  <c r="K308" i="20" s="1"/>
  <c r="AE22" i="16"/>
  <c r="Q20" i="21"/>
  <c r="H279" i="20" s="1"/>
  <c r="BQ22" i="16"/>
  <c r="AF211" i="26"/>
  <c r="AF246" i="26"/>
  <c r="AF248" i="26"/>
  <c r="AF249" i="26"/>
  <c r="G166" i="20"/>
  <c r="AL21" i="20"/>
  <c r="AS14" i="24"/>
  <c r="AS15" i="24" s="1"/>
  <c r="AR3" i="26"/>
  <c r="BC4" i="13"/>
  <c r="AX8" i="27"/>
  <c r="AR4" i="28"/>
  <c r="AN21" i="20"/>
  <c r="I166" i="20"/>
  <c r="AZ8" i="27"/>
  <c r="AT4" i="28"/>
  <c r="AU14" i="24"/>
  <c r="AU15" i="24" s="1"/>
  <c r="AT3" i="26"/>
  <c r="BE4" i="13"/>
  <c r="R21" i="20"/>
  <c r="K160" i="20"/>
  <c r="AI4" i="13"/>
  <c r="AD8" i="27"/>
  <c r="X4" i="28"/>
  <c r="Y14" i="24"/>
  <c r="Y15" i="24" s="1"/>
  <c r="X3" i="26"/>
  <c r="S21" i="20"/>
  <c r="D162" i="20"/>
  <c r="AJ4" i="13"/>
  <c r="AE8" i="27"/>
  <c r="Y4" i="28"/>
  <c r="Z14" i="24"/>
  <c r="Z15" i="24" s="1"/>
  <c r="Y3" i="26"/>
  <c r="E162" i="20"/>
  <c r="T21" i="20"/>
  <c r="AK4" i="13"/>
  <c r="AF8" i="27"/>
  <c r="Z4" i="28"/>
  <c r="AA14" i="24"/>
  <c r="AA15" i="24" s="1"/>
  <c r="Z3" i="26"/>
  <c r="F158" i="20"/>
  <c r="S11" i="14"/>
  <c r="E21" i="20"/>
  <c r="V4" i="13"/>
  <c r="V11" i="13"/>
  <c r="Q8" i="27"/>
  <c r="K4" i="28"/>
  <c r="L14" i="24"/>
  <c r="L15" i="24" s="1"/>
  <c r="K3" i="26"/>
  <c r="AB19" i="18"/>
  <c r="U211" i="26"/>
  <c r="U246" i="26"/>
  <c r="U248" i="26"/>
  <c r="U249" i="26"/>
  <c r="DO22" i="16"/>
  <c r="AM20" i="21"/>
  <c r="AD279" i="20" s="1"/>
  <c r="D333" i="20" s="1"/>
  <c r="V22" i="16"/>
  <c r="DF22" i="16"/>
  <c r="FI22" i="16"/>
  <c r="CR22" i="16"/>
  <c r="EZ22" i="16"/>
  <c r="CD22" i="16"/>
  <c r="EQ22" i="16"/>
  <c r="AT20" i="21"/>
  <c r="AK279" i="20" s="1"/>
  <c r="K333" i="20" s="1"/>
  <c r="Z20" i="21"/>
  <c r="Q279" i="20" s="1"/>
  <c r="D308" i="20" s="1"/>
  <c r="BO22" i="16"/>
  <c r="EP22" i="16"/>
  <c r="BN22" i="16"/>
  <c r="EG22" i="16"/>
  <c r="AY22" i="16"/>
  <c r="V20" i="21"/>
  <c r="M279" i="20" s="1"/>
  <c r="DX22" i="16"/>
  <c r="AJ22" i="16"/>
  <c r="BE22" i="16"/>
  <c r="CI22" i="16"/>
  <c r="AE20" i="21"/>
  <c r="V279" i="20" s="1"/>
  <c r="I308" i="20" s="1"/>
  <c r="W22" i="16"/>
  <c r="O20" i="21"/>
  <c r="F279" i="20" s="1"/>
  <c r="BI22" i="16"/>
  <c r="AN211" i="26"/>
  <c r="AN246" i="26"/>
  <c r="AN248" i="26"/>
  <c r="AN249" i="26"/>
  <c r="G21" i="20"/>
  <c r="H158" i="20"/>
  <c r="S8" i="27"/>
  <c r="M4" i="28"/>
  <c r="N14" i="24"/>
  <c r="N15" i="24" s="1"/>
  <c r="M3" i="26"/>
  <c r="X4" i="13"/>
  <c r="X11" i="13"/>
  <c r="Q63" i="27"/>
  <c r="Q62" i="27" s="1"/>
  <c r="Q11" i="27"/>
  <c r="R7" i="27"/>
  <c r="I21" i="20"/>
  <c r="J158" i="20"/>
  <c r="Z4" i="13"/>
  <c r="U8" i="27"/>
  <c r="O4" i="28"/>
  <c r="P14" i="24"/>
  <c r="P15" i="24" s="1"/>
  <c r="O3" i="26"/>
  <c r="Z21" i="20"/>
  <c r="K162" i="20"/>
  <c r="AQ4" i="13"/>
  <c r="AL8" i="27"/>
  <c r="AF4" i="28"/>
  <c r="AG14" i="24"/>
  <c r="AG15" i="24" s="1"/>
  <c r="AF3" i="26"/>
  <c r="AM11" i="26"/>
  <c r="AA21" i="20"/>
  <c r="D164" i="20"/>
  <c r="AR4" i="13"/>
  <c r="AM8" i="27"/>
  <c r="AG4" i="28"/>
  <c r="AH14" i="24"/>
  <c r="AH15" i="24" s="1"/>
  <c r="AG3" i="26"/>
  <c r="E164" i="20"/>
  <c r="AB21" i="20"/>
  <c r="AS4" i="13"/>
  <c r="AN8" i="27"/>
  <c r="AH4" i="28"/>
  <c r="AI14" i="24"/>
  <c r="AI15" i="24" s="1"/>
  <c r="AH3" i="26"/>
  <c r="F160" i="20"/>
  <c r="M21" i="20"/>
  <c r="Y8" i="27"/>
  <c r="S4" i="28"/>
  <c r="T14" i="24"/>
  <c r="T15" i="24" s="1"/>
  <c r="S3" i="26"/>
  <c r="Y19" i="18"/>
  <c r="Y15" i="18" s="1"/>
  <c r="Y6" i="18" s="1"/>
  <c r="AC211" i="26"/>
  <c r="AC246" i="26"/>
  <c r="AC248" i="26"/>
  <c r="AC249" i="26"/>
  <c r="AK20" i="21"/>
  <c r="AB279" i="20" s="1"/>
  <c r="O308" i="20" s="1"/>
  <c r="DG22" i="16"/>
  <c r="FJ22" i="16"/>
  <c r="CT22" i="16"/>
  <c r="FA22" i="16"/>
  <c r="CE22" i="16"/>
  <c r="AD20" i="21"/>
  <c r="U279" i="20" s="1"/>
  <c r="H308" i="20" s="1"/>
  <c r="ER22" i="16"/>
  <c r="BP22" i="16"/>
  <c r="EI22" i="16"/>
  <c r="AR20" i="21"/>
  <c r="AI279" i="20" s="1"/>
  <c r="I333" i="20" s="1"/>
  <c r="BB22" i="16"/>
  <c r="EH22" i="16"/>
  <c r="AZ22" i="16"/>
  <c r="DY22" i="16"/>
  <c r="AL22" i="16"/>
  <c r="DP22" i="16"/>
  <c r="X22" i="16"/>
  <c r="AW22" i="16"/>
  <c r="AC20" i="21"/>
  <c r="T279" i="20" s="1"/>
  <c r="G308" i="20" s="1"/>
  <c r="CA22" i="16"/>
  <c r="F21" i="18"/>
  <c r="M20" i="21"/>
  <c r="O22" i="16"/>
  <c r="BA22" i="16"/>
  <c r="O21" i="20"/>
  <c r="H160" i="20"/>
  <c r="AA8" i="27"/>
  <c r="U4" i="28"/>
  <c r="V14" i="24"/>
  <c r="V15" i="24" s="1"/>
  <c r="U3" i="26"/>
  <c r="AF4" i="13"/>
  <c r="AP68" i="26"/>
  <c r="AP67" i="26" s="1"/>
  <c r="AP29" i="26" s="1"/>
  <c r="Q21" i="20"/>
  <c r="J160" i="20"/>
  <c r="AC8" i="27"/>
  <c r="W4" i="28"/>
  <c r="X14" i="24"/>
  <c r="X15" i="24" s="1"/>
  <c r="W3" i="26"/>
  <c r="AH4" i="13"/>
  <c r="AH21" i="20"/>
  <c r="K164" i="20"/>
  <c r="AY4" i="13"/>
  <c r="AT8" i="27"/>
  <c r="AN4" i="28"/>
  <c r="AO14" i="24"/>
  <c r="AO15" i="24" s="1"/>
  <c r="AN3" i="26"/>
  <c r="AI21" i="20"/>
  <c r="D166" i="20"/>
  <c r="AZ4" i="13"/>
  <c r="AU8" i="27"/>
  <c r="AO4" i="28"/>
  <c r="AP14" i="24"/>
  <c r="AP15" i="24" s="1"/>
  <c r="AO3" i="26"/>
  <c r="E166" i="20"/>
  <c r="AJ21" i="20"/>
  <c r="BA4" i="13"/>
  <c r="AV8" i="27"/>
  <c r="AP4" i="28"/>
  <c r="AQ14" i="24"/>
  <c r="AQ15" i="24" s="1"/>
  <c r="AP3" i="26"/>
  <c r="F162" i="20"/>
  <c r="U21" i="20"/>
  <c r="AL4" i="13"/>
  <c r="AG8" i="27"/>
  <c r="AA4" i="28"/>
  <c r="AB14" i="24"/>
  <c r="AB15" i="24" s="1"/>
  <c r="AA3" i="26"/>
  <c r="AG19" i="18"/>
  <c r="AG15" i="18" s="1"/>
  <c r="AG6" i="18" s="1"/>
  <c r="AC19" i="18"/>
  <c r="AK211" i="26"/>
  <c r="AK246" i="26"/>
  <c r="AK248" i="26"/>
  <c r="AK249" i="26"/>
  <c r="AD19" i="18"/>
  <c r="AY20" i="21"/>
  <c r="AP279" i="20" s="1"/>
  <c r="P333" i="20" s="1"/>
  <c r="FK22" i="16"/>
  <c r="AH20" i="21"/>
  <c r="Y279" i="20" s="1"/>
  <c r="L308" i="20" s="1"/>
  <c r="CU22" i="16"/>
  <c r="FB22" i="16"/>
  <c r="CF22" i="16"/>
  <c r="ES22" i="16"/>
  <c r="BR22" i="16"/>
  <c r="EJ22" i="16"/>
  <c r="BD22" i="16"/>
  <c r="AP20" i="21"/>
  <c r="AG279" i="20" s="1"/>
  <c r="G333" i="20" s="1"/>
  <c r="EA22" i="16"/>
  <c r="AP22" i="16"/>
  <c r="DZ22" i="16"/>
  <c r="AN22" i="16"/>
  <c r="DQ22" i="16"/>
  <c r="Z22" i="16"/>
  <c r="DH22" i="16"/>
  <c r="DA22" i="16"/>
  <c r="AO22" i="16"/>
  <c r="AA20" i="21"/>
  <c r="R279" i="20" s="1"/>
  <c r="E308" i="20" s="1"/>
  <c r="BS22" i="16"/>
  <c r="DE22" i="16"/>
  <c r="AS22" i="16"/>
  <c r="W21" i="20"/>
  <c r="H162" i="20"/>
  <c r="AI8" i="27"/>
  <c r="AC4" i="28"/>
  <c r="AD14" i="24"/>
  <c r="AD15" i="24" s="1"/>
  <c r="AC3" i="26"/>
  <c r="AN4" i="13"/>
  <c r="P10" i="27"/>
  <c r="P4" i="27" s="1"/>
  <c r="P5" i="27"/>
  <c r="Y21" i="20"/>
  <c r="J162" i="20"/>
  <c r="AK8" i="27"/>
  <c r="AE4" i="28"/>
  <c r="AF14" i="24"/>
  <c r="AF15" i="24" s="1"/>
  <c r="AE3" i="26"/>
  <c r="AP4" i="13"/>
  <c r="F164" i="20"/>
  <c r="AC21" i="20"/>
  <c r="AT4" i="13"/>
  <c r="AO8" i="27"/>
  <c r="AI4" i="28"/>
  <c r="AJ14" i="24"/>
  <c r="AJ15" i="24" s="1"/>
  <c r="AI3" i="26"/>
  <c r="Z19" i="18"/>
  <c r="Z15" i="18" s="1"/>
  <c r="Z6" i="18" s="1"/>
  <c r="AS211" i="26"/>
  <c r="AS246" i="26"/>
  <c r="AS248" i="26"/>
  <c r="AS249" i="26"/>
  <c r="W19" i="18"/>
  <c r="FC22" i="16"/>
  <c r="AW20" i="21"/>
  <c r="AN279" i="20" s="1"/>
  <c r="N333" i="20" s="1"/>
  <c r="CH22" i="16"/>
  <c r="ET22" i="16"/>
  <c r="BT22" i="16"/>
  <c r="EK22" i="16"/>
  <c r="BF22" i="16"/>
  <c r="EB22" i="16"/>
  <c r="AQ22" i="16"/>
  <c r="T20" i="21"/>
  <c r="K279" i="20" s="1"/>
  <c r="DS22" i="16"/>
  <c r="AN20" i="21"/>
  <c r="AE279" i="20" s="1"/>
  <c r="E333" i="20" s="1"/>
  <c r="AB22" i="16"/>
  <c r="DR22" i="16"/>
  <c r="AA22" i="16"/>
  <c r="P20" i="21"/>
  <c r="G279" i="20" s="1"/>
  <c r="DI22" i="16"/>
  <c r="FL22" i="16"/>
  <c r="CV22" i="16"/>
  <c r="CS22" i="16"/>
  <c r="AG22" i="16"/>
  <c r="BK22" i="16"/>
  <c r="Y20" i="21"/>
  <c r="P279" i="20" s="1"/>
  <c r="CW22" i="16"/>
  <c r="AK22" i="16"/>
  <c r="G158" i="20"/>
  <c r="T11" i="14"/>
  <c r="F21" i="20"/>
  <c r="M14" i="24"/>
  <c r="M15" i="24" s="1"/>
  <c r="L3" i="26"/>
  <c r="W4" i="13"/>
  <c r="W11" i="13"/>
  <c r="R8" i="27"/>
  <c r="L4" i="28"/>
  <c r="S68" i="26"/>
  <c r="S67" i="26" s="1"/>
  <c r="S29" i="26" s="1"/>
  <c r="AE21" i="20"/>
  <c r="H164" i="20"/>
  <c r="AQ8" i="27"/>
  <c r="AK4" i="28"/>
  <c r="AL14" i="24"/>
  <c r="AL15" i="24" s="1"/>
  <c r="AK3" i="26"/>
  <c r="AV4" i="13"/>
  <c r="H21" i="20"/>
  <c r="I158" i="20"/>
  <c r="Y11" i="13"/>
  <c r="T8" i="27"/>
  <c r="N4" i="28"/>
  <c r="O14" i="24"/>
  <c r="O15" i="24" s="1"/>
  <c r="N3" i="26"/>
  <c r="Y4" i="13"/>
  <c r="AG21" i="20"/>
  <c r="J164" i="20"/>
  <c r="AS8" i="27"/>
  <c r="AM4" i="28"/>
  <c r="AN14" i="24"/>
  <c r="AN15" i="24" s="1"/>
  <c r="AM3" i="26"/>
  <c r="AX4" i="13"/>
  <c r="F166" i="20"/>
  <c r="AK21" i="20"/>
  <c r="BB4" i="13"/>
  <c r="AW8" i="27"/>
  <c r="AQ4" i="28"/>
  <c r="AR14" i="24"/>
  <c r="AR15" i="24" s="1"/>
  <c r="AQ3" i="26"/>
  <c r="Q8" i="20" a="1"/>
  <c r="P51" i="5" l="1"/>
  <c r="Q69" i="4"/>
  <c r="M444" i="20" s="1"/>
  <c r="G450" i="20" s="1"/>
  <c r="R69" i="4"/>
  <c r="N444" i="20" s="1"/>
  <c r="H450" i="20" s="1"/>
  <c r="S69" i="4"/>
  <c r="O444" i="20" s="1"/>
  <c r="I450" i="20" s="1"/>
  <c r="P69" i="4"/>
  <c r="L444" i="20" s="1"/>
  <c r="F450" i="20" s="1"/>
  <c r="N69" i="4"/>
  <c r="J444" i="20" s="1"/>
  <c r="D450" i="20" s="1"/>
  <c r="O69" i="4"/>
  <c r="K444" i="20" s="1"/>
  <c r="E450" i="20" s="1"/>
  <c r="M69" i="4"/>
  <c r="I444" i="20" s="1"/>
  <c r="I448" i="20" s="1"/>
  <c r="L69" i="4"/>
  <c r="H444" i="20" s="1"/>
  <c r="H448" i="20" s="1"/>
  <c r="AE69" i="4"/>
  <c r="AA444" i="20" s="1"/>
  <c r="I454" i="20" s="1"/>
  <c r="AG69" i="4"/>
  <c r="AC444" i="20" s="1"/>
  <c r="E456" i="20" s="1"/>
  <c r="V69" i="4"/>
  <c r="R444" i="20" s="1"/>
  <c r="F452" i="20" s="1"/>
  <c r="U69" i="4"/>
  <c r="Q444" i="20" s="1"/>
  <c r="E452" i="20" s="1"/>
  <c r="T69" i="4"/>
  <c r="P444" i="20" s="1"/>
  <c r="D452" i="20" s="1"/>
  <c r="Y69" i="4"/>
  <c r="U444" i="20" s="1"/>
  <c r="I452" i="20" s="1"/>
  <c r="AH69" i="4"/>
  <c r="AD444" i="20" s="1"/>
  <c r="F456" i="20" s="1"/>
  <c r="W69" i="4"/>
  <c r="S444" i="20" s="1"/>
  <c r="G452" i="20" s="1"/>
  <c r="AF69" i="4"/>
  <c r="AB444" i="20" s="1"/>
  <c r="D456" i="20" s="1"/>
  <c r="X69" i="4"/>
  <c r="T444" i="20" s="1"/>
  <c r="H452" i="20" s="1"/>
  <c r="AB69" i="4"/>
  <c r="X444" i="20" s="1"/>
  <c r="F454" i="20" s="1"/>
  <c r="AC69" i="4"/>
  <c r="Y444" i="20" s="1"/>
  <c r="G454" i="20" s="1"/>
  <c r="AD69" i="4"/>
  <c r="Z444" i="20" s="1"/>
  <c r="H454" i="20" s="1"/>
  <c r="Z69" i="4"/>
  <c r="V444" i="20" s="1"/>
  <c r="D454" i="20" s="1"/>
  <c r="AI69" i="4"/>
  <c r="AE444" i="20" s="1"/>
  <c r="G456" i="20" s="1"/>
  <c r="AA69" i="4"/>
  <c r="W444" i="20" s="1"/>
  <c r="E454" i="20" s="1"/>
  <c r="H69" i="4"/>
  <c r="D444" i="20" s="1"/>
  <c r="I69" i="4"/>
  <c r="E444" i="20" s="1"/>
  <c r="E448" i="20" s="1"/>
  <c r="K69" i="4"/>
  <c r="G444" i="20" s="1"/>
  <c r="G448" i="20" s="1"/>
  <c r="D93" i="4"/>
  <c r="G60" i="36"/>
  <c r="Y66" i="4"/>
  <c r="AF66" i="4"/>
  <c r="P66" i="4"/>
  <c r="J66" i="4"/>
  <c r="W66" i="4"/>
  <c r="M60" i="36"/>
  <c r="AA66" i="4"/>
  <c r="AD66" i="4"/>
  <c r="N66" i="4"/>
  <c r="M66" i="4"/>
  <c r="AC66" i="4"/>
  <c r="L66" i="4"/>
  <c r="AE66" i="4"/>
  <c r="AH66" i="4"/>
  <c r="Z66" i="4"/>
  <c r="AJ66" i="4"/>
  <c r="T66" i="4"/>
  <c r="Q66" i="4"/>
  <c r="H66" i="4"/>
  <c r="I66" i="4"/>
  <c r="R66" i="4"/>
  <c r="AG66" i="4"/>
  <c r="AI66" i="4"/>
  <c r="X66" i="4"/>
  <c r="K66" i="4"/>
  <c r="O66" i="4"/>
  <c r="S66" i="4"/>
  <c r="U66" i="4"/>
  <c r="V66" i="4"/>
  <c r="GB50" i="23"/>
  <c r="FU50" i="23"/>
  <c r="GC50" i="23"/>
  <c r="GD50" i="23"/>
  <c r="GA50" i="23"/>
  <c r="FT50" i="23"/>
  <c r="S91" i="14"/>
  <c r="S92" i="14"/>
  <c r="R19" i="14"/>
  <c r="R32" i="14"/>
  <c r="S7" i="14"/>
  <c r="S9" i="14" s="1"/>
  <c r="S14" i="14"/>
  <c r="S15" i="14" s="1"/>
  <c r="S16" i="14" s="1"/>
  <c r="S35" i="14"/>
  <c r="S93" i="14"/>
  <c r="S61" i="14"/>
  <c r="J930" i="20"/>
  <c r="J931" i="20" s="1"/>
  <c r="S4" i="14"/>
  <c r="T33" i="14" s="1"/>
  <c r="S94" i="14"/>
  <c r="S47" i="14" s="1"/>
  <c r="S46" i="14" s="1"/>
  <c r="S45" i="14" s="1"/>
  <c r="S95" i="14"/>
  <c r="S33" i="14"/>
  <c r="I935" i="20"/>
  <c r="I936" i="20" s="1"/>
  <c r="BN206" i="25"/>
  <c r="H206" i="25" s="1"/>
  <c r="H203" i="37"/>
  <c r="IA204" i="37"/>
  <c r="H204" i="37" s="1"/>
  <c r="CH37" i="37"/>
  <c r="CH12" i="37"/>
  <c r="CH267" i="37" s="1"/>
  <c r="E722" i="20" s="1"/>
  <c r="I722" i="20" s="1"/>
  <c r="CI37" i="37"/>
  <c r="CI12" i="37"/>
  <c r="CI267" i="37" s="1"/>
  <c r="E723" i="20" s="1"/>
  <c r="I723" i="20" s="1"/>
  <c r="CJ215" i="37"/>
  <c r="CJ208" i="37"/>
  <c r="CI59" i="37"/>
  <c r="CI52" i="37"/>
  <c r="CJ137" i="37"/>
  <c r="CK28" i="37"/>
  <c r="CJ49" i="37"/>
  <c r="CJ50" i="37" s="1"/>
  <c r="CJ31" i="37"/>
  <c r="CJ32" i="37" s="1"/>
  <c r="AC205" i="37"/>
  <c r="AC206" i="37" s="1"/>
  <c r="AC137" i="37"/>
  <c r="AC49" i="37"/>
  <c r="AC50" i="37" s="1"/>
  <c r="AC210" i="37"/>
  <c r="AC211" i="37" s="1"/>
  <c r="AC142" i="37"/>
  <c r="AC143" i="37" s="1"/>
  <c r="AC145" i="37" s="1"/>
  <c r="AC55" i="37"/>
  <c r="G49" i="2"/>
  <c r="G19" i="2" s="1"/>
  <c r="Q8" i="20"/>
  <c r="I60" i="36"/>
  <c r="K60" i="36"/>
  <c r="H49" i="2"/>
  <c r="H19" i="2" s="1"/>
  <c r="L6" i="6"/>
  <c r="J60" i="36"/>
  <c r="I44" i="2"/>
  <c r="H27" i="2"/>
  <c r="H42" i="2"/>
  <c r="H28" i="2"/>
  <c r="H43" i="2"/>
  <c r="I10" i="2"/>
  <c r="I29" i="2"/>
  <c r="I9" i="2"/>
  <c r="J11" i="2"/>
  <c r="F60" i="36"/>
  <c r="H60" i="36"/>
  <c r="L60" i="36"/>
  <c r="D47" i="36"/>
  <c r="D60" i="4"/>
  <c r="K24" i="36"/>
  <c r="J24" i="36"/>
  <c r="I24" i="36"/>
  <c r="M24" i="36"/>
  <c r="G69" i="4"/>
  <c r="L24" i="36"/>
  <c r="F24" i="36"/>
  <c r="D8" i="36"/>
  <c r="H24" i="36"/>
  <c r="G24" i="36"/>
  <c r="D43" i="4"/>
  <c r="Y74" i="12"/>
  <c r="CA74" i="12"/>
  <c r="AO26" i="12"/>
  <c r="AB11" i="12"/>
  <c r="CW26" i="12"/>
  <c r="EY26" i="12"/>
  <c r="BK86" i="12"/>
  <c r="ED26" i="12"/>
  <c r="FW86" i="12"/>
  <c r="FM86" i="12"/>
  <c r="W86" i="12"/>
  <c r="N26" i="12"/>
  <c r="CU86" i="12"/>
  <c r="AW86" i="12"/>
  <c r="AB74" i="12"/>
  <c r="FL74" i="12"/>
  <c r="CL26" i="12"/>
  <c r="FR86" i="12"/>
  <c r="AB26" i="12"/>
  <c r="J26" i="12"/>
  <c r="BB86" i="12"/>
  <c r="BE11" i="12"/>
  <c r="BS11" i="12"/>
  <c r="BS26" i="12"/>
  <c r="ER86" i="12"/>
  <c r="DW74" i="12"/>
  <c r="FU26" i="12"/>
  <c r="FH11" i="12"/>
  <c r="AC26" i="12"/>
  <c r="Q11" i="12"/>
  <c r="FB74" i="12"/>
  <c r="I26" i="12"/>
  <c r="EQ74" i="12"/>
  <c r="DK11" i="12"/>
  <c r="CV86" i="12"/>
  <c r="EF74" i="12"/>
  <c r="CE26" i="12"/>
  <c r="FD86" i="12"/>
  <c r="FD26" i="12"/>
  <c r="DM86" i="12"/>
  <c r="CK74" i="12"/>
  <c r="AZ26" i="12"/>
  <c r="AV11" i="12"/>
  <c r="CG74" i="12"/>
  <c r="AS11" i="12"/>
  <c r="AP74" i="12"/>
  <c r="FH86" i="12"/>
  <c r="FQ26" i="12"/>
  <c r="BG86" i="12"/>
  <c r="DY11" i="12"/>
  <c r="GE26" i="12"/>
  <c r="CS86" i="12"/>
  <c r="EU11" i="12"/>
  <c r="DY26" i="12"/>
  <c r="DL74" i="12"/>
  <c r="CH86" i="12"/>
  <c r="BX11" i="12"/>
  <c r="CX26" i="12"/>
  <c r="BX86" i="12"/>
  <c r="FF11" i="12"/>
  <c r="BL74" i="12"/>
  <c r="DJ86" i="12"/>
  <c r="K26" i="12"/>
  <c r="DV74" i="12"/>
  <c r="DH86" i="12"/>
  <c r="CX11" i="12"/>
  <c r="BT26" i="12"/>
  <c r="BO74" i="12"/>
  <c r="CG86" i="12"/>
  <c r="BG11" i="12"/>
  <c r="L86" i="12"/>
  <c r="FP26" i="12"/>
  <c r="CL86" i="12"/>
  <c r="EN11" i="12"/>
  <c r="X86" i="12"/>
  <c r="V11" i="12"/>
  <c r="AN26" i="12"/>
  <c r="K74" i="12"/>
  <c r="FV74" i="12"/>
  <c r="CL11" i="12"/>
  <c r="AT74" i="12"/>
  <c r="DY74" i="12"/>
  <c r="BN11" i="12"/>
  <c r="DT26" i="12"/>
  <c r="R86" i="12"/>
  <c r="BT11" i="12"/>
  <c r="EP26" i="12"/>
  <c r="FQ74" i="12"/>
  <c r="EM86" i="12"/>
  <c r="EC11" i="12"/>
  <c r="DG26" i="12"/>
  <c r="CL74" i="12"/>
  <c r="EW74" i="12"/>
  <c r="BA26" i="12"/>
  <c r="EA86" i="12"/>
  <c r="P74" i="12"/>
  <c r="CK11" i="12"/>
  <c r="EU74" i="12"/>
  <c r="AQ26" i="12"/>
  <c r="AQ41" i="12" s="1"/>
  <c r="AC9" i="4" s="1"/>
  <c r="AC87" i="4" s="1"/>
  <c r="DQ86" i="12"/>
  <c r="FV26" i="12"/>
  <c r="O11" i="12"/>
  <c r="AK74" i="12"/>
  <c r="BB11" i="12"/>
  <c r="BH74" i="12"/>
  <c r="CG11" i="12"/>
  <c r="CU74" i="12"/>
  <c r="DD11" i="12"/>
  <c r="DZ74" i="12"/>
  <c r="EQ11" i="12"/>
  <c r="EJ86" i="12"/>
  <c r="BM74" i="12"/>
  <c r="EH11" i="12"/>
  <c r="AA86" i="12"/>
  <c r="CV26" i="12"/>
  <c r="FF86" i="12"/>
  <c r="BC74" i="12"/>
  <c r="DP11" i="12"/>
  <c r="Q86" i="12"/>
  <c r="BF26" i="12"/>
  <c r="BT86" i="12"/>
  <c r="CS26" i="12"/>
  <c r="DG86" i="12"/>
  <c r="DP26" i="12"/>
  <c r="EL86" i="12"/>
  <c r="FC26" i="12"/>
  <c r="FI86" i="12"/>
  <c r="J74" i="12"/>
  <c r="AA11" i="12"/>
  <c r="AJ86" i="12"/>
  <c r="EC26" i="12"/>
  <c r="R11" i="12"/>
  <c r="CJ74" i="12"/>
  <c r="FE11" i="12"/>
  <c r="AP86" i="12"/>
  <c r="DK26" i="12"/>
  <c r="GD86" i="12"/>
  <c r="CH74" i="12"/>
  <c r="CY11" i="12"/>
  <c r="DM74" i="12"/>
  <c r="EL11" i="12"/>
  <c r="ER74" i="12"/>
  <c r="FI11" i="12"/>
  <c r="GE74" i="12"/>
  <c r="W26" i="12"/>
  <c r="AC86" i="12"/>
  <c r="BB26" i="12"/>
  <c r="EZ86" i="12"/>
  <c r="CN86" i="12"/>
  <c r="AB86" i="12"/>
  <c r="EO74" i="12"/>
  <c r="CC74" i="12"/>
  <c r="Q74" i="12"/>
  <c r="DM26" i="12"/>
  <c r="AS26" i="12"/>
  <c r="EX11" i="12"/>
  <c r="CD11" i="12"/>
  <c r="J11" i="12"/>
  <c r="DS86" i="12"/>
  <c r="AY86" i="12"/>
  <c r="EV74" i="12"/>
  <c r="CB74" i="12"/>
  <c r="H74" i="12"/>
  <c r="DL26" i="12"/>
  <c r="AR26" i="12"/>
  <c r="EW11" i="12"/>
  <c r="CC11" i="12"/>
  <c r="FV86" i="12"/>
  <c r="DB86" i="12"/>
  <c r="AH86" i="12"/>
  <c r="EM74" i="12"/>
  <c r="BS74" i="12"/>
  <c r="FW26" i="12"/>
  <c r="DC26" i="12"/>
  <c r="AA26" i="12"/>
  <c r="EF11" i="12"/>
  <c r="BL11" i="12"/>
  <c r="GC86" i="12"/>
  <c r="DI86" i="12"/>
  <c r="AO86" i="12"/>
  <c r="ET74" i="12"/>
  <c r="BR74" i="12"/>
  <c r="FF26" i="12"/>
  <c r="CD26" i="12"/>
  <c r="FS11" i="12"/>
  <c r="CI11" i="12"/>
  <c r="GB86" i="12"/>
  <c r="CR86" i="12"/>
  <c r="H86" i="12"/>
  <c r="DE74" i="12"/>
  <c r="U74" i="12"/>
  <c r="DI26" i="12"/>
  <c r="AG26" i="12"/>
  <c r="DV11" i="12"/>
  <c r="AL11" i="12"/>
  <c r="EE86" i="12"/>
  <c r="AU86" i="12"/>
  <c r="EB74" i="12"/>
  <c r="AZ74" i="12"/>
  <c r="EN26" i="12"/>
  <c r="BD26" i="12"/>
  <c r="FA11" i="12"/>
  <c r="BQ11" i="12"/>
  <c r="FB86" i="12"/>
  <c r="BZ86" i="12"/>
  <c r="FO74" i="12"/>
  <c r="CE74" i="12"/>
  <c r="GA26" i="12"/>
  <c r="CQ26" i="12"/>
  <c r="FX11" i="12"/>
  <c r="CV11" i="12"/>
  <c r="L11" i="12"/>
  <c r="CW86" i="12"/>
  <c r="U86" i="12"/>
  <c r="DJ74" i="12"/>
  <c r="Z74" i="12"/>
  <c r="DV26" i="12"/>
  <c r="AL26" i="12"/>
  <c r="EA11" i="12"/>
  <c r="AY11" i="12"/>
  <c r="CF86" i="12"/>
  <c r="T86" i="12"/>
  <c r="EG74" i="12"/>
  <c r="BU74" i="12"/>
  <c r="FY26" i="12"/>
  <c r="DE26" i="12"/>
  <c r="AK26" i="12"/>
  <c r="EP11" i="12"/>
  <c r="BV11" i="12"/>
  <c r="GE86" i="12"/>
  <c r="DK86" i="12"/>
  <c r="AI86" i="12"/>
  <c r="EN74" i="12"/>
  <c r="BT74" i="12"/>
  <c r="FX26" i="12"/>
  <c r="DD26" i="12"/>
  <c r="AJ26" i="12"/>
  <c r="EO11" i="12"/>
  <c r="BM11" i="12"/>
  <c r="FN86" i="12"/>
  <c r="CT86" i="12"/>
  <c r="Z86" i="12"/>
  <c r="EE74" i="12"/>
  <c r="BK74" i="12"/>
  <c r="FO26" i="12"/>
  <c r="CM26" i="12"/>
  <c r="S26" i="12"/>
  <c r="DX11" i="12"/>
  <c r="BD11" i="12"/>
  <c r="FU86" i="12"/>
  <c r="DA86" i="12"/>
  <c r="AG86" i="12"/>
  <c r="ED74" i="12"/>
  <c r="BJ74" i="12"/>
  <c r="EX26" i="12"/>
  <c r="BV26" i="12"/>
  <c r="FK11" i="12"/>
  <c r="CA11" i="12"/>
  <c r="FT86" i="12"/>
  <c r="CJ86" i="12"/>
  <c r="FY74" i="12"/>
  <c r="CW74" i="12"/>
  <c r="M74" i="12"/>
  <c r="DA26" i="12"/>
  <c r="Y26" i="12"/>
  <c r="DN11" i="12"/>
  <c r="AD11" i="12"/>
  <c r="DW86" i="12"/>
  <c r="AM86" i="12"/>
  <c r="DT74" i="12"/>
  <c r="AR74" i="12"/>
  <c r="EF26" i="12"/>
  <c r="AV26" i="12"/>
  <c r="ES11" i="12"/>
  <c r="BI11" i="12"/>
  <c r="ET86" i="12"/>
  <c r="BR86" i="12"/>
  <c r="FG74" i="12"/>
  <c r="BW74" i="12"/>
  <c r="FS26" i="12"/>
  <c r="CI26" i="12"/>
  <c r="FP11" i="12"/>
  <c r="CN11" i="12"/>
  <c r="FY86" i="12"/>
  <c r="CO86" i="12"/>
  <c r="M86" i="12"/>
  <c r="DB74" i="12"/>
  <c r="R74" i="12"/>
  <c r="DN26" i="12"/>
  <c r="AD26" i="12"/>
  <c r="DS11" i="12"/>
  <c r="K11" i="12"/>
  <c r="BW11" i="12"/>
  <c r="EI11" i="12"/>
  <c r="V26" i="12"/>
  <c r="CH26" i="12"/>
  <c r="ET26" i="12"/>
  <c r="AH74" i="12"/>
  <c r="CT74" i="12"/>
  <c r="FF74" i="12"/>
  <c r="AS86" i="12"/>
  <c r="DE86" i="12"/>
  <c r="FQ86" i="12"/>
  <c r="BH11" i="12"/>
  <c r="DT11" i="12"/>
  <c r="O26" i="12"/>
  <c r="CA26" i="12"/>
  <c r="EM26" i="12"/>
  <c r="AA74" i="12"/>
  <c r="CM74" i="12"/>
  <c r="EY74" i="12"/>
  <c r="AL86" i="12"/>
  <c r="CX86" i="12"/>
  <c r="FJ86" i="12"/>
  <c r="BA11" i="12"/>
  <c r="DM11" i="12"/>
  <c r="FY11" i="12"/>
  <c r="BL26" i="12"/>
  <c r="DX26" i="12"/>
  <c r="L74" i="12"/>
  <c r="BX74" i="12"/>
  <c r="EJ74" i="12"/>
  <c r="AE86" i="12"/>
  <c r="CQ86" i="12"/>
  <c r="FC86" i="12"/>
  <c r="AT11" i="12"/>
  <c r="DF11" i="12"/>
  <c r="FR11" i="12"/>
  <c r="BE26" i="12"/>
  <c r="DQ26" i="12"/>
  <c r="GC26" i="12"/>
  <c r="BQ74" i="12"/>
  <c r="EC74" i="12"/>
  <c r="P86" i="12"/>
  <c r="CB86" i="12"/>
  <c r="EN86" i="12"/>
  <c r="AE11" i="12"/>
  <c r="CQ11" i="12"/>
  <c r="FC11" i="12"/>
  <c r="AP26" i="12"/>
  <c r="DB26" i="12"/>
  <c r="FN26" i="12"/>
  <c r="BB74" i="12"/>
  <c r="AI11" i="12"/>
  <c r="CU11" i="12"/>
  <c r="FG11" i="12"/>
  <c r="AT26" i="12"/>
  <c r="DF26" i="12"/>
  <c r="FR26" i="12"/>
  <c r="BF74" i="12"/>
  <c r="DR74" i="12"/>
  <c r="GD74" i="12"/>
  <c r="BQ86" i="12"/>
  <c r="EC86" i="12"/>
  <c r="T11" i="12"/>
  <c r="CF11" i="12"/>
  <c r="ER11" i="12"/>
  <c r="AM26" i="12"/>
  <c r="CY26" i="12"/>
  <c r="FK26" i="12"/>
  <c r="AY74" i="12"/>
  <c r="DK74" i="12"/>
  <c r="FW74" i="12"/>
  <c r="BJ86" i="12"/>
  <c r="DV86" i="12"/>
  <c r="M11" i="12"/>
  <c r="BY11" i="12"/>
  <c r="EK11" i="12"/>
  <c r="X26" i="12"/>
  <c r="CJ26" i="12"/>
  <c r="EV26" i="12"/>
  <c r="AJ74" i="12"/>
  <c r="CV74" i="12"/>
  <c r="FH74" i="12"/>
  <c r="BC86" i="12"/>
  <c r="DO86" i="12"/>
  <c r="GA86" i="12"/>
  <c r="BR11" i="12"/>
  <c r="ED11" i="12"/>
  <c r="Q26" i="12"/>
  <c r="CC26" i="12"/>
  <c r="EO26" i="12"/>
  <c r="AC74" i="12"/>
  <c r="CO74" i="12"/>
  <c r="FA74" i="12"/>
  <c r="AN86" i="12"/>
  <c r="CZ86" i="12"/>
  <c r="FL86" i="12"/>
  <c r="BC11" i="12"/>
  <c r="DO11" i="12"/>
  <c r="GA11" i="12"/>
  <c r="BN26" i="12"/>
  <c r="DZ26" i="12"/>
  <c r="N74" i="12"/>
  <c r="BZ74" i="12"/>
  <c r="EL74" i="12"/>
  <c r="Y86" i="12"/>
  <c r="CK86" i="12"/>
  <c r="EW86" i="12"/>
  <c r="X11" i="12"/>
  <c r="CJ11" i="12"/>
  <c r="EV11" i="12"/>
  <c r="AI26" i="12"/>
  <c r="CU26" i="12"/>
  <c r="FG26" i="12"/>
  <c r="AU74" i="12"/>
  <c r="DG74" i="12"/>
  <c r="FS74" i="12"/>
  <c r="BF86" i="12"/>
  <c r="DR86" i="12"/>
  <c r="I11" i="12"/>
  <c r="BU11" i="12"/>
  <c r="EG11" i="12"/>
  <c r="T26" i="12"/>
  <c r="CF26" i="12"/>
  <c r="ER26" i="12"/>
  <c r="AF74" i="12"/>
  <c r="CR74" i="12"/>
  <c r="FD74" i="12"/>
  <c r="AQ86" i="12"/>
  <c r="DC86" i="12"/>
  <c r="FO86" i="12"/>
  <c r="FO98" i="12" s="1"/>
  <c r="AX11" i="12"/>
  <c r="DJ11" i="12"/>
  <c r="FV11" i="12"/>
  <c r="BI26" i="12"/>
  <c r="DU26" i="12"/>
  <c r="I74" i="12"/>
  <c r="EB86" i="12"/>
  <c r="BP86" i="12"/>
  <c r="GC74" i="12"/>
  <c r="DQ74" i="12"/>
  <c r="BE74" i="12"/>
  <c r="FI26" i="12"/>
  <c r="CO26" i="12"/>
  <c r="U26" i="12"/>
  <c r="DZ11" i="12"/>
  <c r="BF11" i="12"/>
  <c r="FG86" i="12"/>
  <c r="CM86" i="12"/>
  <c r="S86" i="12"/>
  <c r="DX74" i="12"/>
  <c r="BD74" i="12"/>
  <c r="FH26" i="12"/>
  <c r="CN26" i="12"/>
  <c r="L26" i="12"/>
  <c r="DQ11" i="12"/>
  <c r="AW11" i="12"/>
  <c r="EX86" i="12"/>
  <c r="CD86" i="12"/>
  <c r="J86" i="12"/>
  <c r="DO74" i="12"/>
  <c r="AM74" i="12"/>
  <c r="EQ26" i="12"/>
  <c r="EQ41" i="12" s="1"/>
  <c r="EP74" i="16" s="1"/>
  <c r="BW26" i="12"/>
  <c r="GB11" i="12"/>
  <c r="DH11" i="12"/>
  <c r="AN11" i="12"/>
  <c r="FE86" i="12"/>
  <c r="CC86" i="12"/>
  <c r="I86" i="12"/>
  <c r="DN74" i="12"/>
  <c r="AL74" i="12"/>
  <c r="EH26" i="12"/>
  <c r="AX26" i="12"/>
  <c r="EM11" i="12"/>
  <c r="BK11" i="12"/>
  <c r="EV86" i="12"/>
  <c r="BL86" i="12"/>
  <c r="FI74" i="12"/>
  <c r="BY74" i="12"/>
  <c r="FM26" i="12"/>
  <c r="CK26" i="12"/>
  <c r="CK41" i="12" s="1"/>
  <c r="CJ74" i="16" s="1"/>
  <c r="FZ11" i="12"/>
  <c r="CP11" i="12"/>
  <c r="N11" i="12"/>
  <c r="CY86" i="12"/>
  <c r="O86" i="12"/>
  <c r="DD74" i="12"/>
  <c r="T74" i="12"/>
  <c r="DH26" i="12"/>
  <c r="AF26" i="12"/>
  <c r="DU11" i="12"/>
  <c r="AK11" i="12"/>
  <c r="ED86" i="12"/>
  <c r="AT86" i="12"/>
  <c r="EI74" i="12"/>
  <c r="BG74" i="12"/>
  <c r="EU26" i="12"/>
  <c r="BK26" i="12"/>
  <c r="EZ11" i="12"/>
  <c r="BP11" i="12"/>
  <c r="FA86" i="12"/>
  <c r="BY86" i="12"/>
  <c r="FN74" i="12"/>
  <c r="CD74" i="12"/>
  <c r="FZ26" i="12"/>
  <c r="CP26" i="12"/>
  <c r="GE11" i="12"/>
  <c r="DC11" i="12"/>
  <c r="S11" i="12"/>
  <c r="DT86" i="12"/>
  <c r="BH86" i="12"/>
  <c r="FU74" i="12"/>
  <c r="DI74" i="12"/>
  <c r="AW74" i="12"/>
  <c r="FA26" i="12"/>
  <c r="CG26" i="12"/>
  <c r="M26" i="12"/>
  <c r="DR11" i="12"/>
  <c r="AP11" i="12"/>
  <c r="EY86" i="12"/>
  <c r="CE86" i="12"/>
  <c r="K86" i="12"/>
  <c r="DP74" i="12"/>
  <c r="AV74" i="12"/>
  <c r="EZ26" i="12"/>
  <c r="BX26" i="12"/>
  <c r="GC11" i="12"/>
  <c r="DI11" i="12"/>
  <c r="AO11" i="12"/>
  <c r="EP86" i="12"/>
  <c r="BV86" i="12"/>
  <c r="GA74" i="12"/>
  <c r="CY74" i="12"/>
  <c r="AE74" i="12"/>
  <c r="EI26" i="12"/>
  <c r="BO26" i="12"/>
  <c r="FT11" i="12"/>
  <c r="CZ11" i="12"/>
  <c r="AF11" i="12"/>
  <c r="EO86" i="12"/>
  <c r="BU86" i="12"/>
  <c r="FZ74" i="12"/>
  <c r="DF74" i="12"/>
  <c r="AD74" i="12"/>
  <c r="DR26" i="12"/>
  <c r="AH26" i="12"/>
  <c r="EE11" i="12"/>
  <c r="AU11" i="12"/>
  <c r="EF86" i="12"/>
  <c r="BD86" i="12"/>
  <c r="ES74" i="12"/>
  <c r="BI74" i="12"/>
  <c r="FE26" i="12"/>
  <c r="BU26" i="12"/>
  <c r="FJ11" i="12"/>
  <c r="CH11" i="12"/>
  <c r="FS86" i="12"/>
  <c r="CI86" i="12"/>
  <c r="FX74" i="12"/>
  <c r="CN74" i="12"/>
  <c r="GB26" i="12"/>
  <c r="CZ26" i="12"/>
  <c r="P26" i="12"/>
  <c r="DE11" i="12"/>
  <c r="AC11" i="12"/>
  <c r="AC41" i="12" s="1"/>
  <c r="O9" i="4" s="1"/>
  <c r="O87" i="4" s="1"/>
  <c r="DN86" i="12"/>
  <c r="AD86" i="12"/>
  <c r="EA74" i="12"/>
  <c r="AQ74" i="12"/>
  <c r="EE26" i="12"/>
  <c r="BC26" i="12"/>
  <c r="EJ11" i="12"/>
  <c r="AZ11" i="12"/>
  <c r="ES86" i="12"/>
  <c r="BI86" i="12"/>
  <c r="EX74" i="12"/>
  <c r="BV74" i="12"/>
  <c r="FJ26" i="12"/>
  <c r="BZ26" i="12"/>
  <c r="FW11" i="12"/>
  <c r="CM11" i="12"/>
  <c r="FX86" i="12"/>
  <c r="DL86" i="12"/>
  <c r="DL98" i="12" s="1"/>
  <c r="AZ86" i="12"/>
  <c r="FM74" i="12"/>
  <c r="DA74" i="12"/>
  <c r="AO74" i="12"/>
  <c r="ES26" i="12"/>
  <c r="BY26" i="12"/>
  <c r="GD11" i="12"/>
  <c r="DB11" i="12"/>
  <c r="AH11" i="12"/>
  <c r="EQ86" i="12"/>
  <c r="EQ98" i="12" s="1"/>
  <c r="BW86" i="12"/>
  <c r="GB74" i="12"/>
  <c r="DH74" i="12"/>
  <c r="AN74" i="12"/>
  <c r="EJ26" i="12"/>
  <c r="BP26" i="12"/>
  <c r="FU11" i="12"/>
  <c r="DA11" i="12"/>
  <c r="AG11" i="12"/>
  <c r="EH86" i="12"/>
  <c r="BN86" i="12"/>
  <c r="FK74" i="12"/>
  <c r="CQ74" i="12"/>
  <c r="W74" i="12"/>
  <c r="EA26" i="12"/>
  <c r="BG26" i="12"/>
  <c r="FL11" i="12"/>
  <c r="CR11" i="12"/>
  <c r="P11" i="12"/>
  <c r="EG86" i="12"/>
  <c r="BM86" i="12"/>
  <c r="FR74" i="12"/>
  <c r="CX74" i="12"/>
  <c r="V74" i="12"/>
  <c r="DJ26" i="12"/>
  <c r="Z26" i="12"/>
  <c r="DW11" i="12"/>
  <c r="AM11" i="12"/>
  <c r="DX86" i="12"/>
  <c r="AV86" i="12"/>
  <c r="EK74" i="12"/>
  <c r="BA74" i="12"/>
  <c r="EW26" i="12"/>
  <c r="BM26" i="12"/>
  <c r="FB11" i="12"/>
  <c r="BZ11" i="12"/>
  <c r="FK86" i="12"/>
  <c r="CA86" i="12"/>
  <c r="FP74" i="12"/>
  <c r="CF74" i="12"/>
  <c r="FT26" i="12"/>
  <c r="CR26" i="12"/>
  <c r="H26" i="12"/>
  <c r="CW11" i="12"/>
  <c r="U11" i="12"/>
  <c r="DF86" i="12"/>
  <c r="V86" i="12"/>
  <c r="DS74" i="12"/>
  <c r="AI74" i="12"/>
  <c r="DW26" i="12"/>
  <c r="AU26" i="12"/>
  <c r="EB11" i="12"/>
  <c r="AR11" i="12"/>
  <c r="EK86" i="12"/>
  <c r="BA86" i="12"/>
  <c r="EP74" i="12"/>
  <c r="BN74" i="12"/>
  <c r="FB26" i="12"/>
  <c r="BR26" i="12"/>
  <c r="FO11" i="12"/>
  <c r="FO41" i="12" s="1"/>
  <c r="FN74" i="16" s="1"/>
  <c r="CE11" i="12"/>
  <c r="FP86" i="12"/>
  <c r="DD86" i="12"/>
  <c r="AR86" i="12"/>
  <c r="FE74" i="12"/>
  <c r="CS74" i="12"/>
  <c r="AG74" i="12"/>
  <c r="EK26" i="12"/>
  <c r="BQ26" i="12"/>
  <c r="FN11" i="12"/>
  <c r="CT11" i="12"/>
  <c r="Z11" i="12"/>
  <c r="EI86" i="12"/>
  <c r="BO86" i="12"/>
  <c r="FT74" i="12"/>
  <c r="CZ74" i="12"/>
  <c r="X74" i="12"/>
  <c r="EB26" i="12"/>
  <c r="BH26" i="12"/>
  <c r="FM11" i="12"/>
  <c r="CS11" i="12"/>
  <c r="Y11" i="12"/>
  <c r="DZ86" i="12"/>
  <c r="AX86" i="12"/>
  <c r="FC74" i="12"/>
  <c r="CI74" i="12"/>
  <c r="O74" i="12"/>
  <c r="DS26" i="12"/>
  <c r="AY26" i="12"/>
  <c r="FD11" i="12"/>
  <c r="CB11" i="12"/>
  <c r="H11" i="12"/>
  <c r="DY86" i="12"/>
  <c r="BE86" i="12"/>
  <c r="FJ74" i="12"/>
  <c r="CP74" i="12"/>
  <c r="GD26" i="12"/>
  <c r="CT26" i="12"/>
  <c r="R26" i="12"/>
  <c r="DG11" i="12"/>
  <c r="W11" i="12"/>
  <c r="DP86" i="12"/>
  <c r="AF86" i="12"/>
  <c r="DU74" i="12"/>
  <c r="AS74" i="12"/>
  <c r="EG26" i="12"/>
  <c r="AW26" i="12"/>
  <c r="ET11" i="12"/>
  <c r="BJ11" i="12"/>
  <c r="EU86" i="12"/>
  <c r="BS86" i="12"/>
  <c r="EZ74" i="12"/>
  <c r="BP74" i="12"/>
  <c r="FL26" i="12"/>
  <c r="CB26" i="12"/>
  <c r="FQ11" i="12"/>
  <c r="CO11" i="12"/>
  <c r="FZ86" i="12"/>
  <c r="CP86" i="12"/>
  <c r="N86" i="12"/>
  <c r="DC74" i="12"/>
  <c r="S74" i="12"/>
  <c r="DO26" i="12"/>
  <c r="AE26" i="12"/>
  <c r="DL11" i="12"/>
  <c r="AJ11" i="12"/>
  <c r="DU86" i="12"/>
  <c r="AK86" i="12"/>
  <c r="EH74" i="12"/>
  <c r="AX74" i="12"/>
  <c r="EL26" i="12"/>
  <c r="BJ26" i="12"/>
  <c r="EY11" i="12"/>
  <c r="BO11" i="12"/>
  <c r="K20" i="24"/>
  <c r="K21" i="24" s="1"/>
  <c r="K51" i="5"/>
  <c r="B279" i="20"/>
  <c r="M17" i="24"/>
  <c r="L18" i="24"/>
  <c r="L19" i="24"/>
  <c r="L20" i="24" s="1"/>
  <c r="J17" i="16"/>
  <c r="J26" i="16" s="1"/>
  <c r="J34" i="16" s="1"/>
  <c r="J36" i="16" s="1"/>
  <c r="Q24" i="6"/>
  <c r="H51" i="5"/>
  <c r="R51" i="5" s="1"/>
  <c r="J51" i="5"/>
  <c r="T51" i="5" s="1"/>
  <c r="M51" i="5"/>
  <c r="G51" i="5"/>
  <c r="Q51" i="5" s="1"/>
  <c r="N51" i="5"/>
  <c r="L51" i="5"/>
  <c r="I51" i="5"/>
  <c r="S51" i="5" s="1"/>
  <c r="D84" i="4"/>
  <c r="I17" i="16"/>
  <c r="I26" i="16" s="1"/>
  <c r="I34" i="16" s="1"/>
  <c r="I36" i="16" s="1"/>
  <c r="O106" i="19"/>
  <c r="O109" i="19" s="1"/>
  <c r="P106" i="19" s="1"/>
  <c r="P109" i="19" s="1"/>
  <c r="M15" i="17"/>
  <c r="H17" i="16"/>
  <c r="H26" i="16" s="1"/>
  <c r="H34" i="16" s="1"/>
  <c r="H36" i="16" s="1"/>
  <c r="BA15" i="17"/>
  <c r="AR206" i="20" s="1"/>
  <c r="BB15" i="17"/>
  <c r="AS206" i="20" s="1"/>
  <c r="O99" i="19"/>
  <c r="O102" i="19" s="1"/>
  <c r="O21" i="19" s="1"/>
  <c r="AZ15" i="17"/>
  <c r="AQ206" i="20" s="1"/>
  <c r="H63" i="16"/>
  <c r="AW17" i="17"/>
  <c r="AN207" i="20" s="1"/>
  <c r="N255" i="20" s="1"/>
  <c r="D358" i="20"/>
  <c r="M17" i="19"/>
  <c r="D356" i="20" s="1"/>
  <c r="N30" i="11"/>
  <c r="T17" i="17"/>
  <c r="K207" i="20" s="1"/>
  <c r="AE17" i="17"/>
  <c r="V207" i="20" s="1"/>
  <c r="I234" i="20" s="1"/>
  <c r="Y17" i="17"/>
  <c r="P207" i="20" s="1"/>
  <c r="AN17" i="17"/>
  <c r="AE207" i="20" s="1"/>
  <c r="E255" i="20" s="1"/>
  <c r="AC17" i="17"/>
  <c r="T207" i="20" s="1"/>
  <c r="G234" i="20" s="1"/>
  <c r="I63" i="16"/>
  <c r="J210" i="26"/>
  <c r="J9" i="26"/>
  <c r="J68" i="26" s="1"/>
  <c r="J67" i="26" s="1"/>
  <c r="J29" i="26" s="1"/>
  <c r="J11" i="26" s="1"/>
  <c r="I210" i="26"/>
  <c r="M34" i="15"/>
  <c r="M32" i="15"/>
  <c r="S63" i="14"/>
  <c r="M28" i="15"/>
  <c r="M27" i="15" s="1"/>
  <c r="AC15" i="15" s="1"/>
  <c r="AR25" i="18" s="1"/>
  <c r="G20" i="16"/>
  <c r="G63" i="16"/>
  <c r="N23" i="11"/>
  <c r="P17" i="17"/>
  <c r="G207" i="20" s="1"/>
  <c r="N20" i="16"/>
  <c r="J63" i="16"/>
  <c r="K9" i="26"/>
  <c r="K68" i="26" s="1"/>
  <c r="K67" i="26" s="1"/>
  <c r="K29" i="26" s="1"/>
  <c r="K11" i="26" s="1"/>
  <c r="K210" i="26"/>
  <c r="AQ152" i="26"/>
  <c r="AQ4" i="26"/>
  <c r="H39" i="20"/>
  <c r="H40" i="20" s="1"/>
  <c r="O34" i="20"/>
  <c r="H22" i="20"/>
  <c r="Q11" i="26"/>
  <c r="AM4" i="26"/>
  <c r="AM152" i="26"/>
  <c r="AA152" i="26"/>
  <c r="AA4" i="26"/>
  <c r="AP152" i="26"/>
  <c r="AP4" i="26"/>
  <c r="O39" i="20"/>
  <c r="O40" i="20" s="1"/>
  <c r="V34" i="20"/>
  <c r="E24" i="20"/>
  <c r="AC9" i="26"/>
  <c r="G27" i="20"/>
  <c r="AA39" i="20"/>
  <c r="AA40" i="20" s="1"/>
  <c r="AH34" i="20"/>
  <c r="X11" i="15"/>
  <c r="Y11" i="15"/>
  <c r="Z11" i="15"/>
  <c r="Q10" i="27"/>
  <c r="Q4" i="27" s="1"/>
  <c r="AA11" i="15"/>
  <c r="Q5" i="27"/>
  <c r="G39" i="20"/>
  <c r="G40" i="20" s="1"/>
  <c r="N34" i="20"/>
  <c r="G22" i="20"/>
  <c r="J937" i="20"/>
  <c r="G62" i="23"/>
  <c r="R45" i="14"/>
  <c r="R51" i="14" s="1"/>
  <c r="Q4" i="26"/>
  <c r="Q152" i="26"/>
  <c r="Y11" i="26"/>
  <c r="L27" i="20"/>
  <c r="AF39" i="20"/>
  <c r="AF40" i="20" s="1"/>
  <c r="AM34" i="20"/>
  <c r="AI17" i="17"/>
  <c r="Z207" i="20" s="1"/>
  <c r="M234" i="20" s="1"/>
  <c r="AJ17" i="17"/>
  <c r="AA207" i="20" s="1"/>
  <c r="N234" i="20" s="1"/>
  <c r="H937" i="20"/>
  <c r="H939" i="20" s="1"/>
  <c r="H941" i="20" s="1"/>
  <c r="H942" i="20" s="1"/>
  <c r="Q16" i="14"/>
  <c r="Q18" i="14" s="1"/>
  <c r="Q20" i="14" s="1"/>
  <c r="Q21" i="14" s="1"/>
  <c r="G937" i="20"/>
  <c r="G939" i="20" s="1"/>
  <c r="G941" i="20" s="1"/>
  <c r="G942" i="20" s="1"/>
  <c r="P16" i="14"/>
  <c r="P18" i="14" s="1"/>
  <c r="P20" i="14" s="1"/>
  <c r="P21" i="14" s="1"/>
  <c r="P57" i="14" s="1"/>
  <c r="P65" i="14" s="1"/>
  <c r="O61" i="9"/>
  <c r="O63" i="9" s="1"/>
  <c r="U34" i="20"/>
  <c r="D24" i="20"/>
  <c r="D25" i="20" s="1"/>
  <c r="N39" i="20"/>
  <c r="N40" i="20" s="1"/>
  <c r="AU17" i="17"/>
  <c r="AL207" i="20" s="1"/>
  <c r="L255" i="20" s="1"/>
  <c r="N4" i="26"/>
  <c r="N152" i="26"/>
  <c r="W10" i="13"/>
  <c r="AB36" i="13"/>
  <c r="AB35" i="13" s="1"/>
  <c r="AC36" i="13"/>
  <c r="AC35" i="13" s="1"/>
  <c r="AD36" i="13"/>
  <c r="AD35" i="13" s="1"/>
  <c r="AE36" i="13"/>
  <c r="AE35" i="13" s="1"/>
  <c r="AI152" i="26"/>
  <c r="AI4" i="26"/>
  <c r="AH17" i="17"/>
  <c r="Y207" i="20" s="1"/>
  <c r="L234" i="20" s="1"/>
  <c r="W4" i="26"/>
  <c r="W152" i="26"/>
  <c r="I11" i="26"/>
  <c r="AH152" i="26"/>
  <c r="AH4" i="26"/>
  <c r="AG4" i="26"/>
  <c r="AG152" i="26"/>
  <c r="Y12" i="15"/>
  <c r="X45" i="23" s="1"/>
  <c r="Z12" i="15"/>
  <c r="Y45" i="23" s="1"/>
  <c r="AA12" i="15"/>
  <c r="Z45" i="23" s="1"/>
  <c r="X12" i="15"/>
  <c r="AH36" i="13"/>
  <c r="AH35" i="13" s="1"/>
  <c r="AI36" i="13"/>
  <c r="AI35" i="13" s="1"/>
  <c r="X10" i="13"/>
  <c r="AF36" i="13"/>
  <c r="AF35" i="13" s="1"/>
  <c r="AG36" i="13"/>
  <c r="AG35" i="13" s="1"/>
  <c r="K152" i="26"/>
  <c r="K4" i="26"/>
  <c r="I24" i="20"/>
  <c r="S39" i="20"/>
  <c r="S40" i="20" s="1"/>
  <c r="Z34" i="20"/>
  <c r="H24" i="20"/>
  <c r="R39" i="20"/>
  <c r="R40" i="20" s="1"/>
  <c r="Y34" i="20"/>
  <c r="R11" i="26"/>
  <c r="H4" i="26"/>
  <c r="H152" i="26"/>
  <c r="AS17" i="17"/>
  <c r="AJ207" i="20" s="1"/>
  <c r="J255" i="20" s="1"/>
  <c r="AM39" i="20"/>
  <c r="AM40" i="20" s="1"/>
  <c r="I30" i="20"/>
  <c r="AT34" i="20"/>
  <c r="X17" i="17"/>
  <c r="O207" i="20" s="1"/>
  <c r="V58" i="16"/>
  <c r="V20" i="16" s="1"/>
  <c r="V46" i="23"/>
  <c r="V50" i="23" s="1"/>
  <c r="E27" i="20"/>
  <c r="Y39" i="20"/>
  <c r="Y40" i="20" s="1"/>
  <c r="AF34" i="20"/>
  <c r="W39" i="20"/>
  <c r="W40" i="20" s="1"/>
  <c r="AD34" i="20"/>
  <c r="M24" i="20"/>
  <c r="AP17" i="17"/>
  <c r="AG207" i="20" s="1"/>
  <c r="G255" i="20" s="1"/>
  <c r="AI39" i="20"/>
  <c r="AI40" i="20" s="1"/>
  <c r="E30" i="20"/>
  <c r="AP34" i="20"/>
  <c r="AH39" i="20"/>
  <c r="AH40" i="20" s="1"/>
  <c r="D30" i="20"/>
  <c r="AO34" i="20"/>
  <c r="O17" i="23"/>
  <c r="AD17" i="17"/>
  <c r="U207" i="20" s="1"/>
  <c r="H234" i="20" s="1"/>
  <c r="AK17" i="17"/>
  <c r="AB207" i="20" s="1"/>
  <c r="O234" i="20" s="1"/>
  <c r="S152" i="26"/>
  <c r="S4" i="26"/>
  <c r="I22" i="20"/>
  <c r="I39" i="20"/>
  <c r="I40" i="20" s="1"/>
  <c r="P34" i="20"/>
  <c r="AL11" i="26"/>
  <c r="Y4" i="26"/>
  <c r="Y152" i="26"/>
  <c r="Y7" i="26" s="1"/>
  <c r="X4" i="26"/>
  <c r="X152" i="26"/>
  <c r="AF9" i="26"/>
  <c r="AV17" i="17"/>
  <c r="AM207" i="20" s="1"/>
  <c r="M255" i="20" s="1"/>
  <c r="AO17" i="17"/>
  <c r="AF207" i="20" s="1"/>
  <c r="F255" i="20" s="1"/>
  <c r="L22" i="20"/>
  <c r="L39" i="20"/>
  <c r="L40" i="20" s="1"/>
  <c r="S34" i="20"/>
  <c r="J22" i="20"/>
  <c r="J39" i="20"/>
  <c r="J40" i="20" s="1"/>
  <c r="Q34" i="20"/>
  <c r="AL4" i="26"/>
  <c r="AL152" i="26"/>
  <c r="D279" i="20"/>
  <c r="H5" i="26"/>
  <c r="AD11" i="26"/>
  <c r="AO39" i="20"/>
  <c r="AO40" i="20" s="1"/>
  <c r="K30" i="20"/>
  <c r="AV34" i="20"/>
  <c r="AE15" i="18"/>
  <c r="M18" i="21"/>
  <c r="U58" i="16"/>
  <c r="U20" i="16" s="1"/>
  <c r="U46" i="23"/>
  <c r="U50" i="23" s="1"/>
  <c r="AS9" i="26"/>
  <c r="AT11" i="26"/>
  <c r="AO4" i="26"/>
  <c r="AO152" i="26"/>
  <c r="AN4" i="26"/>
  <c r="AN152" i="26"/>
  <c r="U4" i="26"/>
  <c r="U152" i="26"/>
  <c r="F22" i="16"/>
  <c r="M17" i="17"/>
  <c r="AR17" i="17"/>
  <c r="AI207" i="20" s="1"/>
  <c r="I255" i="20" s="1"/>
  <c r="AI11" i="26"/>
  <c r="O4" i="26"/>
  <c r="O152" i="26"/>
  <c r="M4" i="26"/>
  <c r="M152" i="26"/>
  <c r="M7" i="26" s="1"/>
  <c r="V17" i="17"/>
  <c r="M207" i="20" s="1"/>
  <c r="Z17" i="17"/>
  <c r="Q207" i="20" s="1"/>
  <c r="D234" i="20" s="1"/>
  <c r="AR4" i="26"/>
  <c r="AR152" i="26"/>
  <c r="P4" i="26"/>
  <c r="P152" i="26"/>
  <c r="X9" i="26"/>
  <c r="N17" i="17"/>
  <c r="E207" i="20" s="1"/>
  <c r="AB4" i="26"/>
  <c r="AB152" i="26"/>
  <c r="P9" i="26"/>
  <c r="AC212" i="25"/>
  <c r="AC213" i="25" s="1"/>
  <c r="AC51" i="25"/>
  <c r="AD50" i="25"/>
  <c r="AC145" i="25"/>
  <c r="AC146" i="25" s="1"/>
  <c r="AC148" i="25" s="1"/>
  <c r="AC123" i="25"/>
  <c r="V11" i="26"/>
  <c r="W17" i="17"/>
  <c r="N207" i="20" s="1"/>
  <c r="T58" i="16"/>
  <c r="T20" i="16" s="1"/>
  <c r="T46" i="23"/>
  <c r="T50" i="23" s="1"/>
  <c r="M27" i="20"/>
  <c r="AG39" i="20"/>
  <c r="AG40" i="20" s="1"/>
  <c r="AN34" i="20"/>
  <c r="AE4" i="26"/>
  <c r="AE152" i="26"/>
  <c r="AY17" i="17"/>
  <c r="AP207" i="20" s="1"/>
  <c r="P255" i="20" s="1"/>
  <c r="AK9" i="26"/>
  <c r="AP11" i="26"/>
  <c r="F20" i="21"/>
  <c r="AN9" i="26"/>
  <c r="U9" i="26"/>
  <c r="AN39" i="20"/>
  <c r="AN40" i="20" s="1"/>
  <c r="J30" i="20"/>
  <c r="AU34" i="20"/>
  <c r="AO11" i="26"/>
  <c r="Q17" i="17"/>
  <c r="H207" i="20" s="1"/>
  <c r="R152" i="26"/>
  <c r="R4" i="26"/>
  <c r="AG11" i="26"/>
  <c r="AJ4" i="26"/>
  <c r="AJ152" i="26"/>
  <c r="AX17" i="17"/>
  <c r="AO207" i="20" s="1"/>
  <c r="O255" i="20" s="1"/>
  <c r="L18" i="21"/>
  <c r="D22" i="20"/>
  <c r="D39" i="20"/>
  <c r="D40" i="20" s="1"/>
  <c r="K34" i="20"/>
  <c r="D27" i="20"/>
  <c r="X39" i="20"/>
  <c r="X40" i="20" s="1"/>
  <c r="AE34" i="20"/>
  <c r="AC29" i="25"/>
  <c r="AD26" i="25"/>
  <c r="AC45" i="25"/>
  <c r="AC46" i="25" s="1"/>
  <c r="AC140" i="25"/>
  <c r="AC207" i="25"/>
  <c r="AC208" i="25" s="1"/>
  <c r="Z11" i="26"/>
  <c r="AU4" i="26"/>
  <c r="AU152" i="26"/>
  <c r="AS4" i="26"/>
  <c r="AS152" i="26"/>
  <c r="E110" i="20"/>
  <c r="S58" i="16"/>
  <c r="S46" i="23"/>
  <c r="K23" i="15"/>
  <c r="K27" i="20"/>
  <c r="AE39" i="20"/>
  <c r="AE40" i="20" s="1"/>
  <c r="AL34" i="20"/>
  <c r="L4" i="26"/>
  <c r="L152" i="26"/>
  <c r="G30" i="20"/>
  <c r="AR34" i="20"/>
  <c r="AK39" i="20"/>
  <c r="AK40" i="20" s="1"/>
  <c r="AJ36" i="13"/>
  <c r="AJ35" i="13" s="1"/>
  <c r="Y10" i="13"/>
  <c r="AK36" i="13"/>
  <c r="AK35" i="13" s="1"/>
  <c r="AL36" i="13"/>
  <c r="AL35" i="13" s="1"/>
  <c r="AM36" i="13"/>
  <c r="AM35" i="13" s="1"/>
  <c r="M34" i="20"/>
  <c r="F22" i="20"/>
  <c r="F39" i="20"/>
  <c r="F40" i="20" s="1"/>
  <c r="AC4" i="26"/>
  <c r="AC152" i="26"/>
  <c r="F27" i="20"/>
  <c r="Z39" i="20"/>
  <c r="Z40" i="20" s="1"/>
  <c r="AG34" i="20"/>
  <c r="AQ11" i="26"/>
  <c r="V10" i="13"/>
  <c r="Z36" i="13"/>
  <c r="Z35" i="13" s="1"/>
  <c r="AA36" i="13"/>
  <c r="AA35" i="13" s="1"/>
  <c r="X36" i="13"/>
  <c r="Y36" i="13"/>
  <c r="Y35" i="13" s="1"/>
  <c r="J24" i="20"/>
  <c r="T39" i="20"/>
  <c r="T40" i="20" s="1"/>
  <c r="AA34" i="20"/>
  <c r="H30" i="20"/>
  <c r="AS34" i="20"/>
  <c r="AL39" i="20"/>
  <c r="AL40" i="20" s="1"/>
  <c r="S17" i="17"/>
  <c r="J207" i="20" s="1"/>
  <c r="AQ17" i="17"/>
  <c r="AH207" i="20" s="1"/>
  <c r="H255" i="20" s="1"/>
  <c r="R16" i="14"/>
  <c r="R18" i="14" s="1"/>
  <c r="I937" i="20"/>
  <c r="AC34" i="20"/>
  <c r="L24" i="20"/>
  <c r="V39" i="20"/>
  <c r="V40" i="20" s="1"/>
  <c r="U17" i="17"/>
  <c r="L207" i="20" s="1"/>
  <c r="AB17" i="17"/>
  <c r="S207" i="20" s="1"/>
  <c r="F234" i="20" s="1"/>
  <c r="M68" i="26"/>
  <c r="M67" i="26" s="1"/>
  <c r="M29" i="26" s="1"/>
  <c r="P39" i="20"/>
  <c r="P40" i="20" s="1"/>
  <c r="W34" i="20"/>
  <c r="F24" i="20"/>
  <c r="AB34" i="20"/>
  <c r="K24" i="20"/>
  <c r="U39" i="20"/>
  <c r="U40" i="20" s="1"/>
  <c r="AJ39" i="20"/>
  <c r="AJ40" i="20" s="1"/>
  <c r="F30" i="20"/>
  <c r="AQ34" i="20"/>
  <c r="AF4" i="26"/>
  <c r="AF152" i="26"/>
  <c r="S7" i="27"/>
  <c r="R63" i="27"/>
  <c r="R11" i="27"/>
  <c r="AM17" i="17"/>
  <c r="AD207" i="20" s="1"/>
  <c r="D255" i="20" s="1"/>
  <c r="AH11" i="26"/>
  <c r="AT4" i="26"/>
  <c r="AT152" i="26"/>
  <c r="R17" i="17"/>
  <c r="I207" i="20" s="1"/>
  <c r="AK34" i="20"/>
  <c r="J27" i="20"/>
  <c r="AD39" i="20"/>
  <c r="AD40" i="20" s="1"/>
  <c r="AF17" i="17"/>
  <c r="W207" i="20" s="1"/>
  <c r="J234" i="20" s="1"/>
  <c r="I933" i="20"/>
  <c r="I948" i="20" s="1"/>
  <c r="I940" i="20"/>
  <c r="AA11" i="26"/>
  <c r="P13" i="20"/>
  <c r="P14" i="20" s="1"/>
  <c r="P9" i="20"/>
  <c r="AD4" i="26"/>
  <c r="AD152" i="26"/>
  <c r="T4" i="26"/>
  <c r="T152" i="26"/>
  <c r="H9" i="26"/>
  <c r="H210" i="26"/>
  <c r="AL17" i="17"/>
  <c r="AC207" i="20" s="1"/>
  <c r="P234" i="20" s="1"/>
  <c r="AK4" i="26"/>
  <c r="AK152" i="26"/>
  <c r="S11" i="26"/>
  <c r="K937" i="20"/>
  <c r="K18" i="21"/>
  <c r="K14" i="21" s="1"/>
  <c r="W15" i="18"/>
  <c r="W6" i="18" s="1"/>
  <c r="AJ34" i="20"/>
  <c r="I27" i="20"/>
  <c r="AC39" i="20"/>
  <c r="AC40" i="20" s="1"/>
  <c r="AA17" i="17"/>
  <c r="R207" i="20" s="1"/>
  <c r="E234" i="20" s="1"/>
  <c r="G24" i="20"/>
  <c r="Q39" i="20"/>
  <c r="Q40" i="20" s="1"/>
  <c r="X34" i="20"/>
  <c r="T34" i="20"/>
  <c r="M22" i="20"/>
  <c r="M39" i="20"/>
  <c r="M40" i="20" s="1"/>
  <c r="H27" i="20"/>
  <c r="AB39" i="20"/>
  <c r="AB40" i="20" s="1"/>
  <c r="AI34" i="20"/>
  <c r="X8" i="15"/>
  <c r="Y8" i="15"/>
  <c r="Z8" i="15"/>
  <c r="AA8" i="15"/>
  <c r="O17" i="17"/>
  <c r="F207" i="20" s="1"/>
  <c r="AT17" i="17"/>
  <c r="AK207" i="20" s="1"/>
  <c r="K255" i="20" s="1"/>
  <c r="L34" i="20"/>
  <c r="E22" i="20"/>
  <c r="E39" i="20"/>
  <c r="E40" i="20" s="1"/>
  <c r="Z152" i="26"/>
  <c r="Z4" i="26"/>
  <c r="AG17" i="17"/>
  <c r="X207" i="20" s="1"/>
  <c r="K234" i="20" s="1"/>
  <c r="K22" i="20"/>
  <c r="K39" i="20"/>
  <c r="K40" i="20" s="1"/>
  <c r="R34" i="20"/>
  <c r="J152" i="26"/>
  <c r="J4" i="26"/>
  <c r="I4" i="26"/>
  <c r="I152" i="26"/>
  <c r="O13" i="20"/>
  <c r="O14" i="20" s="1"/>
  <c r="O9" i="20"/>
  <c r="N11" i="26"/>
  <c r="V4" i="26"/>
  <c r="V152" i="26"/>
  <c r="FH41" i="12" l="1"/>
  <c r="M2" i="21"/>
  <c r="M1" i="21" s="1"/>
  <c r="AE686" i="20"/>
  <c r="D448" i="20"/>
  <c r="H61" i="4"/>
  <c r="H20" i="4" s="1"/>
  <c r="J69" i="4"/>
  <c r="J61" i="4" s="1"/>
  <c r="J20" i="4" s="1"/>
  <c r="AC61" i="4"/>
  <c r="AC20" i="4" s="1"/>
  <c r="AG61" i="4"/>
  <c r="AG20" i="4" s="1"/>
  <c r="AF61" i="4"/>
  <c r="AF20" i="4" s="1"/>
  <c r="Z61" i="4"/>
  <c r="Z20" i="4" s="1"/>
  <c r="AB61" i="4"/>
  <c r="AB20" i="4" s="1"/>
  <c r="O61" i="4"/>
  <c r="O20" i="4" s="1"/>
  <c r="AH61" i="4"/>
  <c r="AH20" i="4" s="1"/>
  <c r="R20" i="14"/>
  <c r="R21" i="14" s="1"/>
  <c r="R22" i="14" s="1"/>
  <c r="S50" i="23"/>
  <c r="H557" i="20"/>
  <c r="BD41" i="12"/>
  <c r="BC74" i="16" s="1"/>
  <c r="BC30" i="16" s="1"/>
  <c r="CS41" i="12"/>
  <c r="CR74" i="16" s="1"/>
  <c r="CR77" i="16" s="1"/>
  <c r="EO41" i="12"/>
  <c r="EN74" i="16" s="1"/>
  <c r="EN30" i="16" s="1"/>
  <c r="S19" i="14"/>
  <c r="GB98" i="12"/>
  <c r="EY41" i="12"/>
  <c r="EX74" i="16" s="1"/>
  <c r="EX30" i="16" s="1"/>
  <c r="S32" i="14"/>
  <c r="T35" i="14"/>
  <c r="T95" i="14"/>
  <c r="T92" i="14"/>
  <c r="T7" i="14"/>
  <c r="T9" i="14" s="1"/>
  <c r="T14" i="14"/>
  <c r="T15" i="14" s="1"/>
  <c r="T16" i="14" s="1"/>
  <c r="T93" i="14"/>
  <c r="K930" i="20"/>
  <c r="K935" i="20" s="1"/>
  <c r="K936" i="20" s="1"/>
  <c r="T94" i="14"/>
  <c r="T47" i="14" s="1"/>
  <c r="T46" i="14" s="1"/>
  <c r="T45" i="14" s="1"/>
  <c r="CX41" i="12"/>
  <c r="CW74" i="16" s="1"/>
  <c r="CW77" i="16" s="1"/>
  <c r="H29" i="37"/>
  <c r="P52" i="5"/>
  <c r="P53" i="5" s="1"/>
  <c r="T4" i="14"/>
  <c r="T91" i="14"/>
  <c r="T34" i="14"/>
  <c r="T61" i="14"/>
  <c r="J935" i="20"/>
  <c r="J936" i="20" s="1"/>
  <c r="I939" i="20"/>
  <c r="I941" i="20" s="1"/>
  <c r="I942" i="20" s="1"/>
  <c r="CK205" i="37"/>
  <c r="CI277" i="37"/>
  <c r="CI279" i="37"/>
  <c r="CH277" i="37"/>
  <c r="CH279" i="37"/>
  <c r="CJ37" i="37"/>
  <c r="CJ12" i="37"/>
  <c r="CJ59" i="37"/>
  <c r="CJ52" i="37"/>
  <c r="CK137" i="37"/>
  <c r="CL28" i="37"/>
  <c r="CL205" i="37" s="1"/>
  <c r="CL206" i="37" s="1"/>
  <c r="CK49" i="37"/>
  <c r="CK50" i="37" s="1"/>
  <c r="CK31" i="37"/>
  <c r="AC213" i="37"/>
  <c r="AC12" i="37"/>
  <c r="AC267" i="37" s="1"/>
  <c r="AC37" i="37"/>
  <c r="AC59" i="37"/>
  <c r="AC52" i="37"/>
  <c r="AD205" i="37"/>
  <c r="AD206" i="37" s="1"/>
  <c r="AD137" i="37"/>
  <c r="AD49" i="37"/>
  <c r="AD50" i="37" s="1"/>
  <c r="AC57" i="37"/>
  <c r="AD210" i="37"/>
  <c r="AD142" i="37"/>
  <c r="AC215" i="37"/>
  <c r="AC208" i="37"/>
  <c r="AM98" i="12"/>
  <c r="CV41" i="12"/>
  <c r="CU74" i="16" s="1"/>
  <c r="FF98" i="12"/>
  <c r="AG98" i="12"/>
  <c r="CY98" i="12"/>
  <c r="I35" i="2"/>
  <c r="I28" i="2"/>
  <c r="I43" i="2"/>
  <c r="J44" i="2"/>
  <c r="I49" i="2"/>
  <c r="I27" i="2"/>
  <c r="I42" i="2"/>
  <c r="J10" i="2"/>
  <c r="J29" i="2"/>
  <c r="J9" i="2"/>
  <c r="K11" i="2"/>
  <c r="G61" i="4"/>
  <c r="G20" i="4" s="1"/>
  <c r="AD61" i="4"/>
  <c r="AD20" i="4" s="1"/>
  <c r="D60" i="36"/>
  <c r="F61" i="4"/>
  <c r="X61" i="4"/>
  <c r="X20" i="4" s="1"/>
  <c r="V61" i="4"/>
  <c r="V20" i="4" s="1"/>
  <c r="Q61" i="4"/>
  <c r="Q20" i="4" s="1"/>
  <c r="M61" i="4"/>
  <c r="M20" i="4" s="1"/>
  <c r="L61" i="4"/>
  <c r="L20" i="4" s="1"/>
  <c r="AE61" i="4"/>
  <c r="AE20" i="4" s="1"/>
  <c r="K61" i="4"/>
  <c r="K20" i="4" s="1"/>
  <c r="U61" i="4"/>
  <c r="U20" i="4" s="1"/>
  <c r="W61" i="4"/>
  <c r="W20" i="4" s="1"/>
  <c r="R61" i="4"/>
  <c r="R20" i="4" s="1"/>
  <c r="P61" i="4"/>
  <c r="P20" i="4" s="1"/>
  <c r="AI61" i="4"/>
  <c r="AI20" i="4" s="1"/>
  <c r="AA61" i="4"/>
  <c r="AA20" i="4" s="1"/>
  <c r="I61" i="4"/>
  <c r="I20" i="4" s="1"/>
  <c r="Y61" i="4"/>
  <c r="Y20" i="4" s="1"/>
  <c r="N61" i="4"/>
  <c r="N20" i="4" s="1"/>
  <c r="T61" i="4"/>
  <c r="T20" i="4" s="1"/>
  <c r="D24" i="36"/>
  <c r="CL41" i="12"/>
  <c r="CK74" i="16" s="1"/>
  <c r="CK77" i="16" s="1"/>
  <c r="EF98" i="12"/>
  <c r="CK98" i="12"/>
  <c r="CW41" i="12"/>
  <c r="CV74" i="16" s="1"/>
  <c r="CV77" i="16" s="1"/>
  <c r="AO41" i="12"/>
  <c r="Y98" i="12"/>
  <c r="CA98" i="12"/>
  <c r="FW98" i="12"/>
  <c r="ER98" i="12"/>
  <c r="CL98" i="12"/>
  <c r="DV98" i="12"/>
  <c r="BB98" i="12"/>
  <c r="BS41" i="12"/>
  <c r="BR74" i="16" s="1"/>
  <c r="BR30" i="16" s="1"/>
  <c r="CE41" i="12"/>
  <c r="CD74" i="16" s="1"/>
  <c r="CD30" i="16" s="1"/>
  <c r="FL98" i="12"/>
  <c r="ED41" i="12"/>
  <c r="EC74" i="16" s="1"/>
  <c r="EC30" i="16" s="1"/>
  <c r="ES22" i="18" s="1"/>
  <c r="EC33" i="23" s="1"/>
  <c r="EC35" i="23" s="1"/>
  <c r="AS41" i="12"/>
  <c r="CU98" i="12"/>
  <c r="AB41" i="12"/>
  <c r="DM98" i="12"/>
  <c r="AB98" i="12"/>
  <c r="BK98" i="12"/>
  <c r="FB98" i="12"/>
  <c r="FD41" i="12"/>
  <c r="FC74" i="16" s="1"/>
  <c r="FC30" i="16" s="1"/>
  <c r="FD98" i="12"/>
  <c r="AW98" i="12"/>
  <c r="FM98" i="12"/>
  <c r="BE41" i="12"/>
  <c r="BD74" i="16" s="1"/>
  <c r="BD30" i="16" s="1"/>
  <c r="BT22" i="18" s="1"/>
  <c r="BD33" i="23" s="1"/>
  <c r="BD35" i="23" s="1"/>
  <c r="DK41" i="12"/>
  <c r="DJ74" i="16" s="1"/>
  <c r="DJ30" i="16" s="1"/>
  <c r="FR98" i="12"/>
  <c r="AP98" i="12"/>
  <c r="DY98" i="12"/>
  <c r="AZ41" i="12"/>
  <c r="AY74" i="16" s="1"/>
  <c r="CG98" i="12"/>
  <c r="DW98" i="12"/>
  <c r="FU41" i="12"/>
  <c r="FT74" i="16" s="1"/>
  <c r="FT30" i="16" s="1"/>
  <c r="FT29" i="16" s="1"/>
  <c r="W98" i="12"/>
  <c r="AV41" i="12"/>
  <c r="CV98" i="12"/>
  <c r="FQ41" i="12"/>
  <c r="FP74" i="16" s="1"/>
  <c r="FP30" i="16" s="1"/>
  <c r="FP29" i="16" s="1"/>
  <c r="BO98" i="12"/>
  <c r="CS98" i="12"/>
  <c r="AY41" i="12"/>
  <c r="AX74" i="16" s="1"/>
  <c r="AX30" i="16" s="1"/>
  <c r="DG41" i="12"/>
  <c r="DF74" i="16" s="1"/>
  <c r="DF77" i="16" s="1"/>
  <c r="BX41" i="12"/>
  <c r="BW74" i="16" s="1"/>
  <c r="AT98" i="12"/>
  <c r="DH98" i="12"/>
  <c r="BG98" i="12"/>
  <c r="FP41" i="12"/>
  <c r="FO74" i="16" s="1"/>
  <c r="FO30" i="16" s="1"/>
  <c r="CH98" i="12"/>
  <c r="FQ98" i="12"/>
  <c r="V41" i="12"/>
  <c r="H9" i="4" s="1"/>
  <c r="H87" i="4" s="1"/>
  <c r="FF41" i="12"/>
  <c r="FE74" i="16" s="1"/>
  <c r="FE30" i="16" s="1"/>
  <c r="FU22" i="18" s="1"/>
  <c r="FE33" i="23" s="1"/>
  <c r="FE35" i="23" s="1"/>
  <c r="BT41" i="12"/>
  <c r="BS74" i="16" s="1"/>
  <c r="BS30" i="16" s="1"/>
  <c r="BC98" i="12"/>
  <c r="FH98" i="12"/>
  <c r="EP41" i="12"/>
  <c r="EO74" i="16" s="1"/>
  <c r="EO77" i="16" s="1"/>
  <c r="DY41" i="12"/>
  <c r="DX74" i="16" s="1"/>
  <c r="DX30" i="16" s="1"/>
  <c r="EM98" i="12"/>
  <c r="EC41" i="12"/>
  <c r="EB74" i="16" s="1"/>
  <c r="EB77" i="16" s="1"/>
  <c r="EN41" i="12"/>
  <c r="EM74" i="16" s="1"/>
  <c r="EM77" i="16" s="1"/>
  <c r="CF41" i="12"/>
  <c r="CE74" i="16" s="1"/>
  <c r="U98" i="12"/>
  <c r="CC41" i="12"/>
  <c r="CB74" i="16" s="1"/>
  <c r="CB30" i="16" s="1"/>
  <c r="FY98" i="12"/>
  <c r="ET98" i="12"/>
  <c r="CJ98" i="12"/>
  <c r="EL98" i="12"/>
  <c r="DT41" i="12"/>
  <c r="DS74" i="16" s="1"/>
  <c r="L98" i="12"/>
  <c r="FV98" i="12"/>
  <c r="EB98" i="12"/>
  <c r="BR98" i="12"/>
  <c r="ED98" i="12"/>
  <c r="BL98" i="12"/>
  <c r="I98" i="12"/>
  <c r="DD41" i="12"/>
  <c r="DC74" i="16" s="1"/>
  <c r="AN41" i="12"/>
  <c r="DZ98" i="12"/>
  <c r="GE41" i="12"/>
  <c r="K98" i="12"/>
  <c r="EZ98" i="12"/>
  <c r="BG41" i="12"/>
  <c r="BF74" i="16" s="1"/>
  <c r="BF30" i="16" s="1"/>
  <c r="EU41" i="12"/>
  <c r="ET74" i="16" s="1"/>
  <c r="ET30" i="16" s="1"/>
  <c r="BX98" i="12"/>
  <c r="BS98" i="12"/>
  <c r="BN41" i="12"/>
  <c r="BM74" i="16" s="1"/>
  <c r="BM30" i="16" s="1"/>
  <c r="R98" i="12"/>
  <c r="DJ98" i="12"/>
  <c r="DL41" i="12"/>
  <c r="DK74" i="16" s="1"/>
  <c r="X98" i="12"/>
  <c r="EO98" i="12"/>
  <c r="AK98" i="12"/>
  <c r="AZ98" i="12"/>
  <c r="EA98" i="12"/>
  <c r="FI98" i="12"/>
  <c r="AO98" i="12"/>
  <c r="DP41" i="12"/>
  <c r="DO74" i="16" s="1"/>
  <c r="DO30" i="16" s="1"/>
  <c r="CF98" i="12"/>
  <c r="CN98" i="12"/>
  <c r="AJ41" i="12"/>
  <c r="AR41" i="12"/>
  <c r="EL41" i="12"/>
  <c r="EK74" i="16" s="1"/>
  <c r="EK30" i="16" s="1"/>
  <c r="EK29" i="16" s="1"/>
  <c r="CW98" i="12"/>
  <c r="FG98" i="12"/>
  <c r="BJ98" i="12"/>
  <c r="AM41" i="12"/>
  <c r="DT98" i="12"/>
  <c r="CM41" i="12"/>
  <c r="CL74" i="16" s="1"/>
  <c r="CL30" i="16" s="1"/>
  <c r="DE98" i="12"/>
  <c r="DC41" i="12"/>
  <c r="DB74" i="16" s="1"/>
  <c r="DB77" i="16" s="1"/>
  <c r="FE41" i="12"/>
  <c r="FD74" i="16" s="1"/>
  <c r="FD30" i="16" s="1"/>
  <c r="FT22" i="18" s="1"/>
  <c r="FD33" i="23" s="1"/>
  <c r="FD35" i="23" s="1"/>
  <c r="AA41" i="12"/>
  <c r="FV41" i="12"/>
  <c r="FU74" i="16" s="1"/>
  <c r="FU30" i="16" s="1"/>
  <c r="FU29" i="16" s="1"/>
  <c r="EW98" i="12"/>
  <c r="FW41" i="12"/>
  <c r="FV74" i="16" s="1"/>
  <c r="FV30" i="16" s="1"/>
  <c r="FV29" i="16" s="1"/>
  <c r="EV98" i="12"/>
  <c r="DO98" i="12"/>
  <c r="GA98" i="12"/>
  <c r="AU41" i="12"/>
  <c r="M98" i="12"/>
  <c r="EX41" i="12"/>
  <c r="EW74" i="16" s="1"/>
  <c r="EW30" i="16" s="1"/>
  <c r="EW29" i="16" s="1"/>
  <c r="ER41" i="12"/>
  <c r="EQ74" i="16" s="1"/>
  <c r="BH41" i="12"/>
  <c r="BG74" i="16" s="1"/>
  <c r="GE98" i="12"/>
  <c r="P98" i="12"/>
  <c r="EG98" i="12"/>
  <c r="FC98" i="12"/>
  <c r="DN98" i="12"/>
  <c r="J98" i="12"/>
  <c r="BM98" i="12"/>
  <c r="BB41" i="12"/>
  <c r="BA74" i="16" s="1"/>
  <c r="BA30" i="16" s="1"/>
  <c r="BQ22" i="18" s="1"/>
  <c r="BA33" i="23" s="1"/>
  <c r="BA35" i="23" s="1"/>
  <c r="AJ98" i="12"/>
  <c r="AA98" i="12"/>
  <c r="EU98" i="12"/>
  <c r="CY41" i="12"/>
  <c r="CX74" i="16" s="1"/>
  <c r="CX30" i="16" s="1"/>
  <c r="BT98" i="12"/>
  <c r="EH41" i="12"/>
  <c r="EG74" i="16" s="1"/>
  <c r="EG30" i="16" s="1"/>
  <c r="GD98" i="12"/>
  <c r="BH98" i="12"/>
  <c r="AC98" i="12"/>
  <c r="W41" i="12"/>
  <c r="CG41" i="12"/>
  <c r="CF74" i="16" s="1"/>
  <c r="CF30" i="16" s="1"/>
  <c r="CF29" i="16" s="1"/>
  <c r="BF41" i="12"/>
  <c r="BE74" i="16" s="1"/>
  <c r="BE30" i="16" s="1"/>
  <c r="BU22" i="18" s="1"/>
  <c r="BE33" i="23" s="1"/>
  <c r="BE35" i="23" s="1"/>
  <c r="DG98" i="12"/>
  <c r="FC41" i="12"/>
  <c r="FB74" i="16" s="1"/>
  <c r="FB30" i="16" s="1"/>
  <c r="FB29" i="16" s="1"/>
  <c r="BA41" i="12"/>
  <c r="AZ74" i="16" s="1"/>
  <c r="AZ30" i="16" s="1"/>
  <c r="BP22" i="18" s="1"/>
  <c r="AZ33" i="23" s="1"/>
  <c r="AZ35" i="23" s="1"/>
  <c r="DB41" i="12"/>
  <c r="DA74" i="16" s="1"/>
  <c r="DA30" i="16" s="1"/>
  <c r="FI41" i="12"/>
  <c r="FH74" i="16" s="1"/>
  <c r="FH77" i="16" s="1"/>
  <c r="EJ98" i="12"/>
  <c r="Q98" i="12"/>
  <c r="DQ98" i="12"/>
  <c r="BP41" i="12"/>
  <c r="BO74" i="16" s="1"/>
  <c r="AP41" i="12"/>
  <c r="FS98" i="12"/>
  <c r="AV98" i="12"/>
  <c r="BO41" i="12"/>
  <c r="BN74" i="16" s="1"/>
  <c r="BN30" i="16" s="1"/>
  <c r="BW41" i="12"/>
  <c r="BV74" i="16" s="1"/>
  <c r="BV30" i="16" s="1"/>
  <c r="FX98" i="12"/>
  <c r="DF41" i="12"/>
  <c r="DE74" i="16" s="1"/>
  <c r="DE30" i="16" s="1"/>
  <c r="EB41" i="12"/>
  <c r="EA74" i="16" s="1"/>
  <c r="BY41" i="12"/>
  <c r="BX74" i="16" s="1"/>
  <c r="BX30" i="16" s="1"/>
  <c r="CN22" i="18" s="1"/>
  <c r="BX33" i="23" s="1"/>
  <c r="BX35" i="23" s="1"/>
  <c r="BY98" i="12"/>
  <c r="DU41" i="12"/>
  <c r="DT74" i="16" s="1"/>
  <c r="DT77" i="16" s="1"/>
  <c r="AQ98" i="12"/>
  <c r="AU98" i="12"/>
  <c r="FN41" i="12"/>
  <c r="FM74" i="16" s="1"/>
  <c r="FM77" i="16" s="1"/>
  <c r="DC98" i="12"/>
  <c r="AS98" i="12"/>
  <c r="BM41" i="12"/>
  <c r="BL74" i="16" s="1"/>
  <c r="BL30" i="16" s="1"/>
  <c r="BP98" i="12"/>
  <c r="EI98" i="12"/>
  <c r="EW41" i="12"/>
  <c r="EV74" i="16" s="1"/>
  <c r="EV30" i="16" s="1"/>
  <c r="BW98" i="12"/>
  <c r="AR98" i="12"/>
  <c r="DS98" i="12"/>
  <c r="CE98" i="12"/>
  <c r="DD98" i="12"/>
  <c r="EY98" i="12"/>
  <c r="AD98" i="12"/>
  <c r="BF98" i="12"/>
  <c r="O98" i="12"/>
  <c r="DO41" i="12"/>
  <c r="DN74" i="16" s="1"/>
  <c r="DN30" i="16" s="1"/>
  <c r="DN29" i="16" s="1"/>
  <c r="AX98" i="12"/>
  <c r="EG41" i="12"/>
  <c r="EF74" i="16" s="1"/>
  <c r="EF30" i="16" s="1"/>
  <c r="EF29" i="16" s="1"/>
  <c r="BC41" i="12"/>
  <c r="BB74" i="16" s="1"/>
  <c r="BB30" i="16" s="1"/>
  <c r="BR22" i="18" s="1"/>
  <c r="BB33" i="23" s="1"/>
  <c r="BB35" i="23" s="1"/>
  <c r="DP98" i="12"/>
  <c r="BZ41" i="12"/>
  <c r="BY74" i="16" s="1"/>
  <c r="BY30" i="16" s="1"/>
  <c r="CO22" i="18" s="1"/>
  <c r="BY33" i="23" s="1"/>
  <c r="BY35" i="23" s="1"/>
  <c r="FR41" i="12"/>
  <c r="FQ74" i="16" s="1"/>
  <c r="FQ30" i="16" s="1"/>
  <c r="FQ29" i="16" s="1"/>
  <c r="CD41" i="12"/>
  <c r="CC74" i="16" s="1"/>
  <c r="CC30" i="16" s="1"/>
  <c r="CS22" i="18" s="1"/>
  <c r="CC33" i="23" s="1"/>
  <c r="CC35" i="23" s="1"/>
  <c r="AG41" i="12"/>
  <c r="CX98" i="12"/>
  <c r="AW41" i="12"/>
  <c r="CT41" i="12"/>
  <c r="CS74" i="16" s="1"/>
  <c r="CS77" i="16" s="1"/>
  <c r="AI41" i="12"/>
  <c r="EJ41" i="12"/>
  <c r="EI74" i="16" s="1"/>
  <c r="BU41" i="12"/>
  <c r="BT74" i="16" s="1"/>
  <c r="BT30" i="16" s="1"/>
  <c r="CJ22" i="18" s="1"/>
  <c r="BT33" i="23" s="1"/>
  <c r="BT35" i="23" s="1"/>
  <c r="AH41" i="12"/>
  <c r="EM41" i="12"/>
  <c r="EL74" i="16" s="1"/>
  <c r="EL30" i="16" s="1"/>
  <c r="CR98" i="12"/>
  <c r="CQ41" i="12"/>
  <c r="CP74" i="16" s="1"/>
  <c r="CP77" i="16" s="1"/>
  <c r="Z98" i="12"/>
  <c r="FB41" i="12"/>
  <c r="FA74" i="16" s="1"/>
  <c r="FA30" i="16" s="1"/>
  <c r="DW41" i="12"/>
  <c r="DV74" i="16" s="1"/>
  <c r="DV30" i="16" s="1"/>
  <c r="DV29" i="16" s="1"/>
  <c r="EE98" i="12"/>
  <c r="BN98" i="12"/>
  <c r="BQ98" i="12"/>
  <c r="CU41" i="12"/>
  <c r="CT74" i="16" s="1"/>
  <c r="CT30" i="16" s="1"/>
  <c r="U41" i="12"/>
  <c r="CQ98" i="12"/>
  <c r="DR98" i="12"/>
  <c r="DK98" i="12"/>
  <c r="EC98" i="12"/>
  <c r="FG41" i="12"/>
  <c r="FF74" i="16" s="1"/>
  <c r="FF30" i="16" s="1"/>
  <c r="AX41" i="12"/>
  <c r="DZ41" i="12"/>
  <c r="DY74" i="16" s="1"/>
  <c r="DY30" i="16" s="1"/>
  <c r="FA98" i="12"/>
  <c r="EK98" i="12"/>
  <c r="ES98" i="12"/>
  <c r="DX98" i="12"/>
  <c r="Z41" i="12"/>
  <c r="AN98" i="12"/>
  <c r="DU98" i="12"/>
  <c r="FM41" i="12"/>
  <c r="FL74" i="16" s="1"/>
  <c r="FL30" i="16" s="1"/>
  <c r="GB22" i="18" s="1"/>
  <c r="FL33" i="23" s="1"/>
  <c r="FL35" i="23" s="1"/>
  <c r="CI98" i="12"/>
  <c r="DR41" i="12"/>
  <c r="DQ74" i="16" s="1"/>
  <c r="DQ30" i="16" s="1"/>
  <c r="DQ29" i="16" s="1"/>
  <c r="BD98" i="12"/>
  <c r="T41" i="12"/>
  <c r="S74" i="16" s="1"/>
  <c r="AT41" i="12"/>
  <c r="AF9" i="4" s="1"/>
  <c r="AF87" i="4" s="1"/>
  <c r="H98" i="12"/>
  <c r="T98" i="12"/>
  <c r="CM98" i="12"/>
  <c r="FZ98" i="12"/>
  <c r="EI41" i="12"/>
  <c r="EH74" i="16" s="1"/>
  <c r="EH77" i="16" s="1"/>
  <c r="BR41" i="12"/>
  <c r="BQ74" i="16" s="1"/>
  <c r="BQ30" i="16" s="1"/>
  <c r="CG22" i="18" s="1"/>
  <c r="BQ33" i="23" s="1"/>
  <c r="BQ35" i="23" s="1"/>
  <c r="DQ41" i="12"/>
  <c r="DP74" i="16" s="1"/>
  <c r="DP30" i="16" s="1"/>
  <c r="EF22" i="18" s="1"/>
  <c r="DP33" i="23" s="1"/>
  <c r="DP35" i="23" s="1"/>
  <c r="DV41" i="12"/>
  <c r="DU74" i="16" s="1"/>
  <c r="DU30" i="16" s="1"/>
  <c r="GC98" i="12"/>
  <c r="EX98" i="12"/>
  <c r="BE98" i="12"/>
  <c r="AF98" i="12"/>
  <c r="AE41" i="12"/>
  <c r="ET41" i="12"/>
  <c r="ES74" i="16" s="1"/>
  <c r="ES30" i="16" s="1"/>
  <c r="FY41" i="12"/>
  <c r="FX74" i="16" s="1"/>
  <c r="FX30" i="16" s="1"/>
  <c r="FX29" i="16" s="1"/>
  <c r="FS41" i="12"/>
  <c r="FR74" i="16" s="1"/>
  <c r="FR30" i="16" s="1"/>
  <c r="FR29" i="16" s="1"/>
  <c r="DB98" i="12"/>
  <c r="FT41" i="12"/>
  <c r="FS74" i="16" s="1"/>
  <c r="FS77" i="16" s="1"/>
  <c r="EP98" i="12"/>
  <c r="FZ41" i="12"/>
  <c r="FY74" i="16" s="1"/>
  <c r="FY30" i="16" s="1"/>
  <c r="FY29" i="16" s="1"/>
  <c r="N98" i="12"/>
  <c r="DN41" i="12"/>
  <c r="DM74" i="16" s="1"/>
  <c r="DM77" i="16" s="1"/>
  <c r="S98" i="12"/>
  <c r="Y41" i="12"/>
  <c r="EH98" i="12"/>
  <c r="BV98" i="12"/>
  <c r="FA41" i="12"/>
  <c r="EZ74" i="16" s="1"/>
  <c r="EZ30" i="16" s="1"/>
  <c r="FE98" i="12"/>
  <c r="CO41" i="12"/>
  <c r="CN74" i="16" s="1"/>
  <c r="CN77" i="16" s="1"/>
  <c r="CZ98" i="12"/>
  <c r="AE98" i="12"/>
  <c r="FT98" i="12"/>
  <c r="AH98" i="12"/>
  <c r="FJ41" i="12"/>
  <c r="FI74" i="16" s="1"/>
  <c r="FI30" i="16" s="1"/>
  <c r="FI29" i="16" s="1"/>
  <c r="EE41" i="12"/>
  <c r="ED74" i="16" s="1"/>
  <c r="ED30" i="16" s="1"/>
  <c r="CP41" i="12"/>
  <c r="CO74" i="16" s="1"/>
  <c r="CO30" i="16" s="1"/>
  <c r="FJ98" i="12"/>
  <c r="F26" i="12"/>
  <c r="ES41" i="12"/>
  <c r="ER74" i="16" s="1"/>
  <c r="ER30" i="16" s="1"/>
  <c r="ER29" i="16" s="1"/>
  <c r="FU98" i="12"/>
  <c r="DE41" i="12"/>
  <c r="DD74" i="16" s="1"/>
  <c r="DD77" i="16" s="1"/>
  <c r="CI41" i="12"/>
  <c r="CH74" i="16" s="1"/>
  <c r="CH77" i="16" s="1"/>
  <c r="CB98" i="12"/>
  <c r="DM41" i="12"/>
  <c r="DL74" i="16" s="1"/>
  <c r="DL30" i="16" s="1"/>
  <c r="DL29" i="16" s="1"/>
  <c r="FP98" i="12"/>
  <c r="BI98" i="12"/>
  <c r="GC41" i="12"/>
  <c r="AF41" i="12"/>
  <c r="R9" i="4" s="1"/>
  <c r="R87" i="4" s="1"/>
  <c r="EZ41" i="12"/>
  <c r="EY74" i="16" s="1"/>
  <c r="BK41" i="12"/>
  <c r="BJ74" i="16" s="1"/>
  <c r="BJ30" i="16" s="1"/>
  <c r="BZ22" i="18" s="1"/>
  <c r="BJ33" i="23" s="1"/>
  <c r="BJ35" i="23" s="1"/>
  <c r="BZ98" i="12"/>
  <c r="EV41" i="12"/>
  <c r="EU74" i="16" s="1"/>
  <c r="EU77" i="16" s="1"/>
  <c r="CA41" i="12"/>
  <c r="BZ74" i="16" s="1"/>
  <c r="BZ30" i="16" s="1"/>
  <c r="BI41" i="12"/>
  <c r="BH74" i="16" s="1"/>
  <c r="BH30" i="16" s="1"/>
  <c r="AD41" i="12"/>
  <c r="FX41" i="12"/>
  <c r="FW74" i="16" s="1"/>
  <c r="FW30" i="16" s="1"/>
  <c r="AL41" i="12"/>
  <c r="CJ41" i="12"/>
  <c r="CI74" i="16" s="1"/>
  <c r="CI30" i="16" s="1"/>
  <c r="CD98" i="12"/>
  <c r="GB41" i="12"/>
  <c r="DX41" i="12"/>
  <c r="DW74" i="16" s="1"/>
  <c r="DW77" i="16" s="1"/>
  <c r="F86" i="12"/>
  <c r="BJ41" i="12"/>
  <c r="BI74" i="16" s="1"/>
  <c r="BI30" i="16" s="1"/>
  <c r="FK98" i="12"/>
  <c r="F11" i="12"/>
  <c r="CT98" i="12"/>
  <c r="DS41" i="12"/>
  <c r="DR74" i="16" s="1"/>
  <c r="DR77" i="16" s="1"/>
  <c r="CN41" i="12"/>
  <c r="CM74" i="16" s="1"/>
  <c r="DA98" i="12"/>
  <c r="AK41" i="12"/>
  <c r="W9" i="4" s="1"/>
  <c r="W87" i="4" s="1"/>
  <c r="EA41" i="12"/>
  <c r="DZ74" i="16" s="1"/>
  <c r="DZ77" i="16" s="1"/>
  <c r="BQ41" i="12"/>
  <c r="BP74" i="16" s="1"/>
  <c r="BP30" i="16" s="1"/>
  <c r="DI98" i="12"/>
  <c r="F74" i="12"/>
  <c r="CP98" i="12"/>
  <c r="BA98" i="12"/>
  <c r="V98" i="12"/>
  <c r="DF98" i="12"/>
  <c r="DJ41" i="12"/>
  <c r="DI74" i="16" s="1"/>
  <c r="DI30" i="16" s="1"/>
  <c r="DY22" i="18" s="1"/>
  <c r="DI33" i="23" s="1"/>
  <c r="DI35" i="23" s="1"/>
  <c r="X41" i="12"/>
  <c r="CO98" i="12"/>
  <c r="EK41" i="12"/>
  <c r="EJ74" i="16" s="1"/>
  <c r="EJ77" i="16" s="1"/>
  <c r="FK41" i="12"/>
  <c r="FJ74" i="16" s="1"/>
  <c r="FJ30" i="16" s="1"/>
  <c r="EN98" i="12"/>
  <c r="AL98" i="12"/>
  <c r="CH41" i="12"/>
  <c r="CG74" i="16" s="1"/>
  <c r="CG30" i="16" s="1"/>
  <c r="DA41" i="12"/>
  <c r="CZ74" i="16" s="1"/>
  <c r="CZ30" i="16" s="1"/>
  <c r="DP22" i="18" s="1"/>
  <c r="CZ33" i="23" s="1"/>
  <c r="CZ35" i="23" s="1"/>
  <c r="BV41" i="12"/>
  <c r="BU74" i="16" s="1"/>
  <c r="BU30" i="16" s="1"/>
  <c r="FN98" i="12"/>
  <c r="AI98" i="12"/>
  <c r="BU98" i="12"/>
  <c r="GA41" i="12"/>
  <c r="FZ74" i="16" s="1"/>
  <c r="FZ77" i="16" s="1"/>
  <c r="DI41" i="12"/>
  <c r="DH74" i="16" s="1"/>
  <c r="DH30" i="16" s="1"/>
  <c r="DH29" i="16" s="1"/>
  <c r="AY98" i="12"/>
  <c r="CC98" i="12"/>
  <c r="GD41" i="12"/>
  <c r="CZ41" i="12"/>
  <c r="CY74" i="16" s="1"/>
  <c r="CY30" i="16" s="1"/>
  <c r="DH41" i="12"/>
  <c r="DG74" i="16" s="1"/>
  <c r="DG30" i="16" s="1"/>
  <c r="BL41" i="12"/>
  <c r="BK74" i="16" s="1"/>
  <c r="BK30" i="16" s="1"/>
  <c r="EF41" i="12"/>
  <c r="EE74" i="16" s="1"/>
  <c r="EE77" i="16" s="1"/>
  <c r="CB41" i="12"/>
  <c r="CA74" i="16" s="1"/>
  <c r="CA30" i="16" s="1"/>
  <c r="CR41" i="12"/>
  <c r="CQ74" i="16" s="1"/>
  <c r="CQ30" i="16" s="1"/>
  <c r="FL41" i="12"/>
  <c r="FK74" i="16" s="1"/>
  <c r="FK30" i="16" s="1"/>
  <c r="R36" i="14"/>
  <c r="R40" i="14" s="1"/>
  <c r="R58" i="14" s="1"/>
  <c r="W6" i="15"/>
  <c r="W5" i="15" s="1"/>
  <c r="W16" i="15" s="1"/>
  <c r="V6" i="15"/>
  <c r="V5" i="15" s="1"/>
  <c r="V16" i="15" s="1"/>
  <c r="J5" i="26"/>
  <c r="U6" i="15"/>
  <c r="U5" i="15" s="1"/>
  <c r="U16" i="15" s="1"/>
  <c r="T6" i="15"/>
  <c r="T5" i="15" s="1"/>
  <c r="G52" i="5"/>
  <c r="B207" i="20"/>
  <c r="L21" i="24"/>
  <c r="X6" i="15" s="1"/>
  <c r="X5" i="15" s="1"/>
  <c r="M19" i="24"/>
  <c r="M20" i="24" s="1"/>
  <c r="M18" i="24"/>
  <c r="N17" i="24"/>
  <c r="E51" i="5"/>
  <c r="I60" i="2" s="1"/>
  <c r="C61" i="4"/>
  <c r="N52" i="5"/>
  <c r="N53" i="5" s="1"/>
  <c r="M52" i="5"/>
  <c r="M53" i="5" s="1"/>
  <c r="L52" i="5"/>
  <c r="L53" i="5" s="1"/>
  <c r="H27" i="25"/>
  <c r="J52" i="5"/>
  <c r="K52" i="5"/>
  <c r="K53" i="5" s="1"/>
  <c r="I52" i="5"/>
  <c r="Q31" i="6"/>
  <c r="H52" i="5"/>
  <c r="O22" i="19"/>
  <c r="F25" i="20"/>
  <c r="H28" i="20"/>
  <c r="P99" i="19"/>
  <c r="P102" i="19" s="1"/>
  <c r="Q99" i="19" s="1"/>
  <c r="Q102" i="19" s="1"/>
  <c r="D359" i="20"/>
  <c r="J25" i="20"/>
  <c r="G25" i="20"/>
  <c r="E31" i="20"/>
  <c r="N29" i="11"/>
  <c r="O30" i="11"/>
  <c r="L25" i="20"/>
  <c r="D28" i="20"/>
  <c r="J31" i="20"/>
  <c r="J945" i="20"/>
  <c r="S71" i="14"/>
  <c r="N34" i="15"/>
  <c r="O28" i="15" s="1"/>
  <c r="O27" i="15" s="1"/>
  <c r="AJ15" i="15" s="1"/>
  <c r="AY25" i="18" s="1"/>
  <c r="N32" i="15"/>
  <c r="T63" i="14"/>
  <c r="N28" i="15"/>
  <c r="N27" i="15" s="1"/>
  <c r="AG15" i="15" s="1"/>
  <c r="AV25" i="18" s="1"/>
  <c r="F31" i="20"/>
  <c r="F28" i="20"/>
  <c r="L15" i="17"/>
  <c r="N22" i="11"/>
  <c r="O23" i="11"/>
  <c r="K15" i="17"/>
  <c r="K12" i="17" s="1"/>
  <c r="K21" i="17" s="1"/>
  <c r="K33" i="17" s="1"/>
  <c r="G17" i="16"/>
  <c r="G26" i="16" s="1"/>
  <c r="G34" i="16" s="1"/>
  <c r="G36" i="16" s="1"/>
  <c r="G31" i="20"/>
  <c r="M28" i="20"/>
  <c r="J28" i="20"/>
  <c r="Z146" i="26"/>
  <c r="Z106" i="26" s="1"/>
  <c r="Z7" i="26"/>
  <c r="AA22" i="24" s="1"/>
  <c r="T338" i="26"/>
  <c r="T342" i="26"/>
  <c r="T343" i="26"/>
  <c r="T346" i="26"/>
  <c r="T350" i="26"/>
  <c r="T351" i="26"/>
  <c r="T286" i="26"/>
  <c r="T283" i="26" s="1"/>
  <c r="T224" i="26" s="1"/>
  <c r="T210" i="26" s="1"/>
  <c r="AD7" i="26"/>
  <c r="AE22" i="24" s="1"/>
  <c r="AD146" i="26"/>
  <c r="AD106" i="26" s="1"/>
  <c r="AB12" i="15"/>
  <c r="AA45" i="23" s="1"/>
  <c r="AC12" i="15"/>
  <c r="AB45" i="23" s="1"/>
  <c r="AD12" i="15"/>
  <c r="AC45" i="23" s="1"/>
  <c r="AE12" i="15"/>
  <c r="AD45" i="23" s="1"/>
  <c r="Y42" i="16"/>
  <c r="AC7" i="26"/>
  <c r="AD22" i="24" s="1"/>
  <c r="AC146" i="26"/>
  <c r="AC106" i="26" s="1"/>
  <c r="AC95" i="26" s="1"/>
  <c r="AK68" i="26"/>
  <c r="AK67" i="26" s="1"/>
  <c r="AK29" i="26" s="1"/>
  <c r="L7" i="26"/>
  <c r="L146" i="26"/>
  <c r="L106" i="26" s="1"/>
  <c r="I338" i="26"/>
  <c r="I342" i="26"/>
  <c r="I343" i="26"/>
  <c r="I346" i="26"/>
  <c r="I350" i="26"/>
  <c r="I351" i="26"/>
  <c r="Z286" i="26"/>
  <c r="Z283" i="26" s="1"/>
  <c r="Z224" i="26" s="1"/>
  <c r="Z210" i="26" s="1"/>
  <c r="Z338" i="26"/>
  <c r="Z342" i="26"/>
  <c r="Z343" i="26"/>
  <c r="Z346" i="26"/>
  <c r="Z350" i="26"/>
  <c r="Z351" i="26"/>
  <c r="Y58" i="16"/>
  <c r="Y20" i="16" s="1"/>
  <c r="Y46" i="23"/>
  <c r="AO19" i="18" s="1"/>
  <c r="T7" i="26"/>
  <c r="U22" i="24" s="1"/>
  <c r="T146" i="26"/>
  <c r="T106" i="26" s="1"/>
  <c r="R5" i="27"/>
  <c r="AD11" i="15"/>
  <c r="AE11" i="15"/>
  <c r="AB11" i="15"/>
  <c r="AC11" i="15"/>
  <c r="AP74" i="16"/>
  <c r="Z42" i="16"/>
  <c r="AE26" i="25"/>
  <c r="AD207" i="25"/>
  <c r="AD208" i="25" s="1"/>
  <c r="AD45" i="25"/>
  <c r="AD46" i="25" s="1"/>
  <c r="AD29" i="25"/>
  <c r="AD30" i="25" s="1"/>
  <c r="AD140" i="25"/>
  <c r="AJ338" i="26"/>
  <c r="AJ342" i="26"/>
  <c r="AJ343" i="26"/>
  <c r="AJ346" i="26"/>
  <c r="AJ350" i="26"/>
  <c r="AJ351" i="26"/>
  <c r="AJ286" i="26"/>
  <c r="AJ283" i="26" s="1"/>
  <c r="AJ224" i="26" s="1"/>
  <c r="AJ210" i="26" s="1"/>
  <c r="AB7" i="26"/>
  <c r="AC22" i="24" s="1"/>
  <c r="AB146" i="26"/>
  <c r="AB106" i="26" s="1"/>
  <c r="P286" i="26"/>
  <c r="P283" i="26" s="1"/>
  <c r="P224" i="26" s="1"/>
  <c r="P210" i="26" s="1"/>
  <c r="P338" i="26"/>
  <c r="P342" i="26"/>
  <c r="P343" i="26"/>
  <c r="P346" i="26"/>
  <c r="P350" i="26"/>
  <c r="P351" i="26"/>
  <c r="U7" i="26"/>
  <c r="V22" i="24" s="1"/>
  <c r="U146" i="26"/>
  <c r="U106" i="26" s="1"/>
  <c r="U95" i="26" s="1"/>
  <c r="K31" i="20"/>
  <c r="Y286" i="26"/>
  <c r="Y283" i="26" s="1"/>
  <c r="Y224" i="26" s="1"/>
  <c r="Y210" i="26" s="1"/>
  <c r="Y338" i="26"/>
  <c r="Y342" i="26"/>
  <c r="Y343" i="26"/>
  <c r="Y346" i="26"/>
  <c r="Y350" i="26"/>
  <c r="Y351" i="26"/>
  <c r="I31" i="20"/>
  <c r="H25" i="20"/>
  <c r="AH146" i="26"/>
  <c r="AH106" i="26" s="1"/>
  <c r="AH7" i="26"/>
  <c r="AI22" i="24" s="1"/>
  <c r="AA42" i="16"/>
  <c r="M59" i="13"/>
  <c r="G949" i="20"/>
  <c r="G944" i="20"/>
  <c r="G946" i="20" s="1"/>
  <c r="G956" i="20"/>
  <c r="Q286" i="26"/>
  <c r="Q283" i="26" s="1"/>
  <c r="Q224" i="26" s="1"/>
  <c r="Q210" i="26" s="1"/>
  <c r="Q338" i="26"/>
  <c r="Q342" i="26"/>
  <c r="Q343" i="26"/>
  <c r="Q346" i="26"/>
  <c r="Q350" i="26"/>
  <c r="Q351" i="26"/>
  <c r="Y44" i="23"/>
  <c r="Z10" i="15"/>
  <c r="AP286" i="26"/>
  <c r="AP283" i="26" s="1"/>
  <c r="AP224" i="26" s="1"/>
  <c r="AP210" i="26" s="1"/>
  <c r="AP338" i="26"/>
  <c r="AP342" i="26"/>
  <c r="AP343" i="26"/>
  <c r="AP346" i="26"/>
  <c r="AP350" i="26"/>
  <c r="AP351" i="26"/>
  <c r="AM338" i="26"/>
  <c r="AM342" i="26"/>
  <c r="AM343" i="26"/>
  <c r="AM346" i="26"/>
  <c r="AM350" i="26"/>
  <c r="AM351" i="26"/>
  <c r="AM286" i="26"/>
  <c r="AM283" i="26" s="1"/>
  <c r="AM224" i="26" s="1"/>
  <c r="AM210" i="26" s="1"/>
  <c r="AB338" i="26"/>
  <c r="AB342" i="26"/>
  <c r="AB343" i="26"/>
  <c r="AB346" i="26"/>
  <c r="AB350" i="26"/>
  <c r="AB351" i="26"/>
  <c r="AB286" i="26"/>
  <c r="AB283" i="26" s="1"/>
  <c r="AB224" i="26" s="1"/>
  <c r="AB210" i="26" s="1"/>
  <c r="AR7" i="26"/>
  <c r="AS22" i="24" s="1"/>
  <c r="AR146" i="26"/>
  <c r="AR106" i="26" s="1"/>
  <c r="U338" i="26"/>
  <c r="U342" i="26"/>
  <c r="U343" i="26"/>
  <c r="U346" i="26"/>
  <c r="U350" i="26"/>
  <c r="U351" i="26"/>
  <c r="U286" i="26"/>
  <c r="U283" i="26" s="1"/>
  <c r="U224" i="26" s="1"/>
  <c r="U210" i="26" s="1"/>
  <c r="AK19" i="18"/>
  <c r="H7" i="26"/>
  <c r="I22" i="24" s="1"/>
  <c r="H146" i="26"/>
  <c r="H106" i="26" s="1"/>
  <c r="H95" i="26" s="1"/>
  <c r="W45" i="23"/>
  <c r="Q57" i="14"/>
  <c r="Q65" i="14" s="1"/>
  <c r="Q22" i="14"/>
  <c r="X44" i="23"/>
  <c r="Y10" i="15"/>
  <c r="AP146" i="26"/>
  <c r="AP106" i="26" s="1"/>
  <c r="AP7" i="26"/>
  <c r="AQ22" i="24" s="1"/>
  <c r="AQ338" i="26"/>
  <c r="AQ342" i="26"/>
  <c r="AQ343" i="26"/>
  <c r="AQ346" i="26"/>
  <c r="AQ350" i="26"/>
  <c r="AQ351" i="26"/>
  <c r="AQ286" i="26"/>
  <c r="AQ283" i="26" s="1"/>
  <c r="AQ224" i="26" s="1"/>
  <c r="AQ210" i="26" s="1"/>
  <c r="V7" i="26"/>
  <c r="W22" i="24" s="1"/>
  <c r="V146" i="26"/>
  <c r="V106" i="26" s="1"/>
  <c r="J338" i="26"/>
  <c r="J342" i="26"/>
  <c r="J343" i="26"/>
  <c r="J346" i="26"/>
  <c r="J350" i="26"/>
  <c r="J351" i="26"/>
  <c r="V338" i="26"/>
  <c r="V342" i="26"/>
  <c r="V343" i="26"/>
  <c r="V346" i="26"/>
  <c r="V350" i="26"/>
  <c r="V351" i="26"/>
  <c r="V286" i="26"/>
  <c r="V283" i="26" s="1"/>
  <c r="V224" i="26" s="1"/>
  <c r="V210" i="26" s="1"/>
  <c r="J146" i="26"/>
  <c r="J106" i="26" s="1"/>
  <c r="J7" i="26"/>
  <c r="W58" i="16"/>
  <c r="W20" i="16" s="1"/>
  <c r="L23" i="15"/>
  <c r="W46" i="23"/>
  <c r="AM19" i="18" s="1"/>
  <c r="I28" i="20"/>
  <c r="AD338" i="26"/>
  <c r="AD342" i="26"/>
  <c r="AD343" i="26"/>
  <c r="AD346" i="26"/>
  <c r="AD350" i="26"/>
  <c r="AD351" i="26"/>
  <c r="AD286" i="26"/>
  <c r="AD283" i="26" s="1"/>
  <c r="AD224" i="26" s="1"/>
  <c r="AD210" i="26" s="1"/>
  <c r="T7" i="27"/>
  <c r="S63" i="27"/>
  <c r="S62" i="27" s="1"/>
  <c r="S11" i="27"/>
  <c r="FN30" i="16"/>
  <c r="FN77" i="16"/>
  <c r="H31" i="20"/>
  <c r="AC338" i="26"/>
  <c r="AC342" i="26"/>
  <c r="AC343" i="26"/>
  <c r="AC346" i="26"/>
  <c r="AC350" i="26"/>
  <c r="AC351" i="26"/>
  <c r="AC286" i="26"/>
  <c r="AC283" i="26" s="1"/>
  <c r="AC224" i="26" s="1"/>
  <c r="AC210" i="26" s="1"/>
  <c r="AL42" i="16"/>
  <c r="AU338" i="26"/>
  <c r="AU342" i="26"/>
  <c r="AU343" i="26"/>
  <c r="AU346" i="26"/>
  <c r="AU350" i="26"/>
  <c r="AU351" i="26"/>
  <c r="AU286" i="26"/>
  <c r="AU283" i="26" s="1"/>
  <c r="AU224" i="26" s="1"/>
  <c r="AU210" i="26" s="1"/>
  <c r="AR338" i="26"/>
  <c r="AR342" i="26"/>
  <c r="AR343" i="26"/>
  <c r="AR346" i="26"/>
  <c r="AR350" i="26"/>
  <c r="AR351" i="26"/>
  <c r="AR286" i="26"/>
  <c r="AR283" i="26" s="1"/>
  <c r="AR224" i="26" s="1"/>
  <c r="AR210" i="26" s="1"/>
  <c r="H342" i="26"/>
  <c r="H343" i="26"/>
  <c r="H346" i="26"/>
  <c r="H350" i="26"/>
  <c r="H351" i="26"/>
  <c r="EP30" i="16"/>
  <c r="EP77" i="16"/>
  <c r="H949" i="20"/>
  <c r="H944" i="20"/>
  <c r="W44" i="23"/>
  <c r="X10" i="15"/>
  <c r="AC68" i="26"/>
  <c r="AC67" i="26" s="1"/>
  <c r="AC29" i="26" s="1"/>
  <c r="AA338" i="26"/>
  <c r="AA342" i="26"/>
  <c r="AA343" i="26"/>
  <c r="AA346" i="26"/>
  <c r="AA350" i="26"/>
  <c r="AA351" i="26"/>
  <c r="AA286" i="26"/>
  <c r="AA283" i="26" s="1"/>
  <c r="AA224" i="26" s="1"/>
  <c r="AA210" i="26" s="1"/>
  <c r="AQ146" i="26"/>
  <c r="AQ106" i="26" s="1"/>
  <c r="AQ7" i="26"/>
  <c r="AR22" i="24" s="1"/>
  <c r="CJ30" i="16"/>
  <c r="CJ77" i="16"/>
  <c r="K28" i="20"/>
  <c r="AK7" i="26"/>
  <c r="AL22" i="24" s="1"/>
  <c r="AK146" i="26"/>
  <c r="AK106" i="26" s="1"/>
  <c r="AK95" i="26" s="1"/>
  <c r="AT7" i="26"/>
  <c r="AU22" i="24" s="1"/>
  <c r="AT146" i="26"/>
  <c r="AT106" i="26" s="1"/>
  <c r="AF7" i="26"/>
  <c r="AG22" i="24" s="1"/>
  <c r="AF146" i="26"/>
  <c r="AF106" i="26" s="1"/>
  <c r="AF95" i="26" s="1"/>
  <c r="G52" i="23"/>
  <c r="G75" i="23" s="1"/>
  <c r="G78" i="23" s="1"/>
  <c r="FG74" i="16"/>
  <c r="AK42" i="16"/>
  <c r="AI19" i="18"/>
  <c r="AD123" i="25"/>
  <c r="AD212" i="25"/>
  <c r="AE50" i="25"/>
  <c r="AD145" i="25"/>
  <c r="N22" i="24"/>
  <c r="M146" i="26"/>
  <c r="M106" i="26" s="1"/>
  <c r="M95" i="26" s="1"/>
  <c r="AN7" i="26"/>
  <c r="AO22" i="24" s="1"/>
  <c r="AN146" i="26"/>
  <c r="AN106" i="26" s="1"/>
  <c r="AN95" i="26" s="1"/>
  <c r="AF68" i="26"/>
  <c r="AF67" i="26" s="1"/>
  <c r="AF29" i="26" s="1"/>
  <c r="I25" i="20"/>
  <c r="AF42" i="16"/>
  <c r="AI338" i="26"/>
  <c r="AI342" i="26"/>
  <c r="AI343" i="26"/>
  <c r="AI346" i="26"/>
  <c r="AI350" i="26"/>
  <c r="AI351" i="26"/>
  <c r="AI286" i="26"/>
  <c r="AI283" i="26" s="1"/>
  <c r="AI224" i="26" s="1"/>
  <c r="AI210" i="26" s="1"/>
  <c r="E25" i="20"/>
  <c r="AA146" i="26"/>
  <c r="AA106" i="26" s="1"/>
  <c r="AA7" i="26"/>
  <c r="AB22" i="24" s="1"/>
  <c r="AU7" i="26"/>
  <c r="AV22" i="24" s="1"/>
  <c r="AU146" i="26"/>
  <c r="AU106" i="26" s="1"/>
  <c r="AC30" i="25"/>
  <c r="AK338" i="26"/>
  <c r="AK342" i="26"/>
  <c r="AK343" i="26"/>
  <c r="AK346" i="26"/>
  <c r="AK350" i="26"/>
  <c r="AK351" i="26"/>
  <c r="AK286" i="26"/>
  <c r="AK283" i="26" s="1"/>
  <c r="AK224" i="26" s="1"/>
  <c r="AK210" i="26" s="1"/>
  <c r="AT338" i="26"/>
  <c r="AT342" i="26"/>
  <c r="AT343" i="26"/>
  <c r="AT346" i="26"/>
  <c r="AT350" i="26"/>
  <c r="AT351" i="26"/>
  <c r="AT286" i="26"/>
  <c r="AT283" i="26" s="1"/>
  <c r="AT224" i="26" s="1"/>
  <c r="AT210" i="26" s="1"/>
  <c r="AF286" i="26"/>
  <c r="AF283" i="26" s="1"/>
  <c r="AF224" i="26" s="1"/>
  <c r="AF210" i="26" s="1"/>
  <c r="AF338" i="26"/>
  <c r="AF342" i="26"/>
  <c r="AF343" i="26"/>
  <c r="AF346" i="26"/>
  <c r="AF350" i="26"/>
  <c r="AF351" i="26"/>
  <c r="AJ42" i="16"/>
  <c r="S20" i="16"/>
  <c r="R286" i="26"/>
  <c r="R283" i="26" s="1"/>
  <c r="R224" i="26" s="1"/>
  <c r="R210" i="26" s="1"/>
  <c r="R338" i="26"/>
  <c r="R342" i="26"/>
  <c r="R343" i="26"/>
  <c r="R346" i="26"/>
  <c r="R350" i="26"/>
  <c r="R351" i="26"/>
  <c r="U68" i="26"/>
  <c r="U67" i="26" s="1"/>
  <c r="U29" i="26" s="1"/>
  <c r="AC53" i="25"/>
  <c r="M338" i="26"/>
  <c r="M342" i="26"/>
  <c r="M343" i="26"/>
  <c r="M346" i="26"/>
  <c r="M350" i="26"/>
  <c r="M351" i="26"/>
  <c r="M286" i="26"/>
  <c r="M283" i="26" s="1"/>
  <c r="M224" i="26" s="1"/>
  <c r="M210" i="26" s="1"/>
  <c r="AN286" i="26"/>
  <c r="AN283" i="26" s="1"/>
  <c r="AN224" i="26" s="1"/>
  <c r="AN210" i="26" s="1"/>
  <c r="AN338" i="26"/>
  <c r="AN342" i="26"/>
  <c r="AN343" i="26"/>
  <c r="AN346" i="26"/>
  <c r="AN350" i="26"/>
  <c r="AN351" i="26"/>
  <c r="M14" i="21"/>
  <c r="AL7" i="26"/>
  <c r="AM22" i="24" s="1"/>
  <c r="AL146" i="26"/>
  <c r="AL106" i="26" s="1"/>
  <c r="K338" i="26"/>
  <c r="K342" i="26"/>
  <c r="K343" i="26"/>
  <c r="K346" i="26"/>
  <c r="K350" i="26"/>
  <c r="K351" i="26"/>
  <c r="AE42" i="16"/>
  <c r="N59" i="13"/>
  <c r="AI146" i="26"/>
  <c r="AI106" i="26" s="1"/>
  <c r="AI7" i="26"/>
  <c r="AJ22" i="24" s="1"/>
  <c r="N7" i="26"/>
  <c r="O22" i="24" s="1"/>
  <c r="N146" i="26"/>
  <c r="N106" i="26" s="1"/>
  <c r="L28" i="20"/>
  <c r="R50" i="14"/>
  <c r="R55" i="14"/>
  <c r="R54" i="14" s="1"/>
  <c r="AC215" i="25"/>
  <c r="D207" i="20"/>
  <c r="O7" i="26"/>
  <c r="P22" i="24" s="1"/>
  <c r="O146" i="26"/>
  <c r="O106" i="26" s="1"/>
  <c r="AO7" i="26"/>
  <c r="AP22" i="24" s="1"/>
  <c r="AO146" i="26"/>
  <c r="AO106" i="26" s="1"/>
  <c r="AS68" i="26"/>
  <c r="AS67" i="26" s="1"/>
  <c r="AS29" i="26" s="1"/>
  <c r="AE6" i="18"/>
  <c r="AL338" i="26"/>
  <c r="AL342" i="26"/>
  <c r="AL343" i="26"/>
  <c r="AL346" i="26"/>
  <c r="AL350" i="26"/>
  <c r="AL351" i="26"/>
  <c r="AL286" i="26"/>
  <c r="AL283" i="26" s="1"/>
  <c r="AL224" i="26" s="1"/>
  <c r="AL210" i="26" s="1"/>
  <c r="X7" i="26"/>
  <c r="Y22" i="24" s="1"/>
  <c r="X146" i="26"/>
  <c r="X106" i="26" s="1"/>
  <c r="X95" i="26" s="1"/>
  <c r="M25" i="20"/>
  <c r="E28" i="20"/>
  <c r="K146" i="26"/>
  <c r="K106" i="26" s="1"/>
  <c r="K7" i="26"/>
  <c r="AG7" i="26"/>
  <c r="AH22" i="24" s="1"/>
  <c r="AG146" i="26"/>
  <c r="AG106" i="26" s="1"/>
  <c r="W7" i="26"/>
  <c r="X22" i="24" s="1"/>
  <c r="W146" i="26"/>
  <c r="W106" i="26" s="1"/>
  <c r="AD42" i="16"/>
  <c r="N338" i="26"/>
  <c r="N342" i="26"/>
  <c r="N343" i="26"/>
  <c r="N346" i="26"/>
  <c r="N350" i="26"/>
  <c r="N351" i="26"/>
  <c r="N286" i="26"/>
  <c r="N283" i="26" s="1"/>
  <c r="N224" i="26" s="1"/>
  <c r="N210" i="26" s="1"/>
  <c r="G28" i="20"/>
  <c r="W46" i="18"/>
  <c r="W44" i="18" s="1"/>
  <c r="K5" i="21"/>
  <c r="K50" i="21" s="1"/>
  <c r="M11" i="26"/>
  <c r="X42" i="16"/>
  <c r="AB74" i="16"/>
  <c r="AI42" i="16"/>
  <c r="O59" i="13"/>
  <c r="L338" i="26"/>
  <c r="L342" i="26"/>
  <c r="L343" i="26"/>
  <c r="L346" i="26"/>
  <c r="L350" i="26"/>
  <c r="L351" i="26"/>
  <c r="L286" i="26"/>
  <c r="L283" i="26" s="1"/>
  <c r="L224" i="26" s="1"/>
  <c r="L210" i="26" s="1"/>
  <c r="AS7" i="26"/>
  <c r="AT22" i="24" s="1"/>
  <c r="AS146" i="26"/>
  <c r="AS106" i="26" s="1"/>
  <c r="AS95" i="26" s="1"/>
  <c r="AN68" i="26"/>
  <c r="AN67" i="26" s="1"/>
  <c r="AN29" i="26" s="1"/>
  <c r="AE7" i="26"/>
  <c r="AF22" i="24" s="1"/>
  <c r="AE146" i="26"/>
  <c r="AE106" i="26" s="1"/>
  <c r="AJ19" i="18"/>
  <c r="O338" i="26"/>
  <c r="O342" i="26"/>
  <c r="O343" i="26"/>
  <c r="O346" i="26"/>
  <c r="O350" i="26"/>
  <c r="O351" i="26"/>
  <c r="O286" i="26"/>
  <c r="O283" i="26" s="1"/>
  <c r="O224" i="26" s="1"/>
  <c r="O210" i="26" s="1"/>
  <c r="F17" i="17"/>
  <c r="AO286" i="26"/>
  <c r="AO283" i="26" s="1"/>
  <c r="AO224" i="26" s="1"/>
  <c r="AO210" i="26" s="1"/>
  <c r="AO338" i="26"/>
  <c r="AO342" i="26"/>
  <c r="AO343" i="26"/>
  <c r="AO346" i="26"/>
  <c r="AO350" i="26"/>
  <c r="AO351" i="26"/>
  <c r="J933" i="20"/>
  <c r="J948" i="20" s="1"/>
  <c r="J940" i="20"/>
  <c r="X286" i="26"/>
  <c r="X283" i="26" s="1"/>
  <c r="X224" i="26" s="1"/>
  <c r="X210" i="26" s="1"/>
  <c r="X338" i="26"/>
  <c r="X342" i="26"/>
  <c r="X343" i="26"/>
  <c r="X346" i="26"/>
  <c r="X350" i="26"/>
  <c r="X351" i="26"/>
  <c r="S338" i="26"/>
  <c r="S342" i="26"/>
  <c r="S343" i="26"/>
  <c r="S346" i="26"/>
  <c r="S350" i="26"/>
  <c r="S351" i="26"/>
  <c r="S286" i="26"/>
  <c r="S283" i="26" s="1"/>
  <c r="S224" i="26" s="1"/>
  <c r="S210" i="26" s="1"/>
  <c r="AL19" i="18"/>
  <c r="AH42" i="16"/>
  <c r="AG286" i="26"/>
  <c r="AG283" i="26" s="1"/>
  <c r="AG224" i="26" s="1"/>
  <c r="AG210" i="26" s="1"/>
  <c r="AG338" i="26"/>
  <c r="AG342" i="26"/>
  <c r="AG343" i="26"/>
  <c r="AG346" i="26"/>
  <c r="AG350" i="26"/>
  <c r="AG351" i="26"/>
  <c r="W338" i="26"/>
  <c r="W342" i="26"/>
  <c r="W343" i="26"/>
  <c r="W346" i="26"/>
  <c r="W350" i="26"/>
  <c r="W351" i="26"/>
  <c r="W286" i="26"/>
  <c r="W283" i="26" s="1"/>
  <c r="W224" i="26" s="1"/>
  <c r="W210" i="26" s="1"/>
  <c r="AC42" i="16"/>
  <c r="H57" i="23"/>
  <c r="AA10" i="15"/>
  <c r="Z44" i="23"/>
  <c r="X58" i="16"/>
  <c r="X20" i="16" s="1"/>
  <c r="X46" i="23"/>
  <c r="AN19" i="18" s="1"/>
  <c r="AC217" i="25"/>
  <c r="AC210" i="25"/>
  <c r="R146" i="26"/>
  <c r="R106" i="26" s="1"/>
  <c r="R7" i="26"/>
  <c r="S22" i="24" s="1"/>
  <c r="I7" i="26"/>
  <c r="J22" i="24" s="1"/>
  <c r="I146" i="26"/>
  <c r="I106" i="26" s="1"/>
  <c r="Z58" i="16"/>
  <c r="Z20" i="16" s="1"/>
  <c r="Z46" i="23"/>
  <c r="AP19" i="18" s="1"/>
  <c r="E9" i="26"/>
  <c r="H68" i="26"/>
  <c r="H67" i="26" s="1"/>
  <c r="H29" i="26" s="1"/>
  <c r="R62" i="27"/>
  <c r="R10" i="27" s="1"/>
  <c r="R4" i="27" s="1"/>
  <c r="K25" i="20"/>
  <c r="X35" i="13"/>
  <c r="AS338" i="26"/>
  <c r="AS342" i="26"/>
  <c r="AS343" i="26"/>
  <c r="AS346" i="26"/>
  <c r="AS350" i="26"/>
  <c r="AS351" i="26"/>
  <c r="AS286" i="26"/>
  <c r="AS283" i="26" s="1"/>
  <c r="AS224" i="26" s="1"/>
  <c r="AS210" i="26" s="1"/>
  <c r="AC48" i="25"/>
  <c r="AC55" i="25"/>
  <c r="AJ7" i="26"/>
  <c r="AK22" i="24" s="1"/>
  <c r="AJ146" i="26"/>
  <c r="AJ106" i="26" s="1"/>
  <c r="AE338" i="26"/>
  <c r="AE342" i="26"/>
  <c r="AE343" i="26"/>
  <c r="AE346" i="26"/>
  <c r="AE350" i="26"/>
  <c r="AE351" i="26"/>
  <c r="AE286" i="26"/>
  <c r="AE283" i="26" s="1"/>
  <c r="AE224" i="26" s="1"/>
  <c r="AE210" i="26" s="1"/>
  <c r="P68" i="26"/>
  <c r="P67" i="26" s="1"/>
  <c r="P29" i="26" s="1"/>
  <c r="X68" i="26"/>
  <c r="X67" i="26" s="1"/>
  <c r="X29" i="26" s="1"/>
  <c r="P7" i="26"/>
  <c r="Q22" i="24" s="1"/>
  <c r="P146" i="26"/>
  <c r="P106" i="26" s="1"/>
  <c r="P95" i="26" s="1"/>
  <c r="P22" i="19"/>
  <c r="Q106" i="19"/>
  <c r="Q109" i="19" s="1"/>
  <c r="Z22" i="24"/>
  <c r="Y146" i="26"/>
  <c r="Y106" i="26" s="1"/>
  <c r="S146" i="26"/>
  <c r="S106" i="26" s="1"/>
  <c r="S7" i="26"/>
  <c r="T22" i="24" s="1"/>
  <c r="D31" i="20"/>
  <c r="AG42" i="16"/>
  <c r="AH286" i="26"/>
  <c r="AH283" i="26" s="1"/>
  <c r="AH224" i="26" s="1"/>
  <c r="AH210" i="26" s="1"/>
  <c r="AH338" i="26"/>
  <c r="AH342" i="26"/>
  <c r="AH343" i="26"/>
  <c r="AH346" i="26"/>
  <c r="AH350" i="26"/>
  <c r="AH351" i="26"/>
  <c r="AB42" i="16"/>
  <c r="P68" i="14"/>
  <c r="P67" i="14"/>
  <c r="F100" i="20"/>
  <c r="Q7" i="26"/>
  <c r="R22" i="24" s="1"/>
  <c r="Q146" i="26"/>
  <c r="Q106" i="26" s="1"/>
  <c r="AM7" i="26"/>
  <c r="AN22" i="24" s="1"/>
  <c r="AM146" i="26"/>
  <c r="AM106" i="26" s="1"/>
  <c r="I53" i="5" l="1"/>
  <c r="S53" i="5" s="1"/>
  <c r="S52" i="5"/>
  <c r="J53" i="5"/>
  <c r="T53" i="5" s="1"/>
  <c r="T52" i="5"/>
  <c r="H53" i="5"/>
  <c r="R53" i="5" s="1"/>
  <c r="R52" i="5"/>
  <c r="G53" i="5"/>
  <c r="Q53" i="5" s="1"/>
  <c r="Q52" i="5"/>
  <c r="AE687" i="20"/>
  <c r="W691" i="20" s="1"/>
  <c r="W690" i="20"/>
  <c r="N2" i="21"/>
  <c r="N1" i="21" s="1"/>
  <c r="AF686" i="20"/>
  <c r="R57" i="14"/>
  <c r="CJ267" i="37"/>
  <c r="E724" i="20" s="1"/>
  <c r="I724" i="20" s="1"/>
  <c r="T648" i="20"/>
  <c r="AJ69" i="4"/>
  <c r="AF444" i="20" s="1"/>
  <c r="H456" i="20" s="1"/>
  <c r="F444" i="20"/>
  <c r="EN77" i="16"/>
  <c r="S61" i="4"/>
  <c r="S20" i="4" s="1"/>
  <c r="H558" i="20"/>
  <c r="CR30" i="16"/>
  <c r="CR29" i="16" s="1"/>
  <c r="Y50" i="23"/>
  <c r="W50" i="23"/>
  <c r="Z50" i="23"/>
  <c r="X50" i="23"/>
  <c r="K49" i="21"/>
  <c r="K236" i="19" s="1"/>
  <c r="K48" i="21"/>
  <c r="K234" i="19" s="1"/>
  <c r="EX77" i="16"/>
  <c r="T32" i="14"/>
  <c r="T19" i="14"/>
  <c r="CW30" i="16"/>
  <c r="CW29" i="16" s="1"/>
  <c r="K931" i="20"/>
  <c r="K940" i="20" s="1"/>
  <c r="BM48" i="23"/>
  <c r="BL48" i="23"/>
  <c r="BN48" i="23"/>
  <c r="BK48" i="23"/>
  <c r="CM48" i="23"/>
  <c r="CP48" i="23"/>
  <c r="CN48" i="23"/>
  <c r="CO48" i="23"/>
  <c r="AL48" i="23"/>
  <c r="AI48" i="23"/>
  <c r="AJ48" i="23"/>
  <c r="AK48" i="23"/>
  <c r="CK48" i="23"/>
  <c r="CI48" i="23"/>
  <c r="CJ48" i="23"/>
  <c r="CL48" i="23"/>
  <c r="AF48" i="23"/>
  <c r="AH48" i="23"/>
  <c r="AE48" i="23"/>
  <c r="AG48" i="23"/>
  <c r="CV48" i="23"/>
  <c r="CU48" i="23"/>
  <c r="CW48" i="23"/>
  <c r="CX48" i="23"/>
  <c r="CH48" i="23"/>
  <c r="CG48" i="23"/>
  <c r="CE48" i="23"/>
  <c r="CF48" i="23"/>
  <c r="DS48" i="23"/>
  <c r="DT48" i="23"/>
  <c r="DV48" i="23"/>
  <c r="DU48" i="23"/>
  <c r="DQ48" i="23"/>
  <c r="DP48" i="23"/>
  <c r="DR48" i="23"/>
  <c r="DO48" i="23"/>
  <c r="DY48" i="23"/>
  <c r="DX48" i="23"/>
  <c r="DZ48" i="23"/>
  <c r="DW48" i="23"/>
  <c r="AY48" i="23"/>
  <c r="BB48" i="23"/>
  <c r="AZ48" i="23"/>
  <c r="BA48" i="23"/>
  <c r="FE48" i="23"/>
  <c r="FF48" i="23"/>
  <c r="FC48" i="23"/>
  <c r="FD48" i="23"/>
  <c r="BU48" i="23"/>
  <c r="BV48" i="23"/>
  <c r="BS48" i="23"/>
  <c r="BT48" i="23"/>
  <c r="BZ48" i="23"/>
  <c r="BW48" i="23"/>
  <c r="BX48" i="23"/>
  <c r="BY48" i="23"/>
  <c r="CS48" i="23"/>
  <c r="CT48" i="23"/>
  <c r="CQ48" i="23"/>
  <c r="CR48" i="23"/>
  <c r="CC48" i="23"/>
  <c r="CA48" i="23"/>
  <c r="CB48" i="23"/>
  <c r="CD48" i="23"/>
  <c r="AP48" i="23"/>
  <c r="AO48" i="23"/>
  <c r="AN48" i="23"/>
  <c r="AM48" i="23"/>
  <c r="DN48" i="23"/>
  <c r="DK48" i="23"/>
  <c r="DL48" i="23"/>
  <c r="DM48" i="23"/>
  <c r="EG48" i="23"/>
  <c r="EH48" i="23"/>
  <c r="EF48" i="23"/>
  <c r="EE48" i="23"/>
  <c r="BE48" i="23"/>
  <c r="BD48" i="23"/>
  <c r="BF48" i="23"/>
  <c r="BC48" i="23"/>
  <c r="AR48" i="23"/>
  <c r="AS48" i="23"/>
  <c r="AQ48" i="23"/>
  <c r="AT48" i="23"/>
  <c r="DI48" i="23"/>
  <c r="DJ48" i="23"/>
  <c r="DH48" i="23"/>
  <c r="DG48" i="23"/>
  <c r="EA48" i="23"/>
  <c r="ED48" i="23"/>
  <c r="EB48" i="23"/>
  <c r="EC48" i="23"/>
  <c r="DC48" i="23"/>
  <c r="DE48" i="23"/>
  <c r="DD48" i="23"/>
  <c r="DF48" i="23"/>
  <c r="EW48" i="23"/>
  <c r="EX48" i="23"/>
  <c r="EV48" i="23"/>
  <c r="EU48" i="23"/>
  <c r="BO48" i="23"/>
  <c r="BP48" i="23"/>
  <c r="BR48" i="23"/>
  <c r="BQ48" i="23"/>
  <c r="ER48" i="23"/>
  <c r="EQ48" i="23"/>
  <c r="ES48" i="23"/>
  <c r="ET48" i="23"/>
  <c r="L48" i="23"/>
  <c r="M48" i="23"/>
  <c r="N48" i="23"/>
  <c r="K48" i="23"/>
  <c r="EI48" i="23"/>
  <c r="EJ48" i="23"/>
  <c r="EK48" i="23"/>
  <c r="EL48" i="23"/>
  <c r="BJ48" i="23"/>
  <c r="BG48" i="23"/>
  <c r="BH48" i="23"/>
  <c r="BI48" i="23"/>
  <c r="AW48" i="23"/>
  <c r="AX48" i="23"/>
  <c r="AU48" i="23"/>
  <c r="AV48" i="23"/>
  <c r="DA48" i="23"/>
  <c r="DB48" i="23"/>
  <c r="CZ48" i="23"/>
  <c r="CY48" i="23"/>
  <c r="EO48" i="23"/>
  <c r="EP48" i="23"/>
  <c r="EM48" i="23"/>
  <c r="EN48" i="23"/>
  <c r="FL48" i="23"/>
  <c r="FN48" i="23"/>
  <c r="FM48" i="23"/>
  <c r="FK48" i="23"/>
  <c r="FH48" i="23"/>
  <c r="FG48" i="23"/>
  <c r="FJ48" i="23"/>
  <c r="FI48" i="23"/>
  <c r="EY48" i="23"/>
  <c r="FB48" i="23"/>
  <c r="EZ48" i="23"/>
  <c r="FA48" i="23"/>
  <c r="CK206" i="37"/>
  <c r="CK215" i="37" s="1"/>
  <c r="CL215" i="37"/>
  <c r="CL208" i="37"/>
  <c r="AC214" i="37"/>
  <c r="AC216" i="37" s="1"/>
  <c r="AC15" i="37" s="1"/>
  <c r="AC270" i="37" s="1"/>
  <c r="CK32" i="37"/>
  <c r="CK59" i="37"/>
  <c r="CK52" i="37"/>
  <c r="CL137" i="37"/>
  <c r="CM28" i="37"/>
  <c r="CM205" i="37" s="1"/>
  <c r="CM206" i="37" s="1"/>
  <c r="CL49" i="37"/>
  <c r="CL50" i="37" s="1"/>
  <c r="CL31" i="37"/>
  <c r="CL32" i="37" s="1"/>
  <c r="AC58" i="37"/>
  <c r="AC60" i="37" s="1"/>
  <c r="AC13" i="37" s="1"/>
  <c r="AC268" i="37" s="1"/>
  <c r="AD208" i="37"/>
  <c r="AD215" i="37"/>
  <c r="AC217" i="37"/>
  <c r="AC149" i="37"/>
  <c r="AC61" i="37"/>
  <c r="AE210" i="37"/>
  <c r="AE142" i="37"/>
  <c r="AD12" i="37"/>
  <c r="AD267" i="37" s="1"/>
  <c r="AD37" i="37"/>
  <c r="AE205" i="37"/>
  <c r="AE206" i="37" s="1"/>
  <c r="AE137" i="37"/>
  <c r="AE49" i="37"/>
  <c r="AE50" i="37" s="1"/>
  <c r="AD52" i="37"/>
  <c r="AD59" i="37"/>
  <c r="AT106" i="12"/>
  <c r="AT107" i="12" s="1"/>
  <c r="H946" i="20"/>
  <c r="H950" i="20" s="1"/>
  <c r="D965" i="20"/>
  <c r="DF30" i="16"/>
  <c r="DF29" i="16" s="1"/>
  <c r="CV30" i="16"/>
  <c r="CV29" i="16" s="1"/>
  <c r="I20" i="2"/>
  <c r="J28" i="2"/>
  <c r="J43" i="2"/>
  <c r="J35" i="2"/>
  <c r="J49" i="2"/>
  <c r="J19" i="2" s="1"/>
  <c r="K44" i="2"/>
  <c r="I19" i="2"/>
  <c r="J27" i="2"/>
  <c r="J42" i="2"/>
  <c r="K10" i="2"/>
  <c r="K29" i="2"/>
  <c r="L11" i="2"/>
  <c r="K9" i="2"/>
  <c r="AW74" i="16"/>
  <c r="AW30" i="16" s="1"/>
  <c r="BM22" i="18" s="1"/>
  <c r="AJ9" i="4"/>
  <c r="AF74" i="16"/>
  <c r="AF30" i="16" s="1"/>
  <c r="AF29" i="16" s="1"/>
  <c r="S9" i="4"/>
  <c r="W74" i="16"/>
  <c r="W30" i="16" s="1"/>
  <c r="AM22" i="18" s="1"/>
  <c r="J9" i="4"/>
  <c r="AK74" i="16"/>
  <c r="AK30" i="16" s="1"/>
  <c r="BA22" i="18" s="1"/>
  <c r="X9" i="4"/>
  <c r="AG74" i="16"/>
  <c r="AG77" i="16" s="1"/>
  <c r="T9" i="4"/>
  <c r="V74" i="16"/>
  <c r="V30" i="16" s="1"/>
  <c r="I9" i="4"/>
  <c r="I87" i="4" s="1"/>
  <c r="AQ74" i="16"/>
  <c r="AQ30" i="16" s="1"/>
  <c r="AD9" i="4"/>
  <c r="AM74" i="16"/>
  <c r="AM30" i="16" s="1"/>
  <c r="BC22" i="18" s="1"/>
  <c r="K614" i="20" s="1"/>
  <c r="K616" i="20" s="1"/>
  <c r="Z9" i="4"/>
  <c r="AU74" i="16"/>
  <c r="AU30" i="16" s="1"/>
  <c r="BK22" i="18" s="1"/>
  <c r="S614" i="20" s="1"/>
  <c r="AH9" i="4"/>
  <c r="X74" i="16"/>
  <c r="X30" i="16" s="1"/>
  <c r="K9" i="4"/>
  <c r="L9" i="4"/>
  <c r="AI74" i="16"/>
  <c r="AI30" i="16" s="1"/>
  <c r="V9" i="4"/>
  <c r="AN74" i="16"/>
  <c r="AN30" i="16" s="1"/>
  <c r="BD22" i="18" s="1"/>
  <c r="AA9" i="4"/>
  <c r="AC74" i="16"/>
  <c r="AC30" i="16" s="1"/>
  <c r="P9" i="4"/>
  <c r="AH74" i="16"/>
  <c r="AH30" i="16" s="1"/>
  <c r="U9" i="4"/>
  <c r="AL74" i="16"/>
  <c r="AL30" i="16" s="1"/>
  <c r="Y9" i="4"/>
  <c r="AA74" i="16"/>
  <c r="AA30" i="16" s="1"/>
  <c r="N9" i="4"/>
  <c r="Q9" i="4"/>
  <c r="AO74" i="16"/>
  <c r="AO30" i="16" s="1"/>
  <c r="AB9" i="4"/>
  <c r="G9" i="4"/>
  <c r="AV74" i="16"/>
  <c r="AV30" i="16" s="1"/>
  <c r="BL22" i="18" s="1"/>
  <c r="AI9" i="4"/>
  <c r="Z74" i="16"/>
  <c r="Z30" i="16" s="1"/>
  <c r="M9" i="4"/>
  <c r="AR74" i="16"/>
  <c r="AR30" i="16" s="1"/>
  <c r="AE9" i="4"/>
  <c r="AT74" i="16"/>
  <c r="AT30" i="16" s="1"/>
  <c r="AG9" i="4"/>
  <c r="CK30" i="16"/>
  <c r="CK29" i="16" s="1"/>
  <c r="FE29" i="16"/>
  <c r="DJ77" i="16"/>
  <c r="O106" i="12"/>
  <c r="O107" i="12" s="1"/>
  <c r="CD77" i="16"/>
  <c r="EC29" i="16"/>
  <c r="FP77" i="16"/>
  <c r="FC77" i="16"/>
  <c r="EC77" i="16"/>
  <c r="FT77" i="16"/>
  <c r="AV106" i="12"/>
  <c r="AV107" i="12" s="1"/>
  <c r="EO30" i="16"/>
  <c r="EO29" i="16" s="1"/>
  <c r="AE106" i="12"/>
  <c r="AE107" i="12" s="1"/>
  <c r="FO77" i="16"/>
  <c r="FE77" i="16"/>
  <c r="DX77" i="16"/>
  <c r="EB30" i="16"/>
  <c r="EB29" i="16" s="1"/>
  <c r="U74" i="16"/>
  <c r="U77" i="16" s="1"/>
  <c r="DT30" i="16"/>
  <c r="DT29" i="16" s="1"/>
  <c r="FV77" i="16"/>
  <c r="DA77" i="16"/>
  <c r="ET77" i="16"/>
  <c r="CL77" i="16"/>
  <c r="EM30" i="16"/>
  <c r="FC22" i="18" s="1"/>
  <c r="AP65" i="12"/>
  <c r="AP66" i="12" s="1"/>
  <c r="AB106" i="12"/>
  <c r="AB107" i="12" s="1"/>
  <c r="AM106" i="12"/>
  <c r="AM107" i="12" s="1"/>
  <c r="S106" i="12"/>
  <c r="S107" i="12" s="1"/>
  <c r="DO77" i="16"/>
  <c r="AL106" i="12"/>
  <c r="AL107" i="12" s="1"/>
  <c r="DB30" i="16"/>
  <c r="AI29" i="17" s="1"/>
  <c r="FA22" i="18"/>
  <c r="EK33" i="23" s="1"/>
  <c r="EK35" i="23" s="1"/>
  <c r="EK77" i="16"/>
  <c r="AK106" i="12"/>
  <c r="AK107" i="12" s="1"/>
  <c r="O65" i="12"/>
  <c r="O66" i="12" s="1"/>
  <c r="FU77" i="16"/>
  <c r="AA106" i="12"/>
  <c r="AA107" i="12" s="1"/>
  <c r="FD29" i="16"/>
  <c r="FD77" i="16"/>
  <c r="AS106" i="12"/>
  <c r="AS107" i="12" s="1"/>
  <c r="AI106" i="12"/>
  <c r="AI107" i="12" s="1"/>
  <c r="FM30" i="16"/>
  <c r="GC22" i="18" s="1"/>
  <c r="FM33" i="23" s="1"/>
  <c r="FM35" i="23" s="1"/>
  <c r="CV22" i="18"/>
  <c r="CF33" i="23" s="1"/>
  <c r="CF35" i="23" s="1"/>
  <c r="Q65" i="12"/>
  <c r="Q66" i="12" s="1"/>
  <c r="FM22" i="18"/>
  <c r="EW33" i="23" s="1"/>
  <c r="EW35" i="23" s="1"/>
  <c r="EW77" i="16"/>
  <c r="FQ77" i="16"/>
  <c r="FH30" i="16"/>
  <c r="FH29" i="16" s="1"/>
  <c r="V106" i="12"/>
  <c r="V107" i="12" s="1"/>
  <c r="AS74" i="16"/>
  <c r="AS30" i="16" s="1"/>
  <c r="AK65" i="12"/>
  <c r="AK66" i="12" s="1"/>
  <c r="U106" i="12"/>
  <c r="U107" i="12" s="1"/>
  <c r="T65" i="12"/>
  <c r="T66" i="12" s="1"/>
  <c r="CT77" i="16"/>
  <c r="CX77" i="16"/>
  <c r="AQ106" i="12"/>
  <c r="AQ107" i="12" s="1"/>
  <c r="DE77" i="16"/>
  <c r="AE65" i="12"/>
  <c r="AE66" i="12" s="1"/>
  <c r="EG77" i="16"/>
  <c r="H106" i="12"/>
  <c r="H107" i="12" s="1"/>
  <c r="L106" i="12"/>
  <c r="L107" i="12" s="1"/>
  <c r="AM65" i="12"/>
  <c r="AM66" i="12" s="1"/>
  <c r="EV22" i="18"/>
  <c r="EF33" i="23" s="1"/>
  <c r="EF35" i="23" s="1"/>
  <c r="FR22" i="18"/>
  <c r="FB33" i="23" s="1"/>
  <c r="FB35" i="23" s="1"/>
  <c r="P65" i="12"/>
  <c r="P66" i="12" s="1"/>
  <c r="FB77" i="16"/>
  <c r="S65" i="12"/>
  <c r="S66" i="12" s="1"/>
  <c r="DZ30" i="16"/>
  <c r="EP22" i="18" s="1"/>
  <c r="DZ33" i="23" s="1"/>
  <c r="DZ35" i="23" s="1"/>
  <c r="CF77" i="16"/>
  <c r="J106" i="12"/>
  <c r="J107" i="12" s="1"/>
  <c r="CH30" i="16"/>
  <c r="CH29" i="16" s="1"/>
  <c r="AO106" i="12"/>
  <c r="AO107" i="12" s="1"/>
  <c r="EZ77" i="16"/>
  <c r="FL77" i="16"/>
  <c r="R106" i="12"/>
  <c r="R107" i="12" s="1"/>
  <c r="FL29" i="16"/>
  <c r="ED77" i="16"/>
  <c r="AP106" i="12"/>
  <c r="AP107" i="12" s="1"/>
  <c r="DY77" i="16"/>
  <c r="EF77" i="16"/>
  <c r="CS30" i="16"/>
  <c r="DI22" i="18" s="1"/>
  <c r="CS33" i="23" s="1"/>
  <c r="CS35" i="23" s="1"/>
  <c r="AD106" i="12"/>
  <c r="AD107" i="12" s="1"/>
  <c r="Y106" i="12"/>
  <c r="Y107" i="12" s="1"/>
  <c r="W65" i="12"/>
  <c r="W66" i="12" s="1"/>
  <c r="EL22" i="18"/>
  <c r="DV33" i="23" s="1"/>
  <c r="DV35" i="23" s="1"/>
  <c r="FH22" i="18"/>
  <c r="ER33" i="23" s="1"/>
  <c r="ER35" i="23" s="1"/>
  <c r="EE30" i="16"/>
  <c r="EE29" i="16" s="1"/>
  <c r="Y74" i="16"/>
  <c r="Y77" i="16" s="1"/>
  <c r="DU77" i="16"/>
  <c r="EV77" i="16"/>
  <c r="Z106" i="12"/>
  <c r="Z107" i="12" s="1"/>
  <c r="AG106" i="12"/>
  <c r="AG107" i="12" s="1"/>
  <c r="AR106" i="12"/>
  <c r="AR107" i="12" s="1"/>
  <c r="W106" i="12"/>
  <c r="W107" i="12" s="1"/>
  <c r="P106" i="12"/>
  <c r="P107" i="12" s="1"/>
  <c r="M106" i="12"/>
  <c r="M107" i="12" s="1"/>
  <c r="K65" i="12"/>
  <c r="K66" i="12" s="1"/>
  <c r="DP77" i="16"/>
  <c r="AH106" i="12"/>
  <c r="AH107" i="12" s="1"/>
  <c r="DP29" i="16"/>
  <c r="FX77" i="16"/>
  <c r="ER77" i="16"/>
  <c r="DV77" i="16"/>
  <c r="FZ30" i="16"/>
  <c r="FZ29" i="16" s="1"/>
  <c r="AN106" i="12"/>
  <c r="AN107" i="12" s="1"/>
  <c r="X65" i="12"/>
  <c r="X66" i="12" s="1"/>
  <c r="Q106" i="12"/>
  <c r="Q107" i="12" s="1"/>
  <c r="I106" i="12"/>
  <c r="I107" i="12" s="1"/>
  <c r="FY22" i="18"/>
  <c r="FI33" i="23" s="1"/>
  <c r="FI35" i="23" s="1"/>
  <c r="ED22" i="18"/>
  <c r="DN33" i="23" s="1"/>
  <c r="DN35" i="23" s="1"/>
  <c r="DI77" i="16"/>
  <c r="DI29" i="16"/>
  <c r="CZ29" i="16"/>
  <c r="FK77" i="16"/>
  <c r="DN77" i="16"/>
  <c r="EL77" i="16"/>
  <c r="CI77" i="16"/>
  <c r="X106" i="12"/>
  <c r="X107" i="12" s="1"/>
  <c r="AV65" i="12"/>
  <c r="AV66" i="12" s="1"/>
  <c r="R65" i="12"/>
  <c r="R66" i="12" s="1"/>
  <c r="FI77" i="16"/>
  <c r="AB65" i="12"/>
  <c r="AB66" i="12" s="1"/>
  <c r="T106" i="12"/>
  <c r="T107" i="12" s="1"/>
  <c r="AJ106" i="12"/>
  <c r="AJ107" i="12" s="1"/>
  <c r="FA77" i="16"/>
  <c r="AG65" i="12"/>
  <c r="AG66" i="12" s="1"/>
  <c r="CC29" i="16"/>
  <c r="FF77" i="16"/>
  <c r="AS65" i="12"/>
  <c r="AS66" i="12" s="1"/>
  <c r="CC77" i="16"/>
  <c r="FR77" i="16"/>
  <c r="K106" i="12"/>
  <c r="K107" i="12" s="1"/>
  <c r="CY77" i="16"/>
  <c r="EU30" i="16"/>
  <c r="FK22" i="18" s="1"/>
  <c r="CP30" i="16"/>
  <c r="DF22" i="18" s="1"/>
  <c r="CP33" i="23" s="1"/>
  <c r="CP35" i="23" s="1"/>
  <c r="T74" i="16"/>
  <c r="T30" i="16" s="1"/>
  <c r="T29" i="16" s="1"/>
  <c r="N65" i="12"/>
  <c r="N66" i="12" s="1"/>
  <c r="DD30" i="16"/>
  <c r="DD29" i="16" s="1"/>
  <c r="AT65" i="12"/>
  <c r="AT66" i="12" s="1"/>
  <c r="AJ74" i="16"/>
  <c r="AJ30" i="16" s="1"/>
  <c r="DL77" i="16"/>
  <c r="CQ77" i="16"/>
  <c r="AQ65" i="12"/>
  <c r="AQ66" i="12" s="1"/>
  <c r="EG22" i="18"/>
  <c r="DQ33" i="23" s="1"/>
  <c r="DQ35" i="23" s="1"/>
  <c r="DQ77" i="16"/>
  <c r="ES77" i="16"/>
  <c r="CN30" i="16"/>
  <c r="CN29" i="16" s="1"/>
  <c r="AN65" i="12"/>
  <c r="AN66" i="12" s="1"/>
  <c r="DW30" i="16"/>
  <c r="EM22" i="18" s="1"/>
  <c r="DM30" i="16"/>
  <c r="DM29" i="16" s="1"/>
  <c r="AF7" i="4"/>
  <c r="CG77" i="16"/>
  <c r="AD65" i="12"/>
  <c r="AD66" i="12" s="1"/>
  <c r="W7" i="4"/>
  <c r="AA65" i="12"/>
  <c r="AA66" i="12" s="1"/>
  <c r="DX22" i="18"/>
  <c r="DH33" i="23" s="1"/>
  <c r="DH35" i="23" s="1"/>
  <c r="L65" i="12"/>
  <c r="L66" i="12" s="1"/>
  <c r="AI65" i="12"/>
  <c r="AI66" i="12" s="1"/>
  <c r="EH30" i="16"/>
  <c r="EX22" i="18" s="1"/>
  <c r="EH33" i="23" s="1"/>
  <c r="EH35" i="23" s="1"/>
  <c r="AF65" i="12"/>
  <c r="AF66" i="12" s="1"/>
  <c r="FY77" i="16"/>
  <c r="M65" i="12"/>
  <c r="M66" i="12" s="1"/>
  <c r="AC65" i="12"/>
  <c r="AC66" i="12" s="1"/>
  <c r="AD74" i="16"/>
  <c r="AD30" i="16" s="1"/>
  <c r="AD29" i="16" s="1"/>
  <c r="CO77" i="16"/>
  <c r="AR65" i="12"/>
  <c r="AR66" i="12" s="1"/>
  <c r="AU106" i="12"/>
  <c r="AU107" i="12" s="1"/>
  <c r="EB22" i="18"/>
  <c r="DL33" i="23" s="1"/>
  <c r="DL35" i="23" s="1"/>
  <c r="DG77" i="16"/>
  <c r="AC106" i="12"/>
  <c r="AC107" i="12" s="1"/>
  <c r="FS30" i="16"/>
  <c r="FS29" i="16" s="1"/>
  <c r="CZ77" i="16"/>
  <c r="AF106" i="12"/>
  <c r="AF107" i="12" s="1"/>
  <c r="FW77" i="16"/>
  <c r="DH77" i="16"/>
  <c r="Z65" i="12"/>
  <c r="Z66" i="12" s="1"/>
  <c r="F98" i="12"/>
  <c r="F41" i="12"/>
  <c r="DR30" i="16"/>
  <c r="EH22" i="18" s="1"/>
  <c r="DR33" i="23" s="1"/>
  <c r="DR35" i="23" s="1"/>
  <c r="V65" i="12"/>
  <c r="V66" i="12" s="1"/>
  <c r="AH65" i="12"/>
  <c r="AH66" i="12" s="1"/>
  <c r="AU65" i="12"/>
  <c r="AU66" i="12" s="1"/>
  <c r="AJ65" i="12"/>
  <c r="AJ66" i="12" s="1"/>
  <c r="N106" i="12"/>
  <c r="N107" i="12" s="1"/>
  <c r="AO65" i="12"/>
  <c r="AO66" i="12" s="1"/>
  <c r="FJ77" i="16"/>
  <c r="AL65" i="12"/>
  <c r="AL66" i="12" s="1"/>
  <c r="Y65" i="12"/>
  <c r="Y66" i="12" s="1"/>
  <c r="U65" i="12"/>
  <c r="U66" i="12" s="1"/>
  <c r="AE74" i="16"/>
  <c r="EJ30" i="16"/>
  <c r="EJ29" i="16" s="1"/>
  <c r="H60" i="2"/>
  <c r="W19" i="15"/>
  <c r="K5" i="26"/>
  <c r="AA6" i="15"/>
  <c r="AA5" i="15" s="1"/>
  <c r="AA16" i="15" s="1"/>
  <c r="S36" i="14"/>
  <c r="S40" i="14" s="1"/>
  <c r="S58" i="14" s="1"/>
  <c r="Z6" i="15"/>
  <c r="Z5" i="15" s="1"/>
  <c r="Z16" i="15" s="1"/>
  <c r="Y6" i="15"/>
  <c r="Y5" i="15" s="1"/>
  <c r="Y16" i="15" s="1"/>
  <c r="M21" i="24"/>
  <c r="O17" i="24"/>
  <c r="N18" i="24"/>
  <c r="N19" i="24"/>
  <c r="N20" i="24" s="1"/>
  <c r="H7" i="4"/>
  <c r="H9" i="36"/>
  <c r="AC7" i="4"/>
  <c r="AC9" i="36"/>
  <c r="AC42" i="36" s="1"/>
  <c r="O7" i="4"/>
  <c r="O9" i="36"/>
  <c r="O42" i="36" s="1"/>
  <c r="J23" i="24"/>
  <c r="R56" i="16"/>
  <c r="O56" i="16"/>
  <c r="Q56" i="16"/>
  <c r="P56" i="16"/>
  <c r="P21" i="19"/>
  <c r="AR341" i="26"/>
  <c r="Q68" i="14"/>
  <c r="AG341" i="26"/>
  <c r="O29" i="11"/>
  <c r="P30" i="11"/>
  <c r="W341" i="26"/>
  <c r="X341" i="26"/>
  <c r="Q341" i="26"/>
  <c r="AL344" i="26"/>
  <c r="P344" i="26"/>
  <c r="S341" i="26"/>
  <c r="K341" i="26"/>
  <c r="AN341" i="26"/>
  <c r="M341" i="26"/>
  <c r="T71" i="14"/>
  <c r="K945" i="20"/>
  <c r="W344" i="26"/>
  <c r="O34" i="15"/>
  <c r="P28" i="15" s="1"/>
  <c r="P27" i="15" s="1"/>
  <c r="AN15" i="15" s="1"/>
  <c r="BC25" i="18" s="1"/>
  <c r="O32" i="15"/>
  <c r="AQ341" i="26"/>
  <c r="P24" i="21"/>
  <c r="AB62" i="16"/>
  <c r="AB25" i="16" s="1"/>
  <c r="P20" i="17" s="1"/>
  <c r="J341" i="26"/>
  <c r="V344" i="26"/>
  <c r="T109" i="16"/>
  <c r="T111" i="16" s="1"/>
  <c r="U118" i="16" s="1"/>
  <c r="K35" i="17"/>
  <c r="J221" i="19" s="1"/>
  <c r="J219" i="19" s="1"/>
  <c r="J55" i="19" s="1"/>
  <c r="J53" i="19" s="1"/>
  <c r="J56" i="19" s="1"/>
  <c r="O22" i="11"/>
  <c r="P23" i="11"/>
  <c r="AB341" i="26"/>
  <c r="L344" i="26"/>
  <c r="AF341" i="26"/>
  <c r="AK341" i="26"/>
  <c r="H344" i="26"/>
  <c r="P341" i="26"/>
  <c r="AD341" i="26"/>
  <c r="X344" i="26"/>
  <c r="AA341" i="26"/>
  <c r="I341" i="26"/>
  <c r="AM344" i="26"/>
  <c r="AF8" i="15"/>
  <c r="AG8" i="15"/>
  <c r="AH8" i="15"/>
  <c r="AI8" i="15"/>
  <c r="AG336" i="26"/>
  <c r="AG337" i="26"/>
  <c r="EL29" i="16"/>
  <c r="FB22" i="18"/>
  <c r="EL33" i="23" s="1"/>
  <c r="EL35" i="23" s="1"/>
  <c r="X10" i="16"/>
  <c r="N337" i="26"/>
  <c r="N336" i="26"/>
  <c r="DE29" i="16"/>
  <c r="DU22" i="18"/>
  <c r="DE33" i="23" s="1"/>
  <c r="DE35" i="23" s="1"/>
  <c r="R49" i="14"/>
  <c r="S51" i="14" s="1"/>
  <c r="AI95" i="26"/>
  <c r="AJ10" i="16"/>
  <c r="CI22" i="18"/>
  <c r="AA29" i="17"/>
  <c r="AK10" i="16"/>
  <c r="BN22" i="18"/>
  <c r="AX33" i="23" s="1"/>
  <c r="AX35" i="23" s="1"/>
  <c r="FD22" i="18"/>
  <c r="EN33" i="23" s="1"/>
  <c r="EN35" i="23" s="1"/>
  <c r="EN29" i="16"/>
  <c r="AT95" i="26"/>
  <c r="FN22" i="18"/>
  <c r="EX33" i="23" s="1"/>
  <c r="EX35" i="23" s="1"/>
  <c r="EX29" i="16"/>
  <c r="AC11" i="26"/>
  <c r="FF22" i="18"/>
  <c r="EP33" i="23" s="1"/>
  <c r="EP35" i="23" s="1"/>
  <c r="EP29" i="16"/>
  <c r="AU337" i="26"/>
  <c r="AU336" i="26"/>
  <c r="AL10" i="16"/>
  <c r="CR22" i="18"/>
  <c r="CB33" i="23" s="1"/>
  <c r="CB35" i="23" s="1"/>
  <c r="U7" i="27"/>
  <c r="T63" i="27"/>
  <c r="T62" i="27" s="1"/>
  <c r="T11" i="27"/>
  <c r="AD337" i="26"/>
  <c r="AD336" i="26"/>
  <c r="O18" i="21"/>
  <c r="F278" i="20" s="1"/>
  <c r="J337" i="26"/>
  <c r="J336" i="26"/>
  <c r="CD22" i="18"/>
  <c r="BN33" i="23" s="1"/>
  <c r="BN35" i="23" s="1"/>
  <c r="AR95" i="26"/>
  <c r="AB44" i="23"/>
  <c r="AC10" i="15"/>
  <c r="T95" i="26"/>
  <c r="GA22" i="18"/>
  <c r="FK29" i="16"/>
  <c r="Z95" i="26"/>
  <c r="AE95" i="26"/>
  <c r="AG95" i="26"/>
  <c r="AS11" i="26"/>
  <c r="K344" i="26"/>
  <c r="M5" i="21"/>
  <c r="AN337" i="26"/>
  <c r="AN336" i="26"/>
  <c r="M337" i="26"/>
  <c r="M336" i="26"/>
  <c r="N15" i="17"/>
  <c r="DG22" i="18"/>
  <c r="CQ29" i="16"/>
  <c r="AF344" i="26"/>
  <c r="AK337" i="26"/>
  <c r="AK336" i="26"/>
  <c r="CZ22" i="18"/>
  <c r="CJ33" i="23" s="1"/>
  <c r="CJ35" i="23" s="1"/>
  <c r="CJ29" i="16"/>
  <c r="V95" i="26"/>
  <c r="AQ337" i="26"/>
  <c r="AQ336" i="26"/>
  <c r="AP95" i="26"/>
  <c r="I23" i="24"/>
  <c r="AB337" i="26"/>
  <c r="AB336" i="26"/>
  <c r="Q336" i="26"/>
  <c r="Q337" i="26"/>
  <c r="AH95" i="26"/>
  <c r="AD34" i="25"/>
  <c r="AD11" i="25"/>
  <c r="AD268" i="25" s="1"/>
  <c r="AA44" i="23"/>
  <c r="AB10" i="15"/>
  <c r="Z341" i="26"/>
  <c r="I336" i="26"/>
  <c r="I337" i="26"/>
  <c r="FA29" i="16"/>
  <c r="FQ22" i="18"/>
  <c r="FA33" i="23" s="1"/>
  <c r="FA35" i="23" s="1"/>
  <c r="T344" i="26"/>
  <c r="AC216" i="25"/>
  <c r="AC218" i="25" s="1"/>
  <c r="AC14" i="25" s="1"/>
  <c r="S337" i="26"/>
  <c r="S336" i="26"/>
  <c r="W337" i="26"/>
  <c r="W336" i="26"/>
  <c r="BG30" i="16"/>
  <c r="X337" i="26"/>
  <c r="X336" i="26"/>
  <c r="AO344" i="26"/>
  <c r="FO29" i="16"/>
  <c r="AZ29" i="17"/>
  <c r="AN11" i="26"/>
  <c r="CC22" i="18"/>
  <c r="BM33" i="23" s="1"/>
  <c r="BM35" i="23" s="1"/>
  <c r="AD10" i="16"/>
  <c r="AO95" i="26"/>
  <c r="R344" i="26"/>
  <c r="AT344" i="26"/>
  <c r="AC11" i="25"/>
  <c r="AC34" i="25"/>
  <c r="CQ22" i="18"/>
  <c r="AC29" i="17"/>
  <c r="AF10" i="16"/>
  <c r="DO22" i="18"/>
  <c r="CY29" i="16"/>
  <c r="EQ30" i="16"/>
  <c r="EQ77" i="16"/>
  <c r="H341" i="26"/>
  <c r="FL22" i="18"/>
  <c r="EV33" i="23" s="1"/>
  <c r="EV35" i="23" s="1"/>
  <c r="EV29" i="16"/>
  <c r="O15" i="17"/>
  <c r="F206" i="20" s="1"/>
  <c r="V341" i="26"/>
  <c r="AM341" i="26"/>
  <c r="AO31" i="18"/>
  <c r="AO30" i="18" s="1"/>
  <c r="AO27" i="18" s="1"/>
  <c r="AD48" i="25"/>
  <c r="AD55" i="25"/>
  <c r="Z337" i="26"/>
  <c r="Z336" i="26"/>
  <c r="CG29" i="16"/>
  <c r="CW22" i="18"/>
  <c r="CG33" i="23" s="1"/>
  <c r="CG35" i="23" s="1"/>
  <c r="AK11" i="26"/>
  <c r="EI30" i="16"/>
  <c r="EI77" i="16"/>
  <c r="R95" i="26"/>
  <c r="X11" i="26"/>
  <c r="FJ29" i="16"/>
  <c r="FZ22" i="18"/>
  <c r="FJ33" i="23" s="1"/>
  <c r="FJ35" i="23" s="1"/>
  <c r="BO30" i="16"/>
  <c r="O344" i="26"/>
  <c r="L341" i="26"/>
  <c r="DJ22" i="18"/>
  <c r="CT33" i="23" s="1"/>
  <c r="CT35" i="23" s="1"/>
  <c r="CT29" i="16"/>
  <c r="AU95" i="26"/>
  <c r="AI344" i="26"/>
  <c r="AE123" i="25"/>
  <c r="AE212" i="25"/>
  <c r="AF50" i="25"/>
  <c r="AE145" i="25"/>
  <c r="N18" i="21"/>
  <c r="AQ95" i="26"/>
  <c r="E111" i="20"/>
  <c r="L25" i="15"/>
  <c r="EW22" i="18"/>
  <c r="EG33" i="23" s="1"/>
  <c r="EG35" i="23" s="1"/>
  <c r="EG29" i="16"/>
  <c r="AC344" i="26"/>
  <c r="K22" i="24"/>
  <c r="T19" i="15"/>
  <c r="V337" i="26"/>
  <c r="V336" i="26"/>
  <c r="CB22" i="18"/>
  <c r="BL33" i="23" s="1"/>
  <c r="BL35" i="23" s="1"/>
  <c r="AN31" i="18"/>
  <c r="AN30" i="18" s="1"/>
  <c r="AN27" i="18" s="1"/>
  <c r="CL22" i="18"/>
  <c r="BV33" i="23" s="1"/>
  <c r="BV35" i="23" s="1"/>
  <c r="AM337" i="26"/>
  <c r="AM336" i="26"/>
  <c r="AA10" i="16"/>
  <c r="AD217" i="25"/>
  <c r="AD210" i="25"/>
  <c r="EZ29" i="16"/>
  <c r="FP22" i="18"/>
  <c r="EZ33" i="23" s="1"/>
  <c r="EZ35" i="23" s="1"/>
  <c r="AD44" i="23"/>
  <c r="AE10" i="15"/>
  <c r="T341" i="26"/>
  <c r="CY22" i="18"/>
  <c r="CI29" i="16"/>
  <c r="H64" i="23"/>
  <c r="S95" i="26"/>
  <c r="DQ22" i="18"/>
  <c r="DA33" i="23" s="1"/>
  <c r="DA35" i="23" s="1"/>
  <c r="DA29" i="16"/>
  <c r="AB10" i="16"/>
  <c r="AE344" i="26"/>
  <c r="AO341" i="26"/>
  <c r="BV22" i="18"/>
  <c r="BF33" i="23" s="1"/>
  <c r="BF35" i="23" s="1"/>
  <c r="L337" i="26"/>
  <c r="L336" i="26"/>
  <c r="ES29" i="16"/>
  <c r="FI22" i="18"/>
  <c r="ES33" i="23" s="1"/>
  <c r="ES35" i="23" s="1"/>
  <c r="FS22" i="18"/>
  <c r="AW29" i="17"/>
  <c r="FC29" i="16"/>
  <c r="I949" i="20"/>
  <c r="L22" i="24"/>
  <c r="X19" i="15"/>
  <c r="O95" i="26"/>
  <c r="K337" i="26"/>
  <c r="K336" i="26"/>
  <c r="R341" i="26"/>
  <c r="AF337" i="26"/>
  <c r="AF336" i="26"/>
  <c r="AT341" i="26"/>
  <c r="CF22" i="18"/>
  <c r="BP33" i="23" s="1"/>
  <c r="BP35" i="23" s="1"/>
  <c r="ED29" i="16"/>
  <c r="ET22" i="18"/>
  <c r="ED33" i="23" s="1"/>
  <c r="ED35" i="23" s="1"/>
  <c r="AA344" i="26"/>
  <c r="AM31" i="18"/>
  <c r="ET29" i="16"/>
  <c r="FJ22" i="18"/>
  <c r="ET33" i="23" s="1"/>
  <c r="ET35" i="23" s="1"/>
  <c r="AR344" i="26"/>
  <c r="GD22" i="18"/>
  <c r="FN33" i="23" s="1"/>
  <c r="FN35" i="23" s="1"/>
  <c r="FN29" i="16"/>
  <c r="J95" i="26"/>
  <c r="EE22" i="18"/>
  <c r="DO29" i="16"/>
  <c r="U344" i="26"/>
  <c r="AP344" i="26"/>
  <c r="Y344" i="26"/>
  <c r="FW29" i="16"/>
  <c r="P337" i="26"/>
  <c r="P336" i="26"/>
  <c r="AJ344" i="26"/>
  <c r="AE29" i="25"/>
  <c r="AF26" i="25"/>
  <c r="AE140" i="25"/>
  <c r="AE207" i="25"/>
  <c r="AE208" i="25" s="1"/>
  <c r="AE45" i="25"/>
  <c r="AE46" i="25" s="1"/>
  <c r="AC44" i="23"/>
  <c r="AD10" i="15"/>
  <c r="L95" i="26"/>
  <c r="AD95" i="26"/>
  <c r="T337" i="26"/>
  <c r="T336" i="26"/>
  <c r="Q95" i="26"/>
  <c r="AG10" i="16"/>
  <c r="EY30" i="16"/>
  <c r="EY77" i="16"/>
  <c r="R99" i="19"/>
  <c r="R102" i="19" s="1"/>
  <c r="Q21" i="19"/>
  <c r="AS344" i="26"/>
  <c r="AH344" i="26"/>
  <c r="Y95" i="26"/>
  <c r="BS22" i="18"/>
  <c r="W29" i="17"/>
  <c r="AB8" i="15"/>
  <c r="AC8" i="15"/>
  <c r="AD8" i="15"/>
  <c r="AE8" i="15"/>
  <c r="AE341" i="26"/>
  <c r="AS341" i="26"/>
  <c r="I95" i="26"/>
  <c r="AC10" i="16"/>
  <c r="AG344" i="26"/>
  <c r="AO336" i="26"/>
  <c r="AO337" i="26"/>
  <c r="O341" i="26"/>
  <c r="N344" i="26"/>
  <c r="K95" i="26"/>
  <c r="AL341" i="26"/>
  <c r="N95" i="26"/>
  <c r="U11" i="26"/>
  <c r="R337" i="26"/>
  <c r="R336" i="26"/>
  <c r="DZ22" i="18"/>
  <c r="DJ33" i="23" s="1"/>
  <c r="DJ35" i="23" s="1"/>
  <c r="DJ29" i="16"/>
  <c r="AT337" i="26"/>
  <c r="AT336" i="26"/>
  <c r="AI341" i="26"/>
  <c r="AF11" i="26"/>
  <c r="EN22" i="18"/>
  <c r="DX33" i="23" s="1"/>
  <c r="DX35" i="23" s="1"/>
  <c r="DX29" i="16"/>
  <c r="AU344" i="26"/>
  <c r="CH22" i="18"/>
  <c r="BR33" i="23" s="1"/>
  <c r="BR35" i="23" s="1"/>
  <c r="AC341" i="26"/>
  <c r="AD344" i="26"/>
  <c r="J344" i="26"/>
  <c r="DU29" i="16"/>
  <c r="EK22" i="18"/>
  <c r="DU33" i="23" s="1"/>
  <c r="DU35" i="23" s="1"/>
  <c r="G100" i="20"/>
  <c r="Q72" i="14"/>
  <c r="Q67" i="14"/>
  <c r="CT22" i="18"/>
  <c r="CD33" i="23" s="1"/>
  <c r="CD35" i="23" s="1"/>
  <c r="CD29" i="16"/>
  <c r="X16" i="15"/>
  <c r="D110" i="20"/>
  <c r="T16" i="15"/>
  <c r="K21" i="15"/>
  <c r="CO29" i="16"/>
  <c r="DE22" i="18"/>
  <c r="CO33" i="23" s="1"/>
  <c r="CO35" i="23" s="1"/>
  <c r="Z10" i="16"/>
  <c r="AB19" i="15"/>
  <c r="M22" i="24"/>
  <c r="Y10" i="16"/>
  <c r="EA30" i="16"/>
  <c r="EA77" i="16"/>
  <c r="AJ95" i="26"/>
  <c r="AH10" i="16"/>
  <c r="P11" i="26"/>
  <c r="AH341" i="26"/>
  <c r="DK30" i="16"/>
  <c r="DK77" i="16"/>
  <c r="AE337" i="26"/>
  <c r="AE336" i="26"/>
  <c r="AC54" i="25"/>
  <c r="AC56" i="25" s="1"/>
  <c r="AC12" i="25" s="1"/>
  <c r="AS337" i="26"/>
  <c r="AS336" i="26"/>
  <c r="W42" i="16"/>
  <c r="L59" i="13"/>
  <c r="DC30" i="16"/>
  <c r="DC77" i="16"/>
  <c r="BW30" i="16"/>
  <c r="S344" i="26"/>
  <c r="O337" i="26"/>
  <c r="O336" i="26"/>
  <c r="DW22" i="18"/>
  <c r="DG29" i="16"/>
  <c r="AK29" i="17"/>
  <c r="AB30" i="16"/>
  <c r="AB77" i="16"/>
  <c r="CM30" i="16"/>
  <c r="CM77" i="16"/>
  <c r="K52" i="21"/>
  <c r="K51" i="21"/>
  <c r="FV22" i="18"/>
  <c r="FF33" i="23" s="1"/>
  <c r="FF35" i="23" s="1"/>
  <c r="FF29" i="16"/>
  <c r="W39" i="18"/>
  <c r="CX29" i="16"/>
  <c r="DN22" i="18"/>
  <c r="CX33" i="23" s="1"/>
  <c r="CX35" i="23" s="1"/>
  <c r="AL337" i="26"/>
  <c r="AL336" i="26"/>
  <c r="AE10" i="16"/>
  <c r="AN344" i="26"/>
  <c r="M344" i="26"/>
  <c r="AK344" i="26"/>
  <c r="AA95" i="26"/>
  <c r="AI337" i="26"/>
  <c r="AI336" i="26"/>
  <c r="FG30" i="16"/>
  <c r="FG77" i="16"/>
  <c r="AC337" i="26"/>
  <c r="AC336" i="26"/>
  <c r="S5" i="27"/>
  <c r="AF11" i="15"/>
  <c r="AG11" i="15"/>
  <c r="AH11" i="15"/>
  <c r="AI11" i="15"/>
  <c r="S10" i="27"/>
  <c r="S4" i="27" s="1"/>
  <c r="AQ344" i="26"/>
  <c r="U341" i="26"/>
  <c r="AB344" i="26"/>
  <c r="AP341" i="26"/>
  <c r="Q344" i="26"/>
  <c r="Y341" i="26"/>
  <c r="AB95" i="26"/>
  <c r="AJ341" i="26"/>
  <c r="AP30" i="16"/>
  <c r="I344" i="26"/>
  <c r="S30" i="16"/>
  <c r="S77" i="16"/>
  <c r="AM95" i="26"/>
  <c r="EO22" i="18"/>
  <c r="DY33" i="23" s="1"/>
  <c r="DY35" i="23" s="1"/>
  <c r="DY29" i="16"/>
  <c r="AH337" i="26"/>
  <c r="AH336" i="26"/>
  <c r="DS30" i="16"/>
  <c r="DS77" i="16"/>
  <c r="R106" i="19"/>
  <c r="R109" i="19" s="1"/>
  <c r="Q22" i="19"/>
  <c r="H11" i="26"/>
  <c r="AP31" i="18"/>
  <c r="AP30" i="18" s="1"/>
  <c r="AP27" i="18" s="1"/>
  <c r="AY30" i="16"/>
  <c r="AI10" i="16"/>
  <c r="N341" i="26"/>
  <c r="W95" i="26"/>
  <c r="R53" i="14"/>
  <c r="R59" i="14" s="1"/>
  <c r="I943" i="20" s="1"/>
  <c r="I944" i="20" s="1"/>
  <c r="AL95" i="26"/>
  <c r="AA337" i="26"/>
  <c r="AA336" i="26"/>
  <c r="AR337" i="26"/>
  <c r="AR336" i="26"/>
  <c r="AU341" i="26"/>
  <c r="CU30" i="16"/>
  <c r="CU77" i="16"/>
  <c r="AG12" i="15"/>
  <c r="AF45" i="23" s="1"/>
  <c r="AH12" i="15"/>
  <c r="AG45" i="23" s="1"/>
  <c r="AI12" i="15"/>
  <c r="AH45" i="23" s="1"/>
  <c r="AF12" i="15"/>
  <c r="AE45" i="23" s="1"/>
  <c r="CE30" i="16"/>
  <c r="CE77" i="16"/>
  <c r="DB22" i="18"/>
  <c r="CL33" i="23" s="1"/>
  <c r="CL35" i="23" s="1"/>
  <c r="CL29" i="16"/>
  <c r="U337" i="26"/>
  <c r="U336" i="26"/>
  <c r="BY22" i="18"/>
  <c r="BI33" i="23" s="1"/>
  <c r="BI35" i="23" s="1"/>
  <c r="AP337" i="26"/>
  <c r="AP336" i="26"/>
  <c r="G950" i="20"/>
  <c r="G957" i="20"/>
  <c r="BX22" i="18"/>
  <c r="BH33" i="23" s="1"/>
  <c r="BH35" i="23" s="1"/>
  <c r="CA22" i="18"/>
  <c r="Y29" i="17"/>
  <c r="Y336" i="26"/>
  <c r="Y337" i="26"/>
  <c r="AJ337" i="26"/>
  <c r="AJ336" i="26"/>
  <c r="Z344" i="26"/>
  <c r="CP22" i="18"/>
  <c r="BZ33" i="23" s="1"/>
  <c r="BZ35" i="23" s="1"/>
  <c r="CK22" i="18"/>
  <c r="BU33" i="23" s="1"/>
  <c r="BU35" i="23" s="1"/>
  <c r="E52" i="5" l="1"/>
  <c r="E53" i="5"/>
  <c r="C56" i="4" s="1"/>
  <c r="G56" i="4" s="1"/>
  <c r="F84" i="4" s="1"/>
  <c r="CJ279" i="37"/>
  <c r="CJ277" i="37"/>
  <c r="AF687" i="20"/>
  <c r="X691" i="20" s="1"/>
  <c r="X690" i="20"/>
  <c r="V662" i="20"/>
  <c r="V675" i="20" s="1"/>
  <c r="D69" i="4"/>
  <c r="F448" i="20"/>
  <c r="C444" i="20"/>
  <c r="DH22" i="18"/>
  <c r="CR33" i="23" s="1"/>
  <c r="CR35" i="23" s="1"/>
  <c r="AB7" i="4"/>
  <c r="AB87" i="4"/>
  <c r="K7" i="4"/>
  <c r="K87" i="4"/>
  <c r="S7" i="4"/>
  <c r="S87" i="4"/>
  <c r="Q9" i="36"/>
  <c r="Q42" i="36" s="1"/>
  <c r="Q87" i="4"/>
  <c r="AH9" i="36"/>
  <c r="AH42" i="36" s="1"/>
  <c r="AH87" i="4"/>
  <c r="T7" i="4"/>
  <c r="T87" i="4"/>
  <c r="AJ7" i="4"/>
  <c r="AJ87" i="4"/>
  <c r="L7" i="4"/>
  <c r="L87" i="4"/>
  <c r="P7" i="4"/>
  <c r="P87" i="4"/>
  <c r="M7" i="4"/>
  <c r="M87" i="4"/>
  <c r="N9" i="36"/>
  <c r="N42" i="36" s="1"/>
  <c r="N87" i="4"/>
  <c r="AA7" i="4"/>
  <c r="AA87" i="4"/>
  <c r="G9" i="36"/>
  <c r="G42" i="36" s="1"/>
  <c r="G87" i="4"/>
  <c r="Z9" i="36"/>
  <c r="Z42" i="36" s="1"/>
  <c r="Z87" i="4"/>
  <c r="X9" i="36"/>
  <c r="X42" i="36" s="1"/>
  <c r="X87" i="4"/>
  <c r="AE9" i="36"/>
  <c r="AE42" i="36" s="1"/>
  <c r="AE87" i="4"/>
  <c r="AI7" i="4"/>
  <c r="AI87" i="4"/>
  <c r="Y9" i="36"/>
  <c r="Y42" i="36" s="1"/>
  <c r="Y87" i="4"/>
  <c r="V9" i="36"/>
  <c r="V42" i="36" s="1"/>
  <c r="V87" i="4"/>
  <c r="AG7" i="4"/>
  <c r="AG87" i="4"/>
  <c r="U7" i="4"/>
  <c r="U87" i="4"/>
  <c r="AD9" i="36"/>
  <c r="AD42" i="36" s="1"/>
  <c r="AD87" i="4"/>
  <c r="J7" i="4"/>
  <c r="J87" i="4"/>
  <c r="S616" i="20"/>
  <c r="J626" i="20" s="1"/>
  <c r="J624" i="20"/>
  <c r="AW33" i="23"/>
  <c r="AW35" i="23" s="1"/>
  <c r="U614" i="20"/>
  <c r="AN33" i="23"/>
  <c r="AN35" i="23" s="1"/>
  <c r="L614" i="20"/>
  <c r="L616" i="20" s="1"/>
  <c r="AK33" i="23"/>
  <c r="AK35" i="23" s="1"/>
  <c r="I614" i="20"/>
  <c r="I616" i="20" s="1"/>
  <c r="AV33" i="23"/>
  <c r="AV35" i="23" s="1"/>
  <c r="T614" i="20"/>
  <c r="K933" i="20"/>
  <c r="K948" i="20" s="1"/>
  <c r="DM22" i="18"/>
  <c r="CW33" i="23" s="1"/>
  <c r="CW35" i="23" s="1"/>
  <c r="G281" i="20"/>
  <c r="F112" i="20"/>
  <c r="DB57" i="16"/>
  <c r="DD57" i="16"/>
  <c r="DL57" i="16"/>
  <c r="DL19" i="16" s="1"/>
  <c r="DW57" i="16"/>
  <c r="S48" i="23"/>
  <c r="T48" i="23"/>
  <c r="V48" i="23"/>
  <c r="U48" i="23"/>
  <c r="EY57" i="16"/>
  <c r="FL57" i="16"/>
  <c r="DA57" i="16"/>
  <c r="BJ57" i="16"/>
  <c r="M49" i="23"/>
  <c r="M58" i="23" s="1"/>
  <c r="M57" i="16"/>
  <c r="M56" i="16" s="1"/>
  <c r="M18" i="16" s="1"/>
  <c r="BP57" i="16"/>
  <c r="BP19" i="16" s="1"/>
  <c r="DE57" i="16"/>
  <c r="DJ57" i="16"/>
  <c r="DJ19" i="16" s="1"/>
  <c r="BD57" i="16"/>
  <c r="DK57" i="16"/>
  <c r="CB57" i="16"/>
  <c r="BX57" i="16"/>
  <c r="FC57" i="16"/>
  <c r="DZ57" i="16"/>
  <c r="DZ19" i="16" s="1"/>
  <c r="DV57" i="16"/>
  <c r="CW57" i="16"/>
  <c r="CW19" i="16" s="1"/>
  <c r="CJ57" i="16"/>
  <c r="CN57" i="16"/>
  <c r="CN19" i="16" s="1"/>
  <c r="FI57" i="16"/>
  <c r="FI19" i="16" s="1"/>
  <c r="EN57" i="16"/>
  <c r="AV57" i="16"/>
  <c r="L49" i="23"/>
  <c r="L57" i="16"/>
  <c r="L56" i="16" s="1"/>
  <c r="L18" i="16" s="1"/>
  <c r="BO57" i="16"/>
  <c r="DC57" i="16"/>
  <c r="DI57" i="16"/>
  <c r="BE57" i="16"/>
  <c r="DN57" i="16"/>
  <c r="CA57" i="16"/>
  <c r="BW57" i="16"/>
  <c r="FF57" i="16"/>
  <c r="FF19" i="16" s="1"/>
  <c r="DX57" i="16"/>
  <c r="DT57" i="16"/>
  <c r="CU57" i="16"/>
  <c r="CI57" i="16"/>
  <c r="CP57" i="16"/>
  <c r="FB57" i="16"/>
  <c r="N49" i="23"/>
  <c r="N57" i="16"/>
  <c r="N56" i="16" s="1"/>
  <c r="N18" i="16" s="1"/>
  <c r="CD57" i="16"/>
  <c r="CD19" i="16" s="1"/>
  <c r="AD48" i="23"/>
  <c r="AA48" i="23"/>
  <c r="AB48" i="23"/>
  <c r="AC48" i="23"/>
  <c r="FJ57" i="16"/>
  <c r="EM57" i="16"/>
  <c r="AU57" i="16"/>
  <c r="EL57" i="16"/>
  <c r="ET57" i="16"/>
  <c r="EU57" i="16"/>
  <c r="EC57" i="16"/>
  <c r="EC19" i="16" s="1"/>
  <c r="AT57" i="16"/>
  <c r="AT19" i="16" s="1"/>
  <c r="EE57" i="16"/>
  <c r="CC57" i="16"/>
  <c r="BZ57" i="16"/>
  <c r="FE57" i="16"/>
  <c r="DY57" i="16"/>
  <c r="DS57" i="16"/>
  <c r="CV57" i="16"/>
  <c r="CK57" i="16"/>
  <c r="CM57" i="16"/>
  <c r="FN57" i="16"/>
  <c r="BR57" i="16"/>
  <c r="BF57" i="16"/>
  <c r="FD57" i="16"/>
  <c r="DU57" i="16"/>
  <c r="DU19" i="16" s="1"/>
  <c r="CL57" i="16"/>
  <c r="FG57" i="16"/>
  <c r="EP57" i="16"/>
  <c r="EP19" i="16" s="1"/>
  <c r="AX57" i="16"/>
  <c r="AX19" i="16" s="1"/>
  <c r="EK57" i="16"/>
  <c r="EK19" i="16" s="1"/>
  <c r="ES57" i="16"/>
  <c r="ES19" i="16" s="1"/>
  <c r="EV57" i="16"/>
  <c r="EB57" i="16"/>
  <c r="AQ57" i="16"/>
  <c r="EF57" i="16"/>
  <c r="AM57" i="16"/>
  <c r="AM19" i="16" s="1"/>
  <c r="CR57" i="16"/>
  <c r="BT57" i="16"/>
  <c r="BA57" i="16"/>
  <c r="BA19" i="16" s="1"/>
  <c r="DO57" i="16"/>
  <c r="CF57" i="16"/>
  <c r="AG57" i="16"/>
  <c r="AG19" i="16" s="1"/>
  <c r="AK57" i="16"/>
  <c r="AK19" i="16" s="1"/>
  <c r="BK57" i="16"/>
  <c r="BG57" i="16"/>
  <c r="DH57" i="16"/>
  <c r="BY57" i="16"/>
  <c r="BY19" i="16" s="1"/>
  <c r="CX57" i="16"/>
  <c r="CO57" i="16"/>
  <c r="CO19" i="16" s="1"/>
  <c r="FH57" i="16"/>
  <c r="FH19" i="16" s="1"/>
  <c r="EO57" i="16"/>
  <c r="AW57" i="16"/>
  <c r="EJ57" i="16"/>
  <c r="EJ19" i="16" s="1"/>
  <c r="EQ57" i="16"/>
  <c r="EX57" i="16"/>
  <c r="ED57" i="16"/>
  <c r="AS57" i="16"/>
  <c r="AS19" i="16" s="1"/>
  <c r="EH57" i="16"/>
  <c r="AN57" i="16"/>
  <c r="AN19" i="16" s="1"/>
  <c r="CQ57" i="16"/>
  <c r="BS57" i="16"/>
  <c r="AZ57" i="16"/>
  <c r="DR57" i="16"/>
  <c r="CE57" i="16"/>
  <c r="AE57" i="16"/>
  <c r="AE19" i="16" s="1"/>
  <c r="AJ57" i="16"/>
  <c r="AJ19" i="16" s="1"/>
  <c r="BN57" i="16"/>
  <c r="BN19" i="16" s="1"/>
  <c r="X48" i="23"/>
  <c r="W48" i="23"/>
  <c r="Y48" i="23"/>
  <c r="Z48" i="23"/>
  <c r="FA57" i="16"/>
  <c r="FA19" i="16" s="1"/>
  <c r="FK57" i="16"/>
  <c r="CY57" i="16"/>
  <c r="BI57" i="16"/>
  <c r="EI57" i="16"/>
  <c r="ER57" i="16"/>
  <c r="EW57" i="16"/>
  <c r="EA57" i="16"/>
  <c r="AR57" i="16"/>
  <c r="AR19" i="16" s="1"/>
  <c r="EG57" i="16"/>
  <c r="AO57" i="16"/>
  <c r="AO19" i="16" s="1"/>
  <c r="CT57" i="16"/>
  <c r="CT19" i="16" s="1"/>
  <c r="BV57" i="16"/>
  <c r="BB57" i="16"/>
  <c r="DP57" i="16"/>
  <c r="CG57" i="16"/>
  <c r="CG19" i="16" s="1"/>
  <c r="AH57" i="16"/>
  <c r="AH19" i="16" s="1"/>
  <c r="AI57" i="16"/>
  <c r="AI19" i="16" s="1"/>
  <c r="BL57" i="16"/>
  <c r="EZ57" i="16"/>
  <c r="EZ19" i="16" s="1"/>
  <c r="FM57" i="16"/>
  <c r="CZ57" i="16"/>
  <c r="BH57" i="16"/>
  <c r="BH19" i="16" s="1"/>
  <c r="K49" i="23"/>
  <c r="K58" i="23" s="1"/>
  <c r="K57" i="16"/>
  <c r="K56" i="16" s="1"/>
  <c r="K18" i="16" s="1"/>
  <c r="BQ57" i="16"/>
  <c r="BQ19" i="16" s="1"/>
  <c r="DF57" i="16"/>
  <c r="DG57" i="16"/>
  <c r="BC57" i="16"/>
  <c r="DM57" i="16"/>
  <c r="DM19" i="16" s="1"/>
  <c r="AP57" i="16"/>
  <c r="AP19" i="16" s="1"/>
  <c r="CS57" i="16"/>
  <c r="BU57" i="16"/>
  <c r="AY57" i="16"/>
  <c r="DQ57" i="16"/>
  <c r="CH57" i="16"/>
  <c r="AF57" i="16"/>
  <c r="AF19" i="16" s="1"/>
  <c r="AL57" i="16"/>
  <c r="AL19" i="16" s="1"/>
  <c r="BM57" i="16"/>
  <c r="CK208" i="37"/>
  <c r="CK37" i="37"/>
  <c r="CK12" i="37"/>
  <c r="CL37" i="37"/>
  <c r="CL12" i="37"/>
  <c r="CM215" i="37"/>
  <c r="CM208" i="37"/>
  <c r="CL59" i="37"/>
  <c r="CL52" i="37"/>
  <c r="CM137" i="37"/>
  <c r="CN28" i="37"/>
  <c r="CN205" i="37" s="1"/>
  <c r="CN206" i="37" s="1"/>
  <c r="CM49" i="37"/>
  <c r="CM50" i="37" s="1"/>
  <c r="CM31" i="37"/>
  <c r="CM32" i="37" s="1"/>
  <c r="AE215" i="37"/>
  <c r="AE208" i="37"/>
  <c r="AE12" i="37"/>
  <c r="AE267" i="37" s="1"/>
  <c r="AE37" i="37"/>
  <c r="AF210" i="37"/>
  <c r="AF142" i="37"/>
  <c r="AF205" i="37"/>
  <c r="AF206" i="37" s="1"/>
  <c r="AF137" i="37"/>
  <c r="AF49" i="37"/>
  <c r="AF50" i="37" s="1"/>
  <c r="AE59" i="37"/>
  <c r="AE52" i="37"/>
  <c r="AE29" i="17"/>
  <c r="AE28" i="17" s="1"/>
  <c r="V213" i="20" s="1"/>
  <c r="I240" i="20" s="1"/>
  <c r="DL22" i="18"/>
  <c r="CV33" i="23" s="1"/>
  <c r="CV35" i="23" s="1"/>
  <c r="DV22" i="18"/>
  <c r="DF33" i="23" s="1"/>
  <c r="DF35" i="23" s="1"/>
  <c r="N7" i="4"/>
  <c r="I946" i="20"/>
  <c r="E965" i="20"/>
  <c r="U29" i="17"/>
  <c r="L214" i="20" s="1"/>
  <c r="AI77" i="16"/>
  <c r="AA9" i="36"/>
  <c r="AA42" i="36" s="1"/>
  <c r="DA22" i="18"/>
  <c r="CK33" i="23" s="1"/>
  <c r="CK35" i="23" s="1"/>
  <c r="W29" i="16"/>
  <c r="L9" i="36"/>
  <c r="L42" i="36" s="1"/>
  <c r="G7" i="4"/>
  <c r="W77" i="16"/>
  <c r="Z77" i="16"/>
  <c r="AA77" i="16"/>
  <c r="AG30" i="16"/>
  <c r="AG29" i="16" s="1"/>
  <c r="AV22" i="18"/>
  <c r="AF33" i="23" s="1"/>
  <c r="AF35" i="23" s="1"/>
  <c r="X77" i="16"/>
  <c r="AC77" i="16"/>
  <c r="Q7" i="4"/>
  <c r="K35" i="2"/>
  <c r="K49" i="2"/>
  <c r="K19" i="2" s="1"/>
  <c r="J20" i="2"/>
  <c r="K27" i="2"/>
  <c r="K42" i="2"/>
  <c r="L44" i="2"/>
  <c r="K28" i="2"/>
  <c r="K43" i="2"/>
  <c r="L10" i="2"/>
  <c r="L29" i="2"/>
  <c r="M11" i="2"/>
  <c r="L9" i="2"/>
  <c r="AE7" i="4"/>
  <c r="V77" i="16"/>
  <c r="AF77" i="16"/>
  <c r="AH77" i="16"/>
  <c r="F44" i="4"/>
  <c r="F42" i="4" s="1"/>
  <c r="Z7" i="4"/>
  <c r="Y7" i="4"/>
  <c r="U30" i="16"/>
  <c r="AK22" i="18" s="1"/>
  <c r="U33" i="23" s="1"/>
  <c r="DR22" i="18"/>
  <c r="DB33" i="23" s="1"/>
  <c r="DB35" i="23" s="1"/>
  <c r="AS29" i="17"/>
  <c r="AS28" i="17" s="1"/>
  <c r="AJ213" i="20" s="1"/>
  <c r="J261" i="20" s="1"/>
  <c r="AH7" i="4"/>
  <c r="ER22" i="18"/>
  <c r="EB33" i="23" s="1"/>
  <c r="EB35" i="23" s="1"/>
  <c r="DB29" i="16"/>
  <c r="V7" i="4"/>
  <c r="FE22" i="18"/>
  <c r="EO33" i="23" s="1"/>
  <c r="EO35" i="23" s="1"/>
  <c r="EM29" i="16"/>
  <c r="EJ22" i="18"/>
  <c r="DT33" i="23" s="1"/>
  <c r="DT35" i="23" s="1"/>
  <c r="AD7" i="4"/>
  <c r="AY29" i="17"/>
  <c r="AY28" i="17" s="1"/>
  <c r="AP213" i="20" s="1"/>
  <c r="P261" i="20" s="1"/>
  <c r="AG29" i="17"/>
  <c r="X214" i="20" s="1"/>
  <c r="K241" i="20" s="1"/>
  <c r="M9" i="36"/>
  <c r="M42" i="36" s="1"/>
  <c r="H44" i="4"/>
  <c r="H42" i="4" s="1"/>
  <c r="AG9" i="36"/>
  <c r="AG42" i="36" s="1"/>
  <c r="FX22" i="18"/>
  <c r="FH33" i="23" s="1"/>
  <c r="FH35" i="23" s="1"/>
  <c r="FM29" i="16"/>
  <c r="CS29" i="16"/>
  <c r="DZ29" i="16"/>
  <c r="P9" i="36"/>
  <c r="P42" i="36" s="1"/>
  <c r="K44" i="4"/>
  <c r="K42" i="4" s="1"/>
  <c r="I9" i="36"/>
  <c r="I42" i="36" s="1"/>
  <c r="I7" i="4"/>
  <c r="BB29" i="17"/>
  <c r="AS214" i="20" s="1"/>
  <c r="EU22" i="18"/>
  <c r="AQ21" i="21" s="1"/>
  <c r="AQ50" i="21" s="1"/>
  <c r="AB9" i="36"/>
  <c r="AB42" i="36" s="1"/>
  <c r="DD22" i="18"/>
  <c r="CN33" i="23" s="1"/>
  <c r="CN35" i="23" s="1"/>
  <c r="CX22" i="18"/>
  <c r="CH33" i="23" s="1"/>
  <c r="CH35" i="23" s="1"/>
  <c r="DT22" i="18"/>
  <c r="DD33" i="23" s="1"/>
  <c r="DD35" i="23" s="1"/>
  <c r="EH29" i="16"/>
  <c r="Y30" i="16"/>
  <c r="Y29" i="16" s="1"/>
  <c r="AJ22" i="18"/>
  <c r="T33" i="23" s="1"/>
  <c r="T35" i="23" s="1"/>
  <c r="AQ29" i="17"/>
  <c r="AQ28" i="17" s="1"/>
  <c r="AH213" i="20" s="1"/>
  <c r="H261" i="20" s="1"/>
  <c r="S9" i="36"/>
  <c r="S42" i="36" s="1"/>
  <c r="T77" i="16"/>
  <c r="F74" i="16"/>
  <c r="EZ22" i="18"/>
  <c r="EJ33" i="23" s="1"/>
  <c r="EJ35" i="23" s="1"/>
  <c r="J44" i="4"/>
  <c r="J42" i="4" s="1"/>
  <c r="W9" i="36"/>
  <c r="W42" i="36" s="1"/>
  <c r="K9" i="36"/>
  <c r="K42" i="36" s="1"/>
  <c r="AI9" i="36"/>
  <c r="AI42" i="36" s="1"/>
  <c r="M44" i="4"/>
  <c r="M42" i="4" s="1"/>
  <c r="U9" i="36"/>
  <c r="U42" i="36" s="1"/>
  <c r="AJ9" i="36"/>
  <c r="I44" i="4"/>
  <c r="I42" i="4" s="1"/>
  <c r="EU29" i="16"/>
  <c r="AU29" i="17"/>
  <c r="AL214" i="20" s="1"/>
  <c r="L262" i="20" s="1"/>
  <c r="T9" i="36"/>
  <c r="T42" i="36" s="1"/>
  <c r="CP29" i="16"/>
  <c r="DW29" i="16"/>
  <c r="AO29" i="17"/>
  <c r="AO28" i="17" s="1"/>
  <c r="AF213" i="20" s="1"/>
  <c r="F261" i="20" s="1"/>
  <c r="L44" i="4"/>
  <c r="L42" i="4" s="1"/>
  <c r="AD77" i="16"/>
  <c r="AT22" i="18"/>
  <c r="AD33" i="23" s="1"/>
  <c r="AD35" i="23" s="1"/>
  <c r="EC22" i="18"/>
  <c r="DM33" i="23" s="1"/>
  <c r="DM35" i="23" s="1"/>
  <c r="X7" i="4"/>
  <c r="AF9" i="36"/>
  <c r="AF42" i="36" s="1"/>
  <c r="F65" i="12"/>
  <c r="F107" i="12"/>
  <c r="BA29" i="17"/>
  <c r="BA28" i="17" s="1"/>
  <c r="AR213" i="20" s="1"/>
  <c r="AM29" i="17"/>
  <c r="AD214" i="20" s="1"/>
  <c r="D262" i="20" s="1"/>
  <c r="DR29" i="16"/>
  <c r="F66" i="12"/>
  <c r="G44" i="4"/>
  <c r="G42" i="4" s="1"/>
  <c r="F106" i="12"/>
  <c r="R9" i="36"/>
  <c r="R42" i="36" s="1"/>
  <c r="R7" i="4"/>
  <c r="AE30" i="16"/>
  <c r="AE77" i="16"/>
  <c r="D9" i="4"/>
  <c r="J9" i="36"/>
  <c r="L21" i="15"/>
  <c r="L29" i="15" s="1"/>
  <c r="D111" i="20"/>
  <c r="AA19" i="15"/>
  <c r="N21" i="24"/>
  <c r="N23" i="24" s="1"/>
  <c r="O18" i="24"/>
  <c r="O19" i="24"/>
  <c r="O20" i="24" s="1"/>
  <c r="P17" i="24"/>
  <c r="L5" i="26"/>
  <c r="AC6" i="15"/>
  <c r="AC5" i="15" s="1"/>
  <c r="AC16" i="15" s="1"/>
  <c r="AB6" i="15"/>
  <c r="AD6" i="15"/>
  <c r="AD5" i="15" s="1"/>
  <c r="AD16" i="15" s="1"/>
  <c r="T36" i="14"/>
  <c r="T40" i="14" s="1"/>
  <c r="T58" i="14" s="1"/>
  <c r="AE6" i="15"/>
  <c r="AE5" i="15" s="1"/>
  <c r="AE16" i="15" s="1"/>
  <c r="M26" i="24"/>
  <c r="H42" i="36"/>
  <c r="F56" i="4"/>
  <c r="F66" i="4" s="1"/>
  <c r="M23" i="24"/>
  <c r="L23" i="24"/>
  <c r="K23" i="24"/>
  <c r="F62" i="4"/>
  <c r="U125" i="16"/>
  <c r="J240" i="19"/>
  <c r="J242" i="19" s="1"/>
  <c r="J248" i="19" s="1"/>
  <c r="J119" i="23" s="1"/>
  <c r="T128" i="16"/>
  <c r="T129" i="16" s="1"/>
  <c r="H301" i="26"/>
  <c r="H291" i="26" s="1"/>
  <c r="R65" i="14"/>
  <c r="AG686" i="20" s="1"/>
  <c r="Q30" i="11"/>
  <c r="P29" i="11"/>
  <c r="V15" i="13"/>
  <c r="U117" i="16"/>
  <c r="U123" i="16"/>
  <c r="U122" i="16"/>
  <c r="U120" i="16"/>
  <c r="U119" i="16"/>
  <c r="U124" i="16"/>
  <c r="U121" i="16"/>
  <c r="U126" i="16"/>
  <c r="R24" i="21"/>
  <c r="AI62" i="16"/>
  <c r="AI25" i="16" s="1"/>
  <c r="R20" i="17" s="1"/>
  <c r="I210" i="20" s="1"/>
  <c r="Q24" i="21"/>
  <c r="AF62" i="16"/>
  <c r="AF25" i="16" s="1"/>
  <c r="Q20" i="17" s="1"/>
  <c r="H210" i="20" s="1"/>
  <c r="P32" i="15"/>
  <c r="P34" i="15"/>
  <c r="Q28" i="15" s="1"/>
  <c r="Q27" i="15" s="1"/>
  <c r="AR15" i="15" s="1"/>
  <c r="P22" i="11"/>
  <c r="Q23" i="11"/>
  <c r="S29" i="17"/>
  <c r="J214" i="20" s="1"/>
  <c r="AJ8" i="15"/>
  <c r="AK8" i="15"/>
  <c r="AL8" i="15"/>
  <c r="AM8" i="15"/>
  <c r="P214" i="20"/>
  <c r="U365" i="26"/>
  <c r="U364" i="26" s="1"/>
  <c r="U301" i="26"/>
  <c r="BO22" i="18"/>
  <c r="V29" i="17"/>
  <c r="AI10" i="15"/>
  <c r="AH44" i="23"/>
  <c r="O365" i="26"/>
  <c r="O364" i="26" s="1"/>
  <c r="O301" i="26"/>
  <c r="G53" i="23"/>
  <c r="AW8" i="18"/>
  <c r="AM30" i="18"/>
  <c r="O30" i="21"/>
  <c r="CY33" i="23"/>
  <c r="CY35" i="23" s="1"/>
  <c r="S301" i="26"/>
  <c r="S365" i="26"/>
  <c r="S364" i="26" s="1"/>
  <c r="I301" i="26"/>
  <c r="I365" i="26"/>
  <c r="I364" i="26" s="1"/>
  <c r="AB301" i="26"/>
  <c r="AB365" i="26"/>
  <c r="AB364" i="26" s="1"/>
  <c r="U11" i="27"/>
  <c r="V7" i="27"/>
  <c r="U63" i="27"/>
  <c r="U62" i="27" s="1"/>
  <c r="DS29" i="16"/>
  <c r="AN29" i="17"/>
  <c r="EI22" i="18"/>
  <c r="AG44" i="23"/>
  <c r="AH10" i="15"/>
  <c r="CM29" i="16"/>
  <c r="AF29" i="17"/>
  <c r="DC22" i="18"/>
  <c r="W10" i="16"/>
  <c r="DK29" i="16"/>
  <c r="EA22" i="18"/>
  <c r="AL29" i="17"/>
  <c r="AO8" i="18"/>
  <c r="AO301" i="26"/>
  <c r="AO365" i="26"/>
  <c r="AO364" i="26" s="1"/>
  <c r="N214" i="20"/>
  <c r="AE48" i="25"/>
  <c r="AE55" i="25"/>
  <c r="AC29" i="16"/>
  <c r="AS22" i="18"/>
  <c r="AC33" i="23" s="1"/>
  <c r="AC35" i="23" s="1"/>
  <c r="EI29" i="16"/>
  <c r="EY22" i="18"/>
  <c r="AR29" i="17"/>
  <c r="AC57" i="25"/>
  <c r="AC152" i="25"/>
  <c r="AC219" i="25"/>
  <c r="AZ28" i="17"/>
  <c r="AQ213" i="20" s="1"/>
  <c r="AQ214" i="20"/>
  <c r="X29" i="17"/>
  <c r="BW22" i="18"/>
  <c r="CQ33" i="23"/>
  <c r="CQ35" i="23" s="1"/>
  <c r="AA21" i="21"/>
  <c r="AA50" i="21" s="1"/>
  <c r="BS33" i="23"/>
  <c r="BS35" i="23" s="1"/>
  <c r="AZ8" i="18"/>
  <c r="AH58" i="16"/>
  <c r="AH46" i="23"/>
  <c r="AX19" i="18" s="1"/>
  <c r="AP301" i="26"/>
  <c r="AP365" i="26"/>
  <c r="AP364" i="26" s="1"/>
  <c r="AR301" i="26"/>
  <c r="AR365" i="26"/>
  <c r="AR364" i="26" s="1"/>
  <c r="AY8" i="18"/>
  <c r="R5" i="17"/>
  <c r="AH301" i="26"/>
  <c r="AH365" i="26"/>
  <c r="AH364" i="26" s="1"/>
  <c r="AF44" i="23"/>
  <c r="AG10" i="15"/>
  <c r="AC365" i="26"/>
  <c r="AC364" i="26" s="1"/>
  <c r="AC301" i="26"/>
  <c r="FG29" i="16"/>
  <c r="AX29" i="17"/>
  <c r="FW22" i="18"/>
  <c r="DC29" i="16"/>
  <c r="DS22" i="18"/>
  <c r="AJ29" i="17"/>
  <c r="AS365" i="26"/>
  <c r="AS364" i="26" s="1"/>
  <c r="AS301" i="26"/>
  <c r="AD58" i="16"/>
  <c r="AD46" i="23"/>
  <c r="AT19" i="18" s="1"/>
  <c r="W21" i="21"/>
  <c r="W50" i="21" s="1"/>
  <c r="BC33" i="23"/>
  <c r="BC35" i="23" s="1"/>
  <c r="R21" i="19"/>
  <c r="S99" i="19"/>
  <c r="S102" i="19" s="1"/>
  <c r="AE217" i="25"/>
  <c r="AE210" i="25"/>
  <c r="AW28" i="17"/>
  <c r="AN213" i="20" s="1"/>
  <c r="N261" i="20" s="1"/>
  <c r="AN214" i="20"/>
  <c r="N262" i="20" s="1"/>
  <c r="H61" i="23"/>
  <c r="Z301" i="26"/>
  <c r="Z365" i="26"/>
  <c r="Z364" i="26" s="1"/>
  <c r="AC268" i="25"/>
  <c r="W365" i="26"/>
  <c r="W364" i="26" s="1"/>
  <c r="W301" i="26"/>
  <c r="J301" i="26"/>
  <c r="J365" i="26"/>
  <c r="J364" i="26" s="1"/>
  <c r="S50" i="14"/>
  <c r="S55" i="14"/>
  <c r="S54" i="14" s="1"/>
  <c r="AG58" i="16"/>
  <c r="AG46" i="23"/>
  <c r="AW19" i="18" s="1"/>
  <c r="AE44" i="23"/>
  <c r="AF10" i="15"/>
  <c r="AU8" i="18"/>
  <c r="Q5" i="17"/>
  <c r="BJ22" i="18"/>
  <c r="AB29" i="16"/>
  <c r="AR22" i="18"/>
  <c r="AB33" i="23" s="1"/>
  <c r="AB35" i="23" s="1"/>
  <c r="AC58" i="16"/>
  <c r="AC20" i="16" s="1"/>
  <c r="AC46" i="23"/>
  <c r="AS19" i="18" s="1"/>
  <c r="T301" i="26"/>
  <c r="T365" i="26"/>
  <c r="T364" i="26" s="1"/>
  <c r="K301" i="26"/>
  <c r="K365" i="26"/>
  <c r="K364" i="26" s="1"/>
  <c r="EM33" i="23"/>
  <c r="EM35" i="23" s="1"/>
  <c r="AW21" i="21"/>
  <c r="AW50" i="21" s="1"/>
  <c r="FC33" i="23"/>
  <c r="FC35" i="23" s="1"/>
  <c r="BH22" i="18"/>
  <c r="Q301" i="26"/>
  <c r="Q365" i="26"/>
  <c r="Q364" i="26" s="1"/>
  <c r="AQ301" i="26"/>
  <c r="AQ365" i="26"/>
  <c r="AQ364" i="26" s="1"/>
  <c r="E206" i="20"/>
  <c r="M365" i="26"/>
  <c r="M364" i="26" s="1"/>
  <c r="M301" i="26"/>
  <c r="AY21" i="21"/>
  <c r="AY50" i="21" s="1"/>
  <c r="FK33" i="23"/>
  <c r="FK35" i="23" s="1"/>
  <c r="AR31" i="18"/>
  <c r="AR30" i="18" s="1"/>
  <c r="AR27" i="18" s="1"/>
  <c r="AD365" i="26"/>
  <c r="AD364" i="26" s="1"/>
  <c r="AD301" i="26"/>
  <c r="N365" i="26"/>
  <c r="N364" i="26" s="1"/>
  <c r="N301" i="26"/>
  <c r="AG301" i="26"/>
  <c r="AG365" i="26"/>
  <c r="AG364" i="26" s="1"/>
  <c r="AF58" i="16"/>
  <c r="AF46" i="23"/>
  <c r="AV19" i="18" s="1"/>
  <c r="AI301" i="26"/>
  <c r="AI365" i="26"/>
  <c r="AI364" i="26" s="1"/>
  <c r="AC269" i="25"/>
  <c r="EA29" i="16"/>
  <c r="AP29" i="17"/>
  <c r="EQ22" i="18"/>
  <c r="AS8" i="18"/>
  <c r="AB58" i="16"/>
  <c r="AB46" i="23"/>
  <c r="AR19" i="18" s="1"/>
  <c r="AA29" i="16"/>
  <c r="P29" i="17"/>
  <c r="AQ22" i="18"/>
  <c r="AF29" i="25"/>
  <c r="AF30" i="25" s="1"/>
  <c r="AG26" i="25"/>
  <c r="AF140" i="25"/>
  <c r="AF207" i="25"/>
  <c r="AF208" i="25" s="1"/>
  <c r="AF45" i="25"/>
  <c r="AF46" i="25" s="1"/>
  <c r="AM21" i="21"/>
  <c r="AM50" i="21" s="1"/>
  <c r="DO33" i="23"/>
  <c r="DO35" i="23" s="1"/>
  <c r="AR8" i="18"/>
  <c r="AF145" i="25"/>
  <c r="AF123" i="25"/>
  <c r="AF212" i="25"/>
  <c r="AG50" i="25"/>
  <c r="AV8" i="18"/>
  <c r="X301" i="26"/>
  <c r="X365" i="26"/>
  <c r="X364" i="26" s="1"/>
  <c r="E112" i="20"/>
  <c r="M25" i="15"/>
  <c r="O93" i="19" s="1"/>
  <c r="V29" i="16"/>
  <c r="AL22" i="18"/>
  <c r="V33" i="23" s="1"/>
  <c r="V35" i="23" s="1"/>
  <c r="AK365" i="26"/>
  <c r="AK364" i="26" s="1"/>
  <c r="AK301" i="26"/>
  <c r="AO21" i="21"/>
  <c r="AO50" i="21" s="1"/>
  <c r="DW33" i="23"/>
  <c r="DW35" i="23" s="1"/>
  <c r="AE58" i="16"/>
  <c r="N23" i="15"/>
  <c r="AE46" i="23"/>
  <c r="AU19" i="18" s="1"/>
  <c r="S29" i="16"/>
  <c r="AI22" i="18"/>
  <c r="BF22" i="18"/>
  <c r="AK28" i="17"/>
  <c r="AB213" i="20" s="1"/>
  <c r="O240" i="20" s="1"/>
  <c r="AB214" i="20"/>
  <c r="O241" i="20" s="1"/>
  <c r="AX8" i="18"/>
  <c r="U52" i="13"/>
  <c r="X51" i="13"/>
  <c r="R301" i="26"/>
  <c r="R365" i="26"/>
  <c r="R364" i="26" s="1"/>
  <c r="AA58" i="16"/>
  <c r="M23" i="15"/>
  <c r="AA46" i="23"/>
  <c r="AA50" i="23" s="1"/>
  <c r="AE30" i="25"/>
  <c r="AF301" i="26"/>
  <c r="AF365" i="26"/>
  <c r="AF364" i="26" s="1"/>
  <c r="CI33" i="23"/>
  <c r="CI35" i="23" s="1"/>
  <c r="AQ8" i="18"/>
  <c r="P5" i="17"/>
  <c r="V365" i="26"/>
  <c r="V364" i="26" s="1"/>
  <c r="V301" i="26"/>
  <c r="BB22" i="18"/>
  <c r="EQ29" i="16"/>
  <c r="FG22" i="18"/>
  <c r="AT29" i="17"/>
  <c r="T214" i="20"/>
  <c r="G241" i="20" s="1"/>
  <c r="AT8" i="18"/>
  <c r="AM33" i="23"/>
  <c r="AQ31" i="18"/>
  <c r="AP22" i="18"/>
  <c r="Z33" i="23" s="1"/>
  <c r="Z35" i="23" s="1"/>
  <c r="Z29" i="16"/>
  <c r="F22" i="24"/>
  <c r="AN301" i="26"/>
  <c r="AN365" i="26"/>
  <c r="AN364" i="26" s="1"/>
  <c r="AN22" i="18"/>
  <c r="X33" i="23" s="1"/>
  <c r="X35" i="23" s="1"/>
  <c r="X29" i="16"/>
  <c r="BA8" i="18"/>
  <c r="AN8" i="18"/>
  <c r="AJ301" i="26"/>
  <c r="AJ365" i="26"/>
  <c r="AJ364" i="26" s="1"/>
  <c r="Y21" i="21"/>
  <c r="Y50" i="21" s="1"/>
  <c r="BK33" i="23"/>
  <c r="BK35" i="23" s="1"/>
  <c r="AA301" i="26"/>
  <c r="AA365" i="26"/>
  <c r="AA364" i="26" s="1"/>
  <c r="CU29" i="16"/>
  <c r="AH29" i="17"/>
  <c r="DK22" i="18"/>
  <c r="AX22" i="18"/>
  <c r="AH29" i="16"/>
  <c r="G210" i="20"/>
  <c r="AL365" i="26"/>
  <c r="AL364" i="26" s="1"/>
  <c r="AL301" i="26"/>
  <c r="CM22" i="18"/>
  <c r="AB29" i="17"/>
  <c r="AE365" i="26"/>
  <c r="AE364" i="26" s="1"/>
  <c r="AE301" i="26"/>
  <c r="W33" i="23"/>
  <c r="K29" i="15"/>
  <c r="AT365" i="26"/>
  <c r="AT364" i="26" s="1"/>
  <c r="AT301" i="26"/>
  <c r="EY29" i="16"/>
  <c r="AV29" i="17"/>
  <c r="FO22" i="18"/>
  <c r="AS31" i="18"/>
  <c r="AS30" i="18" s="1"/>
  <c r="AS27" i="18" s="1"/>
  <c r="AI29" i="16"/>
  <c r="R29" i="17"/>
  <c r="AY22" i="18"/>
  <c r="G614" i="20" s="1"/>
  <c r="G616" i="20" s="1"/>
  <c r="BG22" i="18"/>
  <c r="O614" i="20" s="1"/>
  <c r="T29" i="17"/>
  <c r="L301" i="26"/>
  <c r="L365" i="26"/>
  <c r="L364" i="26" s="1"/>
  <c r="AT31" i="18"/>
  <c r="AT30" i="18" s="1"/>
  <c r="AT27" i="18" s="1"/>
  <c r="E278" i="20"/>
  <c r="BE22" i="18"/>
  <c r="AI28" i="17"/>
  <c r="Z213" i="20" s="1"/>
  <c r="M240" i="20" s="1"/>
  <c r="Z214" i="20"/>
  <c r="M241" i="20" s="1"/>
  <c r="AZ22" i="18"/>
  <c r="T10" i="27"/>
  <c r="T4" i="27" s="1"/>
  <c r="AL11" i="15"/>
  <c r="AM11" i="15"/>
  <c r="T5" i="27"/>
  <c r="AJ11" i="15"/>
  <c r="AK11" i="15"/>
  <c r="BB8" i="18"/>
  <c r="AU21" i="21"/>
  <c r="AU50" i="21" s="1"/>
  <c r="EU33" i="23"/>
  <c r="EU35" i="23" s="1"/>
  <c r="Y301" i="26"/>
  <c r="Y365" i="26"/>
  <c r="Y364" i="26" s="1"/>
  <c r="CE29" i="16"/>
  <c r="CU22" i="18"/>
  <c r="AD29" i="17"/>
  <c r="U21" i="21"/>
  <c r="AU33" i="23"/>
  <c r="R22" i="19"/>
  <c r="S106" i="19"/>
  <c r="S109" i="19" s="1"/>
  <c r="AK21" i="21"/>
  <c r="AK50" i="21" s="1"/>
  <c r="DG33" i="23"/>
  <c r="DG35" i="23" s="1"/>
  <c r="AP8" i="18"/>
  <c r="P301" i="26"/>
  <c r="P365" i="26"/>
  <c r="P364" i="26" s="1"/>
  <c r="AM365" i="26"/>
  <c r="AM364" i="26" s="1"/>
  <c r="AM301" i="26"/>
  <c r="N93" i="19"/>
  <c r="Z29" i="17"/>
  <c r="CE22" i="18"/>
  <c r="AC21" i="21"/>
  <c r="AC50" i="21" s="1"/>
  <c r="CA33" i="23"/>
  <c r="CA35" i="23" s="1"/>
  <c r="BI22" i="18"/>
  <c r="AC271" i="25"/>
  <c r="E676" i="20"/>
  <c r="E681" i="20" s="1"/>
  <c r="AD278" i="25"/>
  <c r="AJ12" i="15"/>
  <c r="AI45" i="23" s="1"/>
  <c r="AK12" i="15"/>
  <c r="AJ45" i="23" s="1"/>
  <c r="AL12" i="15"/>
  <c r="AK45" i="23" s="1"/>
  <c r="AM12" i="15"/>
  <c r="AL45" i="23" s="1"/>
  <c r="AU365" i="26"/>
  <c r="AU364" i="26" s="1"/>
  <c r="AU301" i="26"/>
  <c r="R214" i="20"/>
  <c r="E241" i="20" s="1"/>
  <c r="AB660" i="20" l="1"/>
  <c r="AB673" i="20" s="1"/>
  <c r="AG687" i="20"/>
  <c r="Y691" i="20" s="1"/>
  <c r="Y690" i="20"/>
  <c r="R68" i="14"/>
  <c r="O2" i="21"/>
  <c r="U660" i="20"/>
  <c r="U673" i="20" s="1"/>
  <c r="CL267" i="37"/>
  <c r="E726" i="20" s="1"/>
  <c r="I726" i="20" s="1"/>
  <c r="V648" i="20"/>
  <c r="CK267" i="37"/>
  <c r="E725" i="20" s="1"/>
  <c r="I725" i="20" s="1"/>
  <c r="U648" i="20"/>
  <c r="AG21" i="21"/>
  <c r="AG50" i="21" s="1"/>
  <c r="Z561" i="20"/>
  <c r="J55" i="36"/>
  <c r="H55" i="36"/>
  <c r="D87" i="4"/>
  <c r="G66" i="4"/>
  <c r="AT33" i="23"/>
  <c r="AT35" i="23" s="1"/>
  <c r="R614" i="20"/>
  <c r="AP33" i="23"/>
  <c r="AP35" i="23" s="1"/>
  <c r="N614" i="20"/>
  <c r="O616" i="20"/>
  <c r="F626" i="20" s="1"/>
  <c r="F624" i="20"/>
  <c r="AO33" i="23"/>
  <c r="AO35" i="23" s="1"/>
  <c r="M614" i="20"/>
  <c r="AS33" i="23"/>
  <c r="AS35" i="23" s="1"/>
  <c r="Q614" i="20"/>
  <c r="AH33" i="23"/>
  <c r="AH35" i="23" s="1"/>
  <c r="F614" i="20"/>
  <c r="F616" i="20" s="1"/>
  <c r="AR33" i="23"/>
  <c r="AR35" i="23" s="1"/>
  <c r="P614" i="20"/>
  <c r="L624" i="20"/>
  <c r="U616" i="20"/>
  <c r="L626" i="20" s="1"/>
  <c r="AL33" i="23"/>
  <c r="AL35" i="23" s="1"/>
  <c r="J614" i="20"/>
  <c r="J616" i="20" s="1"/>
  <c r="K624" i="20"/>
  <c r="T616" i="20"/>
  <c r="K626" i="20" s="1"/>
  <c r="AJ33" i="23"/>
  <c r="AJ35" i="23" s="1"/>
  <c r="H614" i="20"/>
  <c r="H616" i="20" s="1"/>
  <c r="H560" i="20"/>
  <c r="H559" i="20"/>
  <c r="AH50" i="23"/>
  <c r="AF50" i="23"/>
  <c r="AG50" i="23"/>
  <c r="AB50" i="23"/>
  <c r="AC50" i="23"/>
  <c r="AE50" i="23"/>
  <c r="AD50" i="23"/>
  <c r="M59" i="23"/>
  <c r="M51" i="23" s="1"/>
  <c r="L58" i="23"/>
  <c r="L59" i="23" s="1"/>
  <c r="L51" i="23" s="1"/>
  <c r="N58" i="23"/>
  <c r="N59" i="23" s="1"/>
  <c r="N51" i="23" s="1"/>
  <c r="AU49" i="21"/>
  <c r="AU48" i="21"/>
  <c r="AQ48" i="21"/>
  <c r="AQ49" i="21"/>
  <c r="AM49" i="21"/>
  <c r="AM48" i="21"/>
  <c r="AO49" i="21"/>
  <c r="AO48" i="21"/>
  <c r="W49" i="21"/>
  <c r="W48" i="21"/>
  <c r="AC48" i="21"/>
  <c r="AC49" i="21"/>
  <c r="AW49" i="21"/>
  <c r="AW48" i="21"/>
  <c r="Y49" i="21"/>
  <c r="Y48" i="21"/>
  <c r="AA48" i="21"/>
  <c r="AA49" i="21"/>
  <c r="AK48" i="21"/>
  <c r="AK49" i="21"/>
  <c r="AY48" i="21"/>
  <c r="AY49" i="21"/>
  <c r="I281" i="20"/>
  <c r="F114" i="20"/>
  <c r="H281" i="20"/>
  <c r="F113" i="20"/>
  <c r="L63" i="16"/>
  <c r="L19" i="16"/>
  <c r="L17" i="16" s="1"/>
  <c r="BG25" i="18"/>
  <c r="T24" i="21" s="1"/>
  <c r="F116" i="20" s="1"/>
  <c r="N63" i="16"/>
  <c r="N19" i="16"/>
  <c r="N17" i="16" s="1"/>
  <c r="N26" i="16" s="1"/>
  <c r="N34" i="16" s="1"/>
  <c r="N36" i="16" s="1"/>
  <c r="AC319" i="25"/>
  <c r="AB49" i="23"/>
  <c r="AB57" i="16"/>
  <c r="AB56" i="16" s="1"/>
  <c r="AB18" i="16" s="1"/>
  <c r="U49" i="23"/>
  <c r="U58" i="23" s="1"/>
  <c r="U57" i="16"/>
  <c r="U19" i="16" s="1"/>
  <c r="V49" i="23"/>
  <c r="V58" i="23" s="1"/>
  <c r="V57" i="16"/>
  <c r="V56" i="16" s="1"/>
  <c r="AA57" i="16"/>
  <c r="AA19" i="16" s="1"/>
  <c r="M63" i="16"/>
  <c r="F48" i="23"/>
  <c r="AD49" i="23"/>
  <c r="AD57" i="16"/>
  <c r="AD56" i="16" s="1"/>
  <c r="AD18" i="16" s="1"/>
  <c r="T49" i="23"/>
  <c r="T58" i="23" s="1"/>
  <c r="T57" i="16"/>
  <c r="T19" i="16" s="1"/>
  <c r="M19" i="16"/>
  <c r="M17" i="16" s="1"/>
  <c r="M26" i="16" s="1"/>
  <c r="M34" i="16" s="1"/>
  <c r="M36" i="16" s="1"/>
  <c r="Z49" i="23"/>
  <c r="Z58" i="23" s="1"/>
  <c r="Z57" i="16"/>
  <c r="Z19" i="16" s="1"/>
  <c r="S49" i="23"/>
  <c r="S58" i="23" s="1"/>
  <c r="S57" i="16"/>
  <c r="S56" i="16" s="1"/>
  <c r="Y49" i="23"/>
  <c r="Y57" i="16"/>
  <c r="Y56" i="16" s="1"/>
  <c r="Y18" i="16" s="1"/>
  <c r="L13" i="17"/>
  <c r="W49" i="23"/>
  <c r="W58" i="23" s="1"/>
  <c r="W57" i="16"/>
  <c r="W56" i="16" s="1"/>
  <c r="W18" i="16" s="1"/>
  <c r="X49" i="23"/>
  <c r="X57" i="16"/>
  <c r="X56" i="16" s="1"/>
  <c r="X18" i="16" s="1"/>
  <c r="AC49" i="23"/>
  <c r="AC57" i="16"/>
  <c r="AC19" i="16" s="1"/>
  <c r="V214" i="20"/>
  <c r="I241" i="20" s="1"/>
  <c r="D679" i="20"/>
  <c r="D684" i="20" s="1"/>
  <c r="D678" i="20"/>
  <c r="D683" i="20" s="1"/>
  <c r="CK277" i="37"/>
  <c r="CM37" i="37"/>
  <c r="CM12" i="37"/>
  <c r="CN215" i="37"/>
  <c r="CN208" i="37"/>
  <c r="CM59" i="37"/>
  <c r="CM52" i="37"/>
  <c r="CN137" i="37"/>
  <c r="CO28" i="37"/>
  <c r="CO205" i="37" s="1"/>
  <c r="CO206" i="37" s="1"/>
  <c r="CN49" i="37"/>
  <c r="CN50" i="37" s="1"/>
  <c r="CN31" i="37"/>
  <c r="AF215" i="37"/>
  <c r="AF208" i="37"/>
  <c r="AG210" i="37"/>
  <c r="AG142" i="37"/>
  <c r="AF12" i="37"/>
  <c r="AF267" i="37" s="1"/>
  <c r="AF37" i="37"/>
  <c r="AG205" i="37"/>
  <c r="AG206" i="37" s="1"/>
  <c r="AG137" i="37"/>
  <c r="AG49" i="37"/>
  <c r="AG50" i="37" s="1"/>
  <c r="AF59" i="37"/>
  <c r="AF52" i="37"/>
  <c r="U35" i="23"/>
  <c r="AE21" i="21"/>
  <c r="AE50" i="21" s="1"/>
  <c r="Q29" i="17"/>
  <c r="H214" i="20" s="1"/>
  <c r="AW22" i="18"/>
  <c r="L27" i="2"/>
  <c r="L42" i="2"/>
  <c r="M44" i="2"/>
  <c r="L28" i="2"/>
  <c r="L43" i="2"/>
  <c r="L35" i="2"/>
  <c r="L49" i="2"/>
  <c r="K20" i="2"/>
  <c r="M10" i="2"/>
  <c r="M29" i="2"/>
  <c r="N11" i="2"/>
  <c r="M9" i="2"/>
  <c r="H35" i="2"/>
  <c r="AJ214" i="20"/>
  <c r="J262" i="20" s="1"/>
  <c r="N29" i="17"/>
  <c r="E214" i="20" s="1"/>
  <c r="AG28" i="17"/>
  <c r="X213" i="20" s="1"/>
  <c r="K240" i="20" s="1"/>
  <c r="U29" i="16"/>
  <c r="AI21" i="21"/>
  <c r="AI50" i="21" s="1"/>
  <c r="AS21" i="21"/>
  <c r="AS50" i="21" s="1"/>
  <c r="AP214" i="20"/>
  <c r="P262" i="20" s="1"/>
  <c r="AJ42" i="36"/>
  <c r="M55" i="36" s="1"/>
  <c r="L55" i="36"/>
  <c r="BB28" i="17"/>
  <c r="AS213" i="20" s="1"/>
  <c r="EE33" i="23"/>
  <c r="EE35" i="23" s="1"/>
  <c r="H25" i="36"/>
  <c r="F25" i="36"/>
  <c r="K25" i="36"/>
  <c r="O29" i="17"/>
  <c r="F214" i="20" s="1"/>
  <c r="L25" i="36"/>
  <c r="AO22" i="18"/>
  <c r="Y33" i="23" s="1"/>
  <c r="Y35" i="23" s="1"/>
  <c r="AH214" i="20"/>
  <c r="H262" i="20" s="1"/>
  <c r="AU28" i="17"/>
  <c r="AL213" i="20" s="1"/>
  <c r="L261" i="20" s="1"/>
  <c r="AF214" i="20"/>
  <c r="F262" i="20" s="1"/>
  <c r="AR214" i="20"/>
  <c r="J25" i="36"/>
  <c r="M25" i="36"/>
  <c r="G25" i="36"/>
  <c r="I25" i="36"/>
  <c r="J42" i="36"/>
  <c r="G55" i="36" s="1"/>
  <c r="AM28" i="17"/>
  <c r="AD213" i="20" s="1"/>
  <c r="D261" i="20" s="1"/>
  <c r="D9" i="36"/>
  <c r="D44" i="4"/>
  <c r="F30" i="16"/>
  <c r="AU22" i="18"/>
  <c r="AE33" i="23" s="1"/>
  <c r="AE29" i="16"/>
  <c r="I950" i="20"/>
  <c r="D56" i="4"/>
  <c r="G57" i="4" s="1"/>
  <c r="G21" i="4" s="1"/>
  <c r="AH6" i="15"/>
  <c r="AH5" i="15" s="1"/>
  <c r="AI6" i="15"/>
  <c r="AI5" i="15" s="1"/>
  <c r="AG6" i="15"/>
  <c r="AG5" i="15" s="1"/>
  <c r="N26" i="24"/>
  <c r="AF6" i="15"/>
  <c r="AF5" i="15" s="1"/>
  <c r="O21" i="24"/>
  <c r="AC19" i="15"/>
  <c r="AE19" i="15"/>
  <c r="AB5" i="15"/>
  <c r="AA49" i="23" s="1"/>
  <c r="AA58" i="23" s="1"/>
  <c r="Q17" i="24"/>
  <c r="P18" i="24"/>
  <c r="P19" i="24"/>
  <c r="P20" i="24" s="1"/>
  <c r="G35" i="2"/>
  <c r="K55" i="36"/>
  <c r="G59" i="4"/>
  <c r="G50" i="2" s="1"/>
  <c r="F78" i="36"/>
  <c r="F55" i="36"/>
  <c r="I55" i="36"/>
  <c r="R14" i="17"/>
  <c r="Q14" i="17"/>
  <c r="FC19" i="16"/>
  <c r="BJ19" i="16"/>
  <c r="DF19" i="16"/>
  <c r="BW19" i="16"/>
  <c r="DY19" i="16"/>
  <c r="DG19" i="16"/>
  <c r="CP19" i="16"/>
  <c r="CX19" i="16"/>
  <c r="BD19" i="16"/>
  <c r="CS19" i="16"/>
  <c r="AY19" i="16"/>
  <c r="CL19" i="16"/>
  <c r="ER19" i="16"/>
  <c r="BV19" i="16"/>
  <c r="DI19" i="16"/>
  <c r="AU19" i="16"/>
  <c r="S14" i="17"/>
  <c r="CQ19" i="16"/>
  <c r="DR19" i="16"/>
  <c r="DX19" i="16"/>
  <c r="BM19" i="16"/>
  <c r="FG19" i="16"/>
  <c r="DK19" i="16"/>
  <c r="AV19" i="16"/>
  <c r="CR19" i="16"/>
  <c r="BB19" i="16"/>
  <c r="CJ19" i="16"/>
  <c r="EB19" i="16"/>
  <c r="BE19" i="16"/>
  <c r="CF19" i="16"/>
  <c r="CC19" i="16"/>
  <c r="DB19" i="16"/>
  <c r="DP19" i="16"/>
  <c r="EN19" i="16"/>
  <c r="EI19" i="16"/>
  <c r="DS19" i="16"/>
  <c r="FM19" i="16"/>
  <c r="FE19" i="16"/>
  <c r="BG19" i="16"/>
  <c r="DD19" i="16"/>
  <c r="K19" i="16"/>
  <c r="K63" i="16"/>
  <c r="FN19" i="16"/>
  <c r="EG19" i="16"/>
  <c r="EQ19" i="16"/>
  <c r="FB19" i="16"/>
  <c r="EA19" i="16"/>
  <c r="EW19" i="16"/>
  <c r="BC19" i="16"/>
  <c r="CH19" i="16"/>
  <c r="CB19" i="16"/>
  <c r="CY19" i="16"/>
  <c r="BZ19" i="16"/>
  <c r="EL19" i="16"/>
  <c r="DV19" i="16"/>
  <c r="FL19" i="16"/>
  <c r="FD19" i="16"/>
  <c r="CU19" i="16"/>
  <c r="DQ19" i="16"/>
  <c r="EO19" i="16"/>
  <c r="EF19" i="16"/>
  <c r="ET19" i="16"/>
  <c r="BO19" i="16"/>
  <c r="BU19" i="16"/>
  <c r="AZ19" i="16"/>
  <c r="CK19" i="16"/>
  <c r="BS19" i="16"/>
  <c r="BK19" i="16"/>
  <c r="FJ19" i="16"/>
  <c r="CV19" i="16"/>
  <c r="DN19" i="16"/>
  <c r="DO19" i="16"/>
  <c r="EM19" i="16"/>
  <c r="DW19" i="16"/>
  <c r="AQ19" i="16"/>
  <c r="T14" i="17" s="1"/>
  <c r="CI19" i="16"/>
  <c r="BR19" i="16"/>
  <c r="BT19" i="16"/>
  <c r="DH19" i="16"/>
  <c r="AW19" i="16"/>
  <c r="CE19" i="16"/>
  <c r="DA19" i="16"/>
  <c r="EH19" i="16"/>
  <c r="EX19" i="16"/>
  <c r="BL19" i="16"/>
  <c r="DC19" i="16"/>
  <c r="EV19" i="16"/>
  <c r="BX19" i="16"/>
  <c r="DT19" i="16"/>
  <c r="FK19" i="16"/>
  <c r="CM19" i="16"/>
  <c r="BI19" i="16"/>
  <c r="DE19" i="16"/>
  <c r="BF19" i="16"/>
  <c r="CA19" i="16"/>
  <c r="CZ19" i="16"/>
  <c r="EE19" i="16"/>
  <c r="EY19" i="16"/>
  <c r="ED19" i="16"/>
  <c r="EU19" i="16"/>
  <c r="O18" i="16"/>
  <c r="O63" i="16"/>
  <c r="L151" i="19"/>
  <c r="R18" i="16"/>
  <c r="R17" i="16" s="1"/>
  <c r="R26" i="16" s="1"/>
  <c r="R34" i="16" s="1"/>
  <c r="R63" i="16"/>
  <c r="P18" i="16"/>
  <c r="P17" i="16" s="1"/>
  <c r="P26" i="16" s="1"/>
  <c r="P34" i="16" s="1"/>
  <c r="P36" i="16" s="1"/>
  <c r="P63" i="16"/>
  <c r="Q18" i="16"/>
  <c r="Q17" i="16" s="1"/>
  <c r="Q26" i="16" s="1"/>
  <c r="Q34" i="16" s="1"/>
  <c r="Q36" i="16" s="1"/>
  <c r="Q63" i="16"/>
  <c r="R67" i="14"/>
  <c r="Y51" i="13" s="1"/>
  <c r="AN14" i="18" s="1"/>
  <c r="R72" i="14"/>
  <c r="D104" i="20"/>
  <c r="H10" i="26"/>
  <c r="H6" i="26" s="1"/>
  <c r="H8" i="26" s="1"/>
  <c r="U127" i="16"/>
  <c r="S17" i="14"/>
  <c r="X40" i="13"/>
  <c r="Y40" i="13"/>
  <c r="V9" i="13"/>
  <c r="Z40" i="13"/>
  <c r="AA40" i="13"/>
  <c r="R30" i="11"/>
  <c r="Q29" i="11"/>
  <c r="W15" i="13"/>
  <c r="Q18" i="21"/>
  <c r="S24" i="21"/>
  <c r="AM62" i="16"/>
  <c r="AM25" i="16" s="1"/>
  <c r="S20" i="17" s="1"/>
  <c r="J210" i="20" s="1"/>
  <c r="Q34" i="15"/>
  <c r="R28" i="15" s="1"/>
  <c r="R27" i="15" s="1"/>
  <c r="AV15" i="15" s="1"/>
  <c r="BK25" i="18" s="1"/>
  <c r="Q32" i="15"/>
  <c r="Q22" i="11"/>
  <c r="R23" i="11"/>
  <c r="AN8" i="15"/>
  <c r="AO8" i="15"/>
  <c r="AP8" i="15"/>
  <c r="AQ8" i="15"/>
  <c r="Z21" i="21"/>
  <c r="Z50" i="21" s="1"/>
  <c r="BO33" i="23"/>
  <c r="BO35" i="23" s="1"/>
  <c r="AH28" i="17"/>
  <c r="Y213" i="20" s="1"/>
  <c r="L240" i="20" s="1"/>
  <c r="Y214" i="20"/>
  <c r="L241" i="20" s="1"/>
  <c r="V291" i="26"/>
  <c r="V10" i="26"/>
  <c r="W291" i="26"/>
  <c r="W10" i="26"/>
  <c r="AH20" i="16"/>
  <c r="AI44" i="23"/>
  <c r="AJ10" i="15"/>
  <c r="L291" i="26"/>
  <c r="L10" i="26"/>
  <c r="L6" i="26" s="1"/>
  <c r="K214" i="20"/>
  <c r="R21" i="21"/>
  <c r="AI33" i="23"/>
  <c r="AM214" i="20"/>
  <c r="M262" i="20" s="1"/>
  <c r="AV28" i="17"/>
  <c r="AM213" i="20" s="1"/>
  <c r="M261" i="20" s="1"/>
  <c r="AT291" i="26"/>
  <c r="AT10" i="26"/>
  <c r="AF280" i="20"/>
  <c r="F334" i="20" s="1"/>
  <c r="AO51" i="21"/>
  <c r="AO52" i="21"/>
  <c r="X291" i="26"/>
  <c r="X10" i="26"/>
  <c r="Q7" i="21"/>
  <c r="AD20" i="16"/>
  <c r="I201" i="20"/>
  <c r="G82" i="23"/>
  <c r="M214" i="20"/>
  <c r="AT21" i="21"/>
  <c r="AT50" i="21" s="1"/>
  <c r="EQ33" i="23"/>
  <c r="EQ35" i="23" s="1"/>
  <c r="H201" i="20"/>
  <c r="T99" i="19"/>
  <c r="T102" i="19" s="1"/>
  <c r="S21" i="19"/>
  <c r="AU291" i="26"/>
  <c r="AU10" i="26"/>
  <c r="T106" i="19"/>
  <c r="T109" i="19" s="1"/>
  <c r="S22" i="19"/>
  <c r="Y291" i="26"/>
  <c r="Y10" i="26"/>
  <c r="AL280" i="20"/>
  <c r="L334" i="20" s="1"/>
  <c r="AU51" i="21"/>
  <c r="AU52" i="21"/>
  <c r="T21" i="21"/>
  <c r="AQ33" i="23"/>
  <c r="I214" i="20"/>
  <c r="AE11" i="25"/>
  <c r="AE34" i="25"/>
  <c r="AM14" i="18"/>
  <c r="T130" i="16"/>
  <c r="T131" i="16"/>
  <c r="AH50" i="25"/>
  <c r="AG145" i="25"/>
  <c r="AG123" i="25"/>
  <c r="AG212" i="25"/>
  <c r="N291" i="26"/>
  <c r="N10" i="26"/>
  <c r="AQ291" i="26"/>
  <c r="AQ10" i="26"/>
  <c r="AN280" i="20"/>
  <c r="N334" i="20" s="1"/>
  <c r="AW51" i="21"/>
  <c r="AW52" i="21"/>
  <c r="AJ28" i="17"/>
  <c r="AA213" i="20" s="1"/>
  <c r="N240" i="20" s="1"/>
  <c r="AA214" i="20"/>
  <c r="N241" i="20" s="1"/>
  <c r="AH291" i="26"/>
  <c r="AH10" i="26"/>
  <c r="AA52" i="21"/>
  <c r="R280" i="20"/>
  <c r="E309" i="20" s="1"/>
  <c r="AA51" i="21"/>
  <c r="AR28" i="17"/>
  <c r="AI213" i="20" s="1"/>
  <c r="I261" i="20" s="1"/>
  <c r="AI214" i="20"/>
  <c r="I262" i="20" s="1"/>
  <c r="AC214" i="20"/>
  <c r="P241" i="20" s="1"/>
  <c r="AL28" i="17"/>
  <c r="AC213" i="20" s="1"/>
  <c r="P240" i="20" s="1"/>
  <c r="AF21" i="21"/>
  <c r="AF50" i="21" s="1"/>
  <c r="CM33" i="23"/>
  <c r="CM35" i="23" s="1"/>
  <c r="U10" i="27"/>
  <c r="U4" i="27" s="1"/>
  <c r="AN11" i="15"/>
  <c r="U5" i="27"/>
  <c r="AO11" i="15"/>
  <c r="AP11" i="15"/>
  <c r="AQ11" i="15"/>
  <c r="O291" i="26"/>
  <c r="O10" i="26"/>
  <c r="AX31" i="18"/>
  <c r="AX30" i="18" s="1"/>
  <c r="AX27" i="18" s="1"/>
  <c r="V21" i="21"/>
  <c r="V50" i="21" s="1"/>
  <c r="AY33" i="23"/>
  <c r="AY35" i="23" s="1"/>
  <c r="AE291" i="26"/>
  <c r="AE10" i="26"/>
  <c r="AB21" i="21"/>
  <c r="AB50" i="21" s="1"/>
  <c r="BW33" i="23"/>
  <c r="BW35" i="23" s="1"/>
  <c r="AK214" i="20"/>
  <c r="K262" i="20" s="1"/>
  <c r="AT28" i="17"/>
  <c r="AK213" i="20" s="1"/>
  <c r="K261" i="20" s="1"/>
  <c r="R291" i="26"/>
  <c r="R10" i="26"/>
  <c r="AM291" i="26"/>
  <c r="AM10" i="26"/>
  <c r="P291" i="26"/>
  <c r="P10" i="26"/>
  <c r="AB280" i="20"/>
  <c r="O309" i="20" s="1"/>
  <c r="AK51" i="21"/>
  <c r="AK52" i="21"/>
  <c r="O564" i="20"/>
  <c r="AU35" i="23"/>
  <c r="F564" i="20" s="1"/>
  <c r="U214" i="20"/>
  <c r="H241" i="20" s="1"/>
  <c r="AD28" i="17"/>
  <c r="U213" i="20" s="1"/>
  <c r="H240" i="20" s="1"/>
  <c r="AL44" i="23"/>
  <c r="AM10" i="15"/>
  <c r="W35" i="23"/>
  <c r="P280" i="20"/>
  <c r="Y51" i="21"/>
  <c r="Y52" i="21"/>
  <c r="AJ291" i="26"/>
  <c r="AJ10" i="26"/>
  <c r="AM35" i="23"/>
  <c r="AQ19" i="18"/>
  <c r="T48" i="16"/>
  <c r="K69" i="13"/>
  <c r="AE20" i="16"/>
  <c r="AF55" i="25"/>
  <c r="AF48" i="25"/>
  <c r="P21" i="21"/>
  <c r="AA33" i="23"/>
  <c r="AF20" i="16"/>
  <c r="AD291" i="26"/>
  <c r="AD10" i="26"/>
  <c r="AS291" i="26"/>
  <c r="AS10" i="26"/>
  <c r="AJ21" i="21"/>
  <c r="AJ50" i="21" s="1"/>
  <c r="DC33" i="23"/>
  <c r="DC35" i="23" s="1"/>
  <c r="R7" i="21"/>
  <c r="X21" i="21"/>
  <c r="X50" i="21" s="1"/>
  <c r="BG33" i="23"/>
  <c r="BG35" i="23" s="1"/>
  <c r="AR21" i="21"/>
  <c r="AR50" i="21" s="1"/>
  <c r="EI33" i="23"/>
  <c r="EI35" i="23" s="1"/>
  <c r="AO291" i="26"/>
  <c r="AO10" i="26"/>
  <c r="AL21" i="21"/>
  <c r="AL50" i="21" s="1"/>
  <c r="DK33" i="23"/>
  <c r="DK35" i="23" s="1"/>
  <c r="W214" i="20"/>
  <c r="J241" i="20" s="1"/>
  <c r="AF28" i="17"/>
  <c r="W213" i="20" s="1"/>
  <c r="J240" i="20" s="1"/>
  <c r="AN21" i="21"/>
  <c r="AN50" i="21" s="1"/>
  <c r="DS33" i="23"/>
  <c r="DS35" i="23" s="1"/>
  <c r="AL58" i="16"/>
  <c r="AL46" i="23"/>
  <c r="BB19" i="18" s="1"/>
  <c r="Q214" i="20"/>
  <c r="D241" i="20" s="1"/>
  <c r="N21" i="21"/>
  <c r="S33" i="23"/>
  <c r="S561" i="20" s="1"/>
  <c r="AK291" i="26"/>
  <c r="AK10" i="26"/>
  <c r="AG20" i="16"/>
  <c r="V63" i="27"/>
  <c r="V62" i="27" s="1"/>
  <c r="V11" i="27"/>
  <c r="W7" i="27"/>
  <c r="L280" i="20"/>
  <c r="AD21" i="21"/>
  <c r="AD50" i="21" s="1"/>
  <c r="CE33" i="23"/>
  <c r="CE35" i="23" s="1"/>
  <c r="AK44" i="23"/>
  <c r="AL10" i="15"/>
  <c r="AL291" i="26"/>
  <c r="AL10" i="26"/>
  <c r="AA291" i="26"/>
  <c r="AA10" i="26"/>
  <c r="P30" i="21"/>
  <c r="AQ30" i="18"/>
  <c r="AQ27" i="18" s="1"/>
  <c r="S21" i="21"/>
  <c r="G201" i="20"/>
  <c r="AF210" i="25"/>
  <c r="AF217" i="25"/>
  <c r="G214" i="20"/>
  <c r="P28" i="17"/>
  <c r="G213" i="20" s="1"/>
  <c r="AP21" i="21"/>
  <c r="AP50" i="21" s="1"/>
  <c r="EA33" i="23"/>
  <c r="EA35" i="23" s="1"/>
  <c r="AI291" i="26"/>
  <c r="AI10" i="26"/>
  <c r="AG291" i="26"/>
  <c r="AG10" i="26"/>
  <c r="Q291" i="26"/>
  <c r="Q10" i="26"/>
  <c r="E113" i="20"/>
  <c r="N25" i="15"/>
  <c r="S53" i="14"/>
  <c r="S59" i="14" s="1"/>
  <c r="AC291" i="26"/>
  <c r="AC10" i="26"/>
  <c r="AR291" i="26"/>
  <c r="AR10" i="26"/>
  <c r="AP291" i="26"/>
  <c r="AP10" i="26"/>
  <c r="O214" i="20"/>
  <c r="AW31" i="18"/>
  <c r="AW30" i="18" s="1"/>
  <c r="AW27" i="18" s="1"/>
  <c r="AE214" i="20"/>
  <c r="E262" i="20" s="1"/>
  <c r="AN28" i="17"/>
  <c r="AE213" i="20" s="1"/>
  <c r="E261" i="20" s="1"/>
  <c r="AQ52" i="21"/>
  <c r="AH280" i="20"/>
  <c r="H334" i="20" s="1"/>
  <c r="AQ51" i="21"/>
  <c r="AK58" i="16"/>
  <c r="AK46" i="23"/>
  <c r="BA19" i="18" s="1"/>
  <c r="T280" i="20"/>
  <c r="G309" i="20" s="1"/>
  <c r="AC51" i="21"/>
  <c r="AC52" i="21"/>
  <c r="AF291" i="26"/>
  <c r="AF10" i="26"/>
  <c r="K291" i="26"/>
  <c r="K10" i="26"/>
  <c r="K6" i="26" s="1"/>
  <c r="N94" i="19"/>
  <c r="O19" i="17" s="1"/>
  <c r="O94" i="19"/>
  <c r="P19" i="17" s="1"/>
  <c r="AA20" i="16"/>
  <c r="AP28" i="17"/>
  <c r="AG213" i="20" s="1"/>
  <c r="G261" i="20" s="1"/>
  <c r="AG214" i="20"/>
  <c r="G262" i="20" s="1"/>
  <c r="AU31" i="18"/>
  <c r="S49" i="14"/>
  <c r="T51" i="14" s="1"/>
  <c r="J291" i="26"/>
  <c r="J10" i="26"/>
  <c r="J6" i="26" s="1"/>
  <c r="H62" i="23"/>
  <c r="AB291" i="26"/>
  <c r="AB10" i="26"/>
  <c r="F285" i="20"/>
  <c r="O29" i="21"/>
  <c r="AJ58" i="16"/>
  <c r="AJ46" i="23"/>
  <c r="AZ19" i="18" s="1"/>
  <c r="AJ44" i="23"/>
  <c r="AK10" i="15"/>
  <c r="AV21" i="21"/>
  <c r="AV50" i="21" s="1"/>
  <c r="EY33" i="23"/>
  <c r="EY35" i="23" s="1"/>
  <c r="D676" i="20"/>
  <c r="D681" i="20" s="1"/>
  <c r="AC278" i="25"/>
  <c r="S214" i="20"/>
  <c r="F241" i="20" s="1"/>
  <c r="AH21" i="21"/>
  <c r="AH50" i="21" s="1"/>
  <c r="CU33" i="23"/>
  <c r="CU35" i="23" s="1"/>
  <c r="AN291" i="26"/>
  <c r="AN10" i="26"/>
  <c r="P7" i="21"/>
  <c r="AH26" i="25"/>
  <c r="AG140" i="25"/>
  <c r="AG207" i="25"/>
  <c r="AG208" i="25" s="1"/>
  <c r="AG29" i="25"/>
  <c r="AG30" i="25" s="1"/>
  <c r="AG45" i="25"/>
  <c r="AG46" i="25" s="1"/>
  <c r="AB20" i="16"/>
  <c r="AY52" i="21"/>
  <c r="AP280" i="20"/>
  <c r="P334" i="20" s="1"/>
  <c r="AY51" i="21"/>
  <c r="M291" i="26"/>
  <c r="M10" i="26"/>
  <c r="Z291" i="26"/>
  <c r="Z10" i="26"/>
  <c r="N280" i="20"/>
  <c r="W51" i="21"/>
  <c r="W52" i="21"/>
  <c r="AX21" i="21"/>
  <c r="AX50" i="21" s="1"/>
  <c r="FG33" i="23"/>
  <c r="FG35" i="23" s="1"/>
  <c r="S291" i="26"/>
  <c r="S10" i="26"/>
  <c r="AM27" i="18"/>
  <c r="U291" i="26"/>
  <c r="U10" i="26"/>
  <c r="AI58" i="16"/>
  <c r="AI46" i="23"/>
  <c r="AY19" i="18" s="1"/>
  <c r="O23" i="15"/>
  <c r="AD280" i="20"/>
  <c r="D334" i="20" s="1"/>
  <c r="AM51" i="21"/>
  <c r="AM52" i="21"/>
  <c r="AF34" i="25"/>
  <c r="AF11" i="25"/>
  <c r="AF268" i="25" s="1"/>
  <c r="T291" i="26"/>
  <c r="T10" i="26"/>
  <c r="AX28" i="17"/>
  <c r="AO213" i="20" s="1"/>
  <c r="O261" i="20" s="1"/>
  <c r="AO214" i="20"/>
  <c r="O262" i="20" s="1"/>
  <c r="AV31" i="18"/>
  <c r="AV30" i="18" s="1"/>
  <c r="AV27" i="18" s="1"/>
  <c r="AM8" i="18"/>
  <c r="O5" i="17"/>
  <c r="AO12" i="15"/>
  <c r="AN45" i="23" s="1"/>
  <c r="AP12" i="15"/>
  <c r="AO45" i="23" s="1"/>
  <c r="AQ12" i="15"/>
  <c r="AP45" i="23" s="1"/>
  <c r="AN12" i="15"/>
  <c r="AM45" i="23" s="1"/>
  <c r="I291" i="26"/>
  <c r="I10" i="26"/>
  <c r="CK279" i="37" l="1"/>
  <c r="X662" i="20"/>
  <c r="X675" i="20" s="1"/>
  <c r="W662" i="20"/>
  <c r="W675" i="20" s="1"/>
  <c r="Y660" i="20"/>
  <c r="Y673" i="20" s="1"/>
  <c r="AA660" i="20"/>
  <c r="AA673" i="20" s="1"/>
  <c r="U561" i="20"/>
  <c r="W660" i="20"/>
  <c r="W673" i="20" s="1"/>
  <c r="Z660" i="20"/>
  <c r="Z673" i="20" s="1"/>
  <c r="V660" i="20"/>
  <c r="V673" i="20" s="1"/>
  <c r="CL279" i="37"/>
  <c r="CL277" i="37"/>
  <c r="CM267" i="37"/>
  <c r="E727" i="20" s="1"/>
  <c r="I727" i="20" s="1"/>
  <c r="W648" i="20"/>
  <c r="X280" i="20"/>
  <c r="K309" i="20" s="1"/>
  <c r="AG48" i="21"/>
  <c r="AB39" i="22" s="1"/>
  <c r="AB41" i="22" s="1"/>
  <c r="AG49" i="21"/>
  <c r="AG236" i="19" s="1"/>
  <c r="AG238" i="19" s="1"/>
  <c r="AG52" i="21"/>
  <c r="AG51" i="21"/>
  <c r="W561" i="20"/>
  <c r="Y561" i="20"/>
  <c r="O562" i="20"/>
  <c r="G67" i="4"/>
  <c r="G624" i="20"/>
  <c r="P616" i="20"/>
  <c r="G626" i="20" s="1"/>
  <c r="D624" i="20"/>
  <c r="M616" i="20"/>
  <c r="D626" i="20" s="1"/>
  <c r="X561" i="20"/>
  <c r="E624" i="20"/>
  <c r="N616" i="20"/>
  <c r="E626" i="20" s="1"/>
  <c r="AG33" i="23"/>
  <c r="AG35" i="23" s="1"/>
  <c r="E614" i="20"/>
  <c r="Q616" i="20"/>
  <c r="H626" i="20" s="1"/>
  <c r="H624" i="20"/>
  <c r="I624" i="20"/>
  <c r="R616" i="20"/>
  <c r="I626" i="20" s="1"/>
  <c r="F562" i="20"/>
  <c r="H561" i="20"/>
  <c r="AJ50" i="23"/>
  <c r="AK50" i="23"/>
  <c r="AL50" i="23"/>
  <c r="AI50" i="23"/>
  <c r="AD17" i="18"/>
  <c r="AD16" i="18" s="1"/>
  <c r="AD15" i="18" s="1"/>
  <c r="AD6" i="18" s="1"/>
  <c r="AB17" i="18"/>
  <c r="AB16" i="18" s="1"/>
  <c r="AB15" i="18" s="1"/>
  <c r="AB6" i="18" s="1"/>
  <c r="AC17" i="18"/>
  <c r="AC16" i="18" s="1"/>
  <c r="AC15" i="18" s="1"/>
  <c r="AC6" i="18" s="1"/>
  <c r="X58" i="23"/>
  <c r="S66" i="23"/>
  <c r="W66" i="23"/>
  <c r="V66" i="23"/>
  <c r="AB58" i="23"/>
  <c r="AB66" i="23" s="1"/>
  <c r="Z66" i="23"/>
  <c r="Y58" i="23"/>
  <c r="Y66" i="23" s="1"/>
  <c r="AD58" i="23"/>
  <c r="AD66" i="23" s="1"/>
  <c r="U66" i="23"/>
  <c r="AC58" i="23"/>
  <c r="AC66" i="23" s="1"/>
  <c r="AS48" i="21"/>
  <c r="AS234" i="19" s="1"/>
  <c r="AS49" i="21"/>
  <c r="AS236" i="19" s="1"/>
  <c r="AS238" i="19" s="1"/>
  <c r="AI48" i="21"/>
  <c r="AI234" i="19" s="1"/>
  <c r="AI49" i="21"/>
  <c r="AI236" i="19" s="1"/>
  <c r="AI238" i="19" s="1"/>
  <c r="AR49" i="21"/>
  <c r="AR48" i="21"/>
  <c r="V48" i="21"/>
  <c r="V49" i="21"/>
  <c r="AP49" i="21"/>
  <c r="AP48" i="21"/>
  <c r="AD48" i="21"/>
  <c r="AD49" i="21"/>
  <c r="AT48" i="21"/>
  <c r="AT49" i="21"/>
  <c r="AH49" i="21"/>
  <c r="AH48" i="21"/>
  <c r="X49" i="21"/>
  <c r="X48" i="21"/>
  <c r="AL49" i="21"/>
  <c r="AL48" i="21"/>
  <c r="AF49" i="21"/>
  <c r="AF48" i="21"/>
  <c r="AX49" i="21"/>
  <c r="AX48" i="21"/>
  <c r="AB49" i="21"/>
  <c r="AB48" i="21"/>
  <c r="AE49" i="21"/>
  <c r="Z40" i="22" s="1"/>
  <c r="AE48" i="21"/>
  <c r="AE234" i="19" s="1"/>
  <c r="AV49" i="21"/>
  <c r="AV48" i="21"/>
  <c r="AN49" i="21"/>
  <c r="AN48" i="21"/>
  <c r="AJ49" i="21"/>
  <c r="AJ48" i="21"/>
  <c r="Z49" i="21"/>
  <c r="Z48" i="21"/>
  <c r="J281" i="20"/>
  <c r="F115" i="20"/>
  <c r="T56" i="16"/>
  <c r="T63" i="16" s="1"/>
  <c r="S19" i="16"/>
  <c r="Z56" i="16"/>
  <c r="Z18" i="16" s="1"/>
  <c r="O13" i="17" s="1"/>
  <c r="AJ280" i="20"/>
  <c r="J334" i="20" s="1"/>
  <c r="AI52" i="21"/>
  <c r="Y19" i="16"/>
  <c r="AB19" i="16"/>
  <c r="AD19" i="16"/>
  <c r="V19" i="16"/>
  <c r="X19" i="16"/>
  <c r="U56" i="16"/>
  <c r="U63" i="16" s="1"/>
  <c r="AF16" i="15"/>
  <c r="AE49" i="23"/>
  <c r="F57" i="16"/>
  <c r="AC56" i="16"/>
  <c r="AC18" i="16" s="1"/>
  <c r="AF56" i="16"/>
  <c r="AF18" i="16" s="1"/>
  <c r="AF49" i="23"/>
  <c r="AH49" i="23"/>
  <c r="W19" i="16"/>
  <c r="AA66" i="23"/>
  <c r="AG56" i="16"/>
  <c r="AG18" i="16" s="1"/>
  <c r="AG49" i="23"/>
  <c r="CO215" i="37"/>
  <c r="CO208" i="37"/>
  <c r="CN32" i="37"/>
  <c r="CN59" i="37"/>
  <c r="CN52" i="37"/>
  <c r="CO137" i="37"/>
  <c r="CP28" i="37"/>
  <c r="CP205" i="37" s="1"/>
  <c r="CP206" i="37" s="1"/>
  <c r="CO49" i="37"/>
  <c r="CO50" i="37" s="1"/>
  <c r="CO31" i="37"/>
  <c r="CO32" i="37" s="1"/>
  <c r="AG12" i="37"/>
  <c r="AG267" i="37" s="1"/>
  <c r="AG37" i="37"/>
  <c r="AH205" i="37"/>
  <c r="AH206" i="37" s="1"/>
  <c r="AH137" i="37"/>
  <c r="AH49" i="37"/>
  <c r="AH50" i="37" s="1"/>
  <c r="AH210" i="37"/>
  <c r="AH142" i="37"/>
  <c r="AG59" i="37"/>
  <c r="AG52" i="37"/>
  <c r="AG215" i="37"/>
  <c r="AG208" i="37"/>
  <c r="T561" i="20"/>
  <c r="V280" i="20"/>
  <c r="I309" i="20" s="1"/>
  <c r="Q28" i="17"/>
  <c r="H213" i="20" s="1"/>
  <c r="AE51" i="21"/>
  <c r="AE52" i="21"/>
  <c r="G48" i="2"/>
  <c r="M27" i="2"/>
  <c r="M42" i="2"/>
  <c r="N44" i="2"/>
  <c r="M49" i="2"/>
  <c r="M35" i="2"/>
  <c r="M28" i="2"/>
  <c r="M43" i="2"/>
  <c r="L19" i="2"/>
  <c r="L20" i="2"/>
  <c r="N10" i="2"/>
  <c r="N29" i="2"/>
  <c r="N9" i="2"/>
  <c r="O11" i="2"/>
  <c r="H20" i="2"/>
  <c r="D66" i="4"/>
  <c r="AS51" i="21"/>
  <c r="AS52" i="21"/>
  <c r="N28" i="17"/>
  <c r="E213" i="20" s="1"/>
  <c r="AI51" i="21"/>
  <c r="Z280" i="20"/>
  <c r="M309" i="20" s="1"/>
  <c r="G62" i="4"/>
  <c r="H59" i="4" s="1"/>
  <c r="H50" i="2" s="1"/>
  <c r="F29" i="17"/>
  <c r="O28" i="17"/>
  <c r="F213" i="20" s="1"/>
  <c r="F558" i="20"/>
  <c r="O21" i="21"/>
  <c r="O558" i="20"/>
  <c r="D42" i="36"/>
  <c r="D25" i="36"/>
  <c r="F22" i="18"/>
  <c r="Q21" i="21"/>
  <c r="AE35" i="23"/>
  <c r="AF57" i="4"/>
  <c r="AF21" i="4" s="1"/>
  <c r="X57" i="4"/>
  <c r="X21" i="4" s="1"/>
  <c r="H57" i="4"/>
  <c r="H21" i="4" s="1"/>
  <c r="P57" i="4"/>
  <c r="P21" i="4" s="1"/>
  <c r="AD57" i="4"/>
  <c r="AD21" i="4" s="1"/>
  <c r="V57" i="4"/>
  <c r="V21" i="4" s="1"/>
  <c r="N57" i="4"/>
  <c r="N21" i="4" s="1"/>
  <c r="F57" i="4"/>
  <c r="AC57" i="4"/>
  <c r="AC21" i="4" s="1"/>
  <c r="U57" i="4"/>
  <c r="U21" i="4" s="1"/>
  <c r="M57" i="4"/>
  <c r="M21" i="4" s="1"/>
  <c r="AB57" i="4"/>
  <c r="AB21" i="4" s="1"/>
  <c r="T57" i="4"/>
  <c r="T21" i="4" s="1"/>
  <c r="L57" i="4"/>
  <c r="L21" i="4" s="1"/>
  <c r="B214" i="20"/>
  <c r="AI57" i="4"/>
  <c r="AI21" i="4" s="1"/>
  <c r="AA57" i="4"/>
  <c r="AA21" i="4" s="1"/>
  <c r="S57" i="4"/>
  <c r="S21" i="4" s="1"/>
  <c r="K57" i="4"/>
  <c r="K21" i="4" s="1"/>
  <c r="AH57" i="4"/>
  <c r="AH21" i="4" s="1"/>
  <c r="Z57" i="4"/>
  <c r="Z21" i="4" s="1"/>
  <c r="R57" i="4"/>
  <c r="R21" i="4" s="1"/>
  <c r="J57" i="4"/>
  <c r="J21" i="4" s="1"/>
  <c r="AG57" i="4"/>
  <c r="AG21" i="4" s="1"/>
  <c r="Y57" i="4"/>
  <c r="Y21" i="4" s="1"/>
  <c r="Q57" i="4"/>
  <c r="Q21" i="4" s="1"/>
  <c r="I57" i="4"/>
  <c r="I21" i="4" s="1"/>
  <c r="AE57" i="4"/>
  <c r="AE21" i="4" s="1"/>
  <c r="W57" i="4"/>
  <c r="W21" i="4" s="1"/>
  <c r="O57" i="4"/>
  <c r="O21" i="4" s="1"/>
  <c r="N21" i="15"/>
  <c r="N29" i="15" s="1"/>
  <c r="AI16" i="15"/>
  <c r="AE56" i="16"/>
  <c r="AE18" i="16" s="1"/>
  <c r="AH56" i="16"/>
  <c r="AH18" i="16" s="1"/>
  <c r="AH16" i="15"/>
  <c r="D113" i="20"/>
  <c r="AG16" i="15"/>
  <c r="AA56" i="16"/>
  <c r="AA18" i="16" s="1"/>
  <c r="G20" i="2"/>
  <c r="R17" i="24"/>
  <c r="Q18" i="24"/>
  <c r="Q19" i="24"/>
  <c r="Q20" i="24" s="1"/>
  <c r="D112" i="20"/>
  <c r="M21" i="15"/>
  <c r="M29" i="15" s="1"/>
  <c r="AB16" i="15"/>
  <c r="P21" i="24"/>
  <c r="O26" i="24"/>
  <c r="AM6" i="15"/>
  <c r="AM5" i="15" s="1"/>
  <c r="AL49" i="23" s="1"/>
  <c r="AL58" i="23" s="1"/>
  <c r="AJ6" i="15"/>
  <c r="AJ5" i="15" s="1"/>
  <c r="AK6" i="15"/>
  <c r="AK5" i="15" s="1"/>
  <c r="AJ49" i="23" s="1"/>
  <c r="AJ58" i="23" s="1"/>
  <c r="AL6" i="15"/>
  <c r="AL5" i="15" s="1"/>
  <c r="AK49" i="23" s="1"/>
  <c r="AK58" i="23" s="1"/>
  <c r="O23" i="24"/>
  <c r="G64" i="4"/>
  <c r="G28" i="4" s="1"/>
  <c r="D55" i="36"/>
  <c r="AC14" i="17"/>
  <c r="AF14" i="17"/>
  <c r="AA14" i="17"/>
  <c r="AT14" i="17"/>
  <c r="AL14" i="17"/>
  <c r="AV14" i="17"/>
  <c r="AU14" i="17"/>
  <c r="AO14" i="17"/>
  <c r="AE14" i="17"/>
  <c r="AS14" i="17"/>
  <c r="AY14" i="17"/>
  <c r="Z14" i="17"/>
  <c r="AD14" i="17"/>
  <c r="W14" i="17"/>
  <c r="AJ14" i="17"/>
  <c r="AM14" i="17"/>
  <c r="Y14" i="17"/>
  <c r="S63" i="16"/>
  <c r="S18" i="16"/>
  <c r="X14" i="17"/>
  <c r="AR14" i="17"/>
  <c r="AG14" i="17"/>
  <c r="AK14" i="17"/>
  <c r="AQ14" i="17"/>
  <c r="V63" i="16"/>
  <c r="V18" i="16"/>
  <c r="AH14" i="17"/>
  <c r="AI14" i="17"/>
  <c r="AW14" i="17"/>
  <c r="U14" i="17"/>
  <c r="AP14" i="17"/>
  <c r="AB14" i="17"/>
  <c r="L14" i="17"/>
  <c r="L12" i="17" s="1"/>
  <c r="K17" i="16"/>
  <c r="K26" i="16" s="1"/>
  <c r="K34" i="16" s="1"/>
  <c r="K36" i="16" s="1"/>
  <c r="AX14" i="17"/>
  <c r="V14" i="17"/>
  <c r="AN14" i="17"/>
  <c r="M151" i="19"/>
  <c r="K59" i="23"/>
  <c r="K151" i="19"/>
  <c r="M13" i="17"/>
  <c r="M12" i="17" s="1"/>
  <c r="M21" i="17" s="1"/>
  <c r="M33" i="17" s="1"/>
  <c r="V109" i="16" s="1"/>
  <c r="V111" i="16" s="1"/>
  <c r="V128" i="16" s="1"/>
  <c r="V137" i="16" s="1"/>
  <c r="V138" i="16" s="1"/>
  <c r="O17" i="16"/>
  <c r="O26" i="16" s="1"/>
  <c r="O34" i="16" s="1"/>
  <c r="O36" i="16" s="1"/>
  <c r="AQ62" i="16"/>
  <c r="AQ25" i="16" s="1"/>
  <c r="H278" i="20"/>
  <c r="I29" i="24"/>
  <c r="I30" i="24" s="1"/>
  <c r="I34" i="24"/>
  <c r="I36" i="24" s="1"/>
  <c r="Y52" i="13"/>
  <c r="X48" i="16" s="1"/>
  <c r="R29" i="11"/>
  <c r="X15" i="13"/>
  <c r="S30" i="11"/>
  <c r="Z45" i="16"/>
  <c r="AA48" i="13"/>
  <c r="Y45" i="16"/>
  <c r="Z48" i="13"/>
  <c r="X45" i="16"/>
  <c r="X13" i="16" s="1"/>
  <c r="AN11" i="18" s="1"/>
  <c r="AN7" i="18" s="1"/>
  <c r="Y48" i="13"/>
  <c r="L62" i="13"/>
  <c r="L65" i="13" s="1"/>
  <c r="W45" i="16"/>
  <c r="X48" i="13"/>
  <c r="W9" i="13"/>
  <c r="T17" i="14"/>
  <c r="AC40" i="13"/>
  <c r="AD40" i="13"/>
  <c r="AB40" i="13"/>
  <c r="AE40" i="13"/>
  <c r="J938" i="20"/>
  <c r="J939" i="20" s="1"/>
  <c r="J941" i="20" s="1"/>
  <c r="J942" i="20" s="1"/>
  <c r="S18" i="14"/>
  <c r="S20" i="14" s="1"/>
  <c r="S21" i="14" s="1"/>
  <c r="R34" i="15"/>
  <c r="S28" i="15" s="1"/>
  <c r="S27" i="15" s="1"/>
  <c r="AZ15" i="15" s="1"/>
  <c r="BO25" i="18" s="1"/>
  <c r="R32" i="15"/>
  <c r="R22" i="11"/>
  <c r="S23" i="11"/>
  <c r="L68" i="13"/>
  <c r="E966" i="20" s="1"/>
  <c r="T132" i="16"/>
  <c r="T134" i="16"/>
  <c r="T133" i="16"/>
  <c r="AT5" i="26"/>
  <c r="AT6" i="26"/>
  <c r="AT8" i="26" s="1"/>
  <c r="AY31" i="18"/>
  <c r="AM58" i="16"/>
  <c r="P23" i="15"/>
  <c r="AM46" i="23"/>
  <c r="BC19" i="18" s="1"/>
  <c r="BA31" i="18"/>
  <c r="BA30" i="18" s="1"/>
  <c r="BA27" i="18" s="1"/>
  <c r="F201" i="20"/>
  <c r="AI26" i="25"/>
  <c r="AH140" i="25"/>
  <c r="AH207" i="25"/>
  <c r="AH208" i="25" s="1"/>
  <c r="AH29" i="25"/>
  <c r="AH30" i="25" s="1"/>
  <c r="AH45" i="25"/>
  <c r="AH46" i="25" s="1"/>
  <c r="D214" i="20"/>
  <c r="Q30" i="21"/>
  <c r="AU30" i="18"/>
  <c r="AD24" i="16"/>
  <c r="AD61" i="16" s="1"/>
  <c r="AD63" i="16" s="1"/>
  <c r="AA24" i="16"/>
  <c r="AA61" i="16" s="1"/>
  <c r="G209" i="20"/>
  <c r="F511" i="20"/>
  <c r="AB24" i="16"/>
  <c r="AB61" i="16" s="1"/>
  <c r="AB63" i="16" s="1"/>
  <c r="AC24" i="16"/>
  <c r="AF5" i="26"/>
  <c r="AF6" i="26"/>
  <c r="AF8" i="26" s="1"/>
  <c r="AQ234" i="19"/>
  <c r="AL39" i="22"/>
  <c r="AL41" i="22" s="1"/>
  <c r="AR5" i="26"/>
  <c r="AR6" i="26"/>
  <c r="AR8" i="26" s="1"/>
  <c r="AI5" i="26"/>
  <c r="AI6" i="26"/>
  <c r="AI8" i="26" s="1"/>
  <c r="AP52" i="21"/>
  <c r="AG280" i="20"/>
  <c r="G334" i="20" s="1"/>
  <c r="AP51" i="21"/>
  <c r="AA5" i="26"/>
  <c r="AA6" i="26"/>
  <c r="AA8" i="26" s="1"/>
  <c r="AL20" i="16"/>
  <c r="AC280" i="20"/>
  <c r="P309" i="20" s="1"/>
  <c r="AL51" i="21"/>
  <c r="AL52" i="21"/>
  <c r="AK236" i="19"/>
  <c r="AK238" i="19" s="1"/>
  <c r="AF40" i="22"/>
  <c r="E105" i="20"/>
  <c r="AO234" i="19"/>
  <c r="AJ39" i="22"/>
  <c r="AJ41" i="22" s="1"/>
  <c r="L8" i="26"/>
  <c r="M34" i="24"/>
  <c r="M36" i="24" s="1"/>
  <c r="M29" i="24"/>
  <c r="V5" i="26"/>
  <c r="V6" i="26"/>
  <c r="V8" i="26" s="1"/>
  <c r="R6" i="26"/>
  <c r="R5" i="26"/>
  <c r="G676" i="20"/>
  <c r="G681" i="20" s="1"/>
  <c r="AF278" i="25"/>
  <c r="M6" i="26"/>
  <c r="M8" i="26" s="1"/>
  <c r="M5" i="26"/>
  <c r="AM280" i="20"/>
  <c r="M334" i="20" s="1"/>
  <c r="AV51" i="21"/>
  <c r="AV52" i="21"/>
  <c r="Q5" i="26"/>
  <c r="Q6" i="26"/>
  <c r="W63" i="27"/>
  <c r="W11" i="27"/>
  <c r="X7" i="27"/>
  <c r="AK5" i="26"/>
  <c r="AK6" i="26"/>
  <c r="AK8" i="26" s="1"/>
  <c r="AO5" i="26"/>
  <c r="AO6" i="26"/>
  <c r="AO8" i="26" s="1"/>
  <c r="O280" i="20"/>
  <c r="X51" i="21"/>
  <c r="X52" i="21"/>
  <c r="AD5" i="26"/>
  <c r="AD6" i="26"/>
  <c r="AD8" i="26" s="1"/>
  <c r="Y234" i="19"/>
  <c r="T39" i="22"/>
  <c r="T41" i="22" s="1"/>
  <c r="O5" i="26"/>
  <c r="O6" i="26"/>
  <c r="AH5" i="26"/>
  <c r="AH6" i="26"/>
  <c r="AH8" i="26" s="1"/>
  <c r="O13" i="21"/>
  <c r="O1" i="21" s="1"/>
  <c r="X5" i="26"/>
  <c r="X6" i="26"/>
  <c r="X8" i="26" s="1"/>
  <c r="W24" i="16"/>
  <c r="X24" i="16"/>
  <c r="Y24" i="16"/>
  <c r="Z24" i="16"/>
  <c r="F209" i="20"/>
  <c r="E511" i="20"/>
  <c r="AE268" i="25"/>
  <c r="I6" i="26"/>
  <c r="E10" i="26"/>
  <c r="AR8" i="15"/>
  <c r="AS8" i="15"/>
  <c r="AT8" i="15"/>
  <c r="AU8" i="15"/>
  <c r="AQ10" i="15"/>
  <c r="AP44" i="23"/>
  <c r="AW236" i="19"/>
  <c r="AW238" i="19" s="1"/>
  <c r="AR40" i="22"/>
  <c r="N5" i="26"/>
  <c r="N6" i="26"/>
  <c r="AU236" i="19"/>
  <c r="AU238" i="19" s="1"/>
  <c r="AP40" i="22"/>
  <c r="G87" i="23"/>
  <c r="O7" i="21"/>
  <c r="J8" i="26"/>
  <c r="K29" i="24"/>
  <c r="K34" i="24"/>
  <c r="K36" i="24" s="1"/>
  <c r="N95" i="19"/>
  <c r="AK234" i="19"/>
  <c r="AF39" i="22"/>
  <c r="AF41" i="22" s="1"/>
  <c r="AM236" i="19"/>
  <c r="AM238" i="19" s="1"/>
  <c r="AH40" i="22"/>
  <c r="AI20" i="16"/>
  <c r="AY236" i="19"/>
  <c r="AY238" i="19" s="1"/>
  <c r="AT40" i="22"/>
  <c r="I57" i="23"/>
  <c r="AC236" i="19"/>
  <c r="AC238" i="19" s="1"/>
  <c r="X40" i="22"/>
  <c r="AP5" i="26"/>
  <c r="AP6" i="26"/>
  <c r="AP8" i="26" s="1"/>
  <c r="J943" i="20"/>
  <c r="J280" i="20"/>
  <c r="AL5" i="26"/>
  <c r="AL6" i="26"/>
  <c r="AL8" i="26" s="1"/>
  <c r="AT11" i="15"/>
  <c r="AU11" i="15"/>
  <c r="V10" i="27"/>
  <c r="V4" i="27" s="1"/>
  <c r="V5" i="27"/>
  <c r="AR11" i="15"/>
  <c r="AS11" i="15"/>
  <c r="O557" i="20"/>
  <c r="S35" i="23"/>
  <c r="AO44" i="23"/>
  <c r="AP10" i="15"/>
  <c r="AA236" i="19"/>
  <c r="AA238" i="19" s="1"/>
  <c r="V40" i="22"/>
  <c r="O563" i="20"/>
  <c r="AQ35" i="23"/>
  <c r="F563" i="20" s="1"/>
  <c r="T21" i="19"/>
  <c r="U99" i="19"/>
  <c r="U102" i="19" s="1"/>
  <c r="W5" i="26"/>
  <c r="W6" i="26"/>
  <c r="W8" i="26" s="1"/>
  <c r="R18" i="21"/>
  <c r="I278" i="20" s="1"/>
  <c r="AX52" i="21"/>
  <c r="AO280" i="20"/>
  <c r="O334" i="20" s="1"/>
  <c r="AX51" i="21"/>
  <c r="AZ31" i="18"/>
  <c r="AZ30" i="18" s="1"/>
  <c r="AZ27" i="18" s="1"/>
  <c r="AR51" i="21"/>
  <c r="AR52" i="21"/>
  <c r="AI280" i="20"/>
  <c r="I334" i="20" s="1"/>
  <c r="AJ51" i="21"/>
  <c r="AJ52" i="21"/>
  <c r="AA280" i="20"/>
  <c r="N309" i="20" s="1"/>
  <c r="BB31" i="18"/>
  <c r="BB30" i="18" s="1"/>
  <c r="BB27" i="18" s="1"/>
  <c r="W236" i="19"/>
  <c r="W238" i="19" s="1"/>
  <c r="R40" i="22"/>
  <c r="AG55" i="25"/>
  <c r="AG48" i="25"/>
  <c r="F284" i="20"/>
  <c r="O26" i="21"/>
  <c r="K8" i="26"/>
  <c r="L29" i="24"/>
  <c r="L34" i="24"/>
  <c r="L36" i="24" s="1"/>
  <c r="AC5" i="26"/>
  <c r="AC6" i="26"/>
  <c r="AC8" i="26" s="1"/>
  <c r="AR12" i="15"/>
  <c r="AQ45" i="23" s="1"/>
  <c r="AS12" i="15"/>
  <c r="AR45" i="23" s="1"/>
  <c r="AT12" i="15"/>
  <c r="AS45" i="23" s="1"/>
  <c r="AU12" i="15"/>
  <c r="AT45" i="23" s="1"/>
  <c r="E280" i="20"/>
  <c r="I273" i="20"/>
  <c r="P5" i="26"/>
  <c r="P6" i="26"/>
  <c r="AB51" i="21"/>
  <c r="AB52" i="21"/>
  <c r="S280" i="20"/>
  <c r="F309" i="20" s="1"/>
  <c r="M280" i="20"/>
  <c r="V51" i="21"/>
  <c r="V52" i="21"/>
  <c r="AN44" i="23"/>
  <c r="AO10" i="15"/>
  <c r="AI50" i="25"/>
  <c r="AH145" i="25"/>
  <c r="AH123" i="25"/>
  <c r="AH212" i="25"/>
  <c r="K280" i="20"/>
  <c r="AU234" i="19"/>
  <c r="AP39" i="22"/>
  <c r="AP41" i="22" s="1"/>
  <c r="T22" i="19"/>
  <c r="U106" i="19"/>
  <c r="U109" i="19" s="1"/>
  <c r="AO236" i="19"/>
  <c r="AO238" i="19" s="1"/>
  <c r="AJ40" i="22"/>
  <c r="O561" i="20"/>
  <c r="AI35" i="23"/>
  <c r="F561" i="20" s="1"/>
  <c r="AP58" i="16"/>
  <c r="AP46" i="23"/>
  <c r="BF19" i="18" s="1"/>
  <c r="Z5" i="26"/>
  <c r="Z6" i="26"/>
  <c r="Z8" i="26" s="1"/>
  <c r="T50" i="14"/>
  <c r="T49" i="14" s="1"/>
  <c r="T55" i="14"/>
  <c r="T54" i="14" s="1"/>
  <c r="T53" i="14" s="1"/>
  <c r="T59" i="14" s="1"/>
  <c r="U280" i="20"/>
  <c r="H309" i="20" s="1"/>
  <c r="AD51" i="21"/>
  <c r="AD52" i="21"/>
  <c r="AE280" i="20"/>
  <c r="E334" i="20" s="1"/>
  <c r="AN51" i="21"/>
  <c r="AN52" i="21"/>
  <c r="AM234" i="19"/>
  <c r="AH39" i="22"/>
  <c r="AH41" i="22" s="1"/>
  <c r="U5" i="26"/>
  <c r="U6" i="26"/>
  <c r="U8" i="26" s="1"/>
  <c r="S5" i="26"/>
  <c r="S6" i="26"/>
  <c r="S8" i="26" s="1"/>
  <c r="AY234" i="19"/>
  <c r="AT39" i="22"/>
  <c r="AT41" i="22" s="1"/>
  <c r="AG11" i="25"/>
  <c r="AG268" i="25" s="1"/>
  <c r="AG34" i="25"/>
  <c r="AB5" i="26"/>
  <c r="AB6" i="26"/>
  <c r="AB8" i="26" s="1"/>
  <c r="AC234" i="19"/>
  <c r="X39" i="22"/>
  <c r="X41" i="22" s="1"/>
  <c r="AG5" i="26"/>
  <c r="AG6" i="26"/>
  <c r="AG8" i="26" s="1"/>
  <c r="G285" i="20"/>
  <c r="P29" i="21"/>
  <c r="O559" i="20"/>
  <c r="AA35" i="23"/>
  <c r="F559" i="20" s="1"/>
  <c r="P18" i="21"/>
  <c r="Y236" i="19"/>
  <c r="Y238" i="19" s="1"/>
  <c r="T40" i="22"/>
  <c r="AE5" i="26"/>
  <c r="AE6" i="26"/>
  <c r="AE8" i="26" s="1"/>
  <c r="AA234" i="19"/>
  <c r="V39" i="22"/>
  <c r="V41" i="22" s="1"/>
  <c r="K281" i="20"/>
  <c r="AQ5" i="26"/>
  <c r="AQ6" i="26"/>
  <c r="AQ8" i="26" s="1"/>
  <c r="H273" i="20"/>
  <c r="I280" i="20"/>
  <c r="AO58" i="16"/>
  <c r="AO46" i="23"/>
  <c r="BE19" i="18" s="1"/>
  <c r="G273" i="20"/>
  <c r="AK20" i="16"/>
  <c r="T5" i="26"/>
  <c r="T6" i="26"/>
  <c r="T8" i="26" s="1"/>
  <c r="W234" i="19"/>
  <c r="R39" i="22"/>
  <c r="R41" i="22" s="1"/>
  <c r="AG210" i="25"/>
  <c r="AG217" i="25"/>
  <c r="AN6" i="26"/>
  <c r="AN8" i="26" s="1"/>
  <c r="AN5" i="26"/>
  <c r="AH52" i="21"/>
  <c r="Y280" i="20"/>
  <c r="L309" i="20" s="1"/>
  <c r="AH51" i="21"/>
  <c r="AJ20" i="16"/>
  <c r="P15" i="17"/>
  <c r="AQ236" i="19"/>
  <c r="AQ238" i="19" s="1"/>
  <c r="AL40" i="22"/>
  <c r="P93" i="19"/>
  <c r="AS5" i="26"/>
  <c r="AS6" i="26"/>
  <c r="AS8" i="26" s="1"/>
  <c r="G280" i="20"/>
  <c r="Q15" i="17"/>
  <c r="T49" i="16"/>
  <c r="T16" i="16"/>
  <c r="AJ5" i="26"/>
  <c r="AJ6" i="26"/>
  <c r="AJ8" i="26" s="1"/>
  <c r="AM5" i="26"/>
  <c r="AM6" i="26"/>
  <c r="AM8" i="26" s="1"/>
  <c r="AM44" i="23"/>
  <c r="AN10" i="15"/>
  <c r="W280" i="20"/>
  <c r="J309" i="20" s="1"/>
  <c r="AF51" i="21"/>
  <c r="AF52" i="21"/>
  <c r="AW234" i="19"/>
  <c r="AR39" i="22"/>
  <c r="AR41" i="22" s="1"/>
  <c r="Y5" i="26"/>
  <c r="Y6" i="26"/>
  <c r="Y8" i="26" s="1"/>
  <c r="AU5" i="26"/>
  <c r="AU6" i="26"/>
  <c r="AU8" i="26" s="1"/>
  <c r="AK280" i="20"/>
  <c r="K334" i="20" s="1"/>
  <c r="AT51" i="21"/>
  <c r="AT52" i="21"/>
  <c r="E114" i="20"/>
  <c r="O25" i="15"/>
  <c r="Q93" i="19" s="1"/>
  <c r="Z52" i="21"/>
  <c r="Q280" i="20"/>
  <c r="D309" i="20" s="1"/>
  <c r="Z51" i="21"/>
  <c r="AN58" i="16"/>
  <c r="AN46" i="23"/>
  <c r="BD19" i="18" s="1"/>
  <c r="AG234" i="19" l="1"/>
  <c r="Y662" i="20"/>
  <c r="Y675" i="20" s="1"/>
  <c r="X660" i="20"/>
  <c r="X673" i="20" s="1"/>
  <c r="T673" i="20" s="1"/>
  <c r="CM279" i="37"/>
  <c r="AB40" i="22"/>
  <c r="CM277" i="37"/>
  <c r="O67" i="4"/>
  <c r="R67" i="4"/>
  <c r="L67" i="4"/>
  <c r="V67" i="4"/>
  <c r="W67" i="4"/>
  <c r="Z67" i="4"/>
  <c r="T67" i="4"/>
  <c r="AD67" i="4"/>
  <c r="AE67" i="4"/>
  <c r="AH67" i="4"/>
  <c r="AB67" i="4"/>
  <c r="P67" i="4"/>
  <c r="I67" i="4"/>
  <c r="K67" i="4"/>
  <c r="M67" i="4"/>
  <c r="H67" i="4"/>
  <c r="Q67" i="4"/>
  <c r="S67" i="4"/>
  <c r="U67" i="4"/>
  <c r="X67" i="4"/>
  <c r="Y67" i="4"/>
  <c r="AA67" i="4"/>
  <c r="AC67" i="4"/>
  <c r="AF67" i="4"/>
  <c r="AG67" i="4"/>
  <c r="AI67" i="4"/>
  <c r="G31" i="2"/>
  <c r="G15" i="2" s="1"/>
  <c r="F67" i="4"/>
  <c r="F68" i="4" s="1"/>
  <c r="G65" i="4" s="1"/>
  <c r="G68" i="4" s="1"/>
  <c r="H65" i="4" s="1"/>
  <c r="J67" i="4"/>
  <c r="N67" i="4"/>
  <c r="F33" i="23"/>
  <c r="O560" i="20"/>
  <c r="O565" i="20" s="1"/>
  <c r="F560" i="20"/>
  <c r="V561" i="20"/>
  <c r="R561" i="20" s="1"/>
  <c r="E616" i="20"/>
  <c r="D616" i="20" s="1"/>
  <c r="D614" i="20"/>
  <c r="H562" i="20"/>
  <c r="AU42" i="22"/>
  <c r="AU45" i="22" s="1"/>
  <c r="X66" i="23"/>
  <c r="AM50" i="23"/>
  <c r="AP50" i="23"/>
  <c r="AN50" i="23"/>
  <c r="AO50" i="23"/>
  <c r="AE58" i="23"/>
  <c r="AE66" i="23" s="1"/>
  <c r="N151" i="19"/>
  <c r="AH58" i="23"/>
  <c r="AH66" i="23" s="1"/>
  <c r="AF58" i="23"/>
  <c r="AF66" i="23" s="1"/>
  <c r="AG58" i="23"/>
  <c r="AG66" i="23" s="1"/>
  <c r="T18" i="16"/>
  <c r="T17" i="16" s="1"/>
  <c r="Z39" i="22"/>
  <c r="Z41" i="22" s="1"/>
  <c r="N14" i="17"/>
  <c r="P14" i="17"/>
  <c r="V17" i="16"/>
  <c r="V26" i="16" s="1"/>
  <c r="V34" i="16" s="1"/>
  <c r="U18" i="16"/>
  <c r="U17" i="16" s="1"/>
  <c r="U26" i="16" s="1"/>
  <c r="U34" i="16" s="1"/>
  <c r="U36" i="16" s="1"/>
  <c r="F19" i="16"/>
  <c r="F280" i="20"/>
  <c r="H280" i="20"/>
  <c r="O14" i="17"/>
  <c r="F205" i="20" s="1"/>
  <c r="O151" i="19"/>
  <c r="P13" i="17"/>
  <c r="G205" i="20" s="1"/>
  <c r="AJ16" i="15"/>
  <c r="AI49" i="23"/>
  <c r="CN37" i="37"/>
  <c r="CN12" i="37"/>
  <c r="CO37" i="37"/>
  <c r="CO12" i="37"/>
  <c r="Y648" i="20" s="1"/>
  <c r="CP215" i="37"/>
  <c r="CP208" i="37"/>
  <c r="CO59" i="37"/>
  <c r="CO52" i="37"/>
  <c r="CP137" i="37"/>
  <c r="CQ28" i="37"/>
  <c r="CQ205" i="37" s="1"/>
  <c r="CQ206" i="37" s="1"/>
  <c r="CP49" i="37"/>
  <c r="CP50" i="37" s="1"/>
  <c r="CP31" i="37"/>
  <c r="CP32" i="37" s="1"/>
  <c r="AH12" i="37"/>
  <c r="AH267" i="37" s="1"/>
  <c r="AH37" i="37"/>
  <c r="AI205" i="37"/>
  <c r="AI206" i="37" s="1"/>
  <c r="AI137" i="37"/>
  <c r="AI49" i="37"/>
  <c r="AI50" i="37" s="1"/>
  <c r="AH59" i="37"/>
  <c r="AH52" i="37"/>
  <c r="AI210" i="37"/>
  <c r="AI142" i="37"/>
  <c r="AH215" i="37"/>
  <c r="AH208" i="37"/>
  <c r="AE236" i="19"/>
  <c r="AE238" i="19" s="1"/>
  <c r="H31" i="2"/>
  <c r="H15" i="2" s="1"/>
  <c r="N27" i="2"/>
  <c r="N42" i="2"/>
  <c r="M19" i="2"/>
  <c r="M20" i="2"/>
  <c r="N28" i="2"/>
  <c r="N43" i="2"/>
  <c r="N35" i="2"/>
  <c r="N49" i="2"/>
  <c r="N19" i="2" s="1"/>
  <c r="O44" i="2"/>
  <c r="O10" i="2"/>
  <c r="O29" i="2"/>
  <c r="O9" i="2"/>
  <c r="P11" i="2"/>
  <c r="AN39" i="22"/>
  <c r="AN41" i="22" s="1"/>
  <c r="AD39" i="22"/>
  <c r="AD41" i="22" s="1"/>
  <c r="AN40" i="22"/>
  <c r="AD40" i="22"/>
  <c r="G78" i="36"/>
  <c r="F21" i="21"/>
  <c r="I31" i="2"/>
  <c r="I15" i="2" s="1"/>
  <c r="F58" i="4"/>
  <c r="F77" i="36" s="1"/>
  <c r="K31" i="2"/>
  <c r="K15" i="2" s="1"/>
  <c r="N31" i="2"/>
  <c r="N15" i="2" s="1"/>
  <c r="L31" i="2"/>
  <c r="L15" i="2" s="1"/>
  <c r="J31" i="2"/>
  <c r="M31" i="2"/>
  <c r="M15" i="2" s="1"/>
  <c r="AA63" i="16"/>
  <c r="Q13" i="17"/>
  <c r="H205" i="20" s="1"/>
  <c r="L69" i="13"/>
  <c r="V129" i="16"/>
  <c r="V131" i="16" s="1"/>
  <c r="W62" i="27"/>
  <c r="W10" i="27" s="1"/>
  <c r="W4" i="27" s="1"/>
  <c r="AK66" i="23"/>
  <c r="AK56" i="16"/>
  <c r="AK18" i="16" s="1"/>
  <c r="AJ66" i="23"/>
  <c r="AJ56" i="16"/>
  <c r="AJ18" i="16" s="1"/>
  <c r="AL16" i="15"/>
  <c r="D114" i="20"/>
  <c r="O21" i="15"/>
  <c r="O29" i="15" s="1"/>
  <c r="AI56" i="16"/>
  <c r="AI18" i="16" s="1"/>
  <c r="AK16" i="15"/>
  <c r="AL56" i="16"/>
  <c r="AL18" i="16" s="1"/>
  <c r="AL66" i="23"/>
  <c r="AM16" i="15"/>
  <c r="P26" i="24"/>
  <c r="AQ6" i="15"/>
  <c r="AQ5" i="15" s="1"/>
  <c r="AP6" i="15"/>
  <c r="AP5" i="15" s="1"/>
  <c r="AN6" i="15"/>
  <c r="AN5" i="15" s="1"/>
  <c r="AO6" i="15"/>
  <c r="AO5" i="15" s="1"/>
  <c r="AN49" i="23" s="1"/>
  <c r="AN58" i="23" s="1"/>
  <c r="P23" i="24"/>
  <c r="Q21" i="24"/>
  <c r="Q29" i="24" s="1"/>
  <c r="R19" i="24"/>
  <c r="R20" i="24" s="1"/>
  <c r="R18" i="24"/>
  <c r="S17" i="24"/>
  <c r="H64" i="4"/>
  <c r="H28" i="4" s="1"/>
  <c r="H62" i="4"/>
  <c r="S17" i="16"/>
  <c r="S26" i="16" s="1"/>
  <c r="S34" i="16" s="1"/>
  <c r="K51" i="23"/>
  <c r="K152" i="19"/>
  <c r="J944" i="20"/>
  <c r="X13" i="23"/>
  <c r="AB45" i="16"/>
  <c r="AB13" i="16" s="1"/>
  <c r="AR11" i="18" s="1"/>
  <c r="AC48" i="13"/>
  <c r="K938" i="20"/>
  <c r="K939" i="20" s="1"/>
  <c r="K941" i="20" s="1"/>
  <c r="K942" i="20" s="1"/>
  <c r="T18" i="14"/>
  <c r="T20" i="14" s="1"/>
  <c r="T21" i="14" s="1"/>
  <c r="Y13" i="16"/>
  <c r="Y49" i="16"/>
  <c r="S22" i="14"/>
  <c r="S57" i="14"/>
  <c r="S65" i="14" s="1"/>
  <c r="AH686" i="20" s="1"/>
  <c r="J949" i="20"/>
  <c r="W13" i="16"/>
  <c r="W49" i="16"/>
  <c r="Z13" i="16"/>
  <c r="Z49" i="16"/>
  <c r="AD45" i="16"/>
  <c r="AE48" i="13"/>
  <c r="T30" i="11"/>
  <c r="S29" i="11"/>
  <c r="Y15" i="13"/>
  <c r="AB48" i="13"/>
  <c r="M62" i="13"/>
  <c r="M65" i="13" s="1"/>
  <c r="AA45" i="16"/>
  <c r="X9" i="13"/>
  <c r="AF40" i="13"/>
  <c r="AG40" i="13"/>
  <c r="AI40" i="13"/>
  <c r="AH40" i="13"/>
  <c r="AC45" i="16"/>
  <c r="AD48" i="13"/>
  <c r="U24" i="21"/>
  <c r="AU62" i="16"/>
  <c r="AU25" i="16" s="1"/>
  <c r="U20" i="17" s="1"/>
  <c r="L210" i="20" s="1"/>
  <c r="AD17" i="16"/>
  <c r="S34" i="15"/>
  <c r="T28" i="15" s="1"/>
  <c r="T27" i="15" s="1"/>
  <c r="BD15" i="15" s="1"/>
  <c r="BS25" i="18" s="1"/>
  <c r="S32" i="15"/>
  <c r="S22" i="11"/>
  <c r="T23" i="11"/>
  <c r="AH234" i="19"/>
  <c r="AC39" i="22"/>
  <c r="AC41" i="22" s="1"/>
  <c r="AT234" i="19"/>
  <c r="AO39" i="22"/>
  <c r="AO41" i="22" s="1"/>
  <c r="X16" i="16"/>
  <c r="X49" i="16"/>
  <c r="Z236" i="19"/>
  <c r="Z238" i="19" s="1"/>
  <c r="U40" i="22"/>
  <c r="U42" i="22" s="1"/>
  <c r="BC31" i="18"/>
  <c r="AD236" i="19"/>
  <c r="AD238" i="19" s="1"/>
  <c r="Y40" i="22"/>
  <c r="Y42" i="22" s="1"/>
  <c r="K943" i="20"/>
  <c r="T20" i="17"/>
  <c r="V236" i="19"/>
  <c r="V238" i="19" s="1"/>
  <c r="Q40" i="22"/>
  <c r="AB236" i="19"/>
  <c r="AB238" i="19" s="1"/>
  <c r="W40" i="22"/>
  <c r="W42" i="22" s="1"/>
  <c r="X63" i="27"/>
  <c r="X11" i="27"/>
  <c r="Y7" i="27"/>
  <c r="AV234" i="19"/>
  <c r="AQ39" i="22"/>
  <c r="AQ41" i="22" s="1"/>
  <c r="AH210" i="25"/>
  <c r="AH217" i="25"/>
  <c r="AY30" i="18"/>
  <c r="AY27" i="18" s="1"/>
  <c r="R30" i="21"/>
  <c r="AF234" i="19"/>
  <c r="AA39" i="22"/>
  <c r="AA41" i="22" s="1"/>
  <c r="AO20" i="16"/>
  <c r="AN236" i="19"/>
  <c r="AN238" i="19" s="1"/>
  <c r="AI40" i="22"/>
  <c r="AI42" i="22" s="1"/>
  <c r="AD234" i="19"/>
  <c r="Y39" i="22"/>
  <c r="Y41" i="22" s="1"/>
  <c r="AP20" i="16"/>
  <c r="V234" i="19"/>
  <c r="Q39" i="22"/>
  <c r="Q41" i="22" s="1"/>
  <c r="AB234" i="19"/>
  <c r="W39" i="22"/>
  <c r="W41" i="22" s="1"/>
  <c r="AQ44" i="23"/>
  <c r="AR10" i="15"/>
  <c r="N20" i="19"/>
  <c r="N19" i="19" s="1"/>
  <c r="O92" i="19"/>
  <c r="O95" i="19" s="1"/>
  <c r="X236" i="19"/>
  <c r="X238" i="19" s="1"/>
  <c r="S40" i="22"/>
  <c r="S42" i="22" s="1"/>
  <c r="AV11" i="15"/>
  <c r="AW11" i="15"/>
  <c r="AX11" i="15"/>
  <c r="W5" i="27"/>
  <c r="AY11" i="15"/>
  <c r="AP236" i="19"/>
  <c r="AP238" i="19" s="1"/>
  <c r="AK40" i="22"/>
  <c r="AK42" i="22" s="1"/>
  <c r="AI29" i="25"/>
  <c r="AI45" i="25"/>
  <c r="AI46" i="25" s="1"/>
  <c r="AJ26" i="25"/>
  <c r="AI140" i="25"/>
  <c r="AI207" i="25"/>
  <c r="AI208" i="25" s="1"/>
  <c r="H676" i="20"/>
  <c r="H681" i="20" s="1"/>
  <c r="AG278" i="25"/>
  <c r="O8" i="26"/>
  <c r="P29" i="24"/>
  <c r="P34" i="24"/>
  <c r="S18" i="21"/>
  <c r="J278" i="20" s="1"/>
  <c r="AN20" i="16"/>
  <c r="G278" i="20"/>
  <c r="G284" i="20"/>
  <c r="P26" i="21"/>
  <c r="G283" i="20" s="1"/>
  <c r="AJ234" i="19"/>
  <c r="AE39" i="22"/>
  <c r="AE41" i="22" s="1"/>
  <c r="AX236" i="19"/>
  <c r="AX238" i="19" s="1"/>
  <c r="AS40" i="22"/>
  <c r="AS42" i="22" s="1"/>
  <c r="F557" i="20"/>
  <c r="F35" i="23"/>
  <c r="G83" i="23"/>
  <c r="G84" i="23" s="1"/>
  <c r="G94" i="23"/>
  <c r="AT58" i="16"/>
  <c r="AT46" i="23"/>
  <c r="BJ19" i="18" s="1"/>
  <c r="Z61" i="16"/>
  <c r="Z63" i="16" s="1"/>
  <c r="Z17" i="16"/>
  <c r="F275" i="20"/>
  <c r="AW12" i="15"/>
  <c r="AV45" i="23" s="1"/>
  <c r="AX12" i="15"/>
  <c r="AW45" i="23" s="1"/>
  <c r="AY12" i="15"/>
  <c r="AX45" i="23" s="1"/>
  <c r="AV12" i="15"/>
  <c r="AU45" i="23" s="1"/>
  <c r="AB17" i="16"/>
  <c r="AM20" i="16"/>
  <c r="Z234" i="19"/>
  <c r="U39" i="22"/>
  <c r="U41" i="22" s="1"/>
  <c r="R15" i="17"/>
  <c r="BF31" i="18"/>
  <c r="BF30" i="18" s="1"/>
  <c r="BF27" i="18" s="1"/>
  <c r="AL234" i="19"/>
  <c r="AG39" i="22"/>
  <c r="AG41" i="22" s="1"/>
  <c r="P94" i="19"/>
  <c r="Q19" i="17" s="1"/>
  <c r="Q94" i="19"/>
  <c r="R19" i="17" s="1"/>
  <c r="BD31" i="18"/>
  <c r="BD30" i="18" s="1"/>
  <c r="BD27" i="18" s="1"/>
  <c r="V99" i="19"/>
  <c r="V102" i="19" s="1"/>
  <c r="U21" i="19"/>
  <c r="AS58" i="16"/>
  <c r="AS46" i="23"/>
  <c r="BI19" i="18" s="1"/>
  <c r="F676" i="20"/>
  <c r="F681" i="20" s="1"/>
  <c r="AE278" i="25"/>
  <c r="Y61" i="16"/>
  <c r="Y63" i="16" s="1"/>
  <c r="Y17" i="16"/>
  <c r="AV236" i="19"/>
  <c r="AV238" i="19" s="1"/>
  <c r="AQ40" i="22"/>
  <c r="AQ42" i="22" s="1"/>
  <c r="AP234" i="19"/>
  <c r="AK39" i="22"/>
  <c r="AK41" i="22" s="1"/>
  <c r="AR44" i="23"/>
  <c r="AS10" i="15"/>
  <c r="AT236" i="19"/>
  <c r="AT238" i="19" s="1"/>
  <c r="AO40" i="22"/>
  <c r="V106" i="19"/>
  <c r="V109" i="19" s="1"/>
  <c r="U22" i="19"/>
  <c r="AJ50" i="25"/>
  <c r="AI145" i="25"/>
  <c r="AI123" i="25"/>
  <c r="AI212" i="25"/>
  <c r="AX234" i="19"/>
  <c r="AS39" i="22"/>
  <c r="AS41" i="22" s="1"/>
  <c r="BE31" i="18"/>
  <c r="BE30" i="18" s="1"/>
  <c r="BE27" i="18" s="1"/>
  <c r="AT44" i="23"/>
  <c r="AU10" i="15"/>
  <c r="F273" i="20"/>
  <c r="AR58" i="16"/>
  <c r="AR46" i="23"/>
  <c r="BH19" i="18" s="1"/>
  <c r="X61" i="16"/>
  <c r="X63" i="16" s="1"/>
  <c r="X17" i="16"/>
  <c r="Q8" i="26"/>
  <c r="AC61" i="16"/>
  <c r="AC63" i="16" s="1"/>
  <c r="AC17" i="16"/>
  <c r="AU27" i="18"/>
  <c r="AA17" i="16"/>
  <c r="T9" i="16"/>
  <c r="N11" i="17"/>
  <c r="AJ236" i="19"/>
  <c r="AJ238" i="19" s="1"/>
  <c r="AE40" i="22"/>
  <c r="H206" i="20"/>
  <c r="AN234" i="19"/>
  <c r="AI39" i="22"/>
  <c r="AI41" i="22" s="1"/>
  <c r="P8" i="26"/>
  <c r="F283" i="20"/>
  <c r="AS44" i="23"/>
  <c r="AT10" i="15"/>
  <c r="I64" i="23"/>
  <c r="N8" i="26"/>
  <c r="O29" i="24"/>
  <c r="O34" i="24"/>
  <c r="AQ58" i="16"/>
  <c r="AQ46" i="23"/>
  <c r="BG19" i="18" s="1"/>
  <c r="Q23" i="15"/>
  <c r="W61" i="16"/>
  <c r="W17" i="16"/>
  <c r="X234" i="19"/>
  <c r="S39" i="22"/>
  <c r="S41" i="22" s="1"/>
  <c r="E5" i="26"/>
  <c r="H285" i="20"/>
  <c r="Q29" i="21"/>
  <c r="AH55" i="25"/>
  <c r="AH48" i="25"/>
  <c r="AR234" i="19"/>
  <c r="AM39" i="22"/>
  <c r="AM41" i="22" s="1"/>
  <c r="AF236" i="19"/>
  <c r="AF238" i="19" s="1"/>
  <c r="AA40" i="22"/>
  <c r="AA42" i="22" s="1"/>
  <c r="E115" i="20"/>
  <c r="P25" i="15"/>
  <c r="R93" i="19" s="1"/>
  <c r="G206" i="20"/>
  <c r="AH236" i="19"/>
  <c r="AH238" i="19" s="1"/>
  <c r="AC40" i="22"/>
  <c r="AC42" i="22" s="1"/>
  <c r="AR236" i="19"/>
  <c r="AR238" i="19" s="1"/>
  <c r="AM40" i="22"/>
  <c r="AM42" i="22" s="1"/>
  <c r="J29" i="24"/>
  <c r="J30" i="24" s="1"/>
  <c r="K30" i="24" s="1"/>
  <c r="L30" i="24" s="1"/>
  <c r="M30" i="24" s="1"/>
  <c r="I8" i="26"/>
  <c r="J34" i="24"/>
  <c r="N29" i="24"/>
  <c r="N34" i="24"/>
  <c r="R8" i="26"/>
  <c r="AL236" i="19"/>
  <c r="AL238" i="19" s="1"/>
  <c r="AG40" i="22"/>
  <c r="AG42" i="22" s="1"/>
  <c r="AH34" i="25"/>
  <c r="AH11" i="25"/>
  <c r="AH268" i="25" s="1"/>
  <c r="AH687" i="20" l="1"/>
  <c r="Z691" i="20" s="1"/>
  <c r="Z690" i="20"/>
  <c r="S67" i="14"/>
  <c r="P2" i="21"/>
  <c r="F565" i="20"/>
  <c r="T660" i="20"/>
  <c r="Z662" i="20"/>
  <c r="Z675" i="20" s="1"/>
  <c r="CN267" i="37"/>
  <c r="E728" i="20" s="1"/>
  <c r="I728" i="20" s="1"/>
  <c r="X648" i="20"/>
  <c r="AO42" i="22"/>
  <c r="H563" i="20"/>
  <c r="AE42" i="22"/>
  <c r="AF42" i="22"/>
  <c r="V42" i="22"/>
  <c r="AP42" i="22"/>
  <c r="AR42" i="22"/>
  <c r="AD42" i="22"/>
  <c r="X42" i="22"/>
  <c r="AN42" i="22"/>
  <c r="R42" i="22"/>
  <c r="AT42" i="22"/>
  <c r="AH42" i="22"/>
  <c r="AJ42" i="22"/>
  <c r="T42" i="22"/>
  <c r="AL42" i="22"/>
  <c r="Z42" i="22"/>
  <c r="AB42" i="22"/>
  <c r="AT50" i="23"/>
  <c r="P151" i="19"/>
  <c r="AR50" i="23"/>
  <c r="AQ50" i="23"/>
  <c r="AS50" i="23"/>
  <c r="AI58" i="23"/>
  <c r="Q151" i="19" s="1"/>
  <c r="R54" i="23"/>
  <c r="N54" i="23"/>
  <c r="AA17" i="18"/>
  <c r="L16" i="21" s="1"/>
  <c r="L281" i="20"/>
  <c r="B281" i="20" s="1"/>
  <c r="F117" i="20"/>
  <c r="N13" i="17"/>
  <c r="E205" i="20" s="1"/>
  <c r="F14" i="17"/>
  <c r="D280" i="20"/>
  <c r="O12" i="17"/>
  <c r="E509" i="20" s="1"/>
  <c r="B280" i="20"/>
  <c r="P12" i="17"/>
  <c r="G204" i="20" s="1"/>
  <c r="G220" i="20" s="1"/>
  <c r="AN16" i="15"/>
  <c r="AM49" i="23"/>
  <c r="AP16" i="15"/>
  <c r="AO49" i="23"/>
  <c r="AQ16" i="15"/>
  <c r="AP49" i="23"/>
  <c r="CO267" i="37"/>
  <c r="E729" i="20" s="1"/>
  <c r="I729" i="20" s="1"/>
  <c r="AD319" i="25"/>
  <c r="CP37" i="37"/>
  <c r="CP12" i="37"/>
  <c r="CQ215" i="37"/>
  <c r="CQ208" i="37"/>
  <c r="CP59" i="37"/>
  <c r="CP52" i="37"/>
  <c r="CQ137" i="37"/>
  <c r="CR28" i="37"/>
  <c r="CR205" i="37" s="1"/>
  <c r="CR206" i="37" s="1"/>
  <c r="CQ49" i="37"/>
  <c r="CQ50" i="37" s="1"/>
  <c r="CQ31" i="37"/>
  <c r="CQ32" i="37" s="1"/>
  <c r="AI37" i="37"/>
  <c r="AI12" i="37"/>
  <c r="AI267" i="37" s="1"/>
  <c r="AJ205" i="37"/>
  <c r="AJ206" i="37" s="1"/>
  <c r="AJ137" i="37"/>
  <c r="AJ49" i="37"/>
  <c r="AJ50" i="37" s="1"/>
  <c r="AI59" i="37"/>
  <c r="AI52" i="37"/>
  <c r="AI215" i="37"/>
  <c r="AI208" i="37"/>
  <c r="AJ210" i="37"/>
  <c r="AJ142" i="37"/>
  <c r="O31" i="2"/>
  <c r="O15" i="2" s="1"/>
  <c r="J15" i="2"/>
  <c r="J946" i="20"/>
  <c r="J950" i="20" s="1"/>
  <c r="F965" i="20"/>
  <c r="O28" i="2"/>
  <c r="O43" i="2"/>
  <c r="N20" i="2"/>
  <c r="O49" i="2"/>
  <c r="O35" i="2"/>
  <c r="P44" i="2"/>
  <c r="O27" i="2"/>
  <c r="O42" i="2"/>
  <c r="P10" i="2"/>
  <c r="P29" i="2"/>
  <c r="P9" i="2"/>
  <c r="Q11" i="2"/>
  <c r="H68" i="4"/>
  <c r="I65" i="4" s="1"/>
  <c r="I68" i="4" s="1"/>
  <c r="J65" i="4" s="1"/>
  <c r="J68" i="4" s="1"/>
  <c r="K65" i="4" s="1"/>
  <c r="K68" i="4" s="1"/>
  <c r="L65" i="4" s="1"/>
  <c r="L68" i="4" s="1"/>
  <c r="M65" i="4" s="1"/>
  <c r="M68" i="4" s="1"/>
  <c r="N65" i="4" s="1"/>
  <c r="N68" i="4" s="1"/>
  <c r="O65" i="4" s="1"/>
  <c r="O68" i="4" s="1"/>
  <c r="P65" i="4" s="1"/>
  <c r="P68" i="4" s="1"/>
  <c r="Q65" i="4" s="1"/>
  <c r="Q68" i="4" s="1"/>
  <c r="R65" i="4" s="1"/>
  <c r="R68" i="4" s="1"/>
  <c r="S65" i="4" s="1"/>
  <c r="S68" i="4" s="1"/>
  <c r="T65" i="4" s="1"/>
  <c r="T68" i="4" s="1"/>
  <c r="U65" i="4" s="1"/>
  <c r="U68" i="4" s="1"/>
  <c r="V65" i="4" s="1"/>
  <c r="V68" i="4" s="1"/>
  <c r="W65" i="4" s="1"/>
  <c r="W68" i="4" s="1"/>
  <c r="X65" i="4" s="1"/>
  <c r="X68" i="4" s="1"/>
  <c r="Y65" i="4" s="1"/>
  <c r="Y68" i="4" s="1"/>
  <c r="Z65" i="4" s="1"/>
  <c r="Z68" i="4" s="1"/>
  <c r="AA65" i="4" s="1"/>
  <c r="AA68" i="4" s="1"/>
  <c r="AB65" i="4" s="1"/>
  <c r="AB68" i="4" s="1"/>
  <c r="AC65" i="4" s="1"/>
  <c r="AC68" i="4" s="1"/>
  <c r="AD65" i="4" s="1"/>
  <c r="AD68" i="4" s="1"/>
  <c r="AE65" i="4" s="1"/>
  <c r="AE68" i="4" s="1"/>
  <c r="AF65" i="4" s="1"/>
  <c r="AF68" i="4" s="1"/>
  <c r="AG65" i="4" s="1"/>
  <c r="AG68" i="4" s="1"/>
  <c r="AH65" i="4" s="1"/>
  <c r="AH68" i="4" s="1"/>
  <c r="AI65" i="4" s="1"/>
  <c r="AI68" i="4" s="1"/>
  <c r="AJ65" i="4" s="1"/>
  <c r="G55" i="4"/>
  <c r="G36" i="2" s="1"/>
  <c r="Q34" i="24"/>
  <c r="Q12" i="17"/>
  <c r="G509" i="20" s="1"/>
  <c r="AW8" i="15"/>
  <c r="AV58" i="16" s="1"/>
  <c r="AV8" i="15"/>
  <c r="AU58" i="16" s="1"/>
  <c r="AY8" i="15"/>
  <c r="AX46" i="23" s="1"/>
  <c r="BN19" i="18" s="1"/>
  <c r="AX8" i="15"/>
  <c r="AW58" i="16" s="1"/>
  <c r="V130" i="16"/>
  <c r="W121" i="16" s="1"/>
  <c r="R13" i="17"/>
  <c r="I205" i="20" s="1"/>
  <c r="AN66" i="23"/>
  <c r="AN56" i="16"/>
  <c r="AN18" i="16" s="1"/>
  <c r="AU6" i="15"/>
  <c r="AU5" i="15" s="1"/>
  <c r="AT49" i="23" s="1"/>
  <c r="Q26" i="24"/>
  <c r="AT6" i="15"/>
  <c r="AT5" i="15" s="1"/>
  <c r="AS49" i="23" s="1"/>
  <c r="AS58" i="23" s="1"/>
  <c r="AS6" i="15"/>
  <c r="AS5" i="15" s="1"/>
  <c r="AR49" i="23" s="1"/>
  <c r="AR58" i="23" s="1"/>
  <c r="AR6" i="15"/>
  <c r="AR5" i="15" s="1"/>
  <c r="Q23" i="24"/>
  <c r="D115" i="20"/>
  <c r="P21" i="15"/>
  <c r="P29" i="15" s="1"/>
  <c r="AM56" i="16"/>
  <c r="AM18" i="16" s="1"/>
  <c r="S19" i="24"/>
  <c r="S20" i="24" s="1"/>
  <c r="T17" i="24"/>
  <c r="S18" i="24"/>
  <c r="AO56" i="16"/>
  <c r="AO18" i="16" s="1"/>
  <c r="AO16" i="15"/>
  <c r="R21" i="24"/>
  <c r="AP56" i="16"/>
  <c r="AP18" i="16" s="1"/>
  <c r="I59" i="4"/>
  <c r="I50" i="2" s="1"/>
  <c r="H78" i="36"/>
  <c r="K949" i="20"/>
  <c r="K944" i="20"/>
  <c r="S72" i="14"/>
  <c r="E104" i="20"/>
  <c r="S68" i="14"/>
  <c r="AF45" i="16"/>
  <c r="AF13" i="16" s="1"/>
  <c r="AV11" i="18" s="1"/>
  <c r="AG48" i="13"/>
  <c r="Z15" i="13"/>
  <c r="U30" i="11"/>
  <c r="T29" i="11"/>
  <c r="AE45" i="16"/>
  <c r="N62" i="13"/>
  <c r="N65" i="13" s="1"/>
  <c r="AF48" i="13"/>
  <c r="AD13" i="16"/>
  <c r="AD49" i="16"/>
  <c r="AA13" i="16"/>
  <c r="AA49" i="16"/>
  <c r="AO11" i="18"/>
  <c r="Y9" i="16"/>
  <c r="Y26" i="16" s="1"/>
  <c r="Y34" i="16" s="1"/>
  <c r="Y36" i="16" s="1"/>
  <c r="AP11" i="18"/>
  <c r="Z9" i="16"/>
  <c r="Z26" i="16" s="1"/>
  <c r="Z34" i="16" s="1"/>
  <c r="T22" i="14"/>
  <c r="T57" i="14"/>
  <c r="T65" i="14" s="1"/>
  <c r="AC13" i="16"/>
  <c r="AC49" i="16"/>
  <c r="AG45" i="16"/>
  <c r="AH48" i="13"/>
  <c r="AM40" i="13"/>
  <c r="AJ40" i="13"/>
  <c r="Y9" i="13"/>
  <c r="AK40" i="13"/>
  <c r="AL40" i="13"/>
  <c r="AM11" i="18"/>
  <c r="O8" i="17"/>
  <c r="W9" i="16"/>
  <c r="W26" i="16" s="1"/>
  <c r="W34" i="16" s="1"/>
  <c r="W36" i="16" s="1"/>
  <c r="AH45" i="16"/>
  <c r="AI48" i="13"/>
  <c r="T32" i="15"/>
  <c r="T34" i="15"/>
  <c r="U28" i="15" s="1"/>
  <c r="U27" i="15" s="1"/>
  <c r="BH15" i="15" s="1"/>
  <c r="BW25" i="18" s="1"/>
  <c r="AY62" i="16"/>
  <c r="AY25" i="16" s="1"/>
  <c r="V20" i="17" s="1"/>
  <c r="M210" i="20" s="1"/>
  <c r="V24" i="21"/>
  <c r="T22" i="11"/>
  <c r="Z7" i="13" s="1"/>
  <c r="Z6" i="13" s="1"/>
  <c r="U23" i="11"/>
  <c r="N30" i="24"/>
  <c r="O30" i="24" s="1"/>
  <c r="P30" i="24" s="1"/>
  <c r="Q30" i="24" s="1"/>
  <c r="T18" i="21"/>
  <c r="K278" i="20" s="1"/>
  <c r="AR20" i="16"/>
  <c r="BJ31" i="18"/>
  <c r="BJ30" i="18" s="1"/>
  <c r="BJ27" i="18" s="1"/>
  <c r="V22" i="19"/>
  <c r="W106" i="19"/>
  <c r="W109" i="19" s="1"/>
  <c r="W38" i="18"/>
  <c r="AI55" i="25"/>
  <c r="AI48" i="25"/>
  <c r="AY10" i="15"/>
  <c r="AX44" i="23"/>
  <c r="I285" i="20"/>
  <c r="R29" i="21"/>
  <c r="BB11" i="15"/>
  <c r="BC11" i="15"/>
  <c r="X5" i="27"/>
  <c r="AZ11" i="15"/>
  <c r="BA11" i="15"/>
  <c r="I676" i="20"/>
  <c r="I681" i="20" s="1"/>
  <c r="AH278" i="25"/>
  <c r="V21" i="19"/>
  <c r="W99" i="19"/>
  <c r="W102" i="19" s="1"/>
  <c r="AE24" i="16"/>
  <c r="AF24" i="16"/>
  <c r="AG24" i="16"/>
  <c r="AH24" i="16"/>
  <c r="H209" i="20"/>
  <c r="G511" i="20"/>
  <c r="V133" i="16"/>
  <c r="V132" i="16"/>
  <c r="V134" i="16"/>
  <c r="AI30" i="25"/>
  <c r="O20" i="19"/>
  <c r="O19" i="19" s="1"/>
  <c r="P92" i="19"/>
  <c r="P95" i="19" s="1"/>
  <c r="AZ12" i="15"/>
  <c r="AY45" i="23" s="1"/>
  <c r="BA12" i="15"/>
  <c r="AZ45" i="23" s="1"/>
  <c r="BB12" i="15"/>
  <c r="BA45" i="23" s="1"/>
  <c r="BC12" i="15"/>
  <c r="BB45" i="23" s="1"/>
  <c r="J36" i="24"/>
  <c r="E36" i="24" s="1"/>
  <c r="E37" i="24" s="1"/>
  <c r="E34" i="24"/>
  <c r="AW44" i="23"/>
  <c r="AX10" i="15"/>
  <c r="N17" i="19"/>
  <c r="E356" i="20" s="1"/>
  <c r="E358" i="20"/>
  <c r="H284" i="20"/>
  <c r="Q26" i="21"/>
  <c r="I61" i="23"/>
  <c r="AT20" i="16"/>
  <c r="AV44" i="23"/>
  <c r="AW10" i="15"/>
  <c r="W24" i="21"/>
  <c r="F119" i="20" s="1"/>
  <c r="BC62" i="16"/>
  <c r="W63" i="16"/>
  <c r="BI31" i="18"/>
  <c r="BI30" i="18" s="1"/>
  <c r="BI27" i="18" s="1"/>
  <c r="M86" i="19"/>
  <c r="N4" i="17"/>
  <c r="E203" i="20"/>
  <c r="AK50" i="25"/>
  <c r="AJ145" i="25"/>
  <c r="AJ123" i="25"/>
  <c r="AJ212" i="25"/>
  <c r="BH31" i="18"/>
  <c r="BH30" i="18" s="1"/>
  <c r="BH27" i="18" s="1"/>
  <c r="AS20" i="16"/>
  <c r="I206" i="20"/>
  <c r="G88" i="23"/>
  <c r="AC52" i="13"/>
  <c r="AC51" i="13"/>
  <c r="AI217" i="25"/>
  <c r="AI210" i="25"/>
  <c r="AU44" i="23"/>
  <c r="AV10" i="15"/>
  <c r="E116" i="20"/>
  <c r="Q25" i="15"/>
  <c r="S93" i="19" s="1"/>
  <c r="S30" i="21"/>
  <c r="BC30" i="18"/>
  <c r="S36" i="16"/>
  <c r="T26" i="16"/>
  <c r="R94" i="19"/>
  <c r="S19" i="17" s="1"/>
  <c r="BG31" i="18"/>
  <c r="Y63" i="27"/>
  <c r="Y62" i="27" s="1"/>
  <c r="Y11" i="27"/>
  <c r="Z7" i="27"/>
  <c r="K210" i="20"/>
  <c r="B210" i="20" s="1"/>
  <c r="O11" i="17"/>
  <c r="X9" i="16"/>
  <c r="X26" i="16" s="1"/>
  <c r="X34" i="16" s="1"/>
  <c r="X36" i="16" s="1"/>
  <c r="AQ20" i="16"/>
  <c r="AL24" i="16"/>
  <c r="AI24" i="16"/>
  <c r="AJ24" i="16"/>
  <c r="AK24" i="16"/>
  <c r="I209" i="20"/>
  <c r="H511" i="20"/>
  <c r="S15" i="17"/>
  <c r="AK26" i="25"/>
  <c r="AJ45" i="25"/>
  <c r="AJ46" i="25" s="1"/>
  <c r="AJ140" i="25"/>
  <c r="AJ207" i="25"/>
  <c r="AJ208" i="25" s="1"/>
  <c r="AJ29" i="25"/>
  <c r="AJ30" i="25" s="1"/>
  <c r="X62" i="27"/>
  <c r="X10" i="27" s="1"/>
  <c r="X4" i="27" s="1"/>
  <c r="Q2" i="21" l="1"/>
  <c r="AI686" i="20"/>
  <c r="AA662" i="20"/>
  <c r="AA675" i="20" s="1"/>
  <c r="CN277" i="37"/>
  <c r="CN279" i="37"/>
  <c r="CP267" i="37"/>
  <c r="E730" i="20" s="1"/>
  <c r="I730" i="20" s="1"/>
  <c r="Z648" i="20"/>
  <c r="AI66" i="23"/>
  <c r="AX50" i="23"/>
  <c r="AM58" i="23"/>
  <c r="AM66" i="23" s="1"/>
  <c r="AT58" i="23"/>
  <c r="AT66" i="23" s="1"/>
  <c r="AA16" i="18"/>
  <c r="L15" i="21" s="1"/>
  <c r="L14" i="21" s="1"/>
  <c r="L5" i="21" s="1"/>
  <c r="AP58" i="23"/>
  <c r="AP66" i="23" s="1"/>
  <c r="AO58" i="23"/>
  <c r="AO66" i="23" s="1"/>
  <c r="F509" i="20"/>
  <c r="N12" i="17"/>
  <c r="E204" i="20" s="1"/>
  <c r="M281" i="20"/>
  <c r="F118" i="20"/>
  <c r="F204" i="20"/>
  <c r="F220" i="20" s="1"/>
  <c r="AR16" i="15"/>
  <c r="AQ49" i="23"/>
  <c r="CO279" i="37"/>
  <c r="CO277" i="37"/>
  <c r="CQ37" i="37"/>
  <c r="CQ12" i="37"/>
  <c r="CR215" i="37"/>
  <c r="CR208" i="37"/>
  <c r="CQ59" i="37"/>
  <c r="CQ52" i="37"/>
  <c r="CR137" i="37"/>
  <c r="CS28" i="37"/>
  <c r="CS205" i="37" s="1"/>
  <c r="CS206" i="37" s="1"/>
  <c r="CR49" i="37"/>
  <c r="CR50" i="37" s="1"/>
  <c r="CR31" i="37"/>
  <c r="CR32" i="37" s="1"/>
  <c r="AK210" i="37"/>
  <c r="AK142" i="37"/>
  <c r="AJ37" i="37"/>
  <c r="AJ12" i="37"/>
  <c r="AJ267" i="37" s="1"/>
  <c r="AD53" i="37"/>
  <c r="AK205" i="37"/>
  <c r="AK206" i="37" s="1"/>
  <c r="AK137" i="37"/>
  <c r="AK49" i="37"/>
  <c r="AK50" i="37" s="1"/>
  <c r="AJ59" i="37"/>
  <c r="AJ52" i="37"/>
  <c r="AJ215" i="37"/>
  <c r="AJ208" i="37"/>
  <c r="G21" i="2"/>
  <c r="G34" i="2"/>
  <c r="K946" i="20"/>
  <c r="K950" i="20" s="1"/>
  <c r="G965" i="20"/>
  <c r="P31" i="2"/>
  <c r="P15" i="2" s="1"/>
  <c r="P27" i="2"/>
  <c r="P42" i="2"/>
  <c r="O19" i="2"/>
  <c r="O20" i="2"/>
  <c r="P28" i="2"/>
  <c r="P43" i="2"/>
  <c r="P35" i="2"/>
  <c r="P49" i="2"/>
  <c r="P19" i="2" s="1"/>
  <c r="Q44" i="2"/>
  <c r="Q10" i="2"/>
  <c r="Q29" i="2"/>
  <c r="Q9" i="2"/>
  <c r="R11" i="2"/>
  <c r="H48" i="2"/>
  <c r="G63" i="4"/>
  <c r="G32" i="4" s="1"/>
  <c r="G88" i="4" s="1"/>
  <c r="H204" i="20"/>
  <c r="H220" i="20" s="1"/>
  <c r="G58" i="4"/>
  <c r="H55" i="4" s="1"/>
  <c r="H36" i="2" s="1"/>
  <c r="H21" i="2" s="1"/>
  <c r="AV46" i="23"/>
  <c r="BL19" i="18" s="1"/>
  <c r="AX58" i="16"/>
  <c r="AX20" i="16" s="1"/>
  <c r="AU46" i="23"/>
  <c r="BK19" i="18" s="1"/>
  <c r="R23" i="15"/>
  <c r="AW46" i="23"/>
  <c r="BM19" i="18" s="1"/>
  <c r="R12" i="17"/>
  <c r="I204" i="20" s="1"/>
  <c r="I220" i="20" s="1"/>
  <c r="W126" i="16"/>
  <c r="W123" i="16"/>
  <c r="W118" i="16"/>
  <c r="W120" i="16"/>
  <c r="W122" i="16"/>
  <c r="W125" i="16"/>
  <c r="W119" i="16"/>
  <c r="W117" i="16"/>
  <c r="W124" i="16"/>
  <c r="Q21" i="15"/>
  <c r="Q29" i="15" s="1"/>
  <c r="D116" i="20"/>
  <c r="AQ56" i="16"/>
  <c r="AQ18" i="16" s="1"/>
  <c r="AW6" i="15"/>
  <c r="AW5" i="15" s="1"/>
  <c r="AX6" i="15"/>
  <c r="AX5" i="15" s="1"/>
  <c r="AY6" i="15"/>
  <c r="AY5" i="15" s="1"/>
  <c r="R26" i="24"/>
  <c r="R23" i="24"/>
  <c r="AY7" i="15"/>
  <c r="R22" i="15" s="1"/>
  <c r="AV6" i="15"/>
  <c r="AV5" i="15" s="1"/>
  <c r="AU49" i="23" s="1"/>
  <c r="AU58" i="23" s="1"/>
  <c r="R29" i="24"/>
  <c r="R30" i="24" s="1"/>
  <c r="R34" i="24"/>
  <c r="S13" i="17"/>
  <c r="J205" i="20" s="1"/>
  <c r="AR66" i="23"/>
  <c r="AR56" i="16"/>
  <c r="AR18" i="16" s="1"/>
  <c r="AS66" i="23"/>
  <c r="AS56" i="16"/>
  <c r="AS18" i="16" s="1"/>
  <c r="AT56" i="16"/>
  <c r="AT18" i="16" s="1"/>
  <c r="AT16" i="15"/>
  <c r="S21" i="24"/>
  <c r="AS16" i="15"/>
  <c r="T18" i="24"/>
  <c r="T19" i="24"/>
  <c r="T20" i="24" s="1"/>
  <c r="U17" i="24"/>
  <c r="AU16" i="15"/>
  <c r="I64" i="4"/>
  <c r="I28" i="4" s="1"/>
  <c r="I62" i="4"/>
  <c r="T67" i="14"/>
  <c r="AG52" i="13" s="1"/>
  <c r="F52" i="13" s="1"/>
  <c r="T72" i="14"/>
  <c r="F104" i="20"/>
  <c r="T68" i="14"/>
  <c r="AJ45" i="16"/>
  <c r="AK48" i="13"/>
  <c r="AS11" i="18"/>
  <c r="AC9" i="16"/>
  <c r="AC26" i="16" s="1"/>
  <c r="AC34" i="16" s="1"/>
  <c r="AC36" i="16" s="1"/>
  <c r="AO7" i="18"/>
  <c r="Y13" i="23"/>
  <c r="AE49" i="16"/>
  <c r="AE13" i="16"/>
  <c r="AH13" i="16"/>
  <c r="AH49" i="16"/>
  <c r="AI45" i="16"/>
  <c r="O62" i="13"/>
  <c r="O65" i="13" s="1"/>
  <c r="AJ48" i="13"/>
  <c r="AL45" i="16"/>
  <c r="AM48" i="13"/>
  <c r="P8" i="17"/>
  <c r="AA9" i="16"/>
  <c r="AA26" i="16" s="1"/>
  <c r="AA34" i="16" s="1"/>
  <c r="AA36" i="16" s="1"/>
  <c r="AQ11" i="18"/>
  <c r="V30" i="11"/>
  <c r="AA15" i="13"/>
  <c r="U29" i="11"/>
  <c r="AO40" i="13"/>
  <c r="AN45" i="16" s="1"/>
  <c r="AN13" i="16" s="1"/>
  <c r="BD11" i="18" s="1"/>
  <c r="AP40" i="13"/>
  <c r="AO45" i="16" s="1"/>
  <c r="AO13" i="16" s="1"/>
  <c r="BE11" i="18" s="1"/>
  <c r="AQ40" i="13"/>
  <c r="AP45" i="16" s="1"/>
  <c r="AP13" i="16" s="1"/>
  <c r="BF11" i="18" s="1"/>
  <c r="AN40" i="13"/>
  <c r="AG13" i="16"/>
  <c r="AG49" i="16"/>
  <c r="O10" i="21"/>
  <c r="O6" i="21" s="1"/>
  <c r="AM7" i="18"/>
  <c r="W13" i="23"/>
  <c r="AT11" i="18"/>
  <c r="AD9" i="16"/>
  <c r="AD26" i="16" s="1"/>
  <c r="AD34" i="16" s="1"/>
  <c r="AK45" i="16"/>
  <c r="AL48" i="13"/>
  <c r="Z13" i="23"/>
  <c r="AP7" i="18"/>
  <c r="U32" i="15"/>
  <c r="U34" i="15"/>
  <c r="V28" i="15" s="1"/>
  <c r="V27" i="15" s="1"/>
  <c r="BL15" i="15" s="1"/>
  <c r="U22" i="11"/>
  <c r="AA7" i="13" s="1"/>
  <c r="AA6" i="13" s="1"/>
  <c r="V23" i="11"/>
  <c r="I85" i="20"/>
  <c r="I86" i="20" s="1"/>
  <c r="Z11" i="13"/>
  <c r="E359" i="20"/>
  <c r="V135" i="16"/>
  <c r="AZ44" i="23"/>
  <c r="BA10" i="15"/>
  <c r="AJ217" i="25"/>
  <c r="AJ210" i="25"/>
  <c r="BD8" i="15"/>
  <c r="BE8" i="15"/>
  <c r="BF8" i="15"/>
  <c r="BG8" i="15"/>
  <c r="AJ55" i="25"/>
  <c r="AJ48" i="25"/>
  <c r="AL61" i="16"/>
  <c r="AL63" i="16" s="1"/>
  <c r="AL17" i="16"/>
  <c r="BE12" i="15"/>
  <c r="BD45" i="23" s="1"/>
  <c r="BF12" i="15"/>
  <c r="BE45" i="23" s="1"/>
  <c r="BG12" i="15"/>
  <c r="BF45" i="23" s="1"/>
  <c r="BD12" i="15"/>
  <c r="BC45" i="23" s="1"/>
  <c r="M87" i="19"/>
  <c r="M88" i="19" s="1"/>
  <c r="AG61" i="16"/>
  <c r="AG63" i="16" s="1"/>
  <c r="AG17" i="16"/>
  <c r="AY44" i="23"/>
  <c r="AZ10" i="15"/>
  <c r="I284" i="20"/>
  <c r="R26" i="21"/>
  <c r="I283" i="20" s="1"/>
  <c r="G109" i="23"/>
  <c r="AK29" i="25"/>
  <c r="AK30" i="25" s="1"/>
  <c r="AK45" i="25"/>
  <c r="AK46" i="25" s="1"/>
  <c r="AL26" i="25"/>
  <c r="AK140" i="25"/>
  <c r="AK207" i="25"/>
  <c r="AK208" i="25" s="1"/>
  <c r="BG30" i="18"/>
  <c r="BG27" i="18" s="1"/>
  <c r="T30" i="21"/>
  <c r="AK212" i="25"/>
  <c r="AL50" i="25"/>
  <c r="AK145" i="25"/>
  <c r="AK123" i="25"/>
  <c r="BM31" i="18"/>
  <c r="BM30" i="18" s="1"/>
  <c r="BM27" i="18" s="1"/>
  <c r="AF61" i="16"/>
  <c r="AF63" i="16" s="1"/>
  <c r="AF17" i="16"/>
  <c r="W34" i="18"/>
  <c r="W33" i="18" s="1"/>
  <c r="W48" i="18" s="1"/>
  <c r="W50" i="18" s="1"/>
  <c r="N86" i="19"/>
  <c r="F203" i="20"/>
  <c r="O4" i="17"/>
  <c r="AH61" i="16"/>
  <c r="AH63" i="16" s="1"/>
  <c r="AH17" i="16"/>
  <c r="AU20" i="16"/>
  <c r="J206" i="20"/>
  <c r="AR14" i="18"/>
  <c r="F105" i="20"/>
  <c r="M68" i="13"/>
  <c r="F966" i="20" s="1"/>
  <c r="BC25" i="16"/>
  <c r="AE61" i="16"/>
  <c r="AE17" i="16"/>
  <c r="BB44" i="23"/>
  <c r="BC10" i="15"/>
  <c r="AV20" i="16"/>
  <c r="H283" i="20"/>
  <c r="AI61" i="16"/>
  <c r="AI63" i="16" s="1"/>
  <c r="AI17" i="16"/>
  <c r="J209" i="20"/>
  <c r="I511" i="20"/>
  <c r="AM24" i="16"/>
  <c r="AN24" i="16"/>
  <c r="AO24" i="16"/>
  <c r="AP24" i="16"/>
  <c r="BC27" i="18"/>
  <c r="E117" i="20"/>
  <c r="R25" i="15"/>
  <c r="AB48" i="16"/>
  <c r="M69" i="13"/>
  <c r="N281" i="20"/>
  <c r="AI11" i="25"/>
  <c r="AI34" i="25"/>
  <c r="BA44" i="23"/>
  <c r="BB10" i="15"/>
  <c r="BD11" i="15"/>
  <c r="BE11" i="15"/>
  <c r="BF11" i="15"/>
  <c r="Y10" i="27"/>
  <c r="Y4" i="27" s="1"/>
  <c r="BG11" i="15"/>
  <c r="Y5" i="27"/>
  <c r="D508" i="20"/>
  <c r="E200" i="20"/>
  <c r="AC125" i="25"/>
  <c r="AC122" i="25" s="1"/>
  <c r="AC126" i="25" s="1"/>
  <c r="AZ8" i="15"/>
  <c r="BA8" i="15"/>
  <c r="BB8" i="15"/>
  <c r="BC8" i="15"/>
  <c r="T34" i="16"/>
  <c r="J285" i="20"/>
  <c r="S29" i="21"/>
  <c r="BK31" i="18"/>
  <c r="BL31" i="18"/>
  <c r="BL30" i="18" s="1"/>
  <c r="BL27" i="18" s="1"/>
  <c r="I62" i="23"/>
  <c r="Q92" i="19"/>
  <c r="Q95" i="19" s="1"/>
  <c r="P20" i="19"/>
  <c r="P19" i="19" s="1"/>
  <c r="X106" i="19"/>
  <c r="X109" i="19" s="1"/>
  <c r="W22" i="19"/>
  <c r="AJ61" i="16"/>
  <c r="AJ63" i="16" s="1"/>
  <c r="AJ17" i="16"/>
  <c r="T15" i="17"/>
  <c r="AJ11" i="25"/>
  <c r="AJ268" i="25" s="1"/>
  <c r="AJ34" i="25"/>
  <c r="AK61" i="16"/>
  <c r="AK63" i="16" s="1"/>
  <c r="AK17" i="16"/>
  <c r="AA7" i="27"/>
  <c r="Z63" i="27"/>
  <c r="Z62" i="27" s="1"/>
  <c r="Z11" i="27"/>
  <c r="AW20" i="16"/>
  <c r="G89" i="23"/>
  <c r="O17" i="19"/>
  <c r="F356" i="20" s="1"/>
  <c r="F358" i="20"/>
  <c r="X99" i="19"/>
  <c r="X102" i="19" s="1"/>
  <c r="W21" i="19"/>
  <c r="BN31" i="18"/>
  <c r="BN30" i="18" s="1"/>
  <c r="BN27" i="18" s="1"/>
  <c r="S94" i="19"/>
  <c r="T19" i="17" s="1"/>
  <c r="AI687" i="20" l="1"/>
  <c r="AA691" i="20" s="1"/>
  <c r="AA690" i="20"/>
  <c r="CP279" i="37"/>
  <c r="CP277" i="37"/>
  <c r="CQ267" i="37"/>
  <c r="E731" i="20" s="1"/>
  <c r="I731" i="20" s="1"/>
  <c r="AA648" i="20"/>
  <c r="H564" i="20"/>
  <c r="AW50" i="23"/>
  <c r="AV50" i="23"/>
  <c r="AU50" i="23"/>
  <c r="AA15" i="18"/>
  <c r="AA6" i="18" s="1"/>
  <c r="R151" i="19"/>
  <c r="AQ58" i="23"/>
  <c r="AQ66" i="23" s="1"/>
  <c r="N21" i="17"/>
  <c r="E211" i="20" s="1"/>
  <c r="D509" i="20"/>
  <c r="D510" i="20" s="1"/>
  <c r="D513" i="20" s="1"/>
  <c r="F272" i="20"/>
  <c r="F274" i="20" s="1"/>
  <c r="F294" i="20" s="1"/>
  <c r="L48" i="21"/>
  <c r="CA25" i="18"/>
  <c r="Y24" i="21" s="1"/>
  <c r="F121" i="20" s="1"/>
  <c r="AW16" i="15"/>
  <c r="AV49" i="23"/>
  <c r="AY16" i="15"/>
  <c r="AX49" i="23"/>
  <c r="AX16" i="15"/>
  <c r="AW49" i="23"/>
  <c r="K676" i="20"/>
  <c r="CR37" i="37"/>
  <c r="CR12" i="37"/>
  <c r="CS215" i="37"/>
  <c r="CS208" i="37"/>
  <c r="CR59" i="37"/>
  <c r="CR52" i="37"/>
  <c r="CS137" i="37"/>
  <c r="CT28" i="37"/>
  <c r="CT205" i="37" s="1"/>
  <c r="CT206" i="37" s="1"/>
  <c r="CS49" i="37"/>
  <c r="CS50" i="37" s="1"/>
  <c r="CS31" i="37"/>
  <c r="CS32" i="37" s="1"/>
  <c r="AE53" i="37"/>
  <c r="AK12" i="37"/>
  <c r="AK267" i="37" s="1"/>
  <c r="AK37" i="37"/>
  <c r="AK59" i="37"/>
  <c r="AK52" i="37"/>
  <c r="AL205" i="37"/>
  <c r="AL206" i="37" s="1"/>
  <c r="AL137" i="37"/>
  <c r="AL49" i="37"/>
  <c r="AL50" i="37" s="1"/>
  <c r="AL210" i="37"/>
  <c r="AL142" i="37"/>
  <c r="AK215" i="37"/>
  <c r="AK208" i="37"/>
  <c r="AD209" i="37"/>
  <c r="AD211" i="37" s="1"/>
  <c r="AD141" i="37"/>
  <c r="AD143" i="37" s="1"/>
  <c r="AD145" i="37" s="1"/>
  <c r="AD38" i="37"/>
  <c r="AD55" i="37"/>
  <c r="G18" i="2"/>
  <c r="Q31" i="2"/>
  <c r="Q15" i="2" s="1"/>
  <c r="G32" i="2"/>
  <c r="R44" i="2"/>
  <c r="P20" i="2"/>
  <c r="Q27" i="2"/>
  <c r="Q42" i="2"/>
  <c r="Q28" i="2"/>
  <c r="Q43" i="2"/>
  <c r="Q35" i="2"/>
  <c r="Q49" i="2"/>
  <c r="Q19" i="2" s="1"/>
  <c r="R10" i="2"/>
  <c r="R29" i="2"/>
  <c r="R9" i="2"/>
  <c r="S11" i="2"/>
  <c r="H34" i="2"/>
  <c r="H63" i="4"/>
  <c r="H58" i="4"/>
  <c r="I55" i="4" s="1"/>
  <c r="I36" i="2" s="1"/>
  <c r="G77" i="36"/>
  <c r="U18" i="21"/>
  <c r="L278" i="20" s="1"/>
  <c r="B278" i="20" s="1"/>
  <c r="E220" i="20"/>
  <c r="H509" i="20"/>
  <c r="S12" i="17"/>
  <c r="J204" i="20" s="1"/>
  <c r="W127" i="16"/>
  <c r="AV56" i="16"/>
  <c r="AV18" i="16" s="1"/>
  <c r="T21" i="24"/>
  <c r="R21" i="15"/>
  <c r="R29" i="15" s="1"/>
  <c r="AU56" i="16"/>
  <c r="AU18" i="16" s="1"/>
  <c r="D117" i="20"/>
  <c r="T13" i="17"/>
  <c r="K205" i="20" s="1"/>
  <c r="BA7" i="15"/>
  <c r="AZ7" i="15"/>
  <c r="BB7" i="15"/>
  <c r="S23" i="24"/>
  <c r="BC7" i="15"/>
  <c r="AZ6" i="15"/>
  <c r="AZ5" i="15" s="1"/>
  <c r="BA6" i="15"/>
  <c r="BA5" i="15" s="1"/>
  <c r="S26" i="24"/>
  <c r="BC6" i="15"/>
  <c r="BC5" i="15" s="1"/>
  <c r="BB6" i="15"/>
  <c r="BB5" i="15" s="1"/>
  <c r="S34" i="24"/>
  <c r="S29" i="24"/>
  <c r="S30" i="24" s="1"/>
  <c r="AX56" i="16"/>
  <c r="AX18" i="16" s="1"/>
  <c r="U19" i="24"/>
  <c r="U20" i="24" s="1"/>
  <c r="V17" i="24"/>
  <c r="U18" i="24"/>
  <c r="AW56" i="16"/>
  <c r="AW18" i="16" s="1"/>
  <c r="AV16" i="15"/>
  <c r="J59" i="4"/>
  <c r="J50" i="2" s="1"/>
  <c r="I78" i="36"/>
  <c r="F93" i="36" s="1"/>
  <c r="L51" i="21"/>
  <c r="AG51" i="13"/>
  <c r="F51" i="13" s="1"/>
  <c r="L48" i="16" s="1"/>
  <c r="AU11" i="18"/>
  <c r="Q8" i="17"/>
  <c r="AE9" i="16"/>
  <c r="AE26" i="16" s="1"/>
  <c r="AE34" i="16" s="1"/>
  <c r="AE36" i="16" s="1"/>
  <c r="AT7" i="18"/>
  <c r="AD13" i="23"/>
  <c r="AL13" i="16"/>
  <c r="AL49" i="16"/>
  <c r="AS40" i="13"/>
  <c r="AR45" i="16" s="1"/>
  <c r="AR13" i="16" s="1"/>
  <c r="BH11" i="18" s="1"/>
  <c r="AT40" i="13"/>
  <c r="AS45" i="16" s="1"/>
  <c r="AS13" i="16" s="1"/>
  <c r="BI11" i="18" s="1"/>
  <c r="AU40" i="13"/>
  <c r="AT45" i="16" s="1"/>
  <c r="AT13" i="16" s="1"/>
  <c r="BJ11" i="18" s="1"/>
  <c r="AR40" i="13"/>
  <c r="V29" i="11"/>
  <c r="AB15" i="13"/>
  <c r="W30" i="11"/>
  <c r="AI13" i="16"/>
  <c r="AI49" i="16"/>
  <c r="AC13" i="23"/>
  <c r="AS7" i="18"/>
  <c r="AW11" i="18"/>
  <c r="AG9" i="16"/>
  <c r="AG26" i="16" s="1"/>
  <c r="AG34" i="16" s="1"/>
  <c r="AG36" i="16" s="1"/>
  <c r="P10" i="21"/>
  <c r="AQ7" i="18"/>
  <c r="AA13" i="23"/>
  <c r="AK49" i="16"/>
  <c r="AK13" i="16"/>
  <c r="AM45" i="16"/>
  <c r="AM13" i="16" s="1"/>
  <c r="P62" i="13"/>
  <c r="AX11" i="18"/>
  <c r="AH9" i="16"/>
  <c r="AH26" i="16" s="1"/>
  <c r="AH34" i="16" s="1"/>
  <c r="AJ13" i="16"/>
  <c r="AJ49" i="16"/>
  <c r="V32" i="15"/>
  <c r="V34" i="15"/>
  <c r="W28" i="15" s="1"/>
  <c r="W27" i="15" s="1"/>
  <c r="BP15" i="15" s="1"/>
  <c r="CE25" i="18" s="1"/>
  <c r="BG62" i="16"/>
  <c r="BG25" i="16" s="1"/>
  <c r="X20" i="17" s="1"/>
  <c r="O210" i="20" s="1"/>
  <c r="X24" i="21"/>
  <c r="AO36" i="13"/>
  <c r="AO35" i="13" s="1"/>
  <c r="AP36" i="13"/>
  <c r="AP35" i="13" s="1"/>
  <c r="AQ36" i="13"/>
  <c r="AQ35" i="13" s="1"/>
  <c r="Z10" i="13"/>
  <c r="Z9" i="13" s="1"/>
  <c r="AN36" i="13"/>
  <c r="AN35" i="13" s="1"/>
  <c r="V22" i="11"/>
  <c r="AB7" i="13" s="1"/>
  <c r="AB6" i="13" s="1"/>
  <c r="W23" i="11"/>
  <c r="AA11" i="13"/>
  <c r="J85" i="20"/>
  <c r="J86" i="20" s="1"/>
  <c r="AY58" i="16"/>
  <c r="AY46" i="23"/>
  <c r="BO19" i="18" s="1"/>
  <c r="S23" i="15"/>
  <c r="AD127" i="25"/>
  <c r="AD112" i="25" s="1"/>
  <c r="AK48" i="25"/>
  <c r="AK55" i="25"/>
  <c r="E118" i="20"/>
  <c r="S25" i="15"/>
  <c r="U93" i="19" s="1"/>
  <c r="T36" i="16"/>
  <c r="AF48" i="16"/>
  <c r="F48" i="16" s="1"/>
  <c r="N69" i="13"/>
  <c r="F69" i="13" s="1"/>
  <c r="X21" i="19"/>
  <c r="Y99" i="19"/>
  <c r="Y102" i="19" s="1"/>
  <c r="X22" i="19"/>
  <c r="Y106" i="19"/>
  <c r="Y109" i="19" s="1"/>
  <c r="AI268" i="25"/>
  <c r="AP61" i="16"/>
  <c r="AP63" i="16" s="1"/>
  <c r="AP17" i="16"/>
  <c r="G111" i="23"/>
  <c r="BA58" i="16"/>
  <c r="BA46" i="23"/>
  <c r="BQ19" i="18" s="1"/>
  <c r="AN61" i="16"/>
  <c r="AN63" i="16" s="1"/>
  <c r="AN17" i="16"/>
  <c r="AE63" i="16"/>
  <c r="BC58" i="16"/>
  <c r="T23" i="15"/>
  <c r="BC46" i="23"/>
  <c r="BS19" i="18" s="1"/>
  <c r="AT24" i="16"/>
  <c r="K209" i="20"/>
  <c r="J511" i="20"/>
  <c r="AQ24" i="16"/>
  <c r="AR24" i="16"/>
  <c r="AS24" i="16"/>
  <c r="U30" i="21"/>
  <c r="BK30" i="18"/>
  <c r="BK27" i="18" s="1"/>
  <c r="M13" i="19"/>
  <c r="N85" i="19"/>
  <c r="BH8" i="15"/>
  <c r="BI8" i="15"/>
  <c r="BJ8" i="15"/>
  <c r="BK8" i="15"/>
  <c r="Q20" i="19"/>
  <c r="Q19" i="19" s="1"/>
  <c r="R92" i="19"/>
  <c r="R95" i="19" s="1"/>
  <c r="BP31" i="18"/>
  <c r="BP30" i="18" s="1"/>
  <c r="BP27" i="18" s="1"/>
  <c r="AZ58" i="16"/>
  <c r="AZ46" i="23"/>
  <c r="BP19" i="18" s="1"/>
  <c r="AM61" i="16"/>
  <c r="AM63" i="16" s="1"/>
  <c r="AM17" i="16"/>
  <c r="F200" i="20"/>
  <c r="E508" i="20"/>
  <c r="E510" i="20" s="1"/>
  <c r="O21" i="17"/>
  <c r="AD125" i="25"/>
  <c r="AD122" i="25" s="1"/>
  <c r="AD126" i="25" s="1"/>
  <c r="AE127" i="25" s="1"/>
  <c r="AE112" i="25" s="1"/>
  <c r="AM26" i="25"/>
  <c r="AL29" i="25"/>
  <c r="AL30" i="25" s="1"/>
  <c r="AL207" i="25"/>
  <c r="AL208" i="25" s="1"/>
  <c r="AL45" i="25"/>
  <c r="AL46" i="25" s="1"/>
  <c r="AL140" i="25"/>
  <c r="E202" i="20"/>
  <c r="K285" i="20"/>
  <c r="T29" i="21"/>
  <c r="AK11" i="25"/>
  <c r="AK268" i="25" s="1"/>
  <c r="AK34" i="25"/>
  <c r="BO31" i="18"/>
  <c r="R88" i="16"/>
  <c r="R89" i="16"/>
  <c r="F359" i="20"/>
  <c r="BH12" i="15"/>
  <c r="BG45" i="23" s="1"/>
  <c r="BI12" i="15"/>
  <c r="BH45" i="23" s="1"/>
  <c r="BJ12" i="15"/>
  <c r="BI45" i="23" s="1"/>
  <c r="BK12" i="15"/>
  <c r="BJ45" i="23" s="1"/>
  <c r="AB7" i="27"/>
  <c r="AA63" i="27"/>
  <c r="AA62" i="27" s="1"/>
  <c r="AA11" i="27"/>
  <c r="J284" i="20"/>
  <c r="S26" i="21"/>
  <c r="BD44" i="23"/>
  <c r="BE10" i="15"/>
  <c r="U15" i="17"/>
  <c r="AL123" i="25"/>
  <c r="AL212" i="25"/>
  <c r="AM50" i="25"/>
  <c r="AL145" i="25"/>
  <c r="BF58" i="16"/>
  <c r="BF46" i="23"/>
  <c r="BV19" i="18" s="1"/>
  <c r="H86" i="23"/>
  <c r="K206" i="20"/>
  <c r="Z5" i="27"/>
  <c r="BJ11" i="15"/>
  <c r="BK11" i="15"/>
  <c r="Z10" i="27"/>
  <c r="Z4" i="27" s="1"/>
  <c r="BH11" i="15"/>
  <c r="BI11" i="15"/>
  <c r="BC44" i="23"/>
  <c r="BD10" i="15"/>
  <c r="BE58" i="16"/>
  <c r="BE46" i="23"/>
  <c r="BU19" i="18" s="1"/>
  <c r="P17" i="19"/>
  <c r="G356" i="20" s="1"/>
  <c r="G358" i="20"/>
  <c r="J57" i="23"/>
  <c r="BG10" i="15"/>
  <c r="BF44" i="23"/>
  <c r="AB16" i="16"/>
  <c r="AB49" i="16"/>
  <c r="BR31" i="18"/>
  <c r="BR30" i="18" s="1"/>
  <c r="BR27" i="18" s="1"/>
  <c r="BE44" i="23"/>
  <c r="BF10" i="15"/>
  <c r="T93" i="19"/>
  <c r="BB58" i="16"/>
  <c r="BB46" i="23"/>
  <c r="BR19" i="18" s="1"/>
  <c r="BQ31" i="18"/>
  <c r="BQ30" i="18" s="1"/>
  <c r="BQ27" i="18" s="1"/>
  <c r="AO61" i="16"/>
  <c r="AO63" i="16" s="1"/>
  <c r="AO17" i="16"/>
  <c r="W20" i="17"/>
  <c r="P13" i="21"/>
  <c r="P1" i="21" s="1"/>
  <c r="AR7" i="18"/>
  <c r="AB13" i="23"/>
  <c r="X49" i="18"/>
  <c r="G113" i="23"/>
  <c r="AK217" i="25"/>
  <c r="AK210" i="25"/>
  <c r="BD58" i="16"/>
  <c r="BD46" i="23"/>
  <c r="BT19" i="18" s="1"/>
  <c r="AB662" i="20" l="1"/>
  <c r="AB675" i="20" s="1"/>
  <c r="T675" i="20" s="1"/>
  <c r="CQ277" i="37"/>
  <c r="CQ279" i="37"/>
  <c r="CR267" i="37"/>
  <c r="E732" i="20" s="1"/>
  <c r="I732" i="20" s="1"/>
  <c r="AB648" i="20"/>
  <c r="N33" i="17"/>
  <c r="E216" i="20" s="1"/>
  <c r="BC50" i="23"/>
  <c r="H32" i="2"/>
  <c r="H16" i="2" s="1"/>
  <c r="H32" i="4"/>
  <c r="H88" i="4" s="1"/>
  <c r="S151" i="19"/>
  <c r="BE50" i="23"/>
  <c r="BF50" i="23"/>
  <c r="AY50" i="23"/>
  <c r="BD50" i="23"/>
  <c r="BB50" i="23"/>
  <c r="BA50" i="23"/>
  <c r="AZ50" i="23"/>
  <c r="AW58" i="23"/>
  <c r="AW66" i="23" s="1"/>
  <c r="AX58" i="23"/>
  <c r="AX66" i="23" s="1"/>
  <c r="AV58" i="23"/>
  <c r="AV66" i="23" s="1"/>
  <c r="O281" i="20"/>
  <c r="F120" i="20"/>
  <c r="BB16" i="15"/>
  <c r="BA49" i="23"/>
  <c r="BC16" i="15"/>
  <c r="BB49" i="23"/>
  <c r="BA16" i="15"/>
  <c r="AZ49" i="23"/>
  <c r="AZ16" i="15"/>
  <c r="AY49" i="23"/>
  <c r="AY58" i="23" s="1"/>
  <c r="CS37" i="37"/>
  <c r="CS12" i="37"/>
  <c r="AC648" i="20" s="1"/>
  <c r="CT215" i="37"/>
  <c r="CT208" i="37"/>
  <c r="AE117" i="25"/>
  <c r="AE49" i="25" s="1"/>
  <c r="AE35" i="25" s="1"/>
  <c r="CP117" i="37"/>
  <c r="CP122" i="37" s="1"/>
  <c r="CP53" i="37" s="1"/>
  <c r="CP209" i="37" s="1"/>
  <c r="CQ117" i="37"/>
  <c r="CQ122" i="37" s="1"/>
  <c r="CQ53" i="37" s="1"/>
  <c r="CQ209" i="37" s="1"/>
  <c r="CR117" i="37"/>
  <c r="CR122" i="37" s="1"/>
  <c r="CR53" i="37" s="1"/>
  <c r="CR209" i="37" s="1"/>
  <c r="CS117" i="37"/>
  <c r="CS122" i="37" s="1"/>
  <c r="CS53" i="37" s="1"/>
  <c r="CS209" i="37" s="1"/>
  <c r="CS59" i="37"/>
  <c r="CS52" i="37"/>
  <c r="AD117" i="25"/>
  <c r="AD49" i="25" s="1"/>
  <c r="AD51" i="25" s="1"/>
  <c r="CL117" i="37"/>
  <c r="CL122" i="37" s="1"/>
  <c r="CL53" i="37" s="1"/>
  <c r="CL209" i="37" s="1"/>
  <c r="CM117" i="37"/>
  <c r="CM122" i="37" s="1"/>
  <c r="CM53" i="37" s="1"/>
  <c r="CM209" i="37" s="1"/>
  <c r="CN117" i="37"/>
  <c r="CN122" i="37" s="1"/>
  <c r="CN53" i="37" s="1"/>
  <c r="CN209" i="37" s="1"/>
  <c r="CO117" i="37"/>
  <c r="CO122" i="37" s="1"/>
  <c r="CO53" i="37" s="1"/>
  <c r="CO209" i="37" s="1"/>
  <c r="CT137" i="37"/>
  <c r="CU28" i="37"/>
  <c r="CU205" i="37" s="1"/>
  <c r="CU206" i="37" s="1"/>
  <c r="CT49" i="37"/>
  <c r="CT50" i="37" s="1"/>
  <c r="CT31" i="37"/>
  <c r="CT32" i="37" s="1"/>
  <c r="AL215" i="37"/>
  <c r="AL208" i="37"/>
  <c r="AD57" i="37"/>
  <c r="AD58" i="37" s="1"/>
  <c r="AD60" i="37" s="1"/>
  <c r="AD13" i="37" s="1"/>
  <c r="AD268" i="37" s="1"/>
  <c r="AD217" i="37"/>
  <c r="AD149" i="37"/>
  <c r="AD61" i="37"/>
  <c r="AM210" i="37"/>
  <c r="AM142" i="37"/>
  <c r="AD213" i="37"/>
  <c r="AD214" i="37" s="1"/>
  <c r="AD216" i="37" s="1"/>
  <c r="AD15" i="37" s="1"/>
  <c r="AD270" i="37" s="1"/>
  <c r="AL37" i="37"/>
  <c r="AL12" i="37"/>
  <c r="AL267" i="37" s="1"/>
  <c r="AM205" i="37"/>
  <c r="AM206" i="37" s="1"/>
  <c r="AM137" i="37"/>
  <c r="AM49" i="37"/>
  <c r="AM50" i="37" s="1"/>
  <c r="AL52" i="37"/>
  <c r="AL59" i="37"/>
  <c r="AE209" i="37"/>
  <c r="AE211" i="37" s="1"/>
  <c r="AE213" i="37" s="1"/>
  <c r="AE214" i="37" s="1"/>
  <c r="AE216" i="37" s="1"/>
  <c r="AE15" i="37" s="1"/>
  <c r="AE270" i="37" s="1"/>
  <c r="AE141" i="37"/>
  <c r="AE143" i="37" s="1"/>
  <c r="AE145" i="37" s="1"/>
  <c r="AE38" i="37"/>
  <c r="AE55" i="37"/>
  <c r="AE57" i="37" s="1"/>
  <c r="AE58" i="37" s="1"/>
  <c r="AE60" i="37" s="1"/>
  <c r="AE13" i="37" s="1"/>
  <c r="AE268" i="37" s="1"/>
  <c r="I21" i="2"/>
  <c r="G16" i="2"/>
  <c r="R31" i="2"/>
  <c r="R15" i="2" s="1"/>
  <c r="R28" i="2"/>
  <c r="R43" i="2"/>
  <c r="R35" i="2"/>
  <c r="R49" i="2"/>
  <c r="S44" i="2"/>
  <c r="R27" i="2"/>
  <c r="R42" i="2"/>
  <c r="Q20" i="2"/>
  <c r="S10" i="2"/>
  <c r="S29" i="2"/>
  <c r="T11" i="2"/>
  <c r="S9" i="2"/>
  <c r="I34" i="2"/>
  <c r="I58" i="4"/>
  <c r="J55" i="4" s="1"/>
  <c r="H18" i="2"/>
  <c r="I509" i="20"/>
  <c r="H77" i="36"/>
  <c r="I63" i="4"/>
  <c r="I32" i="4" s="1"/>
  <c r="I88" i="4" s="1"/>
  <c r="H565" i="20"/>
  <c r="D512" i="20"/>
  <c r="D514" i="20" s="1"/>
  <c r="E221" i="20"/>
  <c r="T12" i="17"/>
  <c r="J509" i="20" s="1"/>
  <c r="U21" i="24"/>
  <c r="BH7" i="15" s="1"/>
  <c r="AZ56" i="16"/>
  <c r="AZ18" i="16" s="1"/>
  <c r="D118" i="20"/>
  <c r="AY56" i="16"/>
  <c r="AY18" i="16" s="1"/>
  <c r="S21" i="15"/>
  <c r="U13" i="17"/>
  <c r="AU66" i="23"/>
  <c r="V19" i="24"/>
  <c r="V20" i="24" s="1"/>
  <c r="W17" i="24"/>
  <c r="V18" i="24"/>
  <c r="BE7" i="15"/>
  <c r="BF7" i="15"/>
  <c r="BD6" i="15"/>
  <c r="BD5" i="15" s="1"/>
  <c r="BG7" i="15"/>
  <c r="BE6" i="15"/>
  <c r="BE5" i="15" s="1"/>
  <c r="BD49" i="23" s="1"/>
  <c r="BD58" i="23" s="1"/>
  <c r="T26" i="24"/>
  <c r="T23" i="24"/>
  <c r="BF6" i="15"/>
  <c r="BF5" i="15" s="1"/>
  <c r="BD7" i="15"/>
  <c r="BG6" i="15"/>
  <c r="BG5" i="15" s="1"/>
  <c r="T34" i="24"/>
  <c r="T29" i="24"/>
  <c r="T30" i="24" s="1"/>
  <c r="BA56" i="16"/>
  <c r="BA18" i="16" s="1"/>
  <c r="S22" i="15"/>
  <c r="BB56" i="16"/>
  <c r="BB18" i="16" s="1"/>
  <c r="J64" i="4"/>
  <c r="J28" i="4" s="1"/>
  <c r="J62" i="4"/>
  <c r="N68" i="13"/>
  <c r="L234" i="19"/>
  <c r="G39" i="22"/>
  <c r="G41" i="22" s="1"/>
  <c r="BK62" i="16"/>
  <c r="BK25" i="16" s="1"/>
  <c r="AV14" i="18"/>
  <c r="F14" i="18" s="1"/>
  <c r="G105" i="20"/>
  <c r="BA11" i="18"/>
  <c r="AK9" i="16"/>
  <c r="AK26" i="16" s="1"/>
  <c r="AZ11" i="18"/>
  <c r="AJ9" i="16"/>
  <c r="AJ26" i="16" s="1"/>
  <c r="R8" i="17"/>
  <c r="R4" i="17" s="1"/>
  <c r="AY11" i="18"/>
  <c r="AI9" i="16"/>
  <c r="AI26" i="16" s="1"/>
  <c r="AI34" i="16" s="1"/>
  <c r="AI36" i="16" s="1"/>
  <c r="AC15" i="13"/>
  <c r="W29" i="11"/>
  <c r="X30" i="11"/>
  <c r="Q10" i="21"/>
  <c r="AU7" i="18"/>
  <c r="AE13" i="23"/>
  <c r="AX7" i="18"/>
  <c r="F611" i="20" s="1"/>
  <c r="AH13" i="23"/>
  <c r="AW40" i="13"/>
  <c r="AV45" i="16" s="1"/>
  <c r="AV13" i="16" s="1"/>
  <c r="BL11" i="18" s="1"/>
  <c r="AX40" i="13"/>
  <c r="AW45" i="16" s="1"/>
  <c r="AW13" i="16" s="1"/>
  <c r="BM11" i="18" s="1"/>
  <c r="AY40" i="13"/>
  <c r="AX45" i="16" s="1"/>
  <c r="AX13" i="16" s="1"/>
  <c r="BN11" i="18" s="1"/>
  <c r="AV40" i="13"/>
  <c r="AW7" i="18"/>
  <c r="E611" i="20" s="1"/>
  <c r="AG13" i="23"/>
  <c r="BB11" i="18"/>
  <c r="AL9" i="16"/>
  <c r="AL26" i="16" s="1"/>
  <c r="BC11" i="18"/>
  <c r="S10" i="21" s="1"/>
  <c r="S8" i="17"/>
  <c r="Q62" i="13"/>
  <c r="AQ45" i="16"/>
  <c r="AQ13" i="16" s="1"/>
  <c r="W34" i="15"/>
  <c r="X28" i="15" s="1"/>
  <c r="X27" i="15" s="1"/>
  <c r="BT15" i="15" s="1"/>
  <c r="CI25" i="18" s="1"/>
  <c r="W32" i="15"/>
  <c r="P59" i="13"/>
  <c r="P65" i="13" s="1"/>
  <c r="AM42" i="16"/>
  <c r="AN48" i="13"/>
  <c r="AQ48" i="13"/>
  <c r="AP42" i="16"/>
  <c r="AR36" i="13"/>
  <c r="AR35" i="13" s="1"/>
  <c r="AS36" i="13"/>
  <c r="AS35" i="13" s="1"/>
  <c r="AT36" i="13"/>
  <c r="AT35" i="13" s="1"/>
  <c r="AA10" i="13"/>
  <c r="AA9" i="13" s="1"/>
  <c r="AU36" i="13"/>
  <c r="AU35" i="13" s="1"/>
  <c r="AO42" i="16"/>
  <c r="AP48" i="13"/>
  <c r="W22" i="11"/>
  <c r="AC7" i="13" s="1"/>
  <c r="AC6" i="13" s="1"/>
  <c r="X23" i="11"/>
  <c r="AN42" i="16"/>
  <c r="AO48" i="13"/>
  <c r="K85" i="20"/>
  <c r="K86" i="20" s="1"/>
  <c r="AB11" i="13"/>
  <c r="G359" i="20"/>
  <c r="BL8" i="15"/>
  <c r="BM8" i="15"/>
  <c r="BN8" i="15"/>
  <c r="BO8" i="15"/>
  <c r="BB20" i="16"/>
  <c r="AM123" i="25"/>
  <c r="AM212" i="25"/>
  <c r="AN50" i="25"/>
  <c r="AM145" i="25"/>
  <c r="E513" i="20"/>
  <c r="E512" i="20"/>
  <c r="E514" i="20" s="1"/>
  <c r="BH58" i="16"/>
  <c r="BH46" i="23"/>
  <c r="BX19" i="18" s="1"/>
  <c r="F959" i="20"/>
  <c r="D354" i="20"/>
  <c r="AS61" i="16"/>
  <c r="AS63" i="16" s="1"/>
  <c r="AS17" i="16"/>
  <c r="BJ44" i="23"/>
  <c r="BK10" i="15"/>
  <c r="J283" i="20"/>
  <c r="T26" i="21"/>
  <c r="K283" i="20" s="1"/>
  <c r="K284" i="20"/>
  <c r="F202" i="20"/>
  <c r="F219" i="20" s="1"/>
  <c r="BG58" i="16"/>
  <c r="U23" i="15"/>
  <c r="BG46" i="23"/>
  <c r="BW19" i="18" s="1"/>
  <c r="L285" i="20"/>
  <c r="B285" i="20" s="1"/>
  <c r="U29" i="21"/>
  <c r="AR61" i="16"/>
  <c r="AR63" i="16" s="1"/>
  <c r="AR17" i="16"/>
  <c r="BI44" i="23"/>
  <c r="BJ10" i="15"/>
  <c r="BF20" i="16"/>
  <c r="AA5" i="27"/>
  <c r="BL11" i="15"/>
  <c r="BM11" i="15"/>
  <c r="BN11" i="15"/>
  <c r="BO11" i="15"/>
  <c r="AA10" i="27"/>
  <c r="AA4" i="27" s="1"/>
  <c r="BO30" i="18"/>
  <c r="V30" i="21"/>
  <c r="AQ61" i="16"/>
  <c r="AQ63" i="16" s="1"/>
  <c r="AQ17" i="16"/>
  <c r="W18" i="21"/>
  <c r="N278" i="20" s="1"/>
  <c r="G112" i="23"/>
  <c r="G114" i="23" s="1"/>
  <c r="Z106" i="19"/>
  <c r="Z109" i="19" s="1"/>
  <c r="Y22" i="19"/>
  <c r="L49" i="16"/>
  <c r="L16" i="16"/>
  <c r="P281" i="20"/>
  <c r="U94" i="19"/>
  <c r="V19" i="17" s="1"/>
  <c r="T94" i="19"/>
  <c r="U19" i="17" s="1"/>
  <c r="BV31" i="18"/>
  <c r="BV30" i="18" s="1"/>
  <c r="BV27" i="18" s="1"/>
  <c r="G275" i="20"/>
  <c r="P6" i="21"/>
  <c r="P11" i="17"/>
  <c r="AB9" i="16"/>
  <c r="BU31" i="18"/>
  <c r="BU30" i="18" s="1"/>
  <c r="BU27" i="18" s="1"/>
  <c r="BM12" i="15"/>
  <c r="BL45" i="23" s="1"/>
  <c r="BN12" i="15"/>
  <c r="BM45" i="23" s="1"/>
  <c r="BO12" i="15"/>
  <c r="BN45" i="23" s="1"/>
  <c r="BL12" i="15"/>
  <c r="BK45" i="23" s="1"/>
  <c r="J220" i="20"/>
  <c r="AZ20" i="16"/>
  <c r="BA20" i="16"/>
  <c r="Z99" i="19"/>
  <c r="Z102" i="19" s="1"/>
  <c r="Y21" i="19"/>
  <c r="R90" i="16"/>
  <c r="AL48" i="25"/>
  <c r="AL55" i="25"/>
  <c r="S92" i="19"/>
  <c r="S95" i="19" s="1"/>
  <c r="R20" i="19"/>
  <c r="R19" i="19" s="1"/>
  <c r="BC20" i="16"/>
  <c r="AC7" i="27"/>
  <c r="AB63" i="27"/>
  <c r="AB62" i="27" s="1"/>
  <c r="AB11" i="27"/>
  <c r="E119" i="20"/>
  <c r="T25" i="15"/>
  <c r="V93" i="19" s="1"/>
  <c r="H90" i="23"/>
  <c r="H91" i="23"/>
  <c r="L206" i="20"/>
  <c r="B206" i="20" s="1"/>
  <c r="BT31" i="18"/>
  <c r="BT30" i="18" s="1"/>
  <c r="BT27" i="18" s="1"/>
  <c r="AL217" i="25"/>
  <c r="AL210" i="25"/>
  <c r="Q17" i="19"/>
  <c r="H356" i="20" s="1"/>
  <c r="H358" i="20"/>
  <c r="AT61" i="16"/>
  <c r="AT63" i="16" s="1"/>
  <c r="AT17" i="16"/>
  <c r="J676" i="20"/>
  <c r="J681" i="20" s="1"/>
  <c r="AI278" i="25"/>
  <c r="AF16" i="16"/>
  <c r="AF49" i="16"/>
  <c r="BH44" i="23"/>
  <c r="BI10" i="15"/>
  <c r="AL34" i="25"/>
  <c r="AL11" i="25"/>
  <c r="AL268" i="25" s="1"/>
  <c r="BJ58" i="16"/>
  <c r="BJ46" i="23"/>
  <c r="BZ19" i="18" s="1"/>
  <c r="V18" i="21"/>
  <c r="M278" i="20" s="1"/>
  <c r="N210" i="20"/>
  <c r="BD20" i="16"/>
  <c r="H11" i="23"/>
  <c r="BE20" i="16"/>
  <c r="BS31" i="18"/>
  <c r="J64" i="23"/>
  <c r="BG44" i="23"/>
  <c r="BH10" i="15"/>
  <c r="E219" i="20"/>
  <c r="AM29" i="25"/>
  <c r="AM30" i="25" s="1"/>
  <c r="AN26" i="25"/>
  <c r="AM140" i="25"/>
  <c r="AM207" i="25"/>
  <c r="AM208" i="25" s="1"/>
  <c r="AM45" i="25"/>
  <c r="AM46" i="25" s="1"/>
  <c r="O33" i="17"/>
  <c r="F211" i="20"/>
  <c r="F221" i="20" s="1"/>
  <c r="BI58" i="16"/>
  <c r="BI46" i="23"/>
  <c r="BY19" i="18" s="1"/>
  <c r="N87" i="19"/>
  <c r="N88" i="19" s="1"/>
  <c r="AY20" i="16"/>
  <c r="T662" i="20" l="1"/>
  <c r="CR277" i="37"/>
  <c r="CR279" i="37"/>
  <c r="W109" i="16"/>
  <c r="W111" i="16" s="1"/>
  <c r="W128" i="16" s="1"/>
  <c r="W129" i="16" s="1"/>
  <c r="W130" i="16" s="1"/>
  <c r="I18" i="2"/>
  <c r="BI50" i="23"/>
  <c r="BH50" i="23"/>
  <c r="BG50" i="23"/>
  <c r="BJ50" i="23"/>
  <c r="T151" i="19"/>
  <c r="AZ58" i="23"/>
  <c r="AZ66" i="23" s="1"/>
  <c r="BB58" i="23"/>
  <c r="BB66" i="23" s="1"/>
  <c r="BA58" i="23"/>
  <c r="BA66" i="23" s="1"/>
  <c r="BF16" i="15"/>
  <c r="BE49" i="23"/>
  <c r="BD16" i="15"/>
  <c r="BC49" i="23"/>
  <c r="BC58" i="23" s="1"/>
  <c r="BG16" i="15"/>
  <c r="BF49" i="23"/>
  <c r="AE211" i="25"/>
  <c r="AE213" i="25" s="1"/>
  <c r="AE215" i="25" s="1"/>
  <c r="AE216" i="25" s="1"/>
  <c r="AE218" i="25" s="1"/>
  <c r="AE14" i="25" s="1"/>
  <c r="AE271" i="25" s="1"/>
  <c r="F678" i="20" s="1"/>
  <c r="F683" i="20" s="1"/>
  <c r="CL141" i="37"/>
  <c r="AD144" i="25"/>
  <c r="AD146" i="25" s="1"/>
  <c r="AD148" i="25" s="1"/>
  <c r="AE51" i="25"/>
  <c r="AE53" i="25" s="1"/>
  <c r="AE54" i="25" s="1"/>
  <c r="AE56" i="25" s="1"/>
  <c r="AE12" i="25" s="1"/>
  <c r="AE269" i="25" s="1"/>
  <c r="F679" i="20" s="1"/>
  <c r="F684" i="20" s="1"/>
  <c r="CS267" i="37"/>
  <c r="E733" i="20" s="1"/>
  <c r="I733" i="20" s="1"/>
  <c r="AE319" i="25"/>
  <c r="AE144" i="25"/>
  <c r="AE146" i="25" s="1"/>
  <c r="AE148" i="25" s="1"/>
  <c r="CT37" i="37"/>
  <c r="CT12" i="37"/>
  <c r="CU215" i="37"/>
  <c r="CU208" i="37"/>
  <c r="CT59" i="37"/>
  <c r="CT52" i="37"/>
  <c r="CU137" i="37"/>
  <c r="CV28" i="37"/>
  <c r="CV205" i="37" s="1"/>
  <c r="CV206" i="37" s="1"/>
  <c r="CU49" i="37"/>
  <c r="CU50" i="37" s="1"/>
  <c r="CU31" i="37"/>
  <c r="CU32" i="37" s="1"/>
  <c r="CS38" i="37"/>
  <c r="CS141" i="37"/>
  <c r="CO38" i="37"/>
  <c r="CO141" i="37"/>
  <c r="CR38" i="37"/>
  <c r="CR141" i="37"/>
  <c r="CN38" i="37"/>
  <c r="CN141" i="37"/>
  <c r="CQ38" i="37"/>
  <c r="CQ141" i="37"/>
  <c r="CM38" i="37"/>
  <c r="CM141" i="37"/>
  <c r="CP38" i="37"/>
  <c r="CP141" i="37"/>
  <c r="AD35" i="25"/>
  <c r="AD57" i="25" s="1"/>
  <c r="AD211" i="25"/>
  <c r="AD213" i="25" s="1"/>
  <c r="AD215" i="25" s="1"/>
  <c r="CL38" i="37"/>
  <c r="AM215" i="37"/>
  <c r="AM208" i="37"/>
  <c r="AN210" i="37"/>
  <c r="AN142" i="37"/>
  <c r="AM12" i="37"/>
  <c r="AM267" i="37" s="1"/>
  <c r="AM37" i="37"/>
  <c r="AN205" i="37"/>
  <c r="AN206" i="37" s="1"/>
  <c r="AN137" i="37"/>
  <c r="AN49" i="37"/>
  <c r="AN50" i="37" s="1"/>
  <c r="AE217" i="37"/>
  <c r="AE149" i="37"/>
  <c r="AE61" i="37"/>
  <c r="AM59" i="37"/>
  <c r="AM52" i="37"/>
  <c r="BI7" i="15"/>
  <c r="J36" i="2"/>
  <c r="J21" i="2" s="1"/>
  <c r="F68" i="13"/>
  <c r="G966" i="20"/>
  <c r="D967" i="20"/>
  <c r="E964" i="20"/>
  <c r="L205" i="20"/>
  <c r="B205" i="20" s="1"/>
  <c r="S31" i="2"/>
  <c r="S15" i="2" s="1"/>
  <c r="I32" i="2"/>
  <c r="S27" i="2"/>
  <c r="S42" i="2"/>
  <c r="T44" i="2"/>
  <c r="S28" i="2"/>
  <c r="S43" i="2"/>
  <c r="R19" i="2"/>
  <c r="R20" i="2"/>
  <c r="S35" i="2"/>
  <c r="S49" i="2"/>
  <c r="T10" i="2"/>
  <c r="T29" i="2"/>
  <c r="U11" i="2"/>
  <c r="T9" i="2"/>
  <c r="J58" i="4"/>
  <c r="K55" i="4" s="1"/>
  <c r="K36" i="2" s="1"/>
  <c r="J63" i="4"/>
  <c r="J32" i="4" s="1"/>
  <c r="J88" i="4" s="1"/>
  <c r="I77" i="36"/>
  <c r="F92" i="36" s="1"/>
  <c r="I48" i="2"/>
  <c r="K204" i="20"/>
  <c r="K220" i="20" s="1"/>
  <c r="U12" i="17"/>
  <c r="K509" i="20" s="1"/>
  <c r="E222" i="20"/>
  <c r="S29" i="15"/>
  <c r="U29" i="24"/>
  <c r="U30" i="24" s="1"/>
  <c r="BJ6" i="15"/>
  <c r="BJ5" i="15" s="1"/>
  <c r="BK6" i="15"/>
  <c r="BK5" i="15" s="1"/>
  <c r="BI6" i="15"/>
  <c r="BI5" i="15" s="1"/>
  <c r="U23" i="24"/>
  <c r="AV7" i="18"/>
  <c r="BK7" i="15"/>
  <c r="BH6" i="15"/>
  <c r="BH5" i="15" s="1"/>
  <c r="U26" i="24"/>
  <c r="U34" i="24"/>
  <c r="BJ7" i="15"/>
  <c r="BD66" i="23"/>
  <c r="BD56" i="16"/>
  <c r="BD18" i="16" s="1"/>
  <c r="BE16" i="15"/>
  <c r="V13" i="17"/>
  <c r="M205" i="20" s="1"/>
  <c r="D119" i="20"/>
  <c r="BC56" i="16"/>
  <c r="BC18" i="16" s="1"/>
  <c r="T21" i="15"/>
  <c r="BF56" i="16"/>
  <c r="BF18" i="16" s="1"/>
  <c r="AY66" i="23"/>
  <c r="T22" i="15"/>
  <c r="BE56" i="16"/>
  <c r="BE18" i="16" s="1"/>
  <c r="V21" i="24"/>
  <c r="W18" i="24"/>
  <c r="W19" i="24"/>
  <c r="W20" i="24" s="1"/>
  <c r="X17" i="24"/>
  <c r="AF13" i="23"/>
  <c r="Q13" i="21"/>
  <c r="K59" i="4"/>
  <c r="K50" i="2" s="1"/>
  <c r="J78" i="36"/>
  <c r="AZ40" i="13"/>
  <c r="BB40" i="13"/>
  <c r="BA45" i="16" s="1"/>
  <c r="BA13" i="16" s="1"/>
  <c r="BQ11" i="18" s="1"/>
  <c r="BA40" i="13"/>
  <c r="AZ45" i="16" s="1"/>
  <c r="AZ13" i="16" s="1"/>
  <c r="BP11" i="18" s="1"/>
  <c r="BC40" i="13"/>
  <c r="BB45" i="16" s="1"/>
  <c r="BB13" i="16" s="1"/>
  <c r="BR11" i="18" s="1"/>
  <c r="AL13" i="23"/>
  <c r="BB7" i="18"/>
  <c r="J611" i="20" s="1"/>
  <c r="R10" i="21"/>
  <c r="R6" i="21" s="1"/>
  <c r="AY7" i="18"/>
  <c r="G611" i="20" s="1"/>
  <c r="AI13" i="23"/>
  <c r="I200" i="20"/>
  <c r="H508" i="20"/>
  <c r="H510" i="20" s="1"/>
  <c r="R21" i="17"/>
  <c r="I211" i="20" s="1"/>
  <c r="AG125" i="25"/>
  <c r="AG122" i="25" s="1"/>
  <c r="AG126" i="25" s="1"/>
  <c r="BG11" i="18"/>
  <c r="T10" i="21" s="1"/>
  <c r="T8" i="17"/>
  <c r="AU45" i="16"/>
  <c r="AU13" i="16" s="1"/>
  <c r="R62" i="13"/>
  <c r="AZ7" i="18"/>
  <c r="H611" i="20" s="1"/>
  <c r="AJ13" i="23"/>
  <c r="X29" i="11"/>
  <c r="AD15" i="13"/>
  <c r="Y30" i="11"/>
  <c r="BA7" i="18"/>
  <c r="I611" i="20" s="1"/>
  <c r="AK13" i="23"/>
  <c r="X34" i="15"/>
  <c r="Y28" i="15" s="1"/>
  <c r="Y27" i="15" s="1"/>
  <c r="BX15" i="15" s="1"/>
  <c r="CM25" i="18" s="1"/>
  <c r="X32" i="15"/>
  <c r="Z24" i="21"/>
  <c r="BO62" i="16"/>
  <c r="BO25" i="16" s="1"/>
  <c r="Z20" i="17" s="1"/>
  <c r="Q210" i="20" s="1"/>
  <c r="D237" i="20" s="1"/>
  <c r="Y23" i="11"/>
  <c r="X22" i="11"/>
  <c r="AD7" i="13" s="1"/>
  <c r="AD6" i="13" s="1"/>
  <c r="Q59" i="13"/>
  <c r="Q65" i="13" s="1"/>
  <c r="AQ42" i="16"/>
  <c r="AR48" i="13"/>
  <c r="L85" i="20"/>
  <c r="L86" i="20" s="1"/>
  <c r="AC11" i="13"/>
  <c r="AP49" i="16"/>
  <c r="AP10" i="16"/>
  <c r="AO49" i="16"/>
  <c r="AO10" i="16"/>
  <c r="AX36" i="13"/>
  <c r="AX35" i="13" s="1"/>
  <c r="AY36" i="13"/>
  <c r="AY35" i="13" s="1"/>
  <c r="AB10" i="13"/>
  <c r="AB9" i="13" s="1"/>
  <c r="AV36" i="13"/>
  <c r="AV35" i="13" s="1"/>
  <c r="AW36" i="13"/>
  <c r="AW35" i="13" s="1"/>
  <c r="AU48" i="13"/>
  <c r="AT42" i="16"/>
  <c r="AM10" i="16"/>
  <c r="AM49" i="16"/>
  <c r="AT48" i="13"/>
  <c r="AS42" i="16"/>
  <c r="AN10" i="16"/>
  <c r="AN49" i="16"/>
  <c r="AR42" i="16"/>
  <c r="AS48" i="13"/>
  <c r="O85" i="19"/>
  <c r="N13" i="19"/>
  <c r="BP8" i="15"/>
  <c r="BQ8" i="15"/>
  <c r="BR8" i="15"/>
  <c r="BS8" i="15"/>
  <c r="AM11" i="25"/>
  <c r="AM268" i="25" s="1"/>
  <c r="AM34" i="25"/>
  <c r="AM48" i="25"/>
  <c r="AM55" i="25"/>
  <c r="BW31" i="18"/>
  <c r="BS30" i="18"/>
  <c r="BS27" i="18" s="1"/>
  <c r="W30" i="21"/>
  <c r="R17" i="19"/>
  <c r="I356" i="20" s="1"/>
  <c r="I358" i="20"/>
  <c r="AD53" i="25"/>
  <c r="AB26" i="16"/>
  <c r="AU24" i="16"/>
  <c r="AV24" i="16"/>
  <c r="L209" i="20"/>
  <c r="B209" i="20" s="1"/>
  <c r="K511" i="20"/>
  <c r="AW24" i="16"/>
  <c r="AX24" i="16"/>
  <c r="BO10" i="15"/>
  <c r="BN44" i="23"/>
  <c r="V15" i="17"/>
  <c r="H359" i="20"/>
  <c r="W15" i="17"/>
  <c r="T92" i="19"/>
  <c r="T95" i="19" s="1"/>
  <c r="S20" i="19"/>
  <c r="S19" i="19" s="1"/>
  <c r="O86" i="19"/>
  <c r="G203" i="20"/>
  <c r="P4" i="17"/>
  <c r="BM44" i="23"/>
  <c r="BN10" i="15"/>
  <c r="Y20" i="17"/>
  <c r="X18" i="21"/>
  <c r="O278" i="20" s="1"/>
  <c r="AN145" i="25"/>
  <c r="AN123" i="25"/>
  <c r="AN212" i="25"/>
  <c r="AO50" i="25"/>
  <c r="AM217" i="25"/>
  <c r="AM210" i="25"/>
  <c r="H16" i="23"/>
  <c r="H20" i="23" s="1"/>
  <c r="BL44" i="23"/>
  <c r="BM10" i="15"/>
  <c r="BH20" i="16"/>
  <c r="AN29" i="25"/>
  <c r="AN30" i="25" s="1"/>
  <c r="AN140" i="25"/>
  <c r="AN207" i="25"/>
  <c r="AN208" i="25" s="1"/>
  <c r="AO26" i="25"/>
  <c r="AN45" i="25"/>
  <c r="AN46" i="25" s="1"/>
  <c r="J61" i="23"/>
  <c r="Q11" i="17"/>
  <c r="F11" i="17" s="1"/>
  <c r="AF9" i="16"/>
  <c r="AF26" i="16" s="1"/>
  <c r="AF34" i="16" s="1"/>
  <c r="AF36" i="16" s="1"/>
  <c r="H92" i="23"/>
  <c r="BB24" i="16"/>
  <c r="BB61" i="16" s="1"/>
  <c r="BB63" i="16" s="1"/>
  <c r="M209" i="20"/>
  <c r="L511" i="20"/>
  <c r="D520" i="20" s="1"/>
  <c r="AY24" i="16"/>
  <c r="AY61" i="16" s="1"/>
  <c r="AY63" i="16" s="1"/>
  <c r="AZ24" i="16"/>
  <c r="AZ61" i="16" s="1"/>
  <c r="AZ63" i="16" s="1"/>
  <c r="BA24" i="16"/>
  <c r="BA61" i="16" s="1"/>
  <c r="BA63" i="16" s="1"/>
  <c r="BK44" i="23"/>
  <c r="BL10" i="15"/>
  <c r="L284" i="20"/>
  <c r="B284" i="20" s="1"/>
  <c r="U26" i="21"/>
  <c r="L283" i="20" s="1"/>
  <c r="B283" i="20" s="1"/>
  <c r="BG20" i="16"/>
  <c r="BN58" i="16"/>
  <c r="BN46" i="23"/>
  <c r="CD19" i="18" s="1"/>
  <c r="AB10" i="27"/>
  <c r="AB4" i="27" s="1"/>
  <c r="BR11" i="15"/>
  <c r="BS11" i="15"/>
  <c r="AB5" i="27"/>
  <c r="BP11" i="15"/>
  <c r="BQ11" i="15"/>
  <c r="G272" i="20"/>
  <c r="V94" i="19"/>
  <c r="W19" i="17" s="1"/>
  <c r="Z22" i="19"/>
  <c r="AA106" i="19"/>
  <c r="AA109" i="19" s="1"/>
  <c r="BM58" i="16"/>
  <c r="BM46" i="23"/>
  <c r="CC19" i="18" s="1"/>
  <c r="BI20" i="16"/>
  <c r="BP12" i="15"/>
  <c r="BO45" i="23" s="1"/>
  <c r="BQ12" i="15"/>
  <c r="BP45" i="23" s="1"/>
  <c r="BR12" i="15"/>
  <c r="BQ45" i="23" s="1"/>
  <c r="BS12" i="15"/>
  <c r="BR45" i="23" s="1"/>
  <c r="V29" i="21"/>
  <c r="M285" i="20"/>
  <c r="BL58" i="16"/>
  <c r="BL46" i="23"/>
  <c r="CB19" i="18" s="1"/>
  <c r="BJ20" i="16"/>
  <c r="AC11" i="27"/>
  <c r="AD7" i="27"/>
  <c r="AC63" i="27"/>
  <c r="T95" i="16"/>
  <c r="R35" i="16"/>
  <c r="U95" i="16"/>
  <c r="V95" i="16"/>
  <c r="R94" i="16"/>
  <c r="S95" i="16"/>
  <c r="Z21" i="19"/>
  <c r="AA99" i="19"/>
  <c r="AA102" i="19" s="1"/>
  <c r="L9" i="16"/>
  <c r="L26" i="16" s="1"/>
  <c r="L34" i="16" s="1"/>
  <c r="L36" i="16" s="1"/>
  <c r="L11" i="17"/>
  <c r="L4" i="17" s="1"/>
  <c r="L21" i="17" s="1"/>
  <c r="L33" i="17" s="1"/>
  <c r="BO27" i="18"/>
  <c r="BY31" i="18"/>
  <c r="BY30" i="18" s="1"/>
  <c r="BY27" i="18" s="1"/>
  <c r="BZ31" i="18"/>
  <c r="BZ30" i="18" s="1"/>
  <c r="BZ27" i="18" s="1"/>
  <c r="AE219" i="25"/>
  <c r="AE152" i="25"/>
  <c r="AE57" i="25"/>
  <c r="BK58" i="16"/>
  <c r="V23" i="15"/>
  <c r="BK46" i="23"/>
  <c r="CA19" i="18" s="1"/>
  <c r="F216" i="20"/>
  <c r="F222" i="20" s="1"/>
  <c r="X109" i="16"/>
  <c r="X111" i="16" s="1"/>
  <c r="E120" i="20"/>
  <c r="U25" i="15"/>
  <c r="W93" i="19" s="1"/>
  <c r="BX31" i="18"/>
  <c r="BX30" i="18" s="1"/>
  <c r="BX27" i="18" s="1"/>
  <c r="F16" i="16"/>
  <c r="F13" i="21" l="1"/>
  <c r="E129" i="5" s="1"/>
  <c r="Q1" i="21"/>
  <c r="CT267" i="37"/>
  <c r="E734" i="20" s="1"/>
  <c r="I734" i="20" s="1"/>
  <c r="AD648" i="20"/>
  <c r="U151" i="19"/>
  <c r="BL50" i="23"/>
  <c r="BM50" i="23"/>
  <c r="BN50" i="23"/>
  <c r="BK50" i="23"/>
  <c r="BF58" i="23"/>
  <c r="BF66" i="23" s="1"/>
  <c r="BE58" i="23"/>
  <c r="BE66" i="23" s="1"/>
  <c r="I272" i="20"/>
  <c r="I274" i="20" s="1"/>
  <c r="I294" i="20" s="1"/>
  <c r="Q281" i="20"/>
  <c r="D310" i="20" s="1"/>
  <c r="F122" i="20"/>
  <c r="BI16" i="15"/>
  <c r="BH49" i="23"/>
  <c r="BK16" i="15"/>
  <c r="BJ49" i="23"/>
  <c r="BJ16" i="15"/>
  <c r="BI49" i="23"/>
  <c r="BG56" i="16"/>
  <c r="BG18" i="16" s="1"/>
  <c r="BG49" i="23"/>
  <c r="BG58" i="23" s="1"/>
  <c r="AD219" i="25"/>
  <c r="AD152" i="25"/>
  <c r="CS279" i="37"/>
  <c r="CS277" i="37"/>
  <c r="CT277" i="37"/>
  <c r="CU37" i="37"/>
  <c r="CU12" i="37"/>
  <c r="CV215" i="37"/>
  <c r="CV208" i="37"/>
  <c r="CU59" i="37"/>
  <c r="CU52" i="37"/>
  <c r="CV137" i="37"/>
  <c r="CW28" i="37"/>
  <c r="CW205" i="37" s="1"/>
  <c r="CW206" i="37" s="1"/>
  <c r="CV49" i="37"/>
  <c r="CV50" i="37" s="1"/>
  <c r="CV31" i="37"/>
  <c r="CV32" i="37" s="1"/>
  <c r="AN215" i="37"/>
  <c r="AN208" i="37"/>
  <c r="AF53" i="37"/>
  <c r="AN12" i="37"/>
  <c r="AN267" i="37" s="1"/>
  <c r="AN37" i="37"/>
  <c r="AO205" i="37"/>
  <c r="AO206" i="37" s="1"/>
  <c r="AO137" i="37"/>
  <c r="AO49" i="37"/>
  <c r="AO50" i="37" s="1"/>
  <c r="AO210" i="37"/>
  <c r="AO142" i="37"/>
  <c r="AN59" i="37"/>
  <c r="AN52" i="37"/>
  <c r="J34" i="2"/>
  <c r="K21" i="2"/>
  <c r="I16" i="2"/>
  <c r="T31" i="2"/>
  <c r="T15" i="2" s="1"/>
  <c r="J32" i="2"/>
  <c r="T27" i="2"/>
  <c r="T42" i="2"/>
  <c r="T35" i="2"/>
  <c r="T49" i="2"/>
  <c r="U44" i="2"/>
  <c r="T28" i="2"/>
  <c r="T43" i="2"/>
  <c r="S19" i="2"/>
  <c r="S20" i="2"/>
  <c r="U10" i="2"/>
  <c r="U29" i="2"/>
  <c r="V11" i="2"/>
  <c r="U9" i="2"/>
  <c r="K63" i="4"/>
  <c r="K32" i="4" s="1"/>
  <c r="K58" i="4"/>
  <c r="L55" i="4" s="1"/>
  <c r="L36" i="2" s="1"/>
  <c r="L34" i="2" s="1"/>
  <c r="J77" i="36"/>
  <c r="J48" i="2"/>
  <c r="K34" i="2"/>
  <c r="L204" i="20"/>
  <c r="B204" i="20" s="1"/>
  <c r="J18" i="2"/>
  <c r="T29" i="15"/>
  <c r="D120" i="20"/>
  <c r="BH56" i="16"/>
  <c r="BH18" i="16" s="1"/>
  <c r="BJ56" i="16"/>
  <c r="BJ18" i="16" s="1"/>
  <c r="U22" i="15"/>
  <c r="BI56" i="16"/>
  <c r="BI18" i="16" s="1"/>
  <c r="U21" i="15"/>
  <c r="H275" i="20"/>
  <c r="BH16" i="15"/>
  <c r="X19" i="24"/>
  <c r="X20" i="24" s="1"/>
  <c r="X18" i="24"/>
  <c r="Y17" i="24"/>
  <c r="W21" i="24"/>
  <c r="W13" i="17"/>
  <c r="N205" i="20" s="1"/>
  <c r="V34" i="24"/>
  <c r="V29" i="24"/>
  <c r="V30" i="24" s="1"/>
  <c r="BL7" i="15"/>
  <c r="BM6" i="15"/>
  <c r="BM5" i="15" s="1"/>
  <c r="BL49" i="23" s="1"/>
  <c r="BL58" i="23" s="1"/>
  <c r="V26" i="24"/>
  <c r="BO7" i="15"/>
  <c r="BL6" i="15"/>
  <c r="BL5" i="15" s="1"/>
  <c r="BO6" i="15"/>
  <c r="BO5" i="15" s="1"/>
  <c r="BN6" i="15"/>
  <c r="BN5" i="15" s="1"/>
  <c r="BM49" i="23" s="1"/>
  <c r="BM58" i="23" s="1"/>
  <c r="BN7" i="15"/>
  <c r="V23" i="24"/>
  <c r="BM7" i="15"/>
  <c r="BC66" i="23"/>
  <c r="Q6" i="21"/>
  <c r="K64" i="4"/>
  <c r="K28" i="4" s="1"/>
  <c r="K62" i="4"/>
  <c r="BK11" i="18"/>
  <c r="U10" i="21" s="1"/>
  <c r="U8" i="17"/>
  <c r="Y29" i="11"/>
  <c r="AE15" i="13"/>
  <c r="Z30" i="11"/>
  <c r="BD40" i="13"/>
  <c r="BE40" i="13"/>
  <c r="BD45" i="16" s="1"/>
  <c r="BD13" i="16" s="1"/>
  <c r="BT11" i="18" s="1"/>
  <c r="BF40" i="13"/>
  <c r="BE45" i="16" s="1"/>
  <c r="BE13" i="16" s="1"/>
  <c r="BU11" i="18" s="1"/>
  <c r="BG40" i="13"/>
  <c r="BF45" i="16" s="1"/>
  <c r="BF13" i="16" s="1"/>
  <c r="BV11" i="18" s="1"/>
  <c r="H512" i="20"/>
  <c r="H514" i="20" s="1"/>
  <c r="H513" i="20"/>
  <c r="I202" i="20"/>
  <c r="I219" i="20" s="1"/>
  <c r="I221" i="20"/>
  <c r="S62" i="13"/>
  <c r="AY45" i="16"/>
  <c r="AY13" i="16" s="1"/>
  <c r="AA24" i="21"/>
  <c r="BS62" i="16"/>
  <c r="BS25" i="16" s="1"/>
  <c r="AA20" i="17" s="1"/>
  <c r="R210" i="20" s="1"/>
  <c r="E237" i="20" s="1"/>
  <c r="Y34" i="15"/>
  <c r="Z28" i="15" s="1"/>
  <c r="Z27" i="15" s="1"/>
  <c r="CB15" i="15" s="1"/>
  <c r="CQ25" i="18" s="1"/>
  <c r="Y32" i="15"/>
  <c r="AT10" i="16"/>
  <c r="AT49" i="16"/>
  <c r="AZ36" i="13"/>
  <c r="AZ35" i="13" s="1"/>
  <c r="BA36" i="13"/>
  <c r="BA35" i="13" s="1"/>
  <c r="BB36" i="13"/>
  <c r="BB35" i="13" s="1"/>
  <c r="BC36" i="13"/>
  <c r="BC35" i="13" s="1"/>
  <c r="AC10" i="13"/>
  <c r="AC9" i="13" s="1"/>
  <c r="AR49" i="16"/>
  <c r="AR10" i="16"/>
  <c r="BE8" i="18"/>
  <c r="AO9" i="16"/>
  <c r="AO26" i="16" s="1"/>
  <c r="AV42" i="16"/>
  <c r="AW48" i="13"/>
  <c r="BD8" i="18"/>
  <c r="AN9" i="16"/>
  <c r="AN26" i="16" s="1"/>
  <c r="AU42" i="16"/>
  <c r="R59" i="13"/>
  <c r="R65" i="13" s="1"/>
  <c r="AV48" i="13"/>
  <c r="AQ10" i="16"/>
  <c r="AQ49" i="16"/>
  <c r="AS49" i="16"/>
  <c r="AS10" i="16"/>
  <c r="AX42" i="16"/>
  <c r="AY48" i="13"/>
  <c r="M85" i="20"/>
  <c r="M86" i="20" s="1"/>
  <c r="AD11" i="13"/>
  <c r="AW42" i="16"/>
  <c r="AX48" i="13"/>
  <c r="BF8" i="18"/>
  <c r="AP9" i="16"/>
  <c r="AP26" i="16" s="1"/>
  <c r="Z23" i="11"/>
  <c r="Y22" i="11"/>
  <c r="AE7" i="13" s="1"/>
  <c r="AE6" i="13" s="1"/>
  <c r="AM9" i="16"/>
  <c r="AM26" i="16" s="1"/>
  <c r="S5" i="17"/>
  <c r="BC8" i="18"/>
  <c r="W131" i="16"/>
  <c r="W132" i="16" s="1"/>
  <c r="BA17" i="16"/>
  <c r="BQ44" i="23"/>
  <c r="BR10" i="15"/>
  <c r="Y18" i="21"/>
  <c r="P278" i="20" s="1"/>
  <c r="AN34" i="25"/>
  <c r="AN11" i="25"/>
  <c r="AN268" i="25" s="1"/>
  <c r="X122" i="16"/>
  <c r="X117" i="16"/>
  <c r="X125" i="16"/>
  <c r="X120" i="16"/>
  <c r="X123" i="16"/>
  <c r="X118" i="16"/>
  <c r="X126" i="16"/>
  <c r="X121" i="16"/>
  <c r="X124" i="16"/>
  <c r="X119" i="16"/>
  <c r="BB17" i="16"/>
  <c r="N206" i="20"/>
  <c r="AY17" i="16"/>
  <c r="AX61" i="16"/>
  <c r="AX63" i="16" s="1"/>
  <c r="AX17" i="16"/>
  <c r="BR58" i="16"/>
  <c r="BR46" i="23"/>
  <c r="CH19" i="18" s="1"/>
  <c r="BL20" i="16"/>
  <c r="BC24" i="16"/>
  <c r="BD24" i="16"/>
  <c r="BE24" i="16"/>
  <c r="BF24" i="16"/>
  <c r="N209" i="20"/>
  <c r="M511" i="20"/>
  <c r="E520" i="20" s="1"/>
  <c r="BN20" i="16"/>
  <c r="AP50" i="25"/>
  <c r="AO145" i="25"/>
  <c r="AO123" i="25"/>
  <c r="AO212" i="25"/>
  <c r="P210" i="20"/>
  <c r="M206" i="20"/>
  <c r="V12" i="17"/>
  <c r="AW61" i="16"/>
  <c r="AW63" i="16" s="1"/>
  <c r="AW17" i="16"/>
  <c r="BQ58" i="16"/>
  <c r="BQ46" i="23"/>
  <c r="CG19" i="18" s="1"/>
  <c r="BK20" i="16"/>
  <c r="BM20" i="16"/>
  <c r="J153" i="19"/>
  <c r="J154" i="19" s="1"/>
  <c r="J62" i="23"/>
  <c r="G200" i="20"/>
  <c r="F508" i="20"/>
  <c r="F510" i="20" s="1"/>
  <c r="P21" i="17"/>
  <c r="AE125" i="25"/>
  <c r="AE122" i="25" s="1"/>
  <c r="AE126" i="25" s="1"/>
  <c r="AZ17" i="16"/>
  <c r="BP58" i="16"/>
  <c r="BP46" i="23"/>
  <c r="CF19" i="18" s="1"/>
  <c r="W94" i="19"/>
  <c r="X19" i="17" s="1"/>
  <c r="BP44" i="23"/>
  <c r="BQ10" i="15"/>
  <c r="E121" i="20"/>
  <c r="V25" i="15"/>
  <c r="X93" i="19" s="1"/>
  <c r="BO58" i="16"/>
  <c r="BO46" i="23"/>
  <c r="CE19" i="18" s="1"/>
  <c r="W23" i="15"/>
  <c r="AD216" i="25"/>
  <c r="AD218" i="25" s="1"/>
  <c r="AD14" i="25" s="1"/>
  <c r="AB99" i="19"/>
  <c r="AB102" i="19" s="1"/>
  <c r="AA21" i="19"/>
  <c r="U109" i="16"/>
  <c r="L35" i="17"/>
  <c r="R101" i="16"/>
  <c r="M34" i="17"/>
  <c r="R36" i="16"/>
  <c r="BU12" i="15"/>
  <c r="BT45" i="23" s="1"/>
  <c r="BV12" i="15"/>
  <c r="BU45" i="23" s="1"/>
  <c r="BW12" i="15"/>
  <c r="BV45" i="23" s="1"/>
  <c r="BT12" i="15"/>
  <c r="BS45" i="23" s="1"/>
  <c r="AD63" i="27"/>
  <c r="AD11" i="27"/>
  <c r="AE7" i="27"/>
  <c r="BO44" i="23"/>
  <c r="BP10" i="15"/>
  <c r="CA31" i="18"/>
  <c r="AN55" i="25"/>
  <c r="AN48" i="25"/>
  <c r="CB31" i="18"/>
  <c r="CB30" i="18" s="1"/>
  <c r="CB27" i="18" s="1"/>
  <c r="AV61" i="16"/>
  <c r="AV63" i="16" s="1"/>
  <c r="AV17" i="16"/>
  <c r="N285" i="20"/>
  <c r="W29" i="21"/>
  <c r="G274" i="20"/>
  <c r="X128" i="16"/>
  <c r="AC62" i="27"/>
  <c r="AC10" i="27" s="1"/>
  <c r="AC4" i="27" s="1"/>
  <c r="AB106" i="19"/>
  <c r="AB109" i="19" s="1"/>
  <c r="AA22" i="19"/>
  <c r="P86" i="19"/>
  <c r="H203" i="20"/>
  <c r="D203" i="20" s="1"/>
  <c r="Q4" i="17"/>
  <c r="AO29" i="25"/>
  <c r="AO30" i="25" s="1"/>
  <c r="AO140" i="25"/>
  <c r="AO207" i="25"/>
  <c r="AO208" i="25" s="1"/>
  <c r="AP26" i="25"/>
  <c r="AO45" i="25"/>
  <c r="AO46" i="25" s="1"/>
  <c r="J358" i="20"/>
  <c r="S17" i="19"/>
  <c r="J356" i="20" s="1"/>
  <c r="AU61" i="16"/>
  <c r="AU63" i="16" s="1"/>
  <c r="AU17" i="16"/>
  <c r="AD54" i="25"/>
  <c r="AD56" i="25" s="1"/>
  <c r="AD12" i="25" s="1"/>
  <c r="BR44" i="23"/>
  <c r="BS10" i="15"/>
  <c r="X15" i="17"/>
  <c r="AN210" i="25"/>
  <c r="AN217" i="25"/>
  <c r="CC31" i="18"/>
  <c r="CC30" i="18" s="1"/>
  <c r="CC27" i="18" s="1"/>
  <c r="U92" i="19"/>
  <c r="U95" i="19" s="1"/>
  <c r="T20" i="19"/>
  <c r="T19" i="19" s="1"/>
  <c r="G959" i="20"/>
  <c r="E354" i="20"/>
  <c r="BT11" i="15"/>
  <c r="AC5" i="27"/>
  <c r="BU11" i="15"/>
  <c r="BV11" i="15"/>
  <c r="BW11" i="15"/>
  <c r="R96" i="16"/>
  <c r="S94" i="16"/>
  <c r="M284" i="20"/>
  <c r="V26" i="21"/>
  <c r="M283" i="20" s="1"/>
  <c r="CD31" i="18"/>
  <c r="CD30" i="18" s="1"/>
  <c r="CD27" i="18" s="1"/>
  <c r="AB34" i="16"/>
  <c r="I359" i="20"/>
  <c r="X30" i="21"/>
  <c r="BW30" i="18"/>
  <c r="BW27" i="18" s="1"/>
  <c r="O87" i="19"/>
  <c r="O88" i="19" s="1"/>
  <c r="CT279" i="37" l="1"/>
  <c r="CU267" i="37"/>
  <c r="E735" i="20" s="1"/>
  <c r="I735" i="20" s="1"/>
  <c r="AE648" i="20"/>
  <c r="K88" i="4"/>
  <c r="BR50" i="23"/>
  <c r="BO50" i="23"/>
  <c r="BP50" i="23"/>
  <c r="BQ50" i="23"/>
  <c r="V151" i="19"/>
  <c r="BJ58" i="23"/>
  <c r="BJ66" i="23" s="1"/>
  <c r="BH58" i="23"/>
  <c r="BH66" i="23" s="1"/>
  <c r="BI58" i="23"/>
  <c r="BI66" i="23" s="1"/>
  <c r="R281" i="20"/>
  <c r="E310" i="20" s="1"/>
  <c r="F123" i="20"/>
  <c r="BO16" i="15"/>
  <c r="BN49" i="23"/>
  <c r="BL16" i="15"/>
  <c r="BK49" i="23"/>
  <c r="BK58" i="23" s="1"/>
  <c r="CV37" i="37"/>
  <c r="CV12" i="37"/>
  <c r="CW215" i="37"/>
  <c r="CW208" i="37"/>
  <c r="CV59" i="37"/>
  <c r="CV52" i="37"/>
  <c r="CW137" i="37"/>
  <c r="CX28" i="37"/>
  <c r="CX205" i="37" s="1"/>
  <c r="CX206" i="37" s="1"/>
  <c r="CW49" i="37"/>
  <c r="CW50" i="37" s="1"/>
  <c r="CW31" i="37"/>
  <c r="CW32" i="37" s="1"/>
  <c r="AP210" i="37"/>
  <c r="AP142" i="37"/>
  <c r="AO215" i="37"/>
  <c r="AO208" i="37"/>
  <c r="AO12" i="37"/>
  <c r="AO267" i="37" s="1"/>
  <c r="AO37" i="37"/>
  <c r="AP205" i="37"/>
  <c r="AP206" i="37" s="1"/>
  <c r="AP137" i="37"/>
  <c r="AP49" i="37"/>
  <c r="AP50" i="37" s="1"/>
  <c r="AF209" i="37"/>
  <c r="AF211" i="37" s="1"/>
  <c r="AF213" i="37" s="1"/>
  <c r="AF214" i="37" s="1"/>
  <c r="AF216" i="37" s="1"/>
  <c r="AF15" i="37" s="1"/>
  <c r="AF270" i="37" s="1"/>
  <c r="AF141" i="37"/>
  <c r="AF143" i="37" s="1"/>
  <c r="AF145" i="37" s="1"/>
  <c r="AF55" i="37"/>
  <c r="AF57" i="37" s="1"/>
  <c r="AF58" i="37" s="1"/>
  <c r="AF60" i="37" s="1"/>
  <c r="AF13" i="37" s="1"/>
  <c r="AF268" i="37" s="1"/>
  <c r="AF38" i="37"/>
  <c r="AO59" i="37"/>
  <c r="AO52" i="37"/>
  <c r="K18" i="2"/>
  <c r="J16" i="2"/>
  <c r="E967" i="20"/>
  <c r="F964" i="20"/>
  <c r="U31" i="2"/>
  <c r="U15" i="2" s="1"/>
  <c r="K32" i="2"/>
  <c r="K16" i="2" s="1"/>
  <c r="U35" i="2"/>
  <c r="U49" i="2"/>
  <c r="U27" i="2"/>
  <c r="U42" i="2"/>
  <c r="V44" i="2"/>
  <c r="U28" i="2"/>
  <c r="U43" i="2"/>
  <c r="T19" i="2"/>
  <c r="T20" i="2"/>
  <c r="V10" i="2"/>
  <c r="V29" i="2"/>
  <c r="V9" i="2"/>
  <c r="W11" i="2"/>
  <c r="L63" i="4"/>
  <c r="L32" i="2" s="1"/>
  <c r="L16" i="2" s="1"/>
  <c r="L58" i="4"/>
  <c r="M55" i="4" s="1"/>
  <c r="M36" i="2" s="1"/>
  <c r="K77" i="36"/>
  <c r="K48" i="2"/>
  <c r="L220" i="20"/>
  <c r="G294" i="20"/>
  <c r="D275" i="20"/>
  <c r="B275" i="20"/>
  <c r="B203" i="20"/>
  <c r="X13" i="17"/>
  <c r="O205" i="20" s="1"/>
  <c r="U29" i="15"/>
  <c r="BG66" i="23"/>
  <c r="W12" i="17"/>
  <c r="N204" i="20" s="1"/>
  <c r="N220" i="20" s="1"/>
  <c r="H272" i="20"/>
  <c r="H274" i="20" s="1"/>
  <c r="H294" i="20" s="1"/>
  <c r="V22" i="15"/>
  <c r="X21" i="24"/>
  <c r="BT6" i="15" s="1"/>
  <c r="BT5" i="15" s="1"/>
  <c r="BS49" i="23" s="1"/>
  <c r="BS58" i="23" s="1"/>
  <c r="BL56" i="16"/>
  <c r="BL18" i="16" s="1"/>
  <c r="BL66" i="23"/>
  <c r="BM16" i="15"/>
  <c r="BM56" i="16"/>
  <c r="BM18" i="16" s="1"/>
  <c r="BM66" i="23"/>
  <c r="Y19" i="24"/>
  <c r="Y20" i="24" s="1"/>
  <c r="Z17" i="24"/>
  <c r="Y18" i="24"/>
  <c r="BN56" i="16"/>
  <c r="BN18" i="16" s="1"/>
  <c r="BK56" i="16"/>
  <c r="BK18" i="16" s="1"/>
  <c r="D121" i="20"/>
  <c r="V21" i="15"/>
  <c r="W34" i="24"/>
  <c r="BP6" i="15"/>
  <c r="BP5" i="15" s="1"/>
  <c r="BR7" i="15"/>
  <c r="W29" i="24"/>
  <c r="W30" i="24" s="1"/>
  <c r="BQ6" i="15"/>
  <c r="BQ5" i="15" s="1"/>
  <c r="BP49" i="23" s="1"/>
  <c r="BP58" i="23" s="1"/>
  <c r="W26" i="24"/>
  <c r="BQ7" i="15"/>
  <c r="BP7" i="15"/>
  <c r="W23" i="24"/>
  <c r="BS7" i="15"/>
  <c r="BS6" i="15"/>
  <c r="BS5" i="15" s="1"/>
  <c r="BR6" i="15"/>
  <c r="BR5" i="15" s="1"/>
  <c r="BN16" i="15"/>
  <c r="L59" i="4"/>
  <c r="K78" i="36"/>
  <c r="W133" i="16"/>
  <c r="W134" i="16"/>
  <c r="BO11" i="18"/>
  <c r="V10" i="21" s="1"/>
  <c r="V8" i="17"/>
  <c r="BC45" i="16"/>
  <c r="BC13" i="16" s="1"/>
  <c r="T62" i="13"/>
  <c r="Z29" i="11"/>
  <c r="AF15" i="13"/>
  <c r="AA30" i="11"/>
  <c r="BK40" i="13"/>
  <c r="BJ45" i="16" s="1"/>
  <c r="BJ13" i="16" s="1"/>
  <c r="BZ11" i="18" s="1"/>
  <c r="BH40" i="13"/>
  <c r="BI40" i="13"/>
  <c r="BH45" i="16" s="1"/>
  <c r="BH13" i="16" s="1"/>
  <c r="BX11" i="18" s="1"/>
  <c r="BJ40" i="13"/>
  <c r="BI45" i="16" s="1"/>
  <c r="BI13" i="16" s="1"/>
  <c r="BY11" i="18" s="1"/>
  <c r="AB24" i="21"/>
  <c r="BW62" i="16"/>
  <c r="BW25" i="16" s="1"/>
  <c r="AB20" i="17" s="1"/>
  <c r="S210" i="20" s="1"/>
  <c r="F237" i="20" s="1"/>
  <c r="Z34" i="15"/>
  <c r="AA28" i="15" s="1"/>
  <c r="AA27" i="15" s="1"/>
  <c r="CF15" i="15" s="1"/>
  <c r="CU25" i="18" s="1"/>
  <c r="Z32" i="15"/>
  <c r="BF7" i="18"/>
  <c r="N611" i="20" s="1"/>
  <c r="AP13" i="23"/>
  <c r="AX10" i="16"/>
  <c r="AX49" i="16"/>
  <c r="AS9" i="16"/>
  <c r="AS26" i="16" s="1"/>
  <c r="BI8" i="18"/>
  <c r="BD7" i="18"/>
  <c r="L611" i="20" s="1"/>
  <c r="AN13" i="23"/>
  <c r="BC48" i="13"/>
  <c r="BB42" i="16"/>
  <c r="BC7" i="18"/>
  <c r="K611" i="20" s="1"/>
  <c r="S7" i="21"/>
  <c r="AM13" i="23"/>
  <c r="AW10" i="16"/>
  <c r="AW49" i="16"/>
  <c r="BA42" i="16"/>
  <c r="BB48" i="13"/>
  <c r="S4" i="17"/>
  <c r="J201" i="20"/>
  <c r="BE36" i="13"/>
  <c r="BE35" i="13" s="1"/>
  <c r="AD10" i="13"/>
  <c r="AD9" i="13" s="1"/>
  <c r="BF36" i="13"/>
  <c r="BF35" i="13" s="1"/>
  <c r="BG36" i="13"/>
  <c r="BG35" i="13" s="1"/>
  <c r="BD36" i="13"/>
  <c r="BD35" i="13" s="1"/>
  <c r="AV10" i="16"/>
  <c r="AV49" i="16"/>
  <c r="AZ42" i="16"/>
  <c r="BA48" i="13"/>
  <c r="BG8" i="18"/>
  <c r="AQ9" i="16"/>
  <c r="AQ26" i="16" s="1"/>
  <c r="T5" i="17"/>
  <c r="AY42" i="16"/>
  <c r="AZ48" i="13"/>
  <c r="S59" i="13"/>
  <c r="S65" i="13" s="1"/>
  <c r="N85" i="20"/>
  <c r="D88" i="20" s="1"/>
  <c r="D89" i="20" s="1"/>
  <c r="AE11" i="13"/>
  <c r="BE7" i="18"/>
  <c r="M611" i="20" s="1"/>
  <c r="AO13" i="23"/>
  <c r="J359" i="20"/>
  <c r="Z22" i="11"/>
  <c r="AF7" i="13" s="1"/>
  <c r="AF6" i="13" s="1"/>
  <c r="AA23" i="11"/>
  <c r="AR9" i="16"/>
  <c r="AR26" i="16" s="1"/>
  <c r="BH8" i="18"/>
  <c r="AU10" i="16"/>
  <c r="AU49" i="16"/>
  <c r="AT9" i="16"/>
  <c r="AT26" i="16" s="1"/>
  <c r="BJ8" i="18"/>
  <c r="Z18" i="21"/>
  <c r="Q278" i="20" s="1"/>
  <c r="D307" i="20" s="1"/>
  <c r="O13" i="19"/>
  <c r="P85" i="19"/>
  <c r="BS44" i="23"/>
  <c r="BT10" i="15"/>
  <c r="BZ11" i="15"/>
  <c r="CA11" i="15"/>
  <c r="AD5" i="27"/>
  <c r="BX11" i="15"/>
  <c r="BY11" i="15"/>
  <c r="U111" i="16"/>
  <c r="CF31" i="18"/>
  <c r="CF30" i="18" s="1"/>
  <c r="CF27" i="18" s="1"/>
  <c r="AF127" i="25"/>
  <c r="AF112" i="25" s="1"/>
  <c r="J39" i="19"/>
  <c r="J35" i="19" s="1"/>
  <c r="J43" i="19" s="1"/>
  <c r="J57" i="19" s="1"/>
  <c r="K150" i="19"/>
  <c r="BQ20" i="16"/>
  <c r="CG31" i="18"/>
  <c r="CG30" i="18" s="1"/>
  <c r="CG27" i="18" s="1"/>
  <c r="AO11" i="25"/>
  <c r="AO268" i="25" s="1"/>
  <c r="AO34" i="25"/>
  <c r="BT8" i="15"/>
  <c r="BU8" i="15"/>
  <c r="BV8" i="15"/>
  <c r="BW8" i="15"/>
  <c r="BX12" i="15"/>
  <c r="BW45" i="23" s="1"/>
  <c r="BY12" i="15"/>
  <c r="BX45" i="23" s="1"/>
  <c r="BZ12" i="15"/>
  <c r="BY45" i="23" s="1"/>
  <c r="CA12" i="15"/>
  <c r="BZ45" i="23" s="1"/>
  <c r="BO20" i="16"/>
  <c r="X94" i="19"/>
  <c r="Y19" i="17" s="1"/>
  <c r="BP20" i="16"/>
  <c r="P33" i="17"/>
  <c r="G211" i="20"/>
  <c r="BF61" i="16"/>
  <c r="BF63" i="16" s="1"/>
  <c r="BF17" i="16"/>
  <c r="R102" i="16"/>
  <c r="R103" i="16" s="1"/>
  <c r="F513" i="20"/>
  <c r="F512" i="20"/>
  <c r="F514" i="20" s="1"/>
  <c r="BE61" i="16"/>
  <c r="BE63" i="16" s="1"/>
  <c r="BE17" i="16"/>
  <c r="BR20" i="16"/>
  <c r="Y30" i="21"/>
  <c r="CA30" i="18"/>
  <c r="CA27" i="18" s="1"/>
  <c r="AB36" i="16"/>
  <c r="H200" i="20"/>
  <c r="G508" i="20"/>
  <c r="G510" i="20" s="1"/>
  <c r="Q21" i="17"/>
  <c r="AF125" i="25"/>
  <c r="AF122" i="25" s="1"/>
  <c r="AF126" i="25" s="1"/>
  <c r="AB21" i="19"/>
  <c r="AC99" i="19"/>
  <c r="AC102" i="19" s="1"/>
  <c r="AD271" i="25"/>
  <c r="BJ24" i="16"/>
  <c r="BG24" i="16"/>
  <c r="O209" i="20"/>
  <c r="N511" i="20"/>
  <c r="F520" i="20" s="1"/>
  <c r="BH24" i="16"/>
  <c r="BI24" i="16"/>
  <c r="G202" i="20"/>
  <c r="Y15" i="17"/>
  <c r="BD61" i="16"/>
  <c r="BD63" i="16" s="1"/>
  <c r="BD17" i="16"/>
  <c r="S96" i="16"/>
  <c r="S102" i="16" s="1"/>
  <c r="T94" i="16"/>
  <c r="T96" i="16" s="1"/>
  <c r="T102" i="16" s="1"/>
  <c r="AJ26" i="18" s="1"/>
  <c r="T14" i="23" s="1"/>
  <c r="BW10" i="15"/>
  <c r="BV44" i="23"/>
  <c r="CH31" i="18"/>
  <c r="CH30" i="18" s="1"/>
  <c r="CH27" i="18" s="1"/>
  <c r="AB22" i="19"/>
  <c r="AC106" i="19"/>
  <c r="AC109" i="19" s="1"/>
  <c r="E122" i="20"/>
  <c r="W25" i="15"/>
  <c r="Y93" i="19" s="1"/>
  <c r="M35" i="17"/>
  <c r="M204" i="20"/>
  <c r="M220" i="20" s="1"/>
  <c r="L509" i="20"/>
  <c r="D518" i="20" s="1"/>
  <c r="BC61" i="16"/>
  <c r="BC63" i="16" s="1"/>
  <c r="BC17" i="16"/>
  <c r="T17" i="19"/>
  <c r="K356" i="20" s="1"/>
  <c r="K358" i="20"/>
  <c r="AO55" i="25"/>
  <c r="AO48" i="25"/>
  <c r="N284" i="20"/>
  <c r="W26" i="21"/>
  <c r="N283" i="20" s="1"/>
  <c r="CE31" i="18"/>
  <c r="L181" i="19"/>
  <c r="AQ50" i="25"/>
  <c r="AP145" i="25"/>
  <c r="AP123" i="25"/>
  <c r="AP212" i="25"/>
  <c r="BU44" i="23"/>
  <c r="BV10" i="15"/>
  <c r="BT44" i="23"/>
  <c r="BU10" i="15"/>
  <c r="U20" i="19"/>
  <c r="U19" i="19" s="1"/>
  <c r="V92" i="19"/>
  <c r="V95" i="19" s="1"/>
  <c r="H22" i="23"/>
  <c r="AD269" i="25"/>
  <c r="AQ26" i="25"/>
  <c r="AP29" i="25"/>
  <c r="AP30" i="25" s="1"/>
  <c r="AP140" i="25"/>
  <c r="AP207" i="25"/>
  <c r="AP208" i="25" s="1"/>
  <c r="AP45" i="25"/>
  <c r="AP46" i="25" s="1"/>
  <c r="AE63" i="27"/>
  <c r="AE62" i="27" s="1"/>
  <c r="AE11" i="27"/>
  <c r="AF7" i="27"/>
  <c r="K57" i="23"/>
  <c r="X127" i="16"/>
  <c r="X129" i="16" s="1"/>
  <c r="O285" i="20"/>
  <c r="X29" i="21"/>
  <c r="O206" i="20"/>
  <c r="AO210" i="25"/>
  <c r="AO217" i="25"/>
  <c r="AD62" i="27"/>
  <c r="CU277" i="37" l="1"/>
  <c r="CU279" i="37"/>
  <c r="CV267" i="37"/>
  <c r="E736" i="20" s="1"/>
  <c r="I736" i="20" s="1"/>
  <c r="AF648" i="20"/>
  <c r="D621" i="20"/>
  <c r="E621" i="20"/>
  <c r="W151" i="19"/>
  <c r="BN58" i="23"/>
  <c r="BN66" i="23" s="1"/>
  <c r="S281" i="20"/>
  <c r="F310" i="20" s="1"/>
  <c r="F124" i="20"/>
  <c r="BS16" i="15"/>
  <c r="BR49" i="23"/>
  <c r="BP16" i="15"/>
  <c r="BO49" i="23"/>
  <c r="BO58" i="23" s="1"/>
  <c r="BR16" i="15"/>
  <c r="BQ49" i="23"/>
  <c r="E679" i="20"/>
  <c r="E684" i="20" s="1"/>
  <c r="E678" i="20"/>
  <c r="E683" i="20" s="1"/>
  <c r="CV277" i="37"/>
  <c r="CW37" i="37"/>
  <c r="CW12" i="37"/>
  <c r="AG648" i="20" s="1"/>
  <c r="CX215" i="37"/>
  <c r="CX208" i="37"/>
  <c r="CW59" i="37"/>
  <c r="CW52" i="37"/>
  <c r="CX137" i="37"/>
  <c r="CY28" i="37"/>
  <c r="CY205" i="37" s="1"/>
  <c r="CY206" i="37" s="1"/>
  <c r="CX49" i="37"/>
  <c r="CX50" i="37" s="1"/>
  <c r="CX31" i="37"/>
  <c r="CX32" i="37" s="1"/>
  <c r="AF117" i="25"/>
  <c r="AF49" i="25" s="1"/>
  <c r="AF144" i="25" s="1"/>
  <c r="AF146" i="25" s="1"/>
  <c r="AF148" i="25" s="1"/>
  <c r="CT117" i="37"/>
  <c r="CT122" i="37" s="1"/>
  <c r="CT53" i="37" s="1"/>
  <c r="CT209" i="37" s="1"/>
  <c r="CU117" i="37"/>
  <c r="CU122" i="37" s="1"/>
  <c r="CU53" i="37" s="1"/>
  <c r="CU209" i="37" s="1"/>
  <c r="CV117" i="37"/>
  <c r="CV122" i="37" s="1"/>
  <c r="CV53" i="37" s="1"/>
  <c r="CV209" i="37" s="1"/>
  <c r="CW117" i="37"/>
  <c r="CW122" i="37" s="1"/>
  <c r="CW53" i="37" s="1"/>
  <c r="CW209" i="37" s="1"/>
  <c r="AH53" i="37"/>
  <c r="AG53" i="37"/>
  <c r="AP12" i="37"/>
  <c r="AP267" i="37" s="1"/>
  <c r="AP37" i="37"/>
  <c r="AQ210" i="37"/>
  <c r="AQ142" i="37"/>
  <c r="AQ205" i="37"/>
  <c r="AQ206" i="37" s="1"/>
  <c r="AQ137" i="37"/>
  <c r="AQ49" i="37"/>
  <c r="AQ50" i="37" s="1"/>
  <c r="AP59" i="37"/>
  <c r="AP52" i="37"/>
  <c r="AF217" i="37"/>
  <c r="AF149" i="37"/>
  <c r="AF61" i="37"/>
  <c r="AP215" i="37"/>
  <c r="AP208" i="37"/>
  <c r="L50" i="2"/>
  <c r="V31" i="2"/>
  <c r="V15" i="2" s="1"/>
  <c r="W44" i="2"/>
  <c r="V27" i="2"/>
  <c r="V42" i="2"/>
  <c r="V35" i="2"/>
  <c r="V49" i="2"/>
  <c r="U19" i="2"/>
  <c r="U20" i="2"/>
  <c r="V28" i="2"/>
  <c r="V43" i="2"/>
  <c r="W10" i="2"/>
  <c r="W29" i="2"/>
  <c r="W9" i="2"/>
  <c r="X11" i="2"/>
  <c r="M509" i="20"/>
  <c r="E518" i="20" s="1"/>
  <c r="L32" i="4"/>
  <c r="M58" i="4"/>
  <c r="N55" i="4" s="1"/>
  <c r="N36" i="2" s="1"/>
  <c r="M63" i="4"/>
  <c r="M32" i="4" s="1"/>
  <c r="L77" i="36"/>
  <c r="M34" i="2"/>
  <c r="X12" i="17"/>
  <c r="O204" i="20" s="1"/>
  <c r="O220" i="20" s="1"/>
  <c r="V29" i="15"/>
  <c r="G221" i="20"/>
  <c r="BU7" i="15"/>
  <c r="BW7" i="15"/>
  <c r="W22" i="15"/>
  <c r="X29" i="24"/>
  <c r="X30" i="24" s="1"/>
  <c r="X23" i="24"/>
  <c r="BW6" i="15"/>
  <c r="BW5" i="15" s="1"/>
  <c r="X26" i="24"/>
  <c r="BV6" i="15"/>
  <c r="BV5" i="15" s="1"/>
  <c r="BT7" i="15"/>
  <c r="Y21" i="24"/>
  <c r="Y26" i="24" s="1"/>
  <c r="BV7" i="15"/>
  <c r="X34" i="24"/>
  <c r="BU6" i="15"/>
  <c r="BU5" i="15" s="1"/>
  <c r="W21" i="15"/>
  <c r="BO56" i="16"/>
  <c r="BO18" i="16" s="1"/>
  <c r="D122" i="20"/>
  <c r="BS56" i="16"/>
  <c r="BS18" i="16" s="1"/>
  <c r="BK66" i="23"/>
  <c r="BP56" i="16"/>
  <c r="BP18" i="16" s="1"/>
  <c r="BP66" i="23"/>
  <c r="Y13" i="17"/>
  <c r="P205" i="20" s="1"/>
  <c r="BQ56" i="16"/>
  <c r="BQ18" i="16" s="1"/>
  <c r="Z18" i="24"/>
  <c r="AA17" i="24"/>
  <c r="Z19" i="24"/>
  <c r="Z20" i="24" s="1"/>
  <c r="BR56" i="16"/>
  <c r="BR18" i="16" s="1"/>
  <c r="BQ16" i="15"/>
  <c r="L64" i="4"/>
  <c r="L28" i="4" s="1"/>
  <c r="L62" i="4"/>
  <c r="W135" i="16"/>
  <c r="V88" i="16" s="1"/>
  <c r="BM40" i="13"/>
  <c r="BL45" i="16" s="1"/>
  <c r="BL13" i="16" s="1"/>
  <c r="CB11" i="18" s="1"/>
  <c r="BL40" i="13"/>
  <c r="BO40" i="13"/>
  <c r="BN45" i="16" s="1"/>
  <c r="BN13" i="16" s="1"/>
  <c r="CD11" i="18" s="1"/>
  <c r="BN40" i="13"/>
  <c r="BM45" i="16" s="1"/>
  <c r="BM13" i="16" s="1"/>
  <c r="CC11" i="18" s="1"/>
  <c r="U62" i="13"/>
  <c r="BG45" i="16"/>
  <c r="BG13" i="16" s="1"/>
  <c r="W8" i="17"/>
  <c r="BS11" i="18"/>
  <c r="W10" i="21" s="1"/>
  <c r="AA29" i="11"/>
  <c r="AG15" i="13"/>
  <c r="AB30" i="11"/>
  <c r="AC24" i="21"/>
  <c r="CA62" i="16"/>
  <c r="CA25" i="16" s="1"/>
  <c r="AC20" i="17" s="1"/>
  <c r="T210" i="20" s="1"/>
  <c r="G237" i="20" s="1"/>
  <c r="AA34" i="15"/>
  <c r="AB28" i="15" s="1"/>
  <c r="AB27" i="15" s="1"/>
  <c r="CJ15" i="15" s="1"/>
  <c r="CY25" i="18" s="1"/>
  <c r="AA32" i="15"/>
  <c r="BK8" i="18"/>
  <c r="AU9" i="16"/>
  <c r="AU26" i="16" s="1"/>
  <c r="U5" i="17"/>
  <c r="BM8" i="18"/>
  <c r="AW9" i="16"/>
  <c r="AW26" i="16" s="1"/>
  <c r="BI7" i="18"/>
  <c r="Q611" i="20" s="1"/>
  <c r="AS13" i="23"/>
  <c r="BD42" i="16"/>
  <c r="BE48" i="13"/>
  <c r="BH7" i="18"/>
  <c r="P611" i="20" s="1"/>
  <c r="AR13" i="23"/>
  <c r="AZ49" i="16"/>
  <c r="AZ10" i="16"/>
  <c r="S6" i="21"/>
  <c r="J273" i="20"/>
  <c r="AY49" i="16"/>
  <c r="AY10" i="16"/>
  <c r="J200" i="20"/>
  <c r="I508" i="20"/>
  <c r="I510" i="20" s="1"/>
  <c r="S21" i="17"/>
  <c r="J211" i="20" s="1"/>
  <c r="AH125" i="25"/>
  <c r="AH122" i="25" s="1"/>
  <c r="AH126" i="25" s="1"/>
  <c r="AI127" i="25" s="1"/>
  <c r="AI112" i="25" s="1"/>
  <c r="AA22" i="11"/>
  <c r="AG7" i="13" s="1"/>
  <c r="AG6" i="13" s="1"/>
  <c r="AB23" i="11"/>
  <c r="BH36" i="13"/>
  <c r="BH35" i="13" s="1"/>
  <c r="BI36" i="13"/>
  <c r="BI35" i="13" s="1"/>
  <c r="BJ36" i="13"/>
  <c r="BJ35" i="13" s="1"/>
  <c r="BK36" i="13"/>
  <c r="BK35" i="13" s="1"/>
  <c r="AE10" i="13"/>
  <c r="AE9" i="13" s="1"/>
  <c r="K201" i="20"/>
  <c r="T4" i="17"/>
  <c r="AV9" i="16"/>
  <c r="AV26" i="16" s="1"/>
  <c r="BL8" i="18"/>
  <c r="BB10" i="16"/>
  <c r="BB49" i="16"/>
  <c r="AX9" i="16"/>
  <c r="AX26" i="16" s="1"/>
  <c r="BN8" i="18"/>
  <c r="AT13" i="23"/>
  <c r="BJ7" i="18"/>
  <c r="R611" i="20" s="1"/>
  <c r="O85" i="20"/>
  <c r="E88" i="20" s="1"/>
  <c r="E89" i="20" s="1"/>
  <c r="AF11" i="13"/>
  <c r="BC42" i="16"/>
  <c r="BD48" i="13"/>
  <c r="T59" i="13"/>
  <c r="T65" i="13" s="1"/>
  <c r="T7" i="21"/>
  <c r="BG7" i="18"/>
  <c r="O611" i="20" s="1"/>
  <c r="AQ13" i="23"/>
  <c r="BF42" i="16"/>
  <c r="BG48" i="13"/>
  <c r="BA49" i="16"/>
  <c r="BA10" i="16"/>
  <c r="BE42" i="16"/>
  <c r="BF48" i="13"/>
  <c r="U94" i="16"/>
  <c r="U96" i="16" s="1"/>
  <c r="U102" i="16" s="1"/>
  <c r="AK26" i="18" s="1"/>
  <c r="U14" i="23" s="1"/>
  <c r="S100" i="16"/>
  <c r="S103" i="16" s="1"/>
  <c r="R104" i="16"/>
  <c r="R105" i="16"/>
  <c r="CB8" i="15"/>
  <c r="CC8" i="15"/>
  <c r="CD8" i="15"/>
  <c r="CE8" i="15"/>
  <c r="AP210" i="25"/>
  <c r="AP217" i="25"/>
  <c r="BG61" i="16"/>
  <c r="BG63" i="16" s="1"/>
  <c r="BG17" i="16"/>
  <c r="CC12" i="15"/>
  <c r="CB45" i="23" s="1"/>
  <c r="CD12" i="15"/>
  <c r="CC45" i="23" s="1"/>
  <c r="CE12" i="15"/>
  <c r="CD45" i="23" s="1"/>
  <c r="CB12" i="15"/>
  <c r="CA45" i="23" s="1"/>
  <c r="CL31" i="18"/>
  <c r="CL30" i="18" s="1"/>
  <c r="CL27" i="18" s="1"/>
  <c r="AI26" i="18"/>
  <c r="S14" i="23" s="1"/>
  <c r="G219" i="20"/>
  <c r="G512" i="20"/>
  <c r="G514" i="20" s="1"/>
  <c r="G513" i="20"/>
  <c r="CB11" i="15"/>
  <c r="AE10" i="27"/>
  <c r="AE4" i="27" s="1"/>
  <c r="CC11" i="15"/>
  <c r="CD11" i="15"/>
  <c r="AE5" i="27"/>
  <c r="CE11" i="15"/>
  <c r="BX8" i="15"/>
  <c r="BY8" i="15"/>
  <c r="BZ8" i="15"/>
  <c r="CA8" i="15"/>
  <c r="AP34" i="25"/>
  <c r="AP11" i="25"/>
  <c r="AP268" i="25" s="1"/>
  <c r="L358" i="20"/>
  <c r="U17" i="19"/>
  <c r="L356" i="20" s="1"/>
  <c r="O284" i="20"/>
  <c r="X26" i="21"/>
  <c r="O283" i="20" s="1"/>
  <c r="AQ29" i="25"/>
  <c r="AQ30" i="25" s="1"/>
  <c r="AQ45" i="25"/>
  <c r="AQ46" i="25" s="1"/>
  <c r="AQ140" i="25"/>
  <c r="AQ207" i="25"/>
  <c r="AQ208" i="25" s="1"/>
  <c r="AR26" i="25"/>
  <c r="CK31" i="18"/>
  <c r="CK30" i="18" s="1"/>
  <c r="CK27" i="18" s="1"/>
  <c r="H202" i="20"/>
  <c r="H219" i="20" s="1"/>
  <c r="AG127" i="25"/>
  <c r="AG112" i="25" s="1"/>
  <c r="U128" i="16"/>
  <c r="AR50" i="25"/>
  <c r="AQ145" i="25"/>
  <c r="AQ123" i="25"/>
  <c r="AQ212" i="25"/>
  <c r="X130" i="16"/>
  <c r="X131" i="16"/>
  <c r="BI61" i="16"/>
  <c r="BI63" i="16" s="1"/>
  <c r="BI17" i="16"/>
  <c r="P285" i="20"/>
  <c r="Y29" i="21"/>
  <c r="BV58" i="16"/>
  <c r="BV46" i="23"/>
  <c r="CL19" i="18" s="1"/>
  <c r="BX44" i="23"/>
  <c r="BY10" i="15"/>
  <c r="P87" i="19"/>
  <c r="P88" i="19" s="1"/>
  <c r="BU58" i="16"/>
  <c r="BU46" i="23"/>
  <c r="CK19" i="18" s="1"/>
  <c r="AH127" i="25"/>
  <c r="AH112" i="25" s="1"/>
  <c r="BW44" i="23"/>
  <c r="BX10" i="15"/>
  <c r="H959" i="20"/>
  <c r="F354" i="20"/>
  <c r="BH61" i="16"/>
  <c r="BH63" i="16" s="1"/>
  <c r="BH17" i="16"/>
  <c r="AD99" i="19"/>
  <c r="AD102" i="19" s="1"/>
  <c r="AC21" i="19"/>
  <c r="L182" i="19"/>
  <c r="L183" i="19" s="1"/>
  <c r="G216" i="20"/>
  <c r="Y109" i="16"/>
  <c r="BT58" i="16"/>
  <c r="BT46" i="23"/>
  <c r="CJ19" i="18" s="1"/>
  <c r="H28" i="23"/>
  <c r="CJ31" i="18"/>
  <c r="CJ30" i="18" s="1"/>
  <c r="CJ27" i="18" s="1"/>
  <c r="BK24" i="16"/>
  <c r="BL24" i="16"/>
  <c r="BM24" i="16"/>
  <c r="BN24" i="16"/>
  <c r="P209" i="20"/>
  <c r="O511" i="20"/>
  <c r="G520" i="20" s="1"/>
  <c r="CE30" i="18"/>
  <c r="CE27" i="18" s="1"/>
  <c r="Z30" i="21"/>
  <c r="K64" i="23"/>
  <c r="AF63" i="27"/>
  <c r="AF62" i="27" s="1"/>
  <c r="AF11" i="27"/>
  <c r="AG7" i="27"/>
  <c r="AP55" i="25"/>
  <c r="AP48" i="25"/>
  <c r="AD106" i="19"/>
  <c r="AD109" i="19" s="1"/>
  <c r="AC22" i="19"/>
  <c r="Z15" i="17"/>
  <c r="BS58" i="16"/>
  <c r="X23" i="15"/>
  <c r="BS46" i="23"/>
  <c r="CI19" i="18" s="1"/>
  <c r="BT16" i="15"/>
  <c r="AD10" i="27"/>
  <c r="AD4" i="27" s="1"/>
  <c r="Y94" i="19"/>
  <c r="Z19" i="17" s="1"/>
  <c r="BZ44" i="23"/>
  <c r="CA10" i="15"/>
  <c r="E123" i="20"/>
  <c r="X25" i="15"/>
  <c r="Z93" i="19" s="1"/>
  <c r="K359" i="20"/>
  <c r="V20" i="19"/>
  <c r="V19" i="19" s="1"/>
  <c r="W92" i="19"/>
  <c r="W95" i="19" s="1"/>
  <c r="P206" i="20"/>
  <c r="BJ61" i="16"/>
  <c r="BJ63" i="16" s="1"/>
  <c r="BJ17" i="16"/>
  <c r="Q33" i="17"/>
  <c r="H211" i="20"/>
  <c r="BY44" i="23"/>
  <c r="BZ10" i="15"/>
  <c r="CI31" i="18"/>
  <c r="CV279" i="37" l="1"/>
  <c r="L88" i="4"/>
  <c r="H621" i="20"/>
  <c r="I621" i="20"/>
  <c r="F621" i="20"/>
  <c r="G621" i="20"/>
  <c r="BU50" i="23"/>
  <c r="BV50" i="23"/>
  <c r="BT50" i="23"/>
  <c r="BS50" i="23"/>
  <c r="X151" i="19"/>
  <c r="BR58" i="23"/>
  <c r="BR66" i="23" s="1"/>
  <c r="BQ58" i="23"/>
  <c r="BQ66" i="23" s="1"/>
  <c r="J272" i="20"/>
  <c r="J274" i="20" s="1"/>
  <c r="T281" i="20"/>
  <c r="G310" i="20" s="1"/>
  <c r="F125" i="20"/>
  <c r="BV56" i="16"/>
  <c r="BV18" i="16" s="1"/>
  <c r="BV49" i="23"/>
  <c r="BU16" i="15"/>
  <c r="BT49" i="23"/>
  <c r="BU56" i="16"/>
  <c r="BU18" i="16" s="1"/>
  <c r="BU49" i="23"/>
  <c r="AF35" i="25"/>
  <c r="AF219" i="25" s="1"/>
  <c r="AF211" i="25"/>
  <c r="AF213" i="25" s="1"/>
  <c r="AF215" i="25" s="1"/>
  <c r="AF51" i="25"/>
  <c r="AF53" i="25" s="1"/>
  <c r="CW267" i="37"/>
  <c r="E737" i="20" s="1"/>
  <c r="I737" i="20" s="1"/>
  <c r="AF319" i="25"/>
  <c r="CX37" i="37"/>
  <c r="CX12" i="37"/>
  <c r="CY215" i="37"/>
  <c r="CY208" i="37"/>
  <c r="CT38" i="37"/>
  <c r="CT141" i="37"/>
  <c r="AI117" i="25"/>
  <c r="AI49" i="25" s="1"/>
  <c r="AI35" i="25" s="1"/>
  <c r="AI57" i="25" s="1"/>
  <c r="DF117" i="37"/>
  <c r="DF122" i="37" s="1"/>
  <c r="DF53" i="37" s="1"/>
  <c r="DF209" i="37" s="1"/>
  <c r="DG117" i="37"/>
  <c r="DG122" i="37" s="1"/>
  <c r="DG53" i="37" s="1"/>
  <c r="DG209" i="37" s="1"/>
  <c r="DH117" i="37"/>
  <c r="DH122" i="37" s="1"/>
  <c r="DH53" i="37" s="1"/>
  <c r="DH209" i="37" s="1"/>
  <c r="DI117" i="37"/>
  <c r="DI122" i="37" s="1"/>
  <c r="DI53" i="37" s="1"/>
  <c r="DI209" i="37" s="1"/>
  <c r="CX59" i="37"/>
  <c r="CX52" i="37"/>
  <c r="CY137" i="37"/>
  <c r="CZ28" i="37"/>
  <c r="CZ205" i="37" s="1"/>
  <c r="CZ206" i="37" s="1"/>
  <c r="CY49" i="37"/>
  <c r="CY50" i="37" s="1"/>
  <c r="CY31" i="37"/>
  <c r="CY32" i="37" s="1"/>
  <c r="CW38" i="37"/>
  <c r="CW141" i="37"/>
  <c r="AG117" i="25"/>
  <c r="AG49" i="25" s="1"/>
  <c r="AG35" i="25" s="1"/>
  <c r="CX117" i="37"/>
  <c r="CX122" i="37" s="1"/>
  <c r="CX53" i="37" s="1"/>
  <c r="CX209" i="37" s="1"/>
  <c r="CY117" i="37"/>
  <c r="CY122" i="37" s="1"/>
  <c r="CY53" i="37" s="1"/>
  <c r="CY209" i="37" s="1"/>
  <c r="CZ117" i="37"/>
  <c r="CZ122" i="37" s="1"/>
  <c r="CZ53" i="37" s="1"/>
  <c r="CZ209" i="37" s="1"/>
  <c r="DA117" i="37"/>
  <c r="DA122" i="37" s="1"/>
  <c r="DA53" i="37" s="1"/>
  <c r="DA209" i="37" s="1"/>
  <c r="AH117" i="25"/>
  <c r="AH49" i="25" s="1"/>
  <c r="AH35" i="25" s="1"/>
  <c r="DB117" i="37"/>
  <c r="DB122" i="37" s="1"/>
  <c r="DB53" i="37" s="1"/>
  <c r="DB209" i="37" s="1"/>
  <c r="DC117" i="37"/>
  <c r="DC122" i="37" s="1"/>
  <c r="DC53" i="37" s="1"/>
  <c r="DC209" i="37" s="1"/>
  <c r="DD117" i="37"/>
  <c r="DD122" i="37" s="1"/>
  <c r="DD53" i="37" s="1"/>
  <c r="DD209" i="37" s="1"/>
  <c r="DE117" i="37"/>
  <c r="DE122" i="37" s="1"/>
  <c r="DE53" i="37" s="1"/>
  <c r="DE209" i="37" s="1"/>
  <c r="CV141" i="37"/>
  <c r="CV38" i="37"/>
  <c r="CU38" i="37"/>
  <c r="CU141" i="37"/>
  <c r="AG209" i="37"/>
  <c r="AG211" i="37" s="1"/>
  <c r="AG213" i="37" s="1"/>
  <c r="AG214" i="37" s="1"/>
  <c r="AG216" i="37" s="1"/>
  <c r="AG15" i="37" s="1"/>
  <c r="AG270" i="37" s="1"/>
  <c r="AG141" i="37"/>
  <c r="AG143" i="37" s="1"/>
  <c r="AG145" i="37" s="1"/>
  <c r="AG55" i="37"/>
  <c r="AG57" i="37" s="1"/>
  <c r="AG58" i="37" s="1"/>
  <c r="AG60" i="37" s="1"/>
  <c r="AG13" i="37" s="1"/>
  <c r="AG268" i="37" s="1"/>
  <c r="AG38" i="37"/>
  <c r="AG149" i="37" s="1"/>
  <c r="AH209" i="37"/>
  <c r="AH211" i="37" s="1"/>
  <c r="AH213" i="37" s="1"/>
  <c r="AH214" i="37" s="1"/>
  <c r="AH216" i="37" s="1"/>
  <c r="AH15" i="37" s="1"/>
  <c r="AH270" i="37" s="1"/>
  <c r="AH141" i="37"/>
  <c r="AH143" i="37" s="1"/>
  <c r="AH145" i="37" s="1"/>
  <c r="AH55" i="37"/>
  <c r="AH57" i="37" s="1"/>
  <c r="AH58" i="37" s="1"/>
  <c r="AH60" i="37" s="1"/>
  <c r="AH13" i="37" s="1"/>
  <c r="AH268" i="37" s="1"/>
  <c r="AH38" i="37"/>
  <c r="AH217" i="37" s="1"/>
  <c r="AI53" i="37"/>
  <c r="AR210" i="37"/>
  <c r="AR142" i="37"/>
  <c r="AG217" i="37"/>
  <c r="AQ37" i="37"/>
  <c r="AQ12" i="37"/>
  <c r="AQ267" i="37" s="1"/>
  <c r="AR205" i="37"/>
  <c r="AR206" i="37" s="1"/>
  <c r="AR137" i="37"/>
  <c r="AR49" i="37"/>
  <c r="AR50" i="37" s="1"/>
  <c r="AQ59" i="37"/>
  <c r="AQ52" i="37"/>
  <c r="AQ215" i="37"/>
  <c r="AQ208" i="37"/>
  <c r="L21" i="2"/>
  <c r="L48" i="2"/>
  <c r="F967" i="20"/>
  <c r="G964" i="20"/>
  <c r="W31" i="2"/>
  <c r="W15" i="2" s="1"/>
  <c r="M32" i="2"/>
  <c r="M16" i="2" s="1"/>
  <c r="W27" i="2"/>
  <c r="W42" i="2"/>
  <c r="V19" i="2"/>
  <c r="V20" i="2"/>
  <c r="W35" i="2"/>
  <c r="W49" i="2"/>
  <c r="W28" i="2"/>
  <c r="W43" i="2"/>
  <c r="X44" i="2"/>
  <c r="X10" i="2"/>
  <c r="X29" i="2"/>
  <c r="X9" i="2"/>
  <c r="Y11" i="2"/>
  <c r="N58" i="4"/>
  <c r="O55" i="4" s="1"/>
  <c r="O36" i="2" s="1"/>
  <c r="M77" i="36"/>
  <c r="N63" i="4"/>
  <c r="N32" i="2" s="1"/>
  <c r="N16" i="2" s="1"/>
  <c r="N509" i="20"/>
  <c r="F518" i="20" s="1"/>
  <c r="BW16" i="15"/>
  <c r="G222" i="20"/>
  <c r="Y12" i="17"/>
  <c r="P204" i="20" s="1"/>
  <c r="P220" i="20" s="1"/>
  <c r="BV16" i="15"/>
  <c r="X21" i="15"/>
  <c r="X22" i="15"/>
  <c r="W29" i="15"/>
  <c r="CA7" i="15"/>
  <c r="BX7" i="15"/>
  <c r="CA6" i="15"/>
  <c r="CA5" i="15" s="1"/>
  <c r="Y23" i="24"/>
  <c r="BY7" i="15"/>
  <c r="BZ6" i="15"/>
  <c r="BZ5" i="15" s="1"/>
  <c r="BY6" i="15"/>
  <c r="BY5" i="15" s="1"/>
  <c r="Y29" i="24"/>
  <c r="Y30" i="24" s="1"/>
  <c r="BX6" i="15"/>
  <c r="BX5" i="15" s="1"/>
  <c r="D123" i="20"/>
  <c r="Y34" i="24"/>
  <c r="BZ7" i="15"/>
  <c r="BT56" i="16"/>
  <c r="BT18" i="16" s="1"/>
  <c r="AB17" i="24"/>
  <c r="AA18" i="24"/>
  <c r="AA19" i="24"/>
  <c r="AA20" i="24" s="1"/>
  <c r="Z21" i="24"/>
  <c r="Z13" i="17"/>
  <c r="BO66" i="23"/>
  <c r="BS66" i="23"/>
  <c r="M59" i="4"/>
  <c r="L78" i="36"/>
  <c r="V89" i="16"/>
  <c r="V90" i="16" s="1"/>
  <c r="Z95" i="16" s="1"/>
  <c r="X8" i="17"/>
  <c r="BW11" i="18"/>
  <c r="X10" i="21" s="1"/>
  <c r="AC30" i="11"/>
  <c r="AB29" i="11"/>
  <c r="AH15" i="13"/>
  <c r="BP40" i="13"/>
  <c r="BQ40" i="13"/>
  <c r="BP45" i="16" s="1"/>
  <c r="BP13" i="16" s="1"/>
  <c r="CF11" i="18" s="1"/>
  <c r="BR40" i="13"/>
  <c r="BQ45" i="16" s="1"/>
  <c r="BQ13" i="16" s="1"/>
  <c r="CG11" i="18" s="1"/>
  <c r="BS40" i="13"/>
  <c r="BR45" i="16" s="1"/>
  <c r="BR13" i="16" s="1"/>
  <c r="CH11" i="18" s="1"/>
  <c r="BK45" i="16"/>
  <c r="BK13" i="16" s="1"/>
  <c r="V62" i="13"/>
  <c r="CE62" i="16"/>
  <c r="CE25" i="16" s="1"/>
  <c r="AD20" i="17" s="1"/>
  <c r="U210" i="20" s="1"/>
  <c r="H237" i="20" s="1"/>
  <c r="AD24" i="21"/>
  <c r="AB32" i="15"/>
  <c r="AB34" i="15"/>
  <c r="AC28" i="15" s="1"/>
  <c r="AC27" i="15" s="1"/>
  <c r="CN15" i="15" s="1"/>
  <c r="DC25" i="18" s="1"/>
  <c r="BC10" i="16"/>
  <c r="BC49" i="16"/>
  <c r="BN7" i="18"/>
  <c r="AX13" i="23"/>
  <c r="BD10" i="16"/>
  <c r="BD49" i="16"/>
  <c r="BL36" i="13"/>
  <c r="BL35" i="13" s="1"/>
  <c r="BM36" i="13"/>
  <c r="BM35" i="13" s="1"/>
  <c r="BN36" i="13"/>
  <c r="BN35" i="13" s="1"/>
  <c r="AF10" i="13"/>
  <c r="AF9" i="13" s="1"/>
  <c r="BO36" i="13"/>
  <c r="BO35" i="13" s="1"/>
  <c r="BJ42" i="16"/>
  <c r="BK48" i="13"/>
  <c r="I512" i="20"/>
  <c r="I514" i="20" s="1"/>
  <c r="I513" i="20"/>
  <c r="BF10" i="16"/>
  <c r="BF49" i="16"/>
  <c r="BJ48" i="13"/>
  <c r="BI42" i="16"/>
  <c r="J202" i="20"/>
  <c r="J219" i="20" s="1"/>
  <c r="J221" i="20"/>
  <c r="BB9" i="16"/>
  <c r="BB26" i="16" s="1"/>
  <c r="BR8" i="18"/>
  <c r="BH42" i="16"/>
  <c r="BI48" i="13"/>
  <c r="BO8" i="18"/>
  <c r="AY9" i="16"/>
  <c r="AY26" i="16" s="1"/>
  <c r="V5" i="17"/>
  <c r="BL7" i="18"/>
  <c r="T611" i="20" s="1"/>
  <c r="AV13" i="23"/>
  <c r="BG42" i="16"/>
  <c r="U59" i="13"/>
  <c r="U65" i="13" s="1"/>
  <c r="BH48" i="13"/>
  <c r="BM7" i="18"/>
  <c r="U611" i="20" s="1"/>
  <c r="AW13" i="23"/>
  <c r="BE10" i="16"/>
  <c r="BE49" i="16"/>
  <c r="K273" i="20"/>
  <c r="T6" i="21"/>
  <c r="AB22" i="11"/>
  <c r="AH7" i="13" s="1"/>
  <c r="AH6" i="13" s="1"/>
  <c r="AC23" i="11"/>
  <c r="U4" i="17"/>
  <c r="L201" i="20"/>
  <c r="B201" i="20" s="1"/>
  <c r="K200" i="20"/>
  <c r="K202" i="20" s="1"/>
  <c r="K219" i="20" s="1"/>
  <c r="J508" i="20"/>
  <c r="J510" i="20" s="1"/>
  <c r="AI125" i="25"/>
  <c r="AI122" i="25" s="1"/>
  <c r="AI126" i="25" s="1"/>
  <c r="AJ127" i="25" s="1"/>
  <c r="AJ112" i="25" s="1"/>
  <c r="T21" i="17"/>
  <c r="K211" i="20" s="1"/>
  <c r="P85" i="20"/>
  <c r="F88" i="20" s="1"/>
  <c r="F89" i="20" s="1"/>
  <c r="AG11" i="13"/>
  <c r="BQ8" i="18"/>
  <c r="BA9" i="16"/>
  <c r="BA26" i="16" s="1"/>
  <c r="BP8" i="18"/>
  <c r="AZ9" i="16"/>
  <c r="AZ26" i="16" s="1"/>
  <c r="AU13" i="23"/>
  <c r="BK7" i="18"/>
  <c r="S611" i="20" s="1"/>
  <c r="U7" i="21"/>
  <c r="P13" i="19"/>
  <c r="Q85" i="19"/>
  <c r="P89" i="19"/>
  <c r="CF8" i="15"/>
  <c r="CG8" i="15"/>
  <c r="CH8" i="15"/>
  <c r="CI8" i="15"/>
  <c r="L184" i="19"/>
  <c r="L15" i="19" s="1"/>
  <c r="M180" i="19"/>
  <c r="L185" i="19"/>
  <c r="L33" i="19" s="1"/>
  <c r="L30" i="19" s="1"/>
  <c r="Q206" i="20"/>
  <c r="K61" i="23"/>
  <c r="BN61" i="16"/>
  <c r="BN63" i="16" s="1"/>
  <c r="BN17" i="16"/>
  <c r="BM61" i="16"/>
  <c r="BM63" i="16" s="1"/>
  <c r="BM17" i="16"/>
  <c r="BL61" i="16"/>
  <c r="BL63" i="16" s="1"/>
  <c r="BL17" i="16"/>
  <c r="Y111" i="16"/>
  <c r="AS50" i="25"/>
  <c r="AR145" i="25"/>
  <c r="AR123" i="25"/>
  <c r="AR212" i="25"/>
  <c r="AS26" i="25"/>
  <c r="AR45" i="25"/>
  <c r="AR46" i="25" s="1"/>
  <c r="AR29" i="25"/>
  <c r="AR30" i="25" s="1"/>
  <c r="AR140" i="25"/>
  <c r="AR207" i="25"/>
  <c r="AR208" i="25" s="1"/>
  <c r="BW58" i="16"/>
  <c r="BW46" i="23"/>
  <c r="CM19" i="18" s="1"/>
  <c r="Y23" i="15"/>
  <c r="AA30" i="21"/>
  <c r="CI30" i="18"/>
  <c r="CI27" i="18" s="1"/>
  <c r="CP31" i="18"/>
  <c r="CP30" i="18" s="1"/>
  <c r="CP27" i="18" s="1"/>
  <c r="AG63" i="27"/>
  <c r="AG62" i="27" s="1"/>
  <c r="AG11" i="27"/>
  <c r="AH7" i="27"/>
  <c r="BK61" i="16"/>
  <c r="BK63" i="16" s="1"/>
  <c r="BK17" i="16"/>
  <c r="P284" i="20"/>
  <c r="Y26" i="21"/>
  <c r="P283" i="20" s="1"/>
  <c r="AQ217" i="25"/>
  <c r="AQ210" i="25"/>
  <c r="CD58" i="16"/>
  <c r="CD46" i="23"/>
  <c r="CT19" i="18" s="1"/>
  <c r="AD21" i="19"/>
  <c r="AE99" i="19"/>
  <c r="AE102" i="19" s="1"/>
  <c r="CN31" i="18"/>
  <c r="CN30" i="18" s="1"/>
  <c r="CN27" i="18" s="1"/>
  <c r="X134" i="16"/>
  <c r="X133" i="16"/>
  <c r="X132" i="16"/>
  <c r="CE10" i="15"/>
  <c r="CD44" i="23"/>
  <c r="CC58" i="16"/>
  <c r="CC46" i="23"/>
  <c r="CS19" i="18" s="1"/>
  <c r="W20" i="19"/>
  <c r="W19" i="19" s="1"/>
  <c r="X92" i="19"/>
  <c r="X95" i="19" s="1"/>
  <c r="AA18" i="21"/>
  <c r="R278" i="20" s="1"/>
  <c r="E307" i="20" s="1"/>
  <c r="CO31" i="18"/>
  <c r="CO30" i="18" s="1"/>
  <c r="CO27" i="18" s="1"/>
  <c r="V17" i="19"/>
  <c r="M356" i="20" s="1"/>
  <c r="M358" i="20"/>
  <c r="CH11" i="15"/>
  <c r="CI11" i="15"/>
  <c r="AF10" i="27"/>
  <c r="AF4" i="27" s="1"/>
  <c r="AF5" i="27"/>
  <c r="CF11" i="15"/>
  <c r="CG11" i="15"/>
  <c r="E124" i="20"/>
  <c r="Y25" i="15"/>
  <c r="AA93" i="19" s="1"/>
  <c r="BU20" i="16"/>
  <c r="Y119" i="16"/>
  <c r="Y122" i="16"/>
  <c r="Y117" i="16"/>
  <c r="Y125" i="16"/>
  <c r="Y120" i="16"/>
  <c r="Y123" i="16"/>
  <c r="Y118" i="16"/>
  <c r="Y126" i="16"/>
  <c r="Y121" i="16"/>
  <c r="Y124" i="16"/>
  <c r="U129" i="16"/>
  <c r="AQ55" i="25"/>
  <c r="AQ48" i="25"/>
  <c r="CB58" i="16"/>
  <c r="CB46" i="23"/>
  <c r="CR19" i="18" s="1"/>
  <c r="S105" i="16"/>
  <c r="T100" i="16"/>
  <c r="T103" i="16" s="1"/>
  <c r="S104" i="16"/>
  <c r="CF12" i="15"/>
  <c r="CE45" i="23" s="1"/>
  <c r="CG12" i="15"/>
  <c r="CF45" i="23" s="1"/>
  <c r="CH12" i="15"/>
  <c r="CG45" i="23" s="1"/>
  <c r="CI12" i="15"/>
  <c r="CH45" i="23" s="1"/>
  <c r="CM31" i="18"/>
  <c r="BV20" i="16"/>
  <c r="AQ11" i="25"/>
  <c r="AQ268" i="25" s="1"/>
  <c r="AQ34" i="25"/>
  <c r="CC44" i="23"/>
  <c r="CD10" i="15"/>
  <c r="CA58" i="16"/>
  <c r="CA46" i="23"/>
  <c r="CQ19" i="18" s="1"/>
  <c r="Z23" i="15"/>
  <c r="AD22" i="19"/>
  <c r="AE106" i="19"/>
  <c r="AE109" i="19" s="1"/>
  <c r="BT20" i="16"/>
  <c r="H221" i="20"/>
  <c r="BZ58" i="16"/>
  <c r="BZ46" i="23"/>
  <c r="CP19" i="18" s="1"/>
  <c r="CB44" i="23"/>
  <c r="CC10" i="15"/>
  <c r="BS20" i="16"/>
  <c r="BR24" i="16"/>
  <c r="BO24" i="16"/>
  <c r="BP24" i="16"/>
  <c r="BQ24" i="16"/>
  <c r="Q209" i="20"/>
  <c r="D236" i="20" s="1"/>
  <c r="P511" i="20"/>
  <c r="H520" i="20" s="1"/>
  <c r="Q285" i="20"/>
  <c r="D314" i="20" s="1"/>
  <c r="Z29" i="21"/>
  <c r="L359" i="20"/>
  <c r="BY58" i="16"/>
  <c r="BY46" i="23"/>
  <c r="CO19" i="18" s="1"/>
  <c r="Z94" i="19"/>
  <c r="AA19" i="17" s="1"/>
  <c r="H216" i="20"/>
  <c r="Z109" i="16"/>
  <c r="Z111" i="16" s="1"/>
  <c r="X43" i="18"/>
  <c r="H29" i="23"/>
  <c r="H24" i="23" s="1"/>
  <c r="BX58" i="16"/>
  <c r="BX46" i="23"/>
  <c r="CN19" i="18" s="1"/>
  <c r="CA44" i="23"/>
  <c r="CB10" i="15"/>
  <c r="CX267" i="37" l="1"/>
  <c r="E738" i="20" s="1"/>
  <c r="I738" i="20" s="1"/>
  <c r="AH648" i="20"/>
  <c r="CD50" i="23"/>
  <c r="K621" i="20"/>
  <c r="J621" i="20"/>
  <c r="L621" i="20"/>
  <c r="D611" i="20"/>
  <c r="CB50" i="23"/>
  <c r="CA50" i="23"/>
  <c r="CC50" i="23"/>
  <c r="BZ50" i="23"/>
  <c r="BW50" i="23"/>
  <c r="BX50" i="23"/>
  <c r="BY50" i="23"/>
  <c r="Y151" i="19"/>
  <c r="BT58" i="23"/>
  <c r="BT66" i="23" s="1"/>
  <c r="BV58" i="23"/>
  <c r="BV66" i="23" s="1"/>
  <c r="BU58" i="23"/>
  <c r="BU66" i="23" s="1"/>
  <c r="K272" i="20"/>
  <c r="K274" i="20" s="1"/>
  <c r="K294" i="20" s="1"/>
  <c r="AA13" i="17"/>
  <c r="R205" i="20" s="1"/>
  <c r="E232" i="20" s="1"/>
  <c r="U281" i="20"/>
  <c r="H310" i="20" s="1"/>
  <c r="F126" i="20"/>
  <c r="AF152" i="25"/>
  <c r="AF57" i="25"/>
  <c r="BZ49" i="23"/>
  <c r="BW56" i="16"/>
  <c r="BW18" i="16" s="1"/>
  <c r="BW49" i="23"/>
  <c r="BW58" i="23" s="1"/>
  <c r="BX49" i="23"/>
  <c r="BY49" i="23"/>
  <c r="CW277" i="37"/>
  <c r="CW279" i="37"/>
  <c r="AI144" i="25"/>
  <c r="AI146" i="25" s="1"/>
  <c r="AI148" i="25" s="1"/>
  <c r="AI211" i="25"/>
  <c r="AI213" i="25" s="1"/>
  <c r="AI215" i="25" s="1"/>
  <c r="AI216" i="25" s="1"/>
  <c r="AI218" i="25" s="1"/>
  <c r="AI14" i="25" s="1"/>
  <c r="AI271" i="25" s="1"/>
  <c r="J678" i="20" s="1"/>
  <c r="J683" i="20" s="1"/>
  <c r="AH144" i="25"/>
  <c r="AH146" i="25" s="1"/>
  <c r="AH148" i="25" s="1"/>
  <c r="AI51" i="25"/>
  <c r="AI53" i="25" s="1"/>
  <c r="AI54" i="25" s="1"/>
  <c r="AI56" i="25" s="1"/>
  <c r="AI12" i="25" s="1"/>
  <c r="AI269" i="25" s="1"/>
  <c r="J679" i="20" s="1"/>
  <c r="J684" i="20" s="1"/>
  <c r="AH211" i="25"/>
  <c r="AH213" i="25" s="1"/>
  <c r="AH215" i="25" s="1"/>
  <c r="AH216" i="25" s="1"/>
  <c r="AH218" i="25" s="1"/>
  <c r="AH14" i="25" s="1"/>
  <c r="AH271" i="25" s="1"/>
  <c r="I678" i="20" s="1"/>
  <c r="I683" i="20" s="1"/>
  <c r="AH51" i="25"/>
  <c r="AH53" i="25" s="1"/>
  <c r="AH54" i="25" s="1"/>
  <c r="AH56" i="25" s="1"/>
  <c r="AH12" i="25" s="1"/>
  <c r="AH269" i="25" s="1"/>
  <c r="I679" i="20" s="1"/>
  <c r="I684" i="20" s="1"/>
  <c r="AG211" i="25"/>
  <c r="AG213" i="25" s="1"/>
  <c r="AG215" i="25" s="1"/>
  <c r="AG216" i="25" s="1"/>
  <c r="AG218" i="25" s="1"/>
  <c r="AG14" i="25" s="1"/>
  <c r="AG271" i="25" s="1"/>
  <c r="H678" i="20" s="1"/>
  <c r="H683" i="20" s="1"/>
  <c r="CY37" i="37"/>
  <c r="CY12" i="37"/>
  <c r="CZ215" i="37"/>
  <c r="CZ208" i="37"/>
  <c r="AG51" i="25"/>
  <c r="AG53" i="25" s="1"/>
  <c r="AG54" i="25" s="1"/>
  <c r="AG56" i="25" s="1"/>
  <c r="AG12" i="25" s="1"/>
  <c r="AG269" i="25" s="1"/>
  <c r="DC141" i="37"/>
  <c r="DC38" i="37"/>
  <c r="DI38" i="37"/>
  <c r="DI141" i="37"/>
  <c r="AG144" i="25"/>
  <c r="AG146" i="25" s="1"/>
  <c r="AG148" i="25" s="1"/>
  <c r="DB38" i="37"/>
  <c r="DB141" i="37"/>
  <c r="DH38" i="37"/>
  <c r="DH141" i="37"/>
  <c r="DG38" i="37"/>
  <c r="DG141" i="37"/>
  <c r="DD38" i="37"/>
  <c r="DD141" i="37"/>
  <c r="DA141" i="37"/>
  <c r="DA38" i="37"/>
  <c r="CY52" i="37"/>
  <c r="CY59" i="37"/>
  <c r="DF141" i="37"/>
  <c r="DF38" i="37"/>
  <c r="AG61" i="37"/>
  <c r="CZ38" i="37"/>
  <c r="CZ141" i="37"/>
  <c r="CZ137" i="37"/>
  <c r="DA28" i="37"/>
  <c r="DA205" i="37" s="1"/>
  <c r="DA206" i="37" s="1"/>
  <c r="CZ49" i="37"/>
  <c r="CZ50" i="37" s="1"/>
  <c r="CZ31" i="37"/>
  <c r="CZ32" i="37" s="1"/>
  <c r="CY141" i="37"/>
  <c r="CY38" i="37"/>
  <c r="AJ117" i="25"/>
  <c r="AJ49" i="25" s="1"/>
  <c r="AJ51" i="25" s="1"/>
  <c r="AJ53" i="25" s="1"/>
  <c r="AJ54" i="25" s="1"/>
  <c r="AJ56" i="25" s="1"/>
  <c r="AJ12" i="25" s="1"/>
  <c r="AJ269" i="25" s="1"/>
  <c r="DJ117" i="37"/>
  <c r="DJ122" i="37" s="1"/>
  <c r="DJ53" i="37" s="1"/>
  <c r="DJ209" i="37" s="1"/>
  <c r="DK117" i="37"/>
  <c r="DK122" i="37" s="1"/>
  <c r="DK53" i="37" s="1"/>
  <c r="DK209" i="37" s="1"/>
  <c r="DL117" i="37"/>
  <c r="DL122" i="37" s="1"/>
  <c r="DL53" i="37" s="1"/>
  <c r="DL209" i="37" s="1"/>
  <c r="DM117" i="37"/>
  <c r="DM122" i="37" s="1"/>
  <c r="DM53" i="37" s="1"/>
  <c r="DM209" i="37" s="1"/>
  <c r="DE38" i="37"/>
  <c r="DE141" i="37"/>
  <c r="CX38" i="37"/>
  <c r="CX141" i="37"/>
  <c r="AH61" i="37"/>
  <c r="AH149" i="37"/>
  <c r="AI38" i="37"/>
  <c r="AI61" i="37" s="1"/>
  <c r="AI209" i="37"/>
  <c r="AI211" i="37" s="1"/>
  <c r="AI213" i="37" s="1"/>
  <c r="AI214" i="37" s="1"/>
  <c r="AI216" i="37" s="1"/>
  <c r="AI15" i="37" s="1"/>
  <c r="AI270" i="37" s="1"/>
  <c r="AI141" i="37"/>
  <c r="AI143" i="37" s="1"/>
  <c r="AI145" i="37" s="1"/>
  <c r="AI55" i="37"/>
  <c r="AI57" i="37" s="1"/>
  <c r="AI58" i="37" s="1"/>
  <c r="AI60" i="37" s="1"/>
  <c r="AI13" i="37" s="1"/>
  <c r="AI268" i="37" s="1"/>
  <c r="AJ53" i="37"/>
  <c r="AJ38" i="37" s="1"/>
  <c r="AR37" i="37"/>
  <c r="AR12" i="37"/>
  <c r="AR267" i="37" s="1"/>
  <c r="AS205" i="37"/>
  <c r="AS206" i="37" s="1"/>
  <c r="AS137" i="37"/>
  <c r="AS49" i="37"/>
  <c r="AS50" i="37" s="1"/>
  <c r="AS210" i="37"/>
  <c r="AS142" i="37"/>
  <c r="AR59" i="37"/>
  <c r="AR52" i="37"/>
  <c r="AR215" i="37"/>
  <c r="AR208" i="37"/>
  <c r="AI217" i="37"/>
  <c r="M50" i="2"/>
  <c r="L18" i="2"/>
  <c r="Q205" i="20"/>
  <c r="D232" i="20" s="1"/>
  <c r="X31" i="2"/>
  <c r="X15" i="2" s="1"/>
  <c r="X28" i="2"/>
  <c r="X43" i="2"/>
  <c r="W19" i="2"/>
  <c r="W20" i="2"/>
  <c r="Y44" i="2"/>
  <c r="X35" i="2"/>
  <c r="X49" i="2"/>
  <c r="X19" i="2" s="1"/>
  <c r="X27" i="2"/>
  <c r="X42" i="2"/>
  <c r="Y10" i="2"/>
  <c r="Y29" i="2"/>
  <c r="Y9" i="2"/>
  <c r="Z11" i="2"/>
  <c r="O509" i="20"/>
  <c r="G518" i="20" s="1"/>
  <c r="O63" i="4"/>
  <c r="O58" i="4"/>
  <c r="P55" i="4" s="1"/>
  <c r="P36" i="2" s="1"/>
  <c r="N77" i="36"/>
  <c r="N32" i="4"/>
  <c r="BX16" i="15"/>
  <c r="N34" i="2"/>
  <c r="J294" i="20"/>
  <c r="CA16" i="15"/>
  <c r="X29" i="15"/>
  <c r="BZ16" i="15"/>
  <c r="BY56" i="16"/>
  <c r="BY18" i="16" s="1"/>
  <c r="BZ56" i="16"/>
  <c r="BZ18" i="16" s="1"/>
  <c r="BY16" i="15"/>
  <c r="Z12" i="17"/>
  <c r="Q204" i="20" s="1"/>
  <c r="D231" i="20" s="1"/>
  <c r="BX56" i="16"/>
  <c r="BX18" i="16" s="1"/>
  <c r="Y22" i="15"/>
  <c r="Y21" i="15"/>
  <c r="D124" i="20"/>
  <c r="AA21" i="24"/>
  <c r="AA23" i="24" s="1"/>
  <c r="CC7" i="15"/>
  <c r="CD7" i="15"/>
  <c r="Z23" i="24"/>
  <c r="Z26" i="24"/>
  <c r="CB6" i="15"/>
  <c r="CB5" i="15" s="1"/>
  <c r="Z29" i="24"/>
  <c r="Z30" i="24" s="1"/>
  <c r="CC6" i="15"/>
  <c r="CC5" i="15" s="1"/>
  <c r="CE7" i="15"/>
  <c r="CD6" i="15"/>
  <c r="CD5" i="15" s="1"/>
  <c r="Z34" i="24"/>
  <c r="CB7" i="15"/>
  <c r="CE6" i="15"/>
  <c r="CE5" i="15" s="1"/>
  <c r="AB19" i="24"/>
  <c r="AB20" i="24" s="1"/>
  <c r="AC17" i="24"/>
  <c r="AB18" i="24"/>
  <c r="M62" i="4"/>
  <c r="M64" i="4"/>
  <c r="M28" i="4" s="1"/>
  <c r="M88" i="4" s="1"/>
  <c r="AI152" i="25"/>
  <c r="AI219" i="25"/>
  <c r="Y95" i="16"/>
  <c r="X95" i="16"/>
  <c r="V94" i="16"/>
  <c r="V96" i="16" s="1"/>
  <c r="W95" i="16"/>
  <c r="V35" i="16"/>
  <c r="V101" i="16" s="1"/>
  <c r="W62" i="13"/>
  <c r="BO45" i="16"/>
  <c r="BO13" i="16" s="1"/>
  <c r="BV40" i="13"/>
  <c r="BU45" i="16" s="1"/>
  <c r="BU13" i="16" s="1"/>
  <c r="CK11" i="18" s="1"/>
  <c r="BW40" i="13"/>
  <c r="BV45" i="16" s="1"/>
  <c r="BV13" i="16" s="1"/>
  <c r="CL11" i="18" s="1"/>
  <c r="BT40" i="13"/>
  <c r="BU40" i="13"/>
  <c r="BT45" i="16" s="1"/>
  <c r="BT13" i="16" s="1"/>
  <c r="CJ11" i="18" s="1"/>
  <c r="AC29" i="11"/>
  <c r="AI15" i="13"/>
  <c r="AD30" i="11"/>
  <c r="Y8" i="17"/>
  <c r="CA11" i="18"/>
  <c r="Y10" i="21" s="1"/>
  <c r="AC34" i="15"/>
  <c r="AD28" i="15" s="1"/>
  <c r="AD27" i="15" s="1"/>
  <c r="CR15" i="15" s="1"/>
  <c r="DG25" i="18" s="1"/>
  <c r="AC32" i="15"/>
  <c r="K221" i="20"/>
  <c r="AE24" i="21"/>
  <c r="CI62" i="16"/>
  <c r="CI25" i="16" s="1"/>
  <c r="AE20" i="17" s="1"/>
  <c r="V210" i="20" s="1"/>
  <c r="I237" i="20" s="1"/>
  <c r="J512" i="20"/>
  <c r="J514" i="20" s="1"/>
  <c r="J513" i="20"/>
  <c r="BL42" i="16"/>
  <c r="BM48" i="13"/>
  <c r="BU8" i="18"/>
  <c r="BE9" i="16"/>
  <c r="BE26" i="16" s="1"/>
  <c r="V4" i="17"/>
  <c r="M201" i="20"/>
  <c r="BK42" i="16"/>
  <c r="BL48" i="13"/>
  <c r="V59" i="13"/>
  <c r="V65" i="13" s="1"/>
  <c r="W5" i="17"/>
  <c r="BC9" i="16"/>
  <c r="BC26" i="16" s="1"/>
  <c r="BS8" i="18"/>
  <c r="BQ7" i="18"/>
  <c r="BA13" i="23"/>
  <c r="BI49" i="16"/>
  <c r="BI10" i="16"/>
  <c r="L273" i="20"/>
  <c r="B273" i="20" s="1"/>
  <c r="U6" i="21"/>
  <c r="L200" i="20"/>
  <c r="B200" i="20" s="1"/>
  <c r="AJ125" i="25"/>
  <c r="AJ122" i="25" s="1"/>
  <c r="AJ126" i="25" s="1"/>
  <c r="AK127" i="25" s="1"/>
  <c r="AK112" i="25" s="1"/>
  <c r="K508" i="20"/>
  <c r="K510" i="20" s="1"/>
  <c r="U21" i="17"/>
  <c r="L211" i="20" s="1"/>
  <c r="B211" i="20" s="1"/>
  <c r="BO7" i="18"/>
  <c r="V7" i="21"/>
  <c r="AY13" i="23"/>
  <c r="BQ36" i="13"/>
  <c r="BQ35" i="13" s="1"/>
  <c r="BR36" i="13"/>
  <c r="BR35" i="13" s="1"/>
  <c r="BS36" i="13"/>
  <c r="BS35" i="13" s="1"/>
  <c r="BP36" i="13"/>
  <c r="BP35" i="13" s="1"/>
  <c r="AG10" i="13"/>
  <c r="AG9" i="13" s="1"/>
  <c r="AC22" i="11"/>
  <c r="AI7" i="13" s="1"/>
  <c r="AI6" i="13" s="1"/>
  <c r="AD23" i="11"/>
  <c r="BJ10" i="16"/>
  <c r="BJ49" i="16"/>
  <c r="Q85" i="20"/>
  <c r="G88" i="20" s="1"/>
  <c r="G89" i="20" s="1"/>
  <c r="AH11" i="13"/>
  <c r="BH49" i="16"/>
  <c r="BH10" i="16"/>
  <c r="BV8" i="18"/>
  <c r="BF9" i="16"/>
  <c r="BF26" i="16" s="1"/>
  <c r="BN42" i="16"/>
  <c r="BO48" i="13"/>
  <c r="BT8" i="18"/>
  <c r="BD9" i="16"/>
  <c r="BD26" i="16" s="1"/>
  <c r="BG49" i="16"/>
  <c r="BG10" i="16"/>
  <c r="BR7" i="18"/>
  <c r="BB13" i="23"/>
  <c r="M359" i="20"/>
  <c r="BP7" i="18"/>
  <c r="AZ13" i="23"/>
  <c r="BN48" i="13"/>
  <c r="BM42" i="16"/>
  <c r="H30" i="23"/>
  <c r="I27" i="23" s="1"/>
  <c r="CJ8" i="15"/>
  <c r="CK8" i="15"/>
  <c r="CL8" i="15"/>
  <c r="CM8" i="15"/>
  <c r="CC20" i="16"/>
  <c r="CD20" i="16"/>
  <c r="AR217" i="25"/>
  <c r="AR210" i="25"/>
  <c r="CG58" i="16"/>
  <c r="CG46" i="23"/>
  <c r="CW19" i="18" s="1"/>
  <c r="Z128" i="16"/>
  <c r="BR61" i="16"/>
  <c r="BR63" i="16" s="1"/>
  <c r="BR17" i="16"/>
  <c r="AA94" i="19"/>
  <c r="AB19" i="17" s="1"/>
  <c r="AF106" i="19"/>
  <c r="AF109" i="19" s="1"/>
  <c r="AE22" i="19"/>
  <c r="CQ31" i="18"/>
  <c r="Q284" i="20"/>
  <c r="D313" i="20" s="1"/>
  <c r="Z26" i="21"/>
  <c r="Q283" i="20" s="1"/>
  <c r="D312" i="20" s="1"/>
  <c r="AB18" i="21"/>
  <c r="S278" i="20" s="1"/>
  <c r="F307" i="20" s="1"/>
  <c r="CF58" i="16"/>
  <c r="CF46" i="23"/>
  <c r="CV19" i="18" s="1"/>
  <c r="CH44" i="23"/>
  <c r="CI10" i="15"/>
  <c r="AF99" i="19"/>
  <c r="AF102" i="19" s="1"/>
  <c r="AE21" i="19"/>
  <c r="AI7" i="27"/>
  <c r="AH63" i="27"/>
  <c r="AH62" i="27" s="1"/>
  <c r="AH11" i="27"/>
  <c r="BW20" i="16"/>
  <c r="AR11" i="25"/>
  <c r="AR268" i="25" s="1"/>
  <c r="AR34" i="25"/>
  <c r="CE58" i="16"/>
  <c r="CE46" i="23"/>
  <c r="CU19" i="18" s="1"/>
  <c r="AA23" i="15"/>
  <c r="CE44" i="23"/>
  <c r="CF10" i="15"/>
  <c r="AH57" i="25"/>
  <c r="AH219" i="25"/>
  <c r="AH152" i="25"/>
  <c r="CS31" i="18"/>
  <c r="CS30" i="18" s="1"/>
  <c r="CS27" i="18" s="1"/>
  <c r="CG44" i="23"/>
  <c r="CH10" i="15"/>
  <c r="AR55" i="25"/>
  <c r="AR48" i="25"/>
  <c r="E125" i="20"/>
  <c r="Z25" i="15"/>
  <c r="AB93" i="19" s="1"/>
  <c r="CB20" i="16"/>
  <c r="BX20" i="16"/>
  <c r="X37" i="18"/>
  <c r="H23" i="23"/>
  <c r="R209" i="20"/>
  <c r="E236" i="20" s="1"/>
  <c r="Q511" i="20"/>
  <c r="I520" i="20" s="1"/>
  <c r="BS24" i="16"/>
  <c r="BS61" i="16" s="1"/>
  <c r="BS63" i="16" s="1"/>
  <c r="BT24" i="16"/>
  <c r="BT61" i="16" s="1"/>
  <c r="BT63" i="16" s="1"/>
  <c r="BU24" i="16"/>
  <c r="BU61" i="16" s="1"/>
  <c r="BU63" i="16" s="1"/>
  <c r="BV24" i="16"/>
  <c r="BV61" i="16" s="1"/>
  <c r="BV63" i="16" s="1"/>
  <c r="BY20" i="16"/>
  <c r="BQ61" i="16"/>
  <c r="BQ63" i="16" s="1"/>
  <c r="BQ17" i="16"/>
  <c r="CR31" i="18"/>
  <c r="CR30" i="18" s="1"/>
  <c r="CR27" i="18" s="1"/>
  <c r="AC18" i="21"/>
  <c r="T278" i="20" s="1"/>
  <c r="G307" i="20" s="1"/>
  <c r="T105" i="16"/>
  <c r="U100" i="16"/>
  <c r="U103" i="16" s="1"/>
  <c r="T104" i="16"/>
  <c r="CJ11" i="15"/>
  <c r="CK11" i="15"/>
  <c r="CL11" i="15"/>
  <c r="AG10" i="27"/>
  <c r="AG4" i="27" s="1"/>
  <c r="CM11" i="15"/>
  <c r="AG5" i="27"/>
  <c r="AS29" i="25"/>
  <c r="AS30" i="25" s="1"/>
  <c r="AT26" i="25"/>
  <c r="AS45" i="25"/>
  <c r="AS46" i="25" s="1"/>
  <c r="AS140" i="25"/>
  <c r="AS207" i="25"/>
  <c r="AS208" i="25" s="1"/>
  <c r="Q87" i="19"/>
  <c r="Q88" i="19" s="1"/>
  <c r="BO61" i="16"/>
  <c r="BO63" i="16" s="1"/>
  <c r="BO17" i="16"/>
  <c r="BZ20" i="16"/>
  <c r="H222" i="20"/>
  <c r="BP61" i="16"/>
  <c r="BP63" i="16" s="1"/>
  <c r="BP17" i="16"/>
  <c r="AA15" i="17"/>
  <c r="CA20" i="16"/>
  <c r="CM30" i="18"/>
  <c r="CM27" i="18" s="1"/>
  <c r="AB30" i="21"/>
  <c r="Y92" i="19"/>
  <c r="Y95" i="19" s="1"/>
  <c r="X20" i="19"/>
  <c r="X19" i="19" s="1"/>
  <c r="AG152" i="25"/>
  <c r="AG219" i="25"/>
  <c r="AG57" i="25"/>
  <c r="CK12" i="15"/>
  <c r="CJ45" i="23" s="1"/>
  <c r="CL12" i="15"/>
  <c r="CK45" i="23" s="1"/>
  <c r="CM12" i="15"/>
  <c r="CL45" i="23" s="1"/>
  <c r="CJ12" i="15"/>
  <c r="CI45" i="23" s="1"/>
  <c r="R285" i="20"/>
  <c r="E314" i="20" s="1"/>
  <c r="AA29" i="21"/>
  <c r="AS212" i="25"/>
  <c r="AT50" i="25"/>
  <c r="AS145" i="25"/>
  <c r="AS123" i="25"/>
  <c r="AF54" i="25"/>
  <c r="AF56" i="25" s="1"/>
  <c r="AF12" i="25" s="1"/>
  <c r="K62" i="23"/>
  <c r="G354" i="20"/>
  <c r="I959" i="20"/>
  <c r="G967" i="20" s="1"/>
  <c r="U130" i="16"/>
  <c r="U131" i="16"/>
  <c r="Y127" i="16"/>
  <c r="CF44" i="23"/>
  <c r="CG10" i="15"/>
  <c r="W17" i="19"/>
  <c r="N356" i="20" s="1"/>
  <c r="N358" i="20"/>
  <c r="CT31" i="18"/>
  <c r="CT30" i="18" s="1"/>
  <c r="CT27" i="18" s="1"/>
  <c r="AF216" i="25"/>
  <c r="AF218" i="25" s="1"/>
  <c r="AF14" i="25" s="1"/>
  <c r="Y128" i="16"/>
  <c r="X135" i="16"/>
  <c r="D233" i="20"/>
  <c r="CH58" i="16"/>
  <c r="CH46" i="23"/>
  <c r="CX19" i="18" s="1"/>
  <c r="CX279" i="37" l="1"/>
  <c r="CX277" i="37"/>
  <c r="CY267" i="37"/>
  <c r="E739" i="20" s="1"/>
  <c r="I739" i="20" s="1"/>
  <c r="AI648" i="20"/>
  <c r="CE50" i="23"/>
  <c r="CG50" i="23"/>
  <c r="CH50" i="23"/>
  <c r="CF50" i="23"/>
  <c r="Z151" i="19"/>
  <c r="BZ58" i="23"/>
  <c r="BZ66" i="23" s="1"/>
  <c r="BX58" i="23"/>
  <c r="BX66" i="23" s="1"/>
  <c r="BY58" i="23"/>
  <c r="BY66" i="23" s="1"/>
  <c r="L272" i="20"/>
  <c r="B272" i="20" s="1"/>
  <c r="V281" i="20"/>
  <c r="I310" i="20" s="1"/>
  <c r="F127" i="20"/>
  <c r="CB16" i="15"/>
  <c r="CA49" i="23"/>
  <c r="CA58" i="23" s="1"/>
  <c r="CE16" i="15"/>
  <c r="CD49" i="23"/>
  <c r="CD16" i="15"/>
  <c r="CC49" i="23"/>
  <c r="CC16" i="15"/>
  <c r="CB49" i="23"/>
  <c r="H679" i="20"/>
  <c r="H684" i="20" s="1"/>
  <c r="K679" i="20"/>
  <c r="CZ37" i="37"/>
  <c r="CZ12" i="37"/>
  <c r="DA215" i="37"/>
  <c r="DA208" i="37"/>
  <c r="AJ35" i="25"/>
  <c r="AJ219" i="25" s="1"/>
  <c r="DK38" i="37"/>
  <c r="DK141" i="37"/>
  <c r="DJ38" i="37"/>
  <c r="DJ141" i="37"/>
  <c r="AJ144" i="25"/>
  <c r="AJ146" i="25" s="1"/>
  <c r="AJ148" i="25" s="1"/>
  <c r="AJ211" i="25"/>
  <c r="AJ213" i="25" s="1"/>
  <c r="AJ215" i="25" s="1"/>
  <c r="AJ216" i="25" s="1"/>
  <c r="AJ218" i="25" s="1"/>
  <c r="AJ14" i="25" s="1"/>
  <c r="AJ271" i="25" s="1"/>
  <c r="DM141" i="37"/>
  <c r="DM38" i="37"/>
  <c r="CZ52" i="37"/>
  <c r="CZ59" i="37"/>
  <c r="AK117" i="25"/>
  <c r="AK49" i="25" s="1"/>
  <c r="AK35" i="25" s="1"/>
  <c r="DN117" i="37"/>
  <c r="DN122" i="37" s="1"/>
  <c r="DN53" i="37" s="1"/>
  <c r="DN209" i="37" s="1"/>
  <c r="DO117" i="37"/>
  <c r="DO122" i="37" s="1"/>
  <c r="DO53" i="37" s="1"/>
  <c r="DO209" i="37" s="1"/>
  <c r="DP117" i="37"/>
  <c r="DP122" i="37" s="1"/>
  <c r="DP53" i="37" s="1"/>
  <c r="DP209" i="37" s="1"/>
  <c r="DQ117" i="37"/>
  <c r="DQ122" i="37" s="1"/>
  <c r="DQ53" i="37" s="1"/>
  <c r="DQ209" i="37" s="1"/>
  <c r="DL38" i="37"/>
  <c r="DL141" i="37"/>
  <c r="DA137" i="37"/>
  <c r="DB28" i="37"/>
  <c r="DB205" i="37" s="1"/>
  <c r="DB206" i="37" s="1"/>
  <c r="DA49" i="37"/>
  <c r="DA50" i="37" s="1"/>
  <c r="DA31" i="37"/>
  <c r="DA32" i="37" s="1"/>
  <c r="AI149" i="37"/>
  <c r="AJ209" i="37"/>
  <c r="AJ211" i="37" s="1"/>
  <c r="AJ213" i="37" s="1"/>
  <c r="AJ214" i="37" s="1"/>
  <c r="AJ216" i="37" s="1"/>
  <c r="AJ15" i="37" s="1"/>
  <c r="AJ270" i="37" s="1"/>
  <c r="AJ141" i="37"/>
  <c r="AJ143" i="37" s="1"/>
  <c r="AJ145" i="37" s="1"/>
  <c r="AJ217" i="37"/>
  <c r="AJ55" i="37"/>
  <c r="AJ57" i="37" s="1"/>
  <c r="AJ58" i="37" s="1"/>
  <c r="AJ60" i="37" s="1"/>
  <c r="AJ13" i="37" s="1"/>
  <c r="AJ268" i="37" s="1"/>
  <c r="AK53" i="37"/>
  <c r="AS215" i="37"/>
  <c r="AS208" i="37"/>
  <c r="AT210" i="37"/>
  <c r="AT142" i="37"/>
  <c r="AS12" i="37"/>
  <c r="AS267" i="37" s="1"/>
  <c r="AS37" i="37"/>
  <c r="AS59" i="37"/>
  <c r="AS52" i="37"/>
  <c r="AT205" i="37"/>
  <c r="AT206" i="37" s="1"/>
  <c r="AT137" i="37"/>
  <c r="AT49" i="37"/>
  <c r="AT50" i="37" s="1"/>
  <c r="M21" i="2"/>
  <c r="M48" i="2"/>
  <c r="Y31" i="2"/>
  <c r="Y15" i="2" s="1"/>
  <c r="O32" i="2"/>
  <c r="O16" i="2" s="1"/>
  <c r="Y27" i="2"/>
  <c r="Y42" i="2"/>
  <c r="Y28" i="2"/>
  <c r="Y43" i="2"/>
  <c r="X20" i="2"/>
  <c r="Z44" i="2"/>
  <c r="Y35" i="2"/>
  <c r="Y49" i="2"/>
  <c r="Y19" i="2" s="1"/>
  <c r="Z10" i="2"/>
  <c r="Z29" i="2"/>
  <c r="AA11" i="2"/>
  <c r="Z9" i="2"/>
  <c r="P509" i="20"/>
  <c r="H518" i="20" s="1"/>
  <c r="P58" i="4"/>
  <c r="Q55" i="4" s="1"/>
  <c r="Q36" i="2" s="1"/>
  <c r="O32" i="4"/>
  <c r="O77" i="36"/>
  <c r="P63" i="4"/>
  <c r="P32" i="4" s="1"/>
  <c r="CH6" i="15"/>
  <c r="CH5" i="15" s="1"/>
  <c r="AA29" i="24"/>
  <c r="AA30" i="24" s="1"/>
  <c r="CH7" i="15"/>
  <c r="AB13" i="17"/>
  <c r="Y29" i="15"/>
  <c r="AA34" i="24"/>
  <c r="BW66" i="23"/>
  <c r="CG6" i="15"/>
  <c r="CG5" i="15" s="1"/>
  <c r="CF7" i="15"/>
  <c r="AA26" i="24"/>
  <c r="CF6" i="15"/>
  <c r="CF5" i="15" s="1"/>
  <c r="CG7" i="15"/>
  <c r="CI7" i="15"/>
  <c r="CI6" i="15"/>
  <c r="CI5" i="15" s="1"/>
  <c r="AB21" i="24"/>
  <c r="CB56" i="16"/>
  <c r="CB18" i="16" s="1"/>
  <c r="AC19" i="24"/>
  <c r="AC20" i="24" s="1"/>
  <c r="AC18" i="24"/>
  <c r="AD17" i="24"/>
  <c r="CA56" i="16"/>
  <c r="CA18" i="16" s="1"/>
  <c r="Z21" i="15"/>
  <c r="D125" i="20"/>
  <c r="CD56" i="16"/>
  <c r="CD18" i="16" s="1"/>
  <c r="Z22" i="15"/>
  <c r="CC56" i="16"/>
  <c r="CC18" i="16" s="1"/>
  <c r="N59" i="4"/>
  <c r="M78" i="36"/>
  <c r="G93" i="36" s="1"/>
  <c r="V36" i="16"/>
  <c r="N34" i="17"/>
  <c r="E217" i="20" s="1"/>
  <c r="W94" i="16"/>
  <c r="X94" i="16" s="1"/>
  <c r="X96" i="16" s="1"/>
  <c r="X102" i="16" s="1"/>
  <c r="AN26" i="18" s="1"/>
  <c r="X14" i="23" s="1"/>
  <c r="BZ40" i="13"/>
  <c r="BY45" i="16" s="1"/>
  <c r="BY13" i="16" s="1"/>
  <c r="CO11" i="18" s="1"/>
  <c r="CA40" i="13"/>
  <c r="BZ45" i="16" s="1"/>
  <c r="BZ13" i="16" s="1"/>
  <c r="CP11" i="18" s="1"/>
  <c r="BX40" i="13"/>
  <c r="BY40" i="13"/>
  <c r="BX45" i="16" s="1"/>
  <c r="BX13" i="16" s="1"/>
  <c r="CN11" i="18" s="1"/>
  <c r="BS45" i="16"/>
  <c r="BS13" i="16" s="1"/>
  <c r="X62" i="13"/>
  <c r="CE11" i="18"/>
  <c r="Z10" i="21" s="1"/>
  <c r="Z8" i="17"/>
  <c r="AD29" i="11"/>
  <c r="AJ15" i="13"/>
  <c r="AE30" i="11"/>
  <c r="BU17" i="16"/>
  <c r="AD34" i="15"/>
  <c r="AE28" i="15" s="1"/>
  <c r="AE27" i="15" s="1"/>
  <c r="CV15" i="15" s="1"/>
  <c r="DK25" i="18" s="1"/>
  <c r="AD32" i="15"/>
  <c r="CM62" i="16"/>
  <c r="CM25" i="16" s="1"/>
  <c r="AF20" i="17" s="1"/>
  <c r="W210" i="20" s="1"/>
  <c r="J237" i="20" s="1"/>
  <c r="AF24" i="21"/>
  <c r="BG9" i="16"/>
  <c r="BG26" i="16" s="1"/>
  <c r="X5" i="17"/>
  <c r="BW8" i="18"/>
  <c r="AD22" i="11"/>
  <c r="AJ7" i="13" s="1"/>
  <c r="AJ6" i="13" s="1"/>
  <c r="AE23" i="11"/>
  <c r="V6" i="21"/>
  <c r="M272" i="20" s="1"/>
  <c r="M273" i="20"/>
  <c r="BI9" i="16"/>
  <c r="BI26" i="16" s="1"/>
  <c r="BY8" i="18"/>
  <c r="BV7" i="18"/>
  <c r="BF13" i="23"/>
  <c r="R85" i="20"/>
  <c r="H88" i="20" s="1"/>
  <c r="H89" i="20" s="1"/>
  <c r="AI11" i="13"/>
  <c r="BK10" i="16"/>
  <c r="BK49" i="16"/>
  <c r="BH9" i="16"/>
  <c r="BH26" i="16" s="1"/>
  <c r="BX8" i="18"/>
  <c r="BP48" i="13"/>
  <c r="BO42" i="16"/>
  <c r="W59" i="13"/>
  <c r="W65" i="13" s="1"/>
  <c r="K512" i="20"/>
  <c r="K514" i="20" s="1"/>
  <c r="K513" i="20"/>
  <c r="V21" i="17"/>
  <c r="M211" i="20" s="1"/>
  <c r="AK125" i="25"/>
  <c r="AK122" i="25" s="1"/>
  <c r="AK126" i="25" s="1"/>
  <c r="AL127" i="25" s="1"/>
  <c r="AL112" i="25" s="1"/>
  <c r="M200" i="20"/>
  <c r="L508" i="20"/>
  <c r="BS17" i="16"/>
  <c r="BM10" i="16"/>
  <c r="BM49" i="16"/>
  <c r="BV36" i="13"/>
  <c r="BV35" i="13" s="1"/>
  <c r="AH10" i="13"/>
  <c r="AH9" i="13" s="1"/>
  <c r="BW36" i="13"/>
  <c r="BW35" i="13" s="1"/>
  <c r="BT36" i="13"/>
  <c r="BT35" i="13" s="1"/>
  <c r="BU36" i="13"/>
  <c r="BU35" i="13" s="1"/>
  <c r="BR42" i="16"/>
  <c r="BS48" i="13"/>
  <c r="BC13" i="23"/>
  <c r="W7" i="21"/>
  <c r="BS7" i="18"/>
  <c r="BT7" i="18"/>
  <c r="BD13" i="23"/>
  <c r="BQ42" i="16"/>
  <c r="BR48" i="13"/>
  <c r="L202" i="20"/>
  <c r="L221" i="20"/>
  <c r="BE13" i="23"/>
  <c r="BU7" i="18"/>
  <c r="BP42" i="16"/>
  <c r="BQ48" i="13"/>
  <c r="N201" i="20"/>
  <c r="W4" i="17"/>
  <c r="BN10" i="16"/>
  <c r="BN49" i="16"/>
  <c r="BZ8" i="18"/>
  <c r="BJ9" i="16"/>
  <c r="BJ26" i="16" s="1"/>
  <c r="BL10" i="16"/>
  <c r="BL49" i="16"/>
  <c r="BT17" i="16"/>
  <c r="CN8" i="15"/>
  <c r="CO8" i="15"/>
  <c r="CP8" i="15"/>
  <c r="CQ8" i="15"/>
  <c r="Q13" i="19"/>
  <c r="H354" i="20" s="1"/>
  <c r="R85" i="19"/>
  <c r="N359" i="20"/>
  <c r="AF269" i="25"/>
  <c r="AS11" i="25"/>
  <c r="AS268" i="25" s="1"/>
  <c r="AS34" i="25"/>
  <c r="CJ44" i="23"/>
  <c r="CK10" i="15"/>
  <c r="E126" i="20"/>
  <c r="AA25" i="15"/>
  <c r="AC93" i="19" s="1"/>
  <c r="AF21" i="19"/>
  <c r="AG99" i="19"/>
  <c r="AG102" i="19" s="1"/>
  <c r="CX31" i="18"/>
  <c r="CX30" i="18" s="1"/>
  <c r="CX27" i="18" s="1"/>
  <c r="BV17" i="16"/>
  <c r="CI44" i="23"/>
  <c r="CJ10" i="15"/>
  <c r="CU31" i="18"/>
  <c r="AF22" i="19"/>
  <c r="AG106" i="19"/>
  <c r="AG109" i="19" s="1"/>
  <c r="CL58" i="16"/>
  <c r="CL46" i="23"/>
  <c r="DB19" i="18" s="1"/>
  <c r="R206" i="20"/>
  <c r="AA12" i="17"/>
  <c r="H25" i="23"/>
  <c r="H36" i="23" s="1"/>
  <c r="H40" i="23" s="1"/>
  <c r="BZ24" i="16"/>
  <c r="BZ61" i="16" s="1"/>
  <c r="BZ63" i="16" s="1"/>
  <c r="S209" i="20"/>
  <c r="F236" i="20" s="1"/>
  <c r="R511" i="20"/>
  <c r="J520" i="20" s="1"/>
  <c r="BW24" i="16"/>
  <c r="BW61" i="16" s="1"/>
  <c r="BW63" i="16" s="1"/>
  <c r="BX24" i="16"/>
  <c r="BX61" i="16" s="1"/>
  <c r="BX63" i="16" s="1"/>
  <c r="BY24" i="16"/>
  <c r="BY61" i="16" s="1"/>
  <c r="BY63" i="16" s="1"/>
  <c r="CK58" i="16"/>
  <c r="CK46" i="23"/>
  <c r="DA19" i="18" s="1"/>
  <c r="L57" i="23"/>
  <c r="R284" i="20"/>
  <c r="E313" i="20" s="1"/>
  <c r="AA26" i="21"/>
  <c r="R283" i="20" s="1"/>
  <c r="E312" i="20" s="1"/>
  <c r="S285" i="20"/>
  <c r="F314" i="20" s="1"/>
  <c r="AB29" i="21"/>
  <c r="CH20" i="16"/>
  <c r="Q220" i="20"/>
  <c r="AF271" i="25"/>
  <c r="CV31" i="18"/>
  <c r="CV30" i="18" s="1"/>
  <c r="CV27" i="18" s="1"/>
  <c r="AT123" i="25"/>
  <c r="AT212" i="25"/>
  <c r="AU50" i="25"/>
  <c r="AT145" i="25"/>
  <c r="X17" i="19"/>
  <c r="O356" i="20" s="1"/>
  <c r="O358" i="20"/>
  <c r="AC15" i="17"/>
  <c r="M181" i="19"/>
  <c r="X46" i="18"/>
  <c r="X44" i="18" s="1"/>
  <c r="AH5" i="27"/>
  <c r="CP11" i="15"/>
  <c r="CQ11" i="15"/>
  <c r="AH10" i="27"/>
  <c r="AH4" i="27" s="1"/>
  <c r="CN11" i="15"/>
  <c r="CO11" i="15"/>
  <c r="CF20" i="16"/>
  <c r="CJ58" i="16"/>
  <c r="CJ46" i="23"/>
  <c r="CZ19" i="18" s="1"/>
  <c r="Y20" i="19"/>
  <c r="Y19" i="19" s="1"/>
  <c r="Z92" i="19"/>
  <c r="Z95" i="19" s="1"/>
  <c r="AS217" i="25"/>
  <c r="AS210" i="25"/>
  <c r="AB94" i="19"/>
  <c r="AC19" i="17" s="1"/>
  <c r="CN12" i="15"/>
  <c r="CM45" i="23" s="1"/>
  <c r="CO12" i="15"/>
  <c r="CN45" i="23" s="1"/>
  <c r="CP12" i="15"/>
  <c r="CO45" i="23" s="1"/>
  <c r="CQ12" i="15"/>
  <c r="CP45" i="23" s="1"/>
  <c r="CI58" i="16"/>
  <c r="AB23" i="15"/>
  <c r="CI46" i="23"/>
  <c r="CY19" i="18" s="1"/>
  <c r="CM10" i="15"/>
  <c r="CL44" i="23"/>
  <c r="AD18" i="21"/>
  <c r="U278" i="20" s="1"/>
  <c r="H307" i="20" s="1"/>
  <c r="AJ7" i="27"/>
  <c r="AI63" i="27"/>
  <c r="AI62" i="27" s="1"/>
  <c r="AI11" i="27"/>
  <c r="AC30" i="21"/>
  <c r="CQ30" i="18"/>
  <c r="CQ27" i="18" s="1"/>
  <c r="Z89" i="16"/>
  <c r="Z88" i="16"/>
  <c r="Y129" i="16"/>
  <c r="U133" i="16"/>
  <c r="U132" i="16"/>
  <c r="U134" i="16"/>
  <c r="V102" i="16"/>
  <c r="AS48" i="25"/>
  <c r="AS55" i="25"/>
  <c r="CE20" i="16"/>
  <c r="CG20" i="16"/>
  <c r="AU26" i="25"/>
  <c r="AT207" i="25"/>
  <c r="AT208" i="25" s="1"/>
  <c r="AT45" i="25"/>
  <c r="AT46" i="25" s="1"/>
  <c r="AT29" i="25"/>
  <c r="AT140" i="25"/>
  <c r="CK44" i="23"/>
  <c r="CL10" i="15"/>
  <c r="U104" i="16"/>
  <c r="U105" i="16"/>
  <c r="V100" i="16"/>
  <c r="CW31" i="18"/>
  <c r="CW30" i="18" s="1"/>
  <c r="CW27" i="18" s="1"/>
  <c r="AB15" i="17"/>
  <c r="CY279" i="37" l="1"/>
  <c r="CY277" i="37"/>
  <c r="CZ267" i="37"/>
  <c r="E740" i="20" s="1"/>
  <c r="I740" i="20" s="1"/>
  <c r="AJ648" i="20"/>
  <c r="H43" i="23"/>
  <c r="CL50" i="23"/>
  <c r="CI50" i="23"/>
  <c r="CJ50" i="23"/>
  <c r="CK50" i="23"/>
  <c r="L274" i="20"/>
  <c r="L294" i="20" s="1"/>
  <c r="AA151" i="19"/>
  <c r="CD58" i="23"/>
  <c r="CD66" i="23" s="1"/>
  <c r="CB58" i="23"/>
  <c r="CB66" i="23" s="1"/>
  <c r="CC58" i="23"/>
  <c r="CC66" i="23" s="1"/>
  <c r="W281" i="20"/>
  <c r="J310" i="20" s="1"/>
  <c r="F128" i="20"/>
  <c r="AJ57" i="25"/>
  <c r="AJ152" i="25"/>
  <c r="CG16" i="15"/>
  <c r="CF49" i="23"/>
  <c r="CI16" i="15"/>
  <c r="CH49" i="23"/>
  <c r="CF16" i="15"/>
  <c r="CE49" i="23"/>
  <c r="CG49" i="23"/>
  <c r="AK51" i="25"/>
  <c r="AK53" i="25" s="1"/>
  <c r="AK54" i="25" s="1"/>
  <c r="AK56" i="25" s="1"/>
  <c r="AK12" i="25" s="1"/>
  <c r="AK269" i="25" s="1"/>
  <c r="AK144" i="25"/>
  <c r="AK146" i="25" s="1"/>
  <c r="AK148" i="25" s="1"/>
  <c r="G679" i="20"/>
  <c r="G684" i="20" s="1"/>
  <c r="AK211" i="25"/>
  <c r="AK213" i="25" s="1"/>
  <c r="AK215" i="25" s="1"/>
  <c r="AK216" i="25" s="1"/>
  <c r="AK218" i="25" s="1"/>
  <c r="AK14" i="25" s="1"/>
  <c r="AK271" i="25" s="1"/>
  <c r="G678" i="20"/>
  <c r="G683" i="20" s="1"/>
  <c r="K678" i="20"/>
  <c r="DA37" i="37"/>
  <c r="DA12" i="37"/>
  <c r="AK648" i="20" s="1"/>
  <c r="AJ61" i="37"/>
  <c r="AJ149" i="37"/>
  <c r="DB215" i="37"/>
  <c r="DB208" i="37"/>
  <c r="DQ38" i="37"/>
  <c r="DQ141" i="37"/>
  <c r="AL117" i="25"/>
  <c r="AL49" i="25" s="1"/>
  <c r="AL51" i="25" s="1"/>
  <c r="AL53" i="25" s="1"/>
  <c r="AL54" i="25" s="1"/>
  <c r="AL56" i="25" s="1"/>
  <c r="AL12" i="25" s="1"/>
  <c r="AL269" i="25" s="1"/>
  <c r="DR117" i="37"/>
  <c r="DR122" i="37" s="1"/>
  <c r="DR53" i="37" s="1"/>
  <c r="DR209" i="37" s="1"/>
  <c r="DS117" i="37"/>
  <c r="DS122" i="37" s="1"/>
  <c r="DS53" i="37" s="1"/>
  <c r="DS209" i="37" s="1"/>
  <c r="DT117" i="37"/>
  <c r="DT122" i="37" s="1"/>
  <c r="DT53" i="37" s="1"/>
  <c r="DT209" i="37" s="1"/>
  <c r="DU117" i="37"/>
  <c r="DU122" i="37" s="1"/>
  <c r="DU53" i="37" s="1"/>
  <c r="DU209" i="37" s="1"/>
  <c r="DP141" i="37"/>
  <c r="DP38" i="37"/>
  <c r="DO38" i="37"/>
  <c r="DO141" i="37"/>
  <c r="DA59" i="37"/>
  <c r="DA52" i="37"/>
  <c r="DN38" i="37"/>
  <c r="DN141" i="37"/>
  <c r="DB137" i="37"/>
  <c r="DC28" i="37"/>
  <c r="DC205" i="37" s="1"/>
  <c r="DC206" i="37" s="1"/>
  <c r="DB49" i="37"/>
  <c r="DB50" i="37" s="1"/>
  <c r="DB31" i="37"/>
  <c r="DB32" i="37" s="1"/>
  <c r="AK209" i="37"/>
  <c r="AK211" i="37" s="1"/>
  <c r="AK213" i="37" s="1"/>
  <c r="AK214" i="37" s="1"/>
  <c r="AK216" i="37" s="1"/>
  <c r="AK15" i="37" s="1"/>
  <c r="AK270" i="37" s="1"/>
  <c r="AK141" i="37"/>
  <c r="AK143" i="37" s="1"/>
  <c r="AK145" i="37" s="1"/>
  <c r="AK38" i="37"/>
  <c r="AK217" i="37" s="1"/>
  <c r="AK55" i="37"/>
  <c r="AK57" i="37" s="1"/>
  <c r="AK58" i="37" s="1"/>
  <c r="AK60" i="37" s="1"/>
  <c r="AK13" i="37" s="1"/>
  <c r="AK268" i="37" s="1"/>
  <c r="AL53" i="37"/>
  <c r="AU205" i="37"/>
  <c r="AU206" i="37" s="1"/>
  <c r="AU137" i="37"/>
  <c r="AU49" i="37"/>
  <c r="AU50" i="37" s="1"/>
  <c r="AT52" i="37"/>
  <c r="AT59" i="37"/>
  <c r="H50" i="37"/>
  <c r="AT208" i="37"/>
  <c r="AT215" i="37"/>
  <c r="AU210" i="37"/>
  <c r="AU142" i="37"/>
  <c r="N50" i="2"/>
  <c r="M18" i="2"/>
  <c r="S205" i="20"/>
  <c r="F232" i="20" s="1"/>
  <c r="Z31" i="2"/>
  <c r="Z15" i="2" s="1"/>
  <c r="P32" i="2"/>
  <c r="P16" i="2" s="1"/>
  <c r="Z28" i="2"/>
  <c r="Z43" i="2"/>
  <c r="Y20" i="2"/>
  <c r="Z27" i="2"/>
  <c r="Z42" i="2"/>
  <c r="AA44" i="2"/>
  <c r="Z35" i="2"/>
  <c r="Z49" i="2"/>
  <c r="AA10" i="2"/>
  <c r="AA29" i="2"/>
  <c r="AA9" i="2"/>
  <c r="AB11" i="2"/>
  <c r="P77" i="36"/>
  <c r="Q63" i="4"/>
  <c r="Q32" i="2" s="1"/>
  <c r="Q16" i="2" s="1"/>
  <c r="Q58" i="4"/>
  <c r="R55" i="4" s="1"/>
  <c r="R36" i="2" s="1"/>
  <c r="O34" i="2"/>
  <c r="L219" i="20"/>
  <c r="B202" i="20"/>
  <c r="CH16" i="15"/>
  <c r="CG56" i="16"/>
  <c r="CG18" i="16" s="1"/>
  <c r="CF56" i="16"/>
  <c r="CF18" i="16" s="1"/>
  <c r="Z29" i="15"/>
  <c r="AA22" i="15"/>
  <c r="CE56" i="16"/>
  <c r="CE18" i="16" s="1"/>
  <c r="AA21" i="15"/>
  <c r="D126" i="20"/>
  <c r="CH56" i="16"/>
  <c r="CH18" i="16" s="1"/>
  <c r="AC13" i="17"/>
  <c r="AD18" i="24"/>
  <c r="AD19" i="24"/>
  <c r="AD20" i="24" s="1"/>
  <c r="AE17" i="24"/>
  <c r="AC21" i="24"/>
  <c r="CA66" i="23"/>
  <c r="CK7" i="15"/>
  <c r="CL6" i="15"/>
  <c r="CL5" i="15" s="1"/>
  <c r="CJ6" i="15"/>
  <c r="CJ5" i="15" s="1"/>
  <c r="CK6" i="15"/>
  <c r="CK5" i="15" s="1"/>
  <c r="CJ49" i="23" s="1"/>
  <c r="CJ58" i="23" s="1"/>
  <c r="AB26" i="24"/>
  <c r="CM6" i="15"/>
  <c r="CM5" i="15" s="1"/>
  <c r="CL49" i="23" s="1"/>
  <c r="AB29" i="24"/>
  <c r="AB30" i="24" s="1"/>
  <c r="AB34" i="24"/>
  <c r="CL7" i="15"/>
  <c r="CJ7" i="15"/>
  <c r="AB23" i="24"/>
  <c r="CM7" i="15"/>
  <c r="N62" i="4"/>
  <c r="N64" i="4"/>
  <c r="N28" i="4" s="1"/>
  <c r="N88" i="4" s="1"/>
  <c r="W96" i="16"/>
  <c r="W102" i="16" s="1"/>
  <c r="AM26" i="18" s="1"/>
  <c r="W14" i="23" s="1"/>
  <c r="N35" i="17"/>
  <c r="E218" i="20" s="1"/>
  <c r="AE29" i="11"/>
  <c r="AK15" i="13"/>
  <c r="AF30" i="11"/>
  <c r="AA8" i="17"/>
  <c r="CI11" i="18"/>
  <c r="AA10" i="21" s="1"/>
  <c r="CC40" i="13"/>
  <c r="CB45" i="16" s="1"/>
  <c r="CB13" i="16" s="1"/>
  <c r="CR11" i="18" s="1"/>
  <c r="CD40" i="13"/>
  <c r="CC45" i="16" s="1"/>
  <c r="CC13" i="16" s="1"/>
  <c r="CS11" i="18" s="1"/>
  <c r="CE40" i="13"/>
  <c r="CD45" i="16" s="1"/>
  <c r="CD13" i="16" s="1"/>
  <c r="CT11" i="18" s="1"/>
  <c r="CB40" i="13"/>
  <c r="BW45" i="16"/>
  <c r="BW13" i="16" s="1"/>
  <c r="Y62" i="13"/>
  <c r="M274" i="20"/>
  <c r="M294" i="20" s="1"/>
  <c r="AG24" i="21"/>
  <c r="CQ62" i="16"/>
  <c r="CQ25" i="16" s="1"/>
  <c r="AG20" i="17" s="1"/>
  <c r="X210" i="20" s="1"/>
  <c r="K237" i="20" s="1"/>
  <c r="AE34" i="15"/>
  <c r="AF28" i="15" s="1"/>
  <c r="AF27" i="15" s="1"/>
  <c r="CZ15" i="15" s="1"/>
  <c r="DO25" i="18" s="1"/>
  <c r="AE32" i="15"/>
  <c r="O359" i="20"/>
  <c r="X59" i="13"/>
  <c r="X65" i="13" s="1"/>
  <c r="BS42" i="16"/>
  <c r="BT48" i="13"/>
  <c r="D517" i="20"/>
  <c r="L510" i="20"/>
  <c r="CB8" i="18"/>
  <c r="BL9" i="16"/>
  <c r="BL26" i="16" s="1"/>
  <c r="BV42" i="16"/>
  <c r="BW48" i="13"/>
  <c r="M202" i="20"/>
  <c r="M219" i="20" s="1"/>
  <c r="M221" i="20"/>
  <c r="BX7" i="18"/>
  <c r="BH13" i="23"/>
  <c r="AE22" i="11"/>
  <c r="AK7" i="13" s="1"/>
  <c r="AK6" i="13" s="1"/>
  <c r="AF23" i="11"/>
  <c r="BZ7" i="18"/>
  <c r="BJ13" i="23"/>
  <c r="BP49" i="16"/>
  <c r="BP10" i="16"/>
  <c r="W6" i="21"/>
  <c r="N272" i="20" s="1"/>
  <c r="N273" i="20"/>
  <c r="BU42" i="16"/>
  <c r="BV48" i="13"/>
  <c r="AK57" i="25"/>
  <c r="AK152" i="25"/>
  <c r="AK219" i="25"/>
  <c r="S85" i="20"/>
  <c r="I88" i="20" s="1"/>
  <c r="I89" i="20" s="1"/>
  <c r="AJ11" i="13"/>
  <c r="AE18" i="21"/>
  <c r="V278" i="20" s="1"/>
  <c r="I307" i="20" s="1"/>
  <c r="BW7" i="18"/>
  <c r="X7" i="21"/>
  <c r="BG13" i="23"/>
  <c r="BZ17" i="16"/>
  <c r="CD8" i="18"/>
  <c r="BN9" i="16"/>
  <c r="BN26" i="16" s="1"/>
  <c r="CC8" i="18"/>
  <c r="BM9" i="16"/>
  <c r="BM26" i="16" s="1"/>
  <c r="CA8" i="18"/>
  <c r="Y5" i="17"/>
  <c r="BK9" i="16"/>
  <c r="BK26" i="16" s="1"/>
  <c r="X4" i="17"/>
  <c r="O201" i="20"/>
  <c r="N200" i="20"/>
  <c r="M508" i="20"/>
  <c r="W21" i="17"/>
  <c r="N211" i="20" s="1"/>
  <c r="AL125" i="25"/>
  <c r="AL122" i="25" s="1"/>
  <c r="AL126" i="25" s="1"/>
  <c r="BQ49" i="16"/>
  <c r="BQ10" i="16"/>
  <c r="BR10" i="16"/>
  <c r="BR49" i="16"/>
  <c r="AI10" i="13"/>
  <c r="AI9" i="13" s="1"/>
  <c r="CA36" i="13"/>
  <c r="CA35" i="13" s="1"/>
  <c r="BY36" i="13"/>
  <c r="BY35" i="13" s="1"/>
  <c r="BZ36" i="13"/>
  <c r="BZ35" i="13" s="1"/>
  <c r="BX36" i="13"/>
  <c r="BX35" i="13" s="1"/>
  <c r="BY7" i="18"/>
  <c r="BI13" i="23"/>
  <c r="BU48" i="13"/>
  <c r="BT42" i="16"/>
  <c r="BO49" i="16"/>
  <c r="BO10" i="16"/>
  <c r="BW17" i="16"/>
  <c r="BX17" i="16"/>
  <c r="Y94" i="16"/>
  <c r="Y96" i="16" s="1"/>
  <c r="Y102" i="16" s="1"/>
  <c r="AO26" i="18" s="1"/>
  <c r="Y14" i="23" s="1"/>
  <c r="AT48" i="25"/>
  <c r="AT55" i="25"/>
  <c r="H46" i="25"/>
  <c r="AL26" i="18"/>
  <c r="V14" i="23" s="1"/>
  <c r="U654" i="20" s="1"/>
  <c r="U672" i="20" s="1"/>
  <c r="M182" i="19"/>
  <c r="M183" i="19" s="1"/>
  <c r="AT217" i="25"/>
  <c r="AT210" i="25"/>
  <c r="H208" i="25"/>
  <c r="AU29" i="25"/>
  <c r="AU30" i="25" s="1"/>
  <c r="AV26" i="25"/>
  <c r="AU140" i="25"/>
  <c r="AU207" i="25"/>
  <c r="AU208" i="25" s="1"/>
  <c r="AU45" i="25"/>
  <c r="AU46" i="25" s="1"/>
  <c r="CJ20" i="16"/>
  <c r="Q509" i="20"/>
  <c r="I518" i="20" s="1"/>
  <c r="R204" i="20"/>
  <c r="E231" i="20" s="1"/>
  <c r="V103" i="16"/>
  <c r="DA31" i="18"/>
  <c r="DA30" i="18" s="1"/>
  <c r="DA27" i="18" s="1"/>
  <c r="AD15" i="17"/>
  <c r="Y130" i="16"/>
  <c r="Y131" i="16"/>
  <c r="AK7" i="27"/>
  <c r="AJ63" i="27"/>
  <c r="AJ62" i="27" s="1"/>
  <c r="AJ11" i="27"/>
  <c r="BY17" i="16"/>
  <c r="CA24" i="16"/>
  <c r="CB24" i="16"/>
  <c r="T209" i="20"/>
  <c r="G236" i="20" s="1"/>
  <c r="S511" i="20"/>
  <c r="K520" i="20" s="1"/>
  <c r="CC24" i="16"/>
  <c r="CD24" i="16"/>
  <c r="AB26" i="21"/>
  <c r="S283" i="20" s="1"/>
  <c r="F312" i="20" s="1"/>
  <c r="S284" i="20"/>
  <c r="F313" i="20" s="1"/>
  <c r="E233" i="20"/>
  <c r="CR8" i="15"/>
  <c r="CS8" i="15"/>
  <c r="CT8" i="15"/>
  <c r="CU8" i="15"/>
  <c r="CI20" i="16"/>
  <c r="CS12" i="15"/>
  <c r="CR45" i="23" s="1"/>
  <c r="CT12" i="15"/>
  <c r="CS45" i="23" s="1"/>
  <c r="CU12" i="15"/>
  <c r="CT45" i="23" s="1"/>
  <c r="CR12" i="15"/>
  <c r="CQ45" i="23" s="1"/>
  <c r="CO44" i="23"/>
  <c r="CP10" i="15"/>
  <c r="X39" i="18"/>
  <c r="T285" i="20"/>
  <c r="G314" i="20" s="1"/>
  <c r="AC29" i="21"/>
  <c r="AT30" i="25"/>
  <c r="H29" i="25"/>
  <c r="AI5" i="27"/>
  <c r="CR11" i="15"/>
  <c r="CS11" i="15"/>
  <c r="CT11" i="15"/>
  <c r="CU11" i="15"/>
  <c r="AI10" i="27"/>
  <c r="AI4" i="27" s="1"/>
  <c r="DB31" i="18"/>
  <c r="DB30" i="18" s="1"/>
  <c r="DB27" i="18" s="1"/>
  <c r="AA92" i="19"/>
  <c r="AA95" i="19" s="1"/>
  <c r="Z20" i="19"/>
  <c r="Z19" i="19" s="1"/>
  <c r="CU30" i="18"/>
  <c r="CU27" i="18" s="1"/>
  <c r="AD30" i="21"/>
  <c r="Y17" i="19"/>
  <c r="P356" i="20" s="1"/>
  <c r="P358" i="20"/>
  <c r="CN44" i="23"/>
  <c r="CO10" i="15"/>
  <c r="T206" i="20"/>
  <c r="L64" i="23"/>
  <c r="AH106" i="19"/>
  <c r="AH109" i="19" s="1"/>
  <c r="AG22" i="19"/>
  <c r="CP58" i="16"/>
  <c r="CP46" i="23"/>
  <c r="DF19" i="18" s="1"/>
  <c r="CM44" i="23"/>
  <c r="CN10" i="15"/>
  <c r="CL20" i="16"/>
  <c r="E127" i="20"/>
  <c r="AB25" i="15"/>
  <c r="AD93" i="19" s="1"/>
  <c r="AC94" i="19"/>
  <c r="AD19" i="17" s="1"/>
  <c r="R87" i="19"/>
  <c r="R88" i="19" s="1"/>
  <c r="CO58" i="16"/>
  <c r="CO46" i="23"/>
  <c r="DE19" i="18" s="1"/>
  <c r="S206" i="20"/>
  <c r="AB12" i="17"/>
  <c r="CY31" i="18"/>
  <c r="CZ31" i="18"/>
  <c r="CZ30" i="18" s="1"/>
  <c r="CZ27" i="18" s="1"/>
  <c r="CN58" i="16"/>
  <c r="CN46" i="23"/>
  <c r="DD19" i="18" s="1"/>
  <c r="Z90" i="16"/>
  <c r="CP44" i="23"/>
  <c r="CQ10" i="15"/>
  <c r="AU123" i="25"/>
  <c r="AU212" i="25"/>
  <c r="AV50" i="25"/>
  <c r="AU145" i="25"/>
  <c r="CK20" i="16"/>
  <c r="AH99" i="19"/>
  <c r="AH102" i="19" s="1"/>
  <c r="AG21" i="19"/>
  <c r="CM58" i="16"/>
  <c r="AC23" i="15"/>
  <c r="CM46" i="23"/>
  <c r="DC19" i="18" s="1"/>
  <c r="CZ277" i="37" l="1"/>
  <c r="CZ279" i="37"/>
  <c r="B274" i="20"/>
  <c r="CP50" i="23"/>
  <c r="CM50" i="23"/>
  <c r="CO50" i="23"/>
  <c r="CN50" i="23"/>
  <c r="CL58" i="23"/>
  <c r="CL66" i="23" s="1"/>
  <c r="CH58" i="23"/>
  <c r="CH66" i="23" s="1"/>
  <c r="AB151" i="19"/>
  <c r="CF58" i="23"/>
  <c r="CF66" i="23" s="1"/>
  <c r="CG58" i="23"/>
  <c r="CG66" i="23" s="1"/>
  <c r="CE58" i="23"/>
  <c r="CE66" i="23" s="1"/>
  <c r="X281" i="20"/>
  <c r="K310" i="20" s="1"/>
  <c r="F129" i="20"/>
  <c r="AL144" i="25"/>
  <c r="AL146" i="25" s="1"/>
  <c r="AL148" i="25" s="1"/>
  <c r="AL35" i="25"/>
  <c r="AL219" i="25" s="1"/>
  <c r="AL211" i="25"/>
  <c r="AL213" i="25" s="1"/>
  <c r="AL215" i="25" s="1"/>
  <c r="AL216" i="25" s="1"/>
  <c r="AL218" i="25" s="1"/>
  <c r="AL14" i="25" s="1"/>
  <c r="AL271" i="25" s="1"/>
  <c r="CJ16" i="15"/>
  <c r="CI49" i="23"/>
  <c r="CI58" i="23" s="1"/>
  <c r="CL16" i="15"/>
  <c r="CK49" i="23"/>
  <c r="DA267" i="37"/>
  <c r="E741" i="20" s="1"/>
  <c r="I741" i="20" s="1"/>
  <c r="AG319" i="25"/>
  <c r="DB37" i="37"/>
  <c r="DB12" i="37"/>
  <c r="DC215" i="37"/>
  <c r="DC208" i="37"/>
  <c r="DU38" i="37"/>
  <c r="DU141" i="37"/>
  <c r="DT38" i="37"/>
  <c r="DT141" i="37"/>
  <c r="DS38" i="37"/>
  <c r="DS141" i="37"/>
  <c r="DR141" i="37"/>
  <c r="DR38" i="37"/>
  <c r="AK61" i="37"/>
  <c r="DB52" i="37"/>
  <c r="DB59" i="37"/>
  <c r="DC137" i="37"/>
  <c r="DD28" i="37"/>
  <c r="DD205" i="37" s="1"/>
  <c r="DD206" i="37" s="1"/>
  <c r="DC49" i="37"/>
  <c r="DC50" i="37" s="1"/>
  <c r="DC31" i="37"/>
  <c r="DC32" i="37" s="1"/>
  <c r="AK149" i="37"/>
  <c r="AL209" i="37"/>
  <c r="AL211" i="37" s="1"/>
  <c r="AL213" i="37" s="1"/>
  <c r="AL214" i="37" s="1"/>
  <c r="AL216" i="37" s="1"/>
  <c r="AL15" i="37" s="1"/>
  <c r="AL270" i="37" s="1"/>
  <c r="AL141" i="37"/>
  <c r="AL143" i="37" s="1"/>
  <c r="AL145" i="37" s="1"/>
  <c r="AL38" i="37"/>
  <c r="AL149" i="37" s="1"/>
  <c r="AL55" i="37"/>
  <c r="AL57" i="37" s="1"/>
  <c r="AL58" i="37" s="1"/>
  <c r="AL60" i="37" s="1"/>
  <c r="AL13" i="37" s="1"/>
  <c r="AL268" i="37" s="1"/>
  <c r="AM53" i="37"/>
  <c r="AN53" i="37"/>
  <c r="AN209" i="37" s="1"/>
  <c r="AN211" i="37" s="1"/>
  <c r="AN213" i="37" s="1"/>
  <c r="AN214" i="37" s="1"/>
  <c r="AN216" i="37" s="1"/>
  <c r="AN15" i="37" s="1"/>
  <c r="AN270" i="37" s="1"/>
  <c r="AV205" i="37"/>
  <c r="AV206" i="37" s="1"/>
  <c r="AV137" i="37"/>
  <c r="AV49" i="37"/>
  <c r="AV50" i="37" s="1"/>
  <c r="AU52" i="37"/>
  <c r="AU59" i="37"/>
  <c r="AU215" i="37"/>
  <c r="AU208" i="37"/>
  <c r="AV210" i="37"/>
  <c r="AV142" i="37"/>
  <c r="H52" i="37"/>
  <c r="AT12" i="37"/>
  <c r="AT267" i="37" s="1"/>
  <c r="AT37" i="37"/>
  <c r="AU12" i="37"/>
  <c r="AU267" i="37" s="1"/>
  <c r="AU37" i="37"/>
  <c r="N21" i="2"/>
  <c r="N48" i="2"/>
  <c r="T205" i="20"/>
  <c r="G232" i="20" s="1"/>
  <c r="AA31" i="2"/>
  <c r="AA15" i="2" s="1"/>
  <c r="Z19" i="2"/>
  <c r="Z20" i="2"/>
  <c r="AB44" i="2"/>
  <c r="AA27" i="2"/>
  <c r="AA42" i="2"/>
  <c r="AA49" i="2"/>
  <c r="AA19" i="2" s="1"/>
  <c r="AA35" i="2"/>
  <c r="AA28" i="2"/>
  <c r="AA43" i="2"/>
  <c r="AB10" i="2"/>
  <c r="AB29" i="2"/>
  <c r="AB9" i="2"/>
  <c r="AC11" i="2"/>
  <c r="Q77" i="36"/>
  <c r="H92" i="36" s="1"/>
  <c r="R63" i="4"/>
  <c r="R32" i="4" s="1"/>
  <c r="R58" i="4"/>
  <c r="S55" i="4" s="1"/>
  <c r="S36" i="2" s="1"/>
  <c r="Q32" i="4"/>
  <c r="AC12" i="17"/>
  <c r="T204" i="20" s="1"/>
  <c r="G231" i="20" s="1"/>
  <c r="E223" i="20"/>
  <c r="AA29" i="15"/>
  <c r="AD13" i="17"/>
  <c r="AB22" i="15"/>
  <c r="CK56" i="16"/>
  <c r="CK18" i="16" s="1"/>
  <c r="AE19" i="24"/>
  <c r="AE20" i="24" s="1"/>
  <c r="AF17" i="24"/>
  <c r="AE18" i="24"/>
  <c r="AD21" i="24"/>
  <c r="CL56" i="16"/>
  <c r="CL18" i="16" s="1"/>
  <c r="CM16" i="15"/>
  <c r="CJ66" i="23"/>
  <c r="CJ56" i="16"/>
  <c r="CJ18" i="16" s="1"/>
  <c r="CK16" i="15"/>
  <c r="CI56" i="16"/>
  <c r="CI18" i="16" s="1"/>
  <c r="D127" i="20"/>
  <c r="AB21" i="15"/>
  <c r="AC29" i="24"/>
  <c r="AC30" i="24" s="1"/>
  <c r="CO7" i="15"/>
  <c r="CP6" i="15"/>
  <c r="CP5" i="15" s="1"/>
  <c r="CN6" i="15"/>
  <c r="CN5" i="15" s="1"/>
  <c r="CP7" i="15"/>
  <c r="AC26" i="24"/>
  <c r="CQ6" i="15"/>
  <c r="CQ5" i="15" s="1"/>
  <c r="CN7" i="15"/>
  <c r="AC23" i="24"/>
  <c r="CQ7" i="15"/>
  <c r="CO6" i="15"/>
  <c r="CO5" i="15" s="1"/>
  <c r="CN49" i="23" s="1"/>
  <c r="CN58" i="23" s="1"/>
  <c r="AC34" i="24"/>
  <c r="O59" i="4"/>
  <c r="N78" i="36"/>
  <c r="M221" i="19"/>
  <c r="I14" i="22"/>
  <c r="AF29" i="11"/>
  <c r="AL15" i="13"/>
  <c r="AG30" i="11"/>
  <c r="CM11" i="18"/>
  <c r="AB10" i="21" s="1"/>
  <c r="AB8" i="17"/>
  <c r="CH40" i="13"/>
  <c r="CG45" i="16" s="1"/>
  <c r="CG13" i="16" s="1"/>
  <c r="CW11" i="18" s="1"/>
  <c r="CG40" i="13"/>
  <c r="CF45" i="16" s="1"/>
  <c r="CF13" i="16" s="1"/>
  <c r="CV11" i="18" s="1"/>
  <c r="CI40" i="13"/>
  <c r="CH45" i="16" s="1"/>
  <c r="CH13" i="16" s="1"/>
  <c r="CX11" i="18" s="1"/>
  <c r="CF40" i="13"/>
  <c r="CA45" i="16"/>
  <c r="CA13" i="16" s="1"/>
  <c r="Z62" i="13"/>
  <c r="AF34" i="15"/>
  <c r="AG28" i="15" s="1"/>
  <c r="AG27" i="15" s="1"/>
  <c r="DD15" i="15" s="1"/>
  <c r="DS25" i="18" s="1"/>
  <c r="AF32" i="15"/>
  <c r="AH24" i="21"/>
  <c r="CU62" i="16"/>
  <c r="CU25" i="16" s="1"/>
  <c r="AH20" i="17" s="1"/>
  <c r="Y210" i="20" s="1"/>
  <c r="L237" i="20" s="1"/>
  <c r="R220" i="20"/>
  <c r="BX42" i="16"/>
  <c r="BY48" i="13"/>
  <c r="Y4" i="17"/>
  <c r="P201" i="20"/>
  <c r="X6" i="21"/>
  <c r="O272" i="20" s="1"/>
  <c r="O273" i="20"/>
  <c r="CB7" i="18"/>
  <c r="BL13" i="23"/>
  <c r="BT10" i="16"/>
  <c r="BT49" i="16"/>
  <c r="BZ42" i="16"/>
  <c r="CA48" i="13"/>
  <c r="E517" i="20"/>
  <c r="M510" i="20"/>
  <c r="BK13" i="23"/>
  <c r="Y7" i="21"/>
  <c r="CA7" i="18"/>
  <c r="N202" i="20"/>
  <c r="N219" i="20" s="1"/>
  <c r="N221" i="20"/>
  <c r="D519" i="20"/>
  <c r="L512" i="20"/>
  <c r="L513" i="20"/>
  <c r="D522" i="20" s="1"/>
  <c r="CC7" i="18"/>
  <c r="BM13" i="23"/>
  <c r="AG23" i="11"/>
  <c r="AF22" i="11"/>
  <c r="AL7" i="13" s="1"/>
  <c r="AL6" i="13" s="1"/>
  <c r="CH8" i="18"/>
  <c r="BR9" i="16"/>
  <c r="BR26" i="16" s="1"/>
  <c r="BU10" i="16"/>
  <c r="BU49" i="16"/>
  <c r="T85" i="20"/>
  <c r="J88" i="20" s="1"/>
  <c r="J89" i="20" s="1"/>
  <c r="AK11" i="13"/>
  <c r="BQ9" i="16"/>
  <c r="BQ26" i="16" s="1"/>
  <c r="CG8" i="18"/>
  <c r="CD7" i="18"/>
  <c r="BN13" i="23"/>
  <c r="BS10" i="16"/>
  <c r="BS49" i="16"/>
  <c r="BX48" i="13"/>
  <c r="Y59" i="13"/>
  <c r="Y65" i="13" s="1"/>
  <c r="BW42" i="16"/>
  <c r="X21" i="17"/>
  <c r="O211" i="20" s="1"/>
  <c r="AM125" i="25"/>
  <c r="AM122" i="25" s="1"/>
  <c r="AM126" i="25" s="1"/>
  <c r="AN127" i="25" s="1"/>
  <c r="AN112" i="25" s="1"/>
  <c r="O200" i="20"/>
  <c r="N508" i="20"/>
  <c r="CD36" i="13"/>
  <c r="CD35" i="13" s="1"/>
  <c r="CC36" i="13"/>
  <c r="CC35" i="13" s="1"/>
  <c r="CE36" i="13"/>
  <c r="CE35" i="13" s="1"/>
  <c r="AJ10" i="13"/>
  <c r="AJ9" i="13" s="1"/>
  <c r="CB36" i="13"/>
  <c r="CB35" i="13" s="1"/>
  <c r="N274" i="20"/>
  <c r="N294" i="20" s="1"/>
  <c r="BV10" i="16"/>
  <c r="BV49" i="16"/>
  <c r="CE8" i="18"/>
  <c r="BO9" i="16"/>
  <c r="BO26" i="16" s="1"/>
  <c r="Z5" i="17"/>
  <c r="BY42" i="16"/>
  <c r="BZ48" i="13"/>
  <c r="AM127" i="25"/>
  <c r="AM112" i="25" s="1"/>
  <c r="BP9" i="16"/>
  <c r="BP26" i="16" s="1"/>
  <c r="CF8" i="18"/>
  <c r="P359" i="20"/>
  <c r="S85" i="19"/>
  <c r="R13" i="19"/>
  <c r="I354" i="20" s="1"/>
  <c r="AD94" i="19"/>
  <c r="AE19" i="17" s="1"/>
  <c r="L61" i="23"/>
  <c r="DD31" i="18"/>
  <c r="DD30" i="18" s="1"/>
  <c r="DD27" i="18" s="1"/>
  <c r="CU10" i="15"/>
  <c r="CT44" i="23"/>
  <c r="CB61" i="16"/>
  <c r="CB63" i="16" s="1"/>
  <c r="CB17" i="16"/>
  <c r="N25" i="21"/>
  <c r="H48" i="25"/>
  <c r="CS44" i="23"/>
  <c r="CT10" i="15"/>
  <c r="CA61" i="16"/>
  <c r="CA63" i="16" s="1"/>
  <c r="CA17" i="16"/>
  <c r="CV8" i="15"/>
  <c r="CW8" i="15"/>
  <c r="CX8" i="15"/>
  <c r="CY8" i="15"/>
  <c r="E128" i="20"/>
  <c r="AC25" i="15"/>
  <c r="AE93" i="19" s="1"/>
  <c r="CT58" i="16"/>
  <c r="CT46" i="23"/>
  <c r="DJ19" i="18" s="1"/>
  <c r="AJ10" i="27"/>
  <c r="AJ4" i="27" s="1"/>
  <c r="CX11" i="15"/>
  <c r="CY11" i="15"/>
  <c r="AJ5" i="27"/>
  <c r="CV11" i="15"/>
  <c r="CW11" i="15"/>
  <c r="AU48" i="25"/>
  <c r="AU55" i="25"/>
  <c r="H52" i="23"/>
  <c r="H75" i="23" s="1"/>
  <c r="DC31" i="18"/>
  <c r="DE31" i="18"/>
  <c r="DE30" i="18" s="1"/>
  <c r="DE27" i="18" s="1"/>
  <c r="CS58" i="16"/>
  <c r="CS46" i="23"/>
  <c r="DI19" i="18" s="1"/>
  <c r="CV12" i="15"/>
  <c r="CU45" i="23" s="1"/>
  <c r="CW12" i="15"/>
  <c r="CV45" i="23" s="1"/>
  <c r="CX12" i="15"/>
  <c r="CW45" i="23" s="1"/>
  <c r="CY12" i="15"/>
  <c r="CX45" i="23" s="1"/>
  <c r="AU217" i="25"/>
  <c r="AU210" i="25"/>
  <c r="CR44" i="23"/>
  <c r="CS10" i="15"/>
  <c r="CR58" i="16"/>
  <c r="CR46" i="23"/>
  <c r="DH19" i="18" s="1"/>
  <c r="CD61" i="16"/>
  <c r="CD63" i="16" s="1"/>
  <c r="CD17" i="16"/>
  <c r="AK11" i="27"/>
  <c r="AL7" i="27"/>
  <c r="AK63" i="27"/>
  <c r="CQ44" i="23"/>
  <c r="CR10" i="15"/>
  <c r="DF31" i="18"/>
  <c r="DF30" i="18" s="1"/>
  <c r="DF27" i="18" s="1"/>
  <c r="CN20" i="16"/>
  <c r="N180" i="19"/>
  <c r="M184" i="19"/>
  <c r="M15" i="19" s="1"/>
  <c r="M185" i="19"/>
  <c r="M33" i="19" s="1"/>
  <c r="M30" i="19" s="1"/>
  <c r="CP20" i="16"/>
  <c r="T284" i="20"/>
  <c r="G313" i="20" s="1"/>
  <c r="AC26" i="21"/>
  <c r="T283" i="20" s="1"/>
  <c r="G312" i="20" s="1"/>
  <c r="CQ58" i="16"/>
  <c r="AD23" i="15"/>
  <c r="CQ46" i="23"/>
  <c r="DG19" i="18" s="1"/>
  <c r="CC61" i="16"/>
  <c r="CC63" i="16" s="1"/>
  <c r="CC17" i="16"/>
  <c r="Y134" i="16"/>
  <c r="Y133" i="16"/>
  <c r="Y132" i="16"/>
  <c r="U206" i="20"/>
  <c r="V104" i="16"/>
  <c r="V105" i="16"/>
  <c r="W100" i="16"/>
  <c r="W103" i="16" s="1"/>
  <c r="AV29" i="25"/>
  <c r="AV30" i="25" s="1"/>
  <c r="AW26" i="25"/>
  <c r="AV140" i="25"/>
  <c r="AV207" i="25"/>
  <c r="AV208" i="25" s="1"/>
  <c r="AV45" i="25"/>
  <c r="AV46" i="25" s="1"/>
  <c r="AV145" i="25"/>
  <c r="AV123" i="25"/>
  <c r="AV212" i="25"/>
  <c r="AW50" i="25"/>
  <c r="AF18" i="21"/>
  <c r="W278" i="20" s="1"/>
  <c r="J307" i="20" s="1"/>
  <c r="AH22" i="19"/>
  <c r="AI106" i="19"/>
  <c r="AI109" i="19" s="1"/>
  <c r="CO20" i="16"/>
  <c r="Z17" i="19"/>
  <c r="Q356" i="20" s="1"/>
  <c r="Q358" i="20"/>
  <c r="D390" i="20" s="1"/>
  <c r="CM20" i="16"/>
  <c r="AB95" i="16"/>
  <c r="AC95" i="16"/>
  <c r="AD95" i="16"/>
  <c r="Z35" i="16"/>
  <c r="AA95" i="16"/>
  <c r="Z94" i="16"/>
  <c r="Z96" i="16" s="1"/>
  <c r="CY30" i="18"/>
  <c r="CY27" i="18" s="1"/>
  <c r="AE30" i="21"/>
  <c r="R509" i="20"/>
  <c r="J518" i="20" s="1"/>
  <c r="S204" i="20"/>
  <c r="F231" i="20" s="1"/>
  <c r="AB92" i="19"/>
  <c r="AB95" i="19" s="1"/>
  <c r="AA20" i="19"/>
  <c r="AA19" i="19" s="1"/>
  <c r="Z124" i="16"/>
  <c r="Z119" i="16"/>
  <c r="Z122" i="16"/>
  <c r="Z117" i="16"/>
  <c r="Z125" i="16"/>
  <c r="Z120" i="16"/>
  <c r="Z123" i="16"/>
  <c r="Z118" i="16"/>
  <c r="Z126" i="16"/>
  <c r="Z121" i="16"/>
  <c r="AU11" i="25"/>
  <c r="AU268" i="25" s="1"/>
  <c r="AU34" i="25"/>
  <c r="AD29" i="21"/>
  <c r="U285" i="20"/>
  <c r="H314" i="20" s="1"/>
  <c r="G233" i="20"/>
  <c r="AH21" i="19"/>
  <c r="AI99" i="19"/>
  <c r="AI102" i="19" s="1"/>
  <c r="F233" i="20"/>
  <c r="CH24" i="16"/>
  <c r="U209" i="20"/>
  <c r="H236" i="20" s="1"/>
  <c r="T511" i="20"/>
  <c r="D529" i="20" s="1"/>
  <c r="CE24" i="16"/>
  <c r="CF24" i="16"/>
  <c r="CG24" i="16"/>
  <c r="AT34" i="25"/>
  <c r="AT11" i="25"/>
  <c r="AE15" i="17"/>
  <c r="H210" i="25"/>
  <c r="DB267" i="37" l="1"/>
  <c r="E742" i="20" s="1"/>
  <c r="I742" i="20" s="1"/>
  <c r="AL648" i="20"/>
  <c r="CT50" i="23"/>
  <c r="CQ50" i="23"/>
  <c r="CR50" i="23"/>
  <c r="CS50" i="23"/>
  <c r="AC151" i="19"/>
  <c r="CK58" i="23"/>
  <c r="CK66" i="23" s="1"/>
  <c r="AL152" i="25"/>
  <c r="AL57" i="25"/>
  <c r="Y281" i="20"/>
  <c r="L310" i="20" s="1"/>
  <c r="F130" i="20"/>
  <c r="CQ16" i="15"/>
  <c r="CP49" i="23"/>
  <c r="CN16" i="15"/>
  <c r="CM49" i="23"/>
  <c r="CM58" i="23" s="1"/>
  <c r="CP16" i="15"/>
  <c r="CO49" i="23"/>
  <c r="DA279" i="37"/>
  <c r="DA277" i="37"/>
  <c r="DC37" i="37"/>
  <c r="DC12" i="37"/>
  <c r="AL61" i="37"/>
  <c r="AL217" i="37"/>
  <c r="DD215" i="37"/>
  <c r="DD208" i="37"/>
  <c r="DC59" i="37"/>
  <c r="DC52" i="37"/>
  <c r="DD137" i="37"/>
  <c r="DE28" i="37"/>
  <c r="DE205" i="37" s="1"/>
  <c r="DE206" i="37" s="1"/>
  <c r="DD49" i="37"/>
  <c r="DD50" i="37" s="1"/>
  <c r="DD31" i="37"/>
  <c r="DD32" i="37" s="1"/>
  <c r="AM117" i="25"/>
  <c r="AM49" i="25" s="1"/>
  <c r="AM35" i="25" s="1"/>
  <c r="DV117" i="37"/>
  <c r="DV122" i="37" s="1"/>
  <c r="DV53" i="37" s="1"/>
  <c r="DV209" i="37" s="1"/>
  <c r="DW117" i="37"/>
  <c r="DW122" i="37" s="1"/>
  <c r="DW53" i="37" s="1"/>
  <c r="DW209" i="37" s="1"/>
  <c r="DX117" i="37"/>
  <c r="DX122" i="37" s="1"/>
  <c r="DX53" i="37" s="1"/>
  <c r="DX209" i="37" s="1"/>
  <c r="DY117" i="37"/>
  <c r="DY122" i="37" s="1"/>
  <c r="DY53" i="37" s="1"/>
  <c r="DY209" i="37" s="1"/>
  <c r="AN117" i="25"/>
  <c r="AN49" i="25" s="1"/>
  <c r="AN144" i="25" s="1"/>
  <c r="AN146" i="25" s="1"/>
  <c r="AN148" i="25" s="1"/>
  <c r="DZ117" i="37"/>
  <c r="DZ122" i="37" s="1"/>
  <c r="DZ53" i="37" s="1"/>
  <c r="DZ209" i="37" s="1"/>
  <c r="EA117" i="37"/>
  <c r="EA122" i="37" s="1"/>
  <c r="EA53" i="37" s="1"/>
  <c r="EA209" i="37" s="1"/>
  <c r="EB117" i="37"/>
  <c r="EB122" i="37" s="1"/>
  <c r="EB53" i="37" s="1"/>
  <c r="EB209" i="37" s="1"/>
  <c r="EC117" i="37"/>
  <c r="EC122" i="37" s="1"/>
  <c r="EC53" i="37" s="1"/>
  <c r="EC209" i="37" s="1"/>
  <c r="AM209" i="37"/>
  <c r="AM211" i="37" s="1"/>
  <c r="AM213" i="37" s="1"/>
  <c r="AM214" i="37" s="1"/>
  <c r="AM216" i="37" s="1"/>
  <c r="AM15" i="37" s="1"/>
  <c r="AM270" i="37" s="1"/>
  <c r="AM141" i="37"/>
  <c r="AM143" i="37" s="1"/>
  <c r="AM145" i="37" s="1"/>
  <c r="AM38" i="37"/>
  <c r="AM61" i="37" s="1"/>
  <c r="AM55" i="37"/>
  <c r="AM57" i="37" s="1"/>
  <c r="AM58" i="37" s="1"/>
  <c r="AM60" i="37" s="1"/>
  <c r="AM13" i="37" s="1"/>
  <c r="AM268" i="37" s="1"/>
  <c r="AN38" i="37"/>
  <c r="AN217" i="37" s="1"/>
  <c r="AN55" i="37"/>
  <c r="AN57" i="37" s="1"/>
  <c r="AN58" i="37" s="1"/>
  <c r="AN60" i="37" s="1"/>
  <c r="AN13" i="37" s="1"/>
  <c r="AN268" i="37" s="1"/>
  <c r="AN141" i="37"/>
  <c r="AN143" i="37" s="1"/>
  <c r="AN145" i="37" s="1"/>
  <c r="H12" i="37"/>
  <c r="AV215" i="37"/>
  <c r="AV208" i="37"/>
  <c r="AW210" i="37"/>
  <c r="AW142" i="37"/>
  <c r="AV12" i="37"/>
  <c r="AV267" i="37" s="1"/>
  <c r="AV37" i="37"/>
  <c r="AW205" i="37"/>
  <c r="AW206" i="37" s="1"/>
  <c r="AW137" i="37"/>
  <c r="AW49" i="37"/>
  <c r="AW50" i="37" s="1"/>
  <c r="AV59" i="37"/>
  <c r="AV52" i="37"/>
  <c r="O50" i="2"/>
  <c r="N18" i="2"/>
  <c r="U205" i="20"/>
  <c r="H232" i="20" s="1"/>
  <c r="S509" i="20"/>
  <c r="K518" i="20" s="1"/>
  <c r="AB31" i="2"/>
  <c r="AB15" i="2" s="1"/>
  <c r="R32" i="2"/>
  <c r="R16" i="2" s="1"/>
  <c r="AB28" i="2"/>
  <c r="AB43" i="2"/>
  <c r="AB49" i="2"/>
  <c r="AB19" i="2" s="1"/>
  <c r="AB35" i="2"/>
  <c r="AC44" i="2"/>
  <c r="AB27" i="2"/>
  <c r="AB42" i="2"/>
  <c r="AA20" i="2"/>
  <c r="AC10" i="2"/>
  <c r="AC29" i="2"/>
  <c r="AD11" i="2"/>
  <c r="AC9" i="2"/>
  <c r="R77" i="36"/>
  <c r="S63" i="4"/>
  <c r="S32" i="4" s="1"/>
  <c r="S58" i="4"/>
  <c r="T55" i="4" s="1"/>
  <c r="T36" i="2" s="1"/>
  <c r="P34" i="2"/>
  <c r="AB29" i="15"/>
  <c r="AD12" i="17"/>
  <c r="U204" i="20" s="1"/>
  <c r="H231" i="20" s="1"/>
  <c r="AE13" i="17"/>
  <c r="CN56" i="16"/>
  <c r="CN18" i="16" s="1"/>
  <c r="CN66" i="23"/>
  <c r="CO56" i="16"/>
  <c r="CO18" i="16" s="1"/>
  <c r="CU6" i="15"/>
  <c r="CU5" i="15" s="1"/>
  <c r="CS6" i="15"/>
  <c r="CS5" i="15" s="1"/>
  <c r="CT7" i="15"/>
  <c r="AD29" i="24"/>
  <c r="AD30" i="24" s="1"/>
  <c r="CS7" i="15"/>
  <c r="AD23" i="24"/>
  <c r="CR6" i="15"/>
  <c r="CR5" i="15" s="1"/>
  <c r="CQ49" i="23" s="1"/>
  <c r="CQ58" i="23" s="1"/>
  <c r="AD34" i="24"/>
  <c r="AD26" i="24"/>
  <c r="CR7" i="15"/>
  <c r="CT6" i="15"/>
  <c r="CT5" i="15" s="1"/>
  <c r="CU7" i="15"/>
  <c r="AE21" i="24"/>
  <c r="AC22" i="15"/>
  <c r="CO16" i="15"/>
  <c r="AF18" i="24"/>
  <c r="AF19" i="24"/>
  <c r="AF20" i="24" s="1"/>
  <c r="AG17" i="24"/>
  <c r="CP56" i="16"/>
  <c r="CP18" i="16" s="1"/>
  <c r="CI66" i="23"/>
  <c r="CM56" i="16"/>
  <c r="CM18" i="16" s="1"/>
  <c r="D128" i="20"/>
  <c r="AC21" i="15"/>
  <c r="O64" i="4"/>
  <c r="O28" i="4" s="1"/>
  <c r="O88" i="4" s="1"/>
  <c r="O62" i="4"/>
  <c r="T220" i="20"/>
  <c r="AC8" i="17"/>
  <c r="CQ11" i="18"/>
  <c r="AC10" i="21" s="1"/>
  <c r="AG29" i="11"/>
  <c r="AM15" i="13"/>
  <c r="AH30" i="11"/>
  <c r="AA62" i="13"/>
  <c r="CE45" i="16"/>
  <c r="CE13" i="16" s="1"/>
  <c r="CJ40" i="13"/>
  <c r="CK40" i="13"/>
  <c r="CJ45" i="16" s="1"/>
  <c r="CJ13" i="16" s="1"/>
  <c r="CZ11" i="18" s="1"/>
  <c r="CL40" i="13"/>
  <c r="CK45" i="16" s="1"/>
  <c r="CK13" i="16" s="1"/>
  <c r="DA11" i="18" s="1"/>
  <c r="CM40" i="13"/>
  <c r="CL45" i="16" s="1"/>
  <c r="CL13" i="16" s="1"/>
  <c r="DB11" i="18" s="1"/>
  <c r="O274" i="20"/>
  <c r="O294" i="20" s="1"/>
  <c r="AI24" i="21"/>
  <c r="CY62" i="16"/>
  <c r="CY25" i="16" s="1"/>
  <c r="AI20" i="17" s="1"/>
  <c r="Z210" i="20" s="1"/>
  <c r="M237" i="20" s="1"/>
  <c r="AG32" i="15"/>
  <c r="AG34" i="15"/>
  <c r="AH28" i="15" s="1"/>
  <c r="AH27" i="15" s="1"/>
  <c r="DH15" i="15" s="1"/>
  <c r="DW25" i="18" s="1"/>
  <c r="AG18" i="21"/>
  <c r="X278" i="20" s="1"/>
  <c r="K307" i="20" s="1"/>
  <c r="AA94" i="16"/>
  <c r="AA96" i="16" s="1"/>
  <c r="AA102" i="16" s="1"/>
  <c r="AQ26" i="18" s="1"/>
  <c r="AA14" i="23" s="1"/>
  <c r="CF7" i="18"/>
  <c r="BP13" i="23"/>
  <c r="N510" i="20"/>
  <c r="F517" i="20"/>
  <c r="CI8" i="18"/>
  <c r="BS9" i="16"/>
  <c r="BS26" i="16" s="1"/>
  <c r="AA5" i="17"/>
  <c r="BU9" i="16"/>
  <c r="BU26" i="16" s="1"/>
  <c r="CK8" i="18"/>
  <c r="Z7" i="21"/>
  <c r="CE7" i="18"/>
  <c r="BO13" i="23"/>
  <c r="O202" i="20"/>
  <c r="O219" i="20" s="1"/>
  <c r="O221" i="20"/>
  <c r="E519" i="20"/>
  <c r="M512" i="20"/>
  <c r="M513" i="20"/>
  <c r="E522" i="20" s="1"/>
  <c r="CH7" i="18"/>
  <c r="BR13" i="23"/>
  <c r="L514" i="20"/>
  <c r="D523" i="20" s="1"/>
  <c r="D521" i="20"/>
  <c r="Z59" i="13"/>
  <c r="Z65" i="13" s="1"/>
  <c r="CA42" i="16"/>
  <c r="CB48" i="13"/>
  <c r="CG7" i="18"/>
  <c r="BQ13" i="23"/>
  <c r="U85" i="20"/>
  <c r="K88" i="20" s="1"/>
  <c r="K89" i="20" s="1"/>
  <c r="AL11" i="13"/>
  <c r="BW49" i="16"/>
  <c r="BW10" i="16"/>
  <c r="AG22" i="11"/>
  <c r="AM7" i="13" s="1"/>
  <c r="AM6" i="13" s="1"/>
  <c r="AH23" i="11"/>
  <c r="BZ10" i="16"/>
  <c r="BZ49" i="16"/>
  <c r="AN125" i="25"/>
  <c r="AN122" i="25" s="1"/>
  <c r="AN126" i="25" s="1"/>
  <c r="P200" i="20"/>
  <c r="P202" i="20" s="1"/>
  <c r="P219" i="20" s="1"/>
  <c r="O508" i="20"/>
  <c r="Y21" i="17"/>
  <c r="P211" i="20" s="1"/>
  <c r="CL8" i="18"/>
  <c r="BV9" i="16"/>
  <c r="BV26" i="16" s="1"/>
  <c r="CD42" i="16"/>
  <c r="CE48" i="13"/>
  <c r="CH36" i="13"/>
  <c r="CH35" i="13" s="1"/>
  <c r="CF36" i="13"/>
  <c r="CF35" i="13" s="1"/>
  <c r="AK10" i="13"/>
  <c r="AK9" i="13" s="1"/>
  <c r="CG36" i="13"/>
  <c r="CG35" i="13" s="1"/>
  <c r="CI36" i="13"/>
  <c r="CI35" i="13" s="1"/>
  <c r="S220" i="20"/>
  <c r="BY49" i="16"/>
  <c r="BY10" i="16"/>
  <c r="CB42" i="16"/>
  <c r="CC48" i="13"/>
  <c r="BT9" i="16"/>
  <c r="BT26" i="16" s="1"/>
  <c r="CJ8" i="18"/>
  <c r="BX49" i="16"/>
  <c r="BX10" i="16"/>
  <c r="Q201" i="20"/>
  <c r="Z4" i="17"/>
  <c r="CC42" i="16"/>
  <c r="CD48" i="13"/>
  <c r="Y6" i="21"/>
  <c r="P272" i="20" s="1"/>
  <c r="P273" i="20"/>
  <c r="Z127" i="16"/>
  <c r="Z129" i="16" s="1"/>
  <c r="Z131" i="16" s="1"/>
  <c r="CG61" i="16"/>
  <c r="CG63" i="16" s="1"/>
  <c r="CG17" i="16"/>
  <c r="Y135" i="16"/>
  <c r="CQ20" i="16"/>
  <c r="CV58" i="16"/>
  <c r="CV46" i="23"/>
  <c r="DL19" i="18" s="1"/>
  <c r="CR20" i="16"/>
  <c r="CU58" i="16"/>
  <c r="CU46" i="23"/>
  <c r="DK19" i="18" s="1"/>
  <c r="AE23" i="15"/>
  <c r="CI24" i="16"/>
  <c r="CJ24" i="16"/>
  <c r="CK24" i="16"/>
  <c r="CL24" i="16"/>
  <c r="V209" i="20"/>
  <c r="I236" i="20" s="1"/>
  <c r="U511" i="20"/>
  <c r="E529" i="20" s="1"/>
  <c r="Q359" i="20"/>
  <c r="D391" i="20" s="1"/>
  <c r="D388" i="20"/>
  <c r="W104" i="16"/>
  <c r="W105" i="16"/>
  <c r="X100" i="16"/>
  <c r="X103" i="16" s="1"/>
  <c r="E129" i="20"/>
  <c r="AD25" i="15"/>
  <c r="AF93" i="19" s="1"/>
  <c r="DA12" i="15"/>
  <c r="CZ45" i="23" s="1"/>
  <c r="DB12" i="15"/>
  <c r="DA45" i="23" s="1"/>
  <c r="DC12" i="15"/>
  <c r="DB45" i="23" s="1"/>
  <c r="CZ12" i="15"/>
  <c r="CY45" i="23" s="1"/>
  <c r="DH31" i="18"/>
  <c r="DH30" i="18" s="1"/>
  <c r="DH27" i="18" s="1"/>
  <c r="CV44" i="23"/>
  <c r="CW10" i="15"/>
  <c r="E282" i="20"/>
  <c r="CF61" i="16"/>
  <c r="CF63" i="16" s="1"/>
  <c r="CF17" i="16"/>
  <c r="AA17" i="19"/>
  <c r="R356" i="20" s="1"/>
  <c r="R358" i="20"/>
  <c r="E390" i="20" s="1"/>
  <c r="CE61" i="16"/>
  <c r="CE63" i="16" s="1"/>
  <c r="CE17" i="16"/>
  <c r="AJ99" i="19"/>
  <c r="AJ102" i="19" s="1"/>
  <c r="AI21" i="19"/>
  <c r="CU44" i="23"/>
  <c r="CV10" i="15"/>
  <c r="U284" i="20"/>
  <c r="H313" i="20" s="1"/>
  <c r="AD26" i="21"/>
  <c r="U283" i="20" s="1"/>
  <c r="H312" i="20" s="1"/>
  <c r="AC92" i="19"/>
  <c r="AC95" i="19" s="1"/>
  <c r="AB20" i="19"/>
  <c r="AB19" i="19" s="1"/>
  <c r="AV55" i="25"/>
  <c r="AV48" i="25"/>
  <c r="V285" i="20"/>
  <c r="I314" i="20" s="1"/>
  <c r="AE29" i="21"/>
  <c r="Z101" i="16"/>
  <c r="O34" i="17"/>
  <c r="Z36" i="16"/>
  <c r="AV210" i="25"/>
  <c r="AV217" i="25"/>
  <c r="DG31" i="18"/>
  <c r="AL63" i="27"/>
  <c r="AL11" i="27"/>
  <c r="AM7" i="27"/>
  <c r="V206" i="20"/>
  <c r="AF15" i="17"/>
  <c r="AK62" i="27"/>
  <c r="AK10" i="27" s="1"/>
  <c r="AK4" i="27" s="1"/>
  <c r="CT20" i="16"/>
  <c r="DI31" i="18"/>
  <c r="DI30" i="18" s="1"/>
  <c r="DI27" i="18" s="1"/>
  <c r="AX26" i="25"/>
  <c r="AW140" i="25"/>
  <c r="AW207" i="25"/>
  <c r="AW208" i="25" s="1"/>
  <c r="AW29" i="25"/>
  <c r="AW30" i="25" s="1"/>
  <c r="AW45" i="25"/>
  <c r="AW46" i="25" s="1"/>
  <c r="CZ11" i="15"/>
  <c r="AK5" i="27"/>
  <c r="DA11" i="15"/>
  <c r="DB11" i="15"/>
  <c r="DC11" i="15"/>
  <c r="AF30" i="21"/>
  <c r="DC30" i="18"/>
  <c r="DC27" i="18" s="1"/>
  <c r="CX44" i="23"/>
  <c r="CY10" i="15"/>
  <c r="AE94" i="19"/>
  <c r="AF19" i="17" s="1"/>
  <c r="CH61" i="16"/>
  <c r="CH63" i="16" s="1"/>
  <c r="CH17" i="16"/>
  <c r="CW44" i="23"/>
  <c r="CX10" i="15"/>
  <c r="CX58" i="16"/>
  <c r="CX46" i="23"/>
  <c r="DN19" i="18" s="1"/>
  <c r="S87" i="19"/>
  <c r="S88" i="19" s="1"/>
  <c r="AT268" i="25"/>
  <c r="H11" i="25"/>
  <c r="AJ106" i="19"/>
  <c r="AJ109" i="19" s="1"/>
  <c r="AI22" i="19"/>
  <c r="AV34" i="25"/>
  <c r="AV11" i="25"/>
  <c r="AV268" i="25" s="1"/>
  <c r="H233" i="20"/>
  <c r="CS20" i="16"/>
  <c r="H78" i="23"/>
  <c r="H34" i="25"/>
  <c r="Z102" i="16"/>
  <c r="AX50" i="25"/>
  <c r="AW145" i="25"/>
  <c r="AW123" i="25"/>
  <c r="AW212" i="25"/>
  <c r="D361" i="20"/>
  <c r="CW58" i="16"/>
  <c r="CW46" i="23"/>
  <c r="DM19" i="18" s="1"/>
  <c r="DJ31" i="18"/>
  <c r="DJ30" i="18" s="1"/>
  <c r="DJ27" i="18" s="1"/>
  <c r="L62" i="23"/>
  <c r="DB277" i="37" l="1"/>
  <c r="DC267" i="37"/>
  <c r="E743" i="20" s="1"/>
  <c r="I743" i="20" s="1"/>
  <c r="AM648" i="20"/>
  <c r="DB279" i="37"/>
  <c r="AD151" i="19"/>
  <c r="CU50" i="23"/>
  <c r="CV50" i="23"/>
  <c r="CW50" i="23"/>
  <c r="CX50" i="23"/>
  <c r="CP58" i="23"/>
  <c r="CP66" i="23" s="1"/>
  <c r="CO58" i="23"/>
  <c r="CO66" i="23" s="1"/>
  <c r="Z281" i="20"/>
  <c r="M310" i="20" s="1"/>
  <c r="F131" i="20"/>
  <c r="CU16" i="15"/>
  <c r="CT49" i="23"/>
  <c r="CT16" i="15"/>
  <c r="CS49" i="23"/>
  <c r="CS16" i="15"/>
  <c r="CR49" i="23"/>
  <c r="AN211" i="25"/>
  <c r="AN213" i="25" s="1"/>
  <c r="AN215" i="25" s="1"/>
  <c r="AN216" i="25" s="1"/>
  <c r="AN218" i="25" s="1"/>
  <c r="AN14" i="25" s="1"/>
  <c r="AN271" i="25" s="1"/>
  <c r="AN35" i="25"/>
  <c r="AN219" i="25" s="1"/>
  <c r="AN51" i="25"/>
  <c r="AN53" i="25" s="1"/>
  <c r="AN54" i="25" s="1"/>
  <c r="AN56" i="25" s="1"/>
  <c r="AN12" i="25" s="1"/>
  <c r="AN269" i="25" s="1"/>
  <c r="AM211" i="25"/>
  <c r="AM213" i="25" s="1"/>
  <c r="AM215" i="25" s="1"/>
  <c r="AM216" i="25" s="1"/>
  <c r="AM218" i="25" s="1"/>
  <c r="AM14" i="25" s="1"/>
  <c r="AM271" i="25" s="1"/>
  <c r="AM51" i="25"/>
  <c r="AM53" i="25" s="1"/>
  <c r="AM54" i="25" s="1"/>
  <c r="AM56" i="25" s="1"/>
  <c r="AM12" i="25" s="1"/>
  <c r="AM269" i="25" s="1"/>
  <c r="AM144" i="25"/>
  <c r="AM146" i="25" s="1"/>
  <c r="AM148" i="25" s="1"/>
  <c r="DC277" i="37"/>
  <c r="DD37" i="37"/>
  <c r="DD12" i="37"/>
  <c r="DE215" i="37"/>
  <c r="DE208" i="37"/>
  <c r="AM217" i="37"/>
  <c r="AM149" i="37"/>
  <c r="EB141" i="37"/>
  <c r="EB38" i="37"/>
  <c r="EC38" i="37"/>
  <c r="EC141" i="37"/>
  <c r="DV38" i="37"/>
  <c r="DV141" i="37"/>
  <c r="EA141" i="37"/>
  <c r="EA38" i="37"/>
  <c r="DZ38" i="37"/>
  <c r="DZ141" i="37"/>
  <c r="DD52" i="37"/>
  <c r="DD59" i="37"/>
  <c r="DE137" i="37"/>
  <c r="DF28" i="37"/>
  <c r="DF205" i="37" s="1"/>
  <c r="DF206" i="37" s="1"/>
  <c r="DE49" i="37"/>
  <c r="DE50" i="37" s="1"/>
  <c r="DE31" i="37"/>
  <c r="DE32" i="37" s="1"/>
  <c r="DY38" i="37"/>
  <c r="DY141" i="37"/>
  <c r="DX38" i="37"/>
  <c r="DX141" i="37"/>
  <c r="DW38" i="37"/>
  <c r="DW141" i="37"/>
  <c r="AN61" i="37"/>
  <c r="AN149" i="37"/>
  <c r="AO53" i="37"/>
  <c r="AP53" i="37"/>
  <c r="AX205" i="37"/>
  <c r="AX206" i="37" s="1"/>
  <c r="AX137" i="37"/>
  <c r="AX49" i="37"/>
  <c r="AX50" i="37" s="1"/>
  <c r="AW59" i="37"/>
  <c r="AW52" i="37"/>
  <c r="AW215" i="37"/>
  <c r="AW208" i="37"/>
  <c r="AX210" i="37"/>
  <c r="AX142" i="37"/>
  <c r="AW12" i="37"/>
  <c r="AW267" i="37" s="1"/>
  <c r="AW37" i="37"/>
  <c r="O21" i="2"/>
  <c r="O48" i="2"/>
  <c r="V205" i="20"/>
  <c r="I232" i="20" s="1"/>
  <c r="S32" i="2"/>
  <c r="S16" i="2" s="1"/>
  <c r="AC31" i="2"/>
  <c r="AC15" i="2" s="1"/>
  <c r="AB20" i="2"/>
  <c r="AC27" i="2"/>
  <c r="AC42" i="2"/>
  <c r="AD44" i="2"/>
  <c r="AC28" i="2"/>
  <c r="AC43" i="2"/>
  <c r="AC35" i="2"/>
  <c r="AC49" i="2"/>
  <c r="AD10" i="2"/>
  <c r="AD29" i="2"/>
  <c r="AD9" i="2"/>
  <c r="AE11" i="2"/>
  <c r="S77" i="36"/>
  <c r="T63" i="4"/>
  <c r="T32" i="4" s="1"/>
  <c r="T58" i="4"/>
  <c r="U55" i="4" s="1"/>
  <c r="U36" i="2" s="1"/>
  <c r="T509" i="20"/>
  <c r="D527" i="20" s="1"/>
  <c r="AE12" i="17"/>
  <c r="U509" i="20" s="1"/>
  <c r="E527" i="20" s="1"/>
  <c r="AD22" i="15"/>
  <c r="AC29" i="15"/>
  <c r="AF13" i="17"/>
  <c r="AG19" i="24"/>
  <c r="AG20" i="24" s="1"/>
  <c r="AH17" i="24"/>
  <c r="AG18" i="24"/>
  <c r="CS56" i="16"/>
  <c r="CS18" i="16" s="1"/>
  <c r="CR56" i="16"/>
  <c r="CR18" i="16" s="1"/>
  <c r="AF21" i="24"/>
  <c r="CT56" i="16"/>
  <c r="CT18" i="16" s="1"/>
  <c r="CQ56" i="16"/>
  <c r="CQ18" i="16" s="1"/>
  <c r="D129" i="20"/>
  <c r="AD21" i="15"/>
  <c r="CV7" i="15"/>
  <c r="AE26" i="24"/>
  <c r="AE29" i="24"/>
  <c r="AE30" i="24" s="1"/>
  <c r="AE34" i="24"/>
  <c r="CV6" i="15"/>
  <c r="CV5" i="15" s="1"/>
  <c r="CU49" i="23" s="1"/>
  <c r="CU58" i="23" s="1"/>
  <c r="CY6" i="15"/>
  <c r="CY5" i="15" s="1"/>
  <c r="AE23" i="24"/>
  <c r="CW7" i="15"/>
  <c r="CW6" i="15"/>
  <c r="CW5" i="15" s="1"/>
  <c r="CV49" i="23" s="1"/>
  <c r="CV58" i="23" s="1"/>
  <c r="CX7" i="15"/>
  <c r="CX6" i="15"/>
  <c r="CX5" i="15" s="1"/>
  <c r="CY7" i="15"/>
  <c r="CM66" i="23"/>
  <c r="CR16" i="15"/>
  <c r="P59" i="4"/>
  <c r="O78" i="36"/>
  <c r="AB94" i="16"/>
  <c r="AB96" i="16" s="1"/>
  <c r="Z130" i="16"/>
  <c r="AA121" i="16" s="1"/>
  <c r="AB62" i="13"/>
  <c r="CI45" i="16"/>
  <c r="CI13" i="16" s="1"/>
  <c r="CU11" i="18"/>
  <c r="AD10" i="21" s="1"/>
  <c r="AD8" i="17"/>
  <c r="AI30" i="11"/>
  <c r="AH29" i="11"/>
  <c r="AN15" i="13"/>
  <c r="CO40" i="13"/>
  <c r="CN45" i="16" s="1"/>
  <c r="CN13" i="16" s="1"/>
  <c r="DD11" i="18" s="1"/>
  <c r="CP40" i="13"/>
  <c r="CO45" i="16" s="1"/>
  <c r="CO13" i="16" s="1"/>
  <c r="DE11" i="18" s="1"/>
  <c r="CQ40" i="13"/>
  <c r="CP45" i="16" s="1"/>
  <c r="CP13" i="16" s="1"/>
  <c r="DF11" i="18" s="1"/>
  <c r="CN40" i="13"/>
  <c r="P221" i="20"/>
  <c r="AJ24" i="21"/>
  <c r="DC62" i="16"/>
  <c r="DC25" i="16" s="1"/>
  <c r="AJ20" i="17" s="1"/>
  <c r="AA210" i="20" s="1"/>
  <c r="N237" i="20" s="1"/>
  <c r="U220" i="20"/>
  <c r="AH34" i="15"/>
  <c r="AI28" i="15" s="1"/>
  <c r="AI27" i="15" s="1"/>
  <c r="DL15" i="15" s="1"/>
  <c r="EA25" i="18" s="1"/>
  <c r="AH32" i="15"/>
  <c r="P274" i="20"/>
  <c r="P294" i="20" s="1"/>
  <c r="Q200" i="20"/>
  <c r="P508" i="20"/>
  <c r="Z21" i="17"/>
  <c r="Q211" i="20" s="1"/>
  <c r="AO125" i="25"/>
  <c r="AO122" i="25" s="1"/>
  <c r="AO126" i="25" s="1"/>
  <c r="CO8" i="18"/>
  <c r="BY9" i="16"/>
  <c r="BY26" i="16" s="1"/>
  <c r="O510" i="20"/>
  <c r="G517" i="20"/>
  <c r="R201" i="20"/>
  <c r="AA4" i="17"/>
  <c r="D228" i="20"/>
  <c r="CE42" i="16"/>
  <c r="CF48" i="13"/>
  <c r="AA59" i="13"/>
  <c r="AA65" i="13" s="1"/>
  <c r="CN8" i="18"/>
  <c r="BX9" i="16"/>
  <c r="BX26" i="16" s="1"/>
  <c r="CH48" i="13"/>
  <c r="CG42" i="16"/>
  <c r="AO127" i="25"/>
  <c r="AO112" i="25" s="1"/>
  <c r="CI7" i="18"/>
  <c r="AA7" i="21"/>
  <c r="BS13" i="23"/>
  <c r="CA10" i="16"/>
  <c r="CA49" i="16"/>
  <c r="CJ7" i="18"/>
  <c r="BT13" i="23"/>
  <c r="CD10" i="16"/>
  <c r="CD49" i="16"/>
  <c r="CP8" i="18"/>
  <c r="BZ9" i="16"/>
  <c r="BZ26" i="16" s="1"/>
  <c r="AM219" i="25"/>
  <c r="AM57" i="25"/>
  <c r="AM152" i="25"/>
  <c r="N513" i="20"/>
  <c r="F522" i="20" s="1"/>
  <c r="F519" i="20"/>
  <c r="N512" i="20"/>
  <c r="AH22" i="11"/>
  <c r="AN7" i="13" s="1"/>
  <c r="AN6" i="13" s="1"/>
  <c r="AI23" i="11"/>
  <c r="Z6" i="21"/>
  <c r="Q272" i="20" s="1"/>
  <c r="Q273" i="20"/>
  <c r="D302" i="20" s="1"/>
  <c r="CH42" i="16"/>
  <c r="CI48" i="13"/>
  <c r="BV13" i="23"/>
  <c r="CL7" i="18"/>
  <c r="V85" i="20"/>
  <c r="L88" i="20" s="1"/>
  <c r="L89" i="20" s="1"/>
  <c r="AM11" i="13"/>
  <c r="CK36" i="13"/>
  <c r="CK35" i="13" s="1"/>
  <c r="AL10" i="13"/>
  <c r="AL9" i="13" s="1"/>
  <c r="CL36" i="13"/>
  <c r="CL35" i="13" s="1"/>
  <c r="CM36" i="13"/>
  <c r="CM35" i="13" s="1"/>
  <c r="CJ36" i="13"/>
  <c r="CJ35" i="13" s="1"/>
  <c r="CK7" i="18"/>
  <c r="BU13" i="23"/>
  <c r="CC49" i="16"/>
  <c r="CC10" i="16"/>
  <c r="CB10" i="16"/>
  <c r="CB49" i="16"/>
  <c r="CG48" i="13"/>
  <c r="CF42" i="16"/>
  <c r="CM8" i="18"/>
  <c r="BW9" i="16"/>
  <c r="BW26" i="16" s="1"/>
  <c r="AB5" i="17"/>
  <c r="E521" i="20"/>
  <c r="M514" i="20"/>
  <c r="E523" i="20" s="1"/>
  <c r="T85" i="19"/>
  <c r="S13" i="19"/>
  <c r="J354" i="20" s="1"/>
  <c r="CZ44" i="23"/>
  <c r="DA10" i="15"/>
  <c r="DD12" i="15"/>
  <c r="DC45" i="23" s="1"/>
  <c r="DE12" i="15"/>
  <c r="DD45" i="23" s="1"/>
  <c r="DF12" i="15"/>
  <c r="DE45" i="23" s="1"/>
  <c r="DG12" i="15"/>
  <c r="DF45" i="23" s="1"/>
  <c r="AB17" i="19"/>
  <c r="S356" i="20" s="1"/>
  <c r="S358" i="20"/>
  <c r="F390" i="20" s="1"/>
  <c r="M57" i="23"/>
  <c r="CP24" i="16"/>
  <c r="CM24" i="16"/>
  <c r="W209" i="20"/>
  <c r="J236" i="20" s="1"/>
  <c r="V511" i="20"/>
  <c r="F529" i="20" s="1"/>
  <c r="CN24" i="16"/>
  <c r="CO24" i="16"/>
  <c r="W206" i="20"/>
  <c r="AC20" i="19"/>
  <c r="AC19" i="19" s="1"/>
  <c r="AD92" i="19"/>
  <c r="AD95" i="19" s="1"/>
  <c r="CL61" i="16"/>
  <c r="CL63" i="16" s="1"/>
  <c r="CL17" i="16"/>
  <c r="CX20" i="16"/>
  <c r="DM31" i="18"/>
  <c r="DM30" i="18" s="1"/>
  <c r="DM27" i="18" s="1"/>
  <c r="H53" i="23"/>
  <c r="CY44" i="23"/>
  <c r="CZ10" i="15"/>
  <c r="AG30" i="21"/>
  <c r="DG30" i="18"/>
  <c r="DG27" i="18" s="1"/>
  <c r="AF94" i="19"/>
  <c r="AG19" i="17" s="1"/>
  <c r="CK61" i="16"/>
  <c r="CK63" i="16" s="1"/>
  <c r="CK17" i="16"/>
  <c r="CV20" i="16"/>
  <c r="AG15" i="17"/>
  <c r="AJ22" i="19"/>
  <c r="AK106" i="19"/>
  <c r="AK109" i="19" s="1"/>
  <c r="F217" i="20"/>
  <c r="O35" i="17"/>
  <c r="CJ61" i="16"/>
  <c r="CJ63" i="16" s="1"/>
  <c r="CJ17" i="16"/>
  <c r="W285" i="20"/>
  <c r="J314" i="20" s="1"/>
  <c r="AF29" i="21"/>
  <c r="AW11" i="25"/>
  <c r="AW268" i="25" s="1"/>
  <c r="AW34" i="25"/>
  <c r="I233" i="20"/>
  <c r="N181" i="19"/>
  <c r="AJ21" i="19"/>
  <c r="AK99" i="19"/>
  <c r="AK102" i="19" s="1"/>
  <c r="R359" i="20"/>
  <c r="E391" i="20" s="1"/>
  <c r="E388" i="20"/>
  <c r="DL31" i="18"/>
  <c r="DL30" i="18" s="1"/>
  <c r="DL27" i="18" s="1"/>
  <c r="X104" i="16"/>
  <c r="X105" i="16"/>
  <c r="Y100" i="16"/>
  <c r="Y103" i="16" s="1"/>
  <c r="CI61" i="16"/>
  <c r="CI63" i="16" s="1"/>
  <c r="CI17" i="16"/>
  <c r="AH18" i="21"/>
  <c r="Y278" i="20" s="1"/>
  <c r="L307" i="20" s="1"/>
  <c r="AD89" i="16"/>
  <c r="AD88" i="16"/>
  <c r="DN31" i="18"/>
  <c r="DN30" i="18" s="1"/>
  <c r="DN27" i="18" s="1"/>
  <c r="AW55" i="25"/>
  <c r="AW48" i="25"/>
  <c r="AY50" i="25"/>
  <c r="AX145" i="25"/>
  <c r="AX123" i="25"/>
  <c r="AX212" i="25"/>
  <c r="CW20" i="16"/>
  <c r="D363" i="20"/>
  <c r="AP26" i="18"/>
  <c r="Z14" i="23" s="1"/>
  <c r="V654" i="20" s="1"/>
  <c r="V672" i="20" s="1"/>
  <c r="N182" i="19"/>
  <c r="AW210" i="25"/>
  <c r="AW217" i="25"/>
  <c r="CZ8" i="15"/>
  <c r="DA8" i="15"/>
  <c r="DB8" i="15"/>
  <c r="DC8" i="15"/>
  <c r="AM63" i="27"/>
  <c r="AM62" i="27" s="1"/>
  <c r="AM11" i="27"/>
  <c r="AN7" i="27"/>
  <c r="CU20" i="16"/>
  <c r="Z134" i="16"/>
  <c r="Z133" i="16"/>
  <c r="Z132" i="16"/>
  <c r="DC10" i="15"/>
  <c r="DB44" i="23"/>
  <c r="AL62" i="27"/>
  <c r="AL10" i="27" s="1"/>
  <c r="AL4" i="27" s="1"/>
  <c r="E130" i="20"/>
  <c r="AE25" i="15"/>
  <c r="AG93" i="19" s="1"/>
  <c r="DA44" i="23"/>
  <c r="DB10" i="15"/>
  <c r="AY26" i="25"/>
  <c r="AX140" i="25"/>
  <c r="AX207" i="25"/>
  <c r="AX208" i="25" s="1"/>
  <c r="AX29" i="25"/>
  <c r="AX30" i="25" s="1"/>
  <c r="AX45" i="25"/>
  <c r="AX46" i="25" s="1"/>
  <c r="DF11" i="15"/>
  <c r="DG11" i="15"/>
  <c r="AL5" i="27"/>
  <c r="DD11" i="15"/>
  <c r="DE11" i="15"/>
  <c r="V284" i="20"/>
  <c r="I313" i="20" s="1"/>
  <c r="AE26" i="21"/>
  <c r="V283" i="20" s="1"/>
  <c r="I312" i="20" s="1"/>
  <c r="DK31" i="18"/>
  <c r="DC279" i="37" l="1"/>
  <c r="DD267" i="37"/>
  <c r="E744" i="20" s="1"/>
  <c r="I744" i="20" s="1"/>
  <c r="AN648" i="20"/>
  <c r="AE151" i="19"/>
  <c r="CR58" i="23"/>
  <c r="CR66" i="23" s="1"/>
  <c r="CS58" i="23"/>
  <c r="CS66" i="23" s="1"/>
  <c r="CT58" i="23"/>
  <c r="CT66" i="23" s="1"/>
  <c r="AA281" i="20"/>
  <c r="N310" i="20" s="1"/>
  <c r="F132" i="20"/>
  <c r="AN57" i="25"/>
  <c r="AN152" i="25"/>
  <c r="CX16" i="15"/>
  <c r="CW49" i="23"/>
  <c r="CY16" i="15"/>
  <c r="CX49" i="23"/>
  <c r="DE37" i="37"/>
  <c r="DE12" i="37"/>
  <c r="AO648" i="20" s="1"/>
  <c r="DF215" i="37"/>
  <c r="DF208" i="37"/>
  <c r="DE59" i="37"/>
  <c r="DE52" i="37"/>
  <c r="DF137" i="37"/>
  <c r="DF49" i="37"/>
  <c r="DF50" i="37" s="1"/>
  <c r="DG28" i="37"/>
  <c r="DG205" i="37" s="1"/>
  <c r="DG206" i="37" s="1"/>
  <c r="DF31" i="37"/>
  <c r="DF32" i="37" s="1"/>
  <c r="AO117" i="25"/>
  <c r="AO49" i="25" s="1"/>
  <c r="AO211" i="25" s="1"/>
  <c r="AO213" i="25" s="1"/>
  <c r="AO215" i="25" s="1"/>
  <c r="AO216" i="25" s="1"/>
  <c r="AO218" i="25" s="1"/>
  <c r="AO14" i="25" s="1"/>
  <c r="AO271" i="25" s="1"/>
  <c r="ED117" i="37"/>
  <c r="ED122" i="37" s="1"/>
  <c r="ED53" i="37" s="1"/>
  <c r="ED209" i="37" s="1"/>
  <c r="EE117" i="37"/>
  <c r="EE122" i="37" s="1"/>
  <c r="EE53" i="37" s="1"/>
  <c r="EE209" i="37" s="1"/>
  <c r="EF117" i="37"/>
  <c r="EF122" i="37" s="1"/>
  <c r="EF53" i="37" s="1"/>
  <c r="EF209" i="37" s="1"/>
  <c r="EG117" i="37"/>
  <c r="EG122" i="37" s="1"/>
  <c r="EG53" i="37" s="1"/>
  <c r="EG209" i="37" s="1"/>
  <c r="AP209" i="37"/>
  <c r="AP211" i="37" s="1"/>
  <c r="AP213" i="37" s="1"/>
  <c r="AP214" i="37" s="1"/>
  <c r="AP216" i="37" s="1"/>
  <c r="AP15" i="37" s="1"/>
  <c r="AP270" i="37" s="1"/>
  <c r="AP141" i="37"/>
  <c r="AP143" i="37" s="1"/>
  <c r="AP145" i="37" s="1"/>
  <c r="AP55" i="37"/>
  <c r="AP57" i="37" s="1"/>
  <c r="AP58" i="37" s="1"/>
  <c r="AP60" i="37" s="1"/>
  <c r="AP13" i="37" s="1"/>
  <c r="AP268" i="37" s="1"/>
  <c r="AP38" i="37"/>
  <c r="AP217" i="37" s="1"/>
  <c r="AO209" i="37"/>
  <c r="AO211" i="37" s="1"/>
  <c r="AO213" i="37" s="1"/>
  <c r="AO214" i="37" s="1"/>
  <c r="AO216" i="37" s="1"/>
  <c r="AO15" i="37" s="1"/>
  <c r="AO270" i="37" s="1"/>
  <c r="AO141" i="37"/>
  <c r="AO143" i="37" s="1"/>
  <c r="AO145" i="37" s="1"/>
  <c r="AO55" i="37"/>
  <c r="AO57" i="37" s="1"/>
  <c r="AO58" i="37" s="1"/>
  <c r="AO60" i="37" s="1"/>
  <c r="AO13" i="37" s="1"/>
  <c r="AO268" i="37" s="1"/>
  <c r="AO38" i="37"/>
  <c r="AO217" i="37" s="1"/>
  <c r="AY205" i="37"/>
  <c r="AY206" i="37" s="1"/>
  <c r="AY137" i="37"/>
  <c r="AY49" i="37"/>
  <c r="AY50" i="37" s="1"/>
  <c r="AX59" i="37"/>
  <c r="AX52" i="37"/>
  <c r="AY210" i="37"/>
  <c r="AY142" i="37"/>
  <c r="AX215" i="37"/>
  <c r="AX208" i="37"/>
  <c r="AX12" i="37"/>
  <c r="AX267" i="37" s="1"/>
  <c r="AX37" i="37"/>
  <c r="O18" i="2"/>
  <c r="P50" i="2"/>
  <c r="W205" i="20"/>
  <c r="J232" i="20" s="1"/>
  <c r="AD31" i="2"/>
  <c r="AD15" i="2" s="1"/>
  <c r="T32" i="2"/>
  <c r="T16" i="2" s="1"/>
  <c r="AD35" i="2"/>
  <c r="AD49" i="2"/>
  <c r="AD28" i="2"/>
  <c r="AD43" i="2"/>
  <c r="AE44" i="2"/>
  <c r="AD27" i="2"/>
  <c r="AD42" i="2"/>
  <c r="AC19" i="2"/>
  <c r="AC20" i="2"/>
  <c r="AE10" i="2"/>
  <c r="AE29" i="2"/>
  <c r="AE9" i="2"/>
  <c r="AF11" i="2"/>
  <c r="U63" i="4"/>
  <c r="U32" i="4" s="1"/>
  <c r="U58" i="4"/>
  <c r="V55" i="4" s="1"/>
  <c r="V36" i="2" s="1"/>
  <c r="T77" i="36"/>
  <c r="Q34" i="2"/>
  <c r="AF12" i="17"/>
  <c r="V509" i="20" s="1"/>
  <c r="F527" i="20" s="1"/>
  <c r="V204" i="20"/>
  <c r="I231" i="20" s="1"/>
  <c r="AC94" i="16"/>
  <c r="AC96" i="16" s="1"/>
  <c r="AC102" i="16" s="1"/>
  <c r="AS26" i="18" s="1"/>
  <c r="AC14" i="23" s="1"/>
  <c r="AD29" i="15"/>
  <c r="AE22" i="15"/>
  <c r="AG13" i="17"/>
  <c r="CU56" i="16"/>
  <c r="CU18" i="16" s="1"/>
  <c r="D130" i="20"/>
  <c r="AE21" i="15"/>
  <c r="CU66" i="23"/>
  <c r="CW56" i="16"/>
  <c r="CW18" i="16" s="1"/>
  <c r="AG21" i="24"/>
  <c r="CV66" i="23"/>
  <c r="CV56" i="16"/>
  <c r="CV18" i="16" s="1"/>
  <c r="DB6" i="15"/>
  <c r="DB5" i="15" s="1"/>
  <c r="CZ6" i="15"/>
  <c r="CZ5" i="15" s="1"/>
  <c r="AF34" i="24"/>
  <c r="DC7" i="15"/>
  <c r="DB7" i="15"/>
  <c r="DA7" i="15"/>
  <c r="DC6" i="15"/>
  <c r="DC5" i="15" s="1"/>
  <c r="AF29" i="24"/>
  <c r="AF30" i="24" s="1"/>
  <c r="AF23" i="24"/>
  <c r="DA6" i="15"/>
  <c r="DA5" i="15" s="1"/>
  <c r="AF26" i="24"/>
  <c r="CZ7" i="15"/>
  <c r="AI17" i="24"/>
  <c r="AH18" i="24"/>
  <c r="AH19" i="24"/>
  <c r="AH20" i="24" s="1"/>
  <c r="CQ66" i="23"/>
  <c r="CX56" i="16"/>
  <c r="CX18" i="16" s="1"/>
  <c r="CV16" i="15"/>
  <c r="CW16" i="15"/>
  <c r="P62" i="4"/>
  <c r="P64" i="4"/>
  <c r="P28" i="4" s="1"/>
  <c r="P88" i="4" s="1"/>
  <c r="AA126" i="16"/>
  <c r="AA120" i="16"/>
  <c r="AA124" i="16"/>
  <c r="AA123" i="16"/>
  <c r="AA125" i="16"/>
  <c r="AA117" i="16"/>
  <c r="AA122" i="16"/>
  <c r="AA119" i="16"/>
  <c r="AA118" i="16"/>
  <c r="CR40" i="13"/>
  <c r="CS40" i="13"/>
  <c r="CR45" i="16" s="1"/>
  <c r="CR13" i="16" s="1"/>
  <c r="DH11" i="18" s="1"/>
  <c r="CT40" i="13"/>
  <c r="CS45" i="16" s="1"/>
  <c r="CS13" i="16" s="1"/>
  <c r="DI11" i="18" s="1"/>
  <c r="CU40" i="13"/>
  <c r="CT45" i="16" s="1"/>
  <c r="CT13" i="16" s="1"/>
  <c r="DJ11" i="18" s="1"/>
  <c r="AO15" i="13"/>
  <c r="AI29" i="11"/>
  <c r="AJ30" i="11"/>
  <c r="AC62" i="13"/>
  <c r="CM45" i="16"/>
  <c r="CM13" i="16" s="1"/>
  <c r="AE8" i="17"/>
  <c r="CY11" i="18"/>
  <c r="AE10" i="21" s="1"/>
  <c r="N183" i="19"/>
  <c r="N184" i="19" s="1"/>
  <c r="N15" i="19" s="1"/>
  <c r="AI34" i="15"/>
  <c r="AJ28" i="15" s="1"/>
  <c r="AJ27" i="15" s="1"/>
  <c r="DP15" i="15" s="1"/>
  <c r="EE25" i="18" s="1"/>
  <c r="AI32" i="15"/>
  <c r="AK24" i="21"/>
  <c r="DG62" i="16"/>
  <c r="DG25" i="16" s="1"/>
  <c r="AK20" i="17" s="1"/>
  <c r="AB210" i="20" s="1"/>
  <c r="O237" i="20" s="1"/>
  <c r="AB4" i="17"/>
  <c r="S201" i="20"/>
  <c r="AM10" i="13"/>
  <c r="AM9" i="13" s="1"/>
  <c r="CN36" i="13"/>
  <c r="CN35" i="13" s="1"/>
  <c r="CO36" i="13"/>
  <c r="CO35" i="13" s="1"/>
  <c r="CP36" i="13"/>
  <c r="CP35" i="13" s="1"/>
  <c r="CQ36" i="13"/>
  <c r="CQ35" i="13" s="1"/>
  <c r="CT8" i="18"/>
  <c r="CD9" i="16"/>
  <c r="CD26" i="16" s="1"/>
  <c r="CD34" i="16" s="1"/>
  <c r="R273" i="20"/>
  <c r="E302" i="20" s="1"/>
  <c r="AA6" i="21"/>
  <c r="R272" i="20" s="1"/>
  <c r="O513" i="20"/>
  <c r="G522" i="20" s="1"/>
  <c r="G519" i="20"/>
  <c r="O512" i="20"/>
  <c r="CM7" i="18"/>
  <c r="AB7" i="21"/>
  <c r="BW13" i="23"/>
  <c r="CF49" i="16"/>
  <c r="CF10" i="16"/>
  <c r="CI42" i="16"/>
  <c r="CJ48" i="13"/>
  <c r="AB59" i="13"/>
  <c r="AB65" i="13" s="1"/>
  <c r="AI22" i="11"/>
  <c r="AO7" i="13" s="1"/>
  <c r="AO6" i="13" s="1"/>
  <c r="AJ23" i="11"/>
  <c r="CE49" i="16"/>
  <c r="CE10" i="16"/>
  <c r="CO7" i="18"/>
  <c r="BY13" i="23"/>
  <c r="CM48" i="13"/>
  <c r="CL42" i="16"/>
  <c r="W85" i="20"/>
  <c r="M88" i="20" s="1"/>
  <c r="M89" i="20" s="1"/>
  <c r="AN11" i="13"/>
  <c r="AC5" i="17"/>
  <c r="CQ8" i="18"/>
  <c r="CA9" i="16"/>
  <c r="CA26" i="16" s="1"/>
  <c r="CG49" i="16"/>
  <c r="CG10" i="16"/>
  <c r="AP127" i="25"/>
  <c r="AP112" i="25" s="1"/>
  <c r="CK42" i="16"/>
  <c r="CL48" i="13"/>
  <c r="CH10" i="16"/>
  <c r="CH49" i="16"/>
  <c r="Q221" i="20"/>
  <c r="D238" i="20"/>
  <c r="CB9" i="16"/>
  <c r="CB26" i="16" s="1"/>
  <c r="CR8" i="18"/>
  <c r="CP7" i="18"/>
  <c r="BZ13" i="23"/>
  <c r="R200" i="20"/>
  <c r="Q508" i="20"/>
  <c r="AA21" i="17"/>
  <c r="R211" i="20" s="1"/>
  <c r="E238" i="20" s="1"/>
  <c r="AP125" i="25"/>
  <c r="AP122" i="25" s="1"/>
  <c r="AP126" i="25" s="1"/>
  <c r="P510" i="20"/>
  <c r="H517" i="20"/>
  <c r="CS8" i="18"/>
  <c r="CC9" i="16"/>
  <c r="CC26" i="16" s="1"/>
  <c r="CC34" i="16" s="1"/>
  <c r="CC36" i="16" s="1"/>
  <c r="CJ42" i="16"/>
  <c r="CK48" i="13"/>
  <c r="Q274" i="20"/>
  <c r="D303" i="20" s="1"/>
  <c r="D301" i="20"/>
  <c r="N514" i="20"/>
  <c r="F523" i="20" s="1"/>
  <c r="F521" i="20"/>
  <c r="CN7" i="18"/>
  <c r="BX13" i="23"/>
  <c r="E228" i="20"/>
  <c r="Q202" i="20"/>
  <c r="D227" i="20"/>
  <c r="S359" i="20"/>
  <c r="F391" i="20" s="1"/>
  <c r="F388" i="20"/>
  <c r="DF44" i="23"/>
  <c r="DG10" i="15"/>
  <c r="AX210" i="25"/>
  <c r="AX217" i="25"/>
  <c r="CZ58" i="16"/>
  <c r="CZ46" i="23"/>
  <c r="DP19" i="18" s="1"/>
  <c r="DR31" i="18"/>
  <c r="DR30" i="18" s="1"/>
  <c r="DR27" i="18" s="1"/>
  <c r="DI12" i="15"/>
  <c r="DH45" i="23" s="1"/>
  <c r="DJ12" i="15"/>
  <c r="DI45" i="23" s="1"/>
  <c r="DK12" i="15"/>
  <c r="DJ45" i="23" s="1"/>
  <c r="DH12" i="15"/>
  <c r="DG45" i="23" s="1"/>
  <c r="CY58" i="16"/>
  <c r="AF23" i="15"/>
  <c r="CY46" i="23"/>
  <c r="DO19" i="18" s="1"/>
  <c r="AZ50" i="25"/>
  <c r="AY145" i="25"/>
  <c r="AY123" i="25"/>
  <c r="AY212" i="25"/>
  <c r="N221" i="19"/>
  <c r="F218" i="20"/>
  <c r="J14" i="22"/>
  <c r="E131" i="20"/>
  <c r="AF25" i="15"/>
  <c r="AH93" i="19" s="1"/>
  <c r="AH94" i="19" s="1"/>
  <c r="AI19" i="17" s="1"/>
  <c r="J233" i="20"/>
  <c r="CM61" i="16"/>
  <c r="CM63" i="16" s="1"/>
  <c r="CM17" i="16"/>
  <c r="DA58" i="16"/>
  <c r="DA46" i="23"/>
  <c r="DQ19" i="18" s="1"/>
  <c r="DD44" i="23"/>
  <c r="DE10" i="15"/>
  <c r="DD8" i="15"/>
  <c r="DE8" i="15"/>
  <c r="DF8" i="15"/>
  <c r="DG8" i="15"/>
  <c r="AH15" i="17"/>
  <c r="X285" i="20"/>
  <c r="K314" i="20" s="1"/>
  <c r="AG29" i="21"/>
  <c r="DO31" i="18"/>
  <c r="CP61" i="16"/>
  <c r="CP63" i="16" s="1"/>
  <c r="CP17" i="16"/>
  <c r="DE44" i="23"/>
  <c r="DF10" i="15"/>
  <c r="T87" i="19"/>
  <c r="T88" i="19" s="1"/>
  <c r="DH11" i="15"/>
  <c r="AM10" i="27"/>
  <c r="AM4" i="27" s="1"/>
  <c r="DI11" i="15"/>
  <c r="DJ11" i="15"/>
  <c r="AM5" i="27"/>
  <c r="DK11" i="15"/>
  <c r="AG94" i="19"/>
  <c r="AH19" i="17" s="1"/>
  <c r="DK30" i="18"/>
  <c r="DK27" i="18" s="1"/>
  <c r="AH30" i="21"/>
  <c r="AD90" i="16"/>
  <c r="X206" i="20"/>
  <c r="AN63" i="27"/>
  <c r="AN62" i="27" s="1"/>
  <c r="AN11" i="27"/>
  <c r="AO7" i="27"/>
  <c r="AB102" i="16"/>
  <c r="DH8" i="15"/>
  <c r="DI8" i="15"/>
  <c r="DJ8" i="15"/>
  <c r="DK8" i="15"/>
  <c r="DC44" i="23"/>
  <c r="DD10" i="15"/>
  <c r="AX55" i="25"/>
  <c r="AX48" i="25"/>
  <c r="DQ31" i="18"/>
  <c r="DQ30" i="18" s="1"/>
  <c r="DQ27" i="18" s="1"/>
  <c r="O25" i="21"/>
  <c r="Z100" i="16"/>
  <c r="Z103" i="16" s="1"/>
  <c r="Y104" i="16"/>
  <c r="Y105" i="16"/>
  <c r="AL106" i="19"/>
  <c r="AL109" i="19" s="1"/>
  <c r="AK22" i="19"/>
  <c r="H82" i="23"/>
  <c r="AY29" i="25"/>
  <c r="AY30" i="25" s="1"/>
  <c r="AY45" i="25"/>
  <c r="AY46" i="25" s="1"/>
  <c r="AZ26" i="25"/>
  <c r="AY140" i="25"/>
  <c r="AY207" i="25"/>
  <c r="AY208" i="25" s="1"/>
  <c r="AX34" i="25"/>
  <c r="AX11" i="25"/>
  <c r="AX268" i="25" s="1"/>
  <c r="Z135" i="16"/>
  <c r="W284" i="20"/>
  <c r="J313" i="20" s="1"/>
  <c r="AF26" i="21"/>
  <c r="W283" i="20" s="1"/>
  <c r="J312" i="20" s="1"/>
  <c r="AD20" i="19"/>
  <c r="AD19" i="19" s="1"/>
  <c r="AE92" i="19"/>
  <c r="AE95" i="19" s="1"/>
  <c r="CO61" i="16"/>
  <c r="CO63" i="16" s="1"/>
  <c r="CO17" i="16"/>
  <c r="M64" i="23"/>
  <c r="M61" i="23" s="1"/>
  <c r="M62" i="23" s="1"/>
  <c r="DP31" i="18"/>
  <c r="DP30" i="18" s="1"/>
  <c r="DP27" i="18" s="1"/>
  <c r="DB58" i="16"/>
  <c r="DB46" i="23"/>
  <c r="DR19" i="18" s="1"/>
  <c r="AL99" i="19"/>
  <c r="AL102" i="19" s="1"/>
  <c r="AK21" i="19"/>
  <c r="CQ24" i="16"/>
  <c r="CR24" i="16"/>
  <c r="CS24" i="16"/>
  <c r="CT24" i="16"/>
  <c r="X209" i="20"/>
  <c r="K236" i="20" s="1"/>
  <c r="W511" i="20"/>
  <c r="G529" i="20" s="1"/>
  <c r="AC17" i="19"/>
  <c r="T356" i="20" s="1"/>
  <c r="T358" i="20"/>
  <c r="G390" i="20" s="1"/>
  <c r="CN61" i="16"/>
  <c r="CN63" i="16" s="1"/>
  <c r="CN17" i="16"/>
  <c r="DD279" i="37" l="1"/>
  <c r="DD277" i="37"/>
  <c r="DB50" i="23"/>
  <c r="DA50" i="23"/>
  <c r="CY50" i="23"/>
  <c r="CZ50" i="23"/>
  <c r="AF151" i="19"/>
  <c r="CX58" i="23"/>
  <c r="CX66" i="23" s="1"/>
  <c r="CW58" i="23"/>
  <c r="CW66" i="23" s="1"/>
  <c r="AB281" i="20"/>
  <c r="O310" i="20" s="1"/>
  <c r="F133" i="20"/>
  <c r="AO35" i="25"/>
  <c r="AO152" i="25" s="1"/>
  <c r="DB16" i="15"/>
  <c r="DA49" i="23"/>
  <c r="DC16" i="15"/>
  <c r="DB49" i="23"/>
  <c r="DA16" i="15"/>
  <c r="CZ49" i="23"/>
  <c r="CZ16" i="15"/>
  <c r="CY49" i="23"/>
  <c r="CY58" i="23" s="1"/>
  <c r="AO51" i="25"/>
  <c r="AO53" i="25" s="1"/>
  <c r="AO54" i="25" s="1"/>
  <c r="AO56" i="25" s="1"/>
  <c r="AO12" i="25" s="1"/>
  <c r="AO269" i="25" s="1"/>
  <c r="AO144" i="25"/>
  <c r="AO146" i="25" s="1"/>
  <c r="AO148" i="25" s="1"/>
  <c r="DE267" i="37"/>
  <c r="E745" i="20" s="1"/>
  <c r="I745" i="20" s="1"/>
  <c r="AH319" i="25"/>
  <c r="AP61" i="37"/>
  <c r="DF37" i="37"/>
  <c r="DF12" i="37"/>
  <c r="DG215" i="37"/>
  <c r="DG208" i="37"/>
  <c r="ED141" i="37"/>
  <c r="ED38" i="37"/>
  <c r="AP149" i="37"/>
  <c r="DG137" i="37"/>
  <c r="DG49" i="37"/>
  <c r="DG50" i="37" s="1"/>
  <c r="DH28" i="37"/>
  <c r="DH205" i="37" s="1"/>
  <c r="DH206" i="37" s="1"/>
  <c r="DG31" i="37"/>
  <c r="DG32" i="37" s="1"/>
  <c r="DF59" i="37"/>
  <c r="DF52" i="37"/>
  <c r="AP117" i="25"/>
  <c r="AP49" i="25" s="1"/>
  <c r="AP35" i="25" s="1"/>
  <c r="EH117" i="37"/>
  <c r="EH122" i="37" s="1"/>
  <c r="EH53" i="37" s="1"/>
  <c r="EH209" i="37" s="1"/>
  <c r="EI117" i="37"/>
  <c r="EI122" i="37" s="1"/>
  <c r="EI53" i="37" s="1"/>
  <c r="EI209" i="37" s="1"/>
  <c r="EJ117" i="37"/>
  <c r="EJ122" i="37" s="1"/>
  <c r="EJ53" i="37" s="1"/>
  <c r="EJ209" i="37" s="1"/>
  <c r="EK117" i="37"/>
  <c r="EK122" i="37" s="1"/>
  <c r="EK53" i="37" s="1"/>
  <c r="EK209" i="37" s="1"/>
  <c r="EG141" i="37"/>
  <c r="EG38" i="37"/>
  <c r="EF141" i="37"/>
  <c r="EF38" i="37"/>
  <c r="EE38" i="37"/>
  <c r="EE141" i="37"/>
  <c r="AO61" i="37"/>
  <c r="AO149" i="37"/>
  <c r="AQ53" i="37"/>
  <c r="AY37" i="37"/>
  <c r="AY12" i="37"/>
  <c r="AY267" i="37" s="1"/>
  <c r="AZ205" i="37"/>
  <c r="AZ206" i="37" s="1"/>
  <c r="AZ137" i="37"/>
  <c r="AZ49" i="37"/>
  <c r="AZ50" i="37" s="1"/>
  <c r="AY59" i="37"/>
  <c r="AY52" i="37"/>
  <c r="AZ210" i="37"/>
  <c r="AZ142" i="37"/>
  <c r="AY215" i="37"/>
  <c r="AY208" i="37"/>
  <c r="P21" i="2"/>
  <c r="P48" i="2"/>
  <c r="X205" i="20"/>
  <c r="K232" i="20" s="1"/>
  <c r="AE31" i="2"/>
  <c r="AE15" i="2" s="1"/>
  <c r="U32" i="2"/>
  <c r="U16" i="2" s="1"/>
  <c r="AF44" i="2"/>
  <c r="AE27" i="2"/>
  <c r="AE42" i="2"/>
  <c r="AE28" i="2"/>
  <c r="AE43" i="2"/>
  <c r="AD19" i="2"/>
  <c r="AD20" i="2"/>
  <c r="AE49" i="2"/>
  <c r="AE19" i="2" s="1"/>
  <c r="AE35" i="2"/>
  <c r="AF10" i="2"/>
  <c r="AF29" i="2"/>
  <c r="AF9" i="2"/>
  <c r="AG11" i="2"/>
  <c r="V58" i="4"/>
  <c r="W55" i="4" s="1"/>
  <c r="W36" i="2" s="1"/>
  <c r="V63" i="4"/>
  <c r="U77" i="36"/>
  <c r="I92" i="36" s="1"/>
  <c r="W204" i="20"/>
  <c r="J231" i="20" s="1"/>
  <c r="V220" i="20"/>
  <c r="AG12" i="17"/>
  <c r="X204" i="20" s="1"/>
  <c r="K231" i="20" s="1"/>
  <c r="F223" i="20"/>
  <c r="AE29" i="15"/>
  <c r="AF22" i="15"/>
  <c r="AH21" i="24"/>
  <c r="AH29" i="24" s="1"/>
  <c r="DB56" i="16"/>
  <c r="DB18" i="16" s="1"/>
  <c r="AG26" i="24"/>
  <c r="DG6" i="15"/>
  <c r="DG5" i="15" s="1"/>
  <c r="AG29" i="24"/>
  <c r="AG30" i="24" s="1"/>
  <c r="DE6" i="15"/>
  <c r="DE5" i="15" s="1"/>
  <c r="AG23" i="24"/>
  <c r="AG34" i="24"/>
  <c r="DF7" i="15"/>
  <c r="DD7" i="15"/>
  <c r="DD6" i="15"/>
  <c r="DD5" i="15" s="1"/>
  <c r="DE7" i="15"/>
  <c r="DG7" i="15"/>
  <c r="DF6" i="15"/>
  <c r="DF5" i="15" s="1"/>
  <c r="AI18" i="24"/>
  <c r="AI19" i="24"/>
  <c r="AI20" i="24" s="1"/>
  <c r="AJ17" i="24"/>
  <c r="CZ56" i="16"/>
  <c r="CZ18" i="16" s="1"/>
  <c r="CY56" i="16"/>
  <c r="CY18" i="16" s="1"/>
  <c r="D131" i="20"/>
  <c r="AF21" i="15"/>
  <c r="DA56" i="16"/>
  <c r="DA18" i="16" s="1"/>
  <c r="AH13" i="17"/>
  <c r="Q59" i="4"/>
  <c r="P78" i="36"/>
  <c r="AA127" i="16"/>
  <c r="O180" i="19"/>
  <c r="N185" i="19"/>
  <c r="N33" i="19" s="1"/>
  <c r="N30" i="19" s="1"/>
  <c r="E361" i="20" s="1"/>
  <c r="AJ29" i="11"/>
  <c r="AP15" i="13"/>
  <c r="AK30" i="11"/>
  <c r="CW40" i="13"/>
  <c r="CV45" i="16" s="1"/>
  <c r="CV13" i="16" s="1"/>
  <c r="DL11" i="18" s="1"/>
  <c r="CX40" i="13"/>
  <c r="CW45" i="16" s="1"/>
  <c r="CW13" i="16" s="1"/>
  <c r="DM11" i="18" s="1"/>
  <c r="CY40" i="13"/>
  <c r="CX45" i="16" s="1"/>
  <c r="CX13" i="16" s="1"/>
  <c r="DN11" i="18" s="1"/>
  <c r="CV40" i="13"/>
  <c r="AF8" i="17"/>
  <c r="DC11" i="18"/>
  <c r="AF10" i="21" s="1"/>
  <c r="CQ45" i="16"/>
  <c r="CQ13" i="16" s="1"/>
  <c r="AD62" i="13"/>
  <c r="AL24" i="21"/>
  <c r="DK62" i="16"/>
  <c r="DK25" i="16" s="1"/>
  <c r="AL20" i="17" s="1"/>
  <c r="AC210" i="20" s="1"/>
  <c r="P237" i="20" s="1"/>
  <c r="Q294" i="20"/>
  <c r="AJ32" i="15"/>
  <c r="AJ34" i="15"/>
  <c r="AK28" i="15" s="1"/>
  <c r="AK27" i="15" s="1"/>
  <c r="DT15" i="15" s="1"/>
  <c r="EI25" i="18" s="1"/>
  <c r="CH9" i="16"/>
  <c r="CH26" i="16" s="1"/>
  <c r="CH34" i="16" s="1"/>
  <c r="CX8" i="18"/>
  <c r="CQ7" i="18"/>
  <c r="AC7" i="21"/>
  <c r="CA13" i="23"/>
  <c r="AO11" i="13"/>
  <c r="X85" i="20"/>
  <c r="D91" i="20" s="1"/>
  <c r="D92" i="20" s="1"/>
  <c r="CP42" i="16"/>
  <c r="CQ48" i="13"/>
  <c r="CR7" i="18"/>
  <c r="CB13" i="23"/>
  <c r="AC4" i="17"/>
  <c r="T201" i="20"/>
  <c r="AD5" i="17"/>
  <c r="CU8" i="18"/>
  <c r="CE9" i="16"/>
  <c r="CE26" i="16" s="1"/>
  <c r="CE34" i="16" s="1"/>
  <c r="CE36" i="16" s="1"/>
  <c r="O514" i="20"/>
  <c r="G523" i="20" s="1"/>
  <c r="G521" i="20"/>
  <c r="CO42" i="16"/>
  <c r="CP48" i="13"/>
  <c r="D229" i="20"/>
  <c r="Q219" i="20"/>
  <c r="P512" i="20"/>
  <c r="P513" i="20"/>
  <c r="H522" i="20" s="1"/>
  <c r="H519" i="20"/>
  <c r="CK49" i="16"/>
  <c r="CK10" i="16"/>
  <c r="CT36" i="13"/>
  <c r="CT35" i="13" s="1"/>
  <c r="CU36" i="13"/>
  <c r="CU35" i="13" s="1"/>
  <c r="AN10" i="13"/>
  <c r="AN9" i="13" s="1"/>
  <c r="CR36" i="13"/>
  <c r="CR35" i="13" s="1"/>
  <c r="CS36" i="13"/>
  <c r="CS35" i="13" s="1"/>
  <c r="CO48" i="13"/>
  <c r="CN42" i="16"/>
  <c r="CI10" i="16"/>
  <c r="CI49" i="16"/>
  <c r="CM42" i="16"/>
  <c r="AC59" i="13"/>
  <c r="AC65" i="13" s="1"/>
  <c r="CN48" i="13"/>
  <c r="CL49" i="16"/>
  <c r="CL10" i="16"/>
  <c r="CV8" i="18"/>
  <c r="CF9" i="16"/>
  <c r="CF26" i="16" s="1"/>
  <c r="CF34" i="16" s="1"/>
  <c r="CF36" i="16" s="1"/>
  <c r="E301" i="20"/>
  <c r="R274" i="20"/>
  <c r="E303" i="20" s="1"/>
  <c r="CJ10" i="16"/>
  <c r="CJ49" i="16"/>
  <c r="I517" i="20"/>
  <c r="Q510" i="20"/>
  <c r="CG9" i="16"/>
  <c r="CG26" i="16" s="1"/>
  <c r="CG34" i="16" s="1"/>
  <c r="CG36" i="16" s="1"/>
  <c r="CW8" i="18"/>
  <c r="F228" i="20"/>
  <c r="R221" i="20"/>
  <c r="R202" i="20"/>
  <c r="E227" i="20"/>
  <c r="R508" i="20"/>
  <c r="AQ125" i="25"/>
  <c r="AQ122" i="25" s="1"/>
  <c r="AQ126" i="25" s="1"/>
  <c r="AR127" i="25" s="1"/>
  <c r="AR112" i="25" s="1"/>
  <c r="S200" i="20"/>
  <c r="AB21" i="17"/>
  <c r="S211" i="20" s="1"/>
  <c r="F238" i="20" s="1"/>
  <c r="CC13" i="23"/>
  <c r="CS7" i="18"/>
  <c r="AK23" i="11"/>
  <c r="AJ22" i="11"/>
  <c r="AP7" i="13" s="1"/>
  <c r="AP6" i="13" s="1"/>
  <c r="AB6" i="21"/>
  <c r="S272" i="20" s="1"/>
  <c r="S273" i="20"/>
  <c r="F302" i="20" s="1"/>
  <c r="CT7" i="18"/>
  <c r="CD13" i="23"/>
  <c r="AQ127" i="25"/>
  <c r="AQ112" i="25" s="1"/>
  <c r="T13" i="19"/>
  <c r="K354" i="20" s="1"/>
  <c r="U85" i="19"/>
  <c r="DL8" i="15"/>
  <c r="DM8" i="15"/>
  <c r="DN8" i="15"/>
  <c r="DO8" i="15"/>
  <c r="AD17" i="19"/>
  <c r="U356" i="20" s="1"/>
  <c r="U358" i="20"/>
  <c r="H390" i="20" s="1"/>
  <c r="DC58" i="16"/>
  <c r="DC46" i="23"/>
  <c r="DS19" i="18" s="1"/>
  <c r="AG23" i="15"/>
  <c r="CR61" i="16"/>
  <c r="CR63" i="16" s="1"/>
  <c r="CR17" i="16"/>
  <c r="AL21" i="19"/>
  <c r="AM99" i="19"/>
  <c r="AM102" i="19" s="1"/>
  <c r="AR26" i="18"/>
  <c r="AB14" i="23" s="1"/>
  <c r="DI44" i="23"/>
  <c r="DJ10" i="15"/>
  <c r="DA20" i="16"/>
  <c r="BA50" i="25"/>
  <c r="AZ145" i="25"/>
  <c r="AZ123" i="25"/>
  <c r="AZ212" i="25"/>
  <c r="G388" i="20"/>
  <c r="T359" i="20"/>
  <c r="G391" i="20" s="1"/>
  <c r="CT61" i="16"/>
  <c r="CT63" i="16" s="1"/>
  <c r="CT17" i="16"/>
  <c r="CS61" i="16"/>
  <c r="CS63" i="16" s="1"/>
  <c r="CS17" i="16"/>
  <c r="AY217" i="25"/>
  <c r="AY210" i="25"/>
  <c r="AO63" i="27"/>
  <c r="AO11" i="27"/>
  <c r="AP7" i="27"/>
  <c r="AI18" i="21"/>
  <c r="Z278" i="20" s="1"/>
  <c r="M307" i="20" s="1"/>
  <c r="CQ61" i="16"/>
  <c r="CQ63" i="16" s="1"/>
  <c r="CQ17" i="16"/>
  <c r="DB20" i="16"/>
  <c r="BA26" i="25"/>
  <c r="AZ45" i="25"/>
  <c r="AZ46" i="25" s="1"/>
  <c r="AZ140" i="25"/>
  <c r="AZ207" i="25"/>
  <c r="AZ208" i="25" s="1"/>
  <c r="AZ29" i="25"/>
  <c r="AZ30" i="25" s="1"/>
  <c r="F282" i="20"/>
  <c r="DN11" i="15"/>
  <c r="DO11" i="15"/>
  <c r="AN10" i="27"/>
  <c r="AN4" i="27" s="1"/>
  <c r="AN5" i="27"/>
  <c r="DL11" i="15"/>
  <c r="DM11" i="15"/>
  <c r="AE95" i="16"/>
  <c r="AD35" i="16"/>
  <c r="AF95" i="16"/>
  <c r="AG95" i="16"/>
  <c r="AH95" i="16"/>
  <c r="AD94" i="16"/>
  <c r="AD96" i="16" s="1"/>
  <c r="Y285" i="20"/>
  <c r="L314" i="20" s="1"/>
  <c r="AH29" i="21"/>
  <c r="DH44" i="23"/>
  <c r="DI10" i="15"/>
  <c r="CY20" i="16"/>
  <c r="AY55" i="25"/>
  <c r="AY48" i="25"/>
  <c r="AA100" i="16"/>
  <c r="AA103" i="16" s="1"/>
  <c r="Z104" i="16"/>
  <c r="Z105" i="16"/>
  <c r="DL12" i="15"/>
  <c r="DK45" i="23" s="1"/>
  <c r="DM12" i="15"/>
  <c r="DL45" i="23" s="1"/>
  <c r="DN12" i="15"/>
  <c r="DM45" i="23" s="1"/>
  <c r="DO12" i="15"/>
  <c r="DN45" i="23" s="1"/>
  <c r="DU31" i="18"/>
  <c r="DU30" i="18" s="1"/>
  <c r="DU27" i="18" s="1"/>
  <c r="Z209" i="20"/>
  <c r="M236" i="20" s="1"/>
  <c r="Y511" i="20"/>
  <c r="I529" i="20" s="1"/>
  <c r="CY24" i="16"/>
  <c r="CY61" i="16" s="1"/>
  <c r="CZ24" i="16"/>
  <c r="CZ61" i="16" s="1"/>
  <c r="DA24" i="16"/>
  <c r="DA61" i="16" s="1"/>
  <c r="DB24" i="16"/>
  <c r="DB61" i="16" s="1"/>
  <c r="AY11" i="25"/>
  <c r="AY268" i="25" s="1"/>
  <c r="AY34" i="25"/>
  <c r="E132" i="20"/>
  <c r="AG25" i="15"/>
  <c r="AI93" i="19" s="1"/>
  <c r="DJ58" i="16"/>
  <c r="DJ46" i="23"/>
  <c r="DZ19" i="18" s="1"/>
  <c r="DG44" i="23"/>
  <c r="DH10" i="15"/>
  <c r="N57" i="23"/>
  <c r="DI58" i="16"/>
  <c r="DI46" i="23"/>
  <c r="DY19" i="18" s="1"/>
  <c r="CX24" i="16"/>
  <c r="CU24" i="16"/>
  <c r="CV24" i="16"/>
  <c r="CW24" i="16"/>
  <c r="Y209" i="20"/>
  <c r="L236" i="20" s="1"/>
  <c r="X511" i="20"/>
  <c r="H529" i="20" s="1"/>
  <c r="AI30" i="21"/>
  <c r="DO30" i="18"/>
  <c r="DO27" i="18" s="1"/>
  <c r="DF58" i="16"/>
  <c r="DF46" i="23"/>
  <c r="DV19" i="18" s="1"/>
  <c r="DS31" i="18"/>
  <c r="AE20" i="19"/>
  <c r="AE19" i="19" s="1"/>
  <c r="AF92" i="19"/>
  <c r="AF95" i="19" s="1"/>
  <c r="AH89" i="16"/>
  <c r="AH88" i="16"/>
  <c r="H87" i="23"/>
  <c r="AL22" i="19"/>
  <c r="AM106" i="19"/>
  <c r="AM109" i="19" s="1"/>
  <c r="DH58" i="16"/>
  <c r="DH46" i="23"/>
  <c r="DX19" i="18" s="1"/>
  <c r="DE58" i="16"/>
  <c r="DE46" i="23"/>
  <c r="DU19" i="18" s="1"/>
  <c r="DT31" i="18"/>
  <c r="DT30" i="18" s="1"/>
  <c r="DT27" i="18" s="1"/>
  <c r="DV31" i="18"/>
  <c r="DV30" i="18" s="1"/>
  <c r="DV27" i="18" s="1"/>
  <c r="DG58" i="16"/>
  <c r="DG46" i="23"/>
  <c r="DW19" i="18" s="1"/>
  <c r="AH23" i="15"/>
  <c r="K233" i="20"/>
  <c r="DK10" i="15"/>
  <c r="DJ44" i="23"/>
  <c r="X284" i="20"/>
  <c r="K313" i="20" s="1"/>
  <c r="AG26" i="21"/>
  <c r="X283" i="20" s="1"/>
  <c r="K312" i="20" s="1"/>
  <c r="Y206" i="20"/>
  <c r="DD58" i="16"/>
  <c r="DD46" i="23"/>
  <c r="DT19" i="18" s="1"/>
  <c r="CZ20" i="16"/>
  <c r="DF267" i="37" l="1"/>
  <c r="E746" i="20" s="1"/>
  <c r="I746" i="20" s="1"/>
  <c r="AP648" i="20"/>
  <c r="DJ50" i="23"/>
  <c r="AG151" i="19"/>
  <c r="DG50" i="23"/>
  <c r="DD50" i="23"/>
  <c r="DH50" i="23"/>
  <c r="DI50" i="23"/>
  <c r="DC50" i="23"/>
  <c r="DF50" i="23"/>
  <c r="DE50" i="23"/>
  <c r="CZ58" i="23"/>
  <c r="CZ66" i="23" s="1"/>
  <c r="DB58" i="23"/>
  <c r="DB66" i="23" s="1"/>
  <c r="DA58" i="23"/>
  <c r="DA66" i="23" s="1"/>
  <c r="AO219" i="25"/>
  <c r="AO57" i="25"/>
  <c r="AC281" i="20"/>
  <c r="P310" i="20" s="1"/>
  <c r="F134" i="20"/>
  <c r="DG16" i="15"/>
  <c r="DF49" i="23"/>
  <c r="DD16" i="15"/>
  <c r="DC49" i="23"/>
  <c r="DC58" i="23" s="1"/>
  <c r="DF16" i="15"/>
  <c r="DE49" i="23"/>
  <c r="DE16" i="15"/>
  <c r="DD49" i="23"/>
  <c r="DE279" i="37"/>
  <c r="DE277" i="37"/>
  <c r="AP211" i="25"/>
  <c r="AP213" i="25" s="1"/>
  <c r="AP215" i="25" s="1"/>
  <c r="AP216" i="25" s="1"/>
  <c r="AP218" i="25" s="1"/>
  <c r="AP14" i="25" s="1"/>
  <c r="AP271" i="25" s="1"/>
  <c r="AP51" i="25"/>
  <c r="AP53" i="25" s="1"/>
  <c r="AP54" i="25" s="1"/>
  <c r="AP56" i="25" s="1"/>
  <c r="AP12" i="25" s="1"/>
  <c r="AP269" i="25" s="1"/>
  <c r="AP144" i="25"/>
  <c r="AP146" i="25" s="1"/>
  <c r="AP148" i="25" s="1"/>
  <c r="DG37" i="37"/>
  <c r="DG12" i="37"/>
  <c r="DH215" i="37"/>
  <c r="DH208" i="37"/>
  <c r="AQ117" i="25"/>
  <c r="AQ49" i="25" s="1"/>
  <c r="AQ35" i="25" s="1"/>
  <c r="EL117" i="37"/>
  <c r="EL122" i="37" s="1"/>
  <c r="EL53" i="37" s="1"/>
  <c r="EL209" i="37" s="1"/>
  <c r="EM117" i="37"/>
  <c r="EM122" i="37" s="1"/>
  <c r="EM53" i="37" s="1"/>
  <c r="EM209" i="37" s="1"/>
  <c r="EN117" i="37"/>
  <c r="EN122" i="37" s="1"/>
  <c r="EN53" i="37" s="1"/>
  <c r="EN209" i="37" s="1"/>
  <c r="EO117" i="37"/>
  <c r="EO122" i="37" s="1"/>
  <c r="EO53" i="37" s="1"/>
  <c r="EO209" i="37" s="1"/>
  <c r="EK38" i="37"/>
  <c r="EK141" i="37"/>
  <c r="DH137" i="37"/>
  <c r="DI28" i="37"/>
  <c r="DI205" i="37" s="1"/>
  <c r="DI206" i="37" s="1"/>
  <c r="DH49" i="37"/>
  <c r="DH50" i="37" s="1"/>
  <c r="DH31" i="37"/>
  <c r="DH32" i="37" s="1"/>
  <c r="EJ38" i="37"/>
  <c r="EJ141" i="37"/>
  <c r="DG59" i="37"/>
  <c r="DG52" i="37"/>
  <c r="EI38" i="37"/>
  <c r="EI141" i="37"/>
  <c r="AR117" i="25"/>
  <c r="AR49" i="25" s="1"/>
  <c r="AR211" i="25" s="1"/>
  <c r="AR213" i="25" s="1"/>
  <c r="AR215" i="25" s="1"/>
  <c r="AR216" i="25" s="1"/>
  <c r="AR218" i="25" s="1"/>
  <c r="AR14" i="25" s="1"/>
  <c r="AR271" i="25" s="1"/>
  <c r="EP117" i="37"/>
  <c r="EP122" i="37" s="1"/>
  <c r="EP53" i="37" s="1"/>
  <c r="EP209" i="37" s="1"/>
  <c r="EQ117" i="37"/>
  <c r="EQ122" i="37" s="1"/>
  <c r="EQ53" i="37" s="1"/>
  <c r="EQ209" i="37" s="1"/>
  <c r="ER117" i="37"/>
  <c r="ER122" i="37" s="1"/>
  <c r="ER53" i="37" s="1"/>
  <c r="ER209" i="37" s="1"/>
  <c r="ES117" i="37"/>
  <c r="ES122" i="37" s="1"/>
  <c r="ES53" i="37" s="1"/>
  <c r="ES209" i="37" s="1"/>
  <c r="EH38" i="37"/>
  <c r="EH141" i="37"/>
  <c r="AQ209" i="37"/>
  <c r="AQ211" i="37" s="1"/>
  <c r="AQ213" i="37" s="1"/>
  <c r="AQ214" i="37" s="1"/>
  <c r="AQ216" i="37" s="1"/>
  <c r="AQ15" i="37" s="1"/>
  <c r="AQ270" i="37" s="1"/>
  <c r="AQ141" i="37"/>
  <c r="AQ143" i="37" s="1"/>
  <c r="AQ145" i="37" s="1"/>
  <c r="AQ55" i="37"/>
  <c r="AQ57" i="37" s="1"/>
  <c r="AQ58" i="37" s="1"/>
  <c r="AQ60" i="37" s="1"/>
  <c r="AQ13" i="37" s="1"/>
  <c r="AQ268" i="37" s="1"/>
  <c r="AQ38" i="37"/>
  <c r="AQ217" i="37" s="1"/>
  <c r="AR53" i="37"/>
  <c r="AZ37" i="37"/>
  <c r="AZ12" i="37"/>
  <c r="AZ267" i="37" s="1"/>
  <c r="BA205" i="37"/>
  <c r="BA206" i="37" s="1"/>
  <c r="BA137" i="37"/>
  <c r="BA49" i="37"/>
  <c r="BA50" i="37" s="1"/>
  <c r="AZ59" i="37"/>
  <c r="AZ52" i="37"/>
  <c r="AZ215" i="37"/>
  <c r="AZ208" i="37"/>
  <c r="BA210" i="37"/>
  <c r="BA142" i="37"/>
  <c r="Q50" i="2"/>
  <c r="P18" i="2"/>
  <c r="Y205" i="20"/>
  <c r="L232" i="20" s="1"/>
  <c r="AF31" i="2"/>
  <c r="AF15" i="2" s="1"/>
  <c r="V32" i="2"/>
  <c r="V16" i="2" s="1"/>
  <c r="AE20" i="2"/>
  <c r="AG44" i="2"/>
  <c r="AF27" i="2"/>
  <c r="AF42" i="2"/>
  <c r="AF35" i="2"/>
  <c r="AF49" i="2"/>
  <c r="AF28" i="2"/>
  <c r="AF43" i="2"/>
  <c r="AG10" i="2"/>
  <c r="AG29" i="2"/>
  <c r="AG9" i="2"/>
  <c r="AH11" i="2"/>
  <c r="W509" i="20"/>
  <c r="G527" i="20" s="1"/>
  <c r="W63" i="4"/>
  <c r="V32" i="4"/>
  <c r="W58" i="4"/>
  <c r="X55" i="4" s="1"/>
  <c r="X36" i="2" s="1"/>
  <c r="V77" i="36"/>
  <c r="R34" i="2"/>
  <c r="W220" i="20"/>
  <c r="DB63" i="16"/>
  <c r="AF29" i="15"/>
  <c r="AH12" i="17"/>
  <c r="Y204" i="20" s="1"/>
  <c r="L231" i="20" s="1"/>
  <c r="DA63" i="16"/>
  <c r="CZ63" i="16"/>
  <c r="CY63" i="16"/>
  <c r="AH34" i="24"/>
  <c r="DI6" i="15"/>
  <c r="DI5" i="15" s="1"/>
  <c r="DJ6" i="15"/>
  <c r="DJ5" i="15" s="1"/>
  <c r="AH26" i="24"/>
  <c r="DI7" i="15"/>
  <c r="AI21" i="24"/>
  <c r="AI34" i="24" s="1"/>
  <c r="DH6" i="15"/>
  <c r="DH5" i="15" s="1"/>
  <c r="DJ7" i="15"/>
  <c r="AG22" i="15"/>
  <c r="AH23" i="24"/>
  <c r="DK7" i="15"/>
  <c r="DK6" i="15"/>
  <c r="DK5" i="15" s="1"/>
  <c r="DH7" i="15"/>
  <c r="AI13" i="17"/>
  <c r="DF56" i="16"/>
  <c r="DF18" i="16" s="1"/>
  <c r="DC56" i="16"/>
  <c r="DC18" i="16" s="1"/>
  <c r="D132" i="20"/>
  <c r="AG21" i="15"/>
  <c r="AK17" i="24"/>
  <c r="AJ18" i="24"/>
  <c r="AJ19" i="24"/>
  <c r="AJ20" i="24" s="1"/>
  <c r="CY66" i="23"/>
  <c r="DE56" i="16"/>
  <c r="DE18" i="16" s="1"/>
  <c r="DD56" i="16"/>
  <c r="DD18" i="16" s="1"/>
  <c r="AH30" i="24"/>
  <c r="Q64" i="4"/>
  <c r="Q28" i="4" s="1"/>
  <c r="Q88" i="4" s="1"/>
  <c r="Q62" i="4"/>
  <c r="AE62" i="13"/>
  <c r="CU45" i="16"/>
  <c r="CU13" i="16" s="1"/>
  <c r="AL30" i="11"/>
  <c r="AK29" i="11"/>
  <c r="AQ15" i="13"/>
  <c r="AG8" i="17"/>
  <c r="DG11" i="18"/>
  <c r="AG10" i="21" s="1"/>
  <c r="CZ40" i="13"/>
  <c r="DA40" i="13"/>
  <c r="CZ45" i="16" s="1"/>
  <c r="CZ13" i="16" s="1"/>
  <c r="DP11" i="18" s="1"/>
  <c r="DC40" i="13"/>
  <c r="DB45" i="16" s="1"/>
  <c r="DB13" i="16" s="1"/>
  <c r="DR11" i="18" s="1"/>
  <c r="DB40" i="13"/>
  <c r="DA45" i="16" s="1"/>
  <c r="DA13" i="16" s="1"/>
  <c r="DQ11" i="18" s="1"/>
  <c r="DO62" i="16"/>
  <c r="DO25" i="16" s="1"/>
  <c r="AM20" i="17" s="1"/>
  <c r="AD210" i="20" s="1"/>
  <c r="D258" i="20" s="1"/>
  <c r="AM24" i="21"/>
  <c r="AK32" i="15"/>
  <c r="AK34" i="15"/>
  <c r="AL28" i="15" s="1"/>
  <c r="AL27" i="15" s="1"/>
  <c r="DX15" i="15" s="1"/>
  <c r="EM25" i="18" s="1"/>
  <c r="AK22" i="11"/>
  <c r="AQ7" i="13" s="1"/>
  <c r="AQ6" i="13" s="1"/>
  <c r="AL23" i="11"/>
  <c r="AP219" i="25"/>
  <c r="AP57" i="25"/>
  <c r="AP152" i="25"/>
  <c r="CT42" i="16"/>
  <c r="CU48" i="13"/>
  <c r="AD4" i="17"/>
  <c r="U201" i="20"/>
  <c r="CY36" i="13"/>
  <c r="CY35" i="13" s="1"/>
  <c r="CV36" i="13"/>
  <c r="CV35" i="13" s="1"/>
  <c r="CW36" i="13"/>
  <c r="CW35" i="13" s="1"/>
  <c r="CX36" i="13"/>
  <c r="CX35" i="13" s="1"/>
  <c r="AO10" i="13"/>
  <c r="AO9" i="13" s="1"/>
  <c r="CW7" i="18"/>
  <c r="CG13" i="23"/>
  <c r="CZ8" i="18"/>
  <c r="CJ9" i="16"/>
  <c r="CJ26" i="16" s="1"/>
  <c r="CJ34" i="16" s="1"/>
  <c r="CJ36" i="16" s="1"/>
  <c r="CS42" i="16"/>
  <c r="CT48" i="13"/>
  <c r="G228" i="20"/>
  <c r="E229" i="20"/>
  <c r="R219" i="20"/>
  <c r="R294" i="20"/>
  <c r="CM10" i="16"/>
  <c r="CM49" i="16"/>
  <c r="DA8" i="18"/>
  <c r="CK9" i="16"/>
  <c r="CK26" i="16" s="1"/>
  <c r="CK34" i="16" s="1"/>
  <c r="CK36" i="16" s="1"/>
  <c r="AR125" i="25"/>
  <c r="AR122" i="25" s="1"/>
  <c r="AR126" i="25" s="1"/>
  <c r="S508" i="20"/>
  <c r="AC21" i="17"/>
  <c r="T211" i="20" s="1"/>
  <c r="T200" i="20"/>
  <c r="AC6" i="21"/>
  <c r="T272" i="20" s="1"/>
  <c r="T273" i="20"/>
  <c r="G302" i="20" s="1"/>
  <c r="CU7" i="18"/>
  <c r="AD7" i="21"/>
  <c r="CE13" i="23"/>
  <c r="S202" i="20"/>
  <c r="F227" i="20"/>
  <c r="S221" i="20"/>
  <c r="CN49" i="16"/>
  <c r="CN10" i="16"/>
  <c r="CO49" i="16"/>
  <c r="CO10" i="16"/>
  <c r="Q512" i="20"/>
  <c r="Q513" i="20"/>
  <c r="I522" i="20" s="1"/>
  <c r="I519" i="20"/>
  <c r="CV7" i="18"/>
  <c r="CF13" i="23"/>
  <c r="CY8" i="18"/>
  <c r="AE5" i="17"/>
  <c r="CI9" i="16"/>
  <c r="CI26" i="16" s="1"/>
  <c r="CI34" i="16" s="1"/>
  <c r="CI36" i="16" s="1"/>
  <c r="CX7" i="18"/>
  <c r="CH13" i="23"/>
  <c r="S274" i="20"/>
  <c r="F303" i="20" s="1"/>
  <c r="F301" i="20"/>
  <c r="J517" i="20"/>
  <c r="R510" i="20"/>
  <c r="CL9" i="16"/>
  <c r="CL26" i="16" s="1"/>
  <c r="CL34" i="16" s="1"/>
  <c r="DB8" i="18"/>
  <c r="CR42" i="16"/>
  <c r="CS48" i="13"/>
  <c r="Y85" i="20"/>
  <c r="E91" i="20" s="1"/>
  <c r="E92" i="20" s="1"/>
  <c r="AP11" i="13"/>
  <c r="CQ42" i="16"/>
  <c r="CR48" i="13"/>
  <c r="AD59" i="13"/>
  <c r="AD65" i="13" s="1"/>
  <c r="H521" i="20"/>
  <c r="P514" i="20"/>
  <c r="H523" i="20" s="1"/>
  <c r="CP10" i="16"/>
  <c r="CP49" i="16"/>
  <c r="AK18" i="21"/>
  <c r="AB278" i="20" s="1"/>
  <c r="O307" i="20" s="1"/>
  <c r="X220" i="20"/>
  <c r="AE94" i="16"/>
  <c r="AF94" i="16" s="1"/>
  <c r="AF96" i="16" s="1"/>
  <c r="AF102" i="16" s="1"/>
  <c r="AV26" i="18" s="1"/>
  <c r="AF14" i="23" s="1"/>
  <c r="DB17" i="16"/>
  <c r="AH90" i="16"/>
  <c r="AN99" i="19"/>
  <c r="AN102" i="19" s="1"/>
  <c r="AM21" i="19"/>
  <c r="DK44" i="23"/>
  <c r="DL10" i="15"/>
  <c r="E363" i="20"/>
  <c r="DC20" i="16"/>
  <c r="DM58" i="16"/>
  <c r="DM46" i="23"/>
  <c r="EC19" i="18" s="1"/>
  <c r="AJ18" i="21"/>
  <c r="AA278" i="20" s="1"/>
  <c r="N307" i="20" s="1"/>
  <c r="DF20" i="16"/>
  <c r="CZ17" i="16"/>
  <c r="DG20" i="16"/>
  <c r="AG92" i="19"/>
  <c r="AG95" i="19" s="1"/>
  <c r="AF20" i="19"/>
  <c r="AF19" i="19" s="1"/>
  <c r="DJ20" i="16"/>
  <c r="Y284" i="20"/>
  <c r="L313" i="20" s="1"/>
  <c r="AH26" i="21"/>
  <c r="Y283" i="20" s="1"/>
  <c r="L312" i="20" s="1"/>
  <c r="AZ11" i="25"/>
  <c r="AZ268" i="25" s="1"/>
  <c r="AZ34" i="25"/>
  <c r="DA17" i="16"/>
  <c r="DL58" i="16"/>
  <c r="DL46" i="23"/>
  <c r="EB19" i="18" s="1"/>
  <c r="DN58" i="16"/>
  <c r="DN46" i="23"/>
  <c r="ED19" i="18" s="1"/>
  <c r="AE17" i="19"/>
  <c r="V356" i="20" s="1"/>
  <c r="V358" i="20"/>
  <c r="I390" i="20" s="1"/>
  <c r="AI15" i="17"/>
  <c r="CY17" i="16"/>
  <c r="AZ217" i="25"/>
  <c r="AZ210" i="25"/>
  <c r="BA212" i="25"/>
  <c r="BB50" i="25"/>
  <c r="BA145" i="25"/>
  <c r="BA123" i="25"/>
  <c r="DK58" i="16"/>
  <c r="DK46" i="23"/>
  <c r="EA19" i="18" s="1"/>
  <c r="AI23" i="15"/>
  <c r="U87" i="19"/>
  <c r="U88" i="19" s="1"/>
  <c r="L233" i="20"/>
  <c r="CW61" i="16"/>
  <c r="CW63" i="16" s="1"/>
  <c r="CW17" i="16"/>
  <c r="DN44" i="23"/>
  <c r="DO10" i="15"/>
  <c r="DY31" i="18"/>
  <c r="DY30" i="18" s="1"/>
  <c r="DY27" i="18" s="1"/>
  <c r="H388" i="20"/>
  <c r="U359" i="20"/>
  <c r="H391" i="20" s="1"/>
  <c r="DQ12" i="15"/>
  <c r="DP45" i="23" s="1"/>
  <c r="DR12" i="15"/>
  <c r="DQ45" i="23" s="1"/>
  <c r="DS12" i="15"/>
  <c r="DR45" i="23" s="1"/>
  <c r="DP12" i="15"/>
  <c r="DO45" i="23" s="1"/>
  <c r="AI94" i="19"/>
  <c r="AJ19" i="17" s="1"/>
  <c r="AA105" i="16"/>
  <c r="AB100" i="16"/>
  <c r="AB103" i="16" s="1"/>
  <c r="AA104" i="16"/>
  <c r="Z285" i="20"/>
  <c r="M314" i="20" s="1"/>
  <c r="AI29" i="21"/>
  <c r="CV61" i="16"/>
  <c r="CV63" i="16" s="1"/>
  <c r="CV17" i="16"/>
  <c r="DI20" i="16"/>
  <c r="N64" i="23"/>
  <c r="N61" i="23" s="1"/>
  <c r="N62" i="23" s="1"/>
  <c r="DW31" i="18"/>
  <c r="DM44" i="23"/>
  <c r="DN10" i="15"/>
  <c r="AZ55" i="25"/>
  <c r="AZ48" i="25"/>
  <c r="AQ7" i="27"/>
  <c r="AP63" i="27"/>
  <c r="AP62" i="27" s="1"/>
  <c r="AP11" i="27"/>
  <c r="AN106" i="19"/>
  <c r="AN109" i="19" s="1"/>
  <c r="AM22" i="19"/>
  <c r="DD20" i="16"/>
  <c r="DZ31" i="18"/>
  <c r="DZ30" i="18" s="1"/>
  <c r="DZ27" i="18" s="1"/>
  <c r="DS30" i="18"/>
  <c r="DS27" i="18" s="1"/>
  <c r="AJ30" i="21"/>
  <c r="CU61" i="16"/>
  <c r="CU63" i="16" s="1"/>
  <c r="CU17" i="16"/>
  <c r="AD102" i="16"/>
  <c r="BA29" i="25"/>
  <c r="BA30" i="25" s="1"/>
  <c r="BA45" i="25"/>
  <c r="BA46" i="25" s="1"/>
  <c r="BB26" i="25"/>
  <c r="BA140" i="25"/>
  <c r="BA207" i="25"/>
  <c r="BA208" i="25" s="1"/>
  <c r="AO62" i="27"/>
  <c r="AO10" i="27" s="1"/>
  <c r="AO4" i="27" s="1"/>
  <c r="DL44" i="23"/>
  <c r="DM10" i="15"/>
  <c r="E133" i="20"/>
  <c r="AH25" i="15"/>
  <c r="AJ93" i="19" s="1"/>
  <c r="AJ94" i="19" s="1"/>
  <c r="AK19" i="17" s="1"/>
  <c r="DE20" i="16"/>
  <c r="DH20" i="16"/>
  <c r="H83" i="23"/>
  <c r="H94" i="23"/>
  <c r="CX61" i="16"/>
  <c r="CX63" i="16" s="1"/>
  <c r="CX17" i="16"/>
  <c r="DX31" i="18"/>
  <c r="DX30" i="18" s="1"/>
  <c r="DX27" i="18" s="1"/>
  <c r="AD101" i="16"/>
  <c r="P34" i="17"/>
  <c r="AD36" i="16"/>
  <c r="DP11" i="15"/>
  <c r="DQ11" i="15"/>
  <c r="DR11" i="15"/>
  <c r="DS11" i="15"/>
  <c r="AO5" i="27"/>
  <c r="DF279" i="37" l="1"/>
  <c r="DF277" i="37"/>
  <c r="DG267" i="37"/>
  <c r="E747" i="20" s="1"/>
  <c r="I747" i="20" s="1"/>
  <c r="AQ648" i="20"/>
  <c r="AH151" i="19"/>
  <c r="DM50" i="23"/>
  <c r="DL50" i="23"/>
  <c r="DN50" i="23"/>
  <c r="DK50" i="23"/>
  <c r="DE58" i="23"/>
  <c r="DE66" i="23" s="1"/>
  <c r="DF58" i="23"/>
  <c r="DF66" i="23" s="1"/>
  <c r="DD58" i="23"/>
  <c r="DD66" i="23" s="1"/>
  <c r="AD281" i="20"/>
  <c r="D335" i="20" s="1"/>
  <c r="F135" i="20"/>
  <c r="DK16" i="15"/>
  <c r="DJ49" i="23"/>
  <c r="DJ16" i="15"/>
  <c r="DI49" i="23"/>
  <c r="DI16" i="15"/>
  <c r="DH49" i="23"/>
  <c r="DG49" i="23"/>
  <c r="AQ144" i="25"/>
  <c r="AQ146" i="25" s="1"/>
  <c r="AQ148" i="25" s="1"/>
  <c r="AQ211" i="25"/>
  <c r="AQ213" i="25" s="1"/>
  <c r="AQ215" i="25" s="1"/>
  <c r="AQ51" i="25"/>
  <c r="AQ53" i="25" s="1"/>
  <c r="AR35" i="25"/>
  <c r="AR152" i="25" s="1"/>
  <c r="AR144" i="25"/>
  <c r="AR146" i="25" s="1"/>
  <c r="AR148" i="25" s="1"/>
  <c r="AR51" i="25"/>
  <c r="AR53" i="25" s="1"/>
  <c r="AR54" i="25" s="1"/>
  <c r="AR56" i="25" s="1"/>
  <c r="AR12" i="25" s="1"/>
  <c r="AR269" i="25" s="1"/>
  <c r="DH37" i="37"/>
  <c r="DH12" i="37"/>
  <c r="DI215" i="37"/>
  <c r="DI208" i="37"/>
  <c r="ES38" i="37"/>
  <c r="ES141" i="37"/>
  <c r="ER38" i="37"/>
  <c r="ER141" i="37"/>
  <c r="EO38" i="37"/>
  <c r="EO141" i="37"/>
  <c r="EQ38" i="37"/>
  <c r="EQ141" i="37"/>
  <c r="EN38" i="37"/>
  <c r="EN141" i="37"/>
  <c r="EP141" i="37"/>
  <c r="EP38" i="37"/>
  <c r="EM38" i="37"/>
  <c r="EM141" i="37"/>
  <c r="DH52" i="37"/>
  <c r="DH59" i="37"/>
  <c r="EL38" i="37"/>
  <c r="EL141" i="37"/>
  <c r="DI137" i="37"/>
  <c r="DJ28" i="37"/>
  <c r="DJ205" i="37" s="1"/>
  <c r="DJ206" i="37" s="1"/>
  <c r="DI49" i="37"/>
  <c r="DI50" i="37" s="1"/>
  <c r="DI31" i="37"/>
  <c r="DI32" i="37" s="1"/>
  <c r="AQ61" i="37"/>
  <c r="AR209" i="37"/>
  <c r="AR211" i="37" s="1"/>
  <c r="AR213" i="37" s="1"/>
  <c r="AR214" i="37" s="1"/>
  <c r="AR216" i="37" s="1"/>
  <c r="AR15" i="37" s="1"/>
  <c r="AR270" i="37" s="1"/>
  <c r="AR141" i="37"/>
  <c r="AR143" i="37" s="1"/>
  <c r="AR145" i="37" s="1"/>
  <c r="AR55" i="37"/>
  <c r="AR57" i="37" s="1"/>
  <c r="AR58" i="37" s="1"/>
  <c r="AR60" i="37" s="1"/>
  <c r="AR13" i="37" s="1"/>
  <c r="AR268" i="37" s="1"/>
  <c r="AR38" i="37"/>
  <c r="AR149" i="37" s="1"/>
  <c r="AS53" i="37"/>
  <c r="AQ149" i="37"/>
  <c r="BB210" i="37"/>
  <c r="BB142" i="37"/>
  <c r="BA12" i="37"/>
  <c r="BA267" i="37" s="1"/>
  <c r="BA37" i="37"/>
  <c r="BA59" i="37"/>
  <c r="BA52" i="37"/>
  <c r="BB205" i="37"/>
  <c r="BB206" i="37" s="1"/>
  <c r="BB137" i="37"/>
  <c r="BB49" i="37"/>
  <c r="BB50" i="37" s="1"/>
  <c r="BA215" i="37"/>
  <c r="BA208" i="37"/>
  <c r="Q21" i="2"/>
  <c r="Q48" i="2"/>
  <c r="Z205" i="20"/>
  <c r="M232" i="20" s="1"/>
  <c r="AG31" i="2"/>
  <c r="AG15" i="2" s="1"/>
  <c r="W32" i="2"/>
  <c r="W16" i="2" s="1"/>
  <c r="AH44" i="2"/>
  <c r="AG27" i="2"/>
  <c r="AG42" i="2"/>
  <c r="AG35" i="2"/>
  <c r="AG49" i="2"/>
  <c r="AG28" i="2"/>
  <c r="AG43" i="2"/>
  <c r="AF19" i="2"/>
  <c r="AF20" i="2"/>
  <c r="AH10" i="2"/>
  <c r="AH29" i="2"/>
  <c r="AI11" i="2"/>
  <c r="AH9" i="2"/>
  <c r="X58" i="4"/>
  <c r="Y55" i="4" s="1"/>
  <c r="Y36" i="2" s="1"/>
  <c r="W32" i="4"/>
  <c r="W77" i="36"/>
  <c r="X63" i="4"/>
  <c r="X32" i="4" s="1"/>
  <c r="X509" i="20"/>
  <c r="H527" i="20" s="1"/>
  <c r="AG29" i="15"/>
  <c r="DL7" i="15"/>
  <c r="DG56" i="16"/>
  <c r="DG18" i="16" s="1"/>
  <c r="DN7" i="15"/>
  <c r="AH21" i="15"/>
  <c r="DN6" i="15"/>
  <c r="DN5" i="15" s="1"/>
  <c r="DH16" i="15"/>
  <c r="AI29" i="24"/>
  <c r="AI30" i="24" s="1"/>
  <c r="AI23" i="24"/>
  <c r="DJ56" i="16"/>
  <c r="DJ18" i="16" s="1"/>
  <c r="DI56" i="16"/>
  <c r="DI18" i="16" s="1"/>
  <c r="DH56" i="16"/>
  <c r="DH18" i="16" s="1"/>
  <c r="DM6" i="15"/>
  <c r="DM5" i="15" s="1"/>
  <c r="DO7" i="15"/>
  <c r="DO6" i="15"/>
  <c r="DO5" i="15" s="1"/>
  <c r="AI26" i="24"/>
  <c r="DL6" i="15"/>
  <c r="DL5" i="15" s="1"/>
  <c r="DM7" i="15"/>
  <c r="AH22" i="15"/>
  <c r="AJ21" i="24"/>
  <c r="DS6" i="15" s="1"/>
  <c r="DS5" i="15" s="1"/>
  <c r="DR49" i="23" s="1"/>
  <c r="D133" i="20"/>
  <c r="AL17" i="24"/>
  <c r="AK19" i="24"/>
  <c r="AK20" i="24" s="1"/>
  <c r="AK18" i="24"/>
  <c r="DC66" i="23"/>
  <c r="AJ13" i="17"/>
  <c r="R59" i="4"/>
  <c r="Q78" i="36"/>
  <c r="H93" i="36" s="1"/>
  <c r="DG40" i="13"/>
  <c r="DF45" i="16" s="1"/>
  <c r="DF13" i="16" s="1"/>
  <c r="DV11" i="18" s="1"/>
  <c r="DD40" i="13"/>
  <c r="DE40" i="13"/>
  <c r="DD45" i="16" s="1"/>
  <c r="DD13" i="16" s="1"/>
  <c r="DT11" i="18" s="1"/>
  <c r="DF40" i="13"/>
  <c r="DE45" i="16" s="1"/>
  <c r="DE13" i="16" s="1"/>
  <c r="DU11" i="18" s="1"/>
  <c r="AM30" i="11"/>
  <c r="AL29" i="11"/>
  <c r="AR15" i="13"/>
  <c r="AH8" i="17"/>
  <c r="DK11" i="18"/>
  <c r="AH10" i="21" s="1"/>
  <c r="CY45" i="16"/>
  <c r="CY13" i="16" s="1"/>
  <c r="AF62" i="13"/>
  <c r="AE96" i="16"/>
  <c r="AE102" i="16" s="1"/>
  <c r="AU26" i="18" s="1"/>
  <c r="AE14" i="23" s="1"/>
  <c r="AL34" i="15"/>
  <c r="AM28" i="15" s="1"/>
  <c r="AM27" i="15" s="1"/>
  <c r="EB15" i="15" s="1"/>
  <c r="EQ25" i="18" s="1"/>
  <c r="AL32" i="15"/>
  <c r="DS62" i="16"/>
  <c r="DS25" i="16" s="1"/>
  <c r="AN20" i="17" s="1"/>
  <c r="AE210" i="20" s="1"/>
  <c r="E258" i="20" s="1"/>
  <c r="AN24" i="21"/>
  <c r="CQ10" i="16"/>
  <c r="CQ49" i="16"/>
  <c r="J519" i="20"/>
  <c r="R512" i="20"/>
  <c r="R513" i="20"/>
  <c r="J522" i="20" s="1"/>
  <c r="AE4" i="17"/>
  <c r="V201" i="20"/>
  <c r="T274" i="20"/>
  <c r="G303" i="20" s="1"/>
  <c r="G301" i="20"/>
  <c r="DC8" i="18"/>
  <c r="CM9" i="16"/>
  <c r="CM26" i="16" s="1"/>
  <c r="CM34" i="16" s="1"/>
  <c r="CM36" i="16" s="1"/>
  <c r="AF5" i="17"/>
  <c r="AD21" i="17"/>
  <c r="U200" i="20"/>
  <c r="AS125" i="25"/>
  <c r="AS122" i="25" s="1"/>
  <c r="AS126" i="25" s="1"/>
  <c r="T508" i="20"/>
  <c r="CZ36" i="13"/>
  <c r="CZ35" i="13" s="1"/>
  <c r="DA36" i="13"/>
  <c r="DA35" i="13" s="1"/>
  <c r="AP10" i="13"/>
  <c r="AP9" i="13" s="1"/>
  <c r="DB36" i="13"/>
  <c r="DB35" i="13" s="1"/>
  <c r="DC36" i="13"/>
  <c r="DC35" i="13" s="1"/>
  <c r="AE7" i="21"/>
  <c r="CY7" i="18"/>
  <c r="CI13" i="23"/>
  <c r="CN9" i="16"/>
  <c r="CN26" i="16" s="1"/>
  <c r="CN34" i="16" s="1"/>
  <c r="CN36" i="16" s="1"/>
  <c r="DD8" i="18"/>
  <c r="AD6" i="21"/>
  <c r="U272" i="20" s="1"/>
  <c r="U273" i="20"/>
  <c r="H302" i="20" s="1"/>
  <c r="T202" i="20"/>
  <c r="G227" i="20"/>
  <c r="S294" i="20"/>
  <c r="T221" i="20"/>
  <c r="G238" i="20"/>
  <c r="CT49" i="16"/>
  <c r="CT10" i="16"/>
  <c r="CP9" i="16"/>
  <c r="CP26" i="16" s="1"/>
  <c r="CP34" i="16" s="1"/>
  <c r="DF8" i="18"/>
  <c r="K517" i="20"/>
  <c r="S510" i="20"/>
  <c r="CW42" i="16"/>
  <c r="CX48" i="13"/>
  <c r="AG94" i="16"/>
  <c r="AG96" i="16" s="1"/>
  <c r="AG102" i="16" s="1"/>
  <c r="AW26" i="18" s="1"/>
  <c r="AS127" i="25"/>
  <c r="AS112" i="25" s="1"/>
  <c r="CW48" i="13"/>
  <c r="CV42" i="16"/>
  <c r="CR10" i="16"/>
  <c r="CR49" i="16"/>
  <c r="AQ152" i="25"/>
  <c r="AQ219" i="25"/>
  <c r="AQ57" i="25"/>
  <c r="CU42" i="16"/>
  <c r="CV48" i="13"/>
  <c r="AE59" i="13"/>
  <c r="AE65" i="13" s="1"/>
  <c r="CL13" i="23"/>
  <c r="DB7" i="18"/>
  <c r="I521" i="20"/>
  <c r="Q514" i="20"/>
  <c r="I523" i="20" s="1"/>
  <c r="F229" i="20"/>
  <c r="S219" i="20"/>
  <c r="CK13" i="23"/>
  <c r="DA7" i="18"/>
  <c r="CX42" i="16"/>
  <c r="CY48" i="13"/>
  <c r="AL22" i="11"/>
  <c r="AR7" i="13" s="1"/>
  <c r="AR6" i="13" s="1"/>
  <c r="AM23" i="11"/>
  <c r="CO9" i="16"/>
  <c r="CO26" i="16" s="1"/>
  <c r="CO34" i="16" s="1"/>
  <c r="CO36" i="16" s="1"/>
  <c r="DE8" i="18"/>
  <c r="CS10" i="16"/>
  <c r="CS49" i="16"/>
  <c r="CZ7" i="18"/>
  <c r="CJ13" i="23"/>
  <c r="H228" i="20"/>
  <c r="Z85" i="20"/>
  <c r="F91" i="20" s="1"/>
  <c r="F92" i="20" s="1"/>
  <c r="AQ11" i="13"/>
  <c r="AL18" i="21"/>
  <c r="AC278" i="20" s="1"/>
  <c r="P307" i="20" s="1"/>
  <c r="Y220" i="20"/>
  <c r="DT8" i="15"/>
  <c r="DU8" i="15"/>
  <c r="DV8" i="15"/>
  <c r="DW8" i="15"/>
  <c r="BA48" i="25"/>
  <c r="BA55" i="25"/>
  <c r="AN22" i="19"/>
  <c r="AO106" i="19"/>
  <c r="AO109" i="19" s="1"/>
  <c r="AR7" i="27"/>
  <c r="AQ63" i="27"/>
  <c r="AQ62" i="27" s="1"/>
  <c r="AQ11" i="27"/>
  <c r="AK30" i="21"/>
  <c r="DW30" i="18"/>
  <c r="DW27" i="18" s="1"/>
  <c r="DN20" i="16"/>
  <c r="AK15" i="17"/>
  <c r="E134" i="20"/>
  <c r="AI25" i="15"/>
  <c r="AK93" i="19" s="1"/>
  <c r="AK94" i="19" s="1"/>
  <c r="AL19" i="17" s="1"/>
  <c r="AN21" i="19"/>
  <c r="AO99" i="19"/>
  <c r="AO102" i="19" s="1"/>
  <c r="I388" i="20"/>
  <c r="V359" i="20"/>
  <c r="I391" i="20" s="1"/>
  <c r="EA31" i="18"/>
  <c r="X38" i="18"/>
  <c r="H84" i="23"/>
  <c r="G217" i="20"/>
  <c r="P35" i="17"/>
  <c r="DK20" i="16"/>
  <c r="DP44" i="23"/>
  <c r="DQ10" i="15"/>
  <c r="EC31" i="18"/>
  <c r="EC30" i="18" s="1"/>
  <c r="EC27" i="18" s="1"/>
  <c r="BB123" i="25"/>
  <c r="BB212" i="25"/>
  <c r="BC50" i="25"/>
  <c r="BB145" i="25"/>
  <c r="DL20" i="16"/>
  <c r="AF17" i="19"/>
  <c r="W356" i="20" s="1"/>
  <c r="W358" i="20"/>
  <c r="J390" i="20" s="1"/>
  <c r="AJ95" i="16"/>
  <c r="AK95" i="16"/>
  <c r="AL95" i="16"/>
  <c r="AH35" i="16"/>
  <c r="AI95" i="16"/>
  <c r="DQ44" i="23"/>
  <c r="DR10" i="15"/>
  <c r="Z206" i="20"/>
  <c r="AI12" i="17"/>
  <c r="AG20" i="19"/>
  <c r="AG19" i="19" s="1"/>
  <c r="AH92" i="19"/>
  <c r="AH95" i="19" s="1"/>
  <c r="DO44" i="23"/>
  <c r="DP10" i="15"/>
  <c r="AA285" i="20"/>
  <c r="N314" i="20" s="1"/>
  <c r="AJ29" i="21"/>
  <c r="AB105" i="16"/>
  <c r="AC100" i="16"/>
  <c r="AC103" i="16" s="1"/>
  <c r="AB104" i="16"/>
  <c r="H88" i="23"/>
  <c r="DP8" i="15"/>
  <c r="DQ8" i="15"/>
  <c r="DR8" i="15"/>
  <c r="DS8" i="15"/>
  <c r="BA217" i="25"/>
  <c r="BA210" i="25"/>
  <c r="ED31" i="18"/>
  <c r="ED30" i="18" s="1"/>
  <c r="ED27" i="18" s="1"/>
  <c r="U13" i="19"/>
  <c r="L354" i="20" s="1"/>
  <c r="V85" i="19"/>
  <c r="DS10" i="15"/>
  <c r="DR44" i="23"/>
  <c r="O181" i="19"/>
  <c r="EB31" i="18"/>
  <c r="EB30" i="18" s="1"/>
  <c r="EB27" i="18" s="1"/>
  <c r="AT26" i="18"/>
  <c r="AD14" i="23" s="1"/>
  <c r="O182" i="19"/>
  <c r="AP5" i="27"/>
  <c r="DV11" i="15"/>
  <c r="DW11" i="15"/>
  <c r="AP10" i="27"/>
  <c r="AP4" i="27" s="1"/>
  <c r="DT11" i="15"/>
  <c r="DU11" i="15"/>
  <c r="K153" i="19"/>
  <c r="AJ15" i="17"/>
  <c r="BA11" i="25"/>
  <c r="BA268" i="25" s="1"/>
  <c r="BA34" i="25"/>
  <c r="DG24" i="16"/>
  <c r="DG61" i="16" s="1"/>
  <c r="DH24" i="16"/>
  <c r="DH61" i="16" s="1"/>
  <c r="AB209" i="20"/>
  <c r="O236" i="20" s="1"/>
  <c r="AA511" i="20"/>
  <c r="K529" i="20" s="1"/>
  <c r="DI24" i="16"/>
  <c r="DI61" i="16" s="1"/>
  <c r="DJ24" i="16"/>
  <c r="DJ61" i="16" s="1"/>
  <c r="BC26" i="25"/>
  <c r="BB29" i="25"/>
  <c r="BB30" i="25" s="1"/>
  <c r="BB207" i="25"/>
  <c r="BB208" i="25" s="1"/>
  <c r="BB45" i="25"/>
  <c r="BB46" i="25" s="1"/>
  <c r="BB140" i="25"/>
  <c r="DT12" i="15"/>
  <c r="DS45" i="23" s="1"/>
  <c r="DU12" i="15"/>
  <c r="DT45" i="23" s="1"/>
  <c r="DV12" i="15"/>
  <c r="DU45" i="23" s="1"/>
  <c r="DW12" i="15"/>
  <c r="DV45" i="23" s="1"/>
  <c r="O57" i="23"/>
  <c r="Z284" i="20"/>
  <c r="M313" i="20" s="1"/>
  <c r="AI26" i="21"/>
  <c r="Z283" i="20" s="1"/>
  <c r="M312" i="20" s="1"/>
  <c r="DF24" i="16"/>
  <c r="DF61" i="16" s="1"/>
  <c r="DF63" i="16" s="1"/>
  <c r="AA209" i="20"/>
  <c r="N236" i="20" s="1"/>
  <c r="Z511" i="20"/>
  <c r="J529" i="20" s="1"/>
  <c r="DC24" i="16"/>
  <c r="DC61" i="16" s="1"/>
  <c r="DC63" i="16" s="1"/>
  <c r="DD24" i="16"/>
  <c r="DD61" i="16" s="1"/>
  <c r="DD63" i="16" s="1"/>
  <c r="DE24" i="16"/>
  <c r="DE61" i="16" s="1"/>
  <c r="DE63" i="16" s="1"/>
  <c r="DM20" i="16"/>
  <c r="DG279" i="37" l="1"/>
  <c r="DG277" i="37"/>
  <c r="DH267" i="37"/>
  <c r="E748" i="20" s="1"/>
  <c r="I748" i="20" s="1"/>
  <c r="AR648" i="20"/>
  <c r="AG14" i="23"/>
  <c r="E612" i="20"/>
  <c r="AI151" i="19"/>
  <c r="DR58" i="23"/>
  <c r="DR66" i="23" s="1"/>
  <c r="DI58" i="23"/>
  <c r="DI66" i="23" s="1"/>
  <c r="DJ58" i="23"/>
  <c r="DJ66" i="23" s="1"/>
  <c r="DG58" i="23"/>
  <c r="DG66" i="23" s="1"/>
  <c r="DH58" i="23"/>
  <c r="DH66" i="23" s="1"/>
  <c r="AE281" i="20"/>
  <c r="E335" i="20" s="1"/>
  <c r="F136" i="20"/>
  <c r="DO16" i="15"/>
  <c r="DN49" i="23"/>
  <c r="DM49" i="23"/>
  <c r="DM16" i="15"/>
  <c r="DL49" i="23"/>
  <c r="AR57" i="25"/>
  <c r="DL16" i="15"/>
  <c r="DK49" i="23"/>
  <c r="AR219" i="25"/>
  <c r="DI37" i="37"/>
  <c r="DI12" i="37"/>
  <c r="AS648" i="20" s="1"/>
  <c r="DJ208" i="37"/>
  <c r="DJ215" i="37"/>
  <c r="AS117" i="25"/>
  <c r="AS49" i="25" s="1"/>
  <c r="AS35" i="25" s="1"/>
  <c r="ET117" i="37"/>
  <c r="ET122" i="37" s="1"/>
  <c r="ET53" i="37" s="1"/>
  <c r="ET209" i="37" s="1"/>
  <c r="EU117" i="37"/>
  <c r="EU122" i="37" s="1"/>
  <c r="EU53" i="37" s="1"/>
  <c r="EU209" i="37" s="1"/>
  <c r="EV117" i="37"/>
  <c r="EV122" i="37" s="1"/>
  <c r="EV53" i="37" s="1"/>
  <c r="EV209" i="37" s="1"/>
  <c r="EW117" i="37"/>
  <c r="EW122" i="37" s="1"/>
  <c r="EW53" i="37" s="1"/>
  <c r="EW209" i="37" s="1"/>
  <c r="DI59" i="37"/>
  <c r="DI52" i="37"/>
  <c r="DJ137" i="37"/>
  <c r="DK28" i="37"/>
  <c r="DK205" i="37" s="1"/>
  <c r="DK206" i="37" s="1"/>
  <c r="DJ49" i="37"/>
  <c r="DJ50" i="37" s="1"/>
  <c r="DJ31" i="37"/>
  <c r="DJ32" i="37" s="1"/>
  <c r="AR61" i="37"/>
  <c r="AR217" i="37"/>
  <c r="AS141" i="37"/>
  <c r="AS143" i="37" s="1"/>
  <c r="AS145" i="37" s="1"/>
  <c r="AS38" i="37"/>
  <c r="AS149" i="37" s="1"/>
  <c r="AS55" i="37"/>
  <c r="AS57" i="37" s="1"/>
  <c r="AS58" i="37" s="1"/>
  <c r="AS60" i="37" s="1"/>
  <c r="AS13" i="37" s="1"/>
  <c r="AS268" i="37" s="1"/>
  <c r="AS209" i="37"/>
  <c r="AS211" i="37" s="1"/>
  <c r="AS213" i="37" s="1"/>
  <c r="AS214" i="37" s="1"/>
  <c r="AS216" i="37" s="1"/>
  <c r="AS15" i="37" s="1"/>
  <c r="AS270" i="37" s="1"/>
  <c r="AU53" i="37"/>
  <c r="AT53" i="37"/>
  <c r="BC205" i="37"/>
  <c r="BC206" i="37" s="1"/>
  <c r="BC137" i="37"/>
  <c r="BC49" i="37"/>
  <c r="BC50" i="37" s="1"/>
  <c r="BB52" i="37"/>
  <c r="BB59" i="37"/>
  <c r="BB208" i="37"/>
  <c r="BB215" i="37"/>
  <c r="BC210" i="37"/>
  <c r="BC142" i="37"/>
  <c r="BB37" i="37"/>
  <c r="BB12" i="37"/>
  <c r="BB267" i="37" s="1"/>
  <c r="R50" i="2"/>
  <c r="Q18" i="2"/>
  <c r="AA205" i="20"/>
  <c r="N232" i="20" s="1"/>
  <c r="AH31" i="2"/>
  <c r="AH15" i="2" s="1"/>
  <c r="X32" i="2"/>
  <c r="X16" i="2" s="1"/>
  <c r="AH28" i="2"/>
  <c r="AH43" i="2"/>
  <c r="AH35" i="2"/>
  <c r="AH49" i="2"/>
  <c r="AH19" i="2" s="1"/>
  <c r="AG19" i="2"/>
  <c r="AG20" i="2"/>
  <c r="AH27" i="2"/>
  <c r="AH42" i="2"/>
  <c r="AI44" i="2"/>
  <c r="AI10" i="2"/>
  <c r="AI29" i="2"/>
  <c r="AI9" i="2"/>
  <c r="AJ11" i="2"/>
  <c r="DI63" i="16"/>
  <c r="X77" i="36"/>
  <c r="Y63" i="4"/>
  <c r="Y58" i="4"/>
  <c r="Z55" i="4" s="1"/>
  <c r="Z36" i="2" s="1"/>
  <c r="S34" i="2"/>
  <c r="DH63" i="16"/>
  <c r="DJ63" i="16"/>
  <c r="DG63" i="16"/>
  <c r="AH29" i="15"/>
  <c r="DM56" i="16"/>
  <c r="DM18" i="16" s="1"/>
  <c r="DN16" i="15"/>
  <c r="AI22" i="15"/>
  <c r="AK13" i="17"/>
  <c r="DN56" i="16"/>
  <c r="DN18" i="16" s="1"/>
  <c r="DP7" i="15"/>
  <c r="AI21" i="15"/>
  <c r="D134" i="20"/>
  <c r="DL56" i="16"/>
  <c r="DL18" i="16" s="1"/>
  <c r="DK56" i="16"/>
  <c r="DK18" i="16" s="1"/>
  <c r="DR7" i="15"/>
  <c r="DQ6" i="15"/>
  <c r="DQ5" i="15" s="1"/>
  <c r="DP6" i="15"/>
  <c r="DP5" i="15" s="1"/>
  <c r="DR6" i="15"/>
  <c r="DR5" i="15" s="1"/>
  <c r="AJ26" i="24"/>
  <c r="DS7" i="15"/>
  <c r="AJ23" i="24"/>
  <c r="DQ7" i="15"/>
  <c r="AJ29" i="24"/>
  <c r="AJ30" i="24" s="1"/>
  <c r="AJ34" i="24"/>
  <c r="DR56" i="16"/>
  <c r="DR18" i="16" s="1"/>
  <c r="AK21" i="24"/>
  <c r="AL19" i="24"/>
  <c r="AL20" i="24" s="1"/>
  <c r="AM17" i="24"/>
  <c r="AL18" i="24"/>
  <c r="R62" i="4"/>
  <c r="R64" i="4"/>
  <c r="R28" i="4" s="1"/>
  <c r="R88" i="4" s="1"/>
  <c r="DH40" i="13"/>
  <c r="DI40" i="13"/>
  <c r="DH45" i="16" s="1"/>
  <c r="DH13" i="16" s="1"/>
  <c r="DX11" i="18" s="1"/>
  <c r="DJ40" i="13"/>
  <c r="DI45" i="16" s="1"/>
  <c r="DI13" i="16" s="1"/>
  <c r="DY11" i="18" s="1"/>
  <c r="DK40" i="13"/>
  <c r="DJ45" i="16" s="1"/>
  <c r="DJ13" i="16" s="1"/>
  <c r="DZ11" i="18" s="1"/>
  <c r="AM29" i="11"/>
  <c r="AS15" i="13"/>
  <c r="AN30" i="11"/>
  <c r="AI8" i="17"/>
  <c r="DO11" i="18"/>
  <c r="AI10" i="21" s="1"/>
  <c r="DC45" i="16"/>
  <c r="DC13" i="16" s="1"/>
  <c r="AG62" i="13"/>
  <c r="AH94" i="16"/>
  <c r="AH96" i="16" s="1"/>
  <c r="AH102" i="16" s="1"/>
  <c r="AM32" i="15"/>
  <c r="AM34" i="15"/>
  <c r="AN28" i="15" s="1"/>
  <c r="AN27" i="15" s="1"/>
  <c r="EF15" i="15" s="1"/>
  <c r="EU25" i="18" s="1"/>
  <c r="AO24" i="21"/>
  <c r="DW62" i="16"/>
  <c r="DW25" i="16" s="1"/>
  <c r="AO20" i="17" s="1"/>
  <c r="AF210" i="20" s="1"/>
  <c r="F258" i="20" s="1"/>
  <c r="CX10" i="16"/>
  <c r="CX49" i="16"/>
  <c r="AQ54" i="25"/>
  <c r="AQ56" i="25" s="1"/>
  <c r="AQ12" i="25" s="1"/>
  <c r="CW49" i="16"/>
  <c r="CW10" i="16"/>
  <c r="DA42" i="16"/>
  <c r="DB48" i="13"/>
  <c r="I228" i="20"/>
  <c r="DI8" i="18"/>
  <c r="CS9" i="16"/>
  <c r="CS26" i="16" s="1"/>
  <c r="CS34" i="16" s="1"/>
  <c r="CS36" i="16" s="1"/>
  <c r="U274" i="20"/>
  <c r="H303" i="20" s="1"/>
  <c r="H301" i="20"/>
  <c r="V200" i="20"/>
  <c r="U508" i="20"/>
  <c r="AE21" i="17"/>
  <c r="AT125" i="25"/>
  <c r="AT122" i="25" s="1"/>
  <c r="AT126" i="25" s="1"/>
  <c r="DC17" i="16"/>
  <c r="DF36" i="13"/>
  <c r="DF35" i="13" s="1"/>
  <c r="AQ10" i="13"/>
  <c r="AQ9" i="13" s="1"/>
  <c r="DE36" i="13"/>
  <c r="DE35" i="13" s="1"/>
  <c r="DG36" i="13"/>
  <c r="DG35" i="13" s="1"/>
  <c r="DD36" i="13"/>
  <c r="DD35" i="13" s="1"/>
  <c r="AQ216" i="25"/>
  <c r="AQ218" i="25" s="1"/>
  <c r="AQ14" i="25" s="1"/>
  <c r="DD7" i="18"/>
  <c r="CN13" i="23"/>
  <c r="DA48" i="13"/>
  <c r="CZ42" i="16"/>
  <c r="AF4" i="17"/>
  <c r="W201" i="20"/>
  <c r="DE7" i="18"/>
  <c r="CO13" i="23"/>
  <c r="K519" i="20"/>
  <c r="S512" i="20"/>
  <c r="S513" i="20"/>
  <c r="K522" i="20" s="1"/>
  <c r="CY42" i="16"/>
  <c r="CZ48" i="13"/>
  <c r="AF59" i="13"/>
  <c r="AF65" i="13" s="1"/>
  <c r="J521" i="20"/>
  <c r="R514" i="20"/>
  <c r="J523" i="20" s="1"/>
  <c r="CU49" i="16"/>
  <c r="CU10" i="16"/>
  <c r="DH8" i="18"/>
  <c r="CR9" i="16"/>
  <c r="CR26" i="16" s="1"/>
  <c r="CR34" i="16" s="1"/>
  <c r="CR36" i="16" s="1"/>
  <c r="T510" i="20"/>
  <c r="D526" i="20"/>
  <c r="AF7" i="21"/>
  <c r="DC7" i="18"/>
  <c r="CM13" i="23"/>
  <c r="AM22" i="11"/>
  <c r="AS7" i="13" s="1"/>
  <c r="AS6" i="13" s="1"/>
  <c r="AN23" i="11"/>
  <c r="CV49" i="16"/>
  <c r="CV10" i="16"/>
  <c r="DF7" i="18"/>
  <c r="CP13" i="23"/>
  <c r="AT127" i="25"/>
  <c r="AT112" i="25" s="1"/>
  <c r="AA85" i="20"/>
  <c r="G91" i="20" s="1"/>
  <c r="G92" i="20" s="1"/>
  <c r="AR11" i="13"/>
  <c r="AE6" i="21"/>
  <c r="V272" i="20" s="1"/>
  <c r="V273" i="20"/>
  <c r="I302" i="20" s="1"/>
  <c r="U202" i="20"/>
  <c r="H227" i="20"/>
  <c r="T294" i="20"/>
  <c r="DG8" i="18"/>
  <c r="AG5" i="17"/>
  <c r="CQ9" i="16"/>
  <c r="CQ26" i="16" s="1"/>
  <c r="CQ34" i="16" s="1"/>
  <c r="CQ36" i="16" s="1"/>
  <c r="DJ8" i="18"/>
  <c r="CT9" i="16"/>
  <c r="CT26" i="16" s="1"/>
  <c r="CT34" i="16" s="1"/>
  <c r="G229" i="20"/>
  <c r="T219" i="20"/>
  <c r="DB42" i="16"/>
  <c r="DC48" i="13"/>
  <c r="AD33" i="17"/>
  <c r="U211" i="20"/>
  <c r="DP58" i="16"/>
  <c r="DP46" i="23"/>
  <c r="EF19" i="18" s="1"/>
  <c r="AI92" i="19"/>
  <c r="AI95" i="19" s="1"/>
  <c r="AH20" i="19"/>
  <c r="AH19" i="19" s="1"/>
  <c r="M233" i="20"/>
  <c r="DI17" i="16"/>
  <c r="AB285" i="20"/>
  <c r="O314" i="20" s="1"/>
  <c r="AK29" i="21"/>
  <c r="DS58" i="16"/>
  <c r="AK23" i="15"/>
  <c r="DS46" i="23"/>
  <c r="EI19" i="18" s="1"/>
  <c r="P25" i="21"/>
  <c r="DO58" i="16"/>
  <c r="AJ23" i="15"/>
  <c r="DO46" i="23"/>
  <c r="EE19" i="18" s="1"/>
  <c r="AC104" i="16"/>
  <c r="AC105" i="16"/>
  <c r="AD100" i="16"/>
  <c r="AD103" i="16" s="1"/>
  <c r="AG17" i="19"/>
  <c r="X356" i="20" s="1"/>
  <c r="X358" i="20"/>
  <c r="K390" i="20" s="1"/>
  <c r="DD17" i="16"/>
  <c r="DE17" i="16"/>
  <c r="DN24" i="16"/>
  <c r="DN61" i="16" s="1"/>
  <c r="AC209" i="20"/>
  <c r="P236" i="20" s="1"/>
  <c r="AB511" i="20"/>
  <c r="D538" i="20" s="1"/>
  <c r="DK24" i="16"/>
  <c r="DK61" i="16" s="1"/>
  <c r="DL24" i="16"/>
  <c r="DL61" i="16" s="1"/>
  <c r="DM24" i="16"/>
  <c r="DM61" i="16" s="1"/>
  <c r="DX8" i="15"/>
  <c r="DY8" i="15"/>
  <c r="DZ8" i="15"/>
  <c r="EA8" i="15"/>
  <c r="BC29" i="25"/>
  <c r="BC30" i="25" s="1"/>
  <c r="BD26" i="25"/>
  <c r="BC140" i="25"/>
  <c r="BC207" i="25"/>
  <c r="BC208" i="25" s="1"/>
  <c r="BC45" i="25"/>
  <c r="BC46" i="25" s="1"/>
  <c r="V87" i="19"/>
  <c r="V88" i="19" s="1"/>
  <c r="AA206" i="20"/>
  <c r="AJ12" i="17"/>
  <c r="AJ26" i="21"/>
  <c r="AA283" i="20" s="1"/>
  <c r="N312" i="20" s="1"/>
  <c r="AA284" i="20"/>
  <c r="N313" i="20" s="1"/>
  <c r="EF31" i="18"/>
  <c r="EF30" i="18" s="1"/>
  <c r="EF27" i="18" s="1"/>
  <c r="H109" i="23"/>
  <c r="AQ5" i="27"/>
  <c r="DX11" i="15"/>
  <c r="DY11" i="15"/>
  <c r="DZ11" i="15"/>
  <c r="EA11" i="15"/>
  <c r="AQ10" i="27"/>
  <c r="AQ4" i="27" s="1"/>
  <c r="BB48" i="25"/>
  <c r="BB55" i="25"/>
  <c r="DT44" i="23"/>
  <c r="DU10" i="15"/>
  <c r="EG31" i="18"/>
  <c r="EG30" i="18" s="1"/>
  <c r="EG27" i="18" s="1"/>
  <c r="Q34" i="17"/>
  <c r="AH101" i="16"/>
  <c r="AH36" i="16"/>
  <c r="J388" i="20"/>
  <c r="W359" i="20"/>
  <c r="J391" i="20" s="1"/>
  <c r="DG17" i="16"/>
  <c r="DY12" i="15"/>
  <c r="DX45" i="23" s="1"/>
  <c r="DZ12" i="15"/>
  <c r="DY45" i="23" s="1"/>
  <c r="EA12" i="15"/>
  <c r="DZ45" i="23" s="1"/>
  <c r="DX12" i="15"/>
  <c r="DW45" i="23" s="1"/>
  <c r="BB217" i="25"/>
  <c r="BB210" i="25"/>
  <c r="DS44" i="23"/>
  <c r="DT10" i="15"/>
  <c r="DF17" i="16"/>
  <c r="H89" i="23"/>
  <c r="X34" i="18"/>
  <c r="X33" i="18" s="1"/>
  <c r="X48" i="18" s="1"/>
  <c r="X50" i="18" s="1"/>
  <c r="AB206" i="20"/>
  <c r="AS7" i="27"/>
  <c r="AR63" i="27"/>
  <c r="AR62" i="27" s="1"/>
  <c r="AR11" i="27"/>
  <c r="BB34" i="25"/>
  <c r="BB11" i="25"/>
  <c r="BB268" i="25" s="1"/>
  <c r="DJ17" i="16"/>
  <c r="O183" i="19"/>
  <c r="EH31" i="18"/>
  <c r="EH30" i="18" s="1"/>
  <c r="EH27" i="18" s="1"/>
  <c r="E135" i="20"/>
  <c r="AJ25" i="15"/>
  <c r="AL93" i="19" s="1"/>
  <c r="AL94" i="19" s="1"/>
  <c r="AM19" i="17" s="1"/>
  <c r="DH17" i="16"/>
  <c r="AP106" i="19"/>
  <c r="AP109" i="19" s="1"/>
  <c r="AO22" i="19"/>
  <c r="DV58" i="16"/>
  <c r="DV46" i="23"/>
  <c r="EL19" i="18" s="1"/>
  <c r="DV44" i="23"/>
  <c r="DW10" i="15"/>
  <c r="DR58" i="16"/>
  <c r="DR46" i="23"/>
  <c r="EH19" i="18" s="1"/>
  <c r="DS16" i="15"/>
  <c r="EE31" i="18"/>
  <c r="EA30" i="18"/>
  <c r="EA27" i="18" s="1"/>
  <c r="AL30" i="21"/>
  <c r="DU58" i="16"/>
  <c r="DU46" i="23"/>
  <c r="EK19" i="18" s="1"/>
  <c r="DU44" i="23"/>
  <c r="DV10" i="15"/>
  <c r="DQ58" i="16"/>
  <c r="DQ46" i="23"/>
  <c r="EG19" i="18" s="1"/>
  <c r="Y509" i="20"/>
  <c r="I527" i="20" s="1"/>
  <c r="Z204" i="20"/>
  <c r="M231" i="20" s="1"/>
  <c r="BC123" i="25"/>
  <c r="BC212" i="25"/>
  <c r="BD50" i="25"/>
  <c r="BC145" i="25"/>
  <c r="AL15" i="17"/>
  <c r="O221" i="19"/>
  <c r="G218" i="20"/>
  <c r="K14" i="22"/>
  <c r="AP99" i="19"/>
  <c r="AP102" i="19" s="1"/>
  <c r="AO21" i="19"/>
  <c r="DT58" i="16"/>
  <c r="DT46" i="23"/>
  <c r="EJ19" i="18" s="1"/>
  <c r="DH277" i="37" l="1"/>
  <c r="DH279" i="37"/>
  <c r="E613" i="20"/>
  <c r="DV50" i="23"/>
  <c r="DS50" i="23"/>
  <c r="DU50" i="23"/>
  <c r="DT50" i="23"/>
  <c r="DQ50" i="23"/>
  <c r="DR50" i="23"/>
  <c r="DP50" i="23"/>
  <c r="DO50" i="23"/>
  <c r="AJ151" i="19"/>
  <c r="DL58" i="23"/>
  <c r="DL66" i="23" s="1"/>
  <c r="DM58" i="23"/>
  <c r="DM66" i="23" s="1"/>
  <c r="DN58" i="23"/>
  <c r="DN66" i="23" s="1"/>
  <c r="DK58" i="23"/>
  <c r="DK66" i="23" s="1"/>
  <c r="AF281" i="20"/>
  <c r="F335" i="20" s="1"/>
  <c r="F137" i="20"/>
  <c r="DQ56" i="16"/>
  <c r="DQ18" i="16" s="1"/>
  <c r="DQ49" i="23"/>
  <c r="DO56" i="16"/>
  <c r="DO18" i="16" s="1"/>
  <c r="DO49" i="23"/>
  <c r="DP56" i="16"/>
  <c r="DP18" i="16" s="1"/>
  <c r="DP49" i="23"/>
  <c r="AS211" i="25"/>
  <c r="AS213" i="25" s="1"/>
  <c r="AS215" i="25" s="1"/>
  <c r="AS144" i="25"/>
  <c r="AS146" i="25" s="1"/>
  <c r="AS148" i="25" s="1"/>
  <c r="DI267" i="37"/>
  <c r="E749" i="20" s="1"/>
  <c r="I749" i="20" s="1"/>
  <c r="AI319" i="25"/>
  <c r="AS51" i="25"/>
  <c r="AS53" i="25" s="1"/>
  <c r="DJ37" i="37"/>
  <c r="DJ12" i="37"/>
  <c r="DK215" i="37"/>
  <c r="DK208" i="37"/>
  <c r="AS217" i="37"/>
  <c r="EW38" i="37"/>
  <c r="EW141" i="37"/>
  <c r="EV38" i="37"/>
  <c r="EV141" i="37"/>
  <c r="EU38" i="37"/>
  <c r="EU141" i="37"/>
  <c r="DJ59" i="37"/>
  <c r="DJ52" i="37"/>
  <c r="ET38" i="37"/>
  <c r="ET141" i="37"/>
  <c r="AT117" i="25"/>
  <c r="AT49" i="25" s="1"/>
  <c r="AT35" i="25" s="1"/>
  <c r="EX117" i="37"/>
  <c r="EX122" i="37" s="1"/>
  <c r="EX53" i="37" s="1"/>
  <c r="EX209" i="37" s="1"/>
  <c r="EY117" i="37"/>
  <c r="EY122" i="37" s="1"/>
  <c r="EY53" i="37" s="1"/>
  <c r="EY209" i="37" s="1"/>
  <c r="EZ117" i="37"/>
  <c r="EZ122" i="37" s="1"/>
  <c r="EZ53" i="37" s="1"/>
  <c r="EZ209" i="37" s="1"/>
  <c r="FA117" i="37"/>
  <c r="FA122" i="37" s="1"/>
  <c r="FA53" i="37" s="1"/>
  <c r="FA209" i="37" s="1"/>
  <c r="DK137" i="37"/>
  <c r="DK49" i="37"/>
  <c r="DK50" i="37" s="1"/>
  <c r="DL28" i="37"/>
  <c r="DL205" i="37" s="1"/>
  <c r="DL206" i="37" s="1"/>
  <c r="DK31" i="37"/>
  <c r="DK32" i="37" s="1"/>
  <c r="AS61" i="37"/>
  <c r="AT55" i="37"/>
  <c r="AT57" i="37" s="1"/>
  <c r="AT209" i="37"/>
  <c r="AT211" i="37" s="1"/>
  <c r="AT213" i="37" s="1"/>
  <c r="AT141" i="37"/>
  <c r="AT143" i="37" s="1"/>
  <c r="AT145" i="37" s="1"/>
  <c r="AT38" i="37"/>
  <c r="AT149" i="37" s="1"/>
  <c r="AU209" i="37"/>
  <c r="AU211" i="37" s="1"/>
  <c r="AU213" i="37" s="1"/>
  <c r="AU214" i="37" s="1"/>
  <c r="AU216" i="37" s="1"/>
  <c r="AU15" i="37" s="1"/>
  <c r="AU270" i="37" s="1"/>
  <c r="AU141" i="37"/>
  <c r="AU143" i="37" s="1"/>
  <c r="AU145" i="37" s="1"/>
  <c r="AU38" i="37"/>
  <c r="AU149" i="37" s="1"/>
  <c r="AU55" i="37"/>
  <c r="AU57" i="37" s="1"/>
  <c r="AU58" i="37" s="1"/>
  <c r="AU60" i="37" s="1"/>
  <c r="AU13" i="37" s="1"/>
  <c r="AU268" i="37" s="1"/>
  <c r="BD205" i="37"/>
  <c r="BD206" i="37" s="1"/>
  <c r="BD137" i="37"/>
  <c r="BD49" i="37"/>
  <c r="BD50" i="37" s="1"/>
  <c r="BD210" i="37"/>
  <c r="BD142" i="37"/>
  <c r="BC52" i="37"/>
  <c r="BC59" i="37"/>
  <c r="BC215" i="37"/>
  <c r="BC208" i="37"/>
  <c r="BC12" i="37"/>
  <c r="BC267" i="37" s="1"/>
  <c r="BC37" i="37"/>
  <c r="R21" i="2"/>
  <c r="R48" i="2"/>
  <c r="AB205" i="20"/>
  <c r="O232" i="20" s="1"/>
  <c r="AI31" i="2"/>
  <c r="AI15" i="2" s="1"/>
  <c r="Y32" i="2"/>
  <c r="Y16" i="2" s="1"/>
  <c r="AH20" i="2"/>
  <c r="AJ44" i="2"/>
  <c r="AI27" i="2"/>
  <c r="AI42" i="2"/>
  <c r="AI35" i="2"/>
  <c r="AI49" i="2"/>
  <c r="AI19" i="2" s="1"/>
  <c r="AI28" i="2"/>
  <c r="AI43" i="2"/>
  <c r="AJ10" i="2"/>
  <c r="AJ29" i="2"/>
  <c r="AJ9" i="2"/>
  <c r="AK11" i="2"/>
  <c r="Z58" i="4"/>
  <c r="AA55" i="4" s="1"/>
  <c r="AA36" i="2" s="1"/>
  <c r="Z63" i="4"/>
  <c r="Y77" i="36"/>
  <c r="J92" i="36" s="1"/>
  <c r="Y32" i="4"/>
  <c r="DM63" i="16"/>
  <c r="DK63" i="16"/>
  <c r="AK12" i="17"/>
  <c r="AA509" i="20" s="1"/>
  <c r="K527" i="20" s="1"/>
  <c r="DP16" i="15"/>
  <c r="DN63" i="16"/>
  <c r="DQ16" i="15"/>
  <c r="AI29" i="15"/>
  <c r="DR16" i="15"/>
  <c r="DL63" i="16"/>
  <c r="AJ21" i="15"/>
  <c r="AL13" i="17"/>
  <c r="D135" i="20"/>
  <c r="AJ22" i="15"/>
  <c r="AL21" i="24"/>
  <c r="AL29" i="24" s="1"/>
  <c r="DW6" i="15"/>
  <c r="DW5" i="15" s="1"/>
  <c r="DT6" i="15"/>
  <c r="DT5" i="15" s="1"/>
  <c r="DU7" i="15"/>
  <c r="DU6" i="15"/>
  <c r="DU5" i="15" s="1"/>
  <c r="AK29" i="24"/>
  <c r="AK30" i="24" s="1"/>
  <c r="DT7" i="15"/>
  <c r="AK26" i="24"/>
  <c r="DV6" i="15"/>
  <c r="DV5" i="15" s="1"/>
  <c r="DU49" i="23" s="1"/>
  <c r="DU58" i="23" s="1"/>
  <c r="DV7" i="15"/>
  <c r="AK34" i="24"/>
  <c r="DW7" i="15"/>
  <c r="AK23" i="24"/>
  <c r="AM18" i="24"/>
  <c r="AM19" i="24"/>
  <c r="AM20" i="24" s="1"/>
  <c r="AN17" i="24"/>
  <c r="S59" i="4"/>
  <c r="R78" i="36"/>
  <c r="DN17" i="16"/>
  <c r="AI94" i="16"/>
  <c r="AI96" i="16" s="1"/>
  <c r="AI102" i="16" s="1"/>
  <c r="AY26" i="18" s="1"/>
  <c r="AN29" i="11"/>
  <c r="AT15" i="13"/>
  <c r="AO30" i="11"/>
  <c r="DL40" i="13"/>
  <c r="DM40" i="13"/>
  <c r="DL45" i="16" s="1"/>
  <c r="DL13" i="16" s="1"/>
  <c r="EB11" i="18" s="1"/>
  <c r="DN40" i="13"/>
  <c r="DM45" i="16" s="1"/>
  <c r="DM13" i="16" s="1"/>
  <c r="EC11" i="18" s="1"/>
  <c r="DO40" i="13"/>
  <c r="DN45" i="16" s="1"/>
  <c r="DN13" i="16" s="1"/>
  <c r="ED11" i="18" s="1"/>
  <c r="DS11" i="18"/>
  <c r="AJ10" i="21" s="1"/>
  <c r="AJ8" i="17"/>
  <c r="DG45" i="16"/>
  <c r="DG13" i="16" s="1"/>
  <c r="AH62" i="13"/>
  <c r="DK17" i="16"/>
  <c r="U294" i="20"/>
  <c r="EA62" i="16"/>
  <c r="EA25" i="16" s="1"/>
  <c r="AP20" i="17" s="1"/>
  <c r="AG210" i="20" s="1"/>
  <c r="G258" i="20" s="1"/>
  <c r="AP24" i="21"/>
  <c r="AN32" i="15"/>
  <c r="AN34" i="15"/>
  <c r="AO28" i="15" s="1"/>
  <c r="AO27" i="15" s="1"/>
  <c r="EJ15" i="15" s="1"/>
  <c r="EY25" i="18" s="1"/>
  <c r="AX26" i="18"/>
  <c r="P182" i="19"/>
  <c r="DB10" i="16"/>
  <c r="DB49" i="16"/>
  <c r="DG7" i="18"/>
  <c r="CQ13" i="23"/>
  <c r="AG7" i="21"/>
  <c r="DH7" i="18"/>
  <c r="CR13" i="23"/>
  <c r="CU9" i="16"/>
  <c r="CU26" i="16" s="1"/>
  <c r="CU34" i="16" s="1"/>
  <c r="CU36" i="16" s="1"/>
  <c r="AH5" i="17"/>
  <c r="DK8" i="18"/>
  <c r="S514" i="20"/>
  <c r="K523" i="20" s="1"/>
  <c r="K521" i="20"/>
  <c r="DE42" i="16"/>
  <c r="DF48" i="13"/>
  <c r="AS152" i="25"/>
  <c r="AS219" i="25"/>
  <c r="AS57" i="25"/>
  <c r="AQ269" i="25"/>
  <c r="H229" i="20"/>
  <c r="U219" i="20"/>
  <c r="DJ7" i="18"/>
  <c r="CT13" i="23"/>
  <c r="AF6" i="21"/>
  <c r="W272" i="20" s="1"/>
  <c r="W273" i="20"/>
  <c r="J302" i="20" s="1"/>
  <c r="AQ271" i="25"/>
  <c r="AE33" i="17"/>
  <c r="V211" i="20"/>
  <c r="DN8" i="18"/>
  <c r="CX9" i="16"/>
  <c r="CX26" i="16" s="1"/>
  <c r="CX34" i="16" s="1"/>
  <c r="U221" i="20"/>
  <c r="H238" i="20"/>
  <c r="I301" i="20"/>
  <c r="V274" i="20"/>
  <c r="I303" i="20" s="1"/>
  <c r="CV9" i="16"/>
  <c r="CV26" i="16" s="1"/>
  <c r="CV34" i="16" s="1"/>
  <c r="CV36" i="16" s="1"/>
  <c r="DL8" i="18"/>
  <c r="J228" i="20"/>
  <c r="DD48" i="13"/>
  <c r="AG59" i="13"/>
  <c r="AG65" i="13" s="1"/>
  <c r="DC42" i="16"/>
  <c r="U510" i="20"/>
  <c r="E526" i="20"/>
  <c r="AM109" i="16"/>
  <c r="AM111" i="16" s="1"/>
  <c r="AM128" i="16" s="1"/>
  <c r="U216" i="20"/>
  <c r="AR10" i="13"/>
  <c r="AR9" i="13" s="1"/>
  <c r="DH36" i="13"/>
  <c r="DH35" i="13" s="1"/>
  <c r="DI36" i="13"/>
  <c r="DI35" i="13" s="1"/>
  <c r="DJ36" i="13"/>
  <c r="DJ35" i="13" s="1"/>
  <c r="DK36" i="13"/>
  <c r="DK35" i="13" s="1"/>
  <c r="D528" i="20"/>
  <c r="T512" i="20"/>
  <c r="T513" i="20"/>
  <c r="D531" i="20" s="1"/>
  <c r="W200" i="20"/>
  <c r="V508" i="20"/>
  <c r="AF21" i="17"/>
  <c r="AU125" i="25"/>
  <c r="AU122" i="25" s="1"/>
  <c r="AU126" i="25" s="1"/>
  <c r="DF42" i="16"/>
  <c r="DG48" i="13"/>
  <c r="V202" i="20"/>
  <c r="I227" i="20"/>
  <c r="DA10" i="16"/>
  <c r="DA49" i="16"/>
  <c r="AG4" i="17"/>
  <c r="X201" i="20"/>
  <c r="AB85" i="20"/>
  <c r="H91" i="20" s="1"/>
  <c r="H92" i="20" s="1"/>
  <c r="AS11" i="13"/>
  <c r="AN22" i="11"/>
  <c r="AT7" i="13" s="1"/>
  <c r="AT6" i="13" s="1"/>
  <c r="AO23" i="11"/>
  <c r="CY10" i="16"/>
  <c r="CY49" i="16"/>
  <c r="CZ10" i="16"/>
  <c r="CZ49" i="16"/>
  <c r="DD42" i="16"/>
  <c r="DE48" i="13"/>
  <c r="DI7" i="18"/>
  <c r="CS13" i="23"/>
  <c r="DM8" i="18"/>
  <c r="CW9" i="16"/>
  <c r="CW26" i="16" s="1"/>
  <c r="CW34" i="16" s="1"/>
  <c r="CW36" i="16" s="1"/>
  <c r="AU127" i="25"/>
  <c r="AU112" i="25" s="1"/>
  <c r="AP21" i="19"/>
  <c r="AQ99" i="19"/>
  <c r="AQ102" i="19" s="1"/>
  <c r="DQ20" i="16"/>
  <c r="EB8" i="15"/>
  <c r="EC8" i="15"/>
  <c r="ED8" i="15"/>
  <c r="EE8" i="15"/>
  <c r="EJ31" i="18"/>
  <c r="EJ30" i="18" s="1"/>
  <c r="EJ27" i="18" s="1"/>
  <c r="BD29" i="25"/>
  <c r="BD30" i="25" s="1"/>
  <c r="BD140" i="25"/>
  <c r="BD207" i="25"/>
  <c r="BD208" i="25" s="1"/>
  <c r="BE26" i="25"/>
  <c r="BD45" i="25"/>
  <c r="BD46" i="25" s="1"/>
  <c r="DW58" i="16"/>
  <c r="AL23" i="15"/>
  <c r="DW46" i="23"/>
  <c r="EM19" i="18" s="1"/>
  <c r="AD104" i="16"/>
  <c r="AD105" i="16"/>
  <c r="AE100" i="16"/>
  <c r="AE103" i="16" s="1"/>
  <c r="G282" i="20"/>
  <c r="DS20" i="16"/>
  <c r="AB284" i="20"/>
  <c r="O313" i="20" s="1"/>
  <c r="AK26" i="21"/>
  <c r="AB283" i="20" s="1"/>
  <c r="O312" i="20" s="1"/>
  <c r="AH17" i="19"/>
  <c r="Y356" i="20" s="1"/>
  <c r="Y358" i="20"/>
  <c r="L390" i="20" s="1"/>
  <c r="DU20" i="16"/>
  <c r="DR20" i="16"/>
  <c r="EB12" i="15"/>
  <c r="EA45" i="23" s="1"/>
  <c r="EC12" i="15"/>
  <c r="EB45" i="23" s="1"/>
  <c r="ED12" i="15"/>
  <c r="EC45" i="23" s="1"/>
  <c r="EE12" i="15"/>
  <c r="ED45" i="23" s="1"/>
  <c r="Y49" i="18"/>
  <c r="H113" i="23"/>
  <c r="I86" i="23"/>
  <c r="DY44" i="23"/>
  <c r="DZ10" i="15"/>
  <c r="DL17" i="16"/>
  <c r="AR10" i="27"/>
  <c r="AR4" i="27" s="1"/>
  <c r="ED11" i="15"/>
  <c r="EE11" i="15"/>
  <c r="AR5" i="27"/>
  <c r="EB11" i="15"/>
  <c r="EC11" i="15"/>
  <c r="BC11" i="25"/>
  <c r="BC268" i="25" s="1"/>
  <c r="BC34" i="25"/>
  <c r="AJ92" i="19"/>
  <c r="AJ95" i="19" s="1"/>
  <c r="AI20" i="19"/>
  <c r="AI19" i="19" s="1"/>
  <c r="AS11" i="27"/>
  <c r="AT7" i="27"/>
  <c r="AS63" i="27"/>
  <c r="AS62" i="27" s="1"/>
  <c r="P181" i="19"/>
  <c r="DX44" i="23"/>
  <c r="DY10" i="15"/>
  <c r="H111" i="23"/>
  <c r="K388" i="20"/>
  <c r="X359" i="20"/>
  <c r="K391" i="20" s="1"/>
  <c r="DP20" i="16"/>
  <c r="EA10" i="15"/>
  <c r="DZ44" i="23"/>
  <c r="AL29" i="21"/>
  <c r="AC285" i="20"/>
  <c r="P314" i="20" s="1"/>
  <c r="EE30" i="18"/>
  <c r="EE27" i="18" s="1"/>
  <c r="AM30" i="21"/>
  <c r="EL31" i="18"/>
  <c r="EL30" i="18" s="1"/>
  <c r="EL27" i="18" s="1"/>
  <c r="E136" i="20"/>
  <c r="AK25" i="15"/>
  <c r="AM93" i="19" s="1"/>
  <c r="AM94" i="19" s="1"/>
  <c r="AN19" i="17" s="1"/>
  <c r="H217" i="20"/>
  <c r="Q35" i="17"/>
  <c r="DW44" i="23"/>
  <c r="DX10" i="15"/>
  <c r="Z220" i="20"/>
  <c r="DO20" i="16"/>
  <c r="DT20" i="16"/>
  <c r="AP22" i="19"/>
  <c r="AQ106" i="19"/>
  <c r="AQ109" i="19" s="1"/>
  <c r="DM17" i="16"/>
  <c r="EI31" i="18"/>
  <c r="Z509" i="20"/>
  <c r="J527" i="20" s="1"/>
  <c r="AA204" i="20"/>
  <c r="N231" i="20" s="1"/>
  <c r="W85" i="19"/>
  <c r="V13" i="19"/>
  <c r="M354" i="20" s="1"/>
  <c r="BC48" i="25"/>
  <c r="BC55" i="25"/>
  <c r="DZ58" i="16"/>
  <c r="DZ46" i="23"/>
  <c r="EP19" i="18" s="1"/>
  <c r="DO24" i="16"/>
  <c r="DO61" i="16" s="1"/>
  <c r="DP24" i="16"/>
  <c r="DP61" i="16" s="1"/>
  <c r="DP63" i="16" s="1"/>
  <c r="DQ24" i="16"/>
  <c r="DQ61" i="16" s="1"/>
  <c r="DR24" i="16"/>
  <c r="DR61" i="16" s="1"/>
  <c r="DR63" i="16" s="1"/>
  <c r="AD209" i="20"/>
  <c r="D257" i="20" s="1"/>
  <c r="AC511" i="20"/>
  <c r="E538" i="20" s="1"/>
  <c r="O185" i="19"/>
  <c r="O33" i="19" s="1"/>
  <c r="O30" i="19" s="1"/>
  <c r="P180" i="19"/>
  <c r="O184" i="19"/>
  <c r="O15" i="19" s="1"/>
  <c r="O233" i="20"/>
  <c r="N233" i="20"/>
  <c r="BC217" i="25"/>
  <c r="BC210" i="25"/>
  <c r="DY58" i="16"/>
  <c r="DY46" i="23"/>
  <c r="EO19" i="18" s="1"/>
  <c r="AN18" i="21"/>
  <c r="AE278" i="20" s="1"/>
  <c r="E332" i="20" s="1"/>
  <c r="AC206" i="20"/>
  <c r="BD145" i="25"/>
  <c r="BD123" i="25"/>
  <c r="BD212" i="25"/>
  <c r="BE50" i="25"/>
  <c r="EK31" i="18"/>
  <c r="EK30" i="18" s="1"/>
  <c r="EK27" i="18" s="1"/>
  <c r="DV20" i="16"/>
  <c r="DX58" i="16"/>
  <c r="DX46" i="23"/>
  <c r="EN19" i="18" s="1"/>
  <c r="AM18" i="21"/>
  <c r="AD278" i="20" s="1"/>
  <c r="D332" i="20" s="1"/>
  <c r="G223" i="20"/>
  <c r="DO63" i="16" l="1"/>
  <c r="DJ267" i="37"/>
  <c r="E750" i="20" s="1"/>
  <c r="I750" i="20" s="1"/>
  <c r="AT648" i="20"/>
  <c r="AI14" i="23"/>
  <c r="G612" i="20"/>
  <c r="G613" i="20" s="1"/>
  <c r="G617" i="20" s="1"/>
  <c r="E617" i="20"/>
  <c r="AH14" i="23"/>
  <c r="F612" i="20"/>
  <c r="DW50" i="23"/>
  <c r="DX50" i="23"/>
  <c r="DZ50" i="23"/>
  <c r="DY50" i="23"/>
  <c r="AK151" i="19"/>
  <c r="DO58" i="23"/>
  <c r="DO66" i="23" s="1"/>
  <c r="DP58" i="23"/>
  <c r="DP66" i="23" s="1"/>
  <c r="DQ58" i="23"/>
  <c r="DQ66" i="23" s="1"/>
  <c r="AG281" i="20"/>
  <c r="G335" i="20" s="1"/>
  <c r="F138" i="20"/>
  <c r="DQ63" i="16"/>
  <c r="AM13" i="17"/>
  <c r="AD205" i="20" s="1"/>
  <c r="D253" i="20" s="1"/>
  <c r="DW16" i="15"/>
  <c r="DV49" i="23"/>
  <c r="DU16" i="15"/>
  <c r="DT49" i="23"/>
  <c r="DT16" i="15"/>
  <c r="DS49" i="23"/>
  <c r="DI279" i="37"/>
  <c r="DI277" i="37"/>
  <c r="AT211" i="25"/>
  <c r="AT213" i="25" s="1"/>
  <c r="AT215" i="25" s="1"/>
  <c r="AT216" i="25" s="1"/>
  <c r="AT218" i="25" s="1"/>
  <c r="AT14" i="25" s="1"/>
  <c r="AT271" i="25" s="1"/>
  <c r="AT51" i="25"/>
  <c r="AT53" i="25" s="1"/>
  <c r="AT54" i="25" s="1"/>
  <c r="AT56" i="25" s="1"/>
  <c r="AT12" i="25" s="1"/>
  <c r="AT269" i="25" s="1"/>
  <c r="AT144" i="25"/>
  <c r="AT146" i="25" s="1"/>
  <c r="AT148" i="25" s="1"/>
  <c r="DK37" i="37"/>
  <c r="DK12" i="37"/>
  <c r="H55" i="37"/>
  <c r="DL215" i="37"/>
  <c r="DL208" i="37"/>
  <c r="FA38" i="37"/>
  <c r="FA141" i="37"/>
  <c r="EZ38" i="37"/>
  <c r="EZ141" i="37"/>
  <c r="EY38" i="37"/>
  <c r="EY141" i="37"/>
  <c r="EX38" i="37"/>
  <c r="EX141" i="37"/>
  <c r="DL137" i="37"/>
  <c r="DM28" i="37"/>
  <c r="DM205" i="37" s="1"/>
  <c r="DM206" i="37" s="1"/>
  <c r="DL49" i="37"/>
  <c r="DL50" i="37" s="1"/>
  <c r="DL31" i="37"/>
  <c r="DL32" i="37" s="1"/>
  <c r="AU117" i="25"/>
  <c r="AU49" i="25" s="1"/>
  <c r="AU211" i="25" s="1"/>
  <c r="AU213" i="25" s="1"/>
  <c r="AU215" i="25" s="1"/>
  <c r="AU216" i="25" s="1"/>
  <c r="AU218" i="25" s="1"/>
  <c r="AU14" i="25" s="1"/>
  <c r="AU271" i="25" s="1"/>
  <c r="FB117" i="37"/>
  <c r="FB122" i="37" s="1"/>
  <c r="FB53" i="37" s="1"/>
  <c r="FB209" i="37" s="1"/>
  <c r="FC117" i="37"/>
  <c r="FC122" i="37" s="1"/>
  <c r="FC53" i="37" s="1"/>
  <c r="FC209" i="37" s="1"/>
  <c r="FD117" i="37"/>
  <c r="FD122" i="37" s="1"/>
  <c r="FD53" i="37" s="1"/>
  <c r="FD209" i="37" s="1"/>
  <c r="FE117" i="37"/>
  <c r="FE122" i="37" s="1"/>
  <c r="FE53" i="37" s="1"/>
  <c r="FE209" i="37" s="1"/>
  <c r="DK59" i="37"/>
  <c r="DK52" i="37"/>
  <c r="AT217" i="37"/>
  <c r="AU61" i="37"/>
  <c r="AU217" i="37"/>
  <c r="AT61" i="37"/>
  <c r="AV53" i="37"/>
  <c r="H57" i="37"/>
  <c r="AT58" i="37"/>
  <c r="AT60" i="37" s="1"/>
  <c r="AT13" i="37" s="1"/>
  <c r="AT268" i="37" s="1"/>
  <c r="BD12" i="37"/>
  <c r="BD267" i="37" s="1"/>
  <c r="BD37" i="37"/>
  <c r="BE210" i="37"/>
  <c r="BE142" i="37"/>
  <c r="BE205" i="37"/>
  <c r="BE206" i="37" s="1"/>
  <c r="BE137" i="37"/>
  <c r="BE49" i="37"/>
  <c r="BE50" i="37" s="1"/>
  <c r="BD59" i="37"/>
  <c r="BD52" i="37"/>
  <c r="AT214" i="37"/>
  <c r="AT216" i="37" s="1"/>
  <c r="AT15" i="37" s="1"/>
  <c r="AT270" i="37" s="1"/>
  <c r="BD215" i="37"/>
  <c r="BD208" i="37"/>
  <c r="R18" i="2"/>
  <c r="S50" i="2"/>
  <c r="AC205" i="20"/>
  <c r="P232" i="20" s="1"/>
  <c r="Z32" i="2"/>
  <c r="Z16" i="2" s="1"/>
  <c r="AI20" i="2"/>
  <c r="AJ28" i="2"/>
  <c r="AJ43" i="2"/>
  <c r="AK29" i="2"/>
  <c r="AK36" i="2" s="1"/>
  <c r="AK44" i="2"/>
  <c r="AK50" i="2" s="1"/>
  <c r="AJ49" i="2"/>
  <c r="AJ35" i="2"/>
  <c r="AJ42" i="2"/>
  <c r="AJ27" i="2"/>
  <c r="AK9" i="2"/>
  <c r="AK10" i="2"/>
  <c r="AA58" i="4"/>
  <c r="AB55" i="4" s="1"/>
  <c r="AB36" i="2" s="1"/>
  <c r="AA63" i="4"/>
  <c r="AA32" i="4" s="1"/>
  <c r="Z77" i="36"/>
  <c r="Z32" i="4"/>
  <c r="T34" i="2"/>
  <c r="AB204" i="20"/>
  <c r="O231" i="20" s="1"/>
  <c r="AL12" i="17"/>
  <c r="AC204" i="20" s="1"/>
  <c r="P231" i="20" s="1"/>
  <c r="DZ7" i="15"/>
  <c r="AJ29" i="15"/>
  <c r="DX6" i="15"/>
  <c r="DX5" i="15" s="1"/>
  <c r="AL26" i="24"/>
  <c r="DZ6" i="15"/>
  <c r="DZ5" i="15" s="1"/>
  <c r="DY6" i="15"/>
  <c r="DY5" i="15" s="1"/>
  <c r="DX7" i="15"/>
  <c r="EA7" i="15"/>
  <c r="EA6" i="15"/>
  <c r="EA5" i="15" s="1"/>
  <c r="AL34" i="24"/>
  <c r="AL23" i="24"/>
  <c r="DY7" i="15"/>
  <c r="AK22" i="15"/>
  <c r="AN18" i="24"/>
  <c r="AN19" i="24"/>
  <c r="AN20" i="24" s="1"/>
  <c r="AO17" i="24"/>
  <c r="AL30" i="24"/>
  <c r="DT56" i="16"/>
  <c r="DT18" i="16" s="1"/>
  <c r="AM21" i="24"/>
  <c r="AK21" i="15"/>
  <c r="DS56" i="16"/>
  <c r="DS18" i="16" s="1"/>
  <c r="D136" i="20"/>
  <c r="DV56" i="16"/>
  <c r="DV18" i="16" s="1"/>
  <c r="DU66" i="23"/>
  <c r="DU56" i="16"/>
  <c r="DU18" i="16" s="1"/>
  <c r="DV16" i="15"/>
  <c r="S64" i="4"/>
  <c r="S28" i="4" s="1"/>
  <c r="S88" i="4" s="1"/>
  <c r="S62" i="4"/>
  <c r="AJ94" i="16"/>
  <c r="AJ96" i="16" s="1"/>
  <c r="AJ102" i="16" s="1"/>
  <c r="AZ26" i="18" s="1"/>
  <c r="P183" i="19"/>
  <c r="Q180" i="19" s="1"/>
  <c r="DK45" i="16"/>
  <c r="DK13" i="16" s="1"/>
  <c r="AI62" i="13"/>
  <c r="AU15" i="13"/>
  <c r="AO29" i="11"/>
  <c r="AP30" i="11"/>
  <c r="DW11" i="18"/>
  <c r="AK10" i="21" s="1"/>
  <c r="AK8" i="17"/>
  <c r="DP40" i="13"/>
  <c r="DS40" i="13"/>
  <c r="DR45" i="16" s="1"/>
  <c r="DR13" i="16" s="1"/>
  <c r="EH11" i="18" s="1"/>
  <c r="DQ40" i="13"/>
  <c r="DP45" i="16" s="1"/>
  <c r="DP13" i="16" s="1"/>
  <c r="EF11" i="18" s="1"/>
  <c r="DR40" i="13"/>
  <c r="DQ45" i="16" s="1"/>
  <c r="DQ13" i="16" s="1"/>
  <c r="EG11" i="18" s="1"/>
  <c r="AO32" i="15"/>
  <c r="AO34" i="15"/>
  <c r="AP28" i="15" s="1"/>
  <c r="AP27" i="15" s="1"/>
  <c r="EN15" i="15" s="1"/>
  <c r="FC25" i="18" s="1"/>
  <c r="EE62" i="16"/>
  <c r="EE25" i="16" s="1"/>
  <c r="AQ20" i="17" s="1"/>
  <c r="AH210" i="20" s="1"/>
  <c r="H258" i="20" s="1"/>
  <c r="AQ24" i="21"/>
  <c r="DP17" i="16"/>
  <c r="Q25" i="21"/>
  <c r="V216" i="20"/>
  <c r="AN109" i="16"/>
  <c r="AN111" i="16" s="1"/>
  <c r="AN128" i="16" s="1"/>
  <c r="V221" i="20"/>
  <c r="I238" i="20"/>
  <c r="CZ9" i="16"/>
  <c r="CZ26" i="16" s="1"/>
  <c r="CZ34" i="16" s="1"/>
  <c r="CZ36" i="16" s="1"/>
  <c r="DP8" i="18"/>
  <c r="K228" i="20"/>
  <c r="DF10" i="16"/>
  <c r="DF49" i="16"/>
  <c r="DJ42" i="16"/>
  <c r="DK48" i="13"/>
  <c r="DE49" i="16"/>
  <c r="DE10" i="16"/>
  <c r="AG6" i="21"/>
  <c r="X272" i="20" s="1"/>
  <c r="X273" i="20"/>
  <c r="K302" i="20" s="1"/>
  <c r="AG21" i="17"/>
  <c r="AV125" i="25"/>
  <c r="AV122" i="25" s="1"/>
  <c r="AV126" i="25" s="1"/>
  <c r="AW127" i="25" s="1"/>
  <c r="AW112" i="25" s="1"/>
  <c r="X200" i="20"/>
  <c r="W508" i="20"/>
  <c r="DI42" i="16"/>
  <c r="DJ48" i="13"/>
  <c r="AS54" i="25"/>
  <c r="AS56" i="25" s="1"/>
  <c r="AS12" i="25" s="1"/>
  <c r="DL7" i="18"/>
  <c r="CV13" i="23"/>
  <c r="DM7" i="18"/>
  <c r="CW13" i="23"/>
  <c r="DO8" i="18"/>
  <c r="CY9" i="16"/>
  <c r="CY26" i="16" s="1"/>
  <c r="CY34" i="16" s="1"/>
  <c r="CY36" i="16" s="1"/>
  <c r="AI5" i="17"/>
  <c r="AF33" i="17"/>
  <c r="W211" i="20"/>
  <c r="DH42" i="16"/>
  <c r="DI48" i="13"/>
  <c r="DN7" i="18"/>
  <c r="CX13" i="23"/>
  <c r="AS216" i="25"/>
  <c r="AS218" i="25" s="1"/>
  <c r="AS14" i="25" s="1"/>
  <c r="DD49" i="16"/>
  <c r="DD10" i="16"/>
  <c r="AC85" i="20"/>
  <c r="I91" i="20" s="1"/>
  <c r="I92" i="20" s="1"/>
  <c r="AT11" i="13"/>
  <c r="I229" i="20"/>
  <c r="V219" i="20"/>
  <c r="T514" i="20"/>
  <c r="D532" i="20" s="1"/>
  <c r="D530" i="20"/>
  <c r="AT57" i="25"/>
  <c r="AT219" i="25"/>
  <c r="AT152" i="25"/>
  <c r="AO22" i="11"/>
  <c r="AU7" i="13" s="1"/>
  <c r="AU6" i="13" s="1"/>
  <c r="AP23" i="11"/>
  <c r="V510" i="20"/>
  <c r="F526" i="20"/>
  <c r="DG42" i="16"/>
  <c r="DH48" i="13"/>
  <c r="AH59" i="13"/>
  <c r="AH65" i="13" s="1"/>
  <c r="E528" i="20"/>
  <c r="U512" i="20"/>
  <c r="U513" i="20"/>
  <c r="E531" i="20" s="1"/>
  <c r="V294" i="20"/>
  <c r="J301" i="20"/>
  <c r="W274" i="20"/>
  <c r="J303" i="20" s="1"/>
  <c r="CU13" i="23"/>
  <c r="DK7" i="18"/>
  <c r="AH7" i="21"/>
  <c r="DQ8" i="18"/>
  <c r="DA9" i="16"/>
  <c r="DA26" i="16" s="1"/>
  <c r="DA34" i="16" s="1"/>
  <c r="DA36" i="16" s="1"/>
  <c r="W202" i="20"/>
  <c r="J227" i="20"/>
  <c r="DC10" i="16"/>
  <c r="DC49" i="16"/>
  <c r="Y201" i="20"/>
  <c r="AH4" i="17"/>
  <c r="DR8" i="18"/>
  <c r="DB9" i="16"/>
  <c r="DB26" i="16" s="1"/>
  <c r="DB34" i="16" s="1"/>
  <c r="DM36" i="13"/>
  <c r="DM35" i="13" s="1"/>
  <c r="DN36" i="13"/>
  <c r="DN35" i="13" s="1"/>
  <c r="DO36" i="13"/>
  <c r="DO35" i="13" s="1"/>
  <c r="AS10" i="13"/>
  <c r="AS9" i="13" s="1"/>
  <c r="DL36" i="13"/>
  <c r="DL35" i="13" s="1"/>
  <c r="U222" i="20"/>
  <c r="H243" i="20"/>
  <c r="AV127" i="25"/>
  <c r="AV112" i="25" s="1"/>
  <c r="EF8" i="15"/>
  <c r="EG8" i="15"/>
  <c r="EH8" i="15"/>
  <c r="EI8" i="15"/>
  <c r="W87" i="19"/>
  <c r="W88" i="19" s="1"/>
  <c r="AK92" i="19"/>
  <c r="AK95" i="19" s="1"/>
  <c r="AJ20" i="19"/>
  <c r="AJ19" i="19" s="1"/>
  <c r="AT63" i="27"/>
  <c r="AT62" i="27" s="1"/>
  <c r="AT11" i="27"/>
  <c r="AU7" i="27"/>
  <c r="EA44" i="23"/>
  <c r="EB10" i="15"/>
  <c r="EO31" i="18"/>
  <c r="EO30" i="18" s="1"/>
  <c r="EO27" i="18" s="1"/>
  <c r="I91" i="23"/>
  <c r="I90" i="23"/>
  <c r="DW20" i="16"/>
  <c r="DX20" i="16"/>
  <c r="P221" i="19"/>
  <c r="H218" i="20"/>
  <c r="L14" i="22"/>
  <c r="BD55" i="25"/>
  <c r="BD48" i="25"/>
  <c r="DQ17" i="16"/>
  <c r="DZ20" i="16"/>
  <c r="AN30" i="21"/>
  <c r="EI30" i="18"/>
  <c r="EI27" i="18" s="1"/>
  <c r="AD285" i="20"/>
  <c r="D339" i="20" s="1"/>
  <c r="AM29" i="21"/>
  <c r="AS10" i="27"/>
  <c r="AS4" i="27" s="1"/>
  <c r="EF11" i="15"/>
  <c r="AS5" i="27"/>
  <c r="EG11" i="15"/>
  <c r="EH11" i="15"/>
  <c r="EI11" i="15"/>
  <c r="ED44" i="23"/>
  <c r="EE10" i="15"/>
  <c r="I11" i="23"/>
  <c r="BE29" i="25"/>
  <c r="BE30" i="25" s="1"/>
  <c r="BE140" i="25"/>
  <c r="BE207" i="25"/>
  <c r="BE208" i="25" s="1"/>
  <c r="BF26" i="25"/>
  <c r="BE45" i="25"/>
  <c r="BE46" i="25" s="1"/>
  <c r="EC44" i="23"/>
  <c r="ED10" i="15"/>
  <c r="AN15" i="17"/>
  <c r="BD210" i="25"/>
  <c r="BD217" i="25"/>
  <c r="ED58" i="16"/>
  <c r="ED46" i="23"/>
  <c r="ET19" i="18" s="1"/>
  <c r="P233" i="20"/>
  <c r="AA220" i="20"/>
  <c r="F361" i="20"/>
  <c r="AM15" i="17"/>
  <c r="DO17" i="16"/>
  <c r="EM31" i="18"/>
  <c r="AE104" i="16"/>
  <c r="AE105" i="16"/>
  <c r="AF100" i="16"/>
  <c r="AF103" i="16" s="1"/>
  <c r="EC58" i="16"/>
  <c r="EC46" i="23"/>
  <c r="ES19" i="18" s="1"/>
  <c r="BD34" i="25"/>
  <c r="BD11" i="25"/>
  <c r="BD268" i="25" s="1"/>
  <c r="EB58" i="16"/>
  <c r="EB46" i="23"/>
  <c r="ER19" i="18" s="1"/>
  <c r="DR17" i="16"/>
  <c r="Y359" i="20"/>
  <c r="L391" i="20" s="1"/>
  <c r="L388" i="20"/>
  <c r="AO18" i="21"/>
  <c r="AF278" i="20" s="1"/>
  <c r="F332" i="20" s="1"/>
  <c r="EA58" i="16"/>
  <c r="EA46" i="23"/>
  <c r="EQ19" i="18" s="1"/>
  <c r="AM23" i="15"/>
  <c r="E137" i="20"/>
  <c r="AL25" i="15"/>
  <c r="AN93" i="19" s="1"/>
  <c r="AN94" i="19" s="1"/>
  <c r="AO19" i="17" s="1"/>
  <c r="H112" i="23"/>
  <c r="H114" i="23" s="1"/>
  <c r="AI17" i="19"/>
  <c r="Z356" i="20" s="1"/>
  <c r="Z358" i="20"/>
  <c r="M390" i="20" s="1"/>
  <c r="AR106" i="19"/>
  <c r="AR109" i="19" s="1"/>
  <c r="AQ22" i="19"/>
  <c r="EP31" i="18"/>
  <c r="EP30" i="18" s="1"/>
  <c r="EP27" i="18" s="1"/>
  <c r="BF50" i="25"/>
  <c r="BE145" i="25"/>
  <c r="BE123" i="25"/>
  <c r="BE212" i="25"/>
  <c r="DY20" i="16"/>
  <c r="DV24" i="16"/>
  <c r="DV61" i="16" s="1"/>
  <c r="DS24" i="16"/>
  <c r="DS61" i="16" s="1"/>
  <c r="AE209" i="20"/>
  <c r="E257" i="20" s="1"/>
  <c r="AD511" i="20"/>
  <c r="F538" i="20" s="1"/>
  <c r="DT24" i="16"/>
  <c r="DT61" i="16" s="1"/>
  <c r="DU24" i="16"/>
  <c r="DU61" i="16" s="1"/>
  <c r="AC284" i="20"/>
  <c r="P313" i="20" s="1"/>
  <c r="AL26" i="21"/>
  <c r="AC283" i="20" s="1"/>
  <c r="P312" i="20" s="1"/>
  <c r="EN31" i="18"/>
  <c r="EN30" i="18" s="1"/>
  <c r="EN27" i="18" s="1"/>
  <c r="EG12" i="15"/>
  <c r="EF45" i="23" s="1"/>
  <c r="EH12" i="15"/>
  <c r="EG45" i="23" s="1"/>
  <c r="EI12" i="15"/>
  <c r="EH45" i="23" s="1"/>
  <c r="EF12" i="15"/>
  <c r="EE45" i="23" s="1"/>
  <c r="EB44" i="23"/>
  <c r="EC10" i="15"/>
  <c r="AR99" i="19"/>
  <c r="AR102" i="19" s="1"/>
  <c r="AQ21" i="19"/>
  <c r="DJ279" i="37" l="1"/>
  <c r="DJ277" i="37"/>
  <c r="DK267" i="37"/>
  <c r="E751" i="20" s="1"/>
  <c r="I751" i="20" s="1"/>
  <c r="AU648" i="20"/>
  <c r="G498" i="20"/>
  <c r="I494" i="20"/>
  <c r="K497" i="20"/>
  <c r="I498" i="20"/>
  <c r="H498" i="20"/>
  <c r="J497" i="20"/>
  <c r="G496" i="20"/>
  <c r="H497" i="20"/>
  <c r="E497" i="20"/>
  <c r="G493" i="20"/>
  <c r="G494" i="20"/>
  <c r="I493" i="20"/>
  <c r="I497" i="20"/>
  <c r="G499" i="20"/>
  <c r="G497" i="20"/>
  <c r="H493" i="20"/>
  <c r="H494" i="20"/>
  <c r="J493" i="20"/>
  <c r="K493" i="20"/>
  <c r="J498" i="20"/>
  <c r="K498" i="20"/>
  <c r="E498" i="20"/>
  <c r="E493" i="20"/>
  <c r="F493" i="20"/>
  <c r="E496" i="20"/>
  <c r="E499" i="20"/>
  <c r="E494" i="20"/>
  <c r="O67" i="2"/>
  <c r="N67" i="2"/>
  <c r="M67" i="2"/>
  <c r="L67" i="2"/>
  <c r="K67" i="2"/>
  <c r="J67" i="2"/>
  <c r="I67" i="2"/>
  <c r="K62" i="2"/>
  <c r="I62" i="2"/>
  <c r="AJ14" i="23"/>
  <c r="H612" i="20"/>
  <c r="H613" i="20" s="1"/>
  <c r="H617" i="20" s="1"/>
  <c r="F613" i="20"/>
  <c r="EC50" i="23"/>
  <c r="EB50" i="23"/>
  <c r="ED50" i="23"/>
  <c r="EA50" i="23"/>
  <c r="AL151" i="19"/>
  <c r="DV58" i="23"/>
  <c r="DV66" i="23" s="1"/>
  <c r="DS58" i="23"/>
  <c r="DS66" i="23" s="1"/>
  <c r="DT58" i="23"/>
  <c r="DT66" i="23" s="1"/>
  <c r="AH281" i="20"/>
  <c r="H335" i="20" s="1"/>
  <c r="F139" i="20"/>
  <c r="H215" i="25"/>
  <c r="AU51" i="25"/>
  <c r="AU53" i="25" s="1"/>
  <c r="AU54" i="25" s="1"/>
  <c r="AU56" i="25" s="1"/>
  <c r="AU12" i="25" s="1"/>
  <c r="AU269" i="25" s="1"/>
  <c r="DZ49" i="23"/>
  <c r="DY16" i="15"/>
  <c r="DX49" i="23"/>
  <c r="DZ16" i="15"/>
  <c r="DY49" i="23"/>
  <c r="DX16" i="15"/>
  <c r="DW49" i="23"/>
  <c r="H213" i="25"/>
  <c r="H53" i="25"/>
  <c r="H51" i="25"/>
  <c r="AU35" i="25"/>
  <c r="AU219" i="25" s="1"/>
  <c r="AU144" i="25"/>
  <c r="AU146" i="25" s="1"/>
  <c r="AU148" i="25" s="1"/>
  <c r="DL37" i="37"/>
  <c r="DL12" i="37"/>
  <c r="AV648" i="20" s="1"/>
  <c r="DM215" i="37"/>
  <c r="DM208" i="37"/>
  <c r="FD141" i="37"/>
  <c r="FD38" i="37"/>
  <c r="AW117" i="25"/>
  <c r="AW49" i="25" s="1"/>
  <c r="AW51" i="25" s="1"/>
  <c r="AW53" i="25" s="1"/>
  <c r="AW54" i="25" s="1"/>
  <c r="AW56" i="25" s="1"/>
  <c r="AW12" i="25" s="1"/>
  <c r="AW269" i="25" s="1"/>
  <c r="FJ117" i="37"/>
  <c r="FJ122" i="37" s="1"/>
  <c r="FJ53" i="37" s="1"/>
  <c r="FJ209" i="37" s="1"/>
  <c r="FK117" i="37"/>
  <c r="FK122" i="37" s="1"/>
  <c r="FK53" i="37" s="1"/>
  <c r="FK209" i="37" s="1"/>
  <c r="FL117" i="37"/>
  <c r="FL122" i="37" s="1"/>
  <c r="FL53" i="37" s="1"/>
  <c r="FL209" i="37" s="1"/>
  <c r="FM117" i="37"/>
  <c r="FM122" i="37" s="1"/>
  <c r="FM53" i="37" s="1"/>
  <c r="FM209" i="37" s="1"/>
  <c r="FC38" i="37"/>
  <c r="FC141" i="37"/>
  <c r="FB38" i="37"/>
  <c r="FB141" i="37"/>
  <c r="DL59" i="37"/>
  <c r="DL52" i="37"/>
  <c r="DM137" i="37"/>
  <c r="DN28" i="37"/>
  <c r="DN205" i="37" s="1"/>
  <c r="DN206" i="37" s="1"/>
  <c r="DM49" i="37"/>
  <c r="DM50" i="37" s="1"/>
  <c r="DM31" i="37"/>
  <c r="DM32" i="37" s="1"/>
  <c r="AV117" i="25"/>
  <c r="AV49" i="25" s="1"/>
  <c r="AV144" i="25" s="1"/>
  <c r="AV146" i="25" s="1"/>
  <c r="AV148" i="25" s="1"/>
  <c r="FF117" i="37"/>
  <c r="FF122" i="37" s="1"/>
  <c r="FF53" i="37" s="1"/>
  <c r="FF209" i="37" s="1"/>
  <c r="FG117" i="37"/>
  <c r="FG122" i="37" s="1"/>
  <c r="FG53" i="37" s="1"/>
  <c r="FG209" i="37" s="1"/>
  <c r="FH117" i="37"/>
  <c r="FH122" i="37" s="1"/>
  <c r="FH53" i="37" s="1"/>
  <c r="FH209" i="37" s="1"/>
  <c r="FI117" i="37"/>
  <c r="FI122" i="37" s="1"/>
  <c r="FI53" i="37" s="1"/>
  <c r="FI209" i="37" s="1"/>
  <c r="FE38" i="37"/>
  <c r="FE141" i="37"/>
  <c r="AV209" i="37"/>
  <c r="AV211" i="37" s="1"/>
  <c r="AV213" i="37" s="1"/>
  <c r="AV214" i="37" s="1"/>
  <c r="AV216" i="37" s="1"/>
  <c r="AV15" i="37" s="1"/>
  <c r="AV270" i="37" s="1"/>
  <c r="AV141" i="37"/>
  <c r="AV143" i="37" s="1"/>
  <c r="AV145" i="37" s="1"/>
  <c r="AV55" i="37"/>
  <c r="AV57" i="37" s="1"/>
  <c r="AV58" i="37" s="1"/>
  <c r="AV60" i="37" s="1"/>
  <c r="AV13" i="37" s="1"/>
  <c r="AV268" i="37" s="1"/>
  <c r="AV38" i="37"/>
  <c r="AV217" i="37" s="1"/>
  <c r="AW53" i="37"/>
  <c r="BE215" i="37"/>
  <c r="BE208" i="37"/>
  <c r="BF210" i="37"/>
  <c r="BF142" i="37"/>
  <c r="BE12" i="37"/>
  <c r="BE267" i="37" s="1"/>
  <c r="BE37" i="37"/>
  <c r="BF205" i="37"/>
  <c r="BF206" i="37" s="1"/>
  <c r="BF137" i="37"/>
  <c r="BF49" i="37"/>
  <c r="BF50" i="37" s="1"/>
  <c r="BE59" i="37"/>
  <c r="BE52" i="37"/>
  <c r="H13" i="37"/>
  <c r="H15" i="37"/>
  <c r="S21" i="2"/>
  <c r="S48" i="2"/>
  <c r="AA32" i="2"/>
  <c r="AA16" i="2" s="1"/>
  <c r="AK28" i="2"/>
  <c r="AK43" i="2"/>
  <c r="AJ19" i="2"/>
  <c r="AJ20" i="2"/>
  <c r="AK27" i="2"/>
  <c r="AK42" i="2"/>
  <c r="AK35" i="2"/>
  <c r="E35" i="2" s="1"/>
  <c r="AK49" i="2"/>
  <c r="AB63" i="4"/>
  <c r="AB32" i="4" s="1"/>
  <c r="AB58" i="4"/>
  <c r="AC55" i="4" s="1"/>
  <c r="AC36" i="2" s="1"/>
  <c r="AA77" i="36"/>
  <c r="AB220" i="20"/>
  <c r="AB509" i="20"/>
  <c r="D536" i="20" s="1"/>
  <c r="DT63" i="16"/>
  <c r="AK29" i="15"/>
  <c r="DV63" i="16"/>
  <c r="DU63" i="16"/>
  <c r="H223" i="20"/>
  <c r="DW56" i="16"/>
  <c r="DW18" i="16" s="1"/>
  <c r="DS63" i="16"/>
  <c r="AL22" i="15"/>
  <c r="DY56" i="16"/>
  <c r="DY18" i="16" s="1"/>
  <c r="D137" i="20"/>
  <c r="AL21" i="15"/>
  <c r="DZ56" i="16"/>
  <c r="DZ18" i="16" s="1"/>
  <c r="EA16" i="15"/>
  <c r="DX56" i="16"/>
  <c r="DX18" i="16" s="1"/>
  <c r="AN21" i="24"/>
  <c r="AN29" i="24" s="1"/>
  <c r="AP17" i="24"/>
  <c r="AO18" i="24"/>
  <c r="AO19" i="24"/>
  <c r="AO20" i="24" s="1"/>
  <c r="AN13" i="17"/>
  <c r="AM34" i="24"/>
  <c r="EB6" i="15"/>
  <c r="EB5" i="15" s="1"/>
  <c r="EE6" i="15"/>
  <c r="EE5" i="15" s="1"/>
  <c r="AM23" i="24"/>
  <c r="AM29" i="24"/>
  <c r="AM30" i="24" s="1"/>
  <c r="EC7" i="15"/>
  <c r="EC6" i="15"/>
  <c r="EC5" i="15" s="1"/>
  <c r="ED7" i="15"/>
  <c r="ED6" i="15"/>
  <c r="ED5" i="15" s="1"/>
  <c r="EE7" i="15"/>
  <c r="EB7" i="15"/>
  <c r="AM26" i="24"/>
  <c r="T59" i="4"/>
  <c r="S78" i="36"/>
  <c r="P184" i="19"/>
  <c r="P15" i="19" s="1"/>
  <c r="P185" i="19"/>
  <c r="P33" i="19" s="1"/>
  <c r="P30" i="19" s="1"/>
  <c r="G361" i="20" s="1"/>
  <c r="AK94" i="16"/>
  <c r="AK96" i="16" s="1"/>
  <c r="AK102" i="16" s="1"/>
  <c r="BA26" i="18" s="1"/>
  <c r="H282" i="20"/>
  <c r="DO45" i="16"/>
  <c r="DO13" i="16" s="1"/>
  <c r="AJ62" i="13"/>
  <c r="AQ30" i="11"/>
  <c r="AP29" i="11"/>
  <c r="AV15" i="13"/>
  <c r="DW40" i="13"/>
  <c r="DV45" i="16" s="1"/>
  <c r="DV13" i="16" s="1"/>
  <c r="EL11" i="18" s="1"/>
  <c r="DT40" i="13"/>
  <c r="DU40" i="13"/>
  <c r="DT45" i="16" s="1"/>
  <c r="DT13" i="16" s="1"/>
  <c r="EJ11" i="18" s="1"/>
  <c r="DV40" i="13"/>
  <c r="DU45" i="16" s="1"/>
  <c r="DU13" i="16" s="1"/>
  <c r="EK11" i="18" s="1"/>
  <c r="EA11" i="18"/>
  <c r="AL10" i="21" s="1"/>
  <c r="AL8" i="17"/>
  <c r="AP34" i="15"/>
  <c r="AQ28" i="15" s="1"/>
  <c r="AQ27" i="15" s="1"/>
  <c r="ER15" i="15" s="1"/>
  <c r="FG25" i="18" s="1"/>
  <c r="AP32" i="15"/>
  <c r="EI62" i="16"/>
  <c r="EI25" i="16" s="1"/>
  <c r="AR20" i="17" s="1"/>
  <c r="AI210" i="20" s="1"/>
  <c r="I258" i="20" s="1"/>
  <c r="AR24" i="21"/>
  <c r="Y200" i="20"/>
  <c r="X508" i="20"/>
  <c r="AH21" i="17"/>
  <c r="AW125" i="25"/>
  <c r="AW122" i="25" s="1"/>
  <c r="AW126" i="25" s="1"/>
  <c r="Y273" i="20"/>
  <c r="L302" i="20" s="1"/>
  <c r="AH6" i="21"/>
  <c r="Y272" i="20" s="1"/>
  <c r="AP22" i="11"/>
  <c r="AV7" i="13" s="1"/>
  <c r="AV6" i="13" s="1"/>
  <c r="AQ23" i="11"/>
  <c r="AS271" i="25"/>
  <c r="H14" i="25"/>
  <c r="AS269" i="25"/>
  <c r="H12" i="25"/>
  <c r="DF9" i="16"/>
  <c r="DF26" i="16" s="1"/>
  <c r="DF34" i="16" s="1"/>
  <c r="DV8" i="18"/>
  <c r="DK42" i="16"/>
  <c r="DL48" i="13"/>
  <c r="AI59" i="13"/>
  <c r="AI65" i="13" s="1"/>
  <c r="L228" i="20"/>
  <c r="U514" i="20"/>
  <c r="E532" i="20" s="1"/>
  <c r="E530" i="20"/>
  <c r="AI7" i="21"/>
  <c r="CY13" i="23"/>
  <c r="DO7" i="18"/>
  <c r="DQ36" i="13"/>
  <c r="DQ35" i="13" s="1"/>
  <c r="AT10" i="13"/>
  <c r="AT9" i="13" s="1"/>
  <c r="DR36" i="13"/>
  <c r="DR35" i="13" s="1"/>
  <c r="DS36" i="13"/>
  <c r="DS35" i="13" s="1"/>
  <c r="DP36" i="13"/>
  <c r="DP35" i="13" s="1"/>
  <c r="DI10" i="16"/>
  <c r="DI49" i="16"/>
  <c r="X274" i="20"/>
  <c r="K303" i="20" s="1"/>
  <c r="K301" i="20"/>
  <c r="DN42" i="16"/>
  <c r="DO48" i="13"/>
  <c r="DS8" i="18"/>
  <c r="DC9" i="16"/>
  <c r="DC26" i="16" s="1"/>
  <c r="DC34" i="16" s="1"/>
  <c r="DC36" i="16" s="1"/>
  <c r="AJ5" i="17"/>
  <c r="AD85" i="20"/>
  <c r="J91" i="20" s="1"/>
  <c r="J92" i="20" s="1"/>
  <c r="AU11" i="13"/>
  <c r="DE9" i="16"/>
  <c r="DE26" i="16" s="1"/>
  <c r="DE34" i="16" s="1"/>
  <c r="DE36" i="16" s="1"/>
  <c r="DU8" i="18"/>
  <c r="DP7" i="18"/>
  <c r="CZ13" i="23"/>
  <c r="AC220" i="20"/>
  <c r="DM42" i="16"/>
  <c r="DN48" i="13"/>
  <c r="W294" i="20"/>
  <c r="DH49" i="16"/>
  <c r="DH10" i="16"/>
  <c r="W510" i="20"/>
  <c r="G526" i="20"/>
  <c r="DU17" i="16"/>
  <c r="DL42" i="16"/>
  <c r="DM48" i="13"/>
  <c r="J229" i="20"/>
  <c r="W219" i="20"/>
  <c r="DG10" i="16"/>
  <c r="DG49" i="16"/>
  <c r="DD9" i="16"/>
  <c r="DD26" i="16" s="1"/>
  <c r="DD34" i="16" s="1"/>
  <c r="DD36" i="16" s="1"/>
  <c r="DT8" i="18"/>
  <c r="W221" i="20"/>
  <c r="J238" i="20"/>
  <c r="K227" i="20"/>
  <c r="X202" i="20"/>
  <c r="W216" i="20"/>
  <c r="J243" i="20" s="1"/>
  <c r="AO109" i="16"/>
  <c r="AO111" i="16" s="1"/>
  <c r="AO128" i="16" s="1"/>
  <c r="DJ10" i="16"/>
  <c r="DJ49" i="16"/>
  <c r="DR7" i="18"/>
  <c r="DB13" i="23"/>
  <c r="DQ7" i="18"/>
  <c r="DA13" i="23"/>
  <c r="V512" i="20"/>
  <c r="V513" i="20"/>
  <c r="F531" i="20" s="1"/>
  <c r="F528" i="20"/>
  <c r="Z201" i="20"/>
  <c r="AI4" i="17"/>
  <c r="X211" i="20"/>
  <c r="AG33" i="17"/>
  <c r="V222" i="20"/>
  <c r="I243" i="20"/>
  <c r="DV17" i="16"/>
  <c r="DS17" i="16"/>
  <c r="ET31" i="18"/>
  <c r="ET30" i="18" s="1"/>
  <c r="ET27" i="18" s="1"/>
  <c r="EE44" i="23"/>
  <c r="EF10" i="15"/>
  <c r="AE285" i="20"/>
  <c r="E339" i="20" s="1"/>
  <c r="AN29" i="21"/>
  <c r="I92" i="23"/>
  <c r="EQ31" i="18"/>
  <c r="EJ8" i="15"/>
  <c r="EK8" i="15"/>
  <c r="EL8" i="15"/>
  <c r="EM8" i="15"/>
  <c r="I16" i="23"/>
  <c r="I20" i="23" s="1"/>
  <c r="EL11" i="15"/>
  <c r="EM11" i="15"/>
  <c r="AT10" i="27"/>
  <c r="AT4" i="27" s="1"/>
  <c r="AT5" i="27"/>
  <c r="EJ11" i="15"/>
  <c r="EK11" i="15"/>
  <c r="F363" i="20"/>
  <c r="AR21" i="19"/>
  <c r="AS99" i="19"/>
  <c r="AS102" i="19" s="1"/>
  <c r="Z359" i="20"/>
  <c r="M391" i="20" s="1"/>
  <c r="M388" i="20"/>
  <c r="EC20" i="16"/>
  <c r="AO15" i="17"/>
  <c r="EJ12" i="15"/>
  <c r="EI45" i="23" s="1"/>
  <c r="EK12" i="15"/>
  <c r="EJ45" i="23" s="1"/>
  <c r="EL12" i="15"/>
  <c r="EK45" i="23" s="1"/>
  <c r="EM12" i="15"/>
  <c r="EL45" i="23" s="1"/>
  <c r="DW24" i="16"/>
  <c r="DW61" i="16" s="1"/>
  <c r="DX24" i="16"/>
  <c r="DX61" i="16" s="1"/>
  <c r="DY24" i="16"/>
  <c r="DY61" i="16" s="1"/>
  <c r="DZ24" i="16"/>
  <c r="DZ61" i="16" s="1"/>
  <c r="AF209" i="20"/>
  <c r="F257" i="20" s="1"/>
  <c r="AE511" i="20"/>
  <c r="G538" i="20" s="1"/>
  <c r="EA20" i="16"/>
  <c r="AF104" i="16"/>
  <c r="AF105" i="16"/>
  <c r="AG100" i="16"/>
  <c r="AG103" i="16" s="1"/>
  <c r="ER31" i="18"/>
  <c r="ER30" i="18" s="1"/>
  <c r="ER27" i="18" s="1"/>
  <c r="ED20" i="16"/>
  <c r="ES31" i="18"/>
  <c r="ES30" i="18" s="1"/>
  <c r="ES27" i="18" s="1"/>
  <c r="BE55" i="25"/>
  <c r="BE48" i="25"/>
  <c r="W13" i="19"/>
  <c r="N354" i="20" s="1"/>
  <c r="X85" i="19"/>
  <c r="BG26" i="25"/>
  <c r="BF29" i="25"/>
  <c r="BF30" i="25" s="1"/>
  <c r="BF140" i="25"/>
  <c r="BF207" i="25"/>
  <c r="BF208" i="25" s="1"/>
  <c r="BF45" i="25"/>
  <c r="BF46" i="25" s="1"/>
  <c r="EI10" i="15"/>
  <c r="EH44" i="23"/>
  <c r="EH58" i="16"/>
  <c r="EH46" i="23"/>
  <c r="EX19" i="18" s="1"/>
  <c r="AD206" i="20"/>
  <c r="AM12" i="17"/>
  <c r="BG50" i="25"/>
  <c r="BF145" i="25"/>
  <c r="BF123" i="25"/>
  <c r="BF212" i="25"/>
  <c r="BE210" i="25"/>
  <c r="BE217" i="25"/>
  <c r="EG44" i="23"/>
  <c r="EH10" i="15"/>
  <c r="EG58" i="16"/>
  <c r="EG46" i="23"/>
  <c r="EW19" i="18" s="1"/>
  <c r="AE206" i="20"/>
  <c r="EF44" i="23"/>
  <c r="EG10" i="15"/>
  <c r="AD284" i="20"/>
  <c r="D338" i="20" s="1"/>
  <c r="AM26" i="21"/>
  <c r="AD283" i="20" s="1"/>
  <c r="D337" i="20" s="1"/>
  <c r="DT17" i="16"/>
  <c r="AJ17" i="19"/>
  <c r="AA356" i="20" s="1"/>
  <c r="AA358" i="20"/>
  <c r="N390" i="20" s="1"/>
  <c r="EF58" i="16"/>
  <c r="EF46" i="23"/>
  <c r="EV19" i="18" s="1"/>
  <c r="AO30" i="21"/>
  <c r="EM30" i="18"/>
  <c r="EM27" i="18" s="1"/>
  <c r="EB20" i="16"/>
  <c r="AR22" i="19"/>
  <c r="AS106" i="19"/>
  <c r="AS109" i="19" s="1"/>
  <c r="AP18" i="21"/>
  <c r="AG278" i="20" s="1"/>
  <c r="G332" i="20" s="1"/>
  <c r="BE11" i="25"/>
  <c r="BE268" i="25" s="1"/>
  <c r="BE34" i="25"/>
  <c r="E138" i="20"/>
  <c r="AM25" i="15"/>
  <c r="AO93" i="19" s="1"/>
  <c r="AO94" i="19" s="1"/>
  <c r="AP19" i="17" s="1"/>
  <c r="AU63" i="27"/>
  <c r="AU62" i="27" s="1"/>
  <c r="AU11" i="27"/>
  <c r="AV7" i="27"/>
  <c r="AK20" i="19"/>
  <c r="AK19" i="19" s="1"/>
  <c r="AL92" i="19"/>
  <c r="AL95" i="19" s="1"/>
  <c r="EE58" i="16"/>
  <c r="AN23" i="15"/>
  <c r="EE46" i="23"/>
  <c r="EU19" i="18" s="1"/>
  <c r="DK279" i="37" l="1"/>
  <c r="DK277" i="37"/>
  <c r="DL267" i="37"/>
  <c r="E752" i="20" s="1"/>
  <c r="I752" i="20" s="1"/>
  <c r="F617" i="20"/>
  <c r="AK14" i="23"/>
  <c r="I612" i="20"/>
  <c r="I613" i="20" s="1"/>
  <c r="I617" i="20" s="1"/>
  <c r="AM151" i="19"/>
  <c r="EE50" i="23"/>
  <c r="EG50" i="23"/>
  <c r="EF50" i="23"/>
  <c r="EH50" i="23"/>
  <c r="DX58" i="23"/>
  <c r="DX66" i="23" s="1"/>
  <c r="DZ58" i="23"/>
  <c r="DZ66" i="23" s="1"/>
  <c r="DY58" i="23"/>
  <c r="DY66" i="23" s="1"/>
  <c r="DW58" i="23"/>
  <c r="DW66" i="23" s="1"/>
  <c r="AI281" i="20"/>
  <c r="I335" i="20" s="1"/>
  <c r="F140" i="20"/>
  <c r="AU152" i="25"/>
  <c r="EE16" i="15"/>
  <c r="ED49" i="23"/>
  <c r="EB16" i="15"/>
  <c r="EA49" i="23"/>
  <c r="EA58" i="23" s="1"/>
  <c r="EA66" i="23" s="1"/>
  <c r="ED16" i="15"/>
  <c r="EC49" i="23"/>
  <c r="EC16" i="15"/>
  <c r="EB49" i="23"/>
  <c r="AU57" i="25"/>
  <c r="AV35" i="25"/>
  <c r="AV57" i="25" s="1"/>
  <c r="AW35" i="25"/>
  <c r="AW219" i="25" s="1"/>
  <c r="AW144" i="25"/>
  <c r="AW146" i="25" s="1"/>
  <c r="AW148" i="25" s="1"/>
  <c r="AW211" i="25"/>
  <c r="AW213" i="25" s="1"/>
  <c r="AW215" i="25" s="1"/>
  <c r="AW216" i="25" s="1"/>
  <c r="AW218" i="25" s="1"/>
  <c r="AW14" i="25" s="1"/>
  <c r="AW271" i="25" s="1"/>
  <c r="AV51" i="25"/>
  <c r="AV53" i="25" s="1"/>
  <c r="AV54" i="25" s="1"/>
  <c r="AV56" i="25" s="1"/>
  <c r="AV12" i="25" s="1"/>
  <c r="AV269" i="25" s="1"/>
  <c r="AV211" i="25"/>
  <c r="AV213" i="25" s="1"/>
  <c r="AV215" i="25" s="1"/>
  <c r="AV216" i="25" s="1"/>
  <c r="AV218" i="25" s="1"/>
  <c r="AV14" i="25" s="1"/>
  <c r="AV271" i="25" s="1"/>
  <c r="DM37" i="37"/>
  <c r="DM12" i="37"/>
  <c r="DN215" i="37"/>
  <c r="DN208" i="37"/>
  <c r="DM52" i="37"/>
  <c r="DM59" i="37"/>
  <c r="DN137" i="37"/>
  <c r="DO28" i="37"/>
  <c r="DO205" i="37" s="1"/>
  <c r="DO206" i="37" s="1"/>
  <c r="DN49" i="37"/>
  <c r="DN50" i="37" s="1"/>
  <c r="DN31" i="37"/>
  <c r="DN32" i="37" s="1"/>
  <c r="FM38" i="37"/>
  <c r="FM141" i="37"/>
  <c r="FI141" i="37"/>
  <c r="FI38" i="37"/>
  <c r="FL38" i="37"/>
  <c r="FL141" i="37"/>
  <c r="FH38" i="37"/>
  <c r="FH141" i="37"/>
  <c r="FK38" i="37"/>
  <c r="FK141" i="37"/>
  <c r="FG38" i="37"/>
  <c r="FG141" i="37"/>
  <c r="FJ38" i="37"/>
  <c r="FJ141" i="37"/>
  <c r="FF38" i="37"/>
  <c r="FF141" i="37"/>
  <c r="AV61" i="37"/>
  <c r="AV149" i="37"/>
  <c r="AW209" i="37"/>
  <c r="AW211" i="37" s="1"/>
  <c r="AW213" i="37" s="1"/>
  <c r="AW214" i="37" s="1"/>
  <c r="AW216" i="37" s="1"/>
  <c r="AW15" i="37" s="1"/>
  <c r="AW270" i="37" s="1"/>
  <c r="AW141" i="37"/>
  <c r="AW143" i="37" s="1"/>
  <c r="AW145" i="37" s="1"/>
  <c r="AW55" i="37"/>
  <c r="AW57" i="37" s="1"/>
  <c r="AW58" i="37" s="1"/>
  <c r="AW60" i="37" s="1"/>
  <c r="AW13" i="37" s="1"/>
  <c r="AW268" i="37" s="1"/>
  <c r="AW38" i="37"/>
  <c r="AW217" i="37" s="1"/>
  <c r="AX122" i="37"/>
  <c r="AX53" i="37" s="1"/>
  <c r="BF59" i="37"/>
  <c r="BF52" i="37"/>
  <c r="BF215" i="37"/>
  <c r="BF208" i="37"/>
  <c r="BG205" i="37"/>
  <c r="BG206" i="37" s="1"/>
  <c r="BG137" i="37"/>
  <c r="BG49" i="37"/>
  <c r="BG50" i="37" s="1"/>
  <c r="BF12" i="37"/>
  <c r="BF267" i="37" s="1"/>
  <c r="BF37" i="37"/>
  <c r="BG210" i="37"/>
  <c r="BG142" i="37"/>
  <c r="T50" i="2"/>
  <c r="S18" i="2"/>
  <c r="F469" i="20"/>
  <c r="G483" i="20"/>
  <c r="G470" i="20"/>
  <c r="G478" i="20"/>
  <c r="K482" i="20"/>
  <c r="L482" i="20"/>
  <c r="G469" i="20"/>
  <c r="H479" i="20"/>
  <c r="F482" i="20"/>
  <c r="G482" i="20"/>
  <c r="H482" i="20"/>
  <c r="I478" i="20"/>
  <c r="J483" i="20"/>
  <c r="I483" i="20"/>
  <c r="L469" i="20"/>
  <c r="H483" i="20"/>
  <c r="J482" i="20"/>
  <c r="G468" i="20"/>
  <c r="K478" i="20"/>
  <c r="E469" i="20"/>
  <c r="K469" i="20"/>
  <c r="I479" i="20"/>
  <c r="G479" i="20"/>
  <c r="H469" i="20"/>
  <c r="I469" i="20"/>
  <c r="J478" i="20"/>
  <c r="J469" i="20"/>
  <c r="H478" i="20"/>
  <c r="G481" i="20"/>
  <c r="I482" i="20"/>
  <c r="E470" i="20"/>
  <c r="F478" i="20"/>
  <c r="E482" i="20"/>
  <c r="E478" i="20"/>
  <c r="E483" i="20"/>
  <c r="E479" i="20"/>
  <c r="AE205" i="20"/>
  <c r="E253" i="20" s="1"/>
  <c r="AB77" i="36"/>
  <c r="K59" i="2"/>
  <c r="AB32" i="2"/>
  <c r="AB16" i="2" s="1"/>
  <c r="AK19" i="2"/>
  <c r="F497" i="20" s="1"/>
  <c r="AK20" i="2"/>
  <c r="F498" i="20" s="1"/>
  <c r="E49" i="2"/>
  <c r="I59" i="2"/>
  <c r="AC58" i="4"/>
  <c r="AD55" i="4" s="1"/>
  <c r="AD36" i="2" s="1"/>
  <c r="AC63" i="4"/>
  <c r="U34" i="2"/>
  <c r="H481" i="20" s="1"/>
  <c r="AN12" i="17"/>
  <c r="AE204" i="20" s="1"/>
  <c r="E252" i="20" s="1"/>
  <c r="DY63" i="16"/>
  <c r="DZ63" i="16"/>
  <c r="DW63" i="16"/>
  <c r="DX63" i="16"/>
  <c r="EF6" i="15"/>
  <c r="EF5" i="15" s="1"/>
  <c r="AL29" i="15"/>
  <c r="EG7" i="15"/>
  <c r="AN26" i="24"/>
  <c r="AN23" i="24"/>
  <c r="EI6" i="15"/>
  <c r="EI5" i="15" s="1"/>
  <c r="EF7" i="15"/>
  <c r="EI7" i="15"/>
  <c r="EH7" i="15"/>
  <c r="EG6" i="15"/>
  <c r="EG5" i="15" s="1"/>
  <c r="AO13" i="17"/>
  <c r="AN34" i="24"/>
  <c r="AN30" i="24"/>
  <c r="EH6" i="15"/>
  <c r="EH5" i="15" s="1"/>
  <c r="AQ17" i="24"/>
  <c r="AP19" i="24"/>
  <c r="AP20" i="24" s="1"/>
  <c r="AP18" i="24"/>
  <c r="AM22" i="15"/>
  <c r="ED56" i="16"/>
  <c r="ED18" i="16" s="1"/>
  <c r="D138" i="20"/>
  <c r="EA56" i="16"/>
  <c r="EA18" i="16" s="1"/>
  <c r="AM21" i="15"/>
  <c r="EC56" i="16"/>
  <c r="EC18" i="16" s="1"/>
  <c r="EB56" i="16"/>
  <c r="EB18" i="16" s="1"/>
  <c r="AO21" i="24"/>
  <c r="T62" i="4"/>
  <c r="T64" i="4"/>
  <c r="T28" i="4" s="1"/>
  <c r="T88" i="4" s="1"/>
  <c r="DS45" i="16"/>
  <c r="DS13" i="16" s="1"/>
  <c r="AK62" i="13"/>
  <c r="DX40" i="13"/>
  <c r="DY40" i="13"/>
  <c r="DX45" i="16" s="1"/>
  <c r="DX13" i="16" s="1"/>
  <c r="EN11" i="18" s="1"/>
  <c r="DZ40" i="13"/>
  <c r="DY45" i="16" s="1"/>
  <c r="DY13" i="16" s="1"/>
  <c r="EO11" i="18" s="1"/>
  <c r="EA40" i="13"/>
  <c r="DZ45" i="16" s="1"/>
  <c r="DZ13" i="16" s="1"/>
  <c r="EP11" i="18" s="1"/>
  <c r="AW15" i="13"/>
  <c r="AR30" i="11"/>
  <c r="AQ29" i="11"/>
  <c r="EE11" i="18"/>
  <c r="AM10" i="21" s="1"/>
  <c r="AM8" i="17"/>
  <c r="DX17" i="16"/>
  <c r="AQ18" i="21"/>
  <c r="AH278" i="20" s="1"/>
  <c r="H332" i="20" s="1"/>
  <c r="AQ34" i="15"/>
  <c r="AR28" i="15" s="1"/>
  <c r="AR27" i="15" s="1"/>
  <c r="EV15" i="15" s="1"/>
  <c r="FK25" i="18" s="1"/>
  <c r="AQ32" i="15"/>
  <c r="AS24" i="21"/>
  <c r="EM62" i="16"/>
  <c r="EM25" i="16" s="1"/>
  <c r="AS20" i="17" s="1"/>
  <c r="AJ210" i="20" s="1"/>
  <c r="J258" i="20" s="1"/>
  <c r="DT7" i="18"/>
  <c r="DD13" i="23"/>
  <c r="AU10" i="13"/>
  <c r="AU9" i="13" s="1"/>
  <c r="DT36" i="13"/>
  <c r="DT35" i="13" s="1"/>
  <c r="DU36" i="13"/>
  <c r="DU35" i="13" s="1"/>
  <c r="DV36" i="13"/>
  <c r="DV35" i="13" s="1"/>
  <c r="DW36" i="13"/>
  <c r="DW35" i="13" s="1"/>
  <c r="DI9" i="16"/>
  <c r="DI26" i="16" s="1"/>
  <c r="DI34" i="16" s="1"/>
  <c r="DI36" i="16" s="1"/>
  <c r="DY8" i="18"/>
  <c r="DK49" i="16"/>
  <c r="DK10" i="16"/>
  <c r="AQ22" i="11"/>
  <c r="AW7" i="13" s="1"/>
  <c r="AW6" i="13" s="1"/>
  <c r="AR23" i="11"/>
  <c r="F530" i="20"/>
  <c r="V514" i="20"/>
  <c r="F532" i="20" s="1"/>
  <c r="AE85" i="20"/>
  <c r="K91" i="20" s="1"/>
  <c r="K92" i="20" s="1"/>
  <c r="AV11" i="13"/>
  <c r="AJ7" i="21"/>
  <c r="DS7" i="18"/>
  <c r="DC13" i="23"/>
  <c r="DP48" i="13"/>
  <c r="AJ59" i="13"/>
  <c r="AJ65" i="13" s="1"/>
  <c r="DO42" i="16"/>
  <c r="AI6" i="21"/>
  <c r="Z272" i="20" s="1"/>
  <c r="Z273" i="20"/>
  <c r="M302" i="20" s="1"/>
  <c r="DM10" i="16"/>
  <c r="DM49" i="16"/>
  <c r="DR42" i="16"/>
  <c r="DS48" i="13"/>
  <c r="DV7" i="18"/>
  <c r="DF13" i="23"/>
  <c r="Y274" i="20"/>
  <c r="L303" i="20" s="1"/>
  <c r="L301" i="20"/>
  <c r="X216" i="20"/>
  <c r="AP109" i="16"/>
  <c r="AP111" i="16" s="1"/>
  <c r="AP128" i="16" s="1"/>
  <c r="K229" i="20"/>
  <c r="X219" i="20"/>
  <c r="AK5" i="17"/>
  <c r="DW8" i="18"/>
  <c r="DG9" i="16"/>
  <c r="DG26" i="16" s="1"/>
  <c r="DG34" i="16" s="1"/>
  <c r="DG36" i="16" s="1"/>
  <c r="DN10" i="16"/>
  <c r="DN49" i="16"/>
  <c r="DQ42" i="16"/>
  <c r="DR48" i="13"/>
  <c r="X221" i="20"/>
  <c r="K238" i="20"/>
  <c r="X294" i="20"/>
  <c r="AX127" i="25"/>
  <c r="AX112" i="25" s="1"/>
  <c r="Z200" i="20"/>
  <c r="Y508" i="20"/>
  <c r="AI21" i="17"/>
  <c r="AX125" i="25"/>
  <c r="AX122" i="25" s="1"/>
  <c r="AX126" i="25" s="1"/>
  <c r="W222" i="20"/>
  <c r="G528" i="20"/>
  <c r="W513" i="20"/>
  <c r="G531" i="20" s="1"/>
  <c r="W512" i="20"/>
  <c r="DP42" i="16"/>
  <c r="DQ48" i="13"/>
  <c r="AH33" i="17"/>
  <c r="Y211" i="20"/>
  <c r="L238" i="20" s="1"/>
  <c r="M228" i="20"/>
  <c r="DX8" i="18"/>
  <c r="DH9" i="16"/>
  <c r="DH26" i="16" s="1"/>
  <c r="DH34" i="16" s="1"/>
  <c r="DH36" i="16" s="1"/>
  <c r="DU7" i="18"/>
  <c r="DE13" i="23"/>
  <c r="X510" i="20"/>
  <c r="H526" i="20"/>
  <c r="DZ8" i="18"/>
  <c r="DJ9" i="16"/>
  <c r="DJ26" i="16" s="1"/>
  <c r="DJ34" i="16" s="1"/>
  <c r="DL49" i="16"/>
  <c r="DL10" i="16"/>
  <c r="AJ4" i="17"/>
  <c r="AA201" i="20"/>
  <c r="Y202" i="20"/>
  <c r="L227" i="20"/>
  <c r="EN8" i="15"/>
  <c r="EO8" i="15"/>
  <c r="EP8" i="15"/>
  <c r="EQ8" i="15"/>
  <c r="G363" i="20"/>
  <c r="EE20" i="16"/>
  <c r="AV63" i="27"/>
  <c r="AV62" i="27" s="1"/>
  <c r="AV11" i="27"/>
  <c r="AW7" i="27"/>
  <c r="BF210" i="25"/>
  <c r="BF217" i="25"/>
  <c r="X87" i="19"/>
  <c r="X88" i="19" s="1"/>
  <c r="EJ44" i="23"/>
  <c r="EK10" i="15"/>
  <c r="EK58" i="16"/>
  <c r="EK46" i="23"/>
  <c r="FA19" i="18" s="1"/>
  <c r="EH20" i="16"/>
  <c r="AH100" i="16"/>
  <c r="AH103" i="16" s="1"/>
  <c r="AG104" i="16"/>
  <c r="AG105" i="16"/>
  <c r="AP15" i="17"/>
  <c r="EI44" i="23"/>
  <c r="EJ10" i="15"/>
  <c r="EJ58" i="16"/>
  <c r="EJ46" i="23"/>
  <c r="EZ19" i="18" s="1"/>
  <c r="DY17" i="16"/>
  <c r="EN11" i="15"/>
  <c r="AU10" i="27"/>
  <c r="AU4" i="27" s="1"/>
  <c r="EO11" i="15"/>
  <c r="EP11" i="15"/>
  <c r="AU5" i="27"/>
  <c r="EQ11" i="15"/>
  <c r="EG20" i="16"/>
  <c r="BH50" i="25"/>
  <c r="BG145" i="25"/>
  <c r="BG123" i="25"/>
  <c r="BG212" i="25"/>
  <c r="BF34" i="25"/>
  <c r="BF11" i="25"/>
  <c r="BF268" i="25" s="1"/>
  <c r="EI58" i="16"/>
  <c r="EI46" i="23"/>
  <c r="EY19" i="18" s="1"/>
  <c r="AO23" i="15"/>
  <c r="AE284" i="20"/>
  <c r="E338" i="20" s="1"/>
  <c r="AN26" i="21"/>
  <c r="AE283" i="20" s="1"/>
  <c r="E337" i="20" s="1"/>
  <c r="AF285" i="20"/>
  <c r="F339" i="20" s="1"/>
  <c r="AO29" i="21"/>
  <c r="EF20" i="16"/>
  <c r="EV31" i="18"/>
  <c r="EV30" i="18" s="1"/>
  <c r="EV27" i="18" s="1"/>
  <c r="BG29" i="25"/>
  <c r="BG30" i="25" s="1"/>
  <c r="BG45" i="25"/>
  <c r="BG46" i="25" s="1"/>
  <c r="BG140" i="25"/>
  <c r="BG207" i="25"/>
  <c r="BG208" i="25" s="1"/>
  <c r="BH26" i="25"/>
  <c r="AT99" i="19"/>
  <c r="AT102" i="19" s="1"/>
  <c r="AS21" i="19"/>
  <c r="AT106" i="19"/>
  <c r="AT109" i="19" s="1"/>
  <c r="AS22" i="19"/>
  <c r="AL20" i="19"/>
  <c r="AL19" i="19" s="1"/>
  <c r="AM92" i="19"/>
  <c r="AM95" i="19" s="1"/>
  <c r="EL44" i="23"/>
  <c r="EM10" i="15"/>
  <c r="E139" i="20"/>
  <c r="AN25" i="15"/>
  <c r="AP93" i="19" s="1"/>
  <c r="AP94" i="19" s="1"/>
  <c r="AQ19" i="17" s="1"/>
  <c r="AK17" i="19"/>
  <c r="AB356" i="20" s="1"/>
  <c r="AB358" i="20"/>
  <c r="O390" i="20" s="1"/>
  <c r="AC509" i="20"/>
  <c r="E536" i="20" s="1"/>
  <c r="AD204" i="20"/>
  <c r="D252" i="20" s="1"/>
  <c r="EX31" i="18"/>
  <c r="EX30" i="18" s="1"/>
  <c r="EX27" i="18" s="1"/>
  <c r="DZ17" i="16"/>
  <c r="EK44" i="23"/>
  <c r="EL10" i="15"/>
  <c r="EU31" i="18"/>
  <c r="EO12" i="15"/>
  <c r="EN45" i="23" s="1"/>
  <c r="EP12" i="15"/>
  <c r="EO45" i="23" s="1"/>
  <c r="EQ12" i="15"/>
  <c r="EP45" i="23" s="1"/>
  <c r="EN12" i="15"/>
  <c r="EM45" i="23" s="1"/>
  <c r="ED24" i="16"/>
  <c r="ED61" i="16" s="1"/>
  <c r="EA24" i="16"/>
  <c r="EA61" i="16" s="1"/>
  <c r="EB24" i="16"/>
  <c r="EB61" i="16" s="1"/>
  <c r="EC24" i="16"/>
  <c r="EC61" i="16" s="1"/>
  <c r="AG209" i="20"/>
  <c r="G257" i="20" s="1"/>
  <c r="AF511" i="20"/>
  <c r="H538" i="20" s="1"/>
  <c r="E254" i="20"/>
  <c r="D254" i="20"/>
  <c r="DW17" i="16"/>
  <c r="EQ30" i="18"/>
  <c r="EQ27" i="18" s="1"/>
  <c r="AP30" i="21"/>
  <c r="AA359" i="20"/>
  <c r="N391" i="20" s="1"/>
  <c r="N388" i="20"/>
  <c r="EW31" i="18"/>
  <c r="EW30" i="18" s="1"/>
  <c r="EW27" i="18" s="1"/>
  <c r="BF55" i="25"/>
  <c r="BF48" i="25"/>
  <c r="AF206" i="20"/>
  <c r="EL58" i="16"/>
  <c r="EL46" i="23"/>
  <c r="FB19" i="18" s="1"/>
  <c r="DL277" i="37" l="1"/>
  <c r="DL279" i="37"/>
  <c r="L497" i="20"/>
  <c r="D497" i="20" s="1"/>
  <c r="L498" i="20"/>
  <c r="D498" i="20" s="1"/>
  <c r="EK50" i="23"/>
  <c r="EJ50" i="23"/>
  <c r="EL50" i="23"/>
  <c r="EI50" i="23"/>
  <c r="ED58" i="23"/>
  <c r="ED66" i="23" s="1"/>
  <c r="AN151" i="19"/>
  <c r="EB58" i="23"/>
  <c r="EB66" i="23" s="1"/>
  <c r="EC58" i="23"/>
  <c r="EC66" i="23" s="1"/>
  <c r="AV219" i="25"/>
  <c r="AJ281" i="20"/>
  <c r="J335" i="20" s="1"/>
  <c r="F141" i="20"/>
  <c r="AV152" i="25"/>
  <c r="AW152" i="25"/>
  <c r="AW57" i="25"/>
  <c r="EF49" i="23"/>
  <c r="EF16" i="15"/>
  <c r="EE49" i="23"/>
  <c r="EH16" i="15"/>
  <c r="EG49" i="23"/>
  <c r="EH56" i="16"/>
  <c r="EH18" i="16" s="1"/>
  <c r="EH49" i="23"/>
  <c r="DM267" i="37"/>
  <c r="DM277" i="37" s="1"/>
  <c r="AJ319" i="25"/>
  <c r="DN37" i="37"/>
  <c r="DN12" i="37"/>
  <c r="DO215" i="37"/>
  <c r="DO208" i="37"/>
  <c r="DN59" i="37"/>
  <c r="DN52" i="37"/>
  <c r="DO137" i="37"/>
  <c r="DP28" i="37"/>
  <c r="DP205" i="37" s="1"/>
  <c r="DP206" i="37" s="1"/>
  <c r="DO49" i="37"/>
  <c r="DO50" i="37" s="1"/>
  <c r="DO31" i="37"/>
  <c r="DO32" i="37" s="1"/>
  <c r="AX117" i="25"/>
  <c r="AX49" i="25" s="1"/>
  <c r="AX211" i="25" s="1"/>
  <c r="AX213" i="25" s="1"/>
  <c r="AX215" i="25" s="1"/>
  <c r="AX216" i="25" s="1"/>
  <c r="AX218" i="25" s="1"/>
  <c r="AX14" i="25" s="1"/>
  <c r="AX271" i="25" s="1"/>
  <c r="FN117" i="37"/>
  <c r="FN122" i="37" s="1"/>
  <c r="FN53" i="37" s="1"/>
  <c r="FN209" i="37" s="1"/>
  <c r="FO117" i="37"/>
  <c r="FO122" i="37" s="1"/>
  <c r="FO53" i="37" s="1"/>
  <c r="FO209" i="37" s="1"/>
  <c r="FP117" i="37"/>
  <c r="FP122" i="37" s="1"/>
  <c r="FP53" i="37" s="1"/>
  <c r="FP209" i="37" s="1"/>
  <c r="FQ117" i="37"/>
  <c r="FQ122" i="37" s="1"/>
  <c r="FQ53" i="37" s="1"/>
  <c r="FQ209" i="37" s="1"/>
  <c r="AW149" i="37"/>
  <c r="AW61" i="37"/>
  <c r="AX209" i="37"/>
  <c r="AX211" i="37" s="1"/>
  <c r="AX213" i="37" s="1"/>
  <c r="AX214" i="37" s="1"/>
  <c r="AX216" i="37" s="1"/>
  <c r="AX15" i="37" s="1"/>
  <c r="AX270" i="37" s="1"/>
  <c r="AX141" i="37"/>
  <c r="AX143" i="37" s="1"/>
  <c r="AX145" i="37" s="1"/>
  <c r="AX55" i="37"/>
  <c r="AX57" i="37" s="1"/>
  <c r="AX58" i="37" s="1"/>
  <c r="AX60" i="37" s="1"/>
  <c r="AX13" i="37" s="1"/>
  <c r="AX268" i="37" s="1"/>
  <c r="AX38" i="37"/>
  <c r="AX149" i="37" s="1"/>
  <c r="AZ122" i="37"/>
  <c r="AZ53" i="37" s="1"/>
  <c r="AY122" i="37"/>
  <c r="AY53" i="37" s="1"/>
  <c r="BG37" i="37"/>
  <c r="BG12" i="37"/>
  <c r="BG267" i="37" s="1"/>
  <c r="BH205" i="37"/>
  <c r="BH206" i="37" s="1"/>
  <c r="BH137" i="37"/>
  <c r="BH49" i="37"/>
  <c r="BH50" i="37" s="1"/>
  <c r="BG59" i="37"/>
  <c r="BG52" i="37"/>
  <c r="BH210" i="37"/>
  <c r="BH142" i="37"/>
  <c r="BG215" i="37"/>
  <c r="BG208" i="37"/>
  <c r="T21" i="2"/>
  <c r="T48" i="2"/>
  <c r="D482" i="20"/>
  <c r="D469" i="20"/>
  <c r="AF205" i="20"/>
  <c r="F253" i="20" s="1"/>
  <c r="AD509" i="20"/>
  <c r="F536" i="20" s="1"/>
  <c r="AC32" i="4"/>
  <c r="AC32" i="2"/>
  <c r="AC16" i="2" s="1"/>
  <c r="E20" i="2"/>
  <c r="E19" i="2"/>
  <c r="AD58" i="4"/>
  <c r="AE55" i="4" s="1"/>
  <c r="AE36" i="2" s="1"/>
  <c r="AD63" i="4"/>
  <c r="AD32" i="2" s="1"/>
  <c r="AC77" i="36"/>
  <c r="K92" i="36" s="1"/>
  <c r="ED63" i="16"/>
  <c r="AO12" i="17"/>
  <c r="AF204" i="20" s="1"/>
  <c r="F252" i="20" s="1"/>
  <c r="EA63" i="16"/>
  <c r="EE56" i="16"/>
  <c r="EE18" i="16" s="1"/>
  <c r="EC63" i="16"/>
  <c r="EB63" i="16"/>
  <c r="AN22" i="15"/>
  <c r="EI16" i="15"/>
  <c r="AN21" i="15"/>
  <c r="EF56" i="16"/>
  <c r="EF18" i="16" s="1"/>
  <c r="EG16" i="15"/>
  <c r="AP21" i="24"/>
  <c r="EP7" i="15" s="1"/>
  <c r="AM29" i="15"/>
  <c r="EG56" i="16"/>
  <c r="EG18" i="16" s="1"/>
  <c r="D139" i="20"/>
  <c r="AP13" i="17"/>
  <c r="AR17" i="24"/>
  <c r="AQ18" i="24"/>
  <c r="AQ19" i="24"/>
  <c r="AQ20" i="24" s="1"/>
  <c r="EK7" i="15"/>
  <c r="EL6" i="15"/>
  <c r="EL5" i="15" s="1"/>
  <c r="EK49" i="23" s="1"/>
  <c r="EK58" i="23" s="1"/>
  <c r="EL7" i="15"/>
  <c r="EJ7" i="15"/>
  <c r="EM7" i="15"/>
  <c r="EJ6" i="15"/>
  <c r="EJ5" i="15" s="1"/>
  <c r="AO34" i="24"/>
  <c r="AO23" i="24"/>
  <c r="AO26" i="24"/>
  <c r="AO29" i="24"/>
  <c r="AO30" i="24" s="1"/>
  <c r="EM6" i="15"/>
  <c r="EM5" i="15" s="1"/>
  <c r="EK6" i="15"/>
  <c r="EK5" i="15" s="1"/>
  <c r="U59" i="4"/>
  <c r="U50" i="2" s="1"/>
  <c r="U48" i="2" s="1"/>
  <c r="T78" i="36"/>
  <c r="AR29" i="11"/>
  <c r="AS30" i="11"/>
  <c r="AX15" i="13"/>
  <c r="EC40" i="13"/>
  <c r="EB45" i="16" s="1"/>
  <c r="EB13" i="16" s="1"/>
  <c r="ER11" i="18" s="1"/>
  <c r="ED40" i="13"/>
  <c r="EC45" i="16" s="1"/>
  <c r="EC13" i="16" s="1"/>
  <c r="ES11" i="18" s="1"/>
  <c r="EE40" i="13"/>
  <c r="ED45" i="16" s="1"/>
  <c r="ED13" i="16" s="1"/>
  <c r="ET11" i="18" s="1"/>
  <c r="EB40" i="13"/>
  <c r="AL62" i="13"/>
  <c r="DW45" i="16"/>
  <c r="DW13" i="16" s="1"/>
  <c r="EI11" i="18"/>
  <c r="AN10" i="21" s="1"/>
  <c r="AN8" i="17"/>
  <c r="Y294" i="20"/>
  <c r="AD220" i="20"/>
  <c r="AT24" i="21"/>
  <c r="EQ62" i="16"/>
  <c r="EQ25" i="16" s="1"/>
  <c r="AT20" i="17" s="1"/>
  <c r="AK210" i="20" s="1"/>
  <c r="K258" i="20" s="1"/>
  <c r="AR32" i="15"/>
  <c r="AR34" i="15"/>
  <c r="AS28" i="15" s="1"/>
  <c r="AS27" i="15" s="1"/>
  <c r="EZ15" i="15" s="1"/>
  <c r="FO25" i="18" s="1"/>
  <c r="AF85" i="20"/>
  <c r="L91" i="20" s="1"/>
  <c r="L92" i="20" s="1"/>
  <c r="AW11" i="13"/>
  <c r="N228" i="20"/>
  <c r="X512" i="20"/>
  <c r="X513" i="20"/>
  <c r="H531" i="20" s="1"/>
  <c r="H528" i="20"/>
  <c r="AQ109" i="16"/>
  <c r="AQ111" i="16" s="1"/>
  <c r="AQ128" i="16" s="1"/>
  <c r="Y216" i="20"/>
  <c r="Z211" i="20"/>
  <c r="M238" i="20" s="1"/>
  <c r="AI33" i="17"/>
  <c r="DG13" i="23"/>
  <c r="DW7" i="18"/>
  <c r="AK7" i="21"/>
  <c r="X222" i="20"/>
  <c r="K243" i="20"/>
  <c r="DW48" i="13"/>
  <c r="DV42" i="16"/>
  <c r="AJ21" i="17"/>
  <c r="AA200" i="20"/>
  <c r="Z508" i="20"/>
  <c r="AY125" i="25"/>
  <c r="AY122" i="25" s="1"/>
  <c r="AY126" i="25" s="1"/>
  <c r="I526" i="20"/>
  <c r="Y510" i="20"/>
  <c r="AK4" i="17"/>
  <c r="AB201" i="20"/>
  <c r="DM9" i="16"/>
  <c r="DM26" i="16" s="1"/>
  <c r="DM34" i="16" s="1"/>
  <c r="DM36" i="16" s="1"/>
  <c r="EC8" i="18"/>
  <c r="DU42" i="16"/>
  <c r="DV48" i="13"/>
  <c r="EB8" i="18"/>
  <c r="DL9" i="16"/>
  <c r="DL26" i="16" s="1"/>
  <c r="DL34" i="16" s="1"/>
  <c r="DL36" i="16" s="1"/>
  <c r="DP10" i="16"/>
  <c r="DP49" i="16"/>
  <c r="Z202" i="20"/>
  <c r="M227" i="20"/>
  <c r="AS23" i="11"/>
  <c r="AR22" i="11"/>
  <c r="AX7" i="13" s="1"/>
  <c r="AX6" i="13" s="1"/>
  <c r="DT42" i="16"/>
  <c r="DU48" i="13"/>
  <c r="W514" i="20"/>
  <c r="G532" i="20" s="1"/>
  <c r="G530" i="20"/>
  <c r="AA273" i="20"/>
  <c r="N302" i="20" s="1"/>
  <c r="AJ6" i="21"/>
  <c r="AA272" i="20" s="1"/>
  <c r="DS42" i="16"/>
  <c r="AK59" i="13"/>
  <c r="AK65" i="13" s="1"/>
  <c r="DT48" i="13"/>
  <c r="DX7" i="18"/>
  <c r="DH13" i="23"/>
  <c r="DQ10" i="16"/>
  <c r="DQ49" i="16"/>
  <c r="DZ36" i="13"/>
  <c r="DZ35" i="13" s="1"/>
  <c r="EA36" i="13"/>
  <c r="EA35" i="13" s="1"/>
  <c r="AV10" i="13"/>
  <c r="AV9" i="13" s="1"/>
  <c r="DX36" i="13"/>
  <c r="DX35" i="13" s="1"/>
  <c r="DY36" i="13"/>
  <c r="DY35" i="13" s="1"/>
  <c r="EA8" i="18"/>
  <c r="AL5" i="17"/>
  <c r="DK9" i="16"/>
  <c r="DK26" i="16" s="1"/>
  <c r="DK34" i="16" s="1"/>
  <c r="DK36" i="16" s="1"/>
  <c r="DZ7" i="18"/>
  <c r="DJ13" i="23"/>
  <c r="M301" i="20"/>
  <c r="Z274" i="20"/>
  <c r="M303" i="20" s="1"/>
  <c r="Y221" i="20"/>
  <c r="ED8" i="18"/>
  <c r="DN9" i="16"/>
  <c r="DN26" i="16" s="1"/>
  <c r="DN34" i="16" s="1"/>
  <c r="DO10" i="16"/>
  <c r="DO49" i="16"/>
  <c r="DY7" i="18"/>
  <c r="DI13" i="23"/>
  <c r="L229" i="20"/>
  <c r="Y219" i="20"/>
  <c r="AY127" i="25"/>
  <c r="AY112" i="25" s="1"/>
  <c r="DR10" i="16"/>
  <c r="DR49" i="16"/>
  <c r="AE220" i="20"/>
  <c r="ED17" i="16"/>
  <c r="FA31" i="18"/>
  <c r="FA30" i="18" s="1"/>
  <c r="FA27" i="18" s="1"/>
  <c r="AH209" i="20"/>
  <c r="H257" i="20" s="1"/>
  <c r="AG511" i="20"/>
  <c r="I538" i="20" s="1"/>
  <c r="EE24" i="16"/>
  <c r="EE61" i="16" s="1"/>
  <c r="EF24" i="16"/>
  <c r="EF61" i="16" s="1"/>
  <c r="EG24" i="16"/>
  <c r="EG61" i="16" s="1"/>
  <c r="EH24" i="16"/>
  <c r="EH61" i="16" s="1"/>
  <c r="BG217" i="25"/>
  <c r="BG210" i="25"/>
  <c r="EI20" i="16"/>
  <c r="E140" i="20"/>
  <c r="AO25" i="15"/>
  <c r="AQ93" i="19" s="1"/>
  <c r="AQ94" i="19" s="1"/>
  <c r="AR19" i="17" s="1"/>
  <c r="EQ10" i="15"/>
  <c r="EP44" i="23"/>
  <c r="EY31" i="18"/>
  <c r="EP58" i="16"/>
  <c r="EP46" i="23"/>
  <c r="FF19" i="18" s="1"/>
  <c r="AM20" i="19"/>
  <c r="AM19" i="19" s="1"/>
  <c r="AN92" i="19"/>
  <c r="AN95" i="19" s="1"/>
  <c r="BG55" i="25"/>
  <c r="BG48" i="25"/>
  <c r="AF284" i="20"/>
  <c r="F338" i="20" s="1"/>
  <c r="AO26" i="21"/>
  <c r="AF283" i="20" s="1"/>
  <c r="F337" i="20" s="1"/>
  <c r="X13" i="19"/>
  <c r="O354" i="20" s="1"/>
  <c r="Y85" i="19"/>
  <c r="AW63" i="27"/>
  <c r="AW62" i="27" s="1"/>
  <c r="AW11" i="27"/>
  <c r="AX7" i="27"/>
  <c r="EO58" i="16"/>
  <c r="EO46" i="23"/>
  <c r="FE19" i="18" s="1"/>
  <c r="FB31" i="18"/>
  <c r="FB30" i="18" s="1"/>
  <c r="FB27" i="18" s="1"/>
  <c r="AL17" i="19"/>
  <c r="AC356" i="20" s="1"/>
  <c r="AC358" i="20"/>
  <c r="D418" i="20" s="1"/>
  <c r="AT21" i="19"/>
  <c r="AU99" i="19"/>
  <c r="AU102" i="19" s="1"/>
  <c r="BG11" i="25"/>
  <c r="BG268" i="25" s="1"/>
  <c r="BG34" i="25"/>
  <c r="BI50" i="25"/>
  <c r="BH145" i="25"/>
  <c r="BH123" i="25"/>
  <c r="BH212" i="25"/>
  <c r="EO44" i="23"/>
  <c r="EP10" i="15"/>
  <c r="EJ20" i="16"/>
  <c r="EA17" i="16"/>
  <c r="ER8" i="15"/>
  <c r="ES8" i="15"/>
  <c r="ET8" i="15"/>
  <c r="EU8" i="15"/>
  <c r="EN58" i="16"/>
  <c r="EN46" i="23"/>
  <c r="FD19" i="18" s="1"/>
  <c r="EN44" i="23"/>
  <c r="EO10" i="15"/>
  <c r="I22" i="23"/>
  <c r="AG206" i="20"/>
  <c r="EK20" i="16"/>
  <c r="ET11" i="15"/>
  <c r="EU11" i="15"/>
  <c r="AV10" i="27"/>
  <c r="AV4" i="27" s="1"/>
  <c r="AV5" i="27"/>
  <c r="ER11" i="15"/>
  <c r="ES11" i="15"/>
  <c r="EM58" i="16"/>
  <c r="EM46" i="23"/>
  <c r="FC19" i="18" s="1"/>
  <c r="AP23" i="15"/>
  <c r="AQ30" i="21"/>
  <c r="EU30" i="18"/>
  <c r="EU27" i="18" s="1"/>
  <c r="O388" i="20"/>
  <c r="AB359" i="20"/>
  <c r="O391" i="20" s="1"/>
  <c r="ER12" i="15"/>
  <c r="EQ45" i="23" s="1"/>
  <c r="ES12" i="15"/>
  <c r="ER45" i="23" s="1"/>
  <c r="ET12" i="15"/>
  <c r="ES45" i="23" s="1"/>
  <c r="EU12" i="15"/>
  <c r="ET45" i="23" s="1"/>
  <c r="EM44" i="23"/>
  <c r="EN10" i="15"/>
  <c r="EL20" i="16"/>
  <c r="EC17" i="16"/>
  <c r="EB17" i="16"/>
  <c r="F254" i="20"/>
  <c r="AG285" i="20"/>
  <c r="G339" i="20" s="1"/>
  <c r="AP29" i="21"/>
  <c r="AT22" i="19"/>
  <c r="AU106" i="19"/>
  <c r="AU109" i="19" s="1"/>
  <c r="BI26" i="25"/>
  <c r="BH45" i="25"/>
  <c r="BH46" i="25" s="1"/>
  <c r="BH29" i="25"/>
  <c r="BH30" i="25" s="1"/>
  <c r="BH140" i="25"/>
  <c r="BH207" i="25"/>
  <c r="BH208" i="25" s="1"/>
  <c r="AR18" i="21"/>
  <c r="AI278" i="20" s="1"/>
  <c r="I332" i="20" s="1"/>
  <c r="AI100" i="16"/>
  <c r="AI103" i="16" s="1"/>
  <c r="AH104" i="16"/>
  <c r="AH105" i="16"/>
  <c r="EZ31" i="18"/>
  <c r="EZ30" i="18" s="1"/>
  <c r="EZ27" i="18" s="1"/>
  <c r="AQ15" i="17"/>
  <c r="DN267" i="37" l="1"/>
  <c r="DN277" i="37" s="1"/>
  <c r="B497" i="20"/>
  <c r="B498" i="20"/>
  <c r="AO151" i="19"/>
  <c r="EN50" i="23"/>
  <c r="EP50" i="23"/>
  <c r="EM50" i="23"/>
  <c r="EO50" i="23"/>
  <c r="EF58" i="23"/>
  <c r="EF66" i="23" s="1"/>
  <c r="EH58" i="23"/>
  <c r="EH66" i="23" s="1"/>
  <c r="EG58" i="23"/>
  <c r="EG66" i="23" s="1"/>
  <c r="EE58" i="23"/>
  <c r="EE66" i="23" s="1"/>
  <c r="AK281" i="20"/>
  <c r="K335" i="20" s="1"/>
  <c r="F142" i="20"/>
  <c r="EH63" i="16"/>
  <c r="EJ16" i="15"/>
  <c r="EI49" i="23"/>
  <c r="EK16" i="15"/>
  <c r="EJ49" i="23"/>
  <c r="EM16" i="15"/>
  <c r="EL49" i="23"/>
  <c r="DM279" i="37"/>
  <c r="AX51" i="25"/>
  <c r="AX53" i="25" s="1"/>
  <c r="AX54" i="25" s="1"/>
  <c r="AX56" i="25" s="1"/>
  <c r="AX12" i="25" s="1"/>
  <c r="AX269" i="25" s="1"/>
  <c r="AX35" i="25"/>
  <c r="AX152" i="25" s="1"/>
  <c r="AX144" i="25"/>
  <c r="AX146" i="25" s="1"/>
  <c r="AX148" i="25" s="1"/>
  <c r="DO37" i="37"/>
  <c r="DO12" i="37"/>
  <c r="DP215" i="37"/>
  <c r="DP208" i="37"/>
  <c r="AX217" i="37"/>
  <c r="AY117" i="25"/>
  <c r="AY49" i="25" s="1"/>
  <c r="AY35" i="25" s="1"/>
  <c r="FR117" i="37"/>
  <c r="FR122" i="37" s="1"/>
  <c r="FR53" i="37" s="1"/>
  <c r="FR209" i="37" s="1"/>
  <c r="FS117" i="37"/>
  <c r="FS122" i="37" s="1"/>
  <c r="FS53" i="37" s="1"/>
  <c r="FS209" i="37" s="1"/>
  <c r="FT117" i="37"/>
  <c r="FT122" i="37" s="1"/>
  <c r="FT53" i="37" s="1"/>
  <c r="FT209" i="37" s="1"/>
  <c r="FU117" i="37"/>
  <c r="FU122" i="37" s="1"/>
  <c r="FU53" i="37" s="1"/>
  <c r="FU209" i="37" s="1"/>
  <c r="FN141" i="37"/>
  <c r="FN38" i="37"/>
  <c r="DO59" i="37"/>
  <c r="DO52" i="37"/>
  <c r="DP137" i="37"/>
  <c r="DQ28" i="37"/>
  <c r="DQ205" i="37" s="1"/>
  <c r="DQ206" i="37" s="1"/>
  <c r="DP49" i="37"/>
  <c r="DP50" i="37" s="1"/>
  <c r="DP31" i="37"/>
  <c r="DP32" i="37" s="1"/>
  <c r="FQ38" i="37"/>
  <c r="FQ141" i="37"/>
  <c r="FP38" i="37"/>
  <c r="FP141" i="37"/>
  <c r="FO38" i="37"/>
  <c r="FO141" i="37"/>
  <c r="AX61" i="37"/>
  <c r="AY55" i="37"/>
  <c r="AY57" i="37" s="1"/>
  <c r="AY58" i="37" s="1"/>
  <c r="AY60" i="37" s="1"/>
  <c r="AY13" i="37" s="1"/>
  <c r="AY268" i="37" s="1"/>
  <c r="AY209" i="37"/>
  <c r="AY211" i="37" s="1"/>
  <c r="AY213" i="37" s="1"/>
  <c r="AY214" i="37" s="1"/>
  <c r="AY216" i="37" s="1"/>
  <c r="AY15" i="37" s="1"/>
  <c r="AY270" i="37" s="1"/>
  <c r="AZ209" i="37"/>
  <c r="AZ211" i="37" s="1"/>
  <c r="AZ213" i="37" s="1"/>
  <c r="AZ214" i="37" s="1"/>
  <c r="AZ216" i="37" s="1"/>
  <c r="AZ15" i="37" s="1"/>
  <c r="AZ270" i="37" s="1"/>
  <c r="AZ141" i="37"/>
  <c r="AZ143" i="37" s="1"/>
  <c r="AZ145" i="37" s="1"/>
  <c r="AZ55" i="37"/>
  <c r="AZ57" i="37" s="1"/>
  <c r="AZ58" i="37" s="1"/>
  <c r="AZ60" i="37" s="1"/>
  <c r="AZ13" i="37" s="1"/>
  <c r="AZ268" i="37" s="1"/>
  <c r="AZ38" i="37"/>
  <c r="AZ61" i="37" s="1"/>
  <c r="AY141" i="37"/>
  <c r="AY143" i="37" s="1"/>
  <c r="AY145" i="37" s="1"/>
  <c r="AY38" i="37"/>
  <c r="AY61" i="37" s="1"/>
  <c r="BH59" i="37"/>
  <c r="BH52" i="37"/>
  <c r="BH215" i="37"/>
  <c r="BH208" i="37"/>
  <c r="BI210" i="37"/>
  <c r="BI142" i="37"/>
  <c r="BH37" i="37"/>
  <c r="BH12" i="37"/>
  <c r="BH267" i="37" s="1"/>
  <c r="BI205" i="37"/>
  <c r="BI206" i="37" s="1"/>
  <c r="BI137" i="37"/>
  <c r="BI49" i="37"/>
  <c r="BI50" i="37" s="1"/>
  <c r="H468" i="20"/>
  <c r="U21" i="2"/>
  <c r="H470" i="20"/>
  <c r="T18" i="2"/>
  <c r="J479" i="20"/>
  <c r="AD16" i="2"/>
  <c r="AG205" i="20"/>
  <c r="G253" i="20" s="1"/>
  <c r="AE58" i="4"/>
  <c r="AF55" i="4" s="1"/>
  <c r="AF36" i="2" s="1"/>
  <c r="AE63" i="4"/>
  <c r="AE32" i="4" s="1"/>
  <c r="AD77" i="36"/>
  <c r="AD32" i="4"/>
  <c r="V34" i="2"/>
  <c r="AE509" i="20"/>
  <c r="G536" i="20" s="1"/>
  <c r="EF63" i="16"/>
  <c r="EE63" i="16"/>
  <c r="AP12" i="17"/>
  <c r="AF509" i="20" s="1"/>
  <c r="H536" i="20" s="1"/>
  <c r="EQ7" i="15"/>
  <c r="EQ6" i="15"/>
  <c r="EQ5" i="15" s="1"/>
  <c r="EO7" i="15"/>
  <c r="EO6" i="15"/>
  <c r="EO5" i="15" s="1"/>
  <c r="AP29" i="24"/>
  <c r="AP30" i="24" s="1"/>
  <c r="AP26" i="24"/>
  <c r="AP23" i="24"/>
  <c r="EN6" i="15"/>
  <c r="EN5" i="15" s="1"/>
  <c r="AP34" i="24"/>
  <c r="EP6" i="15"/>
  <c r="EP5" i="15" s="1"/>
  <c r="EO49" i="23" s="1"/>
  <c r="EO58" i="23" s="1"/>
  <c r="AN29" i="15"/>
  <c r="EG63" i="16"/>
  <c r="EN7" i="15"/>
  <c r="AQ13" i="17"/>
  <c r="AQ21" i="24"/>
  <c r="EU6" i="15" s="1"/>
  <c r="EU5" i="15" s="1"/>
  <c r="ET49" i="23" s="1"/>
  <c r="EL56" i="16"/>
  <c r="EL18" i="16" s="1"/>
  <c r="EK56" i="16"/>
  <c r="EK18" i="16" s="1"/>
  <c r="EK66" i="23"/>
  <c r="EI56" i="16"/>
  <c r="EI18" i="16" s="1"/>
  <c r="AO21" i="15"/>
  <c r="D140" i="20"/>
  <c r="AS17" i="24"/>
  <c r="AR18" i="24"/>
  <c r="AR19" i="24"/>
  <c r="AR20" i="24" s="1"/>
  <c r="EJ56" i="16"/>
  <c r="EJ18" i="16" s="1"/>
  <c r="AO22" i="15"/>
  <c r="EL16" i="15"/>
  <c r="U64" i="4"/>
  <c r="U28" i="4" s="1"/>
  <c r="U88" i="4" s="1"/>
  <c r="U62" i="4"/>
  <c r="EH17" i="16"/>
  <c r="EG17" i="16"/>
  <c r="EA45" i="16"/>
  <c r="EA13" i="16" s="1"/>
  <c r="AM62" i="13"/>
  <c r="EG40" i="13"/>
  <c r="EF45" i="16" s="1"/>
  <c r="EF13" i="16" s="1"/>
  <c r="EV11" i="18" s="1"/>
  <c r="EH40" i="13"/>
  <c r="EG45" i="16" s="1"/>
  <c r="EG13" i="16" s="1"/>
  <c r="EW11" i="18" s="1"/>
  <c r="EI40" i="13"/>
  <c r="EH45" i="16" s="1"/>
  <c r="EH13" i="16" s="1"/>
  <c r="EX11" i="18" s="1"/>
  <c r="EF40" i="13"/>
  <c r="AS29" i="11"/>
  <c r="AY15" i="13"/>
  <c r="AT30" i="11"/>
  <c r="AO8" i="17"/>
  <c r="EM11" i="18"/>
  <c r="AO10" i="21" s="1"/>
  <c r="EF17" i="16"/>
  <c r="Z221" i="20"/>
  <c r="EE17" i="16"/>
  <c r="EU62" i="16"/>
  <c r="EU25" i="16" s="1"/>
  <c r="AU20" i="17" s="1"/>
  <c r="AL210" i="20" s="1"/>
  <c r="L258" i="20" s="1"/>
  <c r="AU24" i="21"/>
  <c r="AS32" i="15"/>
  <c r="AS34" i="15"/>
  <c r="EH8" i="18"/>
  <c r="DR9" i="16"/>
  <c r="DR26" i="16" s="1"/>
  <c r="DR34" i="16" s="1"/>
  <c r="EE8" i="18"/>
  <c r="AM5" i="17"/>
  <c r="DO9" i="16"/>
  <c r="DO26" i="16" s="1"/>
  <c r="DO34" i="16" s="1"/>
  <c r="DO36" i="16" s="1"/>
  <c r="DZ42" i="16"/>
  <c r="EA48" i="13"/>
  <c r="DS49" i="16"/>
  <c r="DS10" i="16"/>
  <c r="AK6" i="21"/>
  <c r="AB272" i="20" s="1"/>
  <c r="AB273" i="20"/>
  <c r="O302" i="20" s="1"/>
  <c r="ED7" i="18"/>
  <c r="DN13" i="23"/>
  <c r="DY42" i="16"/>
  <c r="DZ48" i="13"/>
  <c r="AA274" i="20"/>
  <c r="N303" i="20" s="1"/>
  <c r="N301" i="20"/>
  <c r="DU49" i="16"/>
  <c r="DU10" i="16"/>
  <c r="J526" i="20"/>
  <c r="Z510" i="20"/>
  <c r="X514" i="20"/>
  <c r="H532" i="20" s="1"/>
  <c r="H530" i="20"/>
  <c r="DT49" i="16"/>
  <c r="DT10" i="16"/>
  <c r="M229" i="20"/>
  <c r="Z219" i="20"/>
  <c r="EC7" i="18"/>
  <c r="DM13" i="23"/>
  <c r="AA202" i="20"/>
  <c r="N227" i="20"/>
  <c r="Z294" i="20"/>
  <c r="AL4" i="17"/>
  <c r="AC201" i="20"/>
  <c r="EG8" i="18"/>
  <c r="DQ9" i="16"/>
  <c r="DQ26" i="16" s="1"/>
  <c r="DQ34" i="16" s="1"/>
  <c r="DQ36" i="16" s="1"/>
  <c r="AG85" i="20"/>
  <c r="M91" i="20" s="1"/>
  <c r="M92" i="20" s="1"/>
  <c r="AX11" i="13"/>
  <c r="AA211" i="20"/>
  <c r="AJ33" i="17"/>
  <c r="Z216" i="20"/>
  <c r="AR109" i="16"/>
  <c r="AR111" i="16" s="1"/>
  <c r="AR128" i="16" s="1"/>
  <c r="EA7" i="18"/>
  <c r="AL7" i="21"/>
  <c r="DK13" i="23"/>
  <c r="AT23" i="11"/>
  <c r="AS22" i="11"/>
  <c r="AY7" i="13" s="1"/>
  <c r="AY6" i="13" s="1"/>
  <c r="EF8" i="18"/>
  <c r="DP9" i="16"/>
  <c r="DP26" i="16" s="1"/>
  <c r="DP34" i="16" s="1"/>
  <c r="DP36" i="16" s="1"/>
  <c r="O228" i="20"/>
  <c r="DV49" i="16"/>
  <c r="DV10" i="16"/>
  <c r="EE36" i="13"/>
  <c r="EE35" i="13" s="1"/>
  <c r="EB36" i="13"/>
  <c r="EB35" i="13" s="1"/>
  <c r="AW10" i="13"/>
  <c r="AW9" i="13" s="1"/>
  <c r="EC36" i="13"/>
  <c r="EC35" i="13" s="1"/>
  <c r="ED36" i="13"/>
  <c r="ED35" i="13" s="1"/>
  <c r="DX42" i="16"/>
  <c r="DY48" i="13"/>
  <c r="AA508" i="20"/>
  <c r="AK21" i="17"/>
  <c r="AB200" i="20"/>
  <c r="AZ125" i="25"/>
  <c r="AZ122" i="25" s="1"/>
  <c r="AZ126" i="25" s="1"/>
  <c r="Y222" i="20"/>
  <c r="L243" i="20"/>
  <c r="DW42" i="16"/>
  <c r="DX48" i="13"/>
  <c r="AL59" i="13"/>
  <c r="AL65" i="13" s="1"/>
  <c r="EB7" i="18"/>
  <c r="DL13" i="23"/>
  <c r="I528" i="20"/>
  <c r="Y512" i="20"/>
  <c r="Y513" i="20"/>
  <c r="I531" i="20" s="1"/>
  <c r="AZ127" i="25"/>
  <c r="AZ112" i="25" s="1"/>
  <c r="EV8" i="15"/>
  <c r="EW8" i="15"/>
  <c r="EX8" i="15"/>
  <c r="EY8" i="15"/>
  <c r="ES44" i="23"/>
  <c r="ET10" i="15"/>
  <c r="FE31" i="18"/>
  <c r="FE30" i="18" s="1"/>
  <c r="FE27" i="18" s="1"/>
  <c r="D416" i="20"/>
  <c r="AC359" i="20"/>
  <c r="D419" i="20" s="1"/>
  <c r="EO20" i="16"/>
  <c r="Y87" i="19"/>
  <c r="Y88" i="19" s="1"/>
  <c r="E141" i="20"/>
  <c r="AP25" i="15"/>
  <c r="AR93" i="19" s="1"/>
  <c r="AR94" i="19" s="1"/>
  <c r="AS19" i="17" s="1"/>
  <c r="AS18" i="21"/>
  <c r="AJ278" i="20" s="1"/>
  <c r="J332" i="20" s="1"/>
  <c r="EN20" i="16"/>
  <c r="ET58" i="16"/>
  <c r="ET46" i="23"/>
  <c r="FJ19" i="18" s="1"/>
  <c r="AO92" i="19"/>
  <c r="AO95" i="19" s="1"/>
  <c r="AN20" i="19"/>
  <c r="AN19" i="19" s="1"/>
  <c r="EL24" i="16"/>
  <c r="EL61" i="16" s="1"/>
  <c r="AI209" i="20"/>
  <c r="I257" i="20" s="1"/>
  <c r="AH511" i="20"/>
  <c r="J538" i="20" s="1"/>
  <c r="EI24" i="16"/>
  <c r="EI61" i="16" s="1"/>
  <c r="EJ24" i="16"/>
  <c r="EJ61" i="16" s="1"/>
  <c r="EK24" i="16"/>
  <c r="EK61" i="16" s="1"/>
  <c r="BH55" i="25"/>
  <c r="BH48" i="25"/>
  <c r="BI29" i="25"/>
  <c r="BI30" i="25" s="1"/>
  <c r="BJ26" i="25"/>
  <c r="BI45" i="25"/>
  <c r="BI46" i="25" s="1"/>
  <c r="BI140" i="25"/>
  <c r="BI207" i="25"/>
  <c r="BI208" i="25" s="1"/>
  <c r="AF220" i="20"/>
  <c r="FC31" i="18"/>
  <c r="EM20" i="16"/>
  <c r="FD31" i="18"/>
  <c r="FD30" i="18" s="1"/>
  <c r="FD27" i="18" s="1"/>
  <c r="ES58" i="16"/>
  <c r="ES46" i="23"/>
  <c r="FI19" i="18" s="1"/>
  <c r="AY7" i="27"/>
  <c r="AX63" i="27"/>
  <c r="AX62" i="27" s="1"/>
  <c r="AX11" i="27"/>
  <c r="AM17" i="19"/>
  <c r="AD356" i="20" s="1"/>
  <c r="AD358" i="20"/>
  <c r="E418" i="20" s="1"/>
  <c r="EY30" i="18"/>
  <c r="EY27" i="18" s="1"/>
  <c r="AR30" i="21"/>
  <c r="ET44" i="23"/>
  <c r="EU10" i="15"/>
  <c r="ER44" i="23"/>
  <c r="ES10" i="15"/>
  <c r="G254" i="20"/>
  <c r="ER58" i="16"/>
  <c r="ER46" i="23"/>
  <c r="FH19" i="18" s="1"/>
  <c r="FF31" i="18"/>
  <c r="FF30" i="18" s="1"/>
  <c r="FF27" i="18" s="1"/>
  <c r="AH285" i="20"/>
  <c r="H339" i="20" s="1"/>
  <c r="AQ29" i="21"/>
  <c r="EQ44" i="23"/>
  <c r="ER10" i="15"/>
  <c r="I28" i="23"/>
  <c r="EQ58" i="16"/>
  <c r="EQ46" i="23"/>
  <c r="FG19" i="18" s="1"/>
  <c r="AQ23" i="15"/>
  <c r="EV11" i="15"/>
  <c r="EW11" i="15"/>
  <c r="EX11" i="15"/>
  <c r="AW10" i="27"/>
  <c r="AW4" i="27" s="1"/>
  <c r="EY11" i="15"/>
  <c r="AW5" i="27"/>
  <c r="AV106" i="19"/>
  <c r="AV109" i="19" s="1"/>
  <c r="AU22" i="19"/>
  <c r="AG284" i="20"/>
  <c r="G338" i="20" s="1"/>
  <c r="AP26" i="21"/>
  <c r="AG283" i="20" s="1"/>
  <c r="G337" i="20" s="1"/>
  <c r="AI105" i="16"/>
  <c r="AJ100" i="16"/>
  <c r="AJ103" i="16" s="1"/>
  <c r="AI104" i="16"/>
  <c r="AV99" i="19"/>
  <c r="AV102" i="19" s="1"/>
  <c r="AU21" i="19"/>
  <c r="EW12" i="15"/>
  <c r="EV45" i="23" s="1"/>
  <c r="EX12" i="15"/>
  <c r="EW45" i="23" s="1"/>
  <c r="EY12" i="15"/>
  <c r="EX45" i="23" s="1"/>
  <c r="EV12" i="15"/>
  <c r="EU45" i="23" s="1"/>
  <c r="EP20" i="16"/>
  <c r="BH217" i="25"/>
  <c r="BH210" i="25"/>
  <c r="AH206" i="20"/>
  <c r="BH11" i="25"/>
  <c r="BH268" i="25" s="1"/>
  <c r="BH34" i="25"/>
  <c r="BI212" i="25"/>
  <c r="BJ50" i="25"/>
  <c r="BI145" i="25"/>
  <c r="BI123" i="25"/>
  <c r="AR15" i="17"/>
  <c r="DO267" i="37" l="1"/>
  <c r="DO277" i="37" s="1"/>
  <c r="DN279" i="37"/>
  <c r="L62" i="2"/>
  <c r="ET50" i="23"/>
  <c r="ES50" i="23"/>
  <c r="EQ50" i="23"/>
  <c r="ER50" i="23"/>
  <c r="ET58" i="23"/>
  <c r="EL58" i="23"/>
  <c r="EL66" i="23" s="1"/>
  <c r="AP151" i="19"/>
  <c r="EJ58" i="23"/>
  <c r="EJ66" i="23" s="1"/>
  <c r="EI58" i="23"/>
  <c r="EI66" i="23" s="1"/>
  <c r="AL281" i="20"/>
  <c r="L335" i="20" s="1"/>
  <c r="F143" i="20"/>
  <c r="AX57" i="25"/>
  <c r="AX219" i="25"/>
  <c r="EQ16" i="15"/>
  <c r="EP49" i="23"/>
  <c r="EN16" i="15"/>
  <c r="EM49" i="23"/>
  <c r="EO16" i="15"/>
  <c r="EN49" i="23"/>
  <c r="AY144" i="25"/>
  <c r="AY146" i="25" s="1"/>
  <c r="AY148" i="25" s="1"/>
  <c r="AY211" i="25"/>
  <c r="AY213" i="25" s="1"/>
  <c r="AY215" i="25" s="1"/>
  <c r="AY216" i="25" s="1"/>
  <c r="AY218" i="25" s="1"/>
  <c r="AY14" i="25" s="1"/>
  <c r="AY271" i="25" s="1"/>
  <c r="AY51" i="25"/>
  <c r="AY53" i="25" s="1"/>
  <c r="AY54" i="25" s="1"/>
  <c r="AY56" i="25" s="1"/>
  <c r="AY12" i="25" s="1"/>
  <c r="AY269" i="25" s="1"/>
  <c r="DP37" i="37"/>
  <c r="DP12" i="37"/>
  <c r="DQ215" i="37"/>
  <c r="DQ208" i="37"/>
  <c r="FU38" i="37"/>
  <c r="FU141" i="37"/>
  <c r="DP59" i="37"/>
  <c r="DP52" i="37"/>
  <c r="FT141" i="37"/>
  <c r="FT38" i="37"/>
  <c r="DQ137" i="37"/>
  <c r="DR28" i="37"/>
  <c r="DR205" i="37" s="1"/>
  <c r="DR206" i="37" s="1"/>
  <c r="DQ49" i="37"/>
  <c r="DQ50" i="37" s="1"/>
  <c r="DQ31" i="37"/>
  <c r="DQ32" i="37" s="1"/>
  <c r="FS38" i="37"/>
  <c r="FS141" i="37"/>
  <c r="FR38" i="37"/>
  <c r="FR141" i="37"/>
  <c r="AZ117" i="25"/>
  <c r="AZ49" i="25" s="1"/>
  <c r="AZ35" i="25" s="1"/>
  <c r="FV117" i="37"/>
  <c r="FV122" i="37" s="1"/>
  <c r="FV53" i="37" s="1"/>
  <c r="FV209" i="37" s="1"/>
  <c r="FW117" i="37"/>
  <c r="FW122" i="37" s="1"/>
  <c r="FW53" i="37" s="1"/>
  <c r="FW209" i="37" s="1"/>
  <c r="FX117" i="37"/>
  <c r="FX122" i="37" s="1"/>
  <c r="FX53" i="37" s="1"/>
  <c r="FX209" i="37" s="1"/>
  <c r="FY117" i="37"/>
  <c r="FY122" i="37" s="1"/>
  <c r="FY53" i="37" s="1"/>
  <c r="FY209" i="37" s="1"/>
  <c r="AY217" i="37"/>
  <c r="AY149" i="37"/>
  <c r="AZ149" i="37"/>
  <c r="AZ217" i="37"/>
  <c r="BA122" i="37"/>
  <c r="BA53" i="37" s="1"/>
  <c r="BI59" i="37"/>
  <c r="BI52" i="37"/>
  <c r="BJ210" i="37"/>
  <c r="BJ142" i="37"/>
  <c r="BJ205" i="37"/>
  <c r="BJ206" i="37" s="1"/>
  <c r="BJ137" i="37"/>
  <c r="BJ49" i="37"/>
  <c r="BJ50" i="37" s="1"/>
  <c r="BI215" i="37"/>
  <c r="BI208" i="37"/>
  <c r="BI12" i="37"/>
  <c r="BI267" i="37" s="1"/>
  <c r="BI37" i="37"/>
  <c r="U18" i="2"/>
  <c r="AH205" i="20"/>
  <c r="H253" i="20" s="1"/>
  <c r="AE32" i="2"/>
  <c r="AF63" i="4"/>
  <c r="AF32" i="4" s="1"/>
  <c r="AF58" i="4"/>
  <c r="AG55" i="4" s="1"/>
  <c r="AG36" i="2" s="1"/>
  <c r="AE77" i="36"/>
  <c r="AG204" i="20"/>
  <c r="G252" i="20" s="1"/>
  <c r="EI63" i="16"/>
  <c r="EP56" i="16"/>
  <c r="EP18" i="16" s="1"/>
  <c r="EN56" i="16"/>
  <c r="EN18" i="16" s="1"/>
  <c r="AP22" i="15"/>
  <c r="EL63" i="16"/>
  <c r="EK63" i="16"/>
  <c r="AQ12" i="17"/>
  <c r="AG509" i="20" s="1"/>
  <c r="I536" i="20" s="1"/>
  <c r="AP21" i="15"/>
  <c r="D141" i="20"/>
  <c r="EM56" i="16"/>
  <c r="EM18" i="16" s="1"/>
  <c r="EP16" i="15"/>
  <c r="EO56" i="16"/>
  <c r="EO18" i="16" s="1"/>
  <c r="EO66" i="23"/>
  <c r="EJ63" i="16"/>
  <c r="ES6" i="15"/>
  <c r="ES5" i="15" s="1"/>
  <c r="AQ34" i="24"/>
  <c r="ER7" i="15"/>
  <c r="AQ23" i="24"/>
  <c r="AQ26" i="24"/>
  <c r="ET7" i="15"/>
  <c r="ES7" i="15"/>
  <c r="EU7" i="15"/>
  <c r="AO29" i="15"/>
  <c r="AR13" i="17"/>
  <c r="ET6" i="15"/>
  <c r="ET5" i="15" s="1"/>
  <c r="AR21" i="24"/>
  <c r="EW6" i="15" s="1"/>
  <c r="EW5" i="15" s="1"/>
  <c r="EV49" i="23" s="1"/>
  <c r="EV58" i="23" s="1"/>
  <c r="ER6" i="15"/>
  <c r="ER5" i="15" s="1"/>
  <c r="AQ29" i="24"/>
  <c r="AQ30" i="24" s="1"/>
  <c r="EU16" i="15"/>
  <c r="ET56" i="16"/>
  <c r="ET18" i="16" s="1"/>
  <c r="AS19" i="24"/>
  <c r="AS20" i="24" s="1"/>
  <c r="AT17" i="24"/>
  <c r="AS18" i="24"/>
  <c r="V59" i="4"/>
  <c r="V50" i="2" s="1"/>
  <c r="V21" i="2" s="1"/>
  <c r="U78" i="36"/>
  <c r="I93" i="36" s="1"/>
  <c r="EK40" i="13"/>
  <c r="EJ45" i="16" s="1"/>
  <c r="EJ13" i="16" s="1"/>
  <c r="EZ11" i="18" s="1"/>
  <c r="EL40" i="13"/>
  <c r="EK45" i="16" s="1"/>
  <c r="EK13" i="16" s="1"/>
  <c r="FA11" i="18" s="1"/>
  <c r="EM40" i="13"/>
  <c r="EL45" i="16" s="1"/>
  <c r="EL13" i="16" s="1"/>
  <c r="FB11" i="18" s="1"/>
  <c r="EJ40" i="13"/>
  <c r="EE45" i="16"/>
  <c r="EE13" i="16" s="1"/>
  <c r="AN62" i="13"/>
  <c r="AU30" i="11"/>
  <c r="AZ15" i="13"/>
  <c r="AT29" i="11"/>
  <c r="EQ11" i="18"/>
  <c r="AP10" i="21" s="1"/>
  <c r="AP8" i="17"/>
  <c r="EJ17" i="16"/>
  <c r="EL17" i="16"/>
  <c r="AT28" i="15"/>
  <c r="AA294" i="20"/>
  <c r="AT32" i="15"/>
  <c r="AT34" i="15"/>
  <c r="AU28" i="15" s="1"/>
  <c r="AU27" i="15" s="1"/>
  <c r="FH15" i="15" s="1"/>
  <c r="FW25" i="18" s="1"/>
  <c r="EY62" i="16"/>
  <c r="EY25" i="16" s="1"/>
  <c r="AV20" i="17" s="1"/>
  <c r="AM210" i="20" s="1"/>
  <c r="M258" i="20" s="1"/>
  <c r="AV24" i="21"/>
  <c r="EI17" i="16"/>
  <c r="DW10" i="16"/>
  <c r="DW49" i="16"/>
  <c r="EA42" i="16"/>
  <c r="EB48" i="13"/>
  <c r="AM59" i="13"/>
  <c r="AM65" i="13" s="1"/>
  <c r="AH85" i="20"/>
  <c r="D94" i="20" s="1"/>
  <c r="D95" i="20" s="1"/>
  <c r="AY11" i="13"/>
  <c r="P228" i="20"/>
  <c r="ED42" i="16"/>
  <c r="EE48" i="13"/>
  <c r="AU23" i="11"/>
  <c r="AT22" i="11"/>
  <c r="AZ7" i="13" s="1"/>
  <c r="AZ6" i="13" s="1"/>
  <c r="Z222" i="20"/>
  <c r="M243" i="20"/>
  <c r="AB508" i="20"/>
  <c r="AL21" i="17"/>
  <c r="AC200" i="20"/>
  <c r="BA125" i="25"/>
  <c r="BA122" i="25" s="1"/>
  <c r="BA126" i="25" s="1"/>
  <c r="DT9" i="16"/>
  <c r="DT26" i="16" s="1"/>
  <c r="DT34" i="16" s="1"/>
  <c r="DT36" i="16" s="1"/>
  <c r="EJ8" i="18"/>
  <c r="O301" i="20"/>
  <c r="AB274" i="20"/>
  <c r="O303" i="20" s="1"/>
  <c r="I530" i="20"/>
  <c r="Y514" i="20"/>
  <c r="I532" i="20" s="1"/>
  <c r="EL8" i="18"/>
  <c r="DV9" i="16"/>
  <c r="DV26" i="16" s="1"/>
  <c r="DV34" i="16" s="1"/>
  <c r="AA216" i="20"/>
  <c r="N243" i="20" s="1"/>
  <c r="AS109" i="16"/>
  <c r="AS111" i="16" s="1"/>
  <c r="AS128" i="16" s="1"/>
  <c r="AY219" i="25"/>
  <c r="AY57" i="25"/>
  <c r="AY152" i="25"/>
  <c r="AA221" i="20"/>
  <c r="N238" i="20"/>
  <c r="EI8" i="18"/>
  <c r="DS9" i="16"/>
  <c r="DS26" i="16" s="1"/>
  <c r="DS34" i="16" s="1"/>
  <c r="DS36" i="16" s="1"/>
  <c r="AN5" i="17"/>
  <c r="BA127" i="25"/>
  <c r="BA112" i="25" s="1"/>
  <c r="DX10" i="16"/>
  <c r="DX49" i="16"/>
  <c r="EI36" i="13"/>
  <c r="EI35" i="13" s="1"/>
  <c r="EH36" i="13"/>
  <c r="EH35" i="13" s="1"/>
  <c r="AX10" i="13"/>
  <c r="AX9" i="13" s="1"/>
  <c r="EF36" i="13"/>
  <c r="EF35" i="13" s="1"/>
  <c r="EG36" i="13"/>
  <c r="EG35" i="13" s="1"/>
  <c r="N229" i="20"/>
  <c r="AA219" i="20"/>
  <c r="AD201" i="20"/>
  <c r="AM4" i="17"/>
  <c r="AB202" i="20"/>
  <c r="O227" i="20"/>
  <c r="EC42" i="16"/>
  <c r="ED48" i="13"/>
  <c r="Z513" i="20"/>
  <c r="J531" i="20" s="1"/>
  <c r="J528" i="20"/>
  <c r="Z512" i="20"/>
  <c r="DY10" i="16"/>
  <c r="DY49" i="16"/>
  <c r="AM7" i="21"/>
  <c r="EE7" i="18"/>
  <c r="DO13" i="23"/>
  <c r="AK33" i="17"/>
  <c r="AB211" i="20"/>
  <c r="O238" i="20" s="1"/>
  <c r="EB42" i="16"/>
  <c r="EC48" i="13"/>
  <c r="AL6" i="21"/>
  <c r="AC272" i="20" s="1"/>
  <c r="AC273" i="20"/>
  <c r="P302" i="20" s="1"/>
  <c r="DZ49" i="16"/>
  <c r="DZ10" i="16"/>
  <c r="K526" i="20"/>
  <c r="AA510" i="20"/>
  <c r="EF7" i="18"/>
  <c r="DP13" i="23"/>
  <c r="DQ13" i="23"/>
  <c r="EG7" i="18"/>
  <c r="DU9" i="16"/>
  <c r="DU26" i="16" s="1"/>
  <c r="DU34" i="16" s="1"/>
  <c r="DU36" i="16" s="1"/>
  <c r="EK8" i="18"/>
  <c r="EH7" i="18"/>
  <c r="DR13" i="23"/>
  <c r="AT18" i="21"/>
  <c r="AK278" i="20" s="1"/>
  <c r="K332" i="20" s="1"/>
  <c r="E416" i="20"/>
  <c r="AD359" i="20"/>
  <c r="E419" i="20" s="1"/>
  <c r="BI48" i="25"/>
  <c r="BI55" i="25"/>
  <c r="EX58" i="16"/>
  <c r="EX46" i="23"/>
  <c r="FN19" i="18" s="1"/>
  <c r="EW44" i="23"/>
  <c r="EX10" i="15"/>
  <c r="AH284" i="20"/>
  <c r="H338" i="20" s="1"/>
  <c r="AQ26" i="21"/>
  <c r="AH283" i="20" s="1"/>
  <c r="H337" i="20" s="1"/>
  <c r="EZ8" i="15"/>
  <c r="FA8" i="15"/>
  <c r="FB8" i="15"/>
  <c r="FC8" i="15"/>
  <c r="BK26" i="25"/>
  <c r="BJ207" i="25"/>
  <c r="BJ208" i="25" s="1"/>
  <c r="BJ45" i="25"/>
  <c r="BJ46" i="25" s="1"/>
  <c r="BJ29" i="25"/>
  <c r="BJ30" i="25" s="1"/>
  <c r="BJ140" i="25"/>
  <c r="ET20" i="16"/>
  <c r="EW58" i="16"/>
  <c r="EW46" i="23"/>
  <c r="FM19" i="18" s="1"/>
  <c r="EV44" i="23"/>
  <c r="EW10" i="15"/>
  <c r="AX5" i="27"/>
  <c r="FB11" i="15"/>
  <c r="FC11" i="15"/>
  <c r="AX10" i="27"/>
  <c r="AX4" i="27" s="1"/>
  <c r="EZ11" i="15"/>
  <c r="FA11" i="15"/>
  <c r="BI11" i="25"/>
  <c r="BI268" i="25" s="1"/>
  <c r="BI34" i="25"/>
  <c r="AN17" i="19"/>
  <c r="AE356" i="20" s="1"/>
  <c r="AE358" i="20"/>
  <c r="F418" i="20" s="1"/>
  <c r="EV58" i="16"/>
  <c r="EV46" i="23"/>
  <c r="FL19" i="18" s="1"/>
  <c r="AI206" i="20"/>
  <c r="EU44" i="23"/>
  <c r="EV10" i="15"/>
  <c r="EZ12" i="15"/>
  <c r="EY45" i="23" s="1"/>
  <c r="FA12" i="15"/>
  <c r="EZ45" i="23" s="1"/>
  <c r="FB12" i="15"/>
  <c r="FA45" i="23" s="1"/>
  <c r="FC12" i="15"/>
  <c r="FB45" i="23" s="1"/>
  <c r="ES20" i="16"/>
  <c r="AO20" i="19"/>
  <c r="AO19" i="19" s="1"/>
  <c r="AP92" i="19"/>
  <c r="AP95" i="19" s="1"/>
  <c r="EM24" i="16"/>
  <c r="EM61" i="16" s="1"/>
  <c r="EN24" i="16"/>
  <c r="EN61" i="16" s="1"/>
  <c r="AJ209" i="20"/>
  <c r="J257" i="20" s="1"/>
  <c r="AI511" i="20"/>
  <c r="K538" i="20" s="1"/>
  <c r="EO24" i="16"/>
  <c r="EO61" i="16" s="1"/>
  <c r="EP24" i="16"/>
  <c r="EP61" i="16" s="1"/>
  <c r="Y13" i="19"/>
  <c r="P354" i="20" s="1"/>
  <c r="Z85" i="19"/>
  <c r="FI31" i="18"/>
  <c r="FI30" i="18" s="1"/>
  <c r="FI27" i="18" s="1"/>
  <c r="EU58" i="16"/>
  <c r="AR23" i="15"/>
  <c r="EU46" i="23"/>
  <c r="FK19" i="18" s="1"/>
  <c r="H254" i="20"/>
  <c r="AV21" i="19"/>
  <c r="AW99" i="19"/>
  <c r="AW102" i="19" s="1"/>
  <c r="EQ20" i="16"/>
  <c r="AZ7" i="27"/>
  <c r="AY63" i="27"/>
  <c r="AY62" i="27" s="1"/>
  <c r="AY11" i="27"/>
  <c r="EK17" i="16"/>
  <c r="AS30" i="21"/>
  <c r="FC30" i="18"/>
  <c r="FC27" i="18" s="1"/>
  <c r="AJ105" i="16"/>
  <c r="AK100" i="16"/>
  <c r="AK103" i="16" s="1"/>
  <c r="AJ104" i="16"/>
  <c r="AI285" i="20"/>
  <c r="I339" i="20" s="1"/>
  <c r="AR29" i="21"/>
  <c r="Y43" i="18"/>
  <c r="I29" i="23"/>
  <c r="I30" i="23" s="1"/>
  <c r="J27" i="23" s="1"/>
  <c r="BJ123" i="25"/>
  <c r="BJ212" i="25"/>
  <c r="BK50" i="25"/>
  <c r="BJ145" i="25"/>
  <c r="AV22" i="19"/>
  <c r="AW106" i="19"/>
  <c r="AW109" i="19" s="1"/>
  <c r="E142" i="20"/>
  <c r="AQ25" i="15"/>
  <c r="AS93" i="19" s="1"/>
  <c r="AS94" i="19" s="1"/>
  <c r="AT19" i="17" s="1"/>
  <c r="ER20" i="16"/>
  <c r="FH31" i="18"/>
  <c r="FH30" i="18" s="1"/>
  <c r="FH27" i="18" s="1"/>
  <c r="FJ31" i="18"/>
  <c r="FJ30" i="18" s="1"/>
  <c r="FJ27" i="18" s="1"/>
  <c r="AS15" i="17"/>
  <c r="BI217" i="25"/>
  <c r="BI210" i="25"/>
  <c r="EY10" i="15"/>
  <c r="EX44" i="23"/>
  <c r="FG31" i="18"/>
  <c r="DP267" i="37" l="1"/>
  <c r="DP279" i="37" s="1"/>
  <c r="DO279" i="37"/>
  <c r="EX50" i="23"/>
  <c r="EV50" i="23"/>
  <c r="EW50" i="23"/>
  <c r="EU50" i="23"/>
  <c r="AQ151" i="19"/>
  <c r="EP58" i="23"/>
  <c r="EP66" i="23" s="1"/>
  <c r="EM58" i="23"/>
  <c r="EM66" i="23" s="1"/>
  <c r="EN58" i="23"/>
  <c r="EN66" i="23" s="1"/>
  <c r="AM281" i="20"/>
  <c r="M335" i="20" s="1"/>
  <c r="F144" i="20"/>
  <c r="EQ49" i="23"/>
  <c r="ET16" i="15"/>
  <c r="ES49" i="23"/>
  <c r="ES16" i="15"/>
  <c r="ER49" i="23"/>
  <c r="AZ51" i="25"/>
  <c r="AZ53" i="25" s="1"/>
  <c r="AZ54" i="25" s="1"/>
  <c r="AZ56" i="25" s="1"/>
  <c r="AZ12" i="25" s="1"/>
  <c r="AZ269" i="25" s="1"/>
  <c r="AZ144" i="25"/>
  <c r="AZ146" i="25" s="1"/>
  <c r="AZ148" i="25" s="1"/>
  <c r="AZ211" i="25"/>
  <c r="AZ213" i="25" s="1"/>
  <c r="AZ215" i="25" s="1"/>
  <c r="AZ216" i="25" s="1"/>
  <c r="AZ218" i="25" s="1"/>
  <c r="AZ14" i="25" s="1"/>
  <c r="AZ271" i="25" s="1"/>
  <c r="DQ37" i="37"/>
  <c r="DQ12" i="37"/>
  <c r="DR215" i="37"/>
  <c r="DR208" i="37"/>
  <c r="FV38" i="37"/>
  <c r="FV141" i="37"/>
  <c r="DR137" i="37"/>
  <c r="DS28" i="37"/>
  <c r="DS205" i="37" s="1"/>
  <c r="DS206" i="37" s="1"/>
  <c r="DR49" i="37"/>
  <c r="DR50" i="37" s="1"/>
  <c r="DR31" i="37"/>
  <c r="DR32" i="37" s="1"/>
  <c r="BA117" i="25"/>
  <c r="BA49" i="25" s="1"/>
  <c r="BA51" i="25" s="1"/>
  <c r="BA53" i="25" s="1"/>
  <c r="BA54" i="25" s="1"/>
  <c r="BA56" i="25" s="1"/>
  <c r="BA12" i="25" s="1"/>
  <c r="BA269" i="25" s="1"/>
  <c r="FZ117" i="37"/>
  <c r="FZ122" i="37" s="1"/>
  <c r="FZ53" i="37" s="1"/>
  <c r="FZ209" i="37" s="1"/>
  <c r="GA117" i="37"/>
  <c r="GA122" i="37" s="1"/>
  <c r="GA53" i="37" s="1"/>
  <c r="GA209" i="37" s="1"/>
  <c r="GB117" i="37"/>
  <c r="GB122" i="37" s="1"/>
  <c r="GB53" i="37" s="1"/>
  <c r="GB209" i="37" s="1"/>
  <c r="GC117" i="37"/>
  <c r="GC122" i="37" s="1"/>
  <c r="GC53" i="37" s="1"/>
  <c r="GC209" i="37" s="1"/>
  <c r="FY38" i="37"/>
  <c r="FY141" i="37"/>
  <c r="FX38" i="37"/>
  <c r="FX141" i="37"/>
  <c r="FW38" i="37"/>
  <c r="FW141" i="37"/>
  <c r="DQ59" i="37"/>
  <c r="DQ52" i="37"/>
  <c r="BA209" i="37"/>
  <c r="BA211" i="37" s="1"/>
  <c r="BA213" i="37" s="1"/>
  <c r="BA214" i="37" s="1"/>
  <c r="BA216" i="37" s="1"/>
  <c r="BA15" i="37" s="1"/>
  <c r="BA270" i="37" s="1"/>
  <c r="BA141" i="37"/>
  <c r="BA143" i="37" s="1"/>
  <c r="BA145" i="37" s="1"/>
  <c r="BA38" i="37"/>
  <c r="BA217" i="37" s="1"/>
  <c r="BA55" i="37"/>
  <c r="BA57" i="37" s="1"/>
  <c r="BA58" i="37" s="1"/>
  <c r="BA60" i="37" s="1"/>
  <c r="BA13" i="37" s="1"/>
  <c r="BA268" i="37" s="1"/>
  <c r="BB122" i="37"/>
  <c r="BB53" i="37" s="1"/>
  <c r="BK210" i="37"/>
  <c r="BK142" i="37"/>
  <c r="BJ12" i="37"/>
  <c r="BJ37" i="37"/>
  <c r="BK205" i="37"/>
  <c r="BK206" i="37" s="1"/>
  <c r="BK137" i="37"/>
  <c r="BK49" i="37"/>
  <c r="BK50" i="37" s="1"/>
  <c r="BJ52" i="37"/>
  <c r="BJ59" i="37"/>
  <c r="BJ208" i="37"/>
  <c r="BJ215" i="37"/>
  <c r="V48" i="2"/>
  <c r="AE16" i="2"/>
  <c r="AI205" i="20"/>
  <c r="I253" i="20" s="1"/>
  <c r="AF32" i="2"/>
  <c r="AF16" i="2" s="1"/>
  <c r="AF77" i="36"/>
  <c r="AG58" i="4"/>
  <c r="AH55" i="4" s="1"/>
  <c r="AH36" i="2" s="1"/>
  <c r="AG63" i="4"/>
  <c r="AG32" i="4" s="1"/>
  <c r="W34" i="2"/>
  <c r="AG220" i="20"/>
  <c r="AH204" i="20"/>
  <c r="H252" i="20" s="1"/>
  <c r="EP63" i="16"/>
  <c r="EM63" i="16"/>
  <c r="EN63" i="16"/>
  <c r="AR12" i="17"/>
  <c r="AH509" i="20" s="1"/>
  <c r="J536" i="20" s="1"/>
  <c r="EO63" i="16"/>
  <c r="AP29" i="15"/>
  <c r="AS13" i="17"/>
  <c r="ER56" i="16"/>
  <c r="ER18" i="16" s="1"/>
  <c r="EY7" i="15"/>
  <c r="EV6" i="15"/>
  <c r="EV5" i="15" s="1"/>
  <c r="AR26" i="24"/>
  <c r="AR23" i="24"/>
  <c r="EW7" i="15"/>
  <c r="EX6" i="15"/>
  <c r="EX5" i="15" s="1"/>
  <c r="EV7" i="15"/>
  <c r="AR34" i="24"/>
  <c r="AR29" i="24"/>
  <c r="AR30" i="24" s="1"/>
  <c r="AQ21" i="15"/>
  <c r="EY6" i="15"/>
  <c r="EY5" i="15" s="1"/>
  <c r="EX7" i="15"/>
  <c r="AQ22" i="15"/>
  <c r="EW16" i="15"/>
  <c r="ES56" i="16"/>
  <c r="ES18" i="16" s="1"/>
  <c r="D142" i="20"/>
  <c r="ER16" i="15"/>
  <c r="EQ56" i="16"/>
  <c r="EQ18" i="16" s="1"/>
  <c r="AS21" i="24"/>
  <c r="AU17" i="24"/>
  <c r="AT18" i="24"/>
  <c r="AT19" i="24"/>
  <c r="AT20" i="24" s="1"/>
  <c r="ET66" i="23"/>
  <c r="EV56" i="16"/>
  <c r="EV18" i="16" s="1"/>
  <c r="EV66" i="23"/>
  <c r="V62" i="4"/>
  <c r="V64" i="4"/>
  <c r="V28" i="4" s="1"/>
  <c r="V88" i="4" s="1"/>
  <c r="V18" i="2"/>
  <c r="EN40" i="13"/>
  <c r="EO40" i="13"/>
  <c r="EN45" i="16" s="1"/>
  <c r="EN13" i="16" s="1"/>
  <c r="FD11" i="18" s="1"/>
  <c r="EP40" i="13"/>
  <c r="EO45" i="16" s="1"/>
  <c r="EO13" i="16" s="1"/>
  <c r="FE11" i="18" s="1"/>
  <c r="EQ40" i="13"/>
  <c r="EP45" i="16" s="1"/>
  <c r="EP13" i="16" s="1"/>
  <c r="FF11" i="18" s="1"/>
  <c r="AU29" i="11"/>
  <c r="BA15" i="13"/>
  <c r="AV30" i="11"/>
  <c r="EU11" i="18"/>
  <c r="AQ10" i="21" s="1"/>
  <c r="AQ8" i="17"/>
  <c r="AO62" i="13"/>
  <c r="EI45" i="16"/>
  <c r="EI13" i="16" s="1"/>
  <c r="EM17" i="16"/>
  <c r="EO17" i="16"/>
  <c r="AB221" i="20"/>
  <c r="AU34" i="15"/>
  <c r="AU32" i="15"/>
  <c r="AV32" i="15" s="1"/>
  <c r="AB294" i="20"/>
  <c r="AT27" i="15"/>
  <c r="DY9" i="16"/>
  <c r="DY26" i="16" s="1"/>
  <c r="DY34" i="16" s="1"/>
  <c r="DY36" i="16" s="1"/>
  <c r="EO8" i="18"/>
  <c r="EG42" i="16"/>
  <c r="EH48" i="13"/>
  <c r="AN7" i="21"/>
  <c r="EI7" i="18"/>
  <c r="DS13" i="23"/>
  <c r="EJ7" i="18"/>
  <c r="DT13" i="23"/>
  <c r="AI85" i="20"/>
  <c r="E94" i="20" s="1"/>
  <c r="E95" i="20" s="1"/>
  <c r="AZ11" i="13"/>
  <c r="EB49" i="16"/>
  <c r="EB10" i="16"/>
  <c r="J530" i="20"/>
  <c r="Z514" i="20"/>
  <c r="J532" i="20" s="1"/>
  <c r="AM21" i="17"/>
  <c r="BB125" i="25"/>
  <c r="BB122" i="25" s="1"/>
  <c r="BB126" i="25" s="1"/>
  <c r="BC127" i="25" s="1"/>
  <c r="BC112" i="25" s="1"/>
  <c r="AD200" i="20"/>
  <c r="AC508" i="20"/>
  <c r="EH42" i="16"/>
  <c r="EI48" i="13"/>
  <c r="AA222" i="20"/>
  <c r="AV23" i="11"/>
  <c r="AU22" i="11"/>
  <c r="BA7" i="13" s="1"/>
  <c r="BA6" i="13" s="1"/>
  <c r="AA513" i="20"/>
  <c r="K531" i="20" s="1"/>
  <c r="K528" i="20"/>
  <c r="AA512" i="20"/>
  <c r="D249" i="20"/>
  <c r="DV13" i="23"/>
  <c r="EL7" i="18"/>
  <c r="EA49" i="16"/>
  <c r="EA10" i="16"/>
  <c r="AU18" i="21"/>
  <c r="AL278" i="20" s="1"/>
  <c r="L332" i="20" s="1"/>
  <c r="AB216" i="20"/>
  <c r="AT109" i="16"/>
  <c r="AT111" i="16" s="1"/>
  <c r="AT128" i="16" s="1"/>
  <c r="EN8" i="18"/>
  <c r="DX9" i="16"/>
  <c r="DX26" i="16" s="1"/>
  <c r="DX34" i="16" s="1"/>
  <c r="DX36" i="16" s="1"/>
  <c r="AC202" i="20"/>
  <c r="P227" i="20"/>
  <c r="ED10" i="16"/>
  <c r="ED49" i="16"/>
  <c r="AZ57" i="25"/>
  <c r="AZ152" i="25"/>
  <c r="AZ219" i="25"/>
  <c r="DU13" i="23"/>
  <c r="EK7" i="18"/>
  <c r="EP8" i="18"/>
  <c r="DZ9" i="16"/>
  <c r="DZ26" i="16" s="1"/>
  <c r="DZ34" i="16" s="1"/>
  <c r="AL33" i="17"/>
  <c r="AC211" i="20"/>
  <c r="AC221" i="20" s="1"/>
  <c r="EC49" i="16"/>
  <c r="EC10" i="16"/>
  <c r="EG48" i="13"/>
  <c r="EF42" i="16"/>
  <c r="D535" i="20"/>
  <c r="AB510" i="20"/>
  <c r="AM6" i="21"/>
  <c r="AD272" i="20" s="1"/>
  <c r="AD273" i="20"/>
  <c r="D327" i="20" s="1"/>
  <c r="AN59" i="13"/>
  <c r="AN65" i="13" s="1"/>
  <c r="EE42" i="16"/>
  <c r="EF48" i="13"/>
  <c r="AE201" i="20"/>
  <c r="AN4" i="17"/>
  <c r="EM36" i="13"/>
  <c r="EM35" i="13" s="1"/>
  <c r="EJ36" i="13"/>
  <c r="EJ35" i="13" s="1"/>
  <c r="EL36" i="13"/>
  <c r="EL35" i="13" s="1"/>
  <c r="EK36" i="13"/>
  <c r="EK35" i="13" s="1"/>
  <c r="AY10" i="13"/>
  <c r="AY9" i="13" s="1"/>
  <c r="AC274" i="20"/>
  <c r="P303" i="20" s="1"/>
  <c r="P301" i="20"/>
  <c r="O229" i="20"/>
  <c r="AB219" i="20"/>
  <c r="EM8" i="18"/>
  <c r="DW9" i="16"/>
  <c r="DW26" i="16" s="1"/>
  <c r="DW34" i="16" s="1"/>
  <c r="DW36" i="16" s="1"/>
  <c r="AO5" i="17"/>
  <c r="BB127" i="25"/>
  <c r="BB112" i="25" s="1"/>
  <c r="I24" i="23"/>
  <c r="EN17" i="16"/>
  <c r="FD8" i="15"/>
  <c r="FE8" i="15"/>
  <c r="FF8" i="15"/>
  <c r="FG8" i="15"/>
  <c r="FG30" i="18"/>
  <c r="FG27" i="18" s="1"/>
  <c r="AT30" i="21"/>
  <c r="AX106" i="19"/>
  <c r="AW22" i="19"/>
  <c r="EP17" i="16"/>
  <c r="EU20" i="16"/>
  <c r="BJ34" i="25"/>
  <c r="BJ11" i="25"/>
  <c r="BJ268" i="25" s="1"/>
  <c r="ET24" i="16"/>
  <c r="ET61" i="16" s="1"/>
  <c r="ET63" i="16" s="1"/>
  <c r="AK209" i="20"/>
  <c r="K257" i="20" s="1"/>
  <c r="AJ511" i="20"/>
  <c r="D547" i="20" s="1"/>
  <c r="EQ24" i="16"/>
  <c r="EQ61" i="16" s="1"/>
  <c r="ER24" i="16"/>
  <c r="ER61" i="16" s="1"/>
  <c r="ES24" i="16"/>
  <c r="ES61" i="16" s="1"/>
  <c r="BK123" i="25"/>
  <c r="BK212" i="25"/>
  <c r="BL50" i="25"/>
  <c r="BK145" i="25"/>
  <c r="AK104" i="16"/>
  <c r="AK105" i="16"/>
  <c r="AL100" i="16"/>
  <c r="E143" i="20"/>
  <c r="AR25" i="15"/>
  <c r="AT93" i="19" s="1"/>
  <c r="AT94" i="19" s="1"/>
  <c r="AU19" i="17" s="1"/>
  <c r="BJ48" i="25"/>
  <c r="BJ55" i="25"/>
  <c r="FB58" i="16"/>
  <c r="FB46" i="23"/>
  <c r="FR19" i="18" s="1"/>
  <c r="FM31" i="18"/>
  <c r="FM30" i="18" s="1"/>
  <c r="FM27" i="18" s="1"/>
  <c r="FN31" i="18"/>
  <c r="FN30" i="18" s="1"/>
  <c r="FN27" i="18" s="1"/>
  <c r="Y37" i="18"/>
  <c r="I23" i="23"/>
  <c r="AR26" i="21"/>
  <c r="AI283" i="20" s="1"/>
  <c r="I337" i="20" s="1"/>
  <c r="AI284" i="20"/>
  <c r="I338" i="20" s="1"/>
  <c r="AJ285" i="20"/>
  <c r="J339" i="20" s="1"/>
  <c r="AS29" i="21"/>
  <c r="AX99" i="19"/>
  <c r="AW21" i="19"/>
  <c r="FK31" i="18"/>
  <c r="EZ44" i="23"/>
  <c r="FA10" i="15"/>
  <c r="BJ217" i="25"/>
  <c r="BJ210" i="25"/>
  <c r="FA58" i="16"/>
  <c r="FA46" i="23"/>
  <c r="FQ19" i="18" s="1"/>
  <c r="AY5" i="27"/>
  <c r="FD11" i="15"/>
  <c r="FE11" i="15"/>
  <c r="FF11" i="15"/>
  <c r="FG11" i="15"/>
  <c r="AY10" i="27"/>
  <c r="AY4" i="27" s="1"/>
  <c r="AT15" i="17"/>
  <c r="EY44" i="23"/>
  <c r="EZ10" i="15"/>
  <c r="FL31" i="18"/>
  <c r="FL30" i="18" s="1"/>
  <c r="FL27" i="18" s="1"/>
  <c r="EW20" i="16"/>
  <c r="BK29" i="25"/>
  <c r="BK30" i="25" s="1"/>
  <c r="BL26" i="25"/>
  <c r="BK140" i="25"/>
  <c r="BK207" i="25"/>
  <c r="BK208" i="25" s="1"/>
  <c r="BK45" i="25"/>
  <c r="BK46" i="25" s="1"/>
  <c r="EZ58" i="16"/>
  <c r="EZ46" i="23"/>
  <c r="FP19" i="18" s="1"/>
  <c r="FE12" i="15"/>
  <c r="FD45" i="23" s="1"/>
  <c r="FF12" i="15"/>
  <c r="FE45" i="23" s="1"/>
  <c r="FG12" i="15"/>
  <c r="FF45" i="23" s="1"/>
  <c r="FD12" i="15"/>
  <c r="FC45" i="23" s="1"/>
  <c r="AQ92" i="19"/>
  <c r="AQ95" i="19" s="1"/>
  <c r="AP20" i="19"/>
  <c r="AP19" i="19" s="1"/>
  <c r="I254" i="20"/>
  <c r="EY58" i="16"/>
  <c r="AS23" i="15"/>
  <c r="EY46" i="23"/>
  <c r="FO19" i="18" s="1"/>
  <c r="EX20" i="16"/>
  <c r="AJ206" i="20"/>
  <c r="BA7" i="27"/>
  <c r="AZ63" i="27"/>
  <c r="AZ62" i="27" s="1"/>
  <c r="AZ11" i="27"/>
  <c r="Z87" i="19"/>
  <c r="Z88" i="19" s="1"/>
  <c r="AO17" i="19"/>
  <c r="AF356" i="20" s="1"/>
  <c r="AF358" i="20"/>
  <c r="G418" i="20" s="1"/>
  <c r="FB44" i="23"/>
  <c r="FC10" i="15"/>
  <c r="EV20" i="16"/>
  <c r="FA44" i="23"/>
  <c r="FB10" i="15"/>
  <c r="F416" i="20"/>
  <c r="AE359" i="20"/>
  <c r="F419" i="20" s="1"/>
  <c r="DP277" i="37" l="1"/>
  <c r="FB50" i="23"/>
  <c r="EY50" i="23"/>
  <c r="FA50" i="23"/>
  <c r="EZ50" i="23"/>
  <c r="AR151" i="19"/>
  <c r="ES58" i="23"/>
  <c r="ES66" i="23" s="1"/>
  <c r="EQ58" i="23"/>
  <c r="EQ66" i="23" s="1"/>
  <c r="ER58" i="23"/>
  <c r="ER66" i="23" s="1"/>
  <c r="EX49" i="23"/>
  <c r="EV16" i="15"/>
  <c r="EU49" i="23"/>
  <c r="EX16" i="15"/>
  <c r="EW49" i="23"/>
  <c r="DQ267" i="37"/>
  <c r="DQ277" i="37" s="1"/>
  <c r="AK319" i="25"/>
  <c r="BA35" i="25"/>
  <c r="BA152" i="25" s="1"/>
  <c r="BA144" i="25"/>
  <c r="BA146" i="25" s="1"/>
  <c r="BA148" i="25" s="1"/>
  <c r="BA211" i="25"/>
  <c r="BA213" i="25" s="1"/>
  <c r="BA215" i="25" s="1"/>
  <c r="BA216" i="25" s="1"/>
  <c r="BA218" i="25" s="1"/>
  <c r="BA14" i="25" s="1"/>
  <c r="BA271" i="25" s="1"/>
  <c r="BJ276" i="25"/>
  <c r="DR37" i="37"/>
  <c r="DR12" i="37"/>
  <c r="BJ267" i="37"/>
  <c r="DS215" i="37"/>
  <c r="DS208" i="37"/>
  <c r="DR59" i="37"/>
  <c r="DR52" i="37"/>
  <c r="FZ38" i="37"/>
  <c r="FZ141" i="37"/>
  <c r="BC117" i="25"/>
  <c r="BC49" i="25" s="1"/>
  <c r="BC144" i="25" s="1"/>
  <c r="BC146" i="25" s="1"/>
  <c r="BC148" i="25" s="1"/>
  <c r="GH117" i="37"/>
  <c r="GH122" i="37" s="1"/>
  <c r="GH53" i="37" s="1"/>
  <c r="GH209" i="37" s="1"/>
  <c r="GI117" i="37"/>
  <c r="GI122" i="37" s="1"/>
  <c r="GI53" i="37" s="1"/>
  <c r="GI209" i="37" s="1"/>
  <c r="GJ117" i="37"/>
  <c r="GJ122" i="37" s="1"/>
  <c r="GJ53" i="37" s="1"/>
  <c r="GJ209" i="37" s="1"/>
  <c r="GK117" i="37"/>
  <c r="GK122" i="37" s="1"/>
  <c r="GK53" i="37" s="1"/>
  <c r="GK209" i="37" s="1"/>
  <c r="DS137" i="37"/>
  <c r="DT28" i="37"/>
  <c r="DT205" i="37" s="1"/>
  <c r="DT206" i="37" s="1"/>
  <c r="DS49" i="37"/>
  <c r="DS50" i="37" s="1"/>
  <c r="DS31" i="37"/>
  <c r="DS32" i="37" s="1"/>
  <c r="BB117" i="25"/>
  <c r="BB49" i="25" s="1"/>
  <c r="BB35" i="25" s="1"/>
  <c r="GD117" i="37"/>
  <c r="GD122" i="37" s="1"/>
  <c r="GD53" i="37" s="1"/>
  <c r="GD209" i="37" s="1"/>
  <c r="GE117" i="37"/>
  <c r="GE122" i="37" s="1"/>
  <c r="GE53" i="37" s="1"/>
  <c r="GE209" i="37" s="1"/>
  <c r="GF117" i="37"/>
  <c r="GF122" i="37" s="1"/>
  <c r="GF53" i="37" s="1"/>
  <c r="GF209" i="37" s="1"/>
  <c r="GG117" i="37"/>
  <c r="GG122" i="37" s="1"/>
  <c r="GG53" i="37" s="1"/>
  <c r="GG209" i="37" s="1"/>
  <c r="GC38" i="37"/>
  <c r="GC141" i="37"/>
  <c r="GB38" i="37"/>
  <c r="GB141" i="37"/>
  <c r="GA38" i="37"/>
  <c r="GA141" i="37"/>
  <c r="BA61" i="37"/>
  <c r="BA149" i="37"/>
  <c r="BB38" i="37"/>
  <c r="BB217" i="37" s="1"/>
  <c r="BB55" i="37"/>
  <c r="BB57" i="37" s="1"/>
  <c r="BB58" i="37" s="1"/>
  <c r="BB60" i="37" s="1"/>
  <c r="BB13" i="37" s="1"/>
  <c r="BB268" i="37" s="1"/>
  <c r="BB209" i="37"/>
  <c r="BB211" i="37" s="1"/>
  <c r="BB213" i="37" s="1"/>
  <c r="BB214" i="37" s="1"/>
  <c r="BB216" i="37" s="1"/>
  <c r="BB15" i="37" s="1"/>
  <c r="BB270" i="37" s="1"/>
  <c r="BB141" i="37"/>
  <c r="BB143" i="37" s="1"/>
  <c r="BB145" i="37" s="1"/>
  <c r="BC122" i="37"/>
  <c r="BC53" i="37" s="1"/>
  <c r="BK12" i="37"/>
  <c r="BK37" i="37"/>
  <c r="BL205" i="37"/>
  <c r="BL206" i="37" s="1"/>
  <c r="BL137" i="37"/>
  <c r="BL49" i="37"/>
  <c r="BL50" i="37" s="1"/>
  <c r="BK59" i="37"/>
  <c r="BK52" i="37"/>
  <c r="BK215" i="37"/>
  <c r="BK208" i="37"/>
  <c r="BL210" i="37"/>
  <c r="BL142" i="37"/>
  <c r="AJ205" i="20"/>
  <c r="J253" i="20" s="1"/>
  <c r="AG32" i="2"/>
  <c r="AG16" i="2" s="1"/>
  <c r="AH58" i="4"/>
  <c r="AI55" i="4" s="1"/>
  <c r="AI36" i="2" s="1"/>
  <c r="AH63" i="4"/>
  <c r="AH32" i="4" s="1"/>
  <c r="AG77" i="36"/>
  <c r="L92" i="36" s="1"/>
  <c r="AH220" i="20"/>
  <c r="L59" i="2"/>
  <c r="AI204" i="20"/>
  <c r="I252" i="20" s="1"/>
  <c r="ES63" i="16"/>
  <c r="AS12" i="17"/>
  <c r="AI509" i="20" s="1"/>
  <c r="K536" i="20" s="1"/>
  <c r="ER63" i="16"/>
  <c r="AQ29" i="15"/>
  <c r="EW56" i="16"/>
  <c r="EW18" i="16" s="1"/>
  <c r="D143" i="20"/>
  <c r="EX56" i="16"/>
  <c r="EX18" i="16" s="1"/>
  <c r="AR21" i="15"/>
  <c r="EU56" i="16"/>
  <c r="EU18" i="16" s="1"/>
  <c r="AR22" i="15"/>
  <c r="EY16" i="15"/>
  <c r="AT13" i="17"/>
  <c r="EQ63" i="16"/>
  <c r="AT21" i="24"/>
  <c r="FG6" i="15" s="1"/>
  <c r="FG5" i="15" s="1"/>
  <c r="FF49" i="23" s="1"/>
  <c r="AU18" i="24"/>
  <c r="AV17" i="24"/>
  <c r="AU19" i="24"/>
  <c r="AU20" i="24" s="1"/>
  <c r="FA7" i="15"/>
  <c r="FC7" i="15"/>
  <c r="AS34" i="24"/>
  <c r="AS23" i="24"/>
  <c r="FB7" i="15"/>
  <c r="FB6" i="15"/>
  <c r="FB5" i="15" s="1"/>
  <c r="FA49" i="23" s="1"/>
  <c r="FA58" i="23" s="1"/>
  <c r="EZ7" i="15"/>
  <c r="AS26" i="24"/>
  <c r="AS29" i="24"/>
  <c r="AS30" i="24" s="1"/>
  <c r="EZ6" i="15"/>
  <c r="FA6" i="15"/>
  <c r="FA5" i="15" s="1"/>
  <c r="FC6" i="15"/>
  <c r="FC5" i="15" s="1"/>
  <c r="FB49" i="23" s="1"/>
  <c r="W59" i="4"/>
  <c r="W50" i="2" s="1"/>
  <c r="W21" i="2" s="1"/>
  <c r="V78" i="36"/>
  <c r="ER17" i="16"/>
  <c r="BB15" i="13"/>
  <c r="AV29" i="11"/>
  <c r="AW30" i="11"/>
  <c r="ET40" i="13"/>
  <c r="ES45" i="16" s="1"/>
  <c r="ES13" i="16" s="1"/>
  <c r="FI11" i="18" s="1"/>
  <c r="EU40" i="13"/>
  <c r="ET45" i="16" s="1"/>
  <c r="ET13" i="16" s="1"/>
  <c r="FJ11" i="18" s="1"/>
  <c r="ER40" i="13"/>
  <c r="ES40" i="13"/>
  <c r="ER45" i="16" s="1"/>
  <c r="ER13" i="16" s="1"/>
  <c r="FH11" i="18" s="1"/>
  <c r="AR8" i="17"/>
  <c r="EY11" i="18"/>
  <c r="AR10" i="21" s="1"/>
  <c r="ES17" i="16"/>
  <c r="EM45" i="16"/>
  <c r="EM13" i="16" s="1"/>
  <c r="AP62" i="13"/>
  <c r="EQ17" i="16"/>
  <c r="AC294" i="20"/>
  <c r="AV28" i="15"/>
  <c r="D34" i="15"/>
  <c r="FD15" i="15"/>
  <c r="FS25" i="18" s="1"/>
  <c r="AX24" i="21"/>
  <c r="FG62" i="16"/>
  <c r="FG25" i="16" s="1"/>
  <c r="AX20" i="17" s="1"/>
  <c r="AO210" i="20" s="1"/>
  <c r="O258" i="20" s="1"/>
  <c r="AC216" i="20"/>
  <c r="P243" i="20" s="1"/>
  <c r="AU109" i="16"/>
  <c r="AU111" i="16" s="1"/>
  <c r="AU128" i="16" s="1"/>
  <c r="P229" i="20"/>
  <c r="AC219" i="20"/>
  <c r="AJ85" i="20"/>
  <c r="F94" i="20" s="1"/>
  <c r="F95" i="20" s="1"/>
  <c r="BA11" i="13"/>
  <c r="AD211" i="20"/>
  <c r="D259" i="20" s="1"/>
  <c r="AM33" i="17"/>
  <c r="AF201" i="20"/>
  <c r="AO4" i="17"/>
  <c r="EE10" i="16"/>
  <c r="EE49" i="16"/>
  <c r="AV22" i="11"/>
  <c r="BB7" i="13" s="1"/>
  <c r="BB6" i="13" s="1"/>
  <c r="AW23" i="11"/>
  <c r="EK48" i="13"/>
  <c r="EJ42" i="16"/>
  <c r="EN7" i="18"/>
  <c r="DX13" i="23"/>
  <c r="AO7" i="21"/>
  <c r="EM7" i="18"/>
  <c r="DW13" i="23"/>
  <c r="EK42" i="16"/>
  <c r="EL48" i="13"/>
  <c r="EF10" i="16"/>
  <c r="EF49" i="16"/>
  <c r="EP7" i="18"/>
  <c r="DZ13" i="23"/>
  <c r="EB9" i="16"/>
  <c r="EB26" i="16" s="1"/>
  <c r="EB34" i="16" s="1"/>
  <c r="EB36" i="16" s="1"/>
  <c r="ER8" i="18"/>
  <c r="AN6" i="21"/>
  <c r="AE272" i="20" s="1"/>
  <c r="AE273" i="20"/>
  <c r="E327" i="20" s="1"/>
  <c r="EJ48" i="13"/>
  <c r="AO59" i="13"/>
  <c r="AO65" i="13" s="1"/>
  <c r="EI42" i="16"/>
  <c r="AD274" i="20"/>
  <c r="D328" i="20" s="1"/>
  <c r="D326" i="20"/>
  <c r="AB222" i="20"/>
  <c r="O243" i="20"/>
  <c r="EH10" i="16"/>
  <c r="EH49" i="16"/>
  <c r="EL42" i="16"/>
  <c r="EM48" i="13"/>
  <c r="D537" i="20"/>
  <c r="AB512" i="20"/>
  <c r="AB513" i="20"/>
  <c r="D540" i="20" s="1"/>
  <c r="EC9" i="16"/>
  <c r="EC26" i="16" s="1"/>
  <c r="EC34" i="16" s="1"/>
  <c r="EC36" i="16" s="1"/>
  <c r="ES8" i="18"/>
  <c r="ED9" i="16"/>
  <c r="ED26" i="16" s="1"/>
  <c r="ED34" i="16" s="1"/>
  <c r="ET8" i="18"/>
  <c r="K530" i="20"/>
  <c r="AA514" i="20"/>
  <c r="K532" i="20" s="1"/>
  <c r="AC510" i="20"/>
  <c r="E535" i="20"/>
  <c r="EN36" i="13"/>
  <c r="EN35" i="13" s="1"/>
  <c r="EP36" i="13"/>
  <c r="EP35" i="13" s="1"/>
  <c r="EO36" i="13"/>
  <c r="EO35" i="13" s="1"/>
  <c r="EQ36" i="13"/>
  <c r="EQ35" i="13" s="1"/>
  <c r="AZ10" i="13"/>
  <c r="AZ9" i="13" s="1"/>
  <c r="EG10" i="16"/>
  <c r="EG49" i="16"/>
  <c r="AE200" i="20"/>
  <c r="AD508" i="20"/>
  <c r="AN21" i="17"/>
  <c r="BC125" i="25"/>
  <c r="BC122" i="25" s="1"/>
  <c r="BC126" i="25" s="1"/>
  <c r="BD127" i="25" s="1"/>
  <c r="BD112" i="25" s="1"/>
  <c r="EQ8" i="18"/>
  <c r="AP5" i="17"/>
  <c r="EA9" i="16"/>
  <c r="EA26" i="16" s="1"/>
  <c r="EA34" i="16" s="1"/>
  <c r="EA36" i="16" s="1"/>
  <c r="D248" i="20"/>
  <c r="AD202" i="20"/>
  <c r="EO7" i="18"/>
  <c r="DY13" i="23"/>
  <c r="E249" i="20"/>
  <c r="P238" i="20"/>
  <c r="BA11" i="27"/>
  <c r="BA63" i="27"/>
  <c r="BA62" i="27" s="1"/>
  <c r="AV18" i="21"/>
  <c r="AM278" i="20" s="1"/>
  <c r="M332" i="20" s="1"/>
  <c r="EZ20" i="16"/>
  <c r="AR92" i="19"/>
  <c r="AR95" i="19" s="1"/>
  <c r="AQ20" i="19"/>
  <c r="AQ19" i="19" s="1"/>
  <c r="AZ10" i="27"/>
  <c r="AZ4" i="27" s="1"/>
  <c r="FJ11" i="15"/>
  <c r="FK11" i="15"/>
  <c r="AZ5" i="27"/>
  <c r="FH11" i="15"/>
  <c r="FI11" i="15"/>
  <c r="BL29" i="25"/>
  <c r="BL30" i="25" s="1"/>
  <c r="BM26" i="25"/>
  <c r="BL140" i="25"/>
  <c r="BL207" i="25"/>
  <c r="BL208" i="25" s="1"/>
  <c r="BL45" i="25"/>
  <c r="BL46" i="25" s="1"/>
  <c r="FH12" i="15"/>
  <c r="FG45" i="23" s="1"/>
  <c r="FI12" i="15"/>
  <c r="FH45" i="23" s="1"/>
  <c r="FJ12" i="15"/>
  <c r="FI45" i="23" s="1"/>
  <c r="FK12" i="15"/>
  <c r="FJ45" i="23" s="1"/>
  <c r="BK11" i="25"/>
  <c r="BK268" i="25" s="1"/>
  <c r="BK34" i="25"/>
  <c r="FR31" i="18"/>
  <c r="FR30" i="18" s="1"/>
  <c r="FR27" i="18" s="1"/>
  <c r="EY20" i="16"/>
  <c r="ET17" i="16"/>
  <c r="AJ284" i="20"/>
  <c r="J338" i="20" s="1"/>
  <c r="AS26" i="21"/>
  <c r="AJ283" i="20" s="1"/>
  <c r="J337" i="20" s="1"/>
  <c r="G416" i="20"/>
  <c r="AF359" i="20"/>
  <c r="G419" i="20" s="1"/>
  <c r="BK48" i="25"/>
  <c r="BK55" i="25"/>
  <c r="E144" i="20"/>
  <c r="AS25" i="15"/>
  <c r="AU93" i="19" s="1"/>
  <c r="AU94" i="19" s="1"/>
  <c r="AV19" i="17" s="1"/>
  <c r="I25" i="23"/>
  <c r="I36" i="23" s="1"/>
  <c r="I40" i="23" s="1"/>
  <c r="FQ31" i="18"/>
  <c r="FQ30" i="18" s="1"/>
  <c r="FQ27" i="18" s="1"/>
  <c r="Z13" i="19"/>
  <c r="Q354" i="20" s="1"/>
  <c r="D386" i="20" s="1"/>
  <c r="AA85" i="19"/>
  <c r="BK217" i="25"/>
  <c r="BK210" i="25"/>
  <c r="FG10" i="15"/>
  <c r="FF44" i="23"/>
  <c r="FA20" i="16"/>
  <c r="FK30" i="18"/>
  <c r="FK27" i="18" s="1"/>
  <c r="AU30" i="21"/>
  <c r="Y46" i="18"/>
  <c r="Y44" i="18" s="1"/>
  <c r="EU24" i="16"/>
  <c r="EU61" i="16" s="1"/>
  <c r="EV24" i="16"/>
  <c r="EV61" i="16" s="1"/>
  <c r="EV63" i="16" s="1"/>
  <c r="EW24" i="16"/>
  <c r="EW61" i="16" s="1"/>
  <c r="EX24" i="16"/>
  <c r="EX61" i="16" s="1"/>
  <c r="AL209" i="20"/>
  <c r="L257" i="20" s="1"/>
  <c r="AK511" i="20"/>
  <c r="E547" i="20" s="1"/>
  <c r="AT29" i="21"/>
  <c r="AK285" i="20"/>
  <c r="K339" i="20" s="1"/>
  <c r="FF58" i="16"/>
  <c r="FF46" i="23"/>
  <c r="FV19" i="18" s="1"/>
  <c r="AP17" i="19"/>
  <c r="AG356" i="20" s="1"/>
  <c r="AG358" i="20"/>
  <c r="H418" i="20" s="1"/>
  <c r="FO31" i="18"/>
  <c r="FE44" i="23"/>
  <c r="FF10" i="15"/>
  <c r="BL145" i="25"/>
  <c r="BL123" i="25"/>
  <c r="BL212" i="25"/>
  <c r="BM50" i="25"/>
  <c r="AU15" i="17"/>
  <c r="FE58" i="16"/>
  <c r="FE46" i="23"/>
  <c r="FU19" i="18" s="1"/>
  <c r="AK206" i="20"/>
  <c r="FH8" i="15"/>
  <c r="FI8" i="15"/>
  <c r="FJ8" i="15"/>
  <c r="FK8" i="15"/>
  <c r="FD44" i="23"/>
  <c r="FE10" i="15"/>
  <c r="FB20" i="16"/>
  <c r="FD58" i="16"/>
  <c r="FD46" i="23"/>
  <c r="FT19" i="18" s="1"/>
  <c r="J254" i="20"/>
  <c r="FC44" i="23"/>
  <c r="FD10" i="15"/>
  <c r="FP31" i="18"/>
  <c r="FP30" i="18" s="1"/>
  <c r="FP27" i="18" s="1"/>
  <c r="AX101" i="19"/>
  <c r="AX102" i="19" s="1"/>
  <c r="AX108" i="19"/>
  <c r="AX109" i="19" s="1"/>
  <c r="FC58" i="16"/>
  <c r="AT23" i="15"/>
  <c r="FC46" i="23"/>
  <c r="FS19" i="18" s="1"/>
  <c r="DR267" i="37" l="1"/>
  <c r="DR277" i="37" s="1"/>
  <c r="I43" i="23"/>
  <c r="FD50" i="23"/>
  <c r="FF50" i="23"/>
  <c r="FE50" i="23"/>
  <c r="FC50" i="23"/>
  <c r="FF58" i="23"/>
  <c r="FF66" i="23" s="1"/>
  <c r="FB58" i="23"/>
  <c r="FB66" i="23" s="1"/>
  <c r="BA57" i="25"/>
  <c r="AS151" i="19"/>
  <c r="EW58" i="23"/>
  <c r="EW66" i="23" s="1"/>
  <c r="EU58" i="23"/>
  <c r="EU66" i="23" s="1"/>
  <c r="EX58" i="23"/>
  <c r="EX66" i="23" s="1"/>
  <c r="AO281" i="20"/>
  <c r="O335" i="20" s="1"/>
  <c r="F146" i="20"/>
  <c r="BA219" i="25"/>
  <c r="DQ279" i="37"/>
  <c r="FA16" i="15"/>
  <c r="EZ49" i="23"/>
  <c r="BC211" i="25"/>
  <c r="BC213" i="25" s="1"/>
  <c r="BC215" i="25" s="1"/>
  <c r="BC216" i="25" s="1"/>
  <c r="BC218" i="25" s="1"/>
  <c r="BC14" i="25" s="1"/>
  <c r="BC271" i="25" s="1"/>
  <c r="BC35" i="25"/>
  <c r="BC57" i="25" s="1"/>
  <c r="BC51" i="25"/>
  <c r="BC53" i="25" s="1"/>
  <c r="BC54" i="25" s="1"/>
  <c r="BC56" i="25" s="1"/>
  <c r="BC12" i="25" s="1"/>
  <c r="BC269" i="25" s="1"/>
  <c r="BB211" i="25"/>
  <c r="BB213" i="25" s="1"/>
  <c r="BB215" i="25" s="1"/>
  <c r="BB216" i="25" s="1"/>
  <c r="BB218" i="25" s="1"/>
  <c r="BB14" i="25" s="1"/>
  <c r="BB271" i="25" s="1"/>
  <c r="BB51" i="25"/>
  <c r="BB53" i="25" s="1"/>
  <c r="BB54" i="25" s="1"/>
  <c r="BB56" i="25" s="1"/>
  <c r="BB12" i="25" s="1"/>
  <c r="BB269" i="25" s="1"/>
  <c r="BK276" i="25"/>
  <c r="BB144" i="25"/>
  <c r="BB146" i="25" s="1"/>
  <c r="BB148" i="25" s="1"/>
  <c r="DS37" i="37"/>
  <c r="DS12" i="37"/>
  <c r="DS267" i="37" s="1"/>
  <c r="BK267" i="37"/>
  <c r="DT215" i="37"/>
  <c r="DT208" i="37"/>
  <c r="GE38" i="37"/>
  <c r="GE141" i="37"/>
  <c r="GJ38" i="37"/>
  <c r="GJ141" i="37"/>
  <c r="GD38" i="37"/>
  <c r="GD141" i="37"/>
  <c r="GI38" i="37"/>
  <c r="GI141" i="37"/>
  <c r="BD117" i="25"/>
  <c r="BD49" i="25" s="1"/>
  <c r="BD35" i="25" s="1"/>
  <c r="GL117" i="37"/>
  <c r="GL122" i="37" s="1"/>
  <c r="GL53" i="37" s="1"/>
  <c r="GL209" i="37" s="1"/>
  <c r="GM117" i="37"/>
  <c r="GM122" i="37" s="1"/>
  <c r="GM53" i="37" s="1"/>
  <c r="GM209" i="37" s="1"/>
  <c r="GN117" i="37"/>
  <c r="GN122" i="37" s="1"/>
  <c r="GN53" i="37" s="1"/>
  <c r="GN209" i="37" s="1"/>
  <c r="GO117" i="37"/>
  <c r="GO122" i="37" s="1"/>
  <c r="GO53" i="37" s="1"/>
  <c r="GO209" i="37" s="1"/>
  <c r="GH38" i="37"/>
  <c r="GH141" i="37"/>
  <c r="DS59" i="37"/>
  <c r="DS52" i="37"/>
  <c r="DT137" i="37"/>
  <c r="DU28" i="37"/>
  <c r="DU205" i="37" s="1"/>
  <c r="DU206" i="37" s="1"/>
  <c r="DT49" i="37"/>
  <c r="DT50" i="37" s="1"/>
  <c r="DT31" i="37"/>
  <c r="DT32" i="37" s="1"/>
  <c r="GG141" i="37"/>
  <c r="GG38" i="37"/>
  <c r="GF141" i="37"/>
  <c r="GF38" i="37"/>
  <c r="GK141" i="37"/>
  <c r="GK38" i="37"/>
  <c r="BB61" i="37"/>
  <c r="BB149" i="37"/>
  <c r="BC209" i="37"/>
  <c r="BC211" i="37" s="1"/>
  <c r="BC213" i="37" s="1"/>
  <c r="BC214" i="37" s="1"/>
  <c r="BC216" i="37" s="1"/>
  <c r="BC15" i="37" s="1"/>
  <c r="BC270" i="37" s="1"/>
  <c r="BC141" i="37"/>
  <c r="BC143" i="37" s="1"/>
  <c r="BC145" i="37" s="1"/>
  <c r="BC38" i="37"/>
  <c r="BC217" i="37" s="1"/>
  <c r="BC55" i="37"/>
  <c r="BC57" i="37" s="1"/>
  <c r="BC58" i="37" s="1"/>
  <c r="BC60" i="37" s="1"/>
  <c r="BC13" i="37" s="1"/>
  <c r="BC268" i="37" s="1"/>
  <c r="BE122" i="37"/>
  <c r="BE53" i="37" s="1"/>
  <c r="BD122" i="37"/>
  <c r="BD53" i="37" s="1"/>
  <c r="BL215" i="37"/>
  <c r="BL208" i="37"/>
  <c r="BM210" i="37"/>
  <c r="BM142" i="37"/>
  <c r="BL12" i="37"/>
  <c r="BL37" i="37"/>
  <c r="BM205" i="37"/>
  <c r="BM206" i="37" s="1"/>
  <c r="BM137" i="37"/>
  <c r="BM49" i="37"/>
  <c r="BM50" i="37" s="1"/>
  <c r="BL59" i="37"/>
  <c r="BL52" i="37"/>
  <c r="W48" i="2"/>
  <c r="K479" i="20"/>
  <c r="AK205" i="20"/>
  <c r="K253" i="20" s="1"/>
  <c r="AH32" i="2"/>
  <c r="AI58" i="4"/>
  <c r="AJ55" i="4" s="1"/>
  <c r="AJ36" i="2" s="1"/>
  <c r="AI63" i="4"/>
  <c r="AI32" i="4" s="1"/>
  <c r="AH77" i="36"/>
  <c r="X34" i="2"/>
  <c r="AJ204" i="20"/>
  <c r="J252" i="20" s="1"/>
  <c r="AI220" i="20"/>
  <c r="EX63" i="16"/>
  <c r="AT12" i="17"/>
  <c r="AK204" i="20" s="1"/>
  <c r="K252" i="20" s="1"/>
  <c r="EW63" i="16"/>
  <c r="EU63" i="16"/>
  <c r="AU13" i="17"/>
  <c r="AR29" i="15"/>
  <c r="FG7" i="15"/>
  <c r="FE6" i="15"/>
  <c r="FE5" i="15" s="1"/>
  <c r="FF7" i="15"/>
  <c r="AU21" i="24"/>
  <c r="FK6" i="15" s="1"/>
  <c r="FK5" i="15" s="1"/>
  <c r="FJ49" i="23" s="1"/>
  <c r="FD6" i="15"/>
  <c r="FD5" i="15" s="1"/>
  <c r="AT34" i="24"/>
  <c r="AT29" i="24"/>
  <c r="AT30" i="24" s="1"/>
  <c r="FF6" i="15"/>
  <c r="FF5" i="15" s="1"/>
  <c r="FE7" i="15"/>
  <c r="FD7" i="15"/>
  <c r="AT23" i="24"/>
  <c r="FG16" i="15"/>
  <c r="AT26" i="24"/>
  <c r="EZ5" i="15"/>
  <c r="EY49" i="23" s="1"/>
  <c r="EY58" i="23" s="1"/>
  <c r="AS22" i="15"/>
  <c r="FF56" i="16"/>
  <c r="FF18" i="16" s="1"/>
  <c r="FA56" i="16"/>
  <c r="FA18" i="16" s="1"/>
  <c r="FA66" i="23"/>
  <c r="FB16" i="15"/>
  <c r="FB56" i="16"/>
  <c r="FB18" i="16" s="1"/>
  <c r="AV19" i="24"/>
  <c r="AV20" i="24" s="1"/>
  <c r="AV18" i="24"/>
  <c r="FC16" i="15"/>
  <c r="EZ56" i="16"/>
  <c r="EZ18" i="16" s="1"/>
  <c r="W18" i="2"/>
  <c r="W64" i="4"/>
  <c r="W28" i="4" s="1"/>
  <c r="W88" i="4" s="1"/>
  <c r="W62" i="4"/>
  <c r="AQ62" i="13"/>
  <c r="EQ45" i="16"/>
  <c r="EQ13" i="16" s="1"/>
  <c r="FC11" i="18"/>
  <c r="AS10" i="21" s="1"/>
  <c r="AS8" i="17"/>
  <c r="AX30" i="11"/>
  <c r="AW29" i="11"/>
  <c r="BC15" i="13"/>
  <c r="EV40" i="13"/>
  <c r="EW40" i="13"/>
  <c r="EV45" i="16" s="1"/>
  <c r="EV13" i="16" s="1"/>
  <c r="FL11" i="18" s="1"/>
  <c r="EX40" i="13"/>
  <c r="EW45" i="16" s="1"/>
  <c r="EW13" i="16" s="1"/>
  <c r="FM11" i="18" s="1"/>
  <c r="EY40" i="13"/>
  <c r="EX45" i="16" s="1"/>
  <c r="EX13" i="16" s="1"/>
  <c r="FN11" i="18" s="1"/>
  <c r="AD221" i="20"/>
  <c r="AC222" i="20"/>
  <c r="AV27" i="15"/>
  <c r="F28" i="15"/>
  <c r="EN42" i="16"/>
  <c r="EO48" i="13"/>
  <c r="AE211" i="20"/>
  <c r="AE221" i="20" s="1"/>
  <c r="AN33" i="17"/>
  <c r="EP48" i="13"/>
  <c r="EO42" i="16"/>
  <c r="EC13" i="23"/>
  <c r="ES7" i="18"/>
  <c r="EX8" i="18"/>
  <c r="EH9" i="16"/>
  <c r="EH26" i="16" s="1"/>
  <c r="EH34" i="16" s="1"/>
  <c r="EV8" i="18"/>
  <c r="EF9" i="16"/>
  <c r="EF26" i="16" s="1"/>
  <c r="EF34" i="16" s="1"/>
  <c r="EF36" i="16" s="1"/>
  <c r="ER36" i="13"/>
  <c r="ER35" i="13" s="1"/>
  <c r="ES36" i="13"/>
  <c r="ES35" i="13" s="1"/>
  <c r="EU36" i="13"/>
  <c r="EU35" i="13" s="1"/>
  <c r="BA10" i="13"/>
  <c r="BA9" i="13" s="1"/>
  <c r="ET36" i="13"/>
  <c r="ET35" i="13" s="1"/>
  <c r="AD510" i="20"/>
  <c r="F535" i="20"/>
  <c r="AP59" i="13"/>
  <c r="AP65" i="13" s="1"/>
  <c r="EM42" i="16"/>
  <c r="EN48" i="13"/>
  <c r="D250" i="20"/>
  <c r="AD219" i="20"/>
  <c r="E248" i="20"/>
  <c r="AE202" i="20"/>
  <c r="AE274" i="20"/>
  <c r="E328" i="20" s="1"/>
  <c r="E326" i="20"/>
  <c r="EK49" i="16"/>
  <c r="EK10" i="16"/>
  <c r="BB219" i="25"/>
  <c r="BB152" i="25"/>
  <c r="BB57" i="25"/>
  <c r="AC513" i="20"/>
  <c r="E540" i="20" s="1"/>
  <c r="E537" i="20"/>
  <c r="AC512" i="20"/>
  <c r="D539" i="20"/>
  <c r="AB514" i="20"/>
  <c r="D541" i="20" s="1"/>
  <c r="AD294" i="20"/>
  <c r="ER7" i="18"/>
  <c r="EB13" i="23"/>
  <c r="EJ49" i="16"/>
  <c r="EJ10" i="16"/>
  <c r="EE9" i="16"/>
  <c r="EE26" i="16" s="1"/>
  <c r="EE34" i="16" s="1"/>
  <c r="EE36" i="16" s="1"/>
  <c r="AQ5" i="17"/>
  <c r="EU8" i="18"/>
  <c r="EW8" i="18"/>
  <c r="EG9" i="16"/>
  <c r="EG26" i="16" s="1"/>
  <c r="EG34" i="16" s="1"/>
  <c r="EG36" i="16" s="1"/>
  <c r="AO21" i="17"/>
  <c r="AE508" i="20"/>
  <c r="AF200" i="20"/>
  <c r="BD125" i="25"/>
  <c r="BD122" i="25" s="1"/>
  <c r="BD126" i="25" s="1"/>
  <c r="BE127" i="25" s="1"/>
  <c r="BE112" i="25" s="1"/>
  <c r="AG201" i="20"/>
  <c r="AP4" i="17"/>
  <c r="AF273" i="20"/>
  <c r="F327" i="20" s="1"/>
  <c r="AO6" i="21"/>
  <c r="AF272" i="20" s="1"/>
  <c r="AX23" i="11"/>
  <c r="AW22" i="11"/>
  <c r="BC7" i="13" s="1"/>
  <c r="BC6" i="13" s="1"/>
  <c r="F249" i="20"/>
  <c r="EQ7" i="18"/>
  <c r="EA13" i="23"/>
  <c r="AP7" i="21"/>
  <c r="EP42" i="16"/>
  <c r="EQ48" i="13"/>
  <c r="ET7" i="18"/>
  <c r="ED13" i="23"/>
  <c r="EL10" i="16"/>
  <c r="EL49" i="16"/>
  <c r="EI10" i="16"/>
  <c r="EI49" i="16"/>
  <c r="BB11" i="13"/>
  <c r="AK85" i="20"/>
  <c r="G94" i="20" s="1"/>
  <c r="G95" i="20" s="1"/>
  <c r="AD216" i="20"/>
  <c r="AV109" i="16"/>
  <c r="AV111" i="16" s="1"/>
  <c r="AV128" i="16" s="1"/>
  <c r="AW18" i="21"/>
  <c r="AN278" i="20" s="1"/>
  <c r="N332" i="20" s="1"/>
  <c r="AX21" i="19"/>
  <c r="AY99" i="19"/>
  <c r="AX22" i="19"/>
  <c r="AY106" i="19"/>
  <c r="AL285" i="20"/>
  <c r="L339" i="20" s="1"/>
  <c r="AU29" i="21"/>
  <c r="FG44" i="23"/>
  <c r="FH10" i="15"/>
  <c r="AA87" i="19"/>
  <c r="AA88" i="19" s="1"/>
  <c r="FT31" i="18"/>
  <c r="FT30" i="18" s="1"/>
  <c r="FT27" i="18" s="1"/>
  <c r="AG359" i="20"/>
  <c r="H419" i="20" s="1"/>
  <c r="H416" i="20"/>
  <c r="EW17" i="16"/>
  <c r="AH358" i="20"/>
  <c r="I418" i="20" s="1"/>
  <c r="AQ17" i="19"/>
  <c r="AH356" i="20" s="1"/>
  <c r="E145" i="20"/>
  <c r="AT25" i="15"/>
  <c r="AV93" i="19" s="1"/>
  <c r="AV94" i="19" s="1"/>
  <c r="AW19" i="17" s="1"/>
  <c r="FD20" i="16"/>
  <c r="BL55" i="25"/>
  <c r="BL48" i="25"/>
  <c r="FJ44" i="23"/>
  <c r="FK10" i="15"/>
  <c r="AS92" i="19"/>
  <c r="AS95" i="19" s="1"/>
  <c r="AR20" i="19"/>
  <c r="AR19" i="19" s="1"/>
  <c r="FJ58" i="16"/>
  <c r="FJ46" i="23"/>
  <c r="FZ19" i="18" s="1"/>
  <c r="FS31" i="18"/>
  <c r="FV31" i="18"/>
  <c r="FV30" i="18" s="1"/>
  <c r="FV27" i="18" s="1"/>
  <c r="BL210" i="25"/>
  <c r="BL217" i="25"/>
  <c r="FI44" i="23"/>
  <c r="FJ10" i="15"/>
  <c r="FM12" i="15"/>
  <c r="FL45" i="23" s="1"/>
  <c r="FN12" i="15"/>
  <c r="FM45" i="23" s="1"/>
  <c r="FO12" i="15"/>
  <c r="FL12" i="15"/>
  <c r="FK45" i="23" s="1"/>
  <c r="I63" i="27"/>
  <c r="FC20" i="16"/>
  <c r="FU31" i="18"/>
  <c r="FU30" i="18" s="1"/>
  <c r="FU27" i="18" s="1"/>
  <c r="FH58" i="16"/>
  <c r="FH46" i="23"/>
  <c r="FX19" i="18" s="1"/>
  <c r="AV30" i="21"/>
  <c r="FO30" i="18"/>
  <c r="FO27" i="18" s="1"/>
  <c r="FF20" i="16"/>
  <c r="FL8" i="15"/>
  <c r="FM8" i="15"/>
  <c r="FN8" i="15"/>
  <c r="FO8" i="15"/>
  <c r="I62" i="27"/>
  <c r="H67" i="27" s="1"/>
  <c r="EX17" i="16"/>
  <c r="FE20" i="16"/>
  <c r="FG58" i="16"/>
  <c r="FG46" i="23"/>
  <c r="FW19" i="18" s="1"/>
  <c r="AU23" i="15"/>
  <c r="K254" i="20"/>
  <c r="EU17" i="16"/>
  <c r="AK284" i="20"/>
  <c r="K338" i="20" s="1"/>
  <c r="AT26" i="21"/>
  <c r="AK283" i="20" s="1"/>
  <c r="K337" i="20" s="1"/>
  <c r="Y39" i="18"/>
  <c r="FB24" i="16"/>
  <c r="FB61" i="16" s="1"/>
  <c r="EY24" i="16"/>
  <c r="EY61" i="16" s="1"/>
  <c r="AM209" i="20"/>
  <c r="M257" i="20" s="1"/>
  <c r="AL511" i="20"/>
  <c r="F547" i="20" s="1"/>
  <c r="EZ24" i="16"/>
  <c r="EZ61" i="16" s="1"/>
  <c r="FA24" i="16"/>
  <c r="FA61" i="16" s="1"/>
  <c r="AV15" i="17"/>
  <c r="BN26" i="25"/>
  <c r="BM140" i="25"/>
  <c r="BM207" i="25"/>
  <c r="BM208" i="25" s="1"/>
  <c r="BM29" i="25"/>
  <c r="BM30" i="25" s="1"/>
  <c r="BM45" i="25"/>
  <c r="BM46" i="25" s="1"/>
  <c r="EV17" i="16"/>
  <c r="BA10" i="27"/>
  <c r="BA4" i="27" s="1"/>
  <c r="FL11" i="15"/>
  <c r="BA5" i="27"/>
  <c r="FM11" i="15"/>
  <c r="FN11" i="15"/>
  <c r="FO11" i="15"/>
  <c r="I11" i="27"/>
  <c r="FI58" i="16"/>
  <c r="FI46" i="23"/>
  <c r="FY19" i="18" s="1"/>
  <c r="BN50" i="25"/>
  <c r="BM145" i="25"/>
  <c r="BM123" i="25"/>
  <c r="BM212" i="25"/>
  <c r="AL206" i="20"/>
  <c r="BL34" i="25"/>
  <c r="BL11" i="25"/>
  <c r="BL268" i="25" s="1"/>
  <c r="FH44" i="23"/>
  <c r="FI10" i="15"/>
  <c r="DR279" i="37" l="1"/>
  <c r="FI50" i="23"/>
  <c r="FG50" i="23"/>
  <c r="FJ50" i="23"/>
  <c r="FH50" i="23"/>
  <c r="FJ58" i="23"/>
  <c r="AT151" i="19"/>
  <c r="EZ58" i="23"/>
  <c r="EZ66" i="23" s="1"/>
  <c r="FE16" i="15"/>
  <c r="FD49" i="23"/>
  <c r="FF16" i="15"/>
  <c r="FE49" i="23"/>
  <c r="FC56" i="16"/>
  <c r="FC18" i="16" s="1"/>
  <c r="FC49" i="23"/>
  <c r="BC219" i="25"/>
  <c r="BC152" i="25"/>
  <c r="BD51" i="25"/>
  <c r="BD53" i="25" s="1"/>
  <c r="BD54" i="25" s="1"/>
  <c r="BD56" i="25" s="1"/>
  <c r="BD12" i="25" s="1"/>
  <c r="BD269" i="25" s="1"/>
  <c r="BD211" i="25"/>
  <c r="BD213" i="25" s="1"/>
  <c r="BD215" i="25" s="1"/>
  <c r="BD216" i="25" s="1"/>
  <c r="BD218" i="25" s="1"/>
  <c r="BD14" i="25" s="1"/>
  <c r="BD271" i="25" s="1"/>
  <c r="BD144" i="25"/>
  <c r="BD146" i="25" s="1"/>
  <c r="BD148" i="25" s="1"/>
  <c r="BL276" i="25"/>
  <c r="DS277" i="37"/>
  <c r="DS279" i="37"/>
  <c r="DT37" i="37"/>
  <c r="DT12" i="37"/>
  <c r="DT267" i="37" s="1"/>
  <c r="BL267" i="37"/>
  <c r="DU215" i="37"/>
  <c r="DU208" i="37"/>
  <c r="GO38" i="37"/>
  <c r="GO141" i="37"/>
  <c r="BE117" i="25"/>
  <c r="BE49" i="25" s="1"/>
  <c r="BE211" i="25" s="1"/>
  <c r="BE213" i="25" s="1"/>
  <c r="BE215" i="25" s="1"/>
  <c r="BE216" i="25" s="1"/>
  <c r="BE218" i="25" s="1"/>
  <c r="BE14" i="25" s="1"/>
  <c r="BE271" i="25" s="1"/>
  <c r="GP117" i="37"/>
  <c r="GP122" i="37" s="1"/>
  <c r="GP53" i="37" s="1"/>
  <c r="GP209" i="37" s="1"/>
  <c r="GQ117" i="37"/>
  <c r="GQ122" i="37" s="1"/>
  <c r="GQ53" i="37" s="1"/>
  <c r="GQ209" i="37" s="1"/>
  <c r="GR117" i="37"/>
  <c r="GR122" i="37" s="1"/>
  <c r="GR53" i="37" s="1"/>
  <c r="GR209" i="37" s="1"/>
  <c r="GS117" i="37"/>
  <c r="GS122" i="37" s="1"/>
  <c r="GS53" i="37" s="1"/>
  <c r="GS209" i="37" s="1"/>
  <c r="DT59" i="37"/>
  <c r="DT52" i="37"/>
  <c r="GN38" i="37"/>
  <c r="GN141" i="37"/>
  <c r="DU137" i="37"/>
  <c r="DV28" i="37"/>
  <c r="DV205" i="37" s="1"/>
  <c r="DV206" i="37" s="1"/>
  <c r="DU49" i="37"/>
  <c r="DU50" i="37" s="1"/>
  <c r="DU31" i="37"/>
  <c r="DU32" i="37" s="1"/>
  <c r="GM38" i="37"/>
  <c r="GM141" i="37"/>
  <c r="GL141" i="37"/>
  <c r="GL38" i="37"/>
  <c r="BC149" i="37"/>
  <c r="BC61" i="37"/>
  <c r="BD38" i="37"/>
  <c r="BD61" i="37" s="1"/>
  <c r="BD209" i="37"/>
  <c r="BD211" i="37" s="1"/>
  <c r="BD213" i="37" s="1"/>
  <c r="BD214" i="37" s="1"/>
  <c r="BD216" i="37" s="1"/>
  <c r="BD15" i="37" s="1"/>
  <c r="BD270" i="37" s="1"/>
  <c r="BD141" i="37"/>
  <c r="BD143" i="37" s="1"/>
  <c r="BD145" i="37" s="1"/>
  <c r="BD55" i="37"/>
  <c r="BD57" i="37" s="1"/>
  <c r="BD58" i="37" s="1"/>
  <c r="BD60" i="37" s="1"/>
  <c r="BD13" i="37" s="1"/>
  <c r="BD268" i="37" s="1"/>
  <c r="BE209" i="37"/>
  <c r="BE211" i="37" s="1"/>
  <c r="BE213" i="37" s="1"/>
  <c r="BE214" i="37" s="1"/>
  <c r="BE216" i="37" s="1"/>
  <c r="BE15" i="37" s="1"/>
  <c r="BE270" i="37" s="1"/>
  <c r="BE141" i="37"/>
  <c r="BE143" i="37" s="1"/>
  <c r="BE145" i="37" s="1"/>
  <c r="BE55" i="37"/>
  <c r="BE57" i="37" s="1"/>
  <c r="BE58" i="37" s="1"/>
  <c r="BE60" i="37" s="1"/>
  <c r="BE13" i="37" s="1"/>
  <c r="BE268" i="37" s="1"/>
  <c r="BE38" i="37"/>
  <c r="BE61" i="37" s="1"/>
  <c r="BO55" i="37"/>
  <c r="BO57" i="37" s="1"/>
  <c r="BO58" i="37" s="1"/>
  <c r="BO60" i="37" s="1"/>
  <c r="BO13" i="37" s="1"/>
  <c r="BO268" i="37" s="1"/>
  <c r="BO61" i="37"/>
  <c r="BM12" i="37"/>
  <c r="BM37" i="37"/>
  <c r="BN205" i="37"/>
  <c r="BN206" i="37" s="1"/>
  <c r="BN137" i="37"/>
  <c r="BN49" i="37"/>
  <c r="BN50" i="37" s="1"/>
  <c r="BM59" i="37"/>
  <c r="BM52" i="37"/>
  <c r="BM215" i="37"/>
  <c r="BM208" i="37"/>
  <c r="BN210" i="37"/>
  <c r="BN142" i="37"/>
  <c r="AH16" i="2"/>
  <c r="F483" i="20"/>
  <c r="K483" i="20"/>
  <c r="L483" i="20"/>
  <c r="AL205" i="20"/>
  <c r="L253" i="20" s="1"/>
  <c r="AI32" i="2"/>
  <c r="AI16" i="2" s="1"/>
  <c r="AI77" i="36"/>
  <c r="AJ57" i="4"/>
  <c r="AJ21" i="4" s="1"/>
  <c r="AJ63" i="4"/>
  <c r="AK32" i="2" s="1"/>
  <c r="F479" i="20" s="1"/>
  <c r="AJ220" i="20"/>
  <c r="AJ509" i="20"/>
  <c r="D545" i="20" s="1"/>
  <c r="FB63" i="16"/>
  <c r="AU12" i="17"/>
  <c r="AK509" i="20" s="1"/>
  <c r="E545" i="20" s="1"/>
  <c r="FD16" i="15"/>
  <c r="FA63" i="16"/>
  <c r="EZ63" i="16"/>
  <c r="FE56" i="16"/>
  <c r="FE18" i="16" s="1"/>
  <c r="FI6" i="15"/>
  <c r="FI5" i="15" s="1"/>
  <c r="AU29" i="24"/>
  <c r="AU30" i="24" s="1"/>
  <c r="FH7" i="15"/>
  <c r="FJ7" i="15"/>
  <c r="D145" i="20"/>
  <c r="FJ6" i="15"/>
  <c r="FJ5" i="15" s="1"/>
  <c r="FD56" i="16"/>
  <c r="FD18" i="16" s="1"/>
  <c r="AU34" i="24"/>
  <c r="AU23" i="24"/>
  <c r="AT21" i="15"/>
  <c r="FK7" i="15"/>
  <c r="FH6" i="15"/>
  <c r="FH5" i="15" s="1"/>
  <c r="FI7" i="15"/>
  <c r="FK16" i="15"/>
  <c r="AU26" i="24"/>
  <c r="AT22" i="15"/>
  <c r="AV21" i="24"/>
  <c r="AV29" i="24" s="1"/>
  <c r="FJ56" i="16"/>
  <c r="FJ18" i="16" s="1"/>
  <c r="EY56" i="16"/>
  <c r="EY63" i="16" s="1"/>
  <c r="AS21" i="15"/>
  <c r="AS29" i="15" s="1"/>
  <c r="D144" i="20"/>
  <c r="EZ16" i="15"/>
  <c r="G92" i="36"/>
  <c r="X59" i="4"/>
  <c r="X50" i="2" s="1"/>
  <c r="X21" i="2" s="1"/>
  <c r="W78" i="36"/>
  <c r="AR62" i="13"/>
  <c r="EU45" i="16"/>
  <c r="EU13" i="16" s="1"/>
  <c r="FC40" i="13"/>
  <c r="FB45" i="16" s="1"/>
  <c r="FB13" i="16" s="1"/>
  <c r="FR11" i="18" s="1"/>
  <c r="EZ40" i="13"/>
  <c r="FA40" i="13"/>
  <c r="EZ45" i="16" s="1"/>
  <c r="EZ13" i="16" s="1"/>
  <c r="FP11" i="18" s="1"/>
  <c r="FB40" i="13"/>
  <c r="FA45" i="16" s="1"/>
  <c r="FA13" i="16" s="1"/>
  <c r="FQ11" i="18" s="1"/>
  <c r="AX29" i="11"/>
  <c r="BD15" i="13"/>
  <c r="AY30" i="11"/>
  <c r="FG11" i="18"/>
  <c r="AT10" i="21" s="1"/>
  <c r="AT8" i="17"/>
  <c r="FL15" i="15"/>
  <c r="GA25" i="18" s="1"/>
  <c r="F27" i="15"/>
  <c r="FC62" i="16"/>
  <c r="AW24" i="21"/>
  <c r="F145" i="20" s="1"/>
  <c r="F248" i="20"/>
  <c r="AF202" i="20"/>
  <c r="EU7" i="18"/>
  <c r="AQ7" i="21"/>
  <c r="EE13" i="23"/>
  <c r="FA8" i="18"/>
  <c r="EK9" i="16"/>
  <c r="EK26" i="16" s="1"/>
  <c r="EK34" i="16" s="1"/>
  <c r="EK36" i="16" s="1"/>
  <c r="ES42" i="16"/>
  <c r="ET48" i="13"/>
  <c r="EX7" i="18"/>
  <c r="EH13" i="23"/>
  <c r="AX22" i="11"/>
  <c r="BD7" i="13" s="1"/>
  <c r="BD6" i="13" s="1"/>
  <c r="AY23" i="11"/>
  <c r="AO33" i="17"/>
  <c r="AF211" i="20"/>
  <c r="F259" i="20" s="1"/>
  <c r="E539" i="20"/>
  <c r="AC514" i="20"/>
  <c r="E541" i="20" s="1"/>
  <c r="AE294" i="20"/>
  <c r="ET42" i="16"/>
  <c r="EU48" i="13"/>
  <c r="AD222" i="20"/>
  <c r="D264" i="20"/>
  <c r="AL85" i="20"/>
  <c r="H94" i="20" s="1"/>
  <c r="H95" i="20" s="1"/>
  <c r="BC11" i="13"/>
  <c r="AH201" i="20"/>
  <c r="AQ4" i="17"/>
  <c r="EY36" i="13"/>
  <c r="EY35" i="13" s="1"/>
  <c r="EV36" i="13"/>
  <c r="EV35" i="13" s="1"/>
  <c r="EW36" i="13"/>
  <c r="EW35" i="13" s="1"/>
  <c r="EX36" i="13"/>
  <c r="EX35" i="13" s="1"/>
  <c r="BB10" i="13"/>
  <c r="BB9" i="13" s="1"/>
  <c r="EP49" i="16"/>
  <c r="EP10" i="16"/>
  <c r="F326" i="20"/>
  <c r="AF274" i="20"/>
  <c r="F328" i="20" s="1"/>
  <c r="EZ8" i="18"/>
  <c r="EJ9" i="16"/>
  <c r="EJ26" i="16" s="1"/>
  <c r="EJ34" i="16" s="1"/>
  <c r="EJ36" i="16" s="1"/>
  <c r="EM10" i="16"/>
  <c r="EM49" i="16"/>
  <c r="ER42" i="16"/>
  <c r="ES48" i="13"/>
  <c r="EO10" i="16"/>
  <c r="EO49" i="16"/>
  <c r="EN10" i="16"/>
  <c r="EN49" i="16"/>
  <c r="G535" i="20"/>
  <c r="AE510" i="20"/>
  <c r="AG273" i="20"/>
  <c r="G327" i="20" s="1"/>
  <c r="AP6" i="21"/>
  <c r="AG272" i="20" s="1"/>
  <c r="EW7" i="18"/>
  <c r="EG13" i="23"/>
  <c r="EQ42" i="16"/>
  <c r="ER48" i="13"/>
  <c r="AQ59" i="13"/>
  <c r="AQ65" i="13" s="1"/>
  <c r="EY8" i="18"/>
  <c r="EI9" i="16"/>
  <c r="EI26" i="16" s="1"/>
  <c r="EI34" i="16" s="1"/>
  <c r="EI36" i="16" s="1"/>
  <c r="AR5" i="17"/>
  <c r="AF508" i="20"/>
  <c r="AP21" i="17"/>
  <c r="BE125" i="25"/>
  <c r="BE122" i="25" s="1"/>
  <c r="BE126" i="25" s="1"/>
  <c r="AG200" i="20"/>
  <c r="AW109" i="16"/>
  <c r="AW111" i="16" s="1"/>
  <c r="AW128" i="16" s="1"/>
  <c r="AE216" i="20"/>
  <c r="E264" i="20" s="1"/>
  <c r="G249" i="20"/>
  <c r="E250" i="20"/>
  <c r="AE219" i="20"/>
  <c r="AD513" i="20"/>
  <c r="F540" i="20" s="1"/>
  <c r="F537" i="20"/>
  <c r="AD512" i="20"/>
  <c r="EV7" i="18"/>
  <c r="EF13" i="23"/>
  <c r="E259" i="20"/>
  <c r="BD219" i="25"/>
  <c r="BD57" i="25"/>
  <c r="BD152" i="25"/>
  <c r="FB8" i="18"/>
  <c r="EL9" i="16"/>
  <c r="EL26" i="16" s="1"/>
  <c r="EL34" i="16" s="1"/>
  <c r="FA17" i="16"/>
  <c r="AK220" i="20"/>
  <c r="FM58" i="16"/>
  <c r="FM46" i="23"/>
  <c r="GC19" i="18" s="1"/>
  <c r="AM285" i="20"/>
  <c r="M339" i="20" s="1"/>
  <c r="AV29" i="21"/>
  <c r="FN45" i="23"/>
  <c r="F45" i="23" s="1"/>
  <c r="F12" i="15"/>
  <c r="FC24" i="16"/>
  <c r="FC61" i="16" s="1"/>
  <c r="FD24" i="16"/>
  <c r="FD61" i="16" s="1"/>
  <c r="FE24" i="16"/>
  <c r="FE61" i="16" s="1"/>
  <c r="FF24" i="16"/>
  <c r="FF61" i="16" s="1"/>
  <c r="FF63" i="16" s="1"/>
  <c r="AN209" i="20"/>
  <c r="N257" i="20" s="1"/>
  <c r="AM511" i="20"/>
  <c r="G547" i="20" s="1"/>
  <c r="FL58" i="16"/>
  <c r="FL46" i="23"/>
  <c r="GB19" i="18" s="1"/>
  <c r="FK58" i="16"/>
  <c r="AV23" i="15"/>
  <c r="FK46" i="23"/>
  <c r="GA19" i="18" s="1"/>
  <c r="AW30" i="21"/>
  <c r="FS30" i="18"/>
  <c r="FS27" i="18" s="1"/>
  <c r="FJ20" i="16"/>
  <c r="AL284" i="20"/>
  <c r="L338" i="20" s="1"/>
  <c r="AU26" i="21"/>
  <c r="AL283" i="20" s="1"/>
  <c r="L337" i="20" s="1"/>
  <c r="AY108" i="19"/>
  <c r="AY109" i="19" s="1"/>
  <c r="AZ106" i="19" s="1"/>
  <c r="FK44" i="23"/>
  <c r="FL10" i="15"/>
  <c r="I52" i="23"/>
  <c r="I75" i="23" s="1"/>
  <c r="FI20" i="16"/>
  <c r="BM55" i="25"/>
  <c r="BM48" i="25"/>
  <c r="L254" i="20"/>
  <c r="I10" i="27"/>
  <c r="I4" i="27" s="1"/>
  <c r="I5" i="27"/>
  <c r="BM11" i="25"/>
  <c r="BM268" i="25" s="1"/>
  <c r="BM34" i="25"/>
  <c r="EZ17" i="16"/>
  <c r="AR17" i="19"/>
  <c r="AI356" i="20" s="1"/>
  <c r="AI358" i="20"/>
  <c r="J418" i="20" s="1"/>
  <c r="AB85" i="19"/>
  <c r="AA13" i="19"/>
  <c r="R354" i="20" s="1"/>
  <c r="E386" i="20" s="1"/>
  <c r="FX31" i="18"/>
  <c r="FX30" i="18" s="1"/>
  <c r="FX27" i="18" s="1"/>
  <c r="AM206" i="20"/>
  <c r="FO10" i="15"/>
  <c r="FN44" i="23"/>
  <c r="F11" i="15"/>
  <c r="BM210" i="25"/>
  <c r="BM217" i="25"/>
  <c r="AS20" i="19"/>
  <c r="AS19" i="19" s="1"/>
  <c r="AT92" i="19"/>
  <c r="AT95" i="19" s="1"/>
  <c r="FM44" i="23"/>
  <c r="FN10" i="15"/>
  <c r="AW15" i="17"/>
  <c r="AH359" i="20"/>
  <c r="I419" i="20" s="1"/>
  <c r="I416" i="20"/>
  <c r="E146" i="20"/>
  <c r="AU25" i="15"/>
  <c r="AW93" i="19" s="1"/>
  <c r="AW94" i="19" s="1"/>
  <c r="AX19" i="17" s="1"/>
  <c r="BN145" i="25"/>
  <c r="BN123" i="25"/>
  <c r="BN212" i="25"/>
  <c r="FL44" i="23"/>
  <c r="FM10" i="15"/>
  <c r="BN140" i="25"/>
  <c r="BN207" i="25"/>
  <c r="BN208" i="25" s="1"/>
  <c r="BN29" i="25"/>
  <c r="BN30" i="25" s="1"/>
  <c r="BN45" i="25"/>
  <c r="BN46" i="25" s="1"/>
  <c r="AX18" i="21"/>
  <c r="AO278" i="20" s="1"/>
  <c r="O332" i="20" s="1"/>
  <c r="FH20" i="16"/>
  <c r="FZ31" i="18"/>
  <c r="FZ30" i="18" s="1"/>
  <c r="FZ27" i="18" s="1"/>
  <c r="FW31" i="18"/>
  <c r="AY101" i="19"/>
  <c r="AY102" i="19" s="1"/>
  <c r="AZ99" i="19" s="1"/>
  <c r="FG20" i="16"/>
  <c r="FN58" i="16"/>
  <c r="FN46" i="23"/>
  <c r="F8" i="15"/>
  <c r="FY31" i="18"/>
  <c r="FY30" i="18" s="1"/>
  <c r="FY27" i="18" s="1"/>
  <c r="FB17" i="16"/>
  <c r="D21" i="4" l="1"/>
  <c r="FK50" i="23"/>
  <c r="FL50" i="23"/>
  <c r="FN50" i="23"/>
  <c r="FM50" i="23"/>
  <c r="FD58" i="23"/>
  <c r="FD66" i="23" s="1"/>
  <c r="FC58" i="23"/>
  <c r="FC66" i="23" s="1"/>
  <c r="FE58" i="23"/>
  <c r="FE66" i="23" s="1"/>
  <c r="FI16" i="15"/>
  <c r="FH49" i="23"/>
  <c r="FI56" i="16"/>
  <c r="FI18" i="16" s="1"/>
  <c r="FI49" i="23"/>
  <c r="FH16" i="15"/>
  <c r="FG49" i="23"/>
  <c r="BE51" i="25"/>
  <c r="BE53" i="25" s="1"/>
  <c r="BE54" i="25" s="1"/>
  <c r="BE56" i="25" s="1"/>
  <c r="BE12" i="25" s="1"/>
  <c r="BE269" i="25" s="1"/>
  <c r="BE35" i="25"/>
  <c r="BE152" i="25" s="1"/>
  <c r="BE144" i="25"/>
  <c r="BE146" i="25" s="1"/>
  <c r="BE148" i="25" s="1"/>
  <c r="BM276" i="25"/>
  <c r="DT277" i="37"/>
  <c r="DT279" i="37"/>
  <c r="DU37" i="37"/>
  <c r="DU12" i="37"/>
  <c r="BM267" i="37"/>
  <c r="DV208" i="37"/>
  <c r="DV215" i="37"/>
  <c r="GS38" i="37"/>
  <c r="GS141" i="37"/>
  <c r="DU59" i="37"/>
  <c r="DU52" i="37"/>
  <c r="GR38" i="37"/>
  <c r="GR141" i="37"/>
  <c r="BD149" i="37"/>
  <c r="DV137" i="37"/>
  <c r="DW28" i="37"/>
  <c r="DW205" i="37" s="1"/>
  <c r="DW206" i="37" s="1"/>
  <c r="DV49" i="37"/>
  <c r="DV50" i="37" s="1"/>
  <c r="DV31" i="37"/>
  <c r="DV32" i="37" s="1"/>
  <c r="GQ38" i="37"/>
  <c r="GQ141" i="37"/>
  <c r="BD217" i="37"/>
  <c r="GP38" i="37"/>
  <c r="GP141" i="37"/>
  <c r="BE149" i="37"/>
  <c r="BE217" i="37"/>
  <c r="BG122" i="37"/>
  <c r="BG53" i="37" s="1"/>
  <c r="BF122" i="37"/>
  <c r="BF53" i="37" s="1"/>
  <c r="BP55" i="37"/>
  <c r="BP57" i="37" s="1"/>
  <c r="BP58" i="37" s="1"/>
  <c r="BP60" i="37" s="1"/>
  <c r="BP13" i="37" s="1"/>
  <c r="BP268" i="37" s="1"/>
  <c r="BP61" i="37"/>
  <c r="BN12" i="37"/>
  <c r="BN37" i="37"/>
  <c r="BN59" i="37"/>
  <c r="BN52" i="37"/>
  <c r="BN215" i="37"/>
  <c r="BN208" i="37"/>
  <c r="X48" i="2"/>
  <c r="D483" i="20"/>
  <c r="AJ32" i="2"/>
  <c r="AJ16" i="2" s="1"/>
  <c r="AJ31" i="2"/>
  <c r="AK16" i="2"/>
  <c r="AJ58" i="4"/>
  <c r="AJ77" i="36" s="1"/>
  <c r="M92" i="36" s="1"/>
  <c r="AK31" i="2"/>
  <c r="D57" i="4"/>
  <c r="C57" i="4" s="1"/>
  <c r="AJ32" i="4"/>
  <c r="D32" i="4" s="1"/>
  <c r="D63" i="4"/>
  <c r="Y34" i="2"/>
  <c r="AL204" i="20"/>
  <c r="L252" i="20" s="1"/>
  <c r="FE63" i="16"/>
  <c r="FD63" i="16"/>
  <c r="AV30" i="24"/>
  <c r="AW13" i="17"/>
  <c r="AU22" i="15"/>
  <c r="FH56" i="16"/>
  <c r="FH18" i="16" s="1"/>
  <c r="AV23" i="24"/>
  <c r="F23" i="24" s="1"/>
  <c r="FJ16" i="15"/>
  <c r="FN6" i="15"/>
  <c r="FN5" i="15" s="1"/>
  <c r="AV26" i="24"/>
  <c r="F26" i="24" s="1"/>
  <c r="FL6" i="15"/>
  <c r="FL5" i="15" s="1"/>
  <c r="FO6" i="15"/>
  <c r="FO5" i="15" s="1"/>
  <c r="D146" i="20"/>
  <c r="FM6" i="15"/>
  <c r="FM5" i="15" s="1"/>
  <c r="AU21" i="15"/>
  <c r="FM7" i="15"/>
  <c r="FG56" i="16"/>
  <c r="FG18" i="16" s="1"/>
  <c r="F21" i="24"/>
  <c r="AV34" i="24"/>
  <c r="AT29" i="15"/>
  <c r="FL7" i="15"/>
  <c r="EY18" i="16"/>
  <c r="FJ66" i="23"/>
  <c r="X18" i="2"/>
  <c r="X62" i="4"/>
  <c r="X64" i="4"/>
  <c r="X28" i="4" s="1"/>
  <c r="X88" i="4" s="1"/>
  <c r="FF17" i="16"/>
  <c r="FE17" i="16"/>
  <c r="FD17" i="16"/>
  <c r="FC63" i="16"/>
  <c r="AF294" i="20"/>
  <c r="FF40" i="13"/>
  <c r="FE45" i="16" s="1"/>
  <c r="FE13" i="16" s="1"/>
  <c r="FU11" i="18" s="1"/>
  <c r="FD40" i="13"/>
  <c r="FE40" i="13"/>
  <c r="FD45" i="16" s="1"/>
  <c r="FD13" i="16" s="1"/>
  <c r="FT11" i="18" s="1"/>
  <c r="FG40" i="13"/>
  <c r="FF45" i="16" s="1"/>
  <c r="FF13" i="16" s="1"/>
  <c r="FV11" i="18" s="1"/>
  <c r="EY45" i="16"/>
  <c r="EY13" i="16" s="1"/>
  <c r="AS62" i="13"/>
  <c r="FK11" i="18"/>
  <c r="AU10" i="21" s="1"/>
  <c r="AU8" i="17"/>
  <c r="AY29" i="11"/>
  <c r="BE15" i="13"/>
  <c r="AZ30" i="11"/>
  <c r="AN281" i="20"/>
  <c r="FC25" i="16"/>
  <c r="F15" i="15"/>
  <c r="BF127" i="25"/>
  <c r="BF112" i="25" s="1"/>
  <c r="EQ49" i="16"/>
  <c r="EQ10" i="16"/>
  <c r="EX48" i="13"/>
  <c r="EW42" i="16"/>
  <c r="FA36" i="13"/>
  <c r="FA35" i="13" s="1"/>
  <c r="FC36" i="13"/>
  <c r="FC35" i="13" s="1"/>
  <c r="EZ36" i="13"/>
  <c r="EZ35" i="13" s="1"/>
  <c r="FB36" i="13"/>
  <c r="FB35" i="13" s="1"/>
  <c r="BC10" i="13"/>
  <c r="BC9" i="13" s="1"/>
  <c r="EV42" i="16"/>
  <c r="EW48" i="13"/>
  <c r="AE222" i="20"/>
  <c r="AF510" i="20"/>
  <c r="H535" i="20"/>
  <c r="EV48" i="13"/>
  <c r="EU42" i="16"/>
  <c r="AR59" i="13"/>
  <c r="AR65" i="13" s="1"/>
  <c r="AF216" i="20"/>
  <c r="AX109" i="16"/>
  <c r="AX111" i="16" s="1"/>
  <c r="AX128" i="16" s="1"/>
  <c r="AR4" i="17"/>
  <c r="AI201" i="20"/>
  <c r="AG274" i="20"/>
  <c r="G328" i="20" s="1"/>
  <c r="G326" i="20"/>
  <c r="EO9" i="16"/>
  <c r="EO26" i="16" s="1"/>
  <c r="EO34" i="16" s="1"/>
  <c r="EO36" i="16" s="1"/>
  <c r="FE8" i="18"/>
  <c r="EY48" i="13"/>
  <c r="EX42" i="16"/>
  <c r="AY22" i="11"/>
  <c r="BE7" i="13" s="1"/>
  <c r="BE6" i="13" s="1"/>
  <c r="AZ23" i="11"/>
  <c r="FA7" i="18"/>
  <c r="EK13" i="23"/>
  <c r="AG211" i="20"/>
  <c r="AP33" i="17"/>
  <c r="FD8" i="18"/>
  <c r="EN9" i="16"/>
  <c r="EN26" i="16" s="1"/>
  <c r="EN34" i="16" s="1"/>
  <c r="EN36" i="16" s="1"/>
  <c r="EZ7" i="18"/>
  <c r="EJ13" i="23"/>
  <c r="AF221" i="20"/>
  <c r="AM85" i="20"/>
  <c r="I94" i="20" s="1"/>
  <c r="I95" i="20" s="1"/>
  <c r="BD11" i="13"/>
  <c r="FB7" i="18"/>
  <c r="EL13" i="23"/>
  <c r="EY7" i="18"/>
  <c r="AR7" i="21"/>
  <c r="EI13" i="23"/>
  <c r="ER49" i="16"/>
  <c r="ER10" i="16"/>
  <c r="FF8" i="18"/>
  <c r="EP9" i="16"/>
  <c r="EP26" i="16" s="1"/>
  <c r="EP34" i="16" s="1"/>
  <c r="ET49" i="16"/>
  <c r="ET10" i="16"/>
  <c r="AH273" i="20"/>
  <c r="H327" i="20" s="1"/>
  <c r="AQ6" i="21"/>
  <c r="AH272" i="20" s="1"/>
  <c r="ES10" i="16"/>
  <c r="ES49" i="16"/>
  <c r="AD514" i="20"/>
  <c r="F541" i="20" s="1"/>
  <c r="F539" i="20"/>
  <c r="AE512" i="20"/>
  <c r="AE513" i="20"/>
  <c r="G540" i="20" s="1"/>
  <c r="G537" i="20"/>
  <c r="AG508" i="20"/>
  <c r="BF125" i="25"/>
  <c r="BF122" i="25" s="1"/>
  <c r="BF126" i="25" s="1"/>
  <c r="AH200" i="20"/>
  <c r="AQ21" i="17"/>
  <c r="AG202" i="20"/>
  <c r="G248" i="20"/>
  <c r="EM9" i="16"/>
  <c r="EM26" i="16" s="1"/>
  <c r="EM34" i="16" s="1"/>
  <c r="EM36" i="16" s="1"/>
  <c r="AS5" i="17"/>
  <c r="FC8" i="18"/>
  <c r="H249" i="20"/>
  <c r="F250" i="20"/>
  <c r="AF219" i="20"/>
  <c r="F10" i="15"/>
  <c r="AZ108" i="19"/>
  <c r="AZ109" i="19" s="1"/>
  <c r="BA106" i="19" s="1"/>
  <c r="AZ101" i="19"/>
  <c r="AZ102" i="19" s="1"/>
  <c r="BA99" i="19" s="1"/>
  <c r="I78" i="23"/>
  <c r="AN285" i="20"/>
  <c r="N339" i="20" s="1"/>
  <c r="AW29" i="21"/>
  <c r="GD19" i="18"/>
  <c r="F19" i="18" s="1"/>
  <c r="F46" i="23"/>
  <c r="FJ24" i="16"/>
  <c r="FJ61" i="16" s="1"/>
  <c r="FJ63" i="16" s="1"/>
  <c r="FG24" i="16"/>
  <c r="FG61" i="16" s="1"/>
  <c r="FH24" i="16"/>
  <c r="FH61" i="16" s="1"/>
  <c r="FI24" i="16"/>
  <c r="FI61" i="16" s="1"/>
  <c r="AO209" i="20"/>
  <c r="O257" i="20" s="1"/>
  <c r="AN511" i="20"/>
  <c r="H547" i="20" s="1"/>
  <c r="AN206" i="20"/>
  <c r="AB87" i="19"/>
  <c r="AB88" i="19" s="1"/>
  <c r="GC31" i="18"/>
  <c r="GC30" i="18" s="1"/>
  <c r="GC27" i="18" s="1"/>
  <c r="FL20" i="16"/>
  <c r="BN55" i="25"/>
  <c r="BN48" i="25"/>
  <c r="GB31" i="18"/>
  <c r="GB30" i="18" s="1"/>
  <c r="GB27" i="18" s="1"/>
  <c r="GD31" i="18"/>
  <c r="F44" i="23"/>
  <c r="AX15" i="17"/>
  <c r="BN34" i="25"/>
  <c r="BN11" i="25"/>
  <c r="BN268" i="25" s="1"/>
  <c r="AJ358" i="20"/>
  <c r="K418" i="20" s="1"/>
  <c r="AS17" i="19"/>
  <c r="AJ356" i="20" s="1"/>
  <c r="FN20" i="16"/>
  <c r="F58" i="16"/>
  <c r="FW30" i="18"/>
  <c r="FW27" i="18" s="1"/>
  <c r="AX30" i="21"/>
  <c r="BN210" i="25"/>
  <c r="BN217" i="25"/>
  <c r="AT20" i="19"/>
  <c r="AT19" i="19" s="1"/>
  <c r="AU92" i="19"/>
  <c r="AU95" i="19" s="1"/>
  <c r="M254" i="20"/>
  <c r="E147" i="20"/>
  <c r="AV25" i="15"/>
  <c r="F23" i="15"/>
  <c r="AM284" i="20"/>
  <c r="M338" i="20" s="1"/>
  <c r="AV26" i="21"/>
  <c r="AM283" i="20" s="1"/>
  <c r="M337" i="20" s="1"/>
  <c r="GA31" i="18"/>
  <c r="FK20" i="16"/>
  <c r="FM20" i="16"/>
  <c r="AI359" i="20"/>
  <c r="J419" i="20" s="1"/>
  <c r="J416" i="20"/>
  <c r="L494" i="20" l="1"/>
  <c r="F494" i="20"/>
  <c r="J494" i="20"/>
  <c r="K494" i="20"/>
  <c r="BE57" i="25"/>
  <c r="F50" i="23"/>
  <c r="BE219" i="25"/>
  <c r="AV151" i="19"/>
  <c r="FG58" i="23"/>
  <c r="FG66" i="23" s="1"/>
  <c r="FI58" i="23"/>
  <c r="FI66" i="23" s="1"/>
  <c r="FH58" i="23"/>
  <c r="FH66" i="23" s="1"/>
  <c r="FI63" i="16"/>
  <c r="FO16" i="15"/>
  <c r="FN49" i="23"/>
  <c r="FK49" i="23"/>
  <c r="FN16" i="15"/>
  <c r="FM49" i="23"/>
  <c r="FM16" i="15"/>
  <c r="FL49" i="23"/>
  <c r="FL58" i="23" s="1"/>
  <c r="DU267" i="37"/>
  <c r="DU277" i="37" s="1"/>
  <c r="AL319" i="25"/>
  <c r="BN276" i="25"/>
  <c r="DV37" i="37"/>
  <c r="DV12" i="37"/>
  <c r="DV267" i="37" s="1"/>
  <c r="BN267" i="37"/>
  <c r="DW215" i="37"/>
  <c r="DW208" i="37"/>
  <c r="BF117" i="25"/>
  <c r="BF49" i="25" s="1"/>
  <c r="BF211" i="25" s="1"/>
  <c r="BF213" i="25" s="1"/>
  <c r="BF215" i="25" s="1"/>
  <c r="BF216" i="25" s="1"/>
  <c r="BF218" i="25" s="1"/>
  <c r="BF14" i="25" s="1"/>
  <c r="BF271" i="25" s="1"/>
  <c r="GT117" i="37"/>
  <c r="GT122" i="37" s="1"/>
  <c r="GT53" i="37" s="1"/>
  <c r="GT209" i="37" s="1"/>
  <c r="GU117" i="37"/>
  <c r="GU122" i="37" s="1"/>
  <c r="GU53" i="37" s="1"/>
  <c r="GU209" i="37" s="1"/>
  <c r="GV117" i="37"/>
  <c r="GV122" i="37" s="1"/>
  <c r="GV53" i="37" s="1"/>
  <c r="GV209" i="37" s="1"/>
  <c r="GW117" i="37"/>
  <c r="GW122" i="37" s="1"/>
  <c r="GW53" i="37" s="1"/>
  <c r="GW209" i="37" s="1"/>
  <c r="DV59" i="37"/>
  <c r="DV52" i="37"/>
  <c r="DW137" i="37"/>
  <c r="DX28" i="37"/>
  <c r="DX205" i="37" s="1"/>
  <c r="DX206" i="37" s="1"/>
  <c r="DW49" i="37"/>
  <c r="DW50" i="37" s="1"/>
  <c r="DW31" i="37"/>
  <c r="DW32" i="37" s="1"/>
  <c r="BF209" i="37"/>
  <c r="BF211" i="37" s="1"/>
  <c r="BF213" i="37" s="1"/>
  <c r="BF214" i="37" s="1"/>
  <c r="BF216" i="37" s="1"/>
  <c r="BF15" i="37" s="1"/>
  <c r="BF270" i="37" s="1"/>
  <c r="BF141" i="37"/>
  <c r="BF143" i="37" s="1"/>
  <c r="BF145" i="37" s="1"/>
  <c r="BF55" i="37"/>
  <c r="BF57" i="37" s="1"/>
  <c r="BF58" i="37" s="1"/>
  <c r="BF60" i="37" s="1"/>
  <c r="BF13" i="37" s="1"/>
  <c r="BF268" i="37" s="1"/>
  <c r="BF38" i="37"/>
  <c r="BF217" i="37" s="1"/>
  <c r="BG55" i="37"/>
  <c r="BG57" i="37" s="1"/>
  <c r="BG58" i="37" s="1"/>
  <c r="BG60" i="37" s="1"/>
  <c r="BG13" i="37" s="1"/>
  <c r="BG268" i="37" s="1"/>
  <c r="BG38" i="37"/>
  <c r="BG149" i="37" s="1"/>
  <c r="BG209" i="37"/>
  <c r="BG211" i="37" s="1"/>
  <c r="BG213" i="37" s="1"/>
  <c r="BG214" i="37" s="1"/>
  <c r="BG216" i="37" s="1"/>
  <c r="BG15" i="37" s="1"/>
  <c r="BG270" i="37" s="1"/>
  <c r="BG141" i="37"/>
  <c r="BG143" i="37" s="1"/>
  <c r="BG145" i="37" s="1"/>
  <c r="BQ55" i="37"/>
  <c r="BQ57" i="37" s="1"/>
  <c r="BQ58" i="37" s="1"/>
  <c r="BQ60" i="37" s="1"/>
  <c r="BQ13" i="37" s="1"/>
  <c r="BQ268" i="37" s="1"/>
  <c r="BQ61" i="37"/>
  <c r="L479" i="20"/>
  <c r="D479" i="20" s="1"/>
  <c r="AJ15" i="2"/>
  <c r="L478" i="20"/>
  <c r="D478" i="20" s="1"/>
  <c r="AN205" i="20"/>
  <c r="N253" i="20" s="1"/>
  <c r="E16" i="2"/>
  <c r="E32" i="2"/>
  <c r="E31" i="2"/>
  <c r="AK15" i="2"/>
  <c r="AL220" i="20"/>
  <c r="FG63" i="16"/>
  <c r="FH63" i="16"/>
  <c r="AV22" i="15"/>
  <c r="F22" i="15" s="1"/>
  <c r="AU29" i="15"/>
  <c r="FN56" i="16"/>
  <c r="FN18" i="16" s="1"/>
  <c r="AX13" i="17"/>
  <c r="FL56" i="16"/>
  <c r="FL18" i="16" s="1"/>
  <c r="FK56" i="16"/>
  <c r="FK18" i="16" s="1"/>
  <c r="F6" i="15"/>
  <c r="FM56" i="16"/>
  <c r="FM18" i="16" s="1"/>
  <c r="AV21" i="15"/>
  <c r="F21" i="15" s="1"/>
  <c r="F5" i="15"/>
  <c r="FL16" i="15"/>
  <c r="D147" i="20"/>
  <c r="F7" i="15"/>
  <c r="D8" i="15"/>
  <c r="AV13" i="17"/>
  <c r="AM205" i="20" s="1"/>
  <c r="EY17" i="16"/>
  <c r="EY66" i="23"/>
  <c r="AU151" i="19"/>
  <c r="Y59" i="4"/>
  <c r="Y50" i="2" s="1"/>
  <c r="X78" i="36"/>
  <c r="FI17" i="16"/>
  <c r="AY18" i="21"/>
  <c r="F18" i="21" s="1"/>
  <c r="AV8" i="17"/>
  <c r="FO11" i="18"/>
  <c r="AV10" i="21" s="1"/>
  <c r="AZ29" i="11"/>
  <c r="BF15" i="13"/>
  <c r="BA30" i="11"/>
  <c r="BA29" i="11" s="1"/>
  <c r="FI40" i="13"/>
  <c r="FH45" i="16" s="1"/>
  <c r="FH13" i="16" s="1"/>
  <c r="FX11" i="18" s="1"/>
  <c r="FJ40" i="13"/>
  <c r="FI45" i="16" s="1"/>
  <c r="FI13" i="16" s="1"/>
  <c r="FY11" i="18" s="1"/>
  <c r="FK40" i="13"/>
  <c r="FJ45" i="16" s="1"/>
  <c r="FJ13" i="16" s="1"/>
  <c r="FZ11" i="18" s="1"/>
  <c r="FH40" i="13"/>
  <c r="FC45" i="16"/>
  <c r="AT62" i="13"/>
  <c r="FJ17" i="16"/>
  <c r="FH17" i="16"/>
  <c r="AY24" i="21"/>
  <c r="F147" i="20" s="1"/>
  <c r="FK62" i="16"/>
  <c r="F25" i="18"/>
  <c r="AG294" i="20"/>
  <c r="AW20" i="17"/>
  <c r="FC17" i="16"/>
  <c r="N335" i="20"/>
  <c r="AS4" i="17"/>
  <c r="AJ201" i="20"/>
  <c r="FC7" i="18"/>
  <c r="AS7" i="21"/>
  <c r="EM13" i="23"/>
  <c r="BG127" i="25"/>
  <c r="BG112" i="25" s="1"/>
  <c r="FI8" i="18"/>
  <c r="ES9" i="16"/>
  <c r="ES26" i="16" s="1"/>
  <c r="ES34" i="16" s="1"/>
  <c r="ES36" i="16" s="1"/>
  <c r="ER9" i="16"/>
  <c r="ER26" i="16" s="1"/>
  <c r="ER34" i="16" s="1"/>
  <c r="ER36" i="16" s="1"/>
  <c r="FH8" i="18"/>
  <c r="FD7" i="18"/>
  <c r="EN13" i="23"/>
  <c r="EZ42" i="16"/>
  <c r="FA48" i="13"/>
  <c r="BD10" i="13"/>
  <c r="BD9" i="13" s="1"/>
  <c r="FD36" i="13"/>
  <c r="FF36" i="13"/>
  <c r="FF35" i="13" s="1"/>
  <c r="FE36" i="13"/>
  <c r="FE35" i="13" s="1"/>
  <c r="FG36" i="13"/>
  <c r="FG35" i="13" s="1"/>
  <c r="G259" i="20"/>
  <c r="AG221" i="20"/>
  <c r="ET9" i="16"/>
  <c r="ET26" i="16" s="1"/>
  <c r="ET34" i="16" s="1"/>
  <c r="FJ8" i="18"/>
  <c r="AI273" i="20"/>
  <c r="I327" i="20" s="1"/>
  <c r="AR6" i="21"/>
  <c r="AI272" i="20" s="1"/>
  <c r="EU10" i="16"/>
  <c r="EU49" i="16"/>
  <c r="EV10" i="16"/>
  <c r="EV49" i="16"/>
  <c r="EQ9" i="16"/>
  <c r="EQ26" i="16" s="1"/>
  <c r="EQ34" i="16" s="1"/>
  <c r="EQ36" i="16" s="1"/>
  <c r="FG8" i="18"/>
  <c r="AT5" i="17"/>
  <c r="I535" i="20"/>
  <c r="AG510" i="20"/>
  <c r="G539" i="20"/>
  <c r="AE514" i="20"/>
  <c r="G541" i="20" s="1"/>
  <c r="AF222" i="20"/>
  <c r="F264" i="20"/>
  <c r="G250" i="20"/>
  <c r="AG219" i="20"/>
  <c r="AZ22" i="11"/>
  <c r="BF7" i="13" s="1"/>
  <c r="BF6" i="13" s="1"/>
  <c r="BA23" i="11"/>
  <c r="BA22" i="11" s="1"/>
  <c r="FA42" i="16"/>
  <c r="FB48" i="13"/>
  <c r="H326" i="20"/>
  <c r="AH274" i="20"/>
  <c r="H328" i="20" s="1"/>
  <c r="AY109" i="16"/>
  <c r="AY111" i="16" s="1"/>
  <c r="AY128" i="16" s="1"/>
  <c r="AG216" i="20"/>
  <c r="G264" i="20" s="1"/>
  <c r="FE7" i="18"/>
  <c r="EO13" i="23"/>
  <c r="EW10" i="16"/>
  <c r="EW49" i="16"/>
  <c r="AH211" i="20"/>
  <c r="AH221" i="20" s="1"/>
  <c r="AQ33" i="17"/>
  <c r="AN85" i="20"/>
  <c r="J94" i="20" s="1"/>
  <c r="J95" i="20" s="1"/>
  <c r="BE11" i="13"/>
  <c r="I249" i="20"/>
  <c r="AF512" i="20"/>
  <c r="AF513" i="20"/>
  <c r="H540" i="20" s="1"/>
  <c r="H537" i="20"/>
  <c r="AS59" i="13"/>
  <c r="AS65" i="13" s="1"/>
  <c r="EZ48" i="13"/>
  <c r="EY42" i="16"/>
  <c r="H248" i="20"/>
  <c r="AH202" i="20"/>
  <c r="FF7" i="18"/>
  <c r="EP13" i="23"/>
  <c r="EX10" i="16"/>
  <c r="EX49" i="16"/>
  <c r="AR21" i="17"/>
  <c r="AI200" i="20"/>
  <c r="AH508" i="20"/>
  <c r="BG125" i="25"/>
  <c r="BG122" i="25" s="1"/>
  <c r="BG126" i="25" s="1"/>
  <c r="BH127" i="25" s="1"/>
  <c r="BH112" i="25" s="1"/>
  <c r="FC48" i="13"/>
  <c r="FB42" i="16"/>
  <c r="FG17" i="16"/>
  <c r="BA108" i="19"/>
  <c r="BA109" i="19" s="1"/>
  <c r="BB106" i="19" s="1"/>
  <c r="AY30" i="21"/>
  <c r="GA30" i="18"/>
  <c r="GA27" i="18" s="1"/>
  <c r="F20" i="16"/>
  <c r="AT17" i="19"/>
  <c r="AK356" i="20" s="1"/>
  <c r="AK358" i="20"/>
  <c r="L418" i="20" s="1"/>
  <c r="AY15" i="17"/>
  <c r="AU20" i="19"/>
  <c r="AU19" i="19" s="1"/>
  <c r="AV92" i="19"/>
  <c r="AV95" i="19" s="1"/>
  <c r="GD30" i="18"/>
  <c r="F31" i="18"/>
  <c r="AO285" i="20"/>
  <c r="O339" i="20" s="1"/>
  <c r="AX29" i="21"/>
  <c r="I53" i="23"/>
  <c r="AX93" i="19"/>
  <c r="F25" i="15"/>
  <c r="AB13" i="19"/>
  <c r="S354" i="20" s="1"/>
  <c r="F386" i="20" s="1"/>
  <c r="AC85" i="19"/>
  <c r="AO206" i="20"/>
  <c r="N254" i="20"/>
  <c r="AN284" i="20"/>
  <c r="N338" i="20" s="1"/>
  <c r="AW26" i="21"/>
  <c r="AN283" i="20" s="1"/>
  <c r="N337" i="20" s="1"/>
  <c r="K416" i="20"/>
  <c r="AJ359" i="20"/>
  <c r="K419" i="20" s="1"/>
  <c r="BA101" i="19"/>
  <c r="BA102" i="19" s="1"/>
  <c r="BB99" i="19" s="1"/>
  <c r="L493" i="20" l="1"/>
  <c r="D493" i="20" s="1"/>
  <c r="B493" i="20" s="1"/>
  <c r="D494" i="20"/>
  <c r="B494" i="20" s="1"/>
  <c r="P67" i="2"/>
  <c r="AW151" i="19"/>
  <c r="FM58" i="23"/>
  <c r="FM66" i="23" s="1"/>
  <c r="FK58" i="23"/>
  <c r="FK66" i="23" s="1"/>
  <c r="FN58" i="23"/>
  <c r="FN66" i="23" s="1"/>
  <c r="E130" i="5"/>
  <c r="F16" i="15"/>
  <c r="DU279" i="37"/>
  <c r="BF51" i="25"/>
  <c r="BF53" i="25" s="1"/>
  <c r="BF54" i="25" s="1"/>
  <c r="BF56" i="25" s="1"/>
  <c r="BF12" i="25" s="1"/>
  <c r="BF269" i="25" s="1"/>
  <c r="BF35" i="25"/>
  <c r="BF152" i="25" s="1"/>
  <c r="BF61" i="37"/>
  <c r="BF149" i="37"/>
  <c r="BF144" i="25"/>
  <c r="BF146" i="25" s="1"/>
  <c r="BF148" i="25" s="1"/>
  <c r="DV277" i="37"/>
  <c r="DV279" i="37"/>
  <c r="DW37" i="37"/>
  <c r="DW12" i="37"/>
  <c r="DW267" i="37" s="1"/>
  <c r="DX215" i="37"/>
  <c r="DX208" i="37"/>
  <c r="GW38" i="37"/>
  <c r="GW141" i="37"/>
  <c r="BG117" i="25"/>
  <c r="BG49" i="25" s="1"/>
  <c r="BG35" i="25" s="1"/>
  <c r="GX117" i="37"/>
  <c r="GX122" i="37" s="1"/>
  <c r="GX53" i="37" s="1"/>
  <c r="GX209" i="37" s="1"/>
  <c r="GY117" i="37"/>
  <c r="GY122" i="37" s="1"/>
  <c r="GY53" i="37" s="1"/>
  <c r="GY209" i="37" s="1"/>
  <c r="GZ117" i="37"/>
  <c r="GZ122" i="37" s="1"/>
  <c r="GZ53" i="37" s="1"/>
  <c r="GZ209" i="37" s="1"/>
  <c r="HA117" i="37"/>
  <c r="HA122" i="37" s="1"/>
  <c r="HA53" i="37" s="1"/>
  <c r="HA209" i="37" s="1"/>
  <c r="GV38" i="37"/>
  <c r="GV141" i="37"/>
  <c r="GU141" i="37"/>
  <c r="GU38" i="37"/>
  <c r="DW59" i="37"/>
  <c r="DW52" i="37"/>
  <c r="GT141" i="37"/>
  <c r="GT38" i="37"/>
  <c r="DX137" i="37"/>
  <c r="DY28" i="37"/>
  <c r="DY205" i="37" s="1"/>
  <c r="DY206" i="37" s="1"/>
  <c r="DX49" i="37"/>
  <c r="DX50" i="37" s="1"/>
  <c r="DX31" i="37"/>
  <c r="DX32" i="37" s="1"/>
  <c r="BH117" i="25"/>
  <c r="BH49" i="25" s="1"/>
  <c r="BH211" i="25" s="1"/>
  <c r="BH213" i="25" s="1"/>
  <c r="BH215" i="25" s="1"/>
  <c r="BH216" i="25" s="1"/>
  <c r="BH218" i="25" s="1"/>
  <c r="BH14" i="25" s="1"/>
  <c r="BH271" i="25" s="1"/>
  <c r="HB117" i="37"/>
  <c r="HB122" i="37" s="1"/>
  <c r="HB53" i="37" s="1"/>
  <c r="HB209" i="37" s="1"/>
  <c r="HC117" i="37"/>
  <c r="HC122" i="37" s="1"/>
  <c r="HC53" i="37" s="1"/>
  <c r="HC209" i="37" s="1"/>
  <c r="HD117" i="37"/>
  <c r="HD122" i="37" s="1"/>
  <c r="HD53" i="37" s="1"/>
  <c r="HD209" i="37" s="1"/>
  <c r="HE117" i="37"/>
  <c r="HE122" i="37" s="1"/>
  <c r="HE53" i="37" s="1"/>
  <c r="HE209" i="37" s="1"/>
  <c r="BG217" i="37"/>
  <c r="BG61" i="37"/>
  <c r="BH122" i="37"/>
  <c r="BH53" i="37" s="1"/>
  <c r="BR55" i="37"/>
  <c r="BR57" i="37" s="1"/>
  <c r="BR58" i="37" s="1"/>
  <c r="BR60" i="37" s="1"/>
  <c r="BR13" i="37" s="1"/>
  <c r="BR268" i="37" s="1"/>
  <c r="BR61" i="37"/>
  <c r="Y21" i="2"/>
  <c r="I470" i="20"/>
  <c r="Y48" i="2"/>
  <c r="AO205" i="20"/>
  <c r="O253" i="20" s="1"/>
  <c r="E15" i="2"/>
  <c r="Z34" i="2"/>
  <c r="AX12" i="17"/>
  <c r="AN509" i="20" s="1"/>
  <c r="H545" i="20" s="1"/>
  <c r="F18" i="16"/>
  <c r="AY13" i="17"/>
  <c r="F56" i="16"/>
  <c r="F49" i="23"/>
  <c r="AV29" i="15"/>
  <c r="F29" i="15" s="1"/>
  <c r="AP278" i="20"/>
  <c r="P332" i="20" s="1"/>
  <c r="AV12" i="17"/>
  <c r="Y64" i="4"/>
  <c r="Y28" i="4" s="1"/>
  <c r="Y88" i="4" s="1"/>
  <c r="Y62" i="4"/>
  <c r="FL40" i="13"/>
  <c r="FM40" i="13"/>
  <c r="FL45" i="16" s="1"/>
  <c r="FL13" i="16" s="1"/>
  <c r="GB11" i="18" s="1"/>
  <c r="FN40" i="13"/>
  <c r="FM45" i="16" s="1"/>
  <c r="FM13" i="16" s="1"/>
  <c r="GC11" i="18" s="1"/>
  <c r="FO40" i="13"/>
  <c r="FN45" i="16" s="1"/>
  <c r="FN13" i="16" s="1"/>
  <c r="GD11" i="18" s="1"/>
  <c r="FC13" i="16"/>
  <c r="FG45" i="16"/>
  <c r="FG13" i="16" s="1"/>
  <c r="AU62" i="13"/>
  <c r="AN210" i="20"/>
  <c r="AW12" i="17"/>
  <c r="AG222" i="20"/>
  <c r="FK25" i="16"/>
  <c r="F62" i="16"/>
  <c r="AP281" i="20"/>
  <c r="F24" i="21"/>
  <c r="FB10" i="16"/>
  <c r="FB49" i="16"/>
  <c r="FA49" i="16"/>
  <c r="FA10" i="16"/>
  <c r="EZ49" i="16"/>
  <c r="EZ10" i="16"/>
  <c r="FI7" i="18"/>
  <c r="ES13" i="23"/>
  <c r="EY49" i="16"/>
  <c r="EY10" i="16"/>
  <c r="FH36" i="13"/>
  <c r="FH35" i="13" s="1"/>
  <c r="BE10" i="13"/>
  <c r="BE9" i="13" s="1"/>
  <c r="FI36" i="13"/>
  <c r="FI35" i="13" s="1"/>
  <c r="FJ36" i="13"/>
  <c r="FJ35" i="13" s="1"/>
  <c r="FK36" i="13"/>
  <c r="FK35" i="13" s="1"/>
  <c r="I537" i="20"/>
  <c r="AG512" i="20"/>
  <c r="AG513" i="20"/>
  <c r="I540" i="20" s="1"/>
  <c r="FK8" i="18"/>
  <c r="AU5" i="17"/>
  <c r="EU9" i="16"/>
  <c r="EU26" i="16" s="1"/>
  <c r="EU34" i="16" s="1"/>
  <c r="EU36" i="16" s="1"/>
  <c r="AO85" i="20"/>
  <c r="K94" i="20" s="1"/>
  <c r="K95" i="20" s="1"/>
  <c r="BF11" i="13"/>
  <c r="AI274" i="20"/>
  <c r="I328" i="20" s="1"/>
  <c r="I326" i="20"/>
  <c r="FF42" i="16"/>
  <c r="FG48" i="13"/>
  <c r="J535" i="20"/>
  <c r="AH510" i="20"/>
  <c r="H250" i="20"/>
  <c r="AH219" i="20"/>
  <c r="AZ109" i="16"/>
  <c r="AZ111" i="16" s="1"/>
  <c r="AZ128" i="16" s="1"/>
  <c r="AH216" i="20"/>
  <c r="H264" i="20" s="1"/>
  <c r="AT4" i="17"/>
  <c r="AK201" i="20"/>
  <c r="FD42" i="16"/>
  <c r="FE48" i="13"/>
  <c r="I248" i="20"/>
  <c r="AI202" i="20"/>
  <c r="H259" i="20"/>
  <c r="AH294" i="20"/>
  <c r="EQ13" i="23"/>
  <c r="FG7" i="18"/>
  <c r="AT7" i="21"/>
  <c r="FJ7" i="18"/>
  <c r="ET13" i="23"/>
  <c r="FE42" i="16"/>
  <c r="FF48" i="13"/>
  <c r="AS6" i="21"/>
  <c r="AJ272" i="20" s="1"/>
  <c r="AJ273" i="20"/>
  <c r="J327" i="20" s="1"/>
  <c r="AI211" i="20"/>
  <c r="AR33" i="17"/>
  <c r="FD35" i="13"/>
  <c r="FH7" i="18"/>
  <c r="ER13" i="23"/>
  <c r="H539" i="20"/>
  <c r="AF514" i="20"/>
  <c r="H541" i="20" s="1"/>
  <c r="FM8" i="18"/>
  <c r="EW9" i="16"/>
  <c r="EW26" i="16" s="1"/>
  <c r="EW34" i="16" s="1"/>
  <c r="EW36" i="16" s="1"/>
  <c r="J249" i="20"/>
  <c r="EX9" i="16"/>
  <c r="EX26" i="16" s="1"/>
  <c r="EX34" i="16" s="1"/>
  <c r="FN8" i="18"/>
  <c r="EV9" i="16"/>
  <c r="EV26" i="16" s="1"/>
  <c r="EV34" i="16" s="1"/>
  <c r="EV36" i="16" s="1"/>
  <c r="FL8" i="18"/>
  <c r="AI508" i="20"/>
  <c r="AS21" i="17"/>
  <c r="AJ200" i="20"/>
  <c r="BH125" i="25"/>
  <c r="BH122" i="25" s="1"/>
  <c r="BH126" i="25" s="1"/>
  <c r="BB101" i="19"/>
  <c r="BB102" i="19" s="1"/>
  <c r="BB108" i="19"/>
  <c r="BB109" i="19" s="1"/>
  <c r="AP206" i="20"/>
  <c r="F15" i="17"/>
  <c r="AC87" i="19"/>
  <c r="AC88" i="19" s="1"/>
  <c r="AO284" i="20"/>
  <c r="O338" i="20" s="1"/>
  <c r="AX26" i="21"/>
  <c r="AO283" i="20" s="1"/>
  <c r="O337" i="20" s="1"/>
  <c r="AW92" i="19"/>
  <c r="AW95" i="19" s="1"/>
  <c r="AV20" i="19"/>
  <c r="AV19" i="19" s="1"/>
  <c r="I82" i="23"/>
  <c r="AU17" i="19"/>
  <c r="AL356" i="20" s="1"/>
  <c r="AL358" i="20"/>
  <c r="M418" i="20" s="1"/>
  <c r="O254" i="20"/>
  <c r="GD27" i="18"/>
  <c r="F27" i="18" s="1"/>
  <c r="F30" i="18"/>
  <c r="AP285" i="20"/>
  <c r="AY29" i="21"/>
  <c r="F30" i="21"/>
  <c r="L416" i="20"/>
  <c r="AK359" i="20"/>
  <c r="L419" i="20" s="1"/>
  <c r="M62" i="2" l="1"/>
  <c r="AX151" i="19"/>
  <c r="F58" i="23"/>
  <c r="BF219" i="25"/>
  <c r="BF57" i="25"/>
  <c r="BG144" i="25"/>
  <c r="BG146" i="25" s="1"/>
  <c r="BG148" i="25" s="1"/>
  <c r="BG211" i="25"/>
  <c r="BG213" i="25" s="1"/>
  <c r="BG215" i="25" s="1"/>
  <c r="BG216" i="25" s="1"/>
  <c r="BG218" i="25" s="1"/>
  <c r="BG14" i="25" s="1"/>
  <c r="BG271" i="25" s="1"/>
  <c r="BG51" i="25"/>
  <c r="BG53" i="25" s="1"/>
  <c r="BG54" i="25" s="1"/>
  <c r="BG56" i="25" s="1"/>
  <c r="BG12" i="25" s="1"/>
  <c r="BG269" i="25" s="1"/>
  <c r="BH51" i="25"/>
  <c r="BH53" i="25" s="1"/>
  <c r="BH54" i="25" s="1"/>
  <c r="BH56" i="25" s="1"/>
  <c r="BH12" i="25" s="1"/>
  <c r="BH269" i="25" s="1"/>
  <c r="BH144" i="25"/>
  <c r="BH146" i="25" s="1"/>
  <c r="BH148" i="25" s="1"/>
  <c r="BH35" i="25"/>
  <c r="BH152" i="25" s="1"/>
  <c r="DW277" i="37"/>
  <c r="DW279" i="37"/>
  <c r="DX37" i="37"/>
  <c r="DX12" i="37"/>
  <c r="DX267" i="37" s="1"/>
  <c r="DY215" i="37"/>
  <c r="DY208" i="37"/>
  <c r="HD38" i="37"/>
  <c r="HD141" i="37"/>
  <c r="HA38" i="37"/>
  <c r="HA141" i="37"/>
  <c r="HC38" i="37"/>
  <c r="HC141" i="37"/>
  <c r="GZ38" i="37"/>
  <c r="GZ141" i="37"/>
  <c r="HB38" i="37"/>
  <c r="HB141" i="37"/>
  <c r="GY38" i="37"/>
  <c r="GY141" i="37"/>
  <c r="GX38" i="37"/>
  <c r="GX141" i="37"/>
  <c r="DX59" i="37"/>
  <c r="DX52" i="37"/>
  <c r="DY137" i="37"/>
  <c r="DY49" i="37"/>
  <c r="DY50" i="37" s="1"/>
  <c r="DZ28" i="37"/>
  <c r="DZ205" i="37" s="1"/>
  <c r="DZ206" i="37" s="1"/>
  <c r="DY31" i="37"/>
  <c r="DY32" i="37" s="1"/>
  <c r="HE38" i="37"/>
  <c r="HE141" i="37"/>
  <c r="BH209" i="37"/>
  <c r="BH211" i="37" s="1"/>
  <c r="BH213" i="37" s="1"/>
  <c r="BH214" i="37" s="1"/>
  <c r="BH216" i="37" s="1"/>
  <c r="BH15" i="37" s="1"/>
  <c r="BH270" i="37" s="1"/>
  <c r="BH141" i="37"/>
  <c r="BH143" i="37" s="1"/>
  <c r="BH145" i="37" s="1"/>
  <c r="BH55" i="37"/>
  <c r="BH57" i="37" s="1"/>
  <c r="BH58" i="37" s="1"/>
  <c r="BH60" i="37" s="1"/>
  <c r="BH13" i="37" s="1"/>
  <c r="BH268" i="37" s="1"/>
  <c r="BH38" i="37"/>
  <c r="BH217" i="37" s="1"/>
  <c r="BI122" i="37"/>
  <c r="BI53" i="37" s="1"/>
  <c r="BS55" i="37"/>
  <c r="BS57" i="37" s="1"/>
  <c r="BS58" i="37" s="1"/>
  <c r="BS60" i="37" s="1"/>
  <c r="BS13" i="37" s="1"/>
  <c r="BS268" i="37" s="1"/>
  <c r="BS61" i="37"/>
  <c r="Y18" i="2"/>
  <c r="F13" i="17"/>
  <c r="AP205" i="20"/>
  <c r="P253" i="20" s="1"/>
  <c r="AO204" i="20"/>
  <c r="O252" i="20" s="1"/>
  <c r="D278" i="20"/>
  <c r="AL509" i="20"/>
  <c r="F545" i="20" s="1"/>
  <c r="AM204" i="20"/>
  <c r="M252" i="20" s="1"/>
  <c r="M253" i="20"/>
  <c r="Z59" i="4"/>
  <c r="Z50" i="2" s="1"/>
  <c r="Z21" i="2" s="1"/>
  <c r="Y78" i="36"/>
  <c r="J93" i="36" s="1"/>
  <c r="AH222" i="20"/>
  <c r="AX8" i="17"/>
  <c r="FW11" i="18"/>
  <c r="AX10" i="21" s="1"/>
  <c r="FS11" i="18"/>
  <c r="AW10" i="21" s="1"/>
  <c r="AW8" i="17"/>
  <c r="FK45" i="16"/>
  <c r="AV62" i="13"/>
  <c r="F62" i="13" s="1"/>
  <c r="F40" i="13"/>
  <c r="P335" i="20"/>
  <c r="D281" i="20"/>
  <c r="AY20" i="17"/>
  <c r="F25" i="16"/>
  <c r="AN204" i="20"/>
  <c r="N252" i="20" s="1"/>
  <c r="AM509" i="20"/>
  <c r="G545" i="20" s="1"/>
  <c r="N258" i="20"/>
  <c r="FC42" i="16"/>
  <c r="FD48" i="13"/>
  <c r="AT59" i="13"/>
  <c r="FE10" i="16"/>
  <c r="FE49" i="16"/>
  <c r="AG514" i="20"/>
  <c r="I541" i="20" s="1"/>
  <c r="I539" i="20"/>
  <c r="FN7" i="18"/>
  <c r="EX13" i="23"/>
  <c r="AI216" i="20"/>
  <c r="I264" i="20" s="1"/>
  <c r="BA109" i="16"/>
  <c r="BA111" i="16" s="1"/>
  <c r="BA128" i="16" s="1"/>
  <c r="I250" i="20"/>
  <c r="AI219" i="20"/>
  <c r="FL36" i="13"/>
  <c r="FM36" i="13"/>
  <c r="FM35" i="13" s="1"/>
  <c r="FN36" i="13"/>
  <c r="FN35" i="13" s="1"/>
  <c r="BF10" i="13"/>
  <c r="BF9" i="13" s="1"/>
  <c r="FO36" i="13"/>
  <c r="FO35" i="13" s="1"/>
  <c r="AI221" i="20"/>
  <c r="I259" i="20"/>
  <c r="FJ42" i="16"/>
  <c r="FK48" i="13"/>
  <c r="AT6" i="21"/>
  <c r="AK272" i="20" s="1"/>
  <c r="AK273" i="20"/>
  <c r="K327" i="20" s="1"/>
  <c r="J537" i="20"/>
  <c r="AH512" i="20"/>
  <c r="AH513" i="20"/>
  <c r="J540" i="20" s="1"/>
  <c r="BI127" i="25"/>
  <c r="BI112" i="25" s="1"/>
  <c r="FJ48" i="13"/>
  <c r="FI42" i="16"/>
  <c r="EZ9" i="16"/>
  <c r="EZ26" i="16" s="1"/>
  <c r="EZ34" i="16" s="1"/>
  <c r="EZ36" i="16" s="1"/>
  <c r="FP8" i="18"/>
  <c r="FB9" i="16"/>
  <c r="FB26" i="16" s="1"/>
  <c r="FB34" i="16" s="1"/>
  <c r="FR8" i="18"/>
  <c r="J248" i="20"/>
  <c r="AJ202" i="20"/>
  <c r="FD10" i="16"/>
  <c r="FD49" i="16"/>
  <c r="FH42" i="16"/>
  <c r="FI48" i="13"/>
  <c r="AJ211" i="20"/>
  <c r="AS33" i="17"/>
  <c r="K249" i="20"/>
  <c r="FF10" i="16"/>
  <c r="FF49" i="16"/>
  <c r="AL201" i="20"/>
  <c r="AU4" i="17"/>
  <c r="FQ8" i="18"/>
  <c r="FA9" i="16"/>
  <c r="FA26" i="16" s="1"/>
  <c r="FA34" i="16" s="1"/>
  <c r="FA36" i="16" s="1"/>
  <c r="AI510" i="20"/>
  <c r="K535" i="20"/>
  <c r="AJ274" i="20"/>
  <c r="J328" i="20" s="1"/>
  <c r="J326" i="20"/>
  <c r="AJ508" i="20"/>
  <c r="AT21" i="17"/>
  <c r="AK200" i="20"/>
  <c r="BI125" i="25"/>
  <c r="BI122" i="25" s="1"/>
  <c r="BI126" i="25" s="1"/>
  <c r="AI294" i="20"/>
  <c r="EU13" i="23"/>
  <c r="AU7" i="21"/>
  <c r="FK7" i="18"/>
  <c r="FH48" i="13"/>
  <c r="FG42" i="16"/>
  <c r="AU59" i="13"/>
  <c r="AU65" i="13" s="1"/>
  <c r="FL7" i="18"/>
  <c r="EV13" i="23"/>
  <c r="FM7" i="18"/>
  <c r="EW13" i="23"/>
  <c r="BG219" i="25"/>
  <c r="BG152" i="25"/>
  <c r="BG57" i="25"/>
  <c r="AV5" i="17"/>
  <c r="EY9" i="16"/>
  <c r="EY26" i="16" s="1"/>
  <c r="EY34" i="16" s="1"/>
  <c r="EY36" i="16" s="1"/>
  <c r="FO8" i="18"/>
  <c r="AC13" i="19"/>
  <c r="T354" i="20" s="1"/>
  <c r="G386" i="20" s="1"/>
  <c r="AD85" i="19"/>
  <c r="M416" i="20"/>
  <c r="AL359" i="20"/>
  <c r="M419" i="20" s="1"/>
  <c r="AV17" i="19"/>
  <c r="AM356" i="20" s="1"/>
  <c r="AM358" i="20"/>
  <c r="N418" i="20" s="1"/>
  <c r="P339" i="20"/>
  <c r="D285" i="20"/>
  <c r="AW20" i="19"/>
  <c r="AW19" i="19" s="1"/>
  <c r="AX92" i="19"/>
  <c r="AP284" i="20"/>
  <c r="AY26" i="21"/>
  <c r="F29" i="21"/>
  <c r="I87" i="23"/>
  <c r="P254" i="20"/>
  <c r="D206" i="20"/>
  <c r="BH219" i="25" l="1"/>
  <c r="BH57" i="25"/>
  <c r="DX277" i="37"/>
  <c r="DX279" i="37"/>
  <c r="DY37" i="37"/>
  <c r="DY12" i="37"/>
  <c r="DZ215" i="37"/>
  <c r="DZ208" i="37"/>
  <c r="BI117" i="25"/>
  <c r="BI49" i="25" s="1"/>
  <c r="BI35" i="25" s="1"/>
  <c r="HF117" i="37"/>
  <c r="HF122" i="37" s="1"/>
  <c r="HF53" i="37" s="1"/>
  <c r="HF209" i="37" s="1"/>
  <c r="HG117" i="37"/>
  <c r="HG122" i="37" s="1"/>
  <c r="HG53" i="37" s="1"/>
  <c r="HG209" i="37" s="1"/>
  <c r="HH117" i="37"/>
  <c r="HH122" i="37" s="1"/>
  <c r="HH53" i="37" s="1"/>
  <c r="HH209" i="37" s="1"/>
  <c r="HI117" i="37"/>
  <c r="HI122" i="37" s="1"/>
  <c r="HI53" i="37" s="1"/>
  <c r="HI209" i="37" s="1"/>
  <c r="DZ137" i="37"/>
  <c r="EA28" i="37"/>
  <c r="EA205" i="37" s="1"/>
  <c r="EA206" i="37" s="1"/>
  <c r="DZ49" i="37"/>
  <c r="DZ50" i="37" s="1"/>
  <c r="DZ31" i="37"/>
  <c r="DZ32" i="37" s="1"/>
  <c r="DY59" i="37"/>
  <c r="DY52" i="37"/>
  <c r="BH61" i="37"/>
  <c r="BH149" i="37"/>
  <c r="BI209" i="37"/>
  <c r="BI211" i="37" s="1"/>
  <c r="BI213" i="37" s="1"/>
  <c r="BI214" i="37" s="1"/>
  <c r="BI216" i="37" s="1"/>
  <c r="BI15" i="37" s="1"/>
  <c r="BI270" i="37" s="1"/>
  <c r="BI141" i="37"/>
  <c r="BI143" i="37" s="1"/>
  <c r="BI145" i="37" s="1"/>
  <c r="BI38" i="37"/>
  <c r="BI217" i="37" s="1"/>
  <c r="BI55" i="37"/>
  <c r="BI57" i="37" s="1"/>
  <c r="BI58" i="37" s="1"/>
  <c r="BI60" i="37" s="1"/>
  <c r="BI13" i="37" s="1"/>
  <c r="BI268" i="37" s="1"/>
  <c r="BJ122" i="37"/>
  <c r="BJ53" i="37" s="1"/>
  <c r="BT55" i="37"/>
  <c r="BT57" i="37" s="1"/>
  <c r="BT58" i="37" s="1"/>
  <c r="BT60" i="37" s="1"/>
  <c r="BT13" i="37" s="1"/>
  <c r="BT268" i="37" s="1"/>
  <c r="BT61" i="37"/>
  <c r="Z48" i="2"/>
  <c r="AO220" i="20"/>
  <c r="D205" i="20"/>
  <c r="AM220" i="20"/>
  <c r="Z18" i="2"/>
  <c r="Z62" i="4"/>
  <c r="Z64" i="4"/>
  <c r="Z28" i="4" s="1"/>
  <c r="Z88" i="4" s="1"/>
  <c r="FK13" i="16"/>
  <c r="F45" i="16"/>
  <c r="AP210" i="20"/>
  <c r="F20" i="17"/>
  <c r="AI222" i="20"/>
  <c r="AN220" i="20"/>
  <c r="AT33" i="17"/>
  <c r="AK211" i="20"/>
  <c r="D544" i="20"/>
  <c r="AJ510" i="20"/>
  <c r="AJ221" i="20"/>
  <c r="J259" i="20"/>
  <c r="J539" i="20"/>
  <c r="AH514" i="20"/>
  <c r="J541" i="20" s="1"/>
  <c r="EY13" i="23"/>
  <c r="AV7" i="21"/>
  <c r="FO7" i="18"/>
  <c r="AJ294" i="20"/>
  <c r="AL200" i="20"/>
  <c r="AK508" i="20"/>
  <c r="AU21" i="17"/>
  <c r="BJ125" i="25"/>
  <c r="BJ122" i="25" s="1"/>
  <c r="BJ126" i="25" s="1"/>
  <c r="FP7" i="18"/>
  <c r="EZ13" i="23"/>
  <c r="FG49" i="16"/>
  <c r="FG10" i="16"/>
  <c r="AJ216" i="20"/>
  <c r="J264" i="20" s="1"/>
  <c r="BB109" i="16"/>
  <c r="BB111" i="16" s="1"/>
  <c r="BB128" i="16" s="1"/>
  <c r="FR7" i="18"/>
  <c r="FB13" i="23"/>
  <c r="FQ7" i="18"/>
  <c r="FA13" i="23"/>
  <c r="AU6" i="21"/>
  <c r="AL272" i="20" s="1"/>
  <c r="AL273" i="20"/>
  <c r="L327" i="20" s="1"/>
  <c r="L249" i="20"/>
  <c r="FH49" i="16"/>
  <c r="FH10" i="16"/>
  <c r="FN42" i="16"/>
  <c r="FO48" i="13"/>
  <c r="FU8" i="18"/>
  <c r="FE9" i="16"/>
  <c r="FE26" i="16" s="1"/>
  <c r="FE34" i="16" s="1"/>
  <c r="FE36" i="16" s="1"/>
  <c r="AV4" i="17"/>
  <c r="AM201" i="20"/>
  <c r="FI49" i="16"/>
  <c r="FI10" i="16"/>
  <c r="K326" i="20"/>
  <c r="AK274" i="20"/>
  <c r="K328" i="20" s="1"/>
  <c r="FV8" i="18"/>
  <c r="FF9" i="16"/>
  <c r="FF26" i="16" s="1"/>
  <c r="FF34" i="16" s="1"/>
  <c r="FT8" i="18"/>
  <c r="FD9" i="16"/>
  <c r="FD26" i="16" s="1"/>
  <c r="FD34" i="16" s="1"/>
  <c r="FD36" i="16" s="1"/>
  <c r="FM42" i="16"/>
  <c r="FN48" i="13"/>
  <c r="AT65" i="13"/>
  <c r="BJ127" i="25"/>
  <c r="BJ112" i="25" s="1"/>
  <c r="AI512" i="20"/>
  <c r="K537" i="20"/>
  <c r="AI513" i="20"/>
  <c r="K540" i="20" s="1"/>
  <c r="J250" i="20"/>
  <c r="AJ219" i="20"/>
  <c r="FL42" i="16"/>
  <c r="FM48" i="13"/>
  <c r="K248" i="20"/>
  <c r="AK202" i="20"/>
  <c r="FJ49" i="16"/>
  <c r="FJ10" i="16"/>
  <c r="FL35" i="13"/>
  <c r="F36" i="13"/>
  <c r="FC49" i="16"/>
  <c r="FC10" i="16"/>
  <c r="AW17" i="19"/>
  <c r="AN356" i="20" s="1"/>
  <c r="AN358" i="20"/>
  <c r="O418" i="20" s="1"/>
  <c r="AP283" i="20"/>
  <c r="F26" i="21"/>
  <c r="P338" i="20"/>
  <c r="D284" i="20"/>
  <c r="AX94" i="19"/>
  <c r="AY19" i="17" s="1"/>
  <c r="AD87" i="19"/>
  <c r="AD88" i="19" s="1"/>
  <c r="N416" i="20"/>
  <c r="AM359" i="20"/>
  <c r="N419" i="20" s="1"/>
  <c r="I83" i="23"/>
  <c r="I94" i="23"/>
  <c r="DY267" i="37" l="1"/>
  <c r="DY277" i="37" s="1"/>
  <c r="AM319" i="25"/>
  <c r="BI51" i="25"/>
  <c r="BI53" i="25" s="1"/>
  <c r="BI54" i="25" s="1"/>
  <c r="BI56" i="25" s="1"/>
  <c r="BI12" i="25" s="1"/>
  <c r="BI269" i="25" s="1"/>
  <c r="BI211" i="25"/>
  <c r="BI213" i="25" s="1"/>
  <c r="BI215" i="25" s="1"/>
  <c r="BI216" i="25" s="1"/>
  <c r="BI218" i="25" s="1"/>
  <c r="BI14" i="25" s="1"/>
  <c r="BI271" i="25" s="1"/>
  <c r="BI144" i="25"/>
  <c r="BI146" i="25" s="1"/>
  <c r="BI148" i="25" s="1"/>
  <c r="DZ37" i="37"/>
  <c r="DZ12" i="37"/>
  <c r="DZ267" i="37" s="1"/>
  <c r="EA215" i="37"/>
  <c r="EA208" i="37"/>
  <c r="DZ59" i="37"/>
  <c r="DZ52" i="37"/>
  <c r="EA137" i="37"/>
  <c r="EB28" i="37"/>
  <c r="EB205" i="37" s="1"/>
  <c r="EB206" i="37" s="1"/>
  <c r="EA49" i="37"/>
  <c r="EA50" i="37" s="1"/>
  <c r="EA31" i="37"/>
  <c r="EA32" i="37" s="1"/>
  <c r="BJ117" i="25"/>
  <c r="BJ49" i="25" s="1"/>
  <c r="BJ35" i="25" s="1"/>
  <c r="HJ117" i="37"/>
  <c r="HJ122" i="37" s="1"/>
  <c r="HJ53" i="37" s="1"/>
  <c r="HJ209" i="37" s="1"/>
  <c r="HK117" i="37"/>
  <c r="HK122" i="37" s="1"/>
  <c r="HK53" i="37" s="1"/>
  <c r="HK209" i="37" s="1"/>
  <c r="HL117" i="37"/>
  <c r="HL122" i="37" s="1"/>
  <c r="HL53" i="37" s="1"/>
  <c r="HL209" i="37" s="1"/>
  <c r="HM117" i="37"/>
  <c r="HM122" i="37" s="1"/>
  <c r="HM53" i="37" s="1"/>
  <c r="HM209" i="37" s="1"/>
  <c r="HI141" i="37"/>
  <c r="HI38" i="37"/>
  <c r="HH38" i="37"/>
  <c r="HH141" i="37"/>
  <c r="HG38" i="37"/>
  <c r="HG141" i="37"/>
  <c r="HF38" i="37"/>
  <c r="HF141" i="37"/>
  <c r="BI61" i="37"/>
  <c r="BI149" i="37"/>
  <c r="BJ209" i="37"/>
  <c r="BJ211" i="37" s="1"/>
  <c r="BJ213" i="37" s="1"/>
  <c r="BJ214" i="37" s="1"/>
  <c r="BJ216" i="37" s="1"/>
  <c r="BJ15" i="37" s="1"/>
  <c r="BJ270" i="37" s="1"/>
  <c r="BJ141" i="37"/>
  <c r="BJ143" i="37" s="1"/>
  <c r="BJ145" i="37" s="1"/>
  <c r="BJ38" i="37"/>
  <c r="BJ217" i="37" s="1"/>
  <c r="BJ55" i="37"/>
  <c r="BJ57" i="37" s="1"/>
  <c r="BJ58" i="37" s="1"/>
  <c r="BJ60" i="37" s="1"/>
  <c r="BJ13" i="37" s="1"/>
  <c r="BJ268" i="37" s="1"/>
  <c r="BK122" i="37"/>
  <c r="BK53" i="37" s="1"/>
  <c r="BU55" i="37"/>
  <c r="BU57" i="37" s="1"/>
  <c r="BU58" i="37" s="1"/>
  <c r="BU60" i="37" s="1"/>
  <c r="BU13" i="37" s="1"/>
  <c r="BU268" i="37" s="1"/>
  <c r="BU61" i="37"/>
  <c r="AA34" i="2"/>
  <c r="AA59" i="4"/>
  <c r="AA50" i="2" s="1"/>
  <c r="AA21" i="2" s="1"/>
  <c r="Z78" i="36"/>
  <c r="GA11" i="18"/>
  <c r="AY8" i="17"/>
  <c r="F8" i="17" s="1"/>
  <c r="F13" i="16"/>
  <c r="P258" i="20"/>
  <c r="D210" i="20"/>
  <c r="FZ8" i="18"/>
  <c r="FJ9" i="16"/>
  <c r="FJ26" i="16" s="1"/>
  <c r="FJ34" i="16" s="1"/>
  <c r="AL508" i="20"/>
  <c r="AM200" i="20"/>
  <c r="AV21" i="17"/>
  <c r="BK125" i="25"/>
  <c r="BK122" i="25" s="1"/>
  <c r="BK126" i="25" s="1"/>
  <c r="BL127" i="25" s="1"/>
  <c r="BL112" i="25" s="1"/>
  <c r="AL202" i="20"/>
  <c r="L248" i="20"/>
  <c r="FV7" i="18"/>
  <c r="FF13" i="23"/>
  <c r="FW8" i="18"/>
  <c r="FG9" i="16"/>
  <c r="FG26" i="16" s="1"/>
  <c r="FG34" i="16" s="1"/>
  <c r="FG36" i="16" s="1"/>
  <c r="AX5" i="17"/>
  <c r="AJ222" i="20"/>
  <c r="BI219" i="25"/>
  <c r="BI57" i="25"/>
  <c r="BI152" i="25"/>
  <c r="AK294" i="20"/>
  <c r="FU7" i="18"/>
  <c r="FE13" i="23"/>
  <c r="AL274" i="20"/>
  <c r="L328" i="20" s="1"/>
  <c r="L326" i="20"/>
  <c r="K250" i="20"/>
  <c r="AK219" i="20"/>
  <c r="AV6" i="21"/>
  <c r="AM272" i="20" s="1"/>
  <c r="AM273" i="20"/>
  <c r="M327" i="20" s="1"/>
  <c r="FC9" i="16"/>
  <c r="FS8" i="18"/>
  <c r="AW5" i="17"/>
  <c r="FN10" i="16"/>
  <c r="FN49" i="16"/>
  <c r="AJ512" i="20"/>
  <c r="AJ513" i="20"/>
  <c r="D549" i="20" s="1"/>
  <c r="D546" i="20"/>
  <c r="FM49" i="16"/>
  <c r="FM10" i="16"/>
  <c r="FY8" i="18"/>
  <c r="FI9" i="16"/>
  <c r="FI26" i="16" s="1"/>
  <c r="FI34" i="16" s="1"/>
  <c r="FI36" i="16" s="1"/>
  <c r="FH9" i="16"/>
  <c r="FH26" i="16" s="1"/>
  <c r="FH34" i="16" s="1"/>
  <c r="FH36" i="16" s="1"/>
  <c r="FX8" i="18"/>
  <c r="BK127" i="25"/>
  <c r="BK112" i="25" s="1"/>
  <c r="FL10" i="16"/>
  <c r="FL49" i="16"/>
  <c r="AL211" i="20"/>
  <c r="L259" i="20" s="1"/>
  <c r="AU33" i="17"/>
  <c r="AK221" i="20"/>
  <c r="K259" i="20"/>
  <c r="FL48" i="13"/>
  <c r="F48" i="13" s="1"/>
  <c r="AV59" i="13"/>
  <c r="FK42" i="16"/>
  <c r="F35" i="13"/>
  <c r="K539" i="20"/>
  <c r="AI514" i="20"/>
  <c r="K541" i="20" s="1"/>
  <c r="FT7" i="18"/>
  <c r="FD13" i="23"/>
  <c r="M249" i="20"/>
  <c r="E544" i="20"/>
  <c r="AK510" i="20"/>
  <c r="AK216" i="20"/>
  <c r="BC109" i="16"/>
  <c r="BC111" i="16" s="1"/>
  <c r="BC128" i="16" s="1"/>
  <c r="O416" i="20"/>
  <c r="AN359" i="20"/>
  <c r="O419" i="20" s="1"/>
  <c r="AE85" i="19"/>
  <c r="AD13" i="19"/>
  <c r="U354" i="20" s="1"/>
  <c r="H386" i="20" s="1"/>
  <c r="I88" i="23"/>
  <c r="P337" i="20"/>
  <c r="D283" i="20"/>
  <c r="Y38" i="18"/>
  <c r="I84" i="23"/>
  <c r="AX95" i="19"/>
  <c r="AP209" i="20"/>
  <c r="AO511" i="20"/>
  <c r="I547" i="20" s="1"/>
  <c r="FK24" i="16"/>
  <c r="FL24" i="16"/>
  <c r="FM24" i="16"/>
  <c r="FN24" i="16"/>
  <c r="AY12" i="17"/>
  <c r="DY279" i="37" l="1"/>
  <c r="BJ51" i="25"/>
  <c r="BJ53" i="25" s="1"/>
  <c r="BJ54" i="25" s="1"/>
  <c r="BJ56" i="25" s="1"/>
  <c r="BJ12" i="25" s="1"/>
  <c r="BJ269" i="25" s="1"/>
  <c r="BJ144" i="25"/>
  <c r="BJ146" i="25" s="1"/>
  <c r="BJ148" i="25" s="1"/>
  <c r="BJ211" i="25"/>
  <c r="BJ213" i="25" s="1"/>
  <c r="BJ215" i="25" s="1"/>
  <c r="BJ216" i="25" s="1"/>
  <c r="BJ218" i="25" s="1"/>
  <c r="BJ14" i="25" s="1"/>
  <c r="BJ271" i="25" s="1"/>
  <c r="DZ277" i="37"/>
  <c r="DZ279" i="37"/>
  <c r="EA37" i="37"/>
  <c r="EA12" i="37"/>
  <c r="EA267" i="37" s="1"/>
  <c r="EB215" i="37"/>
  <c r="EB208" i="37"/>
  <c r="HJ38" i="37"/>
  <c r="HJ141" i="37"/>
  <c r="BL117" i="25"/>
  <c r="BL49" i="25" s="1"/>
  <c r="BL211" i="25" s="1"/>
  <c r="BL213" i="25" s="1"/>
  <c r="BL215" i="25" s="1"/>
  <c r="BL216" i="25" s="1"/>
  <c r="BL218" i="25" s="1"/>
  <c r="BL14" i="25" s="1"/>
  <c r="BL271" i="25" s="1"/>
  <c r="HR117" i="37"/>
  <c r="HR122" i="37" s="1"/>
  <c r="HR53" i="37" s="1"/>
  <c r="HR209" i="37" s="1"/>
  <c r="HS117" i="37"/>
  <c r="HS122" i="37" s="1"/>
  <c r="HS53" i="37" s="1"/>
  <c r="HS209" i="37" s="1"/>
  <c r="HT117" i="37"/>
  <c r="HT122" i="37" s="1"/>
  <c r="HT53" i="37" s="1"/>
  <c r="HT209" i="37" s="1"/>
  <c r="HU117" i="37"/>
  <c r="HU122" i="37" s="1"/>
  <c r="HU53" i="37" s="1"/>
  <c r="HU209" i="37" s="1"/>
  <c r="EA59" i="37"/>
  <c r="EA52" i="37"/>
  <c r="BK117" i="25"/>
  <c r="BK49" i="25" s="1"/>
  <c r="BK35" i="25" s="1"/>
  <c r="HN117" i="37"/>
  <c r="HN122" i="37" s="1"/>
  <c r="HN53" i="37" s="1"/>
  <c r="HN209" i="37" s="1"/>
  <c r="HO117" i="37"/>
  <c r="HO122" i="37" s="1"/>
  <c r="HO53" i="37" s="1"/>
  <c r="HO209" i="37" s="1"/>
  <c r="HP117" i="37"/>
  <c r="HP122" i="37" s="1"/>
  <c r="HP53" i="37" s="1"/>
  <c r="HP209" i="37" s="1"/>
  <c r="HQ117" i="37"/>
  <c r="HQ122" i="37" s="1"/>
  <c r="HQ53" i="37" s="1"/>
  <c r="HQ209" i="37" s="1"/>
  <c r="EB137" i="37"/>
  <c r="EC28" i="37"/>
  <c r="EC205" i="37" s="1"/>
  <c r="EC206" i="37" s="1"/>
  <c r="EB49" i="37"/>
  <c r="EB50" i="37" s="1"/>
  <c r="EB31" i="37"/>
  <c r="EB32" i="37" s="1"/>
  <c r="HM141" i="37"/>
  <c r="HM38" i="37"/>
  <c r="HL38" i="37"/>
  <c r="HL141" i="37"/>
  <c r="HK141" i="37"/>
  <c r="HK38" i="37"/>
  <c r="BJ149" i="37"/>
  <c r="BJ61" i="37"/>
  <c r="BK55" i="37"/>
  <c r="BK57" i="37" s="1"/>
  <c r="BK58" i="37" s="1"/>
  <c r="BK60" i="37" s="1"/>
  <c r="BK13" i="37" s="1"/>
  <c r="BK268" i="37" s="1"/>
  <c r="BK209" i="37"/>
  <c r="BK211" i="37" s="1"/>
  <c r="BK213" i="37" s="1"/>
  <c r="BK214" i="37" s="1"/>
  <c r="BK216" i="37" s="1"/>
  <c r="BK15" i="37" s="1"/>
  <c r="BK270" i="37" s="1"/>
  <c r="BK141" i="37"/>
  <c r="BK143" i="37" s="1"/>
  <c r="BK145" i="37" s="1"/>
  <c r="BK38" i="37"/>
  <c r="BK217" i="37" s="1"/>
  <c r="BL122" i="37"/>
  <c r="BL53" i="37" s="1"/>
  <c r="BV55" i="37"/>
  <c r="BV57" i="37" s="1"/>
  <c r="BV58" i="37" s="1"/>
  <c r="BV60" i="37" s="1"/>
  <c r="BV13" i="37" s="1"/>
  <c r="BV268" i="37" s="1"/>
  <c r="BV61" i="37"/>
  <c r="AA48" i="2"/>
  <c r="AA62" i="4"/>
  <c r="AA64" i="4"/>
  <c r="AA28" i="4" s="1"/>
  <c r="AA88" i="4" s="1"/>
  <c r="AA18" i="2"/>
  <c r="AY10" i="21"/>
  <c r="F10" i="21" s="1"/>
  <c r="F11" i="18"/>
  <c r="AK512" i="20"/>
  <c r="E546" i="20"/>
  <c r="AK513" i="20"/>
  <c r="E549" i="20" s="1"/>
  <c r="L250" i="20"/>
  <c r="AL219" i="20"/>
  <c r="FK10" i="16"/>
  <c r="FK49" i="16"/>
  <c r="F49" i="16" s="1"/>
  <c r="F42" i="16"/>
  <c r="BD109" i="16"/>
  <c r="BD111" i="16" s="1"/>
  <c r="BD128" i="16" s="1"/>
  <c r="AL216" i="20"/>
  <c r="FN9" i="16"/>
  <c r="GD8" i="18"/>
  <c r="AV65" i="13"/>
  <c r="F65" i="13" s="1"/>
  <c r="F59" i="13"/>
  <c r="FY7" i="18"/>
  <c r="FI13" i="23"/>
  <c r="BJ219" i="25"/>
  <c r="BJ57" i="25"/>
  <c r="BJ152" i="25"/>
  <c r="AM211" i="20"/>
  <c r="AM221" i="20" s="1"/>
  <c r="AV33" i="17"/>
  <c r="FM9" i="16"/>
  <c r="GC8" i="18"/>
  <c r="AN201" i="20"/>
  <c r="AW4" i="17"/>
  <c r="AL294" i="20"/>
  <c r="M248" i="20"/>
  <c r="AM202" i="20"/>
  <c r="GB8" i="18"/>
  <c r="FL9" i="16"/>
  <c r="FC13" i="23"/>
  <c r="FS7" i="18"/>
  <c r="AW7" i="21"/>
  <c r="AL510" i="20"/>
  <c r="F544" i="20"/>
  <c r="FC26" i="16"/>
  <c r="FC34" i="16" s="1"/>
  <c r="FC36" i="16" s="1"/>
  <c r="AX4" i="17"/>
  <c r="AO201" i="20"/>
  <c r="AL221" i="20"/>
  <c r="FZ7" i="18"/>
  <c r="FJ13" i="23"/>
  <c r="AK222" i="20"/>
  <c r="K264" i="20"/>
  <c r="FX7" i="18"/>
  <c r="FH13" i="23"/>
  <c r="AJ514" i="20"/>
  <c r="D550" i="20" s="1"/>
  <c r="D548" i="20"/>
  <c r="AM274" i="20"/>
  <c r="M328" i="20" s="1"/>
  <c r="M326" i="20"/>
  <c r="FG13" i="23"/>
  <c r="AX7" i="21"/>
  <c r="FW7" i="18"/>
  <c r="AY92" i="19"/>
  <c r="AX20" i="19"/>
  <c r="AX19" i="19" s="1"/>
  <c r="AE87" i="19"/>
  <c r="AE88" i="19" s="1"/>
  <c r="I89" i="23"/>
  <c r="AO509" i="20"/>
  <c r="AP204" i="20"/>
  <c r="I109" i="23"/>
  <c r="P257" i="20"/>
  <c r="FN61" i="16"/>
  <c r="FN63" i="16" s="1"/>
  <c r="FN17" i="16"/>
  <c r="FK61" i="16"/>
  <c r="FK63" i="16" s="1"/>
  <c r="FK17" i="16"/>
  <c r="FM61" i="16"/>
  <c r="FM63" i="16" s="1"/>
  <c r="FM17" i="16"/>
  <c r="Y34" i="18"/>
  <c r="Y33" i="18" s="1"/>
  <c r="Y48" i="18" s="1"/>
  <c r="Y50" i="18" s="1"/>
  <c r="FL61" i="16"/>
  <c r="FL63" i="16" s="1"/>
  <c r="FL17" i="16"/>
  <c r="BL144" i="25" l="1"/>
  <c r="BL146" i="25" s="1"/>
  <c r="BL148" i="25" s="1"/>
  <c r="BL51" i="25"/>
  <c r="BL53" i="25" s="1"/>
  <c r="BL54" i="25" s="1"/>
  <c r="BL56" i="25" s="1"/>
  <c r="BL12" i="25" s="1"/>
  <c r="BL269" i="25" s="1"/>
  <c r="BL35" i="25"/>
  <c r="BL57" i="25" s="1"/>
  <c r="BK211" i="25"/>
  <c r="BK213" i="25" s="1"/>
  <c r="BK215" i="25" s="1"/>
  <c r="BK216" i="25" s="1"/>
  <c r="BK218" i="25" s="1"/>
  <c r="BK14" i="25" s="1"/>
  <c r="BK271" i="25" s="1"/>
  <c r="BK51" i="25"/>
  <c r="BK53" i="25" s="1"/>
  <c r="BK54" i="25" s="1"/>
  <c r="BK56" i="25" s="1"/>
  <c r="BK12" i="25" s="1"/>
  <c r="BK269" i="25" s="1"/>
  <c r="BK144" i="25"/>
  <c r="BK146" i="25" s="1"/>
  <c r="BK148" i="25" s="1"/>
  <c r="EA277" i="37"/>
  <c r="EA279" i="37"/>
  <c r="EB37" i="37"/>
  <c r="EB12" i="37"/>
  <c r="EB267" i="37" s="1"/>
  <c r="EC215" i="37"/>
  <c r="EC208" i="37"/>
  <c r="EC137" i="37"/>
  <c r="ED28" i="37"/>
  <c r="ED205" i="37" s="1"/>
  <c r="ED206" i="37" s="1"/>
  <c r="EC49" i="37"/>
  <c r="EC50" i="37" s="1"/>
  <c r="EC31" i="37"/>
  <c r="EC32" i="37" s="1"/>
  <c r="HU38" i="37"/>
  <c r="HU141" i="37"/>
  <c r="HQ38" i="37"/>
  <c r="HQ141" i="37"/>
  <c r="HT38" i="37"/>
  <c r="HT141" i="37"/>
  <c r="HP38" i="37"/>
  <c r="HP141" i="37"/>
  <c r="HS141" i="37"/>
  <c r="HS38" i="37"/>
  <c r="HO141" i="37"/>
  <c r="HO38" i="37"/>
  <c r="HR141" i="37"/>
  <c r="HR38" i="37"/>
  <c r="HN141" i="37"/>
  <c r="HN38" i="37"/>
  <c r="EB52" i="37"/>
  <c r="EB59" i="37"/>
  <c r="BK61" i="37"/>
  <c r="BK149" i="37"/>
  <c r="BL38" i="37"/>
  <c r="BL149" i="37" s="1"/>
  <c r="BL209" i="37"/>
  <c r="BL211" i="37" s="1"/>
  <c r="BL213" i="37" s="1"/>
  <c r="BL214" i="37" s="1"/>
  <c r="BL216" i="37" s="1"/>
  <c r="BL15" i="37" s="1"/>
  <c r="BL270" i="37" s="1"/>
  <c r="BL141" i="37"/>
  <c r="BL143" i="37" s="1"/>
  <c r="BL145" i="37" s="1"/>
  <c r="BL55" i="37"/>
  <c r="BL57" i="37" s="1"/>
  <c r="BL58" i="37" s="1"/>
  <c r="BL60" i="37" s="1"/>
  <c r="BL13" i="37" s="1"/>
  <c r="BL268" i="37" s="1"/>
  <c r="BW55" i="37"/>
  <c r="BW57" i="37" s="1"/>
  <c r="BW58" i="37" s="1"/>
  <c r="BW60" i="37" s="1"/>
  <c r="BW13" i="37" s="1"/>
  <c r="BW268" i="37" s="1"/>
  <c r="BW61" i="37"/>
  <c r="AB34" i="2"/>
  <c r="FM26" i="16"/>
  <c r="FM34" i="16" s="1"/>
  <c r="FM36" i="16" s="1"/>
  <c r="AB59" i="4"/>
  <c r="AB50" i="2" s="1"/>
  <c r="AB21" i="2" s="1"/>
  <c r="AA78" i="36"/>
  <c r="FL26" i="16"/>
  <c r="FL34" i="16" s="1"/>
  <c r="AM294" i="20"/>
  <c r="FN26" i="16"/>
  <c r="FN34" i="16" s="1"/>
  <c r="FN36" i="16" s="1"/>
  <c r="AO200" i="20"/>
  <c r="AN508" i="20"/>
  <c r="AX21" i="17"/>
  <c r="BM125" i="25"/>
  <c r="BM122" i="25" s="1"/>
  <c r="BM126" i="25" s="1"/>
  <c r="F546" i="20"/>
  <c r="AL513" i="20"/>
  <c r="F549" i="20" s="1"/>
  <c r="AL512" i="20"/>
  <c r="M250" i="20"/>
  <c r="AM219" i="20"/>
  <c r="GD7" i="18"/>
  <c r="FN13" i="23"/>
  <c r="AN273" i="20"/>
  <c r="AW6" i="21"/>
  <c r="AL222" i="20"/>
  <c r="L264" i="20"/>
  <c r="AM216" i="20"/>
  <c r="M264" i="20" s="1"/>
  <c r="BE109" i="16"/>
  <c r="BE111" i="16" s="1"/>
  <c r="BE128" i="16" s="1"/>
  <c r="M259" i="20"/>
  <c r="BK152" i="25"/>
  <c r="BK57" i="25"/>
  <c r="BK219" i="25"/>
  <c r="BL125" i="25"/>
  <c r="BL122" i="25" s="1"/>
  <c r="BL126" i="25" s="1"/>
  <c r="BM127" i="25" s="1"/>
  <c r="BM112" i="25" s="1"/>
  <c r="AN200" i="20"/>
  <c r="AM508" i="20"/>
  <c r="AW21" i="17"/>
  <c r="AK514" i="20"/>
  <c r="E550" i="20" s="1"/>
  <c r="E548" i="20"/>
  <c r="FL13" i="23"/>
  <c r="GB7" i="18"/>
  <c r="N249" i="20"/>
  <c r="GA8" i="18"/>
  <c r="FK9" i="16"/>
  <c r="F9" i="16" s="1"/>
  <c r="AY5" i="17"/>
  <c r="F10" i="16"/>
  <c r="AO273" i="20"/>
  <c r="O327" i="20" s="1"/>
  <c r="AX6" i="21"/>
  <c r="AO272" i="20" s="1"/>
  <c r="O249" i="20"/>
  <c r="GC7" i="18"/>
  <c r="FM13" i="23"/>
  <c r="AX17" i="19"/>
  <c r="AO356" i="20" s="1"/>
  <c r="AO358" i="20"/>
  <c r="AE13" i="19"/>
  <c r="V354" i="20" s="1"/>
  <c r="I386" i="20" s="1"/>
  <c r="AF85" i="19"/>
  <c r="AY94" i="19"/>
  <c r="AZ19" i="17" s="1"/>
  <c r="I111" i="23"/>
  <c r="Z49" i="18"/>
  <c r="I113" i="23"/>
  <c r="P252" i="20"/>
  <c r="I545" i="20"/>
  <c r="AP220" i="20"/>
  <c r="J86" i="23"/>
  <c r="BL219" i="25" l="1"/>
  <c r="BL152" i="25"/>
  <c r="EB277" i="37"/>
  <c r="EB279" i="37"/>
  <c r="EC37" i="37"/>
  <c r="EC12" i="37"/>
  <c r="ED215" i="37"/>
  <c r="ED208" i="37"/>
  <c r="BM117" i="25"/>
  <c r="BM49" i="25" s="1"/>
  <c r="BM211" i="25" s="1"/>
  <c r="BM213" i="25" s="1"/>
  <c r="BM215" i="25" s="1"/>
  <c r="BM216" i="25" s="1"/>
  <c r="BM218" i="25" s="1"/>
  <c r="BM14" i="25" s="1"/>
  <c r="BM271" i="25" s="1"/>
  <c r="HV117" i="37"/>
  <c r="HV122" i="37" s="1"/>
  <c r="HV53" i="37" s="1"/>
  <c r="HV209" i="37" s="1"/>
  <c r="HW117" i="37"/>
  <c r="HW122" i="37" s="1"/>
  <c r="HW53" i="37" s="1"/>
  <c r="HW209" i="37" s="1"/>
  <c r="HX117" i="37"/>
  <c r="HX122" i="37" s="1"/>
  <c r="HX53" i="37" s="1"/>
  <c r="HX209" i="37" s="1"/>
  <c r="HY117" i="37"/>
  <c r="HY122" i="37" s="1"/>
  <c r="HY53" i="37" s="1"/>
  <c r="HY209" i="37" s="1"/>
  <c r="EC59" i="37"/>
  <c r="EC52" i="37"/>
  <c r="ED137" i="37"/>
  <c r="EE28" i="37"/>
  <c r="EE205" i="37" s="1"/>
  <c r="EE206" i="37" s="1"/>
  <c r="ED49" i="37"/>
  <c r="ED50" i="37" s="1"/>
  <c r="ED31" i="37"/>
  <c r="ED32" i="37" s="1"/>
  <c r="BL217" i="37"/>
  <c r="BL61" i="37"/>
  <c r="BN122" i="37"/>
  <c r="BM122" i="37"/>
  <c r="BM53" i="37" s="1"/>
  <c r="BX55" i="37"/>
  <c r="BX57" i="37" s="1"/>
  <c r="BX58" i="37" s="1"/>
  <c r="BX60" i="37" s="1"/>
  <c r="BX13" i="37" s="1"/>
  <c r="BX268" i="37" s="1"/>
  <c r="BX61" i="37"/>
  <c r="AB48" i="2"/>
  <c r="AB64" i="4"/>
  <c r="AB28" i="4" s="1"/>
  <c r="AB88" i="4" s="1"/>
  <c r="AB62" i="4"/>
  <c r="AB18" i="2"/>
  <c r="N327" i="20"/>
  <c r="AY4" i="17"/>
  <c r="AP201" i="20"/>
  <c r="F5" i="17"/>
  <c r="AN272" i="20"/>
  <c r="GA7" i="18"/>
  <c r="F7" i="18" s="1"/>
  <c r="AY7" i="21"/>
  <c r="FK13" i="23"/>
  <c r="F13" i="23" s="1"/>
  <c r="F8" i="18"/>
  <c r="FK26" i="16"/>
  <c r="FK34" i="16" s="1"/>
  <c r="FK36" i="16" s="1"/>
  <c r="BN127" i="25"/>
  <c r="BN112" i="25" s="1"/>
  <c r="N248" i="20"/>
  <c r="AN202" i="20"/>
  <c r="AX33" i="17"/>
  <c r="AO211" i="20"/>
  <c r="AO274" i="20"/>
  <c r="O328" i="20" s="1"/>
  <c r="O326" i="20"/>
  <c r="AN510" i="20"/>
  <c r="H544" i="20"/>
  <c r="AO202" i="20"/>
  <c r="O248" i="20"/>
  <c r="AN211" i="20"/>
  <c r="AW33" i="17"/>
  <c r="AM222" i="20"/>
  <c r="AM510" i="20"/>
  <c r="G544" i="20"/>
  <c r="AL514" i="20"/>
  <c r="F550" i="20" s="1"/>
  <c r="F548" i="20"/>
  <c r="I112" i="23"/>
  <c r="I114" i="23" s="1"/>
  <c r="FR24" i="16"/>
  <c r="AQ209" i="20"/>
  <c r="AP511" i="20"/>
  <c r="FO24" i="16"/>
  <c r="FP24" i="16"/>
  <c r="FQ24" i="16"/>
  <c r="AZ12" i="17"/>
  <c r="AF87" i="19"/>
  <c r="AF88" i="19" s="1"/>
  <c r="AY95" i="19"/>
  <c r="AZ92" i="19" s="1"/>
  <c r="J91" i="23"/>
  <c r="J90" i="23"/>
  <c r="AO359" i="20"/>
  <c r="J11" i="23"/>
  <c r="EC267" i="37" l="1"/>
  <c r="EC277" i="37" s="1"/>
  <c r="AN319" i="25"/>
  <c r="BM51" i="25"/>
  <c r="BM53" i="25" s="1"/>
  <c r="BM54" i="25" s="1"/>
  <c r="BM56" i="25" s="1"/>
  <c r="BM12" i="25" s="1"/>
  <c r="BM269" i="25" s="1"/>
  <c r="BM35" i="25"/>
  <c r="BM219" i="25" s="1"/>
  <c r="BM144" i="25"/>
  <c r="BM146" i="25" s="1"/>
  <c r="BM148" i="25" s="1"/>
  <c r="ED37" i="37"/>
  <c r="ED12" i="37"/>
  <c r="ED267" i="37" s="1"/>
  <c r="EE215" i="37"/>
  <c r="EE208" i="37"/>
  <c r="BN117" i="25"/>
  <c r="BN49" i="25" s="1"/>
  <c r="BN35" i="25" s="1"/>
  <c r="HZ117" i="37"/>
  <c r="HZ122" i="37" s="1"/>
  <c r="HZ53" i="37" s="1"/>
  <c r="HZ209" i="37" s="1"/>
  <c r="IA117" i="37"/>
  <c r="IA122" i="37" s="1"/>
  <c r="IA53" i="37" s="1"/>
  <c r="IA209" i="37" s="1"/>
  <c r="HY38" i="37"/>
  <c r="HY141" i="37"/>
  <c r="HX141" i="37"/>
  <c r="HX38" i="37"/>
  <c r="HW141" i="37"/>
  <c r="HW38" i="37"/>
  <c r="ED59" i="37"/>
  <c r="ED52" i="37"/>
  <c r="HV141" i="37"/>
  <c r="HV38" i="37"/>
  <c r="EE137" i="37"/>
  <c r="EF28" i="37"/>
  <c r="EF205" i="37" s="1"/>
  <c r="EF206" i="37" s="1"/>
  <c r="EE49" i="37"/>
  <c r="EE50" i="37" s="1"/>
  <c r="EE31" i="37"/>
  <c r="EE32" i="37" s="1"/>
  <c r="BN53" i="37"/>
  <c r="BN55" i="37" s="1"/>
  <c r="BN57" i="37" s="1"/>
  <c r="BN58" i="37" s="1"/>
  <c r="BN60" i="37" s="1"/>
  <c r="BN13" i="37" s="1"/>
  <c r="BN268" i="37" s="1"/>
  <c r="BM209" i="37"/>
  <c r="BM211" i="37" s="1"/>
  <c r="BM213" i="37" s="1"/>
  <c r="BM214" i="37" s="1"/>
  <c r="BM216" i="37" s="1"/>
  <c r="BM15" i="37" s="1"/>
  <c r="BM270" i="37" s="1"/>
  <c r="BM38" i="37"/>
  <c r="BM217" i="37" s="1"/>
  <c r="BM141" i="37"/>
  <c r="BM143" i="37" s="1"/>
  <c r="BM145" i="37" s="1"/>
  <c r="BM55" i="37"/>
  <c r="BM57" i="37" s="1"/>
  <c r="BM58" i="37" s="1"/>
  <c r="BM60" i="37" s="1"/>
  <c r="BM13" i="37" s="1"/>
  <c r="BM268" i="37" s="1"/>
  <c r="BY55" i="37"/>
  <c r="BY57" i="37" s="1"/>
  <c r="BY58" i="37" s="1"/>
  <c r="BY60" i="37" s="1"/>
  <c r="BY13" i="37" s="1"/>
  <c r="BY268" i="37" s="1"/>
  <c r="BY61" i="37"/>
  <c r="AC34" i="2"/>
  <c r="AC59" i="4"/>
  <c r="AC50" i="2" s="1"/>
  <c r="AC48" i="2" s="1"/>
  <c r="AB78" i="36"/>
  <c r="AN221" i="20"/>
  <c r="N259" i="20"/>
  <c r="AO221" i="20"/>
  <c r="O259" i="20"/>
  <c r="AP200" i="20"/>
  <c r="AO508" i="20"/>
  <c r="BN125" i="25"/>
  <c r="BN122" i="25" s="1"/>
  <c r="BN126" i="25" s="1"/>
  <c r="AY21" i="17"/>
  <c r="F4" i="17"/>
  <c r="BG109" i="16"/>
  <c r="BG111" i="16" s="1"/>
  <c r="BG128" i="16" s="1"/>
  <c r="AO216" i="20"/>
  <c r="AN216" i="20"/>
  <c r="BF109" i="16"/>
  <c r="BF111" i="16" s="1"/>
  <c r="BF128" i="16" s="1"/>
  <c r="AM512" i="20"/>
  <c r="G546" i="20"/>
  <c r="AM513" i="20"/>
  <c r="G549" i="20" s="1"/>
  <c r="O250" i="20"/>
  <c r="AO219" i="20"/>
  <c r="AP273" i="20"/>
  <c r="AY6" i="21"/>
  <c r="F7" i="21"/>
  <c r="N250" i="20"/>
  <c r="AN219" i="20"/>
  <c r="P249" i="20"/>
  <c r="D201" i="20"/>
  <c r="AN512" i="20"/>
  <c r="AN513" i="20"/>
  <c r="H549" i="20" s="1"/>
  <c r="H546" i="20"/>
  <c r="AO294" i="20"/>
  <c r="AN274" i="20"/>
  <c r="AN294" i="20" s="1"/>
  <c r="N326" i="20"/>
  <c r="AF13" i="19"/>
  <c r="W354" i="20" s="1"/>
  <c r="J386" i="20" s="1"/>
  <c r="AG85" i="19"/>
  <c r="FR61" i="16"/>
  <c r="FR63" i="16" s="1"/>
  <c r="FR17" i="16"/>
  <c r="FR26" i="16" s="1"/>
  <c r="FR34" i="16" s="1"/>
  <c r="FR36" i="16" s="1"/>
  <c r="AZ21" i="17"/>
  <c r="AP509" i="20"/>
  <c r="AP510" i="20" s="1"/>
  <c r="AQ204" i="20"/>
  <c r="AQ220" i="20" s="1"/>
  <c r="FQ61" i="16"/>
  <c r="FQ63" i="16" s="1"/>
  <c r="FQ17" i="16"/>
  <c r="FQ26" i="16" s="1"/>
  <c r="FQ34" i="16" s="1"/>
  <c r="FQ36" i="16" s="1"/>
  <c r="FP61" i="16"/>
  <c r="FP63" i="16" s="1"/>
  <c r="FP17" i="16"/>
  <c r="FP26" i="16" s="1"/>
  <c r="FP34" i="16" s="1"/>
  <c r="FP36" i="16" s="1"/>
  <c r="J92" i="23"/>
  <c r="FO61" i="16"/>
  <c r="FO63" i="16" s="1"/>
  <c r="FO17" i="16"/>
  <c r="FO26" i="16" s="1"/>
  <c r="FO34" i="16" s="1"/>
  <c r="FO36" i="16" s="1"/>
  <c r="AZ94" i="19"/>
  <c r="BA19" i="17" s="1"/>
  <c r="J16" i="23"/>
  <c r="J20" i="23" s="1"/>
  <c r="EC279" i="37" l="1"/>
  <c r="BN211" i="25"/>
  <c r="BN213" i="25" s="1"/>
  <c r="BN215" i="25" s="1"/>
  <c r="BN216" i="25" s="1"/>
  <c r="BN218" i="25" s="1"/>
  <c r="BN14" i="25" s="1"/>
  <c r="BN271" i="25" s="1"/>
  <c r="BN51" i="25"/>
  <c r="BN53" i="25" s="1"/>
  <c r="BN54" i="25" s="1"/>
  <c r="BN56" i="25" s="1"/>
  <c r="BN12" i="25" s="1"/>
  <c r="BN269" i="25" s="1"/>
  <c r="BN144" i="25"/>
  <c r="BN146" i="25" s="1"/>
  <c r="BN148" i="25" s="1"/>
  <c r="BM152" i="25"/>
  <c r="BM57" i="25"/>
  <c r="ED277" i="37"/>
  <c r="ED279" i="37"/>
  <c r="EE37" i="37"/>
  <c r="EE12" i="37"/>
  <c r="EE267" i="37" s="1"/>
  <c r="BM61" i="37"/>
  <c r="BM149" i="37"/>
  <c r="EF215" i="37"/>
  <c r="EF208" i="37"/>
  <c r="BN38" i="37"/>
  <c r="BN61" i="37" s="1"/>
  <c r="EF137" i="37"/>
  <c r="EG28" i="37"/>
  <c r="EG205" i="37" s="1"/>
  <c r="EG206" i="37" s="1"/>
  <c r="EF49" i="37"/>
  <c r="EF50" i="37" s="1"/>
  <c r="EF31" i="37"/>
  <c r="EF32" i="37" s="1"/>
  <c r="EE59" i="37"/>
  <c r="EE52" i="37"/>
  <c r="BN209" i="37"/>
  <c r="BN211" i="37" s="1"/>
  <c r="BN213" i="37" s="1"/>
  <c r="BN214" i="37" s="1"/>
  <c r="BN216" i="37" s="1"/>
  <c r="BN15" i="37" s="1"/>
  <c r="BN270" i="37" s="1"/>
  <c r="IA38" i="37"/>
  <c r="IA141" i="37"/>
  <c r="HZ38" i="37"/>
  <c r="HZ141" i="37"/>
  <c r="BN141" i="37"/>
  <c r="BN143" i="37" s="1"/>
  <c r="BN145" i="37" s="1"/>
  <c r="BZ55" i="37"/>
  <c r="BZ57" i="37" s="1"/>
  <c r="BZ58" i="37" s="1"/>
  <c r="BZ60" i="37" s="1"/>
  <c r="BZ13" i="37" s="1"/>
  <c r="BZ268" i="37" s="1"/>
  <c r="BZ61" i="37"/>
  <c r="AC21" i="2"/>
  <c r="J470" i="20"/>
  <c r="AD34" i="2"/>
  <c r="AC62" i="4"/>
  <c r="AC64" i="4"/>
  <c r="AC28" i="4" s="1"/>
  <c r="AC88" i="4" s="1"/>
  <c r="H548" i="20"/>
  <c r="AN514" i="20"/>
  <c r="H550" i="20" s="1"/>
  <c r="AP211" i="20"/>
  <c r="AP221" i="20" s="1"/>
  <c r="AY33" i="17"/>
  <c r="N328" i="20"/>
  <c r="AM514" i="20"/>
  <c r="G550" i="20" s="1"/>
  <c r="G548" i="20"/>
  <c r="I544" i="20"/>
  <c r="AO510" i="20"/>
  <c r="P248" i="20"/>
  <c r="AP202" i="20"/>
  <c r="D200" i="20"/>
  <c r="AP272" i="20"/>
  <c r="F6" i="21"/>
  <c r="AN222" i="20"/>
  <c r="N264" i="20"/>
  <c r="P327" i="20"/>
  <c r="D273" i="20"/>
  <c r="AO222" i="20"/>
  <c r="O264" i="20"/>
  <c r="BN219" i="25"/>
  <c r="BN57" i="25"/>
  <c r="BN152" i="25"/>
  <c r="AZ95" i="19"/>
  <c r="BA92" i="19" s="1"/>
  <c r="AQ211" i="20"/>
  <c r="AQ221" i="20" s="1"/>
  <c r="AZ33" i="17"/>
  <c r="AG87" i="19"/>
  <c r="AG88" i="19" s="1"/>
  <c r="FS24" i="16"/>
  <c r="FT24" i="16"/>
  <c r="AR209" i="20"/>
  <c r="AQ511" i="20"/>
  <c r="FU24" i="16"/>
  <c r="FV24" i="16"/>
  <c r="BA12" i="17"/>
  <c r="AP512" i="20"/>
  <c r="AP514" i="20" s="1"/>
  <c r="AP513" i="20"/>
  <c r="N62" i="2" l="1"/>
  <c r="EE277" i="37"/>
  <c r="EE279" i="37"/>
  <c r="EF37" i="37"/>
  <c r="EF12" i="37"/>
  <c r="EF267" i="37" s="1"/>
  <c r="EG215" i="37"/>
  <c r="EG208" i="37"/>
  <c r="EF59" i="37"/>
  <c r="EF52" i="37"/>
  <c r="EG137" i="37"/>
  <c r="EH28" i="37"/>
  <c r="EH205" i="37" s="1"/>
  <c r="EH206" i="37" s="1"/>
  <c r="EG49" i="37"/>
  <c r="EG50" i="37" s="1"/>
  <c r="EG31" i="37"/>
  <c r="EG32" i="37" s="1"/>
  <c r="BN149" i="37"/>
  <c r="BN217" i="37"/>
  <c r="CA55" i="37"/>
  <c r="CA57" i="37" s="1"/>
  <c r="CA58" i="37" s="1"/>
  <c r="CA60" i="37" s="1"/>
  <c r="CA13" i="37" s="1"/>
  <c r="CA268" i="37" s="1"/>
  <c r="CA61" i="37"/>
  <c r="AC18" i="2"/>
  <c r="AD59" i="4"/>
  <c r="AD50" i="2" s="1"/>
  <c r="AD21" i="2" s="1"/>
  <c r="AC78" i="36"/>
  <c r="K93" i="36" s="1"/>
  <c r="P326" i="20"/>
  <c r="AP274" i="20"/>
  <c r="D272" i="20"/>
  <c r="P250" i="20"/>
  <c r="AP219" i="20"/>
  <c r="D202" i="20"/>
  <c r="D219" i="20" s="1"/>
  <c r="AP216" i="20"/>
  <c r="P264" i="20" s="1"/>
  <c r="BH109" i="16"/>
  <c r="BH111" i="16" s="1"/>
  <c r="BH128" i="16" s="1"/>
  <c r="P259" i="20"/>
  <c r="AO512" i="20"/>
  <c r="AO513" i="20"/>
  <c r="I549" i="20" s="1"/>
  <c r="I546" i="20"/>
  <c r="AG13" i="19"/>
  <c r="X354" i="20" s="1"/>
  <c r="K386" i="20" s="1"/>
  <c r="AH85" i="19"/>
  <c r="FS61" i="16"/>
  <c r="FS63" i="16" s="1"/>
  <c r="FS17" i="16"/>
  <c r="FS26" i="16" s="1"/>
  <c r="FS34" i="16" s="1"/>
  <c r="FS36" i="16" s="1"/>
  <c r="J22" i="23"/>
  <c r="FU61" i="16"/>
  <c r="FU63" i="16" s="1"/>
  <c r="FU17" i="16"/>
  <c r="FU26" i="16" s="1"/>
  <c r="FU34" i="16" s="1"/>
  <c r="FU36" i="16" s="1"/>
  <c r="FT61" i="16"/>
  <c r="FT63" i="16" s="1"/>
  <c r="FT17" i="16"/>
  <c r="FT26" i="16" s="1"/>
  <c r="FT34" i="16" s="1"/>
  <c r="FT36" i="16" s="1"/>
  <c r="AQ216" i="20"/>
  <c r="AQ222" i="20" s="1"/>
  <c r="BI109" i="16"/>
  <c r="BI111" i="16" s="1"/>
  <c r="AZ35" i="17"/>
  <c r="FV61" i="16"/>
  <c r="FV63" i="16" s="1"/>
  <c r="FV17" i="16"/>
  <c r="FV26" i="16" s="1"/>
  <c r="FV34" i="16" s="1"/>
  <c r="FV36" i="16" s="1"/>
  <c r="BA21" i="17"/>
  <c r="AQ509" i="20"/>
  <c r="AQ510" i="20" s="1"/>
  <c r="AR204" i="20"/>
  <c r="BA94" i="19"/>
  <c r="BB19" i="17" s="1"/>
  <c r="EF277" i="37" l="1"/>
  <c r="EF279" i="37"/>
  <c r="EG37" i="37"/>
  <c r="EG12" i="37"/>
  <c r="EH215" i="37"/>
  <c r="EH208" i="37"/>
  <c r="EG59" i="37"/>
  <c r="EG52" i="37"/>
  <c r="EH137" i="37"/>
  <c r="EI28" i="37"/>
  <c r="EI205" i="37" s="1"/>
  <c r="EI206" i="37" s="1"/>
  <c r="EH49" i="37"/>
  <c r="EH50" i="37" s="1"/>
  <c r="EH31" i="37"/>
  <c r="EH32" i="37" s="1"/>
  <c r="CB55" i="37"/>
  <c r="CB57" i="37" s="1"/>
  <c r="CB58" i="37" s="1"/>
  <c r="CB60" i="37" s="1"/>
  <c r="CB13" i="37" s="1"/>
  <c r="CB268" i="37" s="1"/>
  <c r="CB61" i="37"/>
  <c r="AD48" i="2"/>
  <c r="AE34" i="2"/>
  <c r="AD64" i="4"/>
  <c r="AD28" i="4" s="1"/>
  <c r="AD88" i="4" s="1"/>
  <c r="AD62" i="4"/>
  <c r="AD18" i="2"/>
  <c r="AP222" i="20"/>
  <c r="AP294" i="20"/>
  <c r="P328" i="20"/>
  <c r="D274" i="20"/>
  <c r="BA95" i="19"/>
  <c r="BB92" i="19" s="1"/>
  <c r="BB94" i="19" s="1"/>
  <c r="I548" i="20"/>
  <c r="AO514" i="20"/>
  <c r="I550" i="20" s="1"/>
  <c r="J28" i="23"/>
  <c r="AH87" i="19"/>
  <c r="AH88" i="19" s="1"/>
  <c r="AQ512" i="20"/>
  <c r="AQ514" i="20" s="1"/>
  <c r="AQ513" i="20"/>
  <c r="AY221" i="19"/>
  <c r="AY219" i="19" s="1"/>
  <c r="AQ218" i="20"/>
  <c r="AQ223" i="20" s="1"/>
  <c r="AU14" i="22"/>
  <c r="AU11" i="22" s="1"/>
  <c r="BA33" i="17"/>
  <c r="AR211" i="20"/>
  <c r="BI128" i="16"/>
  <c r="AR220" i="20"/>
  <c r="FZ24" i="16"/>
  <c r="AS209" i="20"/>
  <c r="AR511" i="20"/>
  <c r="FW24" i="16"/>
  <c r="FX24" i="16"/>
  <c r="FY24" i="16"/>
  <c r="BB12" i="17"/>
  <c r="EG267" i="37" l="1"/>
  <c r="EG277" i="37" s="1"/>
  <c r="AO319" i="25"/>
  <c r="EH37" i="37"/>
  <c r="EH12" i="37"/>
  <c r="EH267" i="37" s="1"/>
  <c r="EI215" i="37"/>
  <c r="EI208" i="37"/>
  <c r="EH59" i="37"/>
  <c r="EH52" i="37"/>
  <c r="EI137" i="37"/>
  <c r="EJ28" i="37"/>
  <c r="EJ205" i="37" s="1"/>
  <c r="EJ206" i="37" s="1"/>
  <c r="EI49" i="37"/>
  <c r="EI50" i="37" s="1"/>
  <c r="EI31" i="37"/>
  <c r="EI32" i="37" s="1"/>
  <c r="CC55" i="37"/>
  <c r="CC57" i="37" s="1"/>
  <c r="CC58" i="37" s="1"/>
  <c r="CC60" i="37" s="1"/>
  <c r="CC13" i="37" s="1"/>
  <c r="CC268" i="37" s="1"/>
  <c r="CC61" i="37"/>
  <c r="AE59" i="4"/>
  <c r="AE50" i="2" s="1"/>
  <c r="AE21" i="2" s="1"/>
  <c r="AD78" i="36"/>
  <c r="BC19" i="17"/>
  <c r="AT209" i="20" s="1"/>
  <c r="BB95" i="19"/>
  <c r="AI85" i="19"/>
  <c r="AH13" i="19"/>
  <c r="Y354" i="20" s="1"/>
  <c r="L386" i="20" s="1"/>
  <c r="FZ61" i="16"/>
  <c r="FZ17" i="16"/>
  <c r="F24" i="16"/>
  <c r="AR216" i="20"/>
  <c r="AR222" i="20" s="1"/>
  <c r="BJ109" i="16"/>
  <c r="BJ111" i="16" s="1"/>
  <c r="BA35" i="17"/>
  <c r="AS204" i="20"/>
  <c r="AS220" i="20" s="1"/>
  <c r="BB21" i="17"/>
  <c r="AR509" i="20"/>
  <c r="AR510" i="20" s="1"/>
  <c r="FY61" i="16"/>
  <c r="FY63" i="16" s="1"/>
  <c r="FY17" i="16"/>
  <c r="FY26" i="16" s="1"/>
  <c r="FY34" i="16" s="1"/>
  <c r="FY36" i="16" s="1"/>
  <c r="FX61" i="16"/>
  <c r="FX63" i="16" s="1"/>
  <c r="FX17" i="16"/>
  <c r="FX26" i="16" s="1"/>
  <c r="FX34" i="16" s="1"/>
  <c r="FX36" i="16" s="1"/>
  <c r="Z43" i="18"/>
  <c r="J29" i="23"/>
  <c r="J24" i="23" s="1"/>
  <c r="FW61" i="16"/>
  <c r="FW63" i="16" s="1"/>
  <c r="FW17" i="16"/>
  <c r="FW26" i="16" s="1"/>
  <c r="FW34" i="16" s="1"/>
  <c r="FW36" i="16" s="1"/>
  <c r="AR221" i="20"/>
  <c r="EG279" i="37" l="1"/>
  <c r="EH277" i="37"/>
  <c r="EH279" i="37"/>
  <c r="EI37" i="37"/>
  <c r="EI12" i="37"/>
  <c r="EI267" i="37" s="1"/>
  <c r="EJ215" i="37"/>
  <c r="EJ208" i="37"/>
  <c r="EI59" i="37"/>
  <c r="EI52" i="37"/>
  <c r="EJ137" i="37"/>
  <c r="EJ49" i="37"/>
  <c r="EJ50" i="37" s="1"/>
  <c r="EK28" i="37"/>
  <c r="EK205" i="37" s="1"/>
  <c r="EK206" i="37" s="1"/>
  <c r="EJ31" i="37"/>
  <c r="EJ32" i="37" s="1"/>
  <c r="CD55" i="37"/>
  <c r="CD57" i="37" s="1"/>
  <c r="CD58" i="37" s="1"/>
  <c r="CD60" i="37" s="1"/>
  <c r="CD13" i="37" s="1"/>
  <c r="CD268" i="37" s="1"/>
  <c r="CD61" i="37"/>
  <c r="AE48" i="2"/>
  <c r="AF34" i="2"/>
  <c r="AE64" i="4"/>
  <c r="AE28" i="4" s="1"/>
  <c r="AE88" i="4" s="1"/>
  <c r="AE62" i="4"/>
  <c r="AE18" i="2"/>
  <c r="AS511" i="20"/>
  <c r="F19" i="17"/>
  <c r="BC12" i="17"/>
  <c r="BC21" i="17" s="1"/>
  <c r="J30" i="23"/>
  <c r="K27" i="23" s="1"/>
  <c r="FZ63" i="16"/>
  <c r="F63" i="16" s="1"/>
  <c r="F61" i="16"/>
  <c r="AR218" i="20"/>
  <c r="AR223" i="20" s="1"/>
  <c r="AZ221" i="19"/>
  <c r="AV14" i="22"/>
  <c r="AV11" i="22" s="1"/>
  <c r="D209" i="20"/>
  <c r="Z37" i="18"/>
  <c r="J23" i="23"/>
  <c r="BJ128" i="16"/>
  <c r="K42" i="21"/>
  <c r="BB33" i="17"/>
  <c r="AS211" i="20"/>
  <c r="AS221" i="20" s="1"/>
  <c r="AI87" i="19"/>
  <c r="AI88" i="19" s="1"/>
  <c r="AR512" i="20"/>
  <c r="AR514" i="20" s="1"/>
  <c r="AR513" i="20"/>
  <c r="FZ26" i="16"/>
  <c r="F17" i="16"/>
  <c r="EI277" i="37" l="1"/>
  <c r="EI279" i="37"/>
  <c r="EJ37" i="37"/>
  <c r="EJ12" i="37"/>
  <c r="EJ267" i="37" s="1"/>
  <c r="EK215" i="37"/>
  <c r="EK208" i="37"/>
  <c r="EK137" i="37"/>
  <c r="EL28" i="37"/>
  <c r="EL205" i="37" s="1"/>
  <c r="EL206" i="37" s="1"/>
  <c r="EK49" i="37"/>
  <c r="EK50" i="37" s="1"/>
  <c r="EK31" i="37"/>
  <c r="EK32" i="37" s="1"/>
  <c r="EJ59" i="37"/>
  <c r="EJ52" i="37"/>
  <c r="CE55" i="37"/>
  <c r="CE57" i="37" s="1"/>
  <c r="CE58" i="37" s="1"/>
  <c r="CE60" i="37" s="1"/>
  <c r="CE13" i="37" s="1"/>
  <c r="CE268" i="37" s="1"/>
  <c r="CE61" i="37"/>
  <c r="AF59" i="4"/>
  <c r="AF50" i="2" s="1"/>
  <c r="AF21" i="2" s="1"/>
  <c r="AE78" i="36"/>
  <c r="AS509" i="20"/>
  <c r="AS510" i="20" s="1"/>
  <c r="AS512" i="20" s="1"/>
  <c r="AS514" i="20" s="1"/>
  <c r="AT204" i="20"/>
  <c r="AT220" i="20" s="1"/>
  <c r="F12" i="17"/>
  <c r="AJ85" i="19"/>
  <c r="AI13" i="19"/>
  <c r="Z354" i="20" s="1"/>
  <c r="M386" i="20" s="1"/>
  <c r="BC33" i="17"/>
  <c r="AT211" i="20"/>
  <c r="F21" i="17"/>
  <c r="AS216" i="20"/>
  <c r="BK109" i="16"/>
  <c r="BK111" i="16" s="1"/>
  <c r="BB35" i="17"/>
  <c r="J72" i="19"/>
  <c r="J25" i="23"/>
  <c r="J36" i="23" s="1"/>
  <c r="J40" i="23" s="1"/>
  <c r="K36" i="21"/>
  <c r="Z46" i="18"/>
  <c r="Z44" i="18" s="1"/>
  <c r="FZ34" i="16"/>
  <c r="FZ36" i="16" s="1"/>
  <c r="F26" i="16"/>
  <c r="J43" i="23" l="1"/>
  <c r="EJ277" i="37"/>
  <c r="EJ279" i="37"/>
  <c r="EK37" i="37"/>
  <c r="EK12" i="37"/>
  <c r="EL215" i="37"/>
  <c r="EL208" i="37"/>
  <c r="EK59" i="37"/>
  <c r="EK52" i="37"/>
  <c r="EL137" i="37"/>
  <c r="EM28" i="37"/>
  <c r="EM205" i="37" s="1"/>
  <c r="EM206" i="37" s="1"/>
  <c r="EL49" i="37"/>
  <c r="EL50" i="37" s="1"/>
  <c r="EL31" i="37"/>
  <c r="EL32" i="37" s="1"/>
  <c r="CF55" i="37"/>
  <c r="CF57" i="37" s="1"/>
  <c r="CF58" i="37" s="1"/>
  <c r="CF60" i="37" s="1"/>
  <c r="CF13" i="37" s="1"/>
  <c r="CF268" i="37" s="1"/>
  <c r="CF61" i="37"/>
  <c r="AF48" i="2"/>
  <c r="AG34" i="2"/>
  <c r="AF18" i="2"/>
  <c r="AF62" i="4"/>
  <c r="AF64" i="4"/>
  <c r="AF28" i="4" s="1"/>
  <c r="AF88" i="4" s="1"/>
  <c r="AS513" i="20"/>
  <c r="D204" i="20"/>
  <c r="D220" i="20" s="1"/>
  <c r="AT221" i="20"/>
  <c r="K43" i="21"/>
  <c r="K38" i="21" s="1"/>
  <c r="J66" i="19" s="1"/>
  <c r="Z39" i="18"/>
  <c r="BC35" i="17"/>
  <c r="AT216" i="20"/>
  <c r="AT222" i="20" s="1"/>
  <c r="BL109" i="16"/>
  <c r="BL111" i="16" s="1"/>
  <c r="J73" i="19"/>
  <c r="J74" i="19" s="1"/>
  <c r="BA221" i="19"/>
  <c r="AS218" i="20"/>
  <c r="AS223" i="20" s="1"/>
  <c r="AW14" i="22"/>
  <c r="AW11" i="22" s="1"/>
  <c r="BK128" i="16"/>
  <c r="AJ87" i="19"/>
  <c r="AJ88" i="19" s="1"/>
  <c r="AS222" i="20"/>
  <c r="D211" i="20"/>
  <c r="EK267" i="37" l="1"/>
  <c r="EK277" i="37" s="1"/>
  <c r="AP319" i="25"/>
  <c r="EL37" i="37"/>
  <c r="EL12" i="37"/>
  <c r="EL267" i="37" s="1"/>
  <c r="EM215" i="37"/>
  <c r="EM208" i="37"/>
  <c r="EL59" i="37"/>
  <c r="EL52" i="37"/>
  <c r="EM137" i="37"/>
  <c r="EN28" i="37"/>
  <c r="EN205" i="37" s="1"/>
  <c r="EN206" i="37" s="1"/>
  <c r="EM49" i="37"/>
  <c r="EM50" i="37" s="1"/>
  <c r="EM31" i="37"/>
  <c r="EM32" i="37" s="1"/>
  <c r="CH54" i="37"/>
  <c r="CG55" i="37"/>
  <c r="CG57" i="37" s="1"/>
  <c r="CG58" i="37" s="1"/>
  <c r="CG60" i="37" s="1"/>
  <c r="CG13" i="37" s="1"/>
  <c r="CG268" i="37" s="1"/>
  <c r="CG61" i="37"/>
  <c r="AG59" i="4"/>
  <c r="AG50" i="2" s="1"/>
  <c r="AF78" i="36"/>
  <c r="D221" i="20"/>
  <c r="J11" i="19"/>
  <c r="K71" i="19"/>
  <c r="AK85" i="19"/>
  <c r="AJ13" i="19"/>
  <c r="AA354" i="20" s="1"/>
  <c r="N386" i="20" s="1"/>
  <c r="BL128" i="16"/>
  <c r="J52" i="23"/>
  <c r="J75" i="23" s="1"/>
  <c r="BB221" i="19"/>
  <c r="AT218" i="20"/>
  <c r="AT223" i="20" s="1"/>
  <c r="AX14" i="22"/>
  <c r="AX11" i="22" s="1"/>
  <c r="EK279" i="37" l="1"/>
  <c r="EL277" i="37"/>
  <c r="EL279" i="37"/>
  <c r="EM37" i="37"/>
  <c r="EM12" i="37"/>
  <c r="EM267" i="37" s="1"/>
  <c r="EN215" i="37"/>
  <c r="EN208" i="37"/>
  <c r="CH210" i="37"/>
  <c r="CH211" i="37" s="1"/>
  <c r="CH213" i="37" s="1"/>
  <c r="CH214" i="37" s="1"/>
  <c r="CH216" i="37" s="1"/>
  <c r="CH15" i="37" s="1"/>
  <c r="CH270" i="37" s="1"/>
  <c r="G722" i="20" s="1"/>
  <c r="K722" i="20" s="1"/>
  <c r="CH217" i="37"/>
  <c r="EM59" i="37"/>
  <c r="EM52" i="37"/>
  <c r="EN137" i="37"/>
  <c r="EO28" i="37"/>
  <c r="EO205" i="37" s="1"/>
  <c r="EO206" i="37" s="1"/>
  <c r="EN49" i="37"/>
  <c r="EN50" i="37" s="1"/>
  <c r="EN31" i="37"/>
  <c r="EN32" i="37" s="1"/>
  <c r="CH142" i="37"/>
  <c r="CH143" i="37" s="1"/>
  <c r="CH149" i="37"/>
  <c r="CI54" i="37"/>
  <c r="CH55" i="37"/>
  <c r="CH57" i="37" s="1"/>
  <c r="CH58" i="37" s="1"/>
  <c r="CH60" i="37" s="1"/>
  <c r="CH13" i="37" s="1"/>
  <c r="CH268" i="37" s="1"/>
  <c r="H722" i="20" s="1"/>
  <c r="L722" i="20" s="1"/>
  <c r="CH61" i="37"/>
  <c r="AG21" i="2"/>
  <c r="K470" i="20"/>
  <c r="AG48" i="2"/>
  <c r="AH34" i="2"/>
  <c r="AG64" i="4"/>
  <c r="AG28" i="4" s="1"/>
  <c r="AG88" i="4" s="1"/>
  <c r="AG62" i="4"/>
  <c r="AK87" i="19"/>
  <c r="AK88" i="19" s="1"/>
  <c r="J78" i="23"/>
  <c r="O62" i="2" l="1"/>
  <c r="EM277" i="37"/>
  <c r="EM279" i="37"/>
  <c r="EN37" i="37"/>
  <c r="EN12" i="37"/>
  <c r="EN267" i="37" s="1"/>
  <c r="EO215" i="37"/>
  <c r="EO208" i="37"/>
  <c r="CI210" i="37"/>
  <c r="CI211" i="37" s="1"/>
  <c r="CI213" i="37" s="1"/>
  <c r="CI214" i="37" s="1"/>
  <c r="CI216" i="37" s="1"/>
  <c r="CI15" i="37" s="1"/>
  <c r="CI270" i="37" s="1"/>
  <c r="G723" i="20" s="1"/>
  <c r="K723" i="20" s="1"/>
  <c r="CI217" i="37"/>
  <c r="CH145" i="37"/>
  <c r="EO137" i="37"/>
  <c r="EP28" i="37"/>
  <c r="EP205" i="37" s="1"/>
  <c r="EP206" i="37" s="1"/>
  <c r="EO49" i="37"/>
  <c r="EO50" i="37" s="1"/>
  <c r="EO31" i="37"/>
  <c r="EO32" i="37" s="1"/>
  <c r="EN59" i="37"/>
  <c r="EN52" i="37"/>
  <c r="CI142" i="37"/>
  <c r="CI143" i="37" s="1"/>
  <c r="CI145" i="37" s="1"/>
  <c r="CI149" i="37"/>
  <c r="CJ54" i="37"/>
  <c r="CI55" i="37"/>
  <c r="CI57" i="37" s="1"/>
  <c r="CI58" i="37" s="1"/>
  <c r="CI60" i="37" s="1"/>
  <c r="CI13" i="37" s="1"/>
  <c r="CI268" i="37" s="1"/>
  <c r="H723" i="20" s="1"/>
  <c r="L723" i="20" s="1"/>
  <c r="CI61" i="37"/>
  <c r="AG18" i="2"/>
  <c r="AH59" i="4"/>
  <c r="AH50" i="2" s="1"/>
  <c r="AH21" i="2" s="1"/>
  <c r="AG78" i="36"/>
  <c r="L93" i="36" s="1"/>
  <c r="AK13" i="19"/>
  <c r="AB354" i="20" s="1"/>
  <c r="O386" i="20" s="1"/>
  <c r="AL85" i="19"/>
  <c r="J53" i="23"/>
  <c r="EN277" i="37" l="1"/>
  <c r="EN279" i="37"/>
  <c r="EO37" i="37"/>
  <c r="EO12" i="37"/>
  <c r="CJ210" i="37"/>
  <c r="CJ211" i="37" s="1"/>
  <c r="CJ213" i="37" s="1"/>
  <c r="CJ214" i="37" s="1"/>
  <c r="CJ216" i="37" s="1"/>
  <c r="CJ15" i="37" s="1"/>
  <c r="CJ217" i="37"/>
  <c r="EP215" i="37"/>
  <c r="EP208" i="37"/>
  <c r="EO59" i="37"/>
  <c r="EO52" i="37"/>
  <c r="EP137" i="37"/>
  <c r="EQ28" i="37"/>
  <c r="EQ205" i="37" s="1"/>
  <c r="EQ206" i="37" s="1"/>
  <c r="EP49" i="37"/>
  <c r="EP50" i="37" s="1"/>
  <c r="EP31" i="37"/>
  <c r="EP32" i="37" s="1"/>
  <c r="CJ142" i="37"/>
  <c r="CJ143" i="37" s="1"/>
  <c r="CJ145" i="37" s="1"/>
  <c r="CJ149" i="37"/>
  <c r="CK54" i="37"/>
  <c r="CK149" i="37" s="1"/>
  <c r="CJ55" i="37"/>
  <c r="CJ57" i="37" s="1"/>
  <c r="CJ58" i="37" s="1"/>
  <c r="CJ60" i="37" s="1"/>
  <c r="CJ13" i="37" s="1"/>
  <c r="CJ61" i="37"/>
  <c r="AH48" i="2"/>
  <c r="AI34" i="2"/>
  <c r="AH64" i="4"/>
  <c r="AH28" i="4" s="1"/>
  <c r="AH88" i="4" s="1"/>
  <c r="AH62" i="4"/>
  <c r="AH18" i="2"/>
  <c r="J82" i="23"/>
  <c r="AL87" i="19"/>
  <c r="AL88" i="19" s="1"/>
  <c r="CJ270" i="37" l="1"/>
  <c r="G724" i="20" s="1"/>
  <c r="K724" i="20" s="1"/>
  <c r="T647" i="20"/>
  <c r="CJ268" i="37"/>
  <c r="H724" i="20" s="1"/>
  <c r="L724" i="20" s="1"/>
  <c r="T645" i="20"/>
  <c r="EO267" i="37"/>
  <c r="EO277" i="37" s="1"/>
  <c r="AQ319" i="25"/>
  <c r="EP37" i="37"/>
  <c r="EP12" i="37"/>
  <c r="EP267" i="37" s="1"/>
  <c r="CK210" i="37"/>
  <c r="CK211" i="37" s="1"/>
  <c r="CK213" i="37" s="1"/>
  <c r="CK214" i="37" s="1"/>
  <c r="CK216" i="37" s="1"/>
  <c r="CK15" i="37" s="1"/>
  <c r="U647" i="20" s="1"/>
  <c r="CK217" i="37"/>
  <c r="EQ215" i="37"/>
  <c r="EQ208" i="37"/>
  <c r="EP59" i="37"/>
  <c r="EP52" i="37"/>
  <c r="EQ137" i="37"/>
  <c r="ER28" i="37"/>
  <c r="ER205" i="37" s="1"/>
  <c r="ER206" i="37" s="1"/>
  <c r="EQ49" i="37"/>
  <c r="EQ50" i="37" s="1"/>
  <c r="EQ31" i="37"/>
  <c r="EQ32" i="37" s="1"/>
  <c r="CK142" i="37"/>
  <c r="CK143" i="37" s="1"/>
  <c r="CK145" i="37" s="1"/>
  <c r="CL54" i="37"/>
  <c r="CK55" i="37"/>
  <c r="CK57" i="37" s="1"/>
  <c r="CK58" i="37" s="1"/>
  <c r="CK60" i="37" s="1"/>
  <c r="CK61" i="37"/>
  <c r="O59" i="2"/>
  <c r="AI59" i="4"/>
  <c r="AI50" i="2" s="1"/>
  <c r="AI21" i="2" s="1"/>
  <c r="AH78" i="36"/>
  <c r="J87" i="23"/>
  <c r="AM85" i="19"/>
  <c r="AL13" i="19"/>
  <c r="AC354" i="20" s="1"/>
  <c r="D414" i="20" s="1"/>
  <c r="EO279" i="37" l="1"/>
  <c r="CK13" i="37"/>
  <c r="CK270" i="37"/>
  <c r="G725" i="20" s="1"/>
  <c r="K725" i="20" s="1"/>
  <c r="AC322" i="25"/>
  <c r="EP277" i="37"/>
  <c r="EP279" i="37"/>
  <c r="EQ37" i="37"/>
  <c r="EQ12" i="37"/>
  <c r="EQ267" i="37" s="1"/>
  <c r="CL210" i="37"/>
  <c r="CL211" i="37" s="1"/>
  <c r="CL213" i="37" s="1"/>
  <c r="CL214" i="37" s="1"/>
  <c r="CL216" i="37" s="1"/>
  <c r="CL15" i="37" s="1"/>
  <c r="CL217" i="37"/>
  <c r="ER215" i="37"/>
  <c r="ER208" i="37"/>
  <c r="EQ59" i="37"/>
  <c r="EQ52" i="37"/>
  <c r="ER137" i="37"/>
  <c r="ES28" i="37"/>
  <c r="ES205" i="37" s="1"/>
  <c r="ES206" i="37" s="1"/>
  <c r="ER49" i="37"/>
  <c r="ER50" i="37" s="1"/>
  <c r="ER31" i="37"/>
  <c r="ER32" i="37" s="1"/>
  <c r="CL142" i="37"/>
  <c r="CL143" i="37" s="1"/>
  <c r="CL149" i="37"/>
  <c r="CL55" i="37"/>
  <c r="CL57" i="37" s="1"/>
  <c r="CL58" i="37" s="1"/>
  <c r="CL60" i="37" s="1"/>
  <c r="CL13" i="37" s="1"/>
  <c r="CM54" i="37"/>
  <c r="CL61" i="37"/>
  <c r="AI48" i="2"/>
  <c r="AJ34" i="2"/>
  <c r="AI18" i="2"/>
  <c r="AI64" i="4"/>
  <c r="AI28" i="4" s="1"/>
  <c r="AI88" i="4" s="1"/>
  <c r="AI62" i="4"/>
  <c r="AM87" i="19"/>
  <c r="AM88" i="19" s="1"/>
  <c r="J83" i="23"/>
  <c r="J94" i="23"/>
  <c r="CL268" i="37" l="1"/>
  <c r="H726" i="20" s="1"/>
  <c r="L726" i="20" s="1"/>
  <c r="V645" i="20"/>
  <c r="AC320" i="25"/>
  <c r="U645" i="20"/>
  <c r="CL270" i="37"/>
  <c r="G726" i="20" s="1"/>
  <c r="K726" i="20" s="1"/>
  <c r="V647" i="20"/>
  <c r="CK268" i="37"/>
  <c r="H725" i="20" s="1"/>
  <c r="L725" i="20" s="1"/>
  <c r="EQ277" i="37"/>
  <c r="EQ279" i="37"/>
  <c r="ER37" i="37"/>
  <c r="ER12" i="37"/>
  <c r="ER267" i="37" s="1"/>
  <c r="CM210" i="37"/>
  <c r="CM211" i="37" s="1"/>
  <c r="CM213" i="37" s="1"/>
  <c r="CM214" i="37" s="1"/>
  <c r="CM216" i="37" s="1"/>
  <c r="CM15" i="37" s="1"/>
  <c r="CM217" i="37"/>
  <c r="ES215" i="37"/>
  <c r="ES208" i="37"/>
  <c r="CL145" i="37"/>
  <c r="ER59" i="37"/>
  <c r="ER52" i="37"/>
  <c r="ES137" i="37"/>
  <c r="ET28" i="37"/>
  <c r="ET205" i="37" s="1"/>
  <c r="ET206" i="37" s="1"/>
  <c r="ES49" i="37"/>
  <c r="ES50" i="37" s="1"/>
  <c r="ES31" i="37"/>
  <c r="ES32" i="37" s="1"/>
  <c r="CM142" i="37"/>
  <c r="CM143" i="37" s="1"/>
  <c r="CM145" i="37" s="1"/>
  <c r="CM149" i="37"/>
  <c r="CM55" i="37"/>
  <c r="CM57" i="37" s="1"/>
  <c r="CM58" i="37" s="1"/>
  <c r="CM60" i="37" s="1"/>
  <c r="CM13" i="37" s="1"/>
  <c r="CN54" i="37"/>
  <c r="CM61" i="37"/>
  <c r="AJ59" i="4"/>
  <c r="AJ50" i="2" s="1"/>
  <c r="AJ21" i="2" s="1"/>
  <c r="AI78" i="36"/>
  <c r="J88" i="23"/>
  <c r="Z38" i="18"/>
  <c r="J84" i="23"/>
  <c r="AM13" i="19"/>
  <c r="AD354" i="20" s="1"/>
  <c r="E414" i="20" s="1"/>
  <c r="AN85" i="19"/>
  <c r="CM270" i="37" l="1"/>
  <c r="G727" i="20" s="1"/>
  <c r="K727" i="20" s="1"/>
  <c r="W647" i="20"/>
  <c r="CM268" i="37"/>
  <c r="H727" i="20" s="1"/>
  <c r="L727" i="20" s="1"/>
  <c r="W645" i="20"/>
  <c r="ER277" i="37"/>
  <c r="ER279" i="37"/>
  <c r="ES37" i="37"/>
  <c r="ES12" i="37"/>
  <c r="ET215" i="37"/>
  <c r="ET208" i="37"/>
  <c r="CN210" i="37"/>
  <c r="CN211" i="37" s="1"/>
  <c r="CN213" i="37" s="1"/>
  <c r="CN214" i="37" s="1"/>
  <c r="CN216" i="37" s="1"/>
  <c r="CN15" i="37" s="1"/>
  <c r="CN217" i="37"/>
  <c r="ES59" i="37"/>
  <c r="ES52" i="37"/>
  <c r="ET137" i="37"/>
  <c r="EU28" i="37"/>
  <c r="EU205" i="37" s="1"/>
  <c r="EU206" i="37" s="1"/>
  <c r="ET49" i="37"/>
  <c r="ET50" i="37" s="1"/>
  <c r="ET31" i="37"/>
  <c r="ET32" i="37" s="1"/>
  <c r="CN142" i="37"/>
  <c r="CN143" i="37" s="1"/>
  <c r="CN149" i="37"/>
  <c r="CO54" i="37"/>
  <c r="CN55" i="37"/>
  <c r="CN57" i="37" s="1"/>
  <c r="CN58" i="37" s="1"/>
  <c r="CN60" i="37" s="1"/>
  <c r="CN13" i="37" s="1"/>
  <c r="CN61" i="37"/>
  <c r="AJ48" i="2"/>
  <c r="F470" i="20"/>
  <c r="L470" i="20"/>
  <c r="AK21" i="2"/>
  <c r="AJ18" i="2"/>
  <c r="AJ61" i="4"/>
  <c r="AJ64" i="4"/>
  <c r="AJ28" i="4" s="1"/>
  <c r="AJ88" i="4" s="1"/>
  <c r="K37" i="21"/>
  <c r="K33" i="21" s="1"/>
  <c r="Z34" i="18"/>
  <c r="Z33" i="18" s="1"/>
  <c r="Z48" i="18" s="1"/>
  <c r="Z50" i="18" s="1"/>
  <c r="J89" i="23"/>
  <c r="AN87" i="19"/>
  <c r="AN88" i="19" s="1"/>
  <c r="J109" i="23"/>
  <c r="CN270" i="37" l="1"/>
  <c r="G728" i="20" s="1"/>
  <c r="K728" i="20" s="1"/>
  <c r="X647" i="20"/>
  <c r="CN268" i="37"/>
  <c r="H728" i="20" s="1"/>
  <c r="L728" i="20" s="1"/>
  <c r="X645" i="20"/>
  <c r="P62" i="2"/>
  <c r="F499" i="20"/>
  <c r="H499" i="20"/>
  <c r="I499" i="20"/>
  <c r="J499" i="20"/>
  <c r="K499" i="20"/>
  <c r="L499" i="20"/>
  <c r="J62" i="2"/>
  <c r="J59" i="2" s="1"/>
  <c r="AJ20" i="4"/>
  <c r="AJ67" i="4"/>
  <c r="ES267" i="37"/>
  <c r="ES279" i="37" s="1"/>
  <c r="AR319" i="25"/>
  <c r="ET37" i="37"/>
  <c r="ET12" i="37"/>
  <c r="ET267" i="37" s="1"/>
  <c r="CO210" i="37"/>
  <c r="CO211" i="37" s="1"/>
  <c r="CO213" i="37" s="1"/>
  <c r="CO214" i="37" s="1"/>
  <c r="CO216" i="37" s="1"/>
  <c r="CO15" i="37" s="1"/>
  <c r="Y647" i="20" s="1"/>
  <c r="CO217" i="37"/>
  <c r="EU215" i="37"/>
  <c r="EU208" i="37"/>
  <c r="CN145" i="37"/>
  <c r="ET59" i="37"/>
  <c r="ET52" i="37"/>
  <c r="EU137" i="37"/>
  <c r="EV28" i="37"/>
  <c r="EV205" i="37" s="1"/>
  <c r="EV206" i="37" s="1"/>
  <c r="EU49" i="37"/>
  <c r="EU50" i="37" s="1"/>
  <c r="EU31" i="37"/>
  <c r="EU32" i="37" s="1"/>
  <c r="CO142" i="37"/>
  <c r="CO143" i="37" s="1"/>
  <c r="CO145" i="37" s="1"/>
  <c r="CO149" i="37"/>
  <c r="CP54" i="37"/>
  <c r="CO55" i="37"/>
  <c r="CO57" i="37" s="1"/>
  <c r="CO58" i="37" s="1"/>
  <c r="CO60" i="37" s="1"/>
  <c r="CO13" i="37" s="1"/>
  <c r="Y645" i="20" s="1"/>
  <c r="CO61" i="37"/>
  <c r="E36" i="2"/>
  <c r="AK34" i="2"/>
  <c r="D28" i="4"/>
  <c r="AJ62" i="4"/>
  <c r="AJ78" i="36" s="1"/>
  <c r="M93" i="36" s="1"/>
  <c r="D64" i="4"/>
  <c r="D61" i="4"/>
  <c r="AK48" i="2"/>
  <c r="E50" i="2"/>
  <c r="AN13" i="19"/>
  <c r="AE354" i="20" s="1"/>
  <c r="F414" i="20" s="1"/>
  <c r="AO85" i="19"/>
  <c r="AA49" i="18"/>
  <c r="Z51" i="18"/>
  <c r="L46" i="21" s="1"/>
  <c r="J113" i="23"/>
  <c r="J239" i="19"/>
  <c r="J244" i="19" s="1"/>
  <c r="J65" i="19"/>
  <c r="J67" i="19" s="1"/>
  <c r="J10" i="19" s="1"/>
  <c r="J9" i="19" s="1"/>
  <c r="J8" i="19" s="1"/>
  <c r="J29" i="19" s="1"/>
  <c r="J58" i="19" s="1"/>
  <c r="K32" i="21"/>
  <c r="K45" i="21" s="1"/>
  <c r="K47" i="21" s="1"/>
  <c r="K86" i="23"/>
  <c r="D499" i="20" l="1"/>
  <c r="D20" i="4"/>
  <c r="L49" i="21"/>
  <c r="L50" i="21"/>
  <c r="ES277" i="37"/>
  <c r="CO270" i="37"/>
  <c r="G729" i="20" s="1"/>
  <c r="K729" i="20" s="1"/>
  <c r="AD322" i="25"/>
  <c r="CO268" i="37"/>
  <c r="H729" i="20" s="1"/>
  <c r="L729" i="20" s="1"/>
  <c r="AD320" i="25"/>
  <c r="ET277" i="37"/>
  <c r="ET279" i="37"/>
  <c r="EU37" i="37"/>
  <c r="EU12" i="37"/>
  <c r="EU267" i="37" s="1"/>
  <c r="EV215" i="37"/>
  <c r="EV208" i="37"/>
  <c r="CP210" i="37"/>
  <c r="CP211" i="37" s="1"/>
  <c r="CP213" i="37" s="1"/>
  <c r="CP214" i="37" s="1"/>
  <c r="CP216" i="37" s="1"/>
  <c r="CP15" i="37" s="1"/>
  <c r="CP217" i="37"/>
  <c r="EU59" i="37"/>
  <c r="EU52" i="37"/>
  <c r="EV137" i="37"/>
  <c r="EW28" i="37"/>
  <c r="EW205" i="37" s="1"/>
  <c r="EW206" i="37" s="1"/>
  <c r="EV49" i="37"/>
  <c r="EV50" i="37" s="1"/>
  <c r="EV31" i="37"/>
  <c r="EV32" i="37" s="1"/>
  <c r="CP142" i="37"/>
  <c r="CP143" i="37" s="1"/>
  <c r="CP145" i="37" s="1"/>
  <c r="CP149" i="37"/>
  <c r="CQ54" i="37"/>
  <c r="CP55" i="37"/>
  <c r="CP57" i="37" s="1"/>
  <c r="CP58" i="37" s="1"/>
  <c r="CP60" i="37" s="1"/>
  <c r="CP13" i="37" s="1"/>
  <c r="CP61" i="37"/>
  <c r="E48" i="2"/>
  <c r="E468" i="20"/>
  <c r="F468" i="20"/>
  <c r="I468" i="20"/>
  <c r="J468" i="20"/>
  <c r="K468" i="20"/>
  <c r="L468" i="20"/>
  <c r="E34" i="2"/>
  <c r="E481" i="20"/>
  <c r="F481" i="20"/>
  <c r="I481" i="20"/>
  <c r="J481" i="20"/>
  <c r="K481" i="20"/>
  <c r="L481" i="20"/>
  <c r="D67" i="4"/>
  <c r="AJ68" i="4"/>
  <c r="AK18" i="2"/>
  <c r="E21" i="2"/>
  <c r="D470" i="20"/>
  <c r="J225" i="19"/>
  <c r="J249" i="19"/>
  <c r="J110" i="23"/>
  <c r="J250" i="19"/>
  <c r="J121" i="23" s="1"/>
  <c r="K90" i="23"/>
  <c r="K91" i="23"/>
  <c r="L52" i="21"/>
  <c r="K11" i="23"/>
  <c r="AO87" i="19"/>
  <c r="AO88" i="19" s="1"/>
  <c r="CP270" i="37" l="1"/>
  <c r="G730" i="20" s="1"/>
  <c r="K730" i="20" s="1"/>
  <c r="Z647" i="20"/>
  <c r="Z626" i="20" s="1"/>
  <c r="CP268" i="37"/>
  <c r="H730" i="20" s="1"/>
  <c r="L730" i="20" s="1"/>
  <c r="Z645" i="20"/>
  <c r="Z624" i="20" s="1"/>
  <c r="B499" i="20"/>
  <c r="F496" i="20"/>
  <c r="H496" i="20"/>
  <c r="I496" i="20"/>
  <c r="J496" i="20"/>
  <c r="K496" i="20"/>
  <c r="L496" i="20"/>
  <c r="EU277" i="37"/>
  <c r="EU279" i="37"/>
  <c r="EV37" i="37"/>
  <c r="EV12" i="37"/>
  <c r="EV267" i="37" s="1"/>
  <c r="CQ210" i="37"/>
  <c r="CQ211" i="37" s="1"/>
  <c r="CQ213" i="37" s="1"/>
  <c r="CQ214" i="37" s="1"/>
  <c r="CQ216" i="37" s="1"/>
  <c r="CQ15" i="37" s="1"/>
  <c r="CQ217" i="37"/>
  <c r="EW215" i="37"/>
  <c r="EW208" i="37"/>
  <c r="EV59" i="37"/>
  <c r="EV52" i="37"/>
  <c r="EW137" i="37"/>
  <c r="EX28" i="37"/>
  <c r="EX205" i="37" s="1"/>
  <c r="EX206" i="37" s="1"/>
  <c r="EW49" i="37"/>
  <c r="EW50" i="37" s="1"/>
  <c r="EW31" i="37"/>
  <c r="EW32" i="37" s="1"/>
  <c r="CQ142" i="37"/>
  <c r="CQ143" i="37" s="1"/>
  <c r="CQ145" i="37" s="1"/>
  <c r="CQ149" i="37"/>
  <c r="CR54" i="37"/>
  <c r="CQ55" i="37"/>
  <c r="CQ57" i="37" s="1"/>
  <c r="CQ58" i="37" s="1"/>
  <c r="CQ60" i="37" s="1"/>
  <c r="CQ13" i="37" s="1"/>
  <c r="CQ61" i="37"/>
  <c r="D481" i="20"/>
  <c r="M59" i="2"/>
  <c r="N59" i="2"/>
  <c r="E18" i="2"/>
  <c r="D468" i="20"/>
  <c r="AO13" i="19"/>
  <c r="AF354" i="20" s="1"/>
  <c r="G414" i="20" s="1"/>
  <c r="AP85" i="19"/>
  <c r="L236" i="19"/>
  <c r="G40" i="22"/>
  <c r="G42" i="22" s="1"/>
  <c r="K92" i="23"/>
  <c r="AA45" i="18"/>
  <c r="J111" i="23"/>
  <c r="K16" i="23"/>
  <c r="K20" i="23" s="1"/>
  <c r="J120" i="23"/>
  <c r="J251" i="19"/>
  <c r="J252" i="19" s="1"/>
  <c r="J222" i="19"/>
  <c r="J227" i="19" s="1"/>
  <c r="CQ270" i="37" l="1"/>
  <c r="G731" i="20" s="1"/>
  <c r="K731" i="20" s="1"/>
  <c r="AA647" i="20"/>
  <c r="AA626" i="20" s="1"/>
  <c r="CQ268" i="37"/>
  <c r="H731" i="20" s="1"/>
  <c r="L731" i="20" s="1"/>
  <c r="AA645" i="20"/>
  <c r="AA624" i="20" s="1"/>
  <c r="D496" i="20"/>
  <c r="B496" i="20" s="1"/>
  <c r="EV277" i="37"/>
  <c r="EV279" i="37"/>
  <c r="EW37" i="37"/>
  <c r="EW12" i="37"/>
  <c r="CR210" i="37"/>
  <c r="CR211" i="37" s="1"/>
  <c r="CR213" i="37" s="1"/>
  <c r="CR214" i="37" s="1"/>
  <c r="CR216" i="37" s="1"/>
  <c r="CR15" i="37" s="1"/>
  <c r="CR217" i="37"/>
  <c r="EX215" i="37"/>
  <c r="EX208" i="37"/>
  <c r="EW59" i="37"/>
  <c r="EW52" i="37"/>
  <c r="EX137" i="37"/>
  <c r="EY28" i="37"/>
  <c r="EY205" i="37" s="1"/>
  <c r="EY206" i="37" s="1"/>
  <c r="EX49" i="37"/>
  <c r="EX50" i="37" s="1"/>
  <c r="EX31" i="37"/>
  <c r="EX32" i="37" s="1"/>
  <c r="CR142" i="37"/>
  <c r="CR143" i="37" s="1"/>
  <c r="CR145" i="37" s="1"/>
  <c r="CR149" i="37"/>
  <c r="CS54" i="37"/>
  <c r="CR55" i="37"/>
  <c r="CR57" i="37" s="1"/>
  <c r="CR58" i="37" s="1"/>
  <c r="CR60" i="37" s="1"/>
  <c r="CR13" i="37" s="1"/>
  <c r="CR61" i="37"/>
  <c r="H62" i="2"/>
  <c r="P59" i="2"/>
  <c r="AP87" i="19"/>
  <c r="AP88" i="19" s="1"/>
  <c r="J112" i="23"/>
  <c r="J114" i="23" s="1"/>
  <c r="G45" i="22"/>
  <c r="CR268" i="37" l="1"/>
  <c r="H732" i="20" s="1"/>
  <c r="L732" i="20" s="1"/>
  <c r="AB645" i="20"/>
  <c r="AB624" i="20" s="1"/>
  <c r="CR270" i="37"/>
  <c r="G732" i="20" s="1"/>
  <c r="K732" i="20" s="1"/>
  <c r="AB647" i="20"/>
  <c r="AB626" i="20" s="1"/>
  <c r="EW267" i="37"/>
  <c r="EW277" i="37" s="1"/>
  <c r="AS319" i="25"/>
  <c r="EX37" i="37"/>
  <c r="EX12" i="37"/>
  <c r="EX267" i="37" s="1"/>
  <c r="CS210" i="37"/>
  <c r="CS211" i="37" s="1"/>
  <c r="CS213" i="37" s="1"/>
  <c r="CS214" i="37" s="1"/>
  <c r="CS216" i="37" s="1"/>
  <c r="CS15" i="37" s="1"/>
  <c r="AC647" i="20" s="1"/>
  <c r="AC626" i="20" s="1"/>
  <c r="CS217" i="37"/>
  <c r="EY215" i="37"/>
  <c r="EY208" i="37"/>
  <c r="EX59" i="37"/>
  <c r="EX52" i="37"/>
  <c r="EY137" i="37"/>
  <c r="EY49" i="37"/>
  <c r="EY50" i="37" s="1"/>
  <c r="EZ28" i="37"/>
  <c r="EZ205" i="37" s="1"/>
  <c r="EZ206" i="37" s="1"/>
  <c r="EY31" i="37"/>
  <c r="EY32" i="37" s="1"/>
  <c r="CS142" i="37"/>
  <c r="CS143" i="37" s="1"/>
  <c r="CS145" i="37" s="1"/>
  <c r="CS149" i="37"/>
  <c r="CT54" i="37"/>
  <c r="CS55" i="37"/>
  <c r="CS57" i="37" s="1"/>
  <c r="CS58" i="37" s="1"/>
  <c r="CS60" i="37" s="1"/>
  <c r="CS13" i="37" s="1"/>
  <c r="AC645" i="20" s="1"/>
  <c r="AC624" i="20" s="1"/>
  <c r="CS61" i="37"/>
  <c r="H67" i="2"/>
  <c r="H59" i="2"/>
  <c r="AP13" i="19"/>
  <c r="AG354" i="20" s="1"/>
  <c r="H414" i="20" s="1"/>
  <c r="AQ85" i="19"/>
  <c r="K22" i="23"/>
  <c r="EW279" i="37" l="1"/>
  <c r="CS270" i="37"/>
  <c r="G733" i="20" s="1"/>
  <c r="K733" i="20" s="1"/>
  <c r="AE322" i="25"/>
  <c r="CS268" i="37"/>
  <c r="H733" i="20" s="1"/>
  <c r="L733" i="20" s="1"/>
  <c r="AE320" i="25"/>
  <c r="EX277" i="37"/>
  <c r="EX279" i="37"/>
  <c r="EY37" i="37"/>
  <c r="EY12" i="37"/>
  <c r="EY267" i="37" s="1"/>
  <c r="EZ215" i="37"/>
  <c r="EZ208" i="37"/>
  <c r="CT210" i="37"/>
  <c r="CT211" i="37" s="1"/>
  <c r="CT213" i="37" s="1"/>
  <c r="CT214" i="37" s="1"/>
  <c r="CT216" i="37" s="1"/>
  <c r="CT15" i="37" s="1"/>
  <c r="CT217" i="37"/>
  <c r="EZ137" i="37"/>
  <c r="FA28" i="37"/>
  <c r="FA205" i="37" s="1"/>
  <c r="FA206" i="37" s="1"/>
  <c r="EZ49" i="37"/>
  <c r="EZ50" i="37" s="1"/>
  <c r="EZ31" i="37"/>
  <c r="EZ32" i="37" s="1"/>
  <c r="EY59" i="37"/>
  <c r="EY52" i="37"/>
  <c r="CT142" i="37"/>
  <c r="CT143" i="37" s="1"/>
  <c r="CT145" i="37" s="1"/>
  <c r="CT149" i="37"/>
  <c r="CT55" i="37"/>
  <c r="CT57" i="37" s="1"/>
  <c r="CT58" i="37" s="1"/>
  <c r="CT60" i="37" s="1"/>
  <c r="CT13" i="37" s="1"/>
  <c r="CU54" i="37"/>
  <c r="CT61" i="37"/>
  <c r="K28" i="23"/>
  <c r="AQ87" i="19"/>
  <c r="AQ88" i="19" s="1"/>
  <c r="CT268" i="37" l="1"/>
  <c r="H734" i="20" s="1"/>
  <c r="L734" i="20" s="1"/>
  <c r="AD645" i="20"/>
  <c r="T631" i="20" s="1"/>
  <c r="CT270" i="37"/>
  <c r="G734" i="20" s="1"/>
  <c r="K734" i="20" s="1"/>
  <c r="AD647" i="20"/>
  <c r="T633" i="20" s="1"/>
  <c r="EY277" i="37"/>
  <c r="EY279" i="37"/>
  <c r="EZ37" i="37"/>
  <c r="EZ12" i="37"/>
  <c r="EZ267" i="37" s="1"/>
  <c r="CU210" i="37"/>
  <c r="CU211" i="37" s="1"/>
  <c r="CU213" i="37" s="1"/>
  <c r="CU214" i="37" s="1"/>
  <c r="CU216" i="37" s="1"/>
  <c r="CU15" i="37" s="1"/>
  <c r="CU217" i="37"/>
  <c r="FA215" i="37"/>
  <c r="FA208" i="37"/>
  <c r="EZ59" i="37"/>
  <c r="EZ52" i="37"/>
  <c r="FA137" i="37"/>
  <c r="FB28" i="37"/>
  <c r="FB205" i="37" s="1"/>
  <c r="FB206" i="37" s="1"/>
  <c r="FA49" i="37"/>
  <c r="FA50" i="37" s="1"/>
  <c r="FA31" i="37"/>
  <c r="FA32" i="37" s="1"/>
  <c r="CU142" i="37"/>
  <c r="CU143" i="37" s="1"/>
  <c r="CU145" i="37" s="1"/>
  <c r="CU149" i="37"/>
  <c r="CV54" i="37"/>
  <c r="CU55" i="37"/>
  <c r="CU57" i="37" s="1"/>
  <c r="CU58" i="37" s="1"/>
  <c r="CU60" i="37" s="1"/>
  <c r="CU13" i="37" s="1"/>
  <c r="CU61" i="37"/>
  <c r="AR85" i="19"/>
  <c r="AQ13" i="19"/>
  <c r="AH354" i="20" s="1"/>
  <c r="I414" i="20" s="1"/>
  <c r="AA43" i="18"/>
  <c r="K29" i="23"/>
  <c r="CU270" i="37" l="1"/>
  <c r="G735" i="20" s="1"/>
  <c r="K735" i="20" s="1"/>
  <c r="AE647" i="20"/>
  <c r="U633" i="20" s="1"/>
  <c r="CU268" i="37"/>
  <c r="H735" i="20" s="1"/>
  <c r="L735" i="20" s="1"/>
  <c r="AE645" i="20"/>
  <c r="U631" i="20" s="1"/>
  <c r="EZ277" i="37"/>
  <c r="EZ279" i="37"/>
  <c r="FA37" i="37"/>
  <c r="FA12" i="37"/>
  <c r="CV210" i="37"/>
  <c r="CV211" i="37" s="1"/>
  <c r="CV213" i="37" s="1"/>
  <c r="CV214" i="37" s="1"/>
  <c r="CV216" i="37" s="1"/>
  <c r="CV15" i="37" s="1"/>
  <c r="CV217" i="37"/>
  <c r="FB215" i="37"/>
  <c r="FB208" i="37"/>
  <c r="FA59" i="37"/>
  <c r="FA52" i="37"/>
  <c r="FB137" i="37"/>
  <c r="FC28" i="37"/>
  <c r="FC205" i="37" s="1"/>
  <c r="FC206" i="37" s="1"/>
  <c r="FB49" i="37"/>
  <c r="FB50" i="37" s="1"/>
  <c r="FB31" i="37"/>
  <c r="FB32" i="37" s="1"/>
  <c r="CV142" i="37"/>
  <c r="CV143" i="37" s="1"/>
  <c r="CV145" i="37" s="1"/>
  <c r="CV149" i="37"/>
  <c r="CW54" i="37"/>
  <c r="CV55" i="37"/>
  <c r="CV57" i="37" s="1"/>
  <c r="CV58" i="37" s="1"/>
  <c r="CV60" i="37" s="1"/>
  <c r="CV13" i="37" s="1"/>
  <c r="CV61" i="37"/>
  <c r="AR87" i="19"/>
  <c r="AR88" i="19" s="1"/>
  <c r="AA37" i="18"/>
  <c r="K23" i="23"/>
  <c r="K24" i="23"/>
  <c r="K30" i="23"/>
  <c r="L27" i="23" s="1"/>
  <c r="CV268" i="37" l="1"/>
  <c r="H736" i="20" s="1"/>
  <c r="L736" i="20" s="1"/>
  <c r="AF645" i="20"/>
  <c r="V631" i="20" s="1"/>
  <c r="CV270" i="37"/>
  <c r="G736" i="20" s="1"/>
  <c r="K736" i="20" s="1"/>
  <c r="AF647" i="20"/>
  <c r="V633" i="20" s="1"/>
  <c r="FA267" i="37"/>
  <c r="FA277" i="37" s="1"/>
  <c r="AT319" i="25"/>
  <c r="FB37" i="37"/>
  <c r="FB12" i="37"/>
  <c r="FB267" i="37" s="1"/>
  <c r="CW210" i="37"/>
  <c r="CW211" i="37" s="1"/>
  <c r="CW213" i="37" s="1"/>
  <c r="CW214" i="37" s="1"/>
  <c r="CW216" i="37" s="1"/>
  <c r="CW15" i="37" s="1"/>
  <c r="AG647" i="20" s="1"/>
  <c r="W633" i="20" s="1"/>
  <c r="CW217" i="37"/>
  <c r="FC215" i="37"/>
  <c r="FC208" i="37"/>
  <c r="FB52" i="37"/>
  <c r="FB59" i="37"/>
  <c r="FC137" i="37"/>
  <c r="FD28" i="37"/>
  <c r="FD205" i="37" s="1"/>
  <c r="FD206" i="37" s="1"/>
  <c r="FC49" i="37"/>
  <c r="FC50" i="37" s="1"/>
  <c r="FC31" i="37"/>
  <c r="FC32" i="37" s="1"/>
  <c r="CW142" i="37"/>
  <c r="CW143" i="37" s="1"/>
  <c r="CW145" i="37" s="1"/>
  <c r="CW149" i="37"/>
  <c r="CX54" i="37"/>
  <c r="CW55" i="37"/>
  <c r="CW57" i="37" s="1"/>
  <c r="CW58" i="37" s="1"/>
  <c r="CW60" i="37" s="1"/>
  <c r="CW13" i="37" s="1"/>
  <c r="AG645" i="20" s="1"/>
  <c r="W631" i="20" s="1"/>
  <c r="CW61" i="37"/>
  <c r="AR13" i="19"/>
  <c r="AI354" i="20" s="1"/>
  <c r="J414" i="20" s="1"/>
  <c r="AS85" i="19"/>
  <c r="K25" i="23"/>
  <c r="K36" i="23" s="1"/>
  <c r="K40" i="23" s="1"/>
  <c r="AA46" i="18"/>
  <c r="AA44" i="18" s="1"/>
  <c r="K43" i="23" l="1"/>
  <c r="FA279" i="37"/>
  <c r="CW270" i="37"/>
  <c r="G737" i="20" s="1"/>
  <c r="K737" i="20" s="1"/>
  <c r="AF322" i="25"/>
  <c r="CW268" i="37"/>
  <c r="H737" i="20" s="1"/>
  <c r="L737" i="20" s="1"/>
  <c r="AF320" i="25"/>
  <c r="FB277" i="37"/>
  <c r="FB279" i="37"/>
  <c r="FC37" i="37"/>
  <c r="FC12" i="37"/>
  <c r="FC267" i="37" s="1"/>
  <c r="FD215" i="37"/>
  <c r="FD208" i="37"/>
  <c r="CX210" i="37"/>
  <c r="CX211" i="37" s="1"/>
  <c r="CX213" i="37" s="1"/>
  <c r="CX214" i="37" s="1"/>
  <c r="CX216" i="37" s="1"/>
  <c r="CX15" i="37" s="1"/>
  <c r="CX217" i="37"/>
  <c r="FC52" i="37"/>
  <c r="FC59" i="37"/>
  <c r="FD137" i="37"/>
  <c r="FE28" i="37"/>
  <c r="FE205" i="37" s="1"/>
  <c r="FE206" i="37" s="1"/>
  <c r="FD49" i="37"/>
  <c r="FD50" i="37" s="1"/>
  <c r="FD31" i="37"/>
  <c r="FD32" i="37" s="1"/>
  <c r="CX142" i="37"/>
  <c r="CX143" i="37" s="1"/>
  <c r="CX145" i="37" s="1"/>
  <c r="CX149" i="37"/>
  <c r="CY54" i="37"/>
  <c r="CX55" i="37"/>
  <c r="CX57" i="37" s="1"/>
  <c r="CX58" i="37" s="1"/>
  <c r="CX60" i="37" s="1"/>
  <c r="CX13" i="37" s="1"/>
  <c r="CX61" i="37"/>
  <c r="AA39" i="18"/>
  <c r="AS87" i="19"/>
  <c r="AS88" i="19" s="1"/>
  <c r="CX268" i="37" l="1"/>
  <c r="H738" i="20" s="1"/>
  <c r="L738" i="20" s="1"/>
  <c r="AH645" i="20"/>
  <c r="X631" i="20" s="1"/>
  <c r="CX270" i="37"/>
  <c r="G738" i="20" s="1"/>
  <c r="K738" i="20" s="1"/>
  <c r="AH647" i="20"/>
  <c r="X633" i="20" s="1"/>
  <c r="FC277" i="37"/>
  <c r="FC279" i="37"/>
  <c r="FD37" i="37"/>
  <c r="FD12" i="37"/>
  <c r="FD267" i="37" s="1"/>
  <c r="CY210" i="37"/>
  <c r="CY211" i="37" s="1"/>
  <c r="CY213" i="37" s="1"/>
  <c r="CY214" i="37" s="1"/>
  <c r="CY216" i="37" s="1"/>
  <c r="CY15" i="37" s="1"/>
  <c r="CY217" i="37"/>
  <c r="FE215" i="37"/>
  <c r="FE208" i="37"/>
  <c r="FE137" i="37"/>
  <c r="FF28" i="37"/>
  <c r="FF205" i="37" s="1"/>
  <c r="FF206" i="37" s="1"/>
  <c r="FE49" i="37"/>
  <c r="FE50" i="37" s="1"/>
  <c r="FE31" i="37"/>
  <c r="FE32" i="37" s="1"/>
  <c r="FD59" i="37"/>
  <c r="FD52" i="37"/>
  <c r="CY142" i="37"/>
  <c r="CY143" i="37" s="1"/>
  <c r="CY145" i="37" s="1"/>
  <c r="CY149" i="37"/>
  <c r="CZ54" i="37"/>
  <c r="CY55" i="37"/>
  <c r="CY57" i="37" s="1"/>
  <c r="CY58" i="37" s="1"/>
  <c r="CY60" i="37" s="1"/>
  <c r="CY13" i="37" s="1"/>
  <c r="CY61" i="37"/>
  <c r="AS13" i="19"/>
  <c r="AJ354" i="20" s="1"/>
  <c r="K414" i="20" s="1"/>
  <c r="AT85" i="19"/>
  <c r="K52" i="23"/>
  <c r="K75" i="23" s="1"/>
  <c r="CY270" i="37" l="1"/>
  <c r="G739" i="20" s="1"/>
  <c r="K739" i="20" s="1"/>
  <c r="AI647" i="20"/>
  <c r="Y633" i="20" s="1"/>
  <c r="CY268" i="37"/>
  <c r="H739" i="20" s="1"/>
  <c r="L739" i="20" s="1"/>
  <c r="AI645" i="20"/>
  <c r="Y631" i="20" s="1"/>
  <c r="FD277" i="37"/>
  <c r="FD279" i="37"/>
  <c r="FE37" i="37"/>
  <c r="FE12" i="37"/>
  <c r="FF215" i="37"/>
  <c r="FF208" i="37"/>
  <c r="CZ210" i="37"/>
  <c r="CZ211" i="37" s="1"/>
  <c r="CZ213" i="37" s="1"/>
  <c r="CZ214" i="37" s="1"/>
  <c r="CZ216" i="37" s="1"/>
  <c r="CZ15" i="37" s="1"/>
  <c r="CZ217" i="37"/>
  <c r="FE59" i="37"/>
  <c r="FE52" i="37"/>
  <c r="FF137" i="37"/>
  <c r="FG28" i="37"/>
  <c r="FG205" i="37" s="1"/>
  <c r="FG206" i="37" s="1"/>
  <c r="FF49" i="37"/>
  <c r="FF50" i="37" s="1"/>
  <c r="FF31" i="37"/>
  <c r="FF32" i="37" s="1"/>
  <c r="CZ142" i="37"/>
  <c r="CZ143" i="37" s="1"/>
  <c r="CZ145" i="37" s="1"/>
  <c r="CZ149" i="37"/>
  <c r="DA54" i="37"/>
  <c r="CZ55" i="37"/>
  <c r="CZ57" i="37" s="1"/>
  <c r="CZ58" i="37" s="1"/>
  <c r="CZ60" i="37" s="1"/>
  <c r="CZ13" i="37" s="1"/>
  <c r="CZ61" i="37"/>
  <c r="K78" i="23"/>
  <c r="AT87" i="19"/>
  <c r="AT88" i="19" s="1"/>
  <c r="CZ268" i="37" l="1"/>
  <c r="H740" i="20" s="1"/>
  <c r="L740" i="20" s="1"/>
  <c r="AJ645" i="20"/>
  <c r="Z631" i="20" s="1"/>
  <c r="CZ270" i="37"/>
  <c r="G740" i="20" s="1"/>
  <c r="K740" i="20" s="1"/>
  <c r="AJ647" i="20"/>
  <c r="Z633" i="20" s="1"/>
  <c r="FE267" i="37"/>
  <c r="FE277" i="37" s="1"/>
  <c r="AU319" i="25"/>
  <c r="FF37" i="37"/>
  <c r="FF12" i="37"/>
  <c r="FF267" i="37" s="1"/>
  <c r="DA210" i="37"/>
  <c r="DA211" i="37" s="1"/>
  <c r="DA213" i="37" s="1"/>
  <c r="DA214" i="37" s="1"/>
  <c r="DA216" i="37" s="1"/>
  <c r="DA15" i="37" s="1"/>
  <c r="AK647" i="20" s="1"/>
  <c r="AA633" i="20" s="1"/>
  <c r="DA217" i="37"/>
  <c r="FG215" i="37"/>
  <c r="FG208" i="37"/>
  <c r="FG137" i="37"/>
  <c r="FG49" i="37"/>
  <c r="FG50" i="37" s="1"/>
  <c r="FH28" i="37"/>
  <c r="FH205" i="37" s="1"/>
  <c r="FH206" i="37" s="1"/>
  <c r="FG31" i="37"/>
  <c r="FG32" i="37" s="1"/>
  <c r="FF59" i="37"/>
  <c r="FF52" i="37"/>
  <c r="DA142" i="37"/>
  <c r="DA143" i="37" s="1"/>
  <c r="DA145" i="37" s="1"/>
  <c r="DA149" i="37"/>
  <c r="DB54" i="37"/>
  <c r="DA55" i="37"/>
  <c r="DA57" i="37" s="1"/>
  <c r="DA58" i="37" s="1"/>
  <c r="DA60" i="37" s="1"/>
  <c r="DA13" i="37" s="1"/>
  <c r="AK645" i="20" s="1"/>
  <c r="AA631" i="20" s="1"/>
  <c r="DA61" i="37"/>
  <c r="AU85" i="19"/>
  <c r="AT13" i="19"/>
  <c r="AK354" i="20" s="1"/>
  <c r="L414" i="20" s="1"/>
  <c r="K53" i="23"/>
  <c r="FE279" i="37" l="1"/>
  <c r="DA270" i="37"/>
  <c r="G741" i="20" s="1"/>
  <c r="K741" i="20" s="1"/>
  <c r="AG322" i="25"/>
  <c r="DA268" i="37"/>
  <c r="H741" i="20" s="1"/>
  <c r="L741" i="20" s="1"/>
  <c r="AG320" i="25"/>
  <c r="FF277" i="37"/>
  <c r="FF279" i="37"/>
  <c r="FG37" i="37"/>
  <c r="FG12" i="37"/>
  <c r="FG267" i="37" s="1"/>
  <c r="DB210" i="37"/>
  <c r="DB211" i="37" s="1"/>
  <c r="DB213" i="37" s="1"/>
  <c r="DB214" i="37" s="1"/>
  <c r="DB216" i="37" s="1"/>
  <c r="DB15" i="37" s="1"/>
  <c r="DB217" i="37"/>
  <c r="FH215" i="37"/>
  <c r="FH208" i="37"/>
  <c r="FG52" i="37"/>
  <c r="FG59" i="37"/>
  <c r="FH137" i="37"/>
  <c r="FI28" i="37"/>
  <c r="FI205" i="37" s="1"/>
  <c r="FI206" i="37" s="1"/>
  <c r="FH49" i="37"/>
  <c r="FH50" i="37" s="1"/>
  <c r="FH31" i="37"/>
  <c r="FH32" i="37" s="1"/>
  <c r="DB142" i="37"/>
  <c r="DB143" i="37" s="1"/>
  <c r="DB145" i="37" s="1"/>
  <c r="DB149" i="37"/>
  <c r="DB55" i="37"/>
  <c r="DB57" i="37" s="1"/>
  <c r="DB58" i="37" s="1"/>
  <c r="DB60" i="37" s="1"/>
  <c r="DB13" i="37" s="1"/>
  <c r="DC54" i="37"/>
  <c r="DB61" i="37"/>
  <c r="K82" i="23"/>
  <c r="AU87" i="19"/>
  <c r="AU88" i="19" s="1"/>
  <c r="DB268" i="37" l="1"/>
  <c r="H742" i="20" s="1"/>
  <c r="L742" i="20" s="1"/>
  <c r="AL645" i="20"/>
  <c r="AB631" i="20" s="1"/>
  <c r="DB270" i="37"/>
  <c r="G742" i="20" s="1"/>
  <c r="K742" i="20" s="1"/>
  <c r="AL647" i="20"/>
  <c r="AB633" i="20" s="1"/>
  <c r="FG277" i="37"/>
  <c r="FG279" i="37"/>
  <c r="FH37" i="37"/>
  <c r="FH12" i="37"/>
  <c r="FH267" i="37" s="1"/>
  <c r="DC210" i="37"/>
  <c r="DC211" i="37" s="1"/>
  <c r="DC213" i="37" s="1"/>
  <c r="DC214" i="37" s="1"/>
  <c r="DC216" i="37" s="1"/>
  <c r="DC15" i="37" s="1"/>
  <c r="DC217" i="37"/>
  <c r="FI215" i="37"/>
  <c r="FI208" i="37"/>
  <c r="FH59" i="37"/>
  <c r="FH52" i="37"/>
  <c r="FI137" i="37"/>
  <c r="FI49" i="37"/>
  <c r="FI50" i="37" s="1"/>
  <c r="FJ28" i="37"/>
  <c r="FJ205" i="37" s="1"/>
  <c r="FJ206" i="37" s="1"/>
  <c r="FI31" i="37"/>
  <c r="FI32" i="37" s="1"/>
  <c r="DC142" i="37"/>
  <c r="DC143" i="37" s="1"/>
  <c r="DC145" i="37" s="1"/>
  <c r="DC149" i="37"/>
  <c r="DC55" i="37"/>
  <c r="DC57" i="37" s="1"/>
  <c r="DC58" i="37" s="1"/>
  <c r="DC60" i="37" s="1"/>
  <c r="DC13" i="37" s="1"/>
  <c r="DD54" i="37"/>
  <c r="DC61" i="37"/>
  <c r="AU13" i="19"/>
  <c r="AL354" i="20" s="1"/>
  <c r="M414" i="20" s="1"/>
  <c r="AV85" i="19"/>
  <c r="K87" i="23"/>
  <c r="DC270" i="37" l="1"/>
  <c r="G743" i="20" s="1"/>
  <c r="K743" i="20" s="1"/>
  <c r="AM647" i="20"/>
  <c r="AC633" i="20" s="1"/>
  <c r="DC268" i="37"/>
  <c r="H743" i="20" s="1"/>
  <c r="L743" i="20" s="1"/>
  <c r="AM645" i="20"/>
  <c r="AC631" i="20" s="1"/>
  <c r="FH277" i="37"/>
  <c r="FH279" i="37"/>
  <c r="FI37" i="37"/>
  <c r="FI12" i="37"/>
  <c r="DD210" i="37"/>
  <c r="DD211" i="37" s="1"/>
  <c r="DD213" i="37" s="1"/>
  <c r="DD214" i="37" s="1"/>
  <c r="DD216" i="37" s="1"/>
  <c r="DD15" i="37" s="1"/>
  <c r="DD217" i="37"/>
  <c r="FJ215" i="37"/>
  <c r="FJ208" i="37"/>
  <c r="FI52" i="37"/>
  <c r="FI59" i="37"/>
  <c r="FJ137" i="37"/>
  <c r="FK28" i="37"/>
  <c r="FK205" i="37" s="1"/>
  <c r="FK206" i="37" s="1"/>
  <c r="FJ49" i="37"/>
  <c r="FJ50" i="37" s="1"/>
  <c r="FJ31" i="37"/>
  <c r="FJ32" i="37" s="1"/>
  <c r="DD142" i="37"/>
  <c r="DD143" i="37" s="1"/>
  <c r="DD145" i="37" s="1"/>
  <c r="DD149" i="37"/>
  <c r="DE54" i="37"/>
  <c r="DD55" i="37"/>
  <c r="DD57" i="37" s="1"/>
  <c r="DD58" i="37" s="1"/>
  <c r="DD60" i="37" s="1"/>
  <c r="DD13" i="37" s="1"/>
  <c r="DD61" i="37"/>
  <c r="AV87" i="19"/>
  <c r="AV88" i="19" s="1"/>
  <c r="K83" i="23"/>
  <c r="K94" i="23"/>
  <c r="DD270" i="37" l="1"/>
  <c r="G744" i="20" s="1"/>
  <c r="K744" i="20" s="1"/>
  <c r="AN647" i="20"/>
  <c r="T640" i="20" s="1"/>
  <c r="DD268" i="37"/>
  <c r="H744" i="20" s="1"/>
  <c r="L744" i="20" s="1"/>
  <c r="AN645" i="20"/>
  <c r="T638" i="20" s="1"/>
  <c r="FI267" i="37"/>
  <c r="FI277" i="37" s="1"/>
  <c r="AV319" i="25"/>
  <c r="FJ37" i="37"/>
  <c r="FJ12" i="37"/>
  <c r="FJ267" i="37" s="1"/>
  <c r="DE210" i="37"/>
  <c r="DE211" i="37" s="1"/>
  <c r="DE213" i="37" s="1"/>
  <c r="DE214" i="37" s="1"/>
  <c r="DE216" i="37" s="1"/>
  <c r="DE15" i="37" s="1"/>
  <c r="AO647" i="20" s="1"/>
  <c r="U640" i="20" s="1"/>
  <c r="DE217" i="37"/>
  <c r="FK215" i="37"/>
  <c r="FK208" i="37"/>
  <c r="FJ59" i="37"/>
  <c r="FJ52" i="37"/>
  <c r="FK137" i="37"/>
  <c r="FL28" i="37"/>
  <c r="FL205" i="37" s="1"/>
  <c r="FL206" i="37" s="1"/>
  <c r="FK49" i="37"/>
  <c r="FK50" i="37" s="1"/>
  <c r="FK31" i="37"/>
  <c r="FK32" i="37" s="1"/>
  <c r="DE142" i="37"/>
  <c r="DE143" i="37" s="1"/>
  <c r="DE145" i="37" s="1"/>
  <c r="DE149" i="37"/>
  <c r="DF54" i="37"/>
  <c r="DE55" i="37"/>
  <c r="DE57" i="37" s="1"/>
  <c r="DE58" i="37" s="1"/>
  <c r="DE60" i="37" s="1"/>
  <c r="DE13" i="37" s="1"/>
  <c r="AO645" i="20" s="1"/>
  <c r="U638" i="20" s="1"/>
  <c r="DE61" i="37"/>
  <c r="AV13" i="19"/>
  <c r="AM354" i="20" s="1"/>
  <c r="N414" i="20" s="1"/>
  <c r="AW85" i="19"/>
  <c r="K88" i="23"/>
  <c r="AA38" i="18"/>
  <c r="K84" i="23"/>
  <c r="FI279" i="37" l="1"/>
  <c r="DE270" i="37"/>
  <c r="G745" i="20" s="1"/>
  <c r="K745" i="20" s="1"/>
  <c r="AH322" i="25"/>
  <c r="DE268" i="37"/>
  <c r="H745" i="20" s="1"/>
  <c r="L745" i="20" s="1"/>
  <c r="AH320" i="25"/>
  <c r="FJ277" i="37"/>
  <c r="FJ279" i="37"/>
  <c r="FK37" i="37"/>
  <c r="FK12" i="37"/>
  <c r="FK267" i="37" s="1"/>
  <c r="FL215" i="37"/>
  <c r="FL208" i="37"/>
  <c r="DF210" i="37"/>
  <c r="DF211" i="37" s="1"/>
  <c r="DF213" i="37" s="1"/>
  <c r="DF214" i="37" s="1"/>
  <c r="DF216" i="37" s="1"/>
  <c r="DF15" i="37" s="1"/>
  <c r="DF217" i="37"/>
  <c r="FK59" i="37"/>
  <c r="FK52" i="37"/>
  <c r="FL137" i="37"/>
  <c r="FM28" i="37"/>
  <c r="FM205" i="37" s="1"/>
  <c r="FM206" i="37" s="1"/>
  <c r="FL49" i="37"/>
  <c r="FL50" i="37" s="1"/>
  <c r="FL31" i="37"/>
  <c r="FL32" i="37" s="1"/>
  <c r="DF142" i="37"/>
  <c r="DF143" i="37" s="1"/>
  <c r="DF145" i="37" s="1"/>
  <c r="DF149" i="37"/>
  <c r="DG54" i="37"/>
  <c r="DF55" i="37"/>
  <c r="DF57" i="37" s="1"/>
  <c r="DF58" i="37" s="1"/>
  <c r="DF60" i="37" s="1"/>
  <c r="DF13" i="37" s="1"/>
  <c r="DF61" i="37"/>
  <c r="AA34" i="18"/>
  <c r="AA33" i="18" s="1"/>
  <c r="AA48" i="18" s="1"/>
  <c r="AA50" i="18" s="1"/>
  <c r="K89" i="23"/>
  <c r="AW87" i="19"/>
  <c r="AW88" i="19" s="1"/>
  <c r="K109" i="23"/>
  <c r="DF270" i="37" l="1"/>
  <c r="G746" i="20" s="1"/>
  <c r="K746" i="20" s="1"/>
  <c r="AP647" i="20"/>
  <c r="V640" i="20" s="1"/>
  <c r="DF268" i="37"/>
  <c r="H746" i="20" s="1"/>
  <c r="L746" i="20" s="1"/>
  <c r="AP645" i="20"/>
  <c r="V638" i="20" s="1"/>
  <c r="FK277" i="37"/>
  <c r="FK279" i="37"/>
  <c r="FL37" i="37"/>
  <c r="FL12" i="37"/>
  <c r="FL267" i="37" s="1"/>
  <c r="FM215" i="37"/>
  <c r="FM208" i="37"/>
  <c r="DG210" i="37"/>
  <c r="DG211" i="37" s="1"/>
  <c r="DG213" i="37" s="1"/>
  <c r="DG214" i="37" s="1"/>
  <c r="DG216" i="37" s="1"/>
  <c r="DG15" i="37" s="1"/>
  <c r="DG217" i="37"/>
  <c r="FL59" i="37"/>
  <c r="FL52" i="37"/>
  <c r="FM137" i="37"/>
  <c r="FN28" i="37"/>
  <c r="FN205" i="37" s="1"/>
  <c r="FN206" i="37" s="1"/>
  <c r="FM49" i="37"/>
  <c r="FM50" i="37" s="1"/>
  <c r="FM31" i="37"/>
  <c r="FM32" i="37" s="1"/>
  <c r="DG142" i="37"/>
  <c r="DG143" i="37" s="1"/>
  <c r="DG145" i="37" s="1"/>
  <c r="DG149" i="37"/>
  <c r="DH54" i="37"/>
  <c r="DG55" i="37"/>
  <c r="DG57" i="37" s="1"/>
  <c r="DG58" i="37" s="1"/>
  <c r="DG60" i="37" s="1"/>
  <c r="DG13" i="37" s="1"/>
  <c r="DG61" i="37"/>
  <c r="K111" i="23"/>
  <c r="AB49" i="18"/>
  <c r="K113" i="23"/>
  <c r="AW13" i="19"/>
  <c r="AN354" i="20" s="1"/>
  <c r="O414" i="20" s="1"/>
  <c r="AX85" i="19"/>
  <c r="L86" i="23"/>
  <c r="DG268" i="37" l="1"/>
  <c r="H747" i="20" s="1"/>
  <c r="L747" i="20" s="1"/>
  <c r="AQ645" i="20"/>
  <c r="W638" i="20" s="1"/>
  <c r="DG270" i="37"/>
  <c r="G747" i="20" s="1"/>
  <c r="K747" i="20" s="1"/>
  <c r="AQ647" i="20"/>
  <c r="W640" i="20" s="1"/>
  <c r="FL277" i="37"/>
  <c r="FL279" i="37"/>
  <c r="FM37" i="37"/>
  <c r="FM12" i="37"/>
  <c r="DH210" i="37"/>
  <c r="DH211" i="37" s="1"/>
  <c r="DH213" i="37" s="1"/>
  <c r="DH214" i="37" s="1"/>
  <c r="DH216" i="37" s="1"/>
  <c r="DH15" i="37" s="1"/>
  <c r="DH217" i="37"/>
  <c r="FN208" i="37"/>
  <c r="FN215" i="37"/>
  <c r="FM59" i="37"/>
  <c r="FM52" i="37"/>
  <c r="FN137" i="37"/>
  <c r="FO28" i="37"/>
  <c r="FO205" i="37" s="1"/>
  <c r="FO206" i="37" s="1"/>
  <c r="FN49" i="37"/>
  <c r="FN50" i="37" s="1"/>
  <c r="FN31" i="37"/>
  <c r="FN32" i="37" s="1"/>
  <c r="DH142" i="37"/>
  <c r="DH143" i="37" s="1"/>
  <c r="DH145" i="37" s="1"/>
  <c r="DH149" i="37"/>
  <c r="DI54" i="37"/>
  <c r="DH55" i="37"/>
  <c r="DH57" i="37" s="1"/>
  <c r="DH58" i="37" s="1"/>
  <c r="DH60" i="37" s="1"/>
  <c r="DH13" i="37" s="1"/>
  <c r="DH61" i="37"/>
  <c r="L90" i="23"/>
  <c r="L91" i="23"/>
  <c r="AX87" i="19"/>
  <c r="AX88" i="19" s="1"/>
  <c r="K112" i="23"/>
  <c r="K114" i="23" s="1"/>
  <c r="L11" i="23"/>
  <c r="DH270" i="37" l="1"/>
  <c r="G748" i="20" s="1"/>
  <c r="K748" i="20" s="1"/>
  <c r="AR647" i="20"/>
  <c r="X640" i="20" s="1"/>
  <c r="DH268" i="37"/>
  <c r="H748" i="20" s="1"/>
  <c r="L748" i="20" s="1"/>
  <c r="AR645" i="20"/>
  <c r="X638" i="20" s="1"/>
  <c r="FM267" i="37"/>
  <c r="FM277" i="37" s="1"/>
  <c r="AW319" i="25"/>
  <c r="FN37" i="37"/>
  <c r="FN12" i="37"/>
  <c r="FN267" i="37" s="1"/>
  <c r="DI210" i="37"/>
  <c r="DI211" i="37" s="1"/>
  <c r="DI213" i="37" s="1"/>
  <c r="DI214" i="37" s="1"/>
  <c r="DI216" i="37" s="1"/>
  <c r="DI15" i="37" s="1"/>
  <c r="AS647" i="20" s="1"/>
  <c r="Y640" i="20" s="1"/>
  <c r="DI217" i="37"/>
  <c r="FO215" i="37"/>
  <c r="FO208" i="37"/>
  <c r="FN59" i="37"/>
  <c r="FN52" i="37"/>
  <c r="FO137" i="37"/>
  <c r="FP28" i="37"/>
  <c r="FP205" i="37" s="1"/>
  <c r="FP206" i="37" s="1"/>
  <c r="FO49" i="37"/>
  <c r="FO50" i="37" s="1"/>
  <c r="FO31" i="37"/>
  <c r="FO32" i="37" s="1"/>
  <c r="DI142" i="37"/>
  <c r="DI143" i="37" s="1"/>
  <c r="DI145" i="37" s="1"/>
  <c r="DI149" i="37"/>
  <c r="DJ54" i="37"/>
  <c r="DI55" i="37"/>
  <c r="DI57" i="37" s="1"/>
  <c r="DI58" i="37" s="1"/>
  <c r="DI60" i="37" s="1"/>
  <c r="DI13" i="37" s="1"/>
  <c r="AS645" i="20" s="1"/>
  <c r="Y638" i="20" s="1"/>
  <c r="DI61" i="37"/>
  <c r="AX13" i="19"/>
  <c r="AO354" i="20" s="1"/>
  <c r="AY85" i="19"/>
  <c r="L92" i="23"/>
  <c r="L16" i="23"/>
  <c r="L20" i="23" s="1"/>
  <c r="FM279" i="37" l="1"/>
  <c r="DI268" i="37"/>
  <c r="H749" i="20" s="1"/>
  <c r="L749" i="20" s="1"/>
  <c r="AI320" i="25"/>
  <c r="DI270" i="37"/>
  <c r="G749" i="20" s="1"/>
  <c r="K749" i="20" s="1"/>
  <c r="AI322" i="25"/>
  <c r="FN277" i="37"/>
  <c r="FN279" i="37"/>
  <c r="FO37" i="37"/>
  <c r="FO12" i="37"/>
  <c r="FO267" i="37" s="1"/>
  <c r="DJ210" i="37"/>
  <c r="DJ211" i="37" s="1"/>
  <c r="DJ213" i="37" s="1"/>
  <c r="DJ214" i="37" s="1"/>
  <c r="DJ216" i="37" s="1"/>
  <c r="DJ15" i="37" s="1"/>
  <c r="DJ217" i="37"/>
  <c r="FP215" i="37"/>
  <c r="FP208" i="37"/>
  <c r="FO52" i="37"/>
  <c r="FO59" i="37"/>
  <c r="FP137" i="37"/>
  <c r="FQ28" i="37"/>
  <c r="FQ205" i="37" s="1"/>
  <c r="FQ206" i="37" s="1"/>
  <c r="FP49" i="37"/>
  <c r="FP50" i="37" s="1"/>
  <c r="FP31" i="37"/>
  <c r="FP32" i="37" s="1"/>
  <c r="DJ142" i="37"/>
  <c r="DJ143" i="37" s="1"/>
  <c r="DJ145" i="37" s="1"/>
  <c r="DJ149" i="37"/>
  <c r="DK54" i="37"/>
  <c r="DJ55" i="37"/>
  <c r="DJ57" i="37" s="1"/>
  <c r="DJ58" i="37" s="1"/>
  <c r="DJ60" i="37" s="1"/>
  <c r="DJ13" i="37" s="1"/>
  <c r="DJ61" i="37"/>
  <c r="AY87" i="19"/>
  <c r="AY88" i="19" s="1"/>
  <c r="AZ85" i="19" s="1"/>
  <c r="DJ268" i="37" l="1"/>
  <c r="H750" i="20" s="1"/>
  <c r="L750" i="20" s="1"/>
  <c r="AT645" i="20"/>
  <c r="Z638" i="20" s="1"/>
  <c r="DJ270" i="37"/>
  <c r="G750" i="20" s="1"/>
  <c r="K750" i="20" s="1"/>
  <c r="AT647" i="20"/>
  <c r="Z640" i="20" s="1"/>
  <c r="FO277" i="37"/>
  <c r="FO279" i="37"/>
  <c r="FP37" i="37"/>
  <c r="FP12" i="37"/>
  <c r="FP267" i="37" s="1"/>
  <c r="DK210" i="37"/>
  <c r="DK211" i="37" s="1"/>
  <c r="DK213" i="37" s="1"/>
  <c r="DK214" i="37" s="1"/>
  <c r="DK216" i="37" s="1"/>
  <c r="DK15" i="37" s="1"/>
  <c r="DK217" i="37"/>
  <c r="FQ215" i="37"/>
  <c r="FQ208" i="37"/>
  <c r="FQ137" i="37"/>
  <c r="FR28" i="37"/>
  <c r="FR205" i="37" s="1"/>
  <c r="FR206" i="37" s="1"/>
  <c r="FQ49" i="37"/>
  <c r="FQ50" i="37" s="1"/>
  <c r="FQ31" i="37"/>
  <c r="FQ32" i="37" s="1"/>
  <c r="FP52" i="37"/>
  <c r="FP59" i="37"/>
  <c r="DK142" i="37"/>
  <c r="DK143" i="37" s="1"/>
  <c r="DK145" i="37" s="1"/>
  <c r="DK149" i="37"/>
  <c r="DL54" i="37"/>
  <c r="DK55" i="37"/>
  <c r="DK57" i="37" s="1"/>
  <c r="DK58" i="37" s="1"/>
  <c r="DK60" i="37" s="1"/>
  <c r="DK13" i="37" s="1"/>
  <c r="DK61" i="37"/>
  <c r="AZ87" i="19"/>
  <c r="AZ88" i="19" s="1"/>
  <c r="BA85" i="19" s="1"/>
  <c r="L22" i="23"/>
  <c r="DK270" i="37" l="1"/>
  <c r="G751" i="20" s="1"/>
  <c r="K751" i="20" s="1"/>
  <c r="AU647" i="20"/>
  <c r="AA640" i="20" s="1"/>
  <c r="DK268" i="37"/>
  <c r="H751" i="20" s="1"/>
  <c r="L751" i="20" s="1"/>
  <c r="AU645" i="20"/>
  <c r="AA638" i="20" s="1"/>
  <c r="FP277" i="37"/>
  <c r="FP279" i="37"/>
  <c r="FQ37" i="37"/>
  <c r="FQ12" i="37"/>
  <c r="FR215" i="37"/>
  <c r="FR208" i="37"/>
  <c r="DL210" i="37"/>
  <c r="DL211" i="37" s="1"/>
  <c r="DL213" i="37" s="1"/>
  <c r="DL214" i="37" s="1"/>
  <c r="DL216" i="37" s="1"/>
  <c r="DL15" i="37" s="1"/>
  <c r="AV647" i="20" s="1"/>
  <c r="AB640" i="20" s="1"/>
  <c r="DL217" i="37"/>
  <c r="FQ59" i="37"/>
  <c r="FQ52" i="37"/>
  <c r="FR137" i="37"/>
  <c r="FS28" i="37"/>
  <c r="FS205" i="37" s="1"/>
  <c r="FS206" i="37" s="1"/>
  <c r="FR49" i="37"/>
  <c r="FR50" i="37" s="1"/>
  <c r="FR31" i="37"/>
  <c r="FR32" i="37" s="1"/>
  <c r="DL142" i="37"/>
  <c r="DL143" i="37" s="1"/>
  <c r="DL145" i="37" s="1"/>
  <c r="DL149" i="37"/>
  <c r="DM54" i="37"/>
  <c r="DL55" i="37"/>
  <c r="DL57" i="37" s="1"/>
  <c r="DL58" i="37" s="1"/>
  <c r="DL60" i="37" s="1"/>
  <c r="DL13" i="37" s="1"/>
  <c r="AV645" i="20" s="1"/>
  <c r="AB638" i="20" s="1"/>
  <c r="DL61" i="37"/>
  <c r="BA87" i="19"/>
  <c r="BA88" i="19" s="1"/>
  <c r="BB85" i="19" s="1"/>
  <c r="L28" i="23"/>
  <c r="DL268" i="37" l="1"/>
  <c r="H752" i="20" s="1"/>
  <c r="L752" i="20" s="1"/>
  <c r="DL270" i="37"/>
  <c r="G752" i="20" s="1"/>
  <c r="K752" i="20" s="1"/>
  <c r="FQ267" i="37"/>
  <c r="FQ277" i="37" s="1"/>
  <c r="AX319" i="25"/>
  <c r="FR37" i="37"/>
  <c r="FR12" i="37"/>
  <c r="FR267" i="37" s="1"/>
  <c r="DM210" i="37"/>
  <c r="DM211" i="37" s="1"/>
  <c r="DM213" i="37" s="1"/>
  <c r="DM214" i="37" s="1"/>
  <c r="DM216" i="37" s="1"/>
  <c r="DM15" i="37" s="1"/>
  <c r="DM217" i="37"/>
  <c r="FS215" i="37"/>
  <c r="FS208" i="37"/>
  <c r="FR52" i="37"/>
  <c r="FR59" i="37"/>
  <c r="FS137" i="37"/>
  <c r="FT28" i="37"/>
  <c r="FT205" i="37" s="1"/>
  <c r="FT206" i="37" s="1"/>
  <c r="FS49" i="37"/>
  <c r="FS50" i="37" s="1"/>
  <c r="FS31" i="37"/>
  <c r="FS32" i="37" s="1"/>
  <c r="DM142" i="37"/>
  <c r="DM143" i="37" s="1"/>
  <c r="DM145" i="37" s="1"/>
  <c r="DM149" i="37"/>
  <c r="DN54" i="37"/>
  <c r="DM55" i="37"/>
  <c r="DM57" i="37" s="1"/>
  <c r="DM58" i="37" s="1"/>
  <c r="DM60" i="37" s="1"/>
  <c r="DM13" i="37" s="1"/>
  <c r="DM61" i="37"/>
  <c r="BB87" i="19"/>
  <c r="BB88" i="19" s="1"/>
  <c r="AB43" i="18"/>
  <c r="L29" i="23"/>
  <c r="L30" i="23" s="1"/>
  <c r="M27" i="23" s="1"/>
  <c r="FQ279" i="37" l="1"/>
  <c r="DM270" i="37"/>
  <c r="AJ322" i="25"/>
  <c r="DM268" i="37"/>
  <c r="AJ320" i="25"/>
  <c r="FR277" i="37"/>
  <c r="FR279" i="37"/>
  <c r="FS37" i="37"/>
  <c r="FS12" i="37"/>
  <c r="FS267" i="37" s="1"/>
  <c r="DN210" i="37"/>
  <c r="DN211" i="37" s="1"/>
  <c r="DN213" i="37" s="1"/>
  <c r="DN214" i="37" s="1"/>
  <c r="DN216" i="37" s="1"/>
  <c r="DN15" i="37" s="1"/>
  <c r="DN217" i="37"/>
  <c r="FT215" i="37"/>
  <c r="FT208" i="37"/>
  <c r="FS52" i="37"/>
  <c r="FS59" i="37"/>
  <c r="FT137" i="37"/>
  <c r="FU28" i="37"/>
  <c r="FU205" i="37" s="1"/>
  <c r="FU206" i="37" s="1"/>
  <c r="FT49" i="37"/>
  <c r="FT50" i="37" s="1"/>
  <c r="FT31" i="37"/>
  <c r="FT32" i="37" s="1"/>
  <c r="DN142" i="37"/>
  <c r="DN143" i="37" s="1"/>
  <c r="DN145" i="37" s="1"/>
  <c r="DN149" i="37"/>
  <c r="DO54" i="37"/>
  <c r="DN55" i="37"/>
  <c r="DN57" i="37" s="1"/>
  <c r="DN58" i="37" s="1"/>
  <c r="DN60" i="37" s="1"/>
  <c r="DN13" i="37" s="1"/>
  <c r="DN61" i="37"/>
  <c r="AB37" i="18"/>
  <c r="L23" i="23"/>
  <c r="L24" i="23"/>
  <c r="DN268" i="37" l="1"/>
  <c r="DN270" i="37"/>
  <c r="FS277" i="37"/>
  <c r="FS279" i="37"/>
  <c r="FT37" i="37"/>
  <c r="FT12" i="37"/>
  <c r="FT267" i="37" s="1"/>
  <c r="DO210" i="37"/>
  <c r="DO211" i="37" s="1"/>
  <c r="DO213" i="37" s="1"/>
  <c r="DO214" i="37" s="1"/>
  <c r="DO216" i="37" s="1"/>
  <c r="DO15" i="37" s="1"/>
  <c r="DO217" i="37"/>
  <c r="FU215" i="37"/>
  <c r="FU208" i="37"/>
  <c r="FU137" i="37"/>
  <c r="FU49" i="37"/>
  <c r="FU50" i="37" s="1"/>
  <c r="FV28" i="37"/>
  <c r="FV205" i="37" s="1"/>
  <c r="FV206" i="37" s="1"/>
  <c r="FU31" i="37"/>
  <c r="FU32" i="37" s="1"/>
  <c r="FT59" i="37"/>
  <c r="FT52" i="37"/>
  <c r="DO142" i="37"/>
  <c r="DO143" i="37" s="1"/>
  <c r="DO145" i="37" s="1"/>
  <c r="DO149" i="37"/>
  <c r="DP54" i="37"/>
  <c r="DO55" i="37"/>
  <c r="DO57" i="37" s="1"/>
  <c r="DO58" i="37" s="1"/>
  <c r="DO60" i="37" s="1"/>
  <c r="DO13" i="37" s="1"/>
  <c r="DO61" i="37"/>
  <c r="L25" i="23"/>
  <c r="L36" i="23" s="1"/>
  <c r="L40" i="23" s="1"/>
  <c r="L43" i="23" s="1"/>
  <c r="AB46" i="18"/>
  <c r="AB44" i="18" s="1"/>
  <c r="DO268" i="37" l="1"/>
  <c r="DO270" i="37"/>
  <c r="FT277" i="37"/>
  <c r="FT279" i="37"/>
  <c r="FU37" i="37"/>
  <c r="FU12" i="37"/>
  <c r="DP210" i="37"/>
  <c r="DP211" i="37" s="1"/>
  <c r="DP213" i="37" s="1"/>
  <c r="DP214" i="37" s="1"/>
  <c r="DP216" i="37" s="1"/>
  <c r="DP15" i="37" s="1"/>
  <c r="DP217" i="37"/>
  <c r="FV215" i="37"/>
  <c r="FV208" i="37"/>
  <c r="FV137" i="37"/>
  <c r="FW28" i="37"/>
  <c r="FW205" i="37" s="1"/>
  <c r="FW206" i="37" s="1"/>
  <c r="FV49" i="37"/>
  <c r="FV50" i="37" s="1"/>
  <c r="FV31" i="37"/>
  <c r="FV32" i="37" s="1"/>
  <c r="FU59" i="37"/>
  <c r="FU52" i="37"/>
  <c r="DP142" i="37"/>
  <c r="DP143" i="37" s="1"/>
  <c r="DP145" i="37" s="1"/>
  <c r="DP149" i="37"/>
  <c r="DQ54" i="37"/>
  <c r="DP55" i="37"/>
  <c r="DP57" i="37" s="1"/>
  <c r="DP58" i="37" s="1"/>
  <c r="DP60" i="37" s="1"/>
  <c r="DP13" i="37" s="1"/>
  <c r="DP61" i="37"/>
  <c r="AB39" i="18"/>
  <c r="DP268" i="37" l="1"/>
  <c r="DP270" i="37"/>
  <c r="FU267" i="37"/>
  <c r="FU277" i="37" s="1"/>
  <c r="AY319" i="25"/>
  <c r="FV37" i="37"/>
  <c r="FV12" i="37"/>
  <c r="FV267" i="37" s="1"/>
  <c r="DQ210" i="37"/>
  <c r="DQ211" i="37" s="1"/>
  <c r="DQ213" i="37" s="1"/>
  <c r="DQ214" i="37" s="1"/>
  <c r="DQ216" i="37" s="1"/>
  <c r="DQ15" i="37" s="1"/>
  <c r="DQ217" i="37"/>
  <c r="FW215" i="37"/>
  <c r="FW208" i="37"/>
  <c r="FV59" i="37"/>
  <c r="FV52" i="37"/>
  <c r="FW137" i="37"/>
  <c r="FW49" i="37"/>
  <c r="FW50" i="37" s="1"/>
  <c r="FX28" i="37"/>
  <c r="FX205" i="37" s="1"/>
  <c r="FX206" i="37" s="1"/>
  <c r="FW31" i="37"/>
  <c r="FW32" i="37" s="1"/>
  <c r="DQ142" i="37"/>
  <c r="DQ143" i="37" s="1"/>
  <c r="DQ145" i="37" s="1"/>
  <c r="DQ149" i="37"/>
  <c r="DR54" i="37"/>
  <c r="DQ55" i="37"/>
  <c r="DQ57" i="37" s="1"/>
  <c r="DQ58" i="37" s="1"/>
  <c r="DQ60" i="37" s="1"/>
  <c r="DQ13" i="37" s="1"/>
  <c r="DQ61" i="37"/>
  <c r="L52" i="23" l="1"/>
  <c r="FU279" i="37"/>
  <c r="DQ270" i="37"/>
  <c r="AK322" i="25"/>
  <c r="DQ268" i="37"/>
  <c r="AK320" i="25"/>
  <c r="FV277" i="37"/>
  <c r="FV279" i="37"/>
  <c r="FW37" i="37"/>
  <c r="FW12" i="37"/>
  <c r="FW267" i="37" s="1"/>
  <c r="DR210" i="37"/>
  <c r="DR211" i="37" s="1"/>
  <c r="DR213" i="37" s="1"/>
  <c r="DR214" i="37" s="1"/>
  <c r="DR216" i="37" s="1"/>
  <c r="DR15" i="37" s="1"/>
  <c r="DR217" i="37"/>
  <c r="FX215" i="37"/>
  <c r="FX208" i="37"/>
  <c r="FW59" i="37"/>
  <c r="FW52" i="37"/>
  <c r="FX137" i="37"/>
  <c r="FY28" i="37"/>
  <c r="FY205" i="37" s="1"/>
  <c r="FY206" i="37" s="1"/>
  <c r="FX49" i="37"/>
  <c r="FX50" i="37" s="1"/>
  <c r="FX31" i="37"/>
  <c r="FX32" i="37" s="1"/>
  <c r="DR142" i="37"/>
  <c r="DR143" i="37" s="1"/>
  <c r="DR145" i="37" s="1"/>
  <c r="DR149" i="37"/>
  <c r="DR55" i="37"/>
  <c r="DR57" i="37" s="1"/>
  <c r="DR58" i="37" s="1"/>
  <c r="DR60" i="37" s="1"/>
  <c r="DR13" i="37" s="1"/>
  <c r="DS54" i="37"/>
  <c r="DR61" i="37"/>
  <c r="DR268" i="37" l="1"/>
  <c r="DR270" i="37"/>
  <c r="L53" i="23"/>
  <c r="L82" i="23" s="1"/>
  <c r="L87" i="23" s="1"/>
  <c r="L94" i="23" s="1"/>
  <c r="L75" i="23"/>
  <c r="L78" i="23" s="1"/>
  <c r="FW277" i="37"/>
  <c r="FW279" i="37"/>
  <c r="FX37" i="37"/>
  <c r="FX12" i="37"/>
  <c r="FX267" i="37" s="1"/>
  <c r="DS210" i="37"/>
  <c r="DS211" i="37" s="1"/>
  <c r="DS213" i="37" s="1"/>
  <c r="DS214" i="37" s="1"/>
  <c r="DS216" i="37" s="1"/>
  <c r="DS15" i="37" s="1"/>
  <c r="DS270" i="37" s="1"/>
  <c r="DS217" i="37"/>
  <c r="FY215" i="37"/>
  <c r="FY208" i="37"/>
  <c r="FY137" i="37"/>
  <c r="FZ28" i="37"/>
  <c r="FZ205" i="37" s="1"/>
  <c r="FZ206" i="37" s="1"/>
  <c r="FY49" i="37"/>
  <c r="FY50" i="37" s="1"/>
  <c r="FY31" i="37"/>
  <c r="FY32" i="37" s="1"/>
  <c r="FX52" i="37"/>
  <c r="FX59" i="37"/>
  <c r="DS142" i="37"/>
  <c r="DS143" i="37" s="1"/>
  <c r="DS145" i="37" s="1"/>
  <c r="DS149" i="37"/>
  <c r="DS55" i="37"/>
  <c r="DS57" i="37" s="1"/>
  <c r="DS58" i="37" s="1"/>
  <c r="DS60" i="37" s="1"/>
  <c r="DS13" i="37" s="1"/>
  <c r="DS268" i="37" s="1"/>
  <c r="DT54" i="37"/>
  <c r="DS61" i="37"/>
  <c r="L83" i="23" l="1"/>
  <c r="AB38" i="18" s="1"/>
  <c r="FX277" i="37"/>
  <c r="FX279" i="37"/>
  <c r="FY37" i="37"/>
  <c r="FY12" i="37"/>
  <c r="FZ215" i="37"/>
  <c r="FZ208" i="37"/>
  <c r="DT210" i="37"/>
  <c r="DT211" i="37" s="1"/>
  <c r="DT213" i="37" s="1"/>
  <c r="DT214" i="37" s="1"/>
  <c r="DT216" i="37" s="1"/>
  <c r="DT15" i="37" s="1"/>
  <c r="DT270" i="37" s="1"/>
  <c r="DT217" i="37"/>
  <c r="FY52" i="37"/>
  <c r="FY59" i="37"/>
  <c r="FZ137" i="37"/>
  <c r="GA28" i="37"/>
  <c r="GA205" i="37" s="1"/>
  <c r="GA206" i="37" s="1"/>
  <c r="FZ49" i="37"/>
  <c r="FZ50" i="37" s="1"/>
  <c r="FZ31" i="37"/>
  <c r="FZ32" i="37" s="1"/>
  <c r="DT142" i="37"/>
  <c r="DT143" i="37" s="1"/>
  <c r="DT145" i="37" s="1"/>
  <c r="DT149" i="37"/>
  <c r="DU54" i="37"/>
  <c r="DT55" i="37"/>
  <c r="DT57" i="37" s="1"/>
  <c r="DT58" i="37" s="1"/>
  <c r="DT60" i="37" s="1"/>
  <c r="DT13" i="37" s="1"/>
  <c r="DT268" i="37" s="1"/>
  <c r="DT61" i="37"/>
  <c r="L88" i="23"/>
  <c r="L89" i="23" s="1"/>
  <c r="L84" i="23" l="1"/>
  <c r="L109" i="23" s="1"/>
  <c r="L111" i="23" s="1"/>
  <c r="L112" i="23" s="1"/>
  <c r="FY267" i="37"/>
  <c r="FY279" i="37" s="1"/>
  <c r="AZ319" i="25"/>
  <c r="FZ37" i="37"/>
  <c r="FZ12" i="37"/>
  <c r="FZ267" i="37" s="1"/>
  <c r="DU210" i="37"/>
  <c r="DU211" i="37" s="1"/>
  <c r="DU213" i="37" s="1"/>
  <c r="DU214" i="37" s="1"/>
  <c r="DU216" i="37" s="1"/>
  <c r="DU15" i="37" s="1"/>
  <c r="DU217" i="37"/>
  <c r="GA215" i="37"/>
  <c r="GA208" i="37"/>
  <c r="GA137" i="37"/>
  <c r="GB28" i="37"/>
  <c r="GB205" i="37" s="1"/>
  <c r="GB206" i="37" s="1"/>
  <c r="GA49" i="37"/>
  <c r="GA50" i="37" s="1"/>
  <c r="GA31" i="37"/>
  <c r="GA32" i="37" s="1"/>
  <c r="FZ52" i="37"/>
  <c r="FZ59" i="37"/>
  <c r="DU142" i="37"/>
  <c r="DU143" i="37" s="1"/>
  <c r="DU145" i="37" s="1"/>
  <c r="DU149" i="37"/>
  <c r="DV54" i="37"/>
  <c r="DU55" i="37"/>
  <c r="DU57" i="37" s="1"/>
  <c r="DU58" i="37" s="1"/>
  <c r="DU60" i="37" s="1"/>
  <c r="DU13" i="37" s="1"/>
  <c r="DU61" i="37"/>
  <c r="M86" i="23"/>
  <c r="AB34" i="18"/>
  <c r="AB33" i="18" s="1"/>
  <c r="AB48" i="18" s="1"/>
  <c r="AB50" i="18" s="1"/>
  <c r="FY277" i="37" l="1"/>
  <c r="DU268" i="37"/>
  <c r="AL320" i="25"/>
  <c r="DU270" i="37"/>
  <c r="AL322" i="25"/>
  <c r="FZ277" i="37"/>
  <c r="FZ279" i="37"/>
  <c r="GA37" i="37"/>
  <c r="GA12" i="37"/>
  <c r="GA267" i="37" s="1"/>
  <c r="DV210" i="37"/>
  <c r="DV211" i="37" s="1"/>
  <c r="DV213" i="37" s="1"/>
  <c r="DV214" i="37" s="1"/>
  <c r="DV216" i="37" s="1"/>
  <c r="DV15" i="37" s="1"/>
  <c r="DV270" i="37" s="1"/>
  <c r="DV217" i="37"/>
  <c r="GB215" i="37"/>
  <c r="GB208" i="37"/>
  <c r="GA59" i="37"/>
  <c r="GA52" i="37"/>
  <c r="GB137" i="37"/>
  <c r="GB49" i="37"/>
  <c r="GB50" i="37" s="1"/>
  <c r="GC28" i="37"/>
  <c r="GC205" i="37" s="1"/>
  <c r="GC206" i="37" s="1"/>
  <c r="GB31" i="37"/>
  <c r="GB32" i="37" s="1"/>
  <c r="DV142" i="37"/>
  <c r="DV143" i="37" s="1"/>
  <c r="DV145" i="37" s="1"/>
  <c r="DV149" i="37"/>
  <c r="DW54" i="37"/>
  <c r="DV55" i="37"/>
  <c r="DV57" i="37" s="1"/>
  <c r="DV58" i="37" s="1"/>
  <c r="DV60" i="37" s="1"/>
  <c r="DV13" i="37" s="1"/>
  <c r="DV268" i="37" s="1"/>
  <c r="DV61" i="37"/>
  <c r="M90" i="23"/>
  <c r="M91" i="23"/>
  <c r="M92" i="23" s="1"/>
  <c r="AC49" i="18"/>
  <c r="L113" i="23"/>
  <c r="L114" i="23" s="1"/>
  <c r="GA277" i="37" l="1"/>
  <c r="GA279" i="37"/>
  <c r="GB37" i="37"/>
  <c r="GB12" i="37"/>
  <c r="GB267" i="37" s="1"/>
  <c r="GC215" i="37"/>
  <c r="GC208" i="37"/>
  <c r="DW210" i="37"/>
  <c r="DW211" i="37" s="1"/>
  <c r="DW213" i="37" s="1"/>
  <c r="DW214" i="37" s="1"/>
  <c r="DW216" i="37" s="1"/>
  <c r="DW15" i="37" s="1"/>
  <c r="DW270" i="37" s="1"/>
  <c r="DW217" i="37"/>
  <c r="GC137" i="37"/>
  <c r="GD28" i="37"/>
  <c r="GD205" i="37" s="1"/>
  <c r="GD206" i="37" s="1"/>
  <c r="GC49" i="37"/>
  <c r="GC50" i="37" s="1"/>
  <c r="GC31" i="37"/>
  <c r="GC32" i="37" s="1"/>
  <c r="GB59" i="37"/>
  <c r="GB52" i="37"/>
  <c r="DW142" i="37"/>
  <c r="DW143" i="37" s="1"/>
  <c r="DW145" i="37" s="1"/>
  <c r="DW149" i="37"/>
  <c r="DX54" i="37"/>
  <c r="DW55" i="37"/>
  <c r="DW57" i="37" s="1"/>
  <c r="DW58" i="37" s="1"/>
  <c r="DW60" i="37" s="1"/>
  <c r="DW13" i="37" s="1"/>
  <c r="DW268" i="37" s="1"/>
  <c r="DW61" i="37"/>
  <c r="M11" i="23"/>
  <c r="M16" i="23" s="1"/>
  <c r="M20" i="23" s="1"/>
  <c r="GB277" i="37" l="1"/>
  <c r="GB279" i="37"/>
  <c r="GC37" i="37"/>
  <c r="GC12" i="37"/>
  <c r="DX210" i="37"/>
  <c r="DX211" i="37" s="1"/>
  <c r="DX213" i="37" s="1"/>
  <c r="DX214" i="37" s="1"/>
  <c r="DX216" i="37" s="1"/>
  <c r="DX15" i="37" s="1"/>
  <c r="DX270" i="37" s="1"/>
  <c r="DX217" i="37"/>
  <c r="GD215" i="37"/>
  <c r="GD208" i="37"/>
  <c r="GC59" i="37"/>
  <c r="GC52" i="37"/>
  <c r="GD137" i="37"/>
  <c r="GE28" i="37"/>
  <c r="GE205" i="37" s="1"/>
  <c r="GE206" i="37" s="1"/>
  <c r="GD49" i="37"/>
  <c r="GD50" i="37" s="1"/>
  <c r="GD31" i="37"/>
  <c r="GD32" i="37" s="1"/>
  <c r="DX142" i="37"/>
  <c r="DX143" i="37" s="1"/>
  <c r="DX145" i="37" s="1"/>
  <c r="DX149" i="37"/>
  <c r="DY54" i="37"/>
  <c r="DX55" i="37"/>
  <c r="DX57" i="37" s="1"/>
  <c r="DX58" i="37" s="1"/>
  <c r="DX60" i="37" s="1"/>
  <c r="DX13" i="37" s="1"/>
  <c r="DX268" i="37" s="1"/>
  <c r="DX61" i="37"/>
  <c r="M22" i="23"/>
  <c r="M28" i="23" s="1"/>
  <c r="M29" i="23" s="1"/>
  <c r="GC267" i="37" l="1"/>
  <c r="GC277" i="37" s="1"/>
  <c r="BA319" i="25"/>
  <c r="GD37" i="37"/>
  <c r="GD12" i="37"/>
  <c r="GD267" i="37" s="1"/>
  <c r="DY210" i="37"/>
  <c r="DY211" i="37" s="1"/>
  <c r="DY213" i="37" s="1"/>
  <c r="DY214" i="37" s="1"/>
  <c r="DY216" i="37" s="1"/>
  <c r="DY15" i="37" s="1"/>
  <c r="DY217" i="37"/>
  <c r="GE215" i="37"/>
  <c r="GE208" i="37"/>
  <c r="GE137" i="37"/>
  <c r="GF28" i="37"/>
  <c r="GF205" i="37" s="1"/>
  <c r="GF206" i="37" s="1"/>
  <c r="GE49" i="37"/>
  <c r="GE50" i="37" s="1"/>
  <c r="GE31" i="37"/>
  <c r="GE32" i="37" s="1"/>
  <c r="GD59" i="37"/>
  <c r="GD52" i="37"/>
  <c r="DY142" i="37"/>
  <c r="DY143" i="37" s="1"/>
  <c r="DY145" i="37" s="1"/>
  <c r="DY149" i="37"/>
  <c r="DZ54" i="37"/>
  <c r="DY55" i="37"/>
  <c r="DY57" i="37" s="1"/>
  <c r="DY58" i="37" s="1"/>
  <c r="DY60" i="37" s="1"/>
  <c r="DY13" i="37" s="1"/>
  <c r="DY61" i="37"/>
  <c r="AC37" i="18"/>
  <c r="M23" i="23"/>
  <c r="M25" i="23" s="1"/>
  <c r="M36" i="23" s="1"/>
  <c r="M40" i="23" s="1"/>
  <c r="M43" i="23" s="1"/>
  <c r="AC43" i="18"/>
  <c r="M24" i="23"/>
  <c r="M30" i="23"/>
  <c r="N27" i="23" s="1"/>
  <c r="GC279" i="37" l="1"/>
  <c r="DY270" i="37"/>
  <c r="AM322" i="25"/>
  <c r="DY268" i="37"/>
  <c r="AM320" i="25"/>
  <c r="GD277" i="37"/>
  <c r="GD279" i="37"/>
  <c r="GE37" i="37"/>
  <c r="GE12" i="37"/>
  <c r="GE267" i="37" s="1"/>
  <c r="DZ210" i="37"/>
  <c r="DZ211" i="37" s="1"/>
  <c r="DZ213" i="37" s="1"/>
  <c r="DZ214" i="37" s="1"/>
  <c r="DZ216" i="37" s="1"/>
  <c r="DZ15" i="37" s="1"/>
  <c r="DZ270" i="37" s="1"/>
  <c r="DZ217" i="37"/>
  <c r="GF215" i="37"/>
  <c r="GF208" i="37"/>
  <c r="GE59" i="37"/>
  <c r="GE52" i="37"/>
  <c r="GF137" i="37"/>
  <c r="GF49" i="37"/>
  <c r="GF50" i="37" s="1"/>
  <c r="GG28" i="37"/>
  <c r="GG205" i="37" s="1"/>
  <c r="GG206" i="37" s="1"/>
  <c r="GF31" i="37"/>
  <c r="GF32" i="37" s="1"/>
  <c r="DZ142" i="37"/>
  <c r="DZ143" i="37" s="1"/>
  <c r="DZ145" i="37" s="1"/>
  <c r="DZ149" i="37"/>
  <c r="DZ55" i="37"/>
  <c r="DZ57" i="37" s="1"/>
  <c r="DZ58" i="37" s="1"/>
  <c r="DZ60" i="37" s="1"/>
  <c r="DZ13" i="37" s="1"/>
  <c r="DZ268" i="37" s="1"/>
  <c r="EA54" i="37"/>
  <c r="DZ61" i="37"/>
  <c r="AC46" i="18"/>
  <c r="AC44" i="18" s="1"/>
  <c r="AC39" i="18" s="1"/>
  <c r="GE277" i="37" l="1"/>
  <c r="GE279" i="37"/>
  <c r="GF37" i="37"/>
  <c r="GF12" i="37"/>
  <c r="GF267" i="37" s="1"/>
  <c r="EA210" i="37"/>
  <c r="EA211" i="37" s="1"/>
  <c r="EA213" i="37" s="1"/>
  <c r="EA214" i="37" s="1"/>
  <c r="EA216" i="37" s="1"/>
  <c r="EA15" i="37" s="1"/>
  <c r="EA270" i="37" s="1"/>
  <c r="EA217" i="37"/>
  <c r="GG215" i="37"/>
  <c r="GG208" i="37"/>
  <c r="GF59" i="37"/>
  <c r="GF52" i="37"/>
  <c r="GG137" i="37"/>
  <c r="GH28" i="37"/>
  <c r="GH205" i="37" s="1"/>
  <c r="GH206" i="37" s="1"/>
  <c r="GG49" i="37"/>
  <c r="GG50" i="37" s="1"/>
  <c r="GG31" i="37"/>
  <c r="GG32" i="37" s="1"/>
  <c r="EA142" i="37"/>
  <c r="EA143" i="37" s="1"/>
  <c r="EA145" i="37" s="1"/>
  <c r="EA149" i="37"/>
  <c r="EB54" i="37"/>
  <c r="EA55" i="37"/>
  <c r="EA57" i="37" s="1"/>
  <c r="EA58" i="37" s="1"/>
  <c r="EA60" i="37" s="1"/>
  <c r="EA13" i="37" s="1"/>
  <c r="EA268" i="37" s="1"/>
  <c r="EA61" i="37"/>
  <c r="M52" i="23" l="1"/>
  <c r="GF277" i="37"/>
  <c r="GF279" i="37"/>
  <c r="GG37" i="37"/>
  <c r="GG12" i="37"/>
  <c r="GH215" i="37"/>
  <c r="GH208" i="37"/>
  <c r="EB210" i="37"/>
  <c r="EB211" i="37" s="1"/>
  <c r="EB213" i="37" s="1"/>
  <c r="EB214" i="37" s="1"/>
  <c r="EB216" i="37" s="1"/>
  <c r="EB15" i="37" s="1"/>
  <c r="EB270" i="37" s="1"/>
  <c r="EB217" i="37"/>
  <c r="GG52" i="37"/>
  <c r="GG59" i="37"/>
  <c r="GH137" i="37"/>
  <c r="GH49" i="37"/>
  <c r="GH50" i="37" s="1"/>
  <c r="GI28" i="37"/>
  <c r="GI205" i="37" s="1"/>
  <c r="GI206" i="37" s="1"/>
  <c r="GH31" i="37"/>
  <c r="GH32" i="37" s="1"/>
  <c r="EB142" i="37"/>
  <c r="EB143" i="37" s="1"/>
  <c r="EB145" i="37" s="1"/>
  <c r="EB149" i="37"/>
  <c r="EC54" i="37"/>
  <c r="EB55" i="37"/>
  <c r="EB57" i="37" s="1"/>
  <c r="EB58" i="37" s="1"/>
  <c r="EB60" i="37" s="1"/>
  <c r="EB13" i="37" s="1"/>
  <c r="EB268" i="37" s="1"/>
  <c r="EB61" i="37"/>
  <c r="M53" i="23" l="1"/>
  <c r="M82" i="23" s="1"/>
  <c r="M87" i="23" s="1"/>
  <c r="M83" i="23" s="1"/>
  <c r="M75" i="23"/>
  <c r="M78" i="23" s="1"/>
  <c r="GG267" i="37"/>
  <c r="GG277" i="37" s="1"/>
  <c r="BB319" i="25"/>
  <c r="GH37" i="37"/>
  <c r="GH12" i="37"/>
  <c r="GH267" i="37" s="1"/>
  <c r="EC210" i="37"/>
  <c r="EC211" i="37" s="1"/>
  <c r="EC213" i="37" s="1"/>
  <c r="EC214" i="37" s="1"/>
  <c r="EC216" i="37" s="1"/>
  <c r="EC15" i="37" s="1"/>
  <c r="EC217" i="37"/>
  <c r="GI215" i="37"/>
  <c r="GI208" i="37"/>
  <c r="GH52" i="37"/>
  <c r="GH59" i="37"/>
  <c r="GI137" i="37"/>
  <c r="GJ28" i="37"/>
  <c r="GJ205" i="37" s="1"/>
  <c r="GJ206" i="37" s="1"/>
  <c r="GI49" i="37"/>
  <c r="GI50" i="37" s="1"/>
  <c r="GI31" i="37"/>
  <c r="GI32" i="37" s="1"/>
  <c r="EC142" i="37"/>
  <c r="EC143" i="37" s="1"/>
  <c r="EC145" i="37" s="1"/>
  <c r="EC149" i="37"/>
  <c r="ED54" i="37"/>
  <c r="EC55" i="37"/>
  <c r="EC57" i="37" s="1"/>
  <c r="EC58" i="37" s="1"/>
  <c r="EC60" i="37" s="1"/>
  <c r="EC13" i="37" s="1"/>
  <c r="EC61" i="37"/>
  <c r="M94" i="23" l="1"/>
  <c r="M88" i="23" s="1"/>
  <c r="M89" i="23" s="1"/>
  <c r="N86" i="23" s="1"/>
  <c r="M84" i="23"/>
  <c r="M109" i="23" s="1"/>
  <c r="M111" i="23" s="1"/>
  <c r="M112" i="23" s="1"/>
  <c r="AC38" i="18"/>
  <c r="AC34" i="18" s="1"/>
  <c r="AC33" i="18" s="1"/>
  <c r="AC48" i="18" s="1"/>
  <c r="AC50" i="18" s="1"/>
  <c r="GG279" i="37"/>
  <c r="EC270" i="37"/>
  <c r="AN322" i="25"/>
  <c r="EC268" i="37"/>
  <c r="AN320" i="25"/>
  <c r="GH277" i="37"/>
  <c r="GH279" i="37"/>
  <c r="GI37" i="37"/>
  <c r="GI12" i="37"/>
  <c r="GI267" i="37" s="1"/>
  <c r="GJ215" i="37"/>
  <c r="GJ208" i="37"/>
  <c r="ED210" i="37"/>
  <c r="ED211" i="37" s="1"/>
  <c r="ED213" i="37" s="1"/>
  <c r="ED214" i="37" s="1"/>
  <c r="ED216" i="37" s="1"/>
  <c r="ED15" i="37" s="1"/>
  <c r="ED270" i="37" s="1"/>
  <c r="ED217" i="37"/>
  <c r="GJ137" i="37"/>
  <c r="GK28" i="37"/>
  <c r="GK205" i="37" s="1"/>
  <c r="GK206" i="37" s="1"/>
  <c r="GJ49" i="37"/>
  <c r="GJ50" i="37" s="1"/>
  <c r="GJ31" i="37"/>
  <c r="GJ32" i="37" s="1"/>
  <c r="GI59" i="37"/>
  <c r="GI52" i="37"/>
  <c r="ED142" i="37"/>
  <c r="ED143" i="37" s="1"/>
  <c r="ED145" i="37" s="1"/>
  <c r="ED149" i="37"/>
  <c r="EE54" i="37"/>
  <c r="ED55" i="37"/>
  <c r="ED57" i="37" s="1"/>
  <c r="ED58" i="37" s="1"/>
  <c r="ED60" i="37" s="1"/>
  <c r="ED13" i="37" s="1"/>
  <c r="ED268" i="37" s="1"/>
  <c r="ED61" i="37"/>
  <c r="GI277" i="37" l="1"/>
  <c r="GI279" i="37"/>
  <c r="GJ37" i="37"/>
  <c r="GJ12" i="37"/>
  <c r="GJ267" i="37" s="1"/>
  <c r="GK215" i="37"/>
  <c r="GK208" i="37"/>
  <c r="EE210" i="37"/>
  <c r="EE211" i="37" s="1"/>
  <c r="EE213" i="37" s="1"/>
  <c r="EE214" i="37" s="1"/>
  <c r="EE216" i="37" s="1"/>
  <c r="EE15" i="37" s="1"/>
  <c r="EE270" i="37" s="1"/>
  <c r="EE217" i="37"/>
  <c r="GJ59" i="37"/>
  <c r="GJ52" i="37"/>
  <c r="GK137" i="37"/>
  <c r="GL28" i="37"/>
  <c r="GL205" i="37" s="1"/>
  <c r="GL206" i="37" s="1"/>
  <c r="GK49" i="37"/>
  <c r="GK50" i="37" s="1"/>
  <c r="GK31" i="37"/>
  <c r="GK32" i="37" s="1"/>
  <c r="EE142" i="37"/>
  <c r="EE143" i="37" s="1"/>
  <c r="EE145" i="37" s="1"/>
  <c r="EE149" i="37"/>
  <c r="EF54" i="37"/>
  <c r="EE55" i="37"/>
  <c r="EE57" i="37" s="1"/>
  <c r="EE58" i="37" s="1"/>
  <c r="EE60" i="37" s="1"/>
  <c r="EE13" i="37" s="1"/>
  <c r="EE268" i="37" s="1"/>
  <c r="EE61" i="37"/>
  <c r="AD49" i="18"/>
  <c r="M113" i="23"/>
  <c r="M114" i="23" s="1"/>
  <c r="N90" i="23"/>
  <c r="N91" i="23"/>
  <c r="N92" i="23" s="1"/>
  <c r="GJ277" i="37" l="1"/>
  <c r="GJ279" i="37"/>
  <c r="GK37" i="37"/>
  <c r="GK12" i="37"/>
  <c r="EF210" i="37"/>
  <c r="EF211" i="37" s="1"/>
  <c r="EF213" i="37" s="1"/>
  <c r="EF214" i="37" s="1"/>
  <c r="EF216" i="37" s="1"/>
  <c r="EF15" i="37" s="1"/>
  <c r="EF270" i="37" s="1"/>
  <c r="EF217" i="37"/>
  <c r="GL215" i="37"/>
  <c r="GL208" i="37"/>
  <c r="GK59" i="37"/>
  <c r="GK52" i="37"/>
  <c r="GL137" i="37"/>
  <c r="GL49" i="37"/>
  <c r="GL50" i="37" s="1"/>
  <c r="GM28" i="37"/>
  <c r="GM205" i="37" s="1"/>
  <c r="GM206" i="37" s="1"/>
  <c r="GL31" i="37"/>
  <c r="GL32" i="37" s="1"/>
  <c r="EF142" i="37"/>
  <c r="EF143" i="37" s="1"/>
  <c r="EF145" i="37" s="1"/>
  <c r="EF149" i="37"/>
  <c r="EG54" i="37"/>
  <c r="EF55" i="37"/>
  <c r="EF57" i="37" s="1"/>
  <c r="EF58" i="37" s="1"/>
  <c r="EF60" i="37" s="1"/>
  <c r="EF13" i="37" s="1"/>
  <c r="EF268" i="37" s="1"/>
  <c r="EF61" i="37"/>
  <c r="N11" i="23"/>
  <c r="N16" i="23" s="1"/>
  <c r="N20" i="23" s="1"/>
  <c r="GK267" i="37" l="1"/>
  <c r="GK277" i="37" s="1"/>
  <c r="BC319" i="25"/>
  <c r="GL37" i="37"/>
  <c r="GL12" i="37"/>
  <c r="GL267" i="37" s="1"/>
  <c r="GM215" i="37"/>
  <c r="GM208" i="37"/>
  <c r="EG210" i="37"/>
  <c r="EG211" i="37" s="1"/>
  <c r="EG213" i="37" s="1"/>
  <c r="EG214" i="37" s="1"/>
  <c r="EG216" i="37" s="1"/>
  <c r="EG15" i="37" s="1"/>
  <c r="EG217" i="37"/>
  <c r="GL59" i="37"/>
  <c r="GL52" i="37"/>
  <c r="GM137" i="37"/>
  <c r="GN28" i="37"/>
  <c r="GN205" i="37" s="1"/>
  <c r="GN206" i="37" s="1"/>
  <c r="GM49" i="37"/>
  <c r="GM50" i="37" s="1"/>
  <c r="GM31" i="37"/>
  <c r="GM32" i="37" s="1"/>
  <c r="EG142" i="37"/>
  <c r="EG143" i="37" s="1"/>
  <c r="EG145" i="37" s="1"/>
  <c r="EG149" i="37"/>
  <c r="EH54" i="37"/>
  <c r="EG55" i="37"/>
  <c r="EG57" i="37" s="1"/>
  <c r="EG58" i="37" s="1"/>
  <c r="EG60" i="37" s="1"/>
  <c r="EG13" i="37" s="1"/>
  <c r="EG61" i="37"/>
  <c r="N22" i="23"/>
  <c r="N28" i="23" s="1"/>
  <c r="GK279" i="37" l="1"/>
  <c r="EG268" i="37"/>
  <c r="AO320" i="25"/>
  <c r="EG270" i="37"/>
  <c r="AO322" i="25"/>
  <c r="GL277" i="37"/>
  <c r="GL279" i="37"/>
  <c r="GM37" i="37"/>
  <c r="GM12" i="37"/>
  <c r="GM267" i="37" s="1"/>
  <c r="GN215" i="37"/>
  <c r="GN208" i="37"/>
  <c r="EH210" i="37"/>
  <c r="EH211" i="37" s="1"/>
  <c r="EH213" i="37" s="1"/>
  <c r="EH214" i="37" s="1"/>
  <c r="EH216" i="37" s="1"/>
  <c r="EH15" i="37" s="1"/>
  <c r="EH270" i="37" s="1"/>
  <c r="EH217" i="37"/>
  <c r="GM59" i="37"/>
  <c r="GM52" i="37"/>
  <c r="GN137" i="37"/>
  <c r="GO28" i="37"/>
  <c r="GO205" i="37" s="1"/>
  <c r="GO206" i="37" s="1"/>
  <c r="GN49" i="37"/>
  <c r="GN50" i="37" s="1"/>
  <c r="GN31" i="37"/>
  <c r="GN32" i="37" s="1"/>
  <c r="EH142" i="37"/>
  <c r="EH143" i="37" s="1"/>
  <c r="EH145" i="37" s="1"/>
  <c r="EH149" i="37"/>
  <c r="EH55" i="37"/>
  <c r="EH57" i="37" s="1"/>
  <c r="EH58" i="37" s="1"/>
  <c r="EH60" i="37" s="1"/>
  <c r="EH13" i="37" s="1"/>
  <c r="EH268" i="37" s="1"/>
  <c r="EI54" i="37"/>
  <c r="EH61" i="37"/>
  <c r="AD43" i="18"/>
  <c r="N29" i="23"/>
  <c r="GM277" i="37" l="1"/>
  <c r="GM279" i="37"/>
  <c r="GN37" i="37"/>
  <c r="GN12" i="37"/>
  <c r="GN267" i="37" s="1"/>
  <c r="EI210" i="37"/>
  <c r="EI211" i="37" s="1"/>
  <c r="EI213" i="37" s="1"/>
  <c r="EI214" i="37" s="1"/>
  <c r="EI216" i="37" s="1"/>
  <c r="EI15" i="37" s="1"/>
  <c r="EI270" i="37" s="1"/>
  <c r="EI217" i="37"/>
  <c r="GO215" i="37"/>
  <c r="GO208" i="37"/>
  <c r="GO137" i="37"/>
  <c r="GP28" i="37"/>
  <c r="GP205" i="37" s="1"/>
  <c r="GP206" i="37" s="1"/>
  <c r="GO49" i="37"/>
  <c r="GO50" i="37" s="1"/>
  <c r="GO31" i="37"/>
  <c r="GO32" i="37" s="1"/>
  <c r="GN59" i="37"/>
  <c r="GN52" i="37"/>
  <c r="EI142" i="37"/>
  <c r="EI143" i="37" s="1"/>
  <c r="EI145" i="37" s="1"/>
  <c r="EI149" i="37"/>
  <c r="EI55" i="37"/>
  <c r="EI57" i="37" s="1"/>
  <c r="EI58" i="37" s="1"/>
  <c r="EI60" i="37" s="1"/>
  <c r="EI13" i="37" s="1"/>
  <c r="EI268" i="37" s="1"/>
  <c r="EJ54" i="37"/>
  <c r="EI61" i="37"/>
  <c r="AD37" i="18"/>
  <c r="N23" i="23"/>
  <c r="N25" i="23" s="1"/>
  <c r="N36" i="23" s="1"/>
  <c r="N40" i="23" s="1"/>
  <c r="N43" i="23" s="1"/>
  <c r="N30" i="23"/>
  <c r="O27" i="23" s="1"/>
  <c r="N24" i="23"/>
  <c r="L42" i="21"/>
  <c r="GN277" i="37" l="1"/>
  <c r="GN279" i="37"/>
  <c r="GO37" i="37"/>
  <c r="GO12" i="37"/>
  <c r="EJ210" i="37"/>
  <c r="EJ211" i="37" s="1"/>
  <c r="EJ213" i="37" s="1"/>
  <c r="EJ214" i="37" s="1"/>
  <c r="EJ216" i="37" s="1"/>
  <c r="EJ15" i="37" s="1"/>
  <c r="EJ270" i="37" s="1"/>
  <c r="EJ217" i="37"/>
  <c r="GP215" i="37"/>
  <c r="GP208" i="37"/>
  <c r="GO52" i="37"/>
  <c r="GO59" i="37"/>
  <c r="GP137" i="37"/>
  <c r="GP49" i="37"/>
  <c r="GP50" i="37" s="1"/>
  <c r="GQ28" i="37"/>
  <c r="GQ205" i="37" s="1"/>
  <c r="GQ206" i="37" s="1"/>
  <c r="GP31" i="37"/>
  <c r="GP32" i="37" s="1"/>
  <c r="EJ142" i="37"/>
  <c r="EJ143" i="37" s="1"/>
  <c r="EJ145" i="37" s="1"/>
  <c r="EJ149" i="37"/>
  <c r="EK54" i="37"/>
  <c r="EJ55" i="37"/>
  <c r="EJ57" i="37" s="1"/>
  <c r="EJ58" i="37" s="1"/>
  <c r="EJ60" i="37" s="1"/>
  <c r="EJ13" i="37" s="1"/>
  <c r="EJ268" i="37" s="1"/>
  <c r="EJ61" i="37"/>
  <c r="K72" i="19"/>
  <c r="L36" i="21"/>
  <c r="AD46" i="18"/>
  <c r="AD44" i="18" s="1"/>
  <c r="GO267" i="37" l="1"/>
  <c r="GO277" i="37" s="1"/>
  <c r="BD319" i="25"/>
  <c r="GP37" i="37"/>
  <c r="GP12" i="37"/>
  <c r="GP267" i="37" s="1"/>
  <c r="EK210" i="37"/>
  <c r="EK211" i="37" s="1"/>
  <c r="EK213" i="37" s="1"/>
  <c r="EK214" i="37" s="1"/>
  <c r="EK216" i="37" s="1"/>
  <c r="EK15" i="37" s="1"/>
  <c r="EK217" i="37"/>
  <c r="GQ215" i="37"/>
  <c r="GQ208" i="37"/>
  <c r="GQ137" i="37"/>
  <c r="GR28" i="37"/>
  <c r="GR205" i="37" s="1"/>
  <c r="GR206" i="37" s="1"/>
  <c r="GQ49" i="37"/>
  <c r="GQ50" i="37" s="1"/>
  <c r="GQ31" i="37"/>
  <c r="GQ32" i="37" s="1"/>
  <c r="GP59" i="37"/>
  <c r="GP52" i="37"/>
  <c r="EK142" i="37"/>
  <c r="EK143" i="37" s="1"/>
  <c r="EK145" i="37" s="1"/>
  <c r="EK149" i="37"/>
  <c r="EL54" i="37"/>
  <c r="EK55" i="37"/>
  <c r="EK57" i="37" s="1"/>
  <c r="EK58" i="37" s="1"/>
  <c r="EK60" i="37" s="1"/>
  <c r="EK13" i="37" s="1"/>
  <c r="EK61" i="37"/>
  <c r="K73" i="19"/>
  <c r="K75" i="19" s="1"/>
  <c r="L43" i="21"/>
  <c r="L38" i="21" s="1"/>
  <c r="K66" i="19" s="1"/>
  <c r="AD39" i="18"/>
  <c r="N52" i="23" l="1"/>
  <c r="GO279" i="37"/>
  <c r="EK270" i="37"/>
  <c r="AP322" i="25"/>
  <c r="EK268" i="37"/>
  <c r="AP320" i="25"/>
  <c r="GP277" i="37"/>
  <c r="GP279" i="37"/>
  <c r="GQ37" i="37"/>
  <c r="GQ12" i="37"/>
  <c r="GQ267" i="37" s="1"/>
  <c r="EL210" i="37"/>
  <c r="EL211" i="37" s="1"/>
  <c r="EL213" i="37" s="1"/>
  <c r="EL214" i="37" s="1"/>
  <c r="EL216" i="37" s="1"/>
  <c r="EL15" i="37" s="1"/>
  <c r="EL270" i="37" s="1"/>
  <c r="EL217" i="37"/>
  <c r="GR215" i="37"/>
  <c r="GR208" i="37"/>
  <c r="GQ59" i="37"/>
  <c r="GQ52" i="37"/>
  <c r="GR137" i="37"/>
  <c r="GS28" i="37"/>
  <c r="GS205" i="37" s="1"/>
  <c r="GS206" i="37" s="1"/>
  <c r="GR49" i="37"/>
  <c r="GR50" i="37" s="1"/>
  <c r="GR31" i="37"/>
  <c r="GR32" i="37" s="1"/>
  <c r="EL142" i="37"/>
  <c r="EL143" i="37" s="1"/>
  <c r="EL145" i="37" s="1"/>
  <c r="EL149" i="37"/>
  <c r="EM54" i="37"/>
  <c r="EL55" i="37"/>
  <c r="EL57" i="37" s="1"/>
  <c r="EL58" i="37" s="1"/>
  <c r="EL60" i="37" s="1"/>
  <c r="EL13" i="37" s="1"/>
  <c r="EL268" i="37" s="1"/>
  <c r="EL61" i="37"/>
  <c r="N53" i="23" l="1"/>
  <c r="N82" i="23" s="1"/>
  <c r="N87" i="23" s="1"/>
  <c r="N83" i="23" s="1"/>
  <c r="N84" i="23" s="1"/>
  <c r="N109" i="23" s="1"/>
  <c r="G46" i="22" s="1"/>
  <c r="N75" i="23"/>
  <c r="N78" i="23" s="1"/>
  <c r="GQ277" i="37"/>
  <c r="GQ279" i="37"/>
  <c r="GR37" i="37"/>
  <c r="GR12" i="37"/>
  <c r="GR267" i="37" s="1"/>
  <c r="GS215" i="37"/>
  <c r="GS208" i="37"/>
  <c r="EM210" i="37"/>
  <c r="EM211" i="37" s="1"/>
  <c r="EM213" i="37" s="1"/>
  <c r="EM214" i="37" s="1"/>
  <c r="EM216" i="37" s="1"/>
  <c r="EM15" i="37" s="1"/>
  <c r="EM270" i="37" s="1"/>
  <c r="EM217" i="37"/>
  <c r="GR59" i="37"/>
  <c r="GR52" i="37"/>
  <c r="GS137" i="37"/>
  <c r="GT28" i="37"/>
  <c r="GT205" i="37" s="1"/>
  <c r="GT206" i="37" s="1"/>
  <c r="GS49" i="37"/>
  <c r="GS50" i="37" s="1"/>
  <c r="GS31" i="37"/>
  <c r="GS32" i="37" s="1"/>
  <c r="EM142" i="37"/>
  <c r="EM143" i="37" s="1"/>
  <c r="EM145" i="37" s="1"/>
  <c r="EM149" i="37"/>
  <c r="EN54" i="37"/>
  <c r="EM55" i="37"/>
  <c r="EM57" i="37" s="1"/>
  <c r="EM58" i="37" s="1"/>
  <c r="EM60" i="37" s="1"/>
  <c r="EM13" i="37" s="1"/>
  <c r="EM268" i="37" s="1"/>
  <c r="EM61" i="37"/>
  <c r="AD38" i="18" l="1"/>
  <c r="AD34" i="18" s="1"/>
  <c r="AD33" i="18" s="1"/>
  <c r="AD48" i="18" s="1"/>
  <c r="N94" i="23"/>
  <c r="GR277" i="37"/>
  <c r="GR279" i="37"/>
  <c r="GS37" i="37"/>
  <c r="GS12" i="37"/>
  <c r="EN210" i="37"/>
  <c r="EN211" i="37" s="1"/>
  <c r="EN213" i="37" s="1"/>
  <c r="EN214" i="37" s="1"/>
  <c r="EN216" i="37" s="1"/>
  <c r="EN15" i="37" s="1"/>
  <c r="EN270" i="37" s="1"/>
  <c r="EN217" i="37"/>
  <c r="GT215" i="37"/>
  <c r="GT208" i="37"/>
  <c r="GS59" i="37"/>
  <c r="GS52" i="37"/>
  <c r="GT137" i="37"/>
  <c r="GU28" i="37"/>
  <c r="GU205" i="37" s="1"/>
  <c r="GU206" i="37" s="1"/>
  <c r="GT49" i="37"/>
  <c r="GT50" i="37" s="1"/>
  <c r="GT31" i="37"/>
  <c r="GT32" i="37" s="1"/>
  <c r="EN142" i="37"/>
  <c r="EN143" i="37" s="1"/>
  <c r="EN145" i="37" s="1"/>
  <c r="EN149" i="37"/>
  <c r="EO54" i="37"/>
  <c r="EN55" i="37"/>
  <c r="EN57" i="37" s="1"/>
  <c r="EN58" i="37" s="1"/>
  <c r="EN60" i="37" s="1"/>
  <c r="EN13" i="37" s="1"/>
  <c r="EN268" i="37" s="1"/>
  <c r="EN61" i="37"/>
  <c r="L37" i="21"/>
  <c r="N88" i="23" l="1"/>
  <c r="N89" i="23" s="1"/>
  <c r="O86" i="23" s="1"/>
  <c r="O91" i="23" s="1"/>
  <c r="O92" i="23" s="1"/>
  <c r="K198" i="19"/>
  <c r="GS267" i="37"/>
  <c r="GS277" i="37" s="1"/>
  <c r="BE319" i="25"/>
  <c r="GT37" i="37"/>
  <c r="GT12" i="37"/>
  <c r="GT267" i="37" s="1"/>
  <c r="GU215" i="37"/>
  <c r="GU208" i="37"/>
  <c r="EO210" i="37"/>
  <c r="EO211" i="37" s="1"/>
  <c r="EO213" i="37" s="1"/>
  <c r="EO214" i="37" s="1"/>
  <c r="EO216" i="37" s="1"/>
  <c r="EO15" i="37" s="1"/>
  <c r="EO217" i="37"/>
  <c r="GT52" i="37"/>
  <c r="GT59" i="37"/>
  <c r="GU137" i="37"/>
  <c r="GV28" i="37"/>
  <c r="GV205" i="37" s="1"/>
  <c r="GV206" i="37" s="1"/>
  <c r="GU49" i="37"/>
  <c r="GU50" i="37" s="1"/>
  <c r="GU31" i="37"/>
  <c r="GU32" i="37" s="1"/>
  <c r="EO142" i="37"/>
  <c r="EO143" i="37" s="1"/>
  <c r="EO145" i="37" s="1"/>
  <c r="EO149" i="37"/>
  <c r="EP54" i="37"/>
  <c r="EO55" i="37"/>
  <c r="EO57" i="37" s="1"/>
  <c r="EO58" i="37" s="1"/>
  <c r="EO60" i="37" s="1"/>
  <c r="EO13" i="37" s="1"/>
  <c r="EO61" i="37"/>
  <c r="K197" i="19"/>
  <c r="L33" i="21"/>
  <c r="K239" i="19"/>
  <c r="G50" i="22"/>
  <c r="O90" i="23" l="1"/>
  <c r="GS279" i="37"/>
  <c r="EO268" i="37"/>
  <c r="AQ320" i="25"/>
  <c r="EO270" i="37"/>
  <c r="AQ322" i="25"/>
  <c r="GT277" i="37"/>
  <c r="GT279" i="37"/>
  <c r="GU37" i="37"/>
  <c r="GU12" i="37"/>
  <c r="GU267" i="37" s="1"/>
  <c r="EP210" i="37"/>
  <c r="EP211" i="37" s="1"/>
  <c r="EP213" i="37" s="1"/>
  <c r="EP214" i="37" s="1"/>
  <c r="EP216" i="37" s="1"/>
  <c r="EP15" i="37" s="1"/>
  <c r="EP270" i="37" s="1"/>
  <c r="EP217" i="37"/>
  <c r="GV215" i="37"/>
  <c r="GV208" i="37"/>
  <c r="GV137" i="37"/>
  <c r="GW28" i="37"/>
  <c r="GW205" i="37" s="1"/>
  <c r="GW206" i="37" s="1"/>
  <c r="GV49" i="37"/>
  <c r="GV50" i="37" s="1"/>
  <c r="GV31" i="37"/>
  <c r="GV32" i="37" s="1"/>
  <c r="GU59" i="37"/>
  <c r="GU52" i="37"/>
  <c r="EP142" i="37"/>
  <c r="EP143" i="37" s="1"/>
  <c r="EP145" i="37" s="1"/>
  <c r="EP149" i="37"/>
  <c r="EQ54" i="37"/>
  <c r="EP55" i="37"/>
  <c r="EP57" i="37" s="1"/>
  <c r="EP58" i="37" s="1"/>
  <c r="EP60" i="37" s="1"/>
  <c r="EP13" i="37" s="1"/>
  <c r="EP268" i="37" s="1"/>
  <c r="EP61" i="37"/>
  <c r="K244" i="19"/>
  <c r="N110" i="23" s="1"/>
  <c r="G18" i="22"/>
  <c r="G64" i="22"/>
  <c r="G69" i="22" s="1"/>
  <c r="K65" i="19"/>
  <c r="K64" i="19" s="1"/>
  <c r="K68" i="19" s="1"/>
  <c r="L32" i="21"/>
  <c r="L45" i="21" s="1"/>
  <c r="M46" i="21" s="1"/>
  <c r="GU277" i="37" l="1"/>
  <c r="GU279" i="37"/>
  <c r="GV37" i="37"/>
  <c r="GV12" i="37"/>
  <c r="GV267" i="37" s="1"/>
  <c r="EQ210" i="37"/>
  <c r="EQ211" i="37" s="1"/>
  <c r="EQ213" i="37" s="1"/>
  <c r="EQ214" i="37" s="1"/>
  <c r="EQ216" i="37" s="1"/>
  <c r="EQ15" i="37" s="1"/>
  <c r="EQ270" i="37" s="1"/>
  <c r="EQ217" i="37"/>
  <c r="GW215" i="37"/>
  <c r="GW208" i="37"/>
  <c r="GV52" i="37"/>
  <c r="GV59" i="37"/>
  <c r="GW137" i="37"/>
  <c r="GX28" i="37"/>
  <c r="GX205" i="37" s="1"/>
  <c r="GX206" i="37" s="1"/>
  <c r="GW49" i="37"/>
  <c r="GW50" i="37" s="1"/>
  <c r="GW31" i="37"/>
  <c r="GW32" i="37" s="1"/>
  <c r="EQ142" i="37"/>
  <c r="EQ143" i="37" s="1"/>
  <c r="EQ145" i="37" s="1"/>
  <c r="EQ149" i="37"/>
  <c r="ER54" i="37"/>
  <c r="EQ55" i="37"/>
  <c r="EQ57" i="37" s="1"/>
  <c r="EQ58" i="37" s="1"/>
  <c r="EQ60" i="37" s="1"/>
  <c r="EQ13" i="37" s="1"/>
  <c r="EQ268" i="37" s="1"/>
  <c r="EQ61" i="37"/>
  <c r="AE45" i="18"/>
  <c r="N111" i="23"/>
  <c r="N112" i="23" s="1"/>
  <c r="N114" i="23" s="1"/>
  <c r="G75" i="22"/>
  <c r="G74" i="22"/>
  <c r="G62" i="22" s="1"/>
  <c r="K225" i="19"/>
  <c r="GV277" i="37" l="1"/>
  <c r="GV279" i="37"/>
  <c r="GW37" i="37"/>
  <c r="GW12" i="37"/>
  <c r="ER210" i="37"/>
  <c r="ER211" i="37" s="1"/>
  <c r="ER213" i="37" s="1"/>
  <c r="ER214" i="37" s="1"/>
  <c r="ER216" i="37" s="1"/>
  <c r="ER15" i="37" s="1"/>
  <c r="ER270" i="37" s="1"/>
  <c r="ER217" i="37"/>
  <c r="GX215" i="37"/>
  <c r="GX208" i="37"/>
  <c r="GW59" i="37"/>
  <c r="GW52" i="37"/>
  <c r="GX137" i="37"/>
  <c r="GY28" i="37"/>
  <c r="GY205" i="37" s="1"/>
  <c r="GY206" i="37" s="1"/>
  <c r="GX49" i="37"/>
  <c r="GX50" i="37" s="1"/>
  <c r="GX31" i="37"/>
  <c r="GX32" i="37" s="1"/>
  <c r="ER142" i="37"/>
  <c r="ER143" i="37" s="1"/>
  <c r="ER145" i="37" s="1"/>
  <c r="ER149" i="37"/>
  <c r="ES54" i="37"/>
  <c r="ER55" i="37"/>
  <c r="ER57" i="37" s="1"/>
  <c r="ER58" i="37" s="1"/>
  <c r="ER60" i="37" s="1"/>
  <c r="ER13" i="37" s="1"/>
  <c r="ER268" i="37" s="1"/>
  <c r="ER61" i="37"/>
  <c r="K246" i="19"/>
  <c r="G63" i="22"/>
  <c r="H60" i="22" s="1"/>
  <c r="G80" i="22"/>
  <c r="K248" i="19"/>
  <c r="N119" i="23" s="1"/>
  <c r="O63" i="23"/>
  <c r="GW267" i="37" l="1"/>
  <c r="GW277" i="37" s="1"/>
  <c r="BF319" i="25"/>
  <c r="GX37" i="37"/>
  <c r="GX12" i="37"/>
  <c r="GX267" i="37" s="1"/>
  <c r="GY215" i="37"/>
  <c r="GY208" i="37"/>
  <c r="ES210" i="37"/>
  <c r="ES211" i="37" s="1"/>
  <c r="ES213" i="37" s="1"/>
  <c r="ES214" i="37" s="1"/>
  <c r="ES216" i="37" s="1"/>
  <c r="ES15" i="37" s="1"/>
  <c r="ES217" i="37"/>
  <c r="GX59" i="37"/>
  <c r="GX52" i="37"/>
  <c r="GY137" i="37"/>
  <c r="GZ28" i="37"/>
  <c r="GZ205" i="37" s="1"/>
  <c r="GZ206" i="37" s="1"/>
  <c r="GY49" i="37"/>
  <c r="GY50" i="37" s="1"/>
  <c r="GY31" i="37"/>
  <c r="GY32" i="37" s="1"/>
  <c r="ES142" i="37"/>
  <c r="ES143" i="37" s="1"/>
  <c r="ES145" i="37" s="1"/>
  <c r="ES149" i="37"/>
  <c r="ET54" i="37"/>
  <c r="ES55" i="37"/>
  <c r="ES57" i="37" s="1"/>
  <c r="ES58" i="37" s="1"/>
  <c r="ES60" i="37" s="1"/>
  <c r="ES13" i="37" s="1"/>
  <c r="ES61" i="37"/>
  <c r="G81" i="22"/>
  <c r="G82" i="22" s="1"/>
  <c r="O93" i="23"/>
  <c r="O64" i="23"/>
  <c r="O61" i="23" s="1"/>
  <c r="N117" i="23"/>
  <c r="GW279" i="37" l="1"/>
  <c r="ES268" i="37"/>
  <c r="AR320" i="25"/>
  <c r="ES270" i="37"/>
  <c r="AR322" i="25"/>
  <c r="GX277" i="37"/>
  <c r="GX279" i="37"/>
  <c r="GY37" i="37"/>
  <c r="GY12" i="37"/>
  <c r="GY267" i="37" s="1"/>
  <c r="ET210" i="37"/>
  <c r="ET211" i="37" s="1"/>
  <c r="ET213" i="37" s="1"/>
  <c r="ET214" i="37" s="1"/>
  <c r="ET216" i="37" s="1"/>
  <c r="ET15" i="37" s="1"/>
  <c r="ET270" i="37" s="1"/>
  <c r="ET217" i="37"/>
  <c r="GZ215" i="37"/>
  <c r="GZ208" i="37"/>
  <c r="GZ137" i="37"/>
  <c r="HA28" i="37"/>
  <c r="HA205" i="37" s="1"/>
  <c r="HA206" i="37" s="1"/>
  <c r="GZ49" i="37"/>
  <c r="GZ50" i="37" s="1"/>
  <c r="GZ31" i="37"/>
  <c r="GZ32" i="37" s="1"/>
  <c r="GY59" i="37"/>
  <c r="GY52" i="37"/>
  <c r="ET142" i="37"/>
  <c r="ET143" i="37" s="1"/>
  <c r="ET145" i="37" s="1"/>
  <c r="ET149" i="37"/>
  <c r="EU54" i="37"/>
  <c r="ET55" i="37"/>
  <c r="ET57" i="37" s="1"/>
  <c r="ET58" i="37" s="1"/>
  <c r="ET60" i="37" s="1"/>
  <c r="ET13" i="37" s="1"/>
  <c r="ET268" i="37" s="1"/>
  <c r="ET61" i="37"/>
  <c r="O62" i="23"/>
  <c r="K250" i="19"/>
  <c r="N121" i="23" s="1"/>
  <c r="K249" i="19"/>
  <c r="G51" i="22"/>
  <c r="GY277" i="37" l="1"/>
  <c r="GY279" i="37"/>
  <c r="GZ37" i="37"/>
  <c r="GZ12" i="37"/>
  <c r="GZ267" i="37" s="1"/>
  <c r="HA215" i="37"/>
  <c r="HA208" i="37"/>
  <c r="EU210" i="37"/>
  <c r="EU211" i="37" s="1"/>
  <c r="EU213" i="37" s="1"/>
  <c r="EU214" i="37" s="1"/>
  <c r="EU216" i="37" s="1"/>
  <c r="EU15" i="37" s="1"/>
  <c r="EU270" i="37" s="1"/>
  <c r="EU217" i="37"/>
  <c r="GZ52" i="37"/>
  <c r="GZ59" i="37"/>
  <c r="HA137" i="37"/>
  <c r="HB28" i="37"/>
  <c r="HB205" i="37" s="1"/>
  <c r="HB206" i="37" s="1"/>
  <c r="HA49" i="37"/>
  <c r="HA50" i="37" s="1"/>
  <c r="HA31" i="37"/>
  <c r="HA32" i="37" s="1"/>
  <c r="EU142" i="37"/>
  <c r="EU143" i="37" s="1"/>
  <c r="EU145" i="37" s="1"/>
  <c r="EU149" i="37"/>
  <c r="EV54" i="37"/>
  <c r="EU55" i="37"/>
  <c r="EU57" i="37" s="1"/>
  <c r="EU58" i="37" s="1"/>
  <c r="EU60" i="37" s="1"/>
  <c r="EU13" i="37" s="1"/>
  <c r="EU268" i="37" s="1"/>
  <c r="EU61" i="37"/>
  <c r="N120" i="23"/>
  <c r="K251" i="19"/>
  <c r="K252" i="19" s="1"/>
  <c r="P57" i="23"/>
  <c r="GZ277" i="37" l="1"/>
  <c r="GZ279" i="37"/>
  <c r="HA37" i="37"/>
  <c r="HA12" i="37"/>
  <c r="EV210" i="37"/>
  <c r="EV211" i="37" s="1"/>
  <c r="EV213" i="37" s="1"/>
  <c r="EV214" i="37" s="1"/>
  <c r="EV216" i="37" s="1"/>
  <c r="EV15" i="37" s="1"/>
  <c r="EV270" i="37" s="1"/>
  <c r="EV217" i="37"/>
  <c r="HB215" i="37"/>
  <c r="HB208" i="37"/>
  <c r="HA59" i="37"/>
  <c r="HA52" i="37"/>
  <c r="HB137" i="37"/>
  <c r="HB49" i="37"/>
  <c r="HB50" i="37" s="1"/>
  <c r="HC28" i="37"/>
  <c r="HC205" i="37" s="1"/>
  <c r="HC206" i="37" s="1"/>
  <c r="HB31" i="37"/>
  <c r="HB32" i="37" s="1"/>
  <c r="EV142" i="37"/>
  <c r="EV143" i="37" s="1"/>
  <c r="EV145" i="37" s="1"/>
  <c r="EV149" i="37"/>
  <c r="EW54" i="37"/>
  <c r="EV55" i="37"/>
  <c r="EV57" i="37" s="1"/>
  <c r="EV58" i="37" s="1"/>
  <c r="EV60" i="37" s="1"/>
  <c r="EV13" i="37" s="1"/>
  <c r="EV268" i="37" s="1"/>
  <c r="EV61" i="37"/>
  <c r="P64" i="23"/>
  <c r="P61" i="23" s="1"/>
  <c r="P62" i="23" s="1"/>
  <c r="HA267" i="37" l="1"/>
  <c r="HA277" i="37" s="1"/>
  <c r="BG319" i="25"/>
  <c r="HB37" i="37"/>
  <c r="HB12" i="37"/>
  <c r="HB267" i="37" s="1"/>
  <c r="HC215" i="37"/>
  <c r="HC208" i="37"/>
  <c r="EW210" i="37"/>
  <c r="EW211" i="37" s="1"/>
  <c r="EW213" i="37" s="1"/>
  <c r="EW214" i="37" s="1"/>
  <c r="EW216" i="37" s="1"/>
  <c r="EW15" i="37" s="1"/>
  <c r="EW217" i="37"/>
  <c r="HC137" i="37"/>
  <c r="HC49" i="37"/>
  <c r="HC50" i="37" s="1"/>
  <c r="HD28" i="37"/>
  <c r="HD205" i="37" s="1"/>
  <c r="HD206" i="37" s="1"/>
  <c r="HC31" i="37"/>
  <c r="HC32" i="37" s="1"/>
  <c r="HB59" i="37"/>
  <c r="HB52" i="37"/>
  <c r="EW142" i="37"/>
  <c r="EW143" i="37" s="1"/>
  <c r="EW145" i="37" s="1"/>
  <c r="EW149" i="37"/>
  <c r="EX54" i="37"/>
  <c r="EW55" i="37"/>
  <c r="EW57" i="37" s="1"/>
  <c r="EW58" i="37" s="1"/>
  <c r="EW60" i="37" s="1"/>
  <c r="EW13" i="37" s="1"/>
  <c r="EW61" i="37"/>
  <c r="Q57" i="23"/>
  <c r="HA279" i="37" l="1"/>
  <c r="EW268" i="37"/>
  <c r="AS320" i="25"/>
  <c r="EW270" i="37"/>
  <c r="AS322" i="25"/>
  <c r="HB277" i="37"/>
  <c r="HB279" i="37"/>
  <c r="HC37" i="37"/>
  <c r="HC12" i="37"/>
  <c r="HC267" i="37" s="1"/>
  <c r="EX210" i="37"/>
  <c r="EX211" i="37" s="1"/>
  <c r="EX213" i="37" s="1"/>
  <c r="EX214" i="37" s="1"/>
  <c r="EX216" i="37" s="1"/>
  <c r="EX15" i="37" s="1"/>
  <c r="EX270" i="37" s="1"/>
  <c r="EX217" i="37"/>
  <c r="HD215" i="37"/>
  <c r="HD208" i="37"/>
  <c r="HD137" i="37"/>
  <c r="HE28" i="37"/>
  <c r="HE205" i="37" s="1"/>
  <c r="HE206" i="37" s="1"/>
  <c r="HD49" i="37"/>
  <c r="HD50" i="37" s="1"/>
  <c r="HD31" i="37"/>
  <c r="HD32" i="37" s="1"/>
  <c r="HC59" i="37"/>
  <c r="HC52" i="37"/>
  <c r="EX142" i="37"/>
  <c r="EX143" i="37" s="1"/>
  <c r="EX145" i="37" s="1"/>
  <c r="EX149" i="37"/>
  <c r="EX55" i="37"/>
  <c r="EX57" i="37" s="1"/>
  <c r="EX58" i="37" s="1"/>
  <c r="EX60" i="37" s="1"/>
  <c r="EX13" i="37" s="1"/>
  <c r="EX268" i="37" s="1"/>
  <c r="EY54" i="37"/>
  <c r="EX61" i="37"/>
  <c r="Q64" i="23"/>
  <c r="Q61" i="23" s="1"/>
  <c r="Q62" i="23" s="1"/>
  <c r="HC277" i="37" l="1"/>
  <c r="HC279" i="37"/>
  <c r="HD37" i="37"/>
  <c r="HD12" i="37"/>
  <c r="HD267" i="37" s="1"/>
  <c r="HE215" i="37"/>
  <c r="HE208" i="37"/>
  <c r="EY210" i="37"/>
  <c r="EY211" i="37" s="1"/>
  <c r="EY213" i="37" s="1"/>
  <c r="EY214" i="37" s="1"/>
  <c r="EY216" i="37" s="1"/>
  <c r="EY15" i="37" s="1"/>
  <c r="EY270" i="37" s="1"/>
  <c r="EY217" i="37"/>
  <c r="HD52" i="37"/>
  <c r="HD59" i="37"/>
  <c r="HE137" i="37"/>
  <c r="HE49" i="37"/>
  <c r="HE50" i="37" s="1"/>
  <c r="HF28" i="37"/>
  <c r="HF205" i="37" s="1"/>
  <c r="HF206" i="37" s="1"/>
  <c r="HE31" i="37"/>
  <c r="HE32" i="37" s="1"/>
  <c r="EY142" i="37"/>
  <c r="EY143" i="37" s="1"/>
  <c r="EY145" i="37" s="1"/>
  <c r="EY149" i="37"/>
  <c r="EY55" i="37"/>
  <c r="EY57" i="37" s="1"/>
  <c r="EY58" i="37" s="1"/>
  <c r="EY60" i="37" s="1"/>
  <c r="EY13" i="37" s="1"/>
  <c r="EY268" i="37" s="1"/>
  <c r="EZ54" i="37"/>
  <c r="EY61" i="37"/>
  <c r="R57" i="23"/>
  <c r="HD277" i="37" l="1"/>
  <c r="HD279" i="37"/>
  <c r="HE37" i="37"/>
  <c r="HE12" i="37"/>
  <c r="EZ210" i="37"/>
  <c r="EZ211" i="37" s="1"/>
  <c r="EZ213" i="37" s="1"/>
  <c r="EZ214" i="37" s="1"/>
  <c r="EZ216" i="37" s="1"/>
  <c r="EZ15" i="37" s="1"/>
  <c r="EZ270" i="37" s="1"/>
  <c r="EZ217" i="37"/>
  <c r="HF215" i="37"/>
  <c r="HF208" i="37"/>
  <c r="HF137" i="37"/>
  <c r="HG28" i="37"/>
  <c r="HG205" i="37" s="1"/>
  <c r="HG206" i="37" s="1"/>
  <c r="HF49" i="37"/>
  <c r="HF50" i="37" s="1"/>
  <c r="HF31" i="37"/>
  <c r="HF32" i="37" s="1"/>
  <c r="HE59" i="37"/>
  <c r="HE52" i="37"/>
  <c r="EZ142" i="37"/>
  <c r="EZ143" i="37" s="1"/>
  <c r="EZ145" i="37" s="1"/>
  <c r="EZ149" i="37"/>
  <c r="FA54" i="37"/>
  <c r="EZ55" i="37"/>
  <c r="EZ57" i="37" s="1"/>
  <c r="EZ58" i="37" s="1"/>
  <c r="EZ60" i="37" s="1"/>
  <c r="EZ13" i="37" s="1"/>
  <c r="EZ268" i="37" s="1"/>
  <c r="EZ61" i="37"/>
  <c r="R64" i="23"/>
  <c r="R61" i="23" s="1"/>
  <c r="HE267" i="37" l="1"/>
  <c r="HE277" i="37" s="1"/>
  <c r="BH319" i="25"/>
  <c r="HF37" i="37"/>
  <c r="HF12" i="37"/>
  <c r="HF267" i="37" s="1"/>
  <c r="HG215" i="37"/>
  <c r="HG208" i="37"/>
  <c r="FA210" i="37"/>
  <c r="FA211" i="37" s="1"/>
  <c r="FA213" i="37" s="1"/>
  <c r="FA214" i="37" s="1"/>
  <c r="FA216" i="37" s="1"/>
  <c r="FA15" i="37" s="1"/>
  <c r="FA217" i="37"/>
  <c r="HF59" i="37"/>
  <c r="HF52" i="37"/>
  <c r="HG137" i="37"/>
  <c r="HH28" i="37"/>
  <c r="HH205" i="37" s="1"/>
  <c r="HH206" i="37" s="1"/>
  <c r="HG49" i="37"/>
  <c r="HG50" i="37" s="1"/>
  <c r="HG31" i="37"/>
  <c r="HG32" i="37" s="1"/>
  <c r="FA142" i="37"/>
  <c r="FA143" i="37" s="1"/>
  <c r="FA145" i="37" s="1"/>
  <c r="FA149" i="37"/>
  <c r="FB54" i="37"/>
  <c r="FA55" i="37"/>
  <c r="FA57" i="37" s="1"/>
  <c r="FA58" i="37" s="1"/>
  <c r="FA60" i="37" s="1"/>
  <c r="FA13" i="37" s="1"/>
  <c r="FA61" i="37"/>
  <c r="R71" i="23"/>
  <c r="L153" i="19"/>
  <c r="L154" i="19" s="1"/>
  <c r="R62" i="23"/>
  <c r="R69" i="23" s="1"/>
  <c r="HE279" i="37" l="1"/>
  <c r="FA268" i="37"/>
  <c r="AT320" i="25"/>
  <c r="FA270" i="37"/>
  <c r="AT322" i="25"/>
  <c r="HF277" i="37"/>
  <c r="HF279" i="37"/>
  <c r="HG37" i="37"/>
  <c r="HG12" i="37"/>
  <c r="HG267" i="37" s="1"/>
  <c r="FB210" i="37"/>
  <c r="FB211" i="37" s="1"/>
  <c r="FB213" i="37" s="1"/>
  <c r="FB214" i="37" s="1"/>
  <c r="FB216" i="37" s="1"/>
  <c r="FB15" i="37" s="1"/>
  <c r="FB270" i="37" s="1"/>
  <c r="FB217" i="37"/>
  <c r="HH215" i="37"/>
  <c r="HH208" i="37"/>
  <c r="HG59" i="37"/>
  <c r="HG52" i="37"/>
  <c r="HH137" i="37"/>
  <c r="HI28" i="37"/>
  <c r="HI205" i="37" s="1"/>
  <c r="HI206" i="37" s="1"/>
  <c r="HH49" i="37"/>
  <c r="HH50" i="37" s="1"/>
  <c r="HH31" i="37"/>
  <c r="HH32" i="37" s="1"/>
  <c r="FB142" i="37"/>
  <c r="FB143" i="37" s="1"/>
  <c r="FB145" i="37" s="1"/>
  <c r="FB149" i="37"/>
  <c r="FC54" i="37"/>
  <c r="FB55" i="37"/>
  <c r="FB57" i="37" s="1"/>
  <c r="FB58" i="37" s="1"/>
  <c r="FB60" i="37" s="1"/>
  <c r="FB13" i="37" s="1"/>
  <c r="FB268" i="37" s="1"/>
  <c r="FB61" i="37"/>
  <c r="R72" i="23"/>
  <c r="S57" i="23"/>
  <c r="M150" i="19"/>
  <c r="L39" i="19"/>
  <c r="L35" i="19" s="1"/>
  <c r="L43" i="19" s="1"/>
  <c r="HG277" i="37" l="1"/>
  <c r="HG279" i="37"/>
  <c r="HH37" i="37"/>
  <c r="HH12" i="37"/>
  <c r="HH267" i="37" s="1"/>
  <c r="HI215" i="37"/>
  <c r="HI208" i="37"/>
  <c r="FC210" i="37"/>
  <c r="FC211" i="37" s="1"/>
  <c r="FC213" i="37" s="1"/>
  <c r="FC214" i="37" s="1"/>
  <c r="FC216" i="37" s="1"/>
  <c r="FC15" i="37" s="1"/>
  <c r="FC270" i="37" s="1"/>
  <c r="FC217" i="37"/>
  <c r="HH59" i="37"/>
  <c r="HH52" i="37"/>
  <c r="HI137" i="37"/>
  <c r="HI49" i="37"/>
  <c r="HI50" i="37" s="1"/>
  <c r="HJ28" i="37"/>
  <c r="HJ205" i="37" s="1"/>
  <c r="HJ206" i="37" s="1"/>
  <c r="HI31" i="37"/>
  <c r="HI32" i="37" s="1"/>
  <c r="FC142" i="37"/>
  <c r="FC143" i="37" s="1"/>
  <c r="FC145" i="37" s="1"/>
  <c r="FC149" i="37"/>
  <c r="FD54" i="37"/>
  <c r="FC55" i="37"/>
  <c r="FC57" i="37" s="1"/>
  <c r="FC58" i="37" s="1"/>
  <c r="FC60" i="37" s="1"/>
  <c r="FC13" i="37" s="1"/>
  <c r="FC268" i="37" s="1"/>
  <c r="FC61" i="37"/>
  <c r="G19" i="22"/>
  <c r="G15" i="22" s="1"/>
  <c r="G20" i="22" s="1"/>
  <c r="H12" i="22" s="1"/>
  <c r="HH277" i="37" l="1"/>
  <c r="HH279" i="37"/>
  <c r="HI37" i="37"/>
  <c r="HI12" i="37"/>
  <c r="FD210" i="37"/>
  <c r="FD211" i="37" s="1"/>
  <c r="FD213" i="37" s="1"/>
  <c r="FD214" i="37" s="1"/>
  <c r="FD216" i="37" s="1"/>
  <c r="FD15" i="37" s="1"/>
  <c r="FD270" i="37" s="1"/>
  <c r="FD217" i="37"/>
  <c r="HJ215" i="37"/>
  <c r="HJ208" i="37"/>
  <c r="HJ137" i="37"/>
  <c r="HK28" i="37"/>
  <c r="HK205" i="37" s="1"/>
  <c r="HK206" i="37" s="1"/>
  <c r="HJ49" i="37"/>
  <c r="HJ50" i="37" s="1"/>
  <c r="HJ31" i="37"/>
  <c r="HJ32" i="37" s="1"/>
  <c r="HI59" i="37"/>
  <c r="HI52" i="37"/>
  <c r="FD142" i="37"/>
  <c r="FD143" i="37" s="1"/>
  <c r="FD145" i="37" s="1"/>
  <c r="FD149" i="37"/>
  <c r="FE54" i="37"/>
  <c r="FD55" i="37"/>
  <c r="FD57" i="37" s="1"/>
  <c r="FD58" i="37" s="1"/>
  <c r="FD60" i="37" s="1"/>
  <c r="FD13" i="37" s="1"/>
  <c r="FD268" i="37" s="1"/>
  <c r="FD61" i="37"/>
  <c r="G9" i="22"/>
  <c r="K226" i="19"/>
  <c r="HI267" i="37" l="1"/>
  <c r="HI277" i="37" s="1"/>
  <c r="BI319" i="25"/>
  <c r="HJ37" i="37"/>
  <c r="HJ12" i="37"/>
  <c r="HJ267" i="37" s="1"/>
  <c r="HK215" i="37"/>
  <c r="HK208" i="37"/>
  <c r="FE210" i="37"/>
  <c r="FE211" i="37" s="1"/>
  <c r="FE213" i="37" s="1"/>
  <c r="FE214" i="37" s="1"/>
  <c r="FE216" i="37" s="1"/>
  <c r="FE15" i="37" s="1"/>
  <c r="FE217" i="37"/>
  <c r="HJ59" i="37"/>
  <c r="HJ52" i="37"/>
  <c r="HK137" i="37"/>
  <c r="HL28" i="37"/>
  <c r="HL205" i="37" s="1"/>
  <c r="HL206" i="37" s="1"/>
  <c r="HK49" i="37"/>
  <c r="HK50" i="37" s="1"/>
  <c r="HK31" i="37"/>
  <c r="HK32" i="37" s="1"/>
  <c r="FE142" i="37"/>
  <c r="FE143" i="37" s="1"/>
  <c r="FE145" i="37" s="1"/>
  <c r="FE149" i="37"/>
  <c r="FF54" i="37"/>
  <c r="FE55" i="37"/>
  <c r="FE57" i="37" s="1"/>
  <c r="FE58" i="37" s="1"/>
  <c r="FE60" i="37" s="1"/>
  <c r="FE13" i="37" s="1"/>
  <c r="FE61" i="37"/>
  <c r="K222" i="19"/>
  <c r="K227" i="19" s="1"/>
  <c r="L220" i="19" s="1"/>
  <c r="HI279" i="37" l="1"/>
  <c r="FE268" i="37"/>
  <c r="AU320" i="25"/>
  <c r="FE270" i="37"/>
  <c r="AU322" i="25"/>
  <c r="HJ277" i="37"/>
  <c r="HJ279" i="37"/>
  <c r="HK37" i="37"/>
  <c r="HK12" i="37"/>
  <c r="HK267" i="37" s="1"/>
  <c r="FF210" i="37"/>
  <c r="FF211" i="37" s="1"/>
  <c r="FF213" i="37" s="1"/>
  <c r="FF214" i="37" s="1"/>
  <c r="FF216" i="37" s="1"/>
  <c r="FF15" i="37" s="1"/>
  <c r="FF270" i="37" s="1"/>
  <c r="FF217" i="37"/>
  <c r="HL215" i="37"/>
  <c r="HL208" i="37"/>
  <c r="HK59" i="37"/>
  <c r="HK52" i="37"/>
  <c r="HL137" i="37"/>
  <c r="HM28" i="37"/>
  <c r="HM205" i="37" s="1"/>
  <c r="HM206" i="37" s="1"/>
  <c r="HL49" i="37"/>
  <c r="HL50" i="37" s="1"/>
  <c r="HL31" i="37"/>
  <c r="HL32" i="37" s="1"/>
  <c r="FF142" i="37"/>
  <c r="FF143" i="37" s="1"/>
  <c r="FF145" i="37" s="1"/>
  <c r="FF149" i="37"/>
  <c r="FF55" i="37"/>
  <c r="FF57" i="37" s="1"/>
  <c r="FF58" i="37" s="1"/>
  <c r="FF60" i="37" s="1"/>
  <c r="FF13" i="37" s="1"/>
  <c r="FF268" i="37" s="1"/>
  <c r="FG54" i="37"/>
  <c r="FF61" i="37"/>
  <c r="HK277" i="37" l="1"/>
  <c r="HK279" i="37"/>
  <c r="HL37" i="37"/>
  <c r="HL12" i="37"/>
  <c r="HL267" i="37" s="1"/>
  <c r="FG210" i="37"/>
  <c r="FG211" i="37" s="1"/>
  <c r="FG213" i="37" s="1"/>
  <c r="FG214" i="37" s="1"/>
  <c r="FG216" i="37" s="1"/>
  <c r="FG15" i="37" s="1"/>
  <c r="FG270" i="37" s="1"/>
  <c r="FG217" i="37"/>
  <c r="HM215" i="37"/>
  <c r="HM208" i="37"/>
  <c r="HL59" i="37"/>
  <c r="HL52" i="37"/>
  <c r="HM137" i="37"/>
  <c r="HN28" i="37"/>
  <c r="HN205" i="37" s="1"/>
  <c r="HN206" i="37" s="1"/>
  <c r="HM49" i="37"/>
  <c r="HM50" i="37" s="1"/>
  <c r="HM31" i="37"/>
  <c r="HM32" i="37" s="1"/>
  <c r="FG142" i="37"/>
  <c r="FG143" i="37" s="1"/>
  <c r="FG145" i="37" s="1"/>
  <c r="FG149" i="37"/>
  <c r="FH54" i="37"/>
  <c r="FG55" i="37"/>
  <c r="FG57" i="37" s="1"/>
  <c r="FG58" i="37" s="1"/>
  <c r="FG60" i="37" s="1"/>
  <c r="FG13" i="37" s="1"/>
  <c r="FG268" i="37" s="1"/>
  <c r="FG61" i="37"/>
  <c r="HL277" i="37" l="1"/>
  <c r="HL279" i="37"/>
  <c r="HM37" i="37"/>
  <c r="HM12" i="37"/>
  <c r="FH210" i="37"/>
  <c r="FH211" i="37" s="1"/>
  <c r="FH213" i="37" s="1"/>
  <c r="FH214" i="37" s="1"/>
  <c r="FH216" i="37" s="1"/>
  <c r="FH15" i="37" s="1"/>
  <c r="FH270" i="37" s="1"/>
  <c r="FH217" i="37"/>
  <c r="HN215" i="37"/>
  <c r="HN208" i="37"/>
  <c r="HN137" i="37"/>
  <c r="HO28" i="37"/>
  <c r="HO205" i="37" s="1"/>
  <c r="HO206" i="37" s="1"/>
  <c r="HN49" i="37"/>
  <c r="HN50" i="37" s="1"/>
  <c r="HN31" i="37"/>
  <c r="HN32" i="37" s="1"/>
  <c r="HM59" i="37"/>
  <c r="HM52" i="37"/>
  <c r="FH142" i="37"/>
  <c r="FH143" i="37" s="1"/>
  <c r="FH145" i="37" s="1"/>
  <c r="FH149" i="37"/>
  <c r="FI54" i="37"/>
  <c r="FH55" i="37"/>
  <c r="FH57" i="37" s="1"/>
  <c r="FH58" i="37" s="1"/>
  <c r="FH60" i="37" s="1"/>
  <c r="FH13" i="37" s="1"/>
  <c r="FH268" i="37" s="1"/>
  <c r="FH61" i="37"/>
  <c r="HM267" i="37" l="1"/>
  <c r="HM277" i="37" s="1"/>
  <c r="BJ319" i="25"/>
  <c r="HN37" i="37"/>
  <c r="HN12" i="37"/>
  <c r="HN267" i="37" s="1"/>
  <c r="HO215" i="37"/>
  <c r="HO208" i="37"/>
  <c r="FI210" i="37"/>
  <c r="FI211" i="37" s="1"/>
  <c r="FI213" i="37" s="1"/>
  <c r="FI214" i="37" s="1"/>
  <c r="FI216" i="37" s="1"/>
  <c r="FI15" i="37" s="1"/>
  <c r="FI217" i="37"/>
  <c r="HN59" i="37"/>
  <c r="HN52" i="37"/>
  <c r="HO137" i="37"/>
  <c r="HP28" i="37"/>
  <c r="HP205" i="37" s="1"/>
  <c r="HP206" i="37" s="1"/>
  <c r="HO49" i="37"/>
  <c r="HO50" i="37" s="1"/>
  <c r="HO31" i="37"/>
  <c r="HO32" i="37" s="1"/>
  <c r="FI142" i="37"/>
  <c r="FI143" i="37" s="1"/>
  <c r="FI145" i="37" s="1"/>
  <c r="FI149" i="37"/>
  <c r="FJ54" i="37"/>
  <c r="FI55" i="37"/>
  <c r="FI57" i="37" s="1"/>
  <c r="FI58" i="37" s="1"/>
  <c r="FI60" i="37" s="1"/>
  <c r="FI13" i="37" s="1"/>
  <c r="FI61" i="37"/>
  <c r="HM279" i="37" l="1"/>
  <c r="FI268" i="37"/>
  <c r="AV320" i="25"/>
  <c r="FI270" i="37"/>
  <c r="AV322" i="25"/>
  <c r="HN277" i="37"/>
  <c r="HN279" i="37"/>
  <c r="HO37" i="37"/>
  <c r="HO12" i="37"/>
  <c r="HO267" i="37" s="1"/>
  <c r="FJ210" i="37"/>
  <c r="FJ211" i="37" s="1"/>
  <c r="FJ213" i="37" s="1"/>
  <c r="FJ214" i="37" s="1"/>
  <c r="FJ216" i="37" s="1"/>
  <c r="FJ15" i="37" s="1"/>
  <c r="FJ270" i="37" s="1"/>
  <c r="FJ217" i="37"/>
  <c r="HP215" i="37"/>
  <c r="HP208" i="37"/>
  <c r="HO59" i="37"/>
  <c r="HO52" i="37"/>
  <c r="HP137" i="37"/>
  <c r="HQ28" i="37"/>
  <c r="HQ205" i="37" s="1"/>
  <c r="HQ206" i="37" s="1"/>
  <c r="HP49" i="37"/>
  <c r="HP50" i="37" s="1"/>
  <c r="HP31" i="37"/>
  <c r="HP32" i="37" s="1"/>
  <c r="FJ142" i="37"/>
  <c r="FJ143" i="37" s="1"/>
  <c r="FJ145" i="37" s="1"/>
  <c r="FJ149" i="37"/>
  <c r="FK54" i="37"/>
  <c r="FJ55" i="37"/>
  <c r="FJ57" i="37" s="1"/>
  <c r="FJ58" i="37" s="1"/>
  <c r="FJ60" i="37" s="1"/>
  <c r="FJ13" i="37" s="1"/>
  <c r="FJ268" i="37" s="1"/>
  <c r="FJ61" i="37"/>
  <c r="F16" i="36"/>
  <c r="F44" i="36"/>
  <c r="HO277" i="37" l="1"/>
  <c r="HO279" i="37"/>
  <c r="HP37" i="37"/>
  <c r="HP12" i="37"/>
  <c r="HP267" i="37" s="1"/>
  <c r="FK210" i="37"/>
  <c r="FK211" i="37" s="1"/>
  <c r="FK213" i="37" s="1"/>
  <c r="FK214" i="37" s="1"/>
  <c r="FK216" i="37" s="1"/>
  <c r="FK15" i="37" s="1"/>
  <c r="FK270" i="37" s="1"/>
  <c r="FK217" i="37"/>
  <c r="HQ215" i="37"/>
  <c r="HQ208" i="37"/>
  <c r="HP59" i="37"/>
  <c r="HP52" i="37"/>
  <c r="HQ137" i="37"/>
  <c r="HR28" i="37"/>
  <c r="HR205" i="37" s="1"/>
  <c r="HR206" i="37" s="1"/>
  <c r="HQ49" i="37"/>
  <c r="HQ50" i="37" s="1"/>
  <c r="HQ31" i="37"/>
  <c r="HQ32" i="37" s="1"/>
  <c r="FK142" i="37"/>
  <c r="FK143" i="37" s="1"/>
  <c r="FK145" i="37" s="1"/>
  <c r="FK149" i="37"/>
  <c r="FL54" i="37"/>
  <c r="FK55" i="37"/>
  <c r="FK57" i="37" s="1"/>
  <c r="FK58" i="37" s="1"/>
  <c r="FK60" i="37" s="1"/>
  <c r="FK13" i="37" s="1"/>
  <c r="FK268" i="37" s="1"/>
  <c r="FK61" i="37"/>
  <c r="F18" i="36"/>
  <c r="F19" i="36" s="1"/>
  <c r="F48" i="36"/>
  <c r="HP277" i="37" l="1"/>
  <c r="HP279" i="37"/>
  <c r="HQ37" i="37"/>
  <c r="HQ12" i="37"/>
  <c r="HR215" i="37"/>
  <c r="HR208" i="37"/>
  <c r="FL210" i="37"/>
  <c r="FL211" i="37" s="1"/>
  <c r="FL213" i="37" s="1"/>
  <c r="FL214" i="37" s="1"/>
  <c r="FL216" i="37" s="1"/>
  <c r="FL15" i="37" s="1"/>
  <c r="FL270" i="37" s="1"/>
  <c r="FL217" i="37"/>
  <c r="HR137" i="37"/>
  <c r="HS28" i="37"/>
  <c r="HS205" i="37" s="1"/>
  <c r="HS206" i="37" s="1"/>
  <c r="HR49" i="37"/>
  <c r="HR50" i="37" s="1"/>
  <c r="HR31" i="37"/>
  <c r="HR32" i="37" s="1"/>
  <c r="HQ59" i="37"/>
  <c r="HQ52" i="37"/>
  <c r="FL142" i="37"/>
  <c r="FL143" i="37" s="1"/>
  <c r="FL145" i="37" s="1"/>
  <c r="FL149" i="37"/>
  <c r="FM54" i="37"/>
  <c r="FL55" i="37"/>
  <c r="FL57" i="37" s="1"/>
  <c r="FL58" i="37" s="1"/>
  <c r="FL60" i="37" s="1"/>
  <c r="FL13" i="37" s="1"/>
  <c r="FL268" i="37" s="1"/>
  <c r="FL61" i="37"/>
  <c r="F71" i="36"/>
  <c r="F73" i="36" s="1"/>
  <c r="G17" i="36"/>
  <c r="F50" i="36"/>
  <c r="HQ267" i="37" l="1"/>
  <c r="HQ277" i="37" s="1"/>
  <c r="BK319" i="25"/>
  <c r="HR37" i="37"/>
  <c r="HR12" i="37"/>
  <c r="HR267" i="37" s="1"/>
  <c r="FM210" i="37"/>
  <c r="FM211" i="37" s="1"/>
  <c r="FM213" i="37" s="1"/>
  <c r="FM214" i="37" s="1"/>
  <c r="FM216" i="37" s="1"/>
  <c r="FM15" i="37" s="1"/>
  <c r="FM217" i="37"/>
  <c r="HS215" i="37"/>
  <c r="HS208" i="37"/>
  <c r="HR59" i="37"/>
  <c r="HR52" i="37"/>
  <c r="HS137" i="37"/>
  <c r="HT28" i="37"/>
  <c r="HT205" i="37" s="1"/>
  <c r="HT206" i="37" s="1"/>
  <c r="HS49" i="37"/>
  <c r="HS50" i="37" s="1"/>
  <c r="HS31" i="37"/>
  <c r="HS32" i="37" s="1"/>
  <c r="FM142" i="37"/>
  <c r="FM143" i="37" s="1"/>
  <c r="FM145" i="37" s="1"/>
  <c r="FM149" i="37"/>
  <c r="FN54" i="37"/>
  <c r="FM55" i="37"/>
  <c r="FM57" i="37" s="1"/>
  <c r="FM58" i="37" s="1"/>
  <c r="FM60" i="37" s="1"/>
  <c r="FM13" i="37" s="1"/>
  <c r="FM61" i="37"/>
  <c r="F79" i="36"/>
  <c r="F80" i="36" s="1"/>
  <c r="F81" i="36" s="1"/>
  <c r="G16" i="4"/>
  <c r="G19" i="4" s="1"/>
  <c r="HQ279" i="37" l="1"/>
  <c r="FM270" i="37"/>
  <c r="AW322" i="25"/>
  <c r="FM268" i="37"/>
  <c r="AW320" i="25"/>
  <c r="HR277" i="37"/>
  <c r="HR279" i="37"/>
  <c r="HS37" i="37"/>
  <c r="HS12" i="37"/>
  <c r="HS267" i="37" s="1"/>
  <c r="FN210" i="37"/>
  <c r="FN211" i="37" s="1"/>
  <c r="FN213" i="37" s="1"/>
  <c r="FN214" i="37" s="1"/>
  <c r="FN216" i="37" s="1"/>
  <c r="FN15" i="37" s="1"/>
  <c r="FN270" i="37" s="1"/>
  <c r="FN217" i="37"/>
  <c r="HT215" i="37"/>
  <c r="HT208" i="37"/>
  <c r="HS59" i="37"/>
  <c r="HS52" i="37"/>
  <c r="HT137" i="37"/>
  <c r="HT49" i="37"/>
  <c r="HT50" i="37" s="1"/>
  <c r="HU28" i="37"/>
  <c r="HU205" i="37" s="1"/>
  <c r="HU206" i="37" s="1"/>
  <c r="HT31" i="37"/>
  <c r="HT32" i="37" s="1"/>
  <c r="FN142" i="37"/>
  <c r="FN143" i="37" s="1"/>
  <c r="FN145" i="37" s="1"/>
  <c r="FN149" i="37"/>
  <c r="FN55" i="37"/>
  <c r="FN57" i="37" s="1"/>
  <c r="FN58" i="37" s="1"/>
  <c r="FN60" i="37" s="1"/>
  <c r="FN13" i="37" s="1"/>
  <c r="FN268" i="37" s="1"/>
  <c r="FO54" i="37"/>
  <c r="FN61" i="37"/>
  <c r="HS277" i="37" l="1"/>
  <c r="HS279" i="37"/>
  <c r="HT37" i="37"/>
  <c r="HT12" i="37"/>
  <c r="HT267" i="37" s="1"/>
  <c r="FO210" i="37"/>
  <c r="FO211" i="37" s="1"/>
  <c r="FO213" i="37" s="1"/>
  <c r="FO214" i="37" s="1"/>
  <c r="FO216" i="37" s="1"/>
  <c r="FO15" i="37" s="1"/>
  <c r="FO270" i="37" s="1"/>
  <c r="FO217" i="37"/>
  <c r="HU215" i="37"/>
  <c r="HU208" i="37"/>
  <c r="HU137" i="37"/>
  <c r="HV28" i="37"/>
  <c r="HV205" i="37" s="1"/>
  <c r="HV206" i="37" s="1"/>
  <c r="HU49" i="37"/>
  <c r="HU50" i="37" s="1"/>
  <c r="HU31" i="37"/>
  <c r="HU32" i="37" s="1"/>
  <c r="HT59" i="37"/>
  <c r="HT52" i="37"/>
  <c r="FO142" i="37"/>
  <c r="FO143" i="37" s="1"/>
  <c r="FO145" i="37" s="1"/>
  <c r="FO149" i="37"/>
  <c r="FO55" i="37"/>
  <c r="FO57" i="37" s="1"/>
  <c r="FO58" i="37" s="1"/>
  <c r="FO60" i="37" s="1"/>
  <c r="FO13" i="37" s="1"/>
  <c r="FO268" i="37" s="1"/>
  <c r="FP54" i="37"/>
  <c r="FO61" i="37"/>
  <c r="G22" i="4" l="1"/>
  <c r="HT277" i="37"/>
  <c r="HT279" i="37"/>
  <c r="HU37" i="37"/>
  <c r="HU12" i="37"/>
  <c r="HV215" i="37"/>
  <c r="HV208" i="37"/>
  <c r="FP210" i="37"/>
  <c r="FP211" i="37" s="1"/>
  <c r="FP213" i="37" s="1"/>
  <c r="FP214" i="37" s="1"/>
  <c r="FP216" i="37" s="1"/>
  <c r="FP15" i="37" s="1"/>
  <c r="FP270" i="37" s="1"/>
  <c r="FP217" i="37"/>
  <c r="HU59" i="37"/>
  <c r="HU52" i="37"/>
  <c r="HV137" i="37"/>
  <c r="HV49" i="37"/>
  <c r="HV50" i="37" s="1"/>
  <c r="HW28" i="37"/>
  <c r="HW205" i="37" s="1"/>
  <c r="HW206" i="37" s="1"/>
  <c r="HV31" i="37"/>
  <c r="HV32" i="37" s="1"/>
  <c r="FP142" i="37"/>
  <c r="FP143" i="37" s="1"/>
  <c r="FP145" i="37" s="1"/>
  <c r="FP149" i="37"/>
  <c r="FQ54" i="37"/>
  <c r="FP55" i="37"/>
  <c r="FP57" i="37" s="1"/>
  <c r="FP58" i="37" s="1"/>
  <c r="FP60" i="37" s="1"/>
  <c r="FP13" i="37" s="1"/>
  <c r="FP268" i="37" s="1"/>
  <c r="FP61" i="37"/>
  <c r="G23" i="4" l="1"/>
  <c r="G24" i="4"/>
  <c r="HU267" i="37"/>
  <c r="HU277" i="37" s="1"/>
  <c r="BL319" i="25"/>
  <c r="HV37" i="37"/>
  <c r="HV12" i="37"/>
  <c r="HV267" i="37" s="1"/>
  <c r="FQ210" i="37"/>
  <c r="FQ211" i="37" s="1"/>
  <c r="FQ213" i="37" s="1"/>
  <c r="FQ214" i="37" s="1"/>
  <c r="FQ216" i="37" s="1"/>
  <c r="FQ15" i="37" s="1"/>
  <c r="FQ217" i="37"/>
  <c r="HW208" i="37"/>
  <c r="HW215" i="37"/>
  <c r="HW137" i="37"/>
  <c r="HX28" i="37"/>
  <c r="HX205" i="37" s="1"/>
  <c r="HX206" i="37" s="1"/>
  <c r="HW49" i="37"/>
  <c r="HW50" i="37" s="1"/>
  <c r="HW31" i="37"/>
  <c r="HW32" i="37" s="1"/>
  <c r="HV59" i="37"/>
  <c r="HV52" i="37"/>
  <c r="FQ142" i="37"/>
  <c r="FQ143" i="37" s="1"/>
  <c r="FQ145" i="37" s="1"/>
  <c r="FQ149" i="37"/>
  <c r="FR54" i="37"/>
  <c r="FQ55" i="37"/>
  <c r="FQ57" i="37" s="1"/>
  <c r="FQ58" i="37" s="1"/>
  <c r="FQ60" i="37" s="1"/>
  <c r="FQ13" i="37" s="1"/>
  <c r="FQ61" i="37"/>
  <c r="G27" i="4" l="1"/>
  <c r="G29" i="4" s="1"/>
  <c r="G30" i="4" s="1"/>
  <c r="G26" i="4"/>
  <c r="G12" i="4"/>
  <c r="G25" i="4"/>
  <c r="HU279" i="37"/>
  <c r="FQ270" i="37"/>
  <c r="AX322" i="25"/>
  <c r="FQ268" i="37"/>
  <c r="AX320" i="25"/>
  <c r="HV277" i="37"/>
  <c r="HV279" i="37"/>
  <c r="HW37" i="37"/>
  <c r="HW12" i="37"/>
  <c r="HW267" i="37" s="1"/>
  <c r="HX215" i="37"/>
  <c r="HX208" i="37"/>
  <c r="FR210" i="37"/>
  <c r="FR211" i="37" s="1"/>
  <c r="FR213" i="37" s="1"/>
  <c r="FR214" i="37" s="1"/>
  <c r="FR216" i="37" s="1"/>
  <c r="FR15" i="37" s="1"/>
  <c r="FR270" i="37" s="1"/>
  <c r="FR217" i="37"/>
  <c r="HW59" i="37"/>
  <c r="HW52" i="37"/>
  <c r="HX137" i="37"/>
  <c r="HX49" i="37"/>
  <c r="HX50" i="37" s="1"/>
  <c r="HY28" i="37"/>
  <c r="HY205" i="37" s="1"/>
  <c r="HY206" i="37" s="1"/>
  <c r="HX31" i="37"/>
  <c r="HX32" i="37" s="1"/>
  <c r="FR142" i="37"/>
  <c r="FR143" i="37" s="1"/>
  <c r="FR145" i="37" s="1"/>
  <c r="FR149" i="37"/>
  <c r="FS54" i="37"/>
  <c r="FR55" i="37"/>
  <c r="FR57" i="37" s="1"/>
  <c r="FR58" i="37" s="1"/>
  <c r="FR60" i="37" s="1"/>
  <c r="FR13" i="37" s="1"/>
  <c r="FR268" i="37" s="1"/>
  <c r="FR61" i="37"/>
  <c r="G31" i="4" l="1"/>
  <c r="G33" i="4" s="1"/>
  <c r="G34" i="4" s="1"/>
  <c r="G37" i="4" s="1"/>
  <c r="G38" i="4"/>
  <c r="HW277" i="37"/>
  <c r="HW279" i="37"/>
  <c r="HX37" i="37"/>
  <c r="HX12" i="37"/>
  <c r="HX267" i="37" s="1"/>
  <c r="FS210" i="37"/>
  <c r="FS211" i="37" s="1"/>
  <c r="FS213" i="37" s="1"/>
  <c r="FS214" i="37" s="1"/>
  <c r="FS216" i="37" s="1"/>
  <c r="FS15" i="37" s="1"/>
  <c r="FS270" i="37" s="1"/>
  <c r="FS217" i="37"/>
  <c r="HY215" i="37"/>
  <c r="HY208" i="37"/>
  <c r="HY137" i="37"/>
  <c r="HZ28" i="37"/>
  <c r="HZ205" i="37" s="1"/>
  <c r="HZ206" i="37" s="1"/>
  <c r="HY49" i="37"/>
  <c r="HY50" i="37" s="1"/>
  <c r="HY31" i="37"/>
  <c r="HY32" i="37" s="1"/>
  <c r="HX52" i="37"/>
  <c r="HX59" i="37"/>
  <c r="FS142" i="37"/>
  <c r="FS143" i="37" s="1"/>
  <c r="FS145" i="37" s="1"/>
  <c r="FS149" i="37"/>
  <c r="FT54" i="37"/>
  <c r="FS55" i="37"/>
  <c r="FS57" i="37" s="1"/>
  <c r="FS58" i="37" s="1"/>
  <c r="FS60" i="37" s="1"/>
  <c r="FS13" i="37" s="1"/>
  <c r="FS268" i="37" s="1"/>
  <c r="FS61" i="37"/>
  <c r="G13" i="4"/>
  <c r="G12" i="36" l="1"/>
  <c r="G47" i="2" s="1"/>
  <c r="G14" i="2" s="1"/>
  <c r="G35" i="4"/>
  <c r="HX277" i="37"/>
  <c r="HX279" i="37"/>
  <c r="HY37" i="37"/>
  <c r="HY12" i="37"/>
  <c r="FT210" i="37"/>
  <c r="FT211" i="37" s="1"/>
  <c r="FT213" i="37" s="1"/>
  <c r="FT214" i="37" s="1"/>
  <c r="FT216" i="37" s="1"/>
  <c r="FT15" i="37" s="1"/>
  <c r="FT270" i="37" s="1"/>
  <c r="FT217" i="37"/>
  <c r="HZ208" i="37"/>
  <c r="HZ215" i="37"/>
  <c r="HY59" i="37"/>
  <c r="HY52" i="37"/>
  <c r="HZ137" i="37"/>
  <c r="IA28" i="37"/>
  <c r="IA205" i="37" s="1"/>
  <c r="IA206" i="37" s="1"/>
  <c r="H206" i="37" s="1"/>
  <c r="HZ49" i="37"/>
  <c r="HZ50" i="37" s="1"/>
  <c r="HZ31" i="37"/>
  <c r="HZ32" i="37" s="1"/>
  <c r="FT142" i="37"/>
  <c r="FT143" i="37" s="1"/>
  <c r="FT145" i="37" s="1"/>
  <c r="FT149" i="37"/>
  <c r="FU54" i="37"/>
  <c r="FT55" i="37"/>
  <c r="FT57" i="37" s="1"/>
  <c r="FT58" i="37" s="1"/>
  <c r="FT60" i="37" s="1"/>
  <c r="FT13" i="37" s="1"/>
  <c r="FT268" i="37" s="1"/>
  <c r="FT61" i="37"/>
  <c r="G36" i="4" l="1"/>
  <c r="G15" i="4" s="1"/>
  <c r="G15" i="36" s="1"/>
  <c r="G101" i="4"/>
  <c r="HY267" i="37"/>
  <c r="HY277" i="37" s="1"/>
  <c r="BM319" i="25"/>
  <c r="HZ37" i="37"/>
  <c r="HZ12" i="37"/>
  <c r="HZ267" i="37" s="1"/>
  <c r="IA215" i="37"/>
  <c r="IA208" i="37"/>
  <c r="H208" i="37" s="1"/>
  <c r="FU210" i="37"/>
  <c r="FU211" i="37" s="1"/>
  <c r="FU213" i="37" s="1"/>
  <c r="FU214" i="37" s="1"/>
  <c r="FU216" i="37" s="1"/>
  <c r="FU15" i="37" s="1"/>
  <c r="FU217" i="37"/>
  <c r="HZ59" i="37"/>
  <c r="HZ52" i="37"/>
  <c r="IA137" i="37"/>
  <c r="IA49" i="37"/>
  <c r="IA50" i="37" s="1"/>
  <c r="IA31" i="37"/>
  <c r="FU142" i="37"/>
  <c r="FU143" i="37" s="1"/>
  <c r="FU145" i="37" s="1"/>
  <c r="FU149" i="37"/>
  <c r="FV54" i="37"/>
  <c r="FU55" i="37"/>
  <c r="FU57" i="37" s="1"/>
  <c r="FU58" i="37" s="1"/>
  <c r="FU60" i="37" s="1"/>
  <c r="FU13" i="37" s="1"/>
  <c r="FU61" i="37"/>
  <c r="G14" i="4"/>
  <c r="G94" i="4" s="1"/>
  <c r="G95" i="4" s="1"/>
  <c r="G96" i="4" l="1"/>
  <c r="G14" i="36"/>
  <c r="G46" i="2" s="1"/>
  <c r="G13" i="36"/>
  <c r="HY279" i="37"/>
  <c r="FU268" i="37"/>
  <c r="AY320" i="25"/>
  <c r="FU270" i="37"/>
  <c r="AY322" i="25"/>
  <c r="HZ277" i="37"/>
  <c r="HZ279" i="37"/>
  <c r="FV210" i="37"/>
  <c r="FV211" i="37" s="1"/>
  <c r="FV213" i="37" s="1"/>
  <c r="FV214" i="37" s="1"/>
  <c r="FV216" i="37" s="1"/>
  <c r="FV15" i="37" s="1"/>
  <c r="FV270" i="37" s="1"/>
  <c r="FV217" i="37"/>
  <c r="IA59" i="37"/>
  <c r="IA52" i="37"/>
  <c r="IA32" i="37"/>
  <c r="H31" i="37"/>
  <c r="FV142" i="37"/>
  <c r="FV143" i="37" s="1"/>
  <c r="FV145" i="37" s="1"/>
  <c r="FV149" i="37"/>
  <c r="FW54" i="37"/>
  <c r="FV55" i="37"/>
  <c r="FV57" i="37" s="1"/>
  <c r="FV58" i="37" s="1"/>
  <c r="FV60" i="37" s="1"/>
  <c r="FV13" i="37" s="1"/>
  <c r="FV268" i="37" s="1"/>
  <c r="FV61" i="37"/>
  <c r="G11" i="4" l="1"/>
  <c r="IA37" i="37"/>
  <c r="H37" i="37" s="1"/>
  <c r="IA12" i="37"/>
  <c r="FW210" i="37"/>
  <c r="FW211" i="37" s="1"/>
  <c r="FW213" i="37" s="1"/>
  <c r="FW214" i="37" s="1"/>
  <c r="FW216" i="37" s="1"/>
  <c r="FW15" i="37" s="1"/>
  <c r="FW270" i="37" s="1"/>
  <c r="FW217" i="37"/>
  <c r="FW142" i="37"/>
  <c r="FW143" i="37" s="1"/>
  <c r="FW145" i="37" s="1"/>
  <c r="FW149" i="37"/>
  <c r="FX54" i="37"/>
  <c r="FW55" i="37"/>
  <c r="FW57" i="37" s="1"/>
  <c r="FW58" i="37" s="1"/>
  <c r="FW60" i="37" s="1"/>
  <c r="FW13" i="37" s="1"/>
  <c r="FW268" i="37" s="1"/>
  <c r="FW61" i="37"/>
  <c r="G13" i="2"/>
  <c r="G10" i="4" l="1"/>
  <c r="G17" i="4" s="1"/>
  <c r="G11" i="36"/>
  <c r="G46" i="36" s="1"/>
  <c r="IA267" i="37"/>
  <c r="IA277" i="37" s="1"/>
  <c r="BN319" i="25"/>
  <c r="FX210" i="37"/>
  <c r="FX211" i="37" s="1"/>
  <c r="FX213" i="37" s="1"/>
  <c r="FX214" i="37" s="1"/>
  <c r="FX216" i="37" s="1"/>
  <c r="FX15" i="37" s="1"/>
  <c r="FX270" i="37" s="1"/>
  <c r="FX217" i="37"/>
  <c r="FX142" i="37"/>
  <c r="FX143" i="37" s="1"/>
  <c r="FX145" i="37" s="1"/>
  <c r="FX149" i="37"/>
  <c r="FY54" i="37"/>
  <c r="FX55" i="37"/>
  <c r="FX57" i="37" s="1"/>
  <c r="FX58" i="37" s="1"/>
  <c r="FX60" i="37" s="1"/>
  <c r="FX13" i="37" s="1"/>
  <c r="FX268" i="37" s="1"/>
  <c r="FX61" i="37"/>
  <c r="G43" i="36"/>
  <c r="G45" i="36" l="1"/>
  <c r="G89" i="4"/>
  <c r="G98" i="4" s="1"/>
  <c r="G103" i="4" s="1"/>
  <c r="IA279" i="37"/>
  <c r="H279" i="37" s="1"/>
  <c r="FY210" i="37"/>
  <c r="FY211" i="37" s="1"/>
  <c r="FY213" i="37" s="1"/>
  <c r="FY214" i="37" s="1"/>
  <c r="FY216" i="37" s="1"/>
  <c r="FY15" i="37" s="1"/>
  <c r="FY217" i="37"/>
  <c r="FY142" i="37"/>
  <c r="FY143" i="37" s="1"/>
  <c r="FY145" i="37" s="1"/>
  <c r="FY149" i="37"/>
  <c r="FZ54" i="37"/>
  <c r="FY55" i="37"/>
  <c r="FY57" i="37" s="1"/>
  <c r="FY58" i="37" s="1"/>
  <c r="FY60" i="37" s="1"/>
  <c r="FY13" i="37" s="1"/>
  <c r="FY61" i="37"/>
  <c r="G41" i="36"/>
  <c r="G33" i="2"/>
  <c r="G17" i="2" s="1"/>
  <c r="G99" i="4" l="1"/>
  <c r="G90" i="4"/>
  <c r="FY268" i="37"/>
  <c r="AZ320" i="25"/>
  <c r="FY270" i="37"/>
  <c r="AZ322" i="25"/>
  <c r="FZ210" i="37"/>
  <c r="FZ211" i="37" s="1"/>
  <c r="FZ213" i="37" s="1"/>
  <c r="FZ214" i="37" s="1"/>
  <c r="FZ216" i="37" s="1"/>
  <c r="FZ15" i="37" s="1"/>
  <c r="FZ270" i="37" s="1"/>
  <c r="FZ217" i="37"/>
  <c r="FZ142" i="37"/>
  <c r="FZ143" i="37" s="1"/>
  <c r="FZ145" i="37" s="1"/>
  <c r="FZ149" i="37"/>
  <c r="GA54" i="37"/>
  <c r="FZ55" i="37"/>
  <c r="FZ57" i="37" s="1"/>
  <c r="FZ58" i="37" s="1"/>
  <c r="FZ60" i="37" s="1"/>
  <c r="FZ13" i="37" s="1"/>
  <c r="FZ268" i="37" s="1"/>
  <c r="FZ61" i="37"/>
  <c r="G30" i="2"/>
  <c r="G44" i="36"/>
  <c r="G16" i="36"/>
  <c r="GA210" i="37" l="1"/>
  <c r="GA211" i="37" s="1"/>
  <c r="GA213" i="37" s="1"/>
  <c r="GA214" i="37" s="1"/>
  <c r="GA216" i="37" s="1"/>
  <c r="GA15" i="37" s="1"/>
  <c r="GA270" i="37" s="1"/>
  <c r="GA217" i="37"/>
  <c r="GA142" i="37"/>
  <c r="GA143" i="37" s="1"/>
  <c r="GA145" i="37" s="1"/>
  <c r="GA149" i="37"/>
  <c r="GB54" i="37"/>
  <c r="GA55" i="37"/>
  <c r="GA57" i="37" s="1"/>
  <c r="GA58" i="37" s="1"/>
  <c r="GA60" i="37" s="1"/>
  <c r="GA13" i="37" s="1"/>
  <c r="GA268" i="37" s="1"/>
  <c r="GA61" i="37"/>
  <c r="G48" i="36"/>
  <c r="G50" i="36" s="1"/>
  <c r="G37" i="2"/>
  <c r="G45" i="2"/>
  <c r="G18" i="36"/>
  <c r="H17" i="36" s="1"/>
  <c r="G20" i="36"/>
  <c r="GB210" i="37" l="1"/>
  <c r="GB211" i="37" s="1"/>
  <c r="GB213" i="37" s="1"/>
  <c r="GB214" i="37" s="1"/>
  <c r="GB216" i="37" s="1"/>
  <c r="GB15" i="37" s="1"/>
  <c r="GB270" i="37" s="1"/>
  <c r="GB217" i="37"/>
  <c r="GB142" i="37"/>
  <c r="GB143" i="37" s="1"/>
  <c r="GB145" i="37" s="1"/>
  <c r="GB149" i="37"/>
  <c r="GC54" i="37"/>
  <c r="GB55" i="37"/>
  <c r="GB57" i="37" s="1"/>
  <c r="GB58" i="37" s="1"/>
  <c r="GB60" i="37" s="1"/>
  <c r="GB13" i="37" s="1"/>
  <c r="GB268" i="37" s="1"/>
  <c r="GB61" i="37"/>
  <c r="G51" i="2"/>
  <c r="G39" i="2"/>
  <c r="G12" i="2"/>
  <c r="H16" i="4"/>
  <c r="H19" i="4" s="1"/>
  <c r="G71" i="36"/>
  <c r="G73" i="36" s="1"/>
  <c r="G19" i="36"/>
  <c r="G79" i="36"/>
  <c r="G80" i="36" s="1"/>
  <c r="G22" i="2" l="1"/>
  <c r="G24" i="2" s="1"/>
  <c r="GC210" i="37"/>
  <c r="GC211" i="37" s="1"/>
  <c r="GC213" i="37" s="1"/>
  <c r="GC214" i="37" s="1"/>
  <c r="GC216" i="37" s="1"/>
  <c r="GC15" i="37" s="1"/>
  <c r="GC217" i="37"/>
  <c r="GC142" i="37"/>
  <c r="GC143" i="37" s="1"/>
  <c r="GC145" i="37" s="1"/>
  <c r="GC149" i="37"/>
  <c r="GD54" i="37"/>
  <c r="GC55" i="37"/>
  <c r="GC57" i="37" s="1"/>
  <c r="GC58" i="37" s="1"/>
  <c r="GC60" i="37" s="1"/>
  <c r="GC13" i="37" s="1"/>
  <c r="GC61" i="37"/>
  <c r="G53" i="2"/>
  <c r="G81" i="36"/>
  <c r="GC268" i="37" l="1"/>
  <c r="BA320" i="25"/>
  <c r="GC270" i="37"/>
  <c r="BA322" i="25"/>
  <c r="GD210" i="37"/>
  <c r="GD211" i="37" s="1"/>
  <c r="GD213" i="37" s="1"/>
  <c r="GD214" i="37" s="1"/>
  <c r="GD216" i="37" s="1"/>
  <c r="GD15" i="37" s="1"/>
  <c r="GD270" i="37" s="1"/>
  <c r="GD217" i="37"/>
  <c r="GD142" i="37"/>
  <c r="GD143" i="37" s="1"/>
  <c r="GD145" i="37" s="1"/>
  <c r="GD149" i="37"/>
  <c r="GD55" i="37"/>
  <c r="GD57" i="37" s="1"/>
  <c r="GD58" i="37" s="1"/>
  <c r="GD60" i="37" s="1"/>
  <c r="GD13" i="37" s="1"/>
  <c r="GD268" i="37" s="1"/>
  <c r="GE54" i="37"/>
  <c r="GD61" i="37"/>
  <c r="GE210" i="37" l="1"/>
  <c r="GE211" i="37" s="1"/>
  <c r="GE213" i="37" s="1"/>
  <c r="GE214" i="37" s="1"/>
  <c r="GE216" i="37" s="1"/>
  <c r="GE15" i="37" s="1"/>
  <c r="GE270" i="37" s="1"/>
  <c r="GE217" i="37"/>
  <c r="GE142" i="37"/>
  <c r="GE143" i="37" s="1"/>
  <c r="GE145" i="37" s="1"/>
  <c r="GE149" i="37"/>
  <c r="GE55" i="37"/>
  <c r="GE57" i="37" s="1"/>
  <c r="GE58" i="37" s="1"/>
  <c r="GE60" i="37" s="1"/>
  <c r="GE13" i="37" s="1"/>
  <c r="GE268" i="37" s="1"/>
  <c r="GF54" i="37"/>
  <c r="GE61" i="37"/>
  <c r="GF210" i="37" l="1"/>
  <c r="GF211" i="37" s="1"/>
  <c r="GF213" i="37" s="1"/>
  <c r="GF214" i="37" s="1"/>
  <c r="GF216" i="37" s="1"/>
  <c r="GF15" i="37" s="1"/>
  <c r="GF270" i="37" s="1"/>
  <c r="GF217" i="37"/>
  <c r="GF142" i="37"/>
  <c r="GF143" i="37" s="1"/>
  <c r="GF145" i="37" s="1"/>
  <c r="GF149" i="37"/>
  <c r="GG54" i="37"/>
  <c r="GF55" i="37"/>
  <c r="GF57" i="37" s="1"/>
  <c r="GF58" i="37" s="1"/>
  <c r="GF60" i="37" s="1"/>
  <c r="GF13" i="37" s="1"/>
  <c r="GF268" i="37" s="1"/>
  <c r="GF61" i="37"/>
  <c r="H22" i="4" l="1"/>
  <c r="H24" i="4" s="1"/>
  <c r="GG210" i="37"/>
  <c r="GG211" i="37" s="1"/>
  <c r="GG213" i="37" s="1"/>
  <c r="GG214" i="37" s="1"/>
  <c r="GG216" i="37" s="1"/>
  <c r="GG15" i="37" s="1"/>
  <c r="GG217" i="37"/>
  <c r="GG142" i="37"/>
  <c r="GG143" i="37" s="1"/>
  <c r="GG145" i="37" s="1"/>
  <c r="GG149" i="37"/>
  <c r="GH54" i="37"/>
  <c r="GG55" i="37"/>
  <c r="GG57" i="37" s="1"/>
  <c r="GG58" i="37" s="1"/>
  <c r="GG60" i="37" s="1"/>
  <c r="GG13" i="37" s="1"/>
  <c r="GG61" i="37"/>
  <c r="H23" i="4" l="1"/>
  <c r="H26" i="4"/>
  <c r="H12" i="4"/>
  <c r="GG268" i="37"/>
  <c r="BB320" i="25"/>
  <c r="GG270" i="37"/>
  <c r="BB322" i="25"/>
  <c r="GH210" i="37"/>
  <c r="GH211" i="37" s="1"/>
  <c r="GH213" i="37" s="1"/>
  <c r="GH214" i="37" s="1"/>
  <c r="GH216" i="37" s="1"/>
  <c r="GH15" i="37" s="1"/>
  <c r="GH270" i="37" s="1"/>
  <c r="GH217" i="37"/>
  <c r="GH142" i="37"/>
  <c r="GH143" i="37" s="1"/>
  <c r="GH145" i="37" s="1"/>
  <c r="GH149" i="37"/>
  <c r="GI54" i="37"/>
  <c r="GH55" i="37"/>
  <c r="GH57" i="37" s="1"/>
  <c r="GH58" i="37" s="1"/>
  <c r="GH60" i="37" s="1"/>
  <c r="GH13" i="37" s="1"/>
  <c r="GH268" i="37" s="1"/>
  <c r="GH61" i="37"/>
  <c r="H25" i="4" l="1"/>
  <c r="H38" i="4" s="1"/>
  <c r="H27" i="4"/>
  <c r="H14" i="4"/>
  <c r="H94" i="4" s="1"/>
  <c r="H95" i="4" s="1"/>
  <c r="GI210" i="37"/>
  <c r="GI211" i="37" s="1"/>
  <c r="GI213" i="37" s="1"/>
  <c r="GI214" i="37" s="1"/>
  <c r="GI216" i="37" s="1"/>
  <c r="GI15" i="37" s="1"/>
  <c r="GI270" i="37" s="1"/>
  <c r="GI217" i="37"/>
  <c r="GI142" i="37"/>
  <c r="GI143" i="37" s="1"/>
  <c r="GI145" i="37" s="1"/>
  <c r="GI149" i="37"/>
  <c r="GJ54" i="37"/>
  <c r="GI55" i="37"/>
  <c r="GI57" i="37" s="1"/>
  <c r="GI58" i="37" s="1"/>
  <c r="GI60" i="37" s="1"/>
  <c r="GI13" i="37" s="1"/>
  <c r="GI268" i="37" s="1"/>
  <c r="GI61" i="37"/>
  <c r="H29" i="4" l="1"/>
  <c r="H14" i="36"/>
  <c r="H46" i="2" s="1"/>
  <c r="H13" i="2" s="1"/>
  <c r="H96" i="4"/>
  <c r="H13" i="36"/>
  <c r="GJ210" i="37"/>
  <c r="GJ211" i="37" s="1"/>
  <c r="GJ213" i="37" s="1"/>
  <c r="GJ214" i="37" s="1"/>
  <c r="GJ216" i="37" s="1"/>
  <c r="GJ15" i="37" s="1"/>
  <c r="GJ270" i="37" s="1"/>
  <c r="GJ217" i="37"/>
  <c r="GJ142" i="37"/>
  <c r="GJ143" i="37" s="1"/>
  <c r="GJ145" i="37" s="1"/>
  <c r="GJ149" i="37"/>
  <c r="GK54" i="37"/>
  <c r="GJ55" i="37"/>
  <c r="GJ57" i="37" s="1"/>
  <c r="GJ58" i="37" s="1"/>
  <c r="GJ60" i="37" s="1"/>
  <c r="GJ13" i="37" s="1"/>
  <c r="GJ268" i="37" s="1"/>
  <c r="GJ61" i="37"/>
  <c r="H30" i="4" l="1"/>
  <c r="H13" i="4"/>
  <c r="H12" i="36" s="1"/>
  <c r="H47" i="2" s="1"/>
  <c r="H14" i="2" s="1"/>
  <c r="H31" i="4"/>
  <c r="H33" i="4" s="1"/>
  <c r="H11" i="4" s="1"/>
  <c r="GK210" i="37"/>
  <c r="GK211" i="37" s="1"/>
  <c r="GK213" i="37" s="1"/>
  <c r="GK214" i="37" s="1"/>
  <c r="GK216" i="37" s="1"/>
  <c r="GK15" i="37" s="1"/>
  <c r="GK217" i="37"/>
  <c r="GK142" i="37"/>
  <c r="GK143" i="37" s="1"/>
  <c r="GK145" i="37" s="1"/>
  <c r="GK149" i="37"/>
  <c r="GL54" i="37"/>
  <c r="GK55" i="37"/>
  <c r="GK57" i="37" s="1"/>
  <c r="GK58" i="37" s="1"/>
  <c r="GK60" i="37" s="1"/>
  <c r="GK13" i="37" s="1"/>
  <c r="GK61" i="37"/>
  <c r="H89" i="4" l="1"/>
  <c r="H98" i="4" s="1"/>
  <c r="H34" i="4"/>
  <c r="H37" i="4" s="1"/>
  <c r="H35" i="4"/>
  <c r="H11" i="36"/>
  <c r="GK268" i="37"/>
  <c r="BC320" i="25"/>
  <c r="GK270" i="37"/>
  <c r="BC322" i="25"/>
  <c r="GL210" i="37"/>
  <c r="GL211" i="37" s="1"/>
  <c r="GL213" i="37" s="1"/>
  <c r="GL214" i="37" s="1"/>
  <c r="GL216" i="37" s="1"/>
  <c r="GL15" i="37" s="1"/>
  <c r="GL270" i="37" s="1"/>
  <c r="GL217" i="37"/>
  <c r="GL142" i="37"/>
  <c r="GL143" i="37" s="1"/>
  <c r="GL145" i="37" s="1"/>
  <c r="GL149" i="37"/>
  <c r="GL55" i="37"/>
  <c r="GL57" i="37" s="1"/>
  <c r="GL58" i="37" s="1"/>
  <c r="GL60" i="37" s="1"/>
  <c r="GL13" i="37" s="1"/>
  <c r="GL268" i="37" s="1"/>
  <c r="GM54" i="37"/>
  <c r="GL61" i="37"/>
  <c r="H90" i="4" l="1"/>
  <c r="H36" i="4"/>
  <c r="H101" i="4"/>
  <c r="H103" i="4" s="1"/>
  <c r="H99" i="4"/>
  <c r="GM210" i="37"/>
  <c r="GM211" i="37" s="1"/>
  <c r="GM213" i="37" s="1"/>
  <c r="GM214" i="37" s="1"/>
  <c r="GM216" i="37" s="1"/>
  <c r="GM15" i="37" s="1"/>
  <c r="GM270" i="37" s="1"/>
  <c r="GM217" i="37"/>
  <c r="GM142" i="37"/>
  <c r="GM143" i="37" s="1"/>
  <c r="GM145" i="37" s="1"/>
  <c r="GM149" i="37"/>
  <c r="GN54" i="37"/>
  <c r="GM55" i="37"/>
  <c r="GM57" i="37" s="1"/>
  <c r="GM58" i="37" s="1"/>
  <c r="GM60" i="37" s="1"/>
  <c r="GM13" i="37" s="1"/>
  <c r="GM268" i="37" s="1"/>
  <c r="GM61" i="37"/>
  <c r="H45" i="2"/>
  <c r="H15" i="4" l="1"/>
  <c r="H10" i="4" s="1"/>
  <c r="H17" i="4" s="1"/>
  <c r="GN210" i="37"/>
  <c r="GN211" i="37" s="1"/>
  <c r="GN213" i="37" s="1"/>
  <c r="GN214" i="37" s="1"/>
  <c r="GN216" i="37" s="1"/>
  <c r="GN15" i="37" s="1"/>
  <c r="GN270" i="37" s="1"/>
  <c r="GN217" i="37"/>
  <c r="GN142" i="37"/>
  <c r="GN143" i="37" s="1"/>
  <c r="GN145" i="37" s="1"/>
  <c r="GN149" i="37"/>
  <c r="GO54" i="37"/>
  <c r="GN55" i="37"/>
  <c r="GN57" i="37" s="1"/>
  <c r="GN58" i="37" s="1"/>
  <c r="GN60" i="37" s="1"/>
  <c r="GN13" i="37" s="1"/>
  <c r="GN268" i="37" s="1"/>
  <c r="GN61" i="37"/>
  <c r="H51" i="2"/>
  <c r="H15" i="36" l="1"/>
  <c r="H46" i="36" s="1"/>
  <c r="H43" i="36"/>
  <c r="H41" i="36" s="1"/>
  <c r="H45" i="36"/>
  <c r="GO210" i="37"/>
  <c r="GO211" i="37" s="1"/>
  <c r="GO213" i="37" s="1"/>
  <c r="GO214" i="37" s="1"/>
  <c r="GO216" i="37" s="1"/>
  <c r="GO15" i="37" s="1"/>
  <c r="GO217" i="37"/>
  <c r="GO142" i="37"/>
  <c r="GO143" i="37" s="1"/>
  <c r="GO145" i="37" s="1"/>
  <c r="GO149" i="37"/>
  <c r="GP54" i="37"/>
  <c r="GO55" i="37"/>
  <c r="GO57" i="37" s="1"/>
  <c r="GO58" i="37" s="1"/>
  <c r="GO60" i="37" s="1"/>
  <c r="GO13" i="37" s="1"/>
  <c r="GO61" i="37"/>
  <c r="H53" i="2"/>
  <c r="H16" i="36" l="1"/>
  <c r="H18" i="36" s="1"/>
  <c r="H33" i="2"/>
  <c r="H17" i="2" s="1"/>
  <c r="H44" i="36"/>
  <c r="H48" i="36" s="1"/>
  <c r="H50" i="36" s="1"/>
  <c r="GO268" i="37"/>
  <c r="BD320" i="25"/>
  <c r="GO270" i="37"/>
  <c r="BD322" i="25"/>
  <c r="GP210" i="37"/>
  <c r="GP211" i="37" s="1"/>
  <c r="GP213" i="37" s="1"/>
  <c r="GP214" i="37" s="1"/>
  <c r="GP216" i="37" s="1"/>
  <c r="GP15" i="37" s="1"/>
  <c r="GP270" i="37" s="1"/>
  <c r="GP217" i="37"/>
  <c r="GP142" i="37"/>
  <c r="GP143" i="37" s="1"/>
  <c r="GP145" i="37" s="1"/>
  <c r="GP149" i="37"/>
  <c r="GQ54" i="37"/>
  <c r="GP55" i="37"/>
  <c r="GP57" i="37" s="1"/>
  <c r="GP58" i="37" s="1"/>
  <c r="GP60" i="37" s="1"/>
  <c r="GP13" i="37" s="1"/>
  <c r="GP268" i="37" s="1"/>
  <c r="GP61" i="37"/>
  <c r="H20" i="36" l="1"/>
  <c r="H79" i="36"/>
  <c r="H80" i="36" s="1"/>
  <c r="H30" i="2"/>
  <c r="H37" i="2" s="1"/>
  <c r="H39" i="2" s="1"/>
  <c r="H19" i="36"/>
  <c r="I17" i="36"/>
  <c r="H71" i="36"/>
  <c r="H73" i="36" s="1"/>
  <c r="GQ210" i="37"/>
  <c r="GQ211" i="37" s="1"/>
  <c r="GQ213" i="37" s="1"/>
  <c r="GQ214" i="37" s="1"/>
  <c r="GQ216" i="37" s="1"/>
  <c r="GQ15" i="37" s="1"/>
  <c r="GQ270" i="37" s="1"/>
  <c r="GQ217" i="37"/>
  <c r="GQ142" i="37"/>
  <c r="GQ143" i="37" s="1"/>
  <c r="GQ145" i="37" s="1"/>
  <c r="GQ149" i="37"/>
  <c r="GR54" i="37"/>
  <c r="GQ55" i="37"/>
  <c r="GQ57" i="37" s="1"/>
  <c r="GQ58" i="37" s="1"/>
  <c r="GQ60" i="37" s="1"/>
  <c r="GQ13" i="37" s="1"/>
  <c r="GQ268" i="37" s="1"/>
  <c r="GQ61" i="37"/>
  <c r="H81" i="36" l="1"/>
  <c r="I16" i="4"/>
  <c r="I19" i="4" s="1"/>
  <c r="H12" i="2"/>
  <c r="GR210" i="37"/>
  <c r="GR211" i="37" s="1"/>
  <c r="GR213" i="37" s="1"/>
  <c r="GR214" i="37" s="1"/>
  <c r="GR216" i="37" s="1"/>
  <c r="GR15" i="37" s="1"/>
  <c r="GR270" i="37" s="1"/>
  <c r="GR217" i="37"/>
  <c r="GR142" i="37"/>
  <c r="GR143" i="37" s="1"/>
  <c r="GR145" i="37" s="1"/>
  <c r="GR149" i="37"/>
  <c r="GS54" i="37"/>
  <c r="GR55" i="37"/>
  <c r="GR57" i="37" s="1"/>
  <c r="GR58" i="37" s="1"/>
  <c r="GR60" i="37" s="1"/>
  <c r="GR13" i="37" s="1"/>
  <c r="GR268" i="37" s="1"/>
  <c r="GR61" i="37"/>
  <c r="H22" i="2" l="1"/>
  <c r="GS210" i="37"/>
  <c r="GS211" i="37" s="1"/>
  <c r="GS213" i="37" s="1"/>
  <c r="GS214" i="37" s="1"/>
  <c r="GS216" i="37" s="1"/>
  <c r="GS15" i="37" s="1"/>
  <c r="GS217" i="37"/>
  <c r="GS142" i="37"/>
  <c r="GS143" i="37" s="1"/>
  <c r="GS145" i="37" s="1"/>
  <c r="GS149" i="37"/>
  <c r="GT54" i="37"/>
  <c r="GS55" i="37"/>
  <c r="GS57" i="37" s="1"/>
  <c r="GS58" i="37" s="1"/>
  <c r="GS60" i="37" s="1"/>
  <c r="GS13" i="37" s="1"/>
  <c r="GS61" i="37"/>
  <c r="H24" i="2" l="1"/>
  <c r="GS268" i="37"/>
  <c r="BE320" i="25"/>
  <c r="GS270" i="37"/>
  <c r="BE322" i="25"/>
  <c r="GT210" i="37"/>
  <c r="GT211" i="37" s="1"/>
  <c r="GT213" i="37" s="1"/>
  <c r="GT214" i="37" s="1"/>
  <c r="GT216" i="37" s="1"/>
  <c r="GT15" i="37" s="1"/>
  <c r="GT270" i="37" s="1"/>
  <c r="GT217" i="37"/>
  <c r="GT142" i="37"/>
  <c r="GT143" i="37" s="1"/>
  <c r="GT145" i="37" s="1"/>
  <c r="GT149" i="37"/>
  <c r="GT55" i="37"/>
  <c r="GT57" i="37" s="1"/>
  <c r="GT58" i="37" s="1"/>
  <c r="GT60" i="37" s="1"/>
  <c r="GT13" i="37" s="1"/>
  <c r="GT268" i="37" s="1"/>
  <c r="GU54" i="37"/>
  <c r="GT61" i="37"/>
  <c r="I22" i="4" l="1"/>
  <c r="I23" i="4" s="1"/>
  <c r="GU210" i="37"/>
  <c r="GU211" i="37" s="1"/>
  <c r="GU213" i="37" s="1"/>
  <c r="GU214" i="37" s="1"/>
  <c r="GU216" i="37" s="1"/>
  <c r="GU15" i="37" s="1"/>
  <c r="GU270" i="37" s="1"/>
  <c r="GU217" i="37"/>
  <c r="GU142" i="37"/>
  <c r="GU143" i="37" s="1"/>
  <c r="GU145" i="37" s="1"/>
  <c r="GU149" i="37"/>
  <c r="GU55" i="37"/>
  <c r="GU57" i="37" s="1"/>
  <c r="GU58" i="37" s="1"/>
  <c r="GU60" i="37" s="1"/>
  <c r="GU13" i="37" s="1"/>
  <c r="GU268" i="37" s="1"/>
  <c r="GV54" i="37"/>
  <c r="GU61" i="37"/>
  <c r="I24" i="4" l="1"/>
  <c r="I26" i="4" s="1"/>
  <c r="I25" i="4"/>
  <c r="I14" i="4"/>
  <c r="F49" i="4" s="1"/>
  <c r="GV210" i="37"/>
  <c r="GV211" i="37" s="1"/>
  <c r="GV213" i="37" s="1"/>
  <c r="GV214" i="37" s="1"/>
  <c r="GV216" i="37" s="1"/>
  <c r="GV15" i="37" s="1"/>
  <c r="GV270" i="37" s="1"/>
  <c r="GV217" i="37"/>
  <c r="GV142" i="37"/>
  <c r="GV143" i="37" s="1"/>
  <c r="GV145" i="37" s="1"/>
  <c r="GV149" i="37"/>
  <c r="GW54" i="37"/>
  <c r="GV55" i="37"/>
  <c r="GV57" i="37" s="1"/>
  <c r="GV58" i="37" s="1"/>
  <c r="GV60" i="37" s="1"/>
  <c r="GV13" i="37" s="1"/>
  <c r="GV268" i="37" s="1"/>
  <c r="GV61" i="37"/>
  <c r="I27" i="4" l="1"/>
  <c r="I12" i="4"/>
  <c r="I94" i="4" s="1"/>
  <c r="I95" i="4" s="1"/>
  <c r="I96" i="4" s="1"/>
  <c r="I14" i="36"/>
  <c r="I46" i="2" s="1"/>
  <c r="I13" i="2" s="1"/>
  <c r="I38" i="4"/>
  <c r="GW210" i="37"/>
  <c r="GW211" i="37" s="1"/>
  <c r="GW213" i="37" s="1"/>
  <c r="GW214" i="37" s="1"/>
  <c r="GW216" i="37" s="1"/>
  <c r="GW15" i="37" s="1"/>
  <c r="GW217" i="37"/>
  <c r="GW142" i="37"/>
  <c r="GW143" i="37" s="1"/>
  <c r="GW145" i="37" s="1"/>
  <c r="GW149" i="37"/>
  <c r="GX54" i="37"/>
  <c r="GW55" i="37"/>
  <c r="GW57" i="37" s="1"/>
  <c r="GW58" i="37" s="1"/>
  <c r="GW60" i="37" s="1"/>
  <c r="GW13" i="37" s="1"/>
  <c r="GW61" i="37"/>
  <c r="F30" i="36"/>
  <c r="I29" i="4" l="1"/>
  <c r="F47" i="4"/>
  <c r="I13" i="36"/>
  <c r="F29" i="36" s="1"/>
  <c r="GW268" i="37"/>
  <c r="BF320" i="25"/>
  <c r="GW270" i="37"/>
  <c r="BF322" i="25"/>
  <c r="GX210" i="37"/>
  <c r="GX211" i="37" s="1"/>
  <c r="GX213" i="37" s="1"/>
  <c r="GX214" i="37" s="1"/>
  <c r="GX216" i="37" s="1"/>
  <c r="GX15" i="37" s="1"/>
  <c r="GX270" i="37" s="1"/>
  <c r="GX217" i="37"/>
  <c r="GX142" i="37"/>
  <c r="GX143" i="37" s="1"/>
  <c r="GX145" i="37" s="1"/>
  <c r="GX149" i="37"/>
  <c r="GY54" i="37"/>
  <c r="GX55" i="37"/>
  <c r="GX57" i="37" s="1"/>
  <c r="GX58" i="37" s="1"/>
  <c r="GX60" i="37" s="1"/>
  <c r="GX13" i="37" s="1"/>
  <c r="GX268" i="37" s="1"/>
  <c r="GX61" i="37"/>
  <c r="I7" i="2"/>
  <c r="I30" i="4" l="1"/>
  <c r="I13" i="4"/>
  <c r="I31" i="4"/>
  <c r="I33" i="4" s="1"/>
  <c r="I34" i="4" s="1"/>
  <c r="GY210" i="37"/>
  <c r="GY211" i="37" s="1"/>
  <c r="GY213" i="37" s="1"/>
  <c r="GY214" i="37" s="1"/>
  <c r="GY216" i="37" s="1"/>
  <c r="GY15" i="37" s="1"/>
  <c r="GY270" i="37" s="1"/>
  <c r="GY217" i="37"/>
  <c r="GY142" i="37"/>
  <c r="GY143" i="37" s="1"/>
  <c r="GY145" i="37" s="1"/>
  <c r="GY149" i="37"/>
  <c r="GZ54" i="37"/>
  <c r="GY55" i="37"/>
  <c r="GY57" i="37" s="1"/>
  <c r="GY58" i="37" s="1"/>
  <c r="GY60" i="37" s="1"/>
  <c r="GY13" i="37" s="1"/>
  <c r="GY268" i="37" s="1"/>
  <c r="GY61" i="37"/>
  <c r="I37" i="4" l="1"/>
  <c r="F48" i="4"/>
  <c r="I12" i="36"/>
  <c r="I11" i="4"/>
  <c r="F46" i="4" s="1"/>
  <c r="I35" i="4"/>
  <c r="I36" i="4" s="1"/>
  <c r="GZ210" i="37"/>
  <c r="GZ211" i="37" s="1"/>
  <c r="GZ213" i="37" s="1"/>
  <c r="GZ214" i="37" s="1"/>
  <c r="GZ216" i="37" s="1"/>
  <c r="GZ15" i="37" s="1"/>
  <c r="GZ270" i="37" s="1"/>
  <c r="GZ217" i="37"/>
  <c r="GZ142" i="37"/>
  <c r="GZ143" i="37" s="1"/>
  <c r="GZ145" i="37" s="1"/>
  <c r="GZ149" i="37"/>
  <c r="HA54" i="37"/>
  <c r="GZ55" i="37"/>
  <c r="GZ57" i="37" s="1"/>
  <c r="GZ58" i="37" s="1"/>
  <c r="GZ60" i="37" s="1"/>
  <c r="GZ13" i="37" s="1"/>
  <c r="GZ268" i="37" s="1"/>
  <c r="GZ61" i="37"/>
  <c r="I11" i="36" l="1"/>
  <c r="F27" i="36" s="1"/>
  <c r="F45" i="4"/>
  <c r="I101" i="4"/>
  <c r="I47" i="2"/>
  <c r="F28" i="36"/>
  <c r="I15" i="4"/>
  <c r="I15" i="36" s="1"/>
  <c r="I46" i="36" s="1"/>
  <c r="I89" i="4"/>
  <c r="I98" i="4" s="1"/>
  <c r="I43" i="36"/>
  <c r="I41" i="36" s="1"/>
  <c r="F54" i="36" s="1"/>
  <c r="HA210" i="37"/>
  <c r="HA211" i="37" s="1"/>
  <c r="HA213" i="37" s="1"/>
  <c r="HA214" i="37" s="1"/>
  <c r="HA216" i="37" s="1"/>
  <c r="HA15" i="37" s="1"/>
  <c r="HA217" i="37"/>
  <c r="HA142" i="37"/>
  <c r="HA143" i="37" s="1"/>
  <c r="HA145" i="37" s="1"/>
  <c r="HA149" i="37"/>
  <c r="HB54" i="37"/>
  <c r="HA55" i="37"/>
  <c r="HA57" i="37" s="1"/>
  <c r="HA58" i="37" s="1"/>
  <c r="HA60" i="37" s="1"/>
  <c r="HA13" i="37" s="1"/>
  <c r="HA61" i="37"/>
  <c r="I45" i="36" l="1"/>
  <c r="F58" i="36" s="1"/>
  <c r="I103" i="4"/>
  <c r="E467" i="20"/>
  <c r="I14" i="2"/>
  <c r="I65" i="2" s="1"/>
  <c r="I45" i="2"/>
  <c r="F56" i="36"/>
  <c r="F31" i="36"/>
  <c r="I33" i="2"/>
  <c r="I17" i="2" s="1"/>
  <c r="I10" i="4"/>
  <c r="I17" i="4" s="1"/>
  <c r="I90" i="4"/>
  <c r="I99" i="4"/>
  <c r="I16" i="36"/>
  <c r="I20" i="36" s="1"/>
  <c r="F59" i="36"/>
  <c r="HA268" i="37"/>
  <c r="BG320" i="25"/>
  <c r="HA270" i="37"/>
  <c r="BG322" i="25"/>
  <c r="HB210" i="37"/>
  <c r="HB211" i="37" s="1"/>
  <c r="HB213" i="37" s="1"/>
  <c r="HB214" i="37" s="1"/>
  <c r="HB216" i="37" s="1"/>
  <c r="HB15" i="37" s="1"/>
  <c r="HB270" i="37" s="1"/>
  <c r="HB217" i="37"/>
  <c r="HB142" i="37"/>
  <c r="HB143" i="37" s="1"/>
  <c r="HB145" i="37" s="1"/>
  <c r="HB149" i="37"/>
  <c r="HC54" i="37"/>
  <c r="HB55" i="37"/>
  <c r="HB57" i="37" s="1"/>
  <c r="HB58" i="37" s="1"/>
  <c r="HB60" i="37" s="1"/>
  <c r="HB13" i="37" s="1"/>
  <c r="HB268" i="37" s="1"/>
  <c r="HB61" i="37"/>
  <c r="I44" i="36" l="1"/>
  <c r="I48" i="36" s="1"/>
  <c r="E465" i="20"/>
  <c r="I51" i="2"/>
  <c r="E480" i="20"/>
  <c r="I30" i="2"/>
  <c r="I37" i="2" s="1"/>
  <c r="F32" i="36"/>
  <c r="F34" i="36" s="1"/>
  <c r="G33" i="36" s="1"/>
  <c r="I18" i="36"/>
  <c r="J17" i="36" s="1"/>
  <c r="I12" i="2"/>
  <c r="F57" i="36"/>
  <c r="HC210" i="37"/>
  <c r="HC211" i="37" s="1"/>
  <c r="HC213" i="37" s="1"/>
  <c r="HC214" i="37" s="1"/>
  <c r="HC216" i="37" s="1"/>
  <c r="HC15" i="37" s="1"/>
  <c r="HC270" i="37" s="1"/>
  <c r="HC217" i="37"/>
  <c r="HC142" i="37"/>
  <c r="HC143" i="37" s="1"/>
  <c r="HC145" i="37" s="1"/>
  <c r="HC149" i="37"/>
  <c r="HD54" i="37"/>
  <c r="HC55" i="37"/>
  <c r="HC57" i="37" s="1"/>
  <c r="HC58" i="37" s="1"/>
  <c r="HC60" i="37" s="1"/>
  <c r="HC13" i="37" s="1"/>
  <c r="HC268" i="37" s="1"/>
  <c r="HC61" i="37"/>
  <c r="I53" i="2" l="1"/>
  <c r="E471" i="20"/>
  <c r="E473" i="20" s="1"/>
  <c r="E477" i="20"/>
  <c r="I19" i="36"/>
  <c r="I71" i="36"/>
  <c r="I73" i="36" s="1"/>
  <c r="I22" i="2"/>
  <c r="E490" i="20"/>
  <c r="J16" i="4"/>
  <c r="J19" i="4" s="1"/>
  <c r="I39" i="2"/>
  <c r="E484" i="20"/>
  <c r="F61" i="36"/>
  <c r="I50" i="36"/>
  <c r="HD210" i="37"/>
  <c r="HD211" i="37" s="1"/>
  <c r="HD213" i="37" s="1"/>
  <c r="HD214" i="37" s="1"/>
  <c r="HD216" i="37" s="1"/>
  <c r="HD15" i="37" s="1"/>
  <c r="HD270" i="37" s="1"/>
  <c r="HD217" i="37"/>
  <c r="HD142" i="37"/>
  <c r="HD143" i="37" s="1"/>
  <c r="HD145" i="37" s="1"/>
  <c r="HD149" i="37"/>
  <c r="HE54" i="37"/>
  <c r="HD55" i="37"/>
  <c r="HD57" i="37" s="1"/>
  <c r="HD58" i="37" s="1"/>
  <c r="HD60" i="37" s="1"/>
  <c r="HD13" i="37" s="1"/>
  <c r="HD268" i="37" s="1"/>
  <c r="HD61" i="37"/>
  <c r="E486" i="20" l="1"/>
  <c r="F86" i="36"/>
  <c r="F88" i="36" s="1"/>
  <c r="I24" i="2"/>
  <c r="E500" i="20"/>
  <c r="E502" i="20" s="1"/>
  <c r="F63" i="36"/>
  <c r="I79" i="36"/>
  <c r="HE210" i="37"/>
  <c r="HE211" i="37" s="1"/>
  <c r="HE213" i="37" s="1"/>
  <c r="HE214" i="37" s="1"/>
  <c r="HE216" i="37" s="1"/>
  <c r="HE15" i="37" s="1"/>
  <c r="HE217" i="37"/>
  <c r="HE142" i="37"/>
  <c r="HE143" i="37" s="1"/>
  <c r="HE145" i="37" s="1"/>
  <c r="HE149" i="37"/>
  <c r="HF54" i="37"/>
  <c r="HE55" i="37"/>
  <c r="HE57" i="37" s="1"/>
  <c r="HE58" i="37" s="1"/>
  <c r="HE60" i="37" s="1"/>
  <c r="HE13" i="37" s="1"/>
  <c r="HE61" i="37"/>
  <c r="F94" i="36" l="1"/>
  <c r="F95" i="36" s="1"/>
  <c r="F96" i="36" s="1"/>
  <c r="I80" i="36"/>
  <c r="I81" i="36" s="1"/>
  <c r="HE268" i="37"/>
  <c r="BH320" i="25"/>
  <c r="HE270" i="37"/>
  <c r="BH322" i="25"/>
  <c r="HF210" i="37"/>
  <c r="HF211" i="37" s="1"/>
  <c r="HF213" i="37" s="1"/>
  <c r="HF214" i="37" s="1"/>
  <c r="HF216" i="37" s="1"/>
  <c r="HF15" i="37" s="1"/>
  <c r="HF270" i="37" s="1"/>
  <c r="HF217" i="37"/>
  <c r="HF142" i="37"/>
  <c r="HF143" i="37" s="1"/>
  <c r="HF145" i="37" s="1"/>
  <c r="HF149" i="37"/>
  <c r="HG54" i="37"/>
  <c r="HF55" i="37"/>
  <c r="HF57" i="37" s="1"/>
  <c r="HF58" i="37" s="1"/>
  <c r="HF60" i="37" s="1"/>
  <c r="HF13" i="37" s="1"/>
  <c r="HF268" i="37" s="1"/>
  <c r="HF61" i="37"/>
  <c r="J22" i="4" l="1"/>
  <c r="J23" i="4" s="1"/>
  <c r="HG210" i="37"/>
  <c r="HG211" i="37" s="1"/>
  <c r="HG213" i="37" s="1"/>
  <c r="HG214" i="37" s="1"/>
  <c r="HG216" i="37" s="1"/>
  <c r="HG15" i="37" s="1"/>
  <c r="HG270" i="37" s="1"/>
  <c r="HG217" i="37"/>
  <c r="HG142" i="37"/>
  <c r="HG143" i="37" s="1"/>
  <c r="HG145" i="37" s="1"/>
  <c r="HG149" i="37"/>
  <c r="HH54" i="37"/>
  <c r="HG55" i="37"/>
  <c r="HG57" i="37" s="1"/>
  <c r="HG58" i="37" s="1"/>
  <c r="HG60" i="37" s="1"/>
  <c r="HG13" i="37" s="1"/>
  <c r="HG268" i="37" s="1"/>
  <c r="HG61" i="37"/>
  <c r="J25" i="4" l="1"/>
  <c r="J24" i="4"/>
  <c r="J26" i="4" s="1"/>
  <c r="J14" i="4"/>
  <c r="HH210" i="37"/>
  <c r="HH211" i="37" s="1"/>
  <c r="HH213" i="37" s="1"/>
  <c r="HH214" i="37" s="1"/>
  <c r="HH216" i="37" s="1"/>
  <c r="HH15" i="37" s="1"/>
  <c r="HH270" i="37" s="1"/>
  <c r="HH217" i="37"/>
  <c r="HH142" i="37"/>
  <c r="HH143" i="37" s="1"/>
  <c r="HH145" i="37" s="1"/>
  <c r="HH149" i="37"/>
  <c r="HI54" i="37"/>
  <c r="HH55" i="37"/>
  <c r="HH57" i="37" s="1"/>
  <c r="HH58" i="37" s="1"/>
  <c r="HH60" i="37" s="1"/>
  <c r="HH13" i="37" s="1"/>
  <c r="HH268" i="37" s="1"/>
  <c r="HH61" i="37"/>
  <c r="J38" i="4" l="1"/>
  <c r="J27" i="4"/>
  <c r="J12" i="4"/>
  <c r="J94" i="4" s="1"/>
  <c r="J95" i="4" s="1"/>
  <c r="J14" i="36"/>
  <c r="J46" i="2" s="1"/>
  <c r="J13" i="2" s="1"/>
  <c r="HI210" i="37"/>
  <c r="HI211" i="37" s="1"/>
  <c r="HI213" i="37" s="1"/>
  <c r="HI214" i="37" s="1"/>
  <c r="HI216" i="37" s="1"/>
  <c r="HI15" i="37" s="1"/>
  <c r="HI217" i="37"/>
  <c r="HI142" i="37"/>
  <c r="HI143" i="37" s="1"/>
  <c r="HI145" i="37" s="1"/>
  <c r="HI149" i="37"/>
  <c r="HJ54" i="37"/>
  <c r="HI55" i="37"/>
  <c r="HI57" i="37" s="1"/>
  <c r="HI58" i="37" s="1"/>
  <c r="HI60" i="37" s="1"/>
  <c r="HI13" i="37" s="1"/>
  <c r="HI61" i="37"/>
  <c r="J29" i="4" l="1"/>
  <c r="J96" i="4"/>
  <c r="J7" i="2"/>
  <c r="J13" i="36"/>
  <c r="HI268" i="37"/>
  <c r="BI320" i="25"/>
  <c r="HI270" i="37"/>
  <c r="BI322" i="25"/>
  <c r="HJ210" i="37"/>
  <c r="HJ211" i="37" s="1"/>
  <c r="HJ213" i="37" s="1"/>
  <c r="HJ214" i="37" s="1"/>
  <c r="HJ216" i="37" s="1"/>
  <c r="HJ15" i="37" s="1"/>
  <c r="HJ270" i="37" s="1"/>
  <c r="HJ217" i="37"/>
  <c r="HJ142" i="37"/>
  <c r="HJ143" i="37" s="1"/>
  <c r="HJ145" i="37" s="1"/>
  <c r="HJ149" i="37"/>
  <c r="HJ55" i="37"/>
  <c r="HJ57" i="37" s="1"/>
  <c r="HJ58" i="37" s="1"/>
  <c r="HJ60" i="37" s="1"/>
  <c r="HJ13" i="37" s="1"/>
  <c r="HJ268" i="37" s="1"/>
  <c r="HK54" i="37"/>
  <c r="HJ61" i="37"/>
  <c r="J30" i="4" l="1"/>
  <c r="J13" i="4"/>
  <c r="J12" i="36" s="1"/>
  <c r="J47" i="2" s="1"/>
  <c r="J14" i="2" s="1"/>
  <c r="J31" i="4"/>
  <c r="J33" i="4" s="1"/>
  <c r="J35" i="4" s="1"/>
  <c r="HK210" i="37"/>
  <c r="HK211" i="37" s="1"/>
  <c r="HK213" i="37" s="1"/>
  <c r="HK214" i="37" s="1"/>
  <c r="HK216" i="37" s="1"/>
  <c r="HK15" i="37" s="1"/>
  <c r="HK270" i="37" s="1"/>
  <c r="HK217" i="37"/>
  <c r="HK142" i="37"/>
  <c r="HK143" i="37" s="1"/>
  <c r="HK145" i="37" s="1"/>
  <c r="HK149" i="37"/>
  <c r="HK55" i="37"/>
  <c r="HK57" i="37" s="1"/>
  <c r="HK58" i="37" s="1"/>
  <c r="HK60" i="37" s="1"/>
  <c r="HK13" i="37" s="1"/>
  <c r="HK268" i="37" s="1"/>
  <c r="HL54" i="37"/>
  <c r="HK61" i="37"/>
  <c r="J45" i="2" l="1"/>
  <c r="J51" i="2" s="1"/>
  <c r="J53" i="2" s="1"/>
  <c r="J36" i="4"/>
  <c r="J101" i="4"/>
  <c r="J11" i="4"/>
  <c r="J34" i="4"/>
  <c r="J37" i="4" s="1"/>
  <c r="HL210" i="37"/>
  <c r="HL211" i="37" s="1"/>
  <c r="HL213" i="37" s="1"/>
  <c r="HL214" i="37" s="1"/>
  <c r="HL216" i="37" s="1"/>
  <c r="HL15" i="37" s="1"/>
  <c r="HL270" i="37" s="1"/>
  <c r="HL217" i="37"/>
  <c r="HL142" i="37"/>
  <c r="HL143" i="37" s="1"/>
  <c r="HL145" i="37" s="1"/>
  <c r="HL149" i="37"/>
  <c r="HM54" i="37"/>
  <c r="HL55" i="37"/>
  <c r="HL57" i="37" s="1"/>
  <c r="HL58" i="37" s="1"/>
  <c r="HL60" i="37" s="1"/>
  <c r="HL13" i="37" s="1"/>
  <c r="HL268" i="37" s="1"/>
  <c r="HL61" i="37"/>
  <c r="J15" i="4" l="1"/>
  <c r="J15" i="36" s="1"/>
  <c r="J89" i="4"/>
  <c r="J98" i="4" s="1"/>
  <c r="J103" i="4" s="1"/>
  <c r="J11" i="36"/>
  <c r="HM210" i="37"/>
  <c r="HM211" i="37" s="1"/>
  <c r="HM213" i="37" s="1"/>
  <c r="HM214" i="37" s="1"/>
  <c r="HM216" i="37" s="1"/>
  <c r="HM15" i="37" s="1"/>
  <c r="HM217" i="37"/>
  <c r="HM142" i="37"/>
  <c r="HM143" i="37" s="1"/>
  <c r="HM145" i="37" s="1"/>
  <c r="HM149" i="37"/>
  <c r="HN54" i="37"/>
  <c r="HM55" i="37"/>
  <c r="HM57" i="37" s="1"/>
  <c r="HM58" i="37" s="1"/>
  <c r="HM60" i="37" s="1"/>
  <c r="HM13" i="37" s="1"/>
  <c r="HM61" i="37"/>
  <c r="J46" i="36" l="1"/>
  <c r="J10" i="4"/>
  <c r="J17" i="4" s="1"/>
  <c r="J99" i="4"/>
  <c r="J90" i="4"/>
  <c r="J43" i="36"/>
  <c r="J41" i="36" s="1"/>
  <c r="HM268" i="37"/>
  <c r="BJ320" i="25"/>
  <c r="HM270" i="37"/>
  <c r="BJ322" i="25"/>
  <c r="HN210" i="37"/>
  <c r="HN211" i="37" s="1"/>
  <c r="HN213" i="37" s="1"/>
  <c r="HN214" i="37" s="1"/>
  <c r="HN216" i="37" s="1"/>
  <c r="HN15" i="37" s="1"/>
  <c r="HN270" i="37" s="1"/>
  <c r="HN217" i="37"/>
  <c r="HN142" i="37"/>
  <c r="HN143" i="37" s="1"/>
  <c r="HN145" i="37" s="1"/>
  <c r="HN149" i="37"/>
  <c r="HO54" i="37"/>
  <c r="HN55" i="37"/>
  <c r="HN57" i="37" s="1"/>
  <c r="HN58" i="37" s="1"/>
  <c r="HN60" i="37" s="1"/>
  <c r="HN13" i="37" s="1"/>
  <c r="HN268" i="37" s="1"/>
  <c r="HN61" i="37"/>
  <c r="J45" i="36" l="1"/>
  <c r="HO210" i="37"/>
  <c r="HO211" i="37" s="1"/>
  <c r="HO213" i="37" s="1"/>
  <c r="HO214" i="37" s="1"/>
  <c r="HO216" i="37" s="1"/>
  <c r="HO15" i="37" s="1"/>
  <c r="HO270" i="37" s="1"/>
  <c r="HO217" i="37"/>
  <c r="HO142" i="37"/>
  <c r="HO143" i="37" s="1"/>
  <c r="HO145" i="37" s="1"/>
  <c r="HO149" i="37"/>
  <c r="HP54" i="37"/>
  <c r="HO55" i="37"/>
  <c r="HO57" i="37" s="1"/>
  <c r="HO58" i="37" s="1"/>
  <c r="HO60" i="37" s="1"/>
  <c r="HO13" i="37" s="1"/>
  <c r="HO268" i="37" s="1"/>
  <c r="HO61" i="37"/>
  <c r="J44" i="36" l="1"/>
  <c r="J48" i="36" s="1"/>
  <c r="J50" i="36" s="1"/>
  <c r="J79" i="36" s="1"/>
  <c r="J80" i="36" s="1"/>
  <c r="J33" i="2"/>
  <c r="J17" i="2" s="1"/>
  <c r="J16" i="36"/>
  <c r="HP210" i="37"/>
  <c r="HP211" i="37" s="1"/>
  <c r="HP213" i="37" s="1"/>
  <c r="HP214" i="37" s="1"/>
  <c r="HP216" i="37" s="1"/>
  <c r="HP15" i="37" s="1"/>
  <c r="HP270" i="37" s="1"/>
  <c r="HP217" i="37"/>
  <c r="HP142" i="37"/>
  <c r="HP143" i="37" s="1"/>
  <c r="HP145" i="37" s="1"/>
  <c r="HP149" i="37"/>
  <c r="HQ54" i="37"/>
  <c r="HP55" i="37"/>
  <c r="HP57" i="37" s="1"/>
  <c r="HP58" i="37" s="1"/>
  <c r="HP60" i="37" s="1"/>
  <c r="HP13" i="37" s="1"/>
  <c r="HP268" i="37" s="1"/>
  <c r="HP61" i="37"/>
  <c r="J30" i="2" l="1"/>
  <c r="J37" i="2" s="1"/>
  <c r="J39" i="2" s="1"/>
  <c r="J18" i="36"/>
  <c r="J20" i="36"/>
  <c r="HQ210" i="37"/>
  <c r="HQ211" i="37" s="1"/>
  <c r="HQ213" i="37" s="1"/>
  <c r="HQ214" i="37" s="1"/>
  <c r="HQ216" i="37" s="1"/>
  <c r="HQ15" i="37" s="1"/>
  <c r="HQ217" i="37"/>
  <c r="HQ142" i="37"/>
  <c r="HQ143" i="37" s="1"/>
  <c r="HQ145" i="37" s="1"/>
  <c r="HQ149" i="37"/>
  <c r="HR54" i="37"/>
  <c r="HQ55" i="37"/>
  <c r="HQ57" i="37" s="1"/>
  <c r="HQ58" i="37" s="1"/>
  <c r="HQ60" i="37" s="1"/>
  <c r="HQ13" i="37" s="1"/>
  <c r="HQ61" i="37"/>
  <c r="J12" i="2" l="1"/>
  <c r="J19" i="36"/>
  <c r="K17" i="36"/>
  <c r="J71" i="36"/>
  <c r="J73" i="36" s="1"/>
  <c r="J81" i="36" s="1"/>
  <c r="HQ268" i="37"/>
  <c r="BK320" i="25"/>
  <c r="HQ270" i="37"/>
  <c r="BK322" i="25"/>
  <c r="HR210" i="37"/>
  <c r="HR211" i="37" s="1"/>
  <c r="HR213" i="37" s="1"/>
  <c r="HR214" i="37" s="1"/>
  <c r="HR216" i="37" s="1"/>
  <c r="HR15" i="37" s="1"/>
  <c r="HR270" i="37" s="1"/>
  <c r="HR217" i="37"/>
  <c r="HR142" i="37"/>
  <c r="HR143" i="37" s="1"/>
  <c r="HR145" i="37" s="1"/>
  <c r="HR149" i="37"/>
  <c r="HR55" i="37"/>
  <c r="HR57" i="37" s="1"/>
  <c r="HR58" i="37" s="1"/>
  <c r="HR60" i="37" s="1"/>
  <c r="HR13" i="37" s="1"/>
  <c r="HR268" i="37" s="1"/>
  <c r="HS54" i="37"/>
  <c r="HR61" i="37"/>
  <c r="J22" i="2" l="1"/>
  <c r="K16" i="4"/>
  <c r="K19" i="4" s="1"/>
  <c r="HS210" i="37"/>
  <c r="HS211" i="37" s="1"/>
  <c r="HS213" i="37" s="1"/>
  <c r="HS214" i="37" s="1"/>
  <c r="HS216" i="37" s="1"/>
  <c r="HS15" i="37" s="1"/>
  <c r="HS270" i="37" s="1"/>
  <c r="HS217" i="37"/>
  <c r="HS142" i="37"/>
  <c r="HS143" i="37" s="1"/>
  <c r="HS145" i="37" s="1"/>
  <c r="HS149" i="37"/>
  <c r="HT54" i="37"/>
  <c r="HS55" i="37"/>
  <c r="HS57" i="37" s="1"/>
  <c r="HS58" i="37" s="1"/>
  <c r="HS60" i="37" s="1"/>
  <c r="HS13" i="37" s="1"/>
  <c r="HS268" i="37" s="1"/>
  <c r="HS61" i="37"/>
  <c r="J24" i="2" l="1"/>
  <c r="HT210" i="37"/>
  <c r="HT211" i="37" s="1"/>
  <c r="HT213" i="37" s="1"/>
  <c r="HT214" i="37" s="1"/>
  <c r="HT216" i="37" s="1"/>
  <c r="HT15" i="37" s="1"/>
  <c r="HT270" i="37" s="1"/>
  <c r="HT217" i="37"/>
  <c r="HT142" i="37"/>
  <c r="HT143" i="37" s="1"/>
  <c r="HT145" i="37" s="1"/>
  <c r="HT149" i="37"/>
  <c r="HU54" i="37"/>
  <c r="HT55" i="37"/>
  <c r="HT57" i="37" s="1"/>
  <c r="HT58" i="37" s="1"/>
  <c r="HT60" i="37" s="1"/>
  <c r="HT13" i="37" s="1"/>
  <c r="HT268" i="37" s="1"/>
  <c r="HT61" i="37"/>
  <c r="HU210" i="37" l="1"/>
  <c r="HU211" i="37" s="1"/>
  <c r="HU213" i="37" s="1"/>
  <c r="HU214" i="37" s="1"/>
  <c r="HU216" i="37" s="1"/>
  <c r="HU15" i="37" s="1"/>
  <c r="HU217" i="37"/>
  <c r="HU142" i="37"/>
  <c r="HU143" i="37" s="1"/>
  <c r="HU145" i="37" s="1"/>
  <c r="HU149" i="37"/>
  <c r="HV54" i="37"/>
  <c r="HU55" i="37"/>
  <c r="HU57" i="37" s="1"/>
  <c r="HU58" i="37" s="1"/>
  <c r="HU60" i="37" s="1"/>
  <c r="HU13" i="37" s="1"/>
  <c r="HU61" i="37"/>
  <c r="HU268" i="37" l="1"/>
  <c r="BL320" i="25"/>
  <c r="HU270" i="37"/>
  <c r="BL322" i="25"/>
  <c r="HV210" i="37"/>
  <c r="HV211" i="37" s="1"/>
  <c r="HV213" i="37" s="1"/>
  <c r="HV214" i="37" s="1"/>
  <c r="HV216" i="37" s="1"/>
  <c r="HV15" i="37" s="1"/>
  <c r="HV270" i="37" s="1"/>
  <c r="HV217" i="37"/>
  <c r="HV142" i="37"/>
  <c r="HV143" i="37" s="1"/>
  <c r="HV145" i="37" s="1"/>
  <c r="HV149" i="37"/>
  <c r="HW54" i="37"/>
  <c r="HV55" i="37"/>
  <c r="HV57" i="37" s="1"/>
  <c r="HV58" i="37" s="1"/>
  <c r="HV60" i="37" s="1"/>
  <c r="HV13" i="37" s="1"/>
  <c r="HV268" i="37" s="1"/>
  <c r="HV61" i="37"/>
  <c r="HW210" i="37" l="1"/>
  <c r="HW211" i="37" s="1"/>
  <c r="HW213" i="37" s="1"/>
  <c r="HW214" i="37" s="1"/>
  <c r="HW216" i="37" s="1"/>
  <c r="HW15" i="37" s="1"/>
  <c r="HW270" i="37" s="1"/>
  <c r="HW217" i="37"/>
  <c r="HW142" i="37"/>
  <c r="HW143" i="37" s="1"/>
  <c r="HW145" i="37" s="1"/>
  <c r="HW149" i="37"/>
  <c r="HX54" i="37"/>
  <c r="HW55" i="37"/>
  <c r="HW57" i="37" s="1"/>
  <c r="HW58" i="37" s="1"/>
  <c r="HW60" i="37" s="1"/>
  <c r="HW13" i="37" s="1"/>
  <c r="HW268" i="37" s="1"/>
  <c r="HW61" i="37"/>
  <c r="HX210" i="37" l="1"/>
  <c r="HX211" i="37" s="1"/>
  <c r="HX213" i="37" s="1"/>
  <c r="HX214" i="37" s="1"/>
  <c r="HX216" i="37" s="1"/>
  <c r="HX15" i="37" s="1"/>
  <c r="HX270" i="37" s="1"/>
  <c r="HX217" i="37"/>
  <c r="HX142" i="37"/>
  <c r="HX143" i="37" s="1"/>
  <c r="HX145" i="37" s="1"/>
  <c r="HX149" i="37"/>
  <c r="HY54" i="37"/>
  <c r="HX55" i="37"/>
  <c r="HX57" i="37" s="1"/>
  <c r="HX58" i="37" s="1"/>
  <c r="HX60" i="37" s="1"/>
  <c r="HX13" i="37" s="1"/>
  <c r="HX268" i="37" s="1"/>
  <c r="HX61" i="37"/>
  <c r="HY210" i="37" l="1"/>
  <c r="HY211" i="37" s="1"/>
  <c r="HY213" i="37" s="1"/>
  <c r="HY214" i="37" s="1"/>
  <c r="HY216" i="37" s="1"/>
  <c r="HY15" i="37" s="1"/>
  <c r="HY217" i="37"/>
  <c r="HY142" i="37"/>
  <c r="HY143" i="37" s="1"/>
  <c r="HY145" i="37" s="1"/>
  <c r="HY149" i="37"/>
  <c r="HZ54" i="37"/>
  <c r="HY55" i="37"/>
  <c r="HY57" i="37" s="1"/>
  <c r="HY58" i="37" s="1"/>
  <c r="HY60" i="37" s="1"/>
  <c r="HY13" i="37" s="1"/>
  <c r="HY61" i="37"/>
  <c r="HY268" i="37" l="1"/>
  <c r="BM320" i="25"/>
  <c r="HY270" i="37"/>
  <c r="BM322" i="25"/>
  <c r="HZ210" i="37"/>
  <c r="HZ211" i="37" s="1"/>
  <c r="HZ213" i="37" s="1"/>
  <c r="HZ214" i="37" s="1"/>
  <c r="HZ216" i="37" s="1"/>
  <c r="HZ15" i="37" s="1"/>
  <c r="HZ270" i="37" s="1"/>
  <c r="HZ217" i="37"/>
  <c r="HZ142" i="37"/>
  <c r="HZ143" i="37" s="1"/>
  <c r="HZ145" i="37" s="1"/>
  <c r="HZ149" i="37"/>
  <c r="HZ55" i="37"/>
  <c r="HZ57" i="37" s="1"/>
  <c r="HZ58" i="37" s="1"/>
  <c r="HZ60" i="37" s="1"/>
  <c r="HZ13" i="37" s="1"/>
  <c r="HZ268" i="37" s="1"/>
  <c r="IA54" i="37"/>
  <c r="HZ61" i="37"/>
  <c r="IA210" i="37" l="1"/>
  <c r="IA211" i="37" s="1"/>
  <c r="IA217" i="37"/>
  <c r="IA142" i="37"/>
  <c r="IA143" i="37" s="1"/>
  <c r="IA149" i="37"/>
  <c r="IA55" i="37"/>
  <c r="IA57" i="37" s="1"/>
  <c r="IA58" i="37" s="1"/>
  <c r="IA60" i="37" s="1"/>
  <c r="IA13" i="37" s="1"/>
  <c r="IA61" i="37"/>
  <c r="IA268" i="37" l="1"/>
  <c r="BN320" i="25"/>
  <c r="IA213" i="37"/>
  <c r="H211" i="37"/>
  <c r="IA145" i="37"/>
  <c r="H145" i="37" s="1"/>
  <c r="H143" i="37"/>
  <c r="IA214" i="37" l="1"/>
  <c r="IA216" i="37" s="1"/>
  <c r="IA15" i="37" s="1"/>
  <c r="H213" i="37"/>
  <c r="P135" i="37"/>
  <c r="N136" i="37"/>
  <c r="N138" i="37" s="1"/>
  <c r="M136" i="37"/>
  <c r="M138" i="37" s="1"/>
  <c r="L136" i="37"/>
  <c r="L138" i="37" s="1"/>
  <c r="O136" i="37"/>
  <c r="O138" i="37" s="1"/>
  <c r="K136" i="37"/>
  <c r="K138" i="37" s="1"/>
  <c r="J136" i="37"/>
  <c r="J138" i="37" s="1"/>
  <c r="P136" i="37"/>
  <c r="IA270" i="37" l="1"/>
  <c r="BN322" i="25"/>
  <c r="J140" i="37"/>
  <c r="J147" i="37"/>
  <c r="L147" i="37"/>
  <c r="L140" i="37"/>
  <c r="L146" i="37" s="1"/>
  <c r="L148" i="37" s="1"/>
  <c r="L149" i="37" s="1"/>
  <c r="K147" i="37"/>
  <c r="K140" i="37"/>
  <c r="K146" i="37" s="1"/>
  <c r="K148" i="37" s="1"/>
  <c r="M147" i="37"/>
  <c r="M140" i="37"/>
  <c r="M146" i="37" s="1"/>
  <c r="Q135" i="37"/>
  <c r="P138" i="37"/>
  <c r="N147" i="37"/>
  <c r="N140" i="37"/>
  <c r="N146" i="37" s="1"/>
  <c r="N148" i="37" s="1"/>
  <c r="N149" i="37" s="1"/>
  <c r="O140" i="37"/>
  <c r="O146" i="37" s="1"/>
  <c r="O147" i="37"/>
  <c r="O148" i="37" l="1"/>
  <c r="O149" i="37" s="1"/>
  <c r="P147" i="37"/>
  <c r="P140" i="37"/>
  <c r="P146" i="37" s="1"/>
  <c r="Q136" i="37"/>
  <c r="K149" i="37"/>
  <c r="M148" i="37"/>
  <c r="M149" i="37" s="1"/>
  <c r="J146" i="37"/>
  <c r="J148" i="37" s="1"/>
  <c r="J149" i="37" s="1"/>
  <c r="P148" i="37" l="1"/>
  <c r="Q138" i="37"/>
  <c r="R135" i="37"/>
  <c r="R136" i="37" l="1"/>
  <c r="Q147" i="37"/>
  <c r="Q140" i="37"/>
  <c r="Q146" i="37" l="1"/>
  <c r="Q148" i="37" s="1"/>
  <c r="R138" i="37"/>
  <c r="S135" i="37"/>
  <c r="R140" i="37" l="1"/>
  <c r="R147" i="37"/>
  <c r="S136" i="37"/>
  <c r="S138" i="37" l="1"/>
  <c r="T135" i="37"/>
  <c r="R146" i="37"/>
  <c r="R148" i="37" s="1"/>
  <c r="T136" i="37" l="1"/>
  <c r="S140" i="37"/>
  <c r="S147" i="37"/>
  <c r="S146" i="37" l="1"/>
  <c r="S148" i="37" s="1"/>
  <c r="T138" i="37"/>
  <c r="U135" i="37"/>
  <c r="U136" i="37" s="1"/>
  <c r="T147" i="37" l="1"/>
  <c r="T140" i="37"/>
  <c r="U138" i="37"/>
  <c r="V135" i="37"/>
  <c r="V136" i="37" s="1"/>
  <c r="U147" i="37" l="1"/>
  <c r="U140" i="37"/>
  <c r="U146" i="37" s="1"/>
  <c r="U148" i="37" s="1"/>
  <c r="V138" i="37"/>
  <c r="W135" i="37"/>
  <c r="W136" i="37" s="1"/>
  <c r="T146" i="37"/>
  <c r="T148" i="37" s="1"/>
  <c r="V140" i="37" l="1"/>
  <c r="V146" i="37" s="1"/>
  <c r="V147" i="37"/>
  <c r="W138" i="37"/>
  <c r="X135" i="37"/>
  <c r="X136" i="37" s="1"/>
  <c r="W147" i="37" l="1"/>
  <c r="W140" i="37"/>
  <c r="W146" i="37" s="1"/>
  <c r="W148" i="37" s="1"/>
  <c r="W14" i="37" s="1"/>
  <c r="W269" i="37" s="1"/>
  <c r="Y135" i="37"/>
  <c r="Y136" i="37" s="1"/>
  <c r="X138" i="37"/>
  <c r="V148" i="37"/>
  <c r="V14" i="37" s="1"/>
  <c r="Y138" i="37" l="1"/>
  <c r="Z135" i="37"/>
  <c r="Z136" i="37" s="1"/>
  <c r="X147" i="37"/>
  <c r="X140" i="37"/>
  <c r="X146" i="37" s="1"/>
  <c r="X148" i="37" s="1"/>
  <c r="X14" i="37" s="1"/>
  <c r="X269" i="37" s="1"/>
  <c r="Z138" i="37" l="1"/>
  <c r="AA135" i="37"/>
  <c r="AA136" i="37" s="1"/>
  <c r="Y147" i="37"/>
  <c r="Y140" i="37"/>
  <c r="Y146" i="37" s="1"/>
  <c r="Y148" i="37" s="1"/>
  <c r="Y14" i="37" s="1"/>
  <c r="Y269" i="37" s="1"/>
  <c r="AA138" i="37" l="1"/>
  <c r="AB135" i="37"/>
  <c r="AB136" i="37" s="1"/>
  <c r="Z140" i="37"/>
  <c r="Z146" i="37" s="1"/>
  <c r="Z147" i="37"/>
  <c r="Z148" i="37" l="1"/>
  <c r="Z14" i="37" s="1"/>
  <c r="Z269" i="37" s="1"/>
  <c r="AB138" i="37"/>
  <c r="AC135" i="37"/>
  <c r="AC136" i="37" s="1"/>
  <c r="AA147" i="37"/>
  <c r="AA140" i="37"/>
  <c r="AA146" i="37" s="1"/>
  <c r="AA148" i="37" s="1"/>
  <c r="AA14" i="37" s="1"/>
  <c r="AA269" i="37" s="1"/>
  <c r="AD135" i="37" l="1"/>
  <c r="AD136" i="37" s="1"/>
  <c r="AC138" i="37"/>
  <c r="AB147" i="37"/>
  <c r="AB140" i="37"/>
  <c r="AB146" i="37" s="1"/>
  <c r="AB148" i="37" s="1"/>
  <c r="AB14" i="37" s="1"/>
  <c r="AB269" i="37" s="1"/>
  <c r="AC147" i="37" l="1"/>
  <c r="AC140" i="37"/>
  <c r="AC146" i="37" s="1"/>
  <c r="AC148" i="37" s="1"/>
  <c r="AC14" i="37" s="1"/>
  <c r="AC269" i="37" s="1"/>
  <c r="AE135" i="37"/>
  <c r="AE136" i="37" s="1"/>
  <c r="AD138" i="37"/>
  <c r="AD147" i="37" l="1"/>
  <c r="AD140" i="37"/>
  <c r="AD146" i="37" s="1"/>
  <c r="AF135" i="37"/>
  <c r="AF136" i="37" s="1"/>
  <c r="AE138" i="37"/>
  <c r="AD148" i="37" l="1"/>
  <c r="AD14" i="37" s="1"/>
  <c r="AD269" i="37" s="1"/>
  <c r="AE147" i="37"/>
  <c r="AE140" i="37"/>
  <c r="AE146" i="37" s="1"/>
  <c r="AE148" i="37" s="1"/>
  <c r="AE14" i="37" s="1"/>
  <c r="AE269" i="37" s="1"/>
  <c r="AG135" i="37"/>
  <c r="AG136" i="37" s="1"/>
  <c r="AF138" i="37"/>
  <c r="AH135" i="37" l="1"/>
  <c r="AH136" i="37" s="1"/>
  <c r="AG138" i="37"/>
  <c r="AF147" i="37"/>
  <c r="AF140" i="37"/>
  <c r="AF146" i="37" s="1"/>
  <c r="AF148" i="37" s="1"/>
  <c r="AF14" i="37" s="1"/>
  <c r="AF269" i="37" s="1"/>
  <c r="AG147" i="37" l="1"/>
  <c r="AG140" i="37"/>
  <c r="AG146" i="37" s="1"/>
  <c r="AG148" i="37" s="1"/>
  <c r="AG14" i="37" s="1"/>
  <c r="AG269" i="37" s="1"/>
  <c r="AI135" i="37"/>
  <c r="AH138" i="37"/>
  <c r="AI136" i="37" l="1"/>
  <c r="AJ135" i="37"/>
  <c r="AJ136" i="37" s="1"/>
  <c r="AI138" i="37"/>
  <c r="AH140" i="37"/>
  <c r="AH146" i="37" s="1"/>
  <c r="AH147" i="37"/>
  <c r="AH148" i="37" l="1"/>
  <c r="AH14" i="37" s="1"/>
  <c r="AH269" i="37" s="1"/>
  <c r="AI140" i="37"/>
  <c r="AI146" i="37" s="1"/>
  <c r="AI147" i="37"/>
  <c r="AK135" i="37"/>
  <c r="AJ138" i="37"/>
  <c r="AK136" i="37" l="1"/>
  <c r="P138" i="25"/>
  <c r="AL135" i="37"/>
  <c r="AK138" i="37"/>
  <c r="AJ147" i="37"/>
  <c r="AJ140" i="37"/>
  <c r="AJ146" i="37" s="1"/>
  <c r="AJ148" i="37" s="1"/>
  <c r="AJ14" i="37" s="1"/>
  <c r="AJ269" i="37" s="1"/>
  <c r="AI148" i="37"/>
  <c r="AI14" i="37" s="1"/>
  <c r="AI269" i="37" s="1"/>
  <c r="AL136" i="37" l="1"/>
  <c r="P139" i="25"/>
  <c r="P141" i="25" s="1"/>
  <c r="AK147" i="37"/>
  <c r="AK140" i="37"/>
  <c r="AK146" i="37" s="1"/>
  <c r="AM135" i="37"/>
  <c r="AM136" i="37" s="1"/>
  <c r="AL138" i="37"/>
  <c r="P150" i="25" l="1"/>
  <c r="P143" i="25"/>
  <c r="AK148" i="37"/>
  <c r="AK14" i="37" s="1"/>
  <c r="AK269" i="37" s="1"/>
  <c r="AN135" i="37"/>
  <c r="AM138" i="37"/>
  <c r="AL140" i="37"/>
  <c r="AL146" i="37" s="1"/>
  <c r="AL148" i="37" s="1"/>
  <c r="AL14" i="37" s="1"/>
  <c r="AL269" i="37" s="1"/>
  <c r="AL147" i="37"/>
  <c r="AN136" i="37" l="1"/>
  <c r="Q138" i="25"/>
  <c r="P149" i="25"/>
  <c r="P151" i="25" s="1"/>
  <c r="AM147" i="37"/>
  <c r="AM140" i="37"/>
  <c r="AM146" i="37" s="1"/>
  <c r="AO135" i="37"/>
  <c r="AO136" i="37" s="1"/>
  <c r="AN138" i="37"/>
  <c r="Q139" i="25" l="1"/>
  <c r="Q141" i="25" s="1"/>
  <c r="AM148" i="37"/>
  <c r="AM14" i="37" s="1"/>
  <c r="AM269" i="37" s="1"/>
  <c r="AP135" i="37"/>
  <c r="AO138" i="37"/>
  <c r="AN147" i="37"/>
  <c r="AN140" i="37"/>
  <c r="AN146" i="37" s="1"/>
  <c r="AN148" i="37" s="1"/>
  <c r="AN14" i="37" s="1"/>
  <c r="AN269" i="37" s="1"/>
  <c r="Q150" i="25" l="1"/>
  <c r="Q143" i="25"/>
  <c r="AP136" i="37"/>
  <c r="AP138" i="37" s="1"/>
  <c r="AO147" i="37"/>
  <c r="AO140" i="37"/>
  <c r="AO146" i="37" s="1"/>
  <c r="AO148" i="37" s="1"/>
  <c r="AO14" i="37" s="1"/>
  <c r="AO269" i="37" s="1"/>
  <c r="AQ135" i="37"/>
  <c r="AQ136" i="37" s="1"/>
  <c r="Q149" i="25" l="1"/>
  <c r="Q151" i="25" s="1"/>
  <c r="AR135" i="37"/>
  <c r="AQ138" i="37"/>
  <c r="AP147" i="37"/>
  <c r="AP140" i="37"/>
  <c r="AP146" i="37" s="1"/>
  <c r="AP148" i="37" s="1"/>
  <c r="AP14" i="37" s="1"/>
  <c r="AP269" i="37" s="1"/>
  <c r="AR136" i="37" l="1"/>
  <c r="R138" i="25"/>
  <c r="AQ140" i="37"/>
  <c r="AQ146" i="37" s="1"/>
  <c r="AQ147" i="37"/>
  <c r="AS135" i="37"/>
  <c r="AS136" i="37" s="1"/>
  <c r="AR138" i="37"/>
  <c r="R139" i="25" l="1"/>
  <c r="R141" i="25" s="1"/>
  <c r="AT135" i="37"/>
  <c r="AS138" i="37"/>
  <c r="AR147" i="37"/>
  <c r="AR140" i="37"/>
  <c r="AR146" i="37" s="1"/>
  <c r="AR148" i="37" s="1"/>
  <c r="AR14" i="37" s="1"/>
  <c r="AR269" i="37" s="1"/>
  <c r="AQ148" i="37"/>
  <c r="AQ14" i="37" s="1"/>
  <c r="AQ269" i="37" s="1"/>
  <c r="R143" i="25" l="1"/>
  <c r="R150" i="25"/>
  <c r="AT136" i="37"/>
  <c r="AT138" i="37" s="1"/>
  <c r="AS140" i="37"/>
  <c r="AS146" i="37" s="1"/>
  <c r="AS147" i="37"/>
  <c r="AU135" i="37"/>
  <c r="AU136" i="37" s="1"/>
  <c r="R149" i="25" l="1"/>
  <c r="R151" i="25" s="1"/>
  <c r="AV135" i="37"/>
  <c r="AU138" i="37"/>
  <c r="AT147" i="37"/>
  <c r="AT140" i="37"/>
  <c r="AT146" i="37" s="1"/>
  <c r="AT148" i="37" s="1"/>
  <c r="AT14" i="37" s="1"/>
  <c r="AT269" i="37" s="1"/>
  <c r="AS148" i="37"/>
  <c r="AS14" i="37" s="1"/>
  <c r="AS269" i="37" s="1"/>
  <c r="AV136" i="37" l="1"/>
  <c r="S138" i="25"/>
  <c r="AU147" i="37"/>
  <c r="AU140" i="37"/>
  <c r="AU146" i="37" s="1"/>
  <c r="AU148" i="37" s="1"/>
  <c r="AU14" i="37" s="1"/>
  <c r="AU269" i="37" s="1"/>
  <c r="H14" i="37"/>
  <c r="AW135" i="37"/>
  <c r="AW136" i="37" s="1"/>
  <c r="AV138" i="37"/>
  <c r="S139" i="25" l="1"/>
  <c r="S141" i="25" s="1"/>
  <c r="AX135" i="37"/>
  <c r="AW138" i="37"/>
  <c r="AV140" i="37"/>
  <c r="AV146" i="37" s="1"/>
  <c r="AV147" i="37"/>
  <c r="S150" i="25" l="1"/>
  <c r="S143" i="25"/>
  <c r="AX136" i="37"/>
  <c r="AY135" i="37" s="1"/>
  <c r="AV148" i="37"/>
  <c r="AV14" i="37" s="1"/>
  <c r="AV269" i="37" s="1"/>
  <c r="AW147" i="37"/>
  <c r="AW140" i="37"/>
  <c r="AW146" i="37" s="1"/>
  <c r="AW148" i="37" s="1"/>
  <c r="AW14" i="37" s="1"/>
  <c r="AW269" i="37" s="1"/>
  <c r="AY136" i="37" l="1"/>
  <c r="S149" i="25"/>
  <c r="S151" i="25" s="1"/>
  <c r="AX138" i="37"/>
  <c r="AX140" i="37" s="1"/>
  <c r="AX146" i="37" s="1"/>
  <c r="AZ135" i="37"/>
  <c r="AZ136" i="37" s="1"/>
  <c r="AY138" i="37"/>
  <c r="AX147" i="37" l="1"/>
  <c r="AX148" i="37" s="1"/>
  <c r="AX14" i="37" s="1"/>
  <c r="AX269" i="37" s="1"/>
  <c r="AY140" i="37"/>
  <c r="AY146" i="37" s="1"/>
  <c r="AY147" i="37"/>
  <c r="BA135" i="37"/>
  <c r="AZ138" i="37"/>
  <c r="BA136" i="37" l="1"/>
  <c r="T138" i="25"/>
  <c r="BB135" i="37"/>
  <c r="BA138" i="37"/>
  <c r="AZ147" i="37"/>
  <c r="AZ140" i="37"/>
  <c r="AZ146" i="37" s="1"/>
  <c r="AZ148" i="37" s="1"/>
  <c r="AZ14" i="37" s="1"/>
  <c r="AZ269" i="37" s="1"/>
  <c r="AY148" i="37"/>
  <c r="AY14" i="37" s="1"/>
  <c r="AY269" i="37" s="1"/>
  <c r="BB136" i="37" l="1"/>
  <c r="H138" i="25"/>
  <c r="T139" i="25"/>
  <c r="T141" i="25" s="1"/>
  <c r="BA147" i="37"/>
  <c r="BA140" i="37"/>
  <c r="BA146" i="37" s="1"/>
  <c r="BC135" i="37"/>
  <c r="BC136" i="37" s="1"/>
  <c r="BB138" i="37"/>
  <c r="T143" i="25" l="1"/>
  <c r="T150" i="25"/>
  <c r="H141" i="25"/>
  <c r="BA148" i="37"/>
  <c r="BA14" i="37" s="1"/>
  <c r="BA269" i="37" s="1"/>
  <c r="BD135" i="37"/>
  <c r="BC138" i="37"/>
  <c r="BB147" i="37"/>
  <c r="BB140" i="37"/>
  <c r="BB146" i="37" s="1"/>
  <c r="BD136" i="37" l="1"/>
  <c r="U138" i="25"/>
  <c r="BB148" i="37"/>
  <c r="BB14" i="37" s="1"/>
  <c r="BB269" i="37" s="1"/>
  <c r="T149" i="25"/>
  <c r="T151" i="25" s="1"/>
  <c r="H143" i="25"/>
  <c r="BC147" i="37"/>
  <c r="BC140" i="37"/>
  <c r="BC146" i="37" s="1"/>
  <c r="BC148" i="37" s="1"/>
  <c r="BC14" i="37" s="1"/>
  <c r="BC269" i="37" s="1"/>
  <c r="BE135" i="37"/>
  <c r="BE136" i="37" s="1"/>
  <c r="BD138" i="37"/>
  <c r="U139" i="25" l="1"/>
  <c r="U141" i="25" s="1"/>
  <c r="BF135" i="37"/>
  <c r="BE138" i="37"/>
  <c r="BD140" i="37"/>
  <c r="BD146" i="37" s="1"/>
  <c r="BD147" i="37"/>
  <c r="BF136" i="37" l="1"/>
  <c r="U150" i="25"/>
  <c r="U143" i="25"/>
  <c r="U149" i="25" s="1"/>
  <c r="U151" i="25" s="1"/>
  <c r="BD148" i="37"/>
  <c r="BD14" i="37" s="1"/>
  <c r="BD269" i="37" s="1"/>
  <c r="BE147" i="37"/>
  <c r="BE140" i="37"/>
  <c r="BE146" i="37" s="1"/>
  <c r="BE148" i="37" s="1"/>
  <c r="BE14" i="37" s="1"/>
  <c r="BE269" i="37" s="1"/>
  <c r="BG135" i="37"/>
  <c r="BG136" i="37" s="1"/>
  <c r="BF138" i="37"/>
  <c r="BH135" i="37" l="1"/>
  <c r="BG138" i="37"/>
  <c r="BF140" i="37"/>
  <c r="BF146" i="37" s="1"/>
  <c r="BF147" i="37"/>
  <c r="BH136" i="37" l="1"/>
  <c r="V138" i="25"/>
  <c r="BF148" i="37"/>
  <c r="BF14" i="37" s="1"/>
  <c r="BF269" i="37" s="1"/>
  <c r="BG140" i="37"/>
  <c r="BG146" i="37" s="1"/>
  <c r="BG147" i="37"/>
  <c r="BI135" i="37"/>
  <c r="BI136" i="37" s="1"/>
  <c r="BH138" i="37"/>
  <c r="V139" i="25" l="1"/>
  <c r="V141" i="25" s="1"/>
  <c r="BJ135" i="37"/>
  <c r="BI138" i="37"/>
  <c r="BH147" i="37"/>
  <c r="BH140" i="37"/>
  <c r="BH146" i="37" s="1"/>
  <c r="BH148" i="37" s="1"/>
  <c r="BH14" i="37" s="1"/>
  <c r="BH269" i="37" s="1"/>
  <c r="BG148" i="37"/>
  <c r="BG14" i="37" s="1"/>
  <c r="BG269" i="37" s="1"/>
  <c r="BJ136" i="37" l="1"/>
  <c r="V143" i="25"/>
  <c r="V149" i="25" s="1"/>
  <c r="V150" i="25"/>
  <c r="BI140" i="37"/>
  <c r="BI146" i="37" s="1"/>
  <c r="BI147" i="37"/>
  <c r="BK135" i="37"/>
  <c r="BK136" i="37" s="1"/>
  <c r="BJ138" i="37"/>
  <c r="V151" i="25" l="1"/>
  <c r="V13" i="25" s="1"/>
  <c r="BL135" i="37"/>
  <c r="BK138" i="37"/>
  <c r="BJ140" i="37"/>
  <c r="BJ146" i="37" s="1"/>
  <c r="BJ148" i="37" s="1"/>
  <c r="BJ14" i="37" s="1"/>
  <c r="BJ269" i="37" s="1"/>
  <c r="BJ147" i="37"/>
  <c r="BI148" i="37"/>
  <c r="BI14" i="37" s="1"/>
  <c r="BI269" i="37" s="1"/>
  <c r="BL136" i="37" l="1"/>
  <c r="W138" i="25"/>
  <c r="BK147" i="37"/>
  <c r="BK140" i="37"/>
  <c r="BK146" i="37" s="1"/>
  <c r="BK148" i="37" s="1"/>
  <c r="BK14" i="37" s="1"/>
  <c r="BK269" i="37" s="1"/>
  <c r="BM135" i="37"/>
  <c r="BM136" i="37" s="1"/>
  <c r="BL138" i="37"/>
  <c r="W139" i="25" l="1"/>
  <c r="W141" i="25" s="1"/>
  <c r="BN135" i="37"/>
  <c r="BM138" i="37"/>
  <c r="BL147" i="37"/>
  <c r="BL140" i="37"/>
  <c r="BL146" i="37" s="1"/>
  <c r="BL148" i="37" s="1"/>
  <c r="BL14" i="37" s="1"/>
  <c r="BL269" i="37" s="1"/>
  <c r="BN136" i="37" l="1"/>
  <c r="W150" i="25"/>
  <c r="W143" i="25"/>
  <c r="W149" i="25" s="1"/>
  <c r="W151" i="25" s="1"/>
  <c r="W13" i="25" s="1"/>
  <c r="BM147" i="37"/>
  <c r="BM140" i="37"/>
  <c r="BM146" i="37" s="1"/>
  <c r="BM148" i="37" s="1"/>
  <c r="BM14" i="37" s="1"/>
  <c r="BM269" i="37" s="1"/>
  <c r="BO135" i="37"/>
  <c r="BO136" i="37" s="1"/>
  <c r="BN138" i="37"/>
  <c r="W270" i="25" l="1"/>
  <c r="BO138" i="37"/>
  <c r="BP135" i="37"/>
  <c r="BN140" i="37"/>
  <c r="BN146" i="37" s="1"/>
  <c r="BN147" i="37"/>
  <c r="BP136" i="37" l="1"/>
  <c r="X138" i="25"/>
  <c r="BN148" i="37"/>
  <c r="BN14" i="37" s="1"/>
  <c r="BN269" i="37" s="1"/>
  <c r="BP138" i="37"/>
  <c r="BQ135" i="37"/>
  <c r="BQ136" i="37" s="1"/>
  <c r="BO147" i="37"/>
  <c r="BO140" i="37"/>
  <c r="BO146" i="37" s="1"/>
  <c r="BO148" i="37" s="1"/>
  <c r="BO14" i="37" s="1"/>
  <c r="BO269" i="37" s="1"/>
  <c r="X139" i="25" l="1"/>
  <c r="X141" i="25" s="1"/>
  <c r="BQ138" i="37"/>
  <c r="BR135" i="37"/>
  <c r="BP147" i="37"/>
  <c r="BP140" i="37"/>
  <c r="BP146" i="37" s="1"/>
  <c r="BP148" i="37" s="1"/>
  <c r="BP14" i="37" s="1"/>
  <c r="BP269" i="37" s="1"/>
  <c r="BR136" i="37" l="1"/>
  <c r="X143" i="25"/>
  <c r="X149" i="25" s="1"/>
  <c r="X150" i="25"/>
  <c r="BR138" i="37"/>
  <c r="BS135" i="37"/>
  <c r="BS136" i="37" s="1"/>
  <c r="BQ147" i="37"/>
  <c r="BQ140" i="37"/>
  <c r="BQ146" i="37" s="1"/>
  <c r="BQ148" i="37" s="1"/>
  <c r="BQ14" i="37" s="1"/>
  <c r="BQ269" i="37" s="1"/>
  <c r="X151" i="25" l="1"/>
  <c r="X13" i="25" s="1"/>
  <c r="X270" i="25"/>
  <c r="BS138" i="37"/>
  <c r="BT135" i="37"/>
  <c r="BR147" i="37"/>
  <c r="BR140" i="37"/>
  <c r="BR146" i="37" s="1"/>
  <c r="BR148" i="37" s="1"/>
  <c r="BR14" i="37" s="1"/>
  <c r="BR269" i="37" s="1"/>
  <c r="BT136" i="37" l="1"/>
  <c r="Y138" i="25"/>
  <c r="Y139" i="25" s="1"/>
  <c r="Y141" i="25" s="1"/>
  <c r="BT138" i="37"/>
  <c r="BU135" i="37"/>
  <c r="BU136" i="37" s="1"/>
  <c r="BS147" i="37"/>
  <c r="BS140" i="37"/>
  <c r="BS146" i="37" s="1"/>
  <c r="BS148" i="37" s="1"/>
  <c r="BS14" i="37" s="1"/>
  <c r="BS269" i="37" s="1"/>
  <c r="Y150" i="25" l="1"/>
  <c r="Y143" i="25"/>
  <c r="Y149" i="25" s="1"/>
  <c r="Y151" i="25" s="1"/>
  <c r="Y13" i="25" s="1"/>
  <c r="BU138" i="37"/>
  <c r="BV135" i="37"/>
  <c r="BT147" i="37"/>
  <c r="BT140" i="37"/>
  <c r="BT146" i="37" s="1"/>
  <c r="BT148" i="37" s="1"/>
  <c r="BT14" i="37" s="1"/>
  <c r="BT269" i="37" s="1"/>
  <c r="BV136" i="37" l="1"/>
  <c r="Y270" i="25"/>
  <c r="BV138" i="37"/>
  <c r="BW135" i="37"/>
  <c r="BW136" i="37" s="1"/>
  <c r="BU147" i="37"/>
  <c r="BU140" i="37"/>
  <c r="BU146" i="37" s="1"/>
  <c r="BU148" i="37" s="1"/>
  <c r="BU14" i="37" s="1"/>
  <c r="BU269" i="37" s="1"/>
  <c r="BX135" i="37" l="1"/>
  <c r="BW138" i="37"/>
  <c r="BV147" i="37"/>
  <c r="BV140" i="37"/>
  <c r="BV146" i="37" s="1"/>
  <c r="BV148" i="37" s="1"/>
  <c r="BV14" i="37" s="1"/>
  <c r="BV269" i="37" s="1"/>
  <c r="BX136" i="37" l="1"/>
  <c r="Z138" i="25"/>
  <c r="Z139" i="25" s="1"/>
  <c r="Z141" i="25" s="1"/>
  <c r="BW147" i="37"/>
  <c r="BW140" i="37"/>
  <c r="BW146" i="37" s="1"/>
  <c r="BW148" i="37" s="1"/>
  <c r="BW14" i="37" s="1"/>
  <c r="BW269" i="37" s="1"/>
  <c r="BX138" i="37"/>
  <c r="BY135" i="37"/>
  <c r="BY136" i="37" s="1"/>
  <c r="Z150" i="25" l="1"/>
  <c r="Z143" i="25"/>
  <c r="Z149" i="25" s="1"/>
  <c r="Z151" i="25" s="1"/>
  <c r="Z13" i="25" s="1"/>
  <c r="Z270" i="25" s="1"/>
  <c r="BX140" i="37"/>
  <c r="BX146" i="37" s="1"/>
  <c r="BX147" i="37"/>
  <c r="BY138" i="37"/>
  <c r="BZ135" i="37"/>
  <c r="BZ136" i="37" l="1"/>
  <c r="BX148" i="37"/>
  <c r="BX14" i="37" s="1"/>
  <c r="BX269" i="37" s="1"/>
  <c r="BY140" i="37"/>
  <c r="BY146" i="37" s="1"/>
  <c r="BY147" i="37"/>
  <c r="CA135" i="37"/>
  <c r="CA136" i="37" s="1"/>
  <c r="BZ138" i="37"/>
  <c r="CB135" i="37" l="1"/>
  <c r="CA138" i="37"/>
  <c r="BZ147" i="37"/>
  <c r="BZ140" i="37"/>
  <c r="BZ146" i="37" s="1"/>
  <c r="BZ148" i="37" s="1"/>
  <c r="BZ14" i="37" s="1"/>
  <c r="BZ269" i="37" s="1"/>
  <c r="BY148" i="37"/>
  <c r="BY14" i="37" s="1"/>
  <c r="BY269" i="37" s="1"/>
  <c r="CB136" i="37" l="1"/>
  <c r="AA138" i="25"/>
  <c r="AA139" i="25" s="1"/>
  <c r="AA141" i="25" s="1"/>
  <c r="CA147" i="37"/>
  <c r="CA140" i="37"/>
  <c r="CA146" i="37" s="1"/>
  <c r="CA148" i="37" s="1"/>
  <c r="CA14" i="37" s="1"/>
  <c r="CA269" i="37" s="1"/>
  <c r="CB138" i="37"/>
  <c r="CC135" i="37"/>
  <c r="CC136" i="37" s="1"/>
  <c r="AA143" i="25" l="1"/>
  <c r="AA149" i="25" s="1"/>
  <c r="AA151" i="25" s="1"/>
  <c r="AA13" i="25" s="1"/>
  <c r="AA270" i="25" s="1"/>
  <c r="AA150" i="25"/>
  <c r="CD135" i="37"/>
  <c r="CC138" i="37"/>
  <c r="CB147" i="37"/>
  <c r="CB140" i="37"/>
  <c r="CB146" i="37" s="1"/>
  <c r="CB148" i="37" s="1"/>
  <c r="CB14" i="37" s="1"/>
  <c r="CB269" i="37" s="1"/>
  <c r="CD136" i="37" l="1"/>
  <c r="CC147" i="37"/>
  <c r="CC140" i="37"/>
  <c r="CC146" i="37" s="1"/>
  <c r="CC148" i="37" s="1"/>
  <c r="CC14" i="37" s="1"/>
  <c r="CC269" i="37" s="1"/>
  <c r="CE135" i="37"/>
  <c r="CE136" i="37" s="1"/>
  <c r="CD138" i="37"/>
  <c r="CE138" i="37" l="1"/>
  <c r="CF135" i="37"/>
  <c r="CD147" i="37"/>
  <c r="CD140" i="37"/>
  <c r="CD146" i="37" s="1"/>
  <c r="CD148" i="37" s="1"/>
  <c r="CD14" i="37" s="1"/>
  <c r="CD269" i="37" s="1"/>
  <c r="CF136" i="37" l="1"/>
  <c r="CF138" i="37" s="1"/>
  <c r="AB138" i="25"/>
  <c r="AB139" i="25" s="1"/>
  <c r="AB141" i="25" s="1"/>
  <c r="CG135" i="37"/>
  <c r="CG136" i="37" s="1"/>
  <c r="CE140" i="37"/>
  <c r="CE146" i="37" s="1"/>
  <c r="CE147" i="37"/>
  <c r="AB143" i="25" l="1"/>
  <c r="AB149" i="25" s="1"/>
  <c r="AB150" i="25"/>
  <c r="CE148" i="37"/>
  <c r="CE14" i="37" s="1"/>
  <c r="CE269" i="37" s="1"/>
  <c r="CH135" i="37"/>
  <c r="CG138" i="37"/>
  <c r="CF147" i="37"/>
  <c r="CF140" i="37"/>
  <c r="CF146" i="37" s="1"/>
  <c r="CF148" i="37" s="1"/>
  <c r="CF14" i="37" s="1"/>
  <c r="CF269" i="37" s="1"/>
  <c r="AB151" i="25" l="1"/>
  <c r="AB13" i="25" s="1"/>
  <c r="AB270" i="25" s="1"/>
  <c r="CH136" i="37"/>
  <c r="CG140" i="37"/>
  <c r="CG146" i="37" s="1"/>
  <c r="CG147" i="37"/>
  <c r="CH138" i="37"/>
  <c r="CI135" i="37"/>
  <c r="CI136" i="37" s="1"/>
  <c r="CI138" i="37" l="1"/>
  <c r="CJ135" i="37"/>
  <c r="CH140" i="37"/>
  <c r="CH146" i="37" s="1"/>
  <c r="CH147" i="37"/>
  <c r="CG148" i="37"/>
  <c r="CG14" i="37" s="1"/>
  <c r="CG269" i="37" s="1"/>
  <c r="CJ136" i="37" l="1"/>
  <c r="AC138" i="25"/>
  <c r="AC139" i="25" s="1"/>
  <c r="AC141" i="25" s="1"/>
  <c r="CH148" i="37"/>
  <c r="CH14" i="37" s="1"/>
  <c r="CH269" i="37" s="1"/>
  <c r="F722" i="20" s="1"/>
  <c r="J722" i="20" s="1"/>
  <c r="CJ138" i="37"/>
  <c r="CK135" i="37"/>
  <c r="CK136" i="37" s="1"/>
  <c r="CI147" i="37"/>
  <c r="CI140" i="37"/>
  <c r="CI146" i="37" s="1"/>
  <c r="CI148" i="37" l="1"/>
  <c r="CI14" i="37" s="1"/>
  <c r="CI269" i="37" s="1"/>
  <c r="F723" i="20" s="1"/>
  <c r="J723" i="20" s="1"/>
  <c r="AC150" i="25"/>
  <c r="AC143" i="25"/>
  <c r="AC149" i="25" s="1"/>
  <c r="CK138" i="37"/>
  <c r="CL135" i="37"/>
  <c r="CJ147" i="37"/>
  <c r="CJ140" i="37"/>
  <c r="AC151" i="25" l="1"/>
  <c r="AC13" i="25" s="1"/>
  <c r="AC270" i="25" s="1"/>
  <c r="D677" i="20" s="1"/>
  <c r="D682" i="20" s="1"/>
  <c r="CJ146" i="37"/>
  <c r="CJ148" i="37" s="1"/>
  <c r="CJ14" i="37" s="1"/>
  <c r="CL136" i="37"/>
  <c r="CL138" i="37"/>
  <c r="CM135" i="37"/>
  <c r="CM136" i="37" s="1"/>
  <c r="CK147" i="37"/>
  <c r="CK140" i="37"/>
  <c r="CK146" i="37" s="1"/>
  <c r="CJ269" i="37" l="1"/>
  <c r="F724" i="20" s="1"/>
  <c r="J724" i="20" s="1"/>
  <c r="T646" i="20"/>
  <c r="CK148" i="37"/>
  <c r="CK14" i="37" s="1"/>
  <c r="AC321" i="25"/>
  <c r="CN135" i="37"/>
  <c r="CM138" i="37"/>
  <c r="CL147" i="37"/>
  <c r="CL140" i="37"/>
  <c r="CL146" i="37" s="1"/>
  <c r="CK269" i="37" l="1"/>
  <c r="F725" i="20" s="1"/>
  <c r="J725" i="20" s="1"/>
  <c r="U646" i="20"/>
  <c r="CL148" i="37"/>
  <c r="CL14" i="37" s="1"/>
  <c r="CN136" i="37"/>
  <c r="AD138" i="25"/>
  <c r="AD139" i="25" s="1"/>
  <c r="AD141" i="25" s="1"/>
  <c r="CN138" i="37"/>
  <c r="CO135" i="37"/>
  <c r="CO136" i="37" s="1"/>
  <c r="CM140" i="37"/>
  <c r="CM146" i="37" s="1"/>
  <c r="CM147" i="37"/>
  <c r="CL269" i="37" l="1"/>
  <c r="F726" i="20" s="1"/>
  <c r="J726" i="20" s="1"/>
  <c r="V646" i="20"/>
  <c r="AD143" i="25"/>
  <c r="AD149" i="25" s="1"/>
  <c r="AD150" i="25"/>
  <c r="CM148" i="37"/>
  <c r="CM14" i="37" s="1"/>
  <c r="CO138" i="37"/>
  <c r="CP135" i="37"/>
  <c r="CN147" i="37"/>
  <c r="CN140" i="37"/>
  <c r="CN146" i="37" s="1"/>
  <c r="CM269" i="37" l="1"/>
  <c r="F727" i="20" s="1"/>
  <c r="J727" i="20" s="1"/>
  <c r="W646" i="20"/>
  <c r="AD151" i="25"/>
  <c r="AD13" i="25" s="1"/>
  <c r="AD270" i="25" s="1"/>
  <c r="E677" i="20" s="1"/>
  <c r="E682" i="20" s="1"/>
  <c r="CP136" i="37"/>
  <c r="CN148" i="37"/>
  <c r="CN14" i="37" s="1"/>
  <c r="CP138" i="37"/>
  <c r="CQ135" i="37"/>
  <c r="CQ136" i="37" s="1"/>
  <c r="CO147" i="37"/>
  <c r="CO140" i="37"/>
  <c r="CO146" i="37" s="1"/>
  <c r="CN269" i="37" l="1"/>
  <c r="F728" i="20" s="1"/>
  <c r="J728" i="20" s="1"/>
  <c r="X646" i="20"/>
  <c r="CO148" i="37"/>
  <c r="CO14" i="37" s="1"/>
  <c r="AD321" i="25" s="1"/>
  <c r="CQ138" i="37"/>
  <c r="CR135" i="37"/>
  <c r="CP147" i="37"/>
  <c r="CP140" i="37"/>
  <c r="CP146" i="37" s="1"/>
  <c r="CO269" i="37" l="1"/>
  <c r="F729" i="20" s="1"/>
  <c r="J729" i="20" s="1"/>
  <c r="Y646" i="20"/>
  <c r="CP148" i="37"/>
  <c r="CP14" i="37" s="1"/>
  <c r="CR136" i="37"/>
  <c r="AE138" i="25"/>
  <c r="AE139" i="25" s="1"/>
  <c r="AE141" i="25" s="1"/>
  <c r="CR138" i="37"/>
  <c r="CS135" i="37"/>
  <c r="CS136" i="37" s="1"/>
  <c r="CQ147" i="37"/>
  <c r="CQ140" i="37"/>
  <c r="CQ146" i="37" s="1"/>
  <c r="CQ148" i="37" l="1"/>
  <c r="CQ14" i="37" s="1"/>
  <c r="CQ269" i="37" s="1"/>
  <c r="F731" i="20" s="1"/>
  <c r="J731" i="20" s="1"/>
  <c r="CP269" i="37"/>
  <c r="F730" i="20" s="1"/>
  <c r="J730" i="20" s="1"/>
  <c r="Z646" i="20"/>
  <c r="Z625" i="20" s="1"/>
  <c r="AE143" i="25"/>
  <c r="AE149" i="25" s="1"/>
  <c r="AE150" i="25"/>
  <c r="CS138" i="37"/>
  <c r="CT135" i="37"/>
  <c r="CR140" i="37"/>
  <c r="CR146" i="37" s="1"/>
  <c r="CR147" i="37"/>
  <c r="AA646" i="20" l="1"/>
  <c r="AA625" i="20" s="1"/>
  <c r="AE151" i="25"/>
  <c r="AE13" i="25" s="1"/>
  <c r="AE270" i="25" s="1"/>
  <c r="F677" i="20" s="1"/>
  <c r="F682" i="20" s="1"/>
  <c r="CT136" i="37"/>
  <c r="CR148" i="37"/>
  <c r="CR14" i="37" s="1"/>
  <c r="CT138" i="37"/>
  <c r="CU135" i="37"/>
  <c r="CU136" i="37" s="1"/>
  <c r="CS147" i="37"/>
  <c r="CS140" i="37"/>
  <c r="CS146" i="37" s="1"/>
  <c r="CR269" i="37" l="1"/>
  <c r="F732" i="20" s="1"/>
  <c r="J732" i="20" s="1"/>
  <c r="AB646" i="20"/>
  <c r="AB625" i="20" s="1"/>
  <c r="CS148" i="37"/>
  <c r="CS14" i="37" s="1"/>
  <c r="AE321" i="25"/>
  <c r="CU138" i="37"/>
  <c r="CV135" i="37"/>
  <c r="CT140" i="37"/>
  <c r="CT146" i="37" s="1"/>
  <c r="CT147" i="37"/>
  <c r="CS269" i="37" l="1"/>
  <c r="F733" i="20" s="1"/>
  <c r="J733" i="20" s="1"/>
  <c r="AC646" i="20"/>
  <c r="AC625" i="20" s="1"/>
  <c r="CV136" i="37"/>
  <c r="AF138" i="25"/>
  <c r="AF139" i="25" s="1"/>
  <c r="AF141" i="25" s="1"/>
  <c r="CT148" i="37"/>
  <c r="CT14" i="37" s="1"/>
  <c r="CV138" i="37"/>
  <c r="CW135" i="37"/>
  <c r="CW136" i="37" s="1"/>
  <c r="CU147" i="37"/>
  <c r="CU140" i="37"/>
  <c r="CU146" i="37" s="1"/>
  <c r="CT269" i="37" l="1"/>
  <c r="F734" i="20" s="1"/>
  <c r="J734" i="20" s="1"/>
  <c r="AD646" i="20"/>
  <c r="T632" i="20" s="1"/>
  <c r="CU148" i="37"/>
  <c r="CU14" i="37" s="1"/>
  <c r="AF150" i="25"/>
  <c r="AF143" i="25"/>
  <c r="AF149" i="25" s="1"/>
  <c r="CW138" i="37"/>
  <c r="CX135" i="37"/>
  <c r="CV147" i="37"/>
  <c r="CV140" i="37"/>
  <c r="CV146" i="37" s="1"/>
  <c r="CU269" i="37" l="1"/>
  <c r="F735" i="20" s="1"/>
  <c r="J735" i="20" s="1"/>
  <c r="AE646" i="20"/>
  <c r="U632" i="20" s="1"/>
  <c r="CV148" i="37"/>
  <c r="CV14" i="37" s="1"/>
  <c r="AF151" i="25"/>
  <c r="AF13" i="25" s="1"/>
  <c r="AF270" i="25" s="1"/>
  <c r="G677" i="20" s="1"/>
  <c r="G682" i="20" s="1"/>
  <c r="CX136" i="37"/>
  <c r="CX138" i="37"/>
  <c r="CY135" i="37"/>
  <c r="CY136" i="37" s="1"/>
  <c r="CW147" i="37"/>
  <c r="CW140" i="37"/>
  <c r="CW146" i="37" s="1"/>
  <c r="CW148" i="37" l="1"/>
  <c r="CW14" i="37" s="1"/>
  <c r="AG646" i="20" s="1"/>
  <c r="W632" i="20" s="1"/>
  <c r="CV269" i="37"/>
  <c r="F736" i="20" s="1"/>
  <c r="J736" i="20" s="1"/>
  <c r="AF646" i="20"/>
  <c r="V632" i="20" s="1"/>
  <c r="AF321" i="25"/>
  <c r="CY138" i="37"/>
  <c r="CZ135" i="37"/>
  <c r="CX147" i="37"/>
  <c r="CX140" i="37"/>
  <c r="CX146" i="37" s="1"/>
  <c r="CW269" i="37" l="1"/>
  <c r="F737" i="20" s="1"/>
  <c r="J737" i="20" s="1"/>
  <c r="CX148" i="37"/>
  <c r="CX14" i="37" s="1"/>
  <c r="CZ136" i="37"/>
  <c r="AG138" i="25"/>
  <c r="AG139" i="25" s="1"/>
  <c r="AG141" i="25" s="1"/>
  <c r="CZ138" i="37"/>
  <c r="DA135" i="37"/>
  <c r="DA136" i="37" s="1"/>
  <c r="CY147" i="37"/>
  <c r="CY140" i="37"/>
  <c r="CY146" i="37" s="1"/>
  <c r="CX269" i="37" l="1"/>
  <c r="F738" i="20" s="1"/>
  <c r="J738" i="20" s="1"/>
  <c r="AH646" i="20"/>
  <c r="X632" i="20" s="1"/>
  <c r="CY148" i="37"/>
  <c r="CY14" i="37" s="1"/>
  <c r="AG150" i="25"/>
  <c r="AG143" i="25"/>
  <c r="AG149" i="25" s="1"/>
  <c r="DA138" i="37"/>
  <c r="DB135" i="37"/>
  <c r="CZ147" i="37"/>
  <c r="CZ140" i="37"/>
  <c r="CZ146" i="37" s="1"/>
  <c r="CZ148" i="37" l="1"/>
  <c r="CZ14" i="37" s="1"/>
  <c r="CZ269" i="37" s="1"/>
  <c r="F740" i="20" s="1"/>
  <c r="J740" i="20" s="1"/>
  <c r="CY269" i="37"/>
  <c r="F739" i="20" s="1"/>
  <c r="J739" i="20" s="1"/>
  <c r="AI646" i="20"/>
  <c r="Y632" i="20" s="1"/>
  <c r="AG151" i="25"/>
  <c r="AG13" i="25" s="1"/>
  <c r="AG270" i="25" s="1"/>
  <c r="H677" i="20" s="1"/>
  <c r="H682" i="20" s="1"/>
  <c r="DB136" i="37"/>
  <c r="DB138" i="37"/>
  <c r="DC135" i="37"/>
  <c r="DC136" i="37" s="1"/>
  <c r="DA147" i="37"/>
  <c r="DA140" i="37"/>
  <c r="DA146" i="37" s="1"/>
  <c r="AJ646" i="20" l="1"/>
  <c r="Z632" i="20" s="1"/>
  <c r="DA148" i="37"/>
  <c r="DA14" i="37" s="1"/>
  <c r="DC138" i="37"/>
  <c r="DD135" i="37"/>
  <c r="DB147" i="37"/>
  <c r="DB140" i="37"/>
  <c r="DB146" i="37" s="1"/>
  <c r="DB148" i="37" l="1"/>
  <c r="DB14" i="37" s="1"/>
  <c r="DB269" i="37" s="1"/>
  <c r="F742" i="20" s="1"/>
  <c r="J742" i="20" s="1"/>
  <c r="DA269" i="37"/>
  <c r="F741" i="20" s="1"/>
  <c r="J741" i="20" s="1"/>
  <c r="AK646" i="20"/>
  <c r="AA632" i="20" s="1"/>
  <c r="AG321" i="25"/>
  <c r="DD136" i="37"/>
  <c r="DD138" i="37" s="1"/>
  <c r="AH138" i="25"/>
  <c r="AH139" i="25" s="1"/>
  <c r="AH141" i="25" s="1"/>
  <c r="DE135" i="37"/>
  <c r="DE136" i="37" s="1"/>
  <c r="DC147" i="37"/>
  <c r="DC140" i="37"/>
  <c r="DC146" i="37" s="1"/>
  <c r="AL646" i="20" l="1"/>
  <c r="AB632" i="20" s="1"/>
  <c r="DC148" i="37"/>
  <c r="DC14" i="37" s="1"/>
  <c r="AH150" i="25"/>
  <c r="AH143" i="25"/>
  <c r="AH149" i="25" s="1"/>
  <c r="DF135" i="37"/>
  <c r="DE138" i="37"/>
  <c r="DD147" i="37"/>
  <c r="DD140" i="37"/>
  <c r="DD146" i="37" s="1"/>
  <c r="DC269" i="37" l="1"/>
  <c r="F743" i="20" s="1"/>
  <c r="J743" i="20" s="1"/>
  <c r="AM646" i="20"/>
  <c r="AC632" i="20" s="1"/>
  <c r="DD148" i="37"/>
  <c r="DD14" i="37" s="1"/>
  <c r="AH151" i="25"/>
  <c r="AH13" i="25" s="1"/>
  <c r="AH270" i="25" s="1"/>
  <c r="I677" i="20" s="1"/>
  <c r="I682" i="20" s="1"/>
  <c r="DF136" i="37"/>
  <c r="DE147" i="37"/>
  <c r="DE140" i="37"/>
  <c r="DE146" i="37" s="1"/>
  <c r="DG135" i="37"/>
  <c r="DG136" i="37" s="1"/>
  <c r="DF138" i="37"/>
  <c r="DD269" i="37" l="1"/>
  <c r="F744" i="20" s="1"/>
  <c r="J744" i="20" s="1"/>
  <c r="AN646" i="20"/>
  <c r="T639" i="20" s="1"/>
  <c r="DE148" i="37"/>
  <c r="DE14" i="37" s="1"/>
  <c r="AO646" i="20" s="1"/>
  <c r="U639" i="20" s="1"/>
  <c r="DF147" i="37"/>
  <c r="DF140" i="37"/>
  <c r="DF146" i="37" s="1"/>
  <c r="DG138" i="37"/>
  <c r="DH135" i="37"/>
  <c r="DF148" i="37" l="1"/>
  <c r="DF14" i="37" s="1"/>
  <c r="DH136" i="37"/>
  <c r="AI138" i="25"/>
  <c r="AI139" i="25" s="1"/>
  <c r="AI141" i="25" s="1"/>
  <c r="DE269" i="37"/>
  <c r="F745" i="20" s="1"/>
  <c r="J745" i="20" s="1"/>
  <c r="AH321" i="25"/>
  <c r="DH138" i="37"/>
  <c r="DI135" i="37"/>
  <c r="DI136" i="37" s="1"/>
  <c r="DG147" i="37"/>
  <c r="DG140" i="37"/>
  <c r="DG146" i="37" s="1"/>
  <c r="DF269" i="37" l="1"/>
  <c r="F746" i="20" s="1"/>
  <c r="J746" i="20" s="1"/>
  <c r="AP646" i="20"/>
  <c r="V639" i="20" s="1"/>
  <c r="DG148" i="37"/>
  <c r="DG14" i="37" s="1"/>
  <c r="AI150" i="25"/>
  <c r="AI143" i="25"/>
  <c r="AI149" i="25" s="1"/>
  <c r="DI138" i="37"/>
  <c r="DJ135" i="37"/>
  <c r="DH140" i="37"/>
  <c r="DH146" i="37" s="1"/>
  <c r="DH147" i="37"/>
  <c r="DG269" i="37" l="1"/>
  <c r="F747" i="20" s="1"/>
  <c r="J747" i="20" s="1"/>
  <c r="AQ646" i="20"/>
  <c r="W639" i="20" s="1"/>
  <c r="AI151" i="25"/>
  <c r="AI13" i="25" s="1"/>
  <c r="AI270" i="25" s="1"/>
  <c r="J677" i="20" s="1"/>
  <c r="J682" i="20" s="1"/>
  <c r="DJ136" i="37"/>
  <c r="DH148" i="37"/>
  <c r="DH14" i="37" s="1"/>
  <c r="DJ138" i="37"/>
  <c r="DK135" i="37"/>
  <c r="DK136" i="37" s="1"/>
  <c r="DI147" i="37"/>
  <c r="DI140" i="37"/>
  <c r="DI146" i="37" s="1"/>
  <c r="DI148" i="37" s="1"/>
  <c r="DI14" i="37" s="1"/>
  <c r="AS646" i="20" s="1"/>
  <c r="Y639" i="20" s="1"/>
  <c r="DH269" i="37" l="1"/>
  <c r="F748" i="20" s="1"/>
  <c r="J748" i="20" s="1"/>
  <c r="AR646" i="20"/>
  <c r="X639" i="20" s="1"/>
  <c r="DI269" i="37"/>
  <c r="F749" i="20" s="1"/>
  <c r="J749" i="20" s="1"/>
  <c r="AI321" i="25"/>
  <c r="DK138" i="37"/>
  <c r="DL135" i="37"/>
  <c r="DJ147" i="37"/>
  <c r="DJ140" i="37"/>
  <c r="DJ146" i="37" s="1"/>
  <c r="DJ148" i="37" l="1"/>
  <c r="DJ14" i="37" s="1"/>
  <c r="DL136" i="37"/>
  <c r="AJ138" i="25"/>
  <c r="AJ139" i="25" s="1"/>
  <c r="AJ141" i="25" s="1"/>
  <c r="DL138" i="37"/>
  <c r="DM135" i="37"/>
  <c r="DM136" i="37" s="1"/>
  <c r="DK147" i="37"/>
  <c r="DK140" i="37"/>
  <c r="DK146" i="37" s="1"/>
  <c r="DK148" i="37" l="1"/>
  <c r="DK14" i="37" s="1"/>
  <c r="DK269" i="37" s="1"/>
  <c r="F751" i="20" s="1"/>
  <c r="J751" i="20" s="1"/>
  <c r="DJ269" i="37"/>
  <c r="F750" i="20" s="1"/>
  <c r="J750" i="20" s="1"/>
  <c r="AT646" i="20"/>
  <c r="Z639" i="20" s="1"/>
  <c r="AJ143" i="25"/>
  <c r="AJ149" i="25" s="1"/>
  <c r="AJ150" i="25"/>
  <c r="DM138" i="37"/>
  <c r="DN135" i="37"/>
  <c r="DL147" i="37"/>
  <c r="DL140" i="37"/>
  <c r="DL146" i="37" s="1"/>
  <c r="AU646" i="20" l="1"/>
  <c r="AA639" i="20" s="1"/>
  <c r="DL148" i="37"/>
  <c r="DL14" i="37" s="1"/>
  <c r="AV646" i="20" s="1"/>
  <c r="AB639" i="20" s="1"/>
  <c r="AJ151" i="25"/>
  <c r="AJ13" i="25" s="1"/>
  <c r="AJ270" i="25" s="1"/>
  <c r="K677" i="20" s="1"/>
  <c r="DN136" i="37"/>
  <c r="DN138" i="37"/>
  <c r="DO135" i="37"/>
  <c r="DO136" i="37" s="1"/>
  <c r="DM147" i="37"/>
  <c r="DM140" i="37"/>
  <c r="DM146" i="37" s="1"/>
  <c r="DM148" i="37" l="1"/>
  <c r="DM14" i="37" s="1"/>
  <c r="DM269" i="37" s="1"/>
  <c r="DL269" i="37"/>
  <c r="F752" i="20" s="1"/>
  <c r="J752" i="20" s="1"/>
  <c r="AJ321" i="25"/>
  <c r="DO138" i="37"/>
  <c r="DP135" i="37"/>
  <c r="DN140" i="37"/>
  <c r="DN146" i="37" s="1"/>
  <c r="DN147" i="37"/>
  <c r="DP136" i="37" l="1"/>
  <c r="AK138" i="25"/>
  <c r="AK139" i="25" s="1"/>
  <c r="AK141" i="25" s="1"/>
  <c r="DN148" i="37"/>
  <c r="DN14" i="37" s="1"/>
  <c r="DP138" i="37"/>
  <c r="DQ135" i="37"/>
  <c r="DQ136" i="37" s="1"/>
  <c r="DO147" i="37"/>
  <c r="DO140" i="37"/>
  <c r="DO146" i="37" s="1"/>
  <c r="DO148" i="37" s="1"/>
  <c r="DO14" i="37" s="1"/>
  <c r="DN269" i="37" l="1"/>
  <c r="DO269" i="37"/>
  <c r="AK143" i="25"/>
  <c r="AK149" i="25" s="1"/>
  <c r="AK150" i="25"/>
  <c r="DR135" i="37"/>
  <c r="DQ138" i="37"/>
  <c r="DP147" i="37"/>
  <c r="DP140" i="37"/>
  <c r="DP146" i="37" s="1"/>
  <c r="DP148" i="37" l="1"/>
  <c r="DP14" i="37" s="1"/>
  <c r="AK151" i="25"/>
  <c r="AK13" i="25" s="1"/>
  <c r="AK270" i="25" s="1"/>
  <c r="DR136" i="37"/>
  <c r="DQ147" i="37"/>
  <c r="DQ140" i="37"/>
  <c r="DQ146" i="37" s="1"/>
  <c r="DR138" i="37"/>
  <c r="DS135" i="37"/>
  <c r="DS136" i="37" s="1"/>
  <c r="DP269" i="37" l="1"/>
  <c r="DQ148" i="37"/>
  <c r="DQ14" i="37" s="1"/>
  <c r="DS138" i="37"/>
  <c r="DT135" i="37"/>
  <c r="DR147" i="37"/>
  <c r="DR140" i="37"/>
  <c r="DR146" i="37" s="1"/>
  <c r="DR148" i="37" l="1"/>
  <c r="DR14" i="37" s="1"/>
  <c r="DT136" i="37"/>
  <c r="AL138" i="25"/>
  <c r="AL139" i="25" s="1"/>
  <c r="AL141" i="25" s="1"/>
  <c r="DQ269" i="37"/>
  <c r="AK321" i="25"/>
  <c r="DT138" i="37"/>
  <c r="DU135" i="37"/>
  <c r="DU136" i="37" s="1"/>
  <c r="DS147" i="37"/>
  <c r="DS140" i="37"/>
  <c r="DS146" i="37" s="1"/>
  <c r="DR269" i="37" l="1"/>
  <c r="DS148" i="37"/>
  <c r="DS14" i="37" s="1"/>
  <c r="DS269" i="37" s="1"/>
  <c r="AL150" i="25"/>
  <c r="AL143" i="25"/>
  <c r="AL149" i="25" s="1"/>
  <c r="DV135" i="37"/>
  <c r="DU138" i="37"/>
  <c r="DT147" i="37"/>
  <c r="DT140" i="37"/>
  <c r="DT146" i="37" s="1"/>
  <c r="DT148" i="37" l="1"/>
  <c r="DT14" i="37" s="1"/>
  <c r="DT269" i="37" s="1"/>
  <c r="AL151" i="25"/>
  <c r="AL13" i="25" s="1"/>
  <c r="AL270" i="25" s="1"/>
  <c r="DV136" i="37"/>
  <c r="DU147" i="37"/>
  <c r="DU140" i="37"/>
  <c r="DU146" i="37" s="1"/>
  <c r="DV138" i="37"/>
  <c r="DW135" i="37"/>
  <c r="DW136" i="37" s="1"/>
  <c r="DU148" i="37" l="1"/>
  <c r="DU14" i="37" s="1"/>
  <c r="DV140" i="37"/>
  <c r="DV146" i="37" s="1"/>
  <c r="DV147" i="37"/>
  <c r="DW138" i="37"/>
  <c r="DX135" i="37"/>
  <c r="DX136" i="37" l="1"/>
  <c r="AM138" i="25"/>
  <c r="AM139" i="25" s="1"/>
  <c r="AM141" i="25" s="1"/>
  <c r="DU269" i="37"/>
  <c r="AL321" i="25"/>
  <c r="DV148" i="37"/>
  <c r="DV14" i="37" s="1"/>
  <c r="DV269" i="37" s="1"/>
  <c r="DW147" i="37"/>
  <c r="DW140" i="37"/>
  <c r="DW146" i="37" s="1"/>
  <c r="DX138" i="37"/>
  <c r="DY135" i="37"/>
  <c r="DY136" i="37" s="1"/>
  <c r="DW148" i="37" l="1"/>
  <c r="DW14" i="37" s="1"/>
  <c r="DW269" i="37" s="1"/>
  <c r="AM143" i="25"/>
  <c r="AM149" i="25" s="1"/>
  <c r="AM150" i="25"/>
  <c r="DY138" i="37"/>
  <c r="DZ135" i="37"/>
  <c r="DX140" i="37"/>
  <c r="DX146" i="37" s="1"/>
  <c r="DX147" i="37"/>
  <c r="AM151" i="25" l="1"/>
  <c r="AM13" i="25" s="1"/>
  <c r="AM270" i="25" s="1"/>
  <c r="DZ136" i="37"/>
  <c r="DX148" i="37"/>
  <c r="DX14" i="37" s="1"/>
  <c r="DX269" i="37" s="1"/>
  <c r="DZ138" i="37"/>
  <c r="EA135" i="37"/>
  <c r="EA136" i="37" s="1"/>
  <c r="DY147" i="37"/>
  <c r="DY140" i="37"/>
  <c r="DY146" i="37" s="1"/>
  <c r="DY148" i="37" l="1"/>
  <c r="DY14" i="37" s="1"/>
  <c r="DY269" i="37" s="1"/>
  <c r="AM321" i="25"/>
  <c r="EA138" i="37"/>
  <c r="EB135" i="37"/>
  <c r="DZ147" i="37"/>
  <c r="DZ140" i="37"/>
  <c r="DZ146" i="37" s="1"/>
  <c r="DZ148" i="37" l="1"/>
  <c r="DZ14" i="37" s="1"/>
  <c r="DZ269" i="37" s="1"/>
  <c r="EB136" i="37"/>
  <c r="EB138" i="37" s="1"/>
  <c r="AN138" i="25"/>
  <c r="AN139" i="25" s="1"/>
  <c r="AN141" i="25" s="1"/>
  <c r="EC135" i="37"/>
  <c r="EC136" i="37" s="1"/>
  <c r="EA147" i="37"/>
  <c r="EA140" i="37"/>
  <c r="EA146" i="37" s="1"/>
  <c r="EA148" i="37" s="1"/>
  <c r="EA14" i="37" s="1"/>
  <c r="EA269" i="37" s="1"/>
  <c r="AN143" i="25" l="1"/>
  <c r="AN149" i="25" s="1"/>
  <c r="AN150" i="25"/>
  <c r="ED135" i="37"/>
  <c r="EC138" i="37"/>
  <c r="EB147" i="37"/>
  <c r="EB140" i="37"/>
  <c r="EB146" i="37" s="1"/>
  <c r="EB148" i="37" l="1"/>
  <c r="EB14" i="37" s="1"/>
  <c r="EB269" i="37" s="1"/>
  <c r="AN151" i="25"/>
  <c r="AN13" i="25" s="1"/>
  <c r="AN270" i="25" s="1"/>
  <c r="ED136" i="37"/>
  <c r="EC147" i="37"/>
  <c r="EC140" i="37"/>
  <c r="EC146" i="37" s="1"/>
  <c r="ED138" i="37"/>
  <c r="EE135" i="37"/>
  <c r="EE136" i="37" s="1"/>
  <c r="EE138" i="37" l="1"/>
  <c r="EF135" i="37"/>
  <c r="ED147" i="37"/>
  <c r="ED140" i="37"/>
  <c r="ED146" i="37" s="1"/>
  <c r="EC148" i="37"/>
  <c r="EC14" i="37" s="1"/>
  <c r="ED148" i="37" l="1"/>
  <c r="ED14" i="37" s="1"/>
  <c r="ED269" i="37" s="1"/>
  <c r="EF136" i="37"/>
  <c r="AO138" i="25"/>
  <c r="AO139" i="25" s="1"/>
  <c r="AO141" i="25" s="1"/>
  <c r="EC269" i="37"/>
  <c r="AN321" i="25"/>
  <c r="EF138" i="37"/>
  <c r="EG135" i="37"/>
  <c r="EG136" i="37" s="1"/>
  <c r="EE147" i="37"/>
  <c r="EE140" i="37"/>
  <c r="EE146" i="37" s="1"/>
  <c r="EE148" i="37" l="1"/>
  <c r="EE14" i="37" s="1"/>
  <c r="EE269" i="37" s="1"/>
  <c r="AO150" i="25"/>
  <c r="AO143" i="25"/>
  <c r="AO149" i="25" s="1"/>
  <c r="EG138" i="37"/>
  <c r="EH135" i="37"/>
  <c r="EF147" i="37"/>
  <c r="EF140" i="37"/>
  <c r="EF146" i="37" s="1"/>
  <c r="EF148" i="37" l="1"/>
  <c r="EF14" i="37" s="1"/>
  <c r="EF269" i="37" s="1"/>
  <c r="AO151" i="25"/>
  <c r="AO13" i="25" s="1"/>
  <c r="AO270" i="25" s="1"/>
  <c r="EH136" i="37"/>
  <c r="EH138" i="37"/>
  <c r="EI135" i="37"/>
  <c r="EI136" i="37" s="1"/>
  <c r="EG147" i="37"/>
  <c r="EG140" i="37"/>
  <c r="EG146" i="37" s="1"/>
  <c r="EG148" i="37" l="1"/>
  <c r="EG14" i="37" s="1"/>
  <c r="EG269" i="37" s="1"/>
  <c r="AO321" i="25"/>
  <c r="EI138" i="37"/>
  <c r="EJ135" i="37"/>
  <c r="EH147" i="37"/>
  <c r="EH140" i="37"/>
  <c r="EH146" i="37" s="1"/>
  <c r="EH148" i="37" l="1"/>
  <c r="EH14" i="37" s="1"/>
  <c r="EH269" i="37" s="1"/>
  <c r="EJ136" i="37"/>
  <c r="AP138" i="25"/>
  <c r="AP139" i="25" s="1"/>
  <c r="AP141" i="25" s="1"/>
  <c r="EJ138" i="37"/>
  <c r="EK135" i="37"/>
  <c r="EK136" i="37" s="1"/>
  <c r="EI147" i="37"/>
  <c r="EI140" i="37"/>
  <c r="EI146" i="37" s="1"/>
  <c r="EI148" i="37" l="1"/>
  <c r="EI14" i="37" s="1"/>
  <c r="EI269" i="37" s="1"/>
  <c r="AP150" i="25"/>
  <c r="AP143" i="25"/>
  <c r="AP149" i="25" s="1"/>
  <c r="EJ147" i="37"/>
  <c r="EJ140" i="37"/>
  <c r="EJ146" i="37" s="1"/>
  <c r="EK138" i="37"/>
  <c r="EL135" i="37"/>
  <c r="AP151" i="25" l="1"/>
  <c r="AP13" i="25" s="1"/>
  <c r="AP270" i="25" s="1"/>
  <c r="EL136" i="37"/>
  <c r="EL138" i="37" s="1"/>
  <c r="EJ148" i="37"/>
  <c r="EJ14" i="37" s="1"/>
  <c r="EJ269" i="37" s="1"/>
  <c r="EM135" i="37"/>
  <c r="EM136" i="37" s="1"/>
  <c r="EK147" i="37"/>
  <c r="EK140" i="37"/>
  <c r="EK146" i="37" s="1"/>
  <c r="EK148" i="37" l="1"/>
  <c r="EK14" i="37" s="1"/>
  <c r="EK269" i="37" s="1"/>
  <c r="AP321" i="25"/>
  <c r="EM138" i="37"/>
  <c r="EN135" i="37"/>
  <c r="EL147" i="37"/>
  <c r="EL140" i="37"/>
  <c r="EL146" i="37" s="1"/>
  <c r="EL148" i="37" l="1"/>
  <c r="EL14" i="37" s="1"/>
  <c r="EL269" i="37" s="1"/>
  <c r="EN136" i="37"/>
  <c r="EN138" i="37" s="1"/>
  <c r="EM147" i="37"/>
  <c r="EM140" i="37"/>
  <c r="EM146" i="37" s="1"/>
  <c r="EM148" i="37" l="1"/>
  <c r="EM14" i="37" s="1"/>
  <c r="EM269" i="37" s="1"/>
  <c r="EO135" i="37"/>
  <c r="EN147" i="37"/>
  <c r="EN140" i="37"/>
  <c r="EN146" i="37" s="1"/>
  <c r="EN148" i="37" l="1"/>
  <c r="EN14" i="37" s="1"/>
  <c r="EN269" i="37" s="1"/>
  <c r="EO136" i="37"/>
  <c r="AQ138" i="25"/>
  <c r="AQ139" i="25" s="1"/>
  <c r="AQ141" i="25" s="1"/>
  <c r="AQ143" i="25" l="1"/>
  <c r="AQ149" i="25" s="1"/>
  <c r="AQ150" i="25"/>
  <c r="EP135" i="37"/>
  <c r="EO138" i="37"/>
  <c r="AQ151" i="25" l="1"/>
  <c r="AQ13" i="25" s="1"/>
  <c r="AQ270" i="25" s="1"/>
  <c r="EO147" i="37"/>
  <c r="EO140" i="37"/>
  <c r="EO146" i="37" s="1"/>
  <c r="EP136" i="37"/>
  <c r="EO148" i="37" l="1"/>
  <c r="EO14" i="37" s="1"/>
  <c r="EO269" i="37" s="1"/>
  <c r="AQ321" i="25"/>
  <c r="EQ135" i="37"/>
  <c r="EP138" i="37"/>
  <c r="EP140" i="37" l="1"/>
  <c r="EP146" i="37" s="1"/>
  <c r="EP147" i="37"/>
  <c r="EQ136" i="37"/>
  <c r="EP148" i="37" l="1"/>
  <c r="EP14" i="37" s="1"/>
  <c r="EP269" i="37" s="1"/>
  <c r="EQ138" i="37"/>
  <c r="ER135" i="37"/>
  <c r="ER136" i="37" l="1"/>
  <c r="EQ147" i="37"/>
  <c r="EQ140" i="37"/>
  <c r="EQ146" i="37" s="1"/>
  <c r="EQ148" i="37" l="1"/>
  <c r="EQ14" i="37" s="1"/>
  <c r="EQ269" i="37" s="1"/>
  <c r="ER138" i="37"/>
  <c r="ES135" i="37"/>
  <c r="ES136" i="37" l="1"/>
  <c r="AR138" i="25"/>
  <c r="AR139" i="25" s="1"/>
  <c r="AR141" i="25" s="1"/>
  <c r="ER147" i="37"/>
  <c r="ER140" i="37"/>
  <c r="ER146" i="37" s="1"/>
  <c r="ER148" i="37" l="1"/>
  <c r="ER14" i="37" s="1"/>
  <c r="ER269" i="37" s="1"/>
  <c r="AR143" i="25"/>
  <c r="AR149" i="25" s="1"/>
  <c r="AR150" i="25"/>
  <c r="ES138" i="37"/>
  <c r="ET135" i="37"/>
  <c r="AR151" i="25" l="1"/>
  <c r="AR13" i="25" s="1"/>
  <c r="AR270" i="25" s="1"/>
  <c r="ET136" i="37"/>
  <c r="ES147" i="37"/>
  <c r="ES140" i="37"/>
  <c r="ES146" i="37" s="1"/>
  <c r="ES148" i="37" l="1"/>
  <c r="ES14" i="37" s="1"/>
  <c r="ES269" i="37" s="1"/>
  <c r="AR321" i="25"/>
  <c r="EU135" i="37"/>
  <c r="ET138" i="37"/>
  <c r="ET147" i="37" l="1"/>
  <c r="ET140" i="37"/>
  <c r="ET146" i="37" s="1"/>
  <c r="EU136" i="37"/>
  <c r="ET148" i="37" l="1"/>
  <c r="ET14" i="37" s="1"/>
  <c r="ET269" i="37" s="1"/>
  <c r="EU138" i="37"/>
  <c r="EV135" i="37"/>
  <c r="EV136" i="37" l="1"/>
  <c r="EU147" i="37"/>
  <c r="EU140" i="37"/>
  <c r="EU146" i="37" s="1"/>
  <c r="EU148" i="37" l="1"/>
  <c r="EU14" i="37" s="1"/>
  <c r="EU269" i="37" s="1"/>
  <c r="EW135" i="37"/>
  <c r="EV138" i="37"/>
  <c r="EV147" i="37" l="1"/>
  <c r="EV140" i="37"/>
  <c r="EV146" i="37" s="1"/>
  <c r="EW136" i="37"/>
  <c r="AS138" i="25"/>
  <c r="AS139" i="25" s="1"/>
  <c r="AS141" i="25" s="1"/>
  <c r="EV148" i="37" l="1"/>
  <c r="EV14" i="37" s="1"/>
  <c r="EV269" i="37" s="1"/>
  <c r="AS143" i="25"/>
  <c r="AS149" i="25" s="1"/>
  <c r="AS150" i="25"/>
  <c r="EX135" i="37"/>
  <c r="EW138" i="37"/>
  <c r="AS151" i="25" l="1"/>
  <c r="AS13" i="25" s="1"/>
  <c r="AS270" i="25" s="1"/>
  <c r="EW147" i="37"/>
  <c r="EW140" i="37"/>
  <c r="EW146" i="37" s="1"/>
  <c r="EX136" i="37"/>
  <c r="EW148" i="37" l="1"/>
  <c r="EW14" i="37" s="1"/>
  <c r="EW269" i="37" s="1"/>
  <c r="EX138" i="37"/>
  <c r="EY135" i="37"/>
  <c r="AS321" i="25"/>
  <c r="EY136" i="37" l="1"/>
  <c r="EX147" i="37"/>
  <c r="EX140" i="37"/>
  <c r="EX146" i="37" s="1"/>
  <c r="EX148" i="37" l="1"/>
  <c r="EX14" i="37" s="1"/>
  <c r="EX269" i="37" s="1"/>
  <c r="EY138" i="37"/>
  <c r="EZ135" i="37"/>
  <c r="EZ136" i="37" l="1"/>
  <c r="EY147" i="37"/>
  <c r="EY140" i="37"/>
  <c r="EY146" i="37" s="1"/>
  <c r="EY148" i="37" l="1"/>
  <c r="EY14" i="37" s="1"/>
  <c r="EY269" i="37" s="1"/>
  <c r="FA135" i="37"/>
  <c r="EZ138" i="37"/>
  <c r="EZ147" i="37" l="1"/>
  <c r="EZ140" i="37"/>
  <c r="EZ146" i="37" s="1"/>
  <c r="FA136" i="37"/>
  <c r="AT138" i="25"/>
  <c r="AT139" i="25" s="1"/>
  <c r="AT141" i="25" s="1"/>
  <c r="EZ148" i="37" l="1"/>
  <c r="EZ14" i="37" s="1"/>
  <c r="EZ269" i="37" s="1"/>
  <c r="AT150" i="25"/>
  <c r="AT143" i="25"/>
  <c r="AT149" i="25" s="1"/>
  <c r="FA138" i="37"/>
  <c r="FB135" i="37"/>
  <c r="AT151" i="25" l="1"/>
  <c r="AT13" i="25" s="1"/>
  <c r="AT270" i="25" s="1"/>
  <c r="FB136" i="37"/>
  <c r="FA147" i="37"/>
  <c r="FA140" i="37"/>
  <c r="FA146" i="37" s="1"/>
  <c r="FA148" i="37" l="1"/>
  <c r="FA14" i="37" s="1"/>
  <c r="FA269" i="37" s="1"/>
  <c r="H13" i="25"/>
  <c r="AT321" i="25"/>
  <c r="FB138" i="37"/>
  <c r="FC135" i="37"/>
  <c r="FC136" i="37" l="1"/>
  <c r="FB147" i="37"/>
  <c r="FB140" i="37"/>
  <c r="FB146" i="37" s="1"/>
  <c r="FB148" i="37" l="1"/>
  <c r="FB14" i="37" s="1"/>
  <c r="FB269" i="37" s="1"/>
  <c r="FC138" i="37"/>
  <c r="FD135" i="37"/>
  <c r="FD136" i="37" l="1"/>
  <c r="FC140" i="37"/>
  <c r="FC146" i="37" s="1"/>
  <c r="FC147" i="37"/>
  <c r="FC148" i="37" l="1"/>
  <c r="FC14" i="37" s="1"/>
  <c r="FC269" i="37" s="1"/>
  <c r="FD138" i="37"/>
  <c r="FE135" i="37"/>
  <c r="FE136" i="37" l="1"/>
  <c r="AU138" i="25"/>
  <c r="AU139" i="25" s="1"/>
  <c r="AU141" i="25" s="1"/>
  <c r="FD140" i="37"/>
  <c r="FD146" i="37" s="1"/>
  <c r="FD147" i="37"/>
  <c r="FD148" i="37" l="1"/>
  <c r="FD14" i="37" s="1"/>
  <c r="FD269" i="37" s="1"/>
  <c r="AU143" i="25"/>
  <c r="AU149" i="25" s="1"/>
  <c r="AU150" i="25"/>
  <c r="FF135" i="37"/>
  <c r="FE138" i="37"/>
  <c r="AU151" i="25" l="1"/>
  <c r="AU13" i="25" s="1"/>
  <c r="AU270" i="25" s="1"/>
  <c r="FE147" i="37"/>
  <c r="FE140" i="37"/>
  <c r="FE146" i="37" s="1"/>
  <c r="FF136" i="37"/>
  <c r="FE148" i="37" l="1"/>
  <c r="FE14" i="37" s="1"/>
  <c r="FE269" i="37" s="1"/>
  <c r="FF138" i="37"/>
  <c r="FG135" i="37"/>
  <c r="AU321" i="25"/>
  <c r="FG136" i="37" l="1"/>
  <c r="FF140" i="37"/>
  <c r="FF146" i="37" s="1"/>
  <c r="FF147" i="37"/>
  <c r="FF148" i="37" l="1"/>
  <c r="FF14" i="37" s="1"/>
  <c r="FF269" i="37" s="1"/>
  <c r="FH135" i="37"/>
  <c r="FG138" i="37"/>
  <c r="FG147" i="37" l="1"/>
  <c r="FG140" i="37"/>
  <c r="FG146" i="37" s="1"/>
  <c r="FH136" i="37"/>
  <c r="FG148" i="37" l="1"/>
  <c r="FG14" i="37" s="1"/>
  <c r="FG269" i="37" s="1"/>
  <c r="FH138" i="37"/>
  <c r="FI135" i="37"/>
  <c r="FI136" i="37" l="1"/>
  <c r="AV138" i="25"/>
  <c r="AV139" i="25" s="1"/>
  <c r="AV141" i="25" s="1"/>
  <c r="FH147" i="37"/>
  <c r="FH140" i="37"/>
  <c r="FH146" i="37" s="1"/>
  <c r="FH148" i="37" l="1"/>
  <c r="FH14" i="37" s="1"/>
  <c r="FH269" i="37" s="1"/>
  <c r="AV150" i="25"/>
  <c r="AV143" i="25"/>
  <c r="AV149" i="25" s="1"/>
  <c r="FJ135" i="37"/>
  <c r="FI138" i="37"/>
  <c r="AV151" i="25" l="1"/>
  <c r="AV13" i="25" s="1"/>
  <c r="AV270" i="25" s="1"/>
  <c r="FI140" i="37"/>
  <c r="FI146" i="37" s="1"/>
  <c r="FI147" i="37"/>
  <c r="FJ136" i="37"/>
  <c r="FI148" i="37" l="1"/>
  <c r="FI14" i="37" s="1"/>
  <c r="FI269" i="37" s="1"/>
  <c r="FK135" i="37"/>
  <c r="FJ138" i="37"/>
  <c r="AV321" i="25"/>
  <c r="FJ147" i="37" l="1"/>
  <c r="FJ140" i="37"/>
  <c r="FJ146" i="37" s="1"/>
  <c r="FK136" i="37"/>
  <c r="FJ148" i="37" l="1"/>
  <c r="FJ14" i="37" s="1"/>
  <c r="FJ269" i="37" s="1"/>
  <c r="FL135" i="37"/>
  <c r="FK138" i="37"/>
  <c r="FK147" i="37" l="1"/>
  <c r="FK140" i="37"/>
  <c r="FK146" i="37" s="1"/>
  <c r="FL136" i="37"/>
  <c r="FK148" i="37" l="1"/>
  <c r="FK14" i="37" s="1"/>
  <c r="FK269" i="37" s="1"/>
  <c r="FL138" i="37"/>
  <c r="FM135" i="37"/>
  <c r="FM136" i="37" l="1"/>
  <c r="AW138" i="25"/>
  <c r="AW139" i="25" s="1"/>
  <c r="AW141" i="25" s="1"/>
  <c r="FL147" i="37"/>
  <c r="FL140" i="37"/>
  <c r="FL146" i="37" s="1"/>
  <c r="FL148" i="37" l="1"/>
  <c r="FL14" i="37" s="1"/>
  <c r="FL269" i="37" s="1"/>
  <c r="AW143" i="25"/>
  <c r="AW149" i="25" s="1"/>
  <c r="AW150" i="25"/>
  <c r="FN135" i="37"/>
  <c r="FM138" i="37"/>
  <c r="FM147" i="37" l="1"/>
  <c r="FM140" i="37"/>
  <c r="FM146" i="37" s="1"/>
  <c r="FN136" i="37"/>
  <c r="AW151" i="25"/>
  <c r="AW13" i="25" s="1"/>
  <c r="AW270" i="25" s="1"/>
  <c r="FM148" i="37" l="1"/>
  <c r="FM14" i="37" s="1"/>
  <c r="FM269" i="37" s="1"/>
  <c r="AW321" i="25"/>
  <c r="FN138" i="37"/>
  <c r="FO135" i="37"/>
  <c r="FO136" i="37" l="1"/>
  <c r="FN147" i="37"/>
  <c r="FN140" i="37"/>
  <c r="FN146" i="37" s="1"/>
  <c r="FN148" i="37" l="1"/>
  <c r="FN14" i="37" s="1"/>
  <c r="FN269" i="37" s="1"/>
  <c r="FO138" i="37"/>
  <c r="FP135" i="37"/>
  <c r="FP136" i="37" l="1"/>
  <c r="FO147" i="37"/>
  <c r="FO140" i="37"/>
  <c r="FO146" i="37" s="1"/>
  <c r="FO148" i="37" l="1"/>
  <c r="FO14" i="37" s="1"/>
  <c r="FO269" i="37" s="1"/>
  <c r="FP138" i="37"/>
  <c r="FQ135" i="37"/>
  <c r="FQ136" i="37" l="1"/>
  <c r="AX138" i="25"/>
  <c r="AX139" i="25" s="1"/>
  <c r="AX141" i="25" s="1"/>
  <c r="FP140" i="37"/>
  <c r="FP146" i="37" s="1"/>
  <c r="FP147" i="37"/>
  <c r="FP148" i="37" l="1"/>
  <c r="FP14" i="37" s="1"/>
  <c r="FP269" i="37" s="1"/>
  <c r="AX143" i="25"/>
  <c r="AX149" i="25" s="1"/>
  <c r="AX150" i="25"/>
  <c r="FR135" i="37"/>
  <c r="FQ138" i="37"/>
  <c r="AX151" i="25" l="1"/>
  <c r="AX13" i="25" s="1"/>
  <c r="AX270" i="25" s="1"/>
  <c r="FQ140" i="37"/>
  <c r="FQ146" i="37" s="1"/>
  <c r="FQ147" i="37"/>
  <c r="FR136" i="37"/>
  <c r="FS135" i="37" l="1"/>
  <c r="FR138" i="37"/>
  <c r="FQ148" i="37"/>
  <c r="FQ14" i="37" s="1"/>
  <c r="FQ269" i="37" l="1"/>
  <c r="AX321" i="25"/>
  <c r="FR140" i="37"/>
  <c r="FR146" i="37" s="1"/>
  <c r="FR147" i="37"/>
  <c r="FS136" i="37"/>
  <c r="FR148" i="37" l="1"/>
  <c r="FR14" i="37" s="1"/>
  <c r="FR269" i="37" s="1"/>
  <c r="FS138" i="37"/>
  <c r="FT135" i="37"/>
  <c r="FT136" i="37" l="1"/>
  <c r="FS147" i="37"/>
  <c r="FS140" i="37"/>
  <c r="FS146" i="37" s="1"/>
  <c r="FS148" i="37" l="1"/>
  <c r="FS14" i="37" s="1"/>
  <c r="FS269" i="37" s="1"/>
  <c r="FU135" i="37"/>
  <c r="FT138" i="37"/>
  <c r="FT147" i="37" l="1"/>
  <c r="FT140" i="37"/>
  <c r="FT146" i="37" s="1"/>
  <c r="FU136" i="37"/>
  <c r="AY138" i="25"/>
  <c r="AY139" i="25" s="1"/>
  <c r="AY141" i="25" s="1"/>
  <c r="FT148" i="37" l="1"/>
  <c r="FT14" i="37" s="1"/>
  <c r="FT269" i="37" s="1"/>
  <c r="AY143" i="25"/>
  <c r="AY149" i="25" s="1"/>
  <c r="AY150" i="25"/>
  <c r="FU138" i="37"/>
  <c r="FV135" i="37"/>
  <c r="FV136" i="37" l="1"/>
  <c r="FU147" i="37"/>
  <c r="FU140" i="37"/>
  <c r="FU146" i="37" s="1"/>
  <c r="AY151" i="25"/>
  <c r="AY13" i="25" s="1"/>
  <c r="AY270" i="25" s="1"/>
  <c r="FU148" i="37" l="1"/>
  <c r="FU14" i="37" s="1"/>
  <c r="FU269" i="37" s="1"/>
  <c r="AY321" i="25"/>
  <c r="FV138" i="37"/>
  <c r="FW135" i="37"/>
  <c r="FW136" i="37" l="1"/>
  <c r="FV147" i="37"/>
  <c r="FV140" i="37"/>
  <c r="FV146" i="37" s="1"/>
  <c r="FV148" i="37" l="1"/>
  <c r="FV14" i="37" s="1"/>
  <c r="FV269" i="37" s="1"/>
  <c r="FW138" i="37"/>
  <c r="FX135" i="37"/>
  <c r="FX136" i="37" l="1"/>
  <c r="FW147" i="37"/>
  <c r="FW140" i="37"/>
  <c r="FW146" i="37" s="1"/>
  <c r="FW148" i="37" l="1"/>
  <c r="FW14" i="37" s="1"/>
  <c r="FW269" i="37" s="1"/>
  <c r="FX138" i="37"/>
  <c r="FY135" i="37"/>
  <c r="FY136" i="37" l="1"/>
  <c r="AZ138" i="25"/>
  <c r="AZ139" i="25" s="1"/>
  <c r="AZ141" i="25" s="1"/>
  <c r="FX147" i="37"/>
  <c r="FX140" i="37"/>
  <c r="FX146" i="37" s="1"/>
  <c r="FX148" i="37" l="1"/>
  <c r="FX14" i="37" s="1"/>
  <c r="FX269" i="37" s="1"/>
  <c r="AZ143" i="25"/>
  <c r="AZ149" i="25" s="1"/>
  <c r="AZ150" i="25"/>
  <c r="FY138" i="37"/>
  <c r="FZ135" i="37"/>
  <c r="AZ151" i="25" l="1"/>
  <c r="AZ13" i="25" s="1"/>
  <c r="AZ270" i="25" s="1"/>
  <c r="FZ136" i="37"/>
  <c r="FY140" i="37"/>
  <c r="FY146" i="37" s="1"/>
  <c r="FY147" i="37"/>
  <c r="FY148" i="37" l="1"/>
  <c r="FY14" i="37" s="1"/>
  <c r="FY269" i="37" s="1"/>
  <c r="AZ321" i="25"/>
  <c r="FZ138" i="37"/>
  <c r="GA135" i="37"/>
  <c r="GA136" i="37" l="1"/>
  <c r="FZ140" i="37"/>
  <c r="FZ146" i="37" s="1"/>
  <c r="FZ147" i="37"/>
  <c r="FZ148" i="37" l="1"/>
  <c r="FZ14" i="37" s="1"/>
  <c r="FZ269" i="37" s="1"/>
  <c r="GB135" i="37"/>
  <c r="GA138" i="37"/>
  <c r="GA140" i="37" l="1"/>
  <c r="GA146" i="37" s="1"/>
  <c r="GA147" i="37"/>
  <c r="GB136" i="37"/>
  <c r="GA148" i="37" l="1"/>
  <c r="GA14" i="37" s="1"/>
  <c r="GA269" i="37" s="1"/>
  <c r="GC135" i="37"/>
  <c r="GB138" i="37"/>
  <c r="GB147" i="37" l="1"/>
  <c r="GB140" i="37"/>
  <c r="GB146" i="37" s="1"/>
  <c r="GC136" i="37"/>
  <c r="BA138" i="25"/>
  <c r="BA139" i="25" s="1"/>
  <c r="BA141" i="25" s="1"/>
  <c r="GB148" i="37" l="1"/>
  <c r="GB14" i="37" s="1"/>
  <c r="GB269" i="37" s="1"/>
  <c r="BA150" i="25"/>
  <c r="BA143" i="25"/>
  <c r="BA149" i="25" s="1"/>
  <c r="GD135" i="37"/>
  <c r="GC138" i="37"/>
  <c r="BA151" i="25" l="1"/>
  <c r="BA13" i="25" s="1"/>
  <c r="BA270" i="25" s="1"/>
  <c r="GC140" i="37"/>
  <c r="GC146" i="37" s="1"/>
  <c r="GC147" i="37"/>
  <c r="GD136" i="37"/>
  <c r="GC148" i="37" l="1"/>
  <c r="GC14" i="37" s="1"/>
  <c r="GC269" i="37" s="1"/>
  <c r="GE135" i="37"/>
  <c r="GD138" i="37"/>
  <c r="BA321" i="25" l="1"/>
  <c r="GD147" i="37"/>
  <c r="GD140" i="37"/>
  <c r="GD146" i="37" s="1"/>
  <c r="GE136" i="37"/>
  <c r="GD148" i="37" l="1"/>
  <c r="GD14" i="37" s="1"/>
  <c r="GD269" i="37" s="1"/>
  <c r="GE138" i="37"/>
  <c r="GF135" i="37"/>
  <c r="GF136" i="37" l="1"/>
  <c r="GE140" i="37"/>
  <c r="GE146" i="37" s="1"/>
  <c r="GE147" i="37"/>
  <c r="GE148" i="37" l="1"/>
  <c r="GE14" i="37" s="1"/>
  <c r="GE269" i="37" s="1"/>
  <c r="GG135" i="37"/>
  <c r="GF138" i="37"/>
  <c r="GF147" i="37" l="1"/>
  <c r="GF140" i="37"/>
  <c r="GF146" i="37" s="1"/>
  <c r="GG136" i="37"/>
  <c r="BB138" i="25"/>
  <c r="BB139" i="25" s="1"/>
  <c r="BB141" i="25" s="1"/>
  <c r="GF148" i="37" l="1"/>
  <c r="GF14" i="37" s="1"/>
  <c r="GF269" i="37" s="1"/>
  <c r="BB143" i="25"/>
  <c r="BB149" i="25" s="1"/>
  <c r="BB150" i="25"/>
  <c r="GH135" i="37"/>
  <c r="GG138" i="37"/>
  <c r="BB151" i="25" l="1"/>
  <c r="BB13" i="25" s="1"/>
  <c r="BB270" i="25" s="1"/>
  <c r="GG147" i="37"/>
  <c r="GG140" i="37"/>
  <c r="GG146" i="37" s="1"/>
  <c r="GH136" i="37"/>
  <c r="GG148" i="37" l="1"/>
  <c r="GG14" i="37" s="1"/>
  <c r="GG269" i="37" s="1"/>
  <c r="BB321" i="25"/>
  <c r="GH138" i="37"/>
  <c r="GI135" i="37"/>
  <c r="GI136" i="37" l="1"/>
  <c r="GH140" i="37"/>
  <c r="GH147" i="37"/>
  <c r="GH146" i="37" l="1"/>
  <c r="GH148" i="37" s="1"/>
  <c r="GH14" i="37" s="1"/>
  <c r="GH269" i="37" s="1"/>
  <c r="GI138" i="37"/>
  <c r="GJ135" i="37"/>
  <c r="GJ136" i="37" l="1"/>
  <c r="GI147" i="37"/>
  <c r="GI140" i="37"/>
  <c r="GI146" i="37" l="1"/>
  <c r="GI148" i="37" s="1"/>
  <c r="GI14" i="37" s="1"/>
  <c r="GI269" i="37" s="1"/>
  <c r="GK135" i="37"/>
  <c r="GJ138" i="37"/>
  <c r="GJ147" i="37" l="1"/>
  <c r="GJ140" i="37"/>
  <c r="GK136" i="37"/>
  <c r="BC138" i="25"/>
  <c r="BC139" i="25" s="1"/>
  <c r="BC141" i="25" s="1"/>
  <c r="BC143" i="25" l="1"/>
  <c r="BC149" i="25" s="1"/>
  <c r="BC150" i="25"/>
  <c r="GK138" i="37"/>
  <c r="GL135" i="37"/>
  <c r="GJ146" i="37"/>
  <c r="GJ148" i="37" s="1"/>
  <c r="GJ14" i="37" s="1"/>
  <c r="GJ269" i="37" s="1"/>
  <c r="BC151" i="25" l="1"/>
  <c r="BC13" i="25" s="1"/>
  <c r="BC270" i="25" s="1"/>
  <c r="GL136" i="37"/>
  <c r="GK140" i="37"/>
  <c r="GK147" i="37"/>
  <c r="GK146" i="37" l="1"/>
  <c r="GK148" i="37" s="1"/>
  <c r="GK14" i="37" s="1"/>
  <c r="GM135" i="37"/>
  <c r="GL138" i="37"/>
  <c r="GL140" i="37" l="1"/>
  <c r="GL147" i="37"/>
  <c r="GM136" i="37"/>
  <c r="GK269" i="37"/>
  <c r="BC321" i="25"/>
  <c r="GM138" i="37" l="1"/>
  <c r="GN135" i="37"/>
  <c r="GL146" i="37"/>
  <c r="GL148" i="37" s="1"/>
  <c r="GL14" i="37" s="1"/>
  <c r="GL269" i="37" s="1"/>
  <c r="GN136" i="37" l="1"/>
  <c r="GM140" i="37"/>
  <c r="GM146" i="37" s="1"/>
  <c r="GM147" i="37"/>
  <c r="GM148" i="37" l="1"/>
  <c r="GM14" i="37" s="1"/>
  <c r="GM269" i="37" s="1"/>
  <c r="GO135" i="37"/>
  <c r="GN138" i="37"/>
  <c r="GN140" i="37" l="1"/>
  <c r="GN146" i="37" s="1"/>
  <c r="GN147" i="37"/>
  <c r="GO136" i="37"/>
  <c r="BD138" i="25"/>
  <c r="BD139" i="25" s="1"/>
  <c r="BD141" i="25" s="1"/>
  <c r="GN148" i="37" l="1"/>
  <c r="GN14" i="37" s="1"/>
  <c r="GN269" i="37" s="1"/>
  <c r="GP135" i="37"/>
  <c r="GO138" i="37"/>
  <c r="BD150" i="25"/>
  <c r="BD143" i="25"/>
  <c r="BD149" i="25" s="1"/>
  <c r="BD151" i="25" l="1"/>
  <c r="BD13" i="25" s="1"/>
  <c r="BD270" i="25" s="1"/>
  <c r="GO147" i="37"/>
  <c r="GO140" i="37"/>
  <c r="GO146" i="37" s="1"/>
  <c r="GP136" i="37"/>
  <c r="GO148" i="37" l="1"/>
  <c r="GO14" i="37" s="1"/>
  <c r="GO269" i="37" s="1"/>
  <c r="GP138" i="37"/>
  <c r="GQ135" i="37"/>
  <c r="BD321" i="25"/>
  <c r="GQ136" i="37" l="1"/>
  <c r="GP147" i="37"/>
  <c r="GP140" i="37"/>
  <c r="GP146" i="37" s="1"/>
  <c r="GP148" i="37" l="1"/>
  <c r="GP14" i="37" s="1"/>
  <c r="GP269" i="37" s="1"/>
  <c r="GR135" i="37"/>
  <c r="GQ138" i="37"/>
  <c r="GQ147" i="37" l="1"/>
  <c r="GQ140" i="37"/>
  <c r="GQ146" i="37" s="1"/>
  <c r="GR136" i="37"/>
  <c r="GQ148" i="37" l="1"/>
  <c r="GQ14" i="37" s="1"/>
  <c r="GQ269" i="37" s="1"/>
  <c r="GS135" i="37"/>
  <c r="GR138" i="37"/>
  <c r="GR140" i="37" l="1"/>
  <c r="GR146" i="37" s="1"/>
  <c r="GR147" i="37"/>
  <c r="GS136" i="37"/>
  <c r="BE138" i="25"/>
  <c r="BE139" i="25" s="1"/>
  <c r="BE141" i="25" s="1"/>
  <c r="GR148" i="37" l="1"/>
  <c r="GR14" i="37" s="1"/>
  <c r="GR269" i="37" s="1"/>
  <c r="BE150" i="25"/>
  <c r="BE143" i="25"/>
  <c r="BE149" i="25" s="1"/>
  <c r="GS138" i="37"/>
  <c r="GT135" i="37"/>
  <c r="BE151" i="25" l="1"/>
  <c r="BE13" i="25" s="1"/>
  <c r="BE270" i="25" s="1"/>
  <c r="GT136" i="37"/>
  <c r="GS147" i="37"/>
  <c r="GS140" i="37"/>
  <c r="GS146" i="37" s="1"/>
  <c r="GS148" i="37" l="1"/>
  <c r="GS14" i="37" s="1"/>
  <c r="GS269" i="37" s="1"/>
  <c r="BE321" i="25"/>
  <c r="GU135" i="37"/>
  <c r="GT138" i="37"/>
  <c r="GT140" i="37" l="1"/>
  <c r="GT146" i="37" s="1"/>
  <c r="GT147" i="37"/>
  <c r="GU136" i="37"/>
  <c r="GT148" i="37" l="1"/>
  <c r="GT14" i="37" s="1"/>
  <c r="GT269" i="37" s="1"/>
  <c r="GU138" i="37"/>
  <c r="GV135" i="37"/>
  <c r="GV136" i="37" l="1"/>
  <c r="GU140" i="37"/>
  <c r="GU146" i="37" s="1"/>
  <c r="GU147" i="37"/>
  <c r="GU148" i="37" l="1"/>
  <c r="GU14" i="37" s="1"/>
  <c r="GU269" i="37" s="1"/>
  <c r="GV138" i="37"/>
  <c r="GW135" i="37"/>
  <c r="GW136" i="37" l="1"/>
  <c r="BF138" i="25"/>
  <c r="BF139" i="25" s="1"/>
  <c r="BF141" i="25" s="1"/>
  <c r="GV140" i="37"/>
  <c r="GV146" i="37" s="1"/>
  <c r="GV147" i="37"/>
  <c r="GV148" i="37" l="1"/>
  <c r="GV14" i="37" s="1"/>
  <c r="GV269" i="37" s="1"/>
  <c r="BF150" i="25"/>
  <c r="BF143" i="25"/>
  <c r="BF149" i="25" s="1"/>
  <c r="GX135" i="37"/>
  <c r="GW138" i="37"/>
  <c r="BF151" i="25" l="1"/>
  <c r="BF13" i="25" s="1"/>
  <c r="BF270" i="25" s="1"/>
  <c r="GW140" i="37"/>
  <c r="GW146" i="37" s="1"/>
  <c r="GW147" i="37"/>
  <c r="GX136" i="37"/>
  <c r="GW148" i="37" l="1"/>
  <c r="GW14" i="37" s="1"/>
  <c r="GW269" i="37" s="1"/>
  <c r="GX138" i="37"/>
  <c r="GY135" i="37"/>
  <c r="BF321" i="25"/>
  <c r="GY136" i="37" l="1"/>
  <c r="GX147" i="37"/>
  <c r="GX140" i="37"/>
  <c r="GX146" i="37" s="1"/>
  <c r="GX148" i="37" l="1"/>
  <c r="GX14" i="37" s="1"/>
  <c r="GX269" i="37" s="1"/>
  <c r="GY138" i="37"/>
  <c r="GZ135" i="37"/>
  <c r="GZ136" i="37" l="1"/>
  <c r="GY140" i="37"/>
  <c r="GY146" i="37" s="1"/>
  <c r="GY147" i="37"/>
  <c r="GY148" i="37" l="1"/>
  <c r="GY14" i="37" s="1"/>
  <c r="GY269" i="37" s="1"/>
  <c r="GZ138" i="37"/>
  <c r="HA135" i="37"/>
  <c r="HA136" i="37" l="1"/>
  <c r="BG138" i="25"/>
  <c r="BG139" i="25" s="1"/>
  <c r="BG141" i="25" s="1"/>
  <c r="GZ140" i="37"/>
  <c r="GZ146" i="37" s="1"/>
  <c r="GZ147" i="37"/>
  <c r="GZ148" i="37" l="1"/>
  <c r="GZ14" i="37" s="1"/>
  <c r="GZ269" i="37" s="1"/>
  <c r="BG143" i="25"/>
  <c r="BG149" i="25" s="1"/>
  <c r="BG150" i="25"/>
  <c r="HA138" i="37"/>
  <c r="HB135" i="37"/>
  <c r="BG151" i="25" l="1"/>
  <c r="BG13" i="25" s="1"/>
  <c r="BG270" i="25" s="1"/>
  <c r="HB136" i="37"/>
  <c r="HA140" i="37"/>
  <c r="HA146" i="37" s="1"/>
  <c r="HA147" i="37"/>
  <c r="HA148" i="37" l="1"/>
  <c r="HA14" i="37" s="1"/>
  <c r="HA269" i="37" s="1"/>
  <c r="BG321" i="25"/>
  <c r="HB138" i="37"/>
  <c r="HC135" i="37"/>
  <c r="HC136" i="37" l="1"/>
  <c r="HB147" i="37"/>
  <c r="HB140" i="37"/>
  <c r="HB146" i="37" s="1"/>
  <c r="HB148" i="37" l="1"/>
  <c r="HB14" i="37" s="1"/>
  <c r="HB269" i="37" s="1"/>
  <c r="HD135" i="37"/>
  <c r="HC138" i="37"/>
  <c r="HC140" i="37" l="1"/>
  <c r="HC146" i="37" s="1"/>
  <c r="HC147" i="37"/>
  <c r="HD136" i="37"/>
  <c r="HC148" i="37" l="1"/>
  <c r="HC14" i="37" s="1"/>
  <c r="HC269" i="37" s="1"/>
  <c r="HD138" i="37"/>
  <c r="HE135" i="37"/>
  <c r="HE136" i="37" l="1"/>
  <c r="BH138" i="25"/>
  <c r="BH139" i="25" s="1"/>
  <c r="BH141" i="25" s="1"/>
  <c r="HD147" i="37"/>
  <c r="HD140" i="37"/>
  <c r="HD146" i="37" s="1"/>
  <c r="HD148" i="37" l="1"/>
  <c r="HD14" i="37" s="1"/>
  <c r="HD269" i="37" s="1"/>
  <c r="BH150" i="25"/>
  <c r="BH143" i="25"/>
  <c r="BH149" i="25" s="1"/>
  <c r="HF135" i="37"/>
  <c r="HE138" i="37"/>
  <c r="BH151" i="25" l="1"/>
  <c r="BH13" i="25" s="1"/>
  <c r="BH270" i="25" s="1"/>
  <c r="HE140" i="37"/>
  <c r="HE146" i="37" s="1"/>
  <c r="HE147" i="37"/>
  <c r="HF136" i="37"/>
  <c r="HE148" i="37" l="1"/>
  <c r="HE14" i="37" s="1"/>
  <c r="HE269" i="37" s="1"/>
  <c r="HG135" i="37"/>
  <c r="HF138" i="37"/>
  <c r="BH321" i="25"/>
  <c r="HF147" i="37" l="1"/>
  <c r="HF140" i="37"/>
  <c r="HF146" i="37" s="1"/>
  <c r="HG136" i="37"/>
  <c r="HF148" i="37" l="1"/>
  <c r="HF14" i="37" s="1"/>
  <c r="HF269" i="37" s="1"/>
  <c r="HG138" i="37"/>
  <c r="HH135" i="37"/>
  <c r="HH136" i="37" l="1"/>
  <c r="HG147" i="37"/>
  <c r="HG140" i="37"/>
  <c r="HG146" i="37" s="1"/>
  <c r="HG148" i="37" l="1"/>
  <c r="HG14" i="37" s="1"/>
  <c r="HG269" i="37" s="1"/>
  <c r="HH138" i="37"/>
  <c r="HI135" i="37"/>
  <c r="HI136" i="37" l="1"/>
  <c r="BI138" i="25"/>
  <c r="BI139" i="25" s="1"/>
  <c r="BI141" i="25" s="1"/>
  <c r="HH140" i="37"/>
  <c r="HH146" i="37" s="1"/>
  <c r="HH147" i="37"/>
  <c r="HH148" i="37" l="1"/>
  <c r="HH14" i="37" s="1"/>
  <c r="HH269" i="37" s="1"/>
  <c r="BI150" i="25"/>
  <c r="BI143" i="25"/>
  <c r="BI149" i="25" s="1"/>
  <c r="HI138" i="37"/>
  <c r="HJ135" i="37"/>
  <c r="BI151" i="25" l="1"/>
  <c r="BI13" i="25" s="1"/>
  <c r="BI270" i="25" s="1"/>
  <c r="HJ136" i="37"/>
  <c r="HI147" i="37"/>
  <c r="HI140" i="37"/>
  <c r="HI146" i="37" s="1"/>
  <c r="HI148" i="37" l="1"/>
  <c r="HI14" i="37" s="1"/>
  <c r="HI269" i="37" s="1"/>
  <c r="BI321" i="25"/>
  <c r="HJ138" i="37"/>
  <c r="HK135" i="37"/>
  <c r="HK136" i="37" l="1"/>
  <c r="HJ147" i="37"/>
  <c r="HJ140" i="37"/>
  <c r="HJ146" i="37" s="1"/>
  <c r="HJ148" i="37" l="1"/>
  <c r="HJ14" i="37" s="1"/>
  <c r="HJ269" i="37" s="1"/>
  <c r="HK138" i="37"/>
  <c r="HL135" i="37"/>
  <c r="HL136" i="37" l="1"/>
  <c r="HK147" i="37"/>
  <c r="HK140" i="37"/>
  <c r="HK146" i="37" s="1"/>
  <c r="HK148" i="37" l="1"/>
  <c r="HK14" i="37" s="1"/>
  <c r="HK269" i="37" s="1"/>
  <c r="HL138" i="37"/>
  <c r="HM135" i="37"/>
  <c r="HM136" i="37" l="1"/>
  <c r="BJ138" i="25"/>
  <c r="BJ139" i="25" s="1"/>
  <c r="BJ141" i="25" s="1"/>
  <c r="HL140" i="37"/>
  <c r="HL146" i="37" s="1"/>
  <c r="HL147" i="37"/>
  <c r="HL148" i="37" l="1"/>
  <c r="HL14" i="37" s="1"/>
  <c r="HL269" i="37" s="1"/>
  <c r="BJ143" i="25"/>
  <c r="BJ149" i="25" s="1"/>
  <c r="BJ150" i="25"/>
  <c r="HM138" i="37"/>
  <c r="HN135" i="37"/>
  <c r="HN136" i="37" l="1"/>
  <c r="HM147" i="37"/>
  <c r="HM140" i="37"/>
  <c r="HM146" i="37" s="1"/>
  <c r="BJ151" i="25"/>
  <c r="BJ13" i="25" s="1"/>
  <c r="BJ270" i="25" s="1"/>
  <c r="HM148" i="37" l="1"/>
  <c r="HM14" i="37" s="1"/>
  <c r="HM269" i="37" s="1"/>
  <c r="BJ321" i="25"/>
  <c r="HO135" i="37"/>
  <c r="HN138" i="37"/>
  <c r="HN147" i="37" l="1"/>
  <c r="HN140" i="37"/>
  <c r="HN146" i="37" s="1"/>
  <c r="HO136" i="37"/>
  <c r="HN148" i="37" l="1"/>
  <c r="HN14" i="37" s="1"/>
  <c r="HN269" i="37" s="1"/>
  <c r="HP135" i="37"/>
  <c r="HO138" i="37"/>
  <c r="HO147" i="37" l="1"/>
  <c r="HO140" i="37"/>
  <c r="HO146" i="37" s="1"/>
  <c r="HP136" i="37"/>
  <c r="HO148" i="37" l="1"/>
  <c r="HO14" i="37" s="1"/>
  <c r="HO269" i="37" s="1"/>
  <c r="HP138" i="37"/>
  <c r="HQ135" i="37"/>
  <c r="HQ136" i="37" l="1"/>
  <c r="BK138" i="25"/>
  <c r="BK139" i="25" s="1"/>
  <c r="BK141" i="25" s="1"/>
  <c r="HP147" i="37"/>
  <c r="HP140" i="37"/>
  <c r="HP146" i="37" s="1"/>
  <c r="HP148" i="37" l="1"/>
  <c r="HP14" i="37" s="1"/>
  <c r="HP269" i="37" s="1"/>
  <c r="BK143" i="25"/>
  <c r="BK149" i="25" s="1"/>
  <c r="BK150" i="25"/>
  <c r="HR135" i="37"/>
  <c r="HQ138" i="37"/>
  <c r="HR136" i="37" l="1"/>
  <c r="HQ147" i="37"/>
  <c r="HQ140" i="37"/>
  <c r="HQ146" i="37" s="1"/>
  <c r="BK151" i="25"/>
  <c r="BK13" i="25" s="1"/>
  <c r="BK270" i="25" s="1"/>
  <c r="HQ148" i="37" l="1"/>
  <c r="HQ14" i="37" s="1"/>
  <c r="HQ269" i="37" s="1"/>
  <c r="BK321" i="25"/>
  <c r="HS135" i="37"/>
  <c r="HR138" i="37"/>
  <c r="HR147" i="37" l="1"/>
  <c r="HR140" i="37"/>
  <c r="HR146" i="37" s="1"/>
  <c r="HS136" i="37"/>
  <c r="HR148" i="37" l="1"/>
  <c r="HR14" i="37" s="1"/>
  <c r="HR269" i="37" s="1"/>
  <c r="HS138" i="37"/>
  <c r="HT135" i="37"/>
  <c r="HT136" i="37" l="1"/>
  <c r="HS140" i="37"/>
  <c r="HS146" i="37" s="1"/>
  <c r="HS147" i="37"/>
  <c r="HS148" i="37" l="1"/>
  <c r="HS14" i="37" s="1"/>
  <c r="HS269" i="37" s="1"/>
  <c r="HT138" i="37"/>
  <c r="HU135" i="37"/>
  <c r="HU136" i="37" l="1"/>
  <c r="BL138" i="25"/>
  <c r="BL139" i="25" s="1"/>
  <c r="BL141" i="25" s="1"/>
  <c r="HT140" i="37"/>
  <c r="HT146" i="37" s="1"/>
  <c r="HT147" i="37"/>
  <c r="HT148" i="37" l="1"/>
  <c r="HT14" i="37" s="1"/>
  <c r="HT269" i="37" s="1"/>
  <c r="BL150" i="25"/>
  <c r="BL143" i="25"/>
  <c r="BL149" i="25" s="1"/>
  <c r="HV135" i="37"/>
  <c r="HU138" i="37"/>
  <c r="BL151" i="25" l="1"/>
  <c r="BL13" i="25" s="1"/>
  <c r="BL270" i="25" s="1"/>
  <c r="HU147" i="37"/>
  <c r="HU140" i="37"/>
  <c r="HU146" i="37" s="1"/>
  <c r="HV136" i="37"/>
  <c r="HU148" i="37" l="1"/>
  <c r="HU14" i="37" s="1"/>
  <c r="HU269" i="37" s="1"/>
  <c r="HW135" i="37"/>
  <c r="HV138" i="37"/>
  <c r="BL321" i="25"/>
  <c r="HV140" i="37" l="1"/>
  <c r="HV146" i="37" s="1"/>
  <c r="HV147" i="37"/>
  <c r="HW136" i="37"/>
  <c r="HX135" i="37" l="1"/>
  <c r="HW138" i="37"/>
  <c r="HV148" i="37"/>
  <c r="HV14" i="37" s="1"/>
  <c r="HV269" i="37" s="1"/>
  <c r="HW147" i="37" l="1"/>
  <c r="HW140" i="37"/>
  <c r="HW146" i="37" s="1"/>
  <c r="HX136" i="37"/>
  <c r="HW148" i="37" l="1"/>
  <c r="HW14" i="37" s="1"/>
  <c r="HW269" i="37" s="1"/>
  <c r="HX138" i="37"/>
  <c r="HY135" i="37"/>
  <c r="HY136" i="37" l="1"/>
  <c r="BM138" i="25"/>
  <c r="BM139" i="25" s="1"/>
  <c r="BM141" i="25" s="1"/>
  <c r="HX140" i="37"/>
  <c r="HX146" i="37" s="1"/>
  <c r="HX147" i="37"/>
  <c r="HX148" i="37" l="1"/>
  <c r="HX14" i="37" s="1"/>
  <c r="HX269" i="37" s="1"/>
  <c r="BM150" i="25"/>
  <c r="BM143" i="25"/>
  <c r="BM149" i="25" s="1"/>
  <c r="HY138" i="37"/>
  <c r="HZ135" i="37"/>
  <c r="BM151" i="25" l="1"/>
  <c r="BM13" i="25" s="1"/>
  <c r="BM270" i="25" s="1"/>
  <c r="HZ136" i="37"/>
  <c r="HY140" i="37"/>
  <c r="HY146" i="37" s="1"/>
  <c r="HY147" i="37"/>
  <c r="AK47" i="2"/>
  <c r="HY148" i="37" l="1"/>
  <c r="HY14" i="37" s="1"/>
  <c r="HY269" i="37" s="1"/>
  <c r="BM321" i="25"/>
  <c r="HZ138" i="37"/>
  <c r="IA135" i="37"/>
  <c r="AK14" i="2"/>
  <c r="E492" i="20" l="1"/>
  <c r="IA136" i="37"/>
  <c r="H135" i="37"/>
  <c r="BN138" i="25"/>
  <c r="HZ147" i="37"/>
  <c r="HZ140" i="37"/>
  <c r="HZ146" i="37" s="1"/>
  <c r="AK46" i="2"/>
  <c r="HZ148" i="37" l="1"/>
  <c r="HZ14" i="37" s="1"/>
  <c r="HZ269" i="37" s="1"/>
  <c r="IA138" i="37"/>
  <c r="IA147" i="37" s="1"/>
  <c r="H136" i="37"/>
  <c r="BN139" i="25"/>
  <c r="E466" i="20"/>
  <c r="AK13" i="2"/>
  <c r="E491" i="20" l="1"/>
  <c r="AK7" i="2"/>
  <c r="I66" i="2"/>
  <c r="H138" i="37"/>
  <c r="IA140" i="37"/>
  <c r="IA146" i="37" s="1"/>
  <c r="IA148" i="37" s="1"/>
  <c r="IA14" i="37" s="1"/>
  <c r="IA269" i="37" s="1"/>
  <c r="H139" i="25"/>
  <c r="BN141" i="25"/>
  <c r="H140" i="37" l="1"/>
  <c r="BN150" i="25"/>
  <c r="BN143" i="25"/>
  <c r="BN149" i="25" s="1"/>
  <c r="AK33" i="2"/>
  <c r="AK17" i="2" s="1"/>
  <c r="E495" i="20" l="1"/>
  <c r="I64" i="2"/>
  <c r="BN151" i="25"/>
  <c r="BN13" i="25" s="1"/>
  <c r="BN270" i="25" s="1"/>
  <c r="AK30" i="2"/>
  <c r="AK45" i="2"/>
  <c r="I63" i="2" l="1"/>
  <c r="I68" i="2" s="1"/>
  <c r="BN321" i="25"/>
  <c r="AK51" i="2"/>
  <c r="AK12" i="2"/>
  <c r="AK37" i="2"/>
  <c r="AK39" i="2" l="1"/>
  <c r="AK53" i="2"/>
  <c r="AK22" i="2"/>
  <c r="E485" i="20" l="1"/>
  <c r="E472" i="20"/>
  <c r="AK24" i="2"/>
  <c r="E501" i="20" l="1"/>
  <c r="K22" i="4" l="1"/>
  <c r="K23" i="4" s="1"/>
  <c r="K25" i="4" l="1"/>
  <c r="K24" i="4"/>
  <c r="K27" i="4" s="1"/>
  <c r="K14" i="4"/>
  <c r="K14" i="36" s="1"/>
  <c r="K29" i="4" l="1"/>
  <c r="K26" i="4"/>
  <c r="K38" i="4" s="1"/>
  <c r="K12" i="4"/>
  <c r="K94" i="4" s="1"/>
  <c r="K95" i="4" s="1"/>
  <c r="K96" i="4" s="1"/>
  <c r="K46" i="2"/>
  <c r="K30" i="4" l="1"/>
  <c r="K13" i="4"/>
  <c r="K12" i="36" s="1"/>
  <c r="K47" i="2" s="1"/>
  <c r="K14" i="2" s="1"/>
  <c r="K31" i="4"/>
  <c r="K33" i="4" s="1"/>
  <c r="K35" i="4" s="1"/>
  <c r="K101" i="4" s="1"/>
  <c r="K13" i="36"/>
  <c r="K13" i="2"/>
  <c r="K45" i="2" l="1"/>
  <c r="K51" i="2" s="1"/>
  <c r="K36" i="4"/>
  <c r="H39" i="4" s="1"/>
  <c r="I40" i="4" s="1"/>
  <c r="K34" i="4"/>
  <c r="K37" i="4" s="1"/>
  <c r="K11" i="4"/>
  <c r="K11" i="36" s="1"/>
  <c r="K89" i="4"/>
  <c r="K7" i="2"/>
  <c r="K15" i="4" l="1"/>
  <c r="K15" i="36" s="1"/>
  <c r="K46" i="36" s="1"/>
  <c r="K90" i="4"/>
  <c r="K98" i="4"/>
  <c r="K103" i="4" s="1"/>
  <c r="K53" i="2"/>
  <c r="K10" i="4" l="1"/>
  <c r="K17" i="4" s="1"/>
  <c r="K99" i="4"/>
  <c r="K45" i="36"/>
  <c r="K43" i="36" l="1"/>
  <c r="K16" i="36"/>
  <c r="K33" i="2"/>
  <c r="K17" i="2" s="1"/>
  <c r="K44" i="36"/>
  <c r="K30" i="2" l="1"/>
  <c r="K18" i="36"/>
  <c r="K20" i="36"/>
  <c r="K41" i="36"/>
  <c r="K19" i="36" l="1"/>
  <c r="L17" i="36"/>
  <c r="K71" i="36"/>
  <c r="K73" i="36" s="1"/>
  <c r="K12" i="2"/>
  <c r="K48" i="36"/>
  <c r="K50" i="36" s="1"/>
  <c r="K37" i="2"/>
  <c r="K39" i="2" l="1"/>
  <c r="K79" i="36"/>
  <c r="K80" i="36" s="1"/>
  <c r="K81" i="36" s="1"/>
  <c r="L16" i="4"/>
  <c r="L19" i="4" s="1"/>
  <c r="K22" i="2"/>
  <c r="K24" i="2" l="1"/>
  <c r="L22" i="4" l="1"/>
  <c r="L23" i="4" s="1"/>
  <c r="L25" i="4" l="1"/>
  <c r="L24" i="4"/>
  <c r="L27" i="4" s="1"/>
  <c r="L14" i="4"/>
  <c r="L29" i="4" l="1"/>
  <c r="L26" i="4"/>
  <c r="L38" i="4" s="1"/>
  <c r="L12" i="4"/>
  <c r="L94" i="4" s="1"/>
  <c r="L95" i="4" s="1"/>
  <c r="L96" i="4" s="1"/>
  <c r="L14" i="36"/>
  <c r="L30" i="4" l="1"/>
  <c r="L13" i="4"/>
  <c r="L12" i="36" s="1"/>
  <c r="L47" i="2" s="1"/>
  <c r="L14" i="2" s="1"/>
  <c r="L31" i="4"/>
  <c r="L33" i="4" s="1"/>
  <c r="L35" i="4" s="1"/>
  <c r="L13" i="36"/>
  <c r="L46" i="2"/>
  <c r="L36" i="4" l="1"/>
  <c r="L15" i="4" s="1"/>
  <c r="L15" i="36" s="1"/>
  <c r="L101" i="4"/>
  <c r="L13" i="2"/>
  <c r="L45" i="2"/>
  <c r="L34" i="4"/>
  <c r="L37" i="4" s="1"/>
  <c r="L11" i="4"/>
  <c r="L10" i="4" l="1"/>
  <c r="L17" i="4" s="1"/>
  <c r="L89" i="4"/>
  <c r="L11" i="36"/>
  <c r="L46" i="36" s="1"/>
  <c r="L7" i="2"/>
  <c r="L51" i="2"/>
  <c r="L90" i="4" l="1"/>
  <c r="L98" i="4"/>
  <c r="L103" i="4" s="1"/>
  <c r="L53" i="2"/>
  <c r="L45" i="36"/>
  <c r="L99" i="4" l="1"/>
  <c r="L16" i="36"/>
  <c r="L18" i="36" s="1"/>
  <c r="L33" i="2"/>
  <c r="L17" i="2" s="1"/>
  <c r="L43" i="36"/>
  <c r="L20" i="36" l="1"/>
  <c r="L30" i="2"/>
  <c r="L41" i="36"/>
  <c r="L44" i="36"/>
  <c r="L19" i="36"/>
  <c r="M17" i="36"/>
  <c r="L71" i="36"/>
  <c r="L73" i="36" s="1"/>
  <c r="L48" i="36" l="1"/>
  <c r="L12" i="2"/>
  <c r="M16" i="4"/>
  <c r="M19" i="4" s="1"/>
  <c r="L37" i="2"/>
  <c r="L39" i="2" l="1"/>
  <c r="L50" i="36"/>
  <c r="L22" i="2"/>
  <c r="M22" i="4" l="1"/>
  <c r="M23" i="4" s="1"/>
  <c r="L79" i="36"/>
  <c r="L80" i="36" s="1"/>
  <c r="L81" i="36" s="1"/>
  <c r="L24" i="2"/>
  <c r="M25" i="4" l="1"/>
  <c r="M24" i="4"/>
  <c r="M26" i="4" s="1"/>
  <c r="M14" i="4"/>
  <c r="M38" i="4" l="1"/>
  <c r="M27" i="4"/>
  <c r="M12" i="4"/>
  <c r="M94" i="4" s="1"/>
  <c r="M95" i="4" s="1"/>
  <c r="M96" i="4" s="1"/>
  <c r="M14" i="36"/>
  <c r="G49" i="4"/>
  <c r="M29" i="4" l="1"/>
  <c r="M13" i="36"/>
  <c r="G29" i="36" s="1"/>
  <c r="G47" i="4"/>
  <c r="M46" i="2"/>
  <c r="G30" i="36"/>
  <c r="M30" i="4" l="1"/>
  <c r="M13" i="4"/>
  <c r="M31" i="4"/>
  <c r="M33" i="4" s="1"/>
  <c r="M89" i="4"/>
  <c r="M13" i="2"/>
  <c r="F466" i="20"/>
  <c r="G48" i="4" l="1"/>
  <c r="M12" i="36"/>
  <c r="M35" i="4"/>
  <c r="M34" i="4"/>
  <c r="M37" i="4" s="1"/>
  <c r="M11" i="4"/>
  <c r="M11" i="36" s="1"/>
  <c r="G27" i="36" s="1"/>
  <c r="M90" i="4"/>
  <c r="M98" i="4"/>
  <c r="M7" i="2"/>
  <c r="M45" i="36" l="1"/>
  <c r="M47" i="2"/>
  <c r="G28" i="36"/>
  <c r="G46" i="4"/>
  <c r="G45" i="4" s="1"/>
  <c r="M36" i="4"/>
  <c r="M15" i="4" s="1"/>
  <c r="M15" i="36" s="1"/>
  <c r="M46" i="36" s="1"/>
  <c r="G59" i="36" s="1"/>
  <c r="M101" i="4"/>
  <c r="M103" i="4" s="1"/>
  <c r="M99" i="4"/>
  <c r="G58" i="36"/>
  <c r="M43" i="36"/>
  <c r="G31" i="36" l="1"/>
  <c r="M16" i="36"/>
  <c r="M20" i="36" s="1"/>
  <c r="M33" i="2"/>
  <c r="M17" i="2" s="1"/>
  <c r="F467" i="20"/>
  <c r="M14" i="2"/>
  <c r="M45" i="2"/>
  <c r="M10" i="4"/>
  <c r="M17" i="4" s="1"/>
  <c r="M41" i="36"/>
  <c r="G56" i="36"/>
  <c r="G32" i="36"/>
  <c r="G34" i="36" s="1"/>
  <c r="H33" i="36" s="1"/>
  <c r="M44" i="36"/>
  <c r="G57" i="36" s="1"/>
  <c r="M18" i="36" l="1"/>
  <c r="N17" i="36" s="1"/>
  <c r="F480" i="20"/>
  <c r="M30" i="2"/>
  <c r="M37" i="2" s="1"/>
  <c r="F465" i="20"/>
  <c r="M51" i="2"/>
  <c r="M12" i="2"/>
  <c r="M48" i="36"/>
  <c r="G54" i="36"/>
  <c r="F477" i="20" l="1"/>
  <c r="M19" i="36"/>
  <c r="M71" i="36"/>
  <c r="M53" i="2"/>
  <c r="F472" i="20" s="1"/>
  <c r="F471" i="20"/>
  <c r="F473" i="20" s="1"/>
  <c r="M39" i="2"/>
  <c r="F484" i="20"/>
  <c r="M22" i="2"/>
  <c r="M50" i="36"/>
  <c r="G61" i="36"/>
  <c r="M73" i="36"/>
  <c r="G86" i="36"/>
  <c r="G88" i="36" s="1"/>
  <c r="N16" i="4"/>
  <c r="N19" i="4" s="1"/>
  <c r="M24" i="2" l="1"/>
  <c r="F485" i="20"/>
  <c r="G63" i="36"/>
  <c r="M79" i="36"/>
  <c r="F486" i="20"/>
  <c r="G94" i="36" l="1"/>
  <c r="G95" i="36" s="1"/>
  <c r="G96" i="36" s="1"/>
  <c r="M80" i="36"/>
  <c r="M81" i="36" s="1"/>
  <c r="N22" i="4" l="1"/>
  <c r="N23" i="4" s="1"/>
  <c r="N25" i="4" l="1"/>
  <c r="N24" i="4"/>
  <c r="N26" i="4" s="1"/>
  <c r="N14" i="4"/>
  <c r="N38" i="4" l="1"/>
  <c r="N27" i="4"/>
  <c r="N12" i="4"/>
  <c r="N94" i="4" s="1"/>
  <c r="N95" i="4" s="1"/>
  <c r="N96" i="4" s="1"/>
  <c r="N14" i="36"/>
  <c r="N29" i="4" l="1"/>
  <c r="N46" i="2"/>
  <c r="N30" i="4" l="1"/>
  <c r="N13" i="4"/>
  <c r="N12" i="36" s="1"/>
  <c r="N47" i="2" s="1"/>
  <c r="N14" i="2" s="1"/>
  <c r="N31" i="4"/>
  <c r="N33" i="4" s="1"/>
  <c r="N89" i="4"/>
  <c r="N13" i="36"/>
  <c r="N13" i="2"/>
  <c r="N45" i="2" l="1"/>
  <c r="N51" i="2" s="1"/>
  <c r="N35" i="4"/>
  <c r="N11" i="4"/>
  <c r="N11" i="36" s="1"/>
  <c r="N34" i="4"/>
  <c r="N37" i="4" s="1"/>
  <c r="N90" i="4"/>
  <c r="N98" i="4"/>
  <c r="N7" i="2"/>
  <c r="N36" i="4" l="1"/>
  <c r="N15" i="4" s="1"/>
  <c r="N15" i="36" s="1"/>
  <c r="N46" i="36" s="1"/>
  <c r="N101" i="4"/>
  <c r="N103" i="4" s="1"/>
  <c r="N99" i="4"/>
  <c r="N45" i="36"/>
  <c r="N53" i="2"/>
  <c r="N10" i="4" l="1"/>
  <c r="N17" i="4" s="1"/>
  <c r="N43" i="36"/>
  <c r="N41" i="36" l="1"/>
  <c r="N33" i="2"/>
  <c r="N17" i="2" s="1"/>
  <c r="N16" i="36"/>
  <c r="N18" i="36" l="1"/>
  <c r="N20" i="36"/>
  <c r="N44" i="36"/>
  <c r="N48" i="36" s="1"/>
  <c r="N30" i="2"/>
  <c r="N50" i="36" l="1"/>
  <c r="N12" i="2"/>
  <c r="N37" i="2"/>
  <c r="O17" i="36"/>
  <c r="N71" i="36"/>
  <c r="N73" i="36" s="1"/>
  <c r="N19" i="36"/>
  <c r="N22" i="2" l="1"/>
  <c r="N79" i="36"/>
  <c r="N80" i="36" s="1"/>
  <c r="N81" i="36" s="1"/>
  <c r="O16" i="4"/>
  <c r="O19" i="4" s="1"/>
  <c r="N39" i="2"/>
  <c r="N24" i="2" l="1"/>
  <c r="O22" i="4" l="1"/>
  <c r="O23" i="4" s="1"/>
  <c r="O25" i="4" l="1"/>
  <c r="O24" i="4"/>
  <c r="O12" i="4" s="1"/>
  <c r="O14" i="4"/>
  <c r="O27" i="4" l="1"/>
  <c r="O94" i="4"/>
  <c r="O95" i="4" s="1"/>
  <c r="O96" i="4" s="1"/>
  <c r="O26" i="4"/>
  <c r="O38" i="4" s="1"/>
  <c r="O14" i="36"/>
  <c r="O29" i="4" l="1"/>
  <c r="O13" i="36"/>
  <c r="O46" i="2"/>
  <c r="O30" i="4" l="1"/>
  <c r="O13" i="4"/>
  <c r="O12" i="36" s="1"/>
  <c r="O47" i="2" s="1"/>
  <c r="O14" i="2" s="1"/>
  <c r="O31" i="4"/>
  <c r="O33" i="4" s="1"/>
  <c r="O89" i="4"/>
  <c r="O13" i="2"/>
  <c r="O45" i="2" l="1"/>
  <c r="O51" i="2" s="1"/>
  <c r="O35" i="4"/>
  <c r="O11" i="4"/>
  <c r="O11" i="36" s="1"/>
  <c r="O45" i="36" s="1"/>
  <c r="O34" i="4"/>
  <c r="O37" i="4" s="1"/>
  <c r="O90" i="4"/>
  <c r="O98" i="4"/>
  <c r="O7" i="2"/>
  <c r="O36" i="4" l="1"/>
  <c r="O15" i="4" s="1"/>
  <c r="O15" i="36" s="1"/>
  <c r="O46" i="36" s="1"/>
  <c r="O44" i="36" s="1"/>
  <c r="O101" i="4"/>
  <c r="O103" i="4" s="1"/>
  <c r="O99" i="4"/>
  <c r="O53" i="2"/>
  <c r="O43" i="36"/>
  <c r="O16" i="36" l="1"/>
  <c r="O20" i="36" s="1"/>
  <c r="O33" i="2"/>
  <c r="O17" i="2" s="1"/>
  <c r="O10" i="4"/>
  <c r="O17" i="4" s="1"/>
  <c r="O41" i="36"/>
  <c r="O18" i="36" l="1"/>
  <c r="O71" i="36" s="1"/>
  <c r="O73" i="36" s="1"/>
  <c r="O30" i="2"/>
  <c r="O37" i="2" s="1"/>
  <c r="O48" i="36"/>
  <c r="O12" i="2"/>
  <c r="O19" i="36" l="1"/>
  <c r="P17" i="36"/>
  <c r="O22" i="2"/>
  <c r="P16" i="4"/>
  <c r="P19" i="4" s="1"/>
  <c r="O39" i="2"/>
  <c r="O50" i="36"/>
  <c r="O79" i="36" l="1"/>
  <c r="O80" i="36" s="1"/>
  <c r="O81" i="36" s="1"/>
  <c r="O24" i="2"/>
  <c r="P22" i="4" l="1"/>
  <c r="P23" i="4" s="1"/>
  <c r="P25" i="4" l="1"/>
  <c r="P24" i="4"/>
  <c r="P26" i="4" s="1"/>
  <c r="P14" i="4"/>
  <c r="P38" i="4" l="1"/>
  <c r="P27" i="4"/>
  <c r="P12" i="4"/>
  <c r="P94" i="4" s="1"/>
  <c r="P95" i="4" s="1"/>
  <c r="P96" i="4" s="1"/>
  <c r="P14" i="36"/>
  <c r="P29" i="4" l="1"/>
  <c r="P46" i="2"/>
  <c r="P13" i="36"/>
  <c r="P30" i="4" l="1"/>
  <c r="P13" i="4"/>
  <c r="P12" i="36" s="1"/>
  <c r="P47" i="2" s="1"/>
  <c r="P14" i="2" s="1"/>
  <c r="P31" i="4"/>
  <c r="P33" i="4" s="1"/>
  <c r="P89" i="4"/>
  <c r="P13" i="2"/>
  <c r="P45" i="2" l="1"/>
  <c r="P51" i="2" s="1"/>
  <c r="P35" i="4"/>
  <c r="P11" i="4"/>
  <c r="P11" i="36" s="1"/>
  <c r="P45" i="36" s="1"/>
  <c r="P34" i="4"/>
  <c r="P37" i="4" s="1"/>
  <c r="P90" i="4"/>
  <c r="P98" i="4"/>
  <c r="P7" i="2"/>
  <c r="P36" i="4" l="1"/>
  <c r="P15" i="4" s="1"/>
  <c r="P15" i="36" s="1"/>
  <c r="P46" i="36" s="1"/>
  <c r="P101" i="4"/>
  <c r="P103" i="4" s="1"/>
  <c r="P99" i="4"/>
  <c r="P53" i="2"/>
  <c r="P43" i="36"/>
  <c r="P10" i="4" l="1"/>
  <c r="P17" i="4" s="1"/>
  <c r="P41" i="36"/>
  <c r="P33" i="2"/>
  <c r="P17" i="2" s="1"/>
  <c r="P16" i="36"/>
  <c r="P18" i="36" l="1"/>
  <c r="P20" i="36"/>
  <c r="P44" i="36"/>
  <c r="P48" i="36" s="1"/>
  <c r="P30" i="2"/>
  <c r="P37" i="2" l="1"/>
  <c r="P50" i="36"/>
  <c r="P12" i="2"/>
  <c r="P22" i="2" s="1"/>
  <c r="P24" i="2" s="1"/>
  <c r="P71" i="36"/>
  <c r="P73" i="36" s="1"/>
  <c r="P19" i="36"/>
  <c r="Q17" i="36"/>
  <c r="P79" i="36" l="1"/>
  <c r="P80" i="36" s="1"/>
  <c r="P81" i="36" s="1"/>
  <c r="Q16" i="4"/>
  <c r="Q19" i="4" s="1"/>
  <c r="P39" i="2"/>
  <c r="Q22" i="4" l="1"/>
  <c r="Q23" i="4" s="1"/>
  <c r="Q25" i="4" l="1"/>
  <c r="Q24" i="4"/>
  <c r="Q26" i="4" s="1"/>
  <c r="Q14" i="4"/>
  <c r="Q38" i="4" l="1"/>
  <c r="Q27" i="4"/>
  <c r="Q12" i="4"/>
  <c r="Q94" i="4" s="1"/>
  <c r="Q95" i="4" s="1"/>
  <c r="Q96" i="4" s="1"/>
  <c r="Q14" i="36"/>
  <c r="H49" i="4"/>
  <c r="Q29" i="4" l="1"/>
  <c r="H47" i="4"/>
  <c r="Q13" i="36"/>
  <c r="Q46" i="2"/>
  <c r="H30" i="36"/>
  <c r="Q30" i="4" l="1"/>
  <c r="Q13" i="4"/>
  <c r="Q31" i="4"/>
  <c r="Q33" i="4" s="1"/>
  <c r="Q13" i="2"/>
  <c r="G466" i="20"/>
  <c r="H48" i="4" l="1"/>
  <c r="Q12" i="36"/>
  <c r="Q35" i="4"/>
  <c r="Q11" i="4"/>
  <c r="Q11" i="36" s="1"/>
  <c r="H27" i="36" s="1"/>
  <c r="Q34" i="4"/>
  <c r="Q37" i="4" s="1"/>
  <c r="Q7" i="2"/>
  <c r="Q43" i="36"/>
  <c r="Q47" i="2" l="1"/>
  <c r="H28" i="36"/>
  <c r="Q89" i="4"/>
  <c r="H46" i="4"/>
  <c r="H45" i="4" s="1"/>
  <c r="Q101" i="4"/>
  <c r="Q36" i="4"/>
  <c r="Q15" i="4" s="1"/>
  <c r="Q15" i="36" s="1"/>
  <c r="Q46" i="36" s="1"/>
  <c r="Q41" i="36"/>
  <c r="H56" i="36"/>
  <c r="Q45" i="36"/>
  <c r="Q16" i="36" l="1"/>
  <c r="Q20" i="36" s="1"/>
  <c r="G467" i="20"/>
  <c r="Q14" i="2"/>
  <c r="Q45" i="2"/>
  <c r="Q10" i="4"/>
  <c r="Q17" i="4" s="1"/>
  <c r="Q90" i="4"/>
  <c r="Q98" i="4"/>
  <c r="H32" i="36"/>
  <c r="H34" i="36" s="1"/>
  <c r="I33" i="36" s="1"/>
  <c r="H58" i="36"/>
  <c r="Q44" i="36"/>
  <c r="Q48" i="36" s="1"/>
  <c r="H54" i="36"/>
  <c r="Q33" i="2"/>
  <c r="Q17" i="2" s="1"/>
  <c r="H59" i="36"/>
  <c r="H31" i="36"/>
  <c r="Q18" i="36" l="1"/>
  <c r="Q71" i="36" s="1"/>
  <c r="G465" i="20"/>
  <c r="Q51" i="2"/>
  <c r="Q103" i="4"/>
  <c r="Q99" i="4"/>
  <c r="Q30" i="2"/>
  <c r="G480" i="20"/>
  <c r="Q50" i="36"/>
  <c r="H61" i="36"/>
  <c r="R17" i="36" l="1"/>
  <c r="R16" i="4" s="1"/>
  <c r="R19" i="4" s="1"/>
  <c r="Q19" i="36"/>
  <c r="G471" i="20"/>
  <c r="G473" i="20" s="1"/>
  <c r="Q53" i="2"/>
  <c r="G472" i="20" s="1"/>
  <c r="Q79" i="36"/>
  <c r="H63" i="36"/>
  <c r="Q12" i="2"/>
  <c r="Q22" i="2" s="1"/>
  <c r="Q24" i="2" s="1"/>
  <c r="H86" i="36"/>
  <c r="H88" i="36" s="1"/>
  <c r="Q73" i="36"/>
  <c r="Q37" i="2"/>
  <c r="G477" i="20"/>
  <c r="Q39" i="2" l="1"/>
  <c r="G485" i="20" s="1"/>
  <c r="G484" i="20"/>
  <c r="Q80" i="36"/>
  <c r="Q81" i="36" s="1"/>
  <c r="H94" i="36"/>
  <c r="H95" i="36" s="1"/>
  <c r="H96" i="36" s="1"/>
  <c r="R22" i="4" l="1"/>
  <c r="R23" i="4" s="1"/>
  <c r="G486" i="20"/>
  <c r="R25" i="4" l="1"/>
  <c r="R24" i="4"/>
  <c r="R26" i="4" s="1"/>
  <c r="R14" i="4"/>
  <c r="R38" i="4" l="1"/>
  <c r="R27" i="4"/>
  <c r="R12" i="4"/>
  <c r="R94" i="4" s="1"/>
  <c r="R95" i="4" s="1"/>
  <c r="R96" i="4" s="1"/>
  <c r="R14" i="36"/>
  <c r="R29" i="4" l="1"/>
  <c r="R46" i="2"/>
  <c r="R30" i="4" l="1"/>
  <c r="R13" i="4"/>
  <c r="R12" i="36" s="1"/>
  <c r="R47" i="2" s="1"/>
  <c r="R14" i="2" s="1"/>
  <c r="R31" i="4"/>
  <c r="R33" i="4" s="1"/>
  <c r="R35" i="4" s="1"/>
  <c r="R101" i="4" s="1"/>
  <c r="R13" i="36"/>
  <c r="R13" i="2"/>
  <c r="R45" i="2" l="1"/>
  <c r="R51" i="2" s="1"/>
  <c r="R36" i="4"/>
  <c r="R15" i="4" s="1"/>
  <c r="R15" i="36" s="1"/>
  <c r="R11" i="4"/>
  <c r="R11" i="36" s="1"/>
  <c r="R34" i="4"/>
  <c r="R37" i="4" s="1"/>
  <c r="R89" i="4"/>
  <c r="R7" i="2"/>
  <c r="R46" i="36" l="1"/>
  <c r="R10" i="4"/>
  <c r="R17" i="4" s="1"/>
  <c r="R90" i="4"/>
  <c r="R98" i="4"/>
  <c r="R103" i="4" s="1"/>
  <c r="R45" i="36"/>
  <c r="R43" i="36"/>
  <c r="R53" i="2"/>
  <c r="R99" i="4" l="1"/>
  <c r="R33" i="2"/>
  <c r="R17" i="2" s="1"/>
  <c r="R16" i="36"/>
  <c r="R44" i="36"/>
  <c r="R41" i="36"/>
  <c r="R20" i="36" l="1"/>
  <c r="R18" i="36"/>
  <c r="R48" i="36"/>
  <c r="R30" i="2"/>
  <c r="R12" i="2" l="1"/>
  <c r="R50" i="36"/>
  <c r="R37" i="2"/>
  <c r="R71" i="36"/>
  <c r="R73" i="36" s="1"/>
  <c r="R19" i="36"/>
  <c r="S17" i="36"/>
  <c r="R22" i="2" l="1"/>
  <c r="R39" i="2"/>
  <c r="R79" i="36"/>
  <c r="R80" i="36" s="1"/>
  <c r="R81" i="36" s="1"/>
  <c r="S16" i="4"/>
  <c r="S19" i="4" s="1"/>
  <c r="R24" i="2" l="1"/>
  <c r="S22" i="4" l="1"/>
  <c r="S23" i="4" s="1"/>
  <c r="S25" i="4" l="1"/>
  <c r="S24" i="4"/>
  <c r="S26" i="4" s="1"/>
  <c r="S14" i="4"/>
  <c r="S38" i="4" l="1"/>
  <c r="S27" i="4"/>
  <c r="S12" i="4"/>
  <c r="S94" i="4" s="1"/>
  <c r="S95" i="4" s="1"/>
  <c r="S96" i="4" s="1"/>
  <c r="S14" i="36"/>
  <c r="S29" i="4" l="1"/>
  <c r="S13" i="36"/>
  <c r="S46" i="2"/>
  <c r="S30" i="4" l="1"/>
  <c r="S13" i="4"/>
  <c r="S12" i="36" s="1"/>
  <c r="S47" i="2" s="1"/>
  <c r="S14" i="2" s="1"/>
  <c r="S31" i="4"/>
  <c r="S33" i="4" s="1"/>
  <c r="S89" i="4"/>
  <c r="S13" i="2"/>
  <c r="S45" i="2" l="1"/>
  <c r="S51" i="2" s="1"/>
  <c r="S35" i="4"/>
  <c r="S34" i="4"/>
  <c r="S37" i="4" s="1"/>
  <c r="S11" i="4"/>
  <c r="S11" i="36" s="1"/>
  <c r="S90" i="4"/>
  <c r="S98" i="4"/>
  <c r="S43" i="36"/>
  <c r="S7" i="2"/>
  <c r="S45" i="36" l="1"/>
  <c r="S101" i="4"/>
  <c r="S103" i="4" s="1"/>
  <c r="S36" i="4"/>
  <c r="S15" i="4" s="1"/>
  <c r="S15" i="36" s="1"/>
  <c r="S46" i="36" s="1"/>
  <c r="S99" i="4"/>
  <c r="S53" i="2"/>
  <c r="S41" i="36"/>
  <c r="S33" i="2" l="1"/>
  <c r="S17" i="2" s="1"/>
  <c r="S16" i="36"/>
  <c r="S18" i="36" s="1"/>
  <c r="S71" i="36" s="1"/>
  <c r="S73" i="36" s="1"/>
  <c r="S10" i="4"/>
  <c r="S17" i="4" s="1"/>
  <c r="S44" i="36"/>
  <c r="S30" i="2" l="1"/>
  <c r="S19" i="36"/>
  <c r="T17" i="36"/>
  <c r="T16" i="4" s="1"/>
  <c r="T19" i="4" s="1"/>
  <c r="S20" i="36"/>
  <c r="S12" i="2"/>
  <c r="S48" i="36"/>
  <c r="S37" i="2"/>
  <c r="S22" i="2" l="1"/>
  <c r="S39" i="2"/>
  <c r="S50" i="36"/>
  <c r="S24" i="2" l="1"/>
  <c r="T22" i="4"/>
  <c r="T23" i="4" s="1"/>
  <c r="S79" i="36"/>
  <c r="S80" i="36" s="1"/>
  <c r="S81" i="36" s="1"/>
  <c r="T25" i="4" l="1"/>
  <c r="T24" i="4"/>
  <c r="T26" i="4" s="1"/>
  <c r="T14" i="4"/>
  <c r="T38" i="4" l="1"/>
  <c r="T27" i="4"/>
  <c r="T12" i="4"/>
  <c r="T94" i="4" s="1"/>
  <c r="T95" i="4" s="1"/>
  <c r="T96" i="4" s="1"/>
  <c r="T14" i="36"/>
  <c r="T29" i="4" l="1"/>
  <c r="T13" i="36"/>
  <c r="T46" i="2"/>
  <c r="T30" i="4" l="1"/>
  <c r="T13" i="4"/>
  <c r="T12" i="36" s="1"/>
  <c r="T47" i="2" s="1"/>
  <c r="T14" i="2" s="1"/>
  <c r="T31" i="4"/>
  <c r="T33" i="4" s="1"/>
  <c r="T89" i="4"/>
  <c r="T13" i="2"/>
  <c r="T45" i="2" l="1"/>
  <c r="T51" i="2" s="1"/>
  <c r="T35" i="4"/>
  <c r="T34" i="4"/>
  <c r="T37" i="4" s="1"/>
  <c r="T11" i="4"/>
  <c r="T11" i="36" s="1"/>
  <c r="T90" i="4"/>
  <c r="T98" i="4"/>
  <c r="T7" i="2"/>
  <c r="T36" i="4" l="1"/>
  <c r="T15" i="4" s="1"/>
  <c r="T15" i="36" s="1"/>
  <c r="T46" i="36" s="1"/>
  <c r="T101" i="4"/>
  <c r="T103" i="4" s="1"/>
  <c r="T99" i="4"/>
  <c r="T43" i="36"/>
  <c r="T45" i="36"/>
  <c r="T53" i="2"/>
  <c r="T10" i="4" l="1"/>
  <c r="T17" i="4" s="1"/>
  <c r="T41" i="36"/>
  <c r="T33" i="2" l="1"/>
  <c r="T17" i="2" s="1"/>
  <c r="T16" i="36"/>
  <c r="T44" i="36" l="1"/>
  <c r="T30" i="2"/>
  <c r="T20" i="36"/>
  <c r="T18" i="36"/>
  <c r="T12" i="2" l="1"/>
  <c r="T37" i="2"/>
  <c r="U17" i="36"/>
  <c r="T71" i="36"/>
  <c r="T73" i="36" s="1"/>
  <c r="T19" i="36"/>
  <c r="T48" i="36"/>
  <c r="T22" i="2" l="1"/>
  <c r="U16" i="4"/>
  <c r="U19" i="4" s="1"/>
  <c r="T50" i="36"/>
  <c r="T39" i="2"/>
  <c r="T24" i="2" l="1"/>
  <c r="T79" i="36"/>
  <c r="T80" i="36" s="1"/>
  <c r="T81" i="36" s="1"/>
  <c r="U22" i="4" l="1"/>
  <c r="U23" i="4" s="1"/>
  <c r="U25" i="4" l="1"/>
  <c r="U24" i="4"/>
  <c r="U26" i="4" s="1"/>
  <c r="U14" i="4"/>
  <c r="U38" i="4" l="1"/>
  <c r="U27" i="4"/>
  <c r="U12" i="4"/>
  <c r="U94" i="4" s="1"/>
  <c r="U95" i="4" s="1"/>
  <c r="U96" i="4" s="1"/>
  <c r="U14" i="36"/>
  <c r="I49" i="4"/>
  <c r="U29" i="4" l="1"/>
  <c r="U13" i="36"/>
  <c r="I47" i="4"/>
  <c r="U46" i="2"/>
  <c r="I30" i="36"/>
  <c r="U30" i="4" l="1"/>
  <c r="U13" i="4"/>
  <c r="U31" i="4"/>
  <c r="U33" i="4" s="1"/>
  <c r="U89" i="4"/>
  <c r="U13" i="2"/>
  <c r="H466" i="20"/>
  <c r="I48" i="4" l="1"/>
  <c r="U12" i="36"/>
  <c r="U35" i="4"/>
  <c r="U34" i="4"/>
  <c r="U37" i="4" s="1"/>
  <c r="U11" i="4"/>
  <c r="U11" i="36" s="1"/>
  <c r="U90" i="4"/>
  <c r="U98" i="4"/>
  <c r="U7" i="2"/>
  <c r="I27" i="36"/>
  <c r="U45" i="36" l="1"/>
  <c r="I28" i="36"/>
  <c r="U47" i="2"/>
  <c r="I46" i="4"/>
  <c r="U36" i="4"/>
  <c r="U15" i="4" s="1"/>
  <c r="U15" i="36" s="1"/>
  <c r="U46" i="36" s="1"/>
  <c r="U101" i="4"/>
  <c r="U103" i="4" s="1"/>
  <c r="U99" i="4"/>
  <c r="I58" i="36"/>
  <c r="U43" i="36"/>
  <c r="U14" i="2" l="1"/>
  <c r="H467" i="20"/>
  <c r="U45" i="2"/>
  <c r="U10" i="4"/>
  <c r="U17" i="4" s="1"/>
  <c r="U16" i="36"/>
  <c r="U41" i="36"/>
  <c r="I56" i="36"/>
  <c r="I45" i="4"/>
  <c r="H465" i="20" l="1"/>
  <c r="U51" i="2"/>
  <c r="U18" i="36"/>
  <c r="U20" i="36"/>
  <c r="I32" i="36"/>
  <c r="U33" i="2"/>
  <c r="U17" i="2" s="1"/>
  <c r="I31" i="36"/>
  <c r="I54" i="36"/>
  <c r="U53" i="2" l="1"/>
  <c r="H471" i="20"/>
  <c r="H473" i="20" s="1"/>
  <c r="I59" i="36"/>
  <c r="U44" i="36"/>
  <c r="U30" i="2"/>
  <c r="H480" i="20"/>
  <c r="I34" i="36"/>
  <c r="J33" i="36" s="1"/>
  <c r="U71" i="36"/>
  <c r="V17" i="36"/>
  <c r="U19" i="36"/>
  <c r="I86" i="36" l="1"/>
  <c r="I88" i="36" s="1"/>
  <c r="U73" i="36"/>
  <c r="U12" i="2"/>
  <c r="U37" i="2"/>
  <c r="H477" i="20"/>
  <c r="V16" i="4"/>
  <c r="V19" i="4" s="1"/>
  <c r="I57" i="36"/>
  <c r="U48" i="36"/>
  <c r="U22" i="2" l="1"/>
  <c r="H490" i="20"/>
  <c r="U39" i="2"/>
  <c r="H484" i="20"/>
  <c r="U50" i="36"/>
  <c r="I61" i="36"/>
  <c r="U24" i="2" l="1"/>
  <c r="H500" i="20"/>
  <c r="V22" i="4"/>
  <c r="V23" i="4" s="1"/>
  <c r="U79" i="36"/>
  <c r="I63" i="36"/>
  <c r="H486" i="20"/>
  <c r="V25" i="4" l="1"/>
  <c r="V24" i="4"/>
  <c r="V26" i="4" s="1"/>
  <c r="U80" i="36"/>
  <c r="U81" i="36" s="1"/>
  <c r="I94" i="36"/>
  <c r="I95" i="36" s="1"/>
  <c r="I96" i="36" s="1"/>
  <c r="V14" i="4"/>
  <c r="V38" i="4" l="1"/>
  <c r="V27" i="4"/>
  <c r="V12" i="4"/>
  <c r="V94" i="4" s="1"/>
  <c r="V95" i="4" s="1"/>
  <c r="V96" i="4" s="1"/>
  <c r="H502" i="20"/>
  <c r="V14" i="36"/>
  <c r="V29" i="4" l="1"/>
  <c r="V13" i="36"/>
  <c r="V46" i="2"/>
  <c r="V30" i="4" l="1"/>
  <c r="V13" i="4"/>
  <c r="V12" i="36" s="1"/>
  <c r="V47" i="2" s="1"/>
  <c r="V14" i="2" s="1"/>
  <c r="V31" i="4"/>
  <c r="V33" i="4" s="1"/>
  <c r="V89" i="4"/>
  <c r="V13" i="2"/>
  <c r="V45" i="2" l="1"/>
  <c r="V51" i="2" s="1"/>
  <c r="V35" i="4"/>
  <c r="V11" i="4"/>
  <c r="V11" i="36" s="1"/>
  <c r="V34" i="4"/>
  <c r="V37" i="4" s="1"/>
  <c r="V90" i="4"/>
  <c r="V98" i="4"/>
  <c r="V7" i="2"/>
  <c r="V101" i="4" l="1"/>
  <c r="V103" i="4" s="1"/>
  <c r="V36" i="4"/>
  <c r="V15" i="4" s="1"/>
  <c r="V15" i="36" s="1"/>
  <c r="V46" i="36" s="1"/>
  <c r="V99" i="4"/>
  <c r="V53" i="2"/>
  <c r="V43" i="36"/>
  <c r="V10" i="4" l="1"/>
  <c r="V17" i="4" s="1"/>
  <c r="V41" i="36"/>
  <c r="V45" i="36"/>
  <c r="V16" i="36"/>
  <c r="V20" i="36" l="1"/>
  <c r="V18" i="36"/>
  <c r="V33" i="2"/>
  <c r="V17" i="2" s="1"/>
  <c r="V19" i="36" l="1"/>
  <c r="V71" i="36"/>
  <c r="V73" i="36" s="1"/>
  <c r="W17" i="36"/>
  <c r="V30" i="2"/>
  <c r="V44" i="36"/>
  <c r="V37" i="2" l="1"/>
  <c r="V48" i="36"/>
  <c r="W16" i="4"/>
  <c r="W19" i="4" s="1"/>
  <c r="V12" i="2"/>
  <c r="V22" i="2" l="1"/>
  <c r="V50" i="36"/>
  <c r="V39" i="2"/>
  <c r="V24" i="2" l="1"/>
  <c r="W22" i="4"/>
  <c r="W23" i="4" s="1"/>
  <c r="V79" i="36"/>
  <c r="V80" i="36" s="1"/>
  <c r="V81" i="36" s="1"/>
  <c r="W25" i="4" l="1"/>
  <c r="W24" i="4"/>
  <c r="W26" i="4" s="1"/>
  <c r="W14" i="4"/>
  <c r="W38" i="4" l="1"/>
  <c r="W27" i="4"/>
  <c r="W12" i="4"/>
  <c r="W94" i="4" s="1"/>
  <c r="W95" i="4" s="1"/>
  <c r="W96" i="4" s="1"/>
  <c r="W14" i="36"/>
  <c r="W29" i="4" l="1"/>
  <c r="W46" i="2"/>
  <c r="W13" i="36"/>
  <c r="W30" i="4" l="1"/>
  <c r="W13" i="4"/>
  <c r="W12" i="36" s="1"/>
  <c r="W47" i="2" s="1"/>
  <c r="W14" i="2" s="1"/>
  <c r="W31" i="4"/>
  <c r="W33" i="4" s="1"/>
  <c r="W35" i="4" s="1"/>
  <c r="W36" i="4" s="1"/>
  <c r="W15" i="4" s="1"/>
  <c r="W15" i="36" s="1"/>
  <c r="W13" i="2"/>
  <c r="W45" i="2" l="1"/>
  <c r="W51" i="2" s="1"/>
  <c r="W34" i="4"/>
  <c r="W37" i="4" s="1"/>
  <c r="W101" i="4"/>
  <c r="W11" i="4"/>
  <c r="W10" i="4" s="1"/>
  <c r="W17" i="4" s="1"/>
  <c r="W89" i="4"/>
  <c r="W7" i="2"/>
  <c r="W11" i="36" l="1"/>
  <c r="W46" i="36" s="1"/>
  <c r="W90" i="4"/>
  <c r="W98" i="4"/>
  <c r="W103" i="4" s="1"/>
  <c r="W53" i="2"/>
  <c r="W99" i="4" l="1"/>
  <c r="W43" i="36"/>
  <c r="W45" i="36"/>
  <c r="W41" i="36" l="1"/>
  <c r="W33" i="2" l="1"/>
  <c r="W17" i="2" s="1"/>
  <c r="W16" i="36"/>
  <c r="W44" i="36" l="1"/>
  <c r="W30" i="2"/>
  <c r="W20" i="36"/>
  <c r="W18" i="36"/>
  <c r="W12" i="2" l="1"/>
  <c r="W37" i="2"/>
  <c r="W48" i="36"/>
  <c r="W19" i="36"/>
  <c r="X17" i="36"/>
  <c r="W71" i="36"/>
  <c r="W73" i="36" s="1"/>
  <c r="W22" i="2" l="1"/>
  <c r="W50" i="36"/>
  <c r="W39" i="2"/>
  <c r="X16" i="4"/>
  <c r="X19" i="4" s="1"/>
  <c r="W24" i="2" l="1"/>
  <c r="W79" i="36"/>
  <c r="W80" i="36" s="1"/>
  <c r="W81" i="36" s="1"/>
  <c r="X22" i="4" l="1"/>
  <c r="X23" i="4" s="1"/>
  <c r="X25" i="4" l="1"/>
  <c r="X24" i="4"/>
  <c r="X26" i="4" s="1"/>
  <c r="X14" i="4"/>
  <c r="X38" i="4" l="1"/>
  <c r="X27" i="4"/>
  <c r="X12" i="4"/>
  <c r="X14" i="36"/>
  <c r="X29" i="4" l="1"/>
  <c r="X13" i="36"/>
  <c r="X94" i="4"/>
  <c r="X95" i="4" s="1"/>
  <c r="X96" i="4" s="1"/>
  <c r="X46" i="2"/>
  <c r="X13" i="4" l="1"/>
  <c r="X12" i="36" s="1"/>
  <c r="X47" i="2" s="1"/>
  <c r="X14" i="2" s="1"/>
  <c r="X30" i="4"/>
  <c r="X31" i="4"/>
  <c r="X33" i="4" s="1"/>
  <c r="X89" i="4"/>
  <c r="X13" i="2"/>
  <c r="X45" i="2" l="1"/>
  <c r="X51" i="2" s="1"/>
  <c r="X35" i="4"/>
  <c r="X11" i="4"/>
  <c r="X11" i="36" s="1"/>
  <c r="X34" i="4"/>
  <c r="X37" i="4" s="1"/>
  <c r="X90" i="4"/>
  <c r="X98" i="4"/>
  <c r="X7" i="2"/>
  <c r="X43" i="36"/>
  <c r="X45" i="36" l="1"/>
  <c r="X101" i="4"/>
  <c r="X103" i="4" s="1"/>
  <c r="X36" i="4"/>
  <c r="X15" i="4" s="1"/>
  <c r="X15" i="36" s="1"/>
  <c r="X46" i="36" s="1"/>
  <c r="X99" i="4"/>
  <c r="X53" i="2"/>
  <c r="X41" i="36"/>
  <c r="X33" i="2" l="1"/>
  <c r="X17" i="2" s="1"/>
  <c r="X44" i="36"/>
  <c r="X48" i="36" s="1"/>
  <c r="X16" i="36"/>
  <c r="X18" i="36" s="1"/>
  <c r="X10" i="4"/>
  <c r="X17" i="4" s="1"/>
  <c r="X30" i="2" l="1"/>
  <c r="X37" i="2" s="1"/>
  <c r="X20" i="36"/>
  <c r="X12" i="2"/>
  <c r="X50" i="36"/>
  <c r="X71" i="36"/>
  <c r="X73" i="36" s="1"/>
  <c r="X19" i="36"/>
  <c r="Y17" i="36"/>
  <c r="X22" i="2" l="1"/>
  <c r="X79" i="36"/>
  <c r="X80" i="36" s="1"/>
  <c r="X81" i="36" s="1"/>
  <c r="X39" i="2"/>
  <c r="Y16" i="4"/>
  <c r="Y19" i="4" s="1"/>
  <c r="X24" i="2" l="1"/>
  <c r="Y22" i="4" l="1"/>
  <c r="Y23" i="4" s="1"/>
  <c r="Y25" i="4" l="1"/>
  <c r="Y24" i="4"/>
  <c r="Y26" i="4" s="1"/>
  <c r="Y14" i="4"/>
  <c r="Y38" i="4" l="1"/>
  <c r="Y27" i="4"/>
  <c r="Y12" i="4"/>
  <c r="Y94" i="4" s="1"/>
  <c r="Y95" i="4" s="1"/>
  <c r="Y96" i="4" s="1"/>
  <c r="Y14" i="36"/>
  <c r="J49" i="4"/>
  <c r="Y29" i="4" l="1"/>
  <c r="J47" i="4"/>
  <c r="Y13" i="36"/>
  <c r="Y46" i="2"/>
  <c r="J30" i="36"/>
  <c r="Y30" i="4" l="1"/>
  <c r="Y13" i="4"/>
  <c r="Y31" i="4"/>
  <c r="Y33" i="4" s="1"/>
  <c r="Y89" i="4"/>
  <c r="Y13" i="2"/>
  <c r="I466" i="20"/>
  <c r="J48" i="4" l="1"/>
  <c r="Y12" i="36"/>
  <c r="Y35" i="4"/>
  <c r="Y11" i="4"/>
  <c r="Y11" i="36" s="1"/>
  <c r="Y34" i="4"/>
  <c r="Y37" i="4" s="1"/>
  <c r="Y90" i="4"/>
  <c r="Y98" i="4"/>
  <c r="Y43" i="36"/>
  <c r="Y7" i="2"/>
  <c r="J27" i="36"/>
  <c r="Y45" i="36" l="1"/>
  <c r="J58" i="36" s="1"/>
  <c r="J28" i="36"/>
  <c r="Y47" i="2"/>
  <c r="J46" i="4"/>
  <c r="J45" i="4" s="1"/>
  <c r="Y101" i="4"/>
  <c r="Y103" i="4" s="1"/>
  <c r="Y36" i="4"/>
  <c r="Y15" i="4" s="1"/>
  <c r="Y15" i="36" s="1"/>
  <c r="Y46" i="36" s="1"/>
  <c r="Y99" i="4"/>
  <c r="Y41" i="36"/>
  <c r="J56" i="36"/>
  <c r="J31" i="36" l="1"/>
  <c r="Y33" i="2"/>
  <c r="Y17" i="2" s="1"/>
  <c r="I467" i="20"/>
  <c r="Y14" i="2"/>
  <c r="Y45" i="2"/>
  <c r="Y10" i="4"/>
  <c r="Y17" i="4" s="1"/>
  <c r="Y16" i="36"/>
  <c r="J59" i="36"/>
  <c r="J54" i="36"/>
  <c r="I480" i="20" l="1"/>
  <c r="Y30" i="2"/>
  <c r="Y51" i="2"/>
  <c r="I465" i="20"/>
  <c r="Y44" i="36"/>
  <c r="J57" i="36" s="1"/>
  <c r="Y20" i="36"/>
  <c r="Y18" i="36"/>
  <c r="J32" i="36"/>
  <c r="J34" i="36" s="1"/>
  <c r="K33" i="36" s="1"/>
  <c r="Y12" i="2"/>
  <c r="Y37" i="2"/>
  <c r="I477" i="20"/>
  <c r="Y53" i="2" l="1"/>
  <c r="I471" i="20"/>
  <c r="I473" i="20" s="1"/>
  <c r="Y48" i="36"/>
  <c r="Y50" i="36" s="1"/>
  <c r="Y22" i="2"/>
  <c r="I490" i="20"/>
  <c r="Y19" i="36"/>
  <c r="Y71" i="36"/>
  <c r="Z17" i="36"/>
  <c r="Z16" i="4" s="1"/>
  <c r="Y39" i="2"/>
  <c r="I484" i="20"/>
  <c r="J61" i="36"/>
  <c r="Z19" i="4" l="1"/>
  <c r="Z22" i="4" s="1"/>
  <c r="Z23" i="4" s="1"/>
  <c r="Z25" i="4" s="1"/>
  <c r="Y24" i="2"/>
  <c r="I500" i="20"/>
  <c r="J86" i="36"/>
  <c r="J88" i="36" s="1"/>
  <c r="Y73" i="36"/>
  <c r="Y79" i="36"/>
  <c r="J63" i="36"/>
  <c r="I486" i="20"/>
  <c r="Z24" i="4" l="1"/>
  <c r="Z12" i="4" s="1"/>
  <c r="J94" i="36"/>
  <c r="J95" i="36" s="1"/>
  <c r="J96" i="36" s="1"/>
  <c r="Y80" i="36"/>
  <c r="Y81" i="36" s="1"/>
  <c r="Z14" i="4"/>
  <c r="Z27" i="4" l="1"/>
  <c r="Z94" i="4"/>
  <c r="Z95" i="4" s="1"/>
  <c r="Z96" i="4" s="1"/>
  <c r="Z26" i="4"/>
  <c r="Z38" i="4" s="1"/>
  <c r="I502" i="20"/>
  <c r="Z14" i="36"/>
  <c r="Z13" i="36"/>
  <c r="Z29" i="4" l="1"/>
  <c r="Z46" i="2"/>
  <c r="Z13" i="4" l="1"/>
  <c r="Z12" i="36" s="1"/>
  <c r="Z47" i="2" s="1"/>
  <c r="Z14" i="2" s="1"/>
  <c r="Z30" i="4"/>
  <c r="Z31" i="4"/>
  <c r="Z33" i="4" s="1"/>
  <c r="Z89" i="4"/>
  <c r="Z13" i="2"/>
  <c r="Z45" i="2" l="1"/>
  <c r="Z51" i="2" s="1"/>
  <c r="Z35" i="4"/>
  <c r="Z11" i="4"/>
  <c r="Z11" i="36" s="1"/>
  <c r="Z34" i="4"/>
  <c r="Z37" i="4" s="1"/>
  <c r="Z90" i="4"/>
  <c r="Z98" i="4"/>
  <c r="Z7" i="2"/>
  <c r="Z101" i="4" l="1"/>
  <c r="Z103" i="4" s="1"/>
  <c r="Z36" i="4"/>
  <c r="Z15" i="4" s="1"/>
  <c r="Z15" i="36" s="1"/>
  <c r="Z46" i="36" s="1"/>
  <c r="Z99" i="4"/>
  <c r="Z53" i="2"/>
  <c r="Z43" i="36"/>
  <c r="Z10" i="4" l="1"/>
  <c r="Z17" i="4" s="1"/>
  <c r="Z45" i="36"/>
  <c r="Z41" i="36"/>
  <c r="Z33" i="2" l="1"/>
  <c r="Z17" i="2" s="1"/>
  <c r="Z16" i="36"/>
  <c r="Z44" i="36"/>
  <c r="Z48" i="36" s="1"/>
  <c r="Z50" i="36" l="1"/>
  <c r="Z18" i="36"/>
  <c r="Z20" i="36"/>
  <c r="Z30" i="2"/>
  <c r="Z71" i="36" l="1"/>
  <c r="Z73" i="36" s="1"/>
  <c r="Z19" i="36"/>
  <c r="AA17" i="36"/>
  <c r="Z12" i="2"/>
  <c r="Z37" i="2"/>
  <c r="Z79" i="36"/>
  <c r="Z80" i="36" s="1"/>
  <c r="Z81" i="36" l="1"/>
  <c r="Z22" i="2"/>
  <c r="Z39" i="2"/>
  <c r="AA16" i="4"/>
  <c r="AA19" i="4" s="1"/>
  <c r="Z24" i="2" l="1"/>
  <c r="AA22" i="4" l="1"/>
  <c r="AA23" i="4" s="1"/>
  <c r="AA25" i="4" l="1"/>
  <c r="AA24" i="4"/>
  <c r="AA26" i="4" s="1"/>
  <c r="AA14" i="4"/>
  <c r="AA38" i="4" l="1"/>
  <c r="AA27" i="4"/>
  <c r="AA12" i="4"/>
  <c r="AA94" i="4" s="1"/>
  <c r="AA95" i="4" s="1"/>
  <c r="AA96" i="4" s="1"/>
  <c r="AA14" i="36"/>
  <c r="AA29" i="4" l="1"/>
  <c r="AA13" i="36"/>
  <c r="AA46" i="2"/>
  <c r="AA30" i="4" l="1"/>
  <c r="AA13" i="4"/>
  <c r="AA12" i="36" s="1"/>
  <c r="AA47" i="2" s="1"/>
  <c r="AA14" i="2" s="1"/>
  <c r="AA31" i="4"/>
  <c r="AA33" i="4" s="1"/>
  <c r="AA89" i="4"/>
  <c r="AA13" i="2"/>
  <c r="AA45" i="2" l="1"/>
  <c r="AA51" i="2" s="1"/>
  <c r="AA35" i="4"/>
  <c r="AA34" i="4"/>
  <c r="AA37" i="4" s="1"/>
  <c r="AA11" i="4"/>
  <c r="AA90" i="4"/>
  <c r="AA98" i="4"/>
  <c r="AA7" i="2"/>
  <c r="AA11" i="36" l="1"/>
  <c r="AA45" i="36" s="1"/>
  <c r="AA36" i="4"/>
  <c r="AA15" i="4" s="1"/>
  <c r="AA15" i="36" s="1"/>
  <c r="AA46" i="36" s="1"/>
  <c r="AA101" i="4"/>
  <c r="AA103" i="4" s="1"/>
  <c r="AA99" i="4"/>
  <c r="AA53" i="2"/>
  <c r="AA43" i="36"/>
  <c r="AA10" i="4" l="1"/>
  <c r="AA17" i="4" s="1"/>
  <c r="AA41" i="36"/>
  <c r="AA33" i="2"/>
  <c r="AA17" i="2" s="1"/>
  <c r="AA16" i="36"/>
  <c r="AA44" i="36"/>
  <c r="AA18" i="36" l="1"/>
  <c r="AA20" i="36"/>
  <c r="AA30" i="2"/>
  <c r="AA48" i="36"/>
  <c r="AA12" i="2" l="1"/>
  <c r="AA50" i="36"/>
  <c r="AA37" i="2"/>
  <c r="AB17" i="36"/>
  <c r="AA19" i="36"/>
  <c r="AA71" i="36"/>
  <c r="AA73" i="36" s="1"/>
  <c r="AA22" i="2" l="1"/>
  <c r="AB16" i="4"/>
  <c r="AB19" i="4" s="1"/>
  <c r="AA39" i="2"/>
  <c r="AA79" i="36"/>
  <c r="AA80" i="36" s="1"/>
  <c r="AA81" i="36" s="1"/>
  <c r="AA24" i="2" l="1"/>
  <c r="AB22" i="4" l="1"/>
  <c r="AB23" i="4" s="1"/>
  <c r="AB25" i="4" l="1"/>
  <c r="AB24" i="4"/>
  <c r="AB26" i="4" s="1"/>
  <c r="AB14" i="4"/>
  <c r="AB38" i="4" l="1"/>
  <c r="AB27" i="4"/>
  <c r="AB12" i="4"/>
  <c r="AB14" i="36"/>
  <c r="AB29" i="4" l="1"/>
  <c r="AB13" i="36"/>
  <c r="AB94" i="4"/>
  <c r="AB95" i="4" s="1"/>
  <c r="AB96" i="4" s="1"/>
  <c r="AB46" i="2"/>
  <c r="AB30" i="4" l="1"/>
  <c r="AB13" i="4"/>
  <c r="AB12" i="36" s="1"/>
  <c r="AB47" i="2" s="1"/>
  <c r="AB14" i="2" s="1"/>
  <c r="AB31" i="4"/>
  <c r="AB33" i="4" s="1"/>
  <c r="AB89" i="4"/>
  <c r="AB13" i="2"/>
  <c r="AB45" i="2" l="1"/>
  <c r="AB51" i="2" s="1"/>
  <c r="AB35" i="4"/>
  <c r="AB11" i="4"/>
  <c r="AB34" i="4"/>
  <c r="AB37" i="4" s="1"/>
  <c r="AB90" i="4"/>
  <c r="AB98" i="4"/>
  <c r="AB43" i="36"/>
  <c r="AB7" i="2"/>
  <c r="AB11" i="36" l="1"/>
  <c r="AB45" i="36" s="1"/>
  <c r="AB36" i="4"/>
  <c r="AB15" i="4" s="1"/>
  <c r="AB15" i="36" s="1"/>
  <c r="AB46" i="36" s="1"/>
  <c r="AB101" i="4"/>
  <c r="AB103" i="4" s="1"/>
  <c r="AB99" i="4"/>
  <c r="AB41" i="36"/>
  <c r="AB53" i="2"/>
  <c r="AB33" i="2"/>
  <c r="AB17" i="2" s="1"/>
  <c r="AB16" i="36" l="1"/>
  <c r="AB18" i="36" s="1"/>
  <c r="AB10" i="4"/>
  <c r="AB17" i="4" s="1"/>
  <c r="AB44" i="36"/>
  <c r="AB48" i="36" s="1"/>
  <c r="AB30" i="2"/>
  <c r="AB20" i="36" l="1"/>
  <c r="AB50" i="36"/>
  <c r="AB19" i="36"/>
  <c r="AC17" i="36"/>
  <c r="AB71" i="36"/>
  <c r="AB73" i="36" s="1"/>
  <c r="AB12" i="2"/>
  <c r="AB37" i="2"/>
  <c r="AB22" i="2" l="1"/>
  <c r="AB39" i="2"/>
  <c r="AC16" i="4"/>
  <c r="AC19" i="4" s="1"/>
  <c r="AB79" i="36"/>
  <c r="AB80" i="36" s="1"/>
  <c r="AB81" i="36" s="1"/>
  <c r="AB24" i="2" l="1"/>
  <c r="AC22" i="4" l="1"/>
  <c r="AC23" i="4" s="1"/>
  <c r="AC25" i="4" l="1"/>
  <c r="AC24" i="4"/>
  <c r="AC26" i="4" s="1"/>
  <c r="AC14" i="4"/>
  <c r="AC38" i="4" l="1"/>
  <c r="AC27" i="4"/>
  <c r="AC12" i="4"/>
  <c r="AC94" i="4" s="1"/>
  <c r="AC95" i="4" s="1"/>
  <c r="AC96" i="4" s="1"/>
  <c r="AC14" i="36"/>
  <c r="K49" i="4"/>
  <c r="AC29" i="4" l="1"/>
  <c r="K47" i="4"/>
  <c r="AC13" i="36"/>
  <c r="K29" i="36" s="1"/>
  <c r="AC46" i="2"/>
  <c r="K30" i="36"/>
  <c r="AC13" i="4" l="1"/>
  <c r="AC30" i="4"/>
  <c r="AC31" i="4"/>
  <c r="AC33" i="4" s="1"/>
  <c r="AC89" i="4"/>
  <c r="AC13" i="2"/>
  <c r="J466" i="20"/>
  <c r="K48" i="4" l="1"/>
  <c r="AC12" i="36"/>
  <c r="AC35" i="4"/>
  <c r="AC34" i="4"/>
  <c r="AC37" i="4" s="1"/>
  <c r="AC11" i="4"/>
  <c r="AC11" i="36" s="1"/>
  <c r="AC90" i="4"/>
  <c r="AC98" i="4"/>
  <c r="K27" i="36"/>
  <c r="AC43" i="36"/>
  <c r="AC7" i="2"/>
  <c r="AC45" i="36" l="1"/>
  <c r="K28" i="36"/>
  <c r="AC47" i="2"/>
  <c r="K46" i="4"/>
  <c r="K45" i="4" s="1"/>
  <c r="AC36" i="4"/>
  <c r="AC15" i="4" s="1"/>
  <c r="AC15" i="36" s="1"/>
  <c r="AC46" i="36" s="1"/>
  <c r="AC101" i="4"/>
  <c r="AC103" i="4" s="1"/>
  <c r="AC99" i="4"/>
  <c r="K31" i="36"/>
  <c r="AC41" i="36"/>
  <c r="K56" i="36"/>
  <c r="K58" i="36"/>
  <c r="AC33" i="2" l="1"/>
  <c r="AC17" i="2" s="1"/>
  <c r="AC14" i="2"/>
  <c r="J467" i="20"/>
  <c r="AC45" i="2"/>
  <c r="AC10" i="4"/>
  <c r="AC17" i="4" s="1"/>
  <c r="AC16" i="36"/>
  <c r="AC20" i="36" s="1"/>
  <c r="AC44" i="36"/>
  <c r="AC48" i="36" s="1"/>
  <c r="K32" i="36"/>
  <c r="K34" i="36" s="1"/>
  <c r="L33" i="36" s="1"/>
  <c r="K54" i="36"/>
  <c r="J480" i="20" l="1"/>
  <c r="AC30" i="2"/>
  <c r="AC51" i="2"/>
  <c r="J465" i="20"/>
  <c r="AC18" i="36"/>
  <c r="AC71" i="36" s="1"/>
  <c r="AC73" i="36" s="1"/>
  <c r="AC50" i="36"/>
  <c r="K61" i="36"/>
  <c r="AC12" i="2"/>
  <c r="AC37" i="2"/>
  <c r="J477" i="20"/>
  <c r="AC53" i="2" l="1"/>
  <c r="J471" i="20"/>
  <c r="J473" i="20" s="1"/>
  <c r="K86" i="36"/>
  <c r="K88" i="36" s="1"/>
  <c r="AC19" i="36"/>
  <c r="AD17" i="36"/>
  <c r="AD16" i="4" s="1"/>
  <c r="AC22" i="2"/>
  <c r="J490" i="20"/>
  <c r="AC79" i="36"/>
  <c r="K63" i="36"/>
  <c r="AC39" i="2"/>
  <c r="J484" i="20"/>
  <c r="J486" i="20" s="1"/>
  <c r="AD19" i="4" l="1"/>
  <c r="AC24" i="2"/>
  <c r="J500" i="20"/>
  <c r="AC80" i="36"/>
  <c r="AC81" i="36" s="1"/>
  <c r="K94" i="36"/>
  <c r="K95" i="36" s="1"/>
  <c r="K96" i="36" s="1"/>
  <c r="AD22" i="4" l="1"/>
  <c r="AD23" i="4" s="1"/>
  <c r="AD25" i="4" s="1"/>
  <c r="J502" i="20"/>
  <c r="AD24" i="4" l="1"/>
  <c r="AD26" i="4" s="1"/>
  <c r="AD38" i="4" s="1"/>
  <c r="AD14" i="4"/>
  <c r="AD27" i="4" l="1"/>
  <c r="AD12" i="4"/>
  <c r="AD94" i="4" s="1"/>
  <c r="AD95" i="4" s="1"/>
  <c r="AD96" i="4" s="1"/>
  <c r="AD14" i="36"/>
  <c r="AD29" i="4" l="1"/>
  <c r="AD13" i="36"/>
  <c r="AD46" i="2"/>
  <c r="AD30" i="4" l="1"/>
  <c r="AD13" i="4"/>
  <c r="AD12" i="36" s="1"/>
  <c r="AD47" i="2" s="1"/>
  <c r="AD14" i="2" s="1"/>
  <c r="AD31" i="4"/>
  <c r="AD33" i="4" s="1"/>
  <c r="AD89" i="4"/>
  <c r="AD13" i="2"/>
  <c r="AD45" i="2" l="1"/>
  <c r="AD51" i="2" s="1"/>
  <c r="AD35" i="4"/>
  <c r="AD34" i="4"/>
  <c r="AD37" i="4" s="1"/>
  <c r="AD11" i="4"/>
  <c r="AD11" i="36" s="1"/>
  <c r="AD90" i="4"/>
  <c r="AD98" i="4"/>
  <c r="AD43" i="36"/>
  <c r="AD7" i="2"/>
  <c r="AD36" i="4" l="1"/>
  <c r="AD15" i="4" s="1"/>
  <c r="AD15" i="36" s="1"/>
  <c r="AD46" i="36" s="1"/>
  <c r="AD101" i="4"/>
  <c r="AD103" i="4" s="1"/>
  <c r="AD99" i="4"/>
  <c r="AD33" i="2"/>
  <c r="AD17" i="2" s="1"/>
  <c r="AD45" i="36"/>
  <c r="AD41" i="36"/>
  <c r="AD53" i="2"/>
  <c r="AD10" i="4" l="1"/>
  <c r="AD17" i="4" s="1"/>
  <c r="AD16" i="36"/>
  <c r="AD44" i="36"/>
  <c r="AD30" i="2"/>
  <c r="AD18" i="36" l="1"/>
  <c r="AD20" i="36"/>
  <c r="AD37" i="2"/>
  <c r="AD12" i="2"/>
  <c r="AD48" i="36"/>
  <c r="AD22" i="2" l="1"/>
  <c r="AD71" i="36"/>
  <c r="AD73" i="36" s="1"/>
  <c r="AD19" i="36"/>
  <c r="AE17" i="36"/>
  <c r="AE16" i="4" s="1"/>
  <c r="AD50" i="36"/>
  <c r="AD39" i="2"/>
  <c r="AE19" i="4" l="1"/>
  <c r="AE22" i="4" s="1"/>
  <c r="AE23" i="4" s="1"/>
  <c r="AE25" i="4" s="1"/>
  <c r="AD24" i="2"/>
  <c r="AD79" i="36"/>
  <c r="AD80" i="36" s="1"/>
  <c r="AD81" i="36" s="1"/>
  <c r="AE24" i="4" l="1"/>
  <c r="AE26" i="4" s="1"/>
  <c r="AE38" i="4" s="1"/>
  <c r="AE14" i="4"/>
  <c r="AE27" i="4" l="1"/>
  <c r="AE12" i="4"/>
  <c r="AE14" i="36"/>
  <c r="AE29" i="4" l="1"/>
  <c r="AE13" i="36"/>
  <c r="AE94" i="4"/>
  <c r="AE95" i="4" s="1"/>
  <c r="AE96" i="4" s="1"/>
  <c r="AE46" i="2"/>
  <c r="AE30" i="4" l="1"/>
  <c r="AE13" i="4"/>
  <c r="AE12" i="36" s="1"/>
  <c r="AE47" i="2" s="1"/>
  <c r="AE14" i="2" s="1"/>
  <c r="AE31" i="4"/>
  <c r="AE33" i="4" s="1"/>
  <c r="AE35" i="4" s="1"/>
  <c r="AE36" i="4" s="1"/>
  <c r="AE15" i="4" s="1"/>
  <c r="AE15" i="36" s="1"/>
  <c r="AE13" i="2"/>
  <c r="AE45" i="2" l="1"/>
  <c r="AE51" i="2" s="1"/>
  <c r="AE101" i="4"/>
  <c r="AE34" i="4"/>
  <c r="AE37" i="4" s="1"/>
  <c r="AE11" i="4"/>
  <c r="AE10" i="4" s="1"/>
  <c r="AE17" i="4" s="1"/>
  <c r="AE89" i="4"/>
  <c r="AE7" i="2"/>
  <c r="AE11" i="36" l="1"/>
  <c r="AE46" i="36" s="1"/>
  <c r="AE90" i="4"/>
  <c r="AE98" i="4"/>
  <c r="AE103" i="4" s="1"/>
  <c r="AE43" i="36"/>
  <c r="AE53" i="2"/>
  <c r="AE16" i="36" l="1"/>
  <c r="AE20" i="36" s="1"/>
  <c r="AE45" i="36"/>
  <c r="AE44" i="36" s="1"/>
  <c r="AE99" i="4"/>
  <c r="AE33" i="2"/>
  <c r="AE17" i="2" s="1"/>
  <c r="AE41" i="36"/>
  <c r="AE18" i="36" l="1"/>
  <c r="AE71" i="36" s="1"/>
  <c r="AE73" i="36" s="1"/>
  <c r="AE30" i="2"/>
  <c r="AE48" i="36"/>
  <c r="AE19" i="36" l="1"/>
  <c r="AF17" i="36"/>
  <c r="AE12" i="2"/>
  <c r="AF16" i="4"/>
  <c r="AF19" i="4" s="1"/>
  <c r="AE50" i="36"/>
  <c r="AE37" i="2"/>
  <c r="AE22" i="2" l="1"/>
  <c r="AE39" i="2"/>
  <c r="AE79" i="36"/>
  <c r="AE80" i="36" s="1"/>
  <c r="AE81" i="36" s="1"/>
  <c r="AE24" i="2" l="1"/>
  <c r="AF22" i="4"/>
  <c r="AF23" i="4" s="1"/>
  <c r="AF25" i="4" l="1"/>
  <c r="AF24" i="4"/>
  <c r="AF26" i="4" s="1"/>
  <c r="AF14" i="4"/>
  <c r="AF38" i="4" l="1"/>
  <c r="AF27" i="4"/>
  <c r="AF12" i="4"/>
  <c r="AF94" i="4" s="1"/>
  <c r="AF95" i="4" s="1"/>
  <c r="AF96" i="4" s="1"/>
  <c r="AF14" i="36"/>
  <c r="AF29" i="4" l="1"/>
  <c r="AF13" i="36"/>
  <c r="AF46" i="2"/>
  <c r="AF30" i="4" l="1"/>
  <c r="AF13" i="4"/>
  <c r="AF12" i="36" s="1"/>
  <c r="AF47" i="2" s="1"/>
  <c r="AF14" i="2" s="1"/>
  <c r="AF31" i="4"/>
  <c r="AF33" i="4" s="1"/>
  <c r="AF89" i="4"/>
  <c r="AF13" i="2"/>
  <c r="AF45" i="2" l="1"/>
  <c r="AF51" i="2" s="1"/>
  <c r="AF35" i="4"/>
  <c r="AF11" i="4"/>
  <c r="AF11" i="36" s="1"/>
  <c r="AF34" i="4"/>
  <c r="AF37" i="4" s="1"/>
  <c r="AF90" i="4"/>
  <c r="AF98" i="4"/>
  <c r="AF43" i="36"/>
  <c r="AF7" i="2"/>
  <c r="AF36" i="4" l="1"/>
  <c r="AF15" i="4" s="1"/>
  <c r="AF15" i="36" s="1"/>
  <c r="AF46" i="36" s="1"/>
  <c r="AF101" i="4"/>
  <c r="AF103" i="4" s="1"/>
  <c r="AF99" i="4"/>
  <c r="AF53" i="2"/>
  <c r="AF41" i="36"/>
  <c r="AF33" i="2"/>
  <c r="AF17" i="2" s="1"/>
  <c r="AF45" i="36"/>
  <c r="AF16" i="36" l="1"/>
  <c r="AF18" i="36" s="1"/>
  <c r="AF10" i="4"/>
  <c r="AF17" i="4" s="1"/>
  <c r="AF30" i="2"/>
  <c r="AF44" i="36"/>
  <c r="AF20" i="36" l="1"/>
  <c r="AF71" i="36"/>
  <c r="AF73" i="36" s="1"/>
  <c r="AF19" i="36"/>
  <c r="AG17" i="36"/>
  <c r="AF12" i="2"/>
  <c r="AF37" i="2"/>
  <c r="AF48" i="36"/>
  <c r="AF22" i="2" l="1"/>
  <c r="AF39" i="2"/>
  <c r="AG16" i="4"/>
  <c r="AG19" i="4" s="1"/>
  <c r="AF50" i="36"/>
  <c r="AF24" i="2" l="1"/>
  <c r="AF79" i="36"/>
  <c r="AF80" i="36" s="1"/>
  <c r="AF81" i="36" s="1"/>
  <c r="AG22" i="4" l="1"/>
  <c r="AG23" i="4" s="1"/>
  <c r="AG25" i="4" l="1"/>
  <c r="AG24" i="4"/>
  <c r="AG26" i="4" s="1"/>
  <c r="AG14" i="4"/>
  <c r="AG38" i="4" l="1"/>
  <c r="AG27" i="4"/>
  <c r="AG12" i="4"/>
  <c r="AG94" i="4" s="1"/>
  <c r="AG95" i="4" s="1"/>
  <c r="AG96" i="4" s="1"/>
  <c r="AG14" i="36"/>
  <c r="L49" i="4"/>
  <c r="AG29" i="4" l="1"/>
  <c r="L47" i="4"/>
  <c r="AG13" i="36"/>
  <c r="AG46" i="2"/>
  <c r="L30" i="36"/>
  <c r="AG30" i="4" l="1"/>
  <c r="AG13" i="4"/>
  <c r="AG31" i="4"/>
  <c r="AG33" i="4" s="1"/>
  <c r="AG13" i="2"/>
  <c r="K466" i="20"/>
  <c r="L48" i="4" l="1"/>
  <c r="AG12" i="36"/>
  <c r="AG35" i="4"/>
  <c r="AG34" i="4"/>
  <c r="AG37" i="4" s="1"/>
  <c r="AG11" i="4"/>
  <c r="AG11" i="36" s="1"/>
  <c r="AG7" i="2"/>
  <c r="AG43" i="36"/>
  <c r="L27" i="36" l="1"/>
  <c r="AG45" i="36"/>
  <c r="L58" i="36" s="1"/>
  <c r="L28" i="36"/>
  <c r="AG47" i="2"/>
  <c r="AG89" i="4"/>
  <c r="L46" i="4"/>
  <c r="L45" i="4" s="1"/>
  <c r="AG36" i="4"/>
  <c r="AG15" i="4" s="1"/>
  <c r="AG15" i="36" s="1"/>
  <c r="AG46" i="36" s="1"/>
  <c r="AG101" i="4"/>
  <c r="L31" i="36"/>
  <c r="AG41" i="36"/>
  <c r="L56" i="36"/>
  <c r="AG14" i="2" l="1"/>
  <c r="K467" i="20"/>
  <c r="AG45" i="2"/>
  <c r="AG33" i="2"/>
  <c r="AG17" i="2" s="1"/>
  <c r="AG10" i="4"/>
  <c r="AG17" i="4" s="1"/>
  <c r="AG90" i="4"/>
  <c r="AG98" i="4"/>
  <c r="AG16" i="36"/>
  <c r="AG18" i="36" s="1"/>
  <c r="AG71" i="36" s="1"/>
  <c r="AG44" i="36"/>
  <c r="AG48" i="36" s="1"/>
  <c r="L54" i="36"/>
  <c r="K480" i="20"/>
  <c r="L32" i="36" l="1"/>
  <c r="L34" i="36" s="1"/>
  <c r="M33" i="36" s="1"/>
  <c r="AG30" i="2"/>
  <c r="AG37" i="2" s="1"/>
  <c r="K465" i="20"/>
  <c r="AG51" i="2"/>
  <c r="AG103" i="4"/>
  <c r="AG99" i="4"/>
  <c r="AG20" i="36"/>
  <c r="AG19" i="36"/>
  <c r="AH17" i="36"/>
  <c r="AH16" i="4" s="1"/>
  <c r="AH19" i="4" s="1"/>
  <c r="AG12" i="2"/>
  <c r="K477" i="20"/>
  <c r="L86" i="36"/>
  <c r="L88" i="36" s="1"/>
  <c r="AG73" i="36"/>
  <c r="AG50" i="36"/>
  <c r="L61" i="36"/>
  <c r="AG53" i="2" l="1"/>
  <c r="K471" i="20"/>
  <c r="K473" i="20" s="1"/>
  <c r="AG22" i="2"/>
  <c r="K490" i="20"/>
  <c r="AG39" i="2"/>
  <c r="K484" i="20"/>
  <c r="K486" i="20" s="1"/>
  <c r="AG79" i="36"/>
  <c r="L63" i="36"/>
  <c r="AG24" i="2" l="1"/>
  <c r="K500" i="20"/>
  <c r="AH22" i="4"/>
  <c r="AH23" i="4" s="1"/>
  <c r="AG80" i="36"/>
  <c r="AG81" i="36" s="1"/>
  <c r="L94" i="36"/>
  <c r="L95" i="36" s="1"/>
  <c r="L96" i="36" s="1"/>
  <c r="AH25" i="4" l="1"/>
  <c r="AH24" i="4"/>
  <c r="AH26" i="4" s="1"/>
  <c r="K502" i="20"/>
  <c r="AH14" i="4"/>
  <c r="AH38" i="4" l="1"/>
  <c r="AH27" i="4"/>
  <c r="AH12" i="4"/>
  <c r="AH94" i="4" s="1"/>
  <c r="AH95" i="4" s="1"/>
  <c r="AH96" i="4" s="1"/>
  <c r="AH14" i="36"/>
  <c r="AH29" i="4" l="1"/>
  <c r="AH13" i="36"/>
  <c r="AH46" i="2"/>
  <c r="AH30" i="4" l="1"/>
  <c r="AH13" i="4"/>
  <c r="AH12" i="36" s="1"/>
  <c r="AH47" i="2" s="1"/>
  <c r="AH14" i="2" s="1"/>
  <c r="AH31" i="4"/>
  <c r="AH33" i="4" s="1"/>
  <c r="AH89" i="4"/>
  <c r="AH13" i="2"/>
  <c r="AH45" i="2" l="1"/>
  <c r="AH51" i="2" s="1"/>
  <c r="AH35" i="4"/>
  <c r="AH11" i="4"/>
  <c r="AH34" i="4"/>
  <c r="AH37" i="4" s="1"/>
  <c r="AH90" i="4"/>
  <c r="AH98" i="4"/>
  <c r="AH7" i="2"/>
  <c r="AH43" i="36"/>
  <c r="AH11" i="36" l="1"/>
  <c r="AH101" i="4"/>
  <c r="AH103" i="4" s="1"/>
  <c r="AH36" i="4"/>
  <c r="AH15" i="4" s="1"/>
  <c r="AH15" i="36" s="1"/>
  <c r="AH46" i="36" s="1"/>
  <c r="AH99" i="4"/>
  <c r="AH53" i="2"/>
  <c r="AH41" i="36"/>
  <c r="AH16" i="36" l="1"/>
  <c r="AH18" i="36" s="1"/>
  <c r="AH45" i="36"/>
  <c r="AH44" i="36" s="1"/>
  <c r="AH10" i="4"/>
  <c r="AH17" i="4" s="1"/>
  <c r="AH33" i="2"/>
  <c r="AH17" i="2" s="1"/>
  <c r="AH20" i="36" l="1"/>
  <c r="AH30" i="2"/>
  <c r="AH19" i="36"/>
  <c r="AI17" i="36"/>
  <c r="AH71" i="36"/>
  <c r="AH73" i="36" s="1"/>
  <c r="AH48" i="36"/>
  <c r="AI16" i="4" l="1"/>
  <c r="AI19" i="4" s="1"/>
  <c r="AH12" i="2"/>
  <c r="AH50" i="36"/>
  <c r="AH37" i="2"/>
  <c r="AH22" i="2" l="1"/>
  <c r="AH39" i="2"/>
  <c r="AH79" i="36"/>
  <c r="AH80" i="36" s="1"/>
  <c r="AH81" i="36" s="1"/>
  <c r="AH24" i="2" l="1"/>
  <c r="AI22" i="4" l="1"/>
  <c r="AI23" i="4" s="1"/>
  <c r="AI25" i="4" l="1"/>
  <c r="AI24" i="4"/>
  <c r="AI26" i="4" s="1"/>
  <c r="AI14" i="4"/>
  <c r="AI38" i="4" l="1"/>
  <c r="AI27" i="4"/>
  <c r="AI12" i="4"/>
  <c r="AI94" i="4" s="1"/>
  <c r="AI95" i="4" s="1"/>
  <c r="AI96" i="4" s="1"/>
  <c r="AI14" i="36"/>
  <c r="AI29" i="4" l="1"/>
  <c r="AI13" i="36"/>
  <c r="AI46" i="2"/>
  <c r="AI30" i="4" l="1"/>
  <c r="AI13" i="4"/>
  <c r="AI12" i="36" s="1"/>
  <c r="AI47" i="2" s="1"/>
  <c r="AI14" i="2" s="1"/>
  <c r="AI31" i="4"/>
  <c r="AI33" i="4" s="1"/>
  <c r="AI13" i="2"/>
  <c r="AI45" i="2" l="1"/>
  <c r="AI51" i="2" s="1"/>
  <c r="AI35" i="4"/>
  <c r="AI11" i="4"/>
  <c r="AI11" i="36" s="1"/>
  <c r="AI45" i="36" s="1"/>
  <c r="AI34" i="4"/>
  <c r="AI37" i="4" s="1"/>
  <c r="AI7" i="2"/>
  <c r="AI43" i="36"/>
  <c r="AI89" i="4" l="1"/>
  <c r="AI36" i="4"/>
  <c r="AI15" i="4" s="1"/>
  <c r="AI15" i="36" s="1"/>
  <c r="AI101" i="4"/>
  <c r="AI53" i="2"/>
  <c r="AI41" i="36"/>
  <c r="AI46" i="36" l="1"/>
  <c r="AI44" i="36" s="1"/>
  <c r="AI48" i="36" s="1"/>
  <c r="AI33" i="2"/>
  <c r="AI16" i="36"/>
  <c r="AI10" i="4"/>
  <c r="AI17" i="4" s="1"/>
  <c r="AI98" i="4"/>
  <c r="AI90" i="4"/>
  <c r="AI17" i="2" l="1"/>
  <c r="AI12" i="2" s="1"/>
  <c r="AI22" i="2" s="1"/>
  <c r="AI30" i="2"/>
  <c r="AI37" i="2" s="1"/>
  <c r="AI39" i="2" s="1"/>
  <c r="AI20" i="36"/>
  <c r="AI18" i="36"/>
  <c r="AI103" i="4"/>
  <c r="AI99" i="4"/>
  <c r="AI50" i="36"/>
  <c r="AJ17" i="36" l="1"/>
  <c r="AJ16" i="4" s="1"/>
  <c r="AJ19" i="4" s="1"/>
  <c r="AI71" i="36"/>
  <c r="AI73" i="36" s="1"/>
  <c r="AI19" i="36"/>
  <c r="AI24" i="2"/>
  <c r="AI79" i="36"/>
  <c r="AI80" i="36" s="1"/>
  <c r="AI81" i="36" l="1"/>
  <c r="AJ22" i="4"/>
  <c r="AJ24" i="4" s="1"/>
  <c r="AJ12" i="4" s="1"/>
  <c r="D24" i="4" l="1"/>
  <c r="AJ26" i="4"/>
  <c r="D26" i="4" s="1"/>
  <c r="D22" i="4"/>
  <c r="AJ23" i="4"/>
  <c r="AJ27" i="4" s="1"/>
  <c r="AJ29" i="4" l="1"/>
  <c r="E109" i="5"/>
  <c r="E108" i="5"/>
  <c r="AJ25" i="4"/>
  <c r="D23" i="4"/>
  <c r="AJ14" i="4"/>
  <c r="AJ94" i="4" s="1"/>
  <c r="AJ30" i="4" l="1"/>
  <c r="D30" i="4" s="1"/>
  <c r="E107" i="5" s="1"/>
  <c r="AJ13" i="4"/>
  <c r="AJ12" i="36" s="1"/>
  <c r="D29" i="4"/>
  <c r="AJ31" i="4"/>
  <c r="AJ33" i="4" s="1"/>
  <c r="AJ35" i="4" s="1"/>
  <c r="AJ101" i="4" s="1"/>
  <c r="D101" i="4" s="1"/>
  <c r="M49" i="4"/>
  <c r="D49" i="4" s="1"/>
  <c r="D94" i="4"/>
  <c r="AJ95" i="4"/>
  <c r="D14" i="4"/>
  <c r="AJ14" i="36"/>
  <c r="D14" i="36" s="1"/>
  <c r="D25" i="4"/>
  <c r="AJ38" i="4"/>
  <c r="AJ13" i="36"/>
  <c r="D12" i="4"/>
  <c r="M47" i="4"/>
  <c r="D47" i="4" s="1"/>
  <c r="D33" i="4" l="1"/>
  <c r="AJ11" i="4"/>
  <c r="AJ11" i="36" s="1"/>
  <c r="AJ34" i="4"/>
  <c r="D34" i="4" s="1"/>
  <c r="E110" i="5" s="1"/>
  <c r="E106" i="5" s="1"/>
  <c r="M28" i="36"/>
  <c r="D28" i="36" s="1"/>
  <c r="AJ47" i="2"/>
  <c r="D12" i="36"/>
  <c r="AJ36" i="4"/>
  <c r="AJ15" i="4" s="1"/>
  <c r="D35" i="4"/>
  <c r="M48" i="4"/>
  <c r="D48" i="4" s="1"/>
  <c r="D13" i="4"/>
  <c r="M30" i="36"/>
  <c r="D30" i="36" s="1"/>
  <c r="AJ46" i="2"/>
  <c r="E46" i="2" s="1"/>
  <c r="D95" i="4"/>
  <c r="AJ96" i="4"/>
  <c r="AJ89" i="4"/>
  <c r="AJ98" i="4" s="1"/>
  <c r="AJ103" i="4" s="1"/>
  <c r="D88" i="4"/>
  <c r="F492" i="20"/>
  <c r="G492" i="20"/>
  <c r="H492" i="20"/>
  <c r="I492" i="20"/>
  <c r="J492" i="20"/>
  <c r="K492" i="20"/>
  <c r="D36" i="4"/>
  <c r="J65" i="2"/>
  <c r="K65" i="2"/>
  <c r="L65" i="2"/>
  <c r="M65" i="2"/>
  <c r="N65" i="2"/>
  <c r="O65" i="2"/>
  <c r="D13" i="36"/>
  <c r="H29" i="36"/>
  <c r="I29" i="36"/>
  <c r="J29" i="36"/>
  <c r="L29" i="36"/>
  <c r="M29" i="36"/>
  <c r="AJ37" i="4" l="1"/>
  <c r="D37" i="4" s="1"/>
  <c r="M46" i="4"/>
  <c r="D46" i="4" s="1"/>
  <c r="D11" i="4"/>
  <c r="AJ10" i="4"/>
  <c r="AJ17" i="4" s="1"/>
  <c r="AJ13" i="2"/>
  <c r="P66" i="2" s="1"/>
  <c r="AJ45" i="2"/>
  <c r="AJ51" i="2" s="1"/>
  <c r="L467" i="20"/>
  <c r="D467" i="20" s="1"/>
  <c r="AJ14" i="2"/>
  <c r="E47" i="2"/>
  <c r="L466" i="20"/>
  <c r="D466" i="20" s="1"/>
  <c r="D98" i="4"/>
  <c r="AJ99" i="4"/>
  <c r="AJ90" i="4"/>
  <c r="D89" i="4"/>
  <c r="F491" i="20"/>
  <c r="G491" i="20"/>
  <c r="H491" i="20"/>
  <c r="I491" i="20"/>
  <c r="J491" i="20"/>
  <c r="K491" i="20"/>
  <c r="L491" i="20"/>
  <c r="D15" i="4"/>
  <c r="AJ15" i="36"/>
  <c r="AJ46" i="36" s="1"/>
  <c r="J66" i="2"/>
  <c r="K66" i="2"/>
  <c r="L66" i="2"/>
  <c r="M66" i="2"/>
  <c r="N66" i="2"/>
  <c r="O66" i="2"/>
  <c r="AJ45" i="36"/>
  <c r="D11" i="36"/>
  <c r="M27" i="36"/>
  <c r="D27" i="36" s="1"/>
  <c r="D29" i="36"/>
  <c r="L465" i="20" l="1"/>
  <c r="D465" i="20" s="1"/>
  <c r="E45" i="2"/>
  <c r="E13" i="2"/>
  <c r="AJ7" i="2"/>
  <c r="L492" i="20"/>
  <c r="D492" i="20" s="1"/>
  <c r="B492" i="20" s="1"/>
  <c r="P65" i="2"/>
  <c r="H65" i="2" s="1"/>
  <c r="E14" i="2"/>
  <c r="D491" i="20"/>
  <c r="B491" i="20" s="1"/>
  <c r="D45" i="36"/>
  <c r="M58" i="36"/>
  <c r="D58" i="36" s="1"/>
  <c r="M45" i="4"/>
  <c r="H66" i="2"/>
  <c r="AJ53" i="2"/>
  <c r="E51" i="2"/>
  <c r="E52" i="2"/>
  <c r="E5" i="2" s="1"/>
  <c r="L471" i="20"/>
  <c r="AJ43" i="36"/>
  <c r="D38" i="4"/>
  <c r="E54" i="2" l="1"/>
  <c r="E6" i="2" s="1"/>
  <c r="E53" i="2"/>
  <c r="H472" i="20"/>
  <c r="I472" i="20"/>
  <c r="J472" i="20"/>
  <c r="K472" i="20"/>
  <c r="L472" i="20"/>
  <c r="AJ33" i="2"/>
  <c r="AJ17" i="2" s="1"/>
  <c r="D15" i="36"/>
  <c r="M31" i="36"/>
  <c r="D31" i="36" s="1"/>
  <c r="AJ41" i="36"/>
  <c r="D43" i="36"/>
  <c r="M56" i="36"/>
  <c r="D56" i="36" s="1"/>
  <c r="L473" i="20"/>
  <c r="D471" i="20"/>
  <c r="D795" i="20"/>
  <c r="R34" i="6"/>
  <c r="E104" i="5"/>
  <c r="AJ16" i="36"/>
  <c r="F495" i="20" l="1"/>
  <c r="G495" i="20"/>
  <c r="H495" i="20"/>
  <c r="I495" i="20"/>
  <c r="J495" i="20"/>
  <c r="K495" i="20"/>
  <c r="L495" i="20"/>
  <c r="J64" i="2"/>
  <c r="J63" i="2" s="1"/>
  <c r="J68" i="2" s="1"/>
  <c r="K64" i="2"/>
  <c r="K63" i="2" s="1"/>
  <c r="K68" i="2" s="1"/>
  <c r="L64" i="2"/>
  <c r="L63" i="2" s="1"/>
  <c r="M64" i="2"/>
  <c r="M63" i="2" s="1"/>
  <c r="M68" i="2" s="1"/>
  <c r="N64" i="2"/>
  <c r="N63" i="2" s="1"/>
  <c r="N68" i="2" s="1"/>
  <c r="O64" i="2"/>
  <c r="O63" i="2" s="1"/>
  <c r="O68" i="2" s="1"/>
  <c r="P64" i="2"/>
  <c r="D41" i="36"/>
  <c r="M54" i="36"/>
  <c r="D54" i="36" s="1"/>
  <c r="D46" i="36"/>
  <c r="K59" i="36"/>
  <c r="L59" i="36"/>
  <c r="M59" i="36"/>
  <c r="AJ44" i="36"/>
  <c r="AJ20" i="36"/>
  <c r="AJ18" i="36"/>
  <c r="D16" i="36"/>
  <c r="M32" i="36"/>
  <c r="D472" i="20"/>
  <c r="AJ30" i="2"/>
  <c r="E33" i="2"/>
  <c r="L480" i="20"/>
  <c r="D480" i="20" s="1"/>
  <c r="D796" i="20"/>
  <c r="R35" i="6"/>
  <c r="E101" i="5"/>
  <c r="D495" i="20" l="1"/>
  <c r="B495" i="20" s="1"/>
  <c r="M34" i="36"/>
  <c r="D32" i="36"/>
  <c r="P63" i="2"/>
  <c r="P68" i="2" s="1"/>
  <c r="H64" i="2"/>
  <c r="AJ19" i="36"/>
  <c r="D19" i="36" s="1"/>
  <c r="E98" i="5" s="1"/>
  <c r="AJ71" i="36"/>
  <c r="L68" i="2"/>
  <c r="AJ37" i="2"/>
  <c r="E30" i="2"/>
  <c r="L477" i="20"/>
  <c r="E17" i="2"/>
  <c r="E7" i="2" s="1"/>
  <c r="AJ12" i="2"/>
  <c r="H57" i="36"/>
  <c r="D44" i="36"/>
  <c r="K57" i="36"/>
  <c r="L57" i="36"/>
  <c r="M57" i="36"/>
  <c r="AJ48" i="36"/>
  <c r="D59" i="36"/>
  <c r="F490" i="20" l="1"/>
  <c r="G490" i="20"/>
  <c r="L490" i="20"/>
  <c r="H63" i="2"/>
  <c r="H68" i="2"/>
  <c r="D57" i="36"/>
  <c r="AJ39" i="2"/>
  <c r="E38" i="2"/>
  <c r="D5" i="2" s="1"/>
  <c r="E37" i="2"/>
  <c r="L484" i="20"/>
  <c r="D484" i="20" s="1"/>
  <c r="D477" i="20"/>
  <c r="AJ22" i="2"/>
  <c r="E12" i="2"/>
  <c r="AJ50" i="36"/>
  <c r="AJ79" i="36" s="1"/>
  <c r="D48" i="36"/>
  <c r="M61" i="36"/>
  <c r="D61" i="36" s="1"/>
  <c r="M86" i="36"/>
  <c r="M88" i="36" s="1"/>
  <c r="AJ73" i="36"/>
  <c r="F500" i="20" l="1"/>
  <c r="F502" i="20" s="1"/>
  <c r="G500" i="20"/>
  <c r="G502" i="20" s="1"/>
  <c r="L500" i="20"/>
  <c r="L486" i="20"/>
  <c r="D50" i="36"/>
  <c r="M63" i="36"/>
  <c r="D63" i="36" s="1"/>
  <c r="E795" i="20"/>
  <c r="S34" i="6"/>
  <c r="E105" i="5"/>
  <c r="AJ24" i="2"/>
  <c r="E23" i="2"/>
  <c r="C5" i="2" s="1"/>
  <c r="E22" i="2"/>
  <c r="D490" i="20"/>
  <c r="B490" i="20" s="1"/>
  <c r="E39" i="2"/>
  <c r="E40" i="2"/>
  <c r="D6" i="2" s="1"/>
  <c r="H485" i="20"/>
  <c r="I485" i="20"/>
  <c r="J485" i="20"/>
  <c r="K485" i="20"/>
  <c r="L485" i="20"/>
  <c r="F501" i="20" l="1"/>
  <c r="G501" i="20"/>
  <c r="H501" i="20"/>
  <c r="I501" i="20"/>
  <c r="J501" i="20"/>
  <c r="K501" i="20"/>
  <c r="L501" i="20"/>
  <c r="D500" i="20"/>
  <c r="B500" i="20" s="1"/>
  <c r="AJ80" i="36"/>
  <c r="AJ81" i="36" s="1"/>
  <c r="D81" i="36" s="1"/>
  <c r="E97" i="5" s="1"/>
  <c r="M94" i="36"/>
  <c r="M95" i="36" s="1"/>
  <c r="M96" i="36" s="1"/>
  <c r="D96" i="36" s="1"/>
  <c r="F795" i="20"/>
  <c r="E103" i="5"/>
  <c r="Q34" i="6"/>
  <c r="D485" i="20"/>
  <c r="E25" i="2"/>
  <c r="C6" i="2" s="1"/>
  <c r="E24" i="2"/>
  <c r="E796" i="20"/>
  <c r="E102" i="5"/>
  <c r="S35" i="6"/>
  <c r="D501" i="20" l="1"/>
  <c r="B501" i="20" s="1"/>
  <c r="L502" i="20"/>
  <c r="F796" i="20"/>
  <c r="E100" i="5"/>
  <c r="Q35" i="6"/>
  <c r="X654" i="20"/>
  <c r="X672" i="20" s="1"/>
  <c r="W654" i="20"/>
  <c r="W672" i="20" l="1"/>
  <c r="L8" i="19" l="1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D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N150" i="19"/>
  <c r="O150" i="19"/>
  <c r="P150" i="19"/>
  <c r="Q150" i="19"/>
  <c r="R150" i="19"/>
  <c r="S150" i="19"/>
  <c r="T150" i="19"/>
  <c r="U150" i="19"/>
  <c r="V150" i="19"/>
  <c r="W150" i="19"/>
  <c r="X150" i="19"/>
  <c r="Y150" i="19"/>
  <c r="Z150" i="19"/>
  <c r="AA150" i="19"/>
  <c r="AB150" i="19"/>
  <c r="AC150" i="19"/>
  <c r="AD150" i="19"/>
  <c r="AE150" i="19"/>
  <c r="AF150" i="19"/>
  <c r="AG150" i="19"/>
  <c r="AH150" i="19"/>
  <c r="AI150" i="19"/>
  <c r="AJ150" i="19"/>
  <c r="AK150" i="19"/>
  <c r="AL150" i="19"/>
  <c r="AM150" i="19"/>
  <c r="AN150" i="19"/>
  <c r="AO150" i="19"/>
  <c r="AP150" i="19"/>
  <c r="AQ150" i="19"/>
  <c r="AR150" i="19"/>
  <c r="AS150" i="19"/>
  <c r="AT150" i="19"/>
  <c r="AU150" i="19"/>
  <c r="AV150" i="19"/>
  <c r="AW150" i="19"/>
  <c r="AX150" i="19"/>
  <c r="AY150" i="19"/>
  <c r="AZ150" i="19"/>
  <c r="BA150" i="19"/>
  <c r="BB150" i="19"/>
  <c r="M152" i="19"/>
  <c r="N152" i="19"/>
  <c r="O152" i="19"/>
  <c r="P152" i="19"/>
  <c r="Q152" i="19"/>
  <c r="R152" i="19"/>
  <c r="S152" i="19"/>
  <c r="T152" i="19"/>
  <c r="U152" i="19"/>
  <c r="V152" i="19"/>
  <c r="W152" i="19"/>
  <c r="X152" i="19"/>
  <c r="Y152" i="19"/>
  <c r="Z152" i="19"/>
  <c r="AA152" i="19"/>
  <c r="AB152" i="19"/>
  <c r="AC152" i="19"/>
  <c r="AD152" i="19"/>
  <c r="AE152" i="19"/>
  <c r="AF152" i="19"/>
  <c r="AG152" i="19"/>
  <c r="AH152" i="19"/>
  <c r="AI152" i="19"/>
  <c r="AJ152" i="19"/>
  <c r="AK152" i="19"/>
  <c r="AL152" i="19"/>
  <c r="AM152" i="19"/>
  <c r="AN152" i="19"/>
  <c r="AO152" i="19"/>
  <c r="AP152" i="19"/>
  <c r="AQ152" i="19"/>
  <c r="AR152" i="19"/>
  <c r="AS152" i="19"/>
  <c r="AT152" i="19"/>
  <c r="AU152" i="19"/>
  <c r="AV152" i="19"/>
  <c r="AW152" i="19"/>
  <c r="AX152" i="19"/>
  <c r="AY152" i="19"/>
  <c r="AZ152" i="19"/>
  <c r="BA152" i="19"/>
  <c r="BB152" i="19"/>
  <c r="M153" i="19"/>
  <c r="N153" i="19"/>
  <c r="O153" i="19"/>
  <c r="P153" i="19"/>
  <c r="Q153" i="19"/>
  <c r="R153" i="19"/>
  <c r="S153" i="19"/>
  <c r="T153" i="19"/>
  <c r="U153" i="19"/>
  <c r="V153" i="19"/>
  <c r="W153" i="19"/>
  <c r="X153" i="19"/>
  <c r="Y153" i="19"/>
  <c r="Z153" i="19"/>
  <c r="AA153" i="19"/>
  <c r="AB153" i="19"/>
  <c r="AC153" i="19"/>
  <c r="AD153" i="19"/>
  <c r="AE153" i="19"/>
  <c r="AF153" i="19"/>
  <c r="AG153" i="19"/>
  <c r="AH153" i="19"/>
  <c r="AI153" i="19"/>
  <c r="AJ153" i="19"/>
  <c r="AK153" i="19"/>
  <c r="AL153" i="19"/>
  <c r="AM153" i="19"/>
  <c r="AN153" i="19"/>
  <c r="AO153" i="19"/>
  <c r="AP153" i="19"/>
  <c r="AQ153" i="19"/>
  <c r="AR153" i="19"/>
  <c r="AS153" i="19"/>
  <c r="AT153" i="19"/>
  <c r="AU153" i="19"/>
  <c r="AV153" i="19"/>
  <c r="AW153" i="19"/>
  <c r="AX153" i="19"/>
  <c r="AY153" i="19"/>
  <c r="AZ153" i="19"/>
  <c r="BA153" i="19"/>
  <c r="BB153" i="19"/>
  <c r="M154" i="19"/>
  <c r="N154" i="19"/>
  <c r="O154" i="19"/>
  <c r="P154" i="19"/>
  <c r="Q154" i="19"/>
  <c r="R154" i="19"/>
  <c r="S154" i="19"/>
  <c r="T154" i="19"/>
  <c r="U154" i="19"/>
  <c r="V154" i="19"/>
  <c r="W154" i="19"/>
  <c r="X154" i="19"/>
  <c r="Y154" i="19"/>
  <c r="Z154" i="19"/>
  <c r="AA154" i="19"/>
  <c r="AB154" i="19"/>
  <c r="AC154" i="19"/>
  <c r="AD154" i="19"/>
  <c r="AE154" i="19"/>
  <c r="AF154" i="19"/>
  <c r="AG154" i="19"/>
  <c r="AH154" i="19"/>
  <c r="AI154" i="19"/>
  <c r="AJ154" i="19"/>
  <c r="AK154" i="19"/>
  <c r="AL154" i="19"/>
  <c r="AM154" i="19"/>
  <c r="AN154" i="19"/>
  <c r="AO154" i="19"/>
  <c r="AP154" i="19"/>
  <c r="AQ154" i="19"/>
  <c r="AR154" i="19"/>
  <c r="AS154" i="19"/>
  <c r="AT154" i="19"/>
  <c r="AU154" i="19"/>
  <c r="AV154" i="19"/>
  <c r="AW154" i="19"/>
  <c r="AX154" i="19"/>
  <c r="AY154" i="19"/>
  <c r="AZ154" i="19"/>
  <c r="BA154" i="19"/>
  <c r="BB154" i="19"/>
  <c r="R180" i="19"/>
  <c r="S180" i="19"/>
  <c r="T180" i="19"/>
  <c r="U180" i="19"/>
  <c r="V180" i="19"/>
  <c r="W180" i="19"/>
  <c r="X180" i="19"/>
  <c r="Y180" i="19"/>
  <c r="Z180" i="19"/>
  <c r="AA180" i="19"/>
  <c r="AB180" i="19"/>
  <c r="AC180" i="19"/>
  <c r="AD180" i="19"/>
  <c r="AE180" i="19"/>
  <c r="AF180" i="19"/>
  <c r="AG180" i="19"/>
  <c r="AH180" i="19"/>
  <c r="AI180" i="19"/>
  <c r="AJ180" i="19"/>
  <c r="AK180" i="19"/>
  <c r="AL180" i="19"/>
  <c r="AM180" i="19"/>
  <c r="AN180" i="19"/>
  <c r="AO180" i="19"/>
  <c r="AP180" i="19"/>
  <c r="AQ180" i="19"/>
  <c r="AR180" i="19"/>
  <c r="AS180" i="19"/>
  <c r="AT180" i="19"/>
  <c r="AU180" i="19"/>
  <c r="AV180" i="19"/>
  <c r="AW180" i="19"/>
  <c r="AX180" i="19"/>
  <c r="AY180" i="19"/>
  <c r="AZ180" i="19"/>
  <c r="BA180" i="19"/>
  <c r="BB180" i="19"/>
  <c r="Q181" i="19"/>
  <c r="R181" i="19"/>
  <c r="S181" i="19"/>
  <c r="T181" i="19"/>
  <c r="U181" i="19"/>
  <c r="V181" i="19"/>
  <c r="W181" i="19"/>
  <c r="X181" i="19"/>
  <c r="Y181" i="19"/>
  <c r="Z181" i="19"/>
  <c r="AA181" i="19"/>
  <c r="AB181" i="19"/>
  <c r="AC181" i="19"/>
  <c r="AD181" i="19"/>
  <c r="AE181" i="19"/>
  <c r="AF181" i="19"/>
  <c r="AG181" i="19"/>
  <c r="AH181" i="19"/>
  <c r="AI181" i="19"/>
  <c r="AJ181" i="19"/>
  <c r="AK181" i="19"/>
  <c r="AL181" i="19"/>
  <c r="AM181" i="19"/>
  <c r="AN181" i="19"/>
  <c r="AO181" i="19"/>
  <c r="AP181" i="19"/>
  <c r="AQ181" i="19"/>
  <c r="AR181" i="19"/>
  <c r="AS181" i="19"/>
  <c r="AT181" i="19"/>
  <c r="AU181" i="19"/>
  <c r="AV181" i="19"/>
  <c r="AW181" i="19"/>
  <c r="AX181" i="19"/>
  <c r="Q182" i="19"/>
  <c r="R182" i="19"/>
  <c r="S182" i="19"/>
  <c r="T182" i="19"/>
  <c r="U182" i="19"/>
  <c r="V182" i="19"/>
  <c r="W182" i="19"/>
  <c r="X182" i="19"/>
  <c r="Y182" i="19"/>
  <c r="Z182" i="19"/>
  <c r="AA182" i="19"/>
  <c r="AB182" i="19"/>
  <c r="AC182" i="19"/>
  <c r="AD182" i="19"/>
  <c r="AE182" i="19"/>
  <c r="AF182" i="19"/>
  <c r="AG182" i="19"/>
  <c r="AH182" i="19"/>
  <c r="AI182" i="19"/>
  <c r="AJ182" i="19"/>
  <c r="AK182" i="19"/>
  <c r="AL182" i="19"/>
  <c r="AM182" i="19"/>
  <c r="AN182" i="19"/>
  <c r="AO182" i="19"/>
  <c r="AP182" i="19"/>
  <c r="AQ182" i="19"/>
  <c r="AR182" i="19"/>
  <c r="AS182" i="19"/>
  <c r="AT182" i="19"/>
  <c r="AU182" i="19"/>
  <c r="AV182" i="19"/>
  <c r="AW182" i="19"/>
  <c r="AX182" i="19"/>
  <c r="AY182" i="19"/>
  <c r="AZ182" i="19"/>
  <c r="BA182" i="19"/>
  <c r="BB182" i="19"/>
  <c r="Q183" i="19"/>
  <c r="R183" i="19"/>
  <c r="S183" i="19"/>
  <c r="T183" i="19"/>
  <c r="U183" i="19"/>
  <c r="V183" i="19"/>
  <c r="W183" i="19"/>
  <c r="X183" i="19"/>
  <c r="Y183" i="19"/>
  <c r="Z183" i="19"/>
  <c r="AA183" i="19"/>
  <c r="AB183" i="19"/>
  <c r="AC183" i="19"/>
  <c r="AD183" i="19"/>
  <c r="AE183" i="19"/>
  <c r="AF183" i="19"/>
  <c r="AG183" i="19"/>
  <c r="AH183" i="19"/>
  <c r="AI183" i="19"/>
  <c r="AJ183" i="19"/>
  <c r="AK183" i="19"/>
  <c r="AL183" i="19"/>
  <c r="AM183" i="19"/>
  <c r="AN183" i="19"/>
  <c r="AO183" i="19"/>
  <c r="AP183" i="19"/>
  <c r="AQ183" i="19"/>
  <c r="AR183" i="19"/>
  <c r="AS183" i="19"/>
  <c r="AT183" i="19"/>
  <c r="AU183" i="19"/>
  <c r="AV183" i="19"/>
  <c r="AW183" i="19"/>
  <c r="AX183" i="19"/>
  <c r="AY183" i="19"/>
  <c r="AZ183" i="19"/>
  <c r="BA183" i="19"/>
  <c r="BB183" i="19"/>
  <c r="Q184" i="19"/>
  <c r="R184" i="19"/>
  <c r="S184" i="19"/>
  <c r="T184" i="19"/>
  <c r="U184" i="19"/>
  <c r="V184" i="19"/>
  <c r="W184" i="19"/>
  <c r="X184" i="19"/>
  <c r="Y184" i="19"/>
  <c r="Z184" i="19"/>
  <c r="AA184" i="19"/>
  <c r="AB184" i="19"/>
  <c r="AC184" i="19"/>
  <c r="AD184" i="19"/>
  <c r="AE184" i="19"/>
  <c r="AF184" i="19"/>
  <c r="AG184" i="19"/>
  <c r="AH184" i="19"/>
  <c r="AI184" i="19"/>
  <c r="AJ184" i="19"/>
  <c r="AK184" i="19"/>
  <c r="AL184" i="19"/>
  <c r="AM184" i="19"/>
  <c r="AN184" i="19"/>
  <c r="AO184" i="19"/>
  <c r="AP184" i="19"/>
  <c r="AQ184" i="19"/>
  <c r="AR184" i="19"/>
  <c r="AS184" i="19"/>
  <c r="AT184" i="19"/>
  <c r="AU184" i="19"/>
  <c r="AV184" i="19"/>
  <c r="AW184" i="19"/>
  <c r="AX184" i="19"/>
  <c r="AY184" i="19"/>
  <c r="AZ184" i="19"/>
  <c r="BA184" i="19"/>
  <c r="BB184" i="19"/>
  <c r="Q185" i="19"/>
  <c r="R185" i="19"/>
  <c r="S185" i="19"/>
  <c r="T185" i="19"/>
  <c r="U185" i="19"/>
  <c r="V185" i="19"/>
  <c r="W185" i="19"/>
  <c r="X185" i="19"/>
  <c r="Y185" i="19"/>
  <c r="Z185" i="19"/>
  <c r="AA185" i="19"/>
  <c r="AB185" i="19"/>
  <c r="AC185" i="19"/>
  <c r="AD185" i="19"/>
  <c r="AE185" i="19"/>
  <c r="AF185" i="19"/>
  <c r="AG185" i="19"/>
  <c r="AH185" i="19"/>
  <c r="AI185" i="19"/>
  <c r="AJ185" i="19"/>
  <c r="AK185" i="19"/>
  <c r="AL185" i="19"/>
  <c r="AM185" i="19"/>
  <c r="AN185" i="19"/>
  <c r="AO185" i="19"/>
  <c r="AP185" i="19"/>
  <c r="AQ185" i="19"/>
  <c r="AR185" i="19"/>
  <c r="AS185" i="19"/>
  <c r="AT185" i="19"/>
  <c r="AU185" i="19"/>
  <c r="AV185" i="19"/>
  <c r="AW185" i="19"/>
  <c r="AX185" i="19"/>
  <c r="AY185" i="19"/>
  <c r="AZ185" i="19"/>
  <c r="BA185" i="19"/>
  <c r="BB185" i="19"/>
  <c r="M196" i="19"/>
  <c r="N196" i="19"/>
  <c r="O196" i="19"/>
  <c r="P196" i="19"/>
  <c r="Q196" i="19"/>
  <c r="R196" i="19"/>
  <c r="S196" i="19"/>
  <c r="T196" i="19"/>
  <c r="U196" i="19"/>
  <c r="V196" i="19"/>
  <c r="W196" i="19"/>
  <c r="X196" i="19"/>
  <c r="Y196" i="19"/>
  <c r="Z196" i="19"/>
  <c r="AA196" i="19"/>
  <c r="AB196" i="19"/>
  <c r="AC196" i="19"/>
  <c r="AD196" i="19"/>
  <c r="AE196" i="19"/>
  <c r="AF196" i="19"/>
  <c r="AG196" i="19"/>
  <c r="AH196" i="19"/>
  <c r="AI196" i="19"/>
  <c r="AJ196" i="19"/>
  <c r="AK196" i="19"/>
  <c r="AL196" i="19"/>
  <c r="AM196" i="19"/>
  <c r="AN196" i="19"/>
  <c r="AO196" i="19"/>
  <c r="AP196" i="19"/>
  <c r="AQ196" i="19"/>
  <c r="AR196" i="19"/>
  <c r="AS196" i="19"/>
  <c r="AT196" i="19"/>
  <c r="AU196" i="19"/>
  <c r="AV196" i="19"/>
  <c r="AW196" i="19"/>
  <c r="AX196" i="19"/>
  <c r="AY196" i="19"/>
  <c r="AZ196" i="19"/>
  <c r="BA196" i="19"/>
  <c r="BB196" i="19"/>
  <c r="L197" i="19"/>
  <c r="M197" i="19"/>
  <c r="N197" i="19"/>
  <c r="O197" i="19"/>
  <c r="P197" i="19"/>
  <c r="Q197" i="19"/>
  <c r="R197" i="19"/>
  <c r="S197" i="19"/>
  <c r="T197" i="19"/>
  <c r="U197" i="19"/>
  <c r="V197" i="19"/>
  <c r="W197" i="19"/>
  <c r="X197" i="19"/>
  <c r="Y197" i="19"/>
  <c r="Z197" i="19"/>
  <c r="AA197" i="19"/>
  <c r="AB197" i="19"/>
  <c r="AC197" i="19"/>
  <c r="AD197" i="19"/>
  <c r="AE197" i="19"/>
  <c r="AF197" i="19"/>
  <c r="AG197" i="19"/>
  <c r="AH197" i="19"/>
  <c r="AI197" i="19"/>
  <c r="AJ197" i="19"/>
  <c r="AK197" i="19"/>
  <c r="AL197" i="19"/>
  <c r="AM197" i="19"/>
  <c r="AN197" i="19"/>
  <c r="AO197" i="19"/>
  <c r="AP197" i="19"/>
  <c r="AQ197" i="19"/>
  <c r="AR197" i="19"/>
  <c r="AS197" i="19"/>
  <c r="AT197" i="19"/>
  <c r="AU197" i="19"/>
  <c r="AV197" i="19"/>
  <c r="AW197" i="19"/>
  <c r="AX197" i="19"/>
  <c r="L198" i="19"/>
  <c r="M198" i="19"/>
  <c r="N198" i="19"/>
  <c r="O198" i="19"/>
  <c r="P198" i="19"/>
  <c r="Q198" i="19"/>
  <c r="R198" i="19"/>
  <c r="S198" i="19"/>
  <c r="T198" i="19"/>
  <c r="U198" i="19"/>
  <c r="V198" i="19"/>
  <c r="W198" i="19"/>
  <c r="X198" i="19"/>
  <c r="Y198" i="19"/>
  <c r="Z198" i="19"/>
  <c r="AA198" i="19"/>
  <c r="AB198" i="19"/>
  <c r="AC198" i="19"/>
  <c r="AD198" i="19"/>
  <c r="AE198" i="19"/>
  <c r="AF198" i="19"/>
  <c r="AG198" i="19"/>
  <c r="AH198" i="19"/>
  <c r="AI198" i="19"/>
  <c r="AJ198" i="19"/>
  <c r="AK198" i="19"/>
  <c r="AL198" i="19"/>
  <c r="AM198" i="19"/>
  <c r="AN198" i="19"/>
  <c r="AO198" i="19"/>
  <c r="AP198" i="19"/>
  <c r="AQ198" i="19"/>
  <c r="AR198" i="19"/>
  <c r="AS198" i="19"/>
  <c r="AT198" i="19"/>
  <c r="AU198" i="19"/>
  <c r="AV198" i="19"/>
  <c r="AW198" i="19"/>
  <c r="AX198" i="19"/>
  <c r="AY198" i="19"/>
  <c r="AZ198" i="19"/>
  <c r="BA198" i="19"/>
  <c r="BB198" i="19"/>
  <c r="L199" i="19"/>
  <c r="M199" i="19"/>
  <c r="N199" i="19"/>
  <c r="O199" i="19"/>
  <c r="P199" i="19"/>
  <c r="Q199" i="19"/>
  <c r="R199" i="19"/>
  <c r="S199" i="19"/>
  <c r="T199" i="19"/>
  <c r="U199" i="19"/>
  <c r="V199" i="19"/>
  <c r="W199" i="19"/>
  <c r="X199" i="19"/>
  <c r="Y199" i="19"/>
  <c r="Z199" i="19"/>
  <c r="AA199" i="19"/>
  <c r="AB199" i="19"/>
  <c r="AC199" i="19"/>
  <c r="AD199" i="19"/>
  <c r="AE199" i="19"/>
  <c r="AF199" i="19"/>
  <c r="AG199" i="19"/>
  <c r="AH199" i="19"/>
  <c r="AI199" i="19"/>
  <c r="AJ199" i="19"/>
  <c r="AK199" i="19"/>
  <c r="AL199" i="19"/>
  <c r="AM199" i="19"/>
  <c r="AN199" i="19"/>
  <c r="AO199" i="19"/>
  <c r="AP199" i="19"/>
  <c r="AQ199" i="19"/>
  <c r="AR199" i="19"/>
  <c r="AS199" i="19"/>
  <c r="AT199" i="19"/>
  <c r="AU199" i="19"/>
  <c r="AV199" i="19"/>
  <c r="AW199" i="19"/>
  <c r="AX199" i="19"/>
  <c r="AY199" i="19"/>
  <c r="AZ199" i="19"/>
  <c r="BA199" i="19"/>
  <c r="BB199" i="19"/>
  <c r="M203" i="19"/>
  <c r="N203" i="19"/>
  <c r="O203" i="19"/>
  <c r="P203" i="19"/>
  <c r="Q203" i="19"/>
  <c r="R203" i="19"/>
  <c r="S203" i="19"/>
  <c r="T203" i="19"/>
  <c r="U203" i="19"/>
  <c r="V203" i="19"/>
  <c r="W203" i="19"/>
  <c r="X203" i="19"/>
  <c r="Y203" i="19"/>
  <c r="Z203" i="19"/>
  <c r="AA203" i="19"/>
  <c r="AB203" i="19"/>
  <c r="AC203" i="19"/>
  <c r="AD203" i="19"/>
  <c r="AE203" i="19"/>
  <c r="AF203" i="19"/>
  <c r="AG203" i="19"/>
  <c r="AH203" i="19"/>
  <c r="AI203" i="19"/>
  <c r="AJ203" i="19"/>
  <c r="AK203" i="19"/>
  <c r="AL203" i="19"/>
  <c r="AM203" i="19"/>
  <c r="AN203" i="19"/>
  <c r="AO203" i="19"/>
  <c r="AP203" i="19"/>
  <c r="AQ203" i="19"/>
  <c r="AR203" i="19"/>
  <c r="AS203" i="19"/>
  <c r="AT203" i="19"/>
  <c r="AU203" i="19"/>
  <c r="AV203" i="19"/>
  <c r="AW203" i="19"/>
  <c r="AX203" i="19"/>
  <c r="AY203" i="19"/>
  <c r="AZ203" i="19"/>
  <c r="L204" i="19"/>
  <c r="M204" i="19"/>
  <c r="N204" i="19"/>
  <c r="O204" i="19"/>
  <c r="P204" i="19"/>
  <c r="Q204" i="19"/>
  <c r="R204" i="19"/>
  <c r="S204" i="19"/>
  <c r="T204" i="19"/>
  <c r="U204" i="19"/>
  <c r="V204" i="19"/>
  <c r="W204" i="19"/>
  <c r="X204" i="19"/>
  <c r="Y204" i="19"/>
  <c r="Z204" i="19"/>
  <c r="AA204" i="19"/>
  <c r="AB204" i="19"/>
  <c r="AC204" i="19"/>
  <c r="AD204" i="19"/>
  <c r="AE204" i="19"/>
  <c r="AF204" i="19"/>
  <c r="AG204" i="19"/>
  <c r="AH204" i="19"/>
  <c r="AI204" i="19"/>
  <c r="AJ204" i="19"/>
  <c r="AK204" i="19"/>
  <c r="AL204" i="19"/>
  <c r="AM204" i="19"/>
  <c r="AN204" i="19"/>
  <c r="AO204" i="19"/>
  <c r="AP204" i="19"/>
  <c r="AQ204" i="19"/>
  <c r="AR204" i="19"/>
  <c r="AS204" i="19"/>
  <c r="AT204" i="19"/>
  <c r="AU204" i="19"/>
  <c r="AV204" i="19"/>
  <c r="AW204" i="19"/>
  <c r="AX204" i="19"/>
  <c r="AY204" i="19"/>
  <c r="AZ204" i="19"/>
  <c r="BA204" i="19"/>
  <c r="BB204" i="19"/>
  <c r="L206" i="19"/>
  <c r="M206" i="19"/>
  <c r="N206" i="19"/>
  <c r="O206" i="19"/>
  <c r="P206" i="19"/>
  <c r="Q206" i="19"/>
  <c r="R206" i="19"/>
  <c r="S206" i="19"/>
  <c r="T206" i="19"/>
  <c r="U206" i="19"/>
  <c r="V206" i="19"/>
  <c r="W206" i="19"/>
  <c r="X206" i="19"/>
  <c r="Y206" i="19"/>
  <c r="Z206" i="19"/>
  <c r="AA206" i="19"/>
  <c r="AB206" i="19"/>
  <c r="AC206" i="19"/>
  <c r="AD206" i="19"/>
  <c r="AE206" i="19"/>
  <c r="AF206" i="19"/>
  <c r="AG206" i="19"/>
  <c r="AH206" i="19"/>
  <c r="AI206" i="19"/>
  <c r="AJ206" i="19"/>
  <c r="AK206" i="19"/>
  <c r="AL206" i="19"/>
  <c r="AM206" i="19"/>
  <c r="AN206" i="19"/>
  <c r="AO206" i="19"/>
  <c r="AP206" i="19"/>
  <c r="AQ206" i="19"/>
  <c r="AR206" i="19"/>
  <c r="AS206" i="19"/>
  <c r="AT206" i="19"/>
  <c r="AU206" i="19"/>
  <c r="AV206" i="19"/>
  <c r="AW206" i="19"/>
  <c r="AX206" i="19"/>
  <c r="AY206" i="19"/>
  <c r="AZ206" i="19"/>
  <c r="BB206" i="19"/>
  <c r="N210" i="19"/>
  <c r="O210" i="19"/>
  <c r="P210" i="19"/>
  <c r="Q210" i="19"/>
  <c r="R210" i="19"/>
  <c r="S210" i="19"/>
  <c r="T210" i="19"/>
  <c r="U210" i="19"/>
  <c r="V210" i="19"/>
  <c r="W210" i="19"/>
  <c r="X210" i="19"/>
  <c r="Y210" i="19"/>
  <c r="Z210" i="19"/>
  <c r="AA210" i="19"/>
  <c r="AB210" i="19"/>
  <c r="AC210" i="19"/>
  <c r="AD210" i="19"/>
  <c r="AE210" i="19"/>
  <c r="AF210" i="19"/>
  <c r="AG210" i="19"/>
  <c r="AH210" i="19"/>
  <c r="AI210" i="19"/>
  <c r="AJ210" i="19"/>
  <c r="AK210" i="19"/>
  <c r="AL210" i="19"/>
  <c r="AM210" i="19"/>
  <c r="AN210" i="19"/>
  <c r="AO210" i="19"/>
  <c r="AP210" i="19"/>
  <c r="AQ210" i="19"/>
  <c r="AR210" i="19"/>
  <c r="AS210" i="19"/>
  <c r="AT210" i="19"/>
  <c r="AU210" i="19"/>
  <c r="AV210" i="19"/>
  <c r="AW210" i="19"/>
  <c r="AX210" i="19"/>
  <c r="AY210" i="19"/>
  <c r="AZ210" i="19"/>
  <c r="BA210" i="19"/>
  <c r="BB210" i="19"/>
  <c r="M212" i="19"/>
  <c r="N212" i="19"/>
  <c r="O212" i="19"/>
  <c r="P212" i="19"/>
  <c r="Q212" i="19"/>
  <c r="R212" i="19"/>
  <c r="S212" i="19"/>
  <c r="T212" i="19"/>
  <c r="U212" i="19"/>
  <c r="V212" i="19"/>
  <c r="W212" i="19"/>
  <c r="X212" i="19"/>
  <c r="Y212" i="19"/>
  <c r="Z212" i="19"/>
  <c r="AA212" i="19"/>
  <c r="AB212" i="19"/>
  <c r="AC212" i="19"/>
  <c r="AD212" i="19"/>
  <c r="AE212" i="19"/>
  <c r="AF212" i="19"/>
  <c r="AG212" i="19"/>
  <c r="AH212" i="19"/>
  <c r="AI212" i="19"/>
  <c r="AJ212" i="19"/>
  <c r="AK212" i="19"/>
  <c r="AL212" i="19"/>
  <c r="AM212" i="19"/>
  <c r="AN212" i="19"/>
  <c r="AO212" i="19"/>
  <c r="AP212" i="19"/>
  <c r="AQ212" i="19"/>
  <c r="AR212" i="19"/>
  <c r="AS212" i="19"/>
  <c r="AT212" i="19"/>
  <c r="AU212" i="19"/>
  <c r="AV212" i="19"/>
  <c r="AW212" i="19"/>
  <c r="AX212" i="19"/>
  <c r="AY212" i="19"/>
  <c r="AZ212" i="19"/>
  <c r="BA212" i="19"/>
  <c r="BB212" i="19"/>
  <c r="M213" i="19"/>
  <c r="N213" i="19"/>
  <c r="O213" i="19"/>
  <c r="P213" i="19"/>
  <c r="Q213" i="19"/>
  <c r="R213" i="19"/>
  <c r="S213" i="19"/>
  <c r="T213" i="19"/>
  <c r="U213" i="19"/>
  <c r="V213" i="19"/>
  <c r="W213" i="19"/>
  <c r="X213" i="19"/>
  <c r="Y213" i="19"/>
  <c r="Z213" i="19"/>
  <c r="AA213" i="19"/>
  <c r="AB213" i="19"/>
  <c r="AC213" i="19"/>
  <c r="AD213" i="19"/>
  <c r="AE213" i="19"/>
  <c r="AF213" i="19"/>
  <c r="AG213" i="19"/>
  <c r="AH213" i="19"/>
  <c r="AI213" i="19"/>
  <c r="AJ213" i="19"/>
  <c r="AK213" i="19"/>
  <c r="AL213" i="19"/>
  <c r="AM213" i="19"/>
  <c r="AN213" i="19"/>
  <c r="AO213" i="19"/>
  <c r="AP213" i="19"/>
  <c r="AQ213" i="19"/>
  <c r="AR213" i="19"/>
  <c r="AS213" i="19"/>
  <c r="AT213" i="19"/>
  <c r="AU213" i="19"/>
  <c r="AV213" i="19"/>
  <c r="AW213" i="19"/>
  <c r="AX213" i="19"/>
  <c r="AY213" i="19"/>
  <c r="AZ213" i="19"/>
  <c r="BA213" i="19"/>
  <c r="BB213" i="19"/>
  <c r="L217" i="19"/>
  <c r="M217" i="19"/>
  <c r="N217" i="19"/>
  <c r="O217" i="19"/>
  <c r="P217" i="19"/>
  <c r="Q217" i="19"/>
  <c r="R217" i="19"/>
  <c r="S217" i="19"/>
  <c r="T217" i="19"/>
  <c r="U217" i="19"/>
  <c r="V217" i="19"/>
  <c r="W217" i="19"/>
  <c r="X217" i="19"/>
  <c r="Y217" i="19"/>
  <c r="Z217" i="19"/>
  <c r="AA217" i="19"/>
  <c r="AB217" i="19"/>
  <c r="AC217" i="19"/>
  <c r="AD217" i="19"/>
  <c r="AE217" i="19"/>
  <c r="AF217" i="19"/>
  <c r="AG217" i="19"/>
  <c r="AH217" i="19"/>
  <c r="AI217" i="19"/>
  <c r="AJ217" i="19"/>
  <c r="AK217" i="19"/>
  <c r="AL217" i="19"/>
  <c r="AM217" i="19"/>
  <c r="AN217" i="19"/>
  <c r="AO217" i="19"/>
  <c r="AP217" i="19"/>
  <c r="AQ217" i="19"/>
  <c r="AR217" i="19"/>
  <c r="AS217" i="19"/>
  <c r="AT217" i="19"/>
  <c r="AU217" i="19"/>
  <c r="AV217" i="19"/>
  <c r="AW217" i="19"/>
  <c r="L219" i="19"/>
  <c r="M219" i="19"/>
  <c r="N219" i="19"/>
  <c r="O219" i="19"/>
  <c r="P219" i="19"/>
  <c r="Q219" i="19"/>
  <c r="R219" i="19"/>
  <c r="S219" i="19"/>
  <c r="T219" i="19"/>
  <c r="U219" i="19"/>
  <c r="V219" i="19"/>
  <c r="W219" i="19"/>
  <c r="X219" i="19"/>
  <c r="Y219" i="19"/>
  <c r="Z219" i="19"/>
  <c r="AA219" i="19"/>
  <c r="AB219" i="19"/>
  <c r="AC219" i="19"/>
  <c r="AD219" i="19"/>
  <c r="AE219" i="19"/>
  <c r="AF219" i="19"/>
  <c r="AG219" i="19"/>
  <c r="AH219" i="19"/>
  <c r="AI219" i="19"/>
  <c r="AJ219" i="19"/>
  <c r="AK219" i="19"/>
  <c r="AL219" i="19"/>
  <c r="AM219" i="19"/>
  <c r="AN219" i="19"/>
  <c r="AO219" i="19"/>
  <c r="AP219" i="19"/>
  <c r="AQ219" i="19"/>
  <c r="AR219" i="19"/>
  <c r="AS219" i="19"/>
  <c r="AT219" i="19"/>
  <c r="AU219" i="19"/>
  <c r="AV219" i="19"/>
  <c r="AW219" i="19"/>
  <c r="AX219" i="19"/>
  <c r="AZ219" i="19"/>
  <c r="BB219" i="19"/>
  <c r="I220" i="19"/>
  <c r="M220" i="19"/>
  <c r="N220" i="19"/>
  <c r="O220" i="19"/>
  <c r="P220" i="19"/>
  <c r="Q220" i="19"/>
  <c r="R220" i="19"/>
  <c r="S220" i="19"/>
  <c r="T220" i="19"/>
  <c r="U220" i="19"/>
  <c r="V220" i="19"/>
  <c r="W220" i="19"/>
  <c r="X220" i="19"/>
  <c r="Y220" i="19"/>
  <c r="Z220" i="19"/>
  <c r="AA220" i="19"/>
  <c r="AB220" i="19"/>
  <c r="AC220" i="19"/>
  <c r="AD220" i="19"/>
  <c r="AE220" i="19"/>
  <c r="AF220" i="19"/>
  <c r="AG220" i="19"/>
  <c r="AH220" i="19"/>
  <c r="AI220" i="19"/>
  <c r="AJ220" i="19"/>
  <c r="AK220" i="19"/>
  <c r="AL220" i="19"/>
  <c r="AM220" i="19"/>
  <c r="AN220" i="19"/>
  <c r="AO220" i="19"/>
  <c r="AP220" i="19"/>
  <c r="AQ220" i="19"/>
  <c r="AR220" i="19"/>
  <c r="AS220" i="19"/>
  <c r="AT220" i="19"/>
  <c r="AU220" i="19"/>
  <c r="AV220" i="19"/>
  <c r="AW220" i="19"/>
  <c r="AX220" i="19"/>
  <c r="AZ220" i="19"/>
  <c r="BA220" i="19"/>
  <c r="BB220" i="19"/>
  <c r="I221" i="19"/>
  <c r="L221" i="19"/>
  <c r="Q221" i="19"/>
  <c r="R221" i="19"/>
  <c r="S221" i="19"/>
  <c r="T221" i="19"/>
  <c r="U221" i="19"/>
  <c r="V221" i="19"/>
  <c r="W221" i="19"/>
  <c r="X221" i="19"/>
  <c r="Y221" i="19"/>
  <c r="Z221" i="19"/>
  <c r="AA221" i="19"/>
  <c r="AB221" i="19"/>
  <c r="AC221" i="19"/>
  <c r="AD221" i="19"/>
  <c r="AE221" i="19"/>
  <c r="AF221" i="19"/>
  <c r="AG221" i="19"/>
  <c r="AH221" i="19"/>
  <c r="AI221" i="19"/>
  <c r="AJ221" i="19"/>
  <c r="AK221" i="19"/>
  <c r="AL221" i="19"/>
  <c r="AM221" i="19"/>
  <c r="AN221" i="19"/>
  <c r="AO221" i="19"/>
  <c r="AP221" i="19"/>
  <c r="AQ221" i="19"/>
  <c r="AR221" i="19"/>
  <c r="AS221" i="19"/>
  <c r="AT221" i="19"/>
  <c r="AU221" i="19"/>
  <c r="AV221" i="19"/>
  <c r="AW221" i="19"/>
  <c r="AX221" i="19"/>
  <c r="L222" i="19"/>
  <c r="M222" i="19"/>
  <c r="N222" i="19"/>
  <c r="O222" i="19"/>
  <c r="P222" i="19"/>
  <c r="Q222" i="19"/>
  <c r="R222" i="19"/>
  <c r="S222" i="19"/>
  <c r="T222" i="19"/>
  <c r="U222" i="19"/>
  <c r="V222" i="19"/>
  <c r="W222" i="19"/>
  <c r="X222" i="19"/>
  <c r="Y222" i="19"/>
  <c r="Z222" i="19"/>
  <c r="AA222" i="19"/>
  <c r="AB222" i="19"/>
  <c r="AC222" i="19"/>
  <c r="AD222" i="19"/>
  <c r="AE222" i="19"/>
  <c r="AF222" i="19"/>
  <c r="AG222" i="19"/>
  <c r="AH222" i="19"/>
  <c r="AI222" i="19"/>
  <c r="AJ222" i="19"/>
  <c r="AK222" i="19"/>
  <c r="AL222" i="19"/>
  <c r="AM222" i="19"/>
  <c r="AN222" i="19"/>
  <c r="AO222" i="19"/>
  <c r="AP222" i="19"/>
  <c r="AQ222" i="19"/>
  <c r="AR222" i="19"/>
  <c r="AS222" i="19"/>
  <c r="AT222" i="19"/>
  <c r="AU222" i="19"/>
  <c r="AV222" i="19"/>
  <c r="AW222" i="19"/>
  <c r="AX222" i="19"/>
  <c r="AY222" i="19"/>
  <c r="AZ222" i="19"/>
  <c r="BA222" i="19"/>
  <c r="BB222" i="19"/>
  <c r="I223" i="19"/>
  <c r="L223" i="19"/>
  <c r="M223" i="19"/>
  <c r="N223" i="19"/>
  <c r="O223" i="19"/>
  <c r="P223" i="19"/>
  <c r="Q223" i="19"/>
  <c r="R223" i="19"/>
  <c r="S223" i="19"/>
  <c r="T223" i="19"/>
  <c r="U223" i="19"/>
  <c r="V223" i="19"/>
  <c r="W223" i="19"/>
  <c r="X223" i="19"/>
  <c r="Y223" i="19"/>
  <c r="Z223" i="19"/>
  <c r="AA223" i="19"/>
  <c r="AB223" i="19"/>
  <c r="AC223" i="19"/>
  <c r="AD223" i="19"/>
  <c r="AE223" i="19"/>
  <c r="AF223" i="19"/>
  <c r="AG223" i="19"/>
  <c r="AH223" i="19"/>
  <c r="AI223" i="19"/>
  <c r="AJ223" i="19"/>
  <c r="AK223" i="19"/>
  <c r="AL223" i="19"/>
  <c r="AM223" i="19"/>
  <c r="AN223" i="19"/>
  <c r="AO223" i="19"/>
  <c r="AP223" i="19"/>
  <c r="AQ223" i="19"/>
  <c r="AR223" i="19"/>
  <c r="AS223" i="19"/>
  <c r="AT223" i="19"/>
  <c r="AU223" i="19"/>
  <c r="AV223" i="19"/>
  <c r="AW223" i="19"/>
  <c r="AX223" i="19"/>
  <c r="AY223" i="19"/>
  <c r="AZ223" i="19"/>
  <c r="BA223" i="19"/>
  <c r="BB223" i="19"/>
  <c r="I224" i="19"/>
  <c r="L224" i="19"/>
  <c r="M224" i="19"/>
  <c r="N224" i="19"/>
  <c r="O224" i="19"/>
  <c r="P224" i="19"/>
  <c r="Q224" i="19"/>
  <c r="R224" i="19"/>
  <c r="S224" i="19"/>
  <c r="T224" i="19"/>
  <c r="U224" i="19"/>
  <c r="V224" i="19"/>
  <c r="W224" i="19"/>
  <c r="X224" i="19"/>
  <c r="Y224" i="19"/>
  <c r="Z224" i="19"/>
  <c r="AA224" i="19"/>
  <c r="AB224" i="19"/>
  <c r="AC224" i="19"/>
  <c r="AD224" i="19"/>
  <c r="AE224" i="19"/>
  <c r="AF224" i="19"/>
  <c r="AG224" i="19"/>
  <c r="AH224" i="19"/>
  <c r="AI224" i="19"/>
  <c r="AJ224" i="19"/>
  <c r="AK224" i="19"/>
  <c r="AL224" i="19"/>
  <c r="AM224" i="19"/>
  <c r="AN224" i="19"/>
  <c r="AO224" i="19"/>
  <c r="AP224" i="19"/>
  <c r="AQ224" i="19"/>
  <c r="AR224" i="19"/>
  <c r="AS224" i="19"/>
  <c r="AT224" i="19"/>
  <c r="AU224" i="19"/>
  <c r="AV224" i="19"/>
  <c r="AW224" i="19"/>
  <c r="AX224" i="19"/>
  <c r="AY224" i="19"/>
  <c r="AZ224" i="19"/>
  <c r="BA224" i="19"/>
  <c r="BB224" i="19"/>
  <c r="I225" i="19"/>
  <c r="L225" i="19"/>
  <c r="M225" i="19"/>
  <c r="N225" i="19"/>
  <c r="O225" i="19"/>
  <c r="P225" i="19"/>
  <c r="Q225" i="19"/>
  <c r="R225" i="19"/>
  <c r="S225" i="19"/>
  <c r="T225" i="19"/>
  <c r="U225" i="19"/>
  <c r="V225" i="19"/>
  <c r="W225" i="19"/>
  <c r="X225" i="19"/>
  <c r="Y225" i="19"/>
  <c r="Z225" i="19"/>
  <c r="AA225" i="19"/>
  <c r="AB225" i="19"/>
  <c r="AC225" i="19"/>
  <c r="AD225" i="19"/>
  <c r="AE225" i="19"/>
  <c r="AF225" i="19"/>
  <c r="AG225" i="19"/>
  <c r="AH225" i="19"/>
  <c r="AI225" i="19"/>
  <c r="AJ225" i="19"/>
  <c r="AK225" i="19"/>
  <c r="AL225" i="19"/>
  <c r="AM225" i="19"/>
  <c r="AN225" i="19"/>
  <c r="AO225" i="19"/>
  <c r="AP225" i="19"/>
  <c r="AQ225" i="19"/>
  <c r="AR225" i="19"/>
  <c r="AS225" i="19"/>
  <c r="AT225" i="19"/>
  <c r="AU225" i="19"/>
  <c r="AV225" i="19"/>
  <c r="AW225" i="19"/>
  <c r="AX225" i="19"/>
  <c r="AY225" i="19"/>
  <c r="AZ225" i="19"/>
  <c r="BA225" i="19"/>
  <c r="BB225" i="19"/>
  <c r="I226" i="19"/>
  <c r="L226" i="19"/>
  <c r="M226" i="19"/>
  <c r="N226" i="19"/>
  <c r="O226" i="19"/>
  <c r="P226" i="19"/>
  <c r="Q226" i="19"/>
  <c r="R226" i="19"/>
  <c r="S226" i="19"/>
  <c r="T226" i="19"/>
  <c r="U226" i="19"/>
  <c r="V226" i="19"/>
  <c r="W226" i="19"/>
  <c r="X226" i="19"/>
  <c r="Y226" i="19"/>
  <c r="Z226" i="19"/>
  <c r="AA226" i="19"/>
  <c r="AB226" i="19"/>
  <c r="AC226" i="19"/>
  <c r="AD226" i="19"/>
  <c r="AE226" i="19"/>
  <c r="AF226" i="19"/>
  <c r="AG226" i="19"/>
  <c r="AH226" i="19"/>
  <c r="AI226" i="19"/>
  <c r="AJ226" i="19"/>
  <c r="AK226" i="19"/>
  <c r="AL226" i="19"/>
  <c r="AM226" i="19"/>
  <c r="AN226" i="19"/>
  <c r="AO226" i="19"/>
  <c r="AP226" i="19"/>
  <c r="AQ226" i="19"/>
  <c r="AR226" i="19"/>
  <c r="AS226" i="19"/>
  <c r="AT226" i="19"/>
  <c r="AU226" i="19"/>
  <c r="AV226" i="19"/>
  <c r="AW226" i="19"/>
  <c r="AX226" i="19"/>
  <c r="AY226" i="19"/>
  <c r="AZ226" i="19"/>
  <c r="BA226" i="19"/>
  <c r="BB226" i="19"/>
  <c r="L227" i="19"/>
  <c r="M227" i="19"/>
  <c r="N227" i="19"/>
  <c r="O227" i="19"/>
  <c r="P227" i="19"/>
  <c r="Q227" i="19"/>
  <c r="R227" i="19"/>
  <c r="S227" i="19"/>
  <c r="T227" i="19"/>
  <c r="U227" i="19"/>
  <c r="V227" i="19"/>
  <c r="W227" i="19"/>
  <c r="X227" i="19"/>
  <c r="Y227" i="19"/>
  <c r="Z227" i="19"/>
  <c r="AA227" i="19"/>
  <c r="AB227" i="19"/>
  <c r="AC227" i="19"/>
  <c r="AD227" i="19"/>
  <c r="AE227" i="19"/>
  <c r="AF227" i="19"/>
  <c r="AG227" i="19"/>
  <c r="AH227" i="19"/>
  <c r="AI227" i="19"/>
  <c r="AJ227" i="19"/>
  <c r="AK227" i="19"/>
  <c r="AL227" i="19"/>
  <c r="AM227" i="19"/>
  <c r="AN227" i="19"/>
  <c r="AO227" i="19"/>
  <c r="AP227" i="19"/>
  <c r="AQ227" i="19"/>
  <c r="AR227" i="19"/>
  <c r="AS227" i="19"/>
  <c r="AT227" i="19"/>
  <c r="AU227" i="19"/>
  <c r="AV227" i="19"/>
  <c r="AW227" i="19"/>
  <c r="AY227" i="19"/>
  <c r="AZ227" i="19"/>
  <c r="BA227" i="19"/>
  <c r="BB227" i="19"/>
  <c r="M231" i="19"/>
  <c r="N231" i="19"/>
  <c r="O231" i="19"/>
  <c r="P231" i="19"/>
  <c r="Q231" i="19"/>
  <c r="R231" i="19"/>
  <c r="S231" i="19"/>
  <c r="T231" i="19"/>
  <c r="U231" i="19"/>
  <c r="V231" i="19"/>
  <c r="W231" i="19"/>
  <c r="X231" i="19"/>
  <c r="Y231" i="19"/>
  <c r="Z231" i="19"/>
  <c r="AA231" i="19"/>
  <c r="AB231" i="19"/>
  <c r="AC231" i="19"/>
  <c r="AD231" i="19"/>
  <c r="AE231" i="19"/>
  <c r="AF231" i="19"/>
  <c r="AG231" i="19"/>
  <c r="AH231" i="19"/>
  <c r="AI231" i="19"/>
  <c r="AJ231" i="19"/>
  <c r="AK231" i="19"/>
  <c r="AL231" i="19"/>
  <c r="AM231" i="19"/>
  <c r="AN231" i="19"/>
  <c r="AO231" i="19"/>
  <c r="AP231" i="19"/>
  <c r="AQ231" i="19"/>
  <c r="AR231" i="19"/>
  <c r="AS231" i="19"/>
  <c r="AT231" i="19"/>
  <c r="AU231" i="19"/>
  <c r="AV231" i="19"/>
  <c r="AW231" i="19"/>
  <c r="AX231" i="19"/>
  <c r="AY231" i="19"/>
  <c r="M232" i="19"/>
  <c r="N232" i="19"/>
  <c r="O232" i="19"/>
  <c r="P232" i="19"/>
  <c r="Q232" i="19"/>
  <c r="R232" i="19"/>
  <c r="S232" i="19"/>
  <c r="T232" i="19"/>
  <c r="U232" i="19"/>
  <c r="V232" i="19"/>
  <c r="W232" i="19"/>
  <c r="X232" i="19"/>
  <c r="Y232" i="19"/>
  <c r="Z232" i="19"/>
  <c r="AA232" i="19"/>
  <c r="AB232" i="19"/>
  <c r="AC232" i="19"/>
  <c r="AD232" i="19"/>
  <c r="AE232" i="19"/>
  <c r="AF232" i="19"/>
  <c r="AG232" i="19"/>
  <c r="AH232" i="19"/>
  <c r="AI232" i="19"/>
  <c r="AJ232" i="19"/>
  <c r="AK232" i="19"/>
  <c r="AL232" i="19"/>
  <c r="AM232" i="19"/>
  <c r="AN232" i="19"/>
  <c r="AO232" i="19"/>
  <c r="AP232" i="19"/>
  <c r="AQ232" i="19"/>
  <c r="AR232" i="19"/>
  <c r="AS232" i="19"/>
  <c r="AT232" i="19"/>
  <c r="AU232" i="19"/>
  <c r="AV232" i="19"/>
  <c r="AW232" i="19"/>
  <c r="AX232" i="19"/>
  <c r="AY232" i="19"/>
  <c r="M234" i="19"/>
  <c r="N234" i="19"/>
  <c r="O234" i="19"/>
  <c r="P234" i="19"/>
  <c r="Q234" i="19"/>
  <c r="R234" i="19"/>
  <c r="S234" i="19"/>
  <c r="T234" i="19"/>
  <c r="U234" i="19"/>
  <c r="M236" i="19"/>
  <c r="N236" i="19"/>
  <c r="O236" i="19"/>
  <c r="P236" i="19"/>
  <c r="Q236" i="19"/>
  <c r="R236" i="19"/>
  <c r="S236" i="19"/>
  <c r="T236" i="19"/>
  <c r="U236" i="19"/>
  <c r="R238" i="19"/>
  <c r="S238" i="19"/>
  <c r="T238" i="19"/>
  <c r="U238" i="19"/>
  <c r="I239" i="19"/>
  <c r="L239" i="19"/>
  <c r="M239" i="19"/>
  <c r="N239" i="19"/>
  <c r="O239" i="19"/>
  <c r="P239" i="19"/>
  <c r="Q239" i="19"/>
  <c r="R239" i="19"/>
  <c r="S239" i="19"/>
  <c r="T239" i="19"/>
  <c r="U239" i="19"/>
  <c r="V239" i="19"/>
  <c r="W239" i="19"/>
  <c r="X239" i="19"/>
  <c r="Y239" i="19"/>
  <c r="Z239" i="19"/>
  <c r="AA239" i="19"/>
  <c r="AB239" i="19"/>
  <c r="AC239" i="19"/>
  <c r="AD239" i="19"/>
  <c r="AE239" i="19"/>
  <c r="AF239" i="19"/>
  <c r="AG239" i="19"/>
  <c r="AH239" i="19"/>
  <c r="AI239" i="19"/>
  <c r="AJ239" i="19"/>
  <c r="AK239" i="19"/>
  <c r="AL239" i="19"/>
  <c r="AM239" i="19"/>
  <c r="AN239" i="19"/>
  <c r="AO239" i="19"/>
  <c r="AP239" i="19"/>
  <c r="AQ239" i="19"/>
  <c r="AR239" i="19"/>
  <c r="AS239" i="19"/>
  <c r="AT239" i="19"/>
  <c r="AU239" i="19"/>
  <c r="AV239" i="19"/>
  <c r="AW239" i="19"/>
  <c r="AX239" i="19"/>
  <c r="AY239" i="19"/>
  <c r="AZ239" i="19"/>
  <c r="BA239" i="19"/>
  <c r="BB239" i="19"/>
  <c r="I240" i="19"/>
  <c r="L240" i="19"/>
  <c r="M240" i="19"/>
  <c r="N240" i="19"/>
  <c r="O240" i="19"/>
  <c r="P240" i="19"/>
  <c r="Q240" i="19"/>
  <c r="R240" i="19"/>
  <c r="S240" i="19"/>
  <c r="T240" i="19"/>
  <c r="U240" i="19"/>
  <c r="V240" i="19"/>
  <c r="W240" i="19"/>
  <c r="X240" i="19"/>
  <c r="Y240" i="19"/>
  <c r="Z240" i="19"/>
  <c r="AA240" i="19"/>
  <c r="AB240" i="19"/>
  <c r="AC240" i="19"/>
  <c r="AD240" i="19"/>
  <c r="AE240" i="19"/>
  <c r="AF240" i="19"/>
  <c r="AG240" i="19"/>
  <c r="AH240" i="19"/>
  <c r="AI240" i="19"/>
  <c r="AJ240" i="19"/>
  <c r="AK240" i="19"/>
  <c r="AL240" i="19"/>
  <c r="AM240" i="19"/>
  <c r="AN240" i="19"/>
  <c r="AO240" i="19"/>
  <c r="AP240" i="19"/>
  <c r="AQ240" i="19"/>
  <c r="AR240" i="19"/>
  <c r="AS240" i="19"/>
  <c r="AT240" i="19"/>
  <c r="AU240" i="19"/>
  <c r="AV240" i="19"/>
  <c r="AW240" i="19"/>
  <c r="AX240" i="19"/>
  <c r="AY240" i="19"/>
  <c r="AZ240" i="19"/>
  <c r="BA240" i="19"/>
  <c r="BB240" i="19"/>
  <c r="I241" i="19"/>
  <c r="L241" i="19"/>
  <c r="M241" i="19"/>
  <c r="N241" i="19"/>
  <c r="O241" i="19"/>
  <c r="P241" i="19"/>
  <c r="Q241" i="19"/>
  <c r="R241" i="19"/>
  <c r="S241" i="19"/>
  <c r="T241" i="19"/>
  <c r="U241" i="19"/>
  <c r="V241" i="19"/>
  <c r="W241" i="19"/>
  <c r="X241" i="19"/>
  <c r="Y241" i="19"/>
  <c r="Z241" i="19"/>
  <c r="AA241" i="19"/>
  <c r="AB241" i="19"/>
  <c r="AC241" i="19"/>
  <c r="AD241" i="19"/>
  <c r="AE241" i="19"/>
  <c r="AF241" i="19"/>
  <c r="AG241" i="19"/>
  <c r="AH241" i="19"/>
  <c r="AI241" i="19"/>
  <c r="AJ241" i="19"/>
  <c r="AK241" i="19"/>
  <c r="AL241" i="19"/>
  <c r="AM241" i="19"/>
  <c r="AN241" i="19"/>
  <c r="AO241" i="19"/>
  <c r="AP241" i="19"/>
  <c r="AQ241" i="19"/>
  <c r="AR241" i="19"/>
  <c r="AS241" i="19"/>
  <c r="AT241" i="19"/>
  <c r="AU241" i="19"/>
  <c r="AV241" i="19"/>
  <c r="AW241" i="19"/>
  <c r="AX241" i="19"/>
  <c r="AY241" i="19"/>
  <c r="AZ241" i="19"/>
  <c r="BA241" i="19"/>
  <c r="BB241" i="19"/>
  <c r="I242" i="19"/>
  <c r="L242" i="19"/>
  <c r="M242" i="19"/>
  <c r="N242" i="19"/>
  <c r="O242" i="19"/>
  <c r="P242" i="19"/>
  <c r="Q242" i="19"/>
  <c r="R242" i="19"/>
  <c r="S242" i="19"/>
  <c r="T242" i="19"/>
  <c r="U242" i="19"/>
  <c r="V242" i="19"/>
  <c r="W242" i="19"/>
  <c r="X242" i="19"/>
  <c r="Y242" i="19"/>
  <c r="Z242" i="19"/>
  <c r="AA242" i="19"/>
  <c r="AB242" i="19"/>
  <c r="AC242" i="19"/>
  <c r="AD242" i="19"/>
  <c r="AE242" i="19"/>
  <c r="AF242" i="19"/>
  <c r="AG242" i="19"/>
  <c r="AH242" i="19"/>
  <c r="AI242" i="19"/>
  <c r="AJ242" i="19"/>
  <c r="AK242" i="19"/>
  <c r="AL242" i="19"/>
  <c r="AM242" i="19"/>
  <c r="AN242" i="19"/>
  <c r="AO242" i="19"/>
  <c r="AP242" i="19"/>
  <c r="AQ242" i="19"/>
  <c r="AR242" i="19"/>
  <c r="AS242" i="19"/>
  <c r="AT242" i="19"/>
  <c r="AU242" i="19"/>
  <c r="AV242" i="19"/>
  <c r="AW242" i="19"/>
  <c r="AX242" i="19"/>
  <c r="AY242" i="19"/>
  <c r="AZ242" i="19"/>
  <c r="BA242" i="19"/>
  <c r="BB242" i="19"/>
  <c r="I244" i="19"/>
  <c r="L244" i="19"/>
  <c r="M244" i="19"/>
  <c r="N244" i="19"/>
  <c r="O244" i="19"/>
  <c r="P244" i="19"/>
  <c r="Q244" i="19"/>
  <c r="R244" i="19"/>
  <c r="S244" i="19"/>
  <c r="T244" i="19"/>
  <c r="U244" i="19"/>
  <c r="V244" i="19"/>
  <c r="W244" i="19"/>
  <c r="X244" i="19"/>
  <c r="Y244" i="19"/>
  <c r="Z244" i="19"/>
  <c r="AA244" i="19"/>
  <c r="AB244" i="19"/>
  <c r="AC244" i="19"/>
  <c r="AD244" i="19"/>
  <c r="AE244" i="19"/>
  <c r="AF244" i="19"/>
  <c r="AG244" i="19"/>
  <c r="AH244" i="19"/>
  <c r="AI244" i="19"/>
  <c r="AJ244" i="19"/>
  <c r="AK244" i="19"/>
  <c r="AL244" i="19"/>
  <c r="AM244" i="19"/>
  <c r="AN244" i="19"/>
  <c r="AO244" i="19"/>
  <c r="AP244" i="19"/>
  <c r="AQ244" i="19"/>
  <c r="AR244" i="19"/>
  <c r="AS244" i="19"/>
  <c r="AT244" i="19"/>
  <c r="AU244" i="19"/>
  <c r="AV244" i="19"/>
  <c r="AW244" i="19"/>
  <c r="AX244" i="19"/>
  <c r="AY244" i="19"/>
  <c r="AZ244" i="19"/>
  <c r="BA244" i="19"/>
  <c r="BB244" i="19"/>
  <c r="I246" i="19"/>
  <c r="L246" i="19"/>
  <c r="M246" i="19"/>
  <c r="N246" i="19"/>
  <c r="O246" i="19"/>
  <c r="P246" i="19"/>
  <c r="Q246" i="19"/>
  <c r="R246" i="19"/>
  <c r="S246" i="19"/>
  <c r="T246" i="19"/>
  <c r="U246" i="19"/>
  <c r="V246" i="19"/>
  <c r="W246" i="19"/>
  <c r="X246" i="19"/>
  <c r="Y246" i="19"/>
  <c r="Z246" i="19"/>
  <c r="AA246" i="19"/>
  <c r="AB246" i="19"/>
  <c r="AC246" i="19"/>
  <c r="AD246" i="19"/>
  <c r="AE246" i="19"/>
  <c r="AF246" i="19"/>
  <c r="AG246" i="19"/>
  <c r="AH246" i="19"/>
  <c r="AI246" i="19"/>
  <c r="AJ246" i="19"/>
  <c r="AK246" i="19"/>
  <c r="AL246" i="19"/>
  <c r="AM246" i="19"/>
  <c r="AN246" i="19"/>
  <c r="AO246" i="19"/>
  <c r="AP246" i="19"/>
  <c r="AQ246" i="19"/>
  <c r="AR246" i="19"/>
  <c r="AS246" i="19"/>
  <c r="AT246" i="19"/>
  <c r="AU246" i="19"/>
  <c r="AV246" i="19"/>
  <c r="AW246" i="19"/>
  <c r="AX246" i="19"/>
  <c r="AY246" i="19"/>
  <c r="AZ246" i="19"/>
  <c r="BA246" i="19"/>
  <c r="BB246" i="19"/>
  <c r="I248" i="19"/>
  <c r="L248" i="19"/>
  <c r="M248" i="19"/>
  <c r="N248" i="19"/>
  <c r="O248" i="19"/>
  <c r="P248" i="19"/>
  <c r="Q248" i="19"/>
  <c r="R248" i="19"/>
  <c r="S248" i="19"/>
  <c r="T248" i="19"/>
  <c r="U248" i="19"/>
  <c r="V248" i="19"/>
  <c r="W248" i="19"/>
  <c r="X248" i="19"/>
  <c r="Y248" i="19"/>
  <c r="Z248" i="19"/>
  <c r="AA248" i="19"/>
  <c r="AB248" i="19"/>
  <c r="AC248" i="19"/>
  <c r="AD248" i="19"/>
  <c r="AE248" i="19"/>
  <c r="AF248" i="19"/>
  <c r="AG248" i="19"/>
  <c r="AH248" i="19"/>
  <c r="AI248" i="19"/>
  <c r="AJ248" i="19"/>
  <c r="AK248" i="19"/>
  <c r="AL248" i="19"/>
  <c r="AM248" i="19"/>
  <c r="AN248" i="19"/>
  <c r="AO248" i="19"/>
  <c r="AP248" i="19"/>
  <c r="AQ248" i="19"/>
  <c r="AR248" i="19"/>
  <c r="AS248" i="19"/>
  <c r="AT248" i="19"/>
  <c r="AU248" i="19"/>
  <c r="AV248" i="19"/>
  <c r="AW248" i="19"/>
  <c r="AX248" i="19"/>
  <c r="AY248" i="19"/>
  <c r="AZ248" i="19"/>
  <c r="BA248" i="19"/>
  <c r="BB248" i="19"/>
  <c r="I249" i="19"/>
  <c r="L249" i="19"/>
  <c r="M249" i="19"/>
  <c r="N249" i="19"/>
  <c r="O249" i="19"/>
  <c r="P249" i="19"/>
  <c r="Q249" i="19"/>
  <c r="R249" i="19"/>
  <c r="S249" i="19"/>
  <c r="T249" i="19"/>
  <c r="U249" i="19"/>
  <c r="V249" i="19"/>
  <c r="W249" i="19"/>
  <c r="X249" i="19"/>
  <c r="Y249" i="19"/>
  <c r="Z249" i="19"/>
  <c r="AA249" i="19"/>
  <c r="AB249" i="19"/>
  <c r="AC249" i="19"/>
  <c r="AD249" i="19"/>
  <c r="AE249" i="19"/>
  <c r="AF249" i="19"/>
  <c r="AG249" i="19"/>
  <c r="AH249" i="19"/>
  <c r="AI249" i="19"/>
  <c r="AJ249" i="19"/>
  <c r="AK249" i="19"/>
  <c r="AL249" i="19"/>
  <c r="AM249" i="19"/>
  <c r="AN249" i="19"/>
  <c r="AO249" i="19"/>
  <c r="AP249" i="19"/>
  <c r="AQ249" i="19"/>
  <c r="AR249" i="19"/>
  <c r="AS249" i="19"/>
  <c r="AT249" i="19"/>
  <c r="AU249" i="19"/>
  <c r="AV249" i="19"/>
  <c r="AW249" i="19"/>
  <c r="AX249" i="19"/>
  <c r="AY249" i="19"/>
  <c r="AZ249" i="19"/>
  <c r="BA249" i="19"/>
  <c r="BB249" i="19"/>
  <c r="I250" i="19"/>
  <c r="L250" i="19"/>
  <c r="M250" i="19"/>
  <c r="N250" i="19"/>
  <c r="O250" i="19"/>
  <c r="P250" i="19"/>
  <c r="Q250" i="19"/>
  <c r="R250" i="19"/>
  <c r="S250" i="19"/>
  <c r="T250" i="19"/>
  <c r="U250" i="19"/>
  <c r="V250" i="19"/>
  <c r="W250" i="19"/>
  <c r="X250" i="19"/>
  <c r="Y250" i="19"/>
  <c r="Z250" i="19"/>
  <c r="AA250" i="19"/>
  <c r="AB250" i="19"/>
  <c r="AC250" i="19"/>
  <c r="AD250" i="19"/>
  <c r="AE250" i="19"/>
  <c r="AF250" i="19"/>
  <c r="AG250" i="19"/>
  <c r="AH250" i="19"/>
  <c r="AI250" i="19"/>
  <c r="AJ250" i="19"/>
  <c r="AK250" i="19"/>
  <c r="AL250" i="19"/>
  <c r="AM250" i="19"/>
  <c r="AN250" i="19"/>
  <c r="AO250" i="19"/>
  <c r="AP250" i="19"/>
  <c r="AQ250" i="19"/>
  <c r="AR250" i="19"/>
  <c r="AS250" i="19"/>
  <c r="AT250" i="19"/>
  <c r="AU250" i="19"/>
  <c r="AV250" i="19"/>
  <c r="AW250" i="19"/>
  <c r="AX250" i="19"/>
  <c r="AY250" i="19"/>
  <c r="AZ250" i="19"/>
  <c r="BA250" i="19"/>
  <c r="BB250" i="19"/>
  <c r="I251" i="19"/>
  <c r="L251" i="19"/>
  <c r="M251" i="19"/>
  <c r="N251" i="19"/>
  <c r="O251" i="19"/>
  <c r="P251" i="19"/>
  <c r="Q251" i="19"/>
  <c r="R251" i="19"/>
  <c r="S251" i="19"/>
  <c r="T251" i="19"/>
  <c r="U251" i="19"/>
  <c r="V251" i="19"/>
  <c r="W251" i="19"/>
  <c r="X251" i="19"/>
  <c r="Y251" i="19"/>
  <c r="Z251" i="19"/>
  <c r="AA251" i="19"/>
  <c r="AB251" i="19"/>
  <c r="AC251" i="19"/>
  <c r="AD251" i="19"/>
  <c r="AE251" i="19"/>
  <c r="AF251" i="19"/>
  <c r="AG251" i="19"/>
  <c r="AH251" i="19"/>
  <c r="AI251" i="19"/>
  <c r="AJ251" i="19"/>
  <c r="AK251" i="19"/>
  <c r="AL251" i="19"/>
  <c r="AM251" i="19"/>
  <c r="AN251" i="19"/>
  <c r="AO251" i="19"/>
  <c r="AP251" i="19"/>
  <c r="AQ251" i="19"/>
  <c r="AR251" i="19"/>
  <c r="AS251" i="19"/>
  <c r="AT251" i="19"/>
  <c r="AU251" i="19"/>
  <c r="AV251" i="19"/>
  <c r="AW251" i="19"/>
  <c r="AX251" i="19"/>
  <c r="AY251" i="19"/>
  <c r="AZ251" i="19"/>
  <c r="BA251" i="19"/>
  <c r="BB251" i="19"/>
  <c r="I252" i="19"/>
  <c r="L252" i="19"/>
  <c r="M252" i="19"/>
  <c r="N252" i="19"/>
  <c r="O252" i="19"/>
  <c r="P252" i="19"/>
  <c r="Q252" i="19"/>
  <c r="R252" i="19"/>
  <c r="S252" i="19"/>
  <c r="T252" i="19"/>
  <c r="U252" i="19"/>
  <c r="V252" i="19"/>
  <c r="W252" i="19"/>
  <c r="X252" i="19"/>
  <c r="Y252" i="19"/>
  <c r="Z252" i="19"/>
  <c r="AA252" i="19"/>
  <c r="AB252" i="19"/>
  <c r="AC252" i="19"/>
  <c r="AD252" i="19"/>
  <c r="AE252" i="19"/>
  <c r="AF252" i="19"/>
  <c r="AG252" i="19"/>
  <c r="AH252" i="19"/>
  <c r="AI252" i="19"/>
  <c r="AJ252" i="19"/>
  <c r="AK252" i="19"/>
  <c r="AL252" i="19"/>
  <c r="AM252" i="19"/>
  <c r="AN252" i="19"/>
  <c r="AO252" i="19"/>
  <c r="AP252" i="19"/>
  <c r="AQ252" i="19"/>
  <c r="AR252" i="19"/>
  <c r="AS252" i="19"/>
  <c r="AT252" i="19"/>
  <c r="AU252" i="19"/>
  <c r="AV252" i="19"/>
  <c r="AW252" i="19"/>
  <c r="AX252" i="19"/>
  <c r="AY252" i="19"/>
  <c r="AZ252" i="19"/>
  <c r="BA252" i="19"/>
  <c r="BB252" i="19"/>
  <c r="F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U6" i="18"/>
  <c r="BV6" i="18"/>
  <c r="BW6" i="18"/>
  <c r="BX6" i="18"/>
  <c r="BY6" i="18"/>
  <c r="BZ6" i="18"/>
  <c r="CA6" i="18"/>
  <c r="CB6" i="18"/>
  <c r="CC6" i="18"/>
  <c r="CD6" i="18"/>
  <c r="CE6" i="18"/>
  <c r="CF6" i="18"/>
  <c r="CG6" i="18"/>
  <c r="CH6" i="18"/>
  <c r="CI6" i="18"/>
  <c r="CJ6" i="18"/>
  <c r="CK6" i="18"/>
  <c r="CL6" i="18"/>
  <c r="CM6" i="18"/>
  <c r="CN6" i="18"/>
  <c r="CO6" i="18"/>
  <c r="CP6" i="18"/>
  <c r="CQ6" i="18"/>
  <c r="CR6" i="18"/>
  <c r="CS6" i="18"/>
  <c r="CT6" i="18"/>
  <c r="CU6" i="18"/>
  <c r="CV6" i="18"/>
  <c r="CW6" i="18"/>
  <c r="CX6" i="18"/>
  <c r="CY6" i="18"/>
  <c r="CZ6" i="18"/>
  <c r="DA6" i="18"/>
  <c r="DB6" i="18"/>
  <c r="DC6" i="18"/>
  <c r="DD6" i="18"/>
  <c r="DE6" i="18"/>
  <c r="DF6" i="18"/>
  <c r="DG6" i="18"/>
  <c r="DH6" i="18"/>
  <c r="DI6" i="18"/>
  <c r="DJ6" i="18"/>
  <c r="DK6" i="18"/>
  <c r="DL6" i="18"/>
  <c r="DM6" i="18"/>
  <c r="DN6" i="18"/>
  <c r="DO6" i="18"/>
  <c r="DP6" i="18"/>
  <c r="DQ6" i="18"/>
  <c r="DR6" i="18"/>
  <c r="DS6" i="18"/>
  <c r="DT6" i="18"/>
  <c r="DU6" i="18"/>
  <c r="DV6" i="18"/>
  <c r="DW6" i="18"/>
  <c r="DX6" i="18"/>
  <c r="DY6" i="18"/>
  <c r="DZ6" i="18"/>
  <c r="EA6" i="18"/>
  <c r="EB6" i="18"/>
  <c r="EC6" i="18"/>
  <c r="ED6" i="18"/>
  <c r="EE6" i="18"/>
  <c r="EF6" i="18"/>
  <c r="EG6" i="18"/>
  <c r="EH6" i="18"/>
  <c r="EI6" i="18"/>
  <c r="EJ6" i="18"/>
  <c r="EK6" i="18"/>
  <c r="EL6" i="18"/>
  <c r="EM6" i="18"/>
  <c r="EN6" i="18"/>
  <c r="EO6" i="18"/>
  <c r="EP6" i="18"/>
  <c r="EQ6" i="18"/>
  <c r="ER6" i="18"/>
  <c r="ES6" i="18"/>
  <c r="ET6" i="18"/>
  <c r="EU6" i="18"/>
  <c r="EV6" i="18"/>
  <c r="EW6" i="18"/>
  <c r="EX6" i="18"/>
  <c r="EY6" i="18"/>
  <c r="EZ6" i="18"/>
  <c r="FA6" i="18"/>
  <c r="FB6" i="18"/>
  <c r="FC6" i="18"/>
  <c r="FD6" i="18"/>
  <c r="FE6" i="18"/>
  <c r="FF6" i="18"/>
  <c r="FG6" i="18"/>
  <c r="FH6" i="18"/>
  <c r="FI6" i="18"/>
  <c r="FJ6" i="18"/>
  <c r="FK6" i="18"/>
  <c r="FL6" i="18"/>
  <c r="FM6" i="18"/>
  <c r="FN6" i="18"/>
  <c r="FO6" i="18"/>
  <c r="FP6" i="18"/>
  <c r="FQ6" i="18"/>
  <c r="FR6" i="18"/>
  <c r="FS6" i="18"/>
  <c r="FT6" i="18"/>
  <c r="FU6" i="18"/>
  <c r="FV6" i="18"/>
  <c r="FW6" i="18"/>
  <c r="FX6" i="18"/>
  <c r="FY6" i="18"/>
  <c r="FZ6" i="18"/>
  <c r="GA6" i="18"/>
  <c r="GB6" i="18"/>
  <c r="GC6" i="18"/>
  <c r="GD6" i="18"/>
  <c r="F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BA15" i="18"/>
  <c r="BB15" i="18"/>
  <c r="BC15" i="18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U15" i="18"/>
  <c r="BV15" i="18"/>
  <c r="BW15" i="18"/>
  <c r="BX15" i="18"/>
  <c r="BY15" i="18"/>
  <c r="BZ15" i="18"/>
  <c r="CA15" i="18"/>
  <c r="CB15" i="18"/>
  <c r="CC15" i="18"/>
  <c r="CD15" i="18"/>
  <c r="CE15" i="18"/>
  <c r="CF15" i="18"/>
  <c r="CG15" i="18"/>
  <c r="CH15" i="18"/>
  <c r="CI15" i="18"/>
  <c r="CJ15" i="18"/>
  <c r="CK15" i="18"/>
  <c r="CL15" i="18"/>
  <c r="CM15" i="18"/>
  <c r="CN15" i="18"/>
  <c r="CO15" i="18"/>
  <c r="CP15" i="18"/>
  <c r="CQ15" i="18"/>
  <c r="CR15" i="18"/>
  <c r="CS15" i="18"/>
  <c r="CT15" i="18"/>
  <c r="CU15" i="18"/>
  <c r="CV15" i="18"/>
  <c r="CW15" i="18"/>
  <c r="CX15" i="18"/>
  <c r="CY15" i="18"/>
  <c r="CZ15" i="18"/>
  <c r="DA15" i="18"/>
  <c r="DB15" i="18"/>
  <c r="DC15" i="18"/>
  <c r="DD15" i="18"/>
  <c r="DE15" i="18"/>
  <c r="DF15" i="18"/>
  <c r="DG15" i="18"/>
  <c r="DH15" i="18"/>
  <c r="DI15" i="18"/>
  <c r="DJ15" i="18"/>
  <c r="DK15" i="18"/>
  <c r="DL15" i="18"/>
  <c r="DM15" i="18"/>
  <c r="DN15" i="18"/>
  <c r="DO15" i="18"/>
  <c r="DP15" i="18"/>
  <c r="DQ15" i="18"/>
  <c r="DR15" i="18"/>
  <c r="DS15" i="18"/>
  <c r="DT15" i="18"/>
  <c r="DU15" i="18"/>
  <c r="DV15" i="18"/>
  <c r="DW15" i="18"/>
  <c r="DX15" i="18"/>
  <c r="DY15" i="18"/>
  <c r="DZ15" i="18"/>
  <c r="EA15" i="18"/>
  <c r="EB15" i="18"/>
  <c r="EC15" i="18"/>
  <c r="ED15" i="18"/>
  <c r="EE15" i="18"/>
  <c r="EF15" i="18"/>
  <c r="EG15" i="18"/>
  <c r="EH15" i="18"/>
  <c r="EI15" i="18"/>
  <c r="EJ15" i="18"/>
  <c r="EK15" i="18"/>
  <c r="EL15" i="18"/>
  <c r="EM15" i="18"/>
  <c r="EN15" i="18"/>
  <c r="EO15" i="18"/>
  <c r="EP15" i="18"/>
  <c r="EQ15" i="18"/>
  <c r="ER15" i="18"/>
  <c r="ES15" i="18"/>
  <c r="ET15" i="18"/>
  <c r="EU15" i="18"/>
  <c r="EV15" i="18"/>
  <c r="EW15" i="18"/>
  <c r="EX15" i="18"/>
  <c r="EY15" i="18"/>
  <c r="EZ15" i="18"/>
  <c r="FA15" i="18"/>
  <c r="FB15" i="18"/>
  <c r="FC15" i="18"/>
  <c r="FD15" i="18"/>
  <c r="FE15" i="18"/>
  <c r="FF15" i="18"/>
  <c r="FG15" i="18"/>
  <c r="FH15" i="18"/>
  <c r="FI15" i="18"/>
  <c r="FJ15" i="18"/>
  <c r="FK15" i="18"/>
  <c r="FL15" i="18"/>
  <c r="FM15" i="18"/>
  <c r="FN15" i="18"/>
  <c r="FO15" i="18"/>
  <c r="FP15" i="18"/>
  <c r="FQ15" i="18"/>
  <c r="FR15" i="18"/>
  <c r="FS15" i="18"/>
  <c r="FT15" i="18"/>
  <c r="FU15" i="18"/>
  <c r="FV15" i="18"/>
  <c r="FW15" i="18"/>
  <c r="FX15" i="18"/>
  <c r="FY15" i="18"/>
  <c r="FZ15" i="18"/>
  <c r="GA15" i="18"/>
  <c r="GB15" i="18"/>
  <c r="GC15" i="18"/>
  <c r="GD15" i="18"/>
  <c r="F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U16" i="18"/>
  <c r="BV16" i="18"/>
  <c r="BW16" i="18"/>
  <c r="BX16" i="18"/>
  <c r="BY16" i="18"/>
  <c r="BZ16" i="18"/>
  <c r="CA16" i="18"/>
  <c r="CB16" i="18"/>
  <c r="CC16" i="18"/>
  <c r="CD16" i="18"/>
  <c r="CE16" i="18"/>
  <c r="CF16" i="18"/>
  <c r="CG16" i="18"/>
  <c r="CH16" i="18"/>
  <c r="CI16" i="18"/>
  <c r="CJ16" i="18"/>
  <c r="CK16" i="18"/>
  <c r="CL16" i="18"/>
  <c r="CM16" i="18"/>
  <c r="CN16" i="18"/>
  <c r="CO16" i="18"/>
  <c r="CP16" i="18"/>
  <c r="CQ16" i="18"/>
  <c r="CR16" i="18"/>
  <c r="CS16" i="18"/>
  <c r="CT16" i="18"/>
  <c r="CU16" i="18"/>
  <c r="CV16" i="18"/>
  <c r="CW16" i="18"/>
  <c r="CX16" i="18"/>
  <c r="CY16" i="18"/>
  <c r="CZ16" i="18"/>
  <c r="DA16" i="18"/>
  <c r="DB16" i="18"/>
  <c r="DC16" i="18"/>
  <c r="DD16" i="18"/>
  <c r="DE16" i="18"/>
  <c r="DF16" i="18"/>
  <c r="DG16" i="18"/>
  <c r="DH16" i="18"/>
  <c r="DI16" i="18"/>
  <c r="DJ16" i="18"/>
  <c r="DK16" i="18"/>
  <c r="DL16" i="18"/>
  <c r="DM16" i="18"/>
  <c r="DN16" i="18"/>
  <c r="DO16" i="18"/>
  <c r="DP16" i="18"/>
  <c r="DQ16" i="18"/>
  <c r="DR16" i="18"/>
  <c r="DS16" i="18"/>
  <c r="DT16" i="18"/>
  <c r="DU16" i="18"/>
  <c r="DV16" i="18"/>
  <c r="DW16" i="18"/>
  <c r="DX16" i="18"/>
  <c r="DY16" i="18"/>
  <c r="DZ16" i="18"/>
  <c r="EA16" i="18"/>
  <c r="EB16" i="18"/>
  <c r="EC16" i="18"/>
  <c r="ED16" i="18"/>
  <c r="EE16" i="18"/>
  <c r="EF16" i="18"/>
  <c r="EG16" i="18"/>
  <c r="EH16" i="18"/>
  <c r="EI16" i="18"/>
  <c r="EJ16" i="18"/>
  <c r="EK16" i="18"/>
  <c r="EL16" i="18"/>
  <c r="EM16" i="18"/>
  <c r="EN16" i="18"/>
  <c r="EO16" i="18"/>
  <c r="EP16" i="18"/>
  <c r="EQ16" i="18"/>
  <c r="ER16" i="18"/>
  <c r="ES16" i="18"/>
  <c r="ET16" i="18"/>
  <c r="EU16" i="18"/>
  <c r="EV16" i="18"/>
  <c r="EW16" i="18"/>
  <c r="EX16" i="18"/>
  <c r="EY16" i="18"/>
  <c r="EZ16" i="18"/>
  <c r="FA16" i="18"/>
  <c r="FB16" i="18"/>
  <c r="FC16" i="18"/>
  <c r="FD16" i="18"/>
  <c r="FE16" i="18"/>
  <c r="FF16" i="18"/>
  <c r="FG16" i="18"/>
  <c r="FH16" i="18"/>
  <c r="FI16" i="18"/>
  <c r="FJ16" i="18"/>
  <c r="FK16" i="18"/>
  <c r="FL16" i="18"/>
  <c r="FM16" i="18"/>
  <c r="FN16" i="18"/>
  <c r="FO16" i="18"/>
  <c r="FP16" i="18"/>
  <c r="FQ16" i="18"/>
  <c r="FR16" i="18"/>
  <c r="FS16" i="18"/>
  <c r="FT16" i="18"/>
  <c r="FU16" i="18"/>
  <c r="FV16" i="18"/>
  <c r="FW16" i="18"/>
  <c r="FX16" i="18"/>
  <c r="FY16" i="18"/>
  <c r="FZ16" i="18"/>
  <c r="GA16" i="18"/>
  <c r="GB16" i="18"/>
  <c r="GC16" i="18"/>
  <c r="GD16" i="18"/>
  <c r="F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U17" i="18"/>
  <c r="BV17" i="18"/>
  <c r="BW17" i="18"/>
  <c r="BX17" i="18"/>
  <c r="BY17" i="18"/>
  <c r="BZ17" i="18"/>
  <c r="CA17" i="18"/>
  <c r="CB17" i="18"/>
  <c r="CC17" i="18"/>
  <c r="CD17" i="18"/>
  <c r="CE17" i="18"/>
  <c r="CF17" i="18"/>
  <c r="CG17" i="18"/>
  <c r="CH17" i="18"/>
  <c r="CI17" i="18"/>
  <c r="CJ17" i="18"/>
  <c r="CK17" i="18"/>
  <c r="CL17" i="18"/>
  <c r="CM17" i="18"/>
  <c r="CN17" i="18"/>
  <c r="CO17" i="18"/>
  <c r="CP17" i="18"/>
  <c r="CQ17" i="18"/>
  <c r="CR17" i="18"/>
  <c r="CS17" i="18"/>
  <c r="CT17" i="18"/>
  <c r="CU17" i="18"/>
  <c r="CV17" i="18"/>
  <c r="CW17" i="18"/>
  <c r="CX17" i="18"/>
  <c r="CY17" i="18"/>
  <c r="CZ17" i="18"/>
  <c r="DA17" i="18"/>
  <c r="DB17" i="18"/>
  <c r="DC17" i="18"/>
  <c r="DD17" i="18"/>
  <c r="DE17" i="18"/>
  <c r="DF17" i="18"/>
  <c r="DG17" i="18"/>
  <c r="DH17" i="18"/>
  <c r="DI17" i="18"/>
  <c r="DJ17" i="18"/>
  <c r="DK17" i="18"/>
  <c r="DL17" i="18"/>
  <c r="DM17" i="18"/>
  <c r="DN17" i="18"/>
  <c r="DO17" i="18"/>
  <c r="DP17" i="18"/>
  <c r="DQ17" i="18"/>
  <c r="DR17" i="18"/>
  <c r="DS17" i="18"/>
  <c r="DT17" i="18"/>
  <c r="DU17" i="18"/>
  <c r="DV17" i="18"/>
  <c r="DW17" i="18"/>
  <c r="DX17" i="18"/>
  <c r="DY17" i="18"/>
  <c r="DZ17" i="18"/>
  <c r="EA17" i="18"/>
  <c r="EB17" i="18"/>
  <c r="EC17" i="18"/>
  <c r="ED17" i="18"/>
  <c r="EE17" i="18"/>
  <c r="EF17" i="18"/>
  <c r="EG17" i="18"/>
  <c r="EH17" i="18"/>
  <c r="EI17" i="18"/>
  <c r="EJ17" i="18"/>
  <c r="EK17" i="18"/>
  <c r="EL17" i="18"/>
  <c r="EM17" i="18"/>
  <c r="EN17" i="18"/>
  <c r="EO17" i="18"/>
  <c r="EP17" i="18"/>
  <c r="EQ17" i="18"/>
  <c r="ER17" i="18"/>
  <c r="ES17" i="18"/>
  <c r="ET17" i="18"/>
  <c r="EU17" i="18"/>
  <c r="EV17" i="18"/>
  <c r="EW17" i="18"/>
  <c r="EX17" i="18"/>
  <c r="EY17" i="18"/>
  <c r="EZ17" i="18"/>
  <c r="FA17" i="18"/>
  <c r="FB17" i="18"/>
  <c r="FC17" i="18"/>
  <c r="FD17" i="18"/>
  <c r="FE17" i="18"/>
  <c r="FF17" i="18"/>
  <c r="FG17" i="18"/>
  <c r="FH17" i="18"/>
  <c r="FI17" i="18"/>
  <c r="FJ17" i="18"/>
  <c r="FK17" i="18"/>
  <c r="FL17" i="18"/>
  <c r="FM17" i="18"/>
  <c r="FN17" i="18"/>
  <c r="FO17" i="18"/>
  <c r="FP17" i="18"/>
  <c r="FQ17" i="18"/>
  <c r="FR17" i="18"/>
  <c r="FS17" i="18"/>
  <c r="FT17" i="18"/>
  <c r="FU17" i="18"/>
  <c r="FV17" i="18"/>
  <c r="FW17" i="18"/>
  <c r="FX17" i="18"/>
  <c r="FY17" i="18"/>
  <c r="FZ17" i="18"/>
  <c r="GA17" i="18"/>
  <c r="GB17" i="18"/>
  <c r="GC17" i="18"/>
  <c r="GD17" i="18"/>
  <c r="F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U23" i="18"/>
  <c r="BV23" i="18"/>
  <c r="BW23" i="18"/>
  <c r="BX23" i="18"/>
  <c r="BY23" i="18"/>
  <c r="BZ23" i="18"/>
  <c r="CA23" i="18"/>
  <c r="CB23" i="18"/>
  <c r="CC23" i="18"/>
  <c r="CD23" i="18"/>
  <c r="CE23" i="18"/>
  <c r="CF23" i="18"/>
  <c r="CG23" i="18"/>
  <c r="CH23" i="18"/>
  <c r="CI23" i="18"/>
  <c r="CJ23" i="18"/>
  <c r="CK23" i="18"/>
  <c r="CL23" i="18"/>
  <c r="CM23" i="18"/>
  <c r="CN23" i="18"/>
  <c r="CO23" i="18"/>
  <c r="CP23" i="18"/>
  <c r="CQ23" i="18"/>
  <c r="CR23" i="18"/>
  <c r="F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U26" i="18"/>
  <c r="BV26" i="18"/>
  <c r="BW26" i="18"/>
  <c r="BX26" i="18"/>
  <c r="BY26" i="18"/>
  <c r="BZ26" i="18"/>
  <c r="CA26" i="18"/>
  <c r="CB26" i="18"/>
  <c r="CC26" i="18"/>
  <c r="CD26" i="18"/>
  <c r="CE26" i="18"/>
  <c r="CF26" i="18"/>
  <c r="CG26" i="18"/>
  <c r="CH26" i="18"/>
  <c r="CI26" i="18"/>
  <c r="CJ26" i="18"/>
  <c r="CK26" i="18"/>
  <c r="CL26" i="18"/>
  <c r="CM26" i="18"/>
  <c r="CN26" i="18"/>
  <c r="CO26" i="18"/>
  <c r="CP26" i="18"/>
  <c r="CQ26" i="18"/>
  <c r="CR26" i="18"/>
  <c r="CS26" i="18"/>
  <c r="CT26" i="18"/>
  <c r="CU26" i="18"/>
  <c r="CV26" i="18"/>
  <c r="CW26" i="18"/>
  <c r="CX26" i="18"/>
  <c r="CY26" i="18"/>
  <c r="CZ26" i="18"/>
  <c r="DA26" i="18"/>
  <c r="DB26" i="18"/>
  <c r="DC26" i="18"/>
  <c r="DD26" i="18"/>
  <c r="DE26" i="18"/>
  <c r="DF26" i="18"/>
  <c r="DG26" i="18"/>
  <c r="DH26" i="18"/>
  <c r="DI26" i="18"/>
  <c r="DJ26" i="18"/>
  <c r="DK26" i="18"/>
  <c r="DL26" i="18"/>
  <c r="DM26" i="18"/>
  <c r="DN26" i="18"/>
  <c r="DO26" i="18"/>
  <c r="DP26" i="18"/>
  <c r="DQ26" i="18"/>
  <c r="DR26" i="18"/>
  <c r="DS26" i="18"/>
  <c r="DT26" i="18"/>
  <c r="DU26" i="18"/>
  <c r="DV26" i="18"/>
  <c r="DW26" i="18"/>
  <c r="DX26" i="18"/>
  <c r="DY26" i="18"/>
  <c r="DZ26" i="18"/>
  <c r="EA26" i="18"/>
  <c r="EB26" i="18"/>
  <c r="EC26" i="18"/>
  <c r="ED26" i="18"/>
  <c r="EE26" i="18"/>
  <c r="EF26" i="18"/>
  <c r="EG26" i="18"/>
  <c r="EH26" i="18"/>
  <c r="EI26" i="18"/>
  <c r="EJ26" i="18"/>
  <c r="EK26" i="18"/>
  <c r="EL26" i="18"/>
  <c r="EM26" i="18"/>
  <c r="EN26" i="18"/>
  <c r="EO26" i="18"/>
  <c r="EP26" i="18"/>
  <c r="EQ26" i="18"/>
  <c r="ER26" i="18"/>
  <c r="ES26" i="18"/>
  <c r="ET26" i="18"/>
  <c r="EU26" i="18"/>
  <c r="EV26" i="18"/>
  <c r="EW26" i="18"/>
  <c r="EX26" i="18"/>
  <c r="EY26" i="18"/>
  <c r="EZ26" i="18"/>
  <c r="FA26" i="18"/>
  <c r="FB26" i="18"/>
  <c r="FC26" i="18"/>
  <c r="FD26" i="18"/>
  <c r="FE26" i="18"/>
  <c r="FF26" i="18"/>
  <c r="FG26" i="18"/>
  <c r="FH26" i="18"/>
  <c r="FI26" i="18"/>
  <c r="FJ26" i="18"/>
  <c r="FK26" i="18"/>
  <c r="FL26" i="18"/>
  <c r="FM26" i="18"/>
  <c r="FN26" i="18"/>
  <c r="FO26" i="18"/>
  <c r="FP26" i="18"/>
  <c r="FQ26" i="18"/>
  <c r="FR26" i="18"/>
  <c r="FS26" i="18"/>
  <c r="FT26" i="18"/>
  <c r="FU26" i="18"/>
  <c r="FV26" i="18"/>
  <c r="FW26" i="18"/>
  <c r="FX26" i="18"/>
  <c r="FY26" i="18"/>
  <c r="FZ26" i="18"/>
  <c r="GA26" i="18"/>
  <c r="GB26" i="18"/>
  <c r="GC26" i="18"/>
  <c r="GD26" i="18"/>
  <c r="F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U33" i="18"/>
  <c r="BV33" i="18"/>
  <c r="BW33" i="18"/>
  <c r="BX33" i="18"/>
  <c r="BY33" i="18"/>
  <c r="BZ33" i="18"/>
  <c r="CA33" i="18"/>
  <c r="CB33" i="18"/>
  <c r="CC33" i="18"/>
  <c r="CD33" i="18"/>
  <c r="CE33" i="18"/>
  <c r="CF33" i="18"/>
  <c r="CG33" i="18"/>
  <c r="CH33" i="18"/>
  <c r="CI33" i="18"/>
  <c r="CJ33" i="18"/>
  <c r="CK33" i="18"/>
  <c r="CL33" i="18"/>
  <c r="CM33" i="18"/>
  <c r="CN33" i="18"/>
  <c r="CO33" i="18"/>
  <c r="CP33" i="18"/>
  <c r="CQ33" i="18"/>
  <c r="CR33" i="18"/>
  <c r="CS33" i="18"/>
  <c r="CT33" i="18"/>
  <c r="CU33" i="18"/>
  <c r="CV33" i="18"/>
  <c r="CW33" i="18"/>
  <c r="CX33" i="18"/>
  <c r="CY33" i="18"/>
  <c r="CZ33" i="18"/>
  <c r="DA33" i="18"/>
  <c r="DB33" i="18"/>
  <c r="DC33" i="18"/>
  <c r="DD33" i="18"/>
  <c r="DE33" i="18"/>
  <c r="DF33" i="18"/>
  <c r="DG33" i="18"/>
  <c r="DH33" i="18"/>
  <c r="DI33" i="18"/>
  <c r="DJ33" i="18"/>
  <c r="DK33" i="18"/>
  <c r="DL33" i="18"/>
  <c r="DM33" i="18"/>
  <c r="DN33" i="18"/>
  <c r="DO33" i="18"/>
  <c r="DP33" i="18"/>
  <c r="DQ33" i="18"/>
  <c r="DR33" i="18"/>
  <c r="DS33" i="18"/>
  <c r="DT33" i="18"/>
  <c r="DU33" i="18"/>
  <c r="DV33" i="18"/>
  <c r="DW33" i="18"/>
  <c r="DX33" i="18"/>
  <c r="DY33" i="18"/>
  <c r="DZ33" i="18"/>
  <c r="EA33" i="18"/>
  <c r="EB33" i="18"/>
  <c r="EC33" i="18"/>
  <c r="ED33" i="18"/>
  <c r="EE33" i="18"/>
  <c r="EF33" i="18"/>
  <c r="EG33" i="18"/>
  <c r="EH33" i="18"/>
  <c r="EI33" i="18"/>
  <c r="EJ33" i="18"/>
  <c r="EK33" i="18"/>
  <c r="EL33" i="18"/>
  <c r="EM33" i="18"/>
  <c r="EN33" i="18"/>
  <c r="EO33" i="18"/>
  <c r="EP33" i="18"/>
  <c r="EQ33" i="18"/>
  <c r="ER33" i="18"/>
  <c r="ES33" i="18"/>
  <c r="ET33" i="18"/>
  <c r="EU33" i="18"/>
  <c r="EV33" i="18"/>
  <c r="EW33" i="18"/>
  <c r="EX33" i="18"/>
  <c r="EY33" i="18"/>
  <c r="EZ33" i="18"/>
  <c r="FA33" i="18"/>
  <c r="FB33" i="18"/>
  <c r="FC33" i="18"/>
  <c r="FD33" i="18"/>
  <c r="FE33" i="18"/>
  <c r="FF33" i="18"/>
  <c r="FG33" i="18"/>
  <c r="FH33" i="18"/>
  <c r="FI33" i="18"/>
  <c r="FJ33" i="18"/>
  <c r="FK33" i="18"/>
  <c r="FL33" i="18"/>
  <c r="FM33" i="18"/>
  <c r="FN33" i="18"/>
  <c r="FO33" i="18"/>
  <c r="FP33" i="18"/>
  <c r="FQ33" i="18"/>
  <c r="FR33" i="18"/>
  <c r="FS33" i="18"/>
  <c r="FT33" i="18"/>
  <c r="FU33" i="18"/>
  <c r="FV33" i="18"/>
  <c r="FW33" i="18"/>
  <c r="FX33" i="18"/>
  <c r="FY33" i="18"/>
  <c r="FZ33" i="18"/>
  <c r="GA33" i="18"/>
  <c r="GB33" i="18"/>
  <c r="GC33" i="18"/>
  <c r="GD33" i="18"/>
  <c r="F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U34" i="18"/>
  <c r="BV34" i="18"/>
  <c r="BW34" i="18"/>
  <c r="BX34" i="18"/>
  <c r="BY34" i="18"/>
  <c r="BZ34" i="18"/>
  <c r="CA34" i="18"/>
  <c r="CB34" i="18"/>
  <c r="CC34" i="18"/>
  <c r="CD34" i="18"/>
  <c r="CE34" i="18"/>
  <c r="CF34" i="18"/>
  <c r="CG34" i="18"/>
  <c r="CH34" i="18"/>
  <c r="CI34" i="18"/>
  <c r="CJ34" i="18"/>
  <c r="CK34" i="18"/>
  <c r="CL34" i="18"/>
  <c r="CM34" i="18"/>
  <c r="CN34" i="18"/>
  <c r="CO34" i="18"/>
  <c r="CP34" i="18"/>
  <c r="CQ34" i="18"/>
  <c r="CR34" i="18"/>
  <c r="CS34" i="18"/>
  <c r="CT34" i="18"/>
  <c r="CU34" i="18"/>
  <c r="CV34" i="18"/>
  <c r="CW34" i="18"/>
  <c r="CX34" i="18"/>
  <c r="CY34" i="18"/>
  <c r="CZ34" i="18"/>
  <c r="DA34" i="18"/>
  <c r="DB34" i="18"/>
  <c r="DC34" i="18"/>
  <c r="DD34" i="18"/>
  <c r="DE34" i="18"/>
  <c r="DF34" i="18"/>
  <c r="DG34" i="18"/>
  <c r="DH34" i="18"/>
  <c r="DI34" i="18"/>
  <c r="DJ34" i="18"/>
  <c r="DK34" i="18"/>
  <c r="DL34" i="18"/>
  <c r="DM34" i="18"/>
  <c r="DN34" i="18"/>
  <c r="DO34" i="18"/>
  <c r="DP34" i="18"/>
  <c r="DQ34" i="18"/>
  <c r="DR34" i="18"/>
  <c r="DS34" i="18"/>
  <c r="DT34" i="18"/>
  <c r="DU34" i="18"/>
  <c r="DV34" i="18"/>
  <c r="DW34" i="18"/>
  <c r="DX34" i="18"/>
  <c r="DY34" i="18"/>
  <c r="DZ34" i="18"/>
  <c r="EA34" i="18"/>
  <c r="EB34" i="18"/>
  <c r="EC34" i="18"/>
  <c r="ED34" i="18"/>
  <c r="EE34" i="18"/>
  <c r="EF34" i="18"/>
  <c r="EG34" i="18"/>
  <c r="EH34" i="18"/>
  <c r="EI34" i="18"/>
  <c r="EJ34" i="18"/>
  <c r="EK34" i="18"/>
  <c r="EL34" i="18"/>
  <c r="EM34" i="18"/>
  <c r="EN34" i="18"/>
  <c r="EO34" i="18"/>
  <c r="EP34" i="18"/>
  <c r="EQ34" i="18"/>
  <c r="ER34" i="18"/>
  <c r="ES34" i="18"/>
  <c r="ET34" i="18"/>
  <c r="EU34" i="18"/>
  <c r="EV34" i="18"/>
  <c r="EW34" i="18"/>
  <c r="EX34" i="18"/>
  <c r="EY34" i="18"/>
  <c r="EZ34" i="18"/>
  <c r="FA34" i="18"/>
  <c r="FB34" i="18"/>
  <c r="FC34" i="18"/>
  <c r="FD34" i="18"/>
  <c r="FE34" i="18"/>
  <c r="FF34" i="18"/>
  <c r="FG34" i="18"/>
  <c r="FH34" i="18"/>
  <c r="FI34" i="18"/>
  <c r="FJ34" i="18"/>
  <c r="FK34" i="18"/>
  <c r="FL34" i="18"/>
  <c r="FM34" i="18"/>
  <c r="FN34" i="18"/>
  <c r="FO34" i="18"/>
  <c r="FP34" i="18"/>
  <c r="FQ34" i="18"/>
  <c r="FR34" i="18"/>
  <c r="FS34" i="18"/>
  <c r="FT34" i="18"/>
  <c r="FU34" i="18"/>
  <c r="FV34" i="18"/>
  <c r="FW34" i="18"/>
  <c r="FX34" i="18"/>
  <c r="FY34" i="18"/>
  <c r="FZ34" i="18"/>
  <c r="GA34" i="18"/>
  <c r="GB34" i="18"/>
  <c r="GC34" i="18"/>
  <c r="GD34" i="18"/>
  <c r="F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U37" i="18"/>
  <c r="BV37" i="18"/>
  <c r="BW37" i="18"/>
  <c r="BX37" i="18"/>
  <c r="BY37" i="18"/>
  <c r="BZ37" i="18"/>
  <c r="CA37" i="18"/>
  <c r="CB37" i="18"/>
  <c r="CC37" i="18"/>
  <c r="CD37" i="18"/>
  <c r="CE37" i="18"/>
  <c r="CF37" i="18"/>
  <c r="CG37" i="18"/>
  <c r="CH37" i="18"/>
  <c r="CI37" i="18"/>
  <c r="CJ37" i="18"/>
  <c r="CK37" i="18"/>
  <c r="CL37" i="18"/>
  <c r="CM37" i="18"/>
  <c r="CN37" i="18"/>
  <c r="CO37" i="18"/>
  <c r="CP37" i="18"/>
  <c r="CQ37" i="18"/>
  <c r="CR37" i="18"/>
  <c r="CS37" i="18"/>
  <c r="CT37" i="18"/>
  <c r="CU37" i="18"/>
  <c r="CV37" i="18"/>
  <c r="CW37" i="18"/>
  <c r="CX37" i="18"/>
  <c r="CY37" i="18"/>
  <c r="CZ37" i="18"/>
  <c r="DA37" i="18"/>
  <c r="DB37" i="18"/>
  <c r="DC37" i="18"/>
  <c r="DD37" i="18"/>
  <c r="DE37" i="18"/>
  <c r="DF37" i="18"/>
  <c r="DG37" i="18"/>
  <c r="DH37" i="18"/>
  <c r="DI37" i="18"/>
  <c r="DJ37" i="18"/>
  <c r="DK37" i="18"/>
  <c r="DL37" i="18"/>
  <c r="DM37" i="18"/>
  <c r="DN37" i="18"/>
  <c r="DO37" i="18"/>
  <c r="DP37" i="18"/>
  <c r="DQ37" i="18"/>
  <c r="DR37" i="18"/>
  <c r="DS37" i="18"/>
  <c r="DT37" i="18"/>
  <c r="DU37" i="18"/>
  <c r="DV37" i="18"/>
  <c r="DW37" i="18"/>
  <c r="DX37" i="18"/>
  <c r="DY37" i="18"/>
  <c r="DZ37" i="18"/>
  <c r="EA37" i="18"/>
  <c r="EB37" i="18"/>
  <c r="EC37" i="18"/>
  <c r="ED37" i="18"/>
  <c r="EE37" i="18"/>
  <c r="EF37" i="18"/>
  <c r="EG37" i="18"/>
  <c r="EH37" i="18"/>
  <c r="EI37" i="18"/>
  <c r="EJ37" i="18"/>
  <c r="EK37" i="18"/>
  <c r="EL37" i="18"/>
  <c r="EM37" i="18"/>
  <c r="EN37" i="18"/>
  <c r="EO37" i="18"/>
  <c r="EP37" i="18"/>
  <c r="EQ37" i="18"/>
  <c r="ER37" i="18"/>
  <c r="ES37" i="18"/>
  <c r="ET37" i="18"/>
  <c r="EU37" i="18"/>
  <c r="EV37" i="18"/>
  <c r="EW37" i="18"/>
  <c r="EX37" i="18"/>
  <c r="EY37" i="18"/>
  <c r="EZ37" i="18"/>
  <c r="FA37" i="18"/>
  <c r="FB37" i="18"/>
  <c r="FC37" i="18"/>
  <c r="FD37" i="18"/>
  <c r="FE37" i="18"/>
  <c r="FF37" i="18"/>
  <c r="FG37" i="18"/>
  <c r="FH37" i="18"/>
  <c r="FI37" i="18"/>
  <c r="FJ37" i="18"/>
  <c r="FK37" i="18"/>
  <c r="FL37" i="18"/>
  <c r="FM37" i="18"/>
  <c r="FN37" i="18"/>
  <c r="FO37" i="18"/>
  <c r="FP37" i="18"/>
  <c r="FQ37" i="18"/>
  <c r="FR37" i="18"/>
  <c r="FS37" i="18"/>
  <c r="FT37" i="18"/>
  <c r="FU37" i="18"/>
  <c r="FV37" i="18"/>
  <c r="FW37" i="18"/>
  <c r="FX37" i="18"/>
  <c r="FY37" i="18"/>
  <c r="FZ37" i="18"/>
  <c r="GA37" i="18"/>
  <c r="GB37" i="18"/>
  <c r="GC37" i="18"/>
  <c r="GD37" i="18"/>
  <c r="F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U38" i="18"/>
  <c r="BV38" i="18"/>
  <c r="BW38" i="18"/>
  <c r="BX38" i="18"/>
  <c r="BY38" i="18"/>
  <c r="BZ38" i="18"/>
  <c r="CA38" i="18"/>
  <c r="CB38" i="18"/>
  <c r="CC38" i="18"/>
  <c r="CD38" i="18"/>
  <c r="CE38" i="18"/>
  <c r="CF38" i="18"/>
  <c r="CG38" i="18"/>
  <c r="CH38" i="18"/>
  <c r="CI38" i="18"/>
  <c r="CJ38" i="18"/>
  <c r="CK38" i="18"/>
  <c r="CL38" i="18"/>
  <c r="CM38" i="18"/>
  <c r="CN38" i="18"/>
  <c r="CO38" i="18"/>
  <c r="CP38" i="18"/>
  <c r="CQ38" i="18"/>
  <c r="CR38" i="18"/>
  <c r="CS38" i="18"/>
  <c r="CT38" i="18"/>
  <c r="CU38" i="18"/>
  <c r="CV38" i="18"/>
  <c r="CW38" i="18"/>
  <c r="CX38" i="18"/>
  <c r="CY38" i="18"/>
  <c r="CZ38" i="18"/>
  <c r="DA38" i="18"/>
  <c r="DB38" i="18"/>
  <c r="DC38" i="18"/>
  <c r="DD38" i="18"/>
  <c r="DE38" i="18"/>
  <c r="DF38" i="18"/>
  <c r="DG38" i="18"/>
  <c r="DH38" i="18"/>
  <c r="DI38" i="18"/>
  <c r="DJ38" i="18"/>
  <c r="DK38" i="18"/>
  <c r="DL38" i="18"/>
  <c r="DM38" i="18"/>
  <c r="DN38" i="18"/>
  <c r="DO38" i="18"/>
  <c r="DP38" i="18"/>
  <c r="DQ38" i="18"/>
  <c r="DR38" i="18"/>
  <c r="DS38" i="18"/>
  <c r="DT38" i="18"/>
  <c r="DU38" i="18"/>
  <c r="DV38" i="18"/>
  <c r="DW38" i="18"/>
  <c r="DX38" i="18"/>
  <c r="DY38" i="18"/>
  <c r="DZ38" i="18"/>
  <c r="EA38" i="18"/>
  <c r="EB38" i="18"/>
  <c r="EC38" i="18"/>
  <c r="ED38" i="18"/>
  <c r="EE38" i="18"/>
  <c r="EF38" i="18"/>
  <c r="EG38" i="18"/>
  <c r="EH38" i="18"/>
  <c r="EI38" i="18"/>
  <c r="EJ38" i="18"/>
  <c r="EK38" i="18"/>
  <c r="EL38" i="18"/>
  <c r="EM38" i="18"/>
  <c r="EN38" i="18"/>
  <c r="EO38" i="18"/>
  <c r="EP38" i="18"/>
  <c r="EQ38" i="18"/>
  <c r="ER38" i="18"/>
  <c r="ES38" i="18"/>
  <c r="ET38" i="18"/>
  <c r="EU38" i="18"/>
  <c r="EV38" i="18"/>
  <c r="EW38" i="18"/>
  <c r="EX38" i="18"/>
  <c r="EY38" i="18"/>
  <c r="EZ38" i="18"/>
  <c r="FA38" i="18"/>
  <c r="FB38" i="18"/>
  <c r="FC38" i="18"/>
  <c r="FD38" i="18"/>
  <c r="FE38" i="18"/>
  <c r="FF38" i="18"/>
  <c r="FG38" i="18"/>
  <c r="FH38" i="18"/>
  <c r="FI38" i="18"/>
  <c r="FJ38" i="18"/>
  <c r="FK38" i="18"/>
  <c r="FL38" i="18"/>
  <c r="FM38" i="18"/>
  <c r="FN38" i="18"/>
  <c r="FO38" i="18"/>
  <c r="FP38" i="18"/>
  <c r="FQ38" i="18"/>
  <c r="FR38" i="18"/>
  <c r="FS38" i="18"/>
  <c r="FT38" i="18"/>
  <c r="FU38" i="18"/>
  <c r="FV38" i="18"/>
  <c r="FW38" i="18"/>
  <c r="FX38" i="18"/>
  <c r="FY38" i="18"/>
  <c r="FZ38" i="18"/>
  <c r="GA38" i="18"/>
  <c r="GB38" i="18"/>
  <c r="GC38" i="18"/>
  <c r="GD38" i="18"/>
  <c r="F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U39" i="18"/>
  <c r="BV39" i="18"/>
  <c r="BW39" i="18"/>
  <c r="BX39" i="18"/>
  <c r="BY39" i="18"/>
  <c r="BZ39" i="18"/>
  <c r="CA39" i="18"/>
  <c r="CB39" i="18"/>
  <c r="CC39" i="18"/>
  <c r="CD39" i="18"/>
  <c r="CE39" i="18"/>
  <c r="CF39" i="18"/>
  <c r="CG39" i="18"/>
  <c r="CH39" i="18"/>
  <c r="CI39" i="18"/>
  <c r="CJ39" i="18"/>
  <c r="CK39" i="18"/>
  <c r="CL39" i="18"/>
  <c r="CM39" i="18"/>
  <c r="CN39" i="18"/>
  <c r="CO39" i="18"/>
  <c r="CP39" i="18"/>
  <c r="CQ39" i="18"/>
  <c r="CR39" i="18"/>
  <c r="CS39" i="18"/>
  <c r="CT39" i="18"/>
  <c r="CU39" i="18"/>
  <c r="CV39" i="18"/>
  <c r="CW39" i="18"/>
  <c r="CX39" i="18"/>
  <c r="CY39" i="18"/>
  <c r="CZ39" i="18"/>
  <c r="DA39" i="18"/>
  <c r="DB39" i="18"/>
  <c r="DC39" i="18"/>
  <c r="DD39" i="18"/>
  <c r="DE39" i="18"/>
  <c r="DF39" i="18"/>
  <c r="DG39" i="18"/>
  <c r="DH39" i="18"/>
  <c r="DI39" i="18"/>
  <c r="DJ39" i="18"/>
  <c r="DK39" i="18"/>
  <c r="DL39" i="18"/>
  <c r="DM39" i="18"/>
  <c r="DN39" i="18"/>
  <c r="DO39" i="18"/>
  <c r="DP39" i="18"/>
  <c r="DQ39" i="18"/>
  <c r="DR39" i="18"/>
  <c r="DS39" i="18"/>
  <c r="DT39" i="18"/>
  <c r="DU39" i="18"/>
  <c r="DV39" i="18"/>
  <c r="DW39" i="18"/>
  <c r="DX39" i="18"/>
  <c r="DY39" i="18"/>
  <c r="DZ39" i="18"/>
  <c r="EA39" i="18"/>
  <c r="EB39" i="18"/>
  <c r="EC39" i="18"/>
  <c r="ED39" i="18"/>
  <c r="EE39" i="18"/>
  <c r="EF39" i="18"/>
  <c r="EG39" i="18"/>
  <c r="EH39" i="18"/>
  <c r="EI39" i="18"/>
  <c r="EJ39" i="18"/>
  <c r="EK39" i="18"/>
  <c r="EL39" i="18"/>
  <c r="EM39" i="18"/>
  <c r="EN39" i="18"/>
  <c r="EO39" i="18"/>
  <c r="EP39" i="18"/>
  <c r="EQ39" i="18"/>
  <c r="ER39" i="18"/>
  <c r="ES39" i="18"/>
  <c r="ET39" i="18"/>
  <c r="EU39" i="18"/>
  <c r="EV39" i="18"/>
  <c r="EW39" i="18"/>
  <c r="EX39" i="18"/>
  <c r="EY39" i="18"/>
  <c r="EZ39" i="18"/>
  <c r="FA39" i="18"/>
  <c r="FB39" i="18"/>
  <c r="FC39" i="18"/>
  <c r="FD39" i="18"/>
  <c r="FE39" i="18"/>
  <c r="FF39" i="18"/>
  <c r="FG39" i="18"/>
  <c r="FH39" i="18"/>
  <c r="FI39" i="18"/>
  <c r="FJ39" i="18"/>
  <c r="FK39" i="18"/>
  <c r="FL39" i="18"/>
  <c r="FM39" i="18"/>
  <c r="FN39" i="18"/>
  <c r="FO39" i="18"/>
  <c r="FP39" i="18"/>
  <c r="FQ39" i="18"/>
  <c r="FR39" i="18"/>
  <c r="FS39" i="18"/>
  <c r="FT39" i="18"/>
  <c r="FU39" i="18"/>
  <c r="FV39" i="18"/>
  <c r="FW39" i="18"/>
  <c r="FX39" i="18"/>
  <c r="FY39" i="18"/>
  <c r="FZ39" i="18"/>
  <c r="GA39" i="18"/>
  <c r="GB39" i="18"/>
  <c r="GC39" i="18"/>
  <c r="GD39" i="18"/>
  <c r="F42" i="18"/>
  <c r="GB42" i="18"/>
  <c r="GC42" i="18"/>
  <c r="GD42" i="18"/>
  <c r="E43" i="18"/>
  <c r="F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U43" i="18"/>
  <c r="BV43" i="18"/>
  <c r="BW43" i="18"/>
  <c r="BX43" i="18"/>
  <c r="BY43" i="18"/>
  <c r="BZ43" i="18"/>
  <c r="CA43" i="18"/>
  <c r="CB43" i="18"/>
  <c r="CC43" i="18"/>
  <c r="CD43" i="18"/>
  <c r="CE43" i="18"/>
  <c r="CF43" i="18"/>
  <c r="CG43" i="18"/>
  <c r="CH43" i="18"/>
  <c r="CI43" i="18"/>
  <c r="CJ43" i="18"/>
  <c r="CK43" i="18"/>
  <c r="CL43" i="18"/>
  <c r="CM43" i="18"/>
  <c r="CN43" i="18"/>
  <c r="CO43" i="18"/>
  <c r="CP43" i="18"/>
  <c r="CQ43" i="18"/>
  <c r="CR43" i="18"/>
  <c r="CS43" i="18"/>
  <c r="CT43" i="18"/>
  <c r="CU43" i="18"/>
  <c r="CV43" i="18"/>
  <c r="CW43" i="18"/>
  <c r="CX43" i="18"/>
  <c r="CY43" i="18"/>
  <c r="CZ43" i="18"/>
  <c r="DA43" i="18"/>
  <c r="DB43" i="18"/>
  <c r="DC43" i="18"/>
  <c r="DD43" i="18"/>
  <c r="DE43" i="18"/>
  <c r="DF43" i="18"/>
  <c r="DG43" i="18"/>
  <c r="DH43" i="18"/>
  <c r="DI43" i="18"/>
  <c r="DJ43" i="18"/>
  <c r="DK43" i="18"/>
  <c r="DL43" i="18"/>
  <c r="DM43" i="18"/>
  <c r="DN43" i="18"/>
  <c r="DO43" i="18"/>
  <c r="DP43" i="18"/>
  <c r="DQ43" i="18"/>
  <c r="DR43" i="18"/>
  <c r="DS43" i="18"/>
  <c r="DT43" i="18"/>
  <c r="DU43" i="18"/>
  <c r="DV43" i="18"/>
  <c r="DW43" i="18"/>
  <c r="DX43" i="18"/>
  <c r="DY43" i="18"/>
  <c r="DZ43" i="18"/>
  <c r="EA43" i="18"/>
  <c r="EB43" i="18"/>
  <c r="EC43" i="18"/>
  <c r="ED43" i="18"/>
  <c r="EE43" i="18"/>
  <c r="EF43" i="18"/>
  <c r="EG43" i="18"/>
  <c r="EH43" i="18"/>
  <c r="EI43" i="18"/>
  <c r="EJ43" i="18"/>
  <c r="EK43" i="18"/>
  <c r="EL43" i="18"/>
  <c r="EM43" i="18"/>
  <c r="EN43" i="18"/>
  <c r="EO43" i="18"/>
  <c r="EP43" i="18"/>
  <c r="EQ43" i="18"/>
  <c r="ER43" i="18"/>
  <c r="ES43" i="18"/>
  <c r="ET43" i="18"/>
  <c r="EU43" i="18"/>
  <c r="EV43" i="18"/>
  <c r="EW43" i="18"/>
  <c r="EX43" i="18"/>
  <c r="EY43" i="18"/>
  <c r="EZ43" i="18"/>
  <c r="FA43" i="18"/>
  <c r="FB43" i="18"/>
  <c r="FC43" i="18"/>
  <c r="FD43" i="18"/>
  <c r="FE43" i="18"/>
  <c r="FF43" i="18"/>
  <c r="FG43" i="18"/>
  <c r="FH43" i="18"/>
  <c r="FI43" i="18"/>
  <c r="FJ43" i="18"/>
  <c r="FK43" i="18"/>
  <c r="FL43" i="18"/>
  <c r="FM43" i="18"/>
  <c r="FN43" i="18"/>
  <c r="FO43" i="18"/>
  <c r="FP43" i="18"/>
  <c r="FQ43" i="18"/>
  <c r="FR43" i="18"/>
  <c r="FS43" i="18"/>
  <c r="FT43" i="18"/>
  <c r="FU43" i="18"/>
  <c r="FV43" i="18"/>
  <c r="FW43" i="18"/>
  <c r="FX43" i="18"/>
  <c r="FY43" i="18"/>
  <c r="FZ43" i="18"/>
  <c r="GA43" i="18"/>
  <c r="GB43" i="18"/>
  <c r="GC43" i="18"/>
  <c r="GD43" i="18"/>
  <c r="F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U44" i="18"/>
  <c r="BV44" i="18"/>
  <c r="BW44" i="18"/>
  <c r="BX44" i="18"/>
  <c r="BY44" i="18"/>
  <c r="BZ44" i="18"/>
  <c r="CA44" i="18"/>
  <c r="CB44" i="18"/>
  <c r="CC44" i="18"/>
  <c r="CD44" i="18"/>
  <c r="CE44" i="18"/>
  <c r="CF44" i="18"/>
  <c r="CG44" i="18"/>
  <c r="CH44" i="18"/>
  <c r="CI44" i="18"/>
  <c r="CJ44" i="18"/>
  <c r="CK44" i="18"/>
  <c r="CL44" i="18"/>
  <c r="CM44" i="18"/>
  <c r="CN44" i="18"/>
  <c r="CO44" i="18"/>
  <c r="CP44" i="18"/>
  <c r="CQ44" i="18"/>
  <c r="CR44" i="18"/>
  <c r="CS44" i="18"/>
  <c r="CT44" i="18"/>
  <c r="CU44" i="18"/>
  <c r="CV44" i="18"/>
  <c r="CW44" i="18"/>
  <c r="CX44" i="18"/>
  <c r="CY44" i="18"/>
  <c r="CZ44" i="18"/>
  <c r="DA44" i="18"/>
  <c r="DB44" i="18"/>
  <c r="DC44" i="18"/>
  <c r="DD44" i="18"/>
  <c r="DE44" i="18"/>
  <c r="DF44" i="18"/>
  <c r="DG44" i="18"/>
  <c r="DH44" i="18"/>
  <c r="DI44" i="18"/>
  <c r="DJ44" i="18"/>
  <c r="DK44" i="18"/>
  <c r="DL44" i="18"/>
  <c r="DM44" i="18"/>
  <c r="DN44" i="18"/>
  <c r="DO44" i="18"/>
  <c r="DP44" i="18"/>
  <c r="DQ44" i="18"/>
  <c r="DR44" i="18"/>
  <c r="DS44" i="18"/>
  <c r="DT44" i="18"/>
  <c r="DU44" i="18"/>
  <c r="DV44" i="18"/>
  <c r="DW44" i="18"/>
  <c r="DX44" i="18"/>
  <c r="DY44" i="18"/>
  <c r="DZ44" i="18"/>
  <c r="EA44" i="18"/>
  <c r="EB44" i="18"/>
  <c r="EC44" i="18"/>
  <c r="ED44" i="18"/>
  <c r="EE44" i="18"/>
  <c r="EF44" i="18"/>
  <c r="EG44" i="18"/>
  <c r="EH44" i="18"/>
  <c r="EI44" i="18"/>
  <c r="EJ44" i="18"/>
  <c r="EK44" i="18"/>
  <c r="EL44" i="18"/>
  <c r="EM44" i="18"/>
  <c r="EN44" i="18"/>
  <c r="EO44" i="18"/>
  <c r="EP44" i="18"/>
  <c r="EQ44" i="18"/>
  <c r="ER44" i="18"/>
  <c r="ES44" i="18"/>
  <c r="ET44" i="18"/>
  <c r="EU44" i="18"/>
  <c r="EV44" i="18"/>
  <c r="EW44" i="18"/>
  <c r="EX44" i="18"/>
  <c r="EY44" i="18"/>
  <c r="EZ44" i="18"/>
  <c r="FA44" i="18"/>
  <c r="FB44" i="18"/>
  <c r="FC44" i="18"/>
  <c r="FD44" i="18"/>
  <c r="FE44" i="18"/>
  <c r="FF44" i="18"/>
  <c r="FG44" i="18"/>
  <c r="FH44" i="18"/>
  <c r="FI44" i="18"/>
  <c r="FJ44" i="18"/>
  <c r="FK44" i="18"/>
  <c r="FL44" i="18"/>
  <c r="FM44" i="18"/>
  <c r="FN44" i="18"/>
  <c r="FO44" i="18"/>
  <c r="FP44" i="18"/>
  <c r="FQ44" i="18"/>
  <c r="FR44" i="18"/>
  <c r="FS44" i="18"/>
  <c r="FT44" i="18"/>
  <c r="FU44" i="18"/>
  <c r="FV44" i="18"/>
  <c r="FW44" i="18"/>
  <c r="FX44" i="18"/>
  <c r="FY44" i="18"/>
  <c r="FZ44" i="18"/>
  <c r="GA44" i="18"/>
  <c r="GB44" i="18"/>
  <c r="GC44" i="18"/>
  <c r="GD44" i="18"/>
  <c r="F45" i="18"/>
  <c r="AI45" i="18"/>
  <c r="AM45" i="18"/>
  <c r="AQ45" i="18"/>
  <c r="AU45" i="18"/>
  <c r="AY45" i="18"/>
  <c r="BC45" i="18"/>
  <c r="BG45" i="18"/>
  <c r="BK45" i="18"/>
  <c r="BO45" i="18"/>
  <c r="BS45" i="18"/>
  <c r="BW45" i="18"/>
  <c r="CA45" i="18"/>
  <c r="CE45" i="18"/>
  <c r="CI45" i="18"/>
  <c r="CM45" i="18"/>
  <c r="CQ45" i="18"/>
  <c r="CU45" i="18"/>
  <c r="CY45" i="18"/>
  <c r="DC45" i="18"/>
  <c r="DG45" i="18"/>
  <c r="DK45" i="18"/>
  <c r="DO45" i="18"/>
  <c r="DS45" i="18"/>
  <c r="DW45" i="18"/>
  <c r="EA45" i="18"/>
  <c r="EE45" i="18"/>
  <c r="EI45" i="18"/>
  <c r="EM45" i="18"/>
  <c r="EQ45" i="18"/>
  <c r="EU45" i="18"/>
  <c r="EY45" i="18"/>
  <c r="FC45" i="18"/>
  <c r="FG45" i="18"/>
  <c r="FK45" i="18"/>
  <c r="FO45" i="18"/>
  <c r="FS45" i="18"/>
  <c r="FW45" i="18"/>
  <c r="GA45" i="18"/>
  <c r="F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U46" i="18"/>
  <c r="BV46" i="18"/>
  <c r="BW46" i="18"/>
  <c r="BX46" i="18"/>
  <c r="BY46" i="18"/>
  <c r="BZ46" i="18"/>
  <c r="CA46" i="18"/>
  <c r="CB46" i="18"/>
  <c r="CC46" i="18"/>
  <c r="CD46" i="18"/>
  <c r="CE46" i="18"/>
  <c r="CF46" i="18"/>
  <c r="CG46" i="18"/>
  <c r="CH46" i="18"/>
  <c r="CI46" i="18"/>
  <c r="CJ46" i="18"/>
  <c r="CK46" i="18"/>
  <c r="CL46" i="18"/>
  <c r="CM46" i="18"/>
  <c r="CN46" i="18"/>
  <c r="CO46" i="18"/>
  <c r="CP46" i="18"/>
  <c r="CQ46" i="18"/>
  <c r="CR46" i="18"/>
  <c r="CS46" i="18"/>
  <c r="CT46" i="18"/>
  <c r="CU46" i="18"/>
  <c r="CV46" i="18"/>
  <c r="CW46" i="18"/>
  <c r="CX46" i="18"/>
  <c r="CY46" i="18"/>
  <c r="CZ46" i="18"/>
  <c r="DA46" i="18"/>
  <c r="DB46" i="18"/>
  <c r="DC46" i="18"/>
  <c r="DD46" i="18"/>
  <c r="DE46" i="18"/>
  <c r="DF46" i="18"/>
  <c r="DG46" i="18"/>
  <c r="DH46" i="18"/>
  <c r="DI46" i="18"/>
  <c r="DJ46" i="18"/>
  <c r="DK46" i="18"/>
  <c r="DL46" i="18"/>
  <c r="DM46" i="18"/>
  <c r="DN46" i="18"/>
  <c r="DO46" i="18"/>
  <c r="DP46" i="18"/>
  <c r="DQ46" i="18"/>
  <c r="DR46" i="18"/>
  <c r="DS46" i="18"/>
  <c r="DT46" i="18"/>
  <c r="DU46" i="18"/>
  <c r="DV46" i="18"/>
  <c r="DW46" i="18"/>
  <c r="DX46" i="18"/>
  <c r="DY46" i="18"/>
  <c r="DZ46" i="18"/>
  <c r="EA46" i="18"/>
  <c r="EB46" i="18"/>
  <c r="EC46" i="18"/>
  <c r="ED46" i="18"/>
  <c r="EE46" i="18"/>
  <c r="EF46" i="18"/>
  <c r="EG46" i="18"/>
  <c r="EH46" i="18"/>
  <c r="EI46" i="18"/>
  <c r="EJ46" i="18"/>
  <c r="EK46" i="18"/>
  <c r="EL46" i="18"/>
  <c r="EM46" i="18"/>
  <c r="EN46" i="18"/>
  <c r="EO46" i="18"/>
  <c r="EP46" i="18"/>
  <c r="EQ46" i="18"/>
  <c r="ER46" i="18"/>
  <c r="ES46" i="18"/>
  <c r="ET46" i="18"/>
  <c r="EU46" i="18"/>
  <c r="EV46" i="18"/>
  <c r="EW46" i="18"/>
  <c r="EX46" i="18"/>
  <c r="EY46" i="18"/>
  <c r="EZ46" i="18"/>
  <c r="FA46" i="18"/>
  <c r="FB46" i="18"/>
  <c r="FC46" i="18"/>
  <c r="FD46" i="18"/>
  <c r="FE46" i="18"/>
  <c r="FF46" i="18"/>
  <c r="FG46" i="18"/>
  <c r="FH46" i="18"/>
  <c r="FI46" i="18"/>
  <c r="FJ46" i="18"/>
  <c r="FK46" i="18"/>
  <c r="FL46" i="18"/>
  <c r="FM46" i="18"/>
  <c r="FN46" i="18"/>
  <c r="FO46" i="18"/>
  <c r="FP46" i="18"/>
  <c r="FQ46" i="18"/>
  <c r="FR46" i="18"/>
  <c r="FS46" i="18"/>
  <c r="FT46" i="18"/>
  <c r="FU46" i="18"/>
  <c r="FV46" i="18"/>
  <c r="FW46" i="18"/>
  <c r="FX46" i="18"/>
  <c r="FY46" i="18"/>
  <c r="FZ46" i="18"/>
  <c r="GA46" i="18"/>
  <c r="GB46" i="18"/>
  <c r="GC46" i="18"/>
  <c r="GD46" i="18"/>
  <c r="F47" i="18"/>
  <c r="AE47" i="18"/>
  <c r="AF47" i="18"/>
  <c r="AG47" i="18"/>
  <c r="AH47" i="18"/>
  <c r="F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U48" i="18"/>
  <c r="BV48" i="18"/>
  <c r="BW48" i="18"/>
  <c r="BX48" i="18"/>
  <c r="BY48" i="18"/>
  <c r="BZ48" i="18"/>
  <c r="CA48" i="18"/>
  <c r="CB48" i="18"/>
  <c r="CC48" i="18"/>
  <c r="CD48" i="18"/>
  <c r="CE48" i="18"/>
  <c r="CF48" i="18"/>
  <c r="CG48" i="18"/>
  <c r="CH48" i="18"/>
  <c r="CI48" i="18"/>
  <c r="CJ48" i="18"/>
  <c r="CK48" i="18"/>
  <c r="CL48" i="18"/>
  <c r="CM48" i="18"/>
  <c r="CN48" i="18"/>
  <c r="CO48" i="18"/>
  <c r="CP48" i="18"/>
  <c r="CQ48" i="18"/>
  <c r="CR48" i="18"/>
  <c r="CS48" i="18"/>
  <c r="CT48" i="18"/>
  <c r="CU48" i="18"/>
  <c r="CV48" i="18"/>
  <c r="CW48" i="18"/>
  <c r="CX48" i="18"/>
  <c r="CY48" i="18"/>
  <c r="CZ48" i="18"/>
  <c r="DA48" i="18"/>
  <c r="DB48" i="18"/>
  <c r="DC48" i="18"/>
  <c r="DD48" i="18"/>
  <c r="DE48" i="18"/>
  <c r="DF48" i="18"/>
  <c r="DG48" i="18"/>
  <c r="DH48" i="18"/>
  <c r="DI48" i="18"/>
  <c r="DJ48" i="18"/>
  <c r="DK48" i="18"/>
  <c r="DL48" i="18"/>
  <c r="DM48" i="18"/>
  <c r="DN48" i="18"/>
  <c r="DO48" i="18"/>
  <c r="DP48" i="18"/>
  <c r="DQ48" i="18"/>
  <c r="DR48" i="18"/>
  <c r="DS48" i="18"/>
  <c r="DT48" i="18"/>
  <c r="DU48" i="18"/>
  <c r="DV48" i="18"/>
  <c r="DW48" i="18"/>
  <c r="DX48" i="18"/>
  <c r="DY48" i="18"/>
  <c r="DZ48" i="18"/>
  <c r="EA48" i="18"/>
  <c r="EB48" i="18"/>
  <c r="EC48" i="18"/>
  <c r="ED48" i="18"/>
  <c r="EE48" i="18"/>
  <c r="EF48" i="18"/>
  <c r="EG48" i="18"/>
  <c r="EH48" i="18"/>
  <c r="EI48" i="18"/>
  <c r="EJ48" i="18"/>
  <c r="EK48" i="18"/>
  <c r="EL48" i="18"/>
  <c r="EM48" i="18"/>
  <c r="EN48" i="18"/>
  <c r="EO48" i="18"/>
  <c r="EP48" i="18"/>
  <c r="EQ48" i="18"/>
  <c r="ER48" i="18"/>
  <c r="ES48" i="18"/>
  <c r="ET48" i="18"/>
  <c r="EU48" i="18"/>
  <c r="EV48" i="18"/>
  <c r="EW48" i="18"/>
  <c r="EX48" i="18"/>
  <c r="EY48" i="18"/>
  <c r="EZ48" i="18"/>
  <c r="FA48" i="18"/>
  <c r="FB48" i="18"/>
  <c r="FC48" i="18"/>
  <c r="FD48" i="18"/>
  <c r="FE48" i="18"/>
  <c r="FF48" i="18"/>
  <c r="FG48" i="18"/>
  <c r="FH48" i="18"/>
  <c r="FI48" i="18"/>
  <c r="FJ48" i="18"/>
  <c r="FK48" i="18"/>
  <c r="FL48" i="18"/>
  <c r="FM48" i="18"/>
  <c r="FN48" i="18"/>
  <c r="FO48" i="18"/>
  <c r="FP48" i="18"/>
  <c r="FQ48" i="18"/>
  <c r="FR48" i="18"/>
  <c r="FS48" i="18"/>
  <c r="FT48" i="18"/>
  <c r="FU48" i="18"/>
  <c r="FV48" i="18"/>
  <c r="FW48" i="18"/>
  <c r="FX48" i="18"/>
  <c r="FY48" i="18"/>
  <c r="FZ48" i="18"/>
  <c r="GA48" i="18"/>
  <c r="GB48" i="18"/>
  <c r="GC48" i="18"/>
  <c r="GD48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U49" i="18"/>
  <c r="BV49" i="18"/>
  <c r="BW49" i="18"/>
  <c r="BX49" i="18"/>
  <c r="BY49" i="18"/>
  <c r="BZ49" i="18"/>
  <c r="CA49" i="18"/>
  <c r="CB49" i="18"/>
  <c r="CC49" i="18"/>
  <c r="CD49" i="18"/>
  <c r="CE49" i="18"/>
  <c r="CF49" i="18"/>
  <c r="CG49" i="18"/>
  <c r="CH49" i="18"/>
  <c r="CI49" i="18"/>
  <c r="CJ49" i="18"/>
  <c r="CK49" i="18"/>
  <c r="CL49" i="18"/>
  <c r="CM49" i="18"/>
  <c r="CN49" i="18"/>
  <c r="CO49" i="18"/>
  <c r="CP49" i="18"/>
  <c r="CQ49" i="18"/>
  <c r="CR49" i="18"/>
  <c r="CS49" i="18"/>
  <c r="CT49" i="18"/>
  <c r="CU49" i="18"/>
  <c r="CV49" i="18"/>
  <c r="CW49" i="18"/>
  <c r="CX49" i="18"/>
  <c r="CY49" i="18"/>
  <c r="CZ49" i="18"/>
  <c r="DA49" i="18"/>
  <c r="DB49" i="18"/>
  <c r="DC49" i="18"/>
  <c r="DD49" i="18"/>
  <c r="DE49" i="18"/>
  <c r="DF49" i="18"/>
  <c r="DG49" i="18"/>
  <c r="DH49" i="18"/>
  <c r="DI49" i="18"/>
  <c r="DJ49" i="18"/>
  <c r="DK49" i="18"/>
  <c r="DL49" i="18"/>
  <c r="DM49" i="18"/>
  <c r="DN49" i="18"/>
  <c r="DO49" i="18"/>
  <c r="DP49" i="18"/>
  <c r="DQ49" i="18"/>
  <c r="DR49" i="18"/>
  <c r="DS49" i="18"/>
  <c r="DT49" i="18"/>
  <c r="DU49" i="18"/>
  <c r="DV49" i="18"/>
  <c r="DW49" i="18"/>
  <c r="DX49" i="18"/>
  <c r="DY49" i="18"/>
  <c r="DZ49" i="18"/>
  <c r="EA49" i="18"/>
  <c r="EB49" i="18"/>
  <c r="EC49" i="18"/>
  <c r="ED49" i="18"/>
  <c r="EE49" i="18"/>
  <c r="EF49" i="18"/>
  <c r="EG49" i="18"/>
  <c r="EH49" i="18"/>
  <c r="EI49" i="18"/>
  <c r="EJ49" i="18"/>
  <c r="EK49" i="18"/>
  <c r="EL49" i="18"/>
  <c r="EM49" i="18"/>
  <c r="EN49" i="18"/>
  <c r="EO49" i="18"/>
  <c r="EP49" i="18"/>
  <c r="EQ49" i="18"/>
  <c r="ER49" i="18"/>
  <c r="ES49" i="18"/>
  <c r="ET49" i="18"/>
  <c r="EU49" i="18"/>
  <c r="EV49" i="18"/>
  <c r="EW49" i="18"/>
  <c r="EX49" i="18"/>
  <c r="EY49" i="18"/>
  <c r="EZ49" i="18"/>
  <c r="FA49" i="18"/>
  <c r="FB49" i="18"/>
  <c r="FC49" i="18"/>
  <c r="FD49" i="18"/>
  <c r="FE49" i="18"/>
  <c r="FF49" i="18"/>
  <c r="FG49" i="18"/>
  <c r="FH49" i="18"/>
  <c r="FI49" i="18"/>
  <c r="FJ49" i="18"/>
  <c r="FK49" i="18"/>
  <c r="FL49" i="18"/>
  <c r="FM49" i="18"/>
  <c r="FN49" i="18"/>
  <c r="FO49" i="18"/>
  <c r="FP49" i="18"/>
  <c r="FQ49" i="18"/>
  <c r="FR49" i="18"/>
  <c r="FS49" i="18"/>
  <c r="FT49" i="18"/>
  <c r="FU49" i="18"/>
  <c r="FV49" i="18"/>
  <c r="FW49" i="18"/>
  <c r="FX49" i="18"/>
  <c r="FY49" i="18"/>
  <c r="FZ49" i="18"/>
  <c r="GA49" i="18"/>
  <c r="GB49" i="18"/>
  <c r="F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U50" i="18"/>
  <c r="BV50" i="18"/>
  <c r="BW50" i="18"/>
  <c r="BX50" i="18"/>
  <c r="BY50" i="18"/>
  <c r="BZ50" i="18"/>
  <c r="CA50" i="18"/>
  <c r="CB50" i="18"/>
  <c r="CC50" i="18"/>
  <c r="CD50" i="18"/>
  <c r="CE50" i="18"/>
  <c r="CF50" i="18"/>
  <c r="CG50" i="18"/>
  <c r="CH50" i="18"/>
  <c r="CI50" i="18"/>
  <c r="CJ50" i="18"/>
  <c r="CK50" i="18"/>
  <c r="CL50" i="18"/>
  <c r="CM50" i="18"/>
  <c r="CN50" i="18"/>
  <c r="CO50" i="18"/>
  <c r="CP50" i="18"/>
  <c r="CQ50" i="18"/>
  <c r="CR50" i="18"/>
  <c r="CS50" i="18"/>
  <c r="CT50" i="18"/>
  <c r="CU50" i="18"/>
  <c r="CV50" i="18"/>
  <c r="CW50" i="18"/>
  <c r="CX50" i="18"/>
  <c r="CY50" i="18"/>
  <c r="CZ50" i="18"/>
  <c r="DA50" i="18"/>
  <c r="DB50" i="18"/>
  <c r="DC50" i="18"/>
  <c r="DD50" i="18"/>
  <c r="DE50" i="18"/>
  <c r="DF50" i="18"/>
  <c r="DG50" i="18"/>
  <c r="DH50" i="18"/>
  <c r="DI50" i="18"/>
  <c r="DJ50" i="18"/>
  <c r="DK50" i="18"/>
  <c r="DL50" i="18"/>
  <c r="DM50" i="18"/>
  <c r="DN50" i="18"/>
  <c r="DO50" i="18"/>
  <c r="DP50" i="18"/>
  <c r="DQ50" i="18"/>
  <c r="DR50" i="18"/>
  <c r="DS50" i="18"/>
  <c r="DT50" i="18"/>
  <c r="DU50" i="18"/>
  <c r="DV50" i="18"/>
  <c r="DW50" i="18"/>
  <c r="DX50" i="18"/>
  <c r="DY50" i="18"/>
  <c r="DZ50" i="18"/>
  <c r="EA50" i="18"/>
  <c r="EB50" i="18"/>
  <c r="EC50" i="18"/>
  <c r="ED50" i="18"/>
  <c r="EE50" i="18"/>
  <c r="EF50" i="18"/>
  <c r="EG50" i="18"/>
  <c r="EH50" i="18"/>
  <c r="EI50" i="18"/>
  <c r="EJ50" i="18"/>
  <c r="EK50" i="18"/>
  <c r="EL50" i="18"/>
  <c r="EM50" i="18"/>
  <c r="EN50" i="18"/>
  <c r="EO50" i="18"/>
  <c r="EP50" i="18"/>
  <c r="EQ50" i="18"/>
  <c r="ER50" i="18"/>
  <c r="ES50" i="18"/>
  <c r="ET50" i="18"/>
  <c r="EU50" i="18"/>
  <c r="EV50" i="18"/>
  <c r="EW50" i="18"/>
  <c r="EX50" i="18"/>
  <c r="EY50" i="18"/>
  <c r="EZ50" i="18"/>
  <c r="FA50" i="18"/>
  <c r="FB50" i="18"/>
  <c r="FC50" i="18"/>
  <c r="FD50" i="18"/>
  <c r="FE50" i="18"/>
  <c r="FF50" i="18"/>
  <c r="FG50" i="18"/>
  <c r="FH50" i="18"/>
  <c r="FI50" i="18"/>
  <c r="FJ50" i="18"/>
  <c r="FK50" i="18"/>
  <c r="FL50" i="18"/>
  <c r="FM50" i="18"/>
  <c r="FN50" i="18"/>
  <c r="FO50" i="18"/>
  <c r="FP50" i="18"/>
  <c r="FQ50" i="18"/>
  <c r="FR50" i="18"/>
  <c r="FS50" i="18"/>
  <c r="FT50" i="18"/>
  <c r="FU50" i="18"/>
  <c r="FV50" i="18"/>
  <c r="FW50" i="18"/>
  <c r="FX50" i="18"/>
  <c r="FY50" i="18"/>
  <c r="FZ50" i="18"/>
  <c r="GA50" i="18"/>
  <c r="GB50" i="18"/>
  <c r="BP51" i="18"/>
  <c r="BQ51" i="18"/>
  <c r="BR51" i="18"/>
  <c r="BT51" i="18"/>
  <c r="BU51" i="18"/>
  <c r="BV51" i="18"/>
  <c r="BX51" i="18"/>
  <c r="BY51" i="18"/>
  <c r="BZ51" i="18"/>
  <c r="CA51" i="18"/>
  <c r="CB51" i="18"/>
  <c r="CC51" i="18"/>
  <c r="CD51" i="18"/>
  <c r="CE51" i="18"/>
  <c r="CF51" i="18"/>
  <c r="CG51" i="18"/>
  <c r="CH51" i="18"/>
  <c r="CI51" i="18"/>
  <c r="CJ51" i="18"/>
  <c r="CK51" i="18"/>
  <c r="CL51" i="18"/>
  <c r="CM51" i="18"/>
  <c r="CN51" i="18"/>
  <c r="CO51" i="18"/>
  <c r="CP51" i="18"/>
  <c r="CQ51" i="18"/>
  <c r="CR51" i="18"/>
  <c r="CS51" i="18"/>
  <c r="CT51" i="18"/>
  <c r="CU51" i="18"/>
  <c r="CV51" i="18"/>
  <c r="CW51" i="18"/>
  <c r="CX51" i="18"/>
  <c r="CY51" i="18"/>
  <c r="CZ51" i="18"/>
  <c r="DA51" i="18"/>
  <c r="DB51" i="18"/>
  <c r="DC51" i="18"/>
  <c r="DD51" i="18"/>
  <c r="DE51" i="18"/>
  <c r="DF51" i="18"/>
  <c r="DG51" i="18"/>
  <c r="DH51" i="18"/>
  <c r="DI51" i="18"/>
  <c r="DJ51" i="18"/>
  <c r="DK51" i="18"/>
  <c r="DL51" i="18"/>
  <c r="DM51" i="18"/>
  <c r="DN51" i="18"/>
  <c r="DO51" i="18"/>
  <c r="DP51" i="18"/>
  <c r="DQ51" i="18"/>
  <c r="DR51" i="18"/>
  <c r="DS51" i="18"/>
  <c r="DT51" i="18"/>
  <c r="DU51" i="18"/>
  <c r="DV51" i="18"/>
  <c r="DW51" i="18"/>
  <c r="DX51" i="18"/>
  <c r="DY51" i="18"/>
  <c r="DZ51" i="18"/>
  <c r="EA51" i="18"/>
  <c r="EB51" i="18"/>
  <c r="EC51" i="18"/>
  <c r="ED51" i="18"/>
  <c r="EE51" i="18"/>
  <c r="EF51" i="18"/>
  <c r="EG51" i="18"/>
  <c r="EH51" i="18"/>
  <c r="EI51" i="18"/>
  <c r="EJ51" i="18"/>
  <c r="EK51" i="18"/>
  <c r="EL51" i="18"/>
  <c r="EM51" i="18"/>
  <c r="EN51" i="18"/>
  <c r="EO51" i="18"/>
  <c r="EP51" i="18"/>
  <c r="EQ51" i="18"/>
  <c r="ER51" i="18"/>
  <c r="ES51" i="18"/>
  <c r="ET51" i="18"/>
  <c r="EU51" i="18"/>
  <c r="EV51" i="18"/>
  <c r="EW51" i="18"/>
  <c r="EX51" i="18"/>
  <c r="EY51" i="18"/>
  <c r="EZ51" i="18"/>
  <c r="FA51" i="18"/>
  <c r="FB51" i="18"/>
  <c r="FC51" i="18"/>
  <c r="FD51" i="18"/>
  <c r="FE51" i="18"/>
  <c r="FF51" i="18"/>
  <c r="FG51" i="18"/>
  <c r="FH51" i="18"/>
  <c r="FI51" i="18"/>
  <c r="FJ51" i="18"/>
  <c r="FK51" i="18"/>
  <c r="FL51" i="18"/>
  <c r="FM51" i="18"/>
  <c r="FN51" i="18"/>
  <c r="FO51" i="18"/>
  <c r="FP51" i="18"/>
  <c r="FQ51" i="18"/>
  <c r="FR51" i="18"/>
  <c r="FS51" i="18"/>
  <c r="FT51" i="18"/>
  <c r="FU51" i="18"/>
  <c r="FV51" i="18"/>
  <c r="FW51" i="18"/>
  <c r="FX51" i="18"/>
  <c r="FY51" i="18"/>
  <c r="FZ51" i="18"/>
  <c r="GA51" i="18"/>
  <c r="GB51" i="18"/>
  <c r="AE52" i="18"/>
  <c r="AF52" i="18"/>
  <c r="AG52" i="18"/>
  <c r="AH52" i="18"/>
  <c r="BR53" i="18"/>
  <c r="BS53" i="18"/>
  <c r="BW53" i="18"/>
  <c r="CA53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U55" i="18"/>
  <c r="BV55" i="18"/>
  <c r="BW55" i="18"/>
  <c r="BX55" i="18"/>
  <c r="BY55" i="18"/>
  <c r="BZ55" i="18"/>
  <c r="CA55" i="18"/>
  <c r="CB55" i="18"/>
  <c r="CC55" i="18"/>
  <c r="CD55" i="18"/>
  <c r="CE55" i="18"/>
  <c r="CF55" i="18"/>
  <c r="CG55" i="18"/>
  <c r="CH55" i="18"/>
  <c r="CI55" i="18"/>
  <c r="CJ55" i="18"/>
  <c r="CK55" i="18"/>
  <c r="CL55" i="18"/>
  <c r="CM55" i="18"/>
  <c r="CN55" i="18"/>
  <c r="CO55" i="18"/>
  <c r="CP55" i="18"/>
  <c r="CQ55" i="18"/>
  <c r="CR55" i="18"/>
  <c r="CS55" i="18"/>
  <c r="CT55" i="18"/>
  <c r="CU55" i="18"/>
  <c r="CV55" i="18"/>
  <c r="CW55" i="18"/>
  <c r="CX55" i="18"/>
  <c r="CY55" i="18"/>
  <c r="CZ55" i="18"/>
  <c r="DA55" i="18"/>
  <c r="DB55" i="18"/>
  <c r="DC55" i="18"/>
  <c r="DD55" i="18"/>
  <c r="DE55" i="18"/>
  <c r="DF55" i="18"/>
  <c r="DG55" i="18"/>
  <c r="DH55" i="18"/>
  <c r="DI55" i="18"/>
  <c r="DJ55" i="18"/>
  <c r="DK55" i="18"/>
  <c r="DL55" i="18"/>
  <c r="DM55" i="18"/>
  <c r="DN55" i="18"/>
  <c r="DO55" i="18"/>
  <c r="DP55" i="18"/>
  <c r="DQ55" i="18"/>
  <c r="DR55" i="18"/>
  <c r="DS55" i="18"/>
  <c r="DT55" i="18"/>
  <c r="DU55" i="18"/>
  <c r="DV55" i="18"/>
  <c r="DW55" i="18"/>
  <c r="DX55" i="18"/>
  <c r="DY55" i="18"/>
  <c r="DZ55" i="18"/>
  <c r="EA55" i="18"/>
  <c r="EB55" i="18"/>
  <c r="EC55" i="18"/>
  <c r="ED55" i="18"/>
  <c r="EE55" i="18"/>
  <c r="EF55" i="18"/>
  <c r="EG55" i="18"/>
  <c r="EH55" i="18"/>
  <c r="EI55" i="18"/>
  <c r="EJ55" i="18"/>
  <c r="EK55" i="18"/>
  <c r="EL55" i="18"/>
  <c r="EM55" i="18"/>
  <c r="EN55" i="18"/>
  <c r="EO55" i="18"/>
  <c r="EP55" i="18"/>
  <c r="EQ55" i="18"/>
  <c r="ER55" i="18"/>
  <c r="ES55" i="18"/>
  <c r="ET55" i="18"/>
  <c r="EU55" i="18"/>
  <c r="EV55" i="18"/>
  <c r="EW55" i="18"/>
  <c r="EX55" i="18"/>
  <c r="EY55" i="18"/>
  <c r="EZ55" i="18"/>
  <c r="FA55" i="18"/>
  <c r="FB55" i="18"/>
  <c r="FC55" i="18"/>
  <c r="FD55" i="18"/>
  <c r="FE55" i="18"/>
  <c r="FF55" i="18"/>
  <c r="FG55" i="18"/>
  <c r="FH55" i="18"/>
  <c r="FI55" i="18"/>
  <c r="FJ55" i="18"/>
  <c r="FK55" i="18"/>
  <c r="FL55" i="18"/>
  <c r="FM55" i="18"/>
  <c r="FN55" i="18"/>
  <c r="FO55" i="18"/>
  <c r="FP55" i="18"/>
  <c r="FQ55" i="18"/>
  <c r="FR55" i="18"/>
  <c r="FS55" i="18"/>
  <c r="FT55" i="18"/>
  <c r="FU55" i="18"/>
  <c r="FV55" i="18"/>
  <c r="FW55" i="18"/>
  <c r="FX55" i="18"/>
  <c r="FY55" i="18"/>
  <c r="FZ55" i="18"/>
  <c r="GA55" i="18"/>
  <c r="GB55" i="18"/>
  <c r="DK58" i="18"/>
  <c r="DO58" i="18"/>
  <c r="DS58" i="18"/>
  <c r="DW58" i="18"/>
  <c r="EA58" i="18"/>
  <c r="EE58" i="18"/>
  <c r="EI58" i="18"/>
  <c r="EM58" i="18"/>
  <c r="EQ58" i="18"/>
  <c r="EU58" i="18"/>
  <c r="EY58" i="18"/>
  <c r="FC58" i="18"/>
  <c r="FG58" i="18"/>
  <c r="FK58" i="18"/>
  <c r="FO58" i="18"/>
  <c r="FS58" i="18"/>
  <c r="FW58" i="18"/>
  <c r="GA58" i="18"/>
  <c r="F5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AH5" i="21"/>
  <c r="AI5" i="21"/>
  <c r="AJ5" i="21"/>
  <c r="AK5" i="21"/>
  <c r="AL5" i="21"/>
  <c r="AM5" i="21"/>
  <c r="AN5" i="21"/>
  <c r="AO5" i="21"/>
  <c r="AP5" i="21"/>
  <c r="AQ5" i="21"/>
  <c r="AR5" i="21"/>
  <c r="AS5" i="21"/>
  <c r="AT5" i="21"/>
  <c r="AU5" i="21"/>
  <c r="AV5" i="21"/>
  <c r="AW5" i="21"/>
  <c r="AX5" i="21"/>
  <c r="AY5" i="21"/>
  <c r="F14" i="21"/>
  <c r="N14" i="21"/>
  <c r="O14" i="21"/>
  <c r="P14" i="21"/>
  <c r="Q14" i="21"/>
  <c r="R14" i="21"/>
  <c r="S14" i="21"/>
  <c r="T14" i="21"/>
  <c r="U14" i="21"/>
  <c r="V14" i="21"/>
  <c r="W14" i="21"/>
  <c r="X14" i="21"/>
  <c r="Y14" i="21"/>
  <c r="Z14" i="21"/>
  <c r="AA14" i="21"/>
  <c r="AB14" i="21"/>
  <c r="AC14" i="21"/>
  <c r="AD14" i="21"/>
  <c r="AE14" i="21"/>
  <c r="AF14" i="21"/>
  <c r="AG14" i="21"/>
  <c r="AH14" i="21"/>
  <c r="AI14" i="21"/>
  <c r="AJ14" i="21"/>
  <c r="AK14" i="21"/>
  <c r="AL14" i="21"/>
  <c r="AM14" i="21"/>
  <c r="AN14" i="21"/>
  <c r="AO14" i="21"/>
  <c r="AP14" i="21"/>
  <c r="AQ14" i="21"/>
  <c r="AR14" i="21"/>
  <c r="AS14" i="21"/>
  <c r="AT14" i="21"/>
  <c r="AU14" i="21"/>
  <c r="AV14" i="21"/>
  <c r="AW14" i="21"/>
  <c r="AX14" i="21"/>
  <c r="AY14" i="21"/>
  <c r="F15" i="21"/>
  <c r="N15" i="21"/>
  <c r="O15" i="21"/>
  <c r="P15" i="21"/>
  <c r="Q15" i="21"/>
  <c r="R15" i="21"/>
  <c r="S15" i="21"/>
  <c r="T15" i="21"/>
  <c r="U15" i="21"/>
  <c r="V15" i="21"/>
  <c r="W15" i="21"/>
  <c r="X15" i="21"/>
  <c r="Y15" i="21"/>
  <c r="Z15" i="21"/>
  <c r="AA15" i="21"/>
  <c r="AB15" i="21"/>
  <c r="AC15" i="21"/>
  <c r="AD15" i="21"/>
  <c r="AE15" i="21"/>
  <c r="AF15" i="21"/>
  <c r="AG15" i="21"/>
  <c r="AH15" i="21"/>
  <c r="AI15" i="21"/>
  <c r="AJ15" i="21"/>
  <c r="AK15" i="21"/>
  <c r="AL15" i="21"/>
  <c r="AM15" i="21"/>
  <c r="AN15" i="21"/>
  <c r="AO15" i="21"/>
  <c r="AP15" i="21"/>
  <c r="AQ15" i="21"/>
  <c r="AR15" i="21"/>
  <c r="AS15" i="21"/>
  <c r="AT15" i="21"/>
  <c r="AU15" i="21"/>
  <c r="AV15" i="21"/>
  <c r="AW15" i="21"/>
  <c r="AX15" i="21"/>
  <c r="AY15" i="21"/>
  <c r="F16" i="21"/>
  <c r="N16" i="21"/>
  <c r="O16" i="21"/>
  <c r="P16" i="21"/>
  <c r="Q16" i="21"/>
  <c r="R16" i="21"/>
  <c r="S16" i="21"/>
  <c r="T16" i="21"/>
  <c r="U16" i="21"/>
  <c r="V16" i="21"/>
  <c r="W16" i="21"/>
  <c r="X16" i="21"/>
  <c r="Y16" i="21"/>
  <c r="Z16" i="21"/>
  <c r="AA16" i="21"/>
  <c r="AB16" i="21"/>
  <c r="AC16" i="21"/>
  <c r="AD16" i="21"/>
  <c r="AE16" i="21"/>
  <c r="AF16" i="21"/>
  <c r="AG16" i="21"/>
  <c r="AH16" i="21"/>
  <c r="AI16" i="21"/>
  <c r="AJ16" i="21"/>
  <c r="AK16" i="21"/>
  <c r="AL16" i="21"/>
  <c r="AM16" i="21"/>
  <c r="AN16" i="21"/>
  <c r="AO16" i="21"/>
  <c r="AP16" i="21"/>
  <c r="AQ16" i="21"/>
  <c r="AR16" i="21"/>
  <c r="AS16" i="21"/>
  <c r="AT16" i="21"/>
  <c r="AU16" i="21"/>
  <c r="AV16" i="21"/>
  <c r="AW16" i="21"/>
  <c r="AX16" i="21"/>
  <c r="AY16" i="21"/>
  <c r="F22" i="21"/>
  <c r="R22" i="21"/>
  <c r="S22" i="21"/>
  <c r="T22" i="21"/>
  <c r="U22" i="21"/>
  <c r="V22" i="21"/>
  <c r="W22" i="21"/>
  <c r="X22" i="21"/>
  <c r="Y22" i="21"/>
  <c r="Z22" i="21"/>
  <c r="AA22" i="21"/>
  <c r="AB22" i="21"/>
  <c r="AC22" i="21"/>
  <c r="F25" i="21"/>
  <c r="R25" i="21"/>
  <c r="S25" i="21"/>
  <c r="T25" i="21"/>
  <c r="U25" i="21"/>
  <c r="V25" i="21"/>
  <c r="W25" i="21"/>
  <c r="X25" i="21"/>
  <c r="Y25" i="21"/>
  <c r="Z25" i="21"/>
  <c r="AA25" i="21"/>
  <c r="AB25" i="21"/>
  <c r="AC25" i="21"/>
  <c r="AD25" i="21"/>
  <c r="AE25" i="21"/>
  <c r="AF25" i="21"/>
  <c r="AG25" i="21"/>
  <c r="AH25" i="21"/>
  <c r="AI25" i="21"/>
  <c r="AJ25" i="21"/>
  <c r="AK25" i="21"/>
  <c r="AL25" i="21"/>
  <c r="AM25" i="21"/>
  <c r="AN25" i="21"/>
  <c r="AO25" i="21"/>
  <c r="AP25" i="21"/>
  <c r="AQ25" i="21"/>
  <c r="AR25" i="21"/>
  <c r="AS25" i="21"/>
  <c r="AT25" i="21"/>
  <c r="AU25" i="21"/>
  <c r="AV25" i="21"/>
  <c r="AW25" i="21"/>
  <c r="AX25" i="21"/>
  <c r="AY25" i="21"/>
  <c r="F32" i="21"/>
  <c r="M32" i="21"/>
  <c r="N32" i="21"/>
  <c r="O32" i="21"/>
  <c r="P32" i="21"/>
  <c r="Q32" i="21"/>
  <c r="R32" i="21"/>
  <c r="S32" i="21"/>
  <c r="T32" i="21"/>
  <c r="U32" i="21"/>
  <c r="V32" i="21"/>
  <c r="W32" i="21"/>
  <c r="X32" i="21"/>
  <c r="Y32" i="21"/>
  <c r="Z32" i="21"/>
  <c r="AA32" i="21"/>
  <c r="AB32" i="21"/>
  <c r="AC32" i="21"/>
  <c r="AD32" i="21"/>
  <c r="AE32" i="21"/>
  <c r="AF32" i="21"/>
  <c r="AG32" i="21"/>
  <c r="AH32" i="21"/>
  <c r="AI32" i="21"/>
  <c r="AJ32" i="21"/>
  <c r="AK32" i="21"/>
  <c r="AL32" i="21"/>
  <c r="AM32" i="21"/>
  <c r="AN32" i="21"/>
  <c r="AO32" i="21"/>
  <c r="AP32" i="21"/>
  <c r="AQ32" i="21"/>
  <c r="AR32" i="21"/>
  <c r="AS32" i="21"/>
  <c r="AT32" i="21"/>
  <c r="AU32" i="21"/>
  <c r="AV32" i="21"/>
  <c r="AW32" i="21"/>
  <c r="AX32" i="21"/>
  <c r="AY32" i="21"/>
  <c r="F33" i="21"/>
  <c r="M33" i="21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AH33" i="21"/>
  <c r="AI33" i="21"/>
  <c r="AJ33" i="21"/>
  <c r="AK33" i="21"/>
  <c r="AL33" i="21"/>
  <c r="AM33" i="21"/>
  <c r="AN33" i="21"/>
  <c r="AO33" i="21"/>
  <c r="AP33" i="21"/>
  <c r="AQ33" i="21"/>
  <c r="AR33" i="21"/>
  <c r="AS33" i="21"/>
  <c r="AT33" i="21"/>
  <c r="AU33" i="21"/>
  <c r="AV33" i="21"/>
  <c r="AW33" i="21"/>
  <c r="AX33" i="21"/>
  <c r="AY33" i="21"/>
  <c r="F36" i="21"/>
  <c r="M36" i="21"/>
  <c r="N36" i="21"/>
  <c r="O36" i="21"/>
  <c r="P36" i="21"/>
  <c r="Q36" i="21"/>
  <c r="R36" i="21"/>
  <c r="S36" i="21"/>
  <c r="T36" i="21"/>
  <c r="U36" i="21"/>
  <c r="V36" i="21"/>
  <c r="W36" i="21"/>
  <c r="X36" i="21"/>
  <c r="Y36" i="21"/>
  <c r="Z36" i="21"/>
  <c r="AA36" i="21"/>
  <c r="AB36" i="21"/>
  <c r="AC36" i="21"/>
  <c r="AD36" i="21"/>
  <c r="AE36" i="21"/>
  <c r="AF36" i="21"/>
  <c r="AG36" i="21"/>
  <c r="AH36" i="21"/>
  <c r="AI36" i="21"/>
  <c r="AJ36" i="21"/>
  <c r="AK36" i="21"/>
  <c r="AL36" i="21"/>
  <c r="AM36" i="21"/>
  <c r="AN36" i="21"/>
  <c r="AO36" i="21"/>
  <c r="AP36" i="21"/>
  <c r="AQ36" i="21"/>
  <c r="AR36" i="21"/>
  <c r="AS36" i="21"/>
  <c r="AT36" i="21"/>
  <c r="AU36" i="21"/>
  <c r="AV36" i="21"/>
  <c r="AW36" i="21"/>
  <c r="AX36" i="21"/>
  <c r="AY36" i="21"/>
  <c r="F37" i="21"/>
  <c r="M37" i="21"/>
  <c r="N37" i="21"/>
  <c r="O37" i="21"/>
  <c r="P37" i="21"/>
  <c r="Q37" i="21"/>
  <c r="R37" i="21"/>
  <c r="S37" i="21"/>
  <c r="T37" i="21"/>
  <c r="U37" i="21"/>
  <c r="V37" i="21"/>
  <c r="W37" i="21"/>
  <c r="X37" i="21"/>
  <c r="Y37" i="21"/>
  <c r="Z37" i="21"/>
  <c r="AA37" i="21"/>
  <c r="AB37" i="21"/>
  <c r="AC37" i="21"/>
  <c r="AD37" i="21"/>
  <c r="AE37" i="21"/>
  <c r="AF37" i="21"/>
  <c r="AG37" i="21"/>
  <c r="AH37" i="21"/>
  <c r="AI37" i="21"/>
  <c r="AJ37" i="21"/>
  <c r="AK37" i="21"/>
  <c r="AL37" i="21"/>
  <c r="AM37" i="21"/>
  <c r="AN37" i="21"/>
  <c r="AO37" i="21"/>
  <c r="AP37" i="21"/>
  <c r="AQ37" i="21"/>
  <c r="AR37" i="21"/>
  <c r="AS37" i="21"/>
  <c r="AT37" i="21"/>
  <c r="AU37" i="21"/>
  <c r="AV37" i="21"/>
  <c r="AW37" i="21"/>
  <c r="AX37" i="21"/>
  <c r="AY37" i="21"/>
  <c r="F38" i="21"/>
  <c r="M38" i="21"/>
  <c r="N38" i="21"/>
  <c r="O38" i="21"/>
  <c r="P38" i="21"/>
  <c r="Q38" i="2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D38" i="21"/>
  <c r="AE38" i="21"/>
  <c r="AF38" i="21"/>
  <c r="AG38" i="21"/>
  <c r="AH38" i="21"/>
  <c r="AI38" i="21"/>
  <c r="AJ38" i="21"/>
  <c r="AK38" i="21"/>
  <c r="AL38" i="21"/>
  <c r="AM38" i="21"/>
  <c r="AN38" i="21"/>
  <c r="AO38" i="21"/>
  <c r="AP38" i="21"/>
  <c r="AQ38" i="21"/>
  <c r="AR38" i="21"/>
  <c r="AS38" i="21"/>
  <c r="AT38" i="21"/>
  <c r="AU38" i="21"/>
  <c r="AV38" i="21"/>
  <c r="AW38" i="21"/>
  <c r="AX38" i="21"/>
  <c r="AY38" i="21"/>
  <c r="F41" i="21"/>
  <c r="AY41" i="21"/>
  <c r="F42" i="21"/>
  <c r="M42" i="21"/>
  <c r="N42" i="21"/>
  <c r="O42" i="21"/>
  <c r="P42" i="21"/>
  <c r="Q42" i="21"/>
  <c r="R42" i="21"/>
  <c r="S42" i="21"/>
  <c r="T42" i="21"/>
  <c r="U42" i="21"/>
  <c r="V42" i="21"/>
  <c r="W42" i="21"/>
  <c r="X42" i="21"/>
  <c r="Y42" i="21"/>
  <c r="Z42" i="21"/>
  <c r="AA42" i="21"/>
  <c r="AB42" i="21"/>
  <c r="AC42" i="21"/>
  <c r="AD42" i="21"/>
  <c r="AE42" i="21"/>
  <c r="AF42" i="21"/>
  <c r="AG42" i="21"/>
  <c r="AH42" i="21"/>
  <c r="AI42" i="21"/>
  <c r="AJ42" i="21"/>
  <c r="AK42" i="21"/>
  <c r="AL42" i="21"/>
  <c r="AM42" i="21"/>
  <c r="AN42" i="21"/>
  <c r="AO42" i="21"/>
  <c r="AP42" i="21"/>
  <c r="AQ42" i="21"/>
  <c r="AR42" i="21"/>
  <c r="AS42" i="21"/>
  <c r="AT42" i="21"/>
  <c r="AU42" i="21"/>
  <c r="AV42" i="21"/>
  <c r="AW42" i="21"/>
  <c r="AX42" i="21"/>
  <c r="AY42" i="21"/>
  <c r="F43" i="21"/>
  <c r="M43" i="21"/>
  <c r="N43" i="21"/>
  <c r="O43" i="21"/>
  <c r="P43" i="21"/>
  <c r="Q43" i="21"/>
  <c r="R43" i="21"/>
  <c r="S43" i="21"/>
  <c r="T43" i="21"/>
  <c r="U43" i="21"/>
  <c r="V43" i="21"/>
  <c r="W43" i="21"/>
  <c r="X43" i="21"/>
  <c r="Y43" i="21"/>
  <c r="Z43" i="21"/>
  <c r="AA43" i="21"/>
  <c r="AB43" i="21"/>
  <c r="AC43" i="21"/>
  <c r="AD43" i="21"/>
  <c r="AE43" i="21"/>
  <c r="AF43" i="21"/>
  <c r="AG43" i="21"/>
  <c r="AH43" i="21"/>
  <c r="AI43" i="21"/>
  <c r="AJ43" i="21"/>
  <c r="AK43" i="21"/>
  <c r="AL43" i="21"/>
  <c r="AM43" i="21"/>
  <c r="AN43" i="21"/>
  <c r="AO43" i="21"/>
  <c r="AP43" i="21"/>
  <c r="AQ43" i="21"/>
  <c r="AR43" i="21"/>
  <c r="AS43" i="21"/>
  <c r="AT43" i="21"/>
  <c r="AU43" i="21"/>
  <c r="AV43" i="21"/>
  <c r="AW43" i="21"/>
  <c r="AX43" i="21"/>
  <c r="AY43" i="21"/>
  <c r="F44" i="21"/>
  <c r="M44" i="21"/>
  <c r="F45" i="21"/>
  <c r="M45" i="21"/>
  <c r="N45" i="21"/>
  <c r="O45" i="21"/>
  <c r="P45" i="21"/>
  <c r="Q45" i="21"/>
  <c r="R45" i="21"/>
  <c r="S45" i="21"/>
  <c r="T45" i="21"/>
  <c r="U45" i="21"/>
  <c r="V45" i="21"/>
  <c r="W45" i="21"/>
  <c r="X45" i="21"/>
  <c r="Y45" i="21"/>
  <c r="Z45" i="21"/>
  <c r="AA45" i="21"/>
  <c r="AB45" i="21"/>
  <c r="AC45" i="21"/>
  <c r="AD45" i="21"/>
  <c r="AE45" i="21"/>
  <c r="AF45" i="21"/>
  <c r="AG45" i="21"/>
  <c r="AH45" i="21"/>
  <c r="AI45" i="21"/>
  <c r="AJ45" i="21"/>
  <c r="AK45" i="21"/>
  <c r="AL45" i="21"/>
  <c r="AM45" i="21"/>
  <c r="AN45" i="21"/>
  <c r="AO45" i="21"/>
  <c r="AP45" i="21"/>
  <c r="AQ45" i="21"/>
  <c r="AR45" i="21"/>
  <c r="AS45" i="21"/>
  <c r="AT45" i="21"/>
  <c r="AU45" i="21"/>
  <c r="AV45" i="21"/>
  <c r="AW45" i="21"/>
  <c r="AX45" i="21"/>
  <c r="AY45" i="21"/>
  <c r="N46" i="21"/>
  <c r="O46" i="21"/>
  <c r="P46" i="21"/>
  <c r="Q46" i="21"/>
  <c r="R46" i="21"/>
  <c r="S46" i="21"/>
  <c r="T46" i="21"/>
  <c r="U46" i="21"/>
  <c r="V46" i="21"/>
  <c r="W46" i="21"/>
  <c r="X46" i="21"/>
  <c r="Y46" i="21"/>
  <c r="Z46" i="21"/>
  <c r="AA46" i="21"/>
  <c r="AB46" i="21"/>
  <c r="AC46" i="21"/>
  <c r="AD46" i="21"/>
  <c r="AE46" i="21"/>
  <c r="AF46" i="21"/>
  <c r="AG46" i="21"/>
  <c r="AH46" i="21"/>
  <c r="AI46" i="21"/>
  <c r="AJ46" i="21"/>
  <c r="AK46" i="21"/>
  <c r="AL46" i="21"/>
  <c r="AM46" i="21"/>
  <c r="AN46" i="21"/>
  <c r="AO46" i="21"/>
  <c r="AP46" i="21"/>
  <c r="AQ46" i="21"/>
  <c r="AR46" i="21"/>
  <c r="AS46" i="21"/>
  <c r="AT46" i="21"/>
  <c r="AU46" i="21"/>
  <c r="AV46" i="21"/>
  <c r="AW46" i="21"/>
  <c r="AX46" i="21"/>
  <c r="AY46" i="21"/>
  <c r="AZ46" i="21"/>
  <c r="BA46" i="21"/>
  <c r="BB46" i="21"/>
  <c r="BC46" i="21"/>
  <c r="F47" i="21"/>
  <c r="M47" i="21"/>
  <c r="N47" i="21"/>
  <c r="O47" i="21"/>
  <c r="P47" i="21"/>
  <c r="Q47" i="21"/>
  <c r="R47" i="21"/>
  <c r="S47" i="21"/>
  <c r="T47" i="21"/>
  <c r="U47" i="21"/>
  <c r="V47" i="21"/>
  <c r="W47" i="21"/>
  <c r="X47" i="21"/>
  <c r="Y47" i="21"/>
  <c r="Z47" i="21"/>
  <c r="AA47" i="21"/>
  <c r="AB47" i="21"/>
  <c r="AC47" i="21"/>
  <c r="AD47" i="21"/>
  <c r="AE47" i="21"/>
  <c r="AF47" i="21"/>
  <c r="AG47" i="21"/>
  <c r="AH47" i="21"/>
  <c r="AI47" i="21"/>
  <c r="AJ47" i="21"/>
  <c r="AK47" i="21"/>
  <c r="AL47" i="21"/>
  <c r="AM47" i="21"/>
  <c r="AN47" i="21"/>
  <c r="AO47" i="21"/>
  <c r="AP47" i="21"/>
  <c r="AQ47" i="21"/>
  <c r="AR47" i="21"/>
  <c r="AS47" i="21"/>
  <c r="AT47" i="21"/>
  <c r="AU47" i="21"/>
  <c r="AV47" i="21"/>
  <c r="AW47" i="21"/>
  <c r="AX47" i="21"/>
  <c r="AY47" i="21"/>
  <c r="AZ47" i="21"/>
  <c r="BA47" i="21"/>
  <c r="BB47" i="21"/>
  <c r="BC47" i="21"/>
  <c r="F48" i="21"/>
  <c r="M48" i="21"/>
  <c r="N48" i="21"/>
  <c r="O48" i="21"/>
  <c r="P48" i="21"/>
  <c r="Q48" i="21"/>
  <c r="R48" i="21"/>
  <c r="S48" i="21"/>
  <c r="T48" i="21"/>
  <c r="U48" i="21"/>
  <c r="F49" i="21"/>
  <c r="M49" i="21"/>
  <c r="N49" i="21"/>
  <c r="O49" i="21"/>
  <c r="P49" i="21"/>
  <c r="Q49" i="21"/>
  <c r="R49" i="21"/>
  <c r="S49" i="21"/>
  <c r="T49" i="21"/>
  <c r="U49" i="21"/>
  <c r="F50" i="21"/>
  <c r="M50" i="21"/>
  <c r="N50" i="21"/>
  <c r="O50" i="21"/>
  <c r="P50" i="21"/>
  <c r="Q50" i="21"/>
  <c r="R50" i="21"/>
  <c r="S50" i="21"/>
  <c r="T50" i="21"/>
  <c r="U50" i="21"/>
  <c r="F51" i="21"/>
  <c r="M51" i="21"/>
  <c r="N51" i="21"/>
  <c r="O51" i="21"/>
  <c r="P51" i="21"/>
  <c r="Q51" i="21"/>
  <c r="R51" i="21"/>
  <c r="S51" i="21"/>
  <c r="T51" i="21"/>
  <c r="U51" i="21"/>
  <c r="F52" i="21"/>
  <c r="M52" i="21"/>
  <c r="N52" i="21"/>
  <c r="O52" i="21"/>
  <c r="P52" i="21"/>
  <c r="Q52" i="21"/>
  <c r="R52" i="21"/>
  <c r="S52" i="21"/>
  <c r="T52" i="21"/>
  <c r="U52" i="21"/>
  <c r="F53" i="21"/>
  <c r="M53" i="21"/>
  <c r="O53" i="21"/>
  <c r="P53" i="21"/>
  <c r="Q53" i="21"/>
  <c r="R53" i="21"/>
  <c r="S53" i="21"/>
  <c r="T53" i="21"/>
  <c r="U53" i="21"/>
  <c r="V53" i="21"/>
  <c r="W53" i="21"/>
  <c r="X53" i="21"/>
  <c r="Y53" i="21"/>
  <c r="Z53" i="21"/>
  <c r="AA53" i="21"/>
  <c r="AB53" i="21"/>
  <c r="AC53" i="21"/>
  <c r="AD53" i="21"/>
  <c r="AE53" i="21"/>
  <c r="AF53" i="21"/>
  <c r="AG53" i="21"/>
  <c r="AH53" i="21"/>
  <c r="AI53" i="21"/>
  <c r="AJ53" i="21"/>
  <c r="AK53" i="21"/>
  <c r="AL53" i="21"/>
  <c r="AM53" i="21"/>
  <c r="AN53" i="21"/>
  <c r="AO53" i="21"/>
  <c r="AP53" i="21"/>
  <c r="AQ53" i="21"/>
  <c r="AR53" i="21"/>
  <c r="AS53" i="21"/>
  <c r="AT53" i="21"/>
  <c r="AU53" i="21"/>
  <c r="AV53" i="21"/>
  <c r="AW53" i="21"/>
  <c r="AX53" i="21"/>
  <c r="O55" i="21"/>
  <c r="P55" i="21"/>
  <c r="Q55" i="21"/>
  <c r="R55" i="21"/>
  <c r="S55" i="21"/>
  <c r="T55" i="21"/>
  <c r="U55" i="21"/>
  <c r="F29" i="16"/>
  <c r="AJ29" i="16"/>
  <c r="AK29" i="16"/>
  <c r="AL29" i="16"/>
  <c r="AM29" i="16"/>
  <c r="AN29" i="16"/>
  <c r="AO29" i="16"/>
  <c r="AP29" i="16"/>
  <c r="AQ29" i="16"/>
  <c r="AR29" i="16"/>
  <c r="AS29" i="16"/>
  <c r="AT29" i="16"/>
  <c r="AU29" i="16"/>
  <c r="AV29" i="16"/>
  <c r="AW29" i="16"/>
  <c r="AX29" i="16"/>
  <c r="AY29" i="16"/>
  <c r="AZ29" i="16"/>
  <c r="BA29" i="16"/>
  <c r="BB29" i="16"/>
  <c r="BC29" i="16"/>
  <c r="BD29" i="16"/>
  <c r="BE29" i="16"/>
  <c r="BF29" i="16"/>
  <c r="BG29" i="16"/>
  <c r="BH29" i="16"/>
  <c r="BI29" i="16"/>
  <c r="BJ29" i="16"/>
  <c r="BK29" i="16"/>
  <c r="BL29" i="16"/>
  <c r="BM29" i="16"/>
  <c r="BN29" i="16"/>
  <c r="BO29" i="16"/>
  <c r="BP29" i="16"/>
  <c r="BQ29" i="16"/>
  <c r="BR29" i="16"/>
  <c r="BS29" i="16"/>
  <c r="BT29" i="16"/>
  <c r="BU29" i="16"/>
  <c r="BV29" i="16"/>
  <c r="BW29" i="16"/>
  <c r="BX29" i="16"/>
  <c r="BY29" i="16"/>
  <c r="BZ29" i="16"/>
  <c r="CA29" i="16"/>
  <c r="CB29" i="16"/>
  <c r="F32" i="16"/>
  <c r="AJ32" i="16"/>
  <c r="AK32" i="16"/>
  <c r="AL32" i="16"/>
  <c r="AM32" i="16"/>
  <c r="AN32" i="16"/>
  <c r="AO32" i="16"/>
  <c r="AP32" i="16"/>
  <c r="AQ32" i="16"/>
  <c r="AR32" i="16"/>
  <c r="AS32" i="16"/>
  <c r="AT32" i="16"/>
  <c r="AU32" i="16"/>
  <c r="AV32" i="16"/>
  <c r="AW32" i="16"/>
  <c r="AX32" i="16"/>
  <c r="AY32" i="16"/>
  <c r="AZ32" i="16"/>
  <c r="BA32" i="16"/>
  <c r="BB32" i="16"/>
  <c r="BC32" i="16"/>
  <c r="BD32" i="16"/>
  <c r="BE32" i="16"/>
  <c r="BF32" i="16"/>
  <c r="BG32" i="16"/>
  <c r="BH32" i="16"/>
  <c r="BI32" i="16"/>
  <c r="BJ32" i="16"/>
  <c r="BK32" i="16"/>
  <c r="BL32" i="16"/>
  <c r="BM32" i="16"/>
  <c r="BN32" i="16"/>
  <c r="BO32" i="16"/>
  <c r="BP32" i="16"/>
  <c r="BQ32" i="16"/>
  <c r="BR32" i="16"/>
  <c r="BS32" i="16"/>
  <c r="BT32" i="16"/>
  <c r="BU32" i="16"/>
  <c r="BV32" i="16"/>
  <c r="BW32" i="16"/>
  <c r="BX32" i="16"/>
  <c r="BY32" i="16"/>
  <c r="BZ32" i="16"/>
  <c r="CA32" i="16"/>
  <c r="CB32" i="16"/>
  <c r="F34" i="16"/>
  <c r="AJ34" i="16"/>
  <c r="AK34" i="16"/>
  <c r="AL34" i="16"/>
  <c r="AM34" i="16"/>
  <c r="AN34" i="16"/>
  <c r="AO34" i="16"/>
  <c r="AP34" i="16"/>
  <c r="AQ34" i="16"/>
  <c r="AR34" i="16"/>
  <c r="AS34" i="16"/>
  <c r="AT34" i="16"/>
  <c r="AU34" i="16"/>
  <c r="AV34" i="16"/>
  <c r="AW34" i="16"/>
  <c r="AX34" i="16"/>
  <c r="AY34" i="16"/>
  <c r="AZ34" i="16"/>
  <c r="BA34" i="16"/>
  <c r="BB34" i="16"/>
  <c r="BC34" i="16"/>
  <c r="BD34" i="16"/>
  <c r="BE34" i="16"/>
  <c r="BF34" i="16"/>
  <c r="BG34" i="16"/>
  <c r="BH34" i="16"/>
  <c r="BI34" i="16"/>
  <c r="BJ34" i="16"/>
  <c r="BK34" i="16"/>
  <c r="BL34" i="16"/>
  <c r="BM34" i="16"/>
  <c r="BN34" i="16"/>
  <c r="BO34" i="16"/>
  <c r="BP34" i="16"/>
  <c r="BQ34" i="16"/>
  <c r="BR34" i="16"/>
  <c r="BS34" i="16"/>
  <c r="BT34" i="16"/>
  <c r="BU34" i="16"/>
  <c r="BV34" i="16"/>
  <c r="BW34" i="16"/>
  <c r="BX34" i="16"/>
  <c r="BY34" i="16"/>
  <c r="BZ34" i="16"/>
  <c r="CA34" i="16"/>
  <c r="CB34" i="16"/>
  <c r="F35" i="16"/>
  <c r="AL35" i="16"/>
  <c r="AP35" i="16"/>
  <c r="AT35" i="16"/>
  <c r="AX35" i="16"/>
  <c r="BB35" i="16"/>
  <c r="BF35" i="16"/>
  <c r="BJ35" i="16"/>
  <c r="BN35" i="16"/>
  <c r="BR35" i="16"/>
  <c r="BV35" i="16"/>
  <c r="BZ35" i="16"/>
  <c r="CD35" i="16"/>
  <c r="CH35" i="16"/>
  <c r="CL35" i="16"/>
  <c r="CP35" i="16"/>
  <c r="CT35" i="16"/>
  <c r="CX35" i="16"/>
  <c r="DB35" i="16"/>
  <c r="DF35" i="16"/>
  <c r="DJ35" i="16"/>
  <c r="DN35" i="16"/>
  <c r="DR35" i="16"/>
  <c r="DV35" i="16"/>
  <c r="DZ35" i="16"/>
  <c r="ED35" i="16"/>
  <c r="EH35" i="16"/>
  <c r="EL35" i="16"/>
  <c r="EP35" i="16"/>
  <c r="ET35" i="16"/>
  <c r="EX35" i="16"/>
  <c r="FB35" i="16"/>
  <c r="FF35" i="16"/>
  <c r="FJ35" i="16"/>
  <c r="FL35" i="16"/>
  <c r="F36" i="16"/>
  <c r="AJ36" i="16"/>
  <c r="AK36" i="16"/>
  <c r="AL36" i="16"/>
  <c r="AM36" i="16"/>
  <c r="AN36" i="16"/>
  <c r="AO36" i="16"/>
  <c r="AP36" i="16"/>
  <c r="AQ36" i="16"/>
  <c r="AR36" i="16"/>
  <c r="AS36" i="16"/>
  <c r="AT36" i="16"/>
  <c r="AU36" i="16"/>
  <c r="AV36" i="16"/>
  <c r="AW36" i="16"/>
  <c r="AX36" i="16"/>
  <c r="AY36" i="16"/>
  <c r="AZ36" i="16"/>
  <c r="BA36" i="16"/>
  <c r="BB36" i="16"/>
  <c r="BC36" i="16"/>
  <c r="BD36" i="16"/>
  <c r="BE36" i="16"/>
  <c r="BF36" i="16"/>
  <c r="BG36" i="16"/>
  <c r="BH36" i="16"/>
  <c r="BI36" i="16"/>
  <c r="BJ36" i="16"/>
  <c r="BK36" i="16"/>
  <c r="BL36" i="16"/>
  <c r="BM36" i="16"/>
  <c r="BN36" i="16"/>
  <c r="BO36" i="16"/>
  <c r="BP36" i="16"/>
  <c r="BQ36" i="16"/>
  <c r="BR36" i="16"/>
  <c r="BS36" i="16"/>
  <c r="BT36" i="16"/>
  <c r="BU36" i="16"/>
  <c r="BV36" i="16"/>
  <c r="BW36" i="16"/>
  <c r="BX36" i="16"/>
  <c r="BY36" i="16"/>
  <c r="BZ36" i="16"/>
  <c r="CA36" i="16"/>
  <c r="CB36" i="16"/>
  <c r="CD36" i="16"/>
  <c r="CH36" i="16"/>
  <c r="CL36" i="16"/>
  <c r="CP36" i="16"/>
  <c r="CT36" i="16"/>
  <c r="CX36" i="16"/>
  <c r="DB36" i="16"/>
  <c r="DF36" i="16"/>
  <c r="DJ36" i="16"/>
  <c r="DN36" i="16"/>
  <c r="DR36" i="16"/>
  <c r="DV36" i="16"/>
  <c r="DZ36" i="16"/>
  <c r="ED36" i="16"/>
  <c r="EH36" i="16"/>
  <c r="EL36" i="16"/>
  <c r="EP36" i="16"/>
  <c r="ET36" i="16"/>
  <c r="EX36" i="16"/>
  <c r="FB36" i="16"/>
  <c r="FF36" i="16"/>
  <c r="FJ36" i="16"/>
  <c r="FL36" i="16"/>
  <c r="F76" i="16"/>
  <c r="AJ76" i="16"/>
  <c r="AK76" i="16"/>
  <c r="AL76" i="16"/>
  <c r="AM76" i="16"/>
  <c r="AN76" i="16"/>
  <c r="AO76" i="16"/>
  <c r="AP76" i="16"/>
  <c r="AQ76" i="16"/>
  <c r="AR76" i="16"/>
  <c r="AS76" i="16"/>
  <c r="AT76" i="16"/>
  <c r="AU76" i="16"/>
  <c r="AV76" i="16"/>
  <c r="AW76" i="16"/>
  <c r="AX76" i="16"/>
  <c r="AY76" i="16"/>
  <c r="AZ76" i="16"/>
  <c r="BA76" i="16"/>
  <c r="BB76" i="16"/>
  <c r="BC76" i="16"/>
  <c r="BD76" i="16"/>
  <c r="BE76" i="16"/>
  <c r="BF76" i="16"/>
  <c r="BG76" i="16"/>
  <c r="BH76" i="16"/>
  <c r="BI76" i="16"/>
  <c r="BJ76" i="16"/>
  <c r="BK76" i="16"/>
  <c r="BL76" i="16"/>
  <c r="BM76" i="16"/>
  <c r="BN76" i="16"/>
  <c r="BO76" i="16"/>
  <c r="BP76" i="16"/>
  <c r="BQ76" i="16"/>
  <c r="BR76" i="16"/>
  <c r="BS76" i="16"/>
  <c r="BT76" i="16"/>
  <c r="BU76" i="16"/>
  <c r="BV76" i="16"/>
  <c r="BW76" i="16"/>
  <c r="BX76" i="16"/>
  <c r="BY76" i="16"/>
  <c r="BZ76" i="16"/>
  <c r="CA76" i="16"/>
  <c r="CB76" i="16"/>
  <c r="F77" i="16"/>
  <c r="AJ77" i="16"/>
  <c r="AK77" i="16"/>
  <c r="AL77" i="16"/>
  <c r="AM77" i="16"/>
  <c r="AN77" i="16"/>
  <c r="AO77" i="16"/>
  <c r="AP77" i="16"/>
  <c r="AQ77" i="16"/>
  <c r="AR77" i="16"/>
  <c r="AS77" i="16"/>
  <c r="AT77" i="16"/>
  <c r="AU77" i="16"/>
  <c r="AV77" i="16"/>
  <c r="AW77" i="16"/>
  <c r="AX77" i="16"/>
  <c r="AY77" i="16"/>
  <c r="AZ77" i="16"/>
  <c r="BA77" i="16"/>
  <c r="BB77" i="16"/>
  <c r="BC77" i="16"/>
  <c r="BD77" i="16"/>
  <c r="BE77" i="16"/>
  <c r="BF77" i="16"/>
  <c r="BG77" i="16"/>
  <c r="BH77" i="16"/>
  <c r="BI77" i="16"/>
  <c r="BJ77" i="16"/>
  <c r="BK77" i="16"/>
  <c r="BL77" i="16"/>
  <c r="BM77" i="16"/>
  <c r="BN77" i="16"/>
  <c r="BO77" i="16"/>
  <c r="BP77" i="16"/>
  <c r="BQ77" i="16"/>
  <c r="BR77" i="16"/>
  <c r="BS77" i="16"/>
  <c r="BT77" i="16"/>
  <c r="BU77" i="16"/>
  <c r="BV77" i="16"/>
  <c r="BW77" i="16"/>
  <c r="BX77" i="16"/>
  <c r="BY77" i="16"/>
  <c r="BZ77" i="16"/>
  <c r="CA77" i="16"/>
  <c r="CB77" i="16"/>
  <c r="F88" i="16"/>
  <c r="AL88" i="16"/>
  <c r="AP88" i="16"/>
  <c r="AT88" i="16"/>
  <c r="AX88" i="16"/>
  <c r="BB88" i="16"/>
  <c r="BF88" i="16"/>
  <c r="BJ88" i="16"/>
  <c r="BN88" i="16"/>
  <c r="BR88" i="16"/>
  <c r="BV88" i="16"/>
  <c r="BZ88" i="16"/>
  <c r="CD88" i="16"/>
  <c r="CH88" i="16"/>
  <c r="CL88" i="16"/>
  <c r="CP88" i="16"/>
  <c r="CT88" i="16"/>
  <c r="CX88" i="16"/>
  <c r="DB88" i="16"/>
  <c r="DF88" i="16"/>
  <c r="DJ88" i="16"/>
  <c r="DN88" i="16"/>
  <c r="DR88" i="16"/>
  <c r="DV88" i="16"/>
  <c r="DZ88" i="16"/>
  <c r="ED88" i="16"/>
  <c r="EH88" i="16"/>
  <c r="EL88" i="16"/>
  <c r="EP88" i="16"/>
  <c r="ET88" i="16"/>
  <c r="EX88" i="16"/>
  <c r="FB88" i="16"/>
  <c r="FF88" i="16"/>
  <c r="FJ88" i="16"/>
  <c r="FN88" i="16"/>
  <c r="FR88" i="16"/>
  <c r="FV88" i="16"/>
  <c r="FZ88" i="16"/>
  <c r="GD88" i="16"/>
  <c r="F89" i="16"/>
  <c r="AL89" i="16"/>
  <c r="AP89" i="16"/>
  <c r="AT89" i="16"/>
  <c r="AX89" i="16"/>
  <c r="BB89" i="16"/>
  <c r="BF89" i="16"/>
  <c r="BJ89" i="16"/>
  <c r="BN89" i="16"/>
  <c r="BR89" i="16"/>
  <c r="BV89" i="16"/>
  <c r="BZ89" i="16"/>
  <c r="CD89" i="16"/>
  <c r="CH89" i="16"/>
  <c r="CL89" i="16"/>
  <c r="CP89" i="16"/>
  <c r="CT89" i="16"/>
  <c r="CX89" i="16"/>
  <c r="DB89" i="16"/>
  <c r="DF89" i="16"/>
  <c r="DJ89" i="16"/>
  <c r="DN89" i="16"/>
  <c r="DR89" i="16"/>
  <c r="DV89" i="16"/>
  <c r="DZ89" i="16"/>
  <c r="ED89" i="16"/>
  <c r="EH89" i="16"/>
  <c r="EL89" i="16"/>
  <c r="EP89" i="16"/>
  <c r="ET89" i="16"/>
  <c r="EX89" i="16"/>
  <c r="FB89" i="16"/>
  <c r="FF89" i="16"/>
  <c r="FJ89" i="16"/>
  <c r="FN89" i="16"/>
  <c r="FR89" i="16"/>
  <c r="FV89" i="16"/>
  <c r="FZ89" i="16"/>
  <c r="GD89" i="16"/>
  <c r="F90" i="16"/>
  <c r="AL90" i="16"/>
  <c r="AP90" i="16"/>
  <c r="AT90" i="16"/>
  <c r="AX90" i="16"/>
  <c r="BB90" i="16"/>
  <c r="BF90" i="16"/>
  <c r="BJ90" i="16"/>
  <c r="BN90" i="16"/>
  <c r="BR90" i="16"/>
  <c r="BV90" i="16"/>
  <c r="BZ90" i="16"/>
  <c r="CD90" i="16"/>
  <c r="CH90" i="16"/>
  <c r="CL90" i="16"/>
  <c r="CP90" i="16"/>
  <c r="CT90" i="16"/>
  <c r="CX90" i="16"/>
  <c r="DB90" i="16"/>
  <c r="DF90" i="16"/>
  <c r="DJ90" i="16"/>
  <c r="DN90" i="16"/>
  <c r="DR90" i="16"/>
  <c r="DV90" i="16"/>
  <c r="DZ90" i="16"/>
  <c r="ED90" i="16"/>
  <c r="EH90" i="16"/>
  <c r="EL90" i="16"/>
  <c r="EP90" i="16"/>
  <c r="ET90" i="16"/>
  <c r="EX90" i="16"/>
  <c r="FB90" i="16"/>
  <c r="FF90" i="16"/>
  <c r="FJ90" i="16"/>
  <c r="FN90" i="16"/>
  <c r="FR90" i="16"/>
  <c r="FV90" i="16"/>
  <c r="FZ90" i="16"/>
  <c r="GD90" i="16"/>
  <c r="F91" i="16"/>
  <c r="F94" i="16"/>
  <c r="AL94" i="16"/>
  <c r="AM94" i="16"/>
  <c r="AN94" i="16"/>
  <c r="AO94" i="16"/>
  <c r="AP94" i="16"/>
  <c r="AQ94" i="16"/>
  <c r="AR94" i="16"/>
  <c r="AS94" i="16"/>
  <c r="AT94" i="16"/>
  <c r="AU94" i="16"/>
  <c r="AV94" i="16"/>
  <c r="AW94" i="16"/>
  <c r="AX94" i="16"/>
  <c r="AY94" i="16"/>
  <c r="AZ94" i="16"/>
  <c r="BA94" i="16"/>
  <c r="BB94" i="16"/>
  <c r="BC94" i="16"/>
  <c r="BD94" i="16"/>
  <c r="BE94" i="16"/>
  <c r="BF94" i="16"/>
  <c r="BG94" i="16"/>
  <c r="BH94" i="16"/>
  <c r="BI94" i="16"/>
  <c r="BJ94" i="16"/>
  <c r="BK94" i="16"/>
  <c r="BL94" i="16"/>
  <c r="BM94" i="16"/>
  <c r="BN94" i="16"/>
  <c r="BO94" i="16"/>
  <c r="BP94" i="16"/>
  <c r="BQ94" i="16"/>
  <c r="BR94" i="16"/>
  <c r="BS94" i="16"/>
  <c r="BT94" i="16"/>
  <c r="BU94" i="16"/>
  <c r="BV94" i="16"/>
  <c r="BW94" i="16"/>
  <c r="BX94" i="16"/>
  <c r="BY94" i="16"/>
  <c r="BZ94" i="16"/>
  <c r="CA94" i="16"/>
  <c r="CB94" i="16"/>
  <c r="CC94" i="16"/>
  <c r="CD94" i="16"/>
  <c r="CE94" i="16"/>
  <c r="CF94" i="16"/>
  <c r="CG94" i="16"/>
  <c r="CH94" i="16"/>
  <c r="CI94" i="16"/>
  <c r="CJ94" i="16"/>
  <c r="CK94" i="16"/>
  <c r="CL94" i="16"/>
  <c r="CM94" i="16"/>
  <c r="CN94" i="16"/>
  <c r="CO94" i="16"/>
  <c r="CP94" i="16"/>
  <c r="CQ94" i="16"/>
  <c r="CR94" i="16"/>
  <c r="CS94" i="16"/>
  <c r="CT94" i="16"/>
  <c r="CU94" i="16"/>
  <c r="CV94" i="16"/>
  <c r="CW94" i="16"/>
  <c r="CX94" i="16"/>
  <c r="CY94" i="16"/>
  <c r="CZ94" i="16"/>
  <c r="DA94" i="16"/>
  <c r="DB94" i="16"/>
  <c r="DC94" i="16"/>
  <c r="DD94" i="16"/>
  <c r="DE94" i="16"/>
  <c r="DF94" i="16"/>
  <c r="DG94" i="16"/>
  <c r="DH94" i="16"/>
  <c r="DI94" i="16"/>
  <c r="DJ94" i="16"/>
  <c r="DK94" i="16"/>
  <c r="DL94" i="16"/>
  <c r="DM94" i="16"/>
  <c r="DN94" i="16"/>
  <c r="DO94" i="16"/>
  <c r="DP94" i="16"/>
  <c r="DQ94" i="16"/>
  <c r="DR94" i="16"/>
  <c r="DS94" i="16"/>
  <c r="DT94" i="16"/>
  <c r="DU94" i="16"/>
  <c r="DV94" i="16"/>
  <c r="DW94" i="16"/>
  <c r="DX94" i="16"/>
  <c r="DY94" i="16"/>
  <c r="DZ94" i="16"/>
  <c r="EA94" i="16"/>
  <c r="EB94" i="16"/>
  <c r="EC94" i="16"/>
  <c r="ED94" i="16"/>
  <c r="EE94" i="16"/>
  <c r="EF94" i="16"/>
  <c r="EG94" i="16"/>
  <c r="EH94" i="16"/>
  <c r="EI94" i="16"/>
  <c r="EJ94" i="16"/>
  <c r="EK94" i="16"/>
  <c r="EL94" i="16"/>
  <c r="EM94" i="16"/>
  <c r="EN94" i="16"/>
  <c r="EO94" i="16"/>
  <c r="EP94" i="16"/>
  <c r="EQ94" i="16"/>
  <c r="ER94" i="16"/>
  <c r="ES94" i="16"/>
  <c r="ET94" i="16"/>
  <c r="EU94" i="16"/>
  <c r="EV94" i="16"/>
  <c r="EW94" i="16"/>
  <c r="EX94" i="16"/>
  <c r="EY94" i="16"/>
  <c r="EZ94" i="16"/>
  <c r="FA94" i="16"/>
  <c r="FB94" i="16"/>
  <c r="FC94" i="16"/>
  <c r="FD94" i="16"/>
  <c r="FE94" i="16"/>
  <c r="FF94" i="16"/>
  <c r="FG94" i="16"/>
  <c r="FH94" i="16"/>
  <c r="FI94" i="16"/>
  <c r="FJ94" i="16"/>
  <c r="FK94" i="16"/>
  <c r="FL94" i="16"/>
  <c r="F95" i="16"/>
  <c r="AM95" i="16"/>
  <c r="AN95" i="16"/>
  <c r="AO95" i="16"/>
  <c r="AP95" i="16"/>
  <c r="AQ95" i="16"/>
  <c r="AR95" i="16"/>
  <c r="AS95" i="16"/>
  <c r="AT95" i="16"/>
  <c r="AU95" i="16"/>
  <c r="AV95" i="16"/>
  <c r="AW95" i="16"/>
  <c r="AX95" i="16"/>
  <c r="AY95" i="16"/>
  <c r="AZ95" i="16"/>
  <c r="BA95" i="16"/>
  <c r="BB95" i="16"/>
  <c r="BC95" i="16"/>
  <c r="BD95" i="16"/>
  <c r="BE95" i="16"/>
  <c r="BF95" i="16"/>
  <c r="BG95" i="16"/>
  <c r="BH95" i="16"/>
  <c r="BI95" i="16"/>
  <c r="BJ95" i="16"/>
  <c r="BK95" i="16"/>
  <c r="BL95" i="16"/>
  <c r="BM95" i="16"/>
  <c r="BN95" i="16"/>
  <c r="BO95" i="16"/>
  <c r="BP95" i="16"/>
  <c r="BQ95" i="16"/>
  <c r="BR95" i="16"/>
  <c r="BS95" i="16"/>
  <c r="BT95" i="16"/>
  <c r="BU95" i="16"/>
  <c r="BV95" i="16"/>
  <c r="BW95" i="16"/>
  <c r="BX95" i="16"/>
  <c r="BY95" i="16"/>
  <c r="BZ95" i="16"/>
  <c r="CA95" i="16"/>
  <c r="CB95" i="16"/>
  <c r="CC95" i="16"/>
  <c r="CD95" i="16"/>
  <c r="CE95" i="16"/>
  <c r="CF95" i="16"/>
  <c r="CG95" i="16"/>
  <c r="CH95" i="16"/>
  <c r="CI95" i="16"/>
  <c r="CJ95" i="16"/>
  <c r="CK95" i="16"/>
  <c r="CL95" i="16"/>
  <c r="CM95" i="16"/>
  <c r="CN95" i="16"/>
  <c r="CO95" i="16"/>
  <c r="CP95" i="16"/>
  <c r="CQ95" i="16"/>
  <c r="CR95" i="16"/>
  <c r="CS95" i="16"/>
  <c r="CT95" i="16"/>
  <c r="CU95" i="16"/>
  <c r="CV95" i="16"/>
  <c r="CW95" i="16"/>
  <c r="CX95" i="16"/>
  <c r="CY95" i="16"/>
  <c r="CZ95" i="16"/>
  <c r="DA95" i="16"/>
  <c r="DB95" i="16"/>
  <c r="DC95" i="16"/>
  <c r="DD95" i="16"/>
  <c r="DE95" i="16"/>
  <c r="DF95" i="16"/>
  <c r="DG95" i="16"/>
  <c r="DH95" i="16"/>
  <c r="DI95" i="16"/>
  <c r="DJ95" i="16"/>
  <c r="DK95" i="16"/>
  <c r="DL95" i="16"/>
  <c r="DM95" i="16"/>
  <c r="DN95" i="16"/>
  <c r="DO95" i="16"/>
  <c r="DP95" i="16"/>
  <c r="DQ95" i="16"/>
  <c r="DR95" i="16"/>
  <c r="DS95" i="16"/>
  <c r="DT95" i="16"/>
  <c r="DU95" i="16"/>
  <c r="DV95" i="16"/>
  <c r="DW95" i="16"/>
  <c r="DX95" i="16"/>
  <c r="DY95" i="16"/>
  <c r="DZ95" i="16"/>
  <c r="EA95" i="16"/>
  <c r="EB95" i="16"/>
  <c r="EC95" i="16"/>
  <c r="ED95" i="16"/>
  <c r="EE95" i="16"/>
  <c r="EF95" i="16"/>
  <c r="EG95" i="16"/>
  <c r="EH95" i="16"/>
  <c r="EI95" i="16"/>
  <c r="EJ95" i="16"/>
  <c r="EK95" i="16"/>
  <c r="EL95" i="16"/>
  <c r="EM95" i="16"/>
  <c r="EN95" i="16"/>
  <c r="EO95" i="16"/>
  <c r="EP95" i="16"/>
  <c r="EQ95" i="16"/>
  <c r="ER95" i="16"/>
  <c r="ES95" i="16"/>
  <c r="ET95" i="16"/>
  <c r="EU95" i="16"/>
  <c r="EV95" i="16"/>
  <c r="EW95" i="16"/>
  <c r="EX95" i="16"/>
  <c r="EY95" i="16"/>
  <c r="EZ95" i="16"/>
  <c r="FA95" i="16"/>
  <c r="FB95" i="16"/>
  <c r="FC95" i="16"/>
  <c r="FD95" i="16"/>
  <c r="FE95" i="16"/>
  <c r="FF95" i="16"/>
  <c r="FG95" i="16"/>
  <c r="FH95" i="16"/>
  <c r="FI95" i="16"/>
  <c r="FJ95" i="16"/>
  <c r="FK95" i="16"/>
  <c r="FL95" i="16"/>
  <c r="FM95" i="16"/>
  <c r="FN95" i="16"/>
  <c r="FO95" i="16"/>
  <c r="FP95" i="16"/>
  <c r="FQ95" i="16"/>
  <c r="FR95" i="16"/>
  <c r="FS95" i="16"/>
  <c r="FT95" i="16"/>
  <c r="FU95" i="16"/>
  <c r="FV95" i="16"/>
  <c r="FW95" i="16"/>
  <c r="FX95" i="16"/>
  <c r="FY95" i="16"/>
  <c r="FZ95" i="16"/>
  <c r="GA95" i="16"/>
  <c r="GB95" i="16"/>
  <c r="GC95" i="16"/>
  <c r="GD95" i="16"/>
  <c r="F96" i="16"/>
  <c r="AL96" i="16"/>
  <c r="AM96" i="16"/>
  <c r="AN96" i="16"/>
  <c r="AO96" i="16"/>
  <c r="AP96" i="16"/>
  <c r="AQ96" i="16"/>
  <c r="AR96" i="16"/>
  <c r="AS96" i="16"/>
  <c r="AT96" i="16"/>
  <c r="AU96" i="16"/>
  <c r="AV96" i="16"/>
  <c r="AW96" i="16"/>
  <c r="AX96" i="16"/>
  <c r="AY96" i="16"/>
  <c r="AZ96" i="16"/>
  <c r="BA96" i="16"/>
  <c r="BB96" i="16"/>
  <c r="BC96" i="16"/>
  <c r="BD96" i="16"/>
  <c r="BE96" i="16"/>
  <c r="BF96" i="16"/>
  <c r="BG96" i="16"/>
  <c r="BH96" i="16"/>
  <c r="BI96" i="16"/>
  <c r="BJ96" i="16"/>
  <c r="BK96" i="16"/>
  <c r="BL96" i="16"/>
  <c r="BM96" i="16"/>
  <c r="BN96" i="16"/>
  <c r="BO96" i="16"/>
  <c r="BP96" i="16"/>
  <c r="BQ96" i="16"/>
  <c r="BR96" i="16"/>
  <c r="BS96" i="16"/>
  <c r="BT96" i="16"/>
  <c r="BU96" i="16"/>
  <c r="BV96" i="16"/>
  <c r="BW96" i="16"/>
  <c r="BX96" i="16"/>
  <c r="BY96" i="16"/>
  <c r="BZ96" i="16"/>
  <c r="CA96" i="16"/>
  <c r="CB96" i="16"/>
  <c r="CC96" i="16"/>
  <c r="CD96" i="16"/>
  <c r="CE96" i="16"/>
  <c r="CF96" i="16"/>
  <c r="CG96" i="16"/>
  <c r="CH96" i="16"/>
  <c r="CI96" i="16"/>
  <c r="CJ96" i="16"/>
  <c r="CK96" i="16"/>
  <c r="CL96" i="16"/>
  <c r="CM96" i="16"/>
  <c r="CN96" i="16"/>
  <c r="CO96" i="16"/>
  <c r="CP96" i="16"/>
  <c r="CQ96" i="16"/>
  <c r="CR96" i="16"/>
  <c r="CS96" i="16"/>
  <c r="CT96" i="16"/>
  <c r="CU96" i="16"/>
  <c r="CV96" i="16"/>
  <c r="CW96" i="16"/>
  <c r="CX96" i="16"/>
  <c r="CY96" i="16"/>
  <c r="CZ96" i="16"/>
  <c r="DA96" i="16"/>
  <c r="DB96" i="16"/>
  <c r="DC96" i="16"/>
  <c r="DD96" i="16"/>
  <c r="DE96" i="16"/>
  <c r="DF96" i="16"/>
  <c r="DG96" i="16"/>
  <c r="DH96" i="16"/>
  <c r="DI96" i="16"/>
  <c r="DJ96" i="16"/>
  <c r="DK96" i="16"/>
  <c r="DL96" i="16"/>
  <c r="DM96" i="16"/>
  <c r="DN96" i="16"/>
  <c r="DO96" i="16"/>
  <c r="DP96" i="16"/>
  <c r="DQ96" i="16"/>
  <c r="DR96" i="16"/>
  <c r="DS96" i="16"/>
  <c r="DT96" i="16"/>
  <c r="DU96" i="16"/>
  <c r="DV96" i="16"/>
  <c r="DW96" i="16"/>
  <c r="DX96" i="16"/>
  <c r="DY96" i="16"/>
  <c r="DZ96" i="16"/>
  <c r="EA96" i="16"/>
  <c r="EB96" i="16"/>
  <c r="EC96" i="16"/>
  <c r="ED96" i="16"/>
  <c r="EE96" i="16"/>
  <c r="EF96" i="16"/>
  <c r="EG96" i="16"/>
  <c r="EH96" i="16"/>
  <c r="EI96" i="16"/>
  <c r="EJ96" i="16"/>
  <c r="EK96" i="16"/>
  <c r="EL96" i="16"/>
  <c r="EM96" i="16"/>
  <c r="EN96" i="16"/>
  <c r="EO96" i="16"/>
  <c r="EP96" i="16"/>
  <c r="EQ96" i="16"/>
  <c r="ER96" i="16"/>
  <c r="ES96" i="16"/>
  <c r="ET96" i="16"/>
  <c r="EU96" i="16"/>
  <c r="EV96" i="16"/>
  <c r="EW96" i="16"/>
  <c r="EX96" i="16"/>
  <c r="EY96" i="16"/>
  <c r="EZ96" i="16"/>
  <c r="FA96" i="16"/>
  <c r="FB96" i="16"/>
  <c r="FC96" i="16"/>
  <c r="FD96" i="16"/>
  <c r="FE96" i="16"/>
  <c r="FF96" i="16"/>
  <c r="FG96" i="16"/>
  <c r="FH96" i="16"/>
  <c r="FI96" i="16"/>
  <c r="FJ96" i="16"/>
  <c r="FK96" i="16"/>
  <c r="FL96" i="16"/>
  <c r="FM96" i="16"/>
  <c r="FN96" i="16"/>
  <c r="FO96" i="16"/>
  <c r="FP96" i="16"/>
  <c r="FQ96" i="16"/>
  <c r="FR96" i="16"/>
  <c r="FS96" i="16"/>
  <c r="FT96" i="16"/>
  <c r="FU96" i="16"/>
  <c r="FV96" i="16"/>
  <c r="FW96" i="16"/>
  <c r="FX96" i="16"/>
  <c r="FY96" i="16"/>
  <c r="FZ96" i="16"/>
  <c r="GA96" i="16"/>
  <c r="GB96" i="16"/>
  <c r="GC96" i="16"/>
  <c r="GD96" i="16"/>
  <c r="AM100" i="16"/>
  <c r="AN100" i="16"/>
  <c r="AO100" i="16"/>
  <c r="AP100" i="16"/>
  <c r="AQ100" i="16"/>
  <c r="AR100" i="16"/>
  <c r="AS100" i="16"/>
  <c r="AT100" i="16"/>
  <c r="AU100" i="16"/>
  <c r="AV100" i="16"/>
  <c r="AW100" i="16"/>
  <c r="AX100" i="16"/>
  <c r="AY100" i="16"/>
  <c r="AZ100" i="16"/>
  <c r="BA100" i="16"/>
  <c r="BB100" i="16"/>
  <c r="BC100" i="16"/>
  <c r="BD100" i="16"/>
  <c r="BE100" i="16"/>
  <c r="BF100" i="16"/>
  <c r="BG100" i="16"/>
  <c r="BH100" i="16"/>
  <c r="BI100" i="16"/>
  <c r="BJ100" i="16"/>
  <c r="BK100" i="16"/>
  <c r="BL100" i="16"/>
  <c r="BM100" i="16"/>
  <c r="BN100" i="16"/>
  <c r="BO100" i="16"/>
  <c r="BP100" i="16"/>
  <c r="BQ100" i="16"/>
  <c r="BR100" i="16"/>
  <c r="BS100" i="16"/>
  <c r="BT100" i="16"/>
  <c r="BU100" i="16"/>
  <c r="BV100" i="16"/>
  <c r="BW100" i="16"/>
  <c r="BX100" i="16"/>
  <c r="BY100" i="16"/>
  <c r="BZ100" i="16"/>
  <c r="CA100" i="16"/>
  <c r="CB100" i="16"/>
  <c r="CC100" i="16"/>
  <c r="CD100" i="16"/>
  <c r="CE100" i="16"/>
  <c r="CF100" i="16"/>
  <c r="CG100" i="16"/>
  <c r="CH100" i="16"/>
  <c r="CI100" i="16"/>
  <c r="CJ100" i="16"/>
  <c r="CK100" i="16"/>
  <c r="CL100" i="16"/>
  <c r="CM100" i="16"/>
  <c r="CN100" i="16"/>
  <c r="CO100" i="16"/>
  <c r="CP100" i="16"/>
  <c r="CQ100" i="16"/>
  <c r="CR100" i="16"/>
  <c r="CS100" i="16"/>
  <c r="CT100" i="16"/>
  <c r="CU100" i="16"/>
  <c r="CV100" i="16"/>
  <c r="CW100" i="16"/>
  <c r="CX100" i="16"/>
  <c r="CY100" i="16"/>
  <c r="CZ100" i="16"/>
  <c r="DA100" i="16"/>
  <c r="DB100" i="16"/>
  <c r="DC100" i="16"/>
  <c r="DD100" i="16"/>
  <c r="DE100" i="16"/>
  <c r="DF100" i="16"/>
  <c r="DG100" i="16"/>
  <c r="DH100" i="16"/>
  <c r="DI100" i="16"/>
  <c r="DJ100" i="16"/>
  <c r="DK100" i="16"/>
  <c r="DL100" i="16"/>
  <c r="DM100" i="16"/>
  <c r="DN100" i="16"/>
  <c r="DO100" i="16"/>
  <c r="DP100" i="16"/>
  <c r="DQ100" i="16"/>
  <c r="DR100" i="16"/>
  <c r="DS100" i="16"/>
  <c r="DT100" i="16"/>
  <c r="DU100" i="16"/>
  <c r="DV100" i="16"/>
  <c r="DW100" i="16"/>
  <c r="DX100" i="16"/>
  <c r="DY100" i="16"/>
  <c r="DZ100" i="16"/>
  <c r="EA100" i="16"/>
  <c r="EB100" i="16"/>
  <c r="EC100" i="16"/>
  <c r="ED100" i="16"/>
  <c r="EE100" i="16"/>
  <c r="EF100" i="16"/>
  <c r="EG100" i="16"/>
  <c r="EH100" i="16"/>
  <c r="EI100" i="16"/>
  <c r="EJ100" i="16"/>
  <c r="EK100" i="16"/>
  <c r="EL100" i="16"/>
  <c r="EM100" i="16"/>
  <c r="EN100" i="16"/>
  <c r="EO100" i="16"/>
  <c r="EP100" i="16"/>
  <c r="EQ100" i="16"/>
  <c r="ER100" i="16"/>
  <c r="ES100" i="16"/>
  <c r="ET100" i="16"/>
  <c r="EU100" i="16"/>
  <c r="EV100" i="16"/>
  <c r="EW100" i="16"/>
  <c r="EX100" i="16"/>
  <c r="EY100" i="16"/>
  <c r="EZ100" i="16"/>
  <c r="FA100" i="16"/>
  <c r="FB100" i="16"/>
  <c r="FC100" i="16"/>
  <c r="FD100" i="16"/>
  <c r="FE100" i="16"/>
  <c r="FF100" i="16"/>
  <c r="FG100" i="16"/>
  <c r="FH100" i="16"/>
  <c r="FI100" i="16"/>
  <c r="FJ100" i="16"/>
  <c r="FK100" i="16"/>
  <c r="FL100" i="16"/>
  <c r="FM100" i="16"/>
  <c r="FN100" i="16"/>
  <c r="FO100" i="16"/>
  <c r="FP100" i="16"/>
  <c r="FQ100" i="16"/>
  <c r="FR100" i="16"/>
  <c r="FS100" i="16"/>
  <c r="FT100" i="16"/>
  <c r="FU100" i="16"/>
  <c r="FV100" i="16"/>
  <c r="FW100" i="16"/>
  <c r="FX100" i="16"/>
  <c r="FY100" i="16"/>
  <c r="FZ100" i="16"/>
  <c r="GA100" i="16"/>
  <c r="GB100" i="16"/>
  <c r="GC100" i="16"/>
  <c r="GD100" i="16"/>
  <c r="F101" i="16"/>
  <c r="AL101" i="16"/>
  <c r="AP101" i="16"/>
  <c r="AT101" i="16"/>
  <c r="AX101" i="16"/>
  <c r="BB101" i="16"/>
  <c r="BF101" i="16"/>
  <c r="BJ101" i="16"/>
  <c r="BN101" i="16"/>
  <c r="BR101" i="16"/>
  <c r="BV101" i="16"/>
  <c r="BZ101" i="16"/>
  <c r="CD101" i="16"/>
  <c r="CH101" i="16"/>
  <c r="CL101" i="16"/>
  <c r="CP101" i="16"/>
  <c r="CT101" i="16"/>
  <c r="CX101" i="16"/>
  <c r="DB101" i="16"/>
  <c r="DF101" i="16"/>
  <c r="DJ101" i="16"/>
  <c r="DN101" i="16"/>
  <c r="DR101" i="16"/>
  <c r="DV101" i="16"/>
  <c r="DZ101" i="16"/>
  <c r="ED101" i="16"/>
  <c r="EH101" i="16"/>
  <c r="EL101" i="16"/>
  <c r="EP101" i="16"/>
  <c r="ET101" i="16"/>
  <c r="EX101" i="16"/>
  <c r="FB101" i="16"/>
  <c r="FF101" i="16"/>
  <c r="FJ101" i="16"/>
  <c r="FL101" i="16"/>
  <c r="F102" i="16"/>
  <c r="AL102" i="16"/>
  <c r="AM102" i="16"/>
  <c r="AN102" i="16"/>
  <c r="AO102" i="16"/>
  <c r="AP102" i="16"/>
  <c r="AQ102" i="16"/>
  <c r="AR102" i="16"/>
  <c r="AS102" i="16"/>
  <c r="AT102" i="16"/>
  <c r="AU102" i="16"/>
  <c r="AV102" i="16"/>
  <c r="AW102" i="16"/>
  <c r="AX102" i="16"/>
  <c r="AY102" i="16"/>
  <c r="AZ102" i="16"/>
  <c r="BA102" i="16"/>
  <c r="BB102" i="16"/>
  <c r="BC102" i="16"/>
  <c r="BD102" i="16"/>
  <c r="BE102" i="16"/>
  <c r="BF102" i="16"/>
  <c r="BG102" i="16"/>
  <c r="BH102" i="16"/>
  <c r="BI102" i="16"/>
  <c r="BJ102" i="16"/>
  <c r="BK102" i="16"/>
  <c r="BL102" i="16"/>
  <c r="BM102" i="16"/>
  <c r="BN102" i="16"/>
  <c r="BO102" i="16"/>
  <c r="BP102" i="16"/>
  <c r="BQ102" i="16"/>
  <c r="BR102" i="16"/>
  <c r="BS102" i="16"/>
  <c r="BT102" i="16"/>
  <c r="BU102" i="16"/>
  <c r="BV102" i="16"/>
  <c r="BW102" i="16"/>
  <c r="BX102" i="16"/>
  <c r="BY102" i="16"/>
  <c r="BZ102" i="16"/>
  <c r="CA102" i="16"/>
  <c r="CB102" i="16"/>
  <c r="CC102" i="16"/>
  <c r="CD102" i="16"/>
  <c r="CE102" i="16"/>
  <c r="CF102" i="16"/>
  <c r="CG102" i="16"/>
  <c r="CH102" i="16"/>
  <c r="CI102" i="16"/>
  <c r="CJ102" i="16"/>
  <c r="CK102" i="16"/>
  <c r="CL102" i="16"/>
  <c r="CM102" i="16"/>
  <c r="CN102" i="16"/>
  <c r="CO102" i="16"/>
  <c r="CP102" i="16"/>
  <c r="CQ102" i="16"/>
  <c r="CR102" i="16"/>
  <c r="CS102" i="16"/>
  <c r="CT102" i="16"/>
  <c r="CU102" i="16"/>
  <c r="CV102" i="16"/>
  <c r="CW102" i="16"/>
  <c r="CX102" i="16"/>
  <c r="CY102" i="16"/>
  <c r="CZ102" i="16"/>
  <c r="DA102" i="16"/>
  <c r="DB102" i="16"/>
  <c r="DC102" i="16"/>
  <c r="DD102" i="16"/>
  <c r="DE102" i="16"/>
  <c r="DF102" i="16"/>
  <c r="DG102" i="16"/>
  <c r="DH102" i="16"/>
  <c r="DI102" i="16"/>
  <c r="DJ102" i="16"/>
  <c r="DK102" i="16"/>
  <c r="DL102" i="16"/>
  <c r="DM102" i="16"/>
  <c r="DN102" i="16"/>
  <c r="DO102" i="16"/>
  <c r="DP102" i="16"/>
  <c r="DQ102" i="16"/>
  <c r="DR102" i="16"/>
  <c r="DS102" i="16"/>
  <c r="DT102" i="16"/>
  <c r="DU102" i="16"/>
  <c r="DV102" i="16"/>
  <c r="DW102" i="16"/>
  <c r="DX102" i="16"/>
  <c r="DY102" i="16"/>
  <c r="DZ102" i="16"/>
  <c r="EA102" i="16"/>
  <c r="EB102" i="16"/>
  <c r="EC102" i="16"/>
  <c r="ED102" i="16"/>
  <c r="EE102" i="16"/>
  <c r="EF102" i="16"/>
  <c r="EG102" i="16"/>
  <c r="EH102" i="16"/>
  <c r="EI102" i="16"/>
  <c r="EJ102" i="16"/>
  <c r="EK102" i="16"/>
  <c r="EL102" i="16"/>
  <c r="EM102" i="16"/>
  <c r="EN102" i="16"/>
  <c r="EO102" i="16"/>
  <c r="EP102" i="16"/>
  <c r="EQ102" i="16"/>
  <c r="ER102" i="16"/>
  <c r="ES102" i="16"/>
  <c r="ET102" i="16"/>
  <c r="EU102" i="16"/>
  <c r="EV102" i="16"/>
  <c r="EW102" i="16"/>
  <c r="EX102" i="16"/>
  <c r="EY102" i="16"/>
  <c r="EZ102" i="16"/>
  <c r="FA102" i="16"/>
  <c r="FB102" i="16"/>
  <c r="FC102" i="16"/>
  <c r="FD102" i="16"/>
  <c r="FE102" i="16"/>
  <c r="FF102" i="16"/>
  <c r="FG102" i="16"/>
  <c r="FH102" i="16"/>
  <c r="FI102" i="16"/>
  <c r="FJ102" i="16"/>
  <c r="FK102" i="16"/>
  <c r="FL102" i="16"/>
  <c r="FM102" i="16"/>
  <c r="FN102" i="16"/>
  <c r="FO102" i="16"/>
  <c r="FP102" i="16"/>
  <c r="FQ102" i="16"/>
  <c r="FR102" i="16"/>
  <c r="FS102" i="16"/>
  <c r="FT102" i="16"/>
  <c r="FU102" i="16"/>
  <c r="FV102" i="16"/>
  <c r="FW102" i="16"/>
  <c r="FX102" i="16"/>
  <c r="FY102" i="16"/>
  <c r="FZ102" i="16"/>
  <c r="GA102" i="16"/>
  <c r="GB102" i="16"/>
  <c r="GC102" i="16"/>
  <c r="GD102" i="16"/>
  <c r="AL103" i="16"/>
  <c r="AM103" i="16"/>
  <c r="AN103" i="16"/>
  <c r="AO103" i="16"/>
  <c r="AP103" i="16"/>
  <c r="AQ103" i="16"/>
  <c r="AR103" i="16"/>
  <c r="AS103" i="16"/>
  <c r="AT103" i="16"/>
  <c r="AU103" i="16"/>
  <c r="AV103" i="16"/>
  <c r="AW103" i="16"/>
  <c r="AX103" i="16"/>
  <c r="AY103" i="16"/>
  <c r="AZ103" i="16"/>
  <c r="BA103" i="16"/>
  <c r="BB103" i="16"/>
  <c r="BC103" i="16"/>
  <c r="BD103" i="16"/>
  <c r="BE103" i="16"/>
  <c r="BF103" i="16"/>
  <c r="BG103" i="16"/>
  <c r="BH103" i="16"/>
  <c r="BI103" i="16"/>
  <c r="BJ103" i="16"/>
  <c r="BK103" i="16"/>
  <c r="BL103" i="16"/>
  <c r="BM103" i="16"/>
  <c r="BN103" i="16"/>
  <c r="BO103" i="16"/>
  <c r="BP103" i="16"/>
  <c r="BQ103" i="16"/>
  <c r="BR103" i="16"/>
  <c r="BS103" i="16"/>
  <c r="BT103" i="16"/>
  <c r="BU103" i="16"/>
  <c r="BV103" i="16"/>
  <c r="BW103" i="16"/>
  <c r="BX103" i="16"/>
  <c r="BY103" i="16"/>
  <c r="BZ103" i="16"/>
  <c r="CA103" i="16"/>
  <c r="CB103" i="16"/>
  <c r="CC103" i="16"/>
  <c r="CD103" i="16"/>
  <c r="CE103" i="16"/>
  <c r="CF103" i="16"/>
  <c r="CG103" i="16"/>
  <c r="CH103" i="16"/>
  <c r="CI103" i="16"/>
  <c r="CJ103" i="16"/>
  <c r="CK103" i="16"/>
  <c r="CL103" i="16"/>
  <c r="CM103" i="16"/>
  <c r="CN103" i="16"/>
  <c r="CO103" i="16"/>
  <c r="CP103" i="16"/>
  <c r="CQ103" i="16"/>
  <c r="CR103" i="16"/>
  <c r="CS103" i="16"/>
  <c r="CT103" i="16"/>
  <c r="CU103" i="16"/>
  <c r="CV103" i="16"/>
  <c r="CW103" i="16"/>
  <c r="CX103" i="16"/>
  <c r="CY103" i="16"/>
  <c r="CZ103" i="16"/>
  <c r="DA103" i="16"/>
  <c r="DB103" i="16"/>
  <c r="DC103" i="16"/>
  <c r="DD103" i="16"/>
  <c r="DE103" i="16"/>
  <c r="DF103" i="16"/>
  <c r="DG103" i="16"/>
  <c r="DH103" i="16"/>
  <c r="DI103" i="16"/>
  <c r="DJ103" i="16"/>
  <c r="DK103" i="16"/>
  <c r="DL103" i="16"/>
  <c r="DM103" i="16"/>
  <c r="DN103" i="16"/>
  <c r="DO103" i="16"/>
  <c r="DP103" i="16"/>
  <c r="DQ103" i="16"/>
  <c r="DR103" i="16"/>
  <c r="DS103" i="16"/>
  <c r="DT103" i="16"/>
  <c r="DU103" i="16"/>
  <c r="DV103" i="16"/>
  <c r="DW103" i="16"/>
  <c r="DX103" i="16"/>
  <c r="DY103" i="16"/>
  <c r="DZ103" i="16"/>
  <c r="EA103" i="16"/>
  <c r="EB103" i="16"/>
  <c r="EC103" i="16"/>
  <c r="ED103" i="16"/>
  <c r="EE103" i="16"/>
  <c r="EF103" i="16"/>
  <c r="EG103" i="16"/>
  <c r="EH103" i="16"/>
  <c r="EI103" i="16"/>
  <c r="EJ103" i="16"/>
  <c r="EK103" i="16"/>
  <c r="EL103" i="16"/>
  <c r="EM103" i="16"/>
  <c r="EN103" i="16"/>
  <c r="EO103" i="16"/>
  <c r="EP103" i="16"/>
  <c r="EQ103" i="16"/>
  <c r="ER103" i="16"/>
  <c r="ES103" i="16"/>
  <c r="ET103" i="16"/>
  <c r="EU103" i="16"/>
  <c r="EV103" i="16"/>
  <c r="EW103" i="16"/>
  <c r="EX103" i="16"/>
  <c r="EY103" i="16"/>
  <c r="EZ103" i="16"/>
  <c r="FA103" i="16"/>
  <c r="FB103" i="16"/>
  <c r="FC103" i="16"/>
  <c r="FD103" i="16"/>
  <c r="FE103" i="16"/>
  <c r="FF103" i="16"/>
  <c r="FG103" i="16"/>
  <c r="FH103" i="16"/>
  <c r="FI103" i="16"/>
  <c r="FJ103" i="16"/>
  <c r="FK103" i="16"/>
  <c r="FL103" i="16"/>
  <c r="FM103" i="16"/>
  <c r="FN103" i="16"/>
  <c r="FO103" i="16"/>
  <c r="FP103" i="16"/>
  <c r="FQ103" i="16"/>
  <c r="FR103" i="16"/>
  <c r="FS103" i="16"/>
  <c r="FT103" i="16"/>
  <c r="FU103" i="16"/>
  <c r="FV103" i="16"/>
  <c r="FW103" i="16"/>
  <c r="FX103" i="16"/>
  <c r="FY103" i="16"/>
  <c r="FZ103" i="16"/>
  <c r="GA103" i="16"/>
  <c r="GB103" i="16"/>
  <c r="GC103" i="16"/>
  <c r="GD103" i="16"/>
  <c r="F104" i="16"/>
  <c r="AL104" i="16"/>
  <c r="AM104" i="16"/>
  <c r="AN104" i="16"/>
  <c r="AO104" i="16"/>
  <c r="AP104" i="16"/>
  <c r="AQ104" i="16"/>
  <c r="AR104" i="16"/>
  <c r="AS104" i="16"/>
  <c r="AT104" i="16"/>
  <c r="AU104" i="16"/>
  <c r="AV104" i="16"/>
  <c r="AW104" i="16"/>
  <c r="AX104" i="16"/>
  <c r="AY104" i="16"/>
  <c r="AZ104" i="16"/>
  <c r="BA104" i="16"/>
  <c r="BB104" i="16"/>
  <c r="BC104" i="16"/>
  <c r="BD104" i="16"/>
  <c r="BE104" i="16"/>
  <c r="BF104" i="16"/>
  <c r="BG104" i="16"/>
  <c r="BH104" i="16"/>
  <c r="BI104" i="16"/>
  <c r="BJ104" i="16"/>
  <c r="BK104" i="16"/>
  <c r="BL104" i="16"/>
  <c r="BM104" i="16"/>
  <c r="BN104" i="16"/>
  <c r="BO104" i="16"/>
  <c r="BP104" i="16"/>
  <c r="BQ104" i="16"/>
  <c r="BR104" i="16"/>
  <c r="BS104" i="16"/>
  <c r="BT104" i="16"/>
  <c r="BU104" i="16"/>
  <c r="BV104" i="16"/>
  <c r="BW104" i="16"/>
  <c r="BX104" i="16"/>
  <c r="BY104" i="16"/>
  <c r="BZ104" i="16"/>
  <c r="CA104" i="16"/>
  <c r="CB104" i="16"/>
  <c r="CC104" i="16"/>
  <c r="CD104" i="16"/>
  <c r="CE104" i="16"/>
  <c r="CF104" i="16"/>
  <c r="CG104" i="16"/>
  <c r="CH104" i="16"/>
  <c r="CI104" i="16"/>
  <c r="CJ104" i="16"/>
  <c r="CK104" i="16"/>
  <c r="CL104" i="16"/>
  <c r="CM104" i="16"/>
  <c r="CN104" i="16"/>
  <c r="CO104" i="16"/>
  <c r="CP104" i="16"/>
  <c r="CQ104" i="16"/>
  <c r="CR104" i="16"/>
  <c r="CS104" i="16"/>
  <c r="CT104" i="16"/>
  <c r="CU104" i="16"/>
  <c r="CV104" i="16"/>
  <c r="CW104" i="16"/>
  <c r="CX104" i="16"/>
  <c r="CY104" i="16"/>
  <c r="CZ104" i="16"/>
  <c r="DA104" i="16"/>
  <c r="DB104" i="16"/>
  <c r="DC104" i="16"/>
  <c r="DD104" i="16"/>
  <c r="DE104" i="16"/>
  <c r="DF104" i="16"/>
  <c r="DG104" i="16"/>
  <c r="DH104" i="16"/>
  <c r="DI104" i="16"/>
  <c r="DJ104" i="16"/>
  <c r="DK104" i="16"/>
  <c r="DL104" i="16"/>
  <c r="DM104" i="16"/>
  <c r="DN104" i="16"/>
  <c r="DO104" i="16"/>
  <c r="DP104" i="16"/>
  <c r="DQ104" i="16"/>
  <c r="DR104" i="16"/>
  <c r="DS104" i="16"/>
  <c r="DT104" i="16"/>
  <c r="DU104" i="16"/>
  <c r="DV104" i="16"/>
  <c r="DW104" i="16"/>
  <c r="DX104" i="16"/>
  <c r="DY104" i="16"/>
  <c r="DZ104" i="16"/>
  <c r="EA104" i="16"/>
  <c r="EB104" i="16"/>
  <c r="EC104" i="16"/>
  <c r="ED104" i="16"/>
  <c r="EE104" i="16"/>
  <c r="EF104" i="16"/>
  <c r="EG104" i="16"/>
  <c r="EH104" i="16"/>
  <c r="EI104" i="16"/>
  <c r="EJ104" i="16"/>
  <c r="EK104" i="16"/>
  <c r="EL104" i="16"/>
  <c r="EM104" i="16"/>
  <c r="EN104" i="16"/>
  <c r="EO104" i="16"/>
  <c r="EP104" i="16"/>
  <c r="EQ104" i="16"/>
  <c r="ER104" i="16"/>
  <c r="ES104" i="16"/>
  <c r="ET104" i="16"/>
  <c r="EU104" i="16"/>
  <c r="EV104" i="16"/>
  <c r="EW104" i="16"/>
  <c r="EX104" i="16"/>
  <c r="EY104" i="16"/>
  <c r="EZ104" i="16"/>
  <c r="FA104" i="16"/>
  <c r="FB104" i="16"/>
  <c r="FC104" i="16"/>
  <c r="FD104" i="16"/>
  <c r="FE104" i="16"/>
  <c r="FF104" i="16"/>
  <c r="FG104" i="16"/>
  <c r="FH104" i="16"/>
  <c r="FI104" i="16"/>
  <c r="FJ104" i="16"/>
  <c r="FK104" i="16"/>
  <c r="FL104" i="16"/>
  <c r="FM104" i="16"/>
  <c r="FN104" i="16"/>
  <c r="FO104" i="16"/>
  <c r="FP104" i="16"/>
  <c r="FQ104" i="16"/>
  <c r="FR104" i="16"/>
  <c r="FS104" i="16"/>
  <c r="FT104" i="16"/>
  <c r="FU104" i="16"/>
  <c r="FV104" i="16"/>
  <c r="FW104" i="16"/>
  <c r="FX104" i="16"/>
  <c r="FY104" i="16"/>
  <c r="FZ104" i="16"/>
  <c r="GA104" i="16"/>
  <c r="GB104" i="16"/>
  <c r="GC104" i="16"/>
  <c r="GD104" i="16"/>
  <c r="F105" i="16"/>
  <c r="AL105" i="16"/>
  <c r="AM105" i="16"/>
  <c r="AN105" i="16"/>
  <c r="AO105" i="16"/>
  <c r="AP105" i="16"/>
  <c r="AQ105" i="16"/>
  <c r="AR105" i="16"/>
  <c r="AS105" i="16"/>
  <c r="AT105" i="16"/>
  <c r="AU105" i="16"/>
  <c r="AV105" i="16"/>
  <c r="AW105" i="16"/>
  <c r="AX105" i="16"/>
  <c r="AY105" i="16"/>
  <c r="AZ105" i="16"/>
  <c r="BA105" i="16"/>
  <c r="BB105" i="16"/>
  <c r="BC105" i="16"/>
  <c r="BD105" i="16"/>
  <c r="BE105" i="16"/>
  <c r="BF105" i="16"/>
  <c r="BG105" i="16"/>
  <c r="BH105" i="16"/>
  <c r="BI105" i="16"/>
  <c r="BJ105" i="16"/>
  <c r="BK105" i="16"/>
  <c r="BL105" i="16"/>
  <c r="BM105" i="16"/>
  <c r="BN105" i="16"/>
  <c r="BO105" i="16"/>
  <c r="BP105" i="16"/>
  <c r="BQ105" i="16"/>
  <c r="BR105" i="16"/>
  <c r="BS105" i="16"/>
  <c r="BT105" i="16"/>
  <c r="BU105" i="16"/>
  <c r="BV105" i="16"/>
  <c r="BW105" i="16"/>
  <c r="BX105" i="16"/>
  <c r="BY105" i="16"/>
  <c r="BZ105" i="16"/>
  <c r="CA105" i="16"/>
  <c r="CB105" i="16"/>
  <c r="CC105" i="16"/>
  <c r="CD105" i="16"/>
  <c r="CE105" i="16"/>
  <c r="CF105" i="16"/>
  <c r="CG105" i="16"/>
  <c r="CH105" i="16"/>
  <c r="CI105" i="16"/>
  <c r="CJ105" i="16"/>
  <c r="CK105" i="16"/>
  <c r="CL105" i="16"/>
  <c r="CM105" i="16"/>
  <c r="CN105" i="16"/>
  <c r="CO105" i="16"/>
  <c r="CP105" i="16"/>
  <c r="CQ105" i="16"/>
  <c r="CR105" i="16"/>
  <c r="CS105" i="16"/>
  <c r="CT105" i="16"/>
  <c r="CU105" i="16"/>
  <c r="CV105" i="16"/>
  <c r="CW105" i="16"/>
  <c r="CX105" i="16"/>
  <c r="CY105" i="16"/>
  <c r="CZ105" i="16"/>
  <c r="DA105" i="16"/>
  <c r="DB105" i="16"/>
  <c r="DC105" i="16"/>
  <c r="DD105" i="16"/>
  <c r="DE105" i="16"/>
  <c r="DF105" i="16"/>
  <c r="DG105" i="16"/>
  <c r="DH105" i="16"/>
  <c r="DI105" i="16"/>
  <c r="DJ105" i="16"/>
  <c r="DK105" i="16"/>
  <c r="DL105" i="16"/>
  <c r="DM105" i="16"/>
  <c r="DN105" i="16"/>
  <c r="DO105" i="16"/>
  <c r="DP105" i="16"/>
  <c r="DQ105" i="16"/>
  <c r="DR105" i="16"/>
  <c r="DS105" i="16"/>
  <c r="DT105" i="16"/>
  <c r="DU105" i="16"/>
  <c r="DV105" i="16"/>
  <c r="DW105" i="16"/>
  <c r="DX105" i="16"/>
  <c r="DY105" i="16"/>
  <c r="DZ105" i="16"/>
  <c r="EA105" i="16"/>
  <c r="EB105" i="16"/>
  <c r="EC105" i="16"/>
  <c r="ED105" i="16"/>
  <c r="EE105" i="16"/>
  <c r="EF105" i="16"/>
  <c r="EG105" i="16"/>
  <c r="EH105" i="16"/>
  <c r="EI105" i="16"/>
  <c r="EJ105" i="16"/>
  <c r="EK105" i="16"/>
  <c r="EL105" i="16"/>
  <c r="EM105" i="16"/>
  <c r="EN105" i="16"/>
  <c r="EO105" i="16"/>
  <c r="EP105" i="16"/>
  <c r="EQ105" i="16"/>
  <c r="ER105" i="16"/>
  <c r="ES105" i="16"/>
  <c r="ET105" i="16"/>
  <c r="EU105" i="16"/>
  <c r="EV105" i="16"/>
  <c r="EW105" i="16"/>
  <c r="EX105" i="16"/>
  <c r="EY105" i="16"/>
  <c r="EZ105" i="16"/>
  <c r="FA105" i="16"/>
  <c r="FB105" i="16"/>
  <c r="FC105" i="16"/>
  <c r="FD105" i="16"/>
  <c r="FE105" i="16"/>
  <c r="FF105" i="16"/>
  <c r="FG105" i="16"/>
  <c r="FH105" i="16"/>
  <c r="FI105" i="16"/>
  <c r="FJ105" i="16"/>
  <c r="FK105" i="16"/>
  <c r="FL105" i="16"/>
  <c r="FM105" i="16"/>
  <c r="FN105" i="16"/>
  <c r="FO105" i="16"/>
  <c r="FP105" i="16"/>
  <c r="FQ105" i="16"/>
  <c r="FR105" i="16"/>
  <c r="FS105" i="16"/>
  <c r="FT105" i="16"/>
  <c r="FU105" i="16"/>
  <c r="FV105" i="16"/>
  <c r="FW105" i="16"/>
  <c r="FX105" i="16"/>
  <c r="FY105" i="16"/>
  <c r="FZ105" i="16"/>
  <c r="GA105" i="16"/>
  <c r="GB105" i="16"/>
  <c r="GC105" i="16"/>
  <c r="GD105" i="16"/>
  <c r="H109" i="16"/>
  <c r="AA109" i="16"/>
  <c r="AB109" i="16"/>
  <c r="AC109" i="16"/>
  <c r="AD109" i="16"/>
  <c r="AE109" i="16"/>
  <c r="AF109" i="16"/>
  <c r="AG109" i="16"/>
  <c r="AH109" i="16"/>
  <c r="AI109" i="16"/>
  <c r="AJ109" i="16"/>
  <c r="AK109" i="16"/>
  <c r="AL109" i="16"/>
  <c r="H111" i="16"/>
  <c r="AA111" i="16"/>
  <c r="AB111" i="16"/>
  <c r="AC111" i="16"/>
  <c r="AD111" i="16"/>
  <c r="AE111" i="16"/>
  <c r="AF111" i="16"/>
  <c r="AG111" i="16"/>
  <c r="AH111" i="16"/>
  <c r="AI111" i="16"/>
  <c r="AJ111" i="16"/>
  <c r="AK111" i="16"/>
  <c r="AL111" i="16"/>
  <c r="AJ112" i="16"/>
  <c r="AK112" i="16"/>
  <c r="AL112" i="16"/>
  <c r="AM112" i="16"/>
  <c r="AN112" i="16"/>
  <c r="AO112" i="16"/>
  <c r="AP112" i="16"/>
  <c r="AQ112" i="16"/>
  <c r="AR112" i="16"/>
  <c r="AS112" i="16"/>
  <c r="AT112" i="16"/>
  <c r="AU112" i="16"/>
  <c r="AV112" i="16"/>
  <c r="AW112" i="16"/>
  <c r="AX112" i="16"/>
  <c r="AY112" i="16"/>
  <c r="AZ112" i="16"/>
  <c r="BA112" i="16"/>
  <c r="BB112" i="16"/>
  <c r="BC112" i="16"/>
  <c r="BD112" i="16"/>
  <c r="BE112" i="16"/>
  <c r="BF112" i="16"/>
  <c r="BG112" i="16"/>
  <c r="BH112" i="16"/>
  <c r="BI112" i="16"/>
  <c r="BJ112" i="16"/>
  <c r="BK112" i="16"/>
  <c r="BL112" i="16"/>
  <c r="AI113" i="16"/>
  <c r="AJ113" i="16"/>
  <c r="AK113" i="16"/>
  <c r="AL113" i="16"/>
  <c r="AM113" i="16"/>
  <c r="AN113" i="16"/>
  <c r="AO113" i="16"/>
  <c r="AP113" i="16"/>
  <c r="AQ113" i="16"/>
  <c r="AR113" i="16"/>
  <c r="AS113" i="16"/>
  <c r="AT113" i="16"/>
  <c r="AU113" i="16"/>
  <c r="AV113" i="16"/>
  <c r="AW113" i="16"/>
  <c r="AX113" i="16"/>
  <c r="AY113" i="16"/>
  <c r="AZ113" i="16"/>
  <c r="BA113" i="16"/>
  <c r="BB113" i="16"/>
  <c r="BC113" i="16"/>
  <c r="BD113" i="16"/>
  <c r="BE113" i="16"/>
  <c r="BF113" i="16"/>
  <c r="BG113" i="16"/>
  <c r="BH113" i="16"/>
  <c r="BI113" i="16"/>
  <c r="BJ113" i="16"/>
  <c r="BK113" i="16"/>
  <c r="BL113" i="16"/>
  <c r="AH114" i="16"/>
  <c r="AI114" i="16"/>
  <c r="AJ114" i="16"/>
  <c r="AK114" i="16"/>
  <c r="AL114" i="16"/>
  <c r="AM114" i="16"/>
  <c r="AN114" i="16"/>
  <c r="AO114" i="16"/>
  <c r="AP114" i="16"/>
  <c r="AQ114" i="16"/>
  <c r="AR114" i="16"/>
  <c r="AS114" i="16"/>
  <c r="AT114" i="16"/>
  <c r="AU114" i="16"/>
  <c r="AV114" i="16"/>
  <c r="AW114" i="16"/>
  <c r="AX114" i="16"/>
  <c r="AY114" i="16"/>
  <c r="AZ114" i="16"/>
  <c r="BA114" i="16"/>
  <c r="BB114" i="16"/>
  <c r="BC114" i="16"/>
  <c r="BD114" i="16"/>
  <c r="BE114" i="16"/>
  <c r="BF114" i="16"/>
  <c r="BG114" i="16"/>
  <c r="BH114" i="16"/>
  <c r="BI114" i="16"/>
  <c r="BJ114" i="16"/>
  <c r="BK114" i="16"/>
  <c r="BL114" i="16"/>
  <c r="AG115" i="16"/>
  <c r="AH115" i="16"/>
  <c r="AI115" i="16"/>
  <c r="AJ115" i="16"/>
  <c r="AK115" i="16"/>
  <c r="AL115" i="16"/>
  <c r="AM115" i="16"/>
  <c r="AN115" i="16"/>
  <c r="AO115" i="16"/>
  <c r="AP115" i="16"/>
  <c r="AQ115" i="16"/>
  <c r="AR115" i="16"/>
  <c r="AS115" i="16"/>
  <c r="AT115" i="16"/>
  <c r="AU115" i="16"/>
  <c r="AV115" i="16"/>
  <c r="AW115" i="16"/>
  <c r="AX115" i="16"/>
  <c r="AY115" i="16"/>
  <c r="AZ115" i="16"/>
  <c r="BA115" i="16"/>
  <c r="BB115" i="16"/>
  <c r="BC115" i="16"/>
  <c r="BD115" i="16"/>
  <c r="BE115" i="16"/>
  <c r="BF115" i="16"/>
  <c r="BG115" i="16"/>
  <c r="BH115" i="16"/>
  <c r="BI115" i="16"/>
  <c r="BJ115" i="16"/>
  <c r="BK115" i="16"/>
  <c r="BL115" i="16"/>
  <c r="AF116" i="16"/>
  <c r="AG116" i="16"/>
  <c r="AH116" i="16"/>
  <c r="AI116" i="16"/>
  <c r="AJ116" i="16"/>
  <c r="AK116" i="16"/>
  <c r="AL116" i="16"/>
  <c r="AM116" i="16"/>
  <c r="AN116" i="16"/>
  <c r="AO116" i="16"/>
  <c r="AP116" i="16"/>
  <c r="AQ116" i="16"/>
  <c r="AR116" i="16"/>
  <c r="AS116" i="16"/>
  <c r="AT116" i="16"/>
  <c r="AU116" i="16"/>
  <c r="AV116" i="16"/>
  <c r="AW116" i="16"/>
  <c r="AX116" i="16"/>
  <c r="AY116" i="16"/>
  <c r="AZ116" i="16"/>
  <c r="BA116" i="16"/>
  <c r="BB116" i="16"/>
  <c r="BC116" i="16"/>
  <c r="BD116" i="16"/>
  <c r="BE116" i="16"/>
  <c r="BF116" i="16"/>
  <c r="BG116" i="16"/>
  <c r="BH116" i="16"/>
  <c r="BI116" i="16"/>
  <c r="BJ116" i="16"/>
  <c r="BK116" i="16"/>
  <c r="BL116" i="16"/>
  <c r="AB117" i="16"/>
  <c r="AC117" i="16"/>
  <c r="AD117" i="16"/>
  <c r="AE117" i="16"/>
  <c r="AF117" i="16"/>
  <c r="AG117" i="16"/>
  <c r="AH117" i="16"/>
  <c r="AI117" i="16"/>
  <c r="AJ117" i="16"/>
  <c r="AK117" i="16"/>
  <c r="AL117" i="16"/>
  <c r="AM117" i="16"/>
  <c r="AN117" i="16"/>
  <c r="AO117" i="16"/>
  <c r="AP117" i="16"/>
  <c r="AQ117" i="16"/>
  <c r="AR117" i="16"/>
  <c r="AS117" i="16"/>
  <c r="AT117" i="16"/>
  <c r="AU117" i="16"/>
  <c r="AV117" i="16"/>
  <c r="AW117" i="16"/>
  <c r="AX117" i="16"/>
  <c r="AY117" i="16"/>
  <c r="AZ117" i="16"/>
  <c r="BA117" i="16"/>
  <c r="BB117" i="16"/>
  <c r="BC117" i="16"/>
  <c r="BD117" i="16"/>
  <c r="BE117" i="16"/>
  <c r="BF117" i="16"/>
  <c r="BG117" i="16"/>
  <c r="BH117" i="16"/>
  <c r="BI117" i="16"/>
  <c r="BJ117" i="16"/>
  <c r="BK117" i="16"/>
  <c r="BL117" i="16"/>
  <c r="AB118" i="16"/>
  <c r="AC118" i="16"/>
  <c r="AD118" i="16"/>
  <c r="AE118" i="16"/>
  <c r="AF118" i="16"/>
  <c r="AG118" i="16"/>
  <c r="AH118" i="16"/>
  <c r="AI118" i="16"/>
  <c r="AJ118" i="16"/>
  <c r="AK118" i="16"/>
  <c r="AL118" i="16"/>
  <c r="AM118" i="16"/>
  <c r="AN118" i="16"/>
  <c r="AO118" i="16"/>
  <c r="AP118" i="16"/>
  <c r="AQ118" i="16"/>
  <c r="AR118" i="16"/>
  <c r="AS118" i="16"/>
  <c r="AT118" i="16"/>
  <c r="AU118" i="16"/>
  <c r="AV118" i="16"/>
  <c r="AW118" i="16"/>
  <c r="AX118" i="16"/>
  <c r="AY118" i="16"/>
  <c r="AZ118" i="16"/>
  <c r="BA118" i="16"/>
  <c r="BB118" i="16"/>
  <c r="BC118" i="16"/>
  <c r="BD118" i="16"/>
  <c r="BE118" i="16"/>
  <c r="BF118" i="16"/>
  <c r="BG118" i="16"/>
  <c r="BH118" i="16"/>
  <c r="BI118" i="16"/>
  <c r="BJ118" i="16"/>
  <c r="BK118" i="16"/>
  <c r="BL118" i="16"/>
  <c r="AB119" i="16"/>
  <c r="AC119" i="16"/>
  <c r="AD119" i="16"/>
  <c r="AE119" i="16"/>
  <c r="AF119" i="16"/>
  <c r="AG119" i="16"/>
  <c r="AH119" i="16"/>
  <c r="AI119" i="16"/>
  <c r="AJ119" i="16"/>
  <c r="AK119" i="16"/>
  <c r="AL119" i="16"/>
  <c r="AM119" i="16"/>
  <c r="AN119" i="16"/>
  <c r="AO119" i="16"/>
  <c r="AP119" i="16"/>
  <c r="AQ119" i="16"/>
  <c r="AR119" i="16"/>
  <c r="AS119" i="16"/>
  <c r="AT119" i="16"/>
  <c r="AU119" i="16"/>
  <c r="AV119" i="16"/>
  <c r="AW119" i="16"/>
  <c r="AX119" i="16"/>
  <c r="AY119" i="16"/>
  <c r="AZ119" i="16"/>
  <c r="BA119" i="16"/>
  <c r="BB119" i="16"/>
  <c r="BC119" i="16"/>
  <c r="BD119" i="16"/>
  <c r="BE119" i="16"/>
  <c r="BF119" i="16"/>
  <c r="BG119" i="16"/>
  <c r="BH119" i="16"/>
  <c r="BI119" i="16"/>
  <c r="BJ119" i="16"/>
  <c r="BK119" i="16"/>
  <c r="BL119" i="16"/>
  <c r="AB120" i="16"/>
  <c r="AC120" i="16"/>
  <c r="AD120" i="16"/>
  <c r="AE120" i="16"/>
  <c r="AF120" i="16"/>
  <c r="AG120" i="16"/>
  <c r="AH120" i="16"/>
  <c r="AI120" i="16"/>
  <c r="AJ120" i="16"/>
  <c r="AK120" i="16"/>
  <c r="AL120" i="16"/>
  <c r="AM120" i="16"/>
  <c r="AN120" i="16"/>
  <c r="AO120" i="16"/>
  <c r="AP120" i="16"/>
  <c r="AQ120" i="16"/>
  <c r="AR120" i="16"/>
  <c r="AS120" i="16"/>
  <c r="AT120" i="16"/>
  <c r="AU120" i="16"/>
  <c r="AV120" i="16"/>
  <c r="AW120" i="16"/>
  <c r="AX120" i="16"/>
  <c r="AY120" i="16"/>
  <c r="AZ120" i="16"/>
  <c r="BA120" i="16"/>
  <c r="BB120" i="16"/>
  <c r="BC120" i="16"/>
  <c r="BD120" i="16"/>
  <c r="BE120" i="16"/>
  <c r="BF120" i="16"/>
  <c r="BG120" i="16"/>
  <c r="BH120" i="16"/>
  <c r="BI120" i="16"/>
  <c r="BJ120" i="16"/>
  <c r="BK120" i="16"/>
  <c r="BL120" i="16"/>
  <c r="AB121" i="16"/>
  <c r="AC121" i="16"/>
  <c r="AD121" i="16"/>
  <c r="AE121" i="16"/>
  <c r="AF121" i="16"/>
  <c r="AG121" i="16"/>
  <c r="AH121" i="16"/>
  <c r="AI121" i="16"/>
  <c r="AJ121" i="16"/>
  <c r="AK121" i="16"/>
  <c r="AL121" i="16"/>
  <c r="AM121" i="16"/>
  <c r="AN121" i="16"/>
  <c r="AO121" i="16"/>
  <c r="AP121" i="16"/>
  <c r="AQ121" i="16"/>
  <c r="AR121" i="16"/>
  <c r="AS121" i="16"/>
  <c r="AT121" i="16"/>
  <c r="AU121" i="16"/>
  <c r="AV121" i="16"/>
  <c r="AW121" i="16"/>
  <c r="AX121" i="16"/>
  <c r="AY121" i="16"/>
  <c r="AZ121" i="16"/>
  <c r="BA121" i="16"/>
  <c r="BB121" i="16"/>
  <c r="BC121" i="16"/>
  <c r="BD121" i="16"/>
  <c r="BE121" i="16"/>
  <c r="BF121" i="16"/>
  <c r="BG121" i="16"/>
  <c r="BH121" i="16"/>
  <c r="BI121" i="16"/>
  <c r="BJ121" i="16"/>
  <c r="BK121" i="16"/>
  <c r="BL121" i="16"/>
  <c r="AB122" i="16"/>
  <c r="AC122" i="16"/>
  <c r="AD122" i="16"/>
  <c r="AE122" i="16"/>
  <c r="AF122" i="16"/>
  <c r="AG122" i="16"/>
  <c r="AH122" i="16"/>
  <c r="AI122" i="16"/>
  <c r="AJ122" i="16"/>
  <c r="AK122" i="16"/>
  <c r="AL122" i="16"/>
  <c r="AM122" i="16"/>
  <c r="AN122" i="16"/>
  <c r="AO122" i="16"/>
  <c r="AP122" i="16"/>
  <c r="AQ122" i="16"/>
  <c r="AR122" i="16"/>
  <c r="AS122" i="16"/>
  <c r="AT122" i="16"/>
  <c r="AU122" i="16"/>
  <c r="AV122" i="16"/>
  <c r="AW122" i="16"/>
  <c r="AX122" i="16"/>
  <c r="AY122" i="16"/>
  <c r="AZ122" i="16"/>
  <c r="BA122" i="16"/>
  <c r="BB122" i="16"/>
  <c r="BC122" i="16"/>
  <c r="BD122" i="16"/>
  <c r="BE122" i="16"/>
  <c r="BF122" i="16"/>
  <c r="BG122" i="16"/>
  <c r="BH122" i="16"/>
  <c r="BI122" i="16"/>
  <c r="BJ122" i="16"/>
  <c r="BK122" i="16"/>
  <c r="BL122" i="16"/>
  <c r="AB123" i="16"/>
  <c r="AC123" i="16"/>
  <c r="AD123" i="16"/>
  <c r="AE123" i="16"/>
  <c r="AF123" i="16"/>
  <c r="AG123" i="16"/>
  <c r="AH123" i="16"/>
  <c r="AI123" i="16"/>
  <c r="AJ123" i="16"/>
  <c r="AK123" i="16"/>
  <c r="AL123" i="16"/>
  <c r="AM123" i="16"/>
  <c r="AN123" i="16"/>
  <c r="AO123" i="16"/>
  <c r="AP123" i="16"/>
  <c r="AQ123" i="16"/>
  <c r="AR123" i="16"/>
  <c r="AS123" i="16"/>
  <c r="AT123" i="16"/>
  <c r="AU123" i="16"/>
  <c r="AV123" i="16"/>
  <c r="AW123" i="16"/>
  <c r="AX123" i="16"/>
  <c r="AY123" i="16"/>
  <c r="AZ123" i="16"/>
  <c r="BA123" i="16"/>
  <c r="BB123" i="16"/>
  <c r="BC123" i="16"/>
  <c r="BD123" i="16"/>
  <c r="BE123" i="16"/>
  <c r="BF123" i="16"/>
  <c r="BG123" i="16"/>
  <c r="BH123" i="16"/>
  <c r="BI123" i="16"/>
  <c r="BJ123" i="16"/>
  <c r="BK123" i="16"/>
  <c r="BL123" i="16"/>
  <c r="AB124" i="16"/>
  <c r="AC124" i="16"/>
  <c r="AD124" i="16"/>
  <c r="AE124" i="16"/>
  <c r="AF124" i="16"/>
  <c r="AG124" i="16"/>
  <c r="AH124" i="16"/>
  <c r="AI124" i="16"/>
  <c r="AJ124" i="16"/>
  <c r="AK124" i="16"/>
  <c r="AL124" i="16"/>
  <c r="AM124" i="16"/>
  <c r="AN124" i="16"/>
  <c r="AO124" i="16"/>
  <c r="AP124" i="16"/>
  <c r="AQ124" i="16"/>
  <c r="AR124" i="16"/>
  <c r="AS124" i="16"/>
  <c r="AT124" i="16"/>
  <c r="AU124" i="16"/>
  <c r="AV124" i="16"/>
  <c r="AW124" i="16"/>
  <c r="AX124" i="16"/>
  <c r="AY124" i="16"/>
  <c r="AZ124" i="16"/>
  <c r="BA124" i="16"/>
  <c r="BB124" i="16"/>
  <c r="BC124" i="16"/>
  <c r="BD124" i="16"/>
  <c r="BE124" i="16"/>
  <c r="BF124" i="16"/>
  <c r="BG124" i="16"/>
  <c r="BH124" i="16"/>
  <c r="BI124" i="16"/>
  <c r="BJ124" i="16"/>
  <c r="BK124" i="16"/>
  <c r="BL124" i="16"/>
  <c r="AB125" i="16"/>
  <c r="AC125" i="16"/>
  <c r="AD125" i="16"/>
  <c r="AE125" i="16"/>
  <c r="AF125" i="16"/>
  <c r="AG125" i="16"/>
  <c r="AH125" i="16"/>
  <c r="AI125" i="16"/>
  <c r="AJ125" i="16"/>
  <c r="AK125" i="16"/>
  <c r="AL125" i="16"/>
  <c r="AM125" i="16"/>
  <c r="AN125" i="16"/>
  <c r="AO125" i="16"/>
  <c r="AP125" i="16"/>
  <c r="AQ125" i="16"/>
  <c r="AR125" i="16"/>
  <c r="AS125" i="16"/>
  <c r="AT125" i="16"/>
  <c r="AU125" i="16"/>
  <c r="AV125" i="16"/>
  <c r="AW125" i="16"/>
  <c r="AX125" i="16"/>
  <c r="AY125" i="16"/>
  <c r="AZ125" i="16"/>
  <c r="BA125" i="16"/>
  <c r="BB125" i="16"/>
  <c r="BC125" i="16"/>
  <c r="BD125" i="16"/>
  <c r="BE125" i="16"/>
  <c r="BF125" i="16"/>
  <c r="BG125" i="16"/>
  <c r="BH125" i="16"/>
  <c r="BI125" i="16"/>
  <c r="BJ125" i="16"/>
  <c r="BK125" i="16"/>
  <c r="BL125" i="16"/>
  <c r="AB126" i="16"/>
  <c r="AC126" i="16"/>
  <c r="AD126" i="16"/>
  <c r="AE126" i="16"/>
  <c r="AF126" i="16"/>
  <c r="AG126" i="16"/>
  <c r="AH126" i="16"/>
  <c r="AI126" i="16"/>
  <c r="AJ126" i="16"/>
  <c r="AK126" i="16"/>
  <c r="AL126" i="16"/>
  <c r="AM126" i="16"/>
  <c r="AN126" i="16"/>
  <c r="AO126" i="16"/>
  <c r="AP126" i="16"/>
  <c r="AQ126" i="16"/>
  <c r="AR126" i="16"/>
  <c r="AS126" i="16"/>
  <c r="AT126" i="16"/>
  <c r="AU126" i="16"/>
  <c r="AV126" i="16"/>
  <c r="AW126" i="16"/>
  <c r="AX126" i="16"/>
  <c r="AY126" i="16"/>
  <c r="AZ126" i="16"/>
  <c r="BA126" i="16"/>
  <c r="BB126" i="16"/>
  <c r="BC126" i="16"/>
  <c r="BD126" i="16"/>
  <c r="BE126" i="16"/>
  <c r="BF126" i="16"/>
  <c r="BG126" i="16"/>
  <c r="BH126" i="16"/>
  <c r="BI126" i="16"/>
  <c r="BJ126" i="16"/>
  <c r="BK126" i="16"/>
  <c r="BL126" i="16"/>
  <c r="AB127" i="16"/>
  <c r="AC127" i="16"/>
  <c r="AD127" i="16"/>
  <c r="AE127" i="16"/>
  <c r="AF127" i="16"/>
  <c r="AG127" i="16"/>
  <c r="AH127" i="16"/>
  <c r="AI127" i="16"/>
  <c r="AJ127" i="16"/>
  <c r="AK127" i="16"/>
  <c r="AL127" i="16"/>
  <c r="AM127" i="16"/>
  <c r="AN127" i="16"/>
  <c r="AO127" i="16"/>
  <c r="AP127" i="16"/>
  <c r="AQ127" i="16"/>
  <c r="AR127" i="16"/>
  <c r="AS127" i="16"/>
  <c r="AT127" i="16"/>
  <c r="AU127" i="16"/>
  <c r="AV127" i="16"/>
  <c r="AW127" i="16"/>
  <c r="AX127" i="16"/>
  <c r="AY127" i="16"/>
  <c r="AZ127" i="16"/>
  <c r="BA127" i="16"/>
  <c r="BB127" i="16"/>
  <c r="BC127" i="16"/>
  <c r="BD127" i="16"/>
  <c r="BE127" i="16"/>
  <c r="BF127" i="16"/>
  <c r="BG127" i="16"/>
  <c r="BH127" i="16"/>
  <c r="BI127" i="16"/>
  <c r="BJ127" i="16"/>
  <c r="BK127" i="16"/>
  <c r="BL127" i="16"/>
  <c r="H128" i="16"/>
  <c r="AA128" i="16"/>
  <c r="AB128" i="16"/>
  <c r="AC128" i="16"/>
  <c r="AD128" i="16"/>
  <c r="AE128" i="16"/>
  <c r="AF128" i="16"/>
  <c r="AG128" i="16"/>
  <c r="AH128" i="16"/>
  <c r="AI128" i="16"/>
  <c r="AJ128" i="16"/>
  <c r="AK128" i="16"/>
  <c r="AL128" i="16"/>
  <c r="H129" i="16"/>
  <c r="AA129" i="16"/>
  <c r="AB129" i="16"/>
  <c r="AC129" i="16"/>
  <c r="AD129" i="16"/>
  <c r="AE129" i="16"/>
  <c r="AF129" i="16"/>
  <c r="AG129" i="16"/>
  <c r="AH129" i="16"/>
  <c r="AI129" i="16"/>
  <c r="AJ129" i="16"/>
  <c r="AK129" i="16"/>
  <c r="AL129" i="16"/>
  <c r="AM129" i="16"/>
  <c r="AN129" i="16"/>
  <c r="AO129" i="16"/>
  <c r="AP129" i="16"/>
  <c r="AQ129" i="16"/>
  <c r="AR129" i="16"/>
  <c r="AS129" i="16"/>
  <c r="AT129" i="16"/>
  <c r="AU129" i="16"/>
  <c r="AV129" i="16"/>
  <c r="AW129" i="16"/>
  <c r="AX129" i="16"/>
  <c r="AY129" i="16"/>
  <c r="AZ129" i="16"/>
  <c r="BA129" i="16"/>
  <c r="BB129" i="16"/>
  <c r="BC129" i="16"/>
  <c r="BD129" i="16"/>
  <c r="BE129" i="16"/>
  <c r="BF129" i="16"/>
  <c r="BG129" i="16"/>
  <c r="BH129" i="16"/>
  <c r="BI129" i="16"/>
  <c r="BJ129" i="16"/>
  <c r="BK129" i="16"/>
  <c r="BL129" i="16"/>
  <c r="H130" i="16"/>
  <c r="AA130" i="16"/>
  <c r="AB130" i="16"/>
  <c r="AC130" i="16"/>
  <c r="AD130" i="16"/>
  <c r="AE130" i="16"/>
  <c r="AF130" i="16"/>
  <c r="AG130" i="16"/>
  <c r="AH130" i="16"/>
  <c r="AI130" i="16"/>
  <c r="AJ130" i="16"/>
  <c r="AK130" i="16"/>
  <c r="AL130" i="16"/>
  <c r="AM130" i="16"/>
  <c r="AN130" i="16"/>
  <c r="AO130" i="16"/>
  <c r="AP130" i="16"/>
  <c r="AQ130" i="16"/>
  <c r="AR130" i="16"/>
  <c r="AS130" i="16"/>
  <c r="AT130" i="16"/>
  <c r="AU130" i="16"/>
  <c r="AV130" i="16"/>
  <c r="AW130" i="16"/>
  <c r="AX130" i="16"/>
  <c r="AY130" i="16"/>
  <c r="AZ130" i="16"/>
  <c r="BA130" i="16"/>
  <c r="BB130" i="16"/>
  <c r="BC130" i="16"/>
  <c r="BD130" i="16"/>
  <c r="BE130" i="16"/>
  <c r="BF130" i="16"/>
  <c r="BG130" i="16"/>
  <c r="BH130" i="16"/>
  <c r="BI130" i="16"/>
  <c r="BJ130" i="16"/>
  <c r="BK130" i="16"/>
  <c r="BL130" i="16"/>
  <c r="H131" i="16"/>
  <c r="AA131" i="16"/>
  <c r="AB131" i="16"/>
  <c r="AC131" i="16"/>
  <c r="AD131" i="16"/>
  <c r="AE131" i="16"/>
  <c r="AF131" i="16"/>
  <c r="AG131" i="16"/>
  <c r="AH131" i="16"/>
  <c r="AI131" i="16"/>
  <c r="AJ131" i="16"/>
  <c r="AK131" i="16"/>
  <c r="AL131" i="16"/>
  <c r="AM131" i="16"/>
  <c r="AN131" i="16"/>
  <c r="AO131" i="16"/>
  <c r="AP131" i="16"/>
  <c r="AQ131" i="16"/>
  <c r="AR131" i="16"/>
  <c r="AS131" i="16"/>
  <c r="AT131" i="16"/>
  <c r="AU131" i="16"/>
  <c r="AV131" i="16"/>
  <c r="AW131" i="16"/>
  <c r="AX131" i="16"/>
  <c r="AY131" i="16"/>
  <c r="AZ131" i="16"/>
  <c r="BA131" i="16"/>
  <c r="BB131" i="16"/>
  <c r="BC131" i="16"/>
  <c r="BD131" i="16"/>
  <c r="BE131" i="16"/>
  <c r="BF131" i="16"/>
  <c r="BG131" i="16"/>
  <c r="BH131" i="16"/>
  <c r="BI131" i="16"/>
  <c r="BJ131" i="16"/>
  <c r="BK131" i="16"/>
  <c r="BL131" i="16"/>
  <c r="H132" i="16"/>
  <c r="AA132" i="16"/>
  <c r="AB132" i="16"/>
  <c r="AC132" i="16"/>
  <c r="AD132" i="16"/>
  <c r="AE132" i="16"/>
  <c r="AF132" i="16"/>
  <c r="AG132" i="16"/>
  <c r="AH132" i="16"/>
  <c r="AI132" i="16"/>
  <c r="AJ132" i="16"/>
  <c r="AK132" i="16"/>
  <c r="AL132" i="16"/>
  <c r="AM132" i="16"/>
  <c r="AN132" i="16"/>
  <c r="AO132" i="16"/>
  <c r="AP132" i="16"/>
  <c r="AQ132" i="16"/>
  <c r="AR132" i="16"/>
  <c r="AS132" i="16"/>
  <c r="AT132" i="16"/>
  <c r="AU132" i="16"/>
  <c r="AV132" i="16"/>
  <c r="AW132" i="16"/>
  <c r="AX132" i="16"/>
  <c r="AY132" i="16"/>
  <c r="AZ132" i="16"/>
  <c r="BA132" i="16"/>
  <c r="BB132" i="16"/>
  <c r="BC132" i="16"/>
  <c r="BD132" i="16"/>
  <c r="BE132" i="16"/>
  <c r="BF132" i="16"/>
  <c r="BG132" i="16"/>
  <c r="BH132" i="16"/>
  <c r="BI132" i="16"/>
  <c r="BJ132" i="16"/>
  <c r="BK132" i="16"/>
  <c r="BL132" i="16"/>
  <c r="H133" i="16"/>
  <c r="AA133" i="16"/>
  <c r="AB133" i="16"/>
  <c r="AC133" i="16"/>
  <c r="AD133" i="16"/>
  <c r="AE133" i="16"/>
  <c r="AF133" i="16"/>
  <c r="AG133" i="16"/>
  <c r="AH133" i="16"/>
  <c r="AI133" i="16"/>
  <c r="AJ133" i="16"/>
  <c r="AK133" i="16"/>
  <c r="AL133" i="16"/>
  <c r="AM133" i="16"/>
  <c r="AN133" i="16"/>
  <c r="AO133" i="16"/>
  <c r="AP133" i="16"/>
  <c r="AQ133" i="16"/>
  <c r="AR133" i="16"/>
  <c r="AS133" i="16"/>
  <c r="AT133" i="16"/>
  <c r="AU133" i="16"/>
  <c r="AV133" i="16"/>
  <c r="AW133" i="16"/>
  <c r="AX133" i="16"/>
  <c r="AY133" i="16"/>
  <c r="AZ133" i="16"/>
  <c r="BA133" i="16"/>
  <c r="BB133" i="16"/>
  <c r="BC133" i="16"/>
  <c r="BD133" i="16"/>
  <c r="BE133" i="16"/>
  <c r="BF133" i="16"/>
  <c r="BG133" i="16"/>
  <c r="BH133" i="16"/>
  <c r="BI133" i="16"/>
  <c r="BJ133" i="16"/>
  <c r="BK133" i="16"/>
  <c r="BL133" i="16"/>
  <c r="H134" i="16"/>
  <c r="AA134" i="16"/>
  <c r="AB134" i="16"/>
  <c r="AC134" i="16"/>
  <c r="AD134" i="16"/>
  <c r="AE134" i="16"/>
  <c r="AF134" i="16"/>
  <c r="AG134" i="16"/>
  <c r="AH134" i="16"/>
  <c r="AI134" i="16"/>
  <c r="AJ134" i="16"/>
  <c r="AK134" i="16"/>
  <c r="AL134" i="16"/>
  <c r="AM134" i="16"/>
  <c r="AN134" i="16"/>
  <c r="AO134" i="16"/>
  <c r="AP134" i="16"/>
  <c r="AQ134" i="16"/>
  <c r="AR134" i="16"/>
  <c r="AS134" i="16"/>
  <c r="AT134" i="16"/>
  <c r="AU134" i="16"/>
  <c r="AV134" i="16"/>
  <c r="AW134" i="16"/>
  <c r="AX134" i="16"/>
  <c r="AY134" i="16"/>
  <c r="AZ134" i="16"/>
  <c r="BA134" i="16"/>
  <c r="BB134" i="16"/>
  <c r="BC134" i="16"/>
  <c r="BD134" i="16"/>
  <c r="BE134" i="16"/>
  <c r="BF134" i="16"/>
  <c r="BG134" i="16"/>
  <c r="BH134" i="16"/>
  <c r="BI134" i="16"/>
  <c r="BJ134" i="16"/>
  <c r="BK134" i="16"/>
  <c r="BL134" i="16"/>
  <c r="H135" i="16"/>
  <c r="AA135" i="16"/>
  <c r="AB135" i="16"/>
  <c r="AC135" i="16"/>
  <c r="AD135" i="16"/>
  <c r="AE135" i="16"/>
  <c r="AF135" i="16"/>
  <c r="AG135" i="16"/>
  <c r="AH135" i="16"/>
  <c r="AI135" i="16"/>
  <c r="AJ135" i="16"/>
  <c r="AK135" i="16"/>
  <c r="AL135" i="16"/>
  <c r="AM135" i="16"/>
  <c r="AN135" i="16"/>
  <c r="AO135" i="16"/>
  <c r="AP135" i="16"/>
  <c r="AQ135" i="16"/>
  <c r="AR135" i="16"/>
  <c r="AS135" i="16"/>
  <c r="AT135" i="16"/>
  <c r="AU135" i="16"/>
  <c r="AV135" i="16"/>
  <c r="AW135" i="16"/>
  <c r="AX135" i="16"/>
  <c r="AY135" i="16"/>
  <c r="AZ135" i="16"/>
  <c r="BA135" i="16"/>
  <c r="BB135" i="16"/>
  <c r="BC135" i="16"/>
  <c r="BD135" i="16"/>
  <c r="BE135" i="16"/>
  <c r="BF135" i="16"/>
  <c r="BG135" i="16"/>
  <c r="BH135" i="16"/>
  <c r="BI135" i="16"/>
  <c r="BJ135" i="16"/>
  <c r="BK135" i="16"/>
  <c r="BL135" i="16"/>
  <c r="F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F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F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F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AD34" i="17"/>
  <c r="AE34" i="17"/>
  <c r="AF34" i="17"/>
  <c r="AG34" i="17"/>
  <c r="AH34" i="17"/>
  <c r="AI34" i="17"/>
  <c r="AJ34" i="17"/>
  <c r="AK34" i="17"/>
  <c r="AL34" i="17"/>
  <c r="AM34" i="17"/>
  <c r="AN34" i="17"/>
  <c r="AO34" i="17"/>
  <c r="AP34" i="17"/>
  <c r="AQ34" i="17"/>
  <c r="AR34" i="17"/>
  <c r="AS34" i="17"/>
  <c r="AT34" i="17"/>
  <c r="AU34" i="17"/>
  <c r="AV34" i="17"/>
  <c r="AW34" i="17"/>
  <c r="AX34" i="17"/>
  <c r="AY34" i="17"/>
  <c r="F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AD35" i="17"/>
  <c r="AE35" i="17"/>
  <c r="AF35" i="17"/>
  <c r="AG35" i="17"/>
  <c r="AH35" i="17"/>
  <c r="AI35" i="17"/>
  <c r="AJ35" i="17"/>
  <c r="AK35" i="17"/>
  <c r="AL35" i="17"/>
  <c r="AM35" i="17"/>
  <c r="AN35" i="17"/>
  <c r="AO35" i="17"/>
  <c r="AP35" i="17"/>
  <c r="AQ35" i="17"/>
  <c r="AR35" i="17"/>
  <c r="AS35" i="17"/>
  <c r="AT35" i="17"/>
  <c r="AU35" i="17"/>
  <c r="AV35" i="17"/>
  <c r="AW35" i="17"/>
  <c r="AX35" i="17"/>
  <c r="AY35" i="17"/>
  <c r="B213" i="20"/>
  <c r="D213" i="20"/>
  <c r="I213" i="20"/>
  <c r="J213" i="20"/>
  <c r="K213" i="20"/>
  <c r="L213" i="20"/>
  <c r="M213" i="20"/>
  <c r="N213" i="20"/>
  <c r="O213" i="20"/>
  <c r="P213" i="20"/>
  <c r="Q213" i="20"/>
  <c r="R213" i="20"/>
  <c r="S213" i="20"/>
  <c r="T213" i="20"/>
  <c r="B216" i="20"/>
  <c r="D216" i="20"/>
  <c r="I216" i="20"/>
  <c r="J216" i="20"/>
  <c r="K216" i="20"/>
  <c r="L216" i="20"/>
  <c r="M216" i="20"/>
  <c r="N216" i="20"/>
  <c r="O216" i="20"/>
  <c r="P216" i="20"/>
  <c r="Q216" i="20"/>
  <c r="R216" i="20"/>
  <c r="S216" i="20"/>
  <c r="T216" i="20"/>
  <c r="B217" i="20"/>
  <c r="D217" i="20"/>
  <c r="I217" i="20"/>
  <c r="J217" i="20"/>
  <c r="K217" i="20"/>
  <c r="L217" i="20"/>
  <c r="M217" i="20"/>
  <c r="N217" i="20"/>
  <c r="O217" i="20"/>
  <c r="P217" i="20"/>
  <c r="Q217" i="20"/>
  <c r="R217" i="20"/>
  <c r="S217" i="20"/>
  <c r="T217" i="20"/>
  <c r="U217" i="20"/>
  <c r="V217" i="20"/>
  <c r="W217" i="20"/>
  <c r="X217" i="20"/>
  <c r="Y217" i="20"/>
  <c r="Z217" i="20"/>
  <c r="AA217" i="20"/>
  <c r="AB217" i="20"/>
  <c r="AC217" i="20"/>
  <c r="AD217" i="20"/>
  <c r="AE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B218" i="20"/>
  <c r="D218" i="20"/>
  <c r="I218" i="20"/>
  <c r="J218" i="20"/>
  <c r="K218" i="20"/>
  <c r="L218" i="20"/>
  <c r="M218" i="20"/>
  <c r="N218" i="20"/>
  <c r="O218" i="20"/>
  <c r="P218" i="20"/>
  <c r="Q218" i="20"/>
  <c r="R218" i="20"/>
  <c r="S218" i="20"/>
  <c r="T218" i="20"/>
  <c r="U218" i="20"/>
  <c r="V218" i="20"/>
  <c r="W218" i="20"/>
  <c r="X218" i="20"/>
  <c r="Y218" i="20"/>
  <c r="Z218" i="20"/>
  <c r="AA218" i="20"/>
  <c r="AB218" i="20"/>
  <c r="AC218" i="20"/>
  <c r="AD218" i="20"/>
  <c r="AE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D222" i="20"/>
  <c r="I222" i="20"/>
  <c r="J222" i="20"/>
  <c r="K222" i="20"/>
  <c r="L222" i="20"/>
  <c r="M222" i="20"/>
  <c r="N222" i="20"/>
  <c r="O222" i="20"/>
  <c r="P222" i="20"/>
  <c r="Q222" i="20"/>
  <c r="R222" i="20"/>
  <c r="S222" i="20"/>
  <c r="T222" i="20"/>
  <c r="D223" i="20"/>
  <c r="I223" i="20"/>
  <c r="J223" i="20"/>
  <c r="K223" i="20"/>
  <c r="L223" i="20"/>
  <c r="M223" i="20"/>
  <c r="N223" i="20"/>
  <c r="O223" i="20"/>
  <c r="P223" i="20"/>
  <c r="Q223" i="20"/>
  <c r="R223" i="20"/>
  <c r="S223" i="20"/>
  <c r="T223" i="20"/>
  <c r="U223" i="20"/>
  <c r="V223" i="20"/>
  <c r="W223" i="20"/>
  <c r="X223" i="20"/>
  <c r="Y223" i="20"/>
  <c r="Z223" i="20"/>
  <c r="AA223" i="20"/>
  <c r="AB223" i="20"/>
  <c r="AC223" i="20"/>
  <c r="AD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D240" i="20"/>
  <c r="E240" i="20"/>
  <c r="F240" i="20"/>
  <c r="G240" i="20"/>
  <c r="D243" i="20"/>
  <c r="E243" i="20"/>
  <c r="F243" i="20"/>
  <c r="G243" i="20"/>
  <c r="D244" i="20"/>
  <c r="E244" i="20"/>
  <c r="F244" i="20"/>
  <c r="G244" i="20"/>
  <c r="H244" i="20"/>
  <c r="I244" i="20"/>
  <c r="J244" i="20"/>
  <c r="K244" i="20"/>
  <c r="L244" i="20"/>
  <c r="M244" i="20"/>
  <c r="N244" i="20"/>
  <c r="O244" i="20"/>
  <c r="P244" i="20"/>
  <c r="D245" i="20"/>
  <c r="E245" i="20"/>
  <c r="F245" i="20"/>
  <c r="G245" i="20"/>
  <c r="H245" i="20"/>
  <c r="I245" i="20"/>
  <c r="J245" i="20"/>
  <c r="K245" i="20"/>
  <c r="L245" i="20"/>
  <c r="M245" i="20"/>
  <c r="N245" i="20"/>
  <c r="O245" i="20"/>
  <c r="P245" i="20"/>
  <c r="D265" i="20"/>
  <c r="E265" i="20"/>
  <c r="F265" i="20"/>
  <c r="G265" i="20"/>
  <c r="H265" i="20"/>
  <c r="I265" i="20"/>
  <c r="J265" i="20"/>
  <c r="K265" i="20"/>
  <c r="L265" i="20"/>
  <c r="M265" i="20"/>
  <c r="N265" i="20"/>
  <c r="O265" i="20"/>
  <c r="P265" i="20"/>
  <c r="D266" i="20"/>
  <c r="E266" i="20"/>
  <c r="F266" i="20"/>
  <c r="G266" i="20"/>
  <c r="H266" i="20"/>
  <c r="I266" i="20"/>
  <c r="J266" i="20"/>
  <c r="K266" i="20"/>
  <c r="L266" i="20"/>
  <c r="M266" i="20"/>
  <c r="N266" i="20"/>
  <c r="O266" i="20"/>
  <c r="P266" i="20"/>
  <c r="B271" i="20"/>
  <c r="D271" i="20"/>
  <c r="E271" i="20"/>
  <c r="F271" i="20"/>
  <c r="G271" i="20"/>
  <c r="H271" i="20"/>
  <c r="I271" i="20"/>
  <c r="J271" i="20"/>
  <c r="K271" i="20"/>
  <c r="L271" i="20"/>
  <c r="M271" i="20"/>
  <c r="N271" i="20"/>
  <c r="O271" i="20"/>
  <c r="P271" i="20"/>
  <c r="Q271" i="20"/>
  <c r="R271" i="20"/>
  <c r="S271" i="20"/>
  <c r="T271" i="20"/>
  <c r="U271" i="20"/>
  <c r="V271" i="20"/>
  <c r="W271" i="20"/>
  <c r="X271" i="20"/>
  <c r="Y271" i="20"/>
  <c r="Z271" i="20"/>
  <c r="AA271" i="20"/>
  <c r="AB271" i="20"/>
  <c r="AC271" i="20"/>
  <c r="AD271" i="20"/>
  <c r="AE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B276" i="20"/>
  <c r="D276" i="20"/>
  <c r="E276" i="20"/>
  <c r="F276" i="20"/>
  <c r="G276" i="20"/>
  <c r="H276" i="20"/>
  <c r="I276" i="20"/>
  <c r="J276" i="20"/>
  <c r="K276" i="20"/>
  <c r="L276" i="20"/>
  <c r="M276" i="20"/>
  <c r="N276" i="20"/>
  <c r="O276" i="20"/>
  <c r="P276" i="20"/>
  <c r="Q276" i="20"/>
  <c r="R276" i="20"/>
  <c r="S276" i="20"/>
  <c r="T276" i="20"/>
  <c r="U276" i="20"/>
  <c r="V276" i="20"/>
  <c r="W276" i="20"/>
  <c r="X276" i="20"/>
  <c r="Y276" i="20"/>
  <c r="Z276" i="20"/>
  <c r="AA276" i="20"/>
  <c r="AB276" i="20"/>
  <c r="AC276" i="20"/>
  <c r="AD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B277" i="20"/>
  <c r="D277" i="20"/>
  <c r="E277" i="20"/>
  <c r="F277" i="20"/>
  <c r="G277" i="20"/>
  <c r="H277" i="20"/>
  <c r="I277" i="20"/>
  <c r="J277" i="20"/>
  <c r="K277" i="20"/>
  <c r="L277" i="20"/>
  <c r="M277" i="20"/>
  <c r="N277" i="20"/>
  <c r="O277" i="20"/>
  <c r="P277" i="20"/>
  <c r="Q277" i="20"/>
  <c r="R277" i="20"/>
  <c r="S277" i="20"/>
  <c r="T277" i="20"/>
  <c r="U277" i="20"/>
  <c r="V277" i="20"/>
  <c r="W277" i="20"/>
  <c r="X277" i="20"/>
  <c r="Y277" i="20"/>
  <c r="Z277" i="20"/>
  <c r="AA277" i="20"/>
  <c r="AB277" i="20"/>
  <c r="AC277" i="20"/>
  <c r="AD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B282" i="20"/>
  <c r="D282" i="20"/>
  <c r="I282" i="20"/>
  <c r="J282" i="20"/>
  <c r="K282" i="20"/>
  <c r="L282" i="20"/>
  <c r="M282" i="20"/>
  <c r="N282" i="20"/>
  <c r="O282" i="20"/>
  <c r="P282" i="20"/>
  <c r="Q282" i="20"/>
  <c r="R282" i="20"/>
  <c r="S282" i="20"/>
  <c r="T282" i="20"/>
  <c r="U282" i="20"/>
  <c r="V282" i="20"/>
  <c r="W282" i="20"/>
  <c r="X282" i="20"/>
  <c r="Y282" i="20"/>
  <c r="Z282" i="20"/>
  <c r="AA282" i="20"/>
  <c r="AB282" i="20"/>
  <c r="AC282" i="20"/>
  <c r="AD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B286" i="20"/>
  <c r="D286" i="20"/>
  <c r="E286" i="20"/>
  <c r="F286" i="20"/>
  <c r="G286" i="20"/>
  <c r="H286" i="20"/>
  <c r="I286" i="20"/>
  <c r="J286" i="20"/>
  <c r="K286" i="20"/>
  <c r="L286" i="20"/>
  <c r="M286" i="20"/>
  <c r="N286" i="20"/>
  <c r="O286" i="20"/>
  <c r="P286" i="20"/>
  <c r="Q286" i="20"/>
  <c r="R286" i="20"/>
  <c r="S286" i="20"/>
  <c r="T286" i="20"/>
  <c r="U286" i="20"/>
  <c r="V286" i="20"/>
  <c r="W286" i="20"/>
  <c r="X286" i="20"/>
  <c r="Y286" i="20"/>
  <c r="Z286" i="20"/>
  <c r="AA286" i="20"/>
  <c r="AB286" i="20"/>
  <c r="AC286" i="20"/>
  <c r="AD286" i="20"/>
  <c r="AE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B287" i="20"/>
  <c r="D287" i="20"/>
  <c r="E287" i="20"/>
  <c r="F287" i="20"/>
  <c r="G287" i="20"/>
  <c r="H287" i="20"/>
  <c r="I287" i="20"/>
  <c r="J287" i="20"/>
  <c r="K287" i="20"/>
  <c r="L287" i="20"/>
  <c r="M287" i="20"/>
  <c r="N287" i="20"/>
  <c r="O287" i="20"/>
  <c r="P287" i="20"/>
  <c r="Q287" i="20"/>
  <c r="R287" i="20"/>
  <c r="S287" i="20"/>
  <c r="T287" i="20"/>
  <c r="U287" i="20"/>
  <c r="V287" i="20"/>
  <c r="W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B288" i="20"/>
  <c r="D288" i="20"/>
  <c r="E288" i="20"/>
  <c r="F288" i="20"/>
  <c r="G288" i="20"/>
  <c r="H288" i="20"/>
  <c r="I288" i="20"/>
  <c r="J288" i="20"/>
  <c r="K288" i="20"/>
  <c r="L288" i="20"/>
  <c r="M288" i="20"/>
  <c r="N288" i="20"/>
  <c r="O288" i="20"/>
  <c r="P288" i="20"/>
  <c r="Q288" i="20"/>
  <c r="R288" i="20"/>
  <c r="S288" i="20"/>
  <c r="T288" i="20"/>
  <c r="U288" i="20"/>
  <c r="V288" i="20"/>
  <c r="W288" i="20"/>
  <c r="X288" i="20"/>
  <c r="Y288" i="20"/>
  <c r="Z288" i="20"/>
  <c r="AA288" i="20"/>
  <c r="AB288" i="20"/>
  <c r="AC288" i="20"/>
  <c r="AD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B290" i="20"/>
  <c r="D290" i="20"/>
  <c r="E290" i="20"/>
  <c r="F290" i="20"/>
  <c r="G290" i="20"/>
  <c r="H290" i="20"/>
  <c r="I290" i="20"/>
  <c r="J290" i="20"/>
  <c r="K290" i="20"/>
  <c r="L290" i="20"/>
  <c r="M290" i="20"/>
  <c r="N290" i="20"/>
  <c r="O290" i="20"/>
  <c r="P290" i="20"/>
  <c r="Q290" i="20"/>
  <c r="R290" i="20"/>
  <c r="S290" i="20"/>
  <c r="T290" i="20"/>
  <c r="U290" i="20"/>
  <c r="V290" i="20"/>
  <c r="W290" i="20"/>
  <c r="X290" i="20"/>
  <c r="Y290" i="20"/>
  <c r="Z290" i="20"/>
  <c r="AA290" i="20"/>
  <c r="AB290" i="20"/>
  <c r="AC290" i="20"/>
  <c r="AD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B291" i="20"/>
  <c r="D291" i="20"/>
  <c r="E291" i="20"/>
  <c r="F291" i="20"/>
  <c r="G291" i="20"/>
  <c r="H291" i="20"/>
  <c r="I291" i="20"/>
  <c r="J291" i="20"/>
  <c r="K291" i="20"/>
  <c r="L291" i="20"/>
  <c r="M291" i="20"/>
  <c r="N291" i="20"/>
  <c r="O291" i="20"/>
  <c r="P291" i="20"/>
  <c r="Q291" i="20"/>
  <c r="R291" i="20"/>
  <c r="S291" i="20"/>
  <c r="T291" i="20"/>
  <c r="U291" i="20"/>
  <c r="V291" i="20"/>
  <c r="W291" i="20"/>
  <c r="X291" i="20"/>
  <c r="Y291" i="20"/>
  <c r="Z291" i="20"/>
  <c r="AA291" i="20"/>
  <c r="AB291" i="20"/>
  <c r="AC291" i="20"/>
  <c r="AD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B292" i="20"/>
  <c r="E292" i="20"/>
  <c r="F292" i="20"/>
  <c r="G292" i="20"/>
  <c r="H292" i="20"/>
  <c r="I292" i="20"/>
  <c r="J292" i="20"/>
  <c r="K292" i="20"/>
  <c r="L292" i="20"/>
  <c r="M292" i="20"/>
  <c r="N292" i="20"/>
  <c r="O292" i="20"/>
  <c r="P292" i="20"/>
  <c r="Q292" i="20"/>
  <c r="R292" i="20"/>
  <c r="S292" i="20"/>
  <c r="T292" i="20"/>
  <c r="U292" i="20"/>
  <c r="V292" i="20"/>
  <c r="W292" i="20"/>
  <c r="X292" i="20"/>
  <c r="Y292" i="20"/>
  <c r="Z292" i="20"/>
  <c r="AA292" i="20"/>
  <c r="AB292" i="20"/>
  <c r="AC292" i="20"/>
  <c r="AD292" i="20"/>
  <c r="AE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B293" i="20"/>
  <c r="E293" i="20"/>
  <c r="F293" i="20"/>
  <c r="G293" i="20"/>
  <c r="H293" i="20"/>
  <c r="I293" i="20"/>
  <c r="J293" i="20"/>
  <c r="K293" i="20"/>
  <c r="L293" i="20"/>
  <c r="M293" i="20"/>
  <c r="N293" i="20"/>
  <c r="O293" i="20"/>
  <c r="P293" i="20"/>
  <c r="Q293" i="20"/>
  <c r="R293" i="20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E295" i="20"/>
  <c r="F295" i="20"/>
  <c r="G295" i="20"/>
  <c r="H295" i="20"/>
  <c r="I295" i="20"/>
  <c r="J295" i="20"/>
  <c r="K295" i="20"/>
  <c r="L295" i="20"/>
  <c r="M295" i="20"/>
  <c r="N295" i="20"/>
  <c r="O295" i="20"/>
  <c r="P295" i="20"/>
  <c r="Q295" i="20"/>
  <c r="R295" i="20"/>
  <c r="S295" i="20"/>
  <c r="T295" i="20"/>
  <c r="U295" i="20"/>
  <c r="V295" i="20"/>
  <c r="W295" i="20"/>
  <c r="X295" i="20"/>
  <c r="Y295" i="20"/>
  <c r="Z295" i="20"/>
  <c r="AA295" i="20"/>
  <c r="AB295" i="20"/>
  <c r="AC295" i="20"/>
  <c r="AD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E296" i="20"/>
  <c r="F296" i="20"/>
  <c r="G296" i="20"/>
  <c r="H296" i="20"/>
  <c r="I296" i="20"/>
  <c r="J296" i="20"/>
  <c r="K296" i="20"/>
  <c r="L296" i="20"/>
  <c r="M296" i="20"/>
  <c r="N296" i="20"/>
  <c r="O296" i="20"/>
  <c r="P296" i="20"/>
  <c r="Q296" i="20"/>
  <c r="R296" i="20"/>
  <c r="S296" i="20"/>
  <c r="T296" i="20"/>
  <c r="U296" i="20"/>
  <c r="V296" i="20"/>
  <c r="W296" i="20"/>
  <c r="X296" i="20"/>
  <c r="Y296" i="20"/>
  <c r="Z296" i="20"/>
  <c r="AA296" i="20"/>
  <c r="AB296" i="20"/>
  <c r="AC296" i="20"/>
  <c r="AD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E297" i="20"/>
  <c r="F297" i="20"/>
  <c r="G297" i="20"/>
  <c r="H297" i="20"/>
  <c r="I297" i="20"/>
  <c r="J297" i="20"/>
  <c r="K297" i="20"/>
  <c r="L297" i="20"/>
  <c r="M297" i="20"/>
  <c r="N297" i="20"/>
  <c r="O297" i="20"/>
  <c r="P297" i="20"/>
  <c r="Q297" i="20"/>
  <c r="R297" i="20"/>
  <c r="S297" i="20"/>
  <c r="T297" i="20"/>
  <c r="U297" i="20"/>
  <c r="V297" i="20"/>
  <c r="W297" i="20"/>
  <c r="X297" i="20"/>
  <c r="Y297" i="20"/>
  <c r="Z297" i="20"/>
  <c r="AA297" i="20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D300" i="20"/>
  <c r="E300" i="20"/>
  <c r="F300" i="20"/>
  <c r="G300" i="20"/>
  <c r="H300" i="20"/>
  <c r="I300" i="20"/>
  <c r="J300" i="20"/>
  <c r="K300" i="20"/>
  <c r="L300" i="20"/>
  <c r="M300" i="20"/>
  <c r="N300" i="20"/>
  <c r="O300" i="20"/>
  <c r="P300" i="20"/>
  <c r="D305" i="20"/>
  <c r="E305" i="20"/>
  <c r="F305" i="20"/>
  <c r="G305" i="20"/>
  <c r="H305" i="20"/>
  <c r="I305" i="20"/>
  <c r="J305" i="20"/>
  <c r="K305" i="20"/>
  <c r="L305" i="20"/>
  <c r="M305" i="20"/>
  <c r="N305" i="20"/>
  <c r="O305" i="20"/>
  <c r="P305" i="20"/>
  <c r="D306" i="20"/>
  <c r="E306" i="20"/>
  <c r="F306" i="20"/>
  <c r="G306" i="20"/>
  <c r="H306" i="20"/>
  <c r="I306" i="20"/>
  <c r="J306" i="20"/>
  <c r="K306" i="20"/>
  <c r="L306" i="20"/>
  <c r="M306" i="20"/>
  <c r="N306" i="20"/>
  <c r="O306" i="20"/>
  <c r="P306" i="20"/>
  <c r="D311" i="20"/>
  <c r="E311" i="20"/>
  <c r="F311" i="20"/>
  <c r="G311" i="20"/>
  <c r="H311" i="20"/>
  <c r="I311" i="20"/>
  <c r="J311" i="20"/>
  <c r="K311" i="20"/>
  <c r="L311" i="20"/>
  <c r="M311" i="20"/>
  <c r="N311" i="20"/>
  <c r="O311" i="20"/>
  <c r="P311" i="20"/>
  <c r="D315" i="20"/>
  <c r="E315" i="20"/>
  <c r="F315" i="20"/>
  <c r="G315" i="20"/>
  <c r="H315" i="20"/>
  <c r="I315" i="20"/>
  <c r="J315" i="20"/>
  <c r="K315" i="20"/>
  <c r="L315" i="20"/>
  <c r="M315" i="20"/>
  <c r="N315" i="20"/>
  <c r="O315" i="20"/>
  <c r="P315" i="20"/>
  <c r="D316" i="20"/>
  <c r="E316" i="20"/>
  <c r="F316" i="20"/>
  <c r="G316" i="20"/>
  <c r="H316" i="20"/>
  <c r="I316" i="20"/>
  <c r="J316" i="20"/>
  <c r="K316" i="20"/>
  <c r="L316" i="20"/>
  <c r="M316" i="20"/>
  <c r="N316" i="20"/>
  <c r="O316" i="20"/>
  <c r="P316" i="20"/>
  <c r="D317" i="20"/>
  <c r="E317" i="20"/>
  <c r="F317" i="20"/>
  <c r="G317" i="20"/>
  <c r="H317" i="20"/>
  <c r="I317" i="20"/>
  <c r="J317" i="20"/>
  <c r="K317" i="20"/>
  <c r="L317" i="20"/>
  <c r="M317" i="20"/>
  <c r="N317" i="20"/>
  <c r="O317" i="20"/>
  <c r="P317" i="20"/>
  <c r="D319" i="20"/>
  <c r="E319" i="20"/>
  <c r="F319" i="20"/>
  <c r="G319" i="20"/>
  <c r="H319" i="20"/>
  <c r="I319" i="20"/>
  <c r="J319" i="20"/>
  <c r="K319" i="20"/>
  <c r="L319" i="20"/>
  <c r="M319" i="20"/>
  <c r="N319" i="20"/>
  <c r="O319" i="20"/>
  <c r="P319" i="20"/>
  <c r="D320" i="20"/>
  <c r="E320" i="20"/>
  <c r="F320" i="20"/>
  <c r="G320" i="20"/>
  <c r="H320" i="20"/>
  <c r="I320" i="20"/>
  <c r="J320" i="20"/>
  <c r="K320" i="20"/>
  <c r="L320" i="20"/>
  <c r="M320" i="20"/>
  <c r="N320" i="20"/>
  <c r="O320" i="20"/>
  <c r="P320" i="20"/>
  <c r="D321" i="20"/>
  <c r="E321" i="20"/>
  <c r="F321" i="20"/>
  <c r="G321" i="20"/>
  <c r="H321" i="20"/>
  <c r="I321" i="20"/>
  <c r="J321" i="20"/>
  <c r="K321" i="20"/>
  <c r="L321" i="20"/>
  <c r="M321" i="20"/>
  <c r="N321" i="20"/>
  <c r="O321" i="20"/>
  <c r="P321" i="20"/>
  <c r="D322" i="20"/>
  <c r="E322" i="20"/>
  <c r="F322" i="20"/>
  <c r="G322" i="20"/>
  <c r="H322" i="20"/>
  <c r="I322" i="20"/>
  <c r="J322" i="20"/>
  <c r="K322" i="20"/>
  <c r="L322" i="20"/>
  <c r="M322" i="20"/>
  <c r="N322" i="20"/>
  <c r="O322" i="20"/>
  <c r="P322" i="20"/>
  <c r="D325" i="20"/>
  <c r="E325" i="20"/>
  <c r="F325" i="20"/>
  <c r="G325" i="20"/>
  <c r="H325" i="20"/>
  <c r="I325" i="20"/>
  <c r="J325" i="20"/>
  <c r="K325" i="20"/>
  <c r="L325" i="20"/>
  <c r="M325" i="20"/>
  <c r="N325" i="20"/>
  <c r="O325" i="20"/>
  <c r="P325" i="20"/>
  <c r="D330" i="20"/>
  <c r="E330" i="20"/>
  <c r="F330" i="20"/>
  <c r="G330" i="20"/>
  <c r="H330" i="20"/>
  <c r="I330" i="20"/>
  <c r="J330" i="20"/>
  <c r="K330" i="20"/>
  <c r="L330" i="20"/>
  <c r="M330" i="20"/>
  <c r="N330" i="20"/>
  <c r="O330" i="20"/>
  <c r="P330" i="20"/>
  <c r="D331" i="20"/>
  <c r="E331" i="20"/>
  <c r="F331" i="20"/>
  <c r="G331" i="20"/>
  <c r="H331" i="20"/>
  <c r="I331" i="20"/>
  <c r="J331" i="20"/>
  <c r="K331" i="20"/>
  <c r="L331" i="20"/>
  <c r="M331" i="20"/>
  <c r="N331" i="20"/>
  <c r="O331" i="20"/>
  <c r="P331" i="20"/>
  <c r="D336" i="20"/>
  <c r="E336" i="20"/>
  <c r="F336" i="20"/>
  <c r="G336" i="20"/>
  <c r="H336" i="20"/>
  <c r="I336" i="20"/>
  <c r="J336" i="20"/>
  <c r="K336" i="20"/>
  <c r="L336" i="20"/>
  <c r="M336" i="20"/>
  <c r="N336" i="20"/>
  <c r="O336" i="20"/>
  <c r="P336" i="20"/>
  <c r="D340" i="20"/>
  <c r="E340" i="20"/>
  <c r="F340" i="20"/>
  <c r="G340" i="20"/>
  <c r="H340" i="20"/>
  <c r="I340" i="20"/>
  <c r="J340" i="20"/>
  <c r="K340" i="20"/>
  <c r="L340" i="20"/>
  <c r="M340" i="20"/>
  <c r="N340" i="20"/>
  <c r="O340" i="20"/>
  <c r="P340" i="20"/>
  <c r="D341" i="20"/>
  <c r="E341" i="20"/>
  <c r="F341" i="20"/>
  <c r="G341" i="20"/>
  <c r="H341" i="20"/>
  <c r="I341" i="20"/>
  <c r="J341" i="20"/>
  <c r="K341" i="20"/>
  <c r="L341" i="20"/>
  <c r="M341" i="20"/>
  <c r="N341" i="20"/>
  <c r="O341" i="20"/>
  <c r="P341" i="20"/>
  <c r="D342" i="20"/>
  <c r="E342" i="20"/>
  <c r="F342" i="20"/>
  <c r="G342" i="20"/>
  <c r="H342" i="20"/>
  <c r="I342" i="20"/>
  <c r="J342" i="20"/>
  <c r="K342" i="20"/>
  <c r="L342" i="20"/>
  <c r="M342" i="20"/>
  <c r="N342" i="20"/>
  <c r="O342" i="20"/>
  <c r="P342" i="20"/>
  <c r="D344" i="20"/>
  <c r="E344" i="20"/>
  <c r="F344" i="20"/>
  <c r="G344" i="20"/>
  <c r="H344" i="20"/>
  <c r="I344" i="20"/>
  <c r="J344" i="20"/>
  <c r="K344" i="20"/>
  <c r="L344" i="20"/>
  <c r="M344" i="20"/>
  <c r="N344" i="20"/>
  <c r="O344" i="20"/>
  <c r="P344" i="20"/>
  <c r="D345" i="20"/>
  <c r="E345" i="20"/>
  <c r="F345" i="20"/>
  <c r="G345" i="20"/>
  <c r="H345" i="20"/>
  <c r="I345" i="20"/>
  <c r="J345" i="20"/>
  <c r="K345" i="20"/>
  <c r="L345" i="20"/>
  <c r="M345" i="20"/>
  <c r="N345" i="20"/>
  <c r="O345" i="20"/>
  <c r="P345" i="20"/>
  <c r="D346" i="20"/>
  <c r="E346" i="20"/>
  <c r="F346" i="20"/>
  <c r="G346" i="20"/>
  <c r="H346" i="20"/>
  <c r="I346" i="20"/>
  <c r="J346" i="20"/>
  <c r="K346" i="20"/>
  <c r="L346" i="20"/>
  <c r="M346" i="20"/>
  <c r="N346" i="20"/>
  <c r="O346" i="20"/>
  <c r="P346" i="20"/>
  <c r="D347" i="20"/>
  <c r="E347" i="20"/>
  <c r="F347" i="20"/>
  <c r="G347" i="20"/>
  <c r="H347" i="20"/>
  <c r="I347" i="20"/>
  <c r="J347" i="20"/>
  <c r="K347" i="20"/>
  <c r="L347" i="20"/>
  <c r="M347" i="20"/>
  <c r="N347" i="20"/>
  <c r="O347" i="20"/>
  <c r="P347" i="20"/>
  <c r="D352" i="20"/>
  <c r="E352" i="20"/>
  <c r="F352" i="20"/>
  <c r="G352" i="20"/>
  <c r="H352" i="20"/>
  <c r="I352" i="20"/>
  <c r="J352" i="20"/>
  <c r="K352" i="20"/>
  <c r="L352" i="20"/>
  <c r="M352" i="20"/>
  <c r="N352" i="20"/>
  <c r="O352" i="20"/>
  <c r="P352" i="20"/>
  <c r="Q352" i="20"/>
  <c r="R352" i="20"/>
  <c r="S352" i="20"/>
  <c r="T352" i="20"/>
  <c r="U352" i="20"/>
  <c r="V352" i="20"/>
  <c r="W352" i="20"/>
  <c r="X352" i="20"/>
  <c r="Y352" i="20"/>
  <c r="Z352" i="20"/>
  <c r="AA352" i="20"/>
  <c r="AB352" i="20"/>
  <c r="AC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D353" i="20"/>
  <c r="E353" i="20"/>
  <c r="F353" i="20"/>
  <c r="G353" i="20"/>
  <c r="H353" i="20"/>
  <c r="I353" i="20"/>
  <c r="J353" i="20"/>
  <c r="K353" i="20"/>
  <c r="L353" i="20"/>
  <c r="M353" i="20"/>
  <c r="N353" i="20"/>
  <c r="O353" i="20"/>
  <c r="P353" i="20"/>
  <c r="Q353" i="20"/>
  <c r="R353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D355" i="20"/>
  <c r="E355" i="20"/>
  <c r="F355" i="20"/>
  <c r="G355" i="20"/>
  <c r="H355" i="20"/>
  <c r="I355" i="20"/>
  <c r="J355" i="20"/>
  <c r="K355" i="20"/>
  <c r="L355" i="20"/>
  <c r="M355" i="20"/>
  <c r="N355" i="20"/>
  <c r="O355" i="20"/>
  <c r="P355" i="20"/>
  <c r="Q355" i="20"/>
  <c r="R355" i="20"/>
  <c r="S355" i="20"/>
  <c r="T355" i="20"/>
  <c r="U355" i="20"/>
  <c r="V355" i="20"/>
  <c r="W355" i="20"/>
  <c r="X355" i="20"/>
  <c r="Y355" i="20"/>
  <c r="Z355" i="20"/>
  <c r="AA355" i="20"/>
  <c r="AB355" i="20"/>
  <c r="AC355" i="20"/>
  <c r="AD355" i="20"/>
  <c r="AE355" i="20"/>
  <c r="AF355" i="20"/>
  <c r="AG355" i="20"/>
  <c r="AH355" i="20"/>
  <c r="AI355" i="20"/>
  <c r="AJ355" i="20"/>
  <c r="AK355" i="20"/>
  <c r="AL355" i="20"/>
  <c r="AM355" i="20"/>
  <c r="AN355" i="20"/>
  <c r="AO355" i="20"/>
  <c r="D360" i="20"/>
  <c r="E360" i="20"/>
  <c r="F360" i="20"/>
  <c r="G360" i="20"/>
  <c r="H360" i="20"/>
  <c r="I360" i="20"/>
  <c r="J360" i="20"/>
  <c r="K360" i="20"/>
  <c r="L360" i="20"/>
  <c r="M360" i="20"/>
  <c r="N360" i="20"/>
  <c r="O360" i="20"/>
  <c r="P360" i="20"/>
  <c r="Q360" i="20"/>
  <c r="R360" i="20"/>
  <c r="S360" i="20"/>
  <c r="T360" i="20"/>
  <c r="U360" i="20"/>
  <c r="V360" i="20"/>
  <c r="W360" i="20"/>
  <c r="X360" i="20"/>
  <c r="Y360" i="20"/>
  <c r="Z360" i="20"/>
  <c r="AA360" i="20"/>
  <c r="AB360" i="20"/>
  <c r="AC360" i="20"/>
  <c r="AD360" i="20"/>
  <c r="AE360" i="20"/>
  <c r="AF360" i="20"/>
  <c r="AG360" i="20"/>
  <c r="AH360" i="20"/>
  <c r="AI360" i="20"/>
  <c r="AJ360" i="20"/>
  <c r="AK360" i="20"/>
  <c r="AL360" i="20"/>
  <c r="AM360" i="20"/>
  <c r="AN360" i="20"/>
  <c r="AO360" i="20"/>
  <c r="H361" i="20"/>
  <c r="I361" i="20"/>
  <c r="J361" i="20"/>
  <c r="K361" i="20"/>
  <c r="L361" i="20"/>
  <c r="M361" i="20"/>
  <c r="N361" i="20"/>
  <c r="O361" i="20"/>
  <c r="P361" i="20"/>
  <c r="Q361" i="20"/>
  <c r="R361" i="20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H363" i="20"/>
  <c r="I363" i="20"/>
  <c r="J363" i="20"/>
  <c r="K363" i="20"/>
  <c r="L363" i="20"/>
  <c r="M363" i="20"/>
  <c r="N363" i="20"/>
  <c r="O363" i="20"/>
  <c r="P363" i="20"/>
  <c r="Q363" i="20"/>
  <c r="R363" i="20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D364" i="20"/>
  <c r="E364" i="20"/>
  <c r="F364" i="20"/>
  <c r="G364" i="20"/>
  <c r="H364" i="20"/>
  <c r="I364" i="20"/>
  <c r="J364" i="20"/>
  <c r="K364" i="20"/>
  <c r="L364" i="20"/>
  <c r="M364" i="20"/>
  <c r="N364" i="20"/>
  <c r="O364" i="20"/>
  <c r="P364" i="20"/>
  <c r="Q364" i="20"/>
  <c r="R364" i="20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D367" i="20"/>
  <c r="E367" i="20"/>
  <c r="F367" i="20"/>
  <c r="G367" i="20"/>
  <c r="H367" i="20"/>
  <c r="I367" i="20"/>
  <c r="J367" i="20"/>
  <c r="K367" i="20"/>
  <c r="L367" i="20"/>
  <c r="M367" i="20"/>
  <c r="N367" i="20"/>
  <c r="O367" i="20"/>
  <c r="P367" i="20"/>
  <c r="Q367" i="20"/>
  <c r="R367" i="20"/>
  <c r="S367" i="20"/>
  <c r="T367" i="20"/>
  <c r="U367" i="20"/>
  <c r="V367" i="20"/>
  <c r="W367" i="20"/>
  <c r="X367" i="20"/>
  <c r="Y367" i="20"/>
  <c r="Z367" i="20"/>
  <c r="AA367" i="20"/>
  <c r="AB367" i="20"/>
  <c r="AC367" i="20"/>
  <c r="AD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D368" i="20"/>
  <c r="E368" i="20"/>
  <c r="F368" i="20"/>
  <c r="G368" i="20"/>
  <c r="H368" i="20"/>
  <c r="I368" i="20"/>
  <c r="J368" i="20"/>
  <c r="K368" i="20"/>
  <c r="L368" i="20"/>
  <c r="M368" i="20"/>
  <c r="N368" i="20"/>
  <c r="O368" i="20"/>
  <c r="P368" i="20"/>
  <c r="Q368" i="20"/>
  <c r="R368" i="20"/>
  <c r="S368" i="20"/>
  <c r="T368" i="20"/>
  <c r="U368" i="20"/>
  <c r="V368" i="20"/>
  <c r="W368" i="20"/>
  <c r="X368" i="20"/>
  <c r="Y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D369" i="20"/>
  <c r="E369" i="20"/>
  <c r="F369" i="20"/>
  <c r="G369" i="20"/>
  <c r="H369" i="20"/>
  <c r="I369" i="20"/>
  <c r="J369" i="20"/>
  <c r="K369" i="20"/>
  <c r="L369" i="20"/>
  <c r="M369" i="20"/>
  <c r="N369" i="20"/>
  <c r="O369" i="20"/>
  <c r="P369" i="20"/>
  <c r="Q369" i="20"/>
  <c r="R369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D374" i="20"/>
  <c r="E374" i="20"/>
  <c r="F374" i="20"/>
  <c r="G374" i="20"/>
  <c r="H374" i="20"/>
  <c r="I374" i="20"/>
  <c r="J374" i="20"/>
  <c r="K374" i="20"/>
  <c r="L374" i="20"/>
  <c r="M374" i="20"/>
  <c r="N374" i="20"/>
  <c r="O374" i="20"/>
  <c r="P374" i="20"/>
  <c r="Q374" i="20"/>
  <c r="R374" i="20"/>
  <c r="S374" i="20"/>
  <c r="T374" i="20"/>
  <c r="U374" i="20"/>
  <c r="V374" i="20"/>
  <c r="W374" i="20"/>
  <c r="X374" i="20"/>
  <c r="Y374" i="20"/>
  <c r="Z374" i="20"/>
  <c r="AA374" i="20"/>
  <c r="AB374" i="20"/>
  <c r="AC374" i="20"/>
  <c r="AD374" i="20"/>
  <c r="AE374" i="20"/>
  <c r="AF374" i="20"/>
  <c r="AG374" i="20"/>
  <c r="AH374" i="20"/>
  <c r="AI374" i="20"/>
  <c r="AJ374" i="20"/>
  <c r="AK374" i="20"/>
  <c r="AL374" i="20"/>
  <c r="AM374" i="20"/>
  <c r="AN374" i="20"/>
  <c r="AO374" i="20"/>
  <c r="D375" i="20"/>
  <c r="E375" i="20"/>
  <c r="F375" i="20"/>
  <c r="G375" i="20"/>
  <c r="H375" i="20"/>
  <c r="I375" i="20"/>
  <c r="J375" i="20"/>
  <c r="K375" i="20"/>
  <c r="L375" i="20"/>
  <c r="M375" i="20"/>
  <c r="N375" i="20"/>
  <c r="O375" i="20"/>
  <c r="P375" i="20"/>
  <c r="Q375" i="20"/>
  <c r="R375" i="20"/>
  <c r="S375" i="20"/>
  <c r="T375" i="20"/>
  <c r="U375" i="20"/>
  <c r="V375" i="20"/>
  <c r="W375" i="20"/>
  <c r="X375" i="20"/>
  <c r="Y375" i="20"/>
  <c r="Z375" i="20"/>
  <c r="AA375" i="20"/>
  <c r="AB375" i="20"/>
  <c r="AC375" i="20"/>
  <c r="AD375" i="20"/>
  <c r="AE375" i="20"/>
  <c r="AF375" i="20"/>
  <c r="AG375" i="20"/>
  <c r="AH375" i="20"/>
  <c r="AI375" i="20"/>
  <c r="AJ375" i="20"/>
  <c r="AK375" i="20"/>
  <c r="AL375" i="20"/>
  <c r="AM375" i="20"/>
  <c r="AN375" i="20"/>
  <c r="AO375" i="20"/>
  <c r="D376" i="20"/>
  <c r="E376" i="20"/>
  <c r="F376" i="20"/>
  <c r="G376" i="20"/>
  <c r="H376" i="20"/>
  <c r="I376" i="20"/>
  <c r="J376" i="20"/>
  <c r="K376" i="20"/>
  <c r="L376" i="20"/>
  <c r="M376" i="20"/>
  <c r="N376" i="20"/>
  <c r="O376" i="20"/>
  <c r="P376" i="20"/>
  <c r="Q376" i="20"/>
  <c r="R376" i="20"/>
  <c r="S376" i="20"/>
  <c r="T376" i="20"/>
  <c r="U376" i="20"/>
  <c r="V376" i="20"/>
  <c r="W376" i="20"/>
  <c r="X376" i="20"/>
  <c r="Y376" i="20"/>
  <c r="Z376" i="20"/>
  <c r="AA376" i="20"/>
  <c r="AB376" i="20"/>
  <c r="AC376" i="20"/>
  <c r="AD376" i="20"/>
  <c r="AE376" i="20"/>
  <c r="AF376" i="20"/>
  <c r="AG376" i="20"/>
  <c r="AH376" i="20"/>
  <c r="AI376" i="20"/>
  <c r="AJ376" i="20"/>
  <c r="AK376" i="20"/>
  <c r="AL376" i="20"/>
  <c r="AM376" i="20"/>
  <c r="AN376" i="20"/>
  <c r="AO376" i="20"/>
  <c r="D377" i="20"/>
  <c r="E377" i="20"/>
  <c r="F377" i="20"/>
  <c r="G377" i="20"/>
  <c r="H377" i="20"/>
  <c r="I377" i="20"/>
  <c r="J377" i="20"/>
  <c r="K377" i="20"/>
  <c r="L377" i="20"/>
  <c r="M377" i="20"/>
  <c r="N377" i="20"/>
  <c r="O377" i="20"/>
  <c r="P377" i="20"/>
  <c r="Q377" i="20"/>
  <c r="R377" i="20"/>
  <c r="S377" i="20"/>
  <c r="T377" i="20"/>
  <c r="U377" i="20"/>
  <c r="V377" i="20"/>
  <c r="W377" i="20"/>
  <c r="X377" i="20"/>
  <c r="Y377" i="20"/>
  <c r="Z377" i="20"/>
  <c r="AA377" i="20"/>
  <c r="AB377" i="20"/>
  <c r="AC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D378" i="20"/>
  <c r="E378" i="20"/>
  <c r="F378" i="20"/>
  <c r="G378" i="20"/>
  <c r="H378" i="20"/>
  <c r="I378" i="20"/>
  <c r="J378" i="20"/>
  <c r="K378" i="20"/>
  <c r="L378" i="20"/>
  <c r="M378" i="20"/>
  <c r="N378" i="20"/>
  <c r="O378" i="20"/>
  <c r="P378" i="20"/>
  <c r="Q378" i="20"/>
  <c r="R378" i="20"/>
  <c r="S378" i="20"/>
  <c r="T378" i="20"/>
  <c r="U378" i="20"/>
  <c r="V378" i="20"/>
  <c r="W378" i="20"/>
  <c r="X378" i="20"/>
  <c r="Y378" i="20"/>
  <c r="Z378" i="20"/>
  <c r="AA378" i="20"/>
  <c r="AB378" i="20"/>
  <c r="AC378" i="20"/>
  <c r="AD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D379" i="20"/>
  <c r="E379" i="20"/>
  <c r="F379" i="20"/>
  <c r="G379" i="20"/>
  <c r="H379" i="20"/>
  <c r="I379" i="20"/>
  <c r="J379" i="20"/>
  <c r="K379" i="20"/>
  <c r="L379" i="20"/>
  <c r="M379" i="20"/>
  <c r="N379" i="20"/>
  <c r="O379" i="20"/>
  <c r="P379" i="20"/>
  <c r="Q379" i="20"/>
  <c r="R379" i="20"/>
  <c r="S379" i="20"/>
  <c r="T379" i="20"/>
  <c r="U379" i="20"/>
  <c r="V379" i="20"/>
  <c r="W379" i="20"/>
  <c r="X379" i="20"/>
  <c r="Y379" i="20"/>
  <c r="Z379" i="20"/>
  <c r="AA379" i="20"/>
  <c r="AB379" i="20"/>
  <c r="AC379" i="20"/>
  <c r="AD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D380" i="20"/>
  <c r="E380" i="20"/>
  <c r="F380" i="20"/>
  <c r="G380" i="20"/>
  <c r="H380" i="20"/>
  <c r="I380" i="20"/>
  <c r="J380" i="20"/>
  <c r="K380" i="20"/>
  <c r="L380" i="20"/>
  <c r="M380" i="20"/>
  <c r="N380" i="20"/>
  <c r="O380" i="20"/>
  <c r="P380" i="20"/>
  <c r="Q380" i="20"/>
  <c r="R380" i="20"/>
  <c r="S380" i="20"/>
  <c r="T380" i="20"/>
  <c r="U380" i="20"/>
  <c r="V380" i="20"/>
  <c r="W380" i="20"/>
  <c r="X380" i="20"/>
  <c r="Y380" i="20"/>
  <c r="Z380" i="20"/>
  <c r="AA380" i="20"/>
  <c r="AB380" i="20"/>
  <c r="AC380" i="20"/>
  <c r="AD380" i="20"/>
  <c r="AE380" i="20"/>
  <c r="AF380" i="20"/>
  <c r="AG380" i="20"/>
  <c r="AH380" i="20"/>
  <c r="AI380" i="20"/>
  <c r="AJ380" i="20"/>
  <c r="AK380" i="20"/>
  <c r="AL380" i="20"/>
  <c r="AM380" i="20"/>
  <c r="AN380" i="20"/>
  <c r="AO380" i="20"/>
  <c r="D384" i="20"/>
  <c r="E384" i="20"/>
  <c r="F384" i="20"/>
  <c r="G384" i="20"/>
  <c r="H384" i="20"/>
  <c r="I384" i="20"/>
  <c r="J384" i="20"/>
  <c r="K384" i="20"/>
  <c r="L384" i="20"/>
  <c r="M384" i="20"/>
  <c r="N384" i="20"/>
  <c r="O384" i="20"/>
  <c r="D385" i="20"/>
  <c r="E385" i="20"/>
  <c r="F385" i="20"/>
  <c r="G385" i="20"/>
  <c r="H385" i="20"/>
  <c r="I385" i="20"/>
  <c r="J385" i="20"/>
  <c r="K385" i="20"/>
  <c r="L385" i="20"/>
  <c r="M385" i="20"/>
  <c r="N385" i="20"/>
  <c r="O385" i="20"/>
  <c r="D387" i="20"/>
  <c r="E387" i="20"/>
  <c r="F387" i="20"/>
  <c r="G387" i="20"/>
  <c r="H387" i="20"/>
  <c r="I387" i="20"/>
  <c r="J387" i="20"/>
  <c r="K387" i="20"/>
  <c r="L387" i="20"/>
  <c r="M387" i="20"/>
  <c r="N387" i="20"/>
  <c r="O387" i="20"/>
  <c r="D392" i="20"/>
  <c r="E392" i="20"/>
  <c r="F392" i="20"/>
  <c r="G392" i="20"/>
  <c r="H392" i="20"/>
  <c r="I392" i="20"/>
  <c r="J392" i="20"/>
  <c r="K392" i="20"/>
  <c r="L392" i="20"/>
  <c r="M392" i="20"/>
  <c r="N392" i="20"/>
  <c r="O392" i="20"/>
  <c r="D393" i="20"/>
  <c r="E393" i="20"/>
  <c r="F393" i="20"/>
  <c r="G393" i="20"/>
  <c r="H393" i="20"/>
  <c r="I393" i="20"/>
  <c r="J393" i="20"/>
  <c r="K393" i="20"/>
  <c r="L393" i="20"/>
  <c r="M393" i="20"/>
  <c r="N393" i="20"/>
  <c r="O393" i="20"/>
  <c r="D395" i="20"/>
  <c r="E395" i="20"/>
  <c r="F395" i="20"/>
  <c r="G395" i="20"/>
  <c r="H395" i="20"/>
  <c r="I395" i="20"/>
  <c r="J395" i="20"/>
  <c r="K395" i="20"/>
  <c r="L395" i="20"/>
  <c r="M395" i="20"/>
  <c r="N395" i="20"/>
  <c r="O395" i="20"/>
  <c r="D396" i="20"/>
  <c r="E396" i="20"/>
  <c r="F396" i="20"/>
  <c r="G396" i="20"/>
  <c r="H396" i="20"/>
  <c r="I396" i="20"/>
  <c r="J396" i="20"/>
  <c r="K396" i="20"/>
  <c r="L396" i="20"/>
  <c r="M396" i="20"/>
  <c r="N396" i="20"/>
  <c r="O396" i="20"/>
  <c r="D399" i="20"/>
  <c r="E399" i="20"/>
  <c r="F399" i="20"/>
  <c r="G399" i="20"/>
  <c r="H399" i="20"/>
  <c r="I399" i="20"/>
  <c r="J399" i="20"/>
  <c r="K399" i="20"/>
  <c r="L399" i="20"/>
  <c r="M399" i="20"/>
  <c r="N399" i="20"/>
  <c r="O399" i="20"/>
  <c r="D400" i="20"/>
  <c r="E400" i="20"/>
  <c r="F400" i="20"/>
  <c r="G400" i="20"/>
  <c r="H400" i="20"/>
  <c r="I400" i="20"/>
  <c r="J400" i="20"/>
  <c r="K400" i="20"/>
  <c r="L400" i="20"/>
  <c r="M400" i="20"/>
  <c r="N400" i="20"/>
  <c r="O400" i="20"/>
  <c r="D401" i="20"/>
  <c r="E401" i="20"/>
  <c r="F401" i="20"/>
  <c r="G401" i="20"/>
  <c r="H401" i="20"/>
  <c r="I401" i="20"/>
  <c r="J401" i="20"/>
  <c r="K401" i="20"/>
  <c r="L401" i="20"/>
  <c r="M401" i="20"/>
  <c r="N401" i="20"/>
  <c r="O401" i="20"/>
  <c r="D406" i="20"/>
  <c r="E406" i="20"/>
  <c r="F406" i="20"/>
  <c r="G406" i="20"/>
  <c r="H406" i="20"/>
  <c r="I406" i="20"/>
  <c r="J406" i="20"/>
  <c r="K406" i="20"/>
  <c r="L406" i="20"/>
  <c r="M406" i="20"/>
  <c r="N406" i="20"/>
  <c r="O406" i="20"/>
  <c r="D407" i="20"/>
  <c r="E407" i="20"/>
  <c r="F407" i="20"/>
  <c r="G407" i="20"/>
  <c r="H407" i="20"/>
  <c r="I407" i="20"/>
  <c r="J407" i="20"/>
  <c r="K407" i="20"/>
  <c r="L407" i="20"/>
  <c r="M407" i="20"/>
  <c r="N407" i="20"/>
  <c r="O407" i="20"/>
  <c r="D408" i="20"/>
  <c r="E408" i="20"/>
  <c r="F408" i="20"/>
  <c r="G408" i="20"/>
  <c r="H408" i="20"/>
  <c r="I408" i="20"/>
  <c r="J408" i="20"/>
  <c r="K408" i="20"/>
  <c r="L408" i="20"/>
  <c r="M408" i="20"/>
  <c r="N408" i="20"/>
  <c r="O408" i="20"/>
  <c r="D412" i="20"/>
  <c r="E412" i="20"/>
  <c r="F412" i="20"/>
  <c r="G412" i="20"/>
  <c r="H412" i="20"/>
  <c r="I412" i="20"/>
  <c r="J412" i="20"/>
  <c r="K412" i="20"/>
  <c r="L412" i="20"/>
  <c r="M412" i="20"/>
  <c r="N412" i="20"/>
  <c r="O412" i="20"/>
  <c r="D413" i="20"/>
  <c r="E413" i="20"/>
  <c r="F413" i="20"/>
  <c r="G413" i="20"/>
  <c r="H413" i="20"/>
  <c r="I413" i="20"/>
  <c r="J413" i="20"/>
  <c r="K413" i="20"/>
  <c r="L413" i="20"/>
  <c r="M413" i="20"/>
  <c r="N413" i="20"/>
  <c r="O413" i="20"/>
  <c r="D415" i="20"/>
  <c r="E415" i="20"/>
  <c r="F415" i="20"/>
  <c r="G415" i="20"/>
  <c r="H415" i="20"/>
  <c r="I415" i="20"/>
  <c r="J415" i="20"/>
  <c r="K415" i="20"/>
  <c r="L415" i="20"/>
  <c r="M415" i="20"/>
  <c r="N415" i="20"/>
  <c r="O415" i="20"/>
  <c r="D420" i="20"/>
  <c r="E420" i="20"/>
  <c r="F420" i="20"/>
  <c r="G420" i="20"/>
  <c r="H420" i="20"/>
  <c r="I420" i="20"/>
  <c r="J420" i="20"/>
  <c r="K420" i="20"/>
  <c r="L420" i="20"/>
  <c r="M420" i="20"/>
  <c r="N420" i="20"/>
  <c r="O420" i="20"/>
  <c r="D421" i="20"/>
  <c r="E421" i="20"/>
  <c r="F421" i="20"/>
  <c r="G421" i="20"/>
  <c r="H421" i="20"/>
  <c r="I421" i="20"/>
  <c r="J421" i="20"/>
  <c r="K421" i="20"/>
  <c r="L421" i="20"/>
  <c r="M421" i="20"/>
  <c r="N421" i="20"/>
  <c r="O421" i="20"/>
  <c r="D423" i="20"/>
  <c r="E423" i="20"/>
  <c r="F423" i="20"/>
  <c r="G423" i="20"/>
  <c r="H423" i="20"/>
  <c r="I423" i="20"/>
  <c r="J423" i="20"/>
  <c r="K423" i="20"/>
  <c r="L423" i="20"/>
  <c r="M423" i="20"/>
  <c r="N423" i="20"/>
  <c r="O423" i="20"/>
  <c r="D424" i="20"/>
  <c r="E424" i="20"/>
  <c r="F424" i="20"/>
  <c r="G424" i="20"/>
  <c r="H424" i="20"/>
  <c r="I424" i="20"/>
  <c r="J424" i="20"/>
  <c r="K424" i="20"/>
  <c r="L424" i="20"/>
  <c r="M424" i="20"/>
  <c r="N424" i="20"/>
  <c r="O424" i="20"/>
  <c r="D427" i="20"/>
  <c r="E427" i="20"/>
  <c r="F427" i="20"/>
  <c r="G427" i="20"/>
  <c r="H427" i="20"/>
  <c r="I427" i="20"/>
  <c r="J427" i="20"/>
  <c r="K427" i="20"/>
  <c r="L427" i="20"/>
  <c r="M427" i="20"/>
  <c r="N427" i="20"/>
  <c r="O427" i="20"/>
  <c r="D428" i="20"/>
  <c r="E428" i="20"/>
  <c r="F428" i="20"/>
  <c r="G428" i="20"/>
  <c r="H428" i="20"/>
  <c r="I428" i="20"/>
  <c r="J428" i="20"/>
  <c r="K428" i="20"/>
  <c r="L428" i="20"/>
  <c r="M428" i="20"/>
  <c r="N428" i="20"/>
  <c r="O428" i="20"/>
  <c r="D429" i="20"/>
  <c r="E429" i="20"/>
  <c r="F429" i="20"/>
  <c r="G429" i="20"/>
  <c r="H429" i="20"/>
  <c r="I429" i="20"/>
  <c r="J429" i="20"/>
  <c r="K429" i="20"/>
  <c r="L429" i="20"/>
  <c r="M429" i="20"/>
  <c r="N429" i="20"/>
  <c r="O429" i="20"/>
  <c r="D434" i="20"/>
  <c r="E434" i="20"/>
  <c r="F434" i="20"/>
  <c r="G434" i="20"/>
  <c r="H434" i="20"/>
  <c r="I434" i="20"/>
  <c r="J434" i="20"/>
  <c r="K434" i="20"/>
  <c r="L434" i="20"/>
  <c r="M434" i="20"/>
  <c r="N434" i="20"/>
  <c r="O434" i="20"/>
  <c r="D435" i="20"/>
  <c r="E435" i="20"/>
  <c r="F435" i="20"/>
  <c r="G435" i="20"/>
  <c r="H435" i="20"/>
  <c r="I435" i="20"/>
  <c r="J435" i="20"/>
  <c r="K435" i="20"/>
  <c r="L435" i="20"/>
  <c r="M435" i="20"/>
  <c r="N435" i="20"/>
  <c r="O435" i="20"/>
  <c r="D436" i="20"/>
  <c r="E436" i="20"/>
  <c r="F436" i="20"/>
  <c r="G436" i="20"/>
  <c r="H436" i="20"/>
  <c r="I436" i="20"/>
  <c r="J436" i="20"/>
  <c r="K436" i="20"/>
  <c r="L436" i="20"/>
  <c r="M436" i="20"/>
  <c r="N436" i="20"/>
  <c r="O436" i="20"/>
  <c r="D557" i="20"/>
  <c r="E557" i="20"/>
  <c r="G557" i="20"/>
  <c r="I557" i="20"/>
  <c r="J557" i="20"/>
  <c r="K557" i="20"/>
  <c r="L557" i="20"/>
  <c r="D558" i="20"/>
  <c r="E558" i="20"/>
  <c r="G558" i="20"/>
  <c r="I558" i="20"/>
  <c r="J558" i="20"/>
  <c r="K558" i="20"/>
  <c r="L558" i="20"/>
  <c r="D559" i="20"/>
  <c r="E559" i="20"/>
  <c r="G559" i="20"/>
  <c r="I559" i="20"/>
  <c r="J559" i="20"/>
  <c r="K559" i="20"/>
  <c r="L559" i="20"/>
  <c r="D560" i="20"/>
  <c r="E560" i="20"/>
  <c r="G560" i="20"/>
  <c r="I560" i="20"/>
  <c r="J560" i="20"/>
  <c r="K560" i="20"/>
  <c r="L560" i="20"/>
  <c r="D561" i="20"/>
  <c r="E561" i="20"/>
  <c r="G561" i="20"/>
  <c r="I561" i="20"/>
  <c r="J561" i="20"/>
  <c r="K561" i="20"/>
  <c r="L561" i="20"/>
  <c r="D562" i="20"/>
  <c r="E562" i="20"/>
  <c r="G562" i="20"/>
  <c r="I562" i="20"/>
  <c r="J562" i="20"/>
  <c r="K562" i="20"/>
  <c r="L562" i="20"/>
  <c r="D563" i="20"/>
  <c r="E563" i="20"/>
  <c r="G563" i="20"/>
  <c r="I563" i="20"/>
  <c r="J563" i="20"/>
  <c r="K563" i="20"/>
  <c r="L563" i="20"/>
  <c r="D564" i="20"/>
  <c r="E564" i="20"/>
  <c r="G564" i="20"/>
  <c r="I564" i="20"/>
  <c r="J564" i="20"/>
  <c r="K564" i="20"/>
  <c r="L564" i="20"/>
  <c r="M564" i="20"/>
  <c r="E565" i="20"/>
  <c r="G565" i="20"/>
  <c r="I565" i="20"/>
  <c r="J565" i="20"/>
  <c r="S566" i="20"/>
  <c r="T566" i="20"/>
  <c r="U566" i="20"/>
  <c r="V566" i="20"/>
  <c r="W566" i="20"/>
  <c r="X566" i="20"/>
  <c r="Y566" i="20"/>
  <c r="Z566" i="20"/>
  <c r="S567" i="20"/>
  <c r="T567" i="20"/>
  <c r="U567" i="20"/>
  <c r="V567" i="20"/>
  <c r="W567" i="20"/>
  <c r="X567" i="20"/>
  <c r="Y567" i="20"/>
  <c r="Z567" i="20"/>
  <c r="S575" i="20"/>
  <c r="T575" i="20"/>
  <c r="U575" i="20"/>
  <c r="V575" i="20"/>
  <c r="W575" i="20"/>
  <c r="X575" i="20"/>
  <c r="Y575" i="20"/>
  <c r="Z575" i="20"/>
  <c r="S576" i="20"/>
  <c r="T576" i="20"/>
  <c r="U576" i="20"/>
  <c r="V576" i="20"/>
  <c r="W576" i="20"/>
  <c r="X576" i="20"/>
  <c r="Y576" i="20"/>
  <c r="Z576" i="20"/>
  <c r="D612" i="20"/>
  <c r="J612" i="20"/>
  <c r="K612" i="20"/>
  <c r="L612" i="20"/>
  <c r="M612" i="20"/>
  <c r="N612" i="20"/>
  <c r="O612" i="20"/>
  <c r="P612" i="20"/>
  <c r="Q612" i="20"/>
  <c r="R612" i="20"/>
  <c r="S612" i="20"/>
  <c r="T612" i="20"/>
  <c r="U612" i="20"/>
  <c r="D613" i="20"/>
  <c r="J613" i="20"/>
  <c r="K613" i="20"/>
  <c r="L613" i="20"/>
  <c r="M613" i="20"/>
  <c r="N613" i="20"/>
  <c r="O613" i="20"/>
  <c r="P613" i="20"/>
  <c r="Q613" i="20"/>
  <c r="R613" i="20"/>
  <c r="S613" i="20"/>
  <c r="T613" i="20"/>
  <c r="U613" i="20"/>
  <c r="J617" i="20"/>
  <c r="K617" i="20"/>
  <c r="L617" i="20"/>
  <c r="M617" i="20"/>
  <c r="N617" i="20"/>
  <c r="O617" i="20"/>
  <c r="P617" i="20"/>
  <c r="Q617" i="20"/>
  <c r="R617" i="20"/>
  <c r="S617" i="20"/>
  <c r="T617" i="20"/>
  <c r="U617" i="20"/>
  <c r="D622" i="20"/>
  <c r="E622" i="20"/>
  <c r="F622" i="20"/>
  <c r="G622" i="20"/>
  <c r="H622" i="20"/>
  <c r="I622" i="20"/>
  <c r="J622" i="20"/>
  <c r="K622" i="20"/>
  <c r="L622" i="20"/>
  <c r="D623" i="20"/>
  <c r="E623" i="20"/>
  <c r="F623" i="20"/>
  <c r="G623" i="20"/>
  <c r="H623" i="20"/>
  <c r="I623" i="20"/>
  <c r="J623" i="20"/>
  <c r="K623" i="20"/>
  <c r="L623" i="20"/>
  <c r="D627" i="20"/>
  <c r="E627" i="20"/>
  <c r="F627" i="20"/>
  <c r="G627" i="20"/>
  <c r="H627" i="20"/>
  <c r="I627" i="20"/>
  <c r="J627" i="20"/>
  <c r="K627" i="20"/>
  <c r="L627" i="20"/>
  <c r="D650" i="20"/>
  <c r="E650" i="20"/>
  <c r="F650" i="20"/>
  <c r="G650" i="20"/>
  <c r="H650" i="20"/>
  <c r="I650" i="20"/>
  <c r="J650" i="20"/>
  <c r="K650" i="20"/>
  <c r="L650" i="20"/>
  <c r="M650" i="20"/>
  <c r="D651" i="20"/>
  <c r="E651" i="20"/>
  <c r="F651" i="20"/>
  <c r="G651" i="20"/>
  <c r="H651" i="20"/>
  <c r="I651" i="20"/>
  <c r="J651" i="20"/>
  <c r="K651" i="20"/>
  <c r="L651" i="20"/>
  <c r="M651" i="20"/>
  <c r="U653" i="20"/>
  <c r="V653" i="20"/>
  <c r="W653" i="20"/>
  <c r="X653" i="20"/>
  <c r="Y653" i="20"/>
  <c r="Z653" i="20"/>
  <c r="AA653" i="20"/>
  <c r="AB653" i="20"/>
  <c r="T654" i="20"/>
  <c r="Y654" i="20"/>
  <c r="Z654" i="20"/>
  <c r="AA654" i="20"/>
  <c r="AB654" i="20"/>
  <c r="T663" i="20"/>
  <c r="U663" i="20"/>
  <c r="V663" i="20"/>
  <c r="W663" i="20"/>
  <c r="X663" i="20"/>
  <c r="Y663" i="20"/>
  <c r="Z663" i="20"/>
  <c r="AA663" i="20"/>
  <c r="AB663" i="20"/>
  <c r="T664" i="20"/>
  <c r="U664" i="20"/>
  <c r="V664" i="20"/>
  <c r="W664" i="20"/>
  <c r="X664" i="20"/>
  <c r="Y664" i="20"/>
  <c r="Z664" i="20"/>
  <c r="AA664" i="20"/>
  <c r="AB664" i="20"/>
  <c r="U665" i="20"/>
  <c r="V665" i="20"/>
  <c r="W665" i="20"/>
  <c r="X665" i="20"/>
  <c r="Y665" i="20"/>
  <c r="Z665" i="20"/>
  <c r="AA665" i="20"/>
  <c r="AB665" i="20"/>
  <c r="U666" i="20"/>
  <c r="V666" i="20"/>
  <c r="W666" i="20"/>
  <c r="X666" i="20"/>
  <c r="Y666" i="20"/>
  <c r="Z666" i="20"/>
  <c r="AA666" i="20"/>
  <c r="AB666" i="20"/>
  <c r="U667" i="20"/>
  <c r="V667" i="20"/>
  <c r="W667" i="20"/>
  <c r="X667" i="20"/>
  <c r="Y667" i="20"/>
  <c r="Z667" i="20"/>
  <c r="AA667" i="20"/>
  <c r="AB667" i="20"/>
  <c r="U671" i="20"/>
  <c r="V671" i="20"/>
  <c r="W671" i="20"/>
  <c r="X671" i="20"/>
  <c r="Y671" i="20"/>
  <c r="Z671" i="20"/>
  <c r="AA671" i="20"/>
  <c r="AB671" i="20"/>
  <c r="T672" i="20"/>
  <c r="Y672" i="20"/>
  <c r="Z672" i="20"/>
  <c r="AA672" i="20"/>
  <c r="AB672" i="20"/>
  <c r="T676" i="20"/>
  <c r="U676" i="20"/>
  <c r="V676" i="20"/>
  <c r="W676" i="20"/>
  <c r="X676" i="20"/>
  <c r="Y676" i="20"/>
  <c r="Z676" i="20"/>
  <c r="AA676" i="20"/>
  <c r="AB676" i="20"/>
  <c r="T677" i="20"/>
  <c r="U677" i="20"/>
  <c r="V677" i="20"/>
  <c r="W677" i="20"/>
  <c r="X677" i="20"/>
  <c r="Y677" i="20"/>
  <c r="Z677" i="20"/>
  <c r="AA677" i="20"/>
  <c r="AB677" i="20"/>
  <c r="U678" i="20"/>
  <c r="V678" i="20"/>
  <c r="W678" i="20"/>
  <c r="X678" i="20"/>
  <c r="Y678" i="20"/>
  <c r="Z678" i="20"/>
  <c r="AA678" i="20"/>
  <c r="AB678" i="20"/>
  <c r="U679" i="20"/>
  <c r="V679" i="20"/>
  <c r="W679" i="20"/>
  <c r="X679" i="20"/>
  <c r="Y679" i="20"/>
  <c r="Z679" i="20"/>
  <c r="AA679" i="20"/>
  <c r="AB679" i="20"/>
  <c r="U680" i="20"/>
  <c r="V680" i="20"/>
  <c r="W680" i="20"/>
  <c r="X680" i="20"/>
  <c r="Y680" i="20"/>
  <c r="Z680" i="20"/>
  <c r="AA680" i="20"/>
  <c r="AB680" i="20"/>
  <c r="D790" i="20"/>
  <c r="E790" i="20"/>
  <c r="F790" i="20"/>
  <c r="G790" i="20"/>
  <c r="H790" i="20"/>
  <c r="I790" i="20"/>
  <c r="J790" i="20"/>
  <c r="K790" i="20"/>
  <c r="L790" i="20"/>
  <c r="M790" i="20"/>
  <c r="D791" i="20"/>
  <c r="E791" i="20"/>
  <c r="F791" i="20"/>
  <c r="G791" i="20"/>
  <c r="H791" i="20"/>
  <c r="I791" i="20"/>
  <c r="J791" i="20"/>
  <c r="K791" i="20"/>
  <c r="L791" i="20"/>
  <c r="M791" i="20"/>
  <c r="F842" i="20"/>
  <c r="F843" i="20"/>
  <c r="R7" i="6"/>
  <c r="S7" i="6"/>
  <c r="R8" i="6"/>
  <c r="S8" i="6"/>
  <c r="R9" i="6"/>
  <c r="S9" i="6"/>
  <c r="R10" i="6"/>
  <c r="S10" i="6"/>
  <c r="R11" i="6"/>
  <c r="S11" i="6"/>
  <c r="R12" i="6"/>
  <c r="S12" i="6"/>
  <c r="R13" i="6"/>
  <c r="S13" i="6"/>
  <c r="R14" i="6"/>
  <c r="S14" i="6"/>
  <c r="R15" i="6"/>
  <c r="S15" i="6"/>
  <c r="R18" i="6"/>
  <c r="R19" i="6"/>
  <c r="R20" i="6"/>
  <c r="F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EQ11" i="23"/>
  <c r="ER11" i="23"/>
  <c r="ES11" i="23"/>
  <c r="ET11" i="23"/>
  <c r="EU11" i="23"/>
  <c r="EV11" i="23"/>
  <c r="EW11" i="23"/>
  <c r="EX11" i="23"/>
  <c r="EY11" i="23"/>
  <c r="EZ11" i="23"/>
  <c r="FA11" i="23"/>
  <c r="FB11" i="23"/>
  <c r="FC11" i="23"/>
  <c r="FD11" i="23"/>
  <c r="FE11" i="23"/>
  <c r="FF11" i="23"/>
  <c r="FG11" i="23"/>
  <c r="FH11" i="23"/>
  <c r="FI11" i="23"/>
  <c r="FJ11" i="23"/>
  <c r="FK11" i="23"/>
  <c r="FL11" i="23"/>
  <c r="F14" i="23"/>
  <c r="AL14" i="23"/>
  <c r="AM14" i="23"/>
  <c r="AN14" i="23"/>
  <c r="AO14" i="23"/>
  <c r="AP14" i="23"/>
  <c r="AQ14" i="23"/>
  <c r="AR14" i="23"/>
  <c r="AS14" i="23"/>
  <c r="AT14" i="23"/>
  <c r="AU14" i="23"/>
  <c r="AV14" i="23"/>
  <c r="AW14" i="23"/>
  <c r="AX14" i="23"/>
  <c r="AY14" i="23"/>
  <c r="AZ14" i="23"/>
  <c r="BA14" i="23"/>
  <c r="BB14" i="23"/>
  <c r="BC14" i="23"/>
  <c r="BD14" i="23"/>
  <c r="BE14" i="23"/>
  <c r="BF14" i="23"/>
  <c r="BG14" i="23"/>
  <c r="BH14" i="23"/>
  <c r="BI14" i="23"/>
  <c r="BJ14" i="23"/>
  <c r="BK14" i="23"/>
  <c r="BL14" i="23"/>
  <c r="BM14" i="23"/>
  <c r="BN14" i="23"/>
  <c r="BO14" i="23"/>
  <c r="BP14" i="23"/>
  <c r="BQ14" i="23"/>
  <c r="BR14" i="23"/>
  <c r="BS14" i="23"/>
  <c r="BT14" i="23"/>
  <c r="BU14" i="23"/>
  <c r="BV14" i="23"/>
  <c r="BW14" i="23"/>
  <c r="BX14" i="23"/>
  <c r="BY14" i="23"/>
  <c r="BZ14" i="23"/>
  <c r="CA14" i="23"/>
  <c r="CB14" i="23"/>
  <c r="CC14" i="23"/>
  <c r="CD14" i="23"/>
  <c r="CE14" i="23"/>
  <c r="CF14" i="23"/>
  <c r="CG14" i="23"/>
  <c r="CH14" i="23"/>
  <c r="CI14" i="23"/>
  <c r="CJ14" i="23"/>
  <c r="CK14" i="23"/>
  <c r="CL14" i="23"/>
  <c r="CM14" i="23"/>
  <c r="CN14" i="23"/>
  <c r="CO14" i="23"/>
  <c r="CP14" i="23"/>
  <c r="CQ14" i="23"/>
  <c r="CR14" i="23"/>
  <c r="CS14" i="23"/>
  <c r="CT14" i="23"/>
  <c r="CU14" i="23"/>
  <c r="CV14" i="23"/>
  <c r="CW14" i="23"/>
  <c r="CX14" i="23"/>
  <c r="CY14" i="23"/>
  <c r="CZ14" i="23"/>
  <c r="DA14" i="23"/>
  <c r="DB14" i="23"/>
  <c r="DC14" i="23"/>
  <c r="DD14" i="23"/>
  <c r="DE14" i="23"/>
  <c r="DF14" i="23"/>
  <c r="DG14" i="23"/>
  <c r="DH14" i="23"/>
  <c r="DI14" i="23"/>
  <c r="DJ14" i="23"/>
  <c r="DK14" i="23"/>
  <c r="DL14" i="23"/>
  <c r="DM14" i="23"/>
  <c r="DN14" i="23"/>
  <c r="DO14" i="23"/>
  <c r="DP14" i="23"/>
  <c r="DQ14" i="23"/>
  <c r="DR14" i="23"/>
  <c r="DS14" i="23"/>
  <c r="DT14" i="23"/>
  <c r="DU14" i="23"/>
  <c r="DV14" i="23"/>
  <c r="DW14" i="23"/>
  <c r="DX14" i="23"/>
  <c r="DY14" i="23"/>
  <c r="DZ14" i="23"/>
  <c r="EA14" i="23"/>
  <c r="EB14" i="23"/>
  <c r="EC14" i="23"/>
  <c r="ED14" i="23"/>
  <c r="EE14" i="23"/>
  <c r="EF14" i="23"/>
  <c r="EG14" i="23"/>
  <c r="EH14" i="23"/>
  <c r="EI14" i="23"/>
  <c r="EJ14" i="23"/>
  <c r="EK14" i="23"/>
  <c r="EL14" i="23"/>
  <c r="EM14" i="23"/>
  <c r="EN14" i="23"/>
  <c r="EO14" i="23"/>
  <c r="EP14" i="23"/>
  <c r="EQ14" i="23"/>
  <c r="ER14" i="23"/>
  <c r="ES14" i="23"/>
  <c r="ET14" i="23"/>
  <c r="EU14" i="23"/>
  <c r="EV14" i="23"/>
  <c r="EW14" i="23"/>
  <c r="EX14" i="23"/>
  <c r="EY14" i="23"/>
  <c r="EZ14" i="23"/>
  <c r="FA14" i="23"/>
  <c r="FB14" i="23"/>
  <c r="FC14" i="23"/>
  <c r="FD14" i="23"/>
  <c r="FE14" i="23"/>
  <c r="FF14" i="23"/>
  <c r="FG14" i="23"/>
  <c r="FH14" i="23"/>
  <c r="FI14" i="23"/>
  <c r="FJ14" i="23"/>
  <c r="FK14" i="23"/>
  <c r="FL14" i="23"/>
  <c r="FM14" i="23"/>
  <c r="FN14" i="23"/>
  <c r="F15" i="23"/>
  <c r="O15" i="23"/>
  <c r="P15" i="23"/>
  <c r="Q15" i="23"/>
  <c r="R15" i="23"/>
  <c r="F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EQ16" i="23"/>
  <c r="ER16" i="23"/>
  <c r="ES16" i="23"/>
  <c r="ET16" i="23"/>
  <c r="EU16" i="23"/>
  <c r="EV16" i="23"/>
  <c r="EW16" i="23"/>
  <c r="EX16" i="23"/>
  <c r="EY16" i="23"/>
  <c r="EZ16" i="23"/>
  <c r="FA16" i="23"/>
  <c r="FB16" i="23"/>
  <c r="FC16" i="23"/>
  <c r="FD16" i="23"/>
  <c r="FE16" i="23"/>
  <c r="FF16" i="23"/>
  <c r="FG16" i="23"/>
  <c r="FH16" i="23"/>
  <c r="FI16" i="23"/>
  <c r="FJ16" i="23"/>
  <c r="FK16" i="23"/>
  <c r="FL16" i="23"/>
  <c r="FM16" i="23"/>
  <c r="FN16" i="23"/>
  <c r="F20" i="23"/>
  <c r="O20" i="23"/>
  <c r="P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E20" i="23"/>
  <c r="AF20" i="23"/>
  <c r="AG20" i="23"/>
  <c r="AH20" i="23"/>
  <c r="AI20" i="23"/>
  <c r="AJ20" i="23"/>
  <c r="AK20" i="23"/>
  <c r="AL20" i="23"/>
  <c r="AM20" i="23"/>
  <c r="AN20" i="23"/>
  <c r="AO20" i="23"/>
  <c r="AP20" i="23"/>
  <c r="AQ20" i="23"/>
  <c r="AR20" i="23"/>
  <c r="AS20" i="23"/>
  <c r="AT20" i="23"/>
  <c r="AU20" i="23"/>
  <c r="AV20" i="23"/>
  <c r="AW20" i="23"/>
  <c r="AX20" i="23"/>
  <c r="AY20" i="23"/>
  <c r="AZ20" i="23"/>
  <c r="BA20" i="23"/>
  <c r="BB20" i="23"/>
  <c r="BC20" i="23"/>
  <c r="BD20" i="23"/>
  <c r="BE20" i="23"/>
  <c r="BF20" i="23"/>
  <c r="BG20" i="23"/>
  <c r="BH20" i="23"/>
  <c r="BI20" i="23"/>
  <c r="BJ20" i="23"/>
  <c r="BK20" i="23"/>
  <c r="BL20" i="23"/>
  <c r="BM20" i="23"/>
  <c r="BN20" i="23"/>
  <c r="BO20" i="23"/>
  <c r="BP20" i="23"/>
  <c r="BQ20" i="23"/>
  <c r="BR20" i="23"/>
  <c r="BS20" i="23"/>
  <c r="BT20" i="23"/>
  <c r="BU20" i="23"/>
  <c r="BV20" i="23"/>
  <c r="BW20" i="23"/>
  <c r="BX20" i="23"/>
  <c r="BY20" i="23"/>
  <c r="BZ20" i="23"/>
  <c r="CA20" i="23"/>
  <c r="CB20" i="23"/>
  <c r="CC20" i="23"/>
  <c r="CD20" i="23"/>
  <c r="CE20" i="23"/>
  <c r="CF20" i="23"/>
  <c r="CG20" i="23"/>
  <c r="CH20" i="23"/>
  <c r="CI20" i="23"/>
  <c r="CJ20" i="23"/>
  <c r="CK20" i="23"/>
  <c r="CL20" i="23"/>
  <c r="CM20" i="23"/>
  <c r="CN20" i="23"/>
  <c r="CO20" i="23"/>
  <c r="CP20" i="23"/>
  <c r="CQ20" i="23"/>
  <c r="CR20" i="23"/>
  <c r="CS20" i="23"/>
  <c r="CT20" i="23"/>
  <c r="CU20" i="23"/>
  <c r="CV20" i="23"/>
  <c r="CW20" i="23"/>
  <c r="CX20" i="23"/>
  <c r="CY20" i="23"/>
  <c r="CZ20" i="23"/>
  <c r="DA20" i="23"/>
  <c r="DB20" i="23"/>
  <c r="DC20" i="23"/>
  <c r="DD20" i="23"/>
  <c r="DE20" i="23"/>
  <c r="DF20" i="23"/>
  <c r="DG20" i="23"/>
  <c r="DH20" i="23"/>
  <c r="DI20" i="23"/>
  <c r="DJ20" i="23"/>
  <c r="DK20" i="23"/>
  <c r="DL20" i="23"/>
  <c r="DM20" i="23"/>
  <c r="DN20" i="23"/>
  <c r="DO20" i="23"/>
  <c r="DP20" i="23"/>
  <c r="DQ20" i="23"/>
  <c r="DR20" i="23"/>
  <c r="DS20" i="23"/>
  <c r="DT20" i="23"/>
  <c r="DU20" i="23"/>
  <c r="DV20" i="23"/>
  <c r="DW20" i="23"/>
  <c r="DX20" i="23"/>
  <c r="DY20" i="23"/>
  <c r="DZ20" i="23"/>
  <c r="EA20" i="23"/>
  <c r="EB20" i="23"/>
  <c r="EC20" i="23"/>
  <c r="ED20" i="23"/>
  <c r="EE20" i="23"/>
  <c r="EF20" i="23"/>
  <c r="EG20" i="23"/>
  <c r="EH20" i="23"/>
  <c r="EI20" i="23"/>
  <c r="EJ20" i="23"/>
  <c r="EK20" i="23"/>
  <c r="EL20" i="23"/>
  <c r="EM20" i="23"/>
  <c r="EN20" i="23"/>
  <c r="EO20" i="23"/>
  <c r="EP20" i="23"/>
  <c r="EQ20" i="23"/>
  <c r="ER20" i="23"/>
  <c r="ES20" i="23"/>
  <c r="ET20" i="23"/>
  <c r="EU20" i="23"/>
  <c r="EV20" i="23"/>
  <c r="EW20" i="23"/>
  <c r="EX20" i="23"/>
  <c r="EY20" i="23"/>
  <c r="EZ20" i="23"/>
  <c r="FA20" i="23"/>
  <c r="FB20" i="23"/>
  <c r="FC20" i="23"/>
  <c r="FD20" i="23"/>
  <c r="FE20" i="23"/>
  <c r="FF20" i="23"/>
  <c r="FG20" i="23"/>
  <c r="FH20" i="23"/>
  <c r="FI20" i="23"/>
  <c r="FJ20" i="23"/>
  <c r="FK20" i="23"/>
  <c r="FL20" i="23"/>
  <c r="FM20" i="23"/>
  <c r="FN20" i="23"/>
  <c r="F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EQ22" i="23"/>
  <c r="ER22" i="23"/>
  <c r="ES22" i="23"/>
  <c r="ET22" i="23"/>
  <c r="EU22" i="23"/>
  <c r="EV22" i="23"/>
  <c r="EW22" i="23"/>
  <c r="EX22" i="23"/>
  <c r="EY22" i="23"/>
  <c r="EZ22" i="23"/>
  <c r="FA22" i="23"/>
  <c r="FB22" i="23"/>
  <c r="FC22" i="23"/>
  <c r="FD22" i="23"/>
  <c r="FE22" i="23"/>
  <c r="FF22" i="23"/>
  <c r="FG22" i="23"/>
  <c r="FH22" i="23"/>
  <c r="FI22" i="23"/>
  <c r="FJ22" i="23"/>
  <c r="FK22" i="23"/>
  <c r="FL22" i="23"/>
  <c r="FM22" i="23"/>
  <c r="FN22" i="23"/>
  <c r="FO22" i="23"/>
  <c r="FP22" i="23"/>
  <c r="FQ22" i="23"/>
  <c r="FR22" i="23"/>
  <c r="FS22" i="23"/>
  <c r="FT22" i="23"/>
  <c r="FU22" i="23"/>
  <c r="FV22" i="23"/>
  <c r="FW22" i="23"/>
  <c r="FX22" i="23"/>
  <c r="FY22" i="23"/>
  <c r="FZ22" i="23"/>
  <c r="GA22" i="23"/>
  <c r="GB22" i="23"/>
  <c r="GC22" i="23"/>
  <c r="GD22" i="23"/>
  <c r="F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EQ23" i="23"/>
  <c r="ER23" i="23"/>
  <c r="ES23" i="23"/>
  <c r="ET23" i="23"/>
  <c r="EU23" i="23"/>
  <c r="EV23" i="23"/>
  <c r="EW23" i="23"/>
  <c r="EX23" i="23"/>
  <c r="EY23" i="23"/>
  <c r="EZ23" i="23"/>
  <c r="FA23" i="23"/>
  <c r="FB23" i="23"/>
  <c r="FC23" i="23"/>
  <c r="FD23" i="23"/>
  <c r="FE23" i="23"/>
  <c r="FF23" i="23"/>
  <c r="FG23" i="23"/>
  <c r="FH23" i="23"/>
  <c r="FI23" i="23"/>
  <c r="FJ23" i="23"/>
  <c r="FK23" i="23"/>
  <c r="FL23" i="23"/>
  <c r="FM23" i="23"/>
  <c r="FN23" i="23"/>
  <c r="FO23" i="23"/>
  <c r="FP23" i="23"/>
  <c r="FQ23" i="23"/>
  <c r="FR23" i="23"/>
  <c r="FS23" i="23"/>
  <c r="FT23" i="23"/>
  <c r="FU23" i="23"/>
  <c r="FV23" i="23"/>
  <c r="FW23" i="23"/>
  <c r="FX23" i="23"/>
  <c r="FY23" i="23"/>
  <c r="FZ23" i="23"/>
  <c r="GA23" i="23"/>
  <c r="GB23" i="23"/>
  <c r="GC23" i="23"/>
  <c r="GD23" i="23"/>
  <c r="F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EQ24" i="23"/>
  <c r="ER24" i="23"/>
  <c r="ES24" i="23"/>
  <c r="ET24" i="23"/>
  <c r="EU24" i="23"/>
  <c r="EV24" i="23"/>
  <c r="EW24" i="23"/>
  <c r="EX24" i="23"/>
  <c r="EY24" i="23"/>
  <c r="EZ24" i="23"/>
  <c r="FA24" i="23"/>
  <c r="FB24" i="23"/>
  <c r="FC24" i="23"/>
  <c r="FD24" i="23"/>
  <c r="FE24" i="23"/>
  <c r="FF24" i="23"/>
  <c r="FG24" i="23"/>
  <c r="FH24" i="23"/>
  <c r="FI24" i="23"/>
  <c r="FJ24" i="23"/>
  <c r="FK24" i="23"/>
  <c r="FL24" i="23"/>
  <c r="FM24" i="23"/>
  <c r="FN24" i="23"/>
  <c r="FO24" i="23"/>
  <c r="FP24" i="23"/>
  <c r="FQ24" i="23"/>
  <c r="FR24" i="23"/>
  <c r="FS24" i="23"/>
  <c r="FT24" i="23"/>
  <c r="FU24" i="23"/>
  <c r="FV24" i="23"/>
  <c r="FW24" i="23"/>
  <c r="FX24" i="23"/>
  <c r="FY24" i="23"/>
  <c r="FZ24" i="23"/>
  <c r="GA24" i="23"/>
  <c r="GB24" i="23"/>
  <c r="GC24" i="23"/>
  <c r="GD24" i="23"/>
  <c r="F25" i="23"/>
  <c r="O25" i="23"/>
  <c r="P25" i="23"/>
  <c r="Q25" i="23"/>
  <c r="R25" i="23"/>
  <c r="S25" i="23"/>
  <c r="T25" i="23"/>
  <c r="U25" i="23"/>
  <c r="V25" i="23"/>
  <c r="W25" i="23"/>
  <c r="X25" i="23"/>
  <c r="Y25" i="23"/>
  <c r="Z25" i="23"/>
  <c r="AA25" i="23"/>
  <c r="AB25" i="23"/>
  <c r="AC25" i="23"/>
  <c r="AD25" i="23"/>
  <c r="AE25" i="23"/>
  <c r="AF25" i="23"/>
  <c r="AG25" i="23"/>
  <c r="AH25" i="23"/>
  <c r="AI25" i="23"/>
  <c r="AJ25" i="23"/>
  <c r="AK25" i="23"/>
  <c r="AL25" i="23"/>
  <c r="AM25" i="23"/>
  <c r="AN25" i="23"/>
  <c r="AO25" i="23"/>
  <c r="AP25" i="23"/>
  <c r="AQ25" i="23"/>
  <c r="AR25" i="23"/>
  <c r="AS25" i="23"/>
  <c r="AT25" i="23"/>
  <c r="AU25" i="23"/>
  <c r="AV25" i="23"/>
  <c r="AW25" i="23"/>
  <c r="AX25" i="23"/>
  <c r="AY25" i="23"/>
  <c r="AZ25" i="23"/>
  <c r="BA25" i="23"/>
  <c r="BB25" i="23"/>
  <c r="BC25" i="23"/>
  <c r="BD25" i="23"/>
  <c r="BE25" i="23"/>
  <c r="BF25" i="23"/>
  <c r="BG25" i="23"/>
  <c r="BH25" i="23"/>
  <c r="BI25" i="23"/>
  <c r="BJ25" i="23"/>
  <c r="BK25" i="23"/>
  <c r="BL25" i="23"/>
  <c r="BM25" i="23"/>
  <c r="BN25" i="23"/>
  <c r="BO25" i="23"/>
  <c r="BP25" i="23"/>
  <c r="BQ25" i="23"/>
  <c r="BR25" i="23"/>
  <c r="BS25" i="23"/>
  <c r="BT25" i="23"/>
  <c r="BU25" i="23"/>
  <c r="BV25" i="23"/>
  <c r="BW25" i="23"/>
  <c r="BX25" i="23"/>
  <c r="BY25" i="23"/>
  <c r="BZ25" i="23"/>
  <c r="CA25" i="23"/>
  <c r="CB25" i="23"/>
  <c r="CC25" i="23"/>
  <c r="CD25" i="23"/>
  <c r="CE25" i="23"/>
  <c r="CF25" i="23"/>
  <c r="CG25" i="23"/>
  <c r="CH25" i="23"/>
  <c r="CI25" i="23"/>
  <c r="CJ25" i="23"/>
  <c r="CK25" i="23"/>
  <c r="CL25" i="23"/>
  <c r="CM25" i="23"/>
  <c r="CN25" i="23"/>
  <c r="CO25" i="23"/>
  <c r="CP25" i="23"/>
  <c r="CQ25" i="23"/>
  <c r="CR25" i="23"/>
  <c r="CS25" i="23"/>
  <c r="CT25" i="23"/>
  <c r="CU25" i="23"/>
  <c r="CV25" i="23"/>
  <c r="CW25" i="23"/>
  <c r="CX25" i="23"/>
  <c r="CY25" i="23"/>
  <c r="CZ25" i="23"/>
  <c r="DA25" i="23"/>
  <c r="DB25" i="23"/>
  <c r="DC25" i="23"/>
  <c r="DD25" i="23"/>
  <c r="DE25" i="23"/>
  <c r="DF25" i="23"/>
  <c r="DG25" i="23"/>
  <c r="DH25" i="23"/>
  <c r="DI25" i="23"/>
  <c r="DJ25" i="23"/>
  <c r="DK25" i="23"/>
  <c r="DL25" i="23"/>
  <c r="DM25" i="23"/>
  <c r="DN25" i="23"/>
  <c r="DO25" i="23"/>
  <c r="DP25" i="23"/>
  <c r="DQ25" i="23"/>
  <c r="DR25" i="23"/>
  <c r="DS25" i="23"/>
  <c r="DT25" i="23"/>
  <c r="DU25" i="23"/>
  <c r="DV25" i="23"/>
  <c r="DW25" i="23"/>
  <c r="DX25" i="23"/>
  <c r="DY25" i="23"/>
  <c r="DZ25" i="23"/>
  <c r="EA25" i="23"/>
  <c r="EB25" i="23"/>
  <c r="EC25" i="23"/>
  <c r="ED25" i="23"/>
  <c r="EE25" i="23"/>
  <c r="EF25" i="23"/>
  <c r="EG25" i="23"/>
  <c r="EH25" i="23"/>
  <c r="EI25" i="23"/>
  <c r="EJ25" i="23"/>
  <c r="EK25" i="23"/>
  <c r="EL25" i="23"/>
  <c r="EM25" i="23"/>
  <c r="EN25" i="23"/>
  <c r="EO25" i="23"/>
  <c r="EP25" i="23"/>
  <c r="EQ25" i="23"/>
  <c r="ER25" i="23"/>
  <c r="ES25" i="23"/>
  <c r="ET25" i="23"/>
  <c r="EU25" i="23"/>
  <c r="EV25" i="23"/>
  <c r="EW25" i="23"/>
  <c r="EX25" i="23"/>
  <c r="EY25" i="23"/>
  <c r="EZ25" i="23"/>
  <c r="FA25" i="23"/>
  <c r="FB25" i="23"/>
  <c r="FC25" i="23"/>
  <c r="FD25" i="23"/>
  <c r="FE25" i="23"/>
  <c r="FF25" i="23"/>
  <c r="FG25" i="23"/>
  <c r="FH25" i="23"/>
  <c r="FI25" i="23"/>
  <c r="FJ25" i="23"/>
  <c r="FK25" i="23"/>
  <c r="FL25" i="23"/>
  <c r="FM25" i="23"/>
  <c r="FN25" i="23"/>
  <c r="FO25" i="23"/>
  <c r="FP25" i="23"/>
  <c r="FQ25" i="23"/>
  <c r="FR25" i="23"/>
  <c r="FS25" i="23"/>
  <c r="FT25" i="23"/>
  <c r="FU25" i="23"/>
  <c r="FV25" i="23"/>
  <c r="FW25" i="23"/>
  <c r="FX25" i="23"/>
  <c r="FY25" i="23"/>
  <c r="FZ25" i="23"/>
  <c r="GA25" i="23"/>
  <c r="GB25" i="23"/>
  <c r="GC25" i="23"/>
  <c r="GD25" i="23"/>
  <c r="P27" i="23"/>
  <c r="Q27" i="23"/>
  <c r="R27" i="23"/>
  <c r="S27" i="23"/>
  <c r="T27" i="23"/>
  <c r="U27" i="23"/>
  <c r="V27" i="23"/>
  <c r="W27" i="23"/>
  <c r="X27" i="23"/>
  <c r="Y27" i="23"/>
  <c r="Z27" i="23"/>
  <c r="AA27" i="23"/>
  <c r="AB27" i="23"/>
  <c r="AC27" i="23"/>
  <c r="AD27" i="23"/>
  <c r="AE27" i="23"/>
  <c r="AF27" i="23"/>
  <c r="AG27" i="23"/>
  <c r="AH27" i="23"/>
  <c r="AI27" i="23"/>
  <c r="AJ27" i="23"/>
  <c r="AK27" i="23"/>
  <c r="AL27" i="23"/>
  <c r="AM27" i="23"/>
  <c r="AN27" i="23"/>
  <c r="AO27" i="23"/>
  <c r="AP27" i="23"/>
  <c r="AQ27" i="23"/>
  <c r="AR27" i="23"/>
  <c r="AS27" i="23"/>
  <c r="AT27" i="23"/>
  <c r="AU27" i="23"/>
  <c r="AV27" i="23"/>
  <c r="AW27" i="23"/>
  <c r="AX27" i="23"/>
  <c r="AY27" i="23"/>
  <c r="AZ27" i="23"/>
  <c r="BA27" i="23"/>
  <c r="BB27" i="23"/>
  <c r="BC27" i="23"/>
  <c r="BD27" i="23"/>
  <c r="BE27" i="23"/>
  <c r="BF27" i="23"/>
  <c r="BG27" i="23"/>
  <c r="BH27" i="23"/>
  <c r="BI27" i="23"/>
  <c r="BJ27" i="23"/>
  <c r="BK27" i="23"/>
  <c r="BL27" i="23"/>
  <c r="BM27" i="23"/>
  <c r="BN27" i="23"/>
  <c r="BO27" i="23"/>
  <c r="BP27" i="23"/>
  <c r="BQ27" i="23"/>
  <c r="BR27" i="23"/>
  <c r="BS27" i="23"/>
  <c r="BT27" i="23"/>
  <c r="BU27" i="23"/>
  <c r="BV27" i="23"/>
  <c r="BW27" i="23"/>
  <c r="BX27" i="23"/>
  <c r="BY27" i="23"/>
  <c r="BZ27" i="23"/>
  <c r="CA27" i="23"/>
  <c r="CB27" i="23"/>
  <c r="CC27" i="23"/>
  <c r="CD27" i="23"/>
  <c r="CE27" i="23"/>
  <c r="CF27" i="23"/>
  <c r="CG27" i="23"/>
  <c r="CH27" i="23"/>
  <c r="CI27" i="23"/>
  <c r="CJ27" i="23"/>
  <c r="CK27" i="23"/>
  <c r="CL27" i="23"/>
  <c r="CM27" i="23"/>
  <c r="CN27" i="23"/>
  <c r="CO27" i="23"/>
  <c r="CP27" i="23"/>
  <c r="CQ27" i="23"/>
  <c r="CR27" i="23"/>
  <c r="CS27" i="23"/>
  <c r="CT27" i="23"/>
  <c r="CU27" i="23"/>
  <c r="CV27" i="23"/>
  <c r="CW27" i="23"/>
  <c r="CX27" i="23"/>
  <c r="CY27" i="23"/>
  <c r="CZ27" i="23"/>
  <c r="DA27" i="23"/>
  <c r="DB27" i="23"/>
  <c r="DC27" i="23"/>
  <c r="DD27" i="23"/>
  <c r="DE27" i="23"/>
  <c r="DF27" i="23"/>
  <c r="DG27" i="23"/>
  <c r="DH27" i="23"/>
  <c r="DI27" i="23"/>
  <c r="DJ27" i="23"/>
  <c r="DK27" i="23"/>
  <c r="DL27" i="23"/>
  <c r="DM27" i="23"/>
  <c r="DN27" i="23"/>
  <c r="DO27" i="23"/>
  <c r="DP27" i="23"/>
  <c r="DQ27" i="23"/>
  <c r="DR27" i="23"/>
  <c r="DS27" i="23"/>
  <c r="DT27" i="23"/>
  <c r="DU27" i="23"/>
  <c r="DV27" i="23"/>
  <c r="DW27" i="23"/>
  <c r="DX27" i="23"/>
  <c r="DY27" i="23"/>
  <c r="DZ27" i="23"/>
  <c r="EA27" i="23"/>
  <c r="EB27" i="23"/>
  <c r="EC27" i="23"/>
  <c r="ED27" i="23"/>
  <c r="EE27" i="23"/>
  <c r="EF27" i="23"/>
  <c r="EG27" i="23"/>
  <c r="EH27" i="23"/>
  <c r="EI27" i="23"/>
  <c r="EJ27" i="23"/>
  <c r="EK27" i="23"/>
  <c r="EL27" i="23"/>
  <c r="EM27" i="23"/>
  <c r="EN27" i="23"/>
  <c r="EO27" i="23"/>
  <c r="EP27" i="23"/>
  <c r="EQ27" i="23"/>
  <c r="ER27" i="23"/>
  <c r="ES27" i="23"/>
  <c r="ET27" i="23"/>
  <c r="EU27" i="23"/>
  <c r="EV27" i="23"/>
  <c r="EW27" i="23"/>
  <c r="EX27" i="23"/>
  <c r="EY27" i="23"/>
  <c r="EZ27" i="23"/>
  <c r="FA27" i="23"/>
  <c r="FB27" i="23"/>
  <c r="FC27" i="23"/>
  <c r="FD27" i="23"/>
  <c r="FE27" i="23"/>
  <c r="FF27" i="23"/>
  <c r="FG27" i="23"/>
  <c r="FH27" i="23"/>
  <c r="FI27" i="23"/>
  <c r="FJ27" i="23"/>
  <c r="FK27" i="23"/>
  <c r="FL27" i="23"/>
  <c r="FM27" i="23"/>
  <c r="FN27" i="23"/>
  <c r="FO27" i="23"/>
  <c r="FP27" i="23"/>
  <c r="FQ27" i="23"/>
  <c r="FR27" i="23"/>
  <c r="FS27" i="23"/>
  <c r="FT27" i="23"/>
  <c r="FU27" i="23"/>
  <c r="FV27" i="23"/>
  <c r="FW27" i="23"/>
  <c r="FX27" i="23"/>
  <c r="FY27" i="23"/>
  <c r="FZ27" i="23"/>
  <c r="GA27" i="23"/>
  <c r="GB27" i="23"/>
  <c r="GC27" i="23"/>
  <c r="GD27" i="23"/>
  <c r="F28" i="23"/>
  <c r="O28" i="23"/>
  <c r="P28" i="23"/>
  <c r="Q28" i="23"/>
  <c r="R28" i="23"/>
  <c r="S28" i="23"/>
  <c r="T28" i="23"/>
  <c r="U28" i="23"/>
  <c r="V28" i="23"/>
  <c r="W28" i="23"/>
  <c r="X28" i="23"/>
  <c r="Y28" i="23"/>
  <c r="Z28" i="23"/>
  <c r="AA28" i="23"/>
  <c r="AB28" i="23"/>
  <c r="AC28" i="23"/>
  <c r="AD28" i="23"/>
  <c r="AE28" i="23"/>
  <c r="AF28" i="23"/>
  <c r="AG28" i="23"/>
  <c r="AH28" i="23"/>
  <c r="AI28" i="23"/>
  <c r="AJ28" i="23"/>
  <c r="AK28" i="23"/>
  <c r="AL28" i="23"/>
  <c r="AM28" i="23"/>
  <c r="AN28" i="23"/>
  <c r="AO28" i="23"/>
  <c r="AP28" i="23"/>
  <c r="AQ28" i="23"/>
  <c r="AR28" i="23"/>
  <c r="AS28" i="23"/>
  <c r="AT28" i="23"/>
  <c r="AU28" i="23"/>
  <c r="AV28" i="23"/>
  <c r="AW28" i="23"/>
  <c r="AX28" i="23"/>
  <c r="AY28" i="23"/>
  <c r="AZ28" i="23"/>
  <c r="BA28" i="23"/>
  <c r="BB28" i="23"/>
  <c r="BC28" i="23"/>
  <c r="BD28" i="23"/>
  <c r="BE28" i="23"/>
  <c r="BF28" i="23"/>
  <c r="BG28" i="23"/>
  <c r="BH28" i="23"/>
  <c r="BI28" i="23"/>
  <c r="BJ28" i="23"/>
  <c r="BK28" i="23"/>
  <c r="BL28" i="23"/>
  <c r="BM28" i="23"/>
  <c r="BN28" i="23"/>
  <c r="BO28" i="23"/>
  <c r="BP28" i="23"/>
  <c r="BQ28" i="23"/>
  <c r="BR28" i="23"/>
  <c r="BS28" i="23"/>
  <c r="BT28" i="23"/>
  <c r="BU28" i="23"/>
  <c r="BV28" i="23"/>
  <c r="BW28" i="23"/>
  <c r="BX28" i="23"/>
  <c r="BY28" i="23"/>
  <c r="BZ28" i="23"/>
  <c r="CA28" i="23"/>
  <c r="CB28" i="23"/>
  <c r="CC28" i="23"/>
  <c r="CD28" i="23"/>
  <c r="CE28" i="23"/>
  <c r="CF28" i="23"/>
  <c r="CG28" i="23"/>
  <c r="CH28" i="23"/>
  <c r="CI28" i="23"/>
  <c r="CJ28" i="23"/>
  <c r="CK28" i="23"/>
  <c r="CL28" i="23"/>
  <c r="CM28" i="23"/>
  <c r="CN28" i="23"/>
  <c r="CO28" i="23"/>
  <c r="CP28" i="23"/>
  <c r="CQ28" i="23"/>
  <c r="CR28" i="23"/>
  <c r="CS28" i="23"/>
  <c r="CT28" i="23"/>
  <c r="CU28" i="23"/>
  <c r="CV28" i="23"/>
  <c r="CW28" i="23"/>
  <c r="CX28" i="23"/>
  <c r="CY28" i="23"/>
  <c r="CZ28" i="23"/>
  <c r="DA28" i="23"/>
  <c r="DB28" i="23"/>
  <c r="DC28" i="23"/>
  <c r="DD28" i="23"/>
  <c r="DE28" i="23"/>
  <c r="DF28" i="23"/>
  <c r="DG28" i="23"/>
  <c r="DH28" i="23"/>
  <c r="DI28" i="23"/>
  <c r="DJ28" i="23"/>
  <c r="DK28" i="23"/>
  <c r="DL28" i="23"/>
  <c r="DM28" i="23"/>
  <c r="DN28" i="23"/>
  <c r="DO28" i="23"/>
  <c r="DP28" i="23"/>
  <c r="DQ28" i="23"/>
  <c r="DR28" i="23"/>
  <c r="DS28" i="23"/>
  <c r="DT28" i="23"/>
  <c r="DU28" i="23"/>
  <c r="DV28" i="23"/>
  <c r="DW28" i="23"/>
  <c r="DX28" i="23"/>
  <c r="DY28" i="23"/>
  <c r="DZ28" i="23"/>
  <c r="EA28" i="23"/>
  <c r="EB28" i="23"/>
  <c r="EC28" i="23"/>
  <c r="ED28" i="23"/>
  <c r="EE28" i="23"/>
  <c r="EF28" i="23"/>
  <c r="EG28" i="23"/>
  <c r="EH28" i="23"/>
  <c r="EI28" i="23"/>
  <c r="EJ28" i="23"/>
  <c r="EK28" i="23"/>
  <c r="EL28" i="23"/>
  <c r="EM28" i="23"/>
  <c r="EN28" i="23"/>
  <c r="EO28" i="23"/>
  <c r="EP28" i="23"/>
  <c r="EQ28" i="23"/>
  <c r="ER28" i="23"/>
  <c r="ES28" i="23"/>
  <c r="ET28" i="23"/>
  <c r="EU28" i="23"/>
  <c r="EV28" i="23"/>
  <c r="EW28" i="23"/>
  <c r="EX28" i="23"/>
  <c r="EY28" i="23"/>
  <c r="EZ28" i="23"/>
  <c r="FA28" i="23"/>
  <c r="FB28" i="23"/>
  <c r="FC28" i="23"/>
  <c r="FD28" i="23"/>
  <c r="FE28" i="23"/>
  <c r="FF28" i="23"/>
  <c r="FG28" i="23"/>
  <c r="FH28" i="23"/>
  <c r="FI28" i="23"/>
  <c r="FJ28" i="23"/>
  <c r="FK28" i="23"/>
  <c r="FL28" i="23"/>
  <c r="FM28" i="23"/>
  <c r="FN28" i="23"/>
  <c r="FO28" i="23"/>
  <c r="FP28" i="23"/>
  <c r="FQ28" i="23"/>
  <c r="FR28" i="23"/>
  <c r="FS28" i="23"/>
  <c r="FT28" i="23"/>
  <c r="FU28" i="23"/>
  <c r="FV28" i="23"/>
  <c r="FW28" i="23"/>
  <c r="FX28" i="23"/>
  <c r="FY28" i="23"/>
  <c r="FZ28" i="23"/>
  <c r="GA28" i="23"/>
  <c r="GB28" i="23"/>
  <c r="GC28" i="23"/>
  <c r="GD28" i="23"/>
  <c r="F29" i="23"/>
  <c r="O29" i="23"/>
  <c r="P29" i="23"/>
  <c r="Q29" i="23"/>
  <c r="R29" i="23"/>
  <c r="S29" i="23"/>
  <c r="T29" i="23"/>
  <c r="U29" i="23"/>
  <c r="V29" i="23"/>
  <c r="W29" i="23"/>
  <c r="X29" i="23"/>
  <c r="Y29" i="23"/>
  <c r="Z29" i="23"/>
  <c r="AA29" i="23"/>
  <c r="AB29" i="23"/>
  <c r="AC29" i="23"/>
  <c r="AD29" i="23"/>
  <c r="AE29" i="23"/>
  <c r="AF29" i="23"/>
  <c r="AG29" i="23"/>
  <c r="AH29" i="23"/>
  <c r="AI29" i="23"/>
  <c r="AJ29" i="23"/>
  <c r="AK29" i="23"/>
  <c r="AL29" i="23"/>
  <c r="AM29" i="23"/>
  <c r="AN29" i="23"/>
  <c r="AO29" i="23"/>
  <c r="AP29" i="23"/>
  <c r="AQ29" i="23"/>
  <c r="AR29" i="23"/>
  <c r="AS29" i="23"/>
  <c r="AT29" i="23"/>
  <c r="AU29" i="23"/>
  <c r="AV29" i="23"/>
  <c r="AW29" i="23"/>
  <c r="AX29" i="23"/>
  <c r="AY29" i="23"/>
  <c r="AZ29" i="23"/>
  <c r="BA29" i="23"/>
  <c r="BB29" i="23"/>
  <c r="BC29" i="23"/>
  <c r="BD29" i="23"/>
  <c r="BE29" i="23"/>
  <c r="BF29" i="23"/>
  <c r="BG29" i="23"/>
  <c r="BH29" i="23"/>
  <c r="BI29" i="23"/>
  <c r="BJ29" i="23"/>
  <c r="BK29" i="23"/>
  <c r="BL29" i="23"/>
  <c r="BM29" i="23"/>
  <c r="BN29" i="23"/>
  <c r="BO29" i="23"/>
  <c r="BP29" i="23"/>
  <c r="BQ29" i="23"/>
  <c r="BR29" i="23"/>
  <c r="BS29" i="23"/>
  <c r="BT29" i="23"/>
  <c r="BU29" i="23"/>
  <c r="BV29" i="23"/>
  <c r="BW29" i="23"/>
  <c r="BX29" i="23"/>
  <c r="BY29" i="23"/>
  <c r="BZ29" i="23"/>
  <c r="CA29" i="23"/>
  <c r="CB29" i="23"/>
  <c r="CC29" i="23"/>
  <c r="CD29" i="23"/>
  <c r="CE29" i="23"/>
  <c r="CF29" i="23"/>
  <c r="CG29" i="23"/>
  <c r="CH29" i="23"/>
  <c r="CI29" i="23"/>
  <c r="CJ29" i="23"/>
  <c r="CK29" i="23"/>
  <c r="CL29" i="23"/>
  <c r="CM29" i="23"/>
  <c r="CN29" i="23"/>
  <c r="CO29" i="23"/>
  <c r="CP29" i="23"/>
  <c r="CQ29" i="23"/>
  <c r="CR29" i="23"/>
  <c r="CS29" i="23"/>
  <c r="CT29" i="23"/>
  <c r="CU29" i="23"/>
  <c r="CV29" i="23"/>
  <c r="CW29" i="23"/>
  <c r="CX29" i="23"/>
  <c r="CY29" i="23"/>
  <c r="CZ29" i="23"/>
  <c r="DA29" i="23"/>
  <c r="DB29" i="23"/>
  <c r="DC29" i="23"/>
  <c r="DD29" i="23"/>
  <c r="DE29" i="23"/>
  <c r="DF29" i="23"/>
  <c r="DG29" i="23"/>
  <c r="DH29" i="23"/>
  <c r="DI29" i="23"/>
  <c r="DJ29" i="23"/>
  <c r="DK29" i="23"/>
  <c r="DL29" i="23"/>
  <c r="DM29" i="23"/>
  <c r="DN29" i="23"/>
  <c r="DO29" i="23"/>
  <c r="DP29" i="23"/>
  <c r="DQ29" i="23"/>
  <c r="DR29" i="23"/>
  <c r="DS29" i="23"/>
  <c r="DT29" i="23"/>
  <c r="DU29" i="23"/>
  <c r="DV29" i="23"/>
  <c r="DW29" i="23"/>
  <c r="DX29" i="23"/>
  <c r="DY29" i="23"/>
  <c r="DZ29" i="23"/>
  <c r="EA29" i="23"/>
  <c r="EB29" i="23"/>
  <c r="EC29" i="23"/>
  <c r="ED29" i="23"/>
  <c r="EE29" i="23"/>
  <c r="EF29" i="23"/>
  <c r="EG29" i="23"/>
  <c r="EH29" i="23"/>
  <c r="EI29" i="23"/>
  <c r="EJ29" i="23"/>
  <c r="EK29" i="23"/>
  <c r="EL29" i="23"/>
  <c r="EM29" i="23"/>
  <c r="EN29" i="23"/>
  <c r="EO29" i="23"/>
  <c r="EP29" i="23"/>
  <c r="EQ29" i="23"/>
  <c r="ER29" i="23"/>
  <c r="ES29" i="23"/>
  <c r="ET29" i="23"/>
  <c r="EU29" i="23"/>
  <c r="EV29" i="23"/>
  <c r="EW29" i="23"/>
  <c r="EX29" i="23"/>
  <c r="EY29" i="23"/>
  <c r="EZ29" i="23"/>
  <c r="FA29" i="23"/>
  <c r="FB29" i="23"/>
  <c r="FC29" i="23"/>
  <c r="FD29" i="23"/>
  <c r="FE29" i="23"/>
  <c r="FF29" i="23"/>
  <c r="FG29" i="23"/>
  <c r="FH29" i="23"/>
  <c r="FI29" i="23"/>
  <c r="FJ29" i="23"/>
  <c r="FK29" i="23"/>
  <c r="FL29" i="23"/>
  <c r="FM29" i="23"/>
  <c r="FN29" i="23"/>
  <c r="FO29" i="23"/>
  <c r="FP29" i="23"/>
  <c r="FQ29" i="23"/>
  <c r="FR29" i="23"/>
  <c r="FS29" i="23"/>
  <c r="FT29" i="23"/>
  <c r="FU29" i="23"/>
  <c r="FV29" i="23"/>
  <c r="FW29" i="23"/>
  <c r="FX29" i="23"/>
  <c r="FY29" i="23"/>
  <c r="FZ29" i="23"/>
  <c r="GA29" i="23"/>
  <c r="GB29" i="23"/>
  <c r="GC29" i="23"/>
  <c r="GD29" i="23"/>
  <c r="O30" i="23"/>
  <c r="P30" i="23"/>
  <c r="Q30" i="23"/>
  <c r="R30" i="23"/>
  <c r="S30" i="23"/>
  <c r="T30" i="23"/>
  <c r="U30" i="23"/>
  <c r="V30" i="23"/>
  <c r="W30" i="23"/>
  <c r="X30" i="23"/>
  <c r="Y30" i="23"/>
  <c r="Z30" i="23"/>
  <c r="AA30" i="23"/>
  <c r="AB30" i="23"/>
  <c r="AC30" i="23"/>
  <c r="AD30" i="23"/>
  <c r="AE30" i="23"/>
  <c r="AF30" i="23"/>
  <c r="AG30" i="23"/>
  <c r="AH30" i="23"/>
  <c r="AI30" i="23"/>
  <c r="AJ30" i="23"/>
  <c r="AK30" i="23"/>
  <c r="AL30" i="23"/>
  <c r="AM30" i="23"/>
  <c r="AN30" i="23"/>
  <c r="AO30" i="23"/>
  <c r="AP30" i="23"/>
  <c r="AQ30" i="23"/>
  <c r="AR30" i="23"/>
  <c r="AS30" i="23"/>
  <c r="AT30" i="23"/>
  <c r="AU30" i="23"/>
  <c r="AV30" i="23"/>
  <c r="AW30" i="23"/>
  <c r="AX30" i="23"/>
  <c r="AY30" i="23"/>
  <c r="AZ30" i="23"/>
  <c r="BA30" i="23"/>
  <c r="BB30" i="23"/>
  <c r="BC30" i="23"/>
  <c r="BD30" i="23"/>
  <c r="BE30" i="23"/>
  <c r="BF30" i="23"/>
  <c r="BG30" i="23"/>
  <c r="BH30" i="23"/>
  <c r="BI30" i="23"/>
  <c r="BJ30" i="23"/>
  <c r="BK30" i="23"/>
  <c r="BL30" i="23"/>
  <c r="BM30" i="23"/>
  <c r="BN30" i="23"/>
  <c r="BO30" i="23"/>
  <c r="BP30" i="23"/>
  <c r="BQ30" i="23"/>
  <c r="BR30" i="23"/>
  <c r="BS30" i="23"/>
  <c r="BT30" i="23"/>
  <c r="BU30" i="23"/>
  <c r="BV30" i="23"/>
  <c r="BW30" i="23"/>
  <c r="BX30" i="23"/>
  <c r="BY30" i="23"/>
  <c r="BZ30" i="23"/>
  <c r="CA30" i="23"/>
  <c r="CB30" i="23"/>
  <c r="CC30" i="23"/>
  <c r="CD30" i="23"/>
  <c r="CE30" i="23"/>
  <c r="CF30" i="23"/>
  <c r="CG30" i="23"/>
  <c r="CH30" i="23"/>
  <c r="CI30" i="23"/>
  <c r="CJ30" i="23"/>
  <c r="CK30" i="23"/>
  <c r="CL30" i="23"/>
  <c r="CM30" i="23"/>
  <c r="CN30" i="23"/>
  <c r="CO30" i="23"/>
  <c r="CP30" i="23"/>
  <c r="CQ30" i="23"/>
  <c r="CR30" i="23"/>
  <c r="CS30" i="23"/>
  <c r="CT30" i="23"/>
  <c r="CU30" i="23"/>
  <c r="CV30" i="23"/>
  <c r="CW30" i="23"/>
  <c r="CX30" i="23"/>
  <c r="CY30" i="23"/>
  <c r="CZ30" i="23"/>
  <c r="DA30" i="23"/>
  <c r="DB30" i="23"/>
  <c r="DC30" i="23"/>
  <c r="DD30" i="23"/>
  <c r="DE30" i="23"/>
  <c r="DF30" i="23"/>
  <c r="DG30" i="23"/>
  <c r="DH30" i="23"/>
  <c r="DI30" i="23"/>
  <c r="DJ30" i="23"/>
  <c r="DK30" i="23"/>
  <c r="DL30" i="23"/>
  <c r="DM30" i="23"/>
  <c r="DN30" i="23"/>
  <c r="DO30" i="23"/>
  <c r="DP30" i="23"/>
  <c r="DQ30" i="23"/>
  <c r="DR30" i="23"/>
  <c r="DS30" i="23"/>
  <c r="DT30" i="23"/>
  <c r="DU30" i="23"/>
  <c r="DV30" i="23"/>
  <c r="DW30" i="23"/>
  <c r="DX30" i="23"/>
  <c r="DY30" i="23"/>
  <c r="DZ30" i="23"/>
  <c r="EA30" i="23"/>
  <c r="EB30" i="23"/>
  <c r="EC30" i="23"/>
  <c r="ED30" i="23"/>
  <c r="EE30" i="23"/>
  <c r="EF30" i="23"/>
  <c r="EG30" i="23"/>
  <c r="EH30" i="23"/>
  <c r="EI30" i="23"/>
  <c r="EJ30" i="23"/>
  <c r="EK30" i="23"/>
  <c r="EL30" i="23"/>
  <c r="EM30" i="23"/>
  <c r="EN30" i="23"/>
  <c r="EO30" i="23"/>
  <c r="EP30" i="23"/>
  <c r="EQ30" i="23"/>
  <c r="ER30" i="23"/>
  <c r="ES30" i="23"/>
  <c r="ET30" i="23"/>
  <c r="EU30" i="23"/>
  <c r="EV30" i="23"/>
  <c r="EW30" i="23"/>
  <c r="EX30" i="23"/>
  <c r="EY30" i="23"/>
  <c r="EZ30" i="23"/>
  <c r="FA30" i="23"/>
  <c r="FB30" i="23"/>
  <c r="FC30" i="23"/>
  <c r="FD30" i="23"/>
  <c r="FE30" i="23"/>
  <c r="FF30" i="23"/>
  <c r="FG30" i="23"/>
  <c r="FH30" i="23"/>
  <c r="FI30" i="23"/>
  <c r="FJ30" i="23"/>
  <c r="FK30" i="23"/>
  <c r="FL30" i="23"/>
  <c r="FM30" i="23"/>
  <c r="FN30" i="23"/>
  <c r="FO30" i="23"/>
  <c r="FP30" i="23"/>
  <c r="FQ30" i="23"/>
  <c r="FR30" i="23"/>
  <c r="FS30" i="23"/>
  <c r="FT30" i="23"/>
  <c r="FU30" i="23"/>
  <c r="FV30" i="23"/>
  <c r="FW30" i="23"/>
  <c r="FX30" i="23"/>
  <c r="FY30" i="23"/>
  <c r="FZ30" i="23"/>
  <c r="GA30" i="23"/>
  <c r="GB30" i="23"/>
  <c r="GC30" i="23"/>
  <c r="GD30" i="23"/>
  <c r="F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AA36" i="23"/>
  <c r="AB36" i="23"/>
  <c r="AC36" i="23"/>
  <c r="AD36" i="23"/>
  <c r="AE36" i="23"/>
  <c r="AF36" i="23"/>
  <c r="AG36" i="23"/>
  <c r="AH36" i="23"/>
  <c r="AI36" i="23"/>
  <c r="AJ36" i="23"/>
  <c r="AK36" i="23"/>
  <c r="AL36" i="23"/>
  <c r="AM36" i="23"/>
  <c r="AN36" i="23"/>
  <c r="AO36" i="23"/>
  <c r="AP36" i="23"/>
  <c r="AQ36" i="23"/>
  <c r="AR36" i="23"/>
  <c r="AS36" i="23"/>
  <c r="AT36" i="23"/>
  <c r="AU36" i="23"/>
  <c r="AV36" i="23"/>
  <c r="AW36" i="23"/>
  <c r="AX36" i="23"/>
  <c r="AY36" i="23"/>
  <c r="AZ36" i="23"/>
  <c r="BA36" i="23"/>
  <c r="BB36" i="23"/>
  <c r="BC36" i="23"/>
  <c r="BD36" i="23"/>
  <c r="BE36" i="23"/>
  <c r="BF36" i="23"/>
  <c r="BG36" i="23"/>
  <c r="BH36" i="23"/>
  <c r="BI36" i="23"/>
  <c r="BJ36" i="23"/>
  <c r="BK36" i="23"/>
  <c r="BL36" i="23"/>
  <c r="BM36" i="23"/>
  <c r="BN36" i="23"/>
  <c r="BO36" i="23"/>
  <c r="BP36" i="23"/>
  <c r="BQ36" i="23"/>
  <c r="BR36" i="23"/>
  <c r="BS36" i="23"/>
  <c r="BT36" i="23"/>
  <c r="BU36" i="23"/>
  <c r="BV36" i="23"/>
  <c r="BW36" i="23"/>
  <c r="BX36" i="23"/>
  <c r="BY36" i="23"/>
  <c r="BZ36" i="23"/>
  <c r="CA36" i="23"/>
  <c r="CB36" i="23"/>
  <c r="CC36" i="23"/>
  <c r="CD36" i="23"/>
  <c r="CE36" i="23"/>
  <c r="CF36" i="23"/>
  <c r="CG36" i="23"/>
  <c r="CH36" i="23"/>
  <c r="CI36" i="23"/>
  <c r="CJ36" i="23"/>
  <c r="CK36" i="23"/>
  <c r="CL36" i="23"/>
  <c r="CM36" i="23"/>
  <c r="CN36" i="23"/>
  <c r="CO36" i="23"/>
  <c r="CP36" i="23"/>
  <c r="CQ36" i="23"/>
  <c r="CR36" i="23"/>
  <c r="CS36" i="23"/>
  <c r="CT36" i="23"/>
  <c r="CU36" i="23"/>
  <c r="CV36" i="23"/>
  <c r="CW36" i="23"/>
  <c r="CX36" i="23"/>
  <c r="CY36" i="23"/>
  <c r="CZ36" i="23"/>
  <c r="DA36" i="23"/>
  <c r="DB36" i="23"/>
  <c r="DC36" i="23"/>
  <c r="DD36" i="23"/>
  <c r="DE36" i="23"/>
  <c r="DF36" i="23"/>
  <c r="DG36" i="23"/>
  <c r="DH36" i="23"/>
  <c r="DI36" i="23"/>
  <c r="DJ36" i="23"/>
  <c r="DK36" i="23"/>
  <c r="DL36" i="23"/>
  <c r="DM36" i="23"/>
  <c r="DN36" i="23"/>
  <c r="DO36" i="23"/>
  <c r="DP36" i="23"/>
  <c r="DQ36" i="23"/>
  <c r="DR36" i="23"/>
  <c r="DS36" i="23"/>
  <c r="DT36" i="23"/>
  <c r="DU36" i="23"/>
  <c r="DV36" i="23"/>
  <c r="DW36" i="23"/>
  <c r="DX36" i="23"/>
  <c r="DY36" i="23"/>
  <c r="DZ36" i="23"/>
  <c r="EA36" i="23"/>
  <c r="EB36" i="23"/>
  <c r="EC36" i="23"/>
  <c r="ED36" i="23"/>
  <c r="EE36" i="23"/>
  <c r="EF36" i="23"/>
  <c r="EG36" i="23"/>
  <c r="EH36" i="23"/>
  <c r="EI36" i="23"/>
  <c r="EJ36" i="23"/>
  <c r="EK36" i="23"/>
  <c r="EL36" i="23"/>
  <c r="EM36" i="23"/>
  <c r="EN36" i="23"/>
  <c r="EO36" i="23"/>
  <c r="EP36" i="23"/>
  <c r="EQ36" i="23"/>
  <c r="ER36" i="23"/>
  <c r="ES36" i="23"/>
  <c r="ET36" i="23"/>
  <c r="EU36" i="23"/>
  <c r="EV36" i="23"/>
  <c r="EW36" i="23"/>
  <c r="EX36" i="23"/>
  <c r="EY36" i="23"/>
  <c r="EZ36" i="23"/>
  <c r="FA36" i="23"/>
  <c r="FB36" i="23"/>
  <c r="FC36" i="23"/>
  <c r="FD36" i="23"/>
  <c r="FE36" i="23"/>
  <c r="FF36" i="23"/>
  <c r="FG36" i="23"/>
  <c r="FH36" i="23"/>
  <c r="FI36" i="23"/>
  <c r="FJ36" i="23"/>
  <c r="FK36" i="23"/>
  <c r="FL36" i="23"/>
  <c r="FM36" i="23"/>
  <c r="FN36" i="23"/>
  <c r="FO36" i="23"/>
  <c r="FP36" i="23"/>
  <c r="FQ36" i="23"/>
  <c r="FR36" i="23"/>
  <c r="FS36" i="23"/>
  <c r="FT36" i="23"/>
  <c r="FU36" i="23"/>
  <c r="FV36" i="23"/>
  <c r="FW36" i="23"/>
  <c r="FX36" i="23"/>
  <c r="FY36" i="23"/>
  <c r="FZ36" i="23"/>
  <c r="GA36" i="23"/>
  <c r="GB36" i="23"/>
  <c r="GC36" i="23"/>
  <c r="GD36" i="23"/>
  <c r="F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AA40" i="23"/>
  <c r="AB40" i="23"/>
  <c r="AC40" i="23"/>
  <c r="AD40" i="23"/>
  <c r="AE40" i="23"/>
  <c r="AF40" i="23"/>
  <c r="AG40" i="23"/>
  <c r="AH40" i="23"/>
  <c r="AI40" i="23"/>
  <c r="AJ40" i="23"/>
  <c r="AK40" i="23"/>
  <c r="AL40" i="23"/>
  <c r="AM40" i="23"/>
  <c r="AN40" i="23"/>
  <c r="AO40" i="23"/>
  <c r="AP40" i="23"/>
  <c r="AQ40" i="23"/>
  <c r="AR40" i="23"/>
  <c r="AS40" i="23"/>
  <c r="AT40" i="23"/>
  <c r="AU40" i="23"/>
  <c r="AV40" i="23"/>
  <c r="AW40" i="23"/>
  <c r="AX40" i="23"/>
  <c r="AY40" i="23"/>
  <c r="AZ40" i="23"/>
  <c r="BA40" i="23"/>
  <c r="BB40" i="23"/>
  <c r="BC40" i="23"/>
  <c r="BD40" i="23"/>
  <c r="BE40" i="23"/>
  <c r="BF40" i="23"/>
  <c r="BG40" i="23"/>
  <c r="BH40" i="23"/>
  <c r="BI40" i="23"/>
  <c r="BJ40" i="23"/>
  <c r="BK40" i="23"/>
  <c r="BL40" i="23"/>
  <c r="BM40" i="23"/>
  <c r="BN40" i="23"/>
  <c r="BO40" i="23"/>
  <c r="BP40" i="23"/>
  <c r="BQ40" i="23"/>
  <c r="BR40" i="23"/>
  <c r="BS40" i="23"/>
  <c r="BT40" i="23"/>
  <c r="BU40" i="23"/>
  <c r="BV40" i="23"/>
  <c r="BW40" i="23"/>
  <c r="BX40" i="23"/>
  <c r="BY40" i="23"/>
  <c r="BZ40" i="23"/>
  <c r="CA40" i="23"/>
  <c r="CB40" i="23"/>
  <c r="CC40" i="23"/>
  <c r="CD40" i="23"/>
  <c r="CE40" i="23"/>
  <c r="CF40" i="23"/>
  <c r="CG40" i="23"/>
  <c r="CH40" i="23"/>
  <c r="CI40" i="23"/>
  <c r="CJ40" i="23"/>
  <c r="CK40" i="23"/>
  <c r="CL40" i="23"/>
  <c r="CM40" i="23"/>
  <c r="CN40" i="23"/>
  <c r="CO40" i="23"/>
  <c r="CP40" i="23"/>
  <c r="CQ40" i="23"/>
  <c r="CR40" i="23"/>
  <c r="CS40" i="23"/>
  <c r="CT40" i="23"/>
  <c r="CU40" i="23"/>
  <c r="CV40" i="23"/>
  <c r="CW40" i="23"/>
  <c r="CX40" i="23"/>
  <c r="CY40" i="23"/>
  <c r="CZ40" i="23"/>
  <c r="DA40" i="23"/>
  <c r="DB40" i="23"/>
  <c r="DC40" i="23"/>
  <c r="DD40" i="23"/>
  <c r="DE40" i="23"/>
  <c r="DF40" i="23"/>
  <c r="DG40" i="23"/>
  <c r="DH40" i="23"/>
  <c r="DI40" i="23"/>
  <c r="DJ40" i="23"/>
  <c r="DK40" i="23"/>
  <c r="DL40" i="23"/>
  <c r="DM40" i="23"/>
  <c r="DN40" i="23"/>
  <c r="DO40" i="23"/>
  <c r="DP40" i="23"/>
  <c r="DQ40" i="23"/>
  <c r="DR40" i="23"/>
  <c r="DS40" i="23"/>
  <c r="DT40" i="23"/>
  <c r="DU40" i="23"/>
  <c r="DV40" i="23"/>
  <c r="DW40" i="23"/>
  <c r="DX40" i="23"/>
  <c r="DY40" i="23"/>
  <c r="DZ40" i="23"/>
  <c r="EA40" i="23"/>
  <c r="EB40" i="23"/>
  <c r="EC40" i="23"/>
  <c r="ED40" i="23"/>
  <c r="EE40" i="23"/>
  <c r="EF40" i="23"/>
  <c r="EG40" i="23"/>
  <c r="EH40" i="23"/>
  <c r="EI40" i="23"/>
  <c r="EJ40" i="23"/>
  <c r="EK40" i="23"/>
  <c r="EL40" i="23"/>
  <c r="EM40" i="23"/>
  <c r="EN40" i="23"/>
  <c r="EO40" i="23"/>
  <c r="EP40" i="23"/>
  <c r="EQ40" i="23"/>
  <c r="ER40" i="23"/>
  <c r="ES40" i="23"/>
  <c r="ET40" i="23"/>
  <c r="EU40" i="23"/>
  <c r="EV40" i="23"/>
  <c r="EW40" i="23"/>
  <c r="EX40" i="23"/>
  <c r="EY40" i="23"/>
  <c r="EZ40" i="23"/>
  <c r="FA40" i="23"/>
  <c r="FB40" i="23"/>
  <c r="FC40" i="23"/>
  <c r="FD40" i="23"/>
  <c r="FE40" i="23"/>
  <c r="FF40" i="23"/>
  <c r="FG40" i="23"/>
  <c r="FH40" i="23"/>
  <c r="FI40" i="23"/>
  <c r="FJ40" i="23"/>
  <c r="FK40" i="23"/>
  <c r="FL40" i="23"/>
  <c r="FM40" i="23"/>
  <c r="FN40" i="23"/>
  <c r="FO40" i="23"/>
  <c r="FP40" i="23"/>
  <c r="FQ40" i="23"/>
  <c r="FR40" i="23"/>
  <c r="FS40" i="23"/>
  <c r="FT40" i="23"/>
  <c r="FU40" i="23"/>
  <c r="FV40" i="23"/>
  <c r="FW40" i="23"/>
  <c r="FX40" i="23"/>
  <c r="FY40" i="23"/>
  <c r="FZ40" i="23"/>
  <c r="GA40" i="23"/>
  <c r="GB40" i="23"/>
  <c r="GC40" i="23"/>
  <c r="GD40" i="23"/>
  <c r="F43" i="23"/>
  <c r="O43" i="23"/>
  <c r="P43" i="23"/>
  <c r="Q43" i="23"/>
  <c r="R43" i="23"/>
  <c r="S43" i="23"/>
  <c r="T43" i="23"/>
  <c r="U43" i="23"/>
  <c r="V43" i="23"/>
  <c r="W43" i="23"/>
  <c r="X43" i="23"/>
  <c r="Y43" i="23"/>
  <c r="Z43" i="23"/>
  <c r="AA43" i="23"/>
  <c r="AB43" i="23"/>
  <c r="AC43" i="23"/>
  <c r="AD43" i="23"/>
  <c r="AE43" i="23"/>
  <c r="AF43" i="23"/>
  <c r="AG43" i="23"/>
  <c r="AH43" i="23"/>
  <c r="AI43" i="23"/>
  <c r="AJ43" i="23"/>
  <c r="AK43" i="23"/>
  <c r="AL43" i="23"/>
  <c r="AM43" i="23"/>
  <c r="AN43" i="23"/>
  <c r="AO43" i="23"/>
  <c r="AP43" i="23"/>
  <c r="AQ43" i="23"/>
  <c r="AR43" i="23"/>
  <c r="AS43" i="23"/>
  <c r="AT43" i="23"/>
  <c r="AU43" i="23"/>
  <c r="AV43" i="23"/>
  <c r="AW43" i="23"/>
  <c r="AX43" i="23"/>
  <c r="AY43" i="23"/>
  <c r="AZ43" i="23"/>
  <c r="BA43" i="23"/>
  <c r="BB43" i="23"/>
  <c r="BC43" i="23"/>
  <c r="BD43" i="23"/>
  <c r="BE43" i="23"/>
  <c r="BF43" i="23"/>
  <c r="BG43" i="23"/>
  <c r="BH43" i="23"/>
  <c r="BI43" i="23"/>
  <c r="BJ43" i="23"/>
  <c r="BK43" i="23"/>
  <c r="BL43" i="23"/>
  <c r="BM43" i="23"/>
  <c r="BN43" i="23"/>
  <c r="BO43" i="23"/>
  <c r="BP43" i="23"/>
  <c r="BQ43" i="23"/>
  <c r="BR43" i="23"/>
  <c r="BS43" i="23"/>
  <c r="BT43" i="23"/>
  <c r="BU43" i="23"/>
  <c r="BV43" i="23"/>
  <c r="BW43" i="23"/>
  <c r="BX43" i="23"/>
  <c r="BY43" i="23"/>
  <c r="BZ43" i="23"/>
  <c r="CA43" i="23"/>
  <c r="CB43" i="23"/>
  <c r="CC43" i="23"/>
  <c r="CD43" i="23"/>
  <c r="CE43" i="23"/>
  <c r="CF43" i="23"/>
  <c r="CG43" i="23"/>
  <c r="CH43" i="23"/>
  <c r="CI43" i="23"/>
  <c r="CJ43" i="23"/>
  <c r="CK43" i="23"/>
  <c r="CL43" i="23"/>
  <c r="CM43" i="23"/>
  <c r="CN43" i="23"/>
  <c r="CO43" i="23"/>
  <c r="CP43" i="23"/>
  <c r="CQ43" i="23"/>
  <c r="CR43" i="23"/>
  <c r="CS43" i="23"/>
  <c r="CT43" i="23"/>
  <c r="CU43" i="23"/>
  <c r="CV43" i="23"/>
  <c r="CW43" i="23"/>
  <c r="CX43" i="23"/>
  <c r="CY43" i="23"/>
  <c r="CZ43" i="23"/>
  <c r="DA43" i="23"/>
  <c r="DB43" i="23"/>
  <c r="DC43" i="23"/>
  <c r="DD43" i="23"/>
  <c r="DE43" i="23"/>
  <c r="DF43" i="23"/>
  <c r="DG43" i="23"/>
  <c r="DH43" i="23"/>
  <c r="DI43" i="23"/>
  <c r="DJ43" i="23"/>
  <c r="DK43" i="23"/>
  <c r="DL43" i="23"/>
  <c r="DM43" i="23"/>
  <c r="DN43" i="23"/>
  <c r="DO43" i="23"/>
  <c r="DP43" i="23"/>
  <c r="DQ43" i="23"/>
  <c r="DR43" i="23"/>
  <c r="DS43" i="23"/>
  <c r="DT43" i="23"/>
  <c r="DU43" i="23"/>
  <c r="DV43" i="23"/>
  <c r="DW43" i="23"/>
  <c r="DX43" i="23"/>
  <c r="DY43" i="23"/>
  <c r="DZ43" i="23"/>
  <c r="EA43" i="23"/>
  <c r="EB43" i="23"/>
  <c r="EC43" i="23"/>
  <c r="ED43" i="23"/>
  <c r="EE43" i="23"/>
  <c r="EF43" i="23"/>
  <c r="EG43" i="23"/>
  <c r="EH43" i="23"/>
  <c r="EI43" i="23"/>
  <c r="EJ43" i="23"/>
  <c r="EK43" i="23"/>
  <c r="EL43" i="23"/>
  <c r="EM43" i="23"/>
  <c r="EN43" i="23"/>
  <c r="EO43" i="23"/>
  <c r="EP43" i="23"/>
  <c r="EQ43" i="23"/>
  <c r="ER43" i="23"/>
  <c r="ES43" i="23"/>
  <c r="ET43" i="23"/>
  <c r="EU43" i="23"/>
  <c r="EV43" i="23"/>
  <c r="EW43" i="23"/>
  <c r="EX43" i="23"/>
  <c r="EY43" i="23"/>
  <c r="EZ43" i="23"/>
  <c r="FA43" i="23"/>
  <c r="FB43" i="23"/>
  <c r="FC43" i="23"/>
  <c r="FD43" i="23"/>
  <c r="FE43" i="23"/>
  <c r="FF43" i="23"/>
  <c r="FG43" i="23"/>
  <c r="FH43" i="23"/>
  <c r="FI43" i="23"/>
  <c r="FJ43" i="23"/>
  <c r="FK43" i="23"/>
  <c r="FL43" i="23"/>
  <c r="FM43" i="23"/>
  <c r="FN43" i="23"/>
  <c r="FO43" i="23"/>
  <c r="FP43" i="23"/>
  <c r="FQ43" i="23"/>
  <c r="FR43" i="23"/>
  <c r="FS43" i="23"/>
  <c r="FT43" i="23"/>
  <c r="FU43" i="23"/>
  <c r="FV43" i="23"/>
  <c r="FW43" i="23"/>
  <c r="FX43" i="23"/>
  <c r="FY43" i="23"/>
  <c r="FZ43" i="23"/>
  <c r="GA43" i="23"/>
  <c r="GB43" i="23"/>
  <c r="GC43" i="23"/>
  <c r="GD43" i="23"/>
  <c r="F51" i="23"/>
  <c r="S51" i="23"/>
  <c r="T51" i="23"/>
  <c r="U51" i="23"/>
  <c r="V51" i="23"/>
  <c r="W51" i="23"/>
  <c r="X51" i="23"/>
  <c r="Y51" i="23"/>
  <c r="Z51" i="23"/>
  <c r="AA51" i="23"/>
  <c r="AB51" i="23"/>
  <c r="AC51" i="23"/>
  <c r="AD51" i="23"/>
  <c r="AE51" i="23"/>
  <c r="AF51" i="23"/>
  <c r="AG51" i="23"/>
  <c r="AH51" i="23"/>
  <c r="AI51" i="23"/>
  <c r="AJ51" i="23"/>
  <c r="AK51" i="23"/>
  <c r="AL51" i="23"/>
  <c r="AM51" i="23"/>
  <c r="AN51" i="23"/>
  <c r="AO51" i="23"/>
  <c r="AP51" i="23"/>
  <c r="AQ51" i="23"/>
  <c r="AR51" i="23"/>
  <c r="AS51" i="23"/>
  <c r="AT51" i="23"/>
  <c r="AU51" i="23"/>
  <c r="AV51" i="23"/>
  <c r="AW51" i="23"/>
  <c r="AX51" i="23"/>
  <c r="AY51" i="23"/>
  <c r="AZ51" i="23"/>
  <c r="BA51" i="23"/>
  <c r="BB51" i="23"/>
  <c r="BC51" i="23"/>
  <c r="BD51" i="23"/>
  <c r="BE51" i="23"/>
  <c r="BF51" i="23"/>
  <c r="BG51" i="23"/>
  <c r="BH51" i="23"/>
  <c r="BI51" i="23"/>
  <c r="BJ51" i="23"/>
  <c r="BK51" i="23"/>
  <c r="BL51" i="23"/>
  <c r="BM51" i="23"/>
  <c r="BN51" i="23"/>
  <c r="BO51" i="23"/>
  <c r="BP51" i="23"/>
  <c r="BQ51" i="23"/>
  <c r="BR51" i="23"/>
  <c r="BS51" i="23"/>
  <c r="BT51" i="23"/>
  <c r="BU51" i="23"/>
  <c r="BV51" i="23"/>
  <c r="BW51" i="23"/>
  <c r="BX51" i="23"/>
  <c r="BY51" i="23"/>
  <c r="BZ51" i="23"/>
  <c r="CA51" i="23"/>
  <c r="CB51" i="23"/>
  <c r="CC51" i="23"/>
  <c r="CD51" i="23"/>
  <c r="CE51" i="23"/>
  <c r="CF51" i="23"/>
  <c r="CG51" i="23"/>
  <c r="CH51" i="23"/>
  <c r="CI51" i="23"/>
  <c r="CJ51" i="23"/>
  <c r="CK51" i="23"/>
  <c r="CL51" i="23"/>
  <c r="CM51" i="23"/>
  <c r="CN51" i="23"/>
  <c r="CO51" i="23"/>
  <c r="CP51" i="23"/>
  <c r="CQ51" i="23"/>
  <c r="CR51" i="23"/>
  <c r="CS51" i="23"/>
  <c r="CT51" i="23"/>
  <c r="CU51" i="23"/>
  <c r="CV51" i="23"/>
  <c r="CW51" i="23"/>
  <c r="CX51" i="23"/>
  <c r="CY51" i="23"/>
  <c r="CZ51" i="23"/>
  <c r="DA51" i="23"/>
  <c r="DB51" i="23"/>
  <c r="DC51" i="23"/>
  <c r="DD51" i="23"/>
  <c r="DE51" i="23"/>
  <c r="DF51" i="23"/>
  <c r="DG51" i="23"/>
  <c r="DH51" i="23"/>
  <c r="DI51" i="23"/>
  <c r="DJ51" i="23"/>
  <c r="DK51" i="23"/>
  <c r="DL51" i="23"/>
  <c r="DM51" i="23"/>
  <c r="DN51" i="23"/>
  <c r="DO51" i="23"/>
  <c r="DP51" i="23"/>
  <c r="DQ51" i="23"/>
  <c r="DR51" i="23"/>
  <c r="DS51" i="23"/>
  <c r="DT51" i="23"/>
  <c r="DU51" i="23"/>
  <c r="DV51" i="23"/>
  <c r="DW51" i="23"/>
  <c r="DX51" i="23"/>
  <c r="DY51" i="23"/>
  <c r="DZ51" i="23"/>
  <c r="EA51" i="23"/>
  <c r="EB51" i="23"/>
  <c r="EC51" i="23"/>
  <c r="ED51" i="23"/>
  <c r="EE51" i="23"/>
  <c r="EF51" i="23"/>
  <c r="EG51" i="23"/>
  <c r="EH51" i="23"/>
  <c r="EI51" i="23"/>
  <c r="EJ51" i="23"/>
  <c r="EK51" i="23"/>
  <c r="EL51" i="23"/>
  <c r="EM51" i="23"/>
  <c r="EN51" i="23"/>
  <c r="EO51" i="23"/>
  <c r="EP51" i="23"/>
  <c r="EQ51" i="23"/>
  <c r="ER51" i="23"/>
  <c r="ES51" i="23"/>
  <c r="ET51" i="23"/>
  <c r="EU51" i="23"/>
  <c r="EV51" i="23"/>
  <c r="EW51" i="23"/>
  <c r="EX51" i="23"/>
  <c r="EY51" i="23"/>
  <c r="EZ51" i="23"/>
  <c r="FA51" i="23"/>
  <c r="FB51" i="23"/>
  <c r="FC51" i="23"/>
  <c r="FD51" i="23"/>
  <c r="FE51" i="23"/>
  <c r="FF51" i="23"/>
  <c r="FG51" i="23"/>
  <c r="FH51" i="23"/>
  <c r="FI51" i="23"/>
  <c r="FJ51" i="23"/>
  <c r="FK51" i="23"/>
  <c r="FL51" i="23"/>
  <c r="FM51" i="23"/>
  <c r="FN51" i="23"/>
  <c r="FO51" i="23"/>
  <c r="FP51" i="23"/>
  <c r="FQ51" i="23"/>
  <c r="FR51" i="23"/>
  <c r="FS51" i="23"/>
  <c r="FT51" i="23"/>
  <c r="FU51" i="23"/>
  <c r="FV51" i="23"/>
  <c r="FW51" i="23"/>
  <c r="FX51" i="23"/>
  <c r="FY51" i="23"/>
  <c r="FZ51" i="23"/>
  <c r="GA51" i="23"/>
  <c r="GB51" i="23"/>
  <c r="GC51" i="23"/>
  <c r="GD51" i="23"/>
  <c r="F52" i="23"/>
  <c r="O52" i="23"/>
  <c r="P52" i="23"/>
  <c r="Q52" i="23"/>
  <c r="R52" i="23"/>
  <c r="S52" i="23"/>
  <c r="T52" i="23"/>
  <c r="U52" i="23"/>
  <c r="V52" i="23"/>
  <c r="W52" i="23"/>
  <c r="X52" i="23"/>
  <c r="Y52" i="23"/>
  <c r="Z52" i="23"/>
  <c r="AA52" i="23"/>
  <c r="AB52" i="23"/>
  <c r="AC52" i="23"/>
  <c r="AD52" i="23"/>
  <c r="AE52" i="23"/>
  <c r="AF52" i="23"/>
  <c r="AG52" i="23"/>
  <c r="AH52" i="23"/>
  <c r="AI52" i="23"/>
  <c r="AJ52" i="23"/>
  <c r="AK52" i="23"/>
  <c r="AL52" i="23"/>
  <c r="AM52" i="23"/>
  <c r="AN52" i="23"/>
  <c r="AO52" i="23"/>
  <c r="AP52" i="23"/>
  <c r="AQ52" i="23"/>
  <c r="AR52" i="23"/>
  <c r="AS52" i="23"/>
  <c r="AT52" i="23"/>
  <c r="AU52" i="23"/>
  <c r="AV52" i="23"/>
  <c r="AW52" i="23"/>
  <c r="AX52" i="23"/>
  <c r="AY52" i="23"/>
  <c r="AZ52" i="23"/>
  <c r="BA52" i="23"/>
  <c r="BB52" i="23"/>
  <c r="BC52" i="23"/>
  <c r="BD52" i="23"/>
  <c r="BE52" i="23"/>
  <c r="BF52" i="23"/>
  <c r="BG52" i="23"/>
  <c r="BH52" i="23"/>
  <c r="BI52" i="23"/>
  <c r="BJ52" i="23"/>
  <c r="BK52" i="23"/>
  <c r="BL52" i="23"/>
  <c r="BM52" i="23"/>
  <c r="BN52" i="23"/>
  <c r="BO52" i="23"/>
  <c r="BP52" i="23"/>
  <c r="BQ52" i="23"/>
  <c r="BR52" i="23"/>
  <c r="BS52" i="23"/>
  <c r="BT52" i="23"/>
  <c r="BU52" i="23"/>
  <c r="BV52" i="23"/>
  <c r="BW52" i="23"/>
  <c r="BX52" i="23"/>
  <c r="BY52" i="23"/>
  <c r="BZ52" i="23"/>
  <c r="CA52" i="23"/>
  <c r="CB52" i="23"/>
  <c r="CC52" i="23"/>
  <c r="CD52" i="23"/>
  <c r="CE52" i="23"/>
  <c r="CF52" i="23"/>
  <c r="CG52" i="23"/>
  <c r="CH52" i="23"/>
  <c r="CI52" i="23"/>
  <c r="CJ52" i="23"/>
  <c r="CK52" i="23"/>
  <c r="CL52" i="23"/>
  <c r="CM52" i="23"/>
  <c r="CN52" i="23"/>
  <c r="CO52" i="23"/>
  <c r="CP52" i="23"/>
  <c r="CQ52" i="23"/>
  <c r="CR52" i="23"/>
  <c r="CS52" i="23"/>
  <c r="CT52" i="23"/>
  <c r="CU52" i="23"/>
  <c r="CV52" i="23"/>
  <c r="CW52" i="23"/>
  <c r="CX52" i="23"/>
  <c r="CY52" i="23"/>
  <c r="CZ52" i="23"/>
  <c r="DA52" i="23"/>
  <c r="DB52" i="23"/>
  <c r="DC52" i="23"/>
  <c r="DD52" i="23"/>
  <c r="DE52" i="23"/>
  <c r="DF52" i="23"/>
  <c r="DG52" i="23"/>
  <c r="DH52" i="23"/>
  <c r="DI52" i="23"/>
  <c r="DJ52" i="23"/>
  <c r="DK52" i="23"/>
  <c r="DL52" i="23"/>
  <c r="DM52" i="23"/>
  <c r="DN52" i="23"/>
  <c r="DO52" i="23"/>
  <c r="DP52" i="23"/>
  <c r="DQ52" i="23"/>
  <c r="DR52" i="23"/>
  <c r="DS52" i="23"/>
  <c r="DT52" i="23"/>
  <c r="DU52" i="23"/>
  <c r="DV52" i="23"/>
  <c r="DW52" i="23"/>
  <c r="DX52" i="23"/>
  <c r="DY52" i="23"/>
  <c r="DZ52" i="23"/>
  <c r="EA52" i="23"/>
  <c r="EB52" i="23"/>
  <c r="EC52" i="23"/>
  <c r="ED52" i="23"/>
  <c r="EE52" i="23"/>
  <c r="EF52" i="23"/>
  <c r="EG52" i="23"/>
  <c r="EH52" i="23"/>
  <c r="EI52" i="23"/>
  <c r="EJ52" i="23"/>
  <c r="EK52" i="23"/>
  <c r="EL52" i="23"/>
  <c r="EM52" i="23"/>
  <c r="EN52" i="23"/>
  <c r="EO52" i="23"/>
  <c r="EP52" i="23"/>
  <c r="EQ52" i="23"/>
  <c r="ER52" i="23"/>
  <c r="ES52" i="23"/>
  <c r="ET52" i="23"/>
  <c r="EU52" i="23"/>
  <c r="EV52" i="23"/>
  <c r="EW52" i="23"/>
  <c r="EX52" i="23"/>
  <c r="EY52" i="23"/>
  <c r="EZ52" i="23"/>
  <c r="FA52" i="23"/>
  <c r="FB52" i="23"/>
  <c r="FC52" i="23"/>
  <c r="FD52" i="23"/>
  <c r="FE52" i="23"/>
  <c r="FF52" i="23"/>
  <c r="FG52" i="23"/>
  <c r="FH52" i="23"/>
  <c r="FI52" i="23"/>
  <c r="FJ52" i="23"/>
  <c r="FK52" i="23"/>
  <c r="FL52" i="23"/>
  <c r="FM52" i="23"/>
  <c r="FN52" i="23"/>
  <c r="FO52" i="23"/>
  <c r="FP52" i="23"/>
  <c r="FQ52" i="23"/>
  <c r="FR52" i="23"/>
  <c r="FS52" i="23"/>
  <c r="FT52" i="23"/>
  <c r="FU52" i="23"/>
  <c r="FV52" i="23"/>
  <c r="FW52" i="23"/>
  <c r="FX52" i="23"/>
  <c r="FY52" i="23"/>
  <c r="FZ52" i="23"/>
  <c r="GA52" i="23"/>
  <c r="GB52" i="23"/>
  <c r="GC52" i="23"/>
  <c r="GD52" i="23"/>
  <c r="F53" i="23"/>
  <c r="O53" i="23"/>
  <c r="P53" i="23"/>
  <c r="Q53" i="23"/>
  <c r="R53" i="23"/>
  <c r="S53" i="23"/>
  <c r="T53" i="23"/>
  <c r="U53" i="23"/>
  <c r="V53" i="23"/>
  <c r="W53" i="23"/>
  <c r="X53" i="23"/>
  <c r="Y53" i="23"/>
  <c r="Z53" i="23"/>
  <c r="AA53" i="23"/>
  <c r="AB53" i="23"/>
  <c r="AC53" i="23"/>
  <c r="AD53" i="23"/>
  <c r="AE53" i="23"/>
  <c r="AF53" i="23"/>
  <c r="AG53" i="23"/>
  <c r="AH53" i="23"/>
  <c r="AI53" i="23"/>
  <c r="AJ53" i="23"/>
  <c r="AK53" i="23"/>
  <c r="AL53" i="23"/>
  <c r="AM53" i="23"/>
  <c r="AN53" i="23"/>
  <c r="AO53" i="23"/>
  <c r="AP53" i="23"/>
  <c r="AQ53" i="23"/>
  <c r="AR53" i="23"/>
  <c r="AS53" i="23"/>
  <c r="AT53" i="23"/>
  <c r="AU53" i="23"/>
  <c r="AV53" i="23"/>
  <c r="AW53" i="23"/>
  <c r="AX53" i="23"/>
  <c r="AY53" i="23"/>
  <c r="AZ53" i="23"/>
  <c r="BA53" i="23"/>
  <c r="BB53" i="23"/>
  <c r="BC53" i="23"/>
  <c r="BD53" i="23"/>
  <c r="BE53" i="23"/>
  <c r="BF53" i="23"/>
  <c r="BG53" i="23"/>
  <c r="BH53" i="23"/>
  <c r="BI53" i="23"/>
  <c r="BJ53" i="23"/>
  <c r="BK53" i="23"/>
  <c r="BL53" i="23"/>
  <c r="BM53" i="23"/>
  <c r="BN53" i="23"/>
  <c r="BO53" i="23"/>
  <c r="BP53" i="23"/>
  <c r="BQ53" i="23"/>
  <c r="BR53" i="23"/>
  <c r="BS53" i="23"/>
  <c r="BT53" i="23"/>
  <c r="BU53" i="23"/>
  <c r="BV53" i="23"/>
  <c r="BW53" i="23"/>
  <c r="BX53" i="23"/>
  <c r="BY53" i="23"/>
  <c r="BZ53" i="23"/>
  <c r="CA53" i="23"/>
  <c r="CB53" i="23"/>
  <c r="CC53" i="23"/>
  <c r="CD53" i="23"/>
  <c r="CE53" i="23"/>
  <c r="CF53" i="23"/>
  <c r="CG53" i="23"/>
  <c r="CH53" i="23"/>
  <c r="CI53" i="23"/>
  <c r="CJ53" i="23"/>
  <c r="CK53" i="23"/>
  <c r="CL53" i="23"/>
  <c r="CM53" i="23"/>
  <c r="CN53" i="23"/>
  <c r="CO53" i="23"/>
  <c r="CP53" i="23"/>
  <c r="CQ53" i="23"/>
  <c r="CR53" i="23"/>
  <c r="CS53" i="23"/>
  <c r="CT53" i="23"/>
  <c r="CU53" i="23"/>
  <c r="CV53" i="23"/>
  <c r="CW53" i="23"/>
  <c r="CX53" i="23"/>
  <c r="CY53" i="23"/>
  <c r="CZ53" i="23"/>
  <c r="DA53" i="23"/>
  <c r="DB53" i="23"/>
  <c r="DC53" i="23"/>
  <c r="DD53" i="23"/>
  <c r="DE53" i="23"/>
  <c r="DF53" i="23"/>
  <c r="DG53" i="23"/>
  <c r="DH53" i="23"/>
  <c r="DI53" i="23"/>
  <c r="DJ53" i="23"/>
  <c r="DK53" i="23"/>
  <c r="DL53" i="23"/>
  <c r="DM53" i="23"/>
  <c r="DN53" i="23"/>
  <c r="DO53" i="23"/>
  <c r="DP53" i="23"/>
  <c r="DQ53" i="23"/>
  <c r="DR53" i="23"/>
  <c r="DS53" i="23"/>
  <c r="DT53" i="23"/>
  <c r="DU53" i="23"/>
  <c r="DV53" i="23"/>
  <c r="DW53" i="23"/>
  <c r="DX53" i="23"/>
  <c r="DY53" i="23"/>
  <c r="DZ53" i="23"/>
  <c r="EA53" i="23"/>
  <c r="EB53" i="23"/>
  <c r="EC53" i="23"/>
  <c r="ED53" i="23"/>
  <c r="EE53" i="23"/>
  <c r="EF53" i="23"/>
  <c r="EG53" i="23"/>
  <c r="EH53" i="23"/>
  <c r="EI53" i="23"/>
  <c r="EJ53" i="23"/>
  <c r="EK53" i="23"/>
  <c r="EL53" i="23"/>
  <c r="EM53" i="23"/>
  <c r="EN53" i="23"/>
  <c r="EO53" i="23"/>
  <c r="EP53" i="23"/>
  <c r="EQ53" i="23"/>
  <c r="ER53" i="23"/>
  <c r="ES53" i="23"/>
  <c r="ET53" i="23"/>
  <c r="EU53" i="23"/>
  <c r="EV53" i="23"/>
  <c r="EW53" i="23"/>
  <c r="EX53" i="23"/>
  <c r="EY53" i="23"/>
  <c r="EZ53" i="23"/>
  <c r="FA53" i="23"/>
  <c r="FB53" i="23"/>
  <c r="FC53" i="23"/>
  <c r="FD53" i="23"/>
  <c r="FE53" i="23"/>
  <c r="FF53" i="23"/>
  <c r="FG53" i="23"/>
  <c r="FH53" i="23"/>
  <c r="FI53" i="23"/>
  <c r="FJ53" i="23"/>
  <c r="FK53" i="23"/>
  <c r="FL53" i="23"/>
  <c r="FM53" i="23"/>
  <c r="FN53" i="23"/>
  <c r="FO53" i="23"/>
  <c r="FP53" i="23"/>
  <c r="FQ53" i="23"/>
  <c r="FR53" i="23"/>
  <c r="FS53" i="23"/>
  <c r="FT53" i="23"/>
  <c r="FU53" i="23"/>
  <c r="FV53" i="23"/>
  <c r="FW53" i="23"/>
  <c r="FX53" i="23"/>
  <c r="FY53" i="23"/>
  <c r="FZ53" i="23"/>
  <c r="GA53" i="23"/>
  <c r="GB53" i="23"/>
  <c r="GC53" i="23"/>
  <c r="GD53" i="23"/>
  <c r="F54" i="23"/>
  <c r="V54" i="23"/>
  <c r="Z54" i="23"/>
  <c r="AB54" i="23"/>
  <c r="AD54" i="23"/>
  <c r="AH54" i="23"/>
  <c r="AL54" i="23"/>
  <c r="AP54" i="23"/>
  <c r="AT54" i="23"/>
  <c r="AX54" i="23"/>
  <c r="BB54" i="23"/>
  <c r="BF54" i="23"/>
  <c r="BJ54" i="23"/>
  <c r="BN54" i="23"/>
  <c r="BR54" i="23"/>
  <c r="BV54" i="23"/>
  <c r="BZ54" i="23"/>
  <c r="CD54" i="23"/>
  <c r="CH54" i="23"/>
  <c r="CL54" i="23"/>
  <c r="CP54" i="23"/>
  <c r="CT54" i="23"/>
  <c r="CX54" i="23"/>
  <c r="DB54" i="23"/>
  <c r="DF54" i="23"/>
  <c r="DJ54" i="23"/>
  <c r="DN54" i="23"/>
  <c r="DR54" i="23"/>
  <c r="DV54" i="23"/>
  <c r="DZ54" i="23"/>
  <c r="ED54" i="23"/>
  <c r="EH54" i="23"/>
  <c r="EL54" i="23"/>
  <c r="EP54" i="23"/>
  <c r="ET54" i="23"/>
  <c r="EX54" i="23"/>
  <c r="FB54" i="23"/>
  <c r="FF54" i="23"/>
  <c r="FJ54" i="23"/>
  <c r="FN54" i="23"/>
  <c r="AH56" i="23"/>
  <c r="AL56" i="23"/>
  <c r="AP56" i="23"/>
  <c r="F57" i="23"/>
  <c r="T57" i="23"/>
  <c r="U57" i="23"/>
  <c r="V57" i="23"/>
  <c r="W57" i="23"/>
  <c r="X57" i="23"/>
  <c r="Y57" i="23"/>
  <c r="Z57" i="23"/>
  <c r="AA57" i="23"/>
  <c r="AB57" i="23"/>
  <c r="AC57" i="23"/>
  <c r="AD57" i="23"/>
  <c r="AE57" i="23"/>
  <c r="AF57" i="23"/>
  <c r="AG57" i="23"/>
  <c r="AH57" i="23"/>
  <c r="AI57" i="23"/>
  <c r="AJ57" i="23"/>
  <c r="AK57" i="23"/>
  <c r="AL57" i="23"/>
  <c r="AM57" i="23"/>
  <c r="AN57" i="23"/>
  <c r="AO57" i="23"/>
  <c r="AP57" i="23"/>
  <c r="AQ57" i="23"/>
  <c r="AR57" i="23"/>
  <c r="AS57" i="23"/>
  <c r="AT57" i="23"/>
  <c r="AU57" i="23"/>
  <c r="AV57" i="23"/>
  <c r="AW57" i="23"/>
  <c r="AX57" i="23"/>
  <c r="AY57" i="23"/>
  <c r="AZ57" i="23"/>
  <c r="BA57" i="23"/>
  <c r="BB57" i="23"/>
  <c r="BC57" i="23"/>
  <c r="BD57" i="23"/>
  <c r="BE57" i="23"/>
  <c r="BF57" i="23"/>
  <c r="BG57" i="23"/>
  <c r="BH57" i="23"/>
  <c r="BI57" i="23"/>
  <c r="BJ57" i="23"/>
  <c r="BK57" i="23"/>
  <c r="BL57" i="23"/>
  <c r="BM57" i="23"/>
  <c r="BN57" i="23"/>
  <c r="BO57" i="23"/>
  <c r="BP57" i="23"/>
  <c r="BQ57" i="23"/>
  <c r="BR57" i="23"/>
  <c r="BS57" i="23"/>
  <c r="BT57" i="23"/>
  <c r="BU57" i="23"/>
  <c r="BV57" i="23"/>
  <c r="BW57" i="23"/>
  <c r="BX57" i="23"/>
  <c r="BY57" i="23"/>
  <c r="BZ57" i="23"/>
  <c r="CA57" i="23"/>
  <c r="CB57" i="23"/>
  <c r="CC57" i="23"/>
  <c r="CD57" i="23"/>
  <c r="CE57" i="23"/>
  <c r="CF57" i="23"/>
  <c r="CG57" i="23"/>
  <c r="CH57" i="23"/>
  <c r="CI57" i="23"/>
  <c r="CJ57" i="23"/>
  <c r="CK57" i="23"/>
  <c r="CL57" i="23"/>
  <c r="CM57" i="23"/>
  <c r="CN57" i="23"/>
  <c r="CO57" i="23"/>
  <c r="CP57" i="23"/>
  <c r="CQ57" i="23"/>
  <c r="CR57" i="23"/>
  <c r="CS57" i="23"/>
  <c r="CT57" i="23"/>
  <c r="CU57" i="23"/>
  <c r="CV57" i="23"/>
  <c r="CW57" i="23"/>
  <c r="CX57" i="23"/>
  <c r="CY57" i="23"/>
  <c r="CZ57" i="23"/>
  <c r="DA57" i="23"/>
  <c r="DB57" i="23"/>
  <c r="DC57" i="23"/>
  <c r="DD57" i="23"/>
  <c r="DE57" i="23"/>
  <c r="DF57" i="23"/>
  <c r="DG57" i="23"/>
  <c r="DH57" i="23"/>
  <c r="DI57" i="23"/>
  <c r="DJ57" i="23"/>
  <c r="DK57" i="23"/>
  <c r="DL57" i="23"/>
  <c r="DM57" i="23"/>
  <c r="DN57" i="23"/>
  <c r="DO57" i="23"/>
  <c r="DP57" i="23"/>
  <c r="DQ57" i="23"/>
  <c r="DR57" i="23"/>
  <c r="DS57" i="23"/>
  <c r="DT57" i="23"/>
  <c r="DU57" i="23"/>
  <c r="DV57" i="23"/>
  <c r="DW57" i="23"/>
  <c r="DX57" i="23"/>
  <c r="DY57" i="23"/>
  <c r="DZ57" i="23"/>
  <c r="EA57" i="23"/>
  <c r="EB57" i="23"/>
  <c r="EC57" i="23"/>
  <c r="ED57" i="23"/>
  <c r="EE57" i="23"/>
  <c r="EF57" i="23"/>
  <c r="EG57" i="23"/>
  <c r="EH57" i="23"/>
  <c r="EI57" i="23"/>
  <c r="EJ57" i="23"/>
  <c r="EK57" i="23"/>
  <c r="EL57" i="23"/>
  <c r="EM57" i="23"/>
  <c r="EN57" i="23"/>
  <c r="EO57" i="23"/>
  <c r="EP57" i="23"/>
  <c r="EQ57" i="23"/>
  <c r="ER57" i="23"/>
  <c r="ES57" i="23"/>
  <c r="ET57" i="23"/>
  <c r="EU57" i="23"/>
  <c r="EV57" i="23"/>
  <c r="EW57" i="23"/>
  <c r="EX57" i="23"/>
  <c r="EY57" i="23"/>
  <c r="EZ57" i="23"/>
  <c r="FA57" i="23"/>
  <c r="FB57" i="23"/>
  <c r="FC57" i="23"/>
  <c r="FD57" i="23"/>
  <c r="FE57" i="23"/>
  <c r="FF57" i="23"/>
  <c r="FG57" i="23"/>
  <c r="FH57" i="23"/>
  <c r="FI57" i="23"/>
  <c r="FJ57" i="23"/>
  <c r="FK57" i="23"/>
  <c r="FL57" i="23"/>
  <c r="FM57" i="23"/>
  <c r="FN57" i="23"/>
  <c r="FO57" i="23"/>
  <c r="FP57" i="23"/>
  <c r="FQ57" i="23"/>
  <c r="FR57" i="23"/>
  <c r="FS57" i="23"/>
  <c r="FT57" i="23"/>
  <c r="FU57" i="23"/>
  <c r="FV57" i="23"/>
  <c r="FW57" i="23"/>
  <c r="FX57" i="23"/>
  <c r="FY57" i="23"/>
  <c r="FZ57" i="23"/>
  <c r="GA57" i="23"/>
  <c r="GB57" i="23"/>
  <c r="GC57" i="23"/>
  <c r="GD57" i="23"/>
  <c r="F59" i="23"/>
  <c r="S59" i="23"/>
  <c r="T59" i="23"/>
  <c r="U59" i="23"/>
  <c r="V59" i="23"/>
  <c r="W59" i="23"/>
  <c r="X59" i="23"/>
  <c r="Y59" i="23"/>
  <c r="Z59" i="23"/>
  <c r="AA59" i="23"/>
  <c r="AB59" i="23"/>
  <c r="AC59" i="23"/>
  <c r="AD59" i="23"/>
  <c r="AE59" i="23"/>
  <c r="AF59" i="23"/>
  <c r="AG59" i="23"/>
  <c r="AH59" i="23"/>
  <c r="AI59" i="23"/>
  <c r="AJ59" i="23"/>
  <c r="AK59" i="23"/>
  <c r="AL59" i="23"/>
  <c r="AM59" i="23"/>
  <c r="AN59" i="23"/>
  <c r="AO59" i="23"/>
  <c r="AP59" i="23"/>
  <c r="AQ59" i="23"/>
  <c r="AR59" i="23"/>
  <c r="AS59" i="23"/>
  <c r="AT59" i="23"/>
  <c r="AU59" i="23"/>
  <c r="AV59" i="23"/>
  <c r="AW59" i="23"/>
  <c r="AX59" i="23"/>
  <c r="AY59" i="23"/>
  <c r="AZ59" i="23"/>
  <c r="BA59" i="23"/>
  <c r="BB59" i="23"/>
  <c r="BC59" i="23"/>
  <c r="BD59" i="23"/>
  <c r="BE59" i="23"/>
  <c r="BF59" i="23"/>
  <c r="BG59" i="23"/>
  <c r="BH59" i="23"/>
  <c r="BI59" i="23"/>
  <c r="BJ59" i="23"/>
  <c r="BK59" i="23"/>
  <c r="BL59" i="23"/>
  <c r="BM59" i="23"/>
  <c r="BN59" i="23"/>
  <c r="BO59" i="23"/>
  <c r="BP59" i="23"/>
  <c r="BQ59" i="23"/>
  <c r="BR59" i="23"/>
  <c r="BS59" i="23"/>
  <c r="BT59" i="23"/>
  <c r="BU59" i="23"/>
  <c r="BV59" i="23"/>
  <c r="BW59" i="23"/>
  <c r="BX59" i="23"/>
  <c r="BY59" i="23"/>
  <c r="BZ59" i="23"/>
  <c r="CA59" i="23"/>
  <c r="CB59" i="23"/>
  <c r="CC59" i="23"/>
  <c r="CD59" i="23"/>
  <c r="CE59" i="23"/>
  <c r="CF59" i="23"/>
  <c r="CG59" i="23"/>
  <c r="CH59" i="23"/>
  <c r="CI59" i="23"/>
  <c r="CJ59" i="23"/>
  <c r="CK59" i="23"/>
  <c r="CL59" i="23"/>
  <c r="CM59" i="23"/>
  <c r="CN59" i="23"/>
  <c r="CO59" i="23"/>
  <c r="CP59" i="23"/>
  <c r="CQ59" i="23"/>
  <c r="CR59" i="23"/>
  <c r="CS59" i="23"/>
  <c r="CT59" i="23"/>
  <c r="CU59" i="23"/>
  <c r="CV59" i="23"/>
  <c r="CW59" i="23"/>
  <c r="CX59" i="23"/>
  <c r="CY59" i="23"/>
  <c r="CZ59" i="23"/>
  <c r="DA59" i="23"/>
  <c r="DB59" i="23"/>
  <c r="DC59" i="23"/>
  <c r="DD59" i="23"/>
  <c r="DE59" i="23"/>
  <c r="DF59" i="23"/>
  <c r="DG59" i="23"/>
  <c r="DH59" i="23"/>
  <c r="DI59" i="23"/>
  <c r="DJ59" i="23"/>
  <c r="DK59" i="23"/>
  <c r="DL59" i="23"/>
  <c r="DM59" i="23"/>
  <c r="DN59" i="23"/>
  <c r="DO59" i="23"/>
  <c r="DP59" i="23"/>
  <c r="DQ59" i="23"/>
  <c r="DR59" i="23"/>
  <c r="DS59" i="23"/>
  <c r="DT59" i="23"/>
  <c r="DU59" i="23"/>
  <c r="DV59" i="23"/>
  <c r="DW59" i="23"/>
  <c r="DX59" i="23"/>
  <c r="DY59" i="23"/>
  <c r="DZ59" i="23"/>
  <c r="EA59" i="23"/>
  <c r="EB59" i="23"/>
  <c r="EC59" i="23"/>
  <c r="ED59" i="23"/>
  <c r="EE59" i="23"/>
  <c r="EF59" i="23"/>
  <c r="EG59" i="23"/>
  <c r="EH59" i="23"/>
  <c r="EI59" i="23"/>
  <c r="EJ59" i="23"/>
  <c r="EK59" i="23"/>
  <c r="EL59" i="23"/>
  <c r="EM59" i="23"/>
  <c r="EN59" i="23"/>
  <c r="EO59" i="23"/>
  <c r="EP59" i="23"/>
  <c r="EQ59" i="23"/>
  <c r="ER59" i="23"/>
  <c r="ES59" i="23"/>
  <c r="ET59" i="23"/>
  <c r="EU59" i="23"/>
  <c r="EV59" i="23"/>
  <c r="EW59" i="23"/>
  <c r="EX59" i="23"/>
  <c r="EY59" i="23"/>
  <c r="EZ59" i="23"/>
  <c r="FA59" i="23"/>
  <c r="FB59" i="23"/>
  <c r="FC59" i="23"/>
  <c r="FD59" i="23"/>
  <c r="FE59" i="23"/>
  <c r="FF59" i="23"/>
  <c r="FG59" i="23"/>
  <c r="FH59" i="23"/>
  <c r="FI59" i="23"/>
  <c r="FJ59" i="23"/>
  <c r="FK59" i="23"/>
  <c r="FL59" i="23"/>
  <c r="FM59" i="23"/>
  <c r="FN59" i="23"/>
  <c r="FO59" i="23"/>
  <c r="FP59" i="23"/>
  <c r="FQ59" i="23"/>
  <c r="FR59" i="23"/>
  <c r="FS59" i="23"/>
  <c r="FT59" i="23"/>
  <c r="FU59" i="23"/>
  <c r="FV59" i="23"/>
  <c r="FW59" i="23"/>
  <c r="FX59" i="23"/>
  <c r="FY59" i="23"/>
  <c r="FZ59" i="23"/>
  <c r="GA59" i="23"/>
  <c r="GB59" i="23"/>
  <c r="GC59" i="23"/>
  <c r="GD59" i="23"/>
  <c r="F61" i="23"/>
  <c r="S61" i="23"/>
  <c r="T61" i="23"/>
  <c r="U61" i="23"/>
  <c r="V61" i="23"/>
  <c r="W61" i="23"/>
  <c r="X61" i="23"/>
  <c r="Y61" i="23"/>
  <c r="Z61" i="23"/>
  <c r="AA61" i="23"/>
  <c r="AB61" i="23"/>
  <c r="AC61" i="23"/>
  <c r="AD61" i="23"/>
  <c r="AE61" i="23"/>
  <c r="AF61" i="23"/>
  <c r="AG61" i="23"/>
  <c r="AH61" i="23"/>
  <c r="AI61" i="23"/>
  <c r="AJ61" i="23"/>
  <c r="AK61" i="23"/>
  <c r="AL61" i="23"/>
  <c r="AM61" i="23"/>
  <c r="AN61" i="23"/>
  <c r="AO61" i="23"/>
  <c r="AP61" i="23"/>
  <c r="AQ61" i="23"/>
  <c r="AR61" i="23"/>
  <c r="AS61" i="23"/>
  <c r="AT61" i="23"/>
  <c r="AU61" i="23"/>
  <c r="AV61" i="23"/>
  <c r="AW61" i="23"/>
  <c r="AX61" i="23"/>
  <c r="AY61" i="23"/>
  <c r="AZ61" i="23"/>
  <c r="BA61" i="23"/>
  <c r="BB61" i="23"/>
  <c r="BC61" i="23"/>
  <c r="BD61" i="23"/>
  <c r="BE61" i="23"/>
  <c r="BF61" i="23"/>
  <c r="BG61" i="23"/>
  <c r="BH61" i="23"/>
  <c r="BI61" i="23"/>
  <c r="BJ61" i="23"/>
  <c r="BK61" i="23"/>
  <c r="BL61" i="23"/>
  <c r="BM61" i="23"/>
  <c r="BN61" i="23"/>
  <c r="BO61" i="23"/>
  <c r="BP61" i="23"/>
  <c r="BQ61" i="23"/>
  <c r="BR61" i="23"/>
  <c r="BS61" i="23"/>
  <c r="BT61" i="23"/>
  <c r="BU61" i="23"/>
  <c r="BV61" i="23"/>
  <c r="BW61" i="23"/>
  <c r="BX61" i="23"/>
  <c r="BY61" i="23"/>
  <c r="BZ61" i="23"/>
  <c r="CA61" i="23"/>
  <c r="CB61" i="23"/>
  <c r="CC61" i="23"/>
  <c r="CD61" i="23"/>
  <c r="CE61" i="23"/>
  <c r="CF61" i="23"/>
  <c r="CG61" i="23"/>
  <c r="CH61" i="23"/>
  <c r="CI61" i="23"/>
  <c r="CJ61" i="23"/>
  <c r="CK61" i="23"/>
  <c r="CL61" i="23"/>
  <c r="CM61" i="23"/>
  <c r="CN61" i="23"/>
  <c r="CO61" i="23"/>
  <c r="CP61" i="23"/>
  <c r="CQ61" i="23"/>
  <c r="CR61" i="23"/>
  <c r="CS61" i="23"/>
  <c r="CT61" i="23"/>
  <c r="CU61" i="23"/>
  <c r="CV61" i="23"/>
  <c r="CW61" i="23"/>
  <c r="CX61" i="23"/>
  <c r="CY61" i="23"/>
  <c r="CZ61" i="23"/>
  <c r="DA61" i="23"/>
  <c r="DB61" i="23"/>
  <c r="DC61" i="23"/>
  <c r="DD61" i="23"/>
  <c r="DE61" i="23"/>
  <c r="DF61" i="23"/>
  <c r="DG61" i="23"/>
  <c r="DH61" i="23"/>
  <c r="DI61" i="23"/>
  <c r="DJ61" i="23"/>
  <c r="DK61" i="23"/>
  <c r="DL61" i="23"/>
  <c r="DM61" i="23"/>
  <c r="DN61" i="23"/>
  <c r="DO61" i="23"/>
  <c r="DP61" i="23"/>
  <c r="DQ61" i="23"/>
  <c r="DR61" i="23"/>
  <c r="DS61" i="23"/>
  <c r="DT61" i="23"/>
  <c r="DU61" i="23"/>
  <c r="DV61" i="23"/>
  <c r="DW61" i="23"/>
  <c r="DX61" i="23"/>
  <c r="DY61" i="23"/>
  <c r="DZ61" i="23"/>
  <c r="EA61" i="23"/>
  <c r="EB61" i="23"/>
  <c r="EC61" i="23"/>
  <c r="ED61" i="23"/>
  <c r="EE61" i="23"/>
  <c r="EF61" i="23"/>
  <c r="EG61" i="23"/>
  <c r="EH61" i="23"/>
  <c r="EI61" i="23"/>
  <c r="EJ61" i="23"/>
  <c r="EK61" i="23"/>
  <c r="EL61" i="23"/>
  <c r="EM61" i="23"/>
  <c r="EN61" i="23"/>
  <c r="EO61" i="23"/>
  <c r="EP61" i="23"/>
  <c r="EQ61" i="23"/>
  <c r="ER61" i="23"/>
  <c r="ES61" i="23"/>
  <c r="ET61" i="23"/>
  <c r="EU61" i="23"/>
  <c r="EV61" i="23"/>
  <c r="EW61" i="23"/>
  <c r="EX61" i="23"/>
  <c r="EY61" i="23"/>
  <c r="EZ61" i="23"/>
  <c r="FA61" i="23"/>
  <c r="FB61" i="23"/>
  <c r="FC61" i="23"/>
  <c r="FD61" i="23"/>
  <c r="FE61" i="23"/>
  <c r="FF61" i="23"/>
  <c r="FG61" i="23"/>
  <c r="FH61" i="23"/>
  <c r="FI61" i="23"/>
  <c r="FJ61" i="23"/>
  <c r="FK61" i="23"/>
  <c r="FL61" i="23"/>
  <c r="FM61" i="23"/>
  <c r="FN61" i="23"/>
  <c r="FO61" i="23"/>
  <c r="FP61" i="23"/>
  <c r="FQ61" i="23"/>
  <c r="FR61" i="23"/>
  <c r="FS61" i="23"/>
  <c r="FT61" i="23"/>
  <c r="FU61" i="23"/>
  <c r="FV61" i="23"/>
  <c r="FW61" i="23"/>
  <c r="FX61" i="23"/>
  <c r="FY61" i="23"/>
  <c r="FZ61" i="23"/>
  <c r="GA61" i="23"/>
  <c r="GB61" i="23"/>
  <c r="GC61" i="23"/>
  <c r="GD61" i="23"/>
  <c r="F62" i="23"/>
  <c r="S62" i="23"/>
  <c r="T62" i="23"/>
  <c r="U62" i="23"/>
  <c r="V62" i="23"/>
  <c r="W62" i="23"/>
  <c r="X62" i="23"/>
  <c r="Y62" i="23"/>
  <c r="Z62" i="23"/>
  <c r="AA62" i="23"/>
  <c r="AB62" i="23"/>
  <c r="AC62" i="23"/>
  <c r="AD62" i="23"/>
  <c r="AE62" i="23"/>
  <c r="AF62" i="23"/>
  <c r="AG62" i="23"/>
  <c r="AH62" i="23"/>
  <c r="AI62" i="23"/>
  <c r="AJ62" i="23"/>
  <c r="AK62" i="23"/>
  <c r="AL62" i="23"/>
  <c r="AM62" i="23"/>
  <c r="AN62" i="23"/>
  <c r="AO62" i="23"/>
  <c r="AP62" i="23"/>
  <c r="AQ62" i="23"/>
  <c r="AR62" i="23"/>
  <c r="AS62" i="23"/>
  <c r="AT62" i="23"/>
  <c r="AU62" i="23"/>
  <c r="AV62" i="23"/>
  <c r="AW62" i="23"/>
  <c r="AX62" i="23"/>
  <c r="AY62" i="23"/>
  <c r="AZ62" i="23"/>
  <c r="BA62" i="23"/>
  <c r="BB62" i="23"/>
  <c r="BC62" i="23"/>
  <c r="BD62" i="23"/>
  <c r="BE62" i="23"/>
  <c r="BF62" i="23"/>
  <c r="BG62" i="23"/>
  <c r="BH62" i="23"/>
  <c r="BI62" i="23"/>
  <c r="BJ62" i="23"/>
  <c r="BK62" i="23"/>
  <c r="BL62" i="23"/>
  <c r="BM62" i="23"/>
  <c r="BN62" i="23"/>
  <c r="BO62" i="23"/>
  <c r="BP62" i="23"/>
  <c r="BQ62" i="23"/>
  <c r="BR62" i="23"/>
  <c r="BS62" i="23"/>
  <c r="BT62" i="23"/>
  <c r="BU62" i="23"/>
  <c r="BV62" i="23"/>
  <c r="BW62" i="23"/>
  <c r="BX62" i="23"/>
  <c r="BY62" i="23"/>
  <c r="BZ62" i="23"/>
  <c r="CA62" i="23"/>
  <c r="CB62" i="23"/>
  <c r="CC62" i="23"/>
  <c r="CD62" i="23"/>
  <c r="CE62" i="23"/>
  <c r="CF62" i="23"/>
  <c r="CG62" i="23"/>
  <c r="CH62" i="23"/>
  <c r="CI62" i="23"/>
  <c r="CJ62" i="23"/>
  <c r="CK62" i="23"/>
  <c r="CL62" i="23"/>
  <c r="CM62" i="23"/>
  <c r="CN62" i="23"/>
  <c r="CO62" i="23"/>
  <c r="CP62" i="23"/>
  <c r="CQ62" i="23"/>
  <c r="CR62" i="23"/>
  <c r="CS62" i="23"/>
  <c r="CT62" i="23"/>
  <c r="CU62" i="23"/>
  <c r="CV62" i="23"/>
  <c r="CW62" i="23"/>
  <c r="CX62" i="23"/>
  <c r="CY62" i="23"/>
  <c r="CZ62" i="23"/>
  <c r="DA62" i="23"/>
  <c r="DB62" i="23"/>
  <c r="DC62" i="23"/>
  <c r="DD62" i="23"/>
  <c r="DE62" i="23"/>
  <c r="DF62" i="23"/>
  <c r="DG62" i="23"/>
  <c r="DH62" i="23"/>
  <c r="DI62" i="23"/>
  <c r="DJ62" i="23"/>
  <c r="DK62" i="23"/>
  <c r="DL62" i="23"/>
  <c r="DM62" i="23"/>
  <c r="DN62" i="23"/>
  <c r="DO62" i="23"/>
  <c r="DP62" i="23"/>
  <c r="DQ62" i="23"/>
  <c r="DR62" i="23"/>
  <c r="DS62" i="23"/>
  <c r="DT62" i="23"/>
  <c r="DU62" i="23"/>
  <c r="DV62" i="23"/>
  <c r="DW62" i="23"/>
  <c r="DX62" i="23"/>
  <c r="DY62" i="23"/>
  <c r="DZ62" i="23"/>
  <c r="EA62" i="23"/>
  <c r="EB62" i="23"/>
  <c r="EC62" i="23"/>
  <c r="ED62" i="23"/>
  <c r="EE62" i="23"/>
  <c r="EF62" i="23"/>
  <c r="EG62" i="23"/>
  <c r="EH62" i="23"/>
  <c r="EI62" i="23"/>
  <c r="EJ62" i="23"/>
  <c r="EK62" i="23"/>
  <c r="EL62" i="23"/>
  <c r="EM62" i="23"/>
  <c r="EN62" i="23"/>
  <c r="EO62" i="23"/>
  <c r="EP62" i="23"/>
  <c r="EQ62" i="23"/>
  <c r="ER62" i="23"/>
  <c r="ES62" i="23"/>
  <c r="ET62" i="23"/>
  <c r="EU62" i="23"/>
  <c r="EV62" i="23"/>
  <c r="EW62" i="23"/>
  <c r="EX62" i="23"/>
  <c r="EY62" i="23"/>
  <c r="EZ62" i="23"/>
  <c r="FA62" i="23"/>
  <c r="FB62" i="23"/>
  <c r="FC62" i="23"/>
  <c r="FD62" i="23"/>
  <c r="FE62" i="23"/>
  <c r="FF62" i="23"/>
  <c r="FG62" i="23"/>
  <c r="FH62" i="23"/>
  <c r="FI62" i="23"/>
  <c r="FJ62" i="23"/>
  <c r="FK62" i="23"/>
  <c r="FL62" i="23"/>
  <c r="FM62" i="23"/>
  <c r="FN62" i="23"/>
  <c r="FO62" i="23"/>
  <c r="FP62" i="23"/>
  <c r="FQ62" i="23"/>
  <c r="FR62" i="23"/>
  <c r="FS62" i="23"/>
  <c r="FT62" i="23"/>
  <c r="FU62" i="23"/>
  <c r="FV62" i="23"/>
  <c r="FW62" i="23"/>
  <c r="FX62" i="23"/>
  <c r="FY62" i="23"/>
  <c r="FZ62" i="23"/>
  <c r="GA62" i="23"/>
  <c r="GB62" i="23"/>
  <c r="GC62" i="23"/>
  <c r="GD62" i="23"/>
  <c r="F63" i="23"/>
  <c r="S63" i="23"/>
  <c r="W63" i="23"/>
  <c r="AA63" i="23"/>
  <c r="AE63" i="23"/>
  <c r="AI63" i="23"/>
  <c r="AM63" i="23"/>
  <c r="AQ63" i="23"/>
  <c r="AU63" i="23"/>
  <c r="AY63" i="23"/>
  <c r="BC63" i="23"/>
  <c r="BG63" i="23"/>
  <c r="BK63" i="23"/>
  <c r="BO63" i="23"/>
  <c r="BS63" i="23"/>
  <c r="BW63" i="23"/>
  <c r="CA63" i="23"/>
  <c r="CE63" i="23"/>
  <c r="CI63" i="23"/>
  <c r="CM63" i="23"/>
  <c r="CQ63" i="23"/>
  <c r="CU63" i="23"/>
  <c r="CY63" i="23"/>
  <c r="DC63" i="23"/>
  <c r="DG63" i="23"/>
  <c r="DK63" i="23"/>
  <c r="DO63" i="23"/>
  <c r="DS63" i="23"/>
  <c r="DW63" i="23"/>
  <c r="EA63" i="23"/>
  <c r="EE63" i="23"/>
  <c r="EI63" i="23"/>
  <c r="EM63" i="23"/>
  <c r="EQ63" i="23"/>
  <c r="EU63" i="23"/>
  <c r="EY63" i="23"/>
  <c r="FC63" i="23"/>
  <c r="FG63" i="23"/>
  <c r="FK63" i="23"/>
  <c r="FO63" i="23"/>
  <c r="FS63" i="23"/>
  <c r="FW63" i="23"/>
  <c r="GA63" i="23"/>
  <c r="F64" i="23"/>
  <c r="S64" i="23"/>
  <c r="T64" i="23"/>
  <c r="U64" i="23"/>
  <c r="V64" i="23"/>
  <c r="W64" i="23"/>
  <c r="X64" i="23"/>
  <c r="Y64" i="23"/>
  <c r="Z64" i="23"/>
  <c r="AA64" i="23"/>
  <c r="AB64" i="23"/>
  <c r="AC64" i="23"/>
  <c r="AD64" i="23"/>
  <c r="AE64" i="23"/>
  <c r="AF64" i="23"/>
  <c r="AG64" i="23"/>
  <c r="AH64" i="23"/>
  <c r="AI64" i="23"/>
  <c r="AJ64" i="23"/>
  <c r="AK64" i="23"/>
  <c r="AL64" i="23"/>
  <c r="AM64" i="23"/>
  <c r="AN64" i="23"/>
  <c r="AO64" i="23"/>
  <c r="AP64" i="23"/>
  <c r="AQ64" i="23"/>
  <c r="AR64" i="23"/>
  <c r="AS64" i="23"/>
  <c r="AT64" i="23"/>
  <c r="AU64" i="23"/>
  <c r="AV64" i="23"/>
  <c r="AW64" i="23"/>
  <c r="AX64" i="23"/>
  <c r="AY64" i="23"/>
  <c r="AZ64" i="23"/>
  <c r="BA64" i="23"/>
  <c r="BB64" i="23"/>
  <c r="BC64" i="23"/>
  <c r="BD64" i="23"/>
  <c r="BE64" i="23"/>
  <c r="BF64" i="23"/>
  <c r="BG64" i="23"/>
  <c r="BH64" i="23"/>
  <c r="BI64" i="23"/>
  <c r="BJ64" i="23"/>
  <c r="BK64" i="23"/>
  <c r="BL64" i="23"/>
  <c r="BM64" i="23"/>
  <c r="BN64" i="23"/>
  <c r="BO64" i="23"/>
  <c r="BP64" i="23"/>
  <c r="BQ64" i="23"/>
  <c r="BR64" i="23"/>
  <c r="BS64" i="23"/>
  <c r="BT64" i="23"/>
  <c r="BU64" i="23"/>
  <c r="BV64" i="23"/>
  <c r="BW64" i="23"/>
  <c r="BX64" i="23"/>
  <c r="BY64" i="23"/>
  <c r="BZ64" i="23"/>
  <c r="CA64" i="23"/>
  <c r="CB64" i="23"/>
  <c r="CC64" i="23"/>
  <c r="CD64" i="23"/>
  <c r="CE64" i="23"/>
  <c r="CF64" i="23"/>
  <c r="CG64" i="23"/>
  <c r="CH64" i="23"/>
  <c r="CI64" i="23"/>
  <c r="CJ64" i="23"/>
  <c r="CK64" i="23"/>
  <c r="CL64" i="23"/>
  <c r="CM64" i="23"/>
  <c r="CN64" i="23"/>
  <c r="CO64" i="23"/>
  <c r="CP64" i="23"/>
  <c r="CQ64" i="23"/>
  <c r="CR64" i="23"/>
  <c r="CS64" i="23"/>
  <c r="CT64" i="23"/>
  <c r="CU64" i="23"/>
  <c r="CV64" i="23"/>
  <c r="CW64" i="23"/>
  <c r="CX64" i="23"/>
  <c r="CY64" i="23"/>
  <c r="CZ64" i="23"/>
  <c r="DA64" i="23"/>
  <c r="DB64" i="23"/>
  <c r="DC64" i="23"/>
  <c r="DD64" i="23"/>
  <c r="DE64" i="23"/>
  <c r="DF64" i="23"/>
  <c r="DG64" i="23"/>
  <c r="DH64" i="23"/>
  <c r="DI64" i="23"/>
  <c r="DJ64" i="23"/>
  <c r="DK64" i="23"/>
  <c r="DL64" i="23"/>
  <c r="DM64" i="23"/>
  <c r="DN64" i="23"/>
  <c r="DO64" i="23"/>
  <c r="DP64" i="23"/>
  <c r="DQ64" i="23"/>
  <c r="DR64" i="23"/>
  <c r="DS64" i="23"/>
  <c r="DT64" i="23"/>
  <c r="DU64" i="23"/>
  <c r="DV64" i="23"/>
  <c r="DW64" i="23"/>
  <c r="DX64" i="23"/>
  <c r="DY64" i="23"/>
  <c r="DZ64" i="23"/>
  <c r="EA64" i="23"/>
  <c r="EB64" i="23"/>
  <c r="EC64" i="23"/>
  <c r="ED64" i="23"/>
  <c r="EE64" i="23"/>
  <c r="EF64" i="23"/>
  <c r="EG64" i="23"/>
  <c r="EH64" i="23"/>
  <c r="EI64" i="23"/>
  <c r="EJ64" i="23"/>
  <c r="EK64" i="23"/>
  <c r="EL64" i="23"/>
  <c r="EM64" i="23"/>
  <c r="EN64" i="23"/>
  <c r="EO64" i="23"/>
  <c r="EP64" i="23"/>
  <c r="EQ64" i="23"/>
  <c r="ER64" i="23"/>
  <c r="ES64" i="23"/>
  <c r="ET64" i="23"/>
  <c r="EU64" i="23"/>
  <c r="EV64" i="23"/>
  <c r="EW64" i="23"/>
  <c r="EX64" i="23"/>
  <c r="EY64" i="23"/>
  <c r="EZ64" i="23"/>
  <c r="FA64" i="23"/>
  <c r="FB64" i="23"/>
  <c r="FC64" i="23"/>
  <c r="FD64" i="23"/>
  <c r="FE64" i="23"/>
  <c r="FF64" i="23"/>
  <c r="FG64" i="23"/>
  <c r="FH64" i="23"/>
  <c r="FI64" i="23"/>
  <c r="FJ64" i="23"/>
  <c r="FK64" i="23"/>
  <c r="FL64" i="23"/>
  <c r="FM64" i="23"/>
  <c r="FN64" i="23"/>
  <c r="FO64" i="23"/>
  <c r="FP64" i="23"/>
  <c r="FQ64" i="23"/>
  <c r="FR64" i="23"/>
  <c r="FS64" i="23"/>
  <c r="FT64" i="23"/>
  <c r="FU64" i="23"/>
  <c r="FV64" i="23"/>
  <c r="FW64" i="23"/>
  <c r="FX64" i="23"/>
  <c r="FY64" i="23"/>
  <c r="FZ64" i="23"/>
  <c r="GA64" i="23"/>
  <c r="GB64" i="23"/>
  <c r="GC64" i="23"/>
  <c r="GD64" i="23"/>
  <c r="F66" i="23"/>
  <c r="T66" i="23"/>
  <c r="FL66" i="23"/>
  <c r="F67" i="23"/>
  <c r="S67" i="23"/>
  <c r="T67" i="23"/>
  <c r="U67" i="23"/>
  <c r="V67" i="23"/>
  <c r="W67" i="23"/>
  <c r="X67" i="23"/>
  <c r="Y67" i="23"/>
  <c r="Z67" i="23"/>
  <c r="AA67" i="23"/>
  <c r="AB67" i="23"/>
  <c r="AC67" i="23"/>
  <c r="AD67" i="23"/>
  <c r="AE67" i="23"/>
  <c r="AF67" i="23"/>
  <c r="AG67" i="23"/>
  <c r="AH67" i="23"/>
  <c r="AI67" i="23"/>
  <c r="AJ67" i="23"/>
  <c r="AK67" i="23"/>
  <c r="AL67" i="23"/>
  <c r="AM67" i="23"/>
  <c r="AN67" i="23"/>
  <c r="AO67" i="23"/>
  <c r="AP67" i="23"/>
  <c r="AQ67" i="23"/>
  <c r="AR67" i="23"/>
  <c r="AS67" i="23"/>
  <c r="AT67" i="23"/>
  <c r="AU67" i="23"/>
  <c r="AV67" i="23"/>
  <c r="AW67" i="23"/>
  <c r="AX67" i="23"/>
  <c r="AY67" i="23"/>
  <c r="AZ67" i="23"/>
  <c r="BA67" i="23"/>
  <c r="BB67" i="23"/>
  <c r="BC67" i="23"/>
  <c r="BD67" i="23"/>
  <c r="BE67" i="23"/>
  <c r="BF67" i="23"/>
  <c r="BG67" i="23"/>
  <c r="BH67" i="23"/>
  <c r="BI67" i="23"/>
  <c r="BJ67" i="23"/>
  <c r="BK67" i="23"/>
  <c r="BL67" i="23"/>
  <c r="BM67" i="23"/>
  <c r="BN67" i="23"/>
  <c r="BO67" i="23"/>
  <c r="BP67" i="23"/>
  <c r="BQ67" i="23"/>
  <c r="BR67" i="23"/>
  <c r="BS67" i="23"/>
  <c r="BT67" i="23"/>
  <c r="BU67" i="23"/>
  <c r="BV67" i="23"/>
  <c r="BW67" i="23"/>
  <c r="BX67" i="23"/>
  <c r="BY67" i="23"/>
  <c r="BZ67" i="23"/>
  <c r="CA67" i="23"/>
  <c r="CB67" i="23"/>
  <c r="CC67" i="23"/>
  <c r="CD67" i="23"/>
  <c r="CE67" i="23"/>
  <c r="CF67" i="23"/>
  <c r="CG67" i="23"/>
  <c r="CH67" i="23"/>
  <c r="CI67" i="23"/>
  <c r="CJ67" i="23"/>
  <c r="CK67" i="23"/>
  <c r="CL67" i="23"/>
  <c r="CM67" i="23"/>
  <c r="CN67" i="23"/>
  <c r="CO67" i="23"/>
  <c r="CP67" i="23"/>
  <c r="CQ67" i="23"/>
  <c r="CR67" i="23"/>
  <c r="CS67" i="23"/>
  <c r="CT67" i="23"/>
  <c r="CU67" i="23"/>
  <c r="CV67" i="23"/>
  <c r="CW67" i="23"/>
  <c r="CX67" i="23"/>
  <c r="CY67" i="23"/>
  <c r="CZ67" i="23"/>
  <c r="DA67" i="23"/>
  <c r="DB67" i="23"/>
  <c r="DC67" i="23"/>
  <c r="DD67" i="23"/>
  <c r="DE67" i="23"/>
  <c r="DF67" i="23"/>
  <c r="DG67" i="23"/>
  <c r="DH67" i="23"/>
  <c r="DI67" i="23"/>
  <c r="DJ67" i="23"/>
  <c r="DK67" i="23"/>
  <c r="DL67" i="23"/>
  <c r="DM67" i="23"/>
  <c r="DN67" i="23"/>
  <c r="DO67" i="23"/>
  <c r="DP67" i="23"/>
  <c r="DQ67" i="23"/>
  <c r="DR67" i="23"/>
  <c r="DS67" i="23"/>
  <c r="DT67" i="23"/>
  <c r="DU67" i="23"/>
  <c r="DV67" i="23"/>
  <c r="DW67" i="23"/>
  <c r="DX67" i="23"/>
  <c r="DY67" i="23"/>
  <c r="DZ67" i="23"/>
  <c r="EA67" i="23"/>
  <c r="EB67" i="23"/>
  <c r="EC67" i="23"/>
  <c r="ED67" i="23"/>
  <c r="EE67" i="23"/>
  <c r="EF67" i="23"/>
  <c r="EG67" i="23"/>
  <c r="EH67" i="23"/>
  <c r="EI67" i="23"/>
  <c r="EJ67" i="23"/>
  <c r="EK67" i="23"/>
  <c r="EL67" i="23"/>
  <c r="EM67" i="23"/>
  <c r="EN67" i="23"/>
  <c r="EO67" i="23"/>
  <c r="EP67" i="23"/>
  <c r="EQ67" i="23"/>
  <c r="ER67" i="23"/>
  <c r="ES67" i="23"/>
  <c r="ET67" i="23"/>
  <c r="EU67" i="23"/>
  <c r="EV67" i="23"/>
  <c r="EW67" i="23"/>
  <c r="EX67" i="23"/>
  <c r="EY67" i="23"/>
  <c r="EZ67" i="23"/>
  <c r="FA67" i="23"/>
  <c r="FB67" i="23"/>
  <c r="FC67" i="23"/>
  <c r="FD67" i="23"/>
  <c r="FE67" i="23"/>
  <c r="FF67" i="23"/>
  <c r="FG67" i="23"/>
  <c r="FH67" i="23"/>
  <c r="FI67" i="23"/>
  <c r="FJ67" i="23"/>
  <c r="FK67" i="23"/>
  <c r="FL67" i="23"/>
  <c r="FM67" i="23"/>
  <c r="FN67" i="23"/>
  <c r="FO67" i="23"/>
  <c r="FP67" i="23"/>
  <c r="FQ67" i="23"/>
  <c r="FR67" i="23"/>
  <c r="FS67" i="23"/>
  <c r="FT67" i="23"/>
  <c r="FU67" i="23"/>
  <c r="FV67" i="23"/>
  <c r="FW67" i="23"/>
  <c r="FX67" i="23"/>
  <c r="FY67" i="23"/>
  <c r="FZ67" i="23"/>
  <c r="GA67" i="23"/>
  <c r="GB67" i="23"/>
  <c r="GC67" i="23"/>
  <c r="GD67" i="23"/>
  <c r="F68" i="23"/>
  <c r="F69" i="23"/>
  <c r="S69" i="23"/>
  <c r="T69" i="23"/>
  <c r="U69" i="23"/>
  <c r="V69" i="23"/>
  <c r="W69" i="23"/>
  <c r="X69" i="23"/>
  <c r="Y69" i="23"/>
  <c r="Z69" i="23"/>
  <c r="AA69" i="23"/>
  <c r="AB69" i="23"/>
  <c r="AC69" i="23"/>
  <c r="AD69" i="23"/>
  <c r="AE69" i="23"/>
  <c r="AF69" i="23"/>
  <c r="AG69" i="23"/>
  <c r="AH69" i="23"/>
  <c r="AI69" i="23"/>
  <c r="AJ69" i="23"/>
  <c r="AK69" i="23"/>
  <c r="AL69" i="23"/>
  <c r="AM69" i="23"/>
  <c r="AN69" i="23"/>
  <c r="AO69" i="23"/>
  <c r="AP69" i="23"/>
  <c r="AQ69" i="23"/>
  <c r="AR69" i="23"/>
  <c r="AS69" i="23"/>
  <c r="AT69" i="23"/>
  <c r="AU69" i="23"/>
  <c r="AV69" i="23"/>
  <c r="AW69" i="23"/>
  <c r="AX69" i="23"/>
  <c r="AY69" i="23"/>
  <c r="AZ69" i="23"/>
  <c r="BA69" i="23"/>
  <c r="BB69" i="23"/>
  <c r="BC69" i="23"/>
  <c r="BD69" i="23"/>
  <c r="BE69" i="23"/>
  <c r="BF69" i="23"/>
  <c r="BG69" i="23"/>
  <c r="BH69" i="23"/>
  <c r="BI69" i="23"/>
  <c r="BJ69" i="23"/>
  <c r="BK69" i="23"/>
  <c r="BL69" i="23"/>
  <c r="BM69" i="23"/>
  <c r="BN69" i="23"/>
  <c r="BO69" i="23"/>
  <c r="BP69" i="23"/>
  <c r="BQ69" i="23"/>
  <c r="BR69" i="23"/>
  <c r="BS69" i="23"/>
  <c r="BT69" i="23"/>
  <c r="BU69" i="23"/>
  <c r="BV69" i="23"/>
  <c r="BW69" i="23"/>
  <c r="BX69" i="23"/>
  <c r="BY69" i="23"/>
  <c r="BZ69" i="23"/>
  <c r="CA69" i="23"/>
  <c r="CB69" i="23"/>
  <c r="CC69" i="23"/>
  <c r="CD69" i="23"/>
  <c r="CE69" i="23"/>
  <c r="CF69" i="23"/>
  <c r="CG69" i="23"/>
  <c r="CH69" i="23"/>
  <c r="CI69" i="23"/>
  <c r="CJ69" i="23"/>
  <c r="CK69" i="23"/>
  <c r="CL69" i="23"/>
  <c r="CM69" i="23"/>
  <c r="CN69" i="23"/>
  <c r="CO69" i="23"/>
  <c r="CP69" i="23"/>
  <c r="CQ69" i="23"/>
  <c r="CR69" i="23"/>
  <c r="CS69" i="23"/>
  <c r="CT69" i="23"/>
  <c r="CU69" i="23"/>
  <c r="CV69" i="23"/>
  <c r="CW69" i="23"/>
  <c r="CX69" i="23"/>
  <c r="CY69" i="23"/>
  <c r="CZ69" i="23"/>
  <c r="DA69" i="23"/>
  <c r="DB69" i="23"/>
  <c r="DC69" i="23"/>
  <c r="DD69" i="23"/>
  <c r="DE69" i="23"/>
  <c r="DF69" i="23"/>
  <c r="DG69" i="23"/>
  <c r="DH69" i="23"/>
  <c r="DI69" i="23"/>
  <c r="DJ69" i="23"/>
  <c r="DK69" i="23"/>
  <c r="DL69" i="23"/>
  <c r="DM69" i="23"/>
  <c r="DN69" i="23"/>
  <c r="DO69" i="23"/>
  <c r="DP69" i="23"/>
  <c r="DQ69" i="23"/>
  <c r="DR69" i="23"/>
  <c r="DS69" i="23"/>
  <c r="DT69" i="23"/>
  <c r="DU69" i="23"/>
  <c r="DV69" i="23"/>
  <c r="DW69" i="23"/>
  <c r="DX69" i="23"/>
  <c r="DY69" i="23"/>
  <c r="DZ69" i="23"/>
  <c r="EA69" i="23"/>
  <c r="EB69" i="23"/>
  <c r="EC69" i="23"/>
  <c r="ED69" i="23"/>
  <c r="EE69" i="23"/>
  <c r="EF69" i="23"/>
  <c r="EG69" i="23"/>
  <c r="EH69" i="23"/>
  <c r="EI69" i="23"/>
  <c r="EJ69" i="23"/>
  <c r="EK69" i="23"/>
  <c r="EL69" i="23"/>
  <c r="EM69" i="23"/>
  <c r="EN69" i="23"/>
  <c r="EO69" i="23"/>
  <c r="EP69" i="23"/>
  <c r="EQ69" i="23"/>
  <c r="ER69" i="23"/>
  <c r="ES69" i="23"/>
  <c r="ET69" i="23"/>
  <c r="EU69" i="23"/>
  <c r="EV69" i="23"/>
  <c r="EW69" i="23"/>
  <c r="EX69" i="23"/>
  <c r="EY69" i="23"/>
  <c r="EZ69" i="23"/>
  <c r="FA69" i="23"/>
  <c r="FB69" i="23"/>
  <c r="FC69" i="23"/>
  <c r="FD69" i="23"/>
  <c r="FE69" i="23"/>
  <c r="FF69" i="23"/>
  <c r="FG69" i="23"/>
  <c r="FH69" i="23"/>
  <c r="FI69" i="23"/>
  <c r="FJ69" i="23"/>
  <c r="FK69" i="23"/>
  <c r="FM69" i="23"/>
  <c r="FN69" i="23"/>
  <c r="FO69" i="23"/>
  <c r="FP69" i="23"/>
  <c r="FQ69" i="23"/>
  <c r="FR69" i="23"/>
  <c r="FS69" i="23"/>
  <c r="FT69" i="23"/>
  <c r="FU69" i="23"/>
  <c r="FV69" i="23"/>
  <c r="FW69" i="23"/>
  <c r="FX69" i="23"/>
  <c r="FY69" i="23"/>
  <c r="FZ69" i="23"/>
  <c r="GA69" i="23"/>
  <c r="GB69" i="23"/>
  <c r="GC69" i="23"/>
  <c r="GD69" i="23"/>
  <c r="F70" i="23"/>
  <c r="H70" i="23"/>
  <c r="I70" i="23"/>
  <c r="J70" i="23"/>
  <c r="K70" i="23"/>
  <c r="L70" i="23"/>
  <c r="M70" i="23"/>
  <c r="N70" i="23"/>
  <c r="O70" i="23"/>
  <c r="P70" i="23"/>
  <c r="Q70" i="23"/>
  <c r="R70" i="23"/>
  <c r="S70" i="23"/>
  <c r="T70" i="23"/>
  <c r="U70" i="23"/>
  <c r="V70" i="23"/>
  <c r="W70" i="23"/>
  <c r="X70" i="23"/>
  <c r="Y70" i="23"/>
  <c r="Z70" i="23"/>
  <c r="AA70" i="23"/>
  <c r="AB70" i="23"/>
  <c r="AC70" i="23"/>
  <c r="AD70" i="23"/>
  <c r="AE70" i="23"/>
  <c r="AF70" i="23"/>
  <c r="AG70" i="23"/>
  <c r="AH70" i="23"/>
  <c r="AI70" i="23"/>
  <c r="AJ70" i="23"/>
  <c r="AK70" i="23"/>
  <c r="AL70" i="23"/>
  <c r="AM70" i="23"/>
  <c r="AN70" i="23"/>
  <c r="AO70" i="23"/>
  <c r="AP70" i="23"/>
  <c r="AQ70" i="23"/>
  <c r="AR70" i="23"/>
  <c r="AS70" i="23"/>
  <c r="AT70" i="23"/>
  <c r="AU70" i="23"/>
  <c r="AV70" i="23"/>
  <c r="AW70" i="23"/>
  <c r="AX70" i="23"/>
  <c r="AY70" i="23"/>
  <c r="AZ70" i="23"/>
  <c r="BA70" i="23"/>
  <c r="BB70" i="23"/>
  <c r="BC70" i="23"/>
  <c r="BD70" i="23"/>
  <c r="BE70" i="23"/>
  <c r="BF70" i="23"/>
  <c r="BG70" i="23"/>
  <c r="BH70" i="23"/>
  <c r="BI70" i="23"/>
  <c r="BJ70" i="23"/>
  <c r="BK70" i="23"/>
  <c r="BL70" i="23"/>
  <c r="BM70" i="23"/>
  <c r="BN70" i="23"/>
  <c r="BO70" i="23"/>
  <c r="BP70" i="23"/>
  <c r="BQ70" i="23"/>
  <c r="BR70" i="23"/>
  <c r="BS70" i="23"/>
  <c r="BT70" i="23"/>
  <c r="BU70" i="23"/>
  <c r="BV70" i="23"/>
  <c r="BW70" i="23"/>
  <c r="BX70" i="23"/>
  <c r="BY70" i="23"/>
  <c r="BZ70" i="23"/>
  <c r="CA70" i="23"/>
  <c r="CB70" i="23"/>
  <c r="CC70" i="23"/>
  <c r="CD70" i="23"/>
  <c r="CE70" i="23"/>
  <c r="CF70" i="23"/>
  <c r="CG70" i="23"/>
  <c r="CH70" i="23"/>
  <c r="CI70" i="23"/>
  <c r="CJ70" i="23"/>
  <c r="CK70" i="23"/>
  <c r="CL70" i="23"/>
  <c r="CM70" i="23"/>
  <c r="CN70" i="23"/>
  <c r="CO70" i="23"/>
  <c r="CP70" i="23"/>
  <c r="CQ70" i="23"/>
  <c r="CR70" i="23"/>
  <c r="CS70" i="23"/>
  <c r="CT70" i="23"/>
  <c r="CU70" i="23"/>
  <c r="CV70" i="23"/>
  <c r="CW70" i="23"/>
  <c r="CX70" i="23"/>
  <c r="CY70" i="23"/>
  <c r="CZ70" i="23"/>
  <c r="DA70" i="23"/>
  <c r="DB70" i="23"/>
  <c r="DC70" i="23"/>
  <c r="DD70" i="23"/>
  <c r="DE70" i="23"/>
  <c r="DF70" i="23"/>
  <c r="DG70" i="23"/>
  <c r="DH70" i="23"/>
  <c r="DI70" i="23"/>
  <c r="DJ70" i="23"/>
  <c r="DK70" i="23"/>
  <c r="DL70" i="23"/>
  <c r="DM70" i="23"/>
  <c r="DN70" i="23"/>
  <c r="DO70" i="23"/>
  <c r="DP70" i="23"/>
  <c r="DQ70" i="23"/>
  <c r="DR70" i="23"/>
  <c r="DS70" i="23"/>
  <c r="DT70" i="23"/>
  <c r="DU70" i="23"/>
  <c r="DV70" i="23"/>
  <c r="DW70" i="23"/>
  <c r="DX70" i="23"/>
  <c r="DY70" i="23"/>
  <c r="DZ70" i="23"/>
  <c r="EA70" i="23"/>
  <c r="EB70" i="23"/>
  <c r="EC70" i="23"/>
  <c r="ED70" i="23"/>
  <c r="EE70" i="23"/>
  <c r="EF70" i="23"/>
  <c r="EG70" i="23"/>
  <c r="EH70" i="23"/>
  <c r="EI70" i="23"/>
  <c r="EJ70" i="23"/>
  <c r="EK70" i="23"/>
  <c r="EL70" i="23"/>
  <c r="EM70" i="23"/>
  <c r="EN70" i="23"/>
  <c r="EO70" i="23"/>
  <c r="EP70" i="23"/>
  <c r="EQ70" i="23"/>
  <c r="ER70" i="23"/>
  <c r="ES70" i="23"/>
  <c r="ET70" i="23"/>
  <c r="EU70" i="23"/>
  <c r="EV70" i="23"/>
  <c r="EW70" i="23"/>
  <c r="EX70" i="23"/>
  <c r="EY70" i="23"/>
  <c r="EZ70" i="23"/>
  <c r="FA70" i="23"/>
  <c r="FB70" i="23"/>
  <c r="FC70" i="23"/>
  <c r="FD70" i="23"/>
  <c r="FE70" i="23"/>
  <c r="FF70" i="23"/>
  <c r="FG70" i="23"/>
  <c r="FH70" i="23"/>
  <c r="FI70" i="23"/>
  <c r="FJ70" i="23"/>
  <c r="FK70" i="23"/>
  <c r="FL70" i="23"/>
  <c r="FM70" i="23"/>
  <c r="FN70" i="23"/>
  <c r="FO70" i="23"/>
  <c r="FP70" i="23"/>
  <c r="FQ70" i="23"/>
  <c r="FR70" i="23"/>
  <c r="FS70" i="23"/>
  <c r="FT70" i="23"/>
  <c r="FU70" i="23"/>
  <c r="FV70" i="23"/>
  <c r="FW70" i="23"/>
  <c r="FX70" i="23"/>
  <c r="FY70" i="23"/>
  <c r="FZ70" i="23"/>
  <c r="GA70" i="23"/>
  <c r="GB70" i="23"/>
  <c r="GC70" i="23"/>
  <c r="GD70" i="23"/>
  <c r="F71" i="23"/>
  <c r="S71" i="23"/>
  <c r="T71" i="23"/>
  <c r="U71" i="23"/>
  <c r="V71" i="23"/>
  <c r="W71" i="23"/>
  <c r="X71" i="23"/>
  <c r="Y71" i="23"/>
  <c r="Z71" i="23"/>
  <c r="AA71" i="23"/>
  <c r="AB71" i="23"/>
  <c r="AC71" i="23"/>
  <c r="AD71" i="23"/>
  <c r="AE71" i="23"/>
  <c r="AF71" i="23"/>
  <c r="AG71" i="23"/>
  <c r="AH71" i="23"/>
  <c r="AI71" i="23"/>
  <c r="AJ71" i="23"/>
  <c r="AK71" i="23"/>
  <c r="AL71" i="23"/>
  <c r="AM71" i="23"/>
  <c r="AN71" i="23"/>
  <c r="AO71" i="23"/>
  <c r="AP71" i="23"/>
  <c r="AQ71" i="23"/>
  <c r="AR71" i="23"/>
  <c r="AS71" i="23"/>
  <c r="AT71" i="23"/>
  <c r="AU71" i="23"/>
  <c r="AV71" i="23"/>
  <c r="AW71" i="23"/>
  <c r="AX71" i="23"/>
  <c r="AY71" i="23"/>
  <c r="AZ71" i="23"/>
  <c r="BA71" i="23"/>
  <c r="BB71" i="23"/>
  <c r="BC71" i="23"/>
  <c r="BD71" i="23"/>
  <c r="BE71" i="23"/>
  <c r="BF71" i="23"/>
  <c r="BG71" i="23"/>
  <c r="BH71" i="23"/>
  <c r="BI71" i="23"/>
  <c r="BJ71" i="23"/>
  <c r="BK71" i="23"/>
  <c r="BL71" i="23"/>
  <c r="BM71" i="23"/>
  <c r="BN71" i="23"/>
  <c r="BO71" i="23"/>
  <c r="BP71" i="23"/>
  <c r="BQ71" i="23"/>
  <c r="BR71" i="23"/>
  <c r="BS71" i="23"/>
  <c r="BT71" i="23"/>
  <c r="BU71" i="23"/>
  <c r="BV71" i="23"/>
  <c r="BW71" i="23"/>
  <c r="BX71" i="23"/>
  <c r="BY71" i="23"/>
  <c r="BZ71" i="23"/>
  <c r="CA71" i="23"/>
  <c r="CB71" i="23"/>
  <c r="CC71" i="23"/>
  <c r="CD71" i="23"/>
  <c r="CE71" i="23"/>
  <c r="CF71" i="23"/>
  <c r="CG71" i="23"/>
  <c r="CH71" i="23"/>
  <c r="CI71" i="23"/>
  <c r="CJ71" i="23"/>
  <c r="CK71" i="23"/>
  <c r="CL71" i="23"/>
  <c r="CM71" i="23"/>
  <c r="CN71" i="23"/>
  <c r="CO71" i="23"/>
  <c r="CP71" i="23"/>
  <c r="CQ71" i="23"/>
  <c r="CR71" i="23"/>
  <c r="CS71" i="23"/>
  <c r="CT71" i="23"/>
  <c r="CU71" i="23"/>
  <c r="CV71" i="23"/>
  <c r="CW71" i="23"/>
  <c r="CX71" i="23"/>
  <c r="CY71" i="23"/>
  <c r="CZ71" i="23"/>
  <c r="DA71" i="23"/>
  <c r="DB71" i="23"/>
  <c r="DC71" i="23"/>
  <c r="DD71" i="23"/>
  <c r="DE71" i="23"/>
  <c r="DF71" i="23"/>
  <c r="DG71" i="23"/>
  <c r="DH71" i="23"/>
  <c r="DI71" i="23"/>
  <c r="DJ71" i="23"/>
  <c r="DK71" i="23"/>
  <c r="DL71" i="23"/>
  <c r="DM71" i="23"/>
  <c r="DN71" i="23"/>
  <c r="DO71" i="23"/>
  <c r="DP71" i="23"/>
  <c r="DQ71" i="23"/>
  <c r="DR71" i="23"/>
  <c r="DS71" i="23"/>
  <c r="DT71" i="23"/>
  <c r="DU71" i="23"/>
  <c r="DV71" i="23"/>
  <c r="DW71" i="23"/>
  <c r="DX71" i="23"/>
  <c r="DY71" i="23"/>
  <c r="DZ71" i="23"/>
  <c r="EA71" i="23"/>
  <c r="EB71" i="23"/>
  <c r="EC71" i="23"/>
  <c r="ED71" i="23"/>
  <c r="EE71" i="23"/>
  <c r="EF71" i="23"/>
  <c r="EG71" i="23"/>
  <c r="EH71" i="23"/>
  <c r="EI71" i="23"/>
  <c r="EJ71" i="23"/>
  <c r="EK71" i="23"/>
  <c r="EL71" i="23"/>
  <c r="EM71" i="23"/>
  <c r="EN71" i="23"/>
  <c r="EO71" i="23"/>
  <c r="EP71" i="23"/>
  <c r="EQ71" i="23"/>
  <c r="ER71" i="23"/>
  <c r="ES71" i="23"/>
  <c r="ET71" i="23"/>
  <c r="EU71" i="23"/>
  <c r="EV71" i="23"/>
  <c r="EW71" i="23"/>
  <c r="EX71" i="23"/>
  <c r="EY71" i="23"/>
  <c r="EZ71" i="23"/>
  <c r="FA71" i="23"/>
  <c r="FB71" i="23"/>
  <c r="FC71" i="23"/>
  <c r="FD71" i="23"/>
  <c r="FE71" i="23"/>
  <c r="FF71" i="23"/>
  <c r="FG71" i="23"/>
  <c r="FH71" i="23"/>
  <c r="FI71" i="23"/>
  <c r="FJ71" i="23"/>
  <c r="FK71" i="23"/>
  <c r="FL71" i="23"/>
  <c r="FM71" i="23"/>
  <c r="FN71" i="23"/>
  <c r="FO71" i="23"/>
  <c r="FP71" i="23"/>
  <c r="FQ71" i="23"/>
  <c r="FR71" i="23"/>
  <c r="FS71" i="23"/>
  <c r="FT71" i="23"/>
  <c r="FU71" i="23"/>
  <c r="FV71" i="23"/>
  <c r="FW71" i="23"/>
  <c r="FX71" i="23"/>
  <c r="FY71" i="23"/>
  <c r="FZ71" i="23"/>
  <c r="GA71" i="23"/>
  <c r="GB71" i="23"/>
  <c r="GC71" i="23"/>
  <c r="GD71" i="23"/>
  <c r="F72" i="23"/>
  <c r="S72" i="23"/>
  <c r="T72" i="23"/>
  <c r="U72" i="23"/>
  <c r="V72" i="23"/>
  <c r="W72" i="23"/>
  <c r="X72" i="23"/>
  <c r="Y72" i="23"/>
  <c r="Z72" i="23"/>
  <c r="AA72" i="23"/>
  <c r="AB72" i="23"/>
  <c r="AC72" i="23"/>
  <c r="AD72" i="23"/>
  <c r="AE72" i="23"/>
  <c r="AF72" i="23"/>
  <c r="AG72" i="23"/>
  <c r="AH72" i="23"/>
  <c r="AI72" i="23"/>
  <c r="AJ72" i="23"/>
  <c r="AK72" i="23"/>
  <c r="AL72" i="23"/>
  <c r="AM72" i="23"/>
  <c r="AN72" i="23"/>
  <c r="AO72" i="23"/>
  <c r="AP72" i="23"/>
  <c r="AQ72" i="23"/>
  <c r="AR72" i="23"/>
  <c r="AS72" i="23"/>
  <c r="AT72" i="23"/>
  <c r="AU72" i="23"/>
  <c r="AV72" i="23"/>
  <c r="AW72" i="23"/>
  <c r="AX72" i="23"/>
  <c r="AY72" i="23"/>
  <c r="AZ72" i="23"/>
  <c r="BA72" i="23"/>
  <c r="BB72" i="23"/>
  <c r="BC72" i="23"/>
  <c r="BD72" i="23"/>
  <c r="BE72" i="23"/>
  <c r="BF72" i="23"/>
  <c r="BG72" i="23"/>
  <c r="BH72" i="23"/>
  <c r="BI72" i="23"/>
  <c r="BJ72" i="23"/>
  <c r="BK72" i="23"/>
  <c r="BL72" i="23"/>
  <c r="BM72" i="23"/>
  <c r="BN72" i="23"/>
  <c r="BO72" i="23"/>
  <c r="BP72" i="23"/>
  <c r="BQ72" i="23"/>
  <c r="BR72" i="23"/>
  <c r="BS72" i="23"/>
  <c r="BT72" i="23"/>
  <c r="BU72" i="23"/>
  <c r="BV72" i="23"/>
  <c r="BW72" i="23"/>
  <c r="BX72" i="23"/>
  <c r="BY72" i="23"/>
  <c r="BZ72" i="23"/>
  <c r="CA72" i="23"/>
  <c r="CB72" i="23"/>
  <c r="CC72" i="23"/>
  <c r="CD72" i="23"/>
  <c r="CE72" i="23"/>
  <c r="CF72" i="23"/>
  <c r="CG72" i="23"/>
  <c r="CH72" i="23"/>
  <c r="CI72" i="23"/>
  <c r="CJ72" i="23"/>
  <c r="CK72" i="23"/>
  <c r="CL72" i="23"/>
  <c r="CM72" i="23"/>
  <c r="CN72" i="23"/>
  <c r="CO72" i="23"/>
  <c r="CP72" i="23"/>
  <c r="CQ72" i="23"/>
  <c r="CR72" i="23"/>
  <c r="CS72" i="23"/>
  <c r="CT72" i="23"/>
  <c r="CU72" i="23"/>
  <c r="CV72" i="23"/>
  <c r="CW72" i="23"/>
  <c r="CX72" i="23"/>
  <c r="CY72" i="23"/>
  <c r="CZ72" i="23"/>
  <c r="DA72" i="23"/>
  <c r="DB72" i="23"/>
  <c r="DC72" i="23"/>
  <c r="DD72" i="23"/>
  <c r="DE72" i="23"/>
  <c r="DF72" i="23"/>
  <c r="DG72" i="23"/>
  <c r="DH72" i="23"/>
  <c r="DI72" i="23"/>
  <c r="DJ72" i="23"/>
  <c r="DK72" i="23"/>
  <c r="DL72" i="23"/>
  <c r="DM72" i="23"/>
  <c r="DN72" i="23"/>
  <c r="DO72" i="23"/>
  <c r="DP72" i="23"/>
  <c r="DQ72" i="23"/>
  <c r="DR72" i="23"/>
  <c r="DS72" i="23"/>
  <c r="DT72" i="23"/>
  <c r="DU72" i="23"/>
  <c r="DV72" i="23"/>
  <c r="DW72" i="23"/>
  <c r="DX72" i="23"/>
  <c r="DY72" i="23"/>
  <c r="DZ72" i="23"/>
  <c r="EA72" i="23"/>
  <c r="EB72" i="23"/>
  <c r="EC72" i="23"/>
  <c r="ED72" i="23"/>
  <c r="EE72" i="23"/>
  <c r="EF72" i="23"/>
  <c r="EG72" i="23"/>
  <c r="EH72" i="23"/>
  <c r="EI72" i="23"/>
  <c r="EJ72" i="23"/>
  <c r="EK72" i="23"/>
  <c r="EL72" i="23"/>
  <c r="EM72" i="23"/>
  <c r="EN72" i="23"/>
  <c r="EO72" i="23"/>
  <c r="EP72" i="23"/>
  <c r="EQ72" i="23"/>
  <c r="ER72" i="23"/>
  <c r="ES72" i="23"/>
  <c r="ET72" i="23"/>
  <c r="EU72" i="23"/>
  <c r="EV72" i="23"/>
  <c r="EW72" i="23"/>
  <c r="EX72" i="23"/>
  <c r="EY72" i="23"/>
  <c r="EZ72" i="23"/>
  <c r="FA72" i="23"/>
  <c r="FB72" i="23"/>
  <c r="FC72" i="23"/>
  <c r="FD72" i="23"/>
  <c r="FE72" i="23"/>
  <c r="FF72" i="23"/>
  <c r="FG72" i="23"/>
  <c r="FH72" i="23"/>
  <c r="FI72" i="23"/>
  <c r="FJ72" i="23"/>
  <c r="FK72" i="23"/>
  <c r="FL72" i="23"/>
  <c r="FM72" i="23"/>
  <c r="FN72" i="23"/>
  <c r="FO72" i="23"/>
  <c r="FP72" i="23"/>
  <c r="FQ72" i="23"/>
  <c r="FR72" i="23"/>
  <c r="FS72" i="23"/>
  <c r="FT72" i="23"/>
  <c r="FU72" i="23"/>
  <c r="FV72" i="23"/>
  <c r="FW72" i="23"/>
  <c r="FX72" i="23"/>
  <c r="FY72" i="23"/>
  <c r="FZ72" i="23"/>
  <c r="GA72" i="23"/>
  <c r="GB72" i="23"/>
  <c r="GC72" i="23"/>
  <c r="GD72" i="23"/>
  <c r="F75" i="23"/>
  <c r="O75" i="23"/>
  <c r="P75" i="23"/>
  <c r="Q75" i="23"/>
  <c r="R75" i="23"/>
  <c r="S75" i="23"/>
  <c r="T75" i="23"/>
  <c r="U75" i="23"/>
  <c r="V75" i="23"/>
  <c r="W75" i="23"/>
  <c r="X75" i="23"/>
  <c r="Y75" i="23"/>
  <c r="Z75" i="23"/>
  <c r="AA75" i="23"/>
  <c r="AB75" i="23"/>
  <c r="AC75" i="23"/>
  <c r="AD75" i="23"/>
  <c r="AE75" i="23"/>
  <c r="AF75" i="23"/>
  <c r="AG75" i="23"/>
  <c r="AH75" i="23"/>
  <c r="AI75" i="23"/>
  <c r="AJ75" i="23"/>
  <c r="AK75" i="23"/>
  <c r="AL75" i="23"/>
  <c r="AM75" i="23"/>
  <c r="AN75" i="23"/>
  <c r="AO75" i="23"/>
  <c r="AP75" i="23"/>
  <c r="AQ75" i="23"/>
  <c r="AR75" i="23"/>
  <c r="AS75" i="23"/>
  <c r="AT75" i="23"/>
  <c r="AU75" i="23"/>
  <c r="AV75" i="23"/>
  <c r="AW75" i="23"/>
  <c r="AX75" i="23"/>
  <c r="AY75" i="23"/>
  <c r="AZ75" i="23"/>
  <c r="BA75" i="23"/>
  <c r="BB75" i="23"/>
  <c r="BC75" i="23"/>
  <c r="BD75" i="23"/>
  <c r="BE75" i="23"/>
  <c r="BF75" i="23"/>
  <c r="BG75" i="23"/>
  <c r="BH75" i="23"/>
  <c r="BI75" i="23"/>
  <c r="BJ75" i="23"/>
  <c r="BK75" i="23"/>
  <c r="BL75" i="23"/>
  <c r="BM75" i="23"/>
  <c r="BN75" i="23"/>
  <c r="BO75" i="23"/>
  <c r="BP75" i="23"/>
  <c r="BQ75" i="23"/>
  <c r="BR75" i="23"/>
  <c r="BS75" i="23"/>
  <c r="BT75" i="23"/>
  <c r="BU75" i="23"/>
  <c r="BV75" i="23"/>
  <c r="BW75" i="23"/>
  <c r="BX75" i="23"/>
  <c r="BY75" i="23"/>
  <c r="BZ75" i="23"/>
  <c r="CA75" i="23"/>
  <c r="CB75" i="23"/>
  <c r="CC75" i="23"/>
  <c r="CD75" i="23"/>
  <c r="CE75" i="23"/>
  <c r="CF75" i="23"/>
  <c r="CG75" i="23"/>
  <c r="CH75" i="23"/>
  <c r="CI75" i="23"/>
  <c r="CJ75" i="23"/>
  <c r="CK75" i="23"/>
  <c r="CL75" i="23"/>
  <c r="CM75" i="23"/>
  <c r="CN75" i="23"/>
  <c r="CO75" i="23"/>
  <c r="CP75" i="23"/>
  <c r="CQ75" i="23"/>
  <c r="CR75" i="23"/>
  <c r="CS75" i="23"/>
  <c r="CT75" i="23"/>
  <c r="CU75" i="23"/>
  <c r="CV75" i="23"/>
  <c r="CW75" i="23"/>
  <c r="CX75" i="23"/>
  <c r="CY75" i="23"/>
  <c r="CZ75" i="23"/>
  <c r="DA75" i="23"/>
  <c r="DB75" i="23"/>
  <c r="DC75" i="23"/>
  <c r="DD75" i="23"/>
  <c r="DE75" i="23"/>
  <c r="DF75" i="23"/>
  <c r="DG75" i="23"/>
  <c r="DH75" i="23"/>
  <c r="DI75" i="23"/>
  <c r="DJ75" i="23"/>
  <c r="DK75" i="23"/>
  <c r="DL75" i="23"/>
  <c r="DM75" i="23"/>
  <c r="DN75" i="23"/>
  <c r="DO75" i="23"/>
  <c r="DP75" i="23"/>
  <c r="DQ75" i="23"/>
  <c r="DR75" i="23"/>
  <c r="DS75" i="23"/>
  <c r="DT75" i="23"/>
  <c r="DU75" i="23"/>
  <c r="DV75" i="23"/>
  <c r="DW75" i="23"/>
  <c r="DX75" i="23"/>
  <c r="DY75" i="23"/>
  <c r="DZ75" i="23"/>
  <c r="EA75" i="23"/>
  <c r="EB75" i="23"/>
  <c r="EC75" i="23"/>
  <c r="ED75" i="23"/>
  <c r="EE75" i="23"/>
  <c r="EF75" i="23"/>
  <c r="EG75" i="23"/>
  <c r="EH75" i="23"/>
  <c r="EI75" i="23"/>
  <c r="EJ75" i="23"/>
  <c r="EK75" i="23"/>
  <c r="EL75" i="23"/>
  <c r="EM75" i="23"/>
  <c r="EN75" i="23"/>
  <c r="EO75" i="23"/>
  <c r="EP75" i="23"/>
  <c r="EQ75" i="23"/>
  <c r="ER75" i="23"/>
  <c r="ES75" i="23"/>
  <c r="ET75" i="23"/>
  <c r="EU75" i="23"/>
  <c r="EV75" i="23"/>
  <c r="EW75" i="23"/>
  <c r="EX75" i="23"/>
  <c r="EY75" i="23"/>
  <c r="EZ75" i="23"/>
  <c r="FA75" i="23"/>
  <c r="FB75" i="23"/>
  <c r="FC75" i="23"/>
  <c r="FD75" i="23"/>
  <c r="FE75" i="23"/>
  <c r="FF75" i="23"/>
  <c r="FG75" i="23"/>
  <c r="FH75" i="23"/>
  <c r="FI75" i="23"/>
  <c r="FJ75" i="23"/>
  <c r="FK75" i="23"/>
  <c r="FL75" i="23"/>
  <c r="FM75" i="23"/>
  <c r="FN75" i="23"/>
  <c r="FO75" i="23"/>
  <c r="FP75" i="23"/>
  <c r="FQ75" i="23"/>
  <c r="FR75" i="23"/>
  <c r="FS75" i="23"/>
  <c r="FT75" i="23"/>
  <c r="FU75" i="23"/>
  <c r="FV75" i="23"/>
  <c r="FW75" i="23"/>
  <c r="FX75" i="23"/>
  <c r="FY75" i="23"/>
  <c r="FZ75" i="23"/>
  <c r="GA75" i="23"/>
  <c r="GB75" i="23"/>
  <c r="GC75" i="23"/>
  <c r="GD75" i="23"/>
  <c r="F78" i="23"/>
  <c r="O78" i="23"/>
  <c r="P78" i="23"/>
  <c r="Q78" i="23"/>
  <c r="R78" i="23"/>
  <c r="S78" i="23"/>
  <c r="T78" i="23"/>
  <c r="U78" i="23"/>
  <c r="V78" i="23"/>
  <c r="W78" i="23"/>
  <c r="X78" i="23"/>
  <c r="Y78" i="23"/>
  <c r="Z78" i="23"/>
  <c r="AA78" i="23"/>
  <c r="AB78" i="23"/>
  <c r="AC78" i="23"/>
  <c r="AD78" i="23"/>
  <c r="AE78" i="23"/>
  <c r="AF78" i="23"/>
  <c r="AG78" i="23"/>
  <c r="AH78" i="23"/>
  <c r="AI78" i="23"/>
  <c r="AJ78" i="23"/>
  <c r="AK78" i="23"/>
  <c r="AL78" i="23"/>
  <c r="AM78" i="23"/>
  <c r="AN78" i="23"/>
  <c r="AO78" i="23"/>
  <c r="AP78" i="23"/>
  <c r="AQ78" i="23"/>
  <c r="AR78" i="23"/>
  <c r="AS78" i="23"/>
  <c r="AT78" i="23"/>
  <c r="AU78" i="23"/>
  <c r="AV78" i="23"/>
  <c r="AW78" i="23"/>
  <c r="AX78" i="23"/>
  <c r="AY78" i="23"/>
  <c r="AZ78" i="23"/>
  <c r="BA78" i="23"/>
  <c r="BB78" i="23"/>
  <c r="BC78" i="23"/>
  <c r="BD78" i="23"/>
  <c r="BE78" i="23"/>
  <c r="BF78" i="23"/>
  <c r="BG78" i="23"/>
  <c r="BH78" i="23"/>
  <c r="BI78" i="23"/>
  <c r="BJ78" i="23"/>
  <c r="BK78" i="23"/>
  <c r="BL78" i="23"/>
  <c r="BM78" i="23"/>
  <c r="BN78" i="23"/>
  <c r="BO78" i="23"/>
  <c r="BP78" i="23"/>
  <c r="BQ78" i="23"/>
  <c r="BR78" i="23"/>
  <c r="BS78" i="23"/>
  <c r="BT78" i="23"/>
  <c r="BU78" i="23"/>
  <c r="BV78" i="23"/>
  <c r="BW78" i="23"/>
  <c r="BX78" i="23"/>
  <c r="BY78" i="23"/>
  <c r="BZ78" i="23"/>
  <c r="CA78" i="23"/>
  <c r="CB78" i="23"/>
  <c r="CC78" i="23"/>
  <c r="CD78" i="23"/>
  <c r="CE78" i="23"/>
  <c r="CF78" i="23"/>
  <c r="CG78" i="23"/>
  <c r="CH78" i="23"/>
  <c r="CI78" i="23"/>
  <c r="CJ78" i="23"/>
  <c r="CK78" i="23"/>
  <c r="CL78" i="23"/>
  <c r="CM78" i="23"/>
  <c r="CN78" i="23"/>
  <c r="CO78" i="23"/>
  <c r="CP78" i="23"/>
  <c r="CQ78" i="23"/>
  <c r="CR78" i="23"/>
  <c r="CS78" i="23"/>
  <c r="CT78" i="23"/>
  <c r="CU78" i="23"/>
  <c r="CV78" i="23"/>
  <c r="CW78" i="23"/>
  <c r="CX78" i="23"/>
  <c r="CY78" i="23"/>
  <c r="CZ78" i="23"/>
  <c r="DA78" i="23"/>
  <c r="DB78" i="23"/>
  <c r="DC78" i="23"/>
  <c r="DD78" i="23"/>
  <c r="DE78" i="23"/>
  <c r="DF78" i="23"/>
  <c r="DG78" i="23"/>
  <c r="DH78" i="23"/>
  <c r="DI78" i="23"/>
  <c r="DJ78" i="23"/>
  <c r="DK78" i="23"/>
  <c r="DL78" i="23"/>
  <c r="DM78" i="23"/>
  <c r="DN78" i="23"/>
  <c r="DO78" i="23"/>
  <c r="DP78" i="23"/>
  <c r="DQ78" i="23"/>
  <c r="DR78" i="23"/>
  <c r="DS78" i="23"/>
  <c r="DT78" i="23"/>
  <c r="DU78" i="23"/>
  <c r="DV78" i="23"/>
  <c r="DW78" i="23"/>
  <c r="DX78" i="23"/>
  <c r="DY78" i="23"/>
  <c r="DZ78" i="23"/>
  <c r="EA78" i="23"/>
  <c r="EB78" i="23"/>
  <c r="EC78" i="23"/>
  <c r="ED78" i="23"/>
  <c r="EE78" i="23"/>
  <c r="EF78" i="23"/>
  <c r="EG78" i="23"/>
  <c r="EH78" i="23"/>
  <c r="EI78" i="23"/>
  <c r="EJ78" i="23"/>
  <c r="EK78" i="23"/>
  <c r="EL78" i="23"/>
  <c r="EM78" i="23"/>
  <c r="EN78" i="23"/>
  <c r="EO78" i="23"/>
  <c r="EP78" i="23"/>
  <c r="EQ78" i="23"/>
  <c r="ER78" i="23"/>
  <c r="ES78" i="23"/>
  <c r="ET78" i="23"/>
  <c r="EU78" i="23"/>
  <c r="EV78" i="23"/>
  <c r="EW78" i="23"/>
  <c r="EX78" i="23"/>
  <c r="EY78" i="23"/>
  <c r="EZ78" i="23"/>
  <c r="FA78" i="23"/>
  <c r="FB78" i="23"/>
  <c r="FC78" i="23"/>
  <c r="FD78" i="23"/>
  <c r="FE78" i="23"/>
  <c r="FF78" i="23"/>
  <c r="FG78" i="23"/>
  <c r="FH78" i="23"/>
  <c r="FI78" i="23"/>
  <c r="FJ78" i="23"/>
  <c r="FK78" i="23"/>
  <c r="FL78" i="23"/>
  <c r="FM78" i="23"/>
  <c r="FN78" i="23"/>
  <c r="FO78" i="23"/>
  <c r="FP78" i="23"/>
  <c r="FQ78" i="23"/>
  <c r="FR78" i="23"/>
  <c r="FS78" i="23"/>
  <c r="FT78" i="23"/>
  <c r="FU78" i="23"/>
  <c r="FV78" i="23"/>
  <c r="FW78" i="23"/>
  <c r="FX78" i="23"/>
  <c r="FY78" i="23"/>
  <c r="FZ78" i="23"/>
  <c r="GA78" i="23"/>
  <c r="GB78" i="23"/>
  <c r="GC78" i="23"/>
  <c r="GD78" i="23"/>
  <c r="F82" i="23"/>
  <c r="O82" i="23"/>
  <c r="P82" i="23"/>
  <c r="Q82" i="23"/>
  <c r="R82" i="23"/>
  <c r="S82" i="23"/>
  <c r="T82" i="23"/>
  <c r="U82" i="23"/>
  <c r="V82" i="23"/>
  <c r="W82" i="23"/>
  <c r="X82" i="23"/>
  <c r="Y82" i="23"/>
  <c r="Z82" i="23"/>
  <c r="AA82" i="23"/>
  <c r="AB82" i="23"/>
  <c r="AC82" i="23"/>
  <c r="AD82" i="23"/>
  <c r="AE82" i="23"/>
  <c r="AF82" i="23"/>
  <c r="AG82" i="23"/>
  <c r="AH82" i="23"/>
  <c r="AI82" i="23"/>
  <c r="AJ82" i="23"/>
  <c r="AK82" i="23"/>
  <c r="AL82" i="23"/>
  <c r="AM82" i="23"/>
  <c r="AN82" i="23"/>
  <c r="AO82" i="23"/>
  <c r="AP82" i="23"/>
  <c r="AQ82" i="23"/>
  <c r="AR82" i="23"/>
  <c r="AS82" i="23"/>
  <c r="AT82" i="23"/>
  <c r="AU82" i="23"/>
  <c r="AV82" i="23"/>
  <c r="AW82" i="23"/>
  <c r="AX82" i="23"/>
  <c r="AY82" i="23"/>
  <c r="AZ82" i="23"/>
  <c r="BA82" i="23"/>
  <c r="BB82" i="23"/>
  <c r="BC82" i="23"/>
  <c r="BD82" i="23"/>
  <c r="BE82" i="23"/>
  <c r="BF82" i="23"/>
  <c r="BG82" i="23"/>
  <c r="BH82" i="23"/>
  <c r="BI82" i="23"/>
  <c r="BJ82" i="23"/>
  <c r="BK82" i="23"/>
  <c r="BL82" i="23"/>
  <c r="BM82" i="23"/>
  <c r="BN82" i="23"/>
  <c r="BO82" i="23"/>
  <c r="BP82" i="23"/>
  <c r="BQ82" i="23"/>
  <c r="BR82" i="23"/>
  <c r="BS82" i="23"/>
  <c r="BT82" i="23"/>
  <c r="BU82" i="23"/>
  <c r="BV82" i="23"/>
  <c r="BW82" i="23"/>
  <c r="BX82" i="23"/>
  <c r="BY82" i="23"/>
  <c r="BZ82" i="23"/>
  <c r="CA82" i="23"/>
  <c r="CB82" i="23"/>
  <c r="CC82" i="23"/>
  <c r="CD82" i="23"/>
  <c r="CE82" i="23"/>
  <c r="CF82" i="23"/>
  <c r="CG82" i="23"/>
  <c r="CH82" i="23"/>
  <c r="CI82" i="23"/>
  <c r="CJ82" i="23"/>
  <c r="CK82" i="23"/>
  <c r="CL82" i="23"/>
  <c r="CM82" i="23"/>
  <c r="CN82" i="23"/>
  <c r="CO82" i="23"/>
  <c r="CP82" i="23"/>
  <c r="CQ82" i="23"/>
  <c r="CR82" i="23"/>
  <c r="CS82" i="23"/>
  <c r="CT82" i="23"/>
  <c r="CU82" i="23"/>
  <c r="CV82" i="23"/>
  <c r="CW82" i="23"/>
  <c r="CX82" i="23"/>
  <c r="CY82" i="23"/>
  <c r="CZ82" i="23"/>
  <c r="DA82" i="23"/>
  <c r="DB82" i="23"/>
  <c r="DC82" i="23"/>
  <c r="DD82" i="23"/>
  <c r="DE82" i="23"/>
  <c r="DF82" i="23"/>
  <c r="DG82" i="23"/>
  <c r="DH82" i="23"/>
  <c r="DI82" i="23"/>
  <c r="DJ82" i="23"/>
  <c r="DK82" i="23"/>
  <c r="DL82" i="23"/>
  <c r="DM82" i="23"/>
  <c r="DN82" i="23"/>
  <c r="DO82" i="23"/>
  <c r="DP82" i="23"/>
  <c r="DQ82" i="23"/>
  <c r="DR82" i="23"/>
  <c r="DS82" i="23"/>
  <c r="DT82" i="23"/>
  <c r="DU82" i="23"/>
  <c r="DV82" i="23"/>
  <c r="DW82" i="23"/>
  <c r="DX82" i="23"/>
  <c r="DY82" i="23"/>
  <c r="DZ82" i="23"/>
  <c r="EA82" i="23"/>
  <c r="EB82" i="23"/>
  <c r="EC82" i="23"/>
  <c r="ED82" i="23"/>
  <c r="EE82" i="23"/>
  <c r="EF82" i="23"/>
  <c r="EG82" i="23"/>
  <c r="EH82" i="23"/>
  <c r="EI82" i="23"/>
  <c r="EJ82" i="23"/>
  <c r="EK82" i="23"/>
  <c r="EL82" i="23"/>
  <c r="EM82" i="23"/>
  <c r="EN82" i="23"/>
  <c r="EO82" i="23"/>
  <c r="EP82" i="23"/>
  <c r="EQ82" i="23"/>
  <c r="ER82" i="23"/>
  <c r="ES82" i="23"/>
  <c r="ET82" i="23"/>
  <c r="EU82" i="23"/>
  <c r="EV82" i="23"/>
  <c r="EW82" i="23"/>
  <c r="EX82" i="23"/>
  <c r="EY82" i="23"/>
  <c r="EZ82" i="23"/>
  <c r="FA82" i="23"/>
  <c r="FB82" i="23"/>
  <c r="FC82" i="23"/>
  <c r="FD82" i="23"/>
  <c r="FE82" i="23"/>
  <c r="FF82" i="23"/>
  <c r="FG82" i="23"/>
  <c r="FH82" i="23"/>
  <c r="FI82" i="23"/>
  <c r="FJ82" i="23"/>
  <c r="FK82" i="23"/>
  <c r="FL82" i="23"/>
  <c r="FM82" i="23"/>
  <c r="FN82" i="23"/>
  <c r="FO82" i="23"/>
  <c r="FP82" i="23"/>
  <c r="FQ82" i="23"/>
  <c r="FR82" i="23"/>
  <c r="FS82" i="23"/>
  <c r="FT82" i="23"/>
  <c r="FU82" i="23"/>
  <c r="FV82" i="23"/>
  <c r="FW82" i="23"/>
  <c r="FX82" i="23"/>
  <c r="FY82" i="23"/>
  <c r="FZ82" i="23"/>
  <c r="GA82" i="23"/>
  <c r="GB82" i="23"/>
  <c r="GC82" i="23"/>
  <c r="GD82" i="23"/>
  <c r="F83" i="23"/>
  <c r="O83" i="23"/>
  <c r="P83" i="23"/>
  <c r="Q83" i="23"/>
  <c r="R83" i="23"/>
  <c r="S83" i="23"/>
  <c r="T83" i="23"/>
  <c r="U83" i="23"/>
  <c r="V83" i="23"/>
  <c r="W83" i="23"/>
  <c r="X83" i="23"/>
  <c r="Y83" i="23"/>
  <c r="Z83" i="23"/>
  <c r="AA83" i="23"/>
  <c r="AB83" i="23"/>
  <c r="AC83" i="23"/>
  <c r="AD83" i="23"/>
  <c r="AE83" i="23"/>
  <c r="AF83" i="23"/>
  <c r="AG83" i="23"/>
  <c r="AH83" i="23"/>
  <c r="AI83" i="23"/>
  <c r="AJ83" i="23"/>
  <c r="AK83" i="23"/>
  <c r="AL83" i="23"/>
  <c r="AM83" i="23"/>
  <c r="AN83" i="23"/>
  <c r="AO83" i="23"/>
  <c r="AP83" i="23"/>
  <c r="AQ83" i="23"/>
  <c r="AR83" i="23"/>
  <c r="AS83" i="23"/>
  <c r="AT83" i="23"/>
  <c r="AU83" i="23"/>
  <c r="AV83" i="23"/>
  <c r="AW83" i="23"/>
  <c r="AX83" i="23"/>
  <c r="AY83" i="23"/>
  <c r="AZ83" i="23"/>
  <c r="BA83" i="23"/>
  <c r="BB83" i="23"/>
  <c r="BC83" i="23"/>
  <c r="BD83" i="23"/>
  <c r="BE83" i="23"/>
  <c r="BF83" i="23"/>
  <c r="BG83" i="23"/>
  <c r="BH83" i="23"/>
  <c r="BI83" i="23"/>
  <c r="BJ83" i="23"/>
  <c r="BK83" i="23"/>
  <c r="BL83" i="23"/>
  <c r="BM83" i="23"/>
  <c r="BN83" i="23"/>
  <c r="BO83" i="23"/>
  <c r="BP83" i="23"/>
  <c r="BQ83" i="23"/>
  <c r="BR83" i="23"/>
  <c r="BS83" i="23"/>
  <c r="BT83" i="23"/>
  <c r="BU83" i="23"/>
  <c r="BV83" i="23"/>
  <c r="BW83" i="23"/>
  <c r="BX83" i="23"/>
  <c r="BY83" i="23"/>
  <c r="BZ83" i="23"/>
  <c r="CA83" i="23"/>
  <c r="CB83" i="23"/>
  <c r="CC83" i="23"/>
  <c r="CD83" i="23"/>
  <c r="CE83" i="23"/>
  <c r="CF83" i="23"/>
  <c r="CG83" i="23"/>
  <c r="CH83" i="23"/>
  <c r="CI83" i="23"/>
  <c r="CJ83" i="23"/>
  <c r="CK83" i="23"/>
  <c r="CL83" i="23"/>
  <c r="CM83" i="23"/>
  <c r="CN83" i="23"/>
  <c r="CO83" i="23"/>
  <c r="CP83" i="23"/>
  <c r="CQ83" i="23"/>
  <c r="CR83" i="23"/>
  <c r="CS83" i="23"/>
  <c r="CT83" i="23"/>
  <c r="CU83" i="23"/>
  <c r="CV83" i="23"/>
  <c r="CW83" i="23"/>
  <c r="CX83" i="23"/>
  <c r="CY83" i="23"/>
  <c r="CZ83" i="23"/>
  <c r="DA83" i="23"/>
  <c r="DB83" i="23"/>
  <c r="DC83" i="23"/>
  <c r="DD83" i="23"/>
  <c r="DE83" i="23"/>
  <c r="DF83" i="23"/>
  <c r="DG83" i="23"/>
  <c r="DH83" i="23"/>
  <c r="DI83" i="23"/>
  <c r="DJ83" i="23"/>
  <c r="DK83" i="23"/>
  <c r="DL83" i="23"/>
  <c r="DM83" i="23"/>
  <c r="DN83" i="23"/>
  <c r="DO83" i="23"/>
  <c r="DP83" i="23"/>
  <c r="DQ83" i="23"/>
  <c r="DR83" i="23"/>
  <c r="DS83" i="23"/>
  <c r="DT83" i="23"/>
  <c r="DU83" i="23"/>
  <c r="DV83" i="23"/>
  <c r="DW83" i="23"/>
  <c r="DX83" i="23"/>
  <c r="DY83" i="23"/>
  <c r="DZ83" i="23"/>
  <c r="EA83" i="23"/>
  <c r="EB83" i="23"/>
  <c r="EC83" i="23"/>
  <c r="ED83" i="23"/>
  <c r="EE83" i="23"/>
  <c r="EF83" i="23"/>
  <c r="EG83" i="23"/>
  <c r="EH83" i="23"/>
  <c r="EI83" i="23"/>
  <c r="EJ83" i="23"/>
  <c r="EK83" i="23"/>
  <c r="EL83" i="23"/>
  <c r="EM83" i="23"/>
  <c r="EN83" i="23"/>
  <c r="EO83" i="23"/>
  <c r="EP83" i="23"/>
  <c r="EQ83" i="23"/>
  <c r="ER83" i="23"/>
  <c r="ES83" i="23"/>
  <c r="ET83" i="23"/>
  <c r="EU83" i="23"/>
  <c r="EV83" i="23"/>
  <c r="EW83" i="23"/>
  <c r="EX83" i="23"/>
  <c r="EY83" i="23"/>
  <c r="EZ83" i="23"/>
  <c r="FA83" i="23"/>
  <c r="FB83" i="23"/>
  <c r="FC83" i="23"/>
  <c r="FD83" i="23"/>
  <c r="FE83" i="23"/>
  <c r="FF83" i="23"/>
  <c r="FG83" i="23"/>
  <c r="FH83" i="23"/>
  <c r="FI83" i="23"/>
  <c r="FJ83" i="23"/>
  <c r="FK83" i="23"/>
  <c r="FL83" i="23"/>
  <c r="FM83" i="23"/>
  <c r="FN83" i="23"/>
  <c r="FO83" i="23"/>
  <c r="FP83" i="23"/>
  <c r="FQ83" i="23"/>
  <c r="FR83" i="23"/>
  <c r="FS83" i="23"/>
  <c r="FT83" i="23"/>
  <c r="FU83" i="23"/>
  <c r="FV83" i="23"/>
  <c r="FW83" i="23"/>
  <c r="FX83" i="23"/>
  <c r="FY83" i="23"/>
  <c r="FZ83" i="23"/>
  <c r="GA83" i="23"/>
  <c r="GB83" i="23"/>
  <c r="GC83" i="23"/>
  <c r="GD83" i="23"/>
  <c r="F84" i="23"/>
  <c r="O84" i="23"/>
  <c r="P84" i="23"/>
  <c r="Q84" i="23"/>
  <c r="R84" i="23"/>
  <c r="S84" i="23"/>
  <c r="T84" i="23"/>
  <c r="U84" i="23"/>
  <c r="V84" i="23"/>
  <c r="W84" i="23"/>
  <c r="X84" i="23"/>
  <c r="Y84" i="23"/>
  <c r="Z84" i="23"/>
  <c r="AA84" i="23"/>
  <c r="AB84" i="23"/>
  <c r="AC84" i="23"/>
  <c r="AD84" i="23"/>
  <c r="AE84" i="23"/>
  <c r="AF84" i="23"/>
  <c r="AG84" i="23"/>
  <c r="AH84" i="23"/>
  <c r="AI84" i="23"/>
  <c r="AJ84" i="23"/>
  <c r="AK84" i="23"/>
  <c r="AL84" i="23"/>
  <c r="AM84" i="23"/>
  <c r="AN84" i="23"/>
  <c r="AO84" i="23"/>
  <c r="AP84" i="23"/>
  <c r="AQ84" i="23"/>
  <c r="AR84" i="23"/>
  <c r="AS84" i="23"/>
  <c r="AT84" i="23"/>
  <c r="AU84" i="23"/>
  <c r="AV84" i="23"/>
  <c r="AW84" i="23"/>
  <c r="AX84" i="23"/>
  <c r="AY84" i="23"/>
  <c r="AZ84" i="23"/>
  <c r="BA84" i="23"/>
  <c r="BB84" i="23"/>
  <c r="BC84" i="23"/>
  <c r="BD84" i="23"/>
  <c r="BE84" i="23"/>
  <c r="BF84" i="23"/>
  <c r="BG84" i="23"/>
  <c r="BH84" i="23"/>
  <c r="BI84" i="23"/>
  <c r="BJ84" i="23"/>
  <c r="BK84" i="23"/>
  <c r="BL84" i="23"/>
  <c r="BM84" i="23"/>
  <c r="BN84" i="23"/>
  <c r="BO84" i="23"/>
  <c r="BP84" i="23"/>
  <c r="BQ84" i="23"/>
  <c r="BR84" i="23"/>
  <c r="BS84" i="23"/>
  <c r="BT84" i="23"/>
  <c r="BU84" i="23"/>
  <c r="BV84" i="23"/>
  <c r="BW84" i="23"/>
  <c r="BX84" i="23"/>
  <c r="BY84" i="23"/>
  <c r="BZ84" i="23"/>
  <c r="CA84" i="23"/>
  <c r="CB84" i="23"/>
  <c r="CC84" i="23"/>
  <c r="CD84" i="23"/>
  <c r="CE84" i="23"/>
  <c r="CF84" i="23"/>
  <c r="CG84" i="23"/>
  <c r="CH84" i="23"/>
  <c r="CI84" i="23"/>
  <c r="CJ84" i="23"/>
  <c r="CK84" i="23"/>
  <c r="CL84" i="23"/>
  <c r="CM84" i="23"/>
  <c r="CN84" i="23"/>
  <c r="CO84" i="23"/>
  <c r="CP84" i="23"/>
  <c r="CQ84" i="23"/>
  <c r="CR84" i="23"/>
  <c r="CS84" i="23"/>
  <c r="CT84" i="23"/>
  <c r="CU84" i="23"/>
  <c r="CV84" i="23"/>
  <c r="CW84" i="23"/>
  <c r="CX84" i="23"/>
  <c r="CY84" i="23"/>
  <c r="CZ84" i="23"/>
  <c r="DA84" i="23"/>
  <c r="DB84" i="23"/>
  <c r="DC84" i="23"/>
  <c r="DD84" i="23"/>
  <c r="DE84" i="23"/>
  <c r="DF84" i="23"/>
  <c r="DG84" i="23"/>
  <c r="DH84" i="23"/>
  <c r="DI84" i="23"/>
  <c r="DJ84" i="23"/>
  <c r="DK84" i="23"/>
  <c r="DL84" i="23"/>
  <c r="DM84" i="23"/>
  <c r="DN84" i="23"/>
  <c r="DO84" i="23"/>
  <c r="DP84" i="23"/>
  <c r="DQ84" i="23"/>
  <c r="DR84" i="23"/>
  <c r="DS84" i="23"/>
  <c r="DT84" i="23"/>
  <c r="DU84" i="23"/>
  <c r="DV84" i="23"/>
  <c r="DW84" i="23"/>
  <c r="DX84" i="23"/>
  <c r="DY84" i="23"/>
  <c r="DZ84" i="23"/>
  <c r="EA84" i="23"/>
  <c r="EB84" i="23"/>
  <c r="EC84" i="23"/>
  <c r="ED84" i="23"/>
  <c r="EE84" i="23"/>
  <c r="EF84" i="23"/>
  <c r="EG84" i="23"/>
  <c r="EH84" i="23"/>
  <c r="EI84" i="23"/>
  <c r="EJ84" i="23"/>
  <c r="EK84" i="23"/>
  <c r="EL84" i="23"/>
  <c r="EM84" i="23"/>
  <c r="EN84" i="23"/>
  <c r="EO84" i="23"/>
  <c r="EP84" i="23"/>
  <c r="EQ84" i="23"/>
  <c r="ER84" i="23"/>
  <c r="ES84" i="23"/>
  <c r="ET84" i="23"/>
  <c r="EU84" i="23"/>
  <c r="EV84" i="23"/>
  <c r="EW84" i="23"/>
  <c r="EX84" i="23"/>
  <c r="EY84" i="23"/>
  <c r="EZ84" i="23"/>
  <c r="FA84" i="23"/>
  <c r="FB84" i="23"/>
  <c r="FC84" i="23"/>
  <c r="FD84" i="23"/>
  <c r="FE84" i="23"/>
  <c r="FF84" i="23"/>
  <c r="FG84" i="23"/>
  <c r="FH84" i="23"/>
  <c r="FI84" i="23"/>
  <c r="FJ84" i="23"/>
  <c r="FK84" i="23"/>
  <c r="FL84" i="23"/>
  <c r="FM84" i="23"/>
  <c r="FN84" i="23"/>
  <c r="FO84" i="23"/>
  <c r="FP84" i="23"/>
  <c r="FQ84" i="23"/>
  <c r="FR84" i="23"/>
  <c r="FS84" i="23"/>
  <c r="FT84" i="23"/>
  <c r="FU84" i="23"/>
  <c r="FV84" i="23"/>
  <c r="FW84" i="23"/>
  <c r="FX84" i="23"/>
  <c r="FY84" i="23"/>
  <c r="FZ84" i="23"/>
  <c r="GA84" i="23"/>
  <c r="GB84" i="23"/>
  <c r="GC84" i="23"/>
  <c r="GD84" i="23"/>
  <c r="F86" i="23"/>
  <c r="P86" i="23"/>
  <c r="Q86" i="23"/>
  <c r="R86" i="23"/>
  <c r="S86" i="23"/>
  <c r="T86" i="23"/>
  <c r="U86" i="23"/>
  <c r="V86" i="23"/>
  <c r="W86" i="23"/>
  <c r="X86" i="23"/>
  <c r="Y86" i="23"/>
  <c r="Z86" i="23"/>
  <c r="AA86" i="23"/>
  <c r="AB86" i="23"/>
  <c r="AC86" i="23"/>
  <c r="AD86" i="23"/>
  <c r="AE86" i="23"/>
  <c r="AF86" i="23"/>
  <c r="AG86" i="23"/>
  <c r="AH86" i="23"/>
  <c r="AI86" i="23"/>
  <c r="AJ86" i="23"/>
  <c r="AK86" i="23"/>
  <c r="AL86" i="23"/>
  <c r="AM86" i="23"/>
  <c r="AN86" i="23"/>
  <c r="AO86" i="23"/>
  <c r="AP86" i="23"/>
  <c r="AQ86" i="23"/>
  <c r="AR86" i="23"/>
  <c r="AS86" i="23"/>
  <c r="AT86" i="23"/>
  <c r="AU86" i="23"/>
  <c r="AV86" i="23"/>
  <c r="AW86" i="23"/>
  <c r="AX86" i="23"/>
  <c r="AY86" i="23"/>
  <c r="AZ86" i="23"/>
  <c r="BA86" i="23"/>
  <c r="BB86" i="23"/>
  <c r="BC86" i="23"/>
  <c r="BD86" i="23"/>
  <c r="BE86" i="23"/>
  <c r="BF86" i="23"/>
  <c r="BG86" i="23"/>
  <c r="BH86" i="23"/>
  <c r="BI86" i="23"/>
  <c r="BJ86" i="23"/>
  <c r="BK86" i="23"/>
  <c r="BL86" i="23"/>
  <c r="BM86" i="23"/>
  <c r="BN86" i="23"/>
  <c r="BO86" i="23"/>
  <c r="BP86" i="23"/>
  <c r="BQ86" i="23"/>
  <c r="BR86" i="23"/>
  <c r="BS86" i="23"/>
  <c r="BT86" i="23"/>
  <c r="BU86" i="23"/>
  <c r="BV86" i="23"/>
  <c r="BW86" i="23"/>
  <c r="BX86" i="23"/>
  <c r="BY86" i="23"/>
  <c r="BZ86" i="23"/>
  <c r="CA86" i="23"/>
  <c r="CB86" i="23"/>
  <c r="CC86" i="23"/>
  <c r="CD86" i="23"/>
  <c r="CE86" i="23"/>
  <c r="CF86" i="23"/>
  <c r="CG86" i="23"/>
  <c r="CH86" i="23"/>
  <c r="CI86" i="23"/>
  <c r="CJ86" i="23"/>
  <c r="CK86" i="23"/>
  <c r="CL86" i="23"/>
  <c r="CM86" i="23"/>
  <c r="CN86" i="23"/>
  <c r="CO86" i="23"/>
  <c r="CP86" i="23"/>
  <c r="CQ86" i="23"/>
  <c r="CR86" i="23"/>
  <c r="CS86" i="23"/>
  <c r="CT86" i="23"/>
  <c r="CU86" i="23"/>
  <c r="CV86" i="23"/>
  <c r="CW86" i="23"/>
  <c r="CX86" i="23"/>
  <c r="CY86" i="23"/>
  <c r="CZ86" i="23"/>
  <c r="DA86" i="23"/>
  <c r="DB86" i="23"/>
  <c r="DC86" i="23"/>
  <c r="DD86" i="23"/>
  <c r="DE86" i="23"/>
  <c r="DF86" i="23"/>
  <c r="DG86" i="23"/>
  <c r="DH86" i="23"/>
  <c r="DI86" i="23"/>
  <c r="DJ86" i="23"/>
  <c r="DK86" i="23"/>
  <c r="DL86" i="23"/>
  <c r="DM86" i="23"/>
  <c r="DN86" i="23"/>
  <c r="DO86" i="23"/>
  <c r="DP86" i="23"/>
  <c r="DQ86" i="23"/>
  <c r="DR86" i="23"/>
  <c r="DS86" i="23"/>
  <c r="DT86" i="23"/>
  <c r="DU86" i="23"/>
  <c r="DV86" i="23"/>
  <c r="DW86" i="23"/>
  <c r="DX86" i="23"/>
  <c r="DY86" i="23"/>
  <c r="DZ86" i="23"/>
  <c r="EA86" i="23"/>
  <c r="EB86" i="23"/>
  <c r="EC86" i="23"/>
  <c r="ED86" i="23"/>
  <c r="EE86" i="23"/>
  <c r="EF86" i="23"/>
  <c r="EG86" i="23"/>
  <c r="EH86" i="23"/>
  <c r="EI86" i="23"/>
  <c r="EJ86" i="23"/>
  <c r="EK86" i="23"/>
  <c r="EL86" i="23"/>
  <c r="EM86" i="23"/>
  <c r="EN86" i="23"/>
  <c r="EO86" i="23"/>
  <c r="EP86" i="23"/>
  <c r="EQ86" i="23"/>
  <c r="ER86" i="23"/>
  <c r="ES86" i="23"/>
  <c r="ET86" i="23"/>
  <c r="EU86" i="23"/>
  <c r="EV86" i="23"/>
  <c r="EW86" i="23"/>
  <c r="EX86" i="23"/>
  <c r="EY86" i="23"/>
  <c r="EZ86" i="23"/>
  <c r="FA86" i="23"/>
  <c r="FB86" i="23"/>
  <c r="FC86" i="23"/>
  <c r="FD86" i="23"/>
  <c r="FE86" i="23"/>
  <c r="FF86" i="23"/>
  <c r="FG86" i="23"/>
  <c r="FH86" i="23"/>
  <c r="FI86" i="23"/>
  <c r="FJ86" i="23"/>
  <c r="FK86" i="23"/>
  <c r="FL86" i="23"/>
  <c r="FM86" i="23"/>
  <c r="FN86" i="23"/>
  <c r="FO86" i="23"/>
  <c r="FP86" i="23"/>
  <c r="FQ86" i="23"/>
  <c r="FR86" i="23"/>
  <c r="FS86" i="23"/>
  <c r="FT86" i="23"/>
  <c r="FU86" i="23"/>
  <c r="FV86" i="23"/>
  <c r="FW86" i="23"/>
  <c r="FX86" i="23"/>
  <c r="FY86" i="23"/>
  <c r="FZ86" i="23"/>
  <c r="GA86" i="23"/>
  <c r="GB86" i="23"/>
  <c r="GC86" i="23"/>
  <c r="GD86" i="23"/>
  <c r="F87" i="23"/>
  <c r="O87" i="23"/>
  <c r="P87" i="23"/>
  <c r="Q87" i="23"/>
  <c r="R87" i="23"/>
  <c r="S87" i="23"/>
  <c r="T87" i="23"/>
  <c r="U87" i="23"/>
  <c r="V87" i="23"/>
  <c r="W87" i="23"/>
  <c r="X87" i="23"/>
  <c r="Y87" i="23"/>
  <c r="Z87" i="23"/>
  <c r="AA87" i="23"/>
  <c r="AB87" i="23"/>
  <c r="AC87" i="23"/>
  <c r="AD87" i="23"/>
  <c r="AE87" i="23"/>
  <c r="AF87" i="23"/>
  <c r="AG87" i="23"/>
  <c r="AH87" i="23"/>
  <c r="AI87" i="23"/>
  <c r="AJ87" i="23"/>
  <c r="AK87" i="23"/>
  <c r="AL87" i="23"/>
  <c r="AM87" i="23"/>
  <c r="AN87" i="23"/>
  <c r="AO87" i="23"/>
  <c r="AP87" i="23"/>
  <c r="AQ87" i="23"/>
  <c r="AR87" i="23"/>
  <c r="AS87" i="23"/>
  <c r="AT87" i="23"/>
  <c r="AU87" i="23"/>
  <c r="AV87" i="23"/>
  <c r="AW87" i="23"/>
  <c r="AX87" i="23"/>
  <c r="AY87" i="23"/>
  <c r="AZ87" i="23"/>
  <c r="BA87" i="23"/>
  <c r="BB87" i="23"/>
  <c r="BC87" i="23"/>
  <c r="BD87" i="23"/>
  <c r="BE87" i="23"/>
  <c r="BF87" i="23"/>
  <c r="BG87" i="23"/>
  <c r="BH87" i="23"/>
  <c r="BI87" i="23"/>
  <c r="BJ87" i="23"/>
  <c r="BK87" i="23"/>
  <c r="BL87" i="23"/>
  <c r="BM87" i="23"/>
  <c r="BN87" i="23"/>
  <c r="BO87" i="23"/>
  <c r="BP87" i="23"/>
  <c r="BQ87" i="23"/>
  <c r="BR87" i="23"/>
  <c r="BS87" i="23"/>
  <c r="BT87" i="23"/>
  <c r="BU87" i="23"/>
  <c r="BV87" i="23"/>
  <c r="BW87" i="23"/>
  <c r="BX87" i="23"/>
  <c r="BY87" i="23"/>
  <c r="BZ87" i="23"/>
  <c r="CA87" i="23"/>
  <c r="CB87" i="23"/>
  <c r="CC87" i="23"/>
  <c r="CD87" i="23"/>
  <c r="CE87" i="23"/>
  <c r="CF87" i="23"/>
  <c r="CG87" i="23"/>
  <c r="CH87" i="23"/>
  <c r="CI87" i="23"/>
  <c r="CJ87" i="23"/>
  <c r="CK87" i="23"/>
  <c r="CL87" i="23"/>
  <c r="CM87" i="23"/>
  <c r="CN87" i="23"/>
  <c r="CO87" i="23"/>
  <c r="CP87" i="23"/>
  <c r="CQ87" i="23"/>
  <c r="CR87" i="23"/>
  <c r="CS87" i="23"/>
  <c r="CT87" i="23"/>
  <c r="CU87" i="23"/>
  <c r="CV87" i="23"/>
  <c r="CW87" i="23"/>
  <c r="CX87" i="23"/>
  <c r="CY87" i="23"/>
  <c r="CZ87" i="23"/>
  <c r="DA87" i="23"/>
  <c r="DB87" i="23"/>
  <c r="DC87" i="23"/>
  <c r="DD87" i="23"/>
  <c r="DE87" i="23"/>
  <c r="DF87" i="23"/>
  <c r="DG87" i="23"/>
  <c r="DH87" i="23"/>
  <c r="DI87" i="23"/>
  <c r="DJ87" i="23"/>
  <c r="DK87" i="23"/>
  <c r="DL87" i="23"/>
  <c r="DM87" i="23"/>
  <c r="DN87" i="23"/>
  <c r="DO87" i="23"/>
  <c r="DP87" i="23"/>
  <c r="DQ87" i="23"/>
  <c r="DR87" i="23"/>
  <c r="DS87" i="23"/>
  <c r="DT87" i="23"/>
  <c r="DU87" i="23"/>
  <c r="DV87" i="23"/>
  <c r="DW87" i="23"/>
  <c r="DX87" i="23"/>
  <c r="DY87" i="23"/>
  <c r="DZ87" i="23"/>
  <c r="EA87" i="23"/>
  <c r="EB87" i="23"/>
  <c r="EC87" i="23"/>
  <c r="ED87" i="23"/>
  <c r="EE87" i="23"/>
  <c r="EF87" i="23"/>
  <c r="EG87" i="23"/>
  <c r="EH87" i="23"/>
  <c r="EI87" i="23"/>
  <c r="EJ87" i="23"/>
  <c r="EK87" i="23"/>
  <c r="EL87" i="23"/>
  <c r="EM87" i="23"/>
  <c r="EN87" i="23"/>
  <c r="EO87" i="23"/>
  <c r="EP87" i="23"/>
  <c r="EQ87" i="23"/>
  <c r="ER87" i="23"/>
  <c r="ES87" i="23"/>
  <c r="ET87" i="23"/>
  <c r="EU87" i="23"/>
  <c r="EV87" i="23"/>
  <c r="EW87" i="23"/>
  <c r="EX87" i="23"/>
  <c r="EY87" i="23"/>
  <c r="EZ87" i="23"/>
  <c r="FA87" i="23"/>
  <c r="FB87" i="23"/>
  <c r="FC87" i="23"/>
  <c r="FD87" i="23"/>
  <c r="FE87" i="23"/>
  <c r="FF87" i="23"/>
  <c r="FG87" i="23"/>
  <c r="FH87" i="23"/>
  <c r="FI87" i="23"/>
  <c r="FJ87" i="23"/>
  <c r="FK87" i="23"/>
  <c r="FL87" i="23"/>
  <c r="FM87" i="23"/>
  <c r="FN87" i="23"/>
  <c r="FO87" i="23"/>
  <c r="FP87" i="23"/>
  <c r="FQ87" i="23"/>
  <c r="FR87" i="23"/>
  <c r="FS87" i="23"/>
  <c r="FT87" i="23"/>
  <c r="FU87" i="23"/>
  <c r="FV87" i="23"/>
  <c r="FW87" i="23"/>
  <c r="FX87" i="23"/>
  <c r="FY87" i="23"/>
  <c r="FZ87" i="23"/>
  <c r="GA87" i="23"/>
  <c r="GB87" i="23"/>
  <c r="GC87" i="23"/>
  <c r="GD87" i="23"/>
  <c r="F88" i="23"/>
  <c r="O88" i="23"/>
  <c r="P88" i="23"/>
  <c r="Q88" i="23"/>
  <c r="R88" i="23"/>
  <c r="S88" i="23"/>
  <c r="T88" i="23"/>
  <c r="U88" i="23"/>
  <c r="V88" i="23"/>
  <c r="W88" i="23"/>
  <c r="X88" i="23"/>
  <c r="Y88" i="23"/>
  <c r="Z88" i="23"/>
  <c r="AA88" i="23"/>
  <c r="AB88" i="23"/>
  <c r="AC88" i="23"/>
  <c r="AD88" i="23"/>
  <c r="AE88" i="23"/>
  <c r="AF88" i="23"/>
  <c r="AG88" i="23"/>
  <c r="AH88" i="23"/>
  <c r="AI88" i="23"/>
  <c r="AJ88" i="23"/>
  <c r="AK88" i="23"/>
  <c r="AL88" i="23"/>
  <c r="AM88" i="23"/>
  <c r="AN88" i="23"/>
  <c r="AO88" i="23"/>
  <c r="AP88" i="23"/>
  <c r="AQ88" i="23"/>
  <c r="AR88" i="23"/>
  <c r="AS88" i="23"/>
  <c r="AT88" i="23"/>
  <c r="AU88" i="23"/>
  <c r="AV88" i="23"/>
  <c r="AW88" i="23"/>
  <c r="AX88" i="23"/>
  <c r="AY88" i="23"/>
  <c r="AZ88" i="23"/>
  <c r="BA88" i="23"/>
  <c r="BB88" i="23"/>
  <c r="BC88" i="23"/>
  <c r="BD88" i="23"/>
  <c r="BE88" i="23"/>
  <c r="BF88" i="23"/>
  <c r="BG88" i="23"/>
  <c r="BH88" i="23"/>
  <c r="BI88" i="23"/>
  <c r="BJ88" i="23"/>
  <c r="BK88" i="23"/>
  <c r="BL88" i="23"/>
  <c r="BM88" i="23"/>
  <c r="BN88" i="23"/>
  <c r="BO88" i="23"/>
  <c r="BP88" i="23"/>
  <c r="BQ88" i="23"/>
  <c r="BR88" i="23"/>
  <c r="BS88" i="23"/>
  <c r="BT88" i="23"/>
  <c r="BU88" i="23"/>
  <c r="BV88" i="23"/>
  <c r="BW88" i="23"/>
  <c r="BX88" i="23"/>
  <c r="BY88" i="23"/>
  <c r="BZ88" i="23"/>
  <c r="CA88" i="23"/>
  <c r="CB88" i="23"/>
  <c r="CC88" i="23"/>
  <c r="CD88" i="23"/>
  <c r="CE88" i="23"/>
  <c r="CF88" i="23"/>
  <c r="CG88" i="23"/>
  <c r="CH88" i="23"/>
  <c r="CI88" i="23"/>
  <c r="CJ88" i="23"/>
  <c r="CK88" i="23"/>
  <c r="CL88" i="23"/>
  <c r="CM88" i="23"/>
  <c r="CN88" i="23"/>
  <c r="CO88" i="23"/>
  <c r="CP88" i="23"/>
  <c r="CQ88" i="23"/>
  <c r="CR88" i="23"/>
  <c r="CS88" i="23"/>
  <c r="CT88" i="23"/>
  <c r="CU88" i="23"/>
  <c r="CV88" i="23"/>
  <c r="CW88" i="23"/>
  <c r="CX88" i="23"/>
  <c r="CY88" i="23"/>
  <c r="CZ88" i="23"/>
  <c r="DA88" i="23"/>
  <c r="DB88" i="23"/>
  <c r="DC88" i="23"/>
  <c r="DD88" i="23"/>
  <c r="DE88" i="23"/>
  <c r="DF88" i="23"/>
  <c r="DG88" i="23"/>
  <c r="DH88" i="23"/>
  <c r="DI88" i="23"/>
  <c r="DJ88" i="23"/>
  <c r="DK88" i="23"/>
  <c r="DL88" i="23"/>
  <c r="DM88" i="23"/>
  <c r="DN88" i="23"/>
  <c r="DO88" i="23"/>
  <c r="DP88" i="23"/>
  <c r="DQ88" i="23"/>
  <c r="DR88" i="23"/>
  <c r="DS88" i="23"/>
  <c r="DT88" i="23"/>
  <c r="DU88" i="23"/>
  <c r="DV88" i="23"/>
  <c r="DW88" i="23"/>
  <c r="DX88" i="23"/>
  <c r="DY88" i="23"/>
  <c r="DZ88" i="23"/>
  <c r="EA88" i="23"/>
  <c r="EB88" i="23"/>
  <c r="EC88" i="23"/>
  <c r="ED88" i="23"/>
  <c r="EE88" i="23"/>
  <c r="EF88" i="23"/>
  <c r="EG88" i="23"/>
  <c r="EH88" i="23"/>
  <c r="EI88" i="23"/>
  <c r="EJ88" i="23"/>
  <c r="EK88" i="23"/>
  <c r="EL88" i="23"/>
  <c r="EM88" i="23"/>
  <c r="EN88" i="23"/>
  <c r="EO88" i="23"/>
  <c r="EP88" i="23"/>
  <c r="EQ88" i="23"/>
  <c r="ER88" i="23"/>
  <c r="ES88" i="23"/>
  <c r="ET88" i="23"/>
  <c r="EU88" i="23"/>
  <c r="EV88" i="23"/>
  <c r="EW88" i="23"/>
  <c r="EX88" i="23"/>
  <c r="EY88" i="23"/>
  <c r="EZ88" i="23"/>
  <c r="FA88" i="23"/>
  <c r="FB88" i="23"/>
  <c r="FC88" i="23"/>
  <c r="FD88" i="23"/>
  <c r="FE88" i="23"/>
  <c r="FF88" i="23"/>
  <c r="FG88" i="23"/>
  <c r="FH88" i="23"/>
  <c r="FI88" i="23"/>
  <c r="FJ88" i="23"/>
  <c r="FK88" i="23"/>
  <c r="FL88" i="23"/>
  <c r="FM88" i="23"/>
  <c r="FN88" i="23"/>
  <c r="FO88" i="23"/>
  <c r="FP88" i="23"/>
  <c r="FQ88" i="23"/>
  <c r="FR88" i="23"/>
  <c r="FS88" i="23"/>
  <c r="FT88" i="23"/>
  <c r="FU88" i="23"/>
  <c r="FV88" i="23"/>
  <c r="FW88" i="23"/>
  <c r="FX88" i="23"/>
  <c r="FY88" i="23"/>
  <c r="FZ88" i="23"/>
  <c r="GA88" i="23"/>
  <c r="GB88" i="23"/>
  <c r="GC88" i="23"/>
  <c r="GD88" i="23"/>
  <c r="F89" i="23"/>
  <c r="O89" i="23"/>
  <c r="P89" i="23"/>
  <c r="Q89" i="23"/>
  <c r="R89" i="23"/>
  <c r="S89" i="23"/>
  <c r="T89" i="23"/>
  <c r="U89" i="23"/>
  <c r="V89" i="23"/>
  <c r="W89" i="23"/>
  <c r="X89" i="23"/>
  <c r="Y89" i="23"/>
  <c r="Z89" i="23"/>
  <c r="AA89" i="23"/>
  <c r="AB89" i="23"/>
  <c r="AC89" i="23"/>
  <c r="AD89" i="23"/>
  <c r="AE89" i="23"/>
  <c r="AF89" i="23"/>
  <c r="AG89" i="23"/>
  <c r="AH89" i="23"/>
  <c r="AI89" i="23"/>
  <c r="AJ89" i="23"/>
  <c r="AK89" i="23"/>
  <c r="AL89" i="23"/>
  <c r="AM89" i="23"/>
  <c r="AN89" i="23"/>
  <c r="AO89" i="23"/>
  <c r="AP89" i="23"/>
  <c r="AQ89" i="23"/>
  <c r="AR89" i="23"/>
  <c r="AS89" i="23"/>
  <c r="AT89" i="23"/>
  <c r="AU89" i="23"/>
  <c r="AV89" i="23"/>
  <c r="AW89" i="23"/>
  <c r="AX89" i="23"/>
  <c r="AY89" i="23"/>
  <c r="AZ89" i="23"/>
  <c r="BA89" i="23"/>
  <c r="BB89" i="23"/>
  <c r="BC89" i="23"/>
  <c r="BD89" i="23"/>
  <c r="BE89" i="23"/>
  <c r="BF89" i="23"/>
  <c r="BG89" i="23"/>
  <c r="BH89" i="23"/>
  <c r="BI89" i="23"/>
  <c r="BJ89" i="23"/>
  <c r="BK89" i="23"/>
  <c r="BL89" i="23"/>
  <c r="BM89" i="23"/>
  <c r="BN89" i="23"/>
  <c r="BO89" i="23"/>
  <c r="BP89" i="23"/>
  <c r="BQ89" i="23"/>
  <c r="BR89" i="23"/>
  <c r="BS89" i="23"/>
  <c r="BT89" i="23"/>
  <c r="BU89" i="23"/>
  <c r="BV89" i="23"/>
  <c r="BW89" i="23"/>
  <c r="BX89" i="23"/>
  <c r="BY89" i="23"/>
  <c r="BZ89" i="23"/>
  <c r="CA89" i="23"/>
  <c r="CB89" i="23"/>
  <c r="CC89" i="23"/>
  <c r="CD89" i="23"/>
  <c r="CE89" i="23"/>
  <c r="CF89" i="23"/>
  <c r="CG89" i="23"/>
  <c r="CH89" i="23"/>
  <c r="CI89" i="23"/>
  <c r="CJ89" i="23"/>
  <c r="CK89" i="23"/>
  <c r="CL89" i="23"/>
  <c r="CM89" i="23"/>
  <c r="CN89" i="23"/>
  <c r="CO89" i="23"/>
  <c r="CP89" i="23"/>
  <c r="CQ89" i="23"/>
  <c r="CR89" i="23"/>
  <c r="CS89" i="23"/>
  <c r="CT89" i="23"/>
  <c r="CU89" i="23"/>
  <c r="CV89" i="23"/>
  <c r="CW89" i="23"/>
  <c r="CX89" i="23"/>
  <c r="CY89" i="23"/>
  <c r="CZ89" i="23"/>
  <c r="DA89" i="23"/>
  <c r="DB89" i="23"/>
  <c r="DC89" i="23"/>
  <c r="DD89" i="23"/>
  <c r="DE89" i="23"/>
  <c r="DF89" i="23"/>
  <c r="DG89" i="23"/>
  <c r="DH89" i="23"/>
  <c r="DI89" i="23"/>
  <c r="DJ89" i="23"/>
  <c r="DK89" i="23"/>
  <c r="DL89" i="23"/>
  <c r="DM89" i="23"/>
  <c r="DN89" i="23"/>
  <c r="DO89" i="23"/>
  <c r="DP89" i="23"/>
  <c r="DQ89" i="23"/>
  <c r="DR89" i="23"/>
  <c r="DS89" i="23"/>
  <c r="DT89" i="23"/>
  <c r="DU89" i="23"/>
  <c r="DV89" i="23"/>
  <c r="DW89" i="23"/>
  <c r="DX89" i="23"/>
  <c r="DY89" i="23"/>
  <c r="DZ89" i="23"/>
  <c r="EA89" i="23"/>
  <c r="EB89" i="23"/>
  <c r="EC89" i="23"/>
  <c r="ED89" i="23"/>
  <c r="EE89" i="23"/>
  <c r="EF89" i="23"/>
  <c r="EG89" i="23"/>
  <c r="EH89" i="23"/>
  <c r="EI89" i="23"/>
  <c r="EJ89" i="23"/>
  <c r="EK89" i="23"/>
  <c r="EL89" i="23"/>
  <c r="EM89" i="23"/>
  <c r="EN89" i="23"/>
  <c r="EO89" i="23"/>
  <c r="EP89" i="23"/>
  <c r="EQ89" i="23"/>
  <c r="ER89" i="23"/>
  <c r="ES89" i="23"/>
  <c r="ET89" i="23"/>
  <c r="EU89" i="23"/>
  <c r="EV89" i="23"/>
  <c r="EW89" i="23"/>
  <c r="EX89" i="23"/>
  <c r="EY89" i="23"/>
  <c r="EZ89" i="23"/>
  <c r="FA89" i="23"/>
  <c r="FB89" i="23"/>
  <c r="FC89" i="23"/>
  <c r="FD89" i="23"/>
  <c r="FE89" i="23"/>
  <c r="FF89" i="23"/>
  <c r="FG89" i="23"/>
  <c r="FH89" i="23"/>
  <c r="FI89" i="23"/>
  <c r="FJ89" i="23"/>
  <c r="FK89" i="23"/>
  <c r="FL89" i="23"/>
  <c r="FM89" i="23"/>
  <c r="FN89" i="23"/>
  <c r="FO89" i="23"/>
  <c r="FP89" i="23"/>
  <c r="FQ89" i="23"/>
  <c r="FR89" i="23"/>
  <c r="FS89" i="23"/>
  <c r="FT89" i="23"/>
  <c r="FU89" i="23"/>
  <c r="FV89" i="23"/>
  <c r="FW89" i="23"/>
  <c r="FX89" i="23"/>
  <c r="FY89" i="23"/>
  <c r="FZ89" i="23"/>
  <c r="GA89" i="23"/>
  <c r="GB89" i="23"/>
  <c r="GC89" i="23"/>
  <c r="GD89" i="23"/>
  <c r="F90" i="23"/>
  <c r="P90" i="23"/>
  <c r="Q90" i="23"/>
  <c r="R90" i="23"/>
  <c r="S90" i="23"/>
  <c r="T90" i="23"/>
  <c r="U90" i="23"/>
  <c r="V90" i="23"/>
  <c r="W90" i="23"/>
  <c r="X90" i="23"/>
  <c r="Y90" i="23"/>
  <c r="Z90" i="23"/>
  <c r="AA90" i="23"/>
  <c r="AB90" i="23"/>
  <c r="AC90" i="23"/>
  <c r="AD90" i="23"/>
  <c r="AE90" i="23"/>
  <c r="AF90" i="23"/>
  <c r="AG90" i="23"/>
  <c r="AH90" i="23"/>
  <c r="AI90" i="23"/>
  <c r="AJ90" i="23"/>
  <c r="AK90" i="23"/>
  <c r="AL90" i="23"/>
  <c r="AM90" i="23"/>
  <c r="AN90" i="23"/>
  <c r="AO90" i="23"/>
  <c r="AP90" i="23"/>
  <c r="AQ90" i="23"/>
  <c r="AR90" i="23"/>
  <c r="AS90" i="23"/>
  <c r="AT90" i="23"/>
  <c r="AU90" i="23"/>
  <c r="AV90" i="23"/>
  <c r="AW90" i="23"/>
  <c r="AX90" i="23"/>
  <c r="AY90" i="23"/>
  <c r="AZ90" i="23"/>
  <c r="BA90" i="23"/>
  <c r="BB90" i="23"/>
  <c r="BC90" i="23"/>
  <c r="BD90" i="23"/>
  <c r="BE90" i="23"/>
  <c r="BF90" i="23"/>
  <c r="BG90" i="23"/>
  <c r="BH90" i="23"/>
  <c r="BI90" i="23"/>
  <c r="BJ90" i="23"/>
  <c r="BK90" i="23"/>
  <c r="BL90" i="23"/>
  <c r="BM90" i="23"/>
  <c r="BN90" i="23"/>
  <c r="BO90" i="23"/>
  <c r="BP90" i="23"/>
  <c r="BQ90" i="23"/>
  <c r="BR90" i="23"/>
  <c r="BS90" i="23"/>
  <c r="BT90" i="23"/>
  <c r="BU90" i="23"/>
  <c r="BV90" i="23"/>
  <c r="BW90" i="23"/>
  <c r="BX90" i="23"/>
  <c r="BY90" i="23"/>
  <c r="BZ90" i="23"/>
  <c r="CA90" i="23"/>
  <c r="CB90" i="23"/>
  <c r="F91" i="23"/>
  <c r="P91" i="23"/>
  <c r="Q91" i="23"/>
  <c r="R91" i="23"/>
  <c r="S91" i="23"/>
  <c r="T91" i="23"/>
  <c r="U91" i="23"/>
  <c r="V91" i="23"/>
  <c r="W91" i="23"/>
  <c r="X91" i="23"/>
  <c r="Y91" i="23"/>
  <c r="Z91" i="23"/>
  <c r="AA91" i="23"/>
  <c r="AB91" i="23"/>
  <c r="AC91" i="23"/>
  <c r="AD91" i="23"/>
  <c r="AE91" i="23"/>
  <c r="AF91" i="23"/>
  <c r="AG91" i="23"/>
  <c r="AH91" i="23"/>
  <c r="AI91" i="23"/>
  <c r="AJ91" i="23"/>
  <c r="AK91" i="23"/>
  <c r="AL91" i="23"/>
  <c r="AM91" i="23"/>
  <c r="AN91" i="23"/>
  <c r="AO91" i="23"/>
  <c r="AP91" i="23"/>
  <c r="AQ91" i="23"/>
  <c r="AR91" i="23"/>
  <c r="AS91" i="23"/>
  <c r="AT91" i="23"/>
  <c r="AU91" i="23"/>
  <c r="AV91" i="23"/>
  <c r="AW91" i="23"/>
  <c r="AX91" i="23"/>
  <c r="AY91" i="23"/>
  <c r="AZ91" i="23"/>
  <c r="BA91" i="23"/>
  <c r="BB91" i="23"/>
  <c r="BC91" i="23"/>
  <c r="BD91" i="23"/>
  <c r="BE91" i="23"/>
  <c r="BF91" i="23"/>
  <c r="BG91" i="23"/>
  <c r="BH91" i="23"/>
  <c r="BI91" i="23"/>
  <c r="BJ91" i="23"/>
  <c r="BK91" i="23"/>
  <c r="BL91" i="23"/>
  <c r="BM91" i="23"/>
  <c r="BN91" i="23"/>
  <c r="BO91" i="23"/>
  <c r="BP91" i="23"/>
  <c r="BQ91" i="23"/>
  <c r="BR91" i="23"/>
  <c r="BS91" i="23"/>
  <c r="BT91" i="23"/>
  <c r="BU91" i="23"/>
  <c r="BV91" i="23"/>
  <c r="BW91" i="23"/>
  <c r="BX91" i="23"/>
  <c r="BY91" i="23"/>
  <c r="BZ91" i="23"/>
  <c r="CA91" i="23"/>
  <c r="CB91" i="23"/>
  <c r="CC91" i="23"/>
  <c r="CD91" i="23"/>
  <c r="CE91" i="23"/>
  <c r="CF91" i="23"/>
  <c r="CG91" i="23"/>
  <c r="CH91" i="23"/>
  <c r="CI91" i="23"/>
  <c r="CJ91" i="23"/>
  <c r="CK91" i="23"/>
  <c r="CL91" i="23"/>
  <c r="CM91" i="23"/>
  <c r="CN91" i="23"/>
  <c r="CO91" i="23"/>
  <c r="CP91" i="23"/>
  <c r="CQ91" i="23"/>
  <c r="CR91" i="23"/>
  <c r="CS91" i="23"/>
  <c r="CT91" i="23"/>
  <c r="CU91" i="23"/>
  <c r="CV91" i="23"/>
  <c r="CW91" i="23"/>
  <c r="CX91" i="23"/>
  <c r="CY91" i="23"/>
  <c r="CZ91" i="23"/>
  <c r="DA91" i="23"/>
  <c r="DB91" i="23"/>
  <c r="DC91" i="23"/>
  <c r="DD91" i="23"/>
  <c r="DE91" i="23"/>
  <c r="DF91" i="23"/>
  <c r="DG91" i="23"/>
  <c r="DH91" i="23"/>
  <c r="DI91" i="23"/>
  <c r="DJ91" i="23"/>
  <c r="DK91" i="23"/>
  <c r="DL91" i="23"/>
  <c r="DM91" i="23"/>
  <c r="DN91" i="23"/>
  <c r="DO91" i="23"/>
  <c r="DP91" i="23"/>
  <c r="DQ91" i="23"/>
  <c r="DR91" i="23"/>
  <c r="DS91" i="23"/>
  <c r="DT91" i="23"/>
  <c r="DU91" i="23"/>
  <c r="DV91" i="23"/>
  <c r="DW91" i="23"/>
  <c r="DX91" i="23"/>
  <c r="DY91" i="23"/>
  <c r="DZ91" i="23"/>
  <c r="EA91" i="23"/>
  <c r="EB91" i="23"/>
  <c r="EC91" i="23"/>
  <c r="ED91" i="23"/>
  <c r="EE91" i="23"/>
  <c r="EF91" i="23"/>
  <c r="EG91" i="23"/>
  <c r="EH91" i="23"/>
  <c r="EI91" i="23"/>
  <c r="EJ91" i="23"/>
  <c r="EK91" i="23"/>
  <c r="EL91" i="23"/>
  <c r="EM91" i="23"/>
  <c r="EN91" i="23"/>
  <c r="EO91" i="23"/>
  <c r="EP91" i="23"/>
  <c r="EQ91" i="23"/>
  <c r="ER91" i="23"/>
  <c r="ES91" i="23"/>
  <c r="ET91" i="23"/>
  <c r="EU91" i="23"/>
  <c r="EV91" i="23"/>
  <c r="EW91" i="23"/>
  <c r="EX91" i="23"/>
  <c r="EY91" i="23"/>
  <c r="EZ91" i="23"/>
  <c r="FA91" i="23"/>
  <c r="FB91" i="23"/>
  <c r="FC91" i="23"/>
  <c r="FD91" i="23"/>
  <c r="FE91" i="23"/>
  <c r="FF91" i="23"/>
  <c r="FG91" i="23"/>
  <c r="FH91" i="23"/>
  <c r="FI91" i="23"/>
  <c r="FJ91" i="23"/>
  <c r="FK91" i="23"/>
  <c r="FL91" i="23"/>
  <c r="FM91" i="23"/>
  <c r="FN91" i="23"/>
  <c r="FO91" i="23"/>
  <c r="FP91" i="23"/>
  <c r="FQ91" i="23"/>
  <c r="FR91" i="23"/>
  <c r="FS91" i="23"/>
  <c r="FT91" i="23"/>
  <c r="FU91" i="23"/>
  <c r="FV91" i="23"/>
  <c r="FW91" i="23"/>
  <c r="FX91" i="23"/>
  <c r="FY91" i="23"/>
  <c r="FZ91" i="23"/>
  <c r="GA91" i="23"/>
  <c r="GB91" i="23"/>
  <c r="GC91" i="23"/>
  <c r="GD91" i="23"/>
  <c r="F92" i="23"/>
  <c r="P92" i="23"/>
  <c r="Q92" i="23"/>
  <c r="R92" i="23"/>
  <c r="S92" i="23"/>
  <c r="T92" i="23"/>
  <c r="U92" i="23"/>
  <c r="V92" i="23"/>
  <c r="W92" i="23"/>
  <c r="X92" i="23"/>
  <c r="Y92" i="23"/>
  <c r="Z92" i="23"/>
  <c r="AA92" i="23"/>
  <c r="AB92" i="23"/>
  <c r="AC92" i="23"/>
  <c r="AD92" i="23"/>
  <c r="AE92" i="23"/>
  <c r="AF92" i="23"/>
  <c r="AG92" i="23"/>
  <c r="AH92" i="23"/>
  <c r="AI92" i="23"/>
  <c r="AJ92" i="23"/>
  <c r="AK92" i="23"/>
  <c r="AL92" i="23"/>
  <c r="AM92" i="23"/>
  <c r="AN92" i="23"/>
  <c r="AO92" i="23"/>
  <c r="AP92" i="23"/>
  <c r="AQ92" i="23"/>
  <c r="AR92" i="23"/>
  <c r="AS92" i="23"/>
  <c r="AT92" i="23"/>
  <c r="AU92" i="23"/>
  <c r="AV92" i="23"/>
  <c r="AW92" i="23"/>
  <c r="AX92" i="23"/>
  <c r="AY92" i="23"/>
  <c r="AZ92" i="23"/>
  <c r="BA92" i="23"/>
  <c r="BB92" i="23"/>
  <c r="BC92" i="23"/>
  <c r="BD92" i="23"/>
  <c r="BE92" i="23"/>
  <c r="BF92" i="23"/>
  <c r="BG92" i="23"/>
  <c r="BH92" i="23"/>
  <c r="BI92" i="23"/>
  <c r="BJ92" i="23"/>
  <c r="BK92" i="23"/>
  <c r="BL92" i="23"/>
  <c r="BM92" i="23"/>
  <c r="BN92" i="23"/>
  <c r="BO92" i="23"/>
  <c r="BP92" i="23"/>
  <c r="BQ92" i="23"/>
  <c r="BR92" i="23"/>
  <c r="BS92" i="23"/>
  <c r="BT92" i="23"/>
  <c r="BU92" i="23"/>
  <c r="BV92" i="23"/>
  <c r="BW92" i="23"/>
  <c r="BX92" i="23"/>
  <c r="BY92" i="23"/>
  <c r="BZ92" i="23"/>
  <c r="CA92" i="23"/>
  <c r="CB92" i="23"/>
  <c r="CC92" i="23"/>
  <c r="CD92" i="23"/>
  <c r="CE92" i="23"/>
  <c r="CF92" i="23"/>
  <c r="CG92" i="23"/>
  <c r="CH92" i="23"/>
  <c r="CI92" i="23"/>
  <c r="CJ92" i="23"/>
  <c r="CK92" i="23"/>
  <c r="CL92" i="23"/>
  <c r="CM92" i="23"/>
  <c r="CN92" i="23"/>
  <c r="CO92" i="23"/>
  <c r="CP92" i="23"/>
  <c r="CQ92" i="23"/>
  <c r="CR92" i="23"/>
  <c r="CS92" i="23"/>
  <c r="CT92" i="23"/>
  <c r="CU92" i="23"/>
  <c r="CV92" i="23"/>
  <c r="CW92" i="23"/>
  <c r="CX92" i="23"/>
  <c r="CY92" i="23"/>
  <c r="CZ92" i="23"/>
  <c r="DA92" i="23"/>
  <c r="DB92" i="23"/>
  <c r="DC92" i="23"/>
  <c r="DD92" i="23"/>
  <c r="DE92" i="23"/>
  <c r="DF92" i="23"/>
  <c r="DG92" i="23"/>
  <c r="DH92" i="23"/>
  <c r="DI92" i="23"/>
  <c r="DJ92" i="23"/>
  <c r="DK92" i="23"/>
  <c r="DL92" i="23"/>
  <c r="DM92" i="23"/>
  <c r="DN92" i="23"/>
  <c r="DO92" i="23"/>
  <c r="DP92" i="23"/>
  <c r="DQ92" i="23"/>
  <c r="DR92" i="23"/>
  <c r="DS92" i="23"/>
  <c r="DT92" i="23"/>
  <c r="DU92" i="23"/>
  <c r="DV92" i="23"/>
  <c r="DW92" i="23"/>
  <c r="DX92" i="23"/>
  <c r="DY92" i="23"/>
  <c r="DZ92" i="23"/>
  <c r="EA92" i="23"/>
  <c r="EB92" i="23"/>
  <c r="EC92" i="23"/>
  <c r="ED92" i="23"/>
  <c r="EE92" i="23"/>
  <c r="EF92" i="23"/>
  <c r="EG92" i="23"/>
  <c r="EH92" i="23"/>
  <c r="EI92" i="23"/>
  <c r="EJ92" i="23"/>
  <c r="EK92" i="23"/>
  <c r="EL92" i="23"/>
  <c r="EM92" i="23"/>
  <c r="EN92" i="23"/>
  <c r="EO92" i="23"/>
  <c r="EP92" i="23"/>
  <c r="EQ92" i="23"/>
  <c r="ER92" i="23"/>
  <c r="ES92" i="23"/>
  <c r="ET92" i="23"/>
  <c r="EU92" i="23"/>
  <c r="EV92" i="23"/>
  <c r="EW92" i="23"/>
  <c r="EX92" i="23"/>
  <c r="EY92" i="23"/>
  <c r="EZ92" i="23"/>
  <c r="FA92" i="23"/>
  <c r="FB92" i="23"/>
  <c r="FC92" i="23"/>
  <c r="FD92" i="23"/>
  <c r="FE92" i="23"/>
  <c r="FF92" i="23"/>
  <c r="FG92" i="23"/>
  <c r="FH92" i="23"/>
  <c r="FI92" i="23"/>
  <c r="FJ92" i="23"/>
  <c r="FK92" i="23"/>
  <c r="FL92" i="23"/>
  <c r="F93" i="23"/>
  <c r="S93" i="23"/>
  <c r="W93" i="23"/>
  <c r="AA93" i="23"/>
  <c r="AE93" i="23"/>
  <c r="AI93" i="23"/>
  <c r="AM93" i="23"/>
  <c r="AQ93" i="23"/>
  <c r="AU93" i="23"/>
  <c r="AY93" i="23"/>
  <c r="BC93" i="23"/>
  <c r="BG93" i="23"/>
  <c r="BK93" i="23"/>
  <c r="BO93" i="23"/>
  <c r="BS93" i="23"/>
  <c r="BW93" i="23"/>
  <c r="CA93" i="23"/>
  <c r="CE93" i="23"/>
  <c r="CI93" i="23"/>
  <c r="CM93" i="23"/>
  <c r="CQ93" i="23"/>
  <c r="CU93" i="23"/>
  <c r="CY93" i="23"/>
  <c r="DC93" i="23"/>
  <c r="DG93" i="23"/>
  <c r="DK93" i="23"/>
  <c r="DO93" i="23"/>
  <c r="DS93" i="23"/>
  <c r="DW93" i="23"/>
  <c r="EA93" i="23"/>
  <c r="EE93" i="23"/>
  <c r="EI93" i="23"/>
  <c r="EM93" i="23"/>
  <c r="EQ93" i="23"/>
  <c r="EU93" i="23"/>
  <c r="EY93" i="23"/>
  <c r="FC93" i="23"/>
  <c r="FG93" i="23"/>
  <c r="FK93" i="23"/>
  <c r="FO93" i="23"/>
  <c r="FS93" i="23"/>
  <c r="FW93" i="23"/>
  <c r="GA93" i="23"/>
  <c r="F94" i="23"/>
  <c r="O94" i="23"/>
  <c r="P94" i="23"/>
  <c r="Q94" i="23"/>
  <c r="R94" i="23"/>
  <c r="S94" i="23"/>
  <c r="T94" i="23"/>
  <c r="U94" i="23"/>
  <c r="V94" i="23"/>
  <c r="W94" i="23"/>
  <c r="X94" i="23"/>
  <c r="Y94" i="23"/>
  <c r="Z94" i="23"/>
  <c r="AA94" i="23"/>
  <c r="AB94" i="23"/>
  <c r="AC94" i="23"/>
  <c r="AD94" i="23"/>
  <c r="AE94" i="23"/>
  <c r="AF94" i="23"/>
  <c r="AG94" i="23"/>
  <c r="AH94" i="23"/>
  <c r="AI94" i="23"/>
  <c r="AJ94" i="23"/>
  <c r="AK94" i="23"/>
  <c r="AL94" i="23"/>
  <c r="AM94" i="23"/>
  <c r="AN94" i="23"/>
  <c r="AO94" i="23"/>
  <c r="AP94" i="23"/>
  <c r="AQ94" i="23"/>
  <c r="AR94" i="23"/>
  <c r="AS94" i="23"/>
  <c r="AT94" i="23"/>
  <c r="AU94" i="23"/>
  <c r="AV94" i="23"/>
  <c r="AW94" i="23"/>
  <c r="AX94" i="23"/>
  <c r="AY94" i="23"/>
  <c r="AZ94" i="23"/>
  <c r="BA94" i="23"/>
  <c r="BB94" i="23"/>
  <c r="BC94" i="23"/>
  <c r="BD94" i="23"/>
  <c r="BE94" i="23"/>
  <c r="BF94" i="23"/>
  <c r="BG94" i="23"/>
  <c r="BH94" i="23"/>
  <c r="BI94" i="23"/>
  <c r="BJ94" i="23"/>
  <c r="BK94" i="23"/>
  <c r="BL94" i="23"/>
  <c r="BM94" i="23"/>
  <c r="BN94" i="23"/>
  <c r="BO94" i="23"/>
  <c r="BP94" i="23"/>
  <c r="BQ94" i="23"/>
  <c r="BR94" i="23"/>
  <c r="BS94" i="23"/>
  <c r="BT94" i="23"/>
  <c r="BU94" i="23"/>
  <c r="BV94" i="23"/>
  <c r="BW94" i="23"/>
  <c r="BX94" i="23"/>
  <c r="BY94" i="23"/>
  <c r="BZ94" i="23"/>
  <c r="CA94" i="23"/>
  <c r="CB94" i="23"/>
  <c r="CC94" i="23"/>
  <c r="CD94" i="23"/>
  <c r="CE94" i="23"/>
  <c r="CF94" i="23"/>
  <c r="CG94" i="23"/>
  <c r="CH94" i="23"/>
  <c r="CI94" i="23"/>
  <c r="CJ94" i="23"/>
  <c r="CK94" i="23"/>
  <c r="CL94" i="23"/>
  <c r="CM94" i="23"/>
  <c r="CN94" i="23"/>
  <c r="CO94" i="23"/>
  <c r="CP94" i="23"/>
  <c r="CQ94" i="23"/>
  <c r="CR94" i="23"/>
  <c r="CS94" i="23"/>
  <c r="CT94" i="23"/>
  <c r="CU94" i="23"/>
  <c r="CV94" i="23"/>
  <c r="CW94" i="23"/>
  <c r="CX94" i="23"/>
  <c r="CY94" i="23"/>
  <c r="CZ94" i="23"/>
  <c r="DA94" i="23"/>
  <c r="DB94" i="23"/>
  <c r="DC94" i="23"/>
  <c r="DD94" i="23"/>
  <c r="DE94" i="23"/>
  <c r="DF94" i="23"/>
  <c r="DG94" i="23"/>
  <c r="DH94" i="23"/>
  <c r="DI94" i="23"/>
  <c r="DJ94" i="23"/>
  <c r="DK94" i="23"/>
  <c r="DL94" i="23"/>
  <c r="DM94" i="23"/>
  <c r="DN94" i="23"/>
  <c r="DO94" i="23"/>
  <c r="DP94" i="23"/>
  <c r="DQ94" i="23"/>
  <c r="DR94" i="23"/>
  <c r="DS94" i="23"/>
  <c r="DT94" i="23"/>
  <c r="DU94" i="23"/>
  <c r="DV94" i="23"/>
  <c r="DW94" i="23"/>
  <c r="DX94" i="23"/>
  <c r="DY94" i="23"/>
  <c r="DZ94" i="23"/>
  <c r="EA94" i="23"/>
  <c r="EB94" i="23"/>
  <c r="EC94" i="23"/>
  <c r="ED94" i="23"/>
  <c r="EE94" i="23"/>
  <c r="EF94" i="23"/>
  <c r="EG94" i="23"/>
  <c r="EH94" i="23"/>
  <c r="EI94" i="23"/>
  <c r="EJ94" i="23"/>
  <c r="EK94" i="23"/>
  <c r="EL94" i="23"/>
  <c r="EM94" i="23"/>
  <c r="EN94" i="23"/>
  <c r="EO94" i="23"/>
  <c r="EP94" i="23"/>
  <c r="EQ94" i="23"/>
  <c r="ER94" i="23"/>
  <c r="ES94" i="23"/>
  <c r="ET94" i="23"/>
  <c r="EU94" i="23"/>
  <c r="EV94" i="23"/>
  <c r="EW94" i="23"/>
  <c r="EX94" i="23"/>
  <c r="EY94" i="23"/>
  <c r="EZ94" i="23"/>
  <c r="FA94" i="23"/>
  <c r="FB94" i="23"/>
  <c r="FC94" i="23"/>
  <c r="FD94" i="23"/>
  <c r="FE94" i="23"/>
  <c r="FF94" i="23"/>
  <c r="FG94" i="23"/>
  <c r="FH94" i="23"/>
  <c r="FI94" i="23"/>
  <c r="FJ94" i="23"/>
  <c r="FK94" i="23"/>
  <c r="FL94" i="23"/>
  <c r="FM94" i="23"/>
  <c r="FN94" i="23"/>
  <c r="FO94" i="23"/>
  <c r="FP94" i="23"/>
  <c r="FQ94" i="23"/>
  <c r="FR94" i="23"/>
  <c r="FS94" i="23"/>
  <c r="FT94" i="23"/>
  <c r="FU94" i="23"/>
  <c r="FV94" i="23"/>
  <c r="FW94" i="23"/>
  <c r="FX94" i="23"/>
  <c r="FY94" i="23"/>
  <c r="FZ94" i="23"/>
  <c r="GA94" i="23"/>
  <c r="GB94" i="23"/>
  <c r="GC94" i="23"/>
  <c r="GD94" i="23"/>
  <c r="E95" i="23"/>
  <c r="F96" i="23"/>
  <c r="H96" i="23"/>
  <c r="I96" i="23"/>
  <c r="J96" i="23"/>
  <c r="K96" i="23"/>
  <c r="L96" i="23"/>
  <c r="M96" i="23"/>
  <c r="N96" i="23"/>
  <c r="O96" i="23"/>
  <c r="P96" i="23"/>
  <c r="Q96" i="23"/>
  <c r="R96" i="23"/>
  <c r="S96" i="23"/>
  <c r="T96" i="23"/>
  <c r="U96" i="23"/>
  <c r="V96" i="23"/>
  <c r="W96" i="23"/>
  <c r="X96" i="23"/>
  <c r="Y96" i="23"/>
  <c r="Z96" i="23"/>
  <c r="AA96" i="23"/>
  <c r="AB96" i="23"/>
  <c r="AC96" i="23"/>
  <c r="AD96" i="23"/>
  <c r="AE96" i="23"/>
  <c r="AF96" i="23"/>
  <c r="AG96" i="23"/>
  <c r="AH96" i="23"/>
  <c r="AI96" i="23"/>
  <c r="AJ96" i="23"/>
  <c r="AK96" i="23"/>
  <c r="AL96" i="23"/>
  <c r="AM96" i="23"/>
  <c r="AN96" i="23"/>
  <c r="AO96" i="23"/>
  <c r="AP96" i="23"/>
  <c r="AQ96" i="23"/>
  <c r="AR96" i="23"/>
  <c r="AS96" i="23"/>
  <c r="AT96" i="23"/>
  <c r="AU96" i="23"/>
  <c r="AV96" i="23"/>
  <c r="AW96" i="23"/>
  <c r="AX96" i="23"/>
  <c r="AY96" i="23"/>
  <c r="AZ96" i="23"/>
  <c r="BA96" i="23"/>
  <c r="BB96" i="23"/>
  <c r="BC96" i="23"/>
  <c r="BD96" i="23"/>
  <c r="BE96" i="23"/>
  <c r="BF96" i="23"/>
  <c r="BG96" i="23"/>
  <c r="BH96" i="23"/>
  <c r="BI96" i="23"/>
  <c r="BJ96" i="23"/>
  <c r="BK96" i="23"/>
  <c r="BL96" i="23"/>
  <c r="BM96" i="23"/>
  <c r="BN96" i="23"/>
  <c r="BO96" i="23"/>
  <c r="BP96" i="23"/>
  <c r="BQ96" i="23"/>
  <c r="BR96" i="23"/>
  <c r="BS96" i="23"/>
  <c r="BT96" i="23"/>
  <c r="BU96" i="23"/>
  <c r="BV96" i="23"/>
  <c r="BW96" i="23"/>
  <c r="BX96" i="23"/>
  <c r="BY96" i="23"/>
  <c r="BZ96" i="23"/>
  <c r="CA96" i="23"/>
  <c r="CB96" i="23"/>
  <c r="CC96" i="23"/>
  <c r="CD96" i="23"/>
  <c r="CE96" i="23"/>
  <c r="CF96" i="23"/>
  <c r="CG96" i="23"/>
  <c r="CH96" i="23"/>
  <c r="CI96" i="23"/>
  <c r="CJ96" i="23"/>
  <c r="CK96" i="23"/>
  <c r="CL96" i="23"/>
  <c r="CM96" i="23"/>
  <c r="CN96" i="23"/>
  <c r="CO96" i="23"/>
  <c r="CP96" i="23"/>
  <c r="CQ96" i="23"/>
  <c r="CR96" i="23"/>
  <c r="CS96" i="23"/>
  <c r="CT96" i="23"/>
  <c r="CU96" i="23"/>
  <c r="CV96" i="23"/>
  <c r="CW96" i="23"/>
  <c r="CX96" i="23"/>
  <c r="CY96" i="23"/>
  <c r="CZ96" i="23"/>
  <c r="DA96" i="23"/>
  <c r="DB96" i="23"/>
  <c r="DC96" i="23"/>
  <c r="DD96" i="23"/>
  <c r="DE96" i="23"/>
  <c r="DF96" i="23"/>
  <c r="DG96" i="23"/>
  <c r="DH96" i="23"/>
  <c r="DI96" i="23"/>
  <c r="DJ96" i="23"/>
  <c r="DK96" i="23"/>
  <c r="DL96" i="23"/>
  <c r="DM96" i="23"/>
  <c r="DN96" i="23"/>
  <c r="DO96" i="23"/>
  <c r="DP96" i="23"/>
  <c r="DQ96" i="23"/>
  <c r="DR96" i="23"/>
  <c r="DS96" i="23"/>
  <c r="DT96" i="23"/>
  <c r="DU96" i="23"/>
  <c r="DV96" i="23"/>
  <c r="DW96" i="23"/>
  <c r="DX96" i="23"/>
  <c r="DY96" i="23"/>
  <c r="DZ96" i="23"/>
  <c r="EA96" i="23"/>
  <c r="EB96" i="23"/>
  <c r="EC96" i="23"/>
  <c r="ED96" i="23"/>
  <c r="EE96" i="23"/>
  <c r="EF96" i="23"/>
  <c r="EG96" i="23"/>
  <c r="EH96" i="23"/>
  <c r="EI96" i="23"/>
  <c r="EJ96" i="23"/>
  <c r="EK96" i="23"/>
  <c r="EL96" i="23"/>
  <c r="EM96" i="23"/>
  <c r="EN96" i="23"/>
  <c r="EO96" i="23"/>
  <c r="EP96" i="23"/>
  <c r="EQ96" i="23"/>
  <c r="ER96" i="23"/>
  <c r="ES96" i="23"/>
  <c r="ET96" i="23"/>
  <c r="EU96" i="23"/>
  <c r="EV96" i="23"/>
  <c r="EW96" i="23"/>
  <c r="EX96" i="23"/>
  <c r="EY96" i="23"/>
  <c r="EZ96" i="23"/>
  <c r="FA96" i="23"/>
  <c r="FB96" i="23"/>
  <c r="FC96" i="23"/>
  <c r="FD96" i="23"/>
  <c r="FE96" i="23"/>
  <c r="FF96" i="23"/>
  <c r="FG96" i="23"/>
  <c r="FH96" i="23"/>
  <c r="FI96" i="23"/>
  <c r="FJ96" i="23"/>
  <c r="FK96" i="23"/>
  <c r="FL96" i="23"/>
  <c r="FM96" i="23"/>
  <c r="FN96" i="23"/>
  <c r="FO96" i="23"/>
  <c r="FP96" i="23"/>
  <c r="FQ96" i="23"/>
  <c r="FR96" i="23"/>
  <c r="FS96" i="23"/>
  <c r="FT96" i="23"/>
  <c r="FU96" i="23"/>
  <c r="FV96" i="23"/>
  <c r="FW96" i="23"/>
  <c r="FX96" i="23"/>
  <c r="FY96" i="23"/>
  <c r="FZ96" i="23"/>
  <c r="GA96" i="23"/>
  <c r="GB96" i="23"/>
  <c r="GC96" i="23"/>
  <c r="GD96" i="23"/>
  <c r="F97" i="23"/>
  <c r="R97" i="23"/>
  <c r="S97" i="23"/>
  <c r="T97" i="23"/>
  <c r="U97" i="23"/>
  <c r="V97" i="23"/>
  <c r="W97" i="23"/>
  <c r="X97" i="23"/>
  <c r="Y97" i="23"/>
  <c r="Z97" i="23"/>
  <c r="AA97" i="23"/>
  <c r="AB97" i="23"/>
  <c r="AC97" i="23"/>
  <c r="AD97" i="23"/>
  <c r="AE97" i="23"/>
  <c r="AF97" i="23"/>
  <c r="AG97" i="23"/>
  <c r="AH97" i="23"/>
  <c r="AI97" i="23"/>
  <c r="AJ97" i="23"/>
  <c r="AK97" i="23"/>
  <c r="AL97" i="23"/>
  <c r="AM97" i="23"/>
  <c r="AN97" i="23"/>
  <c r="AO97" i="23"/>
  <c r="AP97" i="23"/>
  <c r="AQ97" i="23"/>
  <c r="AR97" i="23"/>
  <c r="AS97" i="23"/>
  <c r="AT97" i="23"/>
  <c r="AU97" i="23"/>
  <c r="AV97" i="23"/>
  <c r="AW97" i="23"/>
  <c r="AX97" i="23"/>
  <c r="AY97" i="23"/>
  <c r="AZ97" i="23"/>
  <c r="BA97" i="23"/>
  <c r="BB97" i="23"/>
  <c r="BC97" i="23"/>
  <c r="BD97" i="23"/>
  <c r="BE97" i="23"/>
  <c r="BF97" i="23"/>
  <c r="BG97" i="23"/>
  <c r="BH97" i="23"/>
  <c r="BI97" i="23"/>
  <c r="BJ97" i="23"/>
  <c r="BK97" i="23"/>
  <c r="BL97" i="23"/>
  <c r="BM97" i="23"/>
  <c r="BN97" i="23"/>
  <c r="BO97" i="23"/>
  <c r="BP97" i="23"/>
  <c r="BQ97" i="23"/>
  <c r="BR97" i="23"/>
  <c r="BS97" i="23"/>
  <c r="BT97" i="23"/>
  <c r="BU97" i="23"/>
  <c r="BV97" i="23"/>
  <c r="BW97" i="23"/>
  <c r="BX97" i="23"/>
  <c r="BY97" i="23"/>
  <c r="BZ97" i="23"/>
  <c r="CA97" i="23"/>
  <c r="CB97" i="23"/>
  <c r="CC97" i="23"/>
  <c r="CD97" i="23"/>
  <c r="CE97" i="23"/>
  <c r="CF97" i="23"/>
  <c r="CG97" i="23"/>
  <c r="CH97" i="23"/>
  <c r="CI97" i="23"/>
  <c r="CJ97" i="23"/>
  <c r="CK97" i="23"/>
  <c r="CL97" i="23"/>
  <c r="CM97" i="23"/>
  <c r="CN97" i="23"/>
  <c r="CO97" i="23"/>
  <c r="CP97" i="23"/>
  <c r="CQ97" i="23"/>
  <c r="CR97" i="23"/>
  <c r="CS97" i="23"/>
  <c r="CT97" i="23"/>
  <c r="CU97" i="23"/>
  <c r="CV97" i="23"/>
  <c r="CW97" i="23"/>
  <c r="CX97" i="23"/>
  <c r="CY97" i="23"/>
  <c r="CZ97" i="23"/>
  <c r="DA97" i="23"/>
  <c r="DB97" i="23"/>
  <c r="DC97" i="23"/>
  <c r="DD97" i="23"/>
  <c r="DE97" i="23"/>
  <c r="DF97" i="23"/>
  <c r="DG97" i="23"/>
  <c r="DH97" i="23"/>
  <c r="DI97" i="23"/>
  <c r="DJ97" i="23"/>
  <c r="DK97" i="23"/>
  <c r="DL97" i="23"/>
  <c r="DM97" i="23"/>
  <c r="DN97" i="23"/>
  <c r="DO97" i="23"/>
  <c r="DP97" i="23"/>
  <c r="DQ97" i="23"/>
  <c r="DR97" i="23"/>
  <c r="DS97" i="23"/>
  <c r="DT97" i="23"/>
  <c r="DU97" i="23"/>
  <c r="DV97" i="23"/>
  <c r="DW97" i="23"/>
  <c r="DX97" i="23"/>
  <c r="DY97" i="23"/>
  <c r="DZ97" i="23"/>
  <c r="EA97" i="23"/>
  <c r="EB97" i="23"/>
  <c r="EC97" i="23"/>
  <c r="ED97" i="23"/>
  <c r="EE97" i="23"/>
  <c r="EF97" i="23"/>
  <c r="EG97" i="23"/>
  <c r="EH97" i="23"/>
  <c r="EI97" i="23"/>
  <c r="EJ97" i="23"/>
  <c r="EK97" i="23"/>
  <c r="EL97" i="23"/>
  <c r="EM97" i="23"/>
  <c r="EN97" i="23"/>
  <c r="EO97" i="23"/>
  <c r="EP97" i="23"/>
  <c r="EQ97" i="23"/>
  <c r="ER97" i="23"/>
  <c r="ES97" i="23"/>
  <c r="ET97" i="23"/>
  <c r="EU97" i="23"/>
  <c r="EV97" i="23"/>
  <c r="EW97" i="23"/>
  <c r="EX97" i="23"/>
  <c r="EY97" i="23"/>
  <c r="EZ97" i="23"/>
  <c r="FA97" i="23"/>
  <c r="FB97" i="23"/>
  <c r="FC97" i="23"/>
  <c r="FD97" i="23"/>
  <c r="FE97" i="23"/>
  <c r="FF97" i="23"/>
  <c r="FG97" i="23"/>
  <c r="FH97" i="23"/>
  <c r="FI97" i="23"/>
  <c r="FJ97" i="23"/>
  <c r="FK97" i="23"/>
  <c r="FL97" i="23"/>
  <c r="FM97" i="23"/>
  <c r="FN97" i="23"/>
  <c r="FO97" i="23"/>
  <c r="FP97" i="23"/>
  <c r="FQ97" i="23"/>
  <c r="FR97" i="23"/>
  <c r="FS97" i="23"/>
  <c r="FT97" i="23"/>
  <c r="FU97" i="23"/>
  <c r="FV97" i="23"/>
  <c r="FW97" i="23"/>
  <c r="FX97" i="23"/>
  <c r="FY97" i="23"/>
  <c r="FZ97" i="23"/>
  <c r="GA97" i="23"/>
  <c r="GB97" i="23"/>
  <c r="GC97" i="23"/>
  <c r="GD97" i="23"/>
  <c r="F98" i="23"/>
  <c r="S98" i="23"/>
  <c r="T98" i="23"/>
  <c r="U98" i="23"/>
  <c r="V98" i="23"/>
  <c r="W98" i="23"/>
  <c r="X98" i="23"/>
  <c r="Y98" i="23"/>
  <c r="Z98" i="23"/>
  <c r="AA98" i="23"/>
  <c r="AB98" i="23"/>
  <c r="AC98" i="23"/>
  <c r="AD98" i="23"/>
  <c r="AE98" i="23"/>
  <c r="AF98" i="23"/>
  <c r="AG98" i="23"/>
  <c r="AH98" i="23"/>
  <c r="AI98" i="23"/>
  <c r="AJ98" i="23"/>
  <c r="AK98" i="23"/>
  <c r="AL98" i="23"/>
  <c r="AM98" i="23"/>
  <c r="AN98" i="23"/>
  <c r="AO98" i="23"/>
  <c r="AP98" i="23"/>
  <c r="AQ98" i="23"/>
  <c r="AR98" i="23"/>
  <c r="AS98" i="23"/>
  <c r="AT98" i="23"/>
  <c r="AU98" i="23"/>
  <c r="AV98" i="23"/>
  <c r="AW98" i="23"/>
  <c r="AX98" i="23"/>
  <c r="AY98" i="23"/>
  <c r="AZ98" i="23"/>
  <c r="BA98" i="23"/>
  <c r="BB98" i="23"/>
  <c r="BC98" i="23"/>
  <c r="BD98" i="23"/>
  <c r="BE98" i="23"/>
  <c r="BF98" i="23"/>
  <c r="BG98" i="23"/>
  <c r="BH98" i="23"/>
  <c r="BI98" i="23"/>
  <c r="BJ98" i="23"/>
  <c r="BK98" i="23"/>
  <c r="BL98" i="23"/>
  <c r="BM98" i="23"/>
  <c r="BN98" i="23"/>
  <c r="BO98" i="23"/>
  <c r="BP98" i="23"/>
  <c r="BQ98" i="23"/>
  <c r="BR98" i="23"/>
  <c r="BS98" i="23"/>
  <c r="BT98" i="23"/>
  <c r="BU98" i="23"/>
  <c r="BV98" i="23"/>
  <c r="BW98" i="23"/>
  <c r="BX98" i="23"/>
  <c r="BY98" i="23"/>
  <c r="BZ98" i="23"/>
  <c r="CA98" i="23"/>
  <c r="CB98" i="23"/>
  <c r="CC98" i="23"/>
  <c r="CD98" i="23"/>
  <c r="CE98" i="23"/>
  <c r="CF98" i="23"/>
  <c r="CG98" i="23"/>
  <c r="CH98" i="23"/>
  <c r="CI98" i="23"/>
  <c r="CJ98" i="23"/>
  <c r="CK98" i="23"/>
  <c r="CL98" i="23"/>
  <c r="CM98" i="23"/>
  <c r="CN98" i="23"/>
  <c r="CO98" i="23"/>
  <c r="CP98" i="23"/>
  <c r="CQ98" i="23"/>
  <c r="CR98" i="23"/>
  <c r="CS98" i="23"/>
  <c r="CT98" i="23"/>
  <c r="CU98" i="23"/>
  <c r="CV98" i="23"/>
  <c r="CW98" i="23"/>
  <c r="CX98" i="23"/>
  <c r="CY98" i="23"/>
  <c r="CZ98" i="23"/>
  <c r="DA98" i="23"/>
  <c r="DB98" i="23"/>
  <c r="DC98" i="23"/>
  <c r="DD98" i="23"/>
  <c r="DE98" i="23"/>
  <c r="DF98" i="23"/>
  <c r="DG98" i="23"/>
  <c r="DH98" i="23"/>
  <c r="DI98" i="23"/>
  <c r="DJ98" i="23"/>
  <c r="DK98" i="23"/>
  <c r="DL98" i="23"/>
  <c r="DM98" i="23"/>
  <c r="DN98" i="23"/>
  <c r="DO98" i="23"/>
  <c r="DP98" i="23"/>
  <c r="DQ98" i="23"/>
  <c r="DR98" i="23"/>
  <c r="DS98" i="23"/>
  <c r="DT98" i="23"/>
  <c r="DU98" i="23"/>
  <c r="DV98" i="23"/>
  <c r="DW98" i="23"/>
  <c r="DX98" i="23"/>
  <c r="DY98" i="23"/>
  <c r="DZ98" i="23"/>
  <c r="EA98" i="23"/>
  <c r="EB98" i="23"/>
  <c r="EC98" i="23"/>
  <c r="ED98" i="23"/>
  <c r="EE98" i="23"/>
  <c r="EF98" i="23"/>
  <c r="EG98" i="23"/>
  <c r="EH98" i="23"/>
  <c r="EI98" i="23"/>
  <c r="EJ98" i="23"/>
  <c r="EK98" i="23"/>
  <c r="EL98" i="23"/>
  <c r="EM98" i="23"/>
  <c r="EN98" i="23"/>
  <c r="EO98" i="23"/>
  <c r="EP98" i="23"/>
  <c r="EQ98" i="23"/>
  <c r="ER98" i="23"/>
  <c r="ES98" i="23"/>
  <c r="ET98" i="23"/>
  <c r="EU98" i="23"/>
  <c r="EV98" i="23"/>
  <c r="EW98" i="23"/>
  <c r="EX98" i="23"/>
  <c r="EY98" i="23"/>
  <c r="EZ98" i="23"/>
  <c r="FA98" i="23"/>
  <c r="FB98" i="23"/>
  <c r="FC98" i="23"/>
  <c r="FD98" i="23"/>
  <c r="FE98" i="23"/>
  <c r="FF98" i="23"/>
  <c r="FG98" i="23"/>
  <c r="FH98" i="23"/>
  <c r="FI98" i="23"/>
  <c r="FJ98" i="23"/>
  <c r="FK98" i="23"/>
  <c r="FL98" i="23"/>
  <c r="FM98" i="23"/>
  <c r="FN98" i="23"/>
  <c r="FO98" i="23"/>
  <c r="FP98" i="23"/>
  <c r="FQ98" i="23"/>
  <c r="FR98" i="23"/>
  <c r="FS98" i="23"/>
  <c r="FT98" i="23"/>
  <c r="FU98" i="23"/>
  <c r="FV98" i="23"/>
  <c r="FW98" i="23"/>
  <c r="FX98" i="23"/>
  <c r="FY98" i="23"/>
  <c r="FZ98" i="23"/>
  <c r="GA98" i="23"/>
  <c r="GB98" i="23"/>
  <c r="GC98" i="23"/>
  <c r="GD98" i="23"/>
  <c r="AC101" i="23"/>
  <c r="F102" i="23"/>
  <c r="T102" i="23"/>
  <c r="U102" i="23"/>
  <c r="V102" i="23"/>
  <c r="W102" i="23"/>
  <c r="X102" i="23"/>
  <c r="Y102" i="23"/>
  <c r="Z102" i="23"/>
  <c r="AA102" i="23"/>
  <c r="AB102" i="23"/>
  <c r="AC102" i="23"/>
  <c r="AD102" i="23"/>
  <c r="AE102" i="23"/>
  <c r="AF102" i="23"/>
  <c r="AG102" i="23"/>
  <c r="AH102" i="23"/>
  <c r="AI102" i="23"/>
  <c r="AJ102" i="23"/>
  <c r="AK102" i="23"/>
  <c r="AL102" i="23"/>
  <c r="AM102" i="23"/>
  <c r="AN102" i="23"/>
  <c r="AO102" i="23"/>
  <c r="AP102" i="23"/>
  <c r="AQ102" i="23"/>
  <c r="AR102" i="23"/>
  <c r="AS102" i="23"/>
  <c r="AT102" i="23"/>
  <c r="AU102" i="23"/>
  <c r="AV102" i="23"/>
  <c r="AW102" i="23"/>
  <c r="AX102" i="23"/>
  <c r="AY102" i="23"/>
  <c r="AZ102" i="23"/>
  <c r="BA102" i="23"/>
  <c r="BB102" i="23"/>
  <c r="BC102" i="23"/>
  <c r="BD102" i="23"/>
  <c r="BE102" i="23"/>
  <c r="BF102" i="23"/>
  <c r="BG102" i="23"/>
  <c r="BH102" i="23"/>
  <c r="BI102" i="23"/>
  <c r="BJ102" i="23"/>
  <c r="BK102" i="23"/>
  <c r="BL102" i="23"/>
  <c r="BM102" i="23"/>
  <c r="BN102" i="23"/>
  <c r="BO102" i="23"/>
  <c r="BP102" i="23"/>
  <c r="BQ102" i="23"/>
  <c r="BR102" i="23"/>
  <c r="BS102" i="23"/>
  <c r="BT102" i="23"/>
  <c r="BU102" i="23"/>
  <c r="BV102" i="23"/>
  <c r="BW102" i="23"/>
  <c r="BX102" i="23"/>
  <c r="BY102" i="23"/>
  <c r="BZ102" i="23"/>
  <c r="CA102" i="23"/>
  <c r="CB102" i="23"/>
  <c r="CC102" i="23"/>
  <c r="CD102" i="23"/>
  <c r="CE102" i="23"/>
  <c r="CF102" i="23"/>
  <c r="CG102" i="23"/>
  <c r="CH102" i="23"/>
  <c r="CI102" i="23"/>
  <c r="CJ102" i="23"/>
  <c r="CK102" i="23"/>
  <c r="CL102" i="23"/>
  <c r="CM102" i="23"/>
  <c r="CN102" i="23"/>
  <c r="CO102" i="23"/>
  <c r="CP102" i="23"/>
  <c r="CQ102" i="23"/>
  <c r="CR102" i="23"/>
  <c r="CS102" i="23"/>
  <c r="CT102" i="23"/>
  <c r="CU102" i="23"/>
  <c r="CV102" i="23"/>
  <c r="CW102" i="23"/>
  <c r="CX102" i="23"/>
  <c r="CY102" i="23"/>
  <c r="CZ102" i="23"/>
  <c r="DA102" i="23"/>
  <c r="DB102" i="23"/>
  <c r="DC102" i="23"/>
  <c r="DD102" i="23"/>
  <c r="DE102" i="23"/>
  <c r="DF102" i="23"/>
  <c r="DG102" i="23"/>
  <c r="DH102" i="23"/>
  <c r="DI102" i="23"/>
  <c r="DJ102" i="23"/>
  <c r="DK102" i="23"/>
  <c r="DL102" i="23"/>
  <c r="DM102" i="23"/>
  <c r="DN102" i="23"/>
  <c r="DO102" i="23"/>
  <c r="DP102" i="23"/>
  <c r="DQ102" i="23"/>
  <c r="DR102" i="23"/>
  <c r="DS102" i="23"/>
  <c r="DT102" i="23"/>
  <c r="DU102" i="23"/>
  <c r="DV102" i="23"/>
  <c r="DW102" i="23"/>
  <c r="DX102" i="23"/>
  <c r="DY102" i="23"/>
  <c r="DZ102" i="23"/>
  <c r="EA102" i="23"/>
  <c r="EB102" i="23"/>
  <c r="EC102" i="23"/>
  <c r="ED102" i="23"/>
  <c r="EE102" i="23"/>
  <c r="EF102" i="23"/>
  <c r="EG102" i="23"/>
  <c r="EH102" i="23"/>
  <c r="EI102" i="23"/>
  <c r="EJ102" i="23"/>
  <c r="EK102" i="23"/>
  <c r="EL102" i="23"/>
  <c r="EM102" i="23"/>
  <c r="EN102" i="23"/>
  <c r="EO102" i="23"/>
  <c r="EP102" i="23"/>
  <c r="EQ102" i="23"/>
  <c r="ER102" i="23"/>
  <c r="ES102" i="23"/>
  <c r="ET102" i="23"/>
  <c r="EU102" i="23"/>
  <c r="EV102" i="23"/>
  <c r="EW102" i="23"/>
  <c r="EX102" i="23"/>
  <c r="EY102" i="23"/>
  <c r="EZ102" i="23"/>
  <c r="FA102" i="23"/>
  <c r="FB102" i="23"/>
  <c r="FC102" i="23"/>
  <c r="FD102" i="23"/>
  <c r="FE102" i="23"/>
  <c r="FF102" i="23"/>
  <c r="FG102" i="23"/>
  <c r="FH102" i="23"/>
  <c r="FI102" i="23"/>
  <c r="FJ102" i="23"/>
  <c r="FK102" i="23"/>
  <c r="FL102" i="23"/>
  <c r="FM102" i="23"/>
  <c r="FN102" i="23"/>
  <c r="FO102" i="23"/>
  <c r="FP102" i="23"/>
  <c r="FQ102" i="23"/>
  <c r="FR102" i="23"/>
  <c r="FS102" i="23"/>
  <c r="FT102" i="23"/>
  <c r="FU102" i="23"/>
  <c r="FV102" i="23"/>
  <c r="FW102" i="23"/>
  <c r="FX102" i="23"/>
  <c r="FY102" i="23"/>
  <c r="FZ102" i="23"/>
  <c r="GA102" i="23"/>
  <c r="GB102" i="23"/>
  <c r="GC102" i="23"/>
  <c r="GD102" i="23"/>
  <c r="F104" i="23"/>
  <c r="S104" i="23"/>
  <c r="T104" i="23"/>
  <c r="U104" i="23"/>
  <c r="V104" i="23"/>
  <c r="W104" i="23"/>
  <c r="X104" i="23"/>
  <c r="Y104" i="23"/>
  <c r="Z104" i="23"/>
  <c r="AA104" i="23"/>
  <c r="AB104" i="23"/>
  <c r="AC104" i="23"/>
  <c r="AD104" i="23"/>
  <c r="AE104" i="23"/>
  <c r="AF104" i="23"/>
  <c r="AG104" i="23"/>
  <c r="AH104" i="23"/>
  <c r="AI104" i="23"/>
  <c r="AJ104" i="23"/>
  <c r="AK104" i="23"/>
  <c r="AL104" i="23"/>
  <c r="AM104" i="23"/>
  <c r="AN104" i="23"/>
  <c r="AO104" i="23"/>
  <c r="AP104" i="23"/>
  <c r="AQ104" i="23"/>
  <c r="AR104" i="23"/>
  <c r="AS104" i="23"/>
  <c r="AT104" i="23"/>
  <c r="F105" i="23"/>
  <c r="S105" i="23"/>
  <c r="T105" i="23"/>
  <c r="U105" i="23"/>
  <c r="V105" i="23"/>
  <c r="W105" i="23"/>
  <c r="X105" i="23"/>
  <c r="Y105" i="23"/>
  <c r="Z105" i="23"/>
  <c r="AA105" i="23"/>
  <c r="AB105" i="23"/>
  <c r="AC105" i="23"/>
  <c r="AD105" i="23"/>
  <c r="AE105" i="23"/>
  <c r="AF105" i="23"/>
  <c r="AG105" i="23"/>
  <c r="AH105" i="23"/>
  <c r="AI105" i="23"/>
  <c r="AJ105" i="23"/>
  <c r="AK105" i="23"/>
  <c r="AL105" i="23"/>
  <c r="AM105" i="23"/>
  <c r="AN105" i="23"/>
  <c r="AO105" i="23"/>
  <c r="AP105" i="23"/>
  <c r="AQ105" i="23"/>
  <c r="AR105" i="23"/>
  <c r="AS105" i="23"/>
  <c r="AT105" i="23"/>
  <c r="AU105" i="23"/>
  <c r="AV105" i="23"/>
  <c r="AW105" i="23"/>
  <c r="AX105" i="23"/>
  <c r="AY105" i="23"/>
  <c r="AZ105" i="23"/>
  <c r="BA105" i="23"/>
  <c r="BB105" i="23"/>
  <c r="BC105" i="23"/>
  <c r="BD105" i="23"/>
  <c r="BE105" i="23"/>
  <c r="BF105" i="23"/>
  <c r="BG105" i="23"/>
  <c r="BH105" i="23"/>
  <c r="BI105" i="23"/>
  <c r="BJ105" i="23"/>
  <c r="BK105" i="23"/>
  <c r="BL105" i="23"/>
  <c r="BM105" i="23"/>
  <c r="BN105" i="23"/>
  <c r="BO105" i="23"/>
  <c r="BP105" i="23"/>
  <c r="BQ105" i="23"/>
  <c r="BR105" i="23"/>
  <c r="BS105" i="23"/>
  <c r="BT105" i="23"/>
  <c r="BU105" i="23"/>
  <c r="BV105" i="23"/>
  <c r="BW105" i="23"/>
  <c r="BX105" i="23"/>
  <c r="BY105" i="23"/>
  <c r="BZ105" i="23"/>
  <c r="CA105" i="23"/>
  <c r="CB105" i="23"/>
  <c r="CC105" i="23"/>
  <c r="CD105" i="23"/>
  <c r="CE105" i="23"/>
  <c r="CF105" i="23"/>
  <c r="CG105" i="23"/>
  <c r="CH105" i="23"/>
  <c r="CI105" i="23"/>
  <c r="CJ105" i="23"/>
  <c r="CK105" i="23"/>
  <c r="CL105" i="23"/>
  <c r="CM105" i="23"/>
  <c r="CN105" i="23"/>
  <c r="CO105" i="23"/>
  <c r="CP105" i="23"/>
  <c r="CQ105" i="23"/>
  <c r="CR105" i="23"/>
  <c r="CS105" i="23"/>
  <c r="CT105" i="23"/>
  <c r="CU105" i="23"/>
  <c r="CV105" i="23"/>
  <c r="CW105" i="23"/>
  <c r="CX105" i="23"/>
  <c r="CY105" i="23"/>
  <c r="CZ105" i="23"/>
  <c r="DA105" i="23"/>
  <c r="DB105" i="23"/>
  <c r="DC105" i="23"/>
  <c r="DD105" i="23"/>
  <c r="DE105" i="23"/>
  <c r="DF105" i="23"/>
  <c r="DG105" i="23"/>
  <c r="DH105" i="23"/>
  <c r="DI105" i="23"/>
  <c r="DJ105" i="23"/>
  <c r="DK105" i="23"/>
  <c r="DL105" i="23"/>
  <c r="DM105" i="23"/>
  <c r="DN105" i="23"/>
  <c r="DO105" i="23"/>
  <c r="DP105" i="23"/>
  <c r="DQ105" i="23"/>
  <c r="DR105" i="23"/>
  <c r="DS105" i="23"/>
  <c r="DT105" i="23"/>
  <c r="DU105" i="23"/>
  <c r="DV105" i="23"/>
  <c r="DW105" i="23"/>
  <c r="DX105" i="23"/>
  <c r="DY105" i="23"/>
  <c r="DZ105" i="23"/>
  <c r="EA105" i="23"/>
  <c r="EB105" i="23"/>
  <c r="EC105" i="23"/>
  <c r="ED105" i="23"/>
  <c r="EE105" i="23"/>
  <c r="EF105" i="23"/>
  <c r="EG105" i="23"/>
  <c r="EH105" i="23"/>
  <c r="EI105" i="23"/>
  <c r="EJ105" i="23"/>
  <c r="EK105" i="23"/>
  <c r="EL105" i="23"/>
  <c r="EM105" i="23"/>
  <c r="EN105" i="23"/>
  <c r="EO105" i="23"/>
  <c r="EP105" i="23"/>
  <c r="EQ105" i="23"/>
  <c r="ER105" i="23"/>
  <c r="ES105" i="23"/>
  <c r="ET105" i="23"/>
  <c r="EU105" i="23"/>
  <c r="EV105" i="23"/>
  <c r="EW105" i="23"/>
  <c r="EX105" i="23"/>
  <c r="EY105" i="23"/>
  <c r="EZ105" i="23"/>
  <c r="FA105" i="23"/>
  <c r="FB105" i="23"/>
  <c r="FC105" i="23"/>
  <c r="FD105" i="23"/>
  <c r="FE105" i="23"/>
  <c r="FF105" i="23"/>
  <c r="FG105" i="23"/>
  <c r="FH105" i="23"/>
  <c r="FI105" i="23"/>
  <c r="FJ105" i="23"/>
  <c r="FK105" i="23"/>
  <c r="FL105" i="23"/>
  <c r="FM105" i="23"/>
  <c r="FN105" i="23"/>
  <c r="FO105" i="23"/>
  <c r="FP105" i="23"/>
  <c r="FQ105" i="23"/>
  <c r="FR105" i="23"/>
  <c r="FS105" i="23"/>
  <c r="FT105" i="23"/>
  <c r="FU105" i="23"/>
  <c r="FV105" i="23"/>
  <c r="FW105" i="23"/>
  <c r="FX105" i="23"/>
  <c r="FY105" i="23"/>
  <c r="FZ105" i="23"/>
  <c r="GA105" i="23"/>
  <c r="GB105" i="23"/>
  <c r="GC105" i="23"/>
  <c r="GD105" i="23"/>
  <c r="S106" i="23"/>
  <c r="T106" i="23"/>
  <c r="U106" i="23"/>
  <c r="V106" i="23"/>
  <c r="W106" i="23"/>
  <c r="X106" i="23"/>
  <c r="Y106" i="23"/>
  <c r="Z106" i="23"/>
  <c r="AA106" i="23"/>
  <c r="AB106" i="23"/>
  <c r="AC106" i="23"/>
  <c r="AD106" i="23"/>
  <c r="AE106" i="23"/>
  <c r="AF106" i="23"/>
  <c r="AG106" i="23"/>
  <c r="AH106" i="23"/>
  <c r="AI106" i="23"/>
  <c r="AJ106" i="23"/>
  <c r="AK106" i="23"/>
  <c r="AL106" i="23"/>
  <c r="AM106" i="23"/>
  <c r="AN106" i="23"/>
  <c r="AO106" i="23"/>
  <c r="AP106" i="23"/>
  <c r="AQ106" i="23"/>
  <c r="AR106" i="23"/>
  <c r="AS106" i="23"/>
  <c r="AT106" i="23"/>
  <c r="F109" i="23"/>
  <c r="O109" i="23"/>
  <c r="P109" i="23"/>
  <c r="Q109" i="23"/>
  <c r="R109" i="23"/>
  <c r="S109" i="23"/>
  <c r="T109" i="23"/>
  <c r="U109" i="23"/>
  <c r="V109" i="23"/>
  <c r="W109" i="23"/>
  <c r="X109" i="23"/>
  <c r="Y109" i="23"/>
  <c r="Z109" i="23"/>
  <c r="AA109" i="23"/>
  <c r="AB109" i="23"/>
  <c r="AC109" i="23"/>
  <c r="AD109" i="23"/>
  <c r="AE109" i="23"/>
  <c r="AF109" i="23"/>
  <c r="AG109" i="23"/>
  <c r="AH109" i="23"/>
  <c r="AI109" i="23"/>
  <c r="AJ109" i="23"/>
  <c r="AK109" i="23"/>
  <c r="AL109" i="23"/>
  <c r="AM109" i="23"/>
  <c r="AN109" i="23"/>
  <c r="AO109" i="23"/>
  <c r="AP109" i="23"/>
  <c r="AQ109" i="23"/>
  <c r="AR109" i="23"/>
  <c r="AS109" i="23"/>
  <c r="AT109" i="23"/>
  <c r="AU109" i="23"/>
  <c r="AV109" i="23"/>
  <c r="AW109" i="23"/>
  <c r="AX109" i="23"/>
  <c r="AY109" i="23"/>
  <c r="AZ109" i="23"/>
  <c r="BA109" i="23"/>
  <c r="BB109" i="23"/>
  <c r="BC109" i="23"/>
  <c r="BD109" i="23"/>
  <c r="BE109" i="23"/>
  <c r="BF109" i="23"/>
  <c r="BG109" i="23"/>
  <c r="BH109" i="23"/>
  <c r="BI109" i="23"/>
  <c r="BJ109" i="23"/>
  <c r="BK109" i="23"/>
  <c r="BL109" i="23"/>
  <c r="BM109" i="23"/>
  <c r="BN109" i="23"/>
  <c r="BO109" i="23"/>
  <c r="BP109" i="23"/>
  <c r="BQ109" i="23"/>
  <c r="BR109" i="23"/>
  <c r="BS109" i="23"/>
  <c r="BT109" i="23"/>
  <c r="BU109" i="23"/>
  <c r="BV109" i="23"/>
  <c r="BW109" i="23"/>
  <c r="BX109" i="23"/>
  <c r="BY109" i="23"/>
  <c r="BZ109" i="23"/>
  <c r="CA109" i="23"/>
  <c r="CB109" i="23"/>
  <c r="CC109" i="23"/>
  <c r="CD109" i="23"/>
  <c r="CE109" i="23"/>
  <c r="CF109" i="23"/>
  <c r="CG109" i="23"/>
  <c r="CH109" i="23"/>
  <c r="CI109" i="23"/>
  <c r="CJ109" i="23"/>
  <c r="CK109" i="23"/>
  <c r="CL109" i="23"/>
  <c r="CM109" i="23"/>
  <c r="CN109" i="23"/>
  <c r="CO109" i="23"/>
  <c r="CP109" i="23"/>
  <c r="CQ109" i="23"/>
  <c r="CR109" i="23"/>
  <c r="CS109" i="23"/>
  <c r="CT109" i="23"/>
  <c r="CU109" i="23"/>
  <c r="CV109" i="23"/>
  <c r="CW109" i="23"/>
  <c r="CX109" i="23"/>
  <c r="CY109" i="23"/>
  <c r="CZ109" i="23"/>
  <c r="DA109" i="23"/>
  <c r="DB109" i="23"/>
  <c r="DC109" i="23"/>
  <c r="DD109" i="23"/>
  <c r="DE109" i="23"/>
  <c r="DF109" i="23"/>
  <c r="DG109" i="23"/>
  <c r="DH109" i="23"/>
  <c r="DI109" i="23"/>
  <c r="DJ109" i="23"/>
  <c r="DK109" i="23"/>
  <c r="DL109" i="23"/>
  <c r="DM109" i="23"/>
  <c r="DN109" i="23"/>
  <c r="DO109" i="23"/>
  <c r="DP109" i="23"/>
  <c r="DQ109" i="23"/>
  <c r="DR109" i="23"/>
  <c r="DS109" i="23"/>
  <c r="DT109" i="23"/>
  <c r="DU109" i="23"/>
  <c r="DV109" i="23"/>
  <c r="DW109" i="23"/>
  <c r="DX109" i="23"/>
  <c r="DY109" i="23"/>
  <c r="DZ109" i="23"/>
  <c r="EA109" i="23"/>
  <c r="EB109" i="23"/>
  <c r="EC109" i="23"/>
  <c r="ED109" i="23"/>
  <c r="EE109" i="23"/>
  <c r="EF109" i="23"/>
  <c r="EG109" i="23"/>
  <c r="EH109" i="23"/>
  <c r="EI109" i="23"/>
  <c r="EJ109" i="23"/>
  <c r="EK109" i="23"/>
  <c r="EL109" i="23"/>
  <c r="EM109" i="23"/>
  <c r="EN109" i="23"/>
  <c r="EO109" i="23"/>
  <c r="EP109" i="23"/>
  <c r="EQ109" i="23"/>
  <c r="ER109" i="23"/>
  <c r="ES109" i="23"/>
  <c r="ET109" i="23"/>
  <c r="EU109" i="23"/>
  <c r="EV109" i="23"/>
  <c r="EW109" i="23"/>
  <c r="EX109" i="23"/>
  <c r="EY109" i="23"/>
  <c r="EZ109" i="23"/>
  <c r="FA109" i="23"/>
  <c r="FB109" i="23"/>
  <c r="FC109" i="23"/>
  <c r="FD109" i="23"/>
  <c r="FE109" i="23"/>
  <c r="FF109" i="23"/>
  <c r="FG109" i="23"/>
  <c r="FH109" i="23"/>
  <c r="FI109" i="23"/>
  <c r="FJ109" i="23"/>
  <c r="FK109" i="23"/>
  <c r="FL109" i="23"/>
  <c r="FM109" i="23"/>
  <c r="FN109" i="23"/>
  <c r="FO109" i="23"/>
  <c r="FP109" i="23"/>
  <c r="FQ109" i="23"/>
  <c r="FR109" i="23"/>
  <c r="FS109" i="23"/>
  <c r="FT109" i="23"/>
  <c r="FU109" i="23"/>
  <c r="FV109" i="23"/>
  <c r="FW109" i="23"/>
  <c r="FX109" i="23"/>
  <c r="FY109" i="23"/>
  <c r="FZ109" i="23"/>
  <c r="GA109" i="23"/>
  <c r="GB109" i="23"/>
  <c r="GC109" i="23"/>
  <c r="GD109" i="23"/>
  <c r="F110" i="23"/>
  <c r="R110" i="23"/>
  <c r="V110" i="23"/>
  <c r="Z110" i="23"/>
  <c r="AD110" i="23"/>
  <c r="AH110" i="23"/>
  <c r="AL110" i="23"/>
  <c r="AP110" i="23"/>
  <c r="AT110" i="23"/>
  <c r="AX110" i="23"/>
  <c r="BB110" i="23"/>
  <c r="BF110" i="23"/>
  <c r="BJ110" i="23"/>
  <c r="BN110" i="23"/>
  <c r="BR110" i="23"/>
  <c r="BV110" i="23"/>
  <c r="BZ110" i="23"/>
  <c r="CD110" i="23"/>
  <c r="CH110" i="23"/>
  <c r="CL110" i="23"/>
  <c r="CP110" i="23"/>
  <c r="CT110" i="23"/>
  <c r="CX110" i="23"/>
  <c r="DB110" i="23"/>
  <c r="DF110" i="23"/>
  <c r="DJ110" i="23"/>
  <c r="DN110" i="23"/>
  <c r="DR110" i="23"/>
  <c r="DV110" i="23"/>
  <c r="DZ110" i="23"/>
  <c r="ED110" i="23"/>
  <c r="EH110" i="23"/>
  <c r="EL110" i="23"/>
  <c r="EP110" i="23"/>
  <c r="ET110" i="23"/>
  <c r="EX110" i="23"/>
  <c r="FB110" i="23"/>
  <c r="FF110" i="23"/>
  <c r="FJ110" i="23"/>
  <c r="FN110" i="23"/>
  <c r="FR110" i="23"/>
  <c r="FV110" i="23"/>
  <c r="FZ110" i="23"/>
  <c r="GD110" i="23"/>
  <c r="F111" i="23"/>
  <c r="O111" i="23"/>
  <c r="P111" i="23"/>
  <c r="Q111" i="23"/>
  <c r="R111" i="23"/>
  <c r="S111" i="23"/>
  <c r="T111" i="23"/>
  <c r="U111" i="23"/>
  <c r="V111" i="23"/>
  <c r="W111" i="23"/>
  <c r="X111" i="23"/>
  <c r="Y111" i="23"/>
  <c r="Z111" i="23"/>
  <c r="AA111" i="23"/>
  <c r="AB111" i="23"/>
  <c r="AC111" i="23"/>
  <c r="AD111" i="23"/>
  <c r="AE111" i="23"/>
  <c r="AF111" i="23"/>
  <c r="AG111" i="23"/>
  <c r="AH111" i="23"/>
  <c r="AI111" i="23"/>
  <c r="AJ111" i="23"/>
  <c r="AK111" i="23"/>
  <c r="AL111" i="23"/>
  <c r="AM111" i="23"/>
  <c r="AN111" i="23"/>
  <c r="AO111" i="23"/>
  <c r="AP111" i="23"/>
  <c r="AQ111" i="23"/>
  <c r="AR111" i="23"/>
  <c r="AS111" i="23"/>
  <c r="AT111" i="23"/>
  <c r="AU111" i="23"/>
  <c r="AV111" i="23"/>
  <c r="AW111" i="23"/>
  <c r="AX111" i="23"/>
  <c r="AY111" i="23"/>
  <c r="AZ111" i="23"/>
  <c r="BA111" i="23"/>
  <c r="BB111" i="23"/>
  <c r="BC111" i="23"/>
  <c r="BD111" i="23"/>
  <c r="BE111" i="23"/>
  <c r="BF111" i="23"/>
  <c r="BG111" i="23"/>
  <c r="BH111" i="23"/>
  <c r="BI111" i="23"/>
  <c r="BJ111" i="23"/>
  <c r="BK111" i="23"/>
  <c r="BL111" i="23"/>
  <c r="BM111" i="23"/>
  <c r="BN111" i="23"/>
  <c r="BO111" i="23"/>
  <c r="BP111" i="23"/>
  <c r="BQ111" i="23"/>
  <c r="BR111" i="23"/>
  <c r="BS111" i="23"/>
  <c r="BT111" i="23"/>
  <c r="BU111" i="23"/>
  <c r="BV111" i="23"/>
  <c r="BW111" i="23"/>
  <c r="BX111" i="23"/>
  <c r="BY111" i="23"/>
  <c r="BZ111" i="23"/>
  <c r="CA111" i="23"/>
  <c r="CB111" i="23"/>
  <c r="CC111" i="23"/>
  <c r="CD111" i="23"/>
  <c r="CE111" i="23"/>
  <c r="CF111" i="23"/>
  <c r="CG111" i="23"/>
  <c r="CH111" i="23"/>
  <c r="CI111" i="23"/>
  <c r="CJ111" i="23"/>
  <c r="CK111" i="23"/>
  <c r="CL111" i="23"/>
  <c r="CM111" i="23"/>
  <c r="CN111" i="23"/>
  <c r="CO111" i="23"/>
  <c r="CP111" i="23"/>
  <c r="CQ111" i="23"/>
  <c r="CR111" i="23"/>
  <c r="CS111" i="23"/>
  <c r="CT111" i="23"/>
  <c r="CU111" i="23"/>
  <c r="CV111" i="23"/>
  <c r="CW111" i="23"/>
  <c r="CX111" i="23"/>
  <c r="CY111" i="23"/>
  <c r="CZ111" i="23"/>
  <c r="DA111" i="23"/>
  <c r="DB111" i="23"/>
  <c r="DC111" i="23"/>
  <c r="DD111" i="23"/>
  <c r="DE111" i="23"/>
  <c r="DF111" i="23"/>
  <c r="DG111" i="23"/>
  <c r="DH111" i="23"/>
  <c r="DI111" i="23"/>
  <c r="DJ111" i="23"/>
  <c r="DK111" i="23"/>
  <c r="DL111" i="23"/>
  <c r="DM111" i="23"/>
  <c r="DN111" i="23"/>
  <c r="DO111" i="23"/>
  <c r="DP111" i="23"/>
  <c r="DQ111" i="23"/>
  <c r="DR111" i="23"/>
  <c r="DS111" i="23"/>
  <c r="DT111" i="23"/>
  <c r="DU111" i="23"/>
  <c r="DV111" i="23"/>
  <c r="DW111" i="23"/>
  <c r="DX111" i="23"/>
  <c r="DY111" i="23"/>
  <c r="DZ111" i="23"/>
  <c r="EA111" i="23"/>
  <c r="EB111" i="23"/>
  <c r="EC111" i="23"/>
  <c r="ED111" i="23"/>
  <c r="EE111" i="23"/>
  <c r="EF111" i="23"/>
  <c r="EG111" i="23"/>
  <c r="EH111" i="23"/>
  <c r="EI111" i="23"/>
  <c r="EJ111" i="23"/>
  <c r="EK111" i="23"/>
  <c r="EL111" i="23"/>
  <c r="EM111" i="23"/>
  <c r="EN111" i="23"/>
  <c r="EO111" i="23"/>
  <c r="EP111" i="23"/>
  <c r="EQ111" i="23"/>
  <c r="ER111" i="23"/>
  <c r="ES111" i="23"/>
  <c r="ET111" i="23"/>
  <c r="EU111" i="23"/>
  <c r="EV111" i="23"/>
  <c r="EW111" i="23"/>
  <c r="EX111" i="23"/>
  <c r="EY111" i="23"/>
  <c r="EZ111" i="23"/>
  <c r="FA111" i="23"/>
  <c r="FB111" i="23"/>
  <c r="FC111" i="23"/>
  <c r="FD111" i="23"/>
  <c r="FE111" i="23"/>
  <c r="FF111" i="23"/>
  <c r="FG111" i="23"/>
  <c r="FH111" i="23"/>
  <c r="FI111" i="23"/>
  <c r="FJ111" i="23"/>
  <c r="FK111" i="23"/>
  <c r="FL111" i="23"/>
  <c r="FM111" i="23"/>
  <c r="FN111" i="23"/>
  <c r="FO111" i="23"/>
  <c r="FP111" i="23"/>
  <c r="FQ111" i="23"/>
  <c r="FR111" i="23"/>
  <c r="FS111" i="23"/>
  <c r="FT111" i="23"/>
  <c r="FU111" i="23"/>
  <c r="FV111" i="23"/>
  <c r="FW111" i="23"/>
  <c r="FX111" i="23"/>
  <c r="FY111" i="23"/>
  <c r="FZ111" i="23"/>
  <c r="GA111" i="23"/>
  <c r="GB111" i="23"/>
  <c r="GC111" i="23"/>
  <c r="GD111" i="23"/>
  <c r="O112" i="23"/>
  <c r="P112" i="23"/>
  <c r="Q112" i="23"/>
  <c r="R112" i="23"/>
  <c r="S112" i="23"/>
  <c r="T112" i="23"/>
  <c r="U112" i="23"/>
  <c r="V112" i="23"/>
  <c r="W112" i="23"/>
  <c r="X112" i="23"/>
  <c r="Y112" i="23"/>
  <c r="Z112" i="23"/>
  <c r="AA112" i="23"/>
  <c r="AB112" i="23"/>
  <c r="AC112" i="23"/>
  <c r="AD112" i="23"/>
  <c r="AE112" i="23"/>
  <c r="AF112" i="23"/>
  <c r="AG112" i="23"/>
  <c r="AH112" i="23"/>
  <c r="AI112" i="23"/>
  <c r="AJ112" i="23"/>
  <c r="AK112" i="23"/>
  <c r="AL112" i="23"/>
  <c r="AM112" i="23"/>
  <c r="AN112" i="23"/>
  <c r="AO112" i="23"/>
  <c r="AP112" i="23"/>
  <c r="AQ112" i="23"/>
  <c r="AR112" i="23"/>
  <c r="AS112" i="23"/>
  <c r="AT112" i="23"/>
  <c r="AU112" i="23"/>
  <c r="AV112" i="23"/>
  <c r="AW112" i="23"/>
  <c r="AX112" i="23"/>
  <c r="AY112" i="23"/>
  <c r="AZ112" i="23"/>
  <c r="BA112" i="23"/>
  <c r="BB112" i="23"/>
  <c r="BC112" i="23"/>
  <c r="BD112" i="23"/>
  <c r="BE112" i="23"/>
  <c r="BF112" i="23"/>
  <c r="BG112" i="23"/>
  <c r="BH112" i="23"/>
  <c r="BI112" i="23"/>
  <c r="BJ112" i="23"/>
  <c r="BK112" i="23"/>
  <c r="BL112" i="23"/>
  <c r="BM112" i="23"/>
  <c r="BN112" i="23"/>
  <c r="BO112" i="23"/>
  <c r="BP112" i="23"/>
  <c r="BQ112" i="23"/>
  <c r="BR112" i="23"/>
  <c r="BS112" i="23"/>
  <c r="BT112" i="23"/>
  <c r="BU112" i="23"/>
  <c r="BV112" i="23"/>
  <c r="BW112" i="23"/>
  <c r="BX112" i="23"/>
  <c r="BY112" i="23"/>
  <c r="BZ112" i="23"/>
  <c r="CA112" i="23"/>
  <c r="CB112" i="23"/>
  <c r="CC112" i="23"/>
  <c r="CD112" i="23"/>
  <c r="CE112" i="23"/>
  <c r="CF112" i="23"/>
  <c r="CG112" i="23"/>
  <c r="CH112" i="23"/>
  <c r="CI112" i="23"/>
  <c r="CJ112" i="23"/>
  <c r="CK112" i="23"/>
  <c r="CL112" i="23"/>
  <c r="CM112" i="23"/>
  <c r="CN112" i="23"/>
  <c r="CO112" i="23"/>
  <c r="CP112" i="23"/>
  <c r="CQ112" i="23"/>
  <c r="CR112" i="23"/>
  <c r="CS112" i="23"/>
  <c r="CT112" i="23"/>
  <c r="CU112" i="23"/>
  <c r="CV112" i="23"/>
  <c r="CW112" i="23"/>
  <c r="CX112" i="23"/>
  <c r="CY112" i="23"/>
  <c r="CZ112" i="23"/>
  <c r="DA112" i="23"/>
  <c r="DB112" i="23"/>
  <c r="DC112" i="23"/>
  <c r="DD112" i="23"/>
  <c r="DE112" i="23"/>
  <c r="DF112" i="23"/>
  <c r="DG112" i="23"/>
  <c r="DH112" i="23"/>
  <c r="DI112" i="23"/>
  <c r="DJ112" i="23"/>
  <c r="DK112" i="23"/>
  <c r="DL112" i="23"/>
  <c r="DM112" i="23"/>
  <c r="DN112" i="23"/>
  <c r="DO112" i="23"/>
  <c r="DP112" i="23"/>
  <c r="DQ112" i="23"/>
  <c r="DR112" i="23"/>
  <c r="DS112" i="23"/>
  <c r="DT112" i="23"/>
  <c r="DU112" i="23"/>
  <c r="DV112" i="23"/>
  <c r="DW112" i="23"/>
  <c r="DX112" i="23"/>
  <c r="DY112" i="23"/>
  <c r="DZ112" i="23"/>
  <c r="EA112" i="23"/>
  <c r="EB112" i="23"/>
  <c r="EC112" i="23"/>
  <c r="ED112" i="23"/>
  <c r="EE112" i="23"/>
  <c r="EF112" i="23"/>
  <c r="EG112" i="23"/>
  <c r="EH112" i="23"/>
  <c r="EI112" i="23"/>
  <c r="EJ112" i="23"/>
  <c r="EK112" i="23"/>
  <c r="EL112" i="23"/>
  <c r="EM112" i="23"/>
  <c r="EN112" i="23"/>
  <c r="EO112" i="23"/>
  <c r="EP112" i="23"/>
  <c r="EQ112" i="23"/>
  <c r="ER112" i="23"/>
  <c r="ES112" i="23"/>
  <c r="ET112" i="23"/>
  <c r="EU112" i="23"/>
  <c r="EV112" i="23"/>
  <c r="EW112" i="23"/>
  <c r="EX112" i="23"/>
  <c r="EY112" i="23"/>
  <c r="EZ112" i="23"/>
  <c r="FA112" i="23"/>
  <c r="FB112" i="23"/>
  <c r="FC112" i="23"/>
  <c r="FD112" i="23"/>
  <c r="FE112" i="23"/>
  <c r="FF112" i="23"/>
  <c r="FG112" i="23"/>
  <c r="FH112" i="23"/>
  <c r="FI112" i="23"/>
  <c r="FJ112" i="23"/>
  <c r="FK112" i="23"/>
  <c r="FL112" i="23"/>
  <c r="FM112" i="23"/>
  <c r="FN112" i="23"/>
  <c r="FO112" i="23"/>
  <c r="FP112" i="23"/>
  <c r="FQ112" i="23"/>
  <c r="FR112" i="23"/>
  <c r="FS112" i="23"/>
  <c r="FT112" i="23"/>
  <c r="FU112" i="23"/>
  <c r="FV112" i="23"/>
  <c r="FW112" i="23"/>
  <c r="FX112" i="23"/>
  <c r="FY112" i="23"/>
  <c r="FZ112" i="23"/>
  <c r="GA112" i="23"/>
  <c r="GB112" i="23"/>
  <c r="GC112" i="23"/>
  <c r="GD112" i="23"/>
  <c r="O113" i="23"/>
  <c r="P113" i="23"/>
  <c r="Q113" i="23"/>
  <c r="R113" i="23"/>
  <c r="S113" i="23"/>
  <c r="T113" i="23"/>
  <c r="U113" i="23"/>
  <c r="V113" i="23"/>
  <c r="W113" i="23"/>
  <c r="X113" i="23"/>
  <c r="Y113" i="23"/>
  <c r="Z113" i="23"/>
  <c r="AA113" i="23"/>
  <c r="AB113" i="23"/>
  <c r="AC113" i="23"/>
  <c r="AD113" i="23"/>
  <c r="AE113" i="23"/>
  <c r="AF113" i="23"/>
  <c r="AG113" i="23"/>
  <c r="AH113" i="23"/>
  <c r="AI113" i="23"/>
  <c r="AJ113" i="23"/>
  <c r="AK113" i="23"/>
  <c r="AL113" i="23"/>
  <c r="AM113" i="23"/>
  <c r="AN113" i="23"/>
  <c r="AO113" i="23"/>
  <c r="AP113" i="23"/>
  <c r="AQ113" i="23"/>
  <c r="AR113" i="23"/>
  <c r="AS113" i="23"/>
  <c r="AT113" i="23"/>
  <c r="AU113" i="23"/>
  <c r="AV113" i="23"/>
  <c r="AW113" i="23"/>
  <c r="AX113" i="23"/>
  <c r="AY113" i="23"/>
  <c r="AZ113" i="23"/>
  <c r="BA113" i="23"/>
  <c r="BB113" i="23"/>
  <c r="BC113" i="23"/>
  <c r="BD113" i="23"/>
  <c r="BE113" i="23"/>
  <c r="BF113" i="23"/>
  <c r="BG113" i="23"/>
  <c r="BH113" i="23"/>
  <c r="BI113" i="23"/>
  <c r="BJ113" i="23"/>
  <c r="BK113" i="23"/>
  <c r="BL113" i="23"/>
  <c r="BM113" i="23"/>
  <c r="BN113" i="23"/>
  <c r="BO113" i="23"/>
  <c r="BP113" i="23"/>
  <c r="BQ113" i="23"/>
  <c r="BR113" i="23"/>
  <c r="BS113" i="23"/>
  <c r="BT113" i="23"/>
  <c r="BU113" i="23"/>
  <c r="BV113" i="23"/>
  <c r="BW113" i="23"/>
  <c r="BX113" i="23"/>
  <c r="BY113" i="23"/>
  <c r="BZ113" i="23"/>
  <c r="CA113" i="23"/>
  <c r="CB113" i="23"/>
  <c r="CC113" i="23"/>
  <c r="CD113" i="23"/>
  <c r="CE113" i="23"/>
  <c r="CF113" i="23"/>
  <c r="CG113" i="23"/>
  <c r="CH113" i="23"/>
  <c r="CI113" i="23"/>
  <c r="CJ113" i="23"/>
  <c r="CK113" i="23"/>
  <c r="CL113" i="23"/>
  <c r="CM113" i="23"/>
  <c r="CN113" i="23"/>
  <c r="CO113" i="23"/>
  <c r="CP113" i="23"/>
  <c r="CQ113" i="23"/>
  <c r="CR113" i="23"/>
  <c r="CS113" i="23"/>
  <c r="CT113" i="23"/>
  <c r="CU113" i="23"/>
  <c r="CV113" i="23"/>
  <c r="CW113" i="23"/>
  <c r="CX113" i="23"/>
  <c r="CY113" i="23"/>
  <c r="CZ113" i="23"/>
  <c r="DA113" i="23"/>
  <c r="DB113" i="23"/>
  <c r="DC113" i="23"/>
  <c r="DD113" i="23"/>
  <c r="DE113" i="23"/>
  <c r="DF113" i="23"/>
  <c r="DG113" i="23"/>
  <c r="DH113" i="23"/>
  <c r="DI113" i="23"/>
  <c r="DJ113" i="23"/>
  <c r="DK113" i="23"/>
  <c r="DL113" i="23"/>
  <c r="DM113" i="23"/>
  <c r="DN113" i="23"/>
  <c r="DO113" i="23"/>
  <c r="DP113" i="23"/>
  <c r="DQ113" i="23"/>
  <c r="DR113" i="23"/>
  <c r="DS113" i="23"/>
  <c r="DT113" i="23"/>
  <c r="DU113" i="23"/>
  <c r="DV113" i="23"/>
  <c r="DW113" i="23"/>
  <c r="DX113" i="23"/>
  <c r="DY113" i="23"/>
  <c r="DZ113" i="23"/>
  <c r="EA113" i="23"/>
  <c r="EB113" i="23"/>
  <c r="EC113" i="23"/>
  <c r="ED113" i="23"/>
  <c r="EE113" i="23"/>
  <c r="EF113" i="23"/>
  <c r="EG113" i="23"/>
  <c r="EH113" i="23"/>
  <c r="EI113" i="23"/>
  <c r="EJ113" i="23"/>
  <c r="EK113" i="23"/>
  <c r="EL113" i="23"/>
  <c r="EM113" i="23"/>
  <c r="EN113" i="23"/>
  <c r="EO113" i="23"/>
  <c r="EP113" i="23"/>
  <c r="EQ113" i="23"/>
  <c r="ER113" i="23"/>
  <c r="ES113" i="23"/>
  <c r="ET113" i="23"/>
  <c r="EU113" i="23"/>
  <c r="EV113" i="23"/>
  <c r="EW113" i="23"/>
  <c r="EX113" i="23"/>
  <c r="EY113" i="23"/>
  <c r="EZ113" i="23"/>
  <c r="FA113" i="23"/>
  <c r="FB113" i="23"/>
  <c r="FC113" i="23"/>
  <c r="FD113" i="23"/>
  <c r="FE113" i="23"/>
  <c r="FF113" i="23"/>
  <c r="FG113" i="23"/>
  <c r="FH113" i="23"/>
  <c r="FI113" i="23"/>
  <c r="FJ113" i="23"/>
  <c r="FK113" i="23"/>
  <c r="FL113" i="23"/>
  <c r="F114" i="23"/>
  <c r="O114" i="23"/>
  <c r="P114" i="23"/>
  <c r="Q114" i="23"/>
  <c r="R114" i="23"/>
  <c r="S114" i="23"/>
  <c r="T114" i="23"/>
  <c r="U114" i="23"/>
  <c r="V114" i="23"/>
  <c r="W114" i="23"/>
  <c r="X114" i="23"/>
  <c r="Y114" i="23"/>
  <c r="Z114" i="23"/>
  <c r="AA114" i="23"/>
  <c r="AB114" i="23"/>
  <c r="AC114" i="23"/>
  <c r="AD114" i="23"/>
  <c r="AE114" i="23"/>
  <c r="AF114" i="23"/>
  <c r="AG114" i="23"/>
  <c r="AH114" i="23"/>
  <c r="AI114" i="23"/>
  <c r="AJ114" i="23"/>
  <c r="AK114" i="23"/>
  <c r="AL114" i="23"/>
  <c r="AM114" i="23"/>
  <c r="AN114" i="23"/>
  <c r="AO114" i="23"/>
  <c r="AP114" i="23"/>
  <c r="AQ114" i="23"/>
  <c r="AR114" i="23"/>
  <c r="AS114" i="23"/>
  <c r="AT114" i="23"/>
  <c r="AU114" i="23"/>
  <c r="AV114" i="23"/>
  <c r="AW114" i="23"/>
  <c r="AX114" i="23"/>
  <c r="AY114" i="23"/>
  <c r="AZ114" i="23"/>
  <c r="BA114" i="23"/>
  <c r="BB114" i="23"/>
  <c r="BC114" i="23"/>
  <c r="BD114" i="23"/>
  <c r="BE114" i="23"/>
  <c r="BF114" i="23"/>
  <c r="BG114" i="23"/>
  <c r="BH114" i="23"/>
  <c r="BI114" i="23"/>
  <c r="BJ114" i="23"/>
  <c r="BK114" i="23"/>
  <c r="BL114" i="23"/>
  <c r="BM114" i="23"/>
  <c r="BN114" i="23"/>
  <c r="BO114" i="23"/>
  <c r="BP114" i="23"/>
  <c r="BQ114" i="23"/>
  <c r="BR114" i="23"/>
  <c r="BS114" i="23"/>
  <c r="BT114" i="23"/>
  <c r="BU114" i="23"/>
  <c r="BV114" i="23"/>
  <c r="BW114" i="23"/>
  <c r="BX114" i="23"/>
  <c r="BY114" i="23"/>
  <c r="BZ114" i="23"/>
  <c r="CA114" i="23"/>
  <c r="CB114" i="23"/>
  <c r="CC114" i="23"/>
  <c r="CD114" i="23"/>
  <c r="CE114" i="23"/>
  <c r="CF114" i="23"/>
  <c r="CG114" i="23"/>
  <c r="CH114" i="23"/>
  <c r="CI114" i="23"/>
  <c r="CJ114" i="23"/>
  <c r="CK114" i="23"/>
  <c r="CL114" i="23"/>
  <c r="CM114" i="23"/>
  <c r="CN114" i="23"/>
  <c r="CO114" i="23"/>
  <c r="CP114" i="23"/>
  <c r="CQ114" i="23"/>
  <c r="CR114" i="23"/>
  <c r="CS114" i="23"/>
  <c r="CT114" i="23"/>
  <c r="CU114" i="23"/>
  <c r="CV114" i="23"/>
  <c r="CW114" i="23"/>
  <c r="CX114" i="23"/>
  <c r="CY114" i="23"/>
  <c r="CZ114" i="23"/>
  <c r="DA114" i="23"/>
  <c r="DB114" i="23"/>
  <c r="DC114" i="23"/>
  <c r="DD114" i="23"/>
  <c r="DE114" i="23"/>
  <c r="DF114" i="23"/>
  <c r="DG114" i="23"/>
  <c r="DH114" i="23"/>
  <c r="DI114" i="23"/>
  <c r="DJ114" i="23"/>
  <c r="DK114" i="23"/>
  <c r="DL114" i="23"/>
  <c r="DM114" i="23"/>
  <c r="DN114" i="23"/>
  <c r="DO114" i="23"/>
  <c r="DP114" i="23"/>
  <c r="DQ114" i="23"/>
  <c r="DR114" i="23"/>
  <c r="DS114" i="23"/>
  <c r="DT114" i="23"/>
  <c r="DU114" i="23"/>
  <c r="DV114" i="23"/>
  <c r="DW114" i="23"/>
  <c r="DX114" i="23"/>
  <c r="DY114" i="23"/>
  <c r="DZ114" i="23"/>
  <c r="EA114" i="23"/>
  <c r="EB114" i="23"/>
  <c r="EC114" i="23"/>
  <c r="ED114" i="23"/>
  <c r="EE114" i="23"/>
  <c r="EF114" i="23"/>
  <c r="EG114" i="23"/>
  <c r="EH114" i="23"/>
  <c r="EI114" i="23"/>
  <c r="EJ114" i="23"/>
  <c r="EK114" i="23"/>
  <c r="EL114" i="23"/>
  <c r="EM114" i="23"/>
  <c r="EN114" i="23"/>
  <c r="EO114" i="23"/>
  <c r="EP114" i="23"/>
  <c r="EQ114" i="23"/>
  <c r="ER114" i="23"/>
  <c r="ES114" i="23"/>
  <c r="ET114" i="23"/>
  <c r="EU114" i="23"/>
  <c r="EV114" i="23"/>
  <c r="EW114" i="23"/>
  <c r="EX114" i="23"/>
  <c r="EY114" i="23"/>
  <c r="EZ114" i="23"/>
  <c r="FA114" i="23"/>
  <c r="FB114" i="23"/>
  <c r="FC114" i="23"/>
  <c r="FD114" i="23"/>
  <c r="FE114" i="23"/>
  <c r="FF114" i="23"/>
  <c r="FG114" i="23"/>
  <c r="FH114" i="23"/>
  <c r="FI114" i="23"/>
  <c r="FJ114" i="23"/>
  <c r="FK114" i="23"/>
  <c r="F117" i="23"/>
  <c r="R117" i="23"/>
  <c r="V117" i="23"/>
  <c r="Z117" i="23"/>
  <c r="AD117" i="23"/>
  <c r="AH117" i="23"/>
  <c r="AL117" i="23"/>
  <c r="AP117" i="23"/>
  <c r="AT117" i="23"/>
  <c r="AX117" i="23"/>
  <c r="BB117" i="23"/>
  <c r="BF117" i="23"/>
  <c r="BJ117" i="23"/>
  <c r="BN117" i="23"/>
  <c r="BR117" i="23"/>
  <c r="BV117" i="23"/>
  <c r="BZ117" i="23"/>
  <c r="CD117" i="23"/>
  <c r="CH117" i="23"/>
  <c r="CL117" i="23"/>
  <c r="CP117" i="23"/>
  <c r="CT117" i="23"/>
  <c r="CX117" i="23"/>
  <c r="DB117" i="23"/>
  <c r="DF117" i="23"/>
  <c r="DJ117" i="23"/>
  <c r="DN117" i="23"/>
  <c r="DR117" i="23"/>
  <c r="DV117" i="23"/>
  <c r="DZ117" i="23"/>
  <c r="ED117" i="23"/>
  <c r="EH117" i="23"/>
  <c r="EL117" i="23"/>
  <c r="EP117" i="23"/>
  <c r="ET117" i="23"/>
  <c r="EX117" i="23"/>
  <c r="FB117" i="23"/>
  <c r="FF117" i="23"/>
  <c r="FJ117" i="23"/>
  <c r="FN117" i="23"/>
  <c r="FR117" i="23"/>
  <c r="FV117" i="23"/>
  <c r="FZ117" i="23"/>
  <c r="GD117" i="23"/>
  <c r="F119" i="23"/>
  <c r="R119" i="23"/>
  <c r="V119" i="23"/>
  <c r="Z119" i="23"/>
  <c r="AD119" i="23"/>
  <c r="AH119" i="23"/>
  <c r="AL119" i="23"/>
  <c r="AP119" i="23"/>
  <c r="AT119" i="23"/>
  <c r="AX119" i="23"/>
  <c r="BB119" i="23"/>
  <c r="BF119" i="23"/>
  <c r="BJ119" i="23"/>
  <c r="BN119" i="23"/>
  <c r="BR119" i="23"/>
  <c r="BV119" i="23"/>
  <c r="BZ119" i="23"/>
  <c r="CD119" i="23"/>
  <c r="CH119" i="23"/>
  <c r="CL119" i="23"/>
  <c r="CP119" i="23"/>
  <c r="CT119" i="23"/>
  <c r="CX119" i="23"/>
  <c r="DB119" i="23"/>
  <c r="DF119" i="23"/>
  <c r="DJ119" i="23"/>
  <c r="DN119" i="23"/>
  <c r="DR119" i="23"/>
  <c r="DV119" i="23"/>
  <c r="DZ119" i="23"/>
  <c r="ED119" i="23"/>
  <c r="EH119" i="23"/>
  <c r="EL119" i="23"/>
  <c r="EP119" i="23"/>
  <c r="ET119" i="23"/>
  <c r="EX119" i="23"/>
  <c r="FB119" i="23"/>
  <c r="FF119" i="23"/>
  <c r="FJ119" i="23"/>
  <c r="FN119" i="23"/>
  <c r="FR119" i="23"/>
  <c r="FV119" i="23"/>
  <c r="FZ119" i="23"/>
  <c r="GD119" i="23"/>
  <c r="F120" i="23"/>
  <c r="R120" i="23"/>
  <c r="V120" i="23"/>
  <c r="Z120" i="23"/>
  <c r="AD120" i="23"/>
  <c r="AH120" i="23"/>
  <c r="AL120" i="23"/>
  <c r="AP120" i="23"/>
  <c r="AT120" i="23"/>
  <c r="AX120" i="23"/>
  <c r="BB120" i="23"/>
  <c r="BF120" i="23"/>
  <c r="BJ120" i="23"/>
  <c r="BN120" i="23"/>
  <c r="BR120" i="23"/>
  <c r="BV120" i="23"/>
  <c r="BZ120" i="23"/>
  <c r="CD120" i="23"/>
  <c r="CH120" i="23"/>
  <c r="CL120" i="23"/>
  <c r="CP120" i="23"/>
  <c r="CT120" i="23"/>
  <c r="CX120" i="23"/>
  <c r="DB120" i="23"/>
  <c r="DF120" i="23"/>
  <c r="DJ120" i="23"/>
  <c r="DN120" i="23"/>
  <c r="DR120" i="23"/>
  <c r="DV120" i="23"/>
  <c r="DZ120" i="23"/>
  <c r="ED120" i="23"/>
  <c r="EH120" i="23"/>
  <c r="EL120" i="23"/>
  <c r="EP120" i="23"/>
  <c r="ET120" i="23"/>
  <c r="EX120" i="23"/>
  <c r="FB120" i="23"/>
  <c r="FF120" i="23"/>
  <c r="FJ120" i="23"/>
  <c r="FN120" i="23"/>
  <c r="FR120" i="23"/>
  <c r="FV120" i="23"/>
  <c r="FZ120" i="23"/>
  <c r="GD120" i="23"/>
  <c r="F121" i="23"/>
  <c r="R121" i="23"/>
  <c r="V121" i="23"/>
  <c r="Z121" i="23"/>
  <c r="AD121" i="23"/>
  <c r="AH121" i="23"/>
  <c r="AL121" i="23"/>
  <c r="AP121" i="23"/>
  <c r="AT121" i="23"/>
  <c r="AX121" i="23"/>
  <c r="BB121" i="23"/>
  <c r="BF121" i="23"/>
  <c r="BJ121" i="23"/>
  <c r="BN121" i="23"/>
  <c r="BR121" i="23"/>
  <c r="BV121" i="23"/>
  <c r="BZ121" i="23"/>
  <c r="CD121" i="23"/>
  <c r="CH121" i="23"/>
  <c r="CL121" i="23"/>
  <c r="CP121" i="23"/>
  <c r="CT121" i="23"/>
  <c r="CX121" i="23"/>
  <c r="DB121" i="23"/>
  <c r="DF121" i="23"/>
  <c r="DJ121" i="23"/>
  <c r="DN121" i="23"/>
  <c r="DR121" i="23"/>
  <c r="DV121" i="23"/>
  <c r="DZ121" i="23"/>
  <c r="ED121" i="23"/>
  <c r="EH121" i="23"/>
  <c r="EL121" i="23"/>
  <c r="EP121" i="23"/>
  <c r="ET121" i="23"/>
  <c r="EX121" i="23"/>
  <c r="FB121" i="23"/>
  <c r="FF121" i="23"/>
  <c r="FJ121" i="23"/>
  <c r="FN121" i="23"/>
  <c r="FR121" i="23"/>
  <c r="FV121" i="23"/>
  <c r="FZ121" i="23"/>
  <c r="GD121" i="23"/>
  <c r="E94" i="5"/>
  <c r="E95" i="5"/>
  <c r="E96" i="5"/>
  <c r="E111" i="5"/>
  <c r="E116" i="5"/>
  <c r="E117" i="5"/>
  <c r="E118" i="5"/>
  <c r="E119" i="5"/>
  <c r="E120" i="5"/>
  <c r="E121" i="5"/>
  <c r="E122" i="5"/>
  <c r="E123" i="5"/>
  <c r="E124" i="5"/>
  <c r="E126" i="5"/>
  <c r="E127" i="5"/>
  <c r="E131" i="5"/>
  <c r="E132" i="5"/>
  <c r="E133" i="5"/>
  <c r="E134" i="5"/>
  <c r="E135" i="5"/>
  <c r="E136" i="5"/>
  <c r="E137" i="5"/>
  <c r="E138" i="5"/>
  <c r="E139" i="5"/>
  <c r="H9" i="22"/>
  <c r="I9" i="22"/>
  <c r="J9" i="22"/>
  <c r="K9" i="22"/>
  <c r="L9" i="22"/>
  <c r="M9" i="22"/>
  <c r="N9" i="22"/>
  <c r="O9" i="22"/>
  <c r="P9" i="22"/>
  <c r="Q9" i="22"/>
  <c r="R9" i="22"/>
  <c r="S9" i="22"/>
  <c r="T9" i="22"/>
  <c r="U9" i="22"/>
  <c r="V9" i="22"/>
  <c r="W9" i="22"/>
  <c r="X9" i="22"/>
  <c r="Y9" i="22"/>
  <c r="Z9" i="22"/>
  <c r="AA9" i="22"/>
  <c r="AB9" i="22"/>
  <c r="AC9" i="22"/>
  <c r="AD9" i="22"/>
  <c r="AE9" i="22"/>
  <c r="AF9" i="22"/>
  <c r="AG9" i="22"/>
  <c r="AH9" i="22"/>
  <c r="AI9" i="22"/>
  <c r="AJ9" i="22"/>
  <c r="AK9" i="22"/>
  <c r="AL9" i="22"/>
  <c r="AM9" i="22"/>
  <c r="AN9" i="22"/>
  <c r="AO9" i="22"/>
  <c r="AP9" i="22"/>
  <c r="AQ9" i="22"/>
  <c r="AR9" i="22"/>
  <c r="AS9" i="22"/>
  <c r="H11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U11" i="22"/>
  <c r="V11" i="22"/>
  <c r="W11" i="22"/>
  <c r="X11" i="22"/>
  <c r="Y11" i="22"/>
  <c r="Z11" i="22"/>
  <c r="AA11" i="22"/>
  <c r="AB11" i="22"/>
  <c r="AC11" i="22"/>
  <c r="AD11" i="22"/>
  <c r="AE11" i="22"/>
  <c r="AF11" i="22"/>
  <c r="AG11" i="22"/>
  <c r="AH11" i="22"/>
  <c r="AI11" i="22"/>
  <c r="AJ11" i="22"/>
  <c r="AK11" i="22"/>
  <c r="AL11" i="22"/>
  <c r="AM11" i="22"/>
  <c r="AN11" i="22"/>
  <c r="AO11" i="22"/>
  <c r="AP11" i="22"/>
  <c r="AQ11" i="22"/>
  <c r="AR11" i="22"/>
  <c r="AS11" i="22"/>
  <c r="AT11" i="22"/>
  <c r="F12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U12" i="22"/>
  <c r="V12" i="22"/>
  <c r="W12" i="22"/>
  <c r="X12" i="22"/>
  <c r="Y12" i="22"/>
  <c r="Z12" i="22"/>
  <c r="AA12" i="22"/>
  <c r="AB12" i="22"/>
  <c r="AC12" i="22"/>
  <c r="AD12" i="22"/>
  <c r="AE12" i="22"/>
  <c r="AF12" i="22"/>
  <c r="AG12" i="22"/>
  <c r="AH12" i="22"/>
  <c r="AI12" i="22"/>
  <c r="AJ12" i="22"/>
  <c r="AK12" i="22"/>
  <c r="AL12" i="22"/>
  <c r="AM12" i="22"/>
  <c r="AN12" i="22"/>
  <c r="AO12" i="22"/>
  <c r="AP12" i="22"/>
  <c r="AQ12" i="22"/>
  <c r="AR12" i="22"/>
  <c r="AS12" i="22"/>
  <c r="AT12" i="22"/>
  <c r="F14" i="22"/>
  <c r="H14" i="22"/>
  <c r="M14" i="22"/>
  <c r="N14" i="22"/>
  <c r="O14" i="22"/>
  <c r="P14" i="22"/>
  <c r="Q14" i="22"/>
  <c r="R14" i="22"/>
  <c r="S14" i="22"/>
  <c r="T14" i="22"/>
  <c r="U14" i="22"/>
  <c r="V14" i="22"/>
  <c r="W14" i="22"/>
  <c r="X14" i="22"/>
  <c r="Y14" i="22"/>
  <c r="Z14" i="22"/>
  <c r="AA14" i="22"/>
  <c r="AB14" i="22"/>
  <c r="AC14" i="22"/>
  <c r="AD14" i="22"/>
  <c r="AE14" i="22"/>
  <c r="AF14" i="22"/>
  <c r="AG14" i="22"/>
  <c r="AH14" i="22"/>
  <c r="AI14" i="22"/>
  <c r="AJ14" i="22"/>
  <c r="AK14" i="22"/>
  <c r="AL14" i="22"/>
  <c r="AM14" i="22"/>
  <c r="AN14" i="22"/>
  <c r="AO14" i="22"/>
  <c r="AP14" i="22"/>
  <c r="AQ14" i="22"/>
  <c r="AR14" i="22"/>
  <c r="AS14" i="22"/>
  <c r="AT14" i="22"/>
  <c r="H15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U15" i="22"/>
  <c r="V15" i="22"/>
  <c r="W15" i="22"/>
  <c r="X15" i="22"/>
  <c r="Y15" i="22"/>
  <c r="Z15" i="22"/>
  <c r="AA15" i="22"/>
  <c r="AB15" i="22"/>
  <c r="AC15" i="22"/>
  <c r="AD15" i="22"/>
  <c r="AE15" i="22"/>
  <c r="AF15" i="22"/>
  <c r="AG15" i="22"/>
  <c r="AH15" i="22"/>
  <c r="AI15" i="22"/>
  <c r="AJ15" i="22"/>
  <c r="AK15" i="22"/>
  <c r="AL15" i="22"/>
  <c r="AM15" i="22"/>
  <c r="AN15" i="22"/>
  <c r="AO15" i="22"/>
  <c r="AP15" i="22"/>
  <c r="AQ15" i="22"/>
  <c r="AR15" i="22"/>
  <c r="AS15" i="22"/>
  <c r="AT15" i="22"/>
  <c r="AU15" i="22"/>
  <c r="AV15" i="22"/>
  <c r="AW15" i="22"/>
  <c r="AX15" i="22"/>
  <c r="AY15" i="22"/>
  <c r="F16" i="22"/>
  <c r="H16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U16" i="22"/>
  <c r="V16" i="22"/>
  <c r="W16" i="22"/>
  <c r="X16" i="22"/>
  <c r="Y16" i="22"/>
  <c r="Z16" i="22"/>
  <c r="AA16" i="22"/>
  <c r="AB16" i="22"/>
  <c r="AC16" i="22"/>
  <c r="AD16" i="22"/>
  <c r="AE16" i="22"/>
  <c r="AF16" i="22"/>
  <c r="AG16" i="22"/>
  <c r="AH16" i="22"/>
  <c r="AI16" i="22"/>
  <c r="AJ16" i="22"/>
  <c r="AK16" i="22"/>
  <c r="AL16" i="22"/>
  <c r="AM16" i="22"/>
  <c r="AN16" i="22"/>
  <c r="AO16" i="22"/>
  <c r="AP16" i="22"/>
  <c r="AQ16" i="22"/>
  <c r="AR16" i="22"/>
  <c r="AS16" i="22"/>
  <c r="AT16" i="22"/>
  <c r="AU16" i="22"/>
  <c r="AV16" i="22"/>
  <c r="AW16" i="22"/>
  <c r="AX16" i="22"/>
  <c r="AY16" i="22"/>
  <c r="F17" i="22"/>
  <c r="H17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U17" i="22"/>
  <c r="V17" i="22"/>
  <c r="W17" i="22"/>
  <c r="X17" i="22"/>
  <c r="Y17" i="22"/>
  <c r="Z17" i="22"/>
  <c r="AA17" i="22"/>
  <c r="AB17" i="22"/>
  <c r="AC17" i="22"/>
  <c r="AD17" i="22"/>
  <c r="AE17" i="22"/>
  <c r="AF17" i="22"/>
  <c r="AG17" i="22"/>
  <c r="AH17" i="22"/>
  <c r="AI17" i="22"/>
  <c r="AJ17" i="22"/>
  <c r="AK17" i="22"/>
  <c r="AL17" i="22"/>
  <c r="AM17" i="22"/>
  <c r="AN17" i="22"/>
  <c r="AO17" i="22"/>
  <c r="AP17" i="22"/>
  <c r="AQ17" i="22"/>
  <c r="AR17" i="22"/>
  <c r="AS17" i="22"/>
  <c r="AT17" i="22"/>
  <c r="AU17" i="22"/>
  <c r="AV17" i="22"/>
  <c r="AW17" i="22"/>
  <c r="AX17" i="22"/>
  <c r="AY17" i="22"/>
  <c r="F18" i="22"/>
  <c r="H18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U18" i="22"/>
  <c r="V18" i="22"/>
  <c r="W18" i="22"/>
  <c r="X18" i="22"/>
  <c r="Y18" i="22"/>
  <c r="Z18" i="22"/>
  <c r="AA18" i="22"/>
  <c r="AB18" i="22"/>
  <c r="AC18" i="22"/>
  <c r="AD18" i="22"/>
  <c r="AE18" i="22"/>
  <c r="AF18" i="22"/>
  <c r="AG18" i="22"/>
  <c r="AH18" i="22"/>
  <c r="AI18" i="22"/>
  <c r="AJ18" i="22"/>
  <c r="AK18" i="22"/>
  <c r="AL18" i="22"/>
  <c r="AM18" i="22"/>
  <c r="AN18" i="22"/>
  <c r="AO18" i="22"/>
  <c r="AP18" i="22"/>
  <c r="AQ18" i="22"/>
  <c r="AR18" i="22"/>
  <c r="AS18" i="22"/>
  <c r="AT18" i="22"/>
  <c r="AU18" i="22"/>
  <c r="AV18" i="22"/>
  <c r="AW18" i="22"/>
  <c r="AX18" i="22"/>
  <c r="AY18" i="22"/>
  <c r="F19" i="22"/>
  <c r="H19" i="22"/>
  <c r="I19" i="22"/>
  <c r="J19" i="22"/>
  <c r="K19" i="22"/>
  <c r="L19" i="22"/>
  <c r="M19" i="22"/>
  <c r="N19" i="22"/>
  <c r="O19" i="22"/>
  <c r="P19" i="22"/>
  <c r="Q19" i="22"/>
  <c r="R19" i="22"/>
  <c r="S19" i="22"/>
  <c r="T19" i="22"/>
  <c r="U19" i="22"/>
  <c r="V19" i="22"/>
  <c r="W19" i="22"/>
  <c r="X19" i="22"/>
  <c r="Y19" i="22"/>
  <c r="Z19" i="22"/>
  <c r="AA19" i="22"/>
  <c r="AB19" i="22"/>
  <c r="AC19" i="22"/>
  <c r="AD19" i="22"/>
  <c r="AE19" i="22"/>
  <c r="AF19" i="22"/>
  <c r="AG19" i="22"/>
  <c r="AH19" i="22"/>
  <c r="AI19" i="22"/>
  <c r="AJ19" i="22"/>
  <c r="AK19" i="22"/>
  <c r="AL19" i="22"/>
  <c r="AM19" i="22"/>
  <c r="AN19" i="22"/>
  <c r="AO19" i="22"/>
  <c r="AP19" i="22"/>
  <c r="AQ19" i="22"/>
  <c r="AR19" i="22"/>
  <c r="AS19" i="22"/>
  <c r="AT19" i="22"/>
  <c r="AU19" i="22"/>
  <c r="AV19" i="22"/>
  <c r="AW19" i="22"/>
  <c r="AX19" i="22"/>
  <c r="H20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AA20" i="22"/>
  <c r="AB20" i="22"/>
  <c r="AC20" i="22"/>
  <c r="AD20" i="22"/>
  <c r="AE20" i="22"/>
  <c r="AF20" i="22"/>
  <c r="AG20" i="22"/>
  <c r="AH20" i="22"/>
  <c r="AI20" i="22"/>
  <c r="AJ20" i="22"/>
  <c r="AK20" i="22"/>
  <c r="AL20" i="22"/>
  <c r="AM20" i="22"/>
  <c r="AN20" i="22"/>
  <c r="AO20" i="22"/>
  <c r="AP20" i="22"/>
  <c r="AQ20" i="22"/>
  <c r="AR20" i="22"/>
  <c r="AS20" i="22"/>
  <c r="AT20" i="22"/>
  <c r="I24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AB24" i="22"/>
  <c r="AC24" i="22"/>
  <c r="AD24" i="22"/>
  <c r="AE24" i="22"/>
  <c r="AF24" i="22"/>
  <c r="AG24" i="22"/>
  <c r="AH24" i="22"/>
  <c r="AI24" i="22"/>
  <c r="AJ24" i="22"/>
  <c r="AK24" i="22"/>
  <c r="AL24" i="22"/>
  <c r="AM24" i="22"/>
  <c r="AN24" i="22"/>
  <c r="AO24" i="22"/>
  <c r="AP24" i="22"/>
  <c r="AQ24" i="22"/>
  <c r="AR24" i="22"/>
  <c r="AS24" i="22"/>
  <c r="AT24" i="22"/>
  <c r="AU24" i="22"/>
  <c r="AV24" i="22"/>
  <c r="AW24" i="22"/>
  <c r="AX24" i="22"/>
  <c r="AY24" i="22"/>
  <c r="F26" i="22"/>
  <c r="H26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A26" i="22"/>
  <c r="AB26" i="22"/>
  <c r="AC26" i="22"/>
  <c r="AD26" i="22"/>
  <c r="AE26" i="22"/>
  <c r="AF26" i="22"/>
  <c r="AG26" i="22"/>
  <c r="AH26" i="22"/>
  <c r="AI26" i="22"/>
  <c r="AJ26" i="22"/>
  <c r="AK26" i="22"/>
  <c r="AL26" i="22"/>
  <c r="AM26" i="22"/>
  <c r="AN26" i="22"/>
  <c r="AO26" i="22"/>
  <c r="AP26" i="22"/>
  <c r="AQ26" i="22"/>
  <c r="AR26" i="22"/>
  <c r="AS26" i="22"/>
  <c r="AT26" i="22"/>
  <c r="AU26" i="22"/>
  <c r="AV26" i="22"/>
  <c r="AW26" i="22"/>
  <c r="AX26" i="22"/>
  <c r="AY26" i="22"/>
  <c r="H27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U27" i="22"/>
  <c r="V27" i="22"/>
  <c r="W27" i="22"/>
  <c r="X27" i="22"/>
  <c r="Y27" i="22"/>
  <c r="Z27" i="22"/>
  <c r="AA27" i="22"/>
  <c r="AB27" i="22"/>
  <c r="AC27" i="22"/>
  <c r="AD27" i="22"/>
  <c r="AE27" i="22"/>
  <c r="AF27" i="22"/>
  <c r="AG27" i="22"/>
  <c r="AH27" i="22"/>
  <c r="AI27" i="22"/>
  <c r="AJ27" i="22"/>
  <c r="AK27" i="22"/>
  <c r="AL27" i="22"/>
  <c r="AM27" i="22"/>
  <c r="AN27" i="22"/>
  <c r="AO27" i="22"/>
  <c r="AP27" i="22"/>
  <c r="AQ27" i="22"/>
  <c r="AR27" i="22"/>
  <c r="AS27" i="22"/>
  <c r="AT27" i="22"/>
  <c r="AU27" i="22"/>
  <c r="AV27" i="22"/>
  <c r="AW27" i="22"/>
  <c r="AX27" i="22"/>
  <c r="AY27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A31" i="22"/>
  <c r="AB31" i="22"/>
  <c r="AC31" i="22"/>
  <c r="AD31" i="22"/>
  <c r="AE31" i="22"/>
  <c r="AF31" i="22"/>
  <c r="AG31" i="22"/>
  <c r="AH31" i="22"/>
  <c r="AI31" i="22"/>
  <c r="AJ31" i="22"/>
  <c r="AK31" i="22"/>
  <c r="AL31" i="22"/>
  <c r="AM31" i="22"/>
  <c r="AN31" i="22"/>
  <c r="AO31" i="22"/>
  <c r="AP31" i="22"/>
  <c r="AQ31" i="22"/>
  <c r="AR31" i="22"/>
  <c r="AS31" i="22"/>
  <c r="AT31" i="22"/>
  <c r="AU31" i="22"/>
  <c r="AV31" i="22"/>
  <c r="AW31" i="22"/>
  <c r="H32" i="22"/>
  <c r="I32" i="22"/>
  <c r="J32" i="22"/>
  <c r="K32" i="22"/>
  <c r="L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Y32" i="22"/>
  <c r="Z32" i="22"/>
  <c r="AA32" i="22"/>
  <c r="AB32" i="22"/>
  <c r="AC32" i="22"/>
  <c r="AD32" i="22"/>
  <c r="AE32" i="22"/>
  <c r="AF32" i="22"/>
  <c r="AG32" i="22"/>
  <c r="AH32" i="22"/>
  <c r="AI32" i="22"/>
  <c r="AJ32" i="22"/>
  <c r="AK32" i="22"/>
  <c r="AL32" i="22"/>
  <c r="AM32" i="22"/>
  <c r="AN32" i="22"/>
  <c r="AO32" i="22"/>
  <c r="AP32" i="22"/>
  <c r="AQ32" i="22"/>
  <c r="AR32" i="22"/>
  <c r="AS32" i="22"/>
  <c r="AT32" i="22"/>
  <c r="AU32" i="22"/>
  <c r="AV32" i="22"/>
  <c r="AW32" i="22"/>
  <c r="AX32" i="22"/>
  <c r="AY32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AO34" i="22"/>
  <c r="AP34" i="22"/>
  <c r="AQ34" i="22"/>
  <c r="AR34" i="22"/>
  <c r="AS34" i="22"/>
  <c r="AT34" i="22"/>
  <c r="AU34" i="22"/>
  <c r="AV34" i="22"/>
  <c r="AW34" i="22"/>
  <c r="AY34" i="22"/>
  <c r="H39" i="22"/>
  <c r="I39" i="22"/>
  <c r="J39" i="22"/>
  <c r="K39" i="22"/>
  <c r="L39" i="22"/>
  <c r="M39" i="22"/>
  <c r="N39" i="22"/>
  <c r="O39" i="22"/>
  <c r="P39" i="22"/>
  <c r="H40" i="22"/>
  <c r="I40" i="22"/>
  <c r="J40" i="22"/>
  <c r="K40" i="22"/>
  <c r="L40" i="22"/>
  <c r="M40" i="22"/>
  <c r="N40" i="22"/>
  <c r="O40" i="22"/>
  <c r="P40" i="22"/>
  <c r="H41" i="22"/>
  <c r="I41" i="22"/>
  <c r="J41" i="22"/>
  <c r="K41" i="22"/>
  <c r="L41" i="22"/>
  <c r="M41" i="22"/>
  <c r="N41" i="22"/>
  <c r="O41" i="22"/>
  <c r="P41" i="22"/>
  <c r="H42" i="22"/>
  <c r="I42" i="22"/>
  <c r="J42" i="22"/>
  <c r="K42" i="22"/>
  <c r="L42" i="22"/>
  <c r="M42" i="22"/>
  <c r="N42" i="22"/>
  <c r="O42" i="22"/>
  <c r="P42" i="22"/>
  <c r="Q42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M43" i="22"/>
  <c r="AN43" i="22"/>
  <c r="AO43" i="22"/>
  <c r="AP43" i="22"/>
  <c r="AQ43" i="22"/>
  <c r="AR43" i="22"/>
  <c r="AS43" i="22"/>
  <c r="AT43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AF44" i="22"/>
  <c r="AG44" i="22"/>
  <c r="AH44" i="22"/>
  <c r="AI44" i="22"/>
  <c r="AJ44" i="22"/>
  <c r="AK44" i="22"/>
  <c r="AL44" i="22"/>
  <c r="AM44" i="22"/>
  <c r="AN44" i="22"/>
  <c r="AO44" i="22"/>
  <c r="AP44" i="22"/>
  <c r="AQ44" i="22"/>
  <c r="AR44" i="22"/>
  <c r="AS44" i="22"/>
  <c r="AT44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M45" i="22"/>
  <c r="AN45" i="22"/>
  <c r="AO45" i="22"/>
  <c r="AP45" i="22"/>
  <c r="AQ45" i="22"/>
  <c r="AR45" i="22"/>
  <c r="AS45" i="22"/>
  <c r="AT45" i="22"/>
  <c r="F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M46" i="22"/>
  <c r="AN46" i="22"/>
  <c r="AO46" i="22"/>
  <c r="AP46" i="22"/>
  <c r="AQ46" i="22"/>
  <c r="AR46" i="22"/>
  <c r="AS46" i="22"/>
  <c r="AT46" i="22"/>
  <c r="AU46" i="22"/>
  <c r="AV46" i="22"/>
  <c r="AW46" i="22"/>
  <c r="AX46" i="22"/>
  <c r="F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M47" i="22"/>
  <c r="AN47" i="22"/>
  <c r="AO47" i="22"/>
  <c r="AP47" i="22"/>
  <c r="AQ47" i="22"/>
  <c r="AR47" i="22"/>
  <c r="AS47" i="22"/>
  <c r="AT47" i="22"/>
  <c r="AU47" i="22"/>
  <c r="AV47" i="22"/>
  <c r="AW47" i="22"/>
  <c r="AX47" i="22"/>
  <c r="AY47" i="22"/>
  <c r="F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M48" i="22"/>
  <c r="AN48" i="22"/>
  <c r="AO48" i="22"/>
  <c r="AP48" i="22"/>
  <c r="AQ48" i="22"/>
  <c r="AR48" i="22"/>
  <c r="AS48" i="22"/>
  <c r="AT48" i="22"/>
  <c r="AU48" i="22"/>
  <c r="AV48" i="22"/>
  <c r="AW48" i="22"/>
  <c r="AX48" i="22"/>
  <c r="AY48" i="22"/>
  <c r="F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M49" i="22"/>
  <c r="AN49" i="22"/>
  <c r="AO49" i="22"/>
  <c r="AP49" i="22"/>
  <c r="AQ49" i="22"/>
  <c r="AR49" i="22"/>
  <c r="AS49" i="22"/>
  <c r="AT49" i="22"/>
  <c r="AU49" i="22"/>
  <c r="AV49" i="22"/>
  <c r="AW49" i="22"/>
  <c r="AX49" i="22"/>
  <c r="AY49" i="22"/>
  <c r="F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M50" i="22"/>
  <c r="AN50" i="22"/>
  <c r="AO50" i="22"/>
  <c r="AP50" i="22"/>
  <c r="AQ50" i="22"/>
  <c r="AR50" i="22"/>
  <c r="AS50" i="22"/>
  <c r="AT50" i="22"/>
  <c r="AU50" i="22"/>
  <c r="AV50" i="22"/>
  <c r="AW50" i="22"/>
  <c r="AX50" i="22"/>
  <c r="AY50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AO51" i="22"/>
  <c r="AP51" i="22"/>
  <c r="AQ51" i="22"/>
  <c r="AR51" i="22"/>
  <c r="AS51" i="22"/>
  <c r="AT51" i="22"/>
  <c r="AU51" i="22"/>
  <c r="AV51" i="22"/>
  <c r="AW51" i="22"/>
  <c r="AX51" i="22"/>
  <c r="AY51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AO60" i="22"/>
  <c r="AP60" i="22"/>
  <c r="AQ60" i="22"/>
  <c r="AR60" i="22"/>
  <c r="AS60" i="22"/>
  <c r="AT60" i="22"/>
  <c r="AU60" i="22"/>
  <c r="AV60" i="22"/>
  <c r="AW60" i="22"/>
  <c r="AX60" i="22"/>
  <c r="AY60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R62" i="22"/>
  <c r="AS62" i="22"/>
  <c r="AT62" i="22"/>
  <c r="AU62" i="22"/>
  <c r="AV62" i="22"/>
  <c r="AW62" i="22"/>
  <c r="AX62" i="22"/>
  <c r="AY62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F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U64" i="22"/>
  <c r="AV64" i="22"/>
  <c r="AW64" i="22"/>
  <c r="AX64" i="22"/>
  <c r="AY64" i="22"/>
  <c r="F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X65" i="22"/>
  <c r="AY65" i="22"/>
  <c r="F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F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AB74" i="22"/>
  <c r="AC74" i="22"/>
  <c r="AD74" i="22"/>
  <c r="AE74" i="22"/>
  <c r="AF74" i="22"/>
  <c r="AG74" i="22"/>
  <c r="AH74" i="22"/>
  <c r="AI74" i="22"/>
  <c r="AJ74" i="22"/>
  <c r="AK74" i="22"/>
  <c r="AL74" i="22"/>
  <c r="AM74" i="22"/>
  <c r="AN74" i="22"/>
  <c r="AO74" i="22"/>
  <c r="AP74" i="22"/>
  <c r="AQ74" i="22"/>
  <c r="AR74" i="22"/>
  <c r="AS74" i="22"/>
  <c r="AT74" i="22"/>
  <c r="AU74" i="22"/>
  <c r="AV74" i="22"/>
  <c r="AW74" i="22"/>
  <c r="AX74" i="22"/>
  <c r="AY74" i="22"/>
  <c r="F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AB75" i="22"/>
  <c r="AC75" i="22"/>
  <c r="AD75" i="22"/>
  <c r="AE75" i="22"/>
  <c r="AF75" i="22"/>
  <c r="AG75" i="22"/>
  <c r="AH75" i="22"/>
  <c r="AI75" i="22"/>
  <c r="AJ75" i="22"/>
  <c r="AK75" i="22"/>
  <c r="AL75" i="22"/>
  <c r="AM75" i="22"/>
  <c r="AN75" i="22"/>
  <c r="AO75" i="22"/>
  <c r="AP75" i="22"/>
  <c r="AQ75" i="22"/>
  <c r="AR75" i="22"/>
  <c r="AS75" i="22"/>
  <c r="AT75" i="22"/>
  <c r="AU75" i="22"/>
  <c r="AV75" i="22"/>
  <c r="AW75" i="22"/>
  <c r="AX75" i="22"/>
  <c r="AY75" i="22"/>
  <c r="F80" i="22"/>
  <c r="H80" i="22"/>
  <c r="I80" i="22"/>
  <c r="J80" i="22"/>
  <c r="K80" i="22"/>
  <c r="L80" i="22"/>
  <c r="M80" i="22"/>
  <c r="N80" i="22"/>
  <c r="O80" i="22"/>
  <c r="P80" i="22"/>
  <c r="Q80" i="22"/>
  <c r="R80" i="22"/>
  <c r="S80" i="22"/>
  <c r="T80" i="22"/>
  <c r="U80" i="22"/>
  <c r="V80" i="22"/>
  <c r="W80" i="22"/>
  <c r="X80" i="22"/>
  <c r="Y80" i="22"/>
  <c r="Z80" i="22"/>
  <c r="AA80" i="22"/>
  <c r="AB80" i="22"/>
  <c r="AC80" i="22"/>
  <c r="AD80" i="22"/>
  <c r="AE80" i="22"/>
  <c r="AF80" i="22"/>
  <c r="AG80" i="22"/>
  <c r="AH80" i="22"/>
  <c r="AI80" i="22"/>
  <c r="AJ80" i="22"/>
  <c r="AK80" i="22"/>
  <c r="AL80" i="22"/>
  <c r="AM80" i="22"/>
  <c r="AN80" i="22"/>
  <c r="AO80" i="22"/>
  <c r="AP80" i="22"/>
  <c r="AQ80" i="22"/>
  <c r="AR80" i="22"/>
  <c r="AS80" i="22"/>
  <c r="AT80" i="22"/>
  <c r="AU80" i="22"/>
  <c r="AV80" i="22"/>
  <c r="AW80" i="22"/>
  <c r="AX80" i="22"/>
  <c r="AY80" i="22"/>
  <c r="F81" i="22"/>
  <c r="H81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U81" i="22"/>
  <c r="V81" i="22"/>
  <c r="W81" i="22"/>
  <c r="X81" i="22"/>
  <c r="Y81" i="22"/>
  <c r="Z81" i="22"/>
  <c r="AA81" i="22"/>
  <c r="AB81" i="22"/>
  <c r="AC81" i="22"/>
  <c r="AD81" i="22"/>
  <c r="AE81" i="22"/>
  <c r="AF81" i="22"/>
  <c r="AG81" i="22"/>
  <c r="AH81" i="22"/>
  <c r="AI81" i="22"/>
  <c r="AJ81" i="22"/>
  <c r="AK81" i="22"/>
  <c r="AL81" i="22"/>
  <c r="AM81" i="22"/>
  <c r="AN81" i="22"/>
  <c r="AO81" i="22"/>
  <c r="AP81" i="22"/>
  <c r="AQ81" i="22"/>
  <c r="AR81" i="22"/>
  <c r="AS81" i="22"/>
  <c r="AT81" i="22"/>
  <c r="AU81" i="22"/>
  <c r="AV81" i="22"/>
  <c r="AW81" i="22"/>
  <c r="AX81" i="22"/>
  <c r="AY81" i="22"/>
  <c r="F82" i="22"/>
  <c r="H82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U82" i="22"/>
  <c r="V82" i="22"/>
  <c r="W82" i="22"/>
  <c r="X82" i="22"/>
  <c r="Y82" i="22"/>
  <c r="Z82" i="22"/>
  <c r="AA82" i="22"/>
  <c r="AB82" i="22"/>
  <c r="AC82" i="22"/>
  <c r="AD82" i="22"/>
  <c r="AE82" i="22"/>
  <c r="AF82" i="22"/>
  <c r="AG82" i="22"/>
  <c r="AH82" i="22"/>
  <c r="AI82" i="22"/>
  <c r="AJ82" i="22"/>
  <c r="AK82" i="22"/>
  <c r="AL82" i="22"/>
  <c r="AM82" i="22"/>
  <c r="AN82" i="22"/>
  <c r="AO82" i="22"/>
  <c r="AP82" i="22"/>
  <c r="AQ82" i="22"/>
  <c r="AR82" i="22"/>
  <c r="AS82" i="22"/>
  <c r="AT82" i="22"/>
  <c r="AU82" i="22"/>
  <c r="AV82" i="22"/>
  <c r="AW82" i="22"/>
  <c r="AX82" i="22"/>
  <c r="AY8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SJ</author>
  </authors>
  <commentList>
    <comment ref="D85" authorId="0" shapeId="0" xr:uid="{6CF37F31-E861-440B-B6BC-F4643743AA45}">
      <text>
        <r>
          <rPr>
            <sz val="9"/>
            <color indexed="81"/>
            <rFont val="돋움"/>
            <family val="3"/>
            <charset val="129"/>
          </rPr>
          <t>준공일</t>
        </r>
      </text>
    </comment>
    <comment ref="D86" authorId="0" shapeId="0" xr:uid="{4BBB1732-05EB-4B84-B9B4-53A7782D1218}">
      <text>
        <r>
          <rPr>
            <sz val="9"/>
            <color indexed="81"/>
            <rFont val="돋움"/>
            <family val="3"/>
            <charset val="129"/>
          </rPr>
          <t>불변가격기준일</t>
        </r>
      </text>
    </comment>
    <comment ref="D96" authorId="0" shapeId="0" xr:uid="{86F07001-EA48-442B-B134-AA6933A0309F}">
      <text>
        <r>
          <rPr>
            <sz val="9"/>
            <color indexed="81"/>
            <rFont val="돋움"/>
            <family val="3"/>
            <charset val="129"/>
          </rPr>
          <t>준공일</t>
        </r>
      </text>
    </comment>
    <comment ref="D97" authorId="0" shapeId="0" xr:uid="{D68A172B-1B2A-4BA2-A2AA-F25B8EBBC4C1}">
      <text>
        <r>
          <rPr>
            <sz val="9"/>
            <color indexed="81"/>
            <rFont val="돋움"/>
            <family val="3"/>
            <charset val="129"/>
          </rPr>
          <t>불변가격기준일</t>
        </r>
      </text>
    </comment>
    <comment ref="D108" authorId="0" shapeId="0" xr:uid="{8FA70464-2861-4418-BD44-70AA99C1DF27}">
      <text>
        <r>
          <rPr>
            <sz val="9"/>
            <color indexed="81"/>
            <rFont val="돋움"/>
            <family val="3"/>
            <charset val="129"/>
          </rPr>
          <t>준공일</t>
        </r>
      </text>
    </comment>
    <comment ref="D109" authorId="0" shapeId="0" xr:uid="{E5AC7447-FA38-4405-80BC-38BB77756217}">
      <text>
        <r>
          <rPr>
            <sz val="9"/>
            <color indexed="81"/>
            <rFont val="돋움"/>
            <family val="3"/>
            <charset val="129"/>
          </rPr>
          <t>불변가격기준일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UNCT_CEO</author>
  </authors>
  <commentList>
    <comment ref="E23" authorId="0" shapeId="0" xr:uid="{BD39B429-37B8-4945-88C6-02238DD69AAB}">
      <text>
        <r>
          <rPr>
            <b/>
            <sz val="9"/>
            <color indexed="81"/>
            <rFont val="Tahoma"/>
            <family val="2"/>
          </rPr>
          <t>UNCT_CEO: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Kyungmi Kim</author>
    <author>SJ</author>
  </authors>
  <commentList>
    <comment ref="B4" authorId="0" shapeId="0" xr:uid="{87C007B6-9920-47D4-B909-F7455FF552D2}">
      <text>
        <r>
          <rPr>
            <b/>
            <sz val="6"/>
            <color indexed="81"/>
            <rFont val="Tahoma"/>
            <family val="2"/>
          </rPr>
          <t>~2020</t>
        </r>
        <r>
          <rPr>
            <b/>
            <sz val="6"/>
            <color indexed="81"/>
            <rFont val="돋움"/>
            <family val="3"/>
            <charset val="129"/>
          </rPr>
          <t>년</t>
        </r>
        <r>
          <rPr>
            <b/>
            <sz val="6"/>
            <color indexed="81"/>
            <rFont val="Tahoma"/>
            <family val="2"/>
          </rPr>
          <t xml:space="preserve"> : CPI(2015=100) </t>
        </r>
        <r>
          <rPr>
            <b/>
            <sz val="6"/>
            <color indexed="81"/>
            <rFont val="돋움"/>
            <family val="3"/>
            <charset val="129"/>
          </rPr>
          <t>실적</t>
        </r>
        <r>
          <rPr>
            <b/>
            <sz val="6"/>
            <color indexed="81"/>
            <rFont val="Tahoma"/>
            <family val="2"/>
          </rPr>
          <t xml:space="preserve"> </t>
        </r>
        <r>
          <rPr>
            <b/>
            <sz val="6"/>
            <color indexed="81"/>
            <rFont val="돋움"/>
            <family val="3"/>
            <charset val="129"/>
          </rPr>
          <t>물가</t>
        </r>
        <r>
          <rPr>
            <b/>
            <sz val="6"/>
            <color indexed="81"/>
            <rFont val="Tahoma"/>
            <family val="2"/>
          </rPr>
          <t xml:space="preserve"> </t>
        </r>
        <r>
          <rPr>
            <b/>
            <sz val="6"/>
            <color indexed="81"/>
            <rFont val="돋움"/>
            <family val="3"/>
            <charset val="129"/>
          </rPr>
          <t>반영</t>
        </r>
        <r>
          <rPr>
            <b/>
            <sz val="6"/>
            <color indexed="81"/>
            <rFont val="Tahoma"/>
            <family val="2"/>
          </rPr>
          <t>(MRG</t>
        </r>
        <r>
          <rPr>
            <b/>
            <sz val="6"/>
            <color indexed="81"/>
            <rFont val="돋움"/>
            <family val="3"/>
            <charset val="129"/>
          </rPr>
          <t>보고서</t>
        </r>
        <r>
          <rPr>
            <b/>
            <sz val="6"/>
            <color indexed="81"/>
            <rFont val="Tahoma"/>
            <family val="2"/>
          </rPr>
          <t xml:space="preserve"> </t>
        </r>
        <r>
          <rPr>
            <b/>
            <sz val="6"/>
            <color indexed="81"/>
            <rFont val="돋움"/>
            <family val="3"/>
            <charset val="129"/>
          </rPr>
          <t>상</t>
        </r>
        <r>
          <rPr>
            <b/>
            <sz val="6"/>
            <color indexed="81"/>
            <rFont val="Tahoma"/>
            <family val="2"/>
          </rPr>
          <t xml:space="preserve"> </t>
        </r>
        <r>
          <rPr>
            <b/>
            <sz val="6"/>
            <color indexed="81"/>
            <rFont val="돋움"/>
            <family val="3"/>
            <charset val="129"/>
          </rPr>
          <t>수치</t>
        </r>
        <r>
          <rPr>
            <b/>
            <sz val="6"/>
            <color indexed="81"/>
            <rFont val="Tahoma"/>
            <family val="2"/>
          </rPr>
          <t>)</t>
        </r>
        <r>
          <rPr>
            <b/>
            <sz val="6"/>
            <color indexed="81"/>
            <rFont val="돋움"/>
            <family val="3"/>
            <charset val="129"/>
          </rPr>
          <t xml:space="preserve">
</t>
        </r>
        <r>
          <rPr>
            <b/>
            <sz val="6"/>
            <color indexed="81"/>
            <rFont val="Tahoma"/>
            <family val="2"/>
          </rPr>
          <t>2021</t>
        </r>
        <r>
          <rPr>
            <b/>
            <sz val="6"/>
            <color indexed="81"/>
            <rFont val="돋움"/>
            <family val="3"/>
            <charset val="129"/>
          </rPr>
          <t>년</t>
        </r>
        <r>
          <rPr>
            <b/>
            <sz val="6"/>
            <color indexed="81"/>
            <rFont val="Tahoma"/>
            <family val="2"/>
          </rPr>
          <t xml:space="preserve"> </t>
        </r>
        <r>
          <rPr>
            <b/>
            <sz val="6"/>
            <color indexed="81"/>
            <rFont val="돋움"/>
            <family val="3"/>
            <charset val="129"/>
          </rPr>
          <t>이후</t>
        </r>
        <r>
          <rPr>
            <b/>
            <sz val="6"/>
            <color indexed="81"/>
            <rFont val="Tahoma"/>
            <family val="2"/>
          </rPr>
          <t xml:space="preserve"> : CPI(2020=100) </t>
        </r>
        <r>
          <rPr>
            <b/>
            <sz val="6"/>
            <color indexed="81"/>
            <rFont val="돋움"/>
            <family val="3"/>
            <charset val="129"/>
          </rPr>
          <t>실적물가에</t>
        </r>
        <r>
          <rPr>
            <b/>
            <sz val="6"/>
            <color indexed="81"/>
            <rFont val="Tahoma"/>
            <family val="2"/>
          </rPr>
          <t xml:space="preserve"> </t>
        </r>
        <r>
          <rPr>
            <b/>
            <sz val="6"/>
            <color indexed="81"/>
            <rFont val="돋움"/>
            <family val="3"/>
            <charset val="129"/>
          </rPr>
          <t>예측물가</t>
        </r>
        <r>
          <rPr>
            <b/>
            <sz val="6"/>
            <color indexed="81"/>
            <rFont val="Tahoma"/>
            <family val="2"/>
          </rPr>
          <t xml:space="preserve"> </t>
        </r>
        <r>
          <rPr>
            <b/>
            <sz val="6"/>
            <color indexed="81"/>
            <rFont val="돋움"/>
            <family val="3"/>
            <charset val="129"/>
          </rPr>
          <t>반영하여</t>
        </r>
        <r>
          <rPr>
            <b/>
            <sz val="6"/>
            <color indexed="81"/>
            <rFont val="Tahoma"/>
            <family val="2"/>
          </rPr>
          <t xml:space="preserve"> </t>
        </r>
      </text>
    </comment>
    <comment ref="D4" authorId="0" shapeId="0" xr:uid="{6A0B632D-86C2-4C44-BBD2-67924749A9DB}">
      <text>
        <r>
          <rPr>
            <sz val="9"/>
            <color indexed="81"/>
            <rFont val="Tahoma"/>
            <family val="2"/>
          </rPr>
          <t xml:space="preserve">2005-100 </t>
        </r>
        <r>
          <rPr>
            <sz val="9"/>
            <color indexed="81"/>
            <rFont val="돋움"/>
            <family val="3"/>
            <charset val="129"/>
          </rPr>
          <t xml:space="preserve">기준
</t>
        </r>
        <r>
          <rPr>
            <sz val="9"/>
            <color indexed="81"/>
            <rFont val="Tahoma"/>
            <family val="2"/>
          </rPr>
          <t>2001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2009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6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물가지수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6" authorId="0" shapeId="0" xr:uid="{61F7574A-6EA9-4293-9013-EE18A051C988}">
      <text>
        <r>
          <rPr>
            <sz val="9"/>
            <color indexed="81"/>
            <rFont val="돋움"/>
            <family val="3"/>
            <charset val="129"/>
          </rPr>
          <t>실시협약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운영</t>
        </r>
        <r>
          <rPr>
            <sz val="9"/>
            <color indexed="81"/>
            <rFont val="Tahoma"/>
            <family val="2"/>
          </rPr>
          <t xml:space="preserve"> 11</t>
        </r>
        <r>
          <rPr>
            <sz val="9"/>
            <color indexed="81"/>
            <rFont val="돋움"/>
            <family val="3"/>
            <charset val="129"/>
          </rPr>
          <t>년차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연간일수를</t>
        </r>
        <r>
          <rPr>
            <sz val="9"/>
            <color indexed="81"/>
            <rFont val="Tahoma"/>
            <family val="2"/>
          </rPr>
          <t xml:space="preserve"> 366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6" authorId="1" shapeId="0" xr:uid="{4D325B4F-A218-46F8-AC74-0E808A986192}">
      <text>
        <r>
          <rPr>
            <sz val="9"/>
            <color indexed="81"/>
            <rFont val="Tahoma"/>
            <family val="2"/>
          </rPr>
          <t xml:space="preserve">MRG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인건비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유지관리비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소계와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일치하지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않습니다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우선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숫자대로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키인값을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적어두었습니다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Kyungmi Kim</author>
  </authors>
  <commentList>
    <comment ref="C21" authorId="0" shapeId="0" xr:uid="{4927C912-45E6-4EAA-ACD6-B390A261FCC6}">
      <text>
        <r>
          <rPr>
            <b/>
            <sz val="9"/>
            <color indexed="81"/>
            <rFont val="돋움"/>
            <family val="3"/>
            <charset val="129"/>
          </rPr>
          <t>당분기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상환대상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원리금에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대해</t>
        </r>
        <r>
          <rPr>
            <b/>
            <sz val="9"/>
            <color indexed="81"/>
            <rFont val="Tahoma"/>
            <family val="2"/>
          </rPr>
          <t xml:space="preserve"> DSRA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적립조건으로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분기모델이므로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반영하지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않음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* </t>
        </r>
        <r>
          <rPr>
            <b/>
            <sz val="9"/>
            <color indexed="81"/>
            <rFont val="돋움"/>
            <family val="3"/>
            <charset val="129"/>
          </rPr>
          <t>대출금상환적립요구액</t>
        </r>
        <r>
          <rPr>
            <b/>
            <sz val="9"/>
            <color indexed="81"/>
            <rFont val="Tahoma"/>
            <family val="2"/>
          </rPr>
          <t xml:space="preserve"> : (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돋움"/>
            <family val="3"/>
            <charset val="129"/>
          </rPr>
          <t>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이자기간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초일로부터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돋움"/>
            <family val="3"/>
            <charset val="129"/>
          </rPr>
          <t>개월이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이자기간의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말일에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상환되어야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대출금의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원리금의</t>
        </r>
        <r>
          <rPr>
            <b/>
            <sz val="9"/>
            <color indexed="81"/>
            <rFont val="Tahoma"/>
            <family val="2"/>
          </rPr>
          <t xml:space="preserve"> 1/3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>, (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돋움"/>
            <family val="3"/>
            <charset val="129"/>
          </rPr>
          <t>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이자기간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초일로부터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돋움"/>
            <family val="3"/>
            <charset val="129"/>
          </rPr>
          <t>개월이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이자기간의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말일에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상환되어야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대출금의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원리금의</t>
        </r>
        <r>
          <rPr>
            <b/>
            <sz val="9"/>
            <color indexed="81"/>
            <rFont val="Tahoma"/>
            <family val="2"/>
          </rPr>
          <t xml:space="preserve"> 2/3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말한다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SJ</author>
  </authors>
  <commentList>
    <comment ref="D112" authorId="0" shapeId="0" xr:uid="{FEE7AB91-CA4C-42CA-B8CB-730DBB3773EB}">
      <text>
        <r>
          <rPr>
            <sz val="9"/>
            <color indexed="81"/>
            <rFont val="Tahoma"/>
            <family val="2"/>
          </rPr>
          <t>2020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발생분부터</t>
        </r>
        <r>
          <rPr>
            <sz val="9"/>
            <color indexed="81"/>
            <rFont val="Tahoma"/>
            <family val="2"/>
          </rPr>
          <t xml:space="preserve"> 15</t>
        </r>
        <r>
          <rPr>
            <sz val="9"/>
            <color indexed="81"/>
            <rFont val="돋움"/>
            <family val="3"/>
            <charset val="129"/>
          </rPr>
          <t>년간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이월공제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SJ</author>
  </authors>
  <commentList>
    <comment ref="G30" authorId="0" shapeId="0" xr:uid="{22F75BCD-5C97-4C4C-BCA4-8198278D5791}">
      <text>
        <r>
          <rPr>
            <b/>
            <sz val="9"/>
            <color indexed="81"/>
            <rFont val="Tahoma"/>
            <family val="2"/>
          </rPr>
          <t>1=</t>
        </r>
        <r>
          <rPr>
            <b/>
            <sz val="9"/>
            <color indexed="81"/>
            <rFont val="돋움"/>
            <family val="3"/>
            <charset val="129"/>
          </rPr>
          <t>정률법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협약</t>
        </r>
        <r>
          <rPr>
            <b/>
            <sz val="9"/>
            <color indexed="81"/>
            <rFont val="Tahoma"/>
            <family val="2"/>
          </rPr>
          <t>)
2=</t>
        </r>
        <r>
          <rPr>
            <b/>
            <sz val="9"/>
            <color indexed="81"/>
            <rFont val="돋움"/>
            <family val="3"/>
            <charset val="129"/>
          </rPr>
          <t>정액법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분석용</t>
        </r>
        <r>
          <rPr>
            <b/>
            <sz val="9"/>
            <color indexed="81"/>
            <rFont val="Tahoma"/>
            <family val="2"/>
          </rPr>
          <t>?)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SJ</author>
  </authors>
  <commentList>
    <comment ref="G32" authorId="0" shapeId="0" xr:uid="{59EB932C-E399-454A-910F-4DADB47ADE70}">
      <text>
        <r>
          <rPr>
            <b/>
            <sz val="9"/>
            <color indexed="81"/>
            <rFont val="Tahoma"/>
            <family val="2"/>
          </rPr>
          <t>1=</t>
        </r>
        <r>
          <rPr>
            <b/>
            <sz val="9"/>
            <color indexed="81"/>
            <rFont val="돋움"/>
            <family val="3"/>
            <charset val="129"/>
          </rPr>
          <t>정률법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협약</t>
        </r>
        <r>
          <rPr>
            <b/>
            <sz val="9"/>
            <color indexed="81"/>
            <rFont val="Tahoma"/>
            <family val="2"/>
          </rPr>
          <t>)
2=</t>
        </r>
        <r>
          <rPr>
            <b/>
            <sz val="9"/>
            <color indexed="81"/>
            <rFont val="돋움"/>
            <family val="3"/>
            <charset val="129"/>
          </rPr>
          <t>정액법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분석용</t>
        </r>
        <r>
          <rPr>
            <b/>
            <sz val="9"/>
            <color indexed="81"/>
            <rFont val="Tahoma"/>
            <family val="2"/>
          </rPr>
          <t>?)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SJ</author>
  </authors>
  <commentList>
    <comment ref="G17" authorId="0" shapeId="0" xr:uid="{CE31F853-0A00-4418-9B2A-8569EB72AF73}">
      <text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전기말물가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CPI</t>
        </r>
        <r>
          <rPr>
            <sz val="9"/>
            <color indexed="81"/>
            <rFont val="돋움"/>
            <family val="3"/>
            <charset val="129"/>
          </rPr>
          <t>변동분이</t>
        </r>
        <r>
          <rPr>
            <sz val="9"/>
            <color indexed="81"/>
            <rFont val="Tahoma"/>
            <family val="2"/>
          </rPr>
          <t xml:space="preserve"> 2% </t>
        </r>
        <r>
          <rPr>
            <sz val="9"/>
            <color indexed="81"/>
            <rFont val="돋움"/>
            <family val="3"/>
            <charset val="129"/>
          </rPr>
          <t>미만인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2%
</t>
        </r>
        <r>
          <rPr>
            <sz val="9"/>
            <color indexed="81"/>
            <rFont val="돋움"/>
            <family val="3"/>
            <charset val="129"/>
          </rPr>
          <t>이상인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소비자물가지수변동분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NOHONGWOO</author>
    <author>JGS</author>
    <author>박성진</author>
    <author>user</author>
  </authors>
  <commentList>
    <comment ref="G190" authorId="0" shapeId="0" xr:uid="{BFA601E3-71D1-4516-B602-E5FAD8A661D3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18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10% </t>
        </r>
        <r>
          <rPr>
            <sz val="9"/>
            <color indexed="81"/>
            <rFont val="돋움"/>
            <family val="3"/>
            <charset val="129"/>
          </rPr>
          <t>인상반영</t>
        </r>
      </text>
    </comment>
    <comment ref="H190" authorId="0" shapeId="0" xr:uid="{B7174549-3E4E-4327-B777-FCF3CA2C938A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19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7% </t>
        </r>
        <r>
          <rPr>
            <sz val="9"/>
            <color indexed="81"/>
            <rFont val="돋움"/>
            <family val="3"/>
            <charset val="129"/>
          </rPr>
          <t>인상반영</t>
        </r>
      </text>
    </comment>
    <comment ref="I190" authorId="0" shapeId="0" xr:uid="{50EDB30A-80BA-4F1D-9FF6-ABD6F1F5CC7E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2020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매년</t>
        </r>
        <r>
          <rPr>
            <sz val="9"/>
            <color indexed="81"/>
            <rFont val="Tahoma"/>
            <family val="2"/>
          </rPr>
          <t xml:space="preserve"> 3%</t>
        </r>
        <r>
          <rPr>
            <sz val="9"/>
            <color indexed="81"/>
            <rFont val="돋움"/>
            <family val="3"/>
            <charset val="129"/>
          </rPr>
          <t>인상반영</t>
        </r>
      </text>
    </comment>
    <comment ref="G191" authorId="0" shapeId="0" xr:uid="{775360BC-6892-45C2-9147-E0689C2EB5BA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18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10% </t>
        </r>
        <r>
          <rPr>
            <sz val="9"/>
            <color indexed="81"/>
            <rFont val="돋움"/>
            <family val="3"/>
            <charset val="129"/>
          </rPr>
          <t>인상반영</t>
        </r>
      </text>
    </comment>
    <comment ref="H191" authorId="0" shapeId="0" xr:uid="{32501FBE-6941-41AF-935F-F086B9B91DD1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19</t>
        </r>
        <r>
          <rPr>
            <sz val="9"/>
            <color indexed="81"/>
            <rFont val="돋움"/>
            <family val="3"/>
            <charset val="129"/>
          </rPr>
          <t>년대비</t>
        </r>
        <r>
          <rPr>
            <sz val="9"/>
            <color indexed="81"/>
            <rFont val="Tahoma"/>
            <family val="2"/>
          </rPr>
          <t xml:space="preserve"> 7% </t>
        </r>
        <r>
          <rPr>
            <sz val="9"/>
            <color indexed="81"/>
            <rFont val="돋움"/>
            <family val="3"/>
            <charset val="129"/>
          </rPr>
          <t>인상반영</t>
        </r>
      </text>
    </comment>
    <comment ref="H193" authorId="0" shapeId="0" xr:uid="{1DD99D8E-0E52-4F90-B5DC-186FC6C5DC93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정밀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수중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</text>
    </comment>
    <comment ref="L193" authorId="0" shapeId="0" xr:uid="{6B773B4D-465F-4CE5-9564-976EA520E62D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정밀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수중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</text>
    </comment>
    <comment ref="P193" authorId="0" shapeId="0" xr:uid="{02C21F90-D821-4ED8-8339-191F94ECB2CA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정밀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수중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</text>
    </comment>
    <comment ref="T193" authorId="0" shapeId="0" xr:uid="{C776D17F-D3F0-44D1-B300-15C09306112D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정밀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수중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</text>
    </comment>
    <comment ref="X193" authorId="0" shapeId="0" xr:uid="{2FFA105C-6BF1-456C-8E1A-EB5A6366C90B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정밀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수중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</text>
    </comment>
    <comment ref="AB193" authorId="0" shapeId="0" xr:uid="{3BBDD06D-0E89-4729-B64C-9E40A8ED5F31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정밀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수중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</text>
    </comment>
    <comment ref="AF193" authorId="0" shapeId="0" xr:uid="{2678EE9E-750D-4685-8F90-980434B80D89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정밀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수중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</text>
    </comment>
    <comment ref="AJ193" authorId="0" shapeId="0" xr:uid="{46F00B52-AA2A-4422-9A4B-A8250B6B0AC0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정밀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수중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</text>
    </comment>
    <comment ref="AN193" authorId="0" shapeId="0" xr:uid="{98CE5B6E-C1CD-4AAD-A2F4-A7DF19BDB6B1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정밀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수중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</text>
    </comment>
    <comment ref="AR193" authorId="0" shapeId="0" xr:uid="{FCA0B863-6D49-4181-8F2E-B64DE5CBA82E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정밀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
수중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</text>
    </comment>
    <comment ref="G197" authorId="0" shapeId="0" xr:uid="{2B311329-DA5E-4BE0-BC5F-AC0139760A29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투입기준
경비도급료</t>
        </r>
        <r>
          <rPr>
            <sz val="9"/>
            <color indexed="81"/>
            <rFont val="Tahoma"/>
            <family val="2"/>
          </rPr>
          <t xml:space="preserve"> 18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15%</t>
        </r>
        <r>
          <rPr>
            <sz val="9"/>
            <color indexed="81"/>
            <rFont val="돋움"/>
            <family val="3"/>
            <charset val="129"/>
          </rPr>
          <t>인상</t>
        </r>
      </text>
    </comment>
    <comment ref="H197" authorId="0" shapeId="0" xr:uid="{BFD0A114-AB0F-4944-B0AC-F4509E8D5411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19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15% </t>
        </r>
        <r>
          <rPr>
            <sz val="9"/>
            <color indexed="81"/>
            <rFont val="돋움"/>
            <family val="3"/>
            <charset val="129"/>
          </rPr>
          <t>인상반영</t>
        </r>
      </text>
    </comment>
    <comment ref="I197" authorId="0" shapeId="0" xr:uid="{7C78073E-F8FE-4108-8179-1233DE8E4869}">
      <text>
        <r>
          <rPr>
            <b/>
            <sz val="9"/>
            <color indexed="81"/>
            <rFont val="Tahoma"/>
            <family val="2"/>
          </rPr>
          <t>NOHONGWOO:</t>
        </r>
        <r>
          <rPr>
            <sz val="9"/>
            <color indexed="81"/>
            <rFont val="Tahoma"/>
            <family val="2"/>
          </rPr>
          <t xml:space="preserve">
2020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3% </t>
        </r>
        <r>
          <rPr>
            <sz val="9"/>
            <color indexed="81"/>
            <rFont val="돋움"/>
            <family val="3"/>
            <charset val="129"/>
          </rPr>
          <t>인상반영</t>
        </r>
      </text>
    </comment>
    <comment ref="B256" authorId="1" shapeId="0" xr:uid="{F4CE70A7-E6EE-48B6-8545-3CD422E814C0}">
      <text>
        <r>
          <rPr>
            <b/>
            <sz val="14"/>
            <color indexed="81"/>
            <rFont val="Tahoma"/>
            <family val="2"/>
          </rPr>
          <t>JGS: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신호수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소장</t>
        </r>
        <r>
          <rPr>
            <sz val="14"/>
            <color indexed="81"/>
            <rFont val="Tahoma"/>
            <family val="2"/>
          </rPr>
          <t xml:space="preserve">100, </t>
        </r>
        <r>
          <rPr>
            <sz val="14"/>
            <color indexed="81"/>
            <rFont val="돋움"/>
            <family val="3"/>
            <charset val="129"/>
          </rPr>
          <t>반장</t>
        </r>
        <r>
          <rPr>
            <sz val="14"/>
            <color indexed="81"/>
            <rFont val="Tahoma"/>
            <family val="2"/>
          </rPr>
          <t>50</t>
        </r>
        <r>
          <rPr>
            <sz val="14"/>
            <color indexed="81"/>
            <rFont val="돋움"/>
            <family val="3"/>
            <charset val="129"/>
          </rPr>
          <t>리터</t>
        </r>
      </text>
    </comment>
    <comment ref="AW257" authorId="1" shapeId="0" xr:uid="{6FE841BE-7F7D-4566-9D13-53E6B283C413}">
      <text>
        <r>
          <rPr>
            <b/>
            <sz val="14"/>
            <color indexed="81"/>
            <rFont val="Tahoma"/>
            <family val="2"/>
          </rPr>
          <t>JGS: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돋움"/>
            <family val="3"/>
            <charset val="129"/>
          </rPr>
          <t>신호수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소장</t>
        </r>
        <r>
          <rPr>
            <sz val="14"/>
            <color indexed="81"/>
            <rFont val="Tahoma"/>
            <family val="2"/>
          </rPr>
          <t xml:space="preserve">100, </t>
        </r>
        <r>
          <rPr>
            <sz val="14"/>
            <color indexed="81"/>
            <rFont val="돋움"/>
            <family val="3"/>
            <charset val="129"/>
          </rPr>
          <t>반장</t>
        </r>
        <r>
          <rPr>
            <sz val="14"/>
            <color indexed="81"/>
            <rFont val="Tahoma"/>
            <family val="2"/>
          </rPr>
          <t>50</t>
        </r>
        <r>
          <rPr>
            <sz val="14"/>
            <color indexed="81"/>
            <rFont val="돋움"/>
            <family val="3"/>
            <charset val="129"/>
          </rPr>
          <t>리터</t>
        </r>
      </text>
    </comment>
    <comment ref="G263" authorId="2" shapeId="0" xr:uid="{A76F9CA3-4E79-43B7-9DCC-13328E7A1D35}">
      <text>
        <r>
          <rPr>
            <b/>
            <sz val="9"/>
            <color indexed="81"/>
            <rFont val="돋움"/>
            <family val="3"/>
            <charset val="129"/>
          </rPr>
          <t>박성진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5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갱신심사</t>
        </r>
      </text>
    </comment>
    <comment ref="G268" authorId="2" shapeId="0" xr:uid="{6D637229-D11B-4E30-BF1D-5E5D294A3D84}">
      <text>
        <r>
          <rPr>
            <b/>
            <sz val="9"/>
            <color indexed="81"/>
            <rFont val="돋움"/>
            <family val="3"/>
            <charset val="129"/>
          </rPr>
          <t>박성진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신청수수료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검사료</t>
        </r>
      </text>
    </comment>
    <comment ref="G270" authorId="2" shapeId="0" xr:uid="{9FA6F8D7-8204-4D08-B973-BEE3270A8749}">
      <text>
        <r>
          <rPr>
            <b/>
            <sz val="9"/>
            <color indexed="81"/>
            <rFont val="돋움"/>
            <family val="3"/>
            <charset val="129"/>
          </rPr>
          <t>박성진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면허세</t>
        </r>
      </text>
    </comment>
    <comment ref="G271" authorId="2" shapeId="0" xr:uid="{2F5ACB84-5461-4A46-A0A2-EAE15CC4250B}">
      <text>
        <r>
          <rPr>
            <b/>
            <sz val="9"/>
            <color indexed="81"/>
            <rFont val="돋움"/>
            <family val="3"/>
            <charset val="129"/>
          </rPr>
          <t>박성진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무전기</t>
        </r>
        <r>
          <rPr>
            <sz val="9"/>
            <color indexed="81"/>
            <rFont val="Tahoma"/>
            <family val="2"/>
          </rPr>
          <t xml:space="preserve"> 53</t>
        </r>
        <r>
          <rPr>
            <sz val="9"/>
            <color indexed="81"/>
            <rFont val="돋움"/>
            <family val="3"/>
            <charset val="129"/>
          </rPr>
          <t>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고정식
안테너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케이블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거치대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설치비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이동식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소모품</t>
        </r>
      </text>
    </comment>
    <comment ref="F345" authorId="3" shapeId="0" xr:uid="{525CA487-4A08-4AA5-B478-7B2C864C10E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</t>
        </r>
        <r>
          <rPr>
            <sz val="9"/>
            <color indexed="81"/>
            <rFont val="돋움"/>
            <family val="3"/>
            <charset val="129"/>
          </rPr>
          <t>월까지 경유
이후 전기</t>
        </r>
      </text>
    </comment>
    <comment ref="G403" authorId="3" shapeId="0" xr:uid="{98B3EBF6-5707-418A-9CD8-2B8CD423417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장비1대당 인원비율
9명 /3대 /2(주야)</t>
        </r>
      </text>
    </comment>
    <comment ref="K403" authorId="3" shapeId="0" xr:uid="{A66B2CEE-5785-4FCF-A223-6C015B1A033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장비1대당 인원비율
9명 /3대 /2(주야)</t>
        </r>
      </text>
    </comment>
    <comment ref="O403" authorId="3" shapeId="0" xr:uid="{DFF67647-A41F-4752-9018-3EFA8CF6568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장비1대당 인원비율
9명 /3대 /2(주야)</t>
        </r>
      </text>
    </comment>
    <comment ref="S403" authorId="3" shapeId="0" xr:uid="{B83D3DEE-1E12-4DF1-BC81-5490F673F3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장비1대당 인원비율
9명 /3대 /2(주야)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D109" authorId="0" shapeId="0" xr:uid="{6F2F43FC-9D6E-48FA-B431-F2DC5617A891}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등급간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상승율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3" authorId="0" shapeId="0" xr:uid="{5ABD05E3-1FB3-41CA-806C-7AA064D5CF15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2015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분기</t>
        </r>
        <r>
          <rPr>
            <sz val="9"/>
            <color indexed="81"/>
            <rFont val="Tahoma"/>
            <family val="2"/>
          </rPr>
          <t>: 60</t>
        </r>
        <r>
          <rPr>
            <sz val="9"/>
            <color indexed="81"/>
            <rFont val="돋움"/>
            <family val="3"/>
            <charset val="129"/>
          </rPr>
          <t>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잔액금액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기입함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최선아</author>
  </authors>
  <commentList>
    <comment ref="G23" authorId="0" shapeId="0" xr:uid="{32E655E6-D239-49BA-93B3-CBB935FA4DB1}">
      <text>
        <r>
          <rPr>
            <b/>
            <sz val="9"/>
            <color indexed="81"/>
            <rFont val="돋움"/>
            <family val="3"/>
            <charset val="129"/>
          </rPr>
          <t>최선아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<sst xmlns="http://schemas.openxmlformats.org/spreadsheetml/2006/main" count="7799" uniqueCount="5516">
  <si>
    <t>Notice to Readers</t>
    <phoneticPr fontId="8" type="noConversion"/>
  </si>
  <si>
    <t>수신: 이지스자산운용㈜</t>
    <phoneticPr fontId="7" type="noConversion"/>
  </si>
  <si>
    <t xml:space="preserve">본 재무모델에 수신인으로 기재되어 있지 않거나 삼일회계법인이 제시한 Release Letter에 서명하여 회신하지 않은 경우, 본 재무모델에 접근 권한이 없음을 알려드립니다.  </t>
    <phoneticPr fontId="12" type="noConversion"/>
  </si>
  <si>
    <t>삼일회계법인에 의해 본 재무모델에 대한 접근이 허용되지 않았음에도 불구하고 본 재무모델을 입수하여 그 내용을 확인하는 경우 다음 사항을 읽고 동의한 것으로 간주됩니다.</t>
  </si>
  <si>
    <t xml:space="preserve">2. 당 법인은 재무모델 수신인 이외 제 3자에 대하여 어떠한 주의의무를 부담하거나 수락하지 않습니다. 또한 삼일회계법인은 재무모델 수신인 이외 제 3자에 대하여 계약상 의무 또는 과실행위를 포함하는 불법행위 등으로 발생하는 의무를 부담하거나, 보고서 및 이와 관련하여 제공되는 정보로부터 발생하는 비용, 손실 및 피해에 대하여 어떠한 책임도 부담하지 않습니다. </t>
    <phoneticPr fontId="12" type="noConversion"/>
  </si>
  <si>
    <t xml:space="preserve">3. 재무모델 수신인 이외의 제3자는 삼일회계법인의 사전 서면동의 없이 어떠한 목적으로도 관련 정보를 인용하거나 본 재무모델의 일부분 또는 전부를 제공 받을 수 없습니다. </t>
    <phoneticPr fontId="12" type="noConversion"/>
  </si>
  <si>
    <t>당 법인의 업무는 귀사의 프로젝트와 관련된 의사결정에 참고목적으로 귀사와 사전에 협의된 업무범위에 따라 수행되었습니다.  
따라서 본 업무의 가정과 산출결과에 대한 책임은 귀사에게 있으며 당 법인은 본 용역의 목적을 위하여 당 법인이 수행한 업무 범위가 충분한지 여부에 대해서는 어떠한 보증도 하지 않습니다. 
만약 당 법인에게 추가적인 업무의 수행 요구가 있었다면 본 재무모델에 언급되지 아니한 추가적인 발견사항 또는 변경사항이 있을 수도 있습니다. 
따라서 본 모델 이용 시에는 당 법인이 수행한 업무의 범위 및 한계점들을 충분하고 명확하게 고려하여야 합니다.</t>
    <phoneticPr fontId="12" type="noConversion"/>
  </si>
  <si>
    <t>본 재무모델은 전술한 귀 사의 의사결정을 위한 참고자료로 작성된 것이므로 기타의 다른 목적으로 사용될 수 없으며, 당 법인의 사전 서면 동의 없이 귀 사의 임직원 이외의 제 3자에게 본 보고서의 일부 또는 전부의 열람, 대여, 복사 등 일체의 이용을 허용하여서는 안됩니다.</t>
    <phoneticPr fontId="12" type="noConversion"/>
  </si>
  <si>
    <t xml:space="preserve">본 재무모델 발송일 이후 발생하거나 알게 된 사건, 거래 또는 경영환경의 변화로 인해 결과와 차이가 나는 부분에 대하여는 당 법인은 재무모델을 수정할 책임을 부담하지 않습니다. </t>
    <phoneticPr fontId="12" type="noConversion"/>
  </si>
  <si>
    <t>본 재무모델은 제출일 현재로 유효한 것입니다. 본 모델 제출일 이후 상당 기간이 경과하여 본 모델을 참고하시려는 경우에는 반드시 당 법인에 본 재무모델의 유효성과 활용 가능성 여부를 확인하시기 바랍니다.</t>
    <phoneticPr fontId="12" type="noConversion"/>
  </si>
  <si>
    <t>펀드 현금흐름 및 투자수익률</t>
    <phoneticPr fontId="12" type="noConversion"/>
  </si>
  <si>
    <t>구분</t>
    <phoneticPr fontId="12" type="noConversion"/>
  </si>
  <si>
    <t xml:space="preserve">보수차감 후 </t>
    <phoneticPr fontId="12" type="noConversion"/>
  </si>
  <si>
    <t>보수차감 전</t>
    <phoneticPr fontId="12" type="noConversion"/>
  </si>
  <si>
    <t>합계</t>
  </si>
  <si>
    <t>Cash In</t>
    <phoneticPr fontId="12" type="noConversion"/>
  </si>
  <si>
    <t>잔여현금 이자수령</t>
    <phoneticPr fontId="7" type="noConversion"/>
  </si>
  <si>
    <t>Cash Out</t>
    <phoneticPr fontId="12" type="noConversion"/>
  </si>
  <si>
    <t>고정대출 차입금 인출</t>
    <phoneticPr fontId="12" type="noConversion"/>
  </si>
  <si>
    <t>변동대출 차입금 인출</t>
    <phoneticPr fontId="12" type="noConversion"/>
  </si>
  <si>
    <t>펀드보수</t>
    <phoneticPr fontId="12" type="noConversion"/>
  </si>
  <si>
    <t>Net Cash Flow(펀드보수차감후)</t>
  </si>
  <si>
    <t>IRR(펀드보수차감후)</t>
    <phoneticPr fontId="7" type="noConversion"/>
  </si>
  <si>
    <t>Net Cash Flow(펀드보수차감전)</t>
  </si>
  <si>
    <t>IRR(펀드보수차감전)</t>
    <phoneticPr fontId="7" type="noConversion"/>
  </si>
  <si>
    <t>원금수령</t>
    <phoneticPr fontId="7" type="noConversion"/>
  </si>
  <si>
    <t>이자수령</t>
    <phoneticPr fontId="7" type="noConversion"/>
  </si>
  <si>
    <t>차입금 인출</t>
    <phoneticPr fontId="7" type="noConversion"/>
  </si>
  <si>
    <t>(단위: 백만원)</t>
    <phoneticPr fontId="12" type="noConversion"/>
  </si>
  <si>
    <t>원금(기존대출)</t>
    <phoneticPr fontId="7" type="noConversion"/>
  </si>
  <si>
    <t>수입(기존대출 이자)</t>
    <phoneticPr fontId="7" type="noConversion"/>
  </si>
  <si>
    <t>현금증가</t>
    <phoneticPr fontId="7" type="noConversion"/>
  </si>
  <si>
    <t>기초현금</t>
    <phoneticPr fontId="7" type="noConversion"/>
  </si>
  <si>
    <t>기말현금</t>
    <phoneticPr fontId="7" type="noConversion"/>
  </si>
  <si>
    <t>단순 DSCR</t>
    <phoneticPr fontId="12" type="noConversion"/>
  </si>
  <si>
    <t>누적 DSCR</t>
    <phoneticPr fontId="12" type="noConversion"/>
  </si>
  <si>
    <t>금액</t>
    <phoneticPr fontId="12" type="noConversion"/>
  </si>
  <si>
    <t>비율</t>
    <phoneticPr fontId="12" type="noConversion"/>
  </si>
  <si>
    <t>고정</t>
    <phoneticPr fontId="12" type="noConversion"/>
  </si>
  <si>
    <t>변동</t>
    <phoneticPr fontId="12" type="noConversion"/>
  </si>
  <si>
    <t>합계</t>
    <phoneticPr fontId="12" type="noConversion"/>
  </si>
  <si>
    <t>구분</t>
    <phoneticPr fontId="7" type="noConversion"/>
  </si>
  <si>
    <t>이자수익</t>
    <phoneticPr fontId="7" type="noConversion"/>
  </si>
  <si>
    <t>비용</t>
    <phoneticPr fontId="7" type="noConversion"/>
  </si>
  <si>
    <t>이자비용</t>
    <phoneticPr fontId="7" type="noConversion"/>
  </si>
  <si>
    <t>법인세등차감전이익</t>
    <phoneticPr fontId="7" type="noConversion"/>
  </si>
  <si>
    <t>법인세비용</t>
    <phoneticPr fontId="7" type="noConversion"/>
  </si>
  <si>
    <t>당기순이익</t>
    <phoneticPr fontId="7" type="noConversion"/>
  </si>
  <si>
    <t>구분</t>
  </si>
  <si>
    <t>발생 후 10년</t>
  </si>
  <si>
    <t>발생 후 9년</t>
  </si>
  <si>
    <t>발생 후 8년</t>
  </si>
  <si>
    <t>발생 후 7년</t>
  </si>
  <si>
    <t>발생 후 6년</t>
  </si>
  <si>
    <t>발생 후 5년</t>
  </si>
  <si>
    <t>발생 후 4년</t>
  </si>
  <si>
    <t>발생 후 3년</t>
  </si>
  <si>
    <t>발생 후 2년</t>
  </si>
  <si>
    <t>발생 후 1년</t>
  </si>
  <si>
    <t>신규차입금(FI)
Quarterly/전체</t>
    <phoneticPr fontId="12" type="noConversion"/>
  </si>
  <si>
    <t>현금유입</t>
    <phoneticPr fontId="7" type="noConversion"/>
  </si>
  <si>
    <t>원금</t>
    <phoneticPr fontId="7" type="noConversion"/>
  </si>
  <si>
    <t>이자</t>
    <phoneticPr fontId="7" type="noConversion"/>
  </si>
  <si>
    <t>현금유출</t>
    <phoneticPr fontId="7" type="noConversion"/>
  </si>
  <si>
    <t>신규차입금(FI)_Yearly</t>
    <phoneticPr fontId="7" type="noConversion"/>
  </si>
  <si>
    <t>신규차입금(FI)
Quarterly/고정-변동</t>
    <phoneticPr fontId="7" type="noConversion"/>
  </si>
  <si>
    <t>기초금액_전체</t>
    <phoneticPr fontId="12" type="noConversion"/>
  </si>
  <si>
    <t>당기차입_전체</t>
    <phoneticPr fontId="12" type="noConversion"/>
  </si>
  <si>
    <t>당기상환_전체</t>
    <phoneticPr fontId="12" type="noConversion"/>
  </si>
  <si>
    <t>기말금액_전체</t>
    <phoneticPr fontId="12" type="noConversion"/>
  </si>
  <si>
    <t>변동차입금 이자율</t>
    <phoneticPr fontId="12" type="noConversion"/>
  </si>
  <si>
    <t>기준금리</t>
    <phoneticPr fontId="12" type="noConversion"/>
  </si>
  <si>
    <t>적용분기말</t>
    <phoneticPr fontId="12" type="noConversion"/>
  </si>
  <si>
    <t>재조달+1년(~2023.1Q)</t>
    <phoneticPr fontId="12" type="noConversion"/>
  </si>
  <si>
    <t>이후기간</t>
    <phoneticPr fontId="12" type="noConversion"/>
  </si>
  <si>
    <t>조달금액</t>
    <phoneticPr fontId="12" type="noConversion"/>
  </si>
  <si>
    <t>비고</t>
    <phoneticPr fontId="12" type="noConversion"/>
  </si>
  <si>
    <t>장기A</t>
  </si>
  <si>
    <t>장기B-1</t>
  </si>
  <si>
    <t>장기B-2</t>
  </si>
  <si>
    <t>장기C</t>
  </si>
  <si>
    <t>1일이자</t>
    <phoneticPr fontId="12" type="noConversion"/>
  </si>
  <si>
    <t>매매까지 소요되는 1일 이자금액</t>
  </si>
  <si>
    <t>부대비용</t>
    <phoneticPr fontId="12" type="noConversion"/>
  </si>
  <si>
    <t>자문보수 등 (부가세 포함)</t>
  </si>
  <si>
    <t>주요 조건 분석 및 결과</t>
    <phoneticPr fontId="12" type="noConversion"/>
  </si>
  <si>
    <t>시작CASE</t>
    <phoneticPr fontId="12" type="noConversion"/>
  </si>
  <si>
    <t>종료CASE</t>
    <phoneticPr fontId="12" type="noConversion"/>
  </si>
  <si>
    <t>기준금리 2.4%</t>
    <phoneticPr fontId="12" type="noConversion"/>
  </si>
  <si>
    <t>분석 CASE 번호</t>
    <phoneticPr fontId="12" type="noConversion"/>
  </si>
  <si>
    <t>운영비미지급</t>
    <phoneticPr fontId="12" type="noConversion"/>
  </si>
  <si>
    <t>기본안</t>
    <phoneticPr fontId="12" type="noConversion"/>
  </si>
  <si>
    <t>기준금리 민감도</t>
    <phoneticPr fontId="12" type="noConversion"/>
  </si>
  <si>
    <t>예정 운영비</t>
  </si>
  <si>
    <t>기준금리 2.4%</t>
  </si>
  <si>
    <t>물동량</t>
    <phoneticPr fontId="12" type="noConversion"/>
  </si>
  <si>
    <t>펀드차입금</t>
    <phoneticPr fontId="12" type="noConversion"/>
  </si>
  <si>
    <t>펀드운용수수료(년간)</t>
    <phoneticPr fontId="12" type="noConversion"/>
  </si>
  <si>
    <t>(NAV의 %)</t>
    <phoneticPr fontId="12" type="noConversion"/>
  </si>
  <si>
    <t xml:space="preserve">기존 차입금 </t>
    <phoneticPr fontId="12" type="noConversion"/>
  </si>
  <si>
    <t>변동금리 기준 이자율(재조달시점~1년)</t>
    <phoneticPr fontId="12" type="noConversion"/>
  </si>
  <si>
    <t>변동금리 기준 이자율(재조달1년 이후)</t>
    <phoneticPr fontId="12" type="noConversion"/>
  </si>
  <si>
    <t>대리기관수수료(년 30백만원)</t>
    <phoneticPr fontId="12" type="noConversion"/>
  </si>
  <si>
    <t>추가조달 가정</t>
    <phoneticPr fontId="12" type="noConversion"/>
  </si>
  <si>
    <t>Bridge 대출 1일 이자(백만원)</t>
    <phoneticPr fontId="12" type="noConversion"/>
  </si>
  <si>
    <t>리파이낸싱 금융비용(백만원)</t>
    <phoneticPr fontId="12" type="noConversion"/>
  </si>
  <si>
    <t>리파이낸싱 시점</t>
    <phoneticPr fontId="12" type="noConversion"/>
  </si>
  <si>
    <t>사용료</t>
    <phoneticPr fontId="12" type="noConversion"/>
  </si>
  <si>
    <t>사용료 인상율 (2027년 이후)</t>
    <phoneticPr fontId="12" type="noConversion"/>
  </si>
  <si>
    <t>사용료 인상주기(2027년 이후)</t>
    <phoneticPr fontId="12" type="noConversion"/>
  </si>
  <si>
    <t>4번선석</t>
    <phoneticPr fontId="12" type="noConversion"/>
  </si>
  <si>
    <t>4번선석 임대료(야드포함)</t>
    <phoneticPr fontId="12" type="noConversion"/>
  </si>
  <si>
    <t>4번선석 임대료 인상율</t>
    <phoneticPr fontId="12" type="noConversion"/>
  </si>
  <si>
    <t>4번선석 임대료 인상주기</t>
    <phoneticPr fontId="12" type="noConversion"/>
  </si>
  <si>
    <t>배당제한</t>
    <phoneticPr fontId="12" type="noConversion"/>
  </si>
  <si>
    <t>누적DSCR (2년 연속)</t>
    <phoneticPr fontId="12" type="noConversion"/>
  </si>
  <si>
    <t>운영비용 민감도</t>
    <phoneticPr fontId="12" type="noConversion"/>
  </si>
  <si>
    <t>유지보수비 적용율</t>
    <phoneticPr fontId="12" type="noConversion"/>
  </si>
  <si>
    <t>대체비 물가상승율</t>
    <phoneticPr fontId="12" type="noConversion"/>
  </si>
  <si>
    <t>정일부두운영종료 (1:Y, 0:N)</t>
    <phoneticPr fontId="12" type="noConversion"/>
  </si>
  <si>
    <t>신호체계 (1: 자동 2,수동)</t>
    <phoneticPr fontId="12" type="noConversion"/>
  </si>
  <si>
    <t>위탁수수료 및 자금보충</t>
    <phoneticPr fontId="12" type="noConversion"/>
  </si>
  <si>
    <t>위탁수수료 (~29.3Q)</t>
    <phoneticPr fontId="12" type="noConversion"/>
  </si>
  <si>
    <t>(1=최소125%, 2=예정운영비)</t>
    <phoneticPr fontId="12" type="noConversion"/>
  </si>
  <si>
    <t>자금보충</t>
    <phoneticPr fontId="12" type="noConversion"/>
  </si>
  <si>
    <t>(1=상환우선주, 2=운영비미지급)</t>
    <phoneticPr fontId="12" type="noConversion"/>
  </si>
  <si>
    <t>미지급운영비 한도</t>
    <phoneticPr fontId="12" type="noConversion"/>
  </si>
  <si>
    <t>물가상승률 가정</t>
    <phoneticPr fontId="12" type="noConversion"/>
  </si>
  <si>
    <t>CPI상승률 가정(MRG, TP)</t>
    <phoneticPr fontId="12" type="noConversion"/>
  </si>
  <si>
    <t>주요 결과</t>
    <phoneticPr fontId="12" type="noConversion"/>
  </si>
  <si>
    <t>모델 검증</t>
  </si>
  <si>
    <t>B/S Check</t>
    <phoneticPr fontId="12" type="noConversion"/>
  </si>
  <si>
    <t>Waterfall Check</t>
    <phoneticPr fontId="12" type="noConversion"/>
  </si>
  <si>
    <t>자금부족</t>
    <phoneticPr fontId="12" type="noConversion"/>
  </si>
  <si>
    <t>Fund 수익률</t>
    <phoneticPr fontId="12" type="noConversion"/>
  </si>
  <si>
    <t>상환우선주</t>
    <phoneticPr fontId="12" type="noConversion"/>
  </si>
  <si>
    <t>~2024년 2분기까지 발행 합계</t>
    <phoneticPr fontId="12" type="noConversion"/>
  </si>
  <si>
    <t>최대 발생액</t>
    <phoneticPr fontId="12" type="noConversion"/>
  </si>
  <si>
    <t/>
  </si>
  <si>
    <t>최대 발생시점</t>
  </si>
  <si>
    <t>최초 지급 (상환우선배당)</t>
    <phoneticPr fontId="12" type="noConversion"/>
  </si>
  <si>
    <t>지급 완료 (상환우선배당)</t>
    <phoneticPr fontId="12" type="noConversion"/>
  </si>
  <si>
    <t>청산시 잔액</t>
    <phoneticPr fontId="12" type="noConversion"/>
  </si>
  <si>
    <t>미지급운영비</t>
    <phoneticPr fontId="12" type="noConversion"/>
  </si>
  <si>
    <t>~2024년 2분기까지 미지급금</t>
    <phoneticPr fontId="12" type="noConversion"/>
  </si>
  <si>
    <t>미지급운영비 한도초과여부</t>
    <phoneticPr fontId="12" type="noConversion"/>
  </si>
  <si>
    <t>미지급운영비 한도초과금액</t>
    <phoneticPr fontId="12" type="noConversion"/>
  </si>
  <si>
    <t>상환안정성</t>
    <phoneticPr fontId="12" type="noConversion"/>
  </si>
  <si>
    <t>UNCT</t>
    <phoneticPr fontId="12" type="noConversion"/>
  </si>
  <si>
    <t>수입 비용</t>
    <phoneticPr fontId="12" type="noConversion"/>
  </si>
  <si>
    <t>법인세 환수 금액('17~'59년분)</t>
    <phoneticPr fontId="12" type="noConversion"/>
  </si>
  <si>
    <t>법인세</t>
  </si>
  <si>
    <t>배당금</t>
  </si>
  <si>
    <t>우선배당</t>
    <phoneticPr fontId="12" type="noConversion"/>
  </si>
  <si>
    <t>기본배당 (우선주)</t>
    <phoneticPr fontId="12" type="noConversion"/>
  </si>
  <si>
    <t>기본배당 (보통주)</t>
    <phoneticPr fontId="12" type="noConversion"/>
  </si>
  <si>
    <t>기중 배당 합계</t>
    <phoneticPr fontId="12" type="noConversion"/>
  </si>
  <si>
    <t>청산배당금</t>
    <phoneticPr fontId="12" type="noConversion"/>
  </si>
  <si>
    <t>미지급 완료시 까지 우선배당금</t>
    <phoneticPr fontId="12" type="noConversion"/>
  </si>
  <si>
    <t>미지급 우선배당 지급완료</t>
    <phoneticPr fontId="12" type="noConversion"/>
  </si>
  <si>
    <t>주요 가정</t>
    <phoneticPr fontId="12" type="noConversion"/>
  </si>
  <si>
    <t>기간가정</t>
    <phoneticPr fontId="46" type="noConversion"/>
  </si>
  <si>
    <t>Funding Structure</t>
  </si>
  <si>
    <t>일반</t>
    <phoneticPr fontId="12" type="noConversion"/>
  </si>
  <si>
    <t>불변가격기준일</t>
    <phoneticPr fontId="12" type="noConversion"/>
  </si>
  <si>
    <t>상환년도</t>
  </si>
  <si>
    <t>선순위차입금</t>
    <phoneticPr fontId="12" type="noConversion"/>
  </si>
  <si>
    <t>단순DSCR</t>
  </si>
  <si>
    <t>누적DSCR</t>
  </si>
  <si>
    <t>모델시작분기</t>
    <phoneticPr fontId="12" type="noConversion"/>
  </si>
  <si>
    <t>자본구조 (2020년 12월말 기준)</t>
    <phoneticPr fontId="12" type="noConversion"/>
  </si>
  <si>
    <t>상환율</t>
    <phoneticPr fontId="12" type="noConversion"/>
  </si>
  <si>
    <t>상환액</t>
    <phoneticPr fontId="12" type="noConversion"/>
  </si>
  <si>
    <t>기준년도</t>
    <phoneticPr fontId="12" type="noConversion"/>
  </si>
  <si>
    <t>금리</t>
    <phoneticPr fontId="12" type="noConversion"/>
  </si>
  <si>
    <t>운영일수/연</t>
    <phoneticPr fontId="12" type="noConversion"/>
  </si>
  <si>
    <t>자기자본</t>
    <phoneticPr fontId="12" type="noConversion"/>
  </si>
  <si>
    <t>기준일</t>
    <phoneticPr fontId="12" type="noConversion"/>
  </si>
  <si>
    <t>보통주</t>
    <phoneticPr fontId="12" type="noConversion"/>
  </si>
  <si>
    <t>Refinancing date</t>
    <phoneticPr fontId="12" type="noConversion"/>
  </si>
  <si>
    <t>우선주</t>
    <phoneticPr fontId="12" type="noConversion"/>
  </si>
  <si>
    <t>운영</t>
    <phoneticPr fontId="12" type="noConversion"/>
  </si>
  <si>
    <t>운영개시시점</t>
    <phoneticPr fontId="12" type="noConversion"/>
  </si>
  <si>
    <t>타인자본</t>
    <phoneticPr fontId="12" type="noConversion"/>
  </si>
  <si>
    <t>가산금리</t>
    <phoneticPr fontId="12" type="noConversion"/>
  </si>
  <si>
    <t>운영기간</t>
    <phoneticPr fontId="12" type="noConversion"/>
  </si>
  <si>
    <t>운영종료시점</t>
    <phoneticPr fontId="12" type="noConversion"/>
  </si>
  <si>
    <t>장기B-1</t>
    <phoneticPr fontId="12" type="noConversion"/>
  </si>
  <si>
    <t>기본 가정</t>
    <phoneticPr fontId="46" type="noConversion"/>
  </si>
  <si>
    <t>장기B-2</t>
    <phoneticPr fontId="12" type="noConversion"/>
  </si>
  <si>
    <t>법인세율(지방소득세 포함)</t>
    <phoneticPr fontId="12" type="noConversion"/>
  </si>
  <si>
    <t>2억 이하</t>
    <phoneticPr fontId="12" type="noConversion"/>
  </si>
  <si>
    <t>장기C</t>
    <phoneticPr fontId="12" type="noConversion"/>
  </si>
  <si>
    <t>2억 초과</t>
    <phoneticPr fontId="12" type="noConversion"/>
  </si>
  <si>
    <t>소계</t>
    <phoneticPr fontId="12" type="noConversion"/>
  </si>
  <si>
    <t>계</t>
    <phoneticPr fontId="12" type="noConversion"/>
  </si>
  <si>
    <t>200억 초과</t>
    <phoneticPr fontId="12" type="noConversion"/>
  </si>
  <si>
    <t>운전자금</t>
    <phoneticPr fontId="12" type="noConversion"/>
  </si>
  <si>
    <t>Model check</t>
    <phoneticPr fontId="46" type="noConversion"/>
  </si>
  <si>
    <t>이월결손금 공제한도</t>
    <phoneticPr fontId="12" type="noConversion"/>
  </si>
  <si>
    <t>단기차입금</t>
    <phoneticPr fontId="12" type="noConversion"/>
  </si>
  <si>
    <t>B/S Check</t>
  </si>
  <si>
    <t>Waterfall Check</t>
  </si>
  <si>
    <t>금액단위</t>
    <phoneticPr fontId="12" type="noConversion"/>
  </si>
  <si>
    <t>자금부족</t>
  </si>
  <si>
    <t>운영수입 가정</t>
    <phoneticPr fontId="46" type="noConversion"/>
  </si>
  <si>
    <t>차입금 상환완료일</t>
    <phoneticPr fontId="12" type="noConversion"/>
  </si>
  <si>
    <t xml:space="preserve">물동량 </t>
    <phoneticPr fontId="12" type="noConversion"/>
  </si>
  <si>
    <t>적용률</t>
    <phoneticPr fontId="12" type="noConversion"/>
  </si>
  <si>
    <t>SPV 조달금액</t>
    <phoneticPr fontId="46" type="noConversion"/>
  </si>
  <si>
    <t>조달금액</t>
  </si>
  <si>
    <t>금액(억원)</t>
    <phoneticPr fontId="12" type="noConversion"/>
  </si>
  <si>
    <t>Tariff</t>
    <phoneticPr fontId="12" type="noConversion"/>
  </si>
  <si>
    <t>상승률</t>
    <phoneticPr fontId="12" type="noConversion"/>
  </si>
  <si>
    <t>인상주기</t>
    <phoneticPr fontId="12" type="noConversion"/>
  </si>
  <si>
    <t>약정규모</t>
    <phoneticPr fontId="12" type="noConversion"/>
  </si>
  <si>
    <t>약정수수료율</t>
    <phoneticPr fontId="12" type="noConversion"/>
  </si>
  <si>
    <t>대출원금(22.1Q)</t>
  </si>
  <si>
    <t>UNCT 차입금 잔액</t>
    <phoneticPr fontId="12" type="noConversion"/>
  </si>
  <si>
    <t>인출가능기간</t>
    <phoneticPr fontId="12" type="noConversion"/>
  </si>
  <si>
    <t>적용금리</t>
    <phoneticPr fontId="12" type="noConversion"/>
  </si>
  <si>
    <t>배당제한 등 기타</t>
    <phoneticPr fontId="46" type="noConversion"/>
  </si>
  <si>
    <t>4번선석 임대 (성운)</t>
    <phoneticPr fontId="12" type="noConversion"/>
  </si>
  <si>
    <t>금액(억원/년)</t>
  </si>
  <si>
    <t>상승률</t>
  </si>
  <si>
    <t>배당제한조건</t>
    <phoneticPr fontId="12" type="noConversion"/>
  </si>
  <si>
    <t>1일이자</t>
  </si>
  <si>
    <t>1일 이자금액</t>
    <phoneticPr fontId="12" type="noConversion"/>
  </si>
  <si>
    <t>운영비용 가정</t>
    <phoneticPr fontId="46" type="noConversion"/>
  </si>
  <si>
    <t>부대비용</t>
  </si>
  <si>
    <t>운영비 적용</t>
    <phoneticPr fontId="12" type="noConversion"/>
  </si>
  <si>
    <t>대체비</t>
    <phoneticPr fontId="12" type="noConversion"/>
  </si>
  <si>
    <t>Fund ROI(SPV)</t>
    <phoneticPr fontId="12" type="noConversion"/>
  </si>
  <si>
    <t>Fund ROI</t>
    <phoneticPr fontId="12" type="noConversion"/>
  </si>
  <si>
    <t>통합</t>
    <phoneticPr fontId="12" type="noConversion"/>
  </si>
  <si>
    <t>물가상승률/인상률</t>
    <phoneticPr fontId="12" type="noConversion"/>
  </si>
  <si>
    <t>MRG/TP</t>
    <phoneticPr fontId="12" type="noConversion"/>
  </si>
  <si>
    <t>DSRA 설정</t>
    <phoneticPr fontId="12" type="noConversion"/>
  </si>
  <si>
    <t>이자</t>
    <phoneticPr fontId="12" type="noConversion"/>
  </si>
  <si>
    <t>개월</t>
  </si>
  <si>
    <t>보수차감후</t>
    <phoneticPr fontId="12" type="noConversion"/>
  </si>
  <si>
    <t>원금</t>
    <phoneticPr fontId="12" type="noConversion"/>
  </si>
  <si>
    <t>보수차감전</t>
    <phoneticPr fontId="12" type="noConversion"/>
  </si>
  <si>
    <t>MRG</t>
    <phoneticPr fontId="12" type="noConversion"/>
  </si>
  <si>
    <t>하역수입</t>
    <phoneticPr fontId="12" type="noConversion"/>
  </si>
  <si>
    <t>① 기본하역료</t>
  </si>
  <si>
    <t>② 부대서비스</t>
  </si>
  <si>
    <t>운영비용</t>
  </si>
  <si>
    <t>연도별 법인세 정산금</t>
    <phoneticPr fontId="12" type="noConversion"/>
  </si>
  <si>
    <t>불변</t>
    <phoneticPr fontId="12" type="noConversion"/>
  </si>
  <si>
    <t>경상</t>
    <phoneticPr fontId="12" type="noConversion"/>
  </si>
  <si>
    <t>예정운영비용</t>
    <phoneticPr fontId="12" type="noConversion"/>
  </si>
  <si>
    <t>법인세비용</t>
    <phoneticPr fontId="12" type="noConversion"/>
  </si>
  <si>
    <t>사업개요</t>
    <phoneticPr fontId="12" type="noConversion"/>
  </si>
  <si>
    <t>사업명</t>
    <phoneticPr fontId="12" type="noConversion"/>
  </si>
  <si>
    <t>울산신항개발 1-1단계 민간투자시설사업</t>
    <phoneticPr fontId="12" type="noConversion"/>
  </si>
  <si>
    <t>규모</t>
    <phoneticPr fontId="12" type="noConversion"/>
  </si>
  <si>
    <t>컨테이너부두</t>
    <phoneticPr fontId="12" type="noConversion"/>
  </si>
  <si>
    <t>5만톤급 1선석, 2만톤급 3선석</t>
    <phoneticPr fontId="12" type="noConversion"/>
  </si>
  <si>
    <t>광석부두</t>
    <phoneticPr fontId="12" type="noConversion"/>
  </si>
  <si>
    <t>2만톤급 2선석</t>
    <phoneticPr fontId="12" type="noConversion"/>
  </si>
  <si>
    <t>사업구조</t>
    <phoneticPr fontId="12" type="noConversion"/>
  </si>
  <si>
    <t>BTO</t>
    <phoneticPr fontId="12" type="noConversion"/>
  </si>
  <si>
    <t>관리운영기간</t>
    <phoneticPr fontId="12" type="noConversion"/>
  </si>
  <si>
    <t>2009년 7월 1일 ~ 2059년 6월 30일</t>
    <phoneticPr fontId="12" type="noConversion"/>
  </si>
  <si>
    <t>운영개시후 15년간(~2024년 6월)</t>
    <phoneticPr fontId="12" type="noConversion"/>
  </si>
  <si>
    <t>(5년간 각각 90%, 85%, 80%)</t>
  </si>
  <si>
    <t>연혁</t>
    <phoneticPr fontId="12" type="noConversion"/>
  </si>
  <si>
    <t>실시협약 체결</t>
    <phoneticPr fontId="12" type="noConversion"/>
  </si>
  <si>
    <t>UNCT 설립</t>
    <phoneticPr fontId="12" type="noConversion"/>
  </si>
  <si>
    <t>착공</t>
    <phoneticPr fontId="12" type="noConversion"/>
  </si>
  <si>
    <t>준공</t>
    <phoneticPr fontId="12" type="noConversion"/>
  </si>
  <si>
    <t>구제금융</t>
    <phoneticPr fontId="12" type="noConversion"/>
  </si>
  <si>
    <t>주주현황</t>
    <phoneticPr fontId="12" type="noConversion"/>
  </si>
  <si>
    <t>주      주</t>
  </si>
  <si>
    <t>당기말</t>
  </si>
  <si>
    <t>주식의 종류</t>
  </si>
  <si>
    <t>소유주식수</t>
  </si>
  <si>
    <t>액면가액</t>
    <phoneticPr fontId="12" type="noConversion"/>
  </si>
  <si>
    <t>지분율(%)</t>
  </si>
  <si>
    <t>(주)</t>
  </si>
  <si>
    <t>(억원)</t>
    <phoneticPr fontId="12" type="noConversion"/>
  </si>
  <si>
    <t>(주)동방</t>
  </si>
  <si>
    <t>보통주</t>
  </si>
  <si>
    <t>국민연금공단(*1)</t>
  </si>
  <si>
    <t>배당우선주</t>
  </si>
  <si>
    <t>HDC(주)</t>
  </si>
  <si>
    <t>(주)대우건설</t>
  </si>
  <si>
    <t>(주)한진중공업</t>
  </si>
  <si>
    <t>대림건설(주)</t>
  </si>
  <si>
    <t>한일건설(주)</t>
  </si>
  <si>
    <t>(주)한화건설</t>
  </si>
  <si>
    <t>수협은행(*1)</t>
  </si>
  <si>
    <t>신창산업개발(주)</t>
  </si>
  <si>
    <t>합               계</t>
  </si>
  <si>
    <t>(*1) 의결권이 있는 참가적·누적적 배당우선주</t>
  </si>
  <si>
    <t>참가적 : 보통주식 배당률이 우선주식의 배당률을 초과할 경우 그 초과분에 대하여 보통주식과 동일한 비율로 배당</t>
    <phoneticPr fontId="12" type="noConversion"/>
  </si>
  <si>
    <t>누적적 : 어느 사업연도에 배당을 하지 못한 경우 누적된 미배당분을 이후 배당시 우선배당(배당률 8%, 848백만원/년)</t>
    <phoneticPr fontId="12" type="noConversion"/>
  </si>
  <si>
    <t>차입금 현황</t>
    <phoneticPr fontId="12" type="noConversion"/>
  </si>
  <si>
    <t>차입처</t>
  </si>
  <si>
    <t>㈜국민은행, 국민연금공단, 수협은행, 한국산업은행, 교보생명보험㈜</t>
  </si>
  <si>
    <t>총약정액</t>
    <phoneticPr fontId="12" type="noConversion"/>
  </si>
  <si>
    <t>잔액(2020년말)</t>
    <phoneticPr fontId="12" type="noConversion"/>
  </si>
  <si>
    <t>잔액(2021년말)</t>
    <phoneticPr fontId="12" type="noConversion"/>
  </si>
  <si>
    <t>잔액(2022.1Q)</t>
    <phoneticPr fontId="12" type="noConversion"/>
  </si>
  <si>
    <t>상환일정</t>
    <phoneticPr fontId="12" type="noConversion"/>
  </si>
  <si>
    <t>장기A대출</t>
  </si>
  <si>
    <t>기준금리+1.6%</t>
    <phoneticPr fontId="12" type="noConversion"/>
  </si>
  <si>
    <t>2017년 4분기 이자지급일부터 2029년 3분기 이자지급일까지 48회 불균등 분할상환</t>
  </si>
  <si>
    <t>장기B-1대출</t>
  </si>
  <si>
    <t>장기B-2대출</t>
  </si>
  <si>
    <t>장기C대출</t>
  </si>
  <si>
    <t>기준금리+1.3%</t>
    <phoneticPr fontId="12" type="noConversion"/>
  </si>
  <si>
    <t>운전자금대출</t>
  </si>
  <si>
    <t>기준금리+1.7%</t>
    <phoneticPr fontId="12" type="noConversion"/>
  </si>
  <si>
    <t>2015년 4분기 이자지급일부터 2017년 3분기 이자지급일까지 8회 불균등 분할상환</t>
  </si>
  <si>
    <t>신용등급이 'AA-' 이고 잔존만기 3년인 무보증(공모)회사채 기준수익률의 단순산술평균</t>
  </si>
  <si>
    <t>실적</t>
    <phoneticPr fontId="12" type="noConversion"/>
  </si>
  <si>
    <t>○ 연도별 물동량</t>
    <phoneticPr fontId="12" type="noConversion"/>
  </si>
  <si>
    <t>(단위: TEU)</t>
    <phoneticPr fontId="12" type="noConversion"/>
  </si>
  <si>
    <t>실시협약</t>
    <phoneticPr fontId="12" type="noConversion"/>
  </si>
  <si>
    <t>JUCT</t>
    <phoneticPr fontId="12" type="noConversion"/>
  </si>
  <si>
    <t>구 분</t>
  </si>
  <si>
    <t>(TEU)</t>
    <phoneticPr fontId="12" type="noConversion"/>
  </si>
  <si>
    <t>대비</t>
    <phoneticPr fontId="12" type="noConversion"/>
  </si>
  <si>
    <t>매출</t>
    <phoneticPr fontId="12" type="noConversion"/>
  </si>
  <si>
    <t>실시협약(불변)</t>
    <phoneticPr fontId="12" type="noConversion"/>
  </si>
  <si>
    <t>실시협약(불변)_기간조정</t>
    <phoneticPr fontId="12" type="noConversion"/>
  </si>
  <si>
    <t>누적물가지수변동분(전기말)</t>
    <phoneticPr fontId="12" type="noConversion"/>
  </si>
  <si>
    <t>실시협약(경상)</t>
    <phoneticPr fontId="12" type="noConversion"/>
  </si>
  <si>
    <t>대비</t>
  </si>
  <si>
    <t>출처 : 년도별 운영수입실적(2009_2021).xls</t>
    <phoneticPr fontId="12" type="noConversion"/>
  </si>
  <si>
    <t>실시협약 제51조에 의거 회사는 운영개시일로부터 15년 동안 매 사업연도의 실제 사용료수입이 보장기준사용료수입에 미달하거나 환수기준사용료수입을 초과하는 경우, 해양수산부로부터 부족분을 보장받거나 해양수산부에 초과분을 환수시켜야 합니다.</t>
  </si>
  <si>
    <t>구  분</t>
  </si>
  <si>
    <t> 내   용</t>
  </si>
  <si>
    <t>추정사용료수입</t>
  </si>
  <si>
    <t>실시협약 부록8에 명시된 특정 사업년도의 본 사업 사용료수입</t>
  </si>
  <si>
    <t>보장기준사용료수입(*)</t>
  </si>
  <si>
    <t>실시협약 부록8에 명시되어 있는 특정 사업년도 추정사용료수입의 80% ~ 90%</t>
  </si>
  <si>
    <t>환수기준사용료수입</t>
  </si>
  <si>
    <t>실시협약 부록8에 명시되어 있는 특정 사업년도 추정사용료수입의 110%~120%</t>
  </si>
  <si>
    <t>(*) 당해년도 실제 사용료수입이 추정사용료수입의 50%에 미달할 경우에도 추정사용료수입의 50%까지는 달성한 것으로 간주됩니다.</t>
  </si>
  <si>
    <t>운영출자자약정서(2015.03.20)</t>
    <phoneticPr fontId="12" type="noConversion"/>
  </si>
  <si>
    <t>1. 출자</t>
    <phoneticPr fontId="12" type="noConversion"/>
  </si>
  <si>
    <t>동방 150억원 보통주 출자</t>
    <phoneticPr fontId="12" type="noConversion"/>
  </si>
  <si>
    <t>2. 자금보충의무</t>
    <phoneticPr fontId="12" type="noConversion"/>
  </si>
  <si>
    <t>한도 :</t>
    <phoneticPr fontId="12" type="noConversion"/>
  </si>
  <si>
    <t>520억원</t>
    <phoneticPr fontId="12" type="noConversion"/>
  </si>
  <si>
    <t>재원 :</t>
    <phoneticPr fontId="12" type="noConversion"/>
  </si>
  <si>
    <t>운영위탁수루료적립계좌에 실제 예치되는 금액을 재원으로 이행</t>
    <phoneticPr fontId="12" type="noConversion"/>
  </si>
  <si>
    <t>내용 :</t>
    <phoneticPr fontId="12" type="noConversion"/>
  </si>
  <si>
    <t>운영위탁수수료적립계좌에 적립된 금액으로 원리금 상환을 위해 후순위 조건의 대여금으로 제공하고 주주협약에 따라 당해 대여금의 원리금을 출자전환해야함</t>
    <phoneticPr fontId="12" type="noConversion"/>
  </si>
  <si>
    <t>3. 운영위탁수수료</t>
    <phoneticPr fontId="12" type="noConversion"/>
  </si>
  <si>
    <t>~2024년 6월 30일 :</t>
    <phoneticPr fontId="12" type="noConversion"/>
  </si>
  <si>
    <t>예정운영비용에서 실제 법인운영비를 공제한 금액</t>
    <phoneticPr fontId="12" type="noConversion"/>
  </si>
  <si>
    <t>2024년 7월 1일~ :</t>
    <phoneticPr fontId="12" type="noConversion"/>
  </si>
  <si>
    <t xml:space="preserve">기간&gt;재계약시점부터 원리금 전액 상환될때까지 </t>
    <phoneticPr fontId="12" type="noConversion"/>
  </si>
  <si>
    <t>금액&gt;최소운영위탁수수료에서 실제 발생한 법인운영비를 공제한 금액(해당연도 실제 항만하역수입이 예정항만하역수입을 초과할 경우, 최소운영위탁수수료의 25%에 해당하는 금액을 한도로 초과된 금액을 최소운영위탁수수료에 추가하여 지급)</t>
    <phoneticPr fontId="12" type="noConversion"/>
  </si>
  <si>
    <t>4. 운영위탁수수료적립계좌</t>
    <phoneticPr fontId="12" type="noConversion"/>
  </si>
  <si>
    <t>명의 &gt; OI(동방)</t>
    <phoneticPr fontId="12" type="noConversion"/>
  </si>
  <si>
    <t>금액 &gt; 운영위탁수수료적립요구액(예정운영비용에서 최소운영위탁수수료를 공제한 금액을 참고하여 합의된 금액)을 운영위탁수수료적립계좌에 적립</t>
    <phoneticPr fontId="12" type="noConversion"/>
  </si>
  <si>
    <t>한도 &gt; 자금보충의무 한도 520억원</t>
    <phoneticPr fontId="12" type="noConversion"/>
  </si>
  <si>
    <t>5. 물가상승률(부록)</t>
    <phoneticPr fontId="12" type="noConversion"/>
  </si>
  <si>
    <t>물가상승률 연 2.0%를 가정하여 기재</t>
    <phoneticPr fontId="12" type="noConversion"/>
  </si>
  <si>
    <t>직전년도 실제 소비자물가상승률이 연 2.0% 이하인 경우 연 2.0%를 적용하고, 직전년도 실제 소비자물가상승률이 연 2.0%를 초과하는 경우 실제 소비자물가상승률을 적용하고, 실제물동량을 반영하여 매 분기 재산정함.</t>
    <phoneticPr fontId="12" type="noConversion"/>
  </si>
  <si>
    <t>2001.05.29</t>
    <phoneticPr fontId="12" type="noConversion"/>
  </si>
  <si>
    <t>2001년 5월 CPI(2020=100)</t>
    <phoneticPr fontId="12" type="noConversion"/>
  </si>
  <si>
    <t>2014.12월</t>
    <phoneticPr fontId="12" type="noConversion"/>
  </si>
  <si>
    <t>2014년 12월 CPI(2020=100)</t>
    <phoneticPr fontId="12" type="noConversion"/>
  </si>
  <si>
    <t>물가지수</t>
    <phoneticPr fontId="12" type="noConversion"/>
  </si>
  <si>
    <t>통계표</t>
  </si>
  <si>
    <t>4.1.1 시장금리(일별)</t>
  </si>
  <si>
    <t>항목명1</t>
  </si>
  <si>
    <t>회사채(3년, AA-)</t>
  </si>
  <si>
    <t>단위</t>
  </si>
  <si>
    <t>연%</t>
  </si>
  <si>
    <t>변환</t>
  </si>
  <si>
    <t>원자료</t>
  </si>
  <si>
    <t>2021/12/31</t>
  </si>
  <si>
    <t>2021/12/30</t>
  </si>
  <si>
    <t>2021/12/29</t>
  </si>
  <si>
    <t>2021/12/28</t>
  </si>
  <si>
    <t>2021/12/27</t>
  </si>
  <si>
    <t>2021/12/24</t>
  </si>
  <si>
    <t>2021/12/23</t>
  </si>
  <si>
    <t>2021/12/22</t>
  </si>
  <si>
    <t>2021/12/21</t>
  </si>
  <si>
    <t>2021/12/20</t>
  </si>
  <si>
    <t>2021/12/17</t>
  </si>
  <si>
    <t>2021/12/16</t>
  </si>
  <si>
    <t>2021/12/15</t>
  </si>
  <si>
    <t>2021/12/14</t>
  </si>
  <si>
    <t>2021/12/13</t>
  </si>
  <si>
    <t>2021/12/10</t>
  </si>
  <si>
    <t>2021/12/09</t>
  </si>
  <si>
    <t>2021/12/08</t>
  </si>
  <si>
    <t>2021/12/07</t>
  </si>
  <si>
    <t>2021/12/06</t>
  </si>
  <si>
    <t>2021/12/03</t>
  </si>
  <si>
    <t>2021/12/02</t>
  </si>
  <si>
    <t>2021/12/01</t>
  </si>
  <si>
    <t>2021/11/30</t>
  </si>
  <si>
    <t>2021/11/29</t>
  </si>
  <si>
    <t>2021/11/26</t>
  </si>
  <si>
    <t>2021/11/25</t>
  </si>
  <si>
    <t>2021/11/24</t>
  </si>
  <si>
    <t>2021/11/23</t>
  </si>
  <si>
    <t>2021/11/22</t>
  </si>
  <si>
    <t>2021/11/19</t>
  </si>
  <si>
    <t>2021/11/18</t>
  </si>
  <si>
    <t>2021/11/17</t>
  </si>
  <si>
    <t>2021/11/16</t>
  </si>
  <si>
    <t>2021/11/15</t>
  </si>
  <si>
    <t>2021/11/12</t>
  </si>
  <si>
    <t>2021/11/11</t>
  </si>
  <si>
    <t>2021/11/10</t>
  </si>
  <si>
    <t>2021/11/09</t>
  </si>
  <si>
    <t>2021/11/08</t>
  </si>
  <si>
    <t>2021/11/05</t>
  </si>
  <si>
    <t>2021/11/04</t>
  </si>
  <si>
    <t>2021/11/03</t>
  </si>
  <si>
    <t>2021/11/02</t>
  </si>
  <si>
    <t>2021/11/01</t>
  </si>
  <si>
    <t>2021/10/29</t>
  </si>
  <si>
    <t>2021/10/28</t>
  </si>
  <si>
    <t>2021/10/27</t>
  </si>
  <si>
    <t>2021/10/26</t>
  </si>
  <si>
    <t>2021/10/25</t>
  </si>
  <si>
    <t>2021/10/22</t>
  </si>
  <si>
    <t>2021/10/21</t>
  </si>
  <si>
    <t>2021/10/20</t>
  </si>
  <si>
    <t>2021/10/19</t>
  </si>
  <si>
    <t>2021/10/18</t>
  </si>
  <si>
    <t>2021/10/15</t>
  </si>
  <si>
    <t>2021/10/14</t>
  </si>
  <si>
    <t>2021/10/13</t>
  </si>
  <si>
    <t>2021/10/12</t>
  </si>
  <si>
    <t>2021/10/08</t>
  </si>
  <si>
    <t>2021/10/07</t>
  </si>
  <si>
    <t>2021/10/06</t>
  </si>
  <si>
    <t>2021/10/05</t>
  </si>
  <si>
    <t>2021/10/01</t>
  </si>
  <si>
    <t>2021/09/30</t>
  </si>
  <si>
    <t>2021/09/29</t>
  </si>
  <si>
    <t>2021/09/28</t>
  </si>
  <si>
    <t>2021/09/27</t>
  </si>
  <si>
    <t>2021/09/24</t>
  </si>
  <si>
    <t>2021/09/23</t>
  </si>
  <si>
    <t>2021/09/17</t>
  </si>
  <si>
    <t>2021/09/16</t>
  </si>
  <si>
    <t>2021/09/15</t>
  </si>
  <si>
    <t>2021/09/14</t>
  </si>
  <si>
    <t>2021/09/13</t>
  </si>
  <si>
    <t>2021/09/10</t>
  </si>
  <si>
    <t>2021/09/09</t>
  </si>
  <si>
    <t>2021/09/08</t>
  </si>
  <si>
    <t>2021/09/07</t>
  </si>
  <si>
    <t>2021/09/06</t>
  </si>
  <si>
    <t>2021/09/03</t>
  </si>
  <si>
    <t>2021/09/02</t>
  </si>
  <si>
    <t>2021/09/01</t>
  </si>
  <si>
    <t>2021/08/31</t>
  </si>
  <si>
    <t>2021/08/30</t>
  </si>
  <si>
    <t>2021/08/27</t>
  </si>
  <si>
    <t>2021/08/26</t>
  </si>
  <si>
    <t>2021/08/25</t>
  </si>
  <si>
    <t>2021/08/24</t>
  </si>
  <si>
    <t>2021/08/23</t>
  </si>
  <si>
    <t>2021/08/20</t>
  </si>
  <si>
    <t>2021/08/19</t>
  </si>
  <si>
    <t>2021/08/18</t>
  </si>
  <si>
    <t>2021/08/17</t>
  </si>
  <si>
    <t>2021/08/13</t>
  </si>
  <si>
    <t>2021/08/12</t>
  </si>
  <si>
    <t>2021/08/11</t>
  </si>
  <si>
    <t>2021/08/10</t>
  </si>
  <si>
    <t>2021/08/09</t>
  </si>
  <si>
    <t>2021/08/06</t>
  </si>
  <si>
    <t>2021/08/05</t>
  </si>
  <si>
    <t>2021/08/04</t>
  </si>
  <si>
    <t>2021/08/03</t>
  </si>
  <si>
    <t>2021/08/02</t>
  </si>
  <si>
    <t>2021/07/30</t>
  </si>
  <si>
    <t>2021/07/29</t>
  </si>
  <si>
    <t>2021/07/28</t>
  </si>
  <si>
    <t>2021/07/27</t>
  </si>
  <si>
    <t>2021/07/26</t>
  </si>
  <si>
    <t>2021/07/23</t>
  </si>
  <si>
    <t>2021/07/22</t>
  </si>
  <si>
    <t>2021/07/21</t>
  </si>
  <si>
    <t>2021/07/20</t>
  </si>
  <si>
    <t>2021/07/19</t>
  </si>
  <si>
    <t>2021/07/16</t>
  </si>
  <si>
    <t>2021/07/15</t>
  </si>
  <si>
    <t>2021/07/14</t>
  </si>
  <si>
    <t>2021/07/13</t>
  </si>
  <si>
    <t>2021/07/12</t>
  </si>
  <si>
    <t>2021/07/09</t>
  </si>
  <si>
    <t>2021/07/08</t>
  </si>
  <si>
    <t>2021/07/07</t>
  </si>
  <si>
    <t>2021/07/06</t>
  </si>
  <si>
    <t>2021/07/05</t>
  </si>
  <si>
    <t>2021/07/02</t>
  </si>
  <si>
    <t>2021/07/01</t>
  </si>
  <si>
    <t>2021/06/30</t>
  </si>
  <si>
    <t>2021/06/29</t>
  </si>
  <si>
    <t>2021/06/28</t>
  </si>
  <si>
    <t>2021/06/25</t>
  </si>
  <si>
    <t>2021/06/24</t>
  </si>
  <si>
    <t>2021/06/23</t>
  </si>
  <si>
    <t>2021/06/22</t>
  </si>
  <si>
    <t>2021/06/21</t>
  </si>
  <si>
    <t>2021/06/18</t>
  </si>
  <si>
    <t>2021/06/17</t>
  </si>
  <si>
    <t>2021/06/16</t>
  </si>
  <si>
    <t>2021/06/15</t>
  </si>
  <si>
    <t>2021/06/14</t>
  </si>
  <si>
    <t>2021/06/11</t>
  </si>
  <si>
    <t>2021/06/10</t>
  </si>
  <si>
    <t>2021/06/09</t>
  </si>
  <si>
    <t>2021/06/08</t>
  </si>
  <si>
    <t>2021/06/07</t>
  </si>
  <si>
    <t>2021/06/04</t>
  </si>
  <si>
    <t>2021/06/03</t>
  </si>
  <si>
    <t>2021/06/02</t>
  </si>
  <si>
    <t>2021/06/01</t>
  </si>
  <si>
    <t>2021/05/31</t>
  </si>
  <si>
    <t>2021/05/28</t>
  </si>
  <si>
    <t>2021/05/27</t>
  </si>
  <si>
    <t>2021/05/26</t>
  </si>
  <si>
    <t>2021/05/25</t>
  </si>
  <si>
    <t>2021/05/24</t>
  </si>
  <si>
    <t>2021/05/21</t>
  </si>
  <si>
    <t>2021/05/20</t>
  </si>
  <si>
    <t>2021/05/18</t>
  </si>
  <si>
    <t>2021/05/17</t>
  </si>
  <si>
    <t>2021/05/14</t>
  </si>
  <si>
    <t>2021/05/13</t>
  </si>
  <si>
    <t>2021/05/12</t>
  </si>
  <si>
    <t>2021/05/11</t>
  </si>
  <si>
    <t>2021/05/10</t>
  </si>
  <si>
    <t>2021/05/07</t>
  </si>
  <si>
    <t>2021/05/06</t>
  </si>
  <si>
    <t>2021/05/04</t>
  </si>
  <si>
    <t>2021/05/03</t>
  </si>
  <si>
    <t>2021/04/30</t>
  </si>
  <si>
    <t>2021/04/29</t>
  </si>
  <si>
    <t>2021/04/28</t>
  </si>
  <si>
    <t>2021/04/27</t>
  </si>
  <si>
    <t>2021/04/26</t>
  </si>
  <si>
    <t>2021/04/23</t>
  </si>
  <si>
    <t>2021/04/22</t>
  </si>
  <si>
    <t>2021/04/21</t>
  </si>
  <si>
    <t>2021/04/20</t>
  </si>
  <si>
    <t>2021/04/19</t>
  </si>
  <si>
    <t>2021/04/16</t>
  </si>
  <si>
    <t>2021/04/15</t>
  </si>
  <si>
    <t>2021/04/14</t>
  </si>
  <si>
    <t>2021/04/13</t>
  </si>
  <si>
    <t>2021/04/12</t>
  </si>
  <si>
    <t>2021/04/09</t>
  </si>
  <si>
    <t>2021/04/08</t>
  </si>
  <si>
    <t>2021/04/07</t>
  </si>
  <si>
    <t>2021/04/06</t>
  </si>
  <si>
    <t>2021/04/05</t>
  </si>
  <si>
    <t>2021/04/02</t>
  </si>
  <si>
    <t>2021/04/01</t>
  </si>
  <si>
    <t>2021/03/31</t>
  </si>
  <si>
    <t>2021/03/30</t>
  </si>
  <si>
    <t>2021/03/29</t>
  </si>
  <si>
    <t>2021/03/26</t>
  </si>
  <si>
    <t>2021/03/25</t>
  </si>
  <si>
    <t>2021/03/24</t>
  </si>
  <si>
    <t>2021/03/23</t>
  </si>
  <si>
    <t>2021/03/22</t>
  </si>
  <si>
    <t>2021/03/19</t>
  </si>
  <si>
    <t>2021/03/18</t>
  </si>
  <si>
    <t>2021/03/17</t>
  </si>
  <si>
    <t>2021/03/16</t>
  </si>
  <si>
    <t>2021/03/15</t>
  </si>
  <si>
    <t>2021/03/12</t>
  </si>
  <si>
    <t>2021/03/11</t>
  </si>
  <si>
    <t>2021/03/10</t>
  </si>
  <si>
    <t>2021/03/09</t>
  </si>
  <si>
    <t>2021/03/08</t>
  </si>
  <si>
    <t>2021/03/05</t>
  </si>
  <si>
    <t>2021/03/04</t>
  </si>
  <si>
    <t>2021/03/03</t>
  </si>
  <si>
    <t>2021/03/02</t>
  </si>
  <si>
    <t>2021/02/26</t>
  </si>
  <si>
    <t>2021/02/25</t>
  </si>
  <si>
    <t>2021/02/24</t>
  </si>
  <si>
    <t>2021/02/23</t>
  </si>
  <si>
    <t>2021/02/22</t>
  </si>
  <si>
    <t>2021/02/19</t>
  </si>
  <si>
    <t>2021/02/18</t>
  </si>
  <si>
    <t>2021/02/17</t>
  </si>
  <si>
    <t>2021/02/16</t>
  </si>
  <si>
    <t>2021/02/15</t>
  </si>
  <si>
    <t>2021/02/10</t>
  </si>
  <si>
    <t>2021/02/09</t>
  </si>
  <si>
    <t>2021/02/08</t>
  </si>
  <si>
    <t>2021/02/05</t>
  </si>
  <si>
    <t>2021/02/04</t>
  </si>
  <si>
    <t>2021/02/03</t>
  </si>
  <si>
    <t>2021/02/02</t>
  </si>
  <si>
    <t>2021/02/01</t>
  </si>
  <si>
    <t>2021/01/29</t>
  </si>
  <si>
    <t>2021/01/28</t>
  </si>
  <si>
    <t>2021/01/27</t>
  </si>
  <si>
    <t>2021/01/26</t>
  </si>
  <si>
    <t>2021/01/25</t>
  </si>
  <si>
    <t>2021/01/22</t>
  </si>
  <si>
    <t>2021/01/21</t>
  </si>
  <si>
    <t>2021/01/20</t>
  </si>
  <si>
    <t>2021/01/19</t>
  </si>
  <si>
    <t>2021/01/18</t>
  </si>
  <si>
    <t>2021/01/15</t>
  </si>
  <si>
    <t>2021/01/14</t>
  </si>
  <si>
    <t>2021/01/13</t>
  </si>
  <si>
    <t>2021/01/12</t>
  </si>
  <si>
    <t>2021/01/11</t>
  </si>
  <si>
    <t>2021/01/08</t>
  </si>
  <si>
    <t>2021/01/07</t>
  </si>
  <si>
    <t>2021/01/06</t>
  </si>
  <si>
    <t>2021/01/05</t>
  </si>
  <si>
    <t>2021/01/04</t>
  </si>
  <si>
    <t>마. 중고장비 정산금(G/C)</t>
  </si>
  <si>
    <t>바. 보안울타리(법률변경)</t>
  </si>
  <si>
    <t>광석부두임대</t>
    <phoneticPr fontId="12" type="noConversion"/>
  </si>
  <si>
    <t>재 무 상 태 표</t>
    <phoneticPr fontId="65" type="noConversion"/>
  </si>
  <si>
    <t>제 18기   2020년  12월  31일  현재</t>
    <phoneticPr fontId="46" type="noConversion"/>
  </si>
  <si>
    <t>제 17기   2019년  12월  31일  현재</t>
    <phoneticPr fontId="46" type="noConversion"/>
  </si>
  <si>
    <t>회사명: 유엔씨티㈜</t>
    <phoneticPr fontId="46" type="noConversion"/>
  </si>
  <si>
    <t>(단위: 원)</t>
    <phoneticPr fontId="65" type="noConversion"/>
  </si>
  <si>
    <t>과    목</t>
    <phoneticPr fontId="46" type="noConversion"/>
  </si>
  <si>
    <t>제  18(당)기</t>
    <phoneticPr fontId="46" type="noConversion"/>
  </si>
  <si>
    <t>제  17(전)기</t>
    <phoneticPr fontId="46" type="noConversion"/>
  </si>
  <si>
    <t>금        액</t>
    <phoneticPr fontId="65" type="noConversion"/>
  </si>
  <si>
    <t>자       산</t>
  </si>
  <si>
    <t>Ⅰ.유동자산</t>
  </si>
  <si>
    <t>이월결손금 잔액</t>
    <phoneticPr fontId="12" type="noConversion"/>
  </si>
  <si>
    <t>(1)당좌자산</t>
  </si>
  <si>
    <t>제예금</t>
  </si>
  <si>
    <t>현금및현금성자산</t>
    <phoneticPr fontId="12" type="noConversion"/>
  </si>
  <si>
    <t>사업연도</t>
    <phoneticPr fontId="12" type="noConversion"/>
  </si>
  <si>
    <t>단기금융상품</t>
  </si>
  <si>
    <t>현금및현금성자산</t>
  </si>
  <si>
    <t>외상매출금</t>
  </si>
  <si>
    <t>매출채권</t>
    <phoneticPr fontId="12" type="noConversion"/>
  </si>
  <si>
    <t>정부보조금 미수금</t>
    <phoneticPr fontId="65" type="noConversion"/>
  </si>
  <si>
    <t>MRG미수금 &gt; 법인세율변동에따른정산금유보액</t>
    <phoneticPr fontId="12" type="noConversion"/>
  </si>
  <si>
    <t>미수금</t>
  </si>
  <si>
    <t>미수수익</t>
  </si>
  <si>
    <t>선급비용</t>
  </si>
  <si>
    <t>선급금</t>
    <phoneticPr fontId="7" type="noConversion"/>
  </si>
  <si>
    <t>부가세대급금</t>
  </si>
  <si>
    <t>선급법인세</t>
  </si>
  <si>
    <t>금융리스채권</t>
  </si>
  <si>
    <t>Ⅱ.비유동자산</t>
  </si>
  <si>
    <t>(출처: 2020년 유엔씨티 세무조정계산서)</t>
    <phoneticPr fontId="12" type="noConversion"/>
  </si>
  <si>
    <t>(1)투자자산</t>
    <phoneticPr fontId="65" type="noConversion"/>
  </si>
  <si>
    <t>퇴직연금운용자산</t>
    <phoneticPr fontId="65" type="noConversion"/>
  </si>
  <si>
    <t>투자자산</t>
    <phoneticPr fontId="12" type="noConversion"/>
  </si>
  <si>
    <t>(2)유형자산</t>
    <phoneticPr fontId="65" type="noConversion"/>
  </si>
  <si>
    <t>2020년 MRG</t>
    <phoneticPr fontId="12" type="noConversion"/>
  </si>
  <si>
    <t>하역장비</t>
  </si>
  <si>
    <t>하역장비</t>
    <phoneticPr fontId="12" type="noConversion"/>
  </si>
  <si>
    <t>확정금액</t>
    <phoneticPr fontId="12" type="noConversion"/>
  </si>
  <si>
    <t>감가상각누계액</t>
  </si>
  <si>
    <t>2021.04.27 수령</t>
    <phoneticPr fontId="12" type="noConversion"/>
  </si>
  <si>
    <t>손상차손누계액</t>
  </si>
  <si>
    <t>2021.10.22 수령</t>
    <phoneticPr fontId="12" type="noConversion"/>
  </si>
  <si>
    <t>차량운반구</t>
  </si>
  <si>
    <t>차량운반구</t>
    <phoneticPr fontId="12" type="noConversion"/>
  </si>
  <si>
    <t>유형자산 국고보조금</t>
    <phoneticPr fontId="7" type="noConversion"/>
  </si>
  <si>
    <t>기타의유형자산</t>
  </si>
  <si>
    <t>기타의유형자산</t>
    <phoneticPr fontId="12" type="noConversion"/>
  </si>
  <si>
    <t>건설중인자산</t>
  </si>
  <si>
    <t>건설중인자산</t>
    <phoneticPr fontId="12" type="noConversion"/>
  </si>
  <si>
    <t>(3)무형자산</t>
    <phoneticPr fontId="65" type="noConversion"/>
  </si>
  <si>
    <t>관리운영권</t>
    <phoneticPr fontId="12" type="noConversion"/>
  </si>
  <si>
    <t>관리운영권</t>
  </si>
  <si>
    <t>국고보조금</t>
  </si>
  <si>
    <t>(4)기타비유동자산</t>
    <phoneticPr fontId="65" type="noConversion"/>
  </si>
  <si>
    <t>보증금 등</t>
  </si>
  <si>
    <t>임차보증금</t>
  </si>
  <si>
    <t>기타보증금</t>
  </si>
  <si>
    <t>자산총계</t>
  </si>
  <si>
    <t>부       채</t>
  </si>
  <si>
    <t>Ⅰ.유동부채</t>
  </si>
  <si>
    <t>2020년 차입금 잔액</t>
    <phoneticPr fontId="12" type="noConversion"/>
  </si>
  <si>
    <t>유동성장기차입금</t>
  </si>
  <si>
    <t>장기차입금</t>
    <phoneticPr fontId="12" type="noConversion"/>
  </si>
  <si>
    <t>모델</t>
    <phoneticPr fontId="12" type="noConversion"/>
  </si>
  <si>
    <t>현재가치할인차금</t>
  </si>
  <si>
    <t>BS</t>
    <phoneticPr fontId="12" type="noConversion"/>
  </si>
  <si>
    <t>미지급금</t>
    <phoneticPr fontId="7" type="noConversion"/>
  </si>
  <si>
    <t>미지급금 등</t>
    <phoneticPr fontId="12" type="noConversion"/>
  </si>
  <si>
    <t>미지급비용</t>
  </si>
  <si>
    <t>미지급금 등</t>
  </si>
  <si>
    <t>미지급법인세</t>
    <phoneticPr fontId="65" type="noConversion"/>
  </si>
  <si>
    <t>미지급법인세</t>
    <phoneticPr fontId="12" type="noConversion"/>
  </si>
  <si>
    <t>선수금</t>
  </si>
  <si>
    <t>예수금</t>
  </si>
  <si>
    <t>부가세예수금</t>
    <phoneticPr fontId="65" type="noConversion"/>
  </si>
  <si>
    <t>Ⅱ.비유동부채</t>
  </si>
  <si>
    <t>장기차입금</t>
  </si>
  <si>
    <t>임대보증금</t>
    <phoneticPr fontId="65" type="noConversion"/>
  </si>
  <si>
    <t>임대보증금</t>
    <phoneticPr fontId="12" type="noConversion"/>
  </si>
  <si>
    <t>퇴직급여충당부채</t>
  </si>
  <si>
    <t>퇴직연금운영자산</t>
  </si>
  <si>
    <t>부채총계</t>
  </si>
  <si>
    <t>Ⅰ.자본금</t>
  </si>
  <si>
    <t>보통주자본금</t>
  </si>
  <si>
    <t>자본금</t>
    <phoneticPr fontId="12" type="noConversion"/>
  </si>
  <si>
    <t>우선주자본금</t>
  </si>
  <si>
    <t>Ⅱ.자본잉여금</t>
  </si>
  <si>
    <t>기타자본잉여금</t>
  </si>
  <si>
    <t>Ⅲ.자본조정</t>
  </si>
  <si>
    <t>주식할인발행차금</t>
  </si>
  <si>
    <t>Ⅳ.결손금</t>
  </si>
  <si>
    <t>미처리결손금</t>
  </si>
  <si>
    <t>자본총계</t>
  </si>
  <si>
    <t>부채와자본총계</t>
  </si>
  <si>
    <t xml:space="preserve">손 익 계 산 서 </t>
    <phoneticPr fontId="46" type="noConversion"/>
  </si>
  <si>
    <t>제 18기 2020년 01월 01일부터  2020년 12월 31일까지</t>
    <phoneticPr fontId="46" type="noConversion"/>
  </si>
  <si>
    <t>제 17기 2019년 01월 01일부터  2019년 12월 31일까지</t>
    <phoneticPr fontId="46" type="noConversion"/>
  </si>
  <si>
    <t>회사명: 유엔씨티㈜</t>
  </si>
  <si>
    <t>제  18(당) 기</t>
    <phoneticPr fontId="46" type="noConversion"/>
  </si>
  <si>
    <t>제  17(전) 기</t>
    <phoneticPr fontId="46" type="noConversion"/>
  </si>
  <si>
    <t>Ⅰ.매출액</t>
  </si>
  <si>
    <t>운영매출</t>
    <phoneticPr fontId="65" type="noConversion"/>
  </si>
  <si>
    <t>기본하역료</t>
  </si>
  <si>
    <t>접안료</t>
  </si>
  <si>
    <t>부대서비스</t>
  </si>
  <si>
    <t>CFS 매출</t>
  </si>
  <si>
    <t>기타서비스</t>
  </si>
  <si>
    <t>MRG수익</t>
  </si>
  <si>
    <t>Ⅱ.매출원가</t>
  </si>
  <si>
    <t>Ⅲ.매출총이익</t>
  </si>
  <si>
    <t>Ⅳ.판매비와 관리비</t>
  </si>
  <si>
    <t>급여</t>
  </si>
  <si>
    <t>퇴직급여</t>
  </si>
  <si>
    <t>복리후생비</t>
  </si>
  <si>
    <t>여비교통비</t>
  </si>
  <si>
    <t>접대비</t>
  </si>
  <si>
    <t>통신비</t>
  </si>
  <si>
    <t>세금과공과금</t>
  </si>
  <si>
    <t>감가상각비</t>
  </si>
  <si>
    <t>지급임차료</t>
  </si>
  <si>
    <t>보험료</t>
  </si>
  <si>
    <t>차량유지비</t>
  </si>
  <si>
    <t>교육훈련비</t>
  </si>
  <si>
    <t>도서인쇄비</t>
  </si>
  <si>
    <t>사무용품비</t>
  </si>
  <si>
    <t>소모품비</t>
  </si>
  <si>
    <t>지급수수료</t>
  </si>
  <si>
    <t>광고선전비</t>
  </si>
  <si>
    <t>Ⅴ.영업이익</t>
  </si>
  <si>
    <t>Ⅵ.영업외수익</t>
  </si>
  <si>
    <t>이자수익</t>
  </si>
  <si>
    <t>잡이익</t>
  </si>
  <si>
    <t>유형자산처분이익</t>
    <phoneticPr fontId="7" type="noConversion"/>
  </si>
  <si>
    <t>Ⅶ.영업외비용</t>
  </si>
  <si>
    <t>이자비용</t>
  </si>
  <si>
    <t>잡손실</t>
  </si>
  <si>
    <t>Ⅷ.법인세비용차감전순이익</t>
    <phoneticPr fontId="65" type="noConversion"/>
  </si>
  <si>
    <t>Ⅸ.법인세비용</t>
  </si>
  <si>
    <t>Ⅹ.당기순이익</t>
    <phoneticPr fontId="65" type="noConversion"/>
  </si>
  <si>
    <t>Index</t>
    <phoneticPr fontId="12" type="noConversion"/>
  </si>
  <si>
    <t>연도</t>
    <phoneticPr fontId="12" type="noConversion"/>
  </si>
  <si>
    <t>1. 분기별</t>
    <phoneticPr fontId="12" type="noConversion"/>
  </si>
  <si>
    <t>구     분</t>
    <phoneticPr fontId="12" type="noConversion"/>
  </si>
  <si>
    <t>합 계</t>
    <phoneticPr fontId="12" type="noConversion"/>
  </si>
  <si>
    <t>운영월수</t>
  </si>
  <si>
    <t>경과월수</t>
    <phoneticPr fontId="12" type="noConversion"/>
  </si>
  <si>
    <t>운영월수</t>
    <phoneticPr fontId="12" type="noConversion"/>
  </si>
  <si>
    <t>잔여 운영월수</t>
    <phoneticPr fontId="12" type="noConversion"/>
  </si>
  <si>
    <t>2. 연도별</t>
    <phoneticPr fontId="12" type="noConversion"/>
  </si>
  <si>
    <t>구     분</t>
  </si>
  <si>
    <t>운영 Index</t>
    <phoneticPr fontId="12" type="noConversion"/>
  </si>
  <si>
    <t>전년대비 인상율</t>
    <phoneticPr fontId="12" type="noConversion"/>
  </si>
  <si>
    <t>tariff inflation</t>
  </si>
  <si>
    <t>index count</t>
  </si>
  <si>
    <t>인상주기</t>
  </si>
  <si>
    <t>임대료 inflation</t>
    <phoneticPr fontId="12" type="noConversion"/>
  </si>
  <si>
    <t>소비자물가지수변동분 산정</t>
    <phoneticPr fontId="7" type="noConversion"/>
  </si>
  <si>
    <t>한국은행경제통계시스템 (2015=100)</t>
    <phoneticPr fontId="7" type="noConversion"/>
  </si>
  <si>
    <t>년/월</t>
    <phoneticPr fontId="7" type="noConversion"/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</si>
  <si>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</si>
  <si>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</si>
  <si>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</si>
  <si>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</si>
  <si>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</si>
  <si>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</si>
  <si>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</si>
  <si>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</si>
  <si>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</si>
  <si>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</si>
  <si>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</si>
  <si>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</si>
  <si>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3. 실적물가(소비자물가지수)</t>
    <phoneticPr fontId="12" type="noConversion"/>
  </si>
  <si>
    <t>가중치</t>
  </si>
  <si>
    <t>년 \ 월</t>
  </si>
  <si>
    <t>7.4.1 소비자물가지수(2020=100)(전국)</t>
  </si>
  <si>
    <t>총지수</t>
  </si>
  <si>
    <t>2020=100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</si>
  <si>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</si>
  <si>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</si>
  <si>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</si>
  <si>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</si>
  <si>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</si>
  <si>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</si>
  <si>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</si>
  <si>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</si>
  <si>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</si>
  <si>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</si>
  <si>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</si>
  <si>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</si>
  <si>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</si>
  <si>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</si>
  <si>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&lt;예정운영비용 물가반영&gt;</t>
    <phoneticPr fontId="12" type="noConversion"/>
  </si>
  <si>
    <t>2015</t>
  </si>
  <si>
    <t>실제</t>
    <phoneticPr fontId="12" type="noConversion"/>
  </si>
  <si>
    <t>적용</t>
    <phoneticPr fontId="12" type="noConversion"/>
  </si>
  <si>
    <t>2016</t>
  </si>
  <si>
    <t>2017</t>
  </si>
  <si>
    <t>2018</t>
  </si>
  <si>
    <t>2019</t>
  </si>
  <si>
    <t>2020</t>
  </si>
  <si>
    <t>2021</t>
  </si>
  <si>
    <t>&lt;- 관리운영위탁계약상 CPI 2%초과하면 반영해주는걸로 되어 있던거 같은데, 법인에서 2%로 변경제시한 사유 확인 필요</t>
    <phoneticPr fontId="12" type="noConversion"/>
  </si>
  <si>
    <t>&lt;TP물가반영&gt;</t>
    <phoneticPr fontId="12" type="noConversion"/>
  </si>
  <si>
    <t>물가지수(2020=100)</t>
    <phoneticPr fontId="12" type="noConversion"/>
  </si>
  <si>
    <t>2002/01</t>
  </si>
  <si>
    <t>2002/02</t>
  </si>
  <si>
    <t>2002/03</t>
  </si>
  <si>
    <t>2002/04</t>
  </si>
  <si>
    <t>2002/05</t>
  </si>
  <si>
    <t>2002/06</t>
  </si>
  <si>
    <t>2002/07</t>
  </si>
  <si>
    <t>2002/08</t>
  </si>
  <si>
    <t>2002/09</t>
  </si>
  <si>
    <t>2002/10</t>
  </si>
  <si>
    <t>2002/11</t>
  </si>
  <si>
    <t>2002/12</t>
  </si>
  <si>
    <t>2003/01</t>
  </si>
  <si>
    <t>2003/02</t>
  </si>
  <si>
    <t>2003/03</t>
  </si>
  <si>
    <t>2003/04</t>
  </si>
  <si>
    <t>2003/05</t>
  </si>
  <si>
    <t>2003/06</t>
  </si>
  <si>
    <t>2003/07</t>
  </si>
  <si>
    <t>2003/08</t>
  </si>
  <si>
    <t>2003/09</t>
  </si>
  <si>
    <t>2003/10</t>
  </si>
  <si>
    <t>2003/11</t>
  </si>
  <si>
    <t>2003/12</t>
  </si>
  <si>
    <t>2004/01</t>
  </si>
  <si>
    <t>2004/02</t>
  </si>
  <si>
    <t>2004/03</t>
  </si>
  <si>
    <t>2004/04</t>
  </si>
  <si>
    <t>2004/05</t>
  </si>
  <si>
    <t>2004/06</t>
  </si>
  <si>
    <t>2004/07</t>
  </si>
  <si>
    <t>2004/08</t>
  </si>
  <si>
    <t>2004/09</t>
  </si>
  <si>
    <t>2004/10</t>
  </si>
  <si>
    <t>2004/11</t>
  </si>
  <si>
    <t>2004/12</t>
  </si>
  <si>
    <t>2005/01</t>
  </si>
  <si>
    <t>2005/02</t>
  </si>
  <si>
    <t>2005/03</t>
  </si>
  <si>
    <t>2005/04</t>
  </si>
  <si>
    <t>2005/05</t>
  </si>
  <si>
    <t>2005/06</t>
  </si>
  <si>
    <t>2005/07</t>
  </si>
  <si>
    <t>2005/08</t>
  </si>
  <si>
    <t>2005/09</t>
  </si>
  <si>
    <t>2005/10</t>
  </si>
  <si>
    <t>2005/11</t>
  </si>
  <si>
    <t>2005/12</t>
  </si>
  <si>
    <t>2006/01</t>
  </si>
  <si>
    <t>2006/02</t>
  </si>
  <si>
    <t>2006/03</t>
  </si>
  <si>
    <t>2006/04</t>
  </si>
  <si>
    <t>2006/05</t>
  </si>
  <si>
    <t>2006/06</t>
  </si>
  <si>
    <t>2006/07</t>
  </si>
  <si>
    <t>2006/08</t>
  </si>
  <si>
    <t>2006/09</t>
  </si>
  <si>
    <t>2006/10</t>
  </si>
  <si>
    <t>2006/11</t>
  </si>
  <si>
    <t>2006/12</t>
  </si>
  <si>
    <t>2007/01</t>
  </si>
  <si>
    <t>2007/02</t>
  </si>
  <si>
    <t>2007/03</t>
  </si>
  <si>
    <t>2007/04</t>
  </si>
  <si>
    <t>2007/05</t>
  </si>
  <si>
    <t>2007/06</t>
  </si>
  <si>
    <t>2007/07</t>
  </si>
  <si>
    <t>2007/08</t>
  </si>
  <si>
    <t>2007/09</t>
  </si>
  <si>
    <t>2007/10</t>
  </si>
  <si>
    <t>2007/11</t>
  </si>
  <si>
    <t>2007/12</t>
  </si>
  <si>
    <t>2008/01</t>
  </si>
  <si>
    <t>2008/02</t>
  </si>
  <si>
    <t>2008/03</t>
  </si>
  <si>
    <t>2008/04</t>
  </si>
  <si>
    <t>2008/05</t>
  </si>
  <si>
    <t>2008/06</t>
  </si>
  <si>
    <t>2008/07</t>
  </si>
  <si>
    <t>2008/08</t>
  </si>
  <si>
    <t>2008/09</t>
  </si>
  <si>
    <t>2008/10</t>
  </si>
  <si>
    <t>2008/11</t>
  </si>
  <si>
    <t>2008/12</t>
  </si>
  <si>
    <t>2009/01</t>
  </si>
  <si>
    <t>2009/02</t>
  </si>
  <si>
    <t>2009/03</t>
  </si>
  <si>
    <t>2009/04</t>
  </si>
  <si>
    <t>2009/05</t>
  </si>
  <si>
    <t>2009/06</t>
  </si>
  <si>
    <t>2009/07</t>
  </si>
  <si>
    <t>2009/08</t>
  </si>
  <si>
    <t>2009/09</t>
  </si>
  <si>
    <t>2009/10</t>
  </si>
  <si>
    <t>2009/11</t>
  </si>
  <si>
    <t>2009/12</t>
  </si>
  <si>
    <t>2010/01</t>
  </si>
  <si>
    <t>2010/02</t>
  </si>
  <si>
    <t>2010/03</t>
  </si>
  <si>
    <t>2010/04</t>
  </si>
  <si>
    <t>2010/05</t>
  </si>
  <si>
    <t>2010/06</t>
  </si>
  <si>
    <t>2010/07</t>
  </si>
  <si>
    <t>2010/08</t>
  </si>
  <si>
    <t>2010/09</t>
  </si>
  <si>
    <t>2010/10</t>
  </si>
  <si>
    <t>2010/11</t>
  </si>
  <si>
    <t>2010/12</t>
  </si>
  <si>
    <t>2011/01</t>
  </si>
  <si>
    <t>2011/02</t>
  </si>
  <si>
    <t>2011/03</t>
  </si>
  <si>
    <t>2011/04</t>
  </si>
  <si>
    <t>2011/05</t>
  </si>
  <si>
    <t>2011/06</t>
  </si>
  <si>
    <t>2011/07</t>
  </si>
  <si>
    <t>2011/08</t>
  </si>
  <si>
    <t>2011/09</t>
  </si>
  <si>
    <t>2011/10</t>
  </si>
  <si>
    <t>2011/11</t>
  </si>
  <si>
    <t>2011/12</t>
  </si>
  <si>
    <t>2012/01</t>
  </si>
  <si>
    <t>2012/02</t>
  </si>
  <si>
    <t>2012/03</t>
  </si>
  <si>
    <t>2012/04</t>
  </si>
  <si>
    <t>2012/05</t>
  </si>
  <si>
    <t>2012/06</t>
  </si>
  <si>
    <t>2012/07</t>
  </si>
  <si>
    <t>2012/08</t>
  </si>
  <si>
    <t>2012/09</t>
  </si>
  <si>
    <t>2012/10</t>
  </si>
  <si>
    <t>2012/11</t>
  </si>
  <si>
    <t>2012/12</t>
  </si>
  <si>
    <t>2013/01</t>
  </si>
  <si>
    <t>2013/02</t>
  </si>
  <si>
    <t>2013/03</t>
  </si>
  <si>
    <t>2013/04</t>
  </si>
  <si>
    <t>2013/05</t>
  </si>
  <si>
    <t>2013/06</t>
  </si>
  <si>
    <t>2013/07</t>
  </si>
  <si>
    <t>2013/08</t>
  </si>
  <si>
    <t>2013/09</t>
  </si>
  <si>
    <t>2013/10</t>
  </si>
  <si>
    <t>2013/11</t>
  </si>
  <si>
    <t>2013/12</t>
  </si>
  <si>
    <t>2014/01</t>
  </si>
  <si>
    <t>2014/02</t>
  </si>
  <si>
    <t>2014/03</t>
  </si>
  <si>
    <t>2014/04</t>
  </si>
  <si>
    <t>2014/05</t>
  </si>
  <si>
    <t>2014/06</t>
  </si>
  <si>
    <t>2014/07</t>
  </si>
  <si>
    <t>2014/08</t>
  </si>
  <si>
    <t>2014/09</t>
  </si>
  <si>
    <t>2014/10</t>
  </si>
  <si>
    <t>2014/11</t>
  </si>
  <si>
    <t>2014/12</t>
  </si>
  <si>
    <t>2015/01</t>
  </si>
  <si>
    <t>2015/02</t>
  </si>
  <si>
    <t>2015/03</t>
  </si>
  <si>
    <t>2015/04</t>
  </si>
  <si>
    <t>2015/05</t>
  </si>
  <si>
    <t>2015/06</t>
  </si>
  <si>
    <t>2015/07</t>
  </si>
  <si>
    <t>2015/08</t>
  </si>
  <si>
    <t>2015/09</t>
  </si>
  <si>
    <t>2015/10</t>
  </si>
  <si>
    <t>2015/11</t>
  </si>
  <si>
    <t>2015/12</t>
  </si>
  <si>
    <t>2016/01</t>
  </si>
  <si>
    <t>2016/02</t>
  </si>
  <si>
    <t>2016/03</t>
  </si>
  <si>
    <t>2016/04</t>
  </si>
  <si>
    <t>2016/05</t>
  </si>
  <si>
    <t>2016/06</t>
  </si>
  <si>
    <t>2016/07</t>
  </si>
  <si>
    <t>2016/08</t>
  </si>
  <si>
    <t>2016/09</t>
  </si>
  <si>
    <t>2016/10</t>
  </si>
  <si>
    <t>2016/11</t>
  </si>
  <si>
    <t>2016/12</t>
  </si>
  <si>
    <t>2017/01</t>
  </si>
  <si>
    <t>2017/02</t>
  </si>
  <si>
    <t>2017/03</t>
  </si>
  <si>
    <t>2017/04</t>
  </si>
  <si>
    <t>2017/05</t>
  </si>
  <si>
    <t>2017/06</t>
  </si>
  <si>
    <t>2017/07</t>
  </si>
  <si>
    <t>2017/08</t>
  </si>
  <si>
    <t>2017/09</t>
  </si>
  <si>
    <t>2017/10</t>
  </si>
  <si>
    <t>2017/11</t>
  </si>
  <si>
    <t>2017/12</t>
  </si>
  <si>
    <t>2018/01</t>
  </si>
  <si>
    <t>2018/02</t>
  </si>
  <si>
    <t>2018/03</t>
  </si>
  <si>
    <t>2018/04</t>
  </si>
  <si>
    <t>2018/05</t>
  </si>
  <si>
    <t>2018/06</t>
  </si>
  <si>
    <t>2018/07</t>
  </si>
  <si>
    <t>2018/08</t>
  </si>
  <si>
    <t>2018/09</t>
  </si>
  <si>
    <t>2018/10</t>
  </si>
  <si>
    <t>2018/11</t>
  </si>
  <si>
    <t>2018/12</t>
  </si>
  <si>
    <t>2019/01</t>
  </si>
  <si>
    <t>2019/02</t>
  </si>
  <si>
    <t>2019/03</t>
  </si>
  <si>
    <t>2019/04</t>
  </si>
  <si>
    <t>2019/05</t>
  </si>
  <si>
    <t>2019/06</t>
  </si>
  <si>
    <t>2019/07</t>
  </si>
  <si>
    <t>2019/08</t>
  </si>
  <si>
    <t>2019/09</t>
  </si>
  <si>
    <t>2019/10</t>
  </si>
  <si>
    <t>2019/11</t>
  </si>
  <si>
    <t>2019/12</t>
  </si>
  <si>
    <t>2020/01</t>
  </si>
  <si>
    <t>2020/02</t>
  </si>
  <si>
    <t>2020/03</t>
  </si>
  <si>
    <t>2020/04</t>
  </si>
  <si>
    <t>2020/05</t>
  </si>
  <si>
    <t>2020/06</t>
  </si>
  <si>
    <t>2020/07</t>
  </si>
  <si>
    <t>2020/08</t>
  </si>
  <si>
    <t>2020/09</t>
  </si>
  <si>
    <t>2020/10</t>
  </si>
  <si>
    <t>2020/11</t>
  </si>
  <si>
    <t>2020/12</t>
  </si>
  <si>
    <t>2021/01</t>
  </si>
  <si>
    <t>2021/02</t>
  </si>
  <si>
    <t>2021/03</t>
  </si>
  <si>
    <t>2021/04</t>
  </si>
  <si>
    <t>2021/05</t>
  </si>
  <si>
    <t>2021/06</t>
  </si>
  <si>
    <t>2021/07</t>
  </si>
  <si>
    <t>2021/08</t>
  </si>
  <si>
    <t>2021/09</t>
  </si>
  <si>
    <t>2021/10</t>
  </si>
  <si>
    <t>2021/11</t>
  </si>
  <si>
    <t>7.4.1 소비자물가지수(2015=100)(전국)</t>
  </si>
  <si>
    <t>2015=100</t>
  </si>
  <si>
    <t>물가지수(2015=100)</t>
    <phoneticPr fontId="12" type="noConversion"/>
  </si>
  <si>
    <t>차입금 상환</t>
    <phoneticPr fontId="12" type="noConversion"/>
  </si>
  <si>
    <t>: 재조달일로부터 1년</t>
    <phoneticPr fontId="12" type="noConversion"/>
  </si>
  <si>
    <t>: 차입금 상환완료일</t>
    <phoneticPr fontId="12" type="noConversion"/>
  </si>
  <si>
    <t>기초금액</t>
    <phoneticPr fontId="12" type="noConversion"/>
  </si>
  <si>
    <t>차입금액</t>
    <phoneticPr fontId="12" type="noConversion"/>
  </si>
  <si>
    <t>상환금액</t>
    <phoneticPr fontId="12" type="noConversion"/>
  </si>
  <si>
    <t>운영이자</t>
    <phoneticPr fontId="12" type="noConversion"/>
  </si>
  <si>
    <t>단기차입금(기존)</t>
    <phoneticPr fontId="12" type="noConversion"/>
  </si>
  <si>
    <t>운전자금(기존)</t>
    <phoneticPr fontId="12" type="noConversion"/>
  </si>
  <si>
    <t>운영이자 실적</t>
    <phoneticPr fontId="12" type="noConversion"/>
  </si>
  <si>
    <t>유효이자율</t>
    <phoneticPr fontId="12" type="noConversion"/>
  </si>
  <si>
    <t>장기B-2 현할차 계산</t>
    <phoneticPr fontId="12" type="noConversion"/>
  </si>
  <si>
    <t>대출잔액(상환전)</t>
    <phoneticPr fontId="12" type="noConversion"/>
  </si>
  <si>
    <t>상환후 대출잔액</t>
    <phoneticPr fontId="12" type="noConversion"/>
  </si>
  <si>
    <t>이자(명목)</t>
    <phoneticPr fontId="12" type="noConversion"/>
  </si>
  <si>
    <t>이자(유효)</t>
    <phoneticPr fontId="12" type="noConversion"/>
  </si>
  <si>
    <t>현할차상각액</t>
    <phoneticPr fontId="12" type="noConversion"/>
  </si>
  <si>
    <t>BV</t>
    <phoneticPr fontId="12" type="noConversion"/>
  </si>
  <si>
    <t>현할차 잔액</t>
    <phoneticPr fontId="12" type="noConversion"/>
  </si>
  <si>
    <t>기말잔액</t>
    <phoneticPr fontId="12" type="noConversion"/>
  </si>
  <si>
    <t>건설이자</t>
    <phoneticPr fontId="12" type="noConversion"/>
  </si>
  <si>
    <t>이자비용 계</t>
    <phoneticPr fontId="12" type="noConversion"/>
  </si>
  <si>
    <t>기존 차입금 상환스케줄</t>
    <phoneticPr fontId="12" type="noConversion"/>
  </si>
  <si>
    <t>운영수입</t>
    <phoneticPr fontId="12" type="noConversion"/>
  </si>
  <si>
    <t>1 물동량</t>
  </si>
  <si>
    <t>처리물동량</t>
    <phoneticPr fontId="7" type="noConversion"/>
  </si>
  <si>
    <t>기준사용료</t>
    <phoneticPr fontId="7" type="noConversion"/>
  </si>
  <si>
    <t>(전년대비 인상율)</t>
    <phoneticPr fontId="7" type="noConversion"/>
  </si>
  <si>
    <t>접안료 징수율</t>
    <phoneticPr fontId="7" type="noConversion"/>
  </si>
  <si>
    <t>2. 운영수입</t>
  </si>
  <si>
    <t>1) 하역수입</t>
  </si>
  <si>
    <t>① 기본하역료</t>
    <phoneticPr fontId="7" type="noConversion"/>
  </si>
  <si>
    <t>② 부대서비스</t>
    <phoneticPr fontId="7" type="noConversion"/>
  </si>
  <si>
    <t>2) 접안료</t>
  </si>
  <si>
    <t>3) CFS동 운영 수입</t>
    <phoneticPr fontId="7" type="noConversion"/>
  </si>
  <si>
    <t xml:space="preserve">4) 4번선석 임대 </t>
    <phoneticPr fontId="7" type="noConversion"/>
  </si>
  <si>
    <t>5) 광석부두임대</t>
    <phoneticPr fontId="7" type="noConversion"/>
  </si>
  <si>
    <t>① 선납임대료(1년분)</t>
    <phoneticPr fontId="7" type="noConversion"/>
  </si>
  <si>
    <t>② 변경 계약 임대료</t>
    <phoneticPr fontId="7" type="noConversion"/>
  </si>
  <si>
    <t>③ 변경전 계약 임대료 수령</t>
    <phoneticPr fontId="7" type="noConversion"/>
  </si>
  <si>
    <t>6) 기타경미한수익성사업</t>
    <phoneticPr fontId="7" type="noConversion"/>
  </si>
  <si>
    <t>① 건물임대 </t>
    <phoneticPr fontId="7" type="noConversion"/>
  </si>
  <si>
    <t>② 야드임대 </t>
    <phoneticPr fontId="7" type="noConversion"/>
  </si>
  <si>
    <t>주차장 부지</t>
    <phoneticPr fontId="12" type="noConversion"/>
  </si>
  <si>
    <t>세중/수리장</t>
    <phoneticPr fontId="12" type="noConversion"/>
  </si>
  <si>
    <t>1번선석 배후부지</t>
    <phoneticPr fontId="12" type="noConversion"/>
  </si>
  <si>
    <t>③ 장비임대 </t>
    <phoneticPr fontId="7" type="noConversion"/>
  </si>
  <si>
    <t>④ 강취방료 </t>
    <phoneticPr fontId="7" type="noConversion"/>
  </si>
  <si>
    <t>⑤ 고박료 </t>
    <phoneticPr fontId="7" type="noConversion"/>
  </si>
  <si>
    <t xml:space="preserve">  초과수입 환수(5억원이상은 사업자:정부=7:3)</t>
    <phoneticPr fontId="7" type="noConversion"/>
  </si>
  <si>
    <t>4) 4번선석 임대</t>
    <phoneticPr fontId="7" type="noConversion"/>
  </si>
  <si>
    <t>기타경미한수익성사업</t>
    <phoneticPr fontId="12" type="noConversion"/>
  </si>
  <si>
    <t>7) 기타경미한수익성사업 정산</t>
    <phoneticPr fontId="7" type="noConversion"/>
  </si>
  <si>
    <t>MRG (운영비 정산후)</t>
    <phoneticPr fontId="12" type="noConversion"/>
  </si>
  <si>
    <t>현금</t>
  </si>
  <si>
    <t>발생</t>
  </si>
  <si>
    <t>접안료</t>
    <phoneticPr fontId="12" type="noConversion"/>
  </si>
  <si>
    <t>CFS동 운영 수입</t>
    <phoneticPr fontId="12" type="noConversion"/>
  </si>
  <si>
    <t>4번선석 임대</t>
    <phoneticPr fontId="12" type="noConversion"/>
  </si>
  <si>
    <t>현금</t>
    <phoneticPr fontId="12" type="noConversion"/>
  </si>
  <si>
    <t>발생</t>
    <phoneticPr fontId="12" type="noConversion"/>
  </si>
  <si>
    <t>○ 연도별 사용료수입 보장금 산출 내역서</t>
    <phoneticPr fontId="82" type="noConversion"/>
  </si>
  <si>
    <t>1차년도</t>
    <phoneticPr fontId="7" type="noConversion"/>
  </si>
  <si>
    <t>2차년도</t>
  </si>
  <si>
    <t>3차년도</t>
  </si>
  <si>
    <t>4차년도</t>
  </si>
  <si>
    <t>5차년도</t>
  </si>
  <si>
    <t>6차년도</t>
  </si>
  <si>
    <t>7차년도</t>
  </si>
  <si>
    <t>8차년도</t>
  </si>
  <si>
    <t>9차년도</t>
  </si>
  <si>
    <t>10차년도</t>
  </si>
  <si>
    <t>11차년도</t>
  </si>
  <si>
    <t>12차년도</t>
  </si>
  <si>
    <t>13차년도</t>
  </si>
  <si>
    <t>14차년도</t>
  </si>
  <si>
    <t>15차년도</t>
  </si>
  <si>
    <t>16차년도</t>
  </si>
  <si>
    <t>구          분</t>
    <phoneticPr fontId="82" type="noConversion"/>
  </si>
  <si>
    <t>소비자물가지수 (12월 기준)_기말물가</t>
    <phoneticPr fontId="82" type="noConversion"/>
  </si>
  <si>
    <t>협약 추정사용료수입(기간조정전)</t>
    <phoneticPr fontId="12" type="noConversion"/>
  </si>
  <si>
    <t>실시협약 추정사용료수입 (2001.05.29 불변기준/일수조정)</t>
    <phoneticPr fontId="82" type="noConversion"/>
  </si>
  <si>
    <t>실시협약 추정사용료수입 (경상기준)</t>
    <phoneticPr fontId="89" type="noConversion"/>
  </si>
  <si>
    <t>사용료수입 보장기준 비율</t>
    <phoneticPr fontId="82" type="noConversion"/>
  </si>
  <si>
    <t>보장사용료수입 (경상기준)</t>
    <phoneticPr fontId="82" type="noConversion"/>
  </si>
  <si>
    <t>추정 물동량[연 기준]</t>
    <phoneticPr fontId="7" type="noConversion"/>
  </si>
  <si>
    <t>실제 물동량[연 기준]</t>
    <phoneticPr fontId="7" type="noConversion"/>
  </si>
  <si>
    <t>기준사용료[협약, 기간조정전, 불변]</t>
    <phoneticPr fontId="7" type="noConversion"/>
  </si>
  <si>
    <t>원</t>
    <phoneticPr fontId="7" type="noConversion"/>
  </si>
  <si>
    <t>기준사용료 (일수조정, 불변)</t>
    <phoneticPr fontId="7" type="noConversion"/>
  </si>
  <si>
    <t>결정사용료(=일수조정 후 기준사용료 x 전년도말 물가)</t>
    <phoneticPr fontId="7" type="noConversion"/>
  </si>
  <si>
    <t>실제사용료 (간주사용료, 결정사용료*90%)</t>
    <phoneticPr fontId="7" type="noConversion"/>
  </si>
  <si>
    <t xml:space="preserve">적용사용료수입 (간주사용료적용) </t>
    <phoneticPr fontId="82" type="noConversion"/>
  </si>
  <si>
    <t>백만원</t>
    <phoneticPr fontId="7" type="noConversion"/>
  </si>
  <si>
    <t>기타경미한수익성사업</t>
    <phoneticPr fontId="82" type="noConversion"/>
  </si>
  <si>
    <t>적용사용료수입 + 기타경미한수익성사업 (5+6)</t>
    <phoneticPr fontId="7" type="noConversion"/>
  </si>
  <si>
    <t>백만원</t>
  </si>
  <si>
    <t>경상가격기준 추정사용료수입의 50%기준금액</t>
    <phoneticPr fontId="82" type="noConversion"/>
  </si>
  <si>
    <t>7과 8중 큰금액</t>
    <phoneticPr fontId="82" type="noConversion"/>
  </si>
  <si>
    <t>추정 운영수입보장금</t>
    <phoneticPr fontId="82" type="noConversion"/>
  </si>
  <si>
    <t>보장사용료수입</t>
    <phoneticPr fontId="82" type="noConversion"/>
  </si>
  <si>
    <t>MRG 보고서 상 금액&gt;</t>
  </si>
  <si>
    <t>[일수계산]</t>
    <phoneticPr fontId="7" type="noConversion"/>
  </si>
  <si>
    <t>상반기</t>
    <phoneticPr fontId="7" type="noConversion"/>
  </si>
  <si>
    <t>하반기</t>
    <phoneticPr fontId="7" type="noConversion"/>
  </si>
  <si>
    <t>연일수</t>
    <phoneticPr fontId="7" type="noConversion"/>
  </si>
  <si>
    <t>반영기간</t>
    <phoneticPr fontId="7" type="noConversion"/>
  </si>
  <si>
    <t>○ 운영비 정산후 MRG</t>
    <phoneticPr fontId="46" type="noConversion"/>
  </si>
  <si>
    <t>A. 대체비 제외 운영비용</t>
    <phoneticPr fontId="46" type="noConversion"/>
  </si>
  <si>
    <t>(단위:원)</t>
  </si>
  <si>
    <t>1. 실시협약 예산(실시협약불변+기간이연+실적CPI)_PIMAC</t>
    <phoneticPr fontId="46" type="noConversion"/>
  </si>
  <si>
    <t>인건비</t>
    <phoneticPr fontId="46" type="noConversion"/>
  </si>
  <si>
    <t>일반경비</t>
    <phoneticPr fontId="46" type="noConversion"/>
  </si>
  <si>
    <t>유지관리비</t>
    <phoneticPr fontId="46" type="noConversion"/>
  </si>
  <si>
    <t>2. 집행</t>
    <phoneticPr fontId="46" type="noConversion"/>
  </si>
  <si>
    <t>3. 증감(max '0')</t>
    <phoneticPr fontId="46" type="noConversion"/>
  </si>
  <si>
    <t>B. 대체비</t>
    <phoneticPr fontId="46" type="noConversion"/>
  </si>
  <si>
    <t>1. 실시협약 예산 - 대체비(PIMAC 제시)</t>
    <phoneticPr fontId="46" type="noConversion"/>
  </si>
  <si>
    <t>해당연도 합계</t>
    <phoneticPr fontId="46" type="noConversion"/>
  </si>
  <si>
    <t>대체비</t>
  </si>
  <si>
    <t>집기비품</t>
  </si>
  <si>
    <t>2. 집행 - 대체비</t>
    <phoneticPr fontId="46" type="noConversion"/>
  </si>
  <si>
    <t>3. 증감</t>
    <phoneticPr fontId="46" type="noConversion"/>
  </si>
  <si>
    <t>가. 매출 기준 신청금액</t>
    <phoneticPr fontId="46" type="noConversion"/>
  </si>
  <si>
    <t>나. 예산대비 절감금액(운영비)</t>
    <phoneticPr fontId="46" type="noConversion"/>
  </si>
  <si>
    <t>다. 예산대비 절감금액(대체비)</t>
    <phoneticPr fontId="7" type="noConversion"/>
  </si>
  <si>
    <t>라. 기수령금액</t>
    <phoneticPr fontId="46" type="noConversion"/>
  </si>
  <si>
    <t>사. 법인세률 변동에따른 정산금</t>
    <phoneticPr fontId="12" type="noConversion"/>
  </si>
  <si>
    <t>아. 총사업비정산금</t>
  </si>
  <si>
    <t>4. 최종수령액</t>
    <phoneticPr fontId="46" type="noConversion"/>
  </si>
  <si>
    <t>`</t>
    <phoneticPr fontId="12" type="noConversion"/>
  </si>
  <si>
    <t>누적수령금</t>
    <phoneticPr fontId="12" type="noConversion"/>
  </si>
  <si>
    <t>&lt;실시협약_불변&gt;</t>
    <phoneticPr fontId="12" type="noConversion"/>
  </si>
  <si>
    <t>A. 운영비용</t>
    <phoneticPr fontId="12" type="noConversion"/>
  </si>
  <si>
    <t>인건비</t>
  </si>
  <si>
    <t>일반경비</t>
  </si>
  <si>
    <t>유지관리비</t>
  </si>
  <si>
    <t>B. 대체비</t>
    <phoneticPr fontId="12" type="noConversion"/>
  </si>
  <si>
    <t>운영설비</t>
  </si>
  <si>
    <t>&lt;기간조정_불변&gt;</t>
    <phoneticPr fontId="12" type="noConversion"/>
  </si>
  <si>
    <t>&lt;기간조정_경상&gt;</t>
    <phoneticPr fontId="12" type="noConversion"/>
  </si>
  <si>
    <t>운영비용</t>
    <phoneticPr fontId="12" type="noConversion"/>
  </si>
  <si>
    <t>운영비용 (분기별, 경상금액)</t>
  </si>
  <si>
    <t>1) 운영비용</t>
    <phoneticPr fontId="12" type="noConversion"/>
  </si>
  <si>
    <t>운영비용(예정운영비용)</t>
    <phoneticPr fontId="12" type="noConversion"/>
  </si>
  <si>
    <t>운영비용(최소운영위탁수수료125%)</t>
    <phoneticPr fontId="12" type="noConversion"/>
  </si>
  <si>
    <t>3) 유지비</t>
    <phoneticPr fontId="12" type="noConversion"/>
  </si>
  <si>
    <t>4) 기타 (사업비 정산 등)</t>
    <phoneticPr fontId="12" type="noConversion"/>
  </si>
  <si>
    <t>5) 대체비+보수비</t>
    <phoneticPr fontId="12" type="noConversion"/>
  </si>
  <si>
    <t>설비 대체비</t>
    <phoneticPr fontId="12" type="noConversion"/>
  </si>
  <si>
    <t>보수비</t>
    <phoneticPr fontId="12" type="noConversion"/>
  </si>
  <si>
    <t>6) Gantry Crane 임대료</t>
    <phoneticPr fontId="12" type="noConversion"/>
  </si>
  <si>
    <t>7) 법인세 정산금</t>
    <phoneticPr fontId="12" type="noConversion"/>
  </si>
  <si>
    <t>운영비 계</t>
    <phoneticPr fontId="12" type="noConversion"/>
  </si>
  <si>
    <t>운영비용 (연도별, 경상금액)</t>
  </si>
  <si>
    <t>6) Gantry Crane 임대료</t>
  </si>
  <si>
    <t>물가index</t>
    <phoneticPr fontId="12" type="noConversion"/>
  </si>
  <si>
    <t>IS(분기별)</t>
    <phoneticPr fontId="12" type="noConversion"/>
  </si>
  <si>
    <t>영업수익</t>
    <phoneticPr fontId="12" type="noConversion"/>
  </si>
  <si>
    <t>금융리스</t>
    <phoneticPr fontId="12" type="noConversion"/>
  </si>
  <si>
    <t>영업비용</t>
    <phoneticPr fontId="12" type="noConversion"/>
  </si>
  <si>
    <t>금융수수료</t>
    <phoneticPr fontId="12" type="noConversion"/>
  </si>
  <si>
    <t>영업이익</t>
    <phoneticPr fontId="12" type="noConversion"/>
  </si>
  <si>
    <t>영업외수익</t>
    <phoneticPr fontId="12" type="noConversion"/>
  </si>
  <si>
    <t>채무면제이익</t>
    <phoneticPr fontId="12" type="noConversion"/>
  </si>
  <si>
    <t>영업외비용</t>
    <phoneticPr fontId="12" type="noConversion"/>
  </si>
  <si>
    <t xml:space="preserve"> 신용공여</t>
    <phoneticPr fontId="12" type="noConversion"/>
  </si>
  <si>
    <t>이자</t>
  </si>
  <si>
    <t>현할차상각</t>
    <phoneticPr fontId="12" type="noConversion"/>
  </si>
  <si>
    <t>법인세전순이익</t>
    <phoneticPr fontId="12" type="noConversion"/>
  </si>
  <si>
    <t>당기순이익</t>
    <phoneticPr fontId="12" type="noConversion"/>
  </si>
  <si>
    <t>경상매출액</t>
    <phoneticPr fontId="12" type="noConversion"/>
  </si>
  <si>
    <t>소 계</t>
    <phoneticPr fontId="12" type="noConversion"/>
  </si>
  <si>
    <t>리스채권 이자수익</t>
    <phoneticPr fontId="12" type="noConversion"/>
  </si>
  <si>
    <t>경상매출원가</t>
    <phoneticPr fontId="12" type="noConversion"/>
  </si>
  <si>
    <t>유지비</t>
    <phoneticPr fontId="12" type="noConversion"/>
  </si>
  <si>
    <t xml:space="preserve">기타 </t>
    <phoneticPr fontId="12" type="noConversion"/>
  </si>
  <si>
    <t>무형자산상각비</t>
    <phoneticPr fontId="12" type="noConversion"/>
  </si>
  <si>
    <t>유형자산상각비</t>
    <phoneticPr fontId="12" type="noConversion"/>
  </si>
  <si>
    <t>법인세정산</t>
    <phoneticPr fontId="12" type="noConversion"/>
  </si>
  <si>
    <t>ALOP, BI 부보대상 산정</t>
    <phoneticPr fontId="12" type="noConversion"/>
  </si>
  <si>
    <t>고정비, 지급이자</t>
    <phoneticPr fontId="12" type="noConversion"/>
  </si>
  <si>
    <t>ALOP</t>
    <phoneticPr fontId="12" type="noConversion"/>
  </si>
  <si>
    <t>BI</t>
    <phoneticPr fontId="12" type="noConversion"/>
  </si>
  <si>
    <t>기존차입금</t>
    <phoneticPr fontId="12" type="noConversion"/>
  </si>
  <si>
    <t>위탁수수료미지급금</t>
    <phoneticPr fontId="12" type="noConversion"/>
  </si>
  <si>
    <t>이자수익</t>
    <phoneticPr fontId="12" type="noConversion"/>
  </si>
  <si>
    <t>법인세비용 (계산)</t>
    <phoneticPr fontId="12" type="noConversion"/>
  </si>
  <si>
    <t>법인세비용 (값)</t>
    <phoneticPr fontId="12" type="noConversion"/>
  </si>
  <si>
    <t>납부세액</t>
    <phoneticPr fontId="12" type="noConversion"/>
  </si>
  <si>
    <t>※ 법인세 납부</t>
  </si>
  <si>
    <t>정기분</t>
  </si>
  <si>
    <t>중간예납</t>
  </si>
  <si>
    <t>당기증가</t>
    <phoneticPr fontId="12" type="noConversion"/>
  </si>
  <si>
    <t>당기감소</t>
    <phoneticPr fontId="12" type="noConversion"/>
  </si>
  <si>
    <t>미지급법인세</t>
  </si>
  <si>
    <t>Total</t>
    <phoneticPr fontId="100" type="noConversion"/>
  </si>
  <si>
    <t>세전 순이익</t>
    <phoneticPr fontId="100" type="noConversion"/>
  </si>
  <si>
    <t>세무조정 사항</t>
    <phoneticPr fontId="100" type="noConversion"/>
  </si>
  <si>
    <t>세전순이익+세무조정</t>
    <phoneticPr fontId="12" type="noConversion"/>
  </si>
  <si>
    <t>발생 후 15년</t>
    <phoneticPr fontId="12" type="noConversion"/>
  </si>
  <si>
    <t>발생 후 14년</t>
    <phoneticPr fontId="12" type="noConversion"/>
  </si>
  <si>
    <t>발생 후 13년</t>
    <phoneticPr fontId="12" type="noConversion"/>
  </si>
  <si>
    <t>발생 후 12년</t>
    <phoneticPr fontId="12" type="noConversion"/>
  </si>
  <si>
    <t>발생 후 11년</t>
    <phoneticPr fontId="12" type="noConversion"/>
  </si>
  <si>
    <t>공제가능이월결손금</t>
  </si>
  <si>
    <t>이월결손금 공제한도</t>
  </si>
  <si>
    <t>이월결손금 공제액</t>
  </si>
  <si>
    <t>이월결손금 사용액</t>
    <phoneticPr fontId="12" type="noConversion"/>
  </si>
  <si>
    <t>과 세 표 준</t>
  </si>
  <si>
    <t>2억원 이하</t>
  </si>
  <si>
    <t>2억원 초과</t>
  </si>
  <si>
    <t>200억 초과</t>
    <phoneticPr fontId="8" type="noConversion"/>
  </si>
  <si>
    <t>법인세 비용</t>
  </si>
  <si>
    <t>법인세율</t>
    <phoneticPr fontId="7" type="noConversion"/>
  </si>
  <si>
    <t>2억 미만</t>
  </si>
  <si>
    <t>2억 이상 ~ 200억 미만</t>
  </si>
  <si>
    <t>200억 이상</t>
  </si>
  <si>
    <t>IS(연도별)</t>
    <phoneticPr fontId="7" type="noConversion"/>
  </si>
  <si>
    <t>채무조정이익</t>
    <phoneticPr fontId="12" type="noConversion"/>
  </si>
  <si>
    <t>유형자산손상차손환입</t>
    <phoneticPr fontId="12" type="noConversion"/>
  </si>
  <si>
    <t>무형자산손상차손환입</t>
    <phoneticPr fontId="12" type="noConversion"/>
  </si>
  <si>
    <t>잡이익</t>
    <phoneticPr fontId="12" type="noConversion"/>
  </si>
  <si>
    <t>CF (분기별)</t>
    <phoneticPr fontId="12" type="noConversion"/>
  </si>
  <si>
    <t>Ⅰ. 영업활동으로인한 현금흐름</t>
  </si>
  <si>
    <t xml:space="preserve">   1. 영업활동으로인한 현금유입액</t>
  </si>
  <si>
    <t xml:space="preserve">   2. 영업활동으로인한 현금유출액</t>
  </si>
  <si>
    <t>미지급운영비 지급</t>
    <phoneticPr fontId="12" type="noConversion"/>
  </si>
  <si>
    <t>위탁수수료 미지급금</t>
    <phoneticPr fontId="12" type="noConversion"/>
  </si>
  <si>
    <t>법인세 정산</t>
    <phoneticPr fontId="12" type="noConversion"/>
  </si>
  <si>
    <t>법인세</t>
    <phoneticPr fontId="12" type="noConversion"/>
  </si>
  <si>
    <t>Ⅱ. 투자활동으로인한 현금흐름</t>
  </si>
  <si>
    <t xml:space="preserve">   1. 투자활동으로인한 현금유입액</t>
  </si>
  <si>
    <t xml:space="preserve">   2. 투자활동으로인한 현금유출액</t>
  </si>
  <si>
    <t>대체비+보수비</t>
    <phoneticPr fontId="12" type="noConversion"/>
  </si>
  <si>
    <t>Ⅲ. 재무활동으로인한 현금흐름</t>
  </si>
  <si>
    <t xml:space="preserve">   1. 재무활동으로 인한 현금유입액</t>
  </si>
  <si>
    <t>적립금 회수</t>
    <phoneticPr fontId="12" type="noConversion"/>
  </si>
  <si>
    <t>리파이낸싱 추가차입</t>
    <phoneticPr fontId="12" type="noConversion"/>
  </si>
  <si>
    <t>차입</t>
    <phoneticPr fontId="12" type="noConversion"/>
  </si>
  <si>
    <t>선순위 DSRA 감소</t>
    <phoneticPr fontId="12" type="noConversion"/>
  </si>
  <si>
    <t>증자</t>
    <phoneticPr fontId="12" type="noConversion"/>
  </si>
  <si>
    <t xml:space="preserve">   2. 재무활동으로 인한 현금유출액</t>
  </si>
  <si>
    <t>자기주식매입및소각(유상감자 포함)</t>
    <phoneticPr fontId="12" type="noConversion"/>
  </si>
  <si>
    <t>상환</t>
    <phoneticPr fontId="12" type="noConversion"/>
  </si>
  <si>
    <t>상환</t>
  </si>
  <si>
    <t>선순위 DSRA 증가</t>
    <phoneticPr fontId="12" type="noConversion"/>
  </si>
  <si>
    <t>배당금의 지급</t>
    <phoneticPr fontId="12" type="noConversion"/>
  </si>
  <si>
    <t>기중배당</t>
    <phoneticPr fontId="12" type="noConversion"/>
  </si>
  <si>
    <t>청산배당</t>
    <phoneticPr fontId="12" type="noConversion"/>
  </si>
  <si>
    <t>기타자산부채의 변동</t>
    <phoneticPr fontId="12" type="noConversion"/>
  </si>
  <si>
    <t>Ⅳ. 현금의 증가</t>
  </si>
  <si>
    <t>Ⅴ. 기초 현금</t>
  </si>
  <si>
    <t>Ⅵ. 기말 현금</t>
  </si>
  <si>
    <t>누적 배당금</t>
    <phoneticPr fontId="12" type="noConversion"/>
  </si>
  <si>
    <t>우선주 배당 발행</t>
    <phoneticPr fontId="12" type="noConversion"/>
  </si>
  <si>
    <t>Ⅰ. 유 동 자 산</t>
  </si>
  <si>
    <t>1.</t>
  </si>
  <si>
    <t>당 좌 자 산</t>
  </si>
  <si>
    <t>DSRA</t>
    <phoneticPr fontId="12" type="noConversion"/>
  </si>
  <si>
    <t>MRG미수금</t>
    <phoneticPr fontId="12" type="noConversion"/>
  </si>
  <si>
    <t>기타유동자산</t>
    <phoneticPr fontId="12" type="noConversion"/>
  </si>
  <si>
    <t>선급법인세</t>
    <phoneticPr fontId="12" type="noConversion"/>
  </si>
  <si>
    <t>금융리스채권</t>
    <phoneticPr fontId="12" type="noConversion"/>
  </si>
  <si>
    <t>Ⅱ. 비 유 동 자 산</t>
    <phoneticPr fontId="12" type="noConversion"/>
  </si>
  <si>
    <t>투 자 자 산</t>
  </si>
  <si>
    <t>2.</t>
  </si>
  <si>
    <t>유 형 자 산</t>
    <phoneticPr fontId="12" type="noConversion"/>
  </si>
  <si>
    <t>기타유형자산</t>
    <phoneticPr fontId="12" type="noConversion"/>
  </si>
  <si>
    <t>3.</t>
  </si>
  <si>
    <t>무형자산</t>
    <phoneticPr fontId="12" type="noConversion"/>
  </si>
  <si>
    <t>4.</t>
    <phoneticPr fontId="12" type="noConversion"/>
  </si>
  <si>
    <t>기타비유동자산</t>
    <phoneticPr fontId="12" type="noConversion"/>
  </si>
  <si>
    <t>보증금 등</t>
    <phoneticPr fontId="12" type="noConversion"/>
  </si>
  <si>
    <t>자 산 총 계</t>
  </si>
  <si>
    <t>Ⅰ. 유 동 부 채</t>
  </si>
  <si>
    <t>유동부채</t>
    <phoneticPr fontId="12" type="noConversion"/>
  </si>
  <si>
    <t>Ⅱ. 비 유 동 부 채</t>
    <phoneticPr fontId="12" type="noConversion"/>
  </si>
  <si>
    <t>현재가치할인차금</t>
    <phoneticPr fontId="12" type="noConversion"/>
  </si>
  <si>
    <t>기타 비유동부채</t>
    <phoneticPr fontId="12" type="noConversion"/>
  </si>
  <si>
    <t>운영비 미지급금</t>
    <phoneticPr fontId="12" type="noConversion"/>
  </si>
  <si>
    <t>장기미지급금</t>
    <phoneticPr fontId="12" type="noConversion"/>
  </si>
  <si>
    <t>퇴직급여충당부채</t>
    <phoneticPr fontId="12" type="noConversion"/>
  </si>
  <si>
    <t>부 채 총 계</t>
  </si>
  <si>
    <t>Ⅰ. 자  본  금</t>
  </si>
  <si>
    <t>우선주자본금</t>
    <phoneticPr fontId="12" type="noConversion"/>
  </si>
  <si>
    <t>Ⅱ. 자 본 잉 여 금</t>
  </si>
  <si>
    <t>감자차익</t>
    <phoneticPr fontId="12" type="noConversion"/>
  </si>
  <si>
    <t>기타자본잉여금</t>
    <phoneticPr fontId="12" type="noConversion"/>
  </si>
  <si>
    <t>Ⅲ. 자 본 조 정</t>
    <phoneticPr fontId="12" type="noConversion"/>
  </si>
  <si>
    <t>Ⅳ. 이익잉여금</t>
    <phoneticPr fontId="12" type="noConversion"/>
  </si>
  <si>
    <t>법정적립금</t>
    <phoneticPr fontId="12" type="noConversion"/>
  </si>
  <si>
    <t>미처분이익잉여금</t>
    <phoneticPr fontId="12" type="noConversion"/>
  </si>
  <si>
    <t>자 본 총 계</t>
  </si>
  <si>
    <t>부채 및 자본 총계</t>
  </si>
  <si>
    <t>항목별 산정내역</t>
    <phoneticPr fontId="12" type="noConversion"/>
  </si>
  <si>
    <t>미지급금 (운영비)</t>
    <phoneticPr fontId="12" type="noConversion"/>
  </si>
  <si>
    <t>보증금</t>
    <phoneticPr fontId="12" type="noConversion"/>
  </si>
  <si>
    <t>보증금 (분기)</t>
    <phoneticPr fontId="12" type="noConversion"/>
  </si>
  <si>
    <t>기타유동부채 (현할차)</t>
    <phoneticPr fontId="12" type="noConversion"/>
  </si>
  <si>
    <t>법인세 자산부채</t>
    <phoneticPr fontId="12" type="noConversion"/>
  </si>
  <si>
    <t>이익준비금</t>
    <phoneticPr fontId="12" type="noConversion"/>
  </si>
  <si>
    <t>자본조정 (주식할인발행차금+감자차손)</t>
    <phoneticPr fontId="12" type="noConversion"/>
  </si>
  <si>
    <t>기초금액</t>
  </si>
  <si>
    <t>당기증가</t>
  </si>
  <si>
    <t>당기감소</t>
  </si>
  <si>
    <t>기말잔액</t>
  </si>
  <si>
    <t>배당</t>
    <phoneticPr fontId="12" type="noConversion"/>
  </si>
  <si>
    <t>이익잉여금</t>
    <phoneticPr fontId="12" type="noConversion"/>
  </si>
  <si>
    <t>합 계</t>
  </si>
  <si>
    <t>처분전이익잉여금</t>
  </si>
  <si>
    <t>전기이월이익잉여금</t>
  </si>
  <si>
    <t>당기순이익</t>
  </si>
  <si>
    <t>이익잉여금처분액</t>
    <phoneticPr fontId="12" type="noConversion"/>
  </si>
  <si>
    <t>차기이월이익잉여금</t>
  </si>
  <si>
    <t>자금부족 잔액</t>
    <phoneticPr fontId="12" type="noConversion"/>
  </si>
  <si>
    <t>자금부족액</t>
    <phoneticPr fontId="12" type="noConversion"/>
  </si>
  <si>
    <t>배당가능 여부</t>
    <phoneticPr fontId="12" type="noConversion"/>
  </si>
  <si>
    <t>DSCR 기준</t>
    <phoneticPr fontId="12" type="noConversion"/>
  </si>
  <si>
    <t>배당제한 DSCR</t>
  </si>
  <si>
    <t>누적 DSCR</t>
  </si>
  <si>
    <t>배당가능여부</t>
    <phoneticPr fontId="12" type="noConversion"/>
  </si>
  <si>
    <t>배당가능 현금</t>
  </si>
  <si>
    <t>배당가능 이익잉여금</t>
  </si>
  <si>
    <t>이익준비금 적립대상</t>
  </si>
  <si>
    <t>배당가능이익잉여금</t>
  </si>
  <si>
    <t>배당총액</t>
    <phoneticPr fontId="12" type="noConversion"/>
  </si>
  <si>
    <t>기본배당</t>
    <phoneticPr fontId="12" type="noConversion"/>
  </si>
  <si>
    <t>참여배당</t>
    <phoneticPr fontId="12" type="noConversion"/>
  </si>
  <si>
    <t>#,##0;[빨강](#,##0);"-"</t>
    <phoneticPr fontId="12" type="noConversion"/>
  </si>
  <si>
    <t>7. 추정재무제표</t>
    <phoneticPr fontId="12" type="noConversion"/>
  </si>
  <si>
    <t>7.1.1 기본가정</t>
    <phoneticPr fontId="12" type="noConversion"/>
  </si>
  <si>
    <t>연도</t>
  </si>
  <si>
    <t>천TEU</t>
  </si>
  <si>
    <t>-</t>
  </si>
  <si>
    <t>2020/12/31</t>
  </si>
  <si>
    <t>2020/12/30</t>
  </si>
  <si>
    <t>2020/12/29</t>
  </si>
  <si>
    <t>2020/12/28</t>
  </si>
  <si>
    <t>2020/12/24</t>
  </si>
  <si>
    <t>2020/12/23</t>
  </si>
  <si>
    <t>2020/12/22</t>
  </si>
  <si>
    <t>2020/12/21</t>
  </si>
  <si>
    <t>2020/12/18</t>
  </si>
  <si>
    <t>2020/12/17</t>
  </si>
  <si>
    <t>2020/12/16</t>
  </si>
  <si>
    <t>2020/12/15</t>
  </si>
  <si>
    <t>2020/12/14</t>
  </si>
  <si>
    <t>2020/12/11</t>
  </si>
  <si>
    <t>2020/12/10</t>
  </si>
  <si>
    <t>2020/12/09</t>
  </si>
  <si>
    <t>2020/12/08</t>
  </si>
  <si>
    <t>2020/12/07</t>
  </si>
  <si>
    <t>2020/12/04</t>
  </si>
  <si>
    <t>2020/12/03</t>
  </si>
  <si>
    <t>2020/12/02</t>
  </si>
  <si>
    <t>2020/12/01</t>
  </si>
  <si>
    <t>2020/11/30</t>
  </si>
  <si>
    <t>2020/11/27</t>
  </si>
  <si>
    <t>2020/11/26</t>
  </si>
  <si>
    <t>2020/11/25</t>
  </si>
  <si>
    <t>2020/11/24</t>
  </si>
  <si>
    <t>2020/11/23</t>
  </si>
  <si>
    <t>2020/11/20</t>
  </si>
  <si>
    <t>2020/11/19</t>
  </si>
  <si>
    <t>2020/11/18</t>
  </si>
  <si>
    <t>2020/11/17</t>
  </si>
  <si>
    <t>2020/11/16</t>
  </si>
  <si>
    <t>2020/11/13</t>
  </si>
  <si>
    <t>2020/11/12</t>
  </si>
  <si>
    <t>2020/11/11</t>
  </si>
  <si>
    <t>2020/11/10</t>
  </si>
  <si>
    <t>2020/11/09</t>
  </si>
  <si>
    <t>2020/11/06</t>
  </si>
  <si>
    <t>2020/11/05</t>
  </si>
  <si>
    <t>2020/11/04</t>
  </si>
  <si>
    <t>2020/11/03</t>
  </si>
  <si>
    <t>2020/11/02</t>
  </si>
  <si>
    <t>2020/10/30</t>
  </si>
  <si>
    <t>2020/10/29</t>
  </si>
  <si>
    <t>2020/10/28</t>
  </si>
  <si>
    <t>2020/10/27</t>
  </si>
  <si>
    <t>2020/10/26</t>
  </si>
  <si>
    <t>2020/10/23</t>
  </si>
  <si>
    <t>2020/10/22</t>
  </si>
  <si>
    <t>2020/10/21</t>
  </si>
  <si>
    <t>2020/10/20</t>
  </si>
  <si>
    <t>2020/10/19</t>
  </si>
  <si>
    <t>2020/10/16</t>
  </si>
  <si>
    <t>2020/10/15</t>
  </si>
  <si>
    <t>2020/10/14</t>
  </si>
  <si>
    <t>2020/10/13</t>
  </si>
  <si>
    <t>2020/10/12</t>
  </si>
  <si>
    <t>2020/10/08</t>
  </si>
  <si>
    <t>2020/10/07</t>
  </si>
  <si>
    <t>2020/10/06</t>
  </si>
  <si>
    <t>2020/10/05</t>
  </si>
  <si>
    <t>2020/09/29</t>
  </si>
  <si>
    <t>2020/09/28</t>
  </si>
  <si>
    <t>2020/09/25</t>
  </si>
  <si>
    <t>2020/09/24</t>
  </si>
  <si>
    <t>2020/09/23</t>
  </si>
  <si>
    <t>2020/09/22</t>
  </si>
  <si>
    <t>2020/09/21</t>
  </si>
  <si>
    <t>2020/09/18</t>
  </si>
  <si>
    <t>2020/09/17</t>
  </si>
  <si>
    <t>2020/09/16</t>
  </si>
  <si>
    <t>2020/09/15</t>
  </si>
  <si>
    <t>2020/09/14</t>
  </si>
  <si>
    <t>2020/09/11</t>
  </si>
  <si>
    <t>2020/09/10</t>
  </si>
  <si>
    <t>2020/09/09</t>
  </si>
  <si>
    <t>2020/09/08</t>
  </si>
  <si>
    <t>2020/09/07</t>
  </si>
  <si>
    <t>2020/09/04</t>
  </si>
  <si>
    <t>2020/09/03</t>
  </si>
  <si>
    <t>2020/09/02</t>
  </si>
  <si>
    <t>2020/09/01</t>
  </si>
  <si>
    <t>2020/08/31</t>
  </si>
  <si>
    <t>2020/08/28</t>
  </si>
  <si>
    <t>2020/08/27</t>
  </si>
  <si>
    <t>2020/08/26</t>
  </si>
  <si>
    <t>2020/08/25</t>
  </si>
  <si>
    <t>2020/08/24</t>
  </si>
  <si>
    <t>2020/08/21</t>
  </si>
  <si>
    <t>2020/08/20</t>
  </si>
  <si>
    <t>2020/08/19</t>
  </si>
  <si>
    <t>2020/08/18</t>
  </si>
  <si>
    <t>2020/08/14</t>
  </si>
  <si>
    <t>2020/08/13</t>
  </si>
  <si>
    <t>2020/08/12</t>
  </si>
  <si>
    <t>2020/08/11</t>
  </si>
  <si>
    <t>2020/08/10</t>
  </si>
  <si>
    <t>2020/08/07</t>
  </si>
  <si>
    <t>2020/08/06</t>
  </si>
  <si>
    <t>2020/08/05</t>
  </si>
  <si>
    <t>2020/08/04</t>
  </si>
  <si>
    <t>2020/08/03</t>
  </si>
  <si>
    <t>2020/07/31</t>
  </si>
  <si>
    <t>2020/07/30</t>
  </si>
  <si>
    <t>2020/07/29</t>
  </si>
  <si>
    <t>2020/07/28</t>
  </si>
  <si>
    <t>2020/07/27</t>
  </si>
  <si>
    <t>2020/07/24</t>
  </si>
  <si>
    <t>2020/07/23</t>
  </si>
  <si>
    <t>2020/07/22</t>
  </si>
  <si>
    <t>2020/07/21</t>
  </si>
  <si>
    <t>2020/07/20</t>
  </si>
  <si>
    <t>2020/07/17</t>
  </si>
  <si>
    <t>2020/07/16</t>
  </si>
  <si>
    <t>2020/07/15</t>
  </si>
  <si>
    <t>2020/07/14</t>
  </si>
  <si>
    <t>2020/07/13</t>
  </si>
  <si>
    <t>2020/07/10</t>
  </si>
  <si>
    <t>2020/07/09</t>
  </si>
  <si>
    <t>2020/07/08</t>
  </si>
  <si>
    <t>2020/07/07</t>
  </si>
  <si>
    <t>2020/07/06</t>
  </si>
  <si>
    <t>2020/07/03</t>
  </si>
  <si>
    <t>2020/07/02</t>
  </si>
  <si>
    <t>2020/07/01</t>
  </si>
  <si>
    <t>2020/06/30</t>
  </si>
  <si>
    <t>2020/06/29</t>
  </si>
  <si>
    <t>2020/06/26</t>
  </si>
  <si>
    <t>2020/06/25</t>
  </si>
  <si>
    <t>2020/06/24</t>
  </si>
  <si>
    <t>2020/06/23</t>
  </si>
  <si>
    <t>2020/06/22</t>
  </si>
  <si>
    <t>2020/06/19</t>
  </si>
  <si>
    <t>2020/06/18</t>
  </si>
  <si>
    <t>2020/06/17</t>
  </si>
  <si>
    <t>2020/06/16</t>
  </si>
  <si>
    <t>2020/06/15</t>
  </si>
  <si>
    <t>2020/06/12</t>
  </si>
  <si>
    <t>2020/06/11</t>
  </si>
  <si>
    <t>2020/06/10</t>
  </si>
  <si>
    <t>2020/06/09</t>
  </si>
  <si>
    <t>2020/06/08</t>
  </si>
  <si>
    <t>2020/06/05</t>
  </si>
  <si>
    <t>2020/06/04</t>
  </si>
  <si>
    <t>2020/06/03</t>
  </si>
  <si>
    <t>2020/06/02</t>
  </si>
  <si>
    <t>2020/06/01</t>
  </si>
  <si>
    <t>2020/05/29</t>
  </si>
  <si>
    <t>2020/05/28</t>
  </si>
  <si>
    <t>2020/05/27</t>
  </si>
  <si>
    <t>2020/05/26</t>
  </si>
  <si>
    <t>2020/05/25</t>
  </si>
  <si>
    <t>2020/05/22</t>
  </si>
  <si>
    <t>2020/05/21</t>
  </si>
  <si>
    <t>2020/05/20</t>
  </si>
  <si>
    <t>2020/05/19</t>
  </si>
  <si>
    <t>2020/05/18</t>
  </si>
  <si>
    <t>2020/05/15</t>
  </si>
  <si>
    <t>2020/05/14</t>
  </si>
  <si>
    <t>2020/05/13</t>
  </si>
  <si>
    <t>2020/05/12</t>
  </si>
  <si>
    <t>2020/05/11</t>
  </si>
  <si>
    <t>2020/05/08</t>
  </si>
  <si>
    <t>2020/05/07</t>
  </si>
  <si>
    <t>2020/05/06</t>
  </si>
  <si>
    <t>2020/05/04</t>
  </si>
  <si>
    <t>2020/04/29</t>
  </si>
  <si>
    <t>2020/04/28</t>
  </si>
  <si>
    <t>2020/04/27</t>
  </si>
  <si>
    <t>2020/04/24</t>
  </si>
  <si>
    <t>2020/04/23</t>
  </si>
  <si>
    <t>2020/04/22</t>
  </si>
  <si>
    <t>2020/04/21</t>
  </si>
  <si>
    <t>2020/04/20</t>
  </si>
  <si>
    <t>2020/04/17</t>
  </si>
  <si>
    <t>2020/04/16</t>
  </si>
  <si>
    <t>2020/04/14</t>
  </si>
  <si>
    <t>2020/04/13</t>
  </si>
  <si>
    <t>2020/04/10</t>
  </si>
  <si>
    <t>2020/04/09</t>
  </si>
  <si>
    <t>2020/04/08</t>
  </si>
  <si>
    <t>2020/04/07</t>
  </si>
  <si>
    <t>2020/04/06</t>
  </si>
  <si>
    <t>2020/04/03</t>
  </si>
  <si>
    <t>2020/04/02</t>
  </si>
  <si>
    <t>2020/04/01</t>
  </si>
  <si>
    <t>2020/03/31</t>
  </si>
  <si>
    <t>2020/03/30</t>
  </si>
  <si>
    <t>2020/03/27</t>
  </si>
  <si>
    <t>2020/03/26</t>
  </si>
  <si>
    <t>2020/03/25</t>
  </si>
  <si>
    <t>2020/03/24</t>
  </si>
  <si>
    <t>2020/03/23</t>
  </si>
  <si>
    <t>2020/03/20</t>
  </si>
  <si>
    <t>2020/03/19</t>
  </si>
  <si>
    <t>2020/03/18</t>
  </si>
  <si>
    <t>2020/03/17</t>
  </si>
  <si>
    <t>2020/03/16</t>
  </si>
  <si>
    <t>2020/03/13</t>
  </si>
  <si>
    <t>2020/03/12</t>
  </si>
  <si>
    <t>2020/03/11</t>
  </si>
  <si>
    <t>2020/03/10</t>
  </si>
  <si>
    <t>2020/03/09</t>
  </si>
  <si>
    <t>2020/03/06</t>
  </si>
  <si>
    <t>2020/03/05</t>
  </si>
  <si>
    <t>2020/03/04</t>
  </si>
  <si>
    <t>2020/03/03</t>
  </si>
  <si>
    <t>2020/03/02</t>
  </si>
  <si>
    <t>2020/02/28</t>
  </si>
  <si>
    <t>2020/02/27</t>
  </si>
  <si>
    <t>2020/02/26</t>
  </si>
  <si>
    <t>2020/02/25</t>
  </si>
  <si>
    <t>2020/02/24</t>
  </si>
  <si>
    <t>2020/02/21</t>
  </si>
  <si>
    <t>2020/02/20</t>
  </si>
  <si>
    <t>2020/02/19</t>
  </si>
  <si>
    <t>2020/02/18</t>
  </si>
  <si>
    <t>2020/02/17</t>
  </si>
  <si>
    <t>2020/02/14</t>
  </si>
  <si>
    <t>2020/02/13</t>
  </si>
  <si>
    <t>2020/02/12</t>
  </si>
  <si>
    <t>2020/02/11</t>
  </si>
  <si>
    <t>2020/02/10</t>
  </si>
  <si>
    <t>2020/02/07</t>
  </si>
  <si>
    <t>2020/02/06</t>
  </si>
  <si>
    <t>2020/02/05</t>
  </si>
  <si>
    <t>2020/02/04</t>
  </si>
  <si>
    <t>2020/02/03</t>
  </si>
  <si>
    <t>2020/01/31</t>
  </si>
  <si>
    <t>2020/01/30</t>
  </si>
  <si>
    <t>2020/01/29</t>
  </si>
  <si>
    <t>2020/01/28</t>
  </si>
  <si>
    <t>2020/01/23</t>
  </si>
  <si>
    <t>2020/01/22</t>
  </si>
  <si>
    <t>2020/01/21</t>
  </si>
  <si>
    <t>2020/01/20</t>
  </si>
  <si>
    <t>2020/01/17</t>
  </si>
  <si>
    <t>2020/01/16</t>
  </si>
  <si>
    <t>2020/01/15</t>
  </si>
  <si>
    <t>2020/01/14</t>
  </si>
  <si>
    <t>2020/01/13</t>
  </si>
  <si>
    <t>2020/01/10</t>
  </si>
  <si>
    <t>2020/01/09</t>
  </si>
  <si>
    <t>2020/01/08</t>
  </si>
  <si>
    <t>2020/01/07</t>
  </si>
  <si>
    <t>2020/01/06</t>
  </si>
  <si>
    <t>2020/01/03</t>
  </si>
  <si>
    <t>2020/01/02</t>
  </si>
  <si>
    <t>2019/12/31</t>
  </si>
  <si>
    <t>2019/12/30</t>
  </si>
  <si>
    <t>2019/12/27</t>
  </si>
  <si>
    <t>2019/12/26</t>
  </si>
  <si>
    <t>2019/12/24</t>
  </si>
  <si>
    <t>2019/12/23</t>
  </si>
  <si>
    <t>2019/12/20</t>
  </si>
  <si>
    <t>2019/12/19</t>
  </si>
  <si>
    <t>2019/12/18</t>
  </si>
  <si>
    <t>2019/12/17</t>
  </si>
  <si>
    <t>2019/12/16</t>
  </si>
  <si>
    <t>2019/12/13</t>
  </si>
  <si>
    <t>2019/12/12</t>
  </si>
  <si>
    <t>2019/12/11</t>
  </si>
  <si>
    <t>2019/12/10</t>
  </si>
  <si>
    <t>2019/12/09</t>
  </si>
  <si>
    <t>2019/12/06</t>
  </si>
  <si>
    <t>2019/12/05</t>
  </si>
  <si>
    <t>2019/12/04</t>
  </si>
  <si>
    <t>2019/12/03</t>
  </si>
  <si>
    <t>2019/12/02</t>
  </si>
  <si>
    <t>2019/11/29</t>
  </si>
  <si>
    <t>2019/11/28</t>
  </si>
  <si>
    <t>2019/11/27</t>
  </si>
  <si>
    <t>2019/11/26</t>
  </si>
  <si>
    <t>2019/11/25</t>
  </si>
  <si>
    <t>2019/11/22</t>
  </si>
  <si>
    <t>2019/11/21</t>
  </si>
  <si>
    <t>2019/11/20</t>
  </si>
  <si>
    <t>2019/11/19</t>
  </si>
  <si>
    <t>2019/11/18</t>
  </si>
  <si>
    <t>2019/11/15</t>
  </si>
  <si>
    <t>2019/11/14</t>
  </si>
  <si>
    <t>2019/11/13</t>
  </si>
  <si>
    <t>2019/11/12</t>
  </si>
  <si>
    <t>2019/11/11</t>
  </si>
  <si>
    <t>2019/11/08</t>
  </si>
  <si>
    <t>2019/11/07</t>
  </si>
  <si>
    <t>2019/11/06</t>
  </si>
  <si>
    <t>2019/11/05</t>
  </si>
  <si>
    <t>2019/11/04</t>
  </si>
  <si>
    <t>2019/11/01</t>
  </si>
  <si>
    <t>2019/10/31</t>
  </si>
  <si>
    <t>2019/10/30</t>
  </si>
  <si>
    <t>2019/10/29</t>
  </si>
  <si>
    <t>2019/10/28</t>
  </si>
  <si>
    <t>2019/10/25</t>
  </si>
  <si>
    <t>2019/10/24</t>
  </si>
  <si>
    <t>2019/10/23</t>
  </si>
  <si>
    <t>2019/10/22</t>
  </si>
  <si>
    <t>2019/10/21</t>
  </si>
  <si>
    <t>2019/10/18</t>
  </si>
  <si>
    <t>2019/10/17</t>
  </si>
  <si>
    <t>2019/10/16</t>
  </si>
  <si>
    <t>2019/10/15</t>
  </si>
  <si>
    <t>2019/10/14</t>
  </si>
  <si>
    <t>2019/10/11</t>
  </si>
  <si>
    <t>2019/10/10</t>
  </si>
  <si>
    <t>2019/10/08</t>
  </si>
  <si>
    <t>2019/10/07</t>
  </si>
  <si>
    <t>2019/10/04</t>
  </si>
  <si>
    <t>2019/10/02</t>
  </si>
  <si>
    <t>2019/10/01</t>
  </si>
  <si>
    <t>2019/09/30</t>
  </si>
  <si>
    <t>2019/09/27</t>
  </si>
  <si>
    <t>2019/09/26</t>
  </si>
  <si>
    <t>2019/09/25</t>
  </si>
  <si>
    <t>2019/09/24</t>
  </si>
  <si>
    <t>2019/09/23</t>
  </si>
  <si>
    <t>2019/09/20</t>
  </si>
  <si>
    <t>2019/09/19</t>
  </si>
  <si>
    <t>2019/09/18</t>
  </si>
  <si>
    <t>2019/09/17</t>
  </si>
  <si>
    <t>2019/09/16</t>
  </si>
  <si>
    <t>2019/09/11</t>
  </si>
  <si>
    <t>2019/09/10</t>
  </si>
  <si>
    <t>2019/09/09</t>
  </si>
  <si>
    <t>2019/09/06</t>
  </si>
  <si>
    <t>2019/09/05</t>
  </si>
  <si>
    <t>2019/09/04</t>
  </si>
  <si>
    <t>2019/09/03</t>
  </si>
  <si>
    <t>2019/09/02</t>
  </si>
  <si>
    <t>2019/08/30</t>
  </si>
  <si>
    <t>2019/08/29</t>
  </si>
  <si>
    <t>2019/08/28</t>
  </si>
  <si>
    <t>2019/08/27</t>
  </si>
  <si>
    <t>2019/08/26</t>
  </si>
  <si>
    <t>2019/08/23</t>
  </si>
  <si>
    <t>2019/08/22</t>
  </si>
  <si>
    <t>2019/08/21</t>
  </si>
  <si>
    <t>2019/08/20</t>
  </si>
  <si>
    <t>2019/08/19</t>
  </si>
  <si>
    <t>2019/08/16</t>
  </si>
  <si>
    <t>2019/08/14</t>
  </si>
  <si>
    <t>2019/08/13</t>
  </si>
  <si>
    <t>2019/08/12</t>
  </si>
  <si>
    <t>2019/08/09</t>
  </si>
  <si>
    <t>2019/08/08</t>
  </si>
  <si>
    <t>2019/08/07</t>
  </si>
  <si>
    <t>2019/08/06</t>
  </si>
  <si>
    <t>2019/08/05</t>
  </si>
  <si>
    <t>2019/08/02</t>
  </si>
  <si>
    <t>2019/08/01</t>
  </si>
  <si>
    <t>2019/07/31</t>
  </si>
  <si>
    <t>2019/07/30</t>
  </si>
  <si>
    <t>2019/07/29</t>
  </si>
  <si>
    <t>2019/07/26</t>
  </si>
  <si>
    <t>2019/07/25</t>
  </si>
  <si>
    <t>2019/07/24</t>
  </si>
  <si>
    <t>2019/07/23</t>
  </si>
  <si>
    <t>2019/07/22</t>
  </si>
  <si>
    <t>2019/07/19</t>
  </si>
  <si>
    <t>2019/07/18</t>
  </si>
  <si>
    <t>2019/07/17</t>
  </si>
  <si>
    <t>2019/07/16</t>
  </si>
  <si>
    <t>2019/07/15</t>
  </si>
  <si>
    <t>2019/07/12</t>
  </si>
  <si>
    <t>2019/07/11</t>
  </si>
  <si>
    <t>2019/07/10</t>
  </si>
  <si>
    <t>2019/07/09</t>
  </si>
  <si>
    <t>2019/07/08</t>
  </si>
  <si>
    <t>2019/07/05</t>
  </si>
  <si>
    <t>2019/07/04</t>
  </si>
  <si>
    <t>2019/07/03</t>
  </si>
  <si>
    <t>2019/07/02</t>
  </si>
  <si>
    <t>2019/07/01</t>
  </si>
  <si>
    <t>2019/06/28</t>
  </si>
  <si>
    <t>2019/06/27</t>
  </si>
  <si>
    <t>2019/06/26</t>
  </si>
  <si>
    <t>2019/06/25</t>
  </si>
  <si>
    <t>2019/06/24</t>
  </si>
  <si>
    <t>2019/06/21</t>
  </si>
  <si>
    <t>2019/06/20</t>
  </si>
  <si>
    <t>2019/06/19</t>
  </si>
  <si>
    <t>2019/06/18</t>
  </si>
  <si>
    <t>2019/06/17</t>
  </si>
  <si>
    <t>2019/06/14</t>
  </si>
  <si>
    <t>2019/06/13</t>
  </si>
  <si>
    <t>2019/06/12</t>
  </si>
  <si>
    <t>2019/06/11</t>
  </si>
  <si>
    <t>2019/06/10</t>
  </si>
  <si>
    <t>2019/06/07</t>
  </si>
  <si>
    <t>2019/06/05</t>
  </si>
  <si>
    <t>2019/06/04</t>
  </si>
  <si>
    <t>2019/06/03</t>
  </si>
  <si>
    <t>2019/05/31</t>
  </si>
  <si>
    <t>2019/05/30</t>
  </si>
  <si>
    <t>2019/05/29</t>
  </si>
  <si>
    <t>2019/05/28</t>
  </si>
  <si>
    <t>2019/05/27</t>
  </si>
  <si>
    <t>2019/05/24</t>
  </si>
  <si>
    <t>2019/05/23</t>
  </si>
  <si>
    <t>2019/05/22</t>
  </si>
  <si>
    <t>2019/05/21</t>
  </si>
  <si>
    <t>2019/05/20</t>
  </si>
  <si>
    <t>2019/05/17</t>
  </si>
  <si>
    <t>2019/05/16</t>
  </si>
  <si>
    <t>2019/05/15</t>
  </si>
  <si>
    <t>2019/05/14</t>
  </si>
  <si>
    <t>2019/05/13</t>
  </si>
  <si>
    <t>2019/05/10</t>
  </si>
  <si>
    <t>2019/05/09</t>
  </si>
  <si>
    <t>2019/05/08</t>
  </si>
  <si>
    <t>2019/05/07</t>
  </si>
  <si>
    <t>2019/05/03</t>
  </si>
  <si>
    <t>2019/05/02</t>
  </si>
  <si>
    <t>2019/04/30</t>
  </si>
  <si>
    <t>2019/04/29</t>
  </si>
  <si>
    <t>2019/04/26</t>
  </si>
  <si>
    <t>2019/04/25</t>
  </si>
  <si>
    <t>2019/04/24</t>
  </si>
  <si>
    <t>2019/04/23</t>
  </si>
  <si>
    <t>2019/04/22</t>
  </si>
  <si>
    <t>2019/04/19</t>
  </si>
  <si>
    <t>2019/04/18</t>
  </si>
  <si>
    <t>2019/04/17</t>
  </si>
  <si>
    <t>2019/04/16</t>
  </si>
  <si>
    <t>2019/04/15</t>
  </si>
  <si>
    <t>2019/04/12</t>
  </si>
  <si>
    <t>2019/04/11</t>
  </si>
  <si>
    <t>2019/04/10</t>
  </si>
  <si>
    <t>2019/04/09</t>
  </si>
  <si>
    <t>2019/04/08</t>
  </si>
  <si>
    <t>2019/04/05</t>
  </si>
  <si>
    <t>2019/04/04</t>
  </si>
  <si>
    <t>2019/04/03</t>
  </si>
  <si>
    <t>2019/04/02</t>
  </si>
  <si>
    <t>2019/04/01</t>
  </si>
  <si>
    <t>2019/03/29</t>
  </si>
  <si>
    <t>2019/03/28</t>
  </si>
  <si>
    <t>2019/03/27</t>
  </si>
  <si>
    <t>2019/03/26</t>
  </si>
  <si>
    <t>2019/03/25</t>
  </si>
  <si>
    <t>2019/03/22</t>
  </si>
  <si>
    <t>2019/03/21</t>
  </si>
  <si>
    <t>2019/03/20</t>
  </si>
  <si>
    <t>2019/03/19</t>
  </si>
  <si>
    <t>2019/03/18</t>
  </si>
  <si>
    <t>2019/03/15</t>
  </si>
  <si>
    <t>2019/03/14</t>
  </si>
  <si>
    <t>2019/03/13</t>
  </si>
  <si>
    <t>2019/03/12</t>
  </si>
  <si>
    <t>2019/03/11</t>
  </si>
  <si>
    <t>2019/03/08</t>
  </si>
  <si>
    <t>2019/03/07</t>
  </si>
  <si>
    <t>2019/03/06</t>
  </si>
  <si>
    <t>2019/03/05</t>
  </si>
  <si>
    <t>2019/03/04</t>
  </si>
  <si>
    <t>2019/02/28</t>
  </si>
  <si>
    <t>2019/02/27</t>
  </si>
  <si>
    <t>2019/02/26</t>
  </si>
  <si>
    <t>2019/02/25</t>
  </si>
  <si>
    <t>2019/02/22</t>
  </si>
  <si>
    <t>2019/02/21</t>
  </si>
  <si>
    <t>2019/02/20</t>
  </si>
  <si>
    <t>2019/02/19</t>
  </si>
  <si>
    <t>2019/02/18</t>
  </si>
  <si>
    <t>2019/02/15</t>
  </si>
  <si>
    <t>2019/02/14</t>
  </si>
  <si>
    <t>2019/02/13</t>
  </si>
  <si>
    <t>2019/02/12</t>
  </si>
  <si>
    <t>2019/02/11</t>
  </si>
  <si>
    <t>2019/02/08</t>
  </si>
  <si>
    <t>2019/02/07</t>
  </si>
  <si>
    <t>2019/02/01</t>
  </si>
  <si>
    <t>2019/01/31</t>
  </si>
  <si>
    <t>2019/01/30</t>
  </si>
  <si>
    <t>2019/01/29</t>
  </si>
  <si>
    <t>2019/01/28</t>
  </si>
  <si>
    <t>2019/01/25</t>
  </si>
  <si>
    <t>2019/01/24</t>
  </si>
  <si>
    <t>2019/01/23</t>
  </si>
  <si>
    <t>2019/01/22</t>
  </si>
  <si>
    <t>2019/01/21</t>
  </si>
  <si>
    <t>2019/01/18</t>
  </si>
  <si>
    <t>2019/01/17</t>
  </si>
  <si>
    <t>2019/01/16</t>
  </si>
  <si>
    <t>2019/01/15</t>
  </si>
  <si>
    <t>2019/01/14</t>
  </si>
  <si>
    <t>2019/01/11</t>
  </si>
  <si>
    <t>2019/01/10</t>
  </si>
  <si>
    <t>2019/01/09</t>
  </si>
  <si>
    <t>2019/01/08</t>
  </si>
  <si>
    <t>2019/01/07</t>
  </si>
  <si>
    <t>2019/01/04</t>
  </si>
  <si>
    <t>2019/01/03</t>
  </si>
  <si>
    <t>2019/01/02</t>
  </si>
  <si>
    <t>2018/12/31</t>
  </si>
  <si>
    <t>2018/12/28</t>
  </si>
  <si>
    <t>2018/12/27</t>
  </si>
  <si>
    <t>2018/12/26</t>
  </si>
  <si>
    <t>2018/12/24</t>
  </si>
  <si>
    <t>2018/12/21</t>
  </si>
  <si>
    <t>2018/12/20</t>
  </si>
  <si>
    <t>2018/12/19</t>
  </si>
  <si>
    <t>2018/12/18</t>
  </si>
  <si>
    <t>2018/12/17</t>
  </si>
  <si>
    <t>2018/12/14</t>
  </si>
  <si>
    <t>2018/12/13</t>
  </si>
  <si>
    <t>2018/12/12</t>
  </si>
  <si>
    <t>2018/12/11</t>
  </si>
  <si>
    <t>2018/12/10</t>
  </si>
  <si>
    <t>2018/12/07</t>
  </si>
  <si>
    <t>2018/12/06</t>
  </si>
  <si>
    <t>2018/12/05</t>
  </si>
  <si>
    <t>2018/12/04</t>
  </si>
  <si>
    <t>2018/12/03</t>
  </si>
  <si>
    <t>2018/11/30</t>
  </si>
  <si>
    <t>2018/11/29</t>
  </si>
  <si>
    <t>2018/11/28</t>
  </si>
  <si>
    <t>2018/11/27</t>
  </si>
  <si>
    <t>2018/11/26</t>
  </si>
  <si>
    <t>2018/11/23</t>
  </si>
  <si>
    <t>2018/11/22</t>
  </si>
  <si>
    <t>2018/11/21</t>
  </si>
  <si>
    <t>2018/11/20</t>
  </si>
  <si>
    <t>2018/11/19</t>
  </si>
  <si>
    <t>2018/11/16</t>
  </si>
  <si>
    <t>2018/11/15</t>
  </si>
  <si>
    <t>2018/11/14</t>
  </si>
  <si>
    <t>2018/11/13</t>
  </si>
  <si>
    <t>2018/11/12</t>
  </si>
  <si>
    <t>2018/11/09</t>
  </si>
  <si>
    <t>2018/11/08</t>
  </si>
  <si>
    <t>2018/11/07</t>
  </si>
  <si>
    <t>2018/11/06</t>
  </si>
  <si>
    <t>2018/11/05</t>
  </si>
  <si>
    <t>2018/11/02</t>
  </si>
  <si>
    <t>2018/11/01</t>
  </si>
  <si>
    <t>2018/10/31</t>
  </si>
  <si>
    <t>2018/10/30</t>
  </si>
  <si>
    <t>2018/10/29</t>
  </si>
  <si>
    <t>2018/10/26</t>
  </si>
  <si>
    <t>2018/10/25</t>
  </si>
  <si>
    <t>2018/10/24</t>
  </si>
  <si>
    <t>2018/10/23</t>
  </si>
  <si>
    <t>2018/10/22</t>
  </si>
  <si>
    <t>2018/10/19</t>
  </si>
  <si>
    <t>2018/10/18</t>
  </si>
  <si>
    <t>2018/10/17</t>
  </si>
  <si>
    <t>2018/10/16</t>
  </si>
  <si>
    <t>2018/10/15</t>
  </si>
  <si>
    <t>2018/10/12</t>
  </si>
  <si>
    <t>2018/10/11</t>
  </si>
  <si>
    <t>2018/10/10</t>
  </si>
  <si>
    <t>2018/10/08</t>
  </si>
  <si>
    <t>2018/10/05</t>
  </si>
  <si>
    <t>2018/10/04</t>
  </si>
  <si>
    <t>2018/10/02</t>
  </si>
  <si>
    <t>2018/10/01</t>
  </si>
  <si>
    <t>2018/09/28</t>
  </si>
  <si>
    <t>2018/09/27</t>
  </si>
  <si>
    <t>2018/09/21</t>
  </si>
  <si>
    <t>2018/09/20</t>
  </si>
  <si>
    <t>2018/09/19</t>
  </si>
  <si>
    <t>2018/09/18</t>
  </si>
  <si>
    <t>2018/09/17</t>
  </si>
  <si>
    <t>2018/09/14</t>
  </si>
  <si>
    <t>2018/09/13</t>
  </si>
  <si>
    <t>2018/09/12</t>
  </si>
  <si>
    <t>2018/09/11</t>
  </si>
  <si>
    <t>2018/09/10</t>
  </si>
  <si>
    <t>2018/09/07</t>
  </si>
  <si>
    <t>2018/09/06</t>
  </si>
  <si>
    <t>2018/09/05</t>
  </si>
  <si>
    <t>2018/09/04</t>
  </si>
  <si>
    <t>2018/09/03</t>
  </si>
  <si>
    <t>2018/08/31</t>
  </si>
  <si>
    <t>2018/08/30</t>
  </si>
  <si>
    <t>2018/08/29</t>
  </si>
  <si>
    <t>2018/08/28</t>
  </si>
  <si>
    <t>2018/08/27</t>
  </si>
  <si>
    <t>2018/08/24</t>
  </si>
  <si>
    <t>2018/08/23</t>
  </si>
  <si>
    <t>2018/08/22</t>
  </si>
  <si>
    <t>2018/08/21</t>
  </si>
  <si>
    <t>2018/08/20</t>
  </si>
  <si>
    <t>2018/08/17</t>
  </si>
  <si>
    <t>2018/08/16</t>
  </si>
  <si>
    <t>2018/08/14</t>
  </si>
  <si>
    <t>2018/08/13</t>
  </si>
  <si>
    <t>2018/08/10</t>
  </si>
  <si>
    <t>2018/08/09</t>
  </si>
  <si>
    <t>2018/08/08</t>
  </si>
  <si>
    <t>2018/08/07</t>
  </si>
  <si>
    <t>2018/08/06</t>
  </si>
  <si>
    <t>2018/08/03</t>
  </si>
  <si>
    <t>2018/08/02</t>
  </si>
  <si>
    <t>2018/08/01</t>
  </si>
  <si>
    <t>2018/07/31</t>
  </si>
  <si>
    <t>2018/07/30</t>
  </si>
  <si>
    <t>2018/07/27</t>
  </si>
  <si>
    <t>2018/07/26</t>
  </si>
  <si>
    <t>2018/07/25</t>
  </si>
  <si>
    <t>2018/07/24</t>
  </si>
  <si>
    <t>2018/07/23</t>
  </si>
  <si>
    <t>2018/07/20</t>
  </si>
  <si>
    <t>2018/07/19</t>
  </si>
  <si>
    <t>2018/07/18</t>
  </si>
  <si>
    <t>2018/07/17</t>
  </si>
  <si>
    <t>2018/07/16</t>
  </si>
  <si>
    <t>2018/07/13</t>
  </si>
  <si>
    <t>2018/07/12</t>
  </si>
  <si>
    <t>2018/07/11</t>
  </si>
  <si>
    <t>2018/07/10</t>
  </si>
  <si>
    <t>2018/07/09</t>
  </si>
  <si>
    <t>2018/07/06</t>
  </si>
  <si>
    <t>2018/07/05</t>
  </si>
  <si>
    <t>2018/07/04</t>
  </si>
  <si>
    <t>2018/07/03</t>
  </si>
  <si>
    <t>2018/07/02</t>
  </si>
  <si>
    <t>2018/06/29</t>
  </si>
  <si>
    <t>2018/06/28</t>
  </si>
  <si>
    <t>2018/06/27</t>
  </si>
  <si>
    <t>2018/06/26</t>
  </si>
  <si>
    <t>2018/06/25</t>
  </si>
  <si>
    <t>2018/06/22</t>
  </si>
  <si>
    <t>2018/06/21</t>
  </si>
  <si>
    <t>2018/06/20</t>
  </si>
  <si>
    <t>2018/06/19</t>
  </si>
  <si>
    <t>2018/06/18</t>
  </si>
  <si>
    <t>2018/06/15</t>
  </si>
  <si>
    <t>2018/06/14</t>
  </si>
  <si>
    <t>2018/06/12</t>
  </si>
  <si>
    <t>2018/06/11</t>
  </si>
  <si>
    <t>2018/06/08</t>
  </si>
  <si>
    <t>2018/06/07</t>
  </si>
  <si>
    <t>2018/06/05</t>
  </si>
  <si>
    <t>2018/06/04</t>
  </si>
  <si>
    <t>2018/06/01</t>
  </si>
  <si>
    <t>2018/05/31</t>
  </si>
  <si>
    <t>2018/05/30</t>
  </si>
  <si>
    <t>2018/05/29</t>
  </si>
  <si>
    <t>2018/05/28</t>
  </si>
  <si>
    <t>2018/05/25</t>
  </si>
  <si>
    <t>2018/05/24</t>
  </si>
  <si>
    <t>2018/05/23</t>
  </si>
  <si>
    <t>2018/05/21</t>
  </si>
  <si>
    <t>2018/05/18</t>
  </si>
  <si>
    <t>2018/05/17</t>
  </si>
  <si>
    <t>2018/05/16</t>
  </si>
  <si>
    <t>2018/05/15</t>
  </si>
  <si>
    <t>2018/05/14</t>
  </si>
  <si>
    <t>2018/05/11</t>
  </si>
  <si>
    <t>2018/05/10</t>
  </si>
  <si>
    <t>2018/05/09</t>
  </si>
  <si>
    <t>2018/05/08</t>
  </si>
  <si>
    <t>2018/05/04</t>
  </si>
  <si>
    <t>2018/05/03</t>
  </si>
  <si>
    <t>2018/05/02</t>
  </si>
  <si>
    <t>2018/04/30</t>
  </si>
  <si>
    <t>2018/04/27</t>
  </si>
  <si>
    <t>2018/04/26</t>
  </si>
  <si>
    <t>2018/04/25</t>
  </si>
  <si>
    <t>2018/04/24</t>
  </si>
  <si>
    <t>2018/04/23</t>
  </si>
  <si>
    <t>2018/04/20</t>
  </si>
  <si>
    <t>2018/04/19</t>
  </si>
  <si>
    <t>2018/04/18</t>
  </si>
  <si>
    <t>2018/04/17</t>
  </si>
  <si>
    <t>2018/04/16</t>
  </si>
  <si>
    <t>2018/04/13</t>
  </si>
  <si>
    <t>2018/04/12</t>
  </si>
  <si>
    <t>2018/04/11</t>
  </si>
  <si>
    <t>2018/04/10</t>
  </si>
  <si>
    <t>2018/04/09</t>
  </si>
  <si>
    <t>2018/04/06</t>
  </si>
  <si>
    <t>2018/04/05</t>
  </si>
  <si>
    <t>2018/04/04</t>
  </si>
  <si>
    <t>2018/04/03</t>
  </si>
  <si>
    <t>2018/04/02</t>
  </si>
  <si>
    <t>2018/03/30</t>
  </si>
  <si>
    <t>2018/03/29</t>
  </si>
  <si>
    <t>2018/03/28</t>
  </si>
  <si>
    <t>2018/03/27</t>
  </si>
  <si>
    <t>2018/03/26</t>
  </si>
  <si>
    <t>2018/03/23</t>
  </si>
  <si>
    <t>2018/03/22</t>
  </si>
  <si>
    <t>2018/03/21</t>
  </si>
  <si>
    <t>2018/03/20</t>
  </si>
  <si>
    <t>2018/03/19</t>
  </si>
  <si>
    <t>2018/03/16</t>
  </si>
  <si>
    <t>2018/03/15</t>
  </si>
  <si>
    <t>2018/03/14</t>
  </si>
  <si>
    <t>2018/03/13</t>
  </si>
  <si>
    <t>2018/03/12</t>
  </si>
  <si>
    <t>2018/03/09</t>
  </si>
  <si>
    <t>2018/03/08</t>
  </si>
  <si>
    <t>2018/03/07</t>
  </si>
  <si>
    <t>2018/03/06</t>
  </si>
  <si>
    <t>2018/03/05</t>
  </si>
  <si>
    <t>2018/03/02</t>
  </si>
  <si>
    <t>2018/02/28</t>
  </si>
  <si>
    <t>2018/02/27</t>
  </si>
  <si>
    <t>2018/02/26</t>
  </si>
  <si>
    <t>2018/02/23</t>
  </si>
  <si>
    <t>2018/02/22</t>
  </si>
  <si>
    <t>2018/02/21</t>
  </si>
  <si>
    <t>2018/02/20</t>
  </si>
  <si>
    <t>2018/02/19</t>
  </si>
  <si>
    <t>2018/02/14</t>
  </si>
  <si>
    <t>2018/02/13</t>
  </si>
  <si>
    <t>2018/02/12</t>
  </si>
  <si>
    <t>2018/02/09</t>
  </si>
  <si>
    <t>2018/02/08</t>
  </si>
  <si>
    <t>2018/02/07</t>
  </si>
  <si>
    <t>2018/02/06</t>
  </si>
  <si>
    <t>2018/02/05</t>
  </si>
  <si>
    <t>2018/02/02</t>
  </si>
  <si>
    <t>2018/02/01</t>
  </si>
  <si>
    <t>2018/01/31</t>
  </si>
  <si>
    <t>2018/01/30</t>
  </si>
  <si>
    <t>2018/01/29</t>
  </si>
  <si>
    <t>2018/01/26</t>
  </si>
  <si>
    <t>2018/01/25</t>
  </si>
  <si>
    <t>2018/01/24</t>
  </si>
  <si>
    <t>2018/01/23</t>
  </si>
  <si>
    <t>2018/01/22</t>
  </si>
  <si>
    <t>2018/01/19</t>
  </si>
  <si>
    <t>2018/01/18</t>
  </si>
  <si>
    <t>2018/01/17</t>
  </si>
  <si>
    <t>2018/01/16</t>
  </si>
  <si>
    <t>2018/01/15</t>
  </si>
  <si>
    <t>2018/01/12</t>
  </si>
  <si>
    <t>2018/01/11</t>
  </si>
  <si>
    <t>2018/01/10</t>
  </si>
  <si>
    <t>2018/01/09</t>
  </si>
  <si>
    <t>2018/01/08</t>
  </si>
  <si>
    <t>2018/01/05</t>
  </si>
  <si>
    <t>2018/01/04</t>
  </si>
  <si>
    <t>2018/01/03</t>
  </si>
  <si>
    <t>2018/01/02</t>
  </si>
  <si>
    <t>2017/12/29</t>
  </si>
  <si>
    <t>2017/12/28</t>
  </si>
  <si>
    <t>2017/12/27</t>
  </si>
  <si>
    <t>2017/12/26</t>
  </si>
  <si>
    <t>2017/12/22</t>
  </si>
  <si>
    <t>2017/12/21</t>
  </si>
  <si>
    <t>2017/12/20</t>
  </si>
  <si>
    <t>2017/12/19</t>
  </si>
  <si>
    <t>2017/12/18</t>
  </si>
  <si>
    <t>2017/12/15</t>
  </si>
  <si>
    <t>2017/12/14</t>
  </si>
  <si>
    <t>2017/12/13</t>
  </si>
  <si>
    <t>2017/12/12</t>
  </si>
  <si>
    <t>2017/12/11</t>
  </si>
  <si>
    <t>2017/12/08</t>
  </si>
  <si>
    <t>2017/12/07</t>
  </si>
  <si>
    <t>2017/12/06</t>
  </si>
  <si>
    <t>2017/12/05</t>
  </si>
  <si>
    <t>2017/12/04</t>
  </si>
  <si>
    <t>2017/12/01</t>
  </si>
  <si>
    <t>2017/11/30</t>
  </si>
  <si>
    <t>2017/11/29</t>
  </si>
  <si>
    <t>2017/11/28</t>
  </si>
  <si>
    <t>2017/11/27</t>
  </si>
  <si>
    <t>2017/11/24</t>
  </si>
  <si>
    <t>2017/11/23</t>
  </si>
  <si>
    <t>2017/11/22</t>
  </si>
  <si>
    <t>2017/11/21</t>
  </si>
  <si>
    <t>2017/11/20</t>
  </si>
  <si>
    <t>2017/11/17</t>
  </si>
  <si>
    <t>2017/11/16</t>
  </si>
  <si>
    <t>2017/11/15</t>
  </si>
  <si>
    <t>2017/11/14</t>
  </si>
  <si>
    <t>2017/11/13</t>
  </si>
  <si>
    <t>2017/11/10</t>
  </si>
  <si>
    <t>2017/11/09</t>
  </si>
  <si>
    <t>2017/11/08</t>
  </si>
  <si>
    <t>2017/11/07</t>
  </si>
  <si>
    <t>2017/11/06</t>
  </si>
  <si>
    <t>2017/11/03</t>
  </si>
  <si>
    <t>2017/11/02</t>
  </si>
  <si>
    <t>2017/11/01</t>
  </si>
  <si>
    <t>2017/10/31</t>
  </si>
  <si>
    <t>2017/10/30</t>
  </si>
  <si>
    <t>2017/10/27</t>
  </si>
  <si>
    <t>2017/10/26</t>
  </si>
  <si>
    <t>2017/10/25</t>
  </si>
  <si>
    <t>2017/10/24</t>
  </si>
  <si>
    <t>2017/10/23</t>
  </si>
  <si>
    <t>2017/10/20</t>
  </si>
  <si>
    <t>2017/10/19</t>
  </si>
  <si>
    <t>2017/10/18</t>
  </si>
  <si>
    <t>2017/10/17</t>
  </si>
  <si>
    <t>2017/10/16</t>
  </si>
  <si>
    <t>2017/10/13</t>
  </si>
  <si>
    <t>2017/10/12</t>
  </si>
  <si>
    <t>2017/10/11</t>
  </si>
  <si>
    <t>2017/10/10</t>
  </si>
  <si>
    <t>2017/09/29</t>
  </si>
  <si>
    <t>2017/09/28</t>
  </si>
  <si>
    <t>2017/09/27</t>
  </si>
  <si>
    <t>2017/09/26</t>
  </si>
  <si>
    <t>2017/09/25</t>
  </si>
  <si>
    <t>2017/09/22</t>
  </si>
  <si>
    <t>2017/09/21</t>
  </si>
  <si>
    <t>2017/09/20</t>
  </si>
  <si>
    <t>2017/09/19</t>
  </si>
  <si>
    <t>2017/09/18</t>
  </si>
  <si>
    <t>2017/09/15</t>
  </si>
  <si>
    <t>2017/09/14</t>
  </si>
  <si>
    <t>2017/09/13</t>
  </si>
  <si>
    <t>2017/09/12</t>
  </si>
  <si>
    <t>2017/09/11</t>
  </si>
  <si>
    <t>2017/09/08</t>
  </si>
  <si>
    <t>2017/09/07</t>
  </si>
  <si>
    <t>2017/09/06</t>
  </si>
  <si>
    <t>2017/09/05</t>
  </si>
  <si>
    <t>2017/09/04</t>
  </si>
  <si>
    <t>2017/09/01</t>
  </si>
  <si>
    <t>2017/08/31</t>
  </si>
  <si>
    <t>2017/08/30</t>
  </si>
  <si>
    <t>2017/08/29</t>
  </si>
  <si>
    <t>2017/08/28</t>
  </si>
  <si>
    <t>2017/08/25</t>
  </si>
  <si>
    <t>2017/08/24</t>
  </si>
  <si>
    <t>2017/08/23</t>
  </si>
  <si>
    <t>2017/08/22</t>
  </si>
  <si>
    <t>2017/08/21</t>
  </si>
  <si>
    <t>2017/08/18</t>
  </si>
  <si>
    <t>2017/08/17</t>
  </si>
  <si>
    <t>2017/08/16</t>
  </si>
  <si>
    <t>2017/08/14</t>
  </si>
  <si>
    <t>2017/08/11</t>
  </si>
  <si>
    <t>2017/08/10</t>
  </si>
  <si>
    <t>2017/08/09</t>
  </si>
  <si>
    <t>2017/08/08</t>
  </si>
  <si>
    <t>2017/08/07</t>
  </si>
  <si>
    <t>2017/08/04</t>
  </si>
  <si>
    <t>2017/08/03</t>
  </si>
  <si>
    <t>2017/08/02</t>
  </si>
  <si>
    <t>2017/08/01</t>
  </si>
  <si>
    <t>2017/07/31</t>
  </si>
  <si>
    <t>2017/07/28</t>
  </si>
  <si>
    <t>2017/07/27</t>
  </si>
  <si>
    <t>2017/07/26</t>
  </si>
  <si>
    <t>2017/07/25</t>
  </si>
  <si>
    <t>2017/07/24</t>
  </si>
  <si>
    <t>2017/07/21</t>
  </si>
  <si>
    <t>2017/07/20</t>
  </si>
  <si>
    <t>2017/07/19</t>
  </si>
  <si>
    <t>2017/07/18</t>
  </si>
  <si>
    <t>2017/07/17</t>
  </si>
  <si>
    <t>2017/07/14</t>
  </si>
  <si>
    <t>2017/07/13</t>
  </si>
  <si>
    <t>2017/07/12</t>
  </si>
  <si>
    <t>2017/07/11</t>
  </si>
  <si>
    <t>2017/07/10</t>
  </si>
  <si>
    <t>2017/07/07</t>
  </si>
  <si>
    <t>2017/07/06</t>
  </si>
  <si>
    <t>2017/07/05</t>
  </si>
  <si>
    <t>2017/07/04</t>
  </si>
  <si>
    <t>2017/07/03</t>
  </si>
  <si>
    <t>2017/06/30</t>
  </si>
  <si>
    <t>2017/06/29</t>
  </si>
  <si>
    <t>2017/06/28</t>
  </si>
  <si>
    <t>2017/06/27</t>
  </si>
  <si>
    <t>2017/06/26</t>
  </si>
  <si>
    <t>2017/06/23</t>
  </si>
  <si>
    <t>2017/06/22</t>
  </si>
  <si>
    <t>2017/06/21</t>
  </si>
  <si>
    <t>2017/06/20</t>
  </si>
  <si>
    <t>2017/06/19</t>
  </si>
  <si>
    <t>2017/06/16</t>
  </si>
  <si>
    <t>2017/06/15</t>
  </si>
  <si>
    <t>2017/06/14</t>
  </si>
  <si>
    <t>2017/06/13</t>
  </si>
  <si>
    <t>2017/06/12</t>
  </si>
  <si>
    <t>2017/06/09</t>
  </si>
  <si>
    <t>2017/06/08</t>
  </si>
  <si>
    <t>2017/06/07</t>
  </si>
  <si>
    <t>2017/06/05</t>
  </si>
  <si>
    <t>2017/06/02</t>
  </si>
  <si>
    <t>2017/06/01</t>
  </si>
  <si>
    <t>2017/05/31</t>
  </si>
  <si>
    <t>2017/05/30</t>
  </si>
  <si>
    <t>2017/05/29</t>
  </si>
  <si>
    <t>2017/05/26</t>
  </si>
  <si>
    <t>2017/05/25</t>
  </si>
  <si>
    <t>2017/05/24</t>
  </si>
  <si>
    <t>2017/05/23</t>
  </si>
  <si>
    <t>2017/05/22</t>
  </si>
  <si>
    <t>2017/05/19</t>
  </si>
  <si>
    <t>2017/05/18</t>
  </si>
  <si>
    <t>2017/05/17</t>
  </si>
  <si>
    <t>2017/05/16</t>
  </si>
  <si>
    <t>2017/05/15</t>
  </si>
  <si>
    <t>2017/05/12</t>
  </si>
  <si>
    <t>2017/05/11</t>
  </si>
  <si>
    <t>2017/05/10</t>
  </si>
  <si>
    <t>2017/05/08</t>
  </si>
  <si>
    <t>2017/05/04</t>
  </si>
  <si>
    <t>2017/05/02</t>
  </si>
  <si>
    <t>2017/04/28</t>
  </si>
  <si>
    <t>2017/04/27</t>
  </si>
  <si>
    <t>2017/04/26</t>
  </si>
  <si>
    <t>2017/04/25</t>
  </si>
  <si>
    <t>2017/04/24</t>
  </si>
  <si>
    <t>2017/04/21</t>
  </si>
  <si>
    <t>2017/04/20</t>
  </si>
  <si>
    <t>2017/04/19</t>
  </si>
  <si>
    <t>2017/04/18</t>
  </si>
  <si>
    <t>2017/04/17</t>
  </si>
  <si>
    <t>2017/04/14</t>
  </si>
  <si>
    <t>2017/04/13</t>
  </si>
  <si>
    <t>2017/04/12</t>
  </si>
  <si>
    <t>2017/04/11</t>
  </si>
  <si>
    <t>2017/04/10</t>
  </si>
  <si>
    <t>2017/04/07</t>
  </si>
  <si>
    <t>2017/04/06</t>
  </si>
  <si>
    <t>2017/04/05</t>
  </si>
  <si>
    <t>2017/04/04</t>
  </si>
  <si>
    <t>2017/04/03</t>
  </si>
  <si>
    <t>2017/03/31</t>
  </si>
  <si>
    <t>2017/03/30</t>
  </si>
  <si>
    <t>2017/03/29</t>
  </si>
  <si>
    <t>2017/03/28</t>
  </si>
  <si>
    <t>2017/03/27</t>
  </si>
  <si>
    <t>2017/03/24</t>
  </si>
  <si>
    <t>2017/03/23</t>
  </si>
  <si>
    <t>2017/03/22</t>
  </si>
  <si>
    <t>2017/03/21</t>
  </si>
  <si>
    <t>2017/03/20</t>
  </si>
  <si>
    <t>2017/03/17</t>
  </si>
  <si>
    <t>2017/03/16</t>
  </si>
  <si>
    <t>2017/03/15</t>
  </si>
  <si>
    <t>2017/03/14</t>
  </si>
  <si>
    <t>2017/03/13</t>
  </si>
  <si>
    <t>2017/03/10</t>
  </si>
  <si>
    <t>2017/03/09</t>
  </si>
  <si>
    <t>2017/03/08</t>
  </si>
  <si>
    <t>2017/03/07</t>
  </si>
  <si>
    <t>2017/03/06</t>
  </si>
  <si>
    <t>2017/03/03</t>
  </si>
  <si>
    <t>2017/03/02</t>
  </si>
  <si>
    <t>2017/02/28</t>
  </si>
  <si>
    <t>2017/02/27</t>
  </si>
  <si>
    <t>2017/02/24</t>
  </si>
  <si>
    <t>2017/02/23</t>
  </si>
  <si>
    <t>2017/02/22</t>
  </si>
  <si>
    <t>2017/02/21</t>
  </si>
  <si>
    <t>2017/02/20</t>
  </si>
  <si>
    <t>2017/02/17</t>
  </si>
  <si>
    <t>2017/02/16</t>
  </si>
  <si>
    <t>2017/02/15</t>
  </si>
  <si>
    <t>2017/02/14</t>
  </si>
  <si>
    <t>2017/02/13</t>
  </si>
  <si>
    <t>2017/02/10</t>
  </si>
  <si>
    <t>2017/02/09</t>
  </si>
  <si>
    <t>2017/02/08</t>
  </si>
  <si>
    <t>2017/02/07</t>
  </si>
  <si>
    <t>2017/02/06</t>
  </si>
  <si>
    <t>2017/02/03</t>
  </si>
  <si>
    <t>2017/02/02</t>
  </si>
  <si>
    <t>2017/02/01</t>
  </si>
  <si>
    <t>2017/01/31</t>
  </si>
  <si>
    <t>2017/01/26</t>
  </si>
  <si>
    <t>2017/01/25</t>
  </si>
  <si>
    <t>2017/01/24</t>
  </si>
  <si>
    <t>2017/01/23</t>
  </si>
  <si>
    <t>2017/01/20</t>
  </si>
  <si>
    <t>2017/01/19</t>
  </si>
  <si>
    <t>2017/01/18</t>
  </si>
  <si>
    <t>2017/01/17</t>
  </si>
  <si>
    <t>2017/01/16</t>
  </si>
  <si>
    <t>2017/01/13</t>
  </si>
  <si>
    <t>2017/01/12</t>
  </si>
  <si>
    <t>2017/01/11</t>
  </si>
  <si>
    <t>2017/01/10</t>
  </si>
  <si>
    <t>2017/01/09</t>
  </si>
  <si>
    <t>2017/01/06</t>
  </si>
  <si>
    <t>2017/01/05</t>
  </si>
  <si>
    <t>2017/01/04</t>
  </si>
  <si>
    <t>2017/01/03</t>
  </si>
  <si>
    <t>2017/01/02</t>
  </si>
  <si>
    <t>2016/12/30</t>
  </si>
  <si>
    <t>2016/12/29</t>
  </si>
  <si>
    <t>2016/12/28</t>
  </si>
  <si>
    <t>2016/12/27</t>
  </si>
  <si>
    <t>2016/12/26</t>
  </si>
  <si>
    <t>2016/12/23</t>
  </si>
  <si>
    <t>2016/12/22</t>
  </si>
  <si>
    <t>2016/12/21</t>
  </si>
  <si>
    <t>2016/12/20</t>
  </si>
  <si>
    <t>2016/12/19</t>
  </si>
  <si>
    <t>2016/12/16</t>
  </si>
  <si>
    <t>2016/12/15</t>
  </si>
  <si>
    <t>2016/12/14</t>
  </si>
  <si>
    <t>2016/12/13</t>
  </si>
  <si>
    <t>2016/12/12</t>
  </si>
  <si>
    <t>2016/12/09</t>
  </si>
  <si>
    <t>2016/12/08</t>
  </si>
  <si>
    <t>2016/12/07</t>
  </si>
  <si>
    <t>2016/12/06</t>
  </si>
  <si>
    <t>2016/12/05</t>
  </si>
  <si>
    <t>2016/12/02</t>
  </si>
  <si>
    <t>2016/12/01</t>
  </si>
  <si>
    <t>2016/11/30</t>
  </si>
  <si>
    <t>2016/11/29</t>
  </si>
  <si>
    <t>2016/11/28</t>
  </si>
  <si>
    <t>2016/11/25</t>
  </si>
  <si>
    <t>2016/11/24</t>
  </si>
  <si>
    <t>2016/11/23</t>
  </si>
  <si>
    <t>2016/11/22</t>
  </si>
  <si>
    <t>2016/11/21</t>
  </si>
  <si>
    <t>2016/11/18</t>
  </si>
  <si>
    <t>2016/11/17</t>
  </si>
  <si>
    <t>2016/11/16</t>
  </si>
  <si>
    <t>2016/11/15</t>
  </si>
  <si>
    <t>2016/11/14</t>
  </si>
  <si>
    <t>2016/11/11</t>
  </si>
  <si>
    <t>2016/11/10</t>
  </si>
  <si>
    <t>2016/11/09</t>
  </si>
  <si>
    <t>2016/11/08</t>
  </si>
  <si>
    <t>2016/11/07</t>
  </si>
  <si>
    <t>2016/11/04</t>
  </si>
  <si>
    <t>2016/11/03</t>
  </si>
  <si>
    <t>2016/11/02</t>
  </si>
  <si>
    <t>2016/11/01</t>
  </si>
  <si>
    <t>2016/10/31</t>
  </si>
  <si>
    <t>2016/10/28</t>
  </si>
  <si>
    <t>2016/10/27</t>
  </si>
  <si>
    <t>2016/10/26</t>
  </si>
  <si>
    <t>2016/10/25</t>
  </si>
  <si>
    <t>2016/10/24</t>
  </si>
  <si>
    <t>2016/10/21</t>
  </si>
  <si>
    <t>2016/10/20</t>
  </si>
  <si>
    <t>2016/10/19</t>
  </si>
  <si>
    <t>2016/10/18</t>
  </si>
  <si>
    <t>2016/10/17</t>
  </si>
  <si>
    <t>2016/10/14</t>
  </si>
  <si>
    <t>2016/10/13</t>
  </si>
  <si>
    <t>2016/10/12</t>
  </si>
  <si>
    <t>2016/10/11</t>
  </si>
  <si>
    <t>2016/10/10</t>
  </si>
  <si>
    <t>2016/10/07</t>
  </si>
  <si>
    <t>2016/10/06</t>
  </si>
  <si>
    <t>2016/10/05</t>
  </si>
  <si>
    <t>2016/10/04</t>
  </si>
  <si>
    <t>2016/09/30</t>
  </si>
  <si>
    <t>2016/09/29</t>
  </si>
  <si>
    <t>2016/09/28</t>
  </si>
  <si>
    <t>2016/09/27</t>
  </si>
  <si>
    <t>2016/09/26</t>
  </si>
  <si>
    <t>2016/09/23</t>
  </si>
  <si>
    <t>2016/09/22</t>
  </si>
  <si>
    <t>2016/09/21</t>
  </si>
  <si>
    <t>2016/09/20</t>
  </si>
  <si>
    <t>2016/09/19</t>
  </si>
  <si>
    <t>2016/09/13</t>
  </si>
  <si>
    <t>2016/09/12</t>
  </si>
  <si>
    <t>2016/09/09</t>
  </si>
  <si>
    <t>2016/09/08</t>
  </si>
  <si>
    <t>2016/09/07</t>
  </si>
  <si>
    <t>2016/09/06</t>
  </si>
  <si>
    <t>2016/09/05</t>
  </si>
  <si>
    <t>2016/09/02</t>
  </si>
  <si>
    <t>2016/09/01</t>
  </si>
  <si>
    <t>2016/08/31</t>
  </si>
  <si>
    <t>2016/08/30</t>
  </si>
  <si>
    <t>2016/08/29</t>
  </si>
  <si>
    <t>2016/08/26</t>
  </si>
  <si>
    <t>2016/08/25</t>
  </si>
  <si>
    <t>2016/08/24</t>
  </si>
  <si>
    <t>2016/08/23</t>
  </si>
  <si>
    <t>2016/08/22</t>
  </si>
  <si>
    <t>2016/08/19</t>
  </si>
  <si>
    <t>2016/08/18</t>
  </si>
  <si>
    <t>2016/08/17</t>
  </si>
  <si>
    <t>2016/08/16</t>
  </si>
  <si>
    <t>2016/08/12</t>
  </si>
  <si>
    <t>2016/08/11</t>
  </si>
  <si>
    <t>2016/08/10</t>
  </si>
  <si>
    <t>2016/08/09</t>
  </si>
  <si>
    <t>2016/08/08</t>
  </si>
  <si>
    <t>2016/08/05</t>
  </si>
  <si>
    <t>2016/08/04</t>
  </si>
  <si>
    <t>2016/08/03</t>
  </si>
  <si>
    <t>2016/08/02</t>
  </si>
  <si>
    <t>2016/08/01</t>
  </si>
  <si>
    <t>2016/07/29</t>
  </si>
  <si>
    <t>2016/07/28</t>
  </si>
  <si>
    <t>2016/07/27</t>
  </si>
  <si>
    <t>2016/07/26</t>
  </si>
  <si>
    <t>2016/07/25</t>
  </si>
  <si>
    <t>2016/07/22</t>
  </si>
  <si>
    <t>2016/07/21</t>
  </si>
  <si>
    <t>2016/07/20</t>
  </si>
  <si>
    <t>2016/07/19</t>
  </si>
  <si>
    <t>2016/07/18</t>
  </si>
  <si>
    <t>2016/07/15</t>
  </si>
  <si>
    <t>2016/07/14</t>
  </si>
  <si>
    <t>2016/07/13</t>
  </si>
  <si>
    <t>2016/07/12</t>
  </si>
  <si>
    <t>2016/07/11</t>
  </si>
  <si>
    <t>2016/07/08</t>
  </si>
  <si>
    <t>2016/07/07</t>
  </si>
  <si>
    <t>2016/07/06</t>
  </si>
  <si>
    <t>2016/07/05</t>
  </si>
  <si>
    <t>2016/07/04</t>
  </si>
  <si>
    <t>2016/07/01</t>
  </si>
  <si>
    <t>2016/06/30</t>
  </si>
  <si>
    <t>2016/06/29</t>
  </si>
  <si>
    <t>2016/06/28</t>
  </si>
  <si>
    <t>2016/06/27</t>
  </si>
  <si>
    <t>2016/06/24</t>
  </si>
  <si>
    <t>2016/06/23</t>
  </si>
  <si>
    <t>2016/06/22</t>
  </si>
  <si>
    <t>2016/06/21</t>
  </si>
  <si>
    <t>2016/06/20</t>
  </si>
  <si>
    <t>2016/06/17</t>
  </si>
  <si>
    <t>2016/06/16</t>
  </si>
  <si>
    <t>2016/06/15</t>
  </si>
  <si>
    <t>2016/06/14</t>
  </si>
  <si>
    <t>2016/06/13</t>
  </si>
  <si>
    <t>2016/06/10</t>
  </si>
  <si>
    <t>2016/06/09</t>
  </si>
  <si>
    <t>2016/06/08</t>
  </si>
  <si>
    <t>2016/06/07</t>
  </si>
  <si>
    <t>2016/06/03</t>
  </si>
  <si>
    <t>2016/06/02</t>
  </si>
  <si>
    <t>2016/06/01</t>
  </si>
  <si>
    <t>2016/05/31</t>
  </si>
  <si>
    <t>2016/05/30</t>
  </si>
  <si>
    <t>2016/05/27</t>
  </si>
  <si>
    <t>2016/05/26</t>
  </si>
  <si>
    <t>2016/05/25</t>
  </si>
  <si>
    <t>2016/05/24</t>
  </si>
  <si>
    <t>2016/05/23</t>
  </si>
  <si>
    <t>2016/05/20</t>
  </si>
  <si>
    <t>2016/05/19</t>
  </si>
  <si>
    <t>2016/05/18</t>
  </si>
  <si>
    <t>2016/05/17</t>
  </si>
  <si>
    <t>2016/05/16</t>
  </si>
  <si>
    <t>2016/05/13</t>
  </si>
  <si>
    <t>2016/05/12</t>
  </si>
  <si>
    <t>2016/05/11</t>
  </si>
  <si>
    <t>2016/05/10</t>
  </si>
  <si>
    <t>2016/05/09</t>
  </si>
  <si>
    <t>2016/05/04</t>
  </si>
  <si>
    <t>2016/05/03</t>
  </si>
  <si>
    <t>2016/05/02</t>
  </si>
  <si>
    <t>2016/04/29</t>
  </si>
  <si>
    <t>2016/04/28</t>
  </si>
  <si>
    <t>2016/04/27</t>
  </si>
  <si>
    <t>2016/04/26</t>
  </si>
  <si>
    <t>2016/04/25</t>
  </si>
  <si>
    <t>2016/04/22</t>
  </si>
  <si>
    <t>2016/04/21</t>
  </si>
  <si>
    <t>2016/04/20</t>
  </si>
  <si>
    <t>2016/04/19</t>
  </si>
  <si>
    <t>2016/04/18</t>
  </si>
  <si>
    <t>2016/04/15</t>
  </si>
  <si>
    <t>2016/04/14</t>
  </si>
  <si>
    <t>2016/04/12</t>
  </si>
  <si>
    <t>2016/04/11</t>
  </si>
  <si>
    <t>2016/04/08</t>
  </si>
  <si>
    <t>2016/04/07</t>
  </si>
  <si>
    <t>2016/04/06</t>
  </si>
  <si>
    <t>2016/04/05</t>
  </si>
  <si>
    <t>2016/04/04</t>
  </si>
  <si>
    <t>2016/04/01</t>
  </si>
  <si>
    <t>2016/03/31</t>
  </si>
  <si>
    <t>2016/03/30</t>
  </si>
  <si>
    <t>2016/03/29</t>
  </si>
  <si>
    <t>2016/03/28</t>
  </si>
  <si>
    <t>2016/03/25</t>
  </si>
  <si>
    <t>2016/03/24</t>
  </si>
  <si>
    <t>2016/03/23</t>
  </si>
  <si>
    <t>2016/03/22</t>
  </si>
  <si>
    <t>2016/03/21</t>
  </si>
  <si>
    <t>2016/03/18</t>
  </si>
  <si>
    <t>2016/03/17</t>
  </si>
  <si>
    <t>2016/03/16</t>
  </si>
  <si>
    <t>2016/03/15</t>
  </si>
  <si>
    <t>2016/03/14</t>
  </si>
  <si>
    <t>2016/03/11</t>
  </si>
  <si>
    <t>2016/03/10</t>
  </si>
  <si>
    <t>2016/03/09</t>
  </si>
  <si>
    <t>2016/03/08</t>
  </si>
  <si>
    <t>2016/03/07</t>
  </si>
  <si>
    <t>2016/03/04</t>
  </si>
  <si>
    <t>2016/03/03</t>
  </si>
  <si>
    <t>2016/03/02</t>
  </si>
  <si>
    <t>2016/02/29</t>
  </si>
  <si>
    <t>2016/02/26</t>
  </si>
  <si>
    <t>2016/02/25</t>
  </si>
  <si>
    <t>2016/02/24</t>
  </si>
  <si>
    <t>2016/02/23</t>
  </si>
  <si>
    <t>2016/02/22</t>
  </si>
  <si>
    <t>2016/02/19</t>
  </si>
  <si>
    <t>2016/02/18</t>
  </si>
  <si>
    <t>2016/02/17</t>
  </si>
  <si>
    <t>2016/02/16</t>
  </si>
  <si>
    <t>2016/02/15</t>
  </si>
  <si>
    <t>2016/02/12</t>
  </si>
  <si>
    <t>2016/02/11</t>
  </si>
  <si>
    <t>2016/02/05</t>
  </si>
  <si>
    <t>2016/02/04</t>
  </si>
  <si>
    <t>2016/02/03</t>
  </si>
  <si>
    <t>2016/02/02</t>
  </si>
  <si>
    <t>2016/02/01</t>
  </si>
  <si>
    <t>2016/01/29</t>
  </si>
  <si>
    <t>2016/01/28</t>
  </si>
  <si>
    <t>2016/01/27</t>
  </si>
  <si>
    <t>2016/01/26</t>
  </si>
  <si>
    <t>2016/01/25</t>
  </si>
  <si>
    <t>2016/01/22</t>
  </si>
  <si>
    <t>2016/01/21</t>
  </si>
  <si>
    <t>2016/01/20</t>
  </si>
  <si>
    <t>2016/01/19</t>
  </si>
  <si>
    <t>2016/01/18</t>
  </si>
  <si>
    <t>2016/01/15</t>
  </si>
  <si>
    <t>2016/01/14</t>
  </si>
  <si>
    <t>2016/01/13</t>
  </si>
  <si>
    <t>2016/01/12</t>
  </si>
  <si>
    <t>2016/01/11</t>
  </si>
  <si>
    <t>2016/01/08</t>
  </si>
  <si>
    <t>2016/01/07</t>
  </si>
  <si>
    <t>2016/01/06</t>
  </si>
  <si>
    <t>2016/01/05</t>
  </si>
  <si>
    <t>2016/01/04</t>
  </si>
  <si>
    <t>2015/12/31</t>
  </si>
  <si>
    <t>2015/12/30</t>
  </si>
  <si>
    <t>2015/12/29</t>
  </si>
  <si>
    <t>2015/12/28</t>
  </si>
  <si>
    <t>2015/12/24</t>
  </si>
  <si>
    <t>2015/12/23</t>
  </si>
  <si>
    <t>2015/12/22</t>
  </si>
  <si>
    <t>2015/12/21</t>
  </si>
  <si>
    <t>2015/12/18</t>
  </si>
  <si>
    <t>2015/12/17</t>
  </si>
  <si>
    <t>2015/12/16</t>
  </si>
  <si>
    <t>2015/12/15</t>
  </si>
  <si>
    <t>2015/12/14</t>
  </si>
  <si>
    <t>2015/12/11</t>
  </si>
  <si>
    <t>2015/12/10</t>
  </si>
  <si>
    <t>2015/12/09</t>
  </si>
  <si>
    <t>2015/12/08</t>
  </si>
  <si>
    <t>2015/12/07</t>
  </si>
  <si>
    <t>2015/12/04</t>
  </si>
  <si>
    <t>2015/12/03</t>
  </si>
  <si>
    <t>2015/12/02</t>
  </si>
  <si>
    <t>2015/12/01</t>
  </si>
  <si>
    <t>2015/11/30</t>
  </si>
  <si>
    <t>2015/11/27</t>
  </si>
  <si>
    <t>2015/11/26</t>
  </si>
  <si>
    <t>2015/11/25</t>
  </si>
  <si>
    <t>2015/11/24</t>
  </si>
  <si>
    <t>2015/11/23</t>
  </si>
  <si>
    <t>2015/11/20</t>
  </si>
  <si>
    <t>2015/11/19</t>
  </si>
  <si>
    <t>2015/11/18</t>
  </si>
  <si>
    <t>2015/11/17</t>
  </si>
  <si>
    <t>2015/11/16</t>
  </si>
  <si>
    <t>2015/11/13</t>
  </si>
  <si>
    <t>2015/11/12</t>
  </si>
  <si>
    <t>2015/11/11</t>
  </si>
  <si>
    <t>2015/11/10</t>
  </si>
  <si>
    <t>2015/11/09</t>
  </si>
  <si>
    <t>2015/11/06</t>
  </si>
  <si>
    <t>2015/11/05</t>
  </si>
  <si>
    <t>2015/11/04</t>
  </si>
  <si>
    <t>2015/11/03</t>
  </si>
  <si>
    <t>2015/11/02</t>
  </si>
  <si>
    <t>2015/10/30</t>
  </si>
  <si>
    <t>2015/10/29</t>
  </si>
  <si>
    <t>2015/10/28</t>
  </si>
  <si>
    <t>2015/10/27</t>
  </si>
  <si>
    <t>2015/10/26</t>
  </si>
  <si>
    <t>2015/10/23</t>
  </si>
  <si>
    <t>2015/10/22</t>
  </si>
  <si>
    <t>2015/10/21</t>
  </si>
  <si>
    <t>2015/10/20</t>
  </si>
  <si>
    <t>2015/10/19</t>
  </si>
  <si>
    <t>2015/10/16</t>
  </si>
  <si>
    <t>2015/10/15</t>
  </si>
  <si>
    <t>2015/10/14</t>
  </si>
  <si>
    <t>2015/10/13</t>
  </si>
  <si>
    <t>2015/10/12</t>
  </si>
  <si>
    <t>2015/10/08</t>
  </si>
  <si>
    <t>2015/10/07</t>
  </si>
  <si>
    <t>2015/10/06</t>
  </si>
  <si>
    <t>2015/10/05</t>
  </si>
  <si>
    <t>2015/10/02</t>
  </si>
  <si>
    <t>2015/10/01</t>
  </si>
  <si>
    <t>2015/09/30</t>
  </si>
  <si>
    <t>2015/09/25</t>
  </si>
  <si>
    <t>2015/09/24</t>
  </si>
  <si>
    <t>2015/09/23</t>
  </si>
  <si>
    <t>2015/09/22</t>
  </si>
  <si>
    <t>2015/09/21</t>
  </si>
  <si>
    <t>2015/09/18</t>
  </si>
  <si>
    <t>2015/09/17</t>
  </si>
  <si>
    <t>2015/09/16</t>
  </si>
  <si>
    <t>2015/09/15</t>
  </si>
  <si>
    <t>2015/09/14</t>
  </si>
  <si>
    <t>2015/09/11</t>
  </si>
  <si>
    <t>2015/09/10</t>
  </si>
  <si>
    <t>2015/09/09</t>
  </si>
  <si>
    <t>2015/09/08</t>
  </si>
  <si>
    <t>2015/09/07</t>
  </si>
  <si>
    <t>2015/09/04</t>
  </si>
  <si>
    <t>2015/09/03</t>
  </si>
  <si>
    <t>2015/09/02</t>
  </si>
  <si>
    <t>2015/09/01</t>
  </si>
  <si>
    <t>2015/08/31</t>
  </si>
  <si>
    <t>2015/08/28</t>
  </si>
  <si>
    <t>2015/08/27</t>
  </si>
  <si>
    <t>2015/08/26</t>
  </si>
  <si>
    <t>2015/08/25</t>
  </si>
  <si>
    <t>2015/08/24</t>
  </si>
  <si>
    <t>2015/08/21</t>
  </si>
  <si>
    <t>2015/08/20</t>
  </si>
  <si>
    <t>2015/08/19</t>
  </si>
  <si>
    <t>2015/08/18</t>
  </si>
  <si>
    <t>2015/08/17</t>
  </si>
  <si>
    <t>2015/08/13</t>
  </si>
  <si>
    <t>2015/08/12</t>
  </si>
  <si>
    <t>2015/08/11</t>
  </si>
  <si>
    <t>2015/08/10</t>
  </si>
  <si>
    <t>2015/08/07</t>
  </si>
  <si>
    <t>2015/08/06</t>
  </si>
  <si>
    <t>2015/08/05</t>
  </si>
  <si>
    <t>2015/08/04</t>
  </si>
  <si>
    <t>2015/08/03</t>
  </si>
  <si>
    <t>2015/07/31</t>
  </si>
  <si>
    <t>2015/07/30</t>
  </si>
  <si>
    <t>2015/07/29</t>
  </si>
  <si>
    <t>2015/07/28</t>
  </si>
  <si>
    <t>2015/07/27</t>
  </si>
  <si>
    <t>2015/07/24</t>
  </si>
  <si>
    <t>2015/07/23</t>
  </si>
  <si>
    <t>2015/07/22</t>
  </si>
  <si>
    <t>2015/07/21</t>
  </si>
  <si>
    <t>2015/07/20</t>
  </si>
  <si>
    <t>2015/07/17</t>
  </si>
  <si>
    <t>2015/07/16</t>
  </si>
  <si>
    <t>2015/07/15</t>
  </si>
  <si>
    <t>2015/07/14</t>
  </si>
  <si>
    <t>2015/07/13</t>
  </si>
  <si>
    <t>2015/07/10</t>
  </si>
  <si>
    <t>2015/07/09</t>
  </si>
  <si>
    <t>2015/07/08</t>
  </si>
  <si>
    <t>2015/07/07</t>
  </si>
  <si>
    <t>2015/07/06</t>
  </si>
  <si>
    <t>2015/07/03</t>
  </si>
  <si>
    <t>2015/07/02</t>
  </si>
  <si>
    <t>2015/07/01</t>
  </si>
  <si>
    <t>2015/06/30</t>
  </si>
  <si>
    <t>2015/06/29</t>
  </si>
  <si>
    <t>2015/06/26</t>
  </si>
  <si>
    <t>2015/06/25</t>
  </si>
  <si>
    <t>2015/06/24</t>
  </si>
  <si>
    <t>2015/06/23</t>
  </si>
  <si>
    <t>2015/06/22</t>
  </si>
  <si>
    <t>2015/06/19</t>
  </si>
  <si>
    <t>2015/06/18</t>
  </si>
  <si>
    <t>2015/06/17</t>
  </si>
  <si>
    <t>2015/06/16</t>
  </si>
  <si>
    <t>2015/06/15</t>
  </si>
  <si>
    <t>2015/06/12</t>
  </si>
  <si>
    <t>2015/06/11</t>
  </si>
  <si>
    <t>2015/06/10</t>
  </si>
  <si>
    <t>2015/06/09</t>
  </si>
  <si>
    <t>2015/06/08</t>
  </si>
  <si>
    <t>2015/06/05</t>
  </si>
  <si>
    <t>2015/06/04</t>
  </si>
  <si>
    <t>2015/06/03</t>
  </si>
  <si>
    <t>2015/06/02</t>
  </si>
  <si>
    <t>2015/06/01</t>
  </si>
  <si>
    <t>2015/05/29</t>
  </si>
  <si>
    <t>2015/05/28</t>
  </si>
  <si>
    <t>2015/05/27</t>
  </si>
  <si>
    <t>2015/05/26</t>
  </si>
  <si>
    <t>2015/05/22</t>
  </si>
  <si>
    <t>2015/05/21</t>
  </si>
  <si>
    <t>2015/05/20</t>
  </si>
  <si>
    <t>2015/05/19</t>
  </si>
  <si>
    <t>2015/05/18</t>
  </si>
  <si>
    <t>2015/05/15</t>
  </si>
  <si>
    <t>2015/05/14</t>
  </si>
  <si>
    <t>2015/05/13</t>
  </si>
  <si>
    <t>2015/05/12</t>
  </si>
  <si>
    <t>2015/05/11</t>
  </si>
  <si>
    <t>2015/05/08</t>
  </si>
  <si>
    <t>2015/05/07</t>
  </si>
  <si>
    <t>2015/05/06</t>
  </si>
  <si>
    <t>2015/05/04</t>
  </si>
  <si>
    <t>2015/04/30</t>
  </si>
  <si>
    <t>2015/04/29</t>
  </si>
  <si>
    <t>2015/04/28</t>
  </si>
  <si>
    <t>2015/04/27</t>
  </si>
  <si>
    <t>2015/04/24</t>
  </si>
  <si>
    <t>2015/04/23</t>
  </si>
  <si>
    <t>2015/04/22</t>
  </si>
  <si>
    <t>2015/04/21</t>
  </si>
  <si>
    <t>2015/04/20</t>
  </si>
  <si>
    <t>2015/04/17</t>
  </si>
  <si>
    <t>2015/04/16</t>
  </si>
  <si>
    <t>2015/04/15</t>
  </si>
  <si>
    <t>2015/04/14</t>
  </si>
  <si>
    <t>2015/04/13</t>
  </si>
  <si>
    <t>2015/04/10</t>
  </si>
  <si>
    <t>2015/04/09</t>
  </si>
  <si>
    <t>2015/04/08</t>
  </si>
  <si>
    <t>2015/04/07</t>
  </si>
  <si>
    <t>2015/04/06</t>
  </si>
  <si>
    <t>2015/04/03</t>
  </si>
  <si>
    <t>2015/04/02</t>
  </si>
  <si>
    <t>2015/04/01</t>
  </si>
  <si>
    <t>2015/03/31</t>
  </si>
  <si>
    <t>2015/03/30</t>
  </si>
  <si>
    <t>2015/03/27</t>
  </si>
  <si>
    <t>2015/03/26</t>
  </si>
  <si>
    <t>2015/03/25</t>
  </si>
  <si>
    <t>2015/03/24</t>
  </si>
  <si>
    <t>2015/03/23</t>
  </si>
  <si>
    <t>2015/03/20</t>
  </si>
  <si>
    <t>2015/03/19</t>
  </si>
  <si>
    <t>2015/03/18</t>
  </si>
  <si>
    <t>2015/03/17</t>
  </si>
  <si>
    <t>2015/03/16</t>
  </si>
  <si>
    <t>2015/03/13</t>
  </si>
  <si>
    <t>2015/03/12</t>
  </si>
  <si>
    <t>2015/03/11</t>
  </si>
  <si>
    <t>2015/03/10</t>
  </si>
  <si>
    <t>2015/03/09</t>
  </si>
  <si>
    <t>2015/03/06</t>
  </si>
  <si>
    <t>2015/03/05</t>
  </si>
  <si>
    <t>2015/03/04</t>
  </si>
  <si>
    <t>2015/03/03</t>
  </si>
  <si>
    <t>2015/03/02</t>
  </si>
  <si>
    <t>2015/02/27</t>
  </si>
  <si>
    <t>2015/02/26</t>
  </si>
  <si>
    <t>2015/02/25</t>
  </si>
  <si>
    <t>2015/02/24</t>
  </si>
  <si>
    <t>2015/02/23</t>
  </si>
  <si>
    <t>2015/02/17</t>
  </si>
  <si>
    <t>2015/02/16</t>
  </si>
  <si>
    <t>2015/02/13</t>
  </si>
  <si>
    <t>2015/02/12</t>
  </si>
  <si>
    <t>2015/02/11</t>
  </si>
  <si>
    <t>2015/02/10</t>
  </si>
  <si>
    <t>2015/02/09</t>
  </si>
  <si>
    <t>2015/02/06</t>
  </si>
  <si>
    <t>2015/02/05</t>
  </si>
  <si>
    <t>2015/02/04</t>
  </si>
  <si>
    <t>2015/02/03</t>
  </si>
  <si>
    <t>2015/02/02</t>
  </si>
  <si>
    <t>2015/01/30</t>
  </si>
  <si>
    <t>2015/01/29</t>
  </si>
  <si>
    <t>2015/01/28</t>
  </si>
  <si>
    <t>2015/01/27</t>
  </si>
  <si>
    <t>2015/01/26</t>
  </si>
  <si>
    <t>2015/01/23</t>
  </si>
  <si>
    <t>2015/01/22</t>
  </si>
  <si>
    <t>2015/01/21</t>
  </si>
  <si>
    <t>2015/01/20</t>
  </si>
  <si>
    <t>2015/01/19</t>
  </si>
  <si>
    <t>2015/01/16</t>
  </si>
  <si>
    <t>2015/01/15</t>
  </si>
  <si>
    <t>2015/01/14</t>
  </si>
  <si>
    <t>2015/01/13</t>
  </si>
  <si>
    <t>2015/01/12</t>
  </si>
  <si>
    <t>2015/01/09</t>
  </si>
  <si>
    <t>2015/01/08</t>
  </si>
  <si>
    <t>2015/01/07</t>
  </si>
  <si>
    <t>2015/01/06</t>
  </si>
  <si>
    <t>2015/01/05</t>
  </si>
  <si>
    <t>2015/01/02</t>
  </si>
  <si>
    <t>2014/12/31</t>
  </si>
  <si>
    <t>2014/12/30</t>
  </si>
  <si>
    <t>2014/12/29</t>
  </si>
  <si>
    <t>2014/12/26</t>
  </si>
  <si>
    <t>2014/12/24</t>
  </si>
  <si>
    <t>2014/12/23</t>
  </si>
  <si>
    <t>2014/12/22</t>
  </si>
  <si>
    <t>2014/12/19</t>
  </si>
  <si>
    <t>2014/12/18</t>
  </si>
  <si>
    <t>2014/12/17</t>
  </si>
  <si>
    <t>2014/12/16</t>
  </si>
  <si>
    <t>2014/12/15</t>
  </si>
  <si>
    <t>2014/12/12</t>
  </si>
  <si>
    <t>2014/12/11</t>
  </si>
  <si>
    <t>2014/12/10</t>
  </si>
  <si>
    <t>2014/12/09</t>
  </si>
  <si>
    <t>2014/12/08</t>
  </si>
  <si>
    <t>2014/12/05</t>
  </si>
  <si>
    <t>2014/12/04</t>
  </si>
  <si>
    <t>2014/12/03</t>
  </si>
  <si>
    <t>2014/12/02</t>
  </si>
  <si>
    <t>2014/12/01</t>
  </si>
  <si>
    <t>2014/11/28</t>
  </si>
  <si>
    <t>2014/11/27</t>
  </si>
  <si>
    <t>2014/11/26</t>
  </si>
  <si>
    <t>2014/11/25</t>
  </si>
  <si>
    <t>2014/11/24</t>
  </si>
  <si>
    <t>2014/11/21</t>
  </si>
  <si>
    <t>2014/11/20</t>
  </si>
  <si>
    <t>2014/11/19</t>
  </si>
  <si>
    <t>2014/11/18</t>
  </si>
  <si>
    <t>2014/11/17</t>
  </si>
  <si>
    <t>2014/11/14</t>
  </si>
  <si>
    <t>2014/11/13</t>
  </si>
  <si>
    <t>2014/11/12</t>
  </si>
  <si>
    <t>2014/11/11</t>
  </si>
  <si>
    <t>2014/11/10</t>
  </si>
  <si>
    <t>2014/11/07</t>
  </si>
  <si>
    <t>2014/11/06</t>
  </si>
  <si>
    <t>2014/11/05</t>
  </si>
  <si>
    <t>2014/11/04</t>
  </si>
  <si>
    <t>2014/11/03</t>
  </si>
  <si>
    <t>2014/10/31</t>
  </si>
  <si>
    <t>2014/10/30</t>
  </si>
  <si>
    <t>2014/10/29</t>
  </si>
  <si>
    <t>2014/10/28</t>
  </si>
  <si>
    <t>2014/10/27</t>
  </si>
  <si>
    <t>2014/10/24</t>
  </si>
  <si>
    <t>2014/10/23</t>
  </si>
  <si>
    <t>2014/10/22</t>
  </si>
  <si>
    <t>2014/10/21</t>
  </si>
  <si>
    <t>2014/10/20</t>
  </si>
  <si>
    <t>2014/10/17</t>
  </si>
  <si>
    <t>2014/10/16</t>
  </si>
  <si>
    <t>2014/10/15</t>
  </si>
  <si>
    <t>2014/10/14</t>
  </si>
  <si>
    <t>2014/10/13</t>
  </si>
  <si>
    <t>2014/10/10</t>
  </si>
  <si>
    <t>2014/10/08</t>
  </si>
  <si>
    <t>2014/10/07</t>
  </si>
  <si>
    <t>2014/10/06</t>
  </si>
  <si>
    <t>2014/10/02</t>
  </si>
  <si>
    <t>2014/10/01</t>
  </si>
  <si>
    <t>2014/09/30</t>
  </si>
  <si>
    <t>2014/09/29</t>
  </si>
  <si>
    <t>2014/09/26</t>
  </si>
  <si>
    <t>2014/09/25</t>
  </si>
  <si>
    <t>2014/09/24</t>
  </si>
  <si>
    <t>2014/09/23</t>
  </si>
  <si>
    <t>2014/09/22</t>
  </si>
  <si>
    <t>2014/09/19</t>
  </si>
  <si>
    <t>2014/09/18</t>
  </si>
  <si>
    <t>2014/09/17</t>
  </si>
  <si>
    <t>2014/09/16</t>
  </si>
  <si>
    <t>2014/09/15</t>
  </si>
  <si>
    <t>2014/09/12</t>
  </si>
  <si>
    <t>2014/09/11</t>
  </si>
  <si>
    <t>2014/09/05</t>
  </si>
  <si>
    <t>2014/09/04</t>
  </si>
  <si>
    <t>2014/09/03</t>
  </si>
  <si>
    <t>2014/09/02</t>
  </si>
  <si>
    <t>2014/09/01</t>
  </si>
  <si>
    <t>2014/08/29</t>
  </si>
  <si>
    <t>2014/08/28</t>
  </si>
  <si>
    <t>2014/08/27</t>
  </si>
  <si>
    <t>2014/08/26</t>
  </si>
  <si>
    <t>2014/08/25</t>
  </si>
  <si>
    <t>2014/08/22</t>
  </si>
  <si>
    <t>2014/08/21</t>
  </si>
  <si>
    <t>2014/08/20</t>
  </si>
  <si>
    <t>2014/08/19</t>
  </si>
  <si>
    <t>2014/08/18</t>
  </si>
  <si>
    <t>2014/08/14</t>
  </si>
  <si>
    <t>2014/08/13</t>
  </si>
  <si>
    <t>2014/08/12</t>
  </si>
  <si>
    <t>2014/08/11</t>
  </si>
  <si>
    <t>2014/08/08</t>
  </si>
  <si>
    <t>2014/08/07</t>
  </si>
  <si>
    <t>2014/08/06</t>
  </si>
  <si>
    <t>2014/08/05</t>
  </si>
  <si>
    <t>2014/08/04</t>
  </si>
  <si>
    <t>2014/08/01</t>
  </si>
  <si>
    <t>2014/07/31</t>
  </si>
  <si>
    <t>2014/07/30</t>
  </si>
  <si>
    <t>2014/07/29</t>
  </si>
  <si>
    <t>2014/07/28</t>
  </si>
  <si>
    <t>2014/07/25</t>
  </si>
  <si>
    <t>2014/07/24</t>
  </si>
  <si>
    <t>2014/07/23</t>
  </si>
  <si>
    <t>2014/07/22</t>
  </si>
  <si>
    <t>2014/07/21</t>
  </si>
  <si>
    <t>2014/07/18</t>
  </si>
  <si>
    <t>2014/07/17</t>
  </si>
  <si>
    <t>2014/07/16</t>
  </si>
  <si>
    <t>2014/07/15</t>
  </si>
  <si>
    <t>2014/07/14</t>
  </si>
  <si>
    <t>2014/07/11</t>
  </si>
  <si>
    <t>2014/07/10</t>
  </si>
  <si>
    <t>2014/07/09</t>
  </si>
  <si>
    <t>2014/07/08</t>
  </si>
  <si>
    <t>2014/07/07</t>
  </si>
  <si>
    <t>2014/07/04</t>
  </si>
  <si>
    <t>2014/07/03</t>
  </si>
  <si>
    <t>2014/07/02</t>
  </si>
  <si>
    <t>2014/07/01</t>
  </si>
  <si>
    <t>2014/06/30</t>
  </si>
  <si>
    <t>2014/06/27</t>
  </si>
  <si>
    <t>2014/06/26</t>
  </si>
  <si>
    <t>2014/06/25</t>
  </si>
  <si>
    <t>2014/06/24</t>
  </si>
  <si>
    <t>2014/06/23</t>
  </si>
  <si>
    <t>2014/06/20</t>
  </si>
  <si>
    <t>2014/06/19</t>
  </si>
  <si>
    <t>2014/06/18</t>
  </si>
  <si>
    <t>2014/06/17</t>
  </si>
  <si>
    <t>2014/06/16</t>
  </si>
  <si>
    <t>2014/06/13</t>
  </si>
  <si>
    <t>2014/06/12</t>
  </si>
  <si>
    <t>2014/06/11</t>
  </si>
  <si>
    <t>2014/06/10</t>
  </si>
  <si>
    <t>2014/06/09</t>
  </si>
  <si>
    <t>2014/06/05</t>
  </si>
  <si>
    <t>2014/06/03</t>
  </si>
  <si>
    <t>2014/06/02</t>
  </si>
  <si>
    <t>2014/05/30</t>
  </si>
  <si>
    <t>2014/05/29</t>
  </si>
  <si>
    <t>2014/05/28</t>
  </si>
  <si>
    <t>2014/05/27</t>
  </si>
  <si>
    <t>2014/05/26</t>
  </si>
  <si>
    <t>2014/05/23</t>
  </si>
  <si>
    <t>2014/05/22</t>
  </si>
  <si>
    <t>2014/05/21</t>
  </si>
  <si>
    <t>2014/05/20</t>
  </si>
  <si>
    <t>2014/05/19</t>
  </si>
  <si>
    <t>2014/05/16</t>
  </si>
  <si>
    <t>2014/05/15</t>
  </si>
  <si>
    <t>2014/05/14</t>
  </si>
  <si>
    <t>2014/05/13</t>
  </si>
  <si>
    <t>2014/05/12</t>
  </si>
  <si>
    <t>2014/05/09</t>
  </si>
  <si>
    <t>2014/05/08</t>
  </si>
  <si>
    <t>2014/05/07</t>
  </si>
  <si>
    <t>2014/05/02</t>
  </si>
  <si>
    <t>2014/04/30</t>
  </si>
  <si>
    <t>2014/04/29</t>
  </si>
  <si>
    <t>2014/04/28</t>
  </si>
  <si>
    <t>2014/04/25</t>
  </si>
  <si>
    <t>2014/04/24</t>
  </si>
  <si>
    <t>2014/04/23</t>
  </si>
  <si>
    <t>2014/04/22</t>
  </si>
  <si>
    <t>2014/04/21</t>
  </si>
  <si>
    <t>2014/04/18</t>
  </si>
  <si>
    <t>2014/04/17</t>
  </si>
  <si>
    <t>2014/04/16</t>
  </si>
  <si>
    <t>2014/04/15</t>
  </si>
  <si>
    <t>2014/04/14</t>
  </si>
  <si>
    <t>2014/04/11</t>
  </si>
  <si>
    <t>2014/04/10</t>
  </si>
  <si>
    <t>2014/04/09</t>
  </si>
  <si>
    <t>2014/04/08</t>
  </si>
  <si>
    <t>2014/04/07</t>
  </si>
  <si>
    <t>2014/04/04</t>
  </si>
  <si>
    <t>2014/04/03</t>
  </si>
  <si>
    <t>2014/04/02</t>
  </si>
  <si>
    <t>2014/04/01</t>
  </si>
  <si>
    <t>2014/03/31</t>
  </si>
  <si>
    <t>2014/03/28</t>
  </si>
  <si>
    <t>2014/03/27</t>
  </si>
  <si>
    <t>2014/03/26</t>
  </si>
  <si>
    <t>2014/03/25</t>
  </si>
  <si>
    <t>2014/03/24</t>
  </si>
  <si>
    <t>2014/03/21</t>
  </si>
  <si>
    <t>2014/03/20</t>
  </si>
  <si>
    <t>2014/03/19</t>
  </si>
  <si>
    <t>2014/03/18</t>
  </si>
  <si>
    <t>2014/03/17</t>
  </si>
  <si>
    <t>2014/03/14</t>
  </si>
  <si>
    <t>2014/03/13</t>
  </si>
  <si>
    <t>2014/03/12</t>
  </si>
  <si>
    <t>2014/03/11</t>
  </si>
  <si>
    <t>2014/03/10</t>
  </si>
  <si>
    <t>2014/03/07</t>
  </si>
  <si>
    <t>2014/03/06</t>
  </si>
  <si>
    <t>2014/03/05</t>
  </si>
  <si>
    <t>2014/03/04</t>
  </si>
  <si>
    <t>2014/03/03</t>
  </si>
  <si>
    <t>2014/02/28</t>
  </si>
  <si>
    <t>2014/02/27</t>
  </si>
  <si>
    <t>2014/02/26</t>
  </si>
  <si>
    <t>2014/02/25</t>
  </si>
  <si>
    <t>2014/02/24</t>
  </si>
  <si>
    <t>2014/02/21</t>
  </si>
  <si>
    <t>2014/02/20</t>
  </si>
  <si>
    <t>2014/02/19</t>
  </si>
  <si>
    <t>2014/02/18</t>
  </si>
  <si>
    <t>2014/02/17</t>
  </si>
  <si>
    <t>2014/02/14</t>
  </si>
  <si>
    <t>2014/02/13</t>
  </si>
  <si>
    <t>2014/02/12</t>
  </si>
  <si>
    <t>2014/02/11</t>
  </si>
  <si>
    <t>2014/02/10</t>
  </si>
  <si>
    <t>2014/02/07</t>
  </si>
  <si>
    <t>2014/02/06</t>
  </si>
  <si>
    <t>2014/02/05</t>
  </si>
  <si>
    <t>2014/02/04</t>
  </si>
  <si>
    <t>2014/02/03</t>
  </si>
  <si>
    <t>2014/01/29</t>
  </si>
  <si>
    <t>2014/01/28</t>
  </si>
  <si>
    <t>2014/01/27</t>
  </si>
  <si>
    <t>2014/01/24</t>
  </si>
  <si>
    <t>2014/01/23</t>
  </si>
  <si>
    <t>2014/01/22</t>
  </si>
  <si>
    <t>2014/01/21</t>
  </si>
  <si>
    <t>2014/01/20</t>
  </si>
  <si>
    <t>2014/01/17</t>
  </si>
  <si>
    <t>2014/01/16</t>
  </si>
  <si>
    <t>2014/01/15</t>
  </si>
  <si>
    <t>2014/01/14</t>
  </si>
  <si>
    <t>2014/01/13</t>
  </si>
  <si>
    <t>2014/01/10</t>
  </si>
  <si>
    <t>2014/01/09</t>
  </si>
  <si>
    <t>2014/01/08</t>
  </si>
  <si>
    <t>2014/01/07</t>
  </si>
  <si>
    <t>2014/01/06</t>
  </si>
  <si>
    <t>2014/01/03</t>
  </si>
  <si>
    <t>2014/01/02</t>
  </si>
  <si>
    <t>2013/12/31</t>
  </si>
  <si>
    <t>2013/12/30</t>
  </si>
  <si>
    <t>2013/12/27</t>
  </si>
  <si>
    <t>2013/12/26</t>
  </si>
  <si>
    <t>2013/12/24</t>
  </si>
  <si>
    <t>2013/12/23</t>
  </si>
  <si>
    <t>2013/12/20</t>
  </si>
  <si>
    <t>2013/12/19</t>
  </si>
  <si>
    <t>2013/12/18</t>
  </si>
  <si>
    <t>2013/12/17</t>
  </si>
  <si>
    <t>2013/12/16</t>
  </si>
  <si>
    <t>2013/12/13</t>
  </si>
  <si>
    <t>2013/12/12</t>
  </si>
  <si>
    <t>2013/12/11</t>
  </si>
  <si>
    <t>2013/12/10</t>
  </si>
  <si>
    <t>2013/12/09</t>
  </si>
  <si>
    <t>2013/12/06</t>
  </si>
  <si>
    <t>2013/12/05</t>
  </si>
  <si>
    <t>2013/12/04</t>
  </si>
  <si>
    <t>2013/12/03</t>
  </si>
  <si>
    <t>2013/12/02</t>
  </si>
  <si>
    <t>2013/11/29</t>
  </si>
  <si>
    <t>2013/11/28</t>
  </si>
  <si>
    <t>2013/11/27</t>
  </si>
  <si>
    <t>2013/11/26</t>
  </si>
  <si>
    <t>2013/11/25</t>
  </si>
  <si>
    <t>2013/11/22</t>
  </si>
  <si>
    <t>2013/11/21</t>
  </si>
  <si>
    <t>2013/11/20</t>
  </si>
  <si>
    <t>2013/11/19</t>
  </si>
  <si>
    <t>2013/11/18</t>
  </si>
  <si>
    <t>2013/11/15</t>
  </si>
  <si>
    <t>2013/11/14</t>
  </si>
  <si>
    <t>2013/11/13</t>
  </si>
  <si>
    <t>2013/11/12</t>
  </si>
  <si>
    <t>2013/11/11</t>
  </si>
  <si>
    <t>2013/11/08</t>
  </si>
  <si>
    <t>2013/11/07</t>
  </si>
  <si>
    <t>2013/11/06</t>
  </si>
  <si>
    <t>2013/11/05</t>
  </si>
  <si>
    <t>2013/11/04</t>
  </si>
  <si>
    <t>2013/11/01</t>
  </si>
  <si>
    <t>2013/10/31</t>
  </si>
  <si>
    <t>2013/10/30</t>
  </si>
  <si>
    <t>2013/10/29</t>
  </si>
  <si>
    <t>2013/10/28</t>
  </si>
  <si>
    <t>2013/10/25</t>
  </si>
  <si>
    <t>2013/10/24</t>
  </si>
  <si>
    <t>2013/10/23</t>
  </si>
  <si>
    <t>2013/10/22</t>
  </si>
  <si>
    <t>2013/10/21</t>
  </si>
  <si>
    <t>2013/10/18</t>
  </si>
  <si>
    <t>2013/10/17</t>
  </si>
  <si>
    <t>2013/10/16</t>
  </si>
  <si>
    <t>2013/10/15</t>
  </si>
  <si>
    <t>2013/10/14</t>
  </si>
  <si>
    <t>2013/10/11</t>
  </si>
  <si>
    <t>2013/10/10</t>
  </si>
  <si>
    <t>2013/10/08</t>
  </si>
  <si>
    <t>2013/10/07</t>
  </si>
  <si>
    <t>2013/10/04</t>
  </si>
  <si>
    <t>2013/10/02</t>
  </si>
  <si>
    <t>2013/10/01</t>
  </si>
  <si>
    <t>2013/09/30</t>
  </si>
  <si>
    <t>2013/09/27</t>
  </si>
  <si>
    <t>2013/09/26</t>
  </si>
  <si>
    <t>2013/09/25</t>
  </si>
  <si>
    <t>2013/09/24</t>
  </si>
  <si>
    <t>2013/09/23</t>
  </si>
  <si>
    <t>2013/09/17</t>
  </si>
  <si>
    <t>2013/09/16</t>
  </si>
  <si>
    <t>2013/09/13</t>
  </si>
  <si>
    <t>2013/09/12</t>
  </si>
  <si>
    <t>2013/09/11</t>
  </si>
  <si>
    <t>2013/09/10</t>
  </si>
  <si>
    <t>2013/09/09</t>
  </si>
  <si>
    <t>2013/09/06</t>
  </si>
  <si>
    <t>2013/09/05</t>
  </si>
  <si>
    <t>2013/09/04</t>
  </si>
  <si>
    <t>2013/09/03</t>
  </si>
  <si>
    <t>2013/09/02</t>
  </si>
  <si>
    <t>2013/08/30</t>
  </si>
  <si>
    <t>2013/08/29</t>
  </si>
  <si>
    <t>2013/08/28</t>
  </si>
  <si>
    <t>2013/08/27</t>
  </si>
  <si>
    <t>2013/08/26</t>
  </si>
  <si>
    <t>2013/08/23</t>
  </si>
  <si>
    <t>2013/08/22</t>
  </si>
  <si>
    <t>2013/08/21</t>
  </si>
  <si>
    <t>2013/08/20</t>
  </si>
  <si>
    <t>2013/08/19</t>
  </si>
  <si>
    <t>2013/08/16</t>
  </si>
  <si>
    <t>2013/08/14</t>
  </si>
  <si>
    <t>2013/08/13</t>
  </si>
  <si>
    <t>2013/08/12</t>
  </si>
  <si>
    <t>2013/08/09</t>
  </si>
  <si>
    <t>2013/08/08</t>
  </si>
  <si>
    <t>2013/08/07</t>
  </si>
  <si>
    <t>2013/08/06</t>
  </si>
  <si>
    <t>2013/08/05</t>
  </si>
  <si>
    <t>2013/08/02</t>
  </si>
  <si>
    <t>2013/08/01</t>
  </si>
  <si>
    <t>2013/07/31</t>
  </si>
  <si>
    <t>2013/07/30</t>
  </si>
  <si>
    <t>2013/07/29</t>
  </si>
  <si>
    <t>2013/07/26</t>
  </si>
  <si>
    <t>2013/07/25</t>
  </si>
  <si>
    <t>2013/07/24</t>
  </si>
  <si>
    <t>2013/07/23</t>
  </si>
  <si>
    <t>2013/07/22</t>
  </si>
  <si>
    <t>2013/07/19</t>
  </si>
  <si>
    <t>2013/07/18</t>
  </si>
  <si>
    <t>2013/07/17</t>
  </si>
  <si>
    <t>2013/07/16</t>
  </si>
  <si>
    <t>2013/07/15</t>
  </si>
  <si>
    <t>2013/07/12</t>
  </si>
  <si>
    <t>2013/07/11</t>
  </si>
  <si>
    <t>2013/07/10</t>
  </si>
  <si>
    <t>2013/07/09</t>
  </si>
  <si>
    <t>2013/07/08</t>
  </si>
  <si>
    <t>2013/07/05</t>
  </si>
  <si>
    <t>2013/07/04</t>
  </si>
  <si>
    <t>2013/07/03</t>
  </si>
  <si>
    <t>2013/07/02</t>
  </si>
  <si>
    <t>2013/07/01</t>
  </si>
  <si>
    <t>2013/06/28</t>
  </si>
  <si>
    <t>2013/06/27</t>
  </si>
  <si>
    <t>2013/06/26</t>
  </si>
  <si>
    <t>2013/06/25</t>
  </si>
  <si>
    <t>2013/06/24</t>
  </si>
  <si>
    <t>2013/06/21</t>
  </si>
  <si>
    <t>2013/06/20</t>
  </si>
  <si>
    <t>2013/06/19</t>
  </si>
  <si>
    <t>2013/06/18</t>
  </si>
  <si>
    <t>2013/06/17</t>
  </si>
  <si>
    <t>2013/06/14</t>
  </si>
  <si>
    <t>2013/06/13</t>
  </si>
  <si>
    <t>2013/06/12</t>
  </si>
  <si>
    <t>2013/06/11</t>
  </si>
  <si>
    <t>2013/06/10</t>
  </si>
  <si>
    <t>2013/06/07</t>
  </si>
  <si>
    <t>2013/06/05</t>
  </si>
  <si>
    <t>2013/06/04</t>
  </si>
  <si>
    <t>2013/06/03</t>
  </si>
  <si>
    <t>2013/05/31</t>
  </si>
  <si>
    <t>2013/05/30</t>
  </si>
  <si>
    <t>2013/05/29</t>
  </si>
  <si>
    <t>2013/05/28</t>
  </si>
  <si>
    <t>2013/05/27</t>
  </si>
  <si>
    <t>2013/05/24</t>
  </si>
  <si>
    <t>2013/05/23</t>
  </si>
  <si>
    <t>2013/05/22</t>
  </si>
  <si>
    <t>2013/05/21</t>
  </si>
  <si>
    <t>2013/05/20</t>
  </si>
  <si>
    <t>2013/05/16</t>
  </si>
  <si>
    <t>2013/05/15</t>
  </si>
  <si>
    <t>2013/05/14</t>
  </si>
  <si>
    <t>2013/05/13</t>
  </si>
  <si>
    <t>2013/05/10</t>
  </si>
  <si>
    <t>2013/05/09</t>
  </si>
  <si>
    <t>2013/05/08</t>
  </si>
  <si>
    <t>2013/05/07</t>
  </si>
  <si>
    <t>2013/05/06</t>
  </si>
  <si>
    <t>2013/05/03</t>
  </si>
  <si>
    <t>2013/05/02</t>
  </si>
  <si>
    <t>2013/04/30</t>
  </si>
  <si>
    <t>2013/04/29</t>
  </si>
  <si>
    <t>2013/04/26</t>
  </si>
  <si>
    <t>2013/04/25</t>
  </si>
  <si>
    <t>2013/04/24</t>
  </si>
  <si>
    <t>2013/04/23</t>
  </si>
  <si>
    <t>2013/04/22</t>
  </si>
  <si>
    <t>2013/04/19</t>
  </si>
  <si>
    <t>2013/04/18</t>
  </si>
  <si>
    <t>2013/04/17</t>
  </si>
  <si>
    <t>2013/04/16</t>
  </si>
  <si>
    <t>2013/04/15</t>
  </si>
  <si>
    <t>2013/04/12</t>
  </si>
  <si>
    <t>2013/04/11</t>
  </si>
  <si>
    <t>2013/04/10</t>
  </si>
  <si>
    <t>2013/04/09</t>
  </si>
  <si>
    <t>2013/04/08</t>
  </si>
  <si>
    <t>2013/04/05</t>
  </si>
  <si>
    <t>2013/04/04</t>
  </si>
  <si>
    <t>2013/04/03</t>
  </si>
  <si>
    <t>2013/04/02</t>
  </si>
  <si>
    <t>2013/04/01</t>
  </si>
  <si>
    <t>2013/03/29</t>
  </si>
  <si>
    <t>2013/03/28</t>
  </si>
  <si>
    <t>2013/03/27</t>
  </si>
  <si>
    <t>2013/03/26</t>
  </si>
  <si>
    <t>2013/03/25</t>
  </si>
  <si>
    <t>2013/03/22</t>
  </si>
  <si>
    <t>2013/03/21</t>
  </si>
  <si>
    <t>2013/03/20</t>
  </si>
  <si>
    <t>2013/03/19</t>
  </si>
  <si>
    <t>2013/03/18</t>
  </si>
  <si>
    <t>2013/03/15</t>
  </si>
  <si>
    <t>2013/03/14</t>
  </si>
  <si>
    <t>2013/03/13</t>
  </si>
  <si>
    <t>2013/03/12</t>
  </si>
  <si>
    <t>2013/03/11</t>
  </si>
  <si>
    <t>2013/03/08</t>
  </si>
  <si>
    <t>2013/03/07</t>
  </si>
  <si>
    <t>2013/03/06</t>
  </si>
  <si>
    <t>2013/03/05</t>
  </si>
  <si>
    <t>2013/03/04</t>
  </si>
  <si>
    <t>2013/02/28</t>
  </si>
  <si>
    <t>2013/02/27</t>
  </si>
  <si>
    <t>2013/02/26</t>
  </si>
  <si>
    <t>2013/02/25</t>
  </si>
  <si>
    <t>2013/02/22</t>
  </si>
  <si>
    <t>2013/02/21</t>
  </si>
  <si>
    <t>2013/02/20</t>
  </si>
  <si>
    <t>2013/02/19</t>
  </si>
  <si>
    <t>2013/02/18</t>
  </si>
  <si>
    <t>2013/02/15</t>
  </si>
  <si>
    <t>2013/02/14</t>
  </si>
  <si>
    <t>2013/02/13</t>
  </si>
  <si>
    <t>2013/02/12</t>
  </si>
  <si>
    <t>2013/02/08</t>
  </si>
  <si>
    <t>2013/02/07</t>
  </si>
  <si>
    <t>2013/02/06</t>
  </si>
  <si>
    <t>2013/02/05</t>
  </si>
  <si>
    <t>2013/02/04</t>
  </si>
  <si>
    <t>2013/02/01</t>
  </si>
  <si>
    <t>2013/01/31</t>
  </si>
  <si>
    <t>2013/01/30</t>
  </si>
  <si>
    <t>2013/01/29</t>
  </si>
  <si>
    <t>2013/01/28</t>
  </si>
  <si>
    <t>2013/01/25</t>
  </si>
  <si>
    <t>2013/01/24</t>
  </si>
  <si>
    <t>2013/01/23</t>
  </si>
  <si>
    <t>2013/01/22</t>
  </si>
  <si>
    <t>2013/01/21</t>
  </si>
  <si>
    <t>2013/01/18</t>
  </si>
  <si>
    <t>2013/01/17</t>
  </si>
  <si>
    <t>2013/01/16</t>
  </si>
  <si>
    <t>2013/01/15</t>
  </si>
  <si>
    <t>2013/01/14</t>
  </si>
  <si>
    <t>2013/01/11</t>
  </si>
  <si>
    <t>2013/01/10</t>
  </si>
  <si>
    <t>2013/01/09</t>
  </si>
  <si>
    <t>2013/01/08</t>
  </si>
  <si>
    <t>2013/01/07</t>
  </si>
  <si>
    <t>2013/01/04</t>
  </si>
  <si>
    <t>2013/01/03</t>
  </si>
  <si>
    <t>2013/01/02</t>
  </si>
  <si>
    <t>2012/12/31</t>
  </si>
  <si>
    <t>2012/12/28</t>
  </si>
  <si>
    <t>2012/12/27</t>
  </si>
  <si>
    <t>2012/12/26</t>
  </si>
  <si>
    <t>2012/12/24</t>
  </si>
  <si>
    <t>2012/12/21</t>
  </si>
  <si>
    <t>2012/12/20</t>
  </si>
  <si>
    <t>2012/12/18</t>
  </si>
  <si>
    <t>2012/12/17</t>
  </si>
  <si>
    <t>2012/12/14</t>
  </si>
  <si>
    <t>2012/12/13</t>
  </si>
  <si>
    <t>2012/12/12</t>
  </si>
  <si>
    <t>2012/12/11</t>
  </si>
  <si>
    <t>2012/12/10</t>
  </si>
  <si>
    <t>2012/12/07</t>
  </si>
  <si>
    <t>2012/12/06</t>
  </si>
  <si>
    <t>2012/12/05</t>
  </si>
  <si>
    <t>2012/12/04</t>
  </si>
  <si>
    <t>2012/12/03</t>
  </si>
  <si>
    <t>2012/11/30</t>
  </si>
  <si>
    <t>2012/11/29</t>
  </si>
  <si>
    <t>2012/11/28</t>
  </si>
  <si>
    <t>2012/11/27</t>
  </si>
  <si>
    <t>2012/11/26</t>
  </si>
  <si>
    <t>2012/11/23</t>
  </si>
  <si>
    <t>2012/11/22</t>
  </si>
  <si>
    <t>2012/11/21</t>
  </si>
  <si>
    <t>2012/11/20</t>
  </si>
  <si>
    <t>2012/11/19</t>
  </si>
  <si>
    <t>2012/11/16</t>
  </si>
  <si>
    <t>2012/11/15</t>
  </si>
  <si>
    <t>2012/11/14</t>
  </si>
  <si>
    <t>2012/11/13</t>
  </si>
  <si>
    <t>2012/11/12</t>
  </si>
  <si>
    <t>2012/11/09</t>
  </si>
  <si>
    <t>2012/11/08</t>
  </si>
  <si>
    <t>2012/11/07</t>
  </si>
  <si>
    <t>2012/11/06</t>
  </si>
  <si>
    <t>2012/11/05</t>
  </si>
  <si>
    <t>2012/11/02</t>
  </si>
  <si>
    <t>2012/11/01</t>
  </si>
  <si>
    <t>2012/10/31</t>
  </si>
  <si>
    <t>2012/10/30</t>
  </si>
  <si>
    <t>2012/10/29</t>
  </si>
  <si>
    <t>2012/10/26</t>
  </si>
  <si>
    <t>2012/10/25</t>
  </si>
  <si>
    <t>2012/10/24</t>
  </si>
  <si>
    <t>2012/10/23</t>
  </si>
  <si>
    <t>2012/10/22</t>
  </si>
  <si>
    <t>2012/10/19</t>
  </si>
  <si>
    <t>2012/10/18</t>
  </si>
  <si>
    <t>2012/10/17</t>
  </si>
  <si>
    <t>2012/10/16</t>
  </si>
  <si>
    <t>2012/10/15</t>
  </si>
  <si>
    <t>2012/10/12</t>
  </si>
  <si>
    <t>2012/10/11</t>
  </si>
  <si>
    <t>2012/10/10</t>
  </si>
  <si>
    <t>2012/10/09</t>
  </si>
  <si>
    <t>2012/10/08</t>
  </si>
  <si>
    <t>2012/10/05</t>
  </si>
  <si>
    <t>2012/10/04</t>
  </si>
  <si>
    <t>2012/10/02</t>
  </si>
  <si>
    <t>2012/09/28</t>
  </si>
  <si>
    <t>2012/09/27</t>
  </si>
  <si>
    <t>2012/09/26</t>
  </si>
  <si>
    <t>2012/09/25</t>
  </si>
  <si>
    <t>2012/09/24</t>
  </si>
  <si>
    <t>2012/09/21</t>
  </si>
  <si>
    <t>2012/09/20</t>
  </si>
  <si>
    <t>2012/09/19</t>
  </si>
  <si>
    <t>2012/09/18</t>
  </si>
  <si>
    <t>2012/09/17</t>
  </si>
  <si>
    <t>2012/09/14</t>
  </si>
  <si>
    <t>2012/09/13</t>
  </si>
  <si>
    <t>2012/09/12</t>
  </si>
  <si>
    <t>2012/09/11</t>
  </si>
  <si>
    <t>2012/09/10</t>
  </si>
  <si>
    <t>2012/09/07</t>
  </si>
  <si>
    <t>2012/09/06</t>
  </si>
  <si>
    <t>2012/09/05</t>
  </si>
  <si>
    <t>2012/09/04</t>
  </si>
  <si>
    <t>2012/09/03</t>
  </si>
  <si>
    <t>2012/08/31</t>
  </si>
  <si>
    <t>2012/08/30</t>
  </si>
  <si>
    <t>2012/08/29</t>
  </si>
  <si>
    <t>2012/08/28</t>
  </si>
  <si>
    <t>2012/08/27</t>
  </si>
  <si>
    <t>2012/08/24</t>
  </si>
  <si>
    <t>2012/08/23</t>
  </si>
  <si>
    <t>2012/08/22</t>
  </si>
  <si>
    <t>2012/08/21</t>
  </si>
  <si>
    <t>2012/08/20</t>
  </si>
  <si>
    <t>2012/08/17</t>
  </si>
  <si>
    <t>2012/08/16</t>
  </si>
  <si>
    <t>2012/08/14</t>
  </si>
  <si>
    <t>2012/08/13</t>
  </si>
  <si>
    <t>2012/08/10</t>
  </si>
  <si>
    <t>2012/08/09</t>
  </si>
  <si>
    <t>2012/08/08</t>
  </si>
  <si>
    <t>2012/08/07</t>
  </si>
  <si>
    <t>2012/08/06</t>
  </si>
  <si>
    <t>2012/08/03</t>
  </si>
  <si>
    <t>2012/08/02</t>
  </si>
  <si>
    <t>2012/08/01</t>
  </si>
  <si>
    <t>2012/07/31</t>
  </si>
  <si>
    <t>2012/07/30</t>
  </si>
  <si>
    <t>2012/07/27</t>
  </si>
  <si>
    <t>2012/07/26</t>
  </si>
  <si>
    <t>2012/07/25</t>
  </si>
  <si>
    <t>2012/07/24</t>
  </si>
  <si>
    <t>2012/07/23</t>
  </si>
  <si>
    <t>2012/07/20</t>
  </si>
  <si>
    <t>2012/07/19</t>
  </si>
  <si>
    <t>2012/07/18</t>
  </si>
  <si>
    <t>2012/07/17</t>
  </si>
  <si>
    <t>2012/07/16</t>
  </si>
  <si>
    <t>2012/07/13</t>
  </si>
  <si>
    <t>2012/07/12</t>
  </si>
  <si>
    <t>2012/07/11</t>
  </si>
  <si>
    <t>2012/07/10</t>
  </si>
  <si>
    <t>2012/07/09</t>
  </si>
  <si>
    <t>2012/07/06</t>
  </si>
  <si>
    <t>2012/07/05</t>
  </si>
  <si>
    <t>2012/07/04</t>
  </si>
  <si>
    <t>2012/07/03</t>
  </si>
  <si>
    <t>2012/07/02</t>
  </si>
  <si>
    <t>2012/06/29</t>
  </si>
  <si>
    <t>2012/06/28</t>
  </si>
  <si>
    <t>2012/06/27</t>
  </si>
  <si>
    <t>2012/06/26</t>
  </si>
  <si>
    <t>2012/06/25</t>
  </si>
  <si>
    <t>2012/06/22</t>
  </si>
  <si>
    <t>2012/06/21</t>
  </si>
  <si>
    <t>2012/06/20</t>
  </si>
  <si>
    <t>2012/06/19</t>
  </si>
  <si>
    <t>2012/06/18</t>
  </si>
  <si>
    <t>2012/06/15</t>
  </si>
  <si>
    <t>2012/06/14</t>
  </si>
  <si>
    <t>2012/06/13</t>
  </si>
  <si>
    <t>2012/06/12</t>
  </si>
  <si>
    <t>2012/06/11</t>
  </si>
  <si>
    <t>2012/06/08</t>
  </si>
  <si>
    <t>2012/06/07</t>
  </si>
  <si>
    <t>2012/06/05</t>
  </si>
  <si>
    <t>2012/06/04</t>
  </si>
  <si>
    <t>2012/06/01</t>
  </si>
  <si>
    <t>2012/05/31</t>
  </si>
  <si>
    <t>2012/05/30</t>
  </si>
  <si>
    <t>2012/05/29</t>
  </si>
  <si>
    <t>2012/05/25</t>
  </si>
  <si>
    <t>2012/05/24</t>
  </si>
  <si>
    <t>2012/05/23</t>
  </si>
  <si>
    <t>2012/05/22</t>
  </si>
  <si>
    <t>2012/05/21</t>
  </si>
  <si>
    <t>2012/05/18</t>
  </si>
  <si>
    <t>2012/05/17</t>
  </si>
  <si>
    <t>2012/05/16</t>
  </si>
  <si>
    <t>2012/05/15</t>
  </si>
  <si>
    <t>2012/05/14</t>
  </si>
  <si>
    <t>2012/05/11</t>
  </si>
  <si>
    <t>2012/05/10</t>
  </si>
  <si>
    <t>2012/05/09</t>
  </si>
  <si>
    <t>2012/05/08</t>
  </si>
  <si>
    <t>2012/05/07</t>
  </si>
  <si>
    <t>2012/05/04</t>
  </si>
  <si>
    <t>2012/05/03</t>
  </si>
  <si>
    <t>2012/05/02</t>
  </si>
  <si>
    <t>2012/04/30</t>
  </si>
  <si>
    <t>2012/04/27</t>
  </si>
  <si>
    <t>2012/04/26</t>
  </si>
  <si>
    <t>2012/04/25</t>
  </si>
  <si>
    <t>2012/04/24</t>
  </si>
  <si>
    <t>2012/04/23</t>
  </si>
  <si>
    <t>2012/04/20</t>
  </si>
  <si>
    <t>2012/04/19</t>
  </si>
  <si>
    <t>2012/04/18</t>
  </si>
  <si>
    <t>2012/04/17</t>
  </si>
  <si>
    <t>2012/04/16</t>
  </si>
  <si>
    <t>2012/04/13</t>
  </si>
  <si>
    <t>2012/04/12</t>
  </si>
  <si>
    <t>2012/04/10</t>
  </si>
  <si>
    <t>2012/04/09</t>
  </si>
  <si>
    <t>2012/04/06</t>
  </si>
  <si>
    <t>2012/04/05</t>
  </si>
  <si>
    <t>2012/04/04</t>
  </si>
  <si>
    <t>2012/04/03</t>
  </si>
  <si>
    <t>2012/04/02</t>
  </si>
  <si>
    <t>2012/03/30</t>
  </si>
  <si>
    <t>2012/03/29</t>
  </si>
  <si>
    <t>2012/03/28</t>
  </si>
  <si>
    <t>2012/03/27</t>
  </si>
  <si>
    <t>2012/03/26</t>
  </si>
  <si>
    <t>2012/03/23</t>
  </si>
  <si>
    <t>2012/03/22</t>
  </si>
  <si>
    <t>2012/03/21</t>
  </si>
  <si>
    <t>2012/03/20</t>
  </si>
  <si>
    <t>2012/03/19</t>
  </si>
  <si>
    <t>2012/03/16</t>
  </si>
  <si>
    <t>2012/03/15</t>
  </si>
  <si>
    <t>2012/03/14</t>
  </si>
  <si>
    <t>2012/03/13</t>
  </si>
  <si>
    <t>2012/03/12</t>
  </si>
  <si>
    <t>2012/03/09</t>
  </si>
  <si>
    <t>2012/03/08</t>
  </si>
  <si>
    <t>2012/03/07</t>
  </si>
  <si>
    <t>2012/03/06</t>
  </si>
  <si>
    <t>2012/03/05</t>
  </si>
  <si>
    <t>2012/03/02</t>
  </si>
  <si>
    <t>2012/02/29</t>
  </si>
  <si>
    <t>2012/02/28</t>
  </si>
  <si>
    <t>2012/02/27</t>
  </si>
  <si>
    <t>2012/02/24</t>
  </si>
  <si>
    <t>2012/02/23</t>
  </si>
  <si>
    <t>2012/02/22</t>
  </si>
  <si>
    <t>2012/02/21</t>
  </si>
  <si>
    <t>2012/02/20</t>
  </si>
  <si>
    <t>2012/02/17</t>
  </si>
  <si>
    <t>2012/02/16</t>
  </si>
  <si>
    <t>2012/02/15</t>
  </si>
  <si>
    <t>2012/02/14</t>
  </si>
  <si>
    <t>2012/02/13</t>
  </si>
  <si>
    <t>2012/02/10</t>
  </si>
  <si>
    <t>2012/02/09</t>
  </si>
  <si>
    <t>2012/02/08</t>
  </si>
  <si>
    <t>2012/02/07</t>
  </si>
  <si>
    <t>2012/02/06</t>
  </si>
  <si>
    <t>2012/02/03</t>
  </si>
  <si>
    <t>2012/02/02</t>
  </si>
  <si>
    <t>2012/02/01</t>
  </si>
  <si>
    <t>2012/01/31</t>
  </si>
  <si>
    <t>2012/01/30</t>
  </si>
  <si>
    <t>2012/01/27</t>
  </si>
  <si>
    <t>2012/01/26</t>
  </si>
  <si>
    <t>2012/01/25</t>
  </si>
  <si>
    <t>2012/01/20</t>
  </si>
  <si>
    <t>2012/01/19</t>
  </si>
  <si>
    <t>2012/01/18</t>
  </si>
  <si>
    <t>2012/01/17</t>
  </si>
  <si>
    <t>2012/01/16</t>
  </si>
  <si>
    <t>2012/01/13</t>
  </si>
  <si>
    <t>2012/01/12</t>
  </si>
  <si>
    <t>2012/01/11</t>
  </si>
  <si>
    <t>2012/01/10</t>
  </si>
  <si>
    <t>2012/01/09</t>
  </si>
  <si>
    <t>2012/01/06</t>
  </si>
  <si>
    <t>2012/01/05</t>
  </si>
  <si>
    <t>2012/01/04</t>
  </si>
  <si>
    <t>2012/01/03</t>
  </si>
  <si>
    <t>2012/01/02</t>
  </si>
  <si>
    <t>최근1년</t>
    <phoneticPr fontId="12" type="noConversion"/>
  </si>
  <si>
    <t>최근2년</t>
    <phoneticPr fontId="12" type="noConversion"/>
  </si>
  <si>
    <t>최근3년</t>
    <phoneticPr fontId="12" type="noConversion"/>
  </si>
  <si>
    <t>최근5년</t>
    <phoneticPr fontId="12" type="noConversion"/>
  </si>
  <si>
    <t>최근10년</t>
    <phoneticPr fontId="12" type="noConversion"/>
  </si>
  <si>
    <t>추정손익계산서</t>
    <phoneticPr fontId="12" type="noConversion"/>
  </si>
  <si>
    <t>운영수입</t>
  </si>
  <si>
    <t>하역수입</t>
  </si>
  <si>
    <t>기타수입</t>
  </si>
  <si>
    <t>MRG(운영비 정산 후)</t>
  </si>
  <si>
    <t>기타비용</t>
  </si>
  <si>
    <t>무형자산상각비</t>
  </si>
  <si>
    <t>유형자산상각비</t>
  </si>
  <si>
    <t>법인세정산</t>
  </si>
  <si>
    <t>영업이익</t>
  </si>
  <si>
    <t>영업외수익</t>
  </si>
  <si>
    <t>영업외비용</t>
  </si>
  <si>
    <t>이자비용(현할차상각)</t>
  </si>
  <si>
    <t>법인세차감전이익</t>
  </si>
  <si>
    <t>법인세비용</t>
  </si>
  <si>
    <t>추정현금흐름표</t>
    <phoneticPr fontId="12" type="noConversion"/>
  </si>
  <si>
    <t>영업활동으로 인한 현금흐름</t>
  </si>
  <si>
    <t>영업활동으로 인한 현금유입</t>
  </si>
  <si>
    <t xml:space="preserve"> 하역수입</t>
  </si>
  <si>
    <t xml:space="preserve"> 기타수입</t>
  </si>
  <si>
    <t xml:space="preserve"> MRG수입</t>
  </si>
  <si>
    <t>영업활동으로 인한 현금유출</t>
  </si>
  <si>
    <t xml:space="preserve"> 기타비용</t>
  </si>
  <si>
    <t xml:space="preserve"> 차입금 이자 지급</t>
  </si>
  <si>
    <t xml:space="preserve"> 법인세 정산</t>
  </si>
  <si>
    <t xml:space="preserve"> 법인세 지급</t>
  </si>
  <si>
    <t>투자활동으로 인한 현금흐름</t>
  </si>
  <si>
    <t>투자활동으로 인한 현금유출</t>
  </si>
  <si>
    <t xml:space="preserve"> 대체투자비</t>
  </si>
  <si>
    <t>재무활동으로 인한 현금흐름</t>
  </si>
  <si>
    <t>재무활동으로 인한 현금유입</t>
  </si>
  <si>
    <t>재무활동으로 인한 현금유출</t>
  </si>
  <si>
    <t xml:space="preserve"> 선순위차입금 상환</t>
  </si>
  <si>
    <t xml:space="preserve"> 배당금 지급</t>
  </si>
  <si>
    <t>현금의 증감</t>
  </si>
  <si>
    <t>기초현금</t>
  </si>
  <si>
    <t>기말현금</t>
  </si>
  <si>
    <t>추정재무상태표</t>
    <phoneticPr fontId="12" type="noConversion"/>
  </si>
  <si>
    <t>유동자산</t>
  </si>
  <si>
    <t xml:space="preserve"> 현금및현금성자산</t>
  </si>
  <si>
    <t xml:space="preserve"> MRG 미수금</t>
  </si>
  <si>
    <t xml:space="preserve"> 기타 유동자산</t>
  </si>
  <si>
    <t>비유동자산</t>
  </si>
  <si>
    <t xml:space="preserve"> 관리운영권</t>
  </si>
  <si>
    <t xml:space="preserve"> 유형자산</t>
  </si>
  <si>
    <t xml:space="preserve"> 기타비유동자산</t>
  </si>
  <si>
    <t>유동부채</t>
  </si>
  <si>
    <t xml:space="preserve"> 미지급금</t>
  </si>
  <si>
    <t xml:space="preserve"> 기타 유동부채</t>
  </si>
  <si>
    <t>비유동부채</t>
  </si>
  <si>
    <t>운영비 미지급금</t>
  </si>
  <si>
    <t>기타 비유동부채</t>
  </si>
  <si>
    <t>자본</t>
  </si>
  <si>
    <t xml:space="preserve"> 보통주자본금</t>
  </si>
  <si>
    <t xml:space="preserve"> 우선주자본금</t>
  </si>
  <si>
    <t xml:space="preserve"> 자본잉여금</t>
  </si>
  <si>
    <t xml:space="preserve"> 자본조정</t>
  </si>
  <si>
    <t xml:space="preserve"> 미처분이익잉여금</t>
  </si>
  <si>
    <t>CF (연도별)</t>
    <phoneticPr fontId="12" type="noConversion"/>
  </si>
  <si>
    <t>위탁수수료 미지급금</t>
  </si>
  <si>
    <t>보통주의 발행</t>
    <phoneticPr fontId="12" type="noConversion"/>
  </si>
  <si>
    <t>차입</t>
  </si>
  <si>
    <t>유상감자</t>
    <phoneticPr fontId="12" type="noConversion"/>
  </si>
  <si>
    <t>배당금의 지급</t>
  </si>
  <si>
    <t>단순 부채상환비율(DSCR)</t>
  </si>
  <si>
    <t>누적 부채상환비율(DSCR)</t>
  </si>
  <si>
    <t>누적 부채상환비율(DSCR) -DSRA포함</t>
    <phoneticPr fontId="12" type="noConversion"/>
  </si>
  <si>
    <t>배당 결의액</t>
    <phoneticPr fontId="12" type="noConversion"/>
  </si>
  <si>
    <t>무상감자</t>
    <phoneticPr fontId="12" type="noConversion"/>
  </si>
  <si>
    <t>이익잉여금처분액 (우선배당)</t>
    <phoneticPr fontId="12" type="noConversion"/>
  </si>
  <si>
    <t>주식할인차금상각</t>
  </si>
  <si>
    <t>이익준비금</t>
  </si>
  <si>
    <t>상환우선주(미지급운영비)</t>
    <phoneticPr fontId="12" type="noConversion"/>
  </si>
  <si>
    <t>주식할인발행차금</t>
    <phoneticPr fontId="12" type="noConversion"/>
  </si>
  <si>
    <t>단순-DSCR</t>
  </si>
  <si>
    <t>누적-DSCR</t>
  </si>
  <si>
    <t>단순-DSCR 조건</t>
  </si>
  <si>
    <t>누적-DSCR 조건</t>
  </si>
  <si>
    <t>운영배당 결의액</t>
    <phoneticPr fontId="12" type="noConversion"/>
  </si>
  <si>
    <t>1. 우선 배당</t>
    <phoneticPr fontId="12" type="noConversion"/>
  </si>
  <si>
    <t>(우선배당률)</t>
    <phoneticPr fontId="12" type="noConversion"/>
  </si>
  <si>
    <t>목표 배당금</t>
    <phoneticPr fontId="12" type="noConversion"/>
  </si>
  <si>
    <t>우선주 잔액</t>
    <phoneticPr fontId="12" type="noConversion"/>
  </si>
  <si>
    <t>목표 배당액</t>
    <phoneticPr fontId="12" type="noConversion"/>
  </si>
  <si>
    <t>누적 배당금 산정</t>
    <phoneticPr fontId="12" type="noConversion"/>
  </si>
  <si>
    <t>증가</t>
    <phoneticPr fontId="12" type="noConversion"/>
  </si>
  <si>
    <t>감소</t>
    <phoneticPr fontId="12" type="noConversion"/>
  </si>
  <si>
    <t>우선배당</t>
  </si>
  <si>
    <t>2. 기본 배당</t>
    <phoneticPr fontId="12" type="noConversion"/>
  </si>
  <si>
    <t>(기본배당률)</t>
    <phoneticPr fontId="12" type="noConversion"/>
  </si>
  <si>
    <t>보통주 잔액</t>
    <phoneticPr fontId="12" type="noConversion"/>
  </si>
  <si>
    <t>기본주 목표 배당액</t>
    <phoneticPr fontId="12" type="noConversion"/>
  </si>
  <si>
    <t>우선주 목표 배당액</t>
    <phoneticPr fontId="12" type="noConversion"/>
  </si>
  <si>
    <t>우선주 기본배당</t>
    <phoneticPr fontId="12" type="noConversion"/>
  </si>
  <si>
    <t>보통주 기본배당</t>
    <phoneticPr fontId="12" type="noConversion"/>
  </si>
  <si>
    <t>3. 참여 배당</t>
    <phoneticPr fontId="12" type="noConversion"/>
  </si>
  <si>
    <t>우선주 참여배당</t>
    <phoneticPr fontId="12" type="noConversion"/>
  </si>
  <si>
    <t>보통주 참여배당</t>
    <phoneticPr fontId="12" type="noConversion"/>
  </si>
  <si>
    <t>Waterfall</t>
    <phoneticPr fontId="12" type="noConversion"/>
  </si>
  <si>
    <t>연도(4분기)</t>
    <phoneticPr fontId="12" type="noConversion"/>
  </si>
  <si>
    <t>운영기간 Index</t>
  </si>
  <si>
    <t>운영기간(개월)</t>
  </si>
  <si>
    <t>운영이익</t>
    <phoneticPr fontId="12" type="noConversion"/>
  </si>
  <si>
    <t>기초현금</t>
    <phoneticPr fontId="12" type="noConversion"/>
  </si>
  <si>
    <t>재원조달</t>
    <phoneticPr fontId="12" type="noConversion"/>
  </si>
  <si>
    <t>기타자산부채의변동</t>
    <phoneticPr fontId="12" type="noConversion"/>
  </si>
  <si>
    <t>선순위 상환재원</t>
    <phoneticPr fontId="12" type="noConversion"/>
  </si>
  <si>
    <t>선순위상환</t>
    <phoneticPr fontId="12" type="noConversion"/>
  </si>
  <si>
    <t>선순위 상환액</t>
    <phoneticPr fontId="12" type="noConversion"/>
  </si>
  <si>
    <t>적립가능액</t>
    <phoneticPr fontId="12" type="noConversion"/>
  </si>
  <si>
    <t>적립기준액</t>
  </si>
  <si>
    <t>DSRA 적립액</t>
  </si>
  <si>
    <t>DSRA 유입액</t>
    <phoneticPr fontId="12" type="noConversion"/>
  </si>
  <si>
    <t>적립부족액</t>
    <phoneticPr fontId="12" type="noConversion"/>
  </si>
  <si>
    <t>적립후 여유현금</t>
    <phoneticPr fontId="12" type="noConversion"/>
  </si>
  <si>
    <t>기초</t>
    <phoneticPr fontId="12" type="noConversion"/>
  </si>
  <si>
    <t>기말</t>
    <phoneticPr fontId="12" type="noConversion"/>
  </si>
  <si>
    <t>지급후 여유현금</t>
    <phoneticPr fontId="12" type="noConversion"/>
  </si>
  <si>
    <t>운영비용미지급금 이자</t>
    <phoneticPr fontId="12" type="noConversion"/>
  </si>
  <si>
    <t>지급 재원</t>
    <phoneticPr fontId="12" type="noConversion"/>
  </si>
  <si>
    <t>이자비용</t>
    <phoneticPr fontId="12" type="noConversion"/>
  </si>
  <si>
    <t>이자비용 지급</t>
    <phoneticPr fontId="12" type="noConversion"/>
  </si>
  <si>
    <t>지급후 여유현금(당기분)</t>
    <phoneticPr fontId="12" type="noConversion"/>
  </si>
  <si>
    <t>지급후 여유현금(미지급분포함)</t>
    <phoneticPr fontId="12" type="noConversion"/>
  </si>
  <si>
    <t>미지급이자</t>
    <phoneticPr fontId="12" type="noConversion"/>
  </si>
  <si>
    <t>기초잔액</t>
  </si>
  <si>
    <t>당기증가액</t>
    <phoneticPr fontId="46" type="noConversion"/>
  </si>
  <si>
    <t>당기감소액</t>
    <phoneticPr fontId="46" type="noConversion"/>
  </si>
  <si>
    <t>미지급분 지급</t>
    <phoneticPr fontId="12" type="noConversion"/>
  </si>
  <si>
    <t>배당 지급</t>
    <phoneticPr fontId="12" type="noConversion"/>
  </si>
  <si>
    <t>미지급 운영비 차감</t>
    <phoneticPr fontId="12" type="noConversion"/>
  </si>
  <si>
    <t>상환우선주</t>
    <phoneticPr fontId="46" type="noConversion"/>
  </si>
  <si>
    <t>운영비미지급</t>
    <phoneticPr fontId="46" type="noConversion"/>
  </si>
  <si>
    <t>총발생액</t>
    <phoneticPr fontId="12" type="noConversion"/>
  </si>
  <si>
    <t>최초 지급</t>
    <phoneticPr fontId="12" type="noConversion"/>
  </si>
  <si>
    <t>지급 완료</t>
    <phoneticPr fontId="12" type="noConversion"/>
  </si>
  <si>
    <t>조달필요액</t>
    <phoneticPr fontId="12" type="noConversion"/>
  </si>
  <si>
    <t>조달액</t>
    <phoneticPr fontId="12" type="noConversion"/>
  </si>
  <si>
    <t>조달후 여유현금</t>
    <phoneticPr fontId="12" type="noConversion"/>
  </si>
  <si>
    <t>상세내역</t>
    <phoneticPr fontId="12" type="noConversion"/>
  </si>
  <si>
    <t>당기증가액</t>
  </si>
  <si>
    <t>당기감소액</t>
  </si>
  <si>
    <t>당기발생이자</t>
  </si>
  <si>
    <t>약정한도금액</t>
    <phoneticPr fontId="12" type="noConversion"/>
  </si>
  <si>
    <t>약정수수료</t>
  </si>
  <si>
    <t>상환우선주 상환</t>
    <phoneticPr fontId="12" type="noConversion"/>
  </si>
  <si>
    <t>※</t>
    <phoneticPr fontId="12" type="noConversion"/>
  </si>
  <si>
    <t>적립금+미지급 잔액</t>
    <phoneticPr fontId="12" type="noConversion"/>
  </si>
  <si>
    <t>적립금 잔액</t>
    <phoneticPr fontId="12" type="noConversion"/>
  </si>
  <si>
    <t>운영비용 적립금액</t>
    <phoneticPr fontId="12" type="noConversion"/>
  </si>
  <si>
    <t>운영비용 적립금 사용</t>
    <phoneticPr fontId="12" type="noConversion"/>
  </si>
  <si>
    <t>운영비용 적립잔액</t>
    <phoneticPr fontId="12" type="noConversion"/>
  </si>
  <si>
    <t>주식</t>
    <phoneticPr fontId="12" type="noConversion"/>
  </si>
  <si>
    <t>배당재원</t>
    <phoneticPr fontId="12" type="noConversion"/>
  </si>
  <si>
    <t>배당 후 여유현금</t>
    <phoneticPr fontId="12" type="noConversion"/>
  </si>
  <si>
    <t>기본</t>
    <phoneticPr fontId="12" type="noConversion"/>
  </si>
  <si>
    <t>운영비용(제3차 변경관리운영위탁계약)</t>
    <phoneticPr fontId="8" type="noConversion"/>
  </si>
  <si>
    <t>(단위:원)</t>
    <phoneticPr fontId="8" type="noConversion"/>
  </si>
  <si>
    <t>2018년</t>
    <phoneticPr fontId="8" type="noConversion"/>
  </si>
  <si>
    <t>2019년</t>
  </si>
  <si>
    <t>2020년</t>
  </si>
  <si>
    <t>2021년</t>
  </si>
  <si>
    <t>2022년</t>
  </si>
  <si>
    <t>2023년</t>
  </si>
  <si>
    <t>2024년</t>
  </si>
  <si>
    <t>2025년</t>
  </si>
  <si>
    <t>2026년</t>
  </si>
  <si>
    <t>2027년</t>
  </si>
  <si>
    <t>2028년</t>
  </si>
  <si>
    <t>2029년</t>
  </si>
  <si>
    <t>2030년</t>
  </si>
  <si>
    <t>2031년</t>
  </si>
  <si>
    <t>2032년</t>
  </si>
  <si>
    <t>2033년</t>
  </si>
  <si>
    <t>2034년</t>
  </si>
  <si>
    <t>2035년</t>
  </si>
  <si>
    <t>2036년</t>
  </si>
  <si>
    <t>2037년</t>
  </si>
  <si>
    <t>2038년</t>
  </si>
  <si>
    <t>2039년</t>
  </si>
  <si>
    <t>2040년</t>
  </si>
  <si>
    <t>2041년</t>
  </si>
  <si>
    <t>2042년</t>
  </si>
  <si>
    <t>2043년</t>
  </si>
  <si>
    <t>2044년</t>
  </si>
  <si>
    <t>2045년</t>
  </si>
  <si>
    <t>2046년</t>
  </si>
  <si>
    <t>2047년</t>
  </si>
  <si>
    <t>2048년</t>
  </si>
  <si>
    <t>2049년</t>
  </si>
  <si>
    <t>2050년</t>
  </si>
  <si>
    <t>2051년</t>
  </si>
  <si>
    <t>2052년</t>
  </si>
  <si>
    <t>2053년</t>
  </si>
  <si>
    <t>2054년</t>
  </si>
  <si>
    <t>2055년</t>
  </si>
  <si>
    <t>2056년</t>
  </si>
  <si>
    <t>2057년</t>
  </si>
  <si>
    <t>2058년</t>
  </si>
  <si>
    <t>2059년</t>
  </si>
  <si>
    <t>2004/09/16 체결 대출약정서 재무모델</t>
    <phoneticPr fontId="12" type="noConversion"/>
  </si>
  <si>
    <t>1. 인건비</t>
    <phoneticPr fontId="8" type="noConversion"/>
  </si>
  <si>
    <t>2. 일반경비</t>
    <phoneticPr fontId="8" type="noConversion"/>
  </si>
  <si>
    <t>3. 유지보수비</t>
    <phoneticPr fontId="8" type="noConversion"/>
  </si>
  <si>
    <t>3-1) 항만시설</t>
  </si>
  <si>
    <t>3-2) 운영설비</t>
  </si>
  <si>
    <t>4. 점검비</t>
    <phoneticPr fontId="8" type="noConversion"/>
  </si>
  <si>
    <t>5. 동력비</t>
    <phoneticPr fontId="8" type="noConversion"/>
  </si>
  <si>
    <t>계획</t>
    <phoneticPr fontId="8" type="noConversion"/>
  </si>
  <si>
    <t>1. 실시협약 물동량</t>
    <phoneticPr fontId="8" type="noConversion"/>
  </si>
  <si>
    <t>2. 계획 물동량(실제물동량에 따라 정산)</t>
    <phoneticPr fontId="8" type="noConversion"/>
  </si>
  <si>
    <t>3. 물동량 미달비율</t>
    <phoneticPr fontId="8" type="noConversion"/>
  </si>
  <si>
    <t>1. 변동비 정산전 운영비용</t>
    <phoneticPr fontId="8" type="noConversion"/>
  </si>
  <si>
    <t>1-1. 변동비</t>
    <phoneticPr fontId="8" type="noConversion"/>
  </si>
  <si>
    <t>1-2. 변동비 정산</t>
    <phoneticPr fontId="8" type="noConversion"/>
  </si>
  <si>
    <t>2. 예정운영비용</t>
    <phoneticPr fontId="8" type="noConversion"/>
  </si>
  <si>
    <t>3. 법인운영비</t>
    <phoneticPr fontId="8" type="noConversion"/>
  </si>
  <si>
    <t>다른셀연결X</t>
    <phoneticPr fontId="12" type="noConversion"/>
  </si>
  <si>
    <t xml:space="preserve">4. 운영위탁수수료 </t>
    <phoneticPr fontId="8" type="noConversion"/>
  </si>
  <si>
    <t>5. 최소운영위탁수수료</t>
    <phoneticPr fontId="8" type="noConversion"/>
  </si>
  <si>
    <t>(구제금융)</t>
    <phoneticPr fontId="12" type="noConversion"/>
  </si>
  <si>
    <t>신규적립액</t>
    <phoneticPr fontId="12" type="noConversion"/>
  </si>
  <si>
    <t>위탁수수료순익</t>
    <phoneticPr fontId="12" type="noConversion"/>
  </si>
  <si>
    <t>위탁수수료 누적순익</t>
    <phoneticPr fontId="12" type="noConversion"/>
  </si>
  <si>
    <t>5. 적립요구액</t>
    <phoneticPr fontId="7" type="noConversion"/>
  </si>
  <si>
    <t>6. 누적 적립액</t>
    <phoneticPr fontId="7" type="noConversion"/>
  </si>
  <si>
    <t>7. 위탁수수료 순이익</t>
    <phoneticPr fontId="7" type="noConversion"/>
  </si>
  <si>
    <t>8. 유동화 가능금액(적립금만)</t>
    <phoneticPr fontId="7" type="noConversion"/>
  </si>
  <si>
    <t>9. 유동화 가능금액(적립금+순이익)</t>
    <phoneticPr fontId="7" type="noConversion"/>
  </si>
  <si>
    <t>‘21. 12</t>
  </si>
  <si>
    <t>‘22.3</t>
  </si>
  <si>
    <t>‘22.6</t>
  </si>
  <si>
    <t>‘22.9</t>
  </si>
  <si>
    <t>‘22.12</t>
  </si>
  <si>
    <t>‘23.3</t>
  </si>
  <si>
    <t>‘23.6</t>
  </si>
  <si>
    <t>‘23.9</t>
  </si>
  <si>
    <t>‘23.12</t>
  </si>
  <si>
    <t>‘24.3</t>
    <phoneticPr fontId="12" type="noConversion"/>
  </si>
  <si>
    <t>‘24.6</t>
    <phoneticPr fontId="12" type="noConversion"/>
  </si>
  <si>
    <t>‘24.9</t>
    <phoneticPr fontId="12" type="noConversion"/>
  </si>
  <si>
    <t>‘24.12</t>
    <phoneticPr fontId="12" type="noConversion"/>
  </si>
  <si>
    <t>‘25.3</t>
    <phoneticPr fontId="12" type="noConversion"/>
  </si>
  <si>
    <t>‘25.6</t>
    <phoneticPr fontId="12" type="noConversion"/>
  </si>
  <si>
    <t>‘25.9</t>
    <phoneticPr fontId="12" type="noConversion"/>
  </si>
  <si>
    <t>‘25.12</t>
    <phoneticPr fontId="12" type="noConversion"/>
  </si>
  <si>
    <t>‘26.3</t>
    <phoneticPr fontId="12" type="noConversion"/>
  </si>
  <si>
    <t>‘26.6</t>
    <phoneticPr fontId="12" type="noConversion"/>
  </si>
  <si>
    <t>‘26.9</t>
    <phoneticPr fontId="12" type="noConversion"/>
  </si>
  <si>
    <t>‘26.12</t>
    <phoneticPr fontId="12" type="noConversion"/>
  </si>
  <si>
    <t>‘27.3</t>
    <phoneticPr fontId="12" type="noConversion"/>
  </si>
  <si>
    <t>‘27.6</t>
    <phoneticPr fontId="12" type="noConversion"/>
  </si>
  <si>
    <t>‘27.9</t>
    <phoneticPr fontId="12" type="noConversion"/>
  </si>
  <si>
    <t>‘27.12</t>
    <phoneticPr fontId="12" type="noConversion"/>
  </si>
  <si>
    <t>‘28.3</t>
    <phoneticPr fontId="12" type="noConversion"/>
  </si>
  <si>
    <t>‘28.6</t>
    <phoneticPr fontId="12" type="noConversion"/>
  </si>
  <si>
    <t>‘28.9</t>
    <phoneticPr fontId="12" type="noConversion"/>
  </si>
  <si>
    <t>‘28.12</t>
    <phoneticPr fontId="12" type="noConversion"/>
  </si>
  <si>
    <t>‘29.3</t>
    <phoneticPr fontId="12" type="noConversion"/>
  </si>
  <si>
    <t>‘29.6</t>
    <phoneticPr fontId="12" type="noConversion"/>
  </si>
  <si>
    <t>‘29.9</t>
    <phoneticPr fontId="12" type="noConversion"/>
  </si>
  <si>
    <t>‘29.12</t>
    <phoneticPr fontId="12" type="noConversion"/>
  </si>
  <si>
    <t>적립금누적</t>
  </si>
  <si>
    <t>미지금누적</t>
  </si>
  <si>
    <t>누적합계</t>
    <phoneticPr fontId="12" type="noConversion"/>
  </si>
  <si>
    <t>적립금차감</t>
    <phoneticPr fontId="12" type="noConversion"/>
  </si>
  <si>
    <t>해지시지급금</t>
    <phoneticPr fontId="12" type="noConversion"/>
  </si>
  <si>
    <t>- 운영기간 Index</t>
    <phoneticPr fontId="12" type="noConversion"/>
  </si>
  <si>
    <t>- 건설기간 Index</t>
    <phoneticPr fontId="12" type="noConversion"/>
  </si>
  <si>
    <t>&lt;요약&gt;</t>
    <phoneticPr fontId="12" type="noConversion"/>
  </si>
  <si>
    <t>1. 사업시행자 귀책사유</t>
    <phoneticPr fontId="12" type="noConversion"/>
  </si>
  <si>
    <t>Data</t>
    <phoneticPr fontId="12" type="noConversion"/>
  </si>
  <si>
    <t>A. 총민간투자비</t>
    <phoneticPr fontId="12" type="noConversion"/>
  </si>
  <si>
    <t>B. 건설이자</t>
    <phoneticPr fontId="12" type="noConversion"/>
  </si>
  <si>
    <t>C. 기투입민간투자비(A-B)</t>
    <phoneticPr fontId="12" type="noConversion"/>
  </si>
  <si>
    <t>A. 민간투자자금</t>
    <phoneticPr fontId="12" type="noConversion"/>
  </si>
  <si>
    <t>B. 상각액</t>
    <phoneticPr fontId="12" type="noConversion"/>
  </si>
  <si>
    <t>C. 민간투자자금 미상각잔액</t>
    <phoneticPr fontId="12" type="noConversion"/>
  </si>
  <si>
    <t>D. 실제 소비자물가지수변동분</t>
    <phoneticPr fontId="12" type="noConversion"/>
  </si>
  <si>
    <t>정액법 상각</t>
    <phoneticPr fontId="12" type="noConversion"/>
  </si>
  <si>
    <t>정액법 상각 잔액</t>
    <phoneticPr fontId="12" type="noConversion"/>
  </si>
  <si>
    <t>정률법 상각잔액</t>
    <phoneticPr fontId="12" type="noConversion"/>
  </si>
  <si>
    <t>적용 해지시지급금</t>
    <phoneticPr fontId="12" type="noConversion"/>
  </si>
  <si>
    <t>민간투자자금 미상각잔액</t>
    <phoneticPr fontId="12" type="noConversion"/>
  </si>
  <si>
    <t>미래기대수익의 현재가치</t>
    <phoneticPr fontId="12" type="noConversion"/>
  </si>
  <si>
    <t>2. 정부 귀책사유</t>
    <phoneticPr fontId="12" type="noConversion"/>
  </si>
  <si>
    <t>B. 기회비용</t>
    <phoneticPr fontId="12" type="noConversion"/>
  </si>
  <si>
    <t>C. 주무관청 귀책사유 발생시 민간투자자금 (A+B)</t>
    <phoneticPr fontId="12" type="noConversion"/>
  </si>
  <si>
    <t>D. 상각액</t>
    <phoneticPr fontId="12" type="noConversion"/>
  </si>
  <si>
    <t>E. 미상각잔액</t>
    <phoneticPr fontId="12" type="noConversion"/>
  </si>
  <si>
    <t>F. 실제 소비자물가지수변동분</t>
    <phoneticPr fontId="12" type="noConversion"/>
  </si>
  <si>
    <t>G. 이 사업시설의 잔존가치((1) 호에 따른 산정금액)</t>
    <phoneticPr fontId="12" type="noConversion"/>
  </si>
  <si>
    <t>H. 1-잔여운영기간비율(경과기간비율)</t>
    <phoneticPr fontId="12" type="noConversion"/>
  </si>
  <si>
    <t>(1) 호에 따른 산정금액*(1-잔여운영기간비율)</t>
    <phoneticPr fontId="12" type="noConversion"/>
  </si>
  <si>
    <t>A. 미래기대수익의 현재가치</t>
    <phoneticPr fontId="12" type="noConversion"/>
  </si>
  <si>
    <t>B. 실제 소비자물가지수변동분</t>
    <phoneticPr fontId="12" type="noConversion"/>
  </si>
  <si>
    <t>C. 미래기대수익((2) 호에 따른 산정금액)</t>
    <phoneticPr fontId="12" type="noConversion"/>
  </si>
  <si>
    <t>D. 잔여운영기간비율</t>
    <phoneticPr fontId="12" type="noConversion"/>
  </si>
  <si>
    <t>(2) 호에 따른 산정금액*잔여운영기간비율</t>
    <phoneticPr fontId="12" type="noConversion"/>
  </si>
  <si>
    <t>① TP 가중평균 값</t>
    <phoneticPr fontId="12" type="noConversion"/>
  </si>
  <si>
    <t>② TP (1) 호의 산정금액</t>
    <phoneticPr fontId="12" type="noConversion"/>
  </si>
  <si>
    <t>TP {MAX[ ①,② ]}</t>
    <phoneticPr fontId="12" type="noConversion"/>
  </si>
  <si>
    <t>TP 변경</t>
    <phoneticPr fontId="12" type="noConversion"/>
  </si>
  <si>
    <t>- 건설기간</t>
    <phoneticPr fontId="12" type="noConversion"/>
  </si>
  <si>
    <t>(1) 기투입민간투자비</t>
    <phoneticPr fontId="12" type="noConversion"/>
  </si>
  <si>
    <t>총민간투자비</t>
    <phoneticPr fontId="12" type="noConversion"/>
  </si>
  <si>
    <t>건설자금이자</t>
    <phoneticPr fontId="12" type="noConversion"/>
  </si>
  <si>
    <t>민간투자자금</t>
    <phoneticPr fontId="12" type="noConversion"/>
  </si>
  <si>
    <t>(2) 기회비용</t>
    <phoneticPr fontId="12" type="noConversion"/>
  </si>
  <si>
    <t>경상 사업수익률</t>
    <phoneticPr fontId="12" type="noConversion"/>
  </si>
  <si>
    <t>실제 소비자물가지수 변동율</t>
    <phoneticPr fontId="12" type="noConversion"/>
  </si>
  <si>
    <t>사업수익율</t>
    <phoneticPr fontId="12" type="noConversion"/>
  </si>
  <si>
    <t>경상 사업수익율(연간)</t>
    <phoneticPr fontId="12" type="noConversion"/>
  </si>
  <si>
    <t>경상 사업수익율(분기)</t>
    <phoneticPr fontId="12" type="noConversion"/>
  </si>
  <si>
    <t>적용금액</t>
    <phoneticPr fontId="12" type="noConversion"/>
  </si>
  <si>
    <t>year</t>
    <phoneticPr fontId="12" type="noConversion"/>
  </si>
  <si>
    <t>index</t>
    <phoneticPr fontId="12" type="noConversion"/>
  </si>
  <si>
    <t>date</t>
    <phoneticPr fontId="12" type="noConversion"/>
  </si>
  <si>
    <t>nominal IRR</t>
    <phoneticPr fontId="12" type="noConversion"/>
  </si>
  <si>
    <t>(2)호의 미래기대수익의 현재가치</t>
    <phoneticPr fontId="12" type="noConversion"/>
  </si>
  <si>
    <t>A. 미래기대수익 가중평균 비율</t>
    <phoneticPr fontId="12" type="noConversion"/>
  </si>
  <si>
    <t>B. 협약상 세후 순현금흐름</t>
    <phoneticPr fontId="12" type="noConversion"/>
  </si>
  <si>
    <t>실시협약상 불변현금흐름</t>
    <phoneticPr fontId="12" type="noConversion"/>
  </si>
  <si>
    <t>실시협약 추정사용료수입(불변)</t>
    <phoneticPr fontId="12" type="noConversion"/>
  </si>
  <si>
    <t>b. 실제 사용료수입(불변환산)</t>
    <phoneticPr fontId="12" type="noConversion"/>
  </si>
  <si>
    <t>실제 CPI 변동분</t>
    <phoneticPr fontId="12" type="noConversion"/>
  </si>
  <si>
    <t>실제사용료수입(경상)</t>
    <phoneticPr fontId="12" type="noConversion"/>
  </si>
  <si>
    <t>추정사용료수입(경상)</t>
    <phoneticPr fontId="12" type="noConversion"/>
  </si>
  <si>
    <t>c. 비율(=b/a)</t>
    <phoneticPr fontId="12" type="noConversion"/>
  </si>
  <si>
    <t>d. 가중평균비율</t>
    <phoneticPr fontId="12" type="noConversion"/>
  </si>
  <si>
    <t>3년전 FY</t>
  </si>
  <si>
    <t>2년전 FY</t>
  </si>
  <si>
    <t>직전FY</t>
  </si>
  <si>
    <t>가중평균</t>
  </si>
  <si>
    <t>3. 비정치적 불가항력</t>
    <phoneticPr fontId="12" type="noConversion"/>
  </si>
  <si>
    <t>1.2 운영기간</t>
    <phoneticPr fontId="12" type="noConversion"/>
  </si>
  <si>
    <t>C. 비정치적 불가항력사유 발생시 민간투자자금 (A+B)</t>
    <phoneticPr fontId="12" type="noConversion"/>
  </si>
  <si>
    <t>표준 차입이자율</t>
    <phoneticPr fontId="12" type="noConversion"/>
  </si>
  <si>
    <t>국고채 유통수익률</t>
    <phoneticPr fontId="12" type="noConversion"/>
  </si>
  <si>
    <t>추가 이율</t>
    <phoneticPr fontId="12" type="noConversion"/>
  </si>
  <si>
    <t>표준 차입이자율(연간)</t>
    <phoneticPr fontId="12" type="noConversion"/>
  </si>
  <si>
    <t>표준 차입이자율(분기)</t>
    <phoneticPr fontId="12" type="noConversion"/>
  </si>
  <si>
    <t>표준차입이자율</t>
    <phoneticPr fontId="12" type="noConversion"/>
  </si>
  <si>
    <t>4. 정치적 불가항력</t>
    <phoneticPr fontId="12" type="noConversion"/>
  </si>
  <si>
    <t>C. 정치적 불가항력사유 발생시 민간투자자금 (A+B)</t>
    <phoneticPr fontId="12" type="noConversion"/>
  </si>
  <si>
    <t>경상사업수익률</t>
    <phoneticPr fontId="12" type="noConversion"/>
  </si>
  <si>
    <t>평균(연간)</t>
    <phoneticPr fontId="12" type="noConversion"/>
  </si>
  <si>
    <t>평균(분기)</t>
    <phoneticPr fontId="12" type="noConversion"/>
  </si>
  <si>
    <t>평균이자율</t>
    <phoneticPr fontId="12" type="noConversion"/>
  </si>
  <si>
    <t>사업시행자귀책</t>
    <phoneticPr fontId="12" type="noConversion"/>
  </si>
  <si>
    <t>정부귀책</t>
    <phoneticPr fontId="12" type="noConversion"/>
  </si>
  <si>
    <t>비정치적불가항력</t>
    <phoneticPr fontId="12" type="noConversion"/>
  </si>
  <si>
    <t>정치적불가항력</t>
    <phoneticPr fontId="12" type="noConversion"/>
  </si>
  <si>
    <t>보통주 자본금</t>
  </si>
  <si>
    <t>FI 자본금</t>
  </si>
  <si>
    <t>후순위</t>
    <phoneticPr fontId="12" type="noConversion"/>
  </si>
  <si>
    <t>사업자귀책시 선순위Cover비율</t>
    <phoneticPr fontId="12" type="noConversion"/>
  </si>
  <si>
    <t>최대부족액</t>
    <phoneticPr fontId="12" type="noConversion"/>
  </si>
  <si>
    <t>○ 법인운영비 계획</t>
    <phoneticPr fontId="12" type="noConversion"/>
  </si>
  <si>
    <t>(단위: 원)</t>
    <phoneticPr fontId="7" type="noConversion"/>
  </si>
  <si>
    <t>내       용</t>
    <phoneticPr fontId="12" type="noConversion"/>
  </si>
  <si>
    <t>'19~'59년합계</t>
    <phoneticPr fontId="12" type="noConversion"/>
  </si>
  <si>
    <t>변경 운영비</t>
    <phoneticPr fontId="12" type="noConversion"/>
  </si>
  <si>
    <t>동방 '18년 1분기 운영(적립금 1/4반영)</t>
    <phoneticPr fontId="12" type="noConversion"/>
  </si>
  <si>
    <t>운영비 원가</t>
    <phoneticPr fontId="7" type="noConversion"/>
  </si>
  <si>
    <t>유엔씨티 원가</t>
    <phoneticPr fontId="7" type="noConversion"/>
  </si>
  <si>
    <t>동방 원가</t>
    <phoneticPr fontId="7" type="noConversion"/>
  </si>
  <si>
    <t>인건비</t>
    <phoneticPr fontId="65" type="noConversion"/>
  </si>
  <si>
    <t>29명(UNCT 12명+신호수 17명)</t>
    <phoneticPr fontId="65" type="noConversion"/>
  </si>
  <si>
    <t>경비</t>
    <phoneticPr fontId="65" type="noConversion"/>
  </si>
  <si>
    <t xml:space="preserve"> 1. 재무회계팀</t>
    <phoneticPr fontId="65" type="noConversion"/>
  </si>
  <si>
    <t xml:space="preserve"> Ⅰ. 인건비</t>
    <phoneticPr fontId="12" type="noConversion"/>
  </si>
  <si>
    <t>5명(임원1, 팀장1, 팀원2)</t>
    <phoneticPr fontId="8" type="noConversion"/>
  </si>
  <si>
    <t>1. 임원 급여</t>
    <phoneticPr fontId="65" type="noConversion"/>
  </si>
  <si>
    <t xml:space="preserve">   1) 대표이사</t>
    <phoneticPr fontId="12" type="noConversion"/>
  </si>
  <si>
    <t>2) 총괄본부장</t>
    <phoneticPr fontId="65" type="noConversion"/>
  </si>
  <si>
    <t>2031년(374천teu)~2041년(511teu)에 근무</t>
    <phoneticPr fontId="12" type="noConversion"/>
  </si>
  <si>
    <t>2. 직원 급여</t>
    <phoneticPr fontId="65" type="noConversion"/>
  </si>
  <si>
    <t xml:space="preserve">   1) 부장</t>
    <phoneticPr fontId="12" type="noConversion"/>
  </si>
  <si>
    <t xml:space="preserve">   2) 차장</t>
    <phoneticPr fontId="12" type="noConversion"/>
  </si>
  <si>
    <t xml:space="preserve">   3) 과장</t>
    <phoneticPr fontId="12" type="noConversion"/>
  </si>
  <si>
    <t xml:space="preserve">   4) 대리</t>
    <phoneticPr fontId="12" type="noConversion"/>
  </si>
  <si>
    <t xml:space="preserve">   5) 4사</t>
    <phoneticPr fontId="12" type="noConversion"/>
  </si>
  <si>
    <t xml:space="preserve">   6) 5사</t>
    <phoneticPr fontId="12" type="noConversion"/>
  </si>
  <si>
    <t xml:space="preserve">   7) 6사</t>
    <phoneticPr fontId="12" type="noConversion"/>
  </si>
  <si>
    <t xml:space="preserve">   8) 직책수당</t>
    <phoneticPr fontId="12" type="noConversion"/>
  </si>
  <si>
    <t>3. 퇴직 급여</t>
    <phoneticPr fontId="65" type="noConversion"/>
  </si>
  <si>
    <t xml:space="preserve">   2) 총괄본부장</t>
    <phoneticPr fontId="65" type="noConversion"/>
  </si>
  <si>
    <t xml:space="preserve">   3) 직원</t>
    <phoneticPr fontId="12" type="noConversion"/>
  </si>
  <si>
    <t xml:space="preserve"> Ⅱ. 경비  </t>
    <phoneticPr fontId="12" type="noConversion"/>
  </si>
  <si>
    <t xml:space="preserve">  1. 복리후생비</t>
    <phoneticPr fontId="12" type="noConversion"/>
  </si>
  <si>
    <t xml:space="preserve">   1) 건강검진</t>
    <phoneticPr fontId="12" type="noConversion"/>
  </si>
  <si>
    <t>①대표이사</t>
    <phoneticPr fontId="65" type="noConversion"/>
  </si>
  <si>
    <t>60만원</t>
    <phoneticPr fontId="65" type="noConversion"/>
  </si>
  <si>
    <t>②총괄본부장</t>
    <phoneticPr fontId="65" type="noConversion"/>
  </si>
  <si>
    <t>③부장</t>
    <phoneticPr fontId="65" type="noConversion"/>
  </si>
  <si>
    <t>45만원</t>
    <phoneticPr fontId="65" type="noConversion"/>
  </si>
  <si>
    <t>④차장</t>
    <phoneticPr fontId="7" type="noConversion"/>
  </si>
  <si>
    <t>⑤과장</t>
    <phoneticPr fontId="65" type="noConversion"/>
  </si>
  <si>
    <t>32만원</t>
    <phoneticPr fontId="65" type="noConversion"/>
  </si>
  <si>
    <r>
      <t>⑥대리</t>
    </r>
    <r>
      <rPr>
        <sz val="12"/>
        <color theme="1"/>
        <rFont val="굴림"/>
        <family val="3"/>
        <charset val="129"/>
      </rPr>
      <t/>
    </r>
    <phoneticPr fontId="7" type="noConversion"/>
  </si>
  <si>
    <t>⑦4사</t>
    <phoneticPr fontId="12" type="noConversion"/>
  </si>
  <si>
    <t>⑧5사</t>
    <phoneticPr fontId="12" type="noConversion"/>
  </si>
  <si>
    <t>⑨6사</t>
    <phoneticPr fontId="65" type="noConversion"/>
  </si>
  <si>
    <t xml:space="preserve">   2) 직원경조사비</t>
    <phoneticPr fontId="12" type="noConversion"/>
  </si>
  <si>
    <t xml:space="preserve">   3) 학자금</t>
    <phoneticPr fontId="12" type="noConversion"/>
  </si>
  <si>
    <t>1200만원*2명</t>
    <phoneticPr fontId="12" type="noConversion"/>
  </si>
  <si>
    <t xml:space="preserve">   4) 명절선물대</t>
    <phoneticPr fontId="12" type="noConversion"/>
  </si>
  <si>
    <t>30만원/회*5명</t>
    <phoneticPr fontId="7" type="noConversion"/>
  </si>
  <si>
    <t xml:space="preserve">   5) 부서비</t>
    <phoneticPr fontId="65" type="noConversion"/>
  </si>
  <si>
    <t>30만원/월</t>
  </si>
  <si>
    <t xml:space="preserve">   6) 개인연금지원</t>
    <phoneticPr fontId="65" type="noConversion"/>
  </si>
  <si>
    <t>임원25/팀장20/차과장15/대리사원10</t>
    <phoneticPr fontId="65" type="noConversion"/>
  </si>
  <si>
    <t xml:space="preserve">   7) 체력단련비</t>
    <phoneticPr fontId="65" type="noConversion"/>
  </si>
  <si>
    <t>20만원/월</t>
    <phoneticPr fontId="7" type="noConversion"/>
  </si>
  <si>
    <t>③팀장</t>
    <phoneticPr fontId="65" type="noConversion"/>
  </si>
  <si>
    <t>15만원/월</t>
    <phoneticPr fontId="7" type="noConversion"/>
  </si>
  <si>
    <t>④대리</t>
    <phoneticPr fontId="7" type="noConversion"/>
  </si>
  <si>
    <t>8만원/월</t>
    <phoneticPr fontId="7" type="noConversion"/>
  </si>
  <si>
    <t>⑤사원6</t>
    <phoneticPr fontId="65" type="noConversion"/>
  </si>
  <si>
    <t xml:space="preserve">   8) 보험료</t>
    <phoneticPr fontId="65" type="noConversion"/>
  </si>
  <si>
    <t xml:space="preserve">     ①건강보험</t>
    <phoneticPr fontId="65" type="noConversion"/>
  </si>
  <si>
    <t>건강보험 : 급여총액 * 3.06%, 장기요양 : 건강보험료 * 3.275%</t>
    <phoneticPr fontId="12" type="noConversion"/>
  </si>
  <si>
    <t xml:space="preserve">     ②국민연금</t>
    <phoneticPr fontId="12" type="noConversion"/>
  </si>
  <si>
    <t>급여총액 * 4.5%(상한:202,050원)</t>
    <phoneticPr fontId="82" type="noConversion"/>
  </si>
  <si>
    <t xml:space="preserve">     ③고용보험</t>
    <phoneticPr fontId="12" type="noConversion"/>
  </si>
  <si>
    <t>급여총액 *0.65%</t>
    <phoneticPr fontId="82" type="noConversion"/>
  </si>
  <si>
    <t xml:space="preserve">     ④임금채권,산재</t>
    <phoneticPr fontId="12" type="noConversion"/>
  </si>
  <si>
    <t>급여총액 * 1.02%</t>
    <phoneticPr fontId="82" type="noConversion"/>
  </si>
  <si>
    <t xml:space="preserve">   9) 피복비</t>
    <phoneticPr fontId="65" type="noConversion"/>
  </si>
  <si>
    <t>25만원*14인</t>
    <phoneticPr fontId="12" type="noConversion"/>
  </si>
  <si>
    <t xml:space="preserve">  2. 여비교통비</t>
    <phoneticPr fontId="12" type="noConversion"/>
  </si>
  <si>
    <t xml:space="preserve">    1) 출장비</t>
    <phoneticPr fontId="12" type="noConversion"/>
  </si>
  <si>
    <t>120만원/월</t>
    <phoneticPr fontId="12" type="noConversion"/>
  </si>
  <si>
    <t>80만원/월</t>
    <phoneticPr fontId="12" type="noConversion"/>
  </si>
  <si>
    <t>70만원/월</t>
    <phoneticPr fontId="12" type="noConversion"/>
  </si>
  <si>
    <t>④대리</t>
    <phoneticPr fontId="65" type="noConversion"/>
  </si>
  <si>
    <t>15만원/인/연*2회</t>
    <phoneticPr fontId="12" type="noConversion"/>
  </si>
  <si>
    <t xml:space="preserve">    2) 교통비</t>
    <phoneticPr fontId="7" type="noConversion"/>
  </si>
  <si>
    <t xml:space="preserve">    3) 해외출장비</t>
    <phoneticPr fontId="12" type="noConversion"/>
  </si>
  <si>
    <t xml:space="preserve">  3. 지급수수료</t>
    <phoneticPr fontId="12" type="noConversion"/>
  </si>
  <si>
    <t xml:space="preserve">   1) 주민세 종업원분</t>
    <phoneticPr fontId="65" type="noConversion"/>
  </si>
  <si>
    <t xml:space="preserve">   2) 등기비용 등</t>
    <phoneticPr fontId="65" type="noConversion"/>
  </si>
  <si>
    <t xml:space="preserve">  4. 통신비</t>
    <phoneticPr fontId="12" type="noConversion"/>
  </si>
  <si>
    <t xml:space="preserve">   1) 통신비지원</t>
    <phoneticPr fontId="65" type="noConversion"/>
  </si>
  <si>
    <t>5만원*2인(팀장이상)</t>
    <phoneticPr fontId="7" type="noConversion"/>
  </si>
  <si>
    <t xml:space="preserve">   2) 우편요금</t>
    <phoneticPr fontId="65" type="noConversion"/>
  </si>
  <si>
    <t>10만원/월</t>
  </si>
  <si>
    <t xml:space="preserve">  5. 업무추진비</t>
    <phoneticPr fontId="12" type="noConversion"/>
  </si>
  <si>
    <t xml:space="preserve">   1) 업무추진비</t>
    <phoneticPr fontId="12" type="noConversion"/>
  </si>
  <si>
    <t>500만원/월</t>
    <phoneticPr fontId="12" type="noConversion"/>
  </si>
  <si>
    <t>30만원/월</t>
    <phoneticPr fontId="12" type="noConversion"/>
  </si>
  <si>
    <t xml:space="preserve">   2) 사업추진비</t>
    <phoneticPr fontId="12" type="noConversion"/>
  </si>
  <si>
    <t xml:space="preserve">  6. 도서인쇄비</t>
    <phoneticPr fontId="12" type="noConversion"/>
  </si>
  <si>
    <t xml:space="preserve">   1) 신문구독료</t>
    <phoneticPr fontId="12" type="noConversion"/>
  </si>
  <si>
    <t xml:space="preserve">   2) 도서구입비</t>
    <phoneticPr fontId="12" type="noConversion"/>
  </si>
  <si>
    <t>업무관련 및 교양도서</t>
    <phoneticPr fontId="7" type="noConversion"/>
  </si>
  <si>
    <t xml:space="preserve">   3) 기타 인쇄비 등</t>
    <phoneticPr fontId="12" type="noConversion"/>
  </si>
  <si>
    <t>감사보고서, 결산공고, 명함</t>
    <phoneticPr fontId="65" type="noConversion"/>
  </si>
  <si>
    <t xml:space="preserve">  7. 교육훈련비</t>
    <phoneticPr fontId="12" type="noConversion"/>
  </si>
  <si>
    <t>1) 교육훈련비</t>
    <phoneticPr fontId="12" type="noConversion"/>
  </si>
  <si>
    <t>2) 워크샵비용</t>
    <phoneticPr fontId="12" type="noConversion"/>
  </si>
  <si>
    <t>20만원/인/연*2회</t>
    <phoneticPr fontId="65" type="noConversion"/>
  </si>
  <si>
    <t>3) 기타교육비</t>
    <phoneticPr fontId="12" type="noConversion"/>
  </si>
  <si>
    <t>문화행사외</t>
    <phoneticPr fontId="65" type="noConversion"/>
  </si>
  <si>
    <t xml:space="preserve">  8. 용역비(지급수수료)</t>
    <phoneticPr fontId="12" type="noConversion"/>
  </si>
  <si>
    <t xml:space="preserve">   1) 회계감사료</t>
    <phoneticPr fontId="12" type="noConversion"/>
  </si>
  <si>
    <t>세무조정 5백만원, 회계 30백만원</t>
    <phoneticPr fontId="12" type="noConversion"/>
  </si>
  <si>
    <t xml:space="preserve">   2) 법률자문료</t>
    <phoneticPr fontId="12" type="noConversion"/>
  </si>
  <si>
    <t>상시자문: 30백만원/반기, 김앤장</t>
    <phoneticPr fontId="12" type="noConversion"/>
  </si>
  <si>
    <t xml:space="preserve">   4) 세무자문</t>
    <phoneticPr fontId="12" type="noConversion"/>
  </si>
  <si>
    <t>상시자문</t>
    <phoneticPr fontId="7" type="noConversion"/>
  </si>
  <si>
    <t xml:space="preserve">   5) 대리은행수수료</t>
    <phoneticPr fontId="65" type="noConversion"/>
  </si>
  <si>
    <t xml:space="preserve">   6) 회계프로그램</t>
    <phoneticPr fontId="7" type="noConversion"/>
  </si>
  <si>
    <t>더존(회계, 인사)</t>
    <phoneticPr fontId="12" type="noConversion"/>
  </si>
  <si>
    <t xml:space="preserve">   7) 복사기 임차료</t>
    <phoneticPr fontId="12" type="noConversion"/>
  </si>
  <si>
    <t>5층(1대)</t>
    <phoneticPr fontId="8" type="noConversion"/>
  </si>
  <si>
    <t xml:space="preserve">   8) 기타수수료</t>
    <phoneticPr fontId="12" type="noConversion"/>
  </si>
  <si>
    <t>등기, 인증서등</t>
    <phoneticPr fontId="65" type="noConversion"/>
  </si>
  <si>
    <t xml:space="preserve"> 2. 총무팀</t>
    <phoneticPr fontId="65" type="noConversion"/>
  </si>
  <si>
    <t>3명(팀장1, 팀원1, 계약1)</t>
    <phoneticPr fontId="65" type="noConversion"/>
  </si>
  <si>
    <t>1. 직원 급여</t>
    <phoneticPr fontId="65" type="noConversion"/>
  </si>
  <si>
    <t>2명</t>
    <phoneticPr fontId="12" type="noConversion"/>
  </si>
  <si>
    <t xml:space="preserve">   6) 계약직</t>
    <phoneticPr fontId="12" type="noConversion"/>
  </si>
  <si>
    <t>기본급 (최저임금 7,530원)</t>
    <phoneticPr fontId="7" type="noConversion"/>
  </si>
  <si>
    <t xml:space="preserve">   7) 직책수당</t>
    <phoneticPr fontId="12" type="noConversion"/>
  </si>
  <si>
    <t>2. 퇴직 급여</t>
    <phoneticPr fontId="65" type="noConversion"/>
  </si>
  <si>
    <t xml:space="preserve">   1) 건강진단</t>
    <phoneticPr fontId="12" type="noConversion"/>
  </si>
  <si>
    <t>①부장</t>
    <phoneticPr fontId="65" type="noConversion"/>
  </si>
  <si>
    <t>②차장</t>
    <phoneticPr fontId="65" type="noConversion"/>
  </si>
  <si>
    <t>③과장</t>
    <phoneticPr fontId="65" type="noConversion"/>
  </si>
  <si>
    <t>⑤사원4</t>
    <phoneticPr fontId="65" type="noConversion"/>
  </si>
  <si>
    <t>설날/추석 300,000원/인*2인</t>
    <phoneticPr fontId="12" type="noConversion"/>
  </si>
  <si>
    <t>30만원/월</t>
    <phoneticPr fontId="7" type="noConversion"/>
  </si>
  <si>
    <t xml:space="preserve">   6) 정수기렌탈료</t>
    <phoneticPr fontId="65" type="noConversion"/>
  </si>
  <si>
    <t xml:space="preserve">   7) 숙소운영비</t>
    <phoneticPr fontId="12" type="noConversion"/>
  </si>
  <si>
    <t>①임직원</t>
    <phoneticPr fontId="65" type="noConversion"/>
  </si>
  <si>
    <t>90만원/월</t>
    <phoneticPr fontId="12" type="noConversion"/>
  </si>
  <si>
    <t xml:space="preserve">   8) 체력단련비</t>
    <phoneticPr fontId="12" type="noConversion"/>
  </si>
  <si>
    <t>①팀장</t>
    <phoneticPr fontId="7" type="noConversion"/>
  </si>
  <si>
    <t>②팀원</t>
    <phoneticPr fontId="7" type="noConversion"/>
  </si>
  <si>
    <t xml:space="preserve">   9) 보험료</t>
    <phoneticPr fontId="65" type="noConversion"/>
  </si>
  <si>
    <t xml:space="preserve">     ①건강보험료</t>
    <phoneticPr fontId="65" type="noConversion"/>
  </si>
  <si>
    <t>급여총액 * 4.5%</t>
    <phoneticPr fontId="82" type="noConversion"/>
  </si>
  <si>
    <t>급여총액 * 0.65%</t>
    <phoneticPr fontId="7" type="noConversion"/>
  </si>
  <si>
    <t xml:space="preserve">     ④임금채권,산재보험</t>
    <phoneticPr fontId="12" type="noConversion"/>
  </si>
  <si>
    <t xml:space="preserve">   10) 생수대</t>
    <phoneticPr fontId="65" type="noConversion"/>
  </si>
  <si>
    <t>회사전체</t>
    <phoneticPr fontId="7" type="noConversion"/>
  </si>
  <si>
    <t xml:space="preserve">   11) 기타예비비</t>
    <phoneticPr fontId="7" type="noConversion"/>
  </si>
  <si>
    <t>15만원/인/월*2회</t>
    <phoneticPr fontId="12" type="noConversion"/>
  </si>
  <si>
    <t xml:space="preserve">    2) 교통비</t>
    <phoneticPr fontId="12" type="noConversion"/>
  </si>
  <si>
    <t xml:space="preserve">  3. 차량유지비</t>
    <phoneticPr fontId="12" type="noConversion"/>
  </si>
  <si>
    <t xml:space="preserve">   1) 유류대</t>
    <phoneticPr fontId="12" type="noConversion"/>
  </si>
  <si>
    <t>제네시스 1대 (300L)</t>
    <phoneticPr fontId="65" type="noConversion"/>
  </si>
  <si>
    <t>②업무용차량</t>
    <phoneticPr fontId="65" type="noConversion"/>
  </si>
  <si>
    <t>모닝 1대 (120L)</t>
    <phoneticPr fontId="7" type="noConversion"/>
  </si>
  <si>
    <t>③업무용차량</t>
    <phoneticPr fontId="65" type="noConversion"/>
  </si>
  <si>
    <t xml:space="preserve">중형 4대 (300L*4) </t>
    <phoneticPr fontId="7" type="noConversion"/>
  </si>
  <si>
    <t>④업무용차량</t>
    <phoneticPr fontId="12" type="noConversion"/>
  </si>
  <si>
    <t>스타렉스 1대 (300L)</t>
    <phoneticPr fontId="7" type="noConversion"/>
  </si>
  <si>
    <t xml:space="preserve">   2) 차량유지비</t>
    <phoneticPr fontId="65" type="noConversion"/>
  </si>
  <si>
    <t>수리비, 소모품, 세차료, 통행료등</t>
    <phoneticPr fontId="65" type="noConversion"/>
  </si>
  <si>
    <t xml:space="preserve">제네시스 1대 </t>
    <phoneticPr fontId="65" type="noConversion"/>
  </si>
  <si>
    <t xml:space="preserve">모닝 1대 </t>
    <phoneticPr fontId="7" type="noConversion"/>
  </si>
  <si>
    <t xml:space="preserve">중형 4대 </t>
    <phoneticPr fontId="7" type="noConversion"/>
  </si>
  <si>
    <t xml:space="preserve">스타렉스 1대 </t>
    <phoneticPr fontId="12" type="noConversion"/>
  </si>
  <si>
    <t xml:space="preserve">   1) 통신비지원</t>
    <phoneticPr fontId="12" type="noConversion"/>
  </si>
  <si>
    <t>팀장 5만원/월</t>
    <phoneticPr fontId="7" type="noConversion"/>
  </si>
  <si>
    <t xml:space="preserve">   2) 전화요금</t>
  </si>
  <si>
    <t>회사(현장포함) 전체</t>
    <phoneticPr fontId="7" type="noConversion"/>
  </si>
  <si>
    <t xml:space="preserve">   3) 우편료</t>
    <phoneticPr fontId="65" type="noConversion"/>
  </si>
  <si>
    <t xml:space="preserve">   4) 단말기 사용료</t>
    <phoneticPr fontId="65" type="noConversion"/>
  </si>
  <si>
    <t xml:space="preserve">아이패드(55대) </t>
    <phoneticPr fontId="65" type="noConversion"/>
  </si>
  <si>
    <t xml:space="preserve">   5) 통신장비임차료</t>
    <phoneticPr fontId="65" type="noConversion"/>
  </si>
  <si>
    <t>인터넷+vpn(LTE)장비임차료</t>
    <phoneticPr fontId="65" type="noConversion"/>
  </si>
  <si>
    <t xml:space="preserve">   6) 정보통신요금</t>
    <phoneticPr fontId="12" type="noConversion"/>
  </si>
  <si>
    <t>EDI사용료 (280원/teu)</t>
    <phoneticPr fontId="65" type="noConversion"/>
  </si>
  <si>
    <t xml:space="preserve">  6. 교육훈련비</t>
    <phoneticPr fontId="12" type="noConversion"/>
  </si>
  <si>
    <t>1년 1회 2인, 위험물운송안전교육</t>
    <phoneticPr fontId="7" type="noConversion"/>
  </si>
  <si>
    <t xml:space="preserve">  7. 사무용품비</t>
    <phoneticPr fontId="12" type="noConversion"/>
  </si>
  <si>
    <t xml:space="preserve">   1) 청소용품</t>
    <phoneticPr fontId="82" type="noConversion"/>
  </si>
  <si>
    <t xml:space="preserve">   2) 전산비품</t>
    <phoneticPr fontId="65" type="noConversion"/>
  </si>
  <si>
    <t>UPS, 전산소모품등</t>
    <phoneticPr fontId="12" type="noConversion"/>
  </si>
  <si>
    <t xml:space="preserve">   3) 소모품비</t>
    <phoneticPr fontId="65" type="noConversion"/>
  </si>
  <si>
    <t xml:space="preserve">   4) 소프트웨어구입비</t>
    <phoneticPr fontId="65" type="noConversion"/>
  </si>
  <si>
    <t>V3 라이센스등</t>
    <phoneticPr fontId="12" type="noConversion"/>
  </si>
  <si>
    <t xml:space="preserve">   5) 복사용지,사무용품</t>
    <phoneticPr fontId="65" type="noConversion"/>
  </si>
  <si>
    <t>사무용품</t>
    <phoneticPr fontId="12" type="noConversion"/>
  </si>
  <si>
    <t xml:space="preserve">  8. 보험료</t>
    <phoneticPr fontId="65" type="noConversion"/>
  </si>
  <si>
    <t xml:space="preserve">   1) 가스사고책임보험</t>
    <phoneticPr fontId="82" type="noConversion"/>
  </si>
  <si>
    <t xml:space="preserve">   2) 재물손해담보</t>
    <phoneticPr fontId="65" type="noConversion"/>
  </si>
  <si>
    <t xml:space="preserve">   3) 예정이익상실담보</t>
    <phoneticPr fontId="65" type="noConversion"/>
  </si>
  <si>
    <t xml:space="preserve">   4) 영업배상책임보험</t>
    <phoneticPr fontId="65" type="noConversion"/>
  </si>
  <si>
    <t xml:space="preserve">   5) 근로자재해보험</t>
    <phoneticPr fontId="65" type="noConversion"/>
  </si>
  <si>
    <t xml:space="preserve">   6) 화재보험</t>
    <phoneticPr fontId="65" type="noConversion"/>
  </si>
  <si>
    <t xml:space="preserve">   7) 신원보증보험료</t>
    <phoneticPr fontId="12" type="noConversion"/>
  </si>
  <si>
    <t xml:space="preserve">   8) 직원상해보험료</t>
    <phoneticPr fontId="65" type="noConversion"/>
  </si>
  <si>
    <t xml:space="preserve">   9) 자동차보험료</t>
    <phoneticPr fontId="65" type="noConversion"/>
  </si>
  <si>
    <t>제네시스1,중형4,스타렉스1,모닝1,포터2, R/S, T/H, F/L</t>
    <phoneticPr fontId="7" type="noConversion"/>
  </si>
  <si>
    <t xml:space="preserve">   10) 기타보험료</t>
    <phoneticPr fontId="65" type="noConversion"/>
  </si>
  <si>
    <t>스쿠터 20만원/년</t>
    <phoneticPr fontId="7" type="noConversion"/>
  </si>
  <si>
    <t xml:space="preserve">  9. 제세공과금</t>
    <phoneticPr fontId="12" type="noConversion"/>
  </si>
  <si>
    <t xml:space="preserve">   1) 주민세(법인균등할)</t>
    <phoneticPr fontId="12" type="noConversion"/>
  </si>
  <si>
    <t xml:space="preserve">   2) 수입인지(계약서)</t>
    <phoneticPr fontId="12" type="noConversion"/>
  </si>
  <si>
    <t xml:space="preserve">   3) 각종협회비</t>
    <phoneticPr fontId="12" type="noConversion"/>
  </si>
  <si>
    <t xml:space="preserve">   4) 면허세</t>
    <phoneticPr fontId="82" type="noConversion"/>
  </si>
  <si>
    <t>항만하역, 위험물저장소등</t>
    <phoneticPr fontId="7" type="noConversion"/>
  </si>
  <si>
    <t xml:space="preserve">   5) 자동차세</t>
    <phoneticPr fontId="82" type="noConversion"/>
  </si>
  <si>
    <t xml:space="preserve">   6) 주민세(재산분)</t>
    <phoneticPr fontId="12" type="noConversion"/>
  </si>
  <si>
    <t xml:space="preserve">  10. 수도광열비</t>
    <phoneticPr fontId="12" type="noConversion"/>
  </si>
  <si>
    <t xml:space="preserve">   1) 사무실/야드 전력료</t>
    <phoneticPr fontId="12" type="noConversion"/>
  </si>
  <si>
    <t>냉난방, 사무실, 조명등 145원/kwh기준</t>
    <phoneticPr fontId="7" type="noConversion"/>
  </si>
  <si>
    <t xml:space="preserve">   2) 수도료</t>
    <phoneticPr fontId="12" type="noConversion"/>
  </si>
  <si>
    <t>운영건물</t>
  </si>
  <si>
    <t xml:space="preserve">  11. 하역팀 피복/안전용구</t>
    <phoneticPr fontId="65" type="noConversion"/>
  </si>
  <si>
    <t xml:space="preserve">   1) 피복비</t>
    <phoneticPr fontId="65" type="noConversion"/>
  </si>
  <si>
    <t>①</t>
    <phoneticPr fontId="65" type="noConversion"/>
  </si>
  <si>
    <t>②직원</t>
    <phoneticPr fontId="65" type="noConversion"/>
  </si>
  <si>
    <t>③신호수</t>
    <phoneticPr fontId="65" type="noConversion"/>
  </si>
  <si>
    <t xml:space="preserve">   2) 안전용구</t>
    <phoneticPr fontId="65" type="noConversion"/>
  </si>
  <si>
    <t>장갑,안전화 등</t>
  </si>
  <si>
    <t xml:space="preserve">  12. 용역비</t>
    <phoneticPr fontId="12" type="noConversion"/>
  </si>
  <si>
    <t>용역비인상율</t>
    <phoneticPr fontId="12" type="noConversion"/>
  </si>
  <si>
    <t xml:space="preserve">   1) 시설물관리도급</t>
    <phoneticPr fontId="65" type="noConversion"/>
  </si>
  <si>
    <t xml:space="preserve">   2) 미화(영선)도급</t>
    <phoneticPr fontId="65" type="noConversion"/>
  </si>
  <si>
    <t xml:space="preserve">   3) 폐기물처리</t>
    <phoneticPr fontId="65" type="noConversion"/>
  </si>
  <si>
    <t>신흥에너텍(잡유, 산업폐기물등)</t>
    <phoneticPr fontId="7" type="noConversion"/>
  </si>
  <si>
    <t xml:space="preserve">   4) 시설물정기점검</t>
    <phoneticPr fontId="65" type="noConversion"/>
  </si>
  <si>
    <t>수중점검, 정밀점검</t>
  </si>
  <si>
    <t xml:space="preserve">   5) 차량임차료</t>
    <phoneticPr fontId="12" type="noConversion"/>
  </si>
  <si>
    <t xml:space="preserve">   6) 안전/보건관리대행</t>
    <phoneticPr fontId="65" type="noConversion"/>
  </si>
  <si>
    <t>관리자 선임비</t>
  </si>
  <si>
    <t xml:space="preserve">   7) 노무관리 자문</t>
    <phoneticPr fontId="65" type="noConversion"/>
  </si>
  <si>
    <t xml:space="preserve">   8) 경비용역료</t>
    <phoneticPr fontId="65" type="noConversion"/>
  </si>
  <si>
    <t xml:space="preserve">   9) 저수조 청소</t>
    <phoneticPr fontId="65" type="noConversion"/>
  </si>
  <si>
    <t>연2회</t>
  </si>
  <si>
    <t xml:space="preserve">   10) 소방점검</t>
    <phoneticPr fontId="89" type="noConversion"/>
  </si>
  <si>
    <t xml:space="preserve">   11) 승강기점검료</t>
    <phoneticPr fontId="89" type="noConversion"/>
  </si>
  <si>
    <t>세영엘리베이터</t>
  </si>
  <si>
    <t xml:space="preserve">   12) 전기설비점검</t>
    <phoneticPr fontId="89" type="noConversion"/>
  </si>
  <si>
    <t xml:space="preserve">   13) 기계기구점검</t>
    <phoneticPr fontId="65" type="noConversion"/>
  </si>
  <si>
    <t>토양,상수도,승강기,정압기분해점검등</t>
  </si>
  <si>
    <t>①특정토양오염검사</t>
    <phoneticPr fontId="65" type="noConversion"/>
  </si>
  <si>
    <t>5년단위</t>
    <phoneticPr fontId="12" type="noConversion"/>
  </si>
  <si>
    <t>②상수도 수질검사</t>
    <phoneticPr fontId="65" type="noConversion"/>
  </si>
  <si>
    <t>③정압기 분해점검</t>
    <phoneticPr fontId="65" type="noConversion"/>
  </si>
  <si>
    <t>④수전시설 정기검사</t>
    <phoneticPr fontId="65" type="noConversion"/>
  </si>
  <si>
    <t>⑤승강기 정기검사</t>
    <phoneticPr fontId="65" type="noConversion"/>
  </si>
  <si>
    <t xml:space="preserve">   14) 부두경비료</t>
    <phoneticPr fontId="65" type="noConversion"/>
  </si>
  <si>
    <t>SECOM (에스원)</t>
    <phoneticPr fontId="7" type="noConversion"/>
  </si>
  <si>
    <t xml:space="preserve">  13. 시설물 관리</t>
    <phoneticPr fontId="65" type="noConversion"/>
  </si>
  <si>
    <t xml:space="preserve"> 3. 운영팀</t>
    <phoneticPr fontId="65" type="noConversion"/>
  </si>
  <si>
    <t>20명(팀장1, 팀원2, 신호수17)</t>
    <phoneticPr fontId="65" type="noConversion"/>
  </si>
  <si>
    <t xml:space="preserve">   5) 사원</t>
    <phoneticPr fontId="12" type="noConversion"/>
  </si>
  <si>
    <t xml:space="preserve">   6) 직책수당</t>
    <phoneticPr fontId="12" type="noConversion"/>
  </si>
  <si>
    <t xml:space="preserve">3. 직원급여(신호수) </t>
    <phoneticPr fontId="65" type="noConversion"/>
  </si>
  <si>
    <t>1) 신호수 (17명)</t>
    <phoneticPr fontId="7" type="noConversion"/>
  </si>
  <si>
    <t>인</t>
    <phoneticPr fontId="7" type="noConversion"/>
  </si>
  <si>
    <t>2) 포맨 (6명)</t>
    <phoneticPr fontId="7" type="noConversion"/>
  </si>
  <si>
    <t>300,000원/인 ⅹ 3명</t>
    <phoneticPr fontId="12" type="noConversion"/>
  </si>
  <si>
    <t xml:space="preserve">   6) 체력단련비</t>
    <phoneticPr fontId="65" type="noConversion"/>
  </si>
  <si>
    <t>①팀장</t>
    <phoneticPr fontId="65" type="noConversion"/>
  </si>
  <si>
    <t>②팀원</t>
    <phoneticPr fontId="65" type="noConversion"/>
  </si>
  <si>
    <t>③팀원</t>
    <phoneticPr fontId="65" type="noConversion"/>
  </si>
  <si>
    <t xml:space="preserve">   7) 보험료</t>
    <phoneticPr fontId="65" type="noConversion"/>
  </si>
  <si>
    <t xml:space="preserve">   ①건강보험료</t>
    <phoneticPr fontId="65" type="noConversion"/>
  </si>
  <si>
    <t>건강보험 : 급여총액 * 3.06%, 장기요양 : 6.55%</t>
    <phoneticPr fontId="12" type="noConversion"/>
  </si>
  <si>
    <t xml:space="preserve">   ②국민연금</t>
    <phoneticPr fontId="12" type="noConversion"/>
  </si>
  <si>
    <t xml:space="preserve">   ③고용보험</t>
    <phoneticPr fontId="12" type="noConversion"/>
  </si>
  <si>
    <t>급여총액 * 0.65%</t>
    <phoneticPr fontId="82" type="noConversion"/>
  </si>
  <si>
    <t xml:space="preserve">   ④산재보험료</t>
    <phoneticPr fontId="12" type="noConversion"/>
  </si>
  <si>
    <t xml:space="preserve">   8) 보험료(신호수)</t>
    <phoneticPr fontId="65" type="noConversion"/>
  </si>
  <si>
    <t>건강보험 : 급여총액 * 3.06%, 장기요양 : 건강보험료 * 6.55%</t>
    <phoneticPr fontId="65" type="noConversion"/>
  </si>
  <si>
    <t xml:space="preserve">     ②국민연금</t>
    <phoneticPr fontId="65" type="noConversion"/>
  </si>
  <si>
    <t>상한가(202,050원)*17명</t>
    <phoneticPr fontId="7" type="noConversion"/>
  </si>
  <si>
    <t xml:space="preserve">     ③고용보험</t>
    <phoneticPr fontId="65" type="noConversion"/>
  </si>
  <si>
    <t>급여총액 *0.3%</t>
    <phoneticPr fontId="65" type="noConversion"/>
  </si>
  <si>
    <t xml:space="preserve">     ④임금채권,산재보험</t>
    <phoneticPr fontId="65" type="noConversion"/>
  </si>
  <si>
    <t>급여총액 * 0.3%</t>
    <phoneticPr fontId="65" type="noConversion"/>
  </si>
  <si>
    <t xml:space="preserve">   9) 기타예비비</t>
    <phoneticPr fontId="7" type="noConversion"/>
  </si>
  <si>
    <t xml:space="preserve">   1) 출장비</t>
    <phoneticPr fontId="12" type="noConversion"/>
  </si>
  <si>
    <t>15만원/연*4회</t>
    <phoneticPr fontId="12" type="noConversion"/>
  </si>
  <si>
    <t>③사원</t>
    <phoneticPr fontId="65" type="noConversion"/>
  </si>
  <si>
    <t xml:space="preserve">   2) 유류대</t>
    <phoneticPr fontId="12" type="noConversion"/>
  </si>
  <si>
    <t>1500원/L</t>
    <phoneticPr fontId="12" type="noConversion"/>
  </si>
  <si>
    <t xml:space="preserve">   3) 해외출장비</t>
    <phoneticPr fontId="12" type="noConversion"/>
  </si>
  <si>
    <t xml:space="preserve">  3. 통신비</t>
    <phoneticPr fontId="12" type="noConversion"/>
  </si>
  <si>
    <t>1) 통신비지원</t>
    <phoneticPr fontId="65" type="noConversion"/>
  </si>
  <si>
    <t>2) 우편료</t>
    <phoneticPr fontId="65" type="noConversion"/>
  </si>
  <si>
    <t xml:space="preserve">  4. 업무추진비</t>
    <phoneticPr fontId="12" type="noConversion"/>
  </si>
  <si>
    <t xml:space="preserve">  5. 제수수료</t>
    <phoneticPr fontId="12" type="noConversion"/>
  </si>
  <si>
    <t>1) 보안 점검 수수료</t>
    <phoneticPr fontId="65" type="noConversion"/>
  </si>
  <si>
    <t>중간보안심사</t>
    <phoneticPr fontId="7" type="noConversion"/>
  </si>
  <si>
    <t>2) 설영특허수수료</t>
    <phoneticPr fontId="65" type="noConversion"/>
  </si>
  <si>
    <t xml:space="preserve">510,000원 분기별 년 4회, 보세구역 </t>
    <phoneticPr fontId="65" type="noConversion"/>
  </si>
  <si>
    <t>3) 공인인증서 갱신</t>
    <phoneticPr fontId="7" type="noConversion"/>
  </si>
  <si>
    <t>년 1회(세관업무용)</t>
    <phoneticPr fontId="7" type="noConversion"/>
  </si>
  <si>
    <t>4) 보안협의회 협회비</t>
    <phoneticPr fontId="65" type="noConversion"/>
  </si>
  <si>
    <t>년 1회 (4월납)</t>
    <phoneticPr fontId="65" type="noConversion"/>
  </si>
  <si>
    <t>5) 보안장비 유지비(매출인식)</t>
    <phoneticPr fontId="7" type="noConversion"/>
  </si>
  <si>
    <t>보안장비 (16개) 교체 및 보수, 소모품 구매</t>
    <phoneticPr fontId="7" type="noConversion"/>
  </si>
  <si>
    <t>6) 무전기 정기검사 및 재허가</t>
    <phoneticPr fontId="65" type="noConversion"/>
  </si>
  <si>
    <t>기지국 1개국, 육상이동국 19개국, 간이무선국 2개국</t>
    <phoneticPr fontId="7" type="noConversion"/>
  </si>
  <si>
    <t>7) 무전기 전파사용료</t>
    <phoneticPr fontId="65" type="noConversion"/>
  </si>
  <si>
    <t>139,460원 분기별 년 4회</t>
    <phoneticPr fontId="7" type="noConversion"/>
  </si>
  <si>
    <t>8) 무전기 면허세</t>
    <phoneticPr fontId="65" type="noConversion"/>
  </si>
  <si>
    <t>40,500원 x 47개국 (년 1회)</t>
    <phoneticPr fontId="7" type="noConversion"/>
  </si>
  <si>
    <t>9) 무전기 구매</t>
    <phoneticPr fontId="12" type="noConversion"/>
  </si>
  <si>
    <t>10) OCR/CPS 유지관리</t>
    <phoneticPr fontId="12" type="noConversion"/>
  </si>
  <si>
    <t>ocr/cps 유지보수(이노메트릭스)</t>
    <phoneticPr fontId="65" type="noConversion"/>
  </si>
  <si>
    <t>11) GATE 출입통제시스템</t>
    <phoneticPr fontId="7" type="noConversion"/>
  </si>
  <si>
    <t>유지비용(설치비용의 10% 책정(총 설치비 22백만원)</t>
    <phoneticPr fontId="7" type="noConversion"/>
  </si>
  <si>
    <t>12) 복사기 임대</t>
    <phoneticPr fontId="12" type="noConversion"/>
  </si>
  <si>
    <t>전산실,통제실</t>
    <phoneticPr fontId="65" type="noConversion"/>
  </si>
  <si>
    <t>13) 기타 소모품</t>
    <phoneticPr fontId="7" type="noConversion"/>
  </si>
  <si>
    <t>신호수방한용품, gate슬림용지</t>
    <phoneticPr fontId="7" type="noConversion"/>
  </si>
  <si>
    <t>14) 상용화 보상금</t>
    <phoneticPr fontId="12" type="noConversion"/>
  </si>
  <si>
    <t>항운노조복리비 지급</t>
    <phoneticPr fontId="65" type="noConversion"/>
  </si>
  <si>
    <t>15) 보상금</t>
    <phoneticPr fontId="7" type="noConversion"/>
  </si>
  <si>
    <t>16) 기타 수수료</t>
    <phoneticPr fontId="12" type="noConversion"/>
  </si>
  <si>
    <t xml:space="preserve"> </t>
    <phoneticPr fontId="7" type="noConversion"/>
  </si>
  <si>
    <t xml:space="preserve">   1) 보안교육</t>
    <phoneticPr fontId="65" type="noConversion"/>
  </si>
  <si>
    <t>3명(인당 160,000)</t>
    <phoneticPr fontId="65" type="noConversion"/>
  </si>
  <si>
    <t xml:space="preserve">   2) 보세사교육</t>
    <phoneticPr fontId="65" type="noConversion"/>
  </si>
  <si>
    <t>연 1회</t>
    <phoneticPr fontId="65" type="noConversion"/>
  </si>
  <si>
    <t xml:space="preserve">   3) 기타교육</t>
    <phoneticPr fontId="65" type="noConversion"/>
  </si>
  <si>
    <t>제한무선통신사</t>
    <phoneticPr fontId="7" type="noConversion"/>
  </si>
  <si>
    <t xml:space="preserve">  7. 용역비</t>
    <phoneticPr fontId="65" type="noConversion"/>
  </si>
  <si>
    <t xml:space="preserve">   1) 운영시스템</t>
    <phoneticPr fontId="65" type="noConversion"/>
  </si>
  <si>
    <t>아이콘트롤스(2018년 2%)</t>
    <phoneticPr fontId="65" type="noConversion"/>
  </si>
  <si>
    <t xml:space="preserve">   2) 통제실 조업비</t>
    <phoneticPr fontId="65" type="noConversion"/>
  </si>
  <si>
    <t>한승(13명)</t>
    <phoneticPr fontId="65" type="noConversion"/>
  </si>
  <si>
    <t xml:space="preserve">   3) CFS 용역비</t>
    <phoneticPr fontId="65" type="noConversion"/>
  </si>
  <si>
    <t>①지게차사용료</t>
    <phoneticPr fontId="65" type="noConversion"/>
  </si>
  <si>
    <t>②기타작업료</t>
    <phoneticPr fontId="65" type="noConversion"/>
  </si>
  <si>
    <t xml:space="preserve">  8. 홍보비</t>
    <phoneticPr fontId="12" type="noConversion"/>
  </si>
  <si>
    <t>홈페이지 개편('17년 예산에서 이월)</t>
    <phoneticPr fontId="65" type="noConversion"/>
  </si>
  <si>
    <t xml:space="preserve"> 4. 장비팀</t>
    <phoneticPr fontId="65" type="noConversion"/>
  </si>
  <si>
    <t>3명(팀장1, 팀원2)</t>
    <phoneticPr fontId="65" type="noConversion"/>
  </si>
  <si>
    <t>3명</t>
  </si>
  <si>
    <t>① 팀장</t>
    <phoneticPr fontId="65" type="noConversion"/>
  </si>
  <si>
    <t>② 팀원</t>
    <phoneticPr fontId="65" type="noConversion"/>
  </si>
  <si>
    <t xml:space="preserve">   ③ 팀원</t>
    <phoneticPr fontId="12" type="noConversion"/>
  </si>
  <si>
    <t xml:space="preserve">   ① 건강보험</t>
    <phoneticPr fontId="65" type="noConversion"/>
  </si>
  <si>
    <t xml:space="preserve">   ② 국민연금</t>
    <phoneticPr fontId="12" type="noConversion"/>
  </si>
  <si>
    <t xml:space="preserve">   ③ 고용보험</t>
    <phoneticPr fontId="12" type="noConversion"/>
  </si>
  <si>
    <t xml:space="preserve">   ④ 산재보험</t>
    <phoneticPr fontId="12" type="noConversion"/>
  </si>
  <si>
    <t xml:space="preserve">   1) 시외출장비</t>
    <phoneticPr fontId="12" type="noConversion"/>
  </si>
  <si>
    <t>① 부장</t>
    <phoneticPr fontId="65" type="noConversion"/>
  </si>
  <si>
    <t>② 차장</t>
    <phoneticPr fontId="65" type="noConversion"/>
  </si>
  <si>
    <t xml:space="preserve">   ③ 과장</t>
    <phoneticPr fontId="12" type="noConversion"/>
  </si>
  <si>
    <t xml:space="preserve">   2) 교통비(유류대)</t>
    <phoneticPr fontId="12" type="noConversion"/>
  </si>
  <si>
    <t>통신비지원</t>
    <phoneticPr fontId="65" type="noConversion"/>
  </si>
  <si>
    <t xml:space="preserve">  6. 제수수료</t>
    <phoneticPr fontId="12" type="noConversion"/>
  </si>
  <si>
    <t>항만시설장비정기검사, 건설기계정기검사</t>
    <phoneticPr fontId="65" type="noConversion"/>
  </si>
  <si>
    <t xml:space="preserve">     ① 검사수수료</t>
    <phoneticPr fontId="65" type="noConversion"/>
  </si>
  <si>
    <t xml:space="preserve">     ② 감리비</t>
    <phoneticPr fontId="65" type="noConversion"/>
  </si>
  <si>
    <t>신규장비 감리비</t>
  </si>
  <si>
    <t xml:space="preserve">     ③ 기타지급수수료</t>
    <phoneticPr fontId="7" type="noConversion"/>
  </si>
  <si>
    <t>차고지 관리비</t>
  </si>
  <si>
    <t xml:space="preserve">  7. 세금과 공과금</t>
    <phoneticPr fontId="65" type="noConversion"/>
  </si>
  <si>
    <t xml:space="preserve">  8. 용역비</t>
    <phoneticPr fontId="65" type="noConversion"/>
  </si>
  <si>
    <t>1) 장비기사 조업비</t>
    <phoneticPr fontId="65" type="noConversion"/>
  </si>
  <si>
    <t>2) 장비기사 추가투입</t>
    <phoneticPr fontId="65" type="noConversion"/>
  </si>
  <si>
    <t>3) 정비기사 조업비</t>
    <phoneticPr fontId="65" type="noConversion"/>
  </si>
  <si>
    <t xml:space="preserve">  9. 장비 전력료</t>
    <phoneticPr fontId="12" type="noConversion"/>
  </si>
  <si>
    <t>전력단가 : 145원 적용</t>
    <phoneticPr fontId="7" type="noConversion"/>
  </si>
  <si>
    <t>1) Gantry Crane</t>
    <phoneticPr fontId="65" type="noConversion"/>
  </si>
  <si>
    <t>2) Transfer Crane</t>
    <phoneticPr fontId="65" type="noConversion"/>
  </si>
  <si>
    <t xml:space="preserve">  10. 장비유류대</t>
    <phoneticPr fontId="65" type="noConversion"/>
  </si>
  <si>
    <t>경유단가 : 1,200원 적용</t>
    <phoneticPr fontId="7" type="noConversion"/>
  </si>
  <si>
    <t>1) Transfer Crane</t>
    <phoneticPr fontId="65" type="noConversion"/>
  </si>
  <si>
    <t xml:space="preserve"> '18년5월부 11대 전기로 변경</t>
    <phoneticPr fontId="7" type="noConversion"/>
  </si>
  <si>
    <t>2) Yard Tracter</t>
    <phoneticPr fontId="65" type="noConversion"/>
  </si>
  <si>
    <t>3) Reach Staker</t>
    <phoneticPr fontId="65" type="noConversion"/>
  </si>
  <si>
    <t>4) Top Handler</t>
    <phoneticPr fontId="65" type="noConversion"/>
  </si>
  <si>
    <t>5) Folk Lift(7톤)</t>
    <phoneticPr fontId="65" type="noConversion"/>
  </si>
  <si>
    <t>6) Fork Lift(3톤)</t>
    <phoneticPr fontId="65" type="noConversion"/>
  </si>
  <si>
    <t>7) 기타 장비 유류대</t>
    <phoneticPr fontId="65" type="noConversion"/>
  </si>
  <si>
    <t>포터외</t>
    <phoneticPr fontId="65" type="noConversion"/>
  </si>
  <si>
    <t xml:space="preserve">  11. 소모품, 수리비</t>
    <phoneticPr fontId="65" type="noConversion"/>
  </si>
  <si>
    <t>1) Gantry Crane</t>
  </si>
  <si>
    <t>5대</t>
    <phoneticPr fontId="7" type="noConversion"/>
  </si>
  <si>
    <t>2) Transfer Crane</t>
  </si>
  <si>
    <t>14대</t>
    <phoneticPr fontId="7" type="noConversion"/>
  </si>
  <si>
    <t>3) Yard Tracter</t>
  </si>
  <si>
    <t>31대</t>
    <phoneticPr fontId="7" type="noConversion"/>
  </si>
  <si>
    <t>4) Reach Staker</t>
  </si>
  <si>
    <t>2대</t>
    <phoneticPr fontId="7" type="noConversion"/>
  </si>
  <si>
    <t>5) Top Handler</t>
  </si>
  <si>
    <t>6) Yard Chassis</t>
    <phoneticPr fontId="7" type="noConversion"/>
  </si>
  <si>
    <t>36대</t>
    <phoneticPr fontId="7" type="noConversion"/>
  </si>
  <si>
    <t>7) Skid loader</t>
    <phoneticPr fontId="7" type="noConversion"/>
  </si>
  <si>
    <t>동방에 인수</t>
    <phoneticPr fontId="7" type="noConversion"/>
  </si>
  <si>
    <t>8) Fork Lift</t>
    <phoneticPr fontId="65" type="noConversion"/>
  </si>
  <si>
    <t>9) 소모품</t>
    <phoneticPr fontId="65" type="noConversion"/>
  </si>
  <si>
    <t>부산신항 2-4개장</t>
    <phoneticPr fontId="12" type="noConversion"/>
  </si>
  <si>
    <t>[요약] 용역비(물동량 연동)</t>
    <phoneticPr fontId="7" type="noConversion"/>
  </si>
  <si>
    <t>장비/정비</t>
    <phoneticPr fontId="7" type="noConversion"/>
  </si>
  <si>
    <t>경비</t>
    <phoneticPr fontId="7" type="noConversion"/>
  </si>
  <si>
    <t>미화/시설</t>
    <phoneticPr fontId="7" type="noConversion"/>
  </si>
  <si>
    <t>전산시스템</t>
    <phoneticPr fontId="7" type="noConversion"/>
  </si>
  <si>
    <t>물동량별 통제실 도급비</t>
    <phoneticPr fontId="7" type="noConversion"/>
  </si>
  <si>
    <t>[단위:천원]</t>
  </si>
  <si>
    <t>인원</t>
    <phoneticPr fontId="46" type="noConversion"/>
  </si>
  <si>
    <t>2020년 도급비</t>
    <phoneticPr fontId="46" type="noConversion"/>
  </si>
  <si>
    <t>인원</t>
    <phoneticPr fontId="7" type="noConversion"/>
  </si>
  <si>
    <t>1. 플래너</t>
    <phoneticPr fontId="8" type="noConversion"/>
  </si>
  <si>
    <t>A</t>
    <phoneticPr fontId="8" type="noConversion"/>
  </si>
  <si>
    <t>B</t>
    <phoneticPr fontId="8" type="noConversion"/>
  </si>
  <si>
    <t>2. 센터</t>
    <phoneticPr fontId="8" type="noConversion"/>
  </si>
  <si>
    <t>3. 포맨</t>
    <phoneticPr fontId="8" type="noConversion"/>
  </si>
  <si>
    <t>4. 온독</t>
    <phoneticPr fontId="8" type="noConversion"/>
  </si>
  <si>
    <t>5. 세관</t>
    <phoneticPr fontId="8" type="noConversion"/>
  </si>
  <si>
    <t>6. CFS</t>
    <phoneticPr fontId="8" type="noConversion"/>
  </si>
  <si>
    <t>7. 게이트</t>
    <phoneticPr fontId="8" type="noConversion"/>
  </si>
  <si>
    <t>8. 소장</t>
    <phoneticPr fontId="7" type="noConversion"/>
  </si>
  <si>
    <t>소계</t>
    <phoneticPr fontId="8" type="noConversion"/>
  </si>
  <si>
    <t>물동량별 장비팀 변동비</t>
  </si>
  <si>
    <t>[단위: teu]</t>
    <phoneticPr fontId="7" type="noConversion"/>
  </si>
  <si>
    <t>1. 장비정비 인건비</t>
    <phoneticPr fontId="7" type="noConversion"/>
  </si>
  <si>
    <t>2. 전기료(GC)</t>
    <phoneticPr fontId="7" type="noConversion"/>
  </si>
  <si>
    <t>2) Transfer Crane</t>
    <phoneticPr fontId="12" type="noConversion"/>
  </si>
  <si>
    <t>14대</t>
    <phoneticPr fontId="12" type="noConversion"/>
  </si>
  <si>
    <t>3. 동력비</t>
    <phoneticPr fontId="7" type="noConversion"/>
  </si>
  <si>
    <t>1) Transfer Crane</t>
    <phoneticPr fontId="12" type="noConversion"/>
  </si>
  <si>
    <t>3대</t>
    <phoneticPr fontId="12" type="noConversion"/>
  </si>
  <si>
    <t>2) Yard Tracter</t>
    <phoneticPr fontId="12" type="noConversion"/>
  </si>
  <si>
    <t>3) Reach Staker</t>
    <phoneticPr fontId="12" type="noConversion"/>
  </si>
  <si>
    <t>4) Top Handler</t>
  </si>
  <si>
    <t>5) Folk Lift(7톤)</t>
  </si>
  <si>
    <t>6) Fork Lift(3톤)</t>
  </si>
  <si>
    <t>7) 기타 장비 유류대</t>
  </si>
  <si>
    <t>장비추가 투입시 인원편성 및 비용</t>
    <phoneticPr fontId="65" type="noConversion"/>
  </si>
  <si>
    <t>(단위: 원)</t>
    <phoneticPr fontId="12" type="noConversion"/>
  </si>
  <si>
    <t>자동화 (1:Y, 2:N)</t>
  </si>
  <si>
    <t>구분</t>
    <phoneticPr fontId="65" type="noConversion"/>
  </si>
  <si>
    <t>25만~32만TEU</t>
    <phoneticPr fontId="65" type="noConversion"/>
  </si>
  <si>
    <t>33만~39만TEU</t>
    <phoneticPr fontId="65" type="noConversion"/>
  </si>
  <si>
    <t>40만~46만TEU</t>
    <phoneticPr fontId="65" type="noConversion"/>
  </si>
  <si>
    <t>47만TEU 이상</t>
    <phoneticPr fontId="65" type="noConversion"/>
  </si>
  <si>
    <t>가동대수</t>
    <phoneticPr fontId="7" type="noConversion"/>
  </si>
  <si>
    <t>인원</t>
    <phoneticPr fontId="65" type="noConversion"/>
  </si>
  <si>
    <t>비율</t>
    <phoneticPr fontId="65" type="noConversion"/>
  </si>
  <si>
    <t>도급비</t>
    <phoneticPr fontId="65" type="noConversion"/>
  </si>
  <si>
    <t>장비</t>
    <phoneticPr fontId="65" type="noConversion"/>
  </si>
  <si>
    <t>GC</t>
    <phoneticPr fontId="65" type="noConversion"/>
  </si>
  <si>
    <t>TC</t>
    <phoneticPr fontId="65" type="noConversion"/>
  </si>
  <si>
    <t>YT</t>
    <phoneticPr fontId="65" type="noConversion"/>
  </si>
  <si>
    <t>RS</t>
    <phoneticPr fontId="65" type="noConversion"/>
  </si>
  <si>
    <t>소계</t>
    <phoneticPr fontId="65" type="noConversion"/>
  </si>
  <si>
    <t>-</t>
    <phoneticPr fontId="65" type="noConversion"/>
  </si>
  <si>
    <t>정비</t>
    <phoneticPr fontId="65" type="noConversion"/>
  </si>
  <si>
    <t xml:space="preserve"> </t>
    <phoneticPr fontId="65" type="noConversion"/>
  </si>
  <si>
    <t>합계</t>
    <phoneticPr fontId="65" type="noConversion"/>
  </si>
  <si>
    <t>추가투입비</t>
    <phoneticPr fontId="7" type="noConversion"/>
  </si>
  <si>
    <t>26만</t>
    <phoneticPr fontId="7" type="noConversion"/>
  </si>
  <si>
    <t>33만</t>
    <phoneticPr fontId="7" type="noConversion"/>
  </si>
  <si>
    <t>40만</t>
    <phoneticPr fontId="7" type="noConversion"/>
  </si>
  <si>
    <t>47만</t>
    <phoneticPr fontId="7" type="noConversion"/>
  </si>
  <si>
    <t>27만</t>
    <phoneticPr fontId="7" type="noConversion"/>
  </si>
  <si>
    <t>34만</t>
    <phoneticPr fontId="7" type="noConversion"/>
  </si>
  <si>
    <t>41만</t>
    <phoneticPr fontId="7" type="noConversion"/>
  </si>
  <si>
    <t>48만</t>
    <phoneticPr fontId="12" type="noConversion"/>
  </si>
  <si>
    <t>28만</t>
    <phoneticPr fontId="7" type="noConversion"/>
  </si>
  <si>
    <t>35만</t>
  </si>
  <si>
    <t>42만</t>
  </si>
  <si>
    <t>49만</t>
  </si>
  <si>
    <t>29만</t>
    <phoneticPr fontId="7" type="noConversion"/>
  </si>
  <si>
    <t>36만</t>
  </si>
  <si>
    <t>43만</t>
  </si>
  <si>
    <t>50만</t>
  </si>
  <si>
    <t>30만</t>
    <phoneticPr fontId="7" type="noConversion"/>
  </si>
  <si>
    <t>37만</t>
  </si>
  <si>
    <t>44만</t>
  </si>
  <si>
    <t>51만</t>
  </si>
  <si>
    <t>31만</t>
  </si>
  <si>
    <t>38만</t>
  </si>
  <si>
    <t>45만</t>
  </si>
  <si>
    <t>52만</t>
    <phoneticPr fontId="12" type="noConversion"/>
  </si>
  <si>
    <t>32만</t>
  </si>
  <si>
    <t>39만</t>
  </si>
  <si>
    <t>46만</t>
  </si>
  <si>
    <t>53만</t>
    <phoneticPr fontId="12" type="noConversion"/>
  </si>
  <si>
    <t>[인건비단가]</t>
    <phoneticPr fontId="7" type="noConversion"/>
  </si>
  <si>
    <t>2017년기준</t>
    <phoneticPr fontId="7" type="noConversion"/>
  </si>
  <si>
    <t>2018년기준</t>
    <phoneticPr fontId="7" type="noConversion"/>
  </si>
  <si>
    <t>2019년기준</t>
    <phoneticPr fontId="7" type="noConversion"/>
  </si>
  <si>
    <t>2020년기준</t>
    <phoneticPr fontId="7" type="noConversion"/>
  </si>
  <si>
    <t>인상율</t>
    <phoneticPr fontId="12" type="noConversion"/>
  </si>
  <si>
    <t>TC (자동)</t>
    <phoneticPr fontId="65" type="noConversion"/>
  </si>
  <si>
    <t>TC (수동)</t>
    <phoneticPr fontId="65" type="noConversion"/>
  </si>
  <si>
    <t>물동량별 도급비산출</t>
    <phoneticPr fontId="65" type="noConversion"/>
  </si>
  <si>
    <t>물동량</t>
    <phoneticPr fontId="65" type="noConversion"/>
  </si>
  <si>
    <t>teu</t>
    <phoneticPr fontId="12" type="noConversion"/>
  </si>
  <si>
    <t>[CPI]</t>
  </si>
  <si>
    <t xml:space="preserve"> (천TEU)</t>
    <phoneticPr fontId="7" type="noConversion"/>
  </si>
  <si>
    <t>최초구입수</t>
    <phoneticPr fontId="7" type="noConversion"/>
  </si>
  <si>
    <t>사용연수</t>
  </si>
  <si>
    <t>합계('22)</t>
    <phoneticPr fontId="7" type="noConversion"/>
  </si>
  <si>
    <t>대체비+유지보수비 (경상가)</t>
    <phoneticPr fontId="12" type="noConversion"/>
  </si>
  <si>
    <t>대체비</t>
    <phoneticPr fontId="7" type="noConversion"/>
  </si>
  <si>
    <t>경상가</t>
  </si>
  <si>
    <t>2016기준 불변</t>
  </si>
  <si>
    <t>1. Gantry Crane</t>
  </si>
  <si>
    <t>중고장비 교체(13~16열)</t>
    <phoneticPr fontId="7" type="noConversion"/>
  </si>
  <si>
    <t>중고장비 매각</t>
    <phoneticPr fontId="12" type="noConversion"/>
  </si>
  <si>
    <t>2009년 장비 교체(16열)</t>
    <phoneticPr fontId="7" type="noConversion"/>
  </si>
  <si>
    <t>2009년 장비 교체(13열)</t>
    <phoneticPr fontId="7" type="noConversion"/>
  </si>
  <si>
    <t>2016년 장비 (13열)</t>
    <phoneticPr fontId="7" type="noConversion"/>
  </si>
  <si>
    <t>개조비 또는 신규도입</t>
    <phoneticPr fontId="12" type="noConversion"/>
  </si>
  <si>
    <t>부품 교체</t>
    <phoneticPr fontId="7" type="noConversion"/>
  </si>
  <si>
    <t>2009년 2대</t>
    <phoneticPr fontId="12" type="noConversion"/>
  </si>
  <si>
    <t>2016년 1대</t>
    <phoneticPr fontId="12" type="noConversion"/>
  </si>
  <si>
    <t>2. T/C</t>
  </si>
  <si>
    <t xml:space="preserve">ERTGC 개조작업 </t>
    <phoneticPr fontId="7" type="noConversion"/>
  </si>
  <si>
    <t>장비 교체</t>
    <phoneticPr fontId="7" type="noConversion"/>
  </si>
  <si>
    <t>자동화 개조</t>
    <phoneticPr fontId="7" type="noConversion"/>
  </si>
  <si>
    <t>2016년 장비 교체(엔진)</t>
    <phoneticPr fontId="7" type="noConversion"/>
  </si>
  <si>
    <t>2009년 7대</t>
    <phoneticPr fontId="12" type="noConversion"/>
  </si>
  <si>
    <t>2012년 4대</t>
    <phoneticPr fontId="12" type="noConversion"/>
  </si>
  <si>
    <t>2016년 3대</t>
    <phoneticPr fontId="12" type="noConversion"/>
  </si>
  <si>
    <t>3. Y/T</t>
  </si>
  <si>
    <t>2009년 도입 12대</t>
    <phoneticPr fontId="7" type="noConversion"/>
  </si>
  <si>
    <t>2012년 도입 4대</t>
    <phoneticPr fontId="7" type="noConversion"/>
  </si>
  <si>
    <t>2016년 신규(10대), 마산(3대)</t>
    <phoneticPr fontId="7" type="noConversion"/>
  </si>
  <si>
    <t>4. Y/C</t>
  </si>
  <si>
    <t>2009년 도입 24대</t>
    <phoneticPr fontId="7" type="noConversion"/>
  </si>
  <si>
    <t>2012년 도입 12대</t>
    <phoneticPr fontId="7" type="noConversion"/>
  </si>
  <si>
    <t>5. R/S</t>
  </si>
  <si>
    <t>2009년 도입 1대</t>
    <phoneticPr fontId="7" type="noConversion"/>
  </si>
  <si>
    <t>2012년 도입 1대</t>
    <phoneticPr fontId="7" type="noConversion"/>
  </si>
  <si>
    <t>6. T/H</t>
  </si>
  <si>
    <t>7. F/L</t>
  </si>
  <si>
    <t>2009년 도입(3톤), 2대구입</t>
    <phoneticPr fontId="7" type="noConversion"/>
  </si>
  <si>
    <t>2012년 도입(3톤), 2대구입</t>
    <phoneticPr fontId="7" type="noConversion"/>
  </si>
  <si>
    <t>2016년 도입(7톤), 1대구입</t>
    <phoneticPr fontId="7" type="noConversion"/>
  </si>
  <si>
    <t>8. Pick up Truck(1톤포터)</t>
    <phoneticPr fontId="7" type="noConversion"/>
  </si>
  <si>
    <t>9. 업무용차량 (7대)</t>
    <phoneticPr fontId="7" type="noConversion"/>
  </si>
  <si>
    <t>10. Other</t>
    <phoneticPr fontId="7" type="noConversion"/>
  </si>
  <si>
    <t>유지비</t>
    <phoneticPr fontId="7" type="noConversion"/>
  </si>
  <si>
    <t>경상가</t>
    <phoneticPr fontId="7" type="noConversion"/>
  </si>
  <si>
    <t>1. 건축(리모델링)</t>
  </si>
  <si>
    <t>1-1. 전면 개축</t>
    <phoneticPr fontId="12" type="noConversion"/>
  </si>
  <si>
    <t>1-2. 보수</t>
    <phoneticPr fontId="12" type="noConversion"/>
  </si>
  <si>
    <t>2. 토목</t>
  </si>
  <si>
    <t>2-1. 야드</t>
  </si>
  <si>
    <t>쇄석 포장</t>
  </si>
  <si>
    <t>아스콘 포장</t>
  </si>
  <si>
    <t>콘크리트 포장</t>
  </si>
  <si>
    <t>차선도색</t>
    <phoneticPr fontId="7" type="noConversion"/>
  </si>
  <si>
    <t>2-2. APRON(아스콘 포장)</t>
    <phoneticPr fontId="7" type="noConversion"/>
  </si>
  <si>
    <t>2-3. 배수관로</t>
  </si>
  <si>
    <t>2-4. 상수도</t>
  </si>
  <si>
    <t>2-5. 하수관로</t>
  </si>
  <si>
    <t>2-6. 옥외전선관로</t>
  </si>
  <si>
    <t>3. 설비</t>
  </si>
  <si>
    <t>3-1. 조명등 보수</t>
    <phoneticPr fontId="7" type="noConversion"/>
  </si>
  <si>
    <t>189개 1식</t>
    <phoneticPr fontId="7" type="noConversion"/>
  </si>
  <si>
    <t>3-2. 조명탑(설비)</t>
    <phoneticPr fontId="7" type="noConversion"/>
  </si>
  <si>
    <t>15개 1식</t>
    <phoneticPr fontId="7" type="noConversion"/>
  </si>
  <si>
    <t>3-3. 조명탑(구조물)</t>
    <phoneticPr fontId="7" type="noConversion"/>
  </si>
  <si>
    <t>3-4. 가로등</t>
    <phoneticPr fontId="7" type="noConversion"/>
  </si>
  <si>
    <t>52개</t>
    <phoneticPr fontId="7" type="noConversion"/>
  </si>
  <si>
    <t>3-5. 엘리베이터</t>
    <phoneticPr fontId="7" type="noConversion"/>
  </si>
  <si>
    <t>3-6. 변전실</t>
    <phoneticPr fontId="7" type="noConversion"/>
  </si>
  <si>
    <t>3-7. 기계설비실(펌프장 포함)</t>
    <phoneticPr fontId="7" type="noConversion"/>
  </si>
  <si>
    <t>3-8. CCTV(보안,운영)</t>
    <phoneticPr fontId="7" type="noConversion"/>
  </si>
  <si>
    <t>3-9. 울타리</t>
    <phoneticPr fontId="7" type="noConversion"/>
  </si>
  <si>
    <t>3-10. 냉난방기 보수</t>
    <phoneticPr fontId="7" type="noConversion"/>
  </si>
  <si>
    <t>3-11. 기타</t>
    <phoneticPr fontId="12" type="noConversion"/>
  </si>
  <si>
    <t>4. 전산</t>
  </si>
  <si>
    <t>4-1. 운영프로그램(토스)</t>
  </si>
  <si>
    <t>4-2. Web Application Server S/W외</t>
  </si>
  <si>
    <t>4-3. DataBase Server외</t>
  </si>
  <si>
    <t>4-4. BackBone 및 Switch (L2, L3)외</t>
  </si>
  <si>
    <t>4-5. RFID외 GATE 운영설비</t>
  </si>
  <si>
    <t>4-6. 윈도우 NT</t>
    <phoneticPr fontId="7" type="noConversion"/>
  </si>
  <si>
    <t>4-7. OCR CPS 교체비</t>
    <phoneticPr fontId="12" type="noConversion"/>
  </si>
  <si>
    <t>4-8. 사무용PC</t>
    <phoneticPr fontId="7" type="noConversion"/>
  </si>
  <si>
    <t>인력 계획</t>
    <phoneticPr fontId="7" type="noConversion"/>
  </si>
  <si>
    <t>연도</t>
    <phoneticPr fontId="7" type="noConversion"/>
  </si>
  <si>
    <t>필수자격증</t>
    <phoneticPr fontId="7" type="noConversion"/>
  </si>
  <si>
    <t>인력계약(FIX)</t>
    <phoneticPr fontId="7" type="noConversion"/>
  </si>
  <si>
    <t>2018년</t>
    <phoneticPr fontId="7" type="noConversion"/>
  </si>
  <si>
    <t>2024년</t>
    <phoneticPr fontId="7" type="noConversion"/>
  </si>
  <si>
    <t>2026년</t>
    <phoneticPr fontId="7" type="noConversion"/>
  </si>
  <si>
    <t>2027년</t>
    <phoneticPr fontId="7" type="noConversion"/>
  </si>
  <si>
    <t>비고</t>
    <phoneticPr fontId="7" type="noConversion"/>
  </si>
  <si>
    <t>물동량(천TEU)</t>
    <phoneticPr fontId="7" type="noConversion"/>
  </si>
  <si>
    <t>UNCT</t>
    <phoneticPr fontId="7" type="noConversion"/>
  </si>
  <si>
    <t>이사회</t>
    <phoneticPr fontId="7" type="noConversion"/>
  </si>
  <si>
    <t>감사</t>
    <phoneticPr fontId="7" type="noConversion"/>
  </si>
  <si>
    <t>대표이사</t>
    <phoneticPr fontId="7" type="noConversion"/>
  </si>
  <si>
    <t>총괄본부장</t>
    <phoneticPr fontId="7" type="noConversion"/>
  </si>
  <si>
    <t>총무</t>
    <phoneticPr fontId="7" type="noConversion"/>
  </si>
  <si>
    <t>부장</t>
    <phoneticPr fontId="12" type="noConversion"/>
  </si>
  <si>
    <t>팀장</t>
    <phoneticPr fontId="7" type="noConversion"/>
  </si>
  <si>
    <t>차장</t>
    <phoneticPr fontId="7" type="noConversion"/>
  </si>
  <si>
    <t>과장</t>
    <phoneticPr fontId="12" type="noConversion"/>
  </si>
  <si>
    <t>대리</t>
    <phoneticPr fontId="12" type="noConversion"/>
  </si>
  <si>
    <t>4사</t>
    <phoneticPr fontId="12" type="noConversion"/>
  </si>
  <si>
    <t>재무</t>
    <phoneticPr fontId="7" type="noConversion"/>
  </si>
  <si>
    <t>부장</t>
  </si>
  <si>
    <t>차장</t>
  </si>
  <si>
    <t>과장</t>
  </si>
  <si>
    <t>대리</t>
  </si>
  <si>
    <t>4사</t>
  </si>
  <si>
    <t>5사</t>
    <phoneticPr fontId="12" type="noConversion"/>
  </si>
  <si>
    <t>6사</t>
    <phoneticPr fontId="12" type="noConversion"/>
  </si>
  <si>
    <t>운영</t>
    <phoneticPr fontId="7" type="noConversion"/>
  </si>
  <si>
    <t>장비</t>
    <phoneticPr fontId="7" type="noConversion"/>
  </si>
  <si>
    <r>
      <t>2</t>
    </r>
    <r>
      <rPr>
        <sz val="11"/>
        <color theme="1"/>
        <rFont val="맑은 고딕"/>
        <family val="2"/>
        <charset val="129"/>
        <scheme val="minor"/>
      </rPr>
      <t>017년 (개인연금 수식)</t>
    </r>
    <phoneticPr fontId="12" type="noConversion"/>
  </si>
  <si>
    <t>현재직원</t>
    <phoneticPr fontId="12" type="noConversion"/>
  </si>
  <si>
    <t>임원</t>
    <phoneticPr fontId="12" type="noConversion"/>
  </si>
  <si>
    <t>직급별</t>
    <phoneticPr fontId="12" type="noConversion"/>
  </si>
  <si>
    <t>총인원</t>
    <phoneticPr fontId="12" type="noConversion"/>
  </si>
  <si>
    <t>하도급</t>
    <phoneticPr fontId="7" type="noConversion"/>
  </si>
  <si>
    <t>'20년부터 물동량에 연동하여 계산</t>
    <phoneticPr fontId="12" type="noConversion"/>
  </si>
  <si>
    <t>시설/미화</t>
    <phoneticPr fontId="7" type="noConversion"/>
  </si>
  <si>
    <t>전산</t>
    <phoneticPr fontId="7" type="noConversion"/>
  </si>
  <si>
    <t>운영(플래너)</t>
    <phoneticPr fontId="7" type="noConversion"/>
  </si>
  <si>
    <t>정비</t>
    <phoneticPr fontId="7" type="noConversion"/>
  </si>
  <si>
    <t>신호수</t>
    <phoneticPr fontId="7" type="noConversion"/>
  </si>
  <si>
    <t>합계</t>
    <phoneticPr fontId="7" type="noConversion"/>
  </si>
  <si>
    <t>급여</t>
    <phoneticPr fontId="7" type="noConversion"/>
  </si>
  <si>
    <t>(단위: 백만원)</t>
    <phoneticPr fontId="7" type="noConversion"/>
  </si>
  <si>
    <t>직급</t>
    <phoneticPr fontId="7" type="noConversion"/>
  </si>
  <si>
    <t>인건비 상승률</t>
    <phoneticPr fontId="7" type="noConversion"/>
  </si>
  <si>
    <t>4사원(A)</t>
    <phoneticPr fontId="12" type="noConversion"/>
  </si>
  <si>
    <t>4사원(B)</t>
    <phoneticPr fontId="12" type="noConversion"/>
  </si>
  <si>
    <t>5사원</t>
    <phoneticPr fontId="12" type="noConversion"/>
  </si>
  <si>
    <t>2022년 진급</t>
    <phoneticPr fontId="7" type="noConversion"/>
  </si>
  <si>
    <t>대리</t>
    <phoneticPr fontId="7" type="noConversion"/>
  </si>
  <si>
    <t>2023년 진급</t>
  </si>
  <si>
    <t>사원</t>
    <phoneticPr fontId="12" type="noConversion"/>
  </si>
  <si>
    <t>2023년 진급</t>
    <phoneticPr fontId="7" type="noConversion"/>
  </si>
  <si>
    <r>
      <t>2021</t>
    </r>
    <r>
      <rPr>
        <sz val="11"/>
        <color theme="1"/>
        <rFont val="맑은 고딕"/>
        <family val="2"/>
        <charset val="129"/>
        <scheme val="minor"/>
      </rPr>
      <t>,2026</t>
    </r>
    <r>
      <rPr>
        <sz val="11"/>
        <color theme="1"/>
        <rFont val="맑은 고딕"/>
        <family val="2"/>
        <charset val="129"/>
        <scheme val="minor"/>
      </rPr>
      <t>년 진급</t>
    </r>
    <phoneticPr fontId="7" type="noConversion"/>
  </si>
  <si>
    <t>6사</t>
    <phoneticPr fontId="7" type="noConversion"/>
  </si>
  <si>
    <t>2019,2021,2025년 진급</t>
    <phoneticPr fontId="7" type="noConversion"/>
  </si>
  <si>
    <t>부장</t>
    <phoneticPr fontId="7" type="noConversion"/>
  </si>
  <si>
    <t>4사</t>
    <phoneticPr fontId="7" type="noConversion"/>
  </si>
  <si>
    <t>2020,2025년 진급</t>
    <phoneticPr fontId="7" type="noConversion"/>
  </si>
  <si>
    <t>과장</t>
    <phoneticPr fontId="7" type="noConversion"/>
  </si>
  <si>
    <t>2020년 급여테이블</t>
    <phoneticPr fontId="7" type="noConversion"/>
  </si>
  <si>
    <t>가. 2020년 연봉 테이블</t>
    <phoneticPr fontId="12" type="noConversion"/>
  </si>
  <si>
    <t>부   장</t>
    <phoneticPr fontId="157" type="noConversion"/>
  </si>
  <si>
    <t>차   장</t>
    <phoneticPr fontId="157" type="noConversion"/>
  </si>
  <si>
    <t>과   장</t>
    <phoneticPr fontId="157" type="noConversion"/>
  </si>
  <si>
    <t>대   리</t>
    <phoneticPr fontId="157" type="noConversion"/>
  </si>
  <si>
    <t>4급A사원</t>
    <phoneticPr fontId="157" type="noConversion"/>
  </si>
  <si>
    <t>4급B사원(전문대졸)</t>
    <phoneticPr fontId="157" type="noConversion"/>
  </si>
  <si>
    <t>5급사원(고졸)</t>
    <phoneticPr fontId="157" type="noConversion"/>
  </si>
  <si>
    <t>월급여</t>
    <phoneticPr fontId="157" type="noConversion"/>
  </si>
  <si>
    <t>년  봉</t>
    <phoneticPr fontId="157" type="noConversion"/>
  </si>
  <si>
    <t>등급간 인상율</t>
    <phoneticPr fontId="12" type="noConversion"/>
  </si>
  <si>
    <t>S</t>
    <phoneticPr fontId="7" type="noConversion"/>
  </si>
  <si>
    <t>A</t>
    <phoneticPr fontId="7" type="noConversion"/>
  </si>
  <si>
    <t>B</t>
    <phoneticPr fontId="7" type="noConversion"/>
  </si>
  <si>
    <t>C</t>
    <phoneticPr fontId="7" type="noConversion"/>
  </si>
  <si>
    <t>D</t>
    <phoneticPr fontId="7" type="noConversion"/>
  </si>
  <si>
    <t>평균연봉</t>
    <phoneticPr fontId="7" type="noConversion"/>
  </si>
  <si>
    <t>가. 2018년 연봉 테이블</t>
    <phoneticPr fontId="12" type="noConversion"/>
  </si>
  <si>
    <t>□ 연도별 경유 실적('10년~'14년) : 1대당 사용시간으로 산정</t>
    <phoneticPr fontId="65" type="noConversion"/>
  </si>
  <si>
    <t>2010(7대)</t>
    <phoneticPr fontId="7" type="noConversion"/>
  </si>
  <si>
    <t>2011(7대)</t>
    <phoneticPr fontId="7" type="noConversion"/>
  </si>
  <si>
    <t>2012(11대)</t>
    <phoneticPr fontId="7" type="noConversion"/>
  </si>
  <si>
    <t>2013(11대)</t>
    <phoneticPr fontId="7" type="noConversion"/>
  </si>
  <si>
    <t>2014(11대)</t>
    <phoneticPr fontId="7" type="noConversion"/>
  </si>
  <si>
    <t>2015(12대)</t>
    <phoneticPr fontId="7" type="noConversion"/>
  </si>
  <si>
    <t>평균</t>
    <phoneticPr fontId="65" type="noConversion"/>
  </si>
  <si>
    <t>물량</t>
    <phoneticPr fontId="65" type="noConversion"/>
  </si>
  <si>
    <t>연간(teu)</t>
    <phoneticPr fontId="65" type="noConversion"/>
  </si>
  <si>
    <t>월평균</t>
    <phoneticPr fontId="65" type="noConversion"/>
  </si>
  <si>
    <t>T/C</t>
    <phoneticPr fontId="65" type="noConversion"/>
  </si>
  <si>
    <t>가동시간
(hr)</t>
    <phoneticPr fontId="65" type="noConversion"/>
  </si>
  <si>
    <t>연간</t>
    <phoneticPr fontId="65" type="noConversion"/>
  </si>
  <si>
    <r>
      <t>사용량
(</t>
    </r>
    <r>
      <rPr>
        <sz val="11"/>
        <color indexed="8"/>
        <rFont val="맑은 고딕"/>
        <family val="3"/>
        <charset val="129"/>
        <scheme val="minor"/>
      </rPr>
      <t>ℓ)</t>
    </r>
    <phoneticPr fontId="65" type="noConversion"/>
  </si>
  <si>
    <t>연비(ℓ/hr)</t>
    <phoneticPr fontId="65" type="noConversion"/>
  </si>
  <si>
    <t>단위사용량(ℓ/teu)</t>
    <phoneticPr fontId="65" type="noConversion"/>
  </si>
  <si>
    <t>R/S
T/H</t>
    <phoneticPr fontId="65" type="noConversion"/>
  </si>
  <si>
    <t>Y/T</t>
    <phoneticPr fontId="65" type="noConversion"/>
  </si>
  <si>
    <t>□ 경유 산출</t>
    <phoneticPr fontId="65" type="noConversion"/>
  </si>
  <si>
    <t>물동량(TEU)</t>
    <phoneticPr fontId="65" type="noConversion"/>
  </si>
  <si>
    <t>단위사용량(L/TEU)</t>
    <phoneticPr fontId="65" type="noConversion"/>
  </si>
  <si>
    <t>단위단가</t>
    <phoneticPr fontId="65" type="noConversion"/>
  </si>
  <si>
    <t>E-RTGC
적용시</t>
    <phoneticPr fontId="7" type="noConversion"/>
  </si>
  <si>
    <t>3대경유량</t>
  </si>
  <si>
    <t>3대경유비</t>
  </si>
  <si>
    <t>14대전력비(경유*50%)</t>
    <phoneticPr fontId="12" type="noConversion"/>
  </si>
  <si>
    <t>TC 동력비</t>
    <phoneticPr fontId="12" type="noConversion"/>
  </si>
  <si>
    <t>단위사용량</t>
    <phoneticPr fontId="65" type="noConversion"/>
  </si>
  <si>
    <t>TH</t>
  </si>
  <si>
    <t>FL(7톤)</t>
  </si>
  <si>
    <t>FL(3톤)</t>
  </si>
  <si>
    <t>기타</t>
  </si>
  <si>
    <t>총동력비(경유비 적용시)</t>
    <phoneticPr fontId="65" type="noConversion"/>
  </si>
  <si>
    <t>총동력비(E-RTG 개조시)</t>
    <phoneticPr fontId="65" type="noConversion"/>
  </si>
  <si>
    <t>□ 연도별 전기료 실적('10년~'14년)</t>
    <phoneticPr fontId="65" type="noConversion"/>
  </si>
  <si>
    <t>G/C</t>
    <phoneticPr fontId="65" type="noConversion"/>
  </si>
  <si>
    <t>사용량
(kw)</t>
    <phoneticPr fontId="65" type="noConversion"/>
  </si>
  <si>
    <t>연비(kw/hr)</t>
    <phoneticPr fontId="65" type="noConversion"/>
  </si>
  <si>
    <t>단위사용량(kw/teu)</t>
    <phoneticPr fontId="65" type="noConversion"/>
  </si>
  <si>
    <t>□ 전기료 산출</t>
    <phoneticPr fontId="65" type="noConversion"/>
  </si>
  <si>
    <t>1. 운영</t>
    <phoneticPr fontId="8" type="noConversion"/>
  </si>
  <si>
    <t>1) 물동량</t>
    <phoneticPr fontId="7" type="noConversion"/>
  </si>
  <si>
    <t>(단위 :원)</t>
    <phoneticPr fontId="7" type="noConversion"/>
  </si>
  <si>
    <t>2019년</t>
    <phoneticPr fontId="7" type="noConversion"/>
  </si>
  <si>
    <t>2020년</t>
    <phoneticPr fontId="7" type="noConversion"/>
  </si>
  <si>
    <t>2021년</t>
    <phoneticPr fontId="7" type="noConversion"/>
  </si>
  <si>
    <t>1월</t>
    <phoneticPr fontId="7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</si>
  <si>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</si>
  <si>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</si>
  <si>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</si>
  <si>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</si>
  <si>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</si>
  <si>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</si>
  <si>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</si>
  <si>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</si>
  <si>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</si>
  <si>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</si>
  <si>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</si>
  <si>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물동량</t>
    <phoneticPr fontId="7" type="noConversion"/>
  </si>
  <si>
    <t>하역단가</t>
    <phoneticPr fontId="7" type="noConversion"/>
  </si>
  <si>
    <t>2) 운영수입</t>
    <phoneticPr fontId="8" type="noConversion"/>
  </si>
  <si>
    <t>하역수입</t>
    <phoneticPr fontId="7" type="noConversion"/>
  </si>
  <si>
    <t xml:space="preserve"> 기본하역료</t>
  </si>
  <si>
    <t xml:space="preserve"> 부대서비스</t>
  </si>
  <si>
    <t>접안료</t>
    <phoneticPr fontId="7" type="noConversion"/>
  </si>
  <si>
    <t>컨테이너 접안료</t>
    <phoneticPr fontId="8" type="noConversion"/>
  </si>
  <si>
    <t>탱크선 접안료</t>
    <phoneticPr fontId="8" type="noConversion"/>
  </si>
  <si>
    <t>cfs</t>
    <phoneticPr fontId="7" type="noConversion"/>
  </si>
  <si>
    <t>기타경미한수익성사업</t>
    <phoneticPr fontId="7" type="noConversion"/>
  </si>
  <si>
    <t>4번선석 사용료</t>
    <phoneticPr fontId="7" type="noConversion"/>
  </si>
  <si>
    <t>건물임대</t>
    <phoneticPr fontId="7" type="noConversion"/>
  </si>
  <si>
    <t xml:space="preserve"> ① 운영동</t>
    <phoneticPr fontId="7" type="noConversion"/>
  </si>
  <si>
    <t xml:space="preserve"> ② CFS동</t>
    <phoneticPr fontId="7" type="noConversion"/>
  </si>
  <si>
    <t xml:space="preserve"> ③ 휴게동</t>
    <phoneticPr fontId="7" type="noConversion"/>
  </si>
  <si>
    <t>야드임대</t>
    <phoneticPr fontId="7" type="noConversion"/>
  </si>
  <si>
    <t xml:space="preserve"> ① 동방울산지사</t>
    <phoneticPr fontId="7" type="noConversion"/>
  </si>
  <si>
    <t xml:space="preserve"> ② 수리장</t>
    <phoneticPr fontId="7" type="noConversion"/>
  </si>
  <si>
    <t xml:space="preserve"> ③ 세중종합물류</t>
    <phoneticPr fontId="8" type="noConversion"/>
  </si>
  <si>
    <r>
      <t xml:space="preserve"> </t>
    </r>
    <r>
      <rPr>
        <sz val="10"/>
        <color theme="1"/>
        <rFont val="맑은 고딕"/>
        <family val="3"/>
        <charset val="129"/>
      </rPr>
      <t>④</t>
    </r>
    <r>
      <rPr>
        <sz val="10"/>
        <color theme="1"/>
        <rFont val="맑은 고딕"/>
        <family val="3"/>
        <charset val="129"/>
        <scheme val="minor"/>
      </rPr>
      <t xml:space="preserve"> 기타</t>
    </r>
    <phoneticPr fontId="7" type="noConversion"/>
  </si>
  <si>
    <t>강취박료</t>
    <phoneticPr fontId="7" type="noConversion"/>
  </si>
  <si>
    <t>고박료</t>
    <phoneticPr fontId="7" type="noConversion"/>
  </si>
  <si>
    <t>장비임대</t>
    <phoneticPr fontId="7" type="noConversion"/>
  </si>
  <si>
    <t>판매장려금</t>
    <phoneticPr fontId="8" type="noConversion"/>
  </si>
  <si>
    <t>판매장려금 적용후 매출</t>
    <phoneticPr fontId="8" type="noConversion"/>
  </si>
  <si>
    <t>&lt;모델제시값&gt;</t>
    <phoneticPr fontId="12" type="noConversion"/>
  </si>
  <si>
    <t>백만원</t>
    <phoneticPr fontId="12" type="noConversion"/>
  </si>
  <si>
    <t>2020</t>
    <phoneticPr fontId="12" type="noConversion"/>
  </si>
  <si>
    <t>2021</t>
    <phoneticPr fontId="12" type="noConversion"/>
  </si>
  <si>
    <t>&lt;회사제시자료&gt;</t>
    <phoneticPr fontId="12" type="noConversion"/>
  </si>
  <si>
    <t xml:space="preserve">2. 운영수입               </t>
  </si>
  <si>
    <t>3) CFS동 운영 수입</t>
  </si>
  <si>
    <t xml:space="preserve">4) 4번선석 임대 </t>
  </si>
  <si>
    <t>5) 광석부두임대</t>
  </si>
  <si>
    <t>① 선납임대료(1년분)</t>
  </si>
  <si>
    <t>② 변경 계약 임대료</t>
  </si>
  <si>
    <t>③ 변경전 계약 임대료 수령</t>
  </si>
  <si>
    <t>6) 기타경미한수익성사업</t>
  </si>
  <si>
    <t>① 건물임대 </t>
  </si>
  <si>
    <t>② 야드임대 </t>
  </si>
  <si>
    <t>주차장 부지</t>
  </si>
  <si>
    <t>세중/수리장</t>
  </si>
  <si>
    <t>1번선석 배후부지</t>
  </si>
  <si>
    <t>③ 장비임대 </t>
  </si>
  <si>
    <t>④ 강취방료 </t>
  </si>
  <si>
    <t>⑤ 고박료 </t>
  </si>
  <si>
    <t xml:space="preserve">  초과수입 환수(5억원이상은 사업자:정부=7:3)</t>
  </si>
  <si>
    <t>&lt;모델제시값&gt;</t>
  </si>
  <si>
    <t>억원</t>
    <phoneticPr fontId="12" type="noConversion"/>
  </si>
  <si>
    <t>&lt;회사제시자료&gt;</t>
  </si>
  <si>
    <t>억원</t>
  </si>
  <si>
    <t>4) 4번선석 임대</t>
  </si>
  <si>
    <t>기타경미한수익성사업</t>
  </si>
  <si>
    <t>7) 기타경미한수익성사업 정산</t>
  </si>
  <si>
    <t>2014-12-31 기준</t>
    <phoneticPr fontId="7" type="noConversion"/>
  </si>
  <si>
    <t>상환대상액:</t>
    <phoneticPr fontId="7" type="noConversion"/>
  </si>
  <si>
    <t>DATE</t>
    <phoneticPr fontId="7" type="noConversion"/>
  </si>
  <si>
    <t>Tranche A</t>
    <phoneticPr fontId="7" type="noConversion"/>
  </si>
  <si>
    <t>Tranche B-1</t>
    <phoneticPr fontId="7" type="noConversion"/>
  </si>
  <si>
    <t>Tranche B-2</t>
    <phoneticPr fontId="7" type="noConversion"/>
  </si>
  <si>
    <t>Tranche C-1</t>
    <phoneticPr fontId="7" type="noConversion"/>
  </si>
  <si>
    <t>Tranche C-2</t>
    <phoneticPr fontId="7" type="noConversion"/>
  </si>
  <si>
    <t>신용공여B</t>
    <phoneticPr fontId="7" type="noConversion"/>
  </si>
  <si>
    <t>(단위:억원)</t>
    <phoneticPr fontId="12" type="noConversion"/>
  </si>
  <si>
    <t>상환비율</t>
    <phoneticPr fontId="12" type="noConversion"/>
  </si>
  <si>
    <t>잔여상환비율(적용)</t>
    <phoneticPr fontId="12" type="noConversion"/>
  </si>
  <si>
    <t>기초잔액</t>
    <phoneticPr fontId="7" type="noConversion"/>
  </si>
  <si>
    <t>상환액</t>
    <phoneticPr fontId="7" type="noConversion"/>
  </si>
  <si>
    <t>기말잔액</t>
    <phoneticPr fontId="7" type="noConversion"/>
  </si>
  <si>
    <t>모델</t>
    <phoneticPr fontId="7" type="noConversion"/>
  </si>
  <si>
    <t xml:space="preserve"> </t>
    <phoneticPr fontId="12" type="noConversion"/>
  </si>
  <si>
    <t>기준일</t>
    <phoneticPr fontId="65" type="noConversion"/>
  </si>
  <si>
    <t>장부금액</t>
    <phoneticPr fontId="65" type="noConversion"/>
  </si>
  <si>
    <t>이자율(할인율)</t>
    <phoneticPr fontId="65" type="noConversion"/>
  </si>
  <si>
    <t>현재가치</t>
    <phoneticPr fontId="65" type="noConversion"/>
  </si>
  <si>
    <t xml:space="preserve">효력발생일 : </t>
    <phoneticPr fontId="12" type="noConversion"/>
  </si>
  <si>
    <t>약정변경일로부터 최초 도래하는 이자지급일</t>
    <phoneticPr fontId="12" type="noConversion"/>
  </si>
  <si>
    <t>이자율(명목)</t>
    <phoneticPr fontId="65" type="noConversion"/>
  </si>
  <si>
    <t>차이</t>
    <phoneticPr fontId="65" type="noConversion"/>
  </si>
  <si>
    <t>회차</t>
    <phoneticPr fontId="12" type="noConversion"/>
  </si>
  <si>
    <t>기간</t>
  </si>
  <si>
    <t>상환금액</t>
  </si>
  <si>
    <t>이자(유효)</t>
  </si>
  <si>
    <t>현할차</t>
    <phoneticPr fontId="12" type="noConversion"/>
  </si>
  <si>
    <t>상환원리금 PV</t>
    <phoneticPr fontId="12" type="noConversion"/>
  </si>
  <si>
    <t>원금기준PV</t>
    <phoneticPr fontId="12" type="noConversion"/>
  </si>
  <si>
    <t>명목금액</t>
    <phoneticPr fontId="65" type="noConversion"/>
  </si>
  <si>
    <t>현할차</t>
    <phoneticPr fontId="65" type="noConversion"/>
  </si>
  <si>
    <t>유동</t>
    <phoneticPr fontId="65" type="noConversion"/>
  </si>
  <si>
    <t>비유동</t>
    <phoneticPr fontId="65" type="noConversion"/>
  </si>
  <si>
    <t>합</t>
    <phoneticPr fontId="65" type="noConversion"/>
  </si>
  <si>
    <t>4Q 결산전표</t>
    <phoneticPr fontId="65" type="noConversion"/>
  </si>
  <si>
    <t>이자비용</t>
    <phoneticPr fontId="65" type="noConversion"/>
  </si>
  <si>
    <t>미지급 이자비용</t>
    <phoneticPr fontId="65" type="noConversion"/>
  </si>
  <si>
    <t>현할차(22149)</t>
  </si>
  <si>
    <t>2020.1Q 결산전표</t>
    <phoneticPr fontId="65" type="noConversion"/>
  </si>
  <si>
    <t>2Q 결산전표</t>
    <phoneticPr fontId="65" type="noConversion"/>
  </si>
  <si>
    <t>3Q 결산전표</t>
    <phoneticPr fontId="65" type="noConversion"/>
  </si>
  <si>
    <t>유동성 재분류</t>
    <phoneticPr fontId="8" type="noConversion"/>
  </si>
  <si>
    <t>유동에서 비유동으로</t>
    <phoneticPr fontId="8" type="noConversion"/>
  </si>
  <si>
    <t xml:space="preserve">비유동에서 유동으로 </t>
    <phoneticPr fontId="8" type="noConversion"/>
  </si>
  <si>
    <t>유동성 현할차(21229)로</t>
    <phoneticPr fontId="8" type="noConversion"/>
  </si>
  <si>
    <t>2021.1Q 결산전표</t>
    <phoneticPr fontId="65" type="noConversion"/>
  </si>
  <si>
    <t>현할차(21229)</t>
    <phoneticPr fontId="8" type="noConversion"/>
  </si>
  <si>
    <t>2021.2Q 결산전표</t>
    <phoneticPr fontId="65" type="noConversion"/>
  </si>
  <si>
    <t>2021.3Q 결산전표</t>
    <phoneticPr fontId="65" type="noConversion"/>
  </si>
  <si>
    <t>2021.4Q 결산전표</t>
    <phoneticPr fontId="65" type="noConversion"/>
  </si>
  <si>
    <t>이거 같아야함</t>
    <phoneticPr fontId="65" type="noConversion"/>
  </si>
  <si>
    <t>차입금이자비용</t>
  </si>
  <si>
    <t>미지급　　비용          　</t>
  </si>
  <si>
    <t>현재가치할인차금        　</t>
  </si>
  <si>
    <t>항목</t>
    <phoneticPr fontId="65" type="noConversion"/>
  </si>
  <si>
    <t>2016년</t>
  </si>
  <si>
    <t>2017년</t>
  </si>
  <si>
    <t>2018년</t>
  </si>
  <si>
    <t>2019년 실적</t>
  </si>
  <si>
    <t>2020년 실적</t>
  </si>
  <si>
    <t>2021년 실적</t>
  </si>
  <si>
    <t>1월</t>
  </si>
  <si>
    <t xml:space="preserve">9월 </t>
  </si>
  <si>
    <t>1Q</t>
    <phoneticPr fontId="65" type="noConversion"/>
  </si>
  <si>
    <t>2Q</t>
    <phoneticPr fontId="65" type="noConversion"/>
  </si>
  <si>
    <t>3Q</t>
    <phoneticPr fontId="65" type="noConversion"/>
  </si>
  <si>
    <t>4Q</t>
    <phoneticPr fontId="65" type="noConversion"/>
  </si>
  <si>
    <t>조달</t>
  </si>
  <si>
    <t>1. 운영수입</t>
  </si>
  <si>
    <t xml:space="preserve">1) 하역수입 </t>
  </si>
  <si>
    <t>2) 접안료(0%감면)</t>
  </si>
  <si>
    <t>① 컨테이너선접안료</t>
  </si>
  <si>
    <t>② 탱크선 접안료</t>
  </si>
  <si>
    <t>3) CFS</t>
  </si>
  <si>
    <t>4) 기타경미한수익성사업</t>
  </si>
  <si>
    <t>① 4번선석</t>
  </si>
  <si>
    <t>② 건물임대</t>
  </si>
  <si>
    <t>가. 운영동</t>
  </si>
  <si>
    <t>나. CFS</t>
  </si>
  <si>
    <t>다. 휴게동</t>
  </si>
  <si>
    <t>③ 야드임대</t>
  </si>
  <si>
    <t>가. 동방울산지사</t>
  </si>
  <si>
    <t>나. 수리장</t>
  </si>
  <si>
    <t>다. 세중종합물류</t>
  </si>
  <si>
    <t>라. 기타</t>
  </si>
  <si>
    <t>④ 장비 임대</t>
  </si>
  <si>
    <t>⑤ 강취방료</t>
  </si>
  <si>
    <t>⑥ 고박료</t>
  </si>
  <si>
    <t>2. 보안료</t>
  </si>
  <si>
    <t>1) 화물 보안료</t>
  </si>
  <si>
    <t>2) 선박보안료</t>
  </si>
  <si>
    <t>3. 광석부두임대료</t>
  </si>
  <si>
    <t>4. 사용료수입보장(MRG)</t>
  </si>
  <si>
    <t>5. 자본금</t>
  </si>
  <si>
    <t>6. 보증금</t>
  </si>
  <si>
    <t>1) 운영건물임대보증금</t>
  </si>
  <si>
    <t>2) 하도급계약 보증금</t>
  </si>
  <si>
    <t>3) 차량렌탈료 보증금</t>
  </si>
  <si>
    <t>7. 동방 대여금</t>
  </si>
  <si>
    <t>8. 상환주 발행</t>
  </si>
  <si>
    <t>9. 보험금 수령</t>
  </si>
  <si>
    <t>10. 이자수입</t>
  </si>
  <si>
    <t>1) 은행이자 수입</t>
  </si>
  <si>
    <t>2) 광석부두임대료</t>
  </si>
  <si>
    <t>3) 선납 법인세</t>
  </si>
  <si>
    <t>4) 법인세 환급</t>
  </si>
  <si>
    <t>자금조달 합계</t>
  </si>
  <si>
    <t>집행</t>
  </si>
  <si>
    <t>1. 운영비용</t>
  </si>
  <si>
    <t>1) 법인운영비</t>
  </si>
  <si>
    <t xml:space="preserve">2) 운영위탁수수료 </t>
  </si>
  <si>
    <t>① 운영위탁수수료</t>
  </si>
  <si>
    <t>② 운영위탁수수료 미지급분</t>
  </si>
  <si>
    <t>③ 운영위탁수수료적립요구액</t>
  </si>
  <si>
    <t>2. 지급수수료</t>
  </si>
  <si>
    <t>3. 자문수수료 등</t>
  </si>
  <si>
    <t>4. G/C 렌트료</t>
  </si>
  <si>
    <t>5. 판매장려금</t>
  </si>
  <si>
    <t>1) 고려해운</t>
  </si>
  <si>
    <t>2) 흥아해운</t>
  </si>
  <si>
    <t>3) 장금상선</t>
  </si>
  <si>
    <t>4) 남성해운</t>
  </si>
  <si>
    <t>5) 현대상선</t>
  </si>
  <si>
    <t>6) 동영해운</t>
  </si>
  <si>
    <t>7) 범주해운</t>
  </si>
  <si>
    <t>8) 천경해운</t>
  </si>
  <si>
    <t>9) 한진해운</t>
  </si>
  <si>
    <t>6. 대출금 이자비용</t>
  </si>
  <si>
    <t>7. 대체비</t>
  </si>
  <si>
    <t>1) 하역장비</t>
  </si>
  <si>
    <t>① Gantry Crane</t>
  </si>
  <si>
    <t>② Transfer Crane</t>
  </si>
  <si>
    <t>③ Reach Stacker 등</t>
  </si>
  <si>
    <t>④ Yard Tracter, Y/C</t>
  </si>
  <si>
    <t xml:space="preserve">⑤ Fork Lift </t>
  </si>
  <si>
    <t xml:space="preserve">⑥ Pick up Truck </t>
  </si>
  <si>
    <t>⑦ E-RTGC 개조, other</t>
  </si>
  <si>
    <t>⑧ 야드 자동화</t>
  </si>
  <si>
    <t>⑨ 업무용 차량</t>
  </si>
  <si>
    <t>2) 유지보수비/집기비품</t>
  </si>
  <si>
    <t>① 집기비품</t>
  </si>
  <si>
    <t>② 엘리베이터</t>
  </si>
  <si>
    <t>③ 운영동 사무실 보수</t>
  </si>
  <si>
    <t>④ 정비동 사무실 보수</t>
  </si>
  <si>
    <t>⑤ 설비</t>
  </si>
  <si>
    <t>조명탑</t>
  </si>
  <si>
    <t>LED</t>
  </si>
  <si>
    <t>가로등</t>
  </si>
  <si>
    <t>야드펜스</t>
  </si>
  <si>
    <t>⑥  G/C 신호확인시스템</t>
  </si>
  <si>
    <t xml:space="preserve">   </t>
  </si>
  <si>
    <t>⑦ 전산</t>
  </si>
  <si>
    <t>⑧ OCR CPS</t>
  </si>
  <si>
    <t>⑨ 진입로 공사</t>
  </si>
  <si>
    <t>⑩ 쇄석</t>
  </si>
  <si>
    <t>8. 대출금 상환</t>
  </si>
  <si>
    <t xml:space="preserve">9. 법인세 </t>
  </si>
  <si>
    <t>10. 금융부대비용(신용보증수수료)</t>
  </si>
  <si>
    <t>11. 보험 면책금</t>
  </si>
  <si>
    <t>12. 보안료 대납수수료</t>
  </si>
  <si>
    <t>13. 총사업비정산금</t>
  </si>
  <si>
    <t>집  행  소  계</t>
  </si>
  <si>
    <t xml:space="preserve"> 외상매출금</t>
  </si>
  <si>
    <t xml:space="preserve"> 부가세</t>
  </si>
  <si>
    <t xml:space="preserve"> 부가세환급</t>
  </si>
  <si>
    <t xml:space="preserve"> 예수금</t>
  </si>
  <si>
    <t xml:space="preserve"> 기타</t>
  </si>
  <si>
    <t>기  타  소  계</t>
  </si>
  <si>
    <t>자금집행 총계</t>
  </si>
  <si>
    <t>증감 (조달- 집행)</t>
  </si>
  <si>
    <t>1. 현금시재</t>
  </si>
  <si>
    <r>
      <t>구</t>
    </r>
    <r>
      <rPr>
        <sz val="9"/>
        <color rgb="FF000000"/>
        <rFont val="맑은 고딕"/>
        <family val="3"/>
        <charset val="129"/>
      </rPr>
      <t>분</t>
    </r>
  </si>
  <si>
    <t>현금유입</t>
  </si>
  <si>
    <t>현금유출</t>
  </si>
  <si>
    <t>잔여현금 이자수령</t>
  </si>
  <si>
    <t>펀드보수</t>
  </si>
  <si>
    <t>순현금흐름(펀드보수차감후)</t>
    <phoneticPr fontId="12" type="noConversion"/>
  </si>
  <si>
    <t>순현금흐름(펀드보수차감전)</t>
    <phoneticPr fontId="12" type="noConversion"/>
  </si>
  <si>
    <r>
      <t>내</t>
    </r>
    <r>
      <rPr>
        <sz val="9"/>
        <color rgb="FF000000"/>
        <rFont val="맑은 고딕"/>
        <family val="3"/>
        <charset val="129"/>
      </rPr>
      <t>역</t>
    </r>
  </si>
  <si>
    <t>선순위차입금 잔액</t>
  </si>
  <si>
    <r>
      <t>해지시지급금</t>
    </r>
    <r>
      <rPr>
        <vertAlign val="superscript"/>
        <sz val="9"/>
        <rFont val="맑은 고딕"/>
        <family val="3"/>
        <charset val="129"/>
      </rPr>
      <t>주)</t>
    </r>
  </si>
  <si>
    <t>사업자귀책</t>
  </si>
  <si>
    <t>비정치적 불가항력</t>
  </si>
  <si>
    <t>정치적 불가항력</t>
  </si>
  <si>
    <t>정부귀책</t>
  </si>
  <si>
    <t>TP Coverage(%)</t>
  </si>
  <si>
    <t xml:space="preserve">   사업자귀책</t>
  </si>
  <si>
    <t xml:space="preserve">   비정치적 불가항력</t>
  </si>
  <si>
    <t xml:space="preserve">   정치적 불가항력</t>
  </si>
  <si>
    <t xml:space="preserve">   정부귀책</t>
  </si>
  <si>
    <t>8.4.2 귀책사유별 해지시지급금</t>
    <phoneticPr fontId="12" type="noConversion"/>
  </si>
  <si>
    <t>선순위차입금 잔액</t>
    <phoneticPr fontId="12" type="noConversion"/>
  </si>
  <si>
    <t>영업수익(A)</t>
  </si>
  <si>
    <t>영업비용(B)</t>
  </si>
  <si>
    <t>영업이익(C=A-B)</t>
  </si>
  <si>
    <t>감가상각비 등(D)</t>
  </si>
  <si>
    <t>EBITDA(=C+D)</t>
  </si>
  <si>
    <t>영업이익률(C/A)</t>
  </si>
  <si>
    <t>EBITDA margin</t>
  </si>
  <si>
    <t>8.1 UNCT 수익성 검토</t>
    <phoneticPr fontId="12" type="noConversion"/>
  </si>
  <si>
    <t>연도별 EBITDA 검토</t>
    <phoneticPr fontId="12" type="noConversion"/>
  </si>
  <si>
    <t>선순위</t>
  </si>
  <si>
    <t>원리금</t>
  </si>
  <si>
    <t>선순위 원리금 상환부족</t>
  </si>
  <si>
    <t>기말</t>
  </si>
  <si>
    <t>N/A</t>
  </si>
  <si>
    <t>8.3 DSCR 검토</t>
    <phoneticPr fontId="12" type="noConversion"/>
  </si>
  <si>
    <t>최소</t>
  </si>
  <si>
    <t>평균</t>
  </si>
  <si>
    <t>단순 DSCR</t>
  </si>
  <si>
    <t>배당지급</t>
    <phoneticPr fontId="12" type="noConversion"/>
  </si>
  <si>
    <t>원리금 상환재원</t>
    <phoneticPr fontId="12" type="noConversion"/>
  </si>
  <si>
    <t>장기A대출 상환금액</t>
  </si>
  <si>
    <t>장기A대출 상환비율</t>
  </si>
  <si>
    <t>장기B-1대출 상환금액</t>
  </si>
  <si>
    <t>장기B-1대출 상환비율</t>
  </si>
  <si>
    <t>장기B-2대출 상환금액</t>
  </si>
  <si>
    <t>장기B-2대출 상환비율</t>
  </si>
  <si>
    <t>장기C대출 상환금액</t>
  </si>
  <si>
    <t>장기C대출 상환비율</t>
  </si>
  <si>
    <t>무보증 3년 회사채 AA-</t>
    <phoneticPr fontId="12" type="noConversion"/>
  </si>
  <si>
    <t>10년 평균</t>
    <phoneticPr fontId="12" type="noConversion"/>
  </si>
  <si>
    <t>9.2 민감도 분석</t>
    <phoneticPr fontId="12" type="noConversion"/>
  </si>
  <si>
    <t>펀드보수 차감 후</t>
  </si>
  <si>
    <t>펀드보수 차감 전</t>
  </si>
  <si>
    <t>기준금리</t>
  </si>
  <si>
    <t>UNCT 최소 단순 DSCR</t>
  </si>
  <si>
    <t>UNCT 최소 누적 DSCR</t>
  </si>
  <si>
    <r>
      <t>Fund ROI(통합)</t>
    </r>
    <r>
      <rPr>
        <vertAlign val="superscript"/>
        <sz val="9"/>
        <rFont val="맑은 고딕"/>
        <family val="3"/>
        <charset val="129"/>
      </rPr>
      <t>주)</t>
    </r>
  </si>
  <si>
    <t>요약</t>
    <phoneticPr fontId="12" type="noConversion"/>
  </si>
  <si>
    <t>4. 매출추정</t>
    <phoneticPr fontId="12" type="noConversion"/>
  </si>
  <si>
    <t>4.1.2 물동량 추정 결과</t>
    <phoneticPr fontId="12" type="noConversion"/>
  </si>
  <si>
    <r>
      <t>연</t>
    </r>
    <r>
      <rPr>
        <sz val="9"/>
        <color rgb="FF000000"/>
        <rFont val="맑은 고딕"/>
        <family val="3"/>
        <charset val="129"/>
      </rPr>
      <t>도</t>
    </r>
  </si>
  <si>
    <t>물동량</t>
  </si>
  <si>
    <t>증가율</t>
  </si>
  <si>
    <t>증가율</t>
    <phoneticPr fontId="12" type="noConversion"/>
  </si>
  <si>
    <t>과거실적</t>
    <phoneticPr fontId="12" type="noConversion"/>
  </si>
  <si>
    <t>추정</t>
    <phoneticPr fontId="12" type="noConversion"/>
  </si>
  <si>
    <r>
      <t>2022</t>
    </r>
    <r>
      <rPr>
        <sz val="9"/>
        <rFont val="맑은 고딕"/>
        <family val="3"/>
        <charset val="129"/>
      </rPr>
      <t> </t>
    </r>
  </si>
  <si>
    <t>CAGR</t>
  </si>
  <si>
    <t>사용료단가</t>
  </si>
  <si>
    <t>과거 실적 단가</t>
    <phoneticPr fontId="12" type="noConversion"/>
  </si>
  <si>
    <t>CAGR</t>
    <phoneticPr fontId="12" type="noConversion"/>
  </si>
  <si>
    <t>3년평균</t>
    <phoneticPr fontId="12" type="noConversion"/>
  </si>
  <si>
    <t>5년 평균</t>
    <phoneticPr fontId="12" type="noConversion"/>
  </si>
  <si>
    <t>개장후 실적단가</t>
    <phoneticPr fontId="12" type="noConversion"/>
  </si>
  <si>
    <t>기준사용료</t>
  </si>
  <si>
    <t>기준사용료</t>
    <phoneticPr fontId="12" type="noConversion"/>
  </si>
  <si>
    <t>Tariff 추정 결과</t>
    <phoneticPr fontId="12" type="noConversion"/>
  </si>
  <si>
    <t>4.4 MRG 추정</t>
    <phoneticPr fontId="12" type="noConversion"/>
  </si>
  <si>
    <t>실제 MRG확정</t>
    <phoneticPr fontId="12" type="noConversion"/>
  </si>
  <si>
    <t>MRG 발생</t>
    <phoneticPr fontId="12" type="noConversion"/>
  </si>
  <si>
    <t>MRG 수령</t>
    <phoneticPr fontId="12" type="noConversion"/>
  </si>
  <si>
    <t>5.2 운영비용 추정 결과</t>
    <phoneticPr fontId="12" type="noConversion"/>
  </si>
  <si>
    <t>대체비 및 유지비</t>
    <phoneticPr fontId="12" type="noConversion"/>
  </si>
  <si>
    <t>Tariff 민감도</t>
    <phoneticPr fontId="12" type="noConversion"/>
  </si>
  <si>
    <t>Tariff 민감도 분석</t>
    <phoneticPr fontId="12" type="noConversion"/>
  </si>
  <si>
    <t>Tariff 5년 5%</t>
    <phoneticPr fontId="12" type="noConversion"/>
  </si>
  <si>
    <t>실제 물동량</t>
    <phoneticPr fontId="12" type="noConversion"/>
  </si>
  <si>
    <t>실시협약 대비 물동량</t>
  </si>
  <si>
    <t>실시협약 대비 물동량</t>
    <phoneticPr fontId="12" type="noConversion"/>
  </si>
  <si>
    <t>실시협약 물동량</t>
  </si>
  <si>
    <t>실시협약 물동량</t>
    <phoneticPr fontId="12" type="noConversion"/>
  </si>
  <si>
    <t>추정물동량</t>
    <phoneticPr fontId="12" type="noConversion"/>
  </si>
  <si>
    <r>
      <t>구</t>
    </r>
    <r>
      <rPr>
        <sz val="9.5"/>
        <color rgb="FF000000"/>
        <rFont val="맑은 고딕"/>
        <family val="3"/>
        <charset val="129"/>
      </rPr>
      <t>분</t>
    </r>
  </si>
  <si>
    <t>A</t>
  </si>
  <si>
    <t>추정사용료수입(불변)</t>
  </si>
  <si>
    <t>B</t>
  </si>
  <si>
    <t>누적 소비자물가지수 변동분</t>
  </si>
  <si>
    <t>경상기준 추정사용료수입</t>
  </si>
  <si>
    <t>D</t>
  </si>
  <si>
    <t>보장비율</t>
  </si>
  <si>
    <t>E=CxD</t>
  </si>
  <si>
    <t>보장기준사용료수입(경상)</t>
  </si>
  <si>
    <t>F</t>
  </si>
  <si>
    <t>기준사용료(불변, 협약 부록7, 원/TEU)</t>
  </si>
  <si>
    <t>G=FxB</t>
  </si>
  <si>
    <t>결정사용료(경상, 원/TEU)</t>
  </si>
  <si>
    <t>H=Gx90%</t>
  </si>
  <si>
    <t>간주사용료(=실제사용료 간주)</t>
  </si>
  <si>
    <t>I</t>
  </si>
  <si>
    <t>실제 사용료수입</t>
  </si>
  <si>
    <t>경상가격기준 추정사용료수입의 50%</t>
  </si>
  <si>
    <t>실제 사용료수입 적용[MAX(J,K)]</t>
  </si>
  <si>
    <t>보장사용료수입</t>
  </si>
  <si>
    <t>운영비 정산</t>
  </si>
  <si>
    <t>운영비 정산 후 MRG</t>
  </si>
  <si>
    <t>C=AxB</t>
    <phoneticPr fontId="12" type="noConversion"/>
  </si>
  <si>
    <t>물동량[TEU]</t>
    <phoneticPr fontId="12" type="noConversion"/>
  </si>
  <si>
    <t>법인세 정산 후 MRG</t>
    <phoneticPr fontId="12" type="noConversion"/>
  </si>
  <si>
    <t>기타수입</t>
    <phoneticPr fontId="12" type="noConversion"/>
  </si>
  <si>
    <t xml:space="preserve">J </t>
    <phoneticPr fontId="12" type="noConversion"/>
  </si>
  <si>
    <t>K=HxI+J</t>
    <phoneticPr fontId="12" type="noConversion"/>
  </si>
  <si>
    <t>L=Cx50%</t>
    <phoneticPr fontId="12" type="noConversion"/>
  </si>
  <si>
    <t>M(=E-L)</t>
    <phoneticPr fontId="12" type="noConversion"/>
  </si>
  <si>
    <t>N(=E-M)</t>
    <phoneticPr fontId="12" type="noConversion"/>
  </si>
  <si>
    <t>O(=M-N)</t>
    <phoneticPr fontId="12" type="noConversion"/>
  </si>
  <si>
    <t>P(=N-O)</t>
    <phoneticPr fontId="12" type="noConversion"/>
  </si>
  <si>
    <t>Q</t>
    <phoneticPr fontId="12" type="noConversion"/>
  </si>
  <si>
    <t>R(=P-Q)</t>
    <phoneticPr fontId="12" type="noConversion"/>
  </si>
  <si>
    <t>5년평균</t>
    <phoneticPr fontId="12" type="noConversion"/>
  </si>
  <si>
    <t>회사개요 부분(09_20년MRG정산자료.xlsx 기준으로 맞춤)</t>
    <phoneticPr fontId="12" type="noConversion"/>
  </si>
  <si>
    <t>보장기준</t>
    <phoneticPr fontId="12" type="noConversion"/>
  </si>
  <si>
    <t>운영수입보장금</t>
    <phoneticPr fontId="12" type="noConversion"/>
  </si>
  <si>
    <t>MRG지급액</t>
    <phoneticPr fontId="12" type="noConversion"/>
  </si>
  <si>
    <t>data: 09_20년MRG정산자료.xlsx</t>
    <phoneticPr fontId="12" type="noConversion"/>
  </si>
  <si>
    <t>1. 당 법인의 업무는 재무모델 수신인의 이용 목적에 따라 수신인과 사전에 협의된 업무범위에 따라 수행되었으며 그 외 어떠한 다른 목적으로도 수행되지 않았습니다. 따라서 재무모델 수신인 외의 자가 수행하여야 할 독립적인 조사의 대체적인 방법으로 사용될 수 없습니다.</t>
    <phoneticPr fontId="12" type="noConversion"/>
  </si>
  <si>
    <t>특히, 검토일 현재 COVID 19로 인한 국내외 경제 및 관련 산업의 불확실성이 지속적으로 증가하고 있고 이러한 불확실성은 가치를 산출하기 위하여 이용하는 다양한 가정과 변수에 중요한 영향을 미칠 수 있으며 이로 인하여 가치가 다르게 도출될 수 있습니다. 따라서, 본 재무모델의 이용자는 현 경제상황의 불확실성으로 인한 변동 가능성에 대하여 이해하고 이러한 불확실성을 본 검토 결과와 별도로 판단해야 합니다.</t>
    <phoneticPr fontId="12" type="noConversion"/>
  </si>
  <si>
    <t>단위: 억원</t>
    <phoneticPr fontId="12" type="noConversion"/>
  </si>
  <si>
    <t>운영수입 (연도별, 경상)_단위: 억원</t>
  </si>
  <si>
    <t>운영수입 (분기별, 경상)_단위: 억원</t>
    <phoneticPr fontId="12" type="noConversion"/>
  </si>
  <si>
    <t>22년이후 합계</t>
    <phoneticPr fontId="12" type="noConversion"/>
  </si>
  <si>
    <t>구분(단위: 백만원)_연도별</t>
    <phoneticPr fontId="12" type="noConversion"/>
  </si>
  <si>
    <t>잔여 운영월수 index(분기)</t>
    <phoneticPr fontId="12" type="noConversion"/>
  </si>
  <si>
    <t>잔여 운영월수 index(해당년도)</t>
    <phoneticPr fontId="12" type="noConversion"/>
  </si>
  <si>
    <t>분기별 운영월수 index</t>
  </si>
  <si>
    <t>분기별 운영월수 index</t>
    <phoneticPr fontId="12" type="noConversion"/>
  </si>
  <si>
    <t>구분(연도별)</t>
    <phoneticPr fontId="12" type="noConversion"/>
  </si>
  <si>
    <t>구분(분기별)</t>
    <phoneticPr fontId="12" type="noConversion"/>
  </si>
  <si>
    <t>sum</t>
    <phoneticPr fontId="12" type="noConversion"/>
  </si>
  <si>
    <t xml:space="preserve">기초 </t>
    <phoneticPr fontId="12" type="noConversion"/>
  </si>
  <si>
    <t xml:space="preserve">상환 </t>
    <phoneticPr fontId="12" type="noConversion"/>
  </si>
  <si>
    <t xml:space="preserve">차입 </t>
    <phoneticPr fontId="12" type="noConversion"/>
  </si>
  <si>
    <t>연도별 운영월수 index</t>
    <phoneticPr fontId="12" type="noConversion"/>
  </si>
  <si>
    <t>운영비용(예정운영비용)</t>
  </si>
  <si>
    <t>운영비용(최소운영위탁수수료125%)</t>
  </si>
  <si>
    <t>선순위원금</t>
    <phoneticPr fontId="12" type="noConversion"/>
  </si>
  <si>
    <t>선순위이자</t>
  </si>
  <si>
    <t>a. 기간 반영 협약상 사용료수입(불변)</t>
    <phoneticPr fontId="12" type="noConversion"/>
  </si>
  <si>
    <t>C. 사업수익율 할인율</t>
    <phoneticPr fontId="12" type="noConversion"/>
  </si>
  <si>
    <t>D. 협약기대수익 할인가격(B/C)</t>
    <phoneticPr fontId="12" type="noConversion"/>
  </si>
  <si>
    <t>E. 협약기대수익의 현재가치</t>
    <phoneticPr fontId="12" type="noConversion"/>
  </si>
  <si>
    <t>F. 미래기대수익의 현재가치(AxE)</t>
    <phoneticPr fontId="12" type="noConversion"/>
  </si>
  <si>
    <t>전체 상환금액</t>
    <phoneticPr fontId="12" type="noConversion"/>
  </si>
  <si>
    <t>법인세 차액(불변)</t>
  </si>
  <si>
    <t>법인세 정산(경상)</t>
  </si>
  <si>
    <t>삼일회계법인(이하 “당 법인”)은 이지스자산운용(주)(이하 “귀사”)와 2022년 2월 3일 에 체결된 용역계약에 따라 울산신항 1-1단계 민간투자사업의 사업시행자인 유엔씨티㈜의 차입금 유동화(이하 "본 프로젝트")를 위한 현금흐름 분석 및 타당성 검토 업무를 수행하였습니다.</t>
    <phoneticPr fontId="12" type="noConversion"/>
  </si>
  <si>
    <t>물동량 민감도</t>
    <phoneticPr fontId="12" type="noConversion"/>
  </si>
  <si>
    <t>5년마다 5%씩</t>
    <phoneticPr fontId="12" type="noConversion"/>
  </si>
  <si>
    <t>물동량 95%</t>
    <phoneticPr fontId="12" type="noConversion"/>
  </si>
  <si>
    <t>물동량 90%</t>
    <phoneticPr fontId="12" type="noConversion"/>
  </si>
  <si>
    <t>연도별 차입금 상환</t>
    <phoneticPr fontId="46" type="noConversion"/>
  </si>
  <si>
    <t>물동량 적용율(2022년~)</t>
    <phoneticPr fontId="12" type="noConversion"/>
  </si>
  <si>
    <t>MRG (21년 이후 수령액 합계)</t>
    <phoneticPr fontId="12" type="noConversion"/>
  </si>
  <si>
    <t>펀드 대출금 금액(백만원)</t>
    <phoneticPr fontId="12" type="noConversion"/>
  </si>
  <si>
    <t>펀드 차입금 변동 기준금리(재조달~1년)</t>
    <phoneticPr fontId="12" type="noConversion"/>
  </si>
  <si>
    <t>펀드 차입금 변동 기준금리(재조달1년 이후)</t>
    <phoneticPr fontId="12" type="noConversion"/>
  </si>
  <si>
    <t>이자율(1종)</t>
    <phoneticPr fontId="12" type="noConversion"/>
  </si>
  <si>
    <t>상환비율&gt;</t>
    <phoneticPr fontId="12" type="noConversion"/>
  </si>
  <si>
    <t>Check</t>
    <phoneticPr fontId="7" type="noConversion"/>
  </si>
  <si>
    <t>법인운영비</t>
    <phoneticPr fontId="12" type="noConversion"/>
  </si>
  <si>
    <t>운영위탁수수료</t>
    <phoneticPr fontId="12" type="noConversion"/>
  </si>
  <si>
    <t>운영비용(운영위탁수수료)</t>
    <phoneticPr fontId="12" type="noConversion"/>
  </si>
  <si>
    <t>펀드 부대비용</t>
    <phoneticPr fontId="7" type="noConversion"/>
  </si>
  <si>
    <t>지급</t>
    <phoneticPr fontId="12" type="noConversion"/>
  </si>
  <si>
    <t>잔여현금</t>
    <phoneticPr fontId="12" type="noConversion"/>
  </si>
  <si>
    <t>Fund 전체 손익계산서_Quarterly</t>
    <phoneticPr fontId="12" type="noConversion"/>
  </si>
  <si>
    <t>Fund 전체 손익계산서_Yearly</t>
    <phoneticPr fontId="12" type="noConversion"/>
  </si>
  <si>
    <t>Fund 전체 현금흐름표_Yearly</t>
    <phoneticPr fontId="12" type="noConversion"/>
  </si>
  <si>
    <t>Fund 전체 현금흐름표_Quarterly</t>
    <phoneticPr fontId="12" type="noConversion"/>
  </si>
  <si>
    <t>Fund 전체 재무상태표_Quarterly</t>
    <phoneticPr fontId="12" type="noConversion"/>
  </si>
  <si>
    <t>자산</t>
    <phoneticPr fontId="7" type="noConversion"/>
  </si>
  <si>
    <t>부채</t>
    <phoneticPr fontId="7" type="noConversion"/>
  </si>
  <si>
    <t>현금및현금성자산</t>
    <phoneticPr fontId="7" type="noConversion"/>
  </si>
  <si>
    <t>자산총계</t>
    <phoneticPr fontId="7" type="noConversion"/>
  </si>
  <si>
    <t>운용자산(UNCT대출금)</t>
    <phoneticPr fontId="7" type="noConversion"/>
  </si>
  <si>
    <t>부채총계</t>
    <phoneticPr fontId="7" type="noConversion"/>
  </si>
  <si>
    <t>자본</t>
    <phoneticPr fontId="7" type="noConversion"/>
  </si>
  <si>
    <t>이익잉여금</t>
    <phoneticPr fontId="7" type="noConversion"/>
  </si>
  <si>
    <t>자본총계</t>
    <phoneticPr fontId="7" type="noConversion"/>
  </si>
  <si>
    <t>펀드 현금흐름표</t>
    <phoneticPr fontId="7" type="noConversion"/>
  </si>
  <si>
    <t>펀드 손익계산서</t>
    <phoneticPr fontId="7" type="noConversion"/>
  </si>
  <si>
    <t>펀드 재무상태표</t>
    <phoneticPr fontId="7" type="noConversion"/>
  </si>
  <si>
    <t>Fund 전체 재무상태표_Yearly</t>
    <phoneticPr fontId="12" type="noConversion"/>
  </si>
  <si>
    <t>잔여현금 이자비용</t>
    <phoneticPr fontId="7" type="noConversion"/>
  </si>
  <si>
    <t>펀드 B/S Check</t>
    <phoneticPr fontId="12" type="noConversion"/>
  </si>
  <si>
    <t>펀드 자금부족</t>
    <phoneticPr fontId="12" type="noConversion"/>
  </si>
  <si>
    <t>수익</t>
    <phoneticPr fontId="7" type="noConversion"/>
  </si>
  <si>
    <t>미지급 이자 합계</t>
    <phoneticPr fontId="12" type="noConversion"/>
  </si>
  <si>
    <t>미지급 원금 합계</t>
    <phoneticPr fontId="12" type="noConversion"/>
  </si>
  <si>
    <t>미지급</t>
    <phoneticPr fontId="12" type="noConversion"/>
  </si>
  <si>
    <t>조정이익(원금미지급)</t>
    <phoneticPr fontId="7" type="noConversion"/>
  </si>
  <si>
    <t>Fund 미회수금액(백만원)</t>
    <phoneticPr fontId="12" type="noConversion"/>
  </si>
  <si>
    <t>예정운영비용 물가상승률</t>
    <phoneticPr fontId="12" type="noConversion"/>
  </si>
  <si>
    <t>CPI (직전분기)</t>
    <phoneticPr fontId="8" type="noConversion"/>
  </si>
  <si>
    <t xml:space="preserve"> 현금유출</t>
  </si>
  <si>
    <t xml:space="preserve">- </t>
  </si>
  <si>
    <t xml:space="preserve"> 현금유입</t>
  </si>
  <si>
    <t xml:space="preserve"> 순현금흐름</t>
  </si>
  <si>
    <t>대출채권 매입</t>
    <phoneticPr fontId="12" type="noConversion"/>
  </si>
  <si>
    <t>대출채권 비용비용</t>
    <phoneticPr fontId="12" type="noConversion"/>
  </si>
  <si>
    <t>Fund 수익률</t>
  </si>
  <si>
    <t>수익증권 수익률</t>
  </si>
  <si>
    <t>22년 3분기</t>
    <phoneticPr fontId="12" type="noConversion"/>
  </si>
  <si>
    <t>22년 4분기</t>
    <phoneticPr fontId="12" type="noConversion"/>
  </si>
  <si>
    <t>23년 1분기</t>
    <phoneticPr fontId="12" type="noConversion"/>
  </si>
  <si>
    <t>23년 2분기</t>
    <phoneticPr fontId="12" type="noConversion"/>
  </si>
  <si>
    <t>23년 3분기</t>
    <phoneticPr fontId="12" type="noConversion"/>
  </si>
  <si>
    <t>24년 4분기</t>
    <phoneticPr fontId="12" type="noConversion"/>
  </si>
  <si>
    <t>25년 1분기</t>
    <phoneticPr fontId="12" type="noConversion"/>
  </si>
  <si>
    <t>23년 4분기</t>
    <phoneticPr fontId="12" type="noConversion"/>
  </si>
  <si>
    <t>24년 1분기</t>
    <phoneticPr fontId="12" type="noConversion"/>
  </si>
  <si>
    <t>25년 2분기</t>
    <phoneticPr fontId="12" type="noConversion"/>
  </si>
  <si>
    <t>24년 2분기</t>
    <phoneticPr fontId="12" type="noConversion"/>
  </si>
  <si>
    <t>24년 3분기</t>
    <phoneticPr fontId="12" type="noConversion"/>
  </si>
  <si>
    <t>25년 3분기</t>
    <phoneticPr fontId="12" type="noConversion"/>
  </si>
  <si>
    <t>25년 4분기</t>
    <phoneticPr fontId="12" type="noConversion"/>
  </si>
  <si>
    <t>26년 1분기</t>
    <phoneticPr fontId="12" type="noConversion"/>
  </si>
  <si>
    <t>26년 2분기</t>
    <phoneticPr fontId="12" type="noConversion"/>
  </si>
  <si>
    <t>26년 3분기</t>
    <phoneticPr fontId="12" type="noConversion"/>
  </si>
  <si>
    <t>26년 4분기</t>
    <phoneticPr fontId="12" type="noConversion"/>
  </si>
  <si>
    <t>27년 1분기</t>
    <phoneticPr fontId="12" type="noConversion"/>
  </si>
  <si>
    <t>27년 2분기</t>
    <phoneticPr fontId="12" type="noConversion"/>
  </si>
  <si>
    <t>27년 3분기</t>
    <phoneticPr fontId="12" type="noConversion"/>
  </si>
  <si>
    <t>27년 4분기</t>
    <phoneticPr fontId="12" type="noConversion"/>
  </si>
  <si>
    <t>28년 1분기</t>
    <phoneticPr fontId="12" type="noConversion"/>
  </si>
  <si>
    <t>28년 2분기</t>
    <phoneticPr fontId="12" type="noConversion"/>
  </si>
  <si>
    <t>28년 3분기</t>
    <phoneticPr fontId="12" type="noConversion"/>
  </si>
  <si>
    <t>28년 4분기</t>
    <phoneticPr fontId="12" type="noConversion"/>
  </si>
  <si>
    <t>29년 1분기</t>
    <phoneticPr fontId="12" type="noConversion"/>
  </si>
  <si>
    <t>29년 2분기</t>
    <phoneticPr fontId="12" type="noConversion"/>
  </si>
  <si>
    <t>29년 3분기</t>
    <phoneticPr fontId="12" type="noConversion"/>
  </si>
  <si>
    <t>사용료 인상 0%</t>
    <phoneticPr fontId="12" type="noConversion"/>
  </si>
  <si>
    <t>2022년 6월말 UNCT대출원금</t>
    <phoneticPr fontId="12" type="noConversion"/>
  </si>
  <si>
    <t>대출원금</t>
    <phoneticPr fontId="12" type="noConversion"/>
  </si>
  <si>
    <t>UNCT 22년 2Q 미상환원리금잔액(백만원)</t>
    <phoneticPr fontId="12" type="noConversion"/>
  </si>
  <si>
    <r>
      <t>기초금액</t>
    </r>
    <r>
      <rPr>
        <vertAlign val="superscript"/>
        <sz val="9.5"/>
        <rFont val="맑은 고딕"/>
        <family val="3"/>
        <charset val="129"/>
      </rPr>
      <t>주1)</t>
    </r>
  </si>
  <si>
    <t>정부보조금수익(IS)</t>
  </si>
  <si>
    <r>
      <t>MRG 수령금액</t>
    </r>
    <r>
      <rPr>
        <vertAlign val="superscript"/>
        <sz val="9.5"/>
        <rFont val="맑은 고딕"/>
        <family val="3"/>
        <charset val="129"/>
      </rPr>
      <t>주2)</t>
    </r>
  </si>
  <si>
    <t>MRG 미수금 잔액</t>
  </si>
  <si>
    <t>펀드전체</t>
    <phoneticPr fontId="12" type="noConversion"/>
  </si>
  <si>
    <t>원금수령</t>
    <phoneticPr fontId="12" type="noConversion"/>
  </si>
  <si>
    <t>이자수령</t>
    <phoneticPr fontId="12" type="noConversion"/>
  </si>
  <si>
    <t>차입금 인출</t>
    <phoneticPr fontId="12" type="noConversion"/>
  </si>
  <si>
    <t>Fund(통합) ROI</t>
  </si>
  <si>
    <t>1종 변동수익증권 이익</t>
  </si>
  <si>
    <t>1종 고정수익증권 이익</t>
  </si>
  <si>
    <t>1종 고정수익증권 원금</t>
  </si>
  <si>
    <t>1종 변동수익증권 원금</t>
  </si>
  <si>
    <t>1종+2종</t>
    <phoneticPr fontId="12" type="noConversion"/>
  </si>
  <si>
    <t>1종 변동</t>
    <phoneticPr fontId="12" type="noConversion"/>
  </si>
  <si>
    <t>1종 고정</t>
    <phoneticPr fontId="12" type="noConversion"/>
  </si>
  <si>
    <t>차감후</t>
    <phoneticPr fontId="12" type="noConversion"/>
  </si>
  <si>
    <t>차감전</t>
    <phoneticPr fontId="12" type="noConversion"/>
  </si>
  <si>
    <t>구분(물동량 95%)</t>
  </si>
  <si>
    <t>원리금상환재원</t>
  </si>
  <si>
    <t>차입금원리금 상환부족</t>
  </si>
  <si>
    <t>대체비, 유지보수비</t>
  </si>
  <si>
    <t>예정 운영비용</t>
  </si>
  <si>
    <t>차입금원금</t>
    <phoneticPr fontId="12" type="noConversion"/>
  </si>
  <si>
    <t>차입금이자</t>
    <phoneticPr fontId="12" type="noConversion"/>
  </si>
  <si>
    <r>
      <t>1종 고정 수익증권 ROI</t>
    </r>
    <r>
      <rPr>
        <vertAlign val="superscript"/>
        <sz val="9.5"/>
        <rFont val="맑은 고딕"/>
        <family val="3"/>
        <charset val="129"/>
      </rPr>
      <t xml:space="preserve"> 주)</t>
    </r>
  </si>
  <si>
    <r>
      <t>1종 변동 수익증권ROI</t>
    </r>
    <r>
      <rPr>
        <vertAlign val="superscript"/>
        <sz val="9.5"/>
        <rFont val="맑은 고딕"/>
        <family val="3"/>
        <charset val="129"/>
      </rPr>
      <t xml:space="preserve"> 주)</t>
    </r>
  </si>
  <si>
    <t>최대미지금 운영비</t>
    <phoneticPr fontId="12" type="noConversion"/>
  </si>
  <si>
    <t>미회수금액</t>
    <phoneticPr fontId="12" type="noConversion"/>
  </si>
  <si>
    <t>기준금리 2.3%</t>
    <phoneticPr fontId="12" type="noConversion"/>
  </si>
  <si>
    <t>기준금리 2.6%</t>
    <phoneticPr fontId="12" type="noConversion"/>
  </si>
  <si>
    <t>기준금리 2.7%</t>
    <phoneticPr fontId="12" type="noConversion"/>
  </si>
  <si>
    <t>기준금리 2.5%</t>
    <phoneticPr fontId="12" type="noConversion"/>
  </si>
  <si>
    <t>실시협약 추정사용료수입(불변)</t>
  </si>
  <si>
    <t>차입금 잔액</t>
  </si>
  <si>
    <t>해지시지급금</t>
  </si>
  <si>
    <t>사업자</t>
  </si>
  <si>
    <t>귀책</t>
  </si>
  <si>
    <t>비정치적</t>
  </si>
  <si>
    <t>불가항력</t>
  </si>
  <si>
    <t>정치적</t>
  </si>
  <si>
    <t>check&gt;&gt;</t>
    <phoneticPr fontId="12" type="noConversion"/>
  </si>
  <si>
    <t>반영여부(1:반영, 2: 미반영)</t>
    <phoneticPr fontId="12" type="noConversion"/>
  </si>
  <si>
    <t>법인세정산반영</t>
    <phoneticPr fontId="12" type="noConversion"/>
  </si>
  <si>
    <t>최대 발생액(2022년~)</t>
    <phoneticPr fontId="12" type="noConversion"/>
  </si>
  <si>
    <t>위탁수수료+법인운영비</t>
    <phoneticPr fontId="12" type="noConversion"/>
  </si>
  <si>
    <t>상환 후 여유현금</t>
    <phoneticPr fontId="12" type="noConversion"/>
  </si>
  <si>
    <t>MRG기간 종료 후 주무관청 법인세 정산액 반영</t>
    <phoneticPr fontId="12" type="noConversion"/>
  </si>
  <si>
    <t>운영비용(법인세)</t>
    <phoneticPr fontId="12" type="noConversion"/>
  </si>
  <si>
    <t>대체비,유지비,보수비, 기타비용</t>
    <phoneticPr fontId="12" type="noConversion"/>
  </si>
  <si>
    <t xml:space="preserve">단순DSCR </t>
    <phoneticPr fontId="12" type="noConversion"/>
  </si>
  <si>
    <t>참고) 누적 부채상환비율(위탁수수료 등 운영비용 지급 후)</t>
    <phoneticPr fontId="12" type="noConversion"/>
  </si>
  <si>
    <t>참고) 단순 부채상환비율(위탁수수료 등 운영비용 지급 후)</t>
    <phoneticPr fontId="12" type="noConversion"/>
  </si>
  <si>
    <t>당기지급액</t>
    <phoneticPr fontId="46" type="noConversion"/>
  </si>
  <si>
    <t>기타운영비용지급</t>
    <phoneticPr fontId="12" type="noConversion"/>
  </si>
  <si>
    <t>예정운영비용지급</t>
    <phoneticPr fontId="12" type="noConversion"/>
  </si>
  <si>
    <t xml:space="preserve">2022년 이후 </t>
    <phoneticPr fontId="12" type="noConversion"/>
  </si>
  <si>
    <t>기타비용</t>
    <phoneticPr fontId="12" type="noConversion"/>
  </si>
  <si>
    <t>지급 후 여유현금</t>
    <phoneticPr fontId="12" type="noConversion"/>
  </si>
  <si>
    <t>기준금리 2.5%</t>
  </si>
  <si>
    <t>기준금리 2.3%</t>
  </si>
  <si>
    <t>기준금리 2.6%</t>
  </si>
  <si>
    <t>기준금리 2.7%</t>
  </si>
  <si>
    <t>2025.3Q</t>
  </si>
  <si>
    <t>2025.4Q</t>
  </si>
  <si>
    <t>2026.1Q</t>
  </si>
  <si>
    <t>2026.2Q</t>
  </si>
  <si>
    <t>2026.3Q</t>
  </si>
  <si>
    <t>2026.4Q</t>
  </si>
  <si>
    <t>2027.1Q</t>
  </si>
  <si>
    <t>2027.2Q</t>
  </si>
  <si>
    <t>매출액</t>
  </si>
  <si>
    <t>제세공과금</t>
  </si>
  <si>
    <t>원리금상환가능현금(A)</t>
  </si>
  <si>
    <t>원금</t>
  </si>
  <si>
    <t>원리금상환액(B)</t>
  </si>
  <si>
    <t>상환배수(A/B)</t>
  </si>
  <si>
    <t>2027.3Q</t>
  </si>
  <si>
    <t>2027.4Q</t>
  </si>
  <si>
    <t>2028.1Q</t>
  </si>
  <si>
    <t>2028.2Q</t>
  </si>
  <si>
    <t>2028.3Q</t>
  </si>
  <si>
    <t>2028.4Q</t>
  </si>
  <si>
    <t>2029.1Q</t>
  </si>
  <si>
    <t>2029.2Q</t>
  </si>
  <si>
    <t>2029.3Q</t>
  </si>
  <si>
    <t>비용(변동수익증권 이자)</t>
    <phoneticPr fontId="7" type="noConversion"/>
  </si>
  <si>
    <t>비용(고정수익증권 이자)</t>
    <phoneticPr fontId="7" type="noConversion"/>
  </si>
  <si>
    <t>상환(변동수익증권 원금)</t>
    <phoneticPr fontId="7" type="noConversion"/>
  </si>
  <si>
    <t>잔여현금 이자지급(변동)</t>
    <phoneticPr fontId="12" type="noConversion"/>
  </si>
  <si>
    <t>상환(고정수익증권 원금)</t>
    <phoneticPr fontId="7" type="noConversion"/>
  </si>
  <si>
    <t>이자_변동</t>
    <phoneticPr fontId="7" type="noConversion"/>
  </si>
  <si>
    <t>원금_변동</t>
    <phoneticPr fontId="7" type="noConversion"/>
  </si>
  <si>
    <t>이자_고정</t>
    <phoneticPr fontId="7" type="noConversion"/>
  </si>
  <si>
    <t>원금_고정</t>
    <phoneticPr fontId="7" type="noConversion"/>
  </si>
  <si>
    <t>기초금액_변동</t>
    <phoneticPr fontId="12" type="noConversion"/>
  </si>
  <si>
    <t>당기차입_변동</t>
    <phoneticPr fontId="12" type="noConversion"/>
  </si>
  <si>
    <t>당기상환_변동</t>
    <phoneticPr fontId="12" type="noConversion"/>
  </si>
  <si>
    <t>기말금액_변동</t>
    <phoneticPr fontId="12" type="noConversion"/>
  </si>
  <si>
    <t>기초금액_고정</t>
    <phoneticPr fontId="12" type="noConversion"/>
  </si>
  <si>
    <t>당기차입_고정</t>
    <phoneticPr fontId="12" type="noConversion"/>
  </si>
  <si>
    <t>당기상환_고정</t>
    <phoneticPr fontId="12" type="noConversion"/>
  </si>
  <si>
    <t>기말금액_고정</t>
    <phoneticPr fontId="12" type="noConversion"/>
  </si>
  <si>
    <t>전체 신규 투자자</t>
    <phoneticPr fontId="12" type="noConversion"/>
  </si>
  <si>
    <t>Fund ROI
(통합)</t>
    <phoneticPr fontId="12" type="noConversion"/>
  </si>
  <si>
    <t>Fund ROI(통합)_보수차감전</t>
    <phoneticPr fontId="12" type="noConversion"/>
  </si>
  <si>
    <t>Fund ROI(고정)_보수차감전</t>
    <phoneticPr fontId="12" type="noConversion"/>
  </si>
  <si>
    <t>Fund ROI(변동)_보수차감전</t>
    <phoneticPr fontId="12" type="noConversion"/>
  </si>
  <si>
    <t>Fund ROI(통합)_보수차감후</t>
    <phoneticPr fontId="12" type="noConversion"/>
  </si>
  <si>
    <t>Fund ROI(고정)_보수차감후</t>
    <phoneticPr fontId="12" type="noConversion"/>
  </si>
  <si>
    <t>Fund ROI(변동)_보수차감후</t>
    <phoneticPr fontId="12" type="noConversion"/>
  </si>
  <si>
    <t>펀드 변동수익증권</t>
    <phoneticPr fontId="12" type="noConversion"/>
  </si>
  <si>
    <t>펀드 고정수익증권</t>
    <phoneticPr fontId="12" type="noConversion"/>
  </si>
  <si>
    <t>펀드 고정수익증권_고정이자율</t>
    <phoneticPr fontId="12" type="noConversion"/>
  </si>
  <si>
    <t>펀드 변동수익증권_가산금리</t>
    <phoneticPr fontId="12" type="noConversion"/>
  </si>
  <si>
    <t>발생(고정)</t>
    <phoneticPr fontId="12" type="noConversion"/>
  </si>
  <si>
    <t>발생(변동)</t>
    <phoneticPr fontId="12" type="noConversion"/>
  </si>
  <si>
    <t>지급(고정)</t>
    <phoneticPr fontId="12" type="noConversion"/>
  </si>
  <si>
    <t>지급(변동)</t>
    <phoneticPr fontId="12" type="noConversion"/>
  </si>
  <si>
    <t>미지급(고정)</t>
    <phoneticPr fontId="12" type="noConversion"/>
  </si>
  <si>
    <t>미지급(변동)</t>
    <phoneticPr fontId="12" type="noConversion"/>
  </si>
  <si>
    <t>부족액</t>
    <phoneticPr fontId="12" type="noConversion"/>
  </si>
  <si>
    <t>(통합)</t>
    <phoneticPr fontId="12" type="noConversion"/>
  </si>
  <si>
    <t xml:space="preserve">변동 </t>
    <phoneticPr fontId="12" type="noConversion"/>
  </si>
  <si>
    <t xml:space="preserve">고정 </t>
    <phoneticPr fontId="12" type="noConversion"/>
  </si>
  <si>
    <t>3.수익증권(변동) 이자</t>
    <phoneticPr fontId="7" type="noConversion"/>
  </si>
  <si>
    <t>잔여현금</t>
  </si>
  <si>
    <t>지급</t>
  </si>
  <si>
    <t>4. 수익증권(변동) 잔여현금</t>
    <phoneticPr fontId="12" type="noConversion"/>
  </si>
  <si>
    <t>신규 고정수익증권 투자자</t>
    <phoneticPr fontId="12" type="noConversion"/>
  </si>
  <si>
    <t>신규 변동수익증권 투자자</t>
    <phoneticPr fontId="12" type="noConversion"/>
  </si>
  <si>
    <t>Fund ROI
(변동)</t>
    <phoneticPr fontId="12" type="noConversion"/>
  </si>
  <si>
    <t>Fund ROI
(고정)</t>
    <phoneticPr fontId="12" type="noConversion"/>
  </si>
  <si>
    <t>잔여현금이자_변동</t>
    <phoneticPr fontId="12" type="noConversion"/>
  </si>
  <si>
    <t>원본(변동수익증권)</t>
    <phoneticPr fontId="7" type="noConversion"/>
  </si>
  <si>
    <t>원본(고정수익증권)</t>
    <phoneticPr fontId="7" type="noConversion"/>
  </si>
  <si>
    <t>변동수익증권 원금 미회수</t>
    <phoneticPr fontId="12" type="noConversion"/>
  </si>
  <si>
    <t>변동수익증권 이자 미회수</t>
    <phoneticPr fontId="12" type="noConversion"/>
  </si>
  <si>
    <t>고정수익증권 이자 미회수</t>
    <phoneticPr fontId="12" type="noConversion"/>
  </si>
  <si>
    <t>고정수익증권 원금 미회수</t>
    <phoneticPr fontId="12" type="noConversion"/>
  </si>
  <si>
    <t>잔여현금 이자수령(변동)</t>
  </si>
  <si>
    <t>잔여현금 이자수령(변동)</t>
    <phoneticPr fontId="7" type="noConversion"/>
  </si>
  <si>
    <t>고정수익증권 원금수령</t>
  </si>
  <si>
    <t>고정수익증권 원금수령</t>
    <phoneticPr fontId="12" type="noConversion"/>
  </si>
  <si>
    <t>고정수익증권 이자수령</t>
  </si>
  <si>
    <t>고정수익증권 이자수령</t>
    <phoneticPr fontId="7" type="noConversion"/>
  </si>
  <si>
    <t>변동수익증권 원금수령</t>
  </si>
  <si>
    <t>변동수익증권 원금수령</t>
    <phoneticPr fontId="7" type="noConversion"/>
  </si>
  <si>
    <t>변동수익증권 이자수령</t>
  </si>
  <si>
    <t>변동수익증권 이자수령</t>
    <phoneticPr fontId="7" type="noConversion"/>
  </si>
  <si>
    <t>Cash In</t>
  </si>
  <si>
    <t>Cash Out</t>
  </si>
  <si>
    <t>고정대출 차입금 인출</t>
  </si>
  <si>
    <t>변동대출 차입금 인출</t>
  </si>
  <si>
    <t>순현금흐름(펀드보수차감후)</t>
  </si>
  <si>
    <t>순현금흐름(펀드보수차감전)</t>
  </si>
  <si>
    <t>unct이자</t>
    <phoneticPr fontId="12" type="noConversion"/>
  </si>
  <si>
    <t>fund이자</t>
    <phoneticPr fontId="12" type="noConversion"/>
  </si>
  <si>
    <t>unct원금</t>
    <phoneticPr fontId="12" type="noConversion"/>
  </si>
  <si>
    <t>fund원금</t>
    <phoneticPr fontId="12" type="noConversion"/>
  </si>
  <si>
    <t>누적diff</t>
    <phoneticPr fontId="12" type="noConversion"/>
  </si>
  <si>
    <t>diff1 + diff 2</t>
    <phoneticPr fontId="12" type="noConversion"/>
  </si>
  <si>
    <t>diff 1</t>
    <phoneticPr fontId="12" type="noConversion"/>
  </si>
  <si>
    <t>diff 2</t>
    <phoneticPr fontId="12" type="noConversion"/>
  </si>
  <si>
    <t>누적</t>
    <phoneticPr fontId="12" type="noConversion"/>
  </si>
  <si>
    <t>&lt;참고&gt;</t>
    <phoneticPr fontId="12" type="noConversion"/>
  </si>
  <si>
    <t>고정수익증권 ROI</t>
  </si>
  <si>
    <t>고정수익증권 ROI</t>
    <phoneticPr fontId="12" type="noConversion"/>
  </si>
  <si>
    <t>변동수익증권 ROI</t>
  </si>
  <si>
    <t>변동수익증권 ROI</t>
    <phoneticPr fontId="12" type="noConversion"/>
  </si>
  <si>
    <t>7.2.1 기본가정</t>
    <phoneticPr fontId="12" type="noConversion"/>
  </si>
  <si>
    <t>7.2.2 Fund 예상현금흐름</t>
    <phoneticPr fontId="12" type="noConversion"/>
  </si>
  <si>
    <t>2022.3Q</t>
    <phoneticPr fontId="12" type="noConversion"/>
  </si>
  <si>
    <t>2022.4Q</t>
    <phoneticPr fontId="12" type="noConversion"/>
  </si>
  <si>
    <t>2023.1Q</t>
    <phoneticPr fontId="12" type="noConversion"/>
  </si>
  <si>
    <t>2023.2Q</t>
    <phoneticPr fontId="12" type="noConversion"/>
  </si>
  <si>
    <t>2023.3Q</t>
    <phoneticPr fontId="12" type="noConversion"/>
  </si>
  <si>
    <t>2023.4Q</t>
    <phoneticPr fontId="12" type="noConversion"/>
  </si>
  <si>
    <t>2024.1Q</t>
    <phoneticPr fontId="12" type="noConversion"/>
  </si>
  <si>
    <t>2024.2Q</t>
    <phoneticPr fontId="12" type="noConversion"/>
  </si>
  <si>
    <t>2024.3Q</t>
    <phoneticPr fontId="12" type="noConversion"/>
  </si>
  <si>
    <t>2024.4Q</t>
    <phoneticPr fontId="12" type="noConversion"/>
  </si>
  <si>
    <t>2025.1Q</t>
    <phoneticPr fontId="12" type="noConversion"/>
  </si>
  <si>
    <t>2025.2Q</t>
    <phoneticPr fontId="12" type="noConversion"/>
  </si>
  <si>
    <t>2025.3Q</t>
    <phoneticPr fontId="12" type="noConversion"/>
  </si>
  <si>
    <t>2025.4Q</t>
    <phoneticPr fontId="12" type="noConversion"/>
  </si>
  <si>
    <t>2026.1Q</t>
    <phoneticPr fontId="12" type="noConversion"/>
  </si>
  <si>
    <t>2026.2Q</t>
    <phoneticPr fontId="12" type="noConversion"/>
  </si>
  <si>
    <t>2026.3Q</t>
    <phoneticPr fontId="12" type="noConversion"/>
  </si>
  <si>
    <t>2026.4Q</t>
    <phoneticPr fontId="12" type="noConversion"/>
  </si>
  <si>
    <t>2027.1Q</t>
    <phoneticPr fontId="12" type="noConversion"/>
  </si>
  <si>
    <t>2027.2Q</t>
    <phoneticPr fontId="12" type="noConversion"/>
  </si>
  <si>
    <t>2027.3Q</t>
    <phoneticPr fontId="12" type="noConversion"/>
  </si>
  <si>
    <t>2027.4Q</t>
    <phoneticPr fontId="12" type="noConversion"/>
  </si>
  <si>
    <t>2028.1Q</t>
    <phoneticPr fontId="12" type="noConversion"/>
  </si>
  <si>
    <t>2028.2Q</t>
    <phoneticPr fontId="12" type="noConversion"/>
  </si>
  <si>
    <t>2028.3Q</t>
    <phoneticPr fontId="12" type="noConversion"/>
  </si>
  <si>
    <t>2028.4Q</t>
    <phoneticPr fontId="12" type="noConversion"/>
  </si>
  <si>
    <t>2029.1Q</t>
    <phoneticPr fontId="12" type="noConversion"/>
  </si>
  <si>
    <t>2029.2Q</t>
    <phoneticPr fontId="12" type="noConversion"/>
  </si>
  <si>
    <t>2029.3Q</t>
    <phoneticPr fontId="12" type="noConversion"/>
  </si>
  <si>
    <t>상환비율</t>
  </si>
  <si>
    <t>고정수익증권</t>
    <phoneticPr fontId="12" type="noConversion"/>
  </si>
  <si>
    <t>변동수익증권</t>
    <phoneticPr fontId="12" type="noConversion"/>
  </si>
  <si>
    <t>1.수익증권(고정/변동) 원금</t>
    <phoneticPr fontId="7" type="noConversion"/>
  </si>
  <si>
    <t>2.수익증권(고정) 이자</t>
    <phoneticPr fontId="7" type="noConversion"/>
  </si>
  <si>
    <t>구분(단위 : 백만원)</t>
  </si>
  <si>
    <t>22년</t>
  </si>
  <si>
    <t xml:space="preserve"> 3분기</t>
  </si>
  <si>
    <t xml:space="preserve"> 4분기</t>
  </si>
  <si>
    <t>23년</t>
  </si>
  <si>
    <t xml:space="preserve"> 1분기</t>
  </si>
  <si>
    <t xml:space="preserve"> 2분기</t>
  </si>
  <si>
    <t>24년</t>
  </si>
  <si>
    <t>정부귀책사유</t>
  </si>
  <si>
    <t>사업자귀책사유</t>
  </si>
  <si>
    <t>대출금 잔액</t>
  </si>
  <si>
    <t>25년</t>
  </si>
  <si>
    <t>26년</t>
  </si>
  <si>
    <t>27년</t>
  </si>
  <si>
    <t>28년</t>
  </si>
  <si>
    <t>29년</t>
  </si>
  <si>
    <t>2022(3Q~)</t>
  </si>
  <si>
    <t>차입금원금(A+B+C+D)</t>
  </si>
  <si>
    <t>(장기A대출)(A)</t>
  </si>
  <si>
    <t>(장기B-1대출)(B)</t>
  </si>
  <si>
    <t>(장기B-2대출)(C)</t>
  </si>
  <si>
    <t>(장기C대출)(D)</t>
  </si>
  <si>
    <t>차입금이자</t>
  </si>
  <si>
    <t>대체비, 유지보수비, 기타비용</t>
  </si>
  <si>
    <t>운영비용(법인운영비포함)</t>
  </si>
  <si>
    <t>차입금원리금</t>
  </si>
  <si>
    <t>1년차</t>
  </si>
  <si>
    <t>MRG금액</t>
  </si>
  <si>
    <t>2년차</t>
    <phoneticPr fontId="12" type="noConversion"/>
  </si>
  <si>
    <t>3년차</t>
  </si>
  <si>
    <t>4년차</t>
  </si>
  <si>
    <t>5년차</t>
  </si>
  <si>
    <t>6년차</t>
  </si>
  <si>
    <t>7년차</t>
  </si>
  <si>
    <t>8년차</t>
  </si>
  <si>
    <t>9년차</t>
  </si>
  <si>
    <t>10년차</t>
  </si>
  <si>
    <t>11년차</t>
  </si>
  <si>
    <t>12년차</t>
  </si>
  <si>
    <t>13년차</t>
  </si>
  <si>
    <t>14년차</t>
  </si>
  <si>
    <t>15년차</t>
  </si>
  <si>
    <t>16년차</t>
  </si>
  <si>
    <t>누적MRG</t>
    <phoneticPr fontId="12" type="noConversion"/>
  </si>
  <si>
    <t>기준금리 2.75%</t>
    <phoneticPr fontId="12" type="noConversion"/>
  </si>
  <si>
    <t>기준금리 3.00%</t>
    <phoneticPr fontId="12" type="noConversion"/>
  </si>
  <si>
    <t>기준금리 3.25%</t>
    <phoneticPr fontId="12" type="noConversion"/>
  </si>
  <si>
    <t>기준금리 3.5%</t>
    <phoneticPr fontId="12" type="noConversion"/>
  </si>
  <si>
    <t>자산총액</t>
  </si>
  <si>
    <t>부채총액</t>
  </si>
  <si>
    <t>영업이익률</t>
  </si>
  <si>
    <t>순이익률</t>
  </si>
  <si>
    <t>원금상환일</t>
  </si>
  <si>
    <t>1회차</t>
  </si>
  <si>
    <t>2회차</t>
  </si>
  <si>
    <t>3회차</t>
  </si>
  <si>
    <t>4회차</t>
  </si>
  <si>
    <t>5회차</t>
  </si>
  <si>
    <t>6회차</t>
  </si>
  <si>
    <t>7회차</t>
  </si>
  <si>
    <t>8회차</t>
  </si>
  <si>
    <t>9회차</t>
  </si>
  <si>
    <t>10회차</t>
  </si>
  <si>
    <t>11회차</t>
  </si>
  <si>
    <t>12회차</t>
  </si>
  <si>
    <t>13회차</t>
  </si>
  <si>
    <t>14회차</t>
  </si>
  <si>
    <t>15회차</t>
  </si>
  <si>
    <t>16회차</t>
  </si>
  <si>
    <t>17회차</t>
  </si>
  <si>
    <t>18회차</t>
  </si>
  <si>
    <t>19회차</t>
  </si>
  <si>
    <t>20회차</t>
  </si>
  <si>
    <t>21회차</t>
  </si>
  <si>
    <t>22회차</t>
  </si>
  <si>
    <t>23회차</t>
  </si>
  <si>
    <t>24회차</t>
  </si>
  <si>
    <t>25회차</t>
  </si>
  <si>
    <t>26회차</t>
  </si>
  <si>
    <t>27회차</t>
  </si>
  <si>
    <t>28회차</t>
  </si>
  <si>
    <t>29회차</t>
  </si>
  <si>
    <t>장기A대출금</t>
    <phoneticPr fontId="12" type="noConversion"/>
  </si>
  <si>
    <t>장기B-1대출금</t>
    <phoneticPr fontId="12" type="noConversion"/>
  </si>
  <si>
    <t>장기B-2대출금</t>
    <phoneticPr fontId="12" type="noConversion"/>
  </si>
  <si>
    <t>장기C대출금</t>
    <phoneticPr fontId="12" type="noConversion"/>
  </si>
  <si>
    <t>구분(단위 : 천원)</t>
    <phoneticPr fontId="12" type="noConversion"/>
  </si>
  <si>
    <r>
      <t>시공회사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바탕"/>
        <family val="1"/>
        <charset val="129"/>
      </rPr>
      <t>및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바탕"/>
        <family val="1"/>
        <charset val="129"/>
      </rPr>
      <t>건설출자자</t>
    </r>
  </si>
  <si>
    <r>
      <t>지분율</t>
    </r>
    <r>
      <rPr>
        <sz val="11"/>
        <color rgb="FF000000"/>
        <rFont val="Times New Roman"/>
        <family val="1"/>
      </rPr>
      <t>(%)</t>
    </r>
  </si>
  <si>
    <t>운영출자자</t>
  </si>
  <si>
    <t>㈜동방</t>
  </si>
  <si>
    <r>
      <t>시공회사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바탕"/>
        <family val="1"/>
        <charset val="129"/>
      </rPr>
      <t>겸</t>
    </r>
  </si>
  <si>
    <t>건설출자자</t>
  </si>
  <si>
    <r>
      <t>HDC</t>
    </r>
    <r>
      <rPr>
        <sz val="11"/>
        <color rgb="FF000000"/>
        <rFont val="바탕"/>
        <family val="1"/>
        <charset val="129"/>
      </rPr>
      <t>㈜</t>
    </r>
  </si>
  <si>
    <t>㈜대우건설</t>
  </si>
  <si>
    <t>㈜한진중공업</t>
  </si>
  <si>
    <t>디엘건설㈜</t>
  </si>
  <si>
    <t>한일건설</t>
  </si>
  <si>
    <t>㈜한화건섷</t>
  </si>
  <si>
    <t>신창산업개발㈜</t>
  </si>
  <si>
    <r>
      <t>재무출자자</t>
    </r>
    <r>
      <rPr>
        <sz val="11"/>
        <color rgb="FF000000"/>
        <rFont val="Times New Roman"/>
        <family val="1"/>
      </rPr>
      <t xml:space="preserve">   </t>
    </r>
  </si>
  <si>
    <t>국민연금공단</t>
  </si>
  <si>
    <t>수협은행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</si>
</sst>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5">
    <numFmt numFmtId="6" formatCode="&quot;₩&quot;#,##0;[Red]\-&quot;₩&quot;#,##0"/>
    <numFmt numFmtId="41" formatCode="_-* #,##0_-;\-* #,##0_-;_-* &quot;-&quot;_-;_-@_-"/>
    <numFmt numFmtId="43" formatCode="_-* #,##0.00_-;\-* #,##0.00_-;_-* &quot;-&quot;??_-;_-@_-"/>
    <numFmt numFmtId="176" formatCode="General&quot;Q&quot;"/>
    <numFmt numFmtId="177" formatCode="#,##0_);[Red]\(#,##0\)"/>
    <numFmt numFmtId="178" formatCode="#,##0_);[Red]\(#,##0\);&quot;-&quot;_)"/>
    <numFmt numFmtId="179" formatCode="_-* #,##0.0_-;\-* #,##0.0_-;_-* &quot;-&quot;_-;_-@_-"/>
    <numFmt numFmtId="180" formatCode="#,##0.0_);[Red]\(#,##0.0\);&quot;-&quot;_)"/>
    <numFmt numFmtId="181" formatCode="_-* #,##0.00_-;\-* #,##0.00_-;_-* &quot;-&quot;_-;_-@_-"/>
    <numFmt numFmtId="182" formatCode="yy&quot;/&quot;m&quot;/&quot;d;@"/>
    <numFmt numFmtId="183" formatCode="#,##0&quot; 원&quot;"/>
    <numFmt numFmtId="184" formatCode="0_ "/>
    <numFmt numFmtId="185" formatCode="0.0%"/>
    <numFmt numFmtId="186" formatCode="0&quot;년 부터&quot;"/>
    <numFmt numFmtId="187" formatCode="#,##0_ "/>
    <numFmt numFmtId="188" formatCode="[$-409]mmm&quot;-&quot;yy;@"/>
    <numFmt numFmtId="189" formatCode="#,##0_);\(#,##0\);&quot;-&quot;??_-;_-@_-"/>
    <numFmt numFmtId="190" formatCode="#,##0.00_);\(#,##0.00\)"/>
    <numFmt numFmtId="191" formatCode="###\ &quot;년&quot;"/>
    <numFmt numFmtId="192" formatCode="0_);\(0\)"/>
    <numFmt numFmtId="193" formatCode="yyyy&quot;-&quot;m&quot;-&quot;d;@"/>
    <numFmt numFmtId="194" formatCode="####&quot;년&quot;"/>
    <numFmt numFmtId="195" formatCode="####\ &quot;년&quot;"/>
    <numFmt numFmtId="196" formatCode="0.00&quot; x&quot;"/>
    <numFmt numFmtId="197" formatCode="0.00_ "/>
    <numFmt numFmtId="198" formatCode="_-* #,##0.0000_-;\-* #,##0.0000_-;_-* &quot;-&quot;_-;_-@_-"/>
    <numFmt numFmtId="199" formatCode="_-* #,##0.000_-;\-* #,##0.000_-;_-* &quot;-&quot;_-;_-@_-"/>
    <numFmt numFmtId="200" formatCode="#,##0.0_);[Red]\(#,##0.0\)"/>
    <numFmt numFmtId="201" formatCode="mm&quot;월&quot;\ dd&quot;일&quot;"/>
    <numFmt numFmtId="202" formatCode="#,##0_);\(#,##0\)"/>
    <numFmt numFmtId="203" formatCode="_-* #,##0.00000_-;\-* #,##0.00000_-;_-* &quot;-&quot;_-;_-@_-"/>
    <numFmt numFmtId="204" formatCode="General&quot;years&quot;"/>
    <numFmt numFmtId="205" formatCode="0.000%"/>
    <numFmt numFmtId="206" formatCode="_-* #,##0.000000_-;\-* #,##0.000000_-;_-* &quot;-&quot;_-;_-@_-"/>
    <numFmt numFmtId="207" formatCode="#,##0.00_ "/>
    <numFmt numFmtId="208" formatCode="#,##0.00_);[Red]\(#,##0.00\)"/>
    <numFmt numFmtId="209" formatCode="#,##0.00_);\(#,##0.00\);\-_)"/>
    <numFmt numFmtId="210" formatCode="#,##0_);\(#,##0\);\-_)"/>
    <numFmt numFmtId="211" formatCode="#,##0.0000_);\(#,##0.0000\);\-_)"/>
    <numFmt numFmtId="212" formatCode="#,##0.000_);\(#,##0.000\);\-_)"/>
    <numFmt numFmtId="213" formatCode="#,##0.0000_ "/>
    <numFmt numFmtId="214" formatCode="#,##0_ ;[Red]\-#,##0\ "/>
    <numFmt numFmtId="215" formatCode="#,##0.0_ ;[Red]\-#,##0.0\ "/>
    <numFmt numFmtId="216" formatCode="#,##0.000_ ;[Red]\-#,##0.000\ "/>
    <numFmt numFmtId="217" formatCode="_-* #,##0_-;\-* #,##0_-;_-* &quot;-&quot;??_-;_-@_-"/>
    <numFmt numFmtId="218" formatCode="###0&quot;년&quot;"/>
    <numFmt numFmtId="219" formatCode="#,##0.00_);[Red]\(#,##0.00\);&quot;-&quot;_)"/>
    <numFmt numFmtId="220" formatCode="#,##0.000_ "/>
    <numFmt numFmtId="221" formatCode="#,##0.0_ "/>
    <numFmt numFmtId="222" formatCode="#,##0.0_);\(#,##0.0\);\-_)"/>
    <numFmt numFmtId="223" formatCode="#,##0&quot;분기&quot;"/>
    <numFmt numFmtId="224" formatCode="_-* #,##0.0000_-;\-* #,##0.0000_-;_-* &quot;-&quot;????_-;_-@_-"/>
    <numFmt numFmtId="225" formatCode="#,##0;[Red]\(#,##0\);&quot;-&quot;"/>
    <numFmt numFmtId="226" formatCode="#,##0.0000_);[Red]\(#,##0.0000\)"/>
    <numFmt numFmtId="227" formatCode="#,##0_);\(#,##0\);\-\ ;@"/>
    <numFmt numFmtId="228" formatCode="#,##0;[Red]\(#,##0\);\-"/>
    <numFmt numFmtId="229" formatCode="#,##0.0_);\(#,##0.0\);\-\ ;@"/>
    <numFmt numFmtId="230" formatCode="#,##0.00_);\(#,##0.00\);\-\ ;@"/>
    <numFmt numFmtId="231" formatCode="_(* #,##0_);_(* \(#,##0\);_(* &quot;-&quot;_);_(@_)"/>
    <numFmt numFmtId="232" formatCode="yyyy&quot;년&quot;\ m&quot;월&quot;;@"/>
    <numFmt numFmtId="233" formatCode="0.0000_ "/>
    <numFmt numFmtId="234" formatCode="#,##0&quot;/4분기&quot;"/>
    <numFmt numFmtId="235" formatCode="###&quot;년&quot;"/>
    <numFmt numFmtId="236" formatCode="0.000_ "/>
    <numFmt numFmtId="237" formatCode="###\ &quot;백만원&quot;"/>
    <numFmt numFmtId="238" formatCode="_(* #,##0.00_);_(* \(#,##0.00\);_(* &quot;-&quot;??_);_(@_)"/>
    <numFmt numFmtId="239" formatCode="#0&quot;년&quot;"/>
    <numFmt numFmtId="240" formatCode="#,##0\ &quot;m&quot;"/>
    <numFmt numFmtId="241" formatCode="#,##0\ &quot;㎡&quot;"/>
    <numFmt numFmtId="242" formatCode="#,##0\ &quot;식&quot;"/>
    <numFmt numFmtId="243" formatCode="0.0_ "/>
    <numFmt numFmtId="244" formatCode="#,##0.00000000;[Red]\(#,##0.00000000\);&quot;-&quot;"/>
    <numFmt numFmtId="245" formatCode="#,##0.00;[Red]\(#,##0.00\);&quot;-&quot;"/>
    <numFmt numFmtId="246" formatCode="#,##0.000000;[Red]\(#,##0.000000\);&quot;-&quot;"/>
    <numFmt numFmtId="247" formatCode="0.0000_);[Red]\(0.0000\)"/>
    <numFmt numFmtId="248" formatCode="#,##0.000000_ ;[Red]\-#,##0.000000\ "/>
    <numFmt numFmtId="249" formatCode="_-* #,##0.000000000_-;\-* #,##0.000000000_-;_-* &quot;-&quot;??_-;_-@_-"/>
    <numFmt numFmtId="250" formatCode="0_);[Red]\(0\)"/>
    <numFmt numFmtId="251" formatCode="#,##0.0;[Red]\(#,##0.0\);\-"/>
    <numFmt numFmtId="252" formatCode="_-* #,##0.0000000_-;\-* #,##0.0000000_-;_-* &quot;-&quot;_-;_-@_-"/>
    <numFmt numFmtId="257" formatCode="_-* #,##0.0000000_-;\-* #,##0.0000000_-;_-* &quot;-&quot;??_-;_-@_-"/>
    <numFmt numFmtId="258" formatCode="_-* #,##0.00000_-;\-* #,##0.00000_-;_-* &quot;-&quot;?????_-;_-@_-"/>
    <numFmt numFmtId="264" formatCode="_-* #,##0.0000000000000_-;\-* #,##0.0000000000000_-;_-* &quot;-&quot;_-;_-@_-"/>
    <numFmt numFmtId="269" formatCode="_-* #,##0_-;\-* #,##0_-;_-* &quot;-&quot;?????_-;_-@_-"/>
    <numFmt numFmtId="274" formatCode="_-* #,##0.000000000000000000_-;\-* #,##0.000000000000000000_-;_-* &quot;-&quot;_-;_-@_-"/>
  </numFmts>
  <fonts count="20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9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ajor"/>
    </font>
    <font>
      <sz val="9"/>
      <name val="돋움"/>
      <family val="3"/>
      <charset val="129"/>
    </font>
    <font>
      <sz val="9"/>
      <color rgb="FFFF0000"/>
      <name val="맑은 고딕"/>
      <family val="3"/>
      <charset val="129"/>
      <scheme val="major"/>
    </font>
    <font>
      <i/>
      <sz val="9"/>
      <name val="맑은 고딕"/>
      <family val="3"/>
      <charset val="129"/>
      <scheme val="major"/>
    </font>
    <font>
      <i/>
      <sz val="9"/>
      <color theme="1"/>
      <name val="맑은 고딕"/>
      <family val="3"/>
      <charset val="129"/>
      <scheme val="major"/>
    </font>
    <font>
      <sz val="9"/>
      <color indexed="9"/>
      <name val="맑은 고딕"/>
      <family val="3"/>
      <charset val="129"/>
      <scheme val="major"/>
    </font>
    <font>
      <sz val="9"/>
      <color theme="1"/>
      <name val="맑은 고딕"/>
      <family val="2"/>
      <charset val="129"/>
      <scheme val="minor"/>
    </font>
    <font>
      <sz val="9"/>
      <color rgb="FFFF0000"/>
      <name val="맑은 고딕"/>
      <family val="2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b/>
      <sz val="10"/>
      <color indexed="9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indexed="12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9"/>
      <color indexed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9"/>
      <name val="맑은 고딕"/>
      <family val="3"/>
      <charset val="129"/>
      <scheme val="minor"/>
    </font>
    <font>
      <b/>
      <sz val="9"/>
      <color indexed="9"/>
      <name val="맑은 고딕"/>
      <family val="3"/>
      <charset val="129"/>
      <scheme val="minor"/>
    </font>
    <font>
      <sz val="8"/>
      <name val="굴림"/>
      <family val="3"/>
      <charset val="129"/>
    </font>
    <font>
      <sz val="9"/>
      <color rgb="FF0000FF"/>
      <name val="맑은 고딕"/>
      <family val="3"/>
      <charset val="129"/>
      <scheme val="minor"/>
    </font>
    <font>
      <strike/>
      <sz val="9"/>
      <name val="맑은 고딕"/>
      <family val="3"/>
      <charset val="129"/>
      <scheme val="minor"/>
    </font>
    <font>
      <strike/>
      <sz val="9"/>
      <color indexed="12"/>
      <name val="맑은 고딕"/>
      <family val="3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u/>
      <sz val="9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u val="singleAccounting"/>
      <sz val="9"/>
      <name val="맑은 고딕"/>
      <family val="3"/>
      <charset val="129"/>
      <scheme val="minor"/>
    </font>
    <font>
      <sz val="9"/>
      <color rgb="FFFFFFFF"/>
      <name val="맑은 고딕"/>
      <family val="3"/>
      <charset val="129"/>
      <scheme val="minor"/>
    </font>
    <font>
      <b/>
      <i/>
      <sz val="9"/>
      <name val="맑은 고딕"/>
      <family val="3"/>
      <charset val="129"/>
      <scheme val="minor"/>
    </font>
    <font>
      <sz val="10"/>
      <name val="Arial"/>
      <family val="2"/>
    </font>
    <font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0"/>
      <color rgb="FF0000FF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11"/>
      <color indexed="8"/>
      <name val="맑은 고딕"/>
      <family val="3"/>
      <charset val="129"/>
    </font>
    <font>
      <sz val="8"/>
      <name val="맑은 고딕"/>
      <family val="3"/>
      <charset val="129"/>
    </font>
    <font>
      <u/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11"/>
      <name val="바탕"/>
      <family val="1"/>
      <charset val="129"/>
    </font>
    <font>
      <sz val="12"/>
      <name val="바탕체"/>
      <family val="1"/>
      <charset val="129"/>
    </font>
    <font>
      <u val="singleAccounting"/>
      <sz val="10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ajor"/>
    </font>
    <font>
      <b/>
      <sz val="9"/>
      <color theme="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9"/>
      <color indexed="54"/>
      <name val="맑은 고딕"/>
      <family val="3"/>
      <charset val="129"/>
      <scheme val="minor"/>
    </font>
    <font>
      <b/>
      <sz val="9"/>
      <color indexed="54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sz val="10"/>
      <color theme="1"/>
      <name val="굴림체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8"/>
      <name val="굴림체"/>
      <family val="3"/>
      <charset val="129"/>
    </font>
    <font>
      <sz val="8"/>
      <color theme="1"/>
      <name val="맑은 고딕"/>
      <family val="3"/>
      <charset val="129"/>
      <scheme val="minor"/>
    </font>
    <font>
      <sz val="8"/>
      <color rgb="FF0070C0"/>
      <name val="맑은 고딕"/>
      <family val="3"/>
      <charset val="129"/>
      <scheme val="minor"/>
    </font>
    <font>
      <sz val="8"/>
      <color rgb="FF0000FF"/>
      <name val="맑은 고딕"/>
      <family val="3"/>
      <charset val="129"/>
      <scheme val="minor"/>
    </font>
    <font>
      <sz val="8"/>
      <color rgb="FF00B050"/>
      <name val="맑은 고딕"/>
      <family val="3"/>
      <charset val="129"/>
      <scheme val="minor"/>
    </font>
    <font>
      <sz val="10"/>
      <color theme="1"/>
      <name val="굴림"/>
      <family val="2"/>
      <charset val="129"/>
    </font>
    <font>
      <sz val="8"/>
      <color rgb="FFFF0000"/>
      <name val="맑은 고딕"/>
      <family val="3"/>
      <charset val="129"/>
      <scheme val="minor"/>
    </font>
    <font>
      <sz val="8"/>
      <name val="굴림"/>
      <family val="2"/>
      <charset val="129"/>
    </font>
    <font>
      <b/>
      <i/>
      <sz val="8"/>
      <color theme="1"/>
      <name val="맑은 고딕"/>
      <family val="3"/>
      <charset val="129"/>
      <scheme val="minor"/>
    </font>
    <font>
      <i/>
      <sz val="8"/>
      <color rgb="FF0000FF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b/>
      <sz val="8"/>
      <color indexed="8"/>
      <name val="맑은 고딕"/>
      <family val="3"/>
      <charset val="129"/>
      <scheme val="minor"/>
    </font>
    <font>
      <b/>
      <sz val="8"/>
      <color rgb="FF00B050"/>
      <name val="맑은 고딕"/>
      <family val="3"/>
      <charset val="129"/>
      <scheme val="minor"/>
    </font>
    <font>
      <b/>
      <sz val="8"/>
      <color rgb="FF0000FF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6"/>
      <color indexed="81"/>
      <name val="Tahoma"/>
      <family val="2"/>
    </font>
    <font>
      <b/>
      <sz val="6"/>
      <color indexed="81"/>
      <name val="돋움"/>
      <family val="3"/>
      <charset val="129"/>
    </font>
    <font>
      <sz val="9"/>
      <color theme="0" tint="-0.499984740745262"/>
      <name val="맑은 고딕"/>
      <family val="3"/>
      <charset val="129"/>
      <scheme val="minor"/>
    </font>
    <font>
      <sz val="8"/>
      <name val="Arial"/>
      <family val="2"/>
      <charset val="129"/>
    </font>
    <font>
      <sz val="9"/>
      <color rgb="FF000000"/>
      <name val="굴림"/>
      <family val="3"/>
      <charset val="129"/>
    </font>
    <font>
      <b/>
      <sz val="9"/>
      <color rgb="FF0000FF"/>
      <name val="맑은 고딕"/>
      <family val="3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sz val="10"/>
      <color indexed="54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b/>
      <sz val="9"/>
      <color theme="0"/>
      <name val="맑은 고딕"/>
      <family val="3"/>
      <charset val="129"/>
      <scheme val="major"/>
    </font>
    <font>
      <sz val="9"/>
      <color indexed="23"/>
      <name val="맑은 고딕"/>
      <family val="3"/>
      <charset val="129"/>
      <scheme val="major"/>
    </font>
    <font>
      <sz val="9"/>
      <color theme="0" tint="-0.499984740745262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B050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6"/>
      <color rgb="FF000000"/>
      <name val="함초롬바탕"/>
      <family val="3"/>
      <charset val="129"/>
    </font>
    <font>
      <b/>
      <sz val="16"/>
      <color rgb="FF000000"/>
      <name val="함초롬바탕"/>
      <family val="3"/>
      <charset val="129"/>
    </font>
    <font>
      <b/>
      <sz val="11"/>
      <name val="돋움"/>
      <family val="3"/>
      <charset val="129"/>
    </font>
    <font>
      <b/>
      <sz val="14"/>
      <name val="Arial"/>
      <family val="2"/>
    </font>
    <font>
      <u/>
      <sz val="11"/>
      <color indexed="12"/>
      <name val="돋움"/>
      <family val="3"/>
      <charset val="129"/>
    </font>
    <font>
      <sz val="9"/>
      <color rgb="FF0000CC"/>
      <name val="맑은 고딕"/>
      <family val="3"/>
      <charset val="129"/>
      <scheme val="minor"/>
    </font>
    <font>
      <b/>
      <sz val="9"/>
      <color indexed="10"/>
      <name val="맑은 고딕"/>
      <family val="3"/>
      <charset val="129"/>
      <scheme val="minor"/>
    </font>
    <font>
      <b/>
      <sz val="9"/>
      <color rgb="FF0070C0"/>
      <name val="맑은 고딕"/>
      <family val="3"/>
      <charset val="129"/>
      <scheme val="minor"/>
    </font>
    <font>
      <sz val="9"/>
      <color indexed="22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</font>
    <font>
      <b/>
      <sz val="11"/>
      <color indexed="12"/>
      <name val="맑은 고딕"/>
      <family val="3"/>
      <charset val="129"/>
      <scheme val="minor"/>
    </font>
    <font>
      <b/>
      <sz val="12"/>
      <color rgb="FF0000FF"/>
      <name val="맑은 고딕"/>
      <family val="3"/>
      <charset val="129"/>
      <scheme val="minor"/>
    </font>
    <font>
      <sz val="11"/>
      <color indexed="12"/>
      <name val="맑은 고딕"/>
      <family val="3"/>
      <charset val="129"/>
      <scheme val="minor"/>
    </font>
    <font>
      <b/>
      <sz val="10"/>
      <color indexed="12"/>
      <name val="맑은 고딕"/>
      <family val="3"/>
      <charset val="129"/>
      <scheme val="minor"/>
    </font>
    <font>
      <sz val="12"/>
      <color indexed="12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sz val="14"/>
      <color indexed="81"/>
      <name val="돋움"/>
      <family val="3"/>
      <charset val="129"/>
    </font>
    <font>
      <sz val="9"/>
      <color rgb="FF0070C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1"/>
      <color rgb="FF00B0F0"/>
      <name val="맑은 고딕"/>
      <family val="2"/>
      <charset val="129"/>
      <scheme val="minor"/>
    </font>
    <font>
      <b/>
      <sz val="11"/>
      <name val="맑은 고딕"/>
      <family val="2"/>
      <charset val="129"/>
      <scheme val="minor"/>
    </font>
    <font>
      <b/>
      <sz val="15"/>
      <name val="맑은 고딕"/>
      <family val="3"/>
      <charset val="129"/>
      <scheme val="minor"/>
    </font>
    <font>
      <b/>
      <sz val="12"/>
      <name val="굴림"/>
      <family val="3"/>
      <charset val="129"/>
    </font>
    <font>
      <sz val="8"/>
      <name val="바탕체"/>
      <family val="1"/>
      <charset val="129"/>
    </font>
    <font>
      <b/>
      <sz val="12"/>
      <color rgb="FF0000FF"/>
      <name val="굴림"/>
      <family val="3"/>
      <charset val="129"/>
    </font>
    <font>
      <sz val="12"/>
      <name val="굴림"/>
      <family val="3"/>
      <charset val="129"/>
    </font>
    <font>
      <b/>
      <sz val="12"/>
      <color rgb="FFFF0000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  <scheme val="minor"/>
    </font>
    <font>
      <sz val="10"/>
      <color rgb="FF0070C0"/>
      <name val="맑은 고딕"/>
      <family val="3"/>
      <charset val="129"/>
      <scheme val="minor"/>
    </font>
    <font>
      <sz val="11"/>
      <color rgb="FF0070C0"/>
      <name val="맑은 고딕"/>
      <family val="2"/>
      <charset val="129"/>
      <scheme val="minor"/>
    </font>
    <font>
      <sz val="10"/>
      <color theme="1"/>
      <name val="Arial"/>
      <family val="2"/>
    </font>
    <font>
      <sz val="11"/>
      <color theme="1"/>
      <name val="함초롬돋움"/>
      <family val="1"/>
      <charset val="129"/>
    </font>
    <font>
      <b/>
      <sz val="16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9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9"/>
      <name val="맑은 고딕"/>
      <family val="3"/>
      <charset val="129"/>
    </font>
    <font>
      <vertAlign val="superscript"/>
      <sz val="9"/>
      <name val="맑은 고딕"/>
      <family val="3"/>
      <charset val="129"/>
    </font>
    <font>
      <sz val="9.5"/>
      <name val="맑은 고딕"/>
      <family val="3"/>
      <charset val="129"/>
    </font>
    <font>
      <sz val="9.5"/>
      <color rgb="FF000000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ajor"/>
    </font>
    <font>
      <i/>
      <u/>
      <sz val="10"/>
      <name val="맑은 고딕"/>
      <family val="3"/>
      <charset val="129"/>
      <scheme val="major"/>
    </font>
    <font>
      <i/>
      <sz val="9"/>
      <name val="맑은 고딕"/>
      <family val="3"/>
      <charset val="129"/>
      <scheme val="minor"/>
    </font>
    <font>
      <i/>
      <sz val="11"/>
      <name val="돋움"/>
      <family val="3"/>
      <charset val="129"/>
    </font>
    <font>
      <sz val="9"/>
      <color rgb="FF00B050"/>
      <name val="맑은 고딕"/>
      <family val="3"/>
      <charset val="129"/>
      <scheme val="minor"/>
    </font>
    <font>
      <b/>
      <shadow/>
      <sz val="10"/>
      <color rgb="FFFFFFFF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sz val="10"/>
      <color rgb="FFFFFFFF"/>
      <name val="맑은 고딕"/>
      <family val="3"/>
      <charset val="129"/>
    </font>
    <font>
      <sz val="11"/>
      <color rgb="FFFFFFFF"/>
      <name val="맑은 고딕"/>
      <family val="3"/>
      <charset val="129"/>
    </font>
    <font>
      <vertAlign val="superscript"/>
      <sz val="9.5"/>
      <name val="맑은 고딕"/>
      <family val="3"/>
      <charset val="129"/>
    </font>
    <font>
      <sz val="9"/>
      <color rgb="FF0000FF"/>
      <name val="맑은 고딕"/>
      <family val="3"/>
      <charset val="129"/>
    </font>
    <font>
      <sz val="9"/>
      <color rgb="FF0000FF"/>
      <name val="맑은 고딕"/>
      <family val="3"/>
      <charset val="129"/>
      <scheme val="major"/>
    </font>
    <font>
      <b/>
      <sz val="9"/>
      <color rgb="FFFFFFFF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18"/>
      <name val="Arial"/>
      <family val="2"/>
    </font>
    <font>
      <sz val="8.5"/>
      <color rgb="FFFFFFFF"/>
      <name val="맑은 고딕"/>
      <family val="3"/>
      <charset val="129"/>
    </font>
    <font>
      <sz val="8.5"/>
      <color rgb="FF000000"/>
      <name val="맑은 고딕"/>
      <family val="3"/>
      <charset val="129"/>
    </font>
    <font>
      <b/>
      <i/>
      <u/>
      <sz val="8.5"/>
      <color rgb="FF000000"/>
      <name val="맑은 고딕"/>
      <family val="3"/>
      <charset val="129"/>
    </font>
    <font>
      <sz val="8"/>
      <color rgb="FF000000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b/>
      <sz val="11"/>
      <color rgb="FF000000"/>
      <name val="Times New Roman"/>
      <family val="1"/>
    </font>
    <font>
      <sz val="11"/>
      <color rgb="FF000000"/>
      <name val="바탕"/>
      <family val="1"/>
      <charset val="129"/>
    </font>
    <font>
      <sz val="11"/>
      <color rgb="FF000000"/>
      <name val="Times New Roman"/>
      <family val="1"/>
    </font>
  </fonts>
  <fills count="5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darkTrellis">
        <fgColor indexed="42"/>
      </patternFill>
    </fill>
    <fill>
      <patternFill patternType="darkTrellis">
        <fgColor indexed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theme="4" tint="0.79998168889431442"/>
        <bgColor indexed="9"/>
      </patternFill>
    </fill>
    <fill>
      <patternFill patternType="solid">
        <fgColor theme="9" tint="0.79998168889431442"/>
        <bgColor indexed="9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DE9D9"/>
        <bgColor theme="0" tint="-0.14996795556505021"/>
      </patternFill>
    </fill>
    <fill>
      <patternFill patternType="solid">
        <fgColor theme="9" tint="0.79998168889431442"/>
        <bgColor theme="0" tint="-0.14996795556505021"/>
      </patternFill>
    </fill>
    <fill>
      <patternFill patternType="solid">
        <fgColor theme="0" tint="-0.14999847407452621"/>
        <bgColor theme="0" tint="-0.14996795556505021"/>
      </patternFill>
    </fill>
    <fill>
      <patternFill patternType="solid">
        <fgColor rgb="FFFFFF00"/>
        <bgColor theme="0" tint="-0.14996795556505021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theme="0" tint="-0.14996795556505021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10253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DADA"/>
        <bgColor indexed="64"/>
      </patternFill>
    </fill>
    <fill>
      <patternFill patternType="lightUp"/>
    </fill>
    <fill>
      <patternFill patternType="solid">
        <fgColor theme="2"/>
        <bgColor indexed="64"/>
      </patternFill>
    </fill>
    <fill>
      <patternFill patternType="solid">
        <fgColor rgb="FFDDEBF7"/>
        <bgColor indexed="64"/>
      </patternFill>
    </fill>
  </fills>
  <borders count="4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thin">
        <color auto="1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hair">
        <color auto="1"/>
      </top>
      <bottom/>
      <diagonal/>
    </border>
    <border>
      <left style="thin">
        <color indexed="64"/>
      </left>
      <right/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rgb="FF00000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000000"/>
      </right>
      <top/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80808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hair">
        <color indexed="8"/>
      </right>
      <top style="thin">
        <color indexed="8"/>
      </top>
      <bottom style="double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 style="double">
        <color indexed="8"/>
      </bottom>
      <diagonal/>
    </border>
    <border>
      <left style="hair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hair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hair">
        <color indexed="8"/>
      </right>
      <top style="thin">
        <color indexed="64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64"/>
      </top>
      <bottom style="thin">
        <color indexed="8"/>
      </bottom>
      <diagonal/>
    </border>
    <border>
      <left style="hair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auto="1"/>
      </top>
      <bottom style="medium">
        <color indexed="64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indexed="64"/>
      </top>
      <bottom style="hair">
        <color indexed="64"/>
      </bottom>
      <diagonal/>
    </border>
    <border>
      <left/>
      <right style="thin">
        <color indexed="8"/>
      </right>
      <top style="hair">
        <color indexed="64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double">
        <color indexed="64"/>
      </right>
      <top style="double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medium">
        <color auto="1"/>
      </bottom>
      <diagonal/>
    </border>
    <border>
      <left style="hair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hair">
        <color indexed="64"/>
      </left>
      <right style="medium">
        <color auto="1"/>
      </right>
      <top style="thin">
        <color indexed="64"/>
      </top>
      <bottom/>
      <diagonal/>
    </border>
    <border>
      <left style="hair">
        <color indexed="64"/>
      </left>
      <right style="medium">
        <color auto="1"/>
      </right>
      <top/>
      <bottom/>
      <diagonal/>
    </border>
    <border>
      <left style="hair">
        <color indexed="64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hair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rgb="FFD9D9D9"/>
      </right>
      <top style="thin">
        <color rgb="FF7F7F7F"/>
      </top>
      <bottom style="medium">
        <color rgb="FFD9D9D9"/>
      </bottom>
      <diagonal/>
    </border>
    <border>
      <left style="medium">
        <color rgb="FFD9D9D9"/>
      </left>
      <right style="medium">
        <color rgb="FFD9D9D9"/>
      </right>
      <top style="thin">
        <color rgb="FF7F7F7F"/>
      </top>
      <bottom style="medium">
        <color rgb="FFD9D9D9"/>
      </bottom>
      <diagonal/>
    </border>
    <border>
      <left style="medium">
        <color rgb="FFD9D9D9"/>
      </left>
      <right style="medium">
        <color rgb="FFFFFFFF"/>
      </right>
      <top style="thin">
        <color rgb="FF7F7F7F"/>
      </top>
      <bottom style="medium">
        <color rgb="FFD9D9D9"/>
      </bottom>
      <diagonal/>
    </border>
    <border>
      <left/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/>
      <right style="thin">
        <color rgb="FFBFBFBF"/>
      </right>
      <top style="medium">
        <color rgb="FFFFFFFF"/>
      </top>
      <bottom/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medium">
        <color rgb="FFFFFFF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D9D9D9"/>
      </right>
      <top style="medium">
        <color rgb="FF000000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rgb="FF000000"/>
      </top>
      <bottom style="thin">
        <color rgb="FFD9D9D9"/>
      </bottom>
      <diagonal/>
    </border>
    <border>
      <left style="thin">
        <color rgb="FFD9D9D9"/>
      </left>
      <right/>
      <top style="medium">
        <color rgb="FF000000"/>
      </top>
      <bottom style="thin">
        <color rgb="FFD9D9D9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A6A6A6"/>
      </bottom>
      <diagonal/>
    </border>
    <border>
      <left style="thin">
        <color rgb="FFD9D9D9"/>
      </left>
      <right/>
      <top style="thin">
        <color rgb="FFD9D9D9"/>
      </top>
      <bottom style="thin">
        <color rgb="FFA6A6A6"/>
      </bottom>
      <diagonal/>
    </border>
    <border>
      <left/>
      <right style="thin">
        <color rgb="FFD9D9D9"/>
      </right>
      <top style="thin">
        <color rgb="FFA6A6A6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7F7F7F"/>
      </bottom>
      <diagonal/>
    </border>
    <border>
      <left style="thin">
        <color rgb="FFD9D9D9"/>
      </left>
      <right/>
      <top style="thin">
        <color rgb="FFD9D9D9"/>
      </top>
      <bottom style="thin">
        <color rgb="FF7F7F7F"/>
      </bottom>
      <diagonal/>
    </border>
    <border>
      <left/>
      <right style="thin">
        <color rgb="FFD9D9D9"/>
      </right>
      <top style="thin">
        <color rgb="FFD9D9D9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9" fillId="0" borderId="0"/>
    <xf numFmtId="41" fontId="57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64" fillId="0" borderId="0">
      <alignment vertical="center"/>
    </xf>
    <xf numFmtId="0" fontId="5" fillId="0" borderId="0">
      <alignment vertical="center"/>
    </xf>
    <xf numFmtId="0" fontId="68" fillId="0" borderId="86" applyNumberFormat="0" applyFont="0" applyFill="0" applyAlignment="0" applyProtection="0">
      <alignment vertical="center"/>
    </xf>
    <xf numFmtId="201" fontId="69" fillId="0" borderId="9">
      <alignment horizontal="right" vertical="center"/>
    </xf>
    <xf numFmtId="41" fontId="5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80" fillId="0" borderId="0">
      <alignment vertical="center"/>
    </xf>
    <xf numFmtId="41" fontId="87" fillId="0" borderId="0" applyFont="0" applyFill="0" applyBorder="0" applyAlignment="0" applyProtection="0">
      <alignment vertical="center"/>
    </xf>
    <xf numFmtId="41" fontId="80" fillId="0" borderId="0" applyFont="0" applyFill="0" applyBorder="0" applyAlignment="0" applyProtection="0">
      <alignment vertical="center"/>
    </xf>
    <xf numFmtId="0" fontId="9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64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231" fontId="2" fillId="0" borderId="0" applyFont="0" applyFill="0" applyBorder="0" applyAlignment="0" applyProtection="0">
      <alignment vertical="center"/>
    </xf>
    <xf numFmtId="0" fontId="9" fillId="0" borderId="0"/>
    <xf numFmtId="41" fontId="9" fillId="0" borderId="0" applyFont="0" applyFill="0" applyBorder="0" applyAlignment="0" applyProtection="0"/>
    <xf numFmtId="0" fontId="122" fillId="0" borderId="0">
      <alignment horizontal="left"/>
    </xf>
    <xf numFmtId="0" fontId="123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0" fontId="9" fillId="0" borderId="0"/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87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92" fillId="0" borderId="0">
      <alignment vertical="center"/>
    </xf>
    <xf numFmtId="0" fontId="9" fillId="0" borderId="0">
      <alignment vertical="center"/>
    </xf>
    <xf numFmtId="0" fontId="2" fillId="0" borderId="0">
      <alignment vertical="center"/>
    </xf>
    <xf numFmtId="23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9" fillId="0" borderId="0"/>
    <xf numFmtId="0" fontId="9" fillId="0" borderId="0"/>
    <xf numFmtId="0" fontId="5" fillId="0" borderId="0">
      <alignment vertical="center"/>
    </xf>
    <xf numFmtId="0" fontId="9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87" fillId="0" borderId="0" applyFont="0" applyFill="0" applyBorder="0" applyAlignment="0" applyProtection="0">
      <alignment vertical="center"/>
    </xf>
    <xf numFmtId="0" fontId="167" fillId="0" borderId="0"/>
    <xf numFmtId="41" fontId="5" fillId="0" borderId="0" applyFont="0" applyFill="0" applyBorder="0" applyAlignment="0" applyProtection="0">
      <alignment vertical="center"/>
    </xf>
    <xf numFmtId="41" fontId="168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/>
    <xf numFmtId="0" fontId="5" fillId="0" borderId="0">
      <alignment vertical="center"/>
    </xf>
  </cellStyleXfs>
  <cellXfs count="5723">
    <xf numFmtId="0" fontId="0" fillId="0" borderId="0" xfId="0">
      <alignment vertical="center"/>
    </xf>
    <xf numFmtId="0" fontId="6" fillId="2" borderId="0" xfId="3" applyFont="1" applyFill="1" applyAlignment="1"/>
    <xf numFmtId="0" fontId="6" fillId="2" borderId="0" xfId="3" applyFont="1" applyFill="1" applyAlignment="1">
      <alignment horizontal="center" vertical="center"/>
    </xf>
    <xf numFmtId="0" fontId="10" fillId="0" borderId="0" xfId="3" applyFont="1" applyAlignment="1"/>
    <xf numFmtId="0" fontId="10" fillId="0" borderId="1" xfId="3" applyFont="1" applyBorder="1" applyAlignment="1"/>
    <xf numFmtId="0" fontId="10" fillId="0" borderId="2" xfId="3" applyFont="1" applyBorder="1" applyAlignment="1"/>
    <xf numFmtId="0" fontId="10" fillId="0" borderId="3" xfId="3" applyFont="1" applyBorder="1" applyAlignment="1"/>
    <xf numFmtId="0" fontId="11" fillId="0" borderId="4" xfId="3" applyFont="1" applyBorder="1" applyAlignment="1"/>
    <xf numFmtId="0" fontId="11" fillId="0" borderId="0" xfId="3" applyFont="1" applyAlignment="1"/>
    <xf numFmtId="0" fontId="10" fillId="0" borderId="5" xfId="3" applyFont="1" applyBorder="1" applyAlignment="1"/>
    <xf numFmtId="0" fontId="10" fillId="0" borderId="4" xfId="3" applyFont="1" applyBorder="1" applyAlignment="1"/>
    <xf numFmtId="0" fontId="10" fillId="0" borderId="0" xfId="3" applyFont="1" applyAlignment="1">
      <alignment wrapText="1"/>
    </xf>
    <xf numFmtId="0" fontId="10" fillId="0" borderId="6" xfId="3" applyFont="1" applyBorder="1" applyAlignment="1"/>
    <xf numFmtId="0" fontId="10" fillId="0" borderId="7" xfId="3" applyFont="1" applyBorder="1" applyAlignment="1"/>
    <xf numFmtId="0" fontId="10" fillId="0" borderId="8" xfId="3" applyFont="1" applyBorder="1" applyAlignment="1"/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3" borderId="9" xfId="0" applyFont="1" applyFill="1" applyBorder="1">
      <alignment vertical="center"/>
    </xf>
    <xf numFmtId="0" fontId="15" fillId="3" borderId="9" xfId="0" applyFont="1" applyFill="1" applyBorder="1" applyAlignment="1">
      <alignment horizontal="center" vertical="center" wrapText="1"/>
    </xf>
    <xf numFmtId="0" fontId="15" fillId="0" borderId="9" xfId="0" applyFont="1" applyBorder="1">
      <alignment vertical="center"/>
    </xf>
    <xf numFmtId="41" fontId="14" fillId="0" borderId="0" xfId="0" applyNumberFormat="1" applyFont="1">
      <alignment vertical="center"/>
    </xf>
    <xf numFmtId="41" fontId="13" fillId="3" borderId="10" xfId="4" applyFont="1" applyFill="1" applyBorder="1">
      <alignment vertical="center"/>
    </xf>
    <xf numFmtId="41" fontId="13" fillId="3" borderId="11" xfId="4" applyFont="1" applyFill="1" applyBorder="1">
      <alignment vertical="center"/>
    </xf>
    <xf numFmtId="0" fontId="14" fillId="3" borderId="9" xfId="4" applyNumberFormat="1" applyFont="1" applyFill="1" applyBorder="1" applyAlignment="1">
      <alignment horizontal="center" vertical="center"/>
    </xf>
    <xf numFmtId="41" fontId="13" fillId="0" borderId="0" xfId="4" applyFont="1">
      <alignment vertical="center"/>
    </xf>
    <xf numFmtId="0" fontId="13" fillId="0" borderId="0" xfId="4" applyNumberFormat="1" applyFont="1" applyBorder="1" applyAlignment="1">
      <alignment horizontal="center" vertical="center"/>
    </xf>
    <xf numFmtId="41" fontId="13" fillId="3" borderId="12" xfId="4" applyFont="1" applyFill="1" applyBorder="1">
      <alignment vertical="center"/>
    </xf>
    <xf numFmtId="41" fontId="13" fillId="3" borderId="13" xfId="4" applyFont="1" applyFill="1" applyBorder="1">
      <alignment vertical="center"/>
    </xf>
    <xf numFmtId="176" fontId="14" fillId="3" borderId="9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1" fontId="13" fillId="3" borderId="14" xfId="4" applyFont="1" applyFill="1" applyBorder="1">
      <alignment vertical="center"/>
    </xf>
    <xf numFmtId="41" fontId="13" fillId="3" borderId="15" xfId="4" applyFont="1" applyFill="1" applyBorder="1" applyAlignment="1">
      <alignment horizontal="center" vertical="center"/>
    </xf>
    <xf numFmtId="14" fontId="14" fillId="3" borderId="9" xfId="4" applyNumberFormat="1" applyFont="1" applyFill="1" applyBorder="1" applyAlignment="1">
      <alignment horizontal="center" vertical="center"/>
    </xf>
    <xf numFmtId="14" fontId="13" fillId="0" borderId="0" xfId="4" applyNumberFormat="1" applyFont="1" applyBorder="1" applyAlignment="1">
      <alignment horizontal="center" vertical="center"/>
    </xf>
    <xf numFmtId="0" fontId="14" fillId="0" borderId="9" xfId="0" applyFont="1" applyBorder="1" applyAlignment="1"/>
    <xf numFmtId="177" fontId="14" fillId="0" borderId="9" xfId="4" applyNumberFormat="1" applyFont="1" applyBorder="1">
      <alignment vertical="center"/>
    </xf>
    <xf numFmtId="178" fontId="17" fillId="0" borderId="9" xfId="5" applyNumberFormat="1" applyFont="1" applyBorder="1">
      <alignment vertical="center"/>
    </xf>
    <xf numFmtId="0" fontId="14" fillId="0" borderId="9" xfId="0" applyFont="1" applyBorder="1" applyAlignment="1">
      <alignment horizontal="left" indent="1"/>
    </xf>
    <xf numFmtId="10" fontId="18" fillId="0" borderId="9" xfId="0" applyNumberFormat="1" applyFont="1" applyBorder="1" applyAlignment="1">
      <alignment horizontal="left" vertical="center"/>
    </xf>
    <xf numFmtId="0" fontId="13" fillId="0" borderId="9" xfId="0" applyFont="1" applyBorder="1" applyAlignment="1"/>
    <xf numFmtId="10" fontId="14" fillId="0" borderId="9" xfId="2" applyNumberFormat="1" applyFont="1" applyBorder="1">
      <alignment vertical="center"/>
    </xf>
    <xf numFmtId="10" fontId="14" fillId="0" borderId="0" xfId="2" applyNumberFormat="1" applyFont="1" applyBorder="1">
      <alignment vertical="center"/>
    </xf>
    <xf numFmtId="10" fontId="18" fillId="0" borderId="9" xfId="0" applyNumberFormat="1" applyFont="1" applyBorder="1" applyAlignment="1">
      <alignment horizontal="center" vertical="center"/>
    </xf>
    <xf numFmtId="0" fontId="14" fillId="0" borderId="9" xfId="0" applyFont="1" applyBorder="1">
      <alignment vertical="center"/>
    </xf>
    <xf numFmtId="0" fontId="14" fillId="0" borderId="0" xfId="0" applyFont="1" applyAlignment="1">
      <alignment horizontal="right" vertical="center"/>
    </xf>
    <xf numFmtId="179" fontId="14" fillId="0" borderId="9" xfId="4" applyNumberFormat="1" applyFont="1" applyBorder="1">
      <alignment vertical="center"/>
    </xf>
    <xf numFmtId="181" fontId="14" fillId="0" borderId="0" xfId="1" applyNumberFormat="1" applyFont="1">
      <alignment vertical="center"/>
    </xf>
    <xf numFmtId="41" fontId="14" fillId="0" borderId="9" xfId="1" applyFont="1" applyBorder="1">
      <alignment vertical="center"/>
    </xf>
    <xf numFmtId="178" fontId="17" fillId="0" borderId="13" xfId="5" applyNumberFormat="1" applyFont="1" applyBorder="1">
      <alignment vertical="center"/>
    </xf>
    <xf numFmtId="0" fontId="24" fillId="0" borderId="0" xfId="6" applyFont="1">
      <alignment vertical="center"/>
    </xf>
    <xf numFmtId="41" fontId="13" fillId="3" borderId="11" xfId="4" applyFont="1" applyFill="1" applyBorder="1" applyAlignment="1">
      <alignment horizontal="center" vertical="center"/>
    </xf>
    <xf numFmtId="0" fontId="14" fillId="5" borderId="9" xfId="4" applyNumberFormat="1" applyFont="1" applyFill="1" applyBorder="1" applyAlignment="1">
      <alignment horizontal="center" vertical="center"/>
    </xf>
    <xf numFmtId="41" fontId="13" fillId="3" borderId="13" xfId="4" applyFont="1" applyFill="1" applyBorder="1" applyAlignment="1">
      <alignment horizontal="center" vertical="center"/>
    </xf>
    <xf numFmtId="176" fontId="14" fillId="5" borderId="9" xfId="6" applyNumberFormat="1" applyFont="1" applyFill="1" applyBorder="1" applyAlignment="1">
      <alignment horizontal="center" vertical="center"/>
    </xf>
    <xf numFmtId="176" fontId="14" fillId="3" borderId="9" xfId="6" applyNumberFormat="1" applyFont="1" applyFill="1" applyBorder="1" applyAlignment="1">
      <alignment horizontal="center" vertical="center"/>
    </xf>
    <xf numFmtId="0" fontId="13" fillId="0" borderId="0" xfId="6" applyFont="1" applyAlignment="1">
      <alignment horizontal="center" vertical="center"/>
    </xf>
    <xf numFmtId="14" fontId="14" fillId="5" borderId="9" xfId="4" applyNumberFormat="1" applyFont="1" applyFill="1" applyBorder="1" applyAlignment="1">
      <alignment horizontal="center" vertical="center"/>
    </xf>
    <xf numFmtId="41" fontId="14" fillId="0" borderId="9" xfId="4" applyFont="1" applyBorder="1">
      <alignment vertical="center"/>
    </xf>
    <xf numFmtId="41" fontId="14" fillId="5" borderId="9" xfId="4" applyFont="1" applyFill="1" applyBorder="1">
      <alignment vertical="center"/>
    </xf>
    <xf numFmtId="41" fontId="14" fillId="0" borderId="0" xfId="4" applyFont="1" applyBorder="1">
      <alignment vertical="center"/>
    </xf>
    <xf numFmtId="41" fontId="14" fillId="0" borderId="9" xfId="4" applyFont="1" applyBorder="1" applyAlignment="1">
      <alignment horizontal="left" vertical="center" indent="1"/>
    </xf>
    <xf numFmtId="41" fontId="14" fillId="0" borderId="9" xfId="1" applyFont="1" applyFill="1" applyBorder="1">
      <alignment vertical="center"/>
    </xf>
    <xf numFmtId="41" fontId="14" fillId="0" borderId="9" xfId="4" applyFont="1" applyFill="1" applyBorder="1" applyAlignment="1">
      <alignment horizontal="left" vertical="center" indent="1"/>
    </xf>
    <xf numFmtId="0" fontId="15" fillId="0" borderId="0" xfId="6" applyFont="1">
      <alignment vertical="center"/>
    </xf>
    <xf numFmtId="41" fontId="13" fillId="3" borderId="9" xfId="4" applyFont="1" applyFill="1" applyBorder="1" applyAlignment="1">
      <alignment horizontal="center" vertical="center"/>
    </xf>
    <xf numFmtId="41" fontId="14" fillId="0" borderId="9" xfId="4" applyFont="1" applyFill="1" applyBorder="1">
      <alignment vertical="center"/>
    </xf>
    <xf numFmtId="14" fontId="20" fillId="0" borderId="0" xfId="6" applyNumberFormat="1" applyFont="1">
      <alignment vertical="center"/>
    </xf>
    <xf numFmtId="41" fontId="15" fillId="0" borderId="0" xfId="1" applyFont="1">
      <alignment vertical="center"/>
    </xf>
    <xf numFmtId="41" fontId="20" fillId="0" borderId="9" xfId="4" applyFont="1" applyBorder="1">
      <alignment vertical="center"/>
    </xf>
    <xf numFmtId="10" fontId="24" fillId="0" borderId="0" xfId="2" applyNumberFormat="1" applyFont="1">
      <alignment vertical="center"/>
    </xf>
    <xf numFmtId="41" fontId="14" fillId="0" borderId="20" xfId="4" applyFont="1" applyBorder="1">
      <alignment vertical="center"/>
    </xf>
    <xf numFmtId="179" fontId="14" fillId="0" borderId="20" xfId="4" applyNumberFormat="1" applyFont="1" applyBorder="1">
      <alignment vertical="center"/>
    </xf>
    <xf numFmtId="41" fontId="14" fillId="0" borderId="15" xfId="4" applyFont="1" applyBorder="1">
      <alignment vertical="center"/>
    </xf>
    <xf numFmtId="179" fontId="14" fillId="0" borderId="15" xfId="4" applyNumberFormat="1" applyFont="1" applyBorder="1">
      <alignment vertical="center"/>
    </xf>
    <xf numFmtId="43" fontId="24" fillId="0" borderId="0" xfId="6" applyNumberFormat="1" applyFont="1">
      <alignment vertical="center"/>
    </xf>
    <xf numFmtId="0" fontId="24" fillId="3" borderId="21" xfId="6" applyFont="1" applyFill="1" applyBorder="1" applyAlignment="1">
      <alignment horizontal="center" vertical="center"/>
    </xf>
    <xf numFmtId="0" fontId="24" fillId="3" borderId="9" xfId="6" applyFont="1" applyFill="1" applyBorder="1" applyAlignment="1">
      <alignment horizontal="center" vertical="center"/>
    </xf>
    <xf numFmtId="0" fontId="24" fillId="0" borderId="0" xfId="6" applyFont="1" applyAlignment="1">
      <alignment horizontal="center" vertical="center"/>
    </xf>
    <xf numFmtId="0" fontId="24" fillId="0" borderId="21" xfId="6" applyFont="1" applyBorder="1">
      <alignment vertical="center"/>
    </xf>
    <xf numFmtId="10" fontId="25" fillId="0" borderId="9" xfId="6" applyNumberFormat="1" applyFont="1" applyBorder="1">
      <alignment vertical="center"/>
    </xf>
    <xf numFmtId="14" fontId="26" fillId="0" borderId="9" xfId="6" applyNumberFormat="1" applyFont="1" applyBorder="1">
      <alignment vertical="center"/>
    </xf>
    <xf numFmtId="0" fontId="24" fillId="0" borderId="14" xfId="6" applyFont="1" applyBorder="1">
      <alignment vertical="center"/>
    </xf>
    <xf numFmtId="0" fontId="24" fillId="0" borderId="9" xfId="6" applyFont="1" applyBorder="1">
      <alignment vertical="center"/>
    </xf>
    <xf numFmtId="0" fontId="27" fillId="3" borderId="21" xfId="0" applyFont="1" applyFill="1" applyBorder="1">
      <alignment vertical="center"/>
    </xf>
    <xf numFmtId="0" fontId="27" fillId="3" borderId="22" xfId="0" applyFont="1" applyFill="1" applyBorder="1">
      <alignment vertical="center"/>
    </xf>
    <xf numFmtId="0" fontId="28" fillId="3" borderId="22" xfId="0" applyFont="1" applyFill="1" applyBorder="1">
      <alignment vertical="center"/>
    </xf>
    <xf numFmtId="0" fontId="24" fillId="3" borderId="22" xfId="6" applyFont="1" applyFill="1" applyBorder="1">
      <alignment vertical="center"/>
    </xf>
    <xf numFmtId="0" fontId="24" fillId="3" borderId="19" xfId="6" applyFont="1" applyFill="1" applyBorder="1">
      <alignment vertical="center"/>
    </xf>
    <xf numFmtId="0" fontId="28" fillId="3" borderId="21" xfId="0" applyFont="1" applyFill="1" applyBorder="1">
      <alignment vertical="center"/>
    </xf>
    <xf numFmtId="0" fontId="24" fillId="3" borderId="21" xfId="6" applyFont="1" applyFill="1" applyBorder="1">
      <alignment vertical="center"/>
    </xf>
    <xf numFmtId="0" fontId="28" fillId="0" borderId="21" xfId="0" applyFont="1" applyBorder="1" applyAlignment="1">
      <alignment horizontal="left" vertical="center"/>
    </xf>
    <xf numFmtId="41" fontId="28" fillId="0" borderId="9" xfId="1" applyFont="1" applyFill="1" applyBorder="1">
      <alignment vertical="center"/>
    </xf>
    <xf numFmtId="41" fontId="28" fillId="0" borderId="21" xfId="1" applyFont="1" applyFill="1" applyBorder="1">
      <alignment vertical="center"/>
    </xf>
    <xf numFmtId="0" fontId="24" fillId="0" borderId="22" xfId="6" applyFont="1" applyBorder="1">
      <alignment vertical="center"/>
    </xf>
    <xf numFmtId="0" fontId="24" fillId="0" borderId="19" xfId="6" applyFont="1" applyBorder="1">
      <alignment vertical="center"/>
    </xf>
    <xf numFmtId="10" fontId="28" fillId="0" borderId="9" xfId="0" applyNumberFormat="1" applyFont="1" applyBorder="1" applyAlignment="1">
      <alignment horizontal="left" vertical="center" indent="1"/>
    </xf>
    <xf numFmtId="41" fontId="28" fillId="0" borderId="9" xfId="1" applyFont="1" applyFill="1" applyBorder="1" applyAlignment="1">
      <alignment horizontal="right" vertical="center"/>
    </xf>
    <xf numFmtId="41" fontId="28" fillId="0" borderId="21" xfId="1" applyFont="1" applyFill="1" applyBorder="1" applyAlignment="1">
      <alignment horizontal="right" vertical="center"/>
    </xf>
    <xf numFmtId="0" fontId="28" fillId="0" borderId="9" xfId="0" applyFont="1" applyBorder="1" applyAlignment="1">
      <alignment horizontal="left" vertical="center" indent="1"/>
    </xf>
    <xf numFmtId="0" fontId="28" fillId="0" borderId="9" xfId="0" applyFont="1" applyBorder="1">
      <alignment vertical="center"/>
    </xf>
    <xf numFmtId="41" fontId="25" fillId="0" borderId="9" xfId="1" applyFont="1" applyBorder="1">
      <alignment vertical="center"/>
    </xf>
    <xf numFmtId="41" fontId="24" fillId="0" borderId="21" xfId="1" applyFont="1" applyBorder="1">
      <alignment vertical="center"/>
    </xf>
    <xf numFmtId="0" fontId="27" fillId="0" borderId="9" xfId="0" applyFont="1" applyBorder="1">
      <alignment vertical="center"/>
    </xf>
    <xf numFmtId="41" fontId="27" fillId="0" borderId="9" xfId="1" applyFont="1" applyFill="1" applyBorder="1">
      <alignment vertical="center"/>
    </xf>
    <xf numFmtId="41" fontId="27" fillId="0" borderId="21" xfId="1" applyFont="1" applyFill="1" applyBorder="1">
      <alignment vertical="center"/>
    </xf>
    <xf numFmtId="41" fontId="29" fillId="0" borderId="21" xfId="6" applyNumberFormat="1" applyFont="1" applyBorder="1">
      <alignment vertical="center"/>
    </xf>
    <xf numFmtId="0" fontId="29" fillId="0" borderId="22" xfId="6" applyFont="1" applyBorder="1">
      <alignment vertical="center"/>
    </xf>
    <xf numFmtId="0" fontId="29" fillId="0" borderId="19" xfId="6" applyFont="1" applyBorder="1">
      <alignment vertical="center"/>
    </xf>
    <xf numFmtId="0" fontId="29" fillId="0" borderId="0" xfId="6" applyFont="1">
      <alignment vertical="center"/>
    </xf>
    <xf numFmtId="0" fontId="31" fillId="6" borderId="0" xfId="0" applyFont="1" applyFill="1">
      <alignment vertical="center"/>
    </xf>
    <xf numFmtId="182" fontId="32" fillId="6" borderId="0" xfId="0" applyNumberFormat="1" applyFont="1" applyFill="1">
      <alignment vertical="center"/>
    </xf>
    <xf numFmtId="0" fontId="32" fillId="6" borderId="0" xfId="0" applyFont="1" applyFill="1">
      <alignment vertical="center"/>
    </xf>
    <xf numFmtId="0" fontId="33" fillId="0" borderId="0" xfId="0" applyFont="1">
      <alignment vertical="center"/>
    </xf>
    <xf numFmtId="0" fontId="33" fillId="0" borderId="0" xfId="0" applyFont="1" applyAlignment="1">
      <alignment vertical="center" wrapText="1"/>
    </xf>
    <xf numFmtId="0" fontId="32" fillId="0" borderId="0" xfId="0" applyFont="1">
      <alignment vertical="center"/>
    </xf>
    <xf numFmtId="10" fontId="34" fillId="0" borderId="23" xfId="0" applyNumberFormat="1" applyFont="1" applyBorder="1" applyAlignment="1">
      <alignment horizontal="center" vertical="center" wrapText="1"/>
    </xf>
    <xf numFmtId="10" fontId="27" fillId="0" borderId="24" xfId="0" applyNumberFormat="1" applyFont="1" applyBorder="1" applyAlignment="1">
      <alignment horizontal="center" vertical="center"/>
    </xf>
    <xf numFmtId="0" fontId="34" fillId="3" borderId="26" xfId="0" applyFont="1" applyFill="1" applyBorder="1">
      <alignment vertical="center"/>
    </xf>
    <xf numFmtId="0" fontId="34" fillId="3" borderId="22" xfId="0" applyFont="1" applyFill="1" applyBorder="1">
      <alignment vertical="center"/>
    </xf>
    <xf numFmtId="0" fontId="34" fillId="3" borderId="19" xfId="0" applyFont="1" applyFill="1" applyBorder="1">
      <alignment vertical="center"/>
    </xf>
    <xf numFmtId="0" fontId="36" fillId="3" borderId="9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4" fillId="3" borderId="9" xfId="0" applyFont="1" applyFill="1" applyBorder="1" applyAlignment="1">
      <alignment horizontal="center" vertical="center"/>
    </xf>
    <xf numFmtId="0" fontId="34" fillId="3" borderId="12" xfId="0" applyFont="1" applyFill="1" applyBorder="1">
      <alignment vertical="center"/>
    </xf>
    <xf numFmtId="0" fontId="34" fillId="3" borderId="0" xfId="0" applyFont="1" applyFill="1">
      <alignment vertical="center"/>
    </xf>
    <xf numFmtId="0" fontId="34" fillId="3" borderId="18" xfId="0" applyFont="1" applyFill="1" applyBorder="1">
      <alignment vertical="center"/>
    </xf>
    <xf numFmtId="0" fontId="36" fillId="3" borderId="18" xfId="0" applyFont="1" applyFill="1" applyBorder="1" applyAlignment="1">
      <alignment horizontal="center" vertical="center"/>
    </xf>
    <xf numFmtId="0" fontId="34" fillId="3" borderId="27" xfId="0" applyFont="1" applyFill="1" applyBorder="1" applyAlignment="1">
      <alignment horizontal="center" vertical="center"/>
    </xf>
    <xf numFmtId="9" fontId="34" fillId="3" borderId="13" xfId="0" applyNumberFormat="1" applyFont="1" applyFill="1" applyBorder="1" applyAlignment="1">
      <alignment horizontal="center" vertical="center"/>
    </xf>
    <xf numFmtId="0" fontId="34" fillId="0" borderId="12" xfId="0" applyFont="1" applyBorder="1">
      <alignment vertical="center"/>
    </xf>
    <xf numFmtId="0" fontId="34" fillId="0" borderId="0" xfId="0" applyFont="1">
      <alignment vertical="center"/>
    </xf>
    <xf numFmtId="10" fontId="33" fillId="0" borderId="18" xfId="0" applyNumberFormat="1" applyFont="1" applyBorder="1">
      <alignment vertical="center"/>
    </xf>
    <xf numFmtId="41" fontId="33" fillId="0" borderId="18" xfId="1" applyFont="1" applyFill="1" applyBorder="1" applyAlignment="1">
      <alignment horizontal="right" vertical="center" wrapText="1"/>
    </xf>
    <xf numFmtId="41" fontId="33" fillId="0" borderId="0" xfId="1" applyFont="1" applyFill="1" applyBorder="1" applyAlignment="1">
      <alignment vertical="center"/>
    </xf>
    <xf numFmtId="41" fontId="38" fillId="0" borderId="13" xfId="1" applyFont="1" applyFill="1" applyBorder="1" applyAlignment="1">
      <alignment horizontal="right" vertical="center"/>
    </xf>
    <xf numFmtId="41" fontId="33" fillId="0" borderId="0" xfId="0" applyNumberFormat="1" applyFont="1">
      <alignment vertical="center"/>
    </xf>
    <xf numFmtId="10" fontId="34" fillId="0" borderId="12" xfId="0" applyNumberFormat="1" applyFont="1" applyBorder="1">
      <alignment vertical="center"/>
    </xf>
    <xf numFmtId="0" fontId="33" fillId="0" borderId="31" xfId="0" applyFont="1" applyBorder="1">
      <alignment vertical="center"/>
    </xf>
    <xf numFmtId="184" fontId="33" fillId="0" borderId="32" xfId="0" applyNumberFormat="1" applyFont="1" applyBorder="1" applyAlignment="1">
      <alignment horizontal="left" vertical="center"/>
    </xf>
    <xf numFmtId="41" fontId="33" fillId="0" borderId="32" xfId="1" applyFont="1" applyFill="1" applyBorder="1" applyAlignment="1">
      <alignment horizontal="right" vertical="center" wrapText="1"/>
    </xf>
    <xf numFmtId="41" fontId="35" fillId="0" borderId="33" xfId="1" applyFont="1" applyFill="1" applyBorder="1" applyAlignment="1">
      <alignment horizontal="right" vertical="center"/>
    </xf>
    <xf numFmtId="0" fontId="33" fillId="0" borderId="34" xfId="0" applyFont="1" applyBorder="1">
      <alignment vertical="center"/>
    </xf>
    <xf numFmtId="184" fontId="33" fillId="0" borderId="18" xfId="0" applyNumberFormat="1" applyFont="1" applyBorder="1" applyAlignment="1">
      <alignment horizontal="left" vertical="center"/>
    </xf>
    <xf numFmtId="41" fontId="35" fillId="0" borderId="13" xfId="1" applyFont="1" applyFill="1" applyBorder="1" applyAlignment="1">
      <alignment horizontal="right" vertical="center"/>
    </xf>
    <xf numFmtId="41" fontId="33" fillId="7" borderId="13" xfId="1" applyFont="1" applyFill="1" applyBorder="1" applyAlignment="1">
      <alignment horizontal="right" vertical="center"/>
    </xf>
    <xf numFmtId="41" fontId="33" fillId="0" borderId="13" xfId="1" applyFont="1" applyFill="1" applyBorder="1" applyAlignment="1">
      <alignment horizontal="right" vertical="center"/>
    </xf>
    <xf numFmtId="0" fontId="33" fillId="0" borderId="35" xfId="0" applyFont="1" applyBorder="1">
      <alignment vertical="center"/>
    </xf>
    <xf numFmtId="184" fontId="40" fillId="0" borderId="36" xfId="0" applyNumberFormat="1" applyFont="1" applyBorder="1" applyAlignment="1">
      <alignment horizontal="left" vertical="center"/>
    </xf>
    <xf numFmtId="41" fontId="40" fillId="0" borderId="36" xfId="1" applyFont="1" applyFill="1" applyBorder="1" applyAlignment="1">
      <alignment horizontal="right" vertical="center" wrapText="1"/>
    </xf>
    <xf numFmtId="41" fontId="40" fillId="0" borderId="37" xfId="1" applyFont="1" applyFill="1" applyBorder="1" applyAlignment="1">
      <alignment vertical="center"/>
    </xf>
    <xf numFmtId="41" fontId="40" fillId="0" borderId="38" xfId="1" applyFont="1" applyFill="1" applyBorder="1" applyAlignment="1">
      <alignment horizontal="right" vertical="center"/>
    </xf>
    <xf numFmtId="41" fontId="33" fillId="0" borderId="39" xfId="1" applyFont="1" applyFill="1" applyBorder="1" applyAlignment="1">
      <alignment vertical="center"/>
    </xf>
    <xf numFmtId="41" fontId="33" fillId="0" borderId="33" xfId="1" applyFont="1" applyFill="1" applyBorder="1" applyAlignment="1">
      <alignment horizontal="right" vertical="center"/>
    </xf>
    <xf numFmtId="184" fontId="40" fillId="0" borderId="18" xfId="0" applyNumberFormat="1" applyFont="1" applyBorder="1" applyAlignment="1">
      <alignment horizontal="left" vertical="center"/>
    </xf>
    <xf numFmtId="41" fontId="40" fillId="0" borderId="18" xfId="1" applyFont="1" applyFill="1" applyBorder="1" applyAlignment="1">
      <alignment horizontal="right" vertical="center" wrapText="1"/>
    </xf>
    <xf numFmtId="41" fontId="40" fillId="0" borderId="0" xfId="1" applyFont="1" applyFill="1" applyBorder="1" applyAlignment="1">
      <alignment vertical="center"/>
    </xf>
    <xf numFmtId="41" fontId="40" fillId="0" borderId="13" xfId="1" applyFont="1" applyFill="1" applyBorder="1" applyAlignment="1">
      <alignment horizontal="right" vertical="center"/>
    </xf>
    <xf numFmtId="0" fontId="40" fillId="0" borderId="35" xfId="0" applyFont="1" applyBorder="1">
      <alignment vertical="center"/>
    </xf>
    <xf numFmtId="10" fontId="33" fillId="0" borderId="0" xfId="2" applyNumberFormat="1" applyFont="1" applyFill="1" applyBorder="1" applyAlignment="1">
      <alignment vertical="center"/>
    </xf>
    <xf numFmtId="43" fontId="33" fillId="0" borderId="0" xfId="0" applyNumberFormat="1" applyFont="1">
      <alignment vertical="center"/>
    </xf>
    <xf numFmtId="3" fontId="33" fillId="0" borderId="0" xfId="0" applyNumberFormat="1" applyFont="1">
      <alignment vertical="center"/>
    </xf>
    <xf numFmtId="184" fontId="33" fillId="0" borderId="36" xfId="0" applyNumberFormat="1" applyFont="1" applyBorder="1" applyAlignment="1">
      <alignment horizontal="left" vertical="center"/>
    </xf>
    <xf numFmtId="41" fontId="33" fillId="0" borderId="36" xfId="1" applyFont="1" applyFill="1" applyBorder="1" applyAlignment="1">
      <alignment horizontal="right" vertical="center" wrapText="1"/>
    </xf>
    <xf numFmtId="41" fontId="33" fillId="0" borderId="38" xfId="1" applyFont="1" applyFill="1" applyBorder="1" applyAlignment="1">
      <alignment horizontal="right" vertical="center"/>
    </xf>
    <xf numFmtId="185" fontId="33" fillId="0" borderId="18" xfId="0" applyNumberFormat="1" applyFont="1" applyBorder="1" applyAlignment="1">
      <alignment horizontal="right" vertical="center" wrapText="1"/>
    </xf>
    <xf numFmtId="185" fontId="33" fillId="0" borderId="0" xfId="0" applyNumberFormat="1" applyFont="1">
      <alignment vertical="center"/>
    </xf>
    <xf numFmtId="185" fontId="35" fillId="0" borderId="13" xfId="0" applyNumberFormat="1" applyFont="1" applyBorder="1" applyAlignment="1">
      <alignment horizontal="right" vertical="center"/>
    </xf>
    <xf numFmtId="10" fontId="34" fillId="7" borderId="12" xfId="0" applyNumberFormat="1" applyFont="1" applyFill="1" applyBorder="1">
      <alignment vertical="center"/>
    </xf>
    <xf numFmtId="0" fontId="33" fillId="7" borderId="0" xfId="0" applyFont="1" applyFill="1">
      <alignment vertical="center"/>
    </xf>
    <xf numFmtId="10" fontId="33" fillId="7" borderId="18" xfId="0" applyNumberFormat="1" applyFont="1" applyFill="1" applyBorder="1">
      <alignment vertical="center"/>
    </xf>
    <xf numFmtId="185" fontId="33" fillId="7" borderId="18" xfId="0" applyNumberFormat="1" applyFont="1" applyFill="1" applyBorder="1" applyAlignment="1">
      <alignment horizontal="right" vertical="center" wrapText="1"/>
    </xf>
    <xf numFmtId="185" fontId="33" fillId="7" borderId="0" xfId="0" applyNumberFormat="1" applyFont="1" applyFill="1">
      <alignment vertical="center"/>
    </xf>
    <xf numFmtId="185" fontId="33" fillId="7" borderId="13" xfId="0" applyNumberFormat="1" applyFont="1" applyFill="1" applyBorder="1" applyAlignment="1">
      <alignment horizontal="right" vertical="center"/>
    </xf>
    <xf numFmtId="41" fontId="33" fillId="7" borderId="0" xfId="1" applyFont="1" applyFill="1" applyBorder="1" applyAlignment="1">
      <alignment vertical="center"/>
    </xf>
    <xf numFmtId="0" fontId="33" fillId="7" borderId="31" xfId="0" applyFont="1" applyFill="1" applyBorder="1">
      <alignment vertical="center"/>
    </xf>
    <xf numFmtId="10" fontId="33" fillId="7" borderId="32" xfId="0" applyNumberFormat="1" applyFont="1" applyFill="1" applyBorder="1">
      <alignment vertical="center"/>
    </xf>
    <xf numFmtId="41" fontId="33" fillId="7" borderId="32" xfId="1" applyFont="1" applyFill="1" applyBorder="1" applyAlignment="1">
      <alignment horizontal="right" vertical="center" wrapText="1"/>
    </xf>
    <xf numFmtId="41" fontId="40" fillId="7" borderId="33" xfId="1" applyFont="1" applyFill="1" applyBorder="1" applyAlignment="1">
      <alignment horizontal="right" vertical="center"/>
    </xf>
    <xf numFmtId="0" fontId="33" fillId="7" borderId="34" xfId="0" applyFont="1" applyFill="1" applyBorder="1">
      <alignment vertical="center"/>
    </xf>
    <xf numFmtId="41" fontId="33" fillId="7" borderId="18" xfId="1" applyFont="1" applyFill="1" applyBorder="1" applyAlignment="1">
      <alignment horizontal="right" vertical="center" wrapText="1"/>
    </xf>
    <xf numFmtId="41" fontId="40" fillId="7" borderId="13" xfId="1" applyFont="1" applyFill="1" applyBorder="1" applyAlignment="1">
      <alignment horizontal="right" vertical="center"/>
    </xf>
    <xf numFmtId="0" fontId="33" fillId="7" borderId="34" xfId="0" applyFont="1" applyFill="1" applyBorder="1" applyAlignment="1">
      <alignment horizontal="left" vertical="center" indent="1"/>
    </xf>
    <xf numFmtId="41" fontId="35" fillId="7" borderId="13" xfId="1" applyFont="1" applyFill="1" applyBorder="1" applyAlignment="1">
      <alignment horizontal="right" vertical="center"/>
    </xf>
    <xf numFmtId="10" fontId="33" fillId="7" borderId="13" xfId="2" applyNumberFormat="1" applyFont="1" applyFill="1" applyBorder="1" applyAlignment="1">
      <alignment horizontal="right" vertical="center" wrapText="1"/>
    </xf>
    <xf numFmtId="10" fontId="35" fillId="7" borderId="13" xfId="1" applyNumberFormat="1" applyFont="1" applyFill="1" applyBorder="1" applyAlignment="1">
      <alignment horizontal="right" vertical="center"/>
    </xf>
    <xf numFmtId="9" fontId="33" fillId="7" borderId="0" xfId="2" applyFont="1" applyFill="1" applyBorder="1" applyAlignment="1">
      <alignment vertical="center"/>
    </xf>
    <xf numFmtId="10" fontId="35" fillId="8" borderId="13" xfId="2" applyNumberFormat="1" applyFont="1" applyFill="1" applyBorder="1" applyAlignment="1">
      <alignment horizontal="right" vertical="center"/>
    </xf>
    <xf numFmtId="0" fontId="33" fillId="7" borderId="35" xfId="0" applyFont="1" applyFill="1" applyBorder="1">
      <alignment vertical="center"/>
    </xf>
    <xf numFmtId="10" fontId="33" fillId="7" borderId="36" xfId="0" applyNumberFormat="1" applyFont="1" applyFill="1" applyBorder="1">
      <alignment vertical="center"/>
    </xf>
    <xf numFmtId="10" fontId="33" fillId="7" borderId="38" xfId="1" applyNumberFormat="1" applyFont="1" applyFill="1" applyBorder="1" applyAlignment="1">
      <alignment horizontal="right" vertical="center" wrapText="1"/>
    </xf>
    <xf numFmtId="41" fontId="33" fillId="7" borderId="37" xfId="1" applyFont="1" applyFill="1" applyBorder="1" applyAlignment="1">
      <alignment vertical="center"/>
    </xf>
    <xf numFmtId="10" fontId="35" fillId="7" borderId="38" xfId="1" applyNumberFormat="1" applyFont="1" applyFill="1" applyBorder="1" applyAlignment="1">
      <alignment horizontal="right" vertical="center"/>
    </xf>
    <xf numFmtId="10" fontId="33" fillId="7" borderId="32" xfId="0" applyNumberFormat="1" applyFont="1" applyFill="1" applyBorder="1" applyAlignment="1">
      <alignment horizontal="right" vertical="center" wrapText="1"/>
    </xf>
    <xf numFmtId="185" fontId="33" fillId="7" borderId="39" xfId="0" applyNumberFormat="1" applyFont="1" applyFill="1" applyBorder="1">
      <alignment vertical="center"/>
    </xf>
    <xf numFmtId="10" fontId="40" fillId="7" borderId="33" xfId="0" applyNumberFormat="1" applyFont="1" applyFill="1" applyBorder="1" applyAlignment="1">
      <alignment horizontal="right" vertical="center"/>
    </xf>
    <xf numFmtId="10" fontId="33" fillId="7" borderId="18" xfId="0" applyNumberFormat="1" applyFont="1" applyFill="1" applyBorder="1" applyAlignment="1">
      <alignment horizontal="right" vertical="center" wrapText="1"/>
    </xf>
    <xf numFmtId="10" fontId="40" fillId="7" borderId="13" xfId="0" applyNumberFormat="1" applyFont="1" applyFill="1" applyBorder="1" applyAlignment="1">
      <alignment horizontal="right" vertical="center"/>
    </xf>
    <xf numFmtId="41" fontId="33" fillId="7" borderId="38" xfId="1" applyFont="1" applyFill="1" applyBorder="1" applyAlignment="1">
      <alignment horizontal="right" vertical="center" wrapText="1"/>
    </xf>
    <xf numFmtId="41" fontId="35" fillId="7" borderId="38" xfId="1" applyFont="1" applyFill="1" applyBorder="1" applyAlignment="1">
      <alignment horizontal="right" vertical="center"/>
    </xf>
    <xf numFmtId="41" fontId="35" fillId="7" borderId="33" xfId="1" applyFont="1" applyFill="1" applyBorder="1" applyAlignment="1">
      <alignment horizontal="right" vertical="center"/>
    </xf>
    <xf numFmtId="179" fontId="33" fillId="7" borderId="18" xfId="1" applyNumberFormat="1" applyFont="1" applyFill="1" applyBorder="1" applyAlignment="1">
      <alignment horizontal="right" vertical="center" wrapText="1"/>
    </xf>
    <xf numFmtId="179" fontId="35" fillId="7" borderId="13" xfId="1" applyNumberFormat="1" applyFont="1" applyFill="1" applyBorder="1" applyAlignment="1">
      <alignment horizontal="right" vertical="center"/>
    </xf>
    <xf numFmtId="14" fontId="33" fillId="7" borderId="36" xfId="1" applyNumberFormat="1" applyFont="1" applyFill="1" applyBorder="1" applyAlignment="1">
      <alignment horizontal="right" vertical="center" wrapText="1"/>
    </xf>
    <xf numFmtId="14" fontId="33" fillId="7" borderId="37" xfId="0" applyNumberFormat="1" applyFont="1" applyFill="1" applyBorder="1">
      <alignment vertical="center"/>
    </xf>
    <xf numFmtId="14" fontId="35" fillId="7" borderId="38" xfId="1" applyNumberFormat="1" applyFont="1" applyFill="1" applyBorder="1" applyAlignment="1">
      <alignment horizontal="right" vertical="center"/>
    </xf>
    <xf numFmtId="185" fontId="33" fillId="0" borderId="13" xfId="0" applyNumberFormat="1" applyFont="1" applyBorder="1" applyAlignment="1">
      <alignment horizontal="right" vertical="center"/>
    </xf>
    <xf numFmtId="10" fontId="33" fillId="0" borderId="32" xfId="0" applyNumberFormat="1" applyFont="1" applyBorder="1">
      <alignment vertical="center"/>
    </xf>
    <xf numFmtId="10" fontId="33" fillId="0" borderId="32" xfId="0" applyNumberFormat="1" applyFont="1" applyBorder="1" applyAlignment="1">
      <alignment horizontal="right" vertical="center" wrapText="1"/>
    </xf>
    <xf numFmtId="10" fontId="35" fillId="0" borderId="33" xfId="0" applyNumberFormat="1" applyFont="1" applyBorder="1" applyAlignment="1">
      <alignment horizontal="right" vertical="center"/>
    </xf>
    <xf numFmtId="10" fontId="33" fillId="0" borderId="36" xfId="0" applyNumberFormat="1" applyFont="1" applyBorder="1">
      <alignment vertical="center"/>
    </xf>
    <xf numFmtId="41" fontId="35" fillId="0" borderId="38" xfId="1" applyFont="1" applyFill="1" applyBorder="1" applyAlignment="1">
      <alignment horizontal="right" vertical="center"/>
    </xf>
    <xf numFmtId="0" fontId="33" fillId="0" borderId="40" xfId="0" applyFont="1" applyBorder="1">
      <alignment vertical="center"/>
    </xf>
    <xf numFmtId="186" fontId="33" fillId="0" borderId="32" xfId="0" applyNumberFormat="1" applyFont="1" applyBorder="1" applyAlignment="1">
      <alignment horizontal="left" vertical="center"/>
    </xf>
    <xf numFmtId="10" fontId="33" fillId="0" borderId="18" xfId="0" applyNumberFormat="1" applyFont="1" applyBorder="1" applyAlignment="1">
      <alignment horizontal="right" vertical="center" wrapText="1"/>
    </xf>
    <xf numFmtId="10" fontId="33" fillId="0" borderId="0" xfId="0" applyNumberFormat="1" applyFont="1">
      <alignment vertical="center"/>
    </xf>
    <xf numFmtId="10" fontId="35" fillId="0" borderId="13" xfId="0" applyNumberFormat="1" applyFont="1" applyBorder="1" applyAlignment="1">
      <alignment horizontal="right" vertical="center"/>
    </xf>
    <xf numFmtId="181" fontId="33" fillId="0" borderId="32" xfId="1" applyNumberFormat="1" applyFont="1" applyFill="1" applyBorder="1" applyAlignment="1">
      <alignment horizontal="right" vertical="center" wrapText="1"/>
    </xf>
    <xf numFmtId="181" fontId="33" fillId="0" borderId="0" xfId="1" applyNumberFormat="1" applyFont="1" applyFill="1" applyBorder="1" applyAlignment="1">
      <alignment vertical="center"/>
    </xf>
    <xf numFmtId="181" fontId="35" fillId="0" borderId="33" xfId="1" applyNumberFormat="1" applyFont="1" applyFill="1" applyBorder="1" applyAlignment="1">
      <alignment horizontal="right" vertical="center"/>
    </xf>
    <xf numFmtId="181" fontId="33" fillId="0" borderId="36" xfId="1" applyNumberFormat="1" applyFont="1" applyFill="1" applyBorder="1" applyAlignment="1">
      <alignment horizontal="right" vertical="center" wrapText="1"/>
    </xf>
    <xf numFmtId="181" fontId="35" fillId="0" borderId="38" xfId="1" applyNumberFormat="1" applyFont="1" applyFill="1" applyBorder="1" applyAlignment="1">
      <alignment horizontal="right" vertical="center"/>
    </xf>
    <xf numFmtId="10" fontId="33" fillId="0" borderId="31" xfId="0" applyNumberFormat="1" applyFont="1" applyBorder="1">
      <alignment vertical="center"/>
    </xf>
    <xf numFmtId="10" fontId="33" fillId="0" borderId="35" xfId="0" applyNumberFormat="1" applyFont="1" applyBorder="1">
      <alignment vertical="center"/>
    </xf>
    <xf numFmtId="10" fontId="33" fillId="0" borderId="36" xfId="0" applyNumberFormat="1" applyFont="1" applyBorder="1" applyAlignment="1">
      <alignment horizontal="right" vertical="center" wrapText="1"/>
    </xf>
    <xf numFmtId="10" fontId="35" fillId="0" borderId="38" xfId="2" applyNumberFormat="1" applyFont="1" applyFill="1" applyBorder="1" applyAlignment="1">
      <alignment horizontal="right" vertical="center"/>
    </xf>
    <xf numFmtId="0" fontId="33" fillId="0" borderId="12" xfId="0" applyFont="1" applyBorder="1">
      <alignment vertical="center"/>
    </xf>
    <xf numFmtId="10" fontId="33" fillId="0" borderId="41" xfId="0" applyNumberFormat="1" applyFont="1" applyBorder="1" applyAlignment="1">
      <alignment horizontal="left" vertical="center"/>
    </xf>
    <xf numFmtId="10" fontId="33" fillId="0" borderId="42" xfId="0" applyNumberFormat="1" applyFont="1" applyBorder="1">
      <alignment vertical="center"/>
    </xf>
    <xf numFmtId="41" fontId="33" fillId="0" borderId="42" xfId="1" applyFont="1" applyFill="1" applyBorder="1" applyAlignment="1">
      <alignment horizontal="right" vertical="center" wrapText="1"/>
    </xf>
    <xf numFmtId="10" fontId="33" fillId="0" borderId="40" xfId="0" applyNumberFormat="1" applyFont="1" applyBorder="1">
      <alignment vertical="center"/>
    </xf>
    <xf numFmtId="41" fontId="35" fillId="9" borderId="43" xfId="1" applyFont="1" applyFill="1" applyBorder="1" applyAlignment="1">
      <alignment horizontal="right" vertical="center"/>
    </xf>
    <xf numFmtId="41" fontId="35" fillId="10" borderId="43" xfId="1" applyFont="1" applyFill="1" applyBorder="1" applyAlignment="1">
      <alignment horizontal="right" vertical="center"/>
    </xf>
    <xf numFmtId="0" fontId="33" fillId="7" borderId="12" xfId="0" applyFont="1" applyFill="1" applyBorder="1">
      <alignment vertical="center"/>
    </xf>
    <xf numFmtId="10" fontId="33" fillId="7" borderId="41" xfId="0" applyNumberFormat="1" applyFont="1" applyFill="1" applyBorder="1" applyAlignment="1">
      <alignment horizontal="left" vertical="center"/>
    </xf>
    <xf numFmtId="10" fontId="33" fillId="7" borderId="42" xfId="0" applyNumberFormat="1" applyFont="1" applyFill="1" applyBorder="1">
      <alignment vertical="center"/>
    </xf>
    <xf numFmtId="41" fontId="33" fillId="7" borderId="42" xfId="1" applyFont="1" applyFill="1" applyBorder="1" applyAlignment="1">
      <alignment horizontal="right" vertical="center" wrapText="1"/>
    </xf>
    <xf numFmtId="10" fontId="33" fillId="7" borderId="40" xfId="0" applyNumberFormat="1" applyFont="1" applyFill="1" applyBorder="1">
      <alignment vertical="center"/>
    </xf>
    <xf numFmtId="41" fontId="35" fillId="7" borderId="43" xfId="1" applyFont="1" applyFill="1" applyBorder="1" applyAlignment="1">
      <alignment horizontal="right" vertical="center"/>
    </xf>
    <xf numFmtId="10" fontId="33" fillId="0" borderId="42" xfId="2" applyNumberFormat="1" applyFont="1" applyFill="1" applyBorder="1" applyAlignment="1">
      <alignment horizontal="right" vertical="center" wrapText="1"/>
    </xf>
    <xf numFmtId="10" fontId="33" fillId="0" borderId="40" xfId="2" applyNumberFormat="1" applyFont="1" applyFill="1" applyBorder="1" applyAlignment="1">
      <alignment vertical="center"/>
    </xf>
    <xf numFmtId="10" fontId="35" fillId="0" borderId="43" xfId="2" applyNumberFormat="1" applyFont="1" applyFill="1" applyBorder="1" applyAlignment="1">
      <alignment horizontal="right" vertical="center"/>
    </xf>
    <xf numFmtId="10" fontId="40" fillId="0" borderId="12" xfId="0" applyNumberFormat="1" applyFont="1" applyBorder="1">
      <alignment vertical="center"/>
    </xf>
    <xf numFmtId="187" fontId="33" fillId="0" borderId="0" xfId="0" applyNumberFormat="1" applyFont="1">
      <alignment vertical="center"/>
    </xf>
    <xf numFmtId="0" fontId="34" fillId="3" borderId="44" xfId="0" applyFont="1" applyFill="1" applyBorder="1">
      <alignment vertical="center"/>
    </xf>
    <xf numFmtId="0" fontId="34" fillId="3" borderId="45" xfId="0" applyFont="1" applyFill="1" applyBorder="1">
      <alignment vertical="center"/>
    </xf>
    <xf numFmtId="0" fontId="34" fillId="3" borderId="46" xfId="0" applyFont="1" applyFill="1" applyBorder="1">
      <alignment vertical="center"/>
    </xf>
    <xf numFmtId="0" fontId="33" fillId="3" borderId="0" xfId="0" applyFont="1" applyFill="1">
      <alignment vertical="center"/>
    </xf>
    <xf numFmtId="0" fontId="34" fillId="3" borderId="47" xfId="0" applyFont="1" applyFill="1" applyBorder="1" applyAlignment="1">
      <alignment horizontal="center" vertical="center"/>
    </xf>
    <xf numFmtId="10" fontId="33" fillId="0" borderId="0" xfId="0" applyNumberFormat="1" applyFont="1" applyAlignment="1">
      <alignment horizontal="right" vertical="center"/>
    </xf>
    <xf numFmtId="0" fontId="34" fillId="0" borderId="48" xfId="0" applyFont="1" applyBorder="1">
      <alignment vertical="center"/>
    </xf>
    <xf numFmtId="0" fontId="34" fillId="0" borderId="18" xfId="0" applyFont="1" applyBorder="1">
      <alignment vertical="center"/>
    </xf>
    <xf numFmtId="41" fontId="34" fillId="0" borderId="18" xfId="1" applyFont="1" applyFill="1" applyBorder="1" applyAlignment="1">
      <alignment horizontal="right" vertical="center"/>
    </xf>
    <xf numFmtId="0" fontId="33" fillId="0" borderId="32" xfId="0" applyFont="1" applyBorder="1">
      <alignment vertical="center"/>
    </xf>
    <xf numFmtId="41" fontId="34" fillId="0" borderId="32" xfId="1" applyFont="1" applyFill="1" applyBorder="1" applyAlignment="1">
      <alignment horizontal="right" vertical="center"/>
    </xf>
    <xf numFmtId="187" fontId="33" fillId="0" borderId="0" xfId="0" applyNumberFormat="1" applyFont="1" applyAlignment="1">
      <alignment horizontal="right" vertical="center"/>
    </xf>
    <xf numFmtId="0" fontId="33" fillId="0" borderId="18" xfId="0" applyFont="1" applyBorder="1">
      <alignment vertical="center"/>
    </xf>
    <xf numFmtId="0" fontId="33" fillId="0" borderId="36" xfId="0" applyFont="1" applyBorder="1">
      <alignment vertical="center"/>
    </xf>
    <xf numFmtId="41" fontId="34" fillId="0" borderId="36" xfId="1" applyFont="1" applyFill="1" applyBorder="1" applyAlignment="1">
      <alignment horizontal="right" vertical="center"/>
    </xf>
    <xf numFmtId="0" fontId="34" fillId="0" borderId="49" xfId="0" applyFont="1" applyBorder="1">
      <alignment vertical="center"/>
    </xf>
    <xf numFmtId="41" fontId="34" fillId="0" borderId="43" xfId="1" applyFont="1" applyFill="1" applyBorder="1" applyAlignment="1">
      <alignment horizontal="right" vertical="center"/>
    </xf>
    <xf numFmtId="0" fontId="33" fillId="0" borderId="39" xfId="0" applyFont="1" applyBorder="1">
      <alignment vertical="center"/>
    </xf>
    <xf numFmtId="41" fontId="34" fillId="0" borderId="33" xfId="1" applyFont="1" applyFill="1" applyBorder="1" applyAlignment="1">
      <alignment horizontal="right" vertical="center"/>
    </xf>
    <xf numFmtId="41" fontId="34" fillId="0" borderId="13" xfId="1" applyFont="1" applyFill="1" applyBorder="1" applyAlignment="1">
      <alignment horizontal="right" vertical="center"/>
    </xf>
    <xf numFmtId="188" fontId="27" fillId="0" borderId="13" xfId="0" applyNumberFormat="1" applyFont="1" applyBorder="1" applyAlignment="1">
      <alignment horizontal="right" vertical="center"/>
    </xf>
    <xf numFmtId="188" fontId="28" fillId="0" borderId="13" xfId="0" applyNumberFormat="1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0" fontId="34" fillId="0" borderId="50" xfId="0" applyFont="1" applyBorder="1">
      <alignment vertical="center"/>
    </xf>
    <xf numFmtId="0" fontId="33" fillId="0" borderId="37" xfId="0" applyFont="1" applyBorder="1">
      <alignment vertical="center"/>
    </xf>
    <xf numFmtId="41" fontId="27" fillId="0" borderId="38" xfId="1" applyFont="1" applyFill="1" applyBorder="1" applyAlignment="1">
      <alignment horizontal="right" vertical="center"/>
    </xf>
    <xf numFmtId="41" fontId="28" fillId="0" borderId="38" xfId="1" applyFont="1" applyFill="1" applyBorder="1" applyAlignment="1">
      <alignment horizontal="right" vertical="center"/>
    </xf>
    <xf numFmtId="0" fontId="34" fillId="7" borderId="12" xfId="0" applyFont="1" applyFill="1" applyBorder="1">
      <alignment vertical="center"/>
    </xf>
    <xf numFmtId="41" fontId="34" fillId="7" borderId="13" xfId="1" applyFont="1" applyFill="1" applyBorder="1" applyAlignment="1">
      <alignment horizontal="right" vertical="center"/>
    </xf>
    <xf numFmtId="41" fontId="28" fillId="7" borderId="13" xfId="1" applyFont="1" applyFill="1" applyBorder="1" applyAlignment="1">
      <alignment horizontal="right" vertical="center"/>
    </xf>
    <xf numFmtId="189" fontId="34" fillId="0" borderId="13" xfId="0" applyNumberFormat="1" applyFont="1" applyBorder="1" applyAlignment="1">
      <alignment horizontal="center" vertical="center"/>
    </xf>
    <xf numFmtId="0" fontId="33" fillId="0" borderId="13" xfId="0" applyFont="1" applyBorder="1">
      <alignment vertical="center"/>
    </xf>
    <xf numFmtId="189" fontId="33" fillId="0" borderId="13" xfId="0" applyNumberFormat="1" applyFont="1" applyBorder="1" applyAlignment="1">
      <alignment horizontal="right" vertical="center"/>
    </xf>
    <xf numFmtId="190" fontId="34" fillId="0" borderId="33" xfId="1" applyNumberFormat="1" applyFont="1" applyFill="1" applyBorder="1" applyAlignment="1">
      <alignment horizontal="right" vertical="center"/>
    </xf>
    <xf numFmtId="190" fontId="33" fillId="0" borderId="33" xfId="1" applyNumberFormat="1" applyFont="1" applyFill="1" applyBorder="1" applyAlignment="1">
      <alignment horizontal="right" vertical="center"/>
    </xf>
    <xf numFmtId="190" fontId="34" fillId="0" borderId="38" xfId="1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right" vertical="center"/>
    </xf>
    <xf numFmtId="190" fontId="33" fillId="0" borderId="38" xfId="1" applyNumberFormat="1" applyFont="1" applyFill="1" applyBorder="1" applyAlignment="1">
      <alignment horizontal="right" vertical="center"/>
    </xf>
    <xf numFmtId="0" fontId="34" fillId="0" borderId="39" xfId="0" applyFont="1" applyBorder="1">
      <alignment vertical="center"/>
    </xf>
    <xf numFmtId="41" fontId="34" fillId="0" borderId="38" xfId="1" applyFont="1" applyFill="1" applyBorder="1" applyAlignment="1">
      <alignment horizontal="center" vertical="center"/>
    </xf>
    <xf numFmtId="41" fontId="33" fillId="0" borderId="12" xfId="1" applyFont="1" applyFill="1" applyBorder="1" applyAlignment="1">
      <alignment vertical="center"/>
    </xf>
    <xf numFmtId="41" fontId="34" fillId="0" borderId="13" xfId="1" applyFont="1" applyFill="1" applyBorder="1" applyAlignment="1">
      <alignment horizontal="center" vertical="center"/>
    </xf>
    <xf numFmtId="41" fontId="33" fillId="0" borderId="13" xfId="1" applyFont="1" applyFill="1" applyBorder="1" applyAlignment="1">
      <alignment vertical="center"/>
    </xf>
    <xf numFmtId="0" fontId="33" fillId="0" borderId="31" xfId="0" applyFont="1" applyBorder="1" applyAlignment="1">
      <alignment horizontal="left" vertical="center"/>
    </xf>
    <xf numFmtId="41" fontId="34" fillId="0" borderId="33" xfId="1" applyFont="1" applyFill="1" applyBorder="1" applyAlignment="1">
      <alignment horizontal="center" vertical="center"/>
    </xf>
    <xf numFmtId="41" fontId="33" fillId="0" borderId="33" xfId="1" applyFont="1" applyFill="1" applyBorder="1" applyAlignment="1">
      <alignment vertical="center"/>
    </xf>
    <xf numFmtId="0" fontId="33" fillId="0" borderId="34" xfId="0" applyFont="1" applyBorder="1" applyAlignment="1">
      <alignment horizontal="left" vertical="center"/>
    </xf>
    <xf numFmtId="0" fontId="33" fillId="0" borderId="35" xfId="0" applyFont="1" applyBorder="1" applyAlignment="1">
      <alignment horizontal="left" vertical="center"/>
    </xf>
    <xf numFmtId="41" fontId="33" fillId="0" borderId="38" xfId="1" applyFont="1" applyFill="1" applyBorder="1" applyAlignment="1">
      <alignment vertical="center"/>
    </xf>
    <xf numFmtId="0" fontId="33" fillId="0" borderId="41" xfId="0" applyFont="1" applyBorder="1" applyAlignment="1">
      <alignment horizontal="left" vertical="center"/>
    </xf>
    <xf numFmtId="191" fontId="34" fillId="0" borderId="43" xfId="1" applyNumberFormat="1" applyFont="1" applyFill="1" applyBorder="1" applyAlignment="1">
      <alignment horizontal="right" vertical="center"/>
    </xf>
    <xf numFmtId="41" fontId="33" fillId="0" borderId="43" xfId="1" applyFont="1" applyFill="1" applyBorder="1" applyAlignment="1">
      <alignment vertical="center"/>
    </xf>
    <xf numFmtId="191" fontId="33" fillId="0" borderId="43" xfId="1" applyNumberFormat="1" applyFont="1" applyFill="1" applyBorder="1" applyAlignment="1">
      <alignment horizontal="right" vertical="center"/>
    </xf>
    <xf numFmtId="0" fontId="34" fillId="0" borderId="14" xfId="0" applyFont="1" applyBorder="1">
      <alignment vertical="center"/>
    </xf>
    <xf numFmtId="0" fontId="33" fillId="0" borderId="24" xfId="0" applyFont="1" applyBorder="1" applyAlignment="1">
      <alignment horizontal="left" vertical="center"/>
    </xf>
    <xf numFmtId="0" fontId="33" fillId="0" borderId="24" xfId="0" applyFont="1" applyBorder="1">
      <alignment vertical="center"/>
    </xf>
    <xf numFmtId="41" fontId="34" fillId="0" borderId="15" xfId="1" applyFont="1" applyFill="1" applyBorder="1" applyAlignment="1">
      <alignment horizontal="center" vertical="center"/>
    </xf>
    <xf numFmtId="41" fontId="33" fillId="0" borderId="15" xfId="1" applyFont="1" applyFill="1" applyBorder="1" applyAlignment="1">
      <alignment horizontal="right" vertical="center"/>
    </xf>
    <xf numFmtId="0" fontId="28" fillId="0" borderId="0" xfId="0" applyFont="1">
      <alignment vertical="center"/>
    </xf>
    <xf numFmtId="0" fontId="44" fillId="0" borderId="0" xfId="0" applyFont="1">
      <alignment vertical="center"/>
    </xf>
    <xf numFmtId="0" fontId="45" fillId="6" borderId="0" xfId="0" applyFont="1" applyFill="1">
      <alignment vertical="center"/>
    </xf>
    <xf numFmtId="0" fontId="44" fillId="6" borderId="0" xfId="0" applyFont="1" applyFill="1">
      <alignment vertical="center"/>
    </xf>
    <xf numFmtId="0" fontId="45" fillId="0" borderId="0" xfId="0" applyFont="1">
      <alignment vertical="center"/>
    </xf>
    <xf numFmtId="0" fontId="28" fillId="0" borderId="12" xfId="0" applyFont="1" applyBorder="1">
      <alignment vertical="center"/>
    </xf>
    <xf numFmtId="0" fontId="27" fillId="11" borderId="21" xfId="7" applyFont="1" applyFill="1" applyBorder="1" applyAlignment="1">
      <alignment vertical="center"/>
    </xf>
    <xf numFmtId="0" fontId="28" fillId="11" borderId="22" xfId="7" applyFont="1" applyFill="1" applyBorder="1" applyAlignment="1">
      <alignment vertical="center"/>
    </xf>
    <xf numFmtId="0" fontId="28" fillId="11" borderId="19" xfId="7" applyFont="1" applyFill="1" applyBorder="1" applyAlignment="1">
      <alignment vertical="center"/>
    </xf>
    <xf numFmtId="0" fontId="27" fillId="0" borderId="12" xfId="0" applyFont="1" applyBorder="1" applyAlignment="1">
      <alignment horizontal="left" vertical="center" indent="1"/>
    </xf>
    <xf numFmtId="14" fontId="41" fillId="0" borderId="0" xfId="0" applyNumberFormat="1" applyFont="1">
      <alignment vertical="center"/>
    </xf>
    <xf numFmtId="0" fontId="28" fillId="0" borderId="16" xfId="0" applyFont="1" applyBorder="1">
      <alignment vertical="center"/>
    </xf>
    <xf numFmtId="10" fontId="28" fillId="0" borderId="10" xfId="0" applyNumberFormat="1" applyFont="1" applyBorder="1" applyAlignment="1">
      <alignment horizontal="left" vertical="center" indent="1"/>
    </xf>
    <xf numFmtId="0" fontId="28" fillId="0" borderId="23" xfId="0" applyFont="1" applyBorder="1">
      <alignment vertical="center"/>
    </xf>
    <xf numFmtId="41" fontId="47" fillId="0" borderId="23" xfId="1" applyFont="1" applyFill="1" applyBorder="1">
      <alignment vertical="center"/>
    </xf>
    <xf numFmtId="0" fontId="28" fillId="0" borderId="12" xfId="0" applyFont="1" applyBorder="1" applyAlignment="1">
      <alignment horizontal="left" vertical="center" indent="1"/>
    </xf>
    <xf numFmtId="0" fontId="28" fillId="0" borderId="18" xfId="0" applyFont="1" applyBorder="1">
      <alignment vertical="center"/>
    </xf>
    <xf numFmtId="41" fontId="28" fillId="0" borderId="9" xfId="1" applyFont="1" applyFill="1" applyBorder="1" applyAlignment="1">
      <alignment horizontal="centerContinuous" vertical="center"/>
    </xf>
    <xf numFmtId="14" fontId="28" fillId="0" borderId="21" xfId="1" applyNumberFormat="1" applyFont="1" applyFill="1" applyBorder="1" applyAlignment="1">
      <alignment horizontal="centerContinuous" vertical="center" wrapText="1"/>
    </xf>
    <xf numFmtId="0" fontId="28" fillId="0" borderId="24" xfId="0" applyFont="1" applyBorder="1" applyAlignment="1">
      <alignment horizontal="center" vertical="center"/>
    </xf>
    <xf numFmtId="192" fontId="28" fillId="0" borderId="0" xfId="0" applyNumberFormat="1" applyFont="1">
      <alignment vertical="center"/>
    </xf>
    <xf numFmtId="0" fontId="28" fillId="0" borderId="21" xfId="0" applyFont="1" applyBorder="1" applyAlignment="1">
      <alignment horizontal="centerContinuous" vertical="center"/>
    </xf>
    <xf numFmtId="0" fontId="28" fillId="0" borderId="51" xfId="0" applyFont="1" applyBorder="1" applyAlignment="1">
      <alignment horizontal="centerContinuous" vertical="center"/>
    </xf>
    <xf numFmtId="0" fontId="28" fillId="0" borderId="22" xfId="0" applyFont="1" applyBorder="1" applyAlignment="1">
      <alignment horizontal="centerContinuous" vertical="center"/>
    </xf>
    <xf numFmtId="0" fontId="28" fillId="0" borderId="12" xfId="0" applyFont="1" applyBorder="1" applyAlignment="1">
      <alignment horizontal="center" vertical="center"/>
    </xf>
    <xf numFmtId="10" fontId="28" fillId="0" borderId="0" xfId="2" applyNumberFormat="1" applyFont="1" applyBorder="1">
      <alignment vertical="center"/>
    </xf>
    <xf numFmtId="41" fontId="28" fillId="0" borderId="0" xfId="1" applyFont="1" applyBorder="1">
      <alignment vertical="center"/>
    </xf>
    <xf numFmtId="181" fontId="28" fillId="0" borderId="0" xfId="1" applyNumberFormat="1" applyFont="1" applyBorder="1">
      <alignment vertical="center"/>
    </xf>
    <xf numFmtId="181" fontId="28" fillId="0" borderId="18" xfId="1" applyNumberFormat="1" applyFont="1" applyBorder="1">
      <alignment vertical="center"/>
    </xf>
    <xf numFmtId="0" fontId="28" fillId="0" borderId="0" xfId="0" applyFont="1" applyAlignment="1">
      <alignment horizontal="left" vertical="center"/>
    </xf>
    <xf numFmtId="41" fontId="41" fillId="3" borderId="0" xfId="1" applyFont="1" applyFill="1" applyBorder="1">
      <alignment vertical="center"/>
    </xf>
    <xf numFmtId="0" fontId="28" fillId="0" borderId="10" xfId="0" applyFont="1" applyBorder="1" applyAlignment="1">
      <alignment horizontal="left" vertical="center" indent="1"/>
    </xf>
    <xf numFmtId="0" fontId="28" fillId="0" borderId="30" xfId="0" applyFont="1" applyBorder="1">
      <alignment vertical="center"/>
    </xf>
    <xf numFmtId="41" fontId="28" fillId="0" borderId="10" xfId="1" applyFont="1" applyBorder="1">
      <alignment vertical="center"/>
    </xf>
    <xf numFmtId="185" fontId="28" fillId="0" borderId="52" xfId="2" applyNumberFormat="1" applyFont="1" applyBorder="1">
      <alignment vertical="center"/>
    </xf>
    <xf numFmtId="185" fontId="28" fillId="0" borderId="23" xfId="2" applyNumberFormat="1" applyFont="1" applyBorder="1">
      <alignment vertical="center"/>
    </xf>
    <xf numFmtId="0" fontId="48" fillId="0" borderId="0" xfId="0" applyFont="1">
      <alignment vertical="center"/>
    </xf>
    <xf numFmtId="14" fontId="49" fillId="12" borderId="0" xfId="0" applyNumberFormat="1" applyFont="1" applyFill="1" applyAlignment="1">
      <alignment vertical="center" shrinkToFit="1"/>
    </xf>
    <xf numFmtId="193" fontId="50" fillId="0" borderId="18" xfId="0" applyNumberFormat="1" applyFont="1" applyBorder="1" applyAlignment="1">
      <alignment horizontal="right" vertical="center" shrinkToFit="1"/>
    </xf>
    <xf numFmtId="0" fontId="28" fillId="0" borderId="12" xfId="0" applyFont="1" applyBorder="1" applyAlignment="1">
      <alignment horizontal="left" vertical="center"/>
    </xf>
    <xf numFmtId="0" fontId="28" fillId="0" borderId="31" xfId="0" applyFont="1" applyBorder="1" applyAlignment="1">
      <alignment horizontal="left" vertical="center"/>
    </xf>
    <xf numFmtId="41" fontId="28" fillId="0" borderId="49" xfId="1" applyFont="1" applyFill="1" applyBorder="1">
      <alignment vertical="center"/>
    </xf>
    <xf numFmtId="185" fontId="28" fillId="0" borderId="53" xfId="2" applyNumberFormat="1" applyFont="1" applyFill="1" applyBorder="1">
      <alignment vertical="center"/>
    </xf>
    <xf numFmtId="185" fontId="28" fillId="0" borderId="39" xfId="2" applyNumberFormat="1" applyFont="1" applyFill="1" applyBorder="1">
      <alignment vertical="center"/>
    </xf>
    <xf numFmtId="0" fontId="51" fillId="0" borderId="0" xfId="0" applyFont="1">
      <alignment vertical="center"/>
    </xf>
    <xf numFmtId="14" fontId="51" fillId="0" borderId="0" xfId="0" applyNumberFormat="1" applyFont="1">
      <alignment vertical="center"/>
    </xf>
    <xf numFmtId="0" fontId="28" fillId="0" borderId="14" xfId="0" applyFont="1" applyBorder="1" applyAlignment="1">
      <alignment horizontal="left" vertical="center"/>
    </xf>
    <xf numFmtId="0" fontId="28" fillId="0" borderId="54" xfId="0" applyFont="1" applyBorder="1" applyAlignment="1">
      <alignment horizontal="left" vertical="center"/>
    </xf>
    <xf numFmtId="41" fontId="28" fillId="0" borderId="14" xfId="1" applyFont="1" applyFill="1" applyBorder="1">
      <alignment vertical="center"/>
    </xf>
    <xf numFmtId="185" fontId="28" fillId="0" borderId="55" xfId="2" applyNumberFormat="1" applyFont="1" applyFill="1" applyBorder="1">
      <alignment vertical="center"/>
    </xf>
    <xf numFmtId="185" fontId="28" fillId="0" borderId="24" xfId="2" applyNumberFormat="1" applyFont="1" applyFill="1" applyBorder="1">
      <alignment vertical="center"/>
    </xf>
    <xf numFmtId="14" fontId="41" fillId="0" borderId="0" xfId="0" applyNumberFormat="1" applyFont="1" applyAlignment="1">
      <alignment vertical="center" shrinkToFit="1"/>
    </xf>
    <xf numFmtId="193" fontId="28" fillId="0" borderId="18" xfId="0" applyNumberFormat="1" applyFont="1" applyBorder="1" applyAlignment="1">
      <alignment vertical="center" shrinkToFit="1"/>
    </xf>
    <xf numFmtId="41" fontId="28" fillId="0" borderId="10" xfId="1" applyFont="1" applyFill="1" applyBorder="1">
      <alignment vertical="center"/>
    </xf>
    <xf numFmtId="185" fontId="28" fillId="0" borderId="52" xfId="2" applyNumberFormat="1" applyFont="1" applyFill="1" applyBorder="1">
      <alignment vertical="center"/>
    </xf>
    <xf numFmtId="0" fontId="52" fillId="0" borderId="18" xfId="0" applyFont="1" applyBorder="1" applyAlignment="1">
      <alignment horizontal="center" vertical="center"/>
    </xf>
    <xf numFmtId="179" fontId="47" fillId="0" borderId="0" xfId="1" applyNumberFormat="1" applyFont="1" applyFill="1" applyBorder="1">
      <alignment vertical="center"/>
    </xf>
    <xf numFmtId="179" fontId="28" fillId="0" borderId="18" xfId="1" applyNumberFormat="1" applyFont="1" applyFill="1" applyBorder="1">
      <alignment vertical="center"/>
    </xf>
    <xf numFmtId="0" fontId="28" fillId="0" borderId="31" xfId="0" applyFont="1" applyBorder="1">
      <alignment vertical="center"/>
    </xf>
    <xf numFmtId="10" fontId="51" fillId="7" borderId="39" xfId="2" applyNumberFormat="1" applyFont="1" applyFill="1" applyBorder="1">
      <alignment vertical="center"/>
    </xf>
    <xf numFmtId="10" fontId="47" fillId="0" borderId="18" xfId="0" applyNumberFormat="1" applyFont="1" applyBorder="1">
      <alignment vertical="center"/>
    </xf>
    <xf numFmtId="0" fontId="28" fillId="0" borderId="14" xfId="0" applyFont="1" applyBorder="1">
      <alignment vertical="center"/>
    </xf>
    <xf numFmtId="0" fontId="28" fillId="0" borderId="24" xfId="0" applyFont="1" applyBorder="1">
      <alignment vertical="center"/>
    </xf>
    <xf numFmtId="193" fontId="28" fillId="0" borderId="24" xfId="0" applyNumberFormat="1" applyFont="1" applyBorder="1">
      <alignment vertical="center"/>
    </xf>
    <xf numFmtId="193" fontId="53" fillId="0" borderId="17" xfId="0" applyNumberFormat="1" applyFont="1" applyBorder="1">
      <alignment vertical="center"/>
    </xf>
    <xf numFmtId="0" fontId="28" fillId="0" borderId="34" xfId="0" applyFont="1" applyBorder="1">
      <alignment vertical="center"/>
    </xf>
    <xf numFmtId="41" fontId="28" fillId="0" borderId="12" xfId="1" applyFont="1" applyFill="1" applyBorder="1">
      <alignment vertical="center"/>
    </xf>
    <xf numFmtId="185" fontId="28" fillId="0" borderId="56" xfId="2" applyNumberFormat="1" applyFont="1" applyFill="1" applyBorder="1">
      <alignment vertical="center"/>
    </xf>
    <xf numFmtId="10" fontId="47" fillId="0" borderId="0" xfId="2" applyNumberFormat="1" applyFont="1" applyFill="1" applyBorder="1">
      <alignment vertical="center"/>
    </xf>
    <xf numFmtId="185" fontId="28" fillId="0" borderId="18" xfId="0" applyNumberFormat="1" applyFont="1" applyBorder="1">
      <alignment vertical="center"/>
    </xf>
    <xf numFmtId="10" fontId="41" fillId="0" borderId="0" xfId="0" applyNumberFormat="1" applyFont="1">
      <alignment vertical="center"/>
    </xf>
    <xf numFmtId="10" fontId="51" fillId="7" borderId="0" xfId="2" applyNumberFormat="1" applyFont="1" applyFill="1" applyBorder="1">
      <alignment vertical="center"/>
    </xf>
    <xf numFmtId="0" fontId="28" fillId="0" borderId="14" xfId="0" applyFont="1" applyBorder="1" applyAlignment="1">
      <alignment horizontal="center" vertical="center"/>
    </xf>
    <xf numFmtId="10" fontId="28" fillId="0" borderId="24" xfId="2" applyNumberFormat="1" applyFont="1" applyBorder="1">
      <alignment vertical="center"/>
    </xf>
    <xf numFmtId="41" fontId="28" fillId="0" borderId="24" xfId="1" applyFont="1" applyBorder="1">
      <alignment vertical="center"/>
    </xf>
    <xf numFmtId="181" fontId="28" fillId="0" borderId="24" xfId="1" applyNumberFormat="1" applyFont="1" applyBorder="1">
      <alignment vertical="center"/>
    </xf>
    <xf numFmtId="181" fontId="28" fillId="0" borderId="17" xfId="1" applyNumberFormat="1" applyFont="1" applyBorder="1">
      <alignment vertical="center"/>
    </xf>
    <xf numFmtId="0" fontId="28" fillId="0" borderId="12" xfId="0" applyFont="1" applyBorder="1" applyAlignment="1">
      <alignment horizontal="left" vertical="center" indent="2"/>
    </xf>
    <xf numFmtId="0" fontId="28" fillId="0" borderId="21" xfId="0" applyFont="1" applyBorder="1" applyAlignment="1">
      <alignment horizontal="left" vertical="center" indent="1"/>
    </xf>
    <xf numFmtId="0" fontId="28" fillId="0" borderId="19" xfId="0" applyFont="1" applyBorder="1">
      <alignment vertical="center"/>
    </xf>
    <xf numFmtId="41" fontId="28" fillId="0" borderId="21" xfId="1" applyFont="1" applyBorder="1">
      <alignment vertical="center"/>
    </xf>
    <xf numFmtId="185" fontId="28" fillId="0" borderId="51" xfId="2" applyNumberFormat="1" applyFont="1" applyBorder="1">
      <alignment vertical="center"/>
    </xf>
    <xf numFmtId="185" fontId="28" fillId="0" borderId="22" xfId="2" applyNumberFormat="1" applyFont="1" applyBorder="1">
      <alignment vertical="center"/>
    </xf>
    <xf numFmtId="10" fontId="28" fillId="0" borderId="24" xfId="0" applyNumberFormat="1" applyFont="1" applyBorder="1">
      <alignment vertical="center"/>
    </xf>
    <xf numFmtId="41" fontId="28" fillId="0" borderId="24" xfId="0" applyNumberFormat="1" applyFont="1" applyBorder="1">
      <alignment vertical="center"/>
    </xf>
    <xf numFmtId="0" fontId="28" fillId="0" borderId="17" xfId="0" applyFont="1" applyBorder="1">
      <alignment vertical="center"/>
    </xf>
    <xf numFmtId="0" fontId="28" fillId="0" borderId="36" xfId="0" applyFont="1" applyBorder="1">
      <alignment vertical="center"/>
    </xf>
    <xf numFmtId="181" fontId="28" fillId="0" borderId="12" xfId="1" applyNumberFormat="1" applyFont="1" applyFill="1" applyBorder="1">
      <alignment vertical="center"/>
    </xf>
    <xf numFmtId="185" fontId="28" fillId="0" borderId="0" xfId="2" applyNumberFormat="1" applyFont="1" applyFill="1" applyBorder="1">
      <alignment vertical="center"/>
    </xf>
    <xf numFmtId="0" fontId="28" fillId="0" borderId="57" xfId="0" applyFont="1" applyBorder="1">
      <alignment vertical="center"/>
    </xf>
    <xf numFmtId="181" fontId="28" fillId="0" borderId="49" xfId="1" applyNumberFormat="1" applyFont="1" applyFill="1" applyBorder="1">
      <alignment vertical="center"/>
    </xf>
    <xf numFmtId="185" fontId="47" fillId="0" borderId="53" xfId="2" applyNumberFormat="1" applyFont="1" applyFill="1" applyBorder="1">
      <alignment vertical="center"/>
    </xf>
    <xf numFmtId="10" fontId="47" fillId="3" borderId="39" xfId="2" applyNumberFormat="1" applyFont="1" applyFill="1" applyBorder="1">
      <alignment vertical="center"/>
    </xf>
    <xf numFmtId="0" fontId="28" fillId="0" borderId="23" xfId="0" applyFont="1" applyBorder="1" applyAlignment="1">
      <alignment horizontal="right" vertical="center"/>
    </xf>
    <xf numFmtId="0" fontId="28" fillId="0" borderId="0" xfId="0" applyFont="1" applyAlignment="1">
      <alignment horizontal="center" vertical="center"/>
    </xf>
    <xf numFmtId="10" fontId="47" fillId="0" borderId="0" xfId="0" applyNumberFormat="1" applyFont="1">
      <alignment vertical="center"/>
    </xf>
    <xf numFmtId="0" fontId="28" fillId="0" borderId="54" xfId="0" applyFont="1" applyBorder="1">
      <alignment vertical="center"/>
    </xf>
    <xf numFmtId="181" fontId="28" fillId="0" borderId="14" xfId="1" applyNumberFormat="1" applyFont="1" applyFill="1" applyBorder="1">
      <alignment vertical="center"/>
    </xf>
    <xf numFmtId="10" fontId="47" fillId="3" borderId="24" xfId="2" applyNumberFormat="1" applyFont="1" applyFill="1" applyBorder="1">
      <alignment vertical="center"/>
    </xf>
    <xf numFmtId="0" fontId="28" fillId="0" borderId="0" xfId="0" applyFont="1" applyAlignment="1">
      <alignment horizontal="right" vertical="center"/>
    </xf>
    <xf numFmtId="0" fontId="28" fillId="0" borderId="14" xfId="0" applyFont="1" applyBorder="1" applyAlignment="1">
      <alignment horizontal="left" vertical="center" indent="1"/>
    </xf>
    <xf numFmtId="41" fontId="41" fillId="0" borderId="24" xfId="1" applyFont="1" applyFill="1" applyBorder="1">
      <alignment vertical="center"/>
    </xf>
    <xf numFmtId="41" fontId="53" fillId="0" borderId="17" xfId="1" applyFont="1" applyBorder="1" applyAlignment="1">
      <alignment vertical="center"/>
    </xf>
    <xf numFmtId="41" fontId="47" fillId="0" borderId="0" xfId="2" applyNumberFormat="1" applyFont="1" applyFill="1" applyBorder="1">
      <alignment vertical="center"/>
    </xf>
    <xf numFmtId="41" fontId="47" fillId="0" borderId="18" xfId="1" applyFont="1" applyFill="1" applyBorder="1">
      <alignment vertical="center"/>
    </xf>
    <xf numFmtId="0" fontId="27" fillId="11" borderId="10" xfId="7" applyFont="1" applyFill="1" applyBorder="1" applyAlignment="1">
      <alignment vertical="center"/>
    </xf>
    <xf numFmtId="0" fontId="28" fillId="11" borderId="23" xfId="7" applyFont="1" applyFill="1" applyBorder="1" applyAlignment="1">
      <alignment vertical="center"/>
    </xf>
    <xf numFmtId="0" fontId="28" fillId="11" borderId="16" xfId="7" applyFont="1" applyFill="1" applyBorder="1" applyAlignment="1">
      <alignment vertical="center"/>
    </xf>
    <xf numFmtId="14" fontId="47" fillId="0" borderId="0" xfId="0" applyNumberFormat="1" applyFont="1">
      <alignment vertical="center"/>
    </xf>
    <xf numFmtId="0" fontId="27" fillId="0" borderId="10" xfId="0" applyFont="1" applyBorder="1" applyAlignment="1">
      <alignment horizontal="left" vertical="center" indent="1"/>
    </xf>
    <xf numFmtId="185" fontId="51" fillId="7" borderId="23" xfId="2" applyNumberFormat="1" applyFont="1" applyFill="1" applyBorder="1" applyAlignment="1">
      <alignment horizontal="center" vertical="center"/>
    </xf>
    <xf numFmtId="0" fontId="28" fillId="0" borderId="16" xfId="0" applyFont="1" applyBorder="1" applyAlignment="1">
      <alignment horizontal="left" vertical="center"/>
    </xf>
    <xf numFmtId="0" fontId="27" fillId="0" borderId="0" xfId="0" applyFont="1">
      <alignment vertical="center"/>
    </xf>
    <xf numFmtId="0" fontId="27" fillId="4" borderId="21" xfId="7" applyFont="1" applyFill="1" applyBorder="1" applyAlignment="1">
      <alignment vertical="center"/>
    </xf>
    <xf numFmtId="0" fontId="28" fillId="4" borderId="22" xfId="7" applyFont="1" applyFill="1" applyBorder="1" applyAlignment="1">
      <alignment vertical="center"/>
    </xf>
    <xf numFmtId="0" fontId="28" fillId="4" borderId="19" xfId="7" applyFont="1" applyFill="1" applyBorder="1" applyAlignment="1">
      <alignment vertical="center"/>
    </xf>
    <xf numFmtId="181" fontId="41" fillId="0" borderId="18" xfId="1" applyNumberFormat="1" applyFont="1" applyFill="1" applyBorder="1">
      <alignment vertical="center"/>
    </xf>
    <xf numFmtId="179" fontId="41" fillId="0" borderId="0" xfId="1" applyNumberFormat="1" applyFont="1" applyFill="1" applyBorder="1">
      <alignment vertical="center"/>
    </xf>
    <xf numFmtId="0" fontId="28" fillId="0" borderId="21" xfId="0" applyFont="1" applyBorder="1" applyAlignment="1">
      <alignment horizontal="center" vertical="center"/>
    </xf>
    <xf numFmtId="0" fontId="28" fillId="0" borderId="22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179" fontId="52" fillId="0" borderId="0" xfId="1" applyNumberFormat="1" applyFont="1" applyFill="1" applyBorder="1" applyAlignment="1">
      <alignment horizontal="center" vertical="center"/>
    </xf>
    <xf numFmtId="41" fontId="28" fillId="0" borderId="18" xfId="1" applyFont="1" applyFill="1" applyBorder="1">
      <alignment vertical="center"/>
    </xf>
    <xf numFmtId="41" fontId="28" fillId="0" borderId="0" xfId="1" applyFont="1" applyBorder="1" applyAlignment="1">
      <alignment horizontal="right" vertical="center"/>
    </xf>
    <xf numFmtId="41" fontId="47" fillId="0" borderId="0" xfId="1" applyFont="1" applyFill="1" applyBorder="1">
      <alignment vertical="center"/>
    </xf>
    <xf numFmtId="0" fontId="28" fillId="0" borderId="29" xfId="0" applyFont="1" applyBorder="1">
      <alignment vertical="center"/>
    </xf>
    <xf numFmtId="194" fontId="51" fillId="7" borderId="0" xfId="1" applyNumberFormat="1" applyFont="1" applyFill="1" applyBorder="1">
      <alignment vertical="center"/>
    </xf>
    <xf numFmtId="10" fontId="28" fillId="0" borderId="0" xfId="2" applyNumberFormat="1" applyFont="1" applyFill="1" applyBorder="1" applyAlignment="1">
      <alignment horizontal="right" vertical="center"/>
    </xf>
    <xf numFmtId="195" fontId="47" fillId="0" borderId="0" xfId="1" applyNumberFormat="1" applyFont="1" applyFill="1" applyBorder="1" applyAlignment="1">
      <alignment horizontal="right" vertical="center"/>
    </xf>
    <xf numFmtId="41" fontId="28" fillId="0" borderId="39" xfId="1" applyFont="1" applyBorder="1">
      <alignment vertical="center"/>
    </xf>
    <xf numFmtId="41" fontId="54" fillId="0" borderId="0" xfId="1" applyFont="1" applyFill="1" applyBorder="1" applyAlignment="1">
      <alignment horizontal="center" vertical="center"/>
    </xf>
    <xf numFmtId="10" fontId="54" fillId="0" borderId="0" xfId="2" applyNumberFormat="1" applyFont="1" applyFill="1" applyBorder="1" applyAlignment="1">
      <alignment horizontal="center" vertical="center"/>
    </xf>
    <xf numFmtId="179" fontId="28" fillId="0" borderId="0" xfId="1" applyNumberFormat="1" applyFont="1" applyFill="1" applyBorder="1">
      <alignment vertical="center"/>
    </xf>
    <xf numFmtId="181" fontId="51" fillId="7" borderId="0" xfId="0" applyNumberFormat="1" applyFont="1" applyFill="1">
      <alignment vertical="center"/>
    </xf>
    <xf numFmtId="196" fontId="51" fillId="7" borderId="0" xfId="0" applyNumberFormat="1" applyFont="1" applyFill="1" applyAlignment="1">
      <alignment horizontal="right" vertical="center"/>
    </xf>
    <xf numFmtId="0" fontId="28" fillId="0" borderId="14" xfId="0" applyFont="1" applyBorder="1" applyAlignment="1">
      <alignment horizontal="left" vertical="center" indent="2"/>
    </xf>
    <xf numFmtId="41" fontId="28" fillId="0" borderId="17" xfId="1" applyFont="1" applyFill="1" applyBorder="1">
      <alignment vertical="center"/>
    </xf>
    <xf numFmtId="196" fontId="51" fillId="7" borderId="0" xfId="0" applyNumberFormat="1" applyFont="1" applyFill="1">
      <alignment vertical="center"/>
    </xf>
    <xf numFmtId="0" fontId="28" fillId="0" borderId="22" xfId="0" applyFont="1" applyBorder="1">
      <alignment vertical="center"/>
    </xf>
    <xf numFmtId="41" fontId="28" fillId="0" borderId="22" xfId="1" applyFont="1" applyBorder="1">
      <alignment vertical="center"/>
    </xf>
    <xf numFmtId="0" fontId="27" fillId="11" borderId="14" xfId="7" applyFont="1" applyFill="1" applyBorder="1" applyAlignment="1">
      <alignment vertical="center"/>
    </xf>
    <xf numFmtId="0" fontId="28" fillId="11" borderId="24" xfId="7" applyFont="1" applyFill="1" applyBorder="1" applyAlignment="1">
      <alignment vertical="center"/>
    </xf>
    <xf numFmtId="0" fontId="28" fillId="11" borderId="17" xfId="7" applyFont="1" applyFill="1" applyBorder="1" applyAlignment="1">
      <alignment vertical="center"/>
    </xf>
    <xf numFmtId="0" fontId="27" fillId="0" borderId="14" xfId="0" applyFont="1" applyBorder="1" applyAlignment="1">
      <alignment horizontal="left" vertical="center" indent="1"/>
    </xf>
    <xf numFmtId="0" fontId="27" fillId="0" borderId="24" xfId="0" applyFont="1" applyBorder="1">
      <alignment vertical="center"/>
    </xf>
    <xf numFmtId="41" fontId="27" fillId="0" borderId="24" xfId="1" applyFont="1" applyBorder="1">
      <alignment vertical="center"/>
    </xf>
    <xf numFmtId="197" fontId="28" fillId="0" borderId="0" xfId="0" applyNumberFormat="1" applyFont="1">
      <alignment vertical="center"/>
    </xf>
    <xf numFmtId="181" fontId="28" fillId="0" borderId="0" xfId="1" applyNumberFormat="1" applyFont="1" applyFill="1" applyBorder="1">
      <alignment vertical="center"/>
    </xf>
    <xf numFmtId="0" fontId="28" fillId="0" borderId="0" xfId="0" quotePrefix="1" applyFont="1">
      <alignment vertical="center"/>
    </xf>
    <xf numFmtId="41" fontId="41" fillId="0" borderId="0" xfId="1" applyFont="1" applyFill="1" applyBorder="1">
      <alignment vertical="center"/>
    </xf>
    <xf numFmtId="0" fontId="53" fillId="0" borderId="18" xfId="0" applyFont="1" applyBorder="1">
      <alignment vertical="center"/>
    </xf>
    <xf numFmtId="10" fontId="51" fillId="0" borderId="0" xfId="2" applyNumberFormat="1" applyFont="1" applyFill="1" applyBorder="1">
      <alignment vertical="center"/>
    </xf>
    <xf numFmtId="0" fontId="28" fillId="0" borderId="18" xfId="0" applyFont="1" applyBorder="1" applyAlignment="1">
      <alignment horizontal="right" vertical="center"/>
    </xf>
    <xf numFmtId="0" fontId="28" fillId="0" borderId="0" xfId="0" applyFont="1" applyAlignment="1">
      <alignment horizontal="left" vertical="center" indent="2"/>
    </xf>
    <xf numFmtId="188" fontId="28" fillId="0" borderId="0" xfId="0" applyNumberFormat="1" applyFont="1" applyAlignment="1">
      <alignment horizontal="center" vertical="center"/>
    </xf>
    <xf numFmtId="181" fontId="47" fillId="3" borderId="0" xfId="1" applyNumberFormat="1" applyFont="1" applyFill="1" applyBorder="1">
      <alignment vertical="center"/>
    </xf>
    <xf numFmtId="10" fontId="28" fillId="0" borderId="18" xfId="0" applyNumberFormat="1" applyFont="1" applyBorder="1">
      <alignment vertical="center"/>
    </xf>
    <xf numFmtId="10" fontId="28" fillId="0" borderId="18" xfId="2" applyNumberFormat="1" applyFont="1" applyBorder="1">
      <alignment vertical="center"/>
    </xf>
    <xf numFmtId="41" fontId="28" fillId="0" borderId="0" xfId="0" applyNumberFormat="1" applyFont="1">
      <alignment vertical="center"/>
    </xf>
    <xf numFmtId="0" fontId="28" fillId="0" borderId="24" xfId="0" applyFont="1" applyBorder="1" applyAlignment="1">
      <alignment horizontal="right" vertical="center"/>
    </xf>
    <xf numFmtId="10" fontId="51" fillId="7" borderId="24" xfId="2" applyNumberFormat="1" applyFont="1" applyFill="1" applyBorder="1">
      <alignment vertical="center"/>
    </xf>
    <xf numFmtId="0" fontId="28" fillId="0" borderId="17" xfId="0" applyFont="1" applyBorder="1" applyAlignment="1">
      <alignment horizontal="right" vertical="center"/>
    </xf>
    <xf numFmtId="188" fontId="28" fillId="0" borderId="24" xfId="0" applyNumberFormat="1" applyFont="1" applyBorder="1" applyAlignment="1">
      <alignment horizontal="center" vertical="center"/>
    </xf>
    <xf numFmtId="181" fontId="47" fillId="3" borderId="24" xfId="1" applyNumberFormat="1" applyFont="1" applyFill="1" applyBorder="1">
      <alignment vertical="center"/>
    </xf>
    <xf numFmtId="10" fontId="28" fillId="0" borderId="17" xfId="0" applyNumberFormat="1" applyFont="1" applyBorder="1">
      <alignment vertical="center"/>
    </xf>
    <xf numFmtId="10" fontId="28" fillId="0" borderId="17" xfId="2" applyNumberFormat="1" applyFont="1" applyBorder="1">
      <alignment vertical="center"/>
    </xf>
    <xf numFmtId="41" fontId="28" fillId="0" borderId="0" xfId="1" applyFont="1" applyFill="1" applyBorder="1">
      <alignment vertical="center"/>
    </xf>
    <xf numFmtId="3" fontId="28" fillId="0" borderId="0" xfId="0" applyNumberFormat="1" applyFont="1" applyAlignment="1">
      <alignment horizontal="center" vertical="center"/>
    </xf>
    <xf numFmtId="10" fontId="53" fillId="0" borderId="0" xfId="0" applyNumberFormat="1" applyFont="1">
      <alignment vertical="center"/>
    </xf>
    <xf numFmtId="0" fontId="55" fillId="0" borderId="0" xfId="0" applyFont="1" applyAlignment="1">
      <alignment horizontal="left" vertical="center"/>
    </xf>
    <xf numFmtId="0" fontId="55" fillId="0" borderId="0" xfId="0" applyFont="1" applyAlignment="1">
      <alignment horizontal="center" vertical="center"/>
    </xf>
    <xf numFmtId="16" fontId="55" fillId="0" borderId="0" xfId="0" applyNumberFormat="1" applyFont="1" applyAlignment="1">
      <alignment horizontal="center" vertical="center"/>
    </xf>
    <xf numFmtId="41" fontId="28" fillId="0" borderId="0" xfId="1" applyFont="1" applyFill="1" applyBorder="1" applyAlignment="1">
      <alignment horizontal="center" vertical="center"/>
    </xf>
    <xf numFmtId="10" fontId="28" fillId="0" borderId="0" xfId="2" applyNumberFormat="1" applyFont="1" applyFill="1" applyBorder="1">
      <alignment vertical="center"/>
    </xf>
    <xf numFmtId="0" fontId="27" fillId="0" borderId="0" xfId="0" applyFont="1" applyAlignment="1">
      <alignment horizontal="center" vertical="center"/>
    </xf>
    <xf numFmtId="41" fontId="56" fillId="0" borderId="0" xfId="0" applyNumberFormat="1" applyFont="1">
      <alignment vertical="center"/>
    </xf>
    <xf numFmtId="14" fontId="28" fillId="0" borderId="0" xfId="8" applyNumberFormat="1" applyFont="1" applyBorder="1">
      <alignment vertical="center"/>
    </xf>
    <xf numFmtId="9" fontId="28" fillId="0" borderId="0" xfId="0" applyNumberFormat="1" applyFont="1">
      <alignment vertical="center"/>
    </xf>
    <xf numFmtId="10" fontId="28" fillId="0" borderId="0" xfId="0" applyNumberFormat="1" applyFont="1">
      <alignment vertical="center"/>
    </xf>
    <xf numFmtId="181" fontId="47" fillId="0" borderId="0" xfId="1" applyNumberFormat="1" applyFont="1" applyFill="1" applyBorder="1">
      <alignment vertical="center"/>
    </xf>
    <xf numFmtId="181" fontId="28" fillId="0" borderId="0" xfId="1" quotePrefix="1" applyNumberFormat="1" applyFont="1" applyFill="1" applyBorder="1">
      <alignment vertical="center"/>
    </xf>
    <xf numFmtId="181" fontId="47" fillId="0" borderId="0" xfId="1" applyNumberFormat="1" applyFont="1" applyFill="1" applyBorder="1" applyAlignment="1">
      <alignment horizontal="left" vertical="center" indent="1"/>
    </xf>
    <xf numFmtId="41" fontId="28" fillId="0" borderId="0" xfId="1" applyFont="1" applyFill="1" applyBorder="1" applyAlignment="1">
      <alignment horizontal="right" vertical="center"/>
    </xf>
    <xf numFmtId="195" fontId="28" fillId="0" borderId="0" xfId="1" applyNumberFormat="1" applyFont="1" applyFill="1" applyBorder="1" applyAlignment="1">
      <alignment horizontal="center" vertical="center"/>
    </xf>
    <xf numFmtId="41" fontId="27" fillId="0" borderId="0" xfId="1" applyFont="1" applyFill="1" applyBorder="1">
      <alignment vertical="center"/>
    </xf>
    <xf numFmtId="198" fontId="28" fillId="0" borderId="0" xfId="1" applyNumberFormat="1" applyFont="1" applyFill="1" applyBorder="1">
      <alignment vertical="center"/>
    </xf>
    <xf numFmtId="0" fontId="28" fillId="0" borderId="0" xfId="0" applyFont="1" applyAlignment="1">
      <alignment horizontal="left" vertical="center" indent="1"/>
    </xf>
    <xf numFmtId="0" fontId="47" fillId="0" borderId="0" xfId="1" applyNumberFormat="1" applyFont="1" applyFill="1" applyBorder="1">
      <alignment vertical="center"/>
    </xf>
    <xf numFmtId="41" fontId="58" fillId="0" borderId="0" xfId="1" applyFont="1">
      <alignment vertical="center"/>
    </xf>
    <xf numFmtId="41" fontId="58" fillId="0" borderId="9" xfId="1" applyFont="1" applyBorder="1">
      <alignment vertical="center"/>
    </xf>
    <xf numFmtId="0" fontId="28" fillId="0" borderId="0" xfId="9" applyFont="1">
      <alignment vertical="center"/>
    </xf>
    <xf numFmtId="200" fontId="47" fillId="0" borderId="0" xfId="0" applyNumberFormat="1" applyFont="1">
      <alignment vertical="center"/>
    </xf>
    <xf numFmtId="200" fontId="28" fillId="0" borderId="0" xfId="0" applyNumberFormat="1" applyFont="1">
      <alignment vertical="center"/>
    </xf>
    <xf numFmtId="0" fontId="60" fillId="7" borderId="0" xfId="0" applyFont="1" applyFill="1">
      <alignment vertical="center"/>
    </xf>
    <xf numFmtId="0" fontId="58" fillId="7" borderId="0" xfId="0" applyFont="1" applyFill="1">
      <alignment vertical="center"/>
    </xf>
    <xf numFmtId="0" fontId="58" fillId="0" borderId="0" xfId="0" applyFont="1">
      <alignment vertical="center"/>
    </xf>
    <xf numFmtId="14" fontId="58" fillId="0" borderId="11" xfId="0" applyNumberFormat="1" applyFont="1" applyBorder="1" applyAlignment="1">
      <alignment horizontal="left" vertical="center"/>
    </xf>
    <xf numFmtId="0" fontId="58" fillId="0" borderId="10" xfId="0" applyFont="1" applyBorder="1">
      <alignment vertical="center"/>
    </xf>
    <xf numFmtId="0" fontId="58" fillId="0" borderId="16" xfId="0" applyFont="1" applyBorder="1">
      <alignment vertical="center"/>
    </xf>
    <xf numFmtId="14" fontId="58" fillId="0" borderId="9" xfId="1" applyNumberFormat="1" applyFont="1" applyBorder="1" applyAlignment="1">
      <alignment horizontal="left" vertical="center"/>
    </xf>
    <xf numFmtId="0" fontId="58" fillId="0" borderId="21" xfId="0" applyFont="1" applyBorder="1">
      <alignment vertical="center"/>
    </xf>
    <xf numFmtId="0" fontId="58" fillId="0" borderId="19" xfId="0" applyFont="1" applyBorder="1">
      <alignment vertical="center"/>
    </xf>
    <xf numFmtId="14" fontId="58" fillId="0" borderId="0" xfId="0" applyNumberFormat="1" applyFont="1">
      <alignment vertical="center"/>
    </xf>
    <xf numFmtId="0" fontId="61" fillId="3" borderId="9" xfId="0" applyFont="1" applyFill="1" applyBorder="1" applyAlignment="1">
      <alignment horizontal="center" vertical="center" wrapText="1"/>
    </xf>
    <xf numFmtId="0" fontId="61" fillId="0" borderId="58" xfId="0" applyFont="1" applyBorder="1" applyAlignment="1">
      <alignment vertical="center" wrapText="1"/>
    </xf>
    <xf numFmtId="3" fontId="61" fillId="0" borderId="59" xfId="0" applyNumberFormat="1" applyFont="1" applyBorder="1" applyAlignment="1">
      <alignment horizontal="right" vertical="center" wrapText="1"/>
    </xf>
    <xf numFmtId="0" fontId="61" fillId="0" borderId="59" xfId="0" applyFont="1" applyBorder="1" applyAlignment="1">
      <alignment horizontal="right" vertical="center" wrapText="1"/>
    </xf>
    <xf numFmtId="0" fontId="61" fillId="0" borderId="60" xfId="0" applyFont="1" applyBorder="1" applyAlignment="1">
      <alignment horizontal="center" vertical="center" wrapText="1"/>
    </xf>
    <xf numFmtId="0" fontId="61" fillId="0" borderId="61" xfId="0" applyFont="1" applyBorder="1" applyAlignment="1">
      <alignment vertical="center" wrapText="1"/>
    </xf>
    <xf numFmtId="3" fontId="61" fillId="0" borderId="62" xfId="0" applyNumberFormat="1" applyFont="1" applyBorder="1" applyAlignment="1">
      <alignment horizontal="right" vertical="center" wrapText="1"/>
    </xf>
    <xf numFmtId="0" fontId="61" fillId="0" borderId="62" xfId="0" applyFont="1" applyBorder="1" applyAlignment="1">
      <alignment horizontal="right" vertical="center" wrapText="1"/>
    </xf>
    <xf numFmtId="0" fontId="61" fillId="0" borderId="63" xfId="0" applyFont="1" applyBorder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3" fontId="61" fillId="0" borderId="65" xfId="0" applyNumberFormat="1" applyFont="1" applyBorder="1" applyAlignment="1">
      <alignment horizontal="right" vertical="center" wrapText="1"/>
    </xf>
    <xf numFmtId="0" fontId="61" fillId="0" borderId="65" xfId="0" applyFont="1" applyBorder="1" applyAlignment="1">
      <alignment horizontal="right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58" fillId="0" borderId="0" xfId="0" applyFont="1" applyAlignment="1">
      <alignment horizontal="left" vertical="center" indent="1"/>
    </xf>
    <xf numFmtId="3" fontId="58" fillId="0" borderId="0" xfId="0" applyNumberFormat="1" applyFont="1">
      <alignment vertical="center"/>
    </xf>
    <xf numFmtId="0" fontId="61" fillId="3" borderId="21" xfId="0" applyFont="1" applyFill="1" applyBorder="1" applyAlignment="1">
      <alignment horizontal="center" vertical="center"/>
    </xf>
    <xf numFmtId="0" fontId="58" fillId="3" borderId="9" xfId="0" applyFont="1" applyFill="1" applyBorder="1" applyAlignment="1">
      <alignment horizontal="center" vertical="center"/>
    </xf>
    <xf numFmtId="0" fontId="58" fillId="3" borderId="22" xfId="0" applyFont="1" applyFill="1" applyBorder="1" applyAlignment="1">
      <alignment horizontal="center" vertical="center"/>
    </xf>
    <xf numFmtId="0" fontId="60" fillId="3" borderId="9" xfId="0" applyFont="1" applyFill="1" applyBorder="1" applyAlignment="1">
      <alignment horizontal="center" vertical="center"/>
    </xf>
    <xf numFmtId="0" fontId="58" fillId="3" borderId="19" xfId="0" applyFont="1" applyFill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61" fillId="0" borderId="21" xfId="0" applyFont="1" applyBorder="1">
      <alignment vertical="center"/>
    </xf>
    <xf numFmtId="3" fontId="58" fillId="0" borderId="9" xfId="0" applyNumberFormat="1" applyFont="1" applyBorder="1">
      <alignment vertical="center"/>
    </xf>
    <xf numFmtId="41" fontId="58" fillId="0" borderId="22" xfId="1" applyFont="1" applyBorder="1">
      <alignment vertical="center"/>
    </xf>
    <xf numFmtId="41" fontId="60" fillId="0" borderId="9" xfId="1" applyFont="1" applyBorder="1">
      <alignment vertical="center"/>
    </xf>
    <xf numFmtId="0" fontId="58" fillId="0" borderId="9" xfId="0" applyFont="1" applyBorder="1">
      <alignment vertical="center"/>
    </xf>
    <xf numFmtId="0" fontId="58" fillId="0" borderId="22" xfId="0" applyFont="1" applyBorder="1">
      <alignment vertical="center"/>
    </xf>
    <xf numFmtId="10" fontId="58" fillId="0" borderId="9" xfId="2" applyNumberFormat="1" applyFont="1" applyBorder="1">
      <alignment vertical="center"/>
    </xf>
    <xf numFmtId="3" fontId="58" fillId="0" borderId="21" xfId="0" applyNumberFormat="1" applyFont="1" applyBorder="1">
      <alignment vertical="center"/>
    </xf>
    <xf numFmtId="4" fontId="58" fillId="0" borderId="21" xfId="0" applyNumberFormat="1" applyFont="1" applyBorder="1">
      <alignment vertical="center"/>
    </xf>
    <xf numFmtId="4" fontId="60" fillId="0" borderId="21" xfId="0" applyNumberFormat="1" applyFont="1" applyBorder="1">
      <alignment vertical="center"/>
    </xf>
    <xf numFmtId="0" fontId="58" fillId="0" borderId="24" xfId="0" applyFont="1" applyBorder="1">
      <alignment vertical="center"/>
    </xf>
    <xf numFmtId="0" fontId="58" fillId="0" borderId="17" xfId="0" applyFont="1" applyBorder="1">
      <alignment vertical="center"/>
    </xf>
    <xf numFmtId="0" fontId="58" fillId="0" borderId="9" xfId="0" applyFont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3" borderId="22" xfId="0" applyFont="1" applyFill="1" applyBorder="1" applyAlignment="1">
      <alignment horizontal="center" vertical="center"/>
    </xf>
    <xf numFmtId="41" fontId="14" fillId="3" borderId="22" xfId="1" applyFont="1" applyFill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41" fontId="14" fillId="0" borderId="22" xfId="1" applyFont="1" applyBorder="1">
      <alignment vertical="center"/>
    </xf>
    <xf numFmtId="0" fontId="63" fillId="0" borderId="0" xfId="0" applyFont="1">
      <alignment vertical="center"/>
    </xf>
    <xf numFmtId="0" fontId="39" fillId="3" borderId="69" xfId="0" applyFont="1" applyFill="1" applyBorder="1" applyAlignment="1">
      <alignment horizontal="center" vertical="center" wrapText="1"/>
    </xf>
    <xf numFmtId="0" fontId="39" fillId="0" borderId="70" xfId="0" applyFont="1" applyBorder="1" applyAlignment="1">
      <alignment horizontal="center" vertical="center" wrapText="1"/>
    </xf>
    <xf numFmtId="0" fontId="39" fillId="0" borderId="71" xfId="0" applyFont="1" applyBorder="1" applyAlignment="1">
      <alignment horizontal="center" vertical="center" wrapText="1"/>
    </xf>
    <xf numFmtId="3" fontId="39" fillId="0" borderId="71" xfId="0" applyNumberFormat="1" applyFont="1" applyBorder="1" applyAlignment="1">
      <alignment horizontal="center" vertical="center" wrapText="1"/>
    </xf>
    <xf numFmtId="0" fontId="39" fillId="0" borderId="72" xfId="0" applyFont="1" applyBorder="1" applyAlignment="1">
      <alignment horizontal="center" vertical="center" wrapText="1"/>
    </xf>
    <xf numFmtId="0" fontId="39" fillId="0" borderId="73" xfId="0" applyFont="1" applyBorder="1" applyAlignment="1">
      <alignment horizontal="center" vertical="center" wrapText="1"/>
    </xf>
    <xf numFmtId="3" fontId="39" fillId="0" borderId="73" xfId="0" applyNumberFormat="1" applyFont="1" applyBorder="1" applyAlignment="1">
      <alignment horizontal="center" vertical="center" wrapText="1"/>
    </xf>
    <xf numFmtId="0" fontId="33" fillId="0" borderId="74" xfId="0" applyFont="1" applyBorder="1" applyAlignment="1">
      <alignment vertical="center" wrapText="1"/>
    </xf>
    <xf numFmtId="0" fontId="39" fillId="0" borderId="75" xfId="0" applyFont="1" applyBorder="1" applyAlignment="1">
      <alignment horizontal="center" vertical="center" wrapText="1"/>
    </xf>
    <xf numFmtId="9" fontId="39" fillId="0" borderId="75" xfId="0" applyNumberFormat="1" applyFont="1" applyBorder="1" applyAlignment="1">
      <alignment horizontal="center" vertical="center" wrapText="1"/>
    </xf>
    <xf numFmtId="0" fontId="39" fillId="8" borderId="76" xfId="0" applyFont="1" applyFill="1" applyBorder="1" applyAlignment="1">
      <alignment horizontal="center" vertical="center" wrapText="1"/>
    </xf>
    <xf numFmtId="3" fontId="39" fillId="8" borderId="76" xfId="0" applyNumberFormat="1" applyFont="1" applyFill="1" applyBorder="1" applyAlignment="1">
      <alignment horizontal="center" vertical="center" wrapText="1"/>
    </xf>
    <xf numFmtId="0" fontId="39" fillId="8" borderId="73" xfId="0" applyFont="1" applyFill="1" applyBorder="1" applyAlignment="1">
      <alignment horizontal="center" vertical="center" wrapText="1"/>
    </xf>
    <xf numFmtId="3" fontId="39" fillId="8" borderId="73" xfId="0" applyNumberFormat="1" applyFont="1" applyFill="1" applyBorder="1" applyAlignment="1">
      <alignment horizontal="center" vertical="center" wrapText="1"/>
    </xf>
    <xf numFmtId="0" fontId="39" fillId="8" borderId="72" xfId="0" applyFont="1" applyFill="1" applyBorder="1" applyAlignment="1">
      <alignment horizontal="center" vertical="center" wrapText="1"/>
    </xf>
    <xf numFmtId="198" fontId="39" fillId="8" borderId="72" xfId="1" applyNumberFormat="1" applyFont="1" applyFill="1" applyBorder="1" applyAlignment="1">
      <alignment horizontal="center" vertical="center" wrapText="1"/>
    </xf>
    <xf numFmtId="9" fontId="39" fillId="0" borderId="75" xfId="2" applyFont="1" applyFill="1" applyBorder="1" applyAlignment="1">
      <alignment horizontal="center" vertical="center" wrapText="1"/>
    </xf>
    <xf numFmtId="0" fontId="61" fillId="3" borderId="77" xfId="0" applyFont="1" applyFill="1" applyBorder="1" applyAlignment="1">
      <alignment horizontal="center" vertical="center"/>
    </xf>
    <xf numFmtId="0" fontId="61" fillId="3" borderId="78" xfId="0" applyFont="1" applyFill="1" applyBorder="1" applyAlignment="1">
      <alignment horizontal="center" vertical="center"/>
    </xf>
    <xf numFmtId="0" fontId="61" fillId="3" borderId="79" xfId="0" applyFont="1" applyFill="1" applyBorder="1" applyAlignment="1">
      <alignment horizontal="center" vertical="center"/>
    </xf>
    <xf numFmtId="0" fontId="61" fillId="3" borderId="80" xfId="0" applyFont="1" applyFill="1" applyBorder="1" applyAlignment="1">
      <alignment horizontal="center" vertical="center"/>
    </xf>
    <xf numFmtId="0" fontId="61" fillId="0" borderId="81" xfId="0" applyFont="1" applyBorder="1" applyAlignment="1">
      <alignment vertical="top"/>
    </xf>
    <xf numFmtId="0" fontId="61" fillId="0" borderId="82" xfId="0" applyFont="1" applyBorder="1" applyAlignment="1">
      <alignment vertical="top"/>
    </xf>
    <xf numFmtId="0" fontId="61" fillId="0" borderId="83" xfId="0" applyFont="1" applyBorder="1" applyAlignment="1">
      <alignment vertical="top"/>
    </xf>
    <xf numFmtId="0" fontId="61" fillId="0" borderId="84" xfId="0" applyFont="1" applyBorder="1" applyAlignment="1">
      <alignment vertical="top"/>
    </xf>
    <xf numFmtId="0" fontId="61" fillId="0" borderId="0" xfId="0" applyFont="1" applyAlignment="1">
      <alignment vertical="top"/>
    </xf>
    <xf numFmtId="198" fontId="58" fillId="0" borderId="0" xfId="1" applyNumberFormat="1" applyFont="1">
      <alignment vertical="center"/>
    </xf>
    <xf numFmtId="0" fontId="58" fillId="0" borderId="0" xfId="10" applyFont="1">
      <alignment vertical="center"/>
    </xf>
    <xf numFmtId="0" fontId="67" fillId="0" borderId="0" xfId="11" applyFont="1" applyAlignment="1">
      <alignment horizontal="right"/>
    </xf>
    <xf numFmtId="0" fontId="60" fillId="0" borderId="13" xfId="10" applyFont="1" applyBorder="1" applyAlignment="1">
      <alignment horizontal="center" vertical="center"/>
    </xf>
    <xf numFmtId="202" fontId="70" fillId="0" borderId="11" xfId="13" applyNumberFormat="1" applyFont="1" applyBorder="1" applyAlignment="1">
      <alignment vertical="center" shrinkToFit="1"/>
    </xf>
    <xf numFmtId="202" fontId="58" fillId="0" borderId="16" xfId="13" applyNumberFormat="1" applyFont="1" applyBorder="1" applyAlignment="1">
      <alignment vertical="center" shrinkToFit="1"/>
    </xf>
    <xf numFmtId="202" fontId="58" fillId="0" borderId="11" xfId="13" applyNumberFormat="1" applyFont="1" applyBorder="1" applyAlignment="1">
      <alignment vertical="center" shrinkToFit="1"/>
    </xf>
    <xf numFmtId="0" fontId="60" fillId="0" borderId="13" xfId="10" applyFont="1" applyBorder="1">
      <alignment vertical="center"/>
    </xf>
    <xf numFmtId="202" fontId="58" fillId="0" borderId="13" xfId="13" applyNumberFormat="1" applyFont="1" applyBorder="1" applyAlignment="1">
      <alignment vertical="center" shrinkToFit="1"/>
    </xf>
    <xf numFmtId="202" fontId="58" fillId="0" borderId="18" xfId="13" applyNumberFormat="1" applyFont="1" applyBorder="1" applyAlignment="1">
      <alignment vertical="center" shrinkToFit="1"/>
    </xf>
    <xf numFmtId="0" fontId="58" fillId="0" borderId="13" xfId="10" applyFont="1" applyBorder="1">
      <alignment vertical="center"/>
    </xf>
    <xf numFmtId="0" fontId="58" fillId="0" borderId="13" xfId="10" applyFont="1" applyBorder="1" applyAlignment="1">
      <alignment horizontal="left" vertical="center" indent="1"/>
    </xf>
    <xf numFmtId="202" fontId="58" fillId="7" borderId="13" xfId="13" applyNumberFormat="1" applyFont="1" applyFill="1" applyBorder="1" applyAlignment="1">
      <alignment vertical="center" shrinkToFit="1"/>
    </xf>
    <xf numFmtId="202" fontId="67" fillId="0" borderId="13" xfId="14" applyNumberFormat="1" applyFont="1" applyFill="1" applyBorder="1">
      <alignment vertical="center"/>
    </xf>
    <xf numFmtId="202" fontId="58" fillId="0" borderId="13" xfId="14" applyNumberFormat="1" applyFont="1" applyFill="1" applyBorder="1" applyAlignment="1">
      <alignment vertical="center" shrinkToFit="1"/>
    </xf>
    <xf numFmtId="202" fontId="58" fillId="0" borderId="13" xfId="10" applyNumberFormat="1" applyFont="1" applyBorder="1">
      <alignment vertical="center"/>
    </xf>
    <xf numFmtId="202" fontId="58" fillId="7" borderId="18" xfId="13" applyNumberFormat="1" applyFont="1" applyFill="1" applyBorder="1" applyAlignment="1">
      <alignment vertical="center" shrinkToFit="1"/>
    </xf>
    <xf numFmtId="0" fontId="58" fillId="0" borderId="13" xfId="10" applyFont="1" applyBorder="1" applyAlignment="1">
      <alignment horizontal="left" vertical="center" indent="2"/>
    </xf>
    <xf numFmtId="202" fontId="58" fillId="7" borderId="15" xfId="13" applyNumberFormat="1" applyFont="1" applyFill="1" applyBorder="1" applyAlignment="1">
      <alignment vertical="center" shrinkToFit="1"/>
    </xf>
    <xf numFmtId="202" fontId="58" fillId="0" borderId="15" xfId="13" applyNumberFormat="1" applyFont="1" applyBorder="1" applyAlignment="1">
      <alignment vertical="center" shrinkToFit="1"/>
    </xf>
    <xf numFmtId="0" fontId="60" fillId="0" borderId="9" xfId="10" applyFont="1" applyBorder="1">
      <alignment vertical="center"/>
    </xf>
    <xf numFmtId="202" fontId="60" fillId="0" borderId="21" xfId="13" applyNumberFormat="1" applyFont="1" applyBorder="1" applyAlignment="1">
      <alignment vertical="center" shrinkToFit="1"/>
    </xf>
    <xf numFmtId="202" fontId="60" fillId="0" borderId="19" xfId="13" applyNumberFormat="1" applyFont="1" applyBorder="1" applyAlignment="1">
      <alignment vertical="center" shrinkToFit="1"/>
    </xf>
    <xf numFmtId="202" fontId="58" fillId="0" borderId="9" xfId="13" applyNumberFormat="1" applyFont="1" applyAlignment="1">
      <alignment vertical="center" shrinkToFit="1"/>
    </xf>
    <xf numFmtId="0" fontId="60" fillId="0" borderId="11" xfId="10" applyFont="1" applyBorder="1" applyAlignment="1">
      <alignment horizontal="center" vertical="center"/>
    </xf>
    <xf numFmtId="202" fontId="58" fillId="0" borderId="10" xfId="13" applyNumberFormat="1" applyFont="1" applyBorder="1" applyAlignment="1">
      <alignment vertical="center" shrinkToFit="1"/>
    </xf>
    <xf numFmtId="202" fontId="58" fillId="0" borderId="12" xfId="13" applyNumberFormat="1" applyFont="1" applyBorder="1" applyAlignment="1">
      <alignment vertical="center" shrinkToFit="1"/>
    </xf>
    <xf numFmtId="202" fontId="60" fillId="0" borderId="9" xfId="13" applyNumberFormat="1" applyFont="1" applyAlignment="1">
      <alignment vertical="center" shrinkToFit="1"/>
    </xf>
    <xf numFmtId="202" fontId="58" fillId="0" borderId="21" xfId="13" applyNumberFormat="1" applyFont="1" applyBorder="1" applyAlignment="1">
      <alignment vertical="center" shrinkToFit="1"/>
    </xf>
    <xf numFmtId="202" fontId="58" fillId="7" borderId="16" xfId="13" applyNumberFormat="1" applyFont="1" applyFill="1" applyBorder="1" applyAlignment="1">
      <alignment vertical="center" shrinkToFit="1"/>
    </xf>
    <xf numFmtId="202" fontId="58" fillId="7" borderId="13" xfId="13" applyNumberFormat="1" applyFont="1" applyFill="1" applyBorder="1" applyAlignment="1">
      <alignment horizontal="right" vertical="center" shrinkToFit="1"/>
    </xf>
    <xf numFmtId="202" fontId="58" fillId="0" borderId="13" xfId="13" applyNumberFormat="1" applyFont="1" applyBorder="1" applyAlignment="1">
      <alignment horizontal="right" vertical="center" shrinkToFit="1"/>
    </xf>
    <xf numFmtId="202" fontId="58" fillId="7" borderId="15" xfId="13" applyNumberFormat="1" applyFont="1" applyFill="1" applyBorder="1" applyAlignment="1">
      <alignment horizontal="right" vertical="center" shrinkToFit="1"/>
    </xf>
    <xf numFmtId="202" fontId="58" fillId="0" borderId="17" xfId="13" applyNumberFormat="1" applyFont="1" applyBorder="1" applyAlignment="1">
      <alignment vertical="center" shrinkToFit="1"/>
    </xf>
    <xf numFmtId="202" fontId="60" fillId="0" borderId="9" xfId="13" applyNumberFormat="1" applyFont="1" applyAlignment="1">
      <alignment horizontal="right" vertical="center" shrinkToFit="1"/>
    </xf>
    <xf numFmtId="41" fontId="67" fillId="0" borderId="0" xfId="1" applyFont="1">
      <alignment vertical="center"/>
    </xf>
    <xf numFmtId="202" fontId="67" fillId="0" borderId="0" xfId="11" applyNumberFormat="1" applyFont="1">
      <alignment vertical="center"/>
    </xf>
    <xf numFmtId="177" fontId="58" fillId="0" borderId="0" xfId="11" applyNumberFormat="1" applyFont="1">
      <alignment vertical="center"/>
    </xf>
    <xf numFmtId="0" fontId="67" fillId="0" borderId="0" xfId="11" applyFont="1">
      <alignment vertical="center"/>
    </xf>
    <xf numFmtId="41" fontId="67" fillId="0" borderId="0" xfId="14" applyFont="1">
      <alignment vertical="center"/>
    </xf>
    <xf numFmtId="0" fontId="66" fillId="0" borderId="0" xfId="10" applyFont="1" applyAlignment="1">
      <alignment horizontal="center" vertical="center"/>
    </xf>
    <xf numFmtId="0" fontId="67" fillId="0" borderId="0" xfId="11" applyFont="1" applyAlignment="1"/>
    <xf numFmtId="177" fontId="58" fillId="0" borderId="11" xfId="13" applyNumberFormat="1" applyFont="1" applyBorder="1" applyAlignment="1">
      <alignment horizontal="right" vertical="center" shrinkToFit="1"/>
    </xf>
    <xf numFmtId="177" fontId="60" fillId="0" borderId="93" xfId="13" applyNumberFormat="1" applyFont="1" applyBorder="1" applyAlignment="1">
      <alignment horizontal="right" vertical="center" shrinkToFit="1"/>
    </xf>
    <xf numFmtId="177" fontId="60" fillId="0" borderId="18" xfId="13" applyNumberFormat="1" applyFont="1" applyBorder="1" applyAlignment="1">
      <alignment horizontal="right" vertical="center" shrinkToFit="1"/>
    </xf>
    <xf numFmtId="177" fontId="58" fillId="0" borderId="13" xfId="13" applyNumberFormat="1" applyFont="1" applyBorder="1" applyAlignment="1">
      <alignment horizontal="right" vertical="center" shrinkToFit="1"/>
    </xf>
    <xf numFmtId="177" fontId="71" fillId="0" borderId="0" xfId="13" applyNumberFormat="1" applyFont="1" applyBorder="1" applyAlignment="1">
      <alignment horizontal="right" vertical="center" shrinkToFit="1"/>
    </xf>
    <xf numFmtId="177" fontId="71" fillId="0" borderId="18" xfId="13" applyNumberFormat="1" applyFont="1" applyBorder="1" applyAlignment="1">
      <alignment horizontal="right" vertical="center" shrinkToFit="1"/>
    </xf>
    <xf numFmtId="177" fontId="58" fillId="0" borderId="0" xfId="10" applyNumberFormat="1" applyFont="1">
      <alignment vertical="center"/>
    </xf>
    <xf numFmtId="177" fontId="58" fillId="0" borderId="18" xfId="10" applyNumberFormat="1" applyFont="1" applyBorder="1">
      <alignment vertical="center"/>
    </xf>
    <xf numFmtId="177" fontId="58" fillId="0" borderId="93" xfId="13" applyNumberFormat="1" applyFont="1" applyBorder="1" applyAlignment="1">
      <alignment horizontal="right" vertical="center" shrinkToFit="1"/>
    </xf>
    <xf numFmtId="177" fontId="58" fillId="0" borderId="18" xfId="13" applyNumberFormat="1" applyFont="1" applyBorder="1" applyAlignment="1">
      <alignment horizontal="right" vertical="center" shrinkToFit="1"/>
    </xf>
    <xf numFmtId="177" fontId="71" fillId="0" borderId="93" xfId="13" applyNumberFormat="1" applyFont="1" applyBorder="1" applyAlignment="1">
      <alignment horizontal="right" vertical="center" shrinkToFit="1"/>
    </xf>
    <xf numFmtId="41" fontId="67" fillId="0" borderId="13" xfId="14" applyFont="1" applyFill="1" applyBorder="1" applyAlignment="1">
      <alignment horizontal="right" vertical="center" shrinkToFit="1"/>
    </xf>
    <xf numFmtId="41" fontId="58" fillId="0" borderId="13" xfId="14" applyFont="1" applyFill="1" applyBorder="1" applyAlignment="1">
      <alignment horizontal="right" vertical="center" shrinkToFit="1"/>
    </xf>
    <xf numFmtId="177" fontId="60" fillId="0" borderId="13" xfId="13" applyNumberFormat="1" applyFont="1" applyBorder="1" applyAlignment="1">
      <alignment horizontal="right" vertical="center" shrinkToFit="1"/>
    </xf>
    <xf numFmtId="177" fontId="58" fillId="0" borderId="13" xfId="10" applyNumberFormat="1" applyFont="1" applyBorder="1">
      <alignment vertical="center"/>
    </xf>
    <xf numFmtId="177" fontId="60" fillId="0" borderId="9" xfId="13" applyNumberFormat="1" applyFont="1" applyAlignment="1">
      <alignment horizontal="right" vertical="center" shrinkToFit="1"/>
    </xf>
    <xf numFmtId="177" fontId="60" fillId="0" borderId="94" xfId="13" applyNumberFormat="1" applyFont="1" applyBorder="1" applyAlignment="1">
      <alignment horizontal="right" vertical="center" shrinkToFit="1"/>
    </xf>
    <xf numFmtId="177" fontId="60" fillId="0" borderId="19" xfId="13" applyNumberFormat="1" applyFont="1" applyBorder="1" applyAlignment="1">
      <alignment horizontal="right" vertical="center" shrinkToFit="1"/>
    </xf>
    <xf numFmtId="0" fontId="53" fillId="0" borderId="0" xfId="0" applyFont="1">
      <alignment vertical="center"/>
    </xf>
    <xf numFmtId="0" fontId="72" fillId="6" borderId="0" xfId="0" applyFont="1" applyFill="1">
      <alignment vertical="center"/>
    </xf>
    <xf numFmtId="0" fontId="53" fillId="6" borderId="0" xfId="0" applyFont="1" applyFill="1">
      <alignment vertical="center"/>
    </xf>
    <xf numFmtId="0" fontId="28" fillId="17" borderId="21" xfId="0" applyFont="1" applyFill="1" applyBorder="1" applyAlignment="1">
      <alignment horizontal="center" vertical="center"/>
    </xf>
    <xf numFmtId="0" fontId="28" fillId="17" borderId="22" xfId="0" applyFont="1" applyFill="1" applyBorder="1" applyAlignment="1">
      <alignment horizontal="center" vertical="center"/>
    </xf>
    <xf numFmtId="0" fontId="28" fillId="17" borderId="19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88" fontId="28" fillId="17" borderId="95" xfId="0" applyNumberFormat="1" applyFont="1" applyFill="1" applyBorder="1" applyAlignment="1">
      <alignment horizontal="center" vertical="center"/>
    </xf>
    <xf numFmtId="188" fontId="28" fillId="17" borderId="51" xfId="0" applyNumberFormat="1" applyFont="1" applyFill="1" applyBorder="1" applyAlignment="1">
      <alignment horizontal="center" vertical="center"/>
    </xf>
    <xf numFmtId="188" fontId="28" fillId="17" borderId="96" xfId="0" applyNumberFormat="1" applyFont="1" applyFill="1" applyBorder="1" applyAlignment="1">
      <alignment horizontal="center" vertical="center"/>
    </xf>
    <xf numFmtId="188" fontId="44" fillId="0" borderId="0" xfId="0" applyNumberFormat="1" applyFont="1" applyAlignment="1">
      <alignment horizontal="center" vertical="center"/>
    </xf>
    <xf numFmtId="181" fontId="28" fillId="0" borderId="0" xfId="1" applyNumberFormat="1" applyFont="1" applyFill="1" applyBorder="1" applyAlignment="1">
      <alignment vertical="center"/>
    </xf>
    <xf numFmtId="41" fontId="28" fillId="0" borderId="98" xfId="1" applyFont="1" applyBorder="1" applyAlignment="1">
      <alignment vertical="center"/>
    </xf>
    <xf numFmtId="203" fontId="28" fillId="0" borderId="0" xfId="1" applyNumberFormat="1" applyFont="1" applyAlignment="1">
      <alignment vertical="center"/>
    </xf>
    <xf numFmtId="192" fontId="28" fillId="17" borderId="9" xfId="0" applyNumberFormat="1" applyFont="1" applyFill="1" applyBorder="1" applyAlignment="1">
      <alignment horizontal="center" vertical="center"/>
    </xf>
    <xf numFmtId="188" fontId="28" fillId="17" borderId="9" xfId="0" applyNumberFormat="1" applyFont="1" applyFill="1" applyBorder="1" applyAlignment="1">
      <alignment horizontal="center" vertical="center"/>
    </xf>
    <xf numFmtId="0" fontId="28" fillId="0" borderId="21" xfId="0" applyFont="1" applyBorder="1">
      <alignment vertical="center"/>
    </xf>
    <xf numFmtId="41" fontId="28" fillId="0" borderId="19" xfId="0" applyNumberFormat="1" applyFont="1" applyBorder="1">
      <alignment vertical="center"/>
    </xf>
    <xf numFmtId="181" fontId="28" fillId="0" borderId="9" xfId="1" applyNumberFormat="1" applyFont="1" applyBorder="1" applyAlignment="1">
      <alignment vertical="center"/>
    </xf>
    <xf numFmtId="199" fontId="28" fillId="0" borderId="0" xfId="0" applyNumberFormat="1" applyFont="1">
      <alignment vertical="center"/>
    </xf>
    <xf numFmtId="41" fontId="28" fillId="0" borderId="0" xfId="1" applyFont="1" applyAlignment="1">
      <alignment vertical="center"/>
    </xf>
    <xf numFmtId="0" fontId="73" fillId="0" borderId="10" xfId="0" applyFont="1" applyBorder="1" applyAlignment="1">
      <alignment horizontal="left" vertical="center"/>
    </xf>
    <xf numFmtId="0" fontId="73" fillId="0" borderId="23" xfId="0" applyFont="1" applyBorder="1" applyAlignment="1">
      <alignment horizontal="left" vertical="center" indent="1"/>
    </xf>
    <xf numFmtId="0" fontId="73" fillId="0" borderId="16" xfId="0" applyFont="1" applyBorder="1" applyAlignment="1">
      <alignment horizontal="right" vertical="center"/>
    </xf>
    <xf numFmtId="10" fontId="28" fillId="0" borderId="11" xfId="0" applyNumberFormat="1" applyFont="1" applyBorder="1" applyAlignment="1">
      <alignment horizontal="center" vertical="center"/>
    </xf>
    <xf numFmtId="10" fontId="51" fillId="0" borderId="11" xfId="2" applyNumberFormat="1" applyFont="1" applyFill="1" applyBorder="1">
      <alignment vertical="center"/>
    </xf>
    <xf numFmtId="10" fontId="73" fillId="0" borderId="11" xfId="2" applyNumberFormat="1" applyFont="1" applyFill="1" applyBorder="1">
      <alignment vertical="center"/>
    </xf>
    <xf numFmtId="0" fontId="73" fillId="0" borderId="12" xfId="0" applyFont="1" applyBorder="1" applyAlignment="1">
      <alignment horizontal="left" vertical="center"/>
    </xf>
    <xf numFmtId="0" fontId="73" fillId="0" borderId="0" xfId="0" applyFont="1" applyAlignment="1">
      <alignment horizontal="left" vertical="center" indent="1"/>
    </xf>
    <xf numFmtId="0" fontId="73" fillId="0" borderId="18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73" fillId="0" borderId="13" xfId="0" applyFont="1" applyBorder="1">
      <alignment vertical="center"/>
    </xf>
    <xf numFmtId="0" fontId="73" fillId="0" borderId="14" xfId="0" applyFont="1" applyBorder="1" applyAlignment="1">
      <alignment horizontal="left" vertical="center"/>
    </xf>
    <xf numFmtId="0" fontId="73" fillId="0" borderId="24" xfId="0" applyFont="1" applyBorder="1" applyAlignment="1">
      <alignment horizontal="left" vertical="center" indent="1"/>
    </xf>
    <xf numFmtId="0" fontId="73" fillId="0" borderId="17" xfId="0" applyFont="1" applyBorder="1" applyAlignment="1">
      <alignment horizontal="center" vertical="center"/>
    </xf>
    <xf numFmtId="204" fontId="28" fillId="0" borderId="15" xfId="0" applyNumberFormat="1" applyFont="1" applyBorder="1" applyAlignment="1">
      <alignment horizontal="center" vertical="center"/>
    </xf>
    <xf numFmtId="41" fontId="73" fillId="0" borderId="15" xfId="1" applyFont="1" applyBorder="1">
      <alignment vertical="center"/>
    </xf>
    <xf numFmtId="10" fontId="28" fillId="0" borderId="0" xfId="2" applyNumberFormat="1" applyFont="1" applyAlignment="1">
      <alignment vertical="center"/>
    </xf>
    <xf numFmtId="0" fontId="74" fillId="0" borderId="0" xfId="0" applyFont="1">
      <alignment vertical="center"/>
    </xf>
    <xf numFmtId="0" fontId="75" fillId="0" borderId="0" xfId="0" applyFont="1">
      <alignment vertical="center"/>
    </xf>
    <xf numFmtId="0" fontId="76" fillId="0" borderId="0" xfId="0" applyFont="1">
      <alignment vertical="center"/>
    </xf>
    <xf numFmtId="0" fontId="58" fillId="18" borderId="102" xfId="0" applyFont="1" applyFill="1" applyBorder="1" applyAlignment="1">
      <alignment horizontal="center" vertical="center" wrapText="1"/>
    </xf>
    <xf numFmtId="0" fontId="58" fillId="18" borderId="103" xfId="0" applyFont="1" applyFill="1" applyBorder="1" applyAlignment="1">
      <alignment horizontal="center" vertical="center" wrapText="1"/>
    </xf>
    <xf numFmtId="0" fontId="58" fillId="18" borderId="104" xfId="0" applyFont="1" applyFill="1" applyBorder="1" applyAlignment="1">
      <alignment horizontal="center" vertical="center" wrapText="1"/>
    </xf>
    <xf numFmtId="0" fontId="58" fillId="18" borderId="105" xfId="0" applyFont="1" applyFill="1" applyBorder="1" applyAlignment="1">
      <alignment horizontal="center" vertical="center" wrapText="1"/>
    </xf>
    <xf numFmtId="0" fontId="58" fillId="0" borderId="106" xfId="0" applyFont="1" applyBorder="1" applyAlignment="1">
      <alignment horizontal="center" vertical="center" wrapText="1"/>
    </xf>
    <xf numFmtId="4" fontId="57" fillId="0" borderId="107" xfId="0" applyNumberFormat="1" applyFont="1" applyBorder="1" applyAlignment="1">
      <alignment horizontal="right" vertical="center" wrapText="1"/>
    </xf>
    <xf numFmtId="4" fontId="57" fillId="0" borderId="108" xfId="0" applyNumberFormat="1" applyFont="1" applyBorder="1" applyAlignment="1">
      <alignment horizontal="right" vertical="center" wrapText="1"/>
    </xf>
    <xf numFmtId="4" fontId="57" fillId="0" borderId="109" xfId="0" applyNumberFormat="1" applyFont="1" applyBorder="1" applyAlignment="1">
      <alignment horizontal="right" vertical="center" wrapText="1"/>
    </xf>
    <xf numFmtId="0" fontId="58" fillId="0" borderId="110" xfId="0" applyFont="1" applyBorder="1" applyAlignment="1">
      <alignment horizontal="center" vertical="center" wrapText="1"/>
    </xf>
    <xf numFmtId="4" fontId="57" fillId="0" borderId="111" xfId="0" applyNumberFormat="1" applyFont="1" applyBorder="1" applyAlignment="1">
      <alignment horizontal="right" vertical="center" wrapText="1"/>
    </xf>
    <xf numFmtId="4" fontId="57" fillId="0" borderId="112" xfId="0" applyNumberFormat="1" applyFont="1" applyBorder="1" applyAlignment="1">
      <alignment horizontal="right" vertical="center" wrapText="1"/>
    </xf>
    <xf numFmtId="4" fontId="57" fillId="0" borderId="113" xfId="0" applyNumberFormat="1" applyFont="1" applyBorder="1" applyAlignment="1">
      <alignment horizontal="right" vertical="center" wrapText="1"/>
    </xf>
    <xf numFmtId="4" fontId="57" fillId="10" borderId="112" xfId="0" applyNumberFormat="1" applyFont="1" applyFill="1" applyBorder="1" applyAlignment="1">
      <alignment horizontal="right" vertical="center" wrapText="1"/>
    </xf>
    <xf numFmtId="4" fontId="57" fillId="10" borderId="113" xfId="0" applyNumberFormat="1" applyFont="1" applyFill="1" applyBorder="1" applyAlignment="1">
      <alignment horizontal="right" vertical="center" wrapText="1"/>
    </xf>
    <xf numFmtId="0" fontId="58" fillId="0" borderId="114" xfId="0" applyFont="1" applyBorder="1" applyAlignment="1">
      <alignment horizontal="center" vertical="center" wrapText="1"/>
    </xf>
    <xf numFmtId="4" fontId="57" fillId="0" borderId="115" xfId="0" applyNumberFormat="1" applyFont="1" applyBorder="1" applyAlignment="1">
      <alignment horizontal="right" vertical="center" wrapText="1"/>
    </xf>
    <xf numFmtId="4" fontId="57" fillId="0" borderId="116" xfId="0" applyNumberFormat="1" applyFont="1" applyBorder="1" applyAlignment="1">
      <alignment horizontal="right" vertical="center" wrapText="1"/>
    </xf>
    <xf numFmtId="4" fontId="57" fillId="0" borderId="117" xfId="0" applyNumberFormat="1" applyFont="1" applyBorder="1" applyAlignment="1">
      <alignment horizontal="right" vertical="center" wrapText="1"/>
    </xf>
    <xf numFmtId="0" fontId="58" fillId="0" borderId="118" xfId="0" applyFont="1" applyBorder="1" applyAlignment="1">
      <alignment horizontal="center" vertical="center" wrapText="1"/>
    </xf>
    <xf numFmtId="4" fontId="57" fillId="0" borderId="119" xfId="0" applyNumberFormat="1" applyFont="1" applyBorder="1" applyAlignment="1">
      <alignment horizontal="right" vertical="center" wrapText="1"/>
    </xf>
    <xf numFmtId="4" fontId="57" fillId="0" borderId="120" xfId="0" applyNumberFormat="1" applyFont="1" applyBorder="1" applyAlignment="1">
      <alignment horizontal="right" vertical="center" wrapText="1"/>
    </xf>
    <xf numFmtId="4" fontId="57" fillId="0" borderId="121" xfId="0" applyNumberFormat="1" applyFont="1" applyBorder="1" applyAlignment="1">
      <alignment horizontal="right" vertical="center" wrapText="1"/>
    </xf>
    <xf numFmtId="0" fontId="28" fillId="15" borderId="85" xfId="0" applyFont="1" applyFill="1" applyBorder="1" applyAlignment="1">
      <alignment horizontal="center" vertical="center" wrapText="1"/>
    </xf>
    <xf numFmtId="0" fontId="28" fillId="16" borderId="122" xfId="0" applyFont="1" applyFill="1" applyBorder="1" applyAlignment="1">
      <alignment horizontal="left" vertical="center" wrapText="1"/>
    </xf>
    <xf numFmtId="0" fontId="28" fillId="16" borderId="122" xfId="0" applyFont="1" applyFill="1" applyBorder="1" applyAlignment="1">
      <alignment horizontal="right" vertical="center" wrapText="1"/>
    </xf>
    <xf numFmtId="0" fontId="77" fillId="19" borderId="122" xfId="0" applyFont="1" applyFill="1" applyBorder="1" applyAlignment="1">
      <alignment horizontal="right" vertical="center" wrapText="1"/>
    </xf>
    <xf numFmtId="0" fontId="78" fillId="20" borderId="122" xfId="0" applyFont="1" applyFill="1" applyBorder="1" applyAlignment="1">
      <alignment horizontal="right" vertical="center" wrapText="1"/>
    </xf>
    <xf numFmtId="0" fontId="77" fillId="21" borderId="122" xfId="0" applyFont="1" applyFill="1" applyBorder="1" applyAlignment="1">
      <alignment horizontal="right" vertical="center" wrapText="1"/>
    </xf>
    <xf numFmtId="0" fontId="77" fillId="7" borderId="122" xfId="0" applyFont="1" applyFill="1" applyBorder="1" applyAlignment="1">
      <alignment horizontal="right" vertical="center" wrapText="1"/>
    </xf>
    <xf numFmtId="198" fontId="28" fillId="0" borderId="0" xfId="1" applyNumberFormat="1" applyFont="1" applyAlignment="1">
      <alignment vertical="center"/>
    </xf>
    <xf numFmtId="205" fontId="28" fillId="0" borderId="0" xfId="2" applyNumberFormat="1" applyFont="1" applyAlignment="1">
      <alignment vertical="center" wrapText="1"/>
    </xf>
    <xf numFmtId="0" fontId="77" fillId="20" borderId="122" xfId="0" applyFont="1" applyFill="1" applyBorder="1" applyAlignment="1">
      <alignment horizontal="right" vertical="center" wrapText="1"/>
    </xf>
    <xf numFmtId="10" fontId="28" fillId="8" borderId="0" xfId="2" applyNumberFormat="1" applyFont="1" applyFill="1" applyAlignment="1">
      <alignment vertical="center"/>
    </xf>
    <xf numFmtId="0" fontId="28" fillId="0" borderId="123" xfId="0" applyFont="1" applyBorder="1">
      <alignment vertical="center"/>
    </xf>
    <xf numFmtId="49" fontId="28" fillId="0" borderId="123" xfId="0" applyNumberFormat="1" applyFont="1" applyBorder="1">
      <alignment vertical="center"/>
    </xf>
    <xf numFmtId="49" fontId="28" fillId="0" borderId="123" xfId="0" quotePrefix="1" applyNumberFormat="1" applyFont="1" applyBorder="1">
      <alignment vertical="center"/>
    </xf>
    <xf numFmtId="49" fontId="28" fillId="0" borderId="123" xfId="1" quotePrefix="1" applyNumberFormat="1" applyFont="1" applyBorder="1" applyAlignment="1">
      <alignment vertical="center"/>
    </xf>
    <xf numFmtId="14" fontId="28" fillId="0" borderId="0" xfId="0" applyNumberFormat="1" applyFont="1">
      <alignment vertical="center"/>
    </xf>
    <xf numFmtId="0" fontId="28" fillId="3" borderId="0" xfId="0" applyFont="1" applyFill="1">
      <alignment vertical="center"/>
    </xf>
    <xf numFmtId="43" fontId="28" fillId="8" borderId="0" xfId="0" applyNumberFormat="1" applyFont="1" applyFill="1">
      <alignment vertical="center"/>
    </xf>
    <xf numFmtId="181" fontId="28" fillId="0" borderId="0" xfId="1" applyNumberFormat="1" applyFont="1" applyAlignment="1">
      <alignment vertical="center"/>
    </xf>
    <xf numFmtId="206" fontId="28" fillId="0" borderId="0" xfId="1" applyNumberFormat="1" applyFont="1" applyAlignment="1">
      <alignment vertical="center"/>
    </xf>
    <xf numFmtId="43" fontId="28" fillId="0" borderId="0" xfId="0" applyNumberFormat="1" applyFont="1">
      <alignment vertical="center"/>
    </xf>
    <xf numFmtId="0" fontId="28" fillId="17" borderId="125" xfId="0" applyFont="1" applyFill="1" applyBorder="1">
      <alignment vertical="center"/>
    </xf>
    <xf numFmtId="0" fontId="28" fillId="17" borderId="126" xfId="0" applyFont="1" applyFill="1" applyBorder="1" applyAlignment="1">
      <alignment horizontal="center" vertical="center"/>
    </xf>
    <xf numFmtId="0" fontId="28" fillId="17" borderId="127" xfId="0" applyFont="1" applyFill="1" applyBorder="1" applyAlignment="1">
      <alignment horizontal="center" vertical="center"/>
    </xf>
    <xf numFmtId="0" fontId="28" fillId="0" borderId="128" xfId="0" applyFont="1" applyBorder="1">
      <alignment vertical="center"/>
    </xf>
    <xf numFmtId="0" fontId="28" fillId="0" borderId="129" xfId="0" applyFont="1" applyBorder="1">
      <alignment vertical="center"/>
    </xf>
    <xf numFmtId="179" fontId="28" fillId="0" borderId="129" xfId="1" applyNumberFormat="1" applyFont="1" applyBorder="1" applyAlignment="1">
      <alignment vertical="center"/>
    </xf>
    <xf numFmtId="41" fontId="28" fillId="0" borderId="128" xfId="1" applyFont="1" applyBorder="1" applyAlignment="1">
      <alignment vertical="center"/>
    </xf>
    <xf numFmtId="41" fontId="28" fillId="0" borderId="130" xfId="1" applyFont="1" applyBorder="1" applyAlignment="1">
      <alignment vertical="center"/>
    </xf>
    <xf numFmtId="41" fontId="28" fillId="0" borderId="131" xfId="1" applyFont="1" applyBorder="1" applyAlignment="1">
      <alignment vertical="center"/>
    </xf>
    <xf numFmtId="41" fontId="28" fillId="0" borderId="132" xfId="1" applyFont="1" applyBorder="1" applyAlignment="1">
      <alignment vertical="center"/>
    </xf>
    <xf numFmtId="179" fontId="28" fillId="0" borderId="18" xfId="1" applyNumberFormat="1" applyFont="1" applyFill="1" applyBorder="1" applyAlignment="1">
      <alignment vertical="center"/>
    </xf>
    <xf numFmtId="41" fontId="28" fillId="0" borderId="57" xfId="1" applyFont="1" applyFill="1" applyBorder="1" applyAlignment="1">
      <alignment vertical="center"/>
    </xf>
    <xf numFmtId="41" fontId="28" fillId="0" borderId="56" xfId="1" applyFont="1" applyFill="1" applyBorder="1" applyAlignment="1">
      <alignment vertical="center"/>
    </xf>
    <xf numFmtId="41" fontId="28" fillId="0" borderId="133" xfId="1" applyFont="1" applyFill="1" applyBorder="1" applyAlignment="1">
      <alignment vertical="center"/>
    </xf>
    <xf numFmtId="181" fontId="28" fillId="0" borderId="57" xfId="1" applyNumberFormat="1" applyFont="1" applyFill="1" applyBorder="1" applyAlignment="1">
      <alignment vertical="center"/>
    </xf>
    <xf numFmtId="41" fontId="28" fillId="0" borderId="12" xfId="1" applyFont="1" applyFill="1" applyBorder="1" applyAlignment="1">
      <alignment vertical="center"/>
    </xf>
    <xf numFmtId="0" fontId="28" fillId="0" borderId="134" xfId="0" applyFont="1" applyBorder="1" applyAlignment="1">
      <alignment horizontal="center" vertical="center"/>
    </xf>
    <xf numFmtId="179" fontId="28" fillId="0" borderId="136" xfId="1" applyNumberFormat="1" applyFont="1" applyFill="1" applyBorder="1" applyAlignment="1">
      <alignment vertical="center"/>
    </xf>
    <xf numFmtId="41" fontId="28" fillId="0" borderId="137" xfId="1" applyFont="1" applyFill="1" applyBorder="1" applyAlignment="1">
      <alignment vertical="center"/>
    </xf>
    <xf numFmtId="41" fontId="28" fillId="0" borderId="55" xfId="1" applyFont="1" applyFill="1" applyBorder="1" applyAlignment="1">
      <alignment vertical="center"/>
    </xf>
    <xf numFmtId="41" fontId="28" fillId="0" borderId="138" xfId="1" applyFont="1" applyFill="1" applyBorder="1" applyAlignment="1">
      <alignment vertical="center"/>
    </xf>
    <xf numFmtId="179" fontId="28" fillId="0" borderId="129" xfId="1" applyNumberFormat="1" applyFont="1" applyFill="1" applyBorder="1" applyAlignment="1">
      <alignment vertical="center"/>
    </xf>
    <xf numFmtId="41" fontId="28" fillId="0" borderId="130" xfId="1" applyFont="1" applyFill="1" applyBorder="1" applyAlignment="1">
      <alignment vertical="center"/>
    </xf>
    <xf numFmtId="41" fontId="28" fillId="0" borderId="131" xfId="1" applyFont="1" applyFill="1" applyBorder="1" applyAlignment="1">
      <alignment vertical="center"/>
    </xf>
    <xf numFmtId="41" fontId="28" fillId="0" borderId="132" xfId="1" applyFont="1" applyFill="1" applyBorder="1" applyAlignment="1">
      <alignment vertical="center"/>
    </xf>
    <xf numFmtId="179" fontId="28" fillId="0" borderId="18" xfId="1" applyNumberFormat="1" applyFont="1" applyBorder="1" applyAlignment="1">
      <alignment vertical="center"/>
    </xf>
    <xf numFmtId="41" fontId="28" fillId="0" borderId="12" xfId="1" applyFont="1" applyBorder="1" applyAlignment="1">
      <alignment vertical="center"/>
    </xf>
    <xf numFmtId="41" fontId="28" fillId="0" borderId="56" xfId="1" applyFont="1" applyBorder="1" applyAlignment="1">
      <alignment vertical="center"/>
    </xf>
    <xf numFmtId="41" fontId="28" fillId="0" borderId="133" xfId="1" applyFont="1" applyBorder="1" applyAlignment="1">
      <alignment vertical="center"/>
    </xf>
    <xf numFmtId="41" fontId="28" fillId="0" borderId="57" xfId="1" applyFont="1" applyBorder="1" applyAlignment="1">
      <alignment vertical="center"/>
    </xf>
    <xf numFmtId="179" fontId="28" fillId="0" borderId="136" xfId="1" applyNumberFormat="1" applyFont="1" applyBorder="1" applyAlignment="1">
      <alignment vertical="center"/>
    </xf>
    <xf numFmtId="41" fontId="28" fillId="0" borderId="135" xfId="1" applyFont="1" applyBorder="1" applyAlignment="1">
      <alignment vertical="center"/>
    </xf>
    <xf numFmtId="41" fontId="28" fillId="0" borderId="137" xfId="1" applyFont="1" applyBorder="1" applyAlignment="1">
      <alignment vertical="center"/>
    </xf>
    <xf numFmtId="41" fontId="28" fillId="0" borderId="55" xfId="1" applyFont="1" applyBorder="1" applyAlignment="1">
      <alignment vertical="center"/>
    </xf>
    <xf numFmtId="41" fontId="28" fillId="0" borderId="138" xfId="1" applyFont="1" applyBorder="1" applyAlignment="1">
      <alignment vertical="center"/>
    </xf>
    <xf numFmtId="179" fontId="28" fillId="0" borderId="88" xfId="1" applyNumberFormat="1" applyFont="1" applyBorder="1" applyAlignment="1">
      <alignment vertical="center"/>
    </xf>
    <xf numFmtId="41" fontId="28" fillId="0" borderId="0" xfId="1" applyFont="1" applyBorder="1" applyAlignment="1">
      <alignment vertical="center"/>
    </xf>
    <xf numFmtId="0" fontId="28" fillId="0" borderId="0" xfId="0" applyFont="1" applyAlignment="1">
      <alignment horizontal="distributed" vertical="center"/>
    </xf>
    <xf numFmtId="179" fontId="28" fillId="0" borderId="0" xfId="1" applyNumberFormat="1" applyFont="1" applyBorder="1" applyAlignment="1">
      <alignment vertical="center"/>
    </xf>
    <xf numFmtId="185" fontId="28" fillId="0" borderId="0" xfId="2" applyNumberFormat="1" applyFont="1" applyBorder="1" applyAlignment="1">
      <alignment vertical="center"/>
    </xf>
    <xf numFmtId="9" fontId="47" fillId="0" borderId="0" xfId="1" applyNumberFormat="1" applyFont="1" applyBorder="1" applyAlignment="1">
      <alignment vertical="center"/>
    </xf>
    <xf numFmtId="0" fontId="28" fillId="0" borderId="126" xfId="0" applyFont="1" applyBorder="1">
      <alignment vertical="center"/>
    </xf>
    <xf numFmtId="41" fontId="28" fillId="0" borderId="126" xfId="1" applyFont="1" applyBorder="1" applyAlignment="1">
      <alignment vertical="center"/>
    </xf>
    <xf numFmtId="0" fontId="28" fillId="0" borderId="128" xfId="0" applyFont="1" applyBorder="1" applyAlignment="1">
      <alignment horizontal="left" vertical="center"/>
    </xf>
    <xf numFmtId="41" fontId="28" fillId="22" borderId="57" xfId="1" applyFont="1" applyFill="1" applyBorder="1" applyAlignment="1">
      <alignment vertical="center"/>
    </xf>
    <xf numFmtId="41" fontId="28" fillId="22" borderId="56" xfId="1" applyFont="1" applyFill="1" applyBorder="1" applyAlignment="1">
      <alignment vertical="center"/>
    </xf>
    <xf numFmtId="41" fontId="28" fillId="22" borderId="133" xfId="1" applyFont="1" applyFill="1" applyBorder="1" applyAlignment="1">
      <alignment vertical="center"/>
    </xf>
    <xf numFmtId="0" fontId="28" fillId="0" borderId="135" xfId="0" applyFont="1" applyBorder="1" applyAlignment="1">
      <alignment horizontal="left" vertical="center"/>
    </xf>
    <xf numFmtId="181" fontId="28" fillId="0" borderId="0" xfId="1" applyNumberFormat="1" applyFont="1" applyBorder="1" applyAlignment="1">
      <alignment vertical="center"/>
    </xf>
    <xf numFmtId="0" fontId="28" fillId="17" borderId="122" xfId="0" applyFont="1" applyFill="1" applyBorder="1" applyAlignment="1">
      <alignment horizontal="center" vertical="center"/>
    </xf>
    <xf numFmtId="41" fontId="28" fillId="0" borderId="13" xfId="1" applyFont="1" applyBorder="1" applyAlignment="1">
      <alignment vertical="center"/>
    </xf>
    <xf numFmtId="0" fontId="28" fillId="7" borderId="0" xfId="0" applyFont="1" applyFill="1">
      <alignment vertical="center"/>
    </xf>
    <xf numFmtId="0" fontId="28" fillId="0" borderId="125" xfId="0" applyFont="1" applyBorder="1" applyAlignment="1">
      <alignment horizontal="center" vertical="center"/>
    </xf>
    <xf numFmtId="0" fontId="28" fillId="0" borderId="126" xfId="0" applyFont="1" applyBorder="1" applyAlignment="1">
      <alignment horizontal="distributed" vertical="center"/>
    </xf>
    <xf numFmtId="179" fontId="28" fillId="0" borderId="127" xfId="1" applyNumberFormat="1" applyFont="1" applyBorder="1" applyAlignment="1">
      <alignment vertical="center"/>
    </xf>
    <xf numFmtId="41" fontId="28" fillId="0" borderId="122" xfId="1" applyFont="1" applyBorder="1" applyAlignment="1">
      <alignment vertical="center"/>
    </xf>
    <xf numFmtId="0" fontId="28" fillId="0" borderId="128" xfId="0" applyFont="1" applyBorder="1" applyAlignment="1">
      <alignment horizontal="center" vertical="center"/>
    </xf>
    <xf numFmtId="0" fontId="28" fillId="0" borderId="23" xfId="0" applyFont="1" applyBorder="1" applyAlignment="1">
      <alignment horizontal="distributed" vertical="center"/>
    </xf>
    <xf numFmtId="41" fontId="28" fillId="0" borderId="139" xfId="1" applyFont="1" applyBorder="1" applyAlignment="1">
      <alignment vertical="center"/>
    </xf>
    <xf numFmtId="0" fontId="28" fillId="0" borderId="87" xfId="0" applyFont="1" applyBorder="1" applyAlignment="1">
      <alignment horizontal="center" vertical="center"/>
    </xf>
    <xf numFmtId="0" fontId="28" fillId="0" borderId="92" xfId="0" applyFont="1" applyBorder="1" applyAlignment="1">
      <alignment horizontal="distributed" vertical="center"/>
    </xf>
    <xf numFmtId="41" fontId="47" fillId="0" borderId="130" xfId="1" applyFont="1" applyBorder="1" applyAlignment="1">
      <alignment vertical="center"/>
    </xf>
    <xf numFmtId="41" fontId="47" fillId="11" borderId="57" xfId="1" applyFont="1" applyFill="1" applyBorder="1" applyAlignment="1">
      <alignment vertical="center"/>
    </xf>
    <xf numFmtId="41" fontId="47" fillId="11" borderId="56" xfId="1" applyFont="1" applyFill="1" applyBorder="1" applyAlignment="1">
      <alignment vertical="center"/>
    </xf>
    <xf numFmtId="41" fontId="47" fillId="11" borderId="133" xfId="1" applyFont="1" applyFill="1" applyBorder="1" applyAlignment="1">
      <alignment vertical="center"/>
    </xf>
    <xf numFmtId="41" fontId="28" fillId="0" borderId="23" xfId="1" applyFont="1" applyBorder="1" applyAlignment="1">
      <alignment vertical="center"/>
    </xf>
    <xf numFmtId="41" fontId="47" fillId="0" borderId="57" xfId="1" applyFont="1" applyFill="1" applyBorder="1" applyAlignment="1">
      <alignment vertical="center"/>
    </xf>
    <xf numFmtId="41" fontId="47" fillId="0" borderId="56" xfId="1" applyFont="1" applyFill="1" applyBorder="1" applyAlignment="1">
      <alignment vertical="center"/>
    </xf>
    <xf numFmtId="41" fontId="47" fillId="0" borderId="133" xfId="1" applyFont="1" applyFill="1" applyBorder="1" applyAlignment="1">
      <alignment vertical="center"/>
    </xf>
    <xf numFmtId="41" fontId="28" fillId="0" borderId="129" xfId="0" applyNumberFormat="1" applyFont="1" applyBorder="1">
      <alignment vertical="center"/>
    </xf>
    <xf numFmtId="179" fontId="28" fillId="0" borderId="0" xfId="1" applyNumberFormat="1" applyFont="1" applyFill="1" applyBorder="1" applyAlignment="1">
      <alignment vertical="center"/>
    </xf>
    <xf numFmtId="41" fontId="28" fillId="0" borderId="0" xfId="1" applyFont="1" applyFill="1" applyBorder="1" applyAlignment="1">
      <alignment vertical="center"/>
    </xf>
    <xf numFmtId="10" fontId="28" fillId="0" borderId="0" xfId="2" applyNumberFormat="1" applyFont="1" applyFill="1" applyBorder="1" applyAlignment="1">
      <alignment vertical="center"/>
    </xf>
    <xf numFmtId="10" fontId="28" fillId="0" borderId="0" xfId="2" applyNumberFormat="1" applyFont="1" applyFill="1" applyAlignment="1">
      <alignment vertical="center"/>
    </xf>
    <xf numFmtId="207" fontId="28" fillId="0" borderId="0" xfId="0" applyNumberFormat="1" applyFont="1">
      <alignment vertical="center"/>
    </xf>
    <xf numFmtId="41" fontId="28" fillId="0" borderId="0" xfId="1" applyFont="1" applyFill="1">
      <alignment vertical="center"/>
    </xf>
    <xf numFmtId="0" fontId="17" fillId="0" borderId="0" xfId="0" applyFont="1">
      <alignment vertical="center"/>
    </xf>
    <xf numFmtId="0" fontId="17" fillId="17" borderId="125" xfId="0" applyFont="1" applyFill="1" applyBorder="1">
      <alignment vertical="center"/>
    </xf>
    <xf numFmtId="0" fontId="17" fillId="17" borderId="126" xfId="0" applyFont="1" applyFill="1" applyBorder="1">
      <alignment vertical="center"/>
    </xf>
    <xf numFmtId="41" fontId="17" fillId="17" borderId="126" xfId="15" applyFont="1" applyFill="1" applyBorder="1" applyAlignment="1">
      <alignment horizontal="right" vertical="center"/>
    </xf>
    <xf numFmtId="41" fontId="17" fillId="17" borderId="127" xfId="15" applyFont="1" applyFill="1" applyBorder="1" applyAlignment="1">
      <alignment horizontal="right" vertical="center"/>
    </xf>
    <xf numFmtId="194" fontId="17" fillId="17" borderId="122" xfId="0" applyNumberFormat="1" applyFont="1" applyFill="1" applyBorder="1" applyAlignment="1">
      <alignment horizontal="center" vertical="center"/>
    </xf>
    <xf numFmtId="194" fontId="29" fillId="17" borderId="122" xfId="0" applyNumberFormat="1" applyFont="1" applyFill="1" applyBorder="1" applyAlignment="1">
      <alignment horizontal="center" vertical="center"/>
    </xf>
    <xf numFmtId="41" fontId="17" fillId="0" borderId="0" xfId="15" applyFont="1" applyFill="1" applyBorder="1">
      <alignment vertical="center"/>
    </xf>
    <xf numFmtId="41" fontId="17" fillId="0" borderId="28" xfId="15" applyFont="1" applyFill="1" applyBorder="1">
      <alignment vertical="center"/>
    </xf>
    <xf numFmtId="41" fontId="17" fillId="0" borderId="29" xfId="15" applyFont="1" applyFill="1" applyBorder="1">
      <alignment vertical="center"/>
    </xf>
    <xf numFmtId="41" fontId="17" fillId="0" borderId="30" xfId="15" applyFont="1" applyFill="1" applyBorder="1">
      <alignment vertical="center"/>
    </xf>
    <xf numFmtId="10" fontId="28" fillId="22" borderId="27" xfId="2" applyNumberFormat="1" applyFont="1" applyFill="1" applyBorder="1" applyAlignment="1">
      <alignment horizontal="center" vertical="center"/>
    </xf>
    <xf numFmtId="10" fontId="28" fillId="0" borderId="27" xfId="2" applyNumberFormat="1" applyFont="1" applyFill="1" applyBorder="1" applyAlignment="1">
      <alignment horizontal="center" vertical="center"/>
    </xf>
    <xf numFmtId="41" fontId="51" fillId="0" borderId="0" xfId="15" applyFont="1" applyFill="1" applyBorder="1">
      <alignment vertical="center"/>
    </xf>
    <xf numFmtId="41" fontId="51" fillId="0" borderId="140" xfId="15" applyFont="1" applyFill="1" applyBorder="1">
      <alignment vertical="center"/>
    </xf>
    <xf numFmtId="41" fontId="51" fillId="0" borderId="40" xfId="15" applyFont="1" applyFill="1" applyBorder="1" applyAlignment="1">
      <alignment horizontal="right" vertical="center"/>
    </xf>
    <xf numFmtId="41" fontId="51" fillId="0" borderId="40" xfId="15" applyFont="1" applyFill="1" applyBorder="1">
      <alignment vertical="center"/>
    </xf>
    <xf numFmtId="10" fontId="51" fillId="0" borderId="42" xfId="2" applyNumberFormat="1" applyFont="1" applyFill="1" applyBorder="1">
      <alignment vertical="center"/>
    </xf>
    <xf numFmtId="177" fontId="47" fillId="22" borderId="43" xfId="16" applyNumberFormat="1" applyFont="1" applyFill="1" applyBorder="1" applyAlignment="1">
      <alignment horizontal="center" vertical="center"/>
    </xf>
    <xf numFmtId="177" fontId="47" fillId="0" borderId="43" xfId="16" applyNumberFormat="1" applyFont="1" applyBorder="1" applyAlignment="1">
      <alignment horizontal="center" vertical="center"/>
    </xf>
    <xf numFmtId="41" fontId="17" fillId="0" borderId="49" xfId="15" applyFont="1" applyFill="1" applyBorder="1">
      <alignment vertical="center"/>
    </xf>
    <xf numFmtId="41" fontId="17" fillId="0" borderId="39" xfId="15" applyFont="1" applyFill="1" applyBorder="1" applyAlignment="1">
      <alignment horizontal="right" vertical="center"/>
    </xf>
    <xf numFmtId="41" fontId="17" fillId="0" borderId="39" xfId="15" applyFont="1" applyFill="1" applyBorder="1" applyAlignment="1">
      <alignment horizontal="center" vertical="center"/>
    </xf>
    <xf numFmtId="41" fontId="17" fillId="0" borderId="32" xfId="15" applyFont="1" applyFill="1" applyBorder="1" applyAlignment="1">
      <alignment horizontal="center" vertical="center"/>
    </xf>
    <xf numFmtId="177" fontId="28" fillId="22" borderId="33" xfId="16" applyNumberFormat="1" applyFont="1" applyFill="1" applyBorder="1" applyAlignment="1">
      <alignment horizontal="center" vertical="center"/>
    </xf>
    <xf numFmtId="177" fontId="47" fillId="22" borderId="33" xfId="16" applyNumberFormat="1" applyFont="1" applyFill="1" applyBorder="1" applyAlignment="1">
      <alignment horizontal="center" vertical="center"/>
    </xf>
    <xf numFmtId="177" fontId="47" fillId="7" borderId="33" xfId="16" applyNumberFormat="1" applyFont="1" applyFill="1" applyBorder="1" applyAlignment="1">
      <alignment horizontal="center" vertical="center"/>
    </xf>
    <xf numFmtId="177" fontId="47" fillId="8" borderId="33" xfId="16" applyNumberFormat="1" applyFont="1" applyFill="1" applyBorder="1" applyAlignment="1">
      <alignment horizontal="center" vertical="center"/>
    </xf>
    <xf numFmtId="177" fontId="28" fillId="0" borderId="33" xfId="16" applyNumberFormat="1" applyFont="1" applyBorder="1" applyAlignment="1">
      <alignment horizontal="center" vertical="center"/>
    </xf>
    <xf numFmtId="41" fontId="17" fillId="0" borderId="50" xfId="15" applyFont="1" applyFill="1" applyBorder="1" applyAlignment="1">
      <alignment horizontal="left" vertical="center" indent="1"/>
    </xf>
    <xf numFmtId="0" fontId="17" fillId="0" borderId="37" xfId="15" applyNumberFormat="1" applyFont="1" applyFill="1" applyBorder="1" applyAlignment="1">
      <alignment horizontal="center" vertical="center"/>
    </xf>
    <xf numFmtId="41" fontId="17" fillId="0" borderId="37" xfId="15" applyFont="1" applyFill="1" applyBorder="1" applyAlignment="1">
      <alignment horizontal="center" vertical="center"/>
    </xf>
    <xf numFmtId="41" fontId="17" fillId="0" borderId="36" xfId="15" applyFont="1" applyFill="1" applyBorder="1" applyAlignment="1">
      <alignment horizontal="center" vertical="center"/>
    </xf>
    <xf numFmtId="177" fontId="28" fillId="22" borderId="38" xfId="16" applyNumberFormat="1" applyFont="1" applyFill="1" applyBorder="1" applyAlignment="1">
      <alignment horizontal="center" vertical="center"/>
    </xf>
    <xf numFmtId="10" fontId="28" fillId="22" borderId="38" xfId="2" applyNumberFormat="1" applyFont="1" applyFill="1" applyBorder="1" applyAlignment="1">
      <alignment horizontal="center" vertical="center"/>
    </xf>
    <xf numFmtId="10" fontId="28" fillId="0" borderId="38" xfId="2" applyNumberFormat="1" applyFont="1" applyFill="1" applyBorder="1" applyAlignment="1">
      <alignment horizontal="center" vertical="center"/>
    </xf>
    <xf numFmtId="41" fontId="17" fillId="0" borderId="87" xfId="15" applyFont="1" applyFill="1" applyBorder="1" applyAlignment="1">
      <alignment horizontal="left" vertical="center"/>
    </xf>
    <xf numFmtId="0" fontId="17" fillId="0" borderId="92" xfId="15" applyNumberFormat="1" applyFont="1" applyFill="1" applyBorder="1" applyAlignment="1">
      <alignment horizontal="center" vertical="center"/>
    </xf>
    <xf numFmtId="41" fontId="17" fillId="0" borderId="92" xfId="15" applyFont="1" applyFill="1" applyBorder="1" applyAlignment="1">
      <alignment horizontal="center" vertical="center"/>
    </xf>
    <xf numFmtId="41" fontId="17" fillId="0" borderId="88" xfId="15" applyFont="1" applyFill="1" applyBorder="1" applyAlignment="1">
      <alignment horizontal="center" vertical="center"/>
    </xf>
    <xf numFmtId="177" fontId="28" fillId="22" borderId="98" xfId="16" applyNumberFormat="1" applyFont="1" applyFill="1" applyBorder="1" applyAlignment="1">
      <alignment horizontal="center" vertical="center"/>
    </xf>
    <xf numFmtId="10" fontId="28" fillId="22" borderId="98" xfId="2" applyNumberFormat="1" applyFont="1" applyFill="1" applyBorder="1" applyAlignment="1">
      <alignment horizontal="center" vertical="center"/>
    </xf>
    <xf numFmtId="10" fontId="28" fillId="0" borderId="98" xfId="2" applyNumberFormat="1" applyFont="1" applyFill="1" applyBorder="1" applyAlignment="1">
      <alignment horizontal="center" vertical="center"/>
    </xf>
    <xf numFmtId="0" fontId="17" fillId="0" borderId="128" xfId="0" applyFont="1" applyBorder="1">
      <alignment vertical="center"/>
    </xf>
    <xf numFmtId="0" fontId="17" fillId="0" borderId="23" xfId="0" applyFont="1" applyBorder="1">
      <alignment vertical="center"/>
    </xf>
    <xf numFmtId="0" fontId="17" fillId="0" borderId="129" xfId="0" applyFont="1" applyBorder="1">
      <alignment vertical="center"/>
    </xf>
    <xf numFmtId="187" fontId="17" fillId="22" borderId="139" xfId="0" applyNumberFormat="1" applyFont="1" applyFill="1" applyBorder="1">
      <alignment vertical="center"/>
    </xf>
    <xf numFmtId="187" fontId="17" fillId="0" borderId="139" xfId="0" applyNumberFormat="1" applyFont="1" applyBorder="1">
      <alignment vertical="center"/>
    </xf>
    <xf numFmtId="0" fontId="17" fillId="0" borderId="28" xfId="0" applyFont="1" applyBorder="1">
      <alignment vertical="center"/>
    </xf>
    <xf numFmtId="0" fontId="17" fillId="0" borderId="29" xfId="0" applyFont="1" applyBorder="1">
      <alignment vertical="center"/>
    </xf>
    <xf numFmtId="0" fontId="17" fillId="0" borderId="30" xfId="0" applyFont="1" applyBorder="1">
      <alignment vertical="center"/>
    </xf>
    <xf numFmtId="187" fontId="17" fillId="22" borderId="27" xfId="0" applyNumberFormat="1" applyFont="1" applyFill="1" applyBorder="1">
      <alignment vertical="center"/>
    </xf>
    <xf numFmtId="187" fontId="17" fillId="0" borderId="27" xfId="0" applyNumberFormat="1" applyFont="1" applyBorder="1">
      <alignment vertical="center"/>
    </xf>
    <xf numFmtId="0" fontId="17" fillId="0" borderId="12" xfId="0" applyFont="1" applyBorder="1">
      <alignment vertical="center"/>
    </xf>
    <xf numFmtId="0" fontId="17" fillId="0" borderId="18" xfId="0" applyFont="1" applyBorder="1">
      <alignment vertical="center"/>
    </xf>
    <xf numFmtId="187" fontId="47" fillId="22" borderId="13" xfId="1" applyNumberFormat="1" applyFont="1" applyFill="1" applyBorder="1">
      <alignment vertical="center"/>
    </xf>
    <xf numFmtId="187" fontId="47" fillId="22" borderId="13" xfId="0" applyNumberFormat="1" applyFont="1" applyFill="1" applyBorder="1">
      <alignment vertical="center"/>
    </xf>
    <xf numFmtId="187" fontId="47" fillId="8" borderId="13" xfId="0" applyNumberFormat="1" applyFont="1" applyFill="1" applyBorder="1">
      <alignment vertical="center"/>
    </xf>
    <xf numFmtId="187" fontId="17" fillId="0" borderId="13" xfId="0" applyNumberFormat="1" applyFont="1" applyBorder="1">
      <alignment vertical="center"/>
    </xf>
    <xf numFmtId="187" fontId="17" fillId="8" borderId="13" xfId="0" applyNumberFormat="1" applyFont="1" applyFill="1" applyBorder="1">
      <alignment vertical="center"/>
    </xf>
    <xf numFmtId="187" fontId="17" fillId="22" borderId="13" xfId="0" applyNumberFormat="1" applyFont="1" applyFill="1" applyBorder="1">
      <alignment vertical="center"/>
    </xf>
    <xf numFmtId="0" fontId="17" fillId="0" borderId="140" xfId="0" applyFont="1" applyBorder="1">
      <alignment vertical="center"/>
    </xf>
    <xf numFmtId="0" fontId="17" fillId="0" borderId="40" xfId="0" applyFont="1" applyBorder="1">
      <alignment vertical="center"/>
    </xf>
    <xf numFmtId="0" fontId="17" fillId="0" borderId="42" xfId="0" applyFont="1" applyBorder="1">
      <alignment vertical="center"/>
    </xf>
    <xf numFmtId="187" fontId="47" fillId="22" borderId="43" xfId="0" applyNumberFormat="1" applyFont="1" applyFill="1" applyBorder="1">
      <alignment vertical="center"/>
    </xf>
    <xf numFmtId="187" fontId="47" fillId="8" borderId="43" xfId="0" applyNumberFormat="1" applyFont="1" applyFill="1" applyBorder="1">
      <alignment vertical="center"/>
    </xf>
    <xf numFmtId="187" fontId="17" fillId="0" borderId="43" xfId="0" applyNumberFormat="1" applyFont="1" applyBorder="1">
      <alignment vertical="center"/>
    </xf>
    <xf numFmtId="187" fontId="17" fillId="8" borderId="43" xfId="0" applyNumberFormat="1" applyFont="1" applyFill="1" applyBorder="1">
      <alignment vertical="center"/>
    </xf>
    <xf numFmtId="9" fontId="47" fillId="0" borderId="18" xfId="0" applyNumberFormat="1" applyFont="1" applyBorder="1">
      <alignment vertical="center"/>
    </xf>
    <xf numFmtId="41" fontId="51" fillId="0" borderId="40" xfId="0" applyNumberFormat="1" applyFont="1" applyBorder="1">
      <alignment vertical="center"/>
    </xf>
    <xf numFmtId="10" fontId="51" fillId="0" borderId="42" xfId="1" applyNumberFormat="1" applyFont="1" applyFill="1" applyBorder="1">
      <alignment vertical="center"/>
    </xf>
    <xf numFmtId="187" fontId="51" fillId="8" borderId="43" xfId="0" applyNumberFormat="1" applyFont="1" applyFill="1" applyBorder="1">
      <alignment vertical="center"/>
    </xf>
    <xf numFmtId="41" fontId="17" fillId="0" borderId="18" xfId="1" applyFont="1" applyFill="1" applyBorder="1">
      <alignment vertical="center"/>
    </xf>
    <xf numFmtId="187" fontId="47" fillId="0" borderId="13" xfId="0" applyNumberFormat="1" applyFont="1" applyBorder="1">
      <alignment vertical="center"/>
    </xf>
    <xf numFmtId="0" fontId="17" fillId="0" borderId="49" xfId="0" applyFont="1" applyBorder="1">
      <alignment vertical="center"/>
    </xf>
    <xf numFmtId="0" fontId="17" fillId="0" borderId="39" xfId="0" applyFont="1" applyBorder="1">
      <alignment vertical="center"/>
    </xf>
    <xf numFmtId="0" fontId="17" fillId="0" borderId="32" xfId="0" applyFont="1" applyBorder="1">
      <alignment vertical="center"/>
    </xf>
    <xf numFmtId="0" fontId="47" fillId="22" borderId="33" xfId="0" applyFont="1" applyFill="1" applyBorder="1">
      <alignment vertical="center"/>
    </xf>
    <xf numFmtId="41" fontId="47" fillId="22" borderId="33" xfId="1" applyFont="1" applyFill="1" applyBorder="1">
      <alignment vertical="center"/>
    </xf>
    <xf numFmtId="41" fontId="47" fillId="0" borderId="33" xfId="1" applyFont="1" applyFill="1" applyBorder="1">
      <alignment vertical="center"/>
    </xf>
    <xf numFmtId="41" fontId="28" fillId="0" borderId="33" xfId="1" applyFont="1" applyFill="1" applyBorder="1">
      <alignment vertical="center"/>
    </xf>
    <xf numFmtId="0" fontId="47" fillId="22" borderId="13" xfId="0" applyFont="1" applyFill="1" applyBorder="1">
      <alignment vertical="center"/>
    </xf>
    <xf numFmtId="41" fontId="47" fillId="22" borderId="13" xfId="1" applyFont="1" applyFill="1" applyBorder="1">
      <alignment vertical="center"/>
    </xf>
    <xf numFmtId="41" fontId="47" fillId="0" borderId="13" xfId="1" applyFont="1" applyFill="1" applyBorder="1">
      <alignment vertical="center"/>
    </xf>
    <xf numFmtId="41" fontId="28" fillId="0" borderId="13" xfId="1" applyFont="1" applyFill="1" applyBorder="1">
      <alignment vertical="center"/>
    </xf>
    <xf numFmtId="41" fontId="47" fillId="0" borderId="13" xfId="0" applyNumberFormat="1" applyFont="1" applyBorder="1">
      <alignment vertical="center"/>
    </xf>
    <xf numFmtId="0" fontId="47" fillId="0" borderId="13" xfId="0" applyFont="1" applyBorder="1">
      <alignment vertical="center"/>
    </xf>
    <xf numFmtId="187" fontId="17" fillId="22" borderId="43" xfId="0" applyNumberFormat="1" applyFont="1" applyFill="1" applyBorder="1">
      <alignment vertical="center"/>
    </xf>
    <xf numFmtId="187" fontId="47" fillId="0" borderId="43" xfId="0" applyNumberFormat="1" applyFont="1" applyBorder="1">
      <alignment vertical="center"/>
    </xf>
    <xf numFmtId="187" fontId="51" fillId="0" borderId="43" xfId="0" applyNumberFormat="1" applyFont="1" applyBorder="1">
      <alignment vertical="center"/>
    </xf>
    <xf numFmtId="9" fontId="17" fillId="0" borderId="18" xfId="0" applyNumberFormat="1" applyFont="1" applyBorder="1">
      <alignment vertical="center"/>
    </xf>
    <xf numFmtId="187" fontId="47" fillId="7" borderId="13" xfId="0" applyNumberFormat="1" applyFont="1" applyFill="1" applyBorder="1">
      <alignment vertical="center"/>
    </xf>
    <xf numFmtId="0" fontId="17" fillId="0" borderId="0" xfId="0" applyFont="1" applyAlignment="1">
      <alignment horizontal="left" vertical="center" indent="1"/>
    </xf>
    <xf numFmtId="187" fontId="28" fillId="22" borderId="13" xfId="0" applyNumberFormat="1" applyFont="1" applyFill="1" applyBorder="1">
      <alignment vertical="center"/>
    </xf>
    <xf numFmtId="207" fontId="47" fillId="8" borderId="13" xfId="0" applyNumberFormat="1" applyFont="1" applyFill="1" applyBorder="1">
      <alignment vertical="center"/>
    </xf>
    <xf numFmtId="9" fontId="17" fillId="0" borderId="18" xfId="2" applyFont="1" applyFill="1" applyBorder="1">
      <alignment vertical="center"/>
    </xf>
    <xf numFmtId="187" fontId="47" fillId="0" borderId="12" xfId="0" applyNumberFormat="1" applyFont="1" applyBorder="1">
      <alignment vertical="center"/>
    </xf>
    <xf numFmtId="187" fontId="47" fillId="8" borderId="13" xfId="1" applyNumberFormat="1" applyFont="1" applyFill="1" applyBorder="1">
      <alignment vertical="center"/>
    </xf>
    <xf numFmtId="0" fontId="17" fillId="0" borderId="87" xfId="0" applyFont="1" applyBorder="1">
      <alignment vertical="center"/>
    </xf>
    <xf numFmtId="0" fontId="17" fillId="0" borderId="92" xfId="0" applyFont="1" applyBorder="1">
      <alignment vertical="center"/>
    </xf>
    <xf numFmtId="0" fontId="17" fillId="0" borderId="88" xfId="0" applyFont="1" applyBorder="1">
      <alignment vertical="center"/>
    </xf>
    <xf numFmtId="202" fontId="17" fillId="22" borderId="98" xfId="1" applyNumberFormat="1" applyFont="1" applyFill="1" applyBorder="1">
      <alignment vertical="center"/>
    </xf>
    <xf numFmtId="187" fontId="17" fillId="22" borderId="98" xfId="0" applyNumberFormat="1" applyFont="1" applyFill="1" applyBorder="1">
      <alignment vertical="center"/>
    </xf>
    <xf numFmtId="202" fontId="17" fillId="0" borderId="98" xfId="1" applyNumberFormat="1" applyFont="1" applyFill="1" applyBorder="1">
      <alignment vertical="center"/>
    </xf>
    <xf numFmtId="41" fontId="17" fillId="0" borderId="0" xfId="1" applyFont="1" applyFill="1" applyBorder="1">
      <alignment vertical="center"/>
    </xf>
    <xf numFmtId="187" fontId="17" fillId="0" borderId="0" xfId="0" applyNumberFormat="1" applyFont="1">
      <alignment vertical="center"/>
    </xf>
    <xf numFmtId="177" fontId="17" fillId="0" borderId="0" xfId="1" applyNumberFormat="1" applyFont="1" applyFill="1" applyBorder="1">
      <alignment vertical="center"/>
    </xf>
    <xf numFmtId="177" fontId="28" fillId="0" borderId="0" xfId="9" applyNumberFormat="1" applyFont="1">
      <alignment vertical="center"/>
    </xf>
    <xf numFmtId="41" fontId="17" fillId="0" borderId="0" xfId="1" applyFont="1" applyBorder="1" applyAlignment="1">
      <alignment horizontal="center" vertical="center"/>
    </xf>
    <xf numFmtId="41" fontId="17" fillId="0" borderId="0" xfId="1" applyFont="1" applyFill="1" applyBorder="1" applyAlignment="1">
      <alignment horizontal="center" vertical="center"/>
    </xf>
    <xf numFmtId="198" fontId="17" fillId="0" borderId="0" xfId="1" applyNumberFormat="1" applyFont="1" applyFill="1" applyBorder="1" applyAlignment="1">
      <alignment horizontal="center" vertical="center"/>
    </xf>
    <xf numFmtId="177" fontId="17" fillId="0" borderId="0" xfId="0" applyNumberFormat="1" applyFont="1" applyAlignment="1">
      <alignment horizontal="center" vertical="center"/>
    </xf>
    <xf numFmtId="177" fontId="17" fillId="0" borderId="0" xfId="1" applyNumberFormat="1" applyFont="1" applyFill="1" applyBorder="1" applyAlignment="1">
      <alignment horizontal="center" vertical="center"/>
    </xf>
    <xf numFmtId="41" fontId="28" fillId="0" borderId="0" xfId="1" applyFont="1" applyAlignment="1">
      <alignment horizontal="center" vertical="center"/>
    </xf>
    <xf numFmtId="41" fontId="28" fillId="0" borderId="0" xfId="1" applyFont="1" applyFill="1" applyAlignment="1">
      <alignment horizontal="center" vertical="center"/>
    </xf>
    <xf numFmtId="187" fontId="28" fillId="0" borderId="0" xfId="2" applyNumberFormat="1" applyFont="1" applyFill="1">
      <alignment vertical="center"/>
    </xf>
    <xf numFmtId="10" fontId="28" fillId="0" borderId="0" xfId="2" applyNumberFormat="1" applyFont="1" applyFill="1" applyAlignment="1">
      <alignment horizontal="center" vertical="center"/>
    </xf>
    <xf numFmtId="0" fontId="27" fillId="17" borderId="126" xfId="0" applyFont="1" applyFill="1" applyBorder="1" applyAlignment="1">
      <alignment horizontal="center" vertical="center"/>
    </xf>
    <xf numFmtId="188" fontId="28" fillId="17" borderId="95" xfId="0" applyNumberFormat="1" applyFont="1" applyFill="1" applyBorder="1" applyAlignment="1">
      <alignment horizontal="center" vertical="center" shrinkToFit="1"/>
    </xf>
    <xf numFmtId="188" fontId="28" fillId="17" borderId="51" xfId="0" applyNumberFormat="1" applyFont="1" applyFill="1" applyBorder="1" applyAlignment="1">
      <alignment horizontal="center" vertical="center" shrinkToFit="1"/>
    </xf>
    <xf numFmtId="188" fontId="28" fillId="17" borderId="96" xfId="0" applyNumberFormat="1" applyFont="1" applyFill="1" applyBorder="1" applyAlignment="1">
      <alignment horizontal="center" vertical="center" shrinkToFit="1"/>
    </xf>
    <xf numFmtId="208" fontId="28" fillId="22" borderId="89" xfId="1" applyNumberFormat="1" applyFont="1" applyFill="1" applyBorder="1" applyAlignment="1">
      <alignment vertical="center"/>
    </xf>
    <xf numFmtId="208" fontId="28" fillId="22" borderId="90" xfId="1" applyNumberFormat="1" applyFont="1" applyFill="1" applyBorder="1" applyAlignment="1">
      <alignment vertical="center"/>
    </xf>
    <xf numFmtId="208" fontId="28" fillId="22" borderId="91" xfId="1" applyNumberFormat="1" applyFont="1" applyFill="1" applyBorder="1" applyAlignment="1">
      <alignment vertical="center"/>
    </xf>
    <xf numFmtId="208" fontId="28" fillId="0" borderId="57" xfId="1" applyNumberFormat="1" applyFont="1" applyFill="1" applyBorder="1" applyAlignment="1">
      <alignment vertical="center"/>
    </xf>
    <xf numFmtId="208" fontId="28" fillId="0" borderId="56" xfId="1" applyNumberFormat="1" applyFont="1" applyFill="1" applyBorder="1" applyAlignment="1">
      <alignment vertical="center"/>
    </xf>
    <xf numFmtId="208" fontId="28" fillId="0" borderId="133" xfId="1" applyNumberFormat="1" applyFont="1" applyFill="1" applyBorder="1" applyAlignment="1">
      <alignment vertical="center"/>
    </xf>
    <xf numFmtId="208" fontId="28" fillId="22" borderId="141" xfId="1" applyNumberFormat="1" applyFont="1" applyFill="1" applyBorder="1" applyAlignment="1">
      <alignment vertical="center"/>
    </xf>
    <xf numFmtId="208" fontId="28" fillId="22" borderId="53" xfId="1" applyNumberFormat="1" applyFont="1" applyFill="1" applyBorder="1" applyAlignment="1">
      <alignment vertical="center"/>
    </xf>
    <xf numFmtId="208" fontId="28" fillId="22" borderId="142" xfId="1" applyNumberFormat="1" applyFont="1" applyFill="1" applyBorder="1" applyAlignment="1">
      <alignment vertical="center"/>
    </xf>
    <xf numFmtId="181" fontId="28" fillId="0" borderId="0" xfId="0" applyNumberFormat="1" applyFont="1">
      <alignment vertical="center"/>
    </xf>
    <xf numFmtId="41" fontId="28" fillId="0" borderId="136" xfId="1" applyFont="1" applyFill="1" applyBorder="1" applyAlignment="1">
      <alignment vertical="center"/>
    </xf>
    <xf numFmtId="209" fontId="28" fillId="0" borderId="134" xfId="1" applyNumberFormat="1" applyFont="1" applyFill="1" applyBorder="1" applyAlignment="1">
      <alignment vertical="center"/>
    </xf>
    <xf numFmtId="208" fontId="28" fillId="22" borderId="95" xfId="1" applyNumberFormat="1" applyFont="1" applyFill="1" applyBorder="1" applyAlignment="1">
      <alignment vertical="center"/>
    </xf>
    <xf numFmtId="208" fontId="28" fillId="22" borderId="55" xfId="1" applyNumberFormat="1" applyFont="1" applyFill="1" applyBorder="1" applyAlignment="1">
      <alignment vertical="center"/>
    </xf>
    <xf numFmtId="208" fontId="28" fillId="22" borderId="138" xfId="1" applyNumberFormat="1" applyFont="1" applyFill="1" applyBorder="1" applyAlignment="1">
      <alignment vertical="center"/>
    </xf>
    <xf numFmtId="208" fontId="28" fillId="22" borderId="137" xfId="1" applyNumberFormat="1" applyFont="1" applyFill="1" applyBorder="1" applyAlignment="1">
      <alignment vertical="center"/>
    </xf>
    <xf numFmtId="0" fontId="28" fillId="0" borderId="125" xfId="0" applyFont="1" applyBorder="1">
      <alignment vertical="center"/>
    </xf>
    <xf numFmtId="0" fontId="28" fillId="0" borderId="126" xfId="0" applyFont="1" applyBorder="1" applyAlignment="1">
      <alignment horizontal="left" vertical="center"/>
    </xf>
    <xf numFmtId="208" fontId="28" fillId="22" borderId="51" xfId="1" applyNumberFormat="1" applyFont="1" applyFill="1" applyBorder="1" applyAlignment="1">
      <alignment vertical="center"/>
    </xf>
    <xf numFmtId="208" fontId="28" fillId="22" borderId="96" xfId="1" applyNumberFormat="1" applyFont="1" applyFill="1" applyBorder="1" applyAlignment="1">
      <alignment vertical="center"/>
    </xf>
    <xf numFmtId="210" fontId="28" fillId="0" borderId="0" xfId="1" applyNumberFormat="1" applyFont="1" applyBorder="1" applyAlignment="1">
      <alignment vertical="center"/>
    </xf>
    <xf numFmtId="210" fontId="28" fillId="0" borderId="0" xfId="1" applyNumberFormat="1" applyFont="1" applyFill="1" applyBorder="1" applyAlignment="1">
      <alignment vertical="center"/>
    </xf>
    <xf numFmtId="212" fontId="28" fillId="0" borderId="0" xfId="1" applyNumberFormat="1" applyFont="1" applyFill="1" applyBorder="1" applyAlignment="1">
      <alignment vertical="center"/>
    </xf>
    <xf numFmtId="0" fontId="28" fillId="17" borderId="126" xfId="0" applyFont="1" applyFill="1" applyBorder="1">
      <alignment vertical="center"/>
    </xf>
    <xf numFmtId="210" fontId="28" fillId="0" borderId="122" xfId="1" applyNumberFormat="1" applyFont="1" applyFill="1" applyBorder="1" applyAlignment="1">
      <alignment vertical="center"/>
    </xf>
    <xf numFmtId="41" fontId="28" fillId="0" borderId="51" xfId="1" applyFont="1" applyFill="1" applyBorder="1" applyAlignment="1">
      <alignment vertical="center"/>
    </xf>
    <xf numFmtId="41" fontId="28" fillId="0" borderId="96" xfId="1" applyFont="1" applyFill="1" applyBorder="1" applyAlignment="1">
      <alignment vertical="center"/>
    </xf>
    <xf numFmtId="41" fontId="28" fillId="0" borderId="95" xfId="1" applyFont="1" applyFill="1" applyBorder="1" applyAlignment="1">
      <alignment vertical="center"/>
    </xf>
    <xf numFmtId="0" fontId="28" fillId="0" borderId="39" xfId="0" applyFont="1" applyBorder="1" applyAlignment="1">
      <alignment horizontal="left" vertical="center"/>
    </xf>
    <xf numFmtId="179" fontId="28" fillId="0" borderId="32" xfId="1" applyNumberFormat="1" applyFont="1" applyBorder="1" applyAlignment="1">
      <alignment vertical="center"/>
    </xf>
    <xf numFmtId="41" fontId="28" fillId="0" borderId="33" xfId="1" applyFont="1" applyBorder="1" applyAlignment="1">
      <alignment vertical="center"/>
    </xf>
    <xf numFmtId="41" fontId="28" fillId="22" borderId="33" xfId="1" applyFont="1" applyFill="1" applyBorder="1" applyAlignment="1">
      <alignment vertical="center"/>
    </xf>
    <xf numFmtId="41" fontId="28" fillId="0" borderId="33" xfId="1" applyFont="1" applyFill="1" applyBorder="1" applyAlignment="1">
      <alignment vertical="center"/>
    </xf>
    <xf numFmtId="41" fontId="28" fillId="22" borderId="13" xfId="1" applyFont="1" applyFill="1" applyBorder="1" applyAlignment="1">
      <alignment vertical="center"/>
    </xf>
    <xf numFmtId="41" fontId="28" fillId="0" borderId="13" xfId="1" applyFont="1" applyFill="1" applyBorder="1" applyAlignment="1">
      <alignment vertical="center"/>
    </xf>
    <xf numFmtId="202" fontId="28" fillId="22" borderId="13" xfId="1" applyNumberFormat="1" applyFont="1" applyFill="1" applyBorder="1" applyAlignment="1">
      <alignment vertical="center"/>
    </xf>
    <xf numFmtId="41" fontId="28" fillId="22" borderId="122" xfId="1" applyFont="1" applyFill="1" applyBorder="1" applyAlignment="1">
      <alignment vertical="center"/>
    </xf>
    <xf numFmtId="41" fontId="28" fillId="0" borderId="122" xfId="1" applyFont="1" applyFill="1" applyBorder="1" applyAlignment="1">
      <alignment vertical="center"/>
    </xf>
    <xf numFmtId="0" fontId="28" fillId="0" borderId="135" xfId="0" applyFont="1" applyBorder="1">
      <alignment vertical="center"/>
    </xf>
    <xf numFmtId="41" fontId="28" fillId="0" borderId="134" xfId="1" applyFont="1" applyBorder="1" applyAlignment="1">
      <alignment vertical="center"/>
    </xf>
    <xf numFmtId="41" fontId="28" fillId="0" borderId="134" xfId="1" applyFont="1" applyFill="1" applyBorder="1" applyAlignment="1">
      <alignment vertical="center"/>
    </xf>
    <xf numFmtId="0" fontId="83" fillId="0" borderId="0" xfId="17" applyFont="1">
      <alignment vertical="center"/>
    </xf>
    <xf numFmtId="0" fontId="83" fillId="0" borderId="0" xfId="17" applyFont="1" applyAlignment="1">
      <alignment horizontal="center" vertical="center"/>
    </xf>
    <xf numFmtId="0" fontId="81" fillId="23" borderId="148" xfId="17" applyFont="1" applyFill="1" applyBorder="1" applyAlignment="1">
      <alignment horizontal="center" vertical="center"/>
    </xf>
    <xf numFmtId="0" fontId="81" fillId="23" borderId="149" xfId="17" applyFont="1" applyFill="1" applyBorder="1" applyAlignment="1">
      <alignment horizontal="center" vertical="center"/>
    </xf>
    <xf numFmtId="0" fontId="81" fillId="0" borderId="0" xfId="17" applyFont="1" applyAlignment="1">
      <alignment horizontal="center" vertical="center"/>
    </xf>
    <xf numFmtId="0" fontId="83" fillId="0" borderId="150" xfId="17" applyFont="1" applyBorder="1" applyAlignment="1">
      <alignment horizontal="center" vertical="center"/>
    </xf>
    <xf numFmtId="0" fontId="83" fillId="0" borderId="40" xfId="17" applyFont="1" applyBorder="1">
      <alignment vertical="center"/>
    </xf>
    <xf numFmtId="0" fontId="84" fillId="0" borderId="43" xfId="17" applyFont="1" applyBorder="1">
      <alignment vertical="center"/>
    </xf>
    <xf numFmtId="213" fontId="85" fillId="0" borderId="40" xfId="17" applyNumberFormat="1" applyFont="1" applyBorder="1">
      <alignment vertical="center"/>
    </xf>
    <xf numFmtId="213" fontId="85" fillId="8" borderId="40" xfId="17" applyNumberFormat="1" applyFont="1" applyFill="1" applyBorder="1">
      <alignment vertical="center"/>
    </xf>
    <xf numFmtId="213" fontId="83" fillId="0" borderId="40" xfId="17" applyNumberFormat="1" applyFont="1" applyBorder="1">
      <alignment vertical="center"/>
    </xf>
    <xf numFmtId="0" fontId="83" fillId="0" borderId="151" xfId="17" applyFont="1" applyBorder="1" applyAlignment="1">
      <alignment horizontal="center" vertical="center"/>
    </xf>
    <xf numFmtId="0" fontId="86" fillId="0" borderId="37" xfId="17" applyFont="1" applyBorder="1">
      <alignment vertical="center"/>
    </xf>
    <xf numFmtId="0" fontId="83" fillId="0" borderId="43" xfId="17" applyFont="1" applyBorder="1">
      <alignment vertical="center"/>
    </xf>
    <xf numFmtId="0" fontId="83" fillId="0" borderId="37" xfId="17" applyFont="1" applyBorder="1">
      <alignment vertical="center"/>
    </xf>
    <xf numFmtId="41" fontId="85" fillId="0" borderId="37" xfId="18" applyFont="1" applyFill="1" applyBorder="1">
      <alignment vertical="center"/>
    </xf>
    <xf numFmtId="41" fontId="8" fillId="0" borderId="37" xfId="18" applyFont="1" applyFill="1" applyBorder="1">
      <alignment vertical="center"/>
    </xf>
    <xf numFmtId="41" fontId="83" fillId="0" borderId="37" xfId="18" applyFont="1" applyFill="1" applyBorder="1">
      <alignment vertical="center"/>
    </xf>
    <xf numFmtId="41" fontId="88" fillId="0" borderId="37" xfId="18" applyFont="1" applyFill="1" applyBorder="1">
      <alignment vertical="center"/>
    </xf>
    <xf numFmtId="41" fontId="83" fillId="8" borderId="37" xfId="18" applyFont="1" applyFill="1" applyBorder="1">
      <alignment vertical="center"/>
    </xf>
    <xf numFmtId="41" fontId="85" fillId="8" borderId="37" xfId="18" applyFont="1" applyFill="1" applyBorder="1">
      <alignment vertical="center"/>
    </xf>
    <xf numFmtId="41" fontId="83" fillId="0" borderId="40" xfId="18" applyFont="1" applyFill="1" applyBorder="1">
      <alignment vertical="center"/>
    </xf>
    <xf numFmtId="0" fontId="83" fillId="0" borderId="152" xfId="17" applyFont="1" applyBorder="1" applyAlignment="1">
      <alignment horizontal="center" vertical="center"/>
    </xf>
    <xf numFmtId="0" fontId="83" fillId="0" borderId="39" xfId="17" applyFont="1" applyBorder="1">
      <alignment vertical="center"/>
    </xf>
    <xf numFmtId="0" fontId="83" fillId="0" borderId="33" xfId="17" applyFont="1" applyBorder="1">
      <alignment vertical="center"/>
    </xf>
    <xf numFmtId="9" fontId="83" fillId="0" borderId="39" xfId="17" applyNumberFormat="1" applyFont="1" applyBorder="1">
      <alignment vertical="center"/>
    </xf>
    <xf numFmtId="9" fontId="83" fillId="23" borderId="39" xfId="19" applyNumberFormat="1" applyFont="1" applyFill="1" applyBorder="1" applyAlignment="1">
      <alignment horizontal="right" vertical="center"/>
    </xf>
    <xf numFmtId="185" fontId="83" fillId="0" borderId="39" xfId="17" applyNumberFormat="1" applyFont="1" applyBorder="1">
      <alignment vertical="center"/>
    </xf>
    <xf numFmtId="185" fontId="83" fillId="23" borderId="39" xfId="17" applyNumberFormat="1" applyFont="1" applyFill="1" applyBorder="1">
      <alignment vertical="center"/>
    </xf>
    <xf numFmtId="0" fontId="81" fillId="0" borderId="153" xfId="17" applyFont="1" applyBorder="1" applyAlignment="1">
      <alignment horizontal="center" vertical="center"/>
    </xf>
    <xf numFmtId="0" fontId="81" fillId="0" borderId="154" xfId="17" applyFont="1" applyBorder="1">
      <alignment vertical="center"/>
    </xf>
    <xf numFmtId="0" fontId="81" fillId="0" borderId="155" xfId="17" applyFont="1" applyBorder="1">
      <alignment vertical="center"/>
    </xf>
    <xf numFmtId="41" fontId="81" fillId="0" borderId="154" xfId="18" applyFont="1" applyFill="1" applyBorder="1">
      <alignment vertical="center"/>
    </xf>
    <xf numFmtId="214" fontId="81" fillId="0" borderId="154" xfId="19" applyNumberFormat="1" applyFont="1" applyFill="1" applyBorder="1">
      <alignment vertical="center"/>
    </xf>
    <xf numFmtId="0" fontId="83" fillId="0" borderId="156" xfId="17" applyFont="1" applyBorder="1" applyAlignment="1">
      <alignment horizontal="center" vertical="center"/>
    </xf>
    <xf numFmtId="0" fontId="83" fillId="0" borderId="45" xfId="17" applyFont="1" applyBorder="1">
      <alignment vertical="center"/>
    </xf>
    <xf numFmtId="0" fontId="83" fillId="0" borderId="47" xfId="17" applyFont="1" applyBorder="1">
      <alignment vertical="center"/>
    </xf>
    <xf numFmtId="41" fontId="8" fillId="0" borderId="45" xfId="18" applyFont="1" applyFill="1" applyBorder="1">
      <alignment vertical="center"/>
    </xf>
    <xf numFmtId="214" fontId="8" fillId="0" borderId="45" xfId="19" applyNumberFormat="1" applyFont="1" applyFill="1" applyBorder="1">
      <alignment vertical="center"/>
    </xf>
    <xf numFmtId="214" fontId="83" fillId="0" borderId="45" xfId="19" applyNumberFormat="1" applyFont="1" applyFill="1" applyBorder="1">
      <alignment vertical="center"/>
    </xf>
    <xf numFmtId="0" fontId="83" fillId="0" borderId="123" xfId="17" applyFont="1" applyBorder="1">
      <alignment vertical="center"/>
    </xf>
    <xf numFmtId="0" fontId="83" fillId="0" borderId="157" xfId="17" applyFont="1" applyBorder="1" applyAlignment="1">
      <alignment horizontal="center" vertical="center"/>
    </xf>
    <xf numFmtId="0" fontId="83" fillId="0" borderId="126" xfId="17" applyFont="1" applyBorder="1">
      <alignment vertical="center"/>
    </xf>
    <xf numFmtId="0" fontId="83" fillId="0" borderId="122" xfId="17" applyFont="1" applyBorder="1">
      <alignment vertical="center"/>
    </xf>
    <xf numFmtId="199" fontId="8" fillId="0" borderId="126" xfId="18" applyNumberFormat="1" applyFont="1" applyFill="1" applyBorder="1">
      <alignment vertical="center"/>
    </xf>
    <xf numFmtId="41" fontId="8" fillId="0" borderId="126" xfId="18" applyFont="1" applyFill="1" applyBorder="1">
      <alignment vertical="center"/>
    </xf>
    <xf numFmtId="214" fontId="8" fillId="0" borderId="126" xfId="19" applyNumberFormat="1" applyFont="1" applyFill="1" applyBorder="1">
      <alignment vertical="center"/>
    </xf>
    <xf numFmtId="214" fontId="83" fillId="0" borderId="126" xfId="19" applyNumberFormat="1" applyFont="1" applyFill="1" applyBorder="1">
      <alignment vertical="center"/>
    </xf>
    <xf numFmtId="216" fontId="83" fillId="0" borderId="126" xfId="19" applyNumberFormat="1" applyFont="1" applyFill="1" applyBorder="1">
      <alignment vertical="center"/>
    </xf>
    <xf numFmtId="0" fontId="83" fillId="0" borderId="158" xfId="17" applyFont="1" applyBorder="1" applyAlignment="1">
      <alignment horizontal="center" vertical="center"/>
    </xf>
    <xf numFmtId="0" fontId="86" fillId="0" borderId="0" xfId="17" applyFont="1">
      <alignment vertical="center"/>
    </xf>
    <xf numFmtId="0" fontId="83" fillId="0" borderId="13" xfId="17" applyFont="1" applyBorder="1">
      <alignment vertical="center"/>
    </xf>
    <xf numFmtId="41" fontId="85" fillId="0" borderId="0" xfId="18" applyFont="1" applyFill="1" applyBorder="1">
      <alignment vertical="center"/>
    </xf>
    <xf numFmtId="41" fontId="8" fillId="0" borderId="0" xfId="18" applyFont="1" applyFill="1" applyBorder="1">
      <alignment vertical="center"/>
    </xf>
    <xf numFmtId="214" fontId="85" fillId="0" borderId="0" xfId="19" applyNumberFormat="1" applyFont="1" applyFill="1" applyBorder="1">
      <alignment vertical="center"/>
    </xf>
    <xf numFmtId="214" fontId="83" fillId="0" borderId="0" xfId="19" applyNumberFormat="1" applyFont="1" applyFill="1" applyBorder="1">
      <alignment vertical="center"/>
    </xf>
    <xf numFmtId="41" fontId="83" fillId="0" borderId="0" xfId="18" applyFont="1" applyFill="1" applyBorder="1">
      <alignment vertical="center"/>
    </xf>
    <xf numFmtId="0" fontId="81" fillId="0" borderId="151" xfId="17" applyFont="1" applyBorder="1" applyAlignment="1">
      <alignment horizontal="center" vertical="center"/>
    </xf>
    <xf numFmtId="0" fontId="81" fillId="0" borderId="37" xfId="17" applyFont="1" applyBorder="1">
      <alignment vertical="center"/>
    </xf>
    <xf numFmtId="0" fontId="81" fillId="0" borderId="38" xfId="17" applyFont="1" applyBorder="1">
      <alignment vertical="center"/>
    </xf>
    <xf numFmtId="214" fontId="81" fillId="8" borderId="37" xfId="19" applyNumberFormat="1" applyFont="1" applyFill="1" applyBorder="1">
      <alignment vertical="center"/>
    </xf>
    <xf numFmtId="214" fontId="81" fillId="0" borderId="37" xfId="19" applyNumberFormat="1" applyFont="1" applyFill="1" applyBorder="1">
      <alignment vertical="center"/>
    </xf>
    <xf numFmtId="0" fontId="81" fillId="0" borderId="0" xfId="17" applyFont="1">
      <alignment vertical="center"/>
    </xf>
    <xf numFmtId="0" fontId="83" fillId="0" borderId="38" xfId="17" applyFont="1" applyBorder="1">
      <alignment vertical="center"/>
    </xf>
    <xf numFmtId="203" fontId="85" fillId="8" borderId="37" xfId="18" applyNumberFormat="1" applyFont="1" applyFill="1" applyBorder="1">
      <alignment vertical="center"/>
    </xf>
    <xf numFmtId="214" fontId="83" fillId="0" borderId="40" xfId="19" applyNumberFormat="1" applyFont="1" applyFill="1" applyBorder="1">
      <alignment vertical="center"/>
    </xf>
    <xf numFmtId="217" fontId="83" fillId="0" borderId="39" xfId="18" applyNumberFormat="1" applyFont="1" applyFill="1" applyBorder="1">
      <alignment vertical="center"/>
    </xf>
    <xf numFmtId="41" fontId="83" fillId="0" borderId="39" xfId="18" applyFont="1" applyFill="1" applyBorder="1">
      <alignment vertical="center"/>
    </xf>
    <xf numFmtId="41" fontId="81" fillId="0" borderId="154" xfId="17" applyNumberFormat="1" applyFont="1" applyBorder="1">
      <alignment vertical="center"/>
    </xf>
    <xf numFmtId="0" fontId="81" fillId="0" borderId="159" xfId="17" applyFont="1" applyBorder="1" applyAlignment="1">
      <alignment horizontal="center" vertical="center"/>
    </xf>
    <xf numFmtId="0" fontId="81" fillId="0" borderId="160" xfId="17" applyFont="1" applyBorder="1">
      <alignment vertical="center"/>
    </xf>
    <xf numFmtId="0" fontId="81" fillId="0" borderId="161" xfId="17" applyFont="1" applyBorder="1">
      <alignment vertical="center"/>
    </xf>
    <xf numFmtId="41" fontId="81" fillId="0" borderId="160" xfId="17" applyNumberFormat="1" applyFont="1" applyBorder="1">
      <alignment vertical="center"/>
    </xf>
    <xf numFmtId="214" fontId="81" fillId="0" borderId="160" xfId="19" applyNumberFormat="1" applyFont="1" applyFill="1" applyBorder="1">
      <alignment vertical="center"/>
    </xf>
    <xf numFmtId="215" fontId="81" fillId="0" borderId="160" xfId="19" applyNumberFormat="1" applyFont="1" applyFill="1" applyBorder="1">
      <alignment vertical="center"/>
    </xf>
    <xf numFmtId="185" fontId="85" fillId="8" borderId="159" xfId="2" applyNumberFormat="1" applyFont="1" applyFill="1" applyBorder="1" applyAlignment="1">
      <alignment horizontal="center" vertical="center"/>
    </xf>
    <xf numFmtId="41" fontId="90" fillId="0" borderId="160" xfId="17" applyNumberFormat="1" applyFont="1" applyBorder="1">
      <alignment vertical="center"/>
    </xf>
    <xf numFmtId="0" fontId="91" fillId="0" borderId="0" xfId="17" applyFont="1">
      <alignment vertical="center"/>
    </xf>
    <xf numFmtId="214" fontId="91" fillId="0" borderId="0" xfId="19" applyNumberFormat="1" applyFont="1" applyFill="1" applyBorder="1">
      <alignment vertical="center"/>
    </xf>
    <xf numFmtId="214" fontId="81" fillId="0" borderId="0" xfId="19" applyNumberFormat="1" applyFont="1" applyFill="1" applyBorder="1">
      <alignment vertical="center"/>
    </xf>
    <xf numFmtId="14" fontId="83" fillId="0" borderId="0" xfId="17" applyNumberFormat="1" applyFont="1">
      <alignment vertical="center"/>
    </xf>
    <xf numFmtId="181" fontId="83" fillId="0" borderId="0" xfId="1" applyNumberFormat="1" applyFont="1" applyFill="1">
      <alignment vertical="center"/>
    </xf>
    <xf numFmtId="206" fontId="83" fillId="0" borderId="0" xfId="1" applyNumberFormat="1" applyFont="1" applyFill="1">
      <alignment vertical="center"/>
    </xf>
    <xf numFmtId="41" fontId="83" fillId="0" borderId="0" xfId="1" applyFont="1" applyFill="1">
      <alignment vertical="center"/>
    </xf>
    <xf numFmtId="199" fontId="83" fillId="0" borderId="0" xfId="18" applyNumberFormat="1" applyFont="1" applyFill="1">
      <alignment vertical="center"/>
    </xf>
    <xf numFmtId="41" fontId="83" fillId="0" borderId="0" xfId="19" applyFont="1" applyFill="1" applyAlignment="1">
      <alignment horizontal="center" vertical="center"/>
    </xf>
    <xf numFmtId="41" fontId="83" fillId="0" borderId="0" xfId="18" applyFont="1" applyFill="1">
      <alignment vertical="center"/>
    </xf>
    <xf numFmtId="41" fontId="83" fillId="0" borderId="0" xfId="18" applyFont="1" applyFill="1" applyAlignment="1">
      <alignment horizontal="center" vertical="center"/>
    </xf>
    <xf numFmtId="43" fontId="83" fillId="0" borderId="0" xfId="17" applyNumberFormat="1" applyFont="1">
      <alignment vertical="center"/>
    </xf>
    <xf numFmtId="0" fontId="93" fillId="0" borderId="0" xfId="20" applyFont="1" applyAlignment="1">
      <alignment horizontal="left" vertical="center"/>
    </xf>
    <xf numFmtId="0" fontId="83" fillId="0" borderId="0" xfId="20" applyFont="1">
      <alignment vertical="center"/>
    </xf>
    <xf numFmtId="0" fontId="81" fillId="24" borderId="162" xfId="20" applyFont="1" applyFill="1" applyBorder="1" applyAlignment="1">
      <alignment horizontal="left" vertical="center"/>
    </xf>
    <xf numFmtId="0" fontId="81" fillId="24" borderId="163" xfId="20" applyFont="1" applyFill="1" applyBorder="1" applyAlignment="1">
      <alignment horizontal="center" vertical="center"/>
    </xf>
    <xf numFmtId="0" fontId="81" fillId="24" borderId="154" xfId="20" applyFont="1" applyFill="1" applyBorder="1" applyAlignment="1">
      <alignment horizontal="center" vertical="center"/>
    </xf>
    <xf numFmtId="0" fontId="81" fillId="24" borderId="164" xfId="20" applyFont="1" applyFill="1" applyBorder="1" applyAlignment="1">
      <alignment horizontal="center" vertical="center"/>
    </xf>
    <xf numFmtId="0" fontId="81" fillId="25" borderId="155" xfId="20" applyFont="1" applyFill="1" applyBorder="1" applyAlignment="1">
      <alignment horizontal="center" vertical="center"/>
    </xf>
    <xf numFmtId="0" fontId="81" fillId="25" borderId="163" xfId="20" applyFont="1" applyFill="1" applyBorder="1" applyAlignment="1">
      <alignment horizontal="center" vertical="center"/>
    </xf>
    <xf numFmtId="0" fontId="81" fillId="25" borderId="165" xfId="20" applyFont="1" applyFill="1" applyBorder="1" applyAlignment="1">
      <alignment horizontal="center" vertical="center"/>
    </xf>
    <xf numFmtId="187" fontId="94" fillId="23" borderId="166" xfId="20" applyNumberFormat="1" applyFont="1" applyFill="1" applyBorder="1">
      <alignment vertical="center"/>
    </xf>
    <xf numFmtId="187" fontId="81" fillId="23" borderId="50" xfId="20" applyNumberFormat="1" applyFont="1" applyFill="1" applyBorder="1">
      <alignment vertical="center"/>
    </xf>
    <xf numFmtId="187" fontId="81" fillId="23" borderId="37" xfId="20" applyNumberFormat="1" applyFont="1" applyFill="1" applyBorder="1">
      <alignment vertical="center"/>
    </xf>
    <xf numFmtId="187" fontId="81" fillId="23" borderId="36" xfId="20" applyNumberFormat="1" applyFont="1" applyFill="1" applyBorder="1">
      <alignment vertical="center"/>
    </xf>
    <xf numFmtId="187" fontId="81" fillId="23" borderId="38" xfId="18" applyNumberFormat="1" applyFont="1" applyFill="1" applyBorder="1">
      <alignment vertical="center"/>
    </xf>
    <xf numFmtId="187" fontId="83" fillId="0" borderId="0" xfId="17" applyNumberFormat="1" applyFont="1">
      <alignment vertical="center"/>
    </xf>
    <xf numFmtId="187" fontId="8" fillId="0" borderId="167" xfId="20" applyNumberFormat="1" applyFont="1" applyBorder="1" applyAlignment="1">
      <alignment horizontal="left" vertical="center" indent="1"/>
    </xf>
    <xf numFmtId="187" fontId="8" fillId="0" borderId="49" xfId="20" applyNumberFormat="1" applyFont="1" applyBorder="1" applyAlignment="1">
      <alignment horizontal="left" vertical="center" indent="1"/>
    </xf>
    <xf numFmtId="187" fontId="8" fillId="0" borderId="39" xfId="20" applyNumberFormat="1" applyFont="1" applyBorder="1" applyAlignment="1">
      <alignment horizontal="left" vertical="center" indent="1"/>
    </xf>
    <xf numFmtId="187" fontId="8" fillId="0" borderId="32" xfId="20" applyNumberFormat="1" applyFont="1" applyBorder="1" applyAlignment="1">
      <alignment horizontal="left" vertical="center" indent="1"/>
    </xf>
    <xf numFmtId="187" fontId="85" fillId="8" borderId="33" xfId="18" applyNumberFormat="1" applyFont="1" applyFill="1" applyBorder="1">
      <alignment vertical="center"/>
    </xf>
    <xf numFmtId="187" fontId="85" fillId="8" borderId="49" xfId="18" applyNumberFormat="1" applyFont="1" applyFill="1" applyBorder="1">
      <alignment vertical="center"/>
    </xf>
    <xf numFmtId="187" fontId="88" fillId="8" borderId="49" xfId="18" applyNumberFormat="1" applyFont="1" applyFill="1" applyBorder="1">
      <alignment vertical="center"/>
    </xf>
    <xf numFmtId="187" fontId="88" fillId="8" borderId="33" xfId="18" applyNumberFormat="1" applyFont="1" applyFill="1" applyBorder="1">
      <alignment vertical="center"/>
    </xf>
    <xf numFmtId="187" fontId="8" fillId="0" borderId="0" xfId="17" applyNumberFormat="1" applyFont="1">
      <alignment vertical="center"/>
    </xf>
    <xf numFmtId="187" fontId="8" fillId="0" borderId="168" xfId="20" applyNumberFormat="1" applyFont="1" applyBorder="1" applyAlignment="1">
      <alignment horizontal="left" vertical="center" indent="1"/>
    </xf>
    <xf numFmtId="187" fontId="8" fillId="0" borderId="12" xfId="20" applyNumberFormat="1" applyFont="1" applyBorder="1" applyAlignment="1">
      <alignment horizontal="left" vertical="center" indent="1"/>
    </xf>
    <xf numFmtId="187" fontId="8" fillId="0" borderId="0" xfId="20" applyNumberFormat="1" applyFont="1" applyAlignment="1">
      <alignment horizontal="left" vertical="center" indent="1"/>
    </xf>
    <xf numFmtId="187" fontId="8" fillId="0" borderId="18" xfId="20" applyNumberFormat="1" applyFont="1" applyBorder="1" applyAlignment="1">
      <alignment horizontal="left" vertical="center" indent="1"/>
    </xf>
    <xf numFmtId="187" fontId="85" fillId="8" borderId="13" xfId="18" applyNumberFormat="1" applyFont="1" applyFill="1" applyBorder="1">
      <alignment vertical="center"/>
    </xf>
    <xf numFmtId="187" fontId="85" fillId="8" borderId="12" xfId="18" applyNumberFormat="1" applyFont="1" applyFill="1" applyBorder="1">
      <alignment vertical="center"/>
    </xf>
    <xf numFmtId="187" fontId="88" fillId="8" borderId="12" xfId="18" applyNumberFormat="1" applyFont="1" applyFill="1" applyBorder="1">
      <alignment vertical="center"/>
    </xf>
    <xf numFmtId="187" fontId="88" fillId="8" borderId="13" xfId="18" applyNumberFormat="1" applyFont="1" applyFill="1" applyBorder="1">
      <alignment vertical="center"/>
    </xf>
    <xf numFmtId="187" fontId="81" fillId="23" borderId="169" xfId="20" applyNumberFormat="1" applyFont="1" applyFill="1" applyBorder="1">
      <alignment vertical="center"/>
    </xf>
    <xf numFmtId="187" fontId="81" fillId="23" borderId="140" xfId="20" applyNumberFormat="1" applyFont="1" applyFill="1" applyBorder="1">
      <alignment vertical="center"/>
    </xf>
    <xf numFmtId="187" fontId="81" fillId="23" borderId="40" xfId="20" applyNumberFormat="1" applyFont="1" applyFill="1" applyBorder="1">
      <alignment vertical="center"/>
    </xf>
    <xf numFmtId="187" fontId="81" fillId="23" borderId="42" xfId="20" applyNumberFormat="1" applyFont="1" applyFill="1" applyBorder="1">
      <alignment vertical="center"/>
    </xf>
    <xf numFmtId="187" fontId="81" fillId="23" borderId="43" xfId="18" applyNumberFormat="1" applyFont="1" applyFill="1" applyBorder="1">
      <alignment vertical="center"/>
    </xf>
    <xf numFmtId="187" fontId="95" fillId="23" borderId="140" xfId="18" applyNumberFormat="1" applyFont="1" applyFill="1" applyBorder="1">
      <alignment vertical="center"/>
    </xf>
    <xf numFmtId="187" fontId="81" fillId="23" borderId="140" xfId="18" applyNumberFormat="1" applyFont="1" applyFill="1" applyBorder="1">
      <alignment vertical="center"/>
    </xf>
    <xf numFmtId="187" fontId="96" fillId="23" borderId="43" xfId="18" applyNumberFormat="1" applyFont="1" applyFill="1" applyBorder="1">
      <alignment vertical="center"/>
    </xf>
    <xf numFmtId="187" fontId="85" fillId="0" borderId="33" xfId="18" applyNumberFormat="1" applyFont="1" applyFill="1" applyBorder="1">
      <alignment vertical="center"/>
    </xf>
    <xf numFmtId="187" fontId="85" fillId="0" borderId="49" xfId="18" applyNumberFormat="1" applyFont="1" applyFill="1" applyBorder="1">
      <alignment vertical="center"/>
    </xf>
    <xf numFmtId="187" fontId="8" fillId="0" borderId="49" xfId="18" applyNumberFormat="1" applyFont="1" applyFill="1" applyBorder="1">
      <alignment vertical="center"/>
    </xf>
    <xf numFmtId="187" fontId="8" fillId="0" borderId="33" xfId="18" applyNumberFormat="1" applyFont="1" applyFill="1" applyBorder="1">
      <alignment vertical="center"/>
    </xf>
    <xf numFmtId="187" fontId="85" fillId="0" borderId="13" xfId="18" applyNumberFormat="1" applyFont="1" applyBorder="1">
      <alignment vertical="center"/>
    </xf>
    <xf numFmtId="187" fontId="85" fillId="0" borderId="12" xfId="18" applyNumberFormat="1" applyFont="1" applyBorder="1">
      <alignment vertical="center"/>
    </xf>
    <xf numFmtId="187" fontId="8" fillId="0" borderId="12" xfId="18" applyNumberFormat="1" applyFont="1" applyBorder="1">
      <alignment vertical="center"/>
    </xf>
    <xf numFmtId="187" fontId="8" fillId="0" borderId="13" xfId="18" applyNumberFormat="1" applyFont="1" applyBorder="1">
      <alignment vertical="center"/>
    </xf>
    <xf numFmtId="187" fontId="83" fillId="0" borderId="167" xfId="20" applyNumberFormat="1" applyFont="1" applyBorder="1" applyAlignment="1">
      <alignment horizontal="left" vertical="center" indent="1"/>
    </xf>
    <xf numFmtId="187" fontId="83" fillId="0" borderId="49" xfId="20" applyNumberFormat="1" applyFont="1" applyBorder="1" applyAlignment="1">
      <alignment horizontal="left" vertical="center" indent="1"/>
    </xf>
    <xf numFmtId="187" fontId="83" fillId="0" borderId="39" xfId="20" applyNumberFormat="1" applyFont="1" applyBorder="1" applyAlignment="1">
      <alignment horizontal="left" vertical="center" indent="1"/>
    </xf>
    <xf numFmtId="187" fontId="83" fillId="0" borderId="32" xfId="20" applyNumberFormat="1" applyFont="1" applyBorder="1" applyAlignment="1">
      <alignment horizontal="left" vertical="center" indent="1"/>
    </xf>
    <xf numFmtId="187" fontId="83" fillId="0" borderId="33" xfId="18" applyNumberFormat="1" applyFont="1" applyBorder="1">
      <alignment vertical="center"/>
    </xf>
    <xf numFmtId="187" fontId="83" fillId="0" borderId="49" xfId="18" applyNumberFormat="1" applyFont="1" applyBorder="1">
      <alignment vertical="center"/>
    </xf>
    <xf numFmtId="187" fontId="83" fillId="0" borderId="168" xfId="20" applyNumberFormat="1" applyFont="1" applyBorder="1" applyAlignment="1">
      <alignment horizontal="left" vertical="center" indent="1"/>
    </xf>
    <xf numFmtId="187" fontId="83" fillId="0" borderId="12" xfId="20" applyNumberFormat="1" applyFont="1" applyBorder="1" applyAlignment="1">
      <alignment horizontal="left" vertical="center" indent="1"/>
    </xf>
    <xf numFmtId="187" fontId="83" fillId="0" borderId="0" xfId="20" applyNumberFormat="1" applyFont="1" applyAlignment="1">
      <alignment horizontal="left" vertical="center" indent="1"/>
    </xf>
    <xf numFmtId="187" fontId="83" fillId="0" borderId="18" xfId="20" applyNumberFormat="1" applyFont="1" applyBorder="1" applyAlignment="1">
      <alignment horizontal="left" vertical="center" indent="1"/>
    </xf>
    <xf numFmtId="187" fontId="83" fillId="0" borderId="13" xfId="18" applyNumberFormat="1" applyFont="1" applyBorder="1">
      <alignment vertical="center"/>
    </xf>
    <xf numFmtId="187" fontId="83" fillId="0" borderId="12" xfId="18" applyNumberFormat="1" applyFont="1" applyBorder="1">
      <alignment vertical="center"/>
    </xf>
    <xf numFmtId="0" fontId="81" fillId="24" borderId="170" xfId="20" applyFont="1" applyFill="1" applyBorder="1" applyAlignment="1">
      <alignment horizontal="left" vertical="center"/>
    </xf>
    <xf numFmtId="0" fontId="81" fillId="24" borderId="171" xfId="20" applyFont="1" applyFill="1" applyBorder="1" applyAlignment="1">
      <alignment horizontal="center" vertical="center"/>
    </xf>
    <xf numFmtId="0" fontId="81" fillId="24" borderId="172" xfId="20" applyFont="1" applyFill="1" applyBorder="1" applyAlignment="1">
      <alignment horizontal="center" vertical="center"/>
    </xf>
    <xf numFmtId="0" fontId="81" fillId="24" borderId="173" xfId="20" applyFont="1" applyFill="1" applyBorder="1" applyAlignment="1">
      <alignment horizontal="center" vertical="center"/>
    </xf>
    <xf numFmtId="0" fontId="81" fillId="25" borderId="174" xfId="18" applyNumberFormat="1" applyFont="1" applyFill="1" applyBorder="1" applyAlignment="1">
      <alignment horizontal="center" vertical="center"/>
    </xf>
    <xf numFmtId="0" fontId="81" fillId="25" borderId="171" xfId="18" applyNumberFormat="1" applyFont="1" applyFill="1" applyBorder="1" applyAlignment="1">
      <alignment horizontal="center" vertical="center"/>
    </xf>
    <xf numFmtId="187" fontId="96" fillId="0" borderId="175" xfId="20" applyNumberFormat="1" applyFont="1" applyBorder="1" applyAlignment="1">
      <alignment horizontal="left" vertical="center"/>
    </xf>
    <xf numFmtId="187" fontId="96" fillId="0" borderId="176" xfId="20" applyNumberFormat="1" applyFont="1" applyBorder="1" applyAlignment="1">
      <alignment horizontal="left" vertical="center"/>
    </xf>
    <xf numFmtId="187" fontId="96" fillId="0" borderId="177" xfId="20" applyNumberFormat="1" applyFont="1" applyBorder="1" applyAlignment="1">
      <alignment horizontal="left" vertical="center"/>
    </xf>
    <xf numFmtId="187" fontId="96" fillId="0" borderId="178" xfId="20" applyNumberFormat="1" applyFont="1" applyBorder="1" applyAlignment="1">
      <alignment horizontal="left" vertical="center"/>
    </xf>
    <xf numFmtId="187" fontId="96" fillId="0" borderId="175" xfId="18" applyNumberFormat="1" applyFont="1" applyFill="1" applyBorder="1">
      <alignment vertical="center"/>
    </xf>
    <xf numFmtId="187" fontId="96" fillId="0" borderId="176" xfId="18" applyNumberFormat="1" applyFont="1" applyFill="1" applyBorder="1">
      <alignment vertical="center"/>
    </xf>
    <xf numFmtId="187" fontId="96" fillId="0" borderId="0" xfId="17" applyNumberFormat="1" applyFont="1">
      <alignment vertical="center"/>
    </xf>
    <xf numFmtId="187" fontId="8" fillId="0" borderId="50" xfId="20" applyNumberFormat="1" applyFont="1" applyBorder="1" applyAlignment="1">
      <alignment horizontal="left" vertical="center" indent="1"/>
    </xf>
    <xf numFmtId="187" fontId="8" fillId="0" borderId="37" xfId="20" applyNumberFormat="1" applyFont="1" applyBorder="1" applyAlignment="1">
      <alignment horizontal="left" vertical="center" indent="1"/>
    </xf>
    <xf numFmtId="187" fontId="8" fillId="0" borderId="36" xfId="20" applyNumberFormat="1" applyFont="1" applyBorder="1" applyAlignment="1">
      <alignment horizontal="left" vertical="center" indent="1"/>
    </xf>
    <xf numFmtId="187" fontId="8" fillId="0" borderId="38" xfId="18" applyNumberFormat="1" applyFont="1" applyFill="1" applyBorder="1">
      <alignment vertical="center"/>
    </xf>
    <xf numFmtId="187" fontId="8" fillId="0" borderId="50" xfId="18" applyNumberFormat="1" applyFont="1" applyFill="1" applyBorder="1">
      <alignment vertical="center"/>
    </xf>
    <xf numFmtId="187" fontId="8" fillId="0" borderId="4" xfId="20" applyNumberFormat="1" applyFont="1" applyBorder="1" applyAlignment="1">
      <alignment horizontal="left" vertical="center" indent="1"/>
    </xf>
    <xf numFmtId="187" fontId="8" fillId="0" borderId="31" xfId="20" applyNumberFormat="1" applyFont="1" applyBorder="1" applyAlignment="1">
      <alignment horizontal="left" vertical="center" indent="1"/>
    </xf>
    <xf numFmtId="187" fontId="8" fillId="0" borderId="12" xfId="18" applyNumberFormat="1" applyFont="1" applyFill="1" applyBorder="1">
      <alignment vertical="center"/>
    </xf>
    <xf numFmtId="187" fontId="8" fillId="0" borderId="13" xfId="18" applyNumberFormat="1" applyFont="1" applyFill="1" applyBorder="1">
      <alignment vertical="center"/>
    </xf>
    <xf numFmtId="187" fontId="8" fillId="0" borderId="34" xfId="20" applyNumberFormat="1" applyFont="1" applyBorder="1" applyAlignment="1">
      <alignment horizontal="left" vertical="center" indent="1"/>
    </xf>
    <xf numFmtId="187" fontId="8" fillId="8" borderId="13" xfId="18" applyNumberFormat="1" applyFont="1" applyFill="1" applyBorder="1">
      <alignment vertical="center"/>
    </xf>
    <xf numFmtId="187" fontId="8" fillId="8" borderId="12" xfId="18" applyNumberFormat="1" applyFont="1" applyFill="1" applyBorder="1">
      <alignment vertical="center"/>
    </xf>
    <xf numFmtId="187" fontId="96" fillId="0" borderId="122" xfId="20" applyNumberFormat="1" applyFont="1" applyBorder="1" applyAlignment="1">
      <alignment horizontal="left" vertical="center"/>
    </xf>
    <xf numFmtId="187" fontId="96" fillId="0" borderId="125" xfId="20" applyNumberFormat="1" applyFont="1" applyBorder="1" applyAlignment="1">
      <alignment horizontal="left" vertical="center"/>
    </xf>
    <xf numFmtId="187" fontId="96" fillId="0" borderId="126" xfId="20" applyNumberFormat="1" applyFont="1" applyBorder="1" applyAlignment="1">
      <alignment horizontal="left" vertical="center"/>
    </xf>
    <xf numFmtId="187" fontId="96" fillId="0" borderId="127" xfId="20" applyNumberFormat="1" applyFont="1" applyBorder="1" applyAlignment="1">
      <alignment horizontal="left" vertical="center"/>
    </xf>
    <xf numFmtId="187" fontId="96" fillId="0" borderId="122" xfId="18" applyNumberFormat="1" applyFont="1" applyFill="1" applyBorder="1">
      <alignment vertical="center"/>
    </xf>
    <xf numFmtId="187" fontId="96" fillId="0" borderId="125" xfId="18" applyNumberFormat="1" applyFont="1" applyFill="1" applyBorder="1">
      <alignment vertical="center"/>
    </xf>
    <xf numFmtId="187" fontId="8" fillId="0" borderId="179" xfId="20" applyNumberFormat="1" applyFont="1" applyBorder="1" applyAlignment="1">
      <alignment horizontal="left" vertical="center" indent="1"/>
    </xf>
    <xf numFmtId="187" fontId="8" fillId="0" borderId="124" xfId="20" applyNumberFormat="1" applyFont="1" applyBorder="1" applyAlignment="1">
      <alignment horizontal="left" vertical="center" indent="1"/>
    </xf>
    <xf numFmtId="187" fontId="8" fillId="0" borderId="180" xfId="18" applyNumberFormat="1" applyFont="1" applyFill="1" applyBorder="1">
      <alignment vertical="center"/>
    </xf>
    <xf numFmtId="187" fontId="96" fillId="26" borderId="181" xfId="20" applyNumberFormat="1" applyFont="1" applyFill="1" applyBorder="1" applyAlignment="1">
      <alignment horizontal="left" vertical="center"/>
    </xf>
    <xf numFmtId="187" fontId="96" fillId="26" borderId="182" xfId="20" applyNumberFormat="1" applyFont="1" applyFill="1" applyBorder="1" applyAlignment="1">
      <alignment horizontal="left" vertical="center"/>
    </xf>
    <xf numFmtId="187" fontId="96" fillId="26" borderId="183" xfId="20" applyNumberFormat="1" applyFont="1" applyFill="1" applyBorder="1" applyAlignment="1">
      <alignment horizontal="left" vertical="center"/>
    </xf>
    <xf numFmtId="187" fontId="96" fillId="26" borderId="184" xfId="20" applyNumberFormat="1" applyFont="1" applyFill="1" applyBorder="1" applyAlignment="1">
      <alignment horizontal="left" vertical="center"/>
    </xf>
    <xf numFmtId="187" fontId="95" fillId="26" borderId="181" xfId="18" applyNumberFormat="1" applyFont="1" applyFill="1" applyBorder="1">
      <alignment vertical="center"/>
    </xf>
    <xf numFmtId="187" fontId="95" fillId="26" borderId="182" xfId="18" applyNumberFormat="1" applyFont="1" applyFill="1" applyBorder="1">
      <alignment vertical="center"/>
    </xf>
    <xf numFmtId="187" fontId="96" fillId="26" borderId="182" xfId="18" applyNumberFormat="1" applyFont="1" applyFill="1" applyBorder="1">
      <alignment vertical="center"/>
    </xf>
    <xf numFmtId="187" fontId="96" fillId="26" borderId="181" xfId="18" applyNumberFormat="1" applyFont="1" applyFill="1" applyBorder="1">
      <alignment vertical="center"/>
    </xf>
    <xf numFmtId="187" fontId="8" fillId="26" borderId="43" xfId="20" applyNumberFormat="1" applyFont="1" applyFill="1" applyBorder="1" applyAlignment="1">
      <alignment horizontal="left" vertical="center"/>
    </xf>
    <xf numFmtId="187" fontId="8" fillId="26" borderId="140" xfId="20" applyNumberFormat="1" applyFont="1" applyFill="1" applyBorder="1" applyAlignment="1">
      <alignment horizontal="left" vertical="center"/>
    </xf>
    <xf numFmtId="187" fontId="8" fillId="26" borderId="40" xfId="20" applyNumberFormat="1" applyFont="1" applyFill="1" applyBorder="1" applyAlignment="1">
      <alignment horizontal="left" vertical="center"/>
    </xf>
    <xf numFmtId="187" fontId="8" fillId="26" borderId="42" xfId="20" applyNumberFormat="1" applyFont="1" applyFill="1" applyBorder="1" applyAlignment="1">
      <alignment horizontal="left" vertical="center"/>
    </xf>
    <xf numFmtId="187" fontId="8" fillId="26" borderId="43" xfId="18" applyNumberFormat="1" applyFont="1" applyFill="1" applyBorder="1">
      <alignment vertical="center"/>
    </xf>
    <xf numFmtId="187" fontId="8" fillId="26" borderId="140" xfId="18" applyNumberFormat="1" applyFont="1" applyFill="1" applyBorder="1">
      <alignment vertical="center"/>
    </xf>
    <xf numFmtId="187" fontId="8" fillId="26" borderId="33" xfId="20" applyNumberFormat="1" applyFont="1" applyFill="1" applyBorder="1" applyAlignment="1">
      <alignment horizontal="left" vertical="center"/>
    </xf>
    <xf numFmtId="187" fontId="8" fillId="26" borderId="49" xfId="20" applyNumberFormat="1" applyFont="1" applyFill="1" applyBorder="1" applyAlignment="1">
      <alignment horizontal="left" vertical="center"/>
    </xf>
    <xf numFmtId="187" fontId="8" fillId="26" borderId="39" xfId="20" applyNumberFormat="1" applyFont="1" applyFill="1" applyBorder="1" applyAlignment="1">
      <alignment horizontal="left" vertical="center"/>
    </xf>
    <xf numFmtId="187" fontId="8" fillId="26" borderId="32" xfId="20" applyNumberFormat="1" applyFont="1" applyFill="1" applyBorder="1" applyAlignment="1">
      <alignment horizontal="left" vertical="center"/>
    </xf>
    <xf numFmtId="187" fontId="8" fillId="26" borderId="33" xfId="18" applyNumberFormat="1" applyFont="1" applyFill="1" applyBorder="1">
      <alignment vertical="center"/>
    </xf>
    <xf numFmtId="187" fontId="8" fillId="26" borderId="49" xfId="18" applyNumberFormat="1" applyFont="1" applyFill="1" applyBorder="1">
      <alignment vertical="center"/>
    </xf>
    <xf numFmtId="187" fontId="8" fillId="27" borderId="49" xfId="18" applyNumberFormat="1" applyFont="1" applyFill="1" applyBorder="1">
      <alignment vertical="center"/>
    </xf>
    <xf numFmtId="187" fontId="85" fillId="26" borderId="43" xfId="18" applyNumberFormat="1" applyFont="1" applyFill="1" applyBorder="1">
      <alignment vertical="center"/>
    </xf>
    <xf numFmtId="187" fontId="85" fillId="26" borderId="140" xfId="18" applyNumberFormat="1" applyFont="1" applyFill="1" applyBorder="1">
      <alignment vertical="center"/>
    </xf>
    <xf numFmtId="187" fontId="8" fillId="27" borderId="140" xfId="18" applyNumberFormat="1" applyFont="1" applyFill="1" applyBorder="1">
      <alignment vertical="center"/>
    </xf>
    <xf numFmtId="187" fontId="8" fillId="27" borderId="43" xfId="18" applyNumberFormat="1" applyFont="1" applyFill="1" applyBorder="1">
      <alignment vertical="center"/>
    </xf>
    <xf numFmtId="187" fontId="85" fillId="27" borderId="140" xfId="18" applyNumberFormat="1" applyFont="1" applyFill="1" applyBorder="1">
      <alignment vertical="center"/>
    </xf>
    <xf numFmtId="187" fontId="85" fillId="27" borderId="43" xfId="18" applyNumberFormat="1" applyFont="1" applyFill="1" applyBorder="1">
      <alignment vertical="center"/>
    </xf>
    <xf numFmtId="187" fontId="8" fillId="26" borderId="185" xfId="20" applyNumberFormat="1" applyFont="1" applyFill="1" applyBorder="1" applyAlignment="1">
      <alignment horizontal="left" vertical="center"/>
    </xf>
    <xf numFmtId="187" fontId="8" fillId="26" borderId="186" xfId="20" applyNumberFormat="1" applyFont="1" applyFill="1" applyBorder="1" applyAlignment="1">
      <alignment horizontal="left" vertical="center"/>
    </xf>
    <xf numFmtId="187" fontId="8" fillId="26" borderId="187" xfId="20" applyNumberFormat="1" applyFont="1" applyFill="1" applyBorder="1" applyAlignment="1">
      <alignment horizontal="left" vertical="center"/>
    </xf>
    <xf numFmtId="187" fontId="8" fillId="26" borderId="188" xfId="18" applyNumberFormat="1" applyFont="1" applyFill="1" applyBorder="1">
      <alignment vertical="center"/>
    </xf>
    <xf numFmtId="187" fontId="8" fillId="26" borderId="185" xfId="18" applyNumberFormat="1" applyFont="1" applyFill="1" applyBorder="1">
      <alignment vertical="center"/>
    </xf>
    <xf numFmtId="187" fontId="85" fillId="26" borderId="185" xfId="18" applyNumberFormat="1" applyFont="1" applyFill="1" applyBorder="1">
      <alignment vertical="center"/>
    </xf>
    <xf numFmtId="187" fontId="96" fillId="25" borderId="162" xfId="20" applyNumberFormat="1" applyFont="1" applyFill="1" applyBorder="1" applyAlignment="1">
      <alignment horizontal="left" vertical="center"/>
    </xf>
    <xf numFmtId="187" fontId="96" fillId="25" borderId="163" xfId="20" applyNumberFormat="1" applyFont="1" applyFill="1" applyBorder="1" applyAlignment="1">
      <alignment horizontal="left" vertical="center"/>
    </xf>
    <xf numFmtId="187" fontId="96" fillId="25" borderId="154" xfId="20" applyNumberFormat="1" applyFont="1" applyFill="1" applyBorder="1" applyAlignment="1">
      <alignment horizontal="left" vertical="center"/>
    </xf>
    <xf numFmtId="187" fontId="96" fillId="25" borderId="164" xfId="20" applyNumberFormat="1" applyFont="1" applyFill="1" applyBorder="1" applyAlignment="1">
      <alignment horizontal="left" vertical="center"/>
    </xf>
    <xf numFmtId="187" fontId="96" fillId="25" borderId="155" xfId="18" applyNumberFormat="1" applyFont="1" applyFill="1" applyBorder="1">
      <alignment vertical="center"/>
    </xf>
    <xf numFmtId="187" fontId="96" fillId="25" borderId="163" xfId="18" applyNumberFormat="1" applyFont="1" applyFill="1" applyBorder="1">
      <alignment vertical="center"/>
    </xf>
    <xf numFmtId="187" fontId="96" fillId="25" borderId="165" xfId="18" applyNumberFormat="1" applyFont="1" applyFill="1" applyBorder="1">
      <alignment vertical="center"/>
    </xf>
    <xf numFmtId="187" fontId="8" fillId="0" borderId="0" xfId="20" applyNumberFormat="1" applyFont="1">
      <alignment vertical="center"/>
    </xf>
    <xf numFmtId="187" fontId="8" fillId="0" borderId="0" xfId="18" applyNumberFormat="1" applyFont="1">
      <alignment vertical="center"/>
    </xf>
    <xf numFmtId="187" fontId="83" fillId="0" borderId="0" xfId="17" applyNumberFormat="1" applyFont="1" applyAlignment="1">
      <alignment horizontal="center" vertical="center"/>
    </xf>
    <xf numFmtId="41" fontId="83" fillId="0" borderId="0" xfId="1" applyFont="1">
      <alignment vertical="center"/>
    </xf>
    <xf numFmtId="41" fontId="83" fillId="0" borderId="0" xfId="1" applyFont="1" applyBorder="1">
      <alignment vertical="center"/>
    </xf>
    <xf numFmtId="41" fontId="83" fillId="0" borderId="0" xfId="1" quotePrefix="1" applyFont="1" applyBorder="1">
      <alignment vertical="center"/>
    </xf>
    <xf numFmtId="0" fontId="81" fillId="0" borderId="125" xfId="17" applyFont="1" applyBorder="1" applyAlignment="1">
      <alignment horizontal="center" vertical="center"/>
    </xf>
    <xf numFmtId="0" fontId="81" fillId="0" borderId="126" xfId="17" applyFont="1" applyBorder="1">
      <alignment vertical="center"/>
    </xf>
    <xf numFmtId="214" fontId="81" fillId="0" borderId="126" xfId="17" applyNumberFormat="1" applyFont="1" applyBorder="1">
      <alignment vertical="center"/>
    </xf>
    <xf numFmtId="214" fontId="81" fillId="0" borderId="127" xfId="17" applyNumberFormat="1" applyFont="1" applyBorder="1">
      <alignment vertical="center"/>
    </xf>
    <xf numFmtId="41" fontId="83" fillId="0" borderId="0" xfId="17" applyNumberFormat="1" applyFont="1">
      <alignment vertical="center"/>
    </xf>
    <xf numFmtId="0" fontId="83" fillId="0" borderId="123" xfId="17" applyFont="1" applyBorder="1" applyAlignment="1">
      <alignment horizontal="left" vertical="center"/>
    </xf>
    <xf numFmtId="0" fontId="83" fillId="0" borderId="0" xfId="17" applyFont="1" applyAlignment="1">
      <alignment horizontal="left" vertical="center"/>
    </xf>
    <xf numFmtId="41" fontId="83" fillId="0" borderId="123" xfId="1" applyFont="1" applyBorder="1">
      <alignment vertical="center"/>
    </xf>
    <xf numFmtId="41" fontId="8" fillId="0" borderId="0" xfId="1" applyFont="1" applyFill="1">
      <alignment vertical="center"/>
    </xf>
    <xf numFmtId="41" fontId="8" fillId="0" borderId="123" xfId="1" applyFont="1" applyFill="1" applyBorder="1">
      <alignment vertical="center"/>
    </xf>
    <xf numFmtId="0" fontId="83" fillId="0" borderId="126" xfId="17" applyFont="1" applyBorder="1" applyAlignment="1">
      <alignment horizontal="left" vertical="center"/>
    </xf>
    <xf numFmtId="0" fontId="8" fillId="0" borderId="126" xfId="17" applyFont="1" applyBorder="1">
      <alignment vertical="center"/>
    </xf>
    <xf numFmtId="41" fontId="28" fillId="0" borderId="0" xfId="0" applyNumberFormat="1" applyFont="1" applyAlignment="1">
      <alignment horizontal="right" vertical="center"/>
    </xf>
    <xf numFmtId="208" fontId="28" fillId="0" borderId="0" xfId="0" applyNumberFormat="1" applyFont="1">
      <alignment vertical="center"/>
    </xf>
    <xf numFmtId="41" fontId="28" fillId="0" borderId="0" xfId="1" applyFont="1">
      <alignment vertical="center"/>
    </xf>
    <xf numFmtId="188" fontId="44" fillId="14" borderId="95" xfId="0" applyNumberFormat="1" applyFont="1" applyFill="1" applyBorder="1" applyAlignment="1">
      <alignment horizontal="center" vertical="center" shrinkToFit="1"/>
    </xf>
    <xf numFmtId="188" fontId="44" fillId="14" borderId="51" xfId="0" applyNumberFormat="1" applyFont="1" applyFill="1" applyBorder="1" applyAlignment="1">
      <alignment horizontal="center" vertical="center" shrinkToFit="1"/>
    </xf>
    <xf numFmtId="188" fontId="44" fillId="14" borderId="96" xfId="0" applyNumberFormat="1" applyFont="1" applyFill="1" applyBorder="1" applyAlignment="1">
      <alignment horizontal="center" vertical="center" shrinkToFit="1"/>
    </xf>
    <xf numFmtId="41" fontId="51" fillId="0" borderId="18" xfId="0" applyNumberFormat="1" applyFont="1" applyBorder="1" applyAlignment="1">
      <alignment horizontal="left" vertical="center" indent="1"/>
    </xf>
    <xf numFmtId="185" fontId="28" fillId="0" borderId="18" xfId="0" applyNumberFormat="1" applyFont="1" applyBorder="1" applyAlignment="1">
      <alignment horizontal="center" vertical="center"/>
    </xf>
    <xf numFmtId="210" fontId="28" fillId="0" borderId="13" xfId="1" applyNumberFormat="1" applyFont="1" applyFill="1" applyBorder="1" applyAlignment="1">
      <alignment vertical="center"/>
    </xf>
    <xf numFmtId="181" fontId="28" fillId="0" borderId="56" xfId="1" applyNumberFormat="1" applyFont="1" applyFill="1" applyBorder="1" applyAlignment="1">
      <alignment vertical="center"/>
    </xf>
    <xf numFmtId="181" fontId="28" fillId="0" borderId="133" xfId="1" applyNumberFormat="1" applyFont="1" applyFill="1" applyBorder="1" applyAlignment="1">
      <alignment vertical="center"/>
    </xf>
    <xf numFmtId="210" fontId="28" fillId="0" borderId="13" xfId="1" applyNumberFormat="1" applyFont="1" applyBorder="1" applyAlignment="1">
      <alignment vertical="center"/>
    </xf>
    <xf numFmtId="181" fontId="28" fillId="22" borderId="56" xfId="1" applyNumberFormat="1" applyFont="1" applyFill="1" applyBorder="1" applyAlignment="1">
      <alignment vertical="center"/>
    </xf>
    <xf numFmtId="185" fontId="28" fillId="0" borderId="0" xfId="2" applyNumberFormat="1" applyFont="1" applyBorder="1" applyAlignment="1">
      <alignment horizontal="center" vertical="center"/>
    </xf>
    <xf numFmtId="41" fontId="28" fillId="0" borderId="18" xfId="1" applyFont="1" applyBorder="1" applyAlignment="1">
      <alignment horizontal="center" vertical="center"/>
    </xf>
    <xf numFmtId="185" fontId="28" fillId="0" borderId="18" xfId="2" applyNumberFormat="1" applyFont="1" applyFill="1" applyBorder="1" applyAlignment="1">
      <alignment horizontal="center" vertical="center"/>
    </xf>
    <xf numFmtId="0" fontId="28" fillId="0" borderId="34" xfId="0" applyFont="1" applyBorder="1" applyAlignment="1">
      <alignment horizontal="left" vertical="center" indent="1"/>
    </xf>
    <xf numFmtId="181" fontId="28" fillId="0" borderId="86" xfId="1" applyNumberFormat="1" applyFont="1" applyFill="1" applyBorder="1" applyAlignment="1">
      <alignment vertical="center"/>
    </xf>
    <xf numFmtId="181" fontId="28" fillId="0" borderId="144" xfId="1" applyNumberFormat="1" applyFont="1" applyFill="1" applyBorder="1" applyAlignment="1">
      <alignment vertical="center"/>
    </xf>
    <xf numFmtId="181" fontId="28" fillId="0" borderId="143" xfId="1" applyNumberFormat="1" applyFont="1" applyFill="1" applyBorder="1" applyAlignment="1">
      <alignment vertical="center"/>
    </xf>
    <xf numFmtId="41" fontId="28" fillId="0" borderId="18" xfId="1" applyFont="1" applyFill="1" applyBorder="1" applyAlignment="1">
      <alignment horizontal="left" vertical="center" indent="1"/>
    </xf>
    <xf numFmtId="0" fontId="28" fillId="0" borderId="123" xfId="0" applyFont="1" applyBorder="1" applyAlignment="1">
      <alignment horizontal="left" vertical="center" indent="1"/>
    </xf>
    <xf numFmtId="210" fontId="47" fillId="0" borderId="13" xfId="1" applyNumberFormat="1" applyFont="1" applyFill="1" applyBorder="1" applyAlignment="1">
      <alignment vertical="center"/>
    </xf>
    <xf numFmtId="0" fontId="28" fillId="0" borderId="125" xfId="0" applyFont="1" applyBorder="1" applyAlignment="1">
      <alignment horizontal="left" vertical="center"/>
    </xf>
    <xf numFmtId="185" fontId="28" fillId="0" borderId="126" xfId="2" applyNumberFormat="1" applyFont="1" applyBorder="1" applyAlignment="1">
      <alignment horizontal="center" vertical="center"/>
    </xf>
    <xf numFmtId="185" fontId="28" fillId="0" borderId="127" xfId="2" applyNumberFormat="1" applyFont="1" applyBorder="1" applyAlignment="1">
      <alignment horizontal="center" vertical="center"/>
    </xf>
    <xf numFmtId="185" fontId="28" fillId="0" borderId="127" xfId="2" applyNumberFormat="1" applyFont="1" applyFill="1" applyBorder="1" applyAlignment="1">
      <alignment horizontal="center" vertical="center"/>
    </xf>
    <xf numFmtId="210" fontId="28" fillId="0" borderId="122" xfId="1" applyNumberFormat="1" applyFont="1" applyBorder="1" applyAlignment="1">
      <alignment vertical="center"/>
    </xf>
    <xf numFmtId="181" fontId="28" fillId="0" borderId="95" xfId="1" applyNumberFormat="1" applyFont="1" applyFill="1" applyBorder="1" applyAlignment="1">
      <alignment vertical="center"/>
    </xf>
    <xf numFmtId="181" fontId="28" fillId="0" borderId="51" xfId="1" applyNumberFormat="1" applyFont="1" applyFill="1" applyBorder="1" applyAlignment="1">
      <alignment vertical="center"/>
    </xf>
    <xf numFmtId="181" fontId="28" fillId="0" borderId="96" xfId="1" applyNumberFormat="1" applyFont="1" applyFill="1" applyBorder="1" applyAlignment="1">
      <alignment vertical="center"/>
    </xf>
    <xf numFmtId="0" fontId="27" fillId="17" borderId="125" xfId="0" applyFont="1" applyFill="1" applyBorder="1" applyAlignment="1">
      <alignment horizontal="left" vertical="center"/>
    </xf>
    <xf numFmtId="0" fontId="28" fillId="0" borderId="23" xfId="0" applyFont="1" applyBorder="1" applyAlignment="1">
      <alignment horizontal="left" vertical="center" indent="1"/>
    </xf>
    <xf numFmtId="41" fontId="28" fillId="0" borderId="23" xfId="0" applyNumberFormat="1" applyFont="1" applyBorder="1" applyAlignment="1">
      <alignment horizontal="left" vertical="center" indent="1"/>
    </xf>
    <xf numFmtId="0" fontId="28" fillId="0" borderId="129" xfId="0" applyFont="1" applyBorder="1" applyAlignment="1">
      <alignment horizontal="left" vertical="center" indent="1"/>
    </xf>
    <xf numFmtId="41" fontId="47" fillId="22" borderId="33" xfId="1" applyFont="1" applyFill="1" applyBorder="1" applyAlignment="1">
      <alignment vertical="center"/>
    </xf>
    <xf numFmtId="41" fontId="28" fillId="0" borderId="0" xfId="0" applyNumberFormat="1" applyFont="1" applyAlignment="1">
      <alignment horizontal="left" vertical="center" indent="1"/>
    </xf>
    <xf numFmtId="0" fontId="28" fillId="0" borderId="18" xfId="0" applyFont="1" applyBorder="1" applyAlignment="1">
      <alignment horizontal="left" vertical="center" indent="1"/>
    </xf>
    <xf numFmtId="41" fontId="28" fillId="0" borderId="18" xfId="0" applyNumberFormat="1" applyFont="1" applyBorder="1" applyAlignment="1">
      <alignment horizontal="left" vertical="center" indent="1"/>
    </xf>
    <xf numFmtId="185" fontId="28" fillId="0" borderId="123" xfId="2" applyNumberFormat="1" applyFont="1" applyBorder="1" applyAlignment="1">
      <alignment horizontal="center" vertical="center"/>
    </xf>
    <xf numFmtId="41" fontId="28" fillId="0" borderId="136" xfId="0" applyNumberFormat="1" applyFont="1" applyBorder="1" applyAlignment="1">
      <alignment horizontal="left" vertical="center" indent="1"/>
    </xf>
    <xf numFmtId="0" fontId="28" fillId="0" borderId="127" xfId="0" applyFont="1" applyBorder="1" applyAlignment="1">
      <alignment horizontal="left" vertical="center" indent="1"/>
    </xf>
    <xf numFmtId="0" fontId="28" fillId="0" borderId="123" xfId="0" applyFont="1" applyBorder="1" applyAlignment="1">
      <alignment horizontal="left" vertical="center"/>
    </xf>
    <xf numFmtId="0" fontId="28" fillId="0" borderId="126" xfId="0" applyFont="1" applyBorder="1" applyAlignment="1">
      <alignment horizontal="left" vertical="center" indent="1"/>
    </xf>
    <xf numFmtId="41" fontId="28" fillId="0" borderId="126" xfId="1" applyFont="1" applyFill="1" applyBorder="1" applyAlignment="1">
      <alignment vertical="center"/>
    </xf>
    <xf numFmtId="198" fontId="28" fillId="7" borderId="129" xfId="1" applyNumberFormat="1" applyFont="1" applyFill="1" applyBorder="1" applyAlignment="1">
      <alignment horizontal="center" vertical="center"/>
    </xf>
    <xf numFmtId="198" fontId="28" fillId="7" borderId="139" xfId="1" applyNumberFormat="1" applyFont="1" applyFill="1" applyBorder="1" applyAlignment="1">
      <alignment horizontal="center" vertical="center"/>
    </xf>
    <xf numFmtId="198" fontId="28" fillId="0" borderId="139" xfId="1" applyNumberFormat="1" applyFont="1" applyFill="1" applyBorder="1" applyAlignment="1">
      <alignment horizontal="center" vertical="center"/>
    </xf>
    <xf numFmtId="0" fontId="28" fillId="0" borderId="139" xfId="0" applyFont="1" applyBorder="1" applyAlignment="1">
      <alignment horizontal="center" vertical="center"/>
    </xf>
    <xf numFmtId="200" fontId="28" fillId="0" borderId="18" xfId="0" applyNumberFormat="1" applyFont="1" applyBorder="1">
      <alignment vertical="center"/>
    </xf>
    <xf numFmtId="200" fontId="28" fillId="0" borderId="13" xfId="0" applyNumberFormat="1" applyFont="1" applyBorder="1">
      <alignment vertical="center"/>
    </xf>
    <xf numFmtId="200" fontId="47" fillId="0" borderId="13" xfId="1" applyNumberFormat="1" applyFont="1" applyBorder="1">
      <alignment vertical="center"/>
    </xf>
    <xf numFmtId="200" fontId="28" fillId="0" borderId="136" xfId="0" applyNumberFormat="1" applyFont="1" applyBorder="1">
      <alignment vertical="center"/>
    </xf>
    <xf numFmtId="200" fontId="28" fillId="0" borderId="134" xfId="0" applyNumberFormat="1" applyFont="1" applyBorder="1">
      <alignment vertical="center"/>
    </xf>
    <xf numFmtId="208" fontId="28" fillId="8" borderId="134" xfId="1" applyNumberFormat="1" applyFont="1" applyFill="1" applyBorder="1">
      <alignment vertical="center"/>
    </xf>
    <xf numFmtId="200" fontId="28" fillId="8" borderId="134" xfId="1" applyNumberFormat="1" applyFont="1" applyFill="1" applyBorder="1">
      <alignment vertical="center"/>
    </xf>
    <xf numFmtId="200" fontId="28" fillId="0" borderId="134" xfId="1" applyNumberFormat="1" applyFont="1" applyBorder="1" applyAlignment="1">
      <alignment horizontal="right" vertical="center"/>
    </xf>
    <xf numFmtId="200" fontId="47" fillId="0" borderId="134" xfId="1" applyNumberFormat="1" applyFont="1" applyBorder="1">
      <alignment vertical="center"/>
    </xf>
    <xf numFmtId="200" fontId="28" fillId="0" borderId="134" xfId="1" applyNumberFormat="1" applyFont="1" applyBorder="1">
      <alignment vertical="center"/>
    </xf>
    <xf numFmtId="198" fontId="28" fillId="0" borderId="0" xfId="1" applyNumberFormat="1" applyFont="1">
      <alignment vertical="center"/>
    </xf>
    <xf numFmtId="179" fontId="28" fillId="0" borderId="0" xfId="0" applyNumberFormat="1" applyFont="1">
      <alignment vertical="center"/>
    </xf>
    <xf numFmtId="0" fontId="28" fillId="0" borderId="0" xfId="1" applyNumberFormat="1" applyFont="1" applyFill="1" applyAlignment="1">
      <alignment horizontal="center" vertical="center"/>
    </xf>
    <xf numFmtId="179" fontId="28" fillId="0" borderId="0" xfId="1" applyNumberFormat="1" applyFont="1" applyFill="1" applyAlignment="1">
      <alignment vertical="center"/>
    </xf>
    <xf numFmtId="0" fontId="28" fillId="0" borderId="23" xfId="0" applyFont="1" applyBorder="1" applyAlignment="1">
      <alignment horizontal="left" vertical="center"/>
    </xf>
    <xf numFmtId="210" fontId="28" fillId="0" borderId="139" xfId="1" applyNumberFormat="1" applyFont="1" applyBorder="1" applyAlignment="1">
      <alignment vertical="center"/>
    </xf>
    <xf numFmtId="210" fontId="99" fillId="22" borderId="130" xfId="1" applyNumberFormat="1" applyFont="1" applyFill="1" applyBorder="1" applyAlignment="1">
      <alignment vertical="center"/>
    </xf>
    <xf numFmtId="210" fontId="99" fillId="22" borderId="131" xfId="1" applyNumberFormat="1" applyFont="1" applyFill="1" applyBorder="1" applyAlignment="1">
      <alignment vertical="center"/>
    </xf>
    <xf numFmtId="210" fontId="99" fillId="22" borderId="132" xfId="1" applyNumberFormat="1" applyFont="1" applyFill="1" applyBorder="1" applyAlignment="1">
      <alignment vertical="center"/>
    </xf>
    <xf numFmtId="210" fontId="28" fillId="0" borderId="130" xfId="1" applyNumberFormat="1" applyFont="1" applyFill="1" applyBorder="1" applyAlignment="1">
      <alignment vertical="center"/>
    </xf>
    <xf numFmtId="210" fontId="28" fillId="0" borderId="131" xfId="1" applyNumberFormat="1" applyFont="1" applyFill="1" applyBorder="1" applyAlignment="1">
      <alignment vertical="center"/>
    </xf>
    <xf numFmtId="210" fontId="28" fillId="0" borderId="132" xfId="1" applyNumberFormat="1" applyFont="1" applyFill="1" applyBorder="1" applyAlignment="1">
      <alignment vertical="center"/>
    </xf>
    <xf numFmtId="210" fontId="28" fillId="0" borderId="33" xfId="1" applyNumberFormat="1" applyFont="1" applyBorder="1" applyAlignment="1">
      <alignment vertical="center"/>
    </xf>
    <xf numFmtId="210" fontId="99" fillId="22" borderId="141" xfId="1" applyNumberFormat="1" applyFont="1" applyFill="1" applyBorder="1" applyAlignment="1">
      <alignment vertical="center"/>
    </xf>
    <xf numFmtId="210" fontId="99" fillId="22" borderId="53" xfId="1" applyNumberFormat="1" applyFont="1" applyFill="1" applyBorder="1" applyAlignment="1">
      <alignment vertical="center"/>
    </xf>
    <xf numFmtId="210" fontId="99" fillId="22" borderId="142" xfId="1" applyNumberFormat="1" applyFont="1" applyFill="1" applyBorder="1" applyAlignment="1">
      <alignment vertical="center"/>
    </xf>
    <xf numFmtId="210" fontId="28" fillId="0" borderId="141" xfId="1" applyNumberFormat="1" applyFont="1" applyFill="1" applyBorder="1" applyAlignment="1">
      <alignment vertical="center"/>
    </xf>
    <xf numFmtId="210" fontId="28" fillId="0" borderId="53" xfId="1" applyNumberFormat="1" applyFont="1" applyFill="1" applyBorder="1" applyAlignment="1">
      <alignment vertical="center"/>
    </xf>
    <xf numFmtId="210" fontId="28" fillId="0" borderId="142" xfId="1" applyNumberFormat="1" applyFont="1" applyFill="1" applyBorder="1" applyAlignment="1">
      <alignment vertical="center"/>
    </xf>
    <xf numFmtId="0" fontId="28" fillId="0" borderId="34" xfId="0" applyFont="1" applyBorder="1" applyAlignment="1">
      <alignment horizontal="left" vertical="center"/>
    </xf>
    <xf numFmtId="41" fontId="99" fillId="22" borderId="57" xfId="1" applyFont="1" applyFill="1" applyBorder="1" applyAlignment="1">
      <alignment vertical="center"/>
    </xf>
    <xf numFmtId="210" fontId="99" fillId="22" borderId="56" xfId="1" applyNumberFormat="1" applyFont="1" applyFill="1" applyBorder="1" applyAlignment="1">
      <alignment vertical="center"/>
    </xf>
    <xf numFmtId="210" fontId="99" fillId="22" borderId="133" xfId="1" applyNumberFormat="1" applyFont="1" applyFill="1" applyBorder="1" applyAlignment="1">
      <alignment vertical="center"/>
    </xf>
    <xf numFmtId="210" fontId="99" fillId="22" borderId="57" xfId="1" applyNumberFormat="1" applyFont="1" applyFill="1" applyBorder="1" applyAlignment="1">
      <alignment vertical="center"/>
    </xf>
    <xf numFmtId="210" fontId="28" fillId="0" borderId="57" xfId="1" applyNumberFormat="1" applyFont="1" applyFill="1" applyBorder="1" applyAlignment="1">
      <alignment vertical="center"/>
    </xf>
    <xf numFmtId="210" fontId="28" fillId="0" borderId="56" xfId="1" applyNumberFormat="1" applyFont="1" applyFill="1" applyBorder="1" applyAlignment="1">
      <alignment vertical="center"/>
    </xf>
    <xf numFmtId="210" fontId="28" fillId="0" borderId="133" xfId="1" applyNumberFormat="1" applyFont="1" applyFill="1" applyBorder="1" applyAlignment="1">
      <alignment vertical="center"/>
    </xf>
    <xf numFmtId="0" fontId="28" fillId="0" borderId="189" xfId="0" applyFont="1" applyBorder="1" applyAlignment="1">
      <alignment horizontal="left" vertical="center"/>
    </xf>
    <xf numFmtId="210" fontId="28" fillId="0" borderId="134" xfId="1" applyNumberFormat="1" applyFont="1" applyBorder="1" applyAlignment="1">
      <alignment vertical="center"/>
    </xf>
    <xf numFmtId="210" fontId="99" fillId="22" borderId="137" xfId="1" applyNumberFormat="1" applyFont="1" applyFill="1" applyBorder="1" applyAlignment="1">
      <alignment vertical="center"/>
    </xf>
    <xf numFmtId="210" fontId="99" fillId="22" borderId="55" xfId="1" applyNumberFormat="1" applyFont="1" applyFill="1" applyBorder="1" applyAlignment="1">
      <alignment vertical="center"/>
    </xf>
    <xf numFmtId="210" fontId="99" fillId="22" borderId="138" xfId="1" applyNumberFormat="1" applyFont="1" applyFill="1" applyBorder="1" applyAlignment="1">
      <alignment vertical="center"/>
    </xf>
    <xf numFmtId="210" fontId="28" fillId="0" borderId="137" xfId="1" applyNumberFormat="1" applyFont="1" applyFill="1" applyBorder="1" applyAlignment="1">
      <alignment vertical="center"/>
    </xf>
    <xf numFmtId="210" fontId="28" fillId="0" borderId="55" xfId="1" applyNumberFormat="1" applyFont="1" applyFill="1" applyBorder="1" applyAlignment="1">
      <alignment vertical="center"/>
    </xf>
    <xf numFmtId="210" fontId="28" fillId="0" borderId="138" xfId="1" applyNumberFormat="1" applyFont="1" applyFill="1" applyBorder="1" applyAlignment="1">
      <alignment vertical="center"/>
    </xf>
    <xf numFmtId="41" fontId="99" fillId="22" borderId="56" xfId="1" applyFont="1" applyFill="1" applyBorder="1" applyAlignment="1">
      <alignment vertical="center"/>
    </xf>
    <xf numFmtId="41" fontId="99" fillId="22" borderId="133" xfId="1" applyFont="1" applyFill="1" applyBorder="1" applyAlignment="1">
      <alignment vertical="center"/>
    </xf>
    <xf numFmtId="209" fontId="99" fillId="22" borderId="137" xfId="1" applyNumberFormat="1" applyFont="1" applyFill="1" applyBorder="1" applyAlignment="1">
      <alignment vertical="center"/>
    </xf>
    <xf numFmtId="209" fontId="99" fillId="22" borderId="55" xfId="1" applyNumberFormat="1" applyFont="1" applyFill="1" applyBorder="1" applyAlignment="1">
      <alignment vertical="center"/>
    </xf>
    <xf numFmtId="209" fontId="99" fillId="22" borderId="138" xfId="1" applyNumberFormat="1" applyFont="1" applyFill="1" applyBorder="1" applyAlignment="1">
      <alignment vertical="center"/>
    </xf>
    <xf numFmtId="209" fontId="28" fillId="0" borderId="137" xfId="1" applyNumberFormat="1" applyFont="1" applyFill="1" applyBorder="1" applyAlignment="1">
      <alignment vertical="center"/>
    </xf>
    <xf numFmtId="209" fontId="28" fillId="0" borderId="55" xfId="1" applyNumberFormat="1" applyFont="1" applyFill="1" applyBorder="1" applyAlignment="1">
      <alignment vertical="center"/>
    </xf>
    <xf numFmtId="209" fontId="28" fillId="0" borderId="138" xfId="1" applyNumberFormat="1" applyFont="1" applyFill="1" applyBorder="1" applyAlignment="1">
      <alignment vertical="center"/>
    </xf>
    <xf numFmtId="41" fontId="28" fillId="0" borderId="31" xfId="0" applyNumberFormat="1" applyFont="1" applyBorder="1" applyAlignment="1">
      <alignment horizontal="left" vertical="center"/>
    </xf>
    <xf numFmtId="209" fontId="99" fillId="22" borderId="57" xfId="1" applyNumberFormat="1" applyFont="1" applyFill="1" applyBorder="1" applyAlignment="1">
      <alignment vertical="center"/>
    </xf>
    <xf numFmtId="209" fontId="99" fillId="22" borderId="56" xfId="1" applyNumberFormat="1" applyFont="1" applyFill="1" applyBorder="1" applyAlignment="1">
      <alignment vertical="center"/>
    </xf>
    <xf numFmtId="209" fontId="99" fillId="22" borderId="133" xfId="1" applyNumberFormat="1" applyFont="1" applyFill="1" applyBorder="1" applyAlignment="1">
      <alignment vertical="center"/>
    </xf>
    <xf numFmtId="209" fontId="28" fillId="0" borderId="57" xfId="1" applyNumberFormat="1" applyFont="1" applyFill="1" applyBorder="1" applyAlignment="1">
      <alignment vertical="center"/>
    </xf>
    <xf numFmtId="209" fontId="28" fillId="0" borderId="56" xfId="1" applyNumberFormat="1" applyFont="1" applyFill="1" applyBorder="1" applyAlignment="1">
      <alignment vertical="center"/>
    </xf>
    <xf numFmtId="209" fontId="28" fillId="0" borderId="133" xfId="1" applyNumberFormat="1" applyFont="1" applyFill="1" applyBorder="1" applyAlignment="1">
      <alignment vertical="center"/>
    </xf>
    <xf numFmtId="0" fontId="28" fillId="7" borderId="12" xfId="0" applyFont="1" applyFill="1" applyBorder="1">
      <alignment vertical="center"/>
    </xf>
    <xf numFmtId="0" fontId="28" fillId="7" borderId="189" xfId="0" applyFont="1" applyFill="1" applyBorder="1" applyAlignment="1">
      <alignment horizontal="left" vertical="center"/>
    </xf>
    <xf numFmtId="179" fontId="28" fillId="7" borderId="136" xfId="1" applyNumberFormat="1" applyFont="1" applyFill="1" applyBorder="1" applyAlignment="1">
      <alignment vertical="center"/>
    </xf>
    <xf numFmtId="210" fontId="28" fillId="7" borderId="134" xfId="1" applyNumberFormat="1" applyFont="1" applyFill="1" applyBorder="1" applyAlignment="1">
      <alignment vertical="center"/>
    </xf>
    <xf numFmtId="210" fontId="28" fillId="7" borderId="137" xfId="1" applyNumberFormat="1" applyFont="1" applyFill="1" applyBorder="1" applyAlignment="1">
      <alignment vertical="center"/>
    </xf>
    <xf numFmtId="210" fontId="28" fillId="7" borderId="55" xfId="1" applyNumberFormat="1" applyFont="1" applyFill="1" applyBorder="1" applyAlignment="1">
      <alignment vertical="center"/>
    </xf>
    <xf numFmtId="210" fontId="28" fillId="7" borderId="138" xfId="1" applyNumberFormat="1" applyFont="1" applyFill="1" applyBorder="1" applyAlignment="1">
      <alignment vertical="center"/>
    </xf>
    <xf numFmtId="210" fontId="99" fillId="22" borderId="95" xfId="1" applyNumberFormat="1" applyFont="1" applyFill="1" applyBorder="1" applyAlignment="1">
      <alignment vertical="center"/>
    </xf>
    <xf numFmtId="210" fontId="99" fillId="22" borderId="51" xfId="1" applyNumberFormat="1" applyFont="1" applyFill="1" applyBorder="1" applyAlignment="1">
      <alignment vertical="center"/>
    </xf>
    <xf numFmtId="210" fontId="99" fillId="22" borderId="96" xfId="1" applyNumberFormat="1" applyFont="1" applyFill="1" applyBorder="1" applyAlignment="1">
      <alignment vertical="center"/>
    </xf>
    <xf numFmtId="210" fontId="28" fillId="0" borderId="95" xfId="1" applyNumberFormat="1" applyFont="1" applyFill="1" applyBorder="1" applyAlignment="1">
      <alignment vertical="center"/>
    </xf>
    <xf numFmtId="210" fontId="28" fillId="0" borderId="51" xfId="1" applyNumberFormat="1" applyFont="1" applyFill="1" applyBorder="1" applyAlignment="1">
      <alignment vertical="center"/>
    </xf>
    <xf numFmtId="210" fontId="28" fillId="0" borderId="96" xfId="1" applyNumberFormat="1" applyFont="1" applyFill="1" applyBorder="1" applyAlignment="1">
      <alignment vertical="center"/>
    </xf>
    <xf numFmtId="41" fontId="99" fillId="22" borderId="141" xfId="1" applyFont="1" applyFill="1" applyBorder="1" applyAlignment="1">
      <alignment vertical="center"/>
    </xf>
    <xf numFmtId="41" fontId="99" fillId="22" borderId="53" xfId="1" applyFont="1" applyFill="1" applyBorder="1" applyAlignment="1">
      <alignment vertical="center"/>
    </xf>
    <xf numFmtId="41" fontId="99" fillId="22" borderId="142" xfId="1" applyFont="1" applyFill="1" applyBorder="1" applyAlignment="1">
      <alignment vertical="center"/>
    </xf>
    <xf numFmtId="41" fontId="28" fillId="0" borderId="141" xfId="1" applyFont="1" applyFill="1" applyBorder="1" applyAlignment="1">
      <alignment vertical="center"/>
    </xf>
    <xf numFmtId="41" fontId="28" fillId="0" borderId="53" xfId="1" applyFont="1" applyFill="1" applyBorder="1" applyAlignment="1">
      <alignment vertical="center"/>
    </xf>
    <xf numFmtId="41" fontId="28" fillId="0" borderId="142" xfId="1" applyFont="1" applyFill="1" applyBorder="1" applyAlignment="1">
      <alignment vertical="center"/>
    </xf>
    <xf numFmtId="0" fontId="28" fillId="0" borderId="97" xfId="0" applyFont="1" applyBorder="1" applyAlignment="1">
      <alignment horizontal="distributed" vertical="center"/>
    </xf>
    <xf numFmtId="41" fontId="99" fillId="22" borderId="99" xfId="1" applyFont="1" applyFill="1" applyBorder="1" applyAlignment="1">
      <alignment vertical="center"/>
    </xf>
    <xf numFmtId="41" fontId="99" fillId="22" borderId="100" xfId="1" applyFont="1" applyFill="1" applyBorder="1" applyAlignment="1">
      <alignment vertical="center"/>
    </xf>
    <xf numFmtId="41" fontId="99" fillId="22" borderId="101" xfId="1" applyFont="1" applyFill="1" applyBorder="1" applyAlignment="1">
      <alignment vertical="center"/>
    </xf>
    <xf numFmtId="41" fontId="28" fillId="0" borderId="99" xfId="1" applyFont="1" applyFill="1" applyBorder="1" applyAlignment="1">
      <alignment vertical="center"/>
    </xf>
    <xf numFmtId="41" fontId="28" fillId="0" borderId="100" xfId="1" applyFont="1" applyFill="1" applyBorder="1" applyAlignment="1">
      <alignment vertical="center"/>
    </xf>
    <xf numFmtId="41" fontId="28" fillId="0" borderId="101" xfId="1" applyFont="1" applyFill="1" applyBorder="1" applyAlignment="1">
      <alignment vertical="center"/>
    </xf>
    <xf numFmtId="179" fontId="28" fillId="0" borderId="127" xfId="1" applyNumberFormat="1" applyFont="1" applyFill="1" applyBorder="1" applyAlignment="1">
      <alignment vertical="center"/>
    </xf>
    <xf numFmtId="41" fontId="99" fillId="22" borderId="95" xfId="1" applyFont="1" applyFill="1" applyBorder="1" applyAlignment="1">
      <alignment vertical="center"/>
    </xf>
    <xf numFmtId="41" fontId="99" fillId="22" borderId="51" xfId="1" applyFont="1" applyFill="1" applyBorder="1" applyAlignment="1">
      <alignment vertical="center"/>
    </xf>
    <xf numFmtId="41" fontId="99" fillId="22" borderId="96" xfId="1" applyFont="1" applyFill="1" applyBorder="1" applyAlignment="1">
      <alignment vertical="center"/>
    </xf>
    <xf numFmtId="209" fontId="28" fillId="0" borderId="130" xfId="1" applyNumberFormat="1" applyFont="1" applyFill="1" applyBorder="1" applyAlignment="1">
      <alignment vertical="center"/>
    </xf>
    <xf numFmtId="209" fontId="28" fillId="0" borderId="131" xfId="1" applyNumberFormat="1" applyFont="1" applyFill="1" applyBorder="1" applyAlignment="1">
      <alignment vertical="center"/>
    </xf>
    <xf numFmtId="209" fontId="28" fillId="0" borderId="132" xfId="1" applyNumberFormat="1" applyFont="1" applyFill="1" applyBorder="1" applyAlignment="1">
      <alignment vertical="center"/>
    </xf>
    <xf numFmtId="41" fontId="47" fillId="0" borderId="141" xfId="1" applyFont="1" applyFill="1" applyBorder="1" applyAlignment="1">
      <alignment vertical="center"/>
    </xf>
    <xf numFmtId="41" fontId="47" fillId="0" borderId="53" xfId="1" applyFont="1" applyFill="1" applyBorder="1" applyAlignment="1">
      <alignment vertical="center"/>
    </xf>
    <xf numFmtId="41" fontId="47" fillId="0" borderId="142" xfId="1" applyFont="1" applyFill="1" applyBorder="1" applyAlignment="1">
      <alignment vertical="center"/>
    </xf>
    <xf numFmtId="0" fontId="28" fillId="0" borderId="35" xfId="0" applyFont="1" applyBorder="1" applyAlignment="1">
      <alignment horizontal="left" vertical="center"/>
    </xf>
    <xf numFmtId="179" fontId="28" fillId="0" borderId="36" xfId="1" applyNumberFormat="1" applyFont="1" applyBorder="1" applyAlignment="1">
      <alignment vertical="center"/>
    </xf>
    <xf numFmtId="41" fontId="28" fillId="0" borderId="38" xfId="1" applyFont="1" applyBorder="1" applyAlignment="1">
      <alignment vertical="center"/>
    </xf>
    <xf numFmtId="41" fontId="99" fillId="22" borderId="190" xfId="1" applyFont="1" applyFill="1" applyBorder="1" applyAlignment="1">
      <alignment vertical="center"/>
    </xf>
    <xf numFmtId="41" fontId="99" fillId="22" borderId="191" xfId="1" applyFont="1" applyFill="1" applyBorder="1" applyAlignment="1">
      <alignment vertical="center"/>
    </xf>
    <xf numFmtId="41" fontId="99" fillId="22" borderId="192" xfId="1" applyFont="1" applyFill="1" applyBorder="1" applyAlignment="1">
      <alignment vertical="center"/>
    </xf>
    <xf numFmtId="41" fontId="28" fillId="0" borderId="190" xfId="1" applyFont="1" applyFill="1" applyBorder="1" applyAlignment="1">
      <alignment vertical="center"/>
    </xf>
    <xf numFmtId="41" fontId="28" fillId="0" borderId="191" xfId="1" applyFont="1" applyFill="1" applyBorder="1" applyAlignment="1">
      <alignment vertical="center"/>
    </xf>
    <xf numFmtId="41" fontId="28" fillId="0" borderId="192" xfId="1" applyFont="1" applyFill="1" applyBorder="1" applyAlignment="1">
      <alignment vertical="center"/>
    </xf>
    <xf numFmtId="0" fontId="28" fillId="0" borderId="34" xfId="0" applyFont="1" applyBorder="1" applyAlignment="1">
      <alignment horizontal="distributed" vertical="center"/>
    </xf>
    <xf numFmtId="0" fontId="28" fillId="0" borderId="35" xfId="0" applyFont="1" applyBorder="1" applyAlignment="1">
      <alignment horizontal="distributed" vertical="center"/>
    </xf>
    <xf numFmtId="179" fontId="28" fillId="0" borderId="36" xfId="1" applyNumberFormat="1" applyFont="1" applyFill="1" applyBorder="1" applyAlignment="1">
      <alignment vertical="center"/>
    </xf>
    <xf numFmtId="41" fontId="28" fillId="0" borderId="38" xfId="1" applyFont="1" applyFill="1" applyBorder="1" applyAlignment="1">
      <alignment vertical="center"/>
    </xf>
    <xf numFmtId="41" fontId="99" fillId="22" borderId="137" xfId="1" applyFont="1" applyFill="1" applyBorder="1" applyAlignment="1">
      <alignment vertical="center"/>
    </xf>
    <xf numFmtId="41" fontId="99" fillId="22" borderId="55" xfId="1" applyFont="1" applyFill="1" applyBorder="1" applyAlignment="1">
      <alignment vertical="center"/>
    </xf>
    <xf numFmtId="41" fontId="99" fillId="22" borderId="138" xfId="1" applyFont="1" applyFill="1" applyBorder="1" applyAlignment="1">
      <alignment vertical="center"/>
    </xf>
    <xf numFmtId="210" fontId="28" fillId="0" borderId="0" xfId="0" applyNumberFormat="1" applyFont="1">
      <alignment vertical="center"/>
    </xf>
    <xf numFmtId="41" fontId="28" fillId="0" borderId="23" xfId="0" applyNumberFormat="1" applyFont="1" applyBorder="1" applyAlignment="1">
      <alignment horizontal="left" vertical="center"/>
    </xf>
    <xf numFmtId="179" fontId="28" fillId="0" borderId="129" xfId="1" applyNumberFormat="1" applyFont="1" applyFill="1" applyBorder="1" applyAlignment="1">
      <alignment horizontal="left" vertical="center"/>
    </xf>
    <xf numFmtId="41" fontId="28" fillId="0" borderId="139" xfId="1" applyFont="1" applyFill="1" applyBorder="1" applyAlignment="1">
      <alignment vertical="center"/>
    </xf>
    <xf numFmtId="41" fontId="99" fillId="22" borderId="130" xfId="1" applyFont="1" applyFill="1" applyBorder="1" applyAlignment="1">
      <alignment vertical="center"/>
    </xf>
    <xf numFmtId="41" fontId="99" fillId="22" borderId="131" xfId="1" applyFont="1" applyFill="1" applyBorder="1" applyAlignment="1">
      <alignment vertical="center"/>
    </xf>
    <xf numFmtId="41" fontId="99" fillId="22" borderId="132" xfId="1" applyFont="1" applyFill="1" applyBorder="1" applyAlignment="1">
      <alignment vertical="center"/>
    </xf>
    <xf numFmtId="0" fontId="28" fillId="0" borderId="37" xfId="0" applyFont="1" applyBorder="1" applyAlignment="1">
      <alignment horizontal="left" vertical="center"/>
    </xf>
    <xf numFmtId="0" fontId="28" fillId="0" borderId="87" xfId="0" applyFont="1" applyBorder="1">
      <alignment vertical="center"/>
    </xf>
    <xf numFmtId="41" fontId="28" fillId="22" borderId="99" xfId="1" applyFont="1" applyFill="1" applyBorder="1" applyAlignment="1">
      <alignment vertical="center"/>
    </xf>
    <xf numFmtId="41" fontId="28" fillId="22" borderId="100" xfId="1" applyFont="1" applyFill="1" applyBorder="1" applyAlignment="1">
      <alignment vertical="center"/>
    </xf>
    <xf numFmtId="41" fontId="28" fillId="22" borderId="101" xfId="1" applyFont="1" applyFill="1" applyBorder="1" applyAlignment="1">
      <alignment vertical="center"/>
    </xf>
    <xf numFmtId="181" fontId="99" fillId="22" borderId="130" xfId="1" applyNumberFormat="1" applyFont="1" applyFill="1" applyBorder="1" applyAlignment="1">
      <alignment vertical="center"/>
    </xf>
    <xf numFmtId="181" fontId="99" fillId="22" borderId="131" xfId="1" applyNumberFormat="1" applyFont="1" applyFill="1" applyBorder="1" applyAlignment="1">
      <alignment vertical="center"/>
    </xf>
    <xf numFmtId="181" fontId="99" fillId="22" borderId="132" xfId="1" applyNumberFormat="1" applyFont="1" applyFill="1" applyBorder="1" applyAlignment="1">
      <alignment vertical="center"/>
    </xf>
    <xf numFmtId="199" fontId="28" fillId="0" borderId="130" xfId="1" applyNumberFormat="1" applyFont="1" applyFill="1" applyBorder="1" applyAlignment="1">
      <alignment vertical="center"/>
    </xf>
    <xf numFmtId="199" fontId="28" fillId="0" borderId="131" xfId="1" applyNumberFormat="1" applyFont="1" applyFill="1" applyBorder="1" applyAlignment="1">
      <alignment vertical="center"/>
    </xf>
    <xf numFmtId="199" fontId="28" fillId="0" borderId="132" xfId="1" applyNumberFormat="1" applyFont="1" applyFill="1" applyBorder="1" applyAlignment="1">
      <alignment vertical="center"/>
    </xf>
    <xf numFmtId="181" fontId="99" fillId="22" borderId="137" xfId="1" applyNumberFormat="1" applyFont="1" applyFill="1" applyBorder="1" applyAlignment="1">
      <alignment vertical="center"/>
    </xf>
    <xf numFmtId="181" fontId="99" fillId="22" borderId="55" xfId="1" applyNumberFormat="1" applyFont="1" applyFill="1" applyBorder="1" applyAlignment="1">
      <alignment vertical="center"/>
    </xf>
    <xf numFmtId="181" fontId="99" fillId="22" borderId="138" xfId="1" applyNumberFormat="1" applyFont="1" applyFill="1" applyBorder="1" applyAlignment="1">
      <alignment vertical="center"/>
    </xf>
    <xf numFmtId="181" fontId="28" fillId="0" borderId="138" xfId="1" applyNumberFormat="1" applyFont="1" applyFill="1" applyBorder="1" applyAlignment="1">
      <alignment vertical="center"/>
    </xf>
    <xf numFmtId="199" fontId="28" fillId="0" borderId="137" xfId="1" applyNumberFormat="1" applyFont="1" applyFill="1" applyBorder="1" applyAlignment="1">
      <alignment vertical="center"/>
    </xf>
    <xf numFmtId="199" fontId="28" fillId="0" borderId="55" xfId="1" applyNumberFormat="1" applyFont="1" applyFill="1" applyBorder="1" applyAlignment="1">
      <alignment vertical="center"/>
    </xf>
    <xf numFmtId="199" fontId="28" fillId="0" borderId="138" xfId="1" applyNumberFormat="1" applyFont="1" applyFill="1" applyBorder="1" applyAlignment="1">
      <alignment vertical="center"/>
    </xf>
    <xf numFmtId="181" fontId="99" fillId="22" borderId="95" xfId="1" applyNumberFormat="1" applyFont="1" applyFill="1" applyBorder="1" applyAlignment="1">
      <alignment vertical="center"/>
    </xf>
    <xf numFmtId="181" fontId="99" fillId="22" borderId="51" xfId="1" applyNumberFormat="1" applyFont="1" applyFill="1" applyBorder="1" applyAlignment="1">
      <alignment vertical="center"/>
    </xf>
    <xf numFmtId="181" fontId="99" fillId="22" borderId="96" xfId="1" applyNumberFormat="1" applyFont="1" applyFill="1" applyBorder="1" applyAlignment="1">
      <alignment vertical="center"/>
    </xf>
    <xf numFmtId="199" fontId="28" fillId="0" borderId="95" xfId="1" applyNumberFormat="1" applyFont="1" applyFill="1" applyBorder="1" applyAlignment="1">
      <alignment vertical="center"/>
    </xf>
    <xf numFmtId="199" fontId="28" fillId="0" borderId="51" xfId="1" applyNumberFormat="1" applyFont="1" applyFill="1" applyBorder="1" applyAlignment="1">
      <alignment vertical="center"/>
    </xf>
    <xf numFmtId="199" fontId="28" fillId="0" borderId="96" xfId="1" applyNumberFormat="1" applyFont="1" applyFill="1" applyBorder="1" applyAlignment="1">
      <alignment vertical="center"/>
    </xf>
    <xf numFmtId="179" fontId="28" fillId="0" borderId="0" xfId="1" applyNumberFormat="1" applyFont="1" applyAlignment="1">
      <alignment vertical="center"/>
    </xf>
    <xf numFmtId="181" fontId="99" fillId="22" borderId="57" xfId="1" applyNumberFormat="1" applyFont="1" applyFill="1" applyBorder="1" applyAlignment="1">
      <alignment vertical="center"/>
    </xf>
    <xf numFmtId="181" fontId="99" fillId="22" borderId="56" xfId="1" applyNumberFormat="1" applyFont="1" applyFill="1" applyBorder="1" applyAlignment="1">
      <alignment vertical="center"/>
    </xf>
    <xf numFmtId="181" fontId="99" fillId="22" borderId="133" xfId="1" applyNumberFormat="1" applyFont="1" applyFill="1" applyBorder="1" applyAlignment="1">
      <alignment vertical="center"/>
    </xf>
    <xf numFmtId="181" fontId="28" fillId="7" borderId="12" xfId="1" applyNumberFormat="1" applyFont="1" applyFill="1" applyBorder="1" applyAlignment="1">
      <alignment vertical="center"/>
    </xf>
    <xf numFmtId="181" fontId="28" fillId="7" borderId="131" xfId="1" applyNumberFormat="1" applyFont="1" applyFill="1" applyBorder="1" applyAlignment="1">
      <alignment vertical="center"/>
    </xf>
    <xf numFmtId="181" fontId="28" fillId="0" borderId="56" xfId="1" applyNumberFormat="1" applyFont="1" applyBorder="1" applyAlignment="1">
      <alignment vertical="center"/>
    </xf>
    <xf numFmtId="181" fontId="28" fillId="0" borderId="133" xfId="1" applyNumberFormat="1" applyFont="1" applyBorder="1" applyAlignment="1">
      <alignment vertical="center"/>
    </xf>
    <xf numFmtId="181" fontId="28" fillId="0" borderId="57" xfId="1" applyNumberFormat="1" applyFont="1" applyBorder="1" applyAlignment="1">
      <alignment vertical="center"/>
    </xf>
    <xf numFmtId="181" fontId="41" fillId="0" borderId="56" xfId="1" applyNumberFormat="1" applyFont="1" applyFill="1" applyBorder="1" applyAlignment="1">
      <alignment vertical="center"/>
    </xf>
    <xf numFmtId="181" fontId="28" fillId="11" borderId="56" xfId="1" applyNumberFormat="1" applyFont="1" applyFill="1" applyBorder="1" applyAlignment="1">
      <alignment vertical="center"/>
    </xf>
    <xf numFmtId="181" fontId="28" fillId="11" borderId="133" xfId="1" applyNumberFormat="1" applyFont="1" applyFill="1" applyBorder="1" applyAlignment="1">
      <alignment vertical="center"/>
    </xf>
    <xf numFmtId="181" fontId="28" fillId="11" borderId="57" xfId="1" applyNumberFormat="1" applyFont="1" applyFill="1" applyBorder="1" applyAlignment="1">
      <alignment vertical="center"/>
    </xf>
    <xf numFmtId="181" fontId="28" fillId="0" borderId="137" xfId="1" applyNumberFormat="1" applyFont="1" applyBorder="1" applyAlignment="1">
      <alignment vertical="center"/>
    </xf>
    <xf numFmtId="181" fontId="28" fillId="0" borderId="55" xfId="1" applyNumberFormat="1" applyFont="1" applyBorder="1" applyAlignment="1">
      <alignment vertical="center"/>
    </xf>
    <xf numFmtId="181" fontId="28" fillId="7" borderId="55" xfId="1" applyNumberFormat="1" applyFont="1" applyFill="1" applyBorder="1" applyAlignment="1">
      <alignment vertical="center"/>
    </xf>
    <xf numFmtId="181" fontId="28" fillId="0" borderId="138" xfId="1" applyNumberFormat="1" applyFont="1" applyBorder="1" applyAlignment="1">
      <alignment vertical="center"/>
    </xf>
    <xf numFmtId="181" fontId="28" fillId="0" borderId="137" xfId="1" applyNumberFormat="1" applyFont="1" applyFill="1" applyBorder="1" applyAlignment="1">
      <alignment vertical="center"/>
    </xf>
    <xf numFmtId="181" fontId="28" fillId="0" borderId="55" xfId="1" applyNumberFormat="1" applyFont="1" applyFill="1" applyBorder="1" applyAlignment="1">
      <alignment vertical="center"/>
    </xf>
    <xf numFmtId="199" fontId="28" fillId="0" borderId="0" xfId="1" applyNumberFormat="1" applyFont="1" applyAlignment="1">
      <alignment vertical="center"/>
    </xf>
    <xf numFmtId="181" fontId="28" fillId="0" borderId="130" xfId="1" applyNumberFormat="1" applyFont="1" applyFill="1" applyBorder="1" applyAlignment="1">
      <alignment vertical="center"/>
    </xf>
    <xf numFmtId="0" fontId="28" fillId="0" borderId="49" xfId="0" applyFont="1" applyBorder="1">
      <alignment vertical="center"/>
    </xf>
    <xf numFmtId="0" fontId="28" fillId="0" borderId="39" xfId="0" applyFont="1" applyBorder="1" applyAlignment="1">
      <alignment horizontal="distributed" vertical="center"/>
    </xf>
    <xf numFmtId="179" fontId="28" fillId="0" borderId="32" xfId="1" applyNumberFormat="1" applyFont="1" applyFill="1" applyBorder="1" applyAlignment="1">
      <alignment vertical="center"/>
    </xf>
    <xf numFmtId="181" fontId="99" fillId="22" borderId="141" xfId="1" applyNumberFormat="1" applyFont="1" applyFill="1" applyBorder="1" applyAlignment="1">
      <alignment vertical="center"/>
    </xf>
    <xf numFmtId="181" fontId="99" fillId="22" borderId="53" xfId="1" applyNumberFormat="1" applyFont="1" applyFill="1" applyBorder="1" applyAlignment="1">
      <alignment vertical="center"/>
    </xf>
    <xf numFmtId="181" fontId="99" fillId="22" borderId="142" xfId="1" applyNumberFormat="1" applyFont="1" applyFill="1" applyBorder="1" applyAlignment="1">
      <alignment vertical="center"/>
    </xf>
    <xf numFmtId="0" fontId="28" fillId="0" borderId="50" xfId="0" applyFont="1" applyBorder="1">
      <alignment vertical="center"/>
    </xf>
    <xf numFmtId="0" fontId="28" fillId="0" borderId="37" xfId="0" applyFont="1" applyBorder="1" applyAlignment="1">
      <alignment horizontal="distributed" vertical="center"/>
    </xf>
    <xf numFmtId="181" fontId="99" fillId="22" borderId="190" xfId="1" applyNumberFormat="1" applyFont="1" applyFill="1" applyBorder="1" applyAlignment="1">
      <alignment vertical="center"/>
    </xf>
    <xf numFmtId="181" fontId="99" fillId="22" borderId="191" xfId="1" applyNumberFormat="1" applyFont="1" applyFill="1" applyBorder="1" applyAlignment="1">
      <alignment vertical="center"/>
    </xf>
    <xf numFmtId="181" fontId="99" fillId="22" borderId="192" xfId="1" applyNumberFormat="1" applyFont="1" applyFill="1" applyBorder="1" applyAlignment="1">
      <alignment vertical="center"/>
    </xf>
    <xf numFmtId="181" fontId="28" fillId="0" borderId="190" xfId="1" applyNumberFormat="1" applyFont="1" applyFill="1" applyBorder="1" applyAlignment="1">
      <alignment vertical="center"/>
    </xf>
    <xf numFmtId="181" fontId="28" fillId="7" borderId="138" xfId="1" applyNumberFormat="1" applyFont="1" applyFill="1" applyBorder="1" applyAlignment="1">
      <alignment vertical="center"/>
    </xf>
    <xf numFmtId="210" fontId="28" fillId="0" borderId="193" xfId="1" applyNumberFormat="1" applyFont="1" applyBorder="1" applyAlignment="1">
      <alignment vertical="center"/>
    </xf>
    <xf numFmtId="41" fontId="17" fillId="0" borderId="0" xfId="15" applyFont="1" applyFill="1">
      <alignment vertical="center"/>
    </xf>
    <xf numFmtId="41" fontId="17" fillId="0" borderId="18" xfId="15" applyFont="1" applyBorder="1">
      <alignment vertical="center"/>
    </xf>
    <xf numFmtId="41" fontId="17" fillId="0" borderId="128" xfId="15" applyFont="1" applyBorder="1">
      <alignment vertical="center"/>
    </xf>
    <xf numFmtId="41" fontId="17" fillId="0" borderId="23" xfId="15" applyFont="1" applyBorder="1">
      <alignment vertical="center"/>
    </xf>
    <xf numFmtId="41" fontId="17" fillId="0" borderId="129" xfId="15" applyFont="1" applyBorder="1">
      <alignment vertical="center"/>
    </xf>
    <xf numFmtId="41" fontId="28" fillId="17" borderId="139" xfId="15" applyFont="1" applyFill="1" applyBorder="1" applyAlignment="1">
      <alignment horizontal="center" vertical="center"/>
    </xf>
    <xf numFmtId="218" fontId="28" fillId="17" borderId="139" xfId="15" applyNumberFormat="1" applyFont="1" applyFill="1" applyBorder="1" applyAlignment="1">
      <alignment horizontal="center" vertical="center"/>
    </xf>
    <xf numFmtId="41" fontId="17" fillId="0" borderId="0" xfId="15" applyFont="1">
      <alignment vertical="center"/>
    </xf>
    <xf numFmtId="177" fontId="17" fillId="22" borderId="139" xfId="15" applyNumberFormat="1" applyFont="1" applyFill="1" applyBorder="1">
      <alignment vertical="center"/>
    </xf>
    <xf numFmtId="177" fontId="47" fillId="22" borderId="139" xfId="15" applyNumberFormat="1" applyFont="1" applyFill="1" applyBorder="1">
      <alignment vertical="center"/>
    </xf>
    <xf numFmtId="177" fontId="17" fillId="0" borderId="139" xfId="15" applyNumberFormat="1" applyFont="1" applyFill="1" applyBorder="1">
      <alignment vertical="center"/>
    </xf>
    <xf numFmtId="41" fontId="17" fillId="0" borderId="18" xfId="15" applyFont="1" applyFill="1" applyBorder="1">
      <alignment vertical="center"/>
    </xf>
    <xf numFmtId="41" fontId="17" fillId="0" borderId="135" xfId="15" applyFont="1" applyFill="1" applyBorder="1">
      <alignment vertical="center"/>
    </xf>
    <xf numFmtId="41" fontId="17" fillId="0" borderId="123" xfId="15" applyFont="1" applyFill="1" applyBorder="1">
      <alignment vertical="center"/>
    </xf>
    <xf numFmtId="41" fontId="17" fillId="0" borderId="136" xfId="15" applyFont="1" applyFill="1" applyBorder="1">
      <alignment vertical="center"/>
    </xf>
    <xf numFmtId="41" fontId="17" fillId="22" borderId="134" xfId="15" applyFont="1" applyFill="1" applyBorder="1">
      <alignment vertical="center"/>
    </xf>
    <xf numFmtId="41" fontId="17" fillId="0" borderId="134" xfId="15" applyFont="1" applyFill="1" applyBorder="1">
      <alignment vertical="center"/>
    </xf>
    <xf numFmtId="0" fontId="17" fillId="0" borderId="0" xfId="5" applyFont="1">
      <alignment vertical="center"/>
    </xf>
    <xf numFmtId="0" fontId="17" fillId="0" borderId="18" xfId="5" applyFont="1" applyBorder="1">
      <alignment vertical="center"/>
    </xf>
    <xf numFmtId="0" fontId="17" fillId="0" borderId="125" xfId="5" applyFont="1" applyBorder="1">
      <alignment vertical="center"/>
    </xf>
    <xf numFmtId="0" fontId="17" fillId="0" borderId="126" xfId="5" applyFont="1" applyBorder="1">
      <alignment vertical="center"/>
    </xf>
    <xf numFmtId="0" fontId="17" fillId="0" borderId="127" xfId="5" applyFont="1" applyBorder="1">
      <alignment vertical="center"/>
    </xf>
    <xf numFmtId="178" fontId="17" fillId="22" borderId="122" xfId="5" applyNumberFormat="1" applyFont="1" applyFill="1" applyBorder="1">
      <alignment vertical="center"/>
    </xf>
    <xf numFmtId="177" fontId="17" fillId="22" borderId="122" xfId="5" applyNumberFormat="1" applyFont="1" applyFill="1" applyBorder="1">
      <alignment vertical="center"/>
    </xf>
    <xf numFmtId="178" fontId="17" fillId="0" borderId="122" xfId="5" applyNumberFormat="1" applyFont="1" applyBorder="1">
      <alignment vertical="center"/>
    </xf>
    <xf numFmtId="0" fontId="17" fillId="7" borderId="12" xfId="5" applyFont="1" applyFill="1" applyBorder="1">
      <alignment vertical="center"/>
    </xf>
    <xf numFmtId="0" fontId="17" fillId="7" borderId="0" xfId="5" applyFont="1" applyFill="1">
      <alignment vertical="center"/>
    </xf>
    <xf numFmtId="178" fontId="17" fillId="22" borderId="13" xfId="5" applyNumberFormat="1" applyFont="1" applyFill="1" applyBorder="1">
      <alignment vertical="center"/>
    </xf>
    <xf numFmtId="177" fontId="17" fillId="22" borderId="13" xfId="5" applyNumberFormat="1" applyFont="1" applyFill="1" applyBorder="1">
      <alignment vertical="center"/>
    </xf>
    <xf numFmtId="0" fontId="17" fillId="0" borderId="12" xfId="5" applyFont="1" applyBorder="1">
      <alignment vertical="center"/>
    </xf>
    <xf numFmtId="0" fontId="17" fillId="22" borderId="13" xfId="5" applyFont="1" applyFill="1" applyBorder="1">
      <alignment vertical="center"/>
    </xf>
    <xf numFmtId="178" fontId="17" fillId="7" borderId="13" xfId="5" applyNumberFormat="1" applyFont="1" applyFill="1" applyBorder="1">
      <alignment vertical="center"/>
    </xf>
    <xf numFmtId="0" fontId="17" fillId="22" borderId="122" xfId="5" applyFont="1" applyFill="1" applyBorder="1">
      <alignment vertical="center"/>
    </xf>
    <xf numFmtId="185" fontId="51" fillId="0" borderId="127" xfId="2" applyNumberFormat="1" applyFont="1" applyBorder="1" applyAlignment="1">
      <alignment vertical="center"/>
    </xf>
    <xf numFmtId="41" fontId="17" fillId="22" borderId="122" xfId="21" applyFont="1" applyFill="1" applyBorder="1">
      <alignment vertical="center"/>
    </xf>
    <xf numFmtId="41" fontId="17" fillId="0" borderId="122" xfId="21" applyFont="1" applyFill="1" applyBorder="1">
      <alignment vertical="center"/>
    </xf>
    <xf numFmtId="41" fontId="17" fillId="0" borderId="122" xfId="21" applyFont="1" applyBorder="1">
      <alignment vertical="center"/>
    </xf>
    <xf numFmtId="41" fontId="17" fillId="0" borderId="126" xfId="15" applyFont="1" applyBorder="1">
      <alignment vertical="center"/>
    </xf>
    <xf numFmtId="0" fontId="17" fillId="7" borderId="125" xfId="5" applyFont="1" applyFill="1" applyBorder="1">
      <alignment vertical="center"/>
    </xf>
    <xf numFmtId="41" fontId="17" fillId="7" borderId="126" xfId="15" applyFont="1" applyFill="1" applyBorder="1">
      <alignment vertical="center"/>
    </xf>
    <xf numFmtId="0" fontId="17" fillId="7" borderId="126" xfId="5" applyFont="1" applyFill="1" applyBorder="1">
      <alignment vertical="center"/>
    </xf>
    <xf numFmtId="0" fontId="17" fillId="7" borderId="127" xfId="5" applyFont="1" applyFill="1" applyBorder="1">
      <alignment vertical="center"/>
    </xf>
    <xf numFmtId="178" fontId="17" fillId="7" borderId="122" xfId="5" applyNumberFormat="1" applyFont="1" applyFill="1" applyBorder="1">
      <alignment vertical="center"/>
    </xf>
    <xf numFmtId="0" fontId="28" fillId="0" borderId="23" xfId="22" applyFont="1" applyBorder="1" applyAlignment="1">
      <alignment horizontal="left" vertical="center" indent="1"/>
    </xf>
    <xf numFmtId="41" fontId="17" fillId="22" borderId="139" xfId="15" applyFont="1" applyFill="1" applyBorder="1">
      <alignment vertical="center"/>
    </xf>
    <xf numFmtId="41" fontId="17" fillId="0" borderId="139" xfId="15" applyFont="1" applyBorder="1">
      <alignment vertical="center"/>
    </xf>
    <xf numFmtId="41" fontId="17" fillId="0" borderId="0" xfId="15" applyFont="1" applyBorder="1">
      <alignment vertical="center"/>
    </xf>
    <xf numFmtId="0" fontId="28" fillId="0" borderId="0" xfId="22" applyFont="1" applyAlignment="1">
      <alignment horizontal="left" vertical="center" indent="1"/>
    </xf>
    <xf numFmtId="41" fontId="17" fillId="22" borderId="13" xfId="15" applyFont="1" applyFill="1" applyBorder="1">
      <alignment vertical="center"/>
    </xf>
    <xf numFmtId="41" fontId="17" fillId="0" borderId="13" xfId="15" applyFont="1" applyBorder="1">
      <alignment vertical="center"/>
    </xf>
    <xf numFmtId="41" fontId="17" fillId="0" borderId="123" xfId="15" applyFont="1" applyBorder="1">
      <alignment vertical="center"/>
    </xf>
    <xf numFmtId="0" fontId="28" fillId="0" borderId="123" xfId="22" applyFont="1" applyBorder="1" applyAlignment="1">
      <alignment horizontal="left" vertical="center" indent="1"/>
    </xf>
    <xf numFmtId="41" fontId="17" fillId="0" borderId="136" xfId="15" applyFont="1" applyBorder="1">
      <alignment vertical="center"/>
    </xf>
    <xf numFmtId="41" fontId="17" fillId="0" borderId="134" xfId="15" applyFont="1" applyBorder="1">
      <alignment vertical="center"/>
    </xf>
    <xf numFmtId="178" fontId="17" fillId="22" borderId="134" xfId="5" applyNumberFormat="1" applyFont="1" applyFill="1" applyBorder="1">
      <alignment vertical="center"/>
    </xf>
    <xf numFmtId="41" fontId="17" fillId="22" borderId="134" xfId="21" applyFont="1" applyFill="1" applyBorder="1">
      <alignment vertical="center"/>
    </xf>
    <xf numFmtId="180" fontId="17" fillId="7" borderId="134" xfId="5" applyNumberFormat="1" applyFont="1" applyFill="1" applyBorder="1">
      <alignment vertical="center"/>
    </xf>
    <xf numFmtId="178" fontId="17" fillId="0" borderId="134" xfId="5" applyNumberFormat="1" applyFont="1" applyBorder="1">
      <alignment vertical="center"/>
    </xf>
    <xf numFmtId="41" fontId="17" fillId="0" borderId="134" xfId="1" applyFont="1" applyBorder="1">
      <alignment vertical="center"/>
    </xf>
    <xf numFmtId="214" fontId="17" fillId="0" borderId="0" xfId="15" applyNumberFormat="1" applyFont="1" applyFill="1" applyBorder="1">
      <alignment vertical="center"/>
    </xf>
    <xf numFmtId="10" fontId="17" fillId="0" borderId="139" xfId="23" applyNumberFormat="1" applyFont="1" applyBorder="1" applyAlignment="1">
      <alignment horizontal="center" vertical="center"/>
    </xf>
    <xf numFmtId="3" fontId="101" fillId="0" borderId="0" xfId="0" applyNumberFormat="1" applyFont="1">
      <alignment vertical="center"/>
    </xf>
    <xf numFmtId="41" fontId="17" fillId="0" borderId="12" xfId="15" applyFont="1" applyBorder="1">
      <alignment vertical="center"/>
    </xf>
    <xf numFmtId="10" fontId="17" fillId="0" borderId="18" xfId="23" applyNumberFormat="1" applyFont="1" applyBorder="1" applyAlignment="1">
      <alignment horizontal="center" vertical="center"/>
    </xf>
    <xf numFmtId="41" fontId="17" fillId="0" borderId="135" xfId="15" applyFont="1" applyBorder="1">
      <alignment vertical="center"/>
    </xf>
    <xf numFmtId="10" fontId="17" fillId="0" borderId="136" xfId="23" applyNumberFormat="1" applyFont="1" applyBorder="1" applyAlignment="1">
      <alignment horizontal="center" vertical="center"/>
    </xf>
    <xf numFmtId="187" fontId="17" fillId="0" borderId="0" xfId="5" applyNumberFormat="1" applyFont="1">
      <alignment vertical="center"/>
    </xf>
    <xf numFmtId="41" fontId="28" fillId="0" borderId="0" xfId="1" applyFont="1" applyFill="1" applyAlignment="1">
      <alignment vertical="center"/>
    </xf>
    <xf numFmtId="210" fontId="28" fillId="0" borderId="139" xfId="1" applyNumberFormat="1" applyFont="1" applyFill="1" applyBorder="1" applyAlignment="1">
      <alignment vertical="center"/>
    </xf>
    <xf numFmtId="210" fontId="28" fillId="0" borderId="33" xfId="1" applyNumberFormat="1" applyFont="1" applyFill="1" applyBorder="1" applyAlignment="1">
      <alignment vertical="center"/>
    </xf>
    <xf numFmtId="210" fontId="28" fillId="0" borderId="134" xfId="1" applyNumberFormat="1" applyFont="1" applyFill="1" applyBorder="1" applyAlignment="1">
      <alignment vertical="center"/>
    </xf>
    <xf numFmtId="179" fontId="28" fillId="7" borderId="18" xfId="1" applyNumberFormat="1" applyFont="1" applyFill="1" applyBorder="1" applyAlignment="1">
      <alignment vertical="center"/>
    </xf>
    <xf numFmtId="210" fontId="28" fillId="7" borderId="13" xfId="1" applyNumberFormat="1" applyFont="1" applyFill="1" applyBorder="1" applyAlignment="1">
      <alignment vertical="center"/>
    </xf>
    <xf numFmtId="41" fontId="28" fillId="7" borderId="13" xfId="1" applyFont="1" applyFill="1" applyBorder="1" applyAlignment="1">
      <alignment vertical="center"/>
    </xf>
    <xf numFmtId="179" fontId="28" fillId="0" borderId="23" xfId="1" applyNumberFormat="1" applyFont="1" applyBorder="1" applyAlignment="1">
      <alignment vertical="center"/>
    </xf>
    <xf numFmtId="210" fontId="28" fillId="0" borderId="23" xfId="1" applyNumberFormat="1" applyFont="1" applyBorder="1" applyAlignment="1">
      <alignment vertical="center"/>
    </xf>
    <xf numFmtId="210" fontId="28" fillId="0" borderId="23" xfId="1" applyNumberFormat="1" applyFont="1" applyFill="1" applyBorder="1" applyAlignment="1">
      <alignment vertical="center"/>
    </xf>
    <xf numFmtId="41" fontId="28" fillId="0" borderId="23" xfId="1" applyFont="1" applyFill="1" applyBorder="1" applyAlignment="1">
      <alignment vertical="center"/>
    </xf>
    <xf numFmtId="177" fontId="28" fillId="0" borderId="139" xfId="1" applyNumberFormat="1" applyFont="1" applyBorder="1" applyAlignment="1">
      <alignment vertical="center"/>
    </xf>
    <xf numFmtId="208" fontId="28" fillId="22" borderId="130" xfId="1" applyNumberFormat="1" applyFont="1" applyFill="1" applyBorder="1" applyAlignment="1">
      <alignment vertical="center"/>
    </xf>
    <xf numFmtId="208" fontId="28" fillId="22" borderId="131" xfId="1" applyNumberFormat="1" applyFont="1" applyFill="1" applyBorder="1" applyAlignment="1">
      <alignment vertical="center"/>
    </xf>
    <xf numFmtId="208" fontId="28" fillId="22" borderId="132" xfId="1" applyNumberFormat="1" applyFont="1" applyFill="1" applyBorder="1" applyAlignment="1">
      <alignment vertical="center"/>
    </xf>
    <xf numFmtId="178" fontId="28" fillId="0" borderId="130" xfId="1" applyNumberFormat="1" applyFont="1" applyFill="1" applyBorder="1" applyAlignment="1">
      <alignment vertical="center"/>
    </xf>
    <xf numFmtId="178" fontId="28" fillId="0" borderId="131" xfId="1" applyNumberFormat="1" applyFont="1" applyFill="1" applyBorder="1" applyAlignment="1">
      <alignment vertical="center"/>
    </xf>
    <xf numFmtId="178" fontId="28" fillId="0" borderId="132" xfId="1" applyNumberFormat="1" applyFont="1" applyFill="1" applyBorder="1" applyAlignment="1">
      <alignment vertical="center"/>
    </xf>
    <xf numFmtId="208" fontId="28" fillId="0" borderId="12" xfId="1" applyNumberFormat="1" applyFont="1" applyFill="1" applyBorder="1" applyAlignment="1">
      <alignment vertical="center"/>
    </xf>
    <xf numFmtId="208" fontId="28" fillId="0" borderId="0" xfId="1" applyNumberFormat="1" applyFont="1" applyFill="1" applyBorder="1" applyAlignment="1">
      <alignment vertical="center"/>
    </xf>
    <xf numFmtId="0" fontId="28" fillId="0" borderId="28" xfId="0" applyFont="1" applyBorder="1">
      <alignment vertical="center"/>
    </xf>
    <xf numFmtId="0" fontId="28" fillId="0" borderId="29" xfId="0" applyFont="1" applyBorder="1" applyAlignment="1">
      <alignment horizontal="left" vertical="center"/>
    </xf>
    <xf numFmtId="179" fontId="28" fillId="0" borderId="30" xfId="1" applyNumberFormat="1" applyFont="1" applyBorder="1" applyAlignment="1">
      <alignment vertical="center"/>
    </xf>
    <xf numFmtId="177" fontId="28" fillId="0" borderId="27" xfId="1" applyNumberFormat="1" applyFont="1" applyBorder="1" applyAlignment="1">
      <alignment vertical="center"/>
    </xf>
    <xf numFmtId="178" fontId="28" fillId="0" borderId="89" xfId="1" applyNumberFormat="1" applyFont="1" applyFill="1" applyBorder="1" applyAlignment="1">
      <alignment vertical="center"/>
    </xf>
    <xf numFmtId="178" fontId="28" fillId="0" borderId="90" xfId="1" applyNumberFormat="1" applyFont="1" applyFill="1" applyBorder="1" applyAlignment="1">
      <alignment vertical="center"/>
    </xf>
    <xf numFmtId="178" fontId="28" fillId="0" borderId="91" xfId="1" applyNumberFormat="1" applyFont="1" applyFill="1" applyBorder="1" applyAlignment="1">
      <alignment vertical="center"/>
    </xf>
    <xf numFmtId="177" fontId="28" fillId="0" borderId="13" xfId="1" applyNumberFormat="1" applyFont="1" applyFill="1" applyBorder="1" applyAlignment="1">
      <alignment vertical="center"/>
    </xf>
    <xf numFmtId="177" fontId="28" fillId="22" borderId="12" xfId="1" applyNumberFormat="1" applyFont="1" applyFill="1" applyBorder="1" applyAlignment="1">
      <alignment vertical="center"/>
    </xf>
    <xf numFmtId="208" fontId="28" fillId="22" borderId="57" xfId="1" applyNumberFormat="1" applyFont="1" applyFill="1" applyBorder="1" applyAlignment="1">
      <alignment vertical="center"/>
    </xf>
    <xf numFmtId="208" fontId="28" fillId="22" borderId="56" xfId="1" applyNumberFormat="1" applyFont="1" applyFill="1" applyBorder="1" applyAlignment="1">
      <alignment vertical="center"/>
    </xf>
    <xf numFmtId="208" fontId="28" fillId="22" borderId="133" xfId="1" applyNumberFormat="1" applyFont="1" applyFill="1" applyBorder="1" applyAlignment="1">
      <alignment vertical="center"/>
    </xf>
    <xf numFmtId="178" fontId="28" fillId="0" borderId="57" xfId="1" applyNumberFormat="1" applyFont="1" applyFill="1" applyBorder="1" applyAlignment="1">
      <alignment vertical="center"/>
    </xf>
    <xf numFmtId="178" fontId="28" fillId="0" borderId="56" xfId="1" applyNumberFormat="1" applyFont="1" applyFill="1" applyBorder="1" applyAlignment="1">
      <alignment vertical="center"/>
    </xf>
    <xf numFmtId="178" fontId="28" fillId="0" borderId="133" xfId="1" applyNumberFormat="1" applyFont="1" applyFill="1" applyBorder="1" applyAlignment="1">
      <alignment vertical="center"/>
    </xf>
    <xf numFmtId="180" fontId="28" fillId="0" borderId="57" xfId="1" applyNumberFormat="1" applyFont="1" applyFill="1" applyBorder="1" applyAlignment="1">
      <alignment vertical="center"/>
    </xf>
    <xf numFmtId="180" fontId="28" fillId="0" borderId="56" xfId="1" applyNumberFormat="1" applyFont="1" applyFill="1" applyBorder="1" applyAlignment="1">
      <alignment vertical="center"/>
    </xf>
    <xf numFmtId="180" fontId="28" fillId="0" borderId="133" xfId="1" applyNumberFormat="1" applyFont="1" applyFill="1" applyBorder="1" applyAlignment="1">
      <alignment vertical="center"/>
    </xf>
    <xf numFmtId="179" fontId="28" fillId="0" borderId="18" xfId="1" applyNumberFormat="1" applyFont="1" applyBorder="1" applyAlignment="1">
      <alignment horizontal="right" vertical="center"/>
    </xf>
    <xf numFmtId="208" fontId="28" fillId="22" borderId="12" xfId="1" applyNumberFormat="1" applyFont="1" applyFill="1" applyBorder="1" applyAlignment="1">
      <alignment vertical="center"/>
    </xf>
    <xf numFmtId="177" fontId="28" fillId="0" borderId="13" xfId="1" applyNumberFormat="1" applyFont="1" applyBorder="1" applyAlignment="1">
      <alignment vertical="center"/>
    </xf>
    <xf numFmtId="41" fontId="28" fillId="22" borderId="12" xfId="1" applyFont="1" applyFill="1" applyBorder="1" applyAlignment="1">
      <alignment vertical="center"/>
    </xf>
    <xf numFmtId="0" fontId="28" fillId="7" borderId="0" xfId="0" applyFont="1" applyFill="1" applyAlignment="1">
      <alignment horizontal="left" vertical="center" indent="1"/>
    </xf>
    <xf numFmtId="0" fontId="28" fillId="7" borderId="0" xfId="0" applyFont="1" applyFill="1" applyAlignment="1">
      <alignment horizontal="left" vertical="center"/>
    </xf>
    <xf numFmtId="178" fontId="28" fillId="7" borderId="57" xfId="1" applyNumberFormat="1" applyFont="1" applyFill="1" applyBorder="1" applyAlignment="1">
      <alignment vertical="center"/>
    </xf>
    <xf numFmtId="178" fontId="28" fillId="7" borderId="56" xfId="1" applyNumberFormat="1" applyFont="1" applyFill="1" applyBorder="1" applyAlignment="1">
      <alignment vertical="center"/>
    </xf>
    <xf numFmtId="178" fontId="28" fillId="7" borderId="133" xfId="1" applyNumberFormat="1" applyFont="1" applyFill="1" applyBorder="1" applyAlignment="1">
      <alignment vertical="center"/>
    </xf>
    <xf numFmtId="178" fontId="47" fillId="8" borderId="57" xfId="1" applyNumberFormat="1" applyFont="1" applyFill="1" applyBorder="1" applyAlignment="1">
      <alignment vertical="center"/>
    </xf>
    <xf numFmtId="178" fontId="47" fillId="8" borderId="56" xfId="1" applyNumberFormat="1" applyFont="1" applyFill="1" applyBorder="1" applyAlignment="1">
      <alignment vertical="center"/>
    </xf>
    <xf numFmtId="178" fontId="47" fillId="8" borderId="133" xfId="1" applyNumberFormat="1" applyFont="1" applyFill="1" applyBorder="1" applyAlignment="1">
      <alignment vertical="center"/>
    </xf>
    <xf numFmtId="178" fontId="28" fillId="0" borderId="95" xfId="1" applyNumberFormat="1" applyFont="1" applyFill="1" applyBorder="1" applyAlignment="1">
      <alignment vertical="center"/>
    </xf>
    <xf numFmtId="178" fontId="28" fillId="0" borderId="51" xfId="1" applyNumberFormat="1" applyFont="1" applyFill="1" applyBorder="1" applyAlignment="1">
      <alignment vertical="center"/>
    </xf>
    <xf numFmtId="178" fontId="28" fillId="0" borderId="96" xfId="1" applyNumberFormat="1" applyFont="1" applyFill="1" applyBorder="1" applyAlignment="1">
      <alignment vertical="center"/>
    </xf>
    <xf numFmtId="177" fontId="28" fillId="22" borderId="128" xfId="1" applyNumberFormat="1" applyFont="1" applyFill="1" applyBorder="1" applyAlignment="1">
      <alignment vertical="center"/>
    </xf>
    <xf numFmtId="177" fontId="28" fillId="22" borderId="89" xfId="1" applyNumberFormat="1" applyFont="1" applyFill="1" applyBorder="1" applyAlignment="1">
      <alignment vertical="center"/>
    </xf>
    <xf numFmtId="177" fontId="28" fillId="7" borderId="13" xfId="1" applyNumberFormat="1" applyFont="1" applyFill="1" applyBorder="1" applyAlignment="1">
      <alignment vertical="center"/>
    </xf>
    <xf numFmtId="187" fontId="28" fillId="0" borderId="18" xfId="1" applyNumberFormat="1" applyFont="1" applyFill="1" applyBorder="1" applyAlignment="1">
      <alignment vertical="center"/>
    </xf>
    <xf numFmtId="187" fontId="28" fillId="0" borderId="32" xfId="1" applyNumberFormat="1" applyFont="1" applyFill="1" applyBorder="1" applyAlignment="1">
      <alignment vertical="center"/>
    </xf>
    <xf numFmtId="177" fontId="28" fillId="0" borderId="33" xfId="1" applyNumberFormat="1" applyFont="1" applyFill="1" applyBorder="1" applyAlignment="1">
      <alignment vertical="center"/>
    </xf>
    <xf numFmtId="177" fontId="28" fillId="22" borderId="49" xfId="1" applyNumberFormat="1" applyFont="1" applyFill="1" applyBorder="1" applyAlignment="1">
      <alignment vertical="center"/>
    </xf>
    <xf numFmtId="178" fontId="28" fillId="0" borderId="141" xfId="1" applyNumberFormat="1" applyFont="1" applyFill="1" applyBorder="1" applyAlignment="1">
      <alignment vertical="center"/>
    </xf>
    <xf numFmtId="178" fontId="28" fillId="0" borderId="53" xfId="1" applyNumberFormat="1" applyFont="1" applyFill="1" applyBorder="1" applyAlignment="1">
      <alignment vertical="center"/>
    </xf>
    <xf numFmtId="178" fontId="28" fillId="0" borderId="142" xfId="1" applyNumberFormat="1" applyFont="1" applyFill="1" applyBorder="1" applyAlignment="1">
      <alignment vertical="center"/>
    </xf>
    <xf numFmtId="0" fontId="28" fillId="0" borderId="193" xfId="0" applyFont="1" applyBorder="1" applyAlignment="1">
      <alignment horizontal="left" vertical="center" indent="1"/>
    </xf>
    <xf numFmtId="187" fontId="28" fillId="0" borderId="136" xfId="1" applyNumberFormat="1" applyFont="1" applyFill="1" applyBorder="1" applyAlignment="1">
      <alignment vertical="center"/>
    </xf>
    <xf numFmtId="177" fontId="28" fillId="0" borderId="134" xfId="1" applyNumberFormat="1" applyFont="1" applyFill="1" applyBorder="1" applyAlignment="1">
      <alignment vertical="center"/>
    </xf>
    <xf numFmtId="177" fontId="28" fillId="22" borderId="135" xfId="1" applyNumberFormat="1" applyFont="1" applyFill="1" applyBorder="1" applyAlignment="1">
      <alignment vertical="center"/>
    </xf>
    <xf numFmtId="178" fontId="28" fillId="0" borderId="137" xfId="1" applyNumberFormat="1" applyFont="1" applyFill="1" applyBorder="1" applyAlignment="1">
      <alignment vertical="center"/>
    </xf>
    <xf numFmtId="178" fontId="28" fillId="0" borderId="55" xfId="1" applyNumberFormat="1" applyFont="1" applyFill="1" applyBorder="1" applyAlignment="1">
      <alignment vertical="center"/>
    </xf>
    <xf numFmtId="178" fontId="28" fillId="0" borderId="138" xfId="1" applyNumberFormat="1" applyFont="1" applyFill="1" applyBorder="1" applyAlignment="1">
      <alignment vertical="center"/>
    </xf>
    <xf numFmtId="187" fontId="28" fillId="7" borderId="18" xfId="1" applyNumberFormat="1" applyFont="1" applyFill="1" applyBorder="1" applyAlignment="1">
      <alignment vertical="center"/>
    </xf>
    <xf numFmtId="177" fontId="28" fillId="7" borderId="12" xfId="1" applyNumberFormat="1" applyFont="1" applyFill="1" applyBorder="1" applyAlignment="1">
      <alignment vertical="center"/>
    </xf>
    <xf numFmtId="208" fontId="28" fillId="7" borderId="57" xfId="1" applyNumberFormat="1" applyFont="1" applyFill="1" applyBorder="1" applyAlignment="1">
      <alignment vertical="center"/>
    </xf>
    <xf numFmtId="208" fontId="28" fillId="7" borderId="56" xfId="1" applyNumberFormat="1" applyFont="1" applyFill="1" applyBorder="1" applyAlignment="1">
      <alignment vertical="center"/>
    </xf>
    <xf numFmtId="208" fontId="28" fillId="7" borderId="133" xfId="1" applyNumberFormat="1" applyFont="1" applyFill="1" applyBorder="1" applyAlignment="1">
      <alignment vertical="center"/>
    </xf>
    <xf numFmtId="208" fontId="28" fillId="7" borderId="12" xfId="1" applyNumberFormat="1" applyFont="1" applyFill="1" applyBorder="1" applyAlignment="1">
      <alignment vertical="center"/>
    </xf>
    <xf numFmtId="208" fontId="28" fillId="7" borderId="0" xfId="1" applyNumberFormat="1" applyFont="1" applyFill="1" applyBorder="1" applyAlignment="1">
      <alignment vertical="center"/>
    </xf>
    <xf numFmtId="177" fontId="28" fillId="0" borderId="139" xfId="1" applyNumberFormat="1" applyFont="1" applyFill="1" applyBorder="1" applyAlignment="1">
      <alignment vertical="center"/>
    </xf>
    <xf numFmtId="0" fontId="47" fillId="0" borderId="0" xfId="0" applyFont="1">
      <alignment vertical="center"/>
    </xf>
    <xf numFmtId="0" fontId="47" fillId="0" borderId="87" xfId="0" applyFont="1" applyBorder="1">
      <alignment vertical="center"/>
    </xf>
    <xf numFmtId="0" fontId="47" fillId="0" borderId="92" xfId="0" applyFont="1" applyBorder="1">
      <alignment vertical="center"/>
    </xf>
    <xf numFmtId="0" fontId="47" fillId="0" borderId="92" xfId="0" applyFont="1" applyBorder="1" applyAlignment="1">
      <alignment horizontal="left" vertical="center"/>
    </xf>
    <xf numFmtId="179" fontId="47" fillId="0" borderId="88" xfId="1" applyNumberFormat="1" applyFont="1" applyFill="1" applyBorder="1" applyAlignment="1">
      <alignment vertical="center"/>
    </xf>
    <xf numFmtId="177" fontId="47" fillId="0" borderId="98" xfId="1" applyNumberFormat="1" applyFont="1" applyFill="1" applyBorder="1" applyAlignment="1">
      <alignment vertical="center"/>
    </xf>
    <xf numFmtId="208" fontId="47" fillId="22" borderId="99" xfId="1" applyNumberFormat="1" applyFont="1" applyFill="1" applyBorder="1" applyAlignment="1">
      <alignment vertical="center"/>
    </xf>
    <xf numFmtId="208" fontId="47" fillId="22" borderId="100" xfId="1" applyNumberFormat="1" applyFont="1" applyFill="1" applyBorder="1" applyAlignment="1">
      <alignment vertical="center"/>
    </xf>
    <xf numFmtId="208" fontId="47" fillId="22" borderId="101" xfId="1" applyNumberFormat="1" applyFont="1" applyFill="1" applyBorder="1" applyAlignment="1">
      <alignment vertical="center"/>
    </xf>
    <xf numFmtId="181" fontId="47" fillId="7" borderId="101" xfId="1" applyNumberFormat="1" applyFont="1" applyFill="1" applyBorder="1" applyAlignment="1">
      <alignment vertical="center"/>
    </xf>
    <xf numFmtId="178" fontId="47" fillId="0" borderId="99" xfId="1" applyNumberFormat="1" applyFont="1" applyFill="1" applyBorder="1" applyAlignment="1">
      <alignment vertical="center"/>
    </xf>
    <xf numFmtId="178" fontId="47" fillId="0" borderId="100" xfId="1" applyNumberFormat="1" applyFont="1" applyFill="1" applyBorder="1" applyAlignment="1">
      <alignment vertical="center"/>
    </xf>
    <xf numFmtId="219" fontId="102" fillId="0" borderId="101" xfId="1" applyNumberFormat="1" applyFont="1" applyFill="1" applyBorder="1" applyAlignment="1">
      <alignment vertical="center"/>
    </xf>
    <xf numFmtId="178" fontId="47" fillId="0" borderId="101" xfId="1" applyNumberFormat="1" applyFont="1" applyFill="1" applyBorder="1" applyAlignment="1">
      <alignment vertical="center"/>
    </xf>
    <xf numFmtId="208" fontId="47" fillId="0" borderId="12" xfId="1" applyNumberFormat="1" applyFont="1" applyFill="1" applyBorder="1" applyAlignment="1">
      <alignment vertical="center"/>
    </xf>
    <xf numFmtId="208" fontId="47" fillId="0" borderId="0" xfId="1" applyNumberFormat="1" applyFont="1" applyFill="1" applyBorder="1" applyAlignment="1">
      <alignment vertical="center"/>
    </xf>
    <xf numFmtId="0" fontId="47" fillId="0" borderId="0" xfId="0" applyFont="1" applyAlignment="1">
      <alignment horizontal="left" vertical="center"/>
    </xf>
    <xf numFmtId="179" fontId="47" fillId="0" borderId="0" xfId="1" applyNumberFormat="1" applyFont="1" applyFill="1" applyBorder="1" applyAlignment="1">
      <alignment vertical="center"/>
    </xf>
    <xf numFmtId="177" fontId="47" fillId="0" borderId="0" xfId="1" applyNumberFormat="1" applyFont="1" applyFill="1" applyBorder="1" applyAlignment="1">
      <alignment vertical="center"/>
    </xf>
    <xf numFmtId="187" fontId="47" fillId="0" borderId="0" xfId="1" applyNumberFormat="1" applyFont="1" applyFill="1" applyBorder="1" applyAlignment="1">
      <alignment vertical="center"/>
    </xf>
    <xf numFmtId="207" fontId="47" fillId="0" borderId="0" xfId="1" applyNumberFormat="1" applyFont="1" applyFill="1" applyBorder="1" applyAlignment="1">
      <alignment vertical="center"/>
    </xf>
    <xf numFmtId="181" fontId="47" fillId="0" borderId="0" xfId="1" applyNumberFormat="1" applyFont="1" applyFill="1" applyBorder="1" applyAlignment="1">
      <alignment vertical="center"/>
    </xf>
    <xf numFmtId="187" fontId="28" fillId="0" borderId="0" xfId="0" applyNumberFormat="1" applyFont="1" applyAlignment="1">
      <alignment horizontal="center" vertical="center"/>
    </xf>
    <xf numFmtId="187" fontId="28" fillId="0" borderId="0" xfId="1" applyNumberFormat="1" applyFont="1" applyFill="1" applyBorder="1" applyAlignment="1">
      <alignment vertical="center"/>
    </xf>
    <xf numFmtId="207" fontId="28" fillId="0" borderId="0" xfId="1" applyNumberFormat="1" applyFont="1" applyFill="1" applyBorder="1" applyAlignment="1">
      <alignment vertical="center"/>
    </xf>
    <xf numFmtId="220" fontId="28" fillId="0" borderId="0" xfId="1" applyNumberFormat="1" applyFont="1" applyFill="1" applyBorder="1" applyAlignment="1">
      <alignment vertical="center"/>
    </xf>
    <xf numFmtId="213" fontId="28" fillId="0" borderId="0" xfId="1" applyNumberFormat="1" applyFont="1" applyFill="1" applyBorder="1" applyAlignment="1">
      <alignment vertical="center"/>
    </xf>
    <xf numFmtId="221" fontId="28" fillId="0" borderId="0" xfId="1" applyNumberFormat="1" applyFont="1" applyFill="1" applyBorder="1" applyAlignment="1">
      <alignment vertical="center"/>
    </xf>
    <xf numFmtId="208" fontId="28" fillId="0" borderId="0" xfId="24" applyNumberFormat="1" applyFont="1" applyFill="1" applyBorder="1" applyAlignment="1">
      <alignment vertical="center"/>
    </xf>
    <xf numFmtId="177" fontId="28" fillId="0" borderId="0" xfId="1" applyNumberFormat="1" applyFont="1" applyFill="1" applyBorder="1" applyAlignment="1">
      <alignment horizontal="right" vertical="center"/>
    </xf>
    <xf numFmtId="187" fontId="28" fillId="0" borderId="0" xfId="0" applyNumberFormat="1" applyFont="1">
      <alignment vertical="center"/>
    </xf>
    <xf numFmtId="177" fontId="28" fillId="0" borderId="0" xfId="0" applyNumberFormat="1" applyFont="1">
      <alignment vertical="center"/>
    </xf>
    <xf numFmtId="177" fontId="47" fillId="0" borderId="0" xfId="0" applyNumberFormat="1" applyFont="1">
      <alignment vertical="center"/>
    </xf>
    <xf numFmtId="41" fontId="47" fillId="0" borderId="0" xfId="1" applyFont="1" applyFill="1" applyBorder="1" applyAlignment="1">
      <alignment vertical="center"/>
    </xf>
    <xf numFmtId="185" fontId="51" fillId="0" borderId="0" xfId="0" applyNumberFormat="1" applyFont="1">
      <alignment vertical="center"/>
    </xf>
    <xf numFmtId="185" fontId="28" fillId="0" borderId="0" xfId="2" applyNumberFormat="1" applyFont="1" applyFill="1" applyBorder="1" applyAlignment="1">
      <alignment vertical="center"/>
    </xf>
    <xf numFmtId="179" fontId="27" fillId="0" borderId="0" xfId="1" applyNumberFormat="1" applyFont="1" applyFill="1" applyBorder="1" applyAlignment="1">
      <alignment vertical="center"/>
    </xf>
    <xf numFmtId="0" fontId="28" fillId="0" borderId="0" xfId="1" applyNumberFormat="1" applyFont="1" applyFill="1" applyAlignment="1">
      <alignment vertical="center"/>
    </xf>
    <xf numFmtId="210" fontId="28" fillId="22" borderId="139" xfId="1" applyNumberFormat="1" applyFont="1" applyFill="1" applyBorder="1" applyAlignment="1">
      <alignment vertical="center"/>
    </xf>
    <xf numFmtId="222" fontId="28" fillId="22" borderId="139" xfId="1" applyNumberFormat="1" applyFont="1" applyFill="1" applyBorder="1" applyAlignment="1">
      <alignment vertical="center"/>
    </xf>
    <xf numFmtId="222" fontId="28" fillId="0" borderId="139" xfId="1" applyNumberFormat="1" applyFont="1" applyFill="1" applyBorder="1" applyAlignment="1">
      <alignment vertical="center"/>
    </xf>
    <xf numFmtId="210" fontId="28" fillId="22" borderId="13" xfId="1" applyNumberFormat="1" applyFont="1" applyFill="1" applyBorder="1" applyAlignment="1">
      <alignment vertical="center"/>
    </xf>
    <xf numFmtId="222" fontId="28" fillId="22" borderId="13" xfId="1" applyNumberFormat="1" applyFont="1" applyFill="1" applyBorder="1" applyAlignment="1">
      <alignment vertical="center"/>
    </xf>
    <xf numFmtId="222" fontId="28" fillId="0" borderId="13" xfId="1" applyNumberFormat="1" applyFont="1" applyFill="1" applyBorder="1" applyAlignment="1">
      <alignment vertical="center"/>
    </xf>
    <xf numFmtId="41" fontId="28" fillId="22" borderId="32" xfId="1" applyFont="1" applyFill="1" applyBorder="1" applyAlignment="1">
      <alignment vertical="center"/>
    </xf>
    <xf numFmtId="210" fontId="28" fillId="22" borderId="33" xfId="1" applyNumberFormat="1" applyFont="1" applyFill="1" applyBorder="1" applyAlignment="1">
      <alignment vertical="center"/>
    </xf>
    <xf numFmtId="222" fontId="28" fillId="22" borderId="33" xfId="1" applyNumberFormat="1" applyFont="1" applyFill="1" applyBorder="1" applyAlignment="1">
      <alignment vertical="center"/>
    </xf>
    <xf numFmtId="41" fontId="28" fillId="22" borderId="18" xfId="1" applyFont="1" applyFill="1" applyBorder="1" applyAlignment="1">
      <alignment vertical="center"/>
    </xf>
    <xf numFmtId="210" fontId="28" fillId="8" borderId="13" xfId="1" applyNumberFormat="1" applyFont="1" applyFill="1" applyBorder="1" applyAlignment="1">
      <alignment vertical="center"/>
    </xf>
    <xf numFmtId="222" fontId="51" fillId="22" borderId="13" xfId="1" applyNumberFormat="1" applyFont="1" applyFill="1" applyBorder="1" applyAlignment="1">
      <alignment vertical="center"/>
    </xf>
    <xf numFmtId="41" fontId="28" fillId="22" borderId="136" xfId="1" applyFont="1" applyFill="1" applyBorder="1" applyAlignment="1">
      <alignment vertical="center"/>
    </xf>
    <xf numFmtId="210" fontId="28" fillId="22" borderId="134" xfId="1" applyNumberFormat="1" applyFont="1" applyFill="1" applyBorder="1" applyAlignment="1">
      <alignment vertical="center"/>
    </xf>
    <xf numFmtId="202" fontId="28" fillId="22" borderId="134" xfId="1" applyNumberFormat="1" applyFont="1" applyFill="1" applyBorder="1" applyAlignment="1">
      <alignment vertical="center"/>
    </xf>
    <xf numFmtId="222" fontId="28" fillId="0" borderId="134" xfId="1" applyNumberFormat="1" applyFont="1" applyFill="1" applyBorder="1" applyAlignment="1">
      <alignment vertical="center"/>
    </xf>
    <xf numFmtId="210" fontId="28" fillId="22" borderId="122" xfId="1" applyNumberFormat="1" applyFont="1" applyFill="1" applyBorder="1" applyAlignment="1">
      <alignment vertical="center"/>
    </xf>
    <xf numFmtId="222" fontId="28" fillId="22" borderId="122" xfId="1" applyNumberFormat="1" applyFont="1" applyFill="1" applyBorder="1" applyAlignment="1">
      <alignment vertical="center"/>
    </xf>
    <xf numFmtId="222" fontId="28" fillId="0" borderId="122" xfId="1" applyNumberFormat="1" applyFont="1" applyFill="1" applyBorder="1" applyAlignment="1">
      <alignment vertical="center"/>
    </xf>
    <xf numFmtId="179" fontId="28" fillId="22" borderId="129" xfId="1" applyNumberFormat="1" applyFont="1" applyFill="1" applyBorder="1" applyAlignment="1">
      <alignment vertical="center"/>
    </xf>
    <xf numFmtId="210" fontId="28" fillId="7" borderId="139" xfId="1" applyNumberFormat="1" applyFont="1" applyFill="1" applyBorder="1" applyAlignment="1">
      <alignment vertical="center"/>
    </xf>
    <xf numFmtId="212" fontId="28" fillId="0" borderId="13" xfId="1" applyNumberFormat="1" applyFont="1" applyFill="1" applyBorder="1" applyAlignment="1">
      <alignment vertical="center"/>
    </xf>
    <xf numFmtId="222" fontId="28" fillId="0" borderId="33" xfId="1" applyNumberFormat="1" applyFont="1" applyFill="1" applyBorder="1" applyAlignment="1">
      <alignment vertical="center"/>
    </xf>
    <xf numFmtId="212" fontId="28" fillId="0" borderId="33" xfId="1" applyNumberFormat="1" applyFont="1" applyFill="1" applyBorder="1" applyAlignment="1">
      <alignment vertical="center"/>
    </xf>
    <xf numFmtId="179" fontId="28" fillId="22" borderId="18" xfId="1" applyNumberFormat="1" applyFont="1" applyFill="1" applyBorder="1" applyAlignment="1">
      <alignment vertical="center"/>
    </xf>
    <xf numFmtId="0" fontId="28" fillId="0" borderId="41" xfId="0" applyFont="1" applyBorder="1" applyAlignment="1">
      <alignment horizontal="left" vertical="center"/>
    </xf>
    <xf numFmtId="179" fontId="28" fillId="0" borderId="42" xfId="1" applyNumberFormat="1" applyFont="1" applyBorder="1" applyAlignment="1">
      <alignment vertical="center"/>
    </xf>
    <xf numFmtId="41" fontId="28" fillId="22" borderId="42" xfId="1" applyFont="1" applyFill="1" applyBorder="1" applyAlignment="1">
      <alignment vertical="center"/>
    </xf>
    <xf numFmtId="210" fontId="28" fillId="22" borderId="43" xfId="1" applyNumberFormat="1" applyFont="1" applyFill="1" applyBorder="1" applyAlignment="1">
      <alignment vertical="center"/>
    </xf>
    <xf numFmtId="41" fontId="28" fillId="22" borderId="43" xfId="1" applyFont="1" applyFill="1" applyBorder="1" applyAlignment="1">
      <alignment vertical="center"/>
    </xf>
    <xf numFmtId="210" fontId="28" fillId="0" borderId="43" xfId="1" applyNumberFormat="1" applyFont="1" applyFill="1" applyBorder="1" applyAlignment="1">
      <alignment vertical="center"/>
    </xf>
    <xf numFmtId="222" fontId="28" fillId="0" borderId="43" xfId="1" applyNumberFormat="1" applyFont="1" applyFill="1" applyBorder="1" applyAlignment="1">
      <alignment vertical="center"/>
    </xf>
    <xf numFmtId="210" fontId="28" fillId="7" borderId="33" xfId="1" applyNumberFormat="1" applyFont="1" applyFill="1" applyBorder="1" applyAlignment="1">
      <alignment vertical="center"/>
    </xf>
    <xf numFmtId="41" fontId="28" fillId="22" borderId="134" xfId="1" applyFont="1" applyFill="1" applyBorder="1" applyAlignment="1">
      <alignment vertical="center"/>
    </xf>
    <xf numFmtId="0" fontId="27" fillId="0" borderId="125" xfId="0" applyFont="1" applyBorder="1">
      <alignment vertical="center"/>
    </xf>
    <xf numFmtId="0" fontId="27" fillId="0" borderId="126" xfId="0" applyFont="1" applyBorder="1">
      <alignment vertical="center"/>
    </xf>
    <xf numFmtId="0" fontId="27" fillId="0" borderId="126" xfId="0" applyFont="1" applyBorder="1" applyAlignment="1">
      <alignment horizontal="left" vertical="center"/>
    </xf>
    <xf numFmtId="179" fontId="27" fillId="0" borderId="127" xfId="1" applyNumberFormat="1" applyFont="1" applyBorder="1" applyAlignment="1">
      <alignment vertical="center"/>
    </xf>
    <xf numFmtId="210" fontId="27" fillId="22" borderId="122" xfId="1" applyNumberFormat="1" applyFont="1" applyFill="1" applyBorder="1" applyAlignment="1">
      <alignment vertical="center"/>
    </xf>
    <xf numFmtId="222" fontId="27" fillId="22" borderId="122" xfId="1" applyNumberFormat="1" applyFont="1" applyFill="1" applyBorder="1" applyAlignment="1">
      <alignment vertical="center"/>
    </xf>
    <xf numFmtId="210" fontId="27" fillId="0" borderId="122" xfId="1" applyNumberFormat="1" applyFont="1" applyFill="1" applyBorder="1" applyAlignment="1">
      <alignment vertical="center"/>
    </xf>
    <xf numFmtId="222" fontId="27" fillId="0" borderId="122" xfId="1" applyNumberFormat="1" applyFont="1" applyFill="1" applyBorder="1" applyAlignment="1">
      <alignment vertical="center"/>
    </xf>
    <xf numFmtId="210" fontId="28" fillId="22" borderId="27" xfId="1" applyNumberFormat="1" applyFont="1" applyFill="1" applyBorder="1" applyAlignment="1">
      <alignment vertical="center"/>
    </xf>
    <xf numFmtId="222" fontId="28" fillId="22" borderId="27" xfId="1" applyNumberFormat="1" applyFont="1" applyFill="1" applyBorder="1" applyAlignment="1">
      <alignment vertical="center"/>
    </xf>
    <xf numFmtId="210" fontId="28" fillId="0" borderId="27" xfId="1" applyNumberFormat="1" applyFont="1" applyFill="1" applyBorder="1" applyAlignment="1">
      <alignment vertical="center"/>
    </xf>
    <xf numFmtId="222" fontId="28" fillId="0" borderId="27" xfId="1" applyNumberFormat="1" applyFont="1" applyFill="1" applyBorder="1" applyAlignment="1">
      <alignment vertical="center"/>
    </xf>
    <xf numFmtId="0" fontId="28" fillId="0" borderId="93" xfId="0" applyFont="1" applyBorder="1">
      <alignment vertical="center"/>
    </xf>
    <xf numFmtId="41" fontId="28" fillId="8" borderId="13" xfId="1" applyFont="1" applyFill="1" applyBorder="1" applyAlignment="1">
      <alignment vertical="center"/>
    </xf>
    <xf numFmtId="0" fontId="28" fillId="0" borderId="193" xfId="0" applyFont="1" applyBorder="1">
      <alignment vertical="center"/>
    </xf>
    <xf numFmtId="179" fontId="28" fillId="0" borderId="30" xfId="1" applyNumberFormat="1" applyFont="1" applyFill="1" applyBorder="1" applyAlignment="1">
      <alignment vertical="center"/>
    </xf>
    <xf numFmtId="0" fontId="28" fillId="7" borderId="93" xfId="0" applyFont="1" applyFill="1" applyBorder="1">
      <alignment vertical="center"/>
    </xf>
    <xf numFmtId="0" fontId="51" fillId="0" borderId="12" xfId="0" applyFont="1" applyBorder="1">
      <alignment vertical="center"/>
    </xf>
    <xf numFmtId="0" fontId="51" fillId="0" borderId="93" xfId="0" applyFont="1" applyBorder="1">
      <alignment vertical="center"/>
    </xf>
    <xf numFmtId="0" fontId="51" fillId="0" borderId="0" xfId="0" applyFont="1" applyAlignment="1">
      <alignment horizontal="left" vertical="center"/>
    </xf>
    <xf numFmtId="179" fontId="51" fillId="0" borderId="18" xfId="1" applyNumberFormat="1" applyFont="1" applyFill="1" applyBorder="1" applyAlignment="1">
      <alignment vertical="center"/>
    </xf>
    <xf numFmtId="179" fontId="51" fillId="22" borderId="18" xfId="1" applyNumberFormat="1" applyFont="1" applyFill="1" applyBorder="1" applyAlignment="1">
      <alignment vertical="center"/>
    </xf>
    <xf numFmtId="41" fontId="51" fillId="22" borderId="13" xfId="1" applyFont="1" applyFill="1" applyBorder="1" applyAlignment="1">
      <alignment vertical="center"/>
    </xf>
    <xf numFmtId="41" fontId="51" fillId="0" borderId="13" xfId="1" applyFont="1" applyFill="1" applyBorder="1" applyAlignment="1">
      <alignment vertical="center"/>
    </xf>
    <xf numFmtId="210" fontId="51" fillId="0" borderId="13" xfId="1" applyNumberFormat="1" applyFont="1" applyFill="1" applyBorder="1" applyAlignment="1">
      <alignment vertical="center"/>
    </xf>
    <xf numFmtId="41" fontId="28" fillId="22" borderId="129" xfId="1" applyFont="1" applyFill="1" applyBorder="1" applyAlignment="1">
      <alignment vertical="center"/>
    </xf>
    <xf numFmtId="41" fontId="28" fillId="22" borderId="139" xfId="1" applyFont="1" applyFill="1" applyBorder="1" applyAlignment="1">
      <alignment vertical="center"/>
    </xf>
    <xf numFmtId="179" fontId="28" fillId="22" borderId="32" xfId="1" applyNumberFormat="1" applyFont="1" applyFill="1" applyBorder="1" applyAlignment="1">
      <alignment vertical="center"/>
    </xf>
    <xf numFmtId="179" fontId="28" fillId="22" borderId="136" xfId="1" applyNumberFormat="1" applyFont="1" applyFill="1" applyBorder="1" applyAlignment="1">
      <alignment vertical="center"/>
    </xf>
    <xf numFmtId="222" fontId="28" fillId="22" borderId="134" xfId="1" applyNumberFormat="1" applyFont="1" applyFill="1" applyBorder="1" applyAlignment="1">
      <alignment vertical="center"/>
    </xf>
    <xf numFmtId="202" fontId="28" fillId="22" borderId="18" xfId="1" applyNumberFormat="1" applyFont="1" applyFill="1" applyBorder="1" applyAlignment="1">
      <alignment vertical="center"/>
    </xf>
    <xf numFmtId="202" fontId="28" fillId="22" borderId="27" xfId="1" applyNumberFormat="1" applyFont="1" applyFill="1" applyBorder="1" applyAlignment="1">
      <alignment vertical="center"/>
    </xf>
    <xf numFmtId="192" fontId="28" fillId="22" borderId="18" xfId="1" applyNumberFormat="1" applyFont="1" applyFill="1" applyBorder="1" applyAlignment="1">
      <alignment vertical="center"/>
    </xf>
    <xf numFmtId="192" fontId="28" fillId="22" borderId="13" xfId="1" applyNumberFormat="1" applyFont="1" applyFill="1" applyBorder="1" applyAlignment="1">
      <alignment vertical="center"/>
    </xf>
    <xf numFmtId="192" fontId="28" fillId="0" borderId="13" xfId="1" applyNumberFormat="1" applyFont="1" applyFill="1" applyBorder="1" applyAlignment="1">
      <alignment vertical="center"/>
    </xf>
    <xf numFmtId="179" fontId="28" fillId="0" borderId="13" xfId="1" applyNumberFormat="1" applyFont="1" applyFill="1" applyBorder="1" applyAlignment="1">
      <alignment vertical="center"/>
    </xf>
    <xf numFmtId="202" fontId="28" fillId="22" borderId="122" xfId="1" applyNumberFormat="1" applyFont="1" applyFill="1" applyBorder="1" applyAlignment="1">
      <alignment vertical="center"/>
    </xf>
    <xf numFmtId="0" fontId="28" fillId="22" borderId="0" xfId="0" applyFont="1" applyFill="1">
      <alignment vertical="center"/>
    </xf>
    <xf numFmtId="41" fontId="28" fillId="22" borderId="0" xfId="1" applyFont="1" applyFill="1" applyAlignment="1">
      <alignment vertical="center"/>
    </xf>
    <xf numFmtId="202" fontId="28" fillId="22" borderId="0" xfId="0" applyNumberFormat="1" applyFont="1" applyFill="1">
      <alignment vertical="center"/>
    </xf>
    <xf numFmtId="198" fontId="28" fillId="22" borderId="0" xfId="1" applyNumberFormat="1" applyFont="1" applyFill="1" applyAlignment="1">
      <alignment vertical="center"/>
    </xf>
    <xf numFmtId="199" fontId="28" fillId="22" borderId="0" xfId="1" applyNumberFormat="1" applyFont="1" applyFill="1" applyAlignment="1">
      <alignment vertical="center"/>
    </xf>
    <xf numFmtId="181" fontId="28" fillId="22" borderId="0" xfId="1" applyNumberFormat="1" applyFont="1" applyFill="1" applyAlignment="1">
      <alignment vertical="center"/>
    </xf>
    <xf numFmtId="187" fontId="28" fillId="22" borderId="0" xfId="1" applyNumberFormat="1" applyFont="1" applyFill="1" applyAlignment="1">
      <alignment vertical="center"/>
    </xf>
    <xf numFmtId="0" fontId="28" fillId="17" borderId="125" xfId="0" applyFont="1" applyFill="1" applyBorder="1" applyAlignment="1">
      <alignment horizontal="center" vertical="center"/>
    </xf>
    <xf numFmtId="179" fontId="28" fillId="22" borderId="36" xfId="1" applyNumberFormat="1" applyFont="1" applyFill="1" applyBorder="1" applyAlignment="1">
      <alignment vertical="center"/>
    </xf>
    <xf numFmtId="41" fontId="28" fillId="22" borderId="38" xfId="1" applyFont="1" applyFill="1" applyBorder="1" applyAlignment="1">
      <alignment vertical="center"/>
    </xf>
    <xf numFmtId="41" fontId="28" fillId="7" borderId="134" xfId="1" applyFont="1" applyFill="1" applyBorder="1" applyAlignment="1">
      <alignment vertical="center"/>
    </xf>
    <xf numFmtId="41" fontId="51" fillId="22" borderId="139" xfId="1" applyFont="1" applyFill="1" applyBorder="1" applyAlignment="1">
      <alignment vertical="center"/>
    </xf>
    <xf numFmtId="41" fontId="51" fillId="22" borderId="33" xfId="1" applyFont="1" applyFill="1" applyBorder="1" applyAlignment="1">
      <alignment vertical="center"/>
    </xf>
    <xf numFmtId="41" fontId="41" fillId="0" borderId="0" xfId="1" applyFont="1" applyAlignment="1">
      <alignment horizontal="center" vertical="center"/>
    </xf>
    <xf numFmtId="0" fontId="47" fillId="7" borderId="0" xfId="0" applyFont="1" applyFill="1">
      <alignment vertical="center"/>
    </xf>
    <xf numFmtId="41" fontId="47" fillId="22" borderId="139" xfId="1" applyFont="1" applyFill="1" applyBorder="1" applyAlignment="1">
      <alignment vertical="center"/>
    </xf>
    <xf numFmtId="41" fontId="28" fillId="7" borderId="33" xfId="1" applyFont="1" applyFill="1" applyBorder="1" applyAlignment="1">
      <alignment vertical="center"/>
    </xf>
    <xf numFmtId="41" fontId="47" fillId="22" borderId="38" xfId="1" applyFont="1" applyFill="1" applyBorder="1" applyAlignment="1">
      <alignment vertical="center"/>
    </xf>
    <xf numFmtId="181" fontId="47" fillId="22" borderId="38" xfId="1" applyNumberFormat="1" applyFont="1" applyFill="1" applyBorder="1" applyAlignment="1">
      <alignment vertical="center"/>
    </xf>
    <xf numFmtId="41" fontId="28" fillId="7" borderId="38" xfId="1" applyFont="1" applyFill="1" applyBorder="1" applyAlignment="1">
      <alignment vertical="center"/>
    </xf>
    <xf numFmtId="41" fontId="47" fillId="22" borderId="134" xfId="1" applyFont="1" applyFill="1" applyBorder="1" applyAlignment="1">
      <alignment vertical="center"/>
    </xf>
    <xf numFmtId="181" fontId="47" fillId="22" borderId="139" xfId="1" applyNumberFormat="1" applyFont="1" applyFill="1" applyBorder="1" applyAlignment="1">
      <alignment vertical="center"/>
    </xf>
    <xf numFmtId="181" fontId="28" fillId="22" borderId="139" xfId="1" applyNumberFormat="1" applyFont="1" applyFill="1" applyBorder="1" applyAlignment="1">
      <alignment vertical="center"/>
    </xf>
    <xf numFmtId="181" fontId="28" fillId="0" borderId="139" xfId="1" applyNumberFormat="1" applyFont="1" applyFill="1" applyBorder="1" applyAlignment="1">
      <alignment vertical="center"/>
    </xf>
    <xf numFmtId="181" fontId="47" fillId="22" borderId="33" xfId="1" applyNumberFormat="1" applyFont="1" applyFill="1" applyBorder="1" applyAlignment="1">
      <alignment vertical="center"/>
    </xf>
    <xf numFmtId="181" fontId="28" fillId="7" borderId="33" xfId="1" applyNumberFormat="1" applyFont="1" applyFill="1" applyBorder="1" applyAlignment="1">
      <alignment vertical="center"/>
    </xf>
    <xf numFmtId="181" fontId="28" fillId="0" borderId="33" xfId="1" applyNumberFormat="1" applyFont="1" applyFill="1" applyBorder="1" applyAlignment="1">
      <alignment vertical="center"/>
    </xf>
    <xf numFmtId="181" fontId="28" fillId="7" borderId="38" xfId="1" applyNumberFormat="1" applyFont="1" applyFill="1" applyBorder="1" applyAlignment="1">
      <alignment vertical="center"/>
    </xf>
    <xf numFmtId="181" fontId="47" fillId="22" borderId="134" xfId="1" applyNumberFormat="1" applyFont="1" applyFill="1" applyBorder="1" applyAlignment="1">
      <alignment vertical="center"/>
    </xf>
    <xf numFmtId="181" fontId="28" fillId="7" borderId="134" xfId="1" applyNumberFormat="1" applyFont="1" applyFill="1" applyBorder="1" applyAlignment="1">
      <alignment vertical="center"/>
    </xf>
    <xf numFmtId="181" fontId="28" fillId="0" borderId="134" xfId="1" applyNumberFormat="1" applyFont="1" applyFill="1" applyBorder="1" applyAlignment="1">
      <alignment vertical="center"/>
    </xf>
    <xf numFmtId="199" fontId="28" fillId="0" borderId="134" xfId="1" applyNumberFormat="1" applyFont="1" applyFill="1" applyBorder="1" applyAlignment="1">
      <alignment vertical="center"/>
    </xf>
    <xf numFmtId="223" fontId="41" fillId="0" borderId="0" xfId="0" applyNumberFormat="1" applyFont="1" applyAlignment="1">
      <alignment horizontal="center" vertical="center"/>
    </xf>
    <xf numFmtId="202" fontId="28" fillId="22" borderId="38" xfId="1" applyNumberFormat="1" applyFont="1" applyFill="1" applyBorder="1" applyAlignment="1">
      <alignment vertical="center"/>
    </xf>
    <xf numFmtId="179" fontId="28" fillId="22" borderId="127" xfId="1" applyNumberFormat="1" applyFont="1" applyFill="1" applyBorder="1" applyAlignment="1">
      <alignment vertical="center"/>
    </xf>
    <xf numFmtId="41" fontId="28" fillId="7" borderId="122" xfId="1" applyFont="1" applyFill="1" applyBorder="1" applyAlignment="1">
      <alignment vertical="center"/>
    </xf>
    <xf numFmtId="10" fontId="47" fillId="3" borderId="123" xfId="1" applyNumberFormat="1" applyFont="1" applyFill="1" applyBorder="1" applyAlignment="1">
      <alignment vertical="center"/>
    </xf>
    <xf numFmtId="41" fontId="28" fillId="0" borderId="123" xfId="1" applyFont="1" applyFill="1" applyBorder="1" applyAlignment="1">
      <alignment vertical="center"/>
    </xf>
    <xf numFmtId="188" fontId="28" fillId="17" borderId="195" xfId="0" applyNumberFormat="1" applyFont="1" applyFill="1" applyBorder="1" applyAlignment="1">
      <alignment horizontal="center" vertical="center" shrinkToFit="1"/>
    </xf>
    <xf numFmtId="188" fontId="53" fillId="0" borderId="0" xfId="0" applyNumberFormat="1" applyFont="1" applyAlignment="1">
      <alignment horizontal="center" vertical="center" shrinkToFit="1"/>
    </xf>
    <xf numFmtId="210" fontId="28" fillId="22" borderId="131" xfId="1" applyNumberFormat="1" applyFont="1" applyFill="1" applyBorder="1" applyAlignment="1">
      <alignment vertical="center"/>
    </xf>
    <xf numFmtId="210" fontId="28" fillId="22" borderId="132" xfId="1" applyNumberFormat="1" applyFont="1" applyFill="1" applyBorder="1" applyAlignment="1">
      <alignment vertical="center"/>
    </xf>
    <xf numFmtId="210" fontId="28" fillId="22" borderId="130" xfId="1" applyNumberFormat="1" applyFont="1" applyFill="1" applyBorder="1" applyAlignment="1">
      <alignment vertical="center"/>
    </xf>
    <xf numFmtId="210" fontId="28" fillId="0" borderId="196" xfId="1" applyNumberFormat="1" applyFont="1" applyFill="1" applyBorder="1" applyAlignment="1">
      <alignment vertical="center"/>
    </xf>
    <xf numFmtId="210" fontId="28" fillId="22" borderId="53" xfId="1" applyNumberFormat="1" applyFont="1" applyFill="1" applyBorder="1" applyAlignment="1">
      <alignment vertical="center"/>
    </xf>
    <xf numFmtId="210" fontId="28" fillId="22" borderId="142" xfId="1" applyNumberFormat="1" applyFont="1" applyFill="1" applyBorder="1" applyAlignment="1">
      <alignment vertical="center"/>
    </xf>
    <xf numFmtId="210" fontId="28" fillId="22" borderId="141" xfId="1" applyNumberFormat="1" applyFont="1" applyFill="1" applyBorder="1" applyAlignment="1">
      <alignment vertical="center"/>
    </xf>
    <xf numFmtId="210" fontId="28" fillId="0" borderId="31" xfId="1" applyNumberFormat="1" applyFont="1" applyFill="1" applyBorder="1" applyAlignment="1">
      <alignment vertical="center"/>
    </xf>
    <xf numFmtId="210" fontId="28" fillId="22" borderId="56" xfId="1" applyNumberFormat="1" applyFont="1" applyFill="1" applyBorder="1" applyAlignment="1">
      <alignment vertical="center"/>
    </xf>
    <xf numFmtId="210" fontId="28" fillId="22" borderId="133" xfId="1" applyNumberFormat="1" applyFont="1" applyFill="1" applyBorder="1" applyAlignment="1">
      <alignment vertical="center"/>
    </xf>
    <xf numFmtId="210" fontId="28" fillId="22" borderId="57" xfId="1" applyNumberFormat="1" applyFont="1" applyFill="1" applyBorder="1" applyAlignment="1">
      <alignment vertical="center"/>
    </xf>
    <xf numFmtId="210" fontId="28" fillId="0" borderId="34" xfId="1" applyNumberFormat="1" applyFont="1" applyFill="1" applyBorder="1" applyAlignment="1">
      <alignment vertical="center"/>
    </xf>
    <xf numFmtId="210" fontId="28" fillId="22" borderId="98" xfId="1" applyNumberFormat="1" applyFont="1" applyFill="1" applyBorder="1" applyAlignment="1">
      <alignment vertical="center"/>
    </xf>
    <xf numFmtId="210" fontId="28" fillId="22" borderId="100" xfId="1" applyNumberFormat="1" applyFont="1" applyFill="1" applyBorder="1" applyAlignment="1">
      <alignment vertical="center"/>
    </xf>
    <xf numFmtId="210" fontId="28" fillId="22" borderId="101" xfId="1" applyNumberFormat="1" applyFont="1" applyFill="1" applyBorder="1" applyAlignment="1">
      <alignment vertical="center"/>
    </xf>
    <xf numFmtId="210" fontId="28" fillId="22" borderId="99" xfId="1" applyNumberFormat="1" applyFont="1" applyFill="1" applyBorder="1" applyAlignment="1">
      <alignment vertical="center"/>
    </xf>
    <xf numFmtId="210" fontId="28" fillId="0" borderId="99" xfId="1" applyNumberFormat="1" applyFont="1" applyFill="1" applyBorder="1" applyAlignment="1">
      <alignment vertical="center"/>
    </xf>
    <xf numFmtId="210" fontId="28" fillId="0" borderId="100" xfId="1" applyNumberFormat="1" applyFont="1" applyFill="1" applyBorder="1" applyAlignment="1">
      <alignment vertical="center"/>
    </xf>
    <xf numFmtId="210" fontId="28" fillId="0" borderId="101" xfId="1" applyNumberFormat="1" applyFont="1" applyFill="1" applyBorder="1" applyAlignment="1">
      <alignment vertical="center"/>
    </xf>
    <xf numFmtId="222" fontId="28" fillId="0" borderId="101" xfId="1" applyNumberFormat="1" applyFont="1" applyFill="1" applyBorder="1" applyAlignment="1">
      <alignment vertical="center"/>
    </xf>
    <xf numFmtId="210" fontId="28" fillId="0" borderId="97" xfId="1" applyNumberFormat="1" applyFont="1" applyFill="1" applyBorder="1" applyAlignment="1">
      <alignment vertical="center"/>
    </xf>
    <xf numFmtId="185" fontId="28" fillId="0" borderId="123" xfId="1" applyNumberFormat="1" applyFont="1" applyBorder="1" applyAlignment="1">
      <alignment vertical="center"/>
    </xf>
    <xf numFmtId="209" fontId="28" fillId="22" borderId="142" xfId="1" applyNumberFormat="1" applyFont="1" applyFill="1" applyBorder="1" applyAlignment="1">
      <alignment vertical="center"/>
    </xf>
    <xf numFmtId="209" fontId="28" fillId="8" borderId="133" xfId="1" applyNumberFormat="1" applyFont="1" applyFill="1" applyBorder="1" applyAlignment="1">
      <alignment vertical="center"/>
    </xf>
    <xf numFmtId="0" fontId="28" fillId="0" borderId="123" xfId="0" applyFont="1" applyBorder="1" applyAlignment="1">
      <alignment horizontal="distributed" vertical="center"/>
    </xf>
    <xf numFmtId="41" fontId="28" fillId="22" borderId="98" xfId="1" applyFont="1" applyFill="1" applyBorder="1" applyAlignment="1">
      <alignment vertical="center"/>
    </xf>
    <xf numFmtId="210" fontId="47" fillId="0" borderId="0" xfId="1" applyNumberFormat="1" applyFont="1" applyFill="1" applyBorder="1" applyAlignment="1">
      <alignment vertical="center"/>
    </xf>
    <xf numFmtId="41" fontId="28" fillId="22" borderId="50" xfId="1" applyFont="1" applyFill="1" applyBorder="1" applyAlignment="1">
      <alignment vertical="center"/>
    </xf>
    <xf numFmtId="181" fontId="51" fillId="0" borderId="0" xfId="1" applyNumberFormat="1" applyFont="1" applyFill="1" applyBorder="1" applyAlignment="1">
      <alignment vertical="center"/>
    </xf>
    <xf numFmtId="212" fontId="51" fillId="0" borderId="0" xfId="1" applyNumberFormat="1" applyFont="1" applyFill="1" applyBorder="1" applyAlignment="1">
      <alignment vertical="center"/>
    </xf>
    <xf numFmtId="224" fontId="28" fillId="0" borderId="0" xfId="0" applyNumberFormat="1" applyFont="1" applyAlignment="1">
      <alignment vertical="center" shrinkToFit="1"/>
    </xf>
    <xf numFmtId="0" fontId="28" fillId="0" borderId="0" xfId="0" applyFont="1" applyAlignment="1">
      <alignment vertical="center" shrinkToFit="1"/>
    </xf>
    <xf numFmtId="0" fontId="28" fillId="0" borderId="0" xfId="0" applyFont="1" applyAlignment="1">
      <alignment horizontal="right" vertical="center" shrinkToFit="1"/>
    </xf>
    <xf numFmtId="179" fontId="28" fillId="0" borderId="18" xfId="1" applyNumberFormat="1" applyFont="1" applyBorder="1">
      <alignment vertical="center"/>
    </xf>
    <xf numFmtId="179" fontId="28" fillId="22" borderId="18" xfId="1" applyNumberFormat="1" applyFont="1" applyFill="1" applyBorder="1">
      <alignment vertical="center"/>
    </xf>
    <xf numFmtId="41" fontId="28" fillId="22" borderId="18" xfId="1" applyFont="1" applyFill="1" applyBorder="1" applyAlignment="1">
      <alignment vertical="center" shrinkToFit="1"/>
    </xf>
    <xf numFmtId="41" fontId="28" fillId="0" borderId="18" xfId="1" applyFont="1" applyBorder="1" applyAlignment="1">
      <alignment vertical="center" shrinkToFit="1"/>
    </xf>
    <xf numFmtId="41" fontId="28" fillId="0" borderId="0" xfId="1" applyFont="1" applyBorder="1" applyAlignment="1">
      <alignment vertical="center" shrinkToFit="1"/>
    </xf>
    <xf numFmtId="41" fontId="28" fillId="0" borderId="0" xfId="1" applyFont="1" applyFill="1" applyBorder="1" applyAlignment="1">
      <alignment vertical="center" shrinkToFit="1"/>
    </xf>
    <xf numFmtId="179" fontId="28" fillId="0" borderId="32" xfId="1" applyNumberFormat="1" applyFont="1" applyBorder="1">
      <alignment vertical="center"/>
    </xf>
    <xf numFmtId="179" fontId="28" fillId="22" borderId="32" xfId="1" applyNumberFormat="1" applyFont="1" applyFill="1" applyBorder="1">
      <alignment vertical="center"/>
    </xf>
    <xf numFmtId="41" fontId="28" fillId="22" borderId="32" xfId="1" applyFont="1" applyFill="1" applyBorder="1" applyAlignment="1">
      <alignment vertical="center" shrinkToFit="1"/>
    </xf>
    <xf numFmtId="41" fontId="28" fillId="0" borderId="32" xfId="1" applyFont="1" applyBorder="1" applyAlignment="1">
      <alignment vertical="center" shrinkToFit="1"/>
    </xf>
    <xf numFmtId="41" fontId="28" fillId="0" borderId="39" xfId="1" applyFont="1" applyBorder="1" applyAlignment="1">
      <alignment vertical="center" shrinkToFit="1"/>
    </xf>
    <xf numFmtId="179" fontId="28" fillId="0" borderId="36" xfId="1" applyNumberFormat="1" applyFont="1" applyBorder="1">
      <alignment vertical="center"/>
    </xf>
    <xf numFmtId="179" fontId="28" fillId="22" borderId="36" xfId="1" applyNumberFormat="1" applyFont="1" applyFill="1" applyBorder="1">
      <alignment vertical="center"/>
    </xf>
    <xf numFmtId="41" fontId="28" fillId="22" borderId="36" xfId="1" applyFont="1" applyFill="1" applyBorder="1" applyAlignment="1">
      <alignment vertical="center" shrinkToFit="1"/>
    </xf>
    <xf numFmtId="41" fontId="28" fillId="0" borderId="36" xfId="1" applyFont="1" applyBorder="1" applyAlignment="1">
      <alignment vertical="center" shrinkToFit="1"/>
    </xf>
    <xf numFmtId="41" fontId="28" fillId="0" borderId="37" xfId="1" applyFont="1" applyBorder="1" applyAlignment="1">
      <alignment vertical="center" shrinkToFit="1"/>
    </xf>
    <xf numFmtId="179" fontId="28" fillId="0" borderId="136" xfId="1" applyNumberFormat="1" applyFont="1" applyBorder="1">
      <alignment vertical="center"/>
    </xf>
    <xf numFmtId="179" fontId="28" fillId="22" borderId="136" xfId="1" applyNumberFormat="1" applyFont="1" applyFill="1" applyBorder="1">
      <alignment vertical="center"/>
    </xf>
    <xf numFmtId="41" fontId="28" fillId="22" borderId="136" xfId="1" applyFont="1" applyFill="1" applyBorder="1" applyAlignment="1">
      <alignment vertical="center" shrinkToFit="1"/>
    </xf>
    <xf numFmtId="41" fontId="28" fillId="7" borderId="136" xfId="1" applyFont="1" applyFill="1" applyBorder="1" applyAlignment="1">
      <alignment vertical="center" shrinkToFit="1"/>
    </xf>
    <xf numFmtId="41" fontId="28" fillId="0" borderId="136" xfId="1" applyFont="1" applyBorder="1" applyAlignment="1">
      <alignment vertical="center" shrinkToFit="1"/>
    </xf>
    <xf numFmtId="41" fontId="28" fillId="0" borderId="123" xfId="1" applyFont="1" applyBorder="1" applyAlignment="1">
      <alignment vertical="center" shrinkToFit="1"/>
    </xf>
    <xf numFmtId="0" fontId="27" fillId="0" borderId="0" xfId="0" applyFont="1" applyAlignment="1">
      <alignment horizontal="left" vertical="center"/>
    </xf>
    <xf numFmtId="41" fontId="28" fillId="0" borderId="0" xfId="1" applyFont="1" applyAlignment="1">
      <alignment vertical="center" shrinkToFit="1"/>
    </xf>
    <xf numFmtId="211" fontId="28" fillId="0" borderId="0" xfId="0" applyNumberFormat="1" applyFont="1" applyAlignment="1">
      <alignment vertical="center" shrinkToFit="1"/>
    </xf>
    <xf numFmtId="43" fontId="103" fillId="0" borderId="0" xfId="0" applyNumberFormat="1" applyFont="1" applyAlignment="1">
      <alignment vertical="center" shrinkToFit="1"/>
    </xf>
    <xf numFmtId="210" fontId="28" fillId="0" borderId="0" xfId="0" applyNumberFormat="1" applyFont="1" applyAlignment="1">
      <alignment vertical="center" shrinkToFit="1"/>
    </xf>
    <xf numFmtId="210" fontId="28" fillId="22" borderId="18" xfId="1" applyNumberFormat="1" applyFont="1" applyFill="1" applyBorder="1" applyAlignment="1">
      <alignment vertical="center" shrinkToFit="1"/>
    </xf>
    <xf numFmtId="210" fontId="28" fillId="7" borderId="18" xfId="1" applyNumberFormat="1" applyFont="1" applyFill="1" applyBorder="1" applyAlignment="1">
      <alignment vertical="center" shrinkToFit="1"/>
    </xf>
    <xf numFmtId="210" fontId="28" fillId="0" borderId="18" xfId="1" applyNumberFormat="1" applyFont="1" applyBorder="1" applyAlignment="1">
      <alignment vertical="center" shrinkToFit="1"/>
    </xf>
    <xf numFmtId="210" fontId="28" fillId="0" borderId="0" xfId="1" applyNumberFormat="1" applyFont="1" applyBorder="1" applyAlignment="1">
      <alignment vertical="center" shrinkToFit="1"/>
    </xf>
    <xf numFmtId="210" fontId="28" fillId="0" borderId="0" xfId="1" applyNumberFormat="1" applyFont="1" applyFill="1" applyBorder="1" applyAlignment="1">
      <alignment vertical="center" shrinkToFit="1"/>
    </xf>
    <xf numFmtId="210" fontId="28" fillId="22" borderId="32" xfId="1" applyNumberFormat="1" applyFont="1" applyFill="1" applyBorder="1" applyAlignment="1">
      <alignment vertical="center" shrinkToFit="1"/>
    </xf>
    <xf numFmtId="210" fontId="28" fillId="7" borderId="32" xfId="1" applyNumberFormat="1" applyFont="1" applyFill="1" applyBorder="1" applyAlignment="1">
      <alignment vertical="center" shrinkToFit="1"/>
    </xf>
    <xf numFmtId="210" fontId="28" fillId="0" borderId="32" xfId="1" applyNumberFormat="1" applyFont="1" applyBorder="1" applyAlignment="1">
      <alignment vertical="center" shrinkToFit="1"/>
    </xf>
    <xf numFmtId="210" fontId="28" fillId="0" borderId="39" xfId="1" applyNumberFormat="1" applyFont="1" applyBorder="1" applyAlignment="1">
      <alignment vertical="center" shrinkToFit="1"/>
    </xf>
    <xf numFmtId="210" fontId="28" fillId="22" borderId="136" xfId="1" applyNumberFormat="1" applyFont="1" applyFill="1" applyBorder="1" applyAlignment="1">
      <alignment vertical="center" shrinkToFit="1"/>
    </xf>
    <xf numFmtId="210" fontId="28" fillId="7" borderId="136" xfId="1" applyNumberFormat="1" applyFont="1" applyFill="1" applyBorder="1" applyAlignment="1">
      <alignment vertical="center" shrinkToFit="1"/>
    </xf>
    <xf numFmtId="210" fontId="28" fillId="0" borderId="136" xfId="1" applyNumberFormat="1" applyFont="1" applyBorder="1" applyAlignment="1">
      <alignment vertical="center" shrinkToFit="1"/>
    </xf>
    <xf numFmtId="210" fontId="28" fillId="0" borderId="123" xfId="1" applyNumberFormat="1" applyFont="1" applyBorder="1" applyAlignment="1">
      <alignment vertical="center" shrinkToFit="1"/>
    </xf>
    <xf numFmtId="210" fontId="28" fillId="22" borderId="36" xfId="1" applyNumberFormat="1" applyFont="1" applyFill="1" applyBorder="1" applyAlignment="1">
      <alignment vertical="center" shrinkToFit="1"/>
    </xf>
    <xf numFmtId="210" fontId="28" fillId="7" borderId="36" xfId="1" applyNumberFormat="1" applyFont="1" applyFill="1" applyBorder="1" applyAlignment="1">
      <alignment vertical="center" shrinkToFit="1"/>
    </xf>
    <xf numFmtId="210" fontId="28" fillId="0" borderId="36" xfId="1" applyNumberFormat="1" applyFont="1" applyBorder="1" applyAlignment="1">
      <alignment vertical="center" shrinkToFit="1"/>
    </xf>
    <xf numFmtId="210" fontId="28" fillId="0" borderId="37" xfId="1" applyNumberFormat="1" applyFont="1" applyBorder="1" applyAlignment="1">
      <alignment vertical="center" shrinkToFit="1"/>
    </xf>
    <xf numFmtId="179" fontId="28" fillId="0" borderId="127" xfId="1" applyNumberFormat="1" applyFont="1" applyBorder="1">
      <alignment vertical="center"/>
    </xf>
    <xf numFmtId="179" fontId="28" fillId="22" borderId="127" xfId="1" applyNumberFormat="1" applyFont="1" applyFill="1" applyBorder="1">
      <alignment vertical="center"/>
    </xf>
    <xf numFmtId="210" fontId="28" fillId="22" borderId="127" xfId="1" applyNumberFormat="1" applyFont="1" applyFill="1" applyBorder="1" applyAlignment="1">
      <alignment vertical="center" shrinkToFit="1"/>
    </xf>
    <xf numFmtId="210" fontId="28" fillId="7" borderId="127" xfId="1" applyNumberFormat="1" applyFont="1" applyFill="1" applyBorder="1" applyAlignment="1">
      <alignment vertical="center" shrinkToFit="1"/>
    </xf>
    <xf numFmtId="210" fontId="28" fillId="0" borderId="127" xfId="1" applyNumberFormat="1" applyFont="1" applyBorder="1" applyAlignment="1">
      <alignment vertical="center" shrinkToFit="1"/>
    </xf>
    <xf numFmtId="210" fontId="28" fillId="0" borderId="126" xfId="1" applyNumberFormat="1" applyFont="1" applyBorder="1" applyAlignment="1">
      <alignment vertical="center" shrinkToFit="1"/>
    </xf>
    <xf numFmtId="179" fontId="28" fillId="0" borderId="126" xfId="1" applyNumberFormat="1" applyFont="1" applyBorder="1">
      <alignment vertical="center"/>
    </xf>
    <xf numFmtId="0" fontId="28" fillId="0" borderId="0" xfId="0" applyFont="1" applyAlignment="1">
      <alignment horizontal="justify" vertical="center"/>
    </xf>
    <xf numFmtId="181" fontId="28" fillId="0" borderId="0" xfId="1" applyNumberFormat="1" applyFont="1" applyFill="1" applyBorder="1" applyAlignment="1">
      <alignment vertical="center" shrinkToFit="1"/>
    </xf>
    <xf numFmtId="181" fontId="28" fillId="22" borderId="36" xfId="1" applyNumberFormat="1" applyFont="1" applyFill="1" applyBorder="1" applyAlignment="1">
      <alignment vertical="center" shrinkToFit="1"/>
    </xf>
    <xf numFmtId="181" fontId="28" fillId="0" borderId="36" xfId="1" applyNumberFormat="1" applyFont="1" applyBorder="1" applyAlignment="1">
      <alignment vertical="center" shrinkToFit="1"/>
    </xf>
    <xf numFmtId="181" fontId="28" fillId="0" borderId="37" xfId="1" applyNumberFormat="1" applyFont="1" applyBorder="1" applyAlignment="1">
      <alignment vertical="center" shrinkToFit="1"/>
    </xf>
    <xf numFmtId="181" fontId="28" fillId="22" borderId="32" xfId="1" applyNumberFormat="1" applyFont="1" applyFill="1" applyBorder="1" applyAlignment="1">
      <alignment vertical="center" shrinkToFit="1"/>
    </xf>
    <xf numFmtId="181" fontId="28" fillId="0" borderId="32" xfId="1" applyNumberFormat="1" applyFont="1" applyBorder="1" applyAlignment="1">
      <alignment vertical="center" shrinkToFit="1"/>
    </xf>
    <xf numFmtId="181" fontId="28" fillId="0" borderId="39" xfId="1" applyNumberFormat="1" applyFont="1" applyBorder="1" applyAlignment="1">
      <alignment vertical="center" shrinkToFit="1"/>
    </xf>
    <xf numFmtId="179" fontId="28" fillId="0" borderId="36" xfId="1" applyNumberFormat="1" applyFont="1" applyFill="1" applyBorder="1">
      <alignment vertical="center"/>
    </xf>
    <xf numFmtId="41" fontId="28" fillId="0" borderId="36" xfId="1" applyFont="1" applyFill="1" applyBorder="1" applyAlignment="1">
      <alignment vertical="center" shrinkToFit="1"/>
    </xf>
    <xf numFmtId="41" fontId="28" fillId="22" borderId="36" xfId="1" applyFont="1" applyFill="1" applyBorder="1" applyAlignment="1">
      <alignment horizontal="center" vertical="center" shrinkToFit="1"/>
    </xf>
    <xf numFmtId="41" fontId="51" fillId="22" borderId="36" xfId="1" applyFont="1" applyFill="1" applyBorder="1" applyAlignment="1">
      <alignment horizontal="center" vertical="center" shrinkToFit="1"/>
    </xf>
    <xf numFmtId="41" fontId="51" fillId="0" borderId="36" xfId="1" applyFont="1" applyFill="1" applyBorder="1" applyAlignment="1">
      <alignment horizontal="center" vertical="center" shrinkToFit="1"/>
    </xf>
    <xf numFmtId="41" fontId="28" fillId="0" borderId="36" xfId="1" applyFont="1" applyFill="1" applyBorder="1" applyAlignment="1">
      <alignment horizontal="center" vertical="center" shrinkToFit="1"/>
    </xf>
    <xf numFmtId="41" fontId="28" fillId="0" borderId="37" xfId="1" applyFont="1" applyFill="1" applyBorder="1" applyAlignment="1">
      <alignment horizontal="center" vertical="center" shrinkToFit="1"/>
    </xf>
    <xf numFmtId="41" fontId="28" fillId="0" borderId="0" xfId="1" applyFont="1" applyFill="1" applyBorder="1" applyAlignment="1">
      <alignment horizontal="center" vertical="center" shrinkToFit="1"/>
    </xf>
    <xf numFmtId="179" fontId="28" fillId="0" borderId="30" xfId="1" applyNumberFormat="1" applyFont="1" applyFill="1" applyBorder="1">
      <alignment vertical="center"/>
    </xf>
    <xf numFmtId="41" fontId="28" fillId="0" borderId="30" xfId="1" applyFont="1" applyFill="1" applyBorder="1" applyAlignment="1">
      <alignment vertical="center" shrinkToFit="1"/>
    </xf>
    <xf numFmtId="41" fontId="28" fillId="22" borderId="30" xfId="1" applyFont="1" applyFill="1" applyBorder="1" applyAlignment="1">
      <alignment vertical="center" shrinkToFit="1"/>
    </xf>
    <xf numFmtId="41" fontId="28" fillId="0" borderId="29" xfId="1" applyFont="1" applyFill="1" applyBorder="1" applyAlignment="1">
      <alignment vertical="center" shrinkToFit="1"/>
    </xf>
    <xf numFmtId="0" fontId="28" fillId="0" borderId="197" xfId="0" applyFont="1" applyBorder="1" applyAlignment="1">
      <alignment horizontal="left" vertical="center"/>
    </xf>
    <xf numFmtId="0" fontId="28" fillId="0" borderId="92" xfId="0" applyFont="1" applyBorder="1" applyAlignment="1">
      <alignment horizontal="left" vertical="center"/>
    </xf>
    <xf numFmtId="179" fontId="28" fillId="0" borderId="88" xfId="1" applyNumberFormat="1" applyFont="1" applyBorder="1">
      <alignment vertical="center"/>
    </xf>
    <xf numFmtId="41" fontId="28" fillId="0" borderId="88" xfId="1" applyFont="1" applyBorder="1" applyAlignment="1">
      <alignment vertical="center" shrinkToFit="1"/>
    </xf>
    <xf numFmtId="41" fontId="28" fillId="22" borderId="88" xfId="1" applyFont="1" applyFill="1" applyBorder="1" applyAlignment="1">
      <alignment vertical="center" shrinkToFit="1"/>
    </xf>
    <xf numFmtId="41" fontId="28" fillId="0" borderId="92" xfId="1" applyFont="1" applyBorder="1" applyAlignment="1">
      <alignment vertical="center" shrinkToFit="1"/>
    </xf>
    <xf numFmtId="179" fontId="28" fillId="0" borderId="198" xfId="1" applyNumberFormat="1" applyFont="1" applyBorder="1">
      <alignment vertical="center"/>
    </xf>
    <xf numFmtId="41" fontId="28" fillId="0" borderId="198" xfId="1" applyFont="1" applyBorder="1" applyAlignment="1">
      <alignment vertical="center" shrinkToFit="1"/>
    </xf>
    <xf numFmtId="41" fontId="28" fillId="22" borderId="198" xfId="1" applyFont="1" applyFill="1" applyBorder="1" applyAlignment="1">
      <alignment vertical="center" shrinkToFit="1"/>
    </xf>
    <xf numFmtId="0" fontId="28" fillId="0" borderId="199" xfId="0" applyFont="1" applyBorder="1" applyAlignment="1">
      <alignment horizontal="left" vertical="center"/>
    </xf>
    <xf numFmtId="41" fontId="28" fillId="0" borderId="127" xfId="1" applyFont="1" applyBorder="1" applyAlignment="1">
      <alignment vertical="center" shrinkToFit="1"/>
    </xf>
    <xf numFmtId="41" fontId="28" fillId="22" borderId="127" xfId="1" applyFont="1" applyFill="1" applyBorder="1" applyAlignment="1">
      <alignment vertical="center" shrinkToFit="1"/>
    </xf>
    <xf numFmtId="41" fontId="28" fillId="0" borderId="126" xfId="1" applyFont="1" applyBorder="1" applyAlignment="1">
      <alignment vertical="center" shrinkToFit="1"/>
    </xf>
    <xf numFmtId="179" fontId="28" fillId="0" borderId="0" xfId="1" applyNumberFormat="1" applyFont="1">
      <alignment vertical="center"/>
    </xf>
    <xf numFmtId="0" fontId="28" fillId="0" borderId="198" xfId="0" applyFont="1" applyBorder="1">
      <alignment vertical="center"/>
    </xf>
    <xf numFmtId="0" fontId="28" fillId="0" borderId="200" xfId="0" applyFont="1" applyBorder="1" applyAlignment="1">
      <alignment horizontal="left" vertical="center"/>
    </xf>
    <xf numFmtId="41" fontId="28" fillId="0" borderId="129" xfId="1" applyFont="1" applyBorder="1" applyAlignment="1">
      <alignment vertical="center" shrinkToFit="1"/>
    </xf>
    <xf numFmtId="41" fontId="28" fillId="22" borderId="129" xfId="1" applyFont="1" applyFill="1" applyBorder="1" applyAlignment="1">
      <alignment vertical="center" shrinkToFit="1"/>
    </xf>
    <xf numFmtId="41" fontId="28" fillId="0" borderId="23" xfId="1" applyFont="1" applyBorder="1" applyAlignment="1">
      <alignment vertical="center" shrinkToFit="1"/>
    </xf>
    <xf numFmtId="0" fontId="28" fillId="0" borderId="201" xfId="0" applyFont="1" applyBorder="1" applyAlignment="1">
      <alignment horizontal="left" vertical="center"/>
    </xf>
    <xf numFmtId="41" fontId="17" fillId="0" borderId="0" xfId="1" applyFont="1">
      <alignment vertical="center"/>
    </xf>
    <xf numFmtId="41" fontId="17" fillId="0" borderId="0" xfId="0" applyNumberFormat="1" applyFont="1">
      <alignment vertical="center"/>
    </xf>
    <xf numFmtId="181" fontId="17" fillId="0" borderId="0" xfId="0" applyNumberFormat="1" applyFont="1">
      <alignment vertical="center"/>
    </xf>
    <xf numFmtId="225" fontId="58" fillId="0" borderId="0" xfId="0" applyNumberFormat="1" applyFont="1">
      <alignment vertical="center"/>
    </xf>
    <xf numFmtId="0" fontId="58" fillId="29" borderId="85" xfId="0" applyFont="1" applyFill="1" applyBorder="1" applyAlignment="1">
      <alignment horizontal="justify" vertical="center" wrapText="1"/>
    </xf>
    <xf numFmtId="0" fontId="61" fillId="29" borderId="202" xfId="0" applyFont="1" applyFill="1" applyBorder="1" applyAlignment="1">
      <alignment horizontal="center" vertical="center" wrapText="1"/>
    </xf>
    <xf numFmtId="0" fontId="58" fillId="0" borderId="203" xfId="0" applyFont="1" applyBorder="1" applyAlignment="1">
      <alignment horizontal="justify"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58" fillId="0" borderId="8" xfId="0" applyFont="1" applyBorder="1" applyAlignment="1">
      <alignment horizontal="center" vertical="center" wrapText="1"/>
    </xf>
    <xf numFmtId="0" fontId="61" fillId="29" borderId="203" xfId="0" applyFont="1" applyFill="1" applyBorder="1" applyAlignment="1">
      <alignment horizontal="justify" vertical="center" wrapText="1"/>
    </xf>
    <xf numFmtId="0" fontId="61" fillId="29" borderId="8" xfId="0" applyFont="1" applyFill="1" applyBorder="1" applyAlignment="1">
      <alignment horizontal="center" vertical="center" wrapText="1"/>
    </xf>
    <xf numFmtId="0" fontId="58" fillId="15" borderId="85" xfId="0" applyFont="1" applyFill="1" applyBorder="1" applyAlignment="1">
      <alignment horizontal="center" vertical="center" wrapText="1"/>
    </xf>
    <xf numFmtId="0" fontId="58" fillId="16" borderId="122" xfId="0" applyFont="1" applyFill="1" applyBorder="1" applyAlignment="1">
      <alignment horizontal="left" vertical="center" wrapText="1"/>
    </xf>
    <xf numFmtId="0" fontId="104" fillId="16" borderId="122" xfId="0" applyFont="1" applyFill="1" applyBorder="1" applyAlignment="1">
      <alignment horizontal="right" vertical="center" wrapText="1"/>
    </xf>
    <xf numFmtId="10" fontId="58" fillId="0" borderId="0" xfId="0" applyNumberFormat="1" applyFont="1">
      <alignment vertical="center"/>
    </xf>
    <xf numFmtId="0" fontId="58" fillId="0" borderId="122" xfId="0" applyFont="1" applyBorder="1" applyAlignment="1">
      <alignment horizontal="left" vertical="center"/>
    </xf>
    <xf numFmtId="0" fontId="58" fillId="0" borderId="122" xfId="0" applyFont="1" applyBorder="1">
      <alignment vertical="center"/>
    </xf>
    <xf numFmtId="10" fontId="58" fillId="0" borderId="122" xfId="2" applyNumberFormat="1" applyFont="1" applyBorder="1">
      <alignment vertical="center"/>
    </xf>
    <xf numFmtId="10" fontId="58" fillId="0" borderId="0" xfId="2" applyNumberFormat="1" applyFont="1">
      <alignment vertical="center"/>
    </xf>
    <xf numFmtId="0" fontId="58" fillId="30" borderId="85" xfId="0" applyFont="1" applyFill="1" applyBorder="1" applyAlignment="1">
      <alignment horizontal="justify" vertical="center" wrapText="1"/>
    </xf>
    <xf numFmtId="0" fontId="61" fillId="30" borderId="202" xfId="0" applyFont="1" applyFill="1" applyBorder="1" applyAlignment="1">
      <alignment horizontal="center" vertical="center" wrapText="1"/>
    </xf>
    <xf numFmtId="0" fontId="60" fillId="0" borderId="203" xfId="0" applyFont="1" applyBorder="1" applyAlignment="1">
      <alignment horizontal="justify" vertical="center" wrapText="1"/>
    </xf>
    <xf numFmtId="225" fontId="58" fillId="0" borderId="8" xfId="0" applyNumberFormat="1" applyFont="1" applyBorder="1" applyAlignment="1">
      <alignment horizontal="center" vertical="center" wrapText="1"/>
    </xf>
    <xf numFmtId="0" fontId="58" fillId="0" borderId="0" xfId="0" applyFont="1" applyAlignment="1">
      <alignment horizontal="justify" vertical="center"/>
    </xf>
    <xf numFmtId="0" fontId="58" fillId="30" borderId="85" xfId="0" applyFont="1" applyFill="1" applyBorder="1" applyAlignment="1">
      <alignment horizontal="center" vertical="center" wrapText="1"/>
    </xf>
    <xf numFmtId="0" fontId="58" fillId="30" borderId="202" xfId="0" applyFont="1" applyFill="1" applyBorder="1" applyAlignment="1">
      <alignment horizontal="center" vertical="center" wrapText="1"/>
    </xf>
    <xf numFmtId="210" fontId="28" fillId="0" borderId="27" xfId="1" applyNumberFormat="1" applyFont="1" applyBorder="1" applyAlignment="1">
      <alignment vertical="center"/>
    </xf>
    <xf numFmtId="179" fontId="28" fillId="0" borderId="198" xfId="1" applyNumberFormat="1" applyFont="1" applyBorder="1" applyAlignment="1">
      <alignment vertical="center"/>
    </xf>
    <xf numFmtId="179" fontId="28" fillId="0" borderId="198" xfId="1" applyNumberFormat="1" applyFont="1" applyFill="1" applyBorder="1" applyAlignment="1">
      <alignment vertical="center"/>
    </xf>
    <xf numFmtId="209" fontId="28" fillId="0" borderId="13" xfId="1" applyNumberFormat="1" applyFont="1" applyBorder="1" applyAlignment="1">
      <alignment vertical="center"/>
    </xf>
    <xf numFmtId="177" fontId="28" fillId="3" borderId="0" xfId="0" applyNumberFormat="1" applyFont="1" applyFill="1">
      <alignment vertical="center"/>
    </xf>
    <xf numFmtId="177" fontId="28" fillId="3" borderId="87" xfId="0" applyNumberFormat="1" applyFont="1" applyFill="1" applyBorder="1">
      <alignment vertical="center"/>
    </xf>
    <xf numFmtId="177" fontId="28" fillId="3" borderId="92" xfId="0" applyNumberFormat="1" applyFont="1" applyFill="1" applyBorder="1">
      <alignment vertical="center"/>
    </xf>
    <xf numFmtId="177" fontId="28" fillId="3" borderId="92" xfId="0" applyNumberFormat="1" applyFont="1" applyFill="1" applyBorder="1" applyAlignment="1">
      <alignment horizontal="left" vertical="center"/>
    </xf>
    <xf numFmtId="177" fontId="28" fillId="3" borderId="88" xfId="1" applyNumberFormat="1" applyFont="1" applyFill="1" applyBorder="1" applyAlignment="1">
      <alignment vertical="center"/>
    </xf>
    <xf numFmtId="177" fontId="28" fillId="3" borderId="98" xfId="1" applyNumberFormat="1" applyFont="1" applyFill="1" applyBorder="1" applyAlignment="1">
      <alignment vertical="center"/>
    </xf>
    <xf numFmtId="177" fontId="28" fillId="22" borderId="98" xfId="1" applyNumberFormat="1" applyFont="1" applyFill="1" applyBorder="1" applyAlignment="1">
      <alignment vertical="center"/>
    </xf>
    <xf numFmtId="208" fontId="28" fillId="3" borderId="98" xfId="1" applyNumberFormat="1" applyFont="1" applyFill="1" applyBorder="1" applyAlignment="1">
      <alignment vertical="center"/>
    </xf>
    <xf numFmtId="181" fontId="28" fillId="22" borderId="134" xfId="1" applyNumberFormat="1" applyFont="1" applyFill="1" applyBorder="1" applyAlignment="1">
      <alignment vertical="center"/>
    </xf>
    <xf numFmtId="179" fontId="51" fillId="0" borderId="0" xfId="1" applyNumberFormat="1" applyFont="1" applyFill="1" applyBorder="1" applyAlignment="1">
      <alignment horizontal="right" vertical="center"/>
    </xf>
    <xf numFmtId="41" fontId="51" fillId="0" borderId="0" xfId="1" applyFont="1" applyFill="1" applyAlignment="1">
      <alignment vertical="center"/>
    </xf>
    <xf numFmtId="41" fontId="51" fillId="0" borderId="0" xfId="1" applyFont="1" applyFill="1" applyBorder="1" applyAlignment="1">
      <alignment vertical="center"/>
    </xf>
    <xf numFmtId="187" fontId="51" fillId="0" borderId="0" xfId="1" applyNumberFormat="1" applyFont="1" applyFill="1" applyBorder="1" applyAlignment="1">
      <alignment vertical="center"/>
    </xf>
    <xf numFmtId="179" fontId="28" fillId="0" borderId="0" xfId="1" applyNumberFormat="1" applyFont="1" applyFill="1" applyBorder="1" applyAlignment="1">
      <alignment horizontal="right" vertical="center"/>
    </xf>
    <xf numFmtId="0" fontId="105" fillId="0" borderId="0" xfId="0" applyFont="1">
      <alignment vertical="center"/>
    </xf>
    <xf numFmtId="0" fontId="106" fillId="6" borderId="0" xfId="0" applyFont="1" applyFill="1">
      <alignment vertical="center"/>
    </xf>
    <xf numFmtId="0" fontId="105" fillId="6" borderId="0" xfId="0" applyFont="1" applyFill="1">
      <alignment vertical="center"/>
    </xf>
    <xf numFmtId="0" fontId="14" fillId="0" borderId="0" xfId="0" applyFont="1" applyAlignment="1">
      <alignment horizontal="center" vertical="center"/>
    </xf>
    <xf numFmtId="179" fontId="14" fillId="0" borderId="0" xfId="1" applyNumberFormat="1" applyFont="1" applyFill="1" applyAlignment="1">
      <alignment vertical="center"/>
    </xf>
    <xf numFmtId="179" fontId="14" fillId="0" borderId="0" xfId="1" applyNumberFormat="1" applyFont="1" applyFill="1" applyBorder="1" applyAlignment="1">
      <alignment vertical="center"/>
    </xf>
    <xf numFmtId="0" fontId="14" fillId="0" borderId="123" xfId="0" applyFont="1" applyBorder="1">
      <alignment vertical="center"/>
    </xf>
    <xf numFmtId="0" fontId="107" fillId="0" borderId="123" xfId="0" applyFont="1" applyBorder="1" applyAlignment="1">
      <alignment horizontal="left" vertical="center"/>
    </xf>
    <xf numFmtId="0" fontId="107" fillId="0" borderId="123" xfId="0" applyFont="1" applyBorder="1" applyAlignment="1">
      <alignment horizontal="center" vertical="center"/>
    </xf>
    <xf numFmtId="40" fontId="107" fillId="0" borderId="123" xfId="0" applyNumberFormat="1" applyFont="1" applyBorder="1" applyAlignment="1">
      <alignment horizontal="right" vertical="center"/>
    </xf>
    <xf numFmtId="0" fontId="14" fillId="0" borderId="0" xfId="0" applyFont="1" applyAlignment="1">
      <alignment vertical="center" shrinkToFit="1"/>
    </xf>
    <xf numFmtId="41" fontId="14" fillId="0" borderId="0" xfId="0" applyNumberFormat="1" applyFont="1" applyAlignment="1">
      <alignment vertical="center" shrinkToFit="1"/>
    </xf>
    <xf numFmtId="41" fontId="14" fillId="0" borderId="0" xfId="1" applyFont="1" applyAlignment="1">
      <alignment vertical="center" shrinkToFit="1"/>
    </xf>
    <xf numFmtId="211" fontId="14" fillId="0" borderId="0" xfId="0" applyNumberFormat="1" applyFont="1" applyAlignment="1">
      <alignment vertical="center" shrinkToFit="1"/>
    </xf>
    <xf numFmtId="0" fontId="14" fillId="0" borderId="0" xfId="0" applyFont="1" applyAlignment="1">
      <alignment horizontal="right" vertical="center" shrinkToFit="1"/>
    </xf>
    <xf numFmtId="0" fontId="14" fillId="17" borderId="125" xfId="0" applyFont="1" applyFill="1" applyBorder="1">
      <alignment vertical="center"/>
    </xf>
    <xf numFmtId="0" fontId="14" fillId="17" borderId="126" xfId="0" applyFont="1" applyFill="1" applyBorder="1" applyAlignment="1">
      <alignment horizontal="center" vertical="center"/>
    </xf>
    <xf numFmtId="0" fontId="14" fillId="17" borderId="127" xfId="0" applyFont="1" applyFill="1" applyBorder="1" applyAlignment="1">
      <alignment horizontal="center" vertical="center"/>
    </xf>
    <xf numFmtId="0" fontId="14" fillId="17" borderId="127" xfId="0" applyFont="1" applyFill="1" applyBorder="1" applyAlignment="1">
      <alignment horizontal="center" vertical="center" shrinkToFit="1"/>
    </xf>
    <xf numFmtId="0" fontId="14" fillId="17" borderId="122" xfId="0" applyFont="1" applyFill="1" applyBorder="1" applyAlignment="1">
      <alignment horizontal="center" vertical="center" shrinkToFit="1"/>
    </xf>
    <xf numFmtId="0" fontId="23" fillId="0" borderId="0" xfId="0" applyFont="1" applyAlignment="1">
      <alignment horizontal="center" vertical="center" shrinkToFit="1"/>
    </xf>
    <xf numFmtId="0" fontId="14" fillId="0" borderId="12" xfId="0" applyFont="1" applyBorder="1">
      <alignment vertical="center"/>
    </xf>
    <xf numFmtId="0" fontId="14" fillId="0" borderId="0" xfId="0" applyFont="1" applyAlignment="1">
      <alignment horizontal="distributed" vertical="center"/>
    </xf>
    <xf numFmtId="179" fontId="14" fillId="0" borderId="198" xfId="1" applyNumberFormat="1" applyFont="1" applyBorder="1">
      <alignment vertical="center"/>
    </xf>
    <xf numFmtId="210" fontId="14" fillId="0" borderId="198" xfId="1" applyNumberFormat="1" applyFont="1" applyBorder="1" applyAlignment="1">
      <alignment vertical="center" shrinkToFit="1"/>
    </xf>
    <xf numFmtId="210" fontId="14" fillId="7" borderId="198" xfId="1" applyNumberFormat="1" applyFont="1" applyFill="1" applyBorder="1" applyAlignment="1">
      <alignment vertical="center" shrinkToFit="1"/>
    </xf>
    <xf numFmtId="210" fontId="14" fillId="0" borderId="13" xfId="1" applyNumberFormat="1" applyFont="1" applyBorder="1" applyAlignment="1">
      <alignment vertical="center" shrinkToFit="1"/>
    </xf>
    <xf numFmtId="210" fontId="14" fillId="0" borderId="0" xfId="1" applyNumberFormat="1" applyFont="1" applyFill="1" applyBorder="1" applyAlignment="1">
      <alignment vertical="center" shrinkToFit="1"/>
    </xf>
    <xf numFmtId="0" fontId="14" fillId="0" borderId="31" xfId="0" applyFont="1" applyBorder="1" applyAlignment="1">
      <alignment horizontal="left" vertical="center"/>
    </xf>
    <xf numFmtId="179" fontId="14" fillId="0" borderId="32" xfId="1" applyNumberFormat="1" applyFont="1" applyBorder="1">
      <alignment vertical="center"/>
    </xf>
    <xf numFmtId="210" fontId="14" fillId="0" borderId="32" xfId="1" applyNumberFormat="1" applyFont="1" applyBorder="1" applyAlignment="1">
      <alignment vertical="center" shrinkToFit="1"/>
    </xf>
    <xf numFmtId="210" fontId="14" fillId="7" borderId="32" xfId="1" applyNumberFormat="1" applyFont="1" applyFill="1" applyBorder="1" applyAlignment="1">
      <alignment vertical="center" shrinkToFit="1"/>
    </xf>
    <xf numFmtId="210" fontId="14" fillId="0" borderId="33" xfId="1" applyNumberFormat="1" applyFont="1" applyBorder="1" applyAlignment="1">
      <alignment vertical="center" shrinkToFit="1"/>
    </xf>
    <xf numFmtId="0" fontId="14" fillId="0" borderId="34" xfId="0" applyFont="1" applyBorder="1" applyAlignment="1">
      <alignment horizontal="left" vertical="center"/>
    </xf>
    <xf numFmtId="0" fontId="14" fillId="0" borderId="135" xfId="0" applyFont="1" applyBorder="1">
      <alignment vertical="center"/>
    </xf>
    <xf numFmtId="0" fontId="14" fillId="0" borderId="189" xfId="0" applyFont="1" applyBorder="1" applyAlignment="1">
      <alignment horizontal="left" vertical="center"/>
    </xf>
    <xf numFmtId="179" fontId="14" fillId="0" borderId="136" xfId="1" applyNumberFormat="1" applyFont="1" applyBorder="1">
      <alignment vertical="center"/>
    </xf>
    <xf numFmtId="210" fontId="14" fillId="0" borderId="136" xfId="1" applyNumberFormat="1" applyFont="1" applyBorder="1" applyAlignment="1">
      <alignment vertical="center" shrinkToFit="1"/>
    </xf>
    <xf numFmtId="210" fontId="14" fillId="7" borderId="136" xfId="1" applyNumberFormat="1" applyFont="1" applyFill="1" applyBorder="1" applyAlignment="1">
      <alignment vertical="center" shrinkToFit="1"/>
    </xf>
    <xf numFmtId="210" fontId="14" fillId="0" borderId="134" xfId="1" applyNumberFormat="1" applyFont="1" applyBorder="1" applyAlignment="1">
      <alignment vertical="center" shrinkToFit="1"/>
    </xf>
    <xf numFmtId="0" fontId="14" fillId="0" borderId="37" xfId="0" applyFont="1" applyBorder="1" applyAlignment="1">
      <alignment horizontal="distributed" vertical="center"/>
    </xf>
    <xf numFmtId="179" fontId="14" fillId="0" borderId="36" xfId="1" applyNumberFormat="1" applyFont="1" applyBorder="1">
      <alignment vertical="center"/>
    </xf>
    <xf numFmtId="210" fontId="14" fillId="0" borderId="36" xfId="1" applyNumberFormat="1" applyFont="1" applyBorder="1" applyAlignment="1">
      <alignment vertical="center" shrinkToFit="1"/>
    </xf>
    <xf numFmtId="210" fontId="14" fillId="0" borderId="38" xfId="1" applyNumberFormat="1" applyFont="1" applyBorder="1" applyAlignment="1">
      <alignment vertical="center" shrinkToFit="1"/>
    </xf>
    <xf numFmtId="0" fontId="14" fillId="0" borderId="57" xfId="0" applyFont="1" applyBorder="1">
      <alignment vertical="center"/>
    </xf>
    <xf numFmtId="0" fontId="14" fillId="0" borderId="0" xfId="0" applyFont="1" applyAlignment="1">
      <alignment horizontal="left" vertical="center"/>
    </xf>
    <xf numFmtId="0" fontId="14" fillId="0" borderId="125" xfId="0" applyFont="1" applyBorder="1">
      <alignment vertical="center"/>
    </xf>
    <xf numFmtId="0" fontId="14" fillId="0" borderId="126" xfId="0" applyFont="1" applyBorder="1" applyAlignment="1">
      <alignment horizontal="distributed" vertical="center"/>
    </xf>
    <xf numFmtId="179" fontId="14" fillId="0" borderId="127" xfId="1" applyNumberFormat="1" applyFont="1" applyBorder="1">
      <alignment vertical="center"/>
    </xf>
    <xf numFmtId="210" fontId="14" fillId="0" borderId="127" xfId="1" applyNumberFormat="1" applyFont="1" applyBorder="1" applyAlignment="1">
      <alignment vertical="center" shrinkToFit="1"/>
    </xf>
    <xf numFmtId="210" fontId="14" fillId="0" borderId="122" xfId="1" applyNumberFormat="1" applyFont="1" applyBorder="1" applyAlignment="1">
      <alignment vertical="center" shrinkToFit="1"/>
    </xf>
    <xf numFmtId="179" fontId="14" fillId="0" borderId="0" xfId="1" applyNumberFormat="1" applyFont="1" applyBorder="1">
      <alignment vertical="center"/>
    </xf>
    <xf numFmtId="210" fontId="14" fillId="0" borderId="0" xfId="1" applyNumberFormat="1" applyFont="1" applyBorder="1" applyAlignment="1">
      <alignment vertical="center" shrinkToFit="1"/>
    </xf>
    <xf numFmtId="224" fontId="14" fillId="0" borderId="0" xfId="0" applyNumberFormat="1" applyFont="1" applyAlignment="1">
      <alignment vertical="center" shrinkToFit="1"/>
    </xf>
    <xf numFmtId="41" fontId="14" fillId="0" borderId="198" xfId="1" applyFont="1" applyBorder="1" applyAlignment="1">
      <alignment vertical="center" shrinkToFit="1"/>
    </xf>
    <xf numFmtId="41" fontId="14" fillId="22" borderId="198" xfId="1" applyFont="1" applyFill="1" applyBorder="1" applyAlignment="1">
      <alignment vertical="center" shrinkToFit="1"/>
    </xf>
    <xf numFmtId="41" fontId="14" fillId="0" borderId="13" xfId="1" applyFont="1" applyBorder="1" applyAlignment="1">
      <alignment vertical="center" shrinkToFit="1"/>
    </xf>
    <xf numFmtId="41" fontId="14" fillId="0" borderId="0" xfId="1" applyFont="1" applyFill="1" applyBorder="1" applyAlignment="1">
      <alignment vertical="center" shrinkToFit="1"/>
    </xf>
    <xf numFmtId="0" fontId="14" fillId="0" borderId="49" xfId="0" applyFont="1" applyBorder="1">
      <alignment vertical="center"/>
    </xf>
    <xf numFmtId="0" fontId="14" fillId="0" borderId="39" xfId="0" applyFont="1" applyBorder="1" applyAlignment="1">
      <alignment horizontal="distributed" vertical="center"/>
    </xf>
    <xf numFmtId="41" fontId="14" fillId="0" borderId="32" xfId="1" applyFont="1" applyBorder="1" applyAlignment="1">
      <alignment vertical="center" shrinkToFit="1"/>
    </xf>
    <xf numFmtId="41" fontId="14" fillId="22" borderId="32" xfId="1" applyFont="1" applyFill="1" applyBorder="1" applyAlignment="1">
      <alignment vertical="center" shrinkToFit="1"/>
    </xf>
    <xf numFmtId="41" fontId="14" fillId="0" borderId="33" xfId="1" applyFont="1" applyBorder="1" applyAlignment="1">
      <alignment vertical="center" shrinkToFit="1"/>
    </xf>
    <xf numFmtId="0" fontId="14" fillId="0" borderId="50" xfId="0" applyFont="1" applyBorder="1">
      <alignment vertical="center"/>
    </xf>
    <xf numFmtId="41" fontId="14" fillId="0" borderId="36" xfId="1" applyFont="1" applyBorder="1" applyAlignment="1">
      <alignment vertical="center" shrinkToFit="1"/>
    </xf>
    <xf numFmtId="41" fontId="14" fillId="22" borderId="36" xfId="1" applyFont="1" applyFill="1" applyBorder="1" applyAlignment="1">
      <alignment vertical="center" shrinkToFit="1"/>
    </xf>
    <xf numFmtId="41" fontId="14" fillId="0" borderId="38" xfId="1" applyFont="1" applyBorder="1" applyAlignment="1">
      <alignment vertical="center" shrinkToFit="1"/>
    </xf>
    <xf numFmtId="0" fontId="14" fillId="0" borderId="123" xfId="0" applyFont="1" applyBorder="1" applyAlignment="1">
      <alignment horizontal="distributed" vertical="center"/>
    </xf>
    <xf numFmtId="41" fontId="14" fillId="0" borderId="136" xfId="1" applyFont="1" applyBorder="1" applyAlignment="1">
      <alignment vertical="center" shrinkToFit="1"/>
    </xf>
    <xf numFmtId="41" fontId="14" fillId="7" borderId="136" xfId="1" applyFont="1" applyFill="1" applyBorder="1" applyAlignment="1">
      <alignment vertical="center" shrinkToFit="1"/>
    </xf>
    <xf numFmtId="41" fontId="14" fillId="0" borderId="134" xfId="1" applyFont="1" applyBorder="1" applyAlignment="1">
      <alignment vertical="center" shrinkToFit="1"/>
    </xf>
    <xf numFmtId="41" fontId="14" fillId="0" borderId="0" xfId="1" applyFont="1" applyBorder="1" applyAlignment="1">
      <alignment vertical="center" shrinkToFit="1"/>
    </xf>
    <xf numFmtId="185" fontId="14" fillId="0" borderId="123" xfId="1" applyNumberFormat="1" applyFont="1" applyBorder="1" applyAlignment="1">
      <alignment vertical="center"/>
    </xf>
    <xf numFmtId="41" fontId="14" fillId="0" borderId="123" xfId="1" applyFont="1" applyFill="1" applyBorder="1" applyAlignment="1">
      <alignment vertical="center"/>
    </xf>
    <xf numFmtId="41" fontId="14" fillId="0" borderId="0" xfId="1" applyFont="1" applyFill="1" applyBorder="1" applyAlignment="1">
      <alignment vertical="center"/>
    </xf>
    <xf numFmtId="0" fontId="14" fillId="0" borderId="128" xfId="0" applyFont="1" applyBorder="1">
      <alignment vertical="center"/>
    </xf>
    <xf numFmtId="0" fontId="14" fillId="0" borderId="23" xfId="0" applyFont="1" applyBorder="1" applyAlignment="1">
      <alignment horizontal="distributed" vertical="center"/>
    </xf>
    <xf numFmtId="179" fontId="14" fillId="0" borderId="129" xfId="1" applyNumberFormat="1" applyFont="1" applyBorder="1" applyAlignment="1">
      <alignment vertical="center"/>
    </xf>
    <xf numFmtId="41" fontId="14" fillId="0" borderId="139" xfId="1" applyFont="1" applyBorder="1" applyAlignment="1">
      <alignment vertical="center"/>
    </xf>
    <xf numFmtId="41" fontId="14" fillId="0" borderId="128" xfId="1" applyFont="1" applyFill="1" applyBorder="1" applyAlignment="1">
      <alignment vertical="center"/>
    </xf>
    <xf numFmtId="41" fontId="14" fillId="0" borderId="139" xfId="1" applyFont="1" applyFill="1" applyBorder="1" applyAlignment="1">
      <alignment vertical="center"/>
    </xf>
    <xf numFmtId="179" fontId="14" fillId="0" borderId="32" xfId="1" applyNumberFormat="1" applyFont="1" applyFill="1" applyBorder="1" applyAlignment="1">
      <alignment vertical="center"/>
    </xf>
    <xf numFmtId="41" fontId="14" fillId="0" borderId="33" xfId="1" applyFont="1" applyFill="1" applyBorder="1" applyAlignment="1">
      <alignment vertical="center"/>
    </xf>
    <xf numFmtId="41" fontId="14" fillId="0" borderId="49" xfId="1" applyFont="1" applyFill="1" applyBorder="1" applyAlignment="1">
      <alignment vertical="center"/>
    </xf>
    <xf numFmtId="179" fontId="14" fillId="0" borderId="36" xfId="1" applyNumberFormat="1" applyFont="1" applyFill="1" applyBorder="1" applyAlignment="1">
      <alignment vertical="center"/>
    </xf>
    <xf numFmtId="41" fontId="14" fillId="0" borderId="38" xfId="1" applyFont="1" applyFill="1" applyBorder="1" applyAlignment="1">
      <alignment vertical="center"/>
    </xf>
    <xf numFmtId="41" fontId="14" fillId="0" borderId="50" xfId="1" applyFont="1" applyFill="1" applyBorder="1" applyAlignment="1">
      <alignment vertical="center"/>
    </xf>
    <xf numFmtId="0" fontId="14" fillId="0" borderId="92" xfId="0" applyFont="1" applyBorder="1" applyAlignment="1">
      <alignment horizontal="distributed" vertical="center"/>
    </xf>
    <xf numFmtId="179" fontId="14" fillId="0" borderId="136" xfId="1" applyNumberFormat="1" applyFont="1" applyBorder="1" applyAlignment="1">
      <alignment vertical="center"/>
    </xf>
    <xf numFmtId="41" fontId="14" fillId="0" borderId="134" xfId="1" applyFont="1" applyBorder="1" applyAlignment="1">
      <alignment vertical="center"/>
    </xf>
    <xf numFmtId="41" fontId="14" fillId="0" borderId="135" xfId="1" applyFont="1" applyFill="1" applyBorder="1" applyAlignment="1">
      <alignment vertical="center"/>
    </xf>
    <xf numFmtId="41" fontId="14" fillId="0" borderId="134" xfId="1" applyFont="1" applyFill="1" applyBorder="1" applyAlignment="1">
      <alignment vertical="center"/>
    </xf>
    <xf numFmtId="179" fontId="14" fillId="0" borderId="0" xfId="1" applyNumberFormat="1" applyFont="1" applyBorder="1" applyAlignment="1">
      <alignment vertical="center"/>
    </xf>
    <xf numFmtId="41" fontId="14" fillId="0" borderId="0" xfId="1" applyFont="1" applyBorder="1" applyAlignment="1">
      <alignment vertical="center"/>
    </xf>
    <xf numFmtId="0" fontId="14" fillId="0" borderId="197" xfId="0" applyFont="1" applyBorder="1" applyAlignment="1">
      <alignment horizontal="left" vertical="center"/>
    </xf>
    <xf numFmtId="41" fontId="14" fillId="0" borderId="18" xfId="1" applyFont="1" applyBorder="1" applyAlignment="1">
      <alignment vertical="center" shrinkToFit="1"/>
    </xf>
    <xf numFmtId="0" fontId="15" fillId="0" borderId="18" xfId="0" applyFont="1" applyBorder="1">
      <alignment vertical="center"/>
    </xf>
    <xf numFmtId="0" fontId="15" fillId="0" borderId="196" xfId="0" applyFont="1" applyBorder="1">
      <alignment vertical="center"/>
    </xf>
    <xf numFmtId="0" fontId="15" fillId="0" borderId="23" xfId="0" applyFont="1" applyBorder="1">
      <alignment vertical="center"/>
    </xf>
    <xf numFmtId="0" fontId="15" fillId="0" borderId="139" xfId="0" applyFont="1" applyBorder="1">
      <alignment vertical="center"/>
    </xf>
    <xf numFmtId="181" fontId="15" fillId="0" borderId="139" xfId="1" applyNumberFormat="1" applyFont="1" applyFill="1" applyBorder="1">
      <alignment vertical="center"/>
    </xf>
    <xf numFmtId="181" fontId="15" fillId="0" borderId="139" xfId="1" applyNumberFormat="1" applyFont="1" applyFill="1" applyBorder="1" applyAlignment="1">
      <alignment horizontal="center" vertical="center"/>
    </xf>
    <xf numFmtId="181" fontId="15" fillId="0" borderId="0" xfId="1" applyNumberFormat="1" applyFont="1" applyFill="1" applyBorder="1" applyAlignment="1">
      <alignment horizontal="center" vertical="center"/>
    </xf>
    <xf numFmtId="0" fontId="15" fillId="0" borderId="34" xfId="0" applyFont="1" applyBorder="1">
      <alignment vertical="center"/>
    </xf>
    <xf numFmtId="0" fontId="15" fillId="0" borderId="13" xfId="0" applyFont="1" applyBorder="1">
      <alignment vertical="center"/>
    </xf>
    <xf numFmtId="181" fontId="15" fillId="0" borderId="13" xfId="1" applyNumberFormat="1" applyFont="1" applyFill="1" applyBorder="1">
      <alignment vertical="center"/>
    </xf>
    <xf numFmtId="181" fontId="15" fillId="0" borderId="13" xfId="1" applyNumberFormat="1" applyFont="1" applyFill="1" applyBorder="1" applyAlignment="1">
      <alignment horizontal="center" vertical="center"/>
    </xf>
    <xf numFmtId="0" fontId="15" fillId="0" borderId="31" xfId="0" applyFont="1" applyBorder="1">
      <alignment vertical="center"/>
    </xf>
    <xf numFmtId="0" fontId="14" fillId="0" borderId="32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41" fontId="108" fillId="0" borderId="33" xfId="1" applyFont="1" applyFill="1" applyBorder="1" applyAlignment="1">
      <alignment horizontal="right" vertical="center"/>
    </xf>
    <xf numFmtId="41" fontId="15" fillId="0" borderId="33" xfId="1" applyFont="1" applyFill="1" applyBorder="1">
      <alignment vertical="center"/>
    </xf>
    <xf numFmtId="0" fontId="15" fillId="0" borderId="35" xfId="0" applyFont="1" applyBorder="1">
      <alignment vertical="center"/>
    </xf>
    <xf numFmtId="0" fontId="14" fillId="0" borderId="36" xfId="0" applyFont="1" applyBorder="1" applyAlignment="1">
      <alignment horizontal="center" vertical="center"/>
    </xf>
    <xf numFmtId="0" fontId="15" fillId="0" borderId="38" xfId="0" applyFont="1" applyBorder="1">
      <alignment vertical="center"/>
    </xf>
    <xf numFmtId="41" fontId="108" fillId="0" borderId="38" xfId="1" applyFont="1" applyFill="1" applyBorder="1" applyAlignment="1">
      <alignment horizontal="right" vertical="center"/>
    </xf>
    <xf numFmtId="41" fontId="15" fillId="0" borderId="38" xfId="1" applyFont="1" applyFill="1" applyBorder="1">
      <alignment vertical="center"/>
    </xf>
    <xf numFmtId="0" fontId="14" fillId="0" borderId="37" xfId="0" applyFont="1" applyBorder="1" applyAlignment="1">
      <alignment horizontal="left" vertical="center"/>
    </xf>
    <xf numFmtId="41" fontId="14" fillId="0" borderId="36" xfId="1" applyFont="1" applyBorder="1" applyAlignment="1">
      <alignment horizontal="center" vertical="center" shrinkToFit="1"/>
    </xf>
    <xf numFmtId="41" fontId="14" fillId="0" borderId="38" xfId="1" applyFont="1" applyBorder="1" applyAlignment="1">
      <alignment horizontal="center" vertical="center" shrinkToFit="1"/>
    </xf>
    <xf numFmtId="41" fontId="14" fillId="0" borderId="0" xfId="1" applyFont="1" applyFill="1" applyBorder="1" applyAlignment="1">
      <alignment horizontal="center" vertical="center" shrinkToFit="1"/>
    </xf>
    <xf numFmtId="0" fontId="14" fillId="0" borderId="29" xfId="0" applyFont="1" applyBorder="1" applyAlignment="1">
      <alignment horizontal="left" vertical="center"/>
    </xf>
    <xf numFmtId="179" fontId="14" fillId="0" borderId="30" xfId="1" applyNumberFormat="1" applyFont="1" applyFill="1" applyBorder="1">
      <alignment vertical="center"/>
    </xf>
    <xf numFmtId="41" fontId="14" fillId="0" borderId="30" xfId="1" applyFont="1" applyFill="1" applyBorder="1" applyAlignment="1">
      <alignment vertical="center" shrinkToFit="1"/>
    </xf>
    <xf numFmtId="41" fontId="14" fillId="0" borderId="27" xfId="1" applyFont="1" applyFill="1" applyBorder="1" applyAlignment="1">
      <alignment vertical="center" shrinkToFit="1"/>
    </xf>
    <xf numFmtId="41" fontId="14" fillId="0" borderId="197" xfId="0" applyNumberFormat="1" applyFont="1" applyBorder="1" applyAlignment="1">
      <alignment horizontal="left" vertical="center"/>
    </xf>
    <xf numFmtId="0" fontId="14" fillId="0" borderId="39" xfId="0" applyFont="1" applyBorder="1" applyAlignment="1">
      <alignment horizontal="left" vertical="center"/>
    </xf>
    <xf numFmtId="0" fontId="13" fillId="4" borderId="95" xfId="0" applyFont="1" applyFill="1" applyBorder="1">
      <alignment vertical="center"/>
    </xf>
    <xf numFmtId="0" fontId="13" fillId="4" borderId="126" xfId="0" applyFont="1" applyFill="1" applyBorder="1" applyAlignment="1">
      <alignment horizontal="left" vertical="center"/>
    </xf>
    <xf numFmtId="179" fontId="13" fillId="4" borderId="127" xfId="1" applyNumberFormat="1" applyFont="1" applyFill="1" applyBorder="1">
      <alignment vertical="center"/>
    </xf>
    <xf numFmtId="41" fontId="13" fillId="4" borderId="127" xfId="1" applyFont="1" applyFill="1" applyBorder="1" applyAlignment="1">
      <alignment vertical="center" shrinkToFit="1"/>
    </xf>
    <xf numFmtId="41" fontId="13" fillId="4" borderId="122" xfId="1" applyFont="1" applyFill="1" applyBorder="1" applyAlignment="1">
      <alignment vertical="center" shrinkToFit="1"/>
    </xf>
    <xf numFmtId="41" fontId="13" fillId="0" borderId="0" xfId="1" applyFont="1" applyFill="1" applyBorder="1" applyAlignment="1">
      <alignment vertical="center" shrinkToFit="1"/>
    </xf>
    <xf numFmtId="0" fontId="106" fillId="0" borderId="0" xfId="0" applyFont="1">
      <alignment vertical="center"/>
    </xf>
    <xf numFmtId="0" fontId="109" fillId="0" borderId="0" xfId="0" applyFont="1">
      <alignment vertical="center"/>
    </xf>
    <xf numFmtId="185" fontId="14" fillId="11" borderId="0" xfId="0" applyNumberFormat="1" applyFont="1" applyFill="1">
      <alignment vertical="center"/>
    </xf>
    <xf numFmtId="0" fontId="14" fillId="0" borderId="0" xfId="0" applyFont="1" applyAlignment="1">
      <alignment horizontal="justify" vertical="center"/>
    </xf>
    <xf numFmtId="179" fontId="14" fillId="0" borderId="18" xfId="1" applyNumberFormat="1" applyFont="1" applyBorder="1">
      <alignment vertical="center"/>
    </xf>
    <xf numFmtId="41" fontId="14" fillId="7" borderId="32" xfId="1" applyFont="1" applyFill="1" applyBorder="1">
      <alignment vertical="center"/>
    </xf>
    <xf numFmtId="0" fontId="14" fillId="0" borderId="32" xfId="1" applyNumberFormat="1" applyFont="1" applyBorder="1" applyAlignment="1">
      <alignment vertical="center" shrinkToFit="1"/>
    </xf>
    <xf numFmtId="0" fontId="14" fillId="0" borderId="0" xfId="1" applyNumberFormat="1" applyFont="1" applyFill="1" applyBorder="1" applyAlignment="1">
      <alignment vertical="center" shrinkToFit="1"/>
    </xf>
    <xf numFmtId="0" fontId="14" fillId="0" borderId="35" xfId="0" applyFont="1" applyBorder="1" applyAlignment="1">
      <alignment horizontal="left" vertical="center"/>
    </xf>
    <xf numFmtId="181" fontId="14" fillId="0" borderId="36" xfId="1" applyNumberFormat="1" applyFont="1" applyBorder="1">
      <alignment vertical="center"/>
    </xf>
    <xf numFmtId="0" fontId="14" fillId="0" borderId="23" xfId="0" applyFont="1" applyBorder="1" applyAlignment="1">
      <alignment horizontal="justify" vertical="center"/>
    </xf>
    <xf numFmtId="179" fontId="14" fillId="0" borderId="129" xfId="1" applyNumberFormat="1" applyFont="1" applyBorder="1">
      <alignment vertical="center"/>
    </xf>
    <xf numFmtId="41" fontId="14" fillId="0" borderId="129" xfId="1" applyFont="1" applyBorder="1" applyAlignment="1">
      <alignment vertical="center" shrinkToFit="1"/>
    </xf>
    <xf numFmtId="41" fontId="14" fillId="0" borderId="139" xfId="1" applyFont="1" applyBorder="1" applyAlignment="1">
      <alignment vertical="center" shrinkToFit="1"/>
    </xf>
    <xf numFmtId="9" fontId="14" fillId="0" borderId="36" xfId="1" applyNumberFormat="1" applyFont="1" applyBorder="1" applyAlignment="1">
      <alignment vertical="center" shrinkToFit="1"/>
    </xf>
    <xf numFmtId="9" fontId="14" fillId="0" borderId="136" xfId="1" applyNumberFormat="1" applyFont="1" applyBorder="1" applyAlignment="1">
      <alignment vertical="center" shrinkToFit="1"/>
    </xf>
    <xf numFmtId="0" fontId="14" fillId="0" borderId="125" xfId="0" applyFont="1" applyBorder="1" applyAlignment="1">
      <alignment horizontal="left" vertical="center"/>
    </xf>
    <xf numFmtId="0" fontId="14" fillId="0" borderId="199" xfId="0" applyFont="1" applyBorder="1" applyAlignment="1">
      <alignment horizontal="left" vertical="center"/>
    </xf>
    <xf numFmtId="41" fontId="14" fillId="0" borderId="127" xfId="1" applyFont="1" applyBorder="1" applyAlignment="1">
      <alignment vertical="center" shrinkToFit="1"/>
    </xf>
    <xf numFmtId="41" fontId="14" fillId="0" borderId="122" xfId="1" applyFont="1" applyBorder="1" applyAlignment="1">
      <alignment vertical="center" shrinkToFit="1"/>
    </xf>
    <xf numFmtId="0" fontId="14" fillId="0" borderId="0" xfId="1" applyNumberFormat="1" applyFont="1" applyBorder="1" applyAlignment="1">
      <alignment vertical="center" shrinkToFit="1"/>
    </xf>
    <xf numFmtId="0" fontId="14" fillId="0" borderId="126" xfId="0" applyFont="1" applyBorder="1" applyAlignment="1">
      <alignment horizontal="left" vertical="center"/>
    </xf>
    <xf numFmtId="179" fontId="14" fillId="0" borderId="127" xfId="1" applyNumberFormat="1" applyFont="1" applyFill="1" applyBorder="1">
      <alignment vertical="center"/>
    </xf>
    <xf numFmtId="41" fontId="14" fillId="0" borderId="127" xfId="1" applyFont="1" applyFill="1" applyBorder="1" applyAlignment="1">
      <alignment vertical="center" shrinkToFit="1"/>
    </xf>
    <xf numFmtId="41" fontId="14" fillId="0" borderId="122" xfId="1" applyFont="1" applyFill="1" applyBorder="1" applyAlignment="1">
      <alignment vertical="center" shrinkToFit="1"/>
    </xf>
    <xf numFmtId="41" fontId="14" fillId="0" borderId="32" xfId="1" applyFont="1" applyBorder="1">
      <alignment vertical="center"/>
    </xf>
    <xf numFmtId="185" fontId="14" fillId="0" borderId="199" xfId="0" applyNumberFormat="1" applyFont="1" applyBorder="1" applyAlignment="1">
      <alignment horizontal="left" vertical="center"/>
    </xf>
    <xf numFmtId="185" fontId="14" fillId="0" borderId="199" xfId="2" applyNumberFormat="1" applyFont="1" applyBorder="1" applyAlignment="1">
      <alignment horizontal="left" vertical="center"/>
    </xf>
    <xf numFmtId="41" fontId="14" fillId="0" borderId="204" xfId="1" applyFont="1" applyBorder="1" applyAlignment="1">
      <alignment vertical="center" shrinkToFit="1"/>
    </xf>
    <xf numFmtId="179" fontId="14" fillId="0" borderId="0" xfId="1" applyNumberFormat="1" applyFont="1">
      <alignment vertical="center"/>
    </xf>
    <xf numFmtId="0" fontId="14" fillId="17" borderId="204" xfId="0" applyFont="1" applyFill="1" applyBorder="1" applyAlignment="1">
      <alignment horizontal="center" vertical="center"/>
    </xf>
    <xf numFmtId="0" fontId="14" fillId="17" borderId="204" xfId="0" applyFont="1" applyFill="1" applyBorder="1" applyAlignment="1">
      <alignment horizontal="center" vertical="center" shrinkToFit="1"/>
    </xf>
    <xf numFmtId="0" fontId="14" fillId="0" borderId="23" xfId="0" applyFont="1" applyBorder="1" applyAlignment="1">
      <alignment horizontal="left" vertical="center"/>
    </xf>
    <xf numFmtId="179" fontId="14" fillId="0" borderId="129" xfId="1" applyNumberFormat="1" applyFont="1" applyFill="1" applyBorder="1">
      <alignment vertical="center"/>
    </xf>
    <xf numFmtId="0" fontId="14" fillId="0" borderId="28" xfId="0" applyFont="1" applyBorder="1">
      <alignment vertical="center"/>
    </xf>
    <xf numFmtId="185" fontId="14" fillId="0" borderId="205" xfId="2" applyNumberFormat="1" applyFont="1" applyBorder="1" applyAlignment="1">
      <alignment horizontal="left" vertical="center"/>
    </xf>
    <xf numFmtId="41" fontId="14" fillId="0" borderId="30" xfId="1" applyFont="1" applyBorder="1" applyAlignment="1">
      <alignment vertical="center" shrinkToFit="1"/>
    </xf>
    <xf numFmtId="41" fontId="14" fillId="0" borderId="27" xfId="1" applyFont="1" applyBorder="1" applyAlignment="1">
      <alignment vertical="center" shrinkToFit="1"/>
    </xf>
    <xf numFmtId="0" fontId="14" fillId="0" borderId="87" xfId="0" applyFont="1" applyBorder="1">
      <alignment vertical="center"/>
    </xf>
    <xf numFmtId="0" fontId="14" fillId="0" borderId="92" xfId="0" applyFont="1" applyBorder="1" applyAlignment="1">
      <alignment horizontal="left" vertical="center"/>
    </xf>
    <xf numFmtId="185" fontId="14" fillId="0" borderId="206" xfId="2" applyNumberFormat="1" applyFont="1" applyBorder="1" applyAlignment="1">
      <alignment horizontal="left" vertical="center"/>
    </xf>
    <xf numFmtId="41" fontId="14" fillId="0" borderId="88" xfId="1" applyFont="1" applyBorder="1" applyAlignment="1">
      <alignment vertical="center" shrinkToFit="1"/>
    </xf>
    <xf numFmtId="41" fontId="14" fillId="0" borderId="98" xfId="1" applyFont="1" applyBorder="1" applyAlignment="1">
      <alignment vertical="center" shrinkToFit="1"/>
    </xf>
    <xf numFmtId="43" fontId="15" fillId="0" borderId="0" xfId="0" applyNumberFormat="1" applyFont="1">
      <alignment vertical="center"/>
    </xf>
    <xf numFmtId="41" fontId="15" fillId="0" borderId="0" xfId="0" applyNumberFormat="1" applyFont="1">
      <alignment vertical="center"/>
    </xf>
    <xf numFmtId="0" fontId="28" fillId="6" borderId="0" xfId="0" applyFont="1" applyFill="1">
      <alignment vertical="center"/>
    </xf>
    <xf numFmtId="227" fontId="28" fillId="0" borderId="0" xfId="0" applyNumberFormat="1" applyFont="1">
      <alignment vertical="center"/>
    </xf>
    <xf numFmtId="227" fontId="27" fillId="0" borderId="0" xfId="0" applyNumberFormat="1" applyFont="1">
      <alignment vertical="center"/>
    </xf>
    <xf numFmtId="228" fontId="27" fillId="0" borderId="0" xfId="1" applyNumberFormat="1" applyFont="1" applyFill="1" applyBorder="1">
      <alignment vertical="center"/>
    </xf>
    <xf numFmtId="227" fontId="28" fillId="0" borderId="128" xfId="0" applyNumberFormat="1" applyFont="1" applyBorder="1">
      <alignment vertical="center"/>
    </xf>
    <xf numFmtId="227" fontId="28" fillId="0" borderId="23" xfId="0" applyNumberFormat="1" applyFont="1" applyBorder="1">
      <alignment vertical="center"/>
    </xf>
    <xf numFmtId="228" fontId="28" fillId="0" borderId="139" xfId="1" applyNumberFormat="1" applyFont="1" applyFill="1" applyBorder="1">
      <alignment vertical="center"/>
    </xf>
    <xf numFmtId="228" fontId="28" fillId="0" borderId="130" xfId="1" applyNumberFormat="1" applyFont="1" applyFill="1" applyBorder="1">
      <alignment vertical="center"/>
    </xf>
    <xf numFmtId="228" fontId="28" fillId="0" borderId="131" xfId="1" applyNumberFormat="1" applyFont="1" applyFill="1" applyBorder="1">
      <alignment vertical="center"/>
    </xf>
    <xf numFmtId="228" fontId="28" fillId="0" borderId="132" xfId="1" applyNumberFormat="1" applyFont="1" applyFill="1" applyBorder="1">
      <alignment vertical="center"/>
    </xf>
    <xf numFmtId="227" fontId="28" fillId="0" borderId="12" xfId="0" applyNumberFormat="1" applyFont="1" applyBorder="1">
      <alignment vertical="center"/>
    </xf>
    <xf numFmtId="228" fontId="28" fillId="0" borderId="13" xfId="1" applyNumberFormat="1" applyFont="1" applyFill="1" applyBorder="1">
      <alignment vertical="center"/>
    </xf>
    <xf numFmtId="228" fontId="28" fillId="0" borderId="57" xfId="1" applyNumberFormat="1" applyFont="1" applyFill="1" applyBorder="1">
      <alignment vertical="center"/>
    </xf>
    <xf numFmtId="228" fontId="28" fillId="0" borderId="56" xfId="1" applyNumberFormat="1" applyFont="1" applyFill="1" applyBorder="1">
      <alignment vertical="center"/>
    </xf>
    <xf numFmtId="228" fontId="28" fillId="0" borderId="133" xfId="1" applyNumberFormat="1" applyFont="1" applyFill="1" applyBorder="1">
      <alignment vertical="center"/>
    </xf>
    <xf numFmtId="227" fontId="27" fillId="3" borderId="125" xfId="0" applyNumberFormat="1" applyFont="1" applyFill="1" applyBorder="1">
      <alignment vertical="center"/>
    </xf>
    <xf numFmtId="227" fontId="27" fillId="3" borderId="126" xfId="0" applyNumberFormat="1" applyFont="1" applyFill="1" applyBorder="1">
      <alignment vertical="center"/>
    </xf>
    <xf numFmtId="228" fontId="27" fillId="3" borderId="122" xfId="1" applyNumberFormat="1" applyFont="1" applyFill="1" applyBorder="1">
      <alignment vertical="center"/>
    </xf>
    <xf numFmtId="228" fontId="27" fillId="3" borderId="95" xfId="1" applyNumberFormat="1" applyFont="1" applyFill="1" applyBorder="1">
      <alignment vertical="center"/>
    </xf>
    <xf numFmtId="228" fontId="27" fillId="3" borderId="51" xfId="1" applyNumberFormat="1" applyFont="1" applyFill="1" applyBorder="1">
      <alignment vertical="center"/>
    </xf>
    <xf numFmtId="228" fontId="27" fillId="3" borderId="96" xfId="1" applyNumberFormat="1" applyFont="1" applyFill="1" applyBorder="1">
      <alignment vertical="center"/>
    </xf>
    <xf numFmtId="41" fontId="28" fillId="0" borderId="23" xfId="1" applyFont="1" applyFill="1" applyBorder="1">
      <alignment vertical="center"/>
    </xf>
    <xf numFmtId="227" fontId="28" fillId="0" borderId="18" xfId="0" applyNumberFormat="1" applyFont="1" applyBorder="1">
      <alignment vertical="center"/>
    </xf>
    <xf numFmtId="41" fontId="28" fillId="0" borderId="139" xfId="1" applyFont="1" applyFill="1" applyBorder="1">
      <alignment vertical="center"/>
    </xf>
    <xf numFmtId="41" fontId="28" fillId="0" borderId="130" xfId="1" applyFont="1" applyFill="1" applyBorder="1">
      <alignment vertical="center"/>
    </xf>
    <xf numFmtId="41" fontId="28" fillId="0" borderId="131" xfId="1" applyFont="1" applyFill="1" applyBorder="1">
      <alignment vertical="center"/>
    </xf>
    <xf numFmtId="41" fontId="28" fillId="0" borderId="132" xfId="1" applyFont="1" applyFill="1" applyBorder="1">
      <alignment vertical="center"/>
    </xf>
    <xf numFmtId="227" fontId="28" fillId="0" borderId="125" xfId="0" applyNumberFormat="1" applyFont="1" applyBorder="1">
      <alignment vertical="center"/>
    </xf>
    <xf numFmtId="227" fontId="28" fillId="0" borderId="126" xfId="0" applyNumberFormat="1" applyFont="1" applyBorder="1">
      <alignment vertical="center"/>
    </xf>
    <xf numFmtId="227" fontId="28" fillId="0" borderId="204" xfId="0" applyNumberFormat="1" applyFont="1" applyBorder="1">
      <alignment vertical="center"/>
    </xf>
    <xf numFmtId="41" fontId="28" fillId="0" borderId="122" xfId="1" applyFont="1" applyFill="1" applyBorder="1">
      <alignment vertical="center"/>
    </xf>
    <xf numFmtId="41" fontId="28" fillId="0" borderId="95" xfId="1" applyFont="1" applyFill="1" applyBorder="1">
      <alignment vertical="center"/>
    </xf>
    <xf numFmtId="41" fontId="28" fillId="0" borderId="51" xfId="1" applyFont="1" applyFill="1" applyBorder="1">
      <alignment vertical="center"/>
    </xf>
    <xf numFmtId="41" fontId="28" fillId="0" borderId="96" xfId="1" applyFont="1" applyFill="1" applyBorder="1">
      <alignment vertical="center"/>
    </xf>
    <xf numFmtId="227" fontId="28" fillId="0" borderId="95" xfId="0" applyNumberFormat="1" applyFont="1" applyBorder="1">
      <alignment vertical="center"/>
    </xf>
    <xf numFmtId="227" fontId="28" fillId="0" borderId="51" xfId="0" applyNumberFormat="1" applyFont="1" applyBorder="1">
      <alignment vertical="center"/>
    </xf>
    <xf numFmtId="227" fontId="28" fillId="0" borderId="96" xfId="0" applyNumberFormat="1" applyFont="1" applyBorder="1">
      <alignment vertical="center"/>
    </xf>
    <xf numFmtId="227" fontId="28" fillId="0" borderId="0" xfId="0" applyNumberFormat="1" applyFont="1" applyAlignment="1">
      <alignment horizontal="right" vertical="center"/>
    </xf>
    <xf numFmtId="41" fontId="28" fillId="0" borderId="57" xfId="1" applyFont="1" applyFill="1" applyBorder="1">
      <alignment vertical="center"/>
    </xf>
    <xf numFmtId="41" fontId="28" fillId="0" borderId="56" xfId="1" applyFont="1" applyFill="1" applyBorder="1">
      <alignment vertical="center"/>
    </xf>
    <xf numFmtId="41" fontId="28" fillId="0" borderId="133" xfId="1" applyFont="1" applyFill="1" applyBorder="1">
      <alignment vertical="center"/>
    </xf>
    <xf numFmtId="199" fontId="28" fillId="0" borderId="56" xfId="1" applyNumberFormat="1" applyFont="1" applyFill="1" applyBorder="1">
      <alignment vertical="center"/>
    </xf>
    <xf numFmtId="227" fontId="27" fillId="0" borderId="0" xfId="0" quotePrefix="1" applyNumberFormat="1" applyFont="1">
      <alignment vertical="center"/>
    </xf>
    <xf numFmtId="10" fontId="27" fillId="0" borderId="0" xfId="2" applyNumberFormat="1" applyFont="1" applyFill="1" applyBorder="1">
      <alignment vertical="center"/>
    </xf>
    <xf numFmtId="0" fontId="28" fillId="0" borderId="196" xfId="0" applyFont="1" applyBorder="1" applyAlignment="1">
      <alignment horizontal="left" vertical="center"/>
    </xf>
    <xf numFmtId="185" fontId="51" fillId="0" borderId="129" xfId="2" applyNumberFormat="1" applyFont="1" applyFill="1" applyBorder="1">
      <alignment vertical="center"/>
    </xf>
    <xf numFmtId="41" fontId="28" fillId="0" borderId="130" xfId="1" applyFont="1" applyBorder="1" applyAlignment="1">
      <alignment vertical="center" shrinkToFit="1"/>
    </xf>
    <xf numFmtId="41" fontId="28" fillId="0" borderId="131" xfId="1" applyFont="1" applyBorder="1" applyAlignment="1">
      <alignment vertical="center" shrinkToFit="1"/>
    </xf>
    <xf numFmtId="41" fontId="28" fillId="0" borderId="132" xfId="1" applyFont="1" applyBorder="1" applyAlignment="1">
      <alignment vertical="center" shrinkToFit="1"/>
    </xf>
    <xf numFmtId="41" fontId="28" fillId="0" borderId="57" xfId="1" applyFont="1" applyBorder="1" applyAlignment="1">
      <alignment vertical="center" shrinkToFit="1"/>
    </xf>
    <xf numFmtId="41" fontId="28" fillId="0" borderId="56" xfId="1" applyFont="1" applyBorder="1" applyAlignment="1">
      <alignment vertical="center" shrinkToFit="1"/>
    </xf>
    <xf numFmtId="41" fontId="28" fillId="0" borderId="133" xfId="1" applyFont="1" applyBorder="1" applyAlignment="1">
      <alignment vertical="center" shrinkToFit="1"/>
    </xf>
    <xf numFmtId="227" fontId="28" fillId="0" borderId="129" xfId="0" applyNumberFormat="1" applyFont="1" applyBorder="1">
      <alignment vertical="center"/>
    </xf>
    <xf numFmtId="227" fontId="28" fillId="0" borderId="139" xfId="0" applyNumberFormat="1" applyFont="1" applyBorder="1">
      <alignment vertical="center"/>
    </xf>
    <xf numFmtId="227" fontId="28" fillId="0" borderId="130" xfId="0" applyNumberFormat="1" applyFont="1" applyBorder="1">
      <alignment vertical="center"/>
    </xf>
    <xf numFmtId="227" fontId="28" fillId="0" borderId="131" xfId="0" applyNumberFormat="1" applyFont="1" applyBorder="1">
      <alignment vertical="center"/>
    </xf>
    <xf numFmtId="227" fontId="28" fillId="0" borderId="132" xfId="0" applyNumberFormat="1" applyFont="1" applyBorder="1">
      <alignment vertical="center"/>
    </xf>
    <xf numFmtId="0" fontId="28" fillId="0" borderId="195" xfId="0" applyFont="1" applyBorder="1" applyAlignment="1">
      <alignment horizontal="left" vertical="center"/>
    </xf>
    <xf numFmtId="185" fontId="51" fillId="0" borderId="204" xfId="2" applyNumberFormat="1" applyFont="1" applyFill="1" applyBorder="1">
      <alignment vertical="center"/>
    </xf>
    <xf numFmtId="227" fontId="28" fillId="8" borderId="122" xfId="0" applyNumberFormat="1" applyFont="1" applyFill="1" applyBorder="1">
      <alignment vertical="center"/>
    </xf>
    <xf numFmtId="41" fontId="28" fillId="0" borderId="95" xfId="1" applyFont="1" applyBorder="1" applyAlignment="1">
      <alignment vertical="center" shrinkToFit="1"/>
    </xf>
    <xf numFmtId="41" fontId="28" fillId="0" borderId="51" xfId="1" applyFont="1" applyBorder="1" applyAlignment="1">
      <alignment vertical="center" shrinkToFit="1"/>
    </xf>
    <xf numFmtId="41" fontId="28" fillId="0" borderId="96" xfId="1" applyFont="1" applyBorder="1" applyAlignment="1">
      <alignment vertical="center" shrinkToFit="1"/>
    </xf>
    <xf numFmtId="41" fontId="28" fillId="0" borderId="204" xfId="1" applyFont="1" applyFill="1" applyBorder="1">
      <alignment vertical="center"/>
    </xf>
    <xf numFmtId="227" fontId="28" fillId="0" borderId="49" xfId="0" applyNumberFormat="1" applyFont="1" applyBorder="1">
      <alignment vertical="center"/>
    </xf>
    <xf numFmtId="227" fontId="28" fillId="0" borderId="39" xfId="0" applyNumberFormat="1" applyFont="1" applyBorder="1">
      <alignment vertical="center"/>
    </xf>
    <xf numFmtId="227" fontId="28" fillId="0" borderId="32" xfId="0" applyNumberFormat="1" applyFont="1" applyBorder="1">
      <alignment vertical="center"/>
    </xf>
    <xf numFmtId="227" fontId="28" fillId="0" borderId="33" xfId="0" applyNumberFormat="1" applyFont="1" applyBorder="1">
      <alignment vertical="center"/>
    </xf>
    <xf numFmtId="227" fontId="28" fillId="0" borderId="141" xfId="0" applyNumberFormat="1" applyFont="1" applyBorder="1">
      <alignment vertical="center"/>
    </xf>
    <xf numFmtId="41" fontId="28" fillId="0" borderId="53" xfId="1" applyFont="1" applyFill="1" applyBorder="1">
      <alignment vertical="center"/>
    </xf>
    <xf numFmtId="227" fontId="28" fillId="0" borderId="53" xfId="0" applyNumberFormat="1" applyFont="1" applyBorder="1">
      <alignment vertical="center"/>
    </xf>
    <xf numFmtId="227" fontId="28" fillId="0" borderId="142" xfId="0" applyNumberFormat="1" applyFont="1" applyBorder="1">
      <alignment vertical="center"/>
    </xf>
    <xf numFmtId="227" fontId="28" fillId="0" borderId="50" xfId="0" applyNumberFormat="1" applyFont="1" applyBorder="1">
      <alignment vertical="center"/>
    </xf>
    <xf numFmtId="227" fontId="28" fillId="0" borderId="37" xfId="0" applyNumberFormat="1" applyFont="1" applyBorder="1">
      <alignment vertical="center"/>
    </xf>
    <xf numFmtId="227" fontId="110" fillId="0" borderId="36" xfId="0" applyNumberFormat="1" applyFont="1" applyBorder="1">
      <alignment vertical="center"/>
    </xf>
    <xf numFmtId="227" fontId="28" fillId="0" borderId="38" xfId="0" applyNumberFormat="1" applyFont="1" applyBorder="1">
      <alignment vertical="center"/>
    </xf>
    <xf numFmtId="227" fontId="28" fillId="0" borderId="190" xfId="0" applyNumberFormat="1" applyFont="1" applyBorder="1">
      <alignment vertical="center"/>
    </xf>
    <xf numFmtId="227" fontId="28" fillId="0" borderId="191" xfId="0" applyNumberFormat="1" applyFont="1" applyBorder="1">
      <alignment vertical="center"/>
    </xf>
    <xf numFmtId="227" fontId="28" fillId="0" borderId="192" xfId="0" applyNumberFormat="1" applyFont="1" applyBorder="1">
      <alignment vertical="center"/>
    </xf>
    <xf numFmtId="227" fontId="51" fillId="8" borderId="190" xfId="0" applyNumberFormat="1" applyFont="1" applyFill="1" applyBorder="1">
      <alignment vertical="center"/>
    </xf>
    <xf numFmtId="227" fontId="51" fillId="8" borderId="191" xfId="0" applyNumberFormat="1" applyFont="1" applyFill="1" applyBorder="1">
      <alignment vertical="center"/>
    </xf>
    <xf numFmtId="227" fontId="51" fillId="8" borderId="192" xfId="0" applyNumberFormat="1" applyFont="1" applyFill="1" applyBorder="1">
      <alignment vertical="center"/>
    </xf>
    <xf numFmtId="227" fontId="28" fillId="0" borderId="135" xfId="0" applyNumberFormat="1" applyFont="1" applyBorder="1">
      <alignment vertical="center"/>
    </xf>
    <xf numFmtId="227" fontId="28" fillId="0" borderId="123" xfId="0" applyNumberFormat="1" applyFont="1" applyBorder="1">
      <alignment vertical="center"/>
    </xf>
    <xf numFmtId="227" fontId="28" fillId="0" borderId="136" xfId="0" applyNumberFormat="1" applyFont="1" applyBorder="1">
      <alignment vertical="center"/>
    </xf>
    <xf numFmtId="227" fontId="28" fillId="0" borderId="134" xfId="0" applyNumberFormat="1" applyFont="1" applyBorder="1">
      <alignment vertical="center"/>
    </xf>
    <xf numFmtId="227" fontId="28" fillId="0" borderId="137" xfId="0" applyNumberFormat="1" applyFont="1" applyBorder="1">
      <alignment vertical="center"/>
    </xf>
    <xf numFmtId="227" fontId="28" fillId="0" borderId="55" xfId="0" applyNumberFormat="1" applyFont="1" applyBorder="1">
      <alignment vertical="center"/>
    </xf>
    <xf numFmtId="227" fontId="28" fillId="0" borderId="138" xfId="0" applyNumberFormat="1" applyFont="1" applyBorder="1">
      <alignment vertical="center"/>
    </xf>
    <xf numFmtId="229" fontId="28" fillId="0" borderId="138" xfId="0" applyNumberFormat="1" applyFont="1" applyBorder="1">
      <alignment vertical="center"/>
    </xf>
    <xf numFmtId="229" fontId="28" fillId="0" borderId="137" xfId="0" applyNumberFormat="1" applyFont="1" applyBorder="1">
      <alignment vertical="center"/>
    </xf>
    <xf numFmtId="229" fontId="28" fillId="0" borderId="55" xfId="0" applyNumberFormat="1" applyFont="1" applyBorder="1">
      <alignment vertical="center"/>
    </xf>
    <xf numFmtId="227" fontId="28" fillId="0" borderId="28" xfId="0" applyNumberFormat="1" applyFont="1" applyBorder="1">
      <alignment vertical="center"/>
    </xf>
    <xf numFmtId="227" fontId="28" fillId="0" borderId="29" xfId="0" applyNumberFormat="1" applyFont="1" applyBorder="1">
      <alignment vertical="center"/>
    </xf>
    <xf numFmtId="227" fontId="110" fillId="0" borderId="30" xfId="0" applyNumberFormat="1" applyFont="1" applyBorder="1">
      <alignment vertical="center"/>
    </xf>
    <xf numFmtId="227" fontId="28" fillId="0" borderId="27" xfId="0" applyNumberFormat="1" applyFont="1" applyBorder="1">
      <alignment vertical="center"/>
    </xf>
    <xf numFmtId="227" fontId="28" fillId="0" borderId="89" xfId="0" applyNumberFormat="1" applyFont="1" applyBorder="1">
      <alignment vertical="center"/>
    </xf>
    <xf numFmtId="227" fontId="28" fillId="0" borderId="90" xfId="0" applyNumberFormat="1" applyFont="1" applyBorder="1">
      <alignment vertical="center"/>
    </xf>
    <xf numFmtId="227" fontId="28" fillId="0" borderId="91" xfId="0" applyNumberFormat="1" applyFont="1" applyBorder="1">
      <alignment vertical="center"/>
    </xf>
    <xf numFmtId="227" fontId="110" fillId="0" borderId="136" xfId="0" applyNumberFormat="1" applyFont="1" applyBorder="1">
      <alignment vertical="center"/>
    </xf>
    <xf numFmtId="227" fontId="110" fillId="0" borderId="0" xfId="0" applyNumberFormat="1" applyFont="1">
      <alignment vertical="center"/>
    </xf>
    <xf numFmtId="227" fontId="28" fillId="31" borderId="90" xfId="0" applyNumberFormat="1" applyFont="1" applyFill="1" applyBorder="1">
      <alignment vertical="center"/>
    </xf>
    <xf numFmtId="227" fontId="28" fillId="8" borderId="55" xfId="0" applyNumberFormat="1" applyFont="1" applyFill="1" applyBorder="1">
      <alignment vertical="center"/>
    </xf>
    <xf numFmtId="188" fontId="28" fillId="0" borderId="95" xfId="0" applyNumberFormat="1" applyFont="1" applyBorder="1" applyAlignment="1">
      <alignment horizontal="center" vertical="center"/>
    </xf>
    <xf numFmtId="41" fontId="28" fillId="32" borderId="96" xfId="1" applyFont="1" applyFill="1" applyBorder="1">
      <alignment vertical="center"/>
    </xf>
    <xf numFmtId="41" fontId="28" fillId="32" borderId="95" xfId="1" applyFont="1" applyFill="1" applyBorder="1">
      <alignment vertical="center"/>
    </xf>
    <xf numFmtId="41" fontId="28" fillId="32" borderId="51" xfId="1" applyFont="1" applyFill="1" applyBorder="1">
      <alignment vertical="center"/>
    </xf>
    <xf numFmtId="230" fontId="47" fillId="0" borderId="32" xfId="0" applyNumberFormat="1" applyFont="1" applyBorder="1">
      <alignment vertical="center"/>
    </xf>
    <xf numFmtId="41" fontId="28" fillId="0" borderId="141" xfId="1" applyFont="1" applyFill="1" applyBorder="1">
      <alignment vertical="center"/>
    </xf>
    <xf numFmtId="227" fontId="28" fillId="0" borderId="36" xfId="0" applyNumberFormat="1" applyFont="1" applyBorder="1">
      <alignment vertical="center"/>
    </xf>
    <xf numFmtId="185" fontId="28" fillId="0" borderId="30" xfId="2" applyNumberFormat="1" applyFont="1" applyFill="1" applyBorder="1">
      <alignment vertical="center"/>
    </xf>
    <xf numFmtId="227" fontId="28" fillId="0" borderId="30" xfId="0" applyNumberFormat="1" applyFont="1" applyBorder="1">
      <alignment vertical="center"/>
    </xf>
    <xf numFmtId="41" fontId="28" fillId="0" borderId="91" xfId="1" applyFont="1" applyFill="1" applyBorder="1">
      <alignment vertical="center"/>
    </xf>
    <xf numFmtId="227" fontId="28" fillId="0" borderId="40" xfId="0" applyNumberFormat="1" applyFont="1" applyBorder="1">
      <alignment vertical="center"/>
    </xf>
    <xf numFmtId="227" fontId="28" fillId="0" borderId="42" xfId="0" applyNumberFormat="1" applyFont="1" applyBorder="1">
      <alignment vertical="center"/>
    </xf>
    <xf numFmtId="227" fontId="28" fillId="0" borderId="143" xfId="0" applyNumberFormat="1" applyFont="1" applyBorder="1">
      <alignment vertical="center"/>
    </xf>
    <xf numFmtId="227" fontId="28" fillId="0" borderId="86" xfId="0" applyNumberFormat="1" applyFont="1" applyBorder="1">
      <alignment vertical="center"/>
    </xf>
    <xf numFmtId="227" fontId="28" fillId="0" borderId="144" xfId="0" applyNumberFormat="1" applyFont="1" applyBorder="1">
      <alignment vertical="center"/>
    </xf>
    <xf numFmtId="227" fontId="28" fillId="0" borderId="92" xfId="0" applyNumberFormat="1" applyFont="1" applyBorder="1">
      <alignment vertical="center"/>
    </xf>
    <xf numFmtId="10" fontId="28" fillId="0" borderId="88" xfId="2" applyNumberFormat="1" applyFont="1" applyFill="1" applyBorder="1">
      <alignment vertical="center"/>
    </xf>
    <xf numFmtId="41" fontId="28" fillId="0" borderId="88" xfId="1" applyFont="1" applyFill="1" applyBorder="1">
      <alignment vertical="center"/>
    </xf>
    <xf numFmtId="227" fontId="28" fillId="0" borderId="99" xfId="0" applyNumberFormat="1" applyFont="1" applyBorder="1">
      <alignment vertical="center"/>
    </xf>
    <xf numFmtId="227" fontId="28" fillId="0" borderId="100" xfId="0" applyNumberFormat="1" applyFont="1" applyBorder="1">
      <alignment vertical="center"/>
    </xf>
    <xf numFmtId="227" fontId="28" fillId="0" borderId="101" xfId="0" applyNumberFormat="1" applyFont="1" applyBorder="1">
      <alignment vertical="center"/>
    </xf>
    <xf numFmtId="181" fontId="28" fillId="0" borderId="100" xfId="1" applyNumberFormat="1" applyFont="1" applyFill="1" applyBorder="1">
      <alignment vertical="center"/>
    </xf>
    <xf numFmtId="181" fontId="28" fillId="0" borderId="101" xfId="1" applyNumberFormat="1" applyFont="1" applyFill="1" applyBorder="1">
      <alignment vertical="center"/>
    </xf>
    <xf numFmtId="181" fontId="28" fillId="0" borderId="99" xfId="1" applyNumberFormat="1" applyFont="1" applyFill="1" applyBorder="1">
      <alignment vertical="center"/>
    </xf>
    <xf numFmtId="185" fontId="51" fillId="0" borderId="126" xfId="2" applyNumberFormat="1" applyFont="1" applyFill="1" applyBorder="1">
      <alignment vertical="center"/>
    </xf>
    <xf numFmtId="227" fontId="28" fillId="0" borderId="126" xfId="0" applyNumberFormat="1" applyFont="1" applyBorder="1" applyAlignment="1">
      <alignment horizontal="right" vertical="center"/>
    </xf>
    <xf numFmtId="199" fontId="28" fillId="0" borderId="0" xfId="1" applyNumberFormat="1" applyFont="1" applyFill="1" applyBorder="1">
      <alignment vertical="center"/>
    </xf>
    <xf numFmtId="41" fontId="28" fillId="3" borderId="0" xfId="1" applyFont="1" applyFill="1" applyBorder="1">
      <alignment vertical="center"/>
    </xf>
    <xf numFmtId="41" fontId="28" fillId="0" borderId="134" xfId="1" applyFont="1" applyFill="1" applyBorder="1">
      <alignment vertical="center"/>
    </xf>
    <xf numFmtId="41" fontId="28" fillId="0" borderId="137" xfId="1" applyFont="1" applyFill="1" applyBorder="1">
      <alignment vertical="center"/>
    </xf>
    <xf numFmtId="41" fontId="28" fillId="0" borderId="55" xfId="1" applyFont="1" applyFill="1" applyBorder="1">
      <alignment vertical="center"/>
    </xf>
    <xf numFmtId="41" fontId="28" fillId="0" borderId="138" xfId="1" applyFont="1" applyFill="1" applyBorder="1">
      <alignment vertical="center"/>
    </xf>
    <xf numFmtId="0" fontId="5" fillId="0" borderId="0" xfId="25">
      <alignment vertical="center"/>
    </xf>
    <xf numFmtId="0" fontId="5" fillId="0" borderId="0" xfId="25" applyAlignment="1">
      <alignment horizontal="center" vertical="center"/>
    </xf>
    <xf numFmtId="0" fontId="11" fillId="11" borderId="1" xfId="25" applyFont="1" applyFill="1" applyBorder="1" applyAlignment="1">
      <alignment horizontal="left" vertical="center" indent="1"/>
    </xf>
    <xf numFmtId="0" fontId="5" fillId="11" borderId="2" xfId="25" applyFill="1" applyBorder="1" applyAlignment="1">
      <alignment horizontal="center" vertical="center"/>
    </xf>
    <xf numFmtId="0" fontId="5" fillId="11" borderId="3" xfId="25" applyFill="1" applyBorder="1" applyAlignment="1">
      <alignment horizontal="right" vertical="center"/>
    </xf>
    <xf numFmtId="0" fontId="5" fillId="11" borderId="129" xfId="25" applyFill="1" applyBorder="1" applyAlignment="1">
      <alignment horizontal="right" vertical="center"/>
    </xf>
    <xf numFmtId="0" fontId="5" fillId="11" borderId="122" xfId="26" applyFill="1" applyBorder="1" applyAlignment="1">
      <alignment horizontal="center" vertical="center"/>
    </xf>
    <xf numFmtId="0" fontId="11" fillId="11" borderId="6" xfId="25" applyFont="1" applyFill="1" applyBorder="1">
      <alignment vertical="center"/>
    </xf>
    <xf numFmtId="0" fontId="11" fillId="11" borderId="7" xfId="25" applyFont="1" applyFill="1" applyBorder="1">
      <alignment vertical="center"/>
    </xf>
    <xf numFmtId="0" fontId="111" fillId="11" borderId="8" xfId="25" applyFont="1" applyFill="1" applyBorder="1" applyAlignment="1">
      <alignment horizontal="right" vertical="center"/>
    </xf>
    <xf numFmtId="0" fontId="5" fillId="11" borderId="18" xfId="25" applyFill="1" applyBorder="1" applyAlignment="1">
      <alignment horizontal="right" vertical="center"/>
    </xf>
    <xf numFmtId="187" fontId="5" fillId="11" borderId="122" xfId="26" applyNumberFormat="1" applyFill="1" applyBorder="1">
      <alignment vertical="center"/>
    </xf>
    <xf numFmtId="0" fontId="5" fillId="0" borderId="18" xfId="25" applyBorder="1">
      <alignment vertical="center"/>
    </xf>
    <xf numFmtId="0" fontId="5" fillId="0" borderId="0" xfId="25" applyAlignment="1">
      <alignment horizontal="left" vertical="center" indent="1"/>
    </xf>
    <xf numFmtId="0" fontId="112" fillId="0" borderId="0" xfId="25" applyFont="1" applyAlignment="1">
      <alignment horizontal="left" vertical="center"/>
    </xf>
    <xf numFmtId="0" fontId="11" fillId="0" borderId="0" xfId="25" applyFont="1" applyAlignment="1">
      <alignment horizontal="right" vertical="center"/>
    </xf>
    <xf numFmtId="0" fontId="11" fillId="0" borderId="13" xfId="25" applyFont="1" applyBorder="1" applyAlignment="1">
      <alignment horizontal="right" vertical="center"/>
    </xf>
    <xf numFmtId="214" fontId="111" fillId="0" borderId="13" xfId="26" applyNumberFormat="1" applyFont="1" applyBorder="1">
      <alignment vertical="center"/>
    </xf>
    <xf numFmtId="0" fontId="5" fillId="0" borderId="0" xfId="25" applyAlignment="1">
      <alignment horizontal="left" vertical="center" indent="2"/>
    </xf>
    <xf numFmtId="0" fontId="112" fillId="0" borderId="31" xfId="25" applyFont="1" applyBorder="1" applyAlignment="1">
      <alignment horizontal="left" vertical="center" indent="1"/>
    </xf>
    <xf numFmtId="0" fontId="5" fillId="0" borderId="39" xfId="25" applyBorder="1">
      <alignment vertical="center"/>
    </xf>
    <xf numFmtId="0" fontId="11" fillId="0" borderId="39" xfId="25" applyFont="1" applyBorder="1" applyAlignment="1">
      <alignment horizontal="right" vertical="center"/>
    </xf>
    <xf numFmtId="0" fontId="11" fillId="0" borderId="33" xfId="25" applyFont="1" applyBorder="1" applyAlignment="1">
      <alignment horizontal="right" vertical="center"/>
    </xf>
    <xf numFmtId="214" fontId="111" fillId="0" borderId="33" xfId="26" applyNumberFormat="1" applyFont="1" applyBorder="1">
      <alignment vertical="center"/>
    </xf>
    <xf numFmtId="0" fontId="112" fillId="0" borderId="35" xfId="25" applyFont="1" applyBorder="1" applyAlignment="1">
      <alignment horizontal="left" vertical="center" indent="1"/>
    </xf>
    <xf numFmtId="0" fontId="5" fillId="0" borderId="37" xfId="25" applyBorder="1">
      <alignment vertical="center"/>
    </xf>
    <xf numFmtId="0" fontId="11" fillId="0" borderId="37" xfId="25" applyFont="1" applyBorder="1" applyAlignment="1">
      <alignment horizontal="right" vertical="center"/>
    </xf>
    <xf numFmtId="0" fontId="11" fillId="0" borderId="38" xfId="25" applyFont="1" applyBorder="1" applyAlignment="1">
      <alignment horizontal="right" vertical="center"/>
    </xf>
    <xf numFmtId="214" fontId="111" fillId="0" borderId="38" xfId="26" applyNumberFormat="1" applyFont="1" applyBorder="1">
      <alignment vertical="center"/>
    </xf>
    <xf numFmtId="0" fontId="5" fillId="0" borderId="13" xfId="25" applyBorder="1">
      <alignment vertical="center"/>
    </xf>
    <xf numFmtId="0" fontId="5" fillId="0" borderId="135" xfId="25" applyBorder="1" applyAlignment="1">
      <alignment horizontal="left" vertical="center" indent="1"/>
    </xf>
    <xf numFmtId="0" fontId="5" fillId="0" borderId="123" xfId="25" applyBorder="1" applyAlignment="1">
      <alignment horizontal="left" vertical="center"/>
    </xf>
    <xf numFmtId="0" fontId="5" fillId="0" borderId="123" xfId="25" applyBorder="1">
      <alignment vertical="center"/>
    </xf>
    <xf numFmtId="0" fontId="5" fillId="0" borderId="134" xfId="25" applyBorder="1">
      <alignment vertical="center"/>
    </xf>
    <xf numFmtId="214" fontId="111" fillId="0" borderId="134" xfId="26" applyNumberFormat="1" applyFont="1" applyBorder="1">
      <alignment vertical="center"/>
    </xf>
    <xf numFmtId="0" fontId="5" fillId="0" borderId="0" xfId="26">
      <alignment vertical="center"/>
    </xf>
    <xf numFmtId="41" fontId="5" fillId="0" borderId="0" xfId="24" applyFont="1" applyBorder="1" applyAlignment="1">
      <alignment horizontal="right" vertical="top"/>
    </xf>
    <xf numFmtId="0" fontId="113" fillId="11" borderId="207" xfId="25" applyFont="1" applyFill="1" applyBorder="1" applyAlignment="1">
      <alignment horizontal="left" vertical="center" indent="1"/>
    </xf>
    <xf numFmtId="0" fontId="113" fillId="11" borderId="154" xfId="25" applyFont="1" applyFill="1" applyBorder="1">
      <alignment vertical="center"/>
    </xf>
    <xf numFmtId="0" fontId="5" fillId="11" borderId="154" xfId="25" applyFill="1" applyBorder="1">
      <alignment vertical="center"/>
    </xf>
    <xf numFmtId="0" fontId="5" fillId="11" borderId="202" xfId="25" applyFill="1" applyBorder="1" applyAlignment="1">
      <alignment horizontal="right" vertical="center"/>
    </xf>
    <xf numFmtId="0" fontId="5" fillId="11" borderId="0" xfId="25" applyFill="1" applyAlignment="1">
      <alignment horizontal="right" vertical="center"/>
    </xf>
    <xf numFmtId="0" fontId="11" fillId="11" borderId="122" xfId="26" applyFont="1" applyFill="1" applyBorder="1" applyAlignment="1">
      <alignment horizontal="center" vertical="center"/>
    </xf>
    <xf numFmtId="0" fontId="11" fillId="0" borderId="12" xfId="25" applyFont="1" applyBorder="1" applyAlignment="1">
      <alignment horizontal="left" vertical="center" indent="1"/>
    </xf>
    <xf numFmtId="0" fontId="11" fillId="0" borderId="0" xfId="25" applyFont="1">
      <alignment vertical="center"/>
    </xf>
    <xf numFmtId="231" fontId="111" fillId="0" borderId="13" xfId="27" applyFont="1" applyFill="1" applyBorder="1">
      <alignment vertical="center"/>
    </xf>
    <xf numFmtId="231" fontId="5" fillId="0" borderId="13" xfId="27" applyFont="1" applyFill="1" applyBorder="1">
      <alignment vertical="center"/>
    </xf>
    <xf numFmtId="0" fontId="11" fillId="0" borderId="135" xfId="25" applyFont="1" applyBorder="1" applyAlignment="1">
      <alignment horizontal="left" vertical="center" indent="1"/>
    </xf>
    <xf numFmtId="0" fontId="11" fillId="0" borderId="123" xfId="25" applyFont="1" applyBorder="1">
      <alignment vertical="center"/>
    </xf>
    <xf numFmtId="10" fontId="5" fillId="0" borderId="123" xfId="25" applyNumberFormat="1" applyBorder="1">
      <alignment vertical="center"/>
    </xf>
    <xf numFmtId="0" fontId="5" fillId="0" borderId="136" xfId="25" applyBorder="1">
      <alignment vertical="center"/>
    </xf>
    <xf numFmtId="10" fontId="11" fillId="0" borderId="134" xfId="26" applyNumberFormat="1" applyFont="1" applyBorder="1">
      <alignment vertical="center"/>
    </xf>
    <xf numFmtId="0" fontId="11" fillId="0" borderId="0" xfId="25" applyFont="1" applyAlignment="1">
      <alignment horizontal="left" vertical="center" indent="1"/>
    </xf>
    <xf numFmtId="199" fontId="11" fillId="0" borderId="0" xfId="1" applyNumberFormat="1" applyFont="1" applyFill="1" applyBorder="1">
      <alignment vertical="center"/>
    </xf>
    <xf numFmtId="10" fontId="11" fillId="0" borderId="0" xfId="26" applyNumberFormat="1" applyFont="1">
      <alignment vertical="center"/>
    </xf>
    <xf numFmtId="0" fontId="11" fillId="0" borderId="125" xfId="25" applyFont="1" applyBorder="1" applyAlignment="1">
      <alignment horizontal="left" vertical="center" indent="1"/>
    </xf>
    <xf numFmtId="0" fontId="5" fillId="0" borderId="126" xfId="25" applyBorder="1">
      <alignment vertical="center"/>
    </xf>
    <xf numFmtId="0" fontId="5" fillId="0" borderId="126" xfId="25" applyBorder="1" applyAlignment="1">
      <alignment horizontal="right" vertical="center"/>
    </xf>
    <xf numFmtId="0" fontId="112" fillId="0" borderId="122" xfId="25" applyFont="1" applyBorder="1" applyAlignment="1">
      <alignment horizontal="center" vertical="center"/>
    </xf>
    <xf numFmtId="213" fontId="5" fillId="7" borderId="122" xfId="25" applyNumberFormat="1" applyFill="1" applyBorder="1" applyAlignment="1">
      <alignment horizontal="center" vertical="center"/>
    </xf>
    <xf numFmtId="187" fontId="11" fillId="0" borderId="13" xfId="25" applyNumberFormat="1" applyFont="1" applyBorder="1">
      <alignment vertical="center"/>
    </xf>
    <xf numFmtId="187" fontId="5" fillId="0" borderId="13" xfId="25" applyNumberFormat="1" applyBorder="1">
      <alignment vertical="center"/>
    </xf>
    <xf numFmtId="0" fontId="5" fillId="0" borderId="12" xfId="25" applyBorder="1" applyAlignment="1">
      <alignment horizontal="left" vertical="center" indent="2"/>
    </xf>
    <xf numFmtId="187" fontId="111" fillId="0" borderId="13" xfId="25" applyNumberFormat="1" applyFont="1" applyBorder="1">
      <alignment vertical="center"/>
    </xf>
    <xf numFmtId="41" fontId="5" fillId="0" borderId="0" xfId="24" applyFont="1" applyFill="1" applyBorder="1">
      <alignment vertical="center"/>
    </xf>
    <xf numFmtId="214" fontId="5" fillId="0" borderId="0" xfId="25" applyNumberFormat="1">
      <alignment vertical="center"/>
    </xf>
    <xf numFmtId="0" fontId="11" fillId="11" borderId="125" xfId="25" applyFont="1" applyFill="1" applyBorder="1" applyAlignment="1">
      <alignment horizontal="left" vertical="center" indent="1"/>
    </xf>
    <xf numFmtId="0" fontId="11" fillId="11" borderId="126" xfId="25" applyFont="1" applyFill="1" applyBorder="1">
      <alignment vertical="center"/>
    </xf>
    <xf numFmtId="187" fontId="114" fillId="11" borderId="126" xfId="24" applyNumberFormat="1" applyFont="1" applyFill="1" applyBorder="1">
      <alignment vertical="center"/>
    </xf>
    <xf numFmtId="41" fontId="11" fillId="11" borderId="126" xfId="1" applyFont="1" applyFill="1" applyBorder="1">
      <alignment vertical="center"/>
    </xf>
    <xf numFmtId="187" fontId="114" fillId="11" borderId="122" xfId="25" applyNumberFormat="1" applyFont="1" applyFill="1" applyBorder="1">
      <alignment vertical="center"/>
    </xf>
    <xf numFmtId="187" fontId="114" fillId="8" borderId="122" xfId="25" applyNumberFormat="1" applyFont="1" applyFill="1" applyBorder="1">
      <alignment vertical="center"/>
    </xf>
    <xf numFmtId="0" fontId="11" fillId="33" borderId="125" xfId="25" applyFont="1" applyFill="1" applyBorder="1" applyAlignment="1">
      <alignment horizontal="left" vertical="center" indent="1"/>
    </xf>
    <xf numFmtId="0" fontId="11" fillId="33" borderId="126" xfId="25" applyFont="1" applyFill="1" applyBorder="1">
      <alignment vertical="center"/>
    </xf>
    <xf numFmtId="231" fontId="11" fillId="33" borderId="126" xfId="25" applyNumberFormat="1" applyFont="1" applyFill="1" applyBorder="1">
      <alignment vertical="center"/>
    </xf>
    <xf numFmtId="231" fontId="115" fillId="33" borderId="126" xfId="25" applyNumberFormat="1" applyFont="1" applyFill="1" applyBorder="1">
      <alignment vertical="center"/>
    </xf>
    <xf numFmtId="41" fontId="11" fillId="33" borderId="126" xfId="1" applyFont="1" applyFill="1" applyBorder="1" applyAlignment="1">
      <alignment horizontal="right" vertical="center"/>
    </xf>
    <xf numFmtId="41" fontId="11" fillId="33" borderId="122" xfId="24" applyFont="1" applyFill="1" applyBorder="1">
      <alignment vertical="center"/>
    </xf>
    <xf numFmtId="41" fontId="116" fillId="8" borderId="122" xfId="24" applyFont="1" applyFill="1" applyBorder="1">
      <alignment vertical="center"/>
    </xf>
    <xf numFmtId="0" fontId="112" fillId="0" borderId="0" xfId="25" applyFont="1">
      <alignment vertical="center"/>
    </xf>
    <xf numFmtId="0" fontId="113" fillId="33" borderId="125" xfId="25" applyFont="1" applyFill="1" applyBorder="1" applyAlignment="1">
      <alignment horizontal="left" vertical="center" indent="1"/>
    </xf>
    <xf numFmtId="0" fontId="112" fillId="33" borderId="126" xfId="25" applyFont="1" applyFill="1" applyBorder="1">
      <alignment vertical="center"/>
    </xf>
    <xf numFmtId="231" fontId="113" fillId="33" borderId="126" xfId="25" applyNumberFormat="1" applyFont="1" applyFill="1" applyBorder="1">
      <alignment vertical="center"/>
    </xf>
    <xf numFmtId="41" fontId="112" fillId="33" borderId="126" xfId="1" applyFont="1" applyFill="1" applyBorder="1">
      <alignment vertical="center"/>
    </xf>
    <xf numFmtId="41" fontId="113" fillId="33" borderId="122" xfId="24" applyFont="1" applyFill="1" applyBorder="1" applyAlignment="1">
      <alignment horizontal="center" vertical="center"/>
    </xf>
    <xf numFmtId="0" fontId="113" fillId="33" borderId="128" xfId="25" applyFont="1" applyFill="1" applyBorder="1" applyAlignment="1">
      <alignment horizontal="left" vertical="center" indent="1"/>
    </xf>
    <xf numFmtId="0" fontId="112" fillId="33" borderId="23" xfId="25" applyFont="1" applyFill="1" applyBorder="1">
      <alignment vertical="center"/>
    </xf>
    <xf numFmtId="231" fontId="113" fillId="33" borderId="23" xfId="25" applyNumberFormat="1" applyFont="1" applyFill="1" applyBorder="1">
      <alignment vertical="center"/>
    </xf>
    <xf numFmtId="231" fontId="112" fillId="33" borderId="129" xfId="25" applyNumberFormat="1" applyFont="1" applyFill="1" applyBorder="1">
      <alignment vertical="center"/>
    </xf>
    <xf numFmtId="41" fontId="112" fillId="33" borderId="129" xfId="1" applyFont="1" applyFill="1" applyBorder="1">
      <alignment vertical="center"/>
    </xf>
    <xf numFmtId="41" fontId="113" fillId="33" borderId="139" xfId="24" applyFont="1" applyFill="1" applyBorder="1" applyAlignment="1">
      <alignment horizontal="center" vertical="center"/>
    </xf>
    <xf numFmtId="41" fontId="11" fillId="33" borderId="139" xfId="24" applyFont="1" applyFill="1" applyBorder="1">
      <alignment vertical="center"/>
    </xf>
    <xf numFmtId="0" fontId="113" fillId="33" borderId="135" xfId="25" applyFont="1" applyFill="1" applyBorder="1" applyAlignment="1">
      <alignment horizontal="left" vertical="center" indent="1"/>
    </xf>
    <xf numFmtId="0" fontId="112" fillId="33" borderId="123" xfId="25" applyFont="1" applyFill="1" applyBorder="1">
      <alignment vertical="center"/>
    </xf>
    <xf numFmtId="231" fontId="113" fillId="33" borderId="123" xfId="25" applyNumberFormat="1" applyFont="1" applyFill="1" applyBorder="1">
      <alignment vertical="center"/>
    </xf>
    <xf numFmtId="9" fontId="112" fillId="33" borderId="136" xfId="2" applyFont="1" applyFill="1" applyBorder="1">
      <alignment vertical="center"/>
    </xf>
    <xf numFmtId="41" fontId="112" fillId="33" borderId="136" xfId="1" applyFont="1" applyFill="1" applyBorder="1">
      <alignment vertical="center"/>
    </xf>
    <xf numFmtId="41" fontId="113" fillId="33" borderId="134" xfId="24" applyFont="1" applyFill="1" applyBorder="1" applyAlignment="1">
      <alignment horizontal="center" vertical="center"/>
    </xf>
    <xf numFmtId="41" fontId="11" fillId="33" borderId="134" xfId="24" applyFont="1" applyFill="1" applyBorder="1">
      <alignment vertical="center"/>
    </xf>
    <xf numFmtId="0" fontId="113" fillId="33" borderId="0" xfId="25" applyFont="1" applyFill="1" applyAlignment="1">
      <alignment horizontal="left" vertical="center" indent="1"/>
    </xf>
    <xf numFmtId="0" fontId="112" fillId="33" borderId="0" xfId="25" applyFont="1" applyFill="1">
      <alignment vertical="center"/>
    </xf>
    <xf numFmtId="231" fontId="113" fillId="33" borderId="0" xfId="25" applyNumberFormat="1" applyFont="1" applyFill="1">
      <alignment vertical="center"/>
    </xf>
    <xf numFmtId="9" fontId="112" fillId="33" borderId="0" xfId="2" applyFont="1" applyFill="1" applyBorder="1">
      <alignment vertical="center"/>
    </xf>
    <xf numFmtId="41" fontId="112" fillId="33" borderId="0" xfId="1" applyFont="1" applyFill="1" applyBorder="1">
      <alignment vertical="center"/>
    </xf>
    <xf numFmtId="41" fontId="113" fillId="33" borderId="0" xfId="24" applyFont="1" applyFill="1" applyBorder="1" applyAlignment="1">
      <alignment horizontal="center" vertical="center"/>
    </xf>
    <xf numFmtId="41" fontId="11" fillId="33" borderId="0" xfId="24" applyFont="1" applyFill="1" applyBorder="1">
      <alignment vertical="center"/>
    </xf>
    <xf numFmtId="41" fontId="11" fillId="33" borderId="0" xfId="1" applyFont="1" applyFill="1" applyBorder="1">
      <alignment vertical="center"/>
    </xf>
    <xf numFmtId="0" fontId="113" fillId="0" borderId="0" xfId="25" applyFont="1" applyAlignment="1">
      <alignment horizontal="left" vertical="center" indent="1"/>
    </xf>
    <xf numFmtId="231" fontId="113" fillId="0" borderId="0" xfId="25" applyNumberFormat="1" applyFont="1">
      <alignment vertical="center"/>
    </xf>
    <xf numFmtId="231" fontId="112" fillId="0" borderId="0" xfId="25" applyNumberFormat="1" applyFont="1" applyAlignment="1">
      <alignment horizontal="center" vertical="center"/>
    </xf>
    <xf numFmtId="41" fontId="113" fillId="0" borderId="0" xfId="24" applyFont="1" applyFill="1" applyBorder="1" applyAlignment="1">
      <alignment horizontal="center" vertical="center"/>
    </xf>
    <xf numFmtId="41" fontId="114" fillId="0" borderId="0" xfId="24" quotePrefix="1" applyFont="1" applyFill="1" applyBorder="1" applyAlignment="1">
      <alignment horizontal="left" vertical="center"/>
    </xf>
    <xf numFmtId="41" fontId="11" fillId="0" borderId="0" xfId="24" applyFont="1" applyFill="1" applyBorder="1">
      <alignment vertical="center"/>
    </xf>
    <xf numFmtId="41" fontId="114" fillId="0" borderId="0" xfId="24" applyFont="1" applyFill="1" applyBorder="1" applyAlignment="1">
      <alignment horizontal="center" vertical="center"/>
    </xf>
    <xf numFmtId="0" fontId="117" fillId="0" borderId="0" xfId="0" applyFont="1">
      <alignment vertical="center"/>
    </xf>
    <xf numFmtId="41" fontId="113" fillId="0" borderId="0" xfId="24" applyFont="1" applyFill="1" applyBorder="1" applyAlignment="1">
      <alignment horizontal="right" vertical="center"/>
    </xf>
    <xf numFmtId="0" fontId="113" fillId="0" borderId="0" xfId="24" applyNumberFormat="1" applyFont="1" applyFill="1" applyBorder="1" applyAlignment="1">
      <alignment horizontal="center" vertical="center"/>
    </xf>
    <xf numFmtId="0" fontId="113" fillId="3" borderId="125" xfId="25" applyFont="1" applyFill="1" applyBorder="1" applyAlignment="1">
      <alignment horizontal="left" vertical="center" indent="1"/>
    </xf>
    <xf numFmtId="0" fontId="112" fillId="3" borderId="126" xfId="25" applyFont="1" applyFill="1" applyBorder="1">
      <alignment vertical="center"/>
    </xf>
    <xf numFmtId="231" fontId="113" fillId="3" borderId="126" xfId="25" applyNumberFormat="1" applyFont="1" applyFill="1" applyBorder="1">
      <alignment vertical="center"/>
    </xf>
    <xf numFmtId="231" fontId="112" fillId="3" borderId="126" xfId="25" applyNumberFormat="1" applyFont="1" applyFill="1" applyBorder="1">
      <alignment vertical="center"/>
    </xf>
    <xf numFmtId="41" fontId="113" fillId="3" borderId="122" xfId="24" applyFont="1" applyFill="1" applyBorder="1" applyAlignment="1">
      <alignment horizontal="center" vertical="center"/>
    </xf>
    <xf numFmtId="41" fontId="113" fillId="3" borderId="122" xfId="24" applyFont="1" applyFill="1" applyBorder="1">
      <alignment vertical="center"/>
    </xf>
    <xf numFmtId="41" fontId="114" fillId="0" borderId="122" xfId="24" applyFont="1" applyFill="1" applyBorder="1" applyAlignment="1">
      <alignment horizontal="center" vertical="center"/>
    </xf>
    <xf numFmtId="41" fontId="113" fillId="0" borderId="122" xfId="24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16" fillId="3" borderId="125" xfId="25" applyFont="1" applyFill="1" applyBorder="1" applyAlignment="1">
      <alignment horizontal="left" vertical="center" indent="1"/>
    </xf>
    <xf numFmtId="231" fontId="111" fillId="3" borderId="126" xfId="25" applyNumberFormat="1" applyFont="1" applyFill="1" applyBorder="1">
      <alignment vertical="center"/>
    </xf>
    <xf numFmtId="41" fontId="116" fillId="3" borderId="122" xfId="24" applyFont="1" applyFill="1" applyBorder="1" applyAlignment="1">
      <alignment horizontal="center" vertical="center"/>
    </xf>
    <xf numFmtId="41" fontId="114" fillId="3" borderId="122" xfId="24" applyFont="1" applyFill="1" applyBorder="1" applyAlignment="1">
      <alignment horizontal="center" vertical="center"/>
    </xf>
    <xf numFmtId="41" fontId="116" fillId="3" borderId="122" xfId="24" applyFont="1" applyFill="1" applyBorder="1">
      <alignment vertical="center"/>
    </xf>
    <xf numFmtId="9" fontId="112" fillId="3" borderId="126" xfId="2" applyFont="1" applyFill="1" applyBorder="1">
      <alignment vertical="center"/>
    </xf>
    <xf numFmtId="217" fontId="113" fillId="3" borderId="122" xfId="24" applyNumberFormat="1" applyFont="1" applyFill="1" applyBorder="1" applyAlignment="1">
      <alignment horizontal="center" vertical="center"/>
    </xf>
    <xf numFmtId="41" fontId="113" fillId="3" borderId="122" xfId="1" applyFont="1" applyFill="1" applyBorder="1" applyAlignment="1">
      <alignment horizontal="center" vertical="center"/>
    </xf>
    <xf numFmtId="9" fontId="111" fillId="3" borderId="126" xfId="2" applyFont="1" applyFill="1" applyBorder="1">
      <alignment vertical="center"/>
    </xf>
    <xf numFmtId="41" fontId="116" fillId="3" borderId="122" xfId="1" applyFont="1" applyFill="1" applyBorder="1" applyAlignment="1">
      <alignment horizontal="center" vertical="center"/>
    </xf>
    <xf numFmtId="231" fontId="5" fillId="0" borderId="0" xfId="25" applyNumberFormat="1">
      <alignment vertical="center"/>
    </xf>
    <xf numFmtId="41" fontId="5" fillId="0" borderId="0" xfId="1" applyFont="1">
      <alignment vertical="center"/>
    </xf>
    <xf numFmtId="41" fontId="118" fillId="0" borderId="0" xfId="1" applyFont="1">
      <alignment vertical="center"/>
    </xf>
    <xf numFmtId="187" fontId="5" fillId="0" borderId="0" xfId="1" applyNumberFormat="1" applyFont="1">
      <alignment vertical="center"/>
    </xf>
    <xf numFmtId="0" fontId="119" fillId="0" borderId="208" xfId="0" applyFont="1" applyBorder="1" applyAlignment="1">
      <alignment horizontal="center" vertical="center" wrapText="1"/>
    </xf>
    <xf numFmtId="0" fontId="120" fillId="0" borderId="208" xfId="0" applyFont="1" applyBorder="1" applyAlignment="1">
      <alignment horizontal="center" vertical="center" wrapText="1"/>
    </xf>
    <xf numFmtId="187" fontId="120" fillId="0" borderId="208" xfId="0" applyNumberFormat="1" applyFont="1" applyBorder="1" applyAlignment="1">
      <alignment horizontal="center" vertical="center" wrapText="1"/>
    </xf>
    <xf numFmtId="0" fontId="121" fillId="0" borderId="0" xfId="0" applyFont="1">
      <alignment vertical="center"/>
    </xf>
    <xf numFmtId="187" fontId="119" fillId="0" borderId="208" xfId="0" applyNumberFormat="1" applyFont="1" applyBorder="1" applyAlignment="1">
      <alignment horizontal="center" vertical="center" wrapText="1"/>
    </xf>
    <xf numFmtId="187" fontId="5" fillId="0" borderId="0" xfId="25" applyNumberFormat="1">
      <alignment vertical="center"/>
    </xf>
    <xf numFmtId="182" fontId="44" fillId="6" borderId="0" xfId="0" applyNumberFormat="1" applyFont="1" applyFill="1">
      <alignment vertical="center"/>
    </xf>
    <xf numFmtId="232" fontId="28" fillId="0" borderId="0" xfId="0" applyNumberFormat="1" applyFont="1" applyAlignment="1">
      <alignment horizontal="right" vertical="center"/>
    </xf>
    <xf numFmtId="232" fontId="28" fillId="0" borderId="0" xfId="1" applyNumberFormat="1" applyFont="1" applyFill="1">
      <alignment vertical="center"/>
    </xf>
    <xf numFmtId="179" fontId="28" fillId="0" borderId="0" xfId="1" applyNumberFormat="1" applyFont="1" applyFill="1">
      <alignment vertical="center"/>
    </xf>
    <xf numFmtId="0" fontId="28" fillId="0" borderId="0" xfId="28" applyFont="1"/>
    <xf numFmtId="0" fontId="28" fillId="0" borderId="123" xfId="28" applyFont="1" applyBorder="1"/>
    <xf numFmtId="0" fontId="27" fillId="0" borderId="0" xfId="28" applyFont="1"/>
    <xf numFmtId="0" fontId="28" fillId="17" borderId="125" xfId="0" applyFont="1" applyFill="1" applyBorder="1" applyAlignment="1">
      <alignment horizontal="centerContinuous" vertical="center"/>
    </xf>
    <xf numFmtId="0" fontId="28" fillId="17" borderId="126" xfId="0" applyFont="1" applyFill="1" applyBorder="1" applyAlignment="1">
      <alignment horizontal="centerContinuous" vertical="center"/>
    </xf>
    <xf numFmtId="0" fontId="28" fillId="17" borderId="122" xfId="28" applyFont="1" applyFill="1" applyBorder="1" applyAlignment="1">
      <alignment horizontal="center" vertical="center"/>
    </xf>
    <xf numFmtId="0" fontId="28" fillId="0" borderId="12" xfId="28" applyFont="1" applyBorder="1"/>
    <xf numFmtId="0" fontId="28" fillId="0" borderId="23" xfId="28" applyFont="1" applyBorder="1"/>
    <xf numFmtId="0" fontId="28" fillId="0" borderId="39" xfId="28" applyFont="1" applyBorder="1"/>
    <xf numFmtId="41" fontId="28" fillId="0" borderId="33" xfId="1" applyFont="1" applyFill="1" applyBorder="1" applyAlignment="1"/>
    <xf numFmtId="41" fontId="28" fillId="0" borderId="0" xfId="1" applyFont="1" applyFill="1" applyBorder="1" applyAlignment="1"/>
    <xf numFmtId="0" fontId="28" fillId="7" borderId="0" xfId="28" applyFont="1" applyFill="1"/>
    <xf numFmtId="0" fontId="28" fillId="7" borderId="12" xfId="28" applyFont="1" applyFill="1" applyBorder="1"/>
    <xf numFmtId="41" fontId="28" fillId="7" borderId="13" xfId="1" applyFont="1" applyFill="1" applyBorder="1" applyAlignment="1"/>
    <xf numFmtId="41" fontId="28" fillId="7" borderId="0" xfId="1" applyFont="1" applyFill="1" applyBorder="1" applyAlignment="1"/>
    <xf numFmtId="0" fontId="28" fillId="7" borderId="135" xfId="28" applyFont="1" applyFill="1" applyBorder="1"/>
    <xf numFmtId="0" fontId="28" fillId="7" borderId="123" xfId="28" applyFont="1" applyFill="1" applyBorder="1"/>
    <xf numFmtId="41" fontId="28" fillId="7" borderId="134" xfId="1" applyFont="1" applyFill="1" applyBorder="1" applyAlignment="1"/>
    <xf numFmtId="179" fontId="28" fillId="0" borderId="0" xfId="29" applyNumberFormat="1" applyFont="1"/>
    <xf numFmtId="0" fontId="28" fillId="0" borderId="0" xfId="28" applyFont="1" applyAlignment="1">
      <alignment vertical="center"/>
    </xf>
    <xf numFmtId="0" fontId="27" fillId="0" borderId="0" xfId="30" applyFont="1" applyAlignment="1">
      <alignment horizontal="left" vertical="center"/>
    </xf>
    <xf numFmtId="0" fontId="27" fillId="0" borderId="0" xfId="28" applyFont="1" applyAlignment="1">
      <alignment vertical="center"/>
    </xf>
    <xf numFmtId="43" fontId="27" fillId="0" borderId="0" xfId="28" applyNumberFormat="1" applyFont="1" applyAlignment="1">
      <alignment vertical="center"/>
    </xf>
    <xf numFmtId="0" fontId="27" fillId="0" borderId="0" xfId="31" applyFont="1" applyFill="1" applyAlignment="1" applyProtection="1">
      <alignment vertical="center"/>
    </xf>
    <xf numFmtId="41" fontId="27" fillId="0" borderId="128" xfId="29" applyFont="1" applyFill="1" applyBorder="1" applyAlignment="1">
      <alignment vertical="center"/>
    </xf>
    <xf numFmtId="41" fontId="28" fillId="0" borderId="29" xfId="29" applyFont="1" applyFill="1" applyBorder="1" applyAlignment="1">
      <alignment vertical="center"/>
    </xf>
    <xf numFmtId="41" fontId="28" fillId="0" borderId="30" xfId="29" applyFont="1" applyFill="1" applyBorder="1" applyAlignment="1">
      <alignment vertical="center"/>
    </xf>
    <xf numFmtId="181" fontId="28" fillId="0" borderId="27" xfId="29" applyNumberFormat="1" applyFont="1" applyFill="1" applyBorder="1" applyAlignment="1">
      <alignment vertical="center"/>
    </xf>
    <xf numFmtId="179" fontId="28" fillId="0" borderId="13" xfId="29" applyNumberFormat="1" applyFont="1" applyFill="1" applyBorder="1" applyAlignment="1">
      <alignment vertical="center"/>
    </xf>
    <xf numFmtId="179" fontId="28" fillId="0" borderId="28" xfId="29" applyNumberFormat="1" applyFont="1" applyFill="1" applyBorder="1" applyAlignment="1">
      <alignment vertical="center"/>
    </xf>
    <xf numFmtId="179" fontId="28" fillId="0" borderId="27" xfId="29" applyNumberFormat="1" applyFont="1" applyFill="1" applyBorder="1" applyAlignment="1">
      <alignment vertical="center"/>
    </xf>
    <xf numFmtId="179" fontId="28" fillId="0" borderId="29" xfId="29" applyNumberFormat="1" applyFont="1" applyFill="1" applyBorder="1" applyAlignment="1">
      <alignment vertical="center"/>
    </xf>
    <xf numFmtId="179" fontId="28" fillId="0" borderId="30" xfId="29" applyNumberFormat="1" applyFont="1" applyFill="1" applyBorder="1" applyAlignment="1">
      <alignment vertical="center"/>
    </xf>
    <xf numFmtId="179" fontId="28" fillId="0" borderId="91" xfId="29" applyNumberFormat="1" applyFont="1" applyFill="1" applyBorder="1" applyAlignment="1">
      <alignment vertical="center"/>
    </xf>
    <xf numFmtId="41" fontId="28" fillId="0" borderId="0" xfId="29" applyFont="1" applyFill="1" applyBorder="1" applyAlignment="1">
      <alignment horizontal="center" vertical="center"/>
    </xf>
    <xf numFmtId="41" fontId="27" fillId="0" borderId="57" xfId="29" applyFont="1" applyFill="1" applyBorder="1" applyAlignment="1">
      <alignment vertical="center"/>
    </xf>
    <xf numFmtId="41" fontId="28" fillId="0" borderId="40" xfId="29" applyFont="1" applyFill="1" applyBorder="1" applyAlignment="1">
      <alignment vertical="center"/>
    </xf>
    <xf numFmtId="0" fontId="28" fillId="0" borderId="40" xfId="28" applyFont="1" applyBorder="1"/>
    <xf numFmtId="0" fontId="28" fillId="0" borderId="42" xfId="28" applyFont="1" applyBorder="1"/>
    <xf numFmtId="41" fontId="28" fillId="0" borderId="43" xfId="1" applyFont="1" applyBorder="1" applyAlignment="1"/>
    <xf numFmtId="41" fontId="28" fillId="0" borderId="13" xfId="1" applyFont="1" applyBorder="1" applyAlignment="1"/>
    <xf numFmtId="41" fontId="47" fillId="3" borderId="140" xfId="1" applyFont="1" applyFill="1" applyBorder="1" applyAlignment="1"/>
    <xf numFmtId="41" fontId="47" fillId="3" borderId="43" xfId="1" applyFont="1" applyFill="1" applyBorder="1" applyAlignment="1"/>
    <xf numFmtId="41" fontId="47" fillId="3" borderId="40" xfId="1" applyFont="1" applyFill="1" applyBorder="1" applyAlignment="1"/>
    <xf numFmtId="41" fontId="28" fillId="0" borderId="42" xfId="1" applyFont="1" applyBorder="1" applyAlignment="1"/>
    <xf numFmtId="41" fontId="28" fillId="0" borderId="40" xfId="1" applyFont="1" applyBorder="1" applyAlignment="1"/>
    <xf numFmtId="41" fontId="28" fillId="0" borderId="144" xfId="1" applyFont="1" applyBorder="1" applyAlignment="1"/>
    <xf numFmtId="41" fontId="28" fillId="0" borderId="140" xfId="1" applyFont="1" applyBorder="1" applyAlignment="1"/>
    <xf numFmtId="0" fontId="28" fillId="0" borderId="29" xfId="28" applyFont="1" applyBorder="1"/>
    <xf numFmtId="0" fontId="28" fillId="0" borderId="30" xfId="28" applyFont="1" applyBorder="1"/>
    <xf numFmtId="41" fontId="28" fillId="0" borderId="27" xfId="1" applyFont="1" applyBorder="1" applyAlignment="1"/>
    <xf numFmtId="41" fontId="28" fillId="0" borderId="28" xfId="1" applyFont="1" applyBorder="1" applyAlignment="1"/>
    <xf numFmtId="41" fontId="28" fillId="0" borderId="29" xfId="1" applyFont="1" applyBorder="1" applyAlignment="1"/>
    <xf numFmtId="41" fontId="28" fillId="0" borderId="30" xfId="1" applyFont="1" applyBorder="1" applyAlignment="1"/>
    <xf numFmtId="41" fontId="28" fillId="0" borderId="91" xfId="1" applyFont="1" applyBorder="1" applyAlignment="1"/>
    <xf numFmtId="41" fontId="28" fillId="0" borderId="43" xfId="1" applyFont="1" applyFill="1" applyBorder="1" applyAlignment="1"/>
    <xf numFmtId="10" fontId="28" fillId="0" borderId="42" xfId="32" applyNumberFormat="1" applyFont="1" applyBorder="1"/>
    <xf numFmtId="41" fontId="28" fillId="0" borderId="57" xfId="29" applyFont="1" applyFill="1" applyBorder="1" applyAlignment="1">
      <alignment vertical="center"/>
    </xf>
    <xf numFmtId="41" fontId="28" fillId="0" borderId="39" xfId="29" applyFont="1" applyFill="1" applyBorder="1" applyAlignment="1">
      <alignment vertical="center"/>
    </xf>
    <xf numFmtId="10" fontId="102" fillId="8" borderId="32" xfId="32" applyNumberFormat="1" applyFont="1" applyFill="1" applyBorder="1"/>
    <xf numFmtId="41" fontId="28" fillId="0" borderId="12" xfId="1" applyFont="1" applyFill="1" applyBorder="1" applyAlignment="1"/>
    <xf numFmtId="181" fontId="28" fillId="0" borderId="49" xfId="1" applyNumberFormat="1" applyFont="1" applyFill="1" applyBorder="1" applyAlignment="1"/>
    <xf numFmtId="181" fontId="28" fillId="0" borderId="33" xfId="1" applyNumberFormat="1" applyFont="1" applyFill="1" applyBorder="1" applyAlignment="1"/>
    <xf numFmtId="181" fontId="28" fillId="0" borderId="39" xfId="1" applyNumberFormat="1" applyFont="1" applyFill="1" applyBorder="1" applyAlignment="1"/>
    <xf numFmtId="198" fontId="28" fillId="7" borderId="33" xfId="1" applyNumberFormat="1" applyFont="1" applyFill="1" applyBorder="1" applyAlignment="1"/>
    <xf numFmtId="198" fontId="28" fillId="7" borderId="42" xfId="1" applyNumberFormat="1" applyFont="1" applyFill="1" applyBorder="1" applyAlignment="1"/>
    <xf numFmtId="198" fontId="28" fillId="7" borderId="39" xfId="1" applyNumberFormat="1" applyFont="1" applyFill="1" applyBorder="1" applyAlignment="1"/>
    <xf numFmtId="198" fontId="28" fillId="7" borderId="32" xfId="1" applyNumberFormat="1" applyFont="1" applyFill="1" applyBorder="1" applyAlignment="1"/>
    <xf numFmtId="198" fontId="28" fillId="7" borderId="142" xfId="1" applyNumberFormat="1" applyFont="1" applyFill="1" applyBorder="1" applyAlignment="1"/>
    <xf numFmtId="181" fontId="28" fillId="7" borderId="142" xfId="1" applyNumberFormat="1" applyFont="1" applyFill="1" applyBorder="1" applyAlignment="1"/>
    <xf numFmtId="181" fontId="28" fillId="0" borderId="142" xfId="1" applyNumberFormat="1" applyFont="1" applyFill="1" applyBorder="1" applyAlignment="1"/>
    <xf numFmtId="41" fontId="27" fillId="0" borderId="130" xfId="29" applyFont="1" applyFill="1" applyBorder="1" applyAlignment="1">
      <alignment vertical="center"/>
    </xf>
    <xf numFmtId="10" fontId="28" fillId="0" borderId="30" xfId="32" applyNumberFormat="1" applyFont="1" applyBorder="1"/>
    <xf numFmtId="41" fontId="28" fillId="0" borderId="139" xfId="1" applyFont="1" applyBorder="1" applyAlignment="1"/>
    <xf numFmtId="41" fontId="27" fillId="0" borderId="137" xfId="29" applyFont="1" applyFill="1" applyBorder="1" applyAlignment="1">
      <alignment vertical="center"/>
    </xf>
    <xf numFmtId="41" fontId="28" fillId="0" borderId="92" xfId="29" applyFont="1" applyFill="1" applyBorder="1" applyAlignment="1">
      <alignment vertical="center"/>
    </xf>
    <xf numFmtId="0" fontId="28" fillId="0" borderId="92" xfId="28" applyFont="1" applyBorder="1"/>
    <xf numFmtId="10" fontId="28" fillId="0" borderId="88" xfId="32" applyNumberFormat="1" applyFont="1" applyBorder="1"/>
    <xf numFmtId="41" fontId="28" fillId="0" borderId="98" xfId="1" applyFont="1" applyBorder="1" applyAlignment="1"/>
    <xf numFmtId="41" fontId="28" fillId="0" borderId="134" xfId="1" applyFont="1" applyBorder="1" applyAlignment="1"/>
    <xf numFmtId="41" fontId="28" fillId="0" borderId="87" xfId="1" applyFont="1" applyBorder="1" applyAlignment="1"/>
    <xf numFmtId="41" fontId="28" fillId="0" borderId="92" xfId="1" applyFont="1" applyBorder="1" applyAlignment="1"/>
    <xf numFmtId="41" fontId="28" fillId="0" borderId="88" xfId="1" applyFont="1" applyBorder="1" applyAlignment="1"/>
    <xf numFmtId="41" fontId="28" fillId="0" borderId="101" xfId="1" applyFont="1" applyBorder="1" applyAlignment="1"/>
    <xf numFmtId="41" fontId="27" fillId="0" borderId="125" xfId="29" applyFont="1" applyFill="1" applyBorder="1" applyAlignment="1">
      <alignment vertical="center"/>
    </xf>
    <xf numFmtId="41" fontId="27" fillId="0" borderId="195" xfId="29" applyFont="1" applyFill="1" applyBorder="1" applyAlignment="1">
      <alignment vertical="center"/>
    </xf>
    <xf numFmtId="0" fontId="28" fillId="0" borderId="126" xfId="28" applyFont="1" applyBorder="1"/>
    <xf numFmtId="41" fontId="28" fillId="0" borderId="122" xfId="1" applyFont="1" applyBorder="1" applyAlignment="1"/>
    <xf numFmtId="41" fontId="28" fillId="0" borderId="125" xfId="1" applyFont="1" applyBorder="1" applyAlignment="1"/>
    <xf numFmtId="41" fontId="28" fillId="0" borderId="126" xfId="1" applyFont="1" applyBorder="1" applyAlignment="1"/>
    <xf numFmtId="41" fontId="28" fillId="0" borderId="204" xfId="1" applyFont="1" applyBorder="1" applyAlignment="1"/>
    <xf numFmtId="41" fontId="28" fillId="0" borderId="122" xfId="1" applyFont="1" applyFill="1" applyBorder="1" applyAlignment="1"/>
    <xf numFmtId="41" fontId="28" fillId="0" borderId="204" xfId="1" applyFont="1" applyFill="1" applyBorder="1" applyAlignment="1"/>
    <xf numFmtId="41" fontId="28" fillId="0" borderId="96" xfId="1" applyFont="1" applyFill="1" applyBorder="1" applyAlignment="1"/>
    <xf numFmtId="0" fontId="27" fillId="8" borderId="204" xfId="28" applyFont="1" applyFill="1" applyBorder="1" applyAlignment="1">
      <alignment horizontal="center"/>
    </xf>
    <xf numFmtId="41" fontId="27" fillId="0" borderId="0" xfId="28" applyNumberFormat="1" applyFont="1" applyAlignment="1">
      <alignment vertical="center"/>
    </xf>
    <xf numFmtId="198" fontId="27" fillId="0" borderId="0" xfId="28" applyNumberFormat="1" applyFont="1" applyAlignment="1">
      <alignment vertical="center"/>
    </xf>
    <xf numFmtId="198" fontId="27" fillId="0" borderId="0" xfId="1" applyNumberFormat="1" applyFont="1" applyFill="1" applyAlignment="1">
      <alignment vertical="center"/>
    </xf>
    <xf numFmtId="0" fontId="28" fillId="0" borderId="32" xfId="28" applyFont="1" applyBorder="1"/>
    <xf numFmtId="41" fontId="28" fillId="0" borderId="33" xfId="1" applyFont="1" applyBorder="1" applyAlignment="1"/>
    <xf numFmtId="41" fontId="28" fillId="0" borderId="49" xfId="1" applyFont="1" applyBorder="1" applyAlignment="1"/>
    <xf numFmtId="41" fontId="28" fillId="0" borderId="39" xfId="1" applyFont="1" applyBorder="1" applyAlignment="1"/>
    <xf numFmtId="41" fontId="28" fillId="0" borderId="32" xfId="1" applyFont="1" applyBorder="1" applyAlignment="1"/>
    <xf numFmtId="41" fontId="28" fillId="0" borderId="142" xfId="1" applyFont="1" applyBorder="1" applyAlignment="1"/>
    <xf numFmtId="41" fontId="28" fillId="0" borderId="123" xfId="29" applyFont="1" applyFill="1" applyBorder="1" applyAlignment="1">
      <alignment vertical="center"/>
    </xf>
    <xf numFmtId="10" fontId="28" fillId="0" borderId="136" xfId="32" applyNumberFormat="1" applyFont="1" applyBorder="1"/>
    <xf numFmtId="41" fontId="28" fillId="0" borderId="135" xfId="1" applyFont="1" applyBorder="1" applyAlignment="1"/>
    <xf numFmtId="41" fontId="28" fillId="0" borderId="123" xfId="1" applyFont="1" applyBorder="1" applyAlignment="1"/>
    <xf numFmtId="41" fontId="28" fillId="0" borderId="136" xfId="1" applyFont="1" applyBorder="1" applyAlignment="1"/>
    <xf numFmtId="41" fontId="28" fillId="0" borderId="138" xfId="1" applyFont="1" applyBorder="1" applyAlignment="1"/>
    <xf numFmtId="233" fontId="28" fillId="0" borderId="0" xfId="28" applyNumberFormat="1" applyFont="1"/>
    <xf numFmtId="41" fontId="28" fillId="0" borderId="12" xfId="1" applyFont="1" applyBorder="1" applyAlignment="1"/>
    <xf numFmtId="41" fontId="27" fillId="0" borderId="43" xfId="1" applyFont="1" applyBorder="1" applyAlignment="1"/>
    <xf numFmtId="10" fontId="110" fillId="0" borderId="32" xfId="32" applyNumberFormat="1" applyFont="1" applyBorder="1"/>
    <xf numFmtId="181" fontId="28" fillId="0" borderId="33" xfId="1" applyNumberFormat="1" applyFont="1" applyBorder="1" applyAlignment="1"/>
    <xf numFmtId="181" fontId="28" fillId="0" borderId="32" xfId="1" applyNumberFormat="1" applyFont="1" applyBorder="1" applyAlignment="1"/>
    <xf numFmtId="181" fontId="28" fillId="0" borderId="39" xfId="1" applyNumberFormat="1" applyFont="1" applyBorder="1" applyAlignment="1"/>
    <xf numFmtId="181" fontId="28" fillId="0" borderId="142" xfId="1" applyNumberFormat="1" applyFont="1" applyBorder="1" applyAlignment="1"/>
    <xf numFmtId="41" fontId="27" fillId="0" borderId="12" xfId="29" applyFont="1" applyFill="1" applyBorder="1" applyAlignment="1">
      <alignment vertical="center"/>
    </xf>
    <xf numFmtId="41" fontId="28" fillId="0" borderId="31" xfId="29" applyFont="1" applyFill="1" applyBorder="1" applyAlignment="1">
      <alignment vertical="center"/>
    </xf>
    <xf numFmtId="185" fontId="28" fillId="0" borderId="32" xfId="2" applyNumberFormat="1" applyFont="1" applyFill="1" applyBorder="1" applyAlignment="1"/>
    <xf numFmtId="185" fontId="28" fillId="0" borderId="49" xfId="2" applyNumberFormat="1" applyFont="1" applyFill="1" applyBorder="1" applyAlignment="1"/>
    <xf numFmtId="185" fontId="28" fillId="0" borderId="33" xfId="2" applyNumberFormat="1" applyFont="1" applyFill="1" applyBorder="1" applyAlignment="1"/>
    <xf numFmtId="185" fontId="28" fillId="0" borderId="39" xfId="2" applyNumberFormat="1" applyFont="1" applyFill="1" applyBorder="1" applyAlignment="1"/>
    <xf numFmtId="185" fontId="28" fillId="0" borderId="43" xfId="2" applyNumberFormat="1" applyFont="1" applyFill="1" applyBorder="1" applyAlignment="1"/>
    <xf numFmtId="185" fontId="28" fillId="0" borderId="40" xfId="2" applyNumberFormat="1" applyFont="1" applyFill="1" applyBorder="1" applyAlignment="1"/>
    <xf numFmtId="185" fontId="28" fillId="0" borderId="42" xfId="2" applyNumberFormat="1" applyFont="1" applyFill="1" applyBorder="1" applyAlignment="1"/>
    <xf numFmtId="185" fontId="28" fillId="0" borderId="142" xfId="2" applyNumberFormat="1" applyFont="1" applyFill="1" applyBorder="1" applyAlignment="1"/>
    <xf numFmtId="41" fontId="27" fillId="0" borderId="31" xfId="29" applyFont="1" applyFill="1" applyBorder="1" applyAlignment="1">
      <alignment vertical="center"/>
    </xf>
    <xf numFmtId="41" fontId="28" fillId="0" borderId="32" xfId="1" applyFont="1" applyFill="1" applyBorder="1" applyAlignment="1"/>
    <xf numFmtId="41" fontId="28" fillId="0" borderId="49" xfId="1" applyFont="1" applyFill="1" applyBorder="1" applyAlignment="1"/>
    <xf numFmtId="41" fontId="28" fillId="0" borderId="39" xfId="1" applyFont="1" applyFill="1" applyBorder="1" applyAlignment="1"/>
    <xf numFmtId="41" fontId="28" fillId="0" borderId="142" xfId="1" applyFont="1" applyFill="1" applyBorder="1" applyAlignment="1"/>
    <xf numFmtId="41" fontId="28" fillId="0" borderId="41" xfId="29" applyFont="1" applyFill="1" applyBorder="1" applyAlignment="1">
      <alignment vertical="center"/>
    </xf>
    <xf numFmtId="41" fontId="28" fillId="0" borderId="0" xfId="1" applyFont="1" applyBorder="1" applyAlignment="1"/>
    <xf numFmtId="181" fontId="28" fillId="7" borderId="43" xfId="1" applyNumberFormat="1" applyFont="1" applyFill="1" applyBorder="1" applyAlignment="1"/>
    <xf numFmtId="185" fontId="28" fillId="0" borderId="32" xfId="2" applyNumberFormat="1" applyFont="1" applyBorder="1" applyAlignment="1"/>
    <xf numFmtId="185" fontId="28" fillId="0" borderId="140" xfId="2" applyNumberFormat="1" applyFont="1" applyBorder="1" applyAlignment="1"/>
    <xf numFmtId="185" fontId="28" fillId="0" borderId="43" xfId="2" applyNumberFormat="1" applyFont="1" applyBorder="1" applyAlignment="1"/>
    <xf numFmtId="185" fontId="28" fillId="0" borderId="40" xfId="2" applyNumberFormat="1" applyFont="1" applyBorder="1" applyAlignment="1"/>
    <xf numFmtId="185" fontId="28" fillId="0" borderId="42" xfId="2" applyNumberFormat="1" applyFont="1" applyBorder="1" applyAlignment="1"/>
    <xf numFmtId="185" fontId="28" fillId="0" borderId="144" xfId="2" applyNumberFormat="1" applyFont="1" applyBorder="1" applyAlignment="1"/>
    <xf numFmtId="41" fontId="27" fillId="0" borderId="41" xfId="29" applyFont="1" applyFill="1" applyBorder="1" applyAlignment="1">
      <alignment vertical="center"/>
    </xf>
    <xf numFmtId="41" fontId="27" fillId="0" borderId="135" xfId="29" applyFont="1" applyFill="1" applyBorder="1" applyAlignment="1">
      <alignment vertical="center"/>
    </xf>
    <xf numFmtId="41" fontId="27" fillId="0" borderId="97" xfId="29" applyFont="1" applyFill="1" applyBorder="1" applyAlignment="1">
      <alignment vertical="center"/>
    </xf>
    <xf numFmtId="0" fontId="28" fillId="0" borderId="88" xfId="28" applyFont="1" applyBorder="1"/>
    <xf numFmtId="41" fontId="28" fillId="0" borderId="88" xfId="1" applyFont="1" applyFill="1" applyBorder="1" applyAlignment="1"/>
    <xf numFmtId="41" fontId="28" fillId="0" borderId="87" xfId="1" applyFont="1" applyFill="1" applyBorder="1" applyAlignment="1"/>
    <xf numFmtId="41" fontId="28" fillId="0" borderId="98" xfId="1" applyFont="1" applyFill="1" applyBorder="1" applyAlignment="1"/>
    <xf numFmtId="41" fontId="28" fillId="0" borderId="92" xfId="1" applyFont="1" applyFill="1" applyBorder="1" applyAlignment="1"/>
    <xf numFmtId="41" fontId="28" fillId="0" borderId="101" xfId="1" applyFont="1" applyFill="1" applyBorder="1" applyAlignment="1"/>
    <xf numFmtId="9" fontId="47" fillId="8" borderId="88" xfId="28" applyNumberFormat="1" applyFont="1" applyFill="1" applyBorder="1"/>
    <xf numFmtId="0" fontId="27" fillId="34" borderId="0" xfId="28" quotePrefix="1" applyFont="1" applyFill="1"/>
    <xf numFmtId="0" fontId="28" fillId="34" borderId="0" xfId="28" applyFont="1" applyFill="1"/>
    <xf numFmtId="199" fontId="28" fillId="0" borderId="0" xfId="28" applyNumberFormat="1" applyFont="1"/>
    <xf numFmtId="10" fontId="28" fillId="0" borderId="0" xfId="32" applyNumberFormat="1" applyFont="1"/>
    <xf numFmtId="43" fontId="28" fillId="0" borderId="0" xfId="28" applyNumberFormat="1" applyFont="1"/>
    <xf numFmtId="0" fontId="28" fillId="22" borderId="143" xfId="28" applyFont="1" applyFill="1" applyBorder="1" applyAlignment="1">
      <alignment horizontal="center" vertical="center"/>
    </xf>
    <xf numFmtId="0" fontId="28" fillId="22" borderId="86" xfId="28" applyFont="1" applyFill="1" applyBorder="1" applyAlignment="1">
      <alignment horizontal="center" vertical="center"/>
    </xf>
    <xf numFmtId="0" fontId="28" fillId="22" borderId="41" xfId="28" applyFont="1" applyFill="1" applyBorder="1" applyAlignment="1">
      <alignment horizontal="center" vertical="center"/>
    </xf>
    <xf numFmtId="0" fontId="28" fillId="22" borderId="144" xfId="28" applyFont="1" applyFill="1" applyBorder="1" applyAlignment="1">
      <alignment horizontal="center" vertical="center"/>
    </xf>
    <xf numFmtId="0" fontId="28" fillId="22" borderId="145" xfId="28" applyFont="1" applyFill="1" applyBorder="1" applyAlignment="1">
      <alignment horizontal="center" vertical="center"/>
    </xf>
    <xf numFmtId="0" fontId="28" fillId="22" borderId="125" xfId="30" applyFont="1" applyFill="1" applyBorder="1" applyAlignment="1">
      <alignment horizontal="centerContinuous" vertical="center"/>
    </xf>
    <xf numFmtId="0" fontId="28" fillId="22" borderId="126" xfId="28" applyFont="1" applyFill="1" applyBorder="1" applyAlignment="1">
      <alignment horizontal="centerContinuous" vertical="center"/>
    </xf>
    <xf numFmtId="0" fontId="28" fillId="22" borderId="204" xfId="28" applyFont="1" applyFill="1" applyBorder="1" applyAlignment="1">
      <alignment horizontal="centerContinuous" vertical="center"/>
    </xf>
    <xf numFmtId="234" fontId="28" fillId="22" borderId="99" xfId="28" applyNumberFormat="1" applyFont="1" applyFill="1" applyBorder="1" applyAlignment="1">
      <alignment horizontal="center" vertical="center"/>
    </xf>
    <xf numFmtId="234" fontId="28" fillId="22" borderId="100" xfId="28" applyNumberFormat="1" applyFont="1" applyFill="1" applyBorder="1" applyAlignment="1">
      <alignment horizontal="center" vertical="center"/>
    </xf>
    <xf numFmtId="234" fontId="28" fillId="22" borderId="101" xfId="28" applyNumberFormat="1" applyFont="1" applyFill="1" applyBorder="1" applyAlignment="1">
      <alignment horizontal="center" vertical="center"/>
    </xf>
    <xf numFmtId="41" fontId="28" fillId="0" borderId="0" xfId="29" applyFont="1" applyBorder="1" applyAlignment="1">
      <alignment horizontal="center"/>
    </xf>
    <xf numFmtId="179" fontId="28" fillId="0" borderId="13" xfId="29" applyNumberFormat="1" applyFont="1" applyBorder="1"/>
    <xf numFmtId="41" fontId="47" fillId="3" borderId="57" xfId="29" applyFont="1" applyFill="1" applyBorder="1"/>
    <xf numFmtId="41" fontId="47" fillId="3" borderId="56" xfId="29" applyFont="1" applyFill="1" applyBorder="1"/>
    <xf numFmtId="41" fontId="47" fillId="3" borderId="133" xfId="29" applyFont="1" applyFill="1" applyBorder="1"/>
    <xf numFmtId="0" fontId="28" fillId="0" borderId="125" xfId="28" applyFont="1" applyBorder="1"/>
    <xf numFmtId="41" fontId="28" fillId="0" borderId="126" xfId="29" applyFont="1" applyBorder="1" applyAlignment="1">
      <alignment horizontal="center"/>
    </xf>
    <xf numFmtId="179" fontId="28" fillId="0" borderId="122" xfId="29" applyNumberFormat="1" applyFont="1" applyBorder="1"/>
    <xf numFmtId="41" fontId="28" fillId="0" borderId="95" xfId="29" applyFont="1" applyBorder="1"/>
    <xf numFmtId="41" fontId="28" fillId="0" borderId="51" xfId="29" applyFont="1" applyBorder="1"/>
    <xf numFmtId="41" fontId="28" fillId="0" borderId="96" xfId="29" applyFont="1" applyBorder="1"/>
    <xf numFmtId="181" fontId="28" fillId="0" borderId="95" xfId="29" applyNumberFormat="1" applyFont="1" applyBorder="1"/>
    <xf numFmtId="14" fontId="28" fillId="0" borderId="0" xfId="28" applyNumberFormat="1" applyFont="1" applyAlignment="1">
      <alignment horizontal="center" vertical="center"/>
    </xf>
    <xf numFmtId="0" fontId="28" fillId="35" borderId="125" xfId="30" applyFont="1" applyFill="1" applyBorder="1" applyAlignment="1">
      <alignment horizontal="centerContinuous" vertical="center" shrinkToFit="1"/>
    </xf>
    <xf numFmtId="0" fontId="28" fillId="22" borderId="95" xfId="28" applyFont="1" applyFill="1" applyBorder="1" applyAlignment="1">
      <alignment horizontal="center" vertical="center"/>
    </xf>
    <xf numFmtId="0" fontId="28" fillId="22" borderId="51" xfId="28" applyFont="1" applyFill="1" applyBorder="1" applyAlignment="1">
      <alignment horizontal="center" vertical="center"/>
    </xf>
    <xf numFmtId="0" fontId="28" fillId="22" borderId="96" xfId="28" applyFont="1" applyFill="1" applyBorder="1" applyAlignment="1">
      <alignment horizontal="center" vertical="center"/>
    </xf>
    <xf numFmtId="0" fontId="28" fillId="0" borderId="0" xfId="28" applyFont="1" applyAlignment="1">
      <alignment horizontal="center" vertical="center"/>
    </xf>
    <xf numFmtId="41" fontId="28" fillId="0" borderId="12" xfId="29" applyFont="1" applyFill="1" applyBorder="1" applyAlignment="1">
      <alignment vertical="center"/>
    </xf>
    <xf numFmtId="0" fontId="28" fillId="0" borderId="18" xfId="28" applyFont="1" applyBorder="1"/>
    <xf numFmtId="10" fontId="124" fillId="0" borderId="190" xfId="28" applyNumberFormat="1" applyFont="1" applyBorder="1"/>
    <xf numFmtId="10" fontId="124" fillId="0" borderId="191" xfId="28" applyNumberFormat="1" applyFont="1" applyBorder="1"/>
    <xf numFmtId="10" fontId="124" fillId="0" borderId="192" xfId="28" applyNumberFormat="1" applyFont="1" applyBorder="1"/>
    <xf numFmtId="234" fontId="28" fillId="0" borderId="0" xfId="28" applyNumberFormat="1" applyFont="1" applyAlignment="1">
      <alignment horizontal="center" vertical="center"/>
    </xf>
    <xf numFmtId="10" fontId="125" fillId="0" borderId="18" xfId="28" applyNumberFormat="1" applyFont="1" applyBorder="1"/>
    <xf numFmtId="181" fontId="28" fillId="0" borderId="12" xfId="29" applyNumberFormat="1" applyFont="1" applyBorder="1"/>
    <xf numFmtId="10" fontId="28" fillId="0" borderId="143" xfId="28" applyNumberFormat="1" applyFont="1" applyBorder="1"/>
    <xf numFmtId="10" fontId="28" fillId="0" borderId="86" xfId="28" applyNumberFormat="1" applyFont="1" applyBorder="1"/>
    <xf numFmtId="10" fontId="28" fillId="0" borderId="144" xfId="28" applyNumberFormat="1" applyFont="1" applyBorder="1"/>
    <xf numFmtId="10" fontId="28" fillId="0" borderId="0" xfId="29" applyNumberFormat="1" applyFont="1" applyFill="1" applyBorder="1"/>
    <xf numFmtId="10" fontId="28" fillId="0" borderId="0" xfId="32" applyNumberFormat="1" applyFont="1" applyFill="1" applyBorder="1"/>
    <xf numFmtId="41" fontId="28" fillId="0" borderId="135" xfId="29" applyFont="1" applyFill="1" applyBorder="1" applyAlignment="1">
      <alignment vertical="center"/>
    </xf>
    <xf numFmtId="0" fontId="28" fillId="0" borderId="136" xfId="28" applyFont="1" applyBorder="1"/>
    <xf numFmtId="10" fontId="28" fillId="0" borderId="99" xfId="32" applyNumberFormat="1" applyFont="1" applyBorder="1"/>
    <xf numFmtId="10" fontId="28" fillId="0" borderId="100" xfId="32" applyNumberFormat="1" applyFont="1" applyBorder="1"/>
    <xf numFmtId="10" fontId="28" fillId="0" borderId="101" xfId="32" applyNumberFormat="1" applyFont="1" applyBorder="1"/>
    <xf numFmtId="41" fontId="28" fillId="0" borderId="12" xfId="29" applyFont="1" applyBorder="1"/>
    <xf numFmtId="235" fontId="28" fillId="0" borderId="0" xfId="28" applyNumberFormat="1" applyFont="1"/>
    <xf numFmtId="41" fontId="126" fillId="36" borderId="0" xfId="29" applyFont="1" applyFill="1" applyBorder="1" applyAlignment="1">
      <alignment horizontal="center" vertical="center"/>
    </xf>
    <xf numFmtId="10" fontId="28" fillId="0" borderId="0" xfId="32" applyNumberFormat="1" applyFont="1" applyBorder="1" applyAlignment="1"/>
    <xf numFmtId="41" fontId="28" fillId="37" borderId="130" xfId="29" applyFont="1" applyFill="1" applyBorder="1"/>
    <xf numFmtId="41" fontId="28" fillId="37" borderId="131" xfId="29" applyFont="1" applyFill="1" applyBorder="1"/>
    <xf numFmtId="41" fontId="28" fillId="38" borderId="131" xfId="29" applyFont="1" applyFill="1" applyBorder="1"/>
    <xf numFmtId="41" fontId="28" fillId="38" borderId="132" xfId="29" applyFont="1" applyFill="1" applyBorder="1"/>
    <xf numFmtId="41" fontId="28" fillId="38" borderId="130" xfId="29" applyFont="1" applyFill="1" applyBorder="1"/>
    <xf numFmtId="41" fontId="28" fillId="37" borderId="132" xfId="29" applyFont="1" applyFill="1" applyBorder="1"/>
    <xf numFmtId="235" fontId="127" fillId="0" borderId="0" xfId="28" applyNumberFormat="1" applyFont="1"/>
    <xf numFmtId="181" fontId="28" fillId="37" borderId="57" xfId="29" applyNumberFormat="1" applyFont="1" applyFill="1" applyBorder="1"/>
    <xf numFmtId="181" fontId="28" fillId="37" borderId="56" xfId="29" applyNumberFormat="1" applyFont="1" applyFill="1" applyBorder="1"/>
    <xf numFmtId="41" fontId="28" fillId="38" borderId="56" xfId="29" applyFont="1" applyFill="1" applyBorder="1"/>
    <xf numFmtId="41" fontId="28" fillId="38" borderId="133" xfId="29" applyFont="1" applyFill="1" applyBorder="1"/>
    <xf numFmtId="41" fontId="28" fillId="38" borderId="57" xfId="29" applyFont="1" applyFill="1" applyBorder="1"/>
    <xf numFmtId="181" fontId="28" fillId="37" borderId="133" xfId="29" applyNumberFormat="1" applyFont="1" applyFill="1" applyBorder="1"/>
    <xf numFmtId="41" fontId="28" fillId="0" borderId="135" xfId="29" applyFont="1" applyBorder="1"/>
    <xf numFmtId="235" fontId="127" fillId="0" borderId="123" xfId="28" applyNumberFormat="1" applyFont="1" applyBorder="1"/>
    <xf numFmtId="41" fontId="126" fillId="36" borderId="123" xfId="29" applyFont="1" applyFill="1" applyBorder="1" applyAlignment="1">
      <alignment horizontal="center" vertical="center"/>
    </xf>
    <xf numFmtId="14" fontId="28" fillId="0" borderId="123" xfId="28" applyNumberFormat="1" applyFont="1" applyBorder="1" applyAlignment="1">
      <alignment horizontal="center" vertical="center"/>
    </xf>
    <xf numFmtId="10" fontId="28" fillId="0" borderId="123" xfId="32" applyNumberFormat="1" applyFont="1" applyBorder="1" applyAlignment="1"/>
    <xf numFmtId="179" fontId="28" fillId="0" borderId="134" xfId="29" applyNumberFormat="1" applyFont="1" applyBorder="1"/>
    <xf numFmtId="181" fontId="28" fillId="37" borderId="137" xfId="29" applyNumberFormat="1" applyFont="1" applyFill="1" applyBorder="1"/>
    <xf numFmtId="181" fontId="28" fillId="37" borderId="55" xfId="29" applyNumberFormat="1" applyFont="1" applyFill="1" applyBorder="1"/>
    <xf numFmtId="181" fontId="28" fillId="0" borderId="55" xfId="29" applyNumberFormat="1" applyFont="1" applyBorder="1"/>
    <xf numFmtId="41" fontId="28" fillId="38" borderId="138" xfId="29" applyFont="1" applyFill="1" applyBorder="1"/>
    <xf numFmtId="41" fontId="28" fillId="38" borderId="137" xfId="29" applyFont="1" applyFill="1" applyBorder="1"/>
    <xf numFmtId="41" fontId="28" fillId="38" borderId="55" xfId="29" applyFont="1" applyFill="1" applyBorder="1"/>
    <xf numFmtId="181" fontId="28" fillId="37" borderId="138" xfId="29" applyNumberFormat="1" applyFont="1" applyFill="1" applyBorder="1"/>
    <xf numFmtId="41" fontId="126" fillId="36" borderId="0" xfId="29" applyFont="1" applyFill="1" applyBorder="1"/>
    <xf numFmtId="181" fontId="28" fillId="0" borderId="56" xfId="29" applyNumberFormat="1" applyFont="1" applyBorder="1"/>
    <xf numFmtId="181" fontId="28" fillId="0" borderId="133" xfId="29" applyNumberFormat="1" applyFont="1" applyBorder="1"/>
    <xf numFmtId="181" fontId="28" fillId="0" borderId="57" xfId="29" applyNumberFormat="1" applyFont="1" applyBorder="1"/>
    <xf numFmtId="41" fontId="126" fillId="36" borderId="123" xfId="29" applyFont="1" applyFill="1" applyBorder="1"/>
    <xf numFmtId="181" fontId="28" fillId="0" borderId="138" xfId="29" applyNumberFormat="1" applyFont="1" applyBorder="1"/>
    <xf numFmtId="181" fontId="28" fillId="0" borderId="137" xfId="29" applyNumberFormat="1" applyFont="1" applyBorder="1"/>
    <xf numFmtId="10" fontId="28" fillId="0" borderId="18" xfId="32" applyNumberFormat="1" applyFont="1" applyBorder="1" applyAlignment="1"/>
    <xf numFmtId="10" fontId="28" fillId="0" borderId="136" xfId="32" applyNumberFormat="1" applyFont="1" applyBorder="1" applyAlignment="1"/>
    <xf numFmtId="181" fontId="28" fillId="0" borderId="57" xfId="29" applyNumberFormat="1" applyFont="1" applyFill="1" applyBorder="1"/>
    <xf numFmtId="181" fontId="28" fillId="0" borderId="56" xfId="29" applyNumberFormat="1" applyFont="1" applyFill="1" applyBorder="1"/>
    <xf numFmtId="181" fontId="28" fillId="0" borderId="133" xfId="29" applyNumberFormat="1" applyFont="1" applyFill="1" applyBorder="1"/>
    <xf numFmtId="41" fontId="28" fillId="0" borderId="12" xfId="29" applyFont="1" applyFill="1" applyBorder="1"/>
    <xf numFmtId="10" fontId="28" fillId="0" borderId="18" xfId="32" applyNumberFormat="1" applyFont="1" applyFill="1" applyBorder="1" applyAlignment="1"/>
    <xf numFmtId="179" fontId="28" fillId="0" borderId="13" xfId="29" applyNumberFormat="1" applyFont="1" applyFill="1" applyBorder="1"/>
    <xf numFmtId="179" fontId="28" fillId="0" borderId="0" xfId="29" applyNumberFormat="1" applyFont="1" applyBorder="1"/>
    <xf numFmtId="41" fontId="28" fillId="0" borderId="0" xfId="29" applyFont="1" applyBorder="1"/>
    <xf numFmtId="181" fontId="28" fillId="0" borderId="0" xfId="29" applyNumberFormat="1" applyFont="1" applyBorder="1"/>
    <xf numFmtId="181" fontId="28" fillId="0" borderId="0" xfId="29" applyNumberFormat="1" applyFont="1" applyFill="1" applyBorder="1"/>
    <xf numFmtId="182" fontId="99" fillId="0" borderId="0" xfId="28" applyNumberFormat="1" applyFont="1"/>
    <xf numFmtId="9" fontId="28" fillId="0" borderId="12" xfId="32" applyFont="1" applyFill="1" applyBorder="1"/>
    <xf numFmtId="179" fontId="41" fillId="0" borderId="0" xfId="29" applyNumberFormat="1" applyFont="1" applyFill="1" applyBorder="1"/>
    <xf numFmtId="179" fontId="110" fillId="0" borderId="0" xfId="29" applyNumberFormat="1" applyFont="1" applyFill="1" applyBorder="1"/>
    <xf numFmtId="10" fontId="47" fillId="35" borderId="13" xfId="2" applyNumberFormat="1" applyFont="1" applyFill="1" applyBorder="1" applyAlignment="1"/>
    <xf numFmtId="41" fontId="28" fillId="0" borderId="13" xfId="29" applyFont="1" applyFill="1" applyBorder="1"/>
    <xf numFmtId="0" fontId="28" fillId="0" borderId="13" xfId="28" applyFont="1" applyBorder="1"/>
    <xf numFmtId="10" fontId="28" fillId="0" borderId="13" xfId="32" applyNumberFormat="1" applyFont="1" applyFill="1" applyBorder="1"/>
    <xf numFmtId="10" fontId="28" fillId="35" borderId="13" xfId="32" applyNumberFormat="1" applyFont="1" applyFill="1" applyBorder="1"/>
    <xf numFmtId="41" fontId="28" fillId="0" borderId="13" xfId="1" applyFont="1" applyFill="1" applyBorder="1" applyAlignment="1"/>
    <xf numFmtId="200" fontId="28" fillId="0" borderId="13" xfId="29" applyNumberFormat="1" applyFont="1" applyFill="1" applyBorder="1"/>
    <xf numFmtId="41" fontId="28" fillId="35" borderId="13" xfId="1" applyFont="1" applyFill="1" applyBorder="1" applyAlignment="1"/>
    <xf numFmtId="9" fontId="28" fillId="0" borderId="12" xfId="32" applyFont="1" applyBorder="1"/>
    <xf numFmtId="10" fontId="47" fillId="8" borderId="0" xfId="32" applyNumberFormat="1" applyFont="1" applyFill="1" applyBorder="1"/>
    <xf numFmtId="14" fontId="110" fillId="0" borderId="0" xfId="29" applyNumberFormat="1" applyFont="1" applyBorder="1"/>
    <xf numFmtId="236" fontId="28" fillId="0" borderId="13" xfId="28" applyNumberFormat="1" applyFont="1" applyBorder="1"/>
    <xf numFmtId="181" fontId="28" fillId="35" borderId="13" xfId="1" applyNumberFormat="1" applyFont="1" applyFill="1" applyBorder="1" applyAlignment="1"/>
    <xf numFmtId="181" fontId="28" fillId="0" borderId="13" xfId="1" applyNumberFormat="1" applyFont="1" applyBorder="1" applyAlignment="1"/>
    <xf numFmtId="179" fontId="41" fillId="0" borderId="0" xfId="29" applyNumberFormat="1" applyFont="1" applyBorder="1"/>
    <xf numFmtId="179" fontId="110" fillId="0" borderId="0" xfId="29" applyNumberFormat="1" applyFont="1" applyBorder="1"/>
    <xf numFmtId="41" fontId="28" fillId="0" borderId="13" xfId="29" applyFont="1" applyBorder="1"/>
    <xf numFmtId="9" fontId="28" fillId="0" borderId="135" xfId="32" applyFont="1" applyBorder="1"/>
    <xf numFmtId="181" fontId="28" fillId="0" borderId="123" xfId="29" applyNumberFormat="1" applyFont="1" applyBorder="1"/>
    <xf numFmtId="179" fontId="41" fillId="0" borderId="123" xfId="29" applyNumberFormat="1" applyFont="1" applyBorder="1"/>
    <xf numFmtId="179" fontId="110" fillId="0" borderId="123" xfId="29" applyNumberFormat="1" applyFont="1" applyBorder="1"/>
    <xf numFmtId="179" fontId="28" fillId="0" borderId="134" xfId="28" applyNumberFormat="1" applyFont="1" applyBorder="1"/>
    <xf numFmtId="0" fontId="28" fillId="0" borderId="134" xfId="28" applyFont="1" applyBorder="1"/>
    <xf numFmtId="179" fontId="28" fillId="0" borderId="134" xfId="29" applyNumberFormat="1" applyFont="1" applyFill="1" applyBorder="1"/>
    <xf numFmtId="181" fontId="28" fillId="0" borderId="134" xfId="29" applyNumberFormat="1" applyFont="1" applyBorder="1"/>
    <xf numFmtId="41" fontId="28" fillId="35" borderId="134" xfId="1" applyFont="1" applyFill="1" applyBorder="1" applyAlignment="1"/>
    <xf numFmtId="202" fontId="47" fillId="3" borderId="0" xfId="1" applyNumberFormat="1" applyFont="1" applyFill="1" applyAlignment="1"/>
    <xf numFmtId="202" fontId="47" fillId="3" borderId="0" xfId="1" applyNumberFormat="1" applyFont="1" applyFill="1" applyBorder="1" applyAlignment="1"/>
    <xf numFmtId="0" fontId="28" fillId="7" borderId="128" xfId="28" applyFont="1" applyFill="1" applyBorder="1"/>
    <xf numFmtId="0" fontId="28" fillId="7" borderId="23" xfId="28" applyFont="1" applyFill="1" applyBorder="1"/>
    <xf numFmtId="0" fontId="28" fillId="7" borderId="129" xfId="28" applyFont="1" applyFill="1" applyBorder="1"/>
    <xf numFmtId="0" fontId="28" fillId="7" borderId="139" xfId="28" applyFont="1" applyFill="1" applyBorder="1"/>
    <xf numFmtId="41" fontId="28" fillId="7" borderId="139" xfId="28" applyNumberFormat="1" applyFont="1" applyFill="1" applyBorder="1"/>
    <xf numFmtId="0" fontId="28" fillId="7" borderId="0" xfId="28" applyFont="1" applyFill="1" applyAlignment="1">
      <alignment horizontal="left" indent="1"/>
    </xf>
    <xf numFmtId="0" fontId="28" fillId="7" borderId="18" xfId="28" applyFont="1" applyFill="1" applyBorder="1"/>
    <xf numFmtId="0" fontId="28" fillId="7" borderId="13" xfId="28" applyFont="1" applyFill="1" applyBorder="1"/>
    <xf numFmtId="41" fontId="47" fillId="7" borderId="13" xfId="1" applyFont="1" applyFill="1" applyBorder="1" applyAlignment="1"/>
    <xf numFmtId="181" fontId="28" fillId="7" borderId="13" xfId="28" applyNumberFormat="1" applyFont="1" applyFill="1" applyBorder="1"/>
    <xf numFmtId="41" fontId="47" fillId="8" borderId="13" xfId="1" applyFont="1" applyFill="1" applyBorder="1" applyAlignment="1"/>
    <xf numFmtId="10" fontId="128" fillId="7" borderId="13" xfId="2" applyNumberFormat="1" applyFont="1" applyFill="1" applyBorder="1">
      <alignment vertical="center"/>
    </xf>
    <xf numFmtId="0" fontId="28" fillId="7" borderId="136" xfId="28" applyFont="1" applyFill="1" applyBorder="1"/>
    <xf numFmtId="199" fontId="47" fillId="7" borderId="123" xfId="1" applyNumberFormat="1" applyFont="1" applyFill="1" applyBorder="1" applyAlignment="1"/>
    <xf numFmtId="199" fontId="47" fillId="7" borderId="136" xfId="1" applyNumberFormat="1" applyFont="1" applyFill="1" applyBorder="1" applyAlignment="1"/>
    <xf numFmtId="0" fontId="28" fillId="7" borderId="134" xfId="28" applyFont="1" applyFill="1" applyBorder="1"/>
    <xf numFmtId="179" fontId="28" fillId="0" borderId="27" xfId="29" applyNumberFormat="1" applyFont="1" applyBorder="1"/>
    <xf numFmtId="179" fontId="28" fillId="0" borderId="12" xfId="29" applyNumberFormat="1" applyFont="1" applyBorder="1"/>
    <xf numFmtId="179" fontId="28" fillId="0" borderId="28" xfId="29" applyNumberFormat="1" applyFont="1" applyBorder="1"/>
    <xf numFmtId="179" fontId="28" fillId="0" borderId="29" xfId="29" applyNumberFormat="1" applyFont="1" applyBorder="1"/>
    <xf numFmtId="179" fontId="28" fillId="0" borderId="30" xfId="29" applyNumberFormat="1" applyFont="1" applyBorder="1"/>
    <xf numFmtId="179" fontId="28" fillId="0" borderId="91" xfId="29" applyNumberFormat="1" applyFont="1" applyBorder="1"/>
    <xf numFmtId="181" fontId="28" fillId="0" borderId="49" xfId="1" applyNumberFormat="1" applyFont="1" applyBorder="1" applyAlignment="1"/>
    <xf numFmtId="185" fontId="28" fillId="0" borderId="0" xfId="2" applyNumberFormat="1" applyFont="1" applyBorder="1" applyAlignment="1"/>
    <xf numFmtId="9" fontId="28" fillId="0" borderId="88" xfId="28" applyNumberFormat="1" applyFont="1" applyBorder="1"/>
    <xf numFmtId="0" fontId="28" fillId="22" borderId="89" xfId="28" applyFont="1" applyFill="1" applyBorder="1" applyAlignment="1">
      <alignment horizontal="center" vertical="center"/>
    </xf>
    <xf numFmtId="0" fontId="28" fillId="22" borderId="90" xfId="28" applyFont="1" applyFill="1" applyBorder="1" applyAlignment="1">
      <alignment horizontal="center" vertical="center"/>
    </xf>
    <xf numFmtId="0" fontId="28" fillId="22" borderId="209" xfId="28" applyFont="1" applyFill="1" applyBorder="1" applyAlignment="1">
      <alignment horizontal="center" vertical="center"/>
    </xf>
    <xf numFmtId="0" fontId="28" fillId="22" borderId="91" xfId="28" applyFont="1" applyFill="1" applyBorder="1" applyAlignment="1">
      <alignment horizontal="center" vertical="center"/>
    </xf>
    <xf numFmtId="0" fontId="28" fillId="22" borderId="210" xfId="28" applyFont="1" applyFill="1" applyBorder="1" applyAlignment="1">
      <alignment horizontal="center" vertical="center"/>
    </xf>
    <xf numFmtId="41" fontId="28" fillId="0" borderId="57" xfId="29" applyFont="1" applyBorder="1"/>
    <xf numFmtId="41" fontId="28" fillId="0" borderId="56" xfId="29" applyFont="1" applyBorder="1"/>
    <xf numFmtId="41" fontId="28" fillId="0" borderId="133" xfId="29" applyFont="1" applyBorder="1"/>
    <xf numFmtId="0" fontId="28" fillId="0" borderId="128" xfId="28" applyFont="1" applyBorder="1"/>
    <xf numFmtId="0" fontId="28" fillId="0" borderId="129" xfId="28" applyFont="1" applyBorder="1"/>
    <xf numFmtId="185" fontId="28" fillId="0" borderId="140" xfId="2" applyNumberFormat="1" applyFont="1" applyFill="1" applyBorder="1" applyAlignment="1"/>
    <xf numFmtId="0" fontId="28" fillId="37" borderId="0" xfId="28" applyFont="1" applyFill="1"/>
    <xf numFmtId="10" fontId="28" fillId="0" borderId="190" xfId="28" applyNumberFormat="1" applyFont="1" applyBorder="1"/>
    <xf numFmtId="10" fontId="28" fillId="0" borderId="191" xfId="28" applyNumberFormat="1" applyFont="1" applyBorder="1"/>
    <xf numFmtId="10" fontId="28" fillId="0" borderId="192" xfId="28" applyNumberFormat="1" applyFont="1" applyBorder="1"/>
    <xf numFmtId="41" fontId="28" fillId="0" borderId="0" xfId="28" applyNumberFormat="1" applyFont="1"/>
    <xf numFmtId="0" fontId="28" fillId="23" borderId="125" xfId="28" applyFont="1" applyFill="1" applyBorder="1"/>
    <xf numFmtId="0" fontId="28" fillId="23" borderId="204" xfId="28" applyFont="1" applyFill="1" applyBorder="1"/>
    <xf numFmtId="0" fontId="28" fillId="23" borderId="122" xfId="28" applyFont="1" applyFill="1" applyBorder="1" applyAlignment="1">
      <alignment horizontal="center"/>
    </xf>
    <xf numFmtId="0" fontId="28" fillId="0" borderId="204" xfId="28" applyFont="1" applyBorder="1"/>
    <xf numFmtId="41" fontId="28" fillId="0" borderId="122" xfId="28" applyNumberFormat="1" applyFont="1" applyBorder="1"/>
    <xf numFmtId="0" fontId="28" fillId="0" borderId="28" xfId="28" applyFont="1" applyBorder="1"/>
    <xf numFmtId="41" fontId="28" fillId="0" borderId="27" xfId="28" applyNumberFormat="1" applyFont="1" applyBorder="1"/>
    <xf numFmtId="0" fontId="28" fillId="0" borderId="140" xfId="28" applyFont="1" applyBorder="1"/>
    <xf numFmtId="41" fontId="28" fillId="0" borderId="43" xfId="28" applyNumberFormat="1" applyFont="1" applyBorder="1"/>
    <xf numFmtId="0" fontId="28" fillId="0" borderId="87" xfId="28" applyFont="1" applyBorder="1"/>
    <xf numFmtId="41" fontId="28" fillId="0" borderId="98" xfId="28" applyNumberFormat="1" applyFont="1" applyBorder="1"/>
    <xf numFmtId="41" fontId="28" fillId="0" borderId="13" xfId="28" applyNumberFormat="1" applyFont="1" applyBorder="1"/>
    <xf numFmtId="185" fontId="28" fillId="0" borderId="98" xfId="2" applyNumberFormat="1" applyFont="1" applyBorder="1" applyAlignment="1"/>
    <xf numFmtId="41" fontId="28" fillId="0" borderId="207" xfId="1" applyFont="1" applyBorder="1" applyAlignment="1"/>
    <xf numFmtId="41" fontId="27" fillId="8" borderId="85" xfId="28" applyNumberFormat="1" applyFont="1" applyFill="1" applyBorder="1"/>
    <xf numFmtId="0" fontId="113" fillId="0" borderId="0" xfId="33" applyFont="1" applyAlignment="1">
      <alignment horizontal="left" vertical="top"/>
    </xf>
    <xf numFmtId="0" fontId="112" fillId="0" borderId="0" xfId="33" applyFont="1" applyAlignment="1">
      <alignment horizontal="left" vertical="center"/>
    </xf>
    <xf numFmtId="0" fontId="112" fillId="0" borderId="0" xfId="33" applyFont="1" applyAlignment="1">
      <alignment horizontal="left" vertical="center" shrinkToFit="1"/>
    </xf>
    <xf numFmtId="0" fontId="112" fillId="0" borderId="0" xfId="33" applyFont="1" applyAlignment="1">
      <alignment horizontal="right" vertical="center" shrinkToFit="1"/>
    </xf>
    <xf numFmtId="41" fontId="112" fillId="0" borderId="0" xfId="1" applyFont="1" applyFill="1" applyAlignment="1">
      <alignment horizontal="center" vertical="center" shrinkToFit="1"/>
    </xf>
    <xf numFmtId="0" fontId="112" fillId="0" borderId="0" xfId="33" applyFont="1" applyAlignment="1">
      <alignment horizontal="center" vertical="center" shrinkToFit="1"/>
    </xf>
    <xf numFmtId="177" fontId="112" fillId="0" borderId="0" xfId="33" applyNumberFormat="1" applyFont="1" applyAlignment="1">
      <alignment horizontal="right" vertical="center" shrinkToFit="1"/>
    </xf>
    <xf numFmtId="0" fontId="112" fillId="0" borderId="0" xfId="0" applyFont="1">
      <alignment vertical="center"/>
    </xf>
    <xf numFmtId="177" fontId="113" fillId="39" borderId="211" xfId="33" applyNumberFormat="1" applyFont="1" applyFill="1" applyBorder="1" applyAlignment="1">
      <alignment horizontal="left" vertical="center"/>
    </xf>
    <xf numFmtId="0" fontId="113" fillId="39" borderId="212" xfId="33" applyFont="1" applyFill="1" applyBorder="1" applyAlignment="1">
      <alignment horizontal="center" vertical="center"/>
    </xf>
    <xf numFmtId="0" fontId="112" fillId="39" borderId="23" xfId="33" applyFont="1" applyFill="1" applyBorder="1" applyAlignment="1">
      <alignment horizontal="center" vertical="center" shrinkToFit="1"/>
    </xf>
    <xf numFmtId="0" fontId="112" fillId="39" borderId="139" xfId="33" quotePrefix="1" applyFont="1" applyFill="1" applyBorder="1" applyAlignment="1">
      <alignment horizontal="center" vertical="center" shrinkToFit="1"/>
    </xf>
    <xf numFmtId="218" fontId="113" fillId="39" borderId="139" xfId="34" applyNumberFormat="1" applyFont="1" applyFill="1" applyBorder="1" applyAlignment="1">
      <alignment horizontal="center" vertical="center" wrapText="1" shrinkToFit="1"/>
    </xf>
    <xf numFmtId="218" fontId="113" fillId="40" borderId="139" xfId="34" applyNumberFormat="1" applyFont="1" applyFill="1" applyBorder="1" applyAlignment="1">
      <alignment horizontal="center" vertical="center" wrapText="1" shrinkToFit="1"/>
    </xf>
    <xf numFmtId="177" fontId="130" fillId="0" borderId="0" xfId="33" applyNumberFormat="1" applyFont="1" applyAlignment="1">
      <alignment horizontal="right" vertical="center"/>
    </xf>
    <xf numFmtId="0" fontId="131" fillId="0" borderId="0" xfId="33" applyFont="1" applyAlignment="1">
      <alignment horizontal="center" vertical="center" shrinkToFit="1"/>
    </xf>
    <xf numFmtId="41" fontId="112" fillId="0" borderId="0" xfId="1" applyFont="1" applyFill="1" applyBorder="1">
      <alignment vertical="center"/>
    </xf>
    <xf numFmtId="0" fontId="114" fillId="39" borderId="213" xfId="33" applyFont="1" applyFill="1" applyBorder="1" applyAlignment="1">
      <alignment horizontal="center" vertical="center"/>
    </xf>
    <xf numFmtId="0" fontId="114" fillId="39" borderId="215" xfId="33" applyFont="1" applyFill="1" applyBorder="1" applyAlignment="1">
      <alignment horizontal="center" vertical="center"/>
    </xf>
    <xf numFmtId="187" fontId="114" fillId="39" borderId="180" xfId="34" applyNumberFormat="1" applyFont="1" applyFill="1" applyBorder="1" applyAlignment="1">
      <alignment horizontal="center" vertical="center" shrinkToFit="1"/>
    </xf>
    <xf numFmtId="187" fontId="114" fillId="40" borderId="180" xfId="34" applyNumberFormat="1" applyFont="1" applyFill="1" applyBorder="1" applyAlignment="1">
      <alignment horizontal="center" vertical="center" shrinkToFit="1"/>
    </xf>
    <xf numFmtId="0" fontId="130" fillId="0" borderId="0" xfId="33" applyFont="1" applyAlignment="1">
      <alignment vertical="center"/>
    </xf>
    <xf numFmtId="0" fontId="118" fillId="0" borderId="0" xfId="33" applyFont="1" applyAlignment="1">
      <alignment horizontal="center" vertical="center" shrinkToFit="1"/>
    </xf>
    <xf numFmtId="177" fontId="112" fillId="0" borderId="0" xfId="0" applyNumberFormat="1" applyFont="1">
      <alignment vertical="center"/>
    </xf>
    <xf numFmtId="0" fontId="114" fillId="39" borderId="216" xfId="33" applyFont="1" applyFill="1" applyBorder="1" applyAlignment="1">
      <alignment horizontal="center" vertical="center"/>
    </xf>
    <xf numFmtId="0" fontId="114" fillId="39" borderId="0" xfId="33" applyFont="1" applyFill="1" applyAlignment="1">
      <alignment horizontal="center" vertical="center"/>
    </xf>
    <xf numFmtId="0" fontId="114" fillId="39" borderId="194" xfId="33" applyFont="1" applyFill="1" applyBorder="1" applyAlignment="1">
      <alignment horizontal="center" vertical="center"/>
    </xf>
    <xf numFmtId="0" fontId="114" fillId="39" borderId="18" xfId="33" applyFont="1" applyFill="1" applyBorder="1" applyAlignment="1">
      <alignment horizontal="center" vertical="center"/>
    </xf>
    <xf numFmtId="187" fontId="114" fillId="39" borderId="13" xfId="34" applyNumberFormat="1" applyFont="1" applyFill="1" applyBorder="1" applyAlignment="1">
      <alignment horizontal="center" vertical="center" shrinkToFit="1"/>
    </xf>
    <xf numFmtId="187" fontId="114" fillId="40" borderId="13" xfId="34" applyNumberFormat="1" applyFont="1" applyFill="1" applyBorder="1" applyAlignment="1">
      <alignment horizontal="center" vertical="center" shrinkToFit="1"/>
    </xf>
    <xf numFmtId="0" fontId="130" fillId="0" borderId="0" xfId="33" applyFont="1" applyAlignment="1">
      <alignment horizontal="center" vertical="center"/>
    </xf>
    <xf numFmtId="0" fontId="132" fillId="31" borderId="217" xfId="33" applyFont="1" applyFill="1" applyBorder="1" applyAlignment="1">
      <alignment horizontal="center" vertical="center"/>
    </xf>
    <xf numFmtId="41" fontId="112" fillId="31" borderId="176" xfId="1" applyFont="1" applyFill="1" applyBorder="1" applyAlignment="1">
      <alignment horizontal="left" vertical="center"/>
    </xf>
    <xf numFmtId="231" fontId="116" fillId="31" borderId="177" xfId="24" applyNumberFormat="1" applyFont="1" applyFill="1" applyBorder="1" applyAlignment="1">
      <alignment horizontal="center" vertical="center" shrinkToFit="1"/>
    </xf>
    <xf numFmtId="231" fontId="116" fillId="31" borderId="178" xfId="24" applyNumberFormat="1" applyFont="1" applyFill="1" applyBorder="1" applyAlignment="1">
      <alignment horizontal="center" vertical="center" shrinkToFit="1"/>
    </xf>
    <xf numFmtId="231" fontId="116" fillId="31" borderId="175" xfId="24" applyNumberFormat="1" applyFont="1" applyFill="1" applyBorder="1" applyAlignment="1">
      <alignment horizontal="center" vertical="center" shrinkToFit="1"/>
    </xf>
    <xf numFmtId="177" fontId="132" fillId="8" borderId="178" xfId="24" applyNumberFormat="1" applyFont="1" applyFill="1" applyBorder="1" applyAlignment="1">
      <alignment vertical="center" shrinkToFit="1"/>
    </xf>
    <xf numFmtId="177" fontId="114" fillId="8" borderId="175" xfId="24" applyNumberFormat="1" applyFont="1" applyFill="1" applyBorder="1" applyAlignment="1">
      <alignment vertical="center" shrinkToFit="1"/>
    </xf>
    <xf numFmtId="177" fontId="132" fillId="8" borderId="175" xfId="24" applyNumberFormat="1" applyFont="1" applyFill="1" applyBorder="1" applyAlignment="1">
      <alignment vertical="center" shrinkToFit="1"/>
    </xf>
    <xf numFmtId="177" fontId="33" fillId="0" borderId="0" xfId="1" applyNumberFormat="1" applyFont="1" applyFill="1" applyBorder="1" applyAlignment="1">
      <alignment horizontal="right" vertical="center"/>
    </xf>
    <xf numFmtId="231" fontId="133" fillId="0" borderId="0" xfId="24" applyNumberFormat="1" applyFont="1" applyFill="1" applyBorder="1" applyAlignment="1">
      <alignment horizontal="center" vertical="center" shrinkToFit="1"/>
    </xf>
    <xf numFmtId="187" fontId="112" fillId="0" borderId="0" xfId="0" applyNumberFormat="1" applyFont="1">
      <alignment vertical="center"/>
    </xf>
    <xf numFmtId="0" fontId="132" fillId="31" borderId="216" xfId="33" applyFont="1" applyFill="1" applyBorder="1" applyAlignment="1">
      <alignment horizontal="center" vertical="center"/>
    </xf>
    <xf numFmtId="41" fontId="112" fillId="31" borderId="12" xfId="1" applyFont="1" applyFill="1" applyBorder="1" applyAlignment="1">
      <alignment horizontal="left" vertical="center"/>
    </xf>
    <xf numFmtId="231" fontId="116" fillId="31" borderId="0" xfId="24" applyNumberFormat="1" applyFont="1" applyFill="1" applyBorder="1" applyAlignment="1">
      <alignment horizontal="center" vertical="center" shrinkToFit="1"/>
    </xf>
    <xf numFmtId="231" fontId="116" fillId="31" borderId="18" xfId="24" applyNumberFormat="1" applyFont="1" applyFill="1" applyBorder="1" applyAlignment="1">
      <alignment horizontal="center" vertical="center" shrinkToFit="1"/>
    </xf>
    <xf numFmtId="177" fontId="132" fillId="8" borderId="13" xfId="24" applyNumberFormat="1" applyFont="1" applyFill="1" applyBorder="1" applyAlignment="1">
      <alignment vertical="center" shrinkToFit="1"/>
    </xf>
    <xf numFmtId="0" fontId="132" fillId="3" borderId="216" xfId="33" applyFont="1" applyFill="1" applyBorder="1" applyAlignment="1">
      <alignment horizontal="center" vertical="center"/>
    </xf>
    <xf numFmtId="41" fontId="132" fillId="3" borderId="12" xfId="24" applyFont="1" applyFill="1" applyBorder="1" applyAlignment="1">
      <alignment horizontal="left" vertical="center"/>
    </xf>
    <xf numFmtId="231" fontId="134" fillId="3" borderId="0" xfId="24" applyNumberFormat="1" applyFont="1" applyFill="1" applyBorder="1" applyAlignment="1">
      <alignment horizontal="right" vertical="center" shrinkToFit="1"/>
    </xf>
    <xf numFmtId="231" fontId="134" fillId="3" borderId="18" xfId="24" applyNumberFormat="1" applyFont="1" applyFill="1" applyBorder="1" applyAlignment="1">
      <alignment horizontal="right" vertical="center" shrinkToFit="1"/>
    </xf>
    <xf numFmtId="177" fontId="132" fillId="3" borderId="18" xfId="24" applyNumberFormat="1" applyFont="1" applyFill="1" applyBorder="1" applyAlignment="1">
      <alignment vertical="center" shrinkToFit="1"/>
    </xf>
    <xf numFmtId="177" fontId="132" fillId="3" borderId="13" xfId="24" applyNumberFormat="1" applyFont="1" applyFill="1" applyBorder="1" applyAlignment="1">
      <alignment vertical="center" shrinkToFit="1"/>
    </xf>
    <xf numFmtId="177" fontId="135" fillId="0" borderId="0" xfId="24" applyNumberFormat="1" applyFont="1" applyFill="1" applyBorder="1" applyAlignment="1">
      <alignment horizontal="right" vertical="center"/>
    </xf>
    <xf numFmtId="231" fontId="136" fillId="0" borderId="0" xfId="24" applyNumberFormat="1" applyFont="1" applyFill="1" applyBorder="1" applyAlignment="1">
      <alignment horizontal="right" vertical="center" shrinkToFit="1"/>
    </xf>
    <xf numFmtId="0" fontId="116" fillId="3" borderId="216" xfId="33" applyFont="1" applyFill="1" applyBorder="1" applyAlignment="1">
      <alignment horizontal="center" vertical="center"/>
    </xf>
    <xf numFmtId="0" fontId="132" fillId="33" borderId="217" xfId="33" applyFont="1" applyFill="1" applyBorder="1" applyAlignment="1">
      <alignment horizontal="left" vertical="center"/>
    </xf>
    <xf numFmtId="41" fontId="118" fillId="33" borderId="176" xfId="24" applyFont="1" applyFill="1" applyBorder="1" applyAlignment="1">
      <alignment horizontal="left" vertical="center"/>
    </xf>
    <xf numFmtId="231" fontId="134" fillId="33" borderId="177" xfId="24" applyNumberFormat="1" applyFont="1" applyFill="1" applyBorder="1" applyAlignment="1">
      <alignment horizontal="right" vertical="center" shrinkToFit="1"/>
    </xf>
    <xf numFmtId="231" fontId="134" fillId="33" borderId="178" xfId="24" applyNumberFormat="1" applyFont="1" applyFill="1" applyBorder="1" applyAlignment="1">
      <alignment horizontal="right" vertical="center" shrinkToFit="1"/>
    </xf>
    <xf numFmtId="177" fontId="132" fillId="33" borderId="178" xfId="24" applyNumberFormat="1" applyFont="1" applyFill="1" applyBorder="1" applyAlignment="1">
      <alignment vertical="center" shrinkToFit="1"/>
    </xf>
    <xf numFmtId="177" fontId="132" fillId="33" borderId="175" xfId="24" applyNumberFormat="1" applyFont="1" applyFill="1" applyBorder="1" applyAlignment="1">
      <alignment vertical="center" shrinkToFit="1"/>
    </xf>
    <xf numFmtId="177" fontId="40" fillId="0" borderId="0" xfId="24" applyNumberFormat="1" applyFont="1" applyFill="1" applyBorder="1" applyAlignment="1">
      <alignment horizontal="right" vertical="center"/>
    </xf>
    <xf numFmtId="0" fontId="11" fillId="3" borderId="218" xfId="33" applyFont="1" applyFill="1" applyBorder="1" applyAlignment="1">
      <alignment horizontal="left" vertical="center"/>
    </xf>
    <xf numFmtId="41" fontId="11" fillId="3" borderId="125" xfId="24" applyFont="1" applyFill="1" applyBorder="1" applyAlignment="1">
      <alignment horizontal="left" vertical="center"/>
    </xf>
    <xf numFmtId="231" fontId="5" fillId="3" borderId="126" xfId="24" applyNumberFormat="1" applyFont="1" applyFill="1" applyBorder="1" applyAlignment="1">
      <alignment horizontal="center" vertical="center" shrinkToFit="1"/>
    </xf>
    <xf numFmtId="231" fontId="5" fillId="3" borderId="204" xfId="24" applyNumberFormat="1" applyFont="1" applyFill="1" applyBorder="1" applyAlignment="1">
      <alignment horizontal="center" vertical="center" shrinkToFit="1"/>
    </xf>
    <xf numFmtId="177" fontId="11" fillId="3" borderId="204" xfId="24" applyNumberFormat="1" applyFont="1" applyFill="1" applyBorder="1" applyAlignment="1">
      <alignment vertical="center" shrinkToFit="1"/>
    </xf>
    <xf numFmtId="177" fontId="11" fillId="3" borderId="122" xfId="24" applyNumberFormat="1" applyFont="1" applyFill="1" applyBorder="1" applyAlignment="1">
      <alignment vertical="center" shrinkToFit="1"/>
    </xf>
    <xf numFmtId="177" fontId="137" fillId="0" borderId="0" xfId="24" applyNumberFormat="1" applyFont="1" applyFill="1" applyBorder="1" applyAlignment="1">
      <alignment horizontal="right" vertical="center"/>
    </xf>
    <xf numFmtId="231" fontId="138" fillId="0" borderId="0" xfId="24" applyNumberFormat="1" applyFont="1" applyFill="1" applyBorder="1" applyAlignment="1">
      <alignment horizontal="center" vertical="center" shrinkToFit="1"/>
    </xf>
    <xf numFmtId="0" fontId="5" fillId="0" borderId="0" xfId="33" applyFont="1" applyAlignment="1">
      <alignment horizontal="center" vertical="center" shrinkToFit="1"/>
    </xf>
    <xf numFmtId="0" fontId="11" fillId="0" borderId="211" xfId="33" applyFont="1" applyBorder="1" applyAlignment="1">
      <alignment horizontal="left" vertical="center"/>
    </xf>
    <xf numFmtId="41" fontId="11" fillId="0" borderId="12" xfId="24" applyFont="1" applyFill="1" applyBorder="1" applyAlignment="1">
      <alignment horizontal="left" vertical="center"/>
    </xf>
    <xf numFmtId="231" fontId="5" fillId="0" borderId="0" xfId="24" applyNumberFormat="1" applyFont="1" applyFill="1" applyBorder="1" applyAlignment="1">
      <alignment horizontal="center" vertical="center" shrinkToFit="1"/>
    </xf>
    <xf numFmtId="231" fontId="5" fillId="0" borderId="18" xfId="24" applyNumberFormat="1" applyFont="1" applyFill="1" applyBorder="1" applyAlignment="1">
      <alignment horizontal="center" vertical="center" shrinkToFit="1"/>
    </xf>
    <xf numFmtId="177" fontId="11" fillId="0" borderId="18" xfId="24" applyNumberFormat="1" applyFont="1" applyFill="1" applyBorder="1" applyAlignment="1">
      <alignment vertical="center" shrinkToFit="1"/>
    </xf>
    <xf numFmtId="177" fontId="11" fillId="0" borderId="13" xfId="24" applyNumberFormat="1" applyFont="1" applyFill="1" applyBorder="1" applyAlignment="1">
      <alignment vertical="center" shrinkToFit="1"/>
    </xf>
    <xf numFmtId="0" fontId="5" fillId="0" borderId="216" xfId="33" applyFont="1" applyBorder="1" applyAlignment="1">
      <alignment horizontal="left" vertical="center"/>
    </xf>
    <xf numFmtId="41" fontId="5" fillId="0" borderId="12" xfId="24" applyFont="1" applyFill="1" applyBorder="1" applyAlignment="1">
      <alignment horizontal="left" vertical="center"/>
    </xf>
    <xf numFmtId="177" fontId="5" fillId="0" borderId="18" xfId="24" applyNumberFormat="1" applyFont="1" applyFill="1" applyBorder="1" applyAlignment="1">
      <alignment vertical="center" shrinkToFit="1"/>
    </xf>
    <xf numFmtId="177" fontId="5" fillId="0" borderId="13" xfId="24" applyNumberFormat="1" applyFont="1" applyFill="1" applyBorder="1" applyAlignment="1">
      <alignment vertical="center" shrinkToFit="1"/>
    </xf>
    <xf numFmtId="177" fontId="59" fillId="0" borderId="0" xfId="24" applyNumberFormat="1" applyFont="1" applyFill="1" applyBorder="1" applyAlignment="1">
      <alignment horizontal="right" vertical="center"/>
    </xf>
    <xf numFmtId="0" fontId="5" fillId="0" borderId="216" xfId="33" applyFont="1" applyBorder="1" applyAlignment="1">
      <alignment horizontal="left" vertical="center" indent="1"/>
    </xf>
    <xf numFmtId="0" fontId="11" fillId="0" borderId="216" xfId="33" applyFont="1" applyBorder="1" applyAlignment="1">
      <alignment horizontal="left" vertical="center"/>
    </xf>
    <xf numFmtId="0" fontId="11" fillId="0" borderId="0" xfId="33" applyFont="1" applyAlignment="1">
      <alignment horizontal="center" vertical="center" shrinkToFit="1"/>
    </xf>
    <xf numFmtId="0" fontId="5" fillId="40" borderId="216" xfId="33" applyFont="1" applyFill="1" applyBorder="1" applyAlignment="1">
      <alignment horizontal="left" vertical="center"/>
    </xf>
    <xf numFmtId="41" fontId="5" fillId="40" borderId="12" xfId="24" applyFont="1" applyFill="1" applyBorder="1" applyAlignment="1">
      <alignment horizontal="left" vertical="center"/>
    </xf>
    <xf numFmtId="231" fontId="5" fillId="40" borderId="0" xfId="24" applyNumberFormat="1" applyFont="1" applyFill="1" applyBorder="1" applyAlignment="1">
      <alignment horizontal="center" vertical="center" shrinkToFit="1"/>
    </xf>
    <xf numFmtId="231" fontId="5" fillId="40" borderId="18" xfId="24" applyNumberFormat="1" applyFont="1" applyFill="1" applyBorder="1" applyAlignment="1">
      <alignment horizontal="center" vertical="center" shrinkToFit="1"/>
    </xf>
    <xf numFmtId="177" fontId="5" fillId="40" borderId="18" xfId="24" applyNumberFormat="1" applyFont="1" applyFill="1" applyBorder="1" applyAlignment="1">
      <alignment vertical="center" shrinkToFit="1"/>
    </xf>
    <xf numFmtId="177" fontId="5" fillId="40" borderId="13" xfId="24" applyNumberFormat="1" applyFont="1" applyFill="1" applyBorder="1" applyAlignment="1">
      <alignment vertical="center" shrinkToFit="1"/>
    </xf>
    <xf numFmtId="0" fontId="112" fillId="40" borderId="0" xfId="33" applyFont="1" applyFill="1" applyAlignment="1">
      <alignment horizontal="center" vertical="center" shrinkToFit="1"/>
    </xf>
    <xf numFmtId="177" fontId="59" fillId="40" borderId="0" xfId="24" applyNumberFormat="1" applyFont="1" applyFill="1" applyBorder="1" applyAlignment="1">
      <alignment horizontal="right" vertical="center"/>
    </xf>
    <xf numFmtId="231" fontId="138" fillId="40" borderId="0" xfId="24" applyNumberFormat="1" applyFont="1" applyFill="1" applyBorder="1" applyAlignment="1">
      <alignment horizontal="center" vertical="center" shrinkToFit="1"/>
    </xf>
    <xf numFmtId="0" fontId="5" fillId="40" borderId="0" xfId="33" applyFont="1" applyFill="1" applyAlignment="1">
      <alignment horizontal="center" vertical="center" shrinkToFit="1"/>
    </xf>
    <xf numFmtId="0" fontId="112" fillId="40" borderId="0" xfId="0" applyFont="1" applyFill="1">
      <alignment vertical="center"/>
    </xf>
    <xf numFmtId="187" fontId="112" fillId="40" borderId="0" xfId="0" applyNumberFormat="1" applyFont="1" applyFill="1">
      <alignment vertical="center"/>
    </xf>
    <xf numFmtId="9" fontId="5" fillId="0" borderId="0" xfId="24" applyNumberFormat="1" applyFont="1" applyFill="1" applyBorder="1" applyAlignment="1">
      <alignment horizontal="center" vertical="center" shrinkToFit="1"/>
    </xf>
    <xf numFmtId="0" fontId="114" fillId="3" borderId="125" xfId="33" applyFont="1" applyFill="1" applyBorder="1" applyAlignment="1">
      <alignment horizontal="left" vertical="center"/>
    </xf>
    <xf numFmtId="0" fontId="11" fillId="0" borderId="218" xfId="33" applyFont="1" applyBorder="1" applyAlignment="1">
      <alignment horizontal="left" vertical="center"/>
    </xf>
    <xf numFmtId="0" fontId="11" fillId="0" borderId="125" xfId="33" applyFont="1" applyBorder="1" applyAlignment="1">
      <alignment horizontal="left" vertical="center"/>
    </xf>
    <xf numFmtId="9" fontId="5" fillId="0" borderId="126" xfId="24" applyNumberFormat="1" applyFont="1" applyFill="1" applyBorder="1" applyAlignment="1">
      <alignment horizontal="center" vertical="center" shrinkToFit="1"/>
    </xf>
    <xf numFmtId="231" fontId="5" fillId="0" borderId="204" xfId="24" applyNumberFormat="1" applyFont="1" applyFill="1" applyBorder="1" applyAlignment="1">
      <alignment horizontal="center" vertical="center" shrinkToFit="1"/>
    </xf>
    <xf numFmtId="9" fontId="5" fillId="0" borderId="204" xfId="24" applyNumberFormat="1" applyFont="1" applyFill="1" applyBorder="1" applyAlignment="1">
      <alignment horizontal="center" vertical="center" shrinkToFit="1"/>
    </xf>
    <xf numFmtId="177" fontId="11" fillId="0" borderId="204" xfId="24" applyNumberFormat="1" applyFont="1" applyFill="1" applyBorder="1" applyAlignment="1">
      <alignment vertical="center" shrinkToFit="1"/>
    </xf>
    <xf numFmtId="9" fontId="138" fillId="0" borderId="0" xfId="24" applyNumberFormat="1" applyFont="1" applyFill="1" applyBorder="1" applyAlignment="1">
      <alignment horizontal="center" vertical="center" shrinkToFit="1"/>
    </xf>
    <xf numFmtId="41" fontId="5" fillId="0" borderId="12" xfId="24" applyFont="1" applyFill="1" applyBorder="1" applyAlignment="1">
      <alignment horizontal="right" vertical="center"/>
    </xf>
    <xf numFmtId="9" fontId="5" fillId="0" borderId="0" xfId="1" applyNumberFormat="1" applyFont="1" applyFill="1" applyBorder="1" applyAlignment="1">
      <alignment horizontal="center" vertical="center" shrinkToFit="1"/>
    </xf>
    <xf numFmtId="9" fontId="5" fillId="0" borderId="18" xfId="1" applyNumberFormat="1" applyFont="1" applyFill="1" applyBorder="1" applyAlignment="1">
      <alignment horizontal="center" vertical="center" shrinkToFit="1"/>
    </xf>
    <xf numFmtId="177" fontId="137" fillId="0" borderId="0" xfId="33" applyNumberFormat="1" applyFont="1" applyAlignment="1">
      <alignment horizontal="right" vertical="center"/>
    </xf>
    <xf numFmtId="9" fontId="138" fillId="0" borderId="0" xfId="1" applyNumberFormat="1" applyFont="1" applyFill="1" applyBorder="1" applyAlignment="1">
      <alignment horizontal="center" vertical="center" shrinkToFit="1"/>
    </xf>
    <xf numFmtId="0" fontId="5" fillId="0" borderId="216" xfId="33" applyFont="1" applyBorder="1" applyAlignment="1">
      <alignment horizontal="left" vertical="center" indent="2"/>
    </xf>
    <xf numFmtId="41" fontId="5" fillId="0" borderId="0" xfId="24" applyFont="1" applyFill="1" applyBorder="1" applyAlignment="1">
      <alignment vertical="center"/>
    </xf>
    <xf numFmtId="41" fontId="5" fillId="0" borderId="12" xfId="24" applyFont="1" applyFill="1" applyBorder="1" applyAlignment="1">
      <alignment vertical="center"/>
    </xf>
    <xf numFmtId="9" fontId="5" fillId="0" borderId="18" xfId="24" applyNumberFormat="1" applyFont="1" applyFill="1" applyBorder="1" applyAlignment="1">
      <alignment horizontal="center" vertical="center" shrinkToFit="1"/>
    </xf>
    <xf numFmtId="41" fontId="5" fillId="0" borderId="0" xfId="1" applyFont="1" applyFill="1" applyBorder="1" applyAlignment="1">
      <alignment horizontal="center" vertical="center" shrinkToFit="1"/>
    </xf>
    <xf numFmtId="41" fontId="5" fillId="0" borderId="18" xfId="1" applyFont="1" applyFill="1" applyBorder="1" applyAlignment="1">
      <alignment horizontal="center" vertical="center" shrinkToFit="1"/>
    </xf>
    <xf numFmtId="41" fontId="138" fillId="0" borderId="0" xfId="1" applyFont="1" applyFill="1" applyBorder="1" applyAlignment="1">
      <alignment horizontal="center" vertical="center" shrinkToFit="1"/>
    </xf>
    <xf numFmtId="41" fontId="112" fillId="0" borderId="0" xfId="24" applyFont="1" applyFill="1" applyBorder="1" applyAlignment="1">
      <alignment vertical="center"/>
    </xf>
    <xf numFmtId="177" fontId="33" fillId="0" borderId="0" xfId="24" applyNumberFormat="1" applyFont="1" applyFill="1" applyBorder="1" applyAlignment="1">
      <alignment horizontal="right" vertical="center"/>
    </xf>
    <xf numFmtId="41" fontId="11" fillId="0" borderId="125" xfId="24" applyFont="1" applyFill="1" applyBorder="1" applyAlignment="1">
      <alignment horizontal="left" vertical="center"/>
    </xf>
    <xf numFmtId="231" fontId="5" fillId="0" borderId="126" xfId="24" applyNumberFormat="1" applyFont="1" applyFill="1" applyBorder="1" applyAlignment="1">
      <alignment horizontal="center" vertical="center" shrinkToFit="1"/>
    </xf>
    <xf numFmtId="0" fontId="5" fillId="40" borderId="216" xfId="33" applyFont="1" applyFill="1" applyBorder="1" applyAlignment="1">
      <alignment horizontal="left" vertical="center" indent="2"/>
    </xf>
    <xf numFmtId="41" fontId="5" fillId="40" borderId="12" xfId="24" applyFont="1" applyFill="1" applyBorder="1" applyAlignment="1">
      <alignment vertical="center"/>
    </xf>
    <xf numFmtId="9" fontId="5" fillId="40" borderId="0" xfId="24" applyNumberFormat="1" applyFont="1" applyFill="1" applyBorder="1" applyAlignment="1">
      <alignment horizontal="center" vertical="center" shrinkToFit="1"/>
    </xf>
    <xf numFmtId="9" fontId="5" fillId="40" borderId="18" xfId="24" applyNumberFormat="1" applyFont="1" applyFill="1" applyBorder="1" applyAlignment="1">
      <alignment horizontal="center" vertical="center" shrinkToFit="1"/>
    </xf>
    <xf numFmtId="9" fontId="138" fillId="40" borderId="0" xfId="24" applyNumberFormat="1" applyFont="1" applyFill="1" applyBorder="1" applyAlignment="1">
      <alignment horizontal="center" vertical="center" shrinkToFit="1"/>
    </xf>
    <xf numFmtId="0" fontId="5" fillId="0" borderId="219" xfId="33" applyFont="1" applyBorder="1" applyAlignment="1">
      <alignment horizontal="left" vertical="center"/>
    </xf>
    <xf numFmtId="41" fontId="5" fillId="0" borderId="135" xfId="24" applyFont="1" applyFill="1" applyBorder="1" applyAlignment="1">
      <alignment vertical="center"/>
    </xf>
    <xf numFmtId="231" fontId="5" fillId="0" borderId="123" xfId="24" applyNumberFormat="1" applyFont="1" applyFill="1" applyBorder="1" applyAlignment="1">
      <alignment horizontal="center" vertical="center" shrinkToFit="1"/>
    </xf>
    <xf numFmtId="231" fontId="5" fillId="0" borderId="136" xfId="24" applyNumberFormat="1" applyFont="1" applyFill="1" applyBorder="1" applyAlignment="1">
      <alignment horizontal="center" vertical="center" shrinkToFit="1"/>
    </xf>
    <xf numFmtId="177" fontId="5" fillId="0" borderId="136" xfId="24" applyNumberFormat="1" applyFont="1" applyFill="1" applyBorder="1" applyAlignment="1">
      <alignment vertical="center" shrinkToFit="1"/>
    </xf>
    <xf numFmtId="177" fontId="5" fillId="0" borderId="134" xfId="24" applyNumberFormat="1" applyFont="1" applyFill="1" applyBorder="1" applyAlignment="1">
      <alignment vertical="center" shrinkToFit="1"/>
    </xf>
    <xf numFmtId="0" fontId="11" fillId="0" borderId="218" xfId="33" applyFont="1" applyBorder="1" applyAlignment="1">
      <alignment vertical="center"/>
    </xf>
    <xf numFmtId="41" fontId="5" fillId="0" borderId="125" xfId="24" applyFont="1" applyFill="1" applyBorder="1" applyAlignment="1">
      <alignment vertical="center"/>
    </xf>
    <xf numFmtId="41" fontId="11" fillId="0" borderId="12" xfId="24" applyFont="1" applyFill="1" applyBorder="1" applyAlignment="1">
      <alignment vertical="center"/>
    </xf>
    <xf numFmtId="41" fontId="112" fillId="0" borderId="12" xfId="24" applyFont="1" applyFill="1" applyBorder="1" applyAlignment="1">
      <alignment vertical="center"/>
    </xf>
    <xf numFmtId="0" fontId="11" fillId="0" borderId="125" xfId="33" applyFont="1" applyBorder="1" applyAlignment="1">
      <alignment vertical="center"/>
    </xf>
    <xf numFmtId="177" fontId="33" fillId="0" borderId="0" xfId="34" applyNumberFormat="1" applyFont="1" applyFill="1" applyBorder="1" applyAlignment="1">
      <alignment horizontal="right" vertical="center"/>
    </xf>
    <xf numFmtId="177" fontId="5" fillId="0" borderId="13" xfId="1" applyNumberFormat="1" applyFont="1" applyFill="1" applyBorder="1" applyAlignment="1">
      <alignment vertical="center" shrinkToFit="1"/>
    </xf>
    <xf numFmtId="41" fontId="11" fillId="0" borderId="125" xfId="24" applyFont="1" applyFill="1" applyBorder="1" applyAlignment="1">
      <alignment vertical="center"/>
    </xf>
    <xf numFmtId="0" fontId="112" fillId="0" borderId="216" xfId="33" applyFont="1" applyBorder="1" applyAlignment="1">
      <alignment horizontal="left" vertical="center"/>
    </xf>
    <xf numFmtId="41" fontId="112" fillId="40" borderId="12" xfId="24" applyFont="1" applyFill="1" applyBorder="1" applyAlignment="1">
      <alignment vertical="center"/>
    </xf>
    <xf numFmtId="0" fontId="5" fillId="0" borderId="213" xfId="33" applyFont="1" applyBorder="1" applyAlignment="1">
      <alignment horizontal="left" vertical="center"/>
    </xf>
    <xf numFmtId="41" fontId="112" fillId="0" borderId="220" xfId="24" applyFont="1" applyFill="1" applyBorder="1" applyAlignment="1">
      <alignment vertical="center"/>
    </xf>
    <xf numFmtId="177" fontId="5" fillId="0" borderId="215" xfId="24" applyNumberFormat="1" applyFont="1" applyFill="1" applyBorder="1" applyAlignment="1">
      <alignment vertical="center" shrinkToFit="1"/>
    </xf>
    <xf numFmtId="177" fontId="5" fillId="0" borderId="180" xfId="24" applyNumberFormat="1" applyFont="1" applyFill="1" applyBorder="1" applyAlignment="1">
      <alignment vertical="center" shrinkToFit="1"/>
    </xf>
    <xf numFmtId="41" fontId="114" fillId="33" borderId="176" xfId="24" applyFont="1" applyFill="1" applyBorder="1" applyAlignment="1">
      <alignment horizontal="left" vertical="center" wrapText="1"/>
    </xf>
    <xf numFmtId="177" fontId="130" fillId="0" borderId="0" xfId="24" applyNumberFormat="1" applyFont="1" applyFill="1" applyBorder="1" applyAlignment="1">
      <alignment horizontal="right" vertical="center" wrapText="1"/>
    </xf>
    <xf numFmtId="231" fontId="5" fillId="3" borderId="126" xfId="24" applyNumberFormat="1" applyFont="1" applyFill="1" applyBorder="1" applyAlignment="1">
      <alignment horizontal="right" vertical="center" shrinkToFit="1"/>
    </xf>
    <xf numFmtId="231" fontId="5" fillId="3" borderId="204" xfId="24" applyNumberFormat="1" applyFont="1" applyFill="1" applyBorder="1" applyAlignment="1">
      <alignment horizontal="right" vertical="center" shrinkToFit="1"/>
    </xf>
    <xf numFmtId="231" fontId="138" fillId="0" borderId="0" xfId="24" applyNumberFormat="1" applyFont="1" applyFill="1" applyBorder="1" applyAlignment="1">
      <alignment horizontal="right" vertical="center" shrinkToFit="1"/>
    </xf>
    <xf numFmtId="231" fontId="5" fillId="0" borderId="18" xfId="24" applyNumberFormat="1" applyFont="1" applyFill="1" applyBorder="1" applyAlignment="1">
      <alignment horizontal="right" vertical="center" shrinkToFit="1"/>
    </xf>
    <xf numFmtId="177" fontId="11" fillId="0" borderId="122" xfId="24" applyNumberFormat="1" applyFont="1" applyFill="1" applyBorder="1" applyAlignment="1">
      <alignment vertical="center" shrinkToFit="1"/>
    </xf>
    <xf numFmtId="41" fontId="5" fillId="0" borderId="12" xfId="24" applyFont="1" applyFill="1" applyBorder="1" applyAlignment="1">
      <alignment vertical="center" shrinkToFit="1"/>
    </xf>
    <xf numFmtId="177" fontId="59" fillId="0" borderId="0" xfId="24" applyNumberFormat="1" applyFont="1" applyFill="1" applyBorder="1" applyAlignment="1">
      <alignment horizontal="right" vertical="center" shrinkToFit="1"/>
    </xf>
    <xf numFmtId="41" fontId="11" fillId="0" borderId="12" xfId="24" applyFont="1" applyFill="1" applyBorder="1" applyAlignment="1">
      <alignment vertical="center" shrinkToFit="1"/>
    </xf>
    <xf numFmtId="231" fontId="11" fillId="0" borderId="0" xfId="24" applyNumberFormat="1" applyFont="1" applyFill="1" applyBorder="1" applyAlignment="1">
      <alignment horizontal="center" vertical="center" shrinkToFit="1"/>
    </xf>
    <xf numFmtId="231" fontId="11" fillId="0" borderId="18" xfId="24" applyNumberFormat="1" applyFont="1" applyFill="1" applyBorder="1" applyAlignment="1">
      <alignment horizontal="center" vertical="center" shrinkToFit="1"/>
    </xf>
    <xf numFmtId="231" fontId="140" fillId="0" borderId="0" xfId="24" applyNumberFormat="1" applyFont="1" applyFill="1" applyBorder="1" applyAlignment="1">
      <alignment horizontal="center" vertical="center" shrinkToFit="1"/>
    </xf>
    <xf numFmtId="177" fontId="137" fillId="0" borderId="0" xfId="24" applyNumberFormat="1" applyFont="1" applyFill="1" applyBorder="1" applyAlignment="1">
      <alignment horizontal="right" vertical="center" shrinkToFit="1"/>
    </xf>
    <xf numFmtId="41" fontId="11" fillId="0" borderId="0" xfId="1" applyFont="1" applyFill="1" applyBorder="1" applyAlignment="1">
      <alignment horizontal="center" vertical="center" shrinkToFit="1"/>
    </xf>
    <xf numFmtId="41" fontId="11" fillId="0" borderId="18" xfId="1" applyFont="1" applyFill="1" applyBorder="1" applyAlignment="1">
      <alignment horizontal="center" vertical="center" shrinkToFit="1"/>
    </xf>
    <xf numFmtId="41" fontId="140" fillId="0" borderId="0" xfId="1" applyFont="1" applyFill="1" applyBorder="1" applyAlignment="1">
      <alignment horizontal="center" vertical="center" shrinkToFit="1"/>
    </xf>
    <xf numFmtId="0" fontId="11" fillId="0" borderId="216" xfId="33" applyFont="1" applyBorder="1" applyAlignment="1">
      <alignment vertical="center"/>
    </xf>
    <xf numFmtId="41" fontId="5" fillId="0" borderId="221" xfId="24" applyFont="1" applyFill="1" applyBorder="1" applyAlignment="1">
      <alignment vertical="center" shrinkToFit="1"/>
    </xf>
    <xf numFmtId="184" fontId="5" fillId="0" borderId="18" xfId="24" applyNumberFormat="1" applyFont="1" applyFill="1" applyBorder="1" applyAlignment="1">
      <alignment horizontal="center" vertical="center" shrinkToFit="1"/>
    </xf>
    <xf numFmtId="231" fontId="5" fillId="0" borderId="0" xfId="24" applyNumberFormat="1" applyFont="1" applyFill="1" applyBorder="1" applyAlignment="1">
      <alignment horizontal="right" vertical="center" shrinkToFit="1"/>
    </xf>
    <xf numFmtId="231" fontId="5" fillId="0" borderId="204" xfId="24" applyNumberFormat="1" applyFont="1" applyFill="1" applyBorder="1" applyAlignment="1">
      <alignment horizontal="right" vertical="center" shrinkToFit="1"/>
    </xf>
    <xf numFmtId="0" fontId="5" fillId="0" borderId="139" xfId="33" applyFont="1" applyBorder="1" applyAlignment="1">
      <alignment horizontal="center" vertical="center" shrinkToFit="1"/>
    </xf>
    <xf numFmtId="0" fontId="92" fillId="0" borderId="0" xfId="33" applyFont="1" applyAlignment="1">
      <alignment horizontal="center" vertical="center" shrinkToFit="1"/>
    </xf>
    <xf numFmtId="41" fontId="112" fillId="0" borderId="12" xfId="24" applyFont="1" applyFill="1" applyBorder="1" applyAlignment="1">
      <alignment vertical="center" wrapText="1" shrinkToFit="1"/>
    </xf>
    <xf numFmtId="9" fontId="5" fillId="0" borderId="13" xfId="24" applyNumberFormat="1" applyFont="1" applyFill="1" applyBorder="1" applyAlignment="1">
      <alignment horizontal="center" vertical="center" shrinkToFit="1"/>
    </xf>
    <xf numFmtId="231" fontId="5" fillId="0" borderId="134" xfId="24" applyNumberFormat="1" applyFont="1" applyFill="1" applyBorder="1" applyAlignment="1">
      <alignment horizontal="center" vertical="center" shrinkToFit="1"/>
    </xf>
    <xf numFmtId="177" fontId="33" fillId="0" borderId="0" xfId="24" applyNumberFormat="1" applyFont="1" applyFill="1" applyBorder="1" applyAlignment="1">
      <alignment horizontal="right" vertical="center" wrapText="1" shrinkToFit="1"/>
    </xf>
    <xf numFmtId="41" fontId="11" fillId="0" borderId="125" xfId="24" applyFont="1" applyFill="1" applyBorder="1" applyAlignment="1">
      <alignment horizontal="left" vertical="center" shrinkToFit="1"/>
    </xf>
    <xf numFmtId="41" fontId="11" fillId="0" borderId="12" xfId="24" applyFont="1" applyFill="1" applyBorder="1" applyAlignment="1">
      <alignment horizontal="left" vertical="center" shrinkToFit="1"/>
    </xf>
    <xf numFmtId="41" fontId="5" fillId="0" borderId="12" xfId="24" applyFont="1" applyFill="1" applyBorder="1" applyAlignment="1">
      <alignment horizontal="left" vertical="center" shrinkToFit="1"/>
    </xf>
    <xf numFmtId="231" fontId="5" fillId="0" borderId="13" xfId="24" applyNumberFormat="1" applyFont="1" applyFill="1" applyBorder="1" applyAlignment="1">
      <alignment horizontal="center" vertical="center" shrinkToFit="1"/>
    </xf>
    <xf numFmtId="41" fontId="5" fillId="0" borderId="13" xfId="1" applyFont="1" applyFill="1" applyBorder="1" applyAlignment="1">
      <alignment horizontal="center" vertical="center" shrinkToFit="1"/>
    </xf>
    <xf numFmtId="41" fontId="112" fillId="40" borderId="12" xfId="24" applyFont="1" applyFill="1" applyBorder="1" applyAlignment="1">
      <alignment vertical="center" shrinkToFit="1"/>
    </xf>
    <xf numFmtId="9" fontId="5" fillId="40" borderId="0" xfId="24" applyNumberFormat="1" applyFont="1" applyFill="1" applyBorder="1" applyAlignment="1">
      <alignment vertical="center" shrinkToFit="1"/>
    </xf>
    <xf numFmtId="9" fontId="5" fillId="40" borderId="18" xfId="24" applyNumberFormat="1" applyFont="1" applyFill="1" applyBorder="1" applyAlignment="1">
      <alignment vertical="center" shrinkToFit="1"/>
    </xf>
    <xf numFmtId="231" fontId="5" fillId="40" borderId="13" xfId="24" applyNumberFormat="1" applyFont="1" applyFill="1" applyBorder="1" applyAlignment="1">
      <alignment horizontal="center" vertical="center" shrinkToFit="1"/>
    </xf>
    <xf numFmtId="41" fontId="5" fillId="40" borderId="13" xfId="1" applyFont="1" applyFill="1" applyBorder="1" applyAlignment="1">
      <alignment horizontal="center" vertical="center" shrinkToFit="1"/>
    </xf>
    <xf numFmtId="9" fontId="138" fillId="0" borderId="0" xfId="24" applyNumberFormat="1" applyFont="1" applyFill="1" applyBorder="1" applyAlignment="1">
      <alignment vertical="center" shrinkToFit="1"/>
    </xf>
    <xf numFmtId="177" fontId="33" fillId="0" borderId="0" xfId="24" applyNumberFormat="1" applyFont="1" applyFill="1" applyBorder="1" applyAlignment="1">
      <alignment horizontal="right" vertical="center" shrinkToFit="1"/>
    </xf>
    <xf numFmtId="0" fontId="5" fillId="0" borderId="222" xfId="33" applyFont="1" applyBorder="1" applyAlignment="1">
      <alignment horizontal="left" vertical="center"/>
    </xf>
    <xf numFmtId="41" fontId="112" fillId="0" borderId="125" xfId="24" applyFont="1" applyFill="1" applyBorder="1" applyAlignment="1">
      <alignment vertical="center"/>
    </xf>
    <xf numFmtId="231" fontId="11" fillId="0" borderId="122" xfId="24" applyNumberFormat="1" applyFont="1" applyFill="1" applyBorder="1" applyAlignment="1">
      <alignment horizontal="center" vertical="center" shrinkToFit="1"/>
    </xf>
    <xf numFmtId="41" fontId="11" fillId="0" borderId="122" xfId="1" applyFont="1" applyFill="1" applyBorder="1" applyAlignment="1">
      <alignment horizontal="center" vertical="center" shrinkToFit="1"/>
    </xf>
    <xf numFmtId="0" fontId="5" fillId="40" borderId="223" xfId="33" applyFont="1" applyFill="1" applyBorder="1" applyAlignment="1">
      <alignment horizontal="left" vertical="center"/>
    </xf>
    <xf numFmtId="41" fontId="5" fillId="40" borderId="49" xfId="34" applyFont="1" applyFill="1" applyBorder="1" applyAlignment="1">
      <alignment vertical="center"/>
    </xf>
    <xf numFmtId="231" fontId="5" fillId="40" borderId="39" xfId="24" applyNumberFormat="1" applyFont="1" applyFill="1" applyBorder="1" applyAlignment="1">
      <alignment horizontal="center" vertical="center" shrinkToFit="1"/>
    </xf>
    <xf numFmtId="231" fontId="5" fillId="40" borderId="32" xfId="24" applyNumberFormat="1" applyFont="1" applyFill="1" applyBorder="1" applyAlignment="1">
      <alignment horizontal="center" vertical="center" shrinkToFit="1"/>
    </xf>
    <xf numFmtId="177" fontId="5" fillId="40" borderId="32" xfId="24" applyNumberFormat="1" applyFont="1" applyFill="1" applyBorder="1" applyAlignment="1">
      <alignment vertical="center" shrinkToFit="1"/>
    </xf>
    <xf numFmtId="177" fontId="5" fillId="40" borderId="33" xfId="24" applyNumberFormat="1" applyFont="1" applyFill="1" applyBorder="1" applyAlignment="1">
      <alignment vertical="center" shrinkToFit="1"/>
    </xf>
    <xf numFmtId="41" fontId="112" fillId="0" borderId="12" xfId="24" applyFont="1" applyFill="1" applyBorder="1" applyAlignment="1">
      <alignment horizontal="left" vertical="center"/>
    </xf>
    <xf numFmtId="177" fontId="59" fillId="0" borderId="0" xfId="34" applyNumberFormat="1" applyFont="1" applyFill="1" applyBorder="1" applyAlignment="1">
      <alignment horizontal="right" vertical="center"/>
    </xf>
    <xf numFmtId="41" fontId="112" fillId="40" borderId="12" xfId="24" applyFont="1" applyFill="1" applyBorder="1" applyAlignment="1">
      <alignment horizontal="left" vertical="center"/>
    </xf>
    <xf numFmtId="0" fontId="5" fillId="0" borderId="223" xfId="33" applyFont="1" applyBorder="1" applyAlignment="1">
      <alignment horizontal="left" vertical="center"/>
    </xf>
    <xf numFmtId="41" fontId="5" fillId="0" borderId="49" xfId="24" applyFont="1" applyFill="1" applyBorder="1" applyAlignment="1">
      <alignment vertical="center"/>
    </xf>
    <xf numFmtId="231" fontId="5" fillId="0" borderId="39" xfId="24" applyNumberFormat="1" applyFont="1" applyFill="1" applyBorder="1" applyAlignment="1">
      <alignment horizontal="right" vertical="center" shrinkToFit="1"/>
    </xf>
    <xf numFmtId="231" fontId="5" fillId="0" borderId="32" xfId="24" applyNumberFormat="1" applyFont="1" applyFill="1" applyBorder="1" applyAlignment="1">
      <alignment horizontal="right" vertical="center" shrinkToFit="1"/>
    </xf>
    <xf numFmtId="177" fontId="5" fillId="0" borderId="32" xfId="24" applyNumberFormat="1" applyFont="1" applyFill="1" applyBorder="1" applyAlignment="1">
      <alignment vertical="center" shrinkToFit="1"/>
    </xf>
    <xf numFmtId="177" fontId="5" fillId="0" borderId="33" xfId="24" applyNumberFormat="1" applyFont="1" applyFill="1" applyBorder="1" applyAlignment="1">
      <alignment vertical="center" shrinkToFit="1"/>
    </xf>
    <xf numFmtId="231" fontId="5" fillId="40" borderId="0" xfId="24" applyNumberFormat="1" applyFont="1" applyFill="1" applyBorder="1" applyAlignment="1">
      <alignment horizontal="right" vertical="center" shrinkToFit="1"/>
    </xf>
    <xf numFmtId="231" fontId="5" fillId="40" borderId="18" xfId="24" applyNumberFormat="1" applyFont="1" applyFill="1" applyBorder="1" applyAlignment="1">
      <alignment horizontal="right" vertical="center" shrinkToFit="1"/>
    </xf>
    <xf numFmtId="0" fontId="11" fillId="40" borderId="218" xfId="33" applyFont="1" applyFill="1" applyBorder="1" applyAlignment="1">
      <alignment vertical="center"/>
    </xf>
    <xf numFmtId="41" fontId="5" fillId="40" borderId="125" xfId="24" applyFont="1" applyFill="1" applyBorder="1" applyAlignment="1">
      <alignment vertical="center"/>
    </xf>
    <xf numFmtId="9" fontId="5" fillId="40" borderId="126" xfId="24" applyNumberFormat="1" applyFont="1" applyFill="1" applyBorder="1" applyAlignment="1">
      <alignment horizontal="center" vertical="center" shrinkToFit="1"/>
    </xf>
    <xf numFmtId="231" fontId="5" fillId="40" borderId="204" xfId="24" applyNumberFormat="1" applyFont="1" applyFill="1" applyBorder="1" applyAlignment="1">
      <alignment horizontal="center" vertical="center" shrinkToFit="1"/>
    </xf>
    <xf numFmtId="9" fontId="5" fillId="40" borderId="204" xfId="24" applyNumberFormat="1" applyFont="1" applyFill="1" applyBorder="1" applyAlignment="1">
      <alignment horizontal="center" vertical="center" shrinkToFit="1"/>
    </xf>
    <xf numFmtId="177" fontId="11" fillId="40" borderId="122" xfId="24" applyNumberFormat="1" applyFont="1" applyFill="1" applyBorder="1" applyAlignment="1">
      <alignment vertical="center" shrinkToFit="1"/>
    </xf>
    <xf numFmtId="41" fontId="5" fillId="0" borderId="125" xfId="24" applyFont="1" applyFill="1" applyBorder="1" applyAlignment="1">
      <alignment horizontal="left" vertical="center"/>
    </xf>
    <xf numFmtId="187" fontId="5" fillId="0" borderId="126" xfId="24" applyNumberFormat="1" applyFont="1" applyFill="1" applyBorder="1" applyAlignment="1">
      <alignment horizontal="right" vertical="center" shrinkToFit="1"/>
    </xf>
    <xf numFmtId="187" fontId="5" fillId="0" borderId="204" xfId="24" applyNumberFormat="1" applyFont="1" applyFill="1" applyBorder="1" applyAlignment="1">
      <alignment horizontal="right" vertical="center" shrinkToFit="1"/>
    </xf>
    <xf numFmtId="187" fontId="138" fillId="0" borderId="0" xfId="24" applyNumberFormat="1" applyFont="1" applyFill="1" applyBorder="1" applyAlignment="1">
      <alignment horizontal="right" vertical="center" shrinkToFit="1"/>
    </xf>
    <xf numFmtId="0" fontId="118" fillId="0" borderId="216" xfId="33" applyFont="1" applyBorder="1" applyAlignment="1">
      <alignment vertical="center"/>
    </xf>
    <xf numFmtId="41" fontId="118" fillId="0" borderId="12" xfId="24" applyFont="1" applyFill="1" applyBorder="1" applyAlignment="1">
      <alignment vertical="center"/>
    </xf>
    <xf numFmtId="187" fontId="118" fillId="0" borderId="0" xfId="24" applyNumberFormat="1" applyFont="1" applyFill="1" applyBorder="1" applyAlignment="1">
      <alignment horizontal="right" vertical="center" shrinkToFit="1"/>
    </xf>
    <xf numFmtId="187" fontId="118" fillId="0" borderId="18" xfId="24" applyNumberFormat="1" applyFont="1" applyFill="1" applyBorder="1" applyAlignment="1">
      <alignment horizontal="right" vertical="center" shrinkToFit="1"/>
    </xf>
    <xf numFmtId="9" fontId="118" fillId="0" borderId="18" xfId="2" applyFont="1" applyFill="1" applyBorder="1" applyAlignment="1">
      <alignment vertical="center" shrinkToFit="1"/>
    </xf>
    <xf numFmtId="9" fontId="118" fillId="0" borderId="13" xfId="2" applyFont="1" applyFill="1" applyBorder="1" applyAlignment="1">
      <alignment vertical="center" shrinkToFit="1"/>
    </xf>
    <xf numFmtId="185" fontId="118" fillId="0" borderId="13" xfId="2" applyNumberFormat="1" applyFont="1" applyFill="1" applyBorder="1" applyAlignment="1">
      <alignment vertical="center" shrinkToFit="1"/>
    </xf>
    <xf numFmtId="185" fontId="118" fillId="0" borderId="139" xfId="2" applyNumberFormat="1" applyFont="1" applyFill="1" applyBorder="1" applyAlignment="1">
      <alignment vertical="center" shrinkToFit="1"/>
    </xf>
    <xf numFmtId="187" fontId="141" fillId="0" borderId="0" xfId="24" applyNumberFormat="1" applyFont="1" applyFill="1" applyBorder="1" applyAlignment="1">
      <alignment horizontal="right" vertical="center" shrinkToFit="1"/>
    </xf>
    <xf numFmtId="0" fontId="114" fillId="0" borderId="223" xfId="33" applyFont="1" applyBorder="1" applyAlignment="1">
      <alignment horizontal="left" vertical="center"/>
    </xf>
    <xf numFmtId="9" fontId="118" fillId="0" borderId="49" xfId="24" applyNumberFormat="1" applyFont="1" applyFill="1" applyBorder="1" applyAlignment="1">
      <alignment horizontal="left" vertical="center"/>
    </xf>
    <xf numFmtId="9" fontId="118" fillId="0" borderId="39" xfId="24" applyNumberFormat="1" applyFont="1" applyFill="1" applyBorder="1" applyAlignment="1">
      <alignment horizontal="center" vertical="center" shrinkToFit="1"/>
    </xf>
    <xf numFmtId="177" fontId="118" fillId="0" borderId="32" xfId="24" applyNumberFormat="1" applyFont="1" applyFill="1" applyBorder="1" applyAlignment="1">
      <alignment horizontal="center" vertical="center" shrinkToFit="1"/>
    </xf>
    <xf numFmtId="9" fontId="118" fillId="0" borderId="32" xfId="24" applyNumberFormat="1" applyFont="1" applyFill="1" applyBorder="1" applyAlignment="1">
      <alignment horizontal="center" vertical="center" shrinkToFit="1"/>
    </xf>
    <xf numFmtId="231" fontId="118" fillId="0" borderId="32" xfId="24" applyNumberFormat="1" applyFont="1" applyFill="1" applyBorder="1" applyAlignment="1">
      <alignment horizontal="center" vertical="center" shrinkToFit="1"/>
    </xf>
    <xf numFmtId="231" fontId="118" fillId="0" borderId="33" xfId="24" applyNumberFormat="1" applyFont="1" applyFill="1" applyBorder="1" applyAlignment="1">
      <alignment horizontal="center" vertical="center" shrinkToFit="1"/>
    </xf>
    <xf numFmtId="41" fontId="118" fillId="0" borderId="139" xfId="1" applyFont="1" applyFill="1" applyBorder="1" applyAlignment="1">
      <alignment horizontal="center" vertical="center" shrinkToFit="1"/>
    </xf>
    <xf numFmtId="9" fontId="141" fillId="0" borderId="0" xfId="24" applyNumberFormat="1" applyFont="1" applyFill="1" applyBorder="1" applyAlignment="1">
      <alignment horizontal="center" vertical="center" shrinkToFit="1"/>
    </xf>
    <xf numFmtId="0" fontId="114" fillId="0" borderId="216" xfId="33" applyFont="1" applyBorder="1" applyAlignment="1">
      <alignment horizontal="left" vertical="center"/>
    </xf>
    <xf numFmtId="41" fontId="118" fillId="0" borderId="12" xfId="24" applyFont="1" applyFill="1" applyBorder="1" applyAlignment="1">
      <alignment horizontal="left" vertical="center"/>
    </xf>
    <xf numFmtId="9" fontId="118" fillId="0" borderId="0" xfId="24" applyNumberFormat="1" applyFont="1" applyFill="1" applyBorder="1" applyAlignment="1">
      <alignment horizontal="center" vertical="center" shrinkToFit="1"/>
    </xf>
    <xf numFmtId="177" fontId="118" fillId="0" borderId="18" xfId="24" applyNumberFormat="1" applyFont="1" applyFill="1" applyBorder="1" applyAlignment="1">
      <alignment horizontal="center" vertical="center" shrinkToFit="1"/>
    </xf>
    <xf numFmtId="9" fontId="118" fillId="0" borderId="18" xfId="24" applyNumberFormat="1" applyFont="1" applyFill="1" applyBorder="1" applyAlignment="1">
      <alignment horizontal="center" vertical="center" shrinkToFit="1"/>
    </xf>
    <xf numFmtId="231" fontId="118" fillId="0" borderId="18" xfId="24" applyNumberFormat="1" applyFont="1" applyFill="1" applyBorder="1" applyAlignment="1">
      <alignment horizontal="center" vertical="center" shrinkToFit="1"/>
    </xf>
    <xf numFmtId="231" fontId="118" fillId="0" borderId="13" xfId="24" applyNumberFormat="1" applyFont="1" applyFill="1" applyBorder="1" applyAlignment="1">
      <alignment horizontal="center" vertical="center" shrinkToFit="1"/>
    </xf>
    <xf numFmtId="41" fontId="118" fillId="0" borderId="13" xfId="1" applyFont="1" applyFill="1" applyBorder="1" applyAlignment="1">
      <alignment horizontal="center" vertical="center" shrinkToFit="1"/>
    </xf>
    <xf numFmtId="0" fontId="11" fillId="40" borderId="216" xfId="33" applyFont="1" applyFill="1" applyBorder="1" applyAlignment="1">
      <alignment horizontal="left" vertical="center"/>
    </xf>
    <xf numFmtId="177" fontId="5" fillId="40" borderId="18" xfId="24" applyNumberFormat="1" applyFont="1" applyFill="1" applyBorder="1" applyAlignment="1">
      <alignment horizontal="center" vertical="center" shrinkToFit="1"/>
    </xf>
    <xf numFmtId="177" fontId="5" fillId="0" borderId="18" xfId="24" applyNumberFormat="1" applyFont="1" applyFill="1" applyBorder="1" applyAlignment="1">
      <alignment horizontal="center" vertical="center" shrinkToFit="1"/>
    </xf>
    <xf numFmtId="231" fontId="11" fillId="0" borderId="13" xfId="24" applyNumberFormat="1" applyFont="1" applyFill="1" applyBorder="1" applyAlignment="1">
      <alignment horizontal="center" vertical="center" shrinkToFit="1"/>
    </xf>
    <xf numFmtId="0" fontId="114" fillId="40" borderId="216" xfId="33" applyFont="1" applyFill="1" applyBorder="1" applyAlignment="1">
      <alignment horizontal="left" vertical="center"/>
    </xf>
    <xf numFmtId="41" fontId="118" fillId="40" borderId="12" xfId="24" applyFont="1" applyFill="1" applyBorder="1" applyAlignment="1">
      <alignment horizontal="left" vertical="center"/>
    </xf>
    <xf numFmtId="9" fontId="118" fillId="40" borderId="0" xfId="35" applyFont="1" applyFill="1" applyBorder="1" applyAlignment="1">
      <alignment horizontal="center" vertical="center" shrinkToFit="1"/>
    </xf>
    <xf numFmtId="177" fontId="118" fillId="40" borderId="18" xfId="35" applyNumberFormat="1" applyFont="1" applyFill="1" applyBorder="1" applyAlignment="1">
      <alignment horizontal="center" vertical="center" shrinkToFit="1"/>
    </xf>
    <xf numFmtId="9" fontId="118" fillId="40" borderId="18" xfId="35" applyFont="1" applyFill="1" applyBorder="1" applyAlignment="1">
      <alignment horizontal="center" vertical="center" shrinkToFit="1"/>
    </xf>
    <xf numFmtId="231" fontId="118" fillId="40" borderId="18" xfId="24" applyNumberFormat="1" applyFont="1" applyFill="1" applyBorder="1" applyAlignment="1">
      <alignment horizontal="center" vertical="center" shrinkToFit="1"/>
    </xf>
    <xf numFmtId="41" fontId="118" fillId="40" borderId="13" xfId="1" applyFont="1" applyFill="1" applyBorder="1" applyAlignment="1">
      <alignment horizontal="center" vertical="center" shrinkToFit="1"/>
    </xf>
    <xf numFmtId="231" fontId="118" fillId="40" borderId="13" xfId="24" applyNumberFormat="1" applyFont="1" applyFill="1" applyBorder="1" applyAlignment="1">
      <alignment horizontal="center" vertical="center" shrinkToFit="1"/>
    </xf>
    <xf numFmtId="9" fontId="141" fillId="0" borderId="0" xfId="35" applyFont="1" applyFill="1" applyBorder="1" applyAlignment="1">
      <alignment horizontal="center" vertical="center" shrinkToFit="1"/>
    </xf>
    <xf numFmtId="177" fontId="33" fillId="40" borderId="0" xfId="24" applyNumberFormat="1" applyFont="1" applyFill="1" applyBorder="1" applyAlignment="1">
      <alignment horizontal="right" vertical="center"/>
    </xf>
    <xf numFmtId="231" fontId="11" fillId="40" borderId="18" xfId="24" applyNumberFormat="1" applyFont="1" applyFill="1" applyBorder="1" applyAlignment="1">
      <alignment horizontal="center" vertical="center" shrinkToFit="1"/>
    </xf>
    <xf numFmtId="187" fontId="5" fillId="40" borderId="0" xfId="24" applyNumberFormat="1" applyFont="1" applyFill="1" applyBorder="1" applyAlignment="1">
      <alignment horizontal="center" vertical="center" shrinkToFit="1"/>
    </xf>
    <xf numFmtId="187" fontId="5" fillId="40" borderId="18" xfId="24" applyNumberFormat="1" applyFont="1" applyFill="1" applyBorder="1" applyAlignment="1">
      <alignment horizontal="center" vertical="center" shrinkToFit="1"/>
    </xf>
    <xf numFmtId="187" fontId="138" fillId="40" borderId="0" xfId="24" applyNumberFormat="1" applyFont="1" applyFill="1" applyBorder="1" applyAlignment="1">
      <alignment horizontal="center" vertical="center" shrinkToFit="1"/>
    </xf>
    <xf numFmtId="41" fontId="11" fillId="40" borderId="12" xfId="24" applyFont="1" applyFill="1" applyBorder="1" applyAlignment="1">
      <alignment horizontal="left" vertical="center"/>
    </xf>
    <xf numFmtId="231" fontId="11" fillId="40" borderId="13" xfId="24" applyNumberFormat="1" applyFont="1" applyFill="1" applyBorder="1" applyAlignment="1">
      <alignment horizontal="center" vertical="center" shrinkToFit="1"/>
    </xf>
    <xf numFmtId="41" fontId="11" fillId="40" borderId="134" xfId="1" applyFont="1" applyFill="1" applyBorder="1" applyAlignment="1">
      <alignment horizontal="center" vertical="center" shrinkToFit="1"/>
    </xf>
    <xf numFmtId="0" fontId="11" fillId="40" borderId="218" xfId="33" applyFont="1" applyFill="1" applyBorder="1" applyAlignment="1">
      <alignment horizontal="left" vertical="center"/>
    </xf>
    <xf numFmtId="41" fontId="113" fillId="40" borderId="125" xfId="24" applyFont="1" applyFill="1" applyBorder="1" applyAlignment="1">
      <alignment horizontal="left" vertical="center"/>
    </xf>
    <xf numFmtId="9" fontId="5" fillId="40" borderId="224" xfId="24" applyNumberFormat="1" applyFont="1" applyFill="1" applyBorder="1" applyAlignment="1">
      <alignment horizontal="center" vertical="center" shrinkToFit="1"/>
    </xf>
    <xf numFmtId="177" fontId="11" fillId="40" borderId="204" xfId="24" applyNumberFormat="1" applyFont="1" applyFill="1" applyBorder="1" applyAlignment="1">
      <alignment vertical="center" shrinkToFit="1"/>
    </xf>
    <xf numFmtId="41" fontId="114" fillId="33" borderId="176" xfId="24" applyFont="1" applyFill="1" applyBorder="1" applyAlignment="1">
      <alignment horizontal="left" vertical="center"/>
    </xf>
    <xf numFmtId="177" fontId="130" fillId="0" borderId="0" xfId="24" applyNumberFormat="1" applyFont="1" applyFill="1" applyBorder="1" applyAlignment="1">
      <alignment horizontal="right" vertical="center"/>
    </xf>
    <xf numFmtId="177" fontId="113" fillId="0" borderId="18" xfId="24" applyNumberFormat="1" applyFont="1" applyFill="1" applyBorder="1" applyAlignment="1">
      <alignment vertical="center" shrinkToFit="1"/>
    </xf>
    <xf numFmtId="231" fontId="112" fillId="0" borderId="0" xfId="24" applyNumberFormat="1" applyFont="1" applyFill="1" applyBorder="1" applyAlignment="1">
      <alignment horizontal="center" vertical="center" shrinkToFit="1"/>
    </xf>
    <xf numFmtId="231" fontId="112" fillId="0" borderId="18" xfId="24" applyNumberFormat="1" applyFont="1" applyFill="1" applyBorder="1" applyAlignment="1">
      <alignment horizontal="center" vertical="center" shrinkToFit="1"/>
    </xf>
    <xf numFmtId="177" fontId="112" fillId="0" borderId="18" xfId="24" quotePrefix="1" applyNumberFormat="1" applyFont="1" applyFill="1" applyBorder="1" applyAlignment="1">
      <alignment vertical="center" shrinkToFit="1"/>
    </xf>
    <xf numFmtId="231" fontId="142" fillId="0" borderId="0" xfId="24" applyNumberFormat="1" applyFont="1" applyFill="1" applyBorder="1" applyAlignment="1">
      <alignment horizontal="center" vertical="center" shrinkToFit="1"/>
    </xf>
    <xf numFmtId="41" fontId="113" fillId="0" borderId="12" xfId="24" applyFont="1" applyFill="1" applyBorder="1" applyAlignment="1">
      <alignment horizontal="left" vertical="center"/>
    </xf>
    <xf numFmtId="177" fontId="113" fillId="0" borderId="13" xfId="24" applyNumberFormat="1" applyFont="1" applyFill="1" applyBorder="1" applyAlignment="1">
      <alignment vertical="center" shrinkToFit="1"/>
    </xf>
    <xf numFmtId="0" fontId="113" fillId="0" borderId="211" xfId="33" applyFont="1" applyBorder="1" applyAlignment="1">
      <alignment horizontal="left" vertical="center"/>
    </xf>
    <xf numFmtId="41" fontId="114" fillId="0" borderId="128" xfId="35" applyNumberFormat="1" applyFont="1" applyFill="1" applyBorder="1" applyAlignment="1">
      <alignment horizontal="left" vertical="center" shrinkToFit="1"/>
    </xf>
    <xf numFmtId="9" fontId="112" fillId="0" borderId="23" xfId="24" applyNumberFormat="1" applyFont="1" applyFill="1" applyBorder="1" applyAlignment="1">
      <alignment horizontal="center" vertical="center" shrinkToFit="1"/>
    </xf>
    <xf numFmtId="177" fontId="112" fillId="0" borderId="129" xfId="24" applyNumberFormat="1" applyFont="1" applyFill="1" applyBorder="1" applyAlignment="1">
      <alignment horizontal="center" vertical="center" shrinkToFit="1"/>
    </xf>
    <xf numFmtId="187" fontId="112" fillId="0" borderId="129" xfId="24" applyNumberFormat="1" applyFont="1" applyFill="1" applyBorder="1" applyAlignment="1">
      <alignment horizontal="center" vertical="center" shrinkToFit="1"/>
    </xf>
    <xf numFmtId="177" fontId="113" fillId="0" borderId="139" xfId="24" applyNumberFormat="1" applyFont="1" applyFill="1" applyBorder="1" applyAlignment="1">
      <alignment vertical="center" shrinkToFit="1"/>
    </xf>
    <xf numFmtId="177" fontId="34" fillId="0" borderId="0" xfId="24" applyNumberFormat="1" applyFont="1" applyFill="1" applyBorder="1" applyAlignment="1">
      <alignment horizontal="right" vertical="center"/>
    </xf>
    <xf numFmtId="9" fontId="112" fillId="0" borderId="0" xfId="24" applyNumberFormat="1" applyFont="1" applyFill="1" applyBorder="1" applyAlignment="1">
      <alignment horizontal="center" vertical="center" shrinkToFit="1"/>
    </xf>
    <xf numFmtId="0" fontId="113" fillId="0" borderId="216" xfId="33" applyFont="1" applyBorder="1" applyAlignment="1">
      <alignment horizontal="left" vertical="center"/>
    </xf>
    <xf numFmtId="0" fontId="113" fillId="0" borderId="12" xfId="35" applyNumberFormat="1" applyFont="1" applyFill="1" applyBorder="1" applyAlignment="1">
      <alignment horizontal="left" vertical="center" shrinkToFit="1"/>
    </xf>
    <xf numFmtId="177" fontId="112" fillId="0" borderId="18" xfId="24" applyNumberFormat="1" applyFont="1" applyFill="1" applyBorder="1" applyAlignment="1">
      <alignment horizontal="center" vertical="center" shrinkToFit="1"/>
    </xf>
    <xf numFmtId="187" fontId="112" fillId="0" borderId="18" xfId="24" applyNumberFormat="1" applyFont="1" applyFill="1" applyBorder="1" applyAlignment="1">
      <alignment horizontal="center" vertical="center" shrinkToFit="1"/>
    </xf>
    <xf numFmtId="10" fontId="113" fillId="0" borderId="13" xfId="2" applyNumberFormat="1" applyFont="1" applyFill="1" applyBorder="1" applyAlignment="1">
      <alignment vertical="center" shrinkToFit="1"/>
    </xf>
    <xf numFmtId="237" fontId="112" fillId="0" borderId="12" xfId="24" applyNumberFormat="1" applyFont="1" applyFill="1" applyBorder="1" applyAlignment="1">
      <alignment horizontal="left" vertical="center"/>
    </xf>
    <xf numFmtId="237" fontId="112" fillId="0" borderId="0" xfId="24" applyNumberFormat="1" applyFont="1" applyFill="1" applyBorder="1" applyAlignment="1">
      <alignment horizontal="left" vertical="center"/>
    </xf>
    <xf numFmtId="177" fontId="112" fillId="0" borderId="13" xfId="24" quotePrefix="1" applyNumberFormat="1" applyFont="1" applyFill="1" applyBorder="1" applyAlignment="1">
      <alignment vertical="center" shrinkToFit="1"/>
    </xf>
    <xf numFmtId="177" fontId="34" fillId="0" borderId="0" xfId="35" applyNumberFormat="1" applyFont="1" applyFill="1" applyBorder="1" applyAlignment="1">
      <alignment horizontal="right" vertical="center" shrinkToFit="1"/>
    </xf>
    <xf numFmtId="41" fontId="112" fillId="0" borderId="18" xfId="24" applyFont="1" applyFill="1" applyBorder="1" applyAlignment="1">
      <alignment horizontal="center" vertical="center" shrinkToFit="1"/>
    </xf>
    <xf numFmtId="177" fontId="112" fillId="0" borderId="13" xfId="1" quotePrefix="1" applyNumberFormat="1" applyFont="1" applyFill="1" applyBorder="1" applyAlignment="1">
      <alignment vertical="center" shrinkToFit="1"/>
    </xf>
    <xf numFmtId="41" fontId="112" fillId="0" borderId="0" xfId="24" applyFont="1" applyFill="1" applyBorder="1" applyAlignment="1">
      <alignment horizontal="center" vertical="center" shrinkToFit="1"/>
    </xf>
    <xf numFmtId="0" fontId="113" fillId="3" borderId="125" xfId="33" applyFont="1" applyFill="1" applyBorder="1" applyAlignment="1">
      <alignment horizontal="left" vertical="center"/>
    </xf>
    <xf numFmtId="231" fontId="112" fillId="3" borderId="126" xfId="24" applyNumberFormat="1" applyFont="1" applyFill="1" applyBorder="1" applyAlignment="1">
      <alignment horizontal="center" vertical="center" shrinkToFit="1"/>
    </xf>
    <xf numFmtId="177" fontId="112" fillId="3" borderId="204" xfId="24" applyNumberFormat="1" applyFont="1" applyFill="1" applyBorder="1" applyAlignment="1">
      <alignment horizontal="center" vertical="center" shrinkToFit="1"/>
    </xf>
    <xf numFmtId="231" fontId="112" fillId="3" borderId="204" xfId="24" applyNumberFormat="1" applyFont="1" applyFill="1" applyBorder="1" applyAlignment="1">
      <alignment horizontal="center" vertical="center" shrinkToFit="1"/>
    </xf>
    <xf numFmtId="177" fontId="113" fillId="3" borderId="204" xfId="24" applyNumberFormat="1" applyFont="1" applyFill="1" applyBorder="1" applyAlignment="1">
      <alignment vertical="center" shrinkToFit="1"/>
    </xf>
    <xf numFmtId="0" fontId="113" fillId="0" borderId="125" xfId="33" applyFont="1" applyBorder="1" applyAlignment="1">
      <alignment horizontal="left" vertical="center"/>
    </xf>
    <xf numFmtId="9" fontId="112" fillId="0" borderId="126" xfId="24" applyNumberFormat="1" applyFont="1" applyFill="1" applyBorder="1" applyAlignment="1">
      <alignment horizontal="center" vertical="center" shrinkToFit="1"/>
    </xf>
    <xf numFmtId="177" fontId="112" fillId="0" borderId="204" xfId="24" applyNumberFormat="1" applyFont="1" applyFill="1" applyBorder="1" applyAlignment="1">
      <alignment horizontal="center" vertical="center" shrinkToFit="1"/>
    </xf>
    <xf numFmtId="9" fontId="112" fillId="0" borderId="204" xfId="24" applyNumberFormat="1" applyFont="1" applyFill="1" applyBorder="1" applyAlignment="1">
      <alignment horizontal="center" vertical="center" shrinkToFit="1"/>
    </xf>
    <xf numFmtId="177" fontId="113" fillId="0" borderId="204" xfId="24" applyNumberFormat="1" applyFont="1" applyFill="1" applyBorder="1" applyAlignment="1">
      <alignment vertical="center" shrinkToFit="1"/>
    </xf>
    <xf numFmtId="177" fontId="34" fillId="0" borderId="0" xfId="33" applyNumberFormat="1" applyFont="1" applyAlignment="1">
      <alignment horizontal="right" vertical="center"/>
    </xf>
    <xf numFmtId="9" fontId="142" fillId="0" borderId="0" xfId="24" applyNumberFormat="1" applyFont="1" applyFill="1" applyBorder="1" applyAlignment="1">
      <alignment horizontal="center" vertical="center" shrinkToFit="1"/>
    </xf>
    <xf numFmtId="41" fontId="113" fillId="0" borderId="12" xfId="24" applyFont="1" applyFill="1" applyBorder="1" applyAlignment="1">
      <alignment vertical="center"/>
    </xf>
    <xf numFmtId="177" fontId="112" fillId="0" borderId="18" xfId="24" applyNumberFormat="1" applyFont="1" applyFill="1" applyBorder="1" applyAlignment="1">
      <alignment vertical="center" shrinkToFit="1"/>
    </xf>
    <xf numFmtId="177" fontId="113" fillId="0" borderId="18" xfId="1" applyNumberFormat="1" applyFont="1" applyFill="1" applyBorder="1" applyAlignment="1">
      <alignment vertical="center" shrinkToFit="1"/>
    </xf>
    <xf numFmtId="177" fontId="112" fillId="0" borderId="13" xfId="24" applyNumberFormat="1" applyFont="1" applyFill="1" applyBorder="1" applyAlignment="1">
      <alignment vertical="center" shrinkToFit="1"/>
    </xf>
    <xf numFmtId="41" fontId="112" fillId="0" borderId="0" xfId="1" applyFont="1" applyFill="1" applyBorder="1" applyAlignment="1">
      <alignment horizontal="center" vertical="center" shrinkToFit="1"/>
    </xf>
    <xf numFmtId="41" fontId="112" fillId="0" borderId="18" xfId="1" applyFont="1" applyFill="1" applyBorder="1" applyAlignment="1">
      <alignment horizontal="center" vertical="center" shrinkToFit="1"/>
    </xf>
    <xf numFmtId="41" fontId="142" fillId="0" borderId="0" xfId="1" applyFont="1" applyFill="1" applyBorder="1" applyAlignment="1">
      <alignment horizontal="center" vertical="center" shrinkToFit="1"/>
    </xf>
    <xf numFmtId="41" fontId="114" fillId="0" borderId="12" xfId="24" applyFont="1" applyFill="1" applyBorder="1" applyAlignment="1">
      <alignment vertical="center"/>
    </xf>
    <xf numFmtId="9" fontId="112" fillId="0" borderId="0" xfId="24" applyNumberFormat="1" applyFont="1" applyFill="1" applyBorder="1" applyAlignment="1">
      <alignment horizontal="right" vertical="center" shrinkToFit="1"/>
    </xf>
    <xf numFmtId="9" fontId="112" fillId="0" borderId="18" xfId="24" applyNumberFormat="1" applyFont="1" applyFill="1" applyBorder="1" applyAlignment="1">
      <alignment horizontal="right" vertical="center" shrinkToFit="1"/>
    </xf>
    <xf numFmtId="9" fontId="142" fillId="0" borderId="0" xfId="24" applyNumberFormat="1" applyFont="1" applyFill="1" applyBorder="1" applyAlignment="1">
      <alignment horizontal="right" vertical="center" shrinkToFit="1"/>
    </xf>
    <xf numFmtId="41" fontId="113" fillId="0" borderId="0" xfId="24" applyFont="1" applyFill="1" applyBorder="1" applyAlignment="1">
      <alignment horizontal="left" vertical="center"/>
    </xf>
    <xf numFmtId="231" fontId="112" fillId="0" borderId="0" xfId="24" quotePrefix="1" applyNumberFormat="1" applyFont="1" applyFill="1" applyBorder="1" applyAlignment="1">
      <alignment horizontal="center" vertical="center" shrinkToFit="1"/>
    </xf>
    <xf numFmtId="231" fontId="112" fillId="0" borderId="18" xfId="24" quotePrefix="1" applyNumberFormat="1" applyFont="1" applyFill="1" applyBorder="1" applyAlignment="1">
      <alignment horizontal="center" vertical="center" shrinkToFit="1"/>
    </xf>
    <xf numFmtId="177" fontId="113" fillId="0" borderId="18" xfId="24" quotePrefix="1" applyNumberFormat="1" applyFont="1" applyFill="1" applyBorder="1" applyAlignment="1">
      <alignment vertical="center" shrinkToFit="1"/>
    </xf>
    <xf numFmtId="231" fontId="142" fillId="0" borderId="0" xfId="24" quotePrefix="1" applyNumberFormat="1" applyFont="1" applyFill="1" applyBorder="1" applyAlignment="1">
      <alignment horizontal="center" vertical="center" shrinkToFit="1"/>
    </xf>
    <xf numFmtId="41" fontId="113" fillId="0" borderId="125" xfId="24" applyFont="1" applyFill="1" applyBorder="1" applyAlignment="1">
      <alignment horizontal="left" vertical="center"/>
    </xf>
    <xf numFmtId="231" fontId="112" fillId="0" borderId="126" xfId="24" applyNumberFormat="1" applyFont="1" applyFill="1" applyBorder="1" applyAlignment="1">
      <alignment horizontal="center" vertical="center" shrinkToFit="1"/>
    </xf>
    <xf numFmtId="231" fontId="112" fillId="0" borderId="204" xfId="24" applyNumberFormat="1" applyFont="1" applyFill="1" applyBorder="1" applyAlignment="1">
      <alignment horizontal="center" vertical="center" shrinkToFit="1"/>
    </xf>
    <xf numFmtId="9" fontId="112" fillId="0" borderId="18" xfId="24" applyNumberFormat="1" applyFont="1" applyFill="1" applyBorder="1" applyAlignment="1">
      <alignment horizontal="center" vertical="center" shrinkToFit="1"/>
    </xf>
    <xf numFmtId="41" fontId="112" fillId="0" borderId="125" xfId="24" applyFont="1" applyFill="1" applyBorder="1" applyAlignment="1">
      <alignment horizontal="left" vertical="center"/>
    </xf>
    <xf numFmtId="0" fontId="5" fillId="0" borderId="211" xfId="33" applyFont="1" applyBorder="1" applyAlignment="1">
      <alignment horizontal="left" vertical="center" indent="1"/>
    </xf>
    <xf numFmtId="41" fontId="112" fillId="0" borderId="128" xfId="24" applyFont="1" applyFill="1" applyBorder="1" applyAlignment="1">
      <alignment horizontal="left" vertical="center"/>
    </xf>
    <xf numFmtId="231" fontId="112" fillId="0" borderId="23" xfId="24" applyNumberFormat="1" applyFont="1" applyFill="1" applyBorder="1" applyAlignment="1">
      <alignment horizontal="center" vertical="center" shrinkToFit="1"/>
    </xf>
    <xf numFmtId="231" fontId="112" fillId="0" borderId="129" xfId="24" applyNumberFormat="1" applyFont="1" applyFill="1" applyBorder="1" applyAlignment="1">
      <alignment horizontal="center" vertical="center" shrinkToFit="1"/>
    </xf>
    <xf numFmtId="177" fontId="112" fillId="0" borderId="129" xfId="24" applyNumberFormat="1" applyFont="1" applyFill="1" applyBorder="1" applyAlignment="1">
      <alignment vertical="center" shrinkToFit="1"/>
    </xf>
    <xf numFmtId="177" fontId="112" fillId="0" borderId="139" xfId="24" applyNumberFormat="1" applyFont="1" applyFill="1" applyBorder="1" applyAlignment="1">
      <alignment vertical="center" shrinkToFit="1"/>
    </xf>
    <xf numFmtId="0" fontId="5" fillId="0" borderId="219" xfId="33" applyFont="1" applyBorder="1" applyAlignment="1">
      <alignment horizontal="left" vertical="center" indent="1"/>
    </xf>
    <xf numFmtId="41" fontId="112" fillId="0" borderId="135" xfId="24" applyFont="1" applyFill="1" applyBorder="1" applyAlignment="1">
      <alignment horizontal="left" vertical="center"/>
    </xf>
    <xf numFmtId="231" fontId="112" fillId="0" borderId="123" xfId="24" applyNumberFormat="1" applyFont="1" applyFill="1" applyBorder="1" applyAlignment="1">
      <alignment horizontal="center" vertical="center" shrinkToFit="1"/>
    </xf>
    <xf numFmtId="231" fontId="112" fillId="0" borderId="136" xfId="24" applyNumberFormat="1" applyFont="1" applyFill="1" applyBorder="1" applyAlignment="1">
      <alignment horizontal="center" vertical="center" shrinkToFit="1"/>
    </xf>
    <xf numFmtId="177" fontId="112" fillId="0" borderId="136" xfId="24" applyNumberFormat="1" applyFont="1" applyFill="1" applyBorder="1" applyAlignment="1">
      <alignment vertical="center" shrinkToFit="1"/>
    </xf>
    <xf numFmtId="177" fontId="112" fillId="0" borderId="134" xfId="24" applyNumberFormat="1" applyFont="1" applyFill="1" applyBorder="1" applyAlignment="1">
      <alignment vertical="center" shrinkToFit="1"/>
    </xf>
    <xf numFmtId="177" fontId="113" fillId="0" borderId="122" xfId="24" applyNumberFormat="1" applyFont="1" applyFill="1" applyBorder="1" applyAlignment="1">
      <alignment vertical="center" shrinkToFit="1"/>
    </xf>
    <xf numFmtId="0" fontId="113" fillId="0" borderId="125" xfId="33" applyFont="1" applyBorder="1" applyAlignment="1">
      <alignment vertical="center"/>
    </xf>
    <xf numFmtId="0" fontId="112" fillId="0" borderId="128" xfId="33" applyFont="1" applyBorder="1" applyAlignment="1">
      <alignment horizontal="left" vertical="center" indent="1"/>
    </xf>
    <xf numFmtId="231" fontId="112" fillId="0" borderId="23" xfId="24" applyNumberFormat="1" applyFont="1" applyFill="1" applyBorder="1" applyAlignment="1">
      <alignment horizontal="left" vertical="center" shrinkToFit="1"/>
    </xf>
    <xf numFmtId="231" fontId="112" fillId="0" borderId="129" xfId="24" applyNumberFormat="1" applyFont="1" applyFill="1" applyBorder="1" applyAlignment="1">
      <alignment horizontal="left" vertical="center" shrinkToFit="1"/>
    </xf>
    <xf numFmtId="231" fontId="142" fillId="0" borderId="0" xfId="24" applyNumberFormat="1" applyFont="1" applyFill="1" applyBorder="1" applyAlignment="1">
      <alignment horizontal="left" vertical="center" shrinkToFit="1"/>
    </xf>
    <xf numFmtId="0" fontId="5" fillId="0" borderId="0" xfId="33" applyFont="1" applyAlignment="1">
      <alignment horizontal="left" vertical="center" shrinkToFit="1"/>
    </xf>
    <xf numFmtId="0" fontId="112" fillId="0" borderId="12" xfId="33" applyFont="1" applyBorder="1" applyAlignment="1">
      <alignment horizontal="left" vertical="center" indent="1"/>
    </xf>
    <xf numFmtId="231" fontId="112" fillId="0" borderId="0" xfId="24" applyNumberFormat="1" applyFont="1" applyFill="1" applyBorder="1" applyAlignment="1">
      <alignment horizontal="left" vertical="center" shrinkToFit="1"/>
    </xf>
    <xf numFmtId="231" fontId="112" fillId="0" borderId="18" xfId="24" applyNumberFormat="1" applyFont="1" applyFill="1" applyBorder="1" applyAlignment="1">
      <alignment horizontal="left" vertical="center" shrinkToFit="1"/>
    </xf>
    <xf numFmtId="177" fontId="33" fillId="0" borderId="0" xfId="33" applyNumberFormat="1" applyFont="1" applyAlignment="1">
      <alignment horizontal="right" vertical="center" indent="1"/>
    </xf>
    <xf numFmtId="0" fontId="112" fillId="0" borderId="12" xfId="33" applyFont="1" applyBorder="1" applyAlignment="1">
      <alignment horizontal="left" vertical="center" wrapText="1" indent="1"/>
    </xf>
    <xf numFmtId="177" fontId="33" fillId="0" borderId="0" xfId="33" applyNumberFormat="1" applyFont="1" applyAlignment="1">
      <alignment horizontal="right" vertical="center" wrapText="1" indent="1"/>
    </xf>
    <xf numFmtId="41" fontId="112" fillId="0" borderId="12" xfId="24" applyFont="1" applyFill="1" applyBorder="1" applyAlignment="1">
      <alignment horizontal="left" vertical="center" indent="1"/>
    </xf>
    <xf numFmtId="0" fontId="5" fillId="40" borderId="216" xfId="33" applyFont="1" applyFill="1" applyBorder="1" applyAlignment="1">
      <alignment horizontal="left" vertical="center" indent="1"/>
    </xf>
    <xf numFmtId="231" fontId="112" fillId="40" borderId="0" xfId="24" applyNumberFormat="1" applyFont="1" applyFill="1" applyBorder="1" applyAlignment="1">
      <alignment horizontal="center" vertical="center" shrinkToFit="1"/>
    </xf>
    <xf numFmtId="231" fontId="112" fillId="40" borderId="18" xfId="24" applyNumberFormat="1" applyFont="1" applyFill="1" applyBorder="1" applyAlignment="1">
      <alignment horizontal="center" vertical="center" shrinkToFit="1"/>
    </xf>
    <xf numFmtId="177" fontId="112" fillId="40" borderId="18" xfId="24" applyNumberFormat="1" applyFont="1" applyFill="1" applyBorder="1" applyAlignment="1">
      <alignment vertical="center" shrinkToFit="1"/>
    </xf>
    <xf numFmtId="177" fontId="112" fillId="40" borderId="13" xfId="24" applyNumberFormat="1" applyFont="1" applyFill="1" applyBorder="1" applyAlignment="1">
      <alignment vertical="center" shrinkToFit="1"/>
    </xf>
    <xf numFmtId="177" fontId="33" fillId="0" borderId="0" xfId="24" applyNumberFormat="1" applyFont="1" applyFill="1" applyBorder="1" applyAlignment="1">
      <alignment horizontal="right" vertical="center" indent="1"/>
    </xf>
    <xf numFmtId="41" fontId="112" fillId="40" borderId="0" xfId="24" applyFont="1" applyFill="1" applyBorder="1" applyAlignment="1">
      <alignment vertical="center"/>
    </xf>
    <xf numFmtId="41" fontId="112" fillId="0" borderId="0" xfId="24" applyFont="1" applyFill="1" applyBorder="1" applyAlignment="1">
      <alignment horizontal="left" vertical="center"/>
    </xf>
    <xf numFmtId="41" fontId="118" fillId="0" borderId="0" xfId="24" applyFont="1" applyFill="1" applyBorder="1" applyAlignment="1">
      <alignment horizontal="left" vertical="center"/>
    </xf>
    <xf numFmtId="0" fontId="5" fillId="0" borderId="216" xfId="33" applyFont="1" applyBorder="1" applyAlignment="1">
      <alignment vertical="center"/>
    </xf>
    <xf numFmtId="41" fontId="112" fillId="0" borderId="221" xfId="24" applyFont="1" applyFill="1" applyBorder="1" applyAlignment="1">
      <alignment vertical="center"/>
    </xf>
    <xf numFmtId="0" fontId="5" fillId="0" borderId="219" xfId="33" applyFont="1" applyBorder="1" applyAlignment="1">
      <alignment vertical="center"/>
    </xf>
    <xf numFmtId="41" fontId="112" fillId="0" borderId="135" xfId="24" applyFont="1" applyFill="1" applyBorder="1" applyAlignment="1">
      <alignment vertical="center"/>
    </xf>
    <xf numFmtId="231" fontId="112" fillId="40" borderId="126" xfId="24" applyNumberFormat="1" applyFont="1" applyFill="1" applyBorder="1" applyAlignment="1">
      <alignment horizontal="center" vertical="center" shrinkToFit="1"/>
    </xf>
    <xf numFmtId="231" fontId="112" fillId="40" borderId="204" xfId="24" applyNumberFormat="1" applyFont="1" applyFill="1" applyBorder="1" applyAlignment="1">
      <alignment horizontal="center" vertical="center" shrinkToFit="1"/>
    </xf>
    <xf numFmtId="177" fontId="113" fillId="40" borderId="204" xfId="24" applyNumberFormat="1" applyFont="1" applyFill="1" applyBorder="1" applyAlignment="1">
      <alignment vertical="center" shrinkToFit="1"/>
    </xf>
    <xf numFmtId="41" fontId="114" fillId="40" borderId="12" xfId="24" applyFont="1" applyFill="1" applyBorder="1" applyAlignment="1">
      <alignment horizontal="left" vertical="center"/>
    </xf>
    <xf numFmtId="231" fontId="118" fillId="40" borderId="0" xfId="24" applyNumberFormat="1" applyFont="1" applyFill="1" applyBorder="1" applyAlignment="1">
      <alignment horizontal="center" vertical="center" shrinkToFit="1"/>
    </xf>
    <xf numFmtId="9" fontId="114" fillId="40" borderId="18" xfId="2" applyFont="1" applyFill="1" applyBorder="1" applyAlignment="1">
      <alignment vertical="center" shrinkToFit="1"/>
    </xf>
    <xf numFmtId="231" fontId="141" fillId="0" borderId="0" xfId="24" applyNumberFormat="1" applyFont="1" applyFill="1" applyBorder="1" applyAlignment="1">
      <alignment horizontal="center" vertical="center" shrinkToFit="1"/>
    </xf>
    <xf numFmtId="0" fontId="114" fillId="0" borderId="0" xfId="33" applyFont="1" applyAlignment="1">
      <alignment horizontal="center" vertical="center" shrinkToFit="1"/>
    </xf>
    <xf numFmtId="0" fontId="113" fillId="40" borderId="216" xfId="33" applyFont="1" applyFill="1" applyBorder="1" applyAlignment="1">
      <alignment horizontal="left" vertical="center"/>
    </xf>
    <xf numFmtId="41" fontId="113" fillId="40" borderId="12" xfId="24" applyFont="1" applyFill="1" applyBorder="1" applyAlignment="1">
      <alignment horizontal="left" vertical="center"/>
    </xf>
    <xf numFmtId="185" fontId="118" fillId="40" borderId="0" xfId="24" applyNumberFormat="1" applyFont="1" applyFill="1" applyBorder="1" applyAlignment="1">
      <alignment horizontal="right" vertical="center" shrinkToFit="1"/>
    </xf>
    <xf numFmtId="185" fontId="118" fillId="40" borderId="18" xfId="24" applyNumberFormat="1" applyFont="1" applyFill="1" applyBorder="1" applyAlignment="1">
      <alignment horizontal="right" vertical="center" shrinkToFit="1"/>
    </xf>
    <xf numFmtId="177" fontId="113" fillId="40" borderId="18" xfId="24" applyNumberFormat="1" applyFont="1" applyFill="1" applyBorder="1" applyAlignment="1">
      <alignment vertical="center" shrinkToFit="1"/>
    </xf>
    <xf numFmtId="177" fontId="113" fillId="40" borderId="13" xfId="1" applyNumberFormat="1" applyFont="1" applyFill="1" applyBorder="1" applyAlignment="1">
      <alignment vertical="center" shrinkToFit="1"/>
    </xf>
    <xf numFmtId="185" fontId="141" fillId="0" borderId="0" xfId="24" applyNumberFormat="1" applyFont="1" applyFill="1" applyBorder="1" applyAlignment="1">
      <alignment horizontal="right" vertical="center" shrinkToFit="1"/>
    </xf>
    <xf numFmtId="0" fontId="113" fillId="0" borderId="0" xfId="33" applyFont="1" applyAlignment="1">
      <alignment horizontal="center" vertical="center" shrinkToFit="1"/>
    </xf>
    <xf numFmtId="177" fontId="114" fillId="8" borderId="18" xfId="24" applyNumberFormat="1" applyFont="1" applyFill="1" applyBorder="1" applyAlignment="1">
      <alignment vertical="center" shrinkToFit="1"/>
    </xf>
    <xf numFmtId="177" fontId="114" fillId="8" borderId="13" xfId="1" applyNumberFormat="1" applyFont="1" applyFill="1" applyBorder="1" applyAlignment="1">
      <alignment vertical="center" shrinkToFit="1"/>
    </xf>
    <xf numFmtId="177" fontId="114" fillId="40" borderId="13" xfId="1" applyNumberFormat="1" applyFont="1" applyFill="1" applyBorder="1" applyAlignment="1">
      <alignment vertical="center" shrinkToFit="1"/>
    </xf>
    <xf numFmtId="177" fontId="112" fillId="40" borderId="13" xfId="1" applyNumberFormat="1" applyFont="1" applyFill="1" applyBorder="1" applyAlignment="1">
      <alignment vertical="center" shrinkToFit="1"/>
    </xf>
    <xf numFmtId="177" fontId="11" fillId="0" borderId="122" xfId="1" applyNumberFormat="1" applyFont="1" applyFill="1" applyBorder="1" applyAlignment="1">
      <alignment vertical="center" shrinkToFit="1"/>
    </xf>
    <xf numFmtId="41" fontId="134" fillId="33" borderId="177" xfId="24" applyFont="1" applyFill="1" applyBorder="1" applyAlignment="1">
      <alignment vertical="center" shrinkToFit="1"/>
    </xf>
    <xf numFmtId="41" fontId="134" fillId="33" borderId="178" xfId="24" applyFont="1" applyFill="1" applyBorder="1" applyAlignment="1">
      <alignment vertical="center" shrinkToFit="1"/>
    </xf>
    <xf numFmtId="41" fontId="136" fillId="0" borderId="0" xfId="24" applyFont="1" applyFill="1" applyBorder="1" applyAlignment="1">
      <alignment vertical="center" shrinkToFit="1"/>
    </xf>
    <xf numFmtId="41" fontId="5" fillId="3" borderId="126" xfId="24" applyFont="1" applyFill="1" applyBorder="1" applyAlignment="1">
      <alignment vertical="center" shrinkToFit="1"/>
    </xf>
    <xf numFmtId="41" fontId="5" fillId="3" borderId="204" xfId="24" applyFont="1" applyFill="1" applyBorder="1" applyAlignment="1">
      <alignment vertical="center" shrinkToFit="1"/>
    </xf>
    <xf numFmtId="41" fontId="138" fillId="0" borderId="0" xfId="24" applyFont="1" applyFill="1" applyBorder="1" applyAlignment="1">
      <alignment vertical="center" shrinkToFit="1"/>
    </xf>
    <xf numFmtId="41" fontId="5" fillId="0" borderId="0" xfId="24" applyFont="1" applyFill="1" applyBorder="1" applyAlignment="1">
      <alignment vertical="center" shrinkToFit="1"/>
    </xf>
    <xf numFmtId="41" fontId="5" fillId="0" borderId="18" xfId="24" applyFont="1" applyFill="1" applyBorder="1" applyAlignment="1">
      <alignment vertical="center" shrinkToFit="1"/>
    </xf>
    <xf numFmtId="0" fontId="11" fillId="0" borderId="219" xfId="33" applyFont="1" applyBorder="1" applyAlignment="1">
      <alignment horizontal="left" vertical="center"/>
    </xf>
    <xf numFmtId="41" fontId="11" fillId="0" borderId="225" xfId="24" applyFont="1" applyFill="1" applyBorder="1" applyAlignment="1">
      <alignment horizontal="left" vertical="center"/>
    </xf>
    <xf numFmtId="9" fontId="5" fillId="0" borderId="123" xfId="24" applyNumberFormat="1" applyFont="1" applyFill="1" applyBorder="1" applyAlignment="1">
      <alignment vertical="center" shrinkToFit="1"/>
    </xf>
    <xf numFmtId="41" fontId="5" fillId="0" borderId="204" xfId="24" applyFont="1" applyFill="1" applyBorder="1" applyAlignment="1">
      <alignment vertical="center" shrinkToFit="1"/>
    </xf>
    <xf numFmtId="9" fontId="5" fillId="0" borderId="136" xfId="24" applyNumberFormat="1" applyFont="1" applyFill="1" applyBorder="1" applyAlignment="1">
      <alignment vertical="center" shrinkToFit="1"/>
    </xf>
    <xf numFmtId="177" fontId="11" fillId="0" borderId="134" xfId="24" applyNumberFormat="1" applyFont="1" applyFill="1" applyBorder="1" applyAlignment="1">
      <alignment vertical="center" shrinkToFit="1"/>
    </xf>
    <xf numFmtId="41" fontId="5" fillId="0" borderId="0" xfId="24" applyFont="1" applyFill="1" applyBorder="1" applyAlignment="1">
      <alignment horizontal="center" vertical="center" shrinkToFit="1"/>
    </xf>
    <xf numFmtId="41" fontId="5" fillId="0" borderId="18" xfId="24" applyFont="1" applyFill="1" applyBorder="1" applyAlignment="1">
      <alignment horizontal="center" vertical="center" shrinkToFit="1"/>
    </xf>
    <xf numFmtId="41" fontId="92" fillId="0" borderId="0" xfId="24" applyFont="1" applyFill="1" applyBorder="1" applyAlignment="1">
      <alignment horizontal="center" vertical="center" shrinkToFit="1"/>
    </xf>
    <xf numFmtId="9" fontId="5" fillId="0" borderId="0" xfId="24" applyNumberFormat="1" applyFont="1" applyFill="1" applyBorder="1" applyAlignment="1">
      <alignment vertical="center" shrinkToFit="1"/>
    </xf>
    <xf numFmtId="9" fontId="5" fillId="0" borderId="18" xfId="24" applyNumberFormat="1" applyFont="1" applyFill="1" applyBorder="1" applyAlignment="1">
      <alignment vertical="center" shrinkToFit="1"/>
    </xf>
    <xf numFmtId="41" fontId="5" fillId="0" borderId="126" xfId="24" applyFont="1" applyFill="1" applyBorder="1" applyAlignment="1">
      <alignment vertical="center" shrinkToFit="1"/>
    </xf>
    <xf numFmtId="9" fontId="5" fillId="0" borderId="126" xfId="24" applyNumberFormat="1" applyFont="1" applyFill="1" applyBorder="1" applyAlignment="1">
      <alignment vertical="center" shrinkToFit="1"/>
    </xf>
    <xf numFmtId="9" fontId="5" fillId="0" borderId="204" xfId="24" applyNumberFormat="1" applyFont="1" applyFill="1" applyBorder="1" applyAlignment="1">
      <alignment vertical="center" shrinkToFit="1"/>
    </xf>
    <xf numFmtId="41" fontId="5" fillId="0" borderId="212" xfId="24" applyFont="1" applyFill="1" applyBorder="1" applyAlignment="1">
      <alignment vertical="center"/>
    </xf>
    <xf numFmtId="41" fontId="5" fillId="0" borderId="23" xfId="24" applyFont="1" applyFill="1" applyBorder="1" applyAlignment="1">
      <alignment vertical="center" shrinkToFit="1"/>
    </xf>
    <xf numFmtId="41" fontId="5" fillId="0" borderId="129" xfId="24" applyFont="1" applyFill="1" applyBorder="1" applyAlignment="1">
      <alignment vertical="center" shrinkToFit="1"/>
    </xf>
    <xf numFmtId="177" fontId="5" fillId="0" borderId="129" xfId="24" applyNumberFormat="1" applyFont="1" applyFill="1" applyBorder="1" applyAlignment="1">
      <alignment vertical="center" shrinkToFit="1"/>
    </xf>
    <xf numFmtId="177" fontId="5" fillId="0" borderId="139" xfId="24" applyNumberFormat="1" applyFont="1" applyFill="1" applyBorder="1" applyAlignment="1">
      <alignment vertical="center" shrinkToFit="1"/>
    </xf>
    <xf numFmtId="41" fontId="5" fillId="0" borderId="135" xfId="24" applyFont="1" applyFill="1" applyBorder="1" applyAlignment="1">
      <alignment vertical="center" shrinkToFit="1"/>
    </xf>
    <xf numFmtId="41" fontId="5" fillId="0" borderId="123" xfId="24" applyFont="1" applyFill="1" applyBorder="1" applyAlignment="1">
      <alignment vertical="center" shrinkToFit="1"/>
    </xf>
    <xf numFmtId="41" fontId="5" fillId="0" borderId="136" xfId="24" applyFont="1" applyFill="1" applyBorder="1" applyAlignment="1">
      <alignment vertical="center" shrinkToFit="1"/>
    </xf>
    <xf numFmtId="10" fontId="114" fillId="40" borderId="125" xfId="24" applyNumberFormat="1" applyFont="1" applyFill="1" applyBorder="1" applyAlignment="1">
      <alignment horizontal="left" vertical="center"/>
    </xf>
    <xf numFmtId="41" fontId="118" fillId="40" borderId="126" xfId="24" applyFont="1" applyFill="1" applyBorder="1" applyAlignment="1">
      <alignment vertical="center" shrinkToFit="1"/>
    </xf>
    <xf numFmtId="41" fontId="5" fillId="40" borderId="204" xfId="24" applyFont="1" applyFill="1" applyBorder="1" applyAlignment="1">
      <alignment vertical="center" shrinkToFit="1"/>
    </xf>
    <xf numFmtId="0" fontId="118" fillId="40" borderId="216" xfId="33" applyFont="1" applyFill="1" applyBorder="1" applyAlignment="1">
      <alignment horizontal="left" vertical="center"/>
    </xf>
    <xf numFmtId="41" fontId="118" fillId="40" borderId="0" xfId="24" applyFont="1" applyFill="1" applyBorder="1" applyAlignment="1">
      <alignment vertical="center" shrinkToFit="1"/>
    </xf>
    <xf numFmtId="41" fontId="118" fillId="40" borderId="18" xfId="24" applyFont="1" applyFill="1" applyBorder="1" applyAlignment="1">
      <alignment vertical="center" shrinkToFit="1"/>
    </xf>
    <xf numFmtId="9" fontId="118" fillId="40" borderId="18" xfId="2" applyFont="1" applyFill="1" applyBorder="1" applyAlignment="1">
      <alignment vertical="center" shrinkToFit="1"/>
    </xf>
    <xf numFmtId="9" fontId="118" fillId="40" borderId="13" xfId="2" applyFont="1" applyFill="1" applyBorder="1" applyAlignment="1">
      <alignment vertical="center" shrinkToFit="1"/>
    </xf>
    <xf numFmtId="185" fontId="118" fillId="40" borderId="13" xfId="2" applyNumberFormat="1" applyFont="1" applyFill="1" applyBorder="1" applyAlignment="1">
      <alignment vertical="center" shrinkToFit="1"/>
    </xf>
    <xf numFmtId="41" fontId="141" fillId="0" borderId="0" xfId="24" applyFont="1" applyFill="1" applyBorder="1" applyAlignment="1">
      <alignment vertical="center" shrinkToFit="1"/>
    </xf>
    <xf numFmtId="187" fontId="112" fillId="40" borderId="12" xfId="24" applyNumberFormat="1" applyFont="1" applyFill="1" applyBorder="1" applyAlignment="1">
      <alignment horizontal="right" vertical="center"/>
    </xf>
    <xf numFmtId="185" fontId="118" fillId="40" borderId="0" xfId="24" applyNumberFormat="1" applyFont="1" applyFill="1" applyBorder="1" applyAlignment="1">
      <alignment vertical="center" shrinkToFit="1"/>
    </xf>
    <xf numFmtId="185" fontId="118" fillId="40" borderId="18" xfId="24" applyNumberFormat="1" applyFont="1" applyFill="1" applyBorder="1" applyAlignment="1">
      <alignment vertical="center" shrinkToFit="1"/>
    </xf>
    <xf numFmtId="177" fontId="5" fillId="8" borderId="18" xfId="24" applyNumberFormat="1" applyFont="1" applyFill="1" applyBorder="1" applyAlignment="1">
      <alignment vertical="center" shrinkToFit="1"/>
    </xf>
    <xf numFmtId="177" fontId="5" fillId="8" borderId="13" xfId="24" applyNumberFormat="1" applyFont="1" applyFill="1" applyBorder="1" applyAlignment="1">
      <alignment vertical="center" shrinkToFit="1"/>
    </xf>
    <xf numFmtId="177" fontId="112" fillId="8" borderId="13" xfId="24" applyNumberFormat="1" applyFont="1" applyFill="1" applyBorder="1" applyAlignment="1">
      <alignment vertical="center" shrinkToFit="1"/>
    </xf>
    <xf numFmtId="185" fontId="141" fillId="0" borderId="0" xfId="24" applyNumberFormat="1" applyFont="1" applyFill="1" applyBorder="1" applyAlignment="1">
      <alignment vertical="center" shrinkToFit="1"/>
    </xf>
    <xf numFmtId="177" fontId="112" fillId="40" borderId="12" xfId="24" applyNumberFormat="1" applyFont="1" applyFill="1" applyBorder="1" applyAlignment="1">
      <alignment horizontal="right" vertical="center"/>
    </xf>
    <xf numFmtId="9" fontId="118" fillId="40" borderId="0" xfId="24" applyNumberFormat="1" applyFont="1" applyFill="1" applyBorder="1" applyAlignment="1">
      <alignment vertical="center" shrinkToFit="1"/>
    </xf>
    <xf numFmtId="9" fontId="118" fillId="40" borderId="18" xfId="24" applyNumberFormat="1" applyFont="1" applyFill="1" applyBorder="1" applyAlignment="1">
      <alignment vertical="center" shrinkToFit="1"/>
    </xf>
    <xf numFmtId="9" fontId="141" fillId="0" borderId="0" xfId="24" applyNumberFormat="1" applyFont="1" applyFill="1" applyBorder="1" applyAlignment="1">
      <alignment vertical="center" shrinkToFit="1"/>
    </xf>
    <xf numFmtId="0" fontId="11" fillId="40" borderId="211" xfId="33" applyFont="1" applyFill="1" applyBorder="1" applyAlignment="1">
      <alignment vertical="center"/>
    </xf>
    <xf numFmtId="41" fontId="114" fillId="40" borderId="128" xfId="24" applyFont="1" applyFill="1" applyBorder="1" applyAlignment="1">
      <alignment vertical="center"/>
    </xf>
    <xf numFmtId="9" fontId="112" fillId="40" borderId="23" xfId="24" applyNumberFormat="1" applyFont="1" applyFill="1" applyBorder="1" applyAlignment="1">
      <alignment vertical="center" shrinkToFit="1"/>
    </xf>
    <xf numFmtId="9" fontId="112" fillId="40" borderId="129" xfId="24" applyNumberFormat="1" applyFont="1" applyFill="1" applyBorder="1" applyAlignment="1">
      <alignment vertical="center" shrinkToFit="1"/>
    </xf>
    <xf numFmtId="177" fontId="113" fillId="40" borderId="129" xfId="24" applyNumberFormat="1" applyFont="1" applyFill="1" applyBorder="1" applyAlignment="1">
      <alignment vertical="center" shrinkToFit="1"/>
    </xf>
    <xf numFmtId="9" fontId="142" fillId="0" borderId="0" xfId="24" applyNumberFormat="1" applyFont="1" applyFill="1" applyBorder="1" applyAlignment="1">
      <alignment vertical="center" shrinkToFit="1"/>
    </xf>
    <xf numFmtId="0" fontId="5" fillId="40" borderId="211" xfId="33" applyFont="1" applyFill="1" applyBorder="1" applyAlignment="1">
      <alignment horizontal="left" vertical="center" indent="1"/>
    </xf>
    <xf numFmtId="41" fontId="118" fillId="40" borderId="128" xfId="24" applyFont="1" applyFill="1" applyBorder="1" applyAlignment="1">
      <alignment vertical="center"/>
    </xf>
    <xf numFmtId="177" fontId="112" fillId="40" borderId="139" xfId="24" applyNumberFormat="1" applyFont="1" applyFill="1" applyBorder="1" applyAlignment="1">
      <alignment vertical="center" shrinkToFit="1"/>
    </xf>
    <xf numFmtId="0" fontId="5" fillId="40" borderId="219" xfId="33" applyFont="1" applyFill="1" applyBorder="1" applyAlignment="1">
      <alignment horizontal="left" vertical="center" indent="1"/>
    </xf>
    <xf numFmtId="41" fontId="118" fillId="40" borderId="135" xfId="24" applyFont="1" applyFill="1" applyBorder="1" applyAlignment="1">
      <alignment vertical="center"/>
    </xf>
    <xf numFmtId="9" fontId="112" fillId="40" borderId="123" xfId="24" applyNumberFormat="1" applyFont="1" applyFill="1" applyBorder="1" applyAlignment="1">
      <alignment vertical="center" shrinkToFit="1"/>
    </xf>
    <xf numFmtId="9" fontId="112" fillId="40" borderId="136" xfId="24" applyNumberFormat="1" applyFont="1" applyFill="1" applyBorder="1" applyAlignment="1">
      <alignment vertical="center" shrinkToFit="1"/>
    </xf>
    <xf numFmtId="177" fontId="112" fillId="8" borderId="134" xfId="24" applyNumberFormat="1" applyFont="1" applyFill="1" applyBorder="1" applyAlignment="1">
      <alignment vertical="center" shrinkToFit="1"/>
    </xf>
    <xf numFmtId="177" fontId="112" fillId="40" borderId="134" xfId="24" applyNumberFormat="1" applyFont="1" applyFill="1" applyBorder="1" applyAlignment="1">
      <alignment vertical="center" shrinkToFit="1"/>
    </xf>
    <xf numFmtId="9" fontId="5" fillId="40" borderId="123" xfId="24" applyNumberFormat="1" applyFont="1" applyFill="1" applyBorder="1" applyAlignment="1">
      <alignment vertical="center" shrinkToFit="1"/>
    </xf>
    <xf numFmtId="9" fontId="5" fillId="40" borderId="136" xfId="24" applyNumberFormat="1" applyFont="1" applyFill="1" applyBorder="1" applyAlignment="1">
      <alignment vertical="center" shrinkToFit="1"/>
    </xf>
    <xf numFmtId="177" fontId="11" fillId="40" borderId="134" xfId="24" applyNumberFormat="1" applyFont="1" applyFill="1" applyBorder="1" applyAlignment="1">
      <alignment vertical="center" shrinkToFit="1"/>
    </xf>
    <xf numFmtId="10" fontId="114" fillId="40" borderId="128" xfId="35" applyNumberFormat="1" applyFont="1" applyFill="1" applyBorder="1" applyAlignment="1">
      <alignment horizontal="left" vertical="center"/>
    </xf>
    <xf numFmtId="9" fontId="5" fillId="40" borderId="23" xfId="24" applyNumberFormat="1" applyFont="1" applyFill="1" applyBorder="1" applyAlignment="1">
      <alignment vertical="center" shrinkToFit="1"/>
    </xf>
    <xf numFmtId="9" fontId="5" fillId="40" borderId="129" xfId="24" applyNumberFormat="1" applyFont="1" applyFill="1" applyBorder="1" applyAlignment="1">
      <alignment vertical="center" shrinkToFit="1"/>
    </xf>
    <xf numFmtId="177" fontId="112" fillId="8" borderId="129" xfId="24" applyNumberFormat="1" applyFont="1" applyFill="1" applyBorder="1" applyAlignment="1">
      <alignment vertical="center" shrinkToFit="1"/>
    </xf>
    <xf numFmtId="177" fontId="112" fillId="8" borderId="139" xfId="24" applyNumberFormat="1" applyFont="1" applyFill="1" applyBorder="1" applyAlignment="1">
      <alignment vertical="center" shrinkToFit="1"/>
    </xf>
    <xf numFmtId="10" fontId="5" fillId="40" borderId="12" xfId="35" applyNumberFormat="1" applyFont="1" applyFill="1" applyBorder="1" applyAlignment="1">
      <alignment horizontal="left" vertical="center"/>
    </xf>
    <xf numFmtId="177" fontId="130" fillId="0" borderId="0" xfId="35" applyNumberFormat="1" applyFont="1" applyFill="1" applyBorder="1" applyAlignment="1">
      <alignment horizontal="right" vertical="center"/>
    </xf>
    <xf numFmtId="187" fontId="5" fillId="40" borderId="12" xfId="24" applyNumberFormat="1" applyFont="1" applyFill="1" applyBorder="1" applyAlignment="1">
      <alignment horizontal="left" vertical="center"/>
    </xf>
    <xf numFmtId="177" fontId="118" fillId="40" borderId="18" xfId="24" applyNumberFormat="1" applyFont="1" applyFill="1" applyBorder="1" applyAlignment="1">
      <alignment vertical="center" shrinkToFit="1"/>
    </xf>
    <xf numFmtId="177" fontId="59" fillId="0" borderId="0" xfId="35" applyNumberFormat="1" applyFont="1" applyFill="1" applyBorder="1" applyAlignment="1">
      <alignment horizontal="right" vertical="center"/>
    </xf>
    <xf numFmtId="9" fontId="5" fillId="40" borderId="0" xfId="2" applyFont="1" applyFill="1" applyBorder="1" applyAlignment="1">
      <alignment vertical="center" shrinkToFit="1"/>
    </xf>
    <xf numFmtId="9" fontId="5" fillId="40" borderId="18" xfId="2" applyFont="1" applyFill="1" applyBorder="1" applyAlignment="1">
      <alignment vertical="center" shrinkToFit="1"/>
    </xf>
    <xf numFmtId="9" fontId="138" fillId="0" borderId="0" xfId="2" applyFont="1" applyFill="1" applyBorder="1" applyAlignment="1">
      <alignment vertical="center" shrinkToFit="1"/>
    </xf>
    <xf numFmtId="41" fontId="5" fillId="40" borderId="125" xfId="24" applyFont="1" applyFill="1" applyBorder="1" applyAlignment="1">
      <alignment horizontal="left" vertical="center"/>
    </xf>
    <xf numFmtId="9" fontId="112" fillId="40" borderId="126" xfId="24" applyNumberFormat="1" applyFont="1" applyFill="1" applyBorder="1" applyAlignment="1">
      <alignment vertical="center" shrinkToFit="1"/>
    </xf>
    <xf numFmtId="9" fontId="112" fillId="40" borderId="204" xfId="24" applyNumberFormat="1" applyFont="1" applyFill="1" applyBorder="1" applyAlignment="1">
      <alignment vertical="center" shrinkToFit="1"/>
    </xf>
    <xf numFmtId="177" fontId="114" fillId="40" borderId="122" xfId="24" applyNumberFormat="1" applyFont="1" applyFill="1" applyBorder="1" applyAlignment="1">
      <alignment vertical="center" shrinkToFit="1"/>
    </xf>
    <xf numFmtId="177" fontId="116" fillId="40" borderId="122" xfId="24" applyNumberFormat="1" applyFont="1" applyFill="1" applyBorder="1" applyAlignment="1">
      <alignment vertical="center" shrinkToFit="1"/>
    </xf>
    <xf numFmtId="41" fontId="5" fillId="40" borderId="128" xfId="24" applyFont="1" applyFill="1" applyBorder="1" applyAlignment="1">
      <alignment horizontal="left" vertical="center"/>
    </xf>
    <xf numFmtId="177" fontId="112" fillId="40" borderId="129" xfId="24" applyNumberFormat="1" applyFont="1" applyFill="1" applyBorder="1" applyAlignment="1">
      <alignment vertical="center" shrinkToFit="1"/>
    </xf>
    <xf numFmtId="41" fontId="5" fillId="40" borderId="0" xfId="24" applyFont="1" applyFill="1" applyBorder="1" applyAlignment="1">
      <alignment vertical="center" shrinkToFit="1"/>
    </xf>
    <xf numFmtId="41" fontId="5" fillId="40" borderId="18" xfId="24" applyFont="1" applyFill="1" applyBorder="1" applyAlignment="1">
      <alignment vertical="center" shrinkToFit="1"/>
    </xf>
    <xf numFmtId="41" fontId="5" fillId="40" borderId="135" xfId="24" applyFont="1" applyFill="1" applyBorder="1" applyAlignment="1">
      <alignment horizontal="left" vertical="center"/>
    </xf>
    <xf numFmtId="41" fontId="5" fillId="40" borderId="123" xfId="24" applyFont="1" applyFill="1" applyBorder="1" applyAlignment="1">
      <alignment vertical="center" shrinkToFit="1"/>
    </xf>
    <xf numFmtId="41" fontId="5" fillId="40" borderId="136" xfId="24" applyFont="1" applyFill="1" applyBorder="1" applyAlignment="1">
      <alignment vertical="center" shrinkToFit="1"/>
    </xf>
    <xf numFmtId="177" fontId="112" fillId="40" borderId="136" xfId="24" applyNumberFormat="1" applyFont="1" applyFill="1" applyBorder="1" applyAlignment="1">
      <alignment vertical="center" shrinkToFit="1"/>
    </xf>
    <xf numFmtId="0" fontId="5" fillId="40" borderId="218" xfId="33" applyFont="1" applyFill="1" applyBorder="1" applyAlignment="1">
      <alignment horizontal="left" vertical="center" indent="1"/>
    </xf>
    <xf numFmtId="41" fontId="5" fillId="40" borderId="126" xfId="24" applyFont="1" applyFill="1" applyBorder="1" applyAlignment="1">
      <alignment vertical="center" shrinkToFit="1"/>
    </xf>
    <xf numFmtId="177" fontId="5" fillId="40" borderId="204" xfId="24" applyNumberFormat="1" applyFont="1" applyFill="1" applyBorder="1" applyAlignment="1">
      <alignment vertical="center" shrinkToFit="1"/>
    </xf>
    <xf numFmtId="177" fontId="5" fillId="40" borderId="122" xfId="24" applyNumberFormat="1" applyFont="1" applyFill="1" applyBorder="1" applyAlignment="1">
      <alignment vertical="center" shrinkToFit="1"/>
    </xf>
    <xf numFmtId="177" fontId="5" fillId="40" borderId="122" xfId="24" applyNumberFormat="1" applyFont="1" applyFill="1" applyBorder="1" applyAlignment="1">
      <alignment horizontal="center" vertical="center" shrinkToFit="1"/>
    </xf>
    <xf numFmtId="41" fontId="112" fillId="0" borderId="0" xfId="24" applyFont="1" applyFill="1" applyBorder="1" applyAlignment="1">
      <alignment vertical="center" shrinkToFit="1"/>
    </xf>
    <xf numFmtId="177" fontId="112" fillId="0" borderId="0" xfId="24" applyNumberFormat="1" applyFont="1" applyFill="1" applyBorder="1" applyAlignment="1">
      <alignment vertical="center" shrinkToFit="1"/>
    </xf>
    <xf numFmtId="9" fontId="112" fillId="0" borderId="0" xfId="24" applyNumberFormat="1" applyFont="1" applyFill="1" applyBorder="1" applyAlignment="1">
      <alignment vertical="center" shrinkToFit="1"/>
    </xf>
    <xf numFmtId="187" fontId="112" fillId="0" borderId="0" xfId="24" applyNumberFormat="1" applyFont="1" applyFill="1" applyBorder="1" applyAlignment="1">
      <alignment vertical="center" shrinkToFit="1"/>
    </xf>
    <xf numFmtId="214" fontId="112" fillId="0" borderId="0" xfId="24" applyNumberFormat="1" applyFont="1" applyFill="1" applyBorder="1" applyAlignment="1">
      <alignment vertical="center" shrinkToFit="1"/>
    </xf>
    <xf numFmtId="0" fontId="113" fillId="0" borderId="128" xfId="33" applyFont="1" applyBorder="1" applyAlignment="1">
      <alignment horizontal="left" vertical="center"/>
    </xf>
    <xf numFmtId="0" fontId="112" fillId="0" borderId="23" xfId="33" applyFont="1" applyBorder="1" applyAlignment="1">
      <alignment horizontal="left" vertical="center"/>
    </xf>
    <xf numFmtId="0" fontId="112" fillId="0" borderId="23" xfId="33" applyFont="1" applyBorder="1" applyAlignment="1">
      <alignment horizontal="left" vertical="center" shrinkToFit="1"/>
    </xf>
    <xf numFmtId="231" fontId="143" fillId="0" borderId="23" xfId="34" applyNumberFormat="1" applyFont="1" applyFill="1" applyBorder="1" applyAlignment="1">
      <alignment horizontal="center" vertical="center" shrinkToFit="1"/>
    </xf>
    <xf numFmtId="41" fontId="143" fillId="0" borderId="23" xfId="1" applyFont="1" applyFill="1" applyBorder="1" applyAlignment="1">
      <alignment horizontal="center" vertical="center" shrinkToFit="1"/>
    </xf>
    <xf numFmtId="177" fontId="112" fillId="0" borderId="0" xfId="24" applyNumberFormat="1" applyFont="1" applyFill="1" applyBorder="1" applyAlignment="1">
      <alignment horizontal="right" vertical="center" shrinkToFit="1"/>
    </xf>
    <xf numFmtId="231" fontId="112" fillId="0" borderId="12" xfId="33" applyNumberFormat="1" applyFont="1" applyBorder="1" applyAlignment="1">
      <alignment horizontal="center" vertical="center"/>
    </xf>
    <xf numFmtId="214" fontId="112" fillId="0" borderId="0" xfId="34" applyNumberFormat="1" applyFont="1" applyFill="1" applyBorder="1" applyAlignment="1">
      <alignment horizontal="right" vertical="center" shrinkToFit="1"/>
    </xf>
    <xf numFmtId="0" fontId="112" fillId="0" borderId="12" xfId="33" applyFont="1" applyBorder="1" applyAlignment="1">
      <alignment horizontal="center" vertical="center"/>
    </xf>
    <xf numFmtId="214" fontId="112" fillId="0" borderId="0" xfId="33" applyNumberFormat="1" applyFont="1" applyAlignment="1">
      <alignment horizontal="right" vertical="center" shrinkToFit="1"/>
    </xf>
    <xf numFmtId="0" fontId="5" fillId="0" borderId="12" xfId="0" applyFont="1" applyBorder="1" applyAlignment="1">
      <alignment horizontal="center" vertical="center"/>
    </xf>
    <xf numFmtId="0" fontId="5" fillId="0" borderId="0" xfId="0" applyFont="1">
      <alignment vertical="center"/>
    </xf>
    <xf numFmtId="214" fontId="5" fillId="0" borderId="0" xfId="0" applyNumberFormat="1" applyFont="1" applyAlignment="1">
      <alignment horizontal="right" vertical="center"/>
    </xf>
    <xf numFmtId="0" fontId="5" fillId="0" borderId="135" xfId="0" applyFont="1" applyBorder="1" applyAlignment="1">
      <alignment horizontal="center" vertical="center"/>
    </xf>
    <xf numFmtId="0" fontId="5" fillId="0" borderId="123" xfId="0" applyFont="1" applyBorder="1">
      <alignment vertical="center"/>
    </xf>
    <xf numFmtId="214" fontId="5" fillId="0" borderId="123" xfId="0" applyNumberFormat="1" applyFon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144" fillId="14" borderId="125" xfId="20" applyFont="1" applyFill="1" applyBorder="1">
      <alignment vertical="center"/>
    </xf>
    <xf numFmtId="0" fontId="144" fillId="14" borderId="126" xfId="20" applyFont="1" applyFill="1" applyBorder="1" applyAlignment="1">
      <alignment horizontal="center" vertical="center"/>
    </xf>
    <xf numFmtId="3" fontId="145" fillId="14" borderId="126" xfId="20" applyNumberFormat="1" applyFont="1" applyFill="1" applyBorder="1" applyAlignment="1">
      <alignment horizontal="right" vertical="center"/>
    </xf>
    <xf numFmtId="3" fontId="145" fillId="14" borderId="129" xfId="20" applyNumberFormat="1" applyFont="1" applyFill="1" applyBorder="1" applyAlignment="1">
      <alignment horizontal="right" vertical="center"/>
    </xf>
    <xf numFmtId="3" fontId="144" fillId="14" borderId="139" xfId="20" applyNumberFormat="1" applyFont="1" applyFill="1" applyBorder="1" applyAlignment="1">
      <alignment horizontal="center" vertical="center"/>
    </xf>
    <xf numFmtId="3" fontId="144" fillId="14" borderId="139" xfId="20" applyNumberFormat="1" applyFont="1" applyFill="1" applyBorder="1" applyAlignment="1">
      <alignment horizontal="center" vertical="center" wrapText="1"/>
    </xf>
    <xf numFmtId="3" fontId="144" fillId="14" borderId="23" xfId="20" applyNumberFormat="1" applyFont="1" applyFill="1" applyBorder="1">
      <alignment vertical="center"/>
    </xf>
    <xf numFmtId="3" fontId="144" fillId="14" borderId="128" xfId="20" applyNumberFormat="1" applyFont="1" applyFill="1" applyBorder="1">
      <alignment vertical="center"/>
    </xf>
    <xf numFmtId="3" fontId="144" fillId="14" borderId="129" xfId="20" applyNumberFormat="1" applyFont="1" applyFill="1" applyBorder="1">
      <alignment vertical="center"/>
    </xf>
    <xf numFmtId="3" fontId="144" fillId="14" borderId="18" xfId="20" applyNumberFormat="1" applyFont="1" applyFill="1" applyBorder="1">
      <alignment vertical="center"/>
    </xf>
    <xf numFmtId="3" fontId="144" fillId="14" borderId="0" xfId="20" applyNumberFormat="1" applyFont="1" applyFill="1">
      <alignment vertical="center"/>
    </xf>
    <xf numFmtId="3" fontId="144" fillId="14" borderId="12" xfId="20" applyNumberFormat="1" applyFont="1" applyFill="1" applyBorder="1">
      <alignment vertical="center"/>
    </xf>
    <xf numFmtId="177" fontId="144" fillId="14" borderId="18" xfId="20" applyNumberFormat="1" applyFont="1" applyFill="1" applyBorder="1" applyAlignment="1">
      <alignment horizontal="right" vertical="center"/>
    </xf>
    <xf numFmtId="3" fontId="11" fillId="0" borderId="12" xfId="20" applyNumberFormat="1" applyFont="1" applyBorder="1">
      <alignment vertical="center"/>
    </xf>
    <xf numFmtId="3" fontId="11" fillId="0" borderId="0" xfId="20" applyNumberFormat="1" applyFont="1" applyAlignment="1">
      <alignment horizontal="center" vertical="center"/>
    </xf>
    <xf numFmtId="3" fontId="11" fillId="0" borderId="0" xfId="20" applyNumberFormat="1" applyFont="1">
      <alignment vertical="center"/>
    </xf>
    <xf numFmtId="3" fontId="11" fillId="0" borderId="18" xfId="20" applyNumberFormat="1" applyFont="1" applyBorder="1">
      <alignment vertical="center"/>
    </xf>
    <xf numFmtId="3" fontId="11" fillId="0" borderId="139" xfId="20" applyNumberFormat="1" applyFont="1" applyBorder="1" applyAlignment="1">
      <alignment horizontal="center" vertical="center"/>
    </xf>
    <xf numFmtId="3" fontId="11" fillId="0" borderId="139" xfId="20" applyNumberFormat="1" applyFont="1" applyBorder="1">
      <alignment vertical="center"/>
    </xf>
    <xf numFmtId="0" fontId="11" fillId="0" borderId="23" xfId="20" applyFont="1" applyBorder="1" applyAlignment="1">
      <alignment horizontal="center" vertical="center"/>
    </xf>
    <xf numFmtId="0" fontId="11" fillId="0" borderId="128" xfId="20" applyFont="1" applyBorder="1" applyAlignment="1">
      <alignment horizontal="center" vertical="center"/>
    </xf>
    <xf numFmtId="0" fontId="11" fillId="0" borderId="129" xfId="20" applyFont="1" applyBorder="1" applyAlignment="1">
      <alignment horizontal="center" vertical="center"/>
    </xf>
    <xf numFmtId="177" fontId="11" fillId="0" borderId="129" xfId="20" applyNumberFormat="1" applyFont="1" applyBorder="1" applyAlignment="1">
      <alignment horizontal="right" vertical="center"/>
    </xf>
    <xf numFmtId="0" fontId="11" fillId="0" borderId="12" xfId="20" applyFont="1" applyBorder="1" applyAlignment="1">
      <alignment horizontal="left" vertical="center"/>
    </xf>
    <xf numFmtId="0" fontId="11" fillId="0" borderId="0" xfId="20" applyFont="1" applyAlignment="1">
      <alignment horizontal="center" vertical="center"/>
    </xf>
    <xf numFmtId="0" fontId="5" fillId="0" borderId="0" xfId="20" applyFont="1" applyAlignment="1">
      <alignment horizontal="center" vertical="center"/>
    </xf>
    <xf numFmtId="0" fontId="5" fillId="0" borderId="18" xfId="20" applyFont="1" applyBorder="1" applyAlignment="1">
      <alignment horizontal="center" vertical="center"/>
    </xf>
    <xf numFmtId="0" fontId="5" fillId="0" borderId="13" xfId="20" applyFont="1" applyBorder="1" applyAlignment="1">
      <alignment horizontal="center" vertical="center"/>
    </xf>
    <xf numFmtId="41" fontId="5" fillId="0" borderId="13" xfId="24" applyFont="1" applyBorder="1" applyAlignment="1">
      <alignment horizontal="center" vertical="center"/>
    </xf>
    <xf numFmtId="41" fontId="5" fillId="0" borderId="0" xfId="24" applyFont="1" applyBorder="1" applyAlignment="1">
      <alignment horizontal="center" vertical="center"/>
    </xf>
    <xf numFmtId="41" fontId="5" fillId="0" borderId="12" xfId="24" applyFont="1" applyBorder="1" applyAlignment="1">
      <alignment horizontal="center" vertical="center"/>
    </xf>
    <xf numFmtId="41" fontId="5" fillId="0" borderId="18" xfId="24" applyFont="1" applyBorder="1" applyAlignment="1">
      <alignment horizontal="center" vertical="center"/>
    </xf>
    <xf numFmtId="177" fontId="5" fillId="0" borderId="18" xfId="24" applyNumberFormat="1" applyFont="1" applyBorder="1" applyAlignment="1">
      <alignment horizontal="right" vertical="center"/>
    </xf>
    <xf numFmtId="41" fontId="5" fillId="0" borderId="12" xfId="24" applyFont="1" applyFill="1" applyBorder="1" applyAlignment="1">
      <alignment horizontal="center" vertical="center"/>
    </xf>
    <xf numFmtId="0" fontId="5" fillId="0" borderId="0" xfId="20" applyFont="1">
      <alignment vertical="center"/>
    </xf>
    <xf numFmtId="0" fontId="5" fillId="0" borderId="18" xfId="20" applyFont="1" applyBorder="1">
      <alignment vertical="center"/>
    </xf>
    <xf numFmtId="0" fontId="11" fillId="0" borderId="135" xfId="20" applyFont="1" applyBorder="1" applyAlignment="1">
      <alignment horizontal="center" vertical="center"/>
    </xf>
    <xf numFmtId="0" fontId="11" fillId="0" borderId="123" xfId="20" applyFont="1" applyBorder="1" applyAlignment="1">
      <alignment horizontal="center" vertical="center"/>
    </xf>
    <xf numFmtId="0" fontId="11" fillId="0" borderId="123" xfId="20" applyFont="1" applyBorder="1">
      <alignment vertical="center"/>
    </xf>
    <xf numFmtId="0" fontId="11" fillId="0" borderId="136" xfId="20" applyFont="1" applyBorder="1">
      <alignment vertical="center"/>
    </xf>
    <xf numFmtId="0" fontId="11" fillId="0" borderId="134" xfId="20" applyFont="1" applyBorder="1" applyAlignment="1">
      <alignment horizontal="center" vertical="center"/>
    </xf>
    <xf numFmtId="41" fontId="11" fillId="0" borderId="134" xfId="24" applyFont="1" applyFill="1" applyBorder="1" applyAlignment="1">
      <alignment horizontal="center" vertical="center"/>
    </xf>
    <xf numFmtId="41" fontId="11" fillId="0" borderId="123" xfId="24" applyFont="1" applyFill="1" applyBorder="1" applyAlignment="1">
      <alignment horizontal="center" vertical="center"/>
    </xf>
    <xf numFmtId="41" fontId="11" fillId="0" borderId="135" xfId="24" applyFont="1" applyFill="1" applyBorder="1" applyAlignment="1">
      <alignment horizontal="center" vertical="center"/>
    </xf>
    <xf numFmtId="41" fontId="11" fillId="0" borderId="136" xfId="24" applyFont="1" applyFill="1" applyBorder="1" applyAlignment="1">
      <alignment horizontal="center" vertical="center"/>
    </xf>
    <xf numFmtId="177" fontId="11" fillId="0" borderId="136" xfId="24" applyNumberFormat="1" applyFont="1" applyFill="1" applyBorder="1" applyAlignment="1">
      <alignment horizontal="right" vertical="center"/>
    </xf>
    <xf numFmtId="0" fontId="11" fillId="0" borderId="126" xfId="20" applyFont="1" applyBorder="1" applyAlignment="1">
      <alignment horizontal="center" vertical="center"/>
    </xf>
    <xf numFmtId="0" fontId="11" fillId="0" borderId="23" xfId="20" applyFont="1" applyBorder="1">
      <alignment vertical="center"/>
    </xf>
    <xf numFmtId="41" fontId="11" fillId="0" borderId="126" xfId="24" applyFont="1" applyFill="1" applyBorder="1" applyAlignment="1">
      <alignment horizontal="center" vertical="center"/>
    </xf>
    <xf numFmtId="41" fontId="11" fillId="0" borderId="23" xfId="24" applyFont="1" applyFill="1" applyBorder="1" applyAlignment="1">
      <alignment horizontal="center" vertical="center"/>
    </xf>
    <xf numFmtId="177" fontId="11" fillId="0" borderId="23" xfId="20" applyNumberFormat="1" applyFont="1" applyBorder="1" applyAlignment="1">
      <alignment horizontal="right" vertical="center"/>
    </xf>
    <xf numFmtId="0" fontId="144" fillId="14" borderId="125" xfId="36" applyFont="1" applyFill="1" applyBorder="1" applyAlignment="1">
      <alignment horizontal="left" vertical="center"/>
    </xf>
    <xf numFmtId="0" fontId="145" fillId="14" borderId="126" xfId="36" applyFont="1" applyFill="1" applyBorder="1" applyAlignment="1">
      <alignment horizontal="right" vertical="center"/>
    </xf>
    <xf numFmtId="0" fontId="144" fillId="14" borderId="126" xfId="36" applyFont="1" applyFill="1" applyBorder="1">
      <alignment vertical="center"/>
    </xf>
    <xf numFmtId="0" fontId="144" fillId="14" borderId="204" xfId="36" applyFont="1" applyFill="1" applyBorder="1">
      <alignment vertical="center"/>
    </xf>
    <xf numFmtId="41" fontId="144" fillId="14" borderId="122" xfId="37" applyFont="1" applyFill="1" applyBorder="1">
      <alignment vertical="center"/>
    </xf>
    <xf numFmtId="41" fontId="144" fillId="14" borderId="126" xfId="37" applyFont="1" applyFill="1" applyBorder="1">
      <alignment vertical="center"/>
    </xf>
    <xf numFmtId="0" fontId="144" fillId="14" borderId="0" xfId="36" applyFont="1" applyFill="1">
      <alignment vertical="center"/>
    </xf>
    <xf numFmtId="177" fontId="144" fillId="14" borderId="0" xfId="36" applyNumberFormat="1" applyFont="1" applyFill="1" applyAlignment="1">
      <alignment horizontal="right" vertical="center"/>
    </xf>
    <xf numFmtId="0" fontId="113" fillId="0" borderId="12" xfId="36" applyFont="1" applyBorder="1" applyAlignment="1">
      <alignment horizontal="left" vertical="center"/>
    </xf>
    <xf numFmtId="0" fontId="112" fillId="0" borderId="0" xfId="36" applyFont="1" applyAlignment="1">
      <alignment horizontal="center" vertical="center"/>
    </xf>
    <xf numFmtId="9" fontId="112" fillId="0" borderId="0" xfId="36" applyNumberFormat="1" applyFont="1">
      <alignment vertical="center"/>
    </xf>
    <xf numFmtId="231" fontId="112" fillId="0" borderId="13" xfId="36" applyNumberFormat="1" applyFont="1" applyBorder="1">
      <alignment vertical="center"/>
    </xf>
    <xf numFmtId="231" fontId="112" fillId="0" borderId="12" xfId="36" applyNumberFormat="1" applyFont="1" applyBorder="1">
      <alignment vertical="center"/>
    </xf>
    <xf numFmtId="231" fontId="112" fillId="8" borderId="13" xfId="36" applyNumberFormat="1" applyFont="1" applyFill="1" applyBorder="1">
      <alignment vertical="center"/>
    </xf>
    <xf numFmtId="0" fontId="112" fillId="0" borderId="0" xfId="36" applyFont="1">
      <alignment vertical="center"/>
    </xf>
    <xf numFmtId="177" fontId="112" fillId="0" borderId="0" xfId="36" applyNumberFormat="1" applyFont="1" applyAlignment="1">
      <alignment horizontal="right" vertical="center"/>
    </xf>
    <xf numFmtId="41" fontId="112" fillId="0" borderId="12" xfId="1" applyFont="1" applyFill="1" applyBorder="1">
      <alignment vertical="center"/>
    </xf>
    <xf numFmtId="41" fontId="112" fillId="0" borderId="13" xfId="1" applyFont="1" applyFill="1" applyBorder="1">
      <alignment vertical="center"/>
    </xf>
    <xf numFmtId="0" fontId="112" fillId="0" borderId="13" xfId="36" applyFont="1" applyBorder="1">
      <alignment vertical="center"/>
    </xf>
    <xf numFmtId="0" fontId="112" fillId="0" borderId="12" xfId="36" applyFont="1" applyBorder="1" applyAlignment="1">
      <alignment horizontal="left" vertical="center" indent="1"/>
    </xf>
    <xf numFmtId="41" fontId="112" fillId="0" borderId="18" xfId="1" applyFont="1" applyFill="1" applyBorder="1">
      <alignment vertical="center"/>
    </xf>
    <xf numFmtId="43" fontId="112" fillId="0" borderId="13" xfId="1" applyNumberFormat="1" applyFont="1" applyFill="1" applyBorder="1">
      <alignment vertical="center"/>
    </xf>
    <xf numFmtId="0" fontId="113" fillId="0" borderId="135" xfId="36" applyFont="1" applyBorder="1">
      <alignment vertical="center"/>
    </xf>
    <xf numFmtId="0" fontId="113" fillId="0" borderId="123" xfId="36" applyFont="1" applyBorder="1" applyAlignment="1">
      <alignment horizontal="center" vertical="center"/>
    </xf>
    <xf numFmtId="0" fontId="113" fillId="0" borderId="123" xfId="36" applyFont="1" applyBorder="1">
      <alignment vertical="center"/>
    </xf>
    <xf numFmtId="231" fontId="113" fillId="0" borderId="134" xfId="36" applyNumberFormat="1" applyFont="1" applyBorder="1">
      <alignment vertical="center"/>
    </xf>
    <xf numFmtId="0" fontId="113" fillId="0" borderId="134" xfId="36" applyFont="1" applyBorder="1">
      <alignment vertical="center"/>
    </xf>
    <xf numFmtId="0" fontId="112" fillId="0" borderId="134" xfId="36" applyFont="1" applyBorder="1">
      <alignment vertical="center"/>
    </xf>
    <xf numFmtId="0" fontId="113" fillId="0" borderId="0" xfId="36" applyFont="1">
      <alignment vertical="center"/>
    </xf>
    <xf numFmtId="177" fontId="113" fillId="0" borderId="0" xfId="36" applyNumberFormat="1" applyFont="1" applyAlignment="1">
      <alignment horizontal="right" vertical="center"/>
    </xf>
    <xf numFmtId="177" fontId="5" fillId="0" borderId="0" xfId="0" applyNumberFormat="1" applyFont="1" applyAlignment="1">
      <alignment horizontal="right" vertical="center"/>
    </xf>
    <xf numFmtId="0" fontId="144" fillId="5" borderId="23" xfId="38" applyFont="1" applyFill="1" applyBorder="1">
      <alignment vertical="center"/>
    </xf>
    <xf numFmtId="0" fontId="145" fillId="5" borderId="23" xfId="38" applyFont="1" applyFill="1" applyBorder="1">
      <alignment vertical="center"/>
    </xf>
    <xf numFmtId="177" fontId="145" fillId="5" borderId="23" xfId="38" applyNumberFormat="1" applyFont="1" applyFill="1" applyBorder="1" applyAlignment="1">
      <alignment horizontal="right" vertical="center"/>
    </xf>
    <xf numFmtId="10" fontId="113" fillId="0" borderId="23" xfId="38" applyNumberFormat="1" applyFont="1" applyBorder="1">
      <alignment vertical="center"/>
    </xf>
    <xf numFmtId="41" fontId="113" fillId="0" borderId="23" xfId="38" applyNumberFormat="1" applyFont="1" applyBorder="1">
      <alignment vertical="center"/>
    </xf>
    <xf numFmtId="0" fontId="113" fillId="0" borderId="23" xfId="38" applyFont="1" applyBorder="1">
      <alignment vertical="center"/>
    </xf>
    <xf numFmtId="0" fontId="144" fillId="0" borderId="23" xfId="38" applyFont="1" applyBorder="1">
      <alignment vertical="center"/>
    </xf>
    <xf numFmtId="0" fontId="144" fillId="0" borderId="0" xfId="38" applyFont="1">
      <alignment vertical="center"/>
    </xf>
    <xf numFmtId="0" fontId="145" fillId="0" borderId="0" xfId="38" applyFont="1">
      <alignment vertical="center"/>
    </xf>
    <xf numFmtId="177" fontId="145" fillId="0" borderId="0" xfId="38" applyNumberFormat="1" applyFont="1" applyAlignment="1">
      <alignment horizontal="right" vertical="center"/>
    </xf>
    <xf numFmtId="0" fontId="112" fillId="0" borderId="0" xfId="38" applyFont="1">
      <alignment vertical="center"/>
    </xf>
    <xf numFmtId="177" fontId="112" fillId="0" borderId="0" xfId="38" applyNumberFormat="1" applyFont="1" applyAlignment="1">
      <alignment horizontal="right" vertical="center"/>
    </xf>
    <xf numFmtId="0" fontId="113" fillId="3" borderId="226" xfId="38" applyFont="1" applyFill="1" applyBorder="1" applyAlignment="1">
      <alignment horizontal="center" vertical="center"/>
    </xf>
    <xf numFmtId="0" fontId="113" fillId="3" borderId="18" xfId="38" applyFont="1" applyFill="1" applyBorder="1" applyAlignment="1">
      <alignment horizontal="center" vertical="center"/>
    </xf>
    <xf numFmtId="0" fontId="113" fillId="3" borderId="13" xfId="38" applyFont="1" applyFill="1" applyBorder="1" applyAlignment="1">
      <alignment horizontal="center" vertical="center"/>
    </xf>
    <xf numFmtId="0" fontId="113" fillId="3" borderId="139" xfId="38" applyFont="1" applyFill="1" applyBorder="1" applyAlignment="1">
      <alignment horizontal="center" vertical="center"/>
    </xf>
    <xf numFmtId="0" fontId="113" fillId="3" borderId="228" xfId="38" applyFont="1" applyFill="1" applyBorder="1" applyAlignment="1">
      <alignment horizontal="center" vertical="center"/>
    </xf>
    <xf numFmtId="0" fontId="5" fillId="0" borderId="229" xfId="38" applyBorder="1" applyAlignment="1">
      <alignment horizontal="center" vertical="center"/>
    </xf>
    <xf numFmtId="0" fontId="5" fillId="0" borderId="2" xfId="38" applyBorder="1" applyAlignment="1">
      <alignment horizontal="center" vertical="center"/>
    </xf>
    <xf numFmtId="0" fontId="5" fillId="0" borderId="230" xfId="38" applyBorder="1" applyAlignment="1">
      <alignment horizontal="center" vertical="center"/>
    </xf>
    <xf numFmtId="2" fontId="5" fillId="0" borderId="229" xfId="38" applyNumberFormat="1" applyBorder="1" applyAlignment="1">
      <alignment horizontal="center" vertical="center"/>
    </xf>
    <xf numFmtId="41" fontId="5" fillId="0" borderId="229" xfId="39" applyFont="1" applyFill="1" applyBorder="1" applyAlignment="1">
      <alignment horizontal="center" vertical="center"/>
    </xf>
    <xf numFmtId="0" fontId="5" fillId="0" borderId="0" xfId="38">
      <alignment vertical="center"/>
    </xf>
    <xf numFmtId="177" fontId="5" fillId="0" borderId="0" xfId="38" applyNumberFormat="1" applyAlignment="1">
      <alignment horizontal="right" vertical="center"/>
    </xf>
    <xf numFmtId="0" fontId="5" fillId="8" borderId="13" xfId="38" applyFill="1" applyBorder="1" applyAlignment="1">
      <alignment horizontal="center" vertical="center"/>
    </xf>
    <xf numFmtId="0" fontId="5" fillId="8" borderId="0" xfId="38" applyFill="1" applyAlignment="1">
      <alignment horizontal="center" vertical="center"/>
    </xf>
    <xf numFmtId="0" fontId="5" fillId="8" borderId="18" xfId="38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5" fillId="8" borderId="13" xfId="38" applyNumberFormat="1" applyFill="1" applyBorder="1" applyAlignment="1">
      <alignment horizontal="center" vertical="center"/>
    </xf>
    <xf numFmtId="41" fontId="5" fillId="8" borderId="13" xfId="39" applyFont="1" applyFill="1" applyBorder="1" applyAlignment="1">
      <alignment horizontal="center" vertical="center"/>
    </xf>
    <xf numFmtId="0" fontId="5" fillId="8" borderId="0" xfId="38" applyFill="1">
      <alignment vertical="center"/>
    </xf>
    <xf numFmtId="177" fontId="5" fillId="8" borderId="0" xfId="38" applyNumberFormat="1" applyFill="1" applyAlignment="1">
      <alignment horizontal="right" vertical="center"/>
    </xf>
    <xf numFmtId="0" fontId="5" fillId="0" borderId="13" xfId="38" applyBorder="1" applyAlignment="1">
      <alignment horizontal="center" vertical="center"/>
    </xf>
    <xf numFmtId="0" fontId="5" fillId="0" borderId="0" xfId="38" applyAlignment="1">
      <alignment horizontal="center" vertical="center"/>
    </xf>
    <xf numFmtId="0" fontId="5" fillId="0" borderId="18" xfId="38" applyBorder="1" applyAlignment="1">
      <alignment horizontal="center" vertical="center"/>
    </xf>
    <xf numFmtId="2" fontId="5" fillId="0" borderId="13" xfId="38" applyNumberFormat="1" applyBorder="1" applyAlignment="1">
      <alignment horizontal="center" vertical="center"/>
    </xf>
    <xf numFmtId="41" fontId="5" fillId="0" borderId="13" xfId="39" applyFont="1" applyFill="1" applyBorder="1" applyAlignment="1">
      <alignment horizontal="center" vertical="center"/>
    </xf>
    <xf numFmtId="0" fontId="11" fillId="0" borderId="134" xfId="38" applyFont="1" applyBorder="1" applyAlignment="1">
      <alignment horizontal="center" vertical="center"/>
    </xf>
    <xf numFmtId="0" fontId="11" fillId="0" borderId="123" xfId="38" applyFont="1" applyBorder="1" applyAlignment="1">
      <alignment horizontal="center" vertical="center"/>
    </xf>
    <xf numFmtId="0" fontId="11" fillId="0" borderId="136" xfId="38" applyFont="1" applyBorder="1" applyAlignment="1">
      <alignment horizontal="center" vertical="center"/>
    </xf>
    <xf numFmtId="41" fontId="11" fillId="0" borderId="134" xfId="39" applyFont="1" applyFill="1" applyBorder="1" applyAlignment="1">
      <alignment horizontal="center" vertical="center"/>
    </xf>
    <xf numFmtId="0" fontId="11" fillId="0" borderId="0" xfId="38" applyFont="1">
      <alignment vertical="center"/>
    </xf>
    <xf numFmtId="177" fontId="11" fillId="0" borderId="0" xfId="38" applyNumberFormat="1" applyFont="1" applyAlignment="1">
      <alignment horizontal="right" vertical="center"/>
    </xf>
    <xf numFmtId="0" fontId="5" fillId="0" borderId="126" xfId="38" applyBorder="1" applyAlignment="1">
      <alignment horizontal="center" vertical="center"/>
    </xf>
    <xf numFmtId="0" fontId="5" fillId="0" borderId="204" xfId="38" applyBorder="1" applyAlignment="1">
      <alignment horizontal="center" vertical="center"/>
    </xf>
    <xf numFmtId="0" fontId="5" fillId="0" borderId="122" xfId="38" applyBorder="1" applyAlignment="1">
      <alignment horizontal="center" vertical="center"/>
    </xf>
    <xf numFmtId="41" fontId="5" fillId="0" borderId="122" xfId="39" applyFont="1" applyFill="1" applyBorder="1" applyAlignment="1">
      <alignment horizontal="center" vertical="center"/>
    </xf>
    <xf numFmtId="0" fontId="11" fillId="0" borderId="126" xfId="38" applyFont="1" applyBorder="1" applyAlignment="1">
      <alignment horizontal="center" vertical="center"/>
    </xf>
    <xf numFmtId="0" fontId="11" fillId="0" borderId="204" xfId="38" applyFont="1" applyBorder="1" applyAlignment="1">
      <alignment horizontal="center" vertical="center"/>
    </xf>
    <xf numFmtId="0" fontId="11" fillId="0" borderId="122" xfId="38" applyFont="1" applyBorder="1" applyAlignment="1">
      <alignment horizontal="center" vertical="center"/>
    </xf>
    <xf numFmtId="41" fontId="11" fillId="0" borderId="122" xfId="39" applyFont="1" applyFill="1" applyBorder="1" applyAlignment="1">
      <alignment horizontal="center" vertical="center"/>
    </xf>
    <xf numFmtId="0" fontId="11" fillId="0" borderId="128" xfId="38" applyFont="1" applyBorder="1">
      <alignment vertical="center"/>
    </xf>
    <xf numFmtId="0" fontId="11" fillId="0" borderId="23" xfId="38" applyFont="1" applyBorder="1">
      <alignment vertical="center"/>
    </xf>
    <xf numFmtId="9" fontId="11" fillId="0" borderId="23" xfId="38" applyNumberFormat="1" applyFont="1" applyBorder="1" applyAlignment="1">
      <alignment horizontal="center" vertical="center"/>
    </xf>
    <xf numFmtId="0" fontId="118" fillId="0" borderId="23" xfId="38" applyFont="1" applyBorder="1" applyAlignment="1">
      <alignment horizontal="center" vertical="center"/>
    </xf>
    <xf numFmtId="41" fontId="118" fillId="0" borderId="23" xfId="39" applyFont="1" applyFill="1" applyBorder="1" applyAlignment="1">
      <alignment horizontal="center" vertical="center"/>
    </xf>
    <xf numFmtId="41" fontId="5" fillId="0" borderId="23" xfId="1" applyFont="1" applyFill="1" applyBorder="1">
      <alignment vertical="center"/>
    </xf>
    <xf numFmtId="0" fontId="5" fillId="0" borderId="23" xfId="38" applyBorder="1" applyAlignment="1">
      <alignment horizontal="center" vertical="center"/>
    </xf>
    <xf numFmtId="41" fontId="5" fillId="0" borderId="129" xfId="1" applyFont="1" applyFill="1" applyBorder="1">
      <alignment vertical="center"/>
    </xf>
    <xf numFmtId="0" fontId="11" fillId="0" borderId="12" xfId="38" applyFont="1" applyBorder="1" applyAlignment="1">
      <alignment horizontal="center" vertical="center"/>
    </xf>
    <xf numFmtId="0" fontId="5" fillId="0" borderId="0" xfId="38" applyAlignment="1">
      <alignment horizontal="right" vertical="center"/>
    </xf>
    <xf numFmtId="197" fontId="5" fillId="0" borderId="0" xfId="38" applyNumberFormat="1" applyAlignment="1">
      <alignment horizontal="center" vertical="center"/>
    </xf>
    <xf numFmtId="41" fontId="5" fillId="0" borderId="0" xfId="39" applyFont="1" applyFill="1" applyBorder="1" applyAlignment="1">
      <alignment horizontal="center" vertical="center"/>
    </xf>
    <xf numFmtId="41" fontId="5" fillId="0" borderId="0" xfId="1" applyFont="1" applyFill="1" applyBorder="1">
      <alignment vertical="center"/>
    </xf>
    <xf numFmtId="41" fontId="5" fillId="0" borderId="18" xfId="1" applyFont="1" applyFill="1" applyBorder="1">
      <alignment vertical="center"/>
    </xf>
    <xf numFmtId="231" fontId="5" fillId="0" borderId="0" xfId="38" applyNumberFormat="1">
      <alignment vertical="center"/>
    </xf>
    <xf numFmtId="0" fontId="11" fillId="0" borderId="0" xfId="38" applyFont="1" applyAlignment="1">
      <alignment horizontal="center" vertical="center"/>
    </xf>
    <xf numFmtId="41" fontId="11" fillId="0" borderId="0" xfId="39" applyFont="1" applyFill="1" applyBorder="1" applyAlignment="1">
      <alignment horizontal="center" vertical="center"/>
    </xf>
    <xf numFmtId="0" fontId="118" fillId="0" borderId="0" xfId="38" applyFont="1" applyAlignment="1">
      <alignment horizontal="center" vertical="center"/>
    </xf>
    <xf numFmtId="41" fontId="118" fillId="0" borderId="0" xfId="39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41" fontId="5" fillId="0" borderId="18" xfId="39" applyFont="1" applyFill="1" applyBorder="1" applyAlignment="1">
      <alignment horizontal="center" vertical="center"/>
    </xf>
    <xf numFmtId="0" fontId="11" fillId="0" borderId="135" xfId="38" applyFont="1" applyBorder="1" applyAlignment="1">
      <alignment horizontal="center" vertical="center"/>
    </xf>
    <xf numFmtId="0" fontId="5" fillId="0" borderId="123" xfId="38" applyBorder="1" applyAlignment="1">
      <alignment horizontal="center" vertical="center"/>
    </xf>
    <xf numFmtId="41" fontId="5" fillId="0" borderId="123" xfId="39" applyFont="1" applyFill="1" applyBorder="1" applyAlignment="1">
      <alignment horizontal="center" vertical="center"/>
    </xf>
    <xf numFmtId="41" fontId="5" fillId="0" borderId="123" xfId="1" applyFont="1" applyFill="1" applyBorder="1">
      <alignment vertical="center"/>
    </xf>
    <xf numFmtId="41" fontId="5" fillId="0" borderId="123" xfId="1" applyFont="1" applyFill="1" applyBorder="1" applyAlignment="1">
      <alignment horizontal="center" vertical="center"/>
    </xf>
    <xf numFmtId="41" fontId="5" fillId="0" borderId="136" xfId="39" applyFont="1" applyFill="1" applyBorder="1" applyAlignment="1">
      <alignment horizontal="center" vertical="center"/>
    </xf>
    <xf numFmtId="10" fontId="11" fillId="0" borderId="0" xfId="38" applyNumberFormat="1" applyFont="1" applyAlignment="1">
      <alignment horizontal="center" vertical="center"/>
    </xf>
    <xf numFmtId="41" fontId="11" fillId="0" borderId="0" xfId="38" applyNumberFormat="1" applyFont="1" applyAlignment="1">
      <alignment horizontal="center" vertical="center"/>
    </xf>
    <xf numFmtId="0" fontId="5" fillId="0" borderId="23" xfId="38" applyBorder="1">
      <alignment vertical="center"/>
    </xf>
    <xf numFmtId="0" fontId="5" fillId="0" borderId="139" xfId="38" applyBorder="1" applyAlignment="1">
      <alignment horizontal="center" vertical="center"/>
    </xf>
    <xf numFmtId="0" fontId="11" fillId="0" borderId="135" xfId="38" applyFont="1" applyBorder="1">
      <alignment vertical="center"/>
    </xf>
    <xf numFmtId="0" fontId="5" fillId="0" borderId="123" xfId="38" applyBorder="1" applyAlignment="1">
      <alignment horizontal="right" vertical="center"/>
    </xf>
    <xf numFmtId="0" fontId="5" fillId="0" borderId="134" xfId="38" applyBorder="1">
      <alignment vertical="center"/>
    </xf>
    <xf numFmtId="9" fontId="5" fillId="0" borderId="134" xfId="38" applyNumberFormat="1" applyBorder="1" applyAlignment="1">
      <alignment horizontal="center" vertical="center"/>
    </xf>
    <xf numFmtId="0" fontId="5" fillId="0" borderId="12" xfId="38" applyBorder="1">
      <alignment vertical="center"/>
    </xf>
    <xf numFmtId="238" fontId="5" fillId="0" borderId="13" xfId="38" applyNumberFormat="1" applyBorder="1">
      <alignment vertical="center"/>
    </xf>
    <xf numFmtId="238" fontId="5" fillId="0" borderId="13" xfId="1" applyNumberFormat="1" applyFont="1" applyFill="1" applyBorder="1">
      <alignment vertical="center"/>
    </xf>
    <xf numFmtId="238" fontId="112" fillId="0" borderId="13" xfId="0" applyNumberFormat="1" applyFont="1" applyBorder="1">
      <alignment vertical="center"/>
    </xf>
    <xf numFmtId="0" fontId="5" fillId="11" borderId="12" xfId="38" applyFill="1" applyBorder="1">
      <alignment vertical="center"/>
    </xf>
    <xf numFmtId="0" fontId="5" fillId="11" borderId="0" xfId="38" applyFill="1">
      <alignment vertical="center"/>
    </xf>
    <xf numFmtId="238" fontId="112" fillId="11" borderId="13" xfId="0" applyNumberFormat="1" applyFont="1" applyFill="1" applyBorder="1">
      <alignment vertical="center"/>
    </xf>
    <xf numFmtId="238" fontId="5" fillId="11" borderId="13" xfId="1" applyNumberFormat="1" applyFont="1" applyFill="1" applyBorder="1">
      <alignment vertical="center"/>
    </xf>
    <xf numFmtId="0" fontId="5" fillId="0" borderId="135" xfId="38" applyBorder="1">
      <alignment vertical="center"/>
    </xf>
    <xf numFmtId="0" fontId="5" fillId="0" borderId="123" xfId="38" applyBorder="1">
      <alignment vertical="center"/>
    </xf>
    <xf numFmtId="238" fontId="5" fillId="0" borderId="134" xfId="38" applyNumberFormat="1" applyBorder="1">
      <alignment vertical="center"/>
    </xf>
    <xf numFmtId="238" fontId="5" fillId="0" borderId="134" xfId="1" applyNumberFormat="1" applyFont="1" applyFill="1" applyBorder="1">
      <alignment vertical="center"/>
    </xf>
    <xf numFmtId="0" fontId="145" fillId="5" borderId="0" xfId="40" applyFont="1" applyFill="1" applyAlignment="1">
      <alignment horizontal="left" vertical="center"/>
    </xf>
    <xf numFmtId="0" fontId="145" fillId="5" borderId="0" xfId="40" applyFont="1" applyFill="1">
      <alignment vertical="center"/>
    </xf>
    <xf numFmtId="0" fontId="5" fillId="0" borderId="0" xfId="40" applyFont="1">
      <alignment vertical="center"/>
    </xf>
    <xf numFmtId="177" fontId="5" fillId="0" borderId="0" xfId="40" applyNumberFormat="1" applyFont="1" applyAlignment="1">
      <alignment horizontal="right" vertical="center"/>
    </xf>
    <xf numFmtId="0" fontId="5" fillId="0" borderId="0" xfId="40" applyFont="1" applyAlignment="1">
      <alignment horizontal="center" vertical="center"/>
    </xf>
    <xf numFmtId="0" fontId="5" fillId="0" borderId="0" xfId="40" applyFont="1" applyAlignment="1">
      <alignment horizontal="right" vertical="center"/>
    </xf>
    <xf numFmtId="0" fontId="5" fillId="0" borderId="126" xfId="40" applyFont="1" applyBorder="1" applyAlignment="1">
      <alignment horizontal="center" vertical="center" wrapText="1"/>
    </xf>
    <xf numFmtId="41" fontId="5" fillId="0" borderId="231" xfId="39" applyFont="1" applyFill="1" applyBorder="1">
      <alignment vertical="center"/>
    </xf>
    <xf numFmtId="41" fontId="5" fillId="0" borderId="126" xfId="39" applyFont="1" applyFill="1" applyBorder="1">
      <alignment vertical="center"/>
    </xf>
    <xf numFmtId="41" fontId="5" fillId="41" borderId="51" xfId="39" applyFont="1" applyFill="1" applyBorder="1">
      <alignment vertical="center"/>
    </xf>
    <xf numFmtId="41" fontId="5" fillId="41" borderId="195" xfId="39" applyFont="1" applyFill="1" applyBorder="1">
      <alignment vertical="center"/>
    </xf>
    <xf numFmtId="41" fontId="5" fillId="41" borderId="126" xfId="1" applyFont="1" applyFill="1" applyBorder="1" applyAlignment="1">
      <alignment horizontal="center" vertical="center"/>
    </xf>
    <xf numFmtId="41" fontId="114" fillId="41" borderId="231" xfId="1" applyFont="1" applyFill="1" applyBorder="1">
      <alignment vertical="center"/>
    </xf>
    <xf numFmtId="41" fontId="114" fillId="41" borderId="126" xfId="1" applyFont="1" applyFill="1" applyBorder="1">
      <alignment vertical="center"/>
    </xf>
    <xf numFmtId="41" fontId="5" fillId="41" borderId="51" xfId="1" applyFont="1" applyFill="1" applyBorder="1">
      <alignment vertical="center"/>
    </xf>
    <xf numFmtId="43" fontId="5" fillId="41" borderId="51" xfId="1" applyNumberFormat="1" applyFont="1" applyFill="1" applyBorder="1">
      <alignment vertical="center"/>
    </xf>
    <xf numFmtId="41" fontId="5" fillId="41" borderId="0" xfId="1" applyFont="1" applyFill="1" applyBorder="1">
      <alignment vertical="center"/>
    </xf>
    <xf numFmtId="177" fontId="5" fillId="41" borderId="0" xfId="1" applyNumberFormat="1" applyFont="1" applyFill="1" applyBorder="1" applyAlignment="1">
      <alignment horizontal="right" vertical="center"/>
    </xf>
    <xf numFmtId="231" fontId="112" fillId="0" borderId="0" xfId="34" applyNumberFormat="1" applyFont="1" applyFill="1" applyAlignment="1">
      <alignment horizontal="center" vertical="center" shrinkToFit="1"/>
    </xf>
    <xf numFmtId="177" fontId="112" fillId="0" borderId="0" xfId="0" applyNumberFormat="1" applyFont="1" applyAlignment="1">
      <alignment horizontal="right" vertical="center"/>
    </xf>
    <xf numFmtId="0" fontId="83" fillId="0" borderId="0" xfId="0" applyFont="1">
      <alignment vertical="center"/>
    </xf>
    <xf numFmtId="41" fontId="17" fillId="0" borderId="12" xfId="0" applyNumberFormat="1" applyFont="1" applyBorder="1">
      <alignment vertical="center"/>
    </xf>
    <xf numFmtId="0" fontId="28" fillId="0" borderId="0" xfId="41" applyFont="1">
      <alignment vertical="center"/>
    </xf>
    <xf numFmtId="0" fontId="8" fillId="0" borderId="0" xfId="41" applyFont="1">
      <alignment vertical="center"/>
    </xf>
    <xf numFmtId="0" fontId="28" fillId="11" borderId="126" xfId="41" applyFont="1" applyFill="1" applyBorder="1">
      <alignment vertical="center"/>
    </xf>
    <xf numFmtId="0" fontId="28" fillId="11" borderId="126" xfId="0" applyFont="1" applyFill="1" applyBorder="1">
      <alignment vertical="center"/>
    </xf>
    <xf numFmtId="0" fontId="17" fillId="11" borderId="126" xfId="0" applyFont="1" applyFill="1" applyBorder="1">
      <alignment vertical="center"/>
    </xf>
    <xf numFmtId="0" fontId="26" fillId="11" borderId="126" xfId="0" applyFont="1" applyFill="1" applyBorder="1">
      <alignment vertical="center"/>
    </xf>
    <xf numFmtId="10" fontId="28" fillId="11" borderId="126" xfId="41" applyNumberFormat="1" applyFont="1" applyFill="1" applyBorder="1" applyAlignment="1">
      <alignment horizontal="center" vertical="center"/>
    </xf>
    <xf numFmtId="41" fontId="27" fillId="11" borderId="125" xfId="1" applyFont="1" applyFill="1" applyBorder="1" applyAlignment="1">
      <alignment horizontal="center" vertical="center"/>
    </xf>
    <xf numFmtId="213" fontId="28" fillId="11" borderId="126" xfId="1" applyNumberFormat="1" applyFont="1" applyFill="1" applyBorder="1" applyAlignment="1">
      <alignment horizontal="center" vertical="center"/>
    </xf>
    <xf numFmtId="213" fontId="28" fillId="11" borderId="125" xfId="1" applyNumberFormat="1" applyFont="1" applyFill="1" applyBorder="1" applyAlignment="1">
      <alignment horizontal="center" vertical="center"/>
    </xf>
    <xf numFmtId="213" fontId="28" fillId="11" borderId="127" xfId="1" applyNumberFormat="1" applyFont="1" applyFill="1" applyBorder="1" applyAlignment="1">
      <alignment horizontal="center" vertical="center"/>
    </xf>
    <xf numFmtId="0" fontId="149" fillId="0" borderId="0" xfId="41" applyFont="1">
      <alignment vertical="center"/>
    </xf>
    <xf numFmtId="0" fontId="84" fillId="0" borderId="0" xfId="41" applyFont="1">
      <alignment vertical="center"/>
    </xf>
    <xf numFmtId="0" fontId="149" fillId="11" borderId="126" xfId="41" applyFont="1" applyFill="1" applyBorder="1">
      <alignment vertical="center"/>
    </xf>
    <xf numFmtId="0" fontId="149" fillId="11" borderId="126" xfId="0" applyFont="1" applyFill="1" applyBorder="1">
      <alignment vertical="center"/>
    </xf>
    <xf numFmtId="10" fontId="149" fillId="11" borderId="126" xfId="41" applyNumberFormat="1" applyFont="1" applyFill="1" applyBorder="1" applyAlignment="1">
      <alignment horizontal="center" vertical="center"/>
    </xf>
    <xf numFmtId="41" fontId="149" fillId="11" borderId="125" xfId="1" applyFont="1" applyFill="1" applyBorder="1" applyAlignment="1">
      <alignment horizontal="center" vertical="center"/>
    </xf>
    <xf numFmtId="41" fontId="149" fillId="11" borderId="126" xfId="1" applyFont="1" applyFill="1" applyBorder="1" applyAlignment="1">
      <alignment horizontal="center" vertical="center"/>
    </xf>
    <xf numFmtId="179" fontId="149" fillId="11" borderId="126" xfId="1" applyNumberFormat="1" applyFont="1" applyFill="1" applyBorder="1" applyAlignment="1">
      <alignment horizontal="center" vertical="center"/>
    </xf>
    <xf numFmtId="0" fontId="27" fillId="0" borderId="0" xfId="41" applyFont="1" applyAlignment="1">
      <alignment horizontal="center" vertical="center"/>
    </xf>
    <xf numFmtId="0" fontId="96" fillId="0" borderId="0" xfId="41" applyFont="1" applyAlignment="1">
      <alignment horizontal="center" vertical="center"/>
    </xf>
    <xf numFmtId="0" fontId="27" fillId="11" borderId="126" xfId="41" applyFont="1" applyFill="1" applyBorder="1" applyAlignment="1">
      <alignment horizontal="center" vertical="center"/>
    </xf>
    <xf numFmtId="0" fontId="29" fillId="11" borderId="126" xfId="0" applyFont="1" applyFill="1" applyBorder="1" applyAlignment="1">
      <alignment horizontal="center" vertical="center"/>
    </xf>
    <xf numFmtId="0" fontId="150" fillId="11" borderId="126" xfId="0" applyFont="1" applyFill="1" applyBorder="1" applyAlignment="1">
      <alignment horizontal="center" vertical="center"/>
    </xf>
    <xf numFmtId="0" fontId="27" fillId="11" borderId="126" xfId="0" applyFont="1" applyFill="1" applyBorder="1" applyAlignment="1">
      <alignment horizontal="center" vertical="center"/>
    </xf>
    <xf numFmtId="41" fontId="27" fillId="11" borderId="96" xfId="1" applyFont="1" applyFill="1" applyBorder="1" applyAlignment="1">
      <alignment horizontal="center" vertical="center"/>
    </xf>
    <xf numFmtId="239" fontId="27" fillId="11" borderId="126" xfId="1" applyNumberFormat="1" applyFont="1" applyFill="1" applyBorder="1" applyAlignment="1">
      <alignment horizontal="center" vertical="center"/>
    </xf>
    <xf numFmtId="239" fontId="27" fillId="11" borderId="125" xfId="1" applyNumberFormat="1" applyFont="1" applyFill="1" applyBorder="1" applyAlignment="1">
      <alignment horizontal="center" vertical="center"/>
    </xf>
    <xf numFmtId="239" fontId="27" fillId="11" borderId="127" xfId="1" applyNumberFormat="1" applyFont="1" applyFill="1" applyBorder="1" applyAlignment="1">
      <alignment horizontal="center" vertical="center"/>
    </xf>
    <xf numFmtId="0" fontId="27" fillId="0" borderId="0" xfId="41" applyFont="1">
      <alignment vertical="center"/>
    </xf>
    <xf numFmtId="0" fontId="96" fillId="0" borderId="0" xfId="41" applyFont="1">
      <alignment vertical="center"/>
    </xf>
    <xf numFmtId="0" fontId="27" fillId="31" borderId="126" xfId="41" applyFont="1" applyFill="1" applyBorder="1">
      <alignment vertical="center"/>
    </xf>
    <xf numFmtId="0" fontId="29" fillId="31" borderId="126" xfId="0" applyFont="1" applyFill="1" applyBorder="1" applyAlignment="1">
      <alignment horizontal="left" vertical="center" indent="1"/>
    </xf>
    <xf numFmtId="0" fontId="150" fillId="31" borderId="126" xfId="0" applyFont="1" applyFill="1" applyBorder="1">
      <alignment vertical="center"/>
    </xf>
    <xf numFmtId="0" fontId="29" fillId="31" borderId="126" xfId="0" applyFont="1" applyFill="1" applyBorder="1">
      <alignment vertical="center"/>
    </xf>
    <xf numFmtId="0" fontId="27" fillId="31" borderId="126" xfId="0" applyFont="1" applyFill="1" applyBorder="1">
      <alignment vertical="center"/>
    </xf>
    <xf numFmtId="0" fontId="27" fillId="31" borderId="126" xfId="41" applyFont="1" applyFill="1" applyBorder="1" applyAlignment="1">
      <alignment horizontal="center" vertical="center"/>
    </xf>
    <xf numFmtId="41" fontId="27" fillId="31" borderId="96" xfId="1" applyFont="1" applyFill="1" applyBorder="1" applyAlignment="1">
      <alignment horizontal="center" vertical="center"/>
    </xf>
    <xf numFmtId="177" fontId="27" fillId="31" borderId="126" xfId="1" applyNumberFormat="1" applyFont="1" applyFill="1" applyBorder="1" applyAlignment="1">
      <alignment horizontal="right" vertical="center"/>
    </xf>
    <xf numFmtId="177" fontId="27" fillId="31" borderId="125" xfId="1" applyNumberFormat="1" applyFont="1" applyFill="1" applyBorder="1" applyAlignment="1">
      <alignment horizontal="right" vertical="center"/>
    </xf>
    <xf numFmtId="177" fontId="27" fillId="31" borderId="127" xfId="1" applyNumberFormat="1" applyFont="1" applyFill="1" applyBorder="1" applyAlignment="1">
      <alignment horizontal="right" vertical="center"/>
    </xf>
    <xf numFmtId="177" fontId="27" fillId="31" borderId="0" xfId="41" applyNumberFormat="1" applyFont="1" applyFill="1">
      <alignment vertical="center"/>
    </xf>
    <xf numFmtId="0" fontId="27" fillId="31" borderId="0" xfId="41" applyFont="1" applyFill="1">
      <alignment vertical="center"/>
    </xf>
    <xf numFmtId="0" fontId="27" fillId="31" borderId="0" xfId="0" applyFont="1" applyFill="1">
      <alignment vertical="center"/>
    </xf>
    <xf numFmtId="0" fontId="27" fillId="33" borderId="125" xfId="41" applyFont="1" applyFill="1" applyBorder="1">
      <alignment vertical="center"/>
    </xf>
    <xf numFmtId="0" fontId="29" fillId="33" borderId="126" xfId="0" applyFont="1" applyFill="1" applyBorder="1" applyAlignment="1">
      <alignment horizontal="left" vertical="center" indent="1"/>
    </xf>
    <xf numFmtId="0" fontId="150" fillId="33" borderId="126" xfId="0" applyFont="1" applyFill="1" applyBorder="1">
      <alignment vertical="center"/>
    </xf>
    <xf numFmtId="0" fontId="29" fillId="33" borderId="126" xfId="0" applyFont="1" applyFill="1" applyBorder="1">
      <alignment vertical="center"/>
    </xf>
    <xf numFmtId="0" fontId="27" fillId="33" borderId="126" xfId="0" applyFont="1" applyFill="1" applyBorder="1">
      <alignment vertical="center"/>
    </xf>
    <xf numFmtId="0" fontId="27" fillId="33" borderId="126" xfId="0" applyFont="1" applyFill="1" applyBorder="1" applyAlignment="1">
      <alignment horizontal="right" vertical="center"/>
    </xf>
    <xf numFmtId="41" fontId="27" fillId="33" borderId="96" xfId="1" applyFont="1" applyFill="1" applyBorder="1" applyAlignment="1">
      <alignment horizontal="center" vertical="center"/>
    </xf>
    <xf numFmtId="177" fontId="27" fillId="33" borderId="126" xfId="1" applyNumberFormat="1" applyFont="1" applyFill="1" applyBorder="1" applyAlignment="1">
      <alignment horizontal="right" vertical="center"/>
    </xf>
    <xf numFmtId="177" fontId="27" fillId="33" borderId="125" xfId="1" applyNumberFormat="1" applyFont="1" applyFill="1" applyBorder="1" applyAlignment="1">
      <alignment horizontal="right" vertical="center"/>
    </xf>
    <xf numFmtId="187" fontId="27" fillId="33" borderId="126" xfId="1" applyNumberFormat="1" applyFont="1" applyFill="1" applyBorder="1" applyAlignment="1">
      <alignment horizontal="right" vertical="center"/>
    </xf>
    <xf numFmtId="187" fontId="27" fillId="33" borderId="125" xfId="1" applyNumberFormat="1" applyFont="1" applyFill="1" applyBorder="1" applyAlignment="1">
      <alignment horizontal="right" vertical="center"/>
    </xf>
    <xf numFmtId="187" fontId="27" fillId="33" borderId="127" xfId="1" applyNumberFormat="1" applyFont="1" applyFill="1" applyBorder="1" applyAlignment="1">
      <alignment horizontal="right" vertical="center"/>
    </xf>
    <xf numFmtId="0" fontId="27" fillId="33" borderId="0" xfId="41" applyFont="1" applyFill="1">
      <alignment vertical="center"/>
    </xf>
    <xf numFmtId="0" fontId="27" fillId="33" borderId="0" xfId="0" applyFont="1" applyFill="1">
      <alignment vertical="center"/>
    </xf>
    <xf numFmtId="0" fontId="96" fillId="0" borderId="0" xfId="0" applyFont="1">
      <alignment vertical="center"/>
    </xf>
    <xf numFmtId="0" fontId="27" fillId="33" borderId="125" xfId="0" applyFont="1" applyFill="1" applyBorder="1">
      <alignment vertical="center"/>
    </xf>
    <xf numFmtId="0" fontId="27" fillId="33" borderId="126" xfId="41" applyFont="1" applyFill="1" applyBorder="1">
      <alignment vertical="center"/>
    </xf>
    <xf numFmtId="0" fontId="29" fillId="33" borderId="126" xfId="0" applyFont="1" applyFill="1" applyBorder="1" applyAlignment="1">
      <alignment horizontal="right" vertical="center"/>
    </xf>
    <xf numFmtId="41" fontId="29" fillId="33" borderId="96" xfId="1" applyFont="1" applyFill="1" applyBorder="1" applyAlignment="1">
      <alignment horizontal="center" vertical="center"/>
    </xf>
    <xf numFmtId="177" fontId="29" fillId="33" borderId="126" xfId="0" applyNumberFormat="1" applyFont="1" applyFill="1" applyBorder="1">
      <alignment vertical="center"/>
    </xf>
    <xf numFmtId="177" fontId="29" fillId="33" borderId="125" xfId="0" applyNumberFormat="1" applyFont="1" applyFill="1" applyBorder="1">
      <alignment vertical="center"/>
    </xf>
    <xf numFmtId="187" fontId="29" fillId="33" borderId="126" xfId="0" applyNumberFormat="1" applyFont="1" applyFill="1" applyBorder="1">
      <alignment vertical="center"/>
    </xf>
    <xf numFmtId="187" fontId="29" fillId="33" borderId="125" xfId="0" applyNumberFormat="1" applyFont="1" applyFill="1" applyBorder="1">
      <alignment vertical="center"/>
    </xf>
    <xf numFmtId="187" fontId="29" fillId="33" borderId="127" xfId="0" applyNumberFormat="1" applyFont="1" applyFill="1" applyBorder="1">
      <alignment vertical="center"/>
    </xf>
    <xf numFmtId="0" fontId="29" fillId="33" borderId="0" xfId="0" applyFont="1" applyFill="1">
      <alignment vertical="center"/>
    </xf>
    <xf numFmtId="0" fontId="8" fillId="0" borderId="0" xfId="0" applyFont="1">
      <alignment vertical="center"/>
    </xf>
    <xf numFmtId="0" fontId="27" fillId="0" borderId="12" xfId="41" applyFont="1" applyBorder="1" applyAlignment="1">
      <alignment horizontal="left" vertical="center" indent="1"/>
    </xf>
    <xf numFmtId="0" fontId="28" fillId="0" borderId="0" xfId="41" applyFont="1" applyAlignment="1">
      <alignment horizontal="left" vertical="center" indent="1"/>
    </xf>
    <xf numFmtId="0" fontId="28" fillId="0" borderId="0" xfId="41" applyFont="1" applyAlignment="1">
      <alignment horizontal="center" vertical="center"/>
    </xf>
    <xf numFmtId="41" fontId="149" fillId="0" borderId="0" xfId="1" applyFont="1" applyFill="1" applyBorder="1" applyAlignment="1">
      <alignment horizontal="center" vertical="center"/>
    </xf>
    <xf numFmtId="41" fontId="29" fillId="0" borderId="132" xfId="1" applyFont="1" applyFill="1" applyBorder="1" applyAlignment="1">
      <alignment horizontal="center" vertical="center"/>
    </xf>
    <xf numFmtId="177" fontId="17" fillId="0" borderId="0" xfId="0" applyNumberFormat="1" applyFont="1">
      <alignment vertical="center"/>
    </xf>
    <xf numFmtId="177" fontId="28" fillId="0" borderId="12" xfId="1" applyNumberFormat="1" applyFont="1" applyFill="1" applyBorder="1" applyAlignment="1">
      <alignment horizontal="right" vertical="center"/>
    </xf>
    <xf numFmtId="187" fontId="28" fillId="0" borderId="0" xfId="1" applyNumberFormat="1" applyFont="1" applyFill="1" applyBorder="1" applyAlignment="1">
      <alignment horizontal="right" vertical="center"/>
    </xf>
    <xf numFmtId="187" fontId="28" fillId="0" borderId="12" xfId="1" applyNumberFormat="1" applyFont="1" applyFill="1" applyBorder="1" applyAlignment="1">
      <alignment horizontal="right" vertical="center"/>
    </xf>
    <xf numFmtId="187" fontId="28" fillId="0" borderId="18" xfId="1" applyNumberFormat="1" applyFont="1" applyFill="1" applyBorder="1" applyAlignment="1">
      <alignment horizontal="right" vertical="center"/>
    </xf>
    <xf numFmtId="41" fontId="28" fillId="0" borderId="12" xfId="0" applyNumberFormat="1" applyFont="1" applyBorder="1">
      <alignment vertical="center"/>
    </xf>
    <xf numFmtId="0" fontId="28" fillId="0" borderId="0" xfId="41" applyFont="1" applyAlignment="1">
      <alignment horizontal="left" vertical="center"/>
    </xf>
    <xf numFmtId="41" fontId="28" fillId="0" borderId="133" xfId="1" applyFont="1" applyFill="1" applyBorder="1" applyAlignment="1">
      <alignment horizontal="right" vertical="center"/>
    </xf>
    <xf numFmtId="221" fontId="28" fillId="0" borderId="0" xfId="1" applyNumberFormat="1" applyFont="1" applyFill="1" applyBorder="1" applyAlignment="1">
      <alignment horizontal="right" vertical="center"/>
    </xf>
    <xf numFmtId="221" fontId="17" fillId="0" borderId="0" xfId="0" applyNumberFormat="1" applyFont="1">
      <alignment vertical="center"/>
    </xf>
    <xf numFmtId="221" fontId="28" fillId="0" borderId="12" xfId="1" applyNumberFormat="1" applyFont="1" applyFill="1" applyBorder="1" applyAlignment="1">
      <alignment horizontal="right" vertical="center"/>
    </xf>
    <xf numFmtId="221" fontId="28" fillId="0" borderId="18" xfId="1" applyNumberFormat="1" applyFont="1" applyFill="1" applyBorder="1" applyAlignment="1">
      <alignment horizontal="right" vertical="center"/>
    </xf>
    <xf numFmtId="187" fontId="17" fillId="0" borderId="12" xfId="0" applyNumberFormat="1" applyFont="1" applyBorder="1">
      <alignment vertical="center"/>
    </xf>
    <xf numFmtId="0" fontId="51" fillId="0" borderId="12" xfId="0" applyFont="1" applyBorder="1" applyAlignment="1">
      <alignment horizontal="center" vertical="center"/>
    </xf>
    <xf numFmtId="41" fontId="149" fillId="0" borderId="0" xfId="1" applyFont="1" applyFill="1" applyBorder="1" applyAlignment="1">
      <alignment vertical="center"/>
    </xf>
    <xf numFmtId="177" fontId="28" fillId="0" borderId="18" xfId="1" applyNumberFormat="1" applyFont="1" applyFill="1" applyBorder="1" applyAlignment="1">
      <alignment horizontal="right" vertical="center"/>
    </xf>
    <xf numFmtId="41" fontId="28" fillId="0" borderId="18" xfId="1" applyFont="1" applyFill="1" applyBorder="1" applyAlignment="1">
      <alignment horizontal="right" vertical="center"/>
    </xf>
    <xf numFmtId="0" fontId="27" fillId="0" borderId="128" xfId="41" applyFont="1" applyBorder="1" applyAlignment="1">
      <alignment horizontal="left" vertical="center" indent="1"/>
    </xf>
    <xf numFmtId="0" fontId="28" fillId="0" borderId="23" xfId="41" applyFont="1" applyBorder="1">
      <alignment vertical="center"/>
    </xf>
    <xf numFmtId="0" fontId="28" fillId="0" borderId="23" xfId="41" applyFont="1" applyBorder="1" applyAlignment="1">
      <alignment horizontal="center" vertical="center"/>
    </xf>
    <xf numFmtId="10" fontId="88" fillId="0" borderId="23" xfId="1" applyNumberFormat="1" applyFont="1" applyFill="1" applyBorder="1" applyAlignment="1">
      <alignment horizontal="center" vertical="center"/>
    </xf>
    <xf numFmtId="177" fontId="28" fillId="0" borderId="23" xfId="1" applyNumberFormat="1" applyFont="1" applyFill="1" applyBorder="1" applyAlignment="1">
      <alignment horizontal="right" vertical="center"/>
    </xf>
    <xf numFmtId="177" fontId="28" fillId="0" borderId="128" xfId="1" applyNumberFormat="1" applyFont="1" applyFill="1" applyBorder="1" applyAlignment="1">
      <alignment horizontal="right" vertical="center"/>
    </xf>
    <xf numFmtId="187" fontId="28" fillId="0" borderId="23" xfId="1" applyNumberFormat="1" applyFont="1" applyFill="1" applyBorder="1" applyAlignment="1">
      <alignment horizontal="right" vertical="center"/>
    </xf>
    <xf numFmtId="187" fontId="28" fillId="0" borderId="128" xfId="1" applyNumberFormat="1" applyFont="1" applyFill="1" applyBorder="1" applyAlignment="1">
      <alignment horizontal="right" vertical="center"/>
    </xf>
    <xf numFmtId="187" fontId="17" fillId="0" borderId="23" xfId="1" applyNumberFormat="1" applyFont="1" applyFill="1" applyBorder="1">
      <alignment vertical="center"/>
    </xf>
    <xf numFmtId="187" fontId="28" fillId="0" borderId="129" xfId="1" applyNumberFormat="1" applyFont="1" applyFill="1" applyBorder="1" applyAlignment="1">
      <alignment horizontal="right" vertical="center"/>
    </xf>
    <xf numFmtId="41" fontId="88" fillId="0" borderId="0" xfId="1" applyFont="1" applyFill="1" applyBorder="1" applyAlignment="1">
      <alignment horizontal="center" vertical="center"/>
    </xf>
    <xf numFmtId="41" fontId="29" fillId="0" borderId="133" xfId="1" applyFont="1" applyFill="1" applyBorder="1" applyAlignment="1">
      <alignment horizontal="center" vertical="center"/>
    </xf>
    <xf numFmtId="187" fontId="17" fillId="0" borderId="0" xfId="1" applyNumberFormat="1" applyFont="1" applyFill="1" applyBorder="1">
      <alignment vertical="center"/>
    </xf>
    <xf numFmtId="221" fontId="28" fillId="0" borderId="0" xfId="0" applyNumberFormat="1" applyFont="1">
      <alignment vertical="center"/>
    </xf>
    <xf numFmtId="41" fontId="28" fillId="0" borderId="12" xfId="1" applyFont="1" applyFill="1" applyBorder="1" applyAlignment="1">
      <alignment horizontal="right" vertical="center"/>
    </xf>
    <xf numFmtId="41" fontId="17" fillId="0" borderId="0" xfId="1" applyFont="1" applyFill="1">
      <alignment vertical="center"/>
    </xf>
    <xf numFmtId="187" fontId="28" fillId="0" borderId="135" xfId="1" applyNumberFormat="1" applyFont="1" applyFill="1" applyBorder="1" applyAlignment="1">
      <alignment horizontal="right" vertical="center"/>
    </xf>
    <xf numFmtId="187" fontId="28" fillId="0" borderId="123" xfId="1" applyNumberFormat="1" applyFont="1" applyFill="1" applyBorder="1" applyAlignment="1">
      <alignment horizontal="right" vertical="center"/>
    </xf>
    <xf numFmtId="41" fontId="149" fillId="0" borderId="23" xfId="1" applyFont="1" applyFill="1" applyBorder="1" applyAlignment="1">
      <alignment horizontal="center" vertical="center"/>
    </xf>
    <xf numFmtId="187" fontId="17" fillId="0" borderId="23" xfId="0" applyNumberFormat="1" applyFont="1" applyBorder="1">
      <alignment vertical="center"/>
    </xf>
    <xf numFmtId="0" fontId="28" fillId="0" borderId="123" xfId="41" applyFont="1" applyBorder="1" applyAlignment="1">
      <alignment horizontal="left" vertical="center"/>
    </xf>
    <xf numFmtId="0" fontId="28" fillId="0" borderId="123" xfId="41" applyFont="1" applyBorder="1">
      <alignment vertical="center"/>
    </xf>
    <xf numFmtId="0" fontId="28" fillId="0" borderId="123" xfId="41" applyFont="1" applyBorder="1" applyAlignment="1">
      <alignment horizontal="center" vertical="center"/>
    </xf>
    <xf numFmtId="41" fontId="149" fillId="0" borderId="123" xfId="1" applyFont="1" applyFill="1" applyBorder="1" applyAlignment="1">
      <alignment horizontal="center" vertical="center"/>
    </xf>
    <xf numFmtId="41" fontId="28" fillId="0" borderId="138" xfId="1" applyFont="1" applyFill="1" applyBorder="1" applyAlignment="1">
      <alignment horizontal="right" vertical="center"/>
    </xf>
    <xf numFmtId="177" fontId="28" fillId="0" borderId="123" xfId="1" applyNumberFormat="1" applyFont="1" applyFill="1" applyBorder="1" applyAlignment="1">
      <alignment horizontal="right" vertical="center"/>
    </xf>
    <xf numFmtId="177" fontId="28" fillId="0" borderId="135" xfId="1" applyNumberFormat="1" applyFont="1" applyFill="1" applyBorder="1" applyAlignment="1">
      <alignment horizontal="right" vertical="center"/>
    </xf>
    <xf numFmtId="41" fontId="28" fillId="0" borderId="123" xfId="1" applyFont="1" applyFill="1" applyBorder="1" applyAlignment="1">
      <alignment horizontal="right" vertical="center"/>
    </xf>
    <xf numFmtId="41" fontId="28" fillId="0" borderId="135" xfId="1" applyFont="1" applyFill="1" applyBorder="1" applyAlignment="1">
      <alignment horizontal="right" vertical="center"/>
    </xf>
    <xf numFmtId="187" fontId="28" fillId="0" borderId="136" xfId="1" applyNumberFormat="1" applyFont="1" applyFill="1" applyBorder="1" applyAlignment="1">
      <alignment horizontal="right" vertical="center"/>
    </xf>
    <xf numFmtId="0" fontId="17" fillId="0" borderId="123" xfId="0" applyFont="1" applyBorder="1">
      <alignment vertical="center"/>
    </xf>
    <xf numFmtId="0" fontId="27" fillId="0" borderId="135" xfId="41" applyFont="1" applyBorder="1" applyAlignment="1">
      <alignment horizontal="left" vertical="center" indent="1"/>
    </xf>
    <xf numFmtId="0" fontId="28" fillId="0" borderId="123" xfId="41" applyFont="1" applyBorder="1" applyAlignment="1">
      <alignment horizontal="left" vertical="center" indent="1"/>
    </xf>
    <xf numFmtId="0" fontId="27" fillId="0" borderId="123" xfId="0" applyFont="1" applyBorder="1" applyAlignment="1">
      <alignment horizontal="center" vertical="center"/>
    </xf>
    <xf numFmtId="0" fontId="28" fillId="0" borderId="138" xfId="0" applyFont="1" applyBorder="1">
      <alignment vertical="center"/>
    </xf>
    <xf numFmtId="177" fontId="28" fillId="0" borderId="123" xfId="0" applyNumberFormat="1" applyFont="1" applyBorder="1">
      <alignment vertical="center"/>
    </xf>
    <xf numFmtId="177" fontId="28" fillId="0" borderId="135" xfId="0" applyNumberFormat="1" applyFont="1" applyBorder="1">
      <alignment vertical="center"/>
    </xf>
    <xf numFmtId="187" fontId="28" fillId="0" borderId="123" xfId="0" applyNumberFormat="1" applyFont="1" applyBorder="1">
      <alignment vertical="center"/>
    </xf>
    <xf numFmtId="187" fontId="27" fillId="0" borderId="123" xfId="0" applyNumberFormat="1" applyFont="1" applyBorder="1">
      <alignment vertical="center"/>
    </xf>
    <xf numFmtId="187" fontId="28" fillId="0" borderId="135" xfId="0" applyNumberFormat="1" applyFont="1" applyBorder="1">
      <alignment vertical="center"/>
    </xf>
    <xf numFmtId="187" fontId="28" fillId="0" borderId="136" xfId="0" applyNumberFormat="1" applyFont="1" applyBorder="1">
      <alignment vertical="center"/>
    </xf>
    <xf numFmtId="0" fontId="29" fillId="0" borderId="126" xfId="0" applyFont="1" applyBorder="1">
      <alignment vertical="center"/>
    </xf>
    <xf numFmtId="0" fontId="17" fillId="0" borderId="126" xfId="0" applyFont="1" applyBorder="1">
      <alignment vertical="center"/>
    </xf>
    <xf numFmtId="0" fontId="28" fillId="0" borderId="126" xfId="41" applyFont="1" applyBorder="1" applyAlignment="1">
      <alignment horizontal="center" vertical="center"/>
    </xf>
    <xf numFmtId="177" fontId="17" fillId="0" borderId="126" xfId="0" applyNumberFormat="1" applyFont="1" applyBorder="1">
      <alignment vertical="center"/>
    </xf>
    <xf numFmtId="0" fontId="17" fillId="0" borderId="127" xfId="0" applyFont="1" applyBorder="1">
      <alignment vertical="center"/>
    </xf>
    <xf numFmtId="0" fontId="96" fillId="33" borderId="0" xfId="41" applyFont="1" applyFill="1">
      <alignment vertical="center"/>
    </xf>
    <xf numFmtId="0" fontId="27" fillId="33" borderId="126" xfId="41" applyFont="1" applyFill="1" applyBorder="1" applyAlignment="1">
      <alignment horizontal="center" vertical="center"/>
    </xf>
    <xf numFmtId="0" fontId="27" fillId="28" borderId="125" xfId="41" applyFont="1" applyFill="1" applyBorder="1">
      <alignment vertical="center"/>
    </xf>
    <xf numFmtId="0" fontId="29" fillId="28" borderId="126" xfId="0" applyFont="1" applyFill="1" applyBorder="1" applyAlignment="1">
      <alignment horizontal="left" vertical="center" indent="1"/>
    </xf>
    <xf numFmtId="0" fontId="150" fillId="28" borderId="126" xfId="0" applyFont="1" applyFill="1" applyBorder="1">
      <alignment vertical="center"/>
    </xf>
    <xf numFmtId="0" fontId="29" fillId="28" borderId="126" xfId="0" applyFont="1" applyFill="1" applyBorder="1">
      <alignment vertical="center"/>
    </xf>
    <xf numFmtId="0" fontId="27" fillId="28" borderId="126" xfId="0" applyFont="1" applyFill="1" applyBorder="1">
      <alignment vertical="center"/>
    </xf>
    <xf numFmtId="0" fontId="27" fillId="28" borderId="126" xfId="41" applyFont="1" applyFill="1" applyBorder="1" applyAlignment="1">
      <alignment horizontal="center" vertical="center"/>
    </xf>
    <xf numFmtId="41" fontId="27" fillId="28" borderId="96" xfId="1" applyFont="1" applyFill="1" applyBorder="1" applyAlignment="1">
      <alignment horizontal="center" vertical="center"/>
    </xf>
    <xf numFmtId="177" fontId="27" fillId="28" borderId="126" xfId="1" applyNumberFormat="1" applyFont="1" applyFill="1" applyBorder="1" applyAlignment="1">
      <alignment horizontal="right" vertical="center"/>
    </xf>
    <xf numFmtId="177" fontId="27" fillId="28" borderId="125" xfId="1" applyNumberFormat="1" applyFont="1" applyFill="1" applyBorder="1" applyAlignment="1">
      <alignment horizontal="right" vertical="center"/>
    </xf>
    <xf numFmtId="187" fontId="27" fillId="28" borderId="126" xfId="1" applyNumberFormat="1" applyFont="1" applyFill="1" applyBorder="1" applyAlignment="1">
      <alignment horizontal="right" vertical="center"/>
    </xf>
    <xf numFmtId="187" fontId="27" fillId="28" borderId="125" xfId="1" applyNumberFormat="1" applyFont="1" applyFill="1" applyBorder="1" applyAlignment="1">
      <alignment horizontal="right" vertical="center"/>
    </xf>
    <xf numFmtId="187" fontId="27" fillId="28" borderId="127" xfId="1" applyNumberFormat="1" applyFont="1" applyFill="1" applyBorder="1" applyAlignment="1">
      <alignment horizontal="right" vertical="center"/>
    </xf>
    <xf numFmtId="0" fontId="8" fillId="33" borderId="0" xfId="0" applyFont="1" applyFill="1">
      <alignment vertical="center"/>
    </xf>
    <xf numFmtId="0" fontId="28" fillId="33" borderId="125" xfId="0" applyFont="1" applyFill="1" applyBorder="1">
      <alignment vertical="center"/>
    </xf>
    <xf numFmtId="0" fontId="28" fillId="33" borderId="126" xfId="0" applyFont="1" applyFill="1" applyBorder="1">
      <alignment vertical="center"/>
    </xf>
    <xf numFmtId="0" fontId="27" fillId="33" borderId="126" xfId="0" applyFont="1" applyFill="1" applyBorder="1" applyAlignment="1">
      <alignment horizontal="center" vertical="center"/>
    </xf>
    <xf numFmtId="0" fontId="29" fillId="33" borderId="126" xfId="0" applyFont="1" applyFill="1" applyBorder="1" applyAlignment="1">
      <alignment horizontal="center" vertical="center"/>
    </xf>
    <xf numFmtId="177" fontId="17" fillId="33" borderId="126" xfId="0" applyNumberFormat="1" applyFont="1" applyFill="1" applyBorder="1">
      <alignment vertical="center"/>
    </xf>
    <xf numFmtId="177" fontId="17" fillId="33" borderId="125" xfId="0" applyNumberFormat="1" applyFont="1" applyFill="1" applyBorder="1">
      <alignment vertical="center"/>
    </xf>
    <xf numFmtId="187" fontId="17" fillId="33" borderId="126" xfId="0" applyNumberFormat="1" applyFont="1" applyFill="1" applyBorder="1">
      <alignment vertical="center"/>
    </xf>
    <xf numFmtId="187" fontId="17" fillId="33" borderId="125" xfId="0" applyNumberFormat="1" applyFont="1" applyFill="1" applyBorder="1">
      <alignment vertical="center"/>
    </xf>
    <xf numFmtId="187" fontId="17" fillId="33" borderId="127" xfId="0" applyNumberFormat="1" applyFont="1" applyFill="1" applyBorder="1">
      <alignment vertical="center"/>
    </xf>
    <xf numFmtId="0" fontId="17" fillId="33" borderId="0" xfId="0" applyFont="1" applyFill="1">
      <alignment vertical="center"/>
    </xf>
    <xf numFmtId="0" fontId="29" fillId="0" borderId="12" xfId="0" applyFont="1" applyBorder="1">
      <alignment vertical="center"/>
    </xf>
    <xf numFmtId="41" fontId="29" fillId="0" borderId="0" xfId="1" applyFont="1" applyFill="1" applyBorder="1" applyAlignment="1">
      <alignment horizontal="center" vertical="center"/>
    </xf>
    <xf numFmtId="177" fontId="17" fillId="0" borderId="12" xfId="0" applyNumberFormat="1" applyFont="1" applyBorder="1">
      <alignment vertical="center"/>
    </xf>
    <xf numFmtId="187" fontId="17" fillId="0" borderId="18" xfId="0" applyNumberFormat="1" applyFont="1" applyBorder="1">
      <alignment vertical="center"/>
    </xf>
    <xf numFmtId="0" fontId="17" fillId="0" borderId="12" xfId="0" applyFont="1" applyBorder="1" applyAlignment="1">
      <alignment horizontal="left" vertical="center" indent="1"/>
    </xf>
    <xf numFmtId="0" fontId="17" fillId="0" borderId="0" xfId="0" applyFont="1" applyAlignment="1">
      <alignment horizontal="center" vertical="center"/>
    </xf>
    <xf numFmtId="41" fontId="17" fillId="0" borderId="133" xfId="1" applyFont="1" applyFill="1" applyBorder="1">
      <alignment vertical="center"/>
    </xf>
    <xf numFmtId="177" fontId="17" fillId="0" borderId="12" xfId="1" applyNumberFormat="1" applyFont="1" applyFill="1" applyBorder="1">
      <alignment vertical="center"/>
    </xf>
    <xf numFmtId="41" fontId="17" fillId="0" borderId="12" xfId="1" applyFont="1" applyFill="1" applyBorder="1">
      <alignment vertical="center"/>
    </xf>
    <xf numFmtId="41" fontId="29" fillId="0" borderId="133" xfId="1" applyFont="1" applyFill="1" applyBorder="1">
      <alignment vertical="center"/>
    </xf>
    <xf numFmtId="0" fontId="29" fillId="0" borderId="128" xfId="0" applyFont="1" applyBorder="1">
      <alignment vertical="center"/>
    </xf>
    <xf numFmtId="0" fontId="17" fillId="0" borderId="23" xfId="0" applyFont="1" applyBorder="1" applyAlignment="1">
      <alignment horizontal="center" vertical="center"/>
    </xf>
    <xf numFmtId="41" fontId="17" fillId="0" borderId="23" xfId="1" applyFont="1" applyFill="1" applyBorder="1">
      <alignment vertical="center"/>
    </xf>
    <xf numFmtId="41" fontId="17" fillId="0" borderId="132" xfId="1" applyFont="1" applyFill="1" applyBorder="1">
      <alignment vertical="center"/>
    </xf>
    <xf numFmtId="177" fontId="17" fillId="0" borderId="23" xfId="1" applyNumberFormat="1" applyFont="1" applyFill="1" applyBorder="1">
      <alignment vertical="center"/>
    </xf>
    <xf numFmtId="177" fontId="17" fillId="0" borderId="128" xfId="1" applyNumberFormat="1" applyFont="1" applyFill="1" applyBorder="1">
      <alignment vertical="center"/>
    </xf>
    <xf numFmtId="41" fontId="17" fillId="0" borderId="128" xfId="1" applyFont="1" applyFill="1" applyBorder="1">
      <alignment vertical="center"/>
    </xf>
    <xf numFmtId="41" fontId="17" fillId="0" borderId="129" xfId="1" applyFont="1" applyFill="1" applyBorder="1">
      <alignment vertical="center"/>
    </xf>
    <xf numFmtId="0" fontId="17" fillId="0" borderId="12" xfId="0" applyFont="1" applyBorder="1" applyAlignment="1">
      <alignment horizontal="left" vertical="center" indent="2"/>
    </xf>
    <xf numFmtId="240" fontId="17" fillId="0" borderId="0" xfId="0" applyNumberFormat="1" applyFont="1" applyAlignment="1">
      <alignment horizontal="center" vertical="center"/>
    </xf>
    <xf numFmtId="199" fontId="17" fillId="0" borderId="0" xfId="1" applyNumberFormat="1" applyFont="1" applyFill="1" applyBorder="1">
      <alignment vertical="center"/>
    </xf>
    <xf numFmtId="241" fontId="17" fillId="0" borderId="0" xfId="0" applyNumberFormat="1" applyFont="1" applyAlignment="1">
      <alignment horizontal="center" vertical="center"/>
    </xf>
    <xf numFmtId="242" fontId="17" fillId="0" borderId="0" xfId="0" applyNumberFormat="1" applyFont="1" applyAlignment="1">
      <alignment horizontal="center" vertical="center"/>
    </xf>
    <xf numFmtId="181" fontId="17" fillId="0" borderId="0" xfId="1" applyNumberFormat="1" applyFont="1" applyFill="1" applyBorder="1">
      <alignment vertical="center"/>
    </xf>
    <xf numFmtId="0" fontId="17" fillId="0" borderId="135" xfId="0" applyFont="1" applyBorder="1">
      <alignment vertical="center"/>
    </xf>
    <xf numFmtId="0" fontId="17" fillId="0" borderId="123" xfId="0" applyFont="1" applyBorder="1" applyAlignment="1">
      <alignment horizontal="center" vertical="center"/>
    </xf>
    <xf numFmtId="41" fontId="17" fillId="0" borderId="123" xfId="1" applyFont="1" applyFill="1" applyBorder="1">
      <alignment vertical="center"/>
    </xf>
    <xf numFmtId="41" fontId="29" fillId="0" borderId="138" xfId="1" applyFont="1" applyFill="1" applyBorder="1">
      <alignment vertical="center"/>
    </xf>
    <xf numFmtId="177" fontId="17" fillId="0" borderId="123" xfId="1" applyNumberFormat="1" applyFont="1" applyFill="1" applyBorder="1">
      <alignment vertical="center"/>
    </xf>
    <xf numFmtId="177" fontId="17" fillId="0" borderId="135" xfId="1" applyNumberFormat="1" applyFont="1" applyFill="1" applyBorder="1">
      <alignment vertical="center"/>
    </xf>
    <xf numFmtId="41" fontId="17" fillId="0" borderId="135" xfId="1" applyFont="1" applyFill="1" applyBorder="1">
      <alignment vertical="center"/>
    </xf>
    <xf numFmtId="41" fontId="17" fillId="0" borderId="136" xfId="1" applyFont="1" applyFill="1" applyBorder="1">
      <alignment vertical="center"/>
    </xf>
    <xf numFmtId="179" fontId="17" fillId="0" borderId="0" xfId="1" applyNumberFormat="1" applyFont="1" applyFill="1" applyBorder="1">
      <alignment vertical="center"/>
    </xf>
    <xf numFmtId="10" fontId="88" fillId="0" borderId="129" xfId="0" applyNumberFormat="1" applyFont="1" applyBorder="1" applyAlignment="1">
      <alignment horizontal="center" vertical="center"/>
    </xf>
    <xf numFmtId="41" fontId="88" fillId="0" borderId="18" xfId="0" applyNumberFormat="1" applyFont="1" applyBorder="1">
      <alignment vertical="center"/>
    </xf>
    <xf numFmtId="177" fontId="17" fillId="0" borderId="18" xfId="1" applyNumberFormat="1" applyFont="1" applyFill="1" applyBorder="1">
      <alignment vertical="center"/>
    </xf>
    <xf numFmtId="0" fontId="17" fillId="0" borderId="138" xfId="0" applyFont="1" applyBorder="1">
      <alignment vertical="center"/>
    </xf>
    <xf numFmtId="177" fontId="17" fillId="0" borderId="123" xfId="0" applyNumberFormat="1" applyFont="1" applyBorder="1">
      <alignment vertical="center"/>
    </xf>
    <xf numFmtId="177" fontId="17" fillId="0" borderId="135" xfId="0" applyNumberFormat="1" applyFont="1" applyBorder="1">
      <alignment vertical="center"/>
    </xf>
    <xf numFmtId="0" fontId="17" fillId="0" borderId="136" xfId="0" applyFont="1" applyBorder="1">
      <alignment vertical="center"/>
    </xf>
    <xf numFmtId="43" fontId="17" fillId="0" borderId="0" xfId="0" applyNumberFormat="1" applyFont="1">
      <alignment vertical="center"/>
    </xf>
    <xf numFmtId="0" fontId="11" fillId="0" borderId="0" xfId="42" applyFont="1">
      <alignment vertical="center"/>
    </xf>
    <xf numFmtId="0" fontId="2" fillId="0" borderId="0" xfId="42">
      <alignment vertical="center"/>
    </xf>
    <xf numFmtId="0" fontId="2" fillId="0" borderId="0" xfId="42" applyAlignment="1">
      <alignment horizontal="center" vertical="center"/>
    </xf>
    <xf numFmtId="0" fontId="11" fillId="11" borderId="139" xfId="42" applyFont="1" applyFill="1" applyBorder="1">
      <alignment vertical="center"/>
    </xf>
    <xf numFmtId="0" fontId="2" fillId="11" borderId="129" xfId="42" applyFill="1" applyBorder="1">
      <alignment vertical="center"/>
    </xf>
    <xf numFmtId="0" fontId="2" fillId="11" borderId="129" xfId="42" applyFill="1" applyBorder="1" applyAlignment="1">
      <alignment horizontal="center" vertical="center"/>
    </xf>
    <xf numFmtId="0" fontId="2" fillId="11" borderId="139" xfId="42" applyFill="1" applyBorder="1" applyAlignment="1">
      <alignment horizontal="center" vertical="center"/>
    </xf>
    <xf numFmtId="0" fontId="2" fillId="11" borderId="23" xfId="42" applyFill="1" applyBorder="1" applyAlignment="1">
      <alignment horizontal="center" vertical="center"/>
    </xf>
    <xf numFmtId="14" fontId="2" fillId="11" borderId="23" xfId="42" applyNumberFormat="1" applyFill="1" applyBorder="1" applyAlignment="1">
      <alignment horizontal="center" vertical="center"/>
    </xf>
    <xf numFmtId="14" fontId="2" fillId="11" borderId="129" xfId="42" applyNumberFormat="1" applyFill="1" applyBorder="1" applyAlignment="1">
      <alignment horizontal="center" vertical="center"/>
    </xf>
    <xf numFmtId="14" fontId="2" fillId="11" borderId="139" xfId="42" applyNumberFormat="1" applyFill="1" applyBorder="1" applyAlignment="1">
      <alignment horizontal="center" vertical="center"/>
    </xf>
    <xf numFmtId="0" fontId="116" fillId="11" borderId="134" xfId="42" applyFont="1" applyFill="1" applyBorder="1">
      <alignment vertical="center"/>
    </xf>
    <xf numFmtId="0" fontId="116" fillId="11" borderId="122" xfId="42" applyFont="1" applyFill="1" applyBorder="1">
      <alignment vertical="center"/>
    </xf>
    <xf numFmtId="0" fontId="116" fillId="11" borderId="122" xfId="42" applyFont="1" applyFill="1" applyBorder="1" applyAlignment="1">
      <alignment horizontal="center" vertical="center"/>
    </xf>
    <xf numFmtId="0" fontId="116" fillId="11" borderId="126" xfId="42" applyFont="1" applyFill="1" applyBorder="1">
      <alignment vertical="center"/>
    </xf>
    <xf numFmtId="0" fontId="116" fillId="11" borderId="127" xfId="42" applyFont="1" applyFill="1" applyBorder="1">
      <alignment vertical="center"/>
    </xf>
    <xf numFmtId="0" fontId="116" fillId="0" borderId="0" xfId="42" applyFont="1">
      <alignment vertical="center"/>
    </xf>
    <xf numFmtId="0" fontId="11" fillId="0" borderId="139" xfId="42" applyFont="1" applyBorder="1" applyAlignment="1">
      <alignment horizontal="center" vertical="center"/>
    </xf>
    <xf numFmtId="0" fontId="2" fillId="0" borderId="23" xfId="42" applyBorder="1">
      <alignment vertical="center"/>
    </xf>
    <xf numFmtId="0" fontId="2" fillId="0" borderId="23" xfId="42" applyBorder="1" applyAlignment="1">
      <alignment horizontal="center" vertical="center"/>
    </xf>
    <xf numFmtId="0" fontId="2" fillId="0" borderId="139" xfId="42" applyBorder="1">
      <alignment vertical="center"/>
    </xf>
    <xf numFmtId="0" fontId="2" fillId="0" borderId="129" xfId="42" applyBorder="1">
      <alignment vertical="center"/>
    </xf>
    <xf numFmtId="0" fontId="116" fillId="0" borderId="139" xfId="42" applyFont="1" applyBorder="1">
      <alignment vertical="center"/>
    </xf>
    <xf numFmtId="0" fontId="11" fillId="0" borderId="13" xfId="42" applyFont="1" applyBorder="1">
      <alignment vertical="center"/>
    </xf>
    <xf numFmtId="0" fontId="2" fillId="0" borderId="123" xfId="42" applyBorder="1">
      <alignment vertical="center"/>
    </xf>
    <xf numFmtId="0" fontId="2" fillId="0" borderId="123" xfId="42" applyBorder="1" applyAlignment="1">
      <alignment horizontal="center" vertical="center"/>
    </xf>
    <xf numFmtId="0" fontId="2" fillId="0" borderId="134" xfId="42" applyBorder="1">
      <alignment vertical="center"/>
    </xf>
    <xf numFmtId="0" fontId="2" fillId="0" borderId="136" xfId="42" applyBorder="1">
      <alignment vertical="center"/>
    </xf>
    <xf numFmtId="0" fontId="143" fillId="0" borderId="134" xfId="42" applyFont="1" applyBorder="1">
      <alignment vertical="center"/>
    </xf>
    <xf numFmtId="0" fontId="11" fillId="0" borderId="13" xfId="42" applyFont="1" applyBorder="1" applyAlignment="1">
      <alignment horizontal="center" vertical="center"/>
    </xf>
    <xf numFmtId="0" fontId="2" fillId="0" borderId="13" xfId="42" applyBorder="1" applyAlignment="1">
      <alignment horizontal="center" vertical="center"/>
    </xf>
    <xf numFmtId="0" fontId="2" fillId="0" borderId="18" xfId="42" applyBorder="1">
      <alignment vertical="center"/>
    </xf>
    <xf numFmtId="0" fontId="143" fillId="0" borderId="13" xfId="42" applyFont="1" applyBorder="1">
      <alignment vertical="center"/>
    </xf>
    <xf numFmtId="0" fontId="151" fillId="0" borderId="0" xfId="42" applyFont="1">
      <alignment vertical="center"/>
    </xf>
    <xf numFmtId="0" fontId="11" fillId="0" borderId="23" xfId="42" applyFont="1" applyBorder="1">
      <alignment vertical="center"/>
    </xf>
    <xf numFmtId="0" fontId="11" fillId="0" borderId="23" xfId="42" applyFont="1" applyBorder="1" applyAlignment="1">
      <alignment horizontal="center" vertical="center"/>
    </xf>
    <xf numFmtId="0" fontId="11" fillId="0" borderId="129" xfId="42" applyFont="1" applyBorder="1">
      <alignment vertical="center"/>
    </xf>
    <xf numFmtId="0" fontId="143" fillId="0" borderId="139" xfId="42" applyFont="1" applyBorder="1">
      <alignment vertical="center"/>
    </xf>
    <xf numFmtId="0" fontId="5" fillId="0" borderId="13" xfId="42" applyFont="1" applyBorder="1" applyAlignment="1">
      <alignment horizontal="center" vertical="center"/>
    </xf>
    <xf numFmtId="0" fontId="5" fillId="0" borderId="0" xfId="42" applyFont="1">
      <alignment vertical="center"/>
    </xf>
    <xf numFmtId="0" fontId="5" fillId="0" borderId="0" xfId="42" applyFont="1" applyAlignment="1">
      <alignment horizontal="center" vertical="center"/>
    </xf>
    <xf numFmtId="0" fontId="2" fillId="8" borderId="0" xfId="42" applyFill="1">
      <alignment vertical="center"/>
    </xf>
    <xf numFmtId="0" fontId="152" fillId="0" borderId="13" xfId="42" applyFont="1" applyBorder="1">
      <alignment vertical="center"/>
    </xf>
    <xf numFmtId="0" fontId="2" fillId="0" borderId="0" xfId="42" applyAlignment="1">
      <alignment horizontal="left" vertical="center" indent="1"/>
    </xf>
    <xf numFmtId="0" fontId="11" fillId="0" borderId="128" xfId="42" applyFont="1" applyBorder="1">
      <alignment vertical="center"/>
    </xf>
    <xf numFmtId="0" fontId="5" fillId="0" borderId="18" xfId="42" applyFont="1" applyBorder="1">
      <alignment vertical="center"/>
    </xf>
    <xf numFmtId="0" fontId="2" fillId="0" borderId="13" xfId="42" applyBorder="1">
      <alignment vertical="center"/>
    </xf>
    <xf numFmtId="0" fontId="2" fillId="8" borderId="18" xfId="42" applyFill="1" applyBorder="1">
      <alignment vertical="center"/>
    </xf>
    <xf numFmtId="0" fontId="5" fillId="0" borderId="23" xfId="42" applyFont="1" applyBorder="1" applyAlignment="1">
      <alignment horizontal="center" vertical="center"/>
    </xf>
    <xf numFmtId="0" fontId="153" fillId="0" borderId="0" xfId="42" applyFont="1">
      <alignment vertical="center"/>
    </xf>
    <xf numFmtId="0" fontId="2" fillId="0" borderId="123" xfId="42" applyBorder="1" applyAlignment="1">
      <alignment horizontal="left" vertical="center" indent="1"/>
    </xf>
    <xf numFmtId="0" fontId="5" fillId="0" borderId="136" xfId="42" applyFont="1" applyBorder="1" applyAlignment="1">
      <alignment horizontal="center" vertical="center"/>
    </xf>
    <xf numFmtId="0" fontId="5" fillId="0" borderId="134" xfId="42" applyFont="1" applyBorder="1" applyAlignment="1">
      <alignment horizontal="center" vertical="center"/>
    </xf>
    <xf numFmtId="0" fontId="5" fillId="0" borderId="123" xfId="42" applyFont="1" applyBorder="1" applyAlignment="1">
      <alignment horizontal="center" vertical="center"/>
    </xf>
    <xf numFmtId="0" fontId="5" fillId="0" borderId="123" xfId="42" applyFont="1" applyBorder="1">
      <alignment vertical="center"/>
    </xf>
    <xf numFmtId="0" fontId="5" fillId="8" borderId="123" xfId="42" applyFont="1" applyFill="1" applyBorder="1">
      <alignment vertical="center"/>
    </xf>
    <xf numFmtId="0" fontId="5" fillId="0" borderId="136" xfId="42" applyFont="1" applyBorder="1">
      <alignment vertical="center"/>
    </xf>
    <xf numFmtId="0" fontId="11" fillId="0" borderId="0" xfId="42" applyFont="1" applyAlignment="1">
      <alignment horizontal="center" vertical="center"/>
    </xf>
    <xf numFmtId="0" fontId="11" fillId="0" borderId="18" xfId="42" applyFont="1" applyBorder="1">
      <alignment vertical="center"/>
    </xf>
    <xf numFmtId="0" fontId="2" fillId="0" borderId="128" xfId="42" applyBorder="1" applyAlignment="1">
      <alignment horizontal="left" vertical="center" indent="1"/>
    </xf>
    <xf numFmtId="0" fontId="5" fillId="0" borderId="139" xfId="42" applyFont="1" applyBorder="1" applyAlignment="1">
      <alignment horizontal="center" vertical="center"/>
    </xf>
    <xf numFmtId="41" fontId="5" fillId="0" borderId="23" xfId="1" applyFont="1" applyBorder="1">
      <alignment vertical="center"/>
    </xf>
    <xf numFmtId="0" fontId="2" fillId="0" borderId="12" xfId="42" applyBorder="1" applyAlignment="1">
      <alignment horizontal="left" vertical="center" indent="1"/>
    </xf>
    <xf numFmtId="41" fontId="5" fillId="0" borderId="0" xfId="1" applyFont="1" applyBorder="1">
      <alignment vertical="center"/>
    </xf>
    <xf numFmtId="0" fontId="5" fillId="0" borderId="0" xfId="42" applyFont="1" applyAlignment="1">
      <alignment horizontal="left" vertical="center" indent="1"/>
    </xf>
    <xf numFmtId="41" fontId="5" fillId="0" borderId="18" xfId="1" applyFont="1" applyBorder="1">
      <alignment vertical="center"/>
    </xf>
    <xf numFmtId="0" fontId="5" fillId="0" borderId="13" xfId="42" applyFont="1" applyBorder="1">
      <alignment vertical="center"/>
    </xf>
    <xf numFmtId="41" fontId="5" fillId="0" borderId="129" xfId="1" applyFont="1" applyBorder="1">
      <alignment vertical="center"/>
    </xf>
    <xf numFmtId="0" fontId="11" fillId="0" borderId="139" xfId="42" applyFont="1" applyBorder="1">
      <alignment vertical="center"/>
    </xf>
    <xf numFmtId="0" fontId="11" fillId="0" borderId="23" xfId="42" applyFont="1" applyBorder="1" applyAlignment="1">
      <alignment horizontal="left" vertical="center"/>
    </xf>
    <xf numFmtId="0" fontId="59" fillId="0" borderId="23" xfId="42" quotePrefix="1" applyFont="1" applyBorder="1" applyAlignment="1">
      <alignment horizontal="left" vertical="center"/>
    </xf>
    <xf numFmtId="0" fontId="11" fillId="0" borderId="139" xfId="42" applyFont="1" applyBorder="1" applyAlignment="1">
      <alignment horizontal="left" vertical="center"/>
    </xf>
    <xf numFmtId="0" fontId="2" fillId="0" borderId="13" xfId="42" applyBorder="1" applyAlignment="1">
      <alignment horizontal="left" vertical="center" indent="1"/>
    </xf>
    <xf numFmtId="0" fontId="3" fillId="0" borderId="0" xfId="42" applyFont="1">
      <alignment vertical="center"/>
    </xf>
    <xf numFmtId="0" fontId="3" fillId="0" borderId="18" xfId="42" applyFont="1" applyBorder="1">
      <alignment vertical="center"/>
    </xf>
    <xf numFmtId="0" fontId="11" fillId="0" borderId="134" xfId="42" applyFont="1" applyBorder="1">
      <alignment vertical="center"/>
    </xf>
    <xf numFmtId="0" fontId="2" fillId="0" borderId="134" xfId="42" applyBorder="1" applyAlignment="1">
      <alignment horizontal="left" vertical="center" indent="1"/>
    </xf>
    <xf numFmtId="0" fontId="114" fillId="0" borderId="134" xfId="42" applyFont="1" applyBorder="1">
      <alignment vertical="center"/>
    </xf>
    <xf numFmtId="0" fontId="114" fillId="0" borderId="123" xfId="42" applyFont="1" applyBorder="1" applyAlignment="1">
      <alignment horizontal="left" vertical="center"/>
    </xf>
    <xf numFmtId="0" fontId="114" fillId="0" borderId="123" xfId="42" applyFont="1" applyBorder="1" applyAlignment="1">
      <alignment horizontal="center" vertical="center"/>
    </xf>
    <xf numFmtId="0" fontId="11" fillId="0" borderId="134" xfId="42" applyFont="1" applyBorder="1" applyAlignment="1">
      <alignment horizontal="left" vertical="center"/>
    </xf>
    <xf numFmtId="0" fontId="11" fillId="0" borderId="123" xfId="42" applyFont="1" applyBorder="1" applyAlignment="1">
      <alignment horizontal="left" vertical="center"/>
    </xf>
    <xf numFmtId="0" fontId="114" fillId="0" borderId="123" xfId="42" applyFont="1" applyBorder="1">
      <alignment vertical="center"/>
    </xf>
    <xf numFmtId="0" fontId="11" fillId="0" borderId="123" xfId="42" applyFont="1" applyBorder="1">
      <alignment vertical="center"/>
    </xf>
    <xf numFmtId="0" fontId="11" fillId="0" borderId="126" xfId="42" applyFont="1" applyBorder="1">
      <alignment vertical="center"/>
    </xf>
    <xf numFmtId="0" fontId="114" fillId="0" borderId="126" xfId="42" applyFont="1" applyBorder="1">
      <alignment vertical="center"/>
    </xf>
    <xf numFmtId="0" fontId="11" fillId="0" borderId="127" xfId="42" applyFont="1" applyBorder="1">
      <alignment vertical="center"/>
    </xf>
    <xf numFmtId="0" fontId="2" fillId="0" borderId="122" xfId="42" applyBorder="1">
      <alignment vertical="center"/>
    </xf>
    <xf numFmtId="0" fontId="11" fillId="0" borderId="127" xfId="42" applyFont="1" applyBorder="1" applyAlignment="1">
      <alignment horizontal="center" vertical="center"/>
    </xf>
    <xf numFmtId="0" fontId="11" fillId="0" borderId="122" xfId="42" applyFont="1" applyBorder="1" applyAlignment="1">
      <alignment horizontal="left" vertical="center" indent="1"/>
    </xf>
    <xf numFmtId="0" fontId="11" fillId="0" borderId="126" xfId="42" applyFont="1" applyBorder="1" applyAlignment="1">
      <alignment horizontal="left" vertical="center" indent="1"/>
    </xf>
    <xf numFmtId="0" fontId="11" fillId="0" borderId="122" xfId="42" applyFont="1" applyBorder="1">
      <alignment vertical="center"/>
    </xf>
    <xf numFmtId="0" fontId="116" fillId="11" borderId="13" xfId="42" applyFont="1" applyFill="1" applyBorder="1">
      <alignment vertical="center"/>
    </xf>
    <xf numFmtId="0" fontId="116" fillId="11" borderId="23" xfId="42" applyFont="1" applyFill="1" applyBorder="1">
      <alignment vertical="center"/>
    </xf>
    <xf numFmtId="0" fontId="116" fillId="11" borderId="23" xfId="42" applyFont="1" applyFill="1" applyBorder="1" applyAlignment="1">
      <alignment horizontal="center" vertical="center"/>
    </xf>
    <xf numFmtId="0" fontId="116" fillId="11" borderId="139" xfId="42" applyFont="1" applyFill="1" applyBorder="1">
      <alignment vertical="center"/>
    </xf>
    <xf numFmtId="9" fontId="116" fillId="11" borderId="23" xfId="42" applyNumberFormat="1" applyFont="1" applyFill="1" applyBorder="1">
      <alignment vertical="center"/>
    </xf>
    <xf numFmtId="9" fontId="116" fillId="11" borderId="129" xfId="42" applyNumberFormat="1" applyFont="1" applyFill="1" applyBorder="1">
      <alignment vertical="center"/>
    </xf>
    <xf numFmtId="0" fontId="143" fillId="0" borderId="23" xfId="42" applyFont="1" applyBorder="1">
      <alignment vertical="center"/>
    </xf>
    <xf numFmtId="0" fontId="143" fillId="0" borderId="23" xfId="42" applyFont="1" applyBorder="1" applyAlignment="1">
      <alignment horizontal="center" vertical="center"/>
    </xf>
    <xf numFmtId="238" fontId="143" fillId="0" borderId="23" xfId="43" applyNumberFormat="1" applyFont="1" applyFill="1" applyBorder="1">
      <alignment vertical="center"/>
    </xf>
    <xf numFmtId="187" fontId="114" fillId="0" borderId="23" xfId="44" applyNumberFormat="1" applyFont="1" applyFill="1" applyBorder="1">
      <alignment vertical="center"/>
    </xf>
    <xf numFmtId="187" fontId="114" fillId="0" borderId="23" xfId="42" applyNumberFormat="1" applyFont="1" applyBorder="1">
      <alignment vertical="center"/>
    </xf>
    <xf numFmtId="187" fontId="114" fillId="0" borderId="129" xfId="42" applyNumberFormat="1" applyFont="1" applyBorder="1">
      <alignment vertical="center"/>
    </xf>
    <xf numFmtId="0" fontId="143" fillId="0" borderId="0" xfId="42" applyFont="1">
      <alignment vertical="center"/>
    </xf>
    <xf numFmtId="0" fontId="143" fillId="0" borderId="0" xfId="42" applyFont="1" applyAlignment="1">
      <alignment horizontal="center" vertical="center"/>
    </xf>
    <xf numFmtId="238" fontId="143" fillId="0" borderId="0" xfId="43" applyNumberFormat="1" applyFont="1" applyFill="1" applyBorder="1">
      <alignment vertical="center"/>
    </xf>
    <xf numFmtId="187" fontId="114" fillId="0" borderId="0" xfId="42" applyNumberFormat="1" applyFont="1">
      <alignment vertical="center"/>
    </xf>
    <xf numFmtId="187" fontId="114" fillId="0" borderId="18" xfId="42" applyNumberFormat="1" applyFont="1" applyBorder="1">
      <alignment vertical="center"/>
    </xf>
    <xf numFmtId="177" fontId="151" fillId="8" borderId="0" xfId="42" applyNumberFormat="1" applyFont="1" applyFill="1">
      <alignment vertical="center"/>
    </xf>
    <xf numFmtId="177" fontId="75" fillId="0" borderId="0" xfId="42" applyNumberFormat="1" applyFont="1">
      <alignment vertical="center"/>
    </xf>
    <xf numFmtId="177" fontId="75" fillId="0" borderId="18" xfId="42" applyNumberFormat="1" applyFont="1" applyBorder="1">
      <alignment vertical="center"/>
    </xf>
    <xf numFmtId="177" fontId="154" fillId="0" borderId="23" xfId="42" applyNumberFormat="1" applyFont="1" applyBorder="1">
      <alignment vertical="center"/>
    </xf>
    <xf numFmtId="177" fontId="154" fillId="0" borderId="129" xfId="42" applyNumberFormat="1" applyFont="1" applyBorder="1">
      <alignment vertical="center"/>
    </xf>
    <xf numFmtId="41" fontId="75" fillId="0" borderId="0" xfId="1" applyFont="1" applyBorder="1">
      <alignment vertical="center"/>
    </xf>
    <xf numFmtId="41" fontId="75" fillId="0" borderId="18" xfId="1" applyFont="1" applyBorder="1">
      <alignment vertical="center"/>
    </xf>
    <xf numFmtId="41" fontId="75" fillId="0" borderId="0" xfId="1" applyFont="1" applyFill="1" applyBorder="1">
      <alignment vertical="center"/>
    </xf>
    <xf numFmtId="41" fontId="75" fillId="0" borderId="18" xfId="1" applyFont="1" applyFill="1" applyBorder="1">
      <alignment vertical="center"/>
    </xf>
    <xf numFmtId="0" fontId="2" fillId="0" borderId="135" xfId="42" applyBorder="1" applyAlignment="1">
      <alignment horizontal="left" vertical="center" indent="1"/>
    </xf>
    <xf numFmtId="0" fontId="2" fillId="0" borderId="134" xfId="42" applyBorder="1" applyAlignment="1">
      <alignment horizontal="center" vertical="center"/>
    </xf>
    <xf numFmtId="41" fontId="75" fillId="0" borderId="123" xfId="1" applyFont="1" applyBorder="1">
      <alignment vertical="center"/>
    </xf>
    <xf numFmtId="41" fontId="75" fillId="0" borderId="123" xfId="1" applyFont="1" applyFill="1" applyBorder="1">
      <alignment vertical="center"/>
    </xf>
    <xf numFmtId="41" fontId="75" fillId="0" borderId="136" xfId="1" applyFont="1" applyFill="1" applyBorder="1">
      <alignment vertical="center"/>
    </xf>
    <xf numFmtId="177" fontId="154" fillId="0" borderId="0" xfId="42" applyNumberFormat="1" applyFont="1">
      <alignment vertical="center"/>
    </xf>
    <xf numFmtId="177" fontId="154" fillId="0" borderId="18" xfId="42" applyNumberFormat="1" applyFont="1" applyBorder="1">
      <alignment vertical="center"/>
    </xf>
    <xf numFmtId="41" fontId="75" fillId="0" borderId="0" xfId="1" applyFont="1">
      <alignment vertical="center"/>
    </xf>
    <xf numFmtId="0" fontId="11" fillId="0" borderId="12" xfId="42" applyFont="1" applyBorder="1" applyAlignment="1">
      <alignment horizontal="center" vertical="center"/>
    </xf>
    <xf numFmtId="0" fontId="11" fillId="0" borderId="135" xfId="42" applyFont="1" applyBorder="1" applyAlignment="1">
      <alignment horizontal="center" vertical="center"/>
    </xf>
    <xf numFmtId="187" fontId="154" fillId="0" borderId="126" xfId="42" applyNumberFormat="1" applyFont="1" applyBorder="1">
      <alignment vertical="center"/>
    </xf>
    <xf numFmtId="187" fontId="154" fillId="0" borderId="127" xfId="42" applyNumberFormat="1" applyFont="1" applyBorder="1">
      <alignment vertical="center"/>
    </xf>
    <xf numFmtId="41" fontId="142" fillId="0" borderId="0" xfId="29" applyFont="1" applyFill="1" applyBorder="1" applyAlignment="1">
      <alignment horizontal="left" vertical="center"/>
    </xf>
    <xf numFmtId="41" fontId="155" fillId="0" borderId="0" xfId="29" applyFont="1" applyFill="1" applyBorder="1" applyAlignment="1">
      <alignment horizontal="left" vertical="center"/>
    </xf>
    <xf numFmtId="9" fontId="133" fillId="0" borderId="0" xfId="29" applyNumberFormat="1" applyFont="1" applyFill="1" applyBorder="1" applyAlignment="1">
      <alignment horizontal="center" vertical="center"/>
    </xf>
    <xf numFmtId="0" fontId="156" fillId="23" borderId="232" xfId="45" applyFont="1" applyFill="1" applyBorder="1" applyAlignment="1">
      <alignment horizontal="centerContinuous" vertical="center"/>
    </xf>
    <xf numFmtId="0" fontId="156" fillId="23" borderId="233" xfId="45" applyFont="1" applyFill="1" applyBorder="1" applyAlignment="1">
      <alignment horizontal="centerContinuous" vertical="center"/>
    </xf>
    <xf numFmtId="0" fontId="156" fillId="23" borderId="45" xfId="45" applyFont="1" applyFill="1" applyBorder="1" applyAlignment="1">
      <alignment horizontal="centerContinuous" vertical="center"/>
    </xf>
    <xf numFmtId="0" fontId="156" fillId="23" borderId="236" xfId="45" applyFont="1" applyFill="1" applyBorder="1" applyAlignment="1">
      <alignment horizontal="center" vertical="center"/>
    </xf>
    <xf numFmtId="0" fontId="156" fillId="23" borderId="237" xfId="45" applyFont="1" applyFill="1" applyBorder="1" applyAlignment="1">
      <alignment horizontal="center" vertical="center"/>
    </xf>
    <xf numFmtId="0" fontId="156" fillId="23" borderId="238" xfId="45" applyFont="1" applyFill="1" applyBorder="1" applyAlignment="1">
      <alignment horizontal="center" vertical="center"/>
    </xf>
    <xf numFmtId="0" fontId="156" fillId="23" borderId="239" xfId="45" applyFont="1" applyFill="1" applyBorder="1" applyAlignment="1">
      <alignment horizontal="center" vertical="center"/>
    </xf>
    <xf numFmtId="185" fontId="158" fillId="23" borderId="0" xfId="44" applyNumberFormat="1" applyFont="1" applyFill="1" applyBorder="1" applyAlignment="1">
      <alignment vertical="center"/>
    </xf>
    <xf numFmtId="0" fontId="156" fillId="23" borderId="241" xfId="45" applyFont="1" applyFill="1" applyBorder="1" applyAlignment="1">
      <alignment horizontal="center" vertical="center"/>
    </xf>
    <xf numFmtId="0" fontId="156" fillId="23" borderId="179" xfId="45" applyFont="1" applyFill="1" applyBorder="1" applyAlignment="1">
      <alignment horizontal="center" vertical="center"/>
    </xf>
    <xf numFmtId="0" fontId="156" fillId="23" borderId="129" xfId="45" applyFont="1" applyFill="1" applyBorder="1" applyAlignment="1">
      <alignment horizontal="center" vertical="center"/>
    </xf>
    <xf numFmtId="0" fontId="156" fillId="23" borderId="128" xfId="45" applyFont="1" applyFill="1" applyBorder="1" applyAlignment="1">
      <alignment horizontal="center" vertical="center"/>
    </xf>
    <xf numFmtId="0" fontId="156" fillId="0" borderId="242" xfId="45" applyFont="1" applyBorder="1" applyAlignment="1">
      <alignment horizontal="center" vertical="center"/>
    </xf>
    <xf numFmtId="9" fontId="159" fillId="0" borderId="128" xfId="45" applyNumberFormat="1" applyFont="1" applyBorder="1" applyAlignment="1">
      <alignment horizontal="center" vertical="center"/>
    </xf>
    <xf numFmtId="41" fontId="159" fillId="42" borderId="179" xfId="29" applyFont="1" applyFill="1" applyBorder="1" applyAlignment="1">
      <alignment vertical="center"/>
    </xf>
    <xf numFmtId="41" fontId="159" fillId="0" borderId="241" xfId="29" applyFont="1" applyFill="1" applyBorder="1" applyAlignment="1">
      <alignment vertical="center"/>
    </xf>
    <xf numFmtId="41" fontId="159" fillId="0" borderId="179" xfId="29" applyFont="1" applyFill="1" applyBorder="1" applyAlignment="1">
      <alignment vertical="center"/>
    </xf>
    <xf numFmtId="41" fontId="159" fillId="42" borderId="241" xfId="29" applyFont="1" applyFill="1" applyBorder="1" applyAlignment="1">
      <alignment vertical="center"/>
    </xf>
    <xf numFmtId="41" fontId="159" fillId="42" borderId="129" xfId="29" applyFont="1" applyFill="1" applyBorder="1" applyAlignment="1">
      <alignment vertical="center"/>
    </xf>
    <xf numFmtId="41" fontId="159" fillId="42" borderId="128" xfId="29" applyFont="1" applyFill="1" applyBorder="1" applyAlignment="1">
      <alignment vertical="center"/>
    </xf>
    <xf numFmtId="0" fontId="156" fillId="0" borderId="4" xfId="45" applyFont="1" applyBorder="1" applyAlignment="1">
      <alignment horizontal="center" vertical="center"/>
    </xf>
    <xf numFmtId="9" fontId="159" fillId="0" borderId="12" xfId="45" applyNumberFormat="1" applyFont="1" applyBorder="1" applyAlignment="1">
      <alignment horizontal="center" vertical="center"/>
    </xf>
    <xf numFmtId="41" fontId="159" fillId="42" borderId="168" xfId="29" applyFont="1" applyFill="1" applyBorder="1" applyAlignment="1">
      <alignment vertical="center"/>
    </xf>
    <xf numFmtId="41" fontId="159" fillId="0" borderId="48" xfId="29" applyFont="1" applyFill="1" applyBorder="1" applyAlignment="1">
      <alignment vertical="center"/>
    </xf>
    <xf numFmtId="41" fontId="159" fillId="0" borderId="168" xfId="29" applyFont="1" applyFill="1" applyBorder="1" applyAlignment="1">
      <alignment vertical="center"/>
    </xf>
    <xf numFmtId="41" fontId="159" fillId="42" borderId="48" xfId="29" applyFont="1" applyFill="1" applyBorder="1" applyAlignment="1">
      <alignment vertical="center"/>
    </xf>
    <xf numFmtId="41" fontId="159" fillId="42" borderId="18" xfId="29" applyFont="1" applyFill="1" applyBorder="1" applyAlignment="1">
      <alignment vertical="center"/>
    </xf>
    <xf numFmtId="41" fontId="159" fillId="42" borderId="12" xfId="29" applyFont="1" applyFill="1" applyBorder="1" applyAlignment="1">
      <alignment vertical="center"/>
    </xf>
    <xf numFmtId="41" fontId="159" fillId="0" borderId="18" xfId="29" applyFont="1" applyFill="1" applyBorder="1" applyAlignment="1">
      <alignment vertical="center"/>
    </xf>
    <xf numFmtId="41" fontId="159" fillId="0" borderId="12" xfId="29" applyFont="1" applyFill="1" applyBorder="1" applyAlignment="1">
      <alignment vertical="center"/>
    </xf>
    <xf numFmtId="0" fontId="4" fillId="0" borderId="0" xfId="42" applyFont="1">
      <alignment vertical="center"/>
    </xf>
    <xf numFmtId="0" fontId="156" fillId="0" borderId="243" xfId="45" applyFont="1" applyBorder="1" applyAlignment="1">
      <alignment horizontal="center" vertical="center"/>
    </xf>
    <xf numFmtId="9" fontId="156" fillId="0" borderId="125" xfId="45" applyNumberFormat="1" applyFont="1" applyBorder="1" applyAlignment="1">
      <alignment horizontal="center" vertical="center"/>
    </xf>
    <xf numFmtId="41" fontId="156" fillId="0" borderId="244" xfId="29" applyFont="1" applyFill="1" applyBorder="1" applyAlignment="1">
      <alignment vertical="center"/>
    </xf>
    <xf numFmtId="41" fontId="160" fillId="0" borderId="26" xfId="29" applyFont="1" applyFill="1" applyBorder="1" applyAlignment="1">
      <alignment vertical="center"/>
    </xf>
    <xf numFmtId="41" fontId="156" fillId="0" borderId="127" xfId="29" applyFont="1" applyFill="1" applyBorder="1" applyAlignment="1">
      <alignment vertical="center"/>
    </xf>
    <xf numFmtId="0" fontId="156" fillId="0" borderId="25" xfId="45" applyFont="1" applyBorder="1" applyAlignment="1">
      <alignment horizontal="center" vertical="center"/>
    </xf>
    <xf numFmtId="9" fontId="159" fillId="0" borderId="226" xfId="45" applyNumberFormat="1" applyFont="1" applyBorder="1" applyAlignment="1">
      <alignment horizontal="center" vertical="center"/>
    </xf>
    <xf numFmtId="41" fontId="159" fillId="0" borderId="245" xfId="29" applyFont="1" applyFill="1" applyBorder="1" applyAlignment="1">
      <alignment vertical="center"/>
    </xf>
    <xf numFmtId="41" fontId="159" fillId="0" borderId="246" xfId="29" applyFont="1" applyFill="1" applyBorder="1" applyAlignment="1">
      <alignment vertical="center"/>
    </xf>
    <xf numFmtId="41" fontId="159" fillId="0" borderId="227" xfId="29" applyFont="1" applyFill="1" applyBorder="1" applyAlignment="1">
      <alignment vertical="center"/>
    </xf>
    <xf numFmtId="41" fontId="159" fillId="0" borderId="226" xfId="29" applyFont="1" applyFill="1" applyBorder="1" applyAlignment="1">
      <alignment vertical="center"/>
    </xf>
    <xf numFmtId="0" fontId="156" fillId="0" borderId="0" xfId="45" applyFont="1" applyAlignment="1">
      <alignment horizontal="center" vertical="center"/>
    </xf>
    <xf numFmtId="41" fontId="159" fillId="0" borderId="0" xfId="29" applyFont="1" applyFill="1" applyBorder="1" applyAlignment="1">
      <alignment vertical="center"/>
    </xf>
    <xf numFmtId="0" fontId="156" fillId="0" borderId="128" xfId="45" applyFont="1" applyBorder="1" applyAlignment="1">
      <alignment horizontal="center" vertical="center"/>
    </xf>
    <xf numFmtId="0" fontId="156" fillId="0" borderId="129" xfId="45" applyFont="1" applyBorder="1" applyAlignment="1">
      <alignment horizontal="center" vertical="center"/>
    </xf>
    <xf numFmtId="0" fontId="156" fillId="0" borderId="139" xfId="45" applyFont="1" applyBorder="1" applyAlignment="1">
      <alignment horizontal="center" vertical="center"/>
    </xf>
    <xf numFmtId="41" fontId="159" fillId="0" borderId="139" xfId="1" applyFont="1" applyFill="1" applyBorder="1" applyAlignment="1">
      <alignment vertical="center"/>
    </xf>
    <xf numFmtId="41" fontId="159" fillId="0" borderId="139" xfId="29" applyFont="1" applyFill="1" applyBorder="1" applyAlignment="1">
      <alignment vertical="center"/>
    </xf>
    <xf numFmtId="43" fontId="159" fillId="0" borderId="139" xfId="29" applyNumberFormat="1" applyFont="1" applyFill="1" applyBorder="1" applyAlignment="1">
      <alignment vertical="center"/>
    </xf>
    <xf numFmtId="0" fontId="156" fillId="0" borderId="12" xfId="45" applyFont="1" applyBorder="1" applyAlignment="1">
      <alignment horizontal="center" vertical="center"/>
    </xf>
    <xf numFmtId="0" fontId="156" fillId="0" borderId="18" xfId="45" applyFont="1" applyBorder="1" applyAlignment="1">
      <alignment horizontal="center" vertical="center"/>
    </xf>
    <xf numFmtId="0" fontId="156" fillId="0" borderId="13" xfId="45" applyFont="1" applyBorder="1" applyAlignment="1">
      <alignment horizontal="center" vertical="center"/>
    </xf>
    <xf numFmtId="41" fontId="159" fillId="0" borderId="13" xfId="1" applyFont="1" applyFill="1" applyBorder="1" applyAlignment="1">
      <alignment vertical="center"/>
    </xf>
    <xf numFmtId="41" fontId="159" fillId="0" borderId="13" xfId="29" applyFont="1" applyFill="1" applyBorder="1" applyAlignment="1">
      <alignment vertical="center"/>
    </xf>
    <xf numFmtId="0" fontId="156" fillId="0" borderId="135" xfId="45" applyFont="1" applyBorder="1" applyAlignment="1">
      <alignment horizontal="center" vertical="center"/>
    </xf>
    <xf numFmtId="0" fontId="156" fillId="0" borderId="9" xfId="45" applyFont="1" applyBorder="1" applyAlignment="1">
      <alignment horizontal="left" vertical="center"/>
    </xf>
    <xf numFmtId="0" fontId="156" fillId="0" borderId="9" xfId="45" applyFont="1" applyBorder="1" applyAlignment="1">
      <alignment horizontal="center" vertical="center"/>
    </xf>
    <xf numFmtId="41" fontId="156" fillId="0" borderId="9" xfId="1" applyFont="1" applyFill="1" applyBorder="1" applyAlignment="1">
      <alignment vertical="center"/>
    </xf>
    <xf numFmtId="41" fontId="156" fillId="0" borderId="9" xfId="29" applyFont="1" applyFill="1" applyBorder="1" applyAlignment="1">
      <alignment vertical="center"/>
    </xf>
    <xf numFmtId="9" fontId="156" fillId="0" borderId="21" xfId="45" applyNumberFormat="1" applyFont="1" applyBorder="1" applyAlignment="1">
      <alignment horizontal="center" vertical="center"/>
    </xf>
    <xf numFmtId="41" fontId="158" fillId="8" borderId="26" xfId="29" applyFont="1" applyFill="1" applyBorder="1" applyAlignment="1">
      <alignment vertical="center"/>
    </xf>
    <xf numFmtId="41" fontId="156" fillId="0" borderId="247" xfId="29" applyFont="1" applyFill="1" applyBorder="1" applyAlignment="1">
      <alignment vertical="center"/>
    </xf>
    <xf numFmtId="0" fontId="113" fillId="0" borderId="0" xfId="46" applyFont="1" applyAlignment="1">
      <alignment vertical="center"/>
    </xf>
    <xf numFmtId="0" fontId="5" fillId="0" borderId="0" xfId="47">
      <alignment vertical="center"/>
    </xf>
    <xf numFmtId="0" fontId="11" fillId="0" borderId="0" xfId="47" applyFont="1" applyAlignment="1">
      <alignment horizontal="right" vertical="center"/>
    </xf>
    <xf numFmtId="220" fontId="5" fillId="0" borderId="0" xfId="47" applyNumberFormat="1">
      <alignment vertical="center"/>
    </xf>
    <xf numFmtId="0" fontId="5" fillId="11" borderId="248" xfId="47" applyFill="1" applyBorder="1" applyAlignment="1">
      <alignment horizontal="center" vertical="center"/>
    </xf>
    <xf numFmtId="0" fontId="5" fillId="11" borderId="139" xfId="47" applyFill="1" applyBorder="1" applyAlignment="1">
      <alignment horizontal="center" vertical="center"/>
    </xf>
    <xf numFmtId="0" fontId="5" fillId="11" borderId="128" xfId="47" applyFill="1" applyBorder="1" applyAlignment="1">
      <alignment horizontal="center" vertical="center"/>
    </xf>
    <xf numFmtId="0" fontId="5" fillId="11" borderId="249" xfId="47" applyFill="1" applyBorder="1" applyAlignment="1">
      <alignment horizontal="center" vertical="center"/>
    </xf>
    <xf numFmtId="0" fontId="118" fillId="11" borderId="249" xfId="47" applyFont="1" applyFill="1" applyBorder="1" applyAlignment="1">
      <alignment horizontal="center" vertical="center"/>
    </xf>
    <xf numFmtId="0" fontId="5" fillId="11" borderId="129" xfId="47" applyFill="1" applyBorder="1" applyAlignment="1">
      <alignment horizontal="center" vertical="center"/>
    </xf>
    <xf numFmtId="41" fontId="5" fillId="33" borderId="250" xfId="29" applyFont="1" applyFill="1" applyBorder="1" applyAlignment="1">
      <alignment horizontal="right" vertical="center"/>
    </xf>
    <xf numFmtId="41" fontId="5" fillId="33" borderId="181" xfId="29" applyFont="1" applyFill="1" applyBorder="1" applyAlignment="1">
      <alignment horizontal="right" vertical="center"/>
    </xf>
    <xf numFmtId="41" fontId="5" fillId="33" borderId="182" xfId="29" applyFont="1" applyFill="1" applyBorder="1" applyAlignment="1">
      <alignment horizontal="right" vertical="center"/>
    </xf>
    <xf numFmtId="41" fontId="5" fillId="33" borderId="251" xfId="29" applyFont="1" applyFill="1" applyBorder="1" applyAlignment="1">
      <alignment horizontal="right" vertical="center"/>
    </xf>
    <xf numFmtId="9" fontId="5" fillId="33" borderId="251" xfId="29" applyNumberFormat="1" applyFont="1" applyFill="1" applyBorder="1" applyAlignment="1">
      <alignment horizontal="right" vertical="center"/>
    </xf>
    <xf numFmtId="41" fontId="11" fillId="33" borderId="184" xfId="29" applyFont="1" applyFill="1" applyBorder="1" applyAlignment="1">
      <alignment horizontal="right" vertical="center"/>
    </xf>
    <xf numFmtId="217" fontId="11" fillId="33" borderId="181" xfId="47" applyNumberFormat="1" applyFont="1" applyFill="1" applyBorder="1">
      <alignment vertical="center"/>
    </xf>
    <xf numFmtId="41" fontId="5" fillId="33" borderId="254" xfId="29" applyFont="1" applyFill="1" applyBorder="1" applyAlignment="1">
      <alignment horizontal="right" vertical="center"/>
    </xf>
    <xf numFmtId="41" fontId="5" fillId="33" borderId="252" xfId="29" applyFont="1" applyFill="1" applyBorder="1" applyAlignment="1">
      <alignment horizontal="right" vertical="center"/>
    </xf>
    <xf numFmtId="41" fontId="5" fillId="33" borderId="253" xfId="29" applyFont="1" applyFill="1" applyBorder="1" applyAlignment="1">
      <alignment horizontal="right" vertical="center"/>
    </xf>
    <xf numFmtId="41" fontId="5" fillId="33" borderId="255" xfId="29" applyFont="1" applyFill="1" applyBorder="1" applyAlignment="1">
      <alignment horizontal="right" vertical="center"/>
    </xf>
    <xf numFmtId="0" fontId="5" fillId="0" borderId="28" xfId="47" applyBorder="1" applyAlignment="1">
      <alignment horizontal="center" vertical="center"/>
    </xf>
    <xf numFmtId="41" fontId="5" fillId="0" borderId="257" xfId="29" applyFont="1" applyFill="1" applyBorder="1" applyAlignment="1">
      <alignment horizontal="right" vertical="center"/>
    </xf>
    <xf numFmtId="41" fontId="5" fillId="0" borderId="27" xfId="29" applyFont="1" applyFill="1" applyBorder="1" applyAlignment="1">
      <alignment horizontal="right" vertical="center"/>
    </xf>
    <xf numFmtId="41" fontId="5" fillId="0" borderId="28" xfId="29" applyFont="1" applyFill="1" applyBorder="1" applyAlignment="1">
      <alignment horizontal="right" vertical="center"/>
    </xf>
    <xf numFmtId="41" fontId="5" fillId="0" borderId="258" xfId="29" applyFont="1" applyFill="1" applyBorder="1" applyAlignment="1">
      <alignment horizontal="right" vertical="center"/>
    </xf>
    <xf numFmtId="41" fontId="11" fillId="0" borderId="30" xfId="29" applyFont="1" applyFill="1" applyBorder="1" applyAlignment="1">
      <alignment horizontal="right" vertical="center"/>
    </xf>
    <xf numFmtId="217" fontId="11" fillId="0" borderId="27" xfId="47" applyNumberFormat="1" applyFont="1" applyBorder="1">
      <alignment vertical="center"/>
    </xf>
    <xf numFmtId="0" fontId="5" fillId="0" borderId="140" xfId="47" applyBorder="1" applyAlignment="1">
      <alignment horizontal="center" vertical="center"/>
    </xf>
    <xf numFmtId="41" fontId="5" fillId="0" borderId="259" xfId="29" applyFont="1" applyFill="1" applyBorder="1" applyAlignment="1">
      <alignment horizontal="right" vertical="center"/>
    </xf>
    <xf numFmtId="41" fontId="5" fillId="0" borderId="43" xfId="29" applyFont="1" applyFill="1" applyBorder="1" applyAlignment="1">
      <alignment horizontal="right" vertical="center"/>
    </xf>
    <xf numFmtId="41" fontId="5" fillId="0" borderId="140" xfId="29" applyFont="1" applyFill="1" applyBorder="1" applyAlignment="1">
      <alignment horizontal="right" vertical="center"/>
    </xf>
    <xf numFmtId="41" fontId="5" fillId="0" borderId="260" xfId="29" applyFont="1" applyFill="1" applyBorder="1" applyAlignment="1">
      <alignment horizontal="right" vertical="center"/>
    </xf>
    <xf numFmtId="41" fontId="11" fillId="0" borderId="42" xfId="29" applyFont="1" applyFill="1" applyBorder="1" applyAlignment="1">
      <alignment horizontal="right" vertical="center"/>
    </xf>
    <xf numFmtId="217" fontId="11" fillId="0" borderId="43" xfId="47" applyNumberFormat="1" applyFont="1" applyBorder="1">
      <alignment vertical="center"/>
    </xf>
    <xf numFmtId="243" fontId="5" fillId="0" borderId="261" xfId="47" applyNumberFormat="1" applyBorder="1" applyAlignment="1">
      <alignment horizontal="right" vertical="center"/>
    </xf>
    <xf numFmtId="243" fontId="5" fillId="0" borderId="98" xfId="47" applyNumberFormat="1" applyBorder="1" applyAlignment="1">
      <alignment horizontal="right" vertical="center"/>
    </xf>
    <xf numFmtId="243" fontId="5" fillId="0" borderId="87" xfId="47" applyNumberFormat="1" applyBorder="1" applyAlignment="1">
      <alignment horizontal="right" vertical="center"/>
    </xf>
    <xf numFmtId="243" fontId="5" fillId="0" borderId="262" xfId="47" applyNumberFormat="1" applyBorder="1" applyAlignment="1">
      <alignment horizontal="right" vertical="center"/>
    </xf>
    <xf numFmtId="220" fontId="11" fillId="0" borderId="221" xfId="39" applyNumberFormat="1" applyFont="1" applyFill="1" applyBorder="1" applyAlignment="1">
      <alignment horizontal="right" vertical="center"/>
    </xf>
    <xf numFmtId="220" fontId="11" fillId="0" borderId="9" xfId="39" applyNumberFormat="1" applyFont="1" applyFill="1" applyBorder="1" applyAlignment="1">
      <alignment horizontal="right" vertical="center"/>
    </xf>
    <xf numFmtId="220" fontId="113" fillId="0" borderId="12" xfId="39" applyNumberFormat="1" applyFont="1" applyFill="1" applyBorder="1" applyAlignment="1">
      <alignment horizontal="right" vertical="center"/>
    </xf>
    <xf numFmtId="220" fontId="11" fillId="0" borderId="265" xfId="39" applyNumberFormat="1" applyFont="1" applyFill="1" applyBorder="1" applyAlignment="1">
      <alignment horizontal="right" vertical="center"/>
    </xf>
    <xf numFmtId="197" fontId="114" fillId="0" borderId="136" xfId="47" applyNumberFormat="1" applyFont="1" applyBorder="1" applyAlignment="1">
      <alignment horizontal="right" vertical="center"/>
    </xf>
    <xf numFmtId="243" fontId="11" fillId="0" borderId="13" xfId="47" applyNumberFormat="1" applyFont="1" applyBorder="1" applyAlignment="1">
      <alignment horizontal="right" vertical="center"/>
    </xf>
    <xf numFmtId="220" fontId="11" fillId="0" borderId="266" xfId="39" applyNumberFormat="1" applyFont="1" applyFill="1" applyBorder="1" applyAlignment="1">
      <alignment horizontal="right" vertical="center"/>
    </xf>
    <xf numFmtId="220" fontId="11" fillId="0" borderId="13" xfId="39" applyNumberFormat="1" applyFont="1" applyFill="1" applyBorder="1" applyAlignment="1">
      <alignment horizontal="right" vertical="center"/>
    </xf>
    <xf numFmtId="243" fontId="5" fillId="0" borderId="267" xfId="47" applyNumberFormat="1" applyBorder="1" applyAlignment="1">
      <alignment horizontal="right" vertical="center"/>
    </xf>
    <xf numFmtId="220" fontId="11" fillId="0" borderId="268" xfId="39" applyNumberFormat="1" applyFont="1" applyFill="1" applyBorder="1" applyAlignment="1">
      <alignment horizontal="right" vertical="center"/>
    </xf>
    <xf numFmtId="220" fontId="11" fillId="0" borderId="134" xfId="39" applyNumberFormat="1" applyFont="1" applyFill="1" applyBorder="1" applyAlignment="1">
      <alignment horizontal="right" vertical="center"/>
    </xf>
    <xf numFmtId="220" fontId="113" fillId="0" borderId="135" xfId="39" applyNumberFormat="1" applyFont="1" applyFill="1" applyBorder="1" applyAlignment="1">
      <alignment horizontal="right" vertical="center"/>
    </xf>
    <xf numFmtId="220" fontId="11" fillId="0" borderId="269" xfId="39" applyNumberFormat="1" applyFont="1" applyFill="1" applyBorder="1" applyAlignment="1">
      <alignment horizontal="right" vertical="center"/>
    </xf>
    <xf numFmtId="243" fontId="11" fillId="0" borderId="134" xfId="47" applyNumberFormat="1" applyFont="1" applyBorder="1" applyAlignment="1">
      <alignment horizontal="right" vertical="center"/>
    </xf>
    <xf numFmtId="0" fontId="162" fillId="0" borderId="0" xfId="40" applyFont="1" applyAlignment="1">
      <alignment horizontal="left" vertical="center"/>
    </xf>
    <xf numFmtId="9" fontId="5" fillId="0" borderId="0" xfId="40" applyNumberFormat="1" applyFont="1">
      <alignment vertical="center"/>
    </xf>
    <xf numFmtId="41" fontId="11" fillId="11" borderId="95" xfId="39" applyFont="1" applyFill="1" applyBorder="1">
      <alignment vertical="center"/>
    </xf>
    <xf numFmtId="41" fontId="11" fillId="11" borderId="51" xfId="39" applyFont="1" applyFill="1" applyBorder="1">
      <alignment vertical="center"/>
    </xf>
    <xf numFmtId="41" fontId="11" fillId="11" borderId="96" xfId="39" applyFont="1" applyFill="1" applyBorder="1">
      <alignment vertical="center"/>
    </xf>
    <xf numFmtId="41" fontId="5" fillId="0" borderId="90" xfId="39" applyFont="1" applyFill="1" applyBorder="1" applyAlignment="1">
      <alignment horizontal="center" vertical="center"/>
    </xf>
    <xf numFmtId="179" fontId="118" fillId="0" borderId="209" xfId="39" applyNumberFormat="1" applyFont="1" applyFill="1" applyBorder="1">
      <alignment vertical="center"/>
    </xf>
    <xf numFmtId="41" fontId="5" fillId="0" borderId="89" xfId="39" applyFont="1" applyFill="1" applyBorder="1">
      <alignment vertical="center"/>
    </xf>
    <xf numFmtId="41" fontId="5" fillId="0" borderId="90" xfId="39" applyFont="1" applyFill="1" applyBorder="1">
      <alignment vertical="center"/>
    </xf>
    <xf numFmtId="41" fontId="5" fillId="0" borderId="91" xfId="39" applyFont="1" applyFill="1" applyBorder="1">
      <alignment vertical="center"/>
    </xf>
    <xf numFmtId="41" fontId="5" fillId="0" borderId="210" xfId="39" applyFont="1" applyFill="1" applyBorder="1">
      <alignment vertical="center"/>
    </xf>
    <xf numFmtId="0" fontId="5" fillId="0" borderId="0" xfId="48" applyFont="1">
      <alignment vertical="center"/>
    </xf>
    <xf numFmtId="41" fontId="5" fillId="0" borderId="86" xfId="39" applyFont="1" applyFill="1" applyBorder="1" applyAlignment="1">
      <alignment horizontal="center" vertical="center"/>
    </xf>
    <xf numFmtId="41" fontId="5" fillId="0" borderId="41" xfId="39" applyFont="1" applyFill="1" applyBorder="1">
      <alignment vertical="center"/>
    </xf>
    <xf numFmtId="41" fontId="5" fillId="0" borderId="143" xfId="39" applyFont="1" applyFill="1" applyBorder="1">
      <alignment vertical="center"/>
    </xf>
    <xf numFmtId="41" fontId="5" fillId="0" borderId="86" xfId="39" applyFont="1" applyFill="1" applyBorder="1">
      <alignment vertical="center"/>
    </xf>
    <xf numFmtId="41" fontId="5" fillId="0" borderId="144" xfId="39" applyFont="1" applyFill="1" applyBorder="1">
      <alignment vertical="center"/>
    </xf>
    <xf numFmtId="41" fontId="5" fillId="0" borderId="42" xfId="39" applyFont="1" applyFill="1" applyBorder="1">
      <alignment vertical="center"/>
    </xf>
    <xf numFmtId="41" fontId="5" fillId="0" borderId="41" xfId="39" applyFont="1" applyFill="1" applyBorder="1" applyAlignment="1">
      <alignment vertical="center"/>
    </xf>
    <xf numFmtId="187" fontId="5" fillId="0" borderId="143" xfId="39" applyNumberFormat="1" applyFont="1" applyFill="1" applyBorder="1" applyAlignment="1">
      <alignment horizontal="right" vertical="center"/>
    </xf>
    <xf numFmtId="187" fontId="5" fillId="0" borderId="86" xfId="39" applyNumberFormat="1" applyFont="1" applyFill="1" applyBorder="1" applyAlignment="1">
      <alignment horizontal="right" vertical="center"/>
    </xf>
    <xf numFmtId="187" fontId="5" fillId="0" borderId="144" xfId="39" applyNumberFormat="1" applyFont="1" applyFill="1" applyBorder="1" applyAlignment="1">
      <alignment horizontal="right" vertical="center"/>
    </xf>
    <xf numFmtId="41" fontId="11" fillId="0" borderId="42" xfId="39" applyFont="1" applyFill="1" applyBorder="1">
      <alignment vertical="center"/>
    </xf>
    <xf numFmtId="41" fontId="11" fillId="0" borderId="144" xfId="39" applyFont="1" applyFill="1" applyBorder="1">
      <alignment vertical="center"/>
    </xf>
    <xf numFmtId="41" fontId="11" fillId="0" borderId="86" xfId="39" applyFont="1" applyFill="1" applyBorder="1">
      <alignment vertical="center"/>
    </xf>
    <xf numFmtId="187" fontId="111" fillId="0" borderId="143" xfId="39" applyNumberFormat="1" applyFont="1" applyFill="1" applyBorder="1" applyAlignment="1">
      <alignment horizontal="right" vertical="center"/>
    </xf>
    <xf numFmtId="41" fontId="5" fillId="0" borderId="31" xfId="39" applyFont="1" applyFill="1" applyBorder="1" applyAlignment="1">
      <alignment vertical="center"/>
    </xf>
    <xf numFmtId="187" fontId="5" fillId="0" borderId="141" xfId="39" applyNumberFormat="1" applyFont="1" applyFill="1" applyBorder="1" applyAlignment="1">
      <alignment horizontal="right" vertical="center"/>
    </xf>
    <xf numFmtId="187" fontId="5" fillId="0" borderId="53" xfId="39" applyNumberFormat="1" applyFont="1" applyFill="1" applyBorder="1" applyAlignment="1">
      <alignment horizontal="right" vertical="center"/>
    </xf>
    <xf numFmtId="187" fontId="5" fillId="0" borderId="142" xfId="39" applyNumberFormat="1" applyFont="1" applyFill="1" applyBorder="1" applyAlignment="1">
      <alignment horizontal="right" vertical="center"/>
    </xf>
    <xf numFmtId="0" fontId="5" fillId="0" borderId="23" xfId="48" applyFont="1" applyBorder="1">
      <alignment vertical="center"/>
    </xf>
    <xf numFmtId="41" fontId="5" fillId="0" borderId="100" xfId="39" applyFont="1" applyFill="1" applyBorder="1" applyAlignment="1">
      <alignment horizontal="center" vertical="center"/>
    </xf>
    <xf numFmtId="41" fontId="5" fillId="0" borderId="97" xfId="39" applyFont="1" applyFill="1" applyBorder="1">
      <alignment vertical="center"/>
    </xf>
    <xf numFmtId="41" fontId="5" fillId="0" borderId="99" xfId="39" applyFont="1" applyFill="1" applyBorder="1">
      <alignment vertical="center"/>
    </xf>
    <xf numFmtId="41" fontId="5" fillId="0" borderId="100" xfId="39" applyFont="1" applyFill="1" applyBorder="1">
      <alignment vertical="center"/>
    </xf>
    <xf numFmtId="41" fontId="5" fillId="0" borderId="101" xfId="39" applyFont="1" applyFill="1" applyBorder="1">
      <alignment vertical="center"/>
    </xf>
    <xf numFmtId="41" fontId="5" fillId="0" borderId="88" xfId="39" applyFont="1" applyFill="1" applyBorder="1">
      <alignment vertical="center"/>
    </xf>
    <xf numFmtId="0" fontId="5" fillId="0" borderId="123" xfId="48" applyFont="1" applyBorder="1">
      <alignment vertical="center"/>
    </xf>
    <xf numFmtId="41" fontId="5" fillId="0" borderId="191" xfId="39" applyFont="1" applyFill="1" applyBorder="1" applyAlignment="1">
      <alignment horizontal="center" vertical="center"/>
    </xf>
    <xf numFmtId="179" fontId="118" fillId="0" borderId="35" xfId="39" applyNumberFormat="1" applyFont="1" applyFill="1" applyBorder="1">
      <alignment vertical="center"/>
    </xf>
    <xf numFmtId="41" fontId="5" fillId="0" borderId="190" xfId="39" applyFont="1" applyFill="1" applyBorder="1">
      <alignment vertical="center"/>
    </xf>
    <xf numFmtId="41" fontId="5" fillId="0" borderId="191" xfId="39" applyFont="1" applyFill="1" applyBorder="1">
      <alignment vertical="center"/>
    </xf>
    <xf numFmtId="41" fontId="5" fillId="0" borderId="192" xfId="39" applyFont="1" applyFill="1" applyBorder="1">
      <alignment vertical="center"/>
    </xf>
    <xf numFmtId="41" fontId="5" fillId="0" borderId="270" xfId="39" applyFont="1" applyFill="1" applyBorder="1">
      <alignment vertical="center"/>
    </xf>
    <xf numFmtId="41" fontId="5" fillId="0" borderId="27" xfId="39" applyFont="1" applyFill="1" applyBorder="1" applyAlignment="1">
      <alignment horizontal="center" vertical="center"/>
    </xf>
    <xf numFmtId="179" fontId="118" fillId="0" borderId="27" xfId="39" applyNumberFormat="1" applyFont="1" applyFill="1" applyBorder="1">
      <alignment vertical="center"/>
    </xf>
    <xf numFmtId="41" fontId="5" fillId="0" borderId="27" xfId="39" applyFont="1" applyFill="1" applyBorder="1">
      <alignment vertical="center"/>
    </xf>
    <xf numFmtId="0" fontId="5" fillId="0" borderId="37" xfId="48" applyFont="1" applyBorder="1">
      <alignment vertical="center"/>
    </xf>
    <xf numFmtId="41" fontId="5" fillId="0" borderId="98" xfId="39" applyFont="1" applyFill="1" applyBorder="1" applyAlignment="1">
      <alignment horizontal="center" vertical="center"/>
    </xf>
    <xf numFmtId="41" fontId="5" fillId="0" borderId="98" xfId="39" applyFont="1" applyFill="1" applyBorder="1">
      <alignment vertical="center"/>
    </xf>
    <xf numFmtId="0" fontId="5" fillId="0" borderId="39" xfId="48" applyFont="1" applyBorder="1">
      <alignment vertical="center"/>
    </xf>
    <xf numFmtId="41" fontId="5" fillId="0" borderId="9" xfId="39" applyFont="1" applyFill="1" applyBorder="1" applyAlignment="1">
      <alignment horizontal="center" vertical="center"/>
    </xf>
    <xf numFmtId="9" fontId="5" fillId="0" borderId="9" xfId="39" applyNumberFormat="1" applyFont="1" applyFill="1" applyBorder="1">
      <alignment vertical="center"/>
    </xf>
    <xf numFmtId="41" fontId="5" fillId="0" borderId="9" xfId="39" applyFont="1" applyFill="1" applyBorder="1">
      <alignment vertical="center"/>
    </xf>
    <xf numFmtId="217" fontId="5" fillId="0" borderId="9" xfId="39" applyNumberFormat="1" applyFont="1" applyFill="1" applyBorder="1">
      <alignment vertical="center"/>
    </xf>
    <xf numFmtId="231" fontId="5" fillId="0" borderId="0" xfId="48" applyNumberFormat="1" applyFont="1">
      <alignment vertical="center"/>
    </xf>
    <xf numFmtId="0" fontId="5" fillId="11" borderId="23" xfId="47" applyFill="1" applyBorder="1" applyAlignment="1">
      <alignment horizontal="center" vertical="center"/>
    </xf>
    <xf numFmtId="41" fontId="11" fillId="33" borderId="183" xfId="29" applyFont="1" applyFill="1" applyBorder="1" applyAlignment="1">
      <alignment horizontal="right" vertical="center"/>
    </xf>
    <xf numFmtId="0" fontId="5" fillId="33" borderId="253" xfId="40" applyFont="1" applyFill="1" applyBorder="1">
      <alignment vertical="center"/>
    </xf>
    <xf numFmtId="41" fontId="11" fillId="33" borderId="252" xfId="29" applyFont="1" applyFill="1" applyBorder="1" applyAlignment="1">
      <alignment vertical="center"/>
    </xf>
    <xf numFmtId="0" fontId="5" fillId="0" borderId="50" xfId="47" applyBorder="1" applyAlignment="1">
      <alignment horizontal="center" vertical="center"/>
    </xf>
    <xf numFmtId="41" fontId="5" fillId="0" borderId="272" xfId="29" applyFont="1" applyFill="1" applyBorder="1" applyAlignment="1">
      <alignment horizontal="right" vertical="center"/>
    </xf>
    <xf numFmtId="41" fontId="5" fillId="0" borderId="38" xfId="29" applyFont="1" applyFill="1" applyBorder="1" applyAlignment="1">
      <alignment horizontal="right" vertical="center"/>
    </xf>
    <xf numFmtId="41" fontId="5" fillId="0" borderId="50" xfId="29" applyFont="1" applyFill="1" applyBorder="1" applyAlignment="1">
      <alignment horizontal="right" vertical="center"/>
    </xf>
    <xf numFmtId="41" fontId="11" fillId="0" borderId="37" xfId="29" applyFont="1" applyFill="1" applyBorder="1" applyAlignment="1">
      <alignment horizontal="right" vertical="center"/>
    </xf>
    <xf numFmtId="217" fontId="11" fillId="0" borderId="38" xfId="47" applyNumberFormat="1" applyFont="1" applyBorder="1">
      <alignment vertical="center"/>
    </xf>
    <xf numFmtId="41" fontId="11" fillId="0" borderId="43" xfId="29" applyFont="1" applyFill="1" applyBorder="1" applyAlignment="1">
      <alignment vertical="center"/>
    </xf>
    <xf numFmtId="41" fontId="11" fillId="0" borderId="40" xfId="29" applyFont="1" applyFill="1" applyBorder="1" applyAlignment="1">
      <alignment horizontal="right" vertical="center"/>
    </xf>
    <xf numFmtId="0" fontId="5" fillId="0" borderId="49" xfId="47" applyBorder="1" applyAlignment="1">
      <alignment horizontal="center" vertical="center"/>
    </xf>
    <xf numFmtId="41" fontId="5" fillId="0" borderId="273" xfId="29" applyFont="1" applyFill="1" applyBorder="1" applyAlignment="1">
      <alignment horizontal="right" vertical="center"/>
    </xf>
    <xf numFmtId="41" fontId="5" fillId="0" borderId="33" xfId="29" applyFont="1" applyFill="1" applyBorder="1" applyAlignment="1">
      <alignment horizontal="right" vertical="center"/>
    </xf>
    <xf numFmtId="41" fontId="5" fillId="0" borderId="49" xfId="29" applyFont="1" applyFill="1" applyBorder="1" applyAlignment="1">
      <alignment horizontal="right" vertical="center"/>
    </xf>
    <xf numFmtId="41" fontId="11" fillId="0" borderId="33" xfId="29" applyFont="1" applyFill="1" applyBorder="1" applyAlignment="1">
      <alignment vertical="center"/>
    </xf>
    <xf numFmtId="243" fontId="5" fillId="0" borderId="274" xfId="47" applyNumberFormat="1" applyBorder="1" applyAlignment="1">
      <alignment horizontal="right" vertical="center"/>
    </xf>
    <xf numFmtId="243" fontId="5" fillId="0" borderId="9" xfId="47" applyNumberFormat="1" applyBorder="1" applyAlignment="1">
      <alignment horizontal="right" vertical="center"/>
    </xf>
    <xf numFmtId="243" fontId="5" fillId="0" borderId="21" xfId="47" applyNumberFormat="1" applyBorder="1" applyAlignment="1">
      <alignment horizontal="right" vertical="center"/>
    </xf>
    <xf numFmtId="243" fontId="11" fillId="0" borderId="21" xfId="47" applyNumberFormat="1" applyFont="1" applyBorder="1">
      <alignment vertical="center"/>
    </xf>
    <xf numFmtId="243" fontId="11" fillId="0" borderId="9" xfId="47" applyNumberFormat="1" applyFont="1" applyBorder="1">
      <alignment vertical="center"/>
    </xf>
    <xf numFmtId="220" fontId="11" fillId="0" borderId="135" xfId="39" applyNumberFormat="1" applyFont="1" applyFill="1" applyBorder="1" applyAlignment="1">
      <alignment horizontal="right" vertical="center"/>
    </xf>
    <xf numFmtId="197" fontId="114" fillId="0" borderId="123" xfId="47" applyNumberFormat="1" applyFont="1" applyBorder="1" applyAlignment="1">
      <alignment horizontal="right" vertical="center"/>
    </xf>
    <xf numFmtId="0" fontId="5" fillId="0" borderId="0" xfId="40" applyFont="1" applyAlignment="1">
      <alignment horizontal="left" vertical="center"/>
    </xf>
    <xf numFmtId="41" fontId="5" fillId="11" borderId="9" xfId="39" applyFont="1" applyFill="1" applyBorder="1">
      <alignment vertical="center"/>
    </xf>
    <xf numFmtId="179" fontId="114" fillId="0" borderId="91" xfId="39" applyNumberFormat="1" applyFont="1" applyFill="1" applyBorder="1">
      <alignment vertical="center"/>
    </xf>
    <xf numFmtId="41" fontId="5" fillId="0" borderId="38" xfId="39" applyFont="1" applyFill="1" applyBorder="1">
      <alignment vertical="center"/>
    </xf>
    <xf numFmtId="0" fontId="137" fillId="0" borderId="0" xfId="49" applyFont="1">
      <alignment vertical="center"/>
    </xf>
    <xf numFmtId="0" fontId="59" fillId="0" borderId="0" xfId="49" applyFont="1">
      <alignment vertical="center"/>
    </xf>
    <xf numFmtId="0" fontId="137" fillId="0" borderId="0" xfId="49" applyFont="1" applyAlignment="1">
      <alignment horizontal="left" vertical="center"/>
    </xf>
    <xf numFmtId="41" fontId="59" fillId="0" borderId="0" xfId="49" applyNumberFormat="1" applyFont="1">
      <alignment vertical="center"/>
    </xf>
    <xf numFmtId="0" fontId="33" fillId="0" borderId="0" xfId="49" applyFont="1" applyAlignment="1">
      <alignment horizontal="center" vertical="center"/>
    </xf>
    <xf numFmtId="0" fontId="59" fillId="0" borderId="0" xfId="49" applyFont="1" applyAlignment="1">
      <alignment horizontal="center" vertical="center"/>
    </xf>
    <xf numFmtId="0" fontId="137" fillId="0" borderId="0" xfId="49" applyFont="1" applyAlignment="1">
      <alignment horizontal="center" vertical="center" wrapText="1"/>
    </xf>
    <xf numFmtId="0" fontId="137" fillId="11" borderId="9" xfId="49" applyFont="1" applyFill="1" applyBorder="1" applyAlignment="1">
      <alignment horizontal="center" vertical="center" wrapText="1"/>
    </xf>
    <xf numFmtId="0" fontId="137" fillId="0" borderId="0" xfId="49" applyFont="1" applyAlignment="1">
      <alignment horizontal="center" vertical="center"/>
    </xf>
    <xf numFmtId="187" fontId="33" fillId="0" borderId="134" xfId="49" applyNumberFormat="1" applyFont="1" applyBorder="1" applyAlignment="1">
      <alignment horizontal="right" vertical="center"/>
    </xf>
    <xf numFmtId="41" fontId="33" fillId="0" borderId="134" xfId="49" applyNumberFormat="1" applyFont="1" applyBorder="1" applyAlignment="1">
      <alignment horizontal="center" vertical="center"/>
    </xf>
    <xf numFmtId="41" fontId="33" fillId="0" borderId="134" xfId="49" applyNumberFormat="1" applyFont="1" applyBorder="1">
      <alignment vertical="center"/>
    </xf>
    <xf numFmtId="41" fontId="33" fillId="0" borderId="136" xfId="49" applyNumberFormat="1" applyFont="1" applyBorder="1">
      <alignment vertical="center"/>
    </xf>
    <xf numFmtId="41" fontId="33" fillId="0" borderId="0" xfId="49" applyNumberFormat="1" applyFont="1" applyAlignment="1">
      <alignment horizontal="center" vertical="center"/>
    </xf>
    <xf numFmtId="41" fontId="33" fillId="0" borderId="0" xfId="49" applyNumberFormat="1" applyFont="1">
      <alignment vertical="center"/>
    </xf>
    <xf numFmtId="41" fontId="59" fillId="0" borderId="0" xfId="49" applyNumberFormat="1" applyFont="1" applyAlignment="1">
      <alignment horizontal="center" vertical="center"/>
    </xf>
    <xf numFmtId="187" fontId="33" fillId="0" borderId="0" xfId="49" applyNumberFormat="1" applyFont="1" applyAlignment="1">
      <alignment horizontal="right" vertical="center"/>
    </xf>
    <xf numFmtId="187" fontId="33" fillId="0" borderId="9" xfId="49" applyNumberFormat="1" applyFont="1" applyBorder="1" applyAlignment="1">
      <alignment horizontal="right" vertical="center"/>
    </xf>
    <xf numFmtId="41" fontId="33" fillId="0" borderId="134" xfId="50" applyFont="1" applyFill="1" applyBorder="1" applyAlignment="1">
      <alignment horizontal="center" vertical="center"/>
    </xf>
    <xf numFmtId="41" fontId="33" fillId="0" borderId="134" xfId="50" applyFont="1" applyFill="1" applyBorder="1" applyAlignment="1">
      <alignment vertical="center"/>
    </xf>
    <xf numFmtId="41" fontId="33" fillId="0" borderId="0" xfId="50" applyFont="1" applyFill="1" applyBorder="1" applyAlignment="1">
      <alignment horizontal="center" vertical="center"/>
    </xf>
    <xf numFmtId="41" fontId="33" fillId="0" borderId="0" xfId="50" applyFont="1" applyFill="1" applyBorder="1" applyAlignment="1">
      <alignment vertical="center"/>
    </xf>
    <xf numFmtId="10" fontId="37" fillId="0" borderId="0" xfId="51" applyNumberFormat="1" applyFont="1" applyFill="1" applyBorder="1" applyAlignment="1">
      <alignment horizontal="right" vertical="center"/>
    </xf>
    <xf numFmtId="43" fontId="33" fillId="0" borderId="0" xfId="49" applyNumberFormat="1" applyFont="1" applyAlignment="1">
      <alignment horizontal="center" vertical="center"/>
    </xf>
    <xf numFmtId="41" fontId="33" fillId="0" borderId="263" xfId="49" applyNumberFormat="1" applyFont="1" applyBorder="1">
      <alignment vertical="center"/>
    </xf>
    <xf numFmtId="41" fontId="34" fillId="0" borderId="0" xfId="49" applyNumberFormat="1" applyFont="1" applyAlignment="1">
      <alignment horizontal="center" vertical="center"/>
    </xf>
    <xf numFmtId="41" fontId="137" fillId="0" borderId="0" xfId="49" applyNumberFormat="1" applyFont="1" applyAlignment="1">
      <alignment horizontal="center" vertical="center"/>
    </xf>
    <xf numFmtId="0" fontId="59" fillId="0" borderId="0" xfId="49" applyFont="1" applyAlignment="1">
      <alignment horizontal="right"/>
    </xf>
    <xf numFmtId="0" fontId="137" fillId="3" borderId="12" xfId="49" applyFont="1" applyFill="1" applyBorder="1" applyAlignment="1">
      <alignment vertical="center" wrapText="1"/>
    </xf>
    <xf numFmtId="0" fontId="137" fillId="3" borderId="0" xfId="49" applyFont="1" applyFill="1" applyAlignment="1">
      <alignment horizontal="left" vertical="center" wrapText="1"/>
    </xf>
    <xf numFmtId="187" fontId="34" fillId="3" borderId="13" xfId="49" applyNumberFormat="1" applyFont="1" applyFill="1" applyBorder="1" applyAlignment="1">
      <alignment horizontal="right" vertical="center"/>
    </xf>
    <xf numFmtId="187" fontId="34" fillId="3" borderId="18" xfId="49" applyNumberFormat="1" applyFont="1" applyFill="1" applyBorder="1" applyAlignment="1">
      <alignment horizontal="right" vertical="center"/>
    </xf>
    <xf numFmtId="41" fontId="59" fillId="3" borderId="13" xfId="49" applyNumberFormat="1" applyFont="1" applyFill="1" applyBorder="1" applyAlignment="1">
      <alignment horizontal="center" vertical="center"/>
    </xf>
    <xf numFmtId="187" fontId="137" fillId="0" borderId="0" xfId="49" applyNumberFormat="1" applyFont="1" applyAlignment="1">
      <alignment horizontal="right" vertical="center"/>
    </xf>
    <xf numFmtId="0" fontId="59" fillId="0" borderId="12" xfId="49" applyFont="1" applyBorder="1">
      <alignment vertical="center"/>
    </xf>
    <xf numFmtId="0" fontId="59" fillId="0" borderId="139" xfId="49" applyFont="1" applyBorder="1">
      <alignment vertical="center"/>
    </xf>
    <xf numFmtId="187" fontId="33" fillId="0" borderId="139" xfId="49" applyNumberFormat="1" applyFont="1" applyBorder="1" applyAlignment="1">
      <alignment horizontal="right" vertical="center"/>
    </xf>
    <xf numFmtId="38" fontId="59" fillId="0" borderId="139" xfId="49" applyNumberFormat="1" applyFont="1" applyBorder="1" applyAlignment="1">
      <alignment horizontal="right" vertical="center"/>
    </xf>
    <xf numFmtId="38" fontId="33" fillId="0" borderId="139" xfId="49" applyNumberFormat="1" applyFont="1" applyBorder="1" applyAlignment="1">
      <alignment horizontal="right" vertical="center"/>
    </xf>
    <xf numFmtId="38" fontId="33" fillId="0" borderId="129" xfId="49" applyNumberFormat="1" applyFont="1" applyBorder="1" applyAlignment="1">
      <alignment horizontal="right" vertical="center"/>
    </xf>
    <xf numFmtId="177" fontId="59" fillId="0" borderId="139" xfId="49" applyNumberFormat="1" applyFont="1" applyBorder="1" applyAlignment="1">
      <alignment horizontal="right" vertical="center"/>
    </xf>
    <xf numFmtId="177" fontId="33" fillId="0" borderId="139" xfId="49" applyNumberFormat="1" applyFont="1" applyBorder="1" applyAlignment="1">
      <alignment horizontal="right" vertical="center"/>
    </xf>
    <xf numFmtId="41" fontId="59" fillId="0" borderId="0" xfId="49" applyNumberFormat="1" applyFont="1" applyAlignment="1">
      <alignment horizontal="left" vertical="center"/>
    </xf>
    <xf numFmtId="187" fontId="59" fillId="0" borderId="0" xfId="49" applyNumberFormat="1" applyFont="1" applyAlignment="1">
      <alignment horizontal="right" vertical="center"/>
    </xf>
    <xf numFmtId="177" fontId="59" fillId="0" borderId="0" xfId="49" applyNumberFormat="1" applyFont="1" applyAlignment="1">
      <alignment horizontal="right" vertical="center"/>
    </xf>
    <xf numFmtId="177" fontId="33" fillId="0" borderId="0" xfId="49" applyNumberFormat="1" applyFont="1" applyAlignment="1">
      <alignment horizontal="right" vertical="center"/>
    </xf>
    <xf numFmtId="181" fontId="59" fillId="0" borderId="0" xfId="49" applyNumberFormat="1" applyFont="1">
      <alignment vertical="center"/>
    </xf>
    <xf numFmtId="0" fontId="59" fillId="0" borderId="12" xfId="49" applyFont="1" applyBorder="1" applyAlignment="1">
      <alignment horizontal="center" vertical="center" wrapText="1"/>
    </xf>
    <xf numFmtId="0" fontId="59" fillId="0" borderId="134" xfId="49" applyFont="1" applyBorder="1">
      <alignment vertical="center"/>
    </xf>
    <xf numFmtId="187" fontId="33" fillId="0" borderId="13" xfId="49" applyNumberFormat="1" applyFont="1" applyBorder="1" applyAlignment="1">
      <alignment horizontal="right" vertical="center"/>
    </xf>
    <xf numFmtId="38" fontId="59" fillId="0" borderId="13" xfId="49" applyNumberFormat="1" applyFont="1" applyBorder="1" applyAlignment="1">
      <alignment horizontal="right" vertical="center"/>
    </xf>
    <xf numFmtId="38" fontId="33" fillId="0" borderId="13" xfId="49" applyNumberFormat="1" applyFont="1" applyBorder="1" applyAlignment="1">
      <alignment horizontal="right" vertical="center"/>
    </xf>
    <xf numFmtId="38" fontId="33" fillId="0" borderId="18" xfId="49" applyNumberFormat="1" applyFont="1" applyBorder="1" applyAlignment="1">
      <alignment horizontal="right" vertical="center"/>
    </xf>
    <xf numFmtId="177" fontId="59" fillId="0" borderId="13" xfId="49" applyNumberFormat="1" applyFont="1" applyBorder="1" applyAlignment="1">
      <alignment horizontal="right" vertical="center"/>
    </xf>
    <xf numFmtId="177" fontId="33" fillId="0" borderId="13" xfId="49" applyNumberFormat="1" applyFont="1" applyBorder="1" applyAlignment="1">
      <alignment horizontal="right" vertical="center"/>
    </xf>
    <xf numFmtId="0" fontId="137" fillId="3" borderId="21" xfId="49" applyFont="1" applyFill="1" applyBorder="1" applyAlignment="1">
      <alignment horizontal="center" vertical="center" wrapText="1"/>
    </xf>
    <xf numFmtId="0" fontId="137" fillId="3" borderId="263" xfId="49" applyFont="1" applyFill="1" applyBorder="1" applyAlignment="1">
      <alignment horizontal="left" vertical="center"/>
    </xf>
    <xf numFmtId="187" fontId="34" fillId="3" borderId="9" xfId="49" applyNumberFormat="1" applyFont="1" applyFill="1" applyBorder="1" applyAlignment="1">
      <alignment horizontal="right" vertical="center"/>
    </xf>
    <xf numFmtId="187" fontId="34" fillId="3" borderId="247" xfId="49" applyNumberFormat="1" applyFont="1" applyFill="1" applyBorder="1" applyAlignment="1">
      <alignment horizontal="right" vertical="center"/>
    </xf>
    <xf numFmtId="187" fontId="59" fillId="3" borderId="9" xfId="49" applyNumberFormat="1" applyFont="1" applyFill="1" applyBorder="1" applyAlignment="1">
      <alignment horizontal="right" vertical="center"/>
    </xf>
    <xf numFmtId="41" fontId="137" fillId="0" borderId="0" xfId="49" applyNumberFormat="1" applyFont="1" applyAlignment="1">
      <alignment horizontal="left" vertical="center"/>
    </xf>
    <xf numFmtId="0" fontId="59" fillId="0" borderId="128" xfId="49" applyFont="1" applyBorder="1" applyAlignment="1">
      <alignment horizontal="center" vertical="center" wrapText="1"/>
    </xf>
    <xf numFmtId="0" fontId="59" fillId="0" borderId="139" xfId="49" applyFont="1" applyBorder="1" applyAlignment="1">
      <alignment horizontal="left" vertical="center"/>
    </xf>
    <xf numFmtId="187" fontId="59" fillId="0" borderId="139" xfId="49" applyNumberFormat="1" applyFont="1" applyBorder="1" applyAlignment="1">
      <alignment horizontal="right" vertical="center"/>
    </xf>
    <xf numFmtId="187" fontId="59" fillId="0" borderId="129" xfId="49" applyNumberFormat="1" applyFont="1" applyBorder="1" applyAlignment="1">
      <alignment horizontal="right" vertical="center"/>
    </xf>
    <xf numFmtId="0" fontId="59" fillId="0" borderId="135" xfId="49" applyFont="1" applyBorder="1" applyAlignment="1">
      <alignment horizontal="center" vertical="center" wrapText="1"/>
    </xf>
    <xf numFmtId="0" fontId="59" fillId="0" borderId="134" xfId="49" applyFont="1" applyBorder="1" applyAlignment="1">
      <alignment horizontal="left" vertical="center"/>
    </xf>
    <xf numFmtId="187" fontId="59" fillId="0" borderId="134" xfId="49" applyNumberFormat="1" applyFont="1" applyBorder="1" applyAlignment="1">
      <alignment horizontal="right" vertical="center"/>
    </xf>
    <xf numFmtId="187" fontId="59" fillId="0" borderId="136" xfId="49" applyNumberFormat="1" applyFont="1" applyBorder="1" applyAlignment="1">
      <alignment horizontal="right" vertical="center"/>
    </xf>
    <xf numFmtId="0" fontId="137" fillId="3" borderId="12" xfId="49" applyFont="1" applyFill="1" applyBorder="1" applyAlignment="1">
      <alignment horizontal="center" vertical="center" wrapText="1"/>
    </xf>
    <xf numFmtId="0" fontId="137" fillId="3" borderId="123" xfId="49" applyFont="1" applyFill="1" applyBorder="1" applyAlignment="1">
      <alignment horizontal="left" vertical="center"/>
    </xf>
    <xf numFmtId="187" fontId="34" fillId="3" borderId="134" xfId="49" applyNumberFormat="1" applyFont="1" applyFill="1" applyBorder="1" applyAlignment="1">
      <alignment horizontal="right" vertical="center"/>
    </xf>
    <xf numFmtId="187" fontId="137" fillId="3" borderId="134" xfId="49" applyNumberFormat="1" applyFont="1" applyFill="1" applyBorder="1" applyAlignment="1">
      <alignment horizontal="right" vertical="center"/>
    </xf>
    <xf numFmtId="187" fontId="137" fillId="3" borderId="136" xfId="49" applyNumberFormat="1" applyFont="1" applyFill="1" applyBorder="1" applyAlignment="1">
      <alignment horizontal="right" vertical="center"/>
    </xf>
    <xf numFmtId="41" fontId="137" fillId="0" borderId="0" xfId="49" applyNumberFormat="1" applyFont="1">
      <alignment vertical="center"/>
    </xf>
    <xf numFmtId="0" fontId="137" fillId="3" borderId="128" xfId="49" applyFont="1" applyFill="1" applyBorder="1" applyAlignment="1">
      <alignment vertical="center" wrapText="1"/>
    </xf>
    <xf numFmtId="0" fontId="137" fillId="3" borderId="0" xfId="49" applyFont="1" applyFill="1" applyAlignment="1">
      <alignment horizontal="left" vertical="center"/>
    </xf>
    <xf numFmtId="0" fontId="59" fillId="0" borderId="12" xfId="49" applyFont="1" applyBorder="1" applyAlignment="1">
      <alignment vertical="center" wrapText="1"/>
    </xf>
    <xf numFmtId="41" fontId="59" fillId="0" borderId="139" xfId="49" applyNumberFormat="1" applyFont="1" applyBorder="1" applyAlignment="1">
      <alignment horizontal="left" vertical="center"/>
    </xf>
    <xf numFmtId="41" fontId="59" fillId="0" borderId="139" xfId="49" applyNumberFormat="1" applyFont="1" applyBorder="1" applyAlignment="1">
      <alignment horizontal="center" vertical="center"/>
    </xf>
    <xf numFmtId="41" fontId="59" fillId="0" borderId="129" xfId="49" applyNumberFormat="1" applyFont="1" applyBorder="1" applyAlignment="1">
      <alignment horizontal="center" vertical="center"/>
    </xf>
    <xf numFmtId="0" fontId="59" fillId="0" borderId="33" xfId="49" applyFont="1" applyBorder="1" applyAlignment="1">
      <alignment horizontal="left" vertical="center" wrapText="1"/>
    </xf>
    <xf numFmtId="187" fontId="33" fillId="0" borderId="33" xfId="49" applyNumberFormat="1" applyFont="1" applyBorder="1" applyAlignment="1">
      <alignment horizontal="right" vertical="center"/>
    </xf>
    <xf numFmtId="187" fontId="33" fillId="0" borderId="32" xfId="49" applyNumberFormat="1" applyFont="1" applyBorder="1" applyAlignment="1">
      <alignment horizontal="right" vertical="center"/>
    </xf>
    <xf numFmtId="41" fontId="59" fillId="0" borderId="33" xfId="49" applyNumberFormat="1" applyFont="1" applyBorder="1" applyAlignment="1">
      <alignment horizontal="left" vertical="center"/>
    </xf>
    <xf numFmtId="0" fontId="59" fillId="0" borderId="33" xfId="49" applyFont="1" applyBorder="1" applyAlignment="1">
      <alignment horizontal="left" vertical="center"/>
    </xf>
    <xf numFmtId="41" fontId="33" fillId="0" borderId="33" xfId="49" applyNumberFormat="1" applyFont="1" applyBorder="1" applyAlignment="1">
      <alignment horizontal="left" vertical="center"/>
    </xf>
    <xf numFmtId="41" fontId="33" fillId="0" borderId="33" xfId="49" applyNumberFormat="1" applyFont="1" applyBorder="1" applyAlignment="1">
      <alignment horizontal="center" vertical="center"/>
    </xf>
    <xf numFmtId="41" fontId="33" fillId="0" borderId="32" xfId="49" applyNumberFormat="1" applyFont="1" applyBorder="1" applyAlignment="1">
      <alignment horizontal="center" vertical="center"/>
    </xf>
    <xf numFmtId="41" fontId="33" fillId="0" borderId="0" xfId="49" applyNumberFormat="1" applyFont="1" applyAlignment="1">
      <alignment horizontal="left" vertical="center"/>
    </xf>
    <xf numFmtId="0" fontId="59" fillId="0" borderId="13" xfId="49" applyFont="1" applyBorder="1" applyAlignment="1">
      <alignment horizontal="left" vertical="center"/>
    </xf>
    <xf numFmtId="41" fontId="33" fillId="0" borderId="13" xfId="49" applyNumberFormat="1" applyFont="1" applyBorder="1" applyAlignment="1">
      <alignment horizontal="left" vertical="center"/>
    </xf>
    <xf numFmtId="41" fontId="59" fillId="0" borderId="13" xfId="49" applyNumberFormat="1" applyFont="1" applyBorder="1" applyAlignment="1">
      <alignment horizontal="left" vertical="center"/>
    </xf>
    <xf numFmtId="41" fontId="59" fillId="0" borderId="18" xfId="49" applyNumberFormat="1" applyFont="1" applyBorder="1" applyAlignment="1">
      <alignment horizontal="left" vertical="center"/>
    </xf>
    <xf numFmtId="41" fontId="33" fillId="0" borderId="13" xfId="49" applyNumberFormat="1" applyFont="1" applyBorder="1" applyAlignment="1">
      <alignment horizontal="center" vertical="center"/>
    </xf>
    <xf numFmtId="41" fontId="33" fillId="0" borderId="18" xfId="49" applyNumberFormat="1" applyFont="1" applyBorder="1" applyAlignment="1">
      <alignment horizontal="center" vertical="center"/>
    </xf>
    <xf numFmtId="0" fontId="59" fillId="0" borderId="13" xfId="49" applyFont="1" applyBorder="1" applyAlignment="1">
      <alignment horizontal="left" vertical="center" wrapText="1"/>
    </xf>
    <xf numFmtId="41" fontId="59" fillId="0" borderId="13" xfId="49" applyNumberFormat="1" applyFont="1" applyBorder="1" applyAlignment="1">
      <alignment horizontal="center" vertical="center"/>
    </xf>
    <xf numFmtId="41" fontId="59" fillId="0" borderId="18" xfId="49" applyNumberFormat="1" applyFont="1" applyBorder="1" applyAlignment="1">
      <alignment horizontal="center" vertical="center"/>
    </xf>
    <xf numFmtId="0" fontId="59" fillId="0" borderId="50" xfId="49" applyFont="1" applyBorder="1" applyAlignment="1">
      <alignment horizontal="center" vertical="center" wrapText="1"/>
    </xf>
    <xf numFmtId="0" fontId="59" fillId="0" borderId="38" xfId="49" applyFont="1" applyBorder="1" applyAlignment="1">
      <alignment horizontal="left" vertical="center" wrapText="1"/>
    </xf>
    <xf numFmtId="187" fontId="33" fillId="0" borderId="38" xfId="49" applyNumberFormat="1" applyFont="1" applyBorder="1" applyAlignment="1">
      <alignment horizontal="right" vertical="center"/>
    </xf>
    <xf numFmtId="41" fontId="59" fillId="0" borderId="38" xfId="49" applyNumberFormat="1" applyFont="1" applyBorder="1" applyAlignment="1">
      <alignment horizontal="left" vertical="center"/>
    </xf>
    <xf numFmtId="41" fontId="59" fillId="0" borderId="38" xfId="49" applyNumberFormat="1" applyFont="1" applyBorder="1" applyAlignment="1">
      <alignment horizontal="center" vertical="center"/>
    </xf>
    <xf numFmtId="41" fontId="59" fillId="0" borderId="36" xfId="49" applyNumberFormat="1" applyFont="1" applyBorder="1" applyAlignment="1">
      <alignment horizontal="center" vertical="center"/>
    </xf>
    <xf numFmtId="41" fontId="59" fillId="0" borderId="37" xfId="49" applyNumberFormat="1" applyFont="1" applyBorder="1" applyAlignment="1">
      <alignment horizontal="left" vertical="center"/>
    </xf>
    <xf numFmtId="41" fontId="59" fillId="0" borderId="37" xfId="49" applyNumberFormat="1" applyFont="1" applyBorder="1" applyAlignment="1">
      <alignment horizontal="center" vertical="center"/>
    </xf>
    <xf numFmtId="41" fontId="137" fillId="0" borderId="37" xfId="49" applyNumberFormat="1" applyFont="1" applyBorder="1" applyAlignment="1">
      <alignment horizontal="left" vertical="center"/>
    </xf>
    <xf numFmtId="187" fontId="59" fillId="0" borderId="37" xfId="49" applyNumberFormat="1" applyFont="1" applyBorder="1" applyAlignment="1">
      <alignment horizontal="right" vertical="center"/>
    </xf>
    <xf numFmtId="41" fontId="59" fillId="0" borderId="37" xfId="49" applyNumberFormat="1" applyFont="1" applyBorder="1">
      <alignment vertical="center"/>
    </xf>
    <xf numFmtId="0" fontId="59" fillId="0" borderId="37" xfId="49" applyFont="1" applyBorder="1">
      <alignment vertical="center"/>
    </xf>
    <xf numFmtId="0" fontId="59" fillId="0" borderId="98" xfId="49" applyFont="1" applyBorder="1" applyAlignment="1">
      <alignment horizontal="left" vertical="center"/>
    </xf>
    <xf numFmtId="41" fontId="59" fillId="0" borderId="33" xfId="49" applyNumberFormat="1" applyFont="1" applyBorder="1" applyAlignment="1">
      <alignment horizontal="center" vertical="center"/>
    </xf>
    <xf numFmtId="41" fontId="59" fillId="0" borderId="32" xfId="49" applyNumberFormat="1" applyFont="1" applyBorder="1" applyAlignment="1">
      <alignment horizontal="center" vertical="center"/>
    </xf>
    <xf numFmtId="187" fontId="34" fillId="11" borderId="9" xfId="49" applyNumberFormat="1" applyFont="1" applyFill="1" applyBorder="1" applyAlignment="1">
      <alignment horizontal="right" vertical="center"/>
    </xf>
    <xf numFmtId="187" fontId="34" fillId="11" borderId="247" xfId="49" applyNumberFormat="1" applyFont="1" applyFill="1" applyBorder="1" applyAlignment="1">
      <alignment horizontal="right" vertical="center"/>
    </xf>
    <xf numFmtId="41" fontId="33" fillId="11" borderId="9" xfId="49" applyNumberFormat="1" applyFont="1" applyFill="1" applyBorder="1" applyAlignment="1">
      <alignment horizontal="center" vertical="center"/>
    </xf>
    <xf numFmtId="41" fontId="59" fillId="11" borderId="9" xfId="49" applyNumberFormat="1" applyFont="1" applyFill="1" applyBorder="1" applyAlignment="1">
      <alignment horizontal="center" vertical="center"/>
    </xf>
    <xf numFmtId="187" fontId="34" fillId="0" borderId="0" xfId="49" applyNumberFormat="1" applyFont="1" applyAlignment="1">
      <alignment horizontal="right" vertical="center"/>
    </xf>
    <xf numFmtId="41" fontId="59" fillId="0" borderId="263" xfId="49" applyNumberFormat="1" applyFont="1" applyBorder="1">
      <alignment vertical="center"/>
    </xf>
    <xf numFmtId="187" fontId="59" fillId="0" borderId="9" xfId="49" applyNumberFormat="1" applyFont="1" applyBorder="1" applyAlignment="1">
      <alignment horizontal="right" vertical="center"/>
    </xf>
    <xf numFmtId="187" fontId="59" fillId="0" borderId="21" xfId="49" applyNumberFormat="1" applyFont="1" applyBorder="1" applyAlignment="1">
      <alignment horizontal="right" vertical="center"/>
    </xf>
    <xf numFmtId="187" fontId="59" fillId="0" borderId="263" xfId="49" applyNumberFormat="1" applyFont="1" applyBorder="1" applyAlignment="1">
      <alignment horizontal="right" vertical="center"/>
    </xf>
    <xf numFmtId="187" fontId="59" fillId="0" borderId="263" xfId="52" applyNumberFormat="1" applyFont="1" applyFill="1" applyBorder="1" applyAlignment="1">
      <alignment horizontal="right" vertical="center"/>
    </xf>
    <xf numFmtId="187" fontId="59" fillId="0" borderId="247" xfId="52" applyNumberFormat="1" applyFont="1" applyFill="1" applyBorder="1" applyAlignment="1">
      <alignment horizontal="right" vertical="center"/>
    </xf>
    <xf numFmtId="187" fontId="59" fillId="0" borderId="9" xfId="50" applyNumberFormat="1" applyFont="1" applyFill="1" applyBorder="1" applyAlignment="1">
      <alignment horizontal="right" vertical="center"/>
    </xf>
    <xf numFmtId="187" fontId="59" fillId="0" borderId="0" xfId="50" applyNumberFormat="1" applyFont="1" applyFill="1" applyBorder="1" applyAlignment="1">
      <alignment horizontal="right" vertical="center"/>
    </xf>
    <xf numFmtId="187" fontId="59" fillId="0" borderId="247" xfId="49" applyNumberFormat="1" applyFont="1" applyBorder="1" applyAlignment="1">
      <alignment horizontal="right" vertical="center"/>
    </xf>
    <xf numFmtId="187" fontId="59" fillId="0" borderId="9" xfId="49" applyNumberFormat="1" applyFont="1" applyBorder="1">
      <alignment vertical="center"/>
    </xf>
    <xf numFmtId="187" fontId="59" fillId="0" borderId="0" xfId="49" applyNumberFormat="1" applyFont="1">
      <alignment vertical="center"/>
    </xf>
    <xf numFmtId="0" fontId="2" fillId="0" borderId="0" xfId="49">
      <alignment vertical="center"/>
    </xf>
    <xf numFmtId="43" fontId="2" fillId="0" borderId="0" xfId="49" applyNumberFormat="1">
      <alignment vertical="center"/>
    </xf>
    <xf numFmtId="49" fontId="44" fillId="14" borderId="95" xfId="1" applyNumberFormat="1" applyFont="1" applyFill="1" applyBorder="1" applyAlignment="1">
      <alignment horizontal="center" vertical="center" shrinkToFit="1"/>
    </xf>
    <xf numFmtId="181" fontId="2" fillId="0" borderId="0" xfId="1" applyNumberFormat="1" applyFont="1">
      <alignment vertical="center"/>
    </xf>
    <xf numFmtId="181" fontId="2" fillId="8" borderId="0" xfId="1" applyNumberFormat="1" applyFont="1" applyFill="1">
      <alignment vertical="center"/>
    </xf>
    <xf numFmtId="14" fontId="44" fillId="14" borderId="95" xfId="1" applyNumberFormat="1" applyFont="1" applyFill="1" applyBorder="1" applyAlignment="1">
      <alignment horizontal="center" vertical="center" shrinkToFit="1"/>
    </xf>
    <xf numFmtId="181" fontId="151" fillId="0" borderId="0" xfId="1" applyNumberFormat="1" applyFont="1">
      <alignment vertical="center"/>
    </xf>
    <xf numFmtId="181" fontId="151" fillId="8" borderId="0" xfId="1" applyNumberFormat="1" applyFont="1" applyFill="1">
      <alignment vertical="center"/>
    </xf>
    <xf numFmtId="0" fontId="2" fillId="22" borderId="0" xfId="49" applyFill="1">
      <alignment vertical="center"/>
    </xf>
    <xf numFmtId="181" fontId="2" fillId="22" borderId="0" xfId="1" applyNumberFormat="1" applyFont="1" applyFill="1">
      <alignment vertical="center"/>
    </xf>
    <xf numFmtId="0" fontId="2" fillId="0" borderId="123" xfId="49" applyBorder="1">
      <alignment vertical="center"/>
    </xf>
    <xf numFmtId="181" fontId="151" fillId="0" borderId="123" xfId="1" applyNumberFormat="1" applyFont="1" applyBorder="1">
      <alignment vertical="center"/>
    </xf>
    <xf numFmtId="181" fontId="2" fillId="0" borderId="123" xfId="1" applyNumberFormat="1" applyFont="1" applyBorder="1">
      <alignment vertical="center"/>
    </xf>
    <xf numFmtId="41" fontId="2" fillId="0" borderId="0" xfId="1" applyFont="1">
      <alignment vertical="center"/>
    </xf>
    <xf numFmtId="41" fontId="164" fillId="0" borderId="0" xfId="0" applyNumberFormat="1" applyFont="1">
      <alignment vertical="center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  <xf numFmtId="10" fontId="143" fillId="8" borderId="0" xfId="2" applyNumberFormat="1" applyFont="1" applyFill="1">
      <alignment vertical="center"/>
    </xf>
    <xf numFmtId="9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0" fillId="0" borderId="0" xfId="53" applyFont="1">
      <alignment vertical="center"/>
    </xf>
    <xf numFmtId="41" fontId="0" fillId="7" borderId="0" xfId="0" applyNumberFormat="1" applyFill="1">
      <alignment vertical="center"/>
    </xf>
    <xf numFmtId="0" fontId="164" fillId="0" borderId="0" xfId="0" applyFont="1" applyAlignment="1">
      <alignment horizontal="center" vertical="center"/>
    </xf>
    <xf numFmtId="10" fontId="0" fillId="0" borderId="0" xfId="2" applyNumberFormat="1" applyFont="1">
      <alignment vertical="center"/>
    </xf>
    <xf numFmtId="10" fontId="0" fillId="0" borderId="0" xfId="2" applyNumberFormat="1" applyFont="1" applyFill="1">
      <alignment vertical="center"/>
    </xf>
    <xf numFmtId="0" fontId="0" fillId="8" borderId="0" xfId="0" applyFill="1">
      <alignment vertical="center"/>
    </xf>
    <xf numFmtId="10" fontId="143" fillId="0" borderId="0" xfId="2" applyNumberFormat="1" applyFont="1" applyFill="1">
      <alignment vertical="center"/>
    </xf>
    <xf numFmtId="10" fontId="165" fillId="0" borderId="0" xfId="2" applyNumberFormat="1" applyFont="1" applyFill="1">
      <alignment vertical="center"/>
    </xf>
    <xf numFmtId="185" fontId="166" fillId="8" borderId="0" xfId="2" applyNumberFormat="1" applyFont="1" applyFill="1">
      <alignment vertical="center"/>
    </xf>
    <xf numFmtId="10" fontId="0" fillId="0" borderId="0" xfId="0" applyNumberFormat="1">
      <alignment vertical="center"/>
    </xf>
    <xf numFmtId="10" fontId="166" fillId="8" borderId="0" xfId="2" applyNumberFormat="1" applyFont="1" applyFill="1">
      <alignment vertical="center"/>
    </xf>
    <xf numFmtId="10" fontId="33" fillId="0" borderId="0" xfId="2" applyNumberFormat="1" applyFont="1" applyFill="1">
      <alignment vertical="center"/>
    </xf>
    <xf numFmtId="10" fontId="166" fillId="0" borderId="0" xfId="2" applyNumberFormat="1" applyFont="1" applyFill="1">
      <alignment vertical="center"/>
    </xf>
    <xf numFmtId="10" fontId="143" fillId="22" borderId="0" xfId="2" applyNumberFormat="1" applyFont="1" applyFill="1">
      <alignment vertical="center"/>
    </xf>
    <xf numFmtId="41" fontId="0" fillId="13" borderId="0" xfId="0" applyNumberFormat="1" applyFill="1">
      <alignment vertical="center"/>
    </xf>
    <xf numFmtId="41" fontId="0" fillId="13" borderId="0" xfId="53" applyFont="1" applyFill="1">
      <alignment vertical="center"/>
    </xf>
    <xf numFmtId="0" fontId="0" fillId="13" borderId="0" xfId="0" applyFill="1">
      <alignment vertical="center"/>
    </xf>
    <xf numFmtId="0" fontId="0" fillId="22" borderId="0" xfId="0" applyFill="1">
      <alignment vertical="center"/>
    </xf>
    <xf numFmtId="14" fontId="0" fillId="7" borderId="0" xfId="0" applyNumberFormat="1" applyFill="1">
      <alignment vertical="center"/>
    </xf>
    <xf numFmtId="10" fontId="166" fillId="7" borderId="0" xfId="2" applyNumberFormat="1" applyFont="1" applyFill="1">
      <alignment vertical="center"/>
    </xf>
    <xf numFmtId="185" fontId="166" fillId="22" borderId="0" xfId="2" applyNumberFormat="1" applyFont="1" applyFill="1">
      <alignment vertical="center"/>
    </xf>
    <xf numFmtId="0" fontId="59" fillId="0" borderId="0" xfId="54" applyFont="1" applyAlignment="1">
      <alignment vertical="center"/>
    </xf>
    <xf numFmtId="0" fontId="59" fillId="0" borderId="0" xfId="54" applyFont="1" applyAlignment="1">
      <alignment horizontal="center" vertical="center"/>
    </xf>
    <xf numFmtId="0" fontId="5" fillId="0" borderId="0" xfId="54" applyFont="1" applyAlignment="1">
      <alignment vertical="center"/>
    </xf>
    <xf numFmtId="0" fontId="59" fillId="41" borderId="0" xfId="54" applyFont="1" applyFill="1" applyAlignment="1">
      <alignment horizontal="center" vertical="center"/>
    </xf>
    <xf numFmtId="14" fontId="59" fillId="41" borderId="0" xfId="54" applyNumberFormat="1" applyFont="1" applyFill="1" applyAlignment="1">
      <alignment horizontal="center" vertical="center"/>
    </xf>
    <xf numFmtId="0" fontId="59" fillId="41" borderId="0" xfId="54" applyFont="1" applyFill="1" applyAlignment="1">
      <alignment vertical="center"/>
    </xf>
    <xf numFmtId="231" fontId="59" fillId="41" borderId="0" xfId="54" applyNumberFormat="1" applyFont="1" applyFill="1" applyAlignment="1">
      <alignment vertical="center"/>
    </xf>
    <xf numFmtId="10" fontId="137" fillId="41" borderId="0" xfId="54" applyNumberFormat="1" applyFont="1" applyFill="1" applyAlignment="1">
      <alignment horizontal="center" vertical="center"/>
    </xf>
    <xf numFmtId="0" fontId="59" fillId="10" borderId="0" xfId="54" applyFont="1" applyFill="1" applyAlignment="1">
      <alignment horizontal="center" vertical="center"/>
    </xf>
    <xf numFmtId="10" fontId="137" fillId="10" borderId="0" xfId="54" applyNumberFormat="1" applyFont="1" applyFill="1" applyAlignment="1">
      <alignment horizontal="center" vertical="center"/>
    </xf>
    <xf numFmtId="0" fontId="59" fillId="41" borderId="224" xfId="54" applyFont="1" applyFill="1" applyBorder="1" applyAlignment="1">
      <alignment vertical="center"/>
    </xf>
    <xf numFmtId="231" fontId="59" fillId="41" borderId="224" xfId="54" applyNumberFormat="1" applyFont="1" applyFill="1" applyBorder="1" applyAlignment="1">
      <alignment vertical="center"/>
    </xf>
    <xf numFmtId="0" fontId="59" fillId="0" borderId="0" xfId="25" applyFont="1">
      <alignment vertical="center"/>
    </xf>
    <xf numFmtId="10" fontId="59" fillId="0" borderId="0" xfId="54" applyNumberFormat="1" applyFont="1" applyAlignment="1">
      <alignment vertical="center"/>
    </xf>
    <xf numFmtId="9" fontId="59" fillId="0" borderId="0" xfId="54" applyNumberFormat="1" applyFont="1" applyAlignment="1">
      <alignment vertical="center"/>
    </xf>
    <xf numFmtId="231" fontId="59" fillId="0" borderId="0" xfId="54" applyNumberFormat="1" applyFont="1" applyAlignment="1">
      <alignment vertical="center"/>
    </xf>
    <xf numFmtId="6" fontId="59" fillId="0" borderId="0" xfId="25" applyNumberFormat="1" applyFont="1">
      <alignment vertical="center"/>
    </xf>
    <xf numFmtId="0" fontId="59" fillId="43" borderId="224" xfId="54" applyFont="1" applyFill="1" applyBorder="1" applyAlignment="1">
      <alignment vertical="center"/>
    </xf>
    <xf numFmtId="0" fontId="59" fillId="43" borderId="224" xfId="54" applyFont="1" applyFill="1" applyBorder="1" applyAlignment="1">
      <alignment horizontal="center" vertical="center"/>
    </xf>
    <xf numFmtId="14" fontId="59" fillId="0" borderId="0" xfId="54" applyNumberFormat="1" applyFont="1" applyAlignment="1">
      <alignment horizontal="center" vertical="center"/>
    </xf>
    <xf numFmtId="41" fontId="59" fillId="0" borderId="0" xfId="55" applyFont="1" applyAlignment="1">
      <alignment vertical="center"/>
    </xf>
    <xf numFmtId="231" fontId="33" fillId="0" borderId="0" xfId="54" applyNumberFormat="1" applyFont="1" applyAlignment="1">
      <alignment vertical="center"/>
    </xf>
    <xf numFmtId="0" fontId="59" fillId="0" borderId="123" xfId="54" applyFont="1" applyBorder="1" applyAlignment="1">
      <alignment horizontal="center" vertical="center"/>
    </xf>
    <xf numFmtId="14" fontId="59" fillId="0" borderId="123" xfId="54" applyNumberFormat="1" applyFont="1" applyBorder="1" applyAlignment="1">
      <alignment horizontal="center" vertical="center"/>
    </xf>
    <xf numFmtId="231" fontId="59" fillId="0" borderId="123" xfId="54" applyNumberFormat="1" applyFont="1" applyBorder="1" applyAlignment="1">
      <alignment vertical="center"/>
    </xf>
    <xf numFmtId="0" fontId="59" fillId="0" borderId="123" xfId="54" applyFont="1" applyBorder="1" applyAlignment="1">
      <alignment vertical="center"/>
    </xf>
    <xf numFmtId="231" fontId="33" fillId="0" borderId="123" xfId="54" applyNumberFormat="1" applyFont="1" applyBorder="1" applyAlignment="1">
      <alignment vertical="center"/>
    </xf>
    <xf numFmtId="41" fontId="59" fillId="0" borderId="0" xfId="56" applyFont="1" applyFill="1" applyAlignment="1">
      <alignment vertical="center"/>
    </xf>
    <xf numFmtId="41" fontId="59" fillId="0" borderId="0" xfId="56" applyFont="1" applyFill="1" applyBorder="1" applyAlignment="1">
      <alignment vertical="center"/>
    </xf>
    <xf numFmtId="41" fontId="59" fillId="0" borderId="0" xfId="55" applyFont="1" applyFill="1" applyAlignment="1">
      <alignment vertical="center"/>
    </xf>
    <xf numFmtId="231" fontId="59" fillId="44" borderId="0" xfId="54" applyNumberFormat="1" applyFont="1" applyFill="1" applyAlignment="1">
      <alignment vertical="center"/>
    </xf>
    <xf numFmtId="231" fontId="59" fillId="13" borderId="0" xfId="54" applyNumberFormat="1" applyFont="1" applyFill="1" applyAlignment="1">
      <alignment vertical="center"/>
    </xf>
    <xf numFmtId="231" fontId="5" fillId="0" borderId="0" xfId="54" applyNumberFormat="1" applyFont="1" applyAlignment="1">
      <alignment vertical="center"/>
    </xf>
    <xf numFmtId="0" fontId="33" fillId="0" borderId="0" xfId="54" applyFont="1" applyAlignment="1">
      <alignment vertical="center"/>
    </xf>
    <xf numFmtId="0" fontId="33" fillId="0" borderId="0" xfId="54" applyFont="1" applyAlignment="1">
      <alignment horizontal="center" vertical="center"/>
    </xf>
    <xf numFmtId="14" fontId="33" fillId="0" borderId="0" xfId="54" applyNumberFormat="1" applyFont="1" applyAlignment="1">
      <alignment horizontal="center" vertical="center"/>
    </xf>
    <xf numFmtId="231" fontId="33" fillId="44" borderId="0" xfId="54" applyNumberFormat="1" applyFont="1" applyFill="1" applyAlignment="1">
      <alignment vertical="center"/>
    </xf>
    <xf numFmtId="231" fontId="34" fillId="13" borderId="0" xfId="54" applyNumberFormat="1" applyFont="1" applyFill="1" applyAlignment="1">
      <alignment vertical="center"/>
    </xf>
    <xf numFmtId="0" fontId="112" fillId="0" borderId="0" xfId="54" applyFont="1" applyAlignment="1">
      <alignment vertical="center"/>
    </xf>
    <xf numFmtId="41" fontId="59" fillId="0" borderId="0" xfId="55" applyFont="1" applyFill="1" applyBorder="1" applyAlignment="1">
      <alignment vertical="center"/>
    </xf>
    <xf numFmtId="41" fontId="33" fillId="0" borderId="0" xfId="56" applyFont="1" applyFill="1" applyAlignment="1">
      <alignment vertical="center"/>
    </xf>
    <xf numFmtId="185" fontId="59" fillId="0" borderId="0" xfId="54" applyNumberFormat="1" applyFont="1" applyAlignment="1">
      <alignment vertical="center"/>
    </xf>
    <xf numFmtId="185" fontId="59" fillId="0" borderId="123" xfId="54" applyNumberFormat="1" applyFont="1" applyBorder="1" applyAlignment="1">
      <alignment vertical="center"/>
    </xf>
    <xf numFmtId="231" fontId="59" fillId="44" borderId="123" xfId="54" applyNumberFormat="1" applyFont="1" applyFill="1" applyBorder="1" applyAlignment="1">
      <alignment vertical="center"/>
    </xf>
    <xf numFmtId="0" fontId="137" fillId="0" borderId="0" xfId="54" applyFont="1" applyAlignment="1">
      <alignment vertical="center"/>
    </xf>
    <xf numFmtId="14" fontId="59" fillId="0" borderId="23" xfId="54" applyNumberFormat="1" applyFont="1" applyBorder="1" applyAlignment="1">
      <alignment horizontal="center" vertical="center"/>
    </xf>
    <xf numFmtId="231" fontId="59" fillId="0" borderId="23" xfId="54" applyNumberFormat="1" applyFont="1" applyBorder="1" applyAlignment="1">
      <alignment vertical="center"/>
    </xf>
    <xf numFmtId="187" fontId="59" fillId="0" borderId="0" xfId="54" applyNumberFormat="1" applyFont="1" applyAlignment="1">
      <alignment vertical="center"/>
    </xf>
    <xf numFmtId="14" fontId="5" fillId="0" borderId="9" xfId="25" applyNumberFormat="1" applyBorder="1" applyAlignment="1">
      <alignment horizontal="center" vertical="center"/>
    </xf>
    <xf numFmtId="0" fontId="5" fillId="0" borderId="9" xfId="25" applyBorder="1" applyAlignment="1">
      <alignment horizontal="center" vertical="center"/>
    </xf>
    <xf numFmtId="41" fontId="5" fillId="0" borderId="0" xfId="55" applyFont="1" applyAlignment="1">
      <alignment vertical="center"/>
    </xf>
    <xf numFmtId="41" fontId="33" fillId="0" borderId="0" xfId="55" applyFont="1" applyFill="1" applyBorder="1" applyAlignment="1">
      <alignment vertical="center"/>
    </xf>
    <xf numFmtId="0" fontId="5" fillId="0" borderId="139" xfId="25" applyBorder="1" applyAlignment="1">
      <alignment horizontal="center" vertical="center"/>
    </xf>
    <xf numFmtId="231" fontId="5" fillId="0" borderId="139" xfId="25" applyNumberFormat="1" applyBorder="1">
      <alignment vertical="center"/>
    </xf>
    <xf numFmtId="0" fontId="5" fillId="0" borderId="134" xfId="25" applyBorder="1" applyAlignment="1">
      <alignment horizontal="center" vertical="center"/>
    </xf>
    <xf numFmtId="231" fontId="5" fillId="0" borderId="134" xfId="25" applyNumberFormat="1" applyBorder="1">
      <alignment vertical="center"/>
    </xf>
    <xf numFmtId="231" fontId="5" fillId="44" borderId="134" xfId="25" applyNumberFormat="1" applyFill="1" applyBorder="1">
      <alignment vertical="center"/>
    </xf>
    <xf numFmtId="231" fontId="5" fillId="0" borderId="9" xfId="25" applyNumberFormat="1" applyBorder="1">
      <alignment vertical="center"/>
    </xf>
    <xf numFmtId="14" fontId="59" fillId="44" borderId="123" xfId="54" applyNumberFormat="1" applyFont="1" applyFill="1" applyBorder="1" applyAlignment="1">
      <alignment horizontal="center" vertical="center"/>
    </xf>
    <xf numFmtId="231" fontId="40" fillId="44" borderId="123" xfId="54" applyNumberFormat="1" applyFont="1" applyFill="1" applyBorder="1" applyAlignment="1">
      <alignment vertical="center"/>
    </xf>
    <xf numFmtId="231" fontId="137" fillId="44" borderId="123" xfId="54" applyNumberFormat="1" applyFont="1" applyFill="1" applyBorder="1" applyAlignment="1">
      <alignment vertical="center"/>
    </xf>
    <xf numFmtId="0" fontId="5" fillId="0" borderId="128" xfId="25" applyBorder="1">
      <alignment vertical="center"/>
    </xf>
    <xf numFmtId="14" fontId="5" fillId="0" borderId="23" xfId="25" applyNumberFormat="1" applyBorder="1">
      <alignment vertical="center"/>
    </xf>
    <xf numFmtId="14" fontId="11" fillId="0" borderId="129" xfId="25" applyNumberFormat="1" applyFont="1" applyBorder="1">
      <alignment vertical="center"/>
    </xf>
    <xf numFmtId="231" fontId="112" fillId="0" borderId="0" xfId="54" applyNumberFormat="1" applyFont="1" applyAlignment="1">
      <alignment vertical="center"/>
    </xf>
    <xf numFmtId="14" fontId="59" fillId="12" borderId="123" xfId="54" applyNumberFormat="1" applyFont="1" applyFill="1" applyBorder="1" applyAlignment="1">
      <alignment horizontal="center" vertical="center"/>
    </xf>
    <xf numFmtId="231" fontId="59" fillId="12" borderId="123" xfId="54" applyNumberFormat="1" applyFont="1" applyFill="1" applyBorder="1" applyAlignment="1">
      <alignment vertical="center"/>
    </xf>
    <xf numFmtId="41" fontId="137" fillId="12" borderId="123" xfId="56" applyFont="1" applyFill="1" applyBorder="1" applyAlignment="1">
      <alignment vertical="center"/>
    </xf>
    <xf numFmtId="41" fontId="59" fillId="12" borderId="123" xfId="56" applyFont="1" applyFill="1" applyBorder="1" applyAlignment="1">
      <alignment vertical="center"/>
    </xf>
    <xf numFmtId="0" fontId="5" fillId="0" borderId="12" xfId="25" applyBorder="1">
      <alignment vertical="center"/>
    </xf>
    <xf numFmtId="231" fontId="11" fillId="0" borderId="18" xfId="25" applyNumberFormat="1" applyFont="1" applyBorder="1">
      <alignment vertical="center"/>
    </xf>
    <xf numFmtId="41" fontId="0" fillId="0" borderId="0" xfId="54" applyNumberFormat="1" applyFont="1" applyAlignment="1">
      <alignment vertical="center"/>
    </xf>
    <xf numFmtId="41" fontId="5" fillId="0" borderId="0" xfId="54" applyNumberFormat="1" applyFont="1" applyAlignment="1">
      <alignment vertical="center"/>
    </xf>
    <xf numFmtId="14" fontId="59" fillId="45" borderId="0" xfId="54" applyNumberFormat="1" applyFont="1" applyFill="1" applyAlignment="1">
      <alignment horizontal="center" vertical="center"/>
    </xf>
    <xf numFmtId="231" fontId="59" fillId="45" borderId="0" xfId="54" applyNumberFormat="1" applyFont="1" applyFill="1" applyAlignment="1">
      <alignment vertical="center"/>
    </xf>
    <xf numFmtId="0" fontId="5" fillId="0" borderId="135" xfId="25" applyBorder="1">
      <alignment vertical="center"/>
    </xf>
    <xf numFmtId="231" fontId="5" fillId="0" borderId="123" xfId="25" applyNumberFormat="1" applyBorder="1">
      <alignment vertical="center"/>
    </xf>
    <xf numFmtId="231" fontId="11" fillId="0" borderId="136" xfId="25" applyNumberFormat="1" applyFont="1" applyBorder="1">
      <alignment vertical="center"/>
    </xf>
    <xf numFmtId="41" fontId="59" fillId="45" borderId="0" xfId="56" applyFont="1" applyFill="1" applyAlignment="1">
      <alignment vertical="center"/>
    </xf>
    <xf numFmtId="0" fontId="59" fillId="8" borderId="0" xfId="54" applyFont="1" applyFill="1" applyAlignment="1">
      <alignment horizontal="right" vertical="center"/>
    </xf>
    <xf numFmtId="0" fontId="0" fillId="0" borderId="1" xfId="54" applyFont="1" applyBorder="1" applyAlignment="1">
      <alignment vertical="center"/>
    </xf>
    <xf numFmtId="41" fontId="5" fillId="0" borderId="2" xfId="55" applyFont="1" applyFill="1" applyBorder="1" applyAlignment="1">
      <alignment vertical="center"/>
    </xf>
    <xf numFmtId="0" fontId="0" fillId="0" borderId="2" xfId="54" applyFont="1" applyBorder="1" applyAlignment="1">
      <alignment vertical="center"/>
    </xf>
    <xf numFmtId="187" fontId="5" fillId="0" borderId="3" xfId="54" applyNumberFormat="1" applyFont="1" applyBorder="1" applyAlignment="1">
      <alignment vertical="center"/>
    </xf>
    <xf numFmtId="0" fontId="5" fillId="0" borderId="4" xfId="54" applyFont="1" applyBorder="1" applyAlignment="1">
      <alignment vertical="center"/>
    </xf>
    <xf numFmtId="0" fontId="0" fillId="0" borderId="0" xfId="54" applyFont="1" applyAlignment="1">
      <alignment vertical="center"/>
    </xf>
    <xf numFmtId="41" fontId="5" fillId="0" borderId="5" xfId="54" applyNumberFormat="1" applyFont="1" applyBorder="1" applyAlignment="1">
      <alignment vertical="center"/>
    </xf>
    <xf numFmtId="41" fontId="59" fillId="45" borderId="0" xfId="56" applyFont="1" applyFill="1" applyBorder="1" applyAlignment="1">
      <alignment vertical="center"/>
    </xf>
    <xf numFmtId="0" fontId="0" fillId="0" borderId="6" xfId="54" applyFont="1" applyBorder="1" applyAlignment="1">
      <alignment vertical="center"/>
    </xf>
    <xf numFmtId="231" fontId="5" fillId="0" borderId="7" xfId="54" applyNumberFormat="1" applyFont="1" applyBorder="1" applyAlignment="1">
      <alignment vertical="center"/>
    </xf>
    <xf numFmtId="0" fontId="0" fillId="0" borderId="7" xfId="54" applyFont="1" applyBorder="1" applyAlignment="1">
      <alignment vertical="center"/>
    </xf>
    <xf numFmtId="231" fontId="5" fillId="0" borderId="8" xfId="54" applyNumberFormat="1" applyFont="1" applyBorder="1" applyAlignment="1">
      <alignment vertical="center"/>
    </xf>
    <xf numFmtId="41" fontId="5" fillId="0" borderId="0" xfId="55" applyFont="1" applyFill="1" applyBorder="1" applyAlignment="1">
      <alignment vertical="center"/>
    </xf>
    <xf numFmtId="41" fontId="5" fillId="0" borderId="0" xfId="25" applyNumberFormat="1">
      <alignment vertical="center"/>
    </xf>
    <xf numFmtId="14" fontId="59" fillId="45" borderId="123" xfId="54" applyNumberFormat="1" applyFont="1" applyFill="1" applyBorder="1" applyAlignment="1">
      <alignment horizontal="center" vertical="center"/>
    </xf>
    <xf numFmtId="231" fontId="59" fillId="45" borderId="123" xfId="54" applyNumberFormat="1" applyFont="1" applyFill="1" applyBorder="1" applyAlignment="1">
      <alignment vertical="center"/>
    </xf>
    <xf numFmtId="41" fontId="59" fillId="45" borderId="123" xfId="55" applyFont="1" applyFill="1" applyBorder="1" applyAlignment="1">
      <alignment vertical="center"/>
    </xf>
    <xf numFmtId="41" fontId="59" fillId="45" borderId="123" xfId="56" applyFont="1" applyFill="1" applyBorder="1" applyAlignment="1">
      <alignment vertical="center"/>
    </xf>
    <xf numFmtId="187" fontId="118" fillId="0" borderId="0" xfId="55" applyNumberFormat="1" applyFont="1" applyFill="1" applyBorder="1">
      <alignment vertical="center"/>
    </xf>
    <xf numFmtId="231" fontId="40" fillId="28" borderId="0" xfId="54" applyNumberFormat="1" applyFont="1" applyFill="1" applyAlignment="1">
      <alignment vertical="center"/>
    </xf>
    <xf numFmtId="187" fontId="59" fillId="0" borderId="0" xfId="55" applyNumberFormat="1" applyFont="1" applyFill="1" applyBorder="1" applyAlignment="1">
      <alignment vertical="center"/>
    </xf>
    <xf numFmtId="14" fontId="59" fillId="46" borderId="0" xfId="54" applyNumberFormat="1" applyFont="1" applyFill="1" applyAlignment="1">
      <alignment horizontal="center" vertical="center"/>
    </xf>
    <xf numFmtId="231" fontId="59" fillId="46" borderId="0" xfId="54" applyNumberFormat="1" applyFont="1" applyFill="1" applyAlignment="1">
      <alignment vertical="center"/>
    </xf>
    <xf numFmtId="41" fontId="40" fillId="46" borderId="0" xfId="56" applyFont="1" applyFill="1" applyAlignment="1">
      <alignment vertical="center"/>
    </xf>
    <xf numFmtId="231" fontId="59" fillId="47" borderId="0" xfId="54" applyNumberFormat="1" applyFont="1" applyFill="1" applyAlignment="1">
      <alignment vertical="center"/>
    </xf>
    <xf numFmtId="14" fontId="59" fillId="7" borderId="0" xfId="54" applyNumberFormat="1" applyFont="1" applyFill="1" applyAlignment="1">
      <alignment horizontal="center" vertical="center"/>
    </xf>
    <xf numFmtId="231" fontId="59" fillId="7" borderId="0" xfId="54" applyNumberFormat="1" applyFont="1" applyFill="1" applyAlignment="1">
      <alignment vertical="center"/>
    </xf>
    <xf numFmtId="41" fontId="59" fillId="7" borderId="0" xfId="56" applyFont="1" applyFill="1" applyAlignment="1">
      <alignment vertical="center"/>
    </xf>
    <xf numFmtId="41" fontId="59" fillId="0" borderId="0" xfId="56" applyFont="1" applyAlignment="1">
      <alignment vertical="center"/>
    </xf>
    <xf numFmtId="187" fontId="5" fillId="0" borderId="2" xfId="54" applyNumberFormat="1" applyFont="1" applyBorder="1" applyAlignment="1">
      <alignment vertical="center"/>
    </xf>
    <xf numFmtId="187" fontId="5" fillId="0" borderId="3" xfId="55" applyNumberFormat="1" applyFont="1" applyFill="1" applyBorder="1" applyAlignment="1">
      <alignment horizontal="right" vertical="center"/>
    </xf>
    <xf numFmtId="0" fontId="118" fillId="0" borderId="4" xfId="54" applyFont="1" applyBorder="1" applyAlignment="1">
      <alignment vertical="center"/>
    </xf>
    <xf numFmtId="187" fontId="112" fillId="0" borderId="5" xfId="55" applyNumberFormat="1" applyFont="1" applyFill="1" applyBorder="1" applyAlignment="1">
      <alignment horizontal="right" vertical="center"/>
    </xf>
    <xf numFmtId="231" fontId="0" fillId="0" borderId="0" xfId="54" applyNumberFormat="1" applyFont="1" applyAlignment="1">
      <alignment vertical="center"/>
    </xf>
    <xf numFmtId="0" fontId="112" fillId="0" borderId="4" xfId="54" applyFont="1" applyBorder="1" applyAlignment="1">
      <alignment vertical="center"/>
    </xf>
    <xf numFmtId="187" fontId="112" fillId="0" borderId="0" xfId="54" applyNumberFormat="1" applyFont="1" applyAlignment="1">
      <alignment vertical="center"/>
    </xf>
    <xf numFmtId="187" fontId="5" fillId="0" borderId="0" xfId="54" applyNumberFormat="1" applyFont="1" applyAlignment="1">
      <alignment vertical="center"/>
    </xf>
    <xf numFmtId="0" fontId="112" fillId="0" borderId="6" xfId="54" applyFont="1" applyBorder="1" applyAlignment="1">
      <alignment vertical="center"/>
    </xf>
    <xf numFmtId="187" fontId="112" fillId="0" borderId="7" xfId="25" applyNumberFormat="1" applyFont="1" applyBorder="1">
      <alignment vertical="center"/>
    </xf>
    <xf numFmtId="0" fontId="112" fillId="0" borderId="7" xfId="54" applyFont="1" applyBorder="1" applyAlignment="1">
      <alignment vertical="center"/>
    </xf>
    <xf numFmtId="187" fontId="112" fillId="0" borderId="8" xfId="55" applyNumberFormat="1" applyFont="1" applyFill="1" applyBorder="1" applyAlignment="1">
      <alignment horizontal="right" vertical="center"/>
    </xf>
    <xf numFmtId="231" fontId="5" fillId="0" borderId="23" xfId="54" applyNumberFormat="1" applyFont="1" applyBorder="1" applyAlignment="1">
      <alignment vertical="center"/>
    </xf>
    <xf numFmtId="0" fontId="59" fillId="0" borderId="23" xfId="54" applyFont="1" applyBorder="1" applyAlignment="1">
      <alignment vertical="center"/>
    </xf>
    <xf numFmtId="0" fontId="59" fillId="0" borderId="0" xfId="54" applyFont="1" applyAlignment="1">
      <alignment horizontal="left" vertical="center"/>
    </xf>
    <xf numFmtId="185" fontId="59" fillId="45" borderId="0" xfId="54" applyNumberFormat="1" applyFont="1" applyFill="1" applyAlignment="1">
      <alignment vertical="center"/>
    </xf>
    <xf numFmtId="41" fontId="5" fillId="0" borderId="0" xfId="55" applyFont="1" applyBorder="1" applyAlignment="1">
      <alignment vertical="center"/>
    </xf>
    <xf numFmtId="0" fontId="5" fillId="0" borderId="0" xfId="54" applyFont="1" applyAlignment="1">
      <alignment horizontal="right" vertical="center"/>
    </xf>
    <xf numFmtId="41" fontId="5" fillId="0" borderId="0" xfId="55" applyFont="1" applyFill="1" applyAlignment="1">
      <alignment vertical="center"/>
    </xf>
    <xf numFmtId="41" fontId="59" fillId="0" borderId="0" xfId="54" applyNumberFormat="1" applyFont="1" applyAlignment="1">
      <alignment vertical="center"/>
    </xf>
    <xf numFmtId="231" fontId="11" fillId="0" borderId="0" xfId="54" applyNumberFormat="1" applyFont="1" applyAlignment="1">
      <alignment vertical="center"/>
    </xf>
    <xf numFmtId="231" fontId="40" fillId="0" borderId="0" xfId="54" applyNumberFormat="1" applyFont="1" applyAlignment="1">
      <alignment horizontal="right" vertical="center"/>
    </xf>
    <xf numFmtId="0" fontId="40" fillId="0" borderId="0" xfId="54" applyFont="1" applyAlignment="1">
      <alignment vertical="center"/>
    </xf>
    <xf numFmtId="0" fontId="59" fillId="0" borderId="0" xfId="54" applyFont="1" applyAlignment="1">
      <alignment horizontal="right" vertical="center"/>
    </xf>
    <xf numFmtId="0" fontId="59" fillId="13" borderId="0" xfId="54" applyFont="1" applyFill="1" applyAlignment="1">
      <alignment vertical="center"/>
    </xf>
    <xf numFmtId="0" fontId="59" fillId="0" borderId="128" xfId="54" applyFont="1" applyBorder="1" applyAlignment="1">
      <alignment horizontal="center" vertical="center"/>
    </xf>
    <xf numFmtId="187" fontId="59" fillId="0" borderId="23" xfId="54" applyNumberFormat="1" applyFont="1" applyBorder="1" applyAlignment="1">
      <alignment vertical="center"/>
    </xf>
    <xf numFmtId="187" fontId="59" fillId="0" borderId="129" xfId="54" applyNumberFormat="1" applyFont="1" applyBorder="1" applyAlignment="1">
      <alignment vertical="center"/>
    </xf>
    <xf numFmtId="0" fontId="59" fillId="0" borderId="135" xfId="54" applyFont="1" applyBorder="1" applyAlignment="1">
      <alignment horizontal="center" vertical="center"/>
    </xf>
    <xf numFmtId="187" fontId="59" fillId="0" borderId="123" xfId="54" applyNumberFormat="1" applyFont="1" applyBorder="1" applyAlignment="1">
      <alignment vertical="center"/>
    </xf>
    <xf numFmtId="187" fontId="59" fillId="0" borderId="136" xfId="54" applyNumberFormat="1" applyFont="1" applyBorder="1" applyAlignment="1">
      <alignment vertical="center"/>
    </xf>
    <xf numFmtId="0" fontId="33" fillId="0" borderId="0" xfId="0" applyFont="1" applyAlignment="1"/>
    <xf numFmtId="0" fontId="169" fillId="0" borderId="0" xfId="0" applyFont="1">
      <alignment vertical="center"/>
    </xf>
    <xf numFmtId="14" fontId="33" fillId="0" borderId="0" xfId="0" applyNumberFormat="1" applyFont="1" applyAlignment="1">
      <alignment horizontal="center" vertical="center"/>
    </xf>
    <xf numFmtId="199" fontId="33" fillId="0" borderId="0" xfId="0" applyNumberFormat="1" applyFont="1" applyAlignment="1">
      <alignment horizontal="center" vertical="center"/>
    </xf>
    <xf numFmtId="181" fontId="33" fillId="0" borderId="0" xfId="0" applyNumberFormat="1" applyFont="1" applyAlignment="1">
      <alignment horizontal="center" vertical="center"/>
    </xf>
    <xf numFmtId="41" fontId="112" fillId="0" borderId="0" xfId="1" applyFont="1">
      <alignment vertical="center"/>
    </xf>
    <xf numFmtId="0" fontId="33" fillId="0" borderId="0" xfId="0" applyFont="1" applyAlignment="1">
      <alignment horizontal="left" vertical="center"/>
    </xf>
    <xf numFmtId="41" fontId="33" fillId="0" borderId="0" xfId="0" applyNumberFormat="1" applyFont="1" applyAlignment="1"/>
    <xf numFmtId="14" fontId="33" fillId="0" borderId="0" xfId="0" applyNumberFormat="1" applyFont="1" applyAlignment="1"/>
    <xf numFmtId="199" fontId="33" fillId="0" borderId="0" xfId="0" applyNumberFormat="1" applyFont="1" applyAlignment="1"/>
    <xf numFmtId="181" fontId="33" fillId="0" borderId="0" xfId="0" applyNumberFormat="1" applyFont="1" applyAlignment="1"/>
    <xf numFmtId="181" fontId="112" fillId="0" borderId="0" xfId="0" applyNumberFormat="1" applyFont="1">
      <alignment vertical="center"/>
    </xf>
    <xf numFmtId="0" fontId="142" fillId="0" borderId="0" xfId="0" applyFont="1">
      <alignment vertical="center"/>
    </xf>
    <xf numFmtId="0" fontId="74" fillId="3" borderId="275" xfId="0" applyFont="1" applyFill="1" applyBorder="1" applyAlignment="1">
      <alignment horizontal="center" vertical="center"/>
    </xf>
    <xf numFmtId="0" fontId="74" fillId="3" borderId="276" xfId="0" applyFont="1" applyFill="1" applyBorder="1" applyAlignment="1">
      <alignment horizontal="center" vertical="center"/>
    </xf>
    <xf numFmtId="41" fontId="74" fillId="3" borderId="276" xfId="0" applyNumberFormat="1" applyFont="1" applyFill="1" applyBorder="1" applyAlignment="1">
      <alignment horizontal="center" vertical="center"/>
    </xf>
    <xf numFmtId="0" fontId="74" fillId="3" borderId="271" xfId="0" applyFont="1" applyFill="1" applyBorder="1">
      <alignment vertical="center"/>
    </xf>
    <xf numFmtId="0" fontId="74" fillId="3" borderId="194" xfId="0" applyFont="1" applyFill="1" applyBorder="1">
      <alignment vertical="center"/>
    </xf>
    <xf numFmtId="0" fontId="74" fillId="3" borderId="277" xfId="0" applyFont="1" applyFill="1" applyBorder="1">
      <alignment vertical="center"/>
    </xf>
    <xf numFmtId="199" fontId="74" fillId="4" borderId="276" xfId="0" applyNumberFormat="1" applyFont="1" applyFill="1" applyBorder="1" applyAlignment="1">
      <alignment horizontal="center" vertical="center"/>
    </xf>
    <xf numFmtId="199" fontId="74" fillId="4" borderId="271" xfId="0" applyNumberFormat="1" applyFont="1" applyFill="1" applyBorder="1" applyAlignment="1">
      <alignment horizontal="center" vertical="center"/>
    </xf>
    <xf numFmtId="199" fontId="74" fillId="4" borderId="194" xfId="0" applyNumberFormat="1" applyFont="1" applyFill="1" applyBorder="1" applyAlignment="1">
      <alignment horizontal="center" vertical="center"/>
    </xf>
    <xf numFmtId="199" fontId="74" fillId="4" borderId="194" xfId="0" applyNumberFormat="1" applyFont="1" applyFill="1" applyBorder="1">
      <alignment vertical="center"/>
    </xf>
    <xf numFmtId="199" fontId="74" fillId="4" borderId="194" xfId="0" applyNumberFormat="1" applyFont="1" applyFill="1" applyBorder="1" applyAlignment="1">
      <alignment horizontal="left" vertical="center"/>
    </xf>
    <xf numFmtId="41" fontId="74" fillId="4" borderId="277" xfId="0" applyNumberFormat="1" applyFont="1" applyFill="1" applyBorder="1">
      <alignment vertical="center"/>
    </xf>
    <xf numFmtId="181" fontId="74" fillId="3" borderId="276" xfId="0" applyNumberFormat="1" applyFont="1" applyFill="1" applyBorder="1" applyAlignment="1">
      <alignment horizontal="center" vertical="center"/>
    </xf>
    <xf numFmtId="0" fontId="74" fillId="3" borderId="177" xfId="0" applyFont="1" applyFill="1" applyBorder="1" applyAlignment="1">
      <alignment horizontal="center" vertical="center"/>
    </xf>
    <xf numFmtId="1" fontId="74" fillId="3" borderId="177" xfId="0" applyNumberFormat="1" applyFont="1" applyFill="1" applyBorder="1">
      <alignment vertical="center"/>
    </xf>
    <xf numFmtId="199" fontId="74" fillId="3" borderId="177" xfId="0" applyNumberFormat="1" applyFont="1" applyFill="1" applyBorder="1">
      <alignment vertical="center"/>
    </xf>
    <xf numFmtId="41" fontId="74" fillId="3" borderId="177" xfId="0" applyNumberFormat="1" applyFont="1" applyFill="1" applyBorder="1">
      <alignment vertical="center"/>
    </xf>
    <xf numFmtId="41" fontId="74" fillId="3" borderId="177" xfId="0" applyNumberFormat="1" applyFont="1" applyFill="1" applyBorder="1" applyAlignment="1">
      <alignment horizontal="left" vertical="center"/>
    </xf>
    <xf numFmtId="41" fontId="74" fillId="3" borderId="175" xfId="0" applyNumberFormat="1" applyFont="1" applyFill="1" applyBorder="1" applyAlignment="1">
      <alignment horizontal="center" vertical="center"/>
    </xf>
    <xf numFmtId="0" fontId="74" fillId="11" borderId="177" xfId="0" applyFont="1" applyFill="1" applyBorder="1" applyAlignment="1">
      <alignment horizontal="center" vertical="center"/>
    </xf>
    <xf numFmtId="41" fontId="74" fillId="11" borderId="177" xfId="0" applyNumberFormat="1" applyFont="1" applyFill="1" applyBorder="1" applyAlignment="1">
      <alignment horizontal="center" vertical="center"/>
    </xf>
    <xf numFmtId="41" fontId="74" fillId="11" borderId="278" xfId="0" applyNumberFormat="1" applyFont="1" applyFill="1" applyBorder="1" applyAlignment="1">
      <alignment horizontal="center" vertical="center"/>
    </xf>
    <xf numFmtId="0" fontId="74" fillId="3" borderId="266" xfId="0" applyFont="1" applyFill="1" applyBorder="1">
      <alignment vertical="center"/>
    </xf>
    <xf numFmtId="0" fontId="74" fillId="3" borderId="180" xfId="0" applyFont="1" applyFill="1" applyBorder="1" applyAlignment="1">
      <alignment horizontal="center" vertical="center"/>
    </xf>
    <xf numFmtId="0" fontId="74" fillId="3" borderId="279" xfId="0" applyFont="1" applyFill="1" applyBorder="1" applyAlignment="1">
      <alignment horizontal="center" vertical="center"/>
    </xf>
    <xf numFmtId="0" fontId="74" fillId="3" borderId="280" xfId="0" applyFont="1" applyFill="1" applyBorder="1" applyAlignment="1">
      <alignment horizontal="center" vertical="center"/>
    </xf>
    <xf numFmtId="199" fontId="74" fillId="4" borderId="180" xfId="0" applyNumberFormat="1" applyFont="1" applyFill="1" applyBorder="1" applyAlignment="1">
      <alignment horizontal="center" vertical="center"/>
    </xf>
    <xf numFmtId="199" fontId="74" fillId="4" borderId="279" xfId="0" applyNumberFormat="1" applyFont="1" applyFill="1" applyBorder="1" applyAlignment="1">
      <alignment horizontal="center" vertical="center"/>
    </xf>
    <xf numFmtId="199" fontId="74" fillId="4" borderId="280" xfId="0" applyNumberFormat="1" applyFont="1" applyFill="1" applyBorder="1" applyAlignment="1">
      <alignment horizontal="center" vertical="center"/>
    </xf>
    <xf numFmtId="0" fontId="74" fillId="4" borderId="280" xfId="0" applyFont="1" applyFill="1" applyBorder="1" applyAlignment="1">
      <alignment horizontal="center" vertical="center"/>
    </xf>
    <xf numFmtId="181" fontId="74" fillId="3" borderId="180" xfId="0" applyNumberFormat="1" applyFont="1" applyFill="1" applyBorder="1" applyAlignment="1">
      <alignment horizontal="center" vertical="center"/>
    </xf>
    <xf numFmtId="0" fontId="74" fillId="3" borderId="281" xfId="0" applyFont="1" applyFill="1" applyBorder="1" applyAlignment="1">
      <alignment horizontal="center" vertical="center"/>
    </xf>
    <xf numFmtId="1" fontId="74" fillId="3" borderId="282" xfId="0" applyNumberFormat="1" applyFont="1" applyFill="1" applyBorder="1" applyAlignment="1">
      <alignment horizontal="center" vertical="center"/>
    </xf>
    <xf numFmtId="199" fontId="74" fillId="3" borderId="283" xfId="0" applyNumberFormat="1" applyFont="1" applyFill="1" applyBorder="1" applyAlignment="1">
      <alignment horizontal="center" vertical="center"/>
    </xf>
    <xf numFmtId="0" fontId="74" fillId="3" borderId="284" xfId="0" applyFont="1" applyFill="1" applyBorder="1" applyAlignment="1">
      <alignment horizontal="center" vertical="center"/>
    </xf>
    <xf numFmtId="0" fontId="74" fillId="3" borderId="282" xfId="0" applyFont="1" applyFill="1" applyBorder="1" applyAlignment="1">
      <alignment horizontal="center" vertical="center"/>
    </xf>
    <xf numFmtId="1" fontId="74" fillId="3" borderId="283" xfId="0" applyNumberFormat="1" applyFont="1" applyFill="1" applyBorder="1" applyAlignment="1">
      <alignment horizontal="center" vertical="center"/>
    </xf>
    <xf numFmtId="0" fontId="74" fillId="3" borderId="283" xfId="0" applyFont="1" applyFill="1" applyBorder="1" applyAlignment="1">
      <alignment horizontal="center" vertical="center"/>
    </xf>
    <xf numFmtId="0" fontId="74" fillId="3" borderId="285" xfId="0" applyFont="1" applyFill="1" applyBorder="1" applyAlignment="1">
      <alignment horizontal="center" vertical="center"/>
    </xf>
    <xf numFmtId="0" fontId="74" fillId="3" borderId="20" xfId="0" applyFont="1" applyFill="1" applyBorder="1" applyAlignment="1">
      <alignment horizontal="center" vertical="center"/>
    </xf>
    <xf numFmtId="0" fontId="74" fillId="11" borderId="281" xfId="0" applyFont="1" applyFill="1" applyBorder="1" applyAlignment="1">
      <alignment horizontal="center" vertical="center"/>
    </xf>
    <xf numFmtId="0" fontId="74" fillId="11" borderId="282" xfId="0" applyFont="1" applyFill="1" applyBorder="1" applyAlignment="1">
      <alignment horizontal="center" vertical="center"/>
    </xf>
    <xf numFmtId="0" fontId="74" fillId="11" borderId="283" xfId="0" applyFont="1" applyFill="1" applyBorder="1" applyAlignment="1">
      <alignment horizontal="center" vertical="center"/>
    </xf>
    <xf numFmtId="0" fontId="74" fillId="11" borderId="284" xfId="0" applyFont="1" applyFill="1" applyBorder="1" applyAlignment="1">
      <alignment horizontal="center" vertical="center"/>
    </xf>
    <xf numFmtId="0" fontId="74" fillId="11" borderId="286" xfId="0" applyFont="1" applyFill="1" applyBorder="1" applyAlignment="1">
      <alignment horizontal="center" vertical="center"/>
    </xf>
    <xf numFmtId="0" fontId="112" fillId="0" borderId="0" xfId="0" applyFont="1" applyAlignment="1">
      <alignment horizontal="center" vertical="center"/>
    </xf>
    <xf numFmtId="187" fontId="34" fillId="0" borderId="0" xfId="0" applyNumberFormat="1" applyFont="1">
      <alignment vertical="center"/>
    </xf>
    <xf numFmtId="187" fontId="113" fillId="0" borderId="275" xfId="0" applyNumberFormat="1" applyFont="1" applyBorder="1" applyAlignment="1">
      <alignment horizontal="center" vertical="center"/>
    </xf>
    <xf numFmtId="187" fontId="34" fillId="0" borderId="182" xfId="0" applyNumberFormat="1" applyFont="1" applyBorder="1" applyAlignment="1">
      <alignment horizontal="left" vertical="center"/>
    </xf>
    <xf numFmtId="187" fontId="34" fillId="0" borderId="181" xfId="0" applyNumberFormat="1" applyFont="1" applyBorder="1">
      <alignment vertical="center"/>
    </xf>
    <xf numFmtId="187" fontId="34" fillId="0" borderId="287" xfId="0" applyNumberFormat="1" applyFont="1" applyBorder="1">
      <alignment vertical="center"/>
    </xf>
    <xf numFmtId="187" fontId="34" fillId="0" borderId="288" xfId="0" applyNumberFormat="1" applyFont="1" applyBorder="1">
      <alignment vertical="center"/>
    </xf>
    <xf numFmtId="187" fontId="34" fillId="0" borderId="288" xfId="24" applyNumberFormat="1" applyFont="1" applyFill="1" applyBorder="1" applyAlignment="1">
      <alignment vertical="center"/>
    </xf>
    <xf numFmtId="187" fontId="34" fillId="0" borderId="289" xfId="0" applyNumberFormat="1" applyFont="1" applyBorder="1">
      <alignment vertical="center"/>
    </xf>
    <xf numFmtId="187" fontId="11" fillId="0" borderId="290" xfId="1" applyNumberFormat="1" applyFont="1" applyBorder="1">
      <alignment vertical="center"/>
    </xf>
    <xf numFmtId="187" fontId="11" fillId="0" borderId="288" xfId="1" applyNumberFormat="1" applyFont="1" applyBorder="1">
      <alignment vertical="center"/>
    </xf>
    <xf numFmtId="187" fontId="11" fillId="0" borderId="289" xfId="1" applyNumberFormat="1" applyFont="1" applyBorder="1">
      <alignment vertical="center"/>
    </xf>
    <xf numFmtId="187" fontId="11" fillId="0" borderId="287" xfId="1" applyNumberFormat="1" applyFont="1" applyBorder="1">
      <alignment vertical="center"/>
    </xf>
    <xf numFmtId="187" fontId="11" fillId="0" borderId="291" xfId="1" applyNumberFormat="1" applyFont="1" applyBorder="1">
      <alignment vertical="center"/>
    </xf>
    <xf numFmtId="187" fontId="11" fillId="0" borderId="181" xfId="1" applyNumberFormat="1" applyFont="1" applyBorder="1">
      <alignment vertical="center"/>
    </xf>
    <xf numFmtId="187" fontId="11" fillId="0" borderId="289" xfId="1" applyNumberFormat="1" applyFont="1" applyFill="1" applyBorder="1">
      <alignment vertical="center"/>
    </xf>
    <xf numFmtId="187" fontId="11" fillId="0" borderId="287" xfId="1" applyNumberFormat="1" applyFont="1" applyFill="1" applyBorder="1">
      <alignment vertical="center"/>
    </xf>
    <xf numFmtId="187" fontId="11" fillId="0" borderId="288" xfId="1" applyNumberFormat="1" applyFont="1" applyFill="1" applyBorder="1">
      <alignment vertical="center"/>
    </xf>
    <xf numFmtId="187" fontId="11" fillId="0" borderId="292" xfId="1" applyNumberFormat="1" applyFont="1" applyFill="1" applyBorder="1">
      <alignment vertical="center"/>
    </xf>
    <xf numFmtId="181" fontId="112" fillId="22" borderId="0" xfId="1" applyNumberFormat="1" applyFont="1" applyFill="1">
      <alignment vertical="center"/>
    </xf>
    <xf numFmtId="187" fontId="34" fillId="0" borderId="266" xfId="0" applyNumberFormat="1" applyFont="1" applyBorder="1" applyAlignment="1">
      <alignment horizontal="center" vertical="center"/>
    </xf>
    <xf numFmtId="187" fontId="34" fillId="0" borderId="12" xfId="0" applyNumberFormat="1" applyFont="1" applyBorder="1" applyAlignment="1">
      <alignment horizontal="left" vertical="center" indent="1"/>
    </xf>
    <xf numFmtId="187" fontId="34" fillId="0" borderId="13" xfId="0" applyNumberFormat="1" applyFont="1" applyBorder="1">
      <alignment vertical="center"/>
    </xf>
    <xf numFmtId="187" fontId="34" fillId="0" borderId="57" xfId="0" applyNumberFormat="1" applyFont="1" applyBorder="1">
      <alignment vertical="center"/>
    </xf>
    <xf numFmtId="187" fontId="34" fillId="0" borderId="56" xfId="0" applyNumberFormat="1" applyFont="1" applyBorder="1">
      <alignment vertical="center"/>
    </xf>
    <xf numFmtId="187" fontId="34" fillId="0" borderId="56" xfId="57" applyNumberFormat="1" applyFont="1" applyFill="1" applyBorder="1" applyAlignment="1">
      <alignment vertical="center"/>
    </xf>
    <xf numFmtId="187" fontId="34" fillId="0" borderId="53" xfId="0" applyNumberFormat="1" applyFont="1" applyBorder="1">
      <alignment vertical="center"/>
    </xf>
    <xf numFmtId="187" fontId="34" fillId="0" borderId="133" xfId="0" applyNumberFormat="1" applyFont="1" applyBorder="1">
      <alignment vertical="center"/>
    </xf>
    <xf numFmtId="187" fontId="11" fillId="0" borderId="93" xfId="1" applyNumberFormat="1" applyFont="1" applyBorder="1">
      <alignment vertical="center"/>
    </xf>
    <xf numFmtId="187" fontId="11" fillId="0" borderId="56" xfId="1" applyNumberFormat="1" applyFont="1" applyBorder="1">
      <alignment vertical="center"/>
    </xf>
    <xf numFmtId="187" fontId="11" fillId="0" borderId="133" xfId="1" applyNumberFormat="1" applyFont="1" applyBorder="1">
      <alignment vertical="center"/>
    </xf>
    <xf numFmtId="187" fontId="11" fillId="0" borderId="57" xfId="1" applyNumberFormat="1" applyFont="1" applyBorder="1">
      <alignment vertical="center"/>
    </xf>
    <xf numFmtId="187" fontId="11" fillId="0" borderId="34" xfId="1" applyNumberFormat="1" applyFont="1" applyBorder="1">
      <alignment vertical="center"/>
    </xf>
    <xf numFmtId="187" fontId="11" fillId="0" borderId="13" xfId="1" applyNumberFormat="1" applyFont="1" applyBorder="1">
      <alignment vertical="center"/>
    </xf>
    <xf numFmtId="187" fontId="11" fillId="0" borderId="56" xfId="1" applyNumberFormat="1" applyFont="1" applyFill="1" applyBorder="1">
      <alignment vertical="center"/>
    </xf>
    <xf numFmtId="187" fontId="11" fillId="0" borderId="133" xfId="1" applyNumberFormat="1" applyFont="1" applyFill="1" applyBorder="1">
      <alignment vertical="center"/>
    </xf>
    <xf numFmtId="187" fontId="11" fillId="0" borderId="57" xfId="1" applyNumberFormat="1" applyFont="1" applyFill="1" applyBorder="1">
      <alignment vertical="center"/>
    </xf>
    <xf numFmtId="187" fontId="11" fillId="0" borderId="293" xfId="1" applyNumberFormat="1" applyFont="1" applyFill="1" applyBorder="1">
      <alignment vertical="center"/>
    </xf>
    <xf numFmtId="187" fontId="33" fillId="0" borderId="266" xfId="0" applyNumberFormat="1" applyFont="1" applyBorder="1" applyAlignment="1">
      <alignment horizontal="center" vertical="center"/>
    </xf>
    <xf numFmtId="187" fontId="33" fillId="0" borderId="12" xfId="0" applyNumberFormat="1" applyFont="1" applyBorder="1" applyAlignment="1">
      <alignment horizontal="left" vertical="center" indent="2"/>
    </xf>
    <xf numFmtId="187" fontId="33" fillId="0" borderId="13" xfId="0" applyNumberFormat="1" applyFont="1" applyBorder="1">
      <alignment vertical="center"/>
    </xf>
    <xf numFmtId="187" fontId="33" fillId="0" borderId="57" xfId="0" applyNumberFormat="1" applyFont="1" applyBorder="1">
      <alignment vertical="center"/>
    </xf>
    <xf numFmtId="187" fontId="33" fillId="0" borderId="56" xfId="0" applyNumberFormat="1" applyFont="1" applyBorder="1">
      <alignment vertical="center"/>
    </xf>
    <xf numFmtId="187" fontId="33" fillId="0" borderId="56" xfId="57" applyNumberFormat="1" applyFont="1" applyFill="1" applyBorder="1" applyAlignment="1">
      <alignment vertical="center"/>
    </xf>
    <xf numFmtId="187" fontId="33" fillId="0" borderId="133" xfId="0" applyNumberFormat="1" applyFont="1" applyBorder="1">
      <alignment vertical="center"/>
    </xf>
    <xf numFmtId="187" fontId="112" fillId="0" borderId="93" xfId="1" applyNumberFormat="1" applyFont="1" applyBorder="1">
      <alignment vertical="center"/>
    </xf>
    <xf numFmtId="187" fontId="112" fillId="0" borderId="56" xfId="1" applyNumberFormat="1" applyFont="1" applyBorder="1">
      <alignment vertical="center"/>
    </xf>
    <xf numFmtId="187" fontId="112" fillId="0" borderId="133" xfId="1" applyNumberFormat="1" applyFont="1" applyBorder="1">
      <alignment vertical="center"/>
    </xf>
    <xf numFmtId="187" fontId="112" fillId="0" borderId="57" xfId="1" applyNumberFormat="1" applyFont="1" applyBorder="1">
      <alignment vertical="center"/>
    </xf>
    <xf numFmtId="187" fontId="112" fillId="0" borderId="34" xfId="1" applyNumberFormat="1" applyFont="1" applyBorder="1">
      <alignment vertical="center"/>
    </xf>
    <xf numFmtId="187" fontId="112" fillId="0" borderId="13" xfId="1" applyNumberFormat="1" applyFont="1" applyBorder="1">
      <alignment vertical="center"/>
    </xf>
    <xf numFmtId="187" fontId="112" fillId="0" borderId="56" xfId="1" applyNumberFormat="1" applyFont="1" applyFill="1" applyBorder="1">
      <alignment vertical="center"/>
    </xf>
    <xf numFmtId="187" fontId="112" fillId="0" borderId="133" xfId="1" applyNumberFormat="1" applyFont="1" applyFill="1" applyBorder="1">
      <alignment vertical="center"/>
    </xf>
    <xf numFmtId="187" fontId="112" fillId="0" borderId="57" xfId="1" applyNumberFormat="1" applyFont="1" applyFill="1" applyBorder="1">
      <alignment vertical="center"/>
    </xf>
    <xf numFmtId="187" fontId="112" fillId="0" borderId="293" xfId="1" applyNumberFormat="1" applyFont="1" applyFill="1" applyBorder="1">
      <alignment vertical="center"/>
    </xf>
    <xf numFmtId="187" fontId="34" fillId="0" borderId="12" xfId="0" applyNumberFormat="1" applyFont="1" applyBorder="1" applyAlignment="1">
      <alignment horizontal="left" vertical="center" indent="2"/>
    </xf>
    <xf numFmtId="187" fontId="33" fillId="0" borderId="12" xfId="0" applyNumberFormat="1" applyFont="1" applyBorder="1" applyAlignment="1">
      <alignment horizontal="left" vertical="center" indent="3"/>
    </xf>
    <xf numFmtId="187" fontId="33" fillId="0" borderId="12" xfId="0" applyNumberFormat="1" applyFont="1" applyBorder="1">
      <alignment vertical="center"/>
    </xf>
    <xf numFmtId="187" fontId="34" fillId="0" borderId="12" xfId="0" applyNumberFormat="1" applyFont="1" applyBorder="1">
      <alignment vertical="center"/>
    </xf>
    <xf numFmtId="187" fontId="34" fillId="0" borderId="140" xfId="0" applyNumberFormat="1" applyFont="1" applyBorder="1" applyAlignment="1">
      <alignment horizontal="left" vertical="center"/>
    </xf>
    <xf numFmtId="187" fontId="34" fillId="0" borderId="43" xfId="0" applyNumberFormat="1" applyFont="1" applyBorder="1">
      <alignment vertical="center"/>
    </xf>
    <xf numFmtId="187" fontId="34" fillId="0" borderId="143" xfId="0" applyNumberFormat="1" applyFont="1" applyBorder="1">
      <alignment vertical="center"/>
    </xf>
    <xf numFmtId="187" fontId="34" fillId="0" borderId="86" xfId="0" applyNumberFormat="1" applyFont="1" applyBorder="1">
      <alignment vertical="center"/>
    </xf>
    <xf numFmtId="187" fontId="34" fillId="0" borderId="140" xfId="0" applyNumberFormat="1" applyFont="1" applyBorder="1">
      <alignment vertical="center"/>
    </xf>
    <xf numFmtId="187" fontId="112" fillId="0" borderId="145" xfId="1" applyNumberFormat="1" applyFont="1" applyBorder="1">
      <alignment vertical="center"/>
    </xf>
    <xf numFmtId="187" fontId="112" fillId="0" borderId="86" xfId="1" applyNumberFormat="1" applyFont="1" applyBorder="1">
      <alignment vertical="center"/>
    </xf>
    <xf numFmtId="187" fontId="112" fillId="0" borderId="144" xfId="1" applyNumberFormat="1" applyFont="1" applyBorder="1">
      <alignment vertical="center"/>
    </xf>
    <xf numFmtId="187" fontId="112" fillId="0" borderId="143" xfId="1" applyNumberFormat="1" applyFont="1" applyBorder="1">
      <alignment vertical="center"/>
    </xf>
    <xf numFmtId="187" fontId="112" fillId="0" borderId="41" xfId="1" applyNumberFormat="1" applyFont="1" applyBorder="1">
      <alignment vertical="center"/>
    </xf>
    <xf numFmtId="187" fontId="112" fillId="0" borderId="43" xfId="1" applyNumberFormat="1" applyFont="1" applyBorder="1">
      <alignment vertical="center"/>
    </xf>
    <xf numFmtId="187" fontId="112" fillId="0" borderId="143" xfId="1" applyNumberFormat="1" applyFont="1" applyFill="1" applyBorder="1">
      <alignment vertical="center"/>
    </xf>
    <xf numFmtId="187" fontId="112" fillId="0" borderId="86" xfId="1" applyNumberFormat="1" applyFont="1" applyFill="1" applyBorder="1">
      <alignment vertical="center"/>
    </xf>
    <xf numFmtId="187" fontId="112" fillId="0" borderId="144" xfId="1" applyNumberFormat="1" applyFont="1" applyFill="1" applyBorder="1">
      <alignment vertical="center"/>
    </xf>
    <xf numFmtId="187" fontId="112" fillId="0" borderId="294" xfId="1" applyNumberFormat="1" applyFont="1" applyFill="1" applyBorder="1">
      <alignment vertical="center"/>
    </xf>
    <xf numFmtId="181" fontId="112" fillId="0" borderId="0" xfId="1" applyNumberFormat="1" applyFont="1">
      <alignment vertical="center"/>
    </xf>
    <xf numFmtId="187" fontId="33" fillId="0" borderId="12" xfId="0" applyNumberFormat="1" applyFont="1" applyBorder="1" applyAlignment="1">
      <alignment horizontal="left" vertical="center" indent="1"/>
    </xf>
    <xf numFmtId="187" fontId="112" fillId="8" borderId="86" xfId="1" applyNumberFormat="1" applyFont="1" applyFill="1" applyBorder="1">
      <alignment vertical="center"/>
    </xf>
    <xf numFmtId="187" fontId="34" fillId="0" borderId="38" xfId="0" applyNumberFormat="1" applyFont="1" applyBorder="1">
      <alignment vertical="center"/>
    </xf>
    <xf numFmtId="187" fontId="34" fillId="0" borderId="190" xfId="0" applyNumberFormat="1" applyFont="1" applyBorder="1">
      <alignment vertical="center"/>
    </xf>
    <xf numFmtId="187" fontId="34" fillId="0" borderId="191" xfId="0" applyNumberFormat="1" applyFont="1" applyBorder="1">
      <alignment vertical="center"/>
    </xf>
    <xf numFmtId="187" fontId="34" fillId="0" borderId="192" xfId="0" applyNumberFormat="1" applyFont="1" applyBorder="1">
      <alignment vertical="center"/>
    </xf>
    <xf numFmtId="187" fontId="34" fillId="0" borderId="50" xfId="0" applyNumberFormat="1" applyFont="1" applyBorder="1">
      <alignment vertical="center"/>
    </xf>
    <xf numFmtId="187" fontId="112" fillId="0" borderId="145" xfId="1" applyNumberFormat="1" applyFont="1" applyFill="1" applyBorder="1">
      <alignment vertical="center"/>
    </xf>
    <xf numFmtId="187" fontId="112" fillId="0" borderId="41" xfId="1" applyNumberFormat="1" applyFont="1" applyFill="1" applyBorder="1">
      <alignment vertical="center"/>
    </xf>
    <xf numFmtId="187" fontId="112" fillId="0" borderId="43" xfId="1" applyNumberFormat="1" applyFont="1" applyFill="1" applyBorder="1">
      <alignment vertical="center"/>
    </xf>
    <xf numFmtId="187" fontId="33" fillId="0" borderId="49" xfId="0" applyNumberFormat="1" applyFont="1" applyBorder="1" applyAlignment="1">
      <alignment horizontal="left" vertical="center" indent="1"/>
    </xf>
    <xf numFmtId="187" fontId="33" fillId="0" borderId="50" xfId="0" applyNumberFormat="1" applyFont="1" applyBorder="1" applyAlignment="1">
      <alignment horizontal="left" vertical="center" indent="1"/>
    </xf>
    <xf numFmtId="187" fontId="33" fillId="0" borderId="38" xfId="0" applyNumberFormat="1" applyFont="1" applyBorder="1">
      <alignment vertical="center"/>
    </xf>
    <xf numFmtId="187" fontId="33" fillId="0" borderId="190" xfId="0" applyNumberFormat="1" applyFont="1" applyBorder="1">
      <alignment vertical="center"/>
    </xf>
    <xf numFmtId="187" fontId="33" fillId="0" borderId="191" xfId="0" applyNumberFormat="1" applyFont="1" applyBorder="1">
      <alignment vertical="center"/>
    </xf>
    <xf numFmtId="187" fontId="33" fillId="0" borderId="192" xfId="0" applyNumberFormat="1" applyFont="1" applyBorder="1">
      <alignment vertical="center"/>
    </xf>
    <xf numFmtId="187" fontId="33" fillId="0" borderId="50" xfId="0" applyNumberFormat="1" applyFont="1" applyBorder="1">
      <alignment vertical="center"/>
    </xf>
    <xf numFmtId="187" fontId="34" fillId="0" borderId="266" xfId="0" applyNumberFormat="1" applyFont="1" applyBorder="1">
      <alignment vertical="center"/>
    </xf>
    <xf numFmtId="187" fontId="34" fillId="0" borderId="144" xfId="0" applyNumberFormat="1" applyFont="1" applyBorder="1">
      <alignment vertical="center"/>
    </xf>
    <xf numFmtId="187" fontId="33" fillId="0" borderId="221" xfId="0" applyNumberFormat="1" applyFont="1" applyBorder="1">
      <alignment vertical="center"/>
    </xf>
    <xf numFmtId="187" fontId="33" fillId="0" borderId="33" xfId="0" applyNumberFormat="1" applyFont="1" applyBorder="1">
      <alignment vertical="center"/>
    </xf>
    <xf numFmtId="187" fontId="33" fillId="0" borderId="141" xfId="0" applyNumberFormat="1" applyFont="1" applyBorder="1">
      <alignment vertical="center"/>
    </xf>
    <xf numFmtId="187" fontId="33" fillId="0" borderId="53" xfId="0" applyNumberFormat="1" applyFont="1" applyBorder="1">
      <alignment vertical="center"/>
    </xf>
    <xf numFmtId="187" fontId="33" fillId="0" borderId="53" xfId="57" applyNumberFormat="1" applyFont="1" applyFill="1" applyBorder="1" applyAlignment="1">
      <alignment vertical="center"/>
    </xf>
    <xf numFmtId="187" fontId="33" fillId="0" borderId="49" xfId="0" applyNumberFormat="1" applyFont="1" applyBorder="1">
      <alignment vertical="center"/>
    </xf>
    <xf numFmtId="187" fontId="112" fillId="0" borderId="293" xfId="1" applyNumberFormat="1" applyFont="1" applyBorder="1">
      <alignment vertical="center"/>
    </xf>
    <xf numFmtId="187" fontId="33" fillId="0" borderId="161" xfId="0" applyNumberFormat="1" applyFont="1" applyBorder="1">
      <alignment vertical="center"/>
    </xf>
    <xf numFmtId="187" fontId="33" fillId="0" borderId="295" xfId="0" applyNumberFormat="1" applyFont="1" applyBorder="1">
      <alignment vertical="center"/>
    </xf>
    <xf numFmtId="187" fontId="33" fillId="0" borderId="296" xfId="0" applyNumberFormat="1" applyFont="1" applyBorder="1">
      <alignment vertical="center"/>
    </xf>
    <xf numFmtId="187" fontId="33" fillId="0" borderId="297" xfId="0" applyNumberFormat="1" applyFont="1" applyBorder="1">
      <alignment vertical="center"/>
    </xf>
    <xf numFmtId="187" fontId="33" fillId="0" borderId="298" xfId="0" applyNumberFormat="1" applyFont="1" applyBorder="1">
      <alignment vertical="center"/>
    </xf>
    <xf numFmtId="187" fontId="34" fillId="0" borderId="221" xfId="0" applyNumberFormat="1" applyFont="1" applyBorder="1">
      <alignment vertical="center"/>
    </xf>
    <xf numFmtId="187" fontId="74" fillId="48" borderId="299" xfId="0" applyNumberFormat="1" applyFont="1" applyFill="1" applyBorder="1" applyAlignment="1">
      <alignment horizontal="center" vertical="center"/>
    </xf>
    <xf numFmtId="187" fontId="34" fillId="48" borderId="300" xfId="0" applyNumberFormat="1" applyFont="1" applyFill="1" applyBorder="1">
      <alignment vertical="center"/>
    </xf>
    <xf numFmtId="187" fontId="34" fillId="48" borderId="301" xfId="0" applyNumberFormat="1" applyFont="1" applyFill="1" applyBorder="1">
      <alignment vertical="center"/>
    </xf>
    <xf numFmtId="187" fontId="34" fillId="48" borderId="302" xfId="0" applyNumberFormat="1" applyFont="1" applyFill="1" applyBorder="1">
      <alignment vertical="center"/>
    </xf>
    <xf numFmtId="187" fontId="34" fillId="48" borderId="303" xfId="0" applyNumberFormat="1" applyFont="1" applyFill="1" applyBorder="1">
      <alignment vertical="center"/>
    </xf>
    <xf numFmtId="187" fontId="34" fillId="48" borderId="304" xfId="0" applyNumberFormat="1" applyFont="1" applyFill="1" applyBorder="1">
      <alignment vertical="center"/>
    </xf>
    <xf numFmtId="187" fontId="34" fillId="48" borderId="305" xfId="0" applyNumberFormat="1" applyFont="1" applyFill="1" applyBorder="1">
      <alignment vertical="center"/>
    </xf>
    <xf numFmtId="187" fontId="11" fillId="33" borderId="306" xfId="1" applyNumberFormat="1" applyFont="1" applyFill="1" applyBorder="1">
      <alignment vertical="center"/>
    </xf>
    <xf numFmtId="187" fontId="11" fillId="33" borderId="307" xfId="1" applyNumberFormat="1" applyFont="1" applyFill="1" applyBorder="1">
      <alignment vertical="center"/>
    </xf>
    <xf numFmtId="187" fontId="11" fillId="33" borderId="308" xfId="1" applyNumberFormat="1" applyFont="1" applyFill="1" applyBorder="1">
      <alignment vertical="center"/>
    </xf>
    <xf numFmtId="187" fontId="11" fillId="33" borderId="309" xfId="1" applyNumberFormat="1" applyFont="1" applyFill="1" applyBorder="1">
      <alignment vertical="center"/>
    </xf>
    <xf numFmtId="187" fontId="11" fillId="33" borderId="310" xfId="1" applyNumberFormat="1" applyFont="1" applyFill="1" applyBorder="1">
      <alignment vertical="center"/>
    </xf>
    <xf numFmtId="187" fontId="11" fillId="33" borderId="311" xfId="1" applyNumberFormat="1" applyFont="1" applyFill="1" applyBorder="1">
      <alignment vertical="center"/>
    </xf>
    <xf numFmtId="187" fontId="11" fillId="33" borderId="312" xfId="1" applyNumberFormat="1" applyFont="1" applyFill="1" applyBorder="1">
      <alignment vertical="center"/>
    </xf>
    <xf numFmtId="187" fontId="34" fillId="0" borderId="248" xfId="0" applyNumberFormat="1" applyFont="1" applyBorder="1" applyAlignment="1">
      <alignment horizontal="center" vertical="center"/>
    </xf>
    <xf numFmtId="187" fontId="11" fillId="0" borderId="290" xfId="1" applyNumberFormat="1" applyFont="1" applyFill="1" applyBorder="1">
      <alignment vertical="center"/>
    </xf>
    <xf numFmtId="187" fontId="5" fillId="0" borderId="93" xfId="1" applyNumberFormat="1" applyFont="1" applyBorder="1">
      <alignment vertical="center"/>
    </xf>
    <xf numFmtId="187" fontId="5" fillId="0" borderId="56" xfId="1" applyNumberFormat="1" applyFont="1" applyBorder="1">
      <alignment vertical="center"/>
    </xf>
    <xf numFmtId="187" fontId="5" fillId="0" borderId="133" xfId="1" applyNumberFormat="1" applyFont="1" applyBorder="1">
      <alignment vertical="center"/>
    </xf>
    <xf numFmtId="187" fontId="5" fillId="0" borderId="57" xfId="1" applyNumberFormat="1" applyFont="1" applyBorder="1">
      <alignment vertical="center"/>
    </xf>
    <xf numFmtId="187" fontId="5" fillId="0" borderId="34" xfId="1" applyNumberFormat="1" applyFont="1" applyBorder="1">
      <alignment vertical="center"/>
    </xf>
    <xf numFmtId="187" fontId="5" fillId="0" borderId="13" xfId="1" applyNumberFormat="1" applyFont="1" applyBorder="1">
      <alignment vertical="center"/>
    </xf>
    <xf numFmtId="187" fontId="5" fillId="0" borderId="93" xfId="1" applyNumberFormat="1" applyFont="1" applyFill="1" applyBorder="1">
      <alignment vertical="center"/>
    </xf>
    <xf numFmtId="187" fontId="5" fillId="0" borderId="56" xfId="1" applyNumberFormat="1" applyFont="1" applyFill="1" applyBorder="1">
      <alignment vertical="center"/>
    </xf>
    <xf numFmtId="187" fontId="5" fillId="0" borderId="133" xfId="1" applyNumberFormat="1" applyFont="1" applyFill="1" applyBorder="1">
      <alignment vertical="center"/>
    </xf>
    <xf numFmtId="187" fontId="5" fillId="0" borderId="57" xfId="1" applyNumberFormat="1" applyFont="1" applyFill="1" applyBorder="1">
      <alignment vertical="center"/>
    </xf>
    <xf numFmtId="187" fontId="5" fillId="0" borderId="293" xfId="1" applyNumberFormat="1" applyFont="1" applyFill="1" applyBorder="1">
      <alignment vertical="center"/>
    </xf>
    <xf numFmtId="187" fontId="11" fillId="0" borderId="93" xfId="1" applyNumberFormat="1" applyFont="1" applyFill="1" applyBorder="1">
      <alignment vertical="center"/>
    </xf>
    <xf numFmtId="187" fontId="114" fillId="0" borderId="56" xfId="1" applyNumberFormat="1" applyFont="1" applyFill="1" applyBorder="1">
      <alignment vertical="center"/>
    </xf>
    <xf numFmtId="187" fontId="114" fillId="0" borderId="133" xfId="1" applyNumberFormat="1" applyFont="1" applyFill="1" applyBorder="1">
      <alignment vertical="center"/>
    </xf>
    <xf numFmtId="214" fontId="40" fillId="0" borderId="0" xfId="0" applyNumberFormat="1" applyFont="1">
      <alignment vertical="center"/>
    </xf>
    <xf numFmtId="214" fontId="40" fillId="0" borderId="266" xfId="0" applyNumberFormat="1" applyFont="1" applyBorder="1" applyAlignment="1">
      <alignment horizontal="center" vertical="center"/>
    </xf>
    <xf numFmtId="214" fontId="40" fillId="0" borderId="12" xfId="0" applyNumberFormat="1" applyFont="1" applyBorder="1" applyAlignment="1">
      <alignment horizontal="left" vertical="center" indent="2"/>
    </xf>
    <xf numFmtId="214" fontId="40" fillId="0" borderId="13" xfId="0" applyNumberFormat="1" applyFont="1" applyBorder="1">
      <alignment vertical="center"/>
    </xf>
    <xf numFmtId="214" fontId="40" fillId="0" borderId="57" xfId="0" applyNumberFormat="1" applyFont="1" applyBorder="1">
      <alignment vertical="center"/>
    </xf>
    <xf numFmtId="214" fontId="40" fillId="0" borderId="56" xfId="0" applyNumberFormat="1" applyFont="1" applyBorder="1">
      <alignment vertical="center"/>
    </xf>
    <xf numFmtId="214" fontId="40" fillId="0" borderId="12" xfId="0" applyNumberFormat="1" applyFont="1" applyBorder="1">
      <alignment vertical="center"/>
    </xf>
    <xf numFmtId="214" fontId="118" fillId="0" borderId="93" xfId="1" applyNumberFormat="1" applyFont="1" applyBorder="1">
      <alignment vertical="center"/>
    </xf>
    <xf numFmtId="214" fontId="118" fillId="0" borderId="56" xfId="1" applyNumberFormat="1" applyFont="1" applyBorder="1">
      <alignment vertical="center"/>
    </xf>
    <xf numFmtId="214" fontId="118" fillId="0" borderId="133" xfId="1" applyNumberFormat="1" applyFont="1" applyBorder="1">
      <alignment vertical="center"/>
    </xf>
    <xf numFmtId="214" fontId="118" fillId="0" borderId="57" xfId="1" applyNumberFormat="1" applyFont="1" applyBorder="1">
      <alignment vertical="center"/>
    </xf>
    <xf numFmtId="214" fontId="118" fillId="0" borderId="34" xfId="1" applyNumberFormat="1" applyFont="1" applyBorder="1">
      <alignment vertical="center"/>
    </xf>
    <xf numFmtId="214" fontId="118" fillId="0" borderId="13" xfId="1" applyNumberFormat="1" applyFont="1" applyBorder="1">
      <alignment vertical="center"/>
    </xf>
    <xf numFmtId="214" fontId="118" fillId="0" borderId="93" xfId="1" applyNumberFormat="1" applyFont="1" applyFill="1" applyBorder="1">
      <alignment vertical="center"/>
    </xf>
    <xf numFmtId="214" fontId="118" fillId="0" borderId="56" xfId="1" applyNumberFormat="1" applyFont="1" applyFill="1" applyBorder="1">
      <alignment vertical="center"/>
    </xf>
    <xf numFmtId="214" fontId="118" fillId="0" borderId="133" xfId="1" applyNumberFormat="1" applyFont="1" applyFill="1" applyBorder="1">
      <alignment vertical="center"/>
    </xf>
    <xf numFmtId="187" fontId="118" fillId="0" borderId="57" xfId="1" applyNumberFormat="1" applyFont="1" applyFill="1" applyBorder="1">
      <alignment vertical="center"/>
    </xf>
    <xf numFmtId="214" fontId="118" fillId="0" borderId="57" xfId="1" applyNumberFormat="1" applyFont="1" applyFill="1" applyBorder="1">
      <alignment vertical="center"/>
    </xf>
    <xf numFmtId="214" fontId="118" fillId="0" borderId="293" xfId="1" applyNumberFormat="1" applyFont="1" applyFill="1" applyBorder="1">
      <alignment vertical="center"/>
    </xf>
    <xf numFmtId="187" fontId="33" fillId="0" borderId="43" xfId="0" applyNumberFormat="1" applyFont="1" applyBorder="1">
      <alignment vertical="center"/>
    </xf>
    <xf numFmtId="187" fontId="33" fillId="0" borderId="143" xfId="0" applyNumberFormat="1" applyFont="1" applyBorder="1">
      <alignment vertical="center"/>
    </xf>
    <xf numFmtId="187" fontId="33" fillId="0" borderId="86" xfId="0" applyNumberFormat="1" applyFont="1" applyBorder="1">
      <alignment vertical="center"/>
    </xf>
    <xf numFmtId="187" fontId="33" fillId="0" borderId="140" xfId="0" applyNumberFormat="1" applyFont="1" applyBorder="1">
      <alignment vertical="center"/>
    </xf>
    <xf numFmtId="187" fontId="5" fillId="0" borderId="145" xfId="1" applyNumberFormat="1" applyFont="1" applyBorder="1">
      <alignment vertical="center"/>
    </xf>
    <xf numFmtId="187" fontId="5" fillId="0" borderId="86" xfId="1" applyNumberFormat="1" applyFont="1" applyBorder="1">
      <alignment vertical="center"/>
    </xf>
    <xf numFmtId="187" fontId="5" fillId="0" borderId="144" xfId="1" applyNumberFormat="1" applyFont="1" applyBorder="1">
      <alignment vertical="center"/>
    </xf>
    <xf numFmtId="187" fontId="5" fillId="0" borderId="143" xfId="1" applyNumberFormat="1" applyFont="1" applyBorder="1">
      <alignment vertical="center"/>
    </xf>
    <xf numFmtId="187" fontId="5" fillId="0" borderId="41" xfId="1" applyNumberFormat="1" applyFont="1" applyBorder="1">
      <alignment vertical="center"/>
    </xf>
    <xf numFmtId="187" fontId="5" fillId="0" borderId="145" xfId="1" applyNumberFormat="1" applyFont="1" applyFill="1" applyBorder="1">
      <alignment vertical="center"/>
    </xf>
    <xf numFmtId="187" fontId="5" fillId="0" borderId="86" xfId="1" applyNumberFormat="1" applyFont="1" applyFill="1" applyBorder="1">
      <alignment vertical="center"/>
    </xf>
    <xf numFmtId="187" fontId="5" fillId="0" borderId="144" xfId="1" applyNumberFormat="1" applyFont="1" applyFill="1" applyBorder="1">
      <alignment vertical="center"/>
    </xf>
    <xf numFmtId="187" fontId="5" fillId="0" borderId="143" xfId="1" applyNumberFormat="1" applyFont="1" applyFill="1" applyBorder="1">
      <alignment vertical="center"/>
    </xf>
    <xf numFmtId="187" fontId="34" fillId="0" borderId="86" xfId="57" applyNumberFormat="1" applyFont="1" applyFill="1" applyBorder="1" applyAlignment="1">
      <alignment vertical="center"/>
    </xf>
    <xf numFmtId="187" fontId="11" fillId="0" borderId="145" xfId="1" applyNumberFormat="1" applyFont="1" applyBorder="1">
      <alignment vertical="center"/>
    </xf>
    <xf numFmtId="187" fontId="11" fillId="0" borderId="86" xfId="1" applyNumberFormat="1" applyFont="1" applyBorder="1">
      <alignment vertical="center"/>
    </xf>
    <xf numFmtId="187" fontId="11" fillId="0" borderId="144" xfId="1" applyNumberFormat="1" applyFont="1" applyBorder="1">
      <alignment vertical="center"/>
    </xf>
    <xf numFmtId="187" fontId="11" fillId="0" borderId="143" xfId="1" applyNumberFormat="1" applyFont="1" applyBorder="1">
      <alignment vertical="center"/>
    </xf>
    <xf numFmtId="187" fontId="11" fillId="0" borderId="41" xfId="1" applyNumberFormat="1" applyFont="1" applyBorder="1">
      <alignment vertical="center"/>
    </xf>
    <xf numFmtId="187" fontId="11" fillId="0" borderId="145" xfId="1" applyNumberFormat="1" applyFont="1" applyFill="1" applyBorder="1">
      <alignment vertical="center"/>
    </xf>
    <xf numFmtId="187" fontId="11" fillId="0" borderId="144" xfId="1" applyNumberFormat="1" applyFont="1" applyFill="1" applyBorder="1">
      <alignment vertical="center"/>
    </xf>
    <xf numFmtId="187" fontId="11" fillId="0" borderId="143" xfId="1" applyNumberFormat="1" applyFont="1" applyFill="1" applyBorder="1">
      <alignment vertical="center"/>
    </xf>
    <xf numFmtId="187" fontId="11" fillId="0" borderId="86" xfId="1" applyNumberFormat="1" applyFont="1" applyFill="1" applyBorder="1">
      <alignment vertical="center"/>
    </xf>
    <xf numFmtId="187" fontId="112" fillId="0" borderId="313" xfId="1" applyNumberFormat="1" applyFont="1" applyFill="1" applyBorder="1">
      <alignment vertical="center"/>
    </xf>
    <xf numFmtId="187" fontId="112" fillId="0" borderId="53" xfId="1" applyNumberFormat="1" applyFont="1" applyFill="1" applyBorder="1">
      <alignment vertical="center"/>
    </xf>
    <xf numFmtId="187" fontId="112" fillId="0" borderId="142" xfId="1" applyNumberFormat="1" applyFont="1" applyFill="1" applyBorder="1">
      <alignment vertical="center"/>
    </xf>
    <xf numFmtId="187" fontId="112" fillId="0" borderId="141" xfId="1" applyNumberFormat="1" applyFont="1" applyFill="1" applyBorder="1">
      <alignment vertical="center"/>
    </xf>
    <xf numFmtId="187" fontId="112" fillId="0" borderId="31" xfId="1" applyNumberFormat="1" applyFont="1" applyFill="1" applyBorder="1">
      <alignment vertical="center"/>
    </xf>
    <xf numFmtId="187" fontId="112" fillId="0" borderId="33" xfId="1" applyNumberFormat="1" applyFont="1" applyFill="1" applyBorder="1">
      <alignment vertical="center"/>
    </xf>
    <xf numFmtId="187" fontId="112" fillId="0" borderId="314" xfId="1" applyNumberFormat="1" applyFont="1" applyFill="1" applyBorder="1">
      <alignment vertical="center"/>
    </xf>
    <xf numFmtId="187" fontId="112" fillId="0" borderId="93" xfId="1" applyNumberFormat="1" applyFont="1" applyFill="1" applyBorder="1">
      <alignment vertical="center"/>
    </xf>
    <xf numFmtId="187" fontId="112" fillId="0" borderId="34" xfId="1" applyNumberFormat="1" applyFont="1" applyFill="1" applyBorder="1">
      <alignment vertical="center"/>
    </xf>
    <xf numFmtId="187" fontId="112" fillId="0" borderId="13" xfId="1" applyNumberFormat="1" applyFont="1" applyFill="1" applyBorder="1">
      <alignment vertical="center"/>
    </xf>
    <xf numFmtId="187" fontId="112" fillId="0" borderId="270" xfId="1" applyNumberFormat="1" applyFont="1" applyFill="1" applyBorder="1">
      <alignment vertical="center"/>
    </xf>
    <xf numFmtId="187" fontId="112" fillId="0" borderId="191" xfId="1" applyNumberFormat="1" applyFont="1" applyFill="1" applyBorder="1">
      <alignment vertical="center"/>
    </xf>
    <xf numFmtId="187" fontId="112" fillId="0" borderId="192" xfId="1" applyNumberFormat="1" applyFont="1" applyFill="1" applyBorder="1">
      <alignment vertical="center"/>
    </xf>
    <xf numFmtId="187" fontId="112" fillId="0" borderId="190" xfId="1" applyNumberFormat="1" applyFont="1" applyFill="1" applyBorder="1">
      <alignment vertical="center"/>
    </xf>
    <xf numFmtId="187" fontId="112" fillId="0" borderId="35" xfId="1" applyNumberFormat="1" applyFont="1" applyFill="1" applyBorder="1">
      <alignment vertical="center"/>
    </xf>
    <xf numFmtId="187" fontId="112" fillId="0" borderId="38" xfId="1" applyNumberFormat="1" applyFont="1" applyFill="1" applyBorder="1">
      <alignment vertical="center"/>
    </xf>
    <xf numFmtId="187" fontId="112" fillId="0" borderId="315" xfId="1" applyNumberFormat="1" applyFont="1" applyFill="1" applyBorder="1">
      <alignment vertical="center"/>
    </xf>
    <xf numFmtId="187" fontId="34" fillId="0" borderId="49" xfId="0" applyNumberFormat="1" applyFont="1" applyBorder="1" applyAlignment="1">
      <alignment horizontal="left" vertical="center" indent="1"/>
    </xf>
    <xf numFmtId="187" fontId="34" fillId="0" borderId="33" xfId="0" applyNumberFormat="1" applyFont="1" applyBorder="1">
      <alignment vertical="center"/>
    </xf>
    <xf numFmtId="187" fontId="34" fillId="0" borderId="141" xfId="0" applyNumberFormat="1" applyFont="1" applyBorder="1">
      <alignment vertical="center"/>
    </xf>
    <xf numFmtId="187" fontId="34" fillId="0" borderId="142" xfId="0" applyNumberFormat="1" applyFont="1" applyBorder="1">
      <alignment vertical="center"/>
    </xf>
    <xf numFmtId="187" fontId="34" fillId="0" borderId="49" xfId="0" applyNumberFormat="1" applyFont="1" applyBorder="1">
      <alignment vertical="center"/>
    </xf>
    <xf numFmtId="187" fontId="33" fillId="0" borderId="266" xfId="0" applyNumberFormat="1" applyFont="1" applyBorder="1">
      <alignment vertical="center"/>
    </xf>
    <xf numFmtId="187" fontId="118" fillId="17" borderId="56" xfId="1" applyNumberFormat="1" applyFont="1" applyFill="1" applyBorder="1">
      <alignment vertical="center"/>
    </xf>
    <xf numFmtId="187" fontId="5" fillId="0" borderId="34" xfId="1" applyNumberFormat="1" applyFont="1" applyFill="1" applyBorder="1">
      <alignment vertical="center"/>
    </xf>
    <xf numFmtId="187" fontId="5" fillId="0" borderId="13" xfId="1" applyNumberFormat="1" applyFont="1" applyFill="1" applyBorder="1">
      <alignment vertical="center"/>
    </xf>
    <xf numFmtId="187" fontId="33" fillId="0" borderId="34" xfId="0" applyNumberFormat="1" applyFont="1" applyBorder="1">
      <alignment vertical="center"/>
    </xf>
    <xf numFmtId="187" fontId="40" fillId="0" borderId="56" xfId="0" applyNumberFormat="1" applyFont="1" applyBorder="1">
      <alignment vertical="center"/>
    </xf>
    <xf numFmtId="187" fontId="130" fillId="0" borderId="86" xfId="0" applyNumberFormat="1" applyFont="1" applyBorder="1">
      <alignment vertical="center"/>
    </xf>
    <xf numFmtId="187" fontId="112" fillId="0" borderId="313" xfId="1" applyNumberFormat="1" applyFont="1" applyBorder="1">
      <alignment vertical="center"/>
    </xf>
    <xf numFmtId="187" fontId="112" fillId="0" borderId="53" xfId="1" applyNumberFormat="1" applyFont="1" applyBorder="1">
      <alignment vertical="center"/>
    </xf>
    <xf numFmtId="187" fontId="112" fillId="0" borderId="142" xfId="1" applyNumberFormat="1" applyFont="1" applyBorder="1">
      <alignment vertical="center"/>
    </xf>
    <xf numFmtId="187" fontId="112" fillId="0" borderId="141" xfId="1" applyNumberFormat="1" applyFont="1" applyBorder="1">
      <alignment vertical="center"/>
    </xf>
    <xf numFmtId="187" fontId="112" fillId="0" borderId="31" xfId="1" applyNumberFormat="1" applyFont="1" applyBorder="1">
      <alignment vertical="center"/>
    </xf>
    <xf numFmtId="187" fontId="112" fillId="0" borderId="39" xfId="1" applyNumberFormat="1" applyFont="1" applyBorder="1">
      <alignment vertical="center"/>
    </xf>
    <xf numFmtId="187" fontId="34" fillId="0" borderId="87" xfId="0" applyNumberFormat="1" applyFont="1" applyBorder="1">
      <alignment vertical="center"/>
    </xf>
    <xf numFmtId="187" fontId="34" fillId="0" borderId="98" xfId="0" applyNumberFormat="1" applyFont="1" applyBorder="1">
      <alignment vertical="center"/>
    </xf>
    <xf numFmtId="187" fontId="34" fillId="0" borderId="99" xfId="0" applyNumberFormat="1" applyFont="1" applyBorder="1">
      <alignment vertical="center"/>
    </xf>
    <xf numFmtId="187" fontId="34" fillId="0" borderId="100" xfId="0" applyNumberFormat="1" applyFont="1" applyBorder="1">
      <alignment vertical="center"/>
    </xf>
    <xf numFmtId="187" fontId="34" fillId="0" borderId="101" xfId="0" applyNumberFormat="1" applyFont="1" applyBorder="1">
      <alignment vertical="center"/>
    </xf>
    <xf numFmtId="187" fontId="112" fillId="0" borderId="316" xfId="1" applyNumberFormat="1" applyFont="1" applyBorder="1">
      <alignment vertical="center"/>
    </xf>
    <xf numFmtId="187" fontId="112" fillId="0" borderId="100" xfId="1" applyNumberFormat="1" applyFont="1" applyBorder="1">
      <alignment vertical="center"/>
    </xf>
    <xf numFmtId="187" fontId="112" fillId="0" borderId="101" xfId="1" applyNumberFormat="1" applyFont="1" applyBorder="1">
      <alignment vertical="center"/>
    </xf>
    <xf numFmtId="187" fontId="112" fillId="0" borderId="99" xfId="1" applyNumberFormat="1" applyFont="1" applyBorder="1">
      <alignment vertical="center"/>
    </xf>
    <xf numFmtId="187" fontId="112" fillId="0" borderId="97" xfId="1" applyNumberFormat="1" applyFont="1" applyBorder="1">
      <alignment vertical="center"/>
    </xf>
    <xf numFmtId="187" fontId="112" fillId="0" borderId="98" xfId="1" applyNumberFormat="1" applyFont="1" applyFill="1" applyBorder="1">
      <alignment vertical="center"/>
    </xf>
    <xf numFmtId="187" fontId="112" fillId="0" borderId="99" xfId="1" applyNumberFormat="1" applyFont="1" applyFill="1" applyBorder="1">
      <alignment vertical="center"/>
    </xf>
    <xf numFmtId="187" fontId="112" fillId="0" borderId="100" xfId="1" applyNumberFormat="1" applyFont="1" applyFill="1" applyBorder="1">
      <alignment vertical="center"/>
    </xf>
    <xf numFmtId="187" fontId="112" fillId="0" borderId="101" xfId="1" applyNumberFormat="1" applyFont="1" applyFill="1" applyBorder="1">
      <alignment vertical="center"/>
    </xf>
    <xf numFmtId="187" fontId="112" fillId="0" borderId="317" xfId="1" applyNumberFormat="1" applyFont="1" applyFill="1" applyBorder="1">
      <alignment vertical="center"/>
    </xf>
    <xf numFmtId="187" fontId="74" fillId="0" borderId="21" xfId="0" applyNumberFormat="1" applyFont="1" applyBorder="1" applyAlignment="1">
      <alignment horizontal="center" vertical="center"/>
    </xf>
    <xf numFmtId="187" fontId="34" fillId="0" borderId="9" xfId="0" applyNumberFormat="1" applyFont="1" applyBorder="1">
      <alignment vertical="center"/>
    </xf>
    <xf numFmtId="187" fontId="34" fillId="0" borderId="95" xfId="0" applyNumberFormat="1" applyFont="1" applyBorder="1">
      <alignment vertical="center"/>
    </xf>
    <xf numFmtId="187" fontId="34" fillId="0" borderId="51" xfId="0" applyNumberFormat="1" applyFont="1" applyBorder="1">
      <alignment vertical="center"/>
    </xf>
    <xf numFmtId="187" fontId="34" fillId="0" borderId="96" xfId="0" applyNumberFormat="1" applyFont="1" applyBorder="1">
      <alignment vertical="center"/>
    </xf>
    <xf numFmtId="187" fontId="34" fillId="0" borderId="21" xfId="0" applyNumberFormat="1" applyFont="1" applyBorder="1">
      <alignment vertical="center"/>
    </xf>
    <xf numFmtId="187" fontId="33" fillId="0" borderId="128" xfId="0" applyNumberFormat="1" applyFont="1" applyBorder="1">
      <alignment vertical="center"/>
    </xf>
    <xf numFmtId="187" fontId="33" fillId="0" borderId="139" xfId="0" applyNumberFormat="1" applyFont="1" applyBorder="1">
      <alignment vertical="center"/>
    </xf>
    <xf numFmtId="187" fontId="33" fillId="0" borderId="130" xfId="0" applyNumberFormat="1" applyFont="1" applyBorder="1">
      <alignment vertical="center"/>
    </xf>
    <xf numFmtId="187" fontId="33" fillId="0" borderId="131" xfId="0" applyNumberFormat="1" applyFont="1" applyBorder="1">
      <alignment vertical="center"/>
    </xf>
    <xf numFmtId="187" fontId="33" fillId="0" borderId="132" xfId="0" applyNumberFormat="1" applyFont="1" applyBorder="1">
      <alignment vertical="center"/>
    </xf>
    <xf numFmtId="187" fontId="112" fillId="0" borderId="318" xfId="1" applyNumberFormat="1" applyFont="1" applyBorder="1">
      <alignment vertical="center"/>
    </xf>
    <xf numFmtId="187" fontId="112" fillId="0" borderId="131" xfId="1" applyNumberFormat="1" applyFont="1" applyBorder="1">
      <alignment vertical="center"/>
    </xf>
    <xf numFmtId="187" fontId="112" fillId="0" borderId="132" xfId="1" applyNumberFormat="1" applyFont="1" applyBorder="1">
      <alignment vertical="center"/>
    </xf>
    <xf numFmtId="187" fontId="112" fillId="0" borderId="130" xfId="1" applyNumberFormat="1" applyFont="1" applyBorder="1">
      <alignment vertical="center"/>
    </xf>
    <xf numFmtId="187" fontId="112" fillId="0" borderId="196" xfId="1" applyNumberFormat="1" applyFont="1" applyBorder="1">
      <alignment vertical="center"/>
    </xf>
    <xf numFmtId="187" fontId="112" fillId="0" borderId="139" xfId="1" applyNumberFormat="1" applyFont="1" applyFill="1" applyBorder="1">
      <alignment vertical="center"/>
    </xf>
    <xf numFmtId="187" fontId="112" fillId="0" borderId="130" xfId="1" applyNumberFormat="1" applyFont="1" applyFill="1" applyBorder="1">
      <alignment vertical="center"/>
    </xf>
    <xf numFmtId="187" fontId="112" fillId="0" borderId="131" xfId="1" applyNumberFormat="1" applyFont="1" applyFill="1" applyBorder="1">
      <alignment vertical="center"/>
    </xf>
    <xf numFmtId="187" fontId="112" fillId="0" borderId="132" xfId="1" applyNumberFormat="1" applyFont="1" applyFill="1" applyBorder="1">
      <alignment vertical="center"/>
    </xf>
    <xf numFmtId="187" fontId="112" fillId="0" borderId="319" xfId="1" applyNumberFormat="1" applyFont="1" applyFill="1" applyBorder="1">
      <alignment vertical="center"/>
    </xf>
    <xf numFmtId="187" fontId="33" fillId="0" borderId="56" xfId="57" applyNumberFormat="1" applyFont="1" applyBorder="1" applyAlignment="1">
      <alignment vertical="center"/>
    </xf>
    <xf numFmtId="187" fontId="170" fillId="0" borderId="56" xfId="0" applyNumberFormat="1" applyFont="1" applyBorder="1">
      <alignment vertical="center"/>
    </xf>
    <xf numFmtId="187" fontId="170" fillId="0" borderId="56" xfId="58" applyNumberFormat="1" applyFont="1" applyBorder="1">
      <alignment vertical="center"/>
    </xf>
    <xf numFmtId="187" fontId="33" fillId="0" borderId="134" xfId="0" applyNumberFormat="1" applyFont="1" applyBorder="1">
      <alignment vertical="center"/>
    </xf>
    <xf numFmtId="187" fontId="33" fillId="0" borderId="137" xfId="0" applyNumberFormat="1" applyFont="1" applyBorder="1">
      <alignment vertical="center"/>
    </xf>
    <xf numFmtId="187" fontId="170" fillId="0" borderId="55" xfId="0" applyNumberFormat="1" applyFont="1" applyBorder="1">
      <alignment vertical="center"/>
    </xf>
    <xf numFmtId="187" fontId="170" fillId="0" borderId="55" xfId="58" applyNumberFormat="1" applyFont="1" applyBorder="1">
      <alignment vertical="center"/>
    </xf>
    <xf numFmtId="187" fontId="33" fillId="0" borderId="55" xfId="0" applyNumberFormat="1" applyFont="1" applyBorder="1">
      <alignment vertical="center"/>
    </xf>
    <xf numFmtId="187" fontId="33" fillId="0" borderId="138" xfId="0" applyNumberFormat="1" applyFont="1" applyBorder="1">
      <alignment vertical="center"/>
    </xf>
    <xf numFmtId="187" fontId="33" fillId="0" borderId="135" xfId="0" applyNumberFormat="1" applyFont="1" applyBorder="1">
      <alignment vertical="center"/>
    </xf>
    <xf numFmtId="187" fontId="112" fillId="0" borderId="193" xfId="1" applyNumberFormat="1" applyFont="1" applyBorder="1">
      <alignment vertical="center"/>
    </xf>
    <xf numFmtId="187" fontId="112" fillId="0" borderId="55" xfId="1" applyNumberFormat="1" applyFont="1" applyBorder="1">
      <alignment vertical="center"/>
    </xf>
    <xf numFmtId="187" fontId="112" fillId="0" borderId="138" xfId="1" applyNumberFormat="1" applyFont="1" applyBorder="1">
      <alignment vertical="center"/>
    </xf>
    <xf numFmtId="187" fontId="112" fillId="0" borderId="137" xfId="1" applyNumberFormat="1" applyFont="1" applyBorder="1">
      <alignment vertical="center"/>
    </xf>
    <xf numFmtId="187" fontId="112" fillId="0" borderId="189" xfId="1" applyNumberFormat="1" applyFont="1" applyBorder="1">
      <alignment vertical="center"/>
    </xf>
    <xf numFmtId="187" fontId="112" fillId="0" borderId="134" xfId="1" applyNumberFormat="1" applyFont="1" applyBorder="1">
      <alignment vertical="center"/>
    </xf>
    <xf numFmtId="187" fontId="112" fillId="0" borderId="135" xfId="1" applyNumberFormat="1" applyFont="1" applyBorder="1">
      <alignment vertical="center"/>
    </xf>
    <xf numFmtId="187" fontId="112" fillId="0" borderId="320" xfId="1" applyNumberFormat="1" applyFont="1" applyFill="1" applyBorder="1">
      <alignment vertical="center"/>
    </xf>
    <xf numFmtId="187" fontId="74" fillId="0" borderId="128" xfId="0" applyNumberFormat="1" applyFont="1" applyBorder="1" applyAlignment="1">
      <alignment horizontal="center" vertical="center"/>
    </xf>
    <xf numFmtId="187" fontId="34" fillId="0" borderId="321" xfId="0" applyNumberFormat="1" applyFont="1" applyBorder="1">
      <alignment vertical="center"/>
    </xf>
    <xf numFmtId="187" fontId="34" fillId="0" borderId="322" xfId="0" applyNumberFormat="1" applyFont="1" applyBorder="1">
      <alignment vertical="center"/>
    </xf>
    <xf numFmtId="187" fontId="34" fillId="0" borderId="323" xfId="0" applyNumberFormat="1" applyFont="1" applyBorder="1">
      <alignment vertical="center"/>
    </xf>
    <xf numFmtId="187" fontId="34" fillId="0" borderId="324" xfId="0" applyNumberFormat="1" applyFont="1" applyBorder="1">
      <alignment vertical="center"/>
    </xf>
    <xf numFmtId="187" fontId="34" fillId="0" borderId="325" xfId="0" applyNumberFormat="1" applyFont="1" applyBorder="1">
      <alignment vertical="center"/>
    </xf>
    <xf numFmtId="187" fontId="34" fillId="0" borderId="225" xfId="0" applyNumberFormat="1" applyFont="1" applyBorder="1" applyAlignment="1">
      <alignment horizontal="center" vertical="center"/>
    </xf>
    <xf numFmtId="187" fontId="74" fillId="48" borderId="162" xfId="0" applyNumberFormat="1" applyFont="1" applyFill="1" applyBorder="1" applyAlignment="1">
      <alignment horizontal="center" vertical="center"/>
    </xf>
    <xf numFmtId="187" fontId="11" fillId="33" borderId="326" xfId="1" applyNumberFormat="1" applyFont="1" applyFill="1" applyBorder="1">
      <alignment vertical="center"/>
    </xf>
    <xf numFmtId="187" fontId="11" fillId="33" borderId="327" xfId="1" applyNumberFormat="1" applyFont="1" applyFill="1" applyBorder="1">
      <alignment vertical="center"/>
    </xf>
    <xf numFmtId="187" fontId="11" fillId="33" borderId="328" xfId="1" applyNumberFormat="1" applyFont="1" applyFill="1" applyBorder="1">
      <alignment vertical="center"/>
    </xf>
    <xf numFmtId="187" fontId="11" fillId="33" borderId="329" xfId="1" applyNumberFormat="1" applyFont="1" applyFill="1" applyBorder="1">
      <alignment vertical="center"/>
    </xf>
    <xf numFmtId="187" fontId="11" fillId="33" borderId="330" xfId="1" applyNumberFormat="1" applyFont="1" applyFill="1" applyBorder="1">
      <alignment vertical="center"/>
    </xf>
    <xf numFmtId="187" fontId="11" fillId="33" borderId="155" xfId="1" applyNumberFormat="1" applyFont="1" applyFill="1" applyBorder="1">
      <alignment vertical="center"/>
    </xf>
    <xf numFmtId="187" fontId="11" fillId="33" borderId="331" xfId="1" applyNumberFormat="1" applyFont="1" applyFill="1" applyBorder="1">
      <alignment vertical="center"/>
    </xf>
    <xf numFmtId="187" fontId="113" fillId="0" borderId="12" xfId="0" applyNumberFormat="1" applyFont="1" applyBorder="1" applyAlignment="1">
      <alignment horizontal="center" vertical="center"/>
    </xf>
    <xf numFmtId="187" fontId="112" fillId="23" borderId="0" xfId="0" applyNumberFormat="1" applyFont="1" applyFill="1">
      <alignment vertical="center"/>
    </xf>
    <xf numFmtId="187" fontId="112" fillId="23" borderId="299" xfId="0" applyNumberFormat="1" applyFont="1" applyFill="1" applyBorder="1" applyAlignment="1">
      <alignment horizontal="left" vertical="center" indent="1"/>
    </xf>
    <xf numFmtId="187" fontId="112" fillId="23" borderId="332" xfId="0" applyNumberFormat="1" applyFont="1" applyFill="1" applyBorder="1" applyAlignment="1">
      <alignment horizontal="left" vertical="center"/>
    </xf>
    <xf numFmtId="187" fontId="112" fillId="23" borderId="311" xfId="0" applyNumberFormat="1" applyFont="1" applyFill="1" applyBorder="1">
      <alignment vertical="center"/>
    </xf>
    <xf numFmtId="187" fontId="112" fillId="23" borderId="309" xfId="0" applyNumberFormat="1" applyFont="1" applyFill="1" applyBorder="1">
      <alignment vertical="center"/>
    </xf>
    <xf numFmtId="187" fontId="112" fillId="23" borderId="307" xfId="0" applyNumberFormat="1" applyFont="1" applyFill="1" applyBorder="1">
      <alignment vertical="center"/>
    </xf>
    <xf numFmtId="187" fontId="112" fillId="23" borderId="308" xfId="0" applyNumberFormat="1" applyFont="1" applyFill="1" applyBorder="1">
      <alignment vertical="center"/>
    </xf>
    <xf numFmtId="187" fontId="112" fillId="23" borderId="333" xfId="0" applyNumberFormat="1" applyFont="1" applyFill="1" applyBorder="1">
      <alignment vertical="center"/>
    </xf>
    <xf numFmtId="187" fontId="112" fillId="23" borderId="306" xfId="1" applyNumberFormat="1" applyFont="1" applyFill="1" applyBorder="1">
      <alignment vertical="center"/>
    </xf>
    <xf numFmtId="187" fontId="112" fillId="23" borderId="307" xfId="1" applyNumberFormat="1" applyFont="1" applyFill="1" applyBorder="1">
      <alignment vertical="center"/>
    </xf>
    <xf numFmtId="187" fontId="112" fillId="23" borderId="308" xfId="1" applyNumberFormat="1" applyFont="1" applyFill="1" applyBorder="1">
      <alignment vertical="center"/>
    </xf>
    <xf numFmtId="187" fontId="112" fillId="23" borderId="309" xfId="1" applyNumberFormat="1" applyFont="1" applyFill="1" applyBorder="1">
      <alignment vertical="center"/>
    </xf>
    <xf numFmtId="187" fontId="112" fillId="23" borderId="310" xfId="1" applyNumberFormat="1" applyFont="1" applyFill="1" applyBorder="1">
      <alignment vertical="center"/>
    </xf>
    <xf numFmtId="187" fontId="112" fillId="23" borderId="311" xfId="1" applyNumberFormat="1" applyFont="1" applyFill="1" applyBorder="1">
      <alignment vertical="center"/>
    </xf>
    <xf numFmtId="214" fontId="112" fillId="23" borderId="309" xfId="1" applyNumberFormat="1" applyFont="1" applyFill="1" applyBorder="1">
      <alignment vertical="center"/>
    </xf>
    <xf numFmtId="214" fontId="112" fillId="23" borderId="307" xfId="1" applyNumberFormat="1" applyFont="1" applyFill="1" applyBorder="1">
      <alignment vertical="center"/>
    </xf>
    <xf numFmtId="214" fontId="112" fillId="23" borderId="308" xfId="1" applyNumberFormat="1" applyFont="1" applyFill="1" applyBorder="1">
      <alignment vertical="center"/>
    </xf>
    <xf numFmtId="214" fontId="112" fillId="23" borderId="312" xfId="1" applyNumberFormat="1" applyFont="1" applyFill="1" applyBorder="1">
      <alignment vertical="center"/>
    </xf>
    <xf numFmtId="0" fontId="33" fillId="0" borderId="0" xfId="0" applyFont="1" applyAlignment="1">
      <alignment horizontal="right" vertical="center"/>
    </xf>
    <xf numFmtId="214" fontId="142" fillId="0" borderId="0" xfId="0" applyNumberFormat="1" applyFont="1">
      <alignment vertical="center"/>
    </xf>
    <xf numFmtId="41" fontId="112" fillId="0" borderId="0" xfId="1" applyFont="1" applyBorder="1" applyAlignment="1">
      <alignment vertical="center"/>
    </xf>
    <xf numFmtId="187" fontId="112" fillId="0" borderId="0" xfId="1" applyNumberFormat="1" applyFont="1">
      <alignment vertical="center"/>
    </xf>
    <xf numFmtId="199" fontId="112" fillId="0" borderId="0" xfId="0" applyNumberFormat="1" applyFont="1" applyAlignment="1">
      <alignment horizontal="right" vertical="center"/>
    </xf>
    <xf numFmtId="199" fontId="33" fillId="0" borderId="0" xfId="0" applyNumberFormat="1" applyFont="1" applyAlignment="1">
      <alignment horizontal="right" vertical="center"/>
    </xf>
    <xf numFmtId="199" fontId="33" fillId="0" borderId="0" xfId="0" applyNumberFormat="1" applyFont="1" applyAlignment="1">
      <alignment horizontal="right"/>
    </xf>
    <xf numFmtId="181" fontId="112" fillId="0" borderId="0" xfId="0" applyNumberFormat="1" applyFont="1" applyAlignment="1">
      <alignment horizontal="right" vertical="center"/>
    </xf>
    <xf numFmtId="199" fontId="112" fillId="0" borderId="0" xfId="0" applyNumberFormat="1" applyFont="1">
      <alignment vertical="center"/>
    </xf>
    <xf numFmtId="41" fontId="28" fillId="3" borderId="98" xfId="1" applyFont="1" applyFill="1" applyBorder="1" applyAlignment="1">
      <alignment vertical="center"/>
    </xf>
    <xf numFmtId="244" fontId="58" fillId="0" borderId="0" xfId="0" applyNumberFormat="1" applyFont="1">
      <alignment vertical="center"/>
    </xf>
    <xf numFmtId="244" fontId="58" fillId="0" borderId="0" xfId="1" applyNumberFormat="1" applyFont="1">
      <alignment vertical="center"/>
    </xf>
    <xf numFmtId="225" fontId="15" fillId="0" borderId="0" xfId="0" applyNumberFormat="1" applyFont="1">
      <alignment vertical="center"/>
    </xf>
    <xf numFmtId="0" fontId="171" fillId="30" borderId="85" xfId="0" applyFont="1" applyFill="1" applyBorder="1" applyAlignment="1">
      <alignment horizontal="justify" vertical="center" wrapText="1"/>
    </xf>
    <xf numFmtId="0" fontId="172" fillId="30" borderId="202" xfId="0" applyFont="1" applyFill="1" applyBorder="1" applyAlignment="1">
      <alignment horizontal="center" vertical="center" wrapText="1"/>
    </xf>
    <xf numFmtId="0" fontId="173" fillId="0" borderId="203" xfId="0" applyFont="1" applyBorder="1" applyAlignment="1">
      <alignment horizontal="justify" vertical="center" wrapText="1"/>
    </xf>
    <xf numFmtId="0" fontId="171" fillId="0" borderId="203" xfId="0" applyFont="1" applyBorder="1" applyAlignment="1">
      <alignment horizontal="justify" vertical="center" wrapText="1"/>
    </xf>
    <xf numFmtId="0" fontId="171" fillId="49" borderId="85" xfId="0" applyFont="1" applyFill="1" applyBorder="1" applyAlignment="1">
      <alignment horizontal="center" vertical="center" wrapText="1"/>
    </xf>
    <xf numFmtId="0" fontId="172" fillId="49" borderId="202" xfId="0" applyFont="1" applyFill="1" applyBorder="1" applyAlignment="1">
      <alignment horizontal="center" vertical="center" wrapText="1"/>
    </xf>
    <xf numFmtId="0" fontId="171" fillId="0" borderId="334" xfId="0" applyFont="1" applyBorder="1" applyAlignment="1">
      <alignment horizontal="justify" vertical="center" wrapText="1"/>
    </xf>
    <xf numFmtId="9" fontId="58" fillId="0" borderId="8" xfId="2" applyFont="1" applyBorder="1" applyAlignment="1">
      <alignment horizontal="center" vertical="center" wrapText="1"/>
    </xf>
    <xf numFmtId="0" fontId="175" fillId="30" borderId="85" xfId="0" applyFont="1" applyFill="1" applyBorder="1" applyAlignment="1">
      <alignment horizontal="center" vertical="center" wrapText="1"/>
    </xf>
    <xf numFmtId="0" fontId="176" fillId="30" borderId="202" xfId="0" applyFont="1" applyFill="1" applyBorder="1" applyAlignment="1">
      <alignment horizontal="center" vertical="center" wrapText="1"/>
    </xf>
    <xf numFmtId="0" fontId="175" fillId="0" borderId="203" xfId="0" applyFont="1" applyBorder="1" applyAlignment="1">
      <alignment horizontal="center" vertical="center" wrapText="1"/>
    </xf>
    <xf numFmtId="0" fontId="175" fillId="0" borderId="334" xfId="0" applyFont="1" applyBorder="1" applyAlignment="1">
      <alignment horizontal="center" vertical="center" wrapText="1"/>
    </xf>
    <xf numFmtId="10" fontId="58" fillId="0" borderId="8" xfId="2" applyNumberFormat="1" applyFont="1" applyBorder="1" applyAlignment="1">
      <alignment horizontal="center" vertical="center" wrapText="1"/>
    </xf>
    <xf numFmtId="0" fontId="175" fillId="0" borderId="0" xfId="0" applyFont="1" applyBorder="1" applyAlignment="1">
      <alignment horizontal="center" vertical="center" wrapText="1"/>
    </xf>
    <xf numFmtId="10" fontId="58" fillId="0" borderId="0" xfId="2" applyNumberFormat="1" applyFont="1" applyBorder="1" applyAlignment="1">
      <alignment horizontal="center" vertical="center" wrapText="1"/>
    </xf>
    <xf numFmtId="0" fontId="176" fillId="30" borderId="3" xfId="0" applyFont="1" applyFill="1" applyBorder="1" applyAlignment="1">
      <alignment horizontal="center" vertical="center" wrapText="1"/>
    </xf>
    <xf numFmtId="0" fontId="176" fillId="30" borderId="5" xfId="0" applyFont="1" applyFill="1" applyBorder="1" applyAlignment="1">
      <alignment horizontal="center" vertical="center" wrapText="1"/>
    </xf>
    <xf numFmtId="0" fontId="0" fillId="30" borderId="8" xfId="0" applyFill="1" applyBorder="1" applyAlignment="1">
      <alignment vertical="center" wrapText="1"/>
    </xf>
    <xf numFmtId="0" fontId="176" fillId="30" borderId="8" xfId="0" applyFont="1" applyFill="1" applyBorder="1" applyAlignment="1">
      <alignment horizontal="center" vertical="center" wrapText="1"/>
    </xf>
    <xf numFmtId="0" fontId="175" fillId="30" borderId="203" xfId="0" applyFont="1" applyFill="1" applyBorder="1" applyAlignment="1">
      <alignment horizontal="center" vertical="center"/>
    </xf>
    <xf numFmtId="0" fontId="175" fillId="0" borderId="8" xfId="0" applyFont="1" applyBorder="1" applyAlignment="1">
      <alignment horizontal="center" vertical="center"/>
    </xf>
    <xf numFmtId="0" fontId="176" fillId="30" borderId="203" xfId="0" applyFont="1" applyFill="1" applyBorder="1" applyAlignment="1">
      <alignment horizontal="center" vertical="center"/>
    </xf>
    <xf numFmtId="3" fontId="175" fillId="0" borderId="8" xfId="0" applyNumberFormat="1" applyFont="1" applyBorder="1" applyAlignment="1">
      <alignment horizontal="center" vertical="center"/>
    </xf>
    <xf numFmtId="225" fontId="58" fillId="0" borderId="8" xfId="0" applyNumberFormat="1" applyFont="1" applyFill="1" applyBorder="1" applyAlignment="1">
      <alignment horizontal="center" vertical="center" wrapText="1"/>
    </xf>
    <xf numFmtId="0" fontId="171" fillId="30" borderId="337" xfId="0" applyFont="1" applyFill="1" applyBorder="1" applyAlignment="1">
      <alignment horizontal="center" vertical="center" wrapText="1"/>
    </xf>
    <xf numFmtId="0" fontId="172" fillId="30" borderId="338" xfId="0" applyFont="1" applyFill="1" applyBorder="1" applyAlignment="1">
      <alignment horizontal="center" vertical="center" wrapText="1"/>
    </xf>
    <xf numFmtId="0" fontId="172" fillId="30" borderId="339" xfId="0" applyFont="1" applyFill="1" applyBorder="1" applyAlignment="1">
      <alignment horizontal="center" vertical="center" wrapText="1"/>
    </xf>
    <xf numFmtId="0" fontId="171" fillId="0" borderId="340" xfId="0" applyFont="1" applyBorder="1" applyAlignment="1">
      <alignment horizontal="center" vertical="center" wrapText="1"/>
    </xf>
    <xf numFmtId="245" fontId="172" fillId="0" borderId="8" xfId="1" applyNumberFormat="1" applyFont="1" applyBorder="1" applyAlignment="1">
      <alignment horizontal="center" vertical="center" wrapText="1"/>
    </xf>
    <xf numFmtId="245" fontId="172" fillId="0" borderId="341" xfId="1" applyNumberFormat="1" applyFont="1" applyBorder="1" applyAlignment="1">
      <alignment horizontal="center" vertical="center" wrapText="1"/>
    </xf>
    <xf numFmtId="245" fontId="171" fillId="0" borderId="342" xfId="1" applyNumberFormat="1" applyFont="1" applyBorder="1" applyAlignment="1">
      <alignment horizontal="center" vertical="center" wrapText="1"/>
    </xf>
    <xf numFmtId="245" fontId="171" fillId="0" borderId="343" xfId="1" applyNumberFormat="1" applyFont="1" applyBorder="1" applyAlignment="1">
      <alignment horizontal="center" vertical="center" wrapText="1"/>
    </xf>
    <xf numFmtId="245" fontId="171" fillId="0" borderId="8" xfId="1" applyNumberFormat="1" applyFont="1" applyBorder="1" applyAlignment="1">
      <alignment horizontal="center" vertical="center" wrapText="1"/>
    </xf>
    <xf numFmtId="0" fontId="171" fillId="30" borderId="85" xfId="0" applyFont="1" applyFill="1" applyBorder="1" applyAlignment="1">
      <alignment horizontal="center" vertical="center" wrapText="1"/>
    </xf>
    <xf numFmtId="0" fontId="171" fillId="0" borderId="203" xfId="0" applyFont="1" applyBorder="1" applyAlignment="1">
      <alignment horizontal="center" vertical="center" wrapText="1"/>
    </xf>
    <xf numFmtId="0" fontId="171" fillId="0" borderId="334" xfId="0" applyFont="1" applyBorder="1" applyAlignment="1">
      <alignment horizontal="center" vertical="center" wrapText="1"/>
    </xf>
    <xf numFmtId="10" fontId="172" fillId="0" borderId="8" xfId="2" applyNumberFormat="1" applyFont="1" applyBorder="1" applyAlignment="1">
      <alignment horizontal="center" vertical="center" wrapText="1"/>
    </xf>
    <xf numFmtId="10" fontId="171" fillId="0" borderId="235" xfId="2" applyNumberFormat="1" applyFont="1" applyBorder="1" applyAlignment="1">
      <alignment horizontal="center" vertical="center" wrapText="1"/>
    </xf>
    <xf numFmtId="181" fontId="28" fillId="0" borderId="0" xfId="1" applyNumberFormat="1" applyFont="1">
      <alignment vertical="center"/>
    </xf>
    <xf numFmtId="0" fontId="28" fillId="0" borderId="0" xfId="0" applyFont="1" applyFill="1" applyBorder="1">
      <alignment vertical="center"/>
    </xf>
    <xf numFmtId="187" fontId="28" fillId="0" borderId="0" xfId="0" applyNumberFormat="1" applyFont="1" applyFill="1" applyBorder="1">
      <alignment vertical="center"/>
    </xf>
    <xf numFmtId="10" fontId="28" fillId="0" borderId="0" xfId="0" applyNumberFormat="1" applyFont="1" applyFill="1" applyBorder="1">
      <alignment vertical="center"/>
    </xf>
    <xf numFmtId="0" fontId="27" fillId="0" borderId="0" xfId="0" applyFont="1" applyFill="1" applyBorder="1">
      <alignment vertical="center"/>
    </xf>
    <xf numFmtId="200" fontId="28" fillId="0" borderId="0" xfId="0" applyNumberFormat="1" applyFont="1" applyFill="1" applyBorder="1">
      <alignment vertical="center"/>
    </xf>
    <xf numFmtId="210" fontId="28" fillId="0" borderId="0" xfId="0" applyNumberFormat="1" applyFont="1" applyFill="1" applyBorder="1">
      <alignment vertical="center"/>
    </xf>
    <xf numFmtId="202" fontId="28" fillId="0" borderId="0" xfId="0" applyNumberFormat="1" applyFont="1" applyFill="1" applyBorder="1">
      <alignment vertical="center"/>
    </xf>
    <xf numFmtId="208" fontId="28" fillId="0" borderId="0" xfId="0" applyNumberFormat="1" applyFont="1" applyFill="1" applyBorder="1">
      <alignment vertical="center"/>
    </xf>
    <xf numFmtId="0" fontId="44" fillId="0" borderId="0" xfId="0" applyFont="1" applyFill="1" applyBorder="1">
      <alignment vertical="center"/>
    </xf>
    <xf numFmtId="0" fontId="44" fillId="0" borderId="0" xfId="0" applyFont="1" applyFill="1" applyBorder="1" applyAlignment="1">
      <alignment horizontal="center" vertical="center"/>
    </xf>
    <xf numFmtId="188" fontId="44" fillId="0" borderId="0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left" vertical="center"/>
    </xf>
    <xf numFmtId="177" fontId="28" fillId="0" borderId="0" xfId="1" applyNumberFormat="1" applyFont="1" applyFill="1" applyBorder="1" applyAlignment="1">
      <alignment vertical="center"/>
    </xf>
    <xf numFmtId="0" fontId="28" fillId="0" borderId="0" xfId="0" applyFont="1" applyFill="1" applyBorder="1" applyAlignment="1">
      <alignment horizontal="left" vertical="center" indent="1"/>
    </xf>
    <xf numFmtId="41" fontId="28" fillId="0" borderId="0" xfId="0" applyNumberFormat="1" applyFont="1" applyFill="1" applyBorder="1">
      <alignment vertical="center"/>
    </xf>
    <xf numFmtId="226" fontId="28" fillId="0" borderId="0" xfId="1" applyNumberFormat="1" applyFont="1" applyFill="1" applyBorder="1" applyAlignment="1">
      <alignment vertical="center"/>
    </xf>
    <xf numFmtId="200" fontId="28" fillId="0" borderId="0" xfId="1" applyNumberFormat="1" applyFont="1" applyFill="1" applyBorder="1" applyAlignment="1">
      <alignment vertical="center"/>
    </xf>
    <xf numFmtId="199" fontId="28" fillId="0" borderId="0" xfId="1" applyNumberFormat="1" applyFont="1" applyFill="1" applyBorder="1" applyAlignment="1">
      <alignment vertical="center"/>
    </xf>
    <xf numFmtId="208" fontId="51" fillId="0" borderId="0" xfId="1" applyNumberFormat="1" applyFont="1" applyFill="1" applyBorder="1" applyAlignment="1">
      <alignment vertical="center"/>
    </xf>
    <xf numFmtId="179" fontId="28" fillId="0" borderId="0" xfId="1" applyNumberFormat="1" applyFont="1" applyFill="1" applyBorder="1" applyAlignment="1">
      <alignment horizontal="left" vertical="center"/>
    </xf>
    <xf numFmtId="0" fontId="47" fillId="0" borderId="0" xfId="0" applyFont="1" applyFill="1" applyBorder="1">
      <alignment vertical="center"/>
    </xf>
    <xf numFmtId="0" fontId="47" fillId="0" borderId="0" xfId="0" applyFont="1" applyFill="1" applyBorder="1" applyAlignment="1">
      <alignment horizontal="left" vertical="center"/>
    </xf>
    <xf numFmtId="187" fontId="28" fillId="0" borderId="0" xfId="0" applyNumberFormat="1" applyFont="1" applyFill="1" applyBorder="1" applyAlignment="1">
      <alignment horizontal="center" vertical="center"/>
    </xf>
    <xf numFmtId="209" fontId="28" fillId="22" borderId="139" xfId="1" applyNumberFormat="1" applyFont="1" applyFill="1" applyBorder="1" applyAlignment="1">
      <alignment vertical="center"/>
    </xf>
    <xf numFmtId="209" fontId="28" fillId="22" borderId="134" xfId="1" applyNumberFormat="1" applyFont="1" applyFill="1" applyBorder="1" applyAlignment="1">
      <alignment vertical="center"/>
    </xf>
    <xf numFmtId="197" fontId="28" fillId="0" borderId="0" xfId="0" applyNumberFormat="1" applyFont="1" applyFill="1" applyBorder="1">
      <alignment vertical="center"/>
    </xf>
    <xf numFmtId="246" fontId="58" fillId="0" borderId="8" xfId="0" applyNumberFormat="1" applyFont="1" applyBorder="1" applyAlignment="1">
      <alignment horizontal="center" vertical="center" wrapText="1"/>
    </xf>
    <xf numFmtId="0" fontId="58" fillId="0" borderId="344" xfId="0" applyFont="1" applyBorder="1">
      <alignment vertical="center"/>
    </xf>
    <xf numFmtId="10" fontId="58" fillId="0" borderId="344" xfId="0" applyNumberFormat="1" applyFont="1" applyBorder="1">
      <alignment vertical="center"/>
    </xf>
    <xf numFmtId="0" fontId="171" fillId="0" borderId="0" xfId="0" applyFont="1">
      <alignment vertical="center"/>
    </xf>
    <xf numFmtId="10" fontId="171" fillId="0" borderId="8" xfId="0" applyNumberFormat="1" applyFont="1" applyBorder="1" applyAlignment="1">
      <alignment horizontal="center" vertical="center" wrapText="1"/>
    </xf>
    <xf numFmtId="0" fontId="58" fillId="8" borderId="0" xfId="0" applyFont="1" applyFill="1">
      <alignment vertical="center"/>
    </xf>
    <xf numFmtId="0" fontId="172" fillId="30" borderId="3" xfId="0" applyFont="1" applyFill="1" applyBorder="1" applyAlignment="1">
      <alignment horizontal="center" vertical="center" wrapText="1"/>
    </xf>
    <xf numFmtId="10" fontId="172" fillId="30" borderId="8" xfId="0" applyNumberFormat="1" applyFont="1" applyFill="1" applyBorder="1" applyAlignment="1">
      <alignment horizontal="center" vertical="center" wrapText="1"/>
    </xf>
    <xf numFmtId="245" fontId="58" fillId="0" borderId="0" xfId="0" applyNumberFormat="1" applyFont="1">
      <alignment vertical="center"/>
    </xf>
    <xf numFmtId="0" fontId="171" fillId="50" borderId="85" xfId="0" applyFont="1" applyFill="1" applyBorder="1" applyAlignment="1">
      <alignment horizontal="center" vertical="center" wrapText="1"/>
    </xf>
    <xf numFmtId="0" fontId="172" fillId="50" borderId="202" xfId="0" applyFont="1" applyFill="1" applyBorder="1" applyAlignment="1">
      <alignment horizontal="center" vertical="center" wrapText="1"/>
    </xf>
    <xf numFmtId="0" fontId="172" fillId="50" borderId="203" xfId="0" applyFont="1" applyFill="1" applyBorder="1" applyAlignment="1">
      <alignment horizontal="center" vertical="center" wrapText="1"/>
    </xf>
    <xf numFmtId="0" fontId="172" fillId="50" borderId="8" xfId="0" applyFont="1" applyFill="1" applyBorder="1" applyAlignment="1">
      <alignment horizontal="center" vertical="center" wrapText="1"/>
    </xf>
    <xf numFmtId="0" fontId="171" fillId="50" borderId="8" xfId="0" applyFont="1" applyFill="1" applyBorder="1" applyAlignment="1">
      <alignment horizontal="center" vertical="center" wrapText="1"/>
    </xf>
    <xf numFmtId="1" fontId="14" fillId="0" borderId="8" xfId="0" applyNumberFormat="1" applyFont="1" applyBorder="1" applyAlignment="1">
      <alignment horizontal="center" vertical="center" wrapText="1"/>
    </xf>
    <xf numFmtId="10" fontId="14" fillId="0" borderId="8" xfId="2" applyNumberFormat="1" applyFont="1" applyBorder="1" applyAlignment="1">
      <alignment horizontal="center" vertical="center" wrapText="1"/>
    </xf>
    <xf numFmtId="0" fontId="177" fillId="0" borderId="85" xfId="0" applyFont="1" applyBorder="1" applyAlignment="1">
      <alignment horizontal="center" vertical="center" wrapText="1"/>
    </xf>
    <xf numFmtId="0" fontId="177" fillId="0" borderId="202" xfId="0" applyFont="1" applyBorder="1" applyAlignment="1">
      <alignment horizontal="center" vertical="center" wrapText="1"/>
    </xf>
    <xf numFmtId="0" fontId="177" fillId="0" borderId="203" xfId="0" applyFont="1" applyBorder="1" applyAlignment="1">
      <alignment horizontal="center" vertical="center" wrapText="1"/>
    </xf>
    <xf numFmtId="10" fontId="177" fillId="0" borderId="8" xfId="2" applyNumberFormat="1" applyFont="1" applyBorder="1" applyAlignment="1">
      <alignment horizontal="center" vertical="center" wrapText="1"/>
    </xf>
    <xf numFmtId="225" fontId="58" fillId="0" borderId="203" xfId="0" applyNumberFormat="1" applyFont="1" applyBorder="1" applyAlignment="1">
      <alignment horizontal="center" vertical="center" wrapText="1"/>
    </xf>
    <xf numFmtId="10" fontId="177" fillId="0" borderId="203" xfId="2" applyNumberFormat="1" applyFont="1" applyBorder="1" applyAlignment="1">
      <alignment horizontal="center" vertical="center" wrapText="1"/>
    </xf>
    <xf numFmtId="0" fontId="177" fillId="0" borderId="0" xfId="0" applyFont="1" applyBorder="1" applyAlignment="1">
      <alignment horizontal="center" vertical="center" wrapText="1"/>
    </xf>
    <xf numFmtId="225" fontId="58" fillId="0" borderId="0" xfId="0" applyNumberFormat="1" applyFont="1" applyBorder="1" applyAlignment="1">
      <alignment horizontal="center" vertical="center" wrapText="1"/>
    </xf>
    <xf numFmtId="225" fontId="58" fillId="0" borderId="85" xfId="0" applyNumberFormat="1" applyFont="1" applyBorder="1" applyAlignment="1">
      <alignment horizontal="center" vertical="center" wrapText="1"/>
    </xf>
    <xf numFmtId="0" fontId="58" fillId="0" borderId="207" xfId="0" applyFont="1" applyBorder="1" applyAlignment="1">
      <alignment horizontal="center" vertical="center"/>
    </xf>
    <xf numFmtId="0" fontId="58" fillId="0" borderId="202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8" fillId="0" borderId="85" xfId="0" applyFont="1" applyBorder="1">
      <alignment vertical="center"/>
    </xf>
    <xf numFmtId="10" fontId="35" fillId="8" borderId="33" xfId="0" applyNumberFormat="1" applyFont="1" applyFill="1" applyBorder="1" applyAlignment="1">
      <alignment horizontal="right" vertical="center"/>
    </xf>
    <xf numFmtId="41" fontId="35" fillId="8" borderId="38" xfId="1" applyFont="1" applyFill="1" applyBorder="1" applyAlignment="1">
      <alignment horizontal="right" vertical="center"/>
    </xf>
    <xf numFmtId="41" fontId="58" fillId="0" borderId="0" xfId="0" applyNumberFormat="1" applyFont="1">
      <alignment vertical="center"/>
    </xf>
    <xf numFmtId="0" fontId="176" fillId="0" borderId="203" xfId="0" applyFont="1" applyBorder="1" applyAlignment="1">
      <alignment horizontal="center" vertical="center" wrapText="1"/>
    </xf>
    <xf numFmtId="0" fontId="176" fillId="0" borderId="8" xfId="0" applyFont="1" applyBorder="1" applyAlignment="1">
      <alignment horizontal="center" vertical="center" wrapText="1"/>
    </xf>
    <xf numFmtId="0" fontId="175" fillId="0" borderId="8" xfId="0" applyFont="1" applyBorder="1" applyAlignment="1">
      <alignment horizontal="center" vertical="center" wrapText="1"/>
    </xf>
    <xf numFmtId="3" fontId="176" fillId="0" borderId="8" xfId="0" applyNumberFormat="1" applyFont="1" applyBorder="1" applyAlignment="1">
      <alignment horizontal="center" vertical="center"/>
    </xf>
    <xf numFmtId="9" fontId="176" fillId="0" borderId="8" xfId="0" applyNumberFormat="1" applyFont="1" applyBorder="1" applyAlignment="1">
      <alignment horizontal="center" vertical="center"/>
    </xf>
    <xf numFmtId="247" fontId="176" fillId="0" borderId="8" xfId="1" applyNumberFormat="1" applyFont="1" applyBorder="1" applyAlignment="1">
      <alignment horizontal="center" vertical="center"/>
    </xf>
    <xf numFmtId="10" fontId="14" fillId="0" borderId="0" xfId="2" applyNumberFormat="1" applyFont="1">
      <alignment vertical="center"/>
    </xf>
    <xf numFmtId="0" fontId="176" fillId="12" borderId="202" xfId="0" applyFont="1" applyFill="1" applyBorder="1" applyAlignment="1">
      <alignment horizontal="center" vertical="center" wrapText="1"/>
    </xf>
    <xf numFmtId="0" fontId="178" fillId="0" borderId="0" xfId="0" applyFont="1">
      <alignment vertical="center"/>
    </xf>
    <xf numFmtId="10" fontId="176" fillId="12" borderId="8" xfId="0" applyNumberFormat="1" applyFont="1" applyFill="1" applyBorder="1" applyAlignment="1">
      <alignment horizontal="center" vertical="center"/>
    </xf>
    <xf numFmtId="3" fontId="176" fillId="12" borderId="8" xfId="0" applyNumberFormat="1" applyFont="1" applyFill="1" applyBorder="1" applyAlignment="1">
      <alignment horizontal="center" vertical="center"/>
    </xf>
    <xf numFmtId="41" fontId="83" fillId="12" borderId="0" xfId="18" applyFont="1" applyFill="1" applyBorder="1">
      <alignment vertical="center"/>
    </xf>
    <xf numFmtId="214" fontId="95" fillId="0" borderId="37" xfId="19" applyNumberFormat="1" applyFont="1" applyFill="1" applyBorder="1">
      <alignment vertical="center"/>
    </xf>
    <xf numFmtId="248" fontId="81" fillId="0" borderId="154" xfId="19" applyNumberFormat="1" applyFont="1" applyFill="1" applyBorder="1">
      <alignment vertical="center"/>
    </xf>
    <xf numFmtId="181" fontId="58" fillId="0" borderId="0" xfId="1" applyNumberFormat="1" applyFont="1">
      <alignment vertical="center"/>
    </xf>
    <xf numFmtId="249" fontId="58" fillId="0" borderId="0" xfId="0" applyNumberFormat="1" applyFont="1">
      <alignment vertical="center"/>
    </xf>
    <xf numFmtId="187" fontId="8" fillId="51" borderId="49" xfId="18" applyNumberFormat="1" applyFont="1" applyFill="1" applyBorder="1">
      <alignment vertical="center"/>
    </xf>
    <xf numFmtId="187" fontId="85" fillId="51" borderId="140" xfId="18" applyNumberFormat="1" applyFont="1" applyFill="1" applyBorder="1">
      <alignment vertical="center"/>
    </xf>
    <xf numFmtId="187" fontId="96" fillId="51" borderId="182" xfId="18" applyNumberFormat="1" applyFont="1" applyFill="1" applyBorder="1">
      <alignment vertical="center"/>
    </xf>
    <xf numFmtId="0" fontId="179" fillId="0" borderId="0" xfId="0" applyFont="1">
      <alignment vertical="center"/>
    </xf>
    <xf numFmtId="0" fontId="28" fillId="0" borderId="0" xfId="0" applyFont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10" fontId="15" fillId="7" borderId="9" xfId="0" applyNumberFormat="1" applyFont="1" applyFill="1" applyBorder="1">
      <alignment vertical="center"/>
    </xf>
    <xf numFmtId="10" fontId="13" fillId="7" borderId="9" xfId="2" applyNumberFormat="1" applyFont="1" applyFill="1" applyBorder="1">
      <alignment vertical="center"/>
    </xf>
    <xf numFmtId="187" fontId="51" fillId="7" borderId="13" xfId="0" applyNumberFormat="1" applyFont="1" applyFill="1" applyBorder="1">
      <alignment vertical="center"/>
    </xf>
    <xf numFmtId="207" fontId="51" fillId="7" borderId="13" xfId="0" applyNumberFormat="1" applyFont="1" applyFill="1" applyBorder="1">
      <alignment vertical="center"/>
    </xf>
    <xf numFmtId="187" fontId="51" fillId="7" borderId="13" xfId="1" applyNumberFormat="1" applyFont="1" applyFill="1" applyBorder="1">
      <alignment vertical="center"/>
    </xf>
    <xf numFmtId="0" fontId="28" fillId="35" borderId="122" xfId="0" applyFont="1" applyFill="1" applyBorder="1" applyAlignment="1">
      <alignment horizontal="center" vertical="center"/>
    </xf>
    <xf numFmtId="0" fontId="28" fillId="17" borderId="263" xfId="0" applyFont="1" applyFill="1" applyBorder="1" applyAlignment="1">
      <alignment horizontal="center" vertical="center"/>
    </xf>
    <xf numFmtId="0" fontId="28" fillId="17" borderId="247" xfId="0" applyFont="1" applyFill="1" applyBorder="1" applyAlignment="1">
      <alignment horizontal="center" vertical="center"/>
    </xf>
    <xf numFmtId="41" fontId="28" fillId="0" borderId="344" xfId="1" applyFont="1" applyBorder="1" applyAlignment="1">
      <alignment vertical="center"/>
    </xf>
    <xf numFmtId="0" fontId="27" fillId="17" borderId="125" xfId="0" applyFont="1" applyFill="1" applyBorder="1">
      <alignment vertical="center"/>
    </xf>
    <xf numFmtId="194" fontId="17" fillId="35" borderId="122" xfId="0" applyNumberFormat="1" applyFont="1" applyFill="1" applyBorder="1" applyAlignment="1">
      <alignment horizontal="center" vertical="center"/>
    </xf>
    <xf numFmtId="0" fontId="28" fillId="17" borderId="344" xfId="0" applyFont="1" applyFill="1" applyBorder="1" applyAlignment="1">
      <alignment horizontal="center" vertical="center"/>
    </xf>
    <xf numFmtId="188" fontId="28" fillId="35" borderId="344" xfId="0" applyNumberFormat="1" applyFont="1" applyFill="1" applyBorder="1" applyAlignment="1">
      <alignment horizontal="center" vertical="center" shrinkToFit="1"/>
    </xf>
    <xf numFmtId="188" fontId="28" fillId="17" borderId="344" xfId="0" applyNumberFormat="1" applyFont="1" applyFill="1" applyBorder="1" applyAlignment="1">
      <alignment horizontal="center" vertical="center" shrinkToFit="1"/>
    </xf>
    <xf numFmtId="207" fontId="28" fillId="0" borderId="344" xfId="1" applyNumberFormat="1" applyFont="1" applyFill="1" applyBorder="1" applyAlignment="1">
      <alignment vertical="center"/>
    </xf>
    <xf numFmtId="209" fontId="28" fillId="0" borderId="344" xfId="1" applyNumberFormat="1" applyFont="1" applyBorder="1" applyAlignment="1">
      <alignment vertical="center"/>
    </xf>
    <xf numFmtId="209" fontId="28" fillId="0" borderId="344" xfId="1" applyNumberFormat="1" applyFont="1" applyFill="1" applyBorder="1" applyAlignment="1">
      <alignment vertical="center"/>
    </xf>
    <xf numFmtId="181" fontId="28" fillId="0" borderId="344" xfId="1" applyNumberFormat="1" applyFont="1" applyFill="1" applyBorder="1" applyAlignment="1">
      <alignment vertical="center"/>
    </xf>
    <xf numFmtId="41" fontId="28" fillId="0" borderId="344" xfId="1" applyFont="1" applyFill="1" applyBorder="1" applyAlignment="1">
      <alignment vertical="center"/>
    </xf>
    <xf numFmtId="0" fontId="28" fillId="0" borderId="344" xfId="0" applyFont="1" applyBorder="1">
      <alignment vertical="center"/>
    </xf>
    <xf numFmtId="0" fontId="28" fillId="0" borderId="344" xfId="0" applyFont="1" applyBorder="1" applyAlignment="1">
      <alignment horizontal="left" vertical="center"/>
    </xf>
    <xf numFmtId="0" fontId="17" fillId="0" borderId="345" xfId="0" applyFont="1" applyBorder="1">
      <alignment vertical="center"/>
    </xf>
    <xf numFmtId="0" fontId="28" fillId="0" borderId="345" xfId="0" applyFont="1" applyBorder="1">
      <alignment vertical="center"/>
    </xf>
    <xf numFmtId="0" fontId="28" fillId="0" borderId="345" xfId="0" applyFont="1" applyBorder="1" applyAlignment="1">
      <alignment horizontal="left" vertical="center"/>
    </xf>
    <xf numFmtId="185" fontId="28" fillId="0" borderId="247" xfId="2" applyNumberFormat="1" applyFont="1" applyBorder="1" applyAlignment="1">
      <alignment vertical="center"/>
    </xf>
    <xf numFmtId="185" fontId="28" fillId="0" borderId="247" xfId="2" applyNumberFormat="1" applyFont="1" applyFill="1" applyBorder="1" applyAlignment="1">
      <alignment vertical="center"/>
    </xf>
    <xf numFmtId="181" fontId="28" fillId="0" borderId="247" xfId="1" applyNumberFormat="1" applyFont="1" applyFill="1" applyBorder="1" applyAlignment="1">
      <alignment vertical="center"/>
    </xf>
    <xf numFmtId="41" fontId="28" fillId="0" borderId="247" xfId="1" applyFont="1" applyFill="1" applyBorder="1" applyAlignment="1">
      <alignment vertical="center"/>
    </xf>
    <xf numFmtId="179" fontId="28" fillId="0" borderId="247" xfId="1" applyNumberFormat="1" applyFont="1" applyFill="1" applyBorder="1" applyAlignment="1">
      <alignment vertical="center"/>
    </xf>
    <xf numFmtId="0" fontId="28" fillId="0" borderId="2" xfId="9" applyFont="1" applyBorder="1">
      <alignment vertical="center"/>
    </xf>
    <xf numFmtId="0" fontId="28" fillId="17" borderId="47" xfId="0" applyFont="1" applyFill="1" applyBorder="1" applyAlignment="1">
      <alignment horizontal="center" vertical="center"/>
    </xf>
    <xf numFmtId="0" fontId="28" fillId="17" borderId="44" xfId="0" applyFont="1" applyFill="1" applyBorder="1" applyAlignment="1">
      <alignment horizontal="center" vertical="center"/>
    </xf>
    <xf numFmtId="0" fontId="28" fillId="0" borderId="0" xfId="9" applyFont="1" applyBorder="1">
      <alignment vertical="center"/>
    </xf>
    <xf numFmtId="188" fontId="28" fillId="17" borderId="347" xfId="0" applyNumberFormat="1" applyFont="1" applyFill="1" applyBorder="1" applyAlignment="1">
      <alignment horizontal="center" vertical="center" shrinkToFit="1"/>
    </xf>
    <xf numFmtId="0" fontId="17" fillId="0" borderId="244" xfId="0" applyFont="1" applyBorder="1">
      <alignment vertical="center"/>
    </xf>
    <xf numFmtId="0" fontId="28" fillId="0" borderId="244" xfId="0" applyFont="1" applyBorder="1">
      <alignment vertical="center"/>
    </xf>
    <xf numFmtId="0" fontId="28" fillId="0" borderId="4" xfId="0" applyFont="1" applyBorder="1">
      <alignment vertical="center"/>
    </xf>
    <xf numFmtId="0" fontId="28" fillId="0" borderId="0" xfId="0" applyFont="1" applyBorder="1" applyAlignment="1">
      <alignment horizontal="left" vertical="center"/>
    </xf>
    <xf numFmtId="199" fontId="28" fillId="0" borderId="0" xfId="9" applyNumberFormat="1" applyFont="1" applyBorder="1">
      <alignment vertical="center"/>
    </xf>
    <xf numFmtId="210" fontId="28" fillId="0" borderId="5" xfId="1" applyNumberFormat="1" applyFont="1" applyFill="1" applyBorder="1" applyAlignment="1">
      <alignment vertical="center"/>
    </xf>
    <xf numFmtId="0" fontId="28" fillId="17" borderId="243" xfId="0" applyFont="1" applyFill="1" applyBorder="1">
      <alignment vertical="center"/>
    </xf>
    <xf numFmtId="0" fontId="28" fillId="17" borderId="263" xfId="0" applyFont="1" applyFill="1" applyBorder="1">
      <alignment vertical="center"/>
    </xf>
    <xf numFmtId="0" fontId="28" fillId="17" borderId="348" xfId="0" applyFont="1" applyFill="1" applyBorder="1" applyAlignment="1">
      <alignment horizontal="center" vertical="center"/>
    </xf>
    <xf numFmtId="188" fontId="28" fillId="35" borderId="349" xfId="0" applyNumberFormat="1" applyFont="1" applyFill="1" applyBorder="1" applyAlignment="1">
      <alignment horizontal="center" vertical="center" shrinkToFit="1"/>
    </xf>
    <xf numFmtId="188" fontId="28" fillId="35" borderId="350" xfId="0" applyNumberFormat="1" applyFont="1" applyFill="1" applyBorder="1" applyAlignment="1">
      <alignment horizontal="center" vertical="center" shrinkToFit="1"/>
    </xf>
    <xf numFmtId="188" fontId="28" fillId="35" borderId="348" xfId="0" applyNumberFormat="1" applyFont="1" applyFill="1" applyBorder="1" applyAlignment="1">
      <alignment horizontal="center" vertical="center" shrinkToFit="1"/>
    </xf>
    <xf numFmtId="188" fontId="28" fillId="17" borderId="349" xfId="0" applyNumberFormat="1" applyFont="1" applyFill="1" applyBorder="1" applyAlignment="1">
      <alignment horizontal="center" vertical="center" shrinkToFit="1"/>
    </xf>
    <xf numFmtId="188" fontId="28" fillId="17" borderId="350" xfId="0" applyNumberFormat="1" applyFont="1" applyFill="1" applyBorder="1" applyAlignment="1">
      <alignment horizontal="center" vertical="center" shrinkToFit="1"/>
    </xf>
    <xf numFmtId="188" fontId="28" fillId="17" borderId="348" xfId="0" applyNumberFormat="1" applyFont="1" applyFill="1" applyBorder="1" applyAlignment="1">
      <alignment horizontal="center" vertical="center" shrinkToFit="1"/>
    </xf>
    <xf numFmtId="188" fontId="28" fillId="17" borderId="351" xfId="0" applyNumberFormat="1" applyFont="1" applyFill="1" applyBorder="1" applyAlignment="1">
      <alignment horizontal="center" vertical="center" shrinkToFit="1"/>
    </xf>
    <xf numFmtId="0" fontId="28" fillId="7" borderId="243" xfId="0" applyFont="1" applyFill="1" applyBorder="1">
      <alignment vertical="center"/>
    </xf>
    <xf numFmtId="0" fontId="28" fillId="7" borderId="263" xfId="0" applyFont="1" applyFill="1" applyBorder="1">
      <alignment vertical="center"/>
    </xf>
    <xf numFmtId="41" fontId="28" fillId="7" borderId="348" xfId="1" applyFont="1" applyFill="1" applyBorder="1" applyAlignment="1">
      <alignment vertical="center"/>
    </xf>
    <xf numFmtId="210" fontId="28" fillId="0" borderId="344" xfId="1" applyNumberFormat="1" applyFont="1" applyFill="1" applyBorder="1" applyAlignment="1">
      <alignment vertical="center"/>
    </xf>
    <xf numFmtId="41" fontId="28" fillId="22" borderId="349" xfId="1" applyFont="1" applyFill="1" applyBorder="1" applyAlignment="1">
      <alignment vertical="center"/>
    </xf>
    <xf numFmtId="41" fontId="28" fillId="22" borderId="350" xfId="1" applyFont="1" applyFill="1" applyBorder="1" applyAlignment="1">
      <alignment vertical="center"/>
    </xf>
    <xf numFmtId="41" fontId="28" fillId="22" borderId="348" xfId="1" applyFont="1" applyFill="1" applyBorder="1" applyAlignment="1">
      <alignment vertical="center"/>
    </xf>
    <xf numFmtId="187" fontId="47" fillId="22" borderId="349" xfId="1" applyNumberFormat="1" applyFont="1" applyFill="1" applyBorder="1" applyAlignment="1">
      <alignment vertical="center"/>
    </xf>
    <xf numFmtId="187" fontId="47" fillId="22" borderId="350" xfId="1" applyNumberFormat="1" applyFont="1" applyFill="1" applyBorder="1" applyAlignment="1">
      <alignment vertical="center"/>
    </xf>
    <xf numFmtId="187" fontId="47" fillId="22" borderId="348" xfId="1" applyNumberFormat="1" applyFont="1" applyFill="1" applyBorder="1" applyAlignment="1">
      <alignment vertical="center"/>
    </xf>
    <xf numFmtId="187" fontId="47" fillId="8" borderId="349" xfId="1" applyNumberFormat="1" applyFont="1" applyFill="1" applyBorder="1" applyAlignment="1">
      <alignment vertical="center"/>
    </xf>
    <xf numFmtId="187" fontId="51" fillId="8" borderId="350" xfId="1" applyNumberFormat="1" applyFont="1" applyFill="1" applyBorder="1" applyAlignment="1">
      <alignment vertical="center"/>
    </xf>
    <xf numFmtId="187" fontId="47" fillId="8" borderId="350" xfId="1" applyNumberFormat="1" applyFont="1" applyFill="1" applyBorder="1" applyAlignment="1">
      <alignment vertical="center"/>
    </xf>
    <xf numFmtId="187" fontId="51" fillId="8" borderId="348" xfId="1" applyNumberFormat="1" applyFont="1" applyFill="1" applyBorder="1" applyAlignment="1">
      <alignment vertical="center"/>
    </xf>
    <xf numFmtId="41" fontId="28" fillId="8" borderId="349" xfId="1" applyFont="1" applyFill="1" applyBorder="1" applyAlignment="1">
      <alignment vertical="center"/>
    </xf>
    <xf numFmtId="41" fontId="51" fillId="8" borderId="350" xfId="1" applyFont="1" applyFill="1" applyBorder="1" applyAlignment="1">
      <alignment vertical="center"/>
    </xf>
    <xf numFmtId="41" fontId="28" fillId="8" borderId="350" xfId="1" applyFont="1" applyFill="1" applyBorder="1" applyAlignment="1">
      <alignment vertical="center"/>
    </xf>
    <xf numFmtId="41" fontId="28" fillId="8" borderId="348" xfId="1" applyFont="1" applyFill="1" applyBorder="1" applyAlignment="1">
      <alignment vertical="center"/>
    </xf>
    <xf numFmtId="43" fontId="51" fillId="8" borderId="349" xfId="1" applyNumberFormat="1" applyFont="1" applyFill="1" applyBorder="1" applyAlignment="1">
      <alignment vertical="center"/>
    </xf>
    <xf numFmtId="41" fontId="28" fillId="0" borderId="350" xfId="1" applyFont="1" applyFill="1" applyBorder="1" applyAlignment="1">
      <alignment vertical="center"/>
    </xf>
    <xf numFmtId="41" fontId="28" fillId="0" borderId="348" xfId="1" applyFont="1" applyFill="1" applyBorder="1" applyAlignment="1">
      <alignment vertical="center"/>
    </xf>
    <xf numFmtId="41" fontId="28" fillId="0" borderId="349" xfId="1" applyFont="1" applyFill="1" applyBorder="1" applyAlignment="1">
      <alignment vertical="center"/>
    </xf>
    <xf numFmtId="41" fontId="28" fillId="0" borderId="351" xfId="1" applyFont="1" applyFill="1" applyBorder="1" applyAlignment="1">
      <alignment vertical="center"/>
    </xf>
    <xf numFmtId="0" fontId="28" fillId="7" borderId="352" xfId="0" applyFont="1" applyFill="1" applyBorder="1">
      <alignment vertical="center"/>
    </xf>
    <xf numFmtId="0" fontId="28" fillId="7" borderId="353" xfId="0" applyFont="1" applyFill="1" applyBorder="1">
      <alignment vertical="center"/>
    </xf>
    <xf numFmtId="41" fontId="28" fillId="7" borderId="354" xfId="1" applyFont="1" applyFill="1" applyBorder="1" applyAlignment="1">
      <alignment vertical="center"/>
    </xf>
    <xf numFmtId="210" fontId="28" fillId="0" borderId="355" xfId="1" applyNumberFormat="1" applyFont="1" applyFill="1" applyBorder="1" applyAlignment="1">
      <alignment vertical="center"/>
    </xf>
    <xf numFmtId="41" fontId="28" fillId="22" borderId="356" xfId="1" applyFont="1" applyFill="1" applyBorder="1" applyAlignment="1">
      <alignment vertical="center"/>
    </xf>
    <xf numFmtId="41" fontId="28" fillId="22" borderId="357" xfId="1" applyFont="1" applyFill="1" applyBorder="1" applyAlignment="1">
      <alignment vertical="center"/>
    </xf>
    <xf numFmtId="41" fontId="28" fillId="22" borderId="354" xfId="1" applyFont="1" applyFill="1" applyBorder="1" applyAlignment="1">
      <alignment vertical="center"/>
    </xf>
    <xf numFmtId="41" fontId="47" fillId="22" borderId="356" xfId="1" applyFont="1" applyFill="1" applyBorder="1" applyAlignment="1">
      <alignment vertical="center"/>
    </xf>
    <xf numFmtId="41" fontId="47" fillId="22" borderId="357" xfId="1" applyFont="1" applyFill="1" applyBorder="1" applyAlignment="1">
      <alignment vertical="center"/>
    </xf>
    <xf numFmtId="41" fontId="28" fillId="0" borderId="356" xfId="1" applyFont="1" applyFill="1" applyBorder="1" applyAlignment="1">
      <alignment vertical="center"/>
    </xf>
    <xf numFmtId="41" fontId="28" fillId="7" borderId="357" xfId="1" applyFont="1" applyFill="1" applyBorder="1" applyAlignment="1">
      <alignment vertical="center"/>
    </xf>
    <xf numFmtId="41" fontId="28" fillId="0" borderId="357" xfId="1" applyFont="1" applyFill="1" applyBorder="1" applyAlignment="1">
      <alignment vertical="center"/>
    </xf>
    <xf numFmtId="41" fontId="28" fillId="0" borderId="354" xfId="1" applyFont="1" applyFill="1" applyBorder="1" applyAlignment="1">
      <alignment vertical="center"/>
    </xf>
    <xf numFmtId="41" fontId="28" fillId="0" borderId="358" xfId="1" applyFont="1" applyFill="1" applyBorder="1" applyAlignment="1">
      <alignment vertical="center"/>
    </xf>
    <xf numFmtId="0" fontId="28" fillId="17" borderId="345" xfId="0" applyFont="1" applyFill="1" applyBorder="1" applyAlignment="1">
      <alignment horizontal="center" vertical="center"/>
    </xf>
    <xf numFmtId="181" fontId="28" fillId="0" borderId="344" xfId="1" applyNumberFormat="1" applyFont="1" applyBorder="1" applyAlignment="1">
      <alignment vertical="center"/>
    </xf>
    <xf numFmtId="192" fontId="28" fillId="35" borderId="9" xfId="0" applyNumberFormat="1" applyFont="1" applyFill="1" applyBorder="1" applyAlignment="1">
      <alignment horizontal="center" vertical="center"/>
    </xf>
    <xf numFmtId="10" fontId="47" fillId="35" borderId="11" xfId="2" applyNumberFormat="1" applyFont="1" applyFill="1" applyBorder="1">
      <alignment vertical="center"/>
    </xf>
    <xf numFmtId="10" fontId="73" fillId="35" borderId="11" xfId="2" applyNumberFormat="1" applyFont="1" applyFill="1" applyBorder="1">
      <alignment vertical="center"/>
    </xf>
    <xf numFmtId="0" fontId="73" fillId="35" borderId="13" xfId="0" applyFont="1" applyFill="1" applyBorder="1">
      <alignment vertical="center"/>
    </xf>
    <xf numFmtId="41" fontId="73" fillId="35" borderId="15" xfId="1" applyFont="1" applyFill="1" applyBorder="1">
      <alignment vertical="center"/>
    </xf>
    <xf numFmtId="188" fontId="28" fillId="35" borderId="9" xfId="0" applyNumberFormat="1" applyFont="1" applyFill="1" applyBorder="1" applyAlignment="1">
      <alignment horizontal="center" vertical="center"/>
    </xf>
    <xf numFmtId="181" fontId="28" fillId="35" borderId="9" xfId="1" applyNumberFormat="1" applyFont="1" applyFill="1" applyBorder="1" applyAlignment="1">
      <alignment vertical="center"/>
    </xf>
    <xf numFmtId="10" fontId="51" fillId="35" borderId="11" xfId="2" applyNumberFormat="1" applyFont="1" applyFill="1" applyBorder="1">
      <alignment vertical="center"/>
    </xf>
    <xf numFmtId="41" fontId="28" fillId="22" borderId="344" xfId="1" applyFont="1" applyFill="1" applyBorder="1" applyAlignment="1">
      <alignment vertical="center"/>
    </xf>
    <xf numFmtId="41" fontId="47" fillId="7" borderId="344" xfId="1" applyFont="1" applyFill="1" applyBorder="1" applyAlignment="1">
      <alignment vertical="center"/>
    </xf>
    <xf numFmtId="181" fontId="28" fillId="22" borderId="344" xfId="1" applyNumberFormat="1" applyFont="1" applyFill="1" applyBorder="1" applyAlignment="1">
      <alignment vertical="center"/>
    </xf>
    <xf numFmtId="181" fontId="28" fillId="0" borderId="347" xfId="1" applyNumberFormat="1" applyFont="1" applyFill="1" applyBorder="1" applyAlignment="1">
      <alignment vertical="center"/>
    </xf>
    <xf numFmtId="181" fontId="47" fillId="22" borderId="344" xfId="1" applyNumberFormat="1" applyFont="1" applyFill="1" applyBorder="1" applyAlignment="1">
      <alignment vertical="center"/>
    </xf>
    <xf numFmtId="181" fontId="51" fillId="7" borderId="344" xfId="1" applyNumberFormat="1" applyFont="1" applyFill="1" applyBorder="1" applyAlignment="1">
      <alignment vertical="center"/>
    </xf>
    <xf numFmtId="181" fontId="47" fillId="0" borderId="344" xfId="1" applyNumberFormat="1" applyFont="1" applyFill="1" applyBorder="1" applyAlignment="1">
      <alignment vertical="center"/>
    </xf>
    <xf numFmtId="181" fontId="28" fillId="7" borderId="344" xfId="1" applyNumberFormat="1" applyFont="1" applyFill="1" applyBorder="1" applyAlignment="1">
      <alignment vertical="center"/>
    </xf>
    <xf numFmtId="181" fontId="47" fillId="7" borderId="344" xfId="1" applyNumberFormat="1" applyFont="1" applyFill="1" applyBorder="1" applyAlignment="1">
      <alignment vertical="center"/>
    </xf>
    <xf numFmtId="181" fontId="47" fillId="0" borderId="347" xfId="1" applyNumberFormat="1" applyFont="1" applyFill="1" applyBorder="1" applyAlignment="1">
      <alignment vertical="center"/>
    </xf>
    <xf numFmtId="181" fontId="51" fillId="22" borderId="344" xfId="1" applyNumberFormat="1" applyFont="1" applyFill="1" applyBorder="1" applyAlignment="1">
      <alignment vertical="center"/>
    </xf>
    <xf numFmtId="181" fontId="28" fillId="8" borderId="344" xfId="1" applyNumberFormat="1" applyFont="1" applyFill="1" applyBorder="1" applyAlignment="1">
      <alignment vertical="center"/>
    </xf>
    <xf numFmtId="188" fontId="44" fillId="0" borderId="0" xfId="0" applyNumberFormat="1" applyFont="1" applyBorder="1" applyAlignment="1">
      <alignment horizontal="center" vertical="center"/>
    </xf>
    <xf numFmtId="188" fontId="28" fillId="35" borderId="344" xfId="0" applyNumberFormat="1" applyFont="1" applyFill="1" applyBorder="1" applyAlignment="1">
      <alignment horizontal="center" vertical="center"/>
    </xf>
    <xf numFmtId="188" fontId="28" fillId="17" borderId="344" xfId="0" applyNumberFormat="1" applyFont="1" applyFill="1" applyBorder="1" applyAlignment="1">
      <alignment horizontal="center" vertical="center"/>
    </xf>
    <xf numFmtId="0" fontId="28" fillId="0" borderId="344" xfId="0" applyFont="1" applyBorder="1" applyAlignment="1">
      <alignment horizontal="center" vertical="center"/>
    </xf>
    <xf numFmtId="0" fontId="28" fillId="0" borderId="344" xfId="0" applyFont="1" applyBorder="1" applyAlignment="1">
      <alignment horizontal="right" vertical="center"/>
    </xf>
    <xf numFmtId="181" fontId="28" fillId="35" borderId="344" xfId="1" applyNumberFormat="1" applyFont="1" applyFill="1" applyBorder="1" applyAlignment="1">
      <alignment vertical="center"/>
    </xf>
    <xf numFmtId="0" fontId="28" fillId="0" borderId="344" xfId="0" quotePrefix="1" applyFont="1" applyBorder="1">
      <alignment vertical="center"/>
    </xf>
    <xf numFmtId="41" fontId="28" fillId="0" borderId="344" xfId="0" applyNumberFormat="1" applyFont="1" applyBorder="1">
      <alignment vertical="center"/>
    </xf>
    <xf numFmtId="41" fontId="28" fillId="0" borderId="344" xfId="1" applyFont="1" applyFill="1" applyBorder="1">
      <alignment vertical="center"/>
    </xf>
    <xf numFmtId="41" fontId="28" fillId="35" borderId="344" xfId="1" applyFont="1" applyFill="1" applyBorder="1">
      <alignment vertical="center"/>
    </xf>
    <xf numFmtId="0" fontId="28" fillId="0" borderId="2" xfId="0" applyFont="1" applyBorder="1">
      <alignment vertical="center"/>
    </xf>
    <xf numFmtId="0" fontId="28" fillId="0" borderId="7" xfId="0" applyFont="1" applyBorder="1">
      <alignment vertical="center"/>
    </xf>
    <xf numFmtId="0" fontId="28" fillId="0" borderId="346" xfId="0" applyFont="1" applyBorder="1">
      <alignment vertical="center"/>
    </xf>
    <xf numFmtId="0" fontId="28" fillId="0" borderId="47" xfId="0" applyFont="1" applyBorder="1">
      <alignment vertical="center"/>
    </xf>
    <xf numFmtId="0" fontId="180" fillId="0" borderId="47" xfId="0" applyFont="1" applyBorder="1" applyAlignment="1">
      <alignment horizontal="right" vertical="center"/>
    </xf>
    <xf numFmtId="41" fontId="180" fillId="0" borderId="47" xfId="1" applyFont="1" applyFill="1" applyBorder="1">
      <alignment vertical="center"/>
    </xf>
    <xf numFmtId="0" fontId="180" fillId="0" borderId="47" xfId="0" applyFont="1" applyBorder="1">
      <alignment vertical="center"/>
    </xf>
    <xf numFmtId="41" fontId="180" fillId="0" borderId="44" xfId="1" applyFont="1" applyFill="1" applyBorder="1">
      <alignment vertical="center"/>
    </xf>
    <xf numFmtId="0" fontId="28" fillId="0" borderId="359" xfId="0" applyFont="1" applyBorder="1">
      <alignment vertical="center"/>
    </xf>
    <xf numFmtId="0" fontId="28" fillId="0" borderId="355" xfId="0" applyFont="1" applyBorder="1">
      <alignment vertical="center"/>
    </xf>
    <xf numFmtId="0" fontId="180" fillId="0" borderId="355" xfId="0" applyFont="1" applyBorder="1" applyAlignment="1">
      <alignment horizontal="right" vertical="center"/>
    </xf>
    <xf numFmtId="41" fontId="180" fillId="0" borderId="355" xfId="1" applyFont="1" applyFill="1" applyBorder="1">
      <alignment vertical="center"/>
    </xf>
    <xf numFmtId="41" fontId="180" fillId="0" borderId="360" xfId="1" applyFont="1" applyFill="1" applyBorder="1">
      <alignment vertical="center"/>
    </xf>
    <xf numFmtId="41" fontId="180" fillId="0" borderId="13" xfId="1" applyFont="1" applyFill="1" applyBorder="1">
      <alignment vertical="center"/>
    </xf>
    <xf numFmtId="41" fontId="180" fillId="0" borderId="228" xfId="1" applyFont="1" applyFill="1" applyBorder="1">
      <alignment vertical="center"/>
    </xf>
    <xf numFmtId="191" fontId="28" fillId="0" borderId="361" xfId="0" applyNumberFormat="1" applyFont="1" applyBorder="1" applyAlignment="1">
      <alignment horizontal="left" vertical="center"/>
    </xf>
    <xf numFmtId="181" fontId="47" fillId="7" borderId="134" xfId="1" applyNumberFormat="1" applyFont="1" applyFill="1" applyBorder="1" applyAlignment="1">
      <alignment vertical="center"/>
    </xf>
    <xf numFmtId="181" fontId="28" fillId="0" borderId="362" xfId="1" applyNumberFormat="1" applyFont="1" applyFill="1" applyBorder="1" applyAlignment="1">
      <alignment vertical="center"/>
    </xf>
    <xf numFmtId="0" fontId="17" fillId="0" borderId="236" xfId="0" applyFont="1" applyBorder="1">
      <alignment vertical="center"/>
    </xf>
    <xf numFmtId="0" fontId="17" fillId="0" borderId="239" xfId="0" applyFont="1" applyBorder="1">
      <alignment vertical="center"/>
    </xf>
    <xf numFmtId="179" fontId="28" fillId="0" borderId="238" xfId="1" applyNumberFormat="1" applyFont="1" applyFill="1" applyBorder="1" applyAlignment="1">
      <alignment vertical="center"/>
    </xf>
    <xf numFmtId="209" fontId="28" fillId="0" borderId="363" xfId="1" applyNumberFormat="1" applyFont="1" applyFill="1" applyBorder="1" applyAlignment="1">
      <alignment vertical="center"/>
    </xf>
    <xf numFmtId="0" fontId="28" fillId="0" borderId="124" xfId="9" applyFont="1" applyBorder="1">
      <alignment vertical="center"/>
    </xf>
    <xf numFmtId="181" fontId="47" fillId="22" borderId="363" xfId="1" applyNumberFormat="1" applyFont="1" applyFill="1" applyBorder="1" applyAlignment="1">
      <alignment vertical="center"/>
    </xf>
    <xf numFmtId="181" fontId="51" fillId="7" borderId="363" xfId="1" applyNumberFormat="1" applyFont="1" applyFill="1" applyBorder="1" applyAlignment="1">
      <alignment vertical="center"/>
    </xf>
    <xf numFmtId="181" fontId="47" fillId="0" borderId="363" xfId="1" applyNumberFormat="1" applyFont="1" applyFill="1" applyBorder="1" applyAlignment="1">
      <alignment vertical="center"/>
    </xf>
    <xf numFmtId="181" fontId="28" fillId="0" borderId="363" xfId="1" applyNumberFormat="1" applyFont="1" applyFill="1" applyBorder="1" applyAlignment="1">
      <alignment vertical="center"/>
    </xf>
    <xf numFmtId="181" fontId="28" fillId="8" borderId="363" xfId="1" applyNumberFormat="1" applyFont="1" applyFill="1" applyBorder="1" applyAlignment="1">
      <alignment vertical="center"/>
    </xf>
    <xf numFmtId="181" fontId="28" fillId="8" borderId="237" xfId="1" applyNumberFormat="1" applyFont="1" applyFill="1" applyBorder="1" applyAlignment="1">
      <alignment vertical="center"/>
    </xf>
    <xf numFmtId="0" fontId="180" fillId="0" borderId="0" xfId="0" applyFont="1">
      <alignment vertical="center"/>
    </xf>
    <xf numFmtId="0" fontId="27" fillId="0" borderId="1" xfId="0" applyFont="1" applyBorder="1">
      <alignment vertical="center"/>
    </xf>
    <xf numFmtId="205" fontId="28" fillId="0" borderId="2" xfId="2" applyNumberFormat="1" applyFont="1" applyBorder="1" applyAlignment="1">
      <alignment vertical="center"/>
    </xf>
    <xf numFmtId="0" fontId="28" fillId="0" borderId="3" xfId="0" applyFont="1" applyBorder="1">
      <alignment vertical="center"/>
    </xf>
    <xf numFmtId="0" fontId="28" fillId="0" borderId="0" xfId="0" applyFont="1" applyBorder="1">
      <alignment vertical="center"/>
    </xf>
    <xf numFmtId="199" fontId="28" fillId="0" borderId="0" xfId="0" applyNumberFormat="1" applyFont="1" applyBorder="1">
      <alignment vertical="center"/>
    </xf>
    <xf numFmtId="0" fontId="28" fillId="0" borderId="5" xfId="0" applyFont="1" applyBorder="1">
      <alignment vertical="center"/>
    </xf>
    <xf numFmtId="0" fontId="28" fillId="0" borderId="242" xfId="0" applyFont="1" applyBorder="1">
      <alignment vertical="center"/>
    </xf>
    <xf numFmtId="0" fontId="28" fillId="0" borderId="364" xfId="0" applyFont="1" applyBorder="1">
      <alignment vertical="center"/>
    </xf>
    <xf numFmtId="41" fontId="28" fillId="0" borderId="365" xfId="1" applyFont="1" applyBorder="1" applyAlignment="1">
      <alignment vertical="center"/>
    </xf>
    <xf numFmtId="41" fontId="47" fillId="11" borderId="366" xfId="1" applyFont="1" applyFill="1" applyBorder="1" applyAlignment="1">
      <alignment vertical="center"/>
    </xf>
    <xf numFmtId="0" fontId="28" fillId="0" borderId="361" xfId="0" applyFont="1" applyBorder="1" applyAlignment="1">
      <alignment horizontal="center" vertical="center"/>
    </xf>
    <xf numFmtId="41" fontId="28" fillId="0" borderId="367" xfId="1" applyFont="1" applyBorder="1" applyAlignment="1">
      <alignment vertical="center"/>
    </xf>
    <xf numFmtId="41" fontId="28" fillId="0" borderId="366" xfId="1" applyFont="1" applyBorder="1" applyAlignment="1">
      <alignment vertical="center"/>
    </xf>
    <xf numFmtId="41" fontId="28" fillId="0" borderId="366" xfId="1" applyFont="1" applyFill="1" applyBorder="1" applyAlignment="1">
      <alignment vertical="center"/>
    </xf>
    <xf numFmtId="0" fontId="27" fillId="0" borderId="242" xfId="0" applyFont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distributed" vertical="center"/>
    </xf>
    <xf numFmtId="41" fontId="28" fillId="0" borderId="5" xfId="1" applyFont="1" applyBorder="1" applyAlignment="1">
      <alignment vertical="center"/>
    </xf>
    <xf numFmtId="0" fontId="28" fillId="0" borderId="243" xfId="0" applyFont="1" applyBorder="1" applyAlignment="1">
      <alignment horizontal="center" vertical="center"/>
    </xf>
    <xf numFmtId="179" fontId="28" fillId="0" borderId="247" xfId="1" applyNumberFormat="1" applyFont="1" applyBorder="1" applyAlignment="1">
      <alignment vertical="center"/>
    </xf>
    <xf numFmtId="0" fontId="28" fillId="0" borderId="242" xfId="0" applyFont="1" applyBorder="1" applyAlignment="1">
      <alignment horizontal="center" vertical="center"/>
    </xf>
    <xf numFmtId="0" fontId="28" fillId="0" borderId="368" xfId="0" applyFont="1" applyBorder="1" applyAlignment="1">
      <alignment horizontal="center" vertical="center"/>
    </xf>
    <xf numFmtId="179" fontId="28" fillId="0" borderId="187" xfId="1" applyNumberFormat="1" applyFont="1" applyBorder="1" applyAlignment="1">
      <alignment vertical="center"/>
    </xf>
    <xf numFmtId="41" fontId="28" fillId="0" borderId="188" xfId="1" applyFont="1" applyBorder="1" applyAlignment="1">
      <alignment vertical="center"/>
    </xf>
    <xf numFmtId="0" fontId="28" fillId="0" borderId="8" xfId="0" applyFont="1" applyBorder="1">
      <alignment vertical="center"/>
    </xf>
    <xf numFmtId="14" fontId="28" fillId="17" borderId="349" xfId="0" applyNumberFormat="1" applyFont="1" applyFill="1" applyBorder="1" applyAlignment="1">
      <alignment horizontal="center" vertical="center"/>
    </xf>
    <xf numFmtId="14" fontId="28" fillId="17" borderId="350" xfId="0" applyNumberFormat="1" applyFont="1" applyFill="1" applyBorder="1" applyAlignment="1">
      <alignment horizontal="center" vertical="center"/>
    </xf>
    <xf numFmtId="14" fontId="28" fillId="17" borderId="348" xfId="0" applyNumberFormat="1" applyFont="1" applyFill="1" applyBorder="1" applyAlignment="1">
      <alignment horizontal="center" vertical="center"/>
    </xf>
    <xf numFmtId="14" fontId="28" fillId="17" borderId="351" xfId="0" applyNumberFormat="1" applyFont="1" applyFill="1" applyBorder="1" applyAlignment="1">
      <alignment horizontal="center" vertical="center"/>
    </xf>
    <xf numFmtId="0" fontId="28" fillId="0" borderId="128" xfId="0" applyFont="1" applyFill="1" applyBorder="1">
      <alignment vertical="center"/>
    </xf>
    <xf numFmtId="0" fontId="28" fillId="0" borderId="0" xfId="0" applyFont="1" applyFill="1">
      <alignment vertical="center"/>
    </xf>
    <xf numFmtId="0" fontId="28" fillId="0" borderId="0" xfId="0" applyFont="1" applyBorder="1" applyAlignment="1">
      <alignment horizontal="center" vertical="center"/>
    </xf>
    <xf numFmtId="0" fontId="180" fillId="0" borderId="344" xfId="0" applyFont="1" applyBorder="1">
      <alignment vertical="center"/>
    </xf>
    <xf numFmtId="181" fontId="180" fillId="0" borderId="344" xfId="1" applyNumberFormat="1" applyFont="1" applyFill="1" applyBorder="1" applyAlignment="1">
      <alignment vertical="center"/>
    </xf>
    <xf numFmtId="0" fontId="28" fillId="0" borderId="23" xfId="0" applyFont="1" applyFill="1" applyBorder="1" applyAlignment="1">
      <alignment horizontal="center" vertical="center"/>
    </xf>
    <xf numFmtId="0" fontId="28" fillId="0" borderId="135" xfId="0" applyFont="1" applyBorder="1" applyAlignment="1">
      <alignment horizontal="center" vertical="center"/>
    </xf>
    <xf numFmtId="0" fontId="28" fillId="0" borderId="135" xfId="0" applyFont="1" applyFill="1" applyBorder="1">
      <alignment vertical="center"/>
    </xf>
    <xf numFmtId="0" fontId="28" fillId="0" borderId="136" xfId="0" applyFont="1" applyBorder="1">
      <alignment vertical="center"/>
    </xf>
    <xf numFmtId="179" fontId="28" fillId="0" borderId="134" xfId="1" applyNumberFormat="1" applyFont="1" applyBorder="1" applyAlignment="1">
      <alignment vertical="center"/>
    </xf>
    <xf numFmtId="250" fontId="28" fillId="17" borderId="344" xfId="0" applyNumberFormat="1" applyFont="1" applyFill="1" applyBorder="1" applyAlignment="1">
      <alignment horizontal="center" vertical="center"/>
    </xf>
    <xf numFmtId="14" fontId="28" fillId="17" borderId="344" xfId="0" applyNumberFormat="1" applyFont="1" applyFill="1" applyBorder="1" applyAlignment="1">
      <alignment horizontal="center" vertical="center"/>
    </xf>
    <xf numFmtId="0" fontId="28" fillId="0" borderId="344" xfId="0" applyFont="1" applyFill="1" applyBorder="1" applyAlignment="1">
      <alignment horizontal="center" vertical="center"/>
    </xf>
    <xf numFmtId="188" fontId="28" fillId="0" borderId="344" xfId="0" applyNumberFormat="1" applyFont="1" applyFill="1" applyBorder="1" applyAlignment="1">
      <alignment horizontal="center" vertical="center"/>
    </xf>
    <xf numFmtId="43" fontId="28" fillId="0" borderId="344" xfId="0" applyNumberFormat="1" applyFont="1" applyBorder="1">
      <alignment vertical="center"/>
    </xf>
    <xf numFmtId="0" fontId="28" fillId="0" borderId="134" xfId="0" applyFont="1" applyBorder="1">
      <alignment vertical="center"/>
    </xf>
    <xf numFmtId="43" fontId="28" fillId="0" borderId="134" xfId="0" applyNumberFormat="1" applyFont="1" applyBorder="1">
      <alignment vertical="center"/>
    </xf>
    <xf numFmtId="41" fontId="28" fillId="0" borderId="363" xfId="1" applyFont="1" applyFill="1" applyBorder="1" applyAlignment="1">
      <alignment vertical="center"/>
    </xf>
    <xf numFmtId="41" fontId="28" fillId="0" borderId="134" xfId="0" applyNumberFormat="1" applyFont="1" applyBorder="1">
      <alignment vertical="center"/>
    </xf>
    <xf numFmtId="41" fontId="28" fillId="0" borderId="363" xfId="1" applyFont="1" applyBorder="1" applyAlignment="1">
      <alignment vertical="center"/>
    </xf>
    <xf numFmtId="0" fontId="27" fillId="0" borderId="134" xfId="0" applyFont="1" applyBorder="1">
      <alignment vertical="center"/>
    </xf>
    <xf numFmtId="0" fontId="28" fillId="0" borderId="134" xfId="0" applyFont="1" applyBorder="1" applyAlignment="1">
      <alignment horizontal="distributed" vertical="center"/>
    </xf>
    <xf numFmtId="41" fontId="47" fillId="11" borderId="134" xfId="1" applyFont="1" applyFill="1" applyBorder="1" applyAlignment="1">
      <alignment vertical="center"/>
    </xf>
    <xf numFmtId="41" fontId="47" fillId="0" borderId="363" xfId="1" applyFont="1" applyFill="1" applyBorder="1" applyAlignment="1">
      <alignment vertical="center"/>
    </xf>
    <xf numFmtId="179" fontId="47" fillId="0" borderId="363" xfId="1" applyNumberFormat="1" applyFont="1" applyFill="1" applyBorder="1" applyAlignment="1">
      <alignment vertical="center"/>
    </xf>
    <xf numFmtId="0" fontId="28" fillId="17" borderId="344" xfId="0" applyFont="1" applyFill="1" applyBorder="1">
      <alignment vertical="center"/>
    </xf>
    <xf numFmtId="0" fontId="28" fillId="0" borderId="126" xfId="0" applyFont="1" applyBorder="1" applyAlignment="1">
      <alignment horizontal="center" vertical="center"/>
    </xf>
    <xf numFmtId="0" fontId="28" fillId="0" borderId="92" xfId="0" applyFont="1" applyBorder="1" applyAlignment="1">
      <alignment horizontal="center" vertical="center"/>
    </xf>
    <xf numFmtId="0" fontId="28" fillId="0" borderId="263" xfId="0" applyFont="1" applyBorder="1" applyAlignment="1">
      <alignment horizontal="center" vertical="center"/>
    </xf>
    <xf numFmtId="0" fontId="28" fillId="0" borderId="186" xfId="0" applyFont="1" applyBorder="1" applyAlignment="1">
      <alignment horizontal="center" vertical="center"/>
    </xf>
    <xf numFmtId="0" fontId="28" fillId="0" borderId="247" xfId="0" applyFont="1" applyBorder="1">
      <alignment vertical="center"/>
    </xf>
    <xf numFmtId="0" fontId="28" fillId="0" borderId="139" xfId="0" applyFont="1" applyBorder="1">
      <alignment vertical="center"/>
    </xf>
    <xf numFmtId="0" fontId="28" fillId="0" borderId="13" xfId="0" applyFont="1" applyBorder="1">
      <alignment vertical="center"/>
    </xf>
    <xf numFmtId="0" fontId="28" fillId="0" borderId="139" xfId="0" applyFont="1" applyFill="1" applyBorder="1">
      <alignment vertical="center"/>
    </xf>
    <xf numFmtId="0" fontId="28" fillId="0" borderId="134" xfId="0" applyFont="1" applyFill="1" applyBorder="1">
      <alignment vertical="center"/>
    </xf>
    <xf numFmtId="14" fontId="51" fillId="0" borderId="345" xfId="0" applyNumberFormat="1" applyFont="1" applyBorder="1">
      <alignment vertical="center"/>
    </xf>
    <xf numFmtId="0" fontId="28" fillId="0" borderId="345" xfId="0" applyFont="1" applyBorder="1" applyAlignment="1">
      <alignment horizontal="center" vertical="center"/>
    </xf>
    <xf numFmtId="0" fontId="28" fillId="0" borderId="239" xfId="0" applyFont="1" applyBorder="1" applyAlignment="1">
      <alignment horizontal="center" vertical="center"/>
    </xf>
    <xf numFmtId="179" fontId="28" fillId="0" borderId="238" xfId="1" applyNumberFormat="1" applyFont="1" applyBorder="1" applyAlignment="1">
      <alignment vertical="center"/>
    </xf>
    <xf numFmtId="0" fontId="180" fillId="0" borderId="0" xfId="0" applyFont="1" applyAlignment="1">
      <alignment horizontal="right" vertical="center"/>
    </xf>
    <xf numFmtId="41" fontId="180" fillId="0" borderId="0" xfId="0" applyNumberFormat="1" applyFont="1" applyAlignment="1">
      <alignment horizontal="right" vertical="center"/>
    </xf>
    <xf numFmtId="0" fontId="181" fillId="0" borderId="0" xfId="0" applyFont="1">
      <alignment vertical="center"/>
    </xf>
    <xf numFmtId="0" fontId="180" fillId="0" borderId="135" xfId="0" applyFont="1" applyBorder="1">
      <alignment vertical="center"/>
    </xf>
    <xf numFmtId="0" fontId="180" fillId="0" borderId="123" xfId="0" applyFont="1" applyBorder="1">
      <alignment vertical="center"/>
    </xf>
    <xf numFmtId="0" fontId="180" fillId="0" borderId="123" xfId="0" applyFont="1" applyBorder="1" applyAlignment="1">
      <alignment horizontal="right" vertical="center"/>
    </xf>
    <xf numFmtId="0" fontId="180" fillId="0" borderId="136" xfId="0" applyFont="1" applyBorder="1">
      <alignment vertical="center"/>
    </xf>
    <xf numFmtId="41" fontId="180" fillId="0" borderId="344" xfId="0" applyNumberFormat="1" applyFont="1" applyBorder="1" applyAlignment="1">
      <alignment horizontal="right" vertical="center"/>
    </xf>
    <xf numFmtId="0" fontId="180" fillId="0" borderId="344" xfId="0" applyFont="1" applyBorder="1" applyAlignment="1">
      <alignment horizontal="right" vertical="center"/>
    </xf>
    <xf numFmtId="0" fontId="180" fillId="0" borderId="345" xfId="0" applyFont="1" applyBorder="1">
      <alignment vertical="center"/>
    </xf>
    <xf numFmtId="0" fontId="180" fillId="0" borderId="263" xfId="0" applyFont="1" applyBorder="1">
      <alignment vertical="center"/>
    </xf>
    <xf numFmtId="0" fontId="180" fillId="0" borderId="263" xfId="0" applyFont="1" applyBorder="1" applyAlignment="1">
      <alignment horizontal="right" vertical="center"/>
    </xf>
    <xf numFmtId="0" fontId="180" fillId="0" borderId="247" xfId="0" applyFont="1" applyBorder="1">
      <alignment vertical="center"/>
    </xf>
    <xf numFmtId="210" fontId="28" fillId="0" borderId="12" xfId="1" applyNumberFormat="1" applyFont="1" applyFill="1" applyBorder="1" applyAlignment="1">
      <alignment vertical="center"/>
    </xf>
    <xf numFmtId="210" fontId="28" fillId="0" borderId="12" xfId="1" applyNumberFormat="1" applyFont="1" applyBorder="1" applyAlignment="1">
      <alignment vertical="center"/>
    </xf>
    <xf numFmtId="210" fontId="47" fillId="0" borderId="12" xfId="1" applyNumberFormat="1" applyFont="1" applyBorder="1" applyAlignment="1">
      <alignment vertical="center"/>
    </xf>
    <xf numFmtId="210" fontId="28" fillId="0" borderId="140" xfId="1" applyNumberFormat="1" applyFont="1" applyBorder="1" applyAlignment="1">
      <alignment vertical="center"/>
    </xf>
    <xf numFmtId="210" fontId="47" fillId="0" borderId="140" xfId="1" applyNumberFormat="1" applyFont="1" applyBorder="1" applyAlignment="1">
      <alignment vertical="center"/>
    </xf>
    <xf numFmtId="210" fontId="47" fillId="0" borderId="12" xfId="1" applyNumberFormat="1" applyFont="1" applyFill="1" applyBorder="1" applyAlignment="1">
      <alignment vertical="center"/>
    </xf>
    <xf numFmtId="210" fontId="28" fillId="0" borderId="345" xfId="1" applyNumberFormat="1" applyFont="1" applyBorder="1" applyAlignment="1">
      <alignment vertical="center"/>
    </xf>
    <xf numFmtId="41" fontId="28" fillId="0" borderId="263" xfId="1" applyFont="1" applyBorder="1" applyAlignment="1">
      <alignment vertical="center"/>
    </xf>
    <xf numFmtId="185" fontId="47" fillId="0" borderId="18" xfId="0" applyNumberFormat="1" applyFont="1" applyBorder="1" applyAlignment="1">
      <alignment horizontal="center" vertical="center"/>
    </xf>
    <xf numFmtId="181" fontId="47" fillId="8" borderId="344" xfId="1" applyNumberFormat="1" applyFont="1" applyFill="1" applyBorder="1" applyAlignment="1">
      <alignment vertical="center"/>
    </xf>
    <xf numFmtId="181" fontId="51" fillId="8" borderId="344" xfId="1" applyNumberFormat="1" applyFont="1" applyFill="1" applyBorder="1" applyAlignment="1">
      <alignment vertical="center"/>
    </xf>
    <xf numFmtId="181" fontId="51" fillId="0" borderId="344" xfId="1" applyNumberFormat="1" applyFont="1" applyFill="1" applyBorder="1" applyAlignment="1">
      <alignment vertical="center"/>
    </xf>
    <xf numFmtId="207" fontId="28" fillId="22" borderId="344" xfId="1" applyNumberFormat="1" applyFont="1" applyFill="1" applyBorder="1" applyAlignment="1">
      <alignment vertical="center"/>
    </xf>
    <xf numFmtId="207" fontId="47" fillId="22" borderId="344" xfId="1" applyNumberFormat="1" applyFont="1" applyFill="1" applyBorder="1" applyAlignment="1">
      <alignment vertical="center"/>
    </xf>
    <xf numFmtId="207" fontId="47" fillId="8" borderId="344" xfId="1" applyNumberFormat="1" applyFont="1" applyFill="1" applyBorder="1" applyAlignment="1">
      <alignment vertical="center"/>
    </xf>
    <xf numFmtId="0" fontId="28" fillId="0" borderId="128" xfId="0" applyFont="1" applyBorder="1" applyAlignment="1">
      <alignment horizontal="left" vertical="center" indent="1"/>
    </xf>
    <xf numFmtId="0" fontId="28" fillId="0" borderId="135" xfId="0" applyFont="1" applyBorder="1" applyAlignment="1">
      <alignment horizontal="left" vertical="center" indent="1"/>
    </xf>
    <xf numFmtId="41" fontId="28" fillId="0" borderId="247" xfId="1" applyFont="1" applyFill="1" applyBorder="1" applyAlignment="1">
      <alignment horizontal="left" vertical="center" indent="1"/>
    </xf>
    <xf numFmtId="185" fontId="28" fillId="0" borderId="247" xfId="0" applyNumberFormat="1" applyFont="1" applyBorder="1" applyAlignment="1">
      <alignment horizontal="center" vertical="center"/>
    </xf>
    <xf numFmtId="210" fontId="28" fillId="0" borderId="344" xfId="1" applyNumberFormat="1" applyFont="1" applyBorder="1" applyAlignment="1">
      <alignment vertical="center"/>
    </xf>
    <xf numFmtId="210" fontId="47" fillId="0" borderId="344" xfId="1" applyNumberFormat="1" applyFont="1" applyBorder="1" applyAlignment="1">
      <alignment vertical="center"/>
    </xf>
    <xf numFmtId="41" fontId="51" fillId="0" borderId="247" xfId="0" applyNumberFormat="1" applyFont="1" applyBorder="1" applyAlignment="1">
      <alignment horizontal="left" vertical="center" indent="1"/>
    </xf>
    <xf numFmtId="185" fontId="28" fillId="0" borderId="263" xfId="0" applyNumberFormat="1" applyFont="1" applyBorder="1" applyAlignment="1">
      <alignment horizontal="center" vertical="center"/>
    </xf>
    <xf numFmtId="9" fontId="28" fillId="0" borderId="129" xfId="0" applyNumberFormat="1" applyFont="1" applyBorder="1" applyAlignment="1">
      <alignment horizontal="left" vertical="center" indent="1"/>
    </xf>
    <xf numFmtId="185" fontId="28" fillId="0" borderId="23" xfId="2" applyNumberFormat="1" applyFont="1" applyFill="1" applyBorder="1" applyAlignment="1">
      <alignment horizontal="center" vertical="center"/>
    </xf>
    <xf numFmtId="185" fontId="28" fillId="0" borderId="263" xfId="2" applyNumberFormat="1" applyFont="1" applyBorder="1" applyAlignment="1">
      <alignment horizontal="center" vertical="center"/>
    </xf>
    <xf numFmtId="41" fontId="28" fillId="0" borderId="247" xfId="1" applyFont="1" applyBorder="1" applyAlignment="1">
      <alignment horizontal="center" vertical="center"/>
    </xf>
    <xf numFmtId="185" fontId="51" fillId="45" borderId="247" xfId="2" applyNumberFormat="1" applyFont="1" applyFill="1" applyBorder="1" applyAlignment="1">
      <alignment horizontal="center" vertical="center"/>
    </xf>
    <xf numFmtId="41" fontId="28" fillId="0" borderId="136" xfId="1" applyFont="1" applyFill="1" applyBorder="1" applyAlignment="1">
      <alignment horizontal="left" vertical="center" indent="1"/>
    </xf>
    <xf numFmtId="185" fontId="28" fillId="0" borderId="136" xfId="0" applyNumberFormat="1" applyFont="1" applyBorder="1" applyAlignment="1">
      <alignment horizontal="center" vertical="center"/>
    </xf>
    <xf numFmtId="0" fontId="28" fillId="0" borderId="195" xfId="0" applyFont="1" applyBorder="1" applyAlignment="1">
      <alignment horizontal="left" vertical="center" indent="1"/>
    </xf>
    <xf numFmtId="185" fontId="51" fillId="45" borderId="247" xfId="0" applyNumberFormat="1" applyFont="1" applyFill="1" applyBorder="1" applyAlignment="1">
      <alignment horizontal="center" vertical="center"/>
    </xf>
    <xf numFmtId="41" fontId="28" fillId="0" borderId="129" xfId="1" applyFont="1" applyFill="1" applyBorder="1" applyAlignment="1">
      <alignment horizontal="left" vertical="center" indent="1"/>
    </xf>
    <xf numFmtId="185" fontId="28" fillId="0" borderId="129" xfId="0" applyNumberFormat="1" applyFont="1" applyBorder="1" applyAlignment="1">
      <alignment horizontal="center" vertical="center"/>
    </xf>
    <xf numFmtId="210" fontId="47" fillId="0" borderId="139" xfId="1" applyNumberFormat="1" applyFont="1" applyBorder="1" applyAlignment="1">
      <alignment vertical="center"/>
    </xf>
    <xf numFmtId="0" fontId="28" fillId="0" borderId="263" xfId="0" applyFont="1" applyBorder="1" applyAlignment="1">
      <alignment horizontal="left" vertical="center" indent="1"/>
    </xf>
    <xf numFmtId="200" fontId="47" fillId="0" borderId="13" xfId="0" applyNumberFormat="1" applyFont="1" applyBorder="1">
      <alignment vertical="center"/>
    </xf>
    <xf numFmtId="200" fontId="47" fillId="0" borderId="13" xfId="1" applyNumberFormat="1" applyFont="1" applyFill="1" applyBorder="1">
      <alignment vertical="center"/>
    </xf>
    <xf numFmtId="200" fontId="47" fillId="0" borderId="13" xfId="0" applyNumberFormat="1" applyFont="1" applyBorder="1" applyAlignment="1">
      <alignment horizontal="right" vertical="center"/>
    </xf>
    <xf numFmtId="222" fontId="28" fillId="0" borderId="57" xfId="1" applyNumberFormat="1" applyFont="1" applyFill="1" applyBorder="1" applyAlignment="1">
      <alignment vertical="center"/>
    </xf>
    <xf numFmtId="222" fontId="28" fillId="0" borderId="56" xfId="1" applyNumberFormat="1" applyFont="1" applyFill="1" applyBorder="1" applyAlignment="1">
      <alignment vertical="center"/>
    </xf>
    <xf numFmtId="222" fontId="28" fillId="0" borderId="133" xfId="1" applyNumberFormat="1" applyFont="1" applyFill="1" applyBorder="1" applyAlignment="1">
      <alignment vertical="center"/>
    </xf>
    <xf numFmtId="0" fontId="28" fillId="0" borderId="12" xfId="0" applyFont="1" applyFill="1" applyBorder="1">
      <alignment vertical="center"/>
    </xf>
    <xf numFmtId="0" fontId="28" fillId="0" borderId="189" xfId="0" applyFont="1" applyFill="1" applyBorder="1" applyAlignment="1">
      <alignment horizontal="left" vertical="center"/>
    </xf>
    <xf numFmtId="228" fontId="28" fillId="0" borderId="139" xfId="1" applyNumberFormat="1" applyFont="1" applyBorder="1" applyAlignment="1">
      <alignment vertical="center"/>
    </xf>
    <xf numFmtId="228" fontId="99" fillId="22" borderId="139" xfId="1" applyNumberFormat="1" applyFont="1" applyFill="1" applyBorder="1" applyAlignment="1">
      <alignment vertical="center"/>
    </xf>
    <xf numFmtId="228" fontId="28" fillId="0" borderId="139" xfId="1" applyNumberFormat="1" applyFont="1" applyFill="1" applyBorder="1" applyAlignment="1">
      <alignment vertical="center"/>
    </xf>
    <xf numFmtId="228" fontId="28" fillId="0" borderId="33" xfId="1" applyNumberFormat="1" applyFont="1" applyBorder="1" applyAlignment="1">
      <alignment vertical="center"/>
    </xf>
    <xf numFmtId="228" fontId="99" fillId="22" borderId="33" xfId="1" applyNumberFormat="1" applyFont="1" applyFill="1" applyBorder="1" applyAlignment="1">
      <alignment vertical="center"/>
    </xf>
    <xf numFmtId="228" fontId="28" fillId="0" borderId="33" xfId="1" applyNumberFormat="1" applyFont="1" applyFill="1" applyBorder="1" applyAlignment="1">
      <alignment vertical="center"/>
    </xf>
    <xf numFmtId="228" fontId="28" fillId="0" borderId="13" xfId="1" applyNumberFormat="1" applyFont="1" applyBorder="1" applyAlignment="1">
      <alignment vertical="center"/>
    </xf>
    <xf numFmtId="228" fontId="99" fillId="22" borderId="13" xfId="1" applyNumberFormat="1" applyFont="1" applyFill="1" applyBorder="1" applyAlignment="1">
      <alignment vertical="center"/>
    </xf>
    <xf numFmtId="228" fontId="28" fillId="0" borderId="13" xfId="1" applyNumberFormat="1" applyFont="1" applyFill="1" applyBorder="1" applyAlignment="1">
      <alignment vertical="center"/>
    </xf>
    <xf numFmtId="228" fontId="28" fillId="0" borderId="134" xfId="1" applyNumberFormat="1" applyFont="1" applyBorder="1" applyAlignment="1">
      <alignment vertical="center"/>
    </xf>
    <xf numFmtId="228" fontId="99" fillId="22" borderId="134" xfId="1" applyNumberFormat="1" applyFont="1" applyFill="1" applyBorder="1" applyAlignment="1">
      <alignment vertical="center"/>
    </xf>
    <xf numFmtId="228" fontId="28" fillId="0" borderId="134" xfId="1" applyNumberFormat="1" applyFont="1" applyFill="1" applyBorder="1" applyAlignment="1">
      <alignment vertical="center"/>
    </xf>
    <xf numFmtId="228" fontId="99" fillId="35" borderId="13" xfId="1" applyNumberFormat="1" applyFont="1" applyFill="1" applyBorder="1" applyAlignment="1">
      <alignment vertical="center"/>
    </xf>
    <xf numFmtId="228" fontId="28" fillId="0" borderId="122" xfId="1" applyNumberFormat="1" applyFont="1" applyBorder="1" applyAlignment="1">
      <alignment vertical="center"/>
    </xf>
    <xf numFmtId="228" fontId="99" fillId="22" borderId="122" xfId="1" applyNumberFormat="1" applyFont="1" applyFill="1" applyBorder="1" applyAlignment="1">
      <alignment vertical="center"/>
    </xf>
    <xf numFmtId="228" fontId="28" fillId="0" borderId="122" xfId="1" applyNumberFormat="1" applyFont="1" applyFill="1" applyBorder="1" applyAlignment="1">
      <alignment vertical="center"/>
    </xf>
    <xf numFmtId="251" fontId="28" fillId="0" borderId="13" xfId="1" applyNumberFormat="1" applyFont="1" applyFill="1" applyBorder="1" applyAlignment="1">
      <alignment vertical="center"/>
    </xf>
    <xf numFmtId="251" fontId="28" fillId="0" borderId="139" xfId="1" applyNumberFormat="1" applyFont="1" applyFill="1" applyBorder="1" applyAlignment="1">
      <alignment vertical="center"/>
    </xf>
    <xf numFmtId="251" fontId="28" fillId="0" borderId="122" xfId="1" applyNumberFormat="1" applyFont="1" applyFill="1" applyBorder="1" applyAlignment="1">
      <alignment vertical="center"/>
    </xf>
    <xf numFmtId="14" fontId="28" fillId="17" borderId="95" xfId="0" applyNumberFormat="1" applyFont="1" applyFill="1" applyBorder="1" applyAlignment="1">
      <alignment horizontal="center" vertical="center" shrinkToFit="1"/>
    </xf>
    <xf numFmtId="14" fontId="28" fillId="17" borderId="51" xfId="0" applyNumberFormat="1" applyFont="1" applyFill="1" applyBorder="1" applyAlignment="1">
      <alignment horizontal="center" vertical="center" shrinkToFit="1"/>
    </xf>
    <xf numFmtId="14" fontId="28" fillId="17" borderId="96" xfId="0" applyNumberFormat="1" applyFont="1" applyFill="1" applyBorder="1" applyAlignment="1">
      <alignment horizontal="center" vertical="center" shrinkToFit="1"/>
    </xf>
    <xf numFmtId="0" fontId="28" fillId="17" borderId="349" xfId="0" applyFont="1" applyFill="1" applyBorder="1" applyAlignment="1">
      <alignment horizontal="center" vertical="center"/>
    </xf>
    <xf numFmtId="0" fontId="28" fillId="17" borderId="350" xfId="0" applyFont="1" applyFill="1" applyBorder="1" applyAlignment="1">
      <alignment horizontal="center" vertical="center"/>
    </xf>
    <xf numFmtId="176" fontId="28" fillId="17" borderId="57" xfId="0" applyNumberFormat="1" applyFont="1" applyFill="1" applyBorder="1" applyAlignment="1">
      <alignment horizontal="center" vertical="center"/>
    </xf>
    <xf numFmtId="176" fontId="28" fillId="17" borderId="56" xfId="0" applyNumberFormat="1" applyFont="1" applyFill="1" applyBorder="1" applyAlignment="1">
      <alignment horizontal="center" vertical="center"/>
    </xf>
    <xf numFmtId="176" fontId="28" fillId="17" borderId="133" xfId="0" applyNumberFormat="1" applyFont="1" applyFill="1" applyBorder="1" applyAlignment="1">
      <alignment horizontal="center" vertical="center"/>
    </xf>
    <xf numFmtId="0" fontId="28" fillId="0" borderId="0" xfId="0" applyFont="1" applyFill="1" applyAlignment="1">
      <alignment horizontal="left" vertical="center" indent="1"/>
    </xf>
    <xf numFmtId="0" fontId="28" fillId="0" borderId="0" xfId="0" applyFont="1" applyFill="1" applyAlignment="1">
      <alignment horizontal="left" vertical="center"/>
    </xf>
    <xf numFmtId="177" fontId="28" fillId="0" borderId="12" xfId="1" applyNumberFormat="1" applyFont="1" applyFill="1" applyBorder="1" applyAlignment="1">
      <alignment vertical="center"/>
    </xf>
    <xf numFmtId="208" fontId="51" fillId="0" borderId="133" xfId="1" applyNumberFormat="1" applyFont="1" applyFill="1" applyBorder="1" applyAlignment="1">
      <alignment vertical="center"/>
    </xf>
    <xf numFmtId="178" fontId="51" fillId="0" borderId="57" xfId="1" applyNumberFormat="1" applyFont="1" applyFill="1" applyBorder="1" applyAlignment="1">
      <alignment vertical="center"/>
    </xf>
    <xf numFmtId="178" fontId="51" fillId="0" borderId="56" xfId="1" applyNumberFormat="1" applyFont="1" applyFill="1" applyBorder="1" applyAlignment="1">
      <alignment vertical="center"/>
    </xf>
    <xf numFmtId="178" fontId="51" fillId="0" borderId="133" xfId="1" applyNumberFormat="1" applyFont="1" applyFill="1" applyBorder="1" applyAlignment="1">
      <alignment vertical="center"/>
    </xf>
    <xf numFmtId="200" fontId="28" fillId="0" borderId="13" xfId="1" applyNumberFormat="1" applyFont="1" applyFill="1" applyBorder="1" applyAlignment="1">
      <alignment vertical="center"/>
    </xf>
    <xf numFmtId="179" fontId="28" fillId="0" borderId="198" xfId="1" applyNumberFormat="1" applyFont="1" applyFill="1" applyBorder="1" applyAlignment="1">
      <alignment horizontal="left" vertical="center"/>
    </xf>
    <xf numFmtId="0" fontId="28" fillId="0" borderId="28" xfId="0" applyFont="1" applyFill="1" applyBorder="1">
      <alignment vertical="center"/>
    </xf>
    <xf numFmtId="0" fontId="28" fillId="0" borderId="29" xfId="0" applyFont="1" applyFill="1" applyBorder="1">
      <alignment vertical="center"/>
    </xf>
    <xf numFmtId="0" fontId="28" fillId="0" borderId="29" xfId="0" applyFont="1" applyFill="1" applyBorder="1" applyAlignment="1">
      <alignment horizontal="left" vertical="center"/>
    </xf>
    <xf numFmtId="0" fontId="28" fillId="0" borderId="123" xfId="0" applyFont="1" applyFill="1" applyBorder="1" applyAlignment="1">
      <alignment horizontal="left" vertical="center" indent="1"/>
    </xf>
    <xf numFmtId="0" fontId="28" fillId="0" borderId="123" xfId="0" applyFont="1" applyFill="1" applyBorder="1" applyAlignment="1">
      <alignment horizontal="left" vertical="center"/>
    </xf>
    <xf numFmtId="225" fontId="58" fillId="0" borderId="85" xfId="0" applyNumberFormat="1" applyFont="1" applyFill="1" applyBorder="1" applyAlignment="1">
      <alignment horizontal="center" vertical="center" wrapText="1"/>
    </xf>
    <xf numFmtId="225" fontId="58" fillId="0" borderId="203" xfId="0" applyNumberFormat="1" applyFont="1" applyFill="1" applyBorder="1" applyAlignment="1">
      <alignment horizontal="center" vertical="center" wrapText="1"/>
    </xf>
    <xf numFmtId="0" fontId="28" fillId="35" borderId="122" xfId="28" applyFont="1" applyFill="1" applyBorder="1" applyAlignment="1">
      <alignment horizontal="center" vertical="center"/>
    </xf>
    <xf numFmtId="41" fontId="28" fillId="35" borderId="33" xfId="1" applyFont="1" applyFill="1" applyBorder="1" applyAlignment="1"/>
    <xf numFmtId="41" fontId="28" fillId="35" borderId="13" xfId="1" applyFont="1" applyFill="1" applyBorder="1" applyAlignment="1">
      <alignment vertical="center"/>
    </xf>
    <xf numFmtId="41" fontId="28" fillId="35" borderId="134" xfId="1" applyFont="1" applyFill="1" applyBorder="1" applyAlignment="1">
      <alignment vertical="center"/>
    </xf>
    <xf numFmtId="0" fontId="28" fillId="23" borderId="0" xfId="28" applyFont="1" applyFill="1" applyBorder="1"/>
    <xf numFmtId="0" fontId="28" fillId="0" borderId="0" xfId="28" applyFont="1" applyBorder="1"/>
    <xf numFmtId="41" fontId="27" fillId="8" borderId="0" xfId="28" applyNumberFormat="1" applyFont="1" applyFill="1" applyBorder="1"/>
    <xf numFmtId="0" fontId="28" fillId="35" borderId="0" xfId="28" applyFont="1" applyFill="1" applyBorder="1"/>
    <xf numFmtId="0" fontId="28" fillId="35" borderId="0" xfId="28" applyFont="1" applyFill="1"/>
    <xf numFmtId="0" fontId="28" fillId="35" borderId="122" xfId="28" applyFont="1" applyFill="1" applyBorder="1" applyAlignment="1">
      <alignment horizontal="center"/>
    </xf>
    <xf numFmtId="41" fontId="28" fillId="35" borderId="122" xfId="28" applyNumberFormat="1" applyFont="1" applyFill="1" applyBorder="1"/>
    <xf numFmtId="41" fontId="28" fillId="35" borderId="27" xfId="28" applyNumberFormat="1" applyFont="1" applyFill="1" applyBorder="1"/>
    <xf numFmtId="41" fontId="28" fillId="35" borderId="43" xfId="28" applyNumberFormat="1" applyFont="1" applyFill="1" applyBorder="1"/>
    <xf numFmtId="41" fontId="28" fillId="35" borderId="98" xfId="28" applyNumberFormat="1" applyFont="1" applyFill="1" applyBorder="1"/>
    <xf numFmtId="41" fontId="28" fillId="35" borderId="13" xfId="28" applyNumberFormat="1" applyFont="1" applyFill="1" applyBorder="1"/>
    <xf numFmtId="185" fontId="28" fillId="35" borderId="98" xfId="2" applyNumberFormat="1" applyFont="1" applyFill="1" applyBorder="1" applyAlignment="1"/>
    <xf numFmtId="41" fontId="28" fillId="35" borderId="0" xfId="28" applyNumberFormat="1" applyFont="1" applyFill="1"/>
    <xf numFmtId="41" fontId="27" fillId="35" borderId="0" xfId="28" applyNumberFormat="1" applyFont="1" applyFill="1" applyBorder="1"/>
    <xf numFmtId="0" fontId="176" fillId="0" borderId="203" xfId="0" applyFont="1" applyBorder="1" applyAlignment="1">
      <alignment horizontal="justify" vertical="center" wrapText="1"/>
    </xf>
    <xf numFmtId="0" fontId="175" fillId="0" borderId="203" xfId="0" applyFont="1" applyBorder="1" applyAlignment="1">
      <alignment horizontal="justify" vertical="center" wrapText="1"/>
    </xf>
    <xf numFmtId="3" fontId="175" fillId="0" borderId="8" xfId="0" applyNumberFormat="1" applyFont="1" applyBorder="1" applyAlignment="1">
      <alignment horizontal="center" vertical="center" wrapText="1"/>
    </xf>
    <xf numFmtId="185" fontId="35" fillId="8" borderId="13" xfId="0" applyNumberFormat="1" applyFont="1" applyFill="1" applyBorder="1" applyAlignment="1">
      <alignment horizontal="right" vertical="center"/>
    </xf>
    <xf numFmtId="41" fontId="34" fillId="0" borderId="38" xfId="1" applyFont="1" applyFill="1" applyBorder="1" applyAlignment="1">
      <alignment horizontal="right" vertical="center"/>
    </xf>
    <xf numFmtId="41" fontId="33" fillId="39" borderId="13" xfId="1" applyFont="1" applyFill="1" applyBorder="1" applyAlignment="1">
      <alignment horizontal="right" vertical="center"/>
    </xf>
    <xf numFmtId="199" fontId="15" fillId="0" borderId="13" xfId="1" applyNumberFormat="1" applyFont="1" applyFill="1" applyBorder="1" applyAlignment="1">
      <alignment horizontal="center" vertical="center"/>
    </xf>
    <xf numFmtId="41" fontId="108" fillId="7" borderId="38" xfId="1" applyFont="1" applyFill="1" applyBorder="1" applyAlignment="1">
      <alignment horizontal="right" vertical="center"/>
    </xf>
    <xf numFmtId="177" fontId="47" fillId="7" borderId="43" xfId="16" applyNumberFormat="1" applyFont="1" applyFill="1" applyBorder="1" applyAlignment="1">
      <alignment horizontal="center" vertical="center"/>
    </xf>
    <xf numFmtId="177" fontId="51" fillId="7" borderId="43" xfId="16" applyNumberFormat="1" applyFont="1" applyFill="1" applyBorder="1" applyAlignment="1">
      <alignment horizontal="center" vertical="center"/>
    </xf>
    <xf numFmtId="41" fontId="182" fillId="0" borderId="0" xfId="1" applyFont="1" applyFill="1" applyBorder="1" applyAlignment="1">
      <alignment vertical="center"/>
    </xf>
    <xf numFmtId="188" fontId="182" fillId="0" borderId="0" xfId="0" applyNumberFormat="1" applyFont="1" applyFill="1" applyBorder="1" applyAlignment="1">
      <alignment horizontal="center" vertical="center"/>
    </xf>
    <xf numFmtId="208" fontId="182" fillId="0" borderId="0" xfId="1" applyNumberFormat="1" applyFont="1" applyFill="1" applyBorder="1" applyAlignment="1">
      <alignment vertical="center"/>
    </xf>
    <xf numFmtId="41" fontId="14" fillId="0" borderId="344" xfId="4" applyFont="1" applyFill="1" applyBorder="1" applyAlignment="1">
      <alignment horizontal="left" vertical="center" indent="1"/>
    </xf>
    <xf numFmtId="179" fontId="14" fillId="0" borderId="344" xfId="4" applyNumberFormat="1" applyFont="1" applyBorder="1">
      <alignment vertical="center"/>
    </xf>
    <xf numFmtId="41" fontId="14" fillId="5" borderId="344" xfId="4" applyFont="1" applyFill="1" applyBorder="1">
      <alignment vertical="center"/>
    </xf>
    <xf numFmtId="41" fontId="14" fillId="0" borderId="344" xfId="1" applyFont="1" applyBorder="1">
      <alignment vertical="center"/>
    </xf>
    <xf numFmtId="41" fontId="14" fillId="0" borderId="344" xfId="4" applyFont="1" applyBorder="1">
      <alignment vertical="center"/>
    </xf>
    <xf numFmtId="41" fontId="14" fillId="0" borderId="344" xfId="4" applyFont="1" applyFill="1" applyBorder="1">
      <alignment vertical="center"/>
    </xf>
    <xf numFmtId="10" fontId="20" fillId="0" borderId="344" xfId="4" applyNumberFormat="1" applyFont="1" applyFill="1" applyBorder="1">
      <alignment vertical="center"/>
    </xf>
    <xf numFmtId="10" fontId="22" fillId="0" borderId="0" xfId="2" applyNumberFormat="1" applyFont="1">
      <alignment vertical="center"/>
    </xf>
    <xf numFmtId="10" fontId="22" fillId="0" borderId="0" xfId="6" applyNumberFormat="1" applyFont="1">
      <alignment vertical="center"/>
    </xf>
    <xf numFmtId="0" fontId="15" fillId="0" borderId="0" xfId="6" applyFont="1" applyAlignment="1">
      <alignment horizontal="right" vertical="center"/>
    </xf>
    <xf numFmtId="41" fontId="14" fillId="0" borderId="134" xfId="4" applyFont="1" applyBorder="1">
      <alignment vertical="center"/>
    </xf>
    <xf numFmtId="41" fontId="14" fillId="0" borderId="134" xfId="4" applyFont="1" applyFill="1" applyBorder="1" applyAlignment="1">
      <alignment horizontal="left" vertical="center" indent="1"/>
    </xf>
    <xf numFmtId="179" fontId="14" fillId="0" borderId="134" xfId="4" applyNumberFormat="1" applyFont="1" applyBorder="1">
      <alignment vertical="center"/>
    </xf>
    <xf numFmtId="0" fontId="15" fillId="5" borderId="134" xfId="6" applyFont="1" applyFill="1" applyBorder="1">
      <alignment vertical="center"/>
    </xf>
    <xf numFmtId="41" fontId="14" fillId="0" borderId="134" xfId="1" applyFont="1" applyBorder="1">
      <alignment vertical="center"/>
    </xf>
    <xf numFmtId="179" fontId="14" fillId="0" borderId="363" xfId="4" applyNumberFormat="1" applyFont="1" applyBorder="1">
      <alignment vertical="center"/>
    </xf>
    <xf numFmtId="0" fontId="22" fillId="0" borderId="0" xfId="6" applyFont="1">
      <alignment vertical="center"/>
    </xf>
    <xf numFmtId="0" fontId="14" fillId="0" borderId="344" xfId="0" applyFont="1" applyBorder="1" applyAlignment="1">
      <alignment horizontal="left" indent="1"/>
    </xf>
    <xf numFmtId="10" fontId="14" fillId="0" borderId="9" xfId="0" applyNumberFormat="1" applyFont="1" applyBorder="1" applyAlignment="1">
      <alignment horizontal="center" vertical="center"/>
    </xf>
    <xf numFmtId="183" fontId="33" fillId="0" borderId="369" xfId="2" applyNumberFormat="1" applyFont="1" applyFill="1" applyBorder="1" applyAlignment="1">
      <alignment horizontal="center" vertical="center" wrapText="1"/>
    </xf>
    <xf numFmtId="183" fontId="33" fillId="0" borderId="370" xfId="2" applyNumberFormat="1" applyFont="1" applyFill="1" applyBorder="1" applyAlignment="1">
      <alignment horizontal="center" vertical="center" wrapText="1"/>
    </xf>
    <xf numFmtId="41" fontId="35" fillId="3" borderId="359" xfId="1" applyFont="1" applyFill="1" applyBorder="1" applyAlignment="1">
      <alignment horizontal="center" vertical="center" wrapText="1"/>
    </xf>
    <xf numFmtId="41" fontId="35" fillId="3" borderId="360" xfId="1" applyFont="1" applyFill="1" applyBorder="1" applyAlignment="1">
      <alignment horizontal="center" vertical="center" wrapText="1"/>
    </xf>
    <xf numFmtId="179" fontId="28" fillId="0" borderId="198" xfId="1" applyNumberFormat="1" applyFont="1" applyBorder="1" applyAlignment="1">
      <alignment horizontal="right" vertical="center"/>
    </xf>
    <xf numFmtId="41" fontId="14" fillId="5" borderId="134" xfId="4" applyFont="1" applyFill="1" applyBorder="1">
      <alignment vertical="center"/>
    </xf>
    <xf numFmtId="41" fontId="15" fillId="0" borderId="344" xfId="1" applyFont="1" applyBorder="1">
      <alignment vertical="center"/>
    </xf>
    <xf numFmtId="0" fontId="15" fillId="0" borderId="128" xfId="6" applyFont="1" applyBorder="1">
      <alignment vertical="center"/>
    </xf>
    <xf numFmtId="0" fontId="22" fillId="0" borderId="23" xfId="6" applyFont="1" applyBorder="1">
      <alignment vertical="center"/>
    </xf>
    <xf numFmtId="0" fontId="15" fillId="0" borderId="23" xfId="6" applyFont="1" applyBorder="1">
      <alignment vertical="center"/>
    </xf>
    <xf numFmtId="41" fontId="15" fillId="0" borderId="23" xfId="1" applyFont="1" applyBorder="1">
      <alignment vertical="center"/>
    </xf>
    <xf numFmtId="0" fontId="15" fillId="0" borderId="12" xfId="6" applyFont="1" applyBorder="1">
      <alignment vertical="center"/>
    </xf>
    <xf numFmtId="0" fontId="22" fillId="0" borderId="0" xfId="6" applyFont="1" applyBorder="1">
      <alignment vertical="center"/>
    </xf>
    <xf numFmtId="0" fontId="15" fillId="0" borderId="0" xfId="6" applyFont="1" applyBorder="1">
      <alignment vertical="center"/>
    </xf>
    <xf numFmtId="41" fontId="15" fillId="0" borderId="0" xfId="1" applyFont="1" applyBorder="1">
      <alignment vertical="center"/>
    </xf>
    <xf numFmtId="41" fontId="15" fillId="0" borderId="123" xfId="1" applyFont="1" applyBorder="1">
      <alignment vertical="center"/>
    </xf>
    <xf numFmtId="0" fontId="15" fillId="52" borderId="23" xfId="6" applyFont="1" applyFill="1" applyBorder="1">
      <alignment vertical="center"/>
    </xf>
    <xf numFmtId="0" fontId="15" fillId="52" borderId="0" xfId="6" applyFont="1" applyFill="1" applyBorder="1">
      <alignment vertical="center"/>
    </xf>
    <xf numFmtId="41" fontId="15" fillId="0" borderId="139" xfId="1" applyFont="1" applyBorder="1">
      <alignment vertical="center"/>
    </xf>
    <xf numFmtId="41" fontId="15" fillId="0" borderId="13" xfId="1" applyFont="1" applyBorder="1">
      <alignment vertical="center"/>
    </xf>
    <xf numFmtId="41" fontId="15" fillId="0" borderId="134" xfId="1" applyFont="1" applyBorder="1">
      <alignment vertical="center"/>
    </xf>
    <xf numFmtId="0" fontId="14" fillId="3" borderId="139" xfId="0" applyFont="1" applyFill="1" applyBorder="1" applyAlignment="1">
      <alignment horizontal="center" vertical="center"/>
    </xf>
    <xf numFmtId="0" fontId="14" fillId="3" borderId="344" xfId="0" applyFont="1" applyFill="1" applyBorder="1" applyAlignment="1">
      <alignment horizontal="center" vertical="center"/>
    </xf>
    <xf numFmtId="0" fontId="14" fillId="3" borderId="134" xfId="0" applyFont="1" applyFill="1" applyBorder="1" applyAlignment="1">
      <alignment horizontal="center" vertical="center"/>
    </xf>
    <xf numFmtId="14" fontId="14" fillId="3" borderId="134" xfId="0" applyNumberFormat="1" applyFont="1" applyFill="1" applyBorder="1" applyAlignment="1">
      <alignment horizontal="center" vertical="center"/>
    </xf>
    <xf numFmtId="0" fontId="14" fillId="0" borderId="344" xfId="0" applyFont="1" applyBorder="1" applyAlignment="1"/>
    <xf numFmtId="225" fontId="14" fillId="0" borderId="344" xfId="4" applyNumberFormat="1" applyFont="1" applyBorder="1">
      <alignment vertical="center"/>
    </xf>
    <xf numFmtId="0" fontId="21" fillId="0" borderId="344" xfId="0" applyFont="1" applyBorder="1" applyAlignment="1">
      <alignment horizontal="center" vertical="center"/>
    </xf>
    <xf numFmtId="0" fontId="15" fillId="0" borderId="344" xfId="0" applyFont="1" applyBorder="1">
      <alignment vertical="center"/>
    </xf>
    <xf numFmtId="0" fontId="23" fillId="3" borderId="129" xfId="0" applyFont="1" applyFill="1" applyBorder="1" applyAlignment="1"/>
    <xf numFmtId="0" fontId="14" fillId="3" borderId="136" xfId="0" applyFont="1" applyFill="1" applyBorder="1" applyAlignment="1"/>
    <xf numFmtId="0" fontId="14" fillId="3" borderId="136" xfId="0" applyFont="1" applyFill="1" applyBorder="1" applyAlignment="1">
      <alignment horizontal="center"/>
    </xf>
    <xf numFmtId="0" fontId="14" fillId="0" borderId="134" xfId="0" applyFont="1" applyBorder="1" applyAlignment="1">
      <alignment horizontal="left" indent="1"/>
    </xf>
    <xf numFmtId="0" fontId="14" fillId="3" borderId="13" xfId="0" applyFont="1" applyFill="1" applyBorder="1" applyAlignment="1">
      <alignment horizontal="center" vertical="center"/>
    </xf>
    <xf numFmtId="0" fontId="23" fillId="3" borderId="198" xfId="0" applyFont="1" applyFill="1" applyBorder="1" applyAlignment="1"/>
    <xf numFmtId="176" fontId="14" fillId="3" borderId="134" xfId="0" applyNumberFormat="1" applyFont="1" applyFill="1" applyBorder="1" applyAlignment="1">
      <alignment horizontal="center" vertical="center"/>
    </xf>
    <xf numFmtId="0" fontId="14" fillId="0" borderId="134" xfId="0" applyFont="1" applyBorder="1" applyAlignment="1">
      <alignment horizontal="left"/>
    </xf>
    <xf numFmtId="0" fontId="15" fillId="0" borderId="134" xfId="0" applyFont="1" applyBorder="1">
      <alignment vertical="center"/>
    </xf>
    <xf numFmtId="0" fontId="14" fillId="0" borderId="363" xfId="0" applyFont="1" applyBorder="1" applyAlignment="1">
      <alignment horizontal="left"/>
    </xf>
    <xf numFmtId="0" fontId="14" fillId="0" borderId="363" xfId="0" applyFont="1" applyBorder="1" applyAlignment="1"/>
    <xf numFmtId="41" fontId="15" fillId="0" borderId="363" xfId="1" applyFont="1" applyBorder="1">
      <alignment vertical="center"/>
    </xf>
    <xf numFmtId="0" fontId="15" fillId="0" borderId="363" xfId="0" applyFont="1" applyBorder="1">
      <alignment vertical="center"/>
    </xf>
    <xf numFmtId="0" fontId="14" fillId="0" borderId="363" xfId="0" applyFont="1" applyBorder="1" applyAlignment="1">
      <alignment horizontal="left" indent="1"/>
    </xf>
    <xf numFmtId="225" fontId="15" fillId="0" borderId="344" xfId="5" applyNumberFormat="1" applyFont="1" applyBorder="1">
      <alignment vertical="center"/>
    </xf>
    <xf numFmtId="178" fontId="15" fillId="0" borderId="344" xfId="5" applyNumberFormat="1" applyFont="1" applyBorder="1">
      <alignment vertical="center"/>
    </xf>
    <xf numFmtId="178" fontId="15" fillId="0" borderId="363" xfId="5" applyNumberFormat="1" applyFont="1" applyBorder="1">
      <alignment vertical="center"/>
    </xf>
    <xf numFmtId="178" fontId="15" fillId="0" borderId="134" xfId="5" applyNumberFormat="1" applyFont="1" applyBorder="1">
      <alignment vertical="center"/>
    </xf>
    <xf numFmtId="0" fontId="21" fillId="0" borderId="0" xfId="0" applyFont="1">
      <alignment vertical="center"/>
    </xf>
    <xf numFmtId="0" fontId="21" fillId="0" borderId="134" xfId="0" applyFont="1" applyBorder="1" applyAlignment="1">
      <alignment horizontal="left"/>
    </xf>
    <xf numFmtId="0" fontId="21" fillId="0" borderId="134" xfId="0" applyFont="1" applyBorder="1" applyAlignment="1">
      <alignment horizontal="left" indent="1"/>
    </xf>
    <xf numFmtId="41" fontId="22" fillId="0" borderId="134" xfId="1" applyFont="1" applyBorder="1">
      <alignment vertical="center"/>
    </xf>
    <xf numFmtId="0" fontId="22" fillId="0" borderId="134" xfId="0" applyFont="1" applyBorder="1">
      <alignment vertical="center"/>
    </xf>
    <xf numFmtId="178" fontId="22" fillId="0" borderId="134" xfId="5" applyNumberFormat="1" applyFont="1" applyBorder="1">
      <alignment vertical="center"/>
    </xf>
    <xf numFmtId="10" fontId="14" fillId="0" borderId="344" xfId="2" applyNumberFormat="1" applyFont="1" applyBorder="1" applyAlignment="1">
      <alignment horizontal="center" vertical="center"/>
    </xf>
    <xf numFmtId="0" fontId="14" fillId="0" borderId="344" xfId="0" applyFont="1" applyBorder="1" applyAlignment="1">
      <alignment horizontal="center" vertical="center"/>
    </xf>
    <xf numFmtId="0" fontId="13" fillId="0" borderId="0" xfId="0" applyFont="1" applyBorder="1" applyAlignment="1"/>
    <xf numFmtId="0" fontId="14" fillId="0" borderId="363" xfId="0" applyFont="1" applyBorder="1" applyAlignment="1">
      <alignment horizontal="center" vertical="center"/>
    </xf>
    <xf numFmtId="225" fontId="15" fillId="0" borderId="363" xfId="5" applyNumberFormat="1" applyFont="1" applyBorder="1">
      <alignment vertical="center"/>
    </xf>
    <xf numFmtId="225" fontId="15" fillId="0" borderId="124" xfId="0" applyNumberFormat="1" applyFont="1" applyBorder="1">
      <alignment vertical="center"/>
    </xf>
    <xf numFmtId="0" fontId="22" fillId="0" borderId="0" xfId="0" applyFont="1">
      <alignment vertical="center"/>
    </xf>
    <xf numFmtId="0" fontId="21" fillId="0" borderId="344" xfId="0" applyFont="1" applyBorder="1" applyAlignment="1"/>
    <xf numFmtId="225" fontId="22" fillId="0" borderId="344" xfId="5" applyNumberFormat="1" applyFont="1" applyBorder="1">
      <alignment vertical="center"/>
    </xf>
    <xf numFmtId="225" fontId="22" fillId="0" borderId="0" xfId="0" applyNumberFormat="1" applyFont="1">
      <alignment vertical="center"/>
    </xf>
    <xf numFmtId="0" fontId="15" fillId="0" borderId="345" xfId="6" applyFont="1" applyBorder="1">
      <alignment vertical="center"/>
    </xf>
    <xf numFmtId="0" fontId="22" fillId="0" borderId="263" xfId="6" applyFont="1" applyBorder="1">
      <alignment vertical="center"/>
    </xf>
    <xf numFmtId="0" fontId="15" fillId="0" borderId="263" xfId="6" applyFont="1" applyBorder="1">
      <alignment vertical="center"/>
    </xf>
    <xf numFmtId="0" fontId="15" fillId="52" borderId="263" xfId="6" applyFont="1" applyFill="1" applyBorder="1">
      <alignment vertical="center"/>
    </xf>
    <xf numFmtId="0" fontId="14" fillId="8" borderId="344" xfId="0" applyFont="1" applyFill="1" applyBorder="1" applyAlignment="1">
      <alignment horizontal="left" indent="1"/>
    </xf>
    <xf numFmtId="0" fontId="14" fillId="0" borderId="363" xfId="0" applyFont="1" applyFill="1" applyBorder="1" applyAlignment="1">
      <alignment horizontal="left"/>
    </xf>
    <xf numFmtId="0" fontId="14" fillId="0" borderId="363" xfId="0" applyFont="1" applyFill="1" applyBorder="1" applyAlignment="1"/>
    <xf numFmtId="41" fontId="15" fillId="0" borderId="363" xfId="1" applyFont="1" applyFill="1" applyBorder="1">
      <alignment vertical="center"/>
    </xf>
    <xf numFmtId="0" fontId="15" fillId="0" borderId="363" xfId="0" applyFont="1" applyFill="1" applyBorder="1">
      <alignment vertical="center"/>
    </xf>
    <xf numFmtId="178" fontId="15" fillId="0" borderId="363" xfId="5" applyNumberFormat="1" applyFont="1" applyFill="1" applyBorder="1">
      <alignment vertical="center"/>
    </xf>
    <xf numFmtId="0" fontId="14" fillId="0" borderId="0" xfId="0" applyFont="1" applyFill="1">
      <alignment vertical="center"/>
    </xf>
    <xf numFmtId="0" fontId="14" fillId="0" borderId="134" xfId="0" applyFont="1" applyFill="1" applyBorder="1" applyAlignment="1">
      <alignment horizontal="left"/>
    </xf>
    <xf numFmtId="0" fontId="14" fillId="0" borderId="134" xfId="0" applyFont="1" applyFill="1" applyBorder="1" applyAlignment="1">
      <alignment horizontal="left" indent="1"/>
    </xf>
    <xf numFmtId="41" fontId="15" fillId="0" borderId="134" xfId="1" applyFont="1" applyFill="1" applyBorder="1">
      <alignment vertical="center"/>
    </xf>
    <xf numFmtId="0" fontId="15" fillId="0" borderId="134" xfId="0" applyFont="1" applyFill="1" applyBorder="1">
      <alignment vertical="center"/>
    </xf>
    <xf numFmtId="178" fontId="15" fillId="0" borderId="134" xfId="5" applyNumberFormat="1" applyFont="1" applyFill="1" applyBorder="1">
      <alignment vertical="center"/>
    </xf>
    <xf numFmtId="0" fontId="14" fillId="0" borderId="363" xfId="0" applyFont="1" applyFill="1" applyBorder="1" applyAlignment="1">
      <alignment horizontal="left" indent="1"/>
    </xf>
    <xf numFmtId="179" fontId="14" fillId="0" borderId="363" xfId="4" applyNumberFormat="1" applyFont="1" applyFill="1" applyBorder="1">
      <alignment vertical="center"/>
    </xf>
    <xf numFmtId="213" fontId="5" fillId="0" borderId="122" xfId="25" applyNumberFormat="1" applyFill="1" applyBorder="1" applyAlignment="1">
      <alignment horizontal="center" vertical="center"/>
    </xf>
    <xf numFmtId="0" fontId="17" fillId="8" borderId="0" xfId="0" applyFont="1" applyFill="1">
      <alignment vertical="center"/>
    </xf>
    <xf numFmtId="41" fontId="28" fillId="8" borderId="0" xfId="1" applyFont="1" applyFill="1" applyBorder="1" applyAlignment="1">
      <alignment horizontal="right" vertical="center"/>
    </xf>
    <xf numFmtId="187" fontId="28" fillId="8" borderId="0" xfId="1" applyNumberFormat="1" applyFont="1" applyFill="1" applyBorder="1" applyAlignment="1">
      <alignment horizontal="right" vertical="center"/>
    </xf>
    <xf numFmtId="41" fontId="17" fillId="8" borderId="0" xfId="1" applyFont="1" applyFill="1" applyBorder="1">
      <alignment vertical="center"/>
    </xf>
    <xf numFmtId="0" fontId="183" fillId="53" borderId="371" xfId="0" applyFont="1" applyFill="1" applyBorder="1" applyAlignment="1">
      <alignment horizontal="center" vertical="center" wrapText="1" readingOrder="1"/>
    </xf>
    <xf numFmtId="0" fontId="184" fillId="53" borderId="372" xfId="0" applyFont="1" applyFill="1" applyBorder="1" applyAlignment="1">
      <alignment horizontal="center" vertical="center" wrapText="1" readingOrder="1"/>
    </xf>
    <xf numFmtId="0" fontId="185" fillId="53" borderId="372" xfId="0" applyFont="1" applyFill="1" applyBorder="1" applyAlignment="1">
      <alignment horizontal="center" vertical="center" wrapText="1" readingOrder="1"/>
    </xf>
    <xf numFmtId="0" fontId="185" fillId="53" borderId="373" xfId="0" applyFont="1" applyFill="1" applyBorder="1" applyAlignment="1">
      <alignment horizontal="center" vertical="center" wrapText="1" readingOrder="1"/>
    </xf>
    <xf numFmtId="0" fontId="30" fillId="0" borderId="374" xfId="0" applyFont="1" applyBorder="1" applyAlignment="1">
      <alignment horizontal="left" vertical="center" wrapText="1" readingOrder="1"/>
    </xf>
    <xf numFmtId="0" fontId="30" fillId="0" borderId="374" xfId="0" applyFont="1" applyBorder="1" applyAlignment="1">
      <alignment horizontal="left" vertical="center" wrapText="1" indent="1" readingOrder="1"/>
    </xf>
    <xf numFmtId="3" fontId="30" fillId="0" borderId="375" xfId="0" applyNumberFormat="1" applyFont="1" applyBorder="1" applyAlignment="1">
      <alignment horizontal="center" vertical="center" wrapText="1" readingOrder="1"/>
    </xf>
    <xf numFmtId="225" fontId="14" fillId="0" borderId="0" xfId="0" applyNumberFormat="1" applyFont="1">
      <alignment vertical="center"/>
    </xf>
    <xf numFmtId="0" fontId="186" fillId="53" borderId="378" xfId="0" applyFont="1" applyFill="1" applyBorder="1" applyAlignment="1">
      <alignment horizontal="center" vertical="center" wrapText="1" readingOrder="1"/>
    </xf>
    <xf numFmtId="0" fontId="186" fillId="53" borderId="379" xfId="0" applyFont="1" applyFill="1" applyBorder="1" applyAlignment="1">
      <alignment horizontal="center" vertical="center" wrapText="1" readingOrder="1"/>
    </xf>
    <xf numFmtId="0" fontId="30" fillId="30" borderId="380" xfId="0" applyFont="1" applyFill="1" applyBorder="1" applyAlignment="1">
      <alignment horizontal="center" vertical="center" wrapText="1" readingOrder="1"/>
    </xf>
    <xf numFmtId="10" fontId="30" fillId="54" borderId="381" xfId="0" applyNumberFormat="1" applyFont="1" applyFill="1" applyBorder="1" applyAlignment="1">
      <alignment horizontal="center" vertical="center" wrapText="1" readingOrder="1"/>
    </xf>
    <xf numFmtId="177" fontId="14" fillId="0" borderId="0" xfId="0" applyNumberFormat="1" applyFont="1">
      <alignment vertical="center"/>
    </xf>
    <xf numFmtId="43" fontId="14" fillId="0" borderId="0" xfId="0" applyNumberFormat="1" applyFont="1">
      <alignment vertical="center"/>
    </xf>
    <xf numFmtId="181" fontId="28" fillId="0" borderId="131" xfId="1" applyNumberFormat="1" applyFont="1" applyBorder="1" applyAlignment="1">
      <alignment vertical="center"/>
    </xf>
    <xf numFmtId="181" fontId="28" fillId="0" borderId="2" xfId="1" applyNumberFormat="1" applyFont="1" applyBorder="1" applyAlignment="1">
      <alignment vertical="center"/>
    </xf>
    <xf numFmtId="41" fontId="14" fillId="0" borderId="0" xfId="1" applyFont="1">
      <alignment vertical="center"/>
    </xf>
    <xf numFmtId="41" fontId="15" fillId="52" borderId="139" xfId="1" applyFont="1" applyFill="1" applyBorder="1">
      <alignment vertical="center"/>
    </xf>
    <xf numFmtId="41" fontId="15" fillId="52" borderId="13" xfId="1" applyFont="1" applyFill="1" applyBorder="1">
      <alignment vertical="center"/>
    </xf>
    <xf numFmtId="41" fontId="15" fillId="52" borderId="344" xfId="1" applyFont="1" applyFill="1" applyBorder="1">
      <alignment vertical="center"/>
    </xf>
    <xf numFmtId="0" fontId="14" fillId="52" borderId="9" xfId="4" applyNumberFormat="1" applyFont="1" applyFill="1" applyBorder="1" applyAlignment="1">
      <alignment horizontal="center" vertical="center"/>
    </xf>
    <xf numFmtId="176" fontId="14" fillId="52" borderId="9" xfId="6" applyNumberFormat="1" applyFont="1" applyFill="1" applyBorder="1" applyAlignment="1">
      <alignment horizontal="center" vertical="center"/>
    </xf>
    <xf numFmtId="14" fontId="14" fillId="52" borderId="9" xfId="4" applyNumberFormat="1" applyFont="1" applyFill="1" applyBorder="1" applyAlignment="1">
      <alignment horizontal="center" vertical="center"/>
    </xf>
    <xf numFmtId="41" fontId="14" fillId="52" borderId="9" xfId="1" applyFont="1" applyFill="1" applyBorder="1">
      <alignment vertical="center"/>
    </xf>
    <xf numFmtId="41" fontId="14" fillId="52" borderId="134" xfId="1" applyFont="1" applyFill="1" applyBorder="1">
      <alignment vertical="center"/>
    </xf>
    <xf numFmtId="41" fontId="14" fillId="52" borderId="344" xfId="1" applyFont="1" applyFill="1" applyBorder="1">
      <alignment vertical="center"/>
    </xf>
    <xf numFmtId="176" fontId="14" fillId="52" borderId="9" xfId="0" applyNumberFormat="1" applyFont="1" applyFill="1" applyBorder="1" applyAlignment="1">
      <alignment horizontal="center" vertical="center"/>
    </xf>
    <xf numFmtId="41" fontId="14" fillId="52" borderId="15" xfId="4" applyFont="1" applyFill="1" applyBorder="1">
      <alignment vertical="center"/>
    </xf>
    <xf numFmtId="41" fontId="14" fillId="52" borderId="9" xfId="4" applyFont="1" applyFill="1" applyBorder="1">
      <alignment vertical="center"/>
    </xf>
    <xf numFmtId="41" fontId="14" fillId="52" borderId="20" xfId="4" applyFont="1" applyFill="1" applyBorder="1">
      <alignment vertical="center"/>
    </xf>
    <xf numFmtId="41" fontId="14" fillId="52" borderId="344" xfId="4" applyFont="1" applyFill="1" applyBorder="1">
      <alignment vertical="center"/>
    </xf>
    <xf numFmtId="0" fontId="175" fillId="55" borderId="85" xfId="0" applyFont="1" applyFill="1" applyBorder="1" applyAlignment="1">
      <alignment horizontal="center" vertical="center" wrapText="1"/>
    </xf>
    <xf numFmtId="0" fontId="176" fillId="55" borderId="202" xfId="0" applyFont="1" applyFill="1" applyBorder="1" applyAlignment="1">
      <alignment horizontal="center" vertical="center" wrapText="1"/>
    </xf>
    <xf numFmtId="3" fontId="176" fillId="0" borderId="8" xfId="0" applyNumberFormat="1" applyFont="1" applyBorder="1" applyAlignment="1">
      <alignment horizontal="center" vertical="center" wrapText="1"/>
    </xf>
    <xf numFmtId="0" fontId="188" fillId="30" borderId="337" xfId="0" applyFont="1" applyFill="1" applyBorder="1" applyAlignment="1">
      <alignment horizontal="center" vertical="center" wrapText="1"/>
    </xf>
    <xf numFmtId="0" fontId="188" fillId="30" borderId="338" xfId="0" applyFont="1" applyFill="1" applyBorder="1" applyAlignment="1">
      <alignment horizontal="center" vertical="center" wrapText="1"/>
    </xf>
    <xf numFmtId="0" fontId="188" fillId="30" borderId="339" xfId="0" applyFont="1" applyFill="1" applyBorder="1" applyAlignment="1">
      <alignment horizontal="center" vertical="center" wrapText="1"/>
    </xf>
    <xf numFmtId="0" fontId="188" fillId="30" borderId="202" xfId="0" applyFont="1" applyFill="1" applyBorder="1" applyAlignment="1">
      <alignment horizontal="center" vertical="center" wrapText="1"/>
    </xf>
    <xf numFmtId="0" fontId="188" fillId="0" borderId="340" xfId="0" applyFont="1" applyBorder="1" applyAlignment="1">
      <alignment horizontal="center" vertical="center" wrapText="1"/>
    </xf>
    <xf numFmtId="245" fontId="188" fillId="0" borderId="8" xfId="1" applyNumberFormat="1" applyFont="1" applyBorder="1" applyAlignment="1">
      <alignment horizontal="center" vertical="center" wrapText="1"/>
    </xf>
    <xf numFmtId="245" fontId="188" fillId="0" borderId="341" xfId="1" applyNumberFormat="1" applyFont="1" applyBorder="1" applyAlignment="1">
      <alignment horizontal="center" vertical="center" wrapText="1"/>
    </xf>
    <xf numFmtId="245" fontId="188" fillId="0" borderId="342" xfId="1" applyNumberFormat="1" applyFont="1" applyBorder="1" applyAlignment="1">
      <alignment horizontal="center" vertical="center" wrapText="1"/>
    </xf>
    <xf numFmtId="245" fontId="188" fillId="0" borderId="343" xfId="1" applyNumberFormat="1" applyFont="1" applyBorder="1" applyAlignment="1">
      <alignment horizontal="center" vertical="center" wrapText="1"/>
    </xf>
    <xf numFmtId="0" fontId="62" fillId="0" borderId="0" xfId="0" applyFont="1">
      <alignment vertical="center"/>
    </xf>
    <xf numFmtId="0" fontId="188" fillId="30" borderId="85" xfId="0" applyFont="1" applyFill="1" applyBorder="1" applyAlignment="1">
      <alignment horizontal="center" vertical="center" wrapText="1"/>
    </xf>
    <xf numFmtId="0" fontId="188" fillId="0" borderId="203" xfId="0" applyFont="1" applyBorder="1" applyAlignment="1">
      <alignment horizontal="center" vertical="center" wrapText="1"/>
    </xf>
    <xf numFmtId="10" fontId="188" fillId="0" borderId="8" xfId="0" applyNumberFormat="1" applyFont="1" applyBorder="1" applyAlignment="1">
      <alignment horizontal="center" vertical="center" wrapText="1"/>
    </xf>
    <xf numFmtId="10" fontId="62" fillId="0" borderId="0" xfId="0" applyNumberFormat="1" applyFont="1">
      <alignment vertical="center"/>
    </xf>
    <xf numFmtId="0" fontId="188" fillId="50" borderId="85" xfId="0" applyFont="1" applyFill="1" applyBorder="1" applyAlignment="1">
      <alignment horizontal="center" vertical="center" wrapText="1"/>
    </xf>
    <xf numFmtId="0" fontId="188" fillId="50" borderId="202" xfId="0" applyFont="1" applyFill="1" applyBorder="1" applyAlignment="1">
      <alignment horizontal="center" vertical="center" wrapText="1"/>
    </xf>
    <xf numFmtId="0" fontId="188" fillId="50" borderId="203" xfId="0" applyFont="1" applyFill="1" applyBorder="1" applyAlignment="1">
      <alignment horizontal="center" vertical="center" wrapText="1"/>
    </xf>
    <xf numFmtId="225" fontId="62" fillId="0" borderId="8" xfId="0" applyNumberFormat="1" applyFont="1" applyBorder="1" applyAlignment="1">
      <alignment horizontal="center" vertical="center" wrapText="1"/>
    </xf>
    <xf numFmtId="10" fontId="189" fillId="0" borderId="8" xfId="2" applyNumberFormat="1" applyFont="1" applyBorder="1" applyAlignment="1">
      <alignment horizontal="center" vertical="center" wrapText="1"/>
    </xf>
    <xf numFmtId="0" fontId="188" fillId="50" borderId="8" xfId="0" applyFont="1" applyFill="1" applyBorder="1" applyAlignment="1">
      <alignment horizontal="center" vertical="center" wrapText="1"/>
    </xf>
    <xf numFmtId="1" fontId="189" fillId="0" borderId="8" xfId="0" applyNumberFormat="1" applyFont="1" applyBorder="1" applyAlignment="1">
      <alignment horizontal="center" vertical="center" wrapText="1"/>
    </xf>
    <xf numFmtId="0" fontId="190" fillId="53" borderId="382" xfId="0" applyFont="1" applyFill="1" applyBorder="1" applyAlignment="1">
      <alignment horizontal="center" vertical="center" wrapText="1" readingOrder="1"/>
    </xf>
    <xf numFmtId="0" fontId="172" fillId="50" borderId="383" xfId="0" applyFont="1" applyFill="1" applyBorder="1" applyAlignment="1">
      <alignment horizontal="center" vertical="center" wrapText="1" readingOrder="1"/>
    </xf>
    <xf numFmtId="0" fontId="191" fillId="50" borderId="383" xfId="0" applyFont="1" applyFill="1" applyBorder="1" applyAlignment="1">
      <alignment horizontal="center" vertical="center" wrapText="1" readingOrder="1"/>
    </xf>
    <xf numFmtId="0" fontId="190" fillId="53" borderId="384" xfId="0" applyFont="1" applyFill="1" applyBorder="1" applyAlignment="1">
      <alignment horizontal="center" vertical="center" wrapText="1" readingOrder="1"/>
    </xf>
    <xf numFmtId="0" fontId="190" fillId="53" borderId="385" xfId="0" applyFont="1" applyFill="1" applyBorder="1" applyAlignment="1">
      <alignment horizontal="center" vertical="center" wrapText="1" readingOrder="1"/>
    </xf>
    <xf numFmtId="179" fontId="33" fillId="39" borderId="13" xfId="1" applyNumberFormat="1" applyFont="1" applyFill="1" applyBorder="1" applyAlignment="1">
      <alignment horizontal="right" vertical="center"/>
    </xf>
    <xf numFmtId="0" fontId="175" fillId="0" borderId="85" xfId="0" applyFont="1" applyBorder="1" applyAlignment="1">
      <alignment horizontal="center" vertical="center" wrapText="1"/>
    </xf>
    <xf numFmtId="41" fontId="171" fillId="0" borderId="8" xfId="0" applyNumberFormat="1" applyFont="1" applyBorder="1" applyAlignment="1">
      <alignment horizontal="center" vertical="center" wrapText="1"/>
    </xf>
    <xf numFmtId="41" fontId="58" fillId="0" borderId="0" xfId="1" applyFont="1" applyBorder="1" applyAlignment="1">
      <alignment horizontal="center" vertical="center" wrapText="1"/>
    </xf>
    <xf numFmtId="0" fontId="28" fillId="17" borderId="139" xfId="0" applyFont="1" applyFill="1" applyBorder="1" applyAlignment="1">
      <alignment horizontal="center" vertical="center"/>
    </xf>
    <xf numFmtId="0" fontId="28" fillId="17" borderId="13" xfId="0" applyFont="1" applyFill="1" applyBorder="1" applyAlignment="1">
      <alignment horizontal="center" vertical="center"/>
    </xf>
    <xf numFmtId="41" fontId="33" fillId="7" borderId="18" xfId="0" applyNumberFormat="1" applyFont="1" applyFill="1" applyBorder="1">
      <alignment vertical="center"/>
    </xf>
    <xf numFmtId="0" fontId="28" fillId="17" borderId="128" xfId="0" applyFont="1" applyFill="1" applyBorder="1" applyAlignment="1">
      <alignment horizontal="centerContinuous" vertical="center"/>
    </xf>
    <xf numFmtId="0" fontId="28" fillId="17" borderId="23" xfId="0" applyFont="1" applyFill="1" applyBorder="1" applyAlignment="1">
      <alignment horizontal="centerContinuous" vertical="center"/>
    </xf>
    <xf numFmtId="0" fontId="28" fillId="17" borderId="344" xfId="28" applyFont="1" applyFill="1" applyBorder="1" applyAlignment="1">
      <alignment horizontal="center" vertical="center"/>
    </xf>
    <xf numFmtId="179" fontId="28" fillId="0" borderId="386" xfId="29" applyNumberFormat="1" applyFont="1" applyFill="1" applyBorder="1" applyAlignment="1">
      <alignment vertical="center"/>
    </xf>
    <xf numFmtId="41" fontId="28" fillId="0" borderId="386" xfId="1" applyFont="1" applyBorder="1" applyAlignment="1"/>
    <xf numFmtId="41" fontId="28" fillId="0" borderId="348" xfId="1" applyFont="1" applyFill="1" applyBorder="1" applyAlignment="1"/>
    <xf numFmtId="41" fontId="28" fillId="0" borderId="247" xfId="1" applyFont="1" applyBorder="1" applyAlignment="1"/>
    <xf numFmtId="179" fontId="28" fillId="0" borderId="386" xfId="29" applyNumberFormat="1" applyFont="1" applyBorder="1"/>
    <xf numFmtId="0" fontId="28" fillId="23" borderId="344" xfId="28" applyFont="1" applyFill="1" applyBorder="1" applyAlignment="1">
      <alignment horizontal="center"/>
    </xf>
    <xf numFmtId="41" fontId="28" fillId="0" borderId="344" xfId="28" applyNumberFormat="1" applyFont="1" applyBorder="1"/>
    <xf numFmtId="41" fontId="28" fillId="0" borderId="387" xfId="28" applyNumberFormat="1" applyFont="1" applyBorder="1"/>
    <xf numFmtId="0" fontId="28" fillId="17" borderId="12" xfId="0" applyFont="1" applyFill="1" applyBorder="1" applyAlignment="1">
      <alignment horizontal="centerContinuous" vertical="center"/>
    </xf>
    <xf numFmtId="0" fontId="28" fillId="17" borderId="0" xfId="0" applyFont="1" applyFill="1" applyBorder="1" applyAlignment="1">
      <alignment horizontal="centerContinuous" vertical="center"/>
    </xf>
    <xf numFmtId="181" fontId="28" fillId="0" borderId="0" xfId="1" applyNumberFormat="1" applyFont="1" applyFill="1">
      <alignment vertical="center"/>
    </xf>
    <xf numFmtId="10" fontId="28" fillId="0" borderId="0" xfId="2" applyNumberFormat="1" applyFont="1">
      <alignment vertical="center"/>
    </xf>
    <xf numFmtId="0" fontId="28" fillId="16" borderId="122" xfId="0" applyFont="1" applyFill="1" applyBorder="1" applyAlignment="1">
      <alignment horizontal="left" vertical="center"/>
    </xf>
    <xf numFmtId="0" fontId="28" fillId="16" borderId="122" xfId="0" applyFont="1" applyFill="1" applyBorder="1" applyAlignment="1">
      <alignment horizontal="right" vertical="center"/>
    </xf>
    <xf numFmtId="0" fontId="77" fillId="16" borderId="122" xfId="0" applyFont="1" applyFill="1" applyBorder="1" applyAlignment="1">
      <alignment horizontal="right" vertical="center"/>
    </xf>
    <xf numFmtId="181" fontId="28" fillId="7" borderId="49" xfId="1" applyNumberFormat="1" applyFont="1" applyFill="1" applyBorder="1" applyAlignment="1"/>
    <xf numFmtId="181" fontId="28" fillId="7" borderId="33" xfId="1" applyNumberFormat="1" applyFont="1" applyFill="1" applyBorder="1" applyAlignment="1"/>
    <xf numFmtId="181" fontId="28" fillId="7" borderId="39" xfId="1" applyNumberFormat="1" applyFont="1" applyFill="1" applyBorder="1" applyAlignment="1"/>
    <xf numFmtId="10" fontId="28" fillId="0" borderId="40" xfId="2" applyNumberFormat="1" applyFont="1" applyBorder="1" applyAlignment="1"/>
    <xf numFmtId="176" fontId="28" fillId="17" borderId="128" xfId="28" applyNumberFormat="1" applyFont="1" applyFill="1" applyBorder="1" applyAlignment="1">
      <alignment horizontal="center" vertical="center"/>
    </xf>
    <xf numFmtId="176" fontId="28" fillId="17" borderId="139" xfId="28" applyNumberFormat="1" applyFont="1" applyFill="1" applyBorder="1" applyAlignment="1">
      <alignment horizontal="center" vertical="center"/>
    </xf>
    <xf numFmtId="176" fontId="28" fillId="17" borderId="23" xfId="28" applyNumberFormat="1" applyFont="1" applyFill="1" applyBorder="1" applyAlignment="1">
      <alignment horizontal="center" vertical="center"/>
    </xf>
    <xf numFmtId="176" fontId="28" fillId="17" borderId="129" xfId="28" applyNumberFormat="1" applyFont="1" applyFill="1" applyBorder="1" applyAlignment="1">
      <alignment horizontal="center" vertical="center"/>
    </xf>
    <xf numFmtId="176" fontId="28" fillId="35" borderId="344" xfId="28" applyNumberFormat="1" applyFont="1" applyFill="1" applyBorder="1" applyAlignment="1">
      <alignment horizontal="center" vertical="center"/>
    </xf>
    <xf numFmtId="176" fontId="28" fillId="17" borderId="344" xfId="28" applyNumberFormat="1" applyFont="1" applyFill="1" applyBorder="1" applyAlignment="1">
      <alignment horizontal="center" vertical="center"/>
    </xf>
    <xf numFmtId="0" fontId="28" fillId="22" borderId="122" xfId="28" applyFont="1" applyFill="1" applyBorder="1" applyAlignment="1">
      <alignment horizontal="center" vertical="center"/>
    </xf>
    <xf numFmtId="176" fontId="28" fillId="22" borderId="344" xfId="28" applyNumberFormat="1" applyFont="1" applyFill="1" applyBorder="1" applyAlignment="1">
      <alignment horizontal="center" vertical="center"/>
    </xf>
    <xf numFmtId="10" fontId="28" fillId="22" borderId="13" xfId="32" applyNumberFormat="1" applyFont="1" applyFill="1" applyBorder="1"/>
    <xf numFmtId="41" fontId="28" fillId="22" borderId="13" xfId="1" applyFont="1" applyFill="1" applyBorder="1" applyAlignment="1"/>
    <xf numFmtId="181" fontId="28" fillId="22" borderId="13" xfId="1" applyNumberFormat="1" applyFont="1" applyFill="1" applyBorder="1" applyAlignment="1"/>
    <xf numFmtId="41" fontId="28" fillId="22" borderId="134" xfId="1" applyFont="1" applyFill="1" applyBorder="1" applyAlignment="1"/>
    <xf numFmtId="202" fontId="47" fillId="3" borderId="344" xfId="1" applyNumberFormat="1" applyFont="1" applyFill="1" applyBorder="1" applyAlignment="1"/>
    <xf numFmtId="0" fontId="28" fillId="0" borderId="344" xfId="28" applyFont="1" applyBorder="1"/>
    <xf numFmtId="202" fontId="47" fillId="0" borderId="0" xfId="1" applyNumberFormat="1" applyFont="1" applyFill="1" applyBorder="1" applyAlignment="1"/>
    <xf numFmtId="202" fontId="47" fillId="0" borderId="0" xfId="1" applyNumberFormat="1" applyFont="1" applyFill="1" applyAlignment="1"/>
    <xf numFmtId="0" fontId="28" fillId="0" borderId="0" xfId="28" applyFont="1" applyFill="1"/>
    <xf numFmtId="41" fontId="28" fillId="22" borderId="13" xfId="29" applyFont="1" applyFill="1" applyBorder="1"/>
    <xf numFmtId="0" fontId="28" fillId="22" borderId="13" xfId="28" applyFont="1" applyFill="1" applyBorder="1"/>
    <xf numFmtId="200" fontId="28" fillId="22" borderId="13" xfId="29" applyNumberFormat="1" applyFont="1" applyFill="1" applyBorder="1"/>
    <xf numFmtId="236" fontId="28" fillId="22" borderId="13" xfId="28" applyNumberFormat="1" applyFont="1" applyFill="1" applyBorder="1"/>
    <xf numFmtId="0" fontId="28" fillId="22" borderId="134" xfId="28" applyFont="1" applyFill="1" applyBorder="1"/>
    <xf numFmtId="179" fontId="28" fillId="22" borderId="134" xfId="29" applyNumberFormat="1" applyFont="1" applyFill="1" applyBorder="1"/>
    <xf numFmtId="181" fontId="28" fillId="22" borderId="134" xfId="29" applyNumberFormat="1" applyFont="1" applyFill="1" applyBorder="1"/>
    <xf numFmtId="181" fontId="28" fillId="0" borderId="13" xfId="1" applyNumberFormat="1" applyFont="1" applyFill="1" applyBorder="1" applyAlignment="1"/>
    <xf numFmtId="41" fontId="28" fillId="0" borderId="134" xfId="1" applyFont="1" applyFill="1" applyBorder="1" applyAlignment="1"/>
    <xf numFmtId="0" fontId="28" fillId="0" borderId="40" xfId="28" applyFont="1" applyFill="1" applyBorder="1"/>
    <xf numFmtId="0" fontId="28" fillId="23" borderId="345" xfId="28" applyFont="1" applyFill="1" applyBorder="1"/>
    <xf numFmtId="0" fontId="28" fillId="23" borderId="247" xfId="28" applyFont="1" applyFill="1" applyBorder="1"/>
    <xf numFmtId="176" fontId="28" fillId="35" borderId="344" xfId="28" applyNumberFormat="1" applyFont="1" applyFill="1" applyBorder="1" applyAlignment="1">
      <alignment horizontal="center"/>
    </xf>
    <xf numFmtId="176" fontId="28" fillId="23" borderId="344" xfId="28" applyNumberFormat="1" applyFont="1" applyFill="1" applyBorder="1" applyAlignment="1">
      <alignment horizontal="center"/>
    </xf>
    <xf numFmtId="0" fontId="28" fillId="22" borderId="122" xfId="28" applyFont="1" applyFill="1" applyBorder="1" applyAlignment="1">
      <alignment horizontal="center"/>
    </xf>
    <xf numFmtId="176" fontId="28" fillId="22" borderId="344" xfId="28" applyNumberFormat="1" applyFont="1" applyFill="1" applyBorder="1" applyAlignment="1">
      <alignment horizontal="center"/>
    </xf>
    <xf numFmtId="41" fontId="28" fillId="22" borderId="122" xfId="28" applyNumberFormat="1" applyFont="1" applyFill="1" applyBorder="1"/>
    <xf numFmtId="41" fontId="28" fillId="22" borderId="27" xfId="28" applyNumberFormat="1" applyFont="1" applyFill="1" applyBorder="1"/>
    <xf numFmtId="41" fontId="28" fillId="22" borderId="43" xfId="28" applyNumberFormat="1" applyFont="1" applyFill="1" applyBorder="1"/>
    <xf numFmtId="41" fontId="28" fillId="22" borderId="98" xfId="28" applyNumberFormat="1" applyFont="1" applyFill="1" applyBorder="1"/>
    <xf numFmtId="41" fontId="28" fillId="22" borderId="13" xfId="28" applyNumberFormat="1" applyFont="1" applyFill="1" applyBorder="1"/>
    <xf numFmtId="185" fontId="28" fillId="22" borderId="98" xfId="2" applyNumberFormat="1" applyFont="1" applyFill="1" applyBorder="1" applyAlignment="1"/>
    <xf numFmtId="41" fontId="28" fillId="22" borderId="0" xfId="28" applyNumberFormat="1" applyFont="1" applyFill="1"/>
    <xf numFmtId="41" fontId="28" fillId="8" borderId="98" xfId="28" applyNumberFormat="1" applyFont="1" applyFill="1" applyBorder="1"/>
    <xf numFmtId="41" fontId="28" fillId="8" borderId="13" xfId="28" applyNumberFormat="1" applyFont="1" applyFill="1" applyBorder="1"/>
    <xf numFmtId="185" fontId="28" fillId="0" borderId="0" xfId="28" applyNumberFormat="1" applyFont="1"/>
    <xf numFmtId="185" fontId="28" fillId="0" borderId="87" xfId="28" applyNumberFormat="1" applyFont="1" applyBorder="1"/>
    <xf numFmtId="185" fontId="28" fillId="0" borderId="88" xfId="28" applyNumberFormat="1" applyFont="1" applyBorder="1"/>
    <xf numFmtId="185" fontId="28" fillId="0" borderId="0" xfId="28" applyNumberFormat="1" applyFont="1" applyBorder="1"/>
    <xf numFmtId="185" fontId="28" fillId="35" borderId="0" xfId="28" applyNumberFormat="1" applyFont="1" applyFill="1" applyBorder="1"/>
    <xf numFmtId="185" fontId="28" fillId="35" borderId="0" xfId="28" applyNumberFormat="1" applyFont="1" applyFill="1"/>
    <xf numFmtId="185" fontId="28" fillId="22" borderId="98" xfId="28" applyNumberFormat="1" applyFont="1" applyFill="1" applyBorder="1"/>
    <xf numFmtId="0" fontId="172" fillId="55" borderId="3" xfId="0" applyFont="1" applyFill="1" applyBorder="1" applyAlignment="1">
      <alignment horizontal="center" vertical="center" wrapText="1"/>
    </xf>
    <xf numFmtId="0" fontId="172" fillId="55" borderId="5" xfId="0" applyFont="1" applyFill="1" applyBorder="1" applyAlignment="1">
      <alignment horizontal="center" vertical="center" wrapText="1"/>
    </xf>
    <xf numFmtId="0" fontId="0" fillId="55" borderId="8" xfId="0" applyFill="1" applyBorder="1" applyAlignment="1">
      <alignment vertical="center" wrapText="1"/>
    </xf>
    <xf numFmtId="0" fontId="172" fillId="55" borderId="8" xfId="0" applyFont="1" applyFill="1" applyBorder="1" applyAlignment="1">
      <alignment horizontal="center" vertical="center" wrapText="1"/>
    </xf>
    <xf numFmtId="14" fontId="171" fillId="0" borderId="203" xfId="0" applyNumberFormat="1" applyFont="1" applyBorder="1" applyAlignment="1">
      <alignment horizontal="center" vertical="center" wrapText="1"/>
    </xf>
    <xf numFmtId="225" fontId="171" fillId="0" borderId="8" xfId="0" applyNumberFormat="1" applyFont="1" applyBorder="1" applyAlignment="1">
      <alignment horizontal="center" vertical="center" wrapText="1"/>
    </xf>
    <xf numFmtId="225" fontId="172" fillId="0" borderId="8" xfId="0" applyNumberFormat="1" applyFont="1" applyBorder="1" applyAlignment="1">
      <alignment horizontal="center" vertical="center" wrapText="1"/>
    </xf>
    <xf numFmtId="9" fontId="171" fillId="0" borderId="8" xfId="2" applyFont="1" applyBorder="1" applyAlignment="1">
      <alignment horizontal="center" vertical="center" wrapText="1"/>
    </xf>
    <xf numFmtId="10" fontId="28" fillId="0" borderId="42" xfId="2" applyNumberFormat="1" applyFont="1" applyBorder="1" applyAlignment="1"/>
    <xf numFmtId="43" fontId="28" fillId="12" borderId="0" xfId="28" applyNumberFormat="1" applyFont="1" applyFill="1"/>
    <xf numFmtId="43" fontId="28" fillId="0" borderId="42" xfId="28" applyNumberFormat="1" applyFont="1" applyBorder="1"/>
    <xf numFmtId="41" fontId="27" fillId="0" borderId="0" xfId="1" applyFont="1" applyAlignment="1">
      <alignment vertical="center"/>
    </xf>
    <xf numFmtId="252" fontId="27" fillId="0" borderId="0" xfId="1" applyNumberFormat="1" applyFont="1" applyAlignment="1">
      <alignment vertical="center"/>
    </xf>
    <xf numFmtId="181" fontId="28" fillId="8" borderId="0" xfId="1" applyNumberFormat="1" applyFont="1" applyFill="1">
      <alignment vertical="center"/>
    </xf>
    <xf numFmtId="179" fontId="28" fillId="8" borderId="0" xfId="1" applyNumberFormat="1" applyFont="1" applyFill="1">
      <alignment vertical="center"/>
    </xf>
    <xf numFmtId="10" fontId="40" fillId="0" borderId="41" xfId="0" applyNumberFormat="1" applyFont="1" applyBorder="1">
      <alignment vertical="center"/>
    </xf>
    <xf numFmtId="10" fontId="33" fillId="0" borderId="42" xfId="2" applyNumberFormat="1" applyFont="1" applyFill="1" applyBorder="1" applyAlignment="1">
      <alignment horizontal="right" vertical="center"/>
    </xf>
    <xf numFmtId="41" fontId="35" fillId="8" borderId="43" xfId="1" applyFont="1" applyFill="1" applyBorder="1" applyAlignment="1">
      <alignment horizontal="right" vertical="center"/>
    </xf>
    <xf numFmtId="10" fontId="58" fillId="0" borderId="0" xfId="2" applyNumberFormat="1" applyFont="1" applyBorder="1" applyAlignment="1">
      <alignment horizontal="center" vertical="center"/>
    </xf>
    <xf numFmtId="41" fontId="28" fillId="0" borderId="138" xfId="1" applyFont="1" applyFill="1" applyBorder="1" applyAlignment="1">
      <alignment vertical="center" shrinkToFit="1"/>
    </xf>
    <xf numFmtId="41" fontId="28" fillId="0" borderId="137" xfId="1" applyFont="1" applyFill="1" applyBorder="1" applyAlignment="1">
      <alignment vertical="center" shrinkToFit="1"/>
    </xf>
    <xf numFmtId="41" fontId="28" fillId="0" borderId="55" xfId="1" applyFont="1" applyFill="1" applyBorder="1" applyAlignment="1">
      <alignment vertical="center" shrinkToFit="1"/>
    </xf>
    <xf numFmtId="41" fontId="47" fillId="56" borderId="95" xfId="1" applyFont="1" applyFill="1" applyBorder="1" applyAlignment="1">
      <alignment vertical="center" shrinkToFit="1"/>
    </xf>
    <xf numFmtId="41" fontId="47" fillId="56" borderId="51" xfId="1" applyFont="1" applyFill="1" applyBorder="1" applyAlignment="1">
      <alignment vertical="center" shrinkToFit="1"/>
    </xf>
    <xf numFmtId="41" fontId="47" fillId="56" borderId="96" xfId="1" applyFont="1" applyFill="1" applyBorder="1" applyAlignment="1">
      <alignment vertical="center" shrinkToFit="1"/>
    </xf>
    <xf numFmtId="41" fontId="28" fillId="56" borderId="57" xfId="1" applyFont="1" applyFill="1" applyBorder="1">
      <alignment vertical="center"/>
    </xf>
    <xf numFmtId="41" fontId="28" fillId="56" borderId="56" xfId="1" applyFont="1" applyFill="1" applyBorder="1">
      <alignment vertical="center"/>
    </xf>
    <xf numFmtId="41" fontId="28" fillId="56" borderId="133" xfId="1" applyFont="1" applyFill="1" applyBorder="1">
      <alignment vertical="center"/>
    </xf>
    <xf numFmtId="227" fontId="28" fillId="56" borderId="190" xfId="0" applyNumberFormat="1" applyFont="1" applyFill="1" applyBorder="1">
      <alignment vertical="center"/>
    </xf>
    <xf numFmtId="227" fontId="28" fillId="56" borderId="191" xfId="0" applyNumberFormat="1" applyFont="1" applyFill="1" applyBorder="1">
      <alignment vertical="center"/>
    </xf>
    <xf numFmtId="227" fontId="28" fillId="56" borderId="192" xfId="0" applyNumberFormat="1" applyFont="1" applyFill="1" applyBorder="1">
      <alignment vertical="center"/>
    </xf>
    <xf numFmtId="227" fontId="51" fillId="56" borderId="190" xfId="0" applyNumberFormat="1" applyFont="1" applyFill="1" applyBorder="1">
      <alignment vertical="center"/>
    </xf>
    <xf numFmtId="227" fontId="51" fillId="56" borderId="191" xfId="0" applyNumberFormat="1" applyFont="1" applyFill="1" applyBorder="1">
      <alignment vertical="center"/>
    </xf>
    <xf numFmtId="227" fontId="51" fillId="56" borderId="192" xfId="0" applyNumberFormat="1" applyFont="1" applyFill="1" applyBorder="1">
      <alignment vertical="center"/>
    </xf>
    <xf numFmtId="227" fontId="28" fillId="0" borderId="18" xfId="0" applyNumberFormat="1" applyFont="1" applyFill="1" applyBorder="1">
      <alignment vertical="center"/>
    </xf>
    <xf numFmtId="227" fontId="28" fillId="0" borderId="50" xfId="0" applyNumberFormat="1" applyFont="1" applyFill="1" applyBorder="1">
      <alignment vertical="center"/>
    </xf>
    <xf numFmtId="227" fontId="28" fillId="0" borderId="37" xfId="0" applyNumberFormat="1" applyFont="1" applyFill="1" applyBorder="1">
      <alignment vertical="center"/>
    </xf>
    <xf numFmtId="227" fontId="110" fillId="0" borderId="36" xfId="0" applyNumberFormat="1" applyFont="1" applyFill="1" applyBorder="1">
      <alignment vertical="center"/>
    </xf>
    <xf numFmtId="227" fontId="28" fillId="0" borderId="38" xfId="0" applyNumberFormat="1" applyFont="1" applyFill="1" applyBorder="1">
      <alignment vertical="center"/>
    </xf>
    <xf numFmtId="227" fontId="28" fillId="0" borderId="0" xfId="0" applyNumberFormat="1" applyFont="1" applyFill="1">
      <alignment vertical="center"/>
    </xf>
    <xf numFmtId="227" fontId="28" fillId="0" borderId="12" xfId="0" applyNumberFormat="1" applyFont="1" applyFill="1" applyBorder="1">
      <alignment vertical="center"/>
    </xf>
    <xf numFmtId="0" fontId="20" fillId="45" borderId="32" xfId="0" applyFont="1" applyFill="1" applyBorder="1" applyAlignment="1">
      <alignment horizontal="center" vertical="center"/>
    </xf>
    <xf numFmtId="0" fontId="20" fillId="45" borderId="36" xfId="0" applyFont="1" applyFill="1" applyBorder="1" applyAlignment="1">
      <alignment horizontal="center" vertical="center"/>
    </xf>
    <xf numFmtId="185" fontId="51" fillId="0" borderId="388" xfId="2" applyNumberFormat="1" applyFont="1" applyFill="1" applyBorder="1">
      <alignment vertical="center"/>
    </xf>
    <xf numFmtId="41" fontId="51" fillId="8" borderId="137" xfId="1" applyFont="1" applyFill="1" applyBorder="1" applyAlignment="1">
      <alignment vertical="center" shrinkToFit="1"/>
    </xf>
    <xf numFmtId="41" fontId="51" fillId="8" borderId="55" xfId="1" applyFont="1" applyFill="1" applyBorder="1" applyAlignment="1">
      <alignment vertical="center" shrinkToFit="1"/>
    </xf>
    <xf numFmtId="41" fontId="51" fillId="8" borderId="138" xfId="1" applyFont="1" applyFill="1" applyBorder="1" applyAlignment="1">
      <alignment vertical="center" shrinkToFit="1"/>
    </xf>
    <xf numFmtId="185" fontId="51" fillId="0" borderId="198" xfId="2" applyNumberFormat="1" applyFont="1" applyFill="1" applyBorder="1">
      <alignment vertical="center"/>
    </xf>
    <xf numFmtId="41" fontId="28" fillId="8" borderId="57" xfId="1" applyFont="1" applyFill="1" applyBorder="1" applyAlignment="1">
      <alignment vertical="center" shrinkToFit="1"/>
    </xf>
    <xf numFmtId="41" fontId="28" fillId="8" borderId="56" xfId="1" applyFont="1" applyFill="1" applyBorder="1" applyAlignment="1">
      <alignment vertical="center" shrinkToFit="1"/>
    </xf>
    <xf numFmtId="41" fontId="28" fillId="8" borderId="133" xfId="1" applyFont="1" applyFill="1" applyBorder="1" applyAlignment="1">
      <alignment vertical="center" shrinkToFit="1"/>
    </xf>
    <xf numFmtId="185" fontId="51" fillId="0" borderId="23" xfId="2" applyNumberFormat="1" applyFont="1" applyFill="1" applyBorder="1">
      <alignment vertical="center"/>
    </xf>
    <xf numFmtId="41" fontId="28" fillId="0" borderId="130" xfId="1" applyFont="1" applyFill="1" applyBorder="1" applyAlignment="1">
      <alignment vertical="center" shrinkToFit="1"/>
    </xf>
    <xf numFmtId="41" fontId="28" fillId="0" borderId="131" xfId="1" applyFont="1" applyFill="1" applyBorder="1" applyAlignment="1">
      <alignment vertical="center" shrinkToFit="1"/>
    </xf>
    <xf numFmtId="41" fontId="28" fillId="0" borderId="132" xfId="1" applyFont="1" applyFill="1" applyBorder="1" applyAlignment="1">
      <alignment vertical="center" shrinkToFit="1"/>
    </xf>
    <xf numFmtId="227" fontId="28" fillId="0" borderId="123" xfId="0" applyNumberFormat="1" applyFont="1" applyBorder="1" applyAlignment="1">
      <alignment horizontal="right" vertical="center"/>
    </xf>
    <xf numFmtId="188" fontId="28" fillId="0" borderId="0" xfId="0" applyNumberFormat="1" applyFont="1" applyBorder="1" applyAlignment="1">
      <alignment horizontal="center" vertical="center"/>
    </xf>
    <xf numFmtId="0" fontId="27" fillId="0" borderId="0" xfId="0" applyFont="1" applyFill="1">
      <alignment vertical="center"/>
    </xf>
    <xf numFmtId="227" fontId="27" fillId="0" borderId="0" xfId="0" applyNumberFormat="1" applyFont="1" applyFill="1">
      <alignment vertical="center"/>
    </xf>
    <xf numFmtId="227" fontId="27" fillId="0" borderId="0" xfId="0" applyNumberFormat="1" applyFont="1" applyFill="1" applyBorder="1">
      <alignment vertical="center"/>
    </xf>
    <xf numFmtId="227" fontId="28" fillId="0" borderId="190" xfId="0" applyNumberFormat="1" applyFont="1" applyFill="1" applyBorder="1">
      <alignment vertical="center"/>
    </xf>
    <xf numFmtId="227" fontId="28" fillId="0" borderId="191" xfId="0" applyNumberFormat="1" applyFont="1" applyFill="1" applyBorder="1">
      <alignment vertical="center"/>
    </xf>
    <xf numFmtId="227" fontId="28" fillId="0" borderId="192" xfId="0" applyNumberFormat="1" applyFont="1" applyFill="1" applyBorder="1">
      <alignment vertical="center"/>
    </xf>
    <xf numFmtId="227" fontId="28" fillId="0" borderId="0" xfId="0" applyNumberFormat="1" applyFont="1" applyBorder="1">
      <alignment vertical="center"/>
    </xf>
    <xf numFmtId="185" fontId="51" fillId="0" borderId="247" xfId="2" applyNumberFormat="1" applyFont="1" applyFill="1" applyBorder="1">
      <alignment vertical="center"/>
    </xf>
    <xf numFmtId="41" fontId="28" fillId="0" borderId="247" xfId="1" applyFont="1" applyBorder="1" applyAlignment="1">
      <alignment vertical="center" shrinkToFit="1"/>
    </xf>
    <xf numFmtId="41" fontId="28" fillId="0" borderId="349" xfId="1" applyFont="1" applyBorder="1" applyAlignment="1">
      <alignment vertical="center" shrinkToFit="1"/>
    </xf>
    <xf numFmtId="41" fontId="28" fillId="0" borderId="350" xfId="1" applyFont="1" applyBorder="1" applyAlignment="1">
      <alignment vertical="center" shrinkToFit="1"/>
    </xf>
    <xf numFmtId="41" fontId="28" fillId="0" borderId="348" xfId="1" applyFont="1" applyBorder="1" applyAlignment="1">
      <alignment vertical="center" shrinkToFit="1"/>
    </xf>
    <xf numFmtId="245" fontId="58" fillId="0" borderId="8" xfId="0" applyNumberFormat="1" applyFont="1" applyBorder="1" applyAlignment="1">
      <alignment horizontal="center" vertical="center" wrapText="1"/>
    </xf>
    <xf numFmtId="0" fontId="176" fillId="0" borderId="0" xfId="0" applyFont="1" applyFill="1" applyBorder="1" applyAlignment="1">
      <alignment horizontal="center" vertical="center" wrapText="1"/>
    </xf>
    <xf numFmtId="41" fontId="14" fillId="0" borderId="363" xfId="4" applyFont="1" applyFill="1" applyBorder="1">
      <alignment vertical="center"/>
    </xf>
    <xf numFmtId="10" fontId="20" fillId="0" borderId="363" xfId="4" applyNumberFormat="1" applyFont="1" applyFill="1" applyBorder="1">
      <alignment vertical="center"/>
    </xf>
    <xf numFmtId="41" fontId="14" fillId="0" borderId="363" xfId="4" applyFont="1" applyBorder="1">
      <alignment vertical="center"/>
    </xf>
    <xf numFmtId="41" fontId="14" fillId="52" borderId="363" xfId="4" applyFont="1" applyFill="1" applyBorder="1">
      <alignment vertical="center"/>
    </xf>
    <xf numFmtId="179" fontId="15" fillId="0" borderId="0" xfId="1" applyNumberFormat="1" applyFont="1" applyBorder="1">
      <alignment vertical="center"/>
    </xf>
    <xf numFmtId="9" fontId="14" fillId="0" borderId="344" xfId="0" applyNumberFormat="1" applyFont="1" applyBorder="1" applyAlignment="1">
      <alignment horizontal="left" indent="1"/>
    </xf>
    <xf numFmtId="41" fontId="15" fillId="0" borderId="0" xfId="6" applyNumberFormat="1" applyFont="1">
      <alignment vertical="center"/>
    </xf>
    <xf numFmtId="0" fontId="33" fillId="57" borderId="31" xfId="0" applyFont="1" applyFill="1" applyBorder="1">
      <alignment vertical="center"/>
    </xf>
    <xf numFmtId="0" fontId="33" fillId="57" borderId="39" xfId="0" applyFont="1" applyFill="1" applyBorder="1">
      <alignment vertical="center"/>
    </xf>
    <xf numFmtId="41" fontId="34" fillId="57" borderId="33" xfId="1" applyFont="1" applyFill="1" applyBorder="1" applyAlignment="1">
      <alignment horizontal="right" vertical="center"/>
    </xf>
    <xf numFmtId="41" fontId="33" fillId="57" borderId="13" xfId="1" applyFont="1" applyFill="1" applyBorder="1" applyAlignment="1">
      <alignment horizontal="right" vertical="center"/>
    </xf>
    <xf numFmtId="41" fontId="33" fillId="57" borderId="33" xfId="1" applyFont="1" applyFill="1" applyBorder="1" applyAlignment="1">
      <alignment horizontal="right" vertical="center"/>
    </xf>
    <xf numFmtId="0" fontId="33" fillId="57" borderId="34" xfId="0" applyFont="1" applyFill="1" applyBorder="1">
      <alignment vertical="center"/>
    </xf>
    <xf numFmtId="0" fontId="33" fillId="57" borderId="0" xfId="0" applyFont="1" applyFill="1" applyBorder="1">
      <alignment vertical="center"/>
    </xf>
    <xf numFmtId="41" fontId="34" fillId="57" borderId="13" xfId="1" applyNumberFormat="1" applyFont="1" applyFill="1" applyBorder="1" applyAlignment="1">
      <alignment horizontal="right" vertical="center"/>
    </xf>
    <xf numFmtId="187" fontId="33" fillId="57" borderId="0" xfId="0" applyNumberFormat="1" applyFont="1" applyFill="1" applyBorder="1" applyAlignment="1">
      <alignment horizontal="right" vertical="center"/>
    </xf>
    <xf numFmtId="0" fontId="33" fillId="57" borderId="32" xfId="0" applyFont="1" applyFill="1" applyBorder="1">
      <alignment vertical="center"/>
    </xf>
    <xf numFmtId="10" fontId="34" fillId="57" borderId="32" xfId="1" applyNumberFormat="1" applyFont="1" applyFill="1" applyBorder="1" applyAlignment="1">
      <alignment horizontal="right" vertical="center"/>
    </xf>
    <xf numFmtId="187" fontId="33" fillId="57" borderId="0" xfId="0" applyNumberFormat="1" applyFont="1" applyFill="1" applyAlignment="1">
      <alignment horizontal="right" vertical="center"/>
    </xf>
    <xf numFmtId="10" fontId="33" fillId="57" borderId="33" xfId="2" applyNumberFormat="1" applyFont="1" applyFill="1" applyBorder="1" applyAlignment="1">
      <alignment horizontal="right" vertical="center"/>
    </xf>
    <xf numFmtId="0" fontId="33" fillId="57" borderId="18" xfId="0" applyFont="1" applyFill="1" applyBorder="1">
      <alignment vertical="center"/>
    </xf>
    <xf numFmtId="10" fontId="34" fillId="57" borderId="18" xfId="1" applyNumberFormat="1" applyFont="1" applyFill="1" applyBorder="1" applyAlignment="1">
      <alignment horizontal="right" vertical="center"/>
    </xf>
    <xf numFmtId="10" fontId="33" fillId="57" borderId="13" xfId="2" applyNumberFormat="1" applyFont="1" applyFill="1" applyBorder="1" applyAlignment="1">
      <alignment horizontal="right" vertical="center"/>
    </xf>
    <xf numFmtId="0" fontId="33" fillId="57" borderId="35" xfId="0" applyFont="1" applyFill="1" applyBorder="1">
      <alignment vertical="center"/>
    </xf>
    <xf numFmtId="0" fontId="33" fillId="57" borderId="36" xfId="0" applyFont="1" applyFill="1" applyBorder="1">
      <alignment vertical="center"/>
    </xf>
    <xf numFmtId="10" fontId="34" fillId="57" borderId="36" xfId="2" applyNumberFormat="1" applyFont="1" applyFill="1" applyBorder="1" applyAlignment="1">
      <alignment horizontal="right" vertical="center"/>
    </xf>
    <xf numFmtId="10" fontId="33" fillId="57" borderId="0" xfId="2" applyNumberFormat="1" applyFont="1" applyFill="1" applyBorder="1" applyAlignment="1">
      <alignment horizontal="right" vertical="center"/>
    </xf>
    <xf numFmtId="10" fontId="33" fillId="57" borderId="38" xfId="2" applyNumberFormat="1" applyFont="1" applyFill="1" applyBorder="1" applyAlignment="1">
      <alignment horizontal="right" vertical="center"/>
    </xf>
    <xf numFmtId="41" fontId="14" fillId="0" borderId="9" xfId="4" applyNumberFormat="1" applyFont="1" applyBorder="1">
      <alignment vertical="center"/>
    </xf>
    <xf numFmtId="41" fontId="14" fillId="0" borderId="134" xfId="4" applyNumberFormat="1" applyFont="1" applyBorder="1">
      <alignment vertical="center"/>
    </xf>
    <xf numFmtId="41" fontId="14" fillId="0" borderId="344" xfId="4" applyNumberFormat="1" applyFont="1" applyBorder="1">
      <alignment vertical="center"/>
    </xf>
    <xf numFmtId="41" fontId="24" fillId="0" borderId="0" xfId="6" applyNumberFormat="1" applyFont="1">
      <alignment vertical="center"/>
    </xf>
    <xf numFmtId="41" fontId="29" fillId="0" borderId="0" xfId="6" applyNumberFormat="1" applyFont="1">
      <alignment vertical="center"/>
    </xf>
    <xf numFmtId="41" fontId="24" fillId="0" borderId="0" xfId="1" applyFont="1">
      <alignment vertical="center"/>
    </xf>
    <xf numFmtId="181" fontId="24" fillId="0" borderId="0" xfId="1" applyNumberFormat="1" applyFont="1">
      <alignment vertical="center"/>
    </xf>
    <xf numFmtId="181" fontId="24" fillId="0" borderId="0" xfId="6" applyNumberFormat="1" applyFont="1">
      <alignment vertical="center"/>
    </xf>
    <xf numFmtId="206" fontId="24" fillId="0" borderId="0" xfId="6" applyNumberFormat="1" applyFont="1">
      <alignment vertical="center"/>
    </xf>
    <xf numFmtId="181" fontId="15" fillId="0" borderId="13" xfId="1" applyNumberFormat="1" applyFont="1" applyBorder="1">
      <alignment vertical="center"/>
    </xf>
    <xf numFmtId="10" fontId="24" fillId="0" borderId="0" xfId="6" applyNumberFormat="1" applyFont="1">
      <alignment vertical="center"/>
    </xf>
    <xf numFmtId="179" fontId="15" fillId="0" borderId="344" xfId="1" applyNumberFormat="1" applyFont="1" applyBorder="1">
      <alignment vertical="center"/>
    </xf>
    <xf numFmtId="10" fontId="22" fillId="8" borderId="0" xfId="2" applyNumberFormat="1" applyFont="1" applyFill="1">
      <alignment vertical="center"/>
    </xf>
    <xf numFmtId="10" fontId="24" fillId="8" borderId="0" xfId="2" applyNumberFormat="1" applyFont="1" applyFill="1">
      <alignment vertical="center"/>
    </xf>
    <xf numFmtId="0" fontId="175" fillId="0" borderId="85" xfId="0" applyFont="1" applyBorder="1" applyAlignment="1">
      <alignment horizontal="justify" vertical="center" wrapText="1"/>
    </xf>
    <xf numFmtId="0" fontId="175" fillId="0" borderId="202" xfId="0" applyFont="1" applyBorder="1" applyAlignment="1">
      <alignment horizontal="center" vertical="center" wrapText="1"/>
    </xf>
    <xf numFmtId="10" fontId="58" fillId="0" borderId="0" xfId="0" applyNumberFormat="1" applyFont="1" applyAlignment="1">
      <alignment horizontal="center" vertical="center"/>
    </xf>
    <xf numFmtId="10" fontId="58" fillId="0" borderId="0" xfId="2" applyNumberFormat="1" applyFont="1" applyAlignment="1">
      <alignment horizontal="center" vertical="center"/>
    </xf>
    <xf numFmtId="0" fontId="193" fillId="53" borderId="393" xfId="0" applyFont="1" applyFill="1" applyBorder="1" applyAlignment="1">
      <alignment horizontal="center" vertical="center" wrapText="1" readingOrder="1"/>
    </xf>
    <xf numFmtId="0" fontId="193" fillId="53" borderId="392" xfId="0" applyFont="1" applyFill="1" applyBorder="1" applyAlignment="1">
      <alignment horizontal="center" vertical="center" wrapText="1" readingOrder="1"/>
    </xf>
    <xf numFmtId="0" fontId="193" fillId="53" borderId="395" xfId="0" applyFont="1" applyFill="1" applyBorder="1" applyAlignment="1">
      <alignment horizontal="center" vertical="center" wrapText="1" readingOrder="1"/>
    </xf>
    <xf numFmtId="0" fontId="193" fillId="53" borderId="394" xfId="0" applyFont="1" applyFill="1" applyBorder="1" applyAlignment="1">
      <alignment horizontal="center" vertical="center" wrapText="1" readingOrder="1"/>
    </xf>
    <xf numFmtId="0" fontId="194" fillId="50" borderId="383" xfId="0" applyFont="1" applyFill="1" applyBorder="1" applyAlignment="1">
      <alignment horizontal="center" vertical="center" wrapText="1" readingOrder="1"/>
    </xf>
    <xf numFmtId="3" fontId="194" fillId="54" borderId="396" xfId="0" applyNumberFormat="1" applyFont="1" applyFill="1" applyBorder="1" applyAlignment="1">
      <alignment horizontal="center" wrapText="1" readingOrder="1"/>
    </xf>
    <xf numFmtId="0" fontId="195" fillId="50" borderId="383" xfId="0" applyFont="1" applyFill="1" applyBorder="1" applyAlignment="1">
      <alignment horizontal="center" vertical="center" wrapText="1" readingOrder="1"/>
    </xf>
    <xf numFmtId="3" fontId="195" fillId="54" borderId="396" xfId="0" applyNumberFormat="1" applyFont="1" applyFill="1" applyBorder="1" applyAlignment="1">
      <alignment horizontal="center" wrapText="1" readingOrder="1"/>
    </xf>
    <xf numFmtId="3" fontId="195" fillId="54" borderId="397" xfId="0" applyNumberFormat="1" applyFont="1" applyFill="1" applyBorder="1" applyAlignment="1">
      <alignment horizontal="center" wrapText="1" readingOrder="1"/>
    </xf>
    <xf numFmtId="0" fontId="195" fillId="50" borderId="398" xfId="0" applyFont="1" applyFill="1" applyBorder="1" applyAlignment="1">
      <alignment horizontal="center" vertical="center" wrapText="1" readingOrder="1"/>
    </xf>
    <xf numFmtId="3" fontId="195" fillId="54" borderId="399" xfId="0" applyNumberFormat="1" applyFont="1" applyFill="1" applyBorder="1" applyAlignment="1">
      <alignment horizontal="center" wrapText="1" readingOrder="1"/>
    </xf>
    <xf numFmtId="3" fontId="195" fillId="54" borderId="400" xfId="0" applyNumberFormat="1" applyFont="1" applyFill="1" applyBorder="1" applyAlignment="1">
      <alignment horizontal="center" wrapText="1" readingOrder="1"/>
    </xf>
    <xf numFmtId="0" fontId="195" fillId="54" borderId="399" xfId="0" applyFont="1" applyFill="1" applyBorder="1" applyAlignment="1">
      <alignment horizontal="center" wrapText="1" readingOrder="1"/>
    </xf>
    <xf numFmtId="0" fontId="195" fillId="54" borderId="400" xfId="0" applyFont="1" applyFill="1" applyBorder="1" applyAlignment="1">
      <alignment horizontal="center" wrapText="1" readingOrder="1"/>
    </xf>
    <xf numFmtId="0" fontId="172" fillId="0" borderId="396" xfId="0" applyFont="1" applyBorder="1" applyAlignment="1">
      <alignment horizontal="center" vertical="center" wrapText="1" readingOrder="1"/>
    </xf>
    <xf numFmtId="3" fontId="172" fillId="0" borderId="396" xfId="0" applyNumberFormat="1" applyFont="1" applyBorder="1" applyAlignment="1">
      <alignment horizontal="center" vertical="center" wrapText="1" readingOrder="1"/>
    </xf>
    <xf numFmtId="0" fontId="196" fillId="50" borderId="383" xfId="0" applyFont="1" applyFill="1" applyBorder="1" applyAlignment="1">
      <alignment horizontal="center" vertical="center" wrapText="1" readingOrder="1"/>
    </xf>
    <xf numFmtId="3" fontId="196" fillId="0" borderId="396" xfId="0" applyNumberFormat="1" applyFont="1" applyBorder="1" applyAlignment="1">
      <alignment horizontal="center" vertical="center" wrapText="1" readingOrder="1"/>
    </xf>
    <xf numFmtId="3" fontId="196" fillId="0" borderId="397" xfId="0" applyNumberFormat="1" applyFont="1" applyBorder="1" applyAlignment="1">
      <alignment horizontal="center" vertical="center" wrapText="1" readingOrder="1"/>
    </xf>
    <xf numFmtId="0" fontId="196" fillId="0" borderId="396" xfId="0" applyFont="1" applyBorder="1" applyAlignment="1">
      <alignment horizontal="center" vertical="center" wrapText="1" readingOrder="1"/>
    </xf>
    <xf numFmtId="0" fontId="196" fillId="0" borderId="397" xfId="0" applyFont="1" applyBorder="1" applyAlignment="1">
      <alignment horizontal="center" vertical="center" wrapText="1" readingOrder="1"/>
    </xf>
    <xf numFmtId="0" fontId="172" fillId="0" borderId="397" xfId="0" applyFont="1" applyBorder="1" applyAlignment="1">
      <alignment horizontal="center" vertical="center" wrapText="1" readingOrder="1"/>
    </xf>
    <xf numFmtId="0" fontId="192" fillId="0" borderId="396" xfId="0" applyFont="1" applyBorder="1" applyAlignment="1">
      <alignment horizontal="center" vertical="center" wrapText="1"/>
    </xf>
    <xf numFmtId="0" fontId="192" fillId="0" borderId="396" xfId="0" applyFont="1" applyBorder="1" applyAlignment="1">
      <alignment vertical="center" wrapText="1"/>
    </xf>
    <xf numFmtId="179" fontId="28" fillId="0" borderId="131" xfId="1" applyNumberFormat="1" applyFont="1" applyFill="1" applyBorder="1" applyAlignment="1">
      <alignment vertical="center" shrinkToFit="1"/>
    </xf>
    <xf numFmtId="179" fontId="28" fillId="0" borderId="132" xfId="1" applyNumberFormat="1" applyFont="1" applyFill="1" applyBorder="1" applyAlignment="1">
      <alignment vertical="center" shrinkToFit="1"/>
    </xf>
    <xf numFmtId="43" fontId="172" fillId="0" borderId="396" xfId="0" applyNumberFormat="1" applyFont="1" applyBorder="1" applyAlignment="1">
      <alignment horizontal="center" vertical="center" wrapText="1" readingOrder="1"/>
    </xf>
    <xf numFmtId="2" fontId="191" fillId="0" borderId="396" xfId="0" applyNumberFormat="1" applyFont="1" applyBorder="1" applyAlignment="1">
      <alignment horizontal="center" vertical="center" wrapText="1" readingOrder="1"/>
    </xf>
    <xf numFmtId="0" fontId="190" fillId="53" borderId="389" xfId="0" applyFont="1" applyFill="1" applyBorder="1" applyAlignment="1">
      <alignment horizontal="center" vertical="center" wrapText="1" readingOrder="1"/>
    </xf>
    <xf numFmtId="0" fontId="172" fillId="50" borderId="402" xfId="0" applyFont="1" applyFill="1" applyBorder="1" applyAlignment="1">
      <alignment horizontal="center" vertical="center" wrapText="1" readingOrder="1"/>
    </xf>
    <xf numFmtId="0" fontId="197" fillId="53" borderId="384" xfId="0" applyFont="1" applyFill="1" applyBorder="1" applyAlignment="1">
      <alignment horizontal="center" vertical="center" wrapText="1" readingOrder="1"/>
    </xf>
    <xf numFmtId="187" fontId="28" fillId="0" borderId="389" xfId="0" applyNumberFormat="1" applyFont="1" applyBorder="1" applyAlignment="1">
      <alignment horizontal="center" vertical="center" wrapText="1"/>
    </xf>
    <xf numFmtId="10" fontId="51" fillId="0" borderId="0" xfId="2" applyNumberFormat="1" applyFont="1" applyFill="1" applyBorder="1" applyAlignment="1">
      <alignment horizontal="center" vertical="center"/>
    </xf>
    <xf numFmtId="3" fontId="172" fillId="0" borderId="397" xfId="0" applyNumberFormat="1" applyFont="1" applyBorder="1" applyAlignment="1">
      <alignment horizontal="center" vertical="center" wrapText="1" readingOrder="1"/>
    </xf>
    <xf numFmtId="10" fontId="172" fillId="0" borderId="396" xfId="0" applyNumberFormat="1" applyFont="1" applyBorder="1" applyAlignment="1">
      <alignment horizontal="center" vertical="center" wrapText="1" readingOrder="1"/>
    </xf>
    <xf numFmtId="10" fontId="172" fillId="0" borderId="405" xfId="0" applyNumberFormat="1" applyFont="1" applyBorder="1" applyAlignment="1">
      <alignment horizontal="center" vertical="center" wrapText="1" readingOrder="1"/>
    </xf>
    <xf numFmtId="10" fontId="172" fillId="0" borderId="406" xfId="0" applyNumberFormat="1" applyFont="1" applyBorder="1" applyAlignment="1">
      <alignment horizontal="center" vertical="center" wrapText="1" readingOrder="1"/>
    </xf>
    <xf numFmtId="0" fontId="191" fillId="50" borderId="407" xfId="0" applyFont="1" applyFill="1" applyBorder="1" applyAlignment="1">
      <alignment horizontal="center" vertical="center" wrapText="1" readingOrder="1"/>
    </xf>
    <xf numFmtId="0" fontId="193" fillId="53" borderId="391" xfId="0" applyFont="1" applyFill="1" applyBorder="1" applyAlignment="1">
      <alignment horizontal="center" vertical="center" wrapText="1" readingOrder="1"/>
    </xf>
    <xf numFmtId="0" fontId="193" fillId="53" borderId="390" xfId="0" applyFont="1" applyFill="1" applyBorder="1" applyAlignment="1">
      <alignment horizontal="center" vertical="center" wrapText="1" readingOrder="1"/>
    </xf>
    <xf numFmtId="0" fontId="193" fillId="53" borderId="401" xfId="0" applyFont="1" applyFill="1" applyBorder="1" applyAlignment="1">
      <alignment horizontal="center" vertical="center" wrapText="1" readingOrder="1"/>
    </xf>
    <xf numFmtId="0" fontId="190" fillId="53" borderId="403" xfId="0" applyFont="1" applyFill="1" applyBorder="1" applyAlignment="1">
      <alignment horizontal="center" vertical="center" wrapText="1" readingOrder="1"/>
    </xf>
    <xf numFmtId="0" fontId="190" fillId="53" borderId="404" xfId="0" applyFont="1" applyFill="1" applyBorder="1" applyAlignment="1">
      <alignment horizontal="center" vertical="center" wrapText="1" readingOrder="1"/>
    </xf>
    <xf numFmtId="0" fontId="171" fillId="30" borderId="335" xfId="0" applyFont="1" applyFill="1" applyBorder="1" applyAlignment="1">
      <alignment horizontal="center" vertical="center" wrapText="1"/>
    </xf>
    <xf numFmtId="0" fontId="171" fillId="30" borderId="203" xfId="0" applyFont="1" applyFill="1" applyBorder="1" applyAlignment="1">
      <alignment horizontal="center" vertical="center" wrapText="1"/>
    </xf>
    <xf numFmtId="0" fontId="176" fillId="30" borderId="335" xfId="0" applyFont="1" applyFill="1" applyBorder="1" applyAlignment="1">
      <alignment horizontal="center" vertical="center" wrapText="1"/>
    </xf>
    <xf numFmtId="0" fontId="176" fillId="30" borderId="336" xfId="0" applyFont="1" applyFill="1" applyBorder="1" applyAlignment="1">
      <alignment horizontal="center" vertical="center" wrapText="1"/>
    </xf>
    <xf numFmtId="0" fontId="176" fillId="30" borderId="203" xfId="0" applyFont="1" applyFill="1" applyBorder="1" applyAlignment="1">
      <alignment horizontal="center" vertical="center" wrapText="1"/>
    </xf>
    <xf numFmtId="0" fontId="175" fillId="30" borderId="335" xfId="0" applyFont="1" applyFill="1" applyBorder="1" applyAlignment="1">
      <alignment horizontal="center" vertical="center" wrapText="1"/>
    </xf>
    <xf numFmtId="0" fontId="175" fillId="30" borderId="336" xfId="0" applyFont="1" applyFill="1" applyBorder="1" applyAlignment="1">
      <alignment horizontal="center" vertical="center" wrapText="1"/>
    </xf>
    <xf numFmtId="0" fontId="175" fillId="30" borderId="203" xfId="0" applyFont="1" applyFill="1" applyBorder="1" applyAlignment="1">
      <alignment horizontal="center" vertical="center" wrapText="1"/>
    </xf>
    <xf numFmtId="0" fontId="176" fillId="8" borderId="335" xfId="0" applyFont="1" applyFill="1" applyBorder="1" applyAlignment="1">
      <alignment horizontal="center" vertical="center" wrapText="1"/>
    </xf>
    <xf numFmtId="0" fontId="176" fillId="8" borderId="336" xfId="0" applyFont="1" applyFill="1" applyBorder="1" applyAlignment="1">
      <alignment horizontal="center" vertical="center" wrapText="1"/>
    </xf>
    <xf numFmtId="0" fontId="176" fillId="8" borderId="203" xfId="0" applyFont="1" applyFill="1" applyBorder="1" applyAlignment="1">
      <alignment horizontal="center" vertical="center" wrapText="1"/>
    </xf>
    <xf numFmtId="0" fontId="171" fillId="55" borderId="335" xfId="0" applyFont="1" applyFill="1" applyBorder="1" applyAlignment="1">
      <alignment horizontal="center" vertical="center" wrapText="1"/>
    </xf>
    <xf numFmtId="0" fontId="171" fillId="55" borderId="336" xfId="0" applyFont="1" applyFill="1" applyBorder="1" applyAlignment="1">
      <alignment horizontal="center" vertical="center" wrapText="1"/>
    </xf>
    <xf numFmtId="0" fontId="171" fillId="55" borderId="203" xfId="0" applyFont="1" applyFill="1" applyBorder="1" applyAlignment="1">
      <alignment horizontal="center" vertical="center" wrapText="1"/>
    </xf>
    <xf numFmtId="0" fontId="172" fillId="55" borderId="207" xfId="0" applyFont="1" applyFill="1" applyBorder="1" applyAlignment="1">
      <alignment horizontal="center" vertical="center" wrapText="1"/>
    </xf>
    <xf numFmtId="0" fontId="172" fillId="55" borderId="154" xfId="0" applyFont="1" applyFill="1" applyBorder="1" applyAlignment="1">
      <alignment horizontal="center" vertical="center" wrapText="1"/>
    </xf>
    <xf numFmtId="0" fontId="172" fillId="55" borderId="202" xfId="0" applyFont="1" applyFill="1" applyBorder="1" applyAlignment="1">
      <alignment horizontal="center" vertical="center" wrapText="1"/>
    </xf>
    <xf numFmtId="0" fontId="172" fillId="55" borderId="335" xfId="0" applyFont="1" applyFill="1" applyBorder="1" applyAlignment="1">
      <alignment horizontal="center" vertical="center" wrapText="1"/>
    </xf>
    <xf numFmtId="0" fontId="172" fillId="55" borderId="203" xfId="0" applyFont="1" applyFill="1" applyBorder="1" applyAlignment="1">
      <alignment horizontal="center" vertical="center" wrapText="1"/>
    </xf>
    <xf numFmtId="0" fontId="14" fillId="3" borderId="139" xfId="0" applyFont="1" applyFill="1" applyBorder="1" applyAlignment="1">
      <alignment horizontal="center" vertical="center"/>
    </xf>
    <xf numFmtId="0" fontId="14" fillId="3" borderId="134" xfId="0" applyFont="1" applyFill="1" applyBorder="1" applyAlignment="1">
      <alignment horizontal="center" vertical="center"/>
    </xf>
    <xf numFmtId="0" fontId="14" fillId="3" borderId="13" xfId="0" applyFont="1" applyFill="1" applyBorder="1" applyAlignment="1">
      <alignment horizontal="center" vertical="center"/>
    </xf>
    <xf numFmtId="0" fontId="186" fillId="53" borderId="376" xfId="0" applyFont="1" applyFill="1" applyBorder="1" applyAlignment="1">
      <alignment horizontal="center" vertical="center" wrapText="1" readingOrder="1"/>
    </xf>
    <xf numFmtId="0" fontId="186" fillId="53" borderId="377" xfId="0" applyFont="1" applyFill="1" applyBorder="1" applyAlignment="1">
      <alignment horizontal="center" vertical="center" wrapText="1" readingOrder="1"/>
    </xf>
    <xf numFmtId="41" fontId="13" fillId="3" borderId="11" xfId="4" applyFont="1" applyFill="1" applyBorder="1" applyAlignment="1">
      <alignment horizontal="center" vertical="center" wrapText="1"/>
    </xf>
    <xf numFmtId="41" fontId="13" fillId="3" borderId="13" xfId="4" applyFont="1" applyFill="1" applyBorder="1" applyAlignment="1">
      <alignment horizontal="center" vertical="center"/>
    </xf>
    <xf numFmtId="41" fontId="13" fillId="3" borderId="15" xfId="4" applyFont="1" applyFill="1" applyBorder="1" applyAlignment="1">
      <alignment horizontal="center" vertical="center"/>
    </xf>
    <xf numFmtId="41" fontId="13" fillId="3" borderId="11" xfId="4" applyFont="1" applyFill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10" fontId="28" fillId="0" borderId="10" xfId="0" applyNumberFormat="1" applyFont="1" applyBorder="1" applyAlignment="1">
      <alignment horizontal="center" vertical="center"/>
    </xf>
    <xf numFmtId="10" fontId="28" fillId="0" borderId="16" xfId="0" applyNumberFormat="1" applyFont="1" applyBorder="1" applyAlignment="1">
      <alignment horizontal="center" vertical="center"/>
    </xf>
    <xf numFmtId="10" fontId="28" fillId="0" borderId="14" xfId="0" applyNumberFormat="1" applyFont="1" applyBorder="1" applyAlignment="1">
      <alignment horizontal="center" vertical="center"/>
    </xf>
    <xf numFmtId="10" fontId="28" fillId="0" borderId="17" xfId="0" applyNumberFormat="1" applyFont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34" fillId="3" borderId="28" xfId="0" applyFont="1" applyFill="1" applyBorder="1" applyAlignment="1">
      <alignment horizontal="center" vertical="center"/>
    </xf>
    <xf numFmtId="0" fontId="34" fillId="3" borderId="29" xfId="0" applyFont="1" applyFill="1" applyBorder="1" applyAlignment="1">
      <alignment horizontal="center" vertical="center"/>
    </xf>
    <xf numFmtId="0" fontId="34" fillId="3" borderId="30" xfId="0" applyFont="1" applyFill="1" applyBorder="1" applyAlignment="1">
      <alignment horizontal="center" vertical="center"/>
    </xf>
    <xf numFmtId="0" fontId="39" fillId="0" borderId="76" xfId="0" applyFont="1" applyBorder="1" applyAlignment="1">
      <alignment horizontal="center" vertical="center" wrapText="1"/>
    </xf>
    <xf numFmtId="0" fontId="39" fillId="0" borderId="72" xfId="0" applyFont="1" applyBorder="1" applyAlignment="1">
      <alignment horizontal="center" vertical="center" wrapText="1"/>
    </xf>
    <xf numFmtId="0" fontId="39" fillId="0" borderId="74" xfId="0" applyFont="1" applyBorder="1" applyAlignment="1">
      <alignment horizontal="center" vertical="center" wrapText="1"/>
    </xf>
    <xf numFmtId="0" fontId="61" fillId="3" borderId="9" xfId="0" applyFont="1" applyFill="1" applyBorder="1" applyAlignment="1">
      <alignment horizontal="center" vertical="center" wrapText="1"/>
    </xf>
    <xf numFmtId="0" fontId="39" fillId="3" borderId="67" xfId="0" applyFont="1" applyFill="1" applyBorder="1" applyAlignment="1">
      <alignment horizontal="center" vertical="center" wrapText="1"/>
    </xf>
    <xf numFmtId="0" fontId="39" fillId="3" borderId="68" xfId="0" applyFont="1" applyFill="1" applyBorder="1" applyAlignment="1">
      <alignment horizontal="center" vertical="center" wrapText="1"/>
    </xf>
    <xf numFmtId="0" fontId="60" fillId="0" borderId="0" xfId="10" applyFont="1" applyAlignment="1">
      <alignment horizontal="center" vertical="center"/>
    </xf>
    <xf numFmtId="0" fontId="66" fillId="0" borderId="0" xfId="10" applyFont="1" applyAlignment="1">
      <alignment horizontal="center" vertical="center"/>
    </xf>
    <xf numFmtId="0" fontId="60" fillId="11" borderId="11" xfId="10" applyFont="1" applyFill="1" applyBorder="1" applyAlignment="1">
      <alignment horizontal="center" vertical="center"/>
    </xf>
    <xf numFmtId="0" fontId="60" fillId="11" borderId="15" xfId="10" applyFont="1" applyFill="1" applyBorder="1" applyAlignment="1">
      <alignment horizontal="center" vertical="center"/>
    </xf>
    <xf numFmtId="0" fontId="60" fillId="11" borderId="89" xfId="12" applyFont="1" applyFill="1" applyBorder="1" applyAlignment="1">
      <alignment horizontal="center" vertical="center"/>
    </xf>
    <xf numFmtId="0" fontId="60" fillId="11" borderId="90" xfId="12" applyFont="1" applyFill="1" applyBorder="1" applyAlignment="1">
      <alignment horizontal="center" vertical="center"/>
    </xf>
    <xf numFmtId="0" fontId="60" fillId="11" borderId="91" xfId="12" applyFont="1" applyFill="1" applyBorder="1" applyAlignment="1">
      <alignment horizontal="center" vertical="center"/>
    </xf>
    <xf numFmtId="0" fontId="60" fillId="11" borderId="87" xfId="12" applyFont="1" applyFill="1" applyBorder="1" applyAlignment="1">
      <alignment horizontal="center" vertical="center"/>
    </xf>
    <xf numFmtId="0" fontId="60" fillId="11" borderId="92" xfId="12" applyFont="1" applyFill="1" applyBorder="1" applyAlignment="1">
      <alignment horizontal="center" vertical="center"/>
    </xf>
    <xf numFmtId="0" fontId="60" fillId="11" borderId="88" xfId="12" applyFont="1" applyFill="1" applyBorder="1" applyAlignment="1">
      <alignment horizontal="center" vertical="center"/>
    </xf>
    <xf numFmtId="0" fontId="60" fillId="11" borderId="28" xfId="12" applyFont="1" applyFill="1" applyBorder="1" applyAlignment="1">
      <alignment horizontal="center" vertical="center"/>
    </xf>
    <xf numFmtId="0" fontId="60" fillId="11" borderId="30" xfId="12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17" borderId="23" xfId="0" applyFont="1" applyFill="1" applyBorder="1">
      <alignment vertical="center"/>
    </xf>
    <xf numFmtId="0" fontId="28" fillId="17" borderId="16" xfId="0" applyFont="1" applyFill="1" applyBorder="1">
      <alignment vertical="center"/>
    </xf>
    <xf numFmtId="0" fontId="28" fillId="17" borderId="14" xfId="0" applyFont="1" applyFill="1" applyBorder="1">
      <alignment vertical="center"/>
    </xf>
    <xf numFmtId="0" fontId="28" fillId="17" borderId="24" xfId="0" applyFont="1" applyFill="1" applyBorder="1">
      <alignment vertical="center"/>
    </xf>
    <xf numFmtId="0" fontId="28" fillId="17" borderId="17" xfId="0" applyFont="1" applyFill="1" applyBorder="1">
      <alignment vertical="center"/>
    </xf>
    <xf numFmtId="0" fontId="28" fillId="17" borderId="11" xfId="0" applyFont="1" applyFill="1" applyBorder="1" applyAlignment="1">
      <alignment horizontal="center" vertical="center"/>
    </xf>
    <xf numFmtId="0" fontId="28" fillId="17" borderId="15" xfId="0" applyFont="1" applyFill="1" applyBorder="1">
      <alignment vertical="center"/>
    </xf>
    <xf numFmtId="0" fontId="28" fillId="17" borderId="47" xfId="0" applyFont="1" applyFill="1" applyBorder="1" applyAlignment="1">
      <alignment horizontal="center" vertical="center"/>
    </xf>
    <xf numFmtId="0" fontId="28" fillId="17" borderId="344" xfId="0" applyFont="1" applyFill="1" applyBorder="1" applyAlignment="1">
      <alignment horizontal="center" vertical="center"/>
    </xf>
    <xf numFmtId="0" fontId="27" fillId="17" borderId="346" xfId="0" applyFont="1" applyFill="1" applyBorder="1" applyAlignment="1">
      <alignment horizontal="center" vertical="center"/>
    </xf>
    <xf numFmtId="0" fontId="27" fillId="17" borderId="47" xfId="0" applyFont="1" applyFill="1" applyBorder="1" applyAlignment="1">
      <alignment horizontal="center" vertical="center"/>
    </xf>
    <xf numFmtId="0" fontId="27" fillId="17" borderId="244" xfId="0" applyFont="1" applyFill="1" applyBorder="1" applyAlignment="1">
      <alignment horizontal="center" vertical="center"/>
    </xf>
    <xf numFmtId="0" fontId="27" fillId="17" borderId="344" xfId="0" applyFont="1" applyFill="1" applyBorder="1" applyAlignment="1">
      <alignment horizontal="center" vertical="center"/>
    </xf>
    <xf numFmtId="0" fontId="81" fillId="0" borderId="0" xfId="17" applyFont="1" applyAlignment="1">
      <alignment horizontal="left" vertical="center" wrapText="1"/>
    </xf>
    <xf numFmtId="0" fontId="81" fillId="0" borderId="0" xfId="17" applyFont="1" applyAlignment="1">
      <alignment horizontal="left" vertical="center"/>
    </xf>
    <xf numFmtId="0" fontId="81" fillId="23" borderId="146" xfId="17" applyFont="1" applyFill="1" applyBorder="1" applyAlignment="1">
      <alignment horizontal="center" vertical="center"/>
    </xf>
    <xf numFmtId="0" fontId="81" fillId="23" borderId="147" xfId="17" applyFont="1" applyFill="1" applyBorder="1" applyAlignment="1">
      <alignment horizontal="center" vertical="center"/>
    </xf>
    <xf numFmtId="188" fontId="27" fillId="17" borderId="128" xfId="0" applyNumberFormat="1" applyFont="1" applyFill="1" applyBorder="1" applyAlignment="1">
      <alignment horizontal="center" vertical="center"/>
    </xf>
    <xf numFmtId="188" fontId="27" fillId="17" borderId="23" xfId="0" applyNumberFormat="1" applyFont="1" applyFill="1" applyBorder="1" applyAlignment="1">
      <alignment horizontal="center" vertical="center"/>
    </xf>
    <xf numFmtId="188" fontId="27" fillId="17" borderId="129" xfId="0" applyNumberFormat="1" applyFont="1" applyFill="1" applyBorder="1" applyAlignment="1">
      <alignment horizontal="center" vertical="center"/>
    </xf>
    <xf numFmtId="188" fontId="27" fillId="17" borderId="135" xfId="0" applyNumberFormat="1" applyFont="1" applyFill="1" applyBorder="1" applyAlignment="1">
      <alignment horizontal="center" vertical="center"/>
    </xf>
    <xf numFmtId="188" fontId="27" fillId="17" borderId="123" xfId="0" applyNumberFormat="1" applyFont="1" applyFill="1" applyBorder="1" applyAlignment="1">
      <alignment horizontal="center" vertical="center"/>
    </xf>
    <xf numFmtId="188" fontId="27" fillId="17" borderId="136" xfId="0" applyNumberFormat="1" applyFont="1" applyFill="1" applyBorder="1" applyAlignment="1">
      <alignment horizontal="center" vertical="center"/>
    </xf>
    <xf numFmtId="188" fontId="28" fillId="17" borderId="139" xfId="0" applyNumberFormat="1" applyFont="1" applyFill="1" applyBorder="1" applyAlignment="1">
      <alignment horizontal="center" vertical="center"/>
    </xf>
    <xf numFmtId="188" fontId="28" fillId="17" borderId="134" xfId="0" applyNumberFormat="1" applyFont="1" applyFill="1" applyBorder="1" applyAlignment="1">
      <alignment horizontal="center" vertical="center"/>
    </xf>
    <xf numFmtId="0" fontId="28" fillId="17" borderId="139" xfId="0" applyFont="1" applyFill="1" applyBorder="1" applyAlignment="1">
      <alignment horizontal="center" vertical="center"/>
    </xf>
    <xf numFmtId="0" fontId="28" fillId="17" borderId="134" xfId="0" applyFont="1" applyFill="1" applyBorder="1" applyAlignment="1">
      <alignment horizontal="center" vertical="center"/>
    </xf>
    <xf numFmtId="3" fontId="28" fillId="17" borderId="344" xfId="0" applyNumberFormat="1" applyFont="1" applyFill="1" applyBorder="1" applyAlignment="1">
      <alignment horizontal="center" vertical="center"/>
    </xf>
    <xf numFmtId="3" fontId="28" fillId="17" borderId="128" xfId="0" applyNumberFormat="1" applyFont="1" applyFill="1" applyBorder="1" applyAlignment="1">
      <alignment horizontal="center" vertical="center"/>
    </xf>
    <xf numFmtId="3" fontId="28" fillId="17" borderId="23" xfId="0" applyNumberFormat="1" applyFont="1" applyFill="1" applyBorder="1" applyAlignment="1">
      <alignment horizontal="center" vertical="center"/>
    </xf>
    <xf numFmtId="3" fontId="28" fillId="17" borderId="129" xfId="0" applyNumberFormat="1" applyFont="1" applyFill="1" applyBorder="1" applyAlignment="1">
      <alignment horizontal="center" vertical="center"/>
    </xf>
    <xf numFmtId="3" fontId="28" fillId="17" borderId="135" xfId="0" applyNumberFormat="1" applyFont="1" applyFill="1" applyBorder="1" applyAlignment="1">
      <alignment horizontal="center" vertical="center"/>
    </xf>
    <xf numFmtId="3" fontId="28" fillId="17" borderId="123" xfId="0" applyNumberFormat="1" applyFont="1" applyFill="1" applyBorder="1" applyAlignment="1">
      <alignment horizontal="center" vertical="center"/>
    </xf>
    <xf numFmtId="3" fontId="28" fillId="17" borderId="136" xfId="0" applyNumberFormat="1" applyFont="1" applyFill="1" applyBorder="1" applyAlignment="1">
      <alignment horizontal="center" vertical="center"/>
    </xf>
    <xf numFmtId="0" fontId="28" fillId="17" borderId="128" xfId="0" applyFont="1" applyFill="1" applyBorder="1" applyAlignment="1">
      <alignment horizontal="center" vertical="center"/>
    </xf>
    <xf numFmtId="0" fontId="28" fillId="17" borderId="23" xfId="0" applyFont="1" applyFill="1" applyBorder="1" applyAlignment="1">
      <alignment horizontal="center" vertical="center"/>
    </xf>
    <xf numFmtId="0" fontId="28" fillId="17" borderId="129" xfId="0" applyFont="1" applyFill="1" applyBorder="1" applyAlignment="1">
      <alignment horizontal="center" vertical="center"/>
    </xf>
    <xf numFmtId="0" fontId="28" fillId="17" borderId="12" xfId="0" applyFont="1" applyFill="1" applyBorder="1" applyAlignment="1">
      <alignment horizontal="center" vertical="center"/>
    </xf>
    <xf numFmtId="0" fontId="28" fillId="17" borderId="0" xfId="0" applyFont="1" applyFill="1" applyBorder="1" applyAlignment="1">
      <alignment horizontal="center" vertical="center"/>
    </xf>
    <xf numFmtId="0" fontId="28" fillId="17" borderId="198" xfId="0" applyFont="1" applyFill="1" applyBorder="1" applyAlignment="1">
      <alignment horizontal="center" vertical="center"/>
    </xf>
    <xf numFmtId="0" fontId="28" fillId="17" borderId="135" xfId="0" applyFont="1" applyFill="1" applyBorder="1" applyAlignment="1">
      <alignment horizontal="center" vertical="center"/>
    </xf>
    <xf numFmtId="0" fontId="28" fillId="17" borderId="123" xfId="0" applyFont="1" applyFill="1" applyBorder="1" applyAlignment="1">
      <alignment horizontal="center" vertical="center"/>
    </xf>
    <xf numFmtId="0" fontId="28" fillId="17" borderId="136" xfId="0" applyFont="1" applyFill="1" applyBorder="1" applyAlignment="1">
      <alignment horizontal="center" vertical="center"/>
    </xf>
    <xf numFmtId="0" fontId="28" fillId="17" borderId="13" xfId="0" applyFont="1" applyFill="1" applyBorder="1" applyAlignment="1">
      <alignment horizontal="center" vertical="center"/>
    </xf>
    <xf numFmtId="0" fontId="11" fillId="0" borderId="125" xfId="38" applyFont="1" applyBorder="1" applyAlignment="1">
      <alignment horizontal="center" vertical="center"/>
    </xf>
    <xf numFmtId="0" fontId="11" fillId="0" borderId="126" xfId="38" applyFont="1" applyBorder="1" applyAlignment="1">
      <alignment horizontal="center" vertical="center"/>
    </xf>
    <xf numFmtId="0" fontId="114" fillId="39" borderId="214" xfId="33" applyFont="1" applyFill="1" applyBorder="1" applyAlignment="1">
      <alignment horizontal="center" vertical="center"/>
    </xf>
    <xf numFmtId="0" fontId="114" fillId="39" borderId="124" xfId="33" applyFont="1" applyFill="1" applyBorder="1" applyAlignment="1">
      <alignment horizontal="center" vertical="center"/>
    </xf>
    <xf numFmtId="0" fontId="113" fillId="3" borderId="128" xfId="38" applyFont="1" applyFill="1" applyBorder="1" applyAlignment="1">
      <alignment horizontal="center" vertical="center"/>
    </xf>
    <xf numFmtId="0" fontId="113" fillId="3" borderId="129" xfId="38" applyFont="1" applyFill="1" applyBorder="1" applyAlignment="1">
      <alignment horizontal="center" vertical="center"/>
    </xf>
    <xf numFmtId="0" fontId="113" fillId="3" borderId="226" xfId="38" applyFont="1" applyFill="1" applyBorder="1" applyAlignment="1">
      <alignment horizontal="center" vertical="center"/>
    </xf>
    <xf numFmtId="0" fontId="113" fillId="3" borderId="227" xfId="38" applyFont="1" applyFill="1" applyBorder="1" applyAlignment="1">
      <alignment horizontal="center" vertical="center"/>
    </xf>
    <xf numFmtId="0" fontId="113" fillId="3" borderId="125" xfId="38" applyFont="1" applyFill="1" applyBorder="1" applyAlignment="1">
      <alignment horizontal="center" vertical="center"/>
    </xf>
    <xf numFmtId="0" fontId="113" fillId="3" borderId="126" xfId="38" applyFont="1" applyFill="1" applyBorder="1" applyAlignment="1">
      <alignment horizontal="center" vertical="center"/>
    </xf>
    <xf numFmtId="0" fontId="113" fillId="3" borderId="204" xfId="38" applyFont="1" applyFill="1" applyBorder="1" applyAlignment="1">
      <alignment horizontal="center" vertical="center"/>
    </xf>
    <xf numFmtId="0" fontId="11" fillId="0" borderId="229" xfId="38" applyFont="1" applyBorder="1" applyAlignment="1">
      <alignment horizontal="center" vertical="center"/>
    </xf>
    <xf numFmtId="0" fontId="11" fillId="0" borderId="13" xfId="38" applyFont="1" applyBorder="1" applyAlignment="1">
      <alignment horizontal="center" vertical="center"/>
    </xf>
    <xf numFmtId="0" fontId="11" fillId="0" borderId="134" xfId="38" applyFont="1" applyBorder="1" applyAlignment="1">
      <alignment horizontal="center" vertical="center"/>
    </xf>
    <xf numFmtId="0" fontId="5" fillId="0" borderId="125" xfId="38" applyBorder="1" applyAlignment="1">
      <alignment horizontal="center" vertical="center"/>
    </xf>
    <xf numFmtId="0" fontId="5" fillId="0" borderId="126" xfId="38" applyBorder="1" applyAlignment="1">
      <alignment horizontal="center" vertical="center"/>
    </xf>
    <xf numFmtId="0" fontId="156" fillId="23" borderId="1" xfId="45" applyFont="1" applyFill="1" applyBorder="1" applyAlignment="1">
      <alignment horizontal="center" vertical="center"/>
    </xf>
    <xf numFmtId="0" fontId="156" fillId="23" borderId="3" xfId="45" applyFont="1" applyFill="1" applyBorder="1" applyAlignment="1">
      <alignment horizontal="center" vertical="center"/>
    </xf>
    <xf numFmtId="0" fontId="156" fillId="23" borderId="234" xfId="45" applyFont="1" applyFill="1" applyBorder="1" applyAlignment="1">
      <alignment horizontal="center" vertical="center"/>
    </xf>
    <xf numFmtId="0" fontId="156" fillId="23" borderId="235" xfId="45" applyFont="1" applyFill="1" applyBorder="1" applyAlignment="1">
      <alignment horizontal="center" vertical="center"/>
    </xf>
    <xf numFmtId="0" fontId="11" fillId="0" borderId="125" xfId="42" applyFont="1" applyBorder="1" applyAlignment="1">
      <alignment horizontal="center" vertical="center"/>
    </xf>
    <xf numFmtId="0" fontId="11" fillId="0" borderId="127" xfId="42" applyFont="1" applyBorder="1" applyAlignment="1">
      <alignment horizontal="center" vertical="center"/>
    </xf>
    <xf numFmtId="41" fontId="155" fillId="0" borderId="0" xfId="29" applyFont="1" applyFill="1" applyBorder="1" applyAlignment="1">
      <alignment horizontal="left" vertical="center"/>
    </xf>
    <xf numFmtId="0" fontId="2" fillId="23" borderId="240" xfId="42" applyFill="1" applyBorder="1" applyAlignment="1">
      <alignment horizontal="center" vertical="center"/>
    </xf>
    <xf numFmtId="0" fontId="2" fillId="23" borderId="177" xfId="42" applyFill="1" applyBorder="1" applyAlignment="1">
      <alignment horizontal="center" vertical="center"/>
    </xf>
    <xf numFmtId="41" fontId="5" fillId="0" borderId="89" xfId="39" applyFont="1" applyFill="1" applyBorder="1" applyAlignment="1">
      <alignment horizontal="center" vertical="center"/>
    </xf>
    <xf numFmtId="41" fontId="5" fillId="0" borderId="99" xfId="39" applyFont="1" applyFill="1" applyBorder="1" applyAlignment="1">
      <alignment horizontal="center" vertical="center"/>
    </xf>
    <xf numFmtId="0" fontId="5" fillId="0" borderId="271" xfId="47" applyBorder="1" applyAlignment="1">
      <alignment horizontal="center" vertical="center"/>
    </xf>
    <xf numFmtId="0" fontId="5" fillId="0" borderId="12" xfId="47" applyBorder="1" applyAlignment="1">
      <alignment horizontal="center" vertical="center"/>
    </xf>
    <xf numFmtId="0" fontId="5" fillId="0" borderId="135" xfId="47" applyBorder="1" applyAlignment="1">
      <alignment horizontal="center" vertical="center"/>
    </xf>
    <xf numFmtId="0" fontId="5" fillId="0" borderId="38" xfId="47" applyBorder="1" applyAlignment="1">
      <alignment horizontal="center" vertical="center" wrapText="1"/>
    </xf>
    <xf numFmtId="0" fontId="5" fillId="0" borderId="43" xfId="47" applyBorder="1" applyAlignment="1">
      <alignment horizontal="center" vertical="center"/>
    </xf>
    <xf numFmtId="0" fontId="5" fillId="0" borderId="43" xfId="47" applyBorder="1" applyAlignment="1">
      <alignment horizontal="center" vertical="center" wrapText="1"/>
    </xf>
    <xf numFmtId="0" fontId="5" fillId="0" borderId="33" xfId="47" applyBorder="1" applyAlignment="1">
      <alignment horizontal="center" vertical="center"/>
    </xf>
    <xf numFmtId="0" fontId="5" fillId="0" borderId="9" xfId="47" applyBorder="1" applyAlignment="1">
      <alignment horizontal="center" vertical="center"/>
    </xf>
    <xf numFmtId="0" fontId="5" fillId="0" borderId="21" xfId="47" applyBorder="1" applyAlignment="1">
      <alignment horizontal="center" vertical="center"/>
    </xf>
    <xf numFmtId="0" fontId="11" fillId="0" borderId="263" xfId="47" applyFont="1" applyBorder="1" applyAlignment="1">
      <alignment horizontal="center" vertical="center"/>
    </xf>
    <xf numFmtId="0" fontId="11" fillId="0" borderId="264" xfId="47" applyFont="1" applyBorder="1" applyAlignment="1">
      <alignment horizontal="center" vertical="center"/>
    </xf>
    <xf numFmtId="0" fontId="5" fillId="11" borderId="9" xfId="40" applyFont="1" applyFill="1" applyBorder="1" applyAlignment="1">
      <alignment horizontal="center" vertical="center" wrapText="1"/>
    </xf>
    <xf numFmtId="41" fontId="5" fillId="0" borderId="27" xfId="39" applyFont="1" applyFill="1" applyBorder="1" applyAlignment="1">
      <alignment horizontal="center" vertical="center"/>
    </xf>
    <xf numFmtId="41" fontId="5" fillId="0" borderId="98" xfId="39" applyFont="1" applyFill="1" applyBorder="1" applyAlignment="1">
      <alignment horizontal="center" vertical="center"/>
    </xf>
    <xf numFmtId="41" fontId="5" fillId="0" borderId="9" xfId="39" applyFont="1" applyFill="1" applyBorder="1" applyAlignment="1">
      <alignment horizontal="center" vertical="center"/>
    </xf>
    <xf numFmtId="41" fontId="114" fillId="0" borderId="9" xfId="39" applyFont="1" applyFill="1" applyBorder="1" applyAlignment="1">
      <alignment horizontal="center" vertical="center"/>
    </xf>
    <xf numFmtId="0" fontId="5" fillId="11" borderId="139" xfId="47" applyFill="1" applyBorder="1" applyAlignment="1">
      <alignment horizontal="center" vertical="center"/>
    </xf>
    <xf numFmtId="0" fontId="5" fillId="11" borderId="128" xfId="47" applyFill="1" applyBorder="1" applyAlignment="1">
      <alignment horizontal="center" vertical="center"/>
    </xf>
    <xf numFmtId="0" fontId="5" fillId="33" borderId="175" xfId="47" applyFill="1" applyBorder="1" applyAlignment="1">
      <alignment horizontal="center" vertical="center"/>
    </xf>
    <xf numFmtId="0" fontId="5" fillId="33" borderId="20" xfId="47" applyFill="1" applyBorder="1" applyAlignment="1">
      <alignment horizontal="center" vertical="center"/>
    </xf>
    <xf numFmtId="0" fontId="5" fillId="33" borderId="181" xfId="47" applyFill="1" applyBorder="1" applyAlignment="1">
      <alignment horizontal="center" vertical="center"/>
    </xf>
    <xf numFmtId="0" fontId="5" fillId="33" borderId="182" xfId="47" applyFill="1" applyBorder="1" applyAlignment="1">
      <alignment horizontal="center" vertical="center"/>
    </xf>
    <xf numFmtId="0" fontId="5" fillId="33" borderId="252" xfId="47" applyFill="1" applyBorder="1" applyAlignment="1">
      <alignment horizontal="center" vertical="center"/>
    </xf>
    <xf numFmtId="0" fontId="5" fillId="33" borderId="253" xfId="47" applyFill="1" applyBorder="1" applyAlignment="1">
      <alignment horizontal="center" vertical="center"/>
    </xf>
    <xf numFmtId="0" fontId="5" fillId="0" borderId="128" xfId="47" applyBorder="1" applyAlignment="1">
      <alignment horizontal="center" vertical="center"/>
    </xf>
    <xf numFmtId="0" fontId="5" fillId="0" borderId="27" xfId="47" applyBorder="1" applyAlignment="1">
      <alignment horizontal="center" vertical="center" wrapText="1"/>
    </xf>
    <xf numFmtId="41" fontId="11" fillId="0" borderId="42" xfId="29" applyFont="1" applyFill="1" applyBorder="1" applyAlignment="1">
      <alignment horizontal="center" vertical="center"/>
    </xf>
    <xf numFmtId="41" fontId="11" fillId="0" borderId="43" xfId="29" applyFont="1" applyFill="1" applyBorder="1" applyAlignment="1">
      <alignment horizontal="center" vertical="center"/>
    </xf>
    <xf numFmtId="0" fontId="5" fillId="0" borderId="98" xfId="47" applyBorder="1" applyAlignment="1">
      <alignment horizontal="center" vertical="center"/>
    </xf>
    <xf numFmtId="0" fontId="5" fillId="0" borderId="87" xfId="47" applyBorder="1" applyAlignment="1">
      <alignment horizontal="center" vertical="center"/>
    </xf>
    <xf numFmtId="243" fontId="11" fillId="0" borderId="88" xfId="47" applyNumberFormat="1" applyFont="1" applyBorder="1" applyAlignment="1">
      <alignment horizontal="right" vertical="center"/>
    </xf>
    <xf numFmtId="243" fontId="11" fillId="0" borderId="98" xfId="47" applyNumberFormat="1" applyFont="1" applyBorder="1" applyAlignment="1">
      <alignment horizontal="right" vertical="center"/>
    </xf>
    <xf numFmtId="0" fontId="11" fillId="11" borderId="95" xfId="40" applyFont="1" applyFill="1" applyBorder="1" applyAlignment="1">
      <alignment horizontal="center" vertical="center" wrapText="1"/>
    </xf>
    <xf numFmtId="0" fontId="11" fillId="11" borderId="51" xfId="40" applyFont="1" applyFill="1" applyBorder="1" applyAlignment="1">
      <alignment horizontal="center" vertical="center" wrapText="1"/>
    </xf>
    <xf numFmtId="0" fontId="11" fillId="11" borderId="195" xfId="40" applyFont="1" applyFill="1" applyBorder="1" applyAlignment="1">
      <alignment horizontal="center" vertical="center" wrapText="1"/>
    </xf>
    <xf numFmtId="41" fontId="5" fillId="0" borderId="143" xfId="39" applyFont="1" applyFill="1" applyBorder="1" applyAlignment="1">
      <alignment horizontal="center" vertical="center"/>
    </xf>
    <xf numFmtId="41" fontId="114" fillId="0" borderId="53" xfId="39" applyFont="1" applyFill="1" applyBorder="1" applyAlignment="1">
      <alignment horizontal="center" vertical="center" wrapText="1"/>
    </xf>
    <xf numFmtId="41" fontId="114" fillId="0" borderId="56" xfId="39" applyFont="1" applyFill="1" applyBorder="1" applyAlignment="1">
      <alignment horizontal="center" vertical="center"/>
    </xf>
    <xf numFmtId="41" fontId="5" fillId="0" borderId="130" xfId="39" applyFont="1" applyFill="1" applyBorder="1" applyAlignment="1">
      <alignment horizontal="center" vertical="center"/>
    </xf>
    <xf numFmtId="41" fontId="5" fillId="0" borderId="137" xfId="39" applyFont="1" applyFill="1" applyBorder="1" applyAlignment="1">
      <alignment horizontal="center" vertical="center"/>
    </xf>
    <xf numFmtId="0" fontId="5" fillId="0" borderId="128" xfId="47" applyBorder="1" applyAlignment="1">
      <alignment horizontal="center" vertical="center" wrapText="1"/>
    </xf>
    <xf numFmtId="0" fontId="5" fillId="0" borderId="12" xfId="47" applyBorder="1" applyAlignment="1">
      <alignment horizontal="center" vertical="center" wrapText="1"/>
    </xf>
    <xf numFmtId="0" fontId="5" fillId="0" borderId="135" xfId="47" applyBorder="1" applyAlignment="1">
      <alignment horizontal="center" vertical="center" wrapText="1"/>
    </xf>
    <xf numFmtId="41" fontId="11" fillId="33" borderId="256" xfId="29" applyFont="1" applyFill="1" applyBorder="1" applyAlignment="1">
      <alignment horizontal="center" vertical="center"/>
    </xf>
    <xf numFmtId="41" fontId="11" fillId="33" borderId="252" xfId="29" applyFont="1" applyFill="1" applyBorder="1" applyAlignment="1">
      <alignment horizontal="center" vertical="center"/>
    </xf>
    <xf numFmtId="0" fontId="137" fillId="0" borderId="0" xfId="49" applyFont="1" applyAlignment="1">
      <alignment horizontal="center" vertical="center" wrapText="1"/>
    </xf>
    <xf numFmtId="0" fontId="137" fillId="11" borderId="21" xfId="49" applyFont="1" applyFill="1" applyBorder="1" applyAlignment="1">
      <alignment horizontal="center" vertical="center"/>
    </xf>
    <xf numFmtId="0" fontId="137" fillId="11" borderId="263" xfId="49" applyFont="1" applyFill="1" applyBorder="1" applyAlignment="1">
      <alignment horizontal="center" vertical="center"/>
    </xf>
    <xf numFmtId="0" fontId="59" fillId="0" borderId="21" xfId="49" applyFont="1" applyBorder="1" applyAlignment="1">
      <alignment horizontal="center" vertical="center"/>
    </xf>
    <xf numFmtId="0" fontId="59" fillId="0" borderId="263" xfId="49" applyFont="1" applyBorder="1" applyAlignment="1">
      <alignment horizontal="center" vertical="center"/>
    </xf>
    <xf numFmtId="0" fontId="137" fillId="11" borderId="139" xfId="49" applyFont="1" applyFill="1" applyBorder="1" applyAlignment="1">
      <alignment horizontal="center" vertical="center" wrapText="1"/>
    </xf>
    <xf numFmtId="0" fontId="137" fillId="11" borderId="134" xfId="49" applyFont="1" applyFill="1" applyBorder="1" applyAlignment="1">
      <alignment horizontal="center" vertical="center" wrapText="1"/>
    </xf>
    <xf numFmtId="0" fontId="137" fillId="11" borderId="139" xfId="49" applyFont="1" applyFill="1" applyBorder="1" applyAlignment="1">
      <alignment horizontal="center" vertical="center"/>
    </xf>
    <xf numFmtId="0" fontId="137" fillId="11" borderId="134" xfId="49" applyFont="1" applyFill="1" applyBorder="1" applyAlignment="1">
      <alignment horizontal="center" vertical="center"/>
    </xf>
    <xf numFmtId="0" fontId="33" fillId="0" borderId="21" xfId="49" applyFont="1" applyBorder="1" applyAlignment="1">
      <alignment horizontal="center" vertical="center"/>
    </xf>
    <xf numFmtId="0" fontId="33" fillId="0" borderId="263" xfId="49" applyFont="1" applyBorder="1" applyAlignment="1">
      <alignment horizontal="center" vertical="center"/>
    </xf>
    <xf numFmtId="0" fontId="137" fillId="11" borderId="128" xfId="49" applyFont="1" applyFill="1" applyBorder="1" applyAlignment="1">
      <alignment horizontal="center" vertical="center" wrapText="1"/>
    </xf>
    <xf numFmtId="0" fontId="137" fillId="11" borderId="129" xfId="49" applyFont="1" applyFill="1" applyBorder="1" applyAlignment="1">
      <alignment horizontal="center" vertical="center" wrapText="1"/>
    </xf>
    <xf numFmtId="0" fontId="137" fillId="11" borderId="135" xfId="49" applyFont="1" applyFill="1" applyBorder="1" applyAlignment="1">
      <alignment horizontal="center" vertical="center" wrapText="1"/>
    </xf>
    <xf numFmtId="0" fontId="137" fillId="11" borderId="136" xfId="49" applyFont="1" applyFill="1" applyBorder="1" applyAlignment="1">
      <alignment horizontal="center" vertical="center" wrapText="1"/>
    </xf>
    <xf numFmtId="0" fontId="137" fillId="11" borderId="23" xfId="49" applyFont="1" applyFill="1" applyBorder="1" applyAlignment="1">
      <alignment horizontal="center" vertical="center" wrapText="1"/>
    </xf>
    <xf numFmtId="0" fontId="59" fillId="0" borderId="135" xfId="49" applyFont="1" applyBorder="1" applyAlignment="1">
      <alignment horizontal="center" vertical="center"/>
    </xf>
    <xf numFmtId="0" fontId="59" fillId="0" borderId="123" xfId="49" applyFont="1" applyBorder="1" applyAlignment="1">
      <alignment horizontal="center" vertical="center"/>
    </xf>
    <xf numFmtId="0" fontId="74" fillId="3" borderId="276" xfId="0" applyFont="1" applyFill="1" applyBorder="1" applyAlignment="1">
      <alignment horizontal="center" vertical="center"/>
    </xf>
    <xf numFmtId="0" fontId="74" fillId="3" borderId="180" xfId="0" applyFont="1" applyFill="1" applyBorder="1" applyAlignment="1">
      <alignment horizontal="center" vertical="center"/>
    </xf>
    <xf numFmtId="206" fontId="28" fillId="0" borderId="134" xfId="1" applyNumberFormat="1" applyFont="1" applyBorder="1" applyAlignment="1">
      <alignment vertical="center"/>
    </xf>
    <xf numFmtId="257" fontId="28" fillId="0" borderId="0" xfId="0" applyNumberFormat="1" applyFont="1" applyBorder="1">
      <alignment vertical="center"/>
    </xf>
    <xf numFmtId="203" fontId="28" fillId="0" borderId="131" xfId="1" applyNumberFormat="1" applyFont="1" applyBorder="1" applyAlignment="1">
      <alignment vertical="center"/>
    </xf>
    <xf numFmtId="252" fontId="28" fillId="0" borderId="56" xfId="1" applyNumberFormat="1" applyFont="1" applyBorder="1" applyAlignment="1">
      <alignment vertical="center"/>
    </xf>
    <xf numFmtId="258" fontId="28" fillId="0" borderId="0" xfId="0" applyNumberFormat="1" applyFont="1">
      <alignment vertical="center"/>
    </xf>
    <xf numFmtId="264" fontId="28" fillId="0" borderId="131" xfId="1" applyNumberFormat="1" applyFont="1" applyBorder="1" applyAlignment="1">
      <alignment vertical="center"/>
    </xf>
    <xf numFmtId="269" fontId="28" fillId="0" borderId="0" xfId="0" applyNumberFormat="1" applyFont="1">
      <alignment vertical="center"/>
    </xf>
    <xf numFmtId="274" fontId="28" fillId="0" borderId="57" xfId="1" applyNumberFormat="1" applyFont="1" applyBorder="1" applyAlignment="1">
      <alignment vertical="center"/>
    </xf>
    <xf numFmtId="0" fontId="196" fillId="0" borderId="203" xfId="0" applyFont="1" applyBorder="1" applyAlignment="1">
      <alignment horizontal="center" vertical="center"/>
    </xf>
    <xf numFmtId="14" fontId="196" fillId="0" borderId="8" xfId="0" applyNumberFormat="1" applyFont="1" applyBorder="1" applyAlignment="1">
      <alignment horizontal="center" vertical="center"/>
    </xf>
    <xf numFmtId="3" fontId="196" fillId="0" borderId="8" xfId="0" applyNumberFormat="1" applyFont="1" applyBorder="1" applyAlignment="1">
      <alignment horizontal="right" vertical="center"/>
    </xf>
    <xf numFmtId="0" fontId="191" fillId="58" borderId="335" xfId="0" applyFont="1" applyFill="1" applyBorder="1" applyAlignment="1">
      <alignment horizontal="center" vertical="center"/>
    </xf>
    <xf numFmtId="0" fontId="191" fillId="58" borderId="408" xfId="0" applyFont="1" applyFill="1" applyBorder="1" applyAlignment="1">
      <alignment horizontal="center" vertical="center"/>
    </xf>
    <xf numFmtId="0" fontId="196" fillId="0" borderId="207" xfId="0" applyFont="1" applyBorder="1" applyAlignment="1">
      <alignment horizontal="center" vertical="center"/>
    </xf>
    <xf numFmtId="0" fontId="196" fillId="0" borderId="409" xfId="0" applyFont="1" applyBorder="1" applyAlignment="1">
      <alignment horizontal="center" vertical="center"/>
    </xf>
    <xf numFmtId="177" fontId="196" fillId="0" borderId="8" xfId="0" applyNumberFormat="1" applyFont="1" applyBorder="1" applyAlignment="1">
      <alignment horizontal="right" vertical="center"/>
    </xf>
    <xf numFmtId="0" fontId="198" fillId="0" borderId="0" xfId="0" applyFont="1" applyAlignment="1">
      <alignment horizontal="center" vertical="center"/>
    </xf>
    <xf numFmtId="0" fontId="199" fillId="0" borderId="202" xfId="0" applyFont="1" applyBorder="1" applyAlignment="1">
      <alignment horizontal="center" vertical="center" wrapText="1"/>
    </xf>
    <xf numFmtId="0" fontId="199" fillId="0" borderId="203" xfId="0" applyFont="1" applyBorder="1" applyAlignment="1">
      <alignment horizontal="center" vertical="center" wrapText="1"/>
    </xf>
    <xf numFmtId="0" fontId="199" fillId="0" borderId="8" xfId="0" applyFont="1" applyBorder="1" applyAlignment="1">
      <alignment horizontal="center" vertical="center" wrapText="1"/>
    </xf>
    <xf numFmtId="10" fontId="200" fillId="0" borderId="8" xfId="0" applyNumberFormat="1" applyFont="1" applyBorder="1" applyAlignment="1">
      <alignment horizontal="center" vertical="center" wrapText="1"/>
    </xf>
    <xf numFmtId="0" fontId="199" fillId="0" borderId="336" xfId="0" applyFont="1" applyBorder="1" applyAlignment="1">
      <alignment horizontal="center" vertical="center" wrapText="1"/>
    </xf>
    <xf numFmtId="0" fontId="0" fillId="0" borderId="336" xfId="0" applyBorder="1" applyAlignment="1">
      <alignment vertical="center" wrapText="1"/>
    </xf>
    <xf numFmtId="0" fontId="0" fillId="0" borderId="203" xfId="0" applyBorder="1" applyAlignment="1">
      <alignment vertical="center" wrapText="1"/>
    </xf>
    <xf numFmtId="0" fontId="200" fillId="0" borderId="8" xfId="0" applyFont="1" applyBorder="1" applyAlignment="1">
      <alignment horizontal="center" vertical="center" wrapText="1"/>
    </xf>
    <xf numFmtId="0" fontId="199" fillId="0" borderId="207" xfId="0" applyFont="1" applyBorder="1" applyAlignment="1">
      <alignment horizontal="center" vertical="center" wrapText="1"/>
    </xf>
    <xf numFmtId="0" fontId="199" fillId="0" borderId="202" xfId="0" applyFont="1" applyBorder="1" applyAlignment="1">
      <alignment horizontal="center" vertical="center" wrapText="1"/>
    </xf>
    <xf numFmtId="0" fontId="199" fillId="0" borderId="335" xfId="0" applyFont="1" applyBorder="1" applyAlignment="1">
      <alignment horizontal="center" vertical="center" wrapText="1"/>
    </xf>
    <xf numFmtId="0" fontId="199" fillId="0" borderId="203" xfId="0" applyFont="1" applyBorder="1" applyAlignment="1">
      <alignment horizontal="center" vertical="center" wrapText="1"/>
    </xf>
  </cellXfs>
  <cellStyles count="59">
    <cellStyle name="Heading4" xfId="30" xr:uid="{02513C6B-A4CB-457A-9F73-0A950664FE83}"/>
    <cellStyle name="금액" xfId="13" xr:uid="{87AD1A70-80FC-4B40-9FB5-DAC1570BE07C}"/>
    <cellStyle name="백분율" xfId="2" builtinId="5"/>
    <cellStyle name="백분율 10" xfId="32" xr:uid="{F4CDECEB-4866-446C-A928-26616D4F241B}"/>
    <cellStyle name="백분율 16" xfId="44" xr:uid="{D2F38068-FF8D-4791-89B9-2ABB1E061A99}"/>
    <cellStyle name="백분율 17" xfId="51" xr:uid="{025DE724-7EB5-4DC5-AFDF-596AE402A6F0}"/>
    <cellStyle name="백분율 2" xfId="35" xr:uid="{5DA8305B-9837-4BF9-B79D-07862896CF80}"/>
    <cellStyle name="백분율 2 5" xfId="23" xr:uid="{9D1B70C9-46D9-4133-98B8-9AE1F057E064}"/>
    <cellStyle name="쉼표 [0]" xfId="1" builtinId="6"/>
    <cellStyle name="쉼표 [0] 10" xfId="24" xr:uid="{F3743E5C-AA05-4A70-B282-BDCC6BE61261}"/>
    <cellStyle name="쉼표 [0] 11 2" xfId="52" xr:uid="{FA108705-7AE4-4320-BB88-EA6A8979CE3F}"/>
    <cellStyle name="쉼표 [0] 12 10" xfId="55" xr:uid="{3B551CB2-59C1-4040-A8C6-F4F86ED7002A}"/>
    <cellStyle name="쉼표 [0] 2 10" xfId="29" xr:uid="{94A60DBD-3109-4775-9AC7-E6E21D692CA9}"/>
    <cellStyle name="쉼표 [0] 2 14" xfId="14" xr:uid="{DB40F9C3-42A7-484D-A6C7-DE960376A1C5}"/>
    <cellStyle name="쉼표 [0] 2 15" xfId="19" xr:uid="{DFA8730B-92C9-4328-ACD3-FF223DC108DC}"/>
    <cellStyle name="쉼표 [0] 2 2" xfId="34" xr:uid="{EA9E2405-9C65-4BB1-98A9-409E6A87B015}"/>
    <cellStyle name="쉼표 [0] 2 22" xfId="39" xr:uid="{069D6833-477B-4888-80CA-EA10421F4376}"/>
    <cellStyle name="쉼표 [0] 2 3" xfId="57" xr:uid="{A8D10E52-6320-4A50-AD82-E77C23EB4C2D}"/>
    <cellStyle name="쉼표 [0] 23" xfId="53" xr:uid="{94E3DA3C-28B0-464C-9DB1-E53E580BACD4}"/>
    <cellStyle name="쉼표 [0] 24" xfId="8" xr:uid="{400C3B97-65A0-41AE-8F2F-F26BE9E7A63E}"/>
    <cellStyle name="쉼표 [0] 25" xfId="21" xr:uid="{7EC96958-D8CF-4932-ABE4-DBB127C32F93}"/>
    <cellStyle name="쉼표 [0] 27" xfId="4" xr:uid="{63B7E95A-D8B6-46C5-B497-A51550E47F2B}"/>
    <cellStyle name="쉼표 [0] 27 2" xfId="27" xr:uid="{899004ED-1162-47F6-914E-D38D89EAD5EF}"/>
    <cellStyle name="쉼표 [0] 28 2" xfId="37" xr:uid="{887D81FC-8793-469D-B166-DB79A4B2A748}"/>
    <cellStyle name="쉼표 [0] 29" xfId="43" xr:uid="{F85AC3F5-F9DF-4882-B41F-59B8132212AE}"/>
    <cellStyle name="쉼표 [0] 3 2" xfId="15" xr:uid="{A422EE97-B77F-4E1D-9808-B9881596BFF4}"/>
    <cellStyle name="쉼표 [0] 31" xfId="50" xr:uid="{568440F0-559D-4D93-827F-48569CF9026C}"/>
    <cellStyle name="쉼표 [0] 6" xfId="18" xr:uid="{DA47487A-61A0-4C48-B201-954444B50622}"/>
    <cellStyle name="쉼표 [0] 6 42" xfId="56" xr:uid="{8F32CD6E-9FF3-4E25-9950-0F098A1D6A31}"/>
    <cellStyle name="테두리(실선)" xfId="12" xr:uid="{97B98172-59FD-4AEA-8D56-879CF4794F8E}"/>
    <cellStyle name="표준" xfId="0" builtinId="0"/>
    <cellStyle name="표준 10" xfId="25" xr:uid="{3D0E189B-319B-4104-A0FE-2E7D69336FF6}"/>
    <cellStyle name="표준 10 2" xfId="36" xr:uid="{994B2570-B227-4CF5-9E1B-FB8D4C0318F1}"/>
    <cellStyle name="표준 100 2" xfId="38" xr:uid="{58531ACA-0853-40BB-BC07-58D2775A648F}"/>
    <cellStyle name="표준 102 2" xfId="28" xr:uid="{5B80C65E-3BFC-4428-BAE6-E2F3BEA756C9}"/>
    <cellStyle name="표준 11 2" xfId="3" xr:uid="{7C5728B4-CC62-4558-A6E3-0C32A9F8FBFC}"/>
    <cellStyle name="표준 126" xfId="22" xr:uid="{810486CF-6560-4776-9554-A58EAFAB8768}"/>
    <cellStyle name="표준 128" xfId="42" xr:uid="{4F823E8E-6D90-4FA8-A1BE-D13A2522055C}"/>
    <cellStyle name="표준 131" xfId="6" xr:uid="{46661E47-182C-4914-BFE6-113034275022}"/>
    <cellStyle name="표준 132" xfId="49" xr:uid="{61B32397-A0E7-4352-BA92-65A95B0CD6FC}"/>
    <cellStyle name="표준 15 2 2" xfId="20" xr:uid="{950104A2-1450-49DF-8F70-21266FD5D8D7}"/>
    <cellStyle name="표준 2" xfId="10" xr:uid="{49A91130-E630-4C6A-8862-50CBCD48DACB}"/>
    <cellStyle name="표준 2 10" xfId="26" xr:uid="{5A8951FF-D754-4F4F-9108-719738C811BB}"/>
    <cellStyle name="표준 2 2" xfId="41" xr:uid="{3F055D4E-B441-4383-A413-29B8D9FAAE99}"/>
    <cellStyle name="표준 2 2 13" xfId="47" xr:uid="{566C5A1E-005F-4793-8766-0A43077064AC}"/>
    <cellStyle name="표준 2 3 3" xfId="17" xr:uid="{ACCB198D-405B-4C09-B905-1BE2365506C3}"/>
    <cellStyle name="표준 2 3 5" xfId="45" xr:uid="{F9E53D9C-2AD3-434F-87E5-CEC750B0640A}"/>
    <cellStyle name="표준 22" xfId="7" xr:uid="{3EFBE551-F930-4F5F-9CE1-5BCF3204DDD7}"/>
    <cellStyle name="표준 3 16" xfId="11" xr:uid="{6731BA95-731B-44DB-A120-5D3425BC5F7A}"/>
    <cellStyle name="표준 3 17" xfId="16" xr:uid="{5F609054-98B0-42EC-920C-C7AD0EF7B468}"/>
    <cellStyle name="표준 36 3" xfId="40" xr:uid="{06E4EE80-C1DE-41E9-8BA0-5FA4B70E656F}"/>
    <cellStyle name="표준 36 4" xfId="48" xr:uid="{CCAD4731-27AE-4CB4-AD9B-EC6108002A04}"/>
    <cellStyle name="표준 6" xfId="5" xr:uid="{7ADE113D-3B24-4133-999A-E34BEE77BDF8}"/>
    <cellStyle name="표준 6 9" xfId="54" xr:uid="{23398752-930D-48A9-854D-BCE9249E45A7}"/>
    <cellStyle name="표준 7 8" xfId="58" xr:uid="{7872AA5E-3553-425C-8C77-59A31E9E8D9F}"/>
    <cellStyle name="표준_05년도장비가동 현황" xfId="46" xr:uid="{8C3D922B-845A-43E3-889B-F62DAE85DE64}"/>
    <cellStyle name="표준_복사본 서울춘천법인(10월)" xfId="33" xr:uid="{7D01C0C4-4827-4187-A56F-648E3F83E0C0}"/>
    <cellStyle name="표준_제2영동고속도로(1117)" xfId="9" xr:uid="{13EF0410-BEDA-4A3F-A558-C07434E74233}"/>
    <cellStyle name="하이퍼링크 5" xfId="31" xr:uid="{F775CF31-BDD5-4B0C-B53E-DF2AA7DDA2DC}"/>
  </cellStyles>
  <dxfs count="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report!$E$178</c:f>
              <c:strCache>
                <c:ptCount val="1"/>
                <c:pt idx="0">
                  <c:v>무보증 3년 회사채 AA-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report!$D$179:$D$188</c:f>
              <c:numCache>
                <c:formatCode>General</c:formatCode>
                <c:ptCount val="10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</c:numCache>
            </c:numRef>
          </c:cat>
          <c:val>
            <c:numRef>
              <c:f>report!$E$179:$E$188</c:f>
              <c:numCache>
                <c:formatCode>0.00%</c:formatCode>
                <c:ptCount val="10"/>
                <c:pt idx="0">
                  <c:v>3.7644578313253026E-2</c:v>
                </c:pt>
                <c:pt idx="1">
                  <c:v>3.1905322580645178E-2</c:v>
                </c:pt>
                <c:pt idx="2">
                  <c:v>2.983455284552846E-2</c:v>
                </c:pt>
                <c:pt idx="3">
                  <c:v>2.0838032128514063E-2</c:v>
                </c:pt>
                <c:pt idx="4">
                  <c:v>1.8861538461538457E-2</c:v>
                </c:pt>
                <c:pt idx="5">
                  <c:v>2.3246762295081963E-2</c:v>
                </c:pt>
                <c:pt idx="6">
                  <c:v>2.6506857142857151E-2</c:v>
                </c:pt>
                <c:pt idx="7">
                  <c:v>2.0229149797570855E-2</c:v>
                </c:pt>
                <c:pt idx="8">
                  <c:v>2.1279718875502E-2</c:v>
                </c:pt>
                <c:pt idx="9">
                  <c:v>2.0831405622489953E-2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B-4A12-A025-04831F96F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6398608"/>
        <c:axId val="996409008"/>
      </c:lineChart>
      <c:catAx>
        <c:axId val="99639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6409008"/>
        <c:crosses val="autoZero"/>
        <c:auto val="1"/>
        <c:lblAlgn val="ctr"/>
        <c:lblOffset val="100"/>
        <c:noMultiLvlLbl val="0"/>
      </c:catAx>
      <c:valAx>
        <c:axId val="99640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639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report!$C$650</c:f>
              <c:strCache>
                <c:ptCount val="1"/>
                <c:pt idx="0">
                  <c:v>단순 DSCR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report!$D$649:$M$649</c15:sqref>
                  </c15:fullRef>
                </c:ext>
              </c:extLst>
              <c:f>report!$F$649:$M$649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report!$D$650:$M$650</c15:sqref>
                  </c15:fullRef>
                </c:ext>
              </c:extLst>
              <c:f>report!$F$650:$M$650</c:f>
              <c:numCache>
                <c:formatCode>#,##0.00;[Red]\(#,##0.00\);"-"</c:formatCode>
                <c:ptCount val="8"/>
                <c:pt idx="0">
                  <c:v>1.5727842086829662</c:v>
                </c:pt>
                <c:pt idx="1">
                  <c:v>2.1820473062767372</c:v>
                </c:pt>
                <c:pt idx="2">
                  <c:v>2.0094375132625144</c:v>
                </c:pt>
                <c:pt idx="3">
                  <c:v>1.3735820263812935</c:v>
                </c:pt>
                <c:pt idx="4">
                  <c:v>1.8178923974804437</c:v>
                </c:pt>
                <c:pt idx="5">
                  <c:v>7.0181792893274988</c:v>
                </c:pt>
                <c:pt idx="6">
                  <c:v>7.261227535274859</c:v>
                </c:pt>
                <c:pt idx="7">
                  <c:v>10.301621284739729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7E-4441-B694-BCD126471A37}"/>
            </c:ext>
          </c:extLst>
        </c:ser>
        <c:ser>
          <c:idx val="1"/>
          <c:order val="1"/>
          <c:tx>
            <c:strRef>
              <c:f>report!$C$651</c:f>
              <c:strCache>
                <c:ptCount val="1"/>
                <c:pt idx="0">
                  <c:v>누적 DSCR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1.783200287558603E-2"/>
                  <c:y val="-6.82471097080350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075-4F4A-982F-306728F259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report!$D$649:$M$649</c15:sqref>
                  </c15:fullRef>
                </c:ext>
              </c:extLst>
              <c:f>report!$F$649:$M$649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report!$D$651:$M$651</c15:sqref>
                  </c15:fullRef>
                </c:ext>
              </c:extLst>
              <c:f>report!$F$651:$M$651</c:f>
              <c:numCache>
                <c:formatCode>#,##0.00;[Red]\(#,##0.00\);"-"</c:formatCode>
                <c:ptCount val="8"/>
                <c:pt idx="0">
                  <c:v>1.6109090671773765</c:v>
                </c:pt>
                <c:pt idx="1">
                  <c:v>2.1820473062767372</c:v>
                </c:pt>
                <c:pt idx="2">
                  <c:v>2.0873638094812574</c:v>
                </c:pt>
                <c:pt idx="3">
                  <c:v>1.4057266829396537</c:v>
                </c:pt>
                <c:pt idx="4">
                  <c:v>1.8178923974804437</c:v>
                </c:pt>
                <c:pt idx="5">
                  <c:v>7.0181792893274988</c:v>
                </c:pt>
                <c:pt idx="6">
                  <c:v>7.7698797194719909</c:v>
                </c:pt>
                <c:pt idx="7">
                  <c:v>11.783737160756189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7E-4441-B694-BCD126471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0036352"/>
        <c:axId val="420043424"/>
      </c:lineChart>
      <c:catAx>
        <c:axId val="42003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0043424"/>
        <c:crosses val="autoZero"/>
        <c:auto val="1"/>
        <c:lblAlgn val="ctr"/>
        <c:lblOffset val="100"/>
        <c:noMultiLvlLbl val="0"/>
      </c:catAx>
      <c:valAx>
        <c:axId val="4200434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[Red]\(#,##0.00\);&quot;-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003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398563099625664E-2"/>
          <c:y val="1.6198826987099461E-2"/>
          <c:w val="0.94691163010131496"/>
          <c:h val="0.83167617858629095"/>
        </c:manualLayout>
      </c:layout>
      <c:areaChart>
        <c:grouping val="stacked"/>
        <c:varyColors val="0"/>
        <c:ser>
          <c:idx val="0"/>
          <c:order val="0"/>
          <c:tx>
            <c:strRef>
              <c:f>report!$D$554:$D$556</c:f>
              <c:strCache>
                <c:ptCount val="3"/>
                <c:pt idx="1">
                  <c:v>기초현금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report!$C$557:$C$564</c:f>
              <c:numCache>
                <c:formatCode>General</c:formatCod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numCache>
            </c:numRef>
          </c:cat>
          <c:val>
            <c:numRef>
              <c:f>report!$D$557:$D$564</c:f>
              <c:numCache>
                <c:formatCode>#,##0;[Red]\(#,##0\);"-"</c:formatCode>
                <c:ptCount val="8"/>
                <c:pt idx="0">
                  <c:v>756.80049400000303</c:v>
                </c:pt>
                <c:pt idx="1">
                  <c:v>0</c:v>
                </c:pt>
                <c:pt idx="2">
                  <c:v>1492.6766905465399</c:v>
                </c:pt>
                <c:pt idx="3">
                  <c:v>736.00855626918644</c:v>
                </c:pt>
                <c:pt idx="4">
                  <c:v>0</c:v>
                </c:pt>
                <c:pt idx="5">
                  <c:v>0</c:v>
                </c:pt>
                <c:pt idx="6">
                  <c:v>2151.7238126567472</c:v>
                </c:pt>
                <c:pt idx="7">
                  <c:v>4529.7618743233625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2A-409B-ACA7-8BC82F73F31D}"/>
            </c:ext>
          </c:extLst>
        </c:ser>
        <c:ser>
          <c:idx val="1"/>
          <c:order val="1"/>
          <c:tx>
            <c:strRef>
              <c:f>report!$E$554:$E$556</c:f>
              <c:strCache>
                <c:ptCount val="3"/>
                <c:pt idx="0">
                  <c:v>원리금 상환재원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report!$C$557:$C$564</c:f>
              <c:numCache>
                <c:formatCode>General</c:formatCod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numCache>
            </c:numRef>
          </c:cat>
          <c:val>
            <c:numRef>
              <c:f>report!$E$557:$E$564</c:f>
              <c:numCache>
                <c:formatCode>#,##0;[Red]\(#,##0\);"-"</c:formatCode>
                <c:ptCount val="8"/>
                <c:pt idx="0">
                  <c:v>31220.676301295367</c:v>
                </c:pt>
                <c:pt idx="1">
                  <c:v>43200.325772299235</c:v>
                </c:pt>
                <c:pt idx="2">
                  <c:v>38490.736538243356</c:v>
                </c:pt>
                <c:pt idx="3">
                  <c:v>31450.580979725921</c:v>
                </c:pt>
                <c:pt idx="4">
                  <c:v>27732.471568473717</c:v>
                </c:pt>
                <c:pt idx="5">
                  <c:v>30933.490334635582</c:v>
                </c:pt>
                <c:pt idx="6">
                  <c:v>30716.777951973749</c:v>
                </c:pt>
                <c:pt idx="7">
                  <c:v>31484.644415760806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2A-409B-ACA7-8BC82F73F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543936"/>
        <c:axId val="669532288"/>
      </c:areaChart>
      <c:barChart>
        <c:barDir val="col"/>
        <c:grouping val="stacked"/>
        <c:varyColors val="0"/>
        <c:ser>
          <c:idx val="2"/>
          <c:order val="2"/>
          <c:tx>
            <c:strRef>
              <c:f>report!$F$554:$F$556</c:f>
              <c:strCache>
                <c:ptCount val="3"/>
                <c:pt idx="0">
                  <c:v>선순위</c:v>
                </c:pt>
                <c:pt idx="1">
                  <c:v>원리금</c:v>
                </c:pt>
                <c:pt idx="2">
                  <c:v>상환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report!$C$557:$C$564</c:f>
              <c:numCache>
                <c:formatCode>General</c:formatCod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numCache>
            </c:numRef>
          </c:cat>
          <c:val>
            <c:numRef>
              <c:f>report!$F$557:$F$564</c:f>
              <c:numCache>
                <c:formatCode>#,##0;[Red]\(#,##0\);"-"</c:formatCode>
                <c:ptCount val="8"/>
                <c:pt idx="0">
                  <c:v>19850.578438500001</c:v>
                </c:pt>
                <c:pt idx="1">
                  <c:v>19798.070210500002</c:v>
                </c:pt>
                <c:pt idx="2">
                  <c:v>19154.980577499999</c:v>
                </c:pt>
                <c:pt idx="3">
                  <c:v>22896.762170499998</c:v>
                </c:pt>
                <c:pt idx="4">
                  <c:v>15255.287720499997</c:v>
                </c:pt>
                <c:pt idx="5">
                  <c:v>4407.6232679999994</c:v>
                </c:pt>
                <c:pt idx="6">
                  <c:v>4230.2458919999999</c:v>
                </c:pt>
                <c:pt idx="7">
                  <c:v>3056.2805159999884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2A-409B-ACA7-8BC82F73F31D}"/>
            </c:ext>
          </c:extLst>
        </c:ser>
        <c:ser>
          <c:idx val="4"/>
          <c:order val="4"/>
          <c:tx>
            <c:strRef>
              <c:f>report!$H$554:$H$556</c:f>
              <c:strCache>
                <c:ptCount val="3"/>
                <c:pt idx="0">
                  <c:v>대체비,유지비,보수비, 기타비용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report!$C$557:$C$564</c:f>
              <c:numCache>
                <c:formatCode>General</c:formatCod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numCache>
            </c:numRef>
          </c:cat>
          <c:val>
            <c:numRef>
              <c:f>report!$H$557:$H$564</c:f>
              <c:numCache>
                <c:formatCode>#,##0;[Red]\(#,##0\);"-"</c:formatCode>
                <c:ptCount val="8"/>
                <c:pt idx="0">
                  <c:v>2999.5</c:v>
                </c:pt>
                <c:pt idx="1">
                  <c:v>1030</c:v>
                </c:pt>
                <c:pt idx="2">
                  <c:v>1030</c:v>
                </c:pt>
                <c:pt idx="3">
                  <c:v>1342.1812030000001</c:v>
                </c:pt>
                <c:pt idx="4">
                  <c:v>1515.0257335971</c:v>
                </c:pt>
                <c:pt idx="5">
                  <c:v>2115.21135963706</c:v>
                </c:pt>
                <c:pt idx="6">
                  <c:v>1032.8854140842805</c:v>
                </c:pt>
                <c:pt idx="7">
                  <c:v>3270.4962220527364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2A-409B-ACA7-8BC82F73F31D}"/>
            </c:ext>
          </c:extLst>
        </c:ser>
        <c:ser>
          <c:idx val="5"/>
          <c:order val="5"/>
          <c:tx>
            <c:strRef>
              <c:f>report!$I$554:$I$556</c:f>
              <c:strCache>
                <c:ptCount val="3"/>
                <c:pt idx="0">
                  <c:v>예정운영비용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report!$C$557:$C$564</c:f>
              <c:numCache>
                <c:formatCode>General</c:formatCod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numCache>
            </c:numRef>
          </c:cat>
          <c:val>
            <c:numRef>
              <c:f>report!$I$557:$I$564</c:f>
              <c:numCache>
                <c:formatCode>#,##0;[Red]\(#,##0\);"-"</c:formatCode>
                <c:ptCount val="8"/>
                <c:pt idx="0">
                  <c:v>9127.3983567953674</c:v>
                </c:pt>
                <c:pt idx="1">
                  <c:v>20879.578871252703</c:v>
                </c:pt>
                <c:pt idx="2">
                  <c:v>19062.424095020713</c:v>
                </c:pt>
                <c:pt idx="3">
                  <c:v>7947.6461624951125</c:v>
                </c:pt>
                <c:pt idx="4">
                  <c:v>10962.15811437662</c:v>
                </c:pt>
                <c:pt idx="5">
                  <c:v>22258.931894341775</c:v>
                </c:pt>
                <c:pt idx="6">
                  <c:v>22917.060771566106</c:v>
                </c:pt>
                <c:pt idx="7">
                  <c:v>23483.641789365352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2A-409B-ACA7-8BC82F73F31D}"/>
            </c:ext>
          </c:extLst>
        </c:ser>
        <c:ser>
          <c:idx val="6"/>
          <c:order val="6"/>
          <c:tx>
            <c:strRef>
              <c:f>report!$J$554:$J$556</c:f>
              <c:strCache>
                <c:ptCount val="3"/>
                <c:pt idx="0">
                  <c:v>배당지급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report!$C$557:$C$564</c:f>
              <c:numCache>
                <c:formatCode>General</c:formatCod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numCache>
            </c:numRef>
          </c:cat>
          <c:val>
            <c:numRef>
              <c:f>report!$J$557:$J$564</c:f>
              <c:numCache>
                <c:formatCode>#,##0;[Red]\(#,##0\);"-"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158.54781265674978</c:v>
                </c:pt>
                <c:pt idx="7">
                  <c:v>3034.8798743233738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2A-409B-ACA7-8BC82F73F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9543936"/>
        <c:axId val="66953228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report!$G$554:$G$556</c15:sqref>
                        </c15:formulaRef>
                      </c:ext>
                    </c:extLst>
                    <c:strCache>
                      <c:ptCount val="3"/>
                      <c:pt idx="0">
                        <c:v>선순위 원리금 상환부족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report!$C$557:$C$564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report!$G$557:$G$564</c15:sqref>
                        </c15:formulaRef>
                      </c:ext>
                    </c:extLst>
                    <c:numCache>
                      <c:formatCode>#,##0;[Red]\(#,##0\);"-"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FF2A-409B-ACA7-8BC82F73F31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report!$K$554:$K$556</c15:sqref>
                        </c15:formulaRef>
                      </c:ext>
                    </c:extLst>
                    <c:strCache>
                      <c:ptCount val="3"/>
                      <c:pt idx="0">
                        <c:v>기말</c:v>
                      </c:pt>
                      <c:pt idx="1">
                        <c:v>현금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report!$C$557:$C$564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report!$K$557:$K$564</c15:sqref>
                        </c15:formulaRef>
                      </c:ext>
                    </c:extLst>
                    <c:numCache>
                      <c:formatCode>#,##0;[Red]\(#,##0\);"-"</c:formatCode>
                      <c:ptCount val="8"/>
                      <c:pt idx="0">
                        <c:v>0</c:v>
                      </c:pt>
                      <c:pt idx="1">
                        <c:v>1492.6766905465399</c:v>
                      </c:pt>
                      <c:pt idx="2">
                        <c:v>736.00855626918644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2151.7238126567472</c:v>
                      </c:pt>
                      <c:pt idx="6">
                        <c:v>4529.7618743233625</c:v>
                      </c:pt>
                      <c:pt idx="7">
                        <c:v>3169.1078883427131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F2A-409B-ACA7-8BC82F73F31D}"/>
                  </c:ext>
                </c:extLst>
              </c15:ser>
            </c15:filteredBarSeries>
          </c:ext>
        </c:extLst>
      </c:barChart>
      <c:catAx>
        <c:axId val="66954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9532288"/>
        <c:crosses val="autoZero"/>
        <c:auto val="1"/>
        <c:lblAlgn val="ctr"/>
        <c:lblOffset val="100"/>
        <c:noMultiLvlLbl val="0"/>
      </c:catAx>
      <c:valAx>
        <c:axId val="66953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[Red]\(#,##0\);&quot;-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954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report!$E$178</c:f>
              <c:strCache>
                <c:ptCount val="1"/>
                <c:pt idx="0">
                  <c:v>무보증 3년 회사채 AA-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7777777777777776E-2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D8-4D34-88BB-B324C7427AF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D8-4D34-88BB-B324C7427A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report!$D$179:$D$188</c:f>
              <c:numCache>
                <c:formatCode>General</c:formatCode>
                <c:ptCount val="10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</c:numCache>
            </c:numRef>
          </c:cat>
          <c:val>
            <c:numRef>
              <c:f>report!$E$179:$E$188</c:f>
              <c:numCache>
                <c:formatCode>0.00%</c:formatCode>
                <c:ptCount val="10"/>
                <c:pt idx="0">
                  <c:v>3.7644578313253026E-2</c:v>
                </c:pt>
                <c:pt idx="1">
                  <c:v>3.1905322580645178E-2</c:v>
                </c:pt>
                <c:pt idx="2">
                  <c:v>2.983455284552846E-2</c:v>
                </c:pt>
                <c:pt idx="3">
                  <c:v>2.0838032128514063E-2</c:v>
                </c:pt>
                <c:pt idx="4">
                  <c:v>1.8861538461538457E-2</c:v>
                </c:pt>
                <c:pt idx="5">
                  <c:v>2.3246762295081963E-2</c:v>
                </c:pt>
                <c:pt idx="6">
                  <c:v>2.6506857142857151E-2</c:v>
                </c:pt>
                <c:pt idx="7">
                  <c:v>2.0229149797570855E-2</c:v>
                </c:pt>
                <c:pt idx="8">
                  <c:v>2.1279718875502E-2</c:v>
                </c:pt>
                <c:pt idx="9">
                  <c:v>2.0831405622489953E-2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D8-4D34-88BB-B324C7427AF5}"/>
            </c:ext>
          </c:extLst>
        </c:ser>
        <c:ser>
          <c:idx val="1"/>
          <c:order val="1"/>
          <c:tx>
            <c:strRef>
              <c:f>report!$F$178</c:f>
              <c:strCache>
                <c:ptCount val="1"/>
                <c:pt idx="0">
                  <c:v>10년 평균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layout>
                <c:manualLayout>
                  <c:x val="-8.3333333333333332E-3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D8-4D34-88BB-B324C7427A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report!$D$179:$D$188</c:f>
              <c:numCache>
                <c:formatCode>General</c:formatCode>
                <c:ptCount val="10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</c:numCache>
            </c:numRef>
          </c:cat>
          <c:val>
            <c:numRef>
              <c:f>report!$F$179:$F$188</c:f>
              <c:numCache>
                <c:formatCode>0.00%</c:formatCode>
                <c:ptCount val="10"/>
                <c:pt idx="0">
                  <c:v>2.5117791806298112E-2</c:v>
                </c:pt>
                <c:pt idx="1">
                  <c:v>2.5117791806298112E-2</c:v>
                </c:pt>
                <c:pt idx="2">
                  <c:v>2.5117791806298112E-2</c:v>
                </c:pt>
                <c:pt idx="3">
                  <c:v>2.5117791806298112E-2</c:v>
                </c:pt>
                <c:pt idx="4">
                  <c:v>2.5117791806298112E-2</c:v>
                </c:pt>
                <c:pt idx="5">
                  <c:v>2.5117791806298112E-2</c:v>
                </c:pt>
                <c:pt idx="6">
                  <c:v>2.5117791806298112E-2</c:v>
                </c:pt>
                <c:pt idx="7">
                  <c:v>2.5117791806298112E-2</c:v>
                </c:pt>
                <c:pt idx="8">
                  <c:v>2.5117791806298112E-2</c:v>
                </c:pt>
                <c:pt idx="9">
                  <c:v>2.5117791806298112E-2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D8-4D34-88BB-B324C742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1457039"/>
        <c:axId val="2141462447"/>
      </c:lineChart>
      <c:catAx>
        <c:axId val="214145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41462447"/>
        <c:crosses val="autoZero"/>
        <c:auto val="1"/>
        <c:lblAlgn val="ctr"/>
        <c:lblOffset val="100"/>
        <c:noMultiLvlLbl val="0"/>
      </c:catAx>
      <c:valAx>
        <c:axId val="2141462447"/>
        <c:scaling>
          <c:orientation val="minMax"/>
          <c:min val="1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4145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report!$C$21</c:f>
              <c:strCache>
                <c:ptCount val="1"/>
                <c:pt idx="0">
                  <c:v>물동량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report!$D$20:$AO$20</c:f>
              <c:numCache>
                <c:formatCode>General</c:formatCode>
                <c:ptCount val="3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</c:numCache>
            </c:numRef>
          </c:cat>
          <c:val>
            <c:numRef>
              <c:f>report!$D$21:$AO$21</c:f>
              <c:numCache>
                <c:formatCode>0</c:formatCode>
                <c:ptCount val="38"/>
                <c:pt idx="0">
                  <c:v>310</c:v>
                </c:pt>
                <c:pt idx="1">
                  <c:v>320</c:v>
                </c:pt>
                <c:pt idx="2">
                  <c:v>330</c:v>
                </c:pt>
                <c:pt idx="3">
                  <c:v>340</c:v>
                </c:pt>
                <c:pt idx="4">
                  <c:v>350</c:v>
                </c:pt>
                <c:pt idx="5">
                  <c:v>360</c:v>
                </c:pt>
                <c:pt idx="6">
                  <c:v>370</c:v>
                </c:pt>
                <c:pt idx="7">
                  <c:v>380</c:v>
                </c:pt>
                <c:pt idx="8">
                  <c:v>390</c:v>
                </c:pt>
                <c:pt idx="9">
                  <c:v>394</c:v>
                </c:pt>
                <c:pt idx="10" formatCode="General">
                  <c:v>398</c:v>
                </c:pt>
                <c:pt idx="11" formatCode="General">
                  <c:v>402</c:v>
                </c:pt>
                <c:pt idx="12" formatCode="General">
                  <c:v>406</c:v>
                </c:pt>
                <c:pt idx="13" formatCode="General">
                  <c:v>410</c:v>
                </c:pt>
                <c:pt idx="14" formatCode="General">
                  <c:v>414</c:v>
                </c:pt>
                <c:pt idx="15" formatCode="General">
                  <c:v>418</c:v>
                </c:pt>
                <c:pt idx="16" formatCode="General">
                  <c:v>422</c:v>
                </c:pt>
                <c:pt idx="17" formatCode="General">
                  <c:v>426</c:v>
                </c:pt>
                <c:pt idx="18" formatCode="General">
                  <c:v>430</c:v>
                </c:pt>
                <c:pt idx="19" formatCode="General">
                  <c:v>434</c:v>
                </c:pt>
                <c:pt idx="20" formatCode="General">
                  <c:v>438</c:v>
                </c:pt>
                <c:pt idx="21" formatCode="General">
                  <c:v>442</c:v>
                </c:pt>
                <c:pt idx="22" formatCode="General">
                  <c:v>446</c:v>
                </c:pt>
                <c:pt idx="23" formatCode="General">
                  <c:v>450</c:v>
                </c:pt>
                <c:pt idx="24" formatCode="General">
                  <c:v>454</c:v>
                </c:pt>
                <c:pt idx="25" formatCode="General">
                  <c:v>458</c:v>
                </c:pt>
                <c:pt idx="26" formatCode="General">
                  <c:v>462</c:v>
                </c:pt>
                <c:pt idx="27" formatCode="General">
                  <c:v>466</c:v>
                </c:pt>
                <c:pt idx="28" formatCode="General">
                  <c:v>470</c:v>
                </c:pt>
                <c:pt idx="29" formatCode="General">
                  <c:v>474</c:v>
                </c:pt>
                <c:pt idx="30" formatCode="General">
                  <c:v>478</c:v>
                </c:pt>
                <c:pt idx="31" formatCode="General">
                  <c:v>482</c:v>
                </c:pt>
                <c:pt idx="32" formatCode="General">
                  <c:v>486</c:v>
                </c:pt>
                <c:pt idx="33" formatCode="General">
                  <c:v>490</c:v>
                </c:pt>
                <c:pt idx="34" formatCode="General">
                  <c:v>494</c:v>
                </c:pt>
                <c:pt idx="35" formatCode="General">
                  <c:v>498</c:v>
                </c:pt>
                <c:pt idx="36" formatCode="General">
                  <c:v>502</c:v>
                </c:pt>
                <c:pt idx="37" formatCode="General">
                  <c:v>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8-46C2-B0D6-44D2AC87E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311247"/>
        <c:axId val="730287119"/>
      </c:barChart>
      <c:catAx>
        <c:axId val="730311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30287119"/>
        <c:crosses val="autoZero"/>
        <c:auto val="1"/>
        <c:lblAlgn val="ctr"/>
        <c:lblOffset val="100"/>
        <c:tickLblSkip val="3"/>
        <c:noMultiLvlLbl val="0"/>
      </c:catAx>
      <c:valAx>
        <c:axId val="730287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30311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report!$C$61</c:f>
              <c:strCache>
                <c:ptCount val="1"/>
                <c:pt idx="0">
                  <c:v>기준사용료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report!$D$60:$Q$60</c15:sqref>
                  </c15:fullRef>
                </c:ext>
              </c:extLst>
              <c:f>report!$D$60:$P$60</c:f>
              <c:strCache>
                <c:ptCount val="13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report!$D$61:$Q$61</c15:sqref>
                  </c15:fullRef>
                </c:ext>
              </c:extLst>
              <c:f>report!$D$61:$P$61</c:f>
              <c:numCache>
                <c:formatCode>#,##0;[Red]\(#,##0\);"-"</c:formatCode>
                <c:ptCount val="13"/>
                <c:pt idx="0">
                  <c:v>52668.475149541198</c:v>
                </c:pt>
                <c:pt idx="1">
                  <c:v>54975.947368143126</c:v>
                </c:pt>
                <c:pt idx="2">
                  <c:v>56515.332944729314</c:v>
                </c:pt>
                <c:pt idx="3">
                  <c:v>56438.818666376581</c:v>
                </c:pt>
                <c:pt idx="4">
                  <c:v>56053.313420951097</c:v>
                </c:pt>
                <c:pt idx="5">
                  <c:v>54861.886966696598</c:v>
                </c:pt>
                <c:pt idx="6">
                  <c:v>55022.012235883965</c:v>
                </c:pt>
                <c:pt idx="7">
                  <c:v>56704.340141398272</c:v>
                </c:pt>
                <c:pt idx="8">
                  <c:v>59238</c:v>
                </c:pt>
                <c:pt idx="9">
                  <c:v>59871</c:v>
                </c:pt>
                <c:pt idx="10">
                  <c:v>63088</c:v>
                </c:pt>
                <c:pt idx="11">
                  <c:v>64445.303920825922</c:v>
                </c:pt>
                <c:pt idx="12">
                  <c:v>66843.558546095228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1-4AE6-800C-3F6959A08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5396591"/>
        <c:axId val="1975397007"/>
      </c:lineChart>
      <c:catAx>
        <c:axId val="197539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75397007"/>
        <c:crosses val="autoZero"/>
        <c:auto val="1"/>
        <c:lblAlgn val="ctr"/>
        <c:lblOffset val="100"/>
        <c:noMultiLvlLbl val="0"/>
      </c:catAx>
      <c:valAx>
        <c:axId val="1975397007"/>
        <c:scaling>
          <c:orientation val="minMax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[Red]\(#,##0\);&quot;-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75396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report!$C$12</c:f>
              <c:strCache>
                <c:ptCount val="1"/>
                <c:pt idx="0">
                  <c:v>실시협약 물동량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report!$D$11:$P$11</c:f>
              <c:numCache>
                <c:formatCode>General</c:formatCode>
                <c:ptCount val="13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</c:numCache>
            </c:numRef>
          </c:cat>
          <c:val>
            <c:numRef>
              <c:f>report!$D$12:$P$12</c:f>
              <c:numCache>
                <c:formatCode>0</c:formatCode>
                <c:ptCount val="13"/>
                <c:pt idx="0">
                  <c:v>120.482</c:v>
                </c:pt>
                <c:pt idx="1">
                  <c:v>254.62700000000001</c:v>
                </c:pt>
                <c:pt idx="2">
                  <c:v>287.64400000000001</c:v>
                </c:pt>
                <c:pt idx="3">
                  <c:v>329.17</c:v>
                </c:pt>
                <c:pt idx="4">
                  <c:v>390.84399999999999</c:v>
                </c:pt>
                <c:pt idx="5">
                  <c:v>460.75099999999998</c:v>
                </c:pt>
                <c:pt idx="6">
                  <c:v>503.09899999999999</c:v>
                </c:pt>
                <c:pt idx="7">
                  <c:v>515</c:v>
                </c:pt>
                <c:pt idx="8">
                  <c:v>515</c:v>
                </c:pt>
                <c:pt idx="9">
                  <c:v>515</c:v>
                </c:pt>
                <c:pt idx="10">
                  <c:v>515</c:v>
                </c:pt>
                <c:pt idx="11">
                  <c:v>515</c:v>
                </c:pt>
                <c:pt idx="12">
                  <c:v>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BF7-BD29-DB38D2B847BE}"/>
            </c:ext>
          </c:extLst>
        </c:ser>
        <c:ser>
          <c:idx val="1"/>
          <c:order val="1"/>
          <c:tx>
            <c:strRef>
              <c:f>report!$C$13</c:f>
              <c:strCache>
                <c:ptCount val="1"/>
                <c:pt idx="0">
                  <c:v>실제 물동량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report!$D$11:$P$11</c:f>
              <c:numCache>
                <c:formatCode>General</c:formatCode>
                <c:ptCount val="13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</c:numCache>
            </c:numRef>
          </c:cat>
          <c:val>
            <c:numRef>
              <c:f>report!$D$13:$P$13</c:f>
              <c:numCache>
                <c:formatCode>0</c:formatCode>
                <c:ptCount val="13"/>
                <c:pt idx="0">
                  <c:v>63.862000000000002</c:v>
                </c:pt>
                <c:pt idx="1">
                  <c:v>189.37200000000001</c:v>
                </c:pt>
                <c:pt idx="2">
                  <c:v>232.45599999999999</c:v>
                </c:pt>
                <c:pt idx="3">
                  <c:v>239.018</c:v>
                </c:pt>
                <c:pt idx="4">
                  <c:v>243.63399999999999</c:v>
                </c:pt>
                <c:pt idx="5">
                  <c:v>246.131</c:v>
                </c:pt>
                <c:pt idx="6">
                  <c:v>251.31</c:v>
                </c:pt>
                <c:pt idx="7">
                  <c:v>305.52</c:v>
                </c:pt>
                <c:pt idx="8">
                  <c:v>307.18799999999999</c:v>
                </c:pt>
                <c:pt idx="9">
                  <c:v>302.93200000000002</c:v>
                </c:pt>
                <c:pt idx="10">
                  <c:v>320.34300000000002</c:v>
                </c:pt>
                <c:pt idx="11">
                  <c:v>352.19400000000002</c:v>
                </c:pt>
                <c:pt idx="12">
                  <c:v>314.43599999999998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BF7-BD29-DB38D2B84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4157183"/>
        <c:axId val="1804158015"/>
      </c:barChart>
      <c:lineChart>
        <c:grouping val="standard"/>
        <c:varyColors val="0"/>
        <c:ser>
          <c:idx val="2"/>
          <c:order val="2"/>
          <c:tx>
            <c:strRef>
              <c:f>report!$C$14</c:f>
              <c:strCache>
                <c:ptCount val="1"/>
                <c:pt idx="0">
                  <c:v>실시협약 대비 물동량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report!$D$11:$P$11</c:f>
              <c:numCache>
                <c:formatCode>General</c:formatCode>
                <c:ptCount val="13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</c:numCache>
            </c:numRef>
          </c:cat>
          <c:val>
            <c:numRef>
              <c:f>report!$D$14:$P$14</c:f>
              <c:numCache>
                <c:formatCode>0.00%</c:formatCode>
                <c:ptCount val="13"/>
                <c:pt idx="0">
                  <c:v>0.53005428196743087</c:v>
                </c:pt>
                <c:pt idx="1">
                  <c:v>0.743723171541117</c:v>
                </c:pt>
                <c:pt idx="2">
                  <c:v>0.80813783704857389</c:v>
                </c:pt>
                <c:pt idx="3">
                  <c:v>0.7261232797642555</c:v>
                </c:pt>
                <c:pt idx="4">
                  <c:v>0.62335356305840695</c:v>
                </c:pt>
                <c:pt idx="5">
                  <c:v>0.53419525947854696</c:v>
                </c:pt>
                <c:pt idx="6">
                  <c:v>0.49952395055446347</c:v>
                </c:pt>
                <c:pt idx="7">
                  <c:v>0.59324271844660192</c:v>
                </c:pt>
                <c:pt idx="8">
                  <c:v>0.5964815533980582</c:v>
                </c:pt>
                <c:pt idx="9">
                  <c:v>0.58821747572815541</c:v>
                </c:pt>
                <c:pt idx="10">
                  <c:v>0.62202524271844661</c:v>
                </c:pt>
                <c:pt idx="11">
                  <c:v>0.68387184466019424</c:v>
                </c:pt>
                <c:pt idx="12">
                  <c:v>0.61055533980582521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78-4BF7-BD29-DB38D2B84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4157599"/>
        <c:axId val="1804158431"/>
      </c:lineChart>
      <c:catAx>
        <c:axId val="18041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4158015"/>
        <c:crosses val="autoZero"/>
        <c:auto val="1"/>
        <c:lblAlgn val="ctr"/>
        <c:lblOffset val="100"/>
        <c:noMultiLvlLbl val="0"/>
      </c:catAx>
      <c:valAx>
        <c:axId val="180415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4157183"/>
        <c:crosses val="autoZero"/>
        <c:crossBetween val="between"/>
      </c:valAx>
      <c:valAx>
        <c:axId val="1804158431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4157599"/>
        <c:crosses val="max"/>
        <c:crossBetween val="between"/>
      </c:valAx>
      <c:catAx>
        <c:axId val="180415759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04158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2494785148101792E-2"/>
          <c:y val="0.89394938289181169"/>
          <c:w val="0.89999984604330185"/>
          <c:h val="8.7206435031991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report!$C$38</c:f>
              <c:strCache>
                <c:ptCount val="1"/>
                <c:pt idx="0">
                  <c:v>실시협약 물동량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report!$D$37:$AO$37</c:f>
              <c:numCache>
                <c:formatCode>General</c:formatCode>
                <c:ptCount val="3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</c:numCache>
            </c:numRef>
          </c:cat>
          <c:val>
            <c:numRef>
              <c:f>report!$D$38:$AO$38</c:f>
              <c:numCache>
                <c:formatCode>0</c:formatCode>
                <c:ptCount val="38"/>
                <c:pt idx="0">
                  <c:v>515</c:v>
                </c:pt>
                <c:pt idx="1">
                  <c:v>515</c:v>
                </c:pt>
                <c:pt idx="2">
                  <c:v>515</c:v>
                </c:pt>
                <c:pt idx="3">
                  <c:v>515</c:v>
                </c:pt>
                <c:pt idx="4">
                  <c:v>515</c:v>
                </c:pt>
                <c:pt idx="5">
                  <c:v>515</c:v>
                </c:pt>
                <c:pt idx="6">
                  <c:v>515</c:v>
                </c:pt>
                <c:pt idx="7">
                  <c:v>515</c:v>
                </c:pt>
                <c:pt idx="8">
                  <c:v>515</c:v>
                </c:pt>
                <c:pt idx="9">
                  <c:v>515</c:v>
                </c:pt>
                <c:pt idx="10">
                  <c:v>515</c:v>
                </c:pt>
                <c:pt idx="11">
                  <c:v>515</c:v>
                </c:pt>
                <c:pt idx="12">
                  <c:v>515</c:v>
                </c:pt>
                <c:pt idx="13">
                  <c:v>515</c:v>
                </c:pt>
                <c:pt idx="14">
                  <c:v>515</c:v>
                </c:pt>
                <c:pt idx="15">
                  <c:v>515</c:v>
                </c:pt>
                <c:pt idx="16">
                  <c:v>515</c:v>
                </c:pt>
                <c:pt idx="17">
                  <c:v>515</c:v>
                </c:pt>
                <c:pt idx="18">
                  <c:v>515</c:v>
                </c:pt>
                <c:pt idx="19">
                  <c:v>515</c:v>
                </c:pt>
                <c:pt idx="20">
                  <c:v>515</c:v>
                </c:pt>
                <c:pt idx="21">
                  <c:v>515</c:v>
                </c:pt>
                <c:pt idx="22">
                  <c:v>515</c:v>
                </c:pt>
                <c:pt idx="23">
                  <c:v>515</c:v>
                </c:pt>
                <c:pt idx="24">
                  <c:v>515</c:v>
                </c:pt>
                <c:pt idx="25">
                  <c:v>515</c:v>
                </c:pt>
                <c:pt idx="26">
                  <c:v>515</c:v>
                </c:pt>
                <c:pt idx="27">
                  <c:v>515</c:v>
                </c:pt>
                <c:pt idx="28">
                  <c:v>515</c:v>
                </c:pt>
                <c:pt idx="29">
                  <c:v>515</c:v>
                </c:pt>
                <c:pt idx="30">
                  <c:v>515</c:v>
                </c:pt>
                <c:pt idx="31">
                  <c:v>515</c:v>
                </c:pt>
                <c:pt idx="32">
                  <c:v>515</c:v>
                </c:pt>
                <c:pt idx="33">
                  <c:v>515</c:v>
                </c:pt>
                <c:pt idx="34">
                  <c:v>515</c:v>
                </c:pt>
                <c:pt idx="35">
                  <c:v>515</c:v>
                </c:pt>
                <c:pt idx="36">
                  <c:v>515</c:v>
                </c:pt>
                <c:pt idx="37">
                  <c:v>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7-4E94-943E-5035529A5AF3}"/>
            </c:ext>
          </c:extLst>
        </c:ser>
        <c:ser>
          <c:idx val="1"/>
          <c:order val="1"/>
          <c:tx>
            <c:strRef>
              <c:f>report!$C$39</c:f>
              <c:strCache>
                <c:ptCount val="1"/>
                <c:pt idx="0">
                  <c:v>추정물동량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report!$D$37:$AO$37</c:f>
              <c:numCache>
                <c:formatCode>General</c:formatCode>
                <c:ptCount val="3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</c:numCache>
            </c:numRef>
          </c:cat>
          <c:val>
            <c:numRef>
              <c:f>report!$D$39:$AO$39</c:f>
              <c:numCache>
                <c:formatCode>0</c:formatCode>
                <c:ptCount val="38"/>
                <c:pt idx="0">
                  <c:v>310</c:v>
                </c:pt>
                <c:pt idx="1">
                  <c:v>320</c:v>
                </c:pt>
                <c:pt idx="2">
                  <c:v>330</c:v>
                </c:pt>
                <c:pt idx="3">
                  <c:v>340</c:v>
                </c:pt>
                <c:pt idx="4">
                  <c:v>350</c:v>
                </c:pt>
                <c:pt idx="5">
                  <c:v>360</c:v>
                </c:pt>
                <c:pt idx="6">
                  <c:v>370</c:v>
                </c:pt>
                <c:pt idx="7">
                  <c:v>380</c:v>
                </c:pt>
                <c:pt idx="8">
                  <c:v>390</c:v>
                </c:pt>
                <c:pt idx="9">
                  <c:v>394</c:v>
                </c:pt>
                <c:pt idx="10">
                  <c:v>398</c:v>
                </c:pt>
                <c:pt idx="11">
                  <c:v>402</c:v>
                </c:pt>
                <c:pt idx="12">
                  <c:v>406</c:v>
                </c:pt>
                <c:pt idx="13">
                  <c:v>410</c:v>
                </c:pt>
                <c:pt idx="14">
                  <c:v>414</c:v>
                </c:pt>
                <c:pt idx="15">
                  <c:v>418</c:v>
                </c:pt>
                <c:pt idx="16">
                  <c:v>422</c:v>
                </c:pt>
                <c:pt idx="17">
                  <c:v>426</c:v>
                </c:pt>
                <c:pt idx="18">
                  <c:v>430</c:v>
                </c:pt>
                <c:pt idx="19">
                  <c:v>434</c:v>
                </c:pt>
                <c:pt idx="20">
                  <c:v>438</c:v>
                </c:pt>
                <c:pt idx="21">
                  <c:v>442</c:v>
                </c:pt>
                <c:pt idx="22">
                  <c:v>446</c:v>
                </c:pt>
                <c:pt idx="23">
                  <c:v>450</c:v>
                </c:pt>
                <c:pt idx="24">
                  <c:v>454</c:v>
                </c:pt>
                <c:pt idx="25">
                  <c:v>458</c:v>
                </c:pt>
                <c:pt idx="26">
                  <c:v>462</c:v>
                </c:pt>
                <c:pt idx="27">
                  <c:v>466</c:v>
                </c:pt>
                <c:pt idx="28">
                  <c:v>470</c:v>
                </c:pt>
                <c:pt idx="29">
                  <c:v>474</c:v>
                </c:pt>
                <c:pt idx="30">
                  <c:v>478</c:v>
                </c:pt>
                <c:pt idx="31">
                  <c:v>482</c:v>
                </c:pt>
                <c:pt idx="32">
                  <c:v>486</c:v>
                </c:pt>
                <c:pt idx="33">
                  <c:v>490</c:v>
                </c:pt>
                <c:pt idx="34">
                  <c:v>494</c:v>
                </c:pt>
                <c:pt idx="35">
                  <c:v>498</c:v>
                </c:pt>
                <c:pt idx="36">
                  <c:v>502</c:v>
                </c:pt>
                <c:pt idx="37">
                  <c:v>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B7-4E94-943E-5035529A5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5593343"/>
        <c:axId val="1945595423"/>
      </c:barChart>
      <c:lineChart>
        <c:grouping val="standard"/>
        <c:varyColors val="0"/>
        <c:ser>
          <c:idx val="2"/>
          <c:order val="2"/>
          <c:tx>
            <c:strRef>
              <c:f>report!$C$40</c:f>
              <c:strCache>
                <c:ptCount val="1"/>
                <c:pt idx="0">
                  <c:v>실시협약 대비 물동량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report!$D$37:$AO$37</c:f>
              <c:numCache>
                <c:formatCode>General</c:formatCode>
                <c:ptCount val="3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</c:numCache>
            </c:numRef>
          </c:cat>
          <c:val>
            <c:numRef>
              <c:f>report!$D$40:$AO$40</c:f>
              <c:numCache>
                <c:formatCode>0.00%</c:formatCode>
                <c:ptCount val="38"/>
                <c:pt idx="0">
                  <c:v>0.60194174757281549</c:v>
                </c:pt>
                <c:pt idx="1">
                  <c:v>0.62135922330097082</c:v>
                </c:pt>
                <c:pt idx="2">
                  <c:v>0.64077669902912626</c:v>
                </c:pt>
                <c:pt idx="3">
                  <c:v>0.66019417475728159</c:v>
                </c:pt>
                <c:pt idx="4">
                  <c:v>0.67961165048543692</c:v>
                </c:pt>
                <c:pt idx="5">
                  <c:v>0.69902912621359226</c:v>
                </c:pt>
                <c:pt idx="6">
                  <c:v>0.71844660194174759</c:v>
                </c:pt>
                <c:pt idx="7">
                  <c:v>0.73786407766990292</c:v>
                </c:pt>
                <c:pt idx="8">
                  <c:v>0.75728155339805825</c:v>
                </c:pt>
                <c:pt idx="9">
                  <c:v>0.7650485436893204</c:v>
                </c:pt>
                <c:pt idx="10">
                  <c:v>0.77281553398058256</c:v>
                </c:pt>
                <c:pt idx="11">
                  <c:v>0.78058252427184471</c:v>
                </c:pt>
                <c:pt idx="12">
                  <c:v>0.78834951456310676</c:v>
                </c:pt>
                <c:pt idx="13">
                  <c:v>0.79611650485436891</c:v>
                </c:pt>
                <c:pt idx="14">
                  <c:v>0.80388349514563107</c:v>
                </c:pt>
                <c:pt idx="15">
                  <c:v>0.81165048543689322</c:v>
                </c:pt>
                <c:pt idx="16">
                  <c:v>0.81941747572815538</c:v>
                </c:pt>
                <c:pt idx="17">
                  <c:v>0.82718446601941753</c:v>
                </c:pt>
                <c:pt idx="18">
                  <c:v>0.83495145631067957</c:v>
                </c:pt>
                <c:pt idx="19">
                  <c:v>0.84271844660194173</c:v>
                </c:pt>
                <c:pt idx="20">
                  <c:v>0.85048543689320388</c:v>
                </c:pt>
                <c:pt idx="21">
                  <c:v>0.85825242718446604</c:v>
                </c:pt>
                <c:pt idx="22">
                  <c:v>0.86601941747572819</c:v>
                </c:pt>
                <c:pt idx="23">
                  <c:v>0.87378640776699024</c:v>
                </c:pt>
                <c:pt idx="24">
                  <c:v>0.88155339805825239</c:v>
                </c:pt>
                <c:pt idx="25">
                  <c:v>0.88932038834951455</c:v>
                </c:pt>
                <c:pt idx="26">
                  <c:v>0.8970873786407767</c:v>
                </c:pt>
                <c:pt idx="27">
                  <c:v>0.90485436893203886</c:v>
                </c:pt>
                <c:pt idx="28">
                  <c:v>0.91262135922330101</c:v>
                </c:pt>
                <c:pt idx="29">
                  <c:v>0.92038834951456305</c:v>
                </c:pt>
                <c:pt idx="30">
                  <c:v>0.92815533980582521</c:v>
                </c:pt>
                <c:pt idx="31">
                  <c:v>0.93592233009708736</c:v>
                </c:pt>
                <c:pt idx="32">
                  <c:v>0.94368932038834952</c:v>
                </c:pt>
                <c:pt idx="33">
                  <c:v>0.95145631067961167</c:v>
                </c:pt>
                <c:pt idx="34">
                  <c:v>0.95922330097087383</c:v>
                </c:pt>
                <c:pt idx="35">
                  <c:v>0.96699029126213587</c:v>
                </c:pt>
                <c:pt idx="36">
                  <c:v>0.97475728155339803</c:v>
                </c:pt>
                <c:pt idx="37">
                  <c:v>0.98252427184466018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7-4E94-943E-5035529A5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5593759"/>
        <c:axId val="1945596255"/>
      </c:lineChart>
      <c:catAx>
        <c:axId val="1945593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5595423"/>
        <c:crosses val="autoZero"/>
        <c:auto val="1"/>
        <c:lblAlgn val="ctr"/>
        <c:lblOffset val="100"/>
        <c:noMultiLvlLbl val="0"/>
      </c:catAx>
      <c:valAx>
        <c:axId val="1945595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5593343"/>
        <c:crosses val="autoZero"/>
        <c:crossBetween val="between"/>
      </c:valAx>
      <c:valAx>
        <c:axId val="1945596255"/>
        <c:scaling>
          <c:orientation val="minMax"/>
          <c:min val="0.4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5593759"/>
        <c:crosses val="max"/>
        <c:crossBetween val="between"/>
      </c:valAx>
      <c:catAx>
        <c:axId val="19455937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455962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report!$C$85</c:f>
              <c:strCache>
                <c:ptCount val="1"/>
                <c:pt idx="0">
                  <c:v>기준사용료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report!$D$84:$AO$84</c:f>
              <c:numCache>
                <c:formatCode>General</c:formatCode>
                <c:ptCount val="3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</c:numCache>
            </c:numRef>
          </c:cat>
          <c:val>
            <c:numRef>
              <c:f>report!$D$85:$AO$85</c:f>
              <c:numCache>
                <c:formatCode>#,##0;[Red]\(#,##0\);"-"</c:formatCode>
                <c:ptCount val="38"/>
                <c:pt idx="0">
                  <c:v>71388</c:v>
                </c:pt>
                <c:pt idx="1">
                  <c:v>73344.031200000012</c:v>
                </c:pt>
                <c:pt idx="2">
                  <c:v>75353.657654880022</c:v>
                </c:pt>
                <c:pt idx="3">
                  <c:v>75353.657654880022</c:v>
                </c:pt>
                <c:pt idx="4">
                  <c:v>75353.657654880022</c:v>
                </c:pt>
                <c:pt idx="5">
                  <c:v>77614.267384526422</c:v>
                </c:pt>
                <c:pt idx="6">
                  <c:v>77614.267384526422</c:v>
                </c:pt>
                <c:pt idx="7">
                  <c:v>77614.267384526422</c:v>
                </c:pt>
                <c:pt idx="8">
                  <c:v>79942.695406062223</c:v>
                </c:pt>
                <c:pt idx="9">
                  <c:v>79942.695406062223</c:v>
                </c:pt>
                <c:pt idx="10" formatCode="General">
                  <c:v>79942.695406062223</c:v>
                </c:pt>
                <c:pt idx="11" formatCode="General">
                  <c:v>82340.976268244092</c:v>
                </c:pt>
                <c:pt idx="12" formatCode="General">
                  <c:v>82340.976268244092</c:v>
                </c:pt>
                <c:pt idx="13" formatCode="General">
                  <c:v>82340.976268244092</c:v>
                </c:pt>
                <c:pt idx="14" formatCode="General">
                  <c:v>84811.205556291417</c:v>
                </c:pt>
                <c:pt idx="15" formatCode="General">
                  <c:v>84811.205556291417</c:v>
                </c:pt>
                <c:pt idx="16" formatCode="General">
                  <c:v>84811.205556291417</c:v>
                </c:pt>
                <c:pt idx="17" formatCode="General">
                  <c:v>87355.541722980168</c:v>
                </c:pt>
                <c:pt idx="18" formatCode="General">
                  <c:v>87355.541722980168</c:v>
                </c:pt>
                <c:pt idx="19" formatCode="General">
                  <c:v>87355.541722980168</c:v>
                </c:pt>
                <c:pt idx="20" formatCode="General">
                  <c:v>89976.207974669582</c:v>
                </c:pt>
                <c:pt idx="21" formatCode="General">
                  <c:v>89976.207974669582</c:v>
                </c:pt>
                <c:pt idx="22" formatCode="General">
                  <c:v>89976.207974669582</c:v>
                </c:pt>
                <c:pt idx="23" formatCode="General">
                  <c:v>92675.494213909667</c:v>
                </c:pt>
                <c:pt idx="24" formatCode="General">
                  <c:v>92675.494213909667</c:v>
                </c:pt>
                <c:pt idx="25" formatCode="General">
                  <c:v>92675.494213909667</c:v>
                </c:pt>
                <c:pt idx="26" formatCode="General">
                  <c:v>95455.759040326957</c:v>
                </c:pt>
                <c:pt idx="27" formatCode="General">
                  <c:v>95455.759040326957</c:v>
                </c:pt>
                <c:pt idx="28" formatCode="General">
                  <c:v>95455.759040326957</c:v>
                </c:pt>
                <c:pt idx="29" formatCode="General">
                  <c:v>98319.431811536764</c:v>
                </c:pt>
                <c:pt idx="30" formatCode="General">
                  <c:v>98319.431811536764</c:v>
                </c:pt>
                <c:pt idx="31" formatCode="General">
                  <c:v>98319.431811536764</c:v>
                </c:pt>
                <c:pt idx="32" formatCode="General">
                  <c:v>101269.01476588286</c:v>
                </c:pt>
                <c:pt idx="33" formatCode="General">
                  <c:v>101269.01476588286</c:v>
                </c:pt>
                <c:pt idx="34" formatCode="General">
                  <c:v>101269.01476588286</c:v>
                </c:pt>
                <c:pt idx="35" formatCode="General">
                  <c:v>104307.08520885935</c:v>
                </c:pt>
                <c:pt idx="36" formatCode="General">
                  <c:v>104307.08520885935</c:v>
                </c:pt>
                <c:pt idx="37" formatCode="General">
                  <c:v>104307.08520885935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E1-A7D9-F7371A207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652144"/>
        <c:axId val="706670448"/>
      </c:lineChart>
      <c:catAx>
        <c:axId val="70665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6670448"/>
        <c:crosses val="autoZero"/>
        <c:auto val="1"/>
        <c:lblAlgn val="ctr"/>
        <c:lblOffset val="100"/>
        <c:noMultiLvlLbl val="0"/>
      </c:catAx>
      <c:valAx>
        <c:axId val="70667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[Red]\(#,##0\);&quot;-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665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TP!$G$276</c:f>
              <c:strCache>
                <c:ptCount val="1"/>
                <c:pt idx="0">
                  <c:v>선순위차입금 잔액</c:v>
                </c:pt>
              </c:strCache>
            </c:strRef>
          </c:tx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TP!$AC$267:$AJ$267</c:f>
              <c:numCache>
                <c:formatCode>General</c:formatCod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TP!$Y$276:$BN$276</c15:sqref>
                  </c15:fullRef>
                </c:ext>
              </c:extLst>
              <c:f>TP!$AC$276:$AJ$276</c:f>
              <c:numCache>
                <c:formatCode>_(* #,##0_);_(* \(#,##0\);_(* "-"_);_(@_)</c:formatCode>
                <c:ptCount val="8"/>
                <c:pt idx="0">
                  <c:v>796.43990999999983</c:v>
                </c:pt>
                <c:pt idx="1">
                  <c:v>631.17239999999981</c:v>
                </c:pt>
                <c:pt idx="2">
                  <c:v>465.07439999999986</c:v>
                </c:pt>
                <c:pt idx="3">
                  <c:v>253.29944999999987</c:v>
                </c:pt>
                <c:pt idx="4">
                  <c:v>109.62467999999987</c:v>
                </c:pt>
                <c:pt idx="5">
                  <c:v>69.761159999999876</c:v>
                </c:pt>
                <c:pt idx="6">
                  <c:v>29.897639999999875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1-4421-BFAD-063A2D4B4222}"/>
            </c:ext>
          </c:extLst>
        </c:ser>
        <c:ser>
          <c:idx val="9"/>
          <c:order val="1"/>
          <c:tx>
            <c:strRef>
              <c:f>TP!$G$275</c:f>
              <c:strCache>
                <c:ptCount val="1"/>
                <c:pt idx="0">
                  <c:v>FI 자본금</c:v>
                </c:pt>
              </c:strCache>
            </c:strRef>
          </c:tx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TP!$AC$267:$AJ$267</c:f>
              <c:numCache>
                <c:formatCode>General</c:formatCod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TP!$Y$275:$BN$275</c15:sqref>
                  </c15:fullRef>
                </c:ext>
              </c:extLst>
              <c:f>TP!$AC$275:$AJ$275</c:f>
              <c:numCache>
                <c:formatCode>_(* #,##0_);_(* \(#,##0\);_(* "-"_);_(@_)</c:formatCode>
                <c:ptCount val="8"/>
                <c:pt idx="0">
                  <c:v>106</c:v>
                </c:pt>
                <c:pt idx="1">
                  <c:v>106</c:v>
                </c:pt>
                <c:pt idx="2">
                  <c:v>106</c:v>
                </c:pt>
                <c:pt idx="3">
                  <c:v>106</c:v>
                </c:pt>
                <c:pt idx="4">
                  <c:v>106</c:v>
                </c:pt>
                <c:pt idx="5">
                  <c:v>106</c:v>
                </c:pt>
                <c:pt idx="6">
                  <c:v>106</c:v>
                </c:pt>
                <c:pt idx="7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A1-4421-BFAD-063A2D4B4222}"/>
            </c:ext>
          </c:extLst>
        </c:ser>
        <c:ser>
          <c:idx val="0"/>
          <c:order val="6"/>
          <c:tx>
            <c:strRef>
              <c:f>TP!$G$274</c:f>
              <c:strCache>
                <c:ptCount val="1"/>
                <c:pt idx="0">
                  <c:v>보통주 자본금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TP!$AC$267:$AJ$267</c:f>
              <c:numCache>
                <c:formatCode>General</c:formatCod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TP!$Y$274:$BN$274</c15:sqref>
                  </c15:fullRef>
                </c:ext>
              </c:extLst>
              <c:f>TP!$AC$274:$AJ$274</c:f>
              <c:numCache>
                <c:formatCode>_(* #,##0_);_(* \(#,##0\);_(* "-"_);_(@_)</c:formatCode>
                <c:ptCount val="8"/>
                <c:pt idx="0">
                  <c:v>574</c:v>
                </c:pt>
                <c:pt idx="1">
                  <c:v>574</c:v>
                </c:pt>
                <c:pt idx="2">
                  <c:v>574</c:v>
                </c:pt>
                <c:pt idx="3">
                  <c:v>574</c:v>
                </c:pt>
                <c:pt idx="4">
                  <c:v>574</c:v>
                </c:pt>
                <c:pt idx="5">
                  <c:v>574</c:v>
                </c:pt>
                <c:pt idx="6">
                  <c:v>574</c:v>
                </c:pt>
                <c:pt idx="7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A1-4421-BFAD-063A2D4B4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06080"/>
        <c:axId val="189807616"/>
      </c:areaChart>
      <c:lineChart>
        <c:grouping val="standard"/>
        <c:varyColors val="0"/>
        <c:ser>
          <c:idx val="1"/>
          <c:order val="2"/>
          <c:tx>
            <c:strRef>
              <c:f>TP!$G$268</c:f>
              <c:strCache>
                <c:ptCount val="1"/>
                <c:pt idx="0">
                  <c:v>사업시행자귀책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TP!$AC$267:$AJ$267</c:f>
              <c:numCache>
                <c:formatCode>General</c:formatCod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TP!$Y$268:$BN$268</c15:sqref>
                  </c15:fullRef>
                </c:ext>
              </c:extLst>
              <c:f>TP!$AC$268:$AJ$268</c:f>
              <c:numCache>
                <c:formatCode>_(* #,##0_);_(* \(#,##0\);_(* "-"_);_(@_)</c:formatCode>
                <c:ptCount val="8"/>
                <c:pt idx="0">
                  <c:v>924.97487855435452</c:v>
                </c:pt>
                <c:pt idx="1">
                  <c:v>875.26266805457647</c:v>
                </c:pt>
                <c:pt idx="2">
                  <c:v>828.22220997756335</c:v>
                </c:pt>
                <c:pt idx="3">
                  <c:v>783.70991261945017</c:v>
                </c:pt>
                <c:pt idx="4">
                  <c:v>741.58990152488798</c:v>
                </c:pt>
                <c:pt idx="5">
                  <c:v>701.73360472823015</c:v>
                </c:pt>
                <c:pt idx="6">
                  <c:v>664.01936028567911</c:v>
                </c:pt>
                <c:pt idx="7">
                  <c:v>628.33204490037815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A1-4421-BFAD-063A2D4B4222}"/>
            </c:ext>
          </c:extLst>
        </c:ser>
        <c:ser>
          <c:idx val="2"/>
          <c:order val="3"/>
          <c:tx>
            <c:strRef>
              <c:f>TP!$G$269</c:f>
              <c:strCache>
                <c:ptCount val="1"/>
                <c:pt idx="0">
                  <c:v>정부귀책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TP!$AC$267:$AJ$267</c:f>
              <c:numCache>
                <c:formatCode>General</c:formatCod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TP!$Y$269:$BN$269</c15:sqref>
                  </c15:fullRef>
                </c:ext>
              </c:extLst>
              <c:f>TP!$AC$269:$AJ$269</c:f>
              <c:numCache>
                <c:formatCode>_(* #,##0_);_(* \(#,##0\);_(* "-"_);_(@_)</c:formatCode>
                <c:ptCount val="8"/>
                <c:pt idx="0">
                  <c:v>1704.7612126252061</c:v>
                </c:pt>
                <c:pt idx="1">
                  <c:v>1657.4056816320215</c:v>
                </c:pt>
                <c:pt idx="2">
                  <c:v>1643.6302939435891</c:v>
                </c:pt>
                <c:pt idx="3">
                  <c:v>1637.2261864978582</c:v>
                </c:pt>
                <c:pt idx="4">
                  <c:v>1488.0048666972871</c:v>
                </c:pt>
                <c:pt idx="5">
                  <c:v>1294.8725049609527</c:v>
                </c:pt>
                <c:pt idx="6">
                  <c:v>1229.4400230077435</c:v>
                </c:pt>
                <c:pt idx="7">
                  <c:v>1234.0333974454149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9A1-4421-BFAD-063A2D4B4222}"/>
            </c:ext>
          </c:extLst>
        </c:ser>
        <c:ser>
          <c:idx val="3"/>
          <c:order val="4"/>
          <c:tx>
            <c:strRef>
              <c:f>TP!$G$270</c:f>
              <c:strCache>
                <c:ptCount val="1"/>
                <c:pt idx="0">
                  <c:v>비정치적불가항력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TP!$AC$267:$AJ$267</c:f>
              <c:numCache>
                <c:formatCode>General</c:formatCod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TP!$Y$270:$BN$270</c15:sqref>
                  </c15:fullRef>
                </c:ext>
              </c:extLst>
              <c:f>TP!$AC$270:$AJ$270</c:f>
              <c:numCache>
                <c:formatCode>_(* #,##0_);_(* \(#,##0\);_(* "-"_);_(@_)</c:formatCode>
                <c:ptCount val="8"/>
                <c:pt idx="0">
                  <c:v>1665.798362396514</c:v>
                </c:pt>
                <c:pt idx="1">
                  <c:v>1617.806673746602</c:v>
                </c:pt>
                <c:pt idx="2">
                  <c:v>1603.5760508243764</c:v>
                </c:pt>
                <c:pt idx="3">
                  <c:v>1596.8800209529052</c:v>
                </c:pt>
                <c:pt idx="4">
                  <c:v>1447.5138521687011</c:v>
                </c:pt>
                <c:pt idx="5">
                  <c:v>1254.368749352102</c:v>
                </c:pt>
                <c:pt idx="6">
                  <c:v>1189.0418524950819</c:v>
                </c:pt>
                <c:pt idx="7">
                  <c:v>1193.8464562711699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9A1-4421-BFAD-063A2D4B4222}"/>
            </c:ext>
          </c:extLst>
        </c:ser>
        <c:ser>
          <c:idx val="4"/>
          <c:order val="5"/>
          <c:tx>
            <c:strRef>
              <c:f>TP!$G$271</c:f>
              <c:strCache>
                <c:ptCount val="1"/>
                <c:pt idx="0">
                  <c:v>정치적불가항력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TP!$AC$267:$AJ$267</c:f>
              <c:numCache>
                <c:formatCode>General</c:formatCod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TP!$Y$271:$BN$271</c15:sqref>
                  </c15:fullRef>
                </c:ext>
              </c:extLst>
              <c:f>TP!$AC$271:$AJ$271</c:f>
              <c:numCache>
                <c:formatCode>_(* #,##0_);_(* \(#,##0\);_(* "-"_);_(@_)</c:formatCode>
                <c:ptCount val="8"/>
                <c:pt idx="0">
                  <c:v>1684.7039231476963</c:v>
                </c:pt>
                <c:pt idx="1">
                  <c:v>1637.020911023141</c:v>
                </c:pt>
                <c:pt idx="2">
                  <c:v>1623.0111774177399</c:v>
                </c:pt>
                <c:pt idx="3">
                  <c:v>1616.4567941948596</c:v>
                </c:pt>
                <c:pt idx="4">
                  <c:v>1467.160909058894</c:v>
                </c:pt>
                <c:pt idx="5">
                  <c:v>1274.0219884714068</c:v>
                </c:pt>
                <c:pt idx="6">
                  <c:v>1208.6438595962284</c:v>
                </c:pt>
                <c:pt idx="7">
                  <c:v>1213.3459706371484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9A1-4421-BFAD-063A2D4B4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06080"/>
        <c:axId val="189807616"/>
      </c:lineChart>
      <c:catAx>
        <c:axId val="189806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9807616"/>
        <c:crosses val="autoZero"/>
        <c:auto val="1"/>
        <c:lblAlgn val="ctr"/>
        <c:lblOffset val="100"/>
        <c:noMultiLvlLbl val="0"/>
      </c:catAx>
      <c:valAx>
        <c:axId val="189807616"/>
        <c:scaling>
          <c:orientation val="minMax"/>
          <c:min val="0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89806080"/>
        <c:crosses val="autoZero"/>
        <c:crossBetween val="midCat"/>
      </c:valAx>
    </c:plotArea>
    <c:legend>
      <c:legendPos val="t"/>
      <c:overlay val="0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'TP(분기)'!$G$275</c:f>
              <c:strCache>
                <c:ptCount val="1"/>
                <c:pt idx="0">
                  <c:v>선순위차입금 잔액</c:v>
                </c:pt>
              </c:strCache>
            </c:strRef>
          </c:tx>
          <c:spPr>
            <a:ln w="25400">
              <a:noFill/>
            </a:ln>
          </c:spPr>
          <c:cat>
            <c:numRef>
              <c:f>'TP(분기)'!$CH$264:$DL$264</c:f>
              <c:numCache>
                <c:formatCode>yy"/"m"/"d;@</c:formatCode>
                <c:ptCount val="31"/>
                <c:pt idx="0">
                  <c:v>44651</c:v>
                </c:pt>
                <c:pt idx="1">
                  <c:v>44742</c:v>
                </c:pt>
                <c:pt idx="2">
                  <c:v>44834</c:v>
                </c:pt>
                <c:pt idx="3">
                  <c:v>44926</c:v>
                </c:pt>
                <c:pt idx="4">
                  <c:v>45016</c:v>
                </c:pt>
                <c:pt idx="5">
                  <c:v>45107</c:v>
                </c:pt>
                <c:pt idx="6">
                  <c:v>45199</c:v>
                </c:pt>
                <c:pt idx="7">
                  <c:v>45291</c:v>
                </c:pt>
                <c:pt idx="8">
                  <c:v>45382</c:v>
                </c:pt>
                <c:pt idx="9">
                  <c:v>45473</c:v>
                </c:pt>
                <c:pt idx="10">
                  <c:v>45565</c:v>
                </c:pt>
                <c:pt idx="11">
                  <c:v>45657</c:v>
                </c:pt>
                <c:pt idx="12">
                  <c:v>45747</c:v>
                </c:pt>
                <c:pt idx="13">
                  <c:v>45838</c:v>
                </c:pt>
                <c:pt idx="14">
                  <c:v>45930</c:v>
                </c:pt>
                <c:pt idx="15">
                  <c:v>46022</c:v>
                </c:pt>
                <c:pt idx="16">
                  <c:v>46112</c:v>
                </c:pt>
                <c:pt idx="17">
                  <c:v>46203</c:v>
                </c:pt>
                <c:pt idx="18">
                  <c:v>46295</c:v>
                </c:pt>
                <c:pt idx="19">
                  <c:v>46387</c:v>
                </c:pt>
                <c:pt idx="20">
                  <c:v>46477</c:v>
                </c:pt>
                <c:pt idx="21">
                  <c:v>46568</c:v>
                </c:pt>
                <c:pt idx="22">
                  <c:v>46660</c:v>
                </c:pt>
                <c:pt idx="23">
                  <c:v>46752</c:v>
                </c:pt>
                <c:pt idx="24">
                  <c:v>46843</c:v>
                </c:pt>
                <c:pt idx="25">
                  <c:v>46934</c:v>
                </c:pt>
                <c:pt idx="26">
                  <c:v>47026</c:v>
                </c:pt>
                <c:pt idx="27">
                  <c:v>47118</c:v>
                </c:pt>
                <c:pt idx="28">
                  <c:v>47208</c:v>
                </c:pt>
                <c:pt idx="29">
                  <c:v>47299</c:v>
                </c:pt>
                <c:pt idx="30">
                  <c:v>47391</c:v>
                </c:pt>
              </c:numCache>
            </c:numRef>
          </c:cat>
          <c:val>
            <c:numRef>
              <c:f>'TP(분기)'!$CH$275:$DL$275</c:f>
              <c:numCache>
                <c:formatCode>_(* #,##0_);_(* \(#,##0\);_(* "-"_);_(@_)</c:formatCode>
                <c:ptCount val="31"/>
                <c:pt idx="0">
                  <c:v>916.03046999999992</c:v>
                </c:pt>
                <c:pt idx="1">
                  <c:v>876.99743999999987</c:v>
                </c:pt>
                <c:pt idx="2">
                  <c:v>837.13391999999988</c:v>
                </c:pt>
                <c:pt idx="3">
                  <c:v>796.43990999999983</c:v>
                </c:pt>
                <c:pt idx="4">
                  <c:v>755.74589999999978</c:v>
                </c:pt>
                <c:pt idx="5">
                  <c:v>715.05188999999984</c:v>
                </c:pt>
                <c:pt idx="6">
                  <c:v>673.52738999999985</c:v>
                </c:pt>
                <c:pt idx="7">
                  <c:v>631.17239999999981</c:v>
                </c:pt>
                <c:pt idx="8">
                  <c:v>592.96985999999981</c:v>
                </c:pt>
                <c:pt idx="9">
                  <c:v>553.93682999999987</c:v>
                </c:pt>
                <c:pt idx="10">
                  <c:v>509.92085999999989</c:v>
                </c:pt>
                <c:pt idx="11">
                  <c:v>465.0743999999998</c:v>
                </c:pt>
                <c:pt idx="12">
                  <c:v>412.75352999999984</c:v>
                </c:pt>
                <c:pt idx="13">
                  <c:v>360.43265999999983</c:v>
                </c:pt>
                <c:pt idx="14">
                  <c:v>307.28129999999987</c:v>
                </c:pt>
                <c:pt idx="15">
                  <c:v>253.29944999999987</c:v>
                </c:pt>
                <c:pt idx="16">
                  <c:v>220.07984999999991</c:v>
                </c:pt>
                <c:pt idx="17">
                  <c:v>181.87730999999991</c:v>
                </c:pt>
                <c:pt idx="18">
                  <c:v>142.84427999999991</c:v>
                </c:pt>
                <c:pt idx="19">
                  <c:v>109.62467999999991</c:v>
                </c:pt>
                <c:pt idx="20">
                  <c:v>99.658799999999914</c:v>
                </c:pt>
                <c:pt idx="21">
                  <c:v>89.692919999999916</c:v>
                </c:pt>
                <c:pt idx="22">
                  <c:v>79.727039999999903</c:v>
                </c:pt>
                <c:pt idx="23">
                  <c:v>69.76115999999989</c:v>
                </c:pt>
                <c:pt idx="24">
                  <c:v>59.795279999999906</c:v>
                </c:pt>
                <c:pt idx="25">
                  <c:v>49.829399999999893</c:v>
                </c:pt>
                <c:pt idx="26">
                  <c:v>39.863519999999895</c:v>
                </c:pt>
                <c:pt idx="27">
                  <c:v>29.897639999999889</c:v>
                </c:pt>
                <c:pt idx="28">
                  <c:v>19.93175999999989</c:v>
                </c:pt>
                <c:pt idx="29">
                  <c:v>9.9658799999998866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4-4FBA-ABEF-3DCD6E0D6F1C}"/>
            </c:ext>
          </c:extLst>
        </c:ser>
        <c:ser>
          <c:idx val="9"/>
          <c:order val="1"/>
          <c:tx>
            <c:strRef>
              <c:f>'TP(분기)'!$G$274</c:f>
              <c:strCache>
                <c:ptCount val="1"/>
                <c:pt idx="0">
                  <c:v>FI 자본금</c:v>
                </c:pt>
              </c:strCache>
            </c:strRef>
          </c:tx>
          <c:spPr>
            <a:ln w="25400">
              <a:noFill/>
            </a:ln>
          </c:spPr>
          <c:cat>
            <c:numRef>
              <c:f>'TP(분기)'!$CH$264:$DL$264</c:f>
              <c:numCache>
                <c:formatCode>yy"/"m"/"d;@</c:formatCode>
                <c:ptCount val="31"/>
                <c:pt idx="0">
                  <c:v>44651</c:v>
                </c:pt>
                <c:pt idx="1">
                  <c:v>44742</c:v>
                </c:pt>
                <c:pt idx="2">
                  <c:v>44834</c:v>
                </c:pt>
                <c:pt idx="3">
                  <c:v>44926</c:v>
                </c:pt>
                <c:pt idx="4">
                  <c:v>45016</c:v>
                </c:pt>
                <c:pt idx="5">
                  <c:v>45107</c:v>
                </c:pt>
                <c:pt idx="6">
                  <c:v>45199</c:v>
                </c:pt>
                <c:pt idx="7">
                  <c:v>45291</c:v>
                </c:pt>
                <c:pt idx="8">
                  <c:v>45382</c:v>
                </c:pt>
                <c:pt idx="9">
                  <c:v>45473</c:v>
                </c:pt>
                <c:pt idx="10">
                  <c:v>45565</c:v>
                </c:pt>
                <c:pt idx="11">
                  <c:v>45657</c:v>
                </c:pt>
                <c:pt idx="12">
                  <c:v>45747</c:v>
                </c:pt>
                <c:pt idx="13">
                  <c:v>45838</c:v>
                </c:pt>
                <c:pt idx="14">
                  <c:v>45930</c:v>
                </c:pt>
                <c:pt idx="15">
                  <c:v>46022</c:v>
                </c:pt>
                <c:pt idx="16">
                  <c:v>46112</c:v>
                </c:pt>
                <c:pt idx="17">
                  <c:v>46203</c:v>
                </c:pt>
                <c:pt idx="18">
                  <c:v>46295</c:v>
                </c:pt>
                <c:pt idx="19">
                  <c:v>46387</c:v>
                </c:pt>
                <c:pt idx="20">
                  <c:v>46477</c:v>
                </c:pt>
                <c:pt idx="21">
                  <c:v>46568</c:v>
                </c:pt>
                <c:pt idx="22">
                  <c:v>46660</c:v>
                </c:pt>
                <c:pt idx="23">
                  <c:v>46752</c:v>
                </c:pt>
                <c:pt idx="24">
                  <c:v>46843</c:v>
                </c:pt>
                <c:pt idx="25">
                  <c:v>46934</c:v>
                </c:pt>
                <c:pt idx="26">
                  <c:v>47026</c:v>
                </c:pt>
                <c:pt idx="27">
                  <c:v>47118</c:v>
                </c:pt>
                <c:pt idx="28">
                  <c:v>47208</c:v>
                </c:pt>
                <c:pt idx="29">
                  <c:v>47299</c:v>
                </c:pt>
                <c:pt idx="30">
                  <c:v>47391</c:v>
                </c:pt>
              </c:numCache>
            </c:numRef>
          </c:cat>
          <c:val>
            <c:numRef>
              <c:f>'TP(분기)'!$CH$274:$DL$274</c:f>
              <c:numCache>
                <c:formatCode>_(* #,##0_);_(* \(#,##0\);_(* "-"_);_(@_)</c:formatCode>
                <c:ptCount val="31"/>
                <c:pt idx="0">
                  <c:v>106</c:v>
                </c:pt>
                <c:pt idx="1">
                  <c:v>106</c:v>
                </c:pt>
                <c:pt idx="2">
                  <c:v>106</c:v>
                </c:pt>
                <c:pt idx="3">
                  <c:v>106</c:v>
                </c:pt>
                <c:pt idx="4">
                  <c:v>106</c:v>
                </c:pt>
                <c:pt idx="5">
                  <c:v>106</c:v>
                </c:pt>
                <c:pt idx="6">
                  <c:v>106</c:v>
                </c:pt>
                <c:pt idx="7">
                  <c:v>106</c:v>
                </c:pt>
                <c:pt idx="8">
                  <c:v>106</c:v>
                </c:pt>
                <c:pt idx="9">
                  <c:v>106</c:v>
                </c:pt>
                <c:pt idx="10">
                  <c:v>106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  <c:pt idx="23">
                  <c:v>106</c:v>
                </c:pt>
                <c:pt idx="24">
                  <c:v>106</c:v>
                </c:pt>
                <c:pt idx="25">
                  <c:v>106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106</c:v>
                </c:pt>
                <c:pt idx="30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4-4FBA-ABEF-3DCD6E0D6F1C}"/>
            </c:ext>
          </c:extLst>
        </c:ser>
        <c:ser>
          <c:idx val="0"/>
          <c:order val="6"/>
          <c:tx>
            <c:strRef>
              <c:f>'TP(분기)'!$G$273</c:f>
              <c:strCache>
                <c:ptCount val="1"/>
                <c:pt idx="0">
                  <c:v>보통주 자본금</c:v>
                </c:pt>
              </c:strCache>
            </c:strRef>
          </c:tx>
          <c:spPr>
            <a:ln w="25400">
              <a:noFill/>
            </a:ln>
          </c:spPr>
          <c:cat>
            <c:numRef>
              <c:f>'TP(분기)'!$CH$264:$DL$264</c:f>
              <c:numCache>
                <c:formatCode>yy"/"m"/"d;@</c:formatCode>
                <c:ptCount val="31"/>
                <c:pt idx="0">
                  <c:v>44651</c:v>
                </c:pt>
                <c:pt idx="1">
                  <c:v>44742</c:v>
                </c:pt>
                <c:pt idx="2">
                  <c:v>44834</c:v>
                </c:pt>
                <c:pt idx="3">
                  <c:v>44926</c:v>
                </c:pt>
                <c:pt idx="4">
                  <c:v>45016</c:v>
                </c:pt>
                <c:pt idx="5">
                  <c:v>45107</c:v>
                </c:pt>
                <c:pt idx="6">
                  <c:v>45199</c:v>
                </c:pt>
                <c:pt idx="7">
                  <c:v>45291</c:v>
                </c:pt>
                <c:pt idx="8">
                  <c:v>45382</c:v>
                </c:pt>
                <c:pt idx="9">
                  <c:v>45473</c:v>
                </c:pt>
                <c:pt idx="10">
                  <c:v>45565</c:v>
                </c:pt>
                <c:pt idx="11">
                  <c:v>45657</c:v>
                </c:pt>
                <c:pt idx="12">
                  <c:v>45747</c:v>
                </c:pt>
                <c:pt idx="13">
                  <c:v>45838</c:v>
                </c:pt>
                <c:pt idx="14">
                  <c:v>45930</c:v>
                </c:pt>
                <c:pt idx="15">
                  <c:v>46022</c:v>
                </c:pt>
                <c:pt idx="16">
                  <c:v>46112</c:v>
                </c:pt>
                <c:pt idx="17">
                  <c:v>46203</c:v>
                </c:pt>
                <c:pt idx="18">
                  <c:v>46295</c:v>
                </c:pt>
                <c:pt idx="19">
                  <c:v>46387</c:v>
                </c:pt>
                <c:pt idx="20">
                  <c:v>46477</c:v>
                </c:pt>
                <c:pt idx="21">
                  <c:v>46568</c:v>
                </c:pt>
                <c:pt idx="22">
                  <c:v>46660</c:v>
                </c:pt>
                <c:pt idx="23">
                  <c:v>46752</c:v>
                </c:pt>
                <c:pt idx="24">
                  <c:v>46843</c:v>
                </c:pt>
                <c:pt idx="25">
                  <c:v>46934</c:v>
                </c:pt>
                <c:pt idx="26">
                  <c:v>47026</c:v>
                </c:pt>
                <c:pt idx="27">
                  <c:v>47118</c:v>
                </c:pt>
                <c:pt idx="28">
                  <c:v>47208</c:v>
                </c:pt>
                <c:pt idx="29">
                  <c:v>47299</c:v>
                </c:pt>
                <c:pt idx="30">
                  <c:v>47391</c:v>
                </c:pt>
              </c:numCache>
            </c:numRef>
          </c:cat>
          <c:val>
            <c:numRef>
              <c:f>'TP(분기)'!$CH$273:$DL$273</c:f>
              <c:numCache>
                <c:formatCode>_(* #,##0_);_(* \(#,##0\);_(* "-"_);_(@_)</c:formatCode>
                <c:ptCount val="31"/>
                <c:pt idx="0">
                  <c:v>574</c:v>
                </c:pt>
                <c:pt idx="1">
                  <c:v>574</c:v>
                </c:pt>
                <c:pt idx="2">
                  <c:v>574</c:v>
                </c:pt>
                <c:pt idx="3">
                  <c:v>574</c:v>
                </c:pt>
                <c:pt idx="4">
                  <c:v>574</c:v>
                </c:pt>
                <c:pt idx="5">
                  <c:v>574</c:v>
                </c:pt>
                <c:pt idx="6">
                  <c:v>574</c:v>
                </c:pt>
                <c:pt idx="7">
                  <c:v>574</c:v>
                </c:pt>
                <c:pt idx="8">
                  <c:v>574</c:v>
                </c:pt>
                <c:pt idx="9">
                  <c:v>574</c:v>
                </c:pt>
                <c:pt idx="10">
                  <c:v>574</c:v>
                </c:pt>
                <c:pt idx="11">
                  <c:v>574</c:v>
                </c:pt>
                <c:pt idx="12">
                  <c:v>574</c:v>
                </c:pt>
                <c:pt idx="13">
                  <c:v>574</c:v>
                </c:pt>
                <c:pt idx="14">
                  <c:v>574</c:v>
                </c:pt>
                <c:pt idx="15">
                  <c:v>574</c:v>
                </c:pt>
                <c:pt idx="16">
                  <c:v>574</c:v>
                </c:pt>
                <c:pt idx="17">
                  <c:v>574</c:v>
                </c:pt>
                <c:pt idx="18">
                  <c:v>574</c:v>
                </c:pt>
                <c:pt idx="19">
                  <c:v>574</c:v>
                </c:pt>
                <c:pt idx="20">
                  <c:v>574</c:v>
                </c:pt>
                <c:pt idx="21">
                  <c:v>574</c:v>
                </c:pt>
                <c:pt idx="22">
                  <c:v>574</c:v>
                </c:pt>
                <c:pt idx="23">
                  <c:v>574</c:v>
                </c:pt>
                <c:pt idx="24">
                  <c:v>574</c:v>
                </c:pt>
                <c:pt idx="25">
                  <c:v>574</c:v>
                </c:pt>
                <c:pt idx="26">
                  <c:v>574</c:v>
                </c:pt>
                <c:pt idx="27">
                  <c:v>574</c:v>
                </c:pt>
                <c:pt idx="28">
                  <c:v>574</c:v>
                </c:pt>
                <c:pt idx="29">
                  <c:v>574</c:v>
                </c:pt>
                <c:pt idx="30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B4-4FBA-ABEF-3DCD6E0D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06080"/>
        <c:axId val="189807616"/>
      </c:areaChart>
      <c:lineChart>
        <c:grouping val="standard"/>
        <c:varyColors val="0"/>
        <c:ser>
          <c:idx val="1"/>
          <c:order val="2"/>
          <c:tx>
            <c:strRef>
              <c:f>'TP(분기)'!$G$267</c:f>
              <c:strCache>
                <c:ptCount val="1"/>
                <c:pt idx="0">
                  <c:v>사업시행자귀책</c:v>
                </c:pt>
              </c:strCache>
            </c:strRef>
          </c:tx>
          <c:marker>
            <c:symbol val="none"/>
          </c:marker>
          <c:cat>
            <c:multiLvlStrRef>
              <c:f>'TP(분기)'!$Y$265:$BN$265</c:f>
            </c:multiLvlStrRef>
          </c:cat>
          <c:val>
            <c:numRef>
              <c:f>'TP(분기)'!$CH$267:$DL$267</c:f>
              <c:numCache>
                <c:formatCode>_(* #,##0_);_(* \(#,##0\);_(* "-"_);_(@_)</c:formatCode>
                <c:ptCount val="31"/>
                <c:pt idx="0">
                  <c:v>964.10333988262164</c:v>
                </c:pt>
                <c:pt idx="1">
                  <c:v>950.87998091772931</c:v>
                </c:pt>
                <c:pt idx="2">
                  <c:v>937.83798967046721</c:v>
                </c:pt>
                <c:pt idx="3">
                  <c:v>924.97487855435418</c:v>
                </c:pt>
                <c:pt idx="4">
                  <c:v>912.2881941019167</c:v>
                </c:pt>
                <c:pt idx="5">
                  <c:v>899.77551649672159</c:v>
                </c:pt>
                <c:pt idx="6">
                  <c:v>887.43445911182926</c:v>
                </c:pt>
                <c:pt idx="7">
                  <c:v>875.26266805457635</c:v>
                </c:pt>
                <c:pt idx="8">
                  <c:v>863.25782171760136</c:v>
                </c:pt>
                <c:pt idx="9">
                  <c:v>851.41763033602945</c:v>
                </c:pt>
                <c:pt idx="10">
                  <c:v>839.73983555072948</c:v>
                </c:pt>
                <c:pt idx="11">
                  <c:v>828.22220997756335</c:v>
                </c:pt>
                <c:pt idx="12">
                  <c:v>816.86255678254031</c:v>
                </c:pt>
                <c:pt idx="13">
                  <c:v>805.65870926280195</c:v>
                </c:pt>
                <c:pt idx="14">
                  <c:v>794.60853043335101</c:v>
                </c:pt>
                <c:pt idx="15">
                  <c:v>783.70991261945017</c:v>
                </c:pt>
                <c:pt idx="16">
                  <c:v>772.96077705461209</c:v>
                </c:pt>
                <c:pt idx="17">
                  <c:v>762.3590734841008</c:v>
                </c:pt>
                <c:pt idx="18">
                  <c:v>751.90277977387416</c:v>
                </c:pt>
                <c:pt idx="19">
                  <c:v>741.58990152488798</c:v>
                </c:pt>
                <c:pt idx="20">
                  <c:v>731.41847169269113</c:v>
                </c:pt>
                <c:pt idx="21">
                  <c:v>721.38655021223735</c:v>
                </c:pt>
                <c:pt idx="22">
                  <c:v>711.49222362784542</c:v>
                </c:pt>
                <c:pt idx="23">
                  <c:v>701.73360472823015</c:v>
                </c:pt>
                <c:pt idx="24">
                  <c:v>692.10883218654476</c:v>
                </c:pt>
                <c:pt idx="25">
                  <c:v>682.61607020535564</c:v>
                </c:pt>
                <c:pt idx="26">
                  <c:v>673.25350816648859</c:v>
                </c:pt>
                <c:pt idx="27">
                  <c:v>664.01936028567911</c:v>
                </c:pt>
                <c:pt idx="28">
                  <c:v>654.91186527195487</c:v>
                </c:pt>
                <c:pt idx="29">
                  <c:v>645.92928599169545</c:v>
                </c:pt>
                <c:pt idx="30">
                  <c:v>637.06990913729669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B4-4FBA-ABEF-3DCD6E0D6F1C}"/>
            </c:ext>
          </c:extLst>
        </c:ser>
        <c:ser>
          <c:idx val="2"/>
          <c:order val="3"/>
          <c:tx>
            <c:strRef>
              <c:f>'TP(분기)'!$G$268</c:f>
              <c:strCache>
                <c:ptCount val="1"/>
                <c:pt idx="0">
                  <c:v>정부귀책</c:v>
                </c:pt>
              </c:strCache>
            </c:strRef>
          </c:tx>
          <c:marker>
            <c:symbol val="none"/>
          </c:marker>
          <c:cat>
            <c:multiLvlStrRef>
              <c:f>'TP(분기)'!$Y$265:$BN$265</c:f>
            </c:multiLvlStrRef>
          </c:cat>
          <c:val>
            <c:numRef>
              <c:f>'TP(분기)'!$CH$268:$DL$268</c:f>
              <c:numCache>
                <c:formatCode>_(* #,##0_);_(* \(#,##0\);_(* "-"_);_(@_)</c:formatCode>
                <c:ptCount val="31"/>
                <c:pt idx="0">
                  <c:v>1728.9794820877519</c:v>
                </c:pt>
                <c:pt idx="1">
                  <c:v>1721.4926723282319</c:v>
                </c:pt>
                <c:pt idx="2">
                  <c:v>1713.4649943581642</c:v>
                </c:pt>
                <c:pt idx="3">
                  <c:v>1704.7612126252063</c:v>
                </c:pt>
                <c:pt idx="4">
                  <c:v>1682.8457395346497</c:v>
                </c:pt>
                <c:pt idx="5">
                  <c:v>1674.6221823365693</c:v>
                </c:pt>
                <c:pt idx="6">
                  <c:v>1666.3350501375739</c:v>
                </c:pt>
                <c:pt idx="7">
                  <c:v>1657.4056816320212</c:v>
                </c:pt>
                <c:pt idx="8">
                  <c:v>1668.198578053602</c:v>
                </c:pt>
                <c:pt idx="9">
                  <c:v>1659.5080333794911</c:v>
                </c:pt>
                <c:pt idx="10">
                  <c:v>1651.8606045684946</c:v>
                </c:pt>
                <c:pt idx="11">
                  <c:v>1643.6302939435889</c:v>
                </c:pt>
                <c:pt idx="12">
                  <c:v>1667.573385969928</c:v>
                </c:pt>
                <c:pt idx="13">
                  <c:v>1659.5058836166679</c:v>
                </c:pt>
                <c:pt idx="14">
                  <c:v>1648.6984280079851</c:v>
                </c:pt>
                <c:pt idx="15">
                  <c:v>1637.2261864978575</c:v>
                </c:pt>
                <c:pt idx="16">
                  <c:v>1518.9332615853616</c:v>
                </c:pt>
                <c:pt idx="17">
                  <c:v>1508.8443538406841</c:v>
                </c:pt>
                <c:pt idx="18">
                  <c:v>1498.7198182081734</c:v>
                </c:pt>
                <c:pt idx="19">
                  <c:v>1488.0048666972871</c:v>
                </c:pt>
                <c:pt idx="20">
                  <c:v>1319.4717056666711</c:v>
                </c:pt>
                <c:pt idx="21">
                  <c:v>1310.5903192361907</c:v>
                </c:pt>
                <c:pt idx="22">
                  <c:v>1302.9568763602053</c:v>
                </c:pt>
                <c:pt idx="23">
                  <c:v>1294.8725049609529</c:v>
                </c:pt>
                <c:pt idx="24">
                  <c:v>1213.7233456704701</c:v>
                </c:pt>
                <c:pt idx="25">
                  <c:v>1206.516233396386</c:v>
                </c:pt>
                <c:pt idx="26">
                  <c:v>1217.8592339366558</c:v>
                </c:pt>
                <c:pt idx="27">
                  <c:v>1229.4400230077435</c:v>
                </c:pt>
                <c:pt idx="28">
                  <c:v>1229.1871705562953</c:v>
                </c:pt>
                <c:pt idx="29">
                  <c:v>1240.5123705648409</c:v>
                </c:pt>
                <c:pt idx="30">
                  <c:v>1237.3947400544555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B4-4FBA-ABEF-3DCD6E0D6F1C}"/>
            </c:ext>
          </c:extLst>
        </c:ser>
        <c:ser>
          <c:idx val="3"/>
          <c:order val="4"/>
          <c:tx>
            <c:strRef>
              <c:f>'TP(분기)'!$G$269</c:f>
              <c:strCache>
                <c:ptCount val="1"/>
                <c:pt idx="0">
                  <c:v>비정치적불가항력</c:v>
                </c:pt>
              </c:strCache>
            </c:strRef>
          </c:tx>
          <c:marker>
            <c:symbol val="none"/>
          </c:marker>
          <c:cat>
            <c:multiLvlStrRef>
              <c:f>'TP(분기)'!$Y$265:$BN$265</c:f>
            </c:multiLvlStrRef>
          </c:cat>
          <c:val>
            <c:numRef>
              <c:f>'TP(분기)'!$CH$269:$DL$269</c:f>
              <c:numCache>
                <c:formatCode>_(* #,##0_);_(* \(#,##0\);_(* "-"_);_(@_)</c:formatCode>
                <c:ptCount val="31"/>
                <c:pt idx="0">
                  <c:v>1690.6239016627533</c:v>
                </c:pt>
                <c:pt idx="1">
                  <c:v>1682.9216497837979</c:v>
                </c:pt>
                <c:pt idx="2">
                  <c:v>1674.691655051837</c:v>
                </c:pt>
                <c:pt idx="3">
                  <c:v>1665.7983623965142</c:v>
                </c:pt>
                <c:pt idx="4">
                  <c:v>1643.70587100079</c:v>
                </c:pt>
                <c:pt idx="5">
                  <c:v>1635.3174810754954</c:v>
                </c:pt>
                <c:pt idx="6">
                  <c:v>1626.8774007603979</c:v>
                </c:pt>
                <c:pt idx="7">
                  <c:v>1617.806673746602</c:v>
                </c:pt>
                <c:pt idx="8">
                  <c:v>1628.4695121211603</c:v>
                </c:pt>
                <c:pt idx="9">
                  <c:v>1619.6599264660663</c:v>
                </c:pt>
                <c:pt idx="10">
                  <c:v>1611.9041959930273</c:v>
                </c:pt>
                <c:pt idx="11">
                  <c:v>1603.5760508243764</c:v>
                </c:pt>
                <c:pt idx="12">
                  <c:v>1627.4315086711881</c:v>
                </c:pt>
                <c:pt idx="13">
                  <c:v>1619.2863110968988</c:v>
                </c:pt>
                <c:pt idx="14">
                  <c:v>1608.4108430717949</c:v>
                </c:pt>
                <c:pt idx="15">
                  <c:v>1596.8800209529045</c:v>
                </c:pt>
                <c:pt idx="16">
                  <c:v>1478.5377013060213</c:v>
                </c:pt>
                <c:pt idx="17">
                  <c:v>1468.4083437400282</c:v>
                </c:pt>
                <c:pt idx="18">
                  <c:v>1458.2520671198279</c:v>
                </c:pt>
                <c:pt idx="19">
                  <c:v>1447.5138521687013</c:v>
                </c:pt>
                <c:pt idx="20">
                  <c:v>1278.9656786653147</c:v>
                </c:pt>
                <c:pt idx="21">
                  <c:v>1270.0773087701609</c:v>
                </c:pt>
                <c:pt idx="22">
                  <c:v>1262.4446940147091</c:v>
                </c:pt>
                <c:pt idx="23">
                  <c:v>1254.3687493521027</c:v>
                </c:pt>
                <c:pt idx="24">
                  <c:v>1173.2354068178065</c:v>
                </c:pt>
                <c:pt idx="25">
                  <c:v>1166.0512970155212</c:v>
                </c:pt>
                <c:pt idx="26">
                  <c:v>1177.4242856534029</c:v>
                </c:pt>
                <c:pt idx="27">
                  <c:v>1189.0418524950826</c:v>
                </c:pt>
                <c:pt idx="28">
                  <c:v>1188.8323755954957</c:v>
                </c:pt>
                <c:pt idx="29">
                  <c:v>1200.2073610320451</c:v>
                </c:pt>
                <c:pt idx="30">
                  <c:v>1197.145741834004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B4-4FBA-ABEF-3DCD6E0D6F1C}"/>
            </c:ext>
          </c:extLst>
        </c:ser>
        <c:ser>
          <c:idx val="4"/>
          <c:order val="5"/>
          <c:tx>
            <c:strRef>
              <c:f>'TP(분기)'!$G$270</c:f>
              <c:strCache>
                <c:ptCount val="1"/>
                <c:pt idx="0">
                  <c:v>정치적불가항력</c:v>
                </c:pt>
              </c:strCache>
            </c:strRef>
          </c:tx>
          <c:marker>
            <c:symbol val="none"/>
          </c:marker>
          <c:cat>
            <c:multiLvlStrRef>
              <c:f>'TP(분기)'!$Y$265:$BN$265</c:f>
            </c:multiLvlStrRef>
          </c:cat>
          <c:val>
            <c:numRef>
              <c:f>'TP(분기)'!$CH$270:$DL$270</c:f>
              <c:numCache>
                <c:formatCode>_(* #,##0_);_(* \(#,##0\);_(* "-"_);_(@_)</c:formatCode>
                <c:ptCount val="31"/>
                <c:pt idx="0">
                  <c:v>1709.2348028574943</c:v>
                </c:pt>
                <c:pt idx="1">
                  <c:v>1701.6370878400216</c:v>
                </c:pt>
                <c:pt idx="2">
                  <c:v>1693.5052612813465</c:v>
                </c:pt>
                <c:pt idx="3">
                  <c:v>1684.7039231476965</c:v>
                </c:pt>
                <c:pt idx="4">
                  <c:v>1662.697324603824</c:v>
                </c:pt>
                <c:pt idx="5">
                  <c:v>1654.388914842194</c:v>
                </c:pt>
                <c:pt idx="6">
                  <c:v>1646.0230480377554</c:v>
                </c:pt>
                <c:pt idx="7">
                  <c:v>1637.0209110231406</c:v>
                </c:pt>
                <c:pt idx="8">
                  <c:v>1647.7468561851833</c:v>
                </c:pt>
                <c:pt idx="9">
                  <c:v>1638.9950316149343</c:v>
                </c:pt>
                <c:pt idx="10">
                  <c:v>1631.2918512925949</c:v>
                </c:pt>
                <c:pt idx="11">
                  <c:v>1623.0111774177399</c:v>
                </c:pt>
                <c:pt idx="12">
                  <c:v>1646.909157135904</c:v>
                </c:pt>
                <c:pt idx="13">
                  <c:v>1638.8016588498501</c:v>
                </c:pt>
                <c:pt idx="14">
                  <c:v>1627.9591918208985</c:v>
                </c:pt>
                <c:pt idx="15">
                  <c:v>1616.4567941948599</c:v>
                </c:pt>
                <c:pt idx="16">
                  <c:v>1498.1384418693165</c:v>
                </c:pt>
                <c:pt idx="17">
                  <c:v>1488.0287113724357</c:v>
                </c:pt>
                <c:pt idx="18">
                  <c:v>1477.8878361196289</c:v>
                </c:pt>
                <c:pt idx="19">
                  <c:v>1467.1609090588945</c:v>
                </c:pt>
                <c:pt idx="20">
                  <c:v>1298.6200199100742</c:v>
                </c:pt>
                <c:pt idx="21">
                  <c:v>1289.7350385328259</c:v>
                </c:pt>
                <c:pt idx="22">
                  <c:v>1282.1020219565894</c:v>
                </c:pt>
                <c:pt idx="23">
                  <c:v>1274.0219884714079</c:v>
                </c:pt>
                <c:pt idx="24">
                  <c:v>1192.8809713280107</c:v>
                </c:pt>
                <c:pt idx="25">
                  <c:v>1185.6857002624843</c:v>
                </c:pt>
                <c:pt idx="26">
                  <c:v>1197.0441380705913</c:v>
                </c:pt>
                <c:pt idx="27">
                  <c:v>1208.643859596229</c:v>
                </c:pt>
                <c:pt idx="28">
                  <c:v>1208.4133360040616</c:v>
                </c:pt>
                <c:pt idx="29">
                  <c:v>1219.7641645468489</c:v>
                </c:pt>
                <c:pt idx="30">
                  <c:v>1216.6753675303969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B4-4FBA-ABEF-3DCD6E0D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06080"/>
        <c:axId val="189807616"/>
      </c:lineChart>
      <c:catAx>
        <c:axId val="189806080"/>
        <c:scaling>
          <c:orientation val="minMax"/>
          <c:min val="1"/>
        </c:scaling>
        <c:delete val="0"/>
        <c:axPos val="b"/>
        <c:numFmt formatCode="yyyy&quot;년&quot;\ m&quot;월&quot;;@" sourceLinked="0"/>
        <c:majorTickMark val="out"/>
        <c:minorTickMark val="none"/>
        <c:tickLblPos val="nextTo"/>
        <c:crossAx val="189807616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189807616"/>
        <c:scaling>
          <c:orientation val="minMax"/>
          <c:min val="0"/>
        </c:scaling>
        <c:delete val="0"/>
        <c:axPos val="l"/>
        <c:numFmt formatCode="_(* #,##0_);_(* \(#,##0\);_(* &quot;-&quot;_);_(@_)" sourceLinked="1"/>
        <c:majorTickMark val="out"/>
        <c:minorTickMark val="none"/>
        <c:tickLblPos val="nextTo"/>
        <c:crossAx val="189806080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overlay val="0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report!$C$615</c:f>
              <c:strCache>
                <c:ptCount val="1"/>
                <c:pt idx="0">
                  <c:v>원금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report!$D$610:$U$610</c15:sqref>
                  </c15:fullRef>
                </c:ext>
              </c:extLst>
              <c:f>report!$E$610:$U$610</c:f>
              <c:strCache>
                <c:ptCount val="17"/>
                <c:pt idx="0">
                  <c:v>2025.3Q</c:v>
                </c:pt>
                <c:pt idx="1">
                  <c:v>2025.4Q</c:v>
                </c:pt>
                <c:pt idx="2">
                  <c:v>2026.1Q</c:v>
                </c:pt>
                <c:pt idx="3">
                  <c:v>2026.2Q</c:v>
                </c:pt>
                <c:pt idx="4">
                  <c:v>2026.3Q</c:v>
                </c:pt>
                <c:pt idx="5">
                  <c:v>2026.4Q</c:v>
                </c:pt>
                <c:pt idx="6">
                  <c:v>2027.1Q</c:v>
                </c:pt>
                <c:pt idx="7">
                  <c:v>2027.2Q</c:v>
                </c:pt>
                <c:pt idx="8">
                  <c:v>2027.3Q</c:v>
                </c:pt>
                <c:pt idx="9">
                  <c:v>2027.4Q</c:v>
                </c:pt>
                <c:pt idx="10">
                  <c:v>2028.1Q</c:v>
                </c:pt>
                <c:pt idx="11">
                  <c:v>2028.2Q</c:v>
                </c:pt>
                <c:pt idx="12">
                  <c:v>2028.3Q</c:v>
                </c:pt>
                <c:pt idx="13">
                  <c:v>2028.4Q</c:v>
                </c:pt>
                <c:pt idx="14">
                  <c:v>2029.1Q</c:v>
                </c:pt>
                <c:pt idx="15">
                  <c:v>2029.2Q</c:v>
                </c:pt>
                <c:pt idx="16">
                  <c:v>2029.3Q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report!$D$615:$U$615</c15:sqref>
                  </c15:fullRef>
                </c:ext>
              </c:extLst>
              <c:f>report!$E$615:$U$615</c:f>
              <c:numCache>
                <c:formatCode>#,##0;[Red]\(#,##0\);"-"</c:formatCode>
                <c:ptCount val="17"/>
                <c:pt idx="0">
                  <c:v>5315.1359999999995</c:v>
                </c:pt>
                <c:pt idx="1">
                  <c:v>5398.1850000000004</c:v>
                </c:pt>
                <c:pt idx="2">
                  <c:v>3321.96</c:v>
                </c:pt>
                <c:pt idx="3">
                  <c:v>3820.2539999999999</c:v>
                </c:pt>
                <c:pt idx="4">
                  <c:v>3903.3029999999999</c:v>
                </c:pt>
                <c:pt idx="5">
                  <c:v>3321.96</c:v>
                </c:pt>
                <c:pt idx="6">
                  <c:v>996.58800000000008</c:v>
                </c:pt>
                <c:pt idx="7">
                  <c:v>996.58800000000008</c:v>
                </c:pt>
                <c:pt idx="8" formatCode="General">
                  <c:v>996.58800000000008</c:v>
                </c:pt>
                <c:pt idx="9" formatCode="General">
                  <c:v>996.58800000000008</c:v>
                </c:pt>
                <c:pt idx="10" formatCode="General">
                  <c:v>996.58800000000008</c:v>
                </c:pt>
                <c:pt idx="11" formatCode="General">
                  <c:v>996.58800000000008</c:v>
                </c:pt>
                <c:pt idx="12" formatCode="General">
                  <c:v>996.58800000000008</c:v>
                </c:pt>
                <c:pt idx="13" formatCode="General">
                  <c:v>996.58800000000008</c:v>
                </c:pt>
                <c:pt idx="14" formatCode="General">
                  <c:v>996.58800000000008</c:v>
                </c:pt>
                <c:pt idx="15" formatCode="General">
                  <c:v>996.58800000000008</c:v>
                </c:pt>
                <c:pt idx="16" formatCode="General">
                  <c:v>996.58799999998871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91-4CC3-92EB-D45D8376152A}"/>
            </c:ext>
          </c:extLst>
        </c:ser>
        <c:ser>
          <c:idx val="3"/>
          <c:order val="3"/>
          <c:tx>
            <c:strRef>
              <c:f>report!$C$614</c:f>
              <c:strCache>
                <c:ptCount val="1"/>
                <c:pt idx="0">
                  <c:v>이자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report!$D$610:$U$610</c15:sqref>
                  </c15:fullRef>
                </c:ext>
              </c:extLst>
              <c:f>report!$E$610:$U$610</c:f>
              <c:strCache>
                <c:ptCount val="17"/>
                <c:pt idx="0">
                  <c:v>2025.3Q</c:v>
                </c:pt>
                <c:pt idx="1">
                  <c:v>2025.4Q</c:v>
                </c:pt>
                <c:pt idx="2">
                  <c:v>2026.1Q</c:v>
                </c:pt>
                <c:pt idx="3">
                  <c:v>2026.2Q</c:v>
                </c:pt>
                <c:pt idx="4">
                  <c:v>2026.3Q</c:v>
                </c:pt>
                <c:pt idx="5">
                  <c:v>2026.4Q</c:v>
                </c:pt>
                <c:pt idx="6">
                  <c:v>2027.1Q</c:v>
                </c:pt>
                <c:pt idx="7">
                  <c:v>2027.2Q</c:v>
                </c:pt>
                <c:pt idx="8">
                  <c:v>2027.3Q</c:v>
                </c:pt>
                <c:pt idx="9">
                  <c:v>2027.4Q</c:v>
                </c:pt>
                <c:pt idx="10">
                  <c:v>2028.1Q</c:v>
                </c:pt>
                <c:pt idx="11">
                  <c:v>2028.2Q</c:v>
                </c:pt>
                <c:pt idx="12">
                  <c:v>2028.3Q</c:v>
                </c:pt>
                <c:pt idx="13">
                  <c:v>2028.4Q</c:v>
                </c:pt>
                <c:pt idx="14">
                  <c:v>2029.1Q</c:v>
                </c:pt>
                <c:pt idx="15">
                  <c:v>2029.2Q</c:v>
                </c:pt>
                <c:pt idx="16">
                  <c:v>2029.3Q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report!$D$614:$U$614</c15:sqref>
                  </c15:fullRef>
                </c:ext>
              </c:extLst>
              <c:f>report!$E$614:$U$614</c:f>
              <c:numCache>
                <c:formatCode>#,##0;[Red]\(#,##0\);"-"</c:formatCode>
                <c:ptCount val="17"/>
                <c:pt idx="0">
                  <c:v>400.94677699999988</c:v>
                </c:pt>
                <c:pt idx="1">
                  <c:v>341.82098499999989</c:v>
                </c:pt>
                <c:pt idx="2">
                  <c:v>281.77135249999992</c:v>
                </c:pt>
                <c:pt idx="3">
                  <c:v>244.81773249999986</c:v>
                </c:pt>
                <c:pt idx="4">
                  <c:v>202.32106949999991</c:v>
                </c:pt>
                <c:pt idx="5">
                  <c:v>158.90056599999991</c:v>
                </c:pt>
                <c:pt idx="6">
                  <c:v>121.94694599999988</c:v>
                </c:pt>
                <c:pt idx="7">
                  <c:v>110.8608599999999</c:v>
                </c:pt>
                <c:pt idx="8" formatCode="General">
                  <c:v>99.774773999999908</c:v>
                </c:pt>
                <c:pt idx="9" formatCode="General">
                  <c:v>88.6886879999999</c:v>
                </c:pt>
                <c:pt idx="10" formatCode="General">
                  <c:v>77.602601999999905</c:v>
                </c:pt>
                <c:pt idx="11" formatCode="General">
                  <c:v>66.516515999999868</c:v>
                </c:pt>
                <c:pt idx="12" formatCode="General">
                  <c:v>55.430429999999888</c:v>
                </c:pt>
                <c:pt idx="13" formatCode="General">
                  <c:v>44.344343999999879</c:v>
                </c:pt>
                <c:pt idx="14" formatCode="General">
                  <c:v>33.258257999999877</c:v>
                </c:pt>
                <c:pt idx="15" formatCode="General">
                  <c:v>22.172171999999883</c:v>
                </c:pt>
                <c:pt idx="16" formatCode="General">
                  <c:v>11.086085999999881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91-4CC3-92EB-D45D83761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79742175"/>
        <c:axId val="5797434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report!$C$611</c15:sqref>
                        </c15:formulaRef>
                      </c:ext>
                    </c:extLst>
                    <c:strCache>
                      <c:ptCount val="1"/>
                      <c:pt idx="0">
                        <c:v>매출액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report!$D$610:$U$610</c15:sqref>
                        </c15:fullRef>
                        <c15:formulaRef>
                          <c15:sqref>report!$E$610:$U$610</c15:sqref>
                        </c15:formulaRef>
                      </c:ext>
                    </c:extLst>
                    <c:strCache>
                      <c:ptCount val="17"/>
                      <c:pt idx="0">
                        <c:v>2025.3Q</c:v>
                      </c:pt>
                      <c:pt idx="1">
                        <c:v>2025.4Q</c:v>
                      </c:pt>
                      <c:pt idx="2">
                        <c:v>2026.1Q</c:v>
                      </c:pt>
                      <c:pt idx="3">
                        <c:v>2026.2Q</c:v>
                      </c:pt>
                      <c:pt idx="4">
                        <c:v>2026.3Q</c:v>
                      </c:pt>
                      <c:pt idx="5">
                        <c:v>2026.4Q</c:v>
                      </c:pt>
                      <c:pt idx="6">
                        <c:v>2027.1Q</c:v>
                      </c:pt>
                      <c:pt idx="7">
                        <c:v>2027.2Q</c:v>
                      </c:pt>
                      <c:pt idx="8">
                        <c:v>2027.3Q</c:v>
                      </c:pt>
                      <c:pt idx="9">
                        <c:v>2027.4Q</c:v>
                      </c:pt>
                      <c:pt idx="10">
                        <c:v>2028.1Q</c:v>
                      </c:pt>
                      <c:pt idx="11">
                        <c:v>2028.2Q</c:v>
                      </c:pt>
                      <c:pt idx="12">
                        <c:v>2028.3Q</c:v>
                      </c:pt>
                      <c:pt idx="13">
                        <c:v>2028.4Q</c:v>
                      </c:pt>
                      <c:pt idx="14">
                        <c:v>2029.1Q</c:v>
                      </c:pt>
                      <c:pt idx="15">
                        <c:v>2029.2Q</c:v>
                      </c:pt>
                      <c:pt idx="16">
                        <c:v>2029.3Q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report!$D$611:$U$611</c15:sqref>
                        </c15:fullRef>
                        <c15:formulaRef>
                          <c15:sqref>report!$E$611:$U$611</c15:sqref>
                        </c15:formulaRef>
                      </c:ext>
                    </c:extLst>
                    <c:numCache>
                      <c:formatCode>#,##0;[Red]\(#,##0\);"-"</c:formatCode>
                      <c:ptCount val="17"/>
                      <c:pt idx="0">
                        <c:v>7017.9170518648025</c:v>
                      </c:pt>
                      <c:pt idx="1">
                        <c:v>7017.9170518648025</c:v>
                      </c:pt>
                      <c:pt idx="2">
                        <c:v>7206.3150875020046</c:v>
                      </c:pt>
                      <c:pt idx="3">
                        <c:v>7206.3150875020046</c:v>
                      </c:pt>
                      <c:pt idx="4">
                        <c:v>7206.3150875020046</c:v>
                      </c:pt>
                      <c:pt idx="5">
                        <c:v>7206.3150875020046</c:v>
                      </c:pt>
                      <c:pt idx="6">
                        <c:v>7617.4478573073802</c:v>
                      </c:pt>
                      <c:pt idx="7">
                        <c:v>7617.4478573073802</c:v>
                      </c:pt>
                      <c:pt idx="8" formatCode="General">
                        <c:v>7617.4478573073802</c:v>
                      </c:pt>
                      <c:pt idx="9" formatCode="General">
                        <c:v>7617.4478573073802</c:v>
                      </c:pt>
                      <c:pt idx="10" formatCode="General">
                        <c:v>7811.6588232686936</c:v>
                      </c:pt>
                      <c:pt idx="11" formatCode="General">
                        <c:v>7811.6588232686936</c:v>
                      </c:pt>
                      <c:pt idx="12" formatCode="General">
                        <c:v>7811.6588232686936</c:v>
                      </c:pt>
                      <c:pt idx="13" formatCode="General">
                        <c:v>7811.6588232686936</c:v>
                      </c:pt>
                      <c:pt idx="14" formatCode="General">
                        <c:v>8005.7090778050115</c:v>
                      </c:pt>
                      <c:pt idx="15" formatCode="General">
                        <c:v>8005.7090778050115</c:v>
                      </c:pt>
                      <c:pt idx="16" formatCode="General">
                        <c:v>8005.7090778050115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5A91-4CC3-92EB-D45D8376152A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report!$C$612</c15:sqref>
                        </c15:formulaRef>
                      </c:ext>
                    </c:extLst>
                    <c:strCache>
                      <c:ptCount val="1"/>
                      <c:pt idx="0">
                        <c:v>제세공과금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report!$D$610:$U$610</c15:sqref>
                        </c15:fullRef>
                        <c15:formulaRef>
                          <c15:sqref>report!$E$610:$U$610</c15:sqref>
                        </c15:formulaRef>
                      </c:ext>
                    </c:extLst>
                    <c:strCache>
                      <c:ptCount val="17"/>
                      <c:pt idx="0">
                        <c:v>2025.3Q</c:v>
                      </c:pt>
                      <c:pt idx="1">
                        <c:v>2025.4Q</c:v>
                      </c:pt>
                      <c:pt idx="2">
                        <c:v>2026.1Q</c:v>
                      </c:pt>
                      <c:pt idx="3">
                        <c:v>2026.2Q</c:v>
                      </c:pt>
                      <c:pt idx="4">
                        <c:v>2026.3Q</c:v>
                      </c:pt>
                      <c:pt idx="5">
                        <c:v>2026.4Q</c:v>
                      </c:pt>
                      <c:pt idx="6">
                        <c:v>2027.1Q</c:v>
                      </c:pt>
                      <c:pt idx="7">
                        <c:v>2027.2Q</c:v>
                      </c:pt>
                      <c:pt idx="8">
                        <c:v>2027.3Q</c:v>
                      </c:pt>
                      <c:pt idx="9">
                        <c:v>2027.4Q</c:v>
                      </c:pt>
                      <c:pt idx="10">
                        <c:v>2028.1Q</c:v>
                      </c:pt>
                      <c:pt idx="11">
                        <c:v>2028.2Q</c:v>
                      </c:pt>
                      <c:pt idx="12">
                        <c:v>2028.3Q</c:v>
                      </c:pt>
                      <c:pt idx="13">
                        <c:v>2028.4Q</c:v>
                      </c:pt>
                      <c:pt idx="14">
                        <c:v>2029.1Q</c:v>
                      </c:pt>
                      <c:pt idx="15">
                        <c:v>2029.2Q</c:v>
                      </c:pt>
                      <c:pt idx="16">
                        <c:v>2029.3Q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report!$D$612:$U$612</c15:sqref>
                        </c15:fullRef>
                        <c15:formulaRef>
                          <c15:sqref>report!$E$612:$U$612</c15:sqref>
                        </c15:formulaRef>
                      </c:ext>
                    </c:extLst>
                    <c:numCache>
                      <c:formatCode>#,##0;[Red]\(#,##0\);"-"</c:formatCode>
                      <c:ptCount val="17"/>
                      <c:pt idx="0">
                        <c:v>489.82939522456206</c:v>
                      </c:pt>
                      <c:pt idx="1">
                        <c:v>0</c:v>
                      </c:pt>
                      <c:pt idx="2">
                        <c:v>565.24938928134316</c:v>
                      </c:pt>
                      <c:pt idx="3">
                        <c:v>0</c:v>
                      </c:pt>
                      <c:pt idx="4">
                        <c:v>527.53939225295289</c:v>
                      </c:pt>
                      <c:pt idx="5">
                        <c:v>0</c:v>
                      </c:pt>
                      <c:pt idx="6">
                        <c:v>-484.97906768835935</c:v>
                      </c:pt>
                      <c:pt idx="7">
                        <c:v>0</c:v>
                      </c:pt>
                      <c:pt idx="8" formatCode="General">
                        <c:v>21.280162282296754</c:v>
                      </c:pt>
                      <c:pt idx="9" formatCode="General">
                        <c:v>0</c:v>
                      </c:pt>
                      <c:pt idx="10" formatCode="General">
                        <c:v>346.14483997325038</c:v>
                      </c:pt>
                      <c:pt idx="11" formatCode="General">
                        <c:v>0</c:v>
                      </c:pt>
                      <c:pt idx="12" formatCode="General">
                        <c:v>183.71250112777332</c:v>
                      </c:pt>
                      <c:pt idx="13" formatCode="General">
                        <c:v>0</c:v>
                      </c:pt>
                      <c:pt idx="14" formatCode="General">
                        <c:v>297.55709659690342</c:v>
                      </c:pt>
                      <c:pt idx="15" formatCode="General">
                        <c:v>0</c:v>
                      </c:pt>
                      <c:pt idx="16" formatCode="General">
                        <c:v>240.63479886233839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A91-4CC3-92EB-D45D8376152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report!$C$616</c15:sqref>
                        </c15:formulaRef>
                      </c:ext>
                    </c:extLst>
                    <c:strCache>
                      <c:ptCount val="1"/>
                      <c:pt idx="0">
                        <c:v>원리금상환액(B)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report!$D$610:$U$610</c15:sqref>
                        </c15:fullRef>
                        <c15:formulaRef>
                          <c15:sqref>report!$E$610:$U$610</c15:sqref>
                        </c15:formulaRef>
                      </c:ext>
                    </c:extLst>
                    <c:strCache>
                      <c:ptCount val="17"/>
                      <c:pt idx="0">
                        <c:v>2025.3Q</c:v>
                      </c:pt>
                      <c:pt idx="1">
                        <c:v>2025.4Q</c:v>
                      </c:pt>
                      <c:pt idx="2">
                        <c:v>2026.1Q</c:v>
                      </c:pt>
                      <c:pt idx="3">
                        <c:v>2026.2Q</c:v>
                      </c:pt>
                      <c:pt idx="4">
                        <c:v>2026.3Q</c:v>
                      </c:pt>
                      <c:pt idx="5">
                        <c:v>2026.4Q</c:v>
                      </c:pt>
                      <c:pt idx="6">
                        <c:v>2027.1Q</c:v>
                      </c:pt>
                      <c:pt idx="7">
                        <c:v>2027.2Q</c:v>
                      </c:pt>
                      <c:pt idx="8">
                        <c:v>2027.3Q</c:v>
                      </c:pt>
                      <c:pt idx="9">
                        <c:v>2027.4Q</c:v>
                      </c:pt>
                      <c:pt idx="10">
                        <c:v>2028.1Q</c:v>
                      </c:pt>
                      <c:pt idx="11">
                        <c:v>2028.2Q</c:v>
                      </c:pt>
                      <c:pt idx="12">
                        <c:v>2028.3Q</c:v>
                      </c:pt>
                      <c:pt idx="13">
                        <c:v>2028.4Q</c:v>
                      </c:pt>
                      <c:pt idx="14">
                        <c:v>2029.1Q</c:v>
                      </c:pt>
                      <c:pt idx="15">
                        <c:v>2029.2Q</c:v>
                      </c:pt>
                      <c:pt idx="16">
                        <c:v>2029.3Q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report!$D$616:$U$616</c15:sqref>
                        </c15:fullRef>
                        <c15:formulaRef>
                          <c15:sqref>report!$E$616:$U$616</c15:sqref>
                        </c15:formulaRef>
                      </c:ext>
                    </c:extLst>
                    <c:numCache>
                      <c:formatCode>#,##0;[Red]\(#,##0\);"-"</c:formatCode>
                      <c:ptCount val="17"/>
                      <c:pt idx="0">
                        <c:v>5716.0827769999996</c:v>
                      </c:pt>
                      <c:pt idx="1">
                        <c:v>5740.0059850000007</c:v>
                      </c:pt>
                      <c:pt idx="2">
                        <c:v>3603.7313525</c:v>
                      </c:pt>
                      <c:pt idx="3">
                        <c:v>4065.0717324999996</c:v>
                      </c:pt>
                      <c:pt idx="4">
                        <c:v>4105.6240694999997</c:v>
                      </c:pt>
                      <c:pt idx="5">
                        <c:v>3480.8605659999998</c:v>
                      </c:pt>
                      <c:pt idx="6">
                        <c:v>1118.534946</c:v>
                      </c:pt>
                      <c:pt idx="7">
                        <c:v>1107.44886</c:v>
                      </c:pt>
                      <c:pt idx="8" formatCode="General">
                        <c:v>1096.3627739999999</c:v>
                      </c:pt>
                      <c:pt idx="9" formatCode="General">
                        <c:v>1085.2766879999999</c:v>
                      </c:pt>
                      <c:pt idx="10" formatCode="General">
                        <c:v>1074.1906019999999</c:v>
                      </c:pt>
                      <c:pt idx="11" formatCode="General">
                        <c:v>1063.1045159999999</c:v>
                      </c:pt>
                      <c:pt idx="12" formatCode="General">
                        <c:v>1052.0184300000001</c:v>
                      </c:pt>
                      <c:pt idx="13" formatCode="General">
                        <c:v>1040.9323440000001</c:v>
                      </c:pt>
                      <c:pt idx="14" formatCode="General">
                        <c:v>1029.846258</c:v>
                      </c:pt>
                      <c:pt idx="15" formatCode="General">
                        <c:v>1018.760172</c:v>
                      </c:pt>
                      <c:pt idx="16" formatCode="General">
                        <c:v>1007.6740859999886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A91-4CC3-92EB-D45D8376152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report!$C$617</c15:sqref>
                        </c15:formulaRef>
                      </c:ext>
                    </c:extLst>
                    <c:strCache>
                      <c:ptCount val="1"/>
                      <c:pt idx="0">
                        <c:v>상환배수(A/B)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report!$D$610:$U$610</c15:sqref>
                        </c15:fullRef>
                        <c15:formulaRef>
                          <c15:sqref>report!$E$610:$U$610</c15:sqref>
                        </c15:formulaRef>
                      </c:ext>
                    </c:extLst>
                    <c:strCache>
                      <c:ptCount val="17"/>
                      <c:pt idx="0">
                        <c:v>2025.3Q</c:v>
                      </c:pt>
                      <c:pt idx="1">
                        <c:v>2025.4Q</c:v>
                      </c:pt>
                      <c:pt idx="2">
                        <c:v>2026.1Q</c:v>
                      </c:pt>
                      <c:pt idx="3">
                        <c:v>2026.2Q</c:v>
                      </c:pt>
                      <c:pt idx="4">
                        <c:v>2026.3Q</c:v>
                      </c:pt>
                      <c:pt idx="5">
                        <c:v>2026.4Q</c:v>
                      </c:pt>
                      <c:pt idx="6">
                        <c:v>2027.1Q</c:v>
                      </c:pt>
                      <c:pt idx="7">
                        <c:v>2027.2Q</c:v>
                      </c:pt>
                      <c:pt idx="8">
                        <c:v>2027.3Q</c:v>
                      </c:pt>
                      <c:pt idx="9">
                        <c:v>2027.4Q</c:v>
                      </c:pt>
                      <c:pt idx="10">
                        <c:v>2028.1Q</c:v>
                      </c:pt>
                      <c:pt idx="11">
                        <c:v>2028.2Q</c:v>
                      </c:pt>
                      <c:pt idx="12">
                        <c:v>2028.3Q</c:v>
                      </c:pt>
                      <c:pt idx="13">
                        <c:v>2028.4Q</c:v>
                      </c:pt>
                      <c:pt idx="14">
                        <c:v>2029.1Q</c:v>
                      </c:pt>
                      <c:pt idx="15">
                        <c:v>2029.2Q</c:v>
                      </c:pt>
                      <c:pt idx="16">
                        <c:v>2029.3Q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report!$D$617:$U$617</c15:sqref>
                        </c15:fullRef>
                        <c15:formulaRef>
                          <c15:sqref>report!$E$617:$U$617</c15:sqref>
                        </c15:formulaRef>
                      </c:ext>
                    </c:extLst>
                    <c:numCache>
                      <c:formatCode>#,##0.00;[Red]\(#,##0.00\);"-"</c:formatCode>
                      <c:ptCount val="17"/>
                      <c:pt idx="0">
                        <c:v>1.1420561792610024</c:v>
                      </c:pt>
                      <c:pt idx="1">
                        <c:v>1.2226323579111742</c:v>
                      </c:pt>
                      <c:pt idx="2">
                        <c:v>1.8428304023310689</c:v>
                      </c:pt>
                      <c:pt idx="3">
                        <c:v>1.7727399568100992</c:v>
                      </c:pt>
                      <c:pt idx="4">
                        <c:v>1.6267382454386334</c:v>
                      </c:pt>
                      <c:pt idx="5">
                        <c:v>2.0702682428279733</c:v>
                      </c:pt>
                      <c:pt idx="6">
                        <c:v>7.243785233506455</c:v>
                      </c:pt>
                      <c:pt idx="7">
                        <c:v>6.8783743723456272</c:v>
                      </c:pt>
                      <c:pt idx="8" formatCode="General">
                        <c:v>6.9285166143602419</c:v>
                      </c:pt>
                      <c:pt idx="9" formatCode="General">
                        <c:v>7.0188993659719898</c:v>
                      </c:pt>
                      <c:pt idx="10" formatCode="General">
                        <c:v>6.9498969451004777</c:v>
                      </c:pt>
                      <c:pt idx="11" formatCode="General">
                        <c:v>7.3479688080533885</c:v>
                      </c:pt>
                      <c:pt idx="12" formatCode="General">
                        <c:v>7.2507725193948547</c:v>
                      </c:pt>
                      <c:pt idx="13" formatCode="General">
                        <c:v>7.5044827536540577</c:v>
                      </c:pt>
                      <c:pt idx="14" formatCode="General">
                        <c:v>7.4847599059859942</c:v>
                      </c:pt>
                      <c:pt idx="15" formatCode="General">
                        <c:v>7.858286275648604</c:v>
                      </c:pt>
                      <c:pt idx="16" formatCode="General">
                        <c:v>7.70593824613126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A91-4CC3-92EB-D45D8376152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report!$C$613</c:f>
              <c:strCache>
                <c:ptCount val="1"/>
                <c:pt idx="0">
                  <c:v>원리금상환가능현금(A)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report!$D$610:$U$610</c15:sqref>
                  </c15:fullRef>
                </c:ext>
              </c:extLst>
              <c:f>report!$E$610:$U$610</c:f>
              <c:strCache>
                <c:ptCount val="17"/>
                <c:pt idx="0">
                  <c:v>2025.3Q</c:v>
                </c:pt>
                <c:pt idx="1">
                  <c:v>2025.4Q</c:v>
                </c:pt>
                <c:pt idx="2">
                  <c:v>2026.1Q</c:v>
                </c:pt>
                <c:pt idx="3">
                  <c:v>2026.2Q</c:v>
                </c:pt>
                <c:pt idx="4">
                  <c:v>2026.3Q</c:v>
                </c:pt>
                <c:pt idx="5">
                  <c:v>2026.4Q</c:v>
                </c:pt>
                <c:pt idx="6">
                  <c:v>2027.1Q</c:v>
                </c:pt>
                <c:pt idx="7">
                  <c:v>2027.2Q</c:v>
                </c:pt>
                <c:pt idx="8">
                  <c:v>2027.3Q</c:v>
                </c:pt>
                <c:pt idx="9">
                  <c:v>2027.4Q</c:v>
                </c:pt>
                <c:pt idx="10">
                  <c:v>2028.1Q</c:v>
                </c:pt>
                <c:pt idx="11">
                  <c:v>2028.2Q</c:v>
                </c:pt>
                <c:pt idx="12">
                  <c:v>2028.3Q</c:v>
                </c:pt>
                <c:pt idx="13">
                  <c:v>2028.4Q</c:v>
                </c:pt>
                <c:pt idx="14">
                  <c:v>2029.1Q</c:v>
                </c:pt>
                <c:pt idx="15">
                  <c:v>2029.2Q</c:v>
                </c:pt>
                <c:pt idx="16">
                  <c:v>2029.3Q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report!$D$613:$U$613</c15:sqref>
                  </c15:fullRef>
                </c:ext>
              </c:extLst>
              <c:f>report!$E$613:$U$613</c:f>
              <c:numCache>
                <c:formatCode>#,##0;[Red]\(#,##0\);"-"</c:formatCode>
                <c:ptCount val="17"/>
                <c:pt idx="0">
                  <c:v>6528.0876566402403</c:v>
                </c:pt>
                <c:pt idx="1">
                  <c:v>7017.9170518648025</c:v>
                </c:pt>
                <c:pt idx="2">
                  <c:v>6641.0656982206619</c:v>
                </c:pt>
                <c:pt idx="3">
                  <c:v>7206.3150875020046</c:v>
                </c:pt>
                <c:pt idx="4">
                  <c:v>6678.7756952490518</c:v>
                </c:pt>
                <c:pt idx="5">
                  <c:v>7206.3150875020046</c:v>
                </c:pt>
                <c:pt idx="6">
                  <c:v>8102.4269249957397</c:v>
                </c:pt>
                <c:pt idx="7">
                  <c:v>7617.4478573073802</c:v>
                </c:pt>
                <c:pt idx="8" formatCode="General">
                  <c:v>7596.167695025083</c:v>
                </c:pt>
                <c:pt idx="9" formatCode="General">
                  <c:v>7617.4478573073802</c:v>
                </c:pt>
                <c:pt idx="10" formatCode="General">
                  <c:v>7465.5139832954428</c:v>
                </c:pt>
                <c:pt idx="11" formatCode="General">
                  <c:v>7811.6588232686936</c:v>
                </c:pt>
                <c:pt idx="12" formatCode="General">
                  <c:v>7627.9463221409205</c:v>
                </c:pt>
                <c:pt idx="13" formatCode="General">
                  <c:v>7811.6588232686936</c:v>
                </c:pt>
                <c:pt idx="14" formatCode="General">
                  <c:v>7708.1519812081078</c:v>
                </c:pt>
                <c:pt idx="15" formatCode="General">
                  <c:v>8005.7090778050115</c:v>
                </c:pt>
                <c:pt idx="16" formatCode="General">
                  <c:v>7765.0742789426731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1-4CC3-92EB-D45D83761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742175"/>
        <c:axId val="579743423"/>
      </c:lineChart>
      <c:catAx>
        <c:axId val="579742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9743423"/>
        <c:crosses val="autoZero"/>
        <c:auto val="1"/>
        <c:lblAlgn val="ctr"/>
        <c:lblOffset val="100"/>
        <c:noMultiLvlLbl val="0"/>
      </c:catAx>
      <c:valAx>
        <c:axId val="57974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[Red]\(#,##0\);&quot;-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9742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report!$S$686</c:f>
              <c:strCache>
                <c:ptCount val="1"/>
                <c:pt idx="0">
                  <c:v>MRG금액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report!$T$684:$AI$684</c:f>
              <c:numCache>
                <c:formatCode>General</c:formatCode>
                <c:ptCount val="16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>
                  <c:v>2024</c:v>
                </c:pt>
              </c:numCache>
            </c:numRef>
          </c:cat>
          <c:val>
            <c:numRef>
              <c:f>report!$T$686:$AI$686</c:f>
              <c:numCache>
                <c:formatCode>#,##0_ </c:formatCode>
                <c:ptCount val="16"/>
                <c:pt idx="0">
                  <c:v>329.13090099999999</c:v>
                </c:pt>
                <c:pt idx="1">
                  <c:v>1052.323386</c:v>
                </c:pt>
                <c:pt idx="2">
                  <c:v>2072.055914</c:v>
                </c:pt>
                <c:pt idx="3">
                  <c:v>2364.2966150000002</c:v>
                </c:pt>
                <c:pt idx="4">
                  <c:v>682.79826100000002</c:v>
                </c:pt>
                <c:pt idx="5">
                  <c:v>6598.7155919999996</c:v>
                </c:pt>
                <c:pt idx="6">
                  <c:v>20842.488366000001</c:v>
                </c:pt>
                <c:pt idx="7">
                  <c:v>19766.892973999999</c:v>
                </c:pt>
                <c:pt idx="8">
                  <c:v>17296.398015080002</c:v>
                </c:pt>
                <c:pt idx="9">
                  <c:v>13656.974478239998</c:v>
                </c:pt>
                <c:pt idx="10">
                  <c:v>9342.5730196728837</c:v>
                </c:pt>
                <c:pt idx="11">
                  <c:v>9063.5823873885056</c:v>
                </c:pt>
                <c:pt idx="12">
                  <c:v>11280.835386677001</c:v>
                </c:pt>
                <c:pt idx="13">
                  <c:v>11927.230313059994</c:v>
                </c:pt>
                <c:pt idx="14">
                  <c:v>11421.101101222435</c:v>
                </c:pt>
                <c:pt idx="15">
                  <c:v>4414.6385692324002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F6-4424-A9B9-2301763F352C}"/>
            </c:ext>
          </c:extLst>
        </c:ser>
        <c:ser>
          <c:idx val="1"/>
          <c:order val="1"/>
          <c:tx>
            <c:strRef>
              <c:f>report!$S$687</c:f>
              <c:strCache>
                <c:ptCount val="1"/>
                <c:pt idx="0">
                  <c:v>누적수령금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report!$T$684:$AI$684</c:f>
              <c:numCache>
                <c:formatCode>General</c:formatCode>
                <c:ptCount val="16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>
                  <c:v>2024</c:v>
                </c:pt>
              </c:numCache>
            </c:numRef>
          </c:cat>
          <c:val>
            <c:numRef>
              <c:f>report!$T$687:$AI$687</c:f>
              <c:numCache>
                <c:formatCode>#,##0_ </c:formatCode>
                <c:ptCount val="16"/>
                <c:pt idx="0">
                  <c:v>329.13090099999999</c:v>
                </c:pt>
                <c:pt idx="1">
                  <c:v>1381.454287</c:v>
                </c:pt>
                <c:pt idx="2">
                  <c:v>3453.5102010000001</c:v>
                </c:pt>
                <c:pt idx="3">
                  <c:v>5817.8068160000003</c:v>
                </c:pt>
                <c:pt idx="4">
                  <c:v>6500.6050770000002</c:v>
                </c:pt>
                <c:pt idx="5">
                  <c:v>13099.320669000001</c:v>
                </c:pt>
                <c:pt idx="6">
                  <c:v>33941.809034999998</c:v>
                </c:pt>
                <c:pt idx="7">
                  <c:v>53708.702009000001</c:v>
                </c:pt>
                <c:pt idx="8">
                  <c:v>71005.100024080006</c:v>
                </c:pt>
                <c:pt idx="9">
                  <c:v>84662.07450232</c:v>
                </c:pt>
                <c:pt idx="10">
                  <c:v>94004.647521992883</c:v>
                </c:pt>
                <c:pt idx="11">
                  <c:v>103068.22990938139</c:v>
                </c:pt>
                <c:pt idx="12">
                  <c:v>114349.0652960584</c:v>
                </c:pt>
                <c:pt idx="13">
                  <c:v>126276.29560911839</c:v>
                </c:pt>
                <c:pt idx="14">
                  <c:v>137697.39671034084</c:v>
                </c:pt>
                <c:pt idx="15">
                  <c:v>142112.03527957323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F6-4424-A9B9-2301763F3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260847"/>
        <c:axId val="1701250447"/>
      </c:lineChart>
      <c:catAx>
        <c:axId val="1701260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1250447"/>
        <c:crosses val="autoZero"/>
        <c:auto val="1"/>
        <c:lblAlgn val="ctr"/>
        <c:lblOffset val="100"/>
        <c:noMultiLvlLbl val="0"/>
      </c:catAx>
      <c:valAx>
        <c:axId val="170125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1260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report!$R$713</c:f>
              <c:strCache>
                <c:ptCount val="1"/>
                <c:pt idx="0">
                  <c:v>자산총액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numRef>
              <c:f>report!$S$712:$W$712</c:f>
              <c:numCache>
                <c:formatCode>General</c:formatCode>
                <c:ptCount val="5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</c:numCache>
            </c:numRef>
          </c:cat>
          <c:val>
            <c:numRef>
              <c:f>report!$S$722:$W$722</c:f>
              <c:numCache>
                <c:formatCode>_(* #,##0_);_(* \(#,##0\);_(* "-"_);_(@_)</c:formatCode>
                <c:ptCount val="5"/>
                <c:pt idx="0">
                  <c:v>5312.5565800000004</c:v>
                </c:pt>
                <c:pt idx="1">
                  <c:v>5268.22001</c:v>
                </c:pt>
                <c:pt idx="2">
                  <c:v>6284.1635100000003</c:v>
                </c:pt>
                <c:pt idx="3">
                  <c:v>5540.91662</c:v>
                </c:pt>
                <c:pt idx="4">
                  <c:v>5424.7561800000003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08-4FFB-8036-0BE328F43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3710591"/>
        <c:axId val="893715999"/>
      </c:barChart>
      <c:lineChart>
        <c:grouping val="standard"/>
        <c:varyColors val="0"/>
        <c:ser>
          <c:idx val="1"/>
          <c:order val="1"/>
          <c:tx>
            <c:strRef>
              <c:f>report!$R$715</c:f>
              <c:strCache>
                <c:ptCount val="1"/>
                <c:pt idx="0">
                  <c:v>매출액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numRef>
              <c:f>report!$S$712:$W$712</c:f>
              <c:numCache>
                <c:formatCode>General</c:formatCode>
                <c:ptCount val="5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</c:numCache>
            </c:numRef>
          </c:cat>
          <c:val>
            <c:numRef>
              <c:f>report!$S$724:$W$724</c:f>
              <c:numCache>
                <c:formatCode>_(* #,##0_);_(* \(#,##0\);_(* "-"_);_(@_)</c:formatCode>
                <c:ptCount val="5"/>
                <c:pt idx="0">
                  <c:v>5959.4733399999996</c:v>
                </c:pt>
                <c:pt idx="1">
                  <c:v>5920.5448500000002</c:v>
                </c:pt>
                <c:pt idx="2">
                  <c:v>6330.4783200000002</c:v>
                </c:pt>
                <c:pt idx="3">
                  <c:v>5264.3726900000001</c:v>
                </c:pt>
                <c:pt idx="4">
                  <c:v>4669.8163800000002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08-4FFB-8036-0BE328F43B18}"/>
            </c:ext>
          </c:extLst>
        </c:ser>
        <c:ser>
          <c:idx val="2"/>
          <c:order val="2"/>
          <c:tx>
            <c:strRef>
              <c:f>report!$R$716</c:f>
              <c:strCache>
                <c:ptCount val="1"/>
                <c:pt idx="0">
                  <c:v>영업이익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cat>
            <c:numRef>
              <c:f>report!$S$712:$W$712</c:f>
              <c:numCache>
                <c:formatCode>General</c:formatCode>
                <c:ptCount val="5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</c:numCache>
            </c:numRef>
          </c:cat>
          <c:val>
            <c:numRef>
              <c:f>report!$S$725:$W$725</c:f>
              <c:numCache>
                <c:formatCode>_(* #,##0_);_(* \(#,##0\);_(* "-"_);_(@_)</c:formatCode>
                <c:ptCount val="5"/>
                <c:pt idx="0">
                  <c:v>277.75164000000001</c:v>
                </c:pt>
                <c:pt idx="1">
                  <c:v>245.90387999999999</c:v>
                </c:pt>
                <c:pt idx="2">
                  <c:v>209.44995</c:v>
                </c:pt>
                <c:pt idx="3">
                  <c:v>141.61500000000001</c:v>
                </c:pt>
                <c:pt idx="4">
                  <c:v>146.49682999999999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08-4FFB-8036-0BE328F43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614255"/>
        <c:axId val="732612175"/>
      </c:lineChart>
      <c:catAx>
        <c:axId val="893710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93715999"/>
        <c:crosses val="autoZero"/>
        <c:auto val="1"/>
        <c:lblAlgn val="ctr"/>
        <c:lblOffset val="100"/>
        <c:noMultiLvlLbl val="0"/>
      </c:catAx>
      <c:valAx>
        <c:axId val="8937159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93710591"/>
        <c:crosses val="autoZero"/>
        <c:crossBetween val="between"/>
      </c:valAx>
      <c:valAx>
        <c:axId val="732612175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32614255"/>
        <c:crosses val="max"/>
        <c:crossBetween val="between"/>
      </c:valAx>
      <c:catAx>
        <c:axId val="7326142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6121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TP!$G$272</c:f>
              <c:strCache>
                <c:ptCount val="1"/>
              </c:strCache>
            </c:strRef>
          </c:tx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(TP!$Y$267:$AA$267,TP!$AE$267:$BN$267)</c:f>
              <c:numCache>
                <c:formatCode>General</c:formatCode>
                <c:ptCount val="3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  <c:pt idx="35">
                  <c:v>2056</c:v>
                </c:pt>
                <c:pt idx="36">
                  <c:v>2057</c:v>
                </c:pt>
                <c:pt idx="37">
                  <c:v>2058</c:v>
                </c:pt>
                <c:pt idx="38">
                  <c:v>2059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TP!$Y$272:$BN$272</c15:sqref>
                  </c15:fullRef>
                </c:ext>
              </c:extLst>
              <c:f>(TP!$Y$272:$AA$272,TP!$AE$272:$BN$272)</c:f>
              <c:numCache>
                <c:formatCode>_(* #,##0_);_(* \(#,##0\);_(* "-"_);_(@_)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0-63C6-4A5B-B969-BEFA66DC18E8}"/>
            </c:ext>
          </c:extLst>
        </c:ser>
        <c:ser>
          <c:idx val="7"/>
          <c:order val="1"/>
          <c:tx>
            <c:strRef>
              <c:f>TP!$G$273</c:f>
              <c:strCache>
                <c:ptCount val="1"/>
              </c:strCache>
            </c:strRef>
          </c:tx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(TP!$Y$267:$AA$267,TP!$AE$267:$BN$267)</c:f>
              <c:numCache>
                <c:formatCode>General</c:formatCode>
                <c:ptCount val="3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  <c:pt idx="35">
                  <c:v>2056</c:v>
                </c:pt>
                <c:pt idx="36">
                  <c:v>2057</c:v>
                </c:pt>
                <c:pt idx="37">
                  <c:v>2058</c:v>
                </c:pt>
                <c:pt idx="38">
                  <c:v>2059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TP!$Y$273:$BN$273</c15:sqref>
                  </c15:fullRef>
                </c:ext>
              </c:extLst>
              <c:f>(TP!$Y$273:$AA$273,TP!$AE$273:$BN$273)</c:f>
              <c:numCache>
                <c:formatCode>_(* #,##0_);_(* \(#,##0\);_(* "-"_);_(@_)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1-63C6-4A5B-B969-BEFA66DC1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99648"/>
        <c:axId val="189513728"/>
      </c:areaChart>
      <c:lineChart>
        <c:grouping val="standard"/>
        <c:varyColors val="0"/>
        <c:ser>
          <c:idx val="1"/>
          <c:order val="2"/>
          <c:tx>
            <c:strRef>
              <c:f>TP!$G$268</c:f>
              <c:strCache>
                <c:ptCount val="1"/>
                <c:pt idx="0">
                  <c:v>사업시행자귀책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(TP!$Y$267:$AA$267,TP!$AE$267:$BN$267)</c:f>
              <c:numCache>
                <c:formatCode>General</c:formatCode>
                <c:ptCount val="3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  <c:pt idx="35">
                  <c:v>2056</c:v>
                </c:pt>
                <c:pt idx="36">
                  <c:v>2057</c:v>
                </c:pt>
                <c:pt idx="37">
                  <c:v>2058</c:v>
                </c:pt>
                <c:pt idx="38">
                  <c:v>2059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TP!$Y$268:$BN$268</c15:sqref>
                  </c15:fullRef>
                </c:ext>
              </c:extLst>
              <c:f>(TP!$Y$268:$AA$268,TP!$AE$268:$BN$268)</c:f>
              <c:numCache>
                <c:formatCode>_(* #,##0_);_(* \(#,##0\);_(* "-"_);_(@_)</c:formatCode>
                <c:ptCount val="39"/>
                <c:pt idx="0">
                  <c:v>1147.8500988821697</c:v>
                </c:pt>
                <c:pt idx="1">
                  <c:v>1077.9994683040404</c:v>
                </c:pt>
                <c:pt idx="2">
                  <c:v>1011.1358628189348</c:v>
                </c:pt>
                <c:pt idx="3">
                  <c:v>828.22220997756335</c:v>
                </c:pt>
                <c:pt idx="4">
                  <c:v>783.70991261945017</c:v>
                </c:pt>
                <c:pt idx="5">
                  <c:v>741.58990152488798</c:v>
                </c:pt>
                <c:pt idx="6">
                  <c:v>701.73360472823015</c:v>
                </c:pt>
                <c:pt idx="7">
                  <c:v>664.01936028567911</c:v>
                </c:pt>
                <c:pt idx="8">
                  <c:v>628.33204490037815</c:v>
                </c:pt>
                <c:pt idx="9">
                  <c:v>594.56272250682082</c:v>
                </c:pt>
                <c:pt idx="10">
                  <c:v>562.60831174187672</c:v>
                </c:pt>
                <c:pt idx="11">
                  <c:v>532.3712712873845</c:v>
                </c:pt>
                <c:pt idx="12">
                  <c:v>503.75930212381604</c:v>
                </c:pt>
                <c:pt idx="13">
                  <c:v>476.68506578613261</c:v>
                </c:pt>
                <c:pt idx="14">
                  <c:v>451.06591776181341</c:v>
                </c:pt>
                <c:pt idx="15">
                  <c:v>426.82365521723875</c:v>
                </c:pt>
                <c:pt idx="16">
                  <c:v>403.88427828236883</c:v>
                </c:pt>
                <c:pt idx="17">
                  <c:v>382.17776416503</c:v>
                </c:pt>
                <c:pt idx="18">
                  <c:v>361.63785340529125</c:v>
                </c:pt>
                <c:pt idx="19">
                  <c:v>342.20184761747009</c:v>
                </c:pt>
                <c:pt idx="20">
                  <c:v>323.81041810236798</c:v>
                </c:pt>
                <c:pt idx="21">
                  <c:v>306.40742474552701</c:v>
                </c:pt>
                <c:pt idx="22">
                  <c:v>289.9397446486891</c:v>
                </c:pt>
                <c:pt idx="23">
                  <c:v>274.35710997135129</c:v>
                </c:pt>
                <c:pt idx="24">
                  <c:v>259.6119544874287</c:v>
                </c:pt>
                <c:pt idx="25">
                  <c:v>245.65926838863609</c:v>
                </c:pt>
                <c:pt idx="26">
                  <c:v>232.45646089137324</c:v>
                </c:pt>
                <c:pt idx="27">
                  <c:v>219.96323022771878</c:v>
                </c:pt>
                <c:pt idx="28">
                  <c:v>208.14144062367939</c:v>
                </c:pt>
                <c:pt idx="29">
                  <c:v>196.95500588916755</c:v>
                </c:pt>
                <c:pt idx="30">
                  <c:v>186.36977926436481</c:v>
                </c:pt>
                <c:pt idx="31">
                  <c:v>176.35344918622559</c:v>
                </c:pt>
                <c:pt idx="32">
                  <c:v>166.87544065694593</c:v>
                </c:pt>
                <c:pt idx="33">
                  <c:v>157.90682191332485</c:v>
                </c:pt>
                <c:pt idx="34">
                  <c:v>149.42021611212212</c:v>
                </c:pt>
                <c:pt idx="35">
                  <c:v>141.38971776183436</c:v>
                </c:pt>
                <c:pt idx="36">
                  <c:v>133.79081364579403</c:v>
                </c:pt>
                <c:pt idx="37">
                  <c:v>126.60030799520669</c:v>
                </c:pt>
                <c:pt idx="38">
                  <c:v>124.10756948848672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C6-4A5B-B969-BEFA66DC18E8}"/>
            </c:ext>
          </c:extLst>
        </c:ser>
        <c:ser>
          <c:idx val="2"/>
          <c:order val="3"/>
          <c:tx>
            <c:strRef>
              <c:f>TP!$G$269</c:f>
              <c:strCache>
                <c:ptCount val="1"/>
                <c:pt idx="0">
                  <c:v>정부귀책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(TP!$Y$267:$AA$267,TP!$AE$267:$BN$267)</c:f>
              <c:numCache>
                <c:formatCode>General</c:formatCode>
                <c:ptCount val="3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  <c:pt idx="35">
                  <c:v>2056</c:v>
                </c:pt>
                <c:pt idx="36">
                  <c:v>2057</c:v>
                </c:pt>
                <c:pt idx="37">
                  <c:v>2058</c:v>
                </c:pt>
                <c:pt idx="38">
                  <c:v>2059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TP!$Y$269:$BN$269</c15:sqref>
                  </c15:fullRef>
                </c:ext>
              </c:extLst>
              <c:f>(TP!$Y$269:$AA$269,TP!$AE$269:$BN$269)</c:f>
              <c:numCache>
                <c:formatCode>_(* #,##0_);_(* \(#,##0\);_(* "-"_);_(@_)</c:formatCode>
                <c:ptCount val="39"/>
                <c:pt idx="0">
                  <c:v>1825.7744010585586</c:v>
                </c:pt>
                <c:pt idx="1">
                  <c:v>1793.425529278458</c:v>
                </c:pt>
                <c:pt idx="2">
                  <c:v>1860.3580088636861</c:v>
                </c:pt>
                <c:pt idx="3">
                  <c:v>1643.6302939435891</c:v>
                </c:pt>
                <c:pt idx="4">
                  <c:v>1637.2261864978582</c:v>
                </c:pt>
                <c:pt idx="5">
                  <c:v>1488.0048666972871</c:v>
                </c:pt>
                <c:pt idx="6">
                  <c:v>1294.8725049609527</c:v>
                </c:pt>
                <c:pt idx="7">
                  <c:v>1229.4400230077435</c:v>
                </c:pt>
                <c:pt idx="8">
                  <c:v>1234.0333974454149</c:v>
                </c:pt>
                <c:pt idx="9">
                  <c:v>1228.6680828850986</c:v>
                </c:pt>
                <c:pt idx="10">
                  <c:v>1222.0708360684453</c:v>
                </c:pt>
                <c:pt idx="11">
                  <c:v>1211.404900128425</c:v>
                </c:pt>
                <c:pt idx="12">
                  <c:v>1190.1696301926404</c:v>
                </c:pt>
                <c:pt idx="13">
                  <c:v>1158.994165732418</c:v>
                </c:pt>
                <c:pt idx="14">
                  <c:v>1117.2733621377397</c:v>
                </c:pt>
                <c:pt idx="15">
                  <c:v>1069.0770152781249</c:v>
                </c:pt>
                <c:pt idx="16">
                  <c:v>1027.3074876759822</c:v>
                </c:pt>
                <c:pt idx="17">
                  <c:v>983.88494654205942</c:v>
                </c:pt>
                <c:pt idx="18">
                  <c:v>935.85138703652137</c:v>
                </c:pt>
                <c:pt idx="19">
                  <c:v>893.01495589268279</c:v>
                </c:pt>
                <c:pt idx="20">
                  <c:v>846.03030318799324</c:v>
                </c:pt>
                <c:pt idx="21">
                  <c:v>793.25280824988022</c:v>
                </c:pt>
                <c:pt idx="22">
                  <c:v>745.22137593399032</c:v>
                </c:pt>
                <c:pt idx="23">
                  <c:v>693.19210965512934</c:v>
                </c:pt>
                <c:pt idx="24">
                  <c:v>637.83940384001244</c:v>
                </c:pt>
                <c:pt idx="25">
                  <c:v>585.54217559061215</c:v>
                </c:pt>
                <c:pt idx="26">
                  <c:v>533.53155797734678</c:v>
                </c:pt>
                <c:pt idx="27">
                  <c:v>504.00838194358289</c:v>
                </c:pt>
                <c:pt idx="28">
                  <c:v>480.33720078635235</c:v>
                </c:pt>
                <c:pt idx="29">
                  <c:v>437.68630500746133</c:v>
                </c:pt>
                <c:pt idx="30">
                  <c:v>391.74095825397592</c:v>
                </c:pt>
                <c:pt idx="31">
                  <c:v>351.42986103700326</c:v>
                </c:pt>
                <c:pt idx="32">
                  <c:v>311.79593307468173</c:v>
                </c:pt>
                <c:pt idx="33">
                  <c:v>270.87440317344567</c:v>
                </c:pt>
                <c:pt idx="34">
                  <c:v>234.56340009679414</c:v>
                </c:pt>
                <c:pt idx="35">
                  <c:v>204.42939303380757</c:v>
                </c:pt>
                <c:pt idx="36">
                  <c:v>181.47352195562632</c:v>
                </c:pt>
                <c:pt idx="37">
                  <c:v>168.65801157418213</c:v>
                </c:pt>
                <c:pt idx="38">
                  <c:v>165.33716404564609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C6-4A5B-B969-BEFA66DC18E8}"/>
            </c:ext>
          </c:extLst>
        </c:ser>
        <c:ser>
          <c:idx val="3"/>
          <c:order val="4"/>
          <c:tx>
            <c:strRef>
              <c:f>TP!$G$270</c:f>
              <c:strCache>
                <c:ptCount val="1"/>
                <c:pt idx="0">
                  <c:v>비정치적불가항력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(TP!$Y$267:$AA$267,TP!$AE$267:$BN$267)</c:f>
              <c:numCache>
                <c:formatCode>General</c:formatCode>
                <c:ptCount val="3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  <c:pt idx="35">
                  <c:v>2056</c:v>
                </c:pt>
                <c:pt idx="36">
                  <c:v>2057</c:v>
                </c:pt>
                <c:pt idx="37">
                  <c:v>2058</c:v>
                </c:pt>
                <c:pt idx="38">
                  <c:v>2059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TP!$Y$270:$BN$270</c15:sqref>
                  </c15:fullRef>
                </c:ext>
              </c:extLst>
              <c:f>(TP!$Y$270:$AA$270,TP!$AE$270:$BN$270)</c:f>
              <c:numCache>
                <c:formatCode>_(* #,##0_);_(* \(#,##0\);_(* "-"_);_(@_)</c:formatCode>
                <c:ptCount val="39"/>
                <c:pt idx="0">
                  <c:v>1791.7452245979471</c:v>
                </c:pt>
                <c:pt idx="1">
                  <c:v>1758.1045595720695</c:v>
                </c:pt>
                <c:pt idx="2">
                  <c:v>1824.0738255963201</c:v>
                </c:pt>
                <c:pt idx="3">
                  <c:v>1603.5760508243764</c:v>
                </c:pt>
                <c:pt idx="4">
                  <c:v>1596.8800209529052</c:v>
                </c:pt>
                <c:pt idx="5">
                  <c:v>1447.5138521687011</c:v>
                </c:pt>
                <c:pt idx="6">
                  <c:v>1254.368749352102</c:v>
                </c:pt>
                <c:pt idx="7">
                  <c:v>1189.0418524950819</c:v>
                </c:pt>
                <c:pt idx="8">
                  <c:v>1193.8464562711699</c:v>
                </c:pt>
                <c:pt idx="9">
                  <c:v>1188.7863547425438</c:v>
                </c:pt>
                <c:pt idx="10">
                  <c:v>1182.5775923309711</c:v>
                </c:pt>
                <c:pt idx="11">
                  <c:v>1172.3735798356438</c:v>
                </c:pt>
                <c:pt idx="12">
                  <c:v>1151.6646563899617</c:v>
                </c:pt>
                <c:pt idx="13">
                  <c:v>1121.0717024635751</c:v>
                </c:pt>
                <c:pt idx="14">
                  <c:v>1079.9820161114515</c:v>
                </c:pt>
                <c:pt idx="15">
                  <c:v>1032.4584859692479</c:v>
                </c:pt>
                <c:pt idx="16">
                  <c:v>991.39716937714604</c:v>
                </c:pt>
                <c:pt idx="17">
                  <c:v>948.71248565276778</c:v>
                </c:pt>
                <c:pt idx="18">
                  <c:v>901.44119766219092</c:v>
                </c:pt>
                <c:pt idx="19">
                  <c:v>859.3866966251278</c:v>
                </c:pt>
                <c:pt idx="20">
                  <c:v>813.19931775062662</c:v>
                </c:pt>
                <c:pt idx="21">
                  <c:v>761.2305325146076</c:v>
                </c:pt>
                <c:pt idx="22">
                  <c:v>714.01571365167706</c:v>
                </c:pt>
                <c:pt idx="23">
                  <c:v>662.80777908692801</c:v>
                </c:pt>
                <c:pt idx="24">
                  <c:v>608.27825733210295</c:v>
                </c:pt>
                <c:pt idx="25">
                  <c:v>556.80349399939803</c:v>
                </c:pt>
                <c:pt idx="26">
                  <c:v>505.61232172532664</c:v>
                </c:pt>
                <c:pt idx="27">
                  <c:v>476.9035203674008</c:v>
                </c:pt>
                <c:pt idx="28">
                  <c:v>454.03982132744068</c:v>
                </c:pt>
                <c:pt idx="29">
                  <c:v>412.1879036917399</c:v>
                </c:pt>
                <c:pt idx="30">
                  <c:v>367.03161280981448</c:v>
                </c:pt>
                <c:pt idx="31">
                  <c:v>327.49840790967869</c:v>
                </c:pt>
                <c:pt idx="32">
                  <c:v>288.63012951046227</c:v>
                </c:pt>
                <c:pt idx="33">
                  <c:v>248.46107546685042</c:v>
                </c:pt>
                <c:pt idx="34">
                  <c:v>212.88857902015897</c:v>
                </c:pt>
                <c:pt idx="35">
                  <c:v>183.4784373987066</c:v>
                </c:pt>
                <c:pt idx="36">
                  <c:v>161.23123119066287</c:v>
                </c:pt>
                <c:pt idx="37">
                  <c:v>148.9128999121296</c:v>
                </c:pt>
                <c:pt idx="38">
                  <c:v>145.98083026998927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C6-4A5B-B969-BEFA66DC18E8}"/>
            </c:ext>
          </c:extLst>
        </c:ser>
        <c:ser>
          <c:idx val="4"/>
          <c:order val="5"/>
          <c:tx>
            <c:strRef>
              <c:f>TP!$G$271</c:f>
              <c:strCache>
                <c:ptCount val="1"/>
                <c:pt idx="0">
                  <c:v>정치적불가항력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(TP!$Y$267:$AA$267,TP!$AE$267:$BN$267)</c:f>
              <c:numCache>
                <c:formatCode>General</c:formatCode>
                <c:ptCount val="3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  <c:pt idx="30">
                  <c:v>2051</c:v>
                </c:pt>
                <c:pt idx="31">
                  <c:v>2052</c:v>
                </c:pt>
                <c:pt idx="32">
                  <c:v>2053</c:v>
                </c:pt>
                <c:pt idx="33">
                  <c:v>2054</c:v>
                </c:pt>
                <c:pt idx="34">
                  <c:v>2055</c:v>
                </c:pt>
                <c:pt idx="35">
                  <c:v>2056</c:v>
                </c:pt>
                <c:pt idx="36">
                  <c:v>2057</c:v>
                </c:pt>
                <c:pt idx="37">
                  <c:v>2058</c:v>
                </c:pt>
                <c:pt idx="38">
                  <c:v>2059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TP!$Y$271:$BN$271</c15:sqref>
                  </c15:fullRef>
                </c:ext>
              </c:extLst>
              <c:f>(TP!$Y$271:$AA$271,TP!$AE$271:$BN$271)</c:f>
              <c:numCache>
                <c:formatCode>_(* #,##0_);_(* \(#,##0\);_(* "-"_);_(@_)</c:formatCode>
                <c:ptCount val="39"/>
                <c:pt idx="0">
                  <c:v>1808.2568673323135</c:v>
                </c:pt>
                <c:pt idx="1">
                  <c:v>1775.2430064427517</c:v>
                </c:pt>
                <c:pt idx="2">
                  <c:v>1841.6796431133114</c:v>
                </c:pt>
                <c:pt idx="3">
                  <c:v>1623.0111774177399</c:v>
                </c:pt>
                <c:pt idx="4">
                  <c:v>1616.4567941948596</c:v>
                </c:pt>
                <c:pt idx="5">
                  <c:v>1467.160909058894</c:v>
                </c:pt>
                <c:pt idx="6">
                  <c:v>1274.0219884714068</c:v>
                </c:pt>
                <c:pt idx="7">
                  <c:v>1208.6438595962284</c:v>
                </c:pt>
                <c:pt idx="8">
                  <c:v>1213.3459706371484</c:v>
                </c:pt>
                <c:pt idx="9">
                  <c:v>1208.1377735898732</c:v>
                </c:pt>
                <c:pt idx="10">
                  <c:v>1201.7405107098277</c:v>
                </c:pt>
                <c:pt idx="11">
                  <c:v>1191.3123636428563</c:v>
                </c:pt>
                <c:pt idx="12">
                  <c:v>1170.3480462645848</c:v>
                </c:pt>
                <c:pt idx="13">
                  <c:v>1139.4724464788474</c:v>
                </c:pt>
                <c:pt idx="14">
                  <c:v>1098.0765293119809</c:v>
                </c:pt>
                <c:pt idx="15">
                  <c:v>1050.2265349288207</c:v>
                </c:pt>
                <c:pt idx="16">
                  <c:v>1008.8215800711299</c:v>
                </c:pt>
                <c:pt idx="17">
                  <c:v>965.77887305020204</c:v>
                </c:pt>
                <c:pt idx="18">
                  <c:v>918.13771554673247</c:v>
                </c:pt>
                <c:pt idx="19">
                  <c:v>875.7038062515453</c:v>
                </c:pt>
                <c:pt idx="20">
                  <c:v>829.12957403486098</c:v>
                </c:pt>
                <c:pt idx="21">
                  <c:v>776.76838654096616</c:v>
                </c:pt>
                <c:pt idx="22">
                  <c:v>729.15733036083407</c:v>
                </c:pt>
                <c:pt idx="23">
                  <c:v>677.55086908341195</c:v>
                </c:pt>
                <c:pt idx="24">
                  <c:v>622.62192182018828</c:v>
                </c:pt>
                <c:pt idx="25">
                  <c:v>570.74808192206183</c:v>
                </c:pt>
                <c:pt idx="26">
                  <c:v>519.15929824247269</c:v>
                </c:pt>
                <c:pt idx="27">
                  <c:v>490.05534586715692</c:v>
                </c:pt>
                <c:pt idx="28">
                  <c:v>466.79984021823589</c:v>
                </c:pt>
                <c:pt idx="29">
                  <c:v>424.56024227330994</c:v>
                </c:pt>
                <c:pt idx="30">
                  <c:v>379.02108556847162</c:v>
                </c:pt>
                <c:pt idx="31">
                  <c:v>339.11043162732591</c:v>
                </c:pt>
                <c:pt idx="32">
                  <c:v>299.8706446181277</c:v>
                </c:pt>
                <c:pt idx="33">
                  <c:v>259.33647411212633</c:v>
                </c:pt>
                <c:pt idx="34">
                  <c:v>223.40563935404563</c:v>
                </c:pt>
                <c:pt idx="35">
                  <c:v>193.64426362111823</c:v>
                </c:pt>
                <c:pt idx="36">
                  <c:v>171.05319892541297</c:v>
                </c:pt>
                <c:pt idx="37">
                  <c:v>158.49362631881658</c:v>
                </c:pt>
                <c:pt idx="38">
                  <c:v>155.37291380515015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3C6-4A5B-B969-BEFA66DC1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99648"/>
        <c:axId val="189513728"/>
      </c:lineChart>
      <c:catAx>
        <c:axId val="18949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9513728"/>
        <c:crosses val="autoZero"/>
        <c:auto val="1"/>
        <c:lblAlgn val="ctr"/>
        <c:lblOffset val="100"/>
        <c:tickLblSkip val="5"/>
        <c:noMultiLvlLbl val="0"/>
      </c:catAx>
      <c:valAx>
        <c:axId val="189513728"/>
        <c:scaling>
          <c:orientation val="minMax"/>
          <c:min val="0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89499648"/>
        <c:crosses val="autoZero"/>
        <c:crossBetween val="between"/>
      </c:valAx>
    </c:plotArea>
    <c:legend>
      <c:legendPos val="t"/>
      <c:overlay val="0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TP!$G$276</c:f>
              <c:strCache>
                <c:ptCount val="1"/>
                <c:pt idx="0">
                  <c:v>선순위차입금 잔액</c:v>
                </c:pt>
              </c:strCache>
            </c:strRef>
          </c:tx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TP!$AC$267:$BN$267</c:f>
              <c:numCache>
                <c:formatCode>General</c:formatCode>
                <c:ptCount val="3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TP!$Y$276:$BN$276</c15:sqref>
                  </c15:fullRef>
                </c:ext>
              </c:extLst>
              <c:f>TP!$AC$276:$BN$276</c:f>
              <c:numCache>
                <c:formatCode>_(* #,##0_);_(* \(#,##0\);_(* "-"_);_(@_)</c:formatCode>
                <c:ptCount val="38"/>
                <c:pt idx="0">
                  <c:v>796.43990999999983</c:v>
                </c:pt>
                <c:pt idx="1">
                  <c:v>631.17239999999981</c:v>
                </c:pt>
                <c:pt idx="2">
                  <c:v>465.07439999999986</c:v>
                </c:pt>
                <c:pt idx="3">
                  <c:v>253.29944999999987</c:v>
                </c:pt>
                <c:pt idx="4">
                  <c:v>109.62467999999987</c:v>
                </c:pt>
                <c:pt idx="5">
                  <c:v>69.761159999999876</c:v>
                </c:pt>
                <c:pt idx="6">
                  <c:v>29.897639999999875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5-421B-93AE-7DA606C11AA6}"/>
            </c:ext>
          </c:extLst>
        </c:ser>
        <c:ser>
          <c:idx val="9"/>
          <c:order val="1"/>
          <c:tx>
            <c:strRef>
              <c:f>TP!$G$275</c:f>
              <c:strCache>
                <c:ptCount val="1"/>
                <c:pt idx="0">
                  <c:v>FI 자본금</c:v>
                </c:pt>
              </c:strCache>
            </c:strRef>
          </c:tx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TP!$AC$267:$BN$267</c:f>
              <c:numCache>
                <c:formatCode>General</c:formatCode>
                <c:ptCount val="3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TP!$Y$275:$BN$275</c15:sqref>
                  </c15:fullRef>
                </c:ext>
              </c:extLst>
              <c:f>TP!$AC$275:$BN$275</c:f>
              <c:numCache>
                <c:formatCode>_(* #,##0_);_(* \(#,##0\);_(* "-"_);_(@_)</c:formatCode>
                <c:ptCount val="38"/>
                <c:pt idx="0">
                  <c:v>106</c:v>
                </c:pt>
                <c:pt idx="1">
                  <c:v>106</c:v>
                </c:pt>
                <c:pt idx="2">
                  <c:v>106</c:v>
                </c:pt>
                <c:pt idx="3">
                  <c:v>106</c:v>
                </c:pt>
                <c:pt idx="4">
                  <c:v>106</c:v>
                </c:pt>
                <c:pt idx="5">
                  <c:v>106</c:v>
                </c:pt>
                <c:pt idx="6">
                  <c:v>106</c:v>
                </c:pt>
                <c:pt idx="7">
                  <c:v>106</c:v>
                </c:pt>
                <c:pt idx="8">
                  <c:v>106</c:v>
                </c:pt>
                <c:pt idx="9">
                  <c:v>106</c:v>
                </c:pt>
                <c:pt idx="10">
                  <c:v>106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  <c:pt idx="23">
                  <c:v>106</c:v>
                </c:pt>
                <c:pt idx="24">
                  <c:v>106</c:v>
                </c:pt>
                <c:pt idx="25">
                  <c:v>106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55-421B-93AE-7DA606C11AA6}"/>
            </c:ext>
          </c:extLst>
        </c:ser>
        <c:ser>
          <c:idx val="0"/>
          <c:order val="6"/>
          <c:tx>
            <c:strRef>
              <c:f>TP!$G$274</c:f>
              <c:strCache>
                <c:ptCount val="1"/>
                <c:pt idx="0">
                  <c:v>보통주 자본금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TP!$AC$267:$BN$267</c:f>
              <c:numCache>
                <c:formatCode>General</c:formatCode>
                <c:ptCount val="3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TP!$Y$274:$BN$274</c15:sqref>
                  </c15:fullRef>
                </c:ext>
              </c:extLst>
              <c:f>TP!$AC$274:$BN$274</c:f>
              <c:numCache>
                <c:formatCode>_(* #,##0_);_(* \(#,##0\);_(* "-"_);_(@_)</c:formatCode>
                <c:ptCount val="38"/>
                <c:pt idx="0">
                  <c:v>574</c:v>
                </c:pt>
                <c:pt idx="1">
                  <c:v>574</c:v>
                </c:pt>
                <c:pt idx="2">
                  <c:v>574</c:v>
                </c:pt>
                <c:pt idx="3">
                  <c:v>574</c:v>
                </c:pt>
                <c:pt idx="4">
                  <c:v>574</c:v>
                </c:pt>
                <c:pt idx="5">
                  <c:v>574</c:v>
                </c:pt>
                <c:pt idx="6">
                  <c:v>574</c:v>
                </c:pt>
                <c:pt idx="7">
                  <c:v>574</c:v>
                </c:pt>
                <c:pt idx="8">
                  <c:v>574</c:v>
                </c:pt>
                <c:pt idx="9">
                  <c:v>574</c:v>
                </c:pt>
                <c:pt idx="10">
                  <c:v>574</c:v>
                </c:pt>
                <c:pt idx="11">
                  <c:v>574</c:v>
                </c:pt>
                <c:pt idx="12">
                  <c:v>574</c:v>
                </c:pt>
                <c:pt idx="13">
                  <c:v>574</c:v>
                </c:pt>
                <c:pt idx="14">
                  <c:v>574</c:v>
                </c:pt>
                <c:pt idx="15">
                  <c:v>574</c:v>
                </c:pt>
                <c:pt idx="16">
                  <c:v>574</c:v>
                </c:pt>
                <c:pt idx="17">
                  <c:v>574</c:v>
                </c:pt>
                <c:pt idx="18">
                  <c:v>574</c:v>
                </c:pt>
                <c:pt idx="19">
                  <c:v>574</c:v>
                </c:pt>
                <c:pt idx="20">
                  <c:v>574</c:v>
                </c:pt>
                <c:pt idx="21">
                  <c:v>574</c:v>
                </c:pt>
                <c:pt idx="22">
                  <c:v>574</c:v>
                </c:pt>
                <c:pt idx="23">
                  <c:v>574</c:v>
                </c:pt>
                <c:pt idx="24">
                  <c:v>574</c:v>
                </c:pt>
                <c:pt idx="25">
                  <c:v>574</c:v>
                </c:pt>
                <c:pt idx="26">
                  <c:v>574</c:v>
                </c:pt>
                <c:pt idx="27">
                  <c:v>574</c:v>
                </c:pt>
                <c:pt idx="28">
                  <c:v>574</c:v>
                </c:pt>
                <c:pt idx="29">
                  <c:v>574</c:v>
                </c:pt>
                <c:pt idx="30">
                  <c:v>574</c:v>
                </c:pt>
                <c:pt idx="31">
                  <c:v>574</c:v>
                </c:pt>
                <c:pt idx="32">
                  <c:v>574</c:v>
                </c:pt>
                <c:pt idx="33">
                  <c:v>574</c:v>
                </c:pt>
                <c:pt idx="34">
                  <c:v>574</c:v>
                </c:pt>
                <c:pt idx="35">
                  <c:v>574</c:v>
                </c:pt>
                <c:pt idx="36">
                  <c:v>574</c:v>
                </c:pt>
                <c:pt idx="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55-421B-93AE-7DA606C11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06080"/>
        <c:axId val="189807616"/>
      </c:areaChart>
      <c:lineChart>
        <c:grouping val="standard"/>
        <c:varyColors val="0"/>
        <c:ser>
          <c:idx val="1"/>
          <c:order val="2"/>
          <c:tx>
            <c:strRef>
              <c:f>TP!$G$268</c:f>
              <c:strCache>
                <c:ptCount val="1"/>
                <c:pt idx="0">
                  <c:v>사업시행자귀책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TP!$AC$267:$BN$267</c:f>
              <c:numCache>
                <c:formatCode>General</c:formatCode>
                <c:ptCount val="3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TP!$Y$268:$BN$268</c15:sqref>
                  </c15:fullRef>
                </c:ext>
              </c:extLst>
              <c:f>TP!$AC$268:$BN$268</c:f>
              <c:numCache>
                <c:formatCode>_(* #,##0_);_(* \(#,##0\);_(* "-"_);_(@_)</c:formatCode>
                <c:ptCount val="38"/>
                <c:pt idx="0">
                  <c:v>924.97487855435452</c:v>
                </c:pt>
                <c:pt idx="1">
                  <c:v>875.26266805457647</c:v>
                </c:pt>
                <c:pt idx="2">
                  <c:v>828.22220997756335</c:v>
                </c:pt>
                <c:pt idx="3">
                  <c:v>783.70991261945017</c:v>
                </c:pt>
                <c:pt idx="4">
                  <c:v>741.58990152488798</c:v>
                </c:pt>
                <c:pt idx="5">
                  <c:v>701.73360472823015</c:v>
                </c:pt>
                <c:pt idx="6">
                  <c:v>664.01936028567911</c:v>
                </c:pt>
                <c:pt idx="7">
                  <c:v>628.33204490037815</c:v>
                </c:pt>
                <c:pt idx="8">
                  <c:v>594.56272250682082</c:v>
                </c:pt>
                <c:pt idx="9">
                  <c:v>562.60831174187672</c:v>
                </c:pt>
                <c:pt idx="10">
                  <c:v>532.3712712873845</c:v>
                </c:pt>
                <c:pt idx="11">
                  <c:v>503.75930212381604</c:v>
                </c:pt>
                <c:pt idx="12">
                  <c:v>476.68506578613261</c:v>
                </c:pt>
                <c:pt idx="13">
                  <c:v>451.06591776181341</c:v>
                </c:pt>
                <c:pt idx="14">
                  <c:v>426.82365521723875</c:v>
                </c:pt>
                <c:pt idx="15">
                  <c:v>403.88427828236883</c:v>
                </c:pt>
                <c:pt idx="16">
                  <c:v>382.17776416503</c:v>
                </c:pt>
                <c:pt idx="17">
                  <c:v>361.63785340529125</c:v>
                </c:pt>
                <c:pt idx="18">
                  <c:v>342.20184761747009</c:v>
                </c:pt>
                <c:pt idx="19">
                  <c:v>323.81041810236798</c:v>
                </c:pt>
                <c:pt idx="20">
                  <c:v>306.40742474552701</c:v>
                </c:pt>
                <c:pt idx="21">
                  <c:v>289.9397446486891</c:v>
                </c:pt>
                <c:pt idx="22">
                  <c:v>274.35710997135129</c:v>
                </c:pt>
                <c:pt idx="23">
                  <c:v>259.6119544874287</c:v>
                </c:pt>
                <c:pt idx="24">
                  <c:v>245.65926838863609</c:v>
                </c:pt>
                <c:pt idx="25">
                  <c:v>232.45646089137324</c:v>
                </c:pt>
                <c:pt idx="26">
                  <c:v>219.96323022771878</c:v>
                </c:pt>
                <c:pt idx="27">
                  <c:v>208.14144062367939</c:v>
                </c:pt>
                <c:pt idx="28">
                  <c:v>196.95500588916755</c:v>
                </c:pt>
                <c:pt idx="29">
                  <c:v>186.36977926436481</c:v>
                </c:pt>
                <c:pt idx="30">
                  <c:v>176.35344918622559</c:v>
                </c:pt>
                <c:pt idx="31">
                  <c:v>166.87544065694593</c:v>
                </c:pt>
                <c:pt idx="32">
                  <c:v>157.90682191332485</c:v>
                </c:pt>
                <c:pt idx="33">
                  <c:v>149.42021611212212</c:v>
                </c:pt>
                <c:pt idx="34">
                  <c:v>141.38971776183436</c:v>
                </c:pt>
                <c:pt idx="35">
                  <c:v>133.79081364579403</c:v>
                </c:pt>
                <c:pt idx="36">
                  <c:v>126.60030799520669</c:v>
                </c:pt>
                <c:pt idx="37">
                  <c:v>124.10756948848672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55-421B-93AE-7DA606C11AA6}"/>
            </c:ext>
          </c:extLst>
        </c:ser>
        <c:ser>
          <c:idx val="2"/>
          <c:order val="3"/>
          <c:tx>
            <c:strRef>
              <c:f>TP!$G$269</c:f>
              <c:strCache>
                <c:ptCount val="1"/>
                <c:pt idx="0">
                  <c:v>정부귀책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TP!$AC$267:$BN$267</c:f>
              <c:numCache>
                <c:formatCode>General</c:formatCode>
                <c:ptCount val="3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TP!$Y$269:$BN$269</c15:sqref>
                  </c15:fullRef>
                </c:ext>
              </c:extLst>
              <c:f>TP!$AC$269:$BN$269</c:f>
              <c:numCache>
                <c:formatCode>_(* #,##0_);_(* \(#,##0\);_(* "-"_);_(@_)</c:formatCode>
                <c:ptCount val="38"/>
                <c:pt idx="0">
                  <c:v>1704.7612126252061</c:v>
                </c:pt>
                <c:pt idx="1">
                  <c:v>1657.4056816320215</c:v>
                </c:pt>
                <c:pt idx="2">
                  <c:v>1643.6302939435891</c:v>
                </c:pt>
                <c:pt idx="3">
                  <c:v>1637.2261864978582</c:v>
                </c:pt>
                <c:pt idx="4">
                  <c:v>1488.0048666972871</c:v>
                </c:pt>
                <c:pt idx="5">
                  <c:v>1294.8725049609527</c:v>
                </c:pt>
                <c:pt idx="6">
                  <c:v>1229.4400230077435</c:v>
                </c:pt>
                <c:pt idx="7">
                  <c:v>1234.0333974454149</c:v>
                </c:pt>
                <c:pt idx="8">
                  <c:v>1228.6680828850986</c:v>
                </c:pt>
                <c:pt idx="9">
                  <c:v>1222.0708360684453</c:v>
                </c:pt>
                <c:pt idx="10">
                  <c:v>1211.404900128425</c:v>
                </c:pt>
                <c:pt idx="11">
                  <c:v>1190.1696301926404</c:v>
                </c:pt>
                <c:pt idx="12">
                  <c:v>1158.994165732418</c:v>
                </c:pt>
                <c:pt idx="13">
                  <c:v>1117.2733621377397</c:v>
                </c:pt>
                <c:pt idx="14">
                  <c:v>1069.0770152781249</c:v>
                </c:pt>
                <c:pt idx="15">
                  <c:v>1027.3074876759822</c:v>
                </c:pt>
                <c:pt idx="16">
                  <c:v>983.88494654205942</c:v>
                </c:pt>
                <c:pt idx="17">
                  <c:v>935.85138703652137</c:v>
                </c:pt>
                <c:pt idx="18">
                  <c:v>893.01495589268279</c:v>
                </c:pt>
                <c:pt idx="19">
                  <c:v>846.03030318799324</c:v>
                </c:pt>
                <c:pt idx="20">
                  <c:v>793.25280824988022</c:v>
                </c:pt>
                <c:pt idx="21">
                  <c:v>745.22137593399032</c:v>
                </c:pt>
                <c:pt idx="22">
                  <c:v>693.19210965512934</c:v>
                </c:pt>
                <c:pt idx="23">
                  <c:v>637.83940384001244</c:v>
                </c:pt>
                <c:pt idx="24">
                  <c:v>585.54217559061215</c:v>
                </c:pt>
                <c:pt idx="25">
                  <c:v>533.53155797734678</c:v>
                </c:pt>
                <c:pt idx="26">
                  <c:v>504.00838194358289</c:v>
                </c:pt>
                <c:pt idx="27">
                  <c:v>480.33720078635235</c:v>
                </c:pt>
                <c:pt idx="28">
                  <c:v>437.68630500746133</c:v>
                </c:pt>
                <c:pt idx="29">
                  <c:v>391.74095825397592</c:v>
                </c:pt>
                <c:pt idx="30">
                  <c:v>351.42986103700326</c:v>
                </c:pt>
                <c:pt idx="31">
                  <c:v>311.79593307468173</c:v>
                </c:pt>
                <c:pt idx="32">
                  <c:v>270.87440317344567</c:v>
                </c:pt>
                <c:pt idx="33">
                  <c:v>234.56340009679414</c:v>
                </c:pt>
                <c:pt idx="34">
                  <c:v>204.42939303380757</c:v>
                </c:pt>
                <c:pt idx="35">
                  <c:v>181.47352195562632</c:v>
                </c:pt>
                <c:pt idx="36">
                  <c:v>168.65801157418213</c:v>
                </c:pt>
                <c:pt idx="37">
                  <c:v>165.33716404564609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55-421B-93AE-7DA606C11AA6}"/>
            </c:ext>
          </c:extLst>
        </c:ser>
        <c:ser>
          <c:idx val="3"/>
          <c:order val="4"/>
          <c:tx>
            <c:strRef>
              <c:f>TP!$G$270</c:f>
              <c:strCache>
                <c:ptCount val="1"/>
                <c:pt idx="0">
                  <c:v>비정치적불가항력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TP!$AC$267:$BN$267</c:f>
              <c:numCache>
                <c:formatCode>General</c:formatCode>
                <c:ptCount val="3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TP!$Y$270:$BN$270</c15:sqref>
                  </c15:fullRef>
                </c:ext>
              </c:extLst>
              <c:f>TP!$AC$270:$BN$270</c:f>
              <c:numCache>
                <c:formatCode>_(* #,##0_);_(* \(#,##0\);_(* "-"_);_(@_)</c:formatCode>
                <c:ptCount val="38"/>
                <c:pt idx="0">
                  <c:v>1665.798362396514</c:v>
                </c:pt>
                <c:pt idx="1">
                  <c:v>1617.806673746602</c:v>
                </c:pt>
                <c:pt idx="2">
                  <c:v>1603.5760508243764</c:v>
                </c:pt>
                <c:pt idx="3">
                  <c:v>1596.8800209529052</c:v>
                </c:pt>
                <c:pt idx="4">
                  <c:v>1447.5138521687011</c:v>
                </c:pt>
                <c:pt idx="5">
                  <c:v>1254.368749352102</c:v>
                </c:pt>
                <c:pt idx="6">
                  <c:v>1189.0418524950819</c:v>
                </c:pt>
                <c:pt idx="7">
                  <c:v>1193.8464562711699</c:v>
                </c:pt>
                <c:pt idx="8">
                  <c:v>1188.7863547425438</c:v>
                </c:pt>
                <c:pt idx="9">
                  <c:v>1182.5775923309711</c:v>
                </c:pt>
                <c:pt idx="10">
                  <c:v>1172.3735798356438</c:v>
                </c:pt>
                <c:pt idx="11">
                  <c:v>1151.6646563899617</c:v>
                </c:pt>
                <c:pt idx="12">
                  <c:v>1121.0717024635751</c:v>
                </c:pt>
                <c:pt idx="13">
                  <c:v>1079.9820161114515</c:v>
                </c:pt>
                <c:pt idx="14">
                  <c:v>1032.4584859692479</c:v>
                </c:pt>
                <c:pt idx="15">
                  <c:v>991.39716937714604</c:v>
                </c:pt>
                <c:pt idx="16">
                  <c:v>948.71248565276778</c:v>
                </c:pt>
                <c:pt idx="17">
                  <c:v>901.44119766219092</c:v>
                </c:pt>
                <c:pt idx="18">
                  <c:v>859.3866966251278</c:v>
                </c:pt>
                <c:pt idx="19">
                  <c:v>813.19931775062662</c:v>
                </c:pt>
                <c:pt idx="20">
                  <c:v>761.2305325146076</c:v>
                </c:pt>
                <c:pt idx="21">
                  <c:v>714.01571365167706</c:v>
                </c:pt>
                <c:pt idx="22">
                  <c:v>662.80777908692801</c:v>
                </c:pt>
                <c:pt idx="23">
                  <c:v>608.27825733210295</c:v>
                </c:pt>
                <c:pt idx="24">
                  <c:v>556.80349399939803</c:v>
                </c:pt>
                <c:pt idx="25">
                  <c:v>505.61232172532664</c:v>
                </c:pt>
                <c:pt idx="26">
                  <c:v>476.9035203674008</c:v>
                </c:pt>
                <c:pt idx="27">
                  <c:v>454.03982132744068</c:v>
                </c:pt>
                <c:pt idx="28">
                  <c:v>412.1879036917399</c:v>
                </c:pt>
                <c:pt idx="29">
                  <c:v>367.03161280981448</c:v>
                </c:pt>
                <c:pt idx="30">
                  <c:v>327.49840790967869</c:v>
                </c:pt>
                <c:pt idx="31">
                  <c:v>288.63012951046227</c:v>
                </c:pt>
                <c:pt idx="32">
                  <c:v>248.46107546685042</c:v>
                </c:pt>
                <c:pt idx="33">
                  <c:v>212.88857902015897</c:v>
                </c:pt>
                <c:pt idx="34">
                  <c:v>183.4784373987066</c:v>
                </c:pt>
                <c:pt idx="35">
                  <c:v>161.23123119066287</c:v>
                </c:pt>
                <c:pt idx="36">
                  <c:v>148.9128999121296</c:v>
                </c:pt>
                <c:pt idx="37">
                  <c:v>145.98083026998927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55-421B-93AE-7DA606C11AA6}"/>
            </c:ext>
          </c:extLst>
        </c:ser>
        <c:ser>
          <c:idx val="4"/>
          <c:order val="5"/>
          <c:tx>
            <c:strRef>
              <c:f>TP!$G$271</c:f>
              <c:strCache>
                <c:ptCount val="1"/>
                <c:pt idx="0">
                  <c:v>정치적불가항력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TP!$AC$267:$BN$267</c:f>
              <c:numCache>
                <c:formatCode>General</c:formatCode>
                <c:ptCount val="3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TP!$Y$271:$BN$271</c15:sqref>
                  </c15:fullRef>
                </c:ext>
              </c:extLst>
              <c:f>TP!$AC$271:$BN$271</c:f>
              <c:numCache>
                <c:formatCode>_(* #,##0_);_(* \(#,##0\);_(* "-"_);_(@_)</c:formatCode>
                <c:ptCount val="38"/>
                <c:pt idx="0">
                  <c:v>1684.7039231476963</c:v>
                </c:pt>
                <c:pt idx="1">
                  <c:v>1637.020911023141</c:v>
                </c:pt>
                <c:pt idx="2">
                  <c:v>1623.0111774177399</c:v>
                </c:pt>
                <c:pt idx="3">
                  <c:v>1616.4567941948596</c:v>
                </c:pt>
                <c:pt idx="4">
                  <c:v>1467.160909058894</c:v>
                </c:pt>
                <c:pt idx="5">
                  <c:v>1274.0219884714068</c:v>
                </c:pt>
                <c:pt idx="6">
                  <c:v>1208.6438595962284</c:v>
                </c:pt>
                <c:pt idx="7">
                  <c:v>1213.3459706371484</c:v>
                </c:pt>
                <c:pt idx="8">
                  <c:v>1208.1377735898732</c:v>
                </c:pt>
                <c:pt idx="9">
                  <c:v>1201.7405107098277</c:v>
                </c:pt>
                <c:pt idx="10">
                  <c:v>1191.3123636428563</c:v>
                </c:pt>
                <c:pt idx="11">
                  <c:v>1170.3480462645848</c:v>
                </c:pt>
                <c:pt idx="12">
                  <c:v>1139.4724464788474</c:v>
                </c:pt>
                <c:pt idx="13">
                  <c:v>1098.0765293119809</c:v>
                </c:pt>
                <c:pt idx="14">
                  <c:v>1050.2265349288207</c:v>
                </c:pt>
                <c:pt idx="15">
                  <c:v>1008.8215800711299</c:v>
                </c:pt>
                <c:pt idx="16">
                  <c:v>965.77887305020204</c:v>
                </c:pt>
                <c:pt idx="17">
                  <c:v>918.13771554673247</c:v>
                </c:pt>
                <c:pt idx="18">
                  <c:v>875.7038062515453</c:v>
                </c:pt>
                <c:pt idx="19">
                  <c:v>829.12957403486098</c:v>
                </c:pt>
                <c:pt idx="20">
                  <c:v>776.76838654096616</c:v>
                </c:pt>
                <c:pt idx="21">
                  <c:v>729.15733036083407</c:v>
                </c:pt>
                <c:pt idx="22">
                  <c:v>677.55086908341195</c:v>
                </c:pt>
                <c:pt idx="23">
                  <c:v>622.62192182018828</c:v>
                </c:pt>
                <c:pt idx="24">
                  <c:v>570.74808192206183</c:v>
                </c:pt>
                <c:pt idx="25">
                  <c:v>519.15929824247269</c:v>
                </c:pt>
                <c:pt idx="26">
                  <c:v>490.05534586715692</c:v>
                </c:pt>
                <c:pt idx="27">
                  <c:v>466.79984021823589</c:v>
                </c:pt>
                <c:pt idx="28">
                  <c:v>424.56024227330994</c:v>
                </c:pt>
                <c:pt idx="29">
                  <c:v>379.02108556847162</c:v>
                </c:pt>
                <c:pt idx="30">
                  <c:v>339.11043162732591</c:v>
                </c:pt>
                <c:pt idx="31">
                  <c:v>299.8706446181277</c:v>
                </c:pt>
                <c:pt idx="32">
                  <c:v>259.33647411212633</c:v>
                </c:pt>
                <c:pt idx="33">
                  <c:v>223.40563935404563</c:v>
                </c:pt>
                <c:pt idx="34">
                  <c:v>193.64426362111823</c:v>
                </c:pt>
                <c:pt idx="35">
                  <c:v>171.05319892541297</c:v>
                </c:pt>
                <c:pt idx="36">
                  <c:v>158.49362631881658</c:v>
                </c:pt>
                <c:pt idx="37">
                  <c:v>155.37291380515015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55-421B-93AE-7DA606C11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06080"/>
        <c:axId val="189807616"/>
      </c:lineChart>
      <c:catAx>
        <c:axId val="189806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9807616"/>
        <c:crosses val="autoZero"/>
        <c:auto val="1"/>
        <c:lblAlgn val="ctr"/>
        <c:lblOffset val="100"/>
        <c:tickLblSkip val="5"/>
        <c:noMultiLvlLbl val="0"/>
      </c:catAx>
      <c:valAx>
        <c:axId val="189807616"/>
        <c:scaling>
          <c:orientation val="minMax"/>
          <c:min val="0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89806080"/>
        <c:crosses val="autoZero"/>
        <c:crossBetween val="between"/>
      </c:valAx>
    </c:plotArea>
    <c:legend>
      <c:legendPos val="t"/>
      <c:overlay val="0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TP!$G$276</c:f>
              <c:strCache>
                <c:ptCount val="1"/>
                <c:pt idx="0">
                  <c:v>선순위차입금 잔액</c:v>
                </c:pt>
              </c:strCache>
            </c:strRef>
          </c:tx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(TP!$Y$267:$AA$267,TP!$AE$267:$AJ$267)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TP!$Y$276:$BN$276</c15:sqref>
                  </c15:fullRef>
                </c:ext>
              </c:extLst>
              <c:f>(TP!$Y$276:$AA$276,TP!$AE$276:$AJ$276)</c:f>
              <c:numCache>
                <c:formatCode>_(* #,##0_);_(* \(#,##0\);_(* "-"_);_(@_)</c:formatCode>
                <c:ptCount val="9"/>
                <c:pt idx="3">
                  <c:v>465.07439999999986</c:v>
                </c:pt>
                <c:pt idx="4">
                  <c:v>253.29944999999987</c:v>
                </c:pt>
                <c:pt idx="5">
                  <c:v>109.62467999999987</c:v>
                </c:pt>
                <c:pt idx="6">
                  <c:v>69.761159999999876</c:v>
                </c:pt>
                <c:pt idx="7">
                  <c:v>29.897639999999875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86-4FED-B000-83D4DBE6CA88}"/>
            </c:ext>
          </c:extLst>
        </c:ser>
        <c:ser>
          <c:idx val="9"/>
          <c:order val="1"/>
          <c:tx>
            <c:strRef>
              <c:f>TP!$G$275</c:f>
              <c:strCache>
                <c:ptCount val="1"/>
                <c:pt idx="0">
                  <c:v>FI 자본금</c:v>
                </c:pt>
              </c:strCache>
            </c:strRef>
          </c:tx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(TP!$Y$267:$AA$267,TP!$AE$267:$AJ$267)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TP!$Y$275:$BN$275</c15:sqref>
                  </c15:fullRef>
                </c:ext>
              </c:extLst>
              <c:f>(TP!$Y$275:$AA$275,TP!$AE$275:$AJ$275)</c:f>
              <c:numCache>
                <c:formatCode>_(* #,##0_);_(* \(#,##0\);_(* "-"_);_(@_)</c:formatCode>
                <c:ptCount val="9"/>
                <c:pt idx="3">
                  <c:v>106</c:v>
                </c:pt>
                <c:pt idx="4">
                  <c:v>106</c:v>
                </c:pt>
                <c:pt idx="5">
                  <c:v>106</c:v>
                </c:pt>
                <c:pt idx="6">
                  <c:v>106</c:v>
                </c:pt>
                <c:pt idx="7">
                  <c:v>106</c:v>
                </c:pt>
                <c:pt idx="8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86-4FED-B000-83D4DBE6CA88}"/>
            </c:ext>
          </c:extLst>
        </c:ser>
        <c:ser>
          <c:idx val="0"/>
          <c:order val="6"/>
          <c:tx>
            <c:strRef>
              <c:f>TP!$G$274</c:f>
              <c:strCache>
                <c:ptCount val="1"/>
                <c:pt idx="0">
                  <c:v>보통주 자본금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(TP!$Y$267:$AA$267,TP!$AE$267:$AJ$267)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TP!$Y$274:$BN$274</c15:sqref>
                  </c15:fullRef>
                </c:ext>
              </c:extLst>
              <c:f>(TP!$Y$274:$AA$274,TP!$AE$274:$AJ$274)</c:f>
              <c:numCache>
                <c:formatCode>_(* #,##0_);_(* \(#,##0\);_(* "-"_);_(@_)</c:formatCode>
                <c:ptCount val="9"/>
                <c:pt idx="3">
                  <c:v>574</c:v>
                </c:pt>
                <c:pt idx="4">
                  <c:v>574</c:v>
                </c:pt>
                <c:pt idx="5">
                  <c:v>574</c:v>
                </c:pt>
                <c:pt idx="6">
                  <c:v>574</c:v>
                </c:pt>
                <c:pt idx="7">
                  <c:v>574</c:v>
                </c:pt>
                <c:pt idx="8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86-4FED-B000-83D4DBE6C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06080"/>
        <c:axId val="189807616"/>
      </c:areaChart>
      <c:lineChart>
        <c:grouping val="standard"/>
        <c:varyColors val="0"/>
        <c:ser>
          <c:idx val="1"/>
          <c:order val="2"/>
          <c:tx>
            <c:strRef>
              <c:f>TP!$G$268</c:f>
              <c:strCache>
                <c:ptCount val="1"/>
                <c:pt idx="0">
                  <c:v>사업시행자귀책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(TP!$Y$267:$AA$267,TP!$AE$267:$AJ$267)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TP!$Y$268:$BN$268</c15:sqref>
                  </c15:fullRef>
                </c:ext>
              </c:extLst>
              <c:f>(TP!$Y$268:$AA$268,TP!$AE$268:$AJ$268)</c:f>
              <c:numCache>
                <c:formatCode>_(* #,##0_);_(* \(#,##0\);_(* "-"_);_(@_)</c:formatCode>
                <c:ptCount val="9"/>
                <c:pt idx="0">
                  <c:v>1147.8500988821697</c:v>
                </c:pt>
                <c:pt idx="1">
                  <c:v>1077.9994683040404</c:v>
                </c:pt>
                <c:pt idx="2">
                  <c:v>1011.1358628189348</c:v>
                </c:pt>
                <c:pt idx="3">
                  <c:v>828.22220997756335</c:v>
                </c:pt>
                <c:pt idx="4">
                  <c:v>783.70991261945017</c:v>
                </c:pt>
                <c:pt idx="5">
                  <c:v>741.58990152488798</c:v>
                </c:pt>
                <c:pt idx="6">
                  <c:v>701.73360472823015</c:v>
                </c:pt>
                <c:pt idx="7">
                  <c:v>664.01936028567911</c:v>
                </c:pt>
                <c:pt idx="8">
                  <c:v>628.33204490037815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86-4FED-B000-83D4DBE6CA88}"/>
            </c:ext>
          </c:extLst>
        </c:ser>
        <c:ser>
          <c:idx val="2"/>
          <c:order val="3"/>
          <c:tx>
            <c:strRef>
              <c:f>TP!$G$269</c:f>
              <c:strCache>
                <c:ptCount val="1"/>
                <c:pt idx="0">
                  <c:v>정부귀책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(TP!$Y$267:$AA$267,TP!$AE$267:$AJ$267)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TP!$Y$269:$BN$269</c15:sqref>
                  </c15:fullRef>
                </c:ext>
              </c:extLst>
              <c:f>(TP!$Y$269:$AA$269,TP!$AE$269:$AJ$269)</c:f>
              <c:numCache>
                <c:formatCode>_(* #,##0_);_(* \(#,##0\);_(* "-"_);_(@_)</c:formatCode>
                <c:ptCount val="9"/>
                <c:pt idx="0">
                  <c:v>1825.7744010585586</c:v>
                </c:pt>
                <c:pt idx="1">
                  <c:v>1793.425529278458</c:v>
                </c:pt>
                <c:pt idx="2">
                  <c:v>1860.3580088636861</c:v>
                </c:pt>
                <c:pt idx="3">
                  <c:v>1643.6302939435891</c:v>
                </c:pt>
                <c:pt idx="4">
                  <c:v>1637.2261864978582</c:v>
                </c:pt>
                <c:pt idx="5">
                  <c:v>1488.0048666972871</c:v>
                </c:pt>
                <c:pt idx="6">
                  <c:v>1294.8725049609527</c:v>
                </c:pt>
                <c:pt idx="7">
                  <c:v>1229.4400230077435</c:v>
                </c:pt>
                <c:pt idx="8">
                  <c:v>1234.0333974454149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86-4FED-B000-83D4DBE6CA88}"/>
            </c:ext>
          </c:extLst>
        </c:ser>
        <c:ser>
          <c:idx val="3"/>
          <c:order val="4"/>
          <c:tx>
            <c:strRef>
              <c:f>TP!$G$270</c:f>
              <c:strCache>
                <c:ptCount val="1"/>
                <c:pt idx="0">
                  <c:v>비정치적불가항력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(TP!$Y$267:$AA$267,TP!$AE$267:$AJ$267)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TP!$Y$270:$BN$270</c15:sqref>
                  </c15:fullRef>
                </c:ext>
              </c:extLst>
              <c:f>(TP!$Y$270:$AA$270,TP!$AE$270:$AJ$270)</c:f>
              <c:numCache>
                <c:formatCode>_(* #,##0_);_(* \(#,##0\);_(* "-"_);_(@_)</c:formatCode>
                <c:ptCount val="9"/>
                <c:pt idx="0">
                  <c:v>1791.7452245979471</c:v>
                </c:pt>
                <c:pt idx="1">
                  <c:v>1758.1045595720695</c:v>
                </c:pt>
                <c:pt idx="2">
                  <c:v>1824.0738255963201</c:v>
                </c:pt>
                <c:pt idx="3">
                  <c:v>1603.5760508243764</c:v>
                </c:pt>
                <c:pt idx="4">
                  <c:v>1596.8800209529052</c:v>
                </c:pt>
                <c:pt idx="5">
                  <c:v>1447.5138521687011</c:v>
                </c:pt>
                <c:pt idx="6">
                  <c:v>1254.368749352102</c:v>
                </c:pt>
                <c:pt idx="7">
                  <c:v>1189.0418524950819</c:v>
                </c:pt>
                <c:pt idx="8">
                  <c:v>1193.8464562711699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86-4FED-B000-83D4DBE6CA88}"/>
            </c:ext>
          </c:extLst>
        </c:ser>
        <c:ser>
          <c:idx val="4"/>
          <c:order val="5"/>
          <c:tx>
            <c:strRef>
              <c:f>TP!$G$271</c:f>
              <c:strCache>
                <c:ptCount val="1"/>
                <c:pt idx="0">
                  <c:v>정치적불가항력</c:v>
                </c:pt>
              </c:strCache>
            </c:strRef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TP!$Y$267:$BN$267</c15:sqref>
                  </c15:fullRef>
                </c:ext>
              </c:extLst>
              <c:f>(TP!$Y$267:$AA$267,TP!$AE$267:$AJ$267)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TP!$Y$271:$BN$271</c15:sqref>
                  </c15:fullRef>
                </c:ext>
              </c:extLst>
              <c:f>(TP!$Y$271:$AA$271,TP!$AE$271:$AJ$271)</c:f>
              <c:numCache>
                <c:formatCode>_(* #,##0_);_(* \(#,##0\);_(* "-"_);_(@_)</c:formatCode>
                <c:ptCount val="9"/>
                <c:pt idx="0">
                  <c:v>1808.2568673323135</c:v>
                </c:pt>
                <c:pt idx="1">
                  <c:v>1775.2430064427517</c:v>
                </c:pt>
                <c:pt idx="2">
                  <c:v>1841.6796431133114</c:v>
                </c:pt>
                <c:pt idx="3">
                  <c:v>1623.0111774177399</c:v>
                </c:pt>
                <c:pt idx="4">
                  <c:v>1616.4567941948596</c:v>
                </c:pt>
                <c:pt idx="5">
                  <c:v>1467.160909058894</c:v>
                </c:pt>
                <c:pt idx="6">
                  <c:v>1274.0219884714068</c:v>
                </c:pt>
                <c:pt idx="7">
                  <c:v>1208.6438595962284</c:v>
                </c:pt>
                <c:pt idx="8">
                  <c:v>1213.3459706371484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A86-4FED-B000-83D4DBE6C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06080"/>
        <c:axId val="189807616"/>
      </c:lineChart>
      <c:catAx>
        <c:axId val="189806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9807616"/>
        <c:crosses val="autoZero"/>
        <c:auto val="1"/>
        <c:lblAlgn val="ctr"/>
        <c:lblOffset val="100"/>
        <c:tickLblSkip val="1"/>
        <c:noMultiLvlLbl val="0"/>
      </c:catAx>
      <c:valAx>
        <c:axId val="189807616"/>
        <c:scaling>
          <c:orientation val="minMax"/>
          <c:min val="0"/>
        </c:scaling>
        <c:delete val="0"/>
        <c:axPos val="l"/>
        <c:numFmt formatCode="_(* #,##0_);_(* \(#,##0\);_(* &quot;-&quot;_);_(@_)" sourceLinked="1"/>
        <c:majorTickMark val="out"/>
        <c:minorTickMark val="none"/>
        <c:tickLblPos val="nextTo"/>
        <c:crossAx val="189806080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overlay val="0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'TP(분기)'!$G$275</c:f>
              <c:strCache>
                <c:ptCount val="1"/>
                <c:pt idx="0">
                  <c:v>선순위차입금 잔액</c:v>
                </c:pt>
              </c:strCache>
            </c:strRef>
          </c:tx>
          <c:spPr>
            <a:ln w="25400">
              <a:noFill/>
            </a:ln>
          </c:spPr>
          <c:cat>
            <c:numRef>
              <c:f>'TP(분기)'!$CH$264:$DL$264</c:f>
              <c:numCache>
                <c:formatCode>yy"/"m"/"d;@</c:formatCode>
                <c:ptCount val="31"/>
                <c:pt idx="0">
                  <c:v>44651</c:v>
                </c:pt>
                <c:pt idx="1">
                  <c:v>44742</c:v>
                </c:pt>
                <c:pt idx="2">
                  <c:v>44834</c:v>
                </c:pt>
                <c:pt idx="3">
                  <c:v>44926</c:v>
                </c:pt>
                <c:pt idx="4">
                  <c:v>45016</c:v>
                </c:pt>
                <c:pt idx="5">
                  <c:v>45107</c:v>
                </c:pt>
                <c:pt idx="6">
                  <c:v>45199</c:v>
                </c:pt>
                <c:pt idx="7">
                  <c:v>45291</c:v>
                </c:pt>
                <c:pt idx="8">
                  <c:v>45382</c:v>
                </c:pt>
                <c:pt idx="9">
                  <c:v>45473</c:v>
                </c:pt>
                <c:pt idx="10">
                  <c:v>45565</c:v>
                </c:pt>
                <c:pt idx="11">
                  <c:v>45657</c:v>
                </c:pt>
                <c:pt idx="12">
                  <c:v>45747</c:v>
                </c:pt>
                <c:pt idx="13">
                  <c:v>45838</c:v>
                </c:pt>
                <c:pt idx="14">
                  <c:v>45930</c:v>
                </c:pt>
                <c:pt idx="15">
                  <c:v>46022</c:v>
                </c:pt>
                <c:pt idx="16">
                  <c:v>46112</c:v>
                </c:pt>
                <c:pt idx="17">
                  <c:v>46203</c:v>
                </c:pt>
                <c:pt idx="18">
                  <c:v>46295</c:v>
                </c:pt>
                <c:pt idx="19">
                  <c:v>46387</c:v>
                </c:pt>
                <c:pt idx="20">
                  <c:v>46477</c:v>
                </c:pt>
                <c:pt idx="21">
                  <c:v>46568</c:v>
                </c:pt>
                <c:pt idx="22">
                  <c:v>46660</c:v>
                </c:pt>
                <c:pt idx="23">
                  <c:v>46752</c:v>
                </c:pt>
                <c:pt idx="24">
                  <c:v>46843</c:v>
                </c:pt>
                <c:pt idx="25">
                  <c:v>46934</c:v>
                </c:pt>
                <c:pt idx="26">
                  <c:v>47026</c:v>
                </c:pt>
                <c:pt idx="27">
                  <c:v>47118</c:v>
                </c:pt>
                <c:pt idx="28">
                  <c:v>47208</c:v>
                </c:pt>
                <c:pt idx="29">
                  <c:v>47299</c:v>
                </c:pt>
                <c:pt idx="30">
                  <c:v>47391</c:v>
                </c:pt>
              </c:numCache>
            </c:numRef>
          </c:cat>
          <c:val>
            <c:numRef>
              <c:f>'TP(분기)'!$CH$275:$DL$275</c:f>
              <c:numCache>
                <c:formatCode>_(* #,##0_);_(* \(#,##0\);_(* "-"_);_(@_)</c:formatCode>
                <c:ptCount val="31"/>
                <c:pt idx="0">
                  <c:v>916.03046999999992</c:v>
                </c:pt>
                <c:pt idx="1">
                  <c:v>876.99743999999987</c:v>
                </c:pt>
                <c:pt idx="2">
                  <c:v>837.13391999999988</c:v>
                </c:pt>
                <c:pt idx="3">
                  <c:v>796.43990999999983</c:v>
                </c:pt>
                <c:pt idx="4">
                  <c:v>755.74589999999978</c:v>
                </c:pt>
                <c:pt idx="5">
                  <c:v>715.05188999999984</c:v>
                </c:pt>
                <c:pt idx="6">
                  <c:v>673.52738999999985</c:v>
                </c:pt>
                <c:pt idx="7">
                  <c:v>631.17239999999981</c:v>
                </c:pt>
                <c:pt idx="8">
                  <c:v>592.96985999999981</c:v>
                </c:pt>
                <c:pt idx="9">
                  <c:v>553.93682999999987</c:v>
                </c:pt>
                <c:pt idx="10">
                  <c:v>509.92085999999989</c:v>
                </c:pt>
                <c:pt idx="11">
                  <c:v>465.0743999999998</c:v>
                </c:pt>
                <c:pt idx="12">
                  <c:v>412.75352999999984</c:v>
                </c:pt>
                <c:pt idx="13">
                  <c:v>360.43265999999983</c:v>
                </c:pt>
                <c:pt idx="14">
                  <c:v>307.28129999999987</c:v>
                </c:pt>
                <c:pt idx="15">
                  <c:v>253.29944999999987</c:v>
                </c:pt>
                <c:pt idx="16">
                  <c:v>220.07984999999991</c:v>
                </c:pt>
                <c:pt idx="17">
                  <c:v>181.87730999999991</c:v>
                </c:pt>
                <c:pt idx="18">
                  <c:v>142.84427999999991</c:v>
                </c:pt>
                <c:pt idx="19">
                  <c:v>109.62467999999991</c:v>
                </c:pt>
                <c:pt idx="20">
                  <c:v>99.658799999999914</c:v>
                </c:pt>
                <c:pt idx="21">
                  <c:v>89.692919999999916</c:v>
                </c:pt>
                <c:pt idx="22">
                  <c:v>79.727039999999903</c:v>
                </c:pt>
                <c:pt idx="23">
                  <c:v>69.76115999999989</c:v>
                </c:pt>
                <c:pt idx="24">
                  <c:v>59.795279999999906</c:v>
                </c:pt>
                <c:pt idx="25">
                  <c:v>49.829399999999893</c:v>
                </c:pt>
                <c:pt idx="26">
                  <c:v>39.863519999999895</c:v>
                </c:pt>
                <c:pt idx="27">
                  <c:v>29.897639999999889</c:v>
                </c:pt>
                <c:pt idx="28">
                  <c:v>19.93175999999989</c:v>
                </c:pt>
                <c:pt idx="29">
                  <c:v>9.9658799999998866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D-485B-A6B7-C351AA16B666}"/>
            </c:ext>
          </c:extLst>
        </c:ser>
        <c:ser>
          <c:idx val="9"/>
          <c:order val="1"/>
          <c:tx>
            <c:strRef>
              <c:f>'TP(분기)'!$G$274</c:f>
              <c:strCache>
                <c:ptCount val="1"/>
                <c:pt idx="0">
                  <c:v>FI 자본금</c:v>
                </c:pt>
              </c:strCache>
            </c:strRef>
          </c:tx>
          <c:spPr>
            <a:ln w="25400">
              <a:noFill/>
            </a:ln>
          </c:spPr>
          <c:cat>
            <c:numRef>
              <c:f>'TP(분기)'!$CH$264:$DL$264</c:f>
              <c:numCache>
                <c:formatCode>yy"/"m"/"d;@</c:formatCode>
                <c:ptCount val="31"/>
                <c:pt idx="0">
                  <c:v>44651</c:v>
                </c:pt>
                <c:pt idx="1">
                  <c:v>44742</c:v>
                </c:pt>
                <c:pt idx="2">
                  <c:v>44834</c:v>
                </c:pt>
                <c:pt idx="3">
                  <c:v>44926</c:v>
                </c:pt>
                <c:pt idx="4">
                  <c:v>45016</c:v>
                </c:pt>
                <c:pt idx="5">
                  <c:v>45107</c:v>
                </c:pt>
                <c:pt idx="6">
                  <c:v>45199</c:v>
                </c:pt>
                <c:pt idx="7">
                  <c:v>45291</c:v>
                </c:pt>
                <c:pt idx="8">
                  <c:v>45382</c:v>
                </c:pt>
                <c:pt idx="9">
                  <c:v>45473</c:v>
                </c:pt>
                <c:pt idx="10">
                  <c:v>45565</c:v>
                </c:pt>
                <c:pt idx="11">
                  <c:v>45657</c:v>
                </c:pt>
                <c:pt idx="12">
                  <c:v>45747</c:v>
                </c:pt>
                <c:pt idx="13">
                  <c:v>45838</c:v>
                </c:pt>
                <c:pt idx="14">
                  <c:v>45930</c:v>
                </c:pt>
                <c:pt idx="15">
                  <c:v>46022</c:v>
                </c:pt>
                <c:pt idx="16">
                  <c:v>46112</c:v>
                </c:pt>
                <c:pt idx="17">
                  <c:v>46203</c:v>
                </c:pt>
                <c:pt idx="18">
                  <c:v>46295</c:v>
                </c:pt>
                <c:pt idx="19">
                  <c:v>46387</c:v>
                </c:pt>
                <c:pt idx="20">
                  <c:v>46477</c:v>
                </c:pt>
                <c:pt idx="21">
                  <c:v>46568</c:v>
                </c:pt>
                <c:pt idx="22">
                  <c:v>46660</c:v>
                </c:pt>
                <c:pt idx="23">
                  <c:v>46752</c:v>
                </c:pt>
                <c:pt idx="24">
                  <c:v>46843</c:v>
                </c:pt>
                <c:pt idx="25">
                  <c:v>46934</c:v>
                </c:pt>
                <c:pt idx="26">
                  <c:v>47026</c:v>
                </c:pt>
                <c:pt idx="27">
                  <c:v>47118</c:v>
                </c:pt>
                <c:pt idx="28">
                  <c:v>47208</c:v>
                </c:pt>
                <c:pt idx="29">
                  <c:v>47299</c:v>
                </c:pt>
                <c:pt idx="30">
                  <c:v>47391</c:v>
                </c:pt>
              </c:numCache>
            </c:numRef>
          </c:cat>
          <c:val>
            <c:numRef>
              <c:f>'TP(분기)'!$CH$274:$DL$274</c:f>
              <c:numCache>
                <c:formatCode>_(* #,##0_);_(* \(#,##0\);_(* "-"_);_(@_)</c:formatCode>
                <c:ptCount val="31"/>
                <c:pt idx="0">
                  <c:v>106</c:v>
                </c:pt>
                <c:pt idx="1">
                  <c:v>106</c:v>
                </c:pt>
                <c:pt idx="2">
                  <c:v>106</c:v>
                </c:pt>
                <c:pt idx="3">
                  <c:v>106</c:v>
                </c:pt>
                <c:pt idx="4">
                  <c:v>106</c:v>
                </c:pt>
                <c:pt idx="5">
                  <c:v>106</c:v>
                </c:pt>
                <c:pt idx="6">
                  <c:v>106</c:v>
                </c:pt>
                <c:pt idx="7">
                  <c:v>106</c:v>
                </c:pt>
                <c:pt idx="8">
                  <c:v>106</c:v>
                </c:pt>
                <c:pt idx="9">
                  <c:v>106</c:v>
                </c:pt>
                <c:pt idx="10">
                  <c:v>106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  <c:pt idx="23">
                  <c:v>106</c:v>
                </c:pt>
                <c:pt idx="24">
                  <c:v>106</c:v>
                </c:pt>
                <c:pt idx="25">
                  <c:v>106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106</c:v>
                </c:pt>
                <c:pt idx="30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0D-485B-A6B7-C351AA16B666}"/>
            </c:ext>
          </c:extLst>
        </c:ser>
        <c:ser>
          <c:idx val="0"/>
          <c:order val="6"/>
          <c:tx>
            <c:strRef>
              <c:f>'TP(분기)'!$G$273</c:f>
              <c:strCache>
                <c:ptCount val="1"/>
                <c:pt idx="0">
                  <c:v>보통주 자본금</c:v>
                </c:pt>
              </c:strCache>
            </c:strRef>
          </c:tx>
          <c:spPr>
            <a:ln w="25400">
              <a:noFill/>
            </a:ln>
          </c:spPr>
          <c:cat>
            <c:numRef>
              <c:f>'TP(분기)'!$CH$264:$DL$264</c:f>
              <c:numCache>
                <c:formatCode>yy"/"m"/"d;@</c:formatCode>
                <c:ptCount val="31"/>
                <c:pt idx="0">
                  <c:v>44651</c:v>
                </c:pt>
                <c:pt idx="1">
                  <c:v>44742</c:v>
                </c:pt>
                <c:pt idx="2">
                  <c:v>44834</c:v>
                </c:pt>
                <c:pt idx="3">
                  <c:v>44926</c:v>
                </c:pt>
                <c:pt idx="4">
                  <c:v>45016</c:v>
                </c:pt>
                <c:pt idx="5">
                  <c:v>45107</c:v>
                </c:pt>
                <c:pt idx="6">
                  <c:v>45199</c:v>
                </c:pt>
                <c:pt idx="7">
                  <c:v>45291</c:v>
                </c:pt>
                <c:pt idx="8">
                  <c:v>45382</c:v>
                </c:pt>
                <c:pt idx="9">
                  <c:v>45473</c:v>
                </c:pt>
                <c:pt idx="10">
                  <c:v>45565</c:v>
                </c:pt>
                <c:pt idx="11">
                  <c:v>45657</c:v>
                </c:pt>
                <c:pt idx="12">
                  <c:v>45747</c:v>
                </c:pt>
                <c:pt idx="13">
                  <c:v>45838</c:v>
                </c:pt>
                <c:pt idx="14">
                  <c:v>45930</c:v>
                </c:pt>
                <c:pt idx="15">
                  <c:v>46022</c:v>
                </c:pt>
                <c:pt idx="16">
                  <c:v>46112</c:v>
                </c:pt>
                <c:pt idx="17">
                  <c:v>46203</c:v>
                </c:pt>
                <c:pt idx="18">
                  <c:v>46295</c:v>
                </c:pt>
                <c:pt idx="19">
                  <c:v>46387</c:v>
                </c:pt>
                <c:pt idx="20">
                  <c:v>46477</c:v>
                </c:pt>
                <c:pt idx="21">
                  <c:v>46568</c:v>
                </c:pt>
                <c:pt idx="22">
                  <c:v>46660</c:v>
                </c:pt>
                <c:pt idx="23">
                  <c:v>46752</c:v>
                </c:pt>
                <c:pt idx="24">
                  <c:v>46843</c:v>
                </c:pt>
                <c:pt idx="25">
                  <c:v>46934</c:v>
                </c:pt>
                <c:pt idx="26">
                  <c:v>47026</c:v>
                </c:pt>
                <c:pt idx="27">
                  <c:v>47118</c:v>
                </c:pt>
                <c:pt idx="28">
                  <c:v>47208</c:v>
                </c:pt>
                <c:pt idx="29">
                  <c:v>47299</c:v>
                </c:pt>
                <c:pt idx="30">
                  <c:v>47391</c:v>
                </c:pt>
              </c:numCache>
            </c:numRef>
          </c:cat>
          <c:val>
            <c:numRef>
              <c:f>'TP(분기)'!$CH$273:$DL$273</c:f>
              <c:numCache>
                <c:formatCode>_(* #,##0_);_(* \(#,##0\);_(* "-"_);_(@_)</c:formatCode>
                <c:ptCount val="31"/>
                <c:pt idx="0">
                  <c:v>574</c:v>
                </c:pt>
                <c:pt idx="1">
                  <c:v>574</c:v>
                </c:pt>
                <c:pt idx="2">
                  <c:v>574</c:v>
                </c:pt>
                <c:pt idx="3">
                  <c:v>574</c:v>
                </c:pt>
                <c:pt idx="4">
                  <c:v>574</c:v>
                </c:pt>
                <c:pt idx="5">
                  <c:v>574</c:v>
                </c:pt>
                <c:pt idx="6">
                  <c:v>574</c:v>
                </c:pt>
                <c:pt idx="7">
                  <c:v>574</c:v>
                </c:pt>
                <c:pt idx="8">
                  <c:v>574</c:v>
                </c:pt>
                <c:pt idx="9">
                  <c:v>574</c:v>
                </c:pt>
                <c:pt idx="10">
                  <c:v>574</c:v>
                </c:pt>
                <c:pt idx="11">
                  <c:v>574</c:v>
                </c:pt>
                <c:pt idx="12">
                  <c:v>574</c:v>
                </c:pt>
                <c:pt idx="13">
                  <c:v>574</c:v>
                </c:pt>
                <c:pt idx="14">
                  <c:v>574</c:v>
                </c:pt>
                <c:pt idx="15">
                  <c:v>574</c:v>
                </c:pt>
                <c:pt idx="16">
                  <c:v>574</c:v>
                </c:pt>
                <c:pt idx="17">
                  <c:v>574</c:v>
                </c:pt>
                <c:pt idx="18">
                  <c:v>574</c:v>
                </c:pt>
                <c:pt idx="19">
                  <c:v>574</c:v>
                </c:pt>
                <c:pt idx="20">
                  <c:v>574</c:v>
                </c:pt>
                <c:pt idx="21">
                  <c:v>574</c:v>
                </c:pt>
                <c:pt idx="22">
                  <c:v>574</c:v>
                </c:pt>
                <c:pt idx="23">
                  <c:v>574</c:v>
                </c:pt>
                <c:pt idx="24">
                  <c:v>574</c:v>
                </c:pt>
                <c:pt idx="25">
                  <c:v>574</c:v>
                </c:pt>
                <c:pt idx="26">
                  <c:v>574</c:v>
                </c:pt>
                <c:pt idx="27">
                  <c:v>574</c:v>
                </c:pt>
                <c:pt idx="28">
                  <c:v>574</c:v>
                </c:pt>
                <c:pt idx="29">
                  <c:v>574</c:v>
                </c:pt>
                <c:pt idx="30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0D-485B-A6B7-C351AA16B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06080"/>
        <c:axId val="189807616"/>
      </c:areaChart>
      <c:lineChart>
        <c:grouping val="standard"/>
        <c:varyColors val="0"/>
        <c:ser>
          <c:idx val="1"/>
          <c:order val="2"/>
          <c:tx>
            <c:strRef>
              <c:f>'TP(분기)'!$G$267</c:f>
              <c:strCache>
                <c:ptCount val="1"/>
                <c:pt idx="0">
                  <c:v>사업시행자귀책</c:v>
                </c:pt>
              </c:strCache>
            </c:strRef>
          </c:tx>
          <c:marker>
            <c:symbol val="none"/>
          </c:marker>
          <c:cat>
            <c:multiLvlStrRef>
              <c:f>'TP(분기)'!$Y$265:$BN$265</c:f>
            </c:multiLvlStrRef>
          </c:cat>
          <c:val>
            <c:numRef>
              <c:f>'TP(분기)'!$CH$267:$DL$267</c:f>
              <c:numCache>
                <c:formatCode>_(* #,##0_);_(* \(#,##0\);_(* "-"_);_(@_)</c:formatCode>
                <c:ptCount val="31"/>
                <c:pt idx="0">
                  <c:v>964.10333988262164</c:v>
                </c:pt>
                <c:pt idx="1">
                  <c:v>950.87998091772931</c:v>
                </c:pt>
                <c:pt idx="2">
                  <c:v>937.83798967046721</c:v>
                </c:pt>
                <c:pt idx="3">
                  <c:v>924.97487855435418</c:v>
                </c:pt>
                <c:pt idx="4">
                  <c:v>912.2881941019167</c:v>
                </c:pt>
                <c:pt idx="5">
                  <c:v>899.77551649672159</c:v>
                </c:pt>
                <c:pt idx="6">
                  <c:v>887.43445911182926</c:v>
                </c:pt>
                <c:pt idx="7">
                  <c:v>875.26266805457635</c:v>
                </c:pt>
                <c:pt idx="8">
                  <c:v>863.25782171760136</c:v>
                </c:pt>
                <c:pt idx="9">
                  <c:v>851.41763033602945</c:v>
                </c:pt>
                <c:pt idx="10">
                  <c:v>839.73983555072948</c:v>
                </c:pt>
                <c:pt idx="11">
                  <c:v>828.22220997756335</c:v>
                </c:pt>
                <c:pt idx="12">
                  <c:v>816.86255678254031</c:v>
                </c:pt>
                <c:pt idx="13">
                  <c:v>805.65870926280195</c:v>
                </c:pt>
                <c:pt idx="14">
                  <c:v>794.60853043335101</c:v>
                </c:pt>
                <c:pt idx="15">
                  <c:v>783.70991261945017</c:v>
                </c:pt>
                <c:pt idx="16">
                  <c:v>772.96077705461209</c:v>
                </c:pt>
                <c:pt idx="17">
                  <c:v>762.3590734841008</c:v>
                </c:pt>
                <c:pt idx="18">
                  <c:v>751.90277977387416</c:v>
                </c:pt>
                <c:pt idx="19">
                  <c:v>741.58990152488798</c:v>
                </c:pt>
                <c:pt idx="20">
                  <c:v>731.41847169269113</c:v>
                </c:pt>
                <c:pt idx="21">
                  <c:v>721.38655021223735</c:v>
                </c:pt>
                <c:pt idx="22">
                  <c:v>711.49222362784542</c:v>
                </c:pt>
                <c:pt idx="23">
                  <c:v>701.73360472823015</c:v>
                </c:pt>
                <c:pt idx="24">
                  <c:v>692.10883218654476</c:v>
                </c:pt>
                <c:pt idx="25">
                  <c:v>682.61607020535564</c:v>
                </c:pt>
                <c:pt idx="26">
                  <c:v>673.25350816648859</c:v>
                </c:pt>
                <c:pt idx="27">
                  <c:v>664.01936028567911</c:v>
                </c:pt>
                <c:pt idx="28">
                  <c:v>654.91186527195487</c:v>
                </c:pt>
                <c:pt idx="29">
                  <c:v>645.92928599169545</c:v>
                </c:pt>
                <c:pt idx="30">
                  <c:v>637.06990913729669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0D-485B-A6B7-C351AA16B666}"/>
            </c:ext>
          </c:extLst>
        </c:ser>
        <c:ser>
          <c:idx val="2"/>
          <c:order val="3"/>
          <c:tx>
            <c:strRef>
              <c:f>'TP(분기)'!$G$268</c:f>
              <c:strCache>
                <c:ptCount val="1"/>
                <c:pt idx="0">
                  <c:v>정부귀책</c:v>
                </c:pt>
              </c:strCache>
            </c:strRef>
          </c:tx>
          <c:marker>
            <c:symbol val="none"/>
          </c:marker>
          <c:cat>
            <c:multiLvlStrRef>
              <c:f>'TP(분기)'!$Y$265:$BN$265</c:f>
            </c:multiLvlStrRef>
          </c:cat>
          <c:val>
            <c:numRef>
              <c:f>'TP(분기)'!$CH$268:$DL$268</c:f>
              <c:numCache>
                <c:formatCode>_(* #,##0_);_(* \(#,##0\);_(* "-"_);_(@_)</c:formatCode>
                <c:ptCount val="31"/>
                <c:pt idx="0">
                  <c:v>1728.9794820877519</c:v>
                </c:pt>
                <c:pt idx="1">
                  <c:v>1721.4926723282319</c:v>
                </c:pt>
                <c:pt idx="2">
                  <c:v>1713.4649943581642</c:v>
                </c:pt>
                <c:pt idx="3">
                  <c:v>1704.7612126252063</c:v>
                </c:pt>
                <c:pt idx="4">
                  <c:v>1682.8457395346497</c:v>
                </c:pt>
                <c:pt idx="5">
                  <c:v>1674.6221823365693</c:v>
                </c:pt>
                <c:pt idx="6">
                  <c:v>1666.3350501375739</c:v>
                </c:pt>
                <c:pt idx="7">
                  <c:v>1657.4056816320212</c:v>
                </c:pt>
                <c:pt idx="8">
                  <c:v>1668.198578053602</c:v>
                </c:pt>
                <c:pt idx="9">
                  <c:v>1659.5080333794911</c:v>
                </c:pt>
                <c:pt idx="10">
                  <c:v>1651.8606045684946</c:v>
                </c:pt>
                <c:pt idx="11">
                  <c:v>1643.6302939435889</c:v>
                </c:pt>
                <c:pt idx="12">
                  <c:v>1667.573385969928</c:v>
                </c:pt>
                <c:pt idx="13">
                  <c:v>1659.5058836166679</c:v>
                </c:pt>
                <c:pt idx="14">
                  <c:v>1648.6984280079851</c:v>
                </c:pt>
                <c:pt idx="15">
                  <c:v>1637.2261864978575</c:v>
                </c:pt>
                <c:pt idx="16">
                  <c:v>1518.9332615853616</c:v>
                </c:pt>
                <c:pt idx="17">
                  <c:v>1508.8443538406841</c:v>
                </c:pt>
                <c:pt idx="18">
                  <c:v>1498.7198182081734</c:v>
                </c:pt>
                <c:pt idx="19">
                  <c:v>1488.0048666972871</c:v>
                </c:pt>
                <c:pt idx="20">
                  <c:v>1319.4717056666711</c:v>
                </c:pt>
                <c:pt idx="21">
                  <c:v>1310.5903192361907</c:v>
                </c:pt>
                <c:pt idx="22">
                  <c:v>1302.9568763602053</c:v>
                </c:pt>
                <c:pt idx="23">
                  <c:v>1294.8725049609529</c:v>
                </c:pt>
                <c:pt idx="24">
                  <c:v>1213.7233456704701</c:v>
                </c:pt>
                <c:pt idx="25">
                  <c:v>1206.516233396386</c:v>
                </c:pt>
                <c:pt idx="26">
                  <c:v>1217.8592339366558</c:v>
                </c:pt>
                <c:pt idx="27">
                  <c:v>1229.4400230077435</c:v>
                </c:pt>
                <c:pt idx="28">
                  <c:v>1229.1871705562953</c:v>
                </c:pt>
                <c:pt idx="29">
                  <c:v>1240.5123705648409</c:v>
                </c:pt>
                <c:pt idx="30">
                  <c:v>1237.3947400544555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0D-485B-A6B7-C351AA16B666}"/>
            </c:ext>
          </c:extLst>
        </c:ser>
        <c:ser>
          <c:idx val="3"/>
          <c:order val="4"/>
          <c:tx>
            <c:strRef>
              <c:f>'TP(분기)'!$G$269</c:f>
              <c:strCache>
                <c:ptCount val="1"/>
                <c:pt idx="0">
                  <c:v>비정치적불가항력</c:v>
                </c:pt>
              </c:strCache>
            </c:strRef>
          </c:tx>
          <c:marker>
            <c:symbol val="none"/>
          </c:marker>
          <c:cat>
            <c:multiLvlStrRef>
              <c:f>'TP(분기)'!$Y$265:$BN$265</c:f>
            </c:multiLvlStrRef>
          </c:cat>
          <c:val>
            <c:numRef>
              <c:f>'TP(분기)'!$CH$269:$DL$269</c:f>
              <c:numCache>
                <c:formatCode>_(* #,##0_);_(* \(#,##0\);_(* "-"_);_(@_)</c:formatCode>
                <c:ptCount val="31"/>
                <c:pt idx="0">
                  <c:v>1690.6239016627533</c:v>
                </c:pt>
                <c:pt idx="1">
                  <c:v>1682.9216497837979</c:v>
                </c:pt>
                <c:pt idx="2">
                  <c:v>1674.691655051837</c:v>
                </c:pt>
                <c:pt idx="3">
                  <c:v>1665.7983623965142</c:v>
                </c:pt>
                <c:pt idx="4">
                  <c:v>1643.70587100079</c:v>
                </c:pt>
                <c:pt idx="5">
                  <c:v>1635.3174810754954</c:v>
                </c:pt>
                <c:pt idx="6">
                  <c:v>1626.8774007603979</c:v>
                </c:pt>
                <c:pt idx="7">
                  <c:v>1617.806673746602</c:v>
                </c:pt>
                <c:pt idx="8">
                  <c:v>1628.4695121211603</c:v>
                </c:pt>
                <c:pt idx="9">
                  <c:v>1619.6599264660663</c:v>
                </c:pt>
                <c:pt idx="10">
                  <c:v>1611.9041959930273</c:v>
                </c:pt>
                <c:pt idx="11">
                  <c:v>1603.5760508243764</c:v>
                </c:pt>
                <c:pt idx="12">
                  <c:v>1627.4315086711881</c:v>
                </c:pt>
                <c:pt idx="13">
                  <c:v>1619.2863110968988</c:v>
                </c:pt>
                <c:pt idx="14">
                  <c:v>1608.4108430717949</c:v>
                </c:pt>
                <c:pt idx="15">
                  <c:v>1596.8800209529045</c:v>
                </c:pt>
                <c:pt idx="16">
                  <c:v>1478.5377013060213</c:v>
                </c:pt>
                <c:pt idx="17">
                  <c:v>1468.4083437400282</c:v>
                </c:pt>
                <c:pt idx="18">
                  <c:v>1458.2520671198279</c:v>
                </c:pt>
                <c:pt idx="19">
                  <c:v>1447.5138521687013</c:v>
                </c:pt>
                <c:pt idx="20">
                  <c:v>1278.9656786653147</c:v>
                </c:pt>
                <c:pt idx="21">
                  <c:v>1270.0773087701609</c:v>
                </c:pt>
                <c:pt idx="22">
                  <c:v>1262.4446940147091</c:v>
                </c:pt>
                <c:pt idx="23">
                  <c:v>1254.3687493521027</c:v>
                </c:pt>
                <c:pt idx="24">
                  <c:v>1173.2354068178065</c:v>
                </c:pt>
                <c:pt idx="25">
                  <c:v>1166.0512970155212</c:v>
                </c:pt>
                <c:pt idx="26">
                  <c:v>1177.4242856534029</c:v>
                </c:pt>
                <c:pt idx="27">
                  <c:v>1189.0418524950826</c:v>
                </c:pt>
                <c:pt idx="28">
                  <c:v>1188.8323755954957</c:v>
                </c:pt>
                <c:pt idx="29">
                  <c:v>1200.2073610320451</c:v>
                </c:pt>
                <c:pt idx="30">
                  <c:v>1197.145741834004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0D-485B-A6B7-C351AA16B666}"/>
            </c:ext>
          </c:extLst>
        </c:ser>
        <c:ser>
          <c:idx val="4"/>
          <c:order val="5"/>
          <c:tx>
            <c:strRef>
              <c:f>'TP(분기)'!$G$270</c:f>
              <c:strCache>
                <c:ptCount val="1"/>
                <c:pt idx="0">
                  <c:v>정치적불가항력</c:v>
                </c:pt>
              </c:strCache>
            </c:strRef>
          </c:tx>
          <c:marker>
            <c:symbol val="none"/>
          </c:marker>
          <c:cat>
            <c:multiLvlStrRef>
              <c:f>'TP(분기)'!$Y$265:$BN$265</c:f>
            </c:multiLvlStrRef>
          </c:cat>
          <c:val>
            <c:numRef>
              <c:f>'TP(분기)'!$CH$270:$DL$270</c:f>
              <c:numCache>
                <c:formatCode>_(* #,##0_);_(* \(#,##0\);_(* "-"_);_(@_)</c:formatCode>
                <c:ptCount val="31"/>
                <c:pt idx="0">
                  <c:v>1709.2348028574943</c:v>
                </c:pt>
                <c:pt idx="1">
                  <c:v>1701.6370878400216</c:v>
                </c:pt>
                <c:pt idx="2">
                  <c:v>1693.5052612813465</c:v>
                </c:pt>
                <c:pt idx="3">
                  <c:v>1684.7039231476965</c:v>
                </c:pt>
                <c:pt idx="4">
                  <c:v>1662.697324603824</c:v>
                </c:pt>
                <c:pt idx="5">
                  <c:v>1654.388914842194</c:v>
                </c:pt>
                <c:pt idx="6">
                  <c:v>1646.0230480377554</c:v>
                </c:pt>
                <c:pt idx="7">
                  <c:v>1637.0209110231406</c:v>
                </c:pt>
                <c:pt idx="8">
                  <c:v>1647.7468561851833</c:v>
                </c:pt>
                <c:pt idx="9">
                  <c:v>1638.9950316149343</c:v>
                </c:pt>
                <c:pt idx="10">
                  <c:v>1631.2918512925949</c:v>
                </c:pt>
                <c:pt idx="11">
                  <c:v>1623.0111774177399</c:v>
                </c:pt>
                <c:pt idx="12">
                  <c:v>1646.909157135904</c:v>
                </c:pt>
                <c:pt idx="13">
                  <c:v>1638.8016588498501</c:v>
                </c:pt>
                <c:pt idx="14">
                  <c:v>1627.9591918208985</c:v>
                </c:pt>
                <c:pt idx="15">
                  <c:v>1616.4567941948599</c:v>
                </c:pt>
                <c:pt idx="16">
                  <c:v>1498.1384418693165</c:v>
                </c:pt>
                <c:pt idx="17">
                  <c:v>1488.0287113724357</c:v>
                </c:pt>
                <c:pt idx="18">
                  <c:v>1477.8878361196289</c:v>
                </c:pt>
                <c:pt idx="19">
                  <c:v>1467.1609090588945</c:v>
                </c:pt>
                <c:pt idx="20">
                  <c:v>1298.6200199100742</c:v>
                </c:pt>
                <c:pt idx="21">
                  <c:v>1289.7350385328259</c:v>
                </c:pt>
                <c:pt idx="22">
                  <c:v>1282.1020219565894</c:v>
                </c:pt>
                <c:pt idx="23">
                  <c:v>1274.0219884714079</c:v>
                </c:pt>
                <c:pt idx="24">
                  <c:v>1192.8809713280107</c:v>
                </c:pt>
                <c:pt idx="25">
                  <c:v>1185.6857002624843</c:v>
                </c:pt>
                <c:pt idx="26">
                  <c:v>1197.0441380705913</c:v>
                </c:pt>
                <c:pt idx="27">
                  <c:v>1208.643859596229</c:v>
                </c:pt>
                <c:pt idx="28">
                  <c:v>1208.4133360040616</c:v>
                </c:pt>
                <c:pt idx="29">
                  <c:v>1219.7641645468489</c:v>
                </c:pt>
                <c:pt idx="30">
                  <c:v>1216.6753675303969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40D-485B-A6B7-C351AA16B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06080"/>
        <c:axId val="189807616"/>
      </c:lineChart>
      <c:catAx>
        <c:axId val="189806080"/>
        <c:scaling>
          <c:orientation val="minMax"/>
          <c:min val="1"/>
        </c:scaling>
        <c:delete val="0"/>
        <c:axPos val="b"/>
        <c:numFmt formatCode="yyyy&quot;년&quot;\ m&quot;월&quot;;@" sourceLinked="0"/>
        <c:majorTickMark val="out"/>
        <c:minorTickMark val="none"/>
        <c:tickLblPos val="nextTo"/>
        <c:crossAx val="189807616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189807616"/>
        <c:scaling>
          <c:orientation val="minMax"/>
          <c:min val="0"/>
        </c:scaling>
        <c:delete val="0"/>
        <c:axPos val="l"/>
        <c:numFmt formatCode="_(* #,##0_);_(* \(#,##0\);_(* &quot;-&quot;_);_(@_)" sourceLinked="1"/>
        <c:majorTickMark val="out"/>
        <c:minorTickMark val="none"/>
        <c:tickLblPos val="nextTo"/>
        <c:crossAx val="189806080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overlay val="0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'TP(분기)'!$G$275</c:f>
              <c:strCache>
                <c:ptCount val="1"/>
                <c:pt idx="0">
                  <c:v>선순위차입금 잔액</c:v>
                </c:pt>
              </c:strCache>
            </c:strRef>
          </c:tx>
          <c:spPr>
            <a:ln w="25400">
              <a:noFill/>
            </a:ln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'TP(분기)'!$CH$264:$DL$264</c15:sqref>
                  </c15:fullRef>
                </c:ext>
              </c:extLst>
              <c:f>('TP(분기)'!$CK$264,'TP(분기)'!$CO$264,'TP(분기)'!$CS$264,'TP(분기)'!$CW$264,'TP(분기)'!$DA$264,'TP(분기)'!$DE$264,'TP(분기)'!$DI$264)</c:f>
              <c:numCache>
                <c:formatCode>yy"/"m"/"d;@</c:formatCode>
                <c:ptCount val="7"/>
                <c:pt idx="0">
                  <c:v>44926</c:v>
                </c:pt>
                <c:pt idx="1">
                  <c:v>45291</c:v>
                </c:pt>
                <c:pt idx="2">
                  <c:v>45657</c:v>
                </c:pt>
                <c:pt idx="3">
                  <c:v>46022</c:v>
                </c:pt>
                <c:pt idx="4">
                  <c:v>46387</c:v>
                </c:pt>
                <c:pt idx="5">
                  <c:v>46752</c:v>
                </c:pt>
                <c:pt idx="6">
                  <c:v>47118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'TP(분기)'!$CH$275:$DL$275</c15:sqref>
                  </c15:fullRef>
                </c:ext>
              </c:extLst>
              <c:f>('TP(분기)'!$CK$275,'TP(분기)'!$CO$275,'TP(분기)'!$CS$275,'TP(분기)'!$CW$275,'TP(분기)'!$DA$275,'TP(분기)'!$DE$275,'TP(분기)'!$DI$275)</c:f>
              <c:numCache>
                <c:formatCode>_(* #,##0_);_(* \(#,##0\);_(* "-"_);_(@_)</c:formatCode>
                <c:ptCount val="7"/>
                <c:pt idx="0">
                  <c:v>796.43990999999983</c:v>
                </c:pt>
                <c:pt idx="1">
                  <c:v>631.17239999999981</c:v>
                </c:pt>
                <c:pt idx="2">
                  <c:v>465.0743999999998</c:v>
                </c:pt>
                <c:pt idx="3">
                  <c:v>253.29944999999987</c:v>
                </c:pt>
                <c:pt idx="4">
                  <c:v>109.62467999999991</c:v>
                </c:pt>
                <c:pt idx="5">
                  <c:v>69.76115999999989</c:v>
                </c:pt>
                <c:pt idx="6">
                  <c:v>29.897639999999889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96-4B53-8DDC-4DADC3DEEA2F}"/>
            </c:ext>
          </c:extLst>
        </c:ser>
        <c:ser>
          <c:idx val="9"/>
          <c:order val="1"/>
          <c:tx>
            <c:strRef>
              <c:f>'TP(분기)'!$G$274</c:f>
              <c:strCache>
                <c:ptCount val="1"/>
                <c:pt idx="0">
                  <c:v>FI 자본금</c:v>
                </c:pt>
              </c:strCache>
            </c:strRef>
          </c:tx>
          <c:spPr>
            <a:ln w="25400">
              <a:noFill/>
            </a:ln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'TP(분기)'!$CH$264:$DL$264</c15:sqref>
                  </c15:fullRef>
                </c:ext>
              </c:extLst>
              <c:f>('TP(분기)'!$CK$264,'TP(분기)'!$CO$264,'TP(분기)'!$CS$264,'TP(분기)'!$CW$264,'TP(분기)'!$DA$264,'TP(분기)'!$DE$264,'TP(분기)'!$DI$264)</c:f>
              <c:numCache>
                <c:formatCode>yy"/"m"/"d;@</c:formatCode>
                <c:ptCount val="7"/>
                <c:pt idx="0">
                  <c:v>44926</c:v>
                </c:pt>
                <c:pt idx="1">
                  <c:v>45291</c:v>
                </c:pt>
                <c:pt idx="2">
                  <c:v>45657</c:v>
                </c:pt>
                <c:pt idx="3">
                  <c:v>46022</c:v>
                </c:pt>
                <c:pt idx="4">
                  <c:v>46387</c:v>
                </c:pt>
                <c:pt idx="5">
                  <c:v>46752</c:v>
                </c:pt>
                <c:pt idx="6">
                  <c:v>47118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'TP(분기)'!$CH$274:$DL$274</c15:sqref>
                  </c15:fullRef>
                </c:ext>
              </c:extLst>
              <c:f>('TP(분기)'!$CK$274,'TP(분기)'!$CO$274,'TP(분기)'!$CS$274,'TP(분기)'!$CW$274,'TP(분기)'!$DA$274,'TP(분기)'!$DE$274,'TP(분기)'!$DI$274)</c:f>
              <c:numCache>
                <c:formatCode>_(* #,##0_);_(* \(#,##0\);_(* "-"_);_(@_)</c:formatCode>
                <c:ptCount val="7"/>
                <c:pt idx="0">
                  <c:v>106</c:v>
                </c:pt>
                <c:pt idx="1">
                  <c:v>106</c:v>
                </c:pt>
                <c:pt idx="2">
                  <c:v>106</c:v>
                </c:pt>
                <c:pt idx="3">
                  <c:v>106</c:v>
                </c:pt>
                <c:pt idx="4">
                  <c:v>106</c:v>
                </c:pt>
                <c:pt idx="5">
                  <c:v>106</c:v>
                </c:pt>
                <c:pt idx="6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96-4B53-8DDC-4DADC3DEEA2F}"/>
            </c:ext>
          </c:extLst>
        </c:ser>
        <c:ser>
          <c:idx val="0"/>
          <c:order val="6"/>
          <c:tx>
            <c:strRef>
              <c:f>'TP(분기)'!$G$273</c:f>
              <c:strCache>
                <c:ptCount val="1"/>
                <c:pt idx="0">
                  <c:v>보통주 자본금</c:v>
                </c:pt>
              </c:strCache>
            </c:strRef>
          </c:tx>
          <c:spPr>
            <a:ln w="25400">
              <a:noFill/>
            </a:ln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'TP(분기)'!$CH$264:$DL$264</c15:sqref>
                  </c15:fullRef>
                </c:ext>
              </c:extLst>
              <c:f>('TP(분기)'!$CK$264,'TP(분기)'!$CO$264,'TP(분기)'!$CS$264,'TP(분기)'!$CW$264,'TP(분기)'!$DA$264,'TP(분기)'!$DE$264,'TP(분기)'!$DI$264)</c:f>
              <c:numCache>
                <c:formatCode>yy"/"m"/"d;@</c:formatCode>
                <c:ptCount val="7"/>
                <c:pt idx="0">
                  <c:v>44926</c:v>
                </c:pt>
                <c:pt idx="1">
                  <c:v>45291</c:v>
                </c:pt>
                <c:pt idx="2">
                  <c:v>45657</c:v>
                </c:pt>
                <c:pt idx="3">
                  <c:v>46022</c:v>
                </c:pt>
                <c:pt idx="4">
                  <c:v>46387</c:v>
                </c:pt>
                <c:pt idx="5">
                  <c:v>46752</c:v>
                </c:pt>
                <c:pt idx="6">
                  <c:v>47118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'TP(분기)'!$CH$273:$DL$273</c15:sqref>
                  </c15:fullRef>
                </c:ext>
              </c:extLst>
              <c:f>('TP(분기)'!$CK$273,'TP(분기)'!$CO$273,'TP(분기)'!$CS$273,'TP(분기)'!$CW$273,'TP(분기)'!$DA$273,'TP(분기)'!$DE$273,'TP(분기)'!$DI$273)</c:f>
              <c:numCache>
                <c:formatCode>_(* #,##0_);_(* \(#,##0\);_(* "-"_);_(@_)</c:formatCode>
                <c:ptCount val="7"/>
                <c:pt idx="0">
                  <c:v>574</c:v>
                </c:pt>
                <c:pt idx="1">
                  <c:v>574</c:v>
                </c:pt>
                <c:pt idx="2">
                  <c:v>574</c:v>
                </c:pt>
                <c:pt idx="3">
                  <c:v>574</c:v>
                </c:pt>
                <c:pt idx="4">
                  <c:v>574</c:v>
                </c:pt>
                <c:pt idx="5">
                  <c:v>574</c:v>
                </c:pt>
                <c:pt idx="6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6-4B53-8DDC-4DADC3DEE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06080"/>
        <c:axId val="189807616"/>
      </c:areaChart>
      <c:lineChart>
        <c:grouping val="standard"/>
        <c:varyColors val="0"/>
        <c:ser>
          <c:idx val="1"/>
          <c:order val="2"/>
          <c:tx>
            <c:strRef>
              <c:f>'TP(분기)'!$G$267</c:f>
              <c:strCache>
                <c:ptCount val="1"/>
                <c:pt idx="0">
                  <c:v>사업시행자귀책</c:v>
                </c:pt>
              </c:strCache>
            </c:strRef>
          </c:tx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'TP(분기)'!$Y$265:$BN$265</c15:sqref>
                  </c15:fullRef>
                </c:ext>
              </c:extLst>
              <c:f>('TP(분기)'!$AB$265,'TP(분기)'!$AF$265,'TP(분기)'!$AJ$265,'TP(분기)'!$AN$265,'TP(분기)'!$AR$265,'TP(분기)'!$AV$265,'TP(분기)'!$AZ$265,'TP(분기)'!$BD$265:$BN$265)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'TP(분기)'!$CH$267:$DL$267</c15:sqref>
                  </c15:fullRef>
                </c:ext>
              </c:extLst>
              <c:f>('TP(분기)'!$CK$267,'TP(분기)'!$CO$267,'TP(분기)'!$CS$267,'TP(분기)'!$CW$267,'TP(분기)'!$DA$267,'TP(분기)'!$DE$267,'TP(분기)'!$DI$267)</c:f>
              <c:numCache>
                <c:formatCode>_(* #,##0_);_(* \(#,##0\);_(* "-"_);_(@_)</c:formatCode>
                <c:ptCount val="7"/>
                <c:pt idx="0">
                  <c:v>924.97487855435418</c:v>
                </c:pt>
                <c:pt idx="1">
                  <c:v>875.26266805457635</c:v>
                </c:pt>
                <c:pt idx="2">
                  <c:v>828.22220997756335</c:v>
                </c:pt>
                <c:pt idx="3">
                  <c:v>783.70991261945017</c:v>
                </c:pt>
                <c:pt idx="4">
                  <c:v>741.58990152488798</c:v>
                </c:pt>
                <c:pt idx="5">
                  <c:v>701.73360472823015</c:v>
                </c:pt>
                <c:pt idx="6">
                  <c:v>664.01936028567911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96-4B53-8DDC-4DADC3DEEA2F}"/>
            </c:ext>
          </c:extLst>
        </c:ser>
        <c:ser>
          <c:idx val="2"/>
          <c:order val="3"/>
          <c:tx>
            <c:strRef>
              <c:f>'TP(분기)'!$G$268</c:f>
              <c:strCache>
                <c:ptCount val="1"/>
                <c:pt idx="0">
                  <c:v>정부귀책</c:v>
                </c:pt>
              </c:strCache>
            </c:strRef>
          </c:tx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'TP(분기)'!$Y$265:$BN$265</c15:sqref>
                  </c15:fullRef>
                </c:ext>
              </c:extLst>
              <c:f>('TP(분기)'!$AB$265,'TP(분기)'!$AF$265,'TP(분기)'!$AJ$265,'TP(분기)'!$AN$265,'TP(분기)'!$AR$265,'TP(분기)'!$AV$265,'TP(분기)'!$AZ$265,'TP(분기)'!$BD$265:$BN$265)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'TP(분기)'!$CH$268:$DL$268</c15:sqref>
                  </c15:fullRef>
                </c:ext>
              </c:extLst>
              <c:f>('TP(분기)'!$CK$268,'TP(분기)'!$CO$268,'TP(분기)'!$CS$268,'TP(분기)'!$CW$268,'TP(분기)'!$DA$268,'TP(분기)'!$DE$268,'TP(분기)'!$DI$268)</c:f>
              <c:numCache>
                <c:formatCode>_(* #,##0_);_(* \(#,##0\);_(* "-"_);_(@_)</c:formatCode>
                <c:ptCount val="7"/>
                <c:pt idx="0">
                  <c:v>1704.7612126252063</c:v>
                </c:pt>
                <c:pt idx="1">
                  <c:v>1657.4056816320212</c:v>
                </c:pt>
                <c:pt idx="2">
                  <c:v>1643.6302939435889</c:v>
                </c:pt>
                <c:pt idx="3">
                  <c:v>1637.2261864978575</c:v>
                </c:pt>
                <c:pt idx="4">
                  <c:v>1488.0048666972871</c:v>
                </c:pt>
                <c:pt idx="5">
                  <c:v>1294.8725049609529</c:v>
                </c:pt>
                <c:pt idx="6">
                  <c:v>1229.4400230077435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96-4B53-8DDC-4DADC3DEEA2F}"/>
            </c:ext>
          </c:extLst>
        </c:ser>
        <c:ser>
          <c:idx val="3"/>
          <c:order val="4"/>
          <c:tx>
            <c:strRef>
              <c:f>'TP(분기)'!$G$269</c:f>
              <c:strCache>
                <c:ptCount val="1"/>
                <c:pt idx="0">
                  <c:v>비정치적불가항력</c:v>
                </c:pt>
              </c:strCache>
            </c:strRef>
          </c:tx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'TP(분기)'!$Y$265:$BN$265</c15:sqref>
                  </c15:fullRef>
                </c:ext>
              </c:extLst>
              <c:f>('TP(분기)'!$AB$265,'TP(분기)'!$AF$265,'TP(분기)'!$AJ$265,'TP(분기)'!$AN$265,'TP(분기)'!$AR$265,'TP(분기)'!$AV$265,'TP(분기)'!$AZ$265,'TP(분기)'!$BD$265:$BN$265)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'TP(분기)'!$CH$269:$DL$269</c15:sqref>
                  </c15:fullRef>
                </c:ext>
              </c:extLst>
              <c:f>('TP(분기)'!$CK$269,'TP(분기)'!$CO$269,'TP(분기)'!$CS$269,'TP(분기)'!$CW$269,'TP(분기)'!$DA$269,'TP(분기)'!$DE$269,'TP(분기)'!$DI$269)</c:f>
              <c:numCache>
                <c:formatCode>_(* #,##0_);_(* \(#,##0\);_(* "-"_);_(@_)</c:formatCode>
                <c:ptCount val="7"/>
                <c:pt idx="0">
                  <c:v>1665.7983623965142</c:v>
                </c:pt>
                <c:pt idx="1">
                  <c:v>1617.806673746602</c:v>
                </c:pt>
                <c:pt idx="2">
                  <c:v>1603.5760508243764</c:v>
                </c:pt>
                <c:pt idx="3">
                  <c:v>1596.8800209529045</c:v>
                </c:pt>
                <c:pt idx="4">
                  <c:v>1447.5138521687013</c:v>
                </c:pt>
                <c:pt idx="5">
                  <c:v>1254.3687493521027</c:v>
                </c:pt>
                <c:pt idx="6">
                  <c:v>1189.0418524950826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96-4B53-8DDC-4DADC3DEEA2F}"/>
            </c:ext>
          </c:extLst>
        </c:ser>
        <c:ser>
          <c:idx val="4"/>
          <c:order val="5"/>
          <c:tx>
            <c:strRef>
              <c:f>'TP(분기)'!$G$270</c:f>
              <c:strCache>
                <c:ptCount val="1"/>
                <c:pt idx="0">
                  <c:v>정치적불가항력</c:v>
                </c:pt>
              </c:strCache>
            </c:strRef>
          </c:tx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'TP(분기)'!$Y$265:$BN$265</c15:sqref>
                  </c15:fullRef>
                </c:ext>
              </c:extLst>
              <c:f>('TP(분기)'!$AB$265,'TP(분기)'!$AF$265,'TP(분기)'!$AJ$265,'TP(분기)'!$AN$265,'TP(분기)'!$AR$265,'TP(분기)'!$AV$265,'TP(분기)'!$AZ$265,'TP(분기)'!$BD$265:$BN$265)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'TP(분기)'!$CH$270:$DL$270</c15:sqref>
                  </c15:fullRef>
                </c:ext>
              </c:extLst>
              <c:f>('TP(분기)'!$CK$270,'TP(분기)'!$CO$270,'TP(분기)'!$CS$270,'TP(분기)'!$CW$270,'TP(분기)'!$DA$270,'TP(분기)'!$DE$270,'TP(분기)'!$DI$270)</c:f>
              <c:numCache>
                <c:formatCode>_(* #,##0_);_(* \(#,##0\);_(* "-"_);_(@_)</c:formatCode>
                <c:ptCount val="7"/>
                <c:pt idx="0">
                  <c:v>1684.7039231476965</c:v>
                </c:pt>
                <c:pt idx="1">
                  <c:v>1637.0209110231406</c:v>
                </c:pt>
                <c:pt idx="2">
                  <c:v>1623.0111774177399</c:v>
                </c:pt>
                <c:pt idx="3">
                  <c:v>1616.4567941948599</c:v>
                </c:pt>
                <c:pt idx="4">
                  <c:v>1467.1609090588945</c:v>
                </c:pt>
                <c:pt idx="5">
                  <c:v>1274.0219884714079</c:v>
                </c:pt>
                <c:pt idx="6">
                  <c:v>1208.643859596229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96-4B53-8DDC-4DADC3DEE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06080"/>
        <c:axId val="189807616"/>
      </c:lineChart>
      <c:catAx>
        <c:axId val="189806080"/>
        <c:scaling>
          <c:orientation val="minMax"/>
          <c:min val="1"/>
        </c:scaling>
        <c:delete val="0"/>
        <c:axPos val="b"/>
        <c:numFmt formatCode="yyyy&quot;년&quot;\ m&quot;월&quot;;@" sourceLinked="0"/>
        <c:majorTickMark val="out"/>
        <c:minorTickMark val="none"/>
        <c:tickLblPos val="nextTo"/>
        <c:crossAx val="1898076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89807616"/>
        <c:scaling>
          <c:orientation val="minMax"/>
          <c:min val="0"/>
        </c:scaling>
        <c:delete val="0"/>
        <c:axPos val="l"/>
        <c:numFmt formatCode="_(* #,##0_);_(* \(#,##0\);_(* &quot;-&quot;_);_(@_)" sourceLinked="1"/>
        <c:majorTickMark val="out"/>
        <c:minorTickMark val="none"/>
        <c:tickLblPos val="nextTo"/>
        <c:crossAx val="189806080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overlay val="0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321444</xdr:colOff>
      <xdr:row>178</xdr:row>
      <xdr:rowOff>143176</xdr:rowOff>
    </xdr:from>
    <xdr:to>
      <xdr:col>13</xdr:col>
      <xdr:colOff>199524</xdr:colOff>
      <xdr:row>188</xdr:row>
      <xdr:rowOff>166036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421105</xdr:colOff>
      <xdr:row>652</xdr:row>
      <xdr:rowOff>144379</xdr:rowOff>
    </xdr:from>
    <xdr:to>
      <xdr:col>10</xdr:col>
      <xdr:colOff>192505</xdr:colOff>
      <xdr:row>666</xdr:row>
      <xdr:rowOff>128338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528320</xdr:colOff>
      <xdr:row>566</xdr:row>
      <xdr:rowOff>45720</xdr:rowOff>
    </xdr:from>
    <xdr:to>
      <xdr:col>11</xdr:col>
      <xdr:colOff>802640</xdr:colOff>
      <xdr:row>590</xdr:row>
      <xdr:rowOff>71120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767915</xdr:colOff>
      <xdr:row>176</xdr:row>
      <xdr:rowOff>162327</xdr:rowOff>
    </xdr:from>
    <xdr:to>
      <xdr:col>23</xdr:col>
      <xdr:colOff>88604</xdr:colOff>
      <xdr:row>190</xdr:row>
      <xdr:rowOff>92443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561472</xdr:colOff>
      <xdr:row>43</xdr:row>
      <xdr:rowOff>80211</xdr:rowOff>
    </xdr:from>
    <xdr:to>
      <xdr:col>6</xdr:col>
      <xdr:colOff>962525</xdr:colOff>
      <xdr:row>52</xdr:row>
      <xdr:rowOff>72190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753697</xdr:colOff>
      <xdr:row>64</xdr:row>
      <xdr:rowOff>122221</xdr:rowOff>
    </xdr:from>
    <xdr:to>
      <xdr:col>14</xdr:col>
      <xdr:colOff>468490</xdr:colOff>
      <xdr:row>78</xdr:row>
      <xdr:rowOff>9927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744553</xdr:colOff>
      <xdr:row>41</xdr:row>
      <xdr:rowOff>120315</xdr:rowOff>
    </xdr:from>
    <xdr:to>
      <xdr:col>17</xdr:col>
      <xdr:colOff>438550</xdr:colOff>
      <xdr:row>53</xdr:row>
      <xdr:rowOff>171548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116507</xdr:colOff>
      <xdr:row>41</xdr:row>
      <xdr:rowOff>180474</xdr:rowOff>
    </xdr:from>
    <xdr:to>
      <xdr:col>12</xdr:col>
      <xdr:colOff>434942</xdr:colOff>
      <xdr:row>55</xdr:row>
      <xdr:rowOff>116305</xdr:rowOff>
    </xdr:to>
    <xdr:graphicFrame macro="">
      <xdr:nvGraphicFramePr>
        <xdr:cNvPr id="20" name="차트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253999</xdr:colOff>
      <xdr:row>97</xdr:row>
      <xdr:rowOff>19538</xdr:rowOff>
    </xdr:from>
    <xdr:to>
      <xdr:col>16</xdr:col>
      <xdr:colOff>293076</xdr:colOff>
      <xdr:row>110</xdr:row>
      <xdr:rowOff>125046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152400</xdr:colOff>
      <xdr:row>685</xdr:row>
      <xdr:rowOff>114300</xdr:rowOff>
    </xdr:from>
    <xdr:to>
      <xdr:col>13</xdr:col>
      <xdr:colOff>237392</xdr:colOff>
      <xdr:row>714</xdr:row>
      <xdr:rowOff>98586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754</xdr:row>
      <xdr:rowOff>0</xdr:rowOff>
    </xdr:from>
    <xdr:to>
      <xdr:col>11</xdr:col>
      <xdr:colOff>227327</xdr:colOff>
      <xdr:row>782</xdr:row>
      <xdr:rowOff>118566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721374</xdr:colOff>
      <xdr:row>628</xdr:row>
      <xdr:rowOff>119792</xdr:rowOff>
    </xdr:from>
    <xdr:to>
      <xdr:col>11</xdr:col>
      <xdr:colOff>79433</xdr:colOff>
      <xdr:row>642</xdr:row>
      <xdr:rowOff>75756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632415</xdr:colOff>
      <xdr:row>691</xdr:row>
      <xdr:rowOff>140216</xdr:rowOff>
    </xdr:from>
    <xdr:to>
      <xdr:col>26</xdr:col>
      <xdr:colOff>908197</xdr:colOff>
      <xdr:row>708</xdr:row>
      <xdr:rowOff>59143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621339</xdr:colOff>
      <xdr:row>710</xdr:row>
      <xdr:rowOff>145754</xdr:rowOff>
    </xdr:from>
    <xdr:to>
      <xdr:col>27</xdr:col>
      <xdr:colOff>851711</xdr:colOff>
      <xdr:row>726</xdr:row>
      <xdr:rowOff>142210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67232</xdr:colOff>
      <xdr:row>22</xdr:row>
      <xdr:rowOff>100853</xdr:rowOff>
    </xdr:from>
    <xdr:to>
      <xdr:col>2</xdr:col>
      <xdr:colOff>67232</xdr:colOff>
      <xdr:row>26</xdr:row>
      <xdr:rowOff>148895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272" y="7179833"/>
          <a:ext cx="0" cy="9319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2161</xdr:colOff>
      <xdr:row>23</xdr:row>
      <xdr:rowOff>0</xdr:rowOff>
    </xdr:from>
    <xdr:to>
      <xdr:col>3</xdr:col>
      <xdr:colOff>723900</xdr:colOff>
      <xdr:row>26</xdr:row>
      <xdr:rowOff>17602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0901" y="7299960"/>
          <a:ext cx="721739" cy="6805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57150</xdr:rowOff>
        </xdr:from>
        <xdr:to>
          <xdr:col>2</xdr:col>
          <xdr:colOff>923925</xdr:colOff>
          <xdr:row>2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</xdr:row>
          <xdr:rowOff>57150</xdr:rowOff>
        </xdr:from>
        <xdr:to>
          <xdr:col>3</xdr:col>
          <xdr:colOff>762000</xdr:colOff>
          <xdr:row>2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시나리오자동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116205</xdr:colOff>
      <xdr:row>35</xdr:row>
      <xdr:rowOff>9525</xdr:rowOff>
    </xdr:from>
    <xdr:to>
      <xdr:col>9</xdr:col>
      <xdr:colOff>358521</xdr:colOff>
      <xdr:row>45</xdr:row>
      <xdr:rowOff>171110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205" y="7827645"/>
          <a:ext cx="4802886" cy="23085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281</xdr:row>
      <xdr:rowOff>140074</xdr:rowOff>
    </xdr:from>
    <xdr:to>
      <xdr:col>19</xdr:col>
      <xdr:colOff>523875</xdr:colOff>
      <xdr:row>315</xdr:row>
      <xdr:rowOff>39758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61058</xdr:colOff>
      <xdr:row>281</xdr:row>
      <xdr:rowOff>85481</xdr:rowOff>
    </xdr:from>
    <xdr:to>
      <xdr:col>43</xdr:col>
      <xdr:colOff>396484</xdr:colOff>
      <xdr:row>315</xdr:row>
      <xdr:rowOff>59704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21102</xdr:colOff>
      <xdr:row>320</xdr:row>
      <xdr:rowOff>88118</xdr:rowOff>
    </xdr:from>
    <xdr:to>
      <xdr:col>23</xdr:col>
      <xdr:colOff>419344</xdr:colOff>
      <xdr:row>353</xdr:row>
      <xdr:rowOff>140203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235805</xdr:colOff>
      <xdr:row>281</xdr:row>
      <xdr:rowOff>95392</xdr:rowOff>
    </xdr:from>
    <xdr:to>
      <xdr:col>102</xdr:col>
      <xdr:colOff>416442</xdr:colOff>
      <xdr:row>314</xdr:row>
      <xdr:rowOff>147477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85</xdr:col>
      <xdr:colOff>259773</xdr:colOff>
      <xdr:row>316</xdr:row>
      <xdr:rowOff>28863</xdr:rowOff>
    </xdr:from>
    <xdr:to>
      <xdr:col>102</xdr:col>
      <xdr:colOff>434695</xdr:colOff>
      <xdr:row>349</xdr:row>
      <xdr:rowOff>86663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Microsoft%20Office/Root/Office16/xlstart/Smar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mart"/>
    </sheetNames>
    <definedNames>
      <definedName name="cag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271D-A3C6-4CE0-B670-9B1431A09DCF}">
  <sheetPr codeName="Sheet10">
    <tabColor rgb="FFFF0000"/>
  </sheetPr>
  <dimension ref="A1:CQI967"/>
  <sheetViews>
    <sheetView topLeftCell="O568" zoomScale="86" zoomScaleNormal="86" workbookViewId="0">
      <selection activeCell="AC702" sqref="AC702"/>
    </sheetView>
  </sheetViews>
  <sheetFormatPr defaultColWidth="8.77734375" defaultRowHeight="13.5"/>
  <cols>
    <col min="1" max="1" width="3.6640625" style="498" customWidth="1"/>
    <col min="2" max="2" width="8.77734375" style="498"/>
    <col min="3" max="3" width="26" style="498" customWidth="1"/>
    <col min="4" max="6" width="12.6640625" style="498" customWidth="1"/>
    <col min="7" max="7" width="15.44140625" style="498" customWidth="1"/>
    <col min="8" max="16" width="12.6640625" style="498" customWidth="1"/>
    <col min="17" max="18" width="12.6640625" style="498" bestFit="1" customWidth="1"/>
    <col min="19" max="19" width="19.44140625" style="498" bestFit="1" customWidth="1"/>
    <col min="20" max="20" width="17.6640625" style="498" bestFit="1" customWidth="1"/>
    <col min="21" max="36" width="12.6640625" style="498" bestFit="1" customWidth="1"/>
    <col min="37" max="40" width="11.88671875" style="498" bestFit="1" customWidth="1"/>
    <col min="41" max="2479" width="8.88671875" style="498" bestFit="1" customWidth="1"/>
    <col min="2480" max="16384" width="8.77734375" style="498"/>
  </cols>
  <sheetData>
    <row r="1" spans="1:17">
      <c r="A1" s="498" t="s">
        <v>1406</v>
      </c>
    </row>
    <row r="3" spans="1:17">
      <c r="B3" s="498" t="s">
        <v>5011</v>
      </c>
    </row>
    <row r="4" spans="1:17">
      <c r="B4" s="498" t="s">
        <v>5012</v>
      </c>
    </row>
    <row r="6" spans="1:17" ht="14.25" thickBot="1">
      <c r="C6" s="498" t="s">
        <v>5017</v>
      </c>
      <c r="F6" s="498">
        <v>1</v>
      </c>
      <c r="G6" s="498">
        <f>F6+1</f>
        <v>2</v>
      </c>
      <c r="H6" s="498">
        <f t="shared" ref="H6:P6" si="0">G6+1</f>
        <v>3</v>
      </c>
      <c r="I6" s="498">
        <f t="shared" si="0"/>
        <v>4</v>
      </c>
      <c r="J6" s="498">
        <f t="shared" si="0"/>
        <v>5</v>
      </c>
      <c r="K6" s="498">
        <f t="shared" si="0"/>
        <v>6</v>
      </c>
      <c r="L6" s="498">
        <f t="shared" si="0"/>
        <v>7</v>
      </c>
      <c r="M6" s="498">
        <f t="shared" si="0"/>
        <v>8</v>
      </c>
      <c r="N6" s="498">
        <f t="shared" si="0"/>
        <v>9</v>
      </c>
      <c r="O6" s="498">
        <f t="shared" si="0"/>
        <v>10</v>
      </c>
      <c r="P6" s="498">
        <f t="shared" si="0"/>
        <v>11</v>
      </c>
    </row>
    <row r="7" spans="1:17" ht="14.25" thickBot="1">
      <c r="C7" s="4700" t="s">
        <v>5013</v>
      </c>
      <c r="D7" s="4701">
        <v>2009</v>
      </c>
      <c r="E7" s="4701">
        <f>D7+1</f>
        <v>2010</v>
      </c>
      <c r="F7" s="4701">
        <f>E7+1</f>
        <v>2011</v>
      </c>
      <c r="G7" s="4701">
        <f>F7+1</f>
        <v>2012</v>
      </c>
      <c r="H7" s="4701">
        <f t="shared" ref="H7:P7" si="1">G7+1</f>
        <v>2013</v>
      </c>
      <c r="I7" s="4701">
        <f t="shared" si="1"/>
        <v>2014</v>
      </c>
      <c r="J7" s="4701">
        <f t="shared" si="1"/>
        <v>2015</v>
      </c>
      <c r="K7" s="4701">
        <f t="shared" si="1"/>
        <v>2016</v>
      </c>
      <c r="L7" s="4701">
        <f t="shared" si="1"/>
        <v>2017</v>
      </c>
      <c r="M7" s="4701">
        <f t="shared" si="1"/>
        <v>2018</v>
      </c>
      <c r="N7" s="4701">
        <f t="shared" si="1"/>
        <v>2019</v>
      </c>
      <c r="O7" s="4701">
        <f t="shared" si="1"/>
        <v>2020</v>
      </c>
      <c r="P7" s="4701">
        <f t="shared" si="1"/>
        <v>2021</v>
      </c>
      <c r="Q7" s="498" t="s">
        <v>5023</v>
      </c>
    </row>
    <row r="8" spans="1:17" ht="14.25" thickBot="1">
      <c r="C8" s="4702" t="s">
        <v>5014</v>
      </c>
      <c r="D8" s="4705">
        <f>SUMIFS(매출!$5:$5,매출!$3:$3,D7)/1000</f>
        <v>63.862000000000002</v>
      </c>
      <c r="E8" s="4705">
        <f>SUMIFS(매출!$5:$5,매출!$3:$3,E7)/1000</f>
        <v>189.37200000000001</v>
      </c>
      <c r="F8" s="4705">
        <f>SUMIFS(매출!$5:$5,매출!$3:$3,F7)/1000</f>
        <v>232.45599999999999</v>
      </c>
      <c r="G8" s="4705">
        <f>SUMIFS(매출!$5:$5,매출!$3:$3,G7)/1000</f>
        <v>239.018</v>
      </c>
      <c r="H8" s="4705">
        <f>SUMIFS(매출!$5:$5,매출!$3:$3,H7)/1000</f>
        <v>243.63399999999999</v>
      </c>
      <c r="I8" s="4705">
        <f>SUMIFS(매출!$5:$5,매출!$3:$3,I7)/1000</f>
        <v>246.131</v>
      </c>
      <c r="J8" s="4705">
        <f>SUMIFS(매출!$5:$5,매출!$3:$3,J7)/1000</f>
        <v>251.31</v>
      </c>
      <c r="K8" s="4705">
        <f>SUMIFS(매출!$5:$5,매출!$3:$3,K7)/1000</f>
        <v>305.52</v>
      </c>
      <c r="L8" s="4705">
        <f>SUMIFS(매출!$5:$5,매출!$3:$3,L7)/1000</f>
        <v>307.18799999999999</v>
      </c>
      <c r="M8" s="4705">
        <f>SUMIFS(매출!$5:$5,매출!$3:$3,M7)/1000</f>
        <v>302.93200000000002</v>
      </c>
      <c r="N8" s="4705">
        <f>SUMIFS(매출!$5:$5,매출!$3:$3,N7)/1000</f>
        <v>320.34300000000002</v>
      </c>
      <c r="O8" s="4705">
        <f ca="1">SUMIFS(매출!$5:$5,매출!$3:$3,O7)/1000</f>
        <v>352.19400000000002</v>
      </c>
      <c r="P8" s="4705">
        <f ca="1">SUMIFS(매출!$5:$5,매출!$3:$3,P7)/1000</f>
        <v>314.43599999999998</v>
      </c>
      <c r="Q8" s="1859" t="e" cm="1">
        <f t="array" aca="1" ref="Q8" ca="1">[1]!cagr(E8,P8,P6)</f>
        <v>#NAME?</v>
      </c>
    </row>
    <row r="9" spans="1:17" ht="14.25" thickBot="1">
      <c r="C9" s="4702" t="s">
        <v>5016</v>
      </c>
      <c r="D9" s="4706"/>
      <c r="E9" s="4706">
        <f>E8/D8-1</f>
        <v>1.9653314960383326</v>
      </c>
      <c r="F9" s="4706">
        <f t="shared" ref="F9:P9" si="2">F8/E8-1</f>
        <v>0.22750987474389017</v>
      </c>
      <c r="G9" s="4706">
        <f t="shared" si="2"/>
        <v>2.8228998175998887E-2</v>
      </c>
      <c r="H9" s="4706">
        <f t="shared" si="2"/>
        <v>1.9312353044540487E-2</v>
      </c>
      <c r="I9" s="4706">
        <f t="shared" si="2"/>
        <v>1.0248980027418142E-2</v>
      </c>
      <c r="J9" s="4706">
        <f t="shared" si="2"/>
        <v>2.1041640427252206E-2</v>
      </c>
      <c r="K9" s="4706">
        <f t="shared" si="2"/>
        <v>0.21570968127014445</v>
      </c>
      <c r="L9" s="4706">
        <f t="shared" si="2"/>
        <v>5.459544383346504E-3</v>
      </c>
      <c r="M9" s="4706">
        <f t="shared" si="2"/>
        <v>-1.3854707866192584E-2</v>
      </c>
      <c r="N9" s="4706">
        <f t="shared" si="2"/>
        <v>5.7474944872116573E-2</v>
      </c>
      <c r="O9" s="4706">
        <f t="shared" ca="1" si="2"/>
        <v>9.9427800825989676E-2</v>
      </c>
      <c r="P9" s="4706">
        <f t="shared" ca="1" si="2"/>
        <v>-0.10720795924973181</v>
      </c>
      <c r="Q9" s="1859"/>
    </row>
    <row r="10" spans="1:17" ht="14.25" thickBot="1"/>
    <row r="11" spans="1:17" ht="14.25" thickBot="1">
      <c r="C11" s="4700"/>
      <c r="D11" s="4701">
        <f>D7</f>
        <v>2009</v>
      </c>
      <c r="E11" s="4701">
        <f t="shared" ref="E11:P11" si="3">E7</f>
        <v>2010</v>
      </c>
      <c r="F11" s="4701">
        <f t="shared" si="3"/>
        <v>2011</v>
      </c>
      <c r="G11" s="4701">
        <f t="shared" si="3"/>
        <v>2012</v>
      </c>
      <c r="H11" s="4701">
        <f t="shared" si="3"/>
        <v>2013</v>
      </c>
      <c r="I11" s="4701">
        <f t="shared" si="3"/>
        <v>2014</v>
      </c>
      <c r="J11" s="4701">
        <f t="shared" si="3"/>
        <v>2015</v>
      </c>
      <c r="K11" s="4701">
        <f t="shared" si="3"/>
        <v>2016</v>
      </c>
      <c r="L11" s="4701">
        <f t="shared" si="3"/>
        <v>2017</v>
      </c>
      <c r="M11" s="4701">
        <f t="shared" si="3"/>
        <v>2018</v>
      </c>
      <c r="N11" s="4701">
        <f t="shared" si="3"/>
        <v>2019</v>
      </c>
      <c r="O11" s="4701">
        <f t="shared" si="3"/>
        <v>2020</v>
      </c>
      <c r="P11" s="4701">
        <f t="shared" si="3"/>
        <v>2021</v>
      </c>
    </row>
    <row r="12" spans="1:17" ht="14.25" thickBot="1">
      <c r="C12" s="4702" t="s">
        <v>5043</v>
      </c>
      <c r="D12" s="4705">
        <f>사업개요!D66/1000</f>
        <v>120.482</v>
      </c>
      <c r="E12" s="4705">
        <f>사업개요!E66/1000</f>
        <v>254.62700000000001</v>
      </c>
      <c r="F12" s="4705">
        <f>사업개요!F66/1000</f>
        <v>287.64400000000001</v>
      </c>
      <c r="G12" s="4705">
        <f>사업개요!G66/1000</f>
        <v>329.17</v>
      </c>
      <c r="H12" s="4705">
        <f>사업개요!H66/1000</f>
        <v>390.84399999999999</v>
      </c>
      <c r="I12" s="4705">
        <f>사업개요!I66/1000</f>
        <v>460.75099999999998</v>
      </c>
      <c r="J12" s="4705">
        <f>사업개요!J66/1000</f>
        <v>503.09899999999999</v>
      </c>
      <c r="K12" s="4705">
        <f>사업개요!K66/1000</f>
        <v>515</v>
      </c>
      <c r="L12" s="4705">
        <f>사업개요!L66/1000</f>
        <v>515</v>
      </c>
      <c r="M12" s="4705">
        <f>사업개요!M66/1000</f>
        <v>515</v>
      </c>
      <c r="N12" s="4705">
        <f>사업개요!N66/1000</f>
        <v>515</v>
      </c>
      <c r="O12" s="4705">
        <f>사업개요!O66/1000</f>
        <v>515</v>
      </c>
      <c r="P12" s="4705">
        <f>O12</f>
        <v>515</v>
      </c>
    </row>
    <row r="13" spans="1:17" ht="14.25" thickBot="1">
      <c r="C13" s="4702" t="s">
        <v>5039</v>
      </c>
      <c r="D13" s="4705">
        <f>D8</f>
        <v>63.862000000000002</v>
      </c>
      <c r="E13" s="4705">
        <f t="shared" ref="E13:P13" si="4">E8</f>
        <v>189.37200000000001</v>
      </c>
      <c r="F13" s="4705">
        <f t="shared" si="4"/>
        <v>232.45599999999999</v>
      </c>
      <c r="G13" s="4705">
        <f t="shared" si="4"/>
        <v>239.018</v>
      </c>
      <c r="H13" s="4705">
        <f t="shared" si="4"/>
        <v>243.63399999999999</v>
      </c>
      <c r="I13" s="4705">
        <f t="shared" si="4"/>
        <v>246.131</v>
      </c>
      <c r="J13" s="4705">
        <f t="shared" si="4"/>
        <v>251.31</v>
      </c>
      <c r="K13" s="4705">
        <f t="shared" si="4"/>
        <v>305.52</v>
      </c>
      <c r="L13" s="4705">
        <f t="shared" si="4"/>
        <v>307.18799999999999</v>
      </c>
      <c r="M13" s="4705">
        <f t="shared" si="4"/>
        <v>302.93200000000002</v>
      </c>
      <c r="N13" s="4705">
        <f t="shared" si="4"/>
        <v>320.34300000000002</v>
      </c>
      <c r="O13" s="4705">
        <f t="shared" ca="1" si="4"/>
        <v>352.19400000000002</v>
      </c>
      <c r="P13" s="4705">
        <f t="shared" ca="1" si="4"/>
        <v>314.43599999999998</v>
      </c>
    </row>
    <row r="14" spans="1:17" ht="14.25" thickBot="1">
      <c r="C14" s="4702" t="s">
        <v>5041</v>
      </c>
      <c r="D14" s="4706">
        <f>D13/D12</f>
        <v>0.53005428196743087</v>
      </c>
      <c r="E14" s="4706">
        <f t="shared" ref="E14:P14" si="5">E13/E12</f>
        <v>0.743723171541117</v>
      </c>
      <c r="F14" s="4706">
        <f t="shared" si="5"/>
        <v>0.80813783704857389</v>
      </c>
      <c r="G14" s="4706">
        <f t="shared" si="5"/>
        <v>0.7261232797642555</v>
      </c>
      <c r="H14" s="4706">
        <f t="shared" si="5"/>
        <v>0.62335356305840695</v>
      </c>
      <c r="I14" s="4706">
        <f t="shared" si="5"/>
        <v>0.53419525947854696</v>
      </c>
      <c r="J14" s="4706">
        <f t="shared" si="5"/>
        <v>0.49952395055446347</v>
      </c>
      <c r="K14" s="4706">
        <f t="shared" si="5"/>
        <v>0.59324271844660192</v>
      </c>
      <c r="L14" s="4706">
        <f t="shared" si="5"/>
        <v>0.5964815533980582</v>
      </c>
      <c r="M14" s="4706">
        <f t="shared" si="5"/>
        <v>0.58821747572815541</v>
      </c>
      <c r="N14" s="4706">
        <f t="shared" si="5"/>
        <v>0.62202524271844661</v>
      </c>
      <c r="O14" s="4706">
        <f t="shared" ca="1" si="5"/>
        <v>0.68387184466019424</v>
      </c>
      <c r="P14" s="4706">
        <f t="shared" ca="1" si="5"/>
        <v>0.61055533980582521</v>
      </c>
    </row>
    <row r="17" spans="3:41">
      <c r="C17" s="498" t="s">
        <v>5018</v>
      </c>
    </row>
    <row r="18" spans="3:41">
      <c r="D18" s="498">
        <v>2021</v>
      </c>
      <c r="E18" s="491">
        <f ca="1">매출!T5/1000</f>
        <v>314.43599999999998</v>
      </c>
    </row>
    <row r="19" spans="3:41" ht="14.25" thickBot="1">
      <c r="D19" s="16"/>
      <c r="E19" s="16"/>
      <c r="F19" s="16"/>
      <c r="G19" s="16"/>
      <c r="H19" s="16"/>
      <c r="I19" s="16"/>
      <c r="J19" s="16"/>
      <c r="K19" s="16"/>
      <c r="L19" s="16"/>
      <c r="M19" s="16"/>
    </row>
    <row r="20" spans="3:41" ht="14.25" thickBot="1">
      <c r="C20" s="4700" t="s">
        <v>5013</v>
      </c>
      <c r="D20" s="4701">
        <v>2022</v>
      </c>
      <c r="E20" s="4701">
        <v>2023</v>
      </c>
      <c r="F20" s="4701">
        <v>2024</v>
      </c>
      <c r="G20" s="4701">
        <v>2025</v>
      </c>
      <c r="H20" s="4701">
        <v>2026</v>
      </c>
      <c r="I20" s="4701">
        <v>2027</v>
      </c>
      <c r="J20" s="4701">
        <v>2028</v>
      </c>
      <c r="K20" s="4701">
        <v>2029</v>
      </c>
      <c r="L20" s="4701">
        <v>2030</v>
      </c>
      <c r="M20" s="4701">
        <v>2031</v>
      </c>
      <c r="N20" s="498">
        <f t="shared" ref="N20:AO20" si="6">M20+1</f>
        <v>2032</v>
      </c>
      <c r="O20" s="498">
        <f t="shared" si="6"/>
        <v>2033</v>
      </c>
      <c r="P20" s="498">
        <f t="shared" si="6"/>
        <v>2034</v>
      </c>
      <c r="Q20" s="498">
        <f t="shared" si="6"/>
        <v>2035</v>
      </c>
      <c r="R20" s="498">
        <f t="shared" si="6"/>
        <v>2036</v>
      </c>
      <c r="S20" s="498">
        <f t="shared" si="6"/>
        <v>2037</v>
      </c>
      <c r="T20" s="498">
        <f t="shared" si="6"/>
        <v>2038</v>
      </c>
      <c r="U20" s="498">
        <f t="shared" si="6"/>
        <v>2039</v>
      </c>
      <c r="V20" s="498">
        <f t="shared" si="6"/>
        <v>2040</v>
      </c>
      <c r="W20" s="498">
        <f t="shared" si="6"/>
        <v>2041</v>
      </c>
      <c r="X20" s="498">
        <f t="shared" si="6"/>
        <v>2042</v>
      </c>
      <c r="Y20" s="498">
        <f t="shared" si="6"/>
        <v>2043</v>
      </c>
      <c r="Z20" s="498">
        <f t="shared" si="6"/>
        <v>2044</v>
      </c>
      <c r="AA20" s="498">
        <f t="shared" si="6"/>
        <v>2045</v>
      </c>
      <c r="AB20" s="498">
        <f t="shared" si="6"/>
        <v>2046</v>
      </c>
      <c r="AC20" s="498">
        <f t="shared" si="6"/>
        <v>2047</v>
      </c>
      <c r="AD20" s="498">
        <f t="shared" si="6"/>
        <v>2048</v>
      </c>
      <c r="AE20" s="498">
        <f t="shared" si="6"/>
        <v>2049</v>
      </c>
      <c r="AF20" s="498">
        <f t="shared" si="6"/>
        <v>2050</v>
      </c>
      <c r="AG20" s="498">
        <f t="shared" si="6"/>
        <v>2051</v>
      </c>
      <c r="AH20" s="498">
        <f t="shared" si="6"/>
        <v>2052</v>
      </c>
      <c r="AI20" s="498">
        <f t="shared" si="6"/>
        <v>2053</v>
      </c>
      <c r="AJ20" s="498">
        <f t="shared" si="6"/>
        <v>2054</v>
      </c>
      <c r="AK20" s="498">
        <f t="shared" si="6"/>
        <v>2055</v>
      </c>
      <c r="AL20" s="498">
        <f t="shared" si="6"/>
        <v>2056</v>
      </c>
      <c r="AM20" s="498">
        <f t="shared" si="6"/>
        <v>2057</v>
      </c>
      <c r="AN20" s="498">
        <f t="shared" si="6"/>
        <v>2058</v>
      </c>
      <c r="AO20" s="498">
        <f t="shared" si="6"/>
        <v>2059</v>
      </c>
    </row>
    <row r="21" spans="3:41" ht="14.25" thickBot="1">
      <c r="C21" s="4702" t="s">
        <v>5014</v>
      </c>
      <c r="D21" s="4705">
        <f ca="1">SUMIFS(매출!$5:$5,매출!$3:$3,D20)/1000</f>
        <v>310</v>
      </c>
      <c r="E21" s="4705">
        <f ca="1">SUMIFS(매출!$5:$5,매출!$3:$3,E20)/1000</f>
        <v>320</v>
      </c>
      <c r="F21" s="4705">
        <f ca="1">SUMIFS(매출!$5:$5,매출!$3:$3,F20)/1000</f>
        <v>330</v>
      </c>
      <c r="G21" s="4705">
        <f ca="1">SUMIFS(매출!$5:$5,매출!$3:$3,G20)/1000</f>
        <v>340</v>
      </c>
      <c r="H21" s="4705">
        <f ca="1">SUMIFS(매출!$5:$5,매출!$3:$3,H20)/1000</f>
        <v>350</v>
      </c>
      <c r="I21" s="4705">
        <f ca="1">SUMIFS(매출!$5:$5,매출!$3:$3,I20)/1000</f>
        <v>360</v>
      </c>
      <c r="J21" s="4705">
        <f ca="1">SUMIFS(매출!$5:$5,매출!$3:$3,J20)/1000</f>
        <v>370</v>
      </c>
      <c r="K21" s="4705">
        <f ca="1">SUMIFS(매출!$5:$5,매출!$3:$3,K20)/1000</f>
        <v>380</v>
      </c>
      <c r="L21" s="4705">
        <f ca="1">SUMIFS(매출!$5:$5,매출!$3:$3,L20)/1000</f>
        <v>390</v>
      </c>
      <c r="M21" s="4705">
        <f ca="1">SUMIFS(매출!$5:$5,매출!$3:$3,M20)/1000</f>
        <v>394</v>
      </c>
      <c r="N21" s="498">
        <f ca="1">SUMIFS(매출!$5:$5,매출!$3:$3,N20)/1000</f>
        <v>398</v>
      </c>
      <c r="O21" s="498">
        <f ca="1">SUMIFS(매출!$5:$5,매출!$3:$3,O20)/1000</f>
        <v>402</v>
      </c>
      <c r="P21" s="498">
        <f ca="1">SUMIFS(매출!$5:$5,매출!$3:$3,P20)/1000</f>
        <v>406</v>
      </c>
      <c r="Q21" s="498">
        <f ca="1">SUMIFS(매출!$5:$5,매출!$3:$3,Q20)/1000</f>
        <v>410</v>
      </c>
      <c r="R21" s="498">
        <f ca="1">SUMIFS(매출!$5:$5,매출!$3:$3,R20)/1000</f>
        <v>414</v>
      </c>
      <c r="S21" s="498">
        <f ca="1">SUMIFS(매출!$5:$5,매출!$3:$3,S20)/1000</f>
        <v>418</v>
      </c>
      <c r="T21" s="498">
        <f ca="1">SUMIFS(매출!$5:$5,매출!$3:$3,T20)/1000</f>
        <v>422</v>
      </c>
      <c r="U21" s="498">
        <f ca="1">SUMIFS(매출!$5:$5,매출!$3:$3,U20)/1000</f>
        <v>426</v>
      </c>
      <c r="V21" s="498">
        <f ca="1">SUMIFS(매출!$5:$5,매출!$3:$3,V20)/1000</f>
        <v>430</v>
      </c>
      <c r="W21" s="498">
        <f ca="1">SUMIFS(매출!$5:$5,매출!$3:$3,W20)/1000</f>
        <v>434</v>
      </c>
      <c r="X21" s="498">
        <f ca="1">SUMIFS(매출!$5:$5,매출!$3:$3,X20)/1000</f>
        <v>438</v>
      </c>
      <c r="Y21" s="498">
        <f ca="1">SUMIFS(매출!$5:$5,매출!$3:$3,Y20)/1000</f>
        <v>442</v>
      </c>
      <c r="Z21" s="498">
        <f ca="1">SUMIFS(매출!$5:$5,매출!$3:$3,Z20)/1000</f>
        <v>446</v>
      </c>
      <c r="AA21" s="498">
        <f ca="1">SUMIFS(매출!$5:$5,매출!$3:$3,AA20)/1000</f>
        <v>450</v>
      </c>
      <c r="AB21" s="498">
        <f ca="1">SUMIFS(매출!$5:$5,매출!$3:$3,AB20)/1000</f>
        <v>454</v>
      </c>
      <c r="AC21" s="498">
        <f ca="1">SUMIFS(매출!$5:$5,매출!$3:$3,AC20)/1000</f>
        <v>458</v>
      </c>
      <c r="AD21" s="498">
        <f ca="1">SUMIFS(매출!$5:$5,매출!$3:$3,AD20)/1000</f>
        <v>462</v>
      </c>
      <c r="AE21" s="498">
        <f ca="1">SUMIFS(매출!$5:$5,매출!$3:$3,AE20)/1000</f>
        <v>466</v>
      </c>
      <c r="AF21" s="498">
        <f ca="1">SUMIFS(매출!$5:$5,매출!$3:$3,AF20)/1000</f>
        <v>470</v>
      </c>
      <c r="AG21" s="498">
        <f ca="1">SUMIFS(매출!$5:$5,매출!$3:$3,AG20)/1000</f>
        <v>474</v>
      </c>
      <c r="AH21" s="498">
        <f ca="1">SUMIFS(매출!$5:$5,매출!$3:$3,AH20)/1000</f>
        <v>478</v>
      </c>
      <c r="AI21" s="498">
        <f ca="1">SUMIFS(매출!$5:$5,매출!$3:$3,AI20)/1000</f>
        <v>482</v>
      </c>
      <c r="AJ21" s="498">
        <f ca="1">SUMIFS(매출!$5:$5,매출!$3:$3,AJ20)/1000</f>
        <v>486</v>
      </c>
      <c r="AK21" s="498">
        <f ca="1">SUMIFS(매출!$5:$5,매출!$3:$3,AK20)/1000</f>
        <v>490</v>
      </c>
      <c r="AL21" s="498">
        <f ca="1">SUMIFS(매출!$5:$5,매출!$3:$3,AL20)/1000</f>
        <v>494</v>
      </c>
      <c r="AM21" s="498">
        <f ca="1">SUMIFS(매출!$5:$5,매출!$3:$3,AM20)/1000</f>
        <v>498</v>
      </c>
      <c r="AN21" s="498">
        <f ca="1">SUMIFS(매출!$5:$5,매출!$3:$3,AN20)/1000</f>
        <v>502</v>
      </c>
      <c r="AO21" s="498">
        <f ca="1">SUMIFS(매출!$5:$5,매출!$3:$3,AO20)/1000</f>
        <v>506</v>
      </c>
    </row>
    <row r="22" spans="3:41" ht="14.25" thickBot="1">
      <c r="C22" s="4702" t="s">
        <v>5016</v>
      </c>
      <c r="D22" s="4706">
        <f ca="1">D21/E18-1</f>
        <v>-1.4107799361396167E-2</v>
      </c>
      <c r="E22" s="4706">
        <f t="shared" ref="E22:M22" ca="1" si="7">E21/D21-1</f>
        <v>3.2258064516129004E-2</v>
      </c>
      <c r="F22" s="4706">
        <f t="shared" ca="1" si="7"/>
        <v>3.125E-2</v>
      </c>
      <c r="G22" s="4706">
        <f t="shared" ca="1" si="7"/>
        <v>3.0303030303030276E-2</v>
      </c>
      <c r="H22" s="4706">
        <f t="shared" ca="1" si="7"/>
        <v>2.9411764705882248E-2</v>
      </c>
      <c r="I22" s="4706">
        <f t="shared" ca="1" si="7"/>
        <v>2.857142857142847E-2</v>
      </c>
      <c r="J22" s="4706">
        <f t="shared" ca="1" si="7"/>
        <v>2.7777777777777679E-2</v>
      </c>
      <c r="K22" s="4706">
        <f t="shared" ca="1" si="7"/>
        <v>2.7027027027026973E-2</v>
      </c>
      <c r="L22" s="4706">
        <f t="shared" ca="1" si="7"/>
        <v>2.6315789473684292E-2</v>
      </c>
      <c r="M22" s="4706">
        <f t="shared" ca="1" si="7"/>
        <v>1.025641025641022E-2</v>
      </c>
    </row>
    <row r="23" spans="3:41" ht="14.25" thickBot="1">
      <c r="C23" s="4702" t="s">
        <v>1409</v>
      </c>
      <c r="D23" s="4703">
        <v>2032</v>
      </c>
      <c r="E23" s="4703">
        <v>2033</v>
      </c>
      <c r="F23" s="4703">
        <v>2034</v>
      </c>
      <c r="G23" s="4703">
        <v>2035</v>
      </c>
      <c r="H23" s="4703">
        <v>2036</v>
      </c>
      <c r="I23" s="4703">
        <v>2037</v>
      </c>
      <c r="J23" s="4703">
        <v>2038</v>
      </c>
      <c r="K23" s="4703">
        <v>2039</v>
      </c>
      <c r="L23" s="4703">
        <v>2040</v>
      </c>
      <c r="M23" s="4703">
        <v>2041</v>
      </c>
    </row>
    <row r="24" spans="3:41" ht="14.25" thickBot="1">
      <c r="C24" s="4702" t="s">
        <v>5014</v>
      </c>
      <c r="D24" s="4705">
        <f ca="1">N21</f>
        <v>398</v>
      </c>
      <c r="E24" s="4705">
        <f t="shared" ref="E24:M24" ca="1" si="8">O21</f>
        <v>402</v>
      </c>
      <c r="F24" s="4705">
        <f t="shared" ca="1" si="8"/>
        <v>406</v>
      </c>
      <c r="G24" s="4705">
        <f t="shared" ca="1" si="8"/>
        <v>410</v>
      </c>
      <c r="H24" s="4705">
        <f t="shared" ca="1" si="8"/>
        <v>414</v>
      </c>
      <c r="I24" s="4705">
        <f t="shared" ca="1" si="8"/>
        <v>418</v>
      </c>
      <c r="J24" s="4705">
        <f t="shared" ca="1" si="8"/>
        <v>422</v>
      </c>
      <c r="K24" s="4705">
        <f t="shared" ca="1" si="8"/>
        <v>426</v>
      </c>
      <c r="L24" s="4705">
        <f t="shared" ca="1" si="8"/>
        <v>430</v>
      </c>
      <c r="M24" s="4705">
        <f t="shared" ca="1" si="8"/>
        <v>434</v>
      </c>
    </row>
    <row r="25" spans="3:41" ht="14.25" thickBot="1">
      <c r="C25" s="4702" t="s">
        <v>5016</v>
      </c>
      <c r="D25" s="4706">
        <f ca="1">D24/M21-1</f>
        <v>1.0152284263959421E-2</v>
      </c>
      <c r="E25" s="4706">
        <f t="shared" ref="E25:M25" ca="1" si="9">E24/D24-1</f>
        <v>1.0050251256281451E-2</v>
      </c>
      <c r="F25" s="4706">
        <f t="shared" ca="1" si="9"/>
        <v>9.9502487562188602E-3</v>
      </c>
      <c r="G25" s="4706">
        <f t="shared" ca="1" si="9"/>
        <v>9.8522167487684609E-3</v>
      </c>
      <c r="H25" s="4706">
        <f t="shared" ca="1" si="9"/>
        <v>9.7560975609756184E-3</v>
      </c>
      <c r="I25" s="4706">
        <f t="shared" ca="1" si="9"/>
        <v>9.6618357487923134E-3</v>
      </c>
      <c r="J25" s="4706">
        <f t="shared" ca="1" si="9"/>
        <v>9.5693779904306719E-3</v>
      </c>
      <c r="K25" s="4706">
        <f t="shared" ca="1" si="9"/>
        <v>9.4786729857820884E-3</v>
      </c>
      <c r="L25" s="4706">
        <f t="shared" ca="1" si="9"/>
        <v>9.3896713615022609E-3</v>
      </c>
      <c r="M25" s="4706">
        <f t="shared" ca="1" si="9"/>
        <v>9.302325581395321E-3</v>
      </c>
    </row>
    <row r="26" spans="3:41" ht="14.25" thickBot="1">
      <c r="C26" s="4702" t="s">
        <v>1409</v>
      </c>
      <c r="D26" s="4703">
        <v>2042</v>
      </c>
      <c r="E26" s="4703">
        <v>2043</v>
      </c>
      <c r="F26" s="4703">
        <v>2044</v>
      </c>
      <c r="G26" s="4703">
        <v>2045</v>
      </c>
      <c r="H26" s="4703">
        <v>2046</v>
      </c>
      <c r="I26" s="4703">
        <v>2047</v>
      </c>
      <c r="J26" s="4703">
        <v>2048</v>
      </c>
      <c r="K26" s="4703">
        <v>2049</v>
      </c>
      <c r="L26" s="4703">
        <v>2050</v>
      </c>
      <c r="M26" s="4703">
        <v>2051</v>
      </c>
    </row>
    <row r="27" spans="3:41" ht="14.25" thickBot="1">
      <c r="C27" s="4702" t="s">
        <v>5014</v>
      </c>
      <c r="D27" s="4705">
        <f ca="1">X21</f>
        <v>438</v>
      </c>
      <c r="E27" s="4705">
        <f t="shared" ref="E27:M27" ca="1" si="10">Y21</f>
        <v>442</v>
      </c>
      <c r="F27" s="4705">
        <f t="shared" ca="1" si="10"/>
        <v>446</v>
      </c>
      <c r="G27" s="4705">
        <f t="shared" ca="1" si="10"/>
        <v>450</v>
      </c>
      <c r="H27" s="4705">
        <f t="shared" ca="1" si="10"/>
        <v>454</v>
      </c>
      <c r="I27" s="4705">
        <f t="shared" ca="1" si="10"/>
        <v>458</v>
      </c>
      <c r="J27" s="4705">
        <f t="shared" ca="1" si="10"/>
        <v>462</v>
      </c>
      <c r="K27" s="4705">
        <f t="shared" ca="1" si="10"/>
        <v>466</v>
      </c>
      <c r="L27" s="4705">
        <f t="shared" ca="1" si="10"/>
        <v>470</v>
      </c>
      <c r="M27" s="4705">
        <f t="shared" ca="1" si="10"/>
        <v>474</v>
      </c>
    </row>
    <row r="28" spans="3:41" ht="14.25" thickBot="1">
      <c r="C28" s="4702" t="s">
        <v>5016</v>
      </c>
      <c r="D28" s="4706">
        <f ca="1">D27/M24-1</f>
        <v>9.2165898617511122E-3</v>
      </c>
      <c r="E28" s="4706">
        <f t="shared" ref="E28:M28" ca="1" si="11">E27/D27-1</f>
        <v>9.1324200913243114E-3</v>
      </c>
      <c r="F28" s="4706">
        <f t="shared" ca="1" si="11"/>
        <v>9.0497737556560764E-3</v>
      </c>
      <c r="G28" s="4706">
        <f t="shared" ca="1" si="11"/>
        <v>8.9686098654708779E-3</v>
      </c>
      <c r="H28" s="4706">
        <f t="shared" ca="1" si="11"/>
        <v>8.8888888888889461E-3</v>
      </c>
      <c r="I28" s="4706">
        <f t="shared" ca="1" si="11"/>
        <v>8.8105726872247381E-3</v>
      </c>
      <c r="J28" s="4706">
        <f t="shared" ca="1" si="11"/>
        <v>8.733624454148492E-3</v>
      </c>
      <c r="K28" s="4706">
        <f t="shared" ca="1" si="11"/>
        <v>8.6580086580085869E-3</v>
      </c>
      <c r="L28" s="4706">
        <f t="shared" ca="1" si="11"/>
        <v>8.5836909871244149E-3</v>
      </c>
      <c r="M28" s="4706">
        <f t="shared" ca="1" si="11"/>
        <v>8.5106382978723527E-3</v>
      </c>
    </row>
    <row r="29" spans="3:41" ht="14.25" thickBot="1">
      <c r="C29" s="4702" t="s">
        <v>1409</v>
      </c>
      <c r="D29" s="4703">
        <v>2052</v>
      </c>
      <c r="E29" s="4703">
        <v>2053</v>
      </c>
      <c r="F29" s="4703">
        <v>2054</v>
      </c>
      <c r="G29" s="4703">
        <v>2055</v>
      </c>
      <c r="H29" s="4703">
        <v>2056</v>
      </c>
      <c r="I29" s="4703">
        <v>2057</v>
      </c>
      <c r="J29" s="4703">
        <v>2058</v>
      </c>
      <c r="K29" s="4703">
        <v>2059</v>
      </c>
      <c r="L29" s="4704"/>
      <c r="M29" s="4704"/>
    </row>
    <row r="30" spans="3:41" ht="14.25" thickBot="1">
      <c r="C30" s="4702" t="s">
        <v>5014</v>
      </c>
      <c r="D30" s="4705">
        <f t="shared" ref="D30:K30" ca="1" si="12">AH21</f>
        <v>478</v>
      </c>
      <c r="E30" s="4705">
        <f t="shared" ca="1" si="12"/>
        <v>482</v>
      </c>
      <c r="F30" s="4705">
        <f t="shared" ca="1" si="12"/>
        <v>486</v>
      </c>
      <c r="G30" s="4705">
        <f t="shared" ca="1" si="12"/>
        <v>490</v>
      </c>
      <c r="H30" s="4705">
        <f t="shared" ca="1" si="12"/>
        <v>494</v>
      </c>
      <c r="I30" s="4705">
        <f t="shared" ca="1" si="12"/>
        <v>498</v>
      </c>
      <c r="J30" s="4705">
        <f t="shared" ca="1" si="12"/>
        <v>502</v>
      </c>
      <c r="K30" s="4705">
        <f t="shared" ca="1" si="12"/>
        <v>506</v>
      </c>
      <c r="L30" s="4705"/>
      <c r="M30" s="4705"/>
    </row>
    <row r="31" spans="3:41" ht="14.25" thickBot="1">
      <c r="C31" s="4702" t="s">
        <v>5016</v>
      </c>
      <c r="D31" s="4706">
        <f ca="1">D30/M27-1</f>
        <v>8.4388185654007408E-3</v>
      </c>
      <c r="E31" s="4706">
        <f t="shared" ref="E31:K31" ca="1" si="13">E30/D30-1</f>
        <v>8.3682008368199945E-3</v>
      </c>
      <c r="F31" s="4706">
        <f t="shared" ca="1" si="13"/>
        <v>8.2987551867219622E-3</v>
      </c>
      <c r="G31" s="4706">
        <f t="shared" ca="1" si="13"/>
        <v>8.2304526748970819E-3</v>
      </c>
      <c r="H31" s="4706">
        <f t="shared" ca="1" si="13"/>
        <v>8.1632653061225469E-3</v>
      </c>
      <c r="I31" s="4706">
        <f t="shared" ca="1" si="13"/>
        <v>8.0971659919029104E-3</v>
      </c>
      <c r="J31" s="4706">
        <f t="shared" ca="1" si="13"/>
        <v>8.0321285140563248E-3</v>
      </c>
      <c r="K31" s="4706">
        <f t="shared" ca="1" si="13"/>
        <v>7.9681274900398336E-3</v>
      </c>
      <c r="L31" s="4706"/>
      <c r="M31" s="4706"/>
    </row>
    <row r="32" spans="3:41" ht="14.25" thickBot="1">
      <c r="D32" s="16"/>
      <c r="E32" s="16"/>
      <c r="F32" s="16"/>
      <c r="G32" s="16"/>
      <c r="H32" s="16"/>
      <c r="I32" s="16"/>
      <c r="J32" s="16"/>
      <c r="K32" s="16"/>
      <c r="L32" s="16"/>
      <c r="M32" s="16"/>
    </row>
    <row r="33" spans="3:48" ht="14.25" thickBot="1">
      <c r="C33" s="4700" t="s">
        <v>5013</v>
      </c>
      <c r="H33" s="4701">
        <v>2019</v>
      </c>
      <c r="I33" s="4701">
        <v>2020</v>
      </c>
      <c r="J33" s="4701">
        <v>2021</v>
      </c>
      <c r="K33" s="4701">
        <v>2022</v>
      </c>
      <c r="L33" s="4701">
        <v>2023</v>
      </c>
      <c r="M33" s="4701">
        <v>2024</v>
      </c>
      <c r="N33" s="4701">
        <v>2025</v>
      </c>
      <c r="O33" s="4701">
        <v>2026</v>
      </c>
      <c r="P33" s="4701">
        <v>2027</v>
      </c>
      <c r="Q33" s="4701">
        <v>2028</v>
      </c>
      <c r="R33" s="4701">
        <v>2029</v>
      </c>
      <c r="S33" s="4701">
        <v>2030</v>
      </c>
      <c r="T33" s="4701">
        <v>2031</v>
      </c>
      <c r="U33" s="498">
        <f t="shared" ref="U33:AV33" si="14">T33+1</f>
        <v>2032</v>
      </c>
      <c r="V33" s="498">
        <f t="shared" si="14"/>
        <v>2033</v>
      </c>
      <c r="W33" s="498">
        <f t="shared" si="14"/>
        <v>2034</v>
      </c>
      <c r="X33" s="498">
        <f t="shared" si="14"/>
        <v>2035</v>
      </c>
      <c r="Y33" s="498">
        <f t="shared" si="14"/>
        <v>2036</v>
      </c>
      <c r="Z33" s="498">
        <f t="shared" si="14"/>
        <v>2037</v>
      </c>
      <c r="AA33" s="498">
        <f t="shared" si="14"/>
        <v>2038</v>
      </c>
      <c r="AB33" s="498">
        <f t="shared" si="14"/>
        <v>2039</v>
      </c>
      <c r="AC33" s="498">
        <f t="shared" si="14"/>
        <v>2040</v>
      </c>
      <c r="AD33" s="498">
        <f t="shared" si="14"/>
        <v>2041</v>
      </c>
      <c r="AE33" s="498">
        <f t="shared" si="14"/>
        <v>2042</v>
      </c>
      <c r="AF33" s="498">
        <f t="shared" si="14"/>
        <v>2043</v>
      </c>
      <c r="AG33" s="498">
        <f t="shared" si="14"/>
        <v>2044</v>
      </c>
      <c r="AH33" s="498">
        <f t="shared" si="14"/>
        <v>2045</v>
      </c>
      <c r="AI33" s="498">
        <f t="shared" si="14"/>
        <v>2046</v>
      </c>
      <c r="AJ33" s="498">
        <f t="shared" si="14"/>
        <v>2047</v>
      </c>
      <c r="AK33" s="498">
        <f t="shared" si="14"/>
        <v>2048</v>
      </c>
      <c r="AL33" s="498">
        <f t="shared" si="14"/>
        <v>2049</v>
      </c>
      <c r="AM33" s="498">
        <f t="shared" si="14"/>
        <v>2050</v>
      </c>
      <c r="AN33" s="498">
        <f t="shared" si="14"/>
        <v>2051</v>
      </c>
      <c r="AO33" s="498">
        <f t="shared" si="14"/>
        <v>2052</v>
      </c>
      <c r="AP33" s="498">
        <f t="shared" si="14"/>
        <v>2053</v>
      </c>
      <c r="AQ33" s="498">
        <f t="shared" si="14"/>
        <v>2054</v>
      </c>
      <c r="AR33" s="498">
        <f t="shared" si="14"/>
        <v>2055</v>
      </c>
      <c r="AS33" s="498">
        <f t="shared" si="14"/>
        <v>2056</v>
      </c>
      <c r="AT33" s="498">
        <f t="shared" si="14"/>
        <v>2057</v>
      </c>
      <c r="AU33" s="498">
        <f t="shared" si="14"/>
        <v>2058</v>
      </c>
      <c r="AV33" s="498">
        <f t="shared" si="14"/>
        <v>2059</v>
      </c>
    </row>
    <row r="34" spans="3:48" ht="14.25" thickBot="1">
      <c r="C34" s="4702" t="s">
        <v>5014</v>
      </c>
      <c r="H34" s="4705">
        <f>SUMIFS(매출!$5:$5,매출!$3:$3,H33)/1000</f>
        <v>320.34300000000002</v>
      </c>
      <c r="I34" s="4705">
        <f ca="1">SUMIFS(매출!$5:$5,매출!$3:$3,I33)/1000</f>
        <v>352.19400000000002</v>
      </c>
      <c r="J34" s="4705">
        <f ca="1">SUMIFS(매출!$5:$5,매출!$3:$3,J33)/1000</f>
        <v>314.43599999999998</v>
      </c>
      <c r="K34" s="4705">
        <f t="shared" ref="K34:AV34" ca="1" si="15">D21</f>
        <v>310</v>
      </c>
      <c r="L34" s="4705">
        <f t="shared" ca="1" si="15"/>
        <v>320</v>
      </c>
      <c r="M34" s="4705">
        <f t="shared" ca="1" si="15"/>
        <v>330</v>
      </c>
      <c r="N34" s="4705">
        <f t="shared" ca="1" si="15"/>
        <v>340</v>
      </c>
      <c r="O34" s="4705">
        <f t="shared" ca="1" si="15"/>
        <v>350</v>
      </c>
      <c r="P34" s="4705">
        <f t="shared" ca="1" si="15"/>
        <v>360</v>
      </c>
      <c r="Q34" s="4705">
        <f t="shared" ca="1" si="15"/>
        <v>370</v>
      </c>
      <c r="R34" s="4705">
        <f t="shared" ca="1" si="15"/>
        <v>380</v>
      </c>
      <c r="S34" s="4705">
        <f t="shared" ca="1" si="15"/>
        <v>390</v>
      </c>
      <c r="T34" s="4705">
        <f t="shared" ca="1" si="15"/>
        <v>394</v>
      </c>
      <c r="U34" s="498">
        <f t="shared" ca="1" si="15"/>
        <v>398</v>
      </c>
      <c r="V34" s="498">
        <f t="shared" ca="1" si="15"/>
        <v>402</v>
      </c>
      <c r="W34" s="498">
        <f t="shared" ca="1" si="15"/>
        <v>406</v>
      </c>
      <c r="X34" s="498">
        <f t="shared" ca="1" si="15"/>
        <v>410</v>
      </c>
      <c r="Y34" s="498">
        <f t="shared" ca="1" si="15"/>
        <v>414</v>
      </c>
      <c r="Z34" s="498">
        <f t="shared" ca="1" si="15"/>
        <v>418</v>
      </c>
      <c r="AA34" s="498">
        <f t="shared" ca="1" si="15"/>
        <v>422</v>
      </c>
      <c r="AB34" s="498">
        <f t="shared" ca="1" si="15"/>
        <v>426</v>
      </c>
      <c r="AC34" s="498">
        <f t="shared" ca="1" si="15"/>
        <v>430</v>
      </c>
      <c r="AD34" s="498">
        <f t="shared" ca="1" si="15"/>
        <v>434</v>
      </c>
      <c r="AE34" s="498">
        <f t="shared" ca="1" si="15"/>
        <v>438</v>
      </c>
      <c r="AF34" s="498">
        <f t="shared" ca="1" si="15"/>
        <v>442</v>
      </c>
      <c r="AG34" s="498">
        <f t="shared" ca="1" si="15"/>
        <v>446</v>
      </c>
      <c r="AH34" s="498">
        <f t="shared" ca="1" si="15"/>
        <v>450</v>
      </c>
      <c r="AI34" s="498">
        <f t="shared" ca="1" si="15"/>
        <v>454</v>
      </c>
      <c r="AJ34" s="498">
        <f t="shared" ca="1" si="15"/>
        <v>458</v>
      </c>
      <c r="AK34" s="498">
        <f t="shared" ca="1" si="15"/>
        <v>462</v>
      </c>
      <c r="AL34" s="498">
        <f t="shared" ca="1" si="15"/>
        <v>466</v>
      </c>
      <c r="AM34" s="498">
        <f t="shared" ca="1" si="15"/>
        <v>470</v>
      </c>
      <c r="AN34" s="498">
        <f t="shared" ca="1" si="15"/>
        <v>474</v>
      </c>
      <c r="AO34" s="498">
        <f t="shared" ca="1" si="15"/>
        <v>478</v>
      </c>
      <c r="AP34" s="498">
        <f t="shared" ca="1" si="15"/>
        <v>482</v>
      </c>
      <c r="AQ34" s="498">
        <f t="shared" ca="1" si="15"/>
        <v>486</v>
      </c>
      <c r="AR34" s="498">
        <f t="shared" ca="1" si="15"/>
        <v>490</v>
      </c>
      <c r="AS34" s="498">
        <f t="shared" ca="1" si="15"/>
        <v>494</v>
      </c>
      <c r="AT34" s="498">
        <f t="shared" ca="1" si="15"/>
        <v>498</v>
      </c>
      <c r="AU34" s="498">
        <f t="shared" ca="1" si="15"/>
        <v>502</v>
      </c>
      <c r="AV34" s="498">
        <f t="shared" ca="1" si="15"/>
        <v>506</v>
      </c>
    </row>
    <row r="35" spans="3:48">
      <c r="D35" s="16"/>
      <c r="E35" s="16"/>
      <c r="F35" s="16"/>
      <c r="G35" s="16"/>
      <c r="H35" s="16"/>
      <c r="I35" s="16"/>
      <c r="J35" s="16"/>
      <c r="K35" s="16"/>
      <c r="L35" s="16"/>
      <c r="M35" s="16"/>
    </row>
    <row r="36" spans="3:48" ht="14.25" thickBot="1">
      <c r="D36" s="16"/>
      <c r="E36" s="16"/>
      <c r="F36" s="16"/>
      <c r="G36" s="16"/>
      <c r="H36" s="16"/>
      <c r="I36" s="16"/>
      <c r="J36" s="16"/>
      <c r="K36" s="16"/>
      <c r="L36" s="16"/>
      <c r="M36" s="16"/>
    </row>
    <row r="37" spans="3:48" ht="14.25" thickBot="1">
      <c r="C37" s="4700" t="s">
        <v>5013</v>
      </c>
      <c r="D37" s="4701">
        <v>2022</v>
      </c>
      <c r="E37" s="4701">
        <v>2023</v>
      </c>
      <c r="F37" s="4701">
        <v>2024</v>
      </c>
      <c r="G37" s="4701">
        <v>2025</v>
      </c>
      <c r="H37" s="4701">
        <v>2026</v>
      </c>
      <c r="I37" s="4701">
        <v>2027</v>
      </c>
      <c r="J37" s="4701">
        <v>2028</v>
      </c>
      <c r="K37" s="4701">
        <v>2029</v>
      </c>
      <c r="L37" s="4701">
        <v>2030</v>
      </c>
      <c r="M37" s="4701">
        <v>2031</v>
      </c>
      <c r="N37" s="4701">
        <f t="shared" ref="N37:AO37" si="16">M37+1</f>
        <v>2032</v>
      </c>
      <c r="O37" s="4701">
        <f t="shared" si="16"/>
        <v>2033</v>
      </c>
      <c r="P37" s="4701">
        <f t="shared" si="16"/>
        <v>2034</v>
      </c>
      <c r="Q37" s="4701">
        <f t="shared" si="16"/>
        <v>2035</v>
      </c>
      <c r="R37" s="4701">
        <f t="shared" si="16"/>
        <v>2036</v>
      </c>
      <c r="S37" s="4701">
        <f t="shared" si="16"/>
        <v>2037</v>
      </c>
      <c r="T37" s="4701">
        <f t="shared" si="16"/>
        <v>2038</v>
      </c>
      <c r="U37" s="4701">
        <f t="shared" si="16"/>
        <v>2039</v>
      </c>
      <c r="V37" s="4701">
        <f t="shared" si="16"/>
        <v>2040</v>
      </c>
      <c r="W37" s="4701">
        <f t="shared" si="16"/>
        <v>2041</v>
      </c>
      <c r="X37" s="4701">
        <f t="shared" si="16"/>
        <v>2042</v>
      </c>
      <c r="Y37" s="4701">
        <f t="shared" si="16"/>
        <v>2043</v>
      </c>
      <c r="Z37" s="4701">
        <f t="shared" si="16"/>
        <v>2044</v>
      </c>
      <c r="AA37" s="4701">
        <f t="shared" si="16"/>
        <v>2045</v>
      </c>
      <c r="AB37" s="4701">
        <f t="shared" si="16"/>
        <v>2046</v>
      </c>
      <c r="AC37" s="4701">
        <f t="shared" si="16"/>
        <v>2047</v>
      </c>
      <c r="AD37" s="4701">
        <f t="shared" si="16"/>
        <v>2048</v>
      </c>
      <c r="AE37" s="4701">
        <f t="shared" si="16"/>
        <v>2049</v>
      </c>
      <c r="AF37" s="4701">
        <f t="shared" si="16"/>
        <v>2050</v>
      </c>
      <c r="AG37" s="4701">
        <f t="shared" si="16"/>
        <v>2051</v>
      </c>
      <c r="AH37" s="4701">
        <f t="shared" si="16"/>
        <v>2052</v>
      </c>
      <c r="AI37" s="4701">
        <f t="shared" si="16"/>
        <v>2053</v>
      </c>
      <c r="AJ37" s="4701">
        <f t="shared" si="16"/>
        <v>2054</v>
      </c>
      <c r="AK37" s="4701">
        <f t="shared" si="16"/>
        <v>2055</v>
      </c>
      <c r="AL37" s="4701">
        <f t="shared" si="16"/>
        <v>2056</v>
      </c>
      <c r="AM37" s="4701">
        <f t="shared" si="16"/>
        <v>2057</v>
      </c>
      <c r="AN37" s="4701">
        <f t="shared" si="16"/>
        <v>2058</v>
      </c>
      <c r="AO37" s="4701">
        <f t="shared" si="16"/>
        <v>2059</v>
      </c>
    </row>
    <row r="38" spans="3:48" ht="14.25" thickBot="1">
      <c r="C38" s="4702" t="s">
        <v>5042</v>
      </c>
      <c r="D38" s="4705">
        <f>P12</f>
        <v>515</v>
      </c>
      <c r="E38" s="4705">
        <f>D38</f>
        <v>515</v>
      </c>
      <c r="F38" s="4705">
        <f t="shared" ref="F38:AO38" si="17">E38</f>
        <v>515</v>
      </c>
      <c r="G38" s="4705">
        <f t="shared" si="17"/>
        <v>515</v>
      </c>
      <c r="H38" s="4705">
        <f t="shared" si="17"/>
        <v>515</v>
      </c>
      <c r="I38" s="4705">
        <f t="shared" si="17"/>
        <v>515</v>
      </c>
      <c r="J38" s="4705">
        <f t="shared" si="17"/>
        <v>515</v>
      </c>
      <c r="K38" s="4705">
        <f t="shared" si="17"/>
        <v>515</v>
      </c>
      <c r="L38" s="4705">
        <f t="shared" si="17"/>
        <v>515</v>
      </c>
      <c r="M38" s="4705">
        <f t="shared" si="17"/>
        <v>515</v>
      </c>
      <c r="N38" s="4705">
        <f t="shared" si="17"/>
        <v>515</v>
      </c>
      <c r="O38" s="4705">
        <f t="shared" si="17"/>
        <v>515</v>
      </c>
      <c r="P38" s="4705">
        <f t="shared" si="17"/>
        <v>515</v>
      </c>
      <c r="Q38" s="4705">
        <f t="shared" si="17"/>
        <v>515</v>
      </c>
      <c r="R38" s="4705">
        <f t="shared" si="17"/>
        <v>515</v>
      </c>
      <c r="S38" s="4705">
        <f t="shared" si="17"/>
        <v>515</v>
      </c>
      <c r="T38" s="4705">
        <f t="shared" si="17"/>
        <v>515</v>
      </c>
      <c r="U38" s="4705">
        <f t="shared" si="17"/>
        <v>515</v>
      </c>
      <c r="V38" s="4705">
        <f t="shared" si="17"/>
        <v>515</v>
      </c>
      <c r="W38" s="4705">
        <f t="shared" si="17"/>
        <v>515</v>
      </c>
      <c r="X38" s="4705">
        <f t="shared" si="17"/>
        <v>515</v>
      </c>
      <c r="Y38" s="4705">
        <f t="shared" si="17"/>
        <v>515</v>
      </c>
      <c r="Z38" s="4705">
        <f t="shared" si="17"/>
        <v>515</v>
      </c>
      <c r="AA38" s="4705">
        <f t="shared" si="17"/>
        <v>515</v>
      </c>
      <c r="AB38" s="4705">
        <f t="shared" si="17"/>
        <v>515</v>
      </c>
      <c r="AC38" s="4705">
        <f t="shared" si="17"/>
        <v>515</v>
      </c>
      <c r="AD38" s="4705">
        <f t="shared" si="17"/>
        <v>515</v>
      </c>
      <c r="AE38" s="4705">
        <f t="shared" si="17"/>
        <v>515</v>
      </c>
      <c r="AF38" s="4705">
        <f t="shared" si="17"/>
        <v>515</v>
      </c>
      <c r="AG38" s="4705">
        <f t="shared" si="17"/>
        <v>515</v>
      </c>
      <c r="AH38" s="4705">
        <f t="shared" si="17"/>
        <v>515</v>
      </c>
      <c r="AI38" s="4705">
        <f t="shared" si="17"/>
        <v>515</v>
      </c>
      <c r="AJ38" s="4705">
        <f t="shared" si="17"/>
        <v>515</v>
      </c>
      <c r="AK38" s="4705">
        <f t="shared" si="17"/>
        <v>515</v>
      </c>
      <c r="AL38" s="4705">
        <f t="shared" si="17"/>
        <v>515</v>
      </c>
      <c r="AM38" s="4705">
        <f t="shared" si="17"/>
        <v>515</v>
      </c>
      <c r="AN38" s="4705">
        <f t="shared" si="17"/>
        <v>515</v>
      </c>
      <c r="AO38" s="4705">
        <f t="shared" si="17"/>
        <v>515</v>
      </c>
    </row>
    <row r="39" spans="3:48" ht="14.25" thickBot="1">
      <c r="C39" s="4702" t="s">
        <v>5044</v>
      </c>
      <c r="D39" s="4705">
        <f t="shared" ref="D39:AO39" ca="1" si="18">D21</f>
        <v>310</v>
      </c>
      <c r="E39" s="4705">
        <f t="shared" ca="1" si="18"/>
        <v>320</v>
      </c>
      <c r="F39" s="4705">
        <f t="shared" ca="1" si="18"/>
        <v>330</v>
      </c>
      <c r="G39" s="4705">
        <f t="shared" ca="1" si="18"/>
        <v>340</v>
      </c>
      <c r="H39" s="4705">
        <f t="shared" ca="1" si="18"/>
        <v>350</v>
      </c>
      <c r="I39" s="4705">
        <f t="shared" ca="1" si="18"/>
        <v>360</v>
      </c>
      <c r="J39" s="4705">
        <f t="shared" ca="1" si="18"/>
        <v>370</v>
      </c>
      <c r="K39" s="4705">
        <f t="shared" ca="1" si="18"/>
        <v>380</v>
      </c>
      <c r="L39" s="4705">
        <f t="shared" ca="1" si="18"/>
        <v>390</v>
      </c>
      <c r="M39" s="4705">
        <f t="shared" ca="1" si="18"/>
        <v>394</v>
      </c>
      <c r="N39" s="4705">
        <f t="shared" ca="1" si="18"/>
        <v>398</v>
      </c>
      <c r="O39" s="4705">
        <f t="shared" ca="1" si="18"/>
        <v>402</v>
      </c>
      <c r="P39" s="4705">
        <f t="shared" ca="1" si="18"/>
        <v>406</v>
      </c>
      <c r="Q39" s="4705">
        <f t="shared" ca="1" si="18"/>
        <v>410</v>
      </c>
      <c r="R39" s="4705">
        <f t="shared" ca="1" si="18"/>
        <v>414</v>
      </c>
      <c r="S39" s="4705">
        <f t="shared" ca="1" si="18"/>
        <v>418</v>
      </c>
      <c r="T39" s="4705">
        <f t="shared" ca="1" si="18"/>
        <v>422</v>
      </c>
      <c r="U39" s="4705">
        <f t="shared" ca="1" si="18"/>
        <v>426</v>
      </c>
      <c r="V39" s="4705">
        <f t="shared" ca="1" si="18"/>
        <v>430</v>
      </c>
      <c r="W39" s="4705">
        <f t="shared" ca="1" si="18"/>
        <v>434</v>
      </c>
      <c r="X39" s="4705">
        <f t="shared" ca="1" si="18"/>
        <v>438</v>
      </c>
      <c r="Y39" s="4705">
        <f t="shared" ca="1" si="18"/>
        <v>442</v>
      </c>
      <c r="Z39" s="4705">
        <f t="shared" ca="1" si="18"/>
        <v>446</v>
      </c>
      <c r="AA39" s="4705">
        <f t="shared" ca="1" si="18"/>
        <v>450</v>
      </c>
      <c r="AB39" s="4705">
        <f t="shared" ca="1" si="18"/>
        <v>454</v>
      </c>
      <c r="AC39" s="4705">
        <f t="shared" ca="1" si="18"/>
        <v>458</v>
      </c>
      <c r="AD39" s="4705">
        <f t="shared" ca="1" si="18"/>
        <v>462</v>
      </c>
      <c r="AE39" s="4705">
        <f t="shared" ca="1" si="18"/>
        <v>466</v>
      </c>
      <c r="AF39" s="4705">
        <f t="shared" ca="1" si="18"/>
        <v>470</v>
      </c>
      <c r="AG39" s="4705">
        <f t="shared" ca="1" si="18"/>
        <v>474</v>
      </c>
      <c r="AH39" s="4705">
        <f t="shared" ca="1" si="18"/>
        <v>478</v>
      </c>
      <c r="AI39" s="4705">
        <f t="shared" ca="1" si="18"/>
        <v>482</v>
      </c>
      <c r="AJ39" s="4705">
        <f t="shared" ca="1" si="18"/>
        <v>486</v>
      </c>
      <c r="AK39" s="4705">
        <f t="shared" ca="1" si="18"/>
        <v>490</v>
      </c>
      <c r="AL39" s="4705">
        <f t="shared" ca="1" si="18"/>
        <v>494</v>
      </c>
      <c r="AM39" s="4705">
        <f t="shared" ca="1" si="18"/>
        <v>498</v>
      </c>
      <c r="AN39" s="4705">
        <f t="shared" ca="1" si="18"/>
        <v>502</v>
      </c>
      <c r="AO39" s="4705">
        <f t="shared" ca="1" si="18"/>
        <v>506</v>
      </c>
    </row>
    <row r="40" spans="3:48" ht="14.25" thickBot="1">
      <c r="C40" s="4702" t="s">
        <v>5040</v>
      </c>
      <c r="D40" s="4706">
        <f t="shared" ref="D40:AO40" ca="1" si="19">D39/D38</f>
        <v>0.60194174757281549</v>
      </c>
      <c r="E40" s="4706">
        <f t="shared" ca="1" si="19"/>
        <v>0.62135922330097082</v>
      </c>
      <c r="F40" s="4706">
        <f t="shared" ca="1" si="19"/>
        <v>0.64077669902912626</v>
      </c>
      <c r="G40" s="4706">
        <f t="shared" ca="1" si="19"/>
        <v>0.66019417475728159</v>
      </c>
      <c r="H40" s="4706">
        <f t="shared" ca="1" si="19"/>
        <v>0.67961165048543692</v>
      </c>
      <c r="I40" s="4706">
        <f t="shared" ca="1" si="19"/>
        <v>0.69902912621359226</v>
      </c>
      <c r="J40" s="4706">
        <f t="shared" ca="1" si="19"/>
        <v>0.71844660194174759</v>
      </c>
      <c r="K40" s="4706">
        <f t="shared" ca="1" si="19"/>
        <v>0.73786407766990292</v>
      </c>
      <c r="L40" s="4706">
        <f t="shared" ca="1" si="19"/>
        <v>0.75728155339805825</v>
      </c>
      <c r="M40" s="4706">
        <f t="shared" ca="1" si="19"/>
        <v>0.7650485436893204</v>
      </c>
      <c r="N40" s="4706">
        <f t="shared" ca="1" si="19"/>
        <v>0.77281553398058256</v>
      </c>
      <c r="O40" s="4706">
        <f t="shared" ca="1" si="19"/>
        <v>0.78058252427184471</v>
      </c>
      <c r="P40" s="4706">
        <f t="shared" ca="1" si="19"/>
        <v>0.78834951456310676</v>
      </c>
      <c r="Q40" s="4706">
        <f t="shared" ca="1" si="19"/>
        <v>0.79611650485436891</v>
      </c>
      <c r="R40" s="4706">
        <f t="shared" ca="1" si="19"/>
        <v>0.80388349514563107</v>
      </c>
      <c r="S40" s="4706">
        <f t="shared" ca="1" si="19"/>
        <v>0.81165048543689322</v>
      </c>
      <c r="T40" s="4706">
        <f t="shared" ca="1" si="19"/>
        <v>0.81941747572815538</v>
      </c>
      <c r="U40" s="4706">
        <f t="shared" ca="1" si="19"/>
        <v>0.82718446601941753</v>
      </c>
      <c r="V40" s="4706">
        <f t="shared" ca="1" si="19"/>
        <v>0.83495145631067957</v>
      </c>
      <c r="W40" s="4706">
        <f t="shared" ca="1" si="19"/>
        <v>0.84271844660194173</v>
      </c>
      <c r="X40" s="4706">
        <f t="shared" ca="1" si="19"/>
        <v>0.85048543689320388</v>
      </c>
      <c r="Y40" s="4706">
        <f t="shared" ca="1" si="19"/>
        <v>0.85825242718446604</v>
      </c>
      <c r="Z40" s="4706">
        <f t="shared" ca="1" si="19"/>
        <v>0.86601941747572819</v>
      </c>
      <c r="AA40" s="4706">
        <f t="shared" ca="1" si="19"/>
        <v>0.87378640776699024</v>
      </c>
      <c r="AB40" s="4706">
        <f t="shared" ca="1" si="19"/>
        <v>0.88155339805825239</v>
      </c>
      <c r="AC40" s="4706">
        <f t="shared" ca="1" si="19"/>
        <v>0.88932038834951455</v>
      </c>
      <c r="AD40" s="4706">
        <f t="shared" ca="1" si="19"/>
        <v>0.8970873786407767</v>
      </c>
      <c r="AE40" s="4706">
        <f t="shared" ca="1" si="19"/>
        <v>0.90485436893203886</v>
      </c>
      <c r="AF40" s="4706">
        <f t="shared" ca="1" si="19"/>
        <v>0.91262135922330101</v>
      </c>
      <c r="AG40" s="4706">
        <f t="shared" ca="1" si="19"/>
        <v>0.92038834951456305</v>
      </c>
      <c r="AH40" s="4706">
        <f t="shared" ca="1" si="19"/>
        <v>0.92815533980582521</v>
      </c>
      <c r="AI40" s="4706">
        <f t="shared" ca="1" si="19"/>
        <v>0.93592233009708736</v>
      </c>
      <c r="AJ40" s="4706">
        <f t="shared" ca="1" si="19"/>
        <v>0.94368932038834952</v>
      </c>
      <c r="AK40" s="4706">
        <f t="shared" ca="1" si="19"/>
        <v>0.95145631067961167</v>
      </c>
      <c r="AL40" s="4706">
        <f t="shared" ca="1" si="19"/>
        <v>0.95922330097087383</v>
      </c>
      <c r="AM40" s="4706">
        <f t="shared" ca="1" si="19"/>
        <v>0.96699029126213587</v>
      </c>
      <c r="AN40" s="4706">
        <f t="shared" ca="1" si="19"/>
        <v>0.97475728155339803</v>
      </c>
      <c r="AO40" s="4706">
        <f t="shared" ca="1" si="19"/>
        <v>0.98252427184466018</v>
      </c>
    </row>
    <row r="41" spans="3:48">
      <c r="D41" s="16"/>
      <c r="E41" s="16"/>
      <c r="F41" s="16"/>
      <c r="G41" s="16"/>
      <c r="H41" s="16"/>
      <c r="I41" s="16"/>
      <c r="J41" s="16"/>
      <c r="K41" s="16"/>
      <c r="L41" s="16"/>
      <c r="M41" s="16"/>
    </row>
    <row r="42" spans="3:48">
      <c r="D42" s="16"/>
      <c r="E42" s="16"/>
      <c r="F42" s="16"/>
      <c r="G42" s="16"/>
      <c r="H42" s="16"/>
      <c r="I42" s="16"/>
      <c r="J42" s="16"/>
      <c r="K42" s="16"/>
      <c r="L42" s="16"/>
      <c r="M42" s="16"/>
    </row>
    <row r="43" spans="3:48">
      <c r="D43" s="16"/>
      <c r="E43" s="16"/>
      <c r="F43" s="16"/>
      <c r="G43" s="16"/>
      <c r="H43" s="16"/>
      <c r="I43" s="16"/>
      <c r="J43" s="16"/>
      <c r="K43" s="16"/>
      <c r="L43" s="16"/>
      <c r="M43" s="16"/>
    </row>
    <row r="44" spans="3:48"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3:48">
      <c r="D45" s="16"/>
      <c r="E45" s="16"/>
      <c r="F45" s="16"/>
      <c r="G45" s="16"/>
      <c r="H45" s="16"/>
      <c r="I45" s="16"/>
      <c r="J45" s="16"/>
      <c r="K45" s="16"/>
      <c r="L45" s="16"/>
      <c r="M45" s="16"/>
    </row>
    <row r="46" spans="3:48">
      <c r="D46" s="16"/>
      <c r="E46" s="16"/>
      <c r="F46" s="16"/>
      <c r="G46" s="16"/>
      <c r="H46" s="16"/>
      <c r="I46" s="16"/>
      <c r="J46" s="16"/>
      <c r="K46" s="16"/>
      <c r="L46" s="16"/>
      <c r="M46" s="16"/>
    </row>
    <row r="47" spans="3:48">
      <c r="D47" s="16"/>
      <c r="E47" s="16"/>
      <c r="F47" s="16"/>
      <c r="G47" s="16"/>
      <c r="H47" s="16"/>
      <c r="I47" s="16"/>
      <c r="J47" s="16"/>
      <c r="K47" s="16"/>
      <c r="L47" s="16"/>
      <c r="M47" s="16"/>
    </row>
    <row r="48" spans="3:48">
      <c r="D48" s="16"/>
      <c r="E48" s="16"/>
      <c r="F48" s="16"/>
      <c r="G48" s="16"/>
      <c r="H48" s="16"/>
      <c r="I48" s="16"/>
      <c r="J48" s="16"/>
      <c r="K48" s="16"/>
      <c r="L48" s="16"/>
      <c r="M48" s="16"/>
    </row>
    <row r="49" spans="3:17">
      <c r="D49" s="16"/>
      <c r="E49" s="16"/>
      <c r="F49" s="16"/>
      <c r="G49" s="16"/>
      <c r="H49" s="16"/>
      <c r="I49" s="16"/>
      <c r="J49" s="16"/>
      <c r="K49" s="16"/>
      <c r="L49" s="16"/>
      <c r="M49" s="16"/>
    </row>
    <row r="50" spans="3:17"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3:17">
      <c r="D51" s="16"/>
      <c r="E51" s="16"/>
      <c r="F51" s="16"/>
      <c r="G51" s="16"/>
      <c r="H51" s="16"/>
      <c r="I51" s="16"/>
      <c r="J51" s="16"/>
      <c r="K51" s="16"/>
      <c r="L51" s="16"/>
      <c r="M51" s="16"/>
    </row>
    <row r="52" spans="3:17">
      <c r="D52" s="16"/>
      <c r="E52" s="16"/>
      <c r="F52" s="16"/>
      <c r="G52" s="16"/>
      <c r="H52" s="16"/>
      <c r="I52" s="16"/>
      <c r="J52" s="16"/>
      <c r="K52" s="16"/>
      <c r="L52" s="16"/>
      <c r="M52" s="16"/>
    </row>
    <row r="53" spans="3:17">
      <c r="D53" s="16"/>
      <c r="E53" s="16"/>
      <c r="F53" s="16"/>
      <c r="G53" s="16"/>
      <c r="H53" s="16"/>
      <c r="I53" s="16"/>
      <c r="J53" s="16"/>
      <c r="K53" s="16"/>
      <c r="L53" s="16"/>
      <c r="M53" s="16"/>
    </row>
    <row r="56" spans="3:17">
      <c r="C56" s="498" t="s">
        <v>5022</v>
      </c>
    </row>
    <row r="58" spans="3:17">
      <c r="C58" s="498" t="s">
        <v>5026</v>
      </c>
    </row>
    <row r="59" spans="3:17" ht="14.25" thickBot="1">
      <c r="D59" s="4694"/>
      <c r="E59">
        <v>1</v>
      </c>
      <c r="F59">
        <f>E59+1</f>
        <v>2</v>
      </c>
      <c r="G59">
        <f t="shared" ref="G59:P59" si="20">F59+1</f>
        <v>3</v>
      </c>
      <c r="H59">
        <f t="shared" si="20"/>
        <v>4</v>
      </c>
      <c r="I59">
        <f t="shared" si="20"/>
        <v>5</v>
      </c>
      <c r="J59">
        <f t="shared" si="20"/>
        <v>6</v>
      </c>
      <c r="K59">
        <f t="shared" si="20"/>
        <v>7</v>
      </c>
      <c r="L59">
        <f t="shared" si="20"/>
        <v>8</v>
      </c>
      <c r="M59">
        <f t="shared" si="20"/>
        <v>9</v>
      </c>
      <c r="N59">
        <f t="shared" si="20"/>
        <v>10</v>
      </c>
      <c r="O59">
        <f t="shared" si="20"/>
        <v>11</v>
      </c>
      <c r="P59">
        <f t="shared" si="20"/>
        <v>12</v>
      </c>
    </row>
    <row r="60" spans="3:17" ht="14.25" thickBot="1">
      <c r="C60" s="4707" t="s">
        <v>48</v>
      </c>
      <c r="D60" s="4707">
        <f t="shared" ref="D60:E60" si="21">E60-1</f>
        <v>2009</v>
      </c>
      <c r="E60" s="4708">
        <f t="shared" si="21"/>
        <v>2010</v>
      </c>
      <c r="F60" s="4708">
        <f t="shared" ref="F60" si="22">G60-1</f>
        <v>2011</v>
      </c>
      <c r="G60" s="4708">
        <f t="shared" ref="G60:I60" si="23">H60-1</f>
        <v>2012</v>
      </c>
      <c r="H60" s="4708">
        <f t="shared" si="23"/>
        <v>2013</v>
      </c>
      <c r="I60" s="4708">
        <f t="shared" si="23"/>
        <v>2014</v>
      </c>
      <c r="J60" s="4708">
        <f t="shared" ref="J60:L60" si="24">K60-1</f>
        <v>2015</v>
      </c>
      <c r="K60" s="4708">
        <f t="shared" si="24"/>
        <v>2016</v>
      </c>
      <c r="L60" s="4708">
        <f t="shared" si="24"/>
        <v>2017</v>
      </c>
      <c r="M60" s="4708">
        <f>N60-1</f>
        <v>2018</v>
      </c>
      <c r="N60" s="4708">
        <v>2019</v>
      </c>
      <c r="O60" s="4708">
        <v>2020</v>
      </c>
      <c r="P60" s="4708">
        <v>2021</v>
      </c>
      <c r="Q60" s="4707" t="s">
        <v>5023</v>
      </c>
    </row>
    <row r="61" spans="3:17" ht="14.25" thickBot="1">
      <c r="C61" s="4709" t="s">
        <v>5028</v>
      </c>
      <c r="D61" s="4711">
        <f>SUMIFS(매출!$6:$6,매출!$3:$3,report!D60)</f>
        <v>52668.475149541198</v>
      </c>
      <c r="E61" s="1863">
        <f>SUMIFS(매출!$6:$6,매출!$3:$3,report!E60)</f>
        <v>54975.947368143126</v>
      </c>
      <c r="F61" s="1863">
        <f>SUMIFS(매출!$6:$6,매출!$3:$3,report!F60)</f>
        <v>56515.332944729314</v>
      </c>
      <c r="G61" s="1863">
        <f>SUMIFS(매출!$6:$6,매출!$3:$3,report!G60)</f>
        <v>56438.818666376581</v>
      </c>
      <c r="H61" s="1863">
        <f>SUMIFS(매출!$6:$6,매출!$3:$3,report!H60)</f>
        <v>56053.313420951097</v>
      </c>
      <c r="I61" s="1863">
        <f>SUMIFS(매출!$6:$6,매출!$3:$3,report!I60)</f>
        <v>54861.886966696598</v>
      </c>
      <c r="J61" s="1863">
        <f>SUMIFS(매출!$6:$6,매출!$3:$3,report!J60)</f>
        <v>55022.012235883965</v>
      </c>
      <c r="K61" s="1863">
        <f>SUMIFS(매출!$6:$6,매출!$3:$3,report!K60)</f>
        <v>56704.340141398272</v>
      </c>
      <c r="L61" s="1863">
        <f>SUMIFS(매출!$6:$6,매출!$3:$3,report!L60)</f>
        <v>59238</v>
      </c>
      <c r="M61" s="1863">
        <f>SUMIFS(매출!$6:$6,매출!$3:$3,report!M60)</f>
        <v>59871</v>
      </c>
      <c r="N61" s="1863">
        <f>SUMIFS(매출!$6:$6,매출!$3:$3,report!N60)</f>
        <v>63088</v>
      </c>
      <c r="O61" s="1863">
        <f>SUMIFS(매출!$6:$6,매출!$3:$3,report!O60)</f>
        <v>64445.303920825922</v>
      </c>
      <c r="P61" s="1863">
        <f>SUMIFS(매출!$6:$6,매출!$3:$3,report!P60)</f>
        <v>66843.558546095228</v>
      </c>
      <c r="Q61" s="4712" cm="1">
        <f t="array" ref="Q61">[1]!cagr(D61,P61,P59)</f>
        <v>2.0060040027124026E-2</v>
      </c>
    </row>
    <row r="62" spans="3:17" ht="14.25" thickBot="1">
      <c r="C62" s="4709" t="s">
        <v>5016</v>
      </c>
      <c r="E62" s="1859">
        <f>E61/D61-1</f>
        <v>4.3811259240946976E-2</v>
      </c>
      <c r="F62" s="1859">
        <f t="shared" ref="F62:P62" si="25">F61/E61-1</f>
        <v>2.8001074111152269E-2</v>
      </c>
      <c r="G62" s="1859">
        <f t="shared" si="25"/>
        <v>-1.3538676031080721E-3</v>
      </c>
      <c r="H62" s="1859">
        <f t="shared" si="25"/>
        <v>-6.8304981311585466E-3</v>
      </c>
      <c r="I62" s="1859">
        <f t="shared" si="25"/>
        <v>-2.125523687256603E-2</v>
      </c>
      <c r="J62" s="1859">
        <f t="shared" si="25"/>
        <v>2.9186978071784608E-3</v>
      </c>
      <c r="K62" s="1859">
        <f t="shared" si="25"/>
        <v>3.0575543080867851E-2</v>
      </c>
      <c r="L62" s="1859">
        <f t="shared" si="25"/>
        <v>4.4681938847781044E-2</v>
      </c>
      <c r="M62" s="1859">
        <f t="shared" si="25"/>
        <v>1.0685708497923718E-2</v>
      </c>
      <c r="N62" s="1859">
        <f t="shared" si="25"/>
        <v>5.3732190877052277E-2</v>
      </c>
      <c r="O62" s="1859">
        <f t="shared" si="25"/>
        <v>2.1514454742992628E-2</v>
      </c>
      <c r="P62" s="1859">
        <f t="shared" si="25"/>
        <v>3.721379959997817E-2</v>
      </c>
      <c r="Q62" s="491">
        <f>D61*(1+Q61)^P59-P61</f>
        <v>0</v>
      </c>
    </row>
    <row r="64" spans="3:17">
      <c r="D64" s="491">
        <f>D61*(1+Q61)^P59-P61</f>
        <v>0</v>
      </c>
    </row>
    <row r="67" spans="3:10" ht="14.25" thickBot="1">
      <c r="C67" s="498" t="s">
        <v>5024</v>
      </c>
    </row>
    <row r="68" spans="3:10" ht="14.25" thickBot="1">
      <c r="C68" s="4707" t="s">
        <v>48</v>
      </c>
      <c r="D68" s="4708">
        <v>2019</v>
      </c>
      <c r="E68" s="4708">
        <v>2020</v>
      </c>
      <c r="F68" s="4708">
        <v>2021</v>
      </c>
      <c r="G68" s="4708" t="s">
        <v>5020</v>
      </c>
    </row>
    <row r="69" spans="3:10" ht="14.25" thickBot="1">
      <c r="C69" s="4709" t="s">
        <v>5028</v>
      </c>
      <c r="D69" s="1863">
        <f>N61</f>
        <v>63088</v>
      </c>
      <c r="E69" s="1863">
        <f>O61</f>
        <v>64445.303920825922</v>
      </c>
      <c r="F69" s="1863">
        <f>P61</f>
        <v>66843.558546095228</v>
      </c>
      <c r="G69" s="4710" cm="1">
        <f t="array" ref="G69">[1]!cagr(D69,F69,2)</f>
        <v>2.933419692064998E-2</v>
      </c>
      <c r="H69" s="491">
        <f>D69*(1+G69)^2-F69</f>
        <v>0</v>
      </c>
    </row>
    <row r="71" spans="3:10" ht="14.25" thickBot="1">
      <c r="C71" s="498" t="s">
        <v>5025</v>
      </c>
    </row>
    <row r="72" spans="3:10" ht="14.25" thickBot="1">
      <c r="C72" s="4707" t="s">
        <v>48</v>
      </c>
      <c r="D72" s="4708">
        <v>2017</v>
      </c>
      <c r="E72" s="4708">
        <v>2018</v>
      </c>
      <c r="F72" s="4708">
        <v>2019</v>
      </c>
      <c r="G72" s="4708">
        <v>2020</v>
      </c>
      <c r="H72" s="4708">
        <v>2021</v>
      </c>
      <c r="I72" s="4708" t="s">
        <v>5020</v>
      </c>
    </row>
    <row r="73" spans="3:10" ht="14.25" thickBot="1">
      <c r="C73" s="4709" t="s">
        <v>5028</v>
      </c>
      <c r="D73" s="1863">
        <f>L61</f>
        <v>59238</v>
      </c>
      <c r="E73" s="1863">
        <f>M61</f>
        <v>59871</v>
      </c>
      <c r="F73" s="1863">
        <f>N61</f>
        <v>63088</v>
      </c>
      <c r="G73" s="1863">
        <f>O61</f>
        <v>64445.303920825922</v>
      </c>
      <c r="H73" s="1863">
        <f>P61</f>
        <v>66843.558546095228</v>
      </c>
      <c r="I73" s="4710" cm="1">
        <f t="array" ref="I73">[1]!cagr(D73,H73,4)</f>
        <v>3.0658510516315518E-2</v>
      </c>
      <c r="J73" s="491">
        <f>D73*(1+I73)^4-H73</f>
        <v>0</v>
      </c>
    </row>
    <row r="74" spans="3:10">
      <c r="D74" s="1859">
        <f>D73/K61-1</f>
        <v>4.4681938847781044E-2</v>
      </c>
      <c r="E74" s="1859">
        <f>E73/D73-1</f>
        <v>1.0685708497923718E-2</v>
      </c>
      <c r="F74" s="1859">
        <f t="shared" ref="F74:H74" si="26">F73/E73-1</f>
        <v>5.3732190877052277E-2</v>
      </c>
      <c r="G74" s="1859">
        <f t="shared" si="26"/>
        <v>2.1514454742992628E-2</v>
      </c>
      <c r="H74" s="1859">
        <f t="shared" si="26"/>
        <v>3.721379959997817E-2</v>
      </c>
    </row>
    <row r="77" spans="3:10">
      <c r="C77" s="498" t="s">
        <v>5029</v>
      </c>
    </row>
    <row r="78" spans="3:10" ht="14.25" thickBot="1"/>
    <row r="79" spans="3:10" ht="14.25" thickBot="1">
      <c r="C79" s="4707" t="s">
        <v>48</v>
      </c>
      <c r="D79" s="4708">
        <v>2017</v>
      </c>
      <c r="E79" s="4708">
        <v>2018</v>
      </c>
      <c r="F79" s="4708">
        <v>2019</v>
      </c>
      <c r="G79" s="4708">
        <v>2020</v>
      </c>
      <c r="H79" s="4708">
        <v>2021</v>
      </c>
    </row>
    <row r="80" spans="3:10" ht="14.25" thickBot="1">
      <c r="C80" s="4709" t="s">
        <v>5028</v>
      </c>
      <c r="D80" s="1863">
        <f>D73</f>
        <v>59238</v>
      </c>
      <c r="E80" s="1863">
        <f t="shared" ref="E80:H80" si="27">E73</f>
        <v>59871</v>
      </c>
      <c r="F80" s="1863">
        <f t="shared" si="27"/>
        <v>63088</v>
      </c>
      <c r="G80" s="1863">
        <f t="shared" si="27"/>
        <v>64445.303920825922</v>
      </c>
      <c r="H80" s="1863">
        <f t="shared" si="27"/>
        <v>66843.558546095228</v>
      </c>
    </row>
    <row r="81" spans="3:41">
      <c r="C81" s="4713"/>
      <c r="D81" s="4714"/>
      <c r="E81" s="4714"/>
      <c r="F81" s="4714"/>
      <c r="G81" s="4714"/>
      <c r="H81" s="4714"/>
    </row>
    <row r="82" spans="3:41">
      <c r="C82" s="4713"/>
      <c r="D82" s="4714"/>
      <c r="E82" s="4714"/>
      <c r="F82" s="4640"/>
      <c r="G82" s="4714"/>
      <c r="H82" s="4714"/>
    </row>
    <row r="83" spans="3:41" ht="14.25" thickBot="1">
      <c r="C83" s="498" t="s">
        <v>5018</v>
      </c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3:41" ht="14.25" thickBot="1">
      <c r="C84" s="4700" t="s">
        <v>5013</v>
      </c>
      <c r="D84" s="4701">
        <v>2022</v>
      </c>
      <c r="E84" s="4701">
        <v>2023</v>
      </c>
      <c r="F84" s="4701">
        <v>2024</v>
      </c>
      <c r="G84" s="4701">
        <v>2025</v>
      </c>
      <c r="H84" s="4701">
        <v>2026</v>
      </c>
      <c r="I84" s="4701">
        <v>2027</v>
      </c>
      <c r="J84" s="4701">
        <v>2028</v>
      </c>
      <c r="K84" s="4701">
        <v>2029</v>
      </c>
      <c r="L84" s="4701">
        <v>2030</v>
      </c>
      <c r="M84" s="4701">
        <v>2031</v>
      </c>
      <c r="N84" s="498">
        <f t="shared" ref="N84:AO84" si="28">M84+1</f>
        <v>2032</v>
      </c>
      <c r="O84" s="498">
        <f t="shared" si="28"/>
        <v>2033</v>
      </c>
      <c r="P84" s="498">
        <f t="shared" si="28"/>
        <v>2034</v>
      </c>
      <c r="Q84" s="498">
        <f t="shared" si="28"/>
        <v>2035</v>
      </c>
      <c r="R84" s="498">
        <f t="shared" si="28"/>
        <v>2036</v>
      </c>
      <c r="S84" s="498">
        <f t="shared" si="28"/>
        <v>2037</v>
      </c>
      <c r="T84" s="498">
        <f t="shared" si="28"/>
        <v>2038</v>
      </c>
      <c r="U84" s="498">
        <f t="shared" si="28"/>
        <v>2039</v>
      </c>
      <c r="V84" s="498">
        <f t="shared" si="28"/>
        <v>2040</v>
      </c>
      <c r="W84" s="498">
        <f t="shared" si="28"/>
        <v>2041</v>
      </c>
      <c r="X84" s="498">
        <f t="shared" si="28"/>
        <v>2042</v>
      </c>
      <c r="Y84" s="498">
        <f t="shared" si="28"/>
        <v>2043</v>
      </c>
      <c r="Z84" s="498">
        <f t="shared" si="28"/>
        <v>2044</v>
      </c>
      <c r="AA84" s="498">
        <f t="shared" si="28"/>
        <v>2045</v>
      </c>
      <c r="AB84" s="498">
        <f t="shared" si="28"/>
        <v>2046</v>
      </c>
      <c r="AC84" s="498">
        <f t="shared" si="28"/>
        <v>2047</v>
      </c>
      <c r="AD84" s="498">
        <f t="shared" si="28"/>
        <v>2048</v>
      </c>
      <c r="AE84" s="498">
        <f t="shared" si="28"/>
        <v>2049</v>
      </c>
      <c r="AF84" s="498">
        <f t="shared" si="28"/>
        <v>2050</v>
      </c>
      <c r="AG84" s="498">
        <f t="shared" si="28"/>
        <v>2051</v>
      </c>
      <c r="AH84" s="498">
        <f t="shared" si="28"/>
        <v>2052</v>
      </c>
      <c r="AI84" s="498">
        <f t="shared" si="28"/>
        <v>2053</v>
      </c>
      <c r="AJ84" s="498">
        <f t="shared" si="28"/>
        <v>2054</v>
      </c>
      <c r="AK84" s="498">
        <f t="shared" si="28"/>
        <v>2055</v>
      </c>
      <c r="AL84" s="498">
        <f t="shared" si="28"/>
        <v>2056</v>
      </c>
      <c r="AM84" s="498">
        <f t="shared" si="28"/>
        <v>2057</v>
      </c>
      <c r="AN84" s="498">
        <f t="shared" si="28"/>
        <v>2058</v>
      </c>
      <c r="AO84" s="498">
        <f t="shared" si="28"/>
        <v>2059</v>
      </c>
    </row>
    <row r="85" spans="3:41" ht="14.25" thickBot="1">
      <c r="C85" s="4702" t="s">
        <v>5028</v>
      </c>
      <c r="D85" s="1863">
        <f>SUMIFS(매출!$6:$6,매출!$3:$3,D84)</f>
        <v>71388</v>
      </c>
      <c r="E85" s="1863">
        <f>SUMIFS(매출!$6:$6,매출!$3:$3,E84)</f>
        <v>73344.031200000012</v>
      </c>
      <c r="F85" s="1863">
        <f>SUMIFS(매출!$6:$6,매출!$3:$3,F84)</f>
        <v>75353.657654880022</v>
      </c>
      <c r="G85" s="1863">
        <f>SUMIFS(매출!$6:$6,매출!$3:$3,G84)</f>
        <v>75353.657654880022</v>
      </c>
      <c r="H85" s="1863">
        <f>SUMIFS(매출!$6:$6,매출!$3:$3,H84)</f>
        <v>75353.657654880022</v>
      </c>
      <c r="I85" s="1863">
        <f ca="1">SUMIFS(매출!$6:$6,매출!$3:$3,I84)</f>
        <v>77614.267384526422</v>
      </c>
      <c r="J85" s="1863">
        <f ca="1">SUMIFS(매출!$6:$6,매출!$3:$3,J84)</f>
        <v>77614.267384526422</v>
      </c>
      <c r="K85" s="1863">
        <f ca="1">SUMIFS(매출!$6:$6,매출!$3:$3,K84)</f>
        <v>77614.267384526422</v>
      </c>
      <c r="L85" s="1863">
        <f ca="1">SUMIFS(매출!$6:$6,매출!$3:$3,L84)</f>
        <v>79942.695406062223</v>
      </c>
      <c r="M85" s="1863">
        <f ca="1">SUMIFS(매출!$6:$6,매출!$3:$3,M84)</f>
        <v>79942.695406062223</v>
      </c>
      <c r="N85" s="498">
        <f ca="1">SUMIFS(매출!$6:$6,매출!$3:$3,N84)</f>
        <v>79942.695406062223</v>
      </c>
      <c r="O85" s="498">
        <f ca="1">SUMIFS(매출!$6:$6,매출!$3:$3,O84)</f>
        <v>82340.976268244092</v>
      </c>
      <c r="P85" s="498">
        <f ca="1">SUMIFS(매출!$6:$6,매출!$3:$3,P84)</f>
        <v>82340.976268244092</v>
      </c>
      <c r="Q85" s="498">
        <f ca="1">SUMIFS(매출!$6:$6,매출!$3:$3,Q84)</f>
        <v>82340.976268244092</v>
      </c>
      <c r="R85" s="498">
        <f ca="1">SUMIFS(매출!$6:$6,매출!$3:$3,R84)</f>
        <v>84811.205556291417</v>
      </c>
      <c r="S85" s="498">
        <f ca="1">SUMIFS(매출!$6:$6,매출!$3:$3,S84)</f>
        <v>84811.205556291417</v>
      </c>
      <c r="T85" s="498">
        <f ca="1">SUMIFS(매출!$6:$6,매출!$3:$3,T84)</f>
        <v>84811.205556291417</v>
      </c>
      <c r="U85" s="498">
        <f ca="1">SUMIFS(매출!$6:$6,매출!$3:$3,U84)</f>
        <v>87355.541722980168</v>
      </c>
      <c r="V85" s="498">
        <f ca="1">SUMIFS(매출!$6:$6,매출!$3:$3,V84)</f>
        <v>87355.541722980168</v>
      </c>
      <c r="W85" s="498">
        <f ca="1">SUMIFS(매출!$6:$6,매출!$3:$3,W84)</f>
        <v>87355.541722980168</v>
      </c>
      <c r="X85" s="498">
        <f ca="1">SUMIFS(매출!$6:$6,매출!$3:$3,X84)</f>
        <v>89976.207974669582</v>
      </c>
      <c r="Y85" s="498">
        <f ca="1">SUMIFS(매출!$6:$6,매출!$3:$3,Y84)</f>
        <v>89976.207974669582</v>
      </c>
      <c r="Z85" s="498">
        <f ca="1">SUMIFS(매출!$6:$6,매출!$3:$3,Z84)</f>
        <v>89976.207974669582</v>
      </c>
      <c r="AA85" s="498">
        <f ca="1">SUMIFS(매출!$6:$6,매출!$3:$3,AA84)</f>
        <v>92675.494213909667</v>
      </c>
      <c r="AB85" s="498">
        <f ca="1">SUMIFS(매출!$6:$6,매출!$3:$3,AB84)</f>
        <v>92675.494213909667</v>
      </c>
      <c r="AC85" s="498">
        <f ca="1">SUMIFS(매출!$6:$6,매출!$3:$3,AC84)</f>
        <v>92675.494213909667</v>
      </c>
      <c r="AD85" s="498">
        <f ca="1">SUMIFS(매출!$6:$6,매출!$3:$3,AD84)</f>
        <v>95455.759040326957</v>
      </c>
      <c r="AE85" s="498">
        <f ca="1">SUMIFS(매출!$6:$6,매출!$3:$3,AE84)</f>
        <v>95455.759040326957</v>
      </c>
      <c r="AF85" s="498">
        <f ca="1">SUMIFS(매출!$6:$6,매출!$3:$3,AF84)</f>
        <v>95455.759040326957</v>
      </c>
      <c r="AG85" s="498">
        <f ca="1">SUMIFS(매출!$6:$6,매출!$3:$3,AG84)</f>
        <v>98319.431811536764</v>
      </c>
      <c r="AH85" s="498">
        <f ca="1">SUMIFS(매출!$6:$6,매출!$3:$3,AH84)</f>
        <v>98319.431811536764</v>
      </c>
      <c r="AI85" s="498">
        <f ca="1">SUMIFS(매출!$6:$6,매출!$3:$3,AI84)</f>
        <v>98319.431811536764</v>
      </c>
      <c r="AJ85" s="498">
        <f ca="1">SUMIFS(매출!$6:$6,매출!$3:$3,AJ84)</f>
        <v>101269.01476588286</v>
      </c>
      <c r="AK85" s="498">
        <f ca="1">SUMIFS(매출!$6:$6,매출!$3:$3,AK84)</f>
        <v>101269.01476588286</v>
      </c>
      <c r="AL85" s="498">
        <f ca="1">SUMIFS(매출!$6:$6,매출!$3:$3,AL84)</f>
        <v>101269.01476588286</v>
      </c>
      <c r="AM85" s="498">
        <f ca="1">SUMIFS(매출!$6:$6,매출!$3:$3,AM84)</f>
        <v>104307.08520885935</v>
      </c>
      <c r="AN85" s="498">
        <f ca="1">SUMIFS(매출!$6:$6,매출!$3:$3,AN84)</f>
        <v>104307.08520885935</v>
      </c>
      <c r="AO85" s="498">
        <f ca="1">SUMIFS(매출!$6:$6,매출!$3:$3,AO84)</f>
        <v>104307.08520885935</v>
      </c>
    </row>
    <row r="86" spans="3:41" ht="14.25" thickBot="1">
      <c r="C86" s="4702" t="s">
        <v>5016</v>
      </c>
      <c r="D86" s="4706">
        <f>D85/H73-1</f>
        <v>6.7986228632201495E-2</v>
      </c>
      <c r="E86" s="4706">
        <f t="shared" ref="E86:M86" si="29">E85/D85-1</f>
        <v>2.7400000000000091E-2</v>
      </c>
      <c r="F86" s="4706">
        <f t="shared" si="29"/>
        <v>2.7400000000000091E-2</v>
      </c>
      <c r="G86" s="4706">
        <f t="shared" si="29"/>
        <v>0</v>
      </c>
      <c r="H86" s="4706">
        <f t="shared" si="29"/>
        <v>0</v>
      </c>
      <c r="I86" s="4706">
        <f t="shared" ca="1" si="29"/>
        <v>3.0000000000000027E-2</v>
      </c>
      <c r="J86" s="4706">
        <f t="shared" ca="1" si="29"/>
        <v>0</v>
      </c>
      <c r="K86" s="4706">
        <f t="shared" ca="1" si="29"/>
        <v>0</v>
      </c>
      <c r="L86" s="4706">
        <f t="shared" ca="1" si="29"/>
        <v>3.0000000000000027E-2</v>
      </c>
      <c r="M86" s="4706">
        <f t="shared" ca="1" si="29"/>
        <v>0</v>
      </c>
    </row>
    <row r="87" spans="3:41" ht="14.25" thickBot="1">
      <c r="C87" s="4700" t="s">
        <v>5013</v>
      </c>
      <c r="D87" s="4703">
        <v>2032</v>
      </c>
      <c r="E87" s="4703">
        <v>2033</v>
      </c>
      <c r="F87" s="4703">
        <v>2034</v>
      </c>
      <c r="G87" s="4703">
        <v>2035</v>
      </c>
      <c r="H87" s="4703">
        <v>2036</v>
      </c>
      <c r="I87" s="4703">
        <v>2037</v>
      </c>
      <c r="J87" s="4703">
        <v>2038</v>
      </c>
      <c r="K87" s="4703">
        <v>2039</v>
      </c>
      <c r="L87" s="4703">
        <v>2040</v>
      </c>
      <c r="M87" s="4703">
        <v>2041</v>
      </c>
    </row>
    <row r="88" spans="3:41" ht="14.25" thickBot="1">
      <c r="C88" s="4702" t="s">
        <v>5028</v>
      </c>
      <c r="D88" s="1863">
        <f ca="1">N85</f>
        <v>79942.695406062223</v>
      </c>
      <c r="E88" s="1863">
        <f t="shared" ref="E88" ca="1" si="30">O85</f>
        <v>82340.976268244092</v>
      </c>
      <c r="F88" s="1863">
        <f t="shared" ref="F88" ca="1" si="31">P85</f>
        <v>82340.976268244092</v>
      </c>
      <c r="G88" s="1863">
        <f t="shared" ref="G88" ca="1" si="32">Q85</f>
        <v>82340.976268244092</v>
      </c>
      <c r="H88" s="1863">
        <f t="shared" ref="H88" ca="1" si="33">R85</f>
        <v>84811.205556291417</v>
      </c>
      <c r="I88" s="1863">
        <f t="shared" ref="I88" ca="1" si="34">S85</f>
        <v>84811.205556291417</v>
      </c>
      <c r="J88" s="1863">
        <f t="shared" ref="J88" ca="1" si="35">T85</f>
        <v>84811.205556291417</v>
      </c>
      <c r="K88" s="1863">
        <f t="shared" ref="K88" ca="1" si="36">U85</f>
        <v>87355.541722980168</v>
      </c>
      <c r="L88" s="1863">
        <f t="shared" ref="L88" ca="1" si="37">V85</f>
        <v>87355.541722980168</v>
      </c>
      <c r="M88" s="1863">
        <f t="shared" ref="M88" ca="1" si="38">W85</f>
        <v>87355.541722980168</v>
      </c>
    </row>
    <row r="89" spans="3:41" ht="14.25" thickBot="1">
      <c r="C89" s="4702" t="s">
        <v>5016</v>
      </c>
      <c r="D89" s="4706">
        <f ca="1">D88/M85-1</f>
        <v>0</v>
      </c>
      <c r="E89" s="4706">
        <f t="shared" ref="E89:M89" ca="1" si="39">E88/D88-1</f>
        <v>3.0000000000000027E-2</v>
      </c>
      <c r="F89" s="4706">
        <f t="shared" ca="1" si="39"/>
        <v>0</v>
      </c>
      <c r="G89" s="4706">
        <f t="shared" ca="1" si="39"/>
        <v>0</v>
      </c>
      <c r="H89" s="4706">
        <f t="shared" ca="1" si="39"/>
        <v>3.0000000000000027E-2</v>
      </c>
      <c r="I89" s="4706">
        <f t="shared" ca="1" si="39"/>
        <v>0</v>
      </c>
      <c r="J89" s="4706">
        <f t="shared" ca="1" si="39"/>
        <v>0</v>
      </c>
      <c r="K89" s="4706">
        <f t="shared" ca="1" si="39"/>
        <v>3.0000000000000027E-2</v>
      </c>
      <c r="L89" s="4706">
        <f t="shared" ca="1" si="39"/>
        <v>0</v>
      </c>
      <c r="M89" s="4706">
        <f t="shared" ca="1" si="39"/>
        <v>0</v>
      </c>
    </row>
    <row r="90" spans="3:41" ht="14.25" thickBot="1">
      <c r="C90" s="4700" t="s">
        <v>5013</v>
      </c>
      <c r="D90" s="4703">
        <v>2042</v>
      </c>
      <c r="E90" s="4703">
        <v>2043</v>
      </c>
      <c r="F90" s="4703">
        <v>2044</v>
      </c>
      <c r="G90" s="4703">
        <v>2045</v>
      </c>
      <c r="H90" s="4703">
        <v>2046</v>
      </c>
      <c r="I90" s="4703">
        <v>2047</v>
      </c>
      <c r="J90" s="4703">
        <v>2048</v>
      </c>
      <c r="K90" s="4703">
        <v>2049</v>
      </c>
      <c r="L90" s="4703">
        <v>2050</v>
      </c>
      <c r="M90" s="4703">
        <v>2051</v>
      </c>
    </row>
    <row r="91" spans="3:41" ht="14.25" thickBot="1">
      <c r="C91" s="4702" t="s">
        <v>5028</v>
      </c>
      <c r="D91" s="1863">
        <f ca="1">X85</f>
        <v>89976.207974669582</v>
      </c>
      <c r="E91" s="1863">
        <f t="shared" ref="E91" ca="1" si="40">Y85</f>
        <v>89976.207974669582</v>
      </c>
      <c r="F91" s="1863">
        <f t="shared" ref="F91" ca="1" si="41">Z85</f>
        <v>89976.207974669582</v>
      </c>
      <c r="G91" s="1863">
        <f t="shared" ref="G91" ca="1" si="42">AA85</f>
        <v>92675.494213909667</v>
      </c>
      <c r="H91" s="1863">
        <f t="shared" ref="H91" ca="1" si="43">AB85</f>
        <v>92675.494213909667</v>
      </c>
      <c r="I91" s="1863">
        <f t="shared" ref="I91" ca="1" si="44">AC85</f>
        <v>92675.494213909667</v>
      </c>
      <c r="J91" s="1863">
        <f t="shared" ref="J91" ca="1" si="45">AD85</f>
        <v>95455.759040326957</v>
      </c>
      <c r="K91" s="1863">
        <f t="shared" ref="K91" ca="1" si="46">AE85</f>
        <v>95455.759040326957</v>
      </c>
      <c r="L91" s="1863">
        <f t="shared" ref="L91" ca="1" si="47">AF85</f>
        <v>95455.759040326957</v>
      </c>
      <c r="M91" s="1863">
        <f t="shared" ref="M91" ca="1" si="48">AG85</f>
        <v>98319.431811536764</v>
      </c>
    </row>
    <row r="92" spans="3:41" ht="14.25" thickBot="1">
      <c r="C92" s="4702" t="s">
        <v>5016</v>
      </c>
      <c r="D92" s="4706">
        <f ca="1">D91/M88-1</f>
        <v>3.0000000000000027E-2</v>
      </c>
      <c r="E92" s="4706">
        <f t="shared" ref="E92:M92" ca="1" si="49">E91/D91-1</f>
        <v>0</v>
      </c>
      <c r="F92" s="4706">
        <f t="shared" ca="1" si="49"/>
        <v>0</v>
      </c>
      <c r="G92" s="4706">
        <f t="shared" ca="1" si="49"/>
        <v>3.0000000000000027E-2</v>
      </c>
      <c r="H92" s="4706">
        <f t="shared" ca="1" si="49"/>
        <v>0</v>
      </c>
      <c r="I92" s="4706">
        <f t="shared" ca="1" si="49"/>
        <v>0</v>
      </c>
      <c r="J92" s="4706">
        <f t="shared" ca="1" si="49"/>
        <v>3.0000000000000027E-2</v>
      </c>
      <c r="K92" s="4706">
        <f t="shared" ca="1" si="49"/>
        <v>0</v>
      </c>
      <c r="L92" s="4706">
        <f t="shared" ca="1" si="49"/>
        <v>0</v>
      </c>
      <c r="M92" s="4706">
        <f t="shared" ca="1" si="49"/>
        <v>3.0000000000000027E-2</v>
      </c>
    </row>
    <row r="93" spans="3:41" ht="14.25" thickBot="1">
      <c r="C93" s="4700" t="s">
        <v>5013</v>
      </c>
      <c r="D93" s="4703">
        <v>2052</v>
      </c>
      <c r="E93" s="4703">
        <v>2053</v>
      </c>
      <c r="F93" s="4703">
        <v>2054</v>
      </c>
      <c r="G93" s="4703">
        <v>2055</v>
      </c>
      <c r="H93" s="4703">
        <v>2056</v>
      </c>
      <c r="I93" s="4703">
        <v>2057</v>
      </c>
      <c r="J93" s="4703">
        <v>2058</v>
      </c>
      <c r="K93" s="4703">
        <v>2059</v>
      </c>
      <c r="L93" s="4704"/>
      <c r="M93" s="4704"/>
    </row>
    <row r="94" spans="3:41" ht="14.25" thickBot="1">
      <c r="C94" s="4702" t="s">
        <v>5028</v>
      </c>
      <c r="D94" s="1863">
        <f t="shared" ref="D94:K94" ca="1" si="50">AH85</f>
        <v>98319.431811536764</v>
      </c>
      <c r="E94" s="1863">
        <f t="shared" ca="1" si="50"/>
        <v>98319.431811536764</v>
      </c>
      <c r="F94" s="1863">
        <f t="shared" ca="1" si="50"/>
        <v>101269.01476588286</v>
      </c>
      <c r="G94" s="1863">
        <f t="shared" ca="1" si="50"/>
        <v>101269.01476588286</v>
      </c>
      <c r="H94" s="1863">
        <f t="shared" ca="1" si="50"/>
        <v>101269.01476588286</v>
      </c>
      <c r="I94" s="1863">
        <f t="shared" ca="1" si="50"/>
        <v>104307.08520885935</v>
      </c>
      <c r="J94" s="1863">
        <f t="shared" ca="1" si="50"/>
        <v>104307.08520885935</v>
      </c>
      <c r="K94" s="1863">
        <f t="shared" ca="1" si="50"/>
        <v>104307.08520885935</v>
      </c>
      <c r="L94" s="4705"/>
      <c r="M94" s="4705"/>
    </row>
    <row r="95" spans="3:41" ht="14.25" thickBot="1">
      <c r="C95" s="4702" t="s">
        <v>5016</v>
      </c>
      <c r="D95" s="4706">
        <f ca="1">D94/M91-1</f>
        <v>0</v>
      </c>
      <c r="E95" s="4706">
        <f t="shared" ref="E95:K95" ca="1" si="51">E94/D94-1</f>
        <v>0</v>
      </c>
      <c r="F95" s="4706">
        <f t="shared" ca="1" si="51"/>
        <v>3.0000000000000027E-2</v>
      </c>
      <c r="G95" s="4706">
        <f t="shared" ca="1" si="51"/>
        <v>0</v>
      </c>
      <c r="H95" s="4706">
        <f t="shared" ca="1" si="51"/>
        <v>0</v>
      </c>
      <c r="I95" s="4706">
        <f t="shared" ca="1" si="51"/>
        <v>3.0000000000000027E-2</v>
      </c>
      <c r="J95" s="4706">
        <f t="shared" ca="1" si="51"/>
        <v>0</v>
      </c>
      <c r="K95" s="4706">
        <f t="shared" ca="1" si="51"/>
        <v>0</v>
      </c>
      <c r="L95" s="4706"/>
      <c r="M95" s="4706"/>
    </row>
    <row r="98" spans="2:7" ht="14.25" thickBot="1">
      <c r="B98" s="498" t="s">
        <v>5030</v>
      </c>
    </row>
    <row r="99" spans="2:7" ht="14.25" thickBot="1">
      <c r="D99" s="4707">
        <v>2018</v>
      </c>
      <c r="E99" s="4708">
        <v>2019</v>
      </c>
      <c r="F99" s="4708">
        <v>2020</v>
      </c>
      <c r="G99" s="4708">
        <v>2021</v>
      </c>
    </row>
    <row r="100" spans="2:7" ht="14.25" thickBot="1">
      <c r="C100" s="498" t="s">
        <v>5031</v>
      </c>
      <c r="D100" s="4711">
        <f>SUMIFS(MRG!65:65,MRG!3:3,report!D99)/10^6</f>
        <v>13656.974478239998</v>
      </c>
      <c r="E100" s="1863">
        <f>SUMIFS(MRG!65:65,MRG!3:3,report!E99)/10^6</f>
        <v>9342.5730196728837</v>
      </c>
      <c r="F100" s="1863">
        <f ca="1">SUMIFS(MRG!65:65,MRG!3:3,report!F99)/10^6</f>
        <v>9063.5823873885056</v>
      </c>
      <c r="G100" s="1863">
        <f ca="1">SUMIFS(MRG!65:65,MRG!3:3,report!G99)/10^6</f>
        <v>11280.835386677001</v>
      </c>
    </row>
    <row r="102" spans="2:7" ht="14.25" thickBot="1"/>
    <row r="103" spans="2:7" ht="14.25" thickBot="1">
      <c r="D103" s="4707">
        <v>2022</v>
      </c>
      <c r="E103" s="4708">
        <v>2023</v>
      </c>
      <c r="F103" s="4708">
        <v>2024</v>
      </c>
      <c r="G103" s="4708">
        <v>2025</v>
      </c>
    </row>
    <row r="104" spans="2:7" ht="14.25" thickBot="1">
      <c r="C104" s="498" t="s">
        <v>5032</v>
      </c>
      <c r="D104" s="4711">
        <f ca="1">SUMIFS(MRG!65:65,MRG!3:3,report!D103)/10^6</f>
        <v>11927.230313059994</v>
      </c>
      <c r="E104" s="1863">
        <f ca="1">SUMIFS(MRG!65:65,MRG!3:3,report!E103)/10^6</f>
        <v>11421.101101222435</v>
      </c>
      <c r="F104" s="1863">
        <f ca="1">SUMIFS(MRG!65:65,MRG!3:3,report!F103)/10^6</f>
        <v>4414.6385692324002</v>
      </c>
      <c r="G104" s="1863">
        <f>SUMIFS(MRG!65:65,MRG!3:3,report!G103)/10^6</f>
        <v>0</v>
      </c>
    </row>
    <row r="105" spans="2:7" ht="14.25" thickBot="1">
      <c r="C105" s="498" t="s">
        <v>5033</v>
      </c>
      <c r="D105" s="4711">
        <f>SUMIFS(매출!51:51,매출!33:33,report!D103)*100</f>
        <v>6000</v>
      </c>
      <c r="E105" s="4711">
        <f ca="1">SUMIFS(매출!51:51,매출!33:33,report!E103)*100</f>
        <v>17208.065699736999</v>
      </c>
      <c r="F105" s="4711">
        <f ca="1">SUMIFS(매출!51:51,매출!33:33,report!F103)*100</f>
        <v>11421.101101222435</v>
      </c>
      <c r="G105" s="4711">
        <f ca="1">SUMIFS(매출!51:51,매출!33:33,report!G103)*100</f>
        <v>4414.6385692323993</v>
      </c>
    </row>
    <row r="107" spans="2:7">
      <c r="B107" s="498" t="s">
        <v>5034</v>
      </c>
    </row>
    <row r="108" spans="2:7" ht="14.25" thickBot="1"/>
    <row r="109" spans="2:7" ht="14.25" thickBot="1">
      <c r="C109" s="4719"/>
      <c r="D109" s="4716" t="s">
        <v>251</v>
      </c>
      <c r="E109" s="4718" t="s">
        <v>5035</v>
      </c>
      <c r="F109" s="4717" t="s">
        <v>1256</v>
      </c>
    </row>
    <row r="110" spans="2:7" ht="14.25" thickBot="1">
      <c r="C110" s="4707">
        <v>2022</v>
      </c>
      <c r="D110" s="4715">
        <f ca="1">SUMIFS(비용!$5:$5,비용!$3:$3,$C110)*100</f>
        <v>20474.169147021697</v>
      </c>
      <c r="E110" s="4715">
        <f ca="1">SUMIFS(비용!$10:$10,비용!$3:$3,$C110)*100+SUMIFS(비용!$8:$8,비용!$3:$3,$C110)*100</f>
        <v>1929.5000000000002</v>
      </c>
      <c r="F110" s="4715">
        <f ca="1">SUMIFS('CF(Y)'!$24:$24,'CF(Y)'!$4:$4,report!C110)*100</f>
        <v>0</v>
      </c>
    </row>
    <row r="111" spans="2:7" ht="14.25" thickBot="1">
      <c r="C111" s="4707">
        <f>C110+1</f>
        <v>2023</v>
      </c>
      <c r="D111" s="4715">
        <f ca="1">SUMIFS(비용!$5:$5,비용!$3:$3,$C111)*100</f>
        <v>20879.578871252703</v>
      </c>
      <c r="E111" s="4715">
        <f ca="1">SUMIFS(비용!$10:$10,비용!$3:$3,$C111)*100+SUMIFS(비용!$8:$8,비용!$3:$3,$C111)*100</f>
        <v>0</v>
      </c>
      <c r="F111" s="4715">
        <f ca="1">SUMIFS('CF(Y)'!$24:$24,'CF(Y)'!$4:$4,report!C111)*100</f>
        <v>0</v>
      </c>
    </row>
    <row r="112" spans="2:7" ht="14.25" thickBot="1">
      <c r="C112" s="4707">
        <f t="shared" ref="C112:C147" si="52">C111+1</f>
        <v>2024</v>
      </c>
      <c r="D112" s="4715">
        <f ca="1">SUMIFS(비용!$5:$5,비용!$3:$3,$C112)*100</f>
        <v>21182.016455904075</v>
      </c>
      <c r="E112" s="4715">
        <f ca="1">SUMIFS(비용!$10:$10,비용!$3:$3,$C112)*100+SUMIFS(비용!$8:$8,비용!$3:$3,$C112)*100</f>
        <v>0</v>
      </c>
      <c r="F112" s="4715">
        <f ca="1">SUMIFS('CF(Y)'!$24:$24,'CF(Y)'!$4:$4,report!C112)*100</f>
        <v>0</v>
      </c>
    </row>
    <row r="113" spans="3:6" ht="14.25" thickBot="1">
      <c r="C113" s="4707">
        <f t="shared" si="52"/>
        <v>2025</v>
      </c>
      <c r="D113" s="4715">
        <f ca="1">SUMIFS(비용!$5:$5,비용!$3:$3,$C113)*100</f>
        <v>21576.781183631483</v>
      </c>
      <c r="E113" s="4715">
        <f ca="1">SUMIFS(비용!$10:$10,비용!$3:$3,$C113)*100+SUMIFS(비용!$8:$8,비용!$3:$3,$C113)*100</f>
        <v>312.18120299999998</v>
      </c>
      <c r="F113" s="4715">
        <f ca="1">SUMIFS('CF(Y)'!$24:$24,'CF(Y)'!$4:$4,report!C113)*100</f>
        <v>0</v>
      </c>
    </row>
    <row r="114" spans="3:6" ht="14.25" thickBot="1">
      <c r="C114" s="4707">
        <f t="shared" si="52"/>
        <v>2026</v>
      </c>
      <c r="D114" s="4715">
        <f ca="1">SUMIFS(비용!$5:$5,비용!$3:$3,$C114)*100</f>
        <v>21820.411225842152</v>
      </c>
      <c r="E114" s="4715">
        <f ca="1">SUMIFS(비용!$10:$10,비용!$3:$3,$C114)*100+SUMIFS(비용!$8:$8,비용!$3:$3,$C114)*100</f>
        <v>495.02573359709999</v>
      </c>
      <c r="F114" s="4715">
        <f ca="1">SUMIFS('CF(Y)'!$24:$24,'CF(Y)'!$4:$4,report!C114)*100</f>
        <v>0</v>
      </c>
    </row>
    <row r="115" spans="3:6" ht="14.25" thickBot="1">
      <c r="C115" s="4707">
        <f t="shared" si="52"/>
        <v>2027</v>
      </c>
      <c r="D115" s="4715">
        <f ca="1">SUMIFS(비용!$5:$5,비용!$3:$3,$C115)*100</f>
        <v>22258.931894341775</v>
      </c>
      <c r="E115" s="4715">
        <f ca="1">SUMIFS(비용!$10:$10,비용!$3:$3,$C115)*100+SUMIFS(비용!$8:$8,비용!$3:$3,$C115)*100</f>
        <v>1125.21135963706</v>
      </c>
      <c r="F115" s="4715">
        <f ca="1">SUMIFS('CF(Y)'!$24:$24,'CF(Y)'!$4:$4,report!C115)*100</f>
        <v>0</v>
      </c>
    </row>
    <row r="116" spans="3:6" ht="14.25" thickBot="1">
      <c r="C116" s="4707">
        <f t="shared" si="52"/>
        <v>2028</v>
      </c>
      <c r="D116" s="4715">
        <f ca="1">SUMIFS(비용!$5:$5,비용!$3:$3,$C116)*100</f>
        <v>22917.060771566106</v>
      </c>
      <c r="E116" s="4715">
        <f ca="1">SUMIFS(비용!$10:$10,비용!$3:$3,$C116)*100+SUMIFS(비용!$8:$8,비용!$3:$3,$C116)*100</f>
        <v>42.885414084280391</v>
      </c>
      <c r="F116" s="4715">
        <f ca="1">SUMIFS('CF(Y)'!$24:$24,'CF(Y)'!$4:$4,report!C116)*100</f>
        <v>0</v>
      </c>
    </row>
    <row r="117" spans="3:6" ht="14.25" thickBot="1">
      <c r="C117" s="4707">
        <f t="shared" si="52"/>
        <v>2029</v>
      </c>
      <c r="D117" s="4715">
        <f ca="1">SUMIFS(비용!$5:$5,비용!$3:$3,$C117)*100</f>
        <v>23483.641789365352</v>
      </c>
      <c r="E117" s="4715">
        <f ca="1">SUMIFS(비용!$10:$10,비용!$3:$3,$C117)*100+SUMIFS(비용!$8:$8,비용!$3:$3,$C117)*100</f>
        <v>2280.4962220527364</v>
      </c>
      <c r="F117" s="4715">
        <f ca="1">SUMIFS('CF(Y)'!$24:$24,'CF(Y)'!$4:$4,report!C117)*100</f>
        <v>0</v>
      </c>
    </row>
    <row r="118" spans="3:6" ht="14.25" thickBot="1">
      <c r="C118" s="4707">
        <f t="shared" si="52"/>
        <v>2030</v>
      </c>
      <c r="D118" s="4715">
        <f ca="1">SUMIFS(비용!$5:$5,비용!$3:$3,$C118)*100</f>
        <v>23806.183861730617</v>
      </c>
      <c r="E118" s="4715">
        <f ca="1">SUMIFS(비용!$10:$10,비용!$3:$3,$C118)*100+SUMIFS(비용!$8:$8,비용!$3:$3,$C118)*100</f>
        <v>2624.8446544424655</v>
      </c>
      <c r="F118" s="4715">
        <f ca="1">SUMIFS('CF(Y)'!$24:$24,'CF(Y)'!$4:$4,report!C118)*100</f>
        <v>0</v>
      </c>
    </row>
    <row r="119" spans="3:6" ht="14.25" thickBot="1">
      <c r="C119" s="4707">
        <f t="shared" si="52"/>
        <v>2031</v>
      </c>
      <c r="D119" s="4715">
        <f ca="1">SUMIFS(비용!$5:$5,비용!$3:$3,$C119)*100</f>
        <v>24227.932279896886</v>
      </c>
      <c r="E119" s="4715">
        <f ca="1">SUMIFS(비용!$10:$10,비용!$3:$3,$C119)*100+SUMIFS(비용!$8:$8,비용!$3:$3,$C119)*100</f>
        <v>4496.6515632389155</v>
      </c>
      <c r="F119" s="4715">
        <f ca="1">SUMIFS('CF(Y)'!$24:$24,'CF(Y)'!$4:$4,report!C119)*100</f>
        <v>0</v>
      </c>
    </row>
    <row r="120" spans="3:6" ht="14.25" thickBot="1">
      <c r="C120" s="4707">
        <f t="shared" si="52"/>
        <v>2032</v>
      </c>
      <c r="D120" s="4715">
        <f ca="1">SUMIFS(비용!$5:$5,비용!$3:$3,$C120)*100</f>
        <v>24645.949208584727</v>
      </c>
      <c r="E120" s="4715">
        <f ca="1">SUMIFS(비용!$10:$10,비용!$3:$3,$C120)*100+SUMIFS(비용!$8:$8,비용!$3:$3,$C120)*100</f>
        <v>3117.1773605828948</v>
      </c>
      <c r="F120" s="4715">
        <f ca="1">SUMIFS('CF(Y)'!$24:$24,'CF(Y)'!$4:$4,report!C120)*100</f>
        <v>0</v>
      </c>
    </row>
    <row r="121" spans="3:6" ht="14.25" thickBot="1">
      <c r="C121" s="4707">
        <f t="shared" si="52"/>
        <v>2033</v>
      </c>
      <c r="D121" s="4715">
        <f ca="1">SUMIFS(비용!$5:$5,비용!$3:$3,$C121)*100</f>
        <v>25122.741712151823</v>
      </c>
      <c r="E121" s="4715">
        <f ca="1">SUMIFS(비용!$10:$10,비용!$3:$3,$C121)*100+SUMIFS(비용!$8:$8,비용!$3:$3,$C121)*100</f>
        <v>90.146002410557585</v>
      </c>
      <c r="F121" s="4715">
        <f ca="1">SUMIFS('CF(Y)'!$24:$24,'CF(Y)'!$4:$4,report!C121)*100</f>
        <v>0</v>
      </c>
    </row>
    <row r="122" spans="3:6" ht="14.25" thickBot="1">
      <c r="C122" s="4707">
        <f t="shared" si="52"/>
        <v>2034</v>
      </c>
      <c r="D122" s="4715">
        <f ca="1">SUMIFS(비용!$5:$5,비용!$3:$3,$C122)*100</f>
        <v>25341.90253925632</v>
      </c>
      <c r="E122" s="4715">
        <f ca="1">SUMIFS(비용!$10:$10,비용!$3:$3,$C122)*100+SUMIFS(비용!$8:$8,비용!$3:$3,$C122)*100</f>
        <v>3414.2798412998686</v>
      </c>
      <c r="F122" s="4715">
        <f ca="1">SUMIFS('CF(Y)'!$24:$24,'CF(Y)'!$4:$4,report!C122)*100</f>
        <v>0</v>
      </c>
    </row>
    <row r="123" spans="3:6" ht="14.25" thickBot="1">
      <c r="C123" s="4707">
        <f t="shared" si="52"/>
        <v>2035</v>
      </c>
      <c r="D123" s="4715">
        <f ca="1">SUMIFS(비용!$5:$5,비용!$3:$3,$C123)*100</f>
        <v>25778.866531306248</v>
      </c>
      <c r="E123" s="4715">
        <f ca="1">SUMIFS(비용!$10:$10,비용!$3:$3,$C123)*100+SUMIFS(비용!$8:$8,비용!$3:$3,$C123)*100</f>
        <v>4712.8442742742518</v>
      </c>
      <c r="F123" s="4715">
        <f ca="1">SUMIFS('CF(Y)'!$24:$24,'CF(Y)'!$4:$4,report!C123)*100</f>
        <v>0</v>
      </c>
    </row>
    <row r="124" spans="3:6" ht="14.25" thickBot="1">
      <c r="C124" s="4707">
        <f t="shared" si="52"/>
        <v>2036</v>
      </c>
      <c r="D124" s="4715">
        <f ca="1">SUMIFS(비용!$5:$5,비용!$3:$3,$C124)*100</f>
        <v>26038.30283682837</v>
      </c>
      <c r="E124" s="4715">
        <f ca="1">SUMIFS(비용!$10:$10,비용!$3:$3,$C124)*100+SUMIFS(비용!$8:$8,비용!$3:$3,$C124)*100</f>
        <v>6023.9892768656337</v>
      </c>
      <c r="F124" s="4715">
        <f ca="1">SUMIFS('CF(Y)'!$24:$24,'CF(Y)'!$4:$4,report!C124)*100</f>
        <v>0</v>
      </c>
    </row>
    <row r="125" spans="3:6" ht="14.25" thickBot="1">
      <c r="C125" s="4707">
        <f t="shared" si="52"/>
        <v>2037</v>
      </c>
      <c r="D125" s="4715">
        <f ca="1">SUMIFS(비용!$5:$5,비용!$3:$3,$C125)*100</f>
        <v>26493.440291912833</v>
      </c>
      <c r="E125" s="4715">
        <f ca="1">SUMIFS(비용!$10:$10,비용!$3:$3,$C125)*100+SUMIFS(비용!$8:$8,비용!$3:$3,$C125)*100</f>
        <v>2389.715278354498</v>
      </c>
      <c r="F125" s="4715">
        <f ca="1">SUMIFS('CF(Y)'!$24:$24,'CF(Y)'!$4:$4,report!C125)*100</f>
        <v>0</v>
      </c>
    </row>
    <row r="126" spans="3:6" ht="14.25" thickBot="1">
      <c r="C126" s="4707">
        <f t="shared" si="52"/>
        <v>2038</v>
      </c>
      <c r="D126" s="4715">
        <f ca="1">SUMIFS(비용!$5:$5,비용!$3:$3,$C126)*100</f>
        <v>26768.117496966381</v>
      </c>
      <c r="E126" s="4715">
        <f ca="1">SUMIFS(비용!$10:$10,비용!$3:$3,$C126)*100+SUMIFS(비용!$8:$8,비용!$3:$3,$C126)*100</f>
        <v>6253.1273976490993</v>
      </c>
      <c r="F126" s="4715">
        <f ca="1">SUMIFS('CF(Y)'!$24:$24,'CF(Y)'!$4:$4,report!C126)*100</f>
        <v>0</v>
      </c>
    </row>
    <row r="127" spans="3:6" ht="14.25" thickBot="1">
      <c r="C127" s="4707">
        <f t="shared" si="52"/>
        <v>2039</v>
      </c>
      <c r="D127" s="4715">
        <f ca="1">SUMIFS(비용!$5:$5,비용!$3:$3,$C127)*100</f>
        <v>27247.313996075871</v>
      </c>
      <c r="E127" s="4715">
        <f ca="1">SUMIFS(비용!$10:$10,비용!$3:$3,$C127)*100+SUMIFS(비용!$8:$8,비용!$3:$3,$C127)*100</f>
        <v>14487.140151779045</v>
      </c>
      <c r="F127" s="4715">
        <f ca="1">SUMIFS('CF(Y)'!$24:$24,'CF(Y)'!$4:$4,report!C127)*100</f>
        <v>0</v>
      </c>
    </row>
    <row r="128" spans="3:6" ht="14.25" thickBot="1">
      <c r="C128" s="4707">
        <f t="shared" si="52"/>
        <v>2040</v>
      </c>
      <c r="D128" s="4715">
        <f ca="1">SUMIFS(비용!$5:$5,비용!$3:$3,$C128)*100</f>
        <v>27561.611440473287</v>
      </c>
      <c r="E128" s="4715">
        <f ca="1">SUMIFS(비용!$10:$10,비용!$3:$3,$C128)*100+SUMIFS(비용!$8:$8,비용!$3:$3,$C128)*100</f>
        <v>5491.4592342410724</v>
      </c>
      <c r="F128" s="4715">
        <f ca="1">SUMIFS('CF(Y)'!$24:$24,'CF(Y)'!$4:$4,report!C128)*100</f>
        <v>0</v>
      </c>
    </row>
    <row r="129" spans="3:6" ht="14.25" thickBot="1">
      <c r="C129" s="4707">
        <f t="shared" si="52"/>
        <v>2041</v>
      </c>
      <c r="D129" s="4715">
        <f ca="1">SUMIFS(비용!$5:$5,비용!$3:$3,$C129)*100</f>
        <v>28064.380124739364</v>
      </c>
      <c r="E129" s="4715">
        <f ca="1">SUMIFS(비용!$10:$10,비용!$3:$3,$C129)*100+SUMIFS(비용!$8:$8,비용!$3:$3,$C129)*100</f>
        <v>3014.7967431018392</v>
      </c>
      <c r="F129" s="4715">
        <f ca="1">SUMIFS('CF(Y)'!$24:$24,'CF(Y)'!$4:$4,report!C129)*100</f>
        <v>0</v>
      </c>
    </row>
    <row r="130" spans="3:6" ht="14.25" thickBot="1">
      <c r="C130" s="4707">
        <f t="shared" si="52"/>
        <v>2042</v>
      </c>
      <c r="D130" s="4715">
        <f ca="1">SUMIFS(비용!$5:$5,비용!$3:$3,$C130)*100</f>
        <v>28351.749506335556</v>
      </c>
      <c r="E130" s="4715">
        <f ca="1">SUMIFS(비용!$10:$10,비용!$3:$3,$C130)*100+SUMIFS(비용!$8:$8,비용!$3:$3,$C130)*100</f>
        <v>4264.0761136021656</v>
      </c>
      <c r="F130" s="4715">
        <f ca="1">SUMIFS('CF(Y)'!$24:$24,'CF(Y)'!$4:$4,report!C130)*100</f>
        <v>0</v>
      </c>
    </row>
    <row r="131" spans="3:6" ht="14.25" thickBot="1">
      <c r="C131" s="4707">
        <f t="shared" si="52"/>
        <v>2043</v>
      </c>
      <c r="D131" s="4715">
        <f ca="1">SUMIFS(비용!$5:$5,비용!$3:$3,$C131)*100</f>
        <v>28847.098636629835</v>
      </c>
      <c r="E131" s="4715">
        <f ca="1">SUMIFS(비용!$10:$10,비용!$3:$3,$C131)*100+SUMIFS(비용!$8:$8,비용!$3:$3,$C131)*100</f>
        <v>1717.7078864562716</v>
      </c>
      <c r="F131" s="4715">
        <f ca="1">SUMIFS('CF(Y)'!$24:$24,'CF(Y)'!$4:$4,report!C131)*100</f>
        <v>0</v>
      </c>
    </row>
    <row r="132" spans="3:6" ht="14.25" thickBot="1">
      <c r="C132" s="4707">
        <f t="shared" si="52"/>
        <v>2044</v>
      </c>
      <c r="D132" s="4715">
        <f ca="1">SUMIFS(비용!$5:$5,비용!$3:$3,$C132)*100</f>
        <v>29138.966866147803</v>
      </c>
      <c r="E132" s="4715">
        <f ca="1">SUMIFS(비용!$10:$10,비용!$3:$3,$C132)*100+SUMIFS(비용!$8:$8,비용!$3:$3,$C132)*100</f>
        <v>0</v>
      </c>
      <c r="F132" s="4715">
        <f ca="1">SUMIFS('CF(Y)'!$24:$24,'CF(Y)'!$4:$4,report!C132)*100</f>
        <v>0</v>
      </c>
    </row>
    <row r="133" spans="3:6" ht="14.25" thickBot="1">
      <c r="C133" s="4707">
        <f t="shared" si="52"/>
        <v>2045</v>
      </c>
      <c r="D133" s="4715">
        <f ca="1">SUMIFS(비용!$5:$5,비용!$3:$3,$C133)*100</f>
        <v>29691.88718053497</v>
      </c>
      <c r="E133" s="4715">
        <f ca="1">SUMIFS(비용!$10:$10,비용!$3:$3,$C133)*100+SUMIFS(비용!$8:$8,비용!$3:$3,$C133)*100</f>
        <v>406.31508753021279</v>
      </c>
      <c r="F133" s="4715">
        <f ca="1">SUMIFS('CF(Y)'!$24:$24,'CF(Y)'!$4:$4,report!C133)*100</f>
        <v>0</v>
      </c>
    </row>
    <row r="134" spans="3:6" ht="14.25" thickBot="1">
      <c r="C134" s="4707">
        <f t="shared" si="52"/>
        <v>2046</v>
      </c>
      <c r="D134" s="4715">
        <f ca="1">SUMIFS(비용!$5:$5,비용!$3:$3,$C134)*100</f>
        <v>29954.505233739026</v>
      </c>
      <c r="E134" s="4715">
        <f ca="1">SUMIFS(비용!$10:$10,비용!$3:$3,$C134)*100+SUMIFS(비용!$8:$8,비용!$3:$3,$C134)*100</f>
        <v>1655.3119218884451</v>
      </c>
      <c r="F134" s="4715">
        <f ca="1">SUMIFS('CF(Y)'!$24:$24,'CF(Y)'!$4:$4,report!C134)*100</f>
        <v>0</v>
      </c>
    </row>
    <row r="135" spans="3:6" ht="14.25" thickBot="1">
      <c r="C135" s="4707">
        <f t="shared" si="52"/>
        <v>2047</v>
      </c>
      <c r="D135" s="4715">
        <f ca="1">SUMIFS(비용!$5:$5,비용!$3:$3,$C135)*100</f>
        <v>30493.136623618135</v>
      </c>
      <c r="E135" s="4715">
        <f ca="1">SUMIFS(비용!$10:$10,비용!$3:$3,$C135)*100+SUMIFS(비용!$8:$8,비용!$3:$3,$C135)*100</f>
        <v>1528.4024516615398</v>
      </c>
      <c r="F135" s="4715">
        <f ca="1">SUMIFS('CF(Y)'!$24:$24,'CF(Y)'!$4:$4,report!C135)*100</f>
        <v>0</v>
      </c>
    </row>
    <row r="136" spans="3:6" ht="14.25" thickBot="1">
      <c r="C136" s="4707">
        <f t="shared" si="52"/>
        <v>2048</v>
      </c>
      <c r="D136" s="4715">
        <f ca="1">SUMIFS(비용!$5:$5,비용!$3:$3,$C136)*100</f>
        <v>31407.366901924666</v>
      </c>
      <c r="E136" s="4715">
        <f ca="1">SUMIFS(비용!$10:$10,비용!$3:$3,$C136)*100+SUMIFS(비용!$8:$8,비용!$3:$3,$C136)*100</f>
        <v>1585.5491602779014</v>
      </c>
      <c r="F136" s="4715">
        <f ca="1">SUMIFS('CF(Y)'!$24:$24,'CF(Y)'!$4:$4,report!C136)*100</f>
        <v>0</v>
      </c>
    </row>
    <row r="137" spans="3:6" ht="14.25" thickBot="1">
      <c r="C137" s="4707">
        <f t="shared" si="52"/>
        <v>2049</v>
      </c>
      <c r="D137" s="4715">
        <f ca="1">SUMIFS(비용!$5:$5,비용!$3:$3,$C137)*100</f>
        <v>32125.072743110657</v>
      </c>
      <c r="E137" s="4715">
        <f ca="1">SUMIFS(비용!$10:$10,비용!$3:$3,$C137)*100+SUMIFS(비용!$8:$8,비용!$3:$3,$C137)*100</f>
        <v>3443.2842597368431</v>
      </c>
      <c r="F137" s="4715">
        <f ca="1">SUMIFS('CF(Y)'!$24:$24,'CF(Y)'!$4:$4,report!C137)*100</f>
        <v>0</v>
      </c>
    </row>
    <row r="138" spans="3:6" ht="14.25" thickBot="1">
      <c r="C138" s="4707">
        <f t="shared" si="52"/>
        <v>2050</v>
      </c>
      <c r="D138" s="4715">
        <f ca="1">SUMIFS(비용!$5:$5,비용!$3:$3,$C138)*100</f>
        <v>32527.490405777899</v>
      </c>
      <c r="E138" s="4715">
        <f ca="1">SUMIFS(비용!$10:$10,비용!$3:$3,$C138)*100+SUMIFS(비용!$8:$8,비용!$3:$3,$C138)*100</f>
        <v>0</v>
      </c>
      <c r="F138" s="4715">
        <f ca="1">SUMIFS('CF(Y)'!$24:$24,'CF(Y)'!$4:$4,report!C138)*100</f>
        <v>0</v>
      </c>
    </row>
    <row r="139" spans="3:6" ht="14.25" thickBot="1">
      <c r="C139" s="4707">
        <f t="shared" si="52"/>
        <v>2051</v>
      </c>
      <c r="D139" s="4715">
        <f ca="1">SUMIFS(비용!$5:$5,비용!$3:$3,$C139)*100</f>
        <v>33146.835623880877</v>
      </c>
      <c r="E139" s="4715">
        <f ca="1">SUMIFS(비용!$10:$10,비용!$3:$3,$C139)*100+SUMIFS(비용!$8:$8,비용!$3:$3,$C139)*100</f>
        <v>4731.9740579941545</v>
      </c>
      <c r="F139" s="4715">
        <f ca="1">SUMIFS('CF(Y)'!$24:$24,'CF(Y)'!$4:$4,report!C139)*100</f>
        <v>0</v>
      </c>
    </row>
    <row r="140" spans="3:6" ht="14.25" thickBot="1">
      <c r="C140" s="4707">
        <f t="shared" si="52"/>
        <v>2052</v>
      </c>
      <c r="D140" s="4715">
        <f ca="1">SUMIFS(비용!$5:$5,비용!$3:$3,$C140)*100</f>
        <v>33666.434618053492</v>
      </c>
      <c r="E140" s="4715">
        <f ca="1">SUMIFS(비용!$10:$10,비용!$3:$3,$C140)*100+SUMIFS(비용!$8:$8,비용!$3:$3,$C140)*100</f>
        <v>1225.194664037612</v>
      </c>
      <c r="F140" s="4715">
        <f ca="1">SUMIFS('CF(Y)'!$24:$24,'CF(Y)'!$4:$4,report!C140)*100</f>
        <v>0</v>
      </c>
    </row>
    <row r="141" spans="3:6" ht="14.25" thickBot="1">
      <c r="C141" s="4707">
        <f t="shared" si="52"/>
        <v>2053</v>
      </c>
      <c r="D141" s="4715">
        <f ca="1">SUMIFS(비용!$5:$5,비용!$3:$3,$C141)*100</f>
        <v>34308.950414056148</v>
      </c>
      <c r="E141" s="4715">
        <f ca="1">SUMIFS(비용!$10:$10,비용!$3:$3,$C141)*100+SUMIFS(비용!$8:$8,비용!$3:$3,$C141)*100</f>
        <v>0</v>
      </c>
      <c r="F141" s="4715">
        <f ca="1">SUMIFS('CF(Y)'!$24:$24,'CF(Y)'!$4:$4,report!C141)*100</f>
        <v>0</v>
      </c>
    </row>
    <row r="142" spans="3:6" ht="14.25" thickBot="1">
      <c r="C142" s="4707">
        <f t="shared" si="52"/>
        <v>2054</v>
      </c>
      <c r="D142" s="4715">
        <f ca="1">SUMIFS(비용!$5:$5,비용!$3:$3,$C142)*100</f>
        <v>34630.270202470063</v>
      </c>
      <c r="E142" s="4715">
        <f ca="1">SUMIFS(비용!$10:$10,비용!$3:$3,$C142)*100+SUMIFS(비용!$8:$8,비용!$3:$3,$C142)*100</f>
        <v>2166.3565330935976</v>
      </c>
      <c r="F142" s="4715">
        <f ca="1">SUMIFS('CF(Y)'!$24:$24,'CF(Y)'!$4:$4,report!C142)*100</f>
        <v>0</v>
      </c>
    </row>
    <row r="143" spans="3:6" ht="14.25" thickBot="1">
      <c r="C143" s="4707">
        <f t="shared" si="52"/>
        <v>2055</v>
      </c>
      <c r="D143" s="4715">
        <f ca="1">SUMIFS(비용!$5:$5,비용!$3:$3,$C143)*100</f>
        <v>35215.186437220247</v>
      </c>
      <c r="E143" s="4715">
        <f ca="1">SUMIFS(비용!$10:$10,비용!$3:$3,$C143)*100+SUMIFS(비용!$8:$8,비용!$3:$3,$C143)*100</f>
        <v>0</v>
      </c>
      <c r="F143" s="4715">
        <f ca="1">SUMIFS('CF(Y)'!$24:$24,'CF(Y)'!$4:$4,report!C143)*100</f>
        <v>0</v>
      </c>
    </row>
    <row r="144" spans="3:6" ht="14.25" thickBot="1">
      <c r="C144" s="4707">
        <f t="shared" si="52"/>
        <v>2056</v>
      </c>
      <c r="D144" s="4715">
        <f ca="1">SUMIFS(비용!$5:$5,비용!$3:$3,$C144)*100</f>
        <v>35613.290393736119</v>
      </c>
      <c r="E144" s="4715">
        <f ca="1">SUMIFS(비용!$10:$10,비용!$3:$3,$C144)*100+SUMIFS(비용!$8:$8,비용!$3:$3,$C144)*100</f>
        <v>780.54811857322898</v>
      </c>
      <c r="F144" s="4715">
        <f ca="1">SUMIFS('CF(Y)'!$24:$24,'CF(Y)'!$4:$4,report!C144)*100</f>
        <v>0</v>
      </c>
    </row>
    <row r="145" spans="2:11" ht="14.25" thickBot="1">
      <c r="C145" s="4707">
        <f t="shared" si="52"/>
        <v>2057</v>
      </c>
      <c r="D145" s="4715">
        <f ca="1">SUMIFS(비용!$5:$5,비용!$3:$3,$C145)*100</f>
        <v>36277.30057024258</v>
      </c>
      <c r="E145" s="4715">
        <f ca="1">SUMIFS(비용!$10:$10,비용!$3:$3,$C145)*100+SUMIFS(비용!$8:$8,비용!$3:$3,$C145)*100</f>
        <v>643.84595261621155</v>
      </c>
      <c r="F145" s="4715">
        <f ca="1">SUMIFS('CF(Y)'!$24:$24,'CF(Y)'!$4:$4,report!C145)*100</f>
        <v>0</v>
      </c>
    </row>
    <row r="146" spans="2:11" ht="14.25" thickBot="1">
      <c r="C146" s="4707">
        <f t="shared" si="52"/>
        <v>2058</v>
      </c>
      <c r="D146" s="4715">
        <f ca="1">SUMIFS(비용!$5:$5,비용!$3:$3,$C146)*100</f>
        <v>37214.034954837982</v>
      </c>
      <c r="E146" s="4715">
        <f ca="1">SUMIFS(비용!$10:$10,비용!$3:$3,$C146)*100+SUMIFS(비용!$8:$8,비용!$3:$3,$C146)*100</f>
        <v>1343.9211184275721</v>
      </c>
      <c r="F146" s="4715">
        <f ca="1">SUMIFS('CF(Y)'!$24:$24,'CF(Y)'!$4:$4,report!C146)*100</f>
        <v>0</v>
      </c>
    </row>
    <row r="147" spans="2:11" ht="14.25" thickBot="1">
      <c r="C147" s="4707">
        <f t="shared" si="52"/>
        <v>2059</v>
      </c>
      <c r="D147" s="4715">
        <f ca="1">SUMIFS(비용!$5:$5,비용!$3:$3,$C147)*100</f>
        <v>18907.289040416494</v>
      </c>
      <c r="E147" s="4715">
        <f ca="1">SUMIFS(비용!$10:$10,비용!$3:$3,$C147)*100+SUMIFS(비용!$8:$8,비용!$3:$3,$C147)*100</f>
        <v>7005.7307334805064</v>
      </c>
      <c r="F147" s="4715">
        <f ca="1">SUMIFS('CF(Y)'!$24:$24,'CF(Y)'!$4:$4,report!C147)*100</f>
        <v>0</v>
      </c>
    </row>
    <row r="150" spans="2:11">
      <c r="B150" s="498" t="s">
        <v>1407</v>
      </c>
    </row>
    <row r="151" spans="2:11">
      <c r="B151" s="498" t="s">
        <v>1408</v>
      </c>
    </row>
    <row r="152" spans="2:11" ht="14.25" thickBot="1"/>
    <row r="153" spans="2:11" ht="14.25" thickBot="1">
      <c r="C153" s="4707" t="s">
        <v>48</v>
      </c>
      <c r="D153" s="4708" t="s">
        <v>5019</v>
      </c>
      <c r="E153" s="4708">
        <v>2023</v>
      </c>
      <c r="F153" s="4708">
        <v>2024</v>
      </c>
      <c r="G153" s="4708" t="s">
        <v>5020</v>
      </c>
    </row>
    <row r="154" spans="2:11" ht="14.25" thickBot="1">
      <c r="C154" s="4709" t="s">
        <v>5021</v>
      </c>
      <c r="D154" s="1863">
        <f>매출!U6</f>
        <v>71388</v>
      </c>
      <c r="E154" s="1863">
        <f>매출!V6</f>
        <v>73344.031200000012</v>
      </c>
      <c r="F154" s="1863">
        <f>매출!W6</f>
        <v>75353.657654880022</v>
      </c>
      <c r="G154" s="4710" cm="1">
        <f t="array" ref="G154">[1]!cagr(D154,F154,2)</f>
        <v>2.7400000000000091E-2</v>
      </c>
      <c r="H154" s="491">
        <f>D154*(1+G154)^2-F154</f>
        <v>0</v>
      </c>
    </row>
    <row r="155" spans="2:11">
      <c r="D155" s="1844"/>
    </row>
    <row r="156" spans="2:11" ht="14.25" thickBot="1">
      <c r="B156" s="498" t="s">
        <v>95</v>
      </c>
    </row>
    <row r="157" spans="2:11" ht="14.25" thickBot="1">
      <c r="C157" s="1845" t="s">
        <v>1409</v>
      </c>
      <c r="D157" s="1846">
        <v>2021</v>
      </c>
      <c r="E157" s="1846">
        <v>2022</v>
      </c>
      <c r="F157" s="1846">
        <v>2023</v>
      </c>
      <c r="G157" s="1846">
        <v>2024</v>
      </c>
      <c r="H157" s="1846">
        <v>2025</v>
      </c>
      <c r="I157" s="1846">
        <v>2026</v>
      </c>
      <c r="J157" s="1846">
        <v>2027</v>
      </c>
      <c r="K157" s="1846">
        <v>2028</v>
      </c>
    </row>
    <row r="158" spans="2:11" ht="14.25" thickBot="1">
      <c r="C158" s="1847" t="s">
        <v>1410</v>
      </c>
      <c r="D158" s="1848">
        <f ca="1">SUMIFS(매출!$5:$5,매출!$3:$3,report!D157)/1000</f>
        <v>314.43599999999998</v>
      </c>
      <c r="E158" s="1849">
        <f ca="1">SUMIFS(매출!$5:$5,매출!$3:$3,report!E157)/1000</f>
        <v>310</v>
      </c>
      <c r="F158" s="1849">
        <f ca="1">SUMIFS(매출!$5:$5,매출!$3:$3,report!F157)/1000</f>
        <v>320</v>
      </c>
      <c r="G158" s="1849">
        <f ca="1">SUMIFS(매출!$5:$5,매출!$3:$3,report!G157)/1000</f>
        <v>330</v>
      </c>
      <c r="H158" s="1849">
        <f ca="1">SUMIFS(매출!$5:$5,매출!$3:$3,report!H157)/1000</f>
        <v>340</v>
      </c>
      <c r="I158" s="1849">
        <f ca="1">SUMIFS(매출!$5:$5,매출!$3:$3,report!I157)/1000</f>
        <v>350</v>
      </c>
      <c r="J158" s="1849">
        <f ca="1">SUMIFS(매출!$5:$5,매출!$3:$3,report!J157)/1000</f>
        <v>360</v>
      </c>
      <c r="K158" s="1849">
        <f ca="1">SUMIFS(매출!$5:$5,매출!$3:$3,report!K157)/1000</f>
        <v>370</v>
      </c>
    </row>
    <row r="159" spans="2:11" ht="14.25" thickBot="1">
      <c r="C159" s="1850" t="s">
        <v>1409</v>
      </c>
      <c r="D159" s="1851">
        <v>2029</v>
      </c>
      <c r="E159" s="1851">
        <v>2030</v>
      </c>
      <c r="F159" s="1851">
        <v>2031</v>
      </c>
      <c r="G159" s="1851">
        <v>2032</v>
      </c>
      <c r="H159" s="1851">
        <v>2033</v>
      </c>
      <c r="I159" s="1851">
        <v>2034</v>
      </c>
      <c r="J159" s="1851">
        <v>2035</v>
      </c>
      <c r="K159" s="1851">
        <v>2036</v>
      </c>
    </row>
    <row r="160" spans="2:11" ht="14.25" thickBot="1">
      <c r="C160" s="1847" t="s">
        <v>1410</v>
      </c>
      <c r="D160" s="1849">
        <f ca="1">SUMIFS(매출!$5:$5,매출!$3:$3,report!D159)/1000</f>
        <v>380</v>
      </c>
      <c r="E160" s="1849">
        <f ca="1">SUMIFS(매출!$5:$5,매출!$3:$3,report!E159)/1000</f>
        <v>390</v>
      </c>
      <c r="F160" s="1849">
        <f ca="1">SUMIFS(매출!$5:$5,매출!$3:$3,report!F159)/1000</f>
        <v>394</v>
      </c>
      <c r="G160" s="1849">
        <f ca="1">SUMIFS(매출!$5:$5,매출!$3:$3,report!G159)/1000</f>
        <v>398</v>
      </c>
      <c r="H160" s="1849">
        <f ca="1">SUMIFS(매출!$5:$5,매출!$3:$3,report!H159)/1000</f>
        <v>402</v>
      </c>
      <c r="I160" s="1849">
        <f ca="1">SUMIFS(매출!$5:$5,매출!$3:$3,report!I159)/1000</f>
        <v>406</v>
      </c>
      <c r="J160" s="1849">
        <f ca="1">SUMIFS(매출!$5:$5,매출!$3:$3,report!J159)/1000</f>
        <v>410</v>
      </c>
      <c r="K160" s="1849">
        <f ca="1">SUMIFS(매출!$5:$5,매출!$3:$3,report!K159)/1000</f>
        <v>414</v>
      </c>
    </row>
    <row r="161" spans="2:2479" ht="14.25" thickBot="1">
      <c r="C161" s="1850" t="s">
        <v>1409</v>
      </c>
      <c r="D161" s="1851">
        <v>2037</v>
      </c>
      <c r="E161" s="1851">
        <v>2038</v>
      </c>
      <c r="F161" s="1851">
        <v>2039</v>
      </c>
      <c r="G161" s="1851">
        <v>2040</v>
      </c>
      <c r="H161" s="1851">
        <v>2041</v>
      </c>
      <c r="I161" s="1851">
        <v>2042</v>
      </c>
      <c r="J161" s="1851">
        <v>2043</v>
      </c>
      <c r="K161" s="1851">
        <v>2044</v>
      </c>
    </row>
    <row r="162" spans="2:2479" ht="14.25" thickBot="1">
      <c r="C162" s="1847" t="s">
        <v>1410</v>
      </c>
      <c r="D162" s="1849">
        <f ca="1">SUMIFS(매출!$5:$5,매출!$3:$3,report!D161)/1000</f>
        <v>418</v>
      </c>
      <c r="E162" s="1849">
        <f ca="1">SUMIFS(매출!$5:$5,매출!$3:$3,report!E161)/1000</f>
        <v>422</v>
      </c>
      <c r="F162" s="1849">
        <f ca="1">SUMIFS(매출!$5:$5,매출!$3:$3,report!F161)/1000</f>
        <v>426</v>
      </c>
      <c r="G162" s="1849">
        <f ca="1">SUMIFS(매출!$5:$5,매출!$3:$3,report!G161)/1000</f>
        <v>430</v>
      </c>
      <c r="H162" s="1849">
        <f ca="1">SUMIFS(매출!$5:$5,매출!$3:$3,report!H161)/1000</f>
        <v>434</v>
      </c>
      <c r="I162" s="1849">
        <f ca="1">SUMIFS(매출!$5:$5,매출!$3:$3,report!I161)/1000</f>
        <v>438</v>
      </c>
      <c r="J162" s="1849">
        <f ca="1">SUMIFS(매출!$5:$5,매출!$3:$3,report!J161)/1000</f>
        <v>442</v>
      </c>
      <c r="K162" s="1849">
        <f ca="1">SUMIFS(매출!$5:$5,매출!$3:$3,report!K161)/1000</f>
        <v>446</v>
      </c>
    </row>
    <row r="163" spans="2:2479" ht="14.25" thickBot="1">
      <c r="C163" s="1850" t="s">
        <v>1409</v>
      </c>
      <c r="D163" s="1851">
        <v>2045</v>
      </c>
      <c r="E163" s="1851">
        <v>2046</v>
      </c>
      <c r="F163" s="1851">
        <v>2047</v>
      </c>
      <c r="G163" s="1851">
        <v>2048</v>
      </c>
      <c r="H163" s="1851">
        <v>2049</v>
      </c>
      <c r="I163" s="1851">
        <v>2050</v>
      </c>
      <c r="J163" s="1851">
        <v>2051</v>
      </c>
      <c r="K163" s="1851">
        <v>2052</v>
      </c>
    </row>
    <row r="164" spans="2:2479" ht="14.25" thickBot="1">
      <c r="C164" s="1847" t="s">
        <v>1410</v>
      </c>
      <c r="D164" s="1849">
        <f ca="1">SUMIFS(매출!$5:$5,매출!$3:$3,report!D163)/1000</f>
        <v>450</v>
      </c>
      <c r="E164" s="1849">
        <f ca="1">SUMIFS(매출!$5:$5,매출!$3:$3,report!E163)/1000</f>
        <v>454</v>
      </c>
      <c r="F164" s="1849">
        <f ca="1">SUMIFS(매출!$5:$5,매출!$3:$3,report!F163)/1000</f>
        <v>458</v>
      </c>
      <c r="G164" s="1849">
        <f ca="1">SUMIFS(매출!$5:$5,매출!$3:$3,report!G163)/1000</f>
        <v>462</v>
      </c>
      <c r="H164" s="1849">
        <f ca="1">SUMIFS(매출!$5:$5,매출!$3:$3,report!H163)/1000</f>
        <v>466</v>
      </c>
      <c r="I164" s="1849">
        <f ca="1">SUMIFS(매출!$5:$5,매출!$3:$3,report!I163)/1000</f>
        <v>470</v>
      </c>
      <c r="J164" s="1849">
        <f ca="1">SUMIFS(매출!$5:$5,매출!$3:$3,report!J163)/1000</f>
        <v>474</v>
      </c>
      <c r="K164" s="1849">
        <f ca="1">SUMIFS(매출!$5:$5,매출!$3:$3,report!K163)/1000</f>
        <v>478</v>
      </c>
    </row>
    <row r="165" spans="2:2479" ht="14.25" thickBot="1">
      <c r="C165" s="1850" t="s">
        <v>1409</v>
      </c>
      <c r="D165" s="1851">
        <v>2053</v>
      </c>
      <c r="E165" s="1851">
        <v>2054</v>
      </c>
      <c r="F165" s="1851">
        <v>2055</v>
      </c>
      <c r="G165" s="1851">
        <v>2056</v>
      </c>
      <c r="H165" s="1851">
        <v>2057</v>
      </c>
      <c r="I165" s="1851">
        <v>2058</v>
      </c>
      <c r="J165" s="1851">
        <v>2059</v>
      </c>
      <c r="K165" s="1851" t="s">
        <v>1411</v>
      </c>
    </row>
    <row r="166" spans="2:2479" ht="14.25" thickBot="1">
      <c r="C166" s="1847" t="s">
        <v>1410</v>
      </c>
      <c r="D166" s="1849">
        <f ca="1">SUMIFS(매출!$5:$5,매출!$3:$3,report!D165)/1000</f>
        <v>482</v>
      </c>
      <c r="E166" s="1849">
        <f ca="1">SUMIFS(매출!$5:$5,매출!$3:$3,report!E165)/1000</f>
        <v>486</v>
      </c>
      <c r="F166" s="1849">
        <f ca="1">SUMIFS(매출!$5:$5,매출!$3:$3,report!F165)/1000</f>
        <v>490</v>
      </c>
      <c r="G166" s="1849">
        <f ca="1">SUMIFS(매출!$5:$5,매출!$3:$3,report!G165)/1000</f>
        <v>494</v>
      </c>
      <c r="H166" s="1849">
        <f ca="1">SUMIFS(매출!$5:$5,매출!$3:$3,report!H165)/1000</f>
        <v>498</v>
      </c>
      <c r="I166" s="1849">
        <f ca="1">SUMIFS(매출!$5:$5,매출!$3:$3,report!I165)/1000</f>
        <v>502</v>
      </c>
      <c r="J166" s="1849">
        <f ca="1">SUMIFS(매출!$5:$5,매출!$3:$3,report!J165)/1000</f>
        <v>506</v>
      </c>
      <c r="K166" s="1849"/>
    </row>
    <row r="171" spans="2:2479">
      <c r="B171" s="498" t="s">
        <v>71</v>
      </c>
    </row>
    <row r="172" spans="2:2479" ht="14.25" thickBot="1">
      <c r="G172" s="498">
        <f>YEAR(G173)</f>
        <v>2021</v>
      </c>
      <c r="H172" s="498">
        <f t="shared" ref="H172:BS172" si="53">YEAR(H173)</f>
        <v>2021</v>
      </c>
      <c r="I172" s="498">
        <f t="shared" si="53"/>
        <v>2021</v>
      </c>
      <c r="J172" s="498">
        <f t="shared" si="53"/>
        <v>2021</v>
      </c>
      <c r="K172" s="498">
        <f t="shared" si="53"/>
        <v>2021</v>
      </c>
      <c r="L172" s="498">
        <f t="shared" si="53"/>
        <v>2021</v>
      </c>
      <c r="M172" s="498">
        <f t="shared" si="53"/>
        <v>2021</v>
      </c>
      <c r="N172" s="498">
        <f t="shared" si="53"/>
        <v>2021</v>
      </c>
      <c r="O172" s="498">
        <f t="shared" si="53"/>
        <v>2021</v>
      </c>
      <c r="P172" s="498">
        <f t="shared" si="53"/>
        <v>2021</v>
      </c>
      <c r="Q172" s="498">
        <f t="shared" si="53"/>
        <v>2021</v>
      </c>
      <c r="R172" s="498">
        <f t="shared" si="53"/>
        <v>2021</v>
      </c>
      <c r="S172" s="498">
        <f t="shared" si="53"/>
        <v>2021</v>
      </c>
      <c r="T172" s="498">
        <f t="shared" si="53"/>
        <v>2021</v>
      </c>
      <c r="U172" s="498">
        <f t="shared" si="53"/>
        <v>2021</v>
      </c>
      <c r="V172" s="498">
        <f t="shared" si="53"/>
        <v>2021</v>
      </c>
      <c r="W172" s="498">
        <f t="shared" si="53"/>
        <v>2021</v>
      </c>
      <c r="X172" s="498">
        <f t="shared" si="53"/>
        <v>2021</v>
      </c>
      <c r="Y172" s="498">
        <f t="shared" si="53"/>
        <v>2021</v>
      </c>
      <c r="Z172" s="498">
        <f t="shared" si="53"/>
        <v>2021</v>
      </c>
      <c r="AA172" s="498">
        <f t="shared" si="53"/>
        <v>2021</v>
      </c>
      <c r="AB172" s="498">
        <f t="shared" si="53"/>
        <v>2021</v>
      </c>
      <c r="AC172" s="498">
        <f t="shared" si="53"/>
        <v>2021</v>
      </c>
      <c r="AD172" s="498">
        <f t="shared" si="53"/>
        <v>2021</v>
      </c>
      <c r="AE172" s="498">
        <f t="shared" si="53"/>
        <v>2021</v>
      </c>
      <c r="AF172" s="498">
        <f t="shared" si="53"/>
        <v>2021</v>
      </c>
      <c r="AG172" s="498">
        <f t="shared" si="53"/>
        <v>2021</v>
      </c>
      <c r="AH172" s="498">
        <f t="shared" si="53"/>
        <v>2021</v>
      </c>
      <c r="AI172" s="498">
        <f t="shared" si="53"/>
        <v>2021</v>
      </c>
      <c r="AJ172" s="498">
        <f t="shared" si="53"/>
        <v>2021</v>
      </c>
      <c r="AK172" s="498">
        <f t="shared" si="53"/>
        <v>2021</v>
      </c>
      <c r="AL172" s="498">
        <f t="shared" si="53"/>
        <v>2021</v>
      </c>
      <c r="AM172" s="498">
        <f t="shared" si="53"/>
        <v>2021</v>
      </c>
      <c r="AN172" s="498">
        <f t="shared" si="53"/>
        <v>2021</v>
      </c>
      <c r="AO172" s="498">
        <f t="shared" si="53"/>
        <v>2021</v>
      </c>
      <c r="AP172" s="498">
        <f t="shared" si="53"/>
        <v>2021</v>
      </c>
      <c r="AQ172" s="498">
        <f t="shared" si="53"/>
        <v>2021</v>
      </c>
      <c r="AR172" s="498">
        <f t="shared" si="53"/>
        <v>2021</v>
      </c>
      <c r="AS172" s="498">
        <f t="shared" si="53"/>
        <v>2021</v>
      </c>
      <c r="AT172" s="498">
        <f t="shared" si="53"/>
        <v>2021</v>
      </c>
      <c r="AU172" s="498">
        <f t="shared" si="53"/>
        <v>2021</v>
      </c>
      <c r="AV172" s="498">
        <f t="shared" si="53"/>
        <v>2021</v>
      </c>
      <c r="AW172" s="498">
        <f t="shared" si="53"/>
        <v>2021</v>
      </c>
      <c r="AX172" s="498">
        <f t="shared" si="53"/>
        <v>2021</v>
      </c>
      <c r="AY172" s="498">
        <f t="shared" si="53"/>
        <v>2021</v>
      </c>
      <c r="AZ172" s="498">
        <f t="shared" si="53"/>
        <v>2021</v>
      </c>
      <c r="BA172" s="498">
        <f t="shared" si="53"/>
        <v>2021</v>
      </c>
      <c r="BB172" s="498">
        <f t="shared" si="53"/>
        <v>2021</v>
      </c>
      <c r="BC172" s="498">
        <f t="shared" si="53"/>
        <v>2021</v>
      </c>
      <c r="BD172" s="498">
        <f t="shared" si="53"/>
        <v>2021</v>
      </c>
      <c r="BE172" s="498">
        <f t="shared" si="53"/>
        <v>2021</v>
      </c>
      <c r="BF172" s="498">
        <f t="shared" si="53"/>
        <v>2021</v>
      </c>
      <c r="BG172" s="498">
        <f t="shared" si="53"/>
        <v>2021</v>
      </c>
      <c r="BH172" s="498">
        <f t="shared" si="53"/>
        <v>2021</v>
      </c>
      <c r="BI172" s="498">
        <f t="shared" si="53"/>
        <v>2021</v>
      </c>
      <c r="BJ172" s="498">
        <f t="shared" si="53"/>
        <v>2021</v>
      </c>
      <c r="BK172" s="498">
        <f t="shared" si="53"/>
        <v>2021</v>
      </c>
      <c r="BL172" s="498">
        <f t="shared" si="53"/>
        <v>2021</v>
      </c>
      <c r="BM172" s="498">
        <f t="shared" si="53"/>
        <v>2021</v>
      </c>
      <c r="BN172" s="498">
        <f t="shared" si="53"/>
        <v>2021</v>
      </c>
      <c r="BO172" s="498">
        <f t="shared" si="53"/>
        <v>2021</v>
      </c>
      <c r="BP172" s="498">
        <f t="shared" si="53"/>
        <v>2021</v>
      </c>
      <c r="BQ172" s="498">
        <f t="shared" si="53"/>
        <v>2021</v>
      </c>
      <c r="BR172" s="498">
        <f t="shared" si="53"/>
        <v>2021</v>
      </c>
      <c r="BS172" s="498">
        <f t="shared" si="53"/>
        <v>2021</v>
      </c>
      <c r="BT172" s="498">
        <f t="shared" ref="BT172:EE172" si="54">YEAR(BT173)</f>
        <v>2021</v>
      </c>
      <c r="BU172" s="498">
        <f t="shared" si="54"/>
        <v>2021</v>
      </c>
      <c r="BV172" s="498">
        <f t="shared" si="54"/>
        <v>2021</v>
      </c>
      <c r="BW172" s="498">
        <f t="shared" si="54"/>
        <v>2021</v>
      </c>
      <c r="BX172" s="498">
        <f t="shared" si="54"/>
        <v>2021</v>
      </c>
      <c r="BY172" s="498">
        <f t="shared" si="54"/>
        <v>2021</v>
      </c>
      <c r="BZ172" s="498">
        <f t="shared" si="54"/>
        <v>2021</v>
      </c>
      <c r="CA172" s="498">
        <f t="shared" si="54"/>
        <v>2021</v>
      </c>
      <c r="CB172" s="498">
        <f t="shared" si="54"/>
        <v>2021</v>
      </c>
      <c r="CC172" s="498">
        <f t="shared" si="54"/>
        <v>2021</v>
      </c>
      <c r="CD172" s="498">
        <f t="shared" si="54"/>
        <v>2021</v>
      </c>
      <c r="CE172" s="498">
        <f t="shared" si="54"/>
        <v>2021</v>
      </c>
      <c r="CF172" s="498">
        <f t="shared" si="54"/>
        <v>2021</v>
      </c>
      <c r="CG172" s="498">
        <f t="shared" si="54"/>
        <v>2021</v>
      </c>
      <c r="CH172" s="498">
        <f t="shared" si="54"/>
        <v>2021</v>
      </c>
      <c r="CI172" s="498">
        <f t="shared" si="54"/>
        <v>2021</v>
      </c>
      <c r="CJ172" s="498">
        <f t="shared" si="54"/>
        <v>2021</v>
      </c>
      <c r="CK172" s="498">
        <f t="shared" si="54"/>
        <v>2021</v>
      </c>
      <c r="CL172" s="498">
        <f t="shared" si="54"/>
        <v>2021</v>
      </c>
      <c r="CM172" s="498">
        <f t="shared" si="54"/>
        <v>2021</v>
      </c>
      <c r="CN172" s="498">
        <f t="shared" si="54"/>
        <v>2021</v>
      </c>
      <c r="CO172" s="498">
        <f t="shared" si="54"/>
        <v>2021</v>
      </c>
      <c r="CP172" s="498">
        <f t="shared" si="54"/>
        <v>2021</v>
      </c>
      <c r="CQ172" s="498">
        <f t="shared" si="54"/>
        <v>2021</v>
      </c>
      <c r="CR172" s="498">
        <f t="shared" si="54"/>
        <v>2021</v>
      </c>
      <c r="CS172" s="498">
        <f t="shared" si="54"/>
        <v>2021</v>
      </c>
      <c r="CT172" s="498">
        <f t="shared" si="54"/>
        <v>2021</v>
      </c>
      <c r="CU172" s="498">
        <f t="shared" si="54"/>
        <v>2021</v>
      </c>
      <c r="CV172" s="498">
        <f t="shared" si="54"/>
        <v>2021</v>
      </c>
      <c r="CW172" s="498">
        <f t="shared" si="54"/>
        <v>2021</v>
      </c>
      <c r="CX172" s="498">
        <f t="shared" si="54"/>
        <v>2021</v>
      </c>
      <c r="CY172" s="498">
        <f t="shared" si="54"/>
        <v>2021</v>
      </c>
      <c r="CZ172" s="498">
        <f t="shared" si="54"/>
        <v>2021</v>
      </c>
      <c r="DA172" s="498">
        <f t="shared" si="54"/>
        <v>2021</v>
      </c>
      <c r="DB172" s="498">
        <f t="shared" si="54"/>
        <v>2021</v>
      </c>
      <c r="DC172" s="498">
        <f t="shared" si="54"/>
        <v>2021</v>
      </c>
      <c r="DD172" s="498">
        <f t="shared" si="54"/>
        <v>2021</v>
      </c>
      <c r="DE172" s="498">
        <f t="shared" si="54"/>
        <v>2021</v>
      </c>
      <c r="DF172" s="498">
        <f t="shared" si="54"/>
        <v>2021</v>
      </c>
      <c r="DG172" s="498">
        <f t="shared" si="54"/>
        <v>2021</v>
      </c>
      <c r="DH172" s="498">
        <f t="shared" si="54"/>
        <v>2021</v>
      </c>
      <c r="DI172" s="498">
        <f t="shared" si="54"/>
        <v>2021</v>
      </c>
      <c r="DJ172" s="498">
        <f t="shared" si="54"/>
        <v>2021</v>
      </c>
      <c r="DK172" s="498">
        <f t="shared" si="54"/>
        <v>2021</v>
      </c>
      <c r="DL172" s="498">
        <f t="shared" si="54"/>
        <v>2021</v>
      </c>
      <c r="DM172" s="498">
        <f t="shared" si="54"/>
        <v>2021</v>
      </c>
      <c r="DN172" s="498">
        <f t="shared" si="54"/>
        <v>2021</v>
      </c>
      <c r="DO172" s="498">
        <f t="shared" si="54"/>
        <v>2021</v>
      </c>
      <c r="DP172" s="498">
        <f t="shared" si="54"/>
        <v>2021</v>
      </c>
      <c r="DQ172" s="498">
        <f t="shared" si="54"/>
        <v>2021</v>
      </c>
      <c r="DR172" s="498">
        <f t="shared" si="54"/>
        <v>2021</v>
      </c>
      <c r="DS172" s="498">
        <f t="shared" si="54"/>
        <v>2021</v>
      </c>
      <c r="DT172" s="498">
        <f t="shared" si="54"/>
        <v>2021</v>
      </c>
      <c r="DU172" s="498">
        <f t="shared" si="54"/>
        <v>2021</v>
      </c>
      <c r="DV172" s="498">
        <f t="shared" si="54"/>
        <v>2021</v>
      </c>
      <c r="DW172" s="498">
        <f t="shared" si="54"/>
        <v>2021</v>
      </c>
      <c r="DX172" s="498">
        <f t="shared" si="54"/>
        <v>2021</v>
      </c>
      <c r="DY172" s="498">
        <f t="shared" si="54"/>
        <v>2021</v>
      </c>
      <c r="DZ172" s="498">
        <f t="shared" si="54"/>
        <v>2021</v>
      </c>
      <c r="EA172" s="498">
        <f t="shared" si="54"/>
        <v>2021</v>
      </c>
      <c r="EB172" s="498">
        <f t="shared" si="54"/>
        <v>2021</v>
      </c>
      <c r="EC172" s="498">
        <f t="shared" si="54"/>
        <v>2021</v>
      </c>
      <c r="ED172" s="498">
        <f t="shared" si="54"/>
        <v>2021</v>
      </c>
      <c r="EE172" s="498">
        <f t="shared" si="54"/>
        <v>2021</v>
      </c>
      <c r="EF172" s="498">
        <f t="shared" ref="EF172:GQ172" si="55">YEAR(EF173)</f>
        <v>2021</v>
      </c>
      <c r="EG172" s="498">
        <f t="shared" si="55"/>
        <v>2021</v>
      </c>
      <c r="EH172" s="498">
        <f t="shared" si="55"/>
        <v>2021</v>
      </c>
      <c r="EI172" s="498">
        <f t="shared" si="55"/>
        <v>2021</v>
      </c>
      <c r="EJ172" s="498">
        <f t="shared" si="55"/>
        <v>2021</v>
      </c>
      <c r="EK172" s="498">
        <f t="shared" si="55"/>
        <v>2021</v>
      </c>
      <c r="EL172" s="498">
        <f t="shared" si="55"/>
        <v>2021</v>
      </c>
      <c r="EM172" s="498">
        <f t="shared" si="55"/>
        <v>2021</v>
      </c>
      <c r="EN172" s="498">
        <f t="shared" si="55"/>
        <v>2021</v>
      </c>
      <c r="EO172" s="498">
        <f t="shared" si="55"/>
        <v>2021</v>
      </c>
      <c r="EP172" s="498">
        <f t="shared" si="55"/>
        <v>2021</v>
      </c>
      <c r="EQ172" s="498">
        <f t="shared" si="55"/>
        <v>2021</v>
      </c>
      <c r="ER172" s="498">
        <f t="shared" si="55"/>
        <v>2021</v>
      </c>
      <c r="ES172" s="498">
        <f t="shared" si="55"/>
        <v>2021</v>
      </c>
      <c r="ET172" s="498">
        <f t="shared" si="55"/>
        <v>2021</v>
      </c>
      <c r="EU172" s="498">
        <f t="shared" si="55"/>
        <v>2021</v>
      </c>
      <c r="EV172" s="498">
        <f t="shared" si="55"/>
        <v>2021</v>
      </c>
      <c r="EW172" s="498">
        <f t="shared" si="55"/>
        <v>2021</v>
      </c>
      <c r="EX172" s="498">
        <f t="shared" si="55"/>
        <v>2021</v>
      </c>
      <c r="EY172" s="498">
        <f t="shared" si="55"/>
        <v>2021</v>
      </c>
      <c r="EZ172" s="498">
        <f t="shared" si="55"/>
        <v>2021</v>
      </c>
      <c r="FA172" s="498">
        <f t="shared" si="55"/>
        <v>2021</v>
      </c>
      <c r="FB172" s="498">
        <f t="shared" si="55"/>
        <v>2021</v>
      </c>
      <c r="FC172" s="498">
        <f t="shared" si="55"/>
        <v>2021</v>
      </c>
      <c r="FD172" s="498">
        <f t="shared" si="55"/>
        <v>2021</v>
      </c>
      <c r="FE172" s="498">
        <f t="shared" si="55"/>
        <v>2021</v>
      </c>
      <c r="FF172" s="498">
        <f t="shared" si="55"/>
        <v>2021</v>
      </c>
      <c r="FG172" s="498">
        <f t="shared" si="55"/>
        <v>2021</v>
      </c>
      <c r="FH172" s="498">
        <f t="shared" si="55"/>
        <v>2021</v>
      </c>
      <c r="FI172" s="498">
        <f t="shared" si="55"/>
        <v>2021</v>
      </c>
      <c r="FJ172" s="498">
        <f t="shared" si="55"/>
        <v>2021</v>
      </c>
      <c r="FK172" s="498">
        <f t="shared" si="55"/>
        <v>2021</v>
      </c>
      <c r="FL172" s="498">
        <f t="shared" si="55"/>
        <v>2021</v>
      </c>
      <c r="FM172" s="498">
        <f t="shared" si="55"/>
        <v>2021</v>
      </c>
      <c r="FN172" s="498">
        <f t="shared" si="55"/>
        <v>2021</v>
      </c>
      <c r="FO172" s="498">
        <f t="shared" si="55"/>
        <v>2021</v>
      </c>
      <c r="FP172" s="498">
        <f t="shared" si="55"/>
        <v>2021</v>
      </c>
      <c r="FQ172" s="498">
        <f t="shared" si="55"/>
        <v>2021</v>
      </c>
      <c r="FR172" s="498">
        <f t="shared" si="55"/>
        <v>2021</v>
      </c>
      <c r="FS172" s="498">
        <f t="shared" si="55"/>
        <v>2021</v>
      </c>
      <c r="FT172" s="498">
        <f t="shared" si="55"/>
        <v>2021</v>
      </c>
      <c r="FU172" s="498">
        <f t="shared" si="55"/>
        <v>2021</v>
      </c>
      <c r="FV172" s="498">
        <f t="shared" si="55"/>
        <v>2021</v>
      </c>
      <c r="FW172" s="498">
        <f t="shared" si="55"/>
        <v>2021</v>
      </c>
      <c r="FX172" s="498">
        <f t="shared" si="55"/>
        <v>2021</v>
      </c>
      <c r="FY172" s="498">
        <f t="shared" si="55"/>
        <v>2021</v>
      </c>
      <c r="FZ172" s="498">
        <f t="shared" si="55"/>
        <v>2021</v>
      </c>
      <c r="GA172" s="498">
        <f t="shared" si="55"/>
        <v>2021</v>
      </c>
      <c r="GB172" s="498">
        <f t="shared" si="55"/>
        <v>2021</v>
      </c>
      <c r="GC172" s="498">
        <f t="shared" si="55"/>
        <v>2021</v>
      </c>
      <c r="GD172" s="498">
        <f t="shared" si="55"/>
        <v>2021</v>
      </c>
      <c r="GE172" s="498">
        <f t="shared" si="55"/>
        <v>2021</v>
      </c>
      <c r="GF172" s="498">
        <f t="shared" si="55"/>
        <v>2021</v>
      </c>
      <c r="GG172" s="498">
        <f t="shared" si="55"/>
        <v>2021</v>
      </c>
      <c r="GH172" s="498">
        <f t="shared" si="55"/>
        <v>2021</v>
      </c>
      <c r="GI172" s="498">
        <f t="shared" si="55"/>
        <v>2021</v>
      </c>
      <c r="GJ172" s="498">
        <f t="shared" si="55"/>
        <v>2021</v>
      </c>
      <c r="GK172" s="498">
        <f t="shared" si="55"/>
        <v>2021</v>
      </c>
      <c r="GL172" s="498">
        <f t="shared" si="55"/>
        <v>2021</v>
      </c>
      <c r="GM172" s="498">
        <f t="shared" si="55"/>
        <v>2021</v>
      </c>
      <c r="GN172" s="498">
        <f t="shared" si="55"/>
        <v>2021</v>
      </c>
      <c r="GO172" s="498">
        <f t="shared" si="55"/>
        <v>2021</v>
      </c>
      <c r="GP172" s="498">
        <f t="shared" si="55"/>
        <v>2021</v>
      </c>
      <c r="GQ172" s="498">
        <f t="shared" si="55"/>
        <v>2021</v>
      </c>
      <c r="GR172" s="498">
        <f t="shared" ref="GR172:JC172" si="56">YEAR(GR173)</f>
        <v>2021</v>
      </c>
      <c r="GS172" s="498">
        <f t="shared" si="56"/>
        <v>2021</v>
      </c>
      <c r="GT172" s="498">
        <f t="shared" si="56"/>
        <v>2021</v>
      </c>
      <c r="GU172" s="498">
        <f t="shared" si="56"/>
        <v>2021</v>
      </c>
      <c r="GV172" s="498">
        <f t="shared" si="56"/>
        <v>2021</v>
      </c>
      <c r="GW172" s="498">
        <f t="shared" si="56"/>
        <v>2021</v>
      </c>
      <c r="GX172" s="498">
        <f t="shared" si="56"/>
        <v>2021</v>
      </c>
      <c r="GY172" s="498">
        <f t="shared" si="56"/>
        <v>2021</v>
      </c>
      <c r="GZ172" s="498">
        <f t="shared" si="56"/>
        <v>2021</v>
      </c>
      <c r="HA172" s="498">
        <f t="shared" si="56"/>
        <v>2021</v>
      </c>
      <c r="HB172" s="498">
        <f t="shared" si="56"/>
        <v>2021</v>
      </c>
      <c r="HC172" s="498">
        <f t="shared" si="56"/>
        <v>2021</v>
      </c>
      <c r="HD172" s="498">
        <f t="shared" si="56"/>
        <v>2021</v>
      </c>
      <c r="HE172" s="498">
        <f t="shared" si="56"/>
        <v>2021</v>
      </c>
      <c r="HF172" s="498">
        <f t="shared" si="56"/>
        <v>2021</v>
      </c>
      <c r="HG172" s="498">
        <f t="shared" si="56"/>
        <v>2021</v>
      </c>
      <c r="HH172" s="498">
        <f t="shared" si="56"/>
        <v>2021</v>
      </c>
      <c r="HI172" s="498">
        <f t="shared" si="56"/>
        <v>2021</v>
      </c>
      <c r="HJ172" s="498">
        <f t="shared" si="56"/>
        <v>2021</v>
      </c>
      <c r="HK172" s="498">
        <f t="shared" si="56"/>
        <v>2021</v>
      </c>
      <c r="HL172" s="498">
        <f t="shared" si="56"/>
        <v>2021</v>
      </c>
      <c r="HM172" s="498">
        <f t="shared" si="56"/>
        <v>2021</v>
      </c>
      <c r="HN172" s="498">
        <f t="shared" si="56"/>
        <v>2021</v>
      </c>
      <c r="HO172" s="498">
        <f t="shared" si="56"/>
        <v>2021</v>
      </c>
      <c r="HP172" s="498">
        <f t="shared" si="56"/>
        <v>2021</v>
      </c>
      <c r="HQ172" s="498">
        <f t="shared" si="56"/>
        <v>2021</v>
      </c>
      <c r="HR172" s="498">
        <f t="shared" si="56"/>
        <v>2021</v>
      </c>
      <c r="HS172" s="498">
        <f t="shared" si="56"/>
        <v>2021</v>
      </c>
      <c r="HT172" s="498">
        <f t="shared" si="56"/>
        <v>2021</v>
      </c>
      <c r="HU172" s="498">
        <f t="shared" si="56"/>
        <v>2021</v>
      </c>
      <c r="HV172" s="498">
        <f t="shared" si="56"/>
        <v>2021</v>
      </c>
      <c r="HW172" s="498">
        <f t="shared" si="56"/>
        <v>2021</v>
      </c>
      <c r="HX172" s="498">
        <f t="shared" si="56"/>
        <v>2021</v>
      </c>
      <c r="HY172" s="498">
        <f t="shared" si="56"/>
        <v>2021</v>
      </c>
      <c r="HZ172" s="498">
        <f t="shared" si="56"/>
        <v>2021</v>
      </c>
      <c r="IA172" s="498">
        <f t="shared" si="56"/>
        <v>2021</v>
      </c>
      <c r="IB172" s="498">
        <f t="shared" si="56"/>
        <v>2021</v>
      </c>
      <c r="IC172" s="498">
        <f t="shared" si="56"/>
        <v>2021</v>
      </c>
      <c r="ID172" s="498">
        <f t="shared" si="56"/>
        <v>2021</v>
      </c>
      <c r="IE172" s="498">
        <f t="shared" si="56"/>
        <v>2021</v>
      </c>
      <c r="IF172" s="498">
        <f t="shared" si="56"/>
        <v>2021</v>
      </c>
      <c r="IG172" s="498">
        <f t="shared" si="56"/>
        <v>2021</v>
      </c>
      <c r="IH172" s="498">
        <f t="shared" si="56"/>
        <v>2021</v>
      </c>
      <c r="II172" s="498">
        <f t="shared" si="56"/>
        <v>2021</v>
      </c>
      <c r="IJ172" s="498">
        <f t="shared" si="56"/>
        <v>2021</v>
      </c>
      <c r="IK172" s="498">
        <f t="shared" si="56"/>
        <v>2021</v>
      </c>
      <c r="IL172" s="498">
        <f t="shared" si="56"/>
        <v>2021</v>
      </c>
      <c r="IM172" s="498">
        <f t="shared" si="56"/>
        <v>2021</v>
      </c>
      <c r="IN172" s="498">
        <f t="shared" si="56"/>
        <v>2021</v>
      </c>
      <c r="IO172" s="498">
        <f t="shared" si="56"/>
        <v>2021</v>
      </c>
      <c r="IP172" s="498">
        <f t="shared" si="56"/>
        <v>2021</v>
      </c>
      <c r="IQ172" s="498">
        <f t="shared" si="56"/>
        <v>2021</v>
      </c>
      <c r="IR172" s="498">
        <f t="shared" si="56"/>
        <v>2021</v>
      </c>
      <c r="IS172" s="498">
        <f t="shared" si="56"/>
        <v>2021</v>
      </c>
      <c r="IT172" s="498">
        <f t="shared" si="56"/>
        <v>2021</v>
      </c>
      <c r="IU172" s="498">
        <f t="shared" si="56"/>
        <v>2021</v>
      </c>
      <c r="IV172" s="498">
        <f t="shared" si="56"/>
        <v>2020</v>
      </c>
      <c r="IW172" s="498">
        <f t="shared" si="56"/>
        <v>2020</v>
      </c>
      <c r="IX172" s="498">
        <f t="shared" si="56"/>
        <v>2020</v>
      </c>
      <c r="IY172" s="498">
        <f t="shared" si="56"/>
        <v>2020</v>
      </c>
      <c r="IZ172" s="498">
        <f t="shared" si="56"/>
        <v>2020</v>
      </c>
      <c r="JA172" s="498">
        <f t="shared" si="56"/>
        <v>2020</v>
      </c>
      <c r="JB172" s="498">
        <f t="shared" si="56"/>
        <v>2020</v>
      </c>
      <c r="JC172" s="498">
        <f t="shared" si="56"/>
        <v>2020</v>
      </c>
      <c r="JD172" s="498">
        <f t="shared" ref="JD172:LO172" si="57">YEAR(JD173)</f>
        <v>2020</v>
      </c>
      <c r="JE172" s="498">
        <f t="shared" si="57"/>
        <v>2020</v>
      </c>
      <c r="JF172" s="498">
        <f t="shared" si="57"/>
        <v>2020</v>
      </c>
      <c r="JG172" s="498">
        <f t="shared" si="57"/>
        <v>2020</v>
      </c>
      <c r="JH172" s="498">
        <f t="shared" si="57"/>
        <v>2020</v>
      </c>
      <c r="JI172" s="498">
        <f t="shared" si="57"/>
        <v>2020</v>
      </c>
      <c r="JJ172" s="498">
        <f t="shared" si="57"/>
        <v>2020</v>
      </c>
      <c r="JK172" s="498">
        <f t="shared" si="57"/>
        <v>2020</v>
      </c>
      <c r="JL172" s="498">
        <f t="shared" si="57"/>
        <v>2020</v>
      </c>
      <c r="JM172" s="498">
        <f t="shared" si="57"/>
        <v>2020</v>
      </c>
      <c r="JN172" s="498">
        <f t="shared" si="57"/>
        <v>2020</v>
      </c>
      <c r="JO172" s="498">
        <f t="shared" si="57"/>
        <v>2020</v>
      </c>
      <c r="JP172" s="498">
        <f t="shared" si="57"/>
        <v>2020</v>
      </c>
      <c r="JQ172" s="498">
        <f t="shared" si="57"/>
        <v>2020</v>
      </c>
      <c r="JR172" s="498">
        <f t="shared" si="57"/>
        <v>2020</v>
      </c>
      <c r="JS172" s="498">
        <f t="shared" si="57"/>
        <v>2020</v>
      </c>
      <c r="JT172" s="498">
        <f t="shared" si="57"/>
        <v>2020</v>
      </c>
      <c r="JU172" s="498">
        <f t="shared" si="57"/>
        <v>2020</v>
      </c>
      <c r="JV172" s="498">
        <f t="shared" si="57"/>
        <v>2020</v>
      </c>
      <c r="JW172" s="498">
        <f t="shared" si="57"/>
        <v>2020</v>
      </c>
      <c r="JX172" s="498">
        <f t="shared" si="57"/>
        <v>2020</v>
      </c>
      <c r="JY172" s="498">
        <f t="shared" si="57"/>
        <v>2020</v>
      </c>
      <c r="JZ172" s="498">
        <f t="shared" si="57"/>
        <v>2020</v>
      </c>
      <c r="KA172" s="498">
        <f t="shared" si="57"/>
        <v>2020</v>
      </c>
      <c r="KB172" s="498">
        <f t="shared" si="57"/>
        <v>2020</v>
      </c>
      <c r="KC172" s="498">
        <f t="shared" si="57"/>
        <v>2020</v>
      </c>
      <c r="KD172" s="498">
        <f t="shared" si="57"/>
        <v>2020</v>
      </c>
      <c r="KE172" s="498">
        <f t="shared" si="57"/>
        <v>2020</v>
      </c>
      <c r="KF172" s="498">
        <f t="shared" si="57"/>
        <v>2020</v>
      </c>
      <c r="KG172" s="498">
        <f t="shared" si="57"/>
        <v>2020</v>
      </c>
      <c r="KH172" s="498">
        <f t="shared" si="57"/>
        <v>2020</v>
      </c>
      <c r="KI172" s="498">
        <f t="shared" si="57"/>
        <v>2020</v>
      </c>
      <c r="KJ172" s="498">
        <f t="shared" si="57"/>
        <v>2020</v>
      </c>
      <c r="KK172" s="498">
        <f t="shared" si="57"/>
        <v>2020</v>
      </c>
      <c r="KL172" s="498">
        <f t="shared" si="57"/>
        <v>2020</v>
      </c>
      <c r="KM172" s="498">
        <f t="shared" si="57"/>
        <v>2020</v>
      </c>
      <c r="KN172" s="498">
        <f t="shared" si="57"/>
        <v>2020</v>
      </c>
      <c r="KO172" s="498">
        <f t="shared" si="57"/>
        <v>2020</v>
      </c>
      <c r="KP172" s="498">
        <f t="shared" si="57"/>
        <v>2020</v>
      </c>
      <c r="KQ172" s="498">
        <f t="shared" si="57"/>
        <v>2020</v>
      </c>
      <c r="KR172" s="498">
        <f t="shared" si="57"/>
        <v>2020</v>
      </c>
      <c r="KS172" s="498">
        <f t="shared" si="57"/>
        <v>2020</v>
      </c>
      <c r="KT172" s="498">
        <f t="shared" si="57"/>
        <v>2020</v>
      </c>
      <c r="KU172" s="498">
        <f t="shared" si="57"/>
        <v>2020</v>
      </c>
      <c r="KV172" s="498">
        <f t="shared" si="57"/>
        <v>2020</v>
      </c>
      <c r="KW172" s="498">
        <f t="shared" si="57"/>
        <v>2020</v>
      </c>
      <c r="KX172" s="498">
        <f t="shared" si="57"/>
        <v>2020</v>
      </c>
      <c r="KY172" s="498">
        <f t="shared" si="57"/>
        <v>2020</v>
      </c>
      <c r="KZ172" s="498">
        <f t="shared" si="57"/>
        <v>2020</v>
      </c>
      <c r="LA172" s="498">
        <f t="shared" si="57"/>
        <v>2020</v>
      </c>
      <c r="LB172" s="498">
        <f t="shared" si="57"/>
        <v>2020</v>
      </c>
      <c r="LC172" s="498">
        <f t="shared" si="57"/>
        <v>2020</v>
      </c>
      <c r="LD172" s="498">
        <f t="shared" si="57"/>
        <v>2020</v>
      </c>
      <c r="LE172" s="498">
        <f t="shared" si="57"/>
        <v>2020</v>
      </c>
      <c r="LF172" s="498">
        <f t="shared" si="57"/>
        <v>2020</v>
      </c>
      <c r="LG172" s="498">
        <f t="shared" si="57"/>
        <v>2020</v>
      </c>
      <c r="LH172" s="498">
        <f t="shared" si="57"/>
        <v>2020</v>
      </c>
      <c r="LI172" s="498">
        <f t="shared" si="57"/>
        <v>2020</v>
      </c>
      <c r="LJ172" s="498">
        <f t="shared" si="57"/>
        <v>2020</v>
      </c>
      <c r="LK172" s="498">
        <f t="shared" si="57"/>
        <v>2020</v>
      </c>
      <c r="LL172" s="498">
        <f t="shared" si="57"/>
        <v>2020</v>
      </c>
      <c r="LM172" s="498">
        <f t="shared" si="57"/>
        <v>2020</v>
      </c>
      <c r="LN172" s="498">
        <f t="shared" si="57"/>
        <v>2020</v>
      </c>
      <c r="LO172" s="498">
        <f t="shared" si="57"/>
        <v>2020</v>
      </c>
      <c r="LP172" s="498">
        <f t="shared" ref="LP172:OA172" si="58">YEAR(LP173)</f>
        <v>2020</v>
      </c>
      <c r="LQ172" s="498">
        <f t="shared" si="58"/>
        <v>2020</v>
      </c>
      <c r="LR172" s="498">
        <f t="shared" si="58"/>
        <v>2020</v>
      </c>
      <c r="LS172" s="498">
        <f t="shared" si="58"/>
        <v>2020</v>
      </c>
      <c r="LT172" s="498">
        <f t="shared" si="58"/>
        <v>2020</v>
      </c>
      <c r="LU172" s="498">
        <f t="shared" si="58"/>
        <v>2020</v>
      </c>
      <c r="LV172" s="498">
        <f t="shared" si="58"/>
        <v>2020</v>
      </c>
      <c r="LW172" s="498">
        <f t="shared" si="58"/>
        <v>2020</v>
      </c>
      <c r="LX172" s="498">
        <f t="shared" si="58"/>
        <v>2020</v>
      </c>
      <c r="LY172" s="498">
        <f t="shared" si="58"/>
        <v>2020</v>
      </c>
      <c r="LZ172" s="498">
        <f t="shared" si="58"/>
        <v>2020</v>
      </c>
      <c r="MA172" s="498">
        <f t="shared" si="58"/>
        <v>2020</v>
      </c>
      <c r="MB172" s="498">
        <f t="shared" si="58"/>
        <v>2020</v>
      </c>
      <c r="MC172" s="498">
        <f t="shared" si="58"/>
        <v>2020</v>
      </c>
      <c r="MD172" s="498">
        <f t="shared" si="58"/>
        <v>2020</v>
      </c>
      <c r="ME172" s="498">
        <f t="shared" si="58"/>
        <v>2020</v>
      </c>
      <c r="MF172" s="498">
        <f t="shared" si="58"/>
        <v>2020</v>
      </c>
      <c r="MG172" s="498">
        <f t="shared" si="58"/>
        <v>2020</v>
      </c>
      <c r="MH172" s="498">
        <f t="shared" si="58"/>
        <v>2020</v>
      </c>
      <c r="MI172" s="498">
        <f t="shared" si="58"/>
        <v>2020</v>
      </c>
      <c r="MJ172" s="498">
        <f t="shared" si="58"/>
        <v>2020</v>
      </c>
      <c r="MK172" s="498">
        <f t="shared" si="58"/>
        <v>2020</v>
      </c>
      <c r="ML172" s="498">
        <f t="shared" si="58"/>
        <v>2020</v>
      </c>
      <c r="MM172" s="498">
        <f t="shared" si="58"/>
        <v>2020</v>
      </c>
      <c r="MN172" s="498">
        <f t="shared" si="58"/>
        <v>2020</v>
      </c>
      <c r="MO172" s="498">
        <f t="shared" si="58"/>
        <v>2020</v>
      </c>
      <c r="MP172" s="498">
        <f t="shared" si="58"/>
        <v>2020</v>
      </c>
      <c r="MQ172" s="498">
        <f t="shared" si="58"/>
        <v>2020</v>
      </c>
      <c r="MR172" s="498">
        <f t="shared" si="58"/>
        <v>2020</v>
      </c>
      <c r="MS172" s="498">
        <f t="shared" si="58"/>
        <v>2020</v>
      </c>
      <c r="MT172" s="498">
        <f t="shared" si="58"/>
        <v>2020</v>
      </c>
      <c r="MU172" s="498">
        <f t="shared" si="58"/>
        <v>2020</v>
      </c>
      <c r="MV172" s="498">
        <f t="shared" si="58"/>
        <v>2020</v>
      </c>
      <c r="MW172" s="498">
        <f t="shared" si="58"/>
        <v>2020</v>
      </c>
      <c r="MX172" s="498">
        <f t="shared" si="58"/>
        <v>2020</v>
      </c>
      <c r="MY172" s="498">
        <f t="shared" si="58"/>
        <v>2020</v>
      </c>
      <c r="MZ172" s="498">
        <f t="shared" si="58"/>
        <v>2020</v>
      </c>
      <c r="NA172" s="498">
        <f t="shared" si="58"/>
        <v>2020</v>
      </c>
      <c r="NB172" s="498">
        <f t="shared" si="58"/>
        <v>2020</v>
      </c>
      <c r="NC172" s="498">
        <f t="shared" si="58"/>
        <v>2020</v>
      </c>
      <c r="ND172" s="498">
        <f t="shared" si="58"/>
        <v>2020</v>
      </c>
      <c r="NE172" s="498">
        <f t="shared" si="58"/>
        <v>2020</v>
      </c>
      <c r="NF172" s="498">
        <f t="shared" si="58"/>
        <v>2020</v>
      </c>
      <c r="NG172" s="498">
        <f t="shared" si="58"/>
        <v>2020</v>
      </c>
      <c r="NH172" s="498">
        <f t="shared" si="58"/>
        <v>2020</v>
      </c>
      <c r="NI172" s="498">
        <f t="shared" si="58"/>
        <v>2020</v>
      </c>
      <c r="NJ172" s="498">
        <f t="shared" si="58"/>
        <v>2020</v>
      </c>
      <c r="NK172" s="498">
        <f t="shared" si="58"/>
        <v>2020</v>
      </c>
      <c r="NL172" s="498">
        <f t="shared" si="58"/>
        <v>2020</v>
      </c>
      <c r="NM172" s="498">
        <f t="shared" si="58"/>
        <v>2020</v>
      </c>
      <c r="NN172" s="498">
        <f t="shared" si="58"/>
        <v>2020</v>
      </c>
      <c r="NO172" s="498">
        <f t="shared" si="58"/>
        <v>2020</v>
      </c>
      <c r="NP172" s="498">
        <f t="shared" si="58"/>
        <v>2020</v>
      </c>
      <c r="NQ172" s="498">
        <f t="shared" si="58"/>
        <v>2020</v>
      </c>
      <c r="NR172" s="498">
        <f t="shared" si="58"/>
        <v>2020</v>
      </c>
      <c r="NS172" s="498">
        <f t="shared" si="58"/>
        <v>2020</v>
      </c>
      <c r="NT172" s="498">
        <f t="shared" si="58"/>
        <v>2020</v>
      </c>
      <c r="NU172" s="498">
        <f t="shared" si="58"/>
        <v>2020</v>
      </c>
      <c r="NV172" s="498">
        <f t="shared" si="58"/>
        <v>2020</v>
      </c>
      <c r="NW172" s="498">
        <f t="shared" si="58"/>
        <v>2020</v>
      </c>
      <c r="NX172" s="498">
        <f t="shared" si="58"/>
        <v>2020</v>
      </c>
      <c r="NY172" s="498">
        <f t="shared" si="58"/>
        <v>2020</v>
      </c>
      <c r="NZ172" s="498">
        <f t="shared" si="58"/>
        <v>2020</v>
      </c>
      <c r="OA172" s="498">
        <f t="shared" si="58"/>
        <v>2020</v>
      </c>
      <c r="OB172" s="498">
        <f t="shared" ref="OB172:QM172" si="59">YEAR(OB173)</f>
        <v>2020</v>
      </c>
      <c r="OC172" s="498">
        <f t="shared" si="59"/>
        <v>2020</v>
      </c>
      <c r="OD172" s="498">
        <f t="shared" si="59"/>
        <v>2020</v>
      </c>
      <c r="OE172" s="498">
        <f t="shared" si="59"/>
        <v>2020</v>
      </c>
      <c r="OF172" s="498">
        <f t="shared" si="59"/>
        <v>2020</v>
      </c>
      <c r="OG172" s="498">
        <f t="shared" si="59"/>
        <v>2020</v>
      </c>
      <c r="OH172" s="498">
        <f t="shared" si="59"/>
        <v>2020</v>
      </c>
      <c r="OI172" s="498">
        <f t="shared" si="59"/>
        <v>2020</v>
      </c>
      <c r="OJ172" s="498">
        <f t="shared" si="59"/>
        <v>2020</v>
      </c>
      <c r="OK172" s="498">
        <f t="shared" si="59"/>
        <v>2020</v>
      </c>
      <c r="OL172" s="498">
        <f t="shared" si="59"/>
        <v>2020</v>
      </c>
      <c r="OM172" s="498">
        <f t="shared" si="59"/>
        <v>2020</v>
      </c>
      <c r="ON172" s="498">
        <f t="shared" si="59"/>
        <v>2020</v>
      </c>
      <c r="OO172" s="498">
        <f t="shared" si="59"/>
        <v>2020</v>
      </c>
      <c r="OP172" s="498">
        <f t="shared" si="59"/>
        <v>2020</v>
      </c>
      <c r="OQ172" s="498">
        <f t="shared" si="59"/>
        <v>2020</v>
      </c>
      <c r="OR172" s="498">
        <f t="shared" si="59"/>
        <v>2020</v>
      </c>
      <c r="OS172" s="498">
        <f t="shared" si="59"/>
        <v>2020</v>
      </c>
      <c r="OT172" s="498">
        <f t="shared" si="59"/>
        <v>2020</v>
      </c>
      <c r="OU172" s="498">
        <f t="shared" si="59"/>
        <v>2020</v>
      </c>
      <c r="OV172" s="498">
        <f t="shared" si="59"/>
        <v>2020</v>
      </c>
      <c r="OW172" s="498">
        <f t="shared" si="59"/>
        <v>2020</v>
      </c>
      <c r="OX172" s="498">
        <f t="shared" si="59"/>
        <v>2020</v>
      </c>
      <c r="OY172" s="498">
        <f t="shared" si="59"/>
        <v>2020</v>
      </c>
      <c r="OZ172" s="498">
        <f t="shared" si="59"/>
        <v>2020</v>
      </c>
      <c r="PA172" s="498">
        <f t="shared" si="59"/>
        <v>2020</v>
      </c>
      <c r="PB172" s="498">
        <f t="shared" si="59"/>
        <v>2020</v>
      </c>
      <c r="PC172" s="498">
        <f t="shared" si="59"/>
        <v>2020</v>
      </c>
      <c r="PD172" s="498">
        <f t="shared" si="59"/>
        <v>2020</v>
      </c>
      <c r="PE172" s="498">
        <f t="shared" si="59"/>
        <v>2020</v>
      </c>
      <c r="PF172" s="498">
        <f t="shared" si="59"/>
        <v>2020</v>
      </c>
      <c r="PG172" s="498">
        <f t="shared" si="59"/>
        <v>2020</v>
      </c>
      <c r="PH172" s="498">
        <f t="shared" si="59"/>
        <v>2020</v>
      </c>
      <c r="PI172" s="498">
        <f t="shared" si="59"/>
        <v>2020</v>
      </c>
      <c r="PJ172" s="498">
        <f t="shared" si="59"/>
        <v>2020</v>
      </c>
      <c r="PK172" s="498">
        <f t="shared" si="59"/>
        <v>2020</v>
      </c>
      <c r="PL172" s="498">
        <f t="shared" si="59"/>
        <v>2020</v>
      </c>
      <c r="PM172" s="498">
        <f t="shared" si="59"/>
        <v>2020</v>
      </c>
      <c r="PN172" s="498">
        <f t="shared" si="59"/>
        <v>2020</v>
      </c>
      <c r="PO172" s="498">
        <f t="shared" si="59"/>
        <v>2020</v>
      </c>
      <c r="PP172" s="498">
        <f t="shared" si="59"/>
        <v>2020</v>
      </c>
      <c r="PQ172" s="498">
        <f t="shared" si="59"/>
        <v>2020</v>
      </c>
      <c r="PR172" s="498">
        <f t="shared" si="59"/>
        <v>2020</v>
      </c>
      <c r="PS172" s="498">
        <f t="shared" si="59"/>
        <v>2020</v>
      </c>
      <c r="PT172" s="498">
        <f t="shared" si="59"/>
        <v>2020</v>
      </c>
      <c r="PU172" s="498">
        <f t="shared" si="59"/>
        <v>2020</v>
      </c>
      <c r="PV172" s="498">
        <f t="shared" si="59"/>
        <v>2020</v>
      </c>
      <c r="PW172" s="498">
        <f t="shared" si="59"/>
        <v>2020</v>
      </c>
      <c r="PX172" s="498">
        <f t="shared" si="59"/>
        <v>2020</v>
      </c>
      <c r="PY172" s="498">
        <f t="shared" si="59"/>
        <v>2020</v>
      </c>
      <c r="PZ172" s="498">
        <f t="shared" si="59"/>
        <v>2020</v>
      </c>
      <c r="QA172" s="498">
        <f t="shared" si="59"/>
        <v>2020</v>
      </c>
      <c r="QB172" s="498">
        <f t="shared" si="59"/>
        <v>2020</v>
      </c>
      <c r="QC172" s="498">
        <f t="shared" si="59"/>
        <v>2020</v>
      </c>
      <c r="QD172" s="498">
        <f t="shared" si="59"/>
        <v>2020</v>
      </c>
      <c r="QE172" s="498">
        <f t="shared" si="59"/>
        <v>2020</v>
      </c>
      <c r="QF172" s="498">
        <f t="shared" si="59"/>
        <v>2020</v>
      </c>
      <c r="QG172" s="498">
        <f t="shared" si="59"/>
        <v>2020</v>
      </c>
      <c r="QH172" s="498">
        <f t="shared" si="59"/>
        <v>2020</v>
      </c>
      <c r="QI172" s="498">
        <f t="shared" si="59"/>
        <v>2020</v>
      </c>
      <c r="QJ172" s="498">
        <f t="shared" si="59"/>
        <v>2020</v>
      </c>
      <c r="QK172" s="498">
        <f t="shared" si="59"/>
        <v>2020</v>
      </c>
      <c r="QL172" s="498">
        <f t="shared" si="59"/>
        <v>2020</v>
      </c>
      <c r="QM172" s="498">
        <f t="shared" si="59"/>
        <v>2020</v>
      </c>
      <c r="QN172" s="498">
        <f t="shared" ref="QN172:SY172" si="60">YEAR(QN173)</f>
        <v>2020</v>
      </c>
      <c r="QO172" s="498">
        <f t="shared" si="60"/>
        <v>2020</v>
      </c>
      <c r="QP172" s="498">
        <f t="shared" si="60"/>
        <v>2020</v>
      </c>
      <c r="QQ172" s="498">
        <f t="shared" si="60"/>
        <v>2020</v>
      </c>
      <c r="QR172" s="498">
        <f t="shared" si="60"/>
        <v>2020</v>
      </c>
      <c r="QS172" s="498">
        <f t="shared" si="60"/>
        <v>2020</v>
      </c>
      <c r="QT172" s="498">
        <f t="shared" si="60"/>
        <v>2020</v>
      </c>
      <c r="QU172" s="498">
        <f t="shared" si="60"/>
        <v>2020</v>
      </c>
      <c r="QV172" s="498">
        <f t="shared" si="60"/>
        <v>2020</v>
      </c>
      <c r="QW172" s="498">
        <f t="shared" si="60"/>
        <v>2020</v>
      </c>
      <c r="QX172" s="498">
        <f t="shared" si="60"/>
        <v>2020</v>
      </c>
      <c r="QY172" s="498">
        <f t="shared" si="60"/>
        <v>2020</v>
      </c>
      <c r="QZ172" s="498">
        <f t="shared" si="60"/>
        <v>2020</v>
      </c>
      <c r="RA172" s="498">
        <f t="shared" si="60"/>
        <v>2020</v>
      </c>
      <c r="RB172" s="498">
        <f t="shared" si="60"/>
        <v>2020</v>
      </c>
      <c r="RC172" s="498">
        <f t="shared" si="60"/>
        <v>2020</v>
      </c>
      <c r="RD172" s="498">
        <f t="shared" si="60"/>
        <v>2020</v>
      </c>
      <c r="RE172" s="498">
        <f t="shared" si="60"/>
        <v>2020</v>
      </c>
      <c r="RF172" s="498">
        <f t="shared" si="60"/>
        <v>2020</v>
      </c>
      <c r="RG172" s="498">
        <f t="shared" si="60"/>
        <v>2020</v>
      </c>
      <c r="RH172" s="498">
        <f t="shared" si="60"/>
        <v>2020</v>
      </c>
      <c r="RI172" s="498">
        <f t="shared" si="60"/>
        <v>2020</v>
      </c>
      <c r="RJ172" s="498">
        <f t="shared" si="60"/>
        <v>2020</v>
      </c>
      <c r="RK172" s="498">
        <f t="shared" si="60"/>
        <v>2020</v>
      </c>
      <c r="RL172" s="498">
        <f t="shared" si="60"/>
        <v>2020</v>
      </c>
      <c r="RM172" s="498">
        <f t="shared" si="60"/>
        <v>2020</v>
      </c>
      <c r="RN172" s="498">
        <f t="shared" si="60"/>
        <v>2020</v>
      </c>
      <c r="RO172" s="498">
        <f t="shared" si="60"/>
        <v>2020</v>
      </c>
      <c r="RP172" s="498">
        <f t="shared" si="60"/>
        <v>2020</v>
      </c>
      <c r="RQ172" s="498">
        <f t="shared" si="60"/>
        <v>2020</v>
      </c>
      <c r="RR172" s="498">
        <f t="shared" si="60"/>
        <v>2020</v>
      </c>
      <c r="RS172" s="498">
        <f t="shared" si="60"/>
        <v>2020</v>
      </c>
      <c r="RT172" s="498">
        <f t="shared" si="60"/>
        <v>2020</v>
      </c>
      <c r="RU172" s="498">
        <f t="shared" si="60"/>
        <v>2020</v>
      </c>
      <c r="RV172" s="498">
        <f t="shared" si="60"/>
        <v>2020</v>
      </c>
      <c r="RW172" s="498">
        <f t="shared" si="60"/>
        <v>2020</v>
      </c>
      <c r="RX172" s="498">
        <f t="shared" si="60"/>
        <v>2020</v>
      </c>
      <c r="RY172" s="498">
        <f t="shared" si="60"/>
        <v>2020</v>
      </c>
      <c r="RZ172" s="498">
        <f t="shared" si="60"/>
        <v>2020</v>
      </c>
      <c r="SA172" s="498">
        <f t="shared" si="60"/>
        <v>2020</v>
      </c>
      <c r="SB172" s="498">
        <f t="shared" si="60"/>
        <v>2020</v>
      </c>
      <c r="SC172" s="498">
        <f t="shared" si="60"/>
        <v>2020</v>
      </c>
      <c r="SD172" s="498">
        <f t="shared" si="60"/>
        <v>2020</v>
      </c>
      <c r="SE172" s="498">
        <f t="shared" si="60"/>
        <v>2020</v>
      </c>
      <c r="SF172" s="498">
        <f t="shared" si="60"/>
        <v>2020</v>
      </c>
      <c r="SG172" s="498">
        <f t="shared" si="60"/>
        <v>2020</v>
      </c>
      <c r="SH172" s="498">
        <f t="shared" si="60"/>
        <v>2020</v>
      </c>
      <c r="SI172" s="498">
        <f t="shared" si="60"/>
        <v>2020</v>
      </c>
      <c r="SJ172" s="498">
        <f t="shared" si="60"/>
        <v>2020</v>
      </c>
      <c r="SK172" s="498">
        <f t="shared" si="60"/>
        <v>2019</v>
      </c>
      <c r="SL172" s="498">
        <f t="shared" si="60"/>
        <v>2019</v>
      </c>
      <c r="SM172" s="498">
        <f t="shared" si="60"/>
        <v>2019</v>
      </c>
      <c r="SN172" s="498">
        <f t="shared" si="60"/>
        <v>2019</v>
      </c>
      <c r="SO172" s="498">
        <f t="shared" si="60"/>
        <v>2019</v>
      </c>
      <c r="SP172" s="498">
        <f t="shared" si="60"/>
        <v>2019</v>
      </c>
      <c r="SQ172" s="498">
        <f t="shared" si="60"/>
        <v>2019</v>
      </c>
      <c r="SR172" s="498">
        <f t="shared" si="60"/>
        <v>2019</v>
      </c>
      <c r="SS172" s="498">
        <f t="shared" si="60"/>
        <v>2019</v>
      </c>
      <c r="ST172" s="498">
        <f t="shared" si="60"/>
        <v>2019</v>
      </c>
      <c r="SU172" s="498">
        <f t="shared" si="60"/>
        <v>2019</v>
      </c>
      <c r="SV172" s="498">
        <f t="shared" si="60"/>
        <v>2019</v>
      </c>
      <c r="SW172" s="498">
        <f t="shared" si="60"/>
        <v>2019</v>
      </c>
      <c r="SX172" s="498">
        <f t="shared" si="60"/>
        <v>2019</v>
      </c>
      <c r="SY172" s="498">
        <f t="shared" si="60"/>
        <v>2019</v>
      </c>
      <c r="SZ172" s="498">
        <f t="shared" ref="SZ172:VK172" si="61">YEAR(SZ173)</f>
        <v>2019</v>
      </c>
      <c r="TA172" s="498">
        <f t="shared" si="61"/>
        <v>2019</v>
      </c>
      <c r="TB172" s="498">
        <f t="shared" si="61"/>
        <v>2019</v>
      </c>
      <c r="TC172" s="498">
        <f t="shared" si="61"/>
        <v>2019</v>
      </c>
      <c r="TD172" s="498">
        <f t="shared" si="61"/>
        <v>2019</v>
      </c>
      <c r="TE172" s="498">
        <f t="shared" si="61"/>
        <v>2019</v>
      </c>
      <c r="TF172" s="498">
        <f t="shared" si="61"/>
        <v>2019</v>
      </c>
      <c r="TG172" s="498">
        <f t="shared" si="61"/>
        <v>2019</v>
      </c>
      <c r="TH172" s="498">
        <f t="shared" si="61"/>
        <v>2019</v>
      </c>
      <c r="TI172" s="498">
        <f t="shared" si="61"/>
        <v>2019</v>
      </c>
      <c r="TJ172" s="498">
        <f t="shared" si="61"/>
        <v>2019</v>
      </c>
      <c r="TK172" s="498">
        <f t="shared" si="61"/>
        <v>2019</v>
      </c>
      <c r="TL172" s="498">
        <f t="shared" si="61"/>
        <v>2019</v>
      </c>
      <c r="TM172" s="498">
        <f t="shared" si="61"/>
        <v>2019</v>
      </c>
      <c r="TN172" s="498">
        <f t="shared" si="61"/>
        <v>2019</v>
      </c>
      <c r="TO172" s="498">
        <f t="shared" si="61"/>
        <v>2019</v>
      </c>
      <c r="TP172" s="498">
        <f t="shared" si="61"/>
        <v>2019</v>
      </c>
      <c r="TQ172" s="498">
        <f t="shared" si="61"/>
        <v>2019</v>
      </c>
      <c r="TR172" s="498">
        <f t="shared" si="61"/>
        <v>2019</v>
      </c>
      <c r="TS172" s="498">
        <f t="shared" si="61"/>
        <v>2019</v>
      </c>
      <c r="TT172" s="498">
        <f t="shared" si="61"/>
        <v>2019</v>
      </c>
      <c r="TU172" s="498">
        <f t="shared" si="61"/>
        <v>2019</v>
      </c>
      <c r="TV172" s="498">
        <f t="shared" si="61"/>
        <v>2019</v>
      </c>
      <c r="TW172" s="498">
        <f t="shared" si="61"/>
        <v>2019</v>
      </c>
      <c r="TX172" s="498">
        <f t="shared" si="61"/>
        <v>2019</v>
      </c>
      <c r="TY172" s="498">
        <f t="shared" si="61"/>
        <v>2019</v>
      </c>
      <c r="TZ172" s="498">
        <f t="shared" si="61"/>
        <v>2019</v>
      </c>
      <c r="UA172" s="498">
        <f t="shared" si="61"/>
        <v>2019</v>
      </c>
      <c r="UB172" s="498">
        <f t="shared" si="61"/>
        <v>2019</v>
      </c>
      <c r="UC172" s="498">
        <f t="shared" si="61"/>
        <v>2019</v>
      </c>
      <c r="UD172" s="498">
        <f t="shared" si="61"/>
        <v>2019</v>
      </c>
      <c r="UE172" s="498">
        <f t="shared" si="61"/>
        <v>2019</v>
      </c>
      <c r="UF172" s="498">
        <f t="shared" si="61"/>
        <v>2019</v>
      </c>
      <c r="UG172" s="498">
        <f t="shared" si="61"/>
        <v>2019</v>
      </c>
      <c r="UH172" s="498">
        <f t="shared" si="61"/>
        <v>2019</v>
      </c>
      <c r="UI172" s="498">
        <f t="shared" si="61"/>
        <v>2019</v>
      </c>
      <c r="UJ172" s="498">
        <f t="shared" si="61"/>
        <v>2019</v>
      </c>
      <c r="UK172" s="498">
        <f t="shared" si="61"/>
        <v>2019</v>
      </c>
      <c r="UL172" s="498">
        <f t="shared" si="61"/>
        <v>2019</v>
      </c>
      <c r="UM172" s="498">
        <f t="shared" si="61"/>
        <v>2019</v>
      </c>
      <c r="UN172" s="498">
        <f t="shared" si="61"/>
        <v>2019</v>
      </c>
      <c r="UO172" s="498">
        <f t="shared" si="61"/>
        <v>2019</v>
      </c>
      <c r="UP172" s="498">
        <f t="shared" si="61"/>
        <v>2019</v>
      </c>
      <c r="UQ172" s="498">
        <f t="shared" si="61"/>
        <v>2019</v>
      </c>
      <c r="UR172" s="498">
        <f t="shared" si="61"/>
        <v>2019</v>
      </c>
      <c r="US172" s="498">
        <f t="shared" si="61"/>
        <v>2019</v>
      </c>
      <c r="UT172" s="498">
        <f t="shared" si="61"/>
        <v>2019</v>
      </c>
      <c r="UU172" s="498">
        <f t="shared" si="61"/>
        <v>2019</v>
      </c>
      <c r="UV172" s="498">
        <f t="shared" si="61"/>
        <v>2019</v>
      </c>
      <c r="UW172" s="498">
        <f t="shared" si="61"/>
        <v>2019</v>
      </c>
      <c r="UX172" s="498">
        <f t="shared" si="61"/>
        <v>2019</v>
      </c>
      <c r="UY172" s="498">
        <f t="shared" si="61"/>
        <v>2019</v>
      </c>
      <c r="UZ172" s="498">
        <f t="shared" si="61"/>
        <v>2019</v>
      </c>
      <c r="VA172" s="498">
        <f t="shared" si="61"/>
        <v>2019</v>
      </c>
      <c r="VB172" s="498">
        <f t="shared" si="61"/>
        <v>2019</v>
      </c>
      <c r="VC172" s="498">
        <f t="shared" si="61"/>
        <v>2019</v>
      </c>
      <c r="VD172" s="498">
        <f t="shared" si="61"/>
        <v>2019</v>
      </c>
      <c r="VE172" s="498">
        <f t="shared" si="61"/>
        <v>2019</v>
      </c>
      <c r="VF172" s="498">
        <f t="shared" si="61"/>
        <v>2019</v>
      </c>
      <c r="VG172" s="498">
        <f t="shared" si="61"/>
        <v>2019</v>
      </c>
      <c r="VH172" s="498">
        <f t="shared" si="61"/>
        <v>2019</v>
      </c>
      <c r="VI172" s="498">
        <f t="shared" si="61"/>
        <v>2019</v>
      </c>
      <c r="VJ172" s="498">
        <f t="shared" si="61"/>
        <v>2019</v>
      </c>
      <c r="VK172" s="498">
        <f t="shared" si="61"/>
        <v>2019</v>
      </c>
      <c r="VL172" s="498">
        <f t="shared" ref="VL172:XW172" si="62">YEAR(VL173)</f>
        <v>2019</v>
      </c>
      <c r="VM172" s="498">
        <f t="shared" si="62"/>
        <v>2019</v>
      </c>
      <c r="VN172" s="498">
        <f t="shared" si="62"/>
        <v>2019</v>
      </c>
      <c r="VO172" s="498">
        <f t="shared" si="62"/>
        <v>2019</v>
      </c>
      <c r="VP172" s="498">
        <f t="shared" si="62"/>
        <v>2019</v>
      </c>
      <c r="VQ172" s="498">
        <f t="shared" si="62"/>
        <v>2019</v>
      </c>
      <c r="VR172" s="498">
        <f t="shared" si="62"/>
        <v>2019</v>
      </c>
      <c r="VS172" s="498">
        <f t="shared" si="62"/>
        <v>2019</v>
      </c>
      <c r="VT172" s="498">
        <f t="shared" si="62"/>
        <v>2019</v>
      </c>
      <c r="VU172" s="498">
        <f t="shared" si="62"/>
        <v>2019</v>
      </c>
      <c r="VV172" s="498">
        <f t="shared" si="62"/>
        <v>2019</v>
      </c>
      <c r="VW172" s="498">
        <f t="shared" si="62"/>
        <v>2019</v>
      </c>
      <c r="VX172" s="498">
        <f t="shared" si="62"/>
        <v>2019</v>
      </c>
      <c r="VY172" s="498">
        <f t="shared" si="62"/>
        <v>2019</v>
      </c>
      <c r="VZ172" s="498">
        <f t="shared" si="62"/>
        <v>2019</v>
      </c>
      <c r="WA172" s="498">
        <f t="shared" si="62"/>
        <v>2019</v>
      </c>
      <c r="WB172" s="498">
        <f t="shared" si="62"/>
        <v>2019</v>
      </c>
      <c r="WC172" s="498">
        <f t="shared" si="62"/>
        <v>2019</v>
      </c>
      <c r="WD172" s="498">
        <f t="shared" si="62"/>
        <v>2019</v>
      </c>
      <c r="WE172" s="498">
        <f t="shared" si="62"/>
        <v>2019</v>
      </c>
      <c r="WF172" s="498">
        <f t="shared" si="62"/>
        <v>2019</v>
      </c>
      <c r="WG172" s="498">
        <f t="shared" si="62"/>
        <v>2019</v>
      </c>
      <c r="WH172" s="498">
        <f t="shared" si="62"/>
        <v>2019</v>
      </c>
      <c r="WI172" s="498">
        <f t="shared" si="62"/>
        <v>2019</v>
      </c>
      <c r="WJ172" s="498">
        <f t="shared" si="62"/>
        <v>2019</v>
      </c>
      <c r="WK172" s="498">
        <f t="shared" si="62"/>
        <v>2019</v>
      </c>
      <c r="WL172" s="498">
        <f t="shared" si="62"/>
        <v>2019</v>
      </c>
      <c r="WM172" s="498">
        <f t="shared" si="62"/>
        <v>2019</v>
      </c>
      <c r="WN172" s="498">
        <f t="shared" si="62"/>
        <v>2019</v>
      </c>
      <c r="WO172" s="498">
        <f t="shared" si="62"/>
        <v>2019</v>
      </c>
      <c r="WP172" s="498">
        <f t="shared" si="62"/>
        <v>2019</v>
      </c>
      <c r="WQ172" s="498">
        <f t="shared" si="62"/>
        <v>2019</v>
      </c>
      <c r="WR172" s="498">
        <f t="shared" si="62"/>
        <v>2019</v>
      </c>
      <c r="WS172" s="498">
        <f t="shared" si="62"/>
        <v>2019</v>
      </c>
      <c r="WT172" s="498">
        <f t="shared" si="62"/>
        <v>2019</v>
      </c>
      <c r="WU172" s="498">
        <f t="shared" si="62"/>
        <v>2019</v>
      </c>
      <c r="WV172" s="498">
        <f t="shared" si="62"/>
        <v>2019</v>
      </c>
      <c r="WW172" s="498">
        <f t="shared" si="62"/>
        <v>2019</v>
      </c>
      <c r="WX172" s="498">
        <f t="shared" si="62"/>
        <v>2019</v>
      </c>
      <c r="WY172" s="498">
        <f t="shared" si="62"/>
        <v>2019</v>
      </c>
      <c r="WZ172" s="498">
        <f t="shared" si="62"/>
        <v>2019</v>
      </c>
      <c r="XA172" s="498">
        <f t="shared" si="62"/>
        <v>2019</v>
      </c>
      <c r="XB172" s="498">
        <f t="shared" si="62"/>
        <v>2019</v>
      </c>
      <c r="XC172" s="498">
        <f t="shared" si="62"/>
        <v>2019</v>
      </c>
      <c r="XD172" s="498">
        <f t="shared" si="62"/>
        <v>2019</v>
      </c>
      <c r="XE172" s="498">
        <f t="shared" si="62"/>
        <v>2019</v>
      </c>
      <c r="XF172" s="498">
        <f t="shared" si="62"/>
        <v>2019</v>
      </c>
      <c r="XG172" s="498">
        <f t="shared" si="62"/>
        <v>2019</v>
      </c>
      <c r="XH172" s="498">
        <f t="shared" si="62"/>
        <v>2019</v>
      </c>
      <c r="XI172" s="498">
        <f t="shared" si="62"/>
        <v>2019</v>
      </c>
      <c r="XJ172" s="498">
        <f t="shared" si="62"/>
        <v>2019</v>
      </c>
      <c r="XK172" s="498">
        <f t="shared" si="62"/>
        <v>2019</v>
      </c>
      <c r="XL172" s="498">
        <f t="shared" si="62"/>
        <v>2019</v>
      </c>
      <c r="XM172" s="498">
        <f t="shared" si="62"/>
        <v>2019</v>
      </c>
      <c r="XN172" s="498">
        <f t="shared" si="62"/>
        <v>2019</v>
      </c>
      <c r="XO172" s="498">
        <f t="shared" si="62"/>
        <v>2019</v>
      </c>
      <c r="XP172" s="498">
        <f t="shared" si="62"/>
        <v>2019</v>
      </c>
      <c r="XQ172" s="498">
        <f t="shared" si="62"/>
        <v>2019</v>
      </c>
      <c r="XR172" s="498">
        <f t="shared" si="62"/>
        <v>2019</v>
      </c>
      <c r="XS172" s="498">
        <f t="shared" si="62"/>
        <v>2019</v>
      </c>
      <c r="XT172" s="498">
        <f t="shared" si="62"/>
        <v>2019</v>
      </c>
      <c r="XU172" s="498">
        <f t="shared" si="62"/>
        <v>2019</v>
      </c>
      <c r="XV172" s="498">
        <f t="shared" si="62"/>
        <v>2019</v>
      </c>
      <c r="XW172" s="498">
        <f t="shared" si="62"/>
        <v>2019</v>
      </c>
      <c r="XX172" s="498">
        <f t="shared" ref="XX172:AAI172" si="63">YEAR(XX173)</f>
        <v>2019</v>
      </c>
      <c r="XY172" s="498">
        <f t="shared" si="63"/>
        <v>2019</v>
      </c>
      <c r="XZ172" s="498">
        <f t="shared" si="63"/>
        <v>2019</v>
      </c>
      <c r="YA172" s="498">
        <f t="shared" si="63"/>
        <v>2019</v>
      </c>
      <c r="YB172" s="498">
        <f t="shared" si="63"/>
        <v>2019</v>
      </c>
      <c r="YC172" s="498">
        <f t="shared" si="63"/>
        <v>2019</v>
      </c>
      <c r="YD172" s="498">
        <f t="shared" si="63"/>
        <v>2019</v>
      </c>
      <c r="YE172" s="498">
        <f t="shared" si="63"/>
        <v>2019</v>
      </c>
      <c r="YF172" s="498">
        <f t="shared" si="63"/>
        <v>2019</v>
      </c>
      <c r="YG172" s="498">
        <f t="shared" si="63"/>
        <v>2019</v>
      </c>
      <c r="YH172" s="498">
        <f t="shared" si="63"/>
        <v>2019</v>
      </c>
      <c r="YI172" s="498">
        <f t="shared" si="63"/>
        <v>2019</v>
      </c>
      <c r="YJ172" s="498">
        <f t="shared" si="63"/>
        <v>2019</v>
      </c>
      <c r="YK172" s="498">
        <f t="shared" si="63"/>
        <v>2019</v>
      </c>
      <c r="YL172" s="498">
        <f t="shared" si="63"/>
        <v>2019</v>
      </c>
      <c r="YM172" s="498">
        <f t="shared" si="63"/>
        <v>2019</v>
      </c>
      <c r="YN172" s="498">
        <f t="shared" si="63"/>
        <v>2019</v>
      </c>
      <c r="YO172" s="498">
        <f t="shared" si="63"/>
        <v>2019</v>
      </c>
      <c r="YP172" s="498">
        <f t="shared" si="63"/>
        <v>2019</v>
      </c>
      <c r="YQ172" s="498">
        <f t="shared" si="63"/>
        <v>2019</v>
      </c>
      <c r="YR172" s="498">
        <f t="shared" si="63"/>
        <v>2019</v>
      </c>
      <c r="YS172" s="498">
        <f t="shared" si="63"/>
        <v>2019</v>
      </c>
      <c r="YT172" s="498">
        <f t="shared" si="63"/>
        <v>2019</v>
      </c>
      <c r="YU172" s="498">
        <f t="shared" si="63"/>
        <v>2019</v>
      </c>
      <c r="YV172" s="498">
        <f t="shared" si="63"/>
        <v>2019</v>
      </c>
      <c r="YW172" s="498">
        <f t="shared" si="63"/>
        <v>2019</v>
      </c>
      <c r="YX172" s="498">
        <f t="shared" si="63"/>
        <v>2019</v>
      </c>
      <c r="YY172" s="498">
        <f t="shared" si="63"/>
        <v>2019</v>
      </c>
      <c r="YZ172" s="498">
        <f t="shared" si="63"/>
        <v>2019</v>
      </c>
      <c r="ZA172" s="498">
        <f t="shared" si="63"/>
        <v>2019</v>
      </c>
      <c r="ZB172" s="498">
        <f t="shared" si="63"/>
        <v>2019</v>
      </c>
      <c r="ZC172" s="498">
        <f t="shared" si="63"/>
        <v>2019</v>
      </c>
      <c r="ZD172" s="498">
        <f t="shared" si="63"/>
        <v>2019</v>
      </c>
      <c r="ZE172" s="498">
        <f t="shared" si="63"/>
        <v>2019</v>
      </c>
      <c r="ZF172" s="498">
        <f t="shared" si="63"/>
        <v>2019</v>
      </c>
      <c r="ZG172" s="498">
        <f t="shared" si="63"/>
        <v>2019</v>
      </c>
      <c r="ZH172" s="498">
        <f t="shared" si="63"/>
        <v>2019</v>
      </c>
      <c r="ZI172" s="498">
        <f t="shared" si="63"/>
        <v>2019</v>
      </c>
      <c r="ZJ172" s="498">
        <f t="shared" si="63"/>
        <v>2019</v>
      </c>
      <c r="ZK172" s="498">
        <f t="shared" si="63"/>
        <v>2019</v>
      </c>
      <c r="ZL172" s="498">
        <f t="shared" si="63"/>
        <v>2019</v>
      </c>
      <c r="ZM172" s="498">
        <f t="shared" si="63"/>
        <v>2019</v>
      </c>
      <c r="ZN172" s="498">
        <f t="shared" si="63"/>
        <v>2019</v>
      </c>
      <c r="ZO172" s="498">
        <f t="shared" si="63"/>
        <v>2019</v>
      </c>
      <c r="ZP172" s="498">
        <f t="shared" si="63"/>
        <v>2019</v>
      </c>
      <c r="ZQ172" s="498">
        <f t="shared" si="63"/>
        <v>2019</v>
      </c>
      <c r="ZR172" s="498">
        <f t="shared" si="63"/>
        <v>2019</v>
      </c>
      <c r="ZS172" s="498">
        <f t="shared" si="63"/>
        <v>2019</v>
      </c>
      <c r="ZT172" s="498">
        <f t="shared" si="63"/>
        <v>2019</v>
      </c>
      <c r="ZU172" s="498">
        <f t="shared" si="63"/>
        <v>2019</v>
      </c>
      <c r="ZV172" s="498">
        <f t="shared" si="63"/>
        <v>2019</v>
      </c>
      <c r="ZW172" s="498">
        <f t="shared" si="63"/>
        <v>2019</v>
      </c>
      <c r="ZX172" s="498">
        <f t="shared" si="63"/>
        <v>2019</v>
      </c>
      <c r="ZY172" s="498">
        <f t="shared" si="63"/>
        <v>2019</v>
      </c>
      <c r="ZZ172" s="498">
        <f t="shared" si="63"/>
        <v>2019</v>
      </c>
      <c r="AAA172" s="498">
        <f t="shared" si="63"/>
        <v>2019</v>
      </c>
      <c r="AAB172" s="498">
        <f t="shared" si="63"/>
        <v>2019</v>
      </c>
      <c r="AAC172" s="498">
        <f t="shared" si="63"/>
        <v>2019</v>
      </c>
      <c r="AAD172" s="498">
        <f t="shared" si="63"/>
        <v>2019</v>
      </c>
      <c r="AAE172" s="498">
        <f t="shared" si="63"/>
        <v>2019</v>
      </c>
      <c r="AAF172" s="498">
        <f t="shared" si="63"/>
        <v>2019</v>
      </c>
      <c r="AAG172" s="498">
        <f t="shared" si="63"/>
        <v>2019</v>
      </c>
      <c r="AAH172" s="498">
        <f t="shared" si="63"/>
        <v>2019</v>
      </c>
      <c r="AAI172" s="498">
        <f t="shared" si="63"/>
        <v>2019</v>
      </c>
      <c r="AAJ172" s="498">
        <f t="shared" ref="AAJ172:ACU172" si="64">YEAR(AAJ173)</f>
        <v>2019</v>
      </c>
      <c r="AAK172" s="498">
        <f t="shared" si="64"/>
        <v>2019</v>
      </c>
      <c r="AAL172" s="498">
        <f t="shared" si="64"/>
        <v>2019</v>
      </c>
      <c r="AAM172" s="498">
        <f t="shared" si="64"/>
        <v>2019</v>
      </c>
      <c r="AAN172" s="498">
        <f t="shared" si="64"/>
        <v>2019</v>
      </c>
      <c r="AAO172" s="498">
        <f t="shared" si="64"/>
        <v>2019</v>
      </c>
      <c r="AAP172" s="498">
        <f t="shared" si="64"/>
        <v>2019</v>
      </c>
      <c r="AAQ172" s="498">
        <f t="shared" si="64"/>
        <v>2019</v>
      </c>
      <c r="AAR172" s="498">
        <f t="shared" si="64"/>
        <v>2019</v>
      </c>
      <c r="AAS172" s="498">
        <f t="shared" si="64"/>
        <v>2019</v>
      </c>
      <c r="AAT172" s="498">
        <f t="shared" si="64"/>
        <v>2019</v>
      </c>
      <c r="AAU172" s="498">
        <f t="shared" si="64"/>
        <v>2019</v>
      </c>
      <c r="AAV172" s="498">
        <f t="shared" si="64"/>
        <v>2019</v>
      </c>
      <c r="AAW172" s="498">
        <f t="shared" si="64"/>
        <v>2019</v>
      </c>
      <c r="AAX172" s="498">
        <f t="shared" si="64"/>
        <v>2019</v>
      </c>
      <c r="AAY172" s="498">
        <f t="shared" si="64"/>
        <v>2019</v>
      </c>
      <c r="AAZ172" s="498">
        <f t="shared" si="64"/>
        <v>2019</v>
      </c>
      <c r="ABA172" s="498">
        <f t="shared" si="64"/>
        <v>2019</v>
      </c>
      <c r="ABB172" s="498">
        <f t="shared" si="64"/>
        <v>2019</v>
      </c>
      <c r="ABC172" s="498">
        <f t="shared" si="64"/>
        <v>2019</v>
      </c>
      <c r="ABD172" s="498">
        <f t="shared" si="64"/>
        <v>2019</v>
      </c>
      <c r="ABE172" s="498">
        <f t="shared" si="64"/>
        <v>2019</v>
      </c>
      <c r="ABF172" s="498">
        <f t="shared" si="64"/>
        <v>2019</v>
      </c>
      <c r="ABG172" s="498">
        <f t="shared" si="64"/>
        <v>2019</v>
      </c>
      <c r="ABH172" s="498">
        <f t="shared" si="64"/>
        <v>2019</v>
      </c>
      <c r="ABI172" s="498">
        <f t="shared" si="64"/>
        <v>2019</v>
      </c>
      <c r="ABJ172" s="498">
        <f t="shared" si="64"/>
        <v>2019</v>
      </c>
      <c r="ABK172" s="498">
        <f t="shared" si="64"/>
        <v>2019</v>
      </c>
      <c r="ABL172" s="498">
        <f t="shared" si="64"/>
        <v>2019</v>
      </c>
      <c r="ABM172" s="498">
        <f t="shared" si="64"/>
        <v>2019</v>
      </c>
      <c r="ABN172" s="498">
        <f t="shared" si="64"/>
        <v>2019</v>
      </c>
      <c r="ABO172" s="498">
        <f t="shared" si="64"/>
        <v>2019</v>
      </c>
      <c r="ABP172" s="498">
        <f t="shared" si="64"/>
        <v>2019</v>
      </c>
      <c r="ABQ172" s="498">
        <f t="shared" si="64"/>
        <v>2019</v>
      </c>
      <c r="ABR172" s="498">
        <f t="shared" si="64"/>
        <v>2019</v>
      </c>
      <c r="ABS172" s="498">
        <f t="shared" si="64"/>
        <v>2019</v>
      </c>
      <c r="ABT172" s="498">
        <f t="shared" si="64"/>
        <v>2019</v>
      </c>
      <c r="ABU172" s="498">
        <f t="shared" si="64"/>
        <v>2019</v>
      </c>
      <c r="ABV172" s="498">
        <f t="shared" si="64"/>
        <v>2019</v>
      </c>
      <c r="ABW172" s="498">
        <f t="shared" si="64"/>
        <v>2019</v>
      </c>
      <c r="ABX172" s="498">
        <f t="shared" si="64"/>
        <v>2018</v>
      </c>
      <c r="ABY172" s="498">
        <f t="shared" si="64"/>
        <v>2018</v>
      </c>
      <c r="ABZ172" s="498">
        <f t="shared" si="64"/>
        <v>2018</v>
      </c>
      <c r="ACA172" s="498">
        <f t="shared" si="64"/>
        <v>2018</v>
      </c>
      <c r="ACB172" s="498">
        <f t="shared" si="64"/>
        <v>2018</v>
      </c>
      <c r="ACC172" s="498">
        <f t="shared" si="64"/>
        <v>2018</v>
      </c>
      <c r="ACD172" s="498">
        <f t="shared" si="64"/>
        <v>2018</v>
      </c>
      <c r="ACE172" s="498">
        <f t="shared" si="64"/>
        <v>2018</v>
      </c>
      <c r="ACF172" s="498">
        <f t="shared" si="64"/>
        <v>2018</v>
      </c>
      <c r="ACG172" s="498">
        <f t="shared" si="64"/>
        <v>2018</v>
      </c>
      <c r="ACH172" s="498">
        <f t="shared" si="64"/>
        <v>2018</v>
      </c>
      <c r="ACI172" s="498">
        <f t="shared" si="64"/>
        <v>2018</v>
      </c>
      <c r="ACJ172" s="498">
        <f t="shared" si="64"/>
        <v>2018</v>
      </c>
      <c r="ACK172" s="498">
        <f t="shared" si="64"/>
        <v>2018</v>
      </c>
      <c r="ACL172" s="498">
        <f t="shared" si="64"/>
        <v>2018</v>
      </c>
      <c r="ACM172" s="498">
        <f t="shared" si="64"/>
        <v>2018</v>
      </c>
      <c r="ACN172" s="498">
        <f t="shared" si="64"/>
        <v>2018</v>
      </c>
      <c r="ACO172" s="498">
        <f t="shared" si="64"/>
        <v>2018</v>
      </c>
      <c r="ACP172" s="498">
        <f t="shared" si="64"/>
        <v>2018</v>
      </c>
      <c r="ACQ172" s="498">
        <f t="shared" si="64"/>
        <v>2018</v>
      </c>
      <c r="ACR172" s="498">
        <f t="shared" si="64"/>
        <v>2018</v>
      </c>
      <c r="ACS172" s="498">
        <f t="shared" si="64"/>
        <v>2018</v>
      </c>
      <c r="ACT172" s="498">
        <f t="shared" si="64"/>
        <v>2018</v>
      </c>
      <c r="ACU172" s="498">
        <f t="shared" si="64"/>
        <v>2018</v>
      </c>
      <c r="ACV172" s="498">
        <f t="shared" ref="ACV172:AFG172" si="65">YEAR(ACV173)</f>
        <v>2018</v>
      </c>
      <c r="ACW172" s="498">
        <f t="shared" si="65"/>
        <v>2018</v>
      </c>
      <c r="ACX172" s="498">
        <f t="shared" si="65"/>
        <v>2018</v>
      </c>
      <c r="ACY172" s="498">
        <f t="shared" si="65"/>
        <v>2018</v>
      </c>
      <c r="ACZ172" s="498">
        <f t="shared" si="65"/>
        <v>2018</v>
      </c>
      <c r="ADA172" s="498">
        <f t="shared" si="65"/>
        <v>2018</v>
      </c>
      <c r="ADB172" s="498">
        <f t="shared" si="65"/>
        <v>2018</v>
      </c>
      <c r="ADC172" s="498">
        <f t="shared" si="65"/>
        <v>2018</v>
      </c>
      <c r="ADD172" s="498">
        <f t="shared" si="65"/>
        <v>2018</v>
      </c>
      <c r="ADE172" s="498">
        <f t="shared" si="65"/>
        <v>2018</v>
      </c>
      <c r="ADF172" s="498">
        <f t="shared" si="65"/>
        <v>2018</v>
      </c>
      <c r="ADG172" s="498">
        <f t="shared" si="65"/>
        <v>2018</v>
      </c>
      <c r="ADH172" s="498">
        <f t="shared" si="65"/>
        <v>2018</v>
      </c>
      <c r="ADI172" s="498">
        <f t="shared" si="65"/>
        <v>2018</v>
      </c>
      <c r="ADJ172" s="498">
        <f t="shared" si="65"/>
        <v>2018</v>
      </c>
      <c r="ADK172" s="498">
        <f t="shared" si="65"/>
        <v>2018</v>
      </c>
      <c r="ADL172" s="498">
        <f t="shared" si="65"/>
        <v>2018</v>
      </c>
      <c r="ADM172" s="498">
        <f t="shared" si="65"/>
        <v>2018</v>
      </c>
      <c r="ADN172" s="498">
        <f t="shared" si="65"/>
        <v>2018</v>
      </c>
      <c r="ADO172" s="498">
        <f t="shared" si="65"/>
        <v>2018</v>
      </c>
      <c r="ADP172" s="498">
        <f t="shared" si="65"/>
        <v>2018</v>
      </c>
      <c r="ADQ172" s="498">
        <f t="shared" si="65"/>
        <v>2018</v>
      </c>
      <c r="ADR172" s="498">
        <f t="shared" si="65"/>
        <v>2018</v>
      </c>
      <c r="ADS172" s="498">
        <f t="shared" si="65"/>
        <v>2018</v>
      </c>
      <c r="ADT172" s="498">
        <f t="shared" si="65"/>
        <v>2018</v>
      </c>
      <c r="ADU172" s="498">
        <f t="shared" si="65"/>
        <v>2018</v>
      </c>
      <c r="ADV172" s="498">
        <f t="shared" si="65"/>
        <v>2018</v>
      </c>
      <c r="ADW172" s="498">
        <f t="shared" si="65"/>
        <v>2018</v>
      </c>
      <c r="ADX172" s="498">
        <f t="shared" si="65"/>
        <v>2018</v>
      </c>
      <c r="ADY172" s="498">
        <f t="shared" si="65"/>
        <v>2018</v>
      </c>
      <c r="ADZ172" s="498">
        <f t="shared" si="65"/>
        <v>2018</v>
      </c>
      <c r="AEA172" s="498">
        <f t="shared" si="65"/>
        <v>2018</v>
      </c>
      <c r="AEB172" s="498">
        <f t="shared" si="65"/>
        <v>2018</v>
      </c>
      <c r="AEC172" s="498">
        <f t="shared" si="65"/>
        <v>2018</v>
      </c>
      <c r="AED172" s="498">
        <f t="shared" si="65"/>
        <v>2018</v>
      </c>
      <c r="AEE172" s="498">
        <f t="shared" si="65"/>
        <v>2018</v>
      </c>
      <c r="AEF172" s="498">
        <f t="shared" si="65"/>
        <v>2018</v>
      </c>
      <c r="AEG172" s="498">
        <f t="shared" si="65"/>
        <v>2018</v>
      </c>
      <c r="AEH172" s="498">
        <f t="shared" si="65"/>
        <v>2018</v>
      </c>
      <c r="AEI172" s="498">
        <f t="shared" si="65"/>
        <v>2018</v>
      </c>
      <c r="AEJ172" s="498">
        <f t="shared" si="65"/>
        <v>2018</v>
      </c>
      <c r="AEK172" s="498">
        <f t="shared" si="65"/>
        <v>2018</v>
      </c>
      <c r="AEL172" s="498">
        <f t="shared" si="65"/>
        <v>2018</v>
      </c>
      <c r="AEM172" s="498">
        <f t="shared" si="65"/>
        <v>2018</v>
      </c>
      <c r="AEN172" s="498">
        <f t="shared" si="65"/>
        <v>2018</v>
      </c>
      <c r="AEO172" s="498">
        <f t="shared" si="65"/>
        <v>2018</v>
      </c>
      <c r="AEP172" s="498">
        <f t="shared" si="65"/>
        <v>2018</v>
      </c>
      <c r="AEQ172" s="498">
        <f t="shared" si="65"/>
        <v>2018</v>
      </c>
      <c r="AER172" s="498">
        <f t="shared" si="65"/>
        <v>2018</v>
      </c>
      <c r="AES172" s="498">
        <f t="shared" si="65"/>
        <v>2018</v>
      </c>
      <c r="AET172" s="498">
        <f t="shared" si="65"/>
        <v>2018</v>
      </c>
      <c r="AEU172" s="498">
        <f t="shared" si="65"/>
        <v>2018</v>
      </c>
      <c r="AEV172" s="498">
        <f t="shared" si="65"/>
        <v>2018</v>
      </c>
      <c r="AEW172" s="498">
        <f t="shared" si="65"/>
        <v>2018</v>
      </c>
      <c r="AEX172" s="498">
        <f t="shared" si="65"/>
        <v>2018</v>
      </c>
      <c r="AEY172" s="498">
        <f t="shared" si="65"/>
        <v>2018</v>
      </c>
      <c r="AEZ172" s="498">
        <f t="shared" si="65"/>
        <v>2018</v>
      </c>
      <c r="AFA172" s="498">
        <f t="shared" si="65"/>
        <v>2018</v>
      </c>
      <c r="AFB172" s="498">
        <f t="shared" si="65"/>
        <v>2018</v>
      </c>
      <c r="AFC172" s="498">
        <f t="shared" si="65"/>
        <v>2018</v>
      </c>
      <c r="AFD172" s="498">
        <f t="shared" si="65"/>
        <v>2018</v>
      </c>
      <c r="AFE172" s="498">
        <f t="shared" si="65"/>
        <v>2018</v>
      </c>
      <c r="AFF172" s="498">
        <f t="shared" si="65"/>
        <v>2018</v>
      </c>
      <c r="AFG172" s="498">
        <f t="shared" si="65"/>
        <v>2018</v>
      </c>
      <c r="AFH172" s="498">
        <f t="shared" ref="AFH172:AHS172" si="66">YEAR(AFH173)</f>
        <v>2018</v>
      </c>
      <c r="AFI172" s="498">
        <f t="shared" si="66"/>
        <v>2018</v>
      </c>
      <c r="AFJ172" s="498">
        <f t="shared" si="66"/>
        <v>2018</v>
      </c>
      <c r="AFK172" s="498">
        <f t="shared" si="66"/>
        <v>2018</v>
      </c>
      <c r="AFL172" s="498">
        <f t="shared" si="66"/>
        <v>2018</v>
      </c>
      <c r="AFM172" s="498">
        <f t="shared" si="66"/>
        <v>2018</v>
      </c>
      <c r="AFN172" s="498">
        <f t="shared" si="66"/>
        <v>2018</v>
      </c>
      <c r="AFO172" s="498">
        <f t="shared" si="66"/>
        <v>2018</v>
      </c>
      <c r="AFP172" s="498">
        <f t="shared" si="66"/>
        <v>2018</v>
      </c>
      <c r="AFQ172" s="498">
        <f t="shared" si="66"/>
        <v>2018</v>
      </c>
      <c r="AFR172" s="498">
        <f t="shared" si="66"/>
        <v>2018</v>
      </c>
      <c r="AFS172" s="498">
        <f t="shared" si="66"/>
        <v>2018</v>
      </c>
      <c r="AFT172" s="498">
        <f t="shared" si="66"/>
        <v>2018</v>
      </c>
      <c r="AFU172" s="498">
        <f t="shared" si="66"/>
        <v>2018</v>
      </c>
      <c r="AFV172" s="498">
        <f t="shared" si="66"/>
        <v>2018</v>
      </c>
      <c r="AFW172" s="498">
        <f t="shared" si="66"/>
        <v>2018</v>
      </c>
      <c r="AFX172" s="498">
        <f t="shared" si="66"/>
        <v>2018</v>
      </c>
      <c r="AFY172" s="498">
        <f t="shared" si="66"/>
        <v>2018</v>
      </c>
      <c r="AFZ172" s="498">
        <f t="shared" si="66"/>
        <v>2018</v>
      </c>
      <c r="AGA172" s="498">
        <f t="shared" si="66"/>
        <v>2018</v>
      </c>
      <c r="AGB172" s="498">
        <f t="shared" si="66"/>
        <v>2018</v>
      </c>
      <c r="AGC172" s="498">
        <f t="shared" si="66"/>
        <v>2018</v>
      </c>
      <c r="AGD172" s="498">
        <f t="shared" si="66"/>
        <v>2018</v>
      </c>
      <c r="AGE172" s="498">
        <f t="shared" si="66"/>
        <v>2018</v>
      </c>
      <c r="AGF172" s="498">
        <f t="shared" si="66"/>
        <v>2018</v>
      </c>
      <c r="AGG172" s="498">
        <f t="shared" si="66"/>
        <v>2018</v>
      </c>
      <c r="AGH172" s="498">
        <f t="shared" si="66"/>
        <v>2018</v>
      </c>
      <c r="AGI172" s="498">
        <f t="shared" si="66"/>
        <v>2018</v>
      </c>
      <c r="AGJ172" s="498">
        <f t="shared" si="66"/>
        <v>2018</v>
      </c>
      <c r="AGK172" s="498">
        <f t="shared" si="66"/>
        <v>2018</v>
      </c>
      <c r="AGL172" s="498">
        <f t="shared" si="66"/>
        <v>2018</v>
      </c>
      <c r="AGM172" s="498">
        <f t="shared" si="66"/>
        <v>2018</v>
      </c>
      <c r="AGN172" s="498">
        <f t="shared" si="66"/>
        <v>2018</v>
      </c>
      <c r="AGO172" s="498">
        <f t="shared" si="66"/>
        <v>2018</v>
      </c>
      <c r="AGP172" s="498">
        <f t="shared" si="66"/>
        <v>2018</v>
      </c>
      <c r="AGQ172" s="498">
        <f t="shared" si="66"/>
        <v>2018</v>
      </c>
      <c r="AGR172" s="498">
        <f t="shared" si="66"/>
        <v>2018</v>
      </c>
      <c r="AGS172" s="498">
        <f t="shared" si="66"/>
        <v>2018</v>
      </c>
      <c r="AGT172" s="498">
        <f t="shared" si="66"/>
        <v>2018</v>
      </c>
      <c r="AGU172" s="498">
        <f t="shared" si="66"/>
        <v>2018</v>
      </c>
      <c r="AGV172" s="498">
        <f t="shared" si="66"/>
        <v>2018</v>
      </c>
      <c r="AGW172" s="498">
        <f t="shared" si="66"/>
        <v>2018</v>
      </c>
      <c r="AGX172" s="498">
        <f t="shared" si="66"/>
        <v>2018</v>
      </c>
      <c r="AGY172" s="498">
        <f t="shared" si="66"/>
        <v>2018</v>
      </c>
      <c r="AGZ172" s="498">
        <f t="shared" si="66"/>
        <v>2018</v>
      </c>
      <c r="AHA172" s="498">
        <f t="shared" si="66"/>
        <v>2018</v>
      </c>
      <c r="AHB172" s="498">
        <f t="shared" si="66"/>
        <v>2018</v>
      </c>
      <c r="AHC172" s="498">
        <f t="shared" si="66"/>
        <v>2018</v>
      </c>
      <c r="AHD172" s="498">
        <f t="shared" si="66"/>
        <v>2018</v>
      </c>
      <c r="AHE172" s="498">
        <f t="shared" si="66"/>
        <v>2018</v>
      </c>
      <c r="AHF172" s="498">
        <f t="shared" si="66"/>
        <v>2018</v>
      </c>
      <c r="AHG172" s="498">
        <f t="shared" si="66"/>
        <v>2018</v>
      </c>
      <c r="AHH172" s="498">
        <f t="shared" si="66"/>
        <v>2018</v>
      </c>
      <c r="AHI172" s="498">
        <f t="shared" si="66"/>
        <v>2018</v>
      </c>
      <c r="AHJ172" s="498">
        <f t="shared" si="66"/>
        <v>2018</v>
      </c>
      <c r="AHK172" s="498">
        <f t="shared" si="66"/>
        <v>2018</v>
      </c>
      <c r="AHL172" s="498">
        <f t="shared" si="66"/>
        <v>2018</v>
      </c>
      <c r="AHM172" s="498">
        <f t="shared" si="66"/>
        <v>2018</v>
      </c>
      <c r="AHN172" s="498">
        <f t="shared" si="66"/>
        <v>2018</v>
      </c>
      <c r="AHO172" s="498">
        <f t="shared" si="66"/>
        <v>2018</v>
      </c>
      <c r="AHP172" s="498">
        <f t="shared" si="66"/>
        <v>2018</v>
      </c>
      <c r="AHQ172" s="498">
        <f t="shared" si="66"/>
        <v>2018</v>
      </c>
      <c r="AHR172" s="498">
        <f t="shared" si="66"/>
        <v>2018</v>
      </c>
      <c r="AHS172" s="498">
        <f t="shared" si="66"/>
        <v>2018</v>
      </c>
      <c r="AHT172" s="498">
        <f t="shared" ref="AHT172:AKE172" si="67">YEAR(AHT173)</f>
        <v>2018</v>
      </c>
      <c r="AHU172" s="498">
        <f t="shared" si="67"/>
        <v>2018</v>
      </c>
      <c r="AHV172" s="498">
        <f t="shared" si="67"/>
        <v>2018</v>
      </c>
      <c r="AHW172" s="498">
        <f t="shared" si="67"/>
        <v>2018</v>
      </c>
      <c r="AHX172" s="498">
        <f t="shared" si="67"/>
        <v>2018</v>
      </c>
      <c r="AHY172" s="498">
        <f t="shared" si="67"/>
        <v>2018</v>
      </c>
      <c r="AHZ172" s="498">
        <f t="shared" si="67"/>
        <v>2018</v>
      </c>
      <c r="AIA172" s="498">
        <f t="shared" si="67"/>
        <v>2018</v>
      </c>
      <c r="AIB172" s="498">
        <f t="shared" si="67"/>
        <v>2018</v>
      </c>
      <c r="AIC172" s="498">
        <f t="shared" si="67"/>
        <v>2018</v>
      </c>
      <c r="AID172" s="498">
        <f t="shared" si="67"/>
        <v>2018</v>
      </c>
      <c r="AIE172" s="498">
        <f t="shared" si="67"/>
        <v>2018</v>
      </c>
      <c r="AIF172" s="498">
        <f t="shared" si="67"/>
        <v>2018</v>
      </c>
      <c r="AIG172" s="498">
        <f t="shared" si="67"/>
        <v>2018</v>
      </c>
      <c r="AIH172" s="498">
        <f t="shared" si="67"/>
        <v>2018</v>
      </c>
      <c r="AII172" s="498">
        <f t="shared" si="67"/>
        <v>2018</v>
      </c>
      <c r="AIJ172" s="498">
        <f t="shared" si="67"/>
        <v>2018</v>
      </c>
      <c r="AIK172" s="498">
        <f t="shared" si="67"/>
        <v>2018</v>
      </c>
      <c r="AIL172" s="498">
        <f t="shared" si="67"/>
        <v>2018</v>
      </c>
      <c r="AIM172" s="498">
        <f t="shared" si="67"/>
        <v>2018</v>
      </c>
      <c r="AIN172" s="498">
        <f t="shared" si="67"/>
        <v>2018</v>
      </c>
      <c r="AIO172" s="498">
        <f t="shared" si="67"/>
        <v>2018</v>
      </c>
      <c r="AIP172" s="498">
        <f t="shared" si="67"/>
        <v>2018</v>
      </c>
      <c r="AIQ172" s="498">
        <f t="shared" si="67"/>
        <v>2018</v>
      </c>
      <c r="AIR172" s="498">
        <f t="shared" si="67"/>
        <v>2018</v>
      </c>
      <c r="AIS172" s="498">
        <f t="shared" si="67"/>
        <v>2018</v>
      </c>
      <c r="AIT172" s="498">
        <f t="shared" si="67"/>
        <v>2018</v>
      </c>
      <c r="AIU172" s="498">
        <f t="shared" si="67"/>
        <v>2018</v>
      </c>
      <c r="AIV172" s="498">
        <f t="shared" si="67"/>
        <v>2018</v>
      </c>
      <c r="AIW172" s="498">
        <f t="shared" si="67"/>
        <v>2018</v>
      </c>
      <c r="AIX172" s="498">
        <f t="shared" si="67"/>
        <v>2018</v>
      </c>
      <c r="AIY172" s="498">
        <f t="shared" si="67"/>
        <v>2018</v>
      </c>
      <c r="AIZ172" s="498">
        <f t="shared" si="67"/>
        <v>2018</v>
      </c>
      <c r="AJA172" s="498">
        <f t="shared" si="67"/>
        <v>2018</v>
      </c>
      <c r="AJB172" s="498">
        <f t="shared" si="67"/>
        <v>2018</v>
      </c>
      <c r="AJC172" s="498">
        <f t="shared" si="67"/>
        <v>2018</v>
      </c>
      <c r="AJD172" s="498">
        <f t="shared" si="67"/>
        <v>2018</v>
      </c>
      <c r="AJE172" s="498">
        <f t="shared" si="67"/>
        <v>2018</v>
      </c>
      <c r="AJF172" s="498">
        <f t="shared" si="67"/>
        <v>2018</v>
      </c>
      <c r="AJG172" s="498">
        <f t="shared" si="67"/>
        <v>2018</v>
      </c>
      <c r="AJH172" s="498">
        <f t="shared" si="67"/>
        <v>2018</v>
      </c>
      <c r="AJI172" s="498">
        <f t="shared" si="67"/>
        <v>2018</v>
      </c>
      <c r="AJJ172" s="498">
        <f t="shared" si="67"/>
        <v>2018</v>
      </c>
      <c r="AJK172" s="498">
        <f t="shared" si="67"/>
        <v>2018</v>
      </c>
      <c r="AJL172" s="498">
        <f t="shared" si="67"/>
        <v>2018</v>
      </c>
      <c r="AJM172" s="498">
        <f t="shared" si="67"/>
        <v>2018</v>
      </c>
      <c r="AJN172" s="498">
        <f t="shared" si="67"/>
        <v>2018</v>
      </c>
      <c r="AJO172" s="498">
        <f t="shared" si="67"/>
        <v>2018</v>
      </c>
      <c r="AJP172" s="498">
        <f t="shared" si="67"/>
        <v>2018</v>
      </c>
      <c r="AJQ172" s="498">
        <f t="shared" si="67"/>
        <v>2018</v>
      </c>
      <c r="AJR172" s="498">
        <f t="shared" si="67"/>
        <v>2018</v>
      </c>
      <c r="AJS172" s="498">
        <f t="shared" si="67"/>
        <v>2018</v>
      </c>
      <c r="AJT172" s="498">
        <f t="shared" si="67"/>
        <v>2018</v>
      </c>
      <c r="AJU172" s="498">
        <f t="shared" si="67"/>
        <v>2018</v>
      </c>
      <c r="AJV172" s="498">
        <f t="shared" si="67"/>
        <v>2018</v>
      </c>
      <c r="AJW172" s="498">
        <f t="shared" si="67"/>
        <v>2018</v>
      </c>
      <c r="AJX172" s="498">
        <f t="shared" si="67"/>
        <v>2018</v>
      </c>
      <c r="AJY172" s="498">
        <f t="shared" si="67"/>
        <v>2018</v>
      </c>
      <c r="AJZ172" s="498">
        <f t="shared" si="67"/>
        <v>2018</v>
      </c>
      <c r="AKA172" s="498">
        <f t="shared" si="67"/>
        <v>2018</v>
      </c>
      <c r="AKB172" s="498">
        <f t="shared" si="67"/>
        <v>2018</v>
      </c>
      <c r="AKC172" s="498">
        <f t="shared" si="67"/>
        <v>2018</v>
      </c>
      <c r="AKD172" s="498">
        <f t="shared" si="67"/>
        <v>2018</v>
      </c>
      <c r="AKE172" s="498">
        <f t="shared" si="67"/>
        <v>2018</v>
      </c>
      <c r="AKF172" s="498">
        <f t="shared" ref="AKF172:AMQ172" si="68">YEAR(AKF173)</f>
        <v>2018</v>
      </c>
      <c r="AKG172" s="498">
        <f t="shared" si="68"/>
        <v>2018</v>
      </c>
      <c r="AKH172" s="498">
        <f t="shared" si="68"/>
        <v>2018</v>
      </c>
      <c r="AKI172" s="498">
        <f t="shared" si="68"/>
        <v>2018</v>
      </c>
      <c r="AKJ172" s="498">
        <f t="shared" si="68"/>
        <v>2018</v>
      </c>
      <c r="AKK172" s="498">
        <f t="shared" si="68"/>
        <v>2018</v>
      </c>
      <c r="AKL172" s="498">
        <f t="shared" si="68"/>
        <v>2018</v>
      </c>
      <c r="AKM172" s="498">
        <f t="shared" si="68"/>
        <v>2018</v>
      </c>
      <c r="AKN172" s="498">
        <f t="shared" si="68"/>
        <v>2018</v>
      </c>
      <c r="AKO172" s="498">
        <f t="shared" si="68"/>
        <v>2018</v>
      </c>
      <c r="AKP172" s="498">
        <f t="shared" si="68"/>
        <v>2018</v>
      </c>
      <c r="AKQ172" s="498">
        <f t="shared" si="68"/>
        <v>2018</v>
      </c>
      <c r="AKR172" s="498">
        <f t="shared" si="68"/>
        <v>2018</v>
      </c>
      <c r="AKS172" s="498">
        <f t="shared" si="68"/>
        <v>2018</v>
      </c>
      <c r="AKT172" s="498">
        <f t="shared" si="68"/>
        <v>2018</v>
      </c>
      <c r="AKU172" s="498">
        <f t="shared" si="68"/>
        <v>2018</v>
      </c>
      <c r="AKV172" s="498">
        <f t="shared" si="68"/>
        <v>2018</v>
      </c>
      <c r="AKW172" s="498">
        <f t="shared" si="68"/>
        <v>2018</v>
      </c>
      <c r="AKX172" s="498">
        <f t="shared" si="68"/>
        <v>2018</v>
      </c>
      <c r="AKY172" s="498">
        <f t="shared" si="68"/>
        <v>2018</v>
      </c>
      <c r="AKZ172" s="498">
        <f t="shared" si="68"/>
        <v>2018</v>
      </c>
      <c r="ALA172" s="498">
        <f t="shared" si="68"/>
        <v>2018</v>
      </c>
      <c r="ALB172" s="498">
        <f t="shared" si="68"/>
        <v>2018</v>
      </c>
      <c r="ALC172" s="498">
        <f t="shared" si="68"/>
        <v>2018</v>
      </c>
      <c r="ALD172" s="498">
        <f t="shared" si="68"/>
        <v>2018</v>
      </c>
      <c r="ALE172" s="498">
        <f t="shared" si="68"/>
        <v>2018</v>
      </c>
      <c r="ALF172" s="498">
        <f t="shared" si="68"/>
        <v>2018</v>
      </c>
      <c r="ALG172" s="498">
        <f t="shared" si="68"/>
        <v>2018</v>
      </c>
      <c r="ALH172" s="498">
        <f t="shared" si="68"/>
        <v>2018</v>
      </c>
      <c r="ALI172" s="498">
        <f t="shared" si="68"/>
        <v>2017</v>
      </c>
      <c r="ALJ172" s="498">
        <f t="shared" si="68"/>
        <v>2017</v>
      </c>
      <c r="ALK172" s="498">
        <f t="shared" si="68"/>
        <v>2017</v>
      </c>
      <c r="ALL172" s="498">
        <f t="shared" si="68"/>
        <v>2017</v>
      </c>
      <c r="ALM172" s="498">
        <f t="shared" si="68"/>
        <v>2017</v>
      </c>
      <c r="ALN172" s="498">
        <f t="shared" si="68"/>
        <v>2017</v>
      </c>
      <c r="ALO172" s="498">
        <f t="shared" si="68"/>
        <v>2017</v>
      </c>
      <c r="ALP172" s="498">
        <f t="shared" si="68"/>
        <v>2017</v>
      </c>
      <c r="ALQ172" s="498">
        <f t="shared" si="68"/>
        <v>2017</v>
      </c>
      <c r="ALR172" s="498">
        <f t="shared" si="68"/>
        <v>2017</v>
      </c>
      <c r="ALS172" s="498">
        <f t="shared" si="68"/>
        <v>2017</v>
      </c>
      <c r="ALT172" s="498">
        <f t="shared" si="68"/>
        <v>2017</v>
      </c>
      <c r="ALU172" s="498">
        <f t="shared" si="68"/>
        <v>2017</v>
      </c>
      <c r="ALV172" s="498">
        <f t="shared" si="68"/>
        <v>2017</v>
      </c>
      <c r="ALW172" s="498">
        <f t="shared" si="68"/>
        <v>2017</v>
      </c>
      <c r="ALX172" s="498">
        <f t="shared" si="68"/>
        <v>2017</v>
      </c>
      <c r="ALY172" s="498">
        <f t="shared" si="68"/>
        <v>2017</v>
      </c>
      <c r="ALZ172" s="498">
        <f t="shared" si="68"/>
        <v>2017</v>
      </c>
      <c r="AMA172" s="498">
        <f t="shared" si="68"/>
        <v>2017</v>
      </c>
      <c r="AMB172" s="498">
        <f t="shared" si="68"/>
        <v>2017</v>
      </c>
      <c r="AMC172" s="498">
        <f t="shared" si="68"/>
        <v>2017</v>
      </c>
      <c r="AMD172" s="498">
        <f t="shared" si="68"/>
        <v>2017</v>
      </c>
      <c r="AME172" s="498">
        <f t="shared" si="68"/>
        <v>2017</v>
      </c>
      <c r="AMF172" s="498">
        <f t="shared" si="68"/>
        <v>2017</v>
      </c>
      <c r="AMG172" s="498">
        <f t="shared" si="68"/>
        <v>2017</v>
      </c>
      <c r="AMH172" s="498">
        <f t="shared" si="68"/>
        <v>2017</v>
      </c>
      <c r="AMI172" s="498">
        <f t="shared" si="68"/>
        <v>2017</v>
      </c>
      <c r="AMJ172" s="498">
        <f t="shared" si="68"/>
        <v>2017</v>
      </c>
      <c r="AMK172" s="498">
        <f t="shared" si="68"/>
        <v>2017</v>
      </c>
      <c r="AML172" s="498">
        <f t="shared" si="68"/>
        <v>2017</v>
      </c>
      <c r="AMM172" s="498">
        <f t="shared" si="68"/>
        <v>2017</v>
      </c>
      <c r="AMN172" s="498">
        <f t="shared" si="68"/>
        <v>2017</v>
      </c>
      <c r="AMO172" s="498">
        <f t="shared" si="68"/>
        <v>2017</v>
      </c>
      <c r="AMP172" s="498">
        <f t="shared" si="68"/>
        <v>2017</v>
      </c>
      <c r="AMQ172" s="498">
        <f t="shared" si="68"/>
        <v>2017</v>
      </c>
      <c r="AMR172" s="498">
        <f t="shared" ref="AMR172:APC172" si="69">YEAR(AMR173)</f>
        <v>2017</v>
      </c>
      <c r="AMS172" s="498">
        <f t="shared" si="69"/>
        <v>2017</v>
      </c>
      <c r="AMT172" s="498">
        <f t="shared" si="69"/>
        <v>2017</v>
      </c>
      <c r="AMU172" s="498">
        <f t="shared" si="69"/>
        <v>2017</v>
      </c>
      <c r="AMV172" s="498">
        <f t="shared" si="69"/>
        <v>2017</v>
      </c>
      <c r="AMW172" s="498">
        <f t="shared" si="69"/>
        <v>2017</v>
      </c>
      <c r="AMX172" s="498">
        <f t="shared" si="69"/>
        <v>2017</v>
      </c>
      <c r="AMY172" s="498">
        <f t="shared" si="69"/>
        <v>2017</v>
      </c>
      <c r="AMZ172" s="498">
        <f t="shared" si="69"/>
        <v>2017</v>
      </c>
      <c r="ANA172" s="498">
        <f t="shared" si="69"/>
        <v>2017</v>
      </c>
      <c r="ANB172" s="498">
        <f t="shared" si="69"/>
        <v>2017</v>
      </c>
      <c r="ANC172" s="498">
        <f t="shared" si="69"/>
        <v>2017</v>
      </c>
      <c r="AND172" s="498">
        <f t="shared" si="69"/>
        <v>2017</v>
      </c>
      <c r="ANE172" s="498">
        <f t="shared" si="69"/>
        <v>2017</v>
      </c>
      <c r="ANF172" s="498">
        <f t="shared" si="69"/>
        <v>2017</v>
      </c>
      <c r="ANG172" s="498">
        <f t="shared" si="69"/>
        <v>2017</v>
      </c>
      <c r="ANH172" s="498">
        <f t="shared" si="69"/>
        <v>2017</v>
      </c>
      <c r="ANI172" s="498">
        <f t="shared" si="69"/>
        <v>2017</v>
      </c>
      <c r="ANJ172" s="498">
        <f t="shared" si="69"/>
        <v>2017</v>
      </c>
      <c r="ANK172" s="498">
        <f t="shared" si="69"/>
        <v>2017</v>
      </c>
      <c r="ANL172" s="498">
        <f t="shared" si="69"/>
        <v>2017</v>
      </c>
      <c r="ANM172" s="498">
        <f t="shared" si="69"/>
        <v>2017</v>
      </c>
      <c r="ANN172" s="498">
        <f t="shared" si="69"/>
        <v>2017</v>
      </c>
      <c r="ANO172" s="498">
        <f t="shared" si="69"/>
        <v>2017</v>
      </c>
      <c r="ANP172" s="498">
        <f t="shared" si="69"/>
        <v>2017</v>
      </c>
      <c r="ANQ172" s="498">
        <f t="shared" si="69"/>
        <v>2017</v>
      </c>
      <c r="ANR172" s="498">
        <f t="shared" si="69"/>
        <v>2017</v>
      </c>
      <c r="ANS172" s="498">
        <f t="shared" si="69"/>
        <v>2017</v>
      </c>
      <c r="ANT172" s="498">
        <f t="shared" si="69"/>
        <v>2017</v>
      </c>
      <c r="ANU172" s="498">
        <f t="shared" si="69"/>
        <v>2017</v>
      </c>
      <c r="ANV172" s="498">
        <f t="shared" si="69"/>
        <v>2017</v>
      </c>
      <c r="ANW172" s="498">
        <f t="shared" si="69"/>
        <v>2017</v>
      </c>
      <c r="ANX172" s="498">
        <f t="shared" si="69"/>
        <v>2017</v>
      </c>
      <c r="ANY172" s="498">
        <f t="shared" si="69"/>
        <v>2017</v>
      </c>
      <c r="ANZ172" s="498">
        <f t="shared" si="69"/>
        <v>2017</v>
      </c>
      <c r="AOA172" s="498">
        <f t="shared" si="69"/>
        <v>2017</v>
      </c>
      <c r="AOB172" s="498">
        <f t="shared" si="69"/>
        <v>2017</v>
      </c>
      <c r="AOC172" s="498">
        <f t="shared" si="69"/>
        <v>2017</v>
      </c>
      <c r="AOD172" s="498">
        <f t="shared" si="69"/>
        <v>2017</v>
      </c>
      <c r="AOE172" s="498">
        <f t="shared" si="69"/>
        <v>2017</v>
      </c>
      <c r="AOF172" s="498">
        <f t="shared" si="69"/>
        <v>2017</v>
      </c>
      <c r="AOG172" s="498">
        <f t="shared" si="69"/>
        <v>2017</v>
      </c>
      <c r="AOH172" s="498">
        <f t="shared" si="69"/>
        <v>2017</v>
      </c>
      <c r="AOI172" s="498">
        <f t="shared" si="69"/>
        <v>2017</v>
      </c>
      <c r="AOJ172" s="498">
        <f t="shared" si="69"/>
        <v>2017</v>
      </c>
      <c r="AOK172" s="498">
        <f t="shared" si="69"/>
        <v>2017</v>
      </c>
      <c r="AOL172" s="498">
        <f t="shared" si="69"/>
        <v>2017</v>
      </c>
      <c r="AOM172" s="498">
        <f t="shared" si="69"/>
        <v>2017</v>
      </c>
      <c r="AON172" s="498">
        <f t="shared" si="69"/>
        <v>2017</v>
      </c>
      <c r="AOO172" s="498">
        <f t="shared" si="69"/>
        <v>2017</v>
      </c>
      <c r="AOP172" s="498">
        <f t="shared" si="69"/>
        <v>2017</v>
      </c>
      <c r="AOQ172" s="498">
        <f t="shared" si="69"/>
        <v>2017</v>
      </c>
      <c r="AOR172" s="498">
        <f t="shared" si="69"/>
        <v>2017</v>
      </c>
      <c r="AOS172" s="498">
        <f t="shared" si="69"/>
        <v>2017</v>
      </c>
      <c r="AOT172" s="498">
        <f t="shared" si="69"/>
        <v>2017</v>
      </c>
      <c r="AOU172" s="498">
        <f t="shared" si="69"/>
        <v>2017</v>
      </c>
      <c r="AOV172" s="498">
        <f t="shared" si="69"/>
        <v>2017</v>
      </c>
      <c r="AOW172" s="498">
        <f t="shared" si="69"/>
        <v>2017</v>
      </c>
      <c r="AOX172" s="498">
        <f t="shared" si="69"/>
        <v>2017</v>
      </c>
      <c r="AOY172" s="498">
        <f t="shared" si="69"/>
        <v>2017</v>
      </c>
      <c r="AOZ172" s="498">
        <f t="shared" si="69"/>
        <v>2017</v>
      </c>
      <c r="APA172" s="498">
        <f t="shared" si="69"/>
        <v>2017</v>
      </c>
      <c r="APB172" s="498">
        <f t="shared" si="69"/>
        <v>2017</v>
      </c>
      <c r="APC172" s="498">
        <f t="shared" si="69"/>
        <v>2017</v>
      </c>
      <c r="APD172" s="498">
        <f t="shared" ref="APD172:ARO172" si="70">YEAR(APD173)</f>
        <v>2017</v>
      </c>
      <c r="APE172" s="498">
        <f t="shared" si="70"/>
        <v>2017</v>
      </c>
      <c r="APF172" s="498">
        <f t="shared" si="70"/>
        <v>2017</v>
      </c>
      <c r="APG172" s="498">
        <f t="shared" si="70"/>
        <v>2017</v>
      </c>
      <c r="APH172" s="498">
        <f t="shared" si="70"/>
        <v>2017</v>
      </c>
      <c r="API172" s="498">
        <f t="shared" si="70"/>
        <v>2017</v>
      </c>
      <c r="APJ172" s="498">
        <f t="shared" si="70"/>
        <v>2017</v>
      </c>
      <c r="APK172" s="498">
        <f t="shared" si="70"/>
        <v>2017</v>
      </c>
      <c r="APL172" s="498">
        <f t="shared" si="70"/>
        <v>2017</v>
      </c>
      <c r="APM172" s="498">
        <f t="shared" si="70"/>
        <v>2017</v>
      </c>
      <c r="APN172" s="498">
        <f t="shared" si="70"/>
        <v>2017</v>
      </c>
      <c r="APO172" s="498">
        <f t="shared" si="70"/>
        <v>2017</v>
      </c>
      <c r="APP172" s="498">
        <f t="shared" si="70"/>
        <v>2017</v>
      </c>
      <c r="APQ172" s="498">
        <f t="shared" si="70"/>
        <v>2017</v>
      </c>
      <c r="APR172" s="498">
        <f t="shared" si="70"/>
        <v>2017</v>
      </c>
      <c r="APS172" s="498">
        <f t="shared" si="70"/>
        <v>2017</v>
      </c>
      <c r="APT172" s="498">
        <f t="shared" si="70"/>
        <v>2017</v>
      </c>
      <c r="APU172" s="498">
        <f t="shared" si="70"/>
        <v>2017</v>
      </c>
      <c r="APV172" s="498">
        <f t="shared" si="70"/>
        <v>2017</v>
      </c>
      <c r="APW172" s="498">
        <f t="shared" si="70"/>
        <v>2017</v>
      </c>
      <c r="APX172" s="498">
        <f t="shared" si="70"/>
        <v>2017</v>
      </c>
      <c r="APY172" s="498">
        <f t="shared" si="70"/>
        <v>2017</v>
      </c>
      <c r="APZ172" s="498">
        <f t="shared" si="70"/>
        <v>2017</v>
      </c>
      <c r="AQA172" s="498">
        <f t="shared" si="70"/>
        <v>2017</v>
      </c>
      <c r="AQB172" s="498">
        <f t="shared" si="70"/>
        <v>2017</v>
      </c>
      <c r="AQC172" s="498">
        <f t="shared" si="70"/>
        <v>2017</v>
      </c>
      <c r="AQD172" s="498">
        <f t="shared" si="70"/>
        <v>2017</v>
      </c>
      <c r="AQE172" s="498">
        <f t="shared" si="70"/>
        <v>2017</v>
      </c>
      <c r="AQF172" s="498">
        <f t="shared" si="70"/>
        <v>2017</v>
      </c>
      <c r="AQG172" s="498">
        <f t="shared" si="70"/>
        <v>2017</v>
      </c>
      <c r="AQH172" s="498">
        <f t="shared" si="70"/>
        <v>2017</v>
      </c>
      <c r="AQI172" s="498">
        <f t="shared" si="70"/>
        <v>2017</v>
      </c>
      <c r="AQJ172" s="498">
        <f t="shared" si="70"/>
        <v>2017</v>
      </c>
      <c r="AQK172" s="498">
        <f t="shared" si="70"/>
        <v>2017</v>
      </c>
      <c r="AQL172" s="498">
        <f t="shared" si="70"/>
        <v>2017</v>
      </c>
      <c r="AQM172" s="498">
        <f t="shared" si="70"/>
        <v>2017</v>
      </c>
      <c r="AQN172" s="498">
        <f t="shared" si="70"/>
        <v>2017</v>
      </c>
      <c r="AQO172" s="498">
        <f t="shared" si="70"/>
        <v>2017</v>
      </c>
      <c r="AQP172" s="498">
        <f t="shared" si="70"/>
        <v>2017</v>
      </c>
      <c r="AQQ172" s="498">
        <f t="shared" si="70"/>
        <v>2017</v>
      </c>
      <c r="AQR172" s="498">
        <f t="shared" si="70"/>
        <v>2017</v>
      </c>
      <c r="AQS172" s="498">
        <f t="shared" si="70"/>
        <v>2017</v>
      </c>
      <c r="AQT172" s="498">
        <f t="shared" si="70"/>
        <v>2017</v>
      </c>
      <c r="AQU172" s="498">
        <f t="shared" si="70"/>
        <v>2017</v>
      </c>
      <c r="AQV172" s="498">
        <f t="shared" si="70"/>
        <v>2017</v>
      </c>
      <c r="AQW172" s="498">
        <f t="shared" si="70"/>
        <v>2017</v>
      </c>
      <c r="AQX172" s="498">
        <f t="shared" si="70"/>
        <v>2017</v>
      </c>
      <c r="AQY172" s="498">
        <f t="shared" si="70"/>
        <v>2017</v>
      </c>
      <c r="AQZ172" s="498">
        <f t="shared" si="70"/>
        <v>2017</v>
      </c>
      <c r="ARA172" s="498">
        <f t="shared" si="70"/>
        <v>2017</v>
      </c>
      <c r="ARB172" s="498">
        <f t="shared" si="70"/>
        <v>2017</v>
      </c>
      <c r="ARC172" s="498">
        <f t="shared" si="70"/>
        <v>2017</v>
      </c>
      <c r="ARD172" s="498">
        <f t="shared" si="70"/>
        <v>2017</v>
      </c>
      <c r="ARE172" s="498">
        <f t="shared" si="70"/>
        <v>2017</v>
      </c>
      <c r="ARF172" s="498">
        <f t="shared" si="70"/>
        <v>2017</v>
      </c>
      <c r="ARG172" s="498">
        <f t="shared" si="70"/>
        <v>2017</v>
      </c>
      <c r="ARH172" s="498">
        <f t="shared" si="70"/>
        <v>2017</v>
      </c>
      <c r="ARI172" s="498">
        <f t="shared" si="70"/>
        <v>2017</v>
      </c>
      <c r="ARJ172" s="498">
        <f t="shared" si="70"/>
        <v>2017</v>
      </c>
      <c r="ARK172" s="498">
        <f t="shared" si="70"/>
        <v>2017</v>
      </c>
      <c r="ARL172" s="498">
        <f t="shared" si="70"/>
        <v>2017</v>
      </c>
      <c r="ARM172" s="498">
        <f t="shared" si="70"/>
        <v>2017</v>
      </c>
      <c r="ARN172" s="498">
        <f t="shared" si="70"/>
        <v>2017</v>
      </c>
      <c r="ARO172" s="498">
        <f t="shared" si="70"/>
        <v>2017</v>
      </c>
      <c r="ARP172" s="498">
        <f t="shared" ref="ARP172:AUA172" si="71">YEAR(ARP173)</f>
        <v>2017</v>
      </c>
      <c r="ARQ172" s="498">
        <f t="shared" si="71"/>
        <v>2017</v>
      </c>
      <c r="ARR172" s="498">
        <f t="shared" si="71"/>
        <v>2017</v>
      </c>
      <c r="ARS172" s="498">
        <f t="shared" si="71"/>
        <v>2017</v>
      </c>
      <c r="ART172" s="498">
        <f t="shared" si="71"/>
        <v>2017</v>
      </c>
      <c r="ARU172" s="498">
        <f t="shared" si="71"/>
        <v>2017</v>
      </c>
      <c r="ARV172" s="498">
        <f t="shared" si="71"/>
        <v>2017</v>
      </c>
      <c r="ARW172" s="498">
        <f t="shared" si="71"/>
        <v>2017</v>
      </c>
      <c r="ARX172" s="498">
        <f t="shared" si="71"/>
        <v>2017</v>
      </c>
      <c r="ARY172" s="498">
        <f t="shared" si="71"/>
        <v>2017</v>
      </c>
      <c r="ARZ172" s="498">
        <f t="shared" si="71"/>
        <v>2017</v>
      </c>
      <c r="ASA172" s="498">
        <f t="shared" si="71"/>
        <v>2017</v>
      </c>
      <c r="ASB172" s="498">
        <f t="shared" si="71"/>
        <v>2017</v>
      </c>
      <c r="ASC172" s="498">
        <f t="shared" si="71"/>
        <v>2017</v>
      </c>
      <c r="ASD172" s="498">
        <f t="shared" si="71"/>
        <v>2017</v>
      </c>
      <c r="ASE172" s="498">
        <f t="shared" si="71"/>
        <v>2017</v>
      </c>
      <c r="ASF172" s="498">
        <f t="shared" si="71"/>
        <v>2017</v>
      </c>
      <c r="ASG172" s="498">
        <f t="shared" si="71"/>
        <v>2017</v>
      </c>
      <c r="ASH172" s="498">
        <f t="shared" si="71"/>
        <v>2017</v>
      </c>
      <c r="ASI172" s="498">
        <f t="shared" si="71"/>
        <v>2017</v>
      </c>
      <c r="ASJ172" s="498">
        <f t="shared" si="71"/>
        <v>2017</v>
      </c>
      <c r="ASK172" s="498">
        <f t="shared" si="71"/>
        <v>2017</v>
      </c>
      <c r="ASL172" s="498">
        <f t="shared" si="71"/>
        <v>2017</v>
      </c>
      <c r="ASM172" s="498">
        <f t="shared" si="71"/>
        <v>2017</v>
      </c>
      <c r="ASN172" s="498">
        <f t="shared" si="71"/>
        <v>2017</v>
      </c>
      <c r="ASO172" s="498">
        <f t="shared" si="71"/>
        <v>2017</v>
      </c>
      <c r="ASP172" s="498">
        <f t="shared" si="71"/>
        <v>2017</v>
      </c>
      <c r="ASQ172" s="498">
        <f t="shared" si="71"/>
        <v>2017</v>
      </c>
      <c r="ASR172" s="498">
        <f t="shared" si="71"/>
        <v>2017</v>
      </c>
      <c r="ASS172" s="498">
        <f t="shared" si="71"/>
        <v>2017</v>
      </c>
      <c r="AST172" s="498">
        <f t="shared" si="71"/>
        <v>2017</v>
      </c>
      <c r="ASU172" s="498">
        <f t="shared" si="71"/>
        <v>2017</v>
      </c>
      <c r="ASV172" s="498">
        <f t="shared" si="71"/>
        <v>2017</v>
      </c>
      <c r="ASW172" s="498">
        <f t="shared" si="71"/>
        <v>2017</v>
      </c>
      <c r="ASX172" s="498">
        <f t="shared" si="71"/>
        <v>2017</v>
      </c>
      <c r="ASY172" s="498">
        <f t="shared" si="71"/>
        <v>2017</v>
      </c>
      <c r="ASZ172" s="498">
        <f t="shared" si="71"/>
        <v>2017</v>
      </c>
      <c r="ATA172" s="498">
        <f t="shared" si="71"/>
        <v>2017</v>
      </c>
      <c r="ATB172" s="498">
        <f t="shared" si="71"/>
        <v>2017</v>
      </c>
      <c r="ATC172" s="498">
        <f t="shared" si="71"/>
        <v>2017</v>
      </c>
      <c r="ATD172" s="498">
        <f t="shared" si="71"/>
        <v>2017</v>
      </c>
      <c r="ATE172" s="498">
        <f t="shared" si="71"/>
        <v>2017</v>
      </c>
      <c r="ATF172" s="498">
        <f t="shared" si="71"/>
        <v>2017</v>
      </c>
      <c r="ATG172" s="498">
        <f t="shared" si="71"/>
        <v>2017</v>
      </c>
      <c r="ATH172" s="498">
        <f t="shared" si="71"/>
        <v>2017</v>
      </c>
      <c r="ATI172" s="498">
        <f t="shared" si="71"/>
        <v>2017</v>
      </c>
      <c r="ATJ172" s="498">
        <f t="shared" si="71"/>
        <v>2017</v>
      </c>
      <c r="ATK172" s="498">
        <f t="shared" si="71"/>
        <v>2017</v>
      </c>
      <c r="ATL172" s="498">
        <f t="shared" si="71"/>
        <v>2017</v>
      </c>
      <c r="ATM172" s="498">
        <f t="shared" si="71"/>
        <v>2017</v>
      </c>
      <c r="ATN172" s="498">
        <f t="shared" si="71"/>
        <v>2017</v>
      </c>
      <c r="ATO172" s="498">
        <f t="shared" si="71"/>
        <v>2017</v>
      </c>
      <c r="ATP172" s="498">
        <f t="shared" si="71"/>
        <v>2017</v>
      </c>
      <c r="ATQ172" s="498">
        <f t="shared" si="71"/>
        <v>2017</v>
      </c>
      <c r="ATR172" s="498">
        <f t="shared" si="71"/>
        <v>2017</v>
      </c>
      <c r="ATS172" s="498">
        <f t="shared" si="71"/>
        <v>2017</v>
      </c>
      <c r="ATT172" s="498">
        <f t="shared" si="71"/>
        <v>2017</v>
      </c>
      <c r="ATU172" s="498">
        <f t="shared" si="71"/>
        <v>2017</v>
      </c>
      <c r="ATV172" s="498">
        <f t="shared" si="71"/>
        <v>2017</v>
      </c>
      <c r="ATW172" s="498">
        <f t="shared" si="71"/>
        <v>2017</v>
      </c>
      <c r="ATX172" s="498">
        <f t="shared" si="71"/>
        <v>2017</v>
      </c>
      <c r="ATY172" s="498">
        <f t="shared" si="71"/>
        <v>2017</v>
      </c>
      <c r="ATZ172" s="498">
        <f t="shared" si="71"/>
        <v>2017</v>
      </c>
      <c r="AUA172" s="498">
        <f t="shared" si="71"/>
        <v>2017</v>
      </c>
      <c r="AUB172" s="498">
        <f t="shared" ref="AUB172:AWM172" si="72">YEAR(AUB173)</f>
        <v>2017</v>
      </c>
      <c r="AUC172" s="498">
        <f t="shared" si="72"/>
        <v>2017</v>
      </c>
      <c r="AUD172" s="498">
        <f t="shared" si="72"/>
        <v>2017</v>
      </c>
      <c r="AUE172" s="498">
        <f t="shared" si="72"/>
        <v>2017</v>
      </c>
      <c r="AUF172" s="498">
        <f t="shared" si="72"/>
        <v>2017</v>
      </c>
      <c r="AUG172" s="498">
        <f t="shared" si="72"/>
        <v>2017</v>
      </c>
      <c r="AUH172" s="498">
        <f t="shared" si="72"/>
        <v>2017</v>
      </c>
      <c r="AUI172" s="498">
        <f t="shared" si="72"/>
        <v>2017</v>
      </c>
      <c r="AUJ172" s="498">
        <f t="shared" si="72"/>
        <v>2017</v>
      </c>
      <c r="AUK172" s="498">
        <f t="shared" si="72"/>
        <v>2017</v>
      </c>
      <c r="AUL172" s="498">
        <f t="shared" si="72"/>
        <v>2017</v>
      </c>
      <c r="AUM172" s="498">
        <f t="shared" si="72"/>
        <v>2017</v>
      </c>
      <c r="AUN172" s="498">
        <f t="shared" si="72"/>
        <v>2017</v>
      </c>
      <c r="AUO172" s="498">
        <f t="shared" si="72"/>
        <v>2017</v>
      </c>
      <c r="AUP172" s="498">
        <f t="shared" si="72"/>
        <v>2017</v>
      </c>
      <c r="AUQ172" s="498">
        <f t="shared" si="72"/>
        <v>2017</v>
      </c>
      <c r="AUR172" s="498">
        <f t="shared" si="72"/>
        <v>2017</v>
      </c>
      <c r="AUS172" s="498">
        <f t="shared" si="72"/>
        <v>2016</v>
      </c>
      <c r="AUT172" s="498">
        <f t="shared" si="72"/>
        <v>2016</v>
      </c>
      <c r="AUU172" s="498">
        <f t="shared" si="72"/>
        <v>2016</v>
      </c>
      <c r="AUV172" s="498">
        <f t="shared" si="72"/>
        <v>2016</v>
      </c>
      <c r="AUW172" s="498">
        <f t="shared" si="72"/>
        <v>2016</v>
      </c>
      <c r="AUX172" s="498">
        <f t="shared" si="72"/>
        <v>2016</v>
      </c>
      <c r="AUY172" s="498">
        <f t="shared" si="72"/>
        <v>2016</v>
      </c>
      <c r="AUZ172" s="498">
        <f t="shared" si="72"/>
        <v>2016</v>
      </c>
      <c r="AVA172" s="498">
        <f t="shared" si="72"/>
        <v>2016</v>
      </c>
      <c r="AVB172" s="498">
        <f t="shared" si="72"/>
        <v>2016</v>
      </c>
      <c r="AVC172" s="498">
        <f t="shared" si="72"/>
        <v>2016</v>
      </c>
      <c r="AVD172" s="498">
        <f t="shared" si="72"/>
        <v>2016</v>
      </c>
      <c r="AVE172" s="498">
        <f t="shared" si="72"/>
        <v>2016</v>
      </c>
      <c r="AVF172" s="498">
        <f t="shared" si="72"/>
        <v>2016</v>
      </c>
      <c r="AVG172" s="498">
        <f t="shared" si="72"/>
        <v>2016</v>
      </c>
      <c r="AVH172" s="498">
        <f t="shared" si="72"/>
        <v>2016</v>
      </c>
      <c r="AVI172" s="498">
        <f t="shared" si="72"/>
        <v>2016</v>
      </c>
      <c r="AVJ172" s="498">
        <f t="shared" si="72"/>
        <v>2016</v>
      </c>
      <c r="AVK172" s="498">
        <f t="shared" si="72"/>
        <v>2016</v>
      </c>
      <c r="AVL172" s="498">
        <f t="shared" si="72"/>
        <v>2016</v>
      </c>
      <c r="AVM172" s="498">
        <f t="shared" si="72"/>
        <v>2016</v>
      </c>
      <c r="AVN172" s="498">
        <f t="shared" si="72"/>
        <v>2016</v>
      </c>
      <c r="AVO172" s="498">
        <f t="shared" si="72"/>
        <v>2016</v>
      </c>
      <c r="AVP172" s="498">
        <f t="shared" si="72"/>
        <v>2016</v>
      </c>
      <c r="AVQ172" s="498">
        <f t="shared" si="72"/>
        <v>2016</v>
      </c>
      <c r="AVR172" s="498">
        <f t="shared" si="72"/>
        <v>2016</v>
      </c>
      <c r="AVS172" s="498">
        <f t="shared" si="72"/>
        <v>2016</v>
      </c>
      <c r="AVT172" s="498">
        <f t="shared" si="72"/>
        <v>2016</v>
      </c>
      <c r="AVU172" s="498">
        <f t="shared" si="72"/>
        <v>2016</v>
      </c>
      <c r="AVV172" s="498">
        <f t="shared" si="72"/>
        <v>2016</v>
      </c>
      <c r="AVW172" s="498">
        <f t="shared" si="72"/>
        <v>2016</v>
      </c>
      <c r="AVX172" s="498">
        <f t="shared" si="72"/>
        <v>2016</v>
      </c>
      <c r="AVY172" s="498">
        <f t="shared" si="72"/>
        <v>2016</v>
      </c>
      <c r="AVZ172" s="498">
        <f t="shared" si="72"/>
        <v>2016</v>
      </c>
      <c r="AWA172" s="498">
        <f t="shared" si="72"/>
        <v>2016</v>
      </c>
      <c r="AWB172" s="498">
        <f t="shared" si="72"/>
        <v>2016</v>
      </c>
      <c r="AWC172" s="498">
        <f t="shared" si="72"/>
        <v>2016</v>
      </c>
      <c r="AWD172" s="498">
        <f t="shared" si="72"/>
        <v>2016</v>
      </c>
      <c r="AWE172" s="498">
        <f t="shared" si="72"/>
        <v>2016</v>
      </c>
      <c r="AWF172" s="498">
        <f t="shared" si="72"/>
        <v>2016</v>
      </c>
      <c r="AWG172" s="498">
        <f t="shared" si="72"/>
        <v>2016</v>
      </c>
      <c r="AWH172" s="498">
        <f t="shared" si="72"/>
        <v>2016</v>
      </c>
      <c r="AWI172" s="498">
        <f t="shared" si="72"/>
        <v>2016</v>
      </c>
      <c r="AWJ172" s="498">
        <f t="shared" si="72"/>
        <v>2016</v>
      </c>
      <c r="AWK172" s="498">
        <f t="shared" si="72"/>
        <v>2016</v>
      </c>
      <c r="AWL172" s="498">
        <f t="shared" si="72"/>
        <v>2016</v>
      </c>
      <c r="AWM172" s="498">
        <f t="shared" si="72"/>
        <v>2016</v>
      </c>
      <c r="AWN172" s="498">
        <f t="shared" ref="AWN172:AYY172" si="73">YEAR(AWN173)</f>
        <v>2016</v>
      </c>
      <c r="AWO172" s="498">
        <f t="shared" si="73"/>
        <v>2016</v>
      </c>
      <c r="AWP172" s="498">
        <f t="shared" si="73"/>
        <v>2016</v>
      </c>
      <c r="AWQ172" s="498">
        <f t="shared" si="73"/>
        <v>2016</v>
      </c>
      <c r="AWR172" s="498">
        <f t="shared" si="73"/>
        <v>2016</v>
      </c>
      <c r="AWS172" s="498">
        <f t="shared" si="73"/>
        <v>2016</v>
      </c>
      <c r="AWT172" s="498">
        <f t="shared" si="73"/>
        <v>2016</v>
      </c>
      <c r="AWU172" s="498">
        <f t="shared" si="73"/>
        <v>2016</v>
      </c>
      <c r="AWV172" s="498">
        <f t="shared" si="73"/>
        <v>2016</v>
      </c>
      <c r="AWW172" s="498">
        <f t="shared" si="73"/>
        <v>2016</v>
      </c>
      <c r="AWX172" s="498">
        <f t="shared" si="73"/>
        <v>2016</v>
      </c>
      <c r="AWY172" s="498">
        <f t="shared" si="73"/>
        <v>2016</v>
      </c>
      <c r="AWZ172" s="498">
        <f t="shared" si="73"/>
        <v>2016</v>
      </c>
      <c r="AXA172" s="498">
        <f t="shared" si="73"/>
        <v>2016</v>
      </c>
      <c r="AXB172" s="498">
        <f t="shared" si="73"/>
        <v>2016</v>
      </c>
      <c r="AXC172" s="498">
        <f t="shared" si="73"/>
        <v>2016</v>
      </c>
      <c r="AXD172" s="498">
        <f t="shared" si="73"/>
        <v>2016</v>
      </c>
      <c r="AXE172" s="498">
        <f t="shared" si="73"/>
        <v>2016</v>
      </c>
      <c r="AXF172" s="498">
        <f t="shared" si="73"/>
        <v>2016</v>
      </c>
      <c r="AXG172" s="498">
        <f t="shared" si="73"/>
        <v>2016</v>
      </c>
      <c r="AXH172" s="498">
        <f t="shared" si="73"/>
        <v>2016</v>
      </c>
      <c r="AXI172" s="498">
        <f t="shared" si="73"/>
        <v>2016</v>
      </c>
      <c r="AXJ172" s="498">
        <f t="shared" si="73"/>
        <v>2016</v>
      </c>
      <c r="AXK172" s="498">
        <f t="shared" si="73"/>
        <v>2016</v>
      </c>
      <c r="AXL172" s="498">
        <f t="shared" si="73"/>
        <v>2016</v>
      </c>
      <c r="AXM172" s="498">
        <f t="shared" si="73"/>
        <v>2016</v>
      </c>
      <c r="AXN172" s="498">
        <f t="shared" si="73"/>
        <v>2016</v>
      </c>
      <c r="AXO172" s="498">
        <f t="shared" si="73"/>
        <v>2016</v>
      </c>
      <c r="AXP172" s="498">
        <f t="shared" si="73"/>
        <v>2016</v>
      </c>
      <c r="AXQ172" s="498">
        <f t="shared" si="73"/>
        <v>2016</v>
      </c>
      <c r="AXR172" s="498">
        <f t="shared" si="73"/>
        <v>2016</v>
      </c>
      <c r="AXS172" s="498">
        <f t="shared" si="73"/>
        <v>2016</v>
      </c>
      <c r="AXT172" s="498">
        <f t="shared" si="73"/>
        <v>2016</v>
      </c>
      <c r="AXU172" s="498">
        <f t="shared" si="73"/>
        <v>2016</v>
      </c>
      <c r="AXV172" s="498">
        <f t="shared" si="73"/>
        <v>2016</v>
      </c>
      <c r="AXW172" s="498">
        <f t="shared" si="73"/>
        <v>2016</v>
      </c>
      <c r="AXX172" s="498">
        <f t="shared" si="73"/>
        <v>2016</v>
      </c>
      <c r="AXY172" s="498">
        <f t="shared" si="73"/>
        <v>2016</v>
      </c>
      <c r="AXZ172" s="498">
        <f t="shared" si="73"/>
        <v>2016</v>
      </c>
      <c r="AYA172" s="498">
        <f t="shared" si="73"/>
        <v>2016</v>
      </c>
      <c r="AYB172" s="498">
        <f t="shared" si="73"/>
        <v>2016</v>
      </c>
      <c r="AYC172" s="498">
        <f t="shared" si="73"/>
        <v>2016</v>
      </c>
      <c r="AYD172" s="498">
        <f t="shared" si="73"/>
        <v>2016</v>
      </c>
      <c r="AYE172" s="498">
        <f t="shared" si="73"/>
        <v>2016</v>
      </c>
      <c r="AYF172" s="498">
        <f t="shared" si="73"/>
        <v>2016</v>
      </c>
      <c r="AYG172" s="498">
        <f t="shared" si="73"/>
        <v>2016</v>
      </c>
      <c r="AYH172" s="498">
        <f t="shared" si="73"/>
        <v>2016</v>
      </c>
      <c r="AYI172" s="498">
        <f t="shared" si="73"/>
        <v>2016</v>
      </c>
      <c r="AYJ172" s="498">
        <f t="shared" si="73"/>
        <v>2016</v>
      </c>
      <c r="AYK172" s="498">
        <f t="shared" si="73"/>
        <v>2016</v>
      </c>
      <c r="AYL172" s="498">
        <f t="shared" si="73"/>
        <v>2016</v>
      </c>
      <c r="AYM172" s="498">
        <f t="shared" si="73"/>
        <v>2016</v>
      </c>
      <c r="AYN172" s="498">
        <f t="shared" si="73"/>
        <v>2016</v>
      </c>
      <c r="AYO172" s="498">
        <f t="shared" si="73"/>
        <v>2016</v>
      </c>
      <c r="AYP172" s="498">
        <f t="shared" si="73"/>
        <v>2016</v>
      </c>
      <c r="AYQ172" s="498">
        <f t="shared" si="73"/>
        <v>2016</v>
      </c>
      <c r="AYR172" s="498">
        <f t="shared" si="73"/>
        <v>2016</v>
      </c>
      <c r="AYS172" s="498">
        <f t="shared" si="73"/>
        <v>2016</v>
      </c>
      <c r="AYT172" s="498">
        <f t="shared" si="73"/>
        <v>2016</v>
      </c>
      <c r="AYU172" s="498">
        <f t="shared" si="73"/>
        <v>2016</v>
      </c>
      <c r="AYV172" s="498">
        <f t="shared" si="73"/>
        <v>2016</v>
      </c>
      <c r="AYW172" s="498">
        <f t="shared" si="73"/>
        <v>2016</v>
      </c>
      <c r="AYX172" s="498">
        <f t="shared" si="73"/>
        <v>2016</v>
      </c>
      <c r="AYY172" s="498">
        <f t="shared" si="73"/>
        <v>2016</v>
      </c>
      <c r="AYZ172" s="498">
        <f t="shared" ref="AYZ172:BBK172" si="74">YEAR(AYZ173)</f>
        <v>2016</v>
      </c>
      <c r="AZA172" s="498">
        <f t="shared" si="74"/>
        <v>2016</v>
      </c>
      <c r="AZB172" s="498">
        <f t="shared" si="74"/>
        <v>2016</v>
      </c>
      <c r="AZC172" s="498">
        <f t="shared" si="74"/>
        <v>2016</v>
      </c>
      <c r="AZD172" s="498">
        <f t="shared" si="74"/>
        <v>2016</v>
      </c>
      <c r="AZE172" s="498">
        <f t="shared" si="74"/>
        <v>2016</v>
      </c>
      <c r="AZF172" s="498">
        <f t="shared" si="74"/>
        <v>2016</v>
      </c>
      <c r="AZG172" s="498">
        <f t="shared" si="74"/>
        <v>2016</v>
      </c>
      <c r="AZH172" s="498">
        <f t="shared" si="74"/>
        <v>2016</v>
      </c>
      <c r="AZI172" s="498">
        <f t="shared" si="74"/>
        <v>2016</v>
      </c>
      <c r="AZJ172" s="498">
        <f t="shared" si="74"/>
        <v>2016</v>
      </c>
      <c r="AZK172" s="498">
        <f t="shared" si="74"/>
        <v>2016</v>
      </c>
      <c r="AZL172" s="498">
        <f t="shared" si="74"/>
        <v>2016</v>
      </c>
      <c r="AZM172" s="498">
        <f t="shared" si="74"/>
        <v>2016</v>
      </c>
      <c r="AZN172" s="498">
        <f t="shared" si="74"/>
        <v>2016</v>
      </c>
      <c r="AZO172" s="498">
        <f t="shared" si="74"/>
        <v>2016</v>
      </c>
      <c r="AZP172" s="498">
        <f t="shared" si="74"/>
        <v>2016</v>
      </c>
      <c r="AZQ172" s="498">
        <f t="shared" si="74"/>
        <v>2016</v>
      </c>
      <c r="AZR172" s="498">
        <f t="shared" si="74"/>
        <v>2016</v>
      </c>
      <c r="AZS172" s="498">
        <f t="shared" si="74"/>
        <v>2016</v>
      </c>
      <c r="AZT172" s="498">
        <f t="shared" si="74"/>
        <v>2016</v>
      </c>
      <c r="AZU172" s="498">
        <f t="shared" si="74"/>
        <v>2016</v>
      </c>
      <c r="AZV172" s="498">
        <f t="shared" si="74"/>
        <v>2016</v>
      </c>
      <c r="AZW172" s="498">
        <f t="shared" si="74"/>
        <v>2016</v>
      </c>
      <c r="AZX172" s="498">
        <f t="shared" si="74"/>
        <v>2016</v>
      </c>
      <c r="AZY172" s="498">
        <f t="shared" si="74"/>
        <v>2016</v>
      </c>
      <c r="AZZ172" s="498">
        <f t="shared" si="74"/>
        <v>2016</v>
      </c>
      <c r="BAA172" s="498">
        <f t="shared" si="74"/>
        <v>2016</v>
      </c>
      <c r="BAB172" s="498">
        <f t="shared" si="74"/>
        <v>2016</v>
      </c>
      <c r="BAC172" s="498">
        <f t="shared" si="74"/>
        <v>2016</v>
      </c>
      <c r="BAD172" s="498">
        <f t="shared" si="74"/>
        <v>2016</v>
      </c>
      <c r="BAE172" s="498">
        <f t="shared" si="74"/>
        <v>2016</v>
      </c>
      <c r="BAF172" s="498">
        <f t="shared" si="74"/>
        <v>2016</v>
      </c>
      <c r="BAG172" s="498">
        <f t="shared" si="74"/>
        <v>2016</v>
      </c>
      <c r="BAH172" s="498">
        <f t="shared" si="74"/>
        <v>2016</v>
      </c>
      <c r="BAI172" s="498">
        <f t="shared" si="74"/>
        <v>2016</v>
      </c>
      <c r="BAJ172" s="498">
        <f t="shared" si="74"/>
        <v>2016</v>
      </c>
      <c r="BAK172" s="498">
        <f t="shared" si="74"/>
        <v>2016</v>
      </c>
      <c r="BAL172" s="498">
        <f t="shared" si="74"/>
        <v>2016</v>
      </c>
      <c r="BAM172" s="498">
        <f t="shared" si="74"/>
        <v>2016</v>
      </c>
      <c r="BAN172" s="498">
        <f t="shared" si="74"/>
        <v>2016</v>
      </c>
      <c r="BAO172" s="498">
        <f t="shared" si="74"/>
        <v>2016</v>
      </c>
      <c r="BAP172" s="498">
        <f t="shared" si="74"/>
        <v>2016</v>
      </c>
      <c r="BAQ172" s="498">
        <f t="shared" si="74"/>
        <v>2016</v>
      </c>
      <c r="BAR172" s="498">
        <f t="shared" si="74"/>
        <v>2016</v>
      </c>
      <c r="BAS172" s="498">
        <f t="shared" si="74"/>
        <v>2016</v>
      </c>
      <c r="BAT172" s="498">
        <f t="shared" si="74"/>
        <v>2016</v>
      </c>
      <c r="BAU172" s="498">
        <f t="shared" si="74"/>
        <v>2016</v>
      </c>
      <c r="BAV172" s="498">
        <f t="shared" si="74"/>
        <v>2016</v>
      </c>
      <c r="BAW172" s="498">
        <f t="shared" si="74"/>
        <v>2016</v>
      </c>
      <c r="BAX172" s="498">
        <f t="shared" si="74"/>
        <v>2016</v>
      </c>
      <c r="BAY172" s="498">
        <f t="shared" si="74"/>
        <v>2016</v>
      </c>
      <c r="BAZ172" s="498">
        <f t="shared" si="74"/>
        <v>2016</v>
      </c>
      <c r="BBA172" s="498">
        <f t="shared" si="74"/>
        <v>2016</v>
      </c>
      <c r="BBB172" s="498">
        <f t="shared" si="74"/>
        <v>2016</v>
      </c>
      <c r="BBC172" s="498">
        <f t="shared" si="74"/>
        <v>2016</v>
      </c>
      <c r="BBD172" s="498">
        <f t="shared" si="74"/>
        <v>2016</v>
      </c>
      <c r="BBE172" s="498">
        <f t="shared" si="74"/>
        <v>2016</v>
      </c>
      <c r="BBF172" s="498">
        <f t="shared" si="74"/>
        <v>2016</v>
      </c>
      <c r="BBG172" s="498">
        <f t="shared" si="74"/>
        <v>2016</v>
      </c>
      <c r="BBH172" s="498">
        <f t="shared" si="74"/>
        <v>2016</v>
      </c>
      <c r="BBI172" s="498">
        <f t="shared" si="74"/>
        <v>2016</v>
      </c>
      <c r="BBJ172" s="498">
        <f t="shared" si="74"/>
        <v>2016</v>
      </c>
      <c r="BBK172" s="498">
        <f t="shared" si="74"/>
        <v>2016</v>
      </c>
      <c r="BBL172" s="498">
        <f t="shared" ref="BBL172:BDW172" si="75">YEAR(BBL173)</f>
        <v>2016</v>
      </c>
      <c r="BBM172" s="498">
        <f t="shared" si="75"/>
        <v>2016</v>
      </c>
      <c r="BBN172" s="498">
        <f t="shared" si="75"/>
        <v>2016</v>
      </c>
      <c r="BBO172" s="498">
        <f t="shared" si="75"/>
        <v>2016</v>
      </c>
      <c r="BBP172" s="498">
        <f t="shared" si="75"/>
        <v>2016</v>
      </c>
      <c r="BBQ172" s="498">
        <f t="shared" si="75"/>
        <v>2016</v>
      </c>
      <c r="BBR172" s="498">
        <f t="shared" si="75"/>
        <v>2016</v>
      </c>
      <c r="BBS172" s="498">
        <f t="shared" si="75"/>
        <v>2016</v>
      </c>
      <c r="BBT172" s="498">
        <f t="shared" si="75"/>
        <v>2016</v>
      </c>
      <c r="BBU172" s="498">
        <f t="shared" si="75"/>
        <v>2016</v>
      </c>
      <c r="BBV172" s="498">
        <f t="shared" si="75"/>
        <v>2016</v>
      </c>
      <c r="BBW172" s="498">
        <f t="shared" si="75"/>
        <v>2016</v>
      </c>
      <c r="BBX172" s="498">
        <f t="shared" si="75"/>
        <v>2016</v>
      </c>
      <c r="BBY172" s="498">
        <f t="shared" si="75"/>
        <v>2016</v>
      </c>
      <c r="BBZ172" s="498">
        <f t="shared" si="75"/>
        <v>2016</v>
      </c>
      <c r="BCA172" s="498">
        <f t="shared" si="75"/>
        <v>2016</v>
      </c>
      <c r="BCB172" s="498">
        <f t="shared" si="75"/>
        <v>2016</v>
      </c>
      <c r="BCC172" s="498">
        <f t="shared" si="75"/>
        <v>2016</v>
      </c>
      <c r="BCD172" s="498">
        <f t="shared" si="75"/>
        <v>2016</v>
      </c>
      <c r="BCE172" s="498">
        <f t="shared" si="75"/>
        <v>2016</v>
      </c>
      <c r="BCF172" s="498">
        <f t="shared" si="75"/>
        <v>2016</v>
      </c>
      <c r="BCG172" s="498">
        <f t="shared" si="75"/>
        <v>2016</v>
      </c>
      <c r="BCH172" s="498">
        <f t="shared" si="75"/>
        <v>2016</v>
      </c>
      <c r="BCI172" s="498">
        <f t="shared" si="75"/>
        <v>2016</v>
      </c>
      <c r="BCJ172" s="498">
        <f t="shared" si="75"/>
        <v>2016</v>
      </c>
      <c r="BCK172" s="498">
        <f t="shared" si="75"/>
        <v>2016</v>
      </c>
      <c r="BCL172" s="498">
        <f t="shared" si="75"/>
        <v>2016</v>
      </c>
      <c r="BCM172" s="498">
        <f t="shared" si="75"/>
        <v>2016</v>
      </c>
      <c r="BCN172" s="498">
        <f t="shared" si="75"/>
        <v>2016</v>
      </c>
      <c r="BCO172" s="498">
        <f t="shared" si="75"/>
        <v>2016</v>
      </c>
      <c r="BCP172" s="498">
        <f t="shared" si="75"/>
        <v>2016</v>
      </c>
      <c r="BCQ172" s="498">
        <f t="shared" si="75"/>
        <v>2016</v>
      </c>
      <c r="BCR172" s="498">
        <f t="shared" si="75"/>
        <v>2016</v>
      </c>
      <c r="BCS172" s="498">
        <f t="shared" si="75"/>
        <v>2016</v>
      </c>
      <c r="BCT172" s="498">
        <f t="shared" si="75"/>
        <v>2016</v>
      </c>
      <c r="BCU172" s="498">
        <f t="shared" si="75"/>
        <v>2016</v>
      </c>
      <c r="BCV172" s="498">
        <f t="shared" si="75"/>
        <v>2016</v>
      </c>
      <c r="BCW172" s="498">
        <f t="shared" si="75"/>
        <v>2016</v>
      </c>
      <c r="BCX172" s="498">
        <f t="shared" si="75"/>
        <v>2016</v>
      </c>
      <c r="BCY172" s="498">
        <f t="shared" si="75"/>
        <v>2016</v>
      </c>
      <c r="BCZ172" s="498">
        <f t="shared" si="75"/>
        <v>2016</v>
      </c>
      <c r="BDA172" s="498">
        <f t="shared" si="75"/>
        <v>2016</v>
      </c>
      <c r="BDB172" s="498">
        <f t="shared" si="75"/>
        <v>2016</v>
      </c>
      <c r="BDC172" s="498">
        <f t="shared" si="75"/>
        <v>2016</v>
      </c>
      <c r="BDD172" s="498">
        <f t="shared" si="75"/>
        <v>2016</v>
      </c>
      <c r="BDE172" s="498">
        <f t="shared" si="75"/>
        <v>2016</v>
      </c>
      <c r="BDF172" s="498">
        <f t="shared" si="75"/>
        <v>2016</v>
      </c>
      <c r="BDG172" s="498">
        <f t="shared" si="75"/>
        <v>2016</v>
      </c>
      <c r="BDH172" s="498">
        <f t="shared" si="75"/>
        <v>2016</v>
      </c>
      <c r="BDI172" s="498">
        <f t="shared" si="75"/>
        <v>2016</v>
      </c>
      <c r="BDJ172" s="498">
        <f t="shared" si="75"/>
        <v>2016</v>
      </c>
      <c r="BDK172" s="498">
        <f t="shared" si="75"/>
        <v>2016</v>
      </c>
      <c r="BDL172" s="498">
        <f t="shared" si="75"/>
        <v>2016</v>
      </c>
      <c r="BDM172" s="498">
        <f t="shared" si="75"/>
        <v>2016</v>
      </c>
      <c r="BDN172" s="498">
        <f t="shared" si="75"/>
        <v>2016</v>
      </c>
      <c r="BDO172" s="498">
        <f t="shared" si="75"/>
        <v>2016</v>
      </c>
      <c r="BDP172" s="498">
        <f t="shared" si="75"/>
        <v>2016</v>
      </c>
      <c r="BDQ172" s="498">
        <f t="shared" si="75"/>
        <v>2016</v>
      </c>
      <c r="BDR172" s="498">
        <f t="shared" si="75"/>
        <v>2016</v>
      </c>
      <c r="BDS172" s="498">
        <f t="shared" si="75"/>
        <v>2016</v>
      </c>
      <c r="BDT172" s="498">
        <f t="shared" si="75"/>
        <v>2016</v>
      </c>
      <c r="BDU172" s="498">
        <f t="shared" si="75"/>
        <v>2016</v>
      </c>
      <c r="BDV172" s="498">
        <f t="shared" si="75"/>
        <v>2016</v>
      </c>
      <c r="BDW172" s="498">
        <f t="shared" si="75"/>
        <v>2016</v>
      </c>
      <c r="BDX172" s="498">
        <f t="shared" ref="BDX172:BGI172" si="76">YEAR(BDX173)</f>
        <v>2016</v>
      </c>
      <c r="BDY172" s="498">
        <f t="shared" si="76"/>
        <v>2016</v>
      </c>
      <c r="BDZ172" s="498">
        <f t="shared" si="76"/>
        <v>2016</v>
      </c>
      <c r="BEA172" s="498">
        <f t="shared" si="76"/>
        <v>2016</v>
      </c>
      <c r="BEB172" s="498">
        <f t="shared" si="76"/>
        <v>2016</v>
      </c>
      <c r="BEC172" s="498">
        <f t="shared" si="76"/>
        <v>2016</v>
      </c>
      <c r="BED172" s="498">
        <f t="shared" si="76"/>
        <v>2016</v>
      </c>
      <c r="BEE172" s="498">
        <f t="shared" si="76"/>
        <v>2016</v>
      </c>
      <c r="BEF172" s="498">
        <f t="shared" si="76"/>
        <v>2015</v>
      </c>
      <c r="BEG172" s="498">
        <f t="shared" si="76"/>
        <v>2015</v>
      </c>
      <c r="BEH172" s="498">
        <f t="shared" si="76"/>
        <v>2015</v>
      </c>
      <c r="BEI172" s="498">
        <f t="shared" si="76"/>
        <v>2015</v>
      </c>
      <c r="BEJ172" s="498">
        <f t="shared" si="76"/>
        <v>2015</v>
      </c>
      <c r="BEK172" s="498">
        <f t="shared" si="76"/>
        <v>2015</v>
      </c>
      <c r="BEL172" s="498">
        <f t="shared" si="76"/>
        <v>2015</v>
      </c>
      <c r="BEM172" s="498">
        <f t="shared" si="76"/>
        <v>2015</v>
      </c>
      <c r="BEN172" s="498">
        <f t="shared" si="76"/>
        <v>2015</v>
      </c>
      <c r="BEO172" s="498">
        <f t="shared" si="76"/>
        <v>2015</v>
      </c>
      <c r="BEP172" s="498">
        <f t="shared" si="76"/>
        <v>2015</v>
      </c>
      <c r="BEQ172" s="498">
        <f t="shared" si="76"/>
        <v>2015</v>
      </c>
      <c r="BER172" s="498">
        <f t="shared" si="76"/>
        <v>2015</v>
      </c>
      <c r="BES172" s="498">
        <f t="shared" si="76"/>
        <v>2015</v>
      </c>
      <c r="BET172" s="498">
        <f t="shared" si="76"/>
        <v>2015</v>
      </c>
      <c r="BEU172" s="498">
        <f t="shared" si="76"/>
        <v>2015</v>
      </c>
      <c r="BEV172" s="498">
        <f t="shared" si="76"/>
        <v>2015</v>
      </c>
      <c r="BEW172" s="498">
        <f t="shared" si="76"/>
        <v>2015</v>
      </c>
      <c r="BEX172" s="498">
        <f t="shared" si="76"/>
        <v>2015</v>
      </c>
      <c r="BEY172" s="498">
        <f t="shared" si="76"/>
        <v>2015</v>
      </c>
      <c r="BEZ172" s="498">
        <f t="shared" si="76"/>
        <v>2015</v>
      </c>
      <c r="BFA172" s="498">
        <f t="shared" si="76"/>
        <v>2015</v>
      </c>
      <c r="BFB172" s="498">
        <f t="shared" si="76"/>
        <v>2015</v>
      </c>
      <c r="BFC172" s="498">
        <f t="shared" si="76"/>
        <v>2015</v>
      </c>
      <c r="BFD172" s="498">
        <f t="shared" si="76"/>
        <v>2015</v>
      </c>
      <c r="BFE172" s="498">
        <f t="shared" si="76"/>
        <v>2015</v>
      </c>
      <c r="BFF172" s="498">
        <f t="shared" si="76"/>
        <v>2015</v>
      </c>
      <c r="BFG172" s="498">
        <f t="shared" si="76"/>
        <v>2015</v>
      </c>
      <c r="BFH172" s="498">
        <f t="shared" si="76"/>
        <v>2015</v>
      </c>
      <c r="BFI172" s="498">
        <f t="shared" si="76"/>
        <v>2015</v>
      </c>
      <c r="BFJ172" s="498">
        <f t="shared" si="76"/>
        <v>2015</v>
      </c>
      <c r="BFK172" s="498">
        <f t="shared" si="76"/>
        <v>2015</v>
      </c>
      <c r="BFL172" s="498">
        <f t="shared" si="76"/>
        <v>2015</v>
      </c>
      <c r="BFM172" s="498">
        <f t="shared" si="76"/>
        <v>2015</v>
      </c>
      <c r="BFN172" s="498">
        <f t="shared" si="76"/>
        <v>2015</v>
      </c>
      <c r="BFO172" s="498">
        <f t="shared" si="76"/>
        <v>2015</v>
      </c>
      <c r="BFP172" s="498">
        <f t="shared" si="76"/>
        <v>2015</v>
      </c>
      <c r="BFQ172" s="498">
        <f t="shared" si="76"/>
        <v>2015</v>
      </c>
      <c r="BFR172" s="498">
        <f t="shared" si="76"/>
        <v>2015</v>
      </c>
      <c r="BFS172" s="498">
        <f t="shared" si="76"/>
        <v>2015</v>
      </c>
      <c r="BFT172" s="498">
        <f t="shared" si="76"/>
        <v>2015</v>
      </c>
      <c r="BFU172" s="498">
        <f t="shared" si="76"/>
        <v>2015</v>
      </c>
      <c r="BFV172" s="498">
        <f t="shared" si="76"/>
        <v>2015</v>
      </c>
      <c r="BFW172" s="498">
        <f t="shared" si="76"/>
        <v>2015</v>
      </c>
      <c r="BFX172" s="498">
        <f t="shared" si="76"/>
        <v>2015</v>
      </c>
      <c r="BFY172" s="498">
        <f t="shared" si="76"/>
        <v>2015</v>
      </c>
      <c r="BFZ172" s="498">
        <f t="shared" si="76"/>
        <v>2015</v>
      </c>
      <c r="BGA172" s="498">
        <f t="shared" si="76"/>
        <v>2015</v>
      </c>
      <c r="BGB172" s="498">
        <f t="shared" si="76"/>
        <v>2015</v>
      </c>
      <c r="BGC172" s="498">
        <f t="shared" si="76"/>
        <v>2015</v>
      </c>
      <c r="BGD172" s="498">
        <f t="shared" si="76"/>
        <v>2015</v>
      </c>
      <c r="BGE172" s="498">
        <f t="shared" si="76"/>
        <v>2015</v>
      </c>
      <c r="BGF172" s="498">
        <f t="shared" si="76"/>
        <v>2015</v>
      </c>
      <c r="BGG172" s="498">
        <f t="shared" si="76"/>
        <v>2015</v>
      </c>
      <c r="BGH172" s="498">
        <f t="shared" si="76"/>
        <v>2015</v>
      </c>
      <c r="BGI172" s="498">
        <f t="shared" si="76"/>
        <v>2015</v>
      </c>
      <c r="BGJ172" s="498">
        <f t="shared" ref="BGJ172:BIU172" si="77">YEAR(BGJ173)</f>
        <v>2015</v>
      </c>
      <c r="BGK172" s="498">
        <f t="shared" si="77"/>
        <v>2015</v>
      </c>
      <c r="BGL172" s="498">
        <f t="shared" si="77"/>
        <v>2015</v>
      </c>
      <c r="BGM172" s="498">
        <f t="shared" si="77"/>
        <v>2015</v>
      </c>
      <c r="BGN172" s="498">
        <f t="shared" si="77"/>
        <v>2015</v>
      </c>
      <c r="BGO172" s="498">
        <f t="shared" si="77"/>
        <v>2015</v>
      </c>
      <c r="BGP172" s="498">
        <f t="shared" si="77"/>
        <v>2015</v>
      </c>
      <c r="BGQ172" s="498">
        <f t="shared" si="77"/>
        <v>2015</v>
      </c>
      <c r="BGR172" s="498">
        <f t="shared" si="77"/>
        <v>2015</v>
      </c>
      <c r="BGS172" s="498">
        <f t="shared" si="77"/>
        <v>2015</v>
      </c>
      <c r="BGT172" s="498">
        <f t="shared" si="77"/>
        <v>2015</v>
      </c>
      <c r="BGU172" s="498">
        <f t="shared" si="77"/>
        <v>2015</v>
      </c>
      <c r="BGV172" s="498">
        <f t="shared" si="77"/>
        <v>2015</v>
      </c>
      <c r="BGW172" s="498">
        <f t="shared" si="77"/>
        <v>2015</v>
      </c>
      <c r="BGX172" s="498">
        <f t="shared" si="77"/>
        <v>2015</v>
      </c>
      <c r="BGY172" s="498">
        <f t="shared" si="77"/>
        <v>2015</v>
      </c>
      <c r="BGZ172" s="498">
        <f t="shared" si="77"/>
        <v>2015</v>
      </c>
      <c r="BHA172" s="498">
        <f t="shared" si="77"/>
        <v>2015</v>
      </c>
      <c r="BHB172" s="498">
        <f t="shared" si="77"/>
        <v>2015</v>
      </c>
      <c r="BHC172" s="498">
        <f t="shared" si="77"/>
        <v>2015</v>
      </c>
      <c r="BHD172" s="498">
        <f t="shared" si="77"/>
        <v>2015</v>
      </c>
      <c r="BHE172" s="498">
        <f t="shared" si="77"/>
        <v>2015</v>
      </c>
      <c r="BHF172" s="498">
        <f t="shared" si="77"/>
        <v>2015</v>
      </c>
      <c r="BHG172" s="498">
        <f t="shared" si="77"/>
        <v>2015</v>
      </c>
      <c r="BHH172" s="498">
        <f t="shared" si="77"/>
        <v>2015</v>
      </c>
      <c r="BHI172" s="498">
        <f t="shared" si="77"/>
        <v>2015</v>
      </c>
      <c r="BHJ172" s="498">
        <f t="shared" si="77"/>
        <v>2015</v>
      </c>
      <c r="BHK172" s="498">
        <f t="shared" si="77"/>
        <v>2015</v>
      </c>
      <c r="BHL172" s="498">
        <f t="shared" si="77"/>
        <v>2015</v>
      </c>
      <c r="BHM172" s="498">
        <f t="shared" si="77"/>
        <v>2015</v>
      </c>
      <c r="BHN172" s="498">
        <f t="shared" si="77"/>
        <v>2015</v>
      </c>
      <c r="BHO172" s="498">
        <f t="shared" si="77"/>
        <v>2015</v>
      </c>
      <c r="BHP172" s="498">
        <f t="shared" si="77"/>
        <v>2015</v>
      </c>
      <c r="BHQ172" s="498">
        <f t="shared" si="77"/>
        <v>2015</v>
      </c>
      <c r="BHR172" s="498">
        <f t="shared" si="77"/>
        <v>2015</v>
      </c>
      <c r="BHS172" s="498">
        <f t="shared" si="77"/>
        <v>2015</v>
      </c>
      <c r="BHT172" s="498">
        <f t="shared" si="77"/>
        <v>2015</v>
      </c>
      <c r="BHU172" s="498">
        <f t="shared" si="77"/>
        <v>2015</v>
      </c>
      <c r="BHV172" s="498">
        <f t="shared" si="77"/>
        <v>2015</v>
      </c>
      <c r="BHW172" s="498">
        <f t="shared" si="77"/>
        <v>2015</v>
      </c>
      <c r="BHX172" s="498">
        <f t="shared" si="77"/>
        <v>2015</v>
      </c>
      <c r="BHY172" s="498">
        <f t="shared" si="77"/>
        <v>2015</v>
      </c>
      <c r="BHZ172" s="498">
        <f t="shared" si="77"/>
        <v>2015</v>
      </c>
      <c r="BIA172" s="498">
        <f t="shared" si="77"/>
        <v>2015</v>
      </c>
      <c r="BIB172" s="498">
        <f t="shared" si="77"/>
        <v>2015</v>
      </c>
      <c r="BIC172" s="498">
        <f t="shared" si="77"/>
        <v>2015</v>
      </c>
      <c r="BID172" s="498">
        <f t="shared" si="77"/>
        <v>2015</v>
      </c>
      <c r="BIE172" s="498">
        <f t="shared" si="77"/>
        <v>2015</v>
      </c>
      <c r="BIF172" s="498">
        <f t="shared" si="77"/>
        <v>2015</v>
      </c>
      <c r="BIG172" s="498">
        <f t="shared" si="77"/>
        <v>2015</v>
      </c>
      <c r="BIH172" s="498">
        <f t="shared" si="77"/>
        <v>2015</v>
      </c>
      <c r="BII172" s="498">
        <f t="shared" si="77"/>
        <v>2015</v>
      </c>
      <c r="BIJ172" s="498">
        <f t="shared" si="77"/>
        <v>2015</v>
      </c>
      <c r="BIK172" s="498">
        <f t="shared" si="77"/>
        <v>2015</v>
      </c>
      <c r="BIL172" s="498">
        <f t="shared" si="77"/>
        <v>2015</v>
      </c>
      <c r="BIM172" s="498">
        <f t="shared" si="77"/>
        <v>2015</v>
      </c>
      <c r="BIN172" s="498">
        <f t="shared" si="77"/>
        <v>2015</v>
      </c>
      <c r="BIO172" s="498">
        <f t="shared" si="77"/>
        <v>2015</v>
      </c>
      <c r="BIP172" s="498">
        <f t="shared" si="77"/>
        <v>2015</v>
      </c>
      <c r="BIQ172" s="498">
        <f t="shared" si="77"/>
        <v>2015</v>
      </c>
      <c r="BIR172" s="498">
        <f t="shared" si="77"/>
        <v>2015</v>
      </c>
      <c r="BIS172" s="498">
        <f t="shared" si="77"/>
        <v>2015</v>
      </c>
      <c r="BIT172" s="498">
        <f t="shared" si="77"/>
        <v>2015</v>
      </c>
      <c r="BIU172" s="498">
        <f t="shared" si="77"/>
        <v>2015</v>
      </c>
      <c r="BIV172" s="498">
        <f t="shared" ref="BIV172:BLG172" si="78">YEAR(BIV173)</f>
        <v>2015</v>
      </c>
      <c r="BIW172" s="498">
        <f t="shared" si="78"/>
        <v>2015</v>
      </c>
      <c r="BIX172" s="498">
        <f t="shared" si="78"/>
        <v>2015</v>
      </c>
      <c r="BIY172" s="498">
        <f t="shared" si="78"/>
        <v>2015</v>
      </c>
      <c r="BIZ172" s="498">
        <f t="shared" si="78"/>
        <v>2015</v>
      </c>
      <c r="BJA172" s="498">
        <f t="shared" si="78"/>
        <v>2015</v>
      </c>
      <c r="BJB172" s="498">
        <f t="shared" si="78"/>
        <v>2015</v>
      </c>
      <c r="BJC172" s="498">
        <f t="shared" si="78"/>
        <v>2015</v>
      </c>
      <c r="BJD172" s="498">
        <f t="shared" si="78"/>
        <v>2015</v>
      </c>
      <c r="BJE172" s="498">
        <f t="shared" si="78"/>
        <v>2015</v>
      </c>
      <c r="BJF172" s="498">
        <f t="shared" si="78"/>
        <v>2015</v>
      </c>
      <c r="BJG172" s="498">
        <f t="shared" si="78"/>
        <v>2015</v>
      </c>
      <c r="BJH172" s="498">
        <f t="shared" si="78"/>
        <v>2015</v>
      </c>
      <c r="BJI172" s="498">
        <f t="shared" si="78"/>
        <v>2015</v>
      </c>
      <c r="BJJ172" s="498">
        <f t="shared" si="78"/>
        <v>2015</v>
      </c>
      <c r="BJK172" s="498">
        <f t="shared" si="78"/>
        <v>2015</v>
      </c>
      <c r="BJL172" s="498">
        <f t="shared" si="78"/>
        <v>2015</v>
      </c>
      <c r="BJM172" s="498">
        <f t="shared" si="78"/>
        <v>2015</v>
      </c>
      <c r="BJN172" s="498">
        <f t="shared" si="78"/>
        <v>2015</v>
      </c>
      <c r="BJO172" s="498">
        <f t="shared" si="78"/>
        <v>2015</v>
      </c>
      <c r="BJP172" s="498">
        <f t="shared" si="78"/>
        <v>2015</v>
      </c>
      <c r="BJQ172" s="498">
        <f t="shared" si="78"/>
        <v>2015</v>
      </c>
      <c r="BJR172" s="498">
        <f t="shared" si="78"/>
        <v>2015</v>
      </c>
      <c r="BJS172" s="498">
        <f t="shared" si="78"/>
        <v>2015</v>
      </c>
      <c r="BJT172" s="498">
        <f t="shared" si="78"/>
        <v>2015</v>
      </c>
      <c r="BJU172" s="498">
        <f t="shared" si="78"/>
        <v>2015</v>
      </c>
      <c r="BJV172" s="498">
        <f t="shared" si="78"/>
        <v>2015</v>
      </c>
      <c r="BJW172" s="498">
        <f t="shared" si="78"/>
        <v>2015</v>
      </c>
      <c r="BJX172" s="498">
        <f t="shared" si="78"/>
        <v>2015</v>
      </c>
      <c r="BJY172" s="498">
        <f t="shared" si="78"/>
        <v>2015</v>
      </c>
      <c r="BJZ172" s="498">
        <f t="shared" si="78"/>
        <v>2015</v>
      </c>
      <c r="BKA172" s="498">
        <f t="shared" si="78"/>
        <v>2015</v>
      </c>
      <c r="BKB172" s="498">
        <f t="shared" si="78"/>
        <v>2015</v>
      </c>
      <c r="BKC172" s="498">
        <f t="shared" si="78"/>
        <v>2015</v>
      </c>
      <c r="BKD172" s="498">
        <f t="shared" si="78"/>
        <v>2015</v>
      </c>
      <c r="BKE172" s="498">
        <f t="shared" si="78"/>
        <v>2015</v>
      </c>
      <c r="BKF172" s="498">
        <f t="shared" si="78"/>
        <v>2015</v>
      </c>
      <c r="BKG172" s="498">
        <f t="shared" si="78"/>
        <v>2015</v>
      </c>
      <c r="BKH172" s="498">
        <f t="shared" si="78"/>
        <v>2015</v>
      </c>
      <c r="BKI172" s="498">
        <f t="shared" si="78"/>
        <v>2015</v>
      </c>
      <c r="BKJ172" s="498">
        <f t="shared" si="78"/>
        <v>2015</v>
      </c>
      <c r="BKK172" s="498">
        <f t="shared" si="78"/>
        <v>2015</v>
      </c>
      <c r="BKL172" s="498">
        <f t="shared" si="78"/>
        <v>2015</v>
      </c>
      <c r="BKM172" s="498">
        <f t="shared" si="78"/>
        <v>2015</v>
      </c>
      <c r="BKN172" s="498">
        <f t="shared" si="78"/>
        <v>2015</v>
      </c>
      <c r="BKO172" s="498">
        <f t="shared" si="78"/>
        <v>2015</v>
      </c>
      <c r="BKP172" s="498">
        <f t="shared" si="78"/>
        <v>2015</v>
      </c>
      <c r="BKQ172" s="498">
        <f t="shared" si="78"/>
        <v>2015</v>
      </c>
      <c r="BKR172" s="498">
        <f t="shared" si="78"/>
        <v>2015</v>
      </c>
      <c r="BKS172" s="498">
        <f t="shared" si="78"/>
        <v>2015</v>
      </c>
      <c r="BKT172" s="498">
        <f t="shared" si="78"/>
        <v>2015</v>
      </c>
      <c r="BKU172" s="498">
        <f t="shared" si="78"/>
        <v>2015</v>
      </c>
      <c r="BKV172" s="498">
        <f t="shared" si="78"/>
        <v>2015</v>
      </c>
      <c r="BKW172" s="498">
        <f t="shared" si="78"/>
        <v>2015</v>
      </c>
      <c r="BKX172" s="498">
        <f t="shared" si="78"/>
        <v>2015</v>
      </c>
      <c r="BKY172" s="498">
        <f t="shared" si="78"/>
        <v>2015</v>
      </c>
      <c r="BKZ172" s="498">
        <f t="shared" si="78"/>
        <v>2015</v>
      </c>
      <c r="BLA172" s="498">
        <f t="shared" si="78"/>
        <v>2015</v>
      </c>
      <c r="BLB172" s="498">
        <f t="shared" si="78"/>
        <v>2015</v>
      </c>
      <c r="BLC172" s="498">
        <f t="shared" si="78"/>
        <v>2015</v>
      </c>
      <c r="BLD172" s="498">
        <f t="shared" si="78"/>
        <v>2015</v>
      </c>
      <c r="BLE172" s="498">
        <f t="shared" si="78"/>
        <v>2015</v>
      </c>
      <c r="BLF172" s="498">
        <f t="shared" si="78"/>
        <v>2015</v>
      </c>
      <c r="BLG172" s="498">
        <f t="shared" si="78"/>
        <v>2015</v>
      </c>
      <c r="BLH172" s="498">
        <f t="shared" ref="BLH172:BNS172" si="79">YEAR(BLH173)</f>
        <v>2015</v>
      </c>
      <c r="BLI172" s="498">
        <f t="shared" si="79"/>
        <v>2015</v>
      </c>
      <c r="BLJ172" s="498">
        <f t="shared" si="79"/>
        <v>2015</v>
      </c>
      <c r="BLK172" s="498">
        <f t="shared" si="79"/>
        <v>2015</v>
      </c>
      <c r="BLL172" s="498">
        <f t="shared" si="79"/>
        <v>2015</v>
      </c>
      <c r="BLM172" s="498">
        <f t="shared" si="79"/>
        <v>2015</v>
      </c>
      <c r="BLN172" s="498">
        <f t="shared" si="79"/>
        <v>2015</v>
      </c>
      <c r="BLO172" s="498">
        <f t="shared" si="79"/>
        <v>2015</v>
      </c>
      <c r="BLP172" s="498">
        <f t="shared" si="79"/>
        <v>2015</v>
      </c>
      <c r="BLQ172" s="498">
        <f t="shared" si="79"/>
        <v>2015</v>
      </c>
      <c r="BLR172" s="498">
        <f t="shared" si="79"/>
        <v>2015</v>
      </c>
      <c r="BLS172" s="498">
        <f t="shared" si="79"/>
        <v>2015</v>
      </c>
      <c r="BLT172" s="498">
        <f t="shared" si="79"/>
        <v>2015</v>
      </c>
      <c r="BLU172" s="498">
        <f t="shared" si="79"/>
        <v>2015</v>
      </c>
      <c r="BLV172" s="498">
        <f t="shared" si="79"/>
        <v>2015</v>
      </c>
      <c r="BLW172" s="498">
        <f t="shared" si="79"/>
        <v>2015</v>
      </c>
      <c r="BLX172" s="498">
        <f t="shared" si="79"/>
        <v>2015</v>
      </c>
      <c r="BLY172" s="498">
        <f t="shared" si="79"/>
        <v>2015</v>
      </c>
      <c r="BLZ172" s="498">
        <f t="shared" si="79"/>
        <v>2015</v>
      </c>
      <c r="BMA172" s="498">
        <f t="shared" si="79"/>
        <v>2015</v>
      </c>
      <c r="BMB172" s="498">
        <f t="shared" si="79"/>
        <v>2015</v>
      </c>
      <c r="BMC172" s="498">
        <f t="shared" si="79"/>
        <v>2015</v>
      </c>
      <c r="BMD172" s="498">
        <f t="shared" si="79"/>
        <v>2015</v>
      </c>
      <c r="BME172" s="498">
        <f t="shared" si="79"/>
        <v>2015</v>
      </c>
      <c r="BMF172" s="498">
        <f t="shared" si="79"/>
        <v>2015</v>
      </c>
      <c r="BMG172" s="498">
        <f t="shared" si="79"/>
        <v>2015</v>
      </c>
      <c r="BMH172" s="498">
        <f t="shared" si="79"/>
        <v>2015</v>
      </c>
      <c r="BMI172" s="498">
        <f t="shared" si="79"/>
        <v>2015</v>
      </c>
      <c r="BMJ172" s="498">
        <f t="shared" si="79"/>
        <v>2015</v>
      </c>
      <c r="BMK172" s="498">
        <f t="shared" si="79"/>
        <v>2015</v>
      </c>
      <c r="BML172" s="498">
        <f t="shared" si="79"/>
        <v>2015</v>
      </c>
      <c r="BMM172" s="498">
        <f t="shared" si="79"/>
        <v>2015</v>
      </c>
      <c r="BMN172" s="498">
        <f t="shared" si="79"/>
        <v>2015</v>
      </c>
      <c r="BMO172" s="498">
        <f t="shared" si="79"/>
        <v>2015</v>
      </c>
      <c r="BMP172" s="498">
        <f t="shared" si="79"/>
        <v>2015</v>
      </c>
      <c r="BMQ172" s="498">
        <f t="shared" si="79"/>
        <v>2015</v>
      </c>
      <c r="BMR172" s="498">
        <f t="shared" si="79"/>
        <v>2015</v>
      </c>
      <c r="BMS172" s="498">
        <f t="shared" si="79"/>
        <v>2015</v>
      </c>
      <c r="BMT172" s="498">
        <f t="shared" si="79"/>
        <v>2015</v>
      </c>
      <c r="BMU172" s="498">
        <f t="shared" si="79"/>
        <v>2015</v>
      </c>
      <c r="BMV172" s="498">
        <f t="shared" si="79"/>
        <v>2015</v>
      </c>
      <c r="BMW172" s="498">
        <f t="shared" si="79"/>
        <v>2015</v>
      </c>
      <c r="BMX172" s="498">
        <f t="shared" si="79"/>
        <v>2015</v>
      </c>
      <c r="BMY172" s="498">
        <f t="shared" si="79"/>
        <v>2015</v>
      </c>
      <c r="BMZ172" s="498">
        <f t="shared" si="79"/>
        <v>2015</v>
      </c>
      <c r="BNA172" s="498">
        <f t="shared" si="79"/>
        <v>2015</v>
      </c>
      <c r="BNB172" s="498">
        <f t="shared" si="79"/>
        <v>2015</v>
      </c>
      <c r="BNC172" s="498">
        <f t="shared" si="79"/>
        <v>2015</v>
      </c>
      <c r="BND172" s="498">
        <f t="shared" si="79"/>
        <v>2015</v>
      </c>
      <c r="BNE172" s="498">
        <f t="shared" si="79"/>
        <v>2015</v>
      </c>
      <c r="BNF172" s="498">
        <f t="shared" si="79"/>
        <v>2015</v>
      </c>
      <c r="BNG172" s="498">
        <f t="shared" si="79"/>
        <v>2015</v>
      </c>
      <c r="BNH172" s="498">
        <f t="shared" si="79"/>
        <v>2015</v>
      </c>
      <c r="BNI172" s="498">
        <f t="shared" si="79"/>
        <v>2015</v>
      </c>
      <c r="BNJ172" s="498">
        <f t="shared" si="79"/>
        <v>2015</v>
      </c>
      <c r="BNK172" s="498">
        <f t="shared" si="79"/>
        <v>2015</v>
      </c>
      <c r="BNL172" s="498">
        <f t="shared" si="79"/>
        <v>2015</v>
      </c>
      <c r="BNM172" s="498">
        <f t="shared" si="79"/>
        <v>2015</v>
      </c>
      <c r="BNN172" s="498">
        <f t="shared" si="79"/>
        <v>2015</v>
      </c>
      <c r="BNO172" s="498">
        <f t="shared" si="79"/>
        <v>2015</v>
      </c>
      <c r="BNP172" s="498">
        <f t="shared" si="79"/>
        <v>2015</v>
      </c>
      <c r="BNQ172" s="498">
        <f t="shared" si="79"/>
        <v>2015</v>
      </c>
      <c r="BNR172" s="498">
        <f t="shared" si="79"/>
        <v>2015</v>
      </c>
      <c r="BNS172" s="498">
        <f t="shared" si="79"/>
        <v>2015</v>
      </c>
      <c r="BNT172" s="498">
        <f t="shared" ref="BNT172:BQE172" si="80">YEAR(BNT173)</f>
        <v>2015</v>
      </c>
      <c r="BNU172" s="498">
        <f t="shared" si="80"/>
        <v>2014</v>
      </c>
      <c r="BNV172" s="498">
        <f t="shared" si="80"/>
        <v>2014</v>
      </c>
      <c r="BNW172" s="498">
        <f t="shared" si="80"/>
        <v>2014</v>
      </c>
      <c r="BNX172" s="498">
        <f t="shared" si="80"/>
        <v>2014</v>
      </c>
      <c r="BNY172" s="498">
        <f t="shared" si="80"/>
        <v>2014</v>
      </c>
      <c r="BNZ172" s="498">
        <f t="shared" si="80"/>
        <v>2014</v>
      </c>
      <c r="BOA172" s="498">
        <f t="shared" si="80"/>
        <v>2014</v>
      </c>
      <c r="BOB172" s="498">
        <f t="shared" si="80"/>
        <v>2014</v>
      </c>
      <c r="BOC172" s="498">
        <f t="shared" si="80"/>
        <v>2014</v>
      </c>
      <c r="BOD172" s="498">
        <f t="shared" si="80"/>
        <v>2014</v>
      </c>
      <c r="BOE172" s="498">
        <f t="shared" si="80"/>
        <v>2014</v>
      </c>
      <c r="BOF172" s="498">
        <f t="shared" si="80"/>
        <v>2014</v>
      </c>
      <c r="BOG172" s="498">
        <f t="shared" si="80"/>
        <v>2014</v>
      </c>
      <c r="BOH172" s="498">
        <f t="shared" si="80"/>
        <v>2014</v>
      </c>
      <c r="BOI172" s="498">
        <f t="shared" si="80"/>
        <v>2014</v>
      </c>
      <c r="BOJ172" s="498">
        <f t="shared" si="80"/>
        <v>2014</v>
      </c>
      <c r="BOK172" s="498">
        <f t="shared" si="80"/>
        <v>2014</v>
      </c>
      <c r="BOL172" s="498">
        <f t="shared" si="80"/>
        <v>2014</v>
      </c>
      <c r="BOM172" s="498">
        <f t="shared" si="80"/>
        <v>2014</v>
      </c>
      <c r="BON172" s="498">
        <f t="shared" si="80"/>
        <v>2014</v>
      </c>
      <c r="BOO172" s="498">
        <f t="shared" si="80"/>
        <v>2014</v>
      </c>
      <c r="BOP172" s="498">
        <f t="shared" si="80"/>
        <v>2014</v>
      </c>
      <c r="BOQ172" s="498">
        <f t="shared" si="80"/>
        <v>2014</v>
      </c>
      <c r="BOR172" s="498">
        <f t="shared" si="80"/>
        <v>2014</v>
      </c>
      <c r="BOS172" s="498">
        <f t="shared" si="80"/>
        <v>2014</v>
      </c>
      <c r="BOT172" s="498">
        <f t="shared" si="80"/>
        <v>2014</v>
      </c>
      <c r="BOU172" s="498">
        <f t="shared" si="80"/>
        <v>2014</v>
      </c>
      <c r="BOV172" s="498">
        <f t="shared" si="80"/>
        <v>2014</v>
      </c>
      <c r="BOW172" s="498">
        <f t="shared" si="80"/>
        <v>2014</v>
      </c>
      <c r="BOX172" s="498">
        <f t="shared" si="80"/>
        <v>2014</v>
      </c>
      <c r="BOY172" s="498">
        <f t="shared" si="80"/>
        <v>2014</v>
      </c>
      <c r="BOZ172" s="498">
        <f t="shared" si="80"/>
        <v>2014</v>
      </c>
      <c r="BPA172" s="498">
        <f t="shared" si="80"/>
        <v>2014</v>
      </c>
      <c r="BPB172" s="498">
        <f t="shared" si="80"/>
        <v>2014</v>
      </c>
      <c r="BPC172" s="498">
        <f t="shared" si="80"/>
        <v>2014</v>
      </c>
      <c r="BPD172" s="498">
        <f t="shared" si="80"/>
        <v>2014</v>
      </c>
      <c r="BPE172" s="498">
        <f t="shared" si="80"/>
        <v>2014</v>
      </c>
      <c r="BPF172" s="498">
        <f t="shared" si="80"/>
        <v>2014</v>
      </c>
      <c r="BPG172" s="498">
        <f t="shared" si="80"/>
        <v>2014</v>
      </c>
      <c r="BPH172" s="498">
        <f t="shared" si="80"/>
        <v>2014</v>
      </c>
      <c r="BPI172" s="498">
        <f t="shared" si="80"/>
        <v>2014</v>
      </c>
      <c r="BPJ172" s="498">
        <f t="shared" si="80"/>
        <v>2014</v>
      </c>
      <c r="BPK172" s="498">
        <f t="shared" si="80"/>
        <v>2014</v>
      </c>
      <c r="BPL172" s="498">
        <f t="shared" si="80"/>
        <v>2014</v>
      </c>
      <c r="BPM172" s="498">
        <f t="shared" si="80"/>
        <v>2014</v>
      </c>
      <c r="BPN172" s="498">
        <f t="shared" si="80"/>
        <v>2014</v>
      </c>
      <c r="BPO172" s="498">
        <f t="shared" si="80"/>
        <v>2014</v>
      </c>
      <c r="BPP172" s="498">
        <f t="shared" si="80"/>
        <v>2014</v>
      </c>
      <c r="BPQ172" s="498">
        <f t="shared" si="80"/>
        <v>2014</v>
      </c>
      <c r="BPR172" s="498">
        <f t="shared" si="80"/>
        <v>2014</v>
      </c>
      <c r="BPS172" s="498">
        <f t="shared" si="80"/>
        <v>2014</v>
      </c>
      <c r="BPT172" s="498">
        <f t="shared" si="80"/>
        <v>2014</v>
      </c>
      <c r="BPU172" s="498">
        <f t="shared" si="80"/>
        <v>2014</v>
      </c>
      <c r="BPV172" s="498">
        <f t="shared" si="80"/>
        <v>2014</v>
      </c>
      <c r="BPW172" s="498">
        <f t="shared" si="80"/>
        <v>2014</v>
      </c>
      <c r="BPX172" s="498">
        <f t="shared" si="80"/>
        <v>2014</v>
      </c>
      <c r="BPY172" s="498">
        <f t="shared" si="80"/>
        <v>2014</v>
      </c>
      <c r="BPZ172" s="498">
        <f t="shared" si="80"/>
        <v>2014</v>
      </c>
      <c r="BQA172" s="498">
        <f t="shared" si="80"/>
        <v>2014</v>
      </c>
      <c r="BQB172" s="498">
        <f t="shared" si="80"/>
        <v>2014</v>
      </c>
      <c r="BQC172" s="498">
        <f t="shared" si="80"/>
        <v>2014</v>
      </c>
      <c r="BQD172" s="498">
        <f t="shared" si="80"/>
        <v>2014</v>
      </c>
      <c r="BQE172" s="498">
        <f t="shared" si="80"/>
        <v>2014</v>
      </c>
      <c r="BQF172" s="498">
        <f t="shared" ref="BQF172:BSQ172" si="81">YEAR(BQF173)</f>
        <v>2014</v>
      </c>
      <c r="BQG172" s="498">
        <f t="shared" si="81"/>
        <v>2014</v>
      </c>
      <c r="BQH172" s="498">
        <f t="shared" si="81"/>
        <v>2014</v>
      </c>
      <c r="BQI172" s="498">
        <f t="shared" si="81"/>
        <v>2014</v>
      </c>
      <c r="BQJ172" s="498">
        <f t="shared" si="81"/>
        <v>2014</v>
      </c>
      <c r="BQK172" s="498">
        <f t="shared" si="81"/>
        <v>2014</v>
      </c>
      <c r="BQL172" s="498">
        <f t="shared" si="81"/>
        <v>2014</v>
      </c>
      <c r="BQM172" s="498">
        <f t="shared" si="81"/>
        <v>2014</v>
      </c>
      <c r="BQN172" s="498">
        <f t="shared" si="81"/>
        <v>2014</v>
      </c>
      <c r="BQO172" s="498">
        <f t="shared" si="81"/>
        <v>2014</v>
      </c>
      <c r="BQP172" s="498">
        <f t="shared" si="81"/>
        <v>2014</v>
      </c>
      <c r="BQQ172" s="498">
        <f t="shared" si="81"/>
        <v>2014</v>
      </c>
      <c r="BQR172" s="498">
        <f t="shared" si="81"/>
        <v>2014</v>
      </c>
      <c r="BQS172" s="498">
        <f t="shared" si="81"/>
        <v>2014</v>
      </c>
      <c r="BQT172" s="498">
        <f t="shared" si="81"/>
        <v>2014</v>
      </c>
      <c r="BQU172" s="498">
        <f t="shared" si="81"/>
        <v>2014</v>
      </c>
      <c r="BQV172" s="498">
        <f t="shared" si="81"/>
        <v>2014</v>
      </c>
      <c r="BQW172" s="498">
        <f t="shared" si="81"/>
        <v>2014</v>
      </c>
      <c r="BQX172" s="498">
        <f t="shared" si="81"/>
        <v>2014</v>
      </c>
      <c r="BQY172" s="498">
        <f t="shared" si="81"/>
        <v>2014</v>
      </c>
      <c r="BQZ172" s="498">
        <f t="shared" si="81"/>
        <v>2014</v>
      </c>
      <c r="BRA172" s="498">
        <f t="shared" si="81"/>
        <v>2014</v>
      </c>
      <c r="BRB172" s="498">
        <f t="shared" si="81"/>
        <v>2014</v>
      </c>
      <c r="BRC172" s="498">
        <f t="shared" si="81"/>
        <v>2014</v>
      </c>
      <c r="BRD172" s="498">
        <f t="shared" si="81"/>
        <v>2014</v>
      </c>
      <c r="BRE172" s="498">
        <f t="shared" si="81"/>
        <v>2014</v>
      </c>
      <c r="BRF172" s="498">
        <f t="shared" si="81"/>
        <v>2014</v>
      </c>
      <c r="BRG172" s="498">
        <f t="shared" si="81"/>
        <v>2014</v>
      </c>
      <c r="BRH172" s="498">
        <f t="shared" si="81"/>
        <v>2014</v>
      </c>
      <c r="BRI172" s="498">
        <f t="shared" si="81"/>
        <v>2014</v>
      </c>
      <c r="BRJ172" s="498">
        <f t="shared" si="81"/>
        <v>2014</v>
      </c>
      <c r="BRK172" s="498">
        <f t="shared" si="81"/>
        <v>2014</v>
      </c>
      <c r="BRL172" s="498">
        <f t="shared" si="81"/>
        <v>2014</v>
      </c>
      <c r="BRM172" s="498">
        <f t="shared" si="81"/>
        <v>2014</v>
      </c>
      <c r="BRN172" s="498">
        <f t="shared" si="81"/>
        <v>2014</v>
      </c>
      <c r="BRO172" s="498">
        <f t="shared" si="81"/>
        <v>2014</v>
      </c>
      <c r="BRP172" s="498">
        <f t="shared" si="81"/>
        <v>2014</v>
      </c>
      <c r="BRQ172" s="498">
        <f t="shared" si="81"/>
        <v>2014</v>
      </c>
      <c r="BRR172" s="498">
        <f t="shared" si="81"/>
        <v>2014</v>
      </c>
      <c r="BRS172" s="498">
        <f t="shared" si="81"/>
        <v>2014</v>
      </c>
      <c r="BRT172" s="498">
        <f t="shared" si="81"/>
        <v>2014</v>
      </c>
      <c r="BRU172" s="498">
        <f t="shared" si="81"/>
        <v>2014</v>
      </c>
      <c r="BRV172" s="498">
        <f t="shared" si="81"/>
        <v>2014</v>
      </c>
      <c r="BRW172" s="498">
        <f t="shared" si="81"/>
        <v>2014</v>
      </c>
      <c r="BRX172" s="498">
        <f t="shared" si="81"/>
        <v>2014</v>
      </c>
      <c r="BRY172" s="498">
        <f t="shared" si="81"/>
        <v>2014</v>
      </c>
      <c r="BRZ172" s="498">
        <f t="shared" si="81"/>
        <v>2014</v>
      </c>
      <c r="BSA172" s="498">
        <f t="shared" si="81"/>
        <v>2014</v>
      </c>
      <c r="BSB172" s="498">
        <f t="shared" si="81"/>
        <v>2014</v>
      </c>
      <c r="BSC172" s="498">
        <f t="shared" si="81"/>
        <v>2014</v>
      </c>
      <c r="BSD172" s="498">
        <f t="shared" si="81"/>
        <v>2014</v>
      </c>
      <c r="BSE172" s="498">
        <f t="shared" si="81"/>
        <v>2014</v>
      </c>
      <c r="BSF172" s="498">
        <f t="shared" si="81"/>
        <v>2014</v>
      </c>
      <c r="BSG172" s="498">
        <f t="shared" si="81"/>
        <v>2014</v>
      </c>
      <c r="BSH172" s="498">
        <f t="shared" si="81"/>
        <v>2014</v>
      </c>
      <c r="BSI172" s="498">
        <f t="shared" si="81"/>
        <v>2014</v>
      </c>
      <c r="BSJ172" s="498">
        <f t="shared" si="81"/>
        <v>2014</v>
      </c>
      <c r="BSK172" s="498">
        <f t="shared" si="81"/>
        <v>2014</v>
      </c>
      <c r="BSL172" s="498">
        <f t="shared" si="81"/>
        <v>2014</v>
      </c>
      <c r="BSM172" s="498">
        <f t="shared" si="81"/>
        <v>2014</v>
      </c>
      <c r="BSN172" s="498">
        <f t="shared" si="81"/>
        <v>2014</v>
      </c>
      <c r="BSO172" s="498">
        <f t="shared" si="81"/>
        <v>2014</v>
      </c>
      <c r="BSP172" s="498">
        <f t="shared" si="81"/>
        <v>2014</v>
      </c>
      <c r="BSQ172" s="498">
        <f t="shared" si="81"/>
        <v>2014</v>
      </c>
      <c r="BSR172" s="498">
        <f t="shared" ref="BSR172:BVC172" si="82">YEAR(BSR173)</f>
        <v>2014</v>
      </c>
      <c r="BSS172" s="498">
        <f t="shared" si="82"/>
        <v>2014</v>
      </c>
      <c r="BST172" s="498">
        <f t="shared" si="82"/>
        <v>2014</v>
      </c>
      <c r="BSU172" s="498">
        <f t="shared" si="82"/>
        <v>2014</v>
      </c>
      <c r="BSV172" s="498">
        <f t="shared" si="82"/>
        <v>2014</v>
      </c>
      <c r="BSW172" s="498">
        <f t="shared" si="82"/>
        <v>2014</v>
      </c>
      <c r="BSX172" s="498">
        <f t="shared" si="82"/>
        <v>2014</v>
      </c>
      <c r="BSY172" s="498">
        <f t="shared" si="82"/>
        <v>2014</v>
      </c>
      <c r="BSZ172" s="498">
        <f t="shared" si="82"/>
        <v>2014</v>
      </c>
      <c r="BTA172" s="498">
        <f t="shared" si="82"/>
        <v>2014</v>
      </c>
      <c r="BTB172" s="498">
        <f t="shared" si="82"/>
        <v>2014</v>
      </c>
      <c r="BTC172" s="498">
        <f t="shared" si="82"/>
        <v>2014</v>
      </c>
      <c r="BTD172" s="498">
        <f t="shared" si="82"/>
        <v>2014</v>
      </c>
      <c r="BTE172" s="498">
        <f t="shared" si="82"/>
        <v>2014</v>
      </c>
      <c r="BTF172" s="498">
        <f t="shared" si="82"/>
        <v>2014</v>
      </c>
      <c r="BTG172" s="498">
        <f t="shared" si="82"/>
        <v>2014</v>
      </c>
      <c r="BTH172" s="498">
        <f t="shared" si="82"/>
        <v>2014</v>
      </c>
      <c r="BTI172" s="498">
        <f t="shared" si="82"/>
        <v>2014</v>
      </c>
      <c r="BTJ172" s="498">
        <f t="shared" si="82"/>
        <v>2014</v>
      </c>
      <c r="BTK172" s="498">
        <f t="shared" si="82"/>
        <v>2014</v>
      </c>
      <c r="BTL172" s="498">
        <f t="shared" si="82"/>
        <v>2014</v>
      </c>
      <c r="BTM172" s="498">
        <f t="shared" si="82"/>
        <v>2014</v>
      </c>
      <c r="BTN172" s="498">
        <f t="shared" si="82"/>
        <v>2014</v>
      </c>
      <c r="BTO172" s="498">
        <f t="shared" si="82"/>
        <v>2014</v>
      </c>
      <c r="BTP172" s="498">
        <f t="shared" si="82"/>
        <v>2014</v>
      </c>
      <c r="BTQ172" s="498">
        <f t="shared" si="82"/>
        <v>2014</v>
      </c>
      <c r="BTR172" s="498">
        <f t="shared" si="82"/>
        <v>2014</v>
      </c>
      <c r="BTS172" s="498">
        <f t="shared" si="82"/>
        <v>2014</v>
      </c>
      <c r="BTT172" s="498">
        <f t="shared" si="82"/>
        <v>2014</v>
      </c>
      <c r="BTU172" s="498">
        <f t="shared" si="82"/>
        <v>2014</v>
      </c>
      <c r="BTV172" s="498">
        <f t="shared" si="82"/>
        <v>2014</v>
      </c>
      <c r="BTW172" s="498">
        <f t="shared" si="82"/>
        <v>2014</v>
      </c>
      <c r="BTX172" s="498">
        <f t="shared" si="82"/>
        <v>2014</v>
      </c>
      <c r="BTY172" s="498">
        <f t="shared" si="82"/>
        <v>2014</v>
      </c>
      <c r="BTZ172" s="498">
        <f t="shared" si="82"/>
        <v>2014</v>
      </c>
      <c r="BUA172" s="498">
        <f t="shared" si="82"/>
        <v>2014</v>
      </c>
      <c r="BUB172" s="498">
        <f t="shared" si="82"/>
        <v>2014</v>
      </c>
      <c r="BUC172" s="498">
        <f t="shared" si="82"/>
        <v>2014</v>
      </c>
      <c r="BUD172" s="498">
        <f t="shared" si="82"/>
        <v>2014</v>
      </c>
      <c r="BUE172" s="498">
        <f t="shared" si="82"/>
        <v>2014</v>
      </c>
      <c r="BUF172" s="498">
        <f t="shared" si="82"/>
        <v>2014</v>
      </c>
      <c r="BUG172" s="498">
        <f t="shared" si="82"/>
        <v>2014</v>
      </c>
      <c r="BUH172" s="498">
        <f t="shared" si="82"/>
        <v>2014</v>
      </c>
      <c r="BUI172" s="498">
        <f t="shared" si="82"/>
        <v>2014</v>
      </c>
      <c r="BUJ172" s="498">
        <f t="shared" si="82"/>
        <v>2014</v>
      </c>
      <c r="BUK172" s="498">
        <f t="shared" si="82"/>
        <v>2014</v>
      </c>
      <c r="BUL172" s="498">
        <f t="shared" si="82"/>
        <v>2014</v>
      </c>
      <c r="BUM172" s="498">
        <f t="shared" si="82"/>
        <v>2014</v>
      </c>
      <c r="BUN172" s="498">
        <f t="shared" si="82"/>
        <v>2014</v>
      </c>
      <c r="BUO172" s="498">
        <f t="shared" si="82"/>
        <v>2014</v>
      </c>
      <c r="BUP172" s="498">
        <f t="shared" si="82"/>
        <v>2014</v>
      </c>
      <c r="BUQ172" s="498">
        <f t="shared" si="82"/>
        <v>2014</v>
      </c>
      <c r="BUR172" s="498">
        <f t="shared" si="82"/>
        <v>2014</v>
      </c>
      <c r="BUS172" s="498">
        <f t="shared" si="82"/>
        <v>2014</v>
      </c>
      <c r="BUT172" s="498">
        <f t="shared" si="82"/>
        <v>2014</v>
      </c>
      <c r="BUU172" s="498">
        <f t="shared" si="82"/>
        <v>2014</v>
      </c>
      <c r="BUV172" s="498">
        <f t="shared" si="82"/>
        <v>2014</v>
      </c>
      <c r="BUW172" s="498">
        <f t="shared" si="82"/>
        <v>2014</v>
      </c>
      <c r="BUX172" s="498">
        <f t="shared" si="82"/>
        <v>2014</v>
      </c>
      <c r="BUY172" s="498">
        <f t="shared" si="82"/>
        <v>2014</v>
      </c>
      <c r="BUZ172" s="498">
        <f t="shared" si="82"/>
        <v>2014</v>
      </c>
      <c r="BVA172" s="498">
        <f t="shared" si="82"/>
        <v>2014</v>
      </c>
      <c r="BVB172" s="498">
        <f t="shared" si="82"/>
        <v>2014</v>
      </c>
      <c r="BVC172" s="498">
        <f t="shared" si="82"/>
        <v>2014</v>
      </c>
      <c r="BVD172" s="498">
        <f t="shared" ref="BVD172:BXO172" si="83">YEAR(BVD173)</f>
        <v>2014</v>
      </c>
      <c r="BVE172" s="498">
        <f t="shared" si="83"/>
        <v>2014</v>
      </c>
      <c r="BVF172" s="498">
        <f t="shared" si="83"/>
        <v>2014</v>
      </c>
      <c r="BVG172" s="498">
        <f t="shared" si="83"/>
        <v>2014</v>
      </c>
      <c r="BVH172" s="498">
        <f t="shared" si="83"/>
        <v>2014</v>
      </c>
      <c r="BVI172" s="498">
        <f t="shared" si="83"/>
        <v>2014</v>
      </c>
      <c r="BVJ172" s="498">
        <f t="shared" si="83"/>
        <v>2014</v>
      </c>
      <c r="BVK172" s="498">
        <f t="shared" si="83"/>
        <v>2014</v>
      </c>
      <c r="BVL172" s="498">
        <f t="shared" si="83"/>
        <v>2014</v>
      </c>
      <c r="BVM172" s="498">
        <f t="shared" si="83"/>
        <v>2014</v>
      </c>
      <c r="BVN172" s="498">
        <f t="shared" si="83"/>
        <v>2014</v>
      </c>
      <c r="BVO172" s="498">
        <f t="shared" si="83"/>
        <v>2014</v>
      </c>
      <c r="BVP172" s="498">
        <f t="shared" si="83"/>
        <v>2014</v>
      </c>
      <c r="BVQ172" s="498">
        <f t="shared" si="83"/>
        <v>2014</v>
      </c>
      <c r="BVR172" s="498">
        <f t="shared" si="83"/>
        <v>2014</v>
      </c>
      <c r="BVS172" s="498">
        <f t="shared" si="83"/>
        <v>2014</v>
      </c>
      <c r="BVT172" s="498">
        <f t="shared" si="83"/>
        <v>2014</v>
      </c>
      <c r="BVU172" s="498">
        <f t="shared" si="83"/>
        <v>2014</v>
      </c>
      <c r="BVV172" s="498">
        <f t="shared" si="83"/>
        <v>2014</v>
      </c>
      <c r="BVW172" s="498">
        <f t="shared" si="83"/>
        <v>2014</v>
      </c>
      <c r="BVX172" s="498">
        <f t="shared" si="83"/>
        <v>2014</v>
      </c>
      <c r="BVY172" s="498">
        <f t="shared" si="83"/>
        <v>2014</v>
      </c>
      <c r="BVZ172" s="498">
        <f t="shared" si="83"/>
        <v>2014</v>
      </c>
      <c r="BWA172" s="498">
        <f t="shared" si="83"/>
        <v>2014</v>
      </c>
      <c r="BWB172" s="498">
        <f t="shared" si="83"/>
        <v>2014</v>
      </c>
      <c r="BWC172" s="498">
        <f t="shared" si="83"/>
        <v>2014</v>
      </c>
      <c r="BWD172" s="498">
        <f t="shared" si="83"/>
        <v>2014</v>
      </c>
      <c r="BWE172" s="498">
        <f t="shared" si="83"/>
        <v>2014</v>
      </c>
      <c r="BWF172" s="498">
        <f t="shared" si="83"/>
        <v>2014</v>
      </c>
      <c r="BWG172" s="498">
        <f t="shared" si="83"/>
        <v>2014</v>
      </c>
      <c r="BWH172" s="498">
        <f t="shared" si="83"/>
        <v>2014</v>
      </c>
      <c r="BWI172" s="498">
        <f t="shared" si="83"/>
        <v>2014</v>
      </c>
      <c r="BWJ172" s="498">
        <f t="shared" si="83"/>
        <v>2014</v>
      </c>
      <c r="BWK172" s="498">
        <f t="shared" si="83"/>
        <v>2014</v>
      </c>
      <c r="BWL172" s="498">
        <f t="shared" si="83"/>
        <v>2014</v>
      </c>
      <c r="BWM172" s="498">
        <f t="shared" si="83"/>
        <v>2014</v>
      </c>
      <c r="BWN172" s="498">
        <f t="shared" si="83"/>
        <v>2014</v>
      </c>
      <c r="BWO172" s="498">
        <f t="shared" si="83"/>
        <v>2014</v>
      </c>
      <c r="BWP172" s="498">
        <f t="shared" si="83"/>
        <v>2014</v>
      </c>
      <c r="BWQ172" s="498">
        <f t="shared" si="83"/>
        <v>2014</v>
      </c>
      <c r="BWR172" s="498">
        <f t="shared" si="83"/>
        <v>2014</v>
      </c>
      <c r="BWS172" s="498">
        <f t="shared" si="83"/>
        <v>2014</v>
      </c>
      <c r="BWT172" s="498">
        <f t="shared" si="83"/>
        <v>2014</v>
      </c>
      <c r="BWU172" s="498">
        <f t="shared" si="83"/>
        <v>2014</v>
      </c>
      <c r="BWV172" s="498">
        <f t="shared" si="83"/>
        <v>2014</v>
      </c>
      <c r="BWW172" s="498">
        <f t="shared" si="83"/>
        <v>2014</v>
      </c>
      <c r="BWX172" s="498">
        <f t="shared" si="83"/>
        <v>2014</v>
      </c>
      <c r="BWY172" s="498">
        <f t="shared" si="83"/>
        <v>2014</v>
      </c>
      <c r="BWZ172" s="498">
        <f t="shared" si="83"/>
        <v>2014</v>
      </c>
      <c r="BXA172" s="498">
        <f t="shared" si="83"/>
        <v>2014</v>
      </c>
      <c r="BXB172" s="498">
        <f t="shared" si="83"/>
        <v>2014</v>
      </c>
      <c r="BXC172" s="498">
        <f t="shared" si="83"/>
        <v>2014</v>
      </c>
      <c r="BXD172" s="498">
        <f t="shared" si="83"/>
        <v>2014</v>
      </c>
      <c r="BXE172" s="498">
        <f t="shared" si="83"/>
        <v>2014</v>
      </c>
      <c r="BXF172" s="498">
        <f t="shared" si="83"/>
        <v>2014</v>
      </c>
      <c r="BXG172" s="498">
        <f t="shared" si="83"/>
        <v>2013</v>
      </c>
      <c r="BXH172" s="498">
        <f t="shared" si="83"/>
        <v>2013</v>
      </c>
      <c r="BXI172" s="498">
        <f t="shared" si="83"/>
        <v>2013</v>
      </c>
      <c r="BXJ172" s="498">
        <f t="shared" si="83"/>
        <v>2013</v>
      </c>
      <c r="BXK172" s="498">
        <f t="shared" si="83"/>
        <v>2013</v>
      </c>
      <c r="BXL172" s="498">
        <f t="shared" si="83"/>
        <v>2013</v>
      </c>
      <c r="BXM172" s="498">
        <f t="shared" si="83"/>
        <v>2013</v>
      </c>
      <c r="BXN172" s="498">
        <f t="shared" si="83"/>
        <v>2013</v>
      </c>
      <c r="BXO172" s="498">
        <f t="shared" si="83"/>
        <v>2013</v>
      </c>
      <c r="BXP172" s="498">
        <f t="shared" ref="BXP172:CAA172" si="84">YEAR(BXP173)</f>
        <v>2013</v>
      </c>
      <c r="BXQ172" s="498">
        <f t="shared" si="84"/>
        <v>2013</v>
      </c>
      <c r="BXR172" s="498">
        <f t="shared" si="84"/>
        <v>2013</v>
      </c>
      <c r="BXS172" s="498">
        <f t="shared" si="84"/>
        <v>2013</v>
      </c>
      <c r="BXT172" s="498">
        <f t="shared" si="84"/>
        <v>2013</v>
      </c>
      <c r="BXU172" s="498">
        <f t="shared" si="84"/>
        <v>2013</v>
      </c>
      <c r="BXV172" s="498">
        <f t="shared" si="84"/>
        <v>2013</v>
      </c>
      <c r="BXW172" s="498">
        <f t="shared" si="84"/>
        <v>2013</v>
      </c>
      <c r="BXX172" s="498">
        <f t="shared" si="84"/>
        <v>2013</v>
      </c>
      <c r="BXY172" s="498">
        <f t="shared" si="84"/>
        <v>2013</v>
      </c>
      <c r="BXZ172" s="498">
        <f t="shared" si="84"/>
        <v>2013</v>
      </c>
      <c r="BYA172" s="498">
        <f t="shared" si="84"/>
        <v>2013</v>
      </c>
      <c r="BYB172" s="498">
        <f t="shared" si="84"/>
        <v>2013</v>
      </c>
      <c r="BYC172" s="498">
        <f t="shared" si="84"/>
        <v>2013</v>
      </c>
      <c r="BYD172" s="498">
        <f t="shared" si="84"/>
        <v>2013</v>
      </c>
      <c r="BYE172" s="498">
        <f t="shared" si="84"/>
        <v>2013</v>
      </c>
      <c r="BYF172" s="498">
        <f t="shared" si="84"/>
        <v>2013</v>
      </c>
      <c r="BYG172" s="498">
        <f t="shared" si="84"/>
        <v>2013</v>
      </c>
      <c r="BYH172" s="498">
        <f t="shared" si="84"/>
        <v>2013</v>
      </c>
      <c r="BYI172" s="498">
        <f t="shared" si="84"/>
        <v>2013</v>
      </c>
      <c r="BYJ172" s="498">
        <f t="shared" si="84"/>
        <v>2013</v>
      </c>
      <c r="BYK172" s="498">
        <f t="shared" si="84"/>
        <v>2013</v>
      </c>
      <c r="BYL172" s="498">
        <f t="shared" si="84"/>
        <v>2013</v>
      </c>
      <c r="BYM172" s="498">
        <f t="shared" si="84"/>
        <v>2013</v>
      </c>
      <c r="BYN172" s="498">
        <f t="shared" si="84"/>
        <v>2013</v>
      </c>
      <c r="BYO172" s="498">
        <f t="shared" si="84"/>
        <v>2013</v>
      </c>
      <c r="BYP172" s="498">
        <f t="shared" si="84"/>
        <v>2013</v>
      </c>
      <c r="BYQ172" s="498">
        <f t="shared" si="84"/>
        <v>2013</v>
      </c>
      <c r="BYR172" s="498">
        <f t="shared" si="84"/>
        <v>2013</v>
      </c>
      <c r="BYS172" s="498">
        <f t="shared" si="84"/>
        <v>2013</v>
      </c>
      <c r="BYT172" s="498">
        <f t="shared" si="84"/>
        <v>2013</v>
      </c>
      <c r="BYU172" s="498">
        <f t="shared" si="84"/>
        <v>2013</v>
      </c>
      <c r="BYV172" s="498">
        <f t="shared" si="84"/>
        <v>2013</v>
      </c>
      <c r="BYW172" s="498">
        <f t="shared" si="84"/>
        <v>2013</v>
      </c>
      <c r="BYX172" s="498">
        <f t="shared" si="84"/>
        <v>2013</v>
      </c>
      <c r="BYY172" s="498">
        <f t="shared" si="84"/>
        <v>2013</v>
      </c>
      <c r="BYZ172" s="498">
        <f t="shared" si="84"/>
        <v>2013</v>
      </c>
      <c r="BZA172" s="498">
        <f t="shared" si="84"/>
        <v>2013</v>
      </c>
      <c r="BZB172" s="498">
        <f t="shared" si="84"/>
        <v>2013</v>
      </c>
      <c r="BZC172" s="498">
        <f t="shared" si="84"/>
        <v>2013</v>
      </c>
      <c r="BZD172" s="498">
        <f t="shared" si="84"/>
        <v>2013</v>
      </c>
      <c r="BZE172" s="498">
        <f t="shared" si="84"/>
        <v>2013</v>
      </c>
      <c r="BZF172" s="498">
        <f t="shared" si="84"/>
        <v>2013</v>
      </c>
      <c r="BZG172" s="498">
        <f t="shared" si="84"/>
        <v>2013</v>
      </c>
      <c r="BZH172" s="498">
        <f t="shared" si="84"/>
        <v>2013</v>
      </c>
      <c r="BZI172" s="498">
        <f t="shared" si="84"/>
        <v>2013</v>
      </c>
      <c r="BZJ172" s="498">
        <f t="shared" si="84"/>
        <v>2013</v>
      </c>
      <c r="BZK172" s="498">
        <f t="shared" si="84"/>
        <v>2013</v>
      </c>
      <c r="BZL172" s="498">
        <f t="shared" si="84"/>
        <v>2013</v>
      </c>
      <c r="BZM172" s="498">
        <f t="shared" si="84"/>
        <v>2013</v>
      </c>
      <c r="BZN172" s="498">
        <f t="shared" si="84"/>
        <v>2013</v>
      </c>
      <c r="BZO172" s="498">
        <f t="shared" si="84"/>
        <v>2013</v>
      </c>
      <c r="BZP172" s="498">
        <f t="shared" si="84"/>
        <v>2013</v>
      </c>
      <c r="BZQ172" s="498">
        <f t="shared" si="84"/>
        <v>2013</v>
      </c>
      <c r="BZR172" s="498">
        <f t="shared" si="84"/>
        <v>2013</v>
      </c>
      <c r="BZS172" s="498">
        <f t="shared" si="84"/>
        <v>2013</v>
      </c>
      <c r="BZT172" s="498">
        <f t="shared" si="84"/>
        <v>2013</v>
      </c>
      <c r="BZU172" s="498">
        <f t="shared" si="84"/>
        <v>2013</v>
      </c>
      <c r="BZV172" s="498">
        <f t="shared" si="84"/>
        <v>2013</v>
      </c>
      <c r="BZW172" s="498">
        <f t="shared" si="84"/>
        <v>2013</v>
      </c>
      <c r="BZX172" s="498">
        <f t="shared" si="84"/>
        <v>2013</v>
      </c>
      <c r="BZY172" s="498">
        <f t="shared" si="84"/>
        <v>2013</v>
      </c>
      <c r="BZZ172" s="498">
        <f t="shared" si="84"/>
        <v>2013</v>
      </c>
      <c r="CAA172" s="498">
        <f t="shared" si="84"/>
        <v>2013</v>
      </c>
      <c r="CAB172" s="498">
        <f t="shared" ref="CAB172:CCM172" si="85">YEAR(CAB173)</f>
        <v>2013</v>
      </c>
      <c r="CAC172" s="498">
        <f t="shared" si="85"/>
        <v>2013</v>
      </c>
      <c r="CAD172" s="498">
        <f t="shared" si="85"/>
        <v>2013</v>
      </c>
      <c r="CAE172" s="498">
        <f t="shared" si="85"/>
        <v>2013</v>
      </c>
      <c r="CAF172" s="498">
        <f t="shared" si="85"/>
        <v>2013</v>
      </c>
      <c r="CAG172" s="498">
        <f t="shared" si="85"/>
        <v>2013</v>
      </c>
      <c r="CAH172" s="498">
        <f t="shared" si="85"/>
        <v>2013</v>
      </c>
      <c r="CAI172" s="498">
        <f t="shared" si="85"/>
        <v>2013</v>
      </c>
      <c r="CAJ172" s="498">
        <f t="shared" si="85"/>
        <v>2013</v>
      </c>
      <c r="CAK172" s="498">
        <f t="shared" si="85"/>
        <v>2013</v>
      </c>
      <c r="CAL172" s="498">
        <f t="shared" si="85"/>
        <v>2013</v>
      </c>
      <c r="CAM172" s="498">
        <f t="shared" si="85"/>
        <v>2013</v>
      </c>
      <c r="CAN172" s="498">
        <f t="shared" si="85"/>
        <v>2013</v>
      </c>
      <c r="CAO172" s="498">
        <f t="shared" si="85"/>
        <v>2013</v>
      </c>
      <c r="CAP172" s="498">
        <f t="shared" si="85"/>
        <v>2013</v>
      </c>
      <c r="CAQ172" s="498">
        <f t="shared" si="85"/>
        <v>2013</v>
      </c>
      <c r="CAR172" s="498">
        <f t="shared" si="85"/>
        <v>2013</v>
      </c>
      <c r="CAS172" s="498">
        <f t="shared" si="85"/>
        <v>2013</v>
      </c>
      <c r="CAT172" s="498">
        <f t="shared" si="85"/>
        <v>2013</v>
      </c>
      <c r="CAU172" s="498">
        <f t="shared" si="85"/>
        <v>2013</v>
      </c>
      <c r="CAV172" s="498">
        <f t="shared" si="85"/>
        <v>2013</v>
      </c>
      <c r="CAW172" s="498">
        <f t="shared" si="85"/>
        <v>2013</v>
      </c>
      <c r="CAX172" s="498">
        <f t="shared" si="85"/>
        <v>2013</v>
      </c>
      <c r="CAY172" s="498">
        <f t="shared" si="85"/>
        <v>2013</v>
      </c>
      <c r="CAZ172" s="498">
        <f t="shared" si="85"/>
        <v>2013</v>
      </c>
      <c r="CBA172" s="498">
        <f t="shared" si="85"/>
        <v>2013</v>
      </c>
      <c r="CBB172" s="498">
        <f t="shared" si="85"/>
        <v>2013</v>
      </c>
      <c r="CBC172" s="498">
        <f t="shared" si="85"/>
        <v>2013</v>
      </c>
      <c r="CBD172" s="498">
        <f t="shared" si="85"/>
        <v>2013</v>
      </c>
      <c r="CBE172" s="498">
        <f t="shared" si="85"/>
        <v>2013</v>
      </c>
      <c r="CBF172" s="498">
        <f t="shared" si="85"/>
        <v>2013</v>
      </c>
      <c r="CBG172" s="498">
        <f t="shared" si="85"/>
        <v>2013</v>
      </c>
      <c r="CBH172" s="498">
        <f t="shared" si="85"/>
        <v>2013</v>
      </c>
      <c r="CBI172" s="498">
        <f t="shared" si="85"/>
        <v>2013</v>
      </c>
      <c r="CBJ172" s="498">
        <f t="shared" si="85"/>
        <v>2013</v>
      </c>
      <c r="CBK172" s="498">
        <f t="shared" si="85"/>
        <v>2013</v>
      </c>
      <c r="CBL172" s="498">
        <f t="shared" si="85"/>
        <v>2013</v>
      </c>
      <c r="CBM172" s="498">
        <f t="shared" si="85"/>
        <v>2013</v>
      </c>
      <c r="CBN172" s="498">
        <f t="shared" si="85"/>
        <v>2013</v>
      </c>
      <c r="CBO172" s="498">
        <f t="shared" si="85"/>
        <v>2013</v>
      </c>
      <c r="CBP172" s="498">
        <f t="shared" si="85"/>
        <v>2013</v>
      </c>
      <c r="CBQ172" s="498">
        <f t="shared" si="85"/>
        <v>2013</v>
      </c>
      <c r="CBR172" s="498">
        <f t="shared" si="85"/>
        <v>2013</v>
      </c>
      <c r="CBS172" s="498">
        <f t="shared" si="85"/>
        <v>2013</v>
      </c>
      <c r="CBT172" s="498">
        <f t="shared" si="85"/>
        <v>2013</v>
      </c>
      <c r="CBU172" s="498">
        <f t="shared" si="85"/>
        <v>2013</v>
      </c>
      <c r="CBV172" s="498">
        <f t="shared" si="85"/>
        <v>2013</v>
      </c>
      <c r="CBW172" s="498">
        <f t="shared" si="85"/>
        <v>2013</v>
      </c>
      <c r="CBX172" s="498">
        <f t="shared" si="85"/>
        <v>2013</v>
      </c>
      <c r="CBY172" s="498">
        <f t="shared" si="85"/>
        <v>2013</v>
      </c>
      <c r="CBZ172" s="498">
        <f t="shared" si="85"/>
        <v>2013</v>
      </c>
      <c r="CCA172" s="498">
        <f t="shared" si="85"/>
        <v>2013</v>
      </c>
      <c r="CCB172" s="498">
        <f t="shared" si="85"/>
        <v>2013</v>
      </c>
      <c r="CCC172" s="498">
        <f t="shared" si="85"/>
        <v>2013</v>
      </c>
      <c r="CCD172" s="498">
        <f t="shared" si="85"/>
        <v>2013</v>
      </c>
      <c r="CCE172" s="498">
        <f t="shared" si="85"/>
        <v>2013</v>
      </c>
      <c r="CCF172" s="498">
        <f t="shared" si="85"/>
        <v>2013</v>
      </c>
      <c r="CCG172" s="498">
        <f t="shared" si="85"/>
        <v>2013</v>
      </c>
      <c r="CCH172" s="498">
        <f t="shared" si="85"/>
        <v>2013</v>
      </c>
      <c r="CCI172" s="498">
        <f t="shared" si="85"/>
        <v>2013</v>
      </c>
      <c r="CCJ172" s="498">
        <f t="shared" si="85"/>
        <v>2013</v>
      </c>
      <c r="CCK172" s="498">
        <f t="shared" si="85"/>
        <v>2013</v>
      </c>
      <c r="CCL172" s="498">
        <f t="shared" si="85"/>
        <v>2013</v>
      </c>
      <c r="CCM172" s="498">
        <f t="shared" si="85"/>
        <v>2013</v>
      </c>
      <c r="CCN172" s="498">
        <f t="shared" ref="CCN172:CEY172" si="86">YEAR(CCN173)</f>
        <v>2013</v>
      </c>
      <c r="CCO172" s="498">
        <f t="shared" si="86"/>
        <v>2013</v>
      </c>
      <c r="CCP172" s="498">
        <f t="shared" si="86"/>
        <v>2013</v>
      </c>
      <c r="CCQ172" s="498">
        <f t="shared" si="86"/>
        <v>2013</v>
      </c>
      <c r="CCR172" s="498">
        <f t="shared" si="86"/>
        <v>2013</v>
      </c>
      <c r="CCS172" s="498">
        <f t="shared" si="86"/>
        <v>2013</v>
      </c>
      <c r="CCT172" s="498">
        <f t="shared" si="86"/>
        <v>2013</v>
      </c>
      <c r="CCU172" s="498">
        <f t="shared" si="86"/>
        <v>2013</v>
      </c>
      <c r="CCV172" s="498">
        <f t="shared" si="86"/>
        <v>2013</v>
      </c>
      <c r="CCW172" s="498">
        <f t="shared" si="86"/>
        <v>2013</v>
      </c>
      <c r="CCX172" s="498">
        <f t="shared" si="86"/>
        <v>2013</v>
      </c>
      <c r="CCY172" s="498">
        <f t="shared" si="86"/>
        <v>2013</v>
      </c>
      <c r="CCZ172" s="498">
        <f t="shared" si="86"/>
        <v>2013</v>
      </c>
      <c r="CDA172" s="498">
        <f t="shared" si="86"/>
        <v>2013</v>
      </c>
      <c r="CDB172" s="498">
        <f t="shared" si="86"/>
        <v>2013</v>
      </c>
      <c r="CDC172" s="498">
        <f t="shared" si="86"/>
        <v>2013</v>
      </c>
      <c r="CDD172" s="498">
        <f t="shared" si="86"/>
        <v>2013</v>
      </c>
      <c r="CDE172" s="498">
        <f t="shared" si="86"/>
        <v>2013</v>
      </c>
      <c r="CDF172" s="498">
        <f t="shared" si="86"/>
        <v>2013</v>
      </c>
      <c r="CDG172" s="498">
        <f t="shared" si="86"/>
        <v>2013</v>
      </c>
      <c r="CDH172" s="498">
        <f t="shared" si="86"/>
        <v>2013</v>
      </c>
      <c r="CDI172" s="498">
        <f t="shared" si="86"/>
        <v>2013</v>
      </c>
      <c r="CDJ172" s="498">
        <f t="shared" si="86"/>
        <v>2013</v>
      </c>
      <c r="CDK172" s="498">
        <f t="shared" si="86"/>
        <v>2013</v>
      </c>
      <c r="CDL172" s="498">
        <f t="shared" si="86"/>
        <v>2013</v>
      </c>
      <c r="CDM172" s="498">
        <f t="shared" si="86"/>
        <v>2013</v>
      </c>
      <c r="CDN172" s="498">
        <f t="shared" si="86"/>
        <v>2013</v>
      </c>
      <c r="CDO172" s="498">
        <f t="shared" si="86"/>
        <v>2013</v>
      </c>
      <c r="CDP172" s="498">
        <f t="shared" si="86"/>
        <v>2013</v>
      </c>
      <c r="CDQ172" s="498">
        <f t="shared" si="86"/>
        <v>2013</v>
      </c>
      <c r="CDR172" s="498">
        <f t="shared" si="86"/>
        <v>2013</v>
      </c>
      <c r="CDS172" s="498">
        <f t="shared" si="86"/>
        <v>2013</v>
      </c>
      <c r="CDT172" s="498">
        <f t="shared" si="86"/>
        <v>2013</v>
      </c>
      <c r="CDU172" s="498">
        <f t="shared" si="86"/>
        <v>2013</v>
      </c>
      <c r="CDV172" s="498">
        <f t="shared" si="86"/>
        <v>2013</v>
      </c>
      <c r="CDW172" s="498">
        <f t="shared" si="86"/>
        <v>2013</v>
      </c>
      <c r="CDX172" s="498">
        <f t="shared" si="86"/>
        <v>2013</v>
      </c>
      <c r="CDY172" s="498">
        <f t="shared" si="86"/>
        <v>2013</v>
      </c>
      <c r="CDZ172" s="498">
        <f t="shared" si="86"/>
        <v>2013</v>
      </c>
      <c r="CEA172" s="498">
        <f t="shared" si="86"/>
        <v>2013</v>
      </c>
      <c r="CEB172" s="498">
        <f t="shared" si="86"/>
        <v>2013</v>
      </c>
      <c r="CEC172" s="498">
        <f t="shared" si="86"/>
        <v>2013</v>
      </c>
      <c r="CED172" s="498">
        <f t="shared" si="86"/>
        <v>2013</v>
      </c>
      <c r="CEE172" s="498">
        <f t="shared" si="86"/>
        <v>2013</v>
      </c>
      <c r="CEF172" s="498">
        <f t="shared" si="86"/>
        <v>2013</v>
      </c>
      <c r="CEG172" s="498">
        <f t="shared" si="86"/>
        <v>2013</v>
      </c>
      <c r="CEH172" s="498">
        <f t="shared" si="86"/>
        <v>2013</v>
      </c>
      <c r="CEI172" s="498">
        <f t="shared" si="86"/>
        <v>2013</v>
      </c>
      <c r="CEJ172" s="498">
        <f t="shared" si="86"/>
        <v>2013</v>
      </c>
      <c r="CEK172" s="498">
        <f t="shared" si="86"/>
        <v>2013</v>
      </c>
      <c r="CEL172" s="498">
        <f t="shared" si="86"/>
        <v>2013</v>
      </c>
      <c r="CEM172" s="498">
        <f t="shared" si="86"/>
        <v>2013</v>
      </c>
      <c r="CEN172" s="498">
        <f t="shared" si="86"/>
        <v>2013</v>
      </c>
      <c r="CEO172" s="498">
        <f t="shared" si="86"/>
        <v>2013</v>
      </c>
      <c r="CEP172" s="498">
        <f t="shared" si="86"/>
        <v>2013</v>
      </c>
      <c r="CEQ172" s="498">
        <f t="shared" si="86"/>
        <v>2013</v>
      </c>
      <c r="CER172" s="498">
        <f t="shared" si="86"/>
        <v>2013</v>
      </c>
      <c r="CES172" s="498">
        <f t="shared" si="86"/>
        <v>2013</v>
      </c>
      <c r="CET172" s="498">
        <f t="shared" si="86"/>
        <v>2013</v>
      </c>
      <c r="CEU172" s="498">
        <f t="shared" si="86"/>
        <v>2013</v>
      </c>
      <c r="CEV172" s="498">
        <f t="shared" si="86"/>
        <v>2013</v>
      </c>
      <c r="CEW172" s="498">
        <f t="shared" si="86"/>
        <v>2013</v>
      </c>
      <c r="CEX172" s="498">
        <f t="shared" si="86"/>
        <v>2013</v>
      </c>
      <c r="CEY172" s="498">
        <f t="shared" si="86"/>
        <v>2013</v>
      </c>
      <c r="CEZ172" s="498">
        <f t="shared" ref="CEZ172:CHK172" si="87">YEAR(CEZ173)</f>
        <v>2013</v>
      </c>
      <c r="CFA172" s="498">
        <f t="shared" si="87"/>
        <v>2013</v>
      </c>
      <c r="CFB172" s="498">
        <f t="shared" si="87"/>
        <v>2013</v>
      </c>
      <c r="CFC172" s="498">
        <f t="shared" si="87"/>
        <v>2013</v>
      </c>
      <c r="CFD172" s="498">
        <f t="shared" si="87"/>
        <v>2013</v>
      </c>
      <c r="CFE172" s="498">
        <f t="shared" si="87"/>
        <v>2013</v>
      </c>
      <c r="CFF172" s="498">
        <f t="shared" si="87"/>
        <v>2013</v>
      </c>
      <c r="CFG172" s="498">
        <f t="shared" si="87"/>
        <v>2013</v>
      </c>
      <c r="CFH172" s="498">
        <f t="shared" si="87"/>
        <v>2013</v>
      </c>
      <c r="CFI172" s="498">
        <f t="shared" si="87"/>
        <v>2013</v>
      </c>
      <c r="CFJ172" s="498">
        <f t="shared" si="87"/>
        <v>2013</v>
      </c>
      <c r="CFK172" s="498">
        <f t="shared" si="87"/>
        <v>2013</v>
      </c>
      <c r="CFL172" s="498">
        <f t="shared" si="87"/>
        <v>2013</v>
      </c>
      <c r="CFM172" s="498">
        <f t="shared" si="87"/>
        <v>2013</v>
      </c>
      <c r="CFN172" s="498">
        <f t="shared" si="87"/>
        <v>2013</v>
      </c>
      <c r="CFO172" s="498">
        <f t="shared" si="87"/>
        <v>2013</v>
      </c>
      <c r="CFP172" s="498">
        <f t="shared" si="87"/>
        <v>2013</v>
      </c>
      <c r="CFQ172" s="498">
        <f t="shared" si="87"/>
        <v>2013</v>
      </c>
      <c r="CFR172" s="498">
        <f t="shared" si="87"/>
        <v>2013</v>
      </c>
      <c r="CFS172" s="498">
        <f t="shared" si="87"/>
        <v>2013</v>
      </c>
      <c r="CFT172" s="498">
        <f t="shared" si="87"/>
        <v>2013</v>
      </c>
      <c r="CFU172" s="498">
        <f t="shared" si="87"/>
        <v>2013</v>
      </c>
      <c r="CFV172" s="498">
        <f t="shared" si="87"/>
        <v>2013</v>
      </c>
      <c r="CFW172" s="498">
        <f t="shared" si="87"/>
        <v>2013</v>
      </c>
      <c r="CFX172" s="498">
        <f t="shared" si="87"/>
        <v>2013</v>
      </c>
      <c r="CFY172" s="498">
        <f t="shared" si="87"/>
        <v>2013</v>
      </c>
      <c r="CFZ172" s="498">
        <f t="shared" si="87"/>
        <v>2013</v>
      </c>
      <c r="CGA172" s="498">
        <f t="shared" si="87"/>
        <v>2013</v>
      </c>
      <c r="CGB172" s="498">
        <f t="shared" si="87"/>
        <v>2013</v>
      </c>
      <c r="CGC172" s="498">
        <f t="shared" si="87"/>
        <v>2013</v>
      </c>
      <c r="CGD172" s="498">
        <f t="shared" si="87"/>
        <v>2013</v>
      </c>
      <c r="CGE172" s="498">
        <f t="shared" si="87"/>
        <v>2013</v>
      </c>
      <c r="CGF172" s="498">
        <f t="shared" si="87"/>
        <v>2013</v>
      </c>
      <c r="CGG172" s="498">
        <f t="shared" si="87"/>
        <v>2013</v>
      </c>
      <c r="CGH172" s="498">
        <f t="shared" si="87"/>
        <v>2013</v>
      </c>
      <c r="CGI172" s="498">
        <f t="shared" si="87"/>
        <v>2013</v>
      </c>
      <c r="CGJ172" s="498">
        <f t="shared" si="87"/>
        <v>2013</v>
      </c>
      <c r="CGK172" s="498">
        <f t="shared" si="87"/>
        <v>2013</v>
      </c>
      <c r="CGL172" s="498">
        <f t="shared" si="87"/>
        <v>2013</v>
      </c>
      <c r="CGM172" s="498">
        <f t="shared" si="87"/>
        <v>2013</v>
      </c>
      <c r="CGN172" s="498">
        <f t="shared" si="87"/>
        <v>2013</v>
      </c>
      <c r="CGO172" s="498">
        <f t="shared" si="87"/>
        <v>2013</v>
      </c>
      <c r="CGP172" s="498">
        <f t="shared" si="87"/>
        <v>2013</v>
      </c>
      <c r="CGQ172" s="498">
        <f t="shared" si="87"/>
        <v>2013</v>
      </c>
      <c r="CGR172" s="498">
        <f t="shared" si="87"/>
        <v>2013</v>
      </c>
      <c r="CGS172" s="498">
        <f t="shared" si="87"/>
        <v>2013</v>
      </c>
      <c r="CGT172" s="498">
        <f t="shared" si="87"/>
        <v>2013</v>
      </c>
      <c r="CGU172" s="498">
        <f t="shared" si="87"/>
        <v>2012</v>
      </c>
      <c r="CGV172" s="498">
        <f t="shared" si="87"/>
        <v>2012</v>
      </c>
      <c r="CGW172" s="498">
        <f t="shared" si="87"/>
        <v>2012</v>
      </c>
      <c r="CGX172" s="498">
        <f t="shared" si="87"/>
        <v>2012</v>
      </c>
      <c r="CGY172" s="498">
        <f t="shared" si="87"/>
        <v>2012</v>
      </c>
      <c r="CGZ172" s="498">
        <f t="shared" si="87"/>
        <v>2012</v>
      </c>
      <c r="CHA172" s="498">
        <f t="shared" si="87"/>
        <v>2012</v>
      </c>
      <c r="CHB172" s="498">
        <f t="shared" si="87"/>
        <v>2012</v>
      </c>
      <c r="CHC172" s="498">
        <f t="shared" si="87"/>
        <v>2012</v>
      </c>
      <c r="CHD172" s="498">
        <f t="shared" si="87"/>
        <v>2012</v>
      </c>
      <c r="CHE172" s="498">
        <f t="shared" si="87"/>
        <v>2012</v>
      </c>
      <c r="CHF172" s="498">
        <f t="shared" si="87"/>
        <v>2012</v>
      </c>
      <c r="CHG172" s="498">
        <f t="shared" si="87"/>
        <v>2012</v>
      </c>
      <c r="CHH172" s="498">
        <f t="shared" si="87"/>
        <v>2012</v>
      </c>
      <c r="CHI172" s="498">
        <f t="shared" si="87"/>
        <v>2012</v>
      </c>
      <c r="CHJ172" s="498">
        <f t="shared" si="87"/>
        <v>2012</v>
      </c>
      <c r="CHK172" s="498">
        <f t="shared" si="87"/>
        <v>2012</v>
      </c>
      <c r="CHL172" s="498">
        <f t="shared" ref="CHL172:CJW172" si="88">YEAR(CHL173)</f>
        <v>2012</v>
      </c>
      <c r="CHM172" s="498">
        <f t="shared" si="88"/>
        <v>2012</v>
      </c>
      <c r="CHN172" s="498">
        <f t="shared" si="88"/>
        <v>2012</v>
      </c>
      <c r="CHO172" s="498">
        <f t="shared" si="88"/>
        <v>2012</v>
      </c>
      <c r="CHP172" s="498">
        <f t="shared" si="88"/>
        <v>2012</v>
      </c>
      <c r="CHQ172" s="498">
        <f t="shared" si="88"/>
        <v>2012</v>
      </c>
      <c r="CHR172" s="498">
        <f t="shared" si="88"/>
        <v>2012</v>
      </c>
      <c r="CHS172" s="498">
        <f t="shared" si="88"/>
        <v>2012</v>
      </c>
      <c r="CHT172" s="498">
        <f t="shared" si="88"/>
        <v>2012</v>
      </c>
      <c r="CHU172" s="498">
        <f t="shared" si="88"/>
        <v>2012</v>
      </c>
      <c r="CHV172" s="498">
        <f t="shared" si="88"/>
        <v>2012</v>
      </c>
      <c r="CHW172" s="498">
        <f t="shared" si="88"/>
        <v>2012</v>
      </c>
      <c r="CHX172" s="498">
        <f t="shared" si="88"/>
        <v>2012</v>
      </c>
      <c r="CHY172" s="498">
        <f t="shared" si="88"/>
        <v>2012</v>
      </c>
      <c r="CHZ172" s="498">
        <f t="shared" si="88"/>
        <v>2012</v>
      </c>
      <c r="CIA172" s="498">
        <f t="shared" si="88"/>
        <v>2012</v>
      </c>
      <c r="CIB172" s="498">
        <f t="shared" si="88"/>
        <v>2012</v>
      </c>
      <c r="CIC172" s="498">
        <f t="shared" si="88"/>
        <v>2012</v>
      </c>
      <c r="CID172" s="498">
        <f t="shared" si="88"/>
        <v>2012</v>
      </c>
      <c r="CIE172" s="498">
        <f t="shared" si="88"/>
        <v>2012</v>
      </c>
      <c r="CIF172" s="498">
        <f t="shared" si="88"/>
        <v>2012</v>
      </c>
      <c r="CIG172" s="498">
        <f t="shared" si="88"/>
        <v>2012</v>
      </c>
      <c r="CIH172" s="498">
        <f t="shared" si="88"/>
        <v>2012</v>
      </c>
      <c r="CII172" s="498">
        <f t="shared" si="88"/>
        <v>2012</v>
      </c>
      <c r="CIJ172" s="498">
        <f t="shared" si="88"/>
        <v>2012</v>
      </c>
      <c r="CIK172" s="498">
        <f t="shared" si="88"/>
        <v>2012</v>
      </c>
      <c r="CIL172" s="498">
        <f t="shared" si="88"/>
        <v>2012</v>
      </c>
      <c r="CIM172" s="498">
        <f t="shared" si="88"/>
        <v>2012</v>
      </c>
      <c r="CIN172" s="498">
        <f t="shared" si="88"/>
        <v>2012</v>
      </c>
      <c r="CIO172" s="498">
        <f t="shared" si="88"/>
        <v>2012</v>
      </c>
      <c r="CIP172" s="498">
        <f t="shared" si="88"/>
        <v>2012</v>
      </c>
      <c r="CIQ172" s="498">
        <f t="shared" si="88"/>
        <v>2012</v>
      </c>
      <c r="CIR172" s="498">
        <f t="shared" si="88"/>
        <v>2012</v>
      </c>
      <c r="CIS172" s="498">
        <f t="shared" si="88"/>
        <v>2012</v>
      </c>
      <c r="CIT172" s="498">
        <f t="shared" si="88"/>
        <v>2012</v>
      </c>
      <c r="CIU172" s="498">
        <f t="shared" si="88"/>
        <v>2012</v>
      </c>
      <c r="CIV172" s="498">
        <f t="shared" si="88"/>
        <v>2012</v>
      </c>
      <c r="CIW172" s="498">
        <f t="shared" si="88"/>
        <v>2012</v>
      </c>
      <c r="CIX172" s="498">
        <f t="shared" si="88"/>
        <v>2012</v>
      </c>
      <c r="CIY172" s="498">
        <f t="shared" si="88"/>
        <v>2012</v>
      </c>
      <c r="CIZ172" s="498">
        <f t="shared" si="88"/>
        <v>2012</v>
      </c>
      <c r="CJA172" s="498">
        <f t="shared" si="88"/>
        <v>2012</v>
      </c>
      <c r="CJB172" s="498">
        <f t="shared" si="88"/>
        <v>2012</v>
      </c>
      <c r="CJC172" s="498">
        <f t="shared" si="88"/>
        <v>2012</v>
      </c>
      <c r="CJD172" s="498">
        <f t="shared" si="88"/>
        <v>2012</v>
      </c>
      <c r="CJE172" s="498">
        <f t="shared" si="88"/>
        <v>2012</v>
      </c>
      <c r="CJF172" s="498">
        <f t="shared" si="88"/>
        <v>2012</v>
      </c>
      <c r="CJG172" s="498">
        <f t="shared" si="88"/>
        <v>2012</v>
      </c>
      <c r="CJH172" s="498">
        <f t="shared" si="88"/>
        <v>2012</v>
      </c>
      <c r="CJI172" s="498">
        <f t="shared" si="88"/>
        <v>2012</v>
      </c>
      <c r="CJJ172" s="498">
        <f t="shared" si="88"/>
        <v>2012</v>
      </c>
      <c r="CJK172" s="498">
        <f t="shared" si="88"/>
        <v>2012</v>
      </c>
      <c r="CJL172" s="498">
        <f t="shared" si="88"/>
        <v>2012</v>
      </c>
      <c r="CJM172" s="498">
        <f t="shared" si="88"/>
        <v>2012</v>
      </c>
      <c r="CJN172" s="498">
        <f t="shared" si="88"/>
        <v>2012</v>
      </c>
      <c r="CJO172" s="498">
        <f t="shared" si="88"/>
        <v>2012</v>
      </c>
      <c r="CJP172" s="498">
        <f t="shared" si="88"/>
        <v>2012</v>
      </c>
      <c r="CJQ172" s="498">
        <f t="shared" si="88"/>
        <v>2012</v>
      </c>
      <c r="CJR172" s="498">
        <f t="shared" si="88"/>
        <v>2012</v>
      </c>
      <c r="CJS172" s="498">
        <f t="shared" si="88"/>
        <v>2012</v>
      </c>
      <c r="CJT172" s="498">
        <f t="shared" si="88"/>
        <v>2012</v>
      </c>
      <c r="CJU172" s="498">
        <f t="shared" si="88"/>
        <v>2012</v>
      </c>
      <c r="CJV172" s="498">
        <f t="shared" si="88"/>
        <v>2012</v>
      </c>
      <c r="CJW172" s="498">
        <f t="shared" si="88"/>
        <v>2012</v>
      </c>
      <c r="CJX172" s="498">
        <f t="shared" ref="CJX172:CMI172" si="89">YEAR(CJX173)</f>
        <v>2012</v>
      </c>
      <c r="CJY172" s="498">
        <f t="shared" si="89"/>
        <v>2012</v>
      </c>
      <c r="CJZ172" s="498">
        <f t="shared" si="89"/>
        <v>2012</v>
      </c>
      <c r="CKA172" s="498">
        <f t="shared" si="89"/>
        <v>2012</v>
      </c>
      <c r="CKB172" s="498">
        <f t="shared" si="89"/>
        <v>2012</v>
      </c>
      <c r="CKC172" s="498">
        <f t="shared" si="89"/>
        <v>2012</v>
      </c>
      <c r="CKD172" s="498">
        <f t="shared" si="89"/>
        <v>2012</v>
      </c>
      <c r="CKE172" s="498">
        <f t="shared" si="89"/>
        <v>2012</v>
      </c>
      <c r="CKF172" s="498">
        <f t="shared" si="89"/>
        <v>2012</v>
      </c>
      <c r="CKG172" s="498">
        <f t="shared" si="89"/>
        <v>2012</v>
      </c>
      <c r="CKH172" s="498">
        <f t="shared" si="89"/>
        <v>2012</v>
      </c>
      <c r="CKI172" s="498">
        <f t="shared" si="89"/>
        <v>2012</v>
      </c>
      <c r="CKJ172" s="498">
        <f t="shared" si="89"/>
        <v>2012</v>
      </c>
      <c r="CKK172" s="498">
        <f t="shared" si="89"/>
        <v>2012</v>
      </c>
      <c r="CKL172" s="498">
        <f t="shared" si="89"/>
        <v>2012</v>
      </c>
      <c r="CKM172" s="498">
        <f t="shared" si="89"/>
        <v>2012</v>
      </c>
      <c r="CKN172" s="498">
        <f t="shared" si="89"/>
        <v>2012</v>
      </c>
      <c r="CKO172" s="498">
        <f t="shared" si="89"/>
        <v>2012</v>
      </c>
      <c r="CKP172" s="498">
        <f t="shared" si="89"/>
        <v>2012</v>
      </c>
      <c r="CKQ172" s="498">
        <f t="shared" si="89"/>
        <v>2012</v>
      </c>
      <c r="CKR172" s="498">
        <f t="shared" si="89"/>
        <v>2012</v>
      </c>
      <c r="CKS172" s="498">
        <f t="shared" si="89"/>
        <v>2012</v>
      </c>
      <c r="CKT172" s="498">
        <f t="shared" si="89"/>
        <v>2012</v>
      </c>
      <c r="CKU172" s="498">
        <f t="shared" si="89"/>
        <v>2012</v>
      </c>
      <c r="CKV172" s="498">
        <f t="shared" si="89"/>
        <v>2012</v>
      </c>
      <c r="CKW172" s="498">
        <f t="shared" si="89"/>
        <v>2012</v>
      </c>
      <c r="CKX172" s="498">
        <f t="shared" si="89"/>
        <v>2012</v>
      </c>
      <c r="CKY172" s="498">
        <f t="shared" si="89"/>
        <v>2012</v>
      </c>
      <c r="CKZ172" s="498">
        <f t="shared" si="89"/>
        <v>2012</v>
      </c>
      <c r="CLA172" s="498">
        <f t="shared" si="89"/>
        <v>2012</v>
      </c>
      <c r="CLB172" s="498">
        <f t="shared" si="89"/>
        <v>2012</v>
      </c>
      <c r="CLC172" s="498">
        <f t="shared" si="89"/>
        <v>2012</v>
      </c>
      <c r="CLD172" s="498">
        <f t="shared" si="89"/>
        <v>2012</v>
      </c>
      <c r="CLE172" s="498">
        <f t="shared" si="89"/>
        <v>2012</v>
      </c>
      <c r="CLF172" s="498">
        <f t="shared" si="89"/>
        <v>2012</v>
      </c>
      <c r="CLG172" s="498">
        <f t="shared" si="89"/>
        <v>2012</v>
      </c>
      <c r="CLH172" s="498">
        <f t="shared" si="89"/>
        <v>2012</v>
      </c>
      <c r="CLI172" s="498">
        <f t="shared" si="89"/>
        <v>2012</v>
      </c>
      <c r="CLJ172" s="498">
        <f t="shared" si="89"/>
        <v>2012</v>
      </c>
      <c r="CLK172" s="498">
        <f t="shared" si="89"/>
        <v>2012</v>
      </c>
      <c r="CLL172" s="498">
        <f t="shared" si="89"/>
        <v>2012</v>
      </c>
      <c r="CLM172" s="498">
        <f t="shared" si="89"/>
        <v>2012</v>
      </c>
      <c r="CLN172" s="498">
        <f t="shared" si="89"/>
        <v>2012</v>
      </c>
      <c r="CLO172" s="498">
        <f t="shared" si="89"/>
        <v>2012</v>
      </c>
      <c r="CLP172" s="498">
        <f t="shared" si="89"/>
        <v>2012</v>
      </c>
      <c r="CLQ172" s="498">
        <f t="shared" si="89"/>
        <v>2012</v>
      </c>
      <c r="CLR172" s="498">
        <f t="shared" si="89"/>
        <v>2012</v>
      </c>
      <c r="CLS172" s="498">
        <f t="shared" si="89"/>
        <v>2012</v>
      </c>
      <c r="CLT172" s="498">
        <f t="shared" si="89"/>
        <v>2012</v>
      </c>
      <c r="CLU172" s="498">
        <f t="shared" si="89"/>
        <v>2012</v>
      </c>
      <c r="CLV172" s="498">
        <f t="shared" si="89"/>
        <v>2012</v>
      </c>
      <c r="CLW172" s="498">
        <f t="shared" si="89"/>
        <v>2012</v>
      </c>
      <c r="CLX172" s="498">
        <f t="shared" si="89"/>
        <v>2012</v>
      </c>
      <c r="CLY172" s="498">
        <f t="shared" si="89"/>
        <v>2012</v>
      </c>
      <c r="CLZ172" s="498">
        <f t="shared" si="89"/>
        <v>2012</v>
      </c>
      <c r="CMA172" s="498">
        <f t="shared" si="89"/>
        <v>2012</v>
      </c>
      <c r="CMB172" s="498">
        <f t="shared" si="89"/>
        <v>2012</v>
      </c>
      <c r="CMC172" s="498">
        <f t="shared" si="89"/>
        <v>2012</v>
      </c>
      <c r="CMD172" s="498">
        <f t="shared" si="89"/>
        <v>2012</v>
      </c>
      <c r="CME172" s="498">
        <f t="shared" si="89"/>
        <v>2012</v>
      </c>
      <c r="CMF172" s="498">
        <f t="shared" si="89"/>
        <v>2012</v>
      </c>
      <c r="CMG172" s="498">
        <f t="shared" si="89"/>
        <v>2012</v>
      </c>
      <c r="CMH172" s="498">
        <f t="shared" si="89"/>
        <v>2012</v>
      </c>
      <c r="CMI172" s="498">
        <f t="shared" si="89"/>
        <v>2012</v>
      </c>
      <c r="CMJ172" s="498">
        <f t="shared" ref="CMJ172:COU172" si="90">YEAR(CMJ173)</f>
        <v>2012</v>
      </c>
      <c r="CMK172" s="498">
        <f t="shared" si="90"/>
        <v>2012</v>
      </c>
      <c r="CML172" s="498">
        <f t="shared" si="90"/>
        <v>2012</v>
      </c>
      <c r="CMM172" s="498">
        <f t="shared" si="90"/>
        <v>2012</v>
      </c>
      <c r="CMN172" s="498">
        <f t="shared" si="90"/>
        <v>2012</v>
      </c>
      <c r="CMO172" s="498">
        <f t="shared" si="90"/>
        <v>2012</v>
      </c>
      <c r="CMP172" s="498">
        <f t="shared" si="90"/>
        <v>2012</v>
      </c>
      <c r="CMQ172" s="498">
        <f t="shared" si="90"/>
        <v>2012</v>
      </c>
      <c r="CMR172" s="498">
        <f t="shared" si="90"/>
        <v>2012</v>
      </c>
      <c r="CMS172" s="498">
        <f t="shared" si="90"/>
        <v>2012</v>
      </c>
      <c r="CMT172" s="498">
        <f t="shared" si="90"/>
        <v>2012</v>
      </c>
      <c r="CMU172" s="498">
        <f t="shared" si="90"/>
        <v>2012</v>
      </c>
      <c r="CMV172" s="498">
        <f t="shared" si="90"/>
        <v>2012</v>
      </c>
      <c r="CMW172" s="498">
        <f t="shared" si="90"/>
        <v>2012</v>
      </c>
      <c r="CMX172" s="498">
        <f t="shared" si="90"/>
        <v>2012</v>
      </c>
      <c r="CMY172" s="498">
        <f t="shared" si="90"/>
        <v>2012</v>
      </c>
      <c r="CMZ172" s="498">
        <f t="shared" si="90"/>
        <v>2012</v>
      </c>
      <c r="CNA172" s="498">
        <f t="shared" si="90"/>
        <v>2012</v>
      </c>
      <c r="CNB172" s="498">
        <f t="shared" si="90"/>
        <v>2012</v>
      </c>
      <c r="CNC172" s="498">
        <f t="shared" si="90"/>
        <v>2012</v>
      </c>
      <c r="CND172" s="498">
        <f t="shared" si="90"/>
        <v>2012</v>
      </c>
      <c r="CNE172" s="498">
        <f t="shared" si="90"/>
        <v>2012</v>
      </c>
      <c r="CNF172" s="498">
        <f t="shared" si="90"/>
        <v>2012</v>
      </c>
      <c r="CNG172" s="498">
        <f t="shared" si="90"/>
        <v>2012</v>
      </c>
      <c r="CNH172" s="498">
        <f t="shared" si="90"/>
        <v>2012</v>
      </c>
      <c r="CNI172" s="498">
        <f t="shared" si="90"/>
        <v>2012</v>
      </c>
      <c r="CNJ172" s="498">
        <f t="shared" si="90"/>
        <v>2012</v>
      </c>
      <c r="CNK172" s="498">
        <f t="shared" si="90"/>
        <v>2012</v>
      </c>
      <c r="CNL172" s="498">
        <f t="shared" si="90"/>
        <v>2012</v>
      </c>
      <c r="CNM172" s="498">
        <f t="shared" si="90"/>
        <v>2012</v>
      </c>
      <c r="CNN172" s="498">
        <f t="shared" si="90"/>
        <v>2012</v>
      </c>
      <c r="CNO172" s="498">
        <f t="shared" si="90"/>
        <v>2012</v>
      </c>
      <c r="CNP172" s="498">
        <f t="shared" si="90"/>
        <v>2012</v>
      </c>
      <c r="CNQ172" s="498">
        <f t="shared" si="90"/>
        <v>2012</v>
      </c>
      <c r="CNR172" s="498">
        <f t="shared" si="90"/>
        <v>2012</v>
      </c>
      <c r="CNS172" s="498">
        <f t="shared" si="90"/>
        <v>2012</v>
      </c>
      <c r="CNT172" s="498">
        <f t="shared" si="90"/>
        <v>2012</v>
      </c>
      <c r="CNU172" s="498">
        <f t="shared" si="90"/>
        <v>2012</v>
      </c>
      <c r="CNV172" s="498">
        <f t="shared" si="90"/>
        <v>2012</v>
      </c>
      <c r="CNW172" s="498">
        <f t="shared" si="90"/>
        <v>2012</v>
      </c>
      <c r="CNX172" s="498">
        <f t="shared" si="90"/>
        <v>2012</v>
      </c>
      <c r="CNY172" s="498">
        <f t="shared" si="90"/>
        <v>2012</v>
      </c>
      <c r="CNZ172" s="498">
        <f t="shared" si="90"/>
        <v>2012</v>
      </c>
      <c r="COA172" s="498">
        <f t="shared" si="90"/>
        <v>2012</v>
      </c>
      <c r="COB172" s="498">
        <f t="shared" si="90"/>
        <v>2012</v>
      </c>
      <c r="COC172" s="498">
        <f t="shared" si="90"/>
        <v>2012</v>
      </c>
      <c r="COD172" s="498">
        <f t="shared" si="90"/>
        <v>2012</v>
      </c>
      <c r="COE172" s="498">
        <f t="shared" si="90"/>
        <v>2012</v>
      </c>
      <c r="COF172" s="498">
        <f t="shared" si="90"/>
        <v>2012</v>
      </c>
      <c r="COG172" s="498">
        <f t="shared" si="90"/>
        <v>2012</v>
      </c>
      <c r="COH172" s="498">
        <f t="shared" si="90"/>
        <v>2012</v>
      </c>
      <c r="COI172" s="498">
        <f t="shared" si="90"/>
        <v>2012</v>
      </c>
      <c r="COJ172" s="498">
        <f t="shared" si="90"/>
        <v>2012</v>
      </c>
      <c r="COK172" s="498">
        <f t="shared" si="90"/>
        <v>2012</v>
      </c>
      <c r="COL172" s="498">
        <f t="shared" si="90"/>
        <v>2012</v>
      </c>
      <c r="COM172" s="498">
        <f t="shared" si="90"/>
        <v>2012</v>
      </c>
      <c r="CON172" s="498">
        <f t="shared" si="90"/>
        <v>2012</v>
      </c>
      <c r="COO172" s="498">
        <f t="shared" si="90"/>
        <v>2012</v>
      </c>
      <c r="COP172" s="498">
        <f t="shared" si="90"/>
        <v>2012</v>
      </c>
      <c r="COQ172" s="498">
        <f t="shared" si="90"/>
        <v>2012</v>
      </c>
      <c r="COR172" s="498">
        <f t="shared" si="90"/>
        <v>2012</v>
      </c>
      <c r="COS172" s="498">
        <f t="shared" si="90"/>
        <v>2012</v>
      </c>
      <c r="COT172" s="498">
        <f t="shared" si="90"/>
        <v>2012</v>
      </c>
      <c r="COU172" s="498">
        <f t="shared" si="90"/>
        <v>2012</v>
      </c>
      <c r="COV172" s="498">
        <f t="shared" ref="COV172:CQI172" si="91">YEAR(COV173)</f>
        <v>2012</v>
      </c>
      <c r="COW172" s="498">
        <f t="shared" si="91"/>
        <v>2012</v>
      </c>
      <c r="COX172" s="498">
        <f t="shared" si="91"/>
        <v>2012</v>
      </c>
      <c r="COY172" s="498">
        <f t="shared" si="91"/>
        <v>2012</v>
      </c>
      <c r="COZ172" s="498">
        <f t="shared" si="91"/>
        <v>2012</v>
      </c>
      <c r="CPA172" s="498">
        <f t="shared" si="91"/>
        <v>2012</v>
      </c>
      <c r="CPB172" s="498">
        <f t="shared" si="91"/>
        <v>2012</v>
      </c>
      <c r="CPC172" s="498">
        <f t="shared" si="91"/>
        <v>2012</v>
      </c>
      <c r="CPD172" s="498">
        <f t="shared" si="91"/>
        <v>2012</v>
      </c>
      <c r="CPE172" s="498">
        <f t="shared" si="91"/>
        <v>2012</v>
      </c>
      <c r="CPF172" s="498">
        <f t="shared" si="91"/>
        <v>2012</v>
      </c>
      <c r="CPG172" s="498">
        <f t="shared" si="91"/>
        <v>2012</v>
      </c>
      <c r="CPH172" s="498">
        <f t="shared" si="91"/>
        <v>2012</v>
      </c>
      <c r="CPI172" s="498">
        <f t="shared" si="91"/>
        <v>2012</v>
      </c>
      <c r="CPJ172" s="498">
        <f t="shared" si="91"/>
        <v>2012</v>
      </c>
      <c r="CPK172" s="498">
        <f t="shared" si="91"/>
        <v>2012</v>
      </c>
      <c r="CPL172" s="498">
        <f t="shared" si="91"/>
        <v>2012</v>
      </c>
      <c r="CPM172" s="498">
        <f t="shared" si="91"/>
        <v>2012</v>
      </c>
      <c r="CPN172" s="498">
        <f t="shared" si="91"/>
        <v>2012</v>
      </c>
      <c r="CPO172" s="498">
        <f t="shared" si="91"/>
        <v>2012</v>
      </c>
      <c r="CPP172" s="498">
        <f t="shared" si="91"/>
        <v>2012</v>
      </c>
      <c r="CPQ172" s="498">
        <f t="shared" si="91"/>
        <v>2012</v>
      </c>
      <c r="CPR172" s="498">
        <f t="shared" si="91"/>
        <v>2012</v>
      </c>
      <c r="CPS172" s="498">
        <f t="shared" si="91"/>
        <v>2012</v>
      </c>
      <c r="CPT172" s="498">
        <f t="shared" si="91"/>
        <v>2012</v>
      </c>
      <c r="CPU172" s="498">
        <f t="shared" si="91"/>
        <v>2012</v>
      </c>
      <c r="CPV172" s="498">
        <f t="shared" si="91"/>
        <v>2012</v>
      </c>
      <c r="CPW172" s="498">
        <f t="shared" si="91"/>
        <v>2012</v>
      </c>
      <c r="CPX172" s="498">
        <f t="shared" si="91"/>
        <v>2012</v>
      </c>
      <c r="CPY172" s="498">
        <f t="shared" si="91"/>
        <v>2012</v>
      </c>
      <c r="CPZ172" s="498">
        <f t="shared" si="91"/>
        <v>2012</v>
      </c>
      <c r="CQA172" s="498">
        <f t="shared" si="91"/>
        <v>2012</v>
      </c>
      <c r="CQB172" s="498">
        <f t="shared" si="91"/>
        <v>2012</v>
      </c>
      <c r="CQC172" s="498">
        <f t="shared" si="91"/>
        <v>2012</v>
      </c>
      <c r="CQD172" s="498">
        <f t="shared" si="91"/>
        <v>2012</v>
      </c>
      <c r="CQE172" s="498">
        <f t="shared" si="91"/>
        <v>2012</v>
      </c>
      <c r="CQF172" s="498">
        <f t="shared" si="91"/>
        <v>2012</v>
      </c>
      <c r="CQG172" s="498">
        <f t="shared" si="91"/>
        <v>2012</v>
      </c>
      <c r="CQH172" s="498">
        <f t="shared" si="91"/>
        <v>2012</v>
      </c>
      <c r="CQI172" s="498">
        <f t="shared" si="91"/>
        <v>2012</v>
      </c>
    </row>
    <row r="173" spans="2:2479" ht="14.25" thickBot="1">
      <c r="C173" s="1852" t="s">
        <v>370</v>
      </c>
      <c r="D173" s="1852" t="s">
        <v>372</v>
      </c>
      <c r="E173" s="1852" t="s">
        <v>374</v>
      </c>
      <c r="F173" s="1852" t="s">
        <v>376</v>
      </c>
      <c r="G173" s="1852" t="s">
        <v>378</v>
      </c>
      <c r="H173" s="1852" t="s">
        <v>379</v>
      </c>
      <c r="I173" s="1852" t="s">
        <v>380</v>
      </c>
      <c r="J173" s="1852" t="s">
        <v>381</v>
      </c>
      <c r="K173" s="1852" t="s">
        <v>382</v>
      </c>
      <c r="L173" s="1852" t="s">
        <v>383</v>
      </c>
      <c r="M173" s="1852" t="s">
        <v>384</v>
      </c>
      <c r="N173" s="1852" t="s">
        <v>385</v>
      </c>
      <c r="O173" s="1852" t="s">
        <v>386</v>
      </c>
      <c r="P173" s="1852" t="s">
        <v>387</v>
      </c>
      <c r="Q173" s="1852" t="s">
        <v>388</v>
      </c>
      <c r="R173" s="1852" t="s">
        <v>389</v>
      </c>
      <c r="S173" s="1852" t="s">
        <v>390</v>
      </c>
      <c r="T173" s="1852" t="s">
        <v>391</v>
      </c>
      <c r="U173" s="1852" t="s">
        <v>392</v>
      </c>
      <c r="V173" s="1852" t="s">
        <v>393</v>
      </c>
      <c r="W173" s="1852" t="s">
        <v>394</v>
      </c>
      <c r="X173" s="1852" t="s">
        <v>395</v>
      </c>
      <c r="Y173" s="1852" t="s">
        <v>396</v>
      </c>
      <c r="Z173" s="1852" t="s">
        <v>397</v>
      </c>
      <c r="AA173" s="1852" t="s">
        <v>398</v>
      </c>
      <c r="AB173" s="1852" t="s">
        <v>399</v>
      </c>
      <c r="AC173" s="1852" t="s">
        <v>400</v>
      </c>
      <c r="AD173" s="1852" t="s">
        <v>401</v>
      </c>
      <c r="AE173" s="1852" t="s">
        <v>402</v>
      </c>
      <c r="AF173" s="1852" t="s">
        <v>403</v>
      </c>
      <c r="AG173" s="1852" t="s">
        <v>404</v>
      </c>
      <c r="AH173" s="1852" t="s">
        <v>405</v>
      </c>
      <c r="AI173" s="1852" t="s">
        <v>406</v>
      </c>
      <c r="AJ173" s="1852" t="s">
        <v>407</v>
      </c>
      <c r="AK173" s="1852" t="s">
        <v>408</v>
      </c>
      <c r="AL173" s="1852" t="s">
        <v>409</v>
      </c>
      <c r="AM173" s="1852" t="s">
        <v>410</v>
      </c>
      <c r="AN173" s="1852" t="s">
        <v>411</v>
      </c>
      <c r="AO173" s="1852" t="s">
        <v>412</v>
      </c>
      <c r="AP173" s="1852" t="s">
        <v>413</v>
      </c>
      <c r="AQ173" s="1852" t="s">
        <v>414</v>
      </c>
      <c r="AR173" s="1852" t="s">
        <v>415</v>
      </c>
      <c r="AS173" s="1852" t="s">
        <v>416</v>
      </c>
      <c r="AT173" s="1852" t="s">
        <v>417</v>
      </c>
      <c r="AU173" s="1852" t="s">
        <v>418</v>
      </c>
      <c r="AV173" s="1852" t="s">
        <v>419</v>
      </c>
      <c r="AW173" s="1852" t="s">
        <v>420</v>
      </c>
      <c r="AX173" s="1852" t="s">
        <v>421</v>
      </c>
      <c r="AY173" s="1852" t="s">
        <v>422</v>
      </c>
      <c r="AZ173" s="1852" t="s">
        <v>423</v>
      </c>
      <c r="BA173" s="1852" t="s">
        <v>424</v>
      </c>
      <c r="BB173" s="1852" t="s">
        <v>425</v>
      </c>
      <c r="BC173" s="1852" t="s">
        <v>426</v>
      </c>
      <c r="BD173" s="1852" t="s">
        <v>427</v>
      </c>
      <c r="BE173" s="1852" t="s">
        <v>428</v>
      </c>
      <c r="BF173" s="1852" t="s">
        <v>429</v>
      </c>
      <c r="BG173" s="1852" t="s">
        <v>430</v>
      </c>
      <c r="BH173" s="1852" t="s">
        <v>431</v>
      </c>
      <c r="BI173" s="1852" t="s">
        <v>432</v>
      </c>
      <c r="BJ173" s="1852" t="s">
        <v>433</v>
      </c>
      <c r="BK173" s="1852" t="s">
        <v>434</v>
      </c>
      <c r="BL173" s="1852" t="s">
        <v>435</v>
      </c>
      <c r="BM173" s="1852" t="s">
        <v>436</v>
      </c>
      <c r="BN173" s="1852" t="s">
        <v>437</v>
      </c>
      <c r="BO173" s="1852" t="s">
        <v>438</v>
      </c>
      <c r="BP173" s="1852" t="s">
        <v>439</v>
      </c>
      <c r="BQ173" s="1852" t="s">
        <v>440</v>
      </c>
      <c r="BR173" s="1852" t="s">
        <v>441</v>
      </c>
      <c r="BS173" s="1852" t="s">
        <v>442</v>
      </c>
      <c r="BT173" s="1852" t="s">
        <v>443</v>
      </c>
      <c r="BU173" s="1852" t="s">
        <v>444</v>
      </c>
      <c r="BV173" s="1852" t="s">
        <v>445</v>
      </c>
      <c r="BW173" s="1852" t="s">
        <v>446</v>
      </c>
      <c r="BX173" s="1852" t="s">
        <v>447</v>
      </c>
      <c r="BY173" s="1852" t="s">
        <v>448</v>
      </c>
      <c r="BZ173" s="1852" t="s">
        <v>449</v>
      </c>
      <c r="CA173" s="1852" t="s">
        <v>450</v>
      </c>
      <c r="CB173" s="1852" t="s">
        <v>451</v>
      </c>
      <c r="CC173" s="1852" t="s">
        <v>452</v>
      </c>
      <c r="CD173" s="1852" t="s">
        <v>453</v>
      </c>
      <c r="CE173" s="1852" t="s">
        <v>454</v>
      </c>
      <c r="CF173" s="1852" t="s">
        <v>455</v>
      </c>
      <c r="CG173" s="1852" t="s">
        <v>456</v>
      </c>
      <c r="CH173" s="1852" t="s">
        <v>457</v>
      </c>
      <c r="CI173" s="1852" t="s">
        <v>458</v>
      </c>
      <c r="CJ173" s="1852" t="s">
        <v>459</v>
      </c>
      <c r="CK173" s="1852" t="s">
        <v>460</v>
      </c>
      <c r="CL173" s="1852" t="s">
        <v>461</v>
      </c>
      <c r="CM173" s="1852" t="s">
        <v>462</v>
      </c>
      <c r="CN173" s="1852" t="s">
        <v>463</v>
      </c>
      <c r="CO173" s="1852" t="s">
        <v>464</v>
      </c>
      <c r="CP173" s="1852" t="s">
        <v>465</v>
      </c>
      <c r="CQ173" s="1852" t="s">
        <v>466</v>
      </c>
      <c r="CR173" s="1852" t="s">
        <v>467</v>
      </c>
      <c r="CS173" s="1852" t="s">
        <v>468</v>
      </c>
      <c r="CT173" s="1852" t="s">
        <v>469</v>
      </c>
      <c r="CU173" s="1852" t="s">
        <v>470</v>
      </c>
      <c r="CV173" s="1852" t="s">
        <v>471</v>
      </c>
      <c r="CW173" s="1852" t="s">
        <v>472</v>
      </c>
      <c r="CX173" s="1852" t="s">
        <v>473</v>
      </c>
      <c r="CY173" s="1852" t="s">
        <v>474</v>
      </c>
      <c r="CZ173" s="1852" t="s">
        <v>475</v>
      </c>
      <c r="DA173" s="1852" t="s">
        <v>476</v>
      </c>
      <c r="DB173" s="1852" t="s">
        <v>477</v>
      </c>
      <c r="DC173" s="1852" t="s">
        <v>478</v>
      </c>
      <c r="DD173" s="1852" t="s">
        <v>479</v>
      </c>
      <c r="DE173" s="1852" t="s">
        <v>480</v>
      </c>
      <c r="DF173" s="1852" t="s">
        <v>481</v>
      </c>
      <c r="DG173" s="1852" t="s">
        <v>482</v>
      </c>
      <c r="DH173" s="1852" t="s">
        <v>483</v>
      </c>
      <c r="DI173" s="1852" t="s">
        <v>484</v>
      </c>
      <c r="DJ173" s="1852" t="s">
        <v>485</v>
      </c>
      <c r="DK173" s="1852" t="s">
        <v>486</v>
      </c>
      <c r="DL173" s="1852" t="s">
        <v>487</v>
      </c>
      <c r="DM173" s="1852" t="s">
        <v>488</v>
      </c>
      <c r="DN173" s="1852" t="s">
        <v>489</v>
      </c>
      <c r="DO173" s="1852" t="s">
        <v>490</v>
      </c>
      <c r="DP173" s="1852" t="s">
        <v>491</v>
      </c>
      <c r="DQ173" s="1852" t="s">
        <v>492</v>
      </c>
      <c r="DR173" s="1852" t="s">
        <v>493</v>
      </c>
      <c r="DS173" s="1852" t="s">
        <v>494</v>
      </c>
      <c r="DT173" s="1852" t="s">
        <v>495</v>
      </c>
      <c r="DU173" s="1852" t="s">
        <v>496</v>
      </c>
      <c r="DV173" s="1852" t="s">
        <v>497</v>
      </c>
      <c r="DW173" s="1852" t="s">
        <v>498</v>
      </c>
      <c r="DX173" s="1852" t="s">
        <v>499</v>
      </c>
      <c r="DY173" s="1852" t="s">
        <v>500</v>
      </c>
      <c r="DZ173" s="1852" t="s">
        <v>501</v>
      </c>
      <c r="EA173" s="1852" t="s">
        <v>502</v>
      </c>
      <c r="EB173" s="1852" t="s">
        <v>503</v>
      </c>
      <c r="EC173" s="1852" t="s">
        <v>504</v>
      </c>
      <c r="ED173" s="1852" t="s">
        <v>505</v>
      </c>
      <c r="EE173" s="1852" t="s">
        <v>506</v>
      </c>
      <c r="EF173" s="1852" t="s">
        <v>507</v>
      </c>
      <c r="EG173" s="1852" t="s">
        <v>508</v>
      </c>
      <c r="EH173" s="1852" t="s">
        <v>509</v>
      </c>
      <c r="EI173" s="1852" t="s">
        <v>510</v>
      </c>
      <c r="EJ173" s="1852" t="s">
        <v>511</v>
      </c>
      <c r="EK173" s="1852" t="s">
        <v>512</v>
      </c>
      <c r="EL173" s="1852" t="s">
        <v>513</v>
      </c>
      <c r="EM173" s="1852" t="s">
        <v>514</v>
      </c>
      <c r="EN173" s="1852" t="s">
        <v>515</v>
      </c>
      <c r="EO173" s="1852" t="s">
        <v>516</v>
      </c>
      <c r="EP173" s="1852" t="s">
        <v>517</v>
      </c>
      <c r="EQ173" s="1852" t="s">
        <v>518</v>
      </c>
      <c r="ER173" s="1852" t="s">
        <v>519</v>
      </c>
      <c r="ES173" s="1852" t="s">
        <v>520</v>
      </c>
      <c r="ET173" s="1852" t="s">
        <v>521</v>
      </c>
      <c r="EU173" s="1852" t="s">
        <v>522</v>
      </c>
      <c r="EV173" s="1852" t="s">
        <v>523</v>
      </c>
      <c r="EW173" s="1852" t="s">
        <v>524</v>
      </c>
      <c r="EX173" s="1852" t="s">
        <v>525</v>
      </c>
      <c r="EY173" s="1852" t="s">
        <v>526</v>
      </c>
      <c r="EZ173" s="1852" t="s">
        <v>527</v>
      </c>
      <c r="FA173" s="1852" t="s">
        <v>528</v>
      </c>
      <c r="FB173" s="1852" t="s">
        <v>529</v>
      </c>
      <c r="FC173" s="1852" t="s">
        <v>530</v>
      </c>
      <c r="FD173" s="1852" t="s">
        <v>531</v>
      </c>
      <c r="FE173" s="1852" t="s">
        <v>532</v>
      </c>
      <c r="FF173" s="1852" t="s">
        <v>533</v>
      </c>
      <c r="FG173" s="1852" t="s">
        <v>534</v>
      </c>
      <c r="FH173" s="1852" t="s">
        <v>535</v>
      </c>
      <c r="FI173" s="1852" t="s">
        <v>536</v>
      </c>
      <c r="FJ173" s="1852" t="s">
        <v>537</v>
      </c>
      <c r="FK173" s="1852" t="s">
        <v>538</v>
      </c>
      <c r="FL173" s="1852" t="s">
        <v>539</v>
      </c>
      <c r="FM173" s="1852" t="s">
        <v>540</v>
      </c>
      <c r="FN173" s="1852" t="s">
        <v>541</v>
      </c>
      <c r="FO173" s="1852" t="s">
        <v>542</v>
      </c>
      <c r="FP173" s="1852" t="s">
        <v>543</v>
      </c>
      <c r="FQ173" s="1852" t="s">
        <v>544</v>
      </c>
      <c r="FR173" s="1852" t="s">
        <v>545</v>
      </c>
      <c r="FS173" s="1852" t="s">
        <v>546</v>
      </c>
      <c r="FT173" s="1852" t="s">
        <v>547</v>
      </c>
      <c r="FU173" s="1852" t="s">
        <v>548</v>
      </c>
      <c r="FV173" s="1852" t="s">
        <v>549</v>
      </c>
      <c r="FW173" s="1852" t="s">
        <v>550</v>
      </c>
      <c r="FX173" s="1852" t="s">
        <v>551</v>
      </c>
      <c r="FY173" s="1852" t="s">
        <v>552</v>
      </c>
      <c r="FZ173" s="1852" t="s">
        <v>553</v>
      </c>
      <c r="GA173" s="1852" t="s">
        <v>554</v>
      </c>
      <c r="GB173" s="1852" t="s">
        <v>555</v>
      </c>
      <c r="GC173" s="1852" t="s">
        <v>556</v>
      </c>
      <c r="GD173" s="1852" t="s">
        <v>557</v>
      </c>
      <c r="GE173" s="1852" t="s">
        <v>558</v>
      </c>
      <c r="GF173" s="1852" t="s">
        <v>559</v>
      </c>
      <c r="GG173" s="1852" t="s">
        <v>560</v>
      </c>
      <c r="GH173" s="1852" t="s">
        <v>561</v>
      </c>
      <c r="GI173" s="1852" t="s">
        <v>562</v>
      </c>
      <c r="GJ173" s="1852" t="s">
        <v>563</v>
      </c>
      <c r="GK173" s="1852" t="s">
        <v>564</v>
      </c>
      <c r="GL173" s="1852" t="s">
        <v>565</v>
      </c>
      <c r="GM173" s="1852" t="s">
        <v>566</v>
      </c>
      <c r="GN173" s="1852" t="s">
        <v>567</v>
      </c>
      <c r="GO173" s="1852" t="s">
        <v>568</v>
      </c>
      <c r="GP173" s="1852" t="s">
        <v>569</v>
      </c>
      <c r="GQ173" s="1852" t="s">
        <v>570</v>
      </c>
      <c r="GR173" s="1852" t="s">
        <v>571</v>
      </c>
      <c r="GS173" s="1852" t="s">
        <v>572</v>
      </c>
      <c r="GT173" s="1852" t="s">
        <v>573</v>
      </c>
      <c r="GU173" s="1852" t="s">
        <v>574</v>
      </c>
      <c r="GV173" s="1852" t="s">
        <v>575</v>
      </c>
      <c r="GW173" s="1852" t="s">
        <v>576</v>
      </c>
      <c r="GX173" s="1852" t="s">
        <v>577</v>
      </c>
      <c r="GY173" s="1852" t="s">
        <v>578</v>
      </c>
      <c r="GZ173" s="1852" t="s">
        <v>579</v>
      </c>
      <c r="HA173" s="1852" t="s">
        <v>580</v>
      </c>
      <c r="HB173" s="1852" t="s">
        <v>581</v>
      </c>
      <c r="HC173" s="1852" t="s">
        <v>582</v>
      </c>
      <c r="HD173" s="1852" t="s">
        <v>583</v>
      </c>
      <c r="HE173" s="1852" t="s">
        <v>584</v>
      </c>
      <c r="HF173" s="1852" t="s">
        <v>585</v>
      </c>
      <c r="HG173" s="1852" t="s">
        <v>586</v>
      </c>
      <c r="HH173" s="1852" t="s">
        <v>587</v>
      </c>
      <c r="HI173" s="1852" t="s">
        <v>588</v>
      </c>
      <c r="HJ173" s="1852" t="s">
        <v>589</v>
      </c>
      <c r="HK173" s="1852" t="s">
        <v>590</v>
      </c>
      <c r="HL173" s="1852" t="s">
        <v>591</v>
      </c>
      <c r="HM173" s="1852" t="s">
        <v>592</v>
      </c>
      <c r="HN173" s="1852" t="s">
        <v>593</v>
      </c>
      <c r="HO173" s="1852" t="s">
        <v>594</v>
      </c>
      <c r="HP173" s="1852" t="s">
        <v>595</v>
      </c>
      <c r="HQ173" s="1852" t="s">
        <v>596</v>
      </c>
      <c r="HR173" s="1852" t="s">
        <v>597</v>
      </c>
      <c r="HS173" s="1852" t="s">
        <v>598</v>
      </c>
      <c r="HT173" s="1852" t="s">
        <v>599</v>
      </c>
      <c r="HU173" s="1852" t="s">
        <v>600</v>
      </c>
      <c r="HV173" s="1852" t="s">
        <v>601</v>
      </c>
      <c r="HW173" s="1852" t="s">
        <v>602</v>
      </c>
      <c r="HX173" s="1852" t="s">
        <v>603</v>
      </c>
      <c r="HY173" s="1852" t="s">
        <v>604</v>
      </c>
      <c r="HZ173" s="1852" t="s">
        <v>605</v>
      </c>
      <c r="IA173" s="1852" t="s">
        <v>606</v>
      </c>
      <c r="IB173" s="1852" t="s">
        <v>607</v>
      </c>
      <c r="IC173" s="1852" t="s">
        <v>608</v>
      </c>
      <c r="ID173" s="1852" t="s">
        <v>609</v>
      </c>
      <c r="IE173" s="1852" t="s">
        <v>610</v>
      </c>
      <c r="IF173" s="1852" t="s">
        <v>611</v>
      </c>
      <c r="IG173" s="1852" t="s">
        <v>612</v>
      </c>
      <c r="IH173" s="1852" t="s">
        <v>613</v>
      </c>
      <c r="II173" s="1852" t="s">
        <v>614</v>
      </c>
      <c r="IJ173" s="1852" t="s">
        <v>615</v>
      </c>
      <c r="IK173" s="1852" t="s">
        <v>616</v>
      </c>
      <c r="IL173" s="1852" t="s">
        <v>617</v>
      </c>
      <c r="IM173" s="1852" t="s">
        <v>618</v>
      </c>
      <c r="IN173" s="1852" t="s">
        <v>619</v>
      </c>
      <c r="IO173" s="1852" t="s">
        <v>620</v>
      </c>
      <c r="IP173" s="1852" t="s">
        <v>621</v>
      </c>
      <c r="IQ173" s="1852" t="s">
        <v>622</v>
      </c>
      <c r="IR173" s="1852" t="s">
        <v>623</v>
      </c>
      <c r="IS173" s="1852" t="s">
        <v>624</v>
      </c>
      <c r="IT173" s="1852" t="s">
        <v>625</v>
      </c>
      <c r="IU173" s="1852" t="s">
        <v>626</v>
      </c>
      <c r="IV173" s="1852" t="s">
        <v>1412</v>
      </c>
      <c r="IW173" s="1852" t="s">
        <v>1413</v>
      </c>
      <c r="IX173" s="1852" t="s">
        <v>1414</v>
      </c>
      <c r="IY173" s="1852" t="s">
        <v>1415</v>
      </c>
      <c r="IZ173" s="1852" t="s">
        <v>1416</v>
      </c>
      <c r="JA173" s="1852" t="s">
        <v>1417</v>
      </c>
      <c r="JB173" s="1852" t="s">
        <v>1418</v>
      </c>
      <c r="JC173" s="1852" t="s">
        <v>1419</v>
      </c>
      <c r="JD173" s="1852" t="s">
        <v>1420</v>
      </c>
      <c r="JE173" s="1852" t="s">
        <v>1421</v>
      </c>
      <c r="JF173" s="1852" t="s">
        <v>1422</v>
      </c>
      <c r="JG173" s="1852" t="s">
        <v>1423</v>
      </c>
      <c r="JH173" s="1852" t="s">
        <v>1424</v>
      </c>
      <c r="JI173" s="1852" t="s">
        <v>1425</v>
      </c>
      <c r="JJ173" s="1852" t="s">
        <v>1426</v>
      </c>
      <c r="JK173" s="1852" t="s">
        <v>1427</v>
      </c>
      <c r="JL173" s="1852" t="s">
        <v>1428</v>
      </c>
      <c r="JM173" s="1852" t="s">
        <v>1429</v>
      </c>
      <c r="JN173" s="1852" t="s">
        <v>1430</v>
      </c>
      <c r="JO173" s="1852" t="s">
        <v>1431</v>
      </c>
      <c r="JP173" s="1852" t="s">
        <v>1432</v>
      </c>
      <c r="JQ173" s="1852" t="s">
        <v>1433</v>
      </c>
      <c r="JR173" s="1852" t="s">
        <v>1434</v>
      </c>
      <c r="JS173" s="1852" t="s">
        <v>1435</v>
      </c>
      <c r="JT173" s="1852" t="s">
        <v>1436</v>
      </c>
      <c r="JU173" s="1852" t="s">
        <v>1437</v>
      </c>
      <c r="JV173" s="1852" t="s">
        <v>1438</v>
      </c>
      <c r="JW173" s="1852" t="s">
        <v>1439</v>
      </c>
      <c r="JX173" s="1852" t="s">
        <v>1440</v>
      </c>
      <c r="JY173" s="1852" t="s">
        <v>1441</v>
      </c>
      <c r="JZ173" s="1852" t="s">
        <v>1442</v>
      </c>
      <c r="KA173" s="1852" t="s">
        <v>1443</v>
      </c>
      <c r="KB173" s="1852" t="s">
        <v>1444</v>
      </c>
      <c r="KC173" s="1852" t="s">
        <v>1445</v>
      </c>
      <c r="KD173" s="1852" t="s">
        <v>1446</v>
      </c>
      <c r="KE173" s="1852" t="s">
        <v>1447</v>
      </c>
      <c r="KF173" s="1852" t="s">
        <v>1448</v>
      </c>
      <c r="KG173" s="1852" t="s">
        <v>1449</v>
      </c>
      <c r="KH173" s="1852" t="s">
        <v>1450</v>
      </c>
      <c r="KI173" s="1852" t="s">
        <v>1451</v>
      </c>
      <c r="KJ173" s="1852" t="s">
        <v>1452</v>
      </c>
      <c r="KK173" s="1852" t="s">
        <v>1453</v>
      </c>
      <c r="KL173" s="1852" t="s">
        <v>1454</v>
      </c>
      <c r="KM173" s="1852" t="s">
        <v>1455</v>
      </c>
      <c r="KN173" s="1852" t="s">
        <v>1456</v>
      </c>
      <c r="KO173" s="1852" t="s">
        <v>1457</v>
      </c>
      <c r="KP173" s="1852" t="s">
        <v>1458</v>
      </c>
      <c r="KQ173" s="1852" t="s">
        <v>1459</v>
      </c>
      <c r="KR173" s="1852" t="s">
        <v>1460</v>
      </c>
      <c r="KS173" s="1852" t="s">
        <v>1461</v>
      </c>
      <c r="KT173" s="1852" t="s">
        <v>1462</v>
      </c>
      <c r="KU173" s="1852" t="s">
        <v>1463</v>
      </c>
      <c r="KV173" s="1852" t="s">
        <v>1464</v>
      </c>
      <c r="KW173" s="1852" t="s">
        <v>1465</v>
      </c>
      <c r="KX173" s="1852" t="s">
        <v>1466</v>
      </c>
      <c r="KY173" s="1852" t="s">
        <v>1467</v>
      </c>
      <c r="KZ173" s="1852" t="s">
        <v>1468</v>
      </c>
      <c r="LA173" s="1852" t="s">
        <v>1469</v>
      </c>
      <c r="LB173" s="1852" t="s">
        <v>1470</v>
      </c>
      <c r="LC173" s="1852" t="s">
        <v>1471</v>
      </c>
      <c r="LD173" s="1852" t="s">
        <v>1472</v>
      </c>
      <c r="LE173" s="1852" t="s">
        <v>1473</v>
      </c>
      <c r="LF173" s="1852" t="s">
        <v>1474</v>
      </c>
      <c r="LG173" s="1852" t="s">
        <v>1475</v>
      </c>
      <c r="LH173" s="1852" t="s">
        <v>1476</v>
      </c>
      <c r="LI173" s="1852" t="s">
        <v>1477</v>
      </c>
      <c r="LJ173" s="1852" t="s">
        <v>1478</v>
      </c>
      <c r="LK173" s="1852" t="s">
        <v>1479</v>
      </c>
      <c r="LL173" s="1852" t="s">
        <v>1480</v>
      </c>
      <c r="LM173" s="1852" t="s">
        <v>1481</v>
      </c>
      <c r="LN173" s="1852" t="s">
        <v>1482</v>
      </c>
      <c r="LO173" s="1852" t="s">
        <v>1483</v>
      </c>
      <c r="LP173" s="1852" t="s">
        <v>1484</v>
      </c>
      <c r="LQ173" s="1852" t="s">
        <v>1485</v>
      </c>
      <c r="LR173" s="1852" t="s">
        <v>1486</v>
      </c>
      <c r="LS173" s="1852" t="s">
        <v>1487</v>
      </c>
      <c r="LT173" s="1852" t="s">
        <v>1488</v>
      </c>
      <c r="LU173" s="1852" t="s">
        <v>1489</v>
      </c>
      <c r="LV173" s="1852" t="s">
        <v>1490</v>
      </c>
      <c r="LW173" s="1852" t="s">
        <v>1491</v>
      </c>
      <c r="LX173" s="1852" t="s">
        <v>1492</v>
      </c>
      <c r="LY173" s="1852" t="s">
        <v>1493</v>
      </c>
      <c r="LZ173" s="1852" t="s">
        <v>1494</v>
      </c>
      <c r="MA173" s="1852" t="s">
        <v>1495</v>
      </c>
      <c r="MB173" s="1852" t="s">
        <v>1496</v>
      </c>
      <c r="MC173" s="1852" t="s">
        <v>1497</v>
      </c>
      <c r="MD173" s="1852" t="s">
        <v>1498</v>
      </c>
      <c r="ME173" s="1852" t="s">
        <v>1499</v>
      </c>
      <c r="MF173" s="1852" t="s">
        <v>1500</v>
      </c>
      <c r="MG173" s="1852" t="s">
        <v>1501</v>
      </c>
      <c r="MH173" s="1852" t="s">
        <v>1502</v>
      </c>
      <c r="MI173" s="1852" t="s">
        <v>1503</v>
      </c>
      <c r="MJ173" s="1852" t="s">
        <v>1504</v>
      </c>
      <c r="MK173" s="1852" t="s">
        <v>1505</v>
      </c>
      <c r="ML173" s="1852" t="s">
        <v>1506</v>
      </c>
      <c r="MM173" s="1852" t="s">
        <v>1507</v>
      </c>
      <c r="MN173" s="1852" t="s">
        <v>1508</v>
      </c>
      <c r="MO173" s="1852" t="s">
        <v>1509</v>
      </c>
      <c r="MP173" s="1852" t="s">
        <v>1510</v>
      </c>
      <c r="MQ173" s="1852" t="s">
        <v>1511</v>
      </c>
      <c r="MR173" s="1852" t="s">
        <v>1512</v>
      </c>
      <c r="MS173" s="1852" t="s">
        <v>1513</v>
      </c>
      <c r="MT173" s="1852" t="s">
        <v>1514</v>
      </c>
      <c r="MU173" s="1852" t="s">
        <v>1515</v>
      </c>
      <c r="MV173" s="1852" t="s">
        <v>1516</v>
      </c>
      <c r="MW173" s="1852" t="s">
        <v>1517</v>
      </c>
      <c r="MX173" s="1852" t="s">
        <v>1518</v>
      </c>
      <c r="MY173" s="1852" t="s">
        <v>1519</v>
      </c>
      <c r="MZ173" s="1852" t="s">
        <v>1520</v>
      </c>
      <c r="NA173" s="1852" t="s">
        <v>1521</v>
      </c>
      <c r="NB173" s="1852" t="s">
        <v>1522</v>
      </c>
      <c r="NC173" s="1852" t="s">
        <v>1523</v>
      </c>
      <c r="ND173" s="1852" t="s">
        <v>1524</v>
      </c>
      <c r="NE173" s="1852" t="s">
        <v>1525</v>
      </c>
      <c r="NF173" s="1852" t="s">
        <v>1526</v>
      </c>
      <c r="NG173" s="1852" t="s">
        <v>1527</v>
      </c>
      <c r="NH173" s="1852" t="s">
        <v>1528</v>
      </c>
      <c r="NI173" s="1852" t="s">
        <v>1529</v>
      </c>
      <c r="NJ173" s="1852" t="s">
        <v>1530</v>
      </c>
      <c r="NK173" s="1852" t="s">
        <v>1531</v>
      </c>
      <c r="NL173" s="1852" t="s">
        <v>1532</v>
      </c>
      <c r="NM173" s="1852" t="s">
        <v>1533</v>
      </c>
      <c r="NN173" s="1852" t="s">
        <v>1534</v>
      </c>
      <c r="NO173" s="1852" t="s">
        <v>1535</v>
      </c>
      <c r="NP173" s="1852" t="s">
        <v>1536</v>
      </c>
      <c r="NQ173" s="1852" t="s">
        <v>1537</v>
      </c>
      <c r="NR173" s="1852" t="s">
        <v>1538</v>
      </c>
      <c r="NS173" s="1852" t="s">
        <v>1539</v>
      </c>
      <c r="NT173" s="1852" t="s">
        <v>1540</v>
      </c>
      <c r="NU173" s="1852" t="s">
        <v>1541</v>
      </c>
      <c r="NV173" s="1852" t="s">
        <v>1542</v>
      </c>
      <c r="NW173" s="1852" t="s">
        <v>1543</v>
      </c>
      <c r="NX173" s="1852" t="s">
        <v>1544</v>
      </c>
      <c r="NY173" s="1852" t="s">
        <v>1545</v>
      </c>
      <c r="NZ173" s="1852" t="s">
        <v>1546</v>
      </c>
      <c r="OA173" s="1852" t="s">
        <v>1547</v>
      </c>
      <c r="OB173" s="1852" t="s">
        <v>1548</v>
      </c>
      <c r="OC173" s="1852" t="s">
        <v>1549</v>
      </c>
      <c r="OD173" s="1852" t="s">
        <v>1550</v>
      </c>
      <c r="OE173" s="1852" t="s">
        <v>1551</v>
      </c>
      <c r="OF173" s="1852" t="s">
        <v>1552</v>
      </c>
      <c r="OG173" s="1852" t="s">
        <v>1553</v>
      </c>
      <c r="OH173" s="1852" t="s">
        <v>1554</v>
      </c>
      <c r="OI173" s="1852" t="s">
        <v>1555</v>
      </c>
      <c r="OJ173" s="1852" t="s">
        <v>1556</v>
      </c>
      <c r="OK173" s="1852" t="s">
        <v>1557</v>
      </c>
      <c r="OL173" s="1852" t="s">
        <v>1558</v>
      </c>
      <c r="OM173" s="1852" t="s">
        <v>1559</v>
      </c>
      <c r="ON173" s="1852" t="s">
        <v>1560</v>
      </c>
      <c r="OO173" s="1852" t="s">
        <v>1561</v>
      </c>
      <c r="OP173" s="1852" t="s">
        <v>1562</v>
      </c>
      <c r="OQ173" s="1852" t="s">
        <v>1563</v>
      </c>
      <c r="OR173" s="1852" t="s">
        <v>1564</v>
      </c>
      <c r="OS173" s="1852" t="s">
        <v>1565</v>
      </c>
      <c r="OT173" s="1852" t="s">
        <v>1566</v>
      </c>
      <c r="OU173" s="1852" t="s">
        <v>1567</v>
      </c>
      <c r="OV173" s="1852" t="s">
        <v>1568</v>
      </c>
      <c r="OW173" s="1852" t="s">
        <v>1569</v>
      </c>
      <c r="OX173" s="1852" t="s">
        <v>1570</v>
      </c>
      <c r="OY173" s="1852" t="s">
        <v>1571</v>
      </c>
      <c r="OZ173" s="1852" t="s">
        <v>1572</v>
      </c>
      <c r="PA173" s="1852" t="s">
        <v>1573</v>
      </c>
      <c r="PB173" s="1852" t="s">
        <v>1574</v>
      </c>
      <c r="PC173" s="1852" t="s">
        <v>1575</v>
      </c>
      <c r="PD173" s="1852" t="s">
        <v>1576</v>
      </c>
      <c r="PE173" s="1852" t="s">
        <v>1577</v>
      </c>
      <c r="PF173" s="1852" t="s">
        <v>1578</v>
      </c>
      <c r="PG173" s="1852" t="s">
        <v>1579</v>
      </c>
      <c r="PH173" s="1852" t="s">
        <v>1580</v>
      </c>
      <c r="PI173" s="1852" t="s">
        <v>1581</v>
      </c>
      <c r="PJ173" s="1852" t="s">
        <v>1582</v>
      </c>
      <c r="PK173" s="1852" t="s">
        <v>1583</v>
      </c>
      <c r="PL173" s="1852" t="s">
        <v>1584</v>
      </c>
      <c r="PM173" s="1852" t="s">
        <v>1585</v>
      </c>
      <c r="PN173" s="1852" t="s">
        <v>1586</v>
      </c>
      <c r="PO173" s="1852" t="s">
        <v>1587</v>
      </c>
      <c r="PP173" s="1852" t="s">
        <v>1588</v>
      </c>
      <c r="PQ173" s="1852" t="s">
        <v>1589</v>
      </c>
      <c r="PR173" s="1852" t="s">
        <v>1590</v>
      </c>
      <c r="PS173" s="1852" t="s">
        <v>1591</v>
      </c>
      <c r="PT173" s="1852" t="s">
        <v>1592</v>
      </c>
      <c r="PU173" s="1852" t="s">
        <v>1593</v>
      </c>
      <c r="PV173" s="1852" t="s">
        <v>1594</v>
      </c>
      <c r="PW173" s="1852" t="s">
        <v>1595</v>
      </c>
      <c r="PX173" s="1852" t="s">
        <v>1596</v>
      </c>
      <c r="PY173" s="1852" t="s">
        <v>1597</v>
      </c>
      <c r="PZ173" s="1852" t="s">
        <v>1598</v>
      </c>
      <c r="QA173" s="1852" t="s">
        <v>1599</v>
      </c>
      <c r="QB173" s="1852" t="s">
        <v>1600</v>
      </c>
      <c r="QC173" s="1852" t="s">
        <v>1601</v>
      </c>
      <c r="QD173" s="1852" t="s">
        <v>1602</v>
      </c>
      <c r="QE173" s="1852" t="s">
        <v>1603</v>
      </c>
      <c r="QF173" s="1852" t="s">
        <v>1604</v>
      </c>
      <c r="QG173" s="1852" t="s">
        <v>1605</v>
      </c>
      <c r="QH173" s="1852" t="s">
        <v>1606</v>
      </c>
      <c r="QI173" s="1852" t="s">
        <v>1607</v>
      </c>
      <c r="QJ173" s="1852" t="s">
        <v>1608</v>
      </c>
      <c r="QK173" s="1852" t="s">
        <v>1609</v>
      </c>
      <c r="QL173" s="1852" t="s">
        <v>1610</v>
      </c>
      <c r="QM173" s="1852" t="s">
        <v>1611</v>
      </c>
      <c r="QN173" s="1852" t="s">
        <v>1612</v>
      </c>
      <c r="QO173" s="1852" t="s">
        <v>1613</v>
      </c>
      <c r="QP173" s="1852" t="s">
        <v>1614</v>
      </c>
      <c r="QQ173" s="1852" t="s">
        <v>1615</v>
      </c>
      <c r="QR173" s="1852" t="s">
        <v>1616</v>
      </c>
      <c r="QS173" s="1852" t="s">
        <v>1617</v>
      </c>
      <c r="QT173" s="1852" t="s">
        <v>1618</v>
      </c>
      <c r="QU173" s="1852" t="s">
        <v>1619</v>
      </c>
      <c r="QV173" s="1852" t="s">
        <v>1620</v>
      </c>
      <c r="QW173" s="1852" t="s">
        <v>1621</v>
      </c>
      <c r="QX173" s="1852" t="s">
        <v>1622</v>
      </c>
      <c r="QY173" s="1852" t="s">
        <v>1623</v>
      </c>
      <c r="QZ173" s="1852" t="s">
        <v>1624</v>
      </c>
      <c r="RA173" s="1852" t="s">
        <v>1625</v>
      </c>
      <c r="RB173" s="1852" t="s">
        <v>1626</v>
      </c>
      <c r="RC173" s="1852" t="s">
        <v>1627</v>
      </c>
      <c r="RD173" s="1852" t="s">
        <v>1628</v>
      </c>
      <c r="RE173" s="1852" t="s">
        <v>1629</v>
      </c>
      <c r="RF173" s="1852" t="s">
        <v>1630</v>
      </c>
      <c r="RG173" s="1852" t="s">
        <v>1631</v>
      </c>
      <c r="RH173" s="1852" t="s">
        <v>1632</v>
      </c>
      <c r="RI173" s="1852" t="s">
        <v>1633</v>
      </c>
      <c r="RJ173" s="1852" t="s">
        <v>1634</v>
      </c>
      <c r="RK173" s="1852" t="s">
        <v>1635</v>
      </c>
      <c r="RL173" s="1852" t="s">
        <v>1636</v>
      </c>
      <c r="RM173" s="1852" t="s">
        <v>1637</v>
      </c>
      <c r="RN173" s="1852" t="s">
        <v>1638</v>
      </c>
      <c r="RO173" s="1852" t="s">
        <v>1639</v>
      </c>
      <c r="RP173" s="1852" t="s">
        <v>1640</v>
      </c>
      <c r="RQ173" s="1852" t="s">
        <v>1641</v>
      </c>
      <c r="RR173" s="1852" t="s">
        <v>1642</v>
      </c>
      <c r="RS173" s="1852" t="s">
        <v>1643</v>
      </c>
      <c r="RT173" s="1852" t="s">
        <v>1644</v>
      </c>
      <c r="RU173" s="1852" t="s">
        <v>1645</v>
      </c>
      <c r="RV173" s="1852" t="s">
        <v>1646</v>
      </c>
      <c r="RW173" s="1852" t="s">
        <v>1647</v>
      </c>
      <c r="RX173" s="1852" t="s">
        <v>1648</v>
      </c>
      <c r="RY173" s="1852" t="s">
        <v>1649</v>
      </c>
      <c r="RZ173" s="1852" t="s">
        <v>1650</v>
      </c>
      <c r="SA173" s="1852" t="s">
        <v>1651</v>
      </c>
      <c r="SB173" s="1852" t="s">
        <v>1652</v>
      </c>
      <c r="SC173" s="1852" t="s">
        <v>1653</v>
      </c>
      <c r="SD173" s="1852" t="s">
        <v>1654</v>
      </c>
      <c r="SE173" s="1852" t="s">
        <v>1655</v>
      </c>
      <c r="SF173" s="1852" t="s">
        <v>1656</v>
      </c>
      <c r="SG173" s="1852" t="s">
        <v>1657</v>
      </c>
      <c r="SH173" s="1852" t="s">
        <v>1658</v>
      </c>
      <c r="SI173" s="1852" t="s">
        <v>1659</v>
      </c>
      <c r="SJ173" s="1852" t="s">
        <v>1660</v>
      </c>
      <c r="SK173" s="1852" t="s">
        <v>1661</v>
      </c>
      <c r="SL173" s="1852" t="s">
        <v>1662</v>
      </c>
      <c r="SM173" s="1852" t="s">
        <v>1663</v>
      </c>
      <c r="SN173" s="1852" t="s">
        <v>1664</v>
      </c>
      <c r="SO173" s="1852" t="s">
        <v>1665</v>
      </c>
      <c r="SP173" s="1852" t="s">
        <v>1666</v>
      </c>
      <c r="SQ173" s="1852" t="s">
        <v>1667</v>
      </c>
      <c r="SR173" s="1852" t="s">
        <v>1668</v>
      </c>
      <c r="SS173" s="1852" t="s">
        <v>1669</v>
      </c>
      <c r="ST173" s="1852" t="s">
        <v>1670</v>
      </c>
      <c r="SU173" s="1852" t="s">
        <v>1671</v>
      </c>
      <c r="SV173" s="1852" t="s">
        <v>1672</v>
      </c>
      <c r="SW173" s="1852" t="s">
        <v>1673</v>
      </c>
      <c r="SX173" s="1852" t="s">
        <v>1674</v>
      </c>
      <c r="SY173" s="1852" t="s">
        <v>1675</v>
      </c>
      <c r="SZ173" s="1852" t="s">
        <v>1676</v>
      </c>
      <c r="TA173" s="1852" t="s">
        <v>1677</v>
      </c>
      <c r="TB173" s="1852" t="s">
        <v>1678</v>
      </c>
      <c r="TC173" s="1852" t="s">
        <v>1679</v>
      </c>
      <c r="TD173" s="1852" t="s">
        <v>1680</v>
      </c>
      <c r="TE173" s="1852" t="s">
        <v>1681</v>
      </c>
      <c r="TF173" s="1852" t="s">
        <v>1682</v>
      </c>
      <c r="TG173" s="1852" t="s">
        <v>1683</v>
      </c>
      <c r="TH173" s="1852" t="s">
        <v>1684</v>
      </c>
      <c r="TI173" s="1852" t="s">
        <v>1685</v>
      </c>
      <c r="TJ173" s="1852" t="s">
        <v>1686</v>
      </c>
      <c r="TK173" s="1852" t="s">
        <v>1687</v>
      </c>
      <c r="TL173" s="1852" t="s">
        <v>1688</v>
      </c>
      <c r="TM173" s="1852" t="s">
        <v>1689</v>
      </c>
      <c r="TN173" s="1852" t="s">
        <v>1690</v>
      </c>
      <c r="TO173" s="1852" t="s">
        <v>1691</v>
      </c>
      <c r="TP173" s="1852" t="s">
        <v>1692</v>
      </c>
      <c r="TQ173" s="1852" t="s">
        <v>1693</v>
      </c>
      <c r="TR173" s="1852" t="s">
        <v>1694</v>
      </c>
      <c r="TS173" s="1852" t="s">
        <v>1695</v>
      </c>
      <c r="TT173" s="1852" t="s">
        <v>1696</v>
      </c>
      <c r="TU173" s="1852" t="s">
        <v>1697</v>
      </c>
      <c r="TV173" s="1852" t="s">
        <v>1698</v>
      </c>
      <c r="TW173" s="1852" t="s">
        <v>1699</v>
      </c>
      <c r="TX173" s="1852" t="s">
        <v>1700</v>
      </c>
      <c r="TY173" s="1852" t="s">
        <v>1701</v>
      </c>
      <c r="TZ173" s="1852" t="s">
        <v>1702</v>
      </c>
      <c r="UA173" s="1852" t="s">
        <v>1703</v>
      </c>
      <c r="UB173" s="1852" t="s">
        <v>1704</v>
      </c>
      <c r="UC173" s="1852" t="s">
        <v>1705</v>
      </c>
      <c r="UD173" s="1852" t="s">
        <v>1706</v>
      </c>
      <c r="UE173" s="1852" t="s">
        <v>1707</v>
      </c>
      <c r="UF173" s="1852" t="s">
        <v>1708</v>
      </c>
      <c r="UG173" s="1852" t="s">
        <v>1709</v>
      </c>
      <c r="UH173" s="1852" t="s">
        <v>1710</v>
      </c>
      <c r="UI173" s="1852" t="s">
        <v>1711</v>
      </c>
      <c r="UJ173" s="1852" t="s">
        <v>1712</v>
      </c>
      <c r="UK173" s="1852" t="s">
        <v>1713</v>
      </c>
      <c r="UL173" s="1852" t="s">
        <v>1714</v>
      </c>
      <c r="UM173" s="1852" t="s">
        <v>1715</v>
      </c>
      <c r="UN173" s="1852" t="s">
        <v>1716</v>
      </c>
      <c r="UO173" s="1852" t="s">
        <v>1717</v>
      </c>
      <c r="UP173" s="1852" t="s">
        <v>1718</v>
      </c>
      <c r="UQ173" s="1852" t="s">
        <v>1719</v>
      </c>
      <c r="UR173" s="1852" t="s">
        <v>1720</v>
      </c>
      <c r="US173" s="1852" t="s">
        <v>1721</v>
      </c>
      <c r="UT173" s="1852" t="s">
        <v>1722</v>
      </c>
      <c r="UU173" s="1852" t="s">
        <v>1723</v>
      </c>
      <c r="UV173" s="1852" t="s">
        <v>1724</v>
      </c>
      <c r="UW173" s="1852" t="s">
        <v>1725</v>
      </c>
      <c r="UX173" s="1852" t="s">
        <v>1726</v>
      </c>
      <c r="UY173" s="1852" t="s">
        <v>1727</v>
      </c>
      <c r="UZ173" s="1852" t="s">
        <v>1728</v>
      </c>
      <c r="VA173" s="1852" t="s">
        <v>1729</v>
      </c>
      <c r="VB173" s="1852" t="s">
        <v>1730</v>
      </c>
      <c r="VC173" s="1852" t="s">
        <v>1731</v>
      </c>
      <c r="VD173" s="1852" t="s">
        <v>1732</v>
      </c>
      <c r="VE173" s="1852" t="s">
        <v>1733</v>
      </c>
      <c r="VF173" s="1852" t="s">
        <v>1734</v>
      </c>
      <c r="VG173" s="1852" t="s">
        <v>1735</v>
      </c>
      <c r="VH173" s="1852" t="s">
        <v>1736</v>
      </c>
      <c r="VI173" s="1852" t="s">
        <v>1737</v>
      </c>
      <c r="VJ173" s="1852" t="s">
        <v>1738</v>
      </c>
      <c r="VK173" s="1852" t="s">
        <v>1739</v>
      </c>
      <c r="VL173" s="1852" t="s">
        <v>1740</v>
      </c>
      <c r="VM173" s="1852" t="s">
        <v>1741</v>
      </c>
      <c r="VN173" s="1852" t="s">
        <v>1742</v>
      </c>
      <c r="VO173" s="1852" t="s">
        <v>1743</v>
      </c>
      <c r="VP173" s="1852" t="s">
        <v>1744</v>
      </c>
      <c r="VQ173" s="1852" t="s">
        <v>1745</v>
      </c>
      <c r="VR173" s="1852" t="s">
        <v>1746</v>
      </c>
      <c r="VS173" s="1852" t="s">
        <v>1747</v>
      </c>
      <c r="VT173" s="1852" t="s">
        <v>1748</v>
      </c>
      <c r="VU173" s="1852" t="s">
        <v>1749</v>
      </c>
      <c r="VV173" s="1852" t="s">
        <v>1750</v>
      </c>
      <c r="VW173" s="1852" t="s">
        <v>1751</v>
      </c>
      <c r="VX173" s="1852" t="s">
        <v>1752</v>
      </c>
      <c r="VY173" s="1852" t="s">
        <v>1753</v>
      </c>
      <c r="VZ173" s="1852" t="s">
        <v>1754</v>
      </c>
      <c r="WA173" s="1852" t="s">
        <v>1755</v>
      </c>
      <c r="WB173" s="1852" t="s">
        <v>1756</v>
      </c>
      <c r="WC173" s="1852" t="s">
        <v>1757</v>
      </c>
      <c r="WD173" s="1852" t="s">
        <v>1758</v>
      </c>
      <c r="WE173" s="1852" t="s">
        <v>1759</v>
      </c>
      <c r="WF173" s="1852" t="s">
        <v>1760</v>
      </c>
      <c r="WG173" s="1852" t="s">
        <v>1761</v>
      </c>
      <c r="WH173" s="1852" t="s">
        <v>1762</v>
      </c>
      <c r="WI173" s="1852" t="s">
        <v>1763</v>
      </c>
      <c r="WJ173" s="1852" t="s">
        <v>1764</v>
      </c>
      <c r="WK173" s="1852" t="s">
        <v>1765</v>
      </c>
      <c r="WL173" s="1852" t="s">
        <v>1766</v>
      </c>
      <c r="WM173" s="1852" t="s">
        <v>1767</v>
      </c>
      <c r="WN173" s="1852" t="s">
        <v>1768</v>
      </c>
      <c r="WO173" s="1852" t="s">
        <v>1769</v>
      </c>
      <c r="WP173" s="1852" t="s">
        <v>1770</v>
      </c>
      <c r="WQ173" s="1852" t="s">
        <v>1771</v>
      </c>
      <c r="WR173" s="1852" t="s">
        <v>1772</v>
      </c>
      <c r="WS173" s="1852" t="s">
        <v>1773</v>
      </c>
      <c r="WT173" s="1852" t="s">
        <v>1774</v>
      </c>
      <c r="WU173" s="1852" t="s">
        <v>1775</v>
      </c>
      <c r="WV173" s="1852" t="s">
        <v>1776</v>
      </c>
      <c r="WW173" s="1852" t="s">
        <v>1777</v>
      </c>
      <c r="WX173" s="1852" t="s">
        <v>1778</v>
      </c>
      <c r="WY173" s="1852" t="s">
        <v>1779</v>
      </c>
      <c r="WZ173" s="1852" t="s">
        <v>1780</v>
      </c>
      <c r="XA173" s="1852" t="s">
        <v>1781</v>
      </c>
      <c r="XB173" s="1852" t="s">
        <v>1782</v>
      </c>
      <c r="XC173" s="1852" t="s">
        <v>1783</v>
      </c>
      <c r="XD173" s="1852" t="s">
        <v>1784</v>
      </c>
      <c r="XE173" s="1852" t="s">
        <v>1785</v>
      </c>
      <c r="XF173" s="1852" t="s">
        <v>1786</v>
      </c>
      <c r="XG173" s="1852" t="s">
        <v>1787</v>
      </c>
      <c r="XH173" s="1852" t="s">
        <v>1788</v>
      </c>
      <c r="XI173" s="1852" t="s">
        <v>1789</v>
      </c>
      <c r="XJ173" s="1852" t="s">
        <v>1790</v>
      </c>
      <c r="XK173" s="1852" t="s">
        <v>1791</v>
      </c>
      <c r="XL173" s="1852" t="s">
        <v>1792</v>
      </c>
      <c r="XM173" s="1852" t="s">
        <v>1793</v>
      </c>
      <c r="XN173" s="1852" t="s">
        <v>1794</v>
      </c>
      <c r="XO173" s="1852" t="s">
        <v>1795</v>
      </c>
      <c r="XP173" s="1852" t="s">
        <v>1796</v>
      </c>
      <c r="XQ173" s="1852" t="s">
        <v>1797</v>
      </c>
      <c r="XR173" s="1852" t="s">
        <v>1798</v>
      </c>
      <c r="XS173" s="1852" t="s">
        <v>1799</v>
      </c>
      <c r="XT173" s="1852" t="s">
        <v>1800</v>
      </c>
      <c r="XU173" s="1852" t="s">
        <v>1801</v>
      </c>
      <c r="XV173" s="1852" t="s">
        <v>1802</v>
      </c>
      <c r="XW173" s="1852" t="s">
        <v>1803</v>
      </c>
      <c r="XX173" s="1852" t="s">
        <v>1804</v>
      </c>
      <c r="XY173" s="1852" t="s">
        <v>1805</v>
      </c>
      <c r="XZ173" s="1852" t="s">
        <v>1806</v>
      </c>
      <c r="YA173" s="1852" t="s">
        <v>1807</v>
      </c>
      <c r="YB173" s="1852" t="s">
        <v>1808</v>
      </c>
      <c r="YC173" s="1852" t="s">
        <v>1809</v>
      </c>
      <c r="YD173" s="1852" t="s">
        <v>1810</v>
      </c>
      <c r="YE173" s="1852" t="s">
        <v>1811</v>
      </c>
      <c r="YF173" s="1852" t="s">
        <v>1812</v>
      </c>
      <c r="YG173" s="1852" t="s">
        <v>1813</v>
      </c>
      <c r="YH173" s="1852" t="s">
        <v>1814</v>
      </c>
      <c r="YI173" s="1852" t="s">
        <v>1815</v>
      </c>
      <c r="YJ173" s="1852" t="s">
        <v>1816</v>
      </c>
      <c r="YK173" s="1852" t="s">
        <v>1817</v>
      </c>
      <c r="YL173" s="1852" t="s">
        <v>1818</v>
      </c>
      <c r="YM173" s="1852" t="s">
        <v>1819</v>
      </c>
      <c r="YN173" s="1852" t="s">
        <v>1820</v>
      </c>
      <c r="YO173" s="1852" t="s">
        <v>1821</v>
      </c>
      <c r="YP173" s="1852" t="s">
        <v>1822</v>
      </c>
      <c r="YQ173" s="1852" t="s">
        <v>1823</v>
      </c>
      <c r="YR173" s="1852" t="s">
        <v>1824</v>
      </c>
      <c r="YS173" s="1852" t="s">
        <v>1825</v>
      </c>
      <c r="YT173" s="1852" t="s">
        <v>1826</v>
      </c>
      <c r="YU173" s="1852" t="s">
        <v>1827</v>
      </c>
      <c r="YV173" s="1852" t="s">
        <v>1828</v>
      </c>
      <c r="YW173" s="1852" t="s">
        <v>1829</v>
      </c>
      <c r="YX173" s="1852" t="s">
        <v>1830</v>
      </c>
      <c r="YY173" s="1852" t="s">
        <v>1831</v>
      </c>
      <c r="YZ173" s="1852" t="s">
        <v>1832</v>
      </c>
      <c r="ZA173" s="1852" t="s">
        <v>1833</v>
      </c>
      <c r="ZB173" s="1852" t="s">
        <v>1834</v>
      </c>
      <c r="ZC173" s="1852" t="s">
        <v>1835</v>
      </c>
      <c r="ZD173" s="1852" t="s">
        <v>1836</v>
      </c>
      <c r="ZE173" s="1852" t="s">
        <v>1837</v>
      </c>
      <c r="ZF173" s="1852" t="s">
        <v>1838</v>
      </c>
      <c r="ZG173" s="1852" t="s">
        <v>1839</v>
      </c>
      <c r="ZH173" s="1852" t="s">
        <v>1840</v>
      </c>
      <c r="ZI173" s="1852" t="s">
        <v>1841</v>
      </c>
      <c r="ZJ173" s="1852" t="s">
        <v>1842</v>
      </c>
      <c r="ZK173" s="1852" t="s">
        <v>1843</v>
      </c>
      <c r="ZL173" s="1852" t="s">
        <v>1844</v>
      </c>
      <c r="ZM173" s="1852" t="s">
        <v>1845</v>
      </c>
      <c r="ZN173" s="1852" t="s">
        <v>1846</v>
      </c>
      <c r="ZO173" s="1852" t="s">
        <v>1847</v>
      </c>
      <c r="ZP173" s="1852" t="s">
        <v>1848</v>
      </c>
      <c r="ZQ173" s="1852" t="s">
        <v>1849</v>
      </c>
      <c r="ZR173" s="1852" t="s">
        <v>1850</v>
      </c>
      <c r="ZS173" s="1852" t="s">
        <v>1851</v>
      </c>
      <c r="ZT173" s="1852" t="s">
        <v>1852</v>
      </c>
      <c r="ZU173" s="1852" t="s">
        <v>1853</v>
      </c>
      <c r="ZV173" s="1852" t="s">
        <v>1854</v>
      </c>
      <c r="ZW173" s="1852" t="s">
        <v>1855</v>
      </c>
      <c r="ZX173" s="1852" t="s">
        <v>1856</v>
      </c>
      <c r="ZY173" s="1852" t="s">
        <v>1857</v>
      </c>
      <c r="ZZ173" s="1852" t="s">
        <v>1858</v>
      </c>
      <c r="AAA173" s="1852" t="s">
        <v>1859</v>
      </c>
      <c r="AAB173" s="1852" t="s">
        <v>1860</v>
      </c>
      <c r="AAC173" s="1852" t="s">
        <v>1861</v>
      </c>
      <c r="AAD173" s="1852" t="s">
        <v>1862</v>
      </c>
      <c r="AAE173" s="1852" t="s">
        <v>1863</v>
      </c>
      <c r="AAF173" s="1852" t="s">
        <v>1864</v>
      </c>
      <c r="AAG173" s="1852" t="s">
        <v>1865</v>
      </c>
      <c r="AAH173" s="1852" t="s">
        <v>1866</v>
      </c>
      <c r="AAI173" s="1852" t="s">
        <v>1867</v>
      </c>
      <c r="AAJ173" s="1852" t="s">
        <v>1868</v>
      </c>
      <c r="AAK173" s="1852" t="s">
        <v>1869</v>
      </c>
      <c r="AAL173" s="1852" t="s">
        <v>1870</v>
      </c>
      <c r="AAM173" s="1852" t="s">
        <v>1871</v>
      </c>
      <c r="AAN173" s="1852" t="s">
        <v>1872</v>
      </c>
      <c r="AAO173" s="1852" t="s">
        <v>1873</v>
      </c>
      <c r="AAP173" s="1852" t="s">
        <v>1874</v>
      </c>
      <c r="AAQ173" s="1852" t="s">
        <v>1875</v>
      </c>
      <c r="AAR173" s="1852" t="s">
        <v>1876</v>
      </c>
      <c r="AAS173" s="1852" t="s">
        <v>1877</v>
      </c>
      <c r="AAT173" s="1852" t="s">
        <v>1878</v>
      </c>
      <c r="AAU173" s="1852" t="s">
        <v>1879</v>
      </c>
      <c r="AAV173" s="1852" t="s">
        <v>1880</v>
      </c>
      <c r="AAW173" s="1852" t="s">
        <v>1881</v>
      </c>
      <c r="AAX173" s="1852" t="s">
        <v>1882</v>
      </c>
      <c r="AAY173" s="1852" t="s">
        <v>1883</v>
      </c>
      <c r="AAZ173" s="1852" t="s">
        <v>1884</v>
      </c>
      <c r="ABA173" s="1852" t="s">
        <v>1885</v>
      </c>
      <c r="ABB173" s="1852" t="s">
        <v>1886</v>
      </c>
      <c r="ABC173" s="1852" t="s">
        <v>1887</v>
      </c>
      <c r="ABD173" s="1852" t="s">
        <v>1888</v>
      </c>
      <c r="ABE173" s="1852" t="s">
        <v>1889</v>
      </c>
      <c r="ABF173" s="1852" t="s">
        <v>1890</v>
      </c>
      <c r="ABG173" s="1852" t="s">
        <v>1891</v>
      </c>
      <c r="ABH173" s="1852" t="s">
        <v>1892</v>
      </c>
      <c r="ABI173" s="1852" t="s">
        <v>1893</v>
      </c>
      <c r="ABJ173" s="1852" t="s">
        <v>1894</v>
      </c>
      <c r="ABK173" s="1852" t="s">
        <v>1895</v>
      </c>
      <c r="ABL173" s="1852" t="s">
        <v>1896</v>
      </c>
      <c r="ABM173" s="1852" t="s">
        <v>1897</v>
      </c>
      <c r="ABN173" s="1852" t="s">
        <v>1898</v>
      </c>
      <c r="ABO173" s="1852" t="s">
        <v>1899</v>
      </c>
      <c r="ABP173" s="1852" t="s">
        <v>1900</v>
      </c>
      <c r="ABQ173" s="1852" t="s">
        <v>1901</v>
      </c>
      <c r="ABR173" s="1852" t="s">
        <v>1902</v>
      </c>
      <c r="ABS173" s="1852" t="s">
        <v>1903</v>
      </c>
      <c r="ABT173" s="1852" t="s">
        <v>1904</v>
      </c>
      <c r="ABU173" s="1852" t="s">
        <v>1905</v>
      </c>
      <c r="ABV173" s="1852" t="s">
        <v>1906</v>
      </c>
      <c r="ABW173" s="1852" t="s">
        <v>1907</v>
      </c>
      <c r="ABX173" s="1852" t="s">
        <v>1908</v>
      </c>
      <c r="ABY173" s="1852" t="s">
        <v>1909</v>
      </c>
      <c r="ABZ173" s="1852" t="s">
        <v>1910</v>
      </c>
      <c r="ACA173" s="1852" t="s">
        <v>1911</v>
      </c>
      <c r="ACB173" s="1852" t="s">
        <v>1912</v>
      </c>
      <c r="ACC173" s="1852" t="s">
        <v>1913</v>
      </c>
      <c r="ACD173" s="1852" t="s">
        <v>1914</v>
      </c>
      <c r="ACE173" s="1852" t="s">
        <v>1915</v>
      </c>
      <c r="ACF173" s="1852" t="s">
        <v>1916</v>
      </c>
      <c r="ACG173" s="1852" t="s">
        <v>1917</v>
      </c>
      <c r="ACH173" s="1852" t="s">
        <v>1918</v>
      </c>
      <c r="ACI173" s="1852" t="s">
        <v>1919</v>
      </c>
      <c r="ACJ173" s="1852" t="s">
        <v>1920</v>
      </c>
      <c r="ACK173" s="1852" t="s">
        <v>1921</v>
      </c>
      <c r="ACL173" s="1852" t="s">
        <v>1922</v>
      </c>
      <c r="ACM173" s="1852" t="s">
        <v>1923</v>
      </c>
      <c r="ACN173" s="1852" t="s">
        <v>1924</v>
      </c>
      <c r="ACO173" s="1852" t="s">
        <v>1925</v>
      </c>
      <c r="ACP173" s="1852" t="s">
        <v>1926</v>
      </c>
      <c r="ACQ173" s="1852" t="s">
        <v>1927</v>
      </c>
      <c r="ACR173" s="1852" t="s">
        <v>1928</v>
      </c>
      <c r="ACS173" s="1852" t="s">
        <v>1929</v>
      </c>
      <c r="ACT173" s="1852" t="s">
        <v>1930</v>
      </c>
      <c r="ACU173" s="1852" t="s">
        <v>1931</v>
      </c>
      <c r="ACV173" s="1852" t="s">
        <v>1932</v>
      </c>
      <c r="ACW173" s="1852" t="s">
        <v>1933</v>
      </c>
      <c r="ACX173" s="1852" t="s">
        <v>1934</v>
      </c>
      <c r="ACY173" s="1852" t="s">
        <v>1935</v>
      </c>
      <c r="ACZ173" s="1852" t="s">
        <v>1936</v>
      </c>
      <c r="ADA173" s="1852" t="s">
        <v>1937</v>
      </c>
      <c r="ADB173" s="1852" t="s">
        <v>1938</v>
      </c>
      <c r="ADC173" s="1852" t="s">
        <v>1939</v>
      </c>
      <c r="ADD173" s="1852" t="s">
        <v>1940</v>
      </c>
      <c r="ADE173" s="1852" t="s">
        <v>1941</v>
      </c>
      <c r="ADF173" s="1852" t="s">
        <v>1942</v>
      </c>
      <c r="ADG173" s="1852" t="s">
        <v>1943</v>
      </c>
      <c r="ADH173" s="1852" t="s">
        <v>1944</v>
      </c>
      <c r="ADI173" s="1852" t="s">
        <v>1945</v>
      </c>
      <c r="ADJ173" s="1852" t="s">
        <v>1946</v>
      </c>
      <c r="ADK173" s="1852" t="s">
        <v>1947</v>
      </c>
      <c r="ADL173" s="1852" t="s">
        <v>1948</v>
      </c>
      <c r="ADM173" s="1852" t="s">
        <v>1949</v>
      </c>
      <c r="ADN173" s="1852" t="s">
        <v>1950</v>
      </c>
      <c r="ADO173" s="1852" t="s">
        <v>1951</v>
      </c>
      <c r="ADP173" s="1852" t="s">
        <v>1952</v>
      </c>
      <c r="ADQ173" s="1852" t="s">
        <v>1953</v>
      </c>
      <c r="ADR173" s="1852" t="s">
        <v>1954</v>
      </c>
      <c r="ADS173" s="1852" t="s">
        <v>1955</v>
      </c>
      <c r="ADT173" s="1852" t="s">
        <v>1956</v>
      </c>
      <c r="ADU173" s="1852" t="s">
        <v>1957</v>
      </c>
      <c r="ADV173" s="1852" t="s">
        <v>1958</v>
      </c>
      <c r="ADW173" s="1852" t="s">
        <v>1959</v>
      </c>
      <c r="ADX173" s="1852" t="s">
        <v>1960</v>
      </c>
      <c r="ADY173" s="1852" t="s">
        <v>1961</v>
      </c>
      <c r="ADZ173" s="1852" t="s">
        <v>1962</v>
      </c>
      <c r="AEA173" s="1852" t="s">
        <v>1963</v>
      </c>
      <c r="AEB173" s="1852" t="s">
        <v>1964</v>
      </c>
      <c r="AEC173" s="1852" t="s">
        <v>1965</v>
      </c>
      <c r="AED173" s="1852" t="s">
        <v>1966</v>
      </c>
      <c r="AEE173" s="1852" t="s">
        <v>1967</v>
      </c>
      <c r="AEF173" s="1852" t="s">
        <v>1968</v>
      </c>
      <c r="AEG173" s="1852" t="s">
        <v>1969</v>
      </c>
      <c r="AEH173" s="1852" t="s">
        <v>1970</v>
      </c>
      <c r="AEI173" s="1852" t="s">
        <v>1971</v>
      </c>
      <c r="AEJ173" s="1852" t="s">
        <v>1972</v>
      </c>
      <c r="AEK173" s="1852" t="s">
        <v>1973</v>
      </c>
      <c r="AEL173" s="1852" t="s">
        <v>1974</v>
      </c>
      <c r="AEM173" s="1852" t="s">
        <v>1975</v>
      </c>
      <c r="AEN173" s="1852" t="s">
        <v>1976</v>
      </c>
      <c r="AEO173" s="1852" t="s">
        <v>1977</v>
      </c>
      <c r="AEP173" s="1852" t="s">
        <v>1978</v>
      </c>
      <c r="AEQ173" s="1852" t="s">
        <v>1979</v>
      </c>
      <c r="AER173" s="1852" t="s">
        <v>1980</v>
      </c>
      <c r="AES173" s="1852" t="s">
        <v>1981</v>
      </c>
      <c r="AET173" s="1852" t="s">
        <v>1982</v>
      </c>
      <c r="AEU173" s="1852" t="s">
        <v>1983</v>
      </c>
      <c r="AEV173" s="1852" t="s">
        <v>1984</v>
      </c>
      <c r="AEW173" s="1852" t="s">
        <v>1985</v>
      </c>
      <c r="AEX173" s="1852" t="s">
        <v>1986</v>
      </c>
      <c r="AEY173" s="1852" t="s">
        <v>1987</v>
      </c>
      <c r="AEZ173" s="1852" t="s">
        <v>1988</v>
      </c>
      <c r="AFA173" s="1852" t="s">
        <v>1989</v>
      </c>
      <c r="AFB173" s="1852" t="s">
        <v>1990</v>
      </c>
      <c r="AFC173" s="1852" t="s">
        <v>1991</v>
      </c>
      <c r="AFD173" s="1852" t="s">
        <v>1992</v>
      </c>
      <c r="AFE173" s="1852" t="s">
        <v>1993</v>
      </c>
      <c r="AFF173" s="1852" t="s">
        <v>1994</v>
      </c>
      <c r="AFG173" s="1852" t="s">
        <v>1995</v>
      </c>
      <c r="AFH173" s="1852" t="s">
        <v>1996</v>
      </c>
      <c r="AFI173" s="1852" t="s">
        <v>1997</v>
      </c>
      <c r="AFJ173" s="1852" t="s">
        <v>1998</v>
      </c>
      <c r="AFK173" s="1852" t="s">
        <v>1999</v>
      </c>
      <c r="AFL173" s="1852" t="s">
        <v>2000</v>
      </c>
      <c r="AFM173" s="1852" t="s">
        <v>2001</v>
      </c>
      <c r="AFN173" s="1852" t="s">
        <v>2002</v>
      </c>
      <c r="AFO173" s="1852" t="s">
        <v>2003</v>
      </c>
      <c r="AFP173" s="1852" t="s">
        <v>2004</v>
      </c>
      <c r="AFQ173" s="1852" t="s">
        <v>2005</v>
      </c>
      <c r="AFR173" s="1852" t="s">
        <v>2006</v>
      </c>
      <c r="AFS173" s="1852" t="s">
        <v>2007</v>
      </c>
      <c r="AFT173" s="1852" t="s">
        <v>2008</v>
      </c>
      <c r="AFU173" s="1852" t="s">
        <v>2009</v>
      </c>
      <c r="AFV173" s="1852" t="s">
        <v>2010</v>
      </c>
      <c r="AFW173" s="1852" t="s">
        <v>2011</v>
      </c>
      <c r="AFX173" s="1852" t="s">
        <v>2012</v>
      </c>
      <c r="AFY173" s="1852" t="s">
        <v>2013</v>
      </c>
      <c r="AFZ173" s="1852" t="s">
        <v>2014</v>
      </c>
      <c r="AGA173" s="1852" t="s">
        <v>2015</v>
      </c>
      <c r="AGB173" s="1852" t="s">
        <v>2016</v>
      </c>
      <c r="AGC173" s="1852" t="s">
        <v>2017</v>
      </c>
      <c r="AGD173" s="1852" t="s">
        <v>2018</v>
      </c>
      <c r="AGE173" s="1852" t="s">
        <v>2019</v>
      </c>
      <c r="AGF173" s="1852" t="s">
        <v>2020</v>
      </c>
      <c r="AGG173" s="1852" t="s">
        <v>2021</v>
      </c>
      <c r="AGH173" s="1852" t="s">
        <v>2022</v>
      </c>
      <c r="AGI173" s="1852" t="s">
        <v>2023</v>
      </c>
      <c r="AGJ173" s="1852" t="s">
        <v>2024</v>
      </c>
      <c r="AGK173" s="1852" t="s">
        <v>2025</v>
      </c>
      <c r="AGL173" s="1852" t="s">
        <v>2026</v>
      </c>
      <c r="AGM173" s="1852" t="s">
        <v>2027</v>
      </c>
      <c r="AGN173" s="1852" t="s">
        <v>2028</v>
      </c>
      <c r="AGO173" s="1852" t="s">
        <v>2029</v>
      </c>
      <c r="AGP173" s="1852" t="s">
        <v>2030</v>
      </c>
      <c r="AGQ173" s="1852" t="s">
        <v>2031</v>
      </c>
      <c r="AGR173" s="1852" t="s">
        <v>2032</v>
      </c>
      <c r="AGS173" s="1852" t="s">
        <v>2033</v>
      </c>
      <c r="AGT173" s="1852" t="s">
        <v>2034</v>
      </c>
      <c r="AGU173" s="1852" t="s">
        <v>2035</v>
      </c>
      <c r="AGV173" s="1852" t="s">
        <v>2036</v>
      </c>
      <c r="AGW173" s="1852" t="s">
        <v>2037</v>
      </c>
      <c r="AGX173" s="1852" t="s">
        <v>2038</v>
      </c>
      <c r="AGY173" s="1852" t="s">
        <v>2039</v>
      </c>
      <c r="AGZ173" s="1852" t="s">
        <v>2040</v>
      </c>
      <c r="AHA173" s="1852" t="s">
        <v>2041</v>
      </c>
      <c r="AHB173" s="1852" t="s">
        <v>2042</v>
      </c>
      <c r="AHC173" s="1852" t="s">
        <v>2043</v>
      </c>
      <c r="AHD173" s="1852" t="s">
        <v>2044</v>
      </c>
      <c r="AHE173" s="1852" t="s">
        <v>2045</v>
      </c>
      <c r="AHF173" s="1852" t="s">
        <v>2046</v>
      </c>
      <c r="AHG173" s="1852" t="s">
        <v>2047</v>
      </c>
      <c r="AHH173" s="1852" t="s">
        <v>2048</v>
      </c>
      <c r="AHI173" s="1852" t="s">
        <v>2049</v>
      </c>
      <c r="AHJ173" s="1852" t="s">
        <v>2050</v>
      </c>
      <c r="AHK173" s="1852" t="s">
        <v>2051</v>
      </c>
      <c r="AHL173" s="1852" t="s">
        <v>2052</v>
      </c>
      <c r="AHM173" s="1852" t="s">
        <v>2053</v>
      </c>
      <c r="AHN173" s="1852" t="s">
        <v>2054</v>
      </c>
      <c r="AHO173" s="1852" t="s">
        <v>2055</v>
      </c>
      <c r="AHP173" s="1852" t="s">
        <v>2056</v>
      </c>
      <c r="AHQ173" s="1852" t="s">
        <v>2057</v>
      </c>
      <c r="AHR173" s="1852" t="s">
        <v>2058</v>
      </c>
      <c r="AHS173" s="1852" t="s">
        <v>2059</v>
      </c>
      <c r="AHT173" s="1852" t="s">
        <v>2060</v>
      </c>
      <c r="AHU173" s="1852" t="s">
        <v>2061</v>
      </c>
      <c r="AHV173" s="1852" t="s">
        <v>2062</v>
      </c>
      <c r="AHW173" s="1852" t="s">
        <v>2063</v>
      </c>
      <c r="AHX173" s="1852" t="s">
        <v>2064</v>
      </c>
      <c r="AHY173" s="1852" t="s">
        <v>2065</v>
      </c>
      <c r="AHZ173" s="1852" t="s">
        <v>2066</v>
      </c>
      <c r="AIA173" s="1852" t="s">
        <v>2067</v>
      </c>
      <c r="AIB173" s="1852" t="s">
        <v>2068</v>
      </c>
      <c r="AIC173" s="1852" t="s">
        <v>2069</v>
      </c>
      <c r="AID173" s="1852" t="s">
        <v>2070</v>
      </c>
      <c r="AIE173" s="1852" t="s">
        <v>2071</v>
      </c>
      <c r="AIF173" s="1852" t="s">
        <v>2072</v>
      </c>
      <c r="AIG173" s="1852" t="s">
        <v>2073</v>
      </c>
      <c r="AIH173" s="1852" t="s">
        <v>2074</v>
      </c>
      <c r="AII173" s="1852" t="s">
        <v>2075</v>
      </c>
      <c r="AIJ173" s="1852" t="s">
        <v>2076</v>
      </c>
      <c r="AIK173" s="1852" t="s">
        <v>2077</v>
      </c>
      <c r="AIL173" s="1852" t="s">
        <v>2078</v>
      </c>
      <c r="AIM173" s="1852" t="s">
        <v>2079</v>
      </c>
      <c r="AIN173" s="1852" t="s">
        <v>2080</v>
      </c>
      <c r="AIO173" s="1852" t="s">
        <v>2081</v>
      </c>
      <c r="AIP173" s="1852" t="s">
        <v>2082</v>
      </c>
      <c r="AIQ173" s="1852" t="s">
        <v>2083</v>
      </c>
      <c r="AIR173" s="1852" t="s">
        <v>2084</v>
      </c>
      <c r="AIS173" s="1852" t="s">
        <v>2085</v>
      </c>
      <c r="AIT173" s="1852" t="s">
        <v>2086</v>
      </c>
      <c r="AIU173" s="1852" t="s">
        <v>2087</v>
      </c>
      <c r="AIV173" s="1852" t="s">
        <v>2088</v>
      </c>
      <c r="AIW173" s="1852" t="s">
        <v>2089</v>
      </c>
      <c r="AIX173" s="1852" t="s">
        <v>2090</v>
      </c>
      <c r="AIY173" s="1852" t="s">
        <v>2091</v>
      </c>
      <c r="AIZ173" s="1852" t="s">
        <v>2092</v>
      </c>
      <c r="AJA173" s="1852" t="s">
        <v>2093</v>
      </c>
      <c r="AJB173" s="1852" t="s">
        <v>2094</v>
      </c>
      <c r="AJC173" s="1852" t="s">
        <v>2095</v>
      </c>
      <c r="AJD173" s="1852" t="s">
        <v>2096</v>
      </c>
      <c r="AJE173" s="1852" t="s">
        <v>2097</v>
      </c>
      <c r="AJF173" s="1852" t="s">
        <v>2098</v>
      </c>
      <c r="AJG173" s="1852" t="s">
        <v>2099</v>
      </c>
      <c r="AJH173" s="1852" t="s">
        <v>2100</v>
      </c>
      <c r="AJI173" s="1852" t="s">
        <v>2101</v>
      </c>
      <c r="AJJ173" s="1852" t="s">
        <v>2102</v>
      </c>
      <c r="AJK173" s="1852" t="s">
        <v>2103</v>
      </c>
      <c r="AJL173" s="1852" t="s">
        <v>2104</v>
      </c>
      <c r="AJM173" s="1852" t="s">
        <v>2105</v>
      </c>
      <c r="AJN173" s="1852" t="s">
        <v>2106</v>
      </c>
      <c r="AJO173" s="1852" t="s">
        <v>2107</v>
      </c>
      <c r="AJP173" s="1852" t="s">
        <v>2108</v>
      </c>
      <c r="AJQ173" s="1852" t="s">
        <v>2109</v>
      </c>
      <c r="AJR173" s="1852" t="s">
        <v>2110</v>
      </c>
      <c r="AJS173" s="1852" t="s">
        <v>2111</v>
      </c>
      <c r="AJT173" s="1852" t="s">
        <v>2112</v>
      </c>
      <c r="AJU173" s="1852" t="s">
        <v>2113</v>
      </c>
      <c r="AJV173" s="1852" t="s">
        <v>2114</v>
      </c>
      <c r="AJW173" s="1852" t="s">
        <v>2115</v>
      </c>
      <c r="AJX173" s="1852" t="s">
        <v>2116</v>
      </c>
      <c r="AJY173" s="1852" t="s">
        <v>2117</v>
      </c>
      <c r="AJZ173" s="1852" t="s">
        <v>2118</v>
      </c>
      <c r="AKA173" s="1852" t="s">
        <v>2119</v>
      </c>
      <c r="AKB173" s="1852" t="s">
        <v>2120</v>
      </c>
      <c r="AKC173" s="1852" t="s">
        <v>2121</v>
      </c>
      <c r="AKD173" s="1852" t="s">
        <v>2122</v>
      </c>
      <c r="AKE173" s="1852" t="s">
        <v>2123</v>
      </c>
      <c r="AKF173" s="1852" t="s">
        <v>2124</v>
      </c>
      <c r="AKG173" s="1852" t="s">
        <v>2125</v>
      </c>
      <c r="AKH173" s="1852" t="s">
        <v>2126</v>
      </c>
      <c r="AKI173" s="1852" t="s">
        <v>2127</v>
      </c>
      <c r="AKJ173" s="1852" t="s">
        <v>2128</v>
      </c>
      <c r="AKK173" s="1852" t="s">
        <v>2129</v>
      </c>
      <c r="AKL173" s="1852" t="s">
        <v>2130</v>
      </c>
      <c r="AKM173" s="1852" t="s">
        <v>2131</v>
      </c>
      <c r="AKN173" s="1852" t="s">
        <v>2132</v>
      </c>
      <c r="AKO173" s="1852" t="s">
        <v>2133</v>
      </c>
      <c r="AKP173" s="1852" t="s">
        <v>2134</v>
      </c>
      <c r="AKQ173" s="1852" t="s">
        <v>2135</v>
      </c>
      <c r="AKR173" s="1852" t="s">
        <v>2136</v>
      </c>
      <c r="AKS173" s="1852" t="s">
        <v>2137</v>
      </c>
      <c r="AKT173" s="1852" t="s">
        <v>2138</v>
      </c>
      <c r="AKU173" s="1852" t="s">
        <v>2139</v>
      </c>
      <c r="AKV173" s="1852" t="s">
        <v>2140</v>
      </c>
      <c r="AKW173" s="1852" t="s">
        <v>2141</v>
      </c>
      <c r="AKX173" s="1852" t="s">
        <v>2142</v>
      </c>
      <c r="AKY173" s="1852" t="s">
        <v>2143</v>
      </c>
      <c r="AKZ173" s="1852" t="s">
        <v>2144</v>
      </c>
      <c r="ALA173" s="1852" t="s">
        <v>2145</v>
      </c>
      <c r="ALB173" s="1852" t="s">
        <v>2146</v>
      </c>
      <c r="ALC173" s="1852" t="s">
        <v>2147</v>
      </c>
      <c r="ALD173" s="1852" t="s">
        <v>2148</v>
      </c>
      <c r="ALE173" s="1852" t="s">
        <v>2149</v>
      </c>
      <c r="ALF173" s="1852" t="s">
        <v>2150</v>
      </c>
      <c r="ALG173" s="1852" t="s">
        <v>2151</v>
      </c>
      <c r="ALH173" s="1852" t="s">
        <v>2152</v>
      </c>
      <c r="ALI173" s="1852" t="s">
        <v>2153</v>
      </c>
      <c r="ALJ173" s="1852" t="s">
        <v>2154</v>
      </c>
      <c r="ALK173" s="1852" t="s">
        <v>2155</v>
      </c>
      <c r="ALL173" s="1852" t="s">
        <v>2156</v>
      </c>
      <c r="ALM173" s="1852" t="s">
        <v>2157</v>
      </c>
      <c r="ALN173" s="1852" t="s">
        <v>2158</v>
      </c>
      <c r="ALO173" s="1852" t="s">
        <v>2159</v>
      </c>
      <c r="ALP173" s="1852" t="s">
        <v>2160</v>
      </c>
      <c r="ALQ173" s="1852" t="s">
        <v>2161</v>
      </c>
      <c r="ALR173" s="1852" t="s">
        <v>2162</v>
      </c>
      <c r="ALS173" s="1852" t="s">
        <v>2163</v>
      </c>
      <c r="ALT173" s="1852" t="s">
        <v>2164</v>
      </c>
      <c r="ALU173" s="1852" t="s">
        <v>2165</v>
      </c>
      <c r="ALV173" s="1852" t="s">
        <v>2166</v>
      </c>
      <c r="ALW173" s="1852" t="s">
        <v>2167</v>
      </c>
      <c r="ALX173" s="1852" t="s">
        <v>2168</v>
      </c>
      <c r="ALY173" s="1852" t="s">
        <v>2169</v>
      </c>
      <c r="ALZ173" s="1852" t="s">
        <v>2170</v>
      </c>
      <c r="AMA173" s="1852" t="s">
        <v>2171</v>
      </c>
      <c r="AMB173" s="1852" t="s">
        <v>2172</v>
      </c>
      <c r="AMC173" s="1852" t="s">
        <v>2173</v>
      </c>
      <c r="AMD173" s="1852" t="s">
        <v>2174</v>
      </c>
      <c r="AME173" s="1852" t="s">
        <v>2175</v>
      </c>
      <c r="AMF173" s="1852" t="s">
        <v>2176</v>
      </c>
      <c r="AMG173" s="1852" t="s">
        <v>2177</v>
      </c>
      <c r="AMH173" s="1852" t="s">
        <v>2178</v>
      </c>
      <c r="AMI173" s="1852" t="s">
        <v>2179</v>
      </c>
      <c r="AMJ173" s="1852" t="s">
        <v>2180</v>
      </c>
      <c r="AMK173" s="1852" t="s">
        <v>2181</v>
      </c>
      <c r="AML173" s="1852" t="s">
        <v>2182</v>
      </c>
      <c r="AMM173" s="1852" t="s">
        <v>2183</v>
      </c>
      <c r="AMN173" s="1852" t="s">
        <v>2184</v>
      </c>
      <c r="AMO173" s="1852" t="s">
        <v>2185</v>
      </c>
      <c r="AMP173" s="1852" t="s">
        <v>2186</v>
      </c>
      <c r="AMQ173" s="1852" t="s">
        <v>2187</v>
      </c>
      <c r="AMR173" s="1852" t="s">
        <v>2188</v>
      </c>
      <c r="AMS173" s="1852" t="s">
        <v>2189</v>
      </c>
      <c r="AMT173" s="1852" t="s">
        <v>2190</v>
      </c>
      <c r="AMU173" s="1852" t="s">
        <v>2191</v>
      </c>
      <c r="AMV173" s="1852" t="s">
        <v>2192</v>
      </c>
      <c r="AMW173" s="1852" t="s">
        <v>2193</v>
      </c>
      <c r="AMX173" s="1852" t="s">
        <v>2194</v>
      </c>
      <c r="AMY173" s="1852" t="s">
        <v>2195</v>
      </c>
      <c r="AMZ173" s="1852" t="s">
        <v>2196</v>
      </c>
      <c r="ANA173" s="1852" t="s">
        <v>2197</v>
      </c>
      <c r="ANB173" s="1852" t="s">
        <v>2198</v>
      </c>
      <c r="ANC173" s="1852" t="s">
        <v>2199</v>
      </c>
      <c r="AND173" s="1852" t="s">
        <v>2200</v>
      </c>
      <c r="ANE173" s="1852" t="s">
        <v>2201</v>
      </c>
      <c r="ANF173" s="1852" t="s">
        <v>2202</v>
      </c>
      <c r="ANG173" s="1852" t="s">
        <v>2203</v>
      </c>
      <c r="ANH173" s="1852" t="s">
        <v>2204</v>
      </c>
      <c r="ANI173" s="1852" t="s">
        <v>2205</v>
      </c>
      <c r="ANJ173" s="1852" t="s">
        <v>2206</v>
      </c>
      <c r="ANK173" s="1852" t="s">
        <v>2207</v>
      </c>
      <c r="ANL173" s="1852" t="s">
        <v>2208</v>
      </c>
      <c r="ANM173" s="1852" t="s">
        <v>2209</v>
      </c>
      <c r="ANN173" s="1852" t="s">
        <v>2210</v>
      </c>
      <c r="ANO173" s="1852" t="s">
        <v>2211</v>
      </c>
      <c r="ANP173" s="1852" t="s">
        <v>2212</v>
      </c>
      <c r="ANQ173" s="1852" t="s">
        <v>2213</v>
      </c>
      <c r="ANR173" s="1852" t="s">
        <v>2214</v>
      </c>
      <c r="ANS173" s="1852" t="s">
        <v>2215</v>
      </c>
      <c r="ANT173" s="1852" t="s">
        <v>2216</v>
      </c>
      <c r="ANU173" s="1852" t="s">
        <v>2217</v>
      </c>
      <c r="ANV173" s="1852" t="s">
        <v>2218</v>
      </c>
      <c r="ANW173" s="1852" t="s">
        <v>2219</v>
      </c>
      <c r="ANX173" s="1852" t="s">
        <v>2220</v>
      </c>
      <c r="ANY173" s="1852" t="s">
        <v>2221</v>
      </c>
      <c r="ANZ173" s="1852" t="s">
        <v>2222</v>
      </c>
      <c r="AOA173" s="1852" t="s">
        <v>2223</v>
      </c>
      <c r="AOB173" s="1852" t="s">
        <v>2224</v>
      </c>
      <c r="AOC173" s="1852" t="s">
        <v>2225</v>
      </c>
      <c r="AOD173" s="1852" t="s">
        <v>2226</v>
      </c>
      <c r="AOE173" s="1852" t="s">
        <v>2227</v>
      </c>
      <c r="AOF173" s="1852" t="s">
        <v>2228</v>
      </c>
      <c r="AOG173" s="1852" t="s">
        <v>2229</v>
      </c>
      <c r="AOH173" s="1852" t="s">
        <v>2230</v>
      </c>
      <c r="AOI173" s="1852" t="s">
        <v>2231</v>
      </c>
      <c r="AOJ173" s="1852" t="s">
        <v>2232</v>
      </c>
      <c r="AOK173" s="1852" t="s">
        <v>2233</v>
      </c>
      <c r="AOL173" s="1852" t="s">
        <v>2234</v>
      </c>
      <c r="AOM173" s="1852" t="s">
        <v>2235</v>
      </c>
      <c r="AON173" s="1852" t="s">
        <v>2236</v>
      </c>
      <c r="AOO173" s="1852" t="s">
        <v>2237</v>
      </c>
      <c r="AOP173" s="1852" t="s">
        <v>2238</v>
      </c>
      <c r="AOQ173" s="1852" t="s">
        <v>2239</v>
      </c>
      <c r="AOR173" s="1852" t="s">
        <v>2240</v>
      </c>
      <c r="AOS173" s="1852" t="s">
        <v>2241</v>
      </c>
      <c r="AOT173" s="1852" t="s">
        <v>2242</v>
      </c>
      <c r="AOU173" s="1852" t="s">
        <v>2243</v>
      </c>
      <c r="AOV173" s="1852" t="s">
        <v>2244</v>
      </c>
      <c r="AOW173" s="1852" t="s">
        <v>2245</v>
      </c>
      <c r="AOX173" s="1852" t="s">
        <v>2246</v>
      </c>
      <c r="AOY173" s="1852" t="s">
        <v>2247</v>
      </c>
      <c r="AOZ173" s="1852" t="s">
        <v>2248</v>
      </c>
      <c r="APA173" s="1852" t="s">
        <v>2249</v>
      </c>
      <c r="APB173" s="1852" t="s">
        <v>2250</v>
      </c>
      <c r="APC173" s="1852" t="s">
        <v>2251</v>
      </c>
      <c r="APD173" s="1852" t="s">
        <v>2252</v>
      </c>
      <c r="APE173" s="1852" t="s">
        <v>2253</v>
      </c>
      <c r="APF173" s="1852" t="s">
        <v>2254</v>
      </c>
      <c r="APG173" s="1852" t="s">
        <v>2255</v>
      </c>
      <c r="APH173" s="1852" t="s">
        <v>2256</v>
      </c>
      <c r="API173" s="1852" t="s">
        <v>2257</v>
      </c>
      <c r="APJ173" s="1852" t="s">
        <v>2258</v>
      </c>
      <c r="APK173" s="1852" t="s">
        <v>2259</v>
      </c>
      <c r="APL173" s="1852" t="s">
        <v>2260</v>
      </c>
      <c r="APM173" s="1852" t="s">
        <v>2261</v>
      </c>
      <c r="APN173" s="1852" t="s">
        <v>2262</v>
      </c>
      <c r="APO173" s="1852" t="s">
        <v>2263</v>
      </c>
      <c r="APP173" s="1852" t="s">
        <v>2264</v>
      </c>
      <c r="APQ173" s="1852" t="s">
        <v>2265</v>
      </c>
      <c r="APR173" s="1852" t="s">
        <v>2266</v>
      </c>
      <c r="APS173" s="1852" t="s">
        <v>2267</v>
      </c>
      <c r="APT173" s="1852" t="s">
        <v>2268</v>
      </c>
      <c r="APU173" s="1852" t="s">
        <v>2269</v>
      </c>
      <c r="APV173" s="1852" t="s">
        <v>2270</v>
      </c>
      <c r="APW173" s="1852" t="s">
        <v>2271</v>
      </c>
      <c r="APX173" s="1852" t="s">
        <v>2272</v>
      </c>
      <c r="APY173" s="1852" t="s">
        <v>2273</v>
      </c>
      <c r="APZ173" s="1852" t="s">
        <v>2274</v>
      </c>
      <c r="AQA173" s="1852" t="s">
        <v>2275</v>
      </c>
      <c r="AQB173" s="1852" t="s">
        <v>2276</v>
      </c>
      <c r="AQC173" s="1852" t="s">
        <v>2277</v>
      </c>
      <c r="AQD173" s="1852" t="s">
        <v>2278</v>
      </c>
      <c r="AQE173" s="1852" t="s">
        <v>2279</v>
      </c>
      <c r="AQF173" s="1852" t="s">
        <v>2280</v>
      </c>
      <c r="AQG173" s="1852" t="s">
        <v>2281</v>
      </c>
      <c r="AQH173" s="1852" t="s">
        <v>2282</v>
      </c>
      <c r="AQI173" s="1852" t="s">
        <v>2283</v>
      </c>
      <c r="AQJ173" s="1852" t="s">
        <v>2284</v>
      </c>
      <c r="AQK173" s="1852" t="s">
        <v>2285</v>
      </c>
      <c r="AQL173" s="1852" t="s">
        <v>2286</v>
      </c>
      <c r="AQM173" s="1852" t="s">
        <v>2287</v>
      </c>
      <c r="AQN173" s="1852" t="s">
        <v>2288</v>
      </c>
      <c r="AQO173" s="1852" t="s">
        <v>2289</v>
      </c>
      <c r="AQP173" s="1852" t="s">
        <v>2290</v>
      </c>
      <c r="AQQ173" s="1852" t="s">
        <v>2291</v>
      </c>
      <c r="AQR173" s="1852" t="s">
        <v>2292</v>
      </c>
      <c r="AQS173" s="1852" t="s">
        <v>2293</v>
      </c>
      <c r="AQT173" s="1852" t="s">
        <v>2294</v>
      </c>
      <c r="AQU173" s="1852" t="s">
        <v>2295</v>
      </c>
      <c r="AQV173" s="1852" t="s">
        <v>2296</v>
      </c>
      <c r="AQW173" s="1852" t="s">
        <v>2297</v>
      </c>
      <c r="AQX173" s="1852" t="s">
        <v>2298</v>
      </c>
      <c r="AQY173" s="1852" t="s">
        <v>2299</v>
      </c>
      <c r="AQZ173" s="1852" t="s">
        <v>2300</v>
      </c>
      <c r="ARA173" s="1852" t="s">
        <v>2301</v>
      </c>
      <c r="ARB173" s="1852" t="s">
        <v>2302</v>
      </c>
      <c r="ARC173" s="1852" t="s">
        <v>2303</v>
      </c>
      <c r="ARD173" s="1852" t="s">
        <v>2304</v>
      </c>
      <c r="ARE173" s="1852" t="s">
        <v>2305</v>
      </c>
      <c r="ARF173" s="1852" t="s">
        <v>2306</v>
      </c>
      <c r="ARG173" s="1852" t="s">
        <v>2307</v>
      </c>
      <c r="ARH173" s="1852" t="s">
        <v>2308</v>
      </c>
      <c r="ARI173" s="1852" t="s">
        <v>2309</v>
      </c>
      <c r="ARJ173" s="1852" t="s">
        <v>2310</v>
      </c>
      <c r="ARK173" s="1852" t="s">
        <v>2311</v>
      </c>
      <c r="ARL173" s="1852" t="s">
        <v>2312</v>
      </c>
      <c r="ARM173" s="1852" t="s">
        <v>2313</v>
      </c>
      <c r="ARN173" s="1852" t="s">
        <v>2314</v>
      </c>
      <c r="ARO173" s="1852" t="s">
        <v>2315</v>
      </c>
      <c r="ARP173" s="1852" t="s">
        <v>2316</v>
      </c>
      <c r="ARQ173" s="1852" t="s">
        <v>2317</v>
      </c>
      <c r="ARR173" s="1852" t="s">
        <v>2318</v>
      </c>
      <c r="ARS173" s="1852" t="s">
        <v>2319</v>
      </c>
      <c r="ART173" s="1852" t="s">
        <v>2320</v>
      </c>
      <c r="ARU173" s="1852" t="s">
        <v>2321</v>
      </c>
      <c r="ARV173" s="1852" t="s">
        <v>2322</v>
      </c>
      <c r="ARW173" s="1852" t="s">
        <v>2323</v>
      </c>
      <c r="ARX173" s="1852" t="s">
        <v>2324</v>
      </c>
      <c r="ARY173" s="1852" t="s">
        <v>2325</v>
      </c>
      <c r="ARZ173" s="1852" t="s">
        <v>2326</v>
      </c>
      <c r="ASA173" s="1852" t="s">
        <v>2327</v>
      </c>
      <c r="ASB173" s="1852" t="s">
        <v>2328</v>
      </c>
      <c r="ASC173" s="1852" t="s">
        <v>2329</v>
      </c>
      <c r="ASD173" s="1852" t="s">
        <v>2330</v>
      </c>
      <c r="ASE173" s="1852" t="s">
        <v>2331</v>
      </c>
      <c r="ASF173" s="1852" t="s">
        <v>2332</v>
      </c>
      <c r="ASG173" s="1852" t="s">
        <v>2333</v>
      </c>
      <c r="ASH173" s="1852" t="s">
        <v>2334</v>
      </c>
      <c r="ASI173" s="1852" t="s">
        <v>2335</v>
      </c>
      <c r="ASJ173" s="1852" t="s">
        <v>2336</v>
      </c>
      <c r="ASK173" s="1852" t="s">
        <v>2337</v>
      </c>
      <c r="ASL173" s="1852" t="s">
        <v>2338</v>
      </c>
      <c r="ASM173" s="1852" t="s">
        <v>2339</v>
      </c>
      <c r="ASN173" s="1852" t="s">
        <v>2340</v>
      </c>
      <c r="ASO173" s="1852" t="s">
        <v>2341</v>
      </c>
      <c r="ASP173" s="1852" t="s">
        <v>2342</v>
      </c>
      <c r="ASQ173" s="1852" t="s">
        <v>2343</v>
      </c>
      <c r="ASR173" s="1852" t="s">
        <v>2344</v>
      </c>
      <c r="ASS173" s="1852" t="s">
        <v>2345</v>
      </c>
      <c r="AST173" s="1852" t="s">
        <v>2346</v>
      </c>
      <c r="ASU173" s="1852" t="s">
        <v>2347</v>
      </c>
      <c r="ASV173" s="1852" t="s">
        <v>2348</v>
      </c>
      <c r="ASW173" s="1852" t="s">
        <v>2349</v>
      </c>
      <c r="ASX173" s="1852" t="s">
        <v>2350</v>
      </c>
      <c r="ASY173" s="1852" t="s">
        <v>2351</v>
      </c>
      <c r="ASZ173" s="1852" t="s">
        <v>2352</v>
      </c>
      <c r="ATA173" s="1852" t="s">
        <v>2353</v>
      </c>
      <c r="ATB173" s="1852" t="s">
        <v>2354</v>
      </c>
      <c r="ATC173" s="1852" t="s">
        <v>2355</v>
      </c>
      <c r="ATD173" s="1852" t="s">
        <v>2356</v>
      </c>
      <c r="ATE173" s="1852" t="s">
        <v>2357</v>
      </c>
      <c r="ATF173" s="1852" t="s">
        <v>2358</v>
      </c>
      <c r="ATG173" s="1852" t="s">
        <v>2359</v>
      </c>
      <c r="ATH173" s="1852" t="s">
        <v>2360</v>
      </c>
      <c r="ATI173" s="1852" t="s">
        <v>2361</v>
      </c>
      <c r="ATJ173" s="1852" t="s">
        <v>2362</v>
      </c>
      <c r="ATK173" s="1852" t="s">
        <v>2363</v>
      </c>
      <c r="ATL173" s="1852" t="s">
        <v>2364</v>
      </c>
      <c r="ATM173" s="1852" t="s">
        <v>2365</v>
      </c>
      <c r="ATN173" s="1852" t="s">
        <v>2366</v>
      </c>
      <c r="ATO173" s="1852" t="s">
        <v>2367</v>
      </c>
      <c r="ATP173" s="1852" t="s">
        <v>2368</v>
      </c>
      <c r="ATQ173" s="1852" t="s">
        <v>2369</v>
      </c>
      <c r="ATR173" s="1852" t="s">
        <v>2370</v>
      </c>
      <c r="ATS173" s="1852" t="s">
        <v>2371</v>
      </c>
      <c r="ATT173" s="1852" t="s">
        <v>2372</v>
      </c>
      <c r="ATU173" s="1852" t="s">
        <v>2373</v>
      </c>
      <c r="ATV173" s="1852" t="s">
        <v>2374</v>
      </c>
      <c r="ATW173" s="1852" t="s">
        <v>2375</v>
      </c>
      <c r="ATX173" s="1852" t="s">
        <v>2376</v>
      </c>
      <c r="ATY173" s="1852" t="s">
        <v>2377</v>
      </c>
      <c r="ATZ173" s="1852" t="s">
        <v>2378</v>
      </c>
      <c r="AUA173" s="1852" t="s">
        <v>2379</v>
      </c>
      <c r="AUB173" s="1852" t="s">
        <v>2380</v>
      </c>
      <c r="AUC173" s="1852" t="s">
        <v>2381</v>
      </c>
      <c r="AUD173" s="1852" t="s">
        <v>2382</v>
      </c>
      <c r="AUE173" s="1852" t="s">
        <v>2383</v>
      </c>
      <c r="AUF173" s="1852" t="s">
        <v>2384</v>
      </c>
      <c r="AUG173" s="1852" t="s">
        <v>2385</v>
      </c>
      <c r="AUH173" s="1852" t="s">
        <v>2386</v>
      </c>
      <c r="AUI173" s="1852" t="s">
        <v>2387</v>
      </c>
      <c r="AUJ173" s="1852" t="s">
        <v>2388</v>
      </c>
      <c r="AUK173" s="1852" t="s">
        <v>2389</v>
      </c>
      <c r="AUL173" s="1852" t="s">
        <v>2390</v>
      </c>
      <c r="AUM173" s="1852" t="s">
        <v>2391</v>
      </c>
      <c r="AUN173" s="1852" t="s">
        <v>2392</v>
      </c>
      <c r="AUO173" s="1852" t="s">
        <v>2393</v>
      </c>
      <c r="AUP173" s="1852" t="s">
        <v>2394</v>
      </c>
      <c r="AUQ173" s="1852" t="s">
        <v>2395</v>
      </c>
      <c r="AUR173" s="1852" t="s">
        <v>2396</v>
      </c>
      <c r="AUS173" s="1852" t="s">
        <v>2397</v>
      </c>
      <c r="AUT173" s="1852" t="s">
        <v>2398</v>
      </c>
      <c r="AUU173" s="1852" t="s">
        <v>2399</v>
      </c>
      <c r="AUV173" s="1852" t="s">
        <v>2400</v>
      </c>
      <c r="AUW173" s="1852" t="s">
        <v>2401</v>
      </c>
      <c r="AUX173" s="1852" t="s">
        <v>2402</v>
      </c>
      <c r="AUY173" s="1852" t="s">
        <v>2403</v>
      </c>
      <c r="AUZ173" s="1852" t="s">
        <v>2404</v>
      </c>
      <c r="AVA173" s="1852" t="s">
        <v>2405</v>
      </c>
      <c r="AVB173" s="1852" t="s">
        <v>2406</v>
      </c>
      <c r="AVC173" s="1852" t="s">
        <v>2407</v>
      </c>
      <c r="AVD173" s="1852" t="s">
        <v>2408</v>
      </c>
      <c r="AVE173" s="1852" t="s">
        <v>2409</v>
      </c>
      <c r="AVF173" s="1852" t="s">
        <v>2410</v>
      </c>
      <c r="AVG173" s="1852" t="s">
        <v>2411</v>
      </c>
      <c r="AVH173" s="1852" t="s">
        <v>2412</v>
      </c>
      <c r="AVI173" s="1852" t="s">
        <v>2413</v>
      </c>
      <c r="AVJ173" s="1852" t="s">
        <v>2414</v>
      </c>
      <c r="AVK173" s="1852" t="s">
        <v>2415</v>
      </c>
      <c r="AVL173" s="1852" t="s">
        <v>2416</v>
      </c>
      <c r="AVM173" s="1852" t="s">
        <v>2417</v>
      </c>
      <c r="AVN173" s="1852" t="s">
        <v>2418</v>
      </c>
      <c r="AVO173" s="1852" t="s">
        <v>2419</v>
      </c>
      <c r="AVP173" s="1852" t="s">
        <v>2420</v>
      </c>
      <c r="AVQ173" s="1852" t="s">
        <v>2421</v>
      </c>
      <c r="AVR173" s="1852" t="s">
        <v>2422</v>
      </c>
      <c r="AVS173" s="1852" t="s">
        <v>2423</v>
      </c>
      <c r="AVT173" s="1852" t="s">
        <v>2424</v>
      </c>
      <c r="AVU173" s="1852" t="s">
        <v>2425</v>
      </c>
      <c r="AVV173" s="1852" t="s">
        <v>2426</v>
      </c>
      <c r="AVW173" s="1852" t="s">
        <v>2427</v>
      </c>
      <c r="AVX173" s="1852" t="s">
        <v>2428</v>
      </c>
      <c r="AVY173" s="1852" t="s">
        <v>2429</v>
      </c>
      <c r="AVZ173" s="1852" t="s">
        <v>2430</v>
      </c>
      <c r="AWA173" s="1852" t="s">
        <v>2431</v>
      </c>
      <c r="AWB173" s="1852" t="s">
        <v>2432</v>
      </c>
      <c r="AWC173" s="1852" t="s">
        <v>2433</v>
      </c>
      <c r="AWD173" s="1852" t="s">
        <v>2434</v>
      </c>
      <c r="AWE173" s="1852" t="s">
        <v>2435</v>
      </c>
      <c r="AWF173" s="1852" t="s">
        <v>2436</v>
      </c>
      <c r="AWG173" s="1852" t="s">
        <v>2437</v>
      </c>
      <c r="AWH173" s="1852" t="s">
        <v>2438</v>
      </c>
      <c r="AWI173" s="1852" t="s">
        <v>2439</v>
      </c>
      <c r="AWJ173" s="1852" t="s">
        <v>2440</v>
      </c>
      <c r="AWK173" s="1852" t="s">
        <v>2441</v>
      </c>
      <c r="AWL173" s="1852" t="s">
        <v>2442</v>
      </c>
      <c r="AWM173" s="1852" t="s">
        <v>2443</v>
      </c>
      <c r="AWN173" s="1852" t="s">
        <v>2444</v>
      </c>
      <c r="AWO173" s="1852" t="s">
        <v>2445</v>
      </c>
      <c r="AWP173" s="1852" t="s">
        <v>2446</v>
      </c>
      <c r="AWQ173" s="1852" t="s">
        <v>2447</v>
      </c>
      <c r="AWR173" s="1852" t="s">
        <v>2448</v>
      </c>
      <c r="AWS173" s="1852" t="s">
        <v>2449</v>
      </c>
      <c r="AWT173" s="1852" t="s">
        <v>2450</v>
      </c>
      <c r="AWU173" s="1852" t="s">
        <v>2451</v>
      </c>
      <c r="AWV173" s="1852" t="s">
        <v>2452</v>
      </c>
      <c r="AWW173" s="1852" t="s">
        <v>2453</v>
      </c>
      <c r="AWX173" s="1852" t="s">
        <v>2454</v>
      </c>
      <c r="AWY173" s="1852" t="s">
        <v>2455</v>
      </c>
      <c r="AWZ173" s="1852" t="s">
        <v>2456</v>
      </c>
      <c r="AXA173" s="1852" t="s">
        <v>2457</v>
      </c>
      <c r="AXB173" s="1852" t="s">
        <v>2458</v>
      </c>
      <c r="AXC173" s="1852" t="s">
        <v>2459</v>
      </c>
      <c r="AXD173" s="1852" t="s">
        <v>2460</v>
      </c>
      <c r="AXE173" s="1852" t="s">
        <v>2461</v>
      </c>
      <c r="AXF173" s="1852" t="s">
        <v>2462</v>
      </c>
      <c r="AXG173" s="1852" t="s">
        <v>2463</v>
      </c>
      <c r="AXH173" s="1852" t="s">
        <v>2464</v>
      </c>
      <c r="AXI173" s="1852" t="s">
        <v>2465</v>
      </c>
      <c r="AXJ173" s="1852" t="s">
        <v>2466</v>
      </c>
      <c r="AXK173" s="1852" t="s">
        <v>2467</v>
      </c>
      <c r="AXL173" s="1852" t="s">
        <v>2468</v>
      </c>
      <c r="AXM173" s="1852" t="s">
        <v>2469</v>
      </c>
      <c r="AXN173" s="1852" t="s">
        <v>2470</v>
      </c>
      <c r="AXO173" s="1852" t="s">
        <v>2471</v>
      </c>
      <c r="AXP173" s="1852" t="s">
        <v>2472</v>
      </c>
      <c r="AXQ173" s="1852" t="s">
        <v>2473</v>
      </c>
      <c r="AXR173" s="1852" t="s">
        <v>2474</v>
      </c>
      <c r="AXS173" s="1852" t="s">
        <v>2475</v>
      </c>
      <c r="AXT173" s="1852" t="s">
        <v>2476</v>
      </c>
      <c r="AXU173" s="1852" t="s">
        <v>2477</v>
      </c>
      <c r="AXV173" s="1852" t="s">
        <v>2478</v>
      </c>
      <c r="AXW173" s="1852" t="s">
        <v>2479</v>
      </c>
      <c r="AXX173" s="1852" t="s">
        <v>2480</v>
      </c>
      <c r="AXY173" s="1852" t="s">
        <v>2481</v>
      </c>
      <c r="AXZ173" s="1852" t="s">
        <v>2482</v>
      </c>
      <c r="AYA173" s="1852" t="s">
        <v>2483</v>
      </c>
      <c r="AYB173" s="1852" t="s">
        <v>2484</v>
      </c>
      <c r="AYC173" s="1852" t="s">
        <v>2485</v>
      </c>
      <c r="AYD173" s="1852" t="s">
        <v>2486</v>
      </c>
      <c r="AYE173" s="1852" t="s">
        <v>2487</v>
      </c>
      <c r="AYF173" s="1852" t="s">
        <v>2488</v>
      </c>
      <c r="AYG173" s="1852" t="s">
        <v>2489</v>
      </c>
      <c r="AYH173" s="1852" t="s">
        <v>2490</v>
      </c>
      <c r="AYI173" s="1852" t="s">
        <v>2491</v>
      </c>
      <c r="AYJ173" s="1852" t="s">
        <v>2492</v>
      </c>
      <c r="AYK173" s="1852" t="s">
        <v>2493</v>
      </c>
      <c r="AYL173" s="1852" t="s">
        <v>2494</v>
      </c>
      <c r="AYM173" s="1852" t="s">
        <v>2495</v>
      </c>
      <c r="AYN173" s="1852" t="s">
        <v>2496</v>
      </c>
      <c r="AYO173" s="1852" t="s">
        <v>2497</v>
      </c>
      <c r="AYP173" s="1852" t="s">
        <v>2498</v>
      </c>
      <c r="AYQ173" s="1852" t="s">
        <v>2499</v>
      </c>
      <c r="AYR173" s="1852" t="s">
        <v>2500</v>
      </c>
      <c r="AYS173" s="1852" t="s">
        <v>2501</v>
      </c>
      <c r="AYT173" s="1852" t="s">
        <v>2502</v>
      </c>
      <c r="AYU173" s="1852" t="s">
        <v>2503</v>
      </c>
      <c r="AYV173" s="1852" t="s">
        <v>2504</v>
      </c>
      <c r="AYW173" s="1852" t="s">
        <v>2505</v>
      </c>
      <c r="AYX173" s="1852" t="s">
        <v>2506</v>
      </c>
      <c r="AYY173" s="1852" t="s">
        <v>2507</v>
      </c>
      <c r="AYZ173" s="1852" t="s">
        <v>2508</v>
      </c>
      <c r="AZA173" s="1852" t="s">
        <v>2509</v>
      </c>
      <c r="AZB173" s="1852" t="s">
        <v>2510</v>
      </c>
      <c r="AZC173" s="1852" t="s">
        <v>2511</v>
      </c>
      <c r="AZD173" s="1852" t="s">
        <v>2512</v>
      </c>
      <c r="AZE173" s="1852" t="s">
        <v>2513</v>
      </c>
      <c r="AZF173" s="1852" t="s">
        <v>2514</v>
      </c>
      <c r="AZG173" s="1852" t="s">
        <v>2515</v>
      </c>
      <c r="AZH173" s="1852" t="s">
        <v>2516</v>
      </c>
      <c r="AZI173" s="1852" t="s">
        <v>2517</v>
      </c>
      <c r="AZJ173" s="1852" t="s">
        <v>2518</v>
      </c>
      <c r="AZK173" s="1852" t="s">
        <v>2519</v>
      </c>
      <c r="AZL173" s="1852" t="s">
        <v>2520</v>
      </c>
      <c r="AZM173" s="1852" t="s">
        <v>2521</v>
      </c>
      <c r="AZN173" s="1852" t="s">
        <v>2522</v>
      </c>
      <c r="AZO173" s="1852" t="s">
        <v>2523</v>
      </c>
      <c r="AZP173" s="1852" t="s">
        <v>2524</v>
      </c>
      <c r="AZQ173" s="1852" t="s">
        <v>2525</v>
      </c>
      <c r="AZR173" s="1852" t="s">
        <v>2526</v>
      </c>
      <c r="AZS173" s="1852" t="s">
        <v>2527</v>
      </c>
      <c r="AZT173" s="1852" t="s">
        <v>2528</v>
      </c>
      <c r="AZU173" s="1852" t="s">
        <v>2529</v>
      </c>
      <c r="AZV173" s="1852" t="s">
        <v>2530</v>
      </c>
      <c r="AZW173" s="1852" t="s">
        <v>2531</v>
      </c>
      <c r="AZX173" s="1852" t="s">
        <v>2532</v>
      </c>
      <c r="AZY173" s="1852" t="s">
        <v>2533</v>
      </c>
      <c r="AZZ173" s="1852" t="s">
        <v>2534</v>
      </c>
      <c r="BAA173" s="1852" t="s">
        <v>2535</v>
      </c>
      <c r="BAB173" s="1852" t="s">
        <v>2536</v>
      </c>
      <c r="BAC173" s="1852" t="s">
        <v>2537</v>
      </c>
      <c r="BAD173" s="1852" t="s">
        <v>2538</v>
      </c>
      <c r="BAE173" s="1852" t="s">
        <v>2539</v>
      </c>
      <c r="BAF173" s="1852" t="s">
        <v>2540</v>
      </c>
      <c r="BAG173" s="1852" t="s">
        <v>2541</v>
      </c>
      <c r="BAH173" s="1852" t="s">
        <v>2542</v>
      </c>
      <c r="BAI173" s="1852" t="s">
        <v>2543</v>
      </c>
      <c r="BAJ173" s="1852" t="s">
        <v>2544</v>
      </c>
      <c r="BAK173" s="1852" t="s">
        <v>2545</v>
      </c>
      <c r="BAL173" s="1852" t="s">
        <v>2546</v>
      </c>
      <c r="BAM173" s="1852" t="s">
        <v>2547</v>
      </c>
      <c r="BAN173" s="1852" t="s">
        <v>2548</v>
      </c>
      <c r="BAO173" s="1852" t="s">
        <v>2549</v>
      </c>
      <c r="BAP173" s="1852" t="s">
        <v>2550</v>
      </c>
      <c r="BAQ173" s="1852" t="s">
        <v>2551</v>
      </c>
      <c r="BAR173" s="1852" t="s">
        <v>2552</v>
      </c>
      <c r="BAS173" s="1852" t="s">
        <v>2553</v>
      </c>
      <c r="BAT173" s="1852" t="s">
        <v>2554</v>
      </c>
      <c r="BAU173" s="1852" t="s">
        <v>2555</v>
      </c>
      <c r="BAV173" s="1852" t="s">
        <v>2556</v>
      </c>
      <c r="BAW173" s="1852" t="s">
        <v>2557</v>
      </c>
      <c r="BAX173" s="1852" t="s">
        <v>2558</v>
      </c>
      <c r="BAY173" s="1852" t="s">
        <v>2559</v>
      </c>
      <c r="BAZ173" s="1852" t="s">
        <v>2560</v>
      </c>
      <c r="BBA173" s="1852" t="s">
        <v>2561</v>
      </c>
      <c r="BBB173" s="1852" t="s">
        <v>2562</v>
      </c>
      <c r="BBC173" s="1852" t="s">
        <v>2563</v>
      </c>
      <c r="BBD173" s="1852" t="s">
        <v>2564</v>
      </c>
      <c r="BBE173" s="1852" t="s">
        <v>2565</v>
      </c>
      <c r="BBF173" s="1852" t="s">
        <v>2566</v>
      </c>
      <c r="BBG173" s="1852" t="s">
        <v>2567</v>
      </c>
      <c r="BBH173" s="1852" t="s">
        <v>2568</v>
      </c>
      <c r="BBI173" s="1852" t="s">
        <v>2569</v>
      </c>
      <c r="BBJ173" s="1852" t="s">
        <v>2570</v>
      </c>
      <c r="BBK173" s="1852" t="s">
        <v>2571</v>
      </c>
      <c r="BBL173" s="1852" t="s">
        <v>2572</v>
      </c>
      <c r="BBM173" s="1852" t="s">
        <v>2573</v>
      </c>
      <c r="BBN173" s="1852" t="s">
        <v>2574</v>
      </c>
      <c r="BBO173" s="1852" t="s">
        <v>2575</v>
      </c>
      <c r="BBP173" s="1852" t="s">
        <v>2576</v>
      </c>
      <c r="BBQ173" s="1852" t="s">
        <v>2577</v>
      </c>
      <c r="BBR173" s="1852" t="s">
        <v>2578</v>
      </c>
      <c r="BBS173" s="1852" t="s">
        <v>2579</v>
      </c>
      <c r="BBT173" s="1852" t="s">
        <v>2580</v>
      </c>
      <c r="BBU173" s="1852" t="s">
        <v>2581</v>
      </c>
      <c r="BBV173" s="1852" t="s">
        <v>2582</v>
      </c>
      <c r="BBW173" s="1852" t="s">
        <v>2583</v>
      </c>
      <c r="BBX173" s="1852" t="s">
        <v>2584</v>
      </c>
      <c r="BBY173" s="1852" t="s">
        <v>2585</v>
      </c>
      <c r="BBZ173" s="1852" t="s">
        <v>2586</v>
      </c>
      <c r="BCA173" s="1852" t="s">
        <v>2587</v>
      </c>
      <c r="BCB173" s="1852" t="s">
        <v>2588</v>
      </c>
      <c r="BCC173" s="1852" t="s">
        <v>2589</v>
      </c>
      <c r="BCD173" s="1852" t="s">
        <v>2590</v>
      </c>
      <c r="BCE173" s="1852" t="s">
        <v>2591</v>
      </c>
      <c r="BCF173" s="1852" t="s">
        <v>2592</v>
      </c>
      <c r="BCG173" s="1852" t="s">
        <v>2593</v>
      </c>
      <c r="BCH173" s="1852" t="s">
        <v>2594</v>
      </c>
      <c r="BCI173" s="1852" t="s">
        <v>2595</v>
      </c>
      <c r="BCJ173" s="1852" t="s">
        <v>2596</v>
      </c>
      <c r="BCK173" s="1852" t="s">
        <v>2597</v>
      </c>
      <c r="BCL173" s="1852" t="s">
        <v>2598</v>
      </c>
      <c r="BCM173" s="1852" t="s">
        <v>2599</v>
      </c>
      <c r="BCN173" s="1852" t="s">
        <v>2600</v>
      </c>
      <c r="BCO173" s="1852" t="s">
        <v>2601</v>
      </c>
      <c r="BCP173" s="1852" t="s">
        <v>2602</v>
      </c>
      <c r="BCQ173" s="1852" t="s">
        <v>2603</v>
      </c>
      <c r="BCR173" s="1852" t="s">
        <v>2604</v>
      </c>
      <c r="BCS173" s="1852" t="s">
        <v>2605</v>
      </c>
      <c r="BCT173" s="1852" t="s">
        <v>2606</v>
      </c>
      <c r="BCU173" s="1852" t="s">
        <v>2607</v>
      </c>
      <c r="BCV173" s="1852" t="s">
        <v>2608</v>
      </c>
      <c r="BCW173" s="1852" t="s">
        <v>2609</v>
      </c>
      <c r="BCX173" s="1852" t="s">
        <v>2610</v>
      </c>
      <c r="BCY173" s="1852" t="s">
        <v>2611</v>
      </c>
      <c r="BCZ173" s="1852" t="s">
        <v>2612</v>
      </c>
      <c r="BDA173" s="1852" t="s">
        <v>2613</v>
      </c>
      <c r="BDB173" s="1852" t="s">
        <v>2614</v>
      </c>
      <c r="BDC173" s="1852" t="s">
        <v>2615</v>
      </c>
      <c r="BDD173" s="1852" t="s">
        <v>2616</v>
      </c>
      <c r="BDE173" s="1852" t="s">
        <v>2617</v>
      </c>
      <c r="BDF173" s="1852" t="s">
        <v>2618</v>
      </c>
      <c r="BDG173" s="1852" t="s">
        <v>2619</v>
      </c>
      <c r="BDH173" s="1852" t="s">
        <v>2620</v>
      </c>
      <c r="BDI173" s="1852" t="s">
        <v>2621</v>
      </c>
      <c r="BDJ173" s="1852" t="s">
        <v>2622</v>
      </c>
      <c r="BDK173" s="1852" t="s">
        <v>2623</v>
      </c>
      <c r="BDL173" s="1852" t="s">
        <v>2624</v>
      </c>
      <c r="BDM173" s="1852" t="s">
        <v>2625</v>
      </c>
      <c r="BDN173" s="1852" t="s">
        <v>2626</v>
      </c>
      <c r="BDO173" s="1852" t="s">
        <v>2627</v>
      </c>
      <c r="BDP173" s="1852" t="s">
        <v>2628</v>
      </c>
      <c r="BDQ173" s="1852" t="s">
        <v>2629</v>
      </c>
      <c r="BDR173" s="1852" t="s">
        <v>2630</v>
      </c>
      <c r="BDS173" s="1852" t="s">
        <v>2631</v>
      </c>
      <c r="BDT173" s="1852" t="s">
        <v>2632</v>
      </c>
      <c r="BDU173" s="1852" t="s">
        <v>2633</v>
      </c>
      <c r="BDV173" s="1852" t="s">
        <v>2634</v>
      </c>
      <c r="BDW173" s="1852" t="s">
        <v>2635</v>
      </c>
      <c r="BDX173" s="1852" t="s">
        <v>2636</v>
      </c>
      <c r="BDY173" s="1852" t="s">
        <v>2637</v>
      </c>
      <c r="BDZ173" s="1852" t="s">
        <v>2638</v>
      </c>
      <c r="BEA173" s="1852" t="s">
        <v>2639</v>
      </c>
      <c r="BEB173" s="1852" t="s">
        <v>2640</v>
      </c>
      <c r="BEC173" s="1852" t="s">
        <v>2641</v>
      </c>
      <c r="BED173" s="1852" t="s">
        <v>2642</v>
      </c>
      <c r="BEE173" s="1852" t="s">
        <v>2643</v>
      </c>
      <c r="BEF173" s="1852" t="s">
        <v>2644</v>
      </c>
      <c r="BEG173" s="1852" t="s">
        <v>2645</v>
      </c>
      <c r="BEH173" s="1852" t="s">
        <v>2646</v>
      </c>
      <c r="BEI173" s="1852" t="s">
        <v>2647</v>
      </c>
      <c r="BEJ173" s="1852" t="s">
        <v>2648</v>
      </c>
      <c r="BEK173" s="1852" t="s">
        <v>2649</v>
      </c>
      <c r="BEL173" s="1852" t="s">
        <v>2650</v>
      </c>
      <c r="BEM173" s="1852" t="s">
        <v>2651</v>
      </c>
      <c r="BEN173" s="1852" t="s">
        <v>2652</v>
      </c>
      <c r="BEO173" s="1852" t="s">
        <v>2653</v>
      </c>
      <c r="BEP173" s="1852" t="s">
        <v>2654</v>
      </c>
      <c r="BEQ173" s="1852" t="s">
        <v>2655</v>
      </c>
      <c r="BER173" s="1852" t="s">
        <v>2656</v>
      </c>
      <c r="BES173" s="1852" t="s">
        <v>2657</v>
      </c>
      <c r="BET173" s="1852" t="s">
        <v>2658</v>
      </c>
      <c r="BEU173" s="1852" t="s">
        <v>2659</v>
      </c>
      <c r="BEV173" s="1852" t="s">
        <v>2660</v>
      </c>
      <c r="BEW173" s="1852" t="s">
        <v>2661</v>
      </c>
      <c r="BEX173" s="1852" t="s">
        <v>2662</v>
      </c>
      <c r="BEY173" s="1852" t="s">
        <v>2663</v>
      </c>
      <c r="BEZ173" s="1852" t="s">
        <v>2664</v>
      </c>
      <c r="BFA173" s="1852" t="s">
        <v>2665</v>
      </c>
      <c r="BFB173" s="1852" t="s">
        <v>2666</v>
      </c>
      <c r="BFC173" s="1852" t="s">
        <v>2667</v>
      </c>
      <c r="BFD173" s="1852" t="s">
        <v>2668</v>
      </c>
      <c r="BFE173" s="1852" t="s">
        <v>2669</v>
      </c>
      <c r="BFF173" s="1852" t="s">
        <v>2670</v>
      </c>
      <c r="BFG173" s="1852" t="s">
        <v>2671</v>
      </c>
      <c r="BFH173" s="1852" t="s">
        <v>2672</v>
      </c>
      <c r="BFI173" s="1852" t="s">
        <v>2673</v>
      </c>
      <c r="BFJ173" s="1852" t="s">
        <v>2674</v>
      </c>
      <c r="BFK173" s="1852" t="s">
        <v>2675</v>
      </c>
      <c r="BFL173" s="1852" t="s">
        <v>2676</v>
      </c>
      <c r="BFM173" s="1852" t="s">
        <v>2677</v>
      </c>
      <c r="BFN173" s="1852" t="s">
        <v>2678</v>
      </c>
      <c r="BFO173" s="1852" t="s">
        <v>2679</v>
      </c>
      <c r="BFP173" s="1852" t="s">
        <v>2680</v>
      </c>
      <c r="BFQ173" s="1852" t="s">
        <v>2681</v>
      </c>
      <c r="BFR173" s="1852" t="s">
        <v>2682</v>
      </c>
      <c r="BFS173" s="1852" t="s">
        <v>2683</v>
      </c>
      <c r="BFT173" s="1852" t="s">
        <v>2684</v>
      </c>
      <c r="BFU173" s="1852" t="s">
        <v>2685</v>
      </c>
      <c r="BFV173" s="1852" t="s">
        <v>2686</v>
      </c>
      <c r="BFW173" s="1852" t="s">
        <v>2687</v>
      </c>
      <c r="BFX173" s="1852" t="s">
        <v>2688</v>
      </c>
      <c r="BFY173" s="1852" t="s">
        <v>2689</v>
      </c>
      <c r="BFZ173" s="1852" t="s">
        <v>2690</v>
      </c>
      <c r="BGA173" s="1852" t="s">
        <v>2691</v>
      </c>
      <c r="BGB173" s="1852" t="s">
        <v>2692</v>
      </c>
      <c r="BGC173" s="1852" t="s">
        <v>2693</v>
      </c>
      <c r="BGD173" s="1852" t="s">
        <v>2694</v>
      </c>
      <c r="BGE173" s="1852" t="s">
        <v>2695</v>
      </c>
      <c r="BGF173" s="1852" t="s">
        <v>2696</v>
      </c>
      <c r="BGG173" s="1852" t="s">
        <v>2697</v>
      </c>
      <c r="BGH173" s="1852" t="s">
        <v>2698</v>
      </c>
      <c r="BGI173" s="1852" t="s">
        <v>2699</v>
      </c>
      <c r="BGJ173" s="1852" t="s">
        <v>2700</v>
      </c>
      <c r="BGK173" s="1852" t="s">
        <v>2701</v>
      </c>
      <c r="BGL173" s="1852" t="s">
        <v>2702</v>
      </c>
      <c r="BGM173" s="1852" t="s">
        <v>2703</v>
      </c>
      <c r="BGN173" s="1852" t="s">
        <v>2704</v>
      </c>
      <c r="BGO173" s="1852" t="s">
        <v>2705</v>
      </c>
      <c r="BGP173" s="1852" t="s">
        <v>2706</v>
      </c>
      <c r="BGQ173" s="1852" t="s">
        <v>2707</v>
      </c>
      <c r="BGR173" s="1852" t="s">
        <v>2708</v>
      </c>
      <c r="BGS173" s="1852" t="s">
        <v>2709</v>
      </c>
      <c r="BGT173" s="1852" t="s">
        <v>2710</v>
      </c>
      <c r="BGU173" s="1852" t="s">
        <v>2711</v>
      </c>
      <c r="BGV173" s="1852" t="s">
        <v>2712</v>
      </c>
      <c r="BGW173" s="1852" t="s">
        <v>2713</v>
      </c>
      <c r="BGX173" s="1852" t="s">
        <v>2714</v>
      </c>
      <c r="BGY173" s="1852" t="s">
        <v>2715</v>
      </c>
      <c r="BGZ173" s="1852" t="s">
        <v>2716</v>
      </c>
      <c r="BHA173" s="1852" t="s">
        <v>2717</v>
      </c>
      <c r="BHB173" s="1852" t="s">
        <v>2718</v>
      </c>
      <c r="BHC173" s="1852" t="s">
        <v>2719</v>
      </c>
      <c r="BHD173" s="1852" t="s">
        <v>2720</v>
      </c>
      <c r="BHE173" s="1852" t="s">
        <v>2721</v>
      </c>
      <c r="BHF173" s="1852" t="s">
        <v>2722</v>
      </c>
      <c r="BHG173" s="1852" t="s">
        <v>2723</v>
      </c>
      <c r="BHH173" s="1852" t="s">
        <v>2724</v>
      </c>
      <c r="BHI173" s="1852" t="s">
        <v>2725</v>
      </c>
      <c r="BHJ173" s="1852" t="s">
        <v>2726</v>
      </c>
      <c r="BHK173" s="1852" t="s">
        <v>2727</v>
      </c>
      <c r="BHL173" s="1852" t="s">
        <v>2728</v>
      </c>
      <c r="BHM173" s="1852" t="s">
        <v>2729</v>
      </c>
      <c r="BHN173" s="1852" t="s">
        <v>2730</v>
      </c>
      <c r="BHO173" s="1852" t="s">
        <v>2731</v>
      </c>
      <c r="BHP173" s="1852" t="s">
        <v>2732</v>
      </c>
      <c r="BHQ173" s="1852" t="s">
        <v>2733</v>
      </c>
      <c r="BHR173" s="1852" t="s">
        <v>2734</v>
      </c>
      <c r="BHS173" s="1852" t="s">
        <v>2735</v>
      </c>
      <c r="BHT173" s="1852" t="s">
        <v>2736</v>
      </c>
      <c r="BHU173" s="1852" t="s">
        <v>2737</v>
      </c>
      <c r="BHV173" s="1852" t="s">
        <v>2738</v>
      </c>
      <c r="BHW173" s="1852" t="s">
        <v>2739</v>
      </c>
      <c r="BHX173" s="1852" t="s">
        <v>2740</v>
      </c>
      <c r="BHY173" s="1852" t="s">
        <v>2741</v>
      </c>
      <c r="BHZ173" s="1852" t="s">
        <v>2742</v>
      </c>
      <c r="BIA173" s="1852" t="s">
        <v>2743</v>
      </c>
      <c r="BIB173" s="1852" t="s">
        <v>2744</v>
      </c>
      <c r="BIC173" s="1852" t="s">
        <v>2745</v>
      </c>
      <c r="BID173" s="1852" t="s">
        <v>2746</v>
      </c>
      <c r="BIE173" s="1852" t="s">
        <v>2747</v>
      </c>
      <c r="BIF173" s="1852" t="s">
        <v>2748</v>
      </c>
      <c r="BIG173" s="1852" t="s">
        <v>2749</v>
      </c>
      <c r="BIH173" s="1852" t="s">
        <v>2750</v>
      </c>
      <c r="BII173" s="1852" t="s">
        <v>2751</v>
      </c>
      <c r="BIJ173" s="1852" t="s">
        <v>2752</v>
      </c>
      <c r="BIK173" s="1852" t="s">
        <v>2753</v>
      </c>
      <c r="BIL173" s="1852" t="s">
        <v>2754</v>
      </c>
      <c r="BIM173" s="1852" t="s">
        <v>2755</v>
      </c>
      <c r="BIN173" s="1852" t="s">
        <v>2756</v>
      </c>
      <c r="BIO173" s="1852" t="s">
        <v>2757</v>
      </c>
      <c r="BIP173" s="1852" t="s">
        <v>2758</v>
      </c>
      <c r="BIQ173" s="1852" t="s">
        <v>2759</v>
      </c>
      <c r="BIR173" s="1852" t="s">
        <v>2760</v>
      </c>
      <c r="BIS173" s="1852" t="s">
        <v>2761</v>
      </c>
      <c r="BIT173" s="1852" t="s">
        <v>2762</v>
      </c>
      <c r="BIU173" s="1852" t="s">
        <v>2763</v>
      </c>
      <c r="BIV173" s="1852" t="s">
        <v>2764</v>
      </c>
      <c r="BIW173" s="1852" t="s">
        <v>2765</v>
      </c>
      <c r="BIX173" s="1852" t="s">
        <v>2766</v>
      </c>
      <c r="BIY173" s="1852" t="s">
        <v>2767</v>
      </c>
      <c r="BIZ173" s="1852" t="s">
        <v>2768</v>
      </c>
      <c r="BJA173" s="1852" t="s">
        <v>2769</v>
      </c>
      <c r="BJB173" s="1852" t="s">
        <v>2770</v>
      </c>
      <c r="BJC173" s="1852" t="s">
        <v>2771</v>
      </c>
      <c r="BJD173" s="1852" t="s">
        <v>2772</v>
      </c>
      <c r="BJE173" s="1852" t="s">
        <v>2773</v>
      </c>
      <c r="BJF173" s="1852" t="s">
        <v>2774</v>
      </c>
      <c r="BJG173" s="1852" t="s">
        <v>2775</v>
      </c>
      <c r="BJH173" s="1852" t="s">
        <v>2776</v>
      </c>
      <c r="BJI173" s="1852" t="s">
        <v>2777</v>
      </c>
      <c r="BJJ173" s="1852" t="s">
        <v>2778</v>
      </c>
      <c r="BJK173" s="1852" t="s">
        <v>2779</v>
      </c>
      <c r="BJL173" s="1852" t="s">
        <v>2780</v>
      </c>
      <c r="BJM173" s="1852" t="s">
        <v>2781</v>
      </c>
      <c r="BJN173" s="1852" t="s">
        <v>2782</v>
      </c>
      <c r="BJO173" s="1852" t="s">
        <v>2783</v>
      </c>
      <c r="BJP173" s="1852" t="s">
        <v>2784</v>
      </c>
      <c r="BJQ173" s="1852" t="s">
        <v>2785</v>
      </c>
      <c r="BJR173" s="1852" t="s">
        <v>2786</v>
      </c>
      <c r="BJS173" s="1852" t="s">
        <v>2787</v>
      </c>
      <c r="BJT173" s="1852" t="s">
        <v>2788</v>
      </c>
      <c r="BJU173" s="1852" t="s">
        <v>2789</v>
      </c>
      <c r="BJV173" s="1852" t="s">
        <v>2790</v>
      </c>
      <c r="BJW173" s="1852" t="s">
        <v>2791</v>
      </c>
      <c r="BJX173" s="1852" t="s">
        <v>2792</v>
      </c>
      <c r="BJY173" s="1852" t="s">
        <v>2793</v>
      </c>
      <c r="BJZ173" s="1852" t="s">
        <v>2794</v>
      </c>
      <c r="BKA173" s="1852" t="s">
        <v>2795</v>
      </c>
      <c r="BKB173" s="1852" t="s">
        <v>2796</v>
      </c>
      <c r="BKC173" s="1852" t="s">
        <v>2797</v>
      </c>
      <c r="BKD173" s="1852" t="s">
        <v>2798</v>
      </c>
      <c r="BKE173" s="1852" t="s">
        <v>2799</v>
      </c>
      <c r="BKF173" s="1852" t="s">
        <v>2800</v>
      </c>
      <c r="BKG173" s="1852" t="s">
        <v>2801</v>
      </c>
      <c r="BKH173" s="1852" t="s">
        <v>2802</v>
      </c>
      <c r="BKI173" s="1852" t="s">
        <v>2803</v>
      </c>
      <c r="BKJ173" s="1852" t="s">
        <v>2804</v>
      </c>
      <c r="BKK173" s="1852" t="s">
        <v>2805</v>
      </c>
      <c r="BKL173" s="1852" t="s">
        <v>2806</v>
      </c>
      <c r="BKM173" s="1852" t="s">
        <v>2807</v>
      </c>
      <c r="BKN173" s="1852" t="s">
        <v>2808</v>
      </c>
      <c r="BKO173" s="1852" t="s">
        <v>2809</v>
      </c>
      <c r="BKP173" s="1852" t="s">
        <v>2810</v>
      </c>
      <c r="BKQ173" s="1852" t="s">
        <v>2811</v>
      </c>
      <c r="BKR173" s="1852" t="s">
        <v>2812</v>
      </c>
      <c r="BKS173" s="1852" t="s">
        <v>2813</v>
      </c>
      <c r="BKT173" s="1852" t="s">
        <v>2814</v>
      </c>
      <c r="BKU173" s="1852" t="s">
        <v>2815</v>
      </c>
      <c r="BKV173" s="1852" t="s">
        <v>2816</v>
      </c>
      <c r="BKW173" s="1852" t="s">
        <v>2817</v>
      </c>
      <c r="BKX173" s="1852" t="s">
        <v>2818</v>
      </c>
      <c r="BKY173" s="1852" t="s">
        <v>2819</v>
      </c>
      <c r="BKZ173" s="1852" t="s">
        <v>2820</v>
      </c>
      <c r="BLA173" s="1852" t="s">
        <v>2821</v>
      </c>
      <c r="BLB173" s="1852" t="s">
        <v>2822</v>
      </c>
      <c r="BLC173" s="1852" t="s">
        <v>2823</v>
      </c>
      <c r="BLD173" s="1852" t="s">
        <v>2824</v>
      </c>
      <c r="BLE173" s="1852" t="s">
        <v>2825</v>
      </c>
      <c r="BLF173" s="1852" t="s">
        <v>2826</v>
      </c>
      <c r="BLG173" s="1852" t="s">
        <v>2827</v>
      </c>
      <c r="BLH173" s="1852" t="s">
        <v>2828</v>
      </c>
      <c r="BLI173" s="1852" t="s">
        <v>2829</v>
      </c>
      <c r="BLJ173" s="1852" t="s">
        <v>2830</v>
      </c>
      <c r="BLK173" s="1852" t="s">
        <v>2831</v>
      </c>
      <c r="BLL173" s="1852" t="s">
        <v>2832</v>
      </c>
      <c r="BLM173" s="1852" t="s">
        <v>2833</v>
      </c>
      <c r="BLN173" s="1852" t="s">
        <v>2834</v>
      </c>
      <c r="BLO173" s="1852" t="s">
        <v>2835</v>
      </c>
      <c r="BLP173" s="1852" t="s">
        <v>2836</v>
      </c>
      <c r="BLQ173" s="1852" t="s">
        <v>2837</v>
      </c>
      <c r="BLR173" s="1852" t="s">
        <v>2838</v>
      </c>
      <c r="BLS173" s="1852" t="s">
        <v>2839</v>
      </c>
      <c r="BLT173" s="1852" t="s">
        <v>2840</v>
      </c>
      <c r="BLU173" s="1852" t="s">
        <v>2841</v>
      </c>
      <c r="BLV173" s="1852" t="s">
        <v>2842</v>
      </c>
      <c r="BLW173" s="1852" t="s">
        <v>2843</v>
      </c>
      <c r="BLX173" s="1852" t="s">
        <v>2844</v>
      </c>
      <c r="BLY173" s="1852" t="s">
        <v>2845</v>
      </c>
      <c r="BLZ173" s="1852" t="s">
        <v>2846</v>
      </c>
      <c r="BMA173" s="1852" t="s">
        <v>2847</v>
      </c>
      <c r="BMB173" s="1852" t="s">
        <v>2848</v>
      </c>
      <c r="BMC173" s="1852" t="s">
        <v>2849</v>
      </c>
      <c r="BMD173" s="1852" t="s">
        <v>2850</v>
      </c>
      <c r="BME173" s="1852" t="s">
        <v>2851</v>
      </c>
      <c r="BMF173" s="1852" t="s">
        <v>2852</v>
      </c>
      <c r="BMG173" s="1852" t="s">
        <v>2853</v>
      </c>
      <c r="BMH173" s="1852" t="s">
        <v>2854</v>
      </c>
      <c r="BMI173" s="1852" t="s">
        <v>2855</v>
      </c>
      <c r="BMJ173" s="1852" t="s">
        <v>2856</v>
      </c>
      <c r="BMK173" s="1852" t="s">
        <v>2857</v>
      </c>
      <c r="BML173" s="1852" t="s">
        <v>2858</v>
      </c>
      <c r="BMM173" s="1852" t="s">
        <v>2859</v>
      </c>
      <c r="BMN173" s="1852" t="s">
        <v>2860</v>
      </c>
      <c r="BMO173" s="1852" t="s">
        <v>2861</v>
      </c>
      <c r="BMP173" s="1852" t="s">
        <v>2862</v>
      </c>
      <c r="BMQ173" s="1852" t="s">
        <v>2863</v>
      </c>
      <c r="BMR173" s="1852" t="s">
        <v>2864</v>
      </c>
      <c r="BMS173" s="1852" t="s">
        <v>2865</v>
      </c>
      <c r="BMT173" s="1852" t="s">
        <v>2866</v>
      </c>
      <c r="BMU173" s="1852" t="s">
        <v>2867</v>
      </c>
      <c r="BMV173" s="1852" t="s">
        <v>2868</v>
      </c>
      <c r="BMW173" s="1852" t="s">
        <v>2869</v>
      </c>
      <c r="BMX173" s="1852" t="s">
        <v>2870</v>
      </c>
      <c r="BMY173" s="1852" t="s">
        <v>2871</v>
      </c>
      <c r="BMZ173" s="1852" t="s">
        <v>2872</v>
      </c>
      <c r="BNA173" s="1852" t="s">
        <v>2873</v>
      </c>
      <c r="BNB173" s="1852" t="s">
        <v>2874</v>
      </c>
      <c r="BNC173" s="1852" t="s">
        <v>2875</v>
      </c>
      <c r="BND173" s="1852" t="s">
        <v>2876</v>
      </c>
      <c r="BNE173" s="1852" t="s">
        <v>2877</v>
      </c>
      <c r="BNF173" s="1852" t="s">
        <v>2878</v>
      </c>
      <c r="BNG173" s="1852" t="s">
        <v>2879</v>
      </c>
      <c r="BNH173" s="1852" t="s">
        <v>2880</v>
      </c>
      <c r="BNI173" s="1852" t="s">
        <v>2881</v>
      </c>
      <c r="BNJ173" s="1852" t="s">
        <v>2882</v>
      </c>
      <c r="BNK173" s="1852" t="s">
        <v>2883</v>
      </c>
      <c r="BNL173" s="1852" t="s">
        <v>2884</v>
      </c>
      <c r="BNM173" s="1852" t="s">
        <v>2885</v>
      </c>
      <c r="BNN173" s="1852" t="s">
        <v>2886</v>
      </c>
      <c r="BNO173" s="1852" t="s">
        <v>2887</v>
      </c>
      <c r="BNP173" s="1852" t="s">
        <v>2888</v>
      </c>
      <c r="BNQ173" s="1852" t="s">
        <v>2889</v>
      </c>
      <c r="BNR173" s="1852" t="s">
        <v>2890</v>
      </c>
      <c r="BNS173" s="1852" t="s">
        <v>2891</v>
      </c>
      <c r="BNT173" s="1852" t="s">
        <v>2892</v>
      </c>
      <c r="BNU173" s="1852" t="s">
        <v>2893</v>
      </c>
      <c r="BNV173" s="1852" t="s">
        <v>2894</v>
      </c>
      <c r="BNW173" s="1852" t="s">
        <v>2895</v>
      </c>
      <c r="BNX173" s="1852" t="s">
        <v>2896</v>
      </c>
      <c r="BNY173" s="1852" t="s">
        <v>2897</v>
      </c>
      <c r="BNZ173" s="1852" t="s">
        <v>2898</v>
      </c>
      <c r="BOA173" s="1852" t="s">
        <v>2899</v>
      </c>
      <c r="BOB173" s="1852" t="s">
        <v>2900</v>
      </c>
      <c r="BOC173" s="1852" t="s">
        <v>2901</v>
      </c>
      <c r="BOD173" s="1852" t="s">
        <v>2902</v>
      </c>
      <c r="BOE173" s="1852" t="s">
        <v>2903</v>
      </c>
      <c r="BOF173" s="1852" t="s">
        <v>2904</v>
      </c>
      <c r="BOG173" s="1852" t="s">
        <v>2905</v>
      </c>
      <c r="BOH173" s="1852" t="s">
        <v>2906</v>
      </c>
      <c r="BOI173" s="1852" t="s">
        <v>2907</v>
      </c>
      <c r="BOJ173" s="1852" t="s">
        <v>2908</v>
      </c>
      <c r="BOK173" s="1852" t="s">
        <v>2909</v>
      </c>
      <c r="BOL173" s="1852" t="s">
        <v>2910</v>
      </c>
      <c r="BOM173" s="1852" t="s">
        <v>2911</v>
      </c>
      <c r="BON173" s="1852" t="s">
        <v>2912</v>
      </c>
      <c r="BOO173" s="1852" t="s">
        <v>2913</v>
      </c>
      <c r="BOP173" s="1852" t="s">
        <v>2914</v>
      </c>
      <c r="BOQ173" s="1852" t="s">
        <v>2915</v>
      </c>
      <c r="BOR173" s="1852" t="s">
        <v>2916</v>
      </c>
      <c r="BOS173" s="1852" t="s">
        <v>2917</v>
      </c>
      <c r="BOT173" s="1852" t="s">
        <v>2918</v>
      </c>
      <c r="BOU173" s="1852" t="s">
        <v>2919</v>
      </c>
      <c r="BOV173" s="1852" t="s">
        <v>2920</v>
      </c>
      <c r="BOW173" s="1852" t="s">
        <v>2921</v>
      </c>
      <c r="BOX173" s="1852" t="s">
        <v>2922</v>
      </c>
      <c r="BOY173" s="1852" t="s">
        <v>2923</v>
      </c>
      <c r="BOZ173" s="1852" t="s">
        <v>2924</v>
      </c>
      <c r="BPA173" s="1852" t="s">
        <v>2925</v>
      </c>
      <c r="BPB173" s="1852" t="s">
        <v>2926</v>
      </c>
      <c r="BPC173" s="1852" t="s">
        <v>2927</v>
      </c>
      <c r="BPD173" s="1852" t="s">
        <v>2928</v>
      </c>
      <c r="BPE173" s="1852" t="s">
        <v>2929</v>
      </c>
      <c r="BPF173" s="1852" t="s">
        <v>2930</v>
      </c>
      <c r="BPG173" s="1852" t="s">
        <v>2931</v>
      </c>
      <c r="BPH173" s="1852" t="s">
        <v>2932</v>
      </c>
      <c r="BPI173" s="1852" t="s">
        <v>2933</v>
      </c>
      <c r="BPJ173" s="1852" t="s">
        <v>2934</v>
      </c>
      <c r="BPK173" s="1852" t="s">
        <v>2935</v>
      </c>
      <c r="BPL173" s="1852" t="s">
        <v>2936</v>
      </c>
      <c r="BPM173" s="1852" t="s">
        <v>2937</v>
      </c>
      <c r="BPN173" s="1852" t="s">
        <v>2938</v>
      </c>
      <c r="BPO173" s="1852" t="s">
        <v>2939</v>
      </c>
      <c r="BPP173" s="1852" t="s">
        <v>2940</v>
      </c>
      <c r="BPQ173" s="1852" t="s">
        <v>2941</v>
      </c>
      <c r="BPR173" s="1852" t="s">
        <v>2942</v>
      </c>
      <c r="BPS173" s="1852" t="s">
        <v>2943</v>
      </c>
      <c r="BPT173" s="1852" t="s">
        <v>2944</v>
      </c>
      <c r="BPU173" s="1852" t="s">
        <v>2945</v>
      </c>
      <c r="BPV173" s="1852" t="s">
        <v>2946</v>
      </c>
      <c r="BPW173" s="1852" t="s">
        <v>2947</v>
      </c>
      <c r="BPX173" s="1852" t="s">
        <v>2948</v>
      </c>
      <c r="BPY173" s="1852" t="s">
        <v>2949</v>
      </c>
      <c r="BPZ173" s="1852" t="s">
        <v>2950</v>
      </c>
      <c r="BQA173" s="1852" t="s">
        <v>2951</v>
      </c>
      <c r="BQB173" s="1852" t="s">
        <v>2952</v>
      </c>
      <c r="BQC173" s="1852" t="s">
        <v>2953</v>
      </c>
      <c r="BQD173" s="1852" t="s">
        <v>2954</v>
      </c>
      <c r="BQE173" s="1852" t="s">
        <v>2955</v>
      </c>
      <c r="BQF173" s="1852" t="s">
        <v>2956</v>
      </c>
      <c r="BQG173" s="1852" t="s">
        <v>2957</v>
      </c>
      <c r="BQH173" s="1852" t="s">
        <v>2958</v>
      </c>
      <c r="BQI173" s="1852" t="s">
        <v>2959</v>
      </c>
      <c r="BQJ173" s="1852" t="s">
        <v>2960</v>
      </c>
      <c r="BQK173" s="1852" t="s">
        <v>2961</v>
      </c>
      <c r="BQL173" s="1852" t="s">
        <v>2962</v>
      </c>
      <c r="BQM173" s="1852" t="s">
        <v>2963</v>
      </c>
      <c r="BQN173" s="1852" t="s">
        <v>2964</v>
      </c>
      <c r="BQO173" s="1852" t="s">
        <v>2965</v>
      </c>
      <c r="BQP173" s="1852" t="s">
        <v>2966</v>
      </c>
      <c r="BQQ173" s="1852" t="s">
        <v>2967</v>
      </c>
      <c r="BQR173" s="1852" t="s">
        <v>2968</v>
      </c>
      <c r="BQS173" s="1852" t="s">
        <v>2969</v>
      </c>
      <c r="BQT173" s="1852" t="s">
        <v>2970</v>
      </c>
      <c r="BQU173" s="1852" t="s">
        <v>2971</v>
      </c>
      <c r="BQV173" s="1852" t="s">
        <v>2972</v>
      </c>
      <c r="BQW173" s="1852" t="s">
        <v>2973</v>
      </c>
      <c r="BQX173" s="1852" t="s">
        <v>2974</v>
      </c>
      <c r="BQY173" s="1852" t="s">
        <v>2975</v>
      </c>
      <c r="BQZ173" s="1852" t="s">
        <v>2976</v>
      </c>
      <c r="BRA173" s="1852" t="s">
        <v>2977</v>
      </c>
      <c r="BRB173" s="1852" t="s">
        <v>2978</v>
      </c>
      <c r="BRC173" s="1852" t="s">
        <v>2979</v>
      </c>
      <c r="BRD173" s="1852" t="s">
        <v>2980</v>
      </c>
      <c r="BRE173" s="1852" t="s">
        <v>2981</v>
      </c>
      <c r="BRF173" s="1852" t="s">
        <v>2982</v>
      </c>
      <c r="BRG173" s="1852" t="s">
        <v>2983</v>
      </c>
      <c r="BRH173" s="1852" t="s">
        <v>2984</v>
      </c>
      <c r="BRI173" s="1852" t="s">
        <v>2985</v>
      </c>
      <c r="BRJ173" s="1852" t="s">
        <v>2986</v>
      </c>
      <c r="BRK173" s="1852" t="s">
        <v>2987</v>
      </c>
      <c r="BRL173" s="1852" t="s">
        <v>2988</v>
      </c>
      <c r="BRM173" s="1852" t="s">
        <v>2989</v>
      </c>
      <c r="BRN173" s="1852" t="s">
        <v>2990</v>
      </c>
      <c r="BRO173" s="1852" t="s">
        <v>2991</v>
      </c>
      <c r="BRP173" s="1852" t="s">
        <v>2992</v>
      </c>
      <c r="BRQ173" s="1852" t="s">
        <v>2993</v>
      </c>
      <c r="BRR173" s="1852" t="s">
        <v>2994</v>
      </c>
      <c r="BRS173" s="1852" t="s">
        <v>2995</v>
      </c>
      <c r="BRT173" s="1852" t="s">
        <v>2996</v>
      </c>
      <c r="BRU173" s="1852" t="s">
        <v>2997</v>
      </c>
      <c r="BRV173" s="1852" t="s">
        <v>2998</v>
      </c>
      <c r="BRW173" s="1852" t="s">
        <v>2999</v>
      </c>
      <c r="BRX173" s="1852" t="s">
        <v>3000</v>
      </c>
      <c r="BRY173" s="1852" t="s">
        <v>3001</v>
      </c>
      <c r="BRZ173" s="1852" t="s">
        <v>3002</v>
      </c>
      <c r="BSA173" s="1852" t="s">
        <v>3003</v>
      </c>
      <c r="BSB173" s="1852" t="s">
        <v>3004</v>
      </c>
      <c r="BSC173" s="1852" t="s">
        <v>3005</v>
      </c>
      <c r="BSD173" s="1852" t="s">
        <v>3006</v>
      </c>
      <c r="BSE173" s="1852" t="s">
        <v>3007</v>
      </c>
      <c r="BSF173" s="1852" t="s">
        <v>3008</v>
      </c>
      <c r="BSG173" s="1852" t="s">
        <v>3009</v>
      </c>
      <c r="BSH173" s="1852" t="s">
        <v>3010</v>
      </c>
      <c r="BSI173" s="1852" t="s">
        <v>3011</v>
      </c>
      <c r="BSJ173" s="1852" t="s">
        <v>3012</v>
      </c>
      <c r="BSK173" s="1852" t="s">
        <v>3013</v>
      </c>
      <c r="BSL173" s="1852" t="s">
        <v>3014</v>
      </c>
      <c r="BSM173" s="1852" t="s">
        <v>3015</v>
      </c>
      <c r="BSN173" s="1852" t="s">
        <v>3016</v>
      </c>
      <c r="BSO173" s="1852" t="s">
        <v>3017</v>
      </c>
      <c r="BSP173" s="1852" t="s">
        <v>3018</v>
      </c>
      <c r="BSQ173" s="1852" t="s">
        <v>3019</v>
      </c>
      <c r="BSR173" s="1852" t="s">
        <v>3020</v>
      </c>
      <c r="BSS173" s="1852" t="s">
        <v>3021</v>
      </c>
      <c r="BST173" s="1852" t="s">
        <v>3022</v>
      </c>
      <c r="BSU173" s="1852" t="s">
        <v>3023</v>
      </c>
      <c r="BSV173" s="1852" t="s">
        <v>3024</v>
      </c>
      <c r="BSW173" s="1852" t="s">
        <v>3025</v>
      </c>
      <c r="BSX173" s="1852" t="s">
        <v>3026</v>
      </c>
      <c r="BSY173" s="1852" t="s">
        <v>3027</v>
      </c>
      <c r="BSZ173" s="1852" t="s">
        <v>3028</v>
      </c>
      <c r="BTA173" s="1852" t="s">
        <v>3029</v>
      </c>
      <c r="BTB173" s="1852" t="s">
        <v>3030</v>
      </c>
      <c r="BTC173" s="1852" t="s">
        <v>3031</v>
      </c>
      <c r="BTD173" s="1852" t="s">
        <v>3032</v>
      </c>
      <c r="BTE173" s="1852" t="s">
        <v>3033</v>
      </c>
      <c r="BTF173" s="1852" t="s">
        <v>3034</v>
      </c>
      <c r="BTG173" s="1852" t="s">
        <v>3035</v>
      </c>
      <c r="BTH173" s="1852" t="s">
        <v>3036</v>
      </c>
      <c r="BTI173" s="1852" t="s">
        <v>3037</v>
      </c>
      <c r="BTJ173" s="1852" t="s">
        <v>3038</v>
      </c>
      <c r="BTK173" s="1852" t="s">
        <v>3039</v>
      </c>
      <c r="BTL173" s="1852" t="s">
        <v>3040</v>
      </c>
      <c r="BTM173" s="1852" t="s">
        <v>3041</v>
      </c>
      <c r="BTN173" s="1852" t="s">
        <v>3042</v>
      </c>
      <c r="BTO173" s="1852" t="s">
        <v>3043</v>
      </c>
      <c r="BTP173" s="1852" t="s">
        <v>3044</v>
      </c>
      <c r="BTQ173" s="1852" t="s">
        <v>3045</v>
      </c>
      <c r="BTR173" s="1852" t="s">
        <v>3046</v>
      </c>
      <c r="BTS173" s="1852" t="s">
        <v>3047</v>
      </c>
      <c r="BTT173" s="1852" t="s">
        <v>3048</v>
      </c>
      <c r="BTU173" s="1852" t="s">
        <v>3049</v>
      </c>
      <c r="BTV173" s="1852" t="s">
        <v>3050</v>
      </c>
      <c r="BTW173" s="1852" t="s">
        <v>3051</v>
      </c>
      <c r="BTX173" s="1852" t="s">
        <v>3052</v>
      </c>
      <c r="BTY173" s="1852" t="s">
        <v>3053</v>
      </c>
      <c r="BTZ173" s="1852" t="s">
        <v>3054</v>
      </c>
      <c r="BUA173" s="1852" t="s">
        <v>3055</v>
      </c>
      <c r="BUB173" s="1852" t="s">
        <v>3056</v>
      </c>
      <c r="BUC173" s="1852" t="s">
        <v>3057</v>
      </c>
      <c r="BUD173" s="1852" t="s">
        <v>3058</v>
      </c>
      <c r="BUE173" s="1852" t="s">
        <v>3059</v>
      </c>
      <c r="BUF173" s="1852" t="s">
        <v>3060</v>
      </c>
      <c r="BUG173" s="1852" t="s">
        <v>3061</v>
      </c>
      <c r="BUH173" s="1852" t="s">
        <v>3062</v>
      </c>
      <c r="BUI173" s="1852" t="s">
        <v>3063</v>
      </c>
      <c r="BUJ173" s="1852" t="s">
        <v>3064</v>
      </c>
      <c r="BUK173" s="1852" t="s">
        <v>3065</v>
      </c>
      <c r="BUL173" s="1852" t="s">
        <v>3066</v>
      </c>
      <c r="BUM173" s="1852" t="s">
        <v>3067</v>
      </c>
      <c r="BUN173" s="1852" t="s">
        <v>3068</v>
      </c>
      <c r="BUO173" s="1852" t="s">
        <v>3069</v>
      </c>
      <c r="BUP173" s="1852" t="s">
        <v>3070</v>
      </c>
      <c r="BUQ173" s="1852" t="s">
        <v>3071</v>
      </c>
      <c r="BUR173" s="1852" t="s">
        <v>3072</v>
      </c>
      <c r="BUS173" s="1852" t="s">
        <v>3073</v>
      </c>
      <c r="BUT173" s="1852" t="s">
        <v>3074</v>
      </c>
      <c r="BUU173" s="1852" t="s">
        <v>3075</v>
      </c>
      <c r="BUV173" s="1852" t="s">
        <v>3076</v>
      </c>
      <c r="BUW173" s="1852" t="s">
        <v>3077</v>
      </c>
      <c r="BUX173" s="1852" t="s">
        <v>3078</v>
      </c>
      <c r="BUY173" s="1852" t="s">
        <v>3079</v>
      </c>
      <c r="BUZ173" s="1852" t="s">
        <v>3080</v>
      </c>
      <c r="BVA173" s="1852" t="s">
        <v>3081</v>
      </c>
      <c r="BVB173" s="1852" t="s">
        <v>3082</v>
      </c>
      <c r="BVC173" s="1852" t="s">
        <v>3083</v>
      </c>
      <c r="BVD173" s="1852" t="s">
        <v>3084</v>
      </c>
      <c r="BVE173" s="1852" t="s">
        <v>3085</v>
      </c>
      <c r="BVF173" s="1852" t="s">
        <v>3086</v>
      </c>
      <c r="BVG173" s="1852" t="s">
        <v>3087</v>
      </c>
      <c r="BVH173" s="1852" t="s">
        <v>3088</v>
      </c>
      <c r="BVI173" s="1852" t="s">
        <v>3089</v>
      </c>
      <c r="BVJ173" s="1852" t="s">
        <v>3090</v>
      </c>
      <c r="BVK173" s="1852" t="s">
        <v>3091</v>
      </c>
      <c r="BVL173" s="1852" t="s">
        <v>3092</v>
      </c>
      <c r="BVM173" s="1852" t="s">
        <v>3093</v>
      </c>
      <c r="BVN173" s="1852" t="s">
        <v>3094</v>
      </c>
      <c r="BVO173" s="1852" t="s">
        <v>3095</v>
      </c>
      <c r="BVP173" s="1852" t="s">
        <v>3096</v>
      </c>
      <c r="BVQ173" s="1852" t="s">
        <v>3097</v>
      </c>
      <c r="BVR173" s="1852" t="s">
        <v>3098</v>
      </c>
      <c r="BVS173" s="1852" t="s">
        <v>3099</v>
      </c>
      <c r="BVT173" s="1852" t="s">
        <v>3100</v>
      </c>
      <c r="BVU173" s="1852" t="s">
        <v>3101</v>
      </c>
      <c r="BVV173" s="1852" t="s">
        <v>3102</v>
      </c>
      <c r="BVW173" s="1852" t="s">
        <v>3103</v>
      </c>
      <c r="BVX173" s="1852" t="s">
        <v>3104</v>
      </c>
      <c r="BVY173" s="1852" t="s">
        <v>3105</v>
      </c>
      <c r="BVZ173" s="1852" t="s">
        <v>3106</v>
      </c>
      <c r="BWA173" s="1852" t="s">
        <v>3107</v>
      </c>
      <c r="BWB173" s="1852" t="s">
        <v>3108</v>
      </c>
      <c r="BWC173" s="1852" t="s">
        <v>3109</v>
      </c>
      <c r="BWD173" s="1852" t="s">
        <v>3110</v>
      </c>
      <c r="BWE173" s="1852" t="s">
        <v>3111</v>
      </c>
      <c r="BWF173" s="1852" t="s">
        <v>3112</v>
      </c>
      <c r="BWG173" s="1852" t="s">
        <v>3113</v>
      </c>
      <c r="BWH173" s="1852" t="s">
        <v>3114</v>
      </c>
      <c r="BWI173" s="1852" t="s">
        <v>3115</v>
      </c>
      <c r="BWJ173" s="1852" t="s">
        <v>3116</v>
      </c>
      <c r="BWK173" s="1852" t="s">
        <v>3117</v>
      </c>
      <c r="BWL173" s="1852" t="s">
        <v>3118</v>
      </c>
      <c r="BWM173" s="1852" t="s">
        <v>3119</v>
      </c>
      <c r="BWN173" s="1852" t="s">
        <v>3120</v>
      </c>
      <c r="BWO173" s="1852" t="s">
        <v>3121</v>
      </c>
      <c r="BWP173" s="1852" t="s">
        <v>3122</v>
      </c>
      <c r="BWQ173" s="1852" t="s">
        <v>3123</v>
      </c>
      <c r="BWR173" s="1852" t="s">
        <v>3124</v>
      </c>
      <c r="BWS173" s="1852" t="s">
        <v>3125</v>
      </c>
      <c r="BWT173" s="1852" t="s">
        <v>3126</v>
      </c>
      <c r="BWU173" s="1852" t="s">
        <v>3127</v>
      </c>
      <c r="BWV173" s="1852" t="s">
        <v>3128</v>
      </c>
      <c r="BWW173" s="1852" t="s">
        <v>3129</v>
      </c>
      <c r="BWX173" s="1852" t="s">
        <v>3130</v>
      </c>
      <c r="BWY173" s="1852" t="s">
        <v>3131</v>
      </c>
      <c r="BWZ173" s="1852" t="s">
        <v>3132</v>
      </c>
      <c r="BXA173" s="1852" t="s">
        <v>3133</v>
      </c>
      <c r="BXB173" s="1852" t="s">
        <v>3134</v>
      </c>
      <c r="BXC173" s="1852" t="s">
        <v>3135</v>
      </c>
      <c r="BXD173" s="1852" t="s">
        <v>3136</v>
      </c>
      <c r="BXE173" s="1852" t="s">
        <v>3137</v>
      </c>
      <c r="BXF173" s="1852" t="s">
        <v>3138</v>
      </c>
      <c r="BXG173" s="1852" t="s">
        <v>3139</v>
      </c>
      <c r="BXH173" s="1852" t="s">
        <v>3140</v>
      </c>
      <c r="BXI173" s="1852" t="s">
        <v>3141</v>
      </c>
      <c r="BXJ173" s="1852" t="s">
        <v>3142</v>
      </c>
      <c r="BXK173" s="1852" t="s">
        <v>3143</v>
      </c>
      <c r="BXL173" s="1852" t="s">
        <v>3144</v>
      </c>
      <c r="BXM173" s="1852" t="s">
        <v>3145</v>
      </c>
      <c r="BXN173" s="1852" t="s">
        <v>3146</v>
      </c>
      <c r="BXO173" s="1852" t="s">
        <v>3147</v>
      </c>
      <c r="BXP173" s="1852" t="s">
        <v>3148</v>
      </c>
      <c r="BXQ173" s="1852" t="s">
        <v>3149</v>
      </c>
      <c r="BXR173" s="1852" t="s">
        <v>3150</v>
      </c>
      <c r="BXS173" s="1852" t="s">
        <v>3151</v>
      </c>
      <c r="BXT173" s="1852" t="s">
        <v>3152</v>
      </c>
      <c r="BXU173" s="1852" t="s">
        <v>3153</v>
      </c>
      <c r="BXV173" s="1852" t="s">
        <v>3154</v>
      </c>
      <c r="BXW173" s="1852" t="s">
        <v>3155</v>
      </c>
      <c r="BXX173" s="1852" t="s">
        <v>3156</v>
      </c>
      <c r="BXY173" s="1852" t="s">
        <v>3157</v>
      </c>
      <c r="BXZ173" s="1852" t="s">
        <v>3158</v>
      </c>
      <c r="BYA173" s="1852" t="s">
        <v>3159</v>
      </c>
      <c r="BYB173" s="1852" t="s">
        <v>3160</v>
      </c>
      <c r="BYC173" s="1852" t="s">
        <v>3161</v>
      </c>
      <c r="BYD173" s="1852" t="s">
        <v>3162</v>
      </c>
      <c r="BYE173" s="1852" t="s">
        <v>3163</v>
      </c>
      <c r="BYF173" s="1852" t="s">
        <v>3164</v>
      </c>
      <c r="BYG173" s="1852" t="s">
        <v>3165</v>
      </c>
      <c r="BYH173" s="1852" t="s">
        <v>3166</v>
      </c>
      <c r="BYI173" s="1852" t="s">
        <v>3167</v>
      </c>
      <c r="BYJ173" s="1852" t="s">
        <v>3168</v>
      </c>
      <c r="BYK173" s="1852" t="s">
        <v>3169</v>
      </c>
      <c r="BYL173" s="1852" t="s">
        <v>3170</v>
      </c>
      <c r="BYM173" s="1852" t="s">
        <v>3171</v>
      </c>
      <c r="BYN173" s="1852" t="s">
        <v>3172</v>
      </c>
      <c r="BYO173" s="1852" t="s">
        <v>3173</v>
      </c>
      <c r="BYP173" s="1852" t="s">
        <v>3174</v>
      </c>
      <c r="BYQ173" s="1852" t="s">
        <v>3175</v>
      </c>
      <c r="BYR173" s="1852" t="s">
        <v>3176</v>
      </c>
      <c r="BYS173" s="1852" t="s">
        <v>3177</v>
      </c>
      <c r="BYT173" s="1852" t="s">
        <v>3178</v>
      </c>
      <c r="BYU173" s="1852" t="s">
        <v>3179</v>
      </c>
      <c r="BYV173" s="1852" t="s">
        <v>3180</v>
      </c>
      <c r="BYW173" s="1852" t="s">
        <v>3181</v>
      </c>
      <c r="BYX173" s="1852" t="s">
        <v>3182</v>
      </c>
      <c r="BYY173" s="1852" t="s">
        <v>3183</v>
      </c>
      <c r="BYZ173" s="1852" t="s">
        <v>3184</v>
      </c>
      <c r="BZA173" s="1852" t="s">
        <v>3185</v>
      </c>
      <c r="BZB173" s="1852" t="s">
        <v>3186</v>
      </c>
      <c r="BZC173" s="1852" t="s">
        <v>3187</v>
      </c>
      <c r="BZD173" s="1852" t="s">
        <v>3188</v>
      </c>
      <c r="BZE173" s="1852" t="s">
        <v>3189</v>
      </c>
      <c r="BZF173" s="1852" t="s">
        <v>3190</v>
      </c>
      <c r="BZG173" s="1852" t="s">
        <v>3191</v>
      </c>
      <c r="BZH173" s="1852" t="s">
        <v>3192</v>
      </c>
      <c r="BZI173" s="1852" t="s">
        <v>3193</v>
      </c>
      <c r="BZJ173" s="1852" t="s">
        <v>3194</v>
      </c>
      <c r="BZK173" s="1852" t="s">
        <v>3195</v>
      </c>
      <c r="BZL173" s="1852" t="s">
        <v>3196</v>
      </c>
      <c r="BZM173" s="1852" t="s">
        <v>3197</v>
      </c>
      <c r="BZN173" s="1852" t="s">
        <v>3198</v>
      </c>
      <c r="BZO173" s="1852" t="s">
        <v>3199</v>
      </c>
      <c r="BZP173" s="1852" t="s">
        <v>3200</v>
      </c>
      <c r="BZQ173" s="1852" t="s">
        <v>3201</v>
      </c>
      <c r="BZR173" s="1852" t="s">
        <v>3202</v>
      </c>
      <c r="BZS173" s="1852" t="s">
        <v>3203</v>
      </c>
      <c r="BZT173" s="1852" t="s">
        <v>3204</v>
      </c>
      <c r="BZU173" s="1852" t="s">
        <v>3205</v>
      </c>
      <c r="BZV173" s="1852" t="s">
        <v>3206</v>
      </c>
      <c r="BZW173" s="1852" t="s">
        <v>3207</v>
      </c>
      <c r="BZX173" s="1852" t="s">
        <v>3208</v>
      </c>
      <c r="BZY173" s="1852" t="s">
        <v>3209</v>
      </c>
      <c r="BZZ173" s="1852" t="s">
        <v>3210</v>
      </c>
      <c r="CAA173" s="1852" t="s">
        <v>3211</v>
      </c>
      <c r="CAB173" s="1852" t="s">
        <v>3212</v>
      </c>
      <c r="CAC173" s="1852" t="s">
        <v>3213</v>
      </c>
      <c r="CAD173" s="1852" t="s">
        <v>3214</v>
      </c>
      <c r="CAE173" s="1852" t="s">
        <v>3215</v>
      </c>
      <c r="CAF173" s="1852" t="s">
        <v>3216</v>
      </c>
      <c r="CAG173" s="1852" t="s">
        <v>3217</v>
      </c>
      <c r="CAH173" s="1852" t="s">
        <v>3218</v>
      </c>
      <c r="CAI173" s="1852" t="s">
        <v>3219</v>
      </c>
      <c r="CAJ173" s="1852" t="s">
        <v>3220</v>
      </c>
      <c r="CAK173" s="1852" t="s">
        <v>3221</v>
      </c>
      <c r="CAL173" s="1852" t="s">
        <v>3222</v>
      </c>
      <c r="CAM173" s="1852" t="s">
        <v>3223</v>
      </c>
      <c r="CAN173" s="1852" t="s">
        <v>3224</v>
      </c>
      <c r="CAO173" s="1852" t="s">
        <v>3225</v>
      </c>
      <c r="CAP173" s="1852" t="s">
        <v>3226</v>
      </c>
      <c r="CAQ173" s="1852" t="s">
        <v>3227</v>
      </c>
      <c r="CAR173" s="1852" t="s">
        <v>3228</v>
      </c>
      <c r="CAS173" s="1852" t="s">
        <v>3229</v>
      </c>
      <c r="CAT173" s="1852" t="s">
        <v>3230</v>
      </c>
      <c r="CAU173" s="1852" t="s">
        <v>3231</v>
      </c>
      <c r="CAV173" s="1852" t="s">
        <v>3232</v>
      </c>
      <c r="CAW173" s="1852" t="s">
        <v>3233</v>
      </c>
      <c r="CAX173" s="1852" t="s">
        <v>3234</v>
      </c>
      <c r="CAY173" s="1852" t="s">
        <v>3235</v>
      </c>
      <c r="CAZ173" s="1852" t="s">
        <v>3236</v>
      </c>
      <c r="CBA173" s="1852" t="s">
        <v>3237</v>
      </c>
      <c r="CBB173" s="1852" t="s">
        <v>3238</v>
      </c>
      <c r="CBC173" s="1852" t="s">
        <v>3239</v>
      </c>
      <c r="CBD173" s="1852" t="s">
        <v>3240</v>
      </c>
      <c r="CBE173" s="1852" t="s">
        <v>3241</v>
      </c>
      <c r="CBF173" s="1852" t="s">
        <v>3242</v>
      </c>
      <c r="CBG173" s="1852" t="s">
        <v>3243</v>
      </c>
      <c r="CBH173" s="1852" t="s">
        <v>3244</v>
      </c>
      <c r="CBI173" s="1852" t="s">
        <v>3245</v>
      </c>
      <c r="CBJ173" s="1852" t="s">
        <v>3246</v>
      </c>
      <c r="CBK173" s="1852" t="s">
        <v>3247</v>
      </c>
      <c r="CBL173" s="1852" t="s">
        <v>3248</v>
      </c>
      <c r="CBM173" s="1852" t="s">
        <v>3249</v>
      </c>
      <c r="CBN173" s="1852" t="s">
        <v>3250</v>
      </c>
      <c r="CBO173" s="1852" t="s">
        <v>3251</v>
      </c>
      <c r="CBP173" s="1852" t="s">
        <v>3252</v>
      </c>
      <c r="CBQ173" s="1852" t="s">
        <v>3253</v>
      </c>
      <c r="CBR173" s="1852" t="s">
        <v>3254</v>
      </c>
      <c r="CBS173" s="1852" t="s">
        <v>3255</v>
      </c>
      <c r="CBT173" s="1852" t="s">
        <v>3256</v>
      </c>
      <c r="CBU173" s="1852" t="s">
        <v>3257</v>
      </c>
      <c r="CBV173" s="1852" t="s">
        <v>3258</v>
      </c>
      <c r="CBW173" s="1852" t="s">
        <v>3259</v>
      </c>
      <c r="CBX173" s="1852" t="s">
        <v>3260</v>
      </c>
      <c r="CBY173" s="1852" t="s">
        <v>3261</v>
      </c>
      <c r="CBZ173" s="1852" t="s">
        <v>3262</v>
      </c>
      <c r="CCA173" s="1852" t="s">
        <v>3263</v>
      </c>
      <c r="CCB173" s="1852" t="s">
        <v>3264</v>
      </c>
      <c r="CCC173" s="1852" t="s">
        <v>3265</v>
      </c>
      <c r="CCD173" s="1852" t="s">
        <v>3266</v>
      </c>
      <c r="CCE173" s="1852" t="s">
        <v>3267</v>
      </c>
      <c r="CCF173" s="1852" t="s">
        <v>3268</v>
      </c>
      <c r="CCG173" s="1852" t="s">
        <v>3269</v>
      </c>
      <c r="CCH173" s="1852" t="s">
        <v>3270</v>
      </c>
      <c r="CCI173" s="1852" t="s">
        <v>3271</v>
      </c>
      <c r="CCJ173" s="1852" t="s">
        <v>3272</v>
      </c>
      <c r="CCK173" s="1852" t="s">
        <v>3273</v>
      </c>
      <c r="CCL173" s="1852" t="s">
        <v>3274</v>
      </c>
      <c r="CCM173" s="1852" t="s">
        <v>3275</v>
      </c>
      <c r="CCN173" s="1852" t="s">
        <v>3276</v>
      </c>
      <c r="CCO173" s="1852" t="s">
        <v>3277</v>
      </c>
      <c r="CCP173" s="1852" t="s">
        <v>3278</v>
      </c>
      <c r="CCQ173" s="1852" t="s">
        <v>3279</v>
      </c>
      <c r="CCR173" s="1852" t="s">
        <v>3280</v>
      </c>
      <c r="CCS173" s="1852" t="s">
        <v>3281</v>
      </c>
      <c r="CCT173" s="1852" t="s">
        <v>3282</v>
      </c>
      <c r="CCU173" s="1852" t="s">
        <v>3283</v>
      </c>
      <c r="CCV173" s="1852" t="s">
        <v>3284</v>
      </c>
      <c r="CCW173" s="1852" t="s">
        <v>3285</v>
      </c>
      <c r="CCX173" s="1852" t="s">
        <v>3286</v>
      </c>
      <c r="CCY173" s="1852" t="s">
        <v>3287</v>
      </c>
      <c r="CCZ173" s="1852" t="s">
        <v>3288</v>
      </c>
      <c r="CDA173" s="1852" t="s">
        <v>3289</v>
      </c>
      <c r="CDB173" s="1852" t="s">
        <v>3290</v>
      </c>
      <c r="CDC173" s="1852" t="s">
        <v>3291</v>
      </c>
      <c r="CDD173" s="1852" t="s">
        <v>3292</v>
      </c>
      <c r="CDE173" s="1852" t="s">
        <v>3293</v>
      </c>
      <c r="CDF173" s="1852" t="s">
        <v>3294</v>
      </c>
      <c r="CDG173" s="1852" t="s">
        <v>3295</v>
      </c>
      <c r="CDH173" s="1852" t="s">
        <v>3296</v>
      </c>
      <c r="CDI173" s="1852" t="s">
        <v>3297</v>
      </c>
      <c r="CDJ173" s="1852" t="s">
        <v>3298</v>
      </c>
      <c r="CDK173" s="1852" t="s">
        <v>3299</v>
      </c>
      <c r="CDL173" s="1852" t="s">
        <v>3300</v>
      </c>
      <c r="CDM173" s="1852" t="s">
        <v>3301</v>
      </c>
      <c r="CDN173" s="1852" t="s">
        <v>3302</v>
      </c>
      <c r="CDO173" s="1852" t="s">
        <v>3303</v>
      </c>
      <c r="CDP173" s="1852" t="s">
        <v>3304</v>
      </c>
      <c r="CDQ173" s="1852" t="s">
        <v>3305</v>
      </c>
      <c r="CDR173" s="1852" t="s">
        <v>3306</v>
      </c>
      <c r="CDS173" s="1852" t="s">
        <v>3307</v>
      </c>
      <c r="CDT173" s="1852" t="s">
        <v>3308</v>
      </c>
      <c r="CDU173" s="1852" t="s">
        <v>3309</v>
      </c>
      <c r="CDV173" s="1852" t="s">
        <v>3310</v>
      </c>
      <c r="CDW173" s="1852" t="s">
        <v>3311</v>
      </c>
      <c r="CDX173" s="1852" t="s">
        <v>3312</v>
      </c>
      <c r="CDY173" s="1852" t="s">
        <v>3313</v>
      </c>
      <c r="CDZ173" s="1852" t="s">
        <v>3314</v>
      </c>
      <c r="CEA173" s="1852" t="s">
        <v>3315</v>
      </c>
      <c r="CEB173" s="1852" t="s">
        <v>3316</v>
      </c>
      <c r="CEC173" s="1852" t="s">
        <v>3317</v>
      </c>
      <c r="CED173" s="1852" t="s">
        <v>3318</v>
      </c>
      <c r="CEE173" s="1852" t="s">
        <v>3319</v>
      </c>
      <c r="CEF173" s="1852" t="s">
        <v>3320</v>
      </c>
      <c r="CEG173" s="1852" t="s">
        <v>3321</v>
      </c>
      <c r="CEH173" s="1852" t="s">
        <v>3322</v>
      </c>
      <c r="CEI173" s="1852" t="s">
        <v>3323</v>
      </c>
      <c r="CEJ173" s="1852" t="s">
        <v>3324</v>
      </c>
      <c r="CEK173" s="1852" t="s">
        <v>3325</v>
      </c>
      <c r="CEL173" s="1852" t="s">
        <v>3326</v>
      </c>
      <c r="CEM173" s="1852" t="s">
        <v>3327</v>
      </c>
      <c r="CEN173" s="1852" t="s">
        <v>3328</v>
      </c>
      <c r="CEO173" s="1852" t="s">
        <v>3329</v>
      </c>
      <c r="CEP173" s="1852" t="s">
        <v>3330</v>
      </c>
      <c r="CEQ173" s="1852" t="s">
        <v>3331</v>
      </c>
      <c r="CER173" s="1852" t="s">
        <v>3332</v>
      </c>
      <c r="CES173" s="1852" t="s">
        <v>3333</v>
      </c>
      <c r="CET173" s="1852" t="s">
        <v>3334</v>
      </c>
      <c r="CEU173" s="1852" t="s">
        <v>3335</v>
      </c>
      <c r="CEV173" s="1852" t="s">
        <v>3336</v>
      </c>
      <c r="CEW173" s="1852" t="s">
        <v>3337</v>
      </c>
      <c r="CEX173" s="1852" t="s">
        <v>3338</v>
      </c>
      <c r="CEY173" s="1852" t="s">
        <v>3339</v>
      </c>
      <c r="CEZ173" s="1852" t="s">
        <v>3340</v>
      </c>
      <c r="CFA173" s="1852" t="s">
        <v>3341</v>
      </c>
      <c r="CFB173" s="1852" t="s">
        <v>3342</v>
      </c>
      <c r="CFC173" s="1852" t="s">
        <v>3343</v>
      </c>
      <c r="CFD173" s="1852" t="s">
        <v>3344</v>
      </c>
      <c r="CFE173" s="1852" t="s">
        <v>3345</v>
      </c>
      <c r="CFF173" s="1852" t="s">
        <v>3346</v>
      </c>
      <c r="CFG173" s="1852" t="s">
        <v>3347</v>
      </c>
      <c r="CFH173" s="1852" t="s">
        <v>3348</v>
      </c>
      <c r="CFI173" s="1852" t="s">
        <v>3349</v>
      </c>
      <c r="CFJ173" s="1852" t="s">
        <v>3350</v>
      </c>
      <c r="CFK173" s="1852" t="s">
        <v>3351</v>
      </c>
      <c r="CFL173" s="1852" t="s">
        <v>3352</v>
      </c>
      <c r="CFM173" s="1852" t="s">
        <v>3353</v>
      </c>
      <c r="CFN173" s="1852" t="s">
        <v>3354</v>
      </c>
      <c r="CFO173" s="1852" t="s">
        <v>3355</v>
      </c>
      <c r="CFP173" s="1852" t="s">
        <v>3356</v>
      </c>
      <c r="CFQ173" s="1852" t="s">
        <v>3357</v>
      </c>
      <c r="CFR173" s="1852" t="s">
        <v>3358</v>
      </c>
      <c r="CFS173" s="1852" t="s">
        <v>3359</v>
      </c>
      <c r="CFT173" s="1852" t="s">
        <v>3360</v>
      </c>
      <c r="CFU173" s="1852" t="s">
        <v>3361</v>
      </c>
      <c r="CFV173" s="1852" t="s">
        <v>3362</v>
      </c>
      <c r="CFW173" s="1852" t="s">
        <v>3363</v>
      </c>
      <c r="CFX173" s="1852" t="s">
        <v>3364</v>
      </c>
      <c r="CFY173" s="1852" t="s">
        <v>3365</v>
      </c>
      <c r="CFZ173" s="1852" t="s">
        <v>3366</v>
      </c>
      <c r="CGA173" s="1852" t="s">
        <v>3367</v>
      </c>
      <c r="CGB173" s="1852" t="s">
        <v>3368</v>
      </c>
      <c r="CGC173" s="1852" t="s">
        <v>3369</v>
      </c>
      <c r="CGD173" s="1852" t="s">
        <v>3370</v>
      </c>
      <c r="CGE173" s="1852" t="s">
        <v>3371</v>
      </c>
      <c r="CGF173" s="1852" t="s">
        <v>3372</v>
      </c>
      <c r="CGG173" s="1852" t="s">
        <v>3373</v>
      </c>
      <c r="CGH173" s="1852" t="s">
        <v>3374</v>
      </c>
      <c r="CGI173" s="1852" t="s">
        <v>3375</v>
      </c>
      <c r="CGJ173" s="1852" t="s">
        <v>3376</v>
      </c>
      <c r="CGK173" s="1852" t="s">
        <v>3377</v>
      </c>
      <c r="CGL173" s="1852" t="s">
        <v>3378</v>
      </c>
      <c r="CGM173" s="1852" t="s">
        <v>3379</v>
      </c>
      <c r="CGN173" s="1852" t="s">
        <v>3380</v>
      </c>
      <c r="CGO173" s="1852" t="s">
        <v>3381</v>
      </c>
      <c r="CGP173" s="1852" t="s">
        <v>3382</v>
      </c>
      <c r="CGQ173" s="1852" t="s">
        <v>3383</v>
      </c>
      <c r="CGR173" s="1852" t="s">
        <v>3384</v>
      </c>
      <c r="CGS173" s="1852" t="s">
        <v>3385</v>
      </c>
      <c r="CGT173" s="1852" t="s">
        <v>3386</v>
      </c>
      <c r="CGU173" s="1852" t="s">
        <v>3387</v>
      </c>
      <c r="CGV173" s="1852" t="s">
        <v>3388</v>
      </c>
      <c r="CGW173" s="1852" t="s">
        <v>3389</v>
      </c>
      <c r="CGX173" s="1852" t="s">
        <v>3390</v>
      </c>
      <c r="CGY173" s="1852" t="s">
        <v>3391</v>
      </c>
      <c r="CGZ173" s="1852" t="s">
        <v>3392</v>
      </c>
      <c r="CHA173" s="1852" t="s">
        <v>3393</v>
      </c>
      <c r="CHB173" s="1852" t="s">
        <v>3394</v>
      </c>
      <c r="CHC173" s="1852" t="s">
        <v>3395</v>
      </c>
      <c r="CHD173" s="1852" t="s">
        <v>3396</v>
      </c>
      <c r="CHE173" s="1852" t="s">
        <v>3397</v>
      </c>
      <c r="CHF173" s="1852" t="s">
        <v>3398</v>
      </c>
      <c r="CHG173" s="1852" t="s">
        <v>3399</v>
      </c>
      <c r="CHH173" s="1852" t="s">
        <v>3400</v>
      </c>
      <c r="CHI173" s="1852" t="s">
        <v>3401</v>
      </c>
      <c r="CHJ173" s="1852" t="s">
        <v>3402</v>
      </c>
      <c r="CHK173" s="1852" t="s">
        <v>3403</v>
      </c>
      <c r="CHL173" s="1852" t="s">
        <v>3404</v>
      </c>
      <c r="CHM173" s="1852" t="s">
        <v>3405</v>
      </c>
      <c r="CHN173" s="1852" t="s">
        <v>3406</v>
      </c>
      <c r="CHO173" s="1852" t="s">
        <v>3407</v>
      </c>
      <c r="CHP173" s="1852" t="s">
        <v>3408</v>
      </c>
      <c r="CHQ173" s="1852" t="s">
        <v>3409</v>
      </c>
      <c r="CHR173" s="1852" t="s">
        <v>3410</v>
      </c>
      <c r="CHS173" s="1852" t="s">
        <v>3411</v>
      </c>
      <c r="CHT173" s="1852" t="s">
        <v>3412</v>
      </c>
      <c r="CHU173" s="1852" t="s">
        <v>3413</v>
      </c>
      <c r="CHV173" s="1852" t="s">
        <v>3414</v>
      </c>
      <c r="CHW173" s="1852" t="s">
        <v>3415</v>
      </c>
      <c r="CHX173" s="1852" t="s">
        <v>3416</v>
      </c>
      <c r="CHY173" s="1852" t="s">
        <v>3417</v>
      </c>
      <c r="CHZ173" s="1852" t="s">
        <v>3418</v>
      </c>
      <c r="CIA173" s="1852" t="s">
        <v>3419</v>
      </c>
      <c r="CIB173" s="1852" t="s">
        <v>3420</v>
      </c>
      <c r="CIC173" s="1852" t="s">
        <v>3421</v>
      </c>
      <c r="CID173" s="1852" t="s">
        <v>3422</v>
      </c>
      <c r="CIE173" s="1852" t="s">
        <v>3423</v>
      </c>
      <c r="CIF173" s="1852" t="s">
        <v>3424</v>
      </c>
      <c r="CIG173" s="1852" t="s">
        <v>3425</v>
      </c>
      <c r="CIH173" s="1852" t="s">
        <v>3426</v>
      </c>
      <c r="CII173" s="1852" t="s">
        <v>3427</v>
      </c>
      <c r="CIJ173" s="1852" t="s">
        <v>3428</v>
      </c>
      <c r="CIK173" s="1852" t="s">
        <v>3429</v>
      </c>
      <c r="CIL173" s="1852" t="s">
        <v>3430</v>
      </c>
      <c r="CIM173" s="1852" t="s">
        <v>3431</v>
      </c>
      <c r="CIN173" s="1852" t="s">
        <v>3432</v>
      </c>
      <c r="CIO173" s="1852" t="s">
        <v>3433</v>
      </c>
      <c r="CIP173" s="1852" t="s">
        <v>3434</v>
      </c>
      <c r="CIQ173" s="1852" t="s">
        <v>3435</v>
      </c>
      <c r="CIR173" s="1852" t="s">
        <v>3436</v>
      </c>
      <c r="CIS173" s="1852" t="s">
        <v>3437</v>
      </c>
      <c r="CIT173" s="1852" t="s">
        <v>3438</v>
      </c>
      <c r="CIU173" s="1852" t="s">
        <v>3439</v>
      </c>
      <c r="CIV173" s="1852" t="s">
        <v>3440</v>
      </c>
      <c r="CIW173" s="1852" t="s">
        <v>3441</v>
      </c>
      <c r="CIX173" s="1852" t="s">
        <v>3442</v>
      </c>
      <c r="CIY173" s="1852" t="s">
        <v>3443</v>
      </c>
      <c r="CIZ173" s="1852" t="s">
        <v>3444</v>
      </c>
      <c r="CJA173" s="1852" t="s">
        <v>3445</v>
      </c>
      <c r="CJB173" s="1852" t="s">
        <v>3446</v>
      </c>
      <c r="CJC173" s="1852" t="s">
        <v>3447</v>
      </c>
      <c r="CJD173" s="1852" t="s">
        <v>3448</v>
      </c>
      <c r="CJE173" s="1852" t="s">
        <v>3449</v>
      </c>
      <c r="CJF173" s="1852" t="s">
        <v>3450</v>
      </c>
      <c r="CJG173" s="1852" t="s">
        <v>3451</v>
      </c>
      <c r="CJH173" s="1852" t="s">
        <v>3452</v>
      </c>
      <c r="CJI173" s="1852" t="s">
        <v>3453</v>
      </c>
      <c r="CJJ173" s="1852" t="s">
        <v>3454</v>
      </c>
      <c r="CJK173" s="1852" t="s">
        <v>3455</v>
      </c>
      <c r="CJL173" s="1852" t="s">
        <v>3456</v>
      </c>
      <c r="CJM173" s="1852" t="s">
        <v>3457</v>
      </c>
      <c r="CJN173" s="1852" t="s">
        <v>3458</v>
      </c>
      <c r="CJO173" s="1852" t="s">
        <v>3459</v>
      </c>
      <c r="CJP173" s="1852" t="s">
        <v>3460</v>
      </c>
      <c r="CJQ173" s="1852" t="s">
        <v>3461</v>
      </c>
      <c r="CJR173" s="1852" t="s">
        <v>3462</v>
      </c>
      <c r="CJS173" s="1852" t="s">
        <v>3463</v>
      </c>
      <c r="CJT173" s="1852" t="s">
        <v>3464</v>
      </c>
      <c r="CJU173" s="1852" t="s">
        <v>3465</v>
      </c>
      <c r="CJV173" s="1852" t="s">
        <v>3466</v>
      </c>
      <c r="CJW173" s="1852" t="s">
        <v>3467</v>
      </c>
      <c r="CJX173" s="1852" t="s">
        <v>3468</v>
      </c>
      <c r="CJY173" s="1852" t="s">
        <v>3469</v>
      </c>
      <c r="CJZ173" s="1852" t="s">
        <v>3470</v>
      </c>
      <c r="CKA173" s="1852" t="s">
        <v>3471</v>
      </c>
      <c r="CKB173" s="1852" t="s">
        <v>3472</v>
      </c>
      <c r="CKC173" s="1852" t="s">
        <v>3473</v>
      </c>
      <c r="CKD173" s="1852" t="s">
        <v>3474</v>
      </c>
      <c r="CKE173" s="1852" t="s">
        <v>3475</v>
      </c>
      <c r="CKF173" s="1852" t="s">
        <v>3476</v>
      </c>
      <c r="CKG173" s="1852" t="s">
        <v>3477</v>
      </c>
      <c r="CKH173" s="1852" t="s">
        <v>3478</v>
      </c>
      <c r="CKI173" s="1852" t="s">
        <v>3479</v>
      </c>
      <c r="CKJ173" s="1852" t="s">
        <v>3480</v>
      </c>
      <c r="CKK173" s="1852" t="s">
        <v>3481</v>
      </c>
      <c r="CKL173" s="1852" t="s">
        <v>3482</v>
      </c>
      <c r="CKM173" s="1852" t="s">
        <v>3483</v>
      </c>
      <c r="CKN173" s="1852" t="s">
        <v>3484</v>
      </c>
      <c r="CKO173" s="1852" t="s">
        <v>3485</v>
      </c>
      <c r="CKP173" s="1852" t="s">
        <v>3486</v>
      </c>
      <c r="CKQ173" s="1852" t="s">
        <v>3487</v>
      </c>
      <c r="CKR173" s="1852" t="s">
        <v>3488</v>
      </c>
      <c r="CKS173" s="1852" t="s">
        <v>3489</v>
      </c>
      <c r="CKT173" s="1852" t="s">
        <v>3490</v>
      </c>
      <c r="CKU173" s="1852" t="s">
        <v>3491</v>
      </c>
      <c r="CKV173" s="1852" t="s">
        <v>3492</v>
      </c>
      <c r="CKW173" s="1852" t="s">
        <v>3493</v>
      </c>
      <c r="CKX173" s="1852" t="s">
        <v>3494</v>
      </c>
      <c r="CKY173" s="1852" t="s">
        <v>3495</v>
      </c>
      <c r="CKZ173" s="1852" t="s">
        <v>3496</v>
      </c>
      <c r="CLA173" s="1852" t="s">
        <v>3497</v>
      </c>
      <c r="CLB173" s="1852" t="s">
        <v>3498</v>
      </c>
      <c r="CLC173" s="1852" t="s">
        <v>3499</v>
      </c>
      <c r="CLD173" s="1852" t="s">
        <v>3500</v>
      </c>
      <c r="CLE173" s="1852" t="s">
        <v>3501</v>
      </c>
      <c r="CLF173" s="1852" t="s">
        <v>3502</v>
      </c>
      <c r="CLG173" s="1852" t="s">
        <v>3503</v>
      </c>
      <c r="CLH173" s="1852" t="s">
        <v>3504</v>
      </c>
      <c r="CLI173" s="1852" t="s">
        <v>3505</v>
      </c>
      <c r="CLJ173" s="1852" t="s">
        <v>3506</v>
      </c>
      <c r="CLK173" s="1852" t="s">
        <v>3507</v>
      </c>
      <c r="CLL173" s="1852" t="s">
        <v>3508</v>
      </c>
      <c r="CLM173" s="1852" t="s">
        <v>3509</v>
      </c>
      <c r="CLN173" s="1852" t="s">
        <v>3510</v>
      </c>
      <c r="CLO173" s="1852" t="s">
        <v>3511</v>
      </c>
      <c r="CLP173" s="1852" t="s">
        <v>3512</v>
      </c>
      <c r="CLQ173" s="1852" t="s">
        <v>3513</v>
      </c>
      <c r="CLR173" s="1852" t="s">
        <v>3514</v>
      </c>
      <c r="CLS173" s="1852" t="s">
        <v>3515</v>
      </c>
      <c r="CLT173" s="1852" t="s">
        <v>3516</v>
      </c>
      <c r="CLU173" s="1852" t="s">
        <v>3517</v>
      </c>
      <c r="CLV173" s="1852" t="s">
        <v>3518</v>
      </c>
      <c r="CLW173" s="1852" t="s">
        <v>3519</v>
      </c>
      <c r="CLX173" s="1852" t="s">
        <v>3520</v>
      </c>
      <c r="CLY173" s="1852" t="s">
        <v>3521</v>
      </c>
      <c r="CLZ173" s="1852" t="s">
        <v>3522</v>
      </c>
      <c r="CMA173" s="1852" t="s">
        <v>3523</v>
      </c>
      <c r="CMB173" s="1852" t="s">
        <v>3524</v>
      </c>
      <c r="CMC173" s="1852" t="s">
        <v>3525</v>
      </c>
      <c r="CMD173" s="1852" t="s">
        <v>3526</v>
      </c>
      <c r="CME173" s="1852" t="s">
        <v>3527</v>
      </c>
      <c r="CMF173" s="1852" t="s">
        <v>3528</v>
      </c>
      <c r="CMG173" s="1852" t="s">
        <v>3529</v>
      </c>
      <c r="CMH173" s="1852" t="s">
        <v>3530</v>
      </c>
      <c r="CMI173" s="1852" t="s">
        <v>3531</v>
      </c>
      <c r="CMJ173" s="1852" t="s">
        <v>3532</v>
      </c>
      <c r="CMK173" s="1852" t="s">
        <v>3533</v>
      </c>
      <c r="CML173" s="1852" t="s">
        <v>3534</v>
      </c>
      <c r="CMM173" s="1852" t="s">
        <v>3535</v>
      </c>
      <c r="CMN173" s="1852" t="s">
        <v>3536</v>
      </c>
      <c r="CMO173" s="1852" t="s">
        <v>3537</v>
      </c>
      <c r="CMP173" s="1852" t="s">
        <v>3538</v>
      </c>
      <c r="CMQ173" s="1852" t="s">
        <v>3539</v>
      </c>
      <c r="CMR173" s="1852" t="s">
        <v>3540</v>
      </c>
      <c r="CMS173" s="1852" t="s">
        <v>3541</v>
      </c>
      <c r="CMT173" s="1852" t="s">
        <v>3542</v>
      </c>
      <c r="CMU173" s="1852" t="s">
        <v>3543</v>
      </c>
      <c r="CMV173" s="1852" t="s">
        <v>3544</v>
      </c>
      <c r="CMW173" s="1852" t="s">
        <v>3545</v>
      </c>
      <c r="CMX173" s="1852" t="s">
        <v>3546</v>
      </c>
      <c r="CMY173" s="1852" t="s">
        <v>3547</v>
      </c>
      <c r="CMZ173" s="1852" t="s">
        <v>3548</v>
      </c>
      <c r="CNA173" s="1852" t="s">
        <v>3549</v>
      </c>
      <c r="CNB173" s="1852" t="s">
        <v>3550</v>
      </c>
      <c r="CNC173" s="1852" t="s">
        <v>3551</v>
      </c>
      <c r="CND173" s="1852" t="s">
        <v>3552</v>
      </c>
      <c r="CNE173" s="1852" t="s">
        <v>3553</v>
      </c>
      <c r="CNF173" s="1852" t="s">
        <v>3554</v>
      </c>
      <c r="CNG173" s="1852" t="s">
        <v>3555</v>
      </c>
      <c r="CNH173" s="1852" t="s">
        <v>3556</v>
      </c>
      <c r="CNI173" s="1852" t="s">
        <v>3557</v>
      </c>
      <c r="CNJ173" s="1852" t="s">
        <v>3558</v>
      </c>
      <c r="CNK173" s="1852" t="s">
        <v>3559</v>
      </c>
      <c r="CNL173" s="1852" t="s">
        <v>3560</v>
      </c>
      <c r="CNM173" s="1852" t="s">
        <v>3561</v>
      </c>
      <c r="CNN173" s="1852" t="s">
        <v>3562</v>
      </c>
      <c r="CNO173" s="1852" t="s">
        <v>3563</v>
      </c>
      <c r="CNP173" s="1852" t="s">
        <v>3564</v>
      </c>
      <c r="CNQ173" s="1852" t="s">
        <v>3565</v>
      </c>
      <c r="CNR173" s="1852" t="s">
        <v>3566</v>
      </c>
      <c r="CNS173" s="1852" t="s">
        <v>3567</v>
      </c>
      <c r="CNT173" s="1852" t="s">
        <v>3568</v>
      </c>
      <c r="CNU173" s="1852" t="s">
        <v>3569</v>
      </c>
      <c r="CNV173" s="1852" t="s">
        <v>3570</v>
      </c>
      <c r="CNW173" s="1852" t="s">
        <v>3571</v>
      </c>
      <c r="CNX173" s="1852" t="s">
        <v>3572</v>
      </c>
      <c r="CNY173" s="1852" t="s">
        <v>3573</v>
      </c>
      <c r="CNZ173" s="1852" t="s">
        <v>3574</v>
      </c>
      <c r="COA173" s="1852" t="s">
        <v>3575</v>
      </c>
      <c r="COB173" s="1852" t="s">
        <v>3576</v>
      </c>
      <c r="COC173" s="1852" t="s">
        <v>3577</v>
      </c>
      <c r="COD173" s="1852" t="s">
        <v>3578</v>
      </c>
      <c r="COE173" s="1852" t="s">
        <v>3579</v>
      </c>
      <c r="COF173" s="1852" t="s">
        <v>3580</v>
      </c>
      <c r="COG173" s="1852" t="s">
        <v>3581</v>
      </c>
      <c r="COH173" s="1852" t="s">
        <v>3582</v>
      </c>
      <c r="COI173" s="1852" t="s">
        <v>3583</v>
      </c>
      <c r="COJ173" s="1852" t="s">
        <v>3584</v>
      </c>
      <c r="COK173" s="1852" t="s">
        <v>3585</v>
      </c>
      <c r="COL173" s="1852" t="s">
        <v>3586</v>
      </c>
      <c r="COM173" s="1852" t="s">
        <v>3587</v>
      </c>
      <c r="CON173" s="1852" t="s">
        <v>3588</v>
      </c>
      <c r="COO173" s="1852" t="s">
        <v>3589</v>
      </c>
      <c r="COP173" s="1852" t="s">
        <v>3590</v>
      </c>
      <c r="COQ173" s="1852" t="s">
        <v>3591</v>
      </c>
      <c r="COR173" s="1852" t="s">
        <v>3592</v>
      </c>
      <c r="COS173" s="1852" t="s">
        <v>3593</v>
      </c>
      <c r="COT173" s="1852" t="s">
        <v>3594</v>
      </c>
      <c r="COU173" s="1852" t="s">
        <v>3595</v>
      </c>
      <c r="COV173" s="1852" t="s">
        <v>3596</v>
      </c>
      <c r="COW173" s="1852" t="s">
        <v>3597</v>
      </c>
      <c r="COX173" s="1852" t="s">
        <v>3598</v>
      </c>
      <c r="COY173" s="1852" t="s">
        <v>3599</v>
      </c>
      <c r="COZ173" s="1852" t="s">
        <v>3600</v>
      </c>
      <c r="CPA173" s="1852" t="s">
        <v>3601</v>
      </c>
      <c r="CPB173" s="1852" t="s">
        <v>3602</v>
      </c>
      <c r="CPC173" s="1852" t="s">
        <v>3603</v>
      </c>
      <c r="CPD173" s="1852" t="s">
        <v>3604</v>
      </c>
      <c r="CPE173" s="1852" t="s">
        <v>3605</v>
      </c>
      <c r="CPF173" s="1852" t="s">
        <v>3606</v>
      </c>
      <c r="CPG173" s="1852" t="s">
        <v>3607</v>
      </c>
      <c r="CPH173" s="1852" t="s">
        <v>3608</v>
      </c>
      <c r="CPI173" s="1852" t="s">
        <v>3609</v>
      </c>
      <c r="CPJ173" s="1852" t="s">
        <v>3610</v>
      </c>
      <c r="CPK173" s="1852" t="s">
        <v>3611</v>
      </c>
      <c r="CPL173" s="1852" t="s">
        <v>3612</v>
      </c>
      <c r="CPM173" s="1852" t="s">
        <v>3613</v>
      </c>
      <c r="CPN173" s="1852" t="s">
        <v>3614</v>
      </c>
      <c r="CPO173" s="1852" t="s">
        <v>3615</v>
      </c>
      <c r="CPP173" s="1852" t="s">
        <v>3616</v>
      </c>
      <c r="CPQ173" s="1852" t="s">
        <v>3617</v>
      </c>
      <c r="CPR173" s="1852" t="s">
        <v>3618</v>
      </c>
      <c r="CPS173" s="1852" t="s">
        <v>3619</v>
      </c>
      <c r="CPT173" s="1852" t="s">
        <v>3620</v>
      </c>
      <c r="CPU173" s="1852" t="s">
        <v>3621</v>
      </c>
      <c r="CPV173" s="1852" t="s">
        <v>3622</v>
      </c>
      <c r="CPW173" s="1852" t="s">
        <v>3623</v>
      </c>
      <c r="CPX173" s="1852" t="s">
        <v>3624</v>
      </c>
      <c r="CPY173" s="1852" t="s">
        <v>3625</v>
      </c>
      <c r="CPZ173" s="1852" t="s">
        <v>3626</v>
      </c>
      <c r="CQA173" s="1852" t="s">
        <v>3627</v>
      </c>
      <c r="CQB173" s="1852" t="s">
        <v>3628</v>
      </c>
      <c r="CQC173" s="1852" t="s">
        <v>3629</v>
      </c>
      <c r="CQD173" s="1852" t="s">
        <v>3630</v>
      </c>
      <c r="CQE173" s="1852" t="s">
        <v>3631</v>
      </c>
      <c r="CQF173" s="1852" t="s">
        <v>3632</v>
      </c>
      <c r="CQG173" s="1852" t="s">
        <v>3633</v>
      </c>
      <c r="CQH173" s="1852" t="s">
        <v>3634</v>
      </c>
      <c r="CQI173" s="1852" t="s">
        <v>3635</v>
      </c>
    </row>
    <row r="174" spans="2:2479">
      <c r="C174" s="1853" t="s">
        <v>371</v>
      </c>
      <c r="D174" s="1853" t="s">
        <v>373</v>
      </c>
      <c r="E174" s="1853" t="s">
        <v>375</v>
      </c>
      <c r="F174" s="1853" t="s">
        <v>377</v>
      </c>
      <c r="G174" s="1854">
        <v>2.415</v>
      </c>
      <c r="H174" s="1854">
        <v>2.4169999999999998</v>
      </c>
      <c r="I174" s="1854">
        <v>2.4089999999999998</v>
      </c>
      <c r="J174" s="1854">
        <v>2.4169999999999998</v>
      </c>
      <c r="K174" s="1854">
        <v>2.411</v>
      </c>
      <c r="L174" s="1854">
        <v>2.4380000000000002</v>
      </c>
      <c r="M174" s="1854">
        <v>2.4409999999999998</v>
      </c>
      <c r="N174" s="1854">
        <v>2.3919999999999999</v>
      </c>
      <c r="O174" s="1854">
        <v>2.355</v>
      </c>
      <c r="P174" s="1854">
        <v>2.3719999999999999</v>
      </c>
      <c r="Q174" s="1854">
        <v>2.3980000000000001</v>
      </c>
      <c r="R174" s="1854">
        <v>2.3980000000000001</v>
      </c>
      <c r="S174" s="1854">
        <v>2.4300000000000002</v>
      </c>
      <c r="T174" s="1854">
        <v>2.4020000000000001</v>
      </c>
      <c r="U174" s="1854">
        <v>2.4020000000000001</v>
      </c>
      <c r="V174" s="1854">
        <v>2.399</v>
      </c>
      <c r="W174" s="1854">
        <v>2.3849999999999998</v>
      </c>
      <c r="X174" s="1854">
        <v>2.4089999999999998</v>
      </c>
      <c r="Y174" s="1854">
        <v>2.4460000000000002</v>
      </c>
      <c r="Z174" s="1854">
        <v>2.4359999999999999</v>
      </c>
      <c r="AA174" s="1854">
        <v>2.464</v>
      </c>
      <c r="AB174" s="1854">
        <v>2.4060000000000001</v>
      </c>
      <c r="AC174" s="1854">
        <v>2.3849999999999998</v>
      </c>
      <c r="AD174" s="1854">
        <v>2.3730000000000002</v>
      </c>
      <c r="AE174" s="1854">
        <v>2.4180000000000001</v>
      </c>
      <c r="AF174" s="1854">
        <v>2.4329999999999998</v>
      </c>
      <c r="AG174" s="1854">
        <v>2.4990000000000001</v>
      </c>
      <c r="AH174" s="1854">
        <v>2.569</v>
      </c>
      <c r="AI174" s="1854">
        <v>2.5819999999999999</v>
      </c>
      <c r="AJ174" s="1854">
        <v>2.5630000000000002</v>
      </c>
      <c r="AK174" s="1854">
        <v>2.5129999999999999</v>
      </c>
      <c r="AL174" s="1854">
        <v>2.5009999999999999</v>
      </c>
      <c r="AM174" s="1854">
        <v>2.5169999999999999</v>
      </c>
      <c r="AN174" s="1854">
        <v>2.5049999999999999</v>
      </c>
      <c r="AO174" s="1854">
        <v>2.4569999999999999</v>
      </c>
      <c r="AP174" s="1854">
        <v>2.4990000000000001</v>
      </c>
      <c r="AQ174" s="1854">
        <v>2.4529999999999998</v>
      </c>
      <c r="AR174" s="1854">
        <v>2.4169999999999998</v>
      </c>
      <c r="AS174" s="1854">
        <v>2.403</v>
      </c>
      <c r="AT174" s="1854">
        <v>2.4380000000000002</v>
      </c>
      <c r="AU174" s="1854">
        <v>2.468</v>
      </c>
      <c r="AV174" s="1854">
        <v>2.544</v>
      </c>
      <c r="AW174" s="1854">
        <v>2.5390000000000001</v>
      </c>
      <c r="AX174" s="1854">
        <v>2.5419999999999998</v>
      </c>
      <c r="AY174" s="1854">
        <v>2.58</v>
      </c>
      <c r="AZ174" s="1854">
        <v>2.573</v>
      </c>
      <c r="BA174" s="1854">
        <v>2.4870000000000001</v>
      </c>
      <c r="BB174" s="1854">
        <v>2.5059999999999998</v>
      </c>
      <c r="BC174" s="1854">
        <v>2.423</v>
      </c>
      <c r="BD174" s="1854">
        <v>2.387</v>
      </c>
      <c r="BE174" s="1854">
        <v>2.3620000000000001</v>
      </c>
      <c r="BF174" s="1854">
        <v>2.31</v>
      </c>
      <c r="BG174" s="1854">
        <v>2.3180000000000001</v>
      </c>
      <c r="BH174" s="1854">
        <v>2.3250000000000002</v>
      </c>
      <c r="BI174" s="1854">
        <v>2.3330000000000002</v>
      </c>
      <c r="BJ174" s="1854">
        <v>2.2490000000000001</v>
      </c>
      <c r="BK174" s="1854">
        <v>2.2610000000000001</v>
      </c>
      <c r="BL174" s="1854">
        <v>2.27</v>
      </c>
      <c r="BM174" s="1854">
        <v>2.262</v>
      </c>
      <c r="BN174" s="1854">
        <v>2.1560000000000001</v>
      </c>
      <c r="BO174" s="1854">
        <v>2.1579999999999999</v>
      </c>
      <c r="BP174" s="1854">
        <v>2.1709999999999998</v>
      </c>
      <c r="BQ174" s="1854">
        <v>2.101</v>
      </c>
      <c r="BR174" s="1854">
        <v>2.0870000000000002</v>
      </c>
      <c r="BS174" s="1854">
        <v>2.0489999999999999</v>
      </c>
      <c r="BT174" s="1854">
        <v>2.0569999999999999</v>
      </c>
      <c r="BU174" s="1854">
        <v>2.0609999999999999</v>
      </c>
      <c r="BV174" s="1854">
        <v>2.0150000000000001</v>
      </c>
      <c r="BW174" s="1854">
        <v>2.0169999999999999</v>
      </c>
      <c r="BX174" s="1854">
        <v>1.996</v>
      </c>
      <c r="BY174" s="1854">
        <v>1.978</v>
      </c>
      <c r="BZ174" s="1854">
        <v>1.958</v>
      </c>
      <c r="CA174" s="1854">
        <v>1.9419999999999999</v>
      </c>
      <c r="CB174" s="1854">
        <v>1.9750000000000001</v>
      </c>
      <c r="CC174" s="1854">
        <v>1.962</v>
      </c>
      <c r="CD174" s="1854">
        <v>1.9359999999999999</v>
      </c>
      <c r="CE174" s="1854">
        <v>1.921</v>
      </c>
      <c r="CF174" s="1854">
        <v>1.9079999999999999</v>
      </c>
      <c r="CG174" s="1854">
        <v>1.8879999999999999</v>
      </c>
      <c r="CH174" s="1854">
        <v>1.881</v>
      </c>
      <c r="CI174" s="1854">
        <v>1.865</v>
      </c>
      <c r="CJ174" s="1854">
        <v>1.855</v>
      </c>
      <c r="CK174" s="1854">
        <v>1.8480000000000001</v>
      </c>
      <c r="CL174" s="1854">
        <v>1.829</v>
      </c>
      <c r="CM174" s="1854">
        <v>1.8320000000000001</v>
      </c>
      <c r="CN174" s="1854">
        <v>1.8420000000000001</v>
      </c>
      <c r="CO174" s="1854">
        <v>1.8360000000000001</v>
      </c>
      <c r="CP174" s="1854">
        <v>1.863</v>
      </c>
      <c r="CQ174" s="1854">
        <v>1.8620000000000001</v>
      </c>
      <c r="CR174" s="1854">
        <v>1.82</v>
      </c>
      <c r="CS174" s="1854">
        <v>1.794</v>
      </c>
      <c r="CT174" s="1854">
        <v>1.79</v>
      </c>
      <c r="CU174" s="1854">
        <v>1.8169999999999999</v>
      </c>
      <c r="CV174" s="1854">
        <v>1.83</v>
      </c>
      <c r="CW174" s="1854">
        <v>1.8340000000000001</v>
      </c>
      <c r="CX174" s="1854">
        <v>1.84</v>
      </c>
      <c r="CY174" s="1854">
        <v>1.845</v>
      </c>
      <c r="CZ174" s="1854">
        <v>1.855</v>
      </c>
      <c r="DA174" s="1854">
        <v>1.859</v>
      </c>
      <c r="DB174" s="1854">
        <v>1.855</v>
      </c>
      <c r="DC174" s="1854">
        <v>1.8360000000000001</v>
      </c>
      <c r="DD174" s="1854">
        <v>1.841</v>
      </c>
      <c r="DE174" s="1854">
        <v>1.863</v>
      </c>
      <c r="DF174" s="1854">
        <v>1.8580000000000001</v>
      </c>
      <c r="DG174" s="1854">
        <v>1.847</v>
      </c>
      <c r="DH174" s="1854">
        <v>1.8620000000000001</v>
      </c>
      <c r="DI174" s="1854">
        <v>1.853</v>
      </c>
      <c r="DJ174" s="1854">
        <v>1.83</v>
      </c>
      <c r="DK174" s="1854">
        <v>1.821</v>
      </c>
      <c r="DL174" s="1854">
        <v>1.841</v>
      </c>
      <c r="DM174" s="1854">
        <v>1.843</v>
      </c>
      <c r="DN174" s="1854">
        <v>1.835</v>
      </c>
      <c r="DO174" s="1854">
        <v>1.8640000000000001</v>
      </c>
      <c r="DP174" s="1854">
        <v>1.9079999999999999</v>
      </c>
      <c r="DQ174" s="1854">
        <v>1.9079999999999999</v>
      </c>
      <c r="DR174" s="1854">
        <v>1.9379999999999999</v>
      </c>
      <c r="DS174" s="1854">
        <v>1.869</v>
      </c>
      <c r="DT174" s="1854">
        <v>1.8959999999999999</v>
      </c>
      <c r="DU174" s="1854">
        <v>1.877</v>
      </c>
      <c r="DV174" s="1854">
        <v>1.8740000000000001</v>
      </c>
      <c r="DW174" s="1854">
        <v>1.865</v>
      </c>
      <c r="DX174" s="1854">
        <v>1.915</v>
      </c>
      <c r="DY174" s="1854">
        <v>1.964</v>
      </c>
      <c r="DZ174" s="1854">
        <v>1.962</v>
      </c>
      <c r="EA174" s="1854">
        <v>1.984</v>
      </c>
      <c r="EB174" s="1854">
        <v>1.9750000000000001</v>
      </c>
      <c r="EC174" s="1854">
        <v>1.966</v>
      </c>
      <c r="ED174" s="1854">
        <v>1.9770000000000001</v>
      </c>
      <c r="EE174" s="1854">
        <v>1.9930000000000001</v>
      </c>
      <c r="EF174" s="1854">
        <v>1.9690000000000001</v>
      </c>
      <c r="EG174" s="1854">
        <v>1.929</v>
      </c>
      <c r="EH174" s="1854">
        <v>1.893</v>
      </c>
      <c r="EI174" s="1854">
        <v>1.889</v>
      </c>
      <c r="EJ174" s="1854">
        <v>1.9059999999999999</v>
      </c>
      <c r="EK174" s="1854">
        <v>1.8879999999999999</v>
      </c>
      <c r="EL174" s="1854">
        <v>1.9</v>
      </c>
      <c r="EM174" s="1854">
        <v>1.879</v>
      </c>
      <c r="EN174" s="1854">
        <v>1.8959999999999999</v>
      </c>
      <c r="EO174" s="1854">
        <v>1.881</v>
      </c>
      <c r="EP174" s="1854">
        <v>1.8720000000000001</v>
      </c>
      <c r="EQ174" s="1854">
        <v>1.88</v>
      </c>
      <c r="ER174" s="1854">
        <v>1.8660000000000001</v>
      </c>
      <c r="ES174" s="1854">
        <v>1.891</v>
      </c>
      <c r="ET174" s="1854">
        <v>1.911</v>
      </c>
      <c r="EU174" s="1854">
        <v>1.931</v>
      </c>
      <c r="EV174" s="1854">
        <v>1.911</v>
      </c>
      <c r="EW174" s="1854">
        <v>1.9239999999999999</v>
      </c>
      <c r="EX174" s="1854">
        <v>1.929</v>
      </c>
      <c r="EY174" s="1854">
        <v>1.9450000000000001</v>
      </c>
      <c r="EZ174" s="1854">
        <v>1.899</v>
      </c>
      <c r="FA174" s="1854">
        <v>1.867</v>
      </c>
      <c r="FB174" s="1854">
        <v>1.9019999999999999</v>
      </c>
      <c r="FC174" s="1854">
        <v>1.89</v>
      </c>
      <c r="FD174" s="1854">
        <v>1.8759999999999999</v>
      </c>
      <c r="FE174" s="1854">
        <v>1.861</v>
      </c>
      <c r="FF174" s="1854">
        <v>1.869</v>
      </c>
      <c r="FG174" s="1854">
        <v>1.865</v>
      </c>
      <c r="FH174" s="1854">
        <v>1.8720000000000001</v>
      </c>
      <c r="FI174" s="1854">
        <v>1.8819999999999999</v>
      </c>
      <c r="FJ174" s="1854">
        <v>1.8879999999999999</v>
      </c>
      <c r="FK174" s="1854">
        <v>1.8879999999999999</v>
      </c>
      <c r="FL174" s="1854">
        <v>1.8919999999999999</v>
      </c>
      <c r="FM174" s="1854">
        <v>1.899</v>
      </c>
      <c r="FN174" s="1854">
        <v>1.9</v>
      </c>
      <c r="FO174" s="1854">
        <v>1.9</v>
      </c>
      <c r="FP174" s="1854">
        <v>1.92</v>
      </c>
      <c r="FQ174" s="1854">
        <v>1.917</v>
      </c>
      <c r="FR174" s="1854">
        <v>1.9139999999999999</v>
      </c>
      <c r="FS174" s="1854">
        <v>1.9</v>
      </c>
      <c r="FT174" s="1854">
        <v>1.89</v>
      </c>
      <c r="FU174" s="1854">
        <v>1.885</v>
      </c>
      <c r="FV174" s="1854">
        <v>1.903</v>
      </c>
      <c r="FW174" s="1854">
        <v>1.907</v>
      </c>
      <c r="FX174" s="1854">
        <v>1.8959999999999999</v>
      </c>
      <c r="FY174" s="1854">
        <v>1.899</v>
      </c>
      <c r="FZ174" s="1854">
        <v>1.9179999999999999</v>
      </c>
      <c r="GA174" s="1854">
        <v>1.9139999999999999</v>
      </c>
      <c r="GB174" s="1854">
        <v>2.0289999999999999</v>
      </c>
      <c r="GC174" s="1854">
        <v>2.0270000000000001</v>
      </c>
      <c r="GD174" s="1854">
        <v>2.0030000000000001</v>
      </c>
      <c r="GE174" s="1854">
        <v>2.0289999999999999</v>
      </c>
      <c r="GF174" s="1854">
        <v>2.0310000000000001</v>
      </c>
      <c r="GG174" s="1854">
        <v>2.056</v>
      </c>
      <c r="GH174" s="1854">
        <v>2.0510000000000002</v>
      </c>
      <c r="GI174" s="1854">
        <v>2.073</v>
      </c>
      <c r="GJ174" s="1854">
        <v>2.0779999999999998</v>
      </c>
      <c r="GK174" s="1854">
        <v>2.0950000000000002</v>
      </c>
      <c r="GL174" s="1854">
        <v>2.0670000000000002</v>
      </c>
      <c r="GM174" s="1854">
        <v>2.0630000000000002</v>
      </c>
      <c r="GN174" s="1854">
        <v>2.06</v>
      </c>
      <c r="GO174" s="1854">
        <v>2.0779999999999998</v>
      </c>
      <c r="GP174" s="1854">
        <v>2.0590000000000002</v>
      </c>
      <c r="GQ174" s="1854">
        <v>2.0590000000000002</v>
      </c>
      <c r="GR174" s="1854">
        <v>2.0449999999999999</v>
      </c>
      <c r="GS174" s="1854">
        <v>2.0590000000000002</v>
      </c>
      <c r="GT174" s="1854">
        <v>2.0760000000000001</v>
      </c>
      <c r="GU174" s="1854">
        <v>2.0790000000000002</v>
      </c>
      <c r="GV174" s="1854">
        <v>2.0920000000000001</v>
      </c>
      <c r="GW174" s="1854">
        <v>2.0830000000000002</v>
      </c>
      <c r="GX174" s="1854">
        <v>2.1150000000000002</v>
      </c>
      <c r="GY174" s="1854">
        <v>2.1139999999999999</v>
      </c>
      <c r="GZ174" s="1854">
        <v>2.153</v>
      </c>
      <c r="HA174" s="1854">
        <v>2.149</v>
      </c>
      <c r="HB174" s="1854">
        <v>2.1230000000000002</v>
      </c>
      <c r="HC174" s="1854">
        <v>2.1339999999999999</v>
      </c>
      <c r="HD174" s="1854">
        <v>2.1589999999999998</v>
      </c>
      <c r="HE174" s="1854">
        <v>2.117</v>
      </c>
      <c r="HF174" s="1854">
        <v>2.08</v>
      </c>
      <c r="HG174" s="1854">
        <v>2.0579999999999998</v>
      </c>
      <c r="HH174" s="1854">
        <v>2.0510000000000002</v>
      </c>
      <c r="HI174" s="1854">
        <v>2.0539999999999998</v>
      </c>
      <c r="HJ174" s="1854">
        <v>2.0539999999999998</v>
      </c>
      <c r="HK174" s="1854">
        <v>2.0350000000000001</v>
      </c>
      <c r="HL174" s="1854">
        <v>2.032</v>
      </c>
      <c r="HM174" s="1854">
        <v>2.0539999999999998</v>
      </c>
      <c r="HN174" s="1854">
        <v>2.0590000000000002</v>
      </c>
      <c r="HO174" s="1854">
        <v>2.0430000000000001</v>
      </c>
      <c r="HP174" s="1854">
        <v>2.0390000000000001</v>
      </c>
      <c r="HQ174" s="1854">
        <v>2.0430000000000001</v>
      </c>
      <c r="HR174" s="1854">
        <v>2.0409999999999999</v>
      </c>
      <c r="HS174" s="1854">
        <v>2.056</v>
      </c>
      <c r="HT174" s="1854">
        <v>2.0550000000000002</v>
      </c>
      <c r="HU174" s="1854">
        <v>2.0539999999999998</v>
      </c>
      <c r="HV174" s="1854">
        <v>2.0699999999999998</v>
      </c>
      <c r="HW174" s="1854">
        <v>2.0609999999999999</v>
      </c>
      <c r="HX174" s="1854">
        <v>2.0649999999999999</v>
      </c>
      <c r="HY174" s="1854">
        <v>2.0640000000000001</v>
      </c>
      <c r="HZ174" s="1854">
        <v>2.069</v>
      </c>
      <c r="IA174" s="1854">
        <v>2.09</v>
      </c>
      <c r="IB174" s="1854">
        <v>2.0920000000000001</v>
      </c>
      <c r="IC174" s="1854">
        <v>2.097</v>
      </c>
      <c r="ID174" s="1854">
        <v>2.1030000000000002</v>
      </c>
      <c r="IE174" s="1854">
        <v>2.1219999999999999</v>
      </c>
      <c r="IF174" s="1854">
        <v>2.1240000000000001</v>
      </c>
      <c r="IG174" s="1854">
        <v>2.1240000000000001</v>
      </c>
      <c r="IH174" s="1854">
        <v>2.1219999999999999</v>
      </c>
      <c r="II174" s="1854">
        <v>2.129</v>
      </c>
      <c r="IJ174" s="1854">
        <v>2.1320000000000001</v>
      </c>
      <c r="IK174" s="1854">
        <v>2.137</v>
      </c>
      <c r="IL174" s="1854">
        <v>2.1440000000000001</v>
      </c>
      <c r="IM174" s="1854">
        <v>2.1549999999999998</v>
      </c>
      <c r="IN174" s="1854">
        <v>2.1579999999999999</v>
      </c>
      <c r="IO174" s="1854">
        <v>2.161</v>
      </c>
      <c r="IP174" s="1854">
        <v>2.161</v>
      </c>
      <c r="IQ174" s="1854">
        <v>2.1779999999999999</v>
      </c>
      <c r="IR174" s="1854">
        <v>2.177</v>
      </c>
      <c r="IS174" s="1854">
        <v>2.1760000000000002</v>
      </c>
      <c r="IT174" s="1854">
        <v>2.173</v>
      </c>
      <c r="IU174" s="1854">
        <v>2.1920000000000002</v>
      </c>
      <c r="IV174" s="1854">
        <v>2.2080000000000002</v>
      </c>
      <c r="IW174" s="1854">
        <v>2.2080000000000002</v>
      </c>
      <c r="IX174" s="1854">
        <v>2.202</v>
      </c>
      <c r="IY174" s="1854">
        <v>2.1960000000000002</v>
      </c>
      <c r="IZ174" s="1854">
        <v>2.1960000000000002</v>
      </c>
      <c r="JA174" s="1854">
        <v>2.1789999999999998</v>
      </c>
      <c r="JB174" s="1854">
        <v>2.19</v>
      </c>
      <c r="JC174" s="1854">
        <v>2.2010000000000001</v>
      </c>
      <c r="JD174" s="1854">
        <v>2.2080000000000002</v>
      </c>
      <c r="JE174" s="1854">
        <v>2.2290000000000001</v>
      </c>
      <c r="JF174" s="1854">
        <v>2.2210000000000001</v>
      </c>
      <c r="JG174" s="1854">
        <v>2.2149999999999999</v>
      </c>
      <c r="JH174" s="1854">
        <v>2.2160000000000002</v>
      </c>
      <c r="JI174" s="1854">
        <v>2.2149999999999999</v>
      </c>
      <c r="JJ174" s="1854">
        <v>2.2120000000000002</v>
      </c>
      <c r="JK174" s="1854">
        <v>2.214</v>
      </c>
      <c r="JL174" s="1854">
        <v>2.2109999999999999</v>
      </c>
      <c r="JM174" s="1854">
        <v>2.2149999999999999</v>
      </c>
      <c r="JN174" s="1854">
        <v>2.2200000000000002</v>
      </c>
      <c r="JO174" s="1854">
        <v>2.226</v>
      </c>
      <c r="JP174" s="1854">
        <v>2.2330000000000001</v>
      </c>
      <c r="JQ174" s="1854">
        <v>2.2320000000000002</v>
      </c>
      <c r="JR174" s="1854">
        <v>2.2349999999999999</v>
      </c>
      <c r="JS174" s="1854">
        <v>2.2320000000000002</v>
      </c>
      <c r="JT174" s="1854">
        <v>2.2400000000000002</v>
      </c>
      <c r="JU174" s="1854">
        <v>2.2330000000000001</v>
      </c>
      <c r="JV174" s="1854">
        <v>2.2240000000000002</v>
      </c>
      <c r="JW174" s="1854">
        <v>2.2189999999999999</v>
      </c>
      <c r="JX174" s="1854">
        <v>2.234</v>
      </c>
      <c r="JY174" s="1854">
        <v>2.2370000000000001</v>
      </c>
      <c r="JZ174" s="1854">
        <v>2.2389999999999999</v>
      </c>
      <c r="KA174" s="1854">
        <v>2.25</v>
      </c>
      <c r="KB174" s="1854">
        <v>2.254</v>
      </c>
      <c r="KC174" s="1854">
        <v>2.2530000000000001</v>
      </c>
      <c r="KD174" s="1854">
        <v>2.2559999999999998</v>
      </c>
      <c r="KE174" s="1854">
        <v>2.274</v>
      </c>
      <c r="KF174" s="1854">
        <v>2.2690000000000001</v>
      </c>
      <c r="KG174" s="1854">
        <v>2.254</v>
      </c>
      <c r="KH174" s="1854">
        <v>2.2490000000000001</v>
      </c>
      <c r="KI174" s="1854">
        <v>2.2370000000000001</v>
      </c>
      <c r="KJ174" s="1854">
        <v>2.2570000000000001</v>
      </c>
      <c r="KK174" s="1854">
        <v>2.2759999999999998</v>
      </c>
      <c r="KL174" s="1854">
        <v>2.2730000000000001</v>
      </c>
      <c r="KM174" s="1854">
        <v>2.2469999999999999</v>
      </c>
      <c r="KN174" s="1854">
        <v>2.2400000000000002</v>
      </c>
      <c r="KO174" s="1854">
        <v>2.2320000000000002</v>
      </c>
      <c r="KP174" s="1854">
        <v>2.2389999999999999</v>
      </c>
      <c r="KQ174" s="1854">
        <v>2.2309999999999999</v>
      </c>
      <c r="KR174" s="1854">
        <v>2.2349999999999999</v>
      </c>
      <c r="KS174" s="1854">
        <v>2.246</v>
      </c>
      <c r="KT174" s="1854">
        <v>2.2589999999999999</v>
      </c>
      <c r="KU174" s="1854">
        <v>2.2410000000000001</v>
      </c>
      <c r="KV174" s="1854">
        <v>2.2290000000000001</v>
      </c>
      <c r="KW174" s="1854">
        <v>2.23</v>
      </c>
      <c r="KX174" s="1854">
        <v>2.2200000000000002</v>
      </c>
      <c r="KY174" s="1854">
        <v>2.2370000000000001</v>
      </c>
      <c r="KZ174" s="1854">
        <v>2.2480000000000002</v>
      </c>
      <c r="LA174" s="1854">
        <v>2.2509999999999999</v>
      </c>
      <c r="LB174" s="1854">
        <v>2.2410000000000001</v>
      </c>
      <c r="LC174" s="1854">
        <v>2.2440000000000002</v>
      </c>
      <c r="LD174" s="1854">
        <v>2.242</v>
      </c>
      <c r="LE174" s="1854">
        <v>2.2210000000000001</v>
      </c>
      <c r="LF174" s="1854">
        <v>2.1930000000000001</v>
      </c>
      <c r="LG174" s="1854">
        <v>2.1920000000000002</v>
      </c>
      <c r="LH174" s="1854">
        <v>2.2000000000000002</v>
      </c>
      <c r="LI174" s="1854">
        <v>2.2000000000000002</v>
      </c>
      <c r="LJ174" s="1854">
        <v>2.2170000000000001</v>
      </c>
      <c r="LK174" s="1854">
        <v>2.2280000000000002</v>
      </c>
      <c r="LL174" s="1854">
        <v>2.2320000000000002</v>
      </c>
      <c r="LM174" s="1854">
        <v>2.2320000000000002</v>
      </c>
      <c r="LN174" s="1854">
        <v>2.2360000000000002</v>
      </c>
      <c r="LO174" s="1854">
        <v>2.2330000000000001</v>
      </c>
      <c r="LP174" s="1854">
        <v>2.238</v>
      </c>
      <c r="LQ174" s="1854">
        <v>2.2469999999999999</v>
      </c>
      <c r="LR174" s="1854">
        <v>2.2509999999999999</v>
      </c>
      <c r="LS174" s="1854">
        <v>2.2429999999999999</v>
      </c>
      <c r="LT174" s="1854">
        <v>2.2440000000000002</v>
      </c>
      <c r="LU174" s="1854">
        <v>2.2690000000000001</v>
      </c>
      <c r="LV174" s="1854">
        <v>2.2869999999999999</v>
      </c>
      <c r="LW174" s="1854">
        <v>2.2679999999999998</v>
      </c>
      <c r="LX174" s="1854">
        <v>2.2610000000000001</v>
      </c>
      <c r="LY174" s="1854">
        <v>2.2610000000000001</v>
      </c>
      <c r="LZ174" s="1854">
        <v>2.2909999999999999</v>
      </c>
      <c r="MA174" s="1854">
        <v>2.2639999999999998</v>
      </c>
      <c r="MB174" s="1854">
        <v>2.2400000000000002</v>
      </c>
      <c r="MC174" s="1854">
        <v>2.2120000000000002</v>
      </c>
      <c r="MD174" s="1854">
        <v>2.1970000000000001</v>
      </c>
      <c r="ME174" s="1854">
        <v>2.1880000000000002</v>
      </c>
      <c r="MF174" s="1854">
        <v>2.1850000000000001</v>
      </c>
      <c r="MG174" s="1854">
        <v>2.2040000000000002</v>
      </c>
      <c r="MH174" s="1854">
        <v>2.1829999999999998</v>
      </c>
      <c r="MI174" s="1854">
        <v>2.177</v>
      </c>
      <c r="MJ174" s="1854">
        <v>2.1819999999999999</v>
      </c>
      <c r="MK174" s="1854">
        <v>2.1949999999999998</v>
      </c>
      <c r="ML174" s="1854">
        <v>2.1840000000000002</v>
      </c>
      <c r="MM174" s="1854">
        <v>2.1920000000000002</v>
      </c>
      <c r="MN174" s="1854">
        <v>2.1829999999999998</v>
      </c>
      <c r="MO174" s="1854">
        <v>2.1909999999999998</v>
      </c>
      <c r="MP174" s="1854">
        <v>2.1739999999999999</v>
      </c>
      <c r="MQ174" s="1854">
        <v>2.1720000000000002</v>
      </c>
      <c r="MR174" s="1854">
        <v>2.1680000000000001</v>
      </c>
      <c r="MS174" s="1854">
        <v>2.1789999999999998</v>
      </c>
      <c r="MT174" s="1854">
        <v>2.177</v>
      </c>
      <c r="MU174" s="1854">
        <v>2.177</v>
      </c>
      <c r="MV174" s="1854">
        <v>2.181</v>
      </c>
      <c r="MW174" s="1854">
        <v>2.19</v>
      </c>
      <c r="MX174" s="1854">
        <v>2.194</v>
      </c>
      <c r="MY174" s="1854">
        <v>2.1880000000000002</v>
      </c>
      <c r="MZ174" s="1854">
        <v>2.1890000000000001</v>
      </c>
      <c r="NA174" s="1854">
        <v>2.194</v>
      </c>
      <c r="NB174" s="1854">
        <v>2.2090000000000001</v>
      </c>
      <c r="NC174" s="1854">
        <v>2.2160000000000002</v>
      </c>
      <c r="ND174" s="1854">
        <v>2.2050000000000001</v>
      </c>
      <c r="NE174" s="1854">
        <v>2.214</v>
      </c>
      <c r="NF174" s="1854">
        <v>2.2269999999999999</v>
      </c>
      <c r="NG174" s="1854">
        <v>2.2410000000000001</v>
      </c>
      <c r="NH174" s="1854">
        <v>2.246</v>
      </c>
      <c r="NI174" s="1854">
        <v>2.2490000000000001</v>
      </c>
      <c r="NJ174" s="1854">
        <v>2.2370000000000001</v>
      </c>
      <c r="NK174" s="1854">
        <v>2.2349999999999999</v>
      </c>
      <c r="NL174" s="1854">
        <v>2.2320000000000002</v>
      </c>
      <c r="NM174" s="1854">
        <v>2.2360000000000002</v>
      </c>
      <c r="NN174" s="1854">
        <v>2.2490000000000001</v>
      </c>
      <c r="NO174" s="1854">
        <v>2.2389999999999999</v>
      </c>
      <c r="NP174" s="1854">
        <v>2.2349999999999999</v>
      </c>
      <c r="NQ174" s="1854">
        <v>2.2509999999999999</v>
      </c>
      <c r="NR174" s="1854">
        <v>2.25</v>
      </c>
      <c r="NS174" s="1854">
        <v>2.246</v>
      </c>
      <c r="NT174" s="1854">
        <v>2.2200000000000002</v>
      </c>
      <c r="NU174" s="1854">
        <v>2.2200000000000002</v>
      </c>
      <c r="NV174" s="1854">
        <v>2.2210000000000001</v>
      </c>
      <c r="NW174" s="1854">
        <v>2.2240000000000002</v>
      </c>
      <c r="NX174" s="1854">
        <v>2.2320000000000002</v>
      </c>
      <c r="NY174" s="1854">
        <v>2.23</v>
      </c>
      <c r="NZ174" s="1854">
        <v>2.2250000000000001</v>
      </c>
      <c r="OA174" s="1854">
        <v>2.2440000000000002</v>
      </c>
      <c r="OB174" s="1854">
        <v>2.2250000000000001</v>
      </c>
      <c r="OC174" s="1854">
        <v>2.2290000000000001</v>
      </c>
      <c r="OD174" s="1854">
        <v>2.21</v>
      </c>
      <c r="OE174" s="1854">
        <v>2.2040000000000002</v>
      </c>
      <c r="OF174" s="1854">
        <v>2.2050000000000001</v>
      </c>
      <c r="OG174" s="1854">
        <v>2.2040000000000002</v>
      </c>
      <c r="OH174" s="1854">
        <v>2.2269999999999999</v>
      </c>
      <c r="OI174" s="1854">
        <v>2.2240000000000002</v>
      </c>
      <c r="OJ174" s="1854">
        <v>2.2170000000000001</v>
      </c>
      <c r="OK174" s="1854">
        <v>2.1989999999999998</v>
      </c>
      <c r="OL174" s="1854">
        <v>2.1819999999999999</v>
      </c>
      <c r="OM174" s="1854">
        <v>2.1640000000000001</v>
      </c>
      <c r="ON174" s="1854">
        <v>2.1579999999999999</v>
      </c>
      <c r="OO174" s="1854">
        <v>2.157</v>
      </c>
      <c r="OP174" s="1854">
        <v>2.1960000000000002</v>
      </c>
      <c r="OQ174" s="1854">
        <v>2.1760000000000002</v>
      </c>
      <c r="OR174" s="1854">
        <v>2.1520000000000001</v>
      </c>
      <c r="OS174" s="1854">
        <v>2.165</v>
      </c>
      <c r="OT174" s="1854">
        <v>2.177</v>
      </c>
      <c r="OU174" s="1854">
        <v>2.181</v>
      </c>
      <c r="OV174" s="1854">
        <v>2.1850000000000001</v>
      </c>
      <c r="OW174" s="1854">
        <v>2.1880000000000002</v>
      </c>
      <c r="OX174" s="1854">
        <v>2.1760000000000002</v>
      </c>
      <c r="OY174" s="1854">
        <v>2.17</v>
      </c>
      <c r="OZ174" s="1854">
        <v>2.1549999999999998</v>
      </c>
      <c r="PA174" s="1854">
        <v>2.173</v>
      </c>
      <c r="PB174" s="1854">
        <v>2.198</v>
      </c>
      <c r="PC174" s="1854">
        <v>2.1819999999999999</v>
      </c>
      <c r="PD174" s="1854">
        <v>2.198</v>
      </c>
      <c r="PE174" s="1854">
        <v>2.202</v>
      </c>
      <c r="PF174" s="1854">
        <v>2.2029999999999998</v>
      </c>
      <c r="PG174" s="1854">
        <v>2.218</v>
      </c>
      <c r="PH174" s="1854">
        <v>2.2240000000000002</v>
      </c>
      <c r="PI174" s="1854">
        <v>2.2149999999999999</v>
      </c>
      <c r="PJ174" s="1854">
        <v>2.2010000000000001</v>
      </c>
      <c r="PK174" s="1854">
        <v>2.2029999999999998</v>
      </c>
      <c r="PL174" s="1854">
        <v>2.2029999999999998</v>
      </c>
      <c r="PM174" s="1854">
        <v>2.1880000000000002</v>
      </c>
      <c r="PN174" s="1854">
        <v>2.153</v>
      </c>
      <c r="PO174" s="1854">
        <v>2.1480000000000001</v>
      </c>
      <c r="PP174" s="1854">
        <v>2.1230000000000002</v>
      </c>
      <c r="PQ174" s="1854">
        <v>2.1259999999999999</v>
      </c>
      <c r="PR174" s="1854">
        <v>2.12</v>
      </c>
      <c r="PS174" s="1854">
        <v>2.0920000000000001</v>
      </c>
      <c r="PT174" s="1854">
        <v>2.093</v>
      </c>
      <c r="PU174" s="1854">
        <v>2.097</v>
      </c>
      <c r="PV174" s="1854">
        <v>2.1</v>
      </c>
      <c r="PW174" s="1854">
        <v>2.1</v>
      </c>
      <c r="PX174" s="1854">
        <v>2.1</v>
      </c>
      <c r="PY174" s="1854">
        <v>2.093</v>
      </c>
      <c r="PZ174" s="1854">
        <v>2.0990000000000002</v>
      </c>
      <c r="QA174" s="1854">
        <v>2.077</v>
      </c>
      <c r="QB174" s="1854">
        <v>2.0739999999999998</v>
      </c>
      <c r="QC174" s="1854">
        <v>2.0390000000000001</v>
      </c>
      <c r="QD174" s="1854">
        <v>2.0350000000000001</v>
      </c>
      <c r="QE174" s="1854">
        <v>2.0249999999999999</v>
      </c>
      <c r="QF174" s="1854">
        <v>2.0059999999999998</v>
      </c>
      <c r="QG174" s="1854">
        <v>2.0099999999999998</v>
      </c>
      <c r="QH174" s="1854">
        <v>1.9450000000000001</v>
      </c>
      <c r="QI174" s="1854">
        <v>1.9470000000000001</v>
      </c>
      <c r="QJ174" s="1854">
        <v>1.77</v>
      </c>
      <c r="QK174" s="1854">
        <v>1.74</v>
      </c>
      <c r="QL174" s="1854">
        <v>1.7649999999999999</v>
      </c>
      <c r="QM174" s="1854">
        <v>1.81</v>
      </c>
      <c r="QN174" s="1854">
        <v>1.7070000000000001</v>
      </c>
      <c r="QO174" s="1854">
        <v>1.712</v>
      </c>
      <c r="QP174" s="1854">
        <v>1.708</v>
      </c>
      <c r="QQ174" s="1854">
        <v>1.657</v>
      </c>
      <c r="QR174" s="1854">
        <v>1.6919999999999999</v>
      </c>
      <c r="QS174" s="1854">
        <v>1.6659999999999999</v>
      </c>
      <c r="QT174" s="1854">
        <v>1.6439999999999999</v>
      </c>
      <c r="QU174" s="1854">
        <v>1.718</v>
      </c>
      <c r="QV174" s="1854">
        <v>1.728</v>
      </c>
      <c r="QW174" s="1854">
        <v>1.7070000000000001</v>
      </c>
      <c r="QX174" s="1854">
        <v>1.79</v>
      </c>
      <c r="QY174" s="1854">
        <v>1.734</v>
      </c>
      <c r="QZ174" s="1854">
        <v>1.7649999999999999</v>
      </c>
      <c r="RA174" s="1854">
        <v>1.74</v>
      </c>
      <c r="RB174" s="1854">
        <v>1.782</v>
      </c>
      <c r="RC174" s="1854">
        <v>1.833</v>
      </c>
      <c r="RD174" s="1854">
        <v>1.875</v>
      </c>
      <c r="RE174" s="1854">
        <v>1.863</v>
      </c>
      <c r="RF174" s="1854">
        <v>1.9059999999999999</v>
      </c>
      <c r="RG174" s="1854">
        <v>1.913</v>
      </c>
      <c r="RH174" s="1854">
        <v>1.873</v>
      </c>
      <c r="RI174" s="1854">
        <v>1.89</v>
      </c>
      <c r="RJ174" s="1854">
        <v>1.8879999999999999</v>
      </c>
      <c r="RK174" s="1854">
        <v>1.8859999999999999</v>
      </c>
      <c r="RL174" s="1854">
        <v>1.8740000000000001</v>
      </c>
      <c r="RM174" s="1854">
        <v>1.9039999999999999</v>
      </c>
      <c r="RN174" s="1854">
        <v>1.901</v>
      </c>
      <c r="RO174" s="1854">
        <v>1.923</v>
      </c>
      <c r="RP174" s="1854">
        <v>1.8839999999999999</v>
      </c>
      <c r="RQ174" s="1854">
        <v>1.899</v>
      </c>
      <c r="RR174" s="1854">
        <v>1.897</v>
      </c>
      <c r="RS174" s="1854">
        <v>1.9219999999999999</v>
      </c>
      <c r="RT174" s="1854">
        <v>1.94</v>
      </c>
      <c r="RU174" s="1854">
        <v>2.0059999999999998</v>
      </c>
      <c r="RV174" s="1854">
        <v>2.016</v>
      </c>
      <c r="RW174" s="1854">
        <v>1.986</v>
      </c>
      <c r="RX174" s="1854">
        <v>2.0339999999999998</v>
      </c>
      <c r="RY174" s="1854">
        <v>2.0099999999999998</v>
      </c>
      <c r="RZ174" s="1854">
        <v>2.0009999999999999</v>
      </c>
      <c r="SA174" s="1854">
        <v>1.972</v>
      </c>
      <c r="SB174" s="1854">
        <v>1.968</v>
      </c>
      <c r="SC174" s="1854">
        <v>1.9890000000000001</v>
      </c>
      <c r="SD174" s="1854">
        <v>1.9910000000000001</v>
      </c>
      <c r="SE174" s="1854">
        <v>1.9830000000000001</v>
      </c>
      <c r="SF174" s="1854">
        <v>1.9390000000000001</v>
      </c>
      <c r="SG174" s="1854">
        <v>1.911</v>
      </c>
      <c r="SH174" s="1854">
        <v>1.861</v>
      </c>
      <c r="SI174" s="1854">
        <v>1.8580000000000001</v>
      </c>
      <c r="SJ174" s="1854">
        <v>1.907</v>
      </c>
      <c r="SK174" s="1854">
        <v>1.9370000000000001</v>
      </c>
      <c r="SL174" s="1854">
        <v>1.9370000000000001</v>
      </c>
      <c r="SM174" s="1854">
        <v>1.944</v>
      </c>
      <c r="SN174" s="1854">
        <v>1.9410000000000001</v>
      </c>
      <c r="SO174" s="1854">
        <v>1.9450000000000001</v>
      </c>
      <c r="SP174" s="1854">
        <v>1.9510000000000001</v>
      </c>
      <c r="SQ174" s="1854">
        <v>1.9590000000000001</v>
      </c>
      <c r="SR174" s="1854">
        <v>1.9490000000000001</v>
      </c>
      <c r="SS174" s="1854">
        <v>1.927</v>
      </c>
      <c r="ST174" s="1854">
        <v>1.93</v>
      </c>
      <c r="SU174" s="1854">
        <v>1.9350000000000001</v>
      </c>
      <c r="SV174" s="1854">
        <v>1.962</v>
      </c>
      <c r="SW174" s="1854">
        <v>1.9419999999999999</v>
      </c>
      <c r="SX174" s="1854">
        <v>1.9419999999999999</v>
      </c>
      <c r="SY174" s="1854">
        <v>1.9490000000000001</v>
      </c>
      <c r="SZ174" s="1854">
        <v>1.9550000000000001</v>
      </c>
      <c r="TA174" s="1854">
        <v>1.9690000000000001</v>
      </c>
      <c r="TB174" s="1854">
        <v>1.9570000000000001</v>
      </c>
      <c r="TC174" s="1854">
        <v>1.9390000000000001</v>
      </c>
      <c r="TD174" s="1854">
        <v>1.986</v>
      </c>
      <c r="TE174" s="1854">
        <v>1.9570000000000001</v>
      </c>
      <c r="TF174" s="1854">
        <v>1.9219999999999999</v>
      </c>
      <c r="TG174" s="1854">
        <v>1.9570000000000001</v>
      </c>
      <c r="TH174" s="1854">
        <v>1.9750000000000001</v>
      </c>
      <c r="TI174" s="1854">
        <v>1.9890000000000001</v>
      </c>
      <c r="TJ174" s="1854">
        <v>1.988</v>
      </c>
      <c r="TK174" s="1854">
        <v>1.972</v>
      </c>
      <c r="TL174" s="1854">
        <v>1.978</v>
      </c>
      <c r="TM174" s="1854">
        <v>1.9650000000000001</v>
      </c>
      <c r="TN174" s="1854">
        <v>1.9950000000000001</v>
      </c>
      <c r="TO174" s="1854">
        <v>2.0230000000000001</v>
      </c>
      <c r="TP174" s="1854">
        <v>2.0190000000000001</v>
      </c>
      <c r="TQ174" s="1854">
        <v>2.016</v>
      </c>
      <c r="TR174" s="1854">
        <v>2.0150000000000001</v>
      </c>
      <c r="TS174" s="1854">
        <v>2.0640000000000001</v>
      </c>
      <c r="TT174" s="1854">
        <v>2.0110000000000001</v>
      </c>
      <c r="TU174" s="1854">
        <v>2.0230000000000001</v>
      </c>
      <c r="TV174" s="1854">
        <v>2.048</v>
      </c>
      <c r="TW174" s="1854">
        <v>2.0329999999999999</v>
      </c>
      <c r="TX174" s="1854">
        <v>2.0259999999999998</v>
      </c>
      <c r="TY174" s="1854">
        <v>2.0529999999999999</v>
      </c>
      <c r="TZ174" s="1854">
        <v>1.976</v>
      </c>
      <c r="UA174" s="1854">
        <v>1.9730000000000001</v>
      </c>
      <c r="UB174" s="1854">
        <v>1.9810000000000001</v>
      </c>
      <c r="UC174" s="1854">
        <v>1.994</v>
      </c>
      <c r="UD174" s="1854">
        <v>2.0179999999999998</v>
      </c>
      <c r="UE174" s="1854">
        <v>1.9430000000000001</v>
      </c>
      <c r="UF174" s="1854">
        <v>1.905</v>
      </c>
      <c r="UG174" s="1854">
        <v>1.8939999999999999</v>
      </c>
      <c r="UH174" s="1854">
        <v>1.885</v>
      </c>
      <c r="UI174" s="1854">
        <v>1.9119999999999999</v>
      </c>
      <c r="UJ174" s="1854">
        <v>1.88</v>
      </c>
      <c r="UK174" s="1854">
        <v>1.879</v>
      </c>
      <c r="UL174" s="1854">
        <v>1.827</v>
      </c>
      <c r="UM174" s="1854">
        <v>1.7909999999999999</v>
      </c>
      <c r="UN174" s="1854">
        <v>1.7869999999999999</v>
      </c>
      <c r="UO174" s="1854">
        <v>1.7849999999999999</v>
      </c>
      <c r="UP174" s="1854">
        <v>1.7789999999999999</v>
      </c>
      <c r="UQ174" s="1854">
        <v>1.766</v>
      </c>
      <c r="UR174" s="1854">
        <v>1.738</v>
      </c>
      <c r="US174" s="1854">
        <v>1.7170000000000001</v>
      </c>
      <c r="UT174" s="1854">
        <v>1.806</v>
      </c>
      <c r="UU174" s="1854">
        <v>1.8240000000000001</v>
      </c>
      <c r="UV174" s="1854">
        <v>1.8</v>
      </c>
      <c r="UW174" s="1854">
        <v>1.806</v>
      </c>
      <c r="UX174" s="1854">
        <v>1.806</v>
      </c>
      <c r="UY174" s="1854">
        <v>1.8069999999999999</v>
      </c>
      <c r="UZ174" s="1854">
        <v>1.829</v>
      </c>
      <c r="VA174" s="1854">
        <v>1.837</v>
      </c>
      <c r="VB174" s="1854">
        <v>1.8360000000000001</v>
      </c>
      <c r="VC174" s="1854">
        <v>1.835</v>
      </c>
      <c r="VD174" s="1854">
        <v>1.8160000000000001</v>
      </c>
      <c r="VE174" s="1854">
        <v>1.8220000000000001</v>
      </c>
      <c r="VF174" s="1854">
        <v>1.85</v>
      </c>
      <c r="VG174" s="1854">
        <v>1.764</v>
      </c>
      <c r="VH174" s="1854">
        <v>1.748</v>
      </c>
      <c r="VI174" s="1854">
        <v>1.742</v>
      </c>
      <c r="VJ174" s="1854">
        <v>1.7689999999999999</v>
      </c>
      <c r="VK174" s="1854">
        <v>1.76</v>
      </c>
      <c r="VL174" s="1854">
        <v>1.7410000000000001</v>
      </c>
      <c r="VM174" s="1854">
        <v>1.734</v>
      </c>
      <c r="VN174" s="1854">
        <v>1.74</v>
      </c>
      <c r="VO174" s="1854">
        <v>1.6930000000000001</v>
      </c>
      <c r="VP174" s="1854">
        <v>1.6910000000000001</v>
      </c>
      <c r="VQ174" s="1854">
        <v>1.7010000000000001</v>
      </c>
      <c r="VR174" s="1854">
        <v>1.6950000000000001</v>
      </c>
      <c r="VS174" s="1854">
        <v>1.6479999999999999</v>
      </c>
      <c r="VT174" s="1854">
        <v>1.6910000000000001</v>
      </c>
      <c r="VU174" s="1854">
        <v>1.6579999999999999</v>
      </c>
      <c r="VV174" s="1854">
        <v>1.6850000000000001</v>
      </c>
      <c r="VW174" s="1854">
        <v>1.6359999999999999</v>
      </c>
      <c r="VX174" s="1854">
        <v>1.6279999999999999</v>
      </c>
      <c r="VY174" s="1854">
        <v>1.6259999999999999</v>
      </c>
      <c r="VZ174" s="1854">
        <v>1.6779999999999999</v>
      </c>
      <c r="WA174" s="1854">
        <v>1.6779999999999999</v>
      </c>
      <c r="WB174" s="1854">
        <v>1.706</v>
      </c>
      <c r="WC174" s="1854">
        <v>1.7070000000000001</v>
      </c>
      <c r="WD174" s="1854">
        <v>1.6910000000000001</v>
      </c>
      <c r="WE174" s="1854">
        <v>1.6779999999999999</v>
      </c>
      <c r="WF174" s="1854">
        <v>1.6879999999999999</v>
      </c>
      <c r="WG174" s="1854">
        <v>1.6930000000000001</v>
      </c>
      <c r="WH174" s="1854">
        <v>1.7729999999999999</v>
      </c>
      <c r="WI174" s="1854">
        <v>1.8220000000000001</v>
      </c>
      <c r="WJ174" s="1854">
        <v>1.8029999999999999</v>
      </c>
      <c r="WK174" s="1854">
        <v>1.8120000000000001</v>
      </c>
      <c r="WL174" s="1854">
        <v>1.8169999999999999</v>
      </c>
      <c r="WM174" s="1854">
        <v>1.8169999999999999</v>
      </c>
      <c r="WN174" s="1854">
        <v>1.8089999999999999</v>
      </c>
      <c r="WO174" s="1854">
        <v>1.83</v>
      </c>
      <c r="WP174" s="1854">
        <v>1.843</v>
      </c>
      <c r="WQ174" s="1854">
        <v>1.837</v>
      </c>
      <c r="WR174" s="1854">
        <v>1.8320000000000001</v>
      </c>
      <c r="WS174" s="1854">
        <v>1.85</v>
      </c>
      <c r="WT174" s="1854">
        <v>1.903</v>
      </c>
      <c r="WU174" s="1854">
        <v>1.9339999999999999</v>
      </c>
      <c r="WV174" s="1854">
        <v>1.9370000000000001</v>
      </c>
      <c r="WW174" s="1854">
        <v>1.927</v>
      </c>
      <c r="WX174" s="1854">
        <v>1.92</v>
      </c>
      <c r="WY174" s="1854">
        <v>1.9379999999999999</v>
      </c>
      <c r="WZ174" s="1854">
        <v>1.923</v>
      </c>
      <c r="XA174" s="1854">
        <v>1.9219999999999999</v>
      </c>
      <c r="XB174" s="1854">
        <v>1.923</v>
      </c>
      <c r="XC174" s="1854">
        <v>1.915</v>
      </c>
      <c r="XD174" s="1854">
        <v>1.925</v>
      </c>
      <c r="XE174" s="1854">
        <v>1.958</v>
      </c>
      <c r="XF174" s="1854">
        <v>1.974</v>
      </c>
      <c r="XG174" s="1854">
        <v>1.9670000000000001</v>
      </c>
      <c r="XH174" s="1854">
        <v>1.984</v>
      </c>
      <c r="XI174" s="1854">
        <v>1.982</v>
      </c>
      <c r="XJ174" s="1854">
        <v>1.9710000000000001</v>
      </c>
      <c r="XK174" s="1854">
        <v>1.9490000000000001</v>
      </c>
      <c r="XL174" s="1854">
        <v>1.9490000000000001</v>
      </c>
      <c r="XM174" s="1854">
        <v>1.9390000000000001</v>
      </c>
      <c r="XN174" s="1854">
        <v>1.9950000000000001</v>
      </c>
      <c r="XO174" s="1854">
        <v>2.0070000000000001</v>
      </c>
      <c r="XP174" s="1854">
        <v>2.0049999999999999</v>
      </c>
      <c r="XQ174" s="1854">
        <v>1.9890000000000001</v>
      </c>
      <c r="XR174" s="1854">
        <v>2.0019999999999998</v>
      </c>
      <c r="XS174" s="1854">
        <v>1.9990000000000001</v>
      </c>
      <c r="XT174" s="1854">
        <v>2.0529999999999999</v>
      </c>
      <c r="XU174" s="1854">
        <v>2.048</v>
      </c>
      <c r="XV174" s="1854">
        <v>2.0470000000000002</v>
      </c>
      <c r="XW174" s="1854">
        <v>2.0499999999999998</v>
      </c>
      <c r="XX174" s="1854">
        <v>2.0699999999999998</v>
      </c>
      <c r="XY174" s="1854">
        <v>2.0739999999999998</v>
      </c>
      <c r="XZ174" s="1854">
        <v>2.0750000000000002</v>
      </c>
      <c r="YA174" s="1854">
        <v>2.11</v>
      </c>
      <c r="YB174" s="1854">
        <v>2.1030000000000002</v>
      </c>
      <c r="YC174" s="1854">
        <v>2.13</v>
      </c>
      <c r="YD174" s="1854">
        <v>2.1309999999999998</v>
      </c>
      <c r="YE174" s="1854">
        <v>2.1259999999999999</v>
      </c>
      <c r="YF174" s="1854">
        <v>2.1309999999999998</v>
      </c>
      <c r="YG174" s="1854">
        <v>2.1440000000000001</v>
      </c>
      <c r="YH174" s="1854">
        <v>2.1419999999999999</v>
      </c>
      <c r="YI174" s="1854">
        <v>2.157</v>
      </c>
      <c r="YJ174" s="1854">
        <v>2.145</v>
      </c>
      <c r="YK174" s="1854">
        <v>2.1459999999999999</v>
      </c>
      <c r="YL174" s="1854">
        <v>2.1749999999999998</v>
      </c>
      <c r="YM174" s="1854">
        <v>2.177</v>
      </c>
      <c r="YN174" s="1854">
        <v>2.1859999999999999</v>
      </c>
      <c r="YO174" s="1854">
        <v>2.1869999999999998</v>
      </c>
      <c r="YP174" s="1854">
        <v>2.1760000000000002</v>
      </c>
      <c r="YQ174" s="1854">
        <v>2.1840000000000002</v>
      </c>
      <c r="YR174" s="1854">
        <v>2.1890000000000001</v>
      </c>
      <c r="YS174" s="1854">
        <v>2.2040000000000002</v>
      </c>
      <c r="YT174" s="1854">
        <v>2.2010000000000001</v>
      </c>
      <c r="YU174" s="1854">
        <v>2.1709999999999998</v>
      </c>
      <c r="YV174" s="1854">
        <v>2.1840000000000002</v>
      </c>
      <c r="YW174" s="1854">
        <v>2.1909999999999998</v>
      </c>
      <c r="YX174" s="1854">
        <v>2.1949999999999998</v>
      </c>
      <c r="YY174" s="1854">
        <v>2.2189999999999999</v>
      </c>
      <c r="YZ174" s="1854">
        <v>2.238</v>
      </c>
      <c r="ZA174" s="1854">
        <v>2.2410000000000001</v>
      </c>
      <c r="ZB174" s="1854">
        <v>2.2280000000000002</v>
      </c>
      <c r="ZC174" s="1854">
        <v>2.2149999999999999</v>
      </c>
      <c r="ZD174" s="1854">
        <v>2.2490000000000001</v>
      </c>
      <c r="ZE174" s="1854">
        <v>2.234</v>
      </c>
      <c r="ZF174" s="1854">
        <v>2.23</v>
      </c>
      <c r="ZG174" s="1854">
        <v>2.2040000000000002</v>
      </c>
      <c r="ZH174" s="1854">
        <v>2.202</v>
      </c>
      <c r="ZI174" s="1854">
        <v>2.2010000000000001</v>
      </c>
      <c r="ZJ174" s="1854">
        <v>2.1970000000000001</v>
      </c>
      <c r="ZK174" s="1854">
        <v>2.1960000000000002</v>
      </c>
      <c r="ZL174" s="1854">
        <v>2.2069999999999999</v>
      </c>
      <c r="ZM174" s="1854">
        <v>2.194</v>
      </c>
      <c r="ZN174" s="1854">
        <v>2.1930000000000001</v>
      </c>
      <c r="ZO174" s="1854">
        <v>2.1779999999999999</v>
      </c>
      <c r="ZP174" s="1854">
        <v>2.1970000000000001</v>
      </c>
      <c r="ZQ174" s="1854">
        <v>2.1629999999999998</v>
      </c>
      <c r="ZR174" s="1854">
        <v>2.1509999999999998</v>
      </c>
      <c r="ZS174" s="1854">
        <v>2.1869999999999998</v>
      </c>
      <c r="ZT174" s="1854">
        <v>2.2170000000000001</v>
      </c>
      <c r="ZU174" s="1854">
        <v>2.2250000000000001</v>
      </c>
      <c r="ZV174" s="1854">
        <v>2.254</v>
      </c>
      <c r="ZW174" s="1854">
        <v>2.2469999999999999</v>
      </c>
      <c r="ZX174" s="1854">
        <v>2.2650000000000001</v>
      </c>
      <c r="ZY174" s="1854">
        <v>2.262</v>
      </c>
      <c r="ZZ174" s="1854">
        <v>2.2639999999999998</v>
      </c>
      <c r="AAA174" s="1854">
        <v>2.2559999999999998</v>
      </c>
      <c r="AAB174" s="1854">
        <v>2.246</v>
      </c>
      <c r="AAC174" s="1854">
        <v>2.2480000000000002</v>
      </c>
      <c r="AAD174" s="1854">
        <v>2.262</v>
      </c>
      <c r="AAE174" s="1854">
        <v>2.2610000000000001</v>
      </c>
      <c r="AAF174" s="1854">
        <v>2.2549999999999999</v>
      </c>
      <c r="AAG174" s="1854">
        <v>2.2690000000000001</v>
      </c>
      <c r="AAH174" s="1854">
        <v>2.278</v>
      </c>
      <c r="AAI174" s="1854">
        <v>2.2829999999999999</v>
      </c>
      <c r="AAJ174" s="1854">
        <v>2.2810000000000001</v>
      </c>
      <c r="AAK174" s="1854">
        <v>2.2610000000000001</v>
      </c>
      <c r="AAL174" s="1854">
        <v>2.254</v>
      </c>
      <c r="AAM174" s="1854">
        <v>2.2610000000000001</v>
      </c>
      <c r="AAN174" s="1854">
        <v>2.2650000000000001</v>
      </c>
      <c r="AAO174" s="1854">
        <v>2.2599999999999998</v>
      </c>
      <c r="AAP174" s="1854">
        <v>2.258</v>
      </c>
      <c r="AAQ174" s="1854">
        <v>2.2519999999999998</v>
      </c>
      <c r="AAR174" s="1854">
        <v>2.2490000000000001</v>
      </c>
      <c r="AAS174" s="1854">
        <v>2.2509999999999999</v>
      </c>
      <c r="AAT174" s="1854">
        <v>2.2309999999999999</v>
      </c>
      <c r="AAU174" s="1854">
        <v>2.242</v>
      </c>
      <c r="AAV174" s="1854">
        <v>2.2469999999999999</v>
      </c>
      <c r="AAW174" s="1854">
        <v>2.242</v>
      </c>
      <c r="AAX174" s="1854">
        <v>2.2290000000000001</v>
      </c>
      <c r="AAY174" s="1854">
        <v>2.234</v>
      </c>
      <c r="AAZ174" s="1854">
        <v>2.2490000000000001</v>
      </c>
      <c r="ABA174" s="1854">
        <v>2.2509999999999999</v>
      </c>
      <c r="ABB174" s="1854">
        <v>2.2559999999999998</v>
      </c>
      <c r="ABC174" s="1854">
        <v>2.2719999999999998</v>
      </c>
      <c r="ABD174" s="1854">
        <v>2.2690000000000001</v>
      </c>
      <c r="ABE174" s="1854">
        <v>2.2669999999999999</v>
      </c>
      <c r="ABF174" s="1854">
        <v>2.2610000000000001</v>
      </c>
      <c r="ABG174" s="1854">
        <v>2.2610000000000001</v>
      </c>
      <c r="ABH174" s="1854">
        <v>2.2559999999999998</v>
      </c>
      <c r="ABI174" s="1854">
        <v>2.2549999999999999</v>
      </c>
      <c r="ABJ174" s="1854">
        <v>2.2709999999999999</v>
      </c>
      <c r="ABK174" s="1854">
        <v>2.2669999999999999</v>
      </c>
      <c r="ABL174" s="1854">
        <v>2.2549999999999999</v>
      </c>
      <c r="ABM174" s="1854">
        <v>2.258</v>
      </c>
      <c r="ABN174" s="1854">
        <v>2.258</v>
      </c>
      <c r="ABO174" s="1854">
        <v>2.2570000000000001</v>
      </c>
      <c r="ABP174" s="1854">
        <v>2.262</v>
      </c>
      <c r="ABQ174" s="1854">
        <v>2.2589999999999999</v>
      </c>
      <c r="ABR174" s="1854">
        <v>2.27</v>
      </c>
      <c r="ABS174" s="1854">
        <v>2.2690000000000001</v>
      </c>
      <c r="ABT174" s="1854">
        <v>2.2679999999999998</v>
      </c>
      <c r="ABU174" s="1854">
        <v>2.2589999999999999</v>
      </c>
      <c r="ABV174" s="1854">
        <v>2.2650000000000001</v>
      </c>
      <c r="ABW174" s="1854">
        <v>2.27</v>
      </c>
      <c r="ABX174" s="1854">
        <v>2.2869999999999999</v>
      </c>
      <c r="ABY174" s="1854">
        <v>2.2869999999999999</v>
      </c>
      <c r="ABZ174" s="1854">
        <v>2.282</v>
      </c>
      <c r="ACA174" s="1854">
        <v>2.2789999999999999</v>
      </c>
      <c r="ACB174" s="1854">
        <v>2.3130000000000002</v>
      </c>
      <c r="ACC174" s="1854">
        <v>2.31</v>
      </c>
      <c r="ACD174" s="1854">
        <v>2.2829999999999999</v>
      </c>
      <c r="ACE174" s="1854">
        <v>2.2719999999999998</v>
      </c>
      <c r="ACF174" s="1854">
        <v>2.282</v>
      </c>
      <c r="ACG174" s="1854">
        <v>2.2829999999999999</v>
      </c>
      <c r="ACH174" s="1854">
        <v>2.2770000000000001</v>
      </c>
      <c r="ACI174" s="1854">
        <v>2.2879999999999998</v>
      </c>
      <c r="ACJ174" s="1854">
        <v>2.2919999999999998</v>
      </c>
      <c r="ACK174" s="1854">
        <v>2.2839999999999998</v>
      </c>
      <c r="ACL174" s="1854">
        <v>2.2930000000000001</v>
      </c>
      <c r="ACM174" s="1854">
        <v>2.3130000000000002</v>
      </c>
      <c r="ACN174" s="1854">
        <v>2.319</v>
      </c>
      <c r="ACO174" s="1854">
        <v>2.3719999999999999</v>
      </c>
      <c r="ACP174" s="1854">
        <v>2.3820000000000001</v>
      </c>
      <c r="ACQ174" s="1854">
        <v>2.3879999999999999</v>
      </c>
      <c r="ACR174" s="1854">
        <v>2.367</v>
      </c>
      <c r="ACS174" s="1854">
        <v>2.36</v>
      </c>
      <c r="ACT174" s="1854">
        <v>2.3879999999999999</v>
      </c>
      <c r="ACU174" s="1854">
        <v>2.38</v>
      </c>
      <c r="ACV174" s="1854">
        <v>2.3879999999999999</v>
      </c>
      <c r="ACW174" s="1854">
        <v>2.3879999999999999</v>
      </c>
      <c r="ACX174" s="1854">
        <v>2.4060000000000001</v>
      </c>
      <c r="ACY174" s="1854">
        <v>2.4089999999999998</v>
      </c>
      <c r="ACZ174" s="1854">
        <v>2.4049999999999998</v>
      </c>
      <c r="ADA174" s="1854">
        <v>2.4049999999999998</v>
      </c>
      <c r="ADB174" s="1854">
        <v>2.411</v>
      </c>
      <c r="ADC174" s="1854">
        <v>2.4089999999999998</v>
      </c>
      <c r="ADD174" s="1854">
        <v>2.39</v>
      </c>
      <c r="ADE174" s="1854">
        <v>2.4020000000000001</v>
      </c>
      <c r="ADF174" s="1854">
        <v>2.4060000000000001</v>
      </c>
      <c r="ADG174" s="1854">
        <v>2.4159999999999999</v>
      </c>
      <c r="ADH174" s="1854">
        <v>2.42</v>
      </c>
      <c r="ADI174" s="1854">
        <v>2.419</v>
      </c>
      <c r="ADJ174" s="1854">
        <v>2.4359999999999999</v>
      </c>
      <c r="ADK174" s="1854">
        <v>2.4319999999999999</v>
      </c>
      <c r="ADL174" s="1854">
        <v>2.431</v>
      </c>
      <c r="ADM174" s="1854">
        <v>2.3940000000000001</v>
      </c>
      <c r="ADN174" s="1854">
        <v>2.3929999999999998</v>
      </c>
      <c r="ADO174" s="1854">
        <v>2.3839999999999999</v>
      </c>
      <c r="ADP174" s="1854">
        <v>2.3439999999999999</v>
      </c>
      <c r="ADQ174" s="1854">
        <v>2.4129999999999998</v>
      </c>
      <c r="ADR174" s="1854">
        <v>2.4260000000000002</v>
      </c>
      <c r="ADS174" s="1854">
        <v>2.4449999999999998</v>
      </c>
      <c r="ADT174" s="1854">
        <v>2.4319999999999999</v>
      </c>
      <c r="ADU174" s="1854">
        <v>2.4510000000000001</v>
      </c>
      <c r="ADV174" s="1854">
        <v>2.4319999999999999</v>
      </c>
      <c r="ADW174" s="1854">
        <v>2.423</v>
      </c>
      <c r="ADX174" s="1854">
        <v>2.4630000000000001</v>
      </c>
      <c r="ADY174" s="1854">
        <v>2.4820000000000002</v>
      </c>
      <c r="ADZ174" s="1854">
        <v>2.4849999999999999</v>
      </c>
      <c r="AEA174" s="1854">
        <v>2.4860000000000002</v>
      </c>
      <c r="AEB174" s="1854">
        <v>2.4550000000000001</v>
      </c>
      <c r="AEC174" s="1854">
        <v>2.4969999999999999</v>
      </c>
      <c r="AED174" s="1854">
        <v>2.528</v>
      </c>
      <c r="AEE174" s="1854">
        <v>2.5219999999999998</v>
      </c>
      <c r="AEF174" s="1854">
        <v>2.5059999999999998</v>
      </c>
      <c r="AEG174" s="1854">
        <v>2.46</v>
      </c>
      <c r="AEH174" s="1854">
        <v>2.464</v>
      </c>
      <c r="AEI174" s="1854">
        <v>2.4489999999999998</v>
      </c>
      <c r="AEJ174" s="1854">
        <v>2.4500000000000002</v>
      </c>
      <c r="AEK174" s="1854">
        <v>2.4630000000000001</v>
      </c>
      <c r="AEL174" s="1854">
        <v>2.476</v>
      </c>
      <c r="AEM174" s="1854">
        <v>2.4380000000000002</v>
      </c>
      <c r="AEN174" s="1854">
        <v>2.4220000000000002</v>
      </c>
      <c r="AEO174" s="1854">
        <v>2.4129999999999998</v>
      </c>
      <c r="AEP174" s="1854">
        <v>2.4060000000000001</v>
      </c>
      <c r="AEQ174" s="1854">
        <v>2.37</v>
      </c>
      <c r="AER174" s="1854">
        <v>2.343</v>
      </c>
      <c r="AES174" s="1854">
        <v>2.3730000000000002</v>
      </c>
      <c r="AET174" s="1854">
        <v>2.367</v>
      </c>
      <c r="AEU174" s="1854">
        <v>2.3650000000000002</v>
      </c>
      <c r="AEV174" s="1854">
        <v>2.3660000000000001</v>
      </c>
      <c r="AEW174" s="1854">
        <v>2.3580000000000001</v>
      </c>
      <c r="AEX174" s="1854">
        <v>2.3860000000000001</v>
      </c>
      <c r="AEY174" s="1854">
        <v>2.4039999999999999</v>
      </c>
      <c r="AEZ174" s="1854">
        <v>2.4159999999999999</v>
      </c>
      <c r="AFA174" s="1854">
        <v>2.5</v>
      </c>
      <c r="AFB174" s="1854">
        <v>2.5070000000000001</v>
      </c>
      <c r="AFC174" s="1854">
        <v>2.5459999999999998</v>
      </c>
      <c r="AFD174" s="1854">
        <v>2.581</v>
      </c>
      <c r="AFE174" s="1854">
        <v>2.6240000000000001</v>
      </c>
      <c r="AFF174" s="1854">
        <v>2.625</v>
      </c>
      <c r="AFG174" s="1854">
        <v>2.6259999999999999</v>
      </c>
      <c r="AFH174" s="1854">
        <v>2.5920000000000001</v>
      </c>
      <c r="AFI174" s="1854">
        <v>2.65</v>
      </c>
      <c r="AFJ174" s="1854">
        <v>2.6589999999999998</v>
      </c>
      <c r="AFK174" s="1854">
        <v>2.7069999999999999</v>
      </c>
      <c r="AFL174" s="1854">
        <v>2.7210000000000001</v>
      </c>
      <c r="AFM174" s="1854">
        <v>2.7109999999999999</v>
      </c>
      <c r="AFN174" s="1854">
        <v>2.7029999999999998</v>
      </c>
      <c r="AFO174" s="1854">
        <v>2.714</v>
      </c>
      <c r="AFP174" s="1854">
        <v>2.7320000000000002</v>
      </c>
      <c r="AFQ174" s="1854">
        <v>2.7429999999999999</v>
      </c>
      <c r="AFR174" s="1854">
        <v>2.7549999999999999</v>
      </c>
      <c r="AFS174" s="1854">
        <v>2.7650000000000001</v>
      </c>
      <c r="AFT174" s="1854">
        <v>2.77</v>
      </c>
      <c r="AFU174" s="1854">
        <v>2.78</v>
      </c>
      <c r="AFV174" s="1854">
        <v>2.7810000000000001</v>
      </c>
      <c r="AFW174" s="1854">
        <v>2.786</v>
      </c>
      <c r="AFX174" s="1854">
        <v>2.7709999999999999</v>
      </c>
      <c r="AFY174" s="1854">
        <v>2.7320000000000002</v>
      </c>
      <c r="AFZ174" s="1854">
        <v>2.7389999999999999</v>
      </c>
      <c r="AGA174" s="1854">
        <v>2.7480000000000002</v>
      </c>
      <c r="AGB174" s="1854">
        <v>2.7349999999999999</v>
      </c>
      <c r="AGC174" s="1854">
        <v>2.7320000000000002</v>
      </c>
      <c r="AGD174" s="1854">
        <v>2.7440000000000002</v>
      </c>
      <c r="AGE174" s="1854">
        <v>2.74</v>
      </c>
      <c r="AGF174" s="1854">
        <v>2.746</v>
      </c>
      <c r="AGG174" s="1854">
        <v>2.7410000000000001</v>
      </c>
      <c r="AGH174" s="1854">
        <v>2.7549999999999999</v>
      </c>
      <c r="AGI174" s="1854">
        <v>2.7440000000000002</v>
      </c>
      <c r="AGJ174" s="1854">
        <v>2.7080000000000002</v>
      </c>
      <c r="AGK174" s="1854">
        <v>2.7450000000000001</v>
      </c>
      <c r="AGL174" s="1854">
        <v>2.7549999999999999</v>
      </c>
      <c r="AGM174" s="1854">
        <v>2.7490000000000001</v>
      </c>
      <c r="AGN174" s="1854">
        <v>2.742</v>
      </c>
      <c r="AGO174" s="1854">
        <v>2.7610000000000001</v>
      </c>
      <c r="AGP174" s="1854">
        <v>2.7810000000000001</v>
      </c>
      <c r="AGQ174" s="1854">
        <v>2.766</v>
      </c>
      <c r="AGR174" s="1854">
        <v>2.766</v>
      </c>
      <c r="AGS174" s="1854">
        <v>2.762</v>
      </c>
      <c r="AGT174" s="1854">
        <v>2.7669999999999999</v>
      </c>
      <c r="AGU174" s="1854">
        <v>2.7879999999999998</v>
      </c>
      <c r="AGV174" s="1854">
        <v>2.7839999999999998</v>
      </c>
      <c r="AGW174" s="1854">
        <v>2.7879999999999998</v>
      </c>
      <c r="AGX174" s="1854">
        <v>2.786</v>
      </c>
      <c r="AGY174" s="1854">
        <v>2.7970000000000002</v>
      </c>
      <c r="AGZ174" s="1854">
        <v>2.7949999999999999</v>
      </c>
      <c r="AHA174" s="1854">
        <v>2.8069999999999999</v>
      </c>
      <c r="AHB174" s="1854">
        <v>2.8149999999999999</v>
      </c>
      <c r="AHC174" s="1854">
        <v>2.8460000000000001</v>
      </c>
      <c r="AHD174" s="1854">
        <v>2.8330000000000002</v>
      </c>
      <c r="AHE174" s="1854">
        <v>2.8330000000000002</v>
      </c>
      <c r="AHF174" s="1854">
        <v>2.8180000000000001</v>
      </c>
      <c r="AHG174" s="1854">
        <v>2.8420000000000001</v>
      </c>
      <c r="AHH174" s="1854">
        <v>2.827</v>
      </c>
      <c r="AHI174" s="1854">
        <v>2.8340000000000001</v>
      </c>
      <c r="AHJ174" s="1854">
        <v>2.8140000000000001</v>
      </c>
      <c r="AHK174" s="1854">
        <v>2.8159999999999998</v>
      </c>
      <c r="AHL174" s="1854">
        <v>2.8170000000000002</v>
      </c>
      <c r="AHM174" s="1854">
        <v>2.8130000000000002</v>
      </c>
      <c r="AHN174" s="1854">
        <v>2.8290000000000002</v>
      </c>
      <c r="AHO174" s="1854">
        <v>2.823</v>
      </c>
      <c r="AHP174" s="1854">
        <v>2.8180000000000001</v>
      </c>
      <c r="AHQ174" s="1854">
        <v>2.85</v>
      </c>
      <c r="AHR174" s="1854">
        <v>2.863</v>
      </c>
      <c r="AHS174" s="1854">
        <v>2.8439999999999999</v>
      </c>
      <c r="AHT174" s="1854">
        <v>2.8719999999999999</v>
      </c>
      <c r="AHU174" s="1854">
        <v>2.8919999999999999</v>
      </c>
      <c r="AHV174" s="1854">
        <v>2.9119999999999999</v>
      </c>
      <c r="AHW174" s="1854">
        <v>2.9089999999999998</v>
      </c>
      <c r="AHX174" s="1854">
        <v>2.891</v>
      </c>
      <c r="AHY174" s="1854">
        <v>2.8809999999999998</v>
      </c>
      <c r="AHZ174" s="1854">
        <v>2.9039999999999999</v>
      </c>
      <c r="AIA174" s="1854">
        <v>2.9009999999999998</v>
      </c>
      <c r="AIB174" s="1854">
        <v>2.8759999999999999</v>
      </c>
      <c r="AIC174" s="1854">
        <v>2.847</v>
      </c>
      <c r="AID174" s="1854">
        <v>2.839</v>
      </c>
      <c r="AIE174" s="1854">
        <v>2.819</v>
      </c>
      <c r="AIF174" s="1854">
        <v>2.806</v>
      </c>
      <c r="AIG174" s="1854">
        <v>2.835</v>
      </c>
      <c r="AIH174" s="1854">
        <v>2.8490000000000002</v>
      </c>
      <c r="AII174" s="1854">
        <v>2.83</v>
      </c>
      <c r="AIJ174" s="1854">
        <v>2.8370000000000002</v>
      </c>
      <c r="AIK174" s="1854">
        <v>2.806</v>
      </c>
      <c r="AIL174" s="1854">
        <v>2.798</v>
      </c>
      <c r="AIM174" s="1854">
        <v>2.7949999999999999</v>
      </c>
      <c r="AIN174" s="1854">
        <v>2.7850000000000001</v>
      </c>
      <c r="AIO174" s="1854">
        <v>2.7770000000000001</v>
      </c>
      <c r="AIP174" s="1854">
        <v>2.7639999999999998</v>
      </c>
      <c r="AIQ174" s="1854">
        <v>2.762</v>
      </c>
      <c r="AIR174" s="1854">
        <v>2.77</v>
      </c>
      <c r="AIS174" s="1854">
        <v>2.7850000000000001</v>
      </c>
      <c r="AIT174" s="1854">
        <v>2.774</v>
      </c>
      <c r="AIU174" s="1854">
        <v>2.7629999999999999</v>
      </c>
      <c r="AIV174" s="1854">
        <v>2.7770000000000001</v>
      </c>
      <c r="AIW174" s="1854">
        <v>2.7639999999999998</v>
      </c>
      <c r="AIX174" s="1854">
        <v>2.7850000000000001</v>
      </c>
      <c r="AIY174" s="1854">
        <v>2.802</v>
      </c>
      <c r="AIZ174" s="1854">
        <v>2.7949999999999999</v>
      </c>
      <c r="AJA174" s="1854">
        <v>2.7989999999999999</v>
      </c>
      <c r="AJB174" s="1854">
        <v>2.7959999999999998</v>
      </c>
      <c r="AJC174" s="1854">
        <v>2.8069999999999999</v>
      </c>
      <c r="AJD174" s="1854">
        <v>2.8149999999999999</v>
      </c>
      <c r="AJE174" s="1854">
        <v>2.7970000000000002</v>
      </c>
      <c r="AJF174" s="1854">
        <v>2.823</v>
      </c>
      <c r="AJG174" s="1854">
        <v>2.85</v>
      </c>
      <c r="AJH174" s="1854">
        <v>2.8479999999999999</v>
      </c>
      <c r="AJI174" s="1854">
        <v>2.8380000000000001</v>
      </c>
      <c r="AJJ174" s="1854">
        <v>2.835</v>
      </c>
      <c r="AJK174" s="1854">
        <v>2.827</v>
      </c>
      <c r="AJL174" s="1854">
        <v>2.8330000000000002</v>
      </c>
      <c r="AJM174" s="1854">
        <v>2.8530000000000002</v>
      </c>
      <c r="AJN174" s="1854">
        <v>2.8570000000000002</v>
      </c>
      <c r="AJO174" s="1854">
        <v>2.8460000000000001</v>
      </c>
      <c r="AJP174" s="1854">
        <v>2.8370000000000002</v>
      </c>
      <c r="AJQ174" s="1854">
        <v>2.8450000000000002</v>
      </c>
      <c r="AJR174" s="1854">
        <v>2.8580000000000001</v>
      </c>
      <c r="AJS174" s="1854">
        <v>2.8530000000000002</v>
      </c>
      <c r="AJT174" s="1854">
        <v>2.84</v>
      </c>
      <c r="AJU174" s="1854">
        <v>2.8170000000000002</v>
      </c>
      <c r="AJV174" s="1854">
        <v>2.8090000000000002</v>
      </c>
      <c r="AJW174" s="1854">
        <v>2.8130000000000002</v>
      </c>
      <c r="AJX174" s="1854">
        <v>2.831</v>
      </c>
      <c r="AJY174" s="1854">
        <v>2.8420000000000001</v>
      </c>
      <c r="AJZ174" s="1854">
        <v>2.8450000000000002</v>
      </c>
      <c r="AKA174" s="1854">
        <v>2.8519999999999999</v>
      </c>
      <c r="AKB174" s="1854">
        <v>2.8410000000000002</v>
      </c>
      <c r="AKC174" s="1854">
        <v>2.8069999999999999</v>
      </c>
      <c r="AKD174" s="1854">
        <v>2.8159999999999998</v>
      </c>
      <c r="AKE174" s="1854">
        <v>2.835</v>
      </c>
      <c r="AKF174" s="1854">
        <v>2.8079999999999998</v>
      </c>
      <c r="AKG174" s="1854">
        <v>2.802</v>
      </c>
      <c r="AKH174" s="1854">
        <v>2.7789999999999999</v>
      </c>
      <c r="AKI174" s="1854">
        <v>2.7879999999999998</v>
      </c>
      <c r="AKJ174" s="1854">
        <v>2.8170000000000002</v>
      </c>
      <c r="AKK174" s="1854">
        <v>2.786</v>
      </c>
      <c r="AKL174" s="1854">
        <v>2.7890000000000001</v>
      </c>
      <c r="AKM174" s="1854">
        <v>2.8090000000000002</v>
      </c>
      <c r="AKN174" s="1854">
        <v>2.8330000000000002</v>
      </c>
      <c r="AKO174" s="1854">
        <v>2.81</v>
      </c>
      <c r="AKP174" s="1854">
        <v>2.7570000000000001</v>
      </c>
      <c r="AKQ174" s="1854">
        <v>2.7480000000000002</v>
      </c>
      <c r="AKR174" s="1854">
        <v>2.7309999999999999</v>
      </c>
      <c r="AKS174" s="1854">
        <v>2.7250000000000001</v>
      </c>
      <c r="AKT174" s="1854">
        <v>2.7309999999999999</v>
      </c>
      <c r="AKU174" s="1854">
        <v>2.7010000000000001</v>
      </c>
      <c r="AKV174" s="1854">
        <v>2.7010000000000001</v>
      </c>
      <c r="AKW174" s="1854">
        <v>2.7450000000000001</v>
      </c>
      <c r="AKX174" s="1854">
        <v>2.7450000000000001</v>
      </c>
      <c r="AKY174" s="1854">
        <v>2.75</v>
      </c>
      <c r="AKZ174" s="1854">
        <v>2.7069999999999999</v>
      </c>
      <c r="ALA174" s="1854">
        <v>2.69</v>
      </c>
      <c r="ALB174" s="1854">
        <v>2.7069999999999999</v>
      </c>
      <c r="ALC174" s="1854">
        <v>2.6840000000000002</v>
      </c>
      <c r="ALD174" s="1854">
        <v>2.6709999999999998</v>
      </c>
      <c r="ALE174" s="1854">
        <v>2.6440000000000001</v>
      </c>
      <c r="ALF174" s="1854">
        <v>2.6760000000000002</v>
      </c>
      <c r="ALG174" s="1854">
        <v>2.6640000000000001</v>
      </c>
      <c r="ALH174" s="1854">
        <v>2.6619999999999999</v>
      </c>
      <c r="ALI174" s="1854">
        <v>2.6779999999999999</v>
      </c>
      <c r="ALJ174" s="1854">
        <v>2.6779999999999999</v>
      </c>
      <c r="ALK174" s="1854">
        <v>2.6930000000000001</v>
      </c>
      <c r="ALL174" s="1854">
        <v>2.6779999999999999</v>
      </c>
      <c r="ALM174" s="1854">
        <v>2.6779999999999999</v>
      </c>
      <c r="ALN174" s="1854">
        <v>2.6429999999999998</v>
      </c>
      <c r="ALO174" s="1854">
        <v>2.6379999999999999</v>
      </c>
      <c r="ALP174" s="1854">
        <v>2.6429999999999998</v>
      </c>
      <c r="ALQ174" s="1854">
        <v>2.6360000000000001</v>
      </c>
      <c r="ALR174" s="1854">
        <v>2.625</v>
      </c>
      <c r="ALS174" s="1854">
        <v>2.6280000000000001</v>
      </c>
      <c r="ALT174" s="1854">
        <v>2.6280000000000001</v>
      </c>
      <c r="ALU174" s="1854">
        <v>2.6280000000000001</v>
      </c>
      <c r="ALV174" s="1854">
        <v>2.64</v>
      </c>
      <c r="ALW174" s="1854">
        <v>2.645</v>
      </c>
      <c r="ALX174" s="1854">
        <v>2.645</v>
      </c>
      <c r="ALY174" s="1854">
        <v>2.637</v>
      </c>
      <c r="ALZ174" s="1854">
        <v>2.6629999999999998</v>
      </c>
      <c r="AMA174" s="1854">
        <v>2.6349999999999998</v>
      </c>
      <c r="AMB174" s="1854">
        <v>2.637</v>
      </c>
      <c r="AMC174" s="1854">
        <v>2.6309999999999998</v>
      </c>
      <c r="AMD174" s="1854">
        <v>2.6680000000000001</v>
      </c>
      <c r="AME174" s="1854">
        <v>2.6760000000000002</v>
      </c>
      <c r="AMF174" s="1854">
        <v>2.706</v>
      </c>
      <c r="AMG174" s="1854">
        <v>2.722</v>
      </c>
      <c r="AMH174" s="1854">
        <v>2.6960000000000002</v>
      </c>
      <c r="AMI174" s="1854">
        <v>2.7240000000000002</v>
      </c>
      <c r="AMJ174" s="1854">
        <v>2.714</v>
      </c>
      <c r="AMK174" s="1854">
        <v>2.7130000000000001</v>
      </c>
      <c r="AML174" s="1854">
        <v>2.7320000000000002</v>
      </c>
      <c r="AMM174" s="1854">
        <v>2.7349999999999999</v>
      </c>
      <c r="AMN174" s="1854">
        <v>2.7389999999999999</v>
      </c>
      <c r="AMO174" s="1854">
        <v>2.7709999999999999</v>
      </c>
      <c r="AMP174" s="1854">
        <v>2.742</v>
      </c>
      <c r="AMQ174" s="1854">
        <v>2.72</v>
      </c>
      <c r="AMR174" s="1854">
        <v>2.7090000000000001</v>
      </c>
      <c r="AMS174" s="1854">
        <v>2.7090000000000001</v>
      </c>
      <c r="AMT174" s="1854">
        <v>2.6949999999999998</v>
      </c>
      <c r="AMU174" s="1854">
        <v>2.7109999999999999</v>
      </c>
      <c r="AMV174" s="1854">
        <v>2.694</v>
      </c>
      <c r="AMW174" s="1854">
        <v>2.6880000000000002</v>
      </c>
      <c r="AMX174" s="1854">
        <v>2.7050000000000001</v>
      </c>
      <c r="AMY174" s="1854">
        <v>2.7280000000000002</v>
      </c>
      <c r="AMZ174" s="1854">
        <v>2.6970000000000001</v>
      </c>
      <c r="ANA174" s="1854">
        <v>2.7160000000000002</v>
      </c>
      <c r="ANB174" s="1854">
        <v>2.7290000000000001</v>
      </c>
      <c r="ANC174" s="1854">
        <v>2.6480000000000001</v>
      </c>
      <c r="AND174" s="1854">
        <v>2.61</v>
      </c>
      <c r="ANE174" s="1854">
        <v>2.5840000000000001</v>
      </c>
      <c r="ANF174" s="1854">
        <v>2.63</v>
      </c>
      <c r="ANG174" s="1854">
        <v>2.5499999999999998</v>
      </c>
      <c r="ANH174" s="1854">
        <v>2.4769999999999999</v>
      </c>
      <c r="ANI174" s="1854">
        <v>2.4889999999999999</v>
      </c>
      <c r="ANJ174" s="1854">
        <v>2.4729999999999999</v>
      </c>
      <c r="ANK174" s="1854">
        <v>2.46</v>
      </c>
      <c r="ANL174" s="1854">
        <v>2.4430000000000001</v>
      </c>
      <c r="ANM174" s="1854">
        <v>2.4689999999999999</v>
      </c>
      <c r="ANN174" s="1854">
        <v>2.476</v>
      </c>
      <c r="ANO174" s="1854">
        <v>2.4289999999999998</v>
      </c>
      <c r="ANP174" s="1854">
        <v>2.431</v>
      </c>
      <c r="ANQ174" s="1854">
        <v>2.4260000000000002</v>
      </c>
      <c r="ANR174" s="1854">
        <v>2.375</v>
      </c>
      <c r="ANS174" s="1854">
        <v>2.3340000000000001</v>
      </c>
      <c r="ANT174" s="1854">
        <v>2.3220000000000001</v>
      </c>
      <c r="ANU174" s="1854">
        <v>2.3290000000000002</v>
      </c>
      <c r="ANV174" s="1854">
        <v>2.3220000000000001</v>
      </c>
      <c r="ANW174" s="1854">
        <v>2.3260000000000001</v>
      </c>
      <c r="ANX174" s="1854">
        <v>2.294</v>
      </c>
      <c r="ANY174" s="1854">
        <v>2.29</v>
      </c>
      <c r="ANZ174" s="1854">
        <v>2.2909999999999999</v>
      </c>
      <c r="AOA174" s="1854">
        <v>2.2909999999999999</v>
      </c>
      <c r="AOB174" s="1854">
        <v>2.3010000000000002</v>
      </c>
      <c r="AOC174" s="1854">
        <v>2.3029999999999999</v>
      </c>
      <c r="AOD174" s="1854">
        <v>2.3010000000000002</v>
      </c>
      <c r="AOE174" s="1854">
        <v>2.3260000000000001</v>
      </c>
      <c r="AOF174" s="1854">
        <v>2.3239999999999998</v>
      </c>
      <c r="AOG174" s="1854">
        <v>2.3330000000000002</v>
      </c>
      <c r="AOH174" s="1854">
        <v>2.335</v>
      </c>
      <c r="AOI174" s="1854">
        <v>2.302</v>
      </c>
      <c r="AOJ174" s="1854">
        <v>2.3039999999999998</v>
      </c>
      <c r="AOK174" s="1854">
        <v>2.3069999999999999</v>
      </c>
      <c r="AOL174" s="1854">
        <v>2.3220000000000001</v>
      </c>
      <c r="AOM174" s="1854">
        <v>2.3079999999999998</v>
      </c>
      <c r="AON174" s="1854">
        <v>2.306</v>
      </c>
      <c r="AOO174" s="1854">
        <v>2.339</v>
      </c>
      <c r="AOP174" s="1854">
        <v>2.3359999999999999</v>
      </c>
      <c r="AOQ174" s="1854">
        <v>2.3410000000000002</v>
      </c>
      <c r="AOR174" s="1854">
        <v>2.3250000000000002</v>
      </c>
      <c r="AOS174" s="1854">
        <v>2.323</v>
      </c>
      <c r="AOT174" s="1854">
        <v>2.34</v>
      </c>
      <c r="AOU174" s="1854">
        <v>2.359</v>
      </c>
      <c r="AOV174" s="1854">
        <v>2.3380000000000001</v>
      </c>
      <c r="AOW174" s="1854">
        <v>2.3380000000000001</v>
      </c>
      <c r="AOX174" s="1854">
        <v>2.3530000000000002</v>
      </c>
      <c r="AOY174" s="1854">
        <v>2.363</v>
      </c>
      <c r="AOZ174" s="1854">
        <v>2.331</v>
      </c>
      <c r="APA174" s="1854">
        <v>2.3069999999999999</v>
      </c>
      <c r="APB174" s="1854">
        <v>2.2789999999999999</v>
      </c>
      <c r="APC174" s="1854">
        <v>2.2759999999999998</v>
      </c>
      <c r="APD174" s="1854">
        <v>2.27</v>
      </c>
      <c r="APE174" s="1854">
        <v>2.2709999999999999</v>
      </c>
      <c r="APF174" s="1854">
        <v>2.2599999999999998</v>
      </c>
      <c r="APG174" s="1854">
        <v>2.2570000000000001</v>
      </c>
      <c r="APH174" s="1854">
        <v>2.25</v>
      </c>
      <c r="API174" s="1854">
        <v>2.2639999999999998</v>
      </c>
      <c r="APJ174" s="1854">
        <v>2.2480000000000002</v>
      </c>
      <c r="APK174" s="1854">
        <v>2.2589999999999999</v>
      </c>
      <c r="APL174" s="1854">
        <v>2.262</v>
      </c>
      <c r="APM174" s="1854">
        <v>2.2789999999999999</v>
      </c>
      <c r="APN174" s="1854">
        <v>2.2850000000000001</v>
      </c>
      <c r="APO174" s="1854">
        <v>2.2850000000000001</v>
      </c>
      <c r="APP174" s="1854">
        <v>2.2919999999999998</v>
      </c>
      <c r="APQ174" s="1854">
        <v>2.2850000000000001</v>
      </c>
      <c r="APR174" s="1854">
        <v>2.2799999999999998</v>
      </c>
      <c r="APS174" s="1854">
        <v>2.2989999999999999</v>
      </c>
      <c r="APT174" s="1854">
        <v>2.2999999999999998</v>
      </c>
      <c r="APU174" s="1854">
        <v>2.2949999999999999</v>
      </c>
      <c r="APV174" s="1854">
        <v>2.3180000000000001</v>
      </c>
      <c r="APW174" s="1854">
        <v>2.29</v>
      </c>
      <c r="APX174" s="1854">
        <v>2.2850000000000001</v>
      </c>
      <c r="APY174" s="1854">
        <v>2.2799999999999998</v>
      </c>
      <c r="APZ174" s="1854">
        <v>2.2559999999999998</v>
      </c>
      <c r="AQA174" s="1854">
        <v>2.2400000000000002</v>
      </c>
      <c r="AQB174" s="1854">
        <v>2.2410000000000001</v>
      </c>
      <c r="AQC174" s="1854">
        <v>2.246</v>
      </c>
      <c r="AQD174" s="1854">
        <v>2.218</v>
      </c>
      <c r="AQE174" s="1854">
        <v>2.222</v>
      </c>
      <c r="AQF174" s="1854">
        <v>2.2229999999999999</v>
      </c>
      <c r="AQG174" s="1854">
        <v>2.2349999999999999</v>
      </c>
      <c r="AQH174" s="1854">
        <v>2.2250000000000001</v>
      </c>
      <c r="AQI174" s="1854">
        <v>2.218</v>
      </c>
      <c r="AQJ174" s="1854">
        <v>2.2160000000000002</v>
      </c>
      <c r="AQK174" s="1854">
        <v>2.2269999999999999</v>
      </c>
      <c r="AQL174" s="1854">
        <v>2.2120000000000002</v>
      </c>
      <c r="AQM174" s="1854">
        <v>2.2130000000000001</v>
      </c>
      <c r="AQN174" s="1854">
        <v>2.194</v>
      </c>
      <c r="AQO174" s="1854">
        <v>2.2250000000000001</v>
      </c>
      <c r="AQP174" s="1854">
        <v>2.17</v>
      </c>
      <c r="AQQ174" s="1854">
        <v>2.173</v>
      </c>
      <c r="AQR174" s="1854">
        <v>2.157</v>
      </c>
      <c r="AQS174" s="1854">
        <v>2.1579999999999999</v>
      </c>
      <c r="AQT174" s="1854">
        <v>2.1659999999999999</v>
      </c>
      <c r="AQU174" s="1854">
        <v>2.1789999999999998</v>
      </c>
      <c r="AQV174" s="1854">
        <v>2.1930000000000001</v>
      </c>
      <c r="AQW174" s="1854">
        <v>2.1890000000000001</v>
      </c>
      <c r="AQX174" s="1854">
        <v>2.202</v>
      </c>
      <c r="AQY174" s="1854">
        <v>2.2040000000000002</v>
      </c>
      <c r="AQZ174" s="1854">
        <v>2.2069999999999999</v>
      </c>
      <c r="ARA174" s="1854">
        <v>2.2160000000000002</v>
      </c>
      <c r="ARB174" s="1854">
        <v>2.202</v>
      </c>
      <c r="ARC174" s="1854">
        <v>2.2109999999999999</v>
      </c>
      <c r="ARD174" s="1854">
        <v>2.1949999999999998</v>
      </c>
      <c r="ARE174" s="1854">
        <v>2.2069999999999999</v>
      </c>
      <c r="ARF174" s="1854">
        <v>2.2069999999999999</v>
      </c>
      <c r="ARG174" s="1854">
        <v>2.2400000000000002</v>
      </c>
      <c r="ARH174" s="1854">
        <v>2.2370000000000001</v>
      </c>
      <c r="ARI174" s="1854">
        <v>2.2370000000000001</v>
      </c>
      <c r="ARJ174" s="1854">
        <v>2.2519999999999998</v>
      </c>
      <c r="ARK174" s="1854">
        <v>2.2559999999999998</v>
      </c>
      <c r="ARL174" s="1854">
        <v>2.2309999999999999</v>
      </c>
      <c r="ARM174" s="1854">
        <v>2.206</v>
      </c>
      <c r="ARN174" s="1854">
        <v>2.2160000000000002</v>
      </c>
      <c r="ARO174" s="1854">
        <v>2.2000000000000002</v>
      </c>
      <c r="ARP174" s="1854">
        <v>2.1989999999999998</v>
      </c>
      <c r="ARQ174" s="1854">
        <v>2.2069999999999999</v>
      </c>
      <c r="ARR174" s="1854">
        <v>2.2029999999999998</v>
      </c>
      <c r="ARS174" s="1854">
        <v>2.2200000000000002</v>
      </c>
      <c r="ART174" s="1854">
        <v>2.202</v>
      </c>
      <c r="ARU174" s="1854">
        <v>2.1909999999999998</v>
      </c>
      <c r="ARV174" s="1854">
        <v>2.1850000000000001</v>
      </c>
      <c r="ARW174" s="1854">
        <v>2.1909999999999998</v>
      </c>
      <c r="ARX174" s="1854">
        <v>2.1869999999999998</v>
      </c>
      <c r="ARY174" s="1854">
        <v>2.19</v>
      </c>
      <c r="ARZ174" s="1854">
        <v>2.1869999999999998</v>
      </c>
      <c r="ASA174" s="1854">
        <v>2.1989999999999998</v>
      </c>
      <c r="ASB174" s="1854">
        <v>2.2050000000000001</v>
      </c>
      <c r="ASC174" s="1854">
        <v>2.234</v>
      </c>
      <c r="ASD174" s="1854">
        <v>2.198</v>
      </c>
      <c r="ASE174" s="1854">
        <v>2.1920000000000002</v>
      </c>
      <c r="ASF174" s="1854">
        <v>2.169</v>
      </c>
      <c r="ASG174" s="1854">
        <v>2.161</v>
      </c>
      <c r="ASH174" s="1854">
        <v>2.1840000000000002</v>
      </c>
      <c r="ASI174" s="1854">
        <v>2.1829999999999998</v>
      </c>
      <c r="ASJ174" s="1854">
        <v>2.1859999999999999</v>
      </c>
      <c r="ASK174" s="1854">
        <v>2.1789999999999998</v>
      </c>
      <c r="ASL174" s="1854">
        <v>2.1800000000000002</v>
      </c>
      <c r="ASM174" s="1854">
        <v>2.1739999999999999</v>
      </c>
      <c r="ASN174" s="1854">
        <v>2.1989999999999998</v>
      </c>
      <c r="ASO174" s="1854">
        <v>2.1840000000000002</v>
      </c>
      <c r="ASP174" s="1854">
        <v>2.1789999999999998</v>
      </c>
      <c r="ASQ174" s="1854">
        <v>2.1869999999999998</v>
      </c>
      <c r="ASR174" s="1854">
        <v>2.1880000000000002</v>
      </c>
      <c r="ASS174" s="1854">
        <v>2.1869999999999998</v>
      </c>
      <c r="AST174" s="1854">
        <v>2.1960000000000002</v>
      </c>
      <c r="ASU174" s="1854">
        <v>2.2469999999999999</v>
      </c>
      <c r="ASV174" s="1854">
        <v>2.2440000000000002</v>
      </c>
      <c r="ASW174" s="1854">
        <v>2.2480000000000002</v>
      </c>
      <c r="ASX174" s="1854">
        <v>2.258</v>
      </c>
      <c r="ASY174" s="1854">
        <v>2.2650000000000001</v>
      </c>
      <c r="ASZ174" s="1854">
        <v>2.2559999999999998</v>
      </c>
      <c r="ATA174" s="1854">
        <v>2.2570000000000001</v>
      </c>
      <c r="ATB174" s="1854">
        <v>2.2170000000000001</v>
      </c>
      <c r="ATC174" s="1854">
        <v>2.1819999999999999</v>
      </c>
      <c r="ATD174" s="1854">
        <v>2.1800000000000002</v>
      </c>
      <c r="ATE174" s="1854">
        <v>2.1379999999999999</v>
      </c>
      <c r="ATF174" s="1854">
        <v>2.129</v>
      </c>
      <c r="ATG174" s="1854">
        <v>2.133</v>
      </c>
      <c r="ATH174" s="1854">
        <v>2.141</v>
      </c>
      <c r="ATI174" s="1854">
        <v>2.1549999999999998</v>
      </c>
      <c r="ATJ174" s="1854">
        <v>2.137</v>
      </c>
      <c r="ATK174" s="1854">
        <v>2.1349999999999998</v>
      </c>
      <c r="ATL174" s="1854">
        <v>2.121</v>
      </c>
      <c r="ATM174" s="1854">
        <v>2.121</v>
      </c>
      <c r="ATN174" s="1854">
        <v>2.1259999999999999</v>
      </c>
      <c r="ATO174" s="1854">
        <v>2.113</v>
      </c>
      <c r="ATP174" s="1854">
        <v>2.1230000000000002</v>
      </c>
      <c r="ATQ174" s="1854">
        <v>2.1269999999999998</v>
      </c>
      <c r="ATR174" s="1854">
        <v>2.109</v>
      </c>
      <c r="ATS174" s="1854">
        <v>2.1120000000000001</v>
      </c>
      <c r="ATT174" s="1854">
        <v>2.105</v>
      </c>
      <c r="ATU174" s="1854">
        <v>2.1259999999999999</v>
      </c>
      <c r="ATV174" s="1854">
        <v>2.149</v>
      </c>
      <c r="ATW174" s="1854">
        <v>2.1389999999999998</v>
      </c>
      <c r="ATX174" s="1854">
        <v>2.1509999999999998</v>
      </c>
      <c r="ATY174" s="1854">
        <v>2.14</v>
      </c>
      <c r="ATZ174" s="1854">
        <v>2.1509999999999998</v>
      </c>
      <c r="AUA174" s="1854">
        <v>2.1110000000000002</v>
      </c>
      <c r="AUB174" s="1854">
        <v>2.093</v>
      </c>
      <c r="AUC174" s="1854">
        <v>2.1040000000000001</v>
      </c>
      <c r="AUD174" s="1854">
        <v>2.117</v>
      </c>
      <c r="AUE174" s="1854">
        <v>2.1349999999999998</v>
      </c>
      <c r="AUF174" s="1854">
        <v>2.1019999999999999</v>
      </c>
      <c r="AUG174" s="1854">
        <v>2.0830000000000002</v>
      </c>
      <c r="AUH174" s="1854">
        <v>2.0920000000000001</v>
      </c>
      <c r="AUI174" s="1854">
        <v>2.089</v>
      </c>
      <c r="AUJ174" s="1854">
        <v>2.0750000000000002</v>
      </c>
      <c r="AUK174" s="1854">
        <v>2.105</v>
      </c>
      <c r="AUL174" s="1854">
        <v>2.0979999999999999</v>
      </c>
      <c r="AUM174" s="1854">
        <v>2.1150000000000002</v>
      </c>
      <c r="AUN174" s="1854">
        <v>2.0859999999999999</v>
      </c>
      <c r="AUO174" s="1854">
        <v>2.0720000000000001</v>
      </c>
      <c r="AUP174" s="1854">
        <v>2.0950000000000002</v>
      </c>
      <c r="AUQ174" s="1854">
        <v>2.097</v>
      </c>
      <c r="AUR174" s="1854">
        <v>2.12</v>
      </c>
      <c r="AUS174" s="1854">
        <v>2.1280000000000001</v>
      </c>
      <c r="AUT174" s="1854">
        <v>2.1280000000000001</v>
      </c>
      <c r="AUU174" s="1854">
        <v>2.1349999999999998</v>
      </c>
      <c r="AUV174" s="1854">
        <v>2.1469999999999998</v>
      </c>
      <c r="AUW174" s="1854">
        <v>2.1549999999999998</v>
      </c>
      <c r="AUX174" s="1854">
        <v>2.149</v>
      </c>
      <c r="AUY174" s="1854">
        <v>2.14</v>
      </c>
      <c r="AUZ174" s="1854">
        <v>2.1560000000000001</v>
      </c>
      <c r="AVA174" s="1854">
        <v>2.1720000000000002</v>
      </c>
      <c r="AVB174" s="1854">
        <v>2.1640000000000001</v>
      </c>
      <c r="AVC174" s="1854">
        <v>2.1589999999999998</v>
      </c>
      <c r="AVD174" s="1854">
        <v>2.169</v>
      </c>
      <c r="AVE174" s="1854">
        <v>2.125</v>
      </c>
      <c r="AVF174" s="1854">
        <v>2.153</v>
      </c>
      <c r="AVG174" s="1854">
        <v>2.1970000000000001</v>
      </c>
      <c r="AVH174" s="1854">
        <v>2.1869999999999998</v>
      </c>
      <c r="AVI174" s="1854">
        <v>2.1669999999999998</v>
      </c>
      <c r="AVJ174" s="1854">
        <v>2.1880000000000002</v>
      </c>
      <c r="AVK174" s="1854">
        <v>2.1890000000000001</v>
      </c>
      <c r="AVL174" s="1854">
        <v>2.177</v>
      </c>
      <c r="AVM174" s="1854">
        <v>2.194</v>
      </c>
      <c r="AVN174" s="1854">
        <v>2.1749999999999998</v>
      </c>
      <c r="AVO174" s="1854">
        <v>2.1520000000000001</v>
      </c>
      <c r="AVP174" s="1854">
        <v>2.1520000000000001</v>
      </c>
      <c r="AVQ174" s="1854">
        <v>2.1800000000000002</v>
      </c>
      <c r="AVR174" s="1854">
        <v>2.2189999999999999</v>
      </c>
      <c r="AVS174" s="1854">
        <v>2.2149999999999999</v>
      </c>
      <c r="AVT174" s="1854">
        <v>2.1720000000000002</v>
      </c>
      <c r="AVU174" s="1854">
        <v>2.141</v>
      </c>
      <c r="AVV174" s="1854">
        <v>2.1320000000000001</v>
      </c>
      <c r="AVW174" s="1854">
        <v>2.1320000000000001</v>
      </c>
      <c r="AVX174" s="1854">
        <v>2.097</v>
      </c>
      <c r="AVY174" s="1854">
        <v>2.0739999999999998</v>
      </c>
      <c r="AVZ174" s="1854">
        <v>2.0249999999999999</v>
      </c>
      <c r="AWA174" s="1854">
        <v>2.0129999999999999</v>
      </c>
      <c r="AWB174" s="1854">
        <v>1.9239999999999999</v>
      </c>
      <c r="AWC174" s="1854">
        <v>1.8839999999999999</v>
      </c>
      <c r="AWD174" s="1854">
        <v>1.823</v>
      </c>
      <c r="AWE174" s="1854">
        <v>1.8440000000000001</v>
      </c>
      <c r="AWF174" s="1854">
        <v>1.8480000000000001</v>
      </c>
      <c r="AWG174" s="1854">
        <v>1.8520000000000001</v>
      </c>
      <c r="AWH174" s="1854">
        <v>1.85</v>
      </c>
      <c r="AWI174" s="1854">
        <v>1.8540000000000001</v>
      </c>
      <c r="AWJ174" s="1854">
        <v>1.8680000000000001</v>
      </c>
      <c r="AWK174" s="1854">
        <v>1.8520000000000001</v>
      </c>
      <c r="AWL174" s="1854">
        <v>1.8560000000000001</v>
      </c>
      <c r="AWM174" s="1854">
        <v>1.835</v>
      </c>
      <c r="AWN174" s="1854">
        <v>1.829</v>
      </c>
      <c r="AWO174" s="1854">
        <v>1.8240000000000001</v>
      </c>
      <c r="AWP174" s="1854">
        <v>1.8080000000000001</v>
      </c>
      <c r="AWQ174" s="1854">
        <v>1.804</v>
      </c>
      <c r="AWR174" s="1854">
        <v>1.7809999999999999</v>
      </c>
      <c r="AWS174" s="1854">
        <v>1.78</v>
      </c>
      <c r="AWT174" s="1854">
        <v>1.78</v>
      </c>
      <c r="AWU174" s="1854">
        <v>1.78</v>
      </c>
      <c r="AWV174" s="1854">
        <v>1.75</v>
      </c>
      <c r="AWW174" s="1854">
        <v>1.7490000000000001</v>
      </c>
      <c r="AWX174" s="1854">
        <v>1.774</v>
      </c>
      <c r="AWY174" s="1854">
        <v>1.7829999999999999</v>
      </c>
      <c r="AWZ174" s="1854">
        <v>1.75</v>
      </c>
      <c r="AXA174" s="1854">
        <v>1.7370000000000001</v>
      </c>
      <c r="AXB174" s="1854">
        <v>1.732</v>
      </c>
      <c r="AXC174" s="1854">
        <v>1.7270000000000001</v>
      </c>
      <c r="AXD174" s="1854">
        <v>1.694</v>
      </c>
      <c r="AXE174" s="1854">
        <v>1.669</v>
      </c>
      <c r="AXF174" s="1854">
        <v>1.7010000000000001</v>
      </c>
      <c r="AXG174" s="1854">
        <v>1.704</v>
      </c>
      <c r="AXH174" s="1854">
        <v>1.706</v>
      </c>
      <c r="AXI174" s="1854">
        <v>1.706</v>
      </c>
      <c r="AXJ174" s="1854">
        <v>1.7</v>
      </c>
      <c r="AXK174" s="1854">
        <v>1.696</v>
      </c>
      <c r="AXL174" s="1854">
        <v>1.722</v>
      </c>
      <c r="AXM174" s="1854">
        <v>1.728</v>
      </c>
      <c r="AXN174" s="1854">
        <v>1.734</v>
      </c>
      <c r="AXO174" s="1854">
        <v>1.7330000000000001</v>
      </c>
      <c r="AXP174" s="1854">
        <v>1.7350000000000001</v>
      </c>
      <c r="AXQ174" s="1854">
        <v>1.706</v>
      </c>
      <c r="AXR174" s="1854">
        <v>1.675</v>
      </c>
      <c r="AXS174" s="1854">
        <v>1.6659999999999999</v>
      </c>
      <c r="AXT174" s="1854">
        <v>1.6870000000000001</v>
      </c>
      <c r="AXU174" s="1854">
        <v>1.6930000000000001</v>
      </c>
      <c r="AXV174" s="1854">
        <v>1.708</v>
      </c>
      <c r="AXW174" s="1854">
        <v>1.7130000000000001</v>
      </c>
      <c r="AXX174" s="1854">
        <v>1.694</v>
      </c>
      <c r="AXY174" s="1854">
        <v>1.671</v>
      </c>
      <c r="AXZ174" s="1854">
        <v>1.6679999999999999</v>
      </c>
      <c r="AYA174" s="1854">
        <v>1.64</v>
      </c>
      <c r="AYB174" s="1854">
        <v>1.637</v>
      </c>
      <c r="AYC174" s="1854">
        <v>1.6319999999999999</v>
      </c>
      <c r="AYD174" s="1854">
        <v>1.6319999999999999</v>
      </c>
      <c r="AYE174" s="1854">
        <v>1.6379999999999999</v>
      </c>
      <c r="AYF174" s="1854">
        <v>1.635</v>
      </c>
      <c r="AYG174" s="1854">
        <v>1.633</v>
      </c>
      <c r="AYH174" s="1854">
        <v>1.641</v>
      </c>
      <c r="AYI174" s="1854">
        <v>1.6279999999999999</v>
      </c>
      <c r="AYJ174" s="1854">
        <v>1.6379999999999999</v>
      </c>
      <c r="AYK174" s="1854">
        <v>1.6319999999999999</v>
      </c>
      <c r="AYL174" s="1854">
        <v>1.6279999999999999</v>
      </c>
      <c r="AYM174" s="1854">
        <v>1.6559999999999999</v>
      </c>
      <c r="AYN174" s="1854">
        <v>1.6579999999999999</v>
      </c>
      <c r="AYO174" s="1854">
        <v>1.64</v>
      </c>
      <c r="AYP174" s="1854">
        <v>1.651</v>
      </c>
      <c r="AYQ174" s="1854">
        <v>1.6579999999999999</v>
      </c>
      <c r="AYR174" s="1854">
        <v>1.6379999999999999</v>
      </c>
      <c r="AYS174" s="1854">
        <v>1.637</v>
      </c>
      <c r="AYT174" s="1854">
        <v>1.6419999999999999</v>
      </c>
      <c r="AYU174" s="1854">
        <v>1.63</v>
      </c>
      <c r="AYV174" s="1854">
        <v>1.649</v>
      </c>
      <c r="AYW174" s="1854">
        <v>1.65</v>
      </c>
      <c r="AYX174" s="1854">
        <v>1.655</v>
      </c>
      <c r="AYY174" s="1854">
        <v>1.655</v>
      </c>
      <c r="AYZ174" s="1854">
        <v>1.665</v>
      </c>
      <c r="AZA174" s="1854">
        <v>1.6539999999999999</v>
      </c>
      <c r="AZB174" s="1854">
        <v>1.657</v>
      </c>
      <c r="AZC174" s="1854">
        <v>1.661</v>
      </c>
      <c r="AZD174" s="1854">
        <v>1.6519999999999999</v>
      </c>
      <c r="AZE174" s="1854">
        <v>1.64</v>
      </c>
      <c r="AZF174" s="1854">
        <v>1.6459999999999999</v>
      </c>
      <c r="AZG174" s="1854">
        <v>1.649</v>
      </c>
      <c r="AZH174" s="1854">
        <v>1.6439999999999999</v>
      </c>
      <c r="AZI174" s="1854">
        <v>1.6479999999999999</v>
      </c>
      <c r="AZJ174" s="1854">
        <v>1.645</v>
      </c>
      <c r="AZK174" s="1854">
        <v>1.643</v>
      </c>
      <c r="AZL174" s="1854">
        <v>1.657</v>
      </c>
      <c r="AZM174" s="1854">
        <v>1.6619999999999999</v>
      </c>
      <c r="AZN174" s="1854">
        <v>1.653</v>
      </c>
      <c r="AZO174" s="1854">
        <v>1.6890000000000001</v>
      </c>
      <c r="AZP174" s="1854">
        <v>1.677</v>
      </c>
      <c r="AZQ174" s="1854">
        <v>1.6879999999999999</v>
      </c>
      <c r="AZR174" s="1854">
        <v>1.68</v>
      </c>
      <c r="AZS174" s="1854">
        <v>1.7</v>
      </c>
      <c r="AZT174" s="1854">
        <v>1.7969999999999999</v>
      </c>
      <c r="AZU174" s="1854">
        <v>1.8149999999999999</v>
      </c>
      <c r="AZV174" s="1854">
        <v>1.8029999999999999</v>
      </c>
      <c r="AZW174" s="1854">
        <v>1.8169999999999999</v>
      </c>
      <c r="AZX174" s="1854">
        <v>1.7929999999999999</v>
      </c>
      <c r="AZY174" s="1854">
        <v>1.7789999999999999</v>
      </c>
      <c r="AZZ174" s="1854">
        <v>1.8</v>
      </c>
      <c r="BAA174" s="1854">
        <v>1.8029999999999999</v>
      </c>
      <c r="BAB174" s="1854">
        <v>1.78</v>
      </c>
      <c r="BAC174" s="1854">
        <v>1.79</v>
      </c>
      <c r="BAD174" s="1854">
        <v>1.8</v>
      </c>
      <c r="BAE174" s="1854">
        <v>1.833</v>
      </c>
      <c r="BAF174" s="1854">
        <v>1.855</v>
      </c>
      <c r="BAG174" s="1854">
        <v>1.8759999999999999</v>
      </c>
      <c r="BAH174" s="1854">
        <v>1.8939999999999999</v>
      </c>
      <c r="BAI174" s="1854">
        <v>1.89</v>
      </c>
      <c r="BAJ174" s="1854">
        <v>1.9490000000000001</v>
      </c>
      <c r="BAK174" s="1854">
        <v>1.9510000000000001</v>
      </c>
      <c r="BAL174" s="1854">
        <v>1.92</v>
      </c>
      <c r="BAM174" s="1854">
        <v>1.92</v>
      </c>
      <c r="BAN174" s="1854">
        <v>1.917</v>
      </c>
      <c r="BAO174" s="1854">
        <v>1.9039999999999999</v>
      </c>
      <c r="BAP174" s="1854">
        <v>1.9239999999999999</v>
      </c>
      <c r="BAQ174" s="1854">
        <v>1.925</v>
      </c>
      <c r="BAR174" s="1854">
        <v>1.9410000000000001</v>
      </c>
      <c r="BAS174" s="1854">
        <v>1.92</v>
      </c>
      <c r="BAT174" s="1854">
        <v>1.905</v>
      </c>
      <c r="BAU174" s="1854">
        <v>1.8939999999999999</v>
      </c>
      <c r="BAV174" s="1854">
        <v>1.8919999999999999</v>
      </c>
      <c r="BAW174" s="1854">
        <v>1.8779999999999999</v>
      </c>
      <c r="BAX174" s="1854">
        <v>1.875</v>
      </c>
      <c r="BAY174" s="1854">
        <v>1.877</v>
      </c>
      <c r="BAZ174" s="1854">
        <v>1.879</v>
      </c>
      <c r="BBA174" s="1854">
        <v>1.895</v>
      </c>
      <c r="BBB174" s="1854">
        <v>1.909</v>
      </c>
      <c r="BBC174" s="1854">
        <v>1.925</v>
      </c>
      <c r="BBD174" s="1854">
        <v>1.915</v>
      </c>
      <c r="BBE174" s="1854">
        <v>1.9139999999999999</v>
      </c>
      <c r="BBF174" s="1854">
        <v>1.923</v>
      </c>
      <c r="BBG174" s="1854">
        <v>1.9239999999999999</v>
      </c>
      <c r="BBH174" s="1854">
        <v>1.929</v>
      </c>
      <c r="BBI174" s="1854">
        <v>1.944</v>
      </c>
      <c r="BBJ174" s="1854">
        <v>1.9510000000000001</v>
      </c>
      <c r="BBK174" s="1854">
        <v>1.9410000000000001</v>
      </c>
      <c r="BBL174" s="1854">
        <v>1.9690000000000001</v>
      </c>
      <c r="BBM174" s="1854">
        <v>1.9750000000000001</v>
      </c>
      <c r="BBN174" s="1854">
        <v>1.9650000000000001</v>
      </c>
      <c r="BBO174" s="1854">
        <v>1.972</v>
      </c>
      <c r="BBP174" s="1854">
        <v>1.9379999999999999</v>
      </c>
      <c r="BBQ174" s="1854">
        <v>1.9379999999999999</v>
      </c>
      <c r="BBR174" s="1854">
        <v>1.9379999999999999</v>
      </c>
      <c r="BBS174" s="1854">
        <v>1.9430000000000001</v>
      </c>
      <c r="BBT174" s="1854">
        <v>1.9339999999999999</v>
      </c>
      <c r="BBU174" s="1854">
        <v>1.93</v>
      </c>
      <c r="BBV174" s="1854">
        <v>1.923</v>
      </c>
      <c r="BBW174" s="1854">
        <v>1.9319999999999999</v>
      </c>
      <c r="BBX174" s="1854">
        <v>1.9319999999999999</v>
      </c>
      <c r="BBY174" s="1854">
        <v>1.9339999999999999</v>
      </c>
      <c r="BBZ174" s="1854">
        <v>1.9339999999999999</v>
      </c>
      <c r="BCA174" s="1854">
        <v>1.962</v>
      </c>
      <c r="BCB174" s="1854">
        <v>1.972</v>
      </c>
      <c r="BCC174" s="1854">
        <v>1.9810000000000001</v>
      </c>
      <c r="BCD174" s="1854">
        <v>1.992</v>
      </c>
      <c r="BCE174" s="1854">
        <v>1.99</v>
      </c>
      <c r="BCF174" s="1854">
        <v>1.974</v>
      </c>
      <c r="BCG174" s="1854">
        <v>1.9810000000000001</v>
      </c>
      <c r="BCH174" s="1854">
        <v>1.994</v>
      </c>
      <c r="BCI174" s="1854">
        <v>2.0230000000000001</v>
      </c>
      <c r="BCJ174" s="1854">
        <v>2.0139999999999998</v>
      </c>
      <c r="BCK174" s="1854">
        <v>2.0139999999999998</v>
      </c>
      <c r="BCL174" s="1854">
        <v>2.0270000000000001</v>
      </c>
      <c r="BCM174" s="1854">
        <v>1.9770000000000001</v>
      </c>
      <c r="BCN174" s="1854">
        <v>1.9550000000000001</v>
      </c>
      <c r="BCO174" s="1854">
        <v>1.966</v>
      </c>
      <c r="BCP174" s="1854">
        <v>1.9830000000000001</v>
      </c>
      <c r="BCQ174" s="1854">
        <v>2.0009999999999999</v>
      </c>
      <c r="BCR174" s="1854">
        <v>1.986</v>
      </c>
      <c r="BCS174" s="1854">
        <v>1.9530000000000001</v>
      </c>
      <c r="BCT174" s="1854">
        <v>1.9390000000000001</v>
      </c>
      <c r="BCU174" s="1854">
        <v>1.9379999999999999</v>
      </c>
      <c r="BCV174" s="1854">
        <v>1.948</v>
      </c>
      <c r="BCW174" s="1854">
        <v>1.95</v>
      </c>
      <c r="BCX174" s="1854">
        <v>1.96</v>
      </c>
      <c r="BCY174" s="1854">
        <v>1.9590000000000001</v>
      </c>
      <c r="BCZ174" s="1854">
        <v>1.944</v>
      </c>
      <c r="BDA174" s="1854">
        <v>1.93</v>
      </c>
      <c r="BDB174" s="1854">
        <v>1.915</v>
      </c>
      <c r="BDC174" s="1854">
        <v>1.909</v>
      </c>
      <c r="BDD174" s="1854">
        <v>1.9550000000000001</v>
      </c>
      <c r="BDE174" s="1854">
        <v>1.94</v>
      </c>
      <c r="BDF174" s="1854">
        <v>1.915</v>
      </c>
      <c r="BDG174" s="1854">
        <v>1.9750000000000001</v>
      </c>
      <c r="BDH174" s="1854">
        <v>1.964</v>
      </c>
      <c r="BDI174" s="1854">
        <v>1.968</v>
      </c>
      <c r="BDJ174" s="1854">
        <v>1.9930000000000001</v>
      </c>
      <c r="BDK174" s="1854">
        <v>2</v>
      </c>
      <c r="BDL174" s="1854">
        <v>2.0379999999999998</v>
      </c>
      <c r="BDM174" s="1854">
        <v>2.085</v>
      </c>
      <c r="BDN174" s="1854">
        <v>2.0720000000000001</v>
      </c>
      <c r="BDO174" s="1854">
        <v>2.0670000000000002</v>
      </c>
      <c r="BDP174" s="1854">
        <v>2.0880000000000001</v>
      </c>
      <c r="BDQ174" s="1854">
        <v>2.0870000000000002</v>
      </c>
      <c r="BDR174" s="1854">
        <v>2.077</v>
      </c>
      <c r="BDS174" s="1854">
        <v>2.0830000000000002</v>
      </c>
      <c r="BDT174" s="1854">
        <v>2.1080000000000001</v>
      </c>
      <c r="BDU174" s="1854">
        <v>2.1070000000000002</v>
      </c>
      <c r="BDV174" s="1854">
        <v>2.1059999999999999</v>
      </c>
      <c r="BDW174" s="1854">
        <v>2.1059999999999999</v>
      </c>
      <c r="BDX174" s="1854">
        <v>2.0939999999999999</v>
      </c>
      <c r="BDY174" s="1854">
        <v>2.097</v>
      </c>
      <c r="BDZ174" s="1854">
        <v>2.0939999999999999</v>
      </c>
      <c r="BEA174" s="1854">
        <v>2.121</v>
      </c>
      <c r="BEB174" s="1854">
        <v>2.097</v>
      </c>
      <c r="BEC174" s="1854">
        <v>2.0990000000000002</v>
      </c>
      <c r="BED174" s="1854">
        <v>2.1030000000000002</v>
      </c>
      <c r="BEE174" s="1854">
        <v>2.093</v>
      </c>
      <c r="BEF174" s="1854">
        <v>2.113</v>
      </c>
      <c r="BEG174" s="1854">
        <v>2.113</v>
      </c>
      <c r="BEH174" s="1854">
        <v>2.1059999999999999</v>
      </c>
      <c r="BEI174" s="1854">
        <v>2.121</v>
      </c>
      <c r="BEJ174" s="1854">
        <v>2.1120000000000001</v>
      </c>
      <c r="BEK174" s="1854">
        <v>2.1150000000000002</v>
      </c>
      <c r="BEL174" s="1854">
        <v>2.1190000000000002</v>
      </c>
      <c r="BEM174" s="1854">
        <v>2.1019999999999999</v>
      </c>
      <c r="BEN174" s="1854">
        <v>2.1280000000000001</v>
      </c>
      <c r="BEO174" s="1854">
        <v>2.153</v>
      </c>
      <c r="BEP174" s="1854">
        <v>2.1720000000000002</v>
      </c>
      <c r="BEQ174" s="1854">
        <v>2.1560000000000001</v>
      </c>
      <c r="BER174" s="1854">
        <v>2.1539999999999999</v>
      </c>
      <c r="BES174" s="1854">
        <v>2.1619999999999999</v>
      </c>
      <c r="BET174" s="1854">
        <v>2.1549999999999998</v>
      </c>
      <c r="BEU174" s="1854">
        <v>2.1659999999999999</v>
      </c>
      <c r="BEV174" s="1854">
        <v>2.1669999999999998</v>
      </c>
      <c r="BEW174" s="1854">
        <v>2.1819999999999999</v>
      </c>
      <c r="BEX174" s="1854">
        <v>2.1779999999999999</v>
      </c>
      <c r="BEY174" s="1854">
        <v>2.15</v>
      </c>
      <c r="BEZ174" s="1854">
        <v>2.1560000000000001</v>
      </c>
      <c r="BFA174" s="1854">
        <v>2.1619999999999999</v>
      </c>
      <c r="BFB174" s="1854">
        <v>2.1680000000000001</v>
      </c>
      <c r="BFC174" s="1854">
        <v>2.1789999999999998</v>
      </c>
      <c r="BFD174" s="1854">
        <v>2.157</v>
      </c>
      <c r="BFE174" s="1854">
        <v>2.1469999999999998</v>
      </c>
      <c r="BFF174" s="1854">
        <v>2.145</v>
      </c>
      <c r="BFG174" s="1854">
        <v>2.137</v>
      </c>
      <c r="BFH174" s="1854">
        <v>2.1339999999999999</v>
      </c>
      <c r="BFI174" s="1854">
        <v>2.109</v>
      </c>
      <c r="BFJ174" s="1854">
        <v>2.1230000000000002</v>
      </c>
      <c r="BFK174" s="1854">
        <v>2.129</v>
      </c>
      <c r="BFL174" s="1854">
        <v>2.1190000000000002</v>
      </c>
      <c r="BFM174" s="1854">
        <v>2.145</v>
      </c>
      <c r="BFN174" s="1854">
        <v>2.1509999999999998</v>
      </c>
      <c r="BFO174" s="1854">
        <v>2.157</v>
      </c>
      <c r="BFP174" s="1854">
        <v>2.137</v>
      </c>
      <c r="BFQ174" s="1854">
        <v>2.157</v>
      </c>
      <c r="BFR174" s="1854">
        <v>2.0830000000000002</v>
      </c>
      <c r="BFS174" s="1854">
        <v>2.0470000000000002</v>
      </c>
      <c r="BFT174" s="1854">
        <v>2.032</v>
      </c>
      <c r="BFU174" s="1854">
        <v>2.0190000000000001</v>
      </c>
      <c r="BFV174" s="1854">
        <v>2.0059999999999998</v>
      </c>
      <c r="BFW174" s="1854">
        <v>2.0030000000000001</v>
      </c>
      <c r="BFX174" s="1854">
        <v>1.988</v>
      </c>
      <c r="BFY174" s="1854">
        <v>1.9750000000000001</v>
      </c>
      <c r="BFZ174" s="1854">
        <v>1.976</v>
      </c>
      <c r="BGA174" s="1854">
        <v>1.9890000000000001</v>
      </c>
      <c r="BGB174" s="1854">
        <v>1.9910000000000001</v>
      </c>
      <c r="BGC174" s="1854">
        <v>1.992</v>
      </c>
      <c r="BGD174" s="1854">
        <v>1.9850000000000001</v>
      </c>
      <c r="BGE174" s="1854">
        <v>1.9770000000000001</v>
      </c>
      <c r="BGF174" s="1854">
        <v>1.96</v>
      </c>
      <c r="BGG174" s="1854">
        <v>1.956</v>
      </c>
      <c r="BGH174" s="1854">
        <v>1.9550000000000001</v>
      </c>
      <c r="BGI174" s="1854">
        <v>1.98</v>
      </c>
      <c r="BGJ174" s="1854">
        <v>1.968</v>
      </c>
      <c r="BGK174" s="1854">
        <v>1.976</v>
      </c>
      <c r="BGL174" s="1854">
        <v>1.9430000000000001</v>
      </c>
      <c r="BGM174" s="1854">
        <v>1.9419999999999999</v>
      </c>
      <c r="BGN174" s="1854">
        <v>1.919</v>
      </c>
      <c r="BGO174" s="1854">
        <v>1.9039999999999999</v>
      </c>
      <c r="BGP174" s="1854">
        <v>1.911</v>
      </c>
      <c r="BGQ174" s="1854">
        <v>1.9219999999999999</v>
      </c>
      <c r="BGR174" s="1854">
        <v>1.893</v>
      </c>
      <c r="BGS174" s="1854">
        <v>1.93</v>
      </c>
      <c r="BGT174" s="1854">
        <v>1.9419999999999999</v>
      </c>
      <c r="BGU174" s="1854">
        <v>1.9279999999999999</v>
      </c>
      <c r="BGV174" s="1854">
        <v>1.931</v>
      </c>
      <c r="BGW174" s="1854">
        <v>1.925</v>
      </c>
      <c r="BGX174" s="1854">
        <v>1.94</v>
      </c>
      <c r="BGY174" s="1854">
        <v>1.982</v>
      </c>
      <c r="BGZ174" s="1854">
        <v>1.97</v>
      </c>
      <c r="BHA174" s="1854">
        <v>1.952</v>
      </c>
      <c r="BHB174" s="1854">
        <v>1.964</v>
      </c>
      <c r="BHC174" s="1854">
        <v>1.9490000000000001</v>
      </c>
      <c r="BHD174" s="1854">
        <v>1.94</v>
      </c>
      <c r="BHE174" s="1854">
        <v>1.962</v>
      </c>
      <c r="BHF174" s="1854">
        <v>1.9470000000000001</v>
      </c>
      <c r="BHG174" s="1854">
        <v>1.93</v>
      </c>
      <c r="BHH174" s="1854">
        <v>1.925</v>
      </c>
      <c r="BHI174" s="1854">
        <v>1.9490000000000001</v>
      </c>
      <c r="BHJ174" s="1854">
        <v>1.9650000000000001</v>
      </c>
      <c r="BHK174" s="1854">
        <v>1.9890000000000001</v>
      </c>
      <c r="BHL174" s="1854">
        <v>1.994</v>
      </c>
      <c r="BHM174" s="1854">
        <v>1.978</v>
      </c>
      <c r="BHN174" s="1854">
        <v>1.9650000000000001</v>
      </c>
      <c r="BHO174" s="1854">
        <v>1.9750000000000001</v>
      </c>
      <c r="BHP174" s="1854">
        <v>1.9630000000000001</v>
      </c>
      <c r="BHQ174" s="1854">
        <v>1.9470000000000001</v>
      </c>
      <c r="BHR174" s="1854">
        <v>1.9590000000000001</v>
      </c>
      <c r="BHS174" s="1854">
        <v>1.962</v>
      </c>
      <c r="BHT174" s="1854">
        <v>1.974</v>
      </c>
      <c r="BHU174" s="1854">
        <v>1.96</v>
      </c>
      <c r="BHV174" s="1854">
        <v>1.968</v>
      </c>
      <c r="BHW174" s="1854">
        <v>1.9710000000000001</v>
      </c>
      <c r="BHX174" s="1854">
        <v>1.9450000000000001</v>
      </c>
      <c r="BHY174" s="1854">
        <v>1.9770000000000001</v>
      </c>
      <c r="BHZ174" s="1854">
        <v>1.996</v>
      </c>
      <c r="BIA174" s="1854">
        <v>2.0169999999999999</v>
      </c>
      <c r="BIB174" s="1854">
        <v>2.0190000000000001</v>
      </c>
      <c r="BIC174" s="1854">
        <v>2.0259999999999998</v>
      </c>
      <c r="BID174" s="1854">
        <v>2.0099999999999998</v>
      </c>
      <c r="BIE174" s="1854">
        <v>2</v>
      </c>
      <c r="BIF174" s="1854">
        <v>2.0099999999999998</v>
      </c>
      <c r="BIG174" s="1854">
        <v>1.9790000000000001</v>
      </c>
      <c r="BIH174" s="1854">
        <v>1.9590000000000001</v>
      </c>
      <c r="BII174" s="1854">
        <v>1.9690000000000001</v>
      </c>
      <c r="BIJ174" s="1854">
        <v>1.9419999999999999</v>
      </c>
      <c r="BIK174" s="1854">
        <v>1.9450000000000001</v>
      </c>
      <c r="BIL174" s="1854">
        <v>1.9550000000000001</v>
      </c>
      <c r="BIM174" s="1854">
        <v>1.9830000000000001</v>
      </c>
      <c r="BIN174" s="1854">
        <v>2</v>
      </c>
      <c r="BIO174" s="1854">
        <v>2.0019999999999998</v>
      </c>
      <c r="BIP174" s="1854">
        <v>2.008</v>
      </c>
      <c r="BIQ174" s="1854">
        <v>2.012</v>
      </c>
      <c r="BIR174" s="1854">
        <v>2.0150000000000001</v>
      </c>
      <c r="BIS174" s="1854">
        <v>2.0169999999999999</v>
      </c>
      <c r="BIT174" s="1854">
        <v>2.0209999999999999</v>
      </c>
      <c r="BIU174" s="1854">
        <v>2.0230000000000001</v>
      </c>
      <c r="BIV174" s="1854">
        <v>2.0169999999999999</v>
      </c>
      <c r="BIW174" s="1854">
        <v>2.0150000000000001</v>
      </c>
      <c r="BIX174" s="1854">
        <v>2.0310000000000001</v>
      </c>
      <c r="BIY174" s="1854">
        <v>2.0329999999999999</v>
      </c>
      <c r="BIZ174" s="1854">
        <v>2.0369999999999999</v>
      </c>
      <c r="BJA174" s="1854">
        <v>2.0419999999999998</v>
      </c>
      <c r="BJB174" s="1854">
        <v>2.0190000000000001</v>
      </c>
      <c r="BJC174" s="1854">
        <v>2.0070000000000001</v>
      </c>
      <c r="BJD174" s="1854">
        <v>2.0089999999999999</v>
      </c>
      <c r="BJE174" s="1854">
        <v>2.0299999999999998</v>
      </c>
      <c r="BJF174" s="1854">
        <v>2.0310000000000001</v>
      </c>
      <c r="BJG174" s="1854">
        <v>2.028</v>
      </c>
      <c r="BJH174" s="1854">
        <v>2.02</v>
      </c>
      <c r="BJI174" s="1854">
        <v>2.0150000000000001</v>
      </c>
      <c r="BJJ174" s="1854">
        <v>1.998</v>
      </c>
      <c r="BJK174" s="1854">
        <v>2.0129999999999999</v>
      </c>
      <c r="BJL174" s="1854">
        <v>2.0299999999999998</v>
      </c>
      <c r="BJM174" s="1854">
        <v>2.0009999999999999</v>
      </c>
      <c r="BJN174" s="1854">
        <v>2</v>
      </c>
      <c r="BJO174" s="1854">
        <v>2.0030000000000001</v>
      </c>
      <c r="BJP174" s="1854">
        <v>2.0350000000000001</v>
      </c>
      <c r="BJQ174" s="1854">
        <v>2.0110000000000001</v>
      </c>
      <c r="BJR174" s="1854">
        <v>1.99</v>
      </c>
      <c r="BJS174" s="1854">
        <v>1.9930000000000001</v>
      </c>
      <c r="BJT174" s="1854">
        <v>2</v>
      </c>
      <c r="BJU174" s="1854">
        <v>2.0270000000000001</v>
      </c>
      <c r="BJV174" s="1854">
        <v>2.0179999999999998</v>
      </c>
      <c r="BJW174" s="1854">
        <v>1.9910000000000001</v>
      </c>
      <c r="BJX174" s="1854">
        <v>2.008</v>
      </c>
      <c r="BJY174" s="1854">
        <v>2.0059999999999998</v>
      </c>
      <c r="BJZ174" s="1854">
        <v>2.0539999999999998</v>
      </c>
      <c r="BKA174" s="1854">
        <v>2.0619999999999998</v>
      </c>
      <c r="BKB174" s="1854">
        <v>2.0950000000000002</v>
      </c>
      <c r="BKC174" s="1854">
        <v>2.1139999999999999</v>
      </c>
      <c r="BKD174" s="1854">
        <v>2.1219999999999999</v>
      </c>
      <c r="BKE174" s="1854">
        <v>2.1190000000000002</v>
      </c>
      <c r="BKF174" s="1854">
        <v>2.1419999999999999</v>
      </c>
      <c r="BKG174" s="1854">
        <v>2.129</v>
      </c>
      <c r="BKH174" s="1854">
        <v>2.121</v>
      </c>
      <c r="BKI174" s="1854">
        <v>2.0979999999999999</v>
      </c>
      <c r="BKJ174" s="1854">
        <v>2.1070000000000002</v>
      </c>
      <c r="BKK174" s="1854">
        <v>2.177</v>
      </c>
      <c r="BKL174" s="1854">
        <v>2.1030000000000002</v>
      </c>
      <c r="BKM174" s="1854">
        <v>2.109</v>
      </c>
      <c r="BKN174" s="1854">
        <v>2.1890000000000001</v>
      </c>
      <c r="BKO174" s="1854">
        <v>2.1930000000000001</v>
      </c>
      <c r="BKP174" s="1854">
        <v>2.1309999999999998</v>
      </c>
      <c r="BKQ174" s="1854">
        <v>2.08</v>
      </c>
      <c r="BKR174" s="1854">
        <v>2.0790000000000002</v>
      </c>
      <c r="BKS174" s="1854">
        <v>2.0619999999999998</v>
      </c>
      <c r="BKT174" s="1854">
        <v>2.0190000000000001</v>
      </c>
      <c r="BKU174" s="1854">
        <v>2.008</v>
      </c>
      <c r="BKV174" s="1854">
        <v>1.9830000000000001</v>
      </c>
      <c r="BKW174" s="1854">
        <v>1.9590000000000001</v>
      </c>
      <c r="BKX174" s="1854">
        <v>1.958</v>
      </c>
      <c r="BKY174" s="1854">
        <v>1.948</v>
      </c>
      <c r="BKZ174" s="1854">
        <v>1.944</v>
      </c>
      <c r="BLA174" s="1854">
        <v>1.976</v>
      </c>
      <c r="BLB174" s="1854">
        <v>1.972</v>
      </c>
      <c r="BLC174" s="1854">
        <v>1.978</v>
      </c>
      <c r="BLD174" s="1854">
        <v>1.9750000000000001</v>
      </c>
      <c r="BLE174" s="1854">
        <v>1.9630000000000001</v>
      </c>
      <c r="BLF174" s="1854">
        <v>1.9510000000000001</v>
      </c>
      <c r="BLG174" s="1854">
        <v>1.978</v>
      </c>
      <c r="BLH174" s="1854">
        <v>1.9750000000000001</v>
      </c>
      <c r="BLI174" s="1854">
        <v>1.9710000000000001</v>
      </c>
      <c r="BLJ174" s="1854">
        <v>1.98</v>
      </c>
      <c r="BLK174" s="1854">
        <v>1.988</v>
      </c>
      <c r="BLL174" s="1854">
        <v>1.99</v>
      </c>
      <c r="BLM174" s="1854">
        <v>1.992</v>
      </c>
      <c r="BLN174" s="1854">
        <v>2.0110000000000001</v>
      </c>
      <c r="BLO174" s="1854">
        <v>2.0299999999999998</v>
      </c>
      <c r="BLP174" s="1854">
        <v>2.0430000000000001</v>
      </c>
      <c r="BLQ174" s="1854">
        <v>2.0449999999999999</v>
      </c>
      <c r="BLR174" s="1854">
        <v>2.0550000000000002</v>
      </c>
      <c r="BLS174" s="1854">
        <v>2.0579999999999998</v>
      </c>
      <c r="BLT174" s="1854">
        <v>2.0619999999999998</v>
      </c>
      <c r="BLU174" s="1854">
        <v>2.0830000000000002</v>
      </c>
      <c r="BLV174" s="1854">
        <v>2.1139999999999999</v>
      </c>
      <c r="BLW174" s="1854">
        <v>2.1259999999999999</v>
      </c>
      <c r="BLX174" s="1854">
        <v>2.1150000000000002</v>
      </c>
      <c r="BLY174" s="1854">
        <v>2.129</v>
      </c>
      <c r="BLZ174" s="1854">
        <v>2.1539999999999999</v>
      </c>
      <c r="BMA174" s="1854">
        <v>2.1659999999999999</v>
      </c>
      <c r="BMB174" s="1854">
        <v>2.206</v>
      </c>
      <c r="BMC174" s="1854">
        <v>2.202</v>
      </c>
      <c r="BMD174" s="1854">
        <v>2.214</v>
      </c>
      <c r="BME174" s="1854">
        <v>2.246</v>
      </c>
      <c r="BMF174" s="1854">
        <v>2.25</v>
      </c>
      <c r="BMG174" s="1854">
        <v>2.258</v>
      </c>
      <c r="BMH174" s="1854">
        <v>2.2629999999999999</v>
      </c>
      <c r="BMI174" s="1854">
        <v>2.2909999999999999</v>
      </c>
      <c r="BMJ174" s="1854">
        <v>2.302</v>
      </c>
      <c r="BMK174" s="1854">
        <v>2.3069999999999999</v>
      </c>
      <c r="BML174" s="1854">
        <v>2.3340000000000001</v>
      </c>
      <c r="BMM174" s="1854">
        <v>2.3319999999999999</v>
      </c>
      <c r="BMN174" s="1854">
        <v>2.323</v>
      </c>
      <c r="BMO174" s="1854">
        <v>2.3559999999999999</v>
      </c>
      <c r="BMP174" s="1854">
        <v>2.3210000000000002</v>
      </c>
      <c r="BMQ174" s="1854">
        <v>2.34</v>
      </c>
      <c r="BMR174" s="1854">
        <v>2.3180000000000001</v>
      </c>
      <c r="BMS174" s="1854">
        <v>2.3210000000000002</v>
      </c>
      <c r="BMT174" s="1854">
        <v>2.2639999999999998</v>
      </c>
      <c r="BMU174" s="1854">
        <v>2.2509999999999999</v>
      </c>
      <c r="BMV174" s="1854">
        <v>2.266</v>
      </c>
      <c r="BMW174" s="1854">
        <v>2.258</v>
      </c>
      <c r="BMX174" s="1854">
        <v>2.2410000000000001</v>
      </c>
      <c r="BMY174" s="1854">
        <v>2.2799999999999998</v>
      </c>
      <c r="BMZ174" s="1854">
        <v>2.274</v>
      </c>
      <c r="BNA174" s="1854">
        <v>2.2959999999999998</v>
      </c>
      <c r="BNB174" s="1854">
        <v>2.3029999999999999</v>
      </c>
      <c r="BNC174" s="1854">
        <v>2.3250000000000002</v>
      </c>
      <c r="BND174" s="1854">
        <v>2.3220000000000001</v>
      </c>
      <c r="BNE174" s="1854">
        <v>2.3330000000000002</v>
      </c>
      <c r="BNF174" s="1854">
        <v>2.3769999999999998</v>
      </c>
      <c r="BNG174" s="1854">
        <v>2.3610000000000002</v>
      </c>
      <c r="BNH174" s="1854">
        <v>2.3460000000000001</v>
      </c>
      <c r="BNI174" s="1854">
        <v>2.359</v>
      </c>
      <c r="BNJ174" s="1854">
        <v>2.33</v>
      </c>
      <c r="BNK174" s="1854">
        <v>2.3620000000000001</v>
      </c>
      <c r="BNL174" s="1854">
        <v>2.2959999999999998</v>
      </c>
      <c r="BNM174" s="1854">
        <v>2.343</v>
      </c>
      <c r="BNN174" s="1854">
        <v>2.339</v>
      </c>
      <c r="BNO174" s="1854">
        <v>2.391</v>
      </c>
      <c r="BNP174" s="1854">
        <v>2.403</v>
      </c>
      <c r="BNQ174" s="1854">
        <v>2.4079999999999999</v>
      </c>
      <c r="BNR174" s="1854">
        <v>2.4079999999999999</v>
      </c>
      <c r="BNS174" s="1854">
        <v>2.4460000000000002</v>
      </c>
      <c r="BNT174" s="1854">
        <v>2.464</v>
      </c>
      <c r="BNU174" s="1854">
        <v>2.4340000000000002</v>
      </c>
      <c r="BNV174" s="1854">
        <v>2.4329999999999998</v>
      </c>
      <c r="BNW174" s="1854">
        <v>2.4550000000000001</v>
      </c>
      <c r="BNX174" s="1854">
        <v>2.4750000000000001</v>
      </c>
      <c r="BNY174" s="1854">
        <v>2.4670000000000001</v>
      </c>
      <c r="BNZ174" s="1854">
        <v>2.4740000000000002</v>
      </c>
      <c r="BOA174" s="1854">
        <v>2.472</v>
      </c>
      <c r="BOB174" s="1854">
        <v>2.4940000000000002</v>
      </c>
      <c r="BOC174" s="1854">
        <v>2.4980000000000002</v>
      </c>
      <c r="BOD174" s="1854">
        <v>2.484</v>
      </c>
      <c r="BOE174" s="1854">
        <v>2.4489999999999998</v>
      </c>
      <c r="BOF174" s="1854">
        <v>2.4529999999999998</v>
      </c>
      <c r="BOG174" s="1854">
        <v>2.44</v>
      </c>
      <c r="BOH174" s="1854">
        <v>2.4470000000000001</v>
      </c>
      <c r="BOI174" s="1854">
        <v>2.4889999999999999</v>
      </c>
      <c r="BOJ174" s="1854">
        <v>2.48</v>
      </c>
      <c r="BOK174" s="1854">
        <v>2.512</v>
      </c>
      <c r="BOL174" s="1854">
        <v>2.472</v>
      </c>
      <c r="BOM174" s="1854">
        <v>2.4710000000000001</v>
      </c>
      <c r="BON174" s="1854">
        <v>2.4390000000000001</v>
      </c>
      <c r="BOO174" s="1854">
        <v>2.3969999999999998</v>
      </c>
      <c r="BOP174" s="1854">
        <v>2.3889999999999998</v>
      </c>
      <c r="BOQ174" s="1854">
        <v>2.3919999999999999</v>
      </c>
      <c r="BOR174" s="1854">
        <v>2.4239999999999999</v>
      </c>
      <c r="BOS174" s="1854">
        <v>2.411</v>
      </c>
      <c r="BOT174" s="1854">
        <v>2.4209999999999998</v>
      </c>
      <c r="BOU174" s="1854">
        <v>2.4380000000000002</v>
      </c>
      <c r="BOV174" s="1854">
        <v>2.4790000000000001</v>
      </c>
      <c r="BOW174" s="1854">
        <v>2.4750000000000001</v>
      </c>
      <c r="BOX174" s="1854">
        <v>2.4950000000000001</v>
      </c>
      <c r="BOY174" s="1854">
        <v>2.4969999999999999</v>
      </c>
      <c r="BOZ174" s="1854">
        <v>2.5089999999999999</v>
      </c>
      <c r="BPA174" s="1854">
        <v>2.5209999999999999</v>
      </c>
      <c r="BPB174" s="1854">
        <v>2.5289999999999999</v>
      </c>
      <c r="BPC174" s="1854">
        <v>2.5219999999999998</v>
      </c>
      <c r="BPD174" s="1854">
        <v>2.4940000000000002</v>
      </c>
      <c r="BPE174" s="1854">
        <v>2.4620000000000002</v>
      </c>
      <c r="BPF174" s="1854">
        <v>2.4420000000000002</v>
      </c>
      <c r="BPG174" s="1854">
        <v>2.4329999999999998</v>
      </c>
      <c r="BPH174" s="1854">
        <v>2.4500000000000002</v>
      </c>
      <c r="BPI174" s="1854">
        <v>2.4510000000000001</v>
      </c>
      <c r="BPJ174" s="1854">
        <v>2.4740000000000002</v>
      </c>
      <c r="BPK174" s="1854">
        <v>2.4870000000000001</v>
      </c>
      <c r="BPL174" s="1854">
        <v>2.532</v>
      </c>
      <c r="BPM174" s="1854">
        <v>2.5459999999999998</v>
      </c>
      <c r="BPN174" s="1854">
        <v>2.5539999999999998</v>
      </c>
      <c r="BPO174" s="1854">
        <v>2.5569999999999999</v>
      </c>
      <c r="BPP174" s="1854">
        <v>2.5489999999999999</v>
      </c>
      <c r="BPQ174" s="1854">
        <v>2.5649999999999999</v>
      </c>
      <c r="BPR174" s="1854">
        <v>2.5870000000000002</v>
      </c>
      <c r="BPS174" s="1854">
        <v>2.593</v>
      </c>
      <c r="BPT174" s="1854">
        <v>2.61</v>
      </c>
      <c r="BPU174" s="1854">
        <v>2.597</v>
      </c>
      <c r="BPV174" s="1854">
        <v>2.6040000000000001</v>
      </c>
      <c r="BPW174" s="1854">
        <v>2.641</v>
      </c>
      <c r="BPX174" s="1854">
        <v>2.6419999999999999</v>
      </c>
      <c r="BPY174" s="1854">
        <v>2.6230000000000002</v>
      </c>
      <c r="BPZ174" s="1854">
        <v>2.6269999999999998</v>
      </c>
      <c r="BQA174" s="1854">
        <v>2.6539999999999999</v>
      </c>
      <c r="BQB174" s="1854">
        <v>2.6520000000000001</v>
      </c>
      <c r="BQC174" s="1854">
        <v>2.6349999999999998</v>
      </c>
      <c r="BQD174" s="1854">
        <v>2.6269999999999998</v>
      </c>
      <c r="BQE174" s="1854">
        <v>2.61</v>
      </c>
      <c r="BQF174" s="1854">
        <v>2.68</v>
      </c>
      <c r="BQG174" s="1854">
        <v>2.7069999999999999</v>
      </c>
      <c r="BQH174" s="1854">
        <v>2.7050000000000001</v>
      </c>
      <c r="BQI174" s="1854">
        <v>2.7149999999999999</v>
      </c>
      <c r="BQJ174" s="1854">
        <v>2.7210000000000001</v>
      </c>
      <c r="BQK174" s="1854">
        <v>2.7330000000000001</v>
      </c>
      <c r="BQL174" s="1854">
        <v>2.738</v>
      </c>
      <c r="BQM174" s="1854">
        <v>2.7570000000000001</v>
      </c>
      <c r="BQN174" s="1854">
        <v>2.754</v>
      </c>
      <c r="BQO174" s="1854">
        <v>2.7589999999999999</v>
      </c>
      <c r="BQP174" s="1854">
        <v>2.76</v>
      </c>
      <c r="BQQ174" s="1854">
        <v>2.7909999999999999</v>
      </c>
      <c r="BQR174" s="1854">
        <v>2.79</v>
      </c>
      <c r="BQS174" s="1854">
        <v>2.867</v>
      </c>
      <c r="BQT174" s="1854">
        <v>2.8759999999999999</v>
      </c>
      <c r="BQU174" s="1854">
        <v>2.9049999999999998</v>
      </c>
      <c r="BQV174" s="1854">
        <v>2.9009999999999998</v>
      </c>
      <c r="BQW174" s="1854">
        <v>2.8809999999999998</v>
      </c>
      <c r="BQX174" s="1854">
        <v>2.8849999999999998</v>
      </c>
      <c r="BQY174" s="1854">
        <v>2.8839999999999999</v>
      </c>
      <c r="BQZ174" s="1854">
        <v>2.8980000000000001</v>
      </c>
      <c r="BRA174" s="1854">
        <v>2.8980000000000001</v>
      </c>
      <c r="BRB174" s="1854">
        <v>2.91</v>
      </c>
      <c r="BRC174" s="1854">
        <v>2.9390000000000001</v>
      </c>
      <c r="BRD174" s="1854">
        <v>2.956</v>
      </c>
      <c r="BRE174" s="1854">
        <v>2.9590000000000001</v>
      </c>
      <c r="BRF174" s="1854">
        <v>2.956</v>
      </c>
      <c r="BRG174" s="1854">
        <v>2.9569999999999999</v>
      </c>
      <c r="BRH174" s="1854">
        <v>2.9470000000000001</v>
      </c>
      <c r="BRI174" s="1854">
        <v>2.9289999999999998</v>
      </c>
      <c r="BRJ174" s="1854">
        <v>2.91</v>
      </c>
      <c r="BRK174" s="1854">
        <v>2.9140000000000001</v>
      </c>
      <c r="BRL174" s="1854">
        <v>2.9060000000000001</v>
      </c>
      <c r="BRM174" s="1854">
        <v>2.8980000000000001</v>
      </c>
      <c r="BRN174" s="1854">
        <v>2.9249999999999998</v>
      </c>
      <c r="BRO174" s="1854">
        <v>2.9350000000000001</v>
      </c>
      <c r="BRP174" s="1854">
        <v>2.919</v>
      </c>
      <c r="BRQ174" s="1854">
        <v>2.9449999999999998</v>
      </c>
      <c r="BRR174" s="1854">
        <v>2.944</v>
      </c>
      <c r="BRS174" s="1854">
        <v>2.92</v>
      </c>
      <c r="BRT174" s="1854">
        <v>2.9180000000000001</v>
      </c>
      <c r="BRU174" s="1854">
        <v>2.9249999999999998</v>
      </c>
      <c r="BRV174" s="1854">
        <v>2.915</v>
      </c>
      <c r="BRW174" s="1854">
        <v>2.907</v>
      </c>
      <c r="BRX174" s="1854">
        <v>2.911</v>
      </c>
      <c r="BRY174" s="1854">
        <v>2.883</v>
      </c>
      <c r="BRZ174" s="1854">
        <v>2.9279999999999999</v>
      </c>
      <c r="BSA174" s="1854">
        <v>2.9359999999999999</v>
      </c>
      <c r="BSB174" s="1854">
        <v>2.9329999999999998</v>
      </c>
      <c r="BSC174" s="1854">
        <v>2.927</v>
      </c>
      <c r="BSD174" s="1854">
        <v>2.992</v>
      </c>
      <c r="BSE174" s="1854">
        <v>3.0009999999999999</v>
      </c>
      <c r="BSF174" s="1854">
        <v>3.0059999999999998</v>
      </c>
      <c r="BSG174" s="1854">
        <v>2.9980000000000002</v>
      </c>
      <c r="BSH174" s="1854">
        <v>3</v>
      </c>
      <c r="BSI174" s="1854">
        <v>3.0209999999999999</v>
      </c>
      <c r="BSJ174" s="1854">
        <v>3.056</v>
      </c>
      <c r="BSK174" s="1854">
        <v>3.0249999999999999</v>
      </c>
      <c r="BSL174" s="1854">
        <v>3.0219999999999998</v>
      </c>
      <c r="BSM174" s="1854">
        <v>3.0129999999999999</v>
      </c>
      <c r="BSN174" s="1854">
        <v>3</v>
      </c>
      <c r="BSO174" s="1854">
        <v>3.0819999999999999</v>
      </c>
      <c r="BSP174" s="1854">
        <v>3.1</v>
      </c>
      <c r="BSQ174" s="1854">
        <v>3.1120000000000001</v>
      </c>
      <c r="BSR174" s="1854">
        <v>3.125</v>
      </c>
      <c r="BSS174" s="1854">
        <v>3.117</v>
      </c>
      <c r="BST174" s="1854">
        <v>3.1110000000000002</v>
      </c>
      <c r="BSU174" s="1854">
        <v>3.117</v>
      </c>
      <c r="BSV174" s="1854">
        <v>3.0920000000000001</v>
      </c>
      <c r="BSW174" s="1854">
        <v>3.1120000000000001</v>
      </c>
      <c r="BSX174" s="1854">
        <v>3.15</v>
      </c>
      <c r="BSY174" s="1854">
        <v>3.1520000000000001</v>
      </c>
      <c r="BSZ174" s="1854">
        <v>3.145</v>
      </c>
      <c r="BTA174" s="1854">
        <v>3.161</v>
      </c>
      <c r="BTB174" s="1854">
        <v>3.2080000000000002</v>
      </c>
      <c r="BTC174" s="1854">
        <v>3.24</v>
      </c>
      <c r="BTD174" s="1854">
        <v>3.234</v>
      </c>
      <c r="BTE174" s="1854">
        <v>3.258</v>
      </c>
      <c r="BTF174" s="1854">
        <v>3.2570000000000001</v>
      </c>
      <c r="BTG174" s="1854">
        <v>3.2559999999999998</v>
      </c>
      <c r="BTH174" s="1854">
        <v>3.25</v>
      </c>
      <c r="BTI174" s="1854">
        <v>3.24</v>
      </c>
      <c r="BTJ174" s="1854">
        <v>3.2309999999999999</v>
      </c>
      <c r="BTK174" s="1854">
        <v>3.2440000000000002</v>
      </c>
      <c r="BTL174" s="1854">
        <v>3.2549999999999999</v>
      </c>
      <c r="BTM174" s="1854">
        <v>3.2549999999999999</v>
      </c>
      <c r="BTN174" s="1854">
        <v>3.258</v>
      </c>
      <c r="BTO174" s="1854">
        <v>3.2749999999999999</v>
      </c>
      <c r="BTP174" s="1854">
        <v>3.2669999999999999</v>
      </c>
      <c r="BTQ174" s="1854">
        <v>3.2690000000000001</v>
      </c>
      <c r="BTR174" s="1854">
        <v>3.2610000000000001</v>
      </c>
      <c r="BTS174" s="1854">
        <v>3.26</v>
      </c>
      <c r="BTT174" s="1854">
        <v>3.254</v>
      </c>
      <c r="BTU174" s="1854">
        <v>3.278</v>
      </c>
      <c r="BTV174" s="1854">
        <v>3.2839999999999998</v>
      </c>
      <c r="BTW174" s="1854">
        <v>3.2719999999999998</v>
      </c>
      <c r="BTX174" s="1854">
        <v>3.262</v>
      </c>
      <c r="BTY174" s="1854">
        <v>3.2759999999999998</v>
      </c>
      <c r="BTZ174" s="1854">
        <v>3.278</v>
      </c>
      <c r="BUA174" s="1854">
        <v>3.2879999999999998</v>
      </c>
      <c r="BUB174" s="1854">
        <v>3.298</v>
      </c>
      <c r="BUC174" s="1854">
        <v>3.2989999999999999</v>
      </c>
      <c r="BUD174" s="1854">
        <v>3.3</v>
      </c>
      <c r="BUE174" s="1854">
        <v>3.3</v>
      </c>
      <c r="BUF174" s="1854">
        <v>3.3090000000000002</v>
      </c>
      <c r="BUG174" s="1854">
        <v>3.3090000000000002</v>
      </c>
      <c r="BUH174" s="1854">
        <v>3.3079999999999998</v>
      </c>
      <c r="BUI174" s="1854">
        <v>3.3140000000000001</v>
      </c>
      <c r="BUJ174" s="1854">
        <v>3.31</v>
      </c>
      <c r="BUK174" s="1854">
        <v>3.3</v>
      </c>
      <c r="BUL174" s="1854">
        <v>3.3170000000000002</v>
      </c>
      <c r="BUM174" s="1854">
        <v>3.3069999999999999</v>
      </c>
      <c r="BUN174" s="1854">
        <v>3.302</v>
      </c>
      <c r="BUO174" s="1854">
        <v>3.2879999999999998</v>
      </c>
      <c r="BUP174" s="1854">
        <v>3.2909999999999999</v>
      </c>
      <c r="BUQ174" s="1854">
        <v>3.2839999999999998</v>
      </c>
      <c r="BUR174" s="1854">
        <v>3.3029999999999999</v>
      </c>
      <c r="BUS174" s="1854">
        <v>3.2989999999999999</v>
      </c>
      <c r="BUT174" s="1854">
        <v>3.3130000000000002</v>
      </c>
      <c r="BUU174" s="1854">
        <v>3.31</v>
      </c>
      <c r="BUV174" s="1854">
        <v>3.3090000000000002</v>
      </c>
      <c r="BUW174" s="1854">
        <v>3.302</v>
      </c>
      <c r="BUX174" s="1854">
        <v>3.3</v>
      </c>
      <c r="BUY174" s="1854">
        <v>3.2989999999999999</v>
      </c>
      <c r="BUZ174" s="1854">
        <v>3.3079999999999998</v>
      </c>
      <c r="BVA174" s="1854">
        <v>3.3119999999999998</v>
      </c>
      <c r="BVB174" s="1854">
        <v>3.3079999999999998</v>
      </c>
      <c r="BVC174" s="1854">
        <v>3.3170000000000002</v>
      </c>
      <c r="BVD174" s="1854">
        <v>3.3119999999999998</v>
      </c>
      <c r="BVE174" s="1854">
        <v>3.2949999999999999</v>
      </c>
      <c r="BVF174" s="1854">
        <v>3.26</v>
      </c>
      <c r="BVG174" s="1854">
        <v>3.27</v>
      </c>
      <c r="BVH174" s="1854">
        <v>3.2770000000000001</v>
      </c>
      <c r="BVI174" s="1854">
        <v>3.2559999999999998</v>
      </c>
      <c r="BVJ174" s="1854">
        <v>3.294</v>
      </c>
      <c r="BVK174" s="1854">
        <v>3.294</v>
      </c>
      <c r="BVL174" s="1854">
        <v>3.31</v>
      </c>
      <c r="BVM174" s="1854">
        <v>3.3130000000000002</v>
      </c>
      <c r="BVN174" s="1854">
        <v>3.3250000000000002</v>
      </c>
      <c r="BVO174" s="1854">
        <v>3.3260000000000001</v>
      </c>
      <c r="BVP174" s="1854">
        <v>3.3260000000000001</v>
      </c>
      <c r="BVQ174" s="1854">
        <v>3.34</v>
      </c>
      <c r="BVR174" s="1854">
        <v>3.3220000000000001</v>
      </c>
      <c r="BVS174" s="1854">
        <v>3.2789999999999999</v>
      </c>
      <c r="BVT174" s="1854">
        <v>3.2759999999999998</v>
      </c>
      <c r="BVU174" s="1854">
        <v>3.2879999999999998</v>
      </c>
      <c r="BVV174" s="1854">
        <v>3.2879999999999998</v>
      </c>
      <c r="BVW174" s="1854">
        <v>3.298</v>
      </c>
      <c r="BVX174" s="1854">
        <v>3.3029999999999999</v>
      </c>
      <c r="BVY174" s="1854">
        <v>3.28</v>
      </c>
      <c r="BVZ174" s="1854">
        <v>3.2789999999999999</v>
      </c>
      <c r="BWA174" s="1854">
        <v>3.286</v>
      </c>
      <c r="BWB174" s="1854">
        <v>3.2770000000000001</v>
      </c>
      <c r="BWC174" s="1854">
        <v>3.2669999999999999</v>
      </c>
      <c r="BWD174" s="1854">
        <v>3.2629999999999999</v>
      </c>
      <c r="BWE174" s="1854">
        <v>3.2669999999999999</v>
      </c>
      <c r="BWF174" s="1854">
        <v>3.266</v>
      </c>
      <c r="BWG174" s="1854">
        <v>3.2709999999999999</v>
      </c>
      <c r="BWH174" s="1854">
        <v>3.2810000000000001</v>
      </c>
      <c r="BWI174" s="1854">
        <v>3.274</v>
      </c>
      <c r="BWJ174" s="1854">
        <v>3.278</v>
      </c>
      <c r="BWK174" s="1854">
        <v>3.2730000000000001</v>
      </c>
      <c r="BWL174" s="1854">
        <v>3.3029999999999999</v>
      </c>
      <c r="BWM174" s="1854">
        <v>3.302</v>
      </c>
      <c r="BWN174" s="1854">
        <v>3.2989999999999999</v>
      </c>
      <c r="BWO174" s="1854">
        <v>3.31</v>
      </c>
      <c r="BWP174" s="1854">
        <v>3.2879999999999998</v>
      </c>
      <c r="BWQ174" s="1854">
        <v>3.3279999999999998</v>
      </c>
      <c r="BWR174" s="1854">
        <v>3.3450000000000002</v>
      </c>
      <c r="BWS174" s="1854">
        <v>3.335</v>
      </c>
      <c r="BWT174" s="1854">
        <v>3.331</v>
      </c>
      <c r="BWU174" s="1854">
        <v>3.3220000000000001</v>
      </c>
      <c r="BWV174" s="1854">
        <v>3.32</v>
      </c>
      <c r="BWW174" s="1854">
        <v>3.339</v>
      </c>
      <c r="BWX174" s="1854">
        <v>3.3380000000000001</v>
      </c>
      <c r="BWY174" s="1854">
        <v>3.3210000000000002</v>
      </c>
      <c r="BWZ174" s="1854">
        <v>3.3420000000000001</v>
      </c>
      <c r="BXA174" s="1854">
        <v>3.3220000000000001</v>
      </c>
      <c r="BXB174" s="1854">
        <v>3.282</v>
      </c>
      <c r="BXC174" s="1854">
        <v>3.2879999999999998</v>
      </c>
      <c r="BXD174" s="1854">
        <v>3.2879999999999998</v>
      </c>
      <c r="BXE174" s="1854">
        <v>3.3460000000000001</v>
      </c>
      <c r="BXF174" s="1854">
        <v>3.339</v>
      </c>
      <c r="BXG174" s="1854">
        <v>3.286</v>
      </c>
      <c r="BXH174" s="1854">
        <v>3.286</v>
      </c>
      <c r="BXI174" s="1854">
        <v>3.2610000000000001</v>
      </c>
      <c r="BXJ174" s="1854">
        <v>3.3090000000000002</v>
      </c>
      <c r="BXK174" s="1854">
        <v>3.31</v>
      </c>
      <c r="BXL174" s="1854">
        <v>3.306</v>
      </c>
      <c r="BXM174" s="1854">
        <v>3.3069999999999999</v>
      </c>
      <c r="BXN174" s="1854">
        <v>3.3210000000000002</v>
      </c>
      <c r="BXO174" s="1854">
        <v>3.3239999999999998</v>
      </c>
      <c r="BXP174" s="1854">
        <v>3.3</v>
      </c>
      <c r="BXQ174" s="1854">
        <v>3.3319999999999999</v>
      </c>
      <c r="BXR174" s="1854">
        <v>3.3719999999999999</v>
      </c>
      <c r="BXS174" s="1854">
        <v>3.4159999999999999</v>
      </c>
      <c r="BXT174" s="1854">
        <v>3.4180000000000001</v>
      </c>
      <c r="BXU174" s="1854">
        <v>3.4009999999999998</v>
      </c>
      <c r="BXV174" s="1854">
        <v>3.4</v>
      </c>
      <c r="BXW174" s="1854">
        <v>3.427</v>
      </c>
      <c r="BXX174" s="1854">
        <v>3.4380000000000002</v>
      </c>
      <c r="BXY174" s="1854">
        <v>3.4369999999999998</v>
      </c>
      <c r="BXZ174" s="1854">
        <v>3.452</v>
      </c>
      <c r="BYA174" s="1854">
        <v>3.4540000000000002</v>
      </c>
      <c r="BYB174" s="1854">
        <v>3.427</v>
      </c>
      <c r="BYC174" s="1854">
        <v>3.4060000000000001</v>
      </c>
      <c r="BYD174" s="1854">
        <v>3.3919999999999999</v>
      </c>
      <c r="BYE174" s="1854">
        <v>3.3839999999999999</v>
      </c>
      <c r="BYF174" s="1854">
        <v>3.3940000000000001</v>
      </c>
      <c r="BYG174" s="1854">
        <v>3.3759999999999999</v>
      </c>
      <c r="BYH174" s="1854">
        <v>3.4060000000000001</v>
      </c>
      <c r="BYI174" s="1854">
        <v>3.3879999999999999</v>
      </c>
      <c r="BYJ174" s="1854">
        <v>3.3860000000000001</v>
      </c>
      <c r="BYK174" s="1854">
        <v>3.3679999999999999</v>
      </c>
      <c r="BYL174" s="1854">
        <v>3.3719999999999999</v>
      </c>
      <c r="BYM174" s="1854">
        <v>3.3719999999999999</v>
      </c>
      <c r="BYN174" s="1854">
        <v>3.3740000000000001</v>
      </c>
      <c r="BYO174" s="1854">
        <v>3.3929999999999998</v>
      </c>
      <c r="BYP174" s="1854">
        <v>3.387</v>
      </c>
      <c r="BYQ174" s="1854">
        <v>3.3180000000000001</v>
      </c>
      <c r="BYR174" s="1854">
        <v>3.331</v>
      </c>
      <c r="BYS174" s="1854">
        <v>3.319</v>
      </c>
      <c r="BYT174" s="1854">
        <v>3.319</v>
      </c>
      <c r="BYU174" s="1854">
        <v>3.2949999999999999</v>
      </c>
      <c r="BYV174" s="1854">
        <v>3.27</v>
      </c>
      <c r="BYW174" s="1854">
        <v>3.2440000000000002</v>
      </c>
      <c r="BYX174" s="1854">
        <v>3.2189999999999999</v>
      </c>
      <c r="BYY174" s="1854">
        <v>3.2269999999999999</v>
      </c>
      <c r="BYZ174" s="1854">
        <v>3.2480000000000002</v>
      </c>
      <c r="BZA174" s="1854">
        <v>3.22</v>
      </c>
      <c r="BZB174" s="1854">
        <v>3.22</v>
      </c>
      <c r="BZC174" s="1854">
        <v>3.21</v>
      </c>
      <c r="BZD174" s="1854">
        <v>3.25</v>
      </c>
      <c r="BZE174" s="1854">
        <v>3.26</v>
      </c>
      <c r="BZF174" s="1854">
        <v>3.24</v>
      </c>
      <c r="BZG174" s="1854">
        <v>3.26</v>
      </c>
      <c r="BZH174" s="1854">
        <v>3.28</v>
      </c>
      <c r="BZI174" s="1854">
        <v>3.29</v>
      </c>
      <c r="BZJ174" s="1854">
        <v>3.29</v>
      </c>
      <c r="BZK174" s="1854">
        <v>3.27</v>
      </c>
      <c r="BZL174" s="1854">
        <v>3.28</v>
      </c>
      <c r="BZM174" s="1854">
        <v>3.26</v>
      </c>
      <c r="BZN174" s="1854">
        <v>3.25</v>
      </c>
      <c r="BZO174" s="1854">
        <v>3.24</v>
      </c>
      <c r="BZP174" s="1854">
        <v>3.24</v>
      </c>
      <c r="BZQ174" s="1854">
        <v>3.26</v>
      </c>
      <c r="BZR174" s="1854">
        <v>3.24</v>
      </c>
      <c r="BZS174" s="1854">
        <v>3.25</v>
      </c>
      <c r="BZT174" s="1854">
        <v>3.27</v>
      </c>
      <c r="BZU174" s="1854">
        <v>3.25</v>
      </c>
      <c r="BZV174" s="1854">
        <v>3.23</v>
      </c>
      <c r="BZW174" s="1854">
        <v>3.21</v>
      </c>
      <c r="BZX174" s="1854">
        <v>3.25</v>
      </c>
      <c r="BZY174" s="1854">
        <v>3.27</v>
      </c>
      <c r="BZZ174" s="1854">
        <v>3.33</v>
      </c>
      <c r="CAA174" s="1854">
        <v>3.31</v>
      </c>
      <c r="CAB174" s="1854">
        <v>3.33</v>
      </c>
      <c r="CAC174" s="1854">
        <v>3.36</v>
      </c>
      <c r="CAD174" s="1854">
        <v>3.33</v>
      </c>
      <c r="CAE174" s="1854">
        <v>3.37</v>
      </c>
      <c r="CAF174" s="1854">
        <v>3.37</v>
      </c>
      <c r="CAG174" s="1854">
        <v>3.31</v>
      </c>
      <c r="CAH174" s="1854">
        <v>3.3</v>
      </c>
      <c r="CAI174" s="1854">
        <v>3.29</v>
      </c>
      <c r="CAJ174" s="1854">
        <v>3.25</v>
      </c>
      <c r="CAK174" s="1854">
        <v>3.28</v>
      </c>
      <c r="CAL174" s="1854">
        <v>3.3</v>
      </c>
      <c r="CAM174" s="1854">
        <v>3.31</v>
      </c>
      <c r="CAN174" s="1854">
        <v>3.31</v>
      </c>
      <c r="CAO174" s="1854">
        <v>3.33</v>
      </c>
      <c r="CAP174" s="1854">
        <v>3.36</v>
      </c>
      <c r="CAQ174" s="1854">
        <v>3.34</v>
      </c>
      <c r="CAR174" s="1854">
        <v>3.32</v>
      </c>
      <c r="CAS174" s="1854">
        <v>3.37</v>
      </c>
      <c r="CAT174" s="1854">
        <v>3.35</v>
      </c>
      <c r="CAU174" s="1854">
        <v>3.36</v>
      </c>
      <c r="CAV174" s="1854">
        <v>3.32</v>
      </c>
      <c r="CAW174" s="1854">
        <v>3.3</v>
      </c>
      <c r="CAX174" s="1854">
        <v>3.31</v>
      </c>
      <c r="CAY174" s="1854">
        <v>3.33</v>
      </c>
      <c r="CAZ174" s="1854">
        <v>3.36</v>
      </c>
      <c r="CBA174" s="1854">
        <v>3.34</v>
      </c>
      <c r="CBB174" s="1854">
        <v>3.34</v>
      </c>
      <c r="CBC174" s="1854">
        <v>3.39</v>
      </c>
      <c r="CBD174" s="1854">
        <v>3.35</v>
      </c>
      <c r="CBE174" s="1854">
        <v>3.36</v>
      </c>
      <c r="CBF174" s="1854">
        <v>3.35</v>
      </c>
      <c r="CBG174" s="1854">
        <v>3.34</v>
      </c>
      <c r="CBH174" s="1854">
        <v>3.39</v>
      </c>
      <c r="CBI174" s="1854">
        <v>3.41</v>
      </c>
      <c r="CBJ174" s="1854">
        <v>3.37</v>
      </c>
      <c r="CBK174" s="1854">
        <v>3.36</v>
      </c>
      <c r="CBL174" s="1854">
        <v>3.34</v>
      </c>
      <c r="CBM174" s="1854">
        <v>3.33</v>
      </c>
      <c r="CBN174" s="1854">
        <v>3.33</v>
      </c>
      <c r="CBO174" s="1854">
        <v>3.37</v>
      </c>
      <c r="CBP174" s="1854">
        <v>3.36</v>
      </c>
      <c r="CBQ174" s="1854">
        <v>3.36</v>
      </c>
      <c r="CBR174" s="1854">
        <v>3.33</v>
      </c>
      <c r="CBS174" s="1854">
        <v>3.3</v>
      </c>
      <c r="CBT174" s="1854">
        <v>3.4</v>
      </c>
      <c r="CBU174" s="1854">
        <v>3.45</v>
      </c>
      <c r="CBV174" s="1854">
        <v>3.46</v>
      </c>
      <c r="CBW174" s="1854">
        <v>3.41</v>
      </c>
      <c r="CBX174" s="1854">
        <v>3.39</v>
      </c>
      <c r="CBY174" s="1854">
        <v>3.4</v>
      </c>
      <c r="CBZ174" s="1854">
        <v>3.39</v>
      </c>
      <c r="CCA174" s="1854">
        <v>3.44</v>
      </c>
      <c r="CCB174" s="1854">
        <v>3.31</v>
      </c>
      <c r="CCC174" s="1854">
        <v>3.37</v>
      </c>
      <c r="CCD174" s="1854">
        <v>3.36</v>
      </c>
      <c r="CCE174" s="1854">
        <v>3.38</v>
      </c>
      <c r="CCF174" s="1854">
        <v>3.48</v>
      </c>
      <c r="CCG174" s="1854">
        <v>3.4</v>
      </c>
      <c r="CCH174" s="1854">
        <v>3.32</v>
      </c>
      <c r="CCI174" s="1854">
        <v>3.18</v>
      </c>
      <c r="CCJ174" s="1854">
        <v>3.13</v>
      </c>
      <c r="CCK174" s="1854">
        <v>3.18</v>
      </c>
      <c r="CCL174" s="1854">
        <v>3.13</v>
      </c>
      <c r="CCM174" s="1854">
        <v>3.19</v>
      </c>
      <c r="CCN174" s="1854">
        <v>3.24</v>
      </c>
      <c r="CCO174" s="1854">
        <v>3.17</v>
      </c>
      <c r="CCP174" s="1854">
        <v>3.15</v>
      </c>
      <c r="CCQ174" s="1854">
        <v>3.12</v>
      </c>
      <c r="CCR174" s="1854">
        <v>3.17</v>
      </c>
      <c r="CCS174" s="1854">
        <v>3.14</v>
      </c>
      <c r="CCT174" s="1854">
        <v>3.13</v>
      </c>
      <c r="CCU174" s="1854">
        <v>3.14</v>
      </c>
      <c r="CCV174" s="1854">
        <v>3.11</v>
      </c>
      <c r="CCW174" s="1854">
        <v>3.12</v>
      </c>
      <c r="CCX174" s="1854">
        <v>3.01</v>
      </c>
      <c r="CCY174" s="1854">
        <v>2.98</v>
      </c>
      <c r="CCZ174" s="1854">
        <v>2.99</v>
      </c>
      <c r="CDA174" s="1854">
        <v>2.98</v>
      </c>
      <c r="CDB174" s="1854">
        <v>2.98</v>
      </c>
      <c r="CDC174" s="1854">
        <v>2.97</v>
      </c>
      <c r="CDD174" s="1854">
        <v>2.97</v>
      </c>
      <c r="CDE174" s="1854">
        <v>2.93</v>
      </c>
      <c r="CDF174" s="1854">
        <v>2.92</v>
      </c>
      <c r="CDG174" s="1854">
        <v>2.92</v>
      </c>
      <c r="CDH174" s="1854">
        <v>2.93</v>
      </c>
      <c r="CDI174" s="1854">
        <v>2.92</v>
      </c>
      <c r="CDJ174" s="1854">
        <v>2.91</v>
      </c>
      <c r="CDK174" s="1854">
        <v>2.91</v>
      </c>
      <c r="CDL174" s="1854">
        <v>2.9</v>
      </c>
      <c r="CDM174" s="1854">
        <v>2.92</v>
      </c>
      <c r="CDN174" s="1854">
        <v>2.83</v>
      </c>
      <c r="CDO174" s="1854">
        <v>2.81</v>
      </c>
      <c r="CDP174" s="1854">
        <v>2.85</v>
      </c>
      <c r="CDQ174" s="1854">
        <v>2.88</v>
      </c>
      <c r="CDR174" s="1854">
        <v>2.87</v>
      </c>
      <c r="CDS174" s="1854">
        <v>2.91</v>
      </c>
      <c r="CDT174" s="1854">
        <v>2.96</v>
      </c>
      <c r="CDU174" s="1854">
        <v>2.95</v>
      </c>
      <c r="CDV174" s="1854">
        <v>2.96</v>
      </c>
      <c r="CDW174" s="1854">
        <v>2.95</v>
      </c>
      <c r="CDX174" s="1854">
        <v>2.93</v>
      </c>
      <c r="CDY174" s="1854">
        <v>2.96</v>
      </c>
      <c r="CDZ174" s="1854">
        <v>2.96</v>
      </c>
      <c r="CEA174" s="1854">
        <v>3.02</v>
      </c>
      <c r="CEB174" s="1854">
        <v>3.03</v>
      </c>
      <c r="CEC174" s="1854">
        <v>3</v>
      </c>
      <c r="CED174" s="1854">
        <v>2.85</v>
      </c>
      <c r="CEE174" s="1854">
        <v>2.86</v>
      </c>
      <c r="CEF174" s="1854">
        <v>2.84</v>
      </c>
      <c r="CEG174" s="1854">
        <v>2.81</v>
      </c>
      <c r="CEH174" s="1854">
        <v>2.85</v>
      </c>
      <c r="CEI174" s="1854">
        <v>2.84</v>
      </c>
      <c r="CEJ174" s="1854">
        <v>2.84</v>
      </c>
      <c r="CEK174" s="1854">
        <v>2.85</v>
      </c>
      <c r="CEL174" s="1854">
        <v>2.88</v>
      </c>
      <c r="CEM174" s="1854">
        <v>2.8</v>
      </c>
      <c r="CEN174" s="1854">
        <v>2.92</v>
      </c>
      <c r="CEO174" s="1854">
        <v>2.92</v>
      </c>
      <c r="CEP174" s="1854">
        <v>2.92</v>
      </c>
      <c r="CEQ174" s="1854">
        <v>2.92</v>
      </c>
      <c r="CER174" s="1854">
        <v>2.94</v>
      </c>
      <c r="CES174" s="1854">
        <v>2.94</v>
      </c>
      <c r="CET174" s="1854">
        <v>2.93</v>
      </c>
      <c r="CEU174" s="1854">
        <v>2.93</v>
      </c>
      <c r="CEV174" s="1854">
        <v>2.95</v>
      </c>
      <c r="CEW174" s="1854">
        <v>2.96</v>
      </c>
      <c r="CEX174" s="1854">
        <v>2.96</v>
      </c>
      <c r="CEY174" s="1854">
        <v>2.96</v>
      </c>
      <c r="CEZ174" s="1854">
        <v>3.01</v>
      </c>
      <c r="CFA174" s="1854">
        <v>3.01</v>
      </c>
      <c r="CFB174" s="1854">
        <v>3.01</v>
      </c>
      <c r="CFC174" s="1854">
        <v>2.99</v>
      </c>
      <c r="CFD174" s="1854">
        <v>2.97</v>
      </c>
      <c r="CFE174" s="1854">
        <v>2.98</v>
      </c>
      <c r="CFF174" s="1854">
        <v>2.99</v>
      </c>
      <c r="CFG174" s="1854">
        <v>2.98</v>
      </c>
      <c r="CFH174" s="1854">
        <v>3</v>
      </c>
      <c r="CFI174" s="1854">
        <v>3.03</v>
      </c>
      <c r="CFJ174" s="1854">
        <v>3.03</v>
      </c>
      <c r="CFK174" s="1854">
        <v>3.02</v>
      </c>
      <c r="CFL174" s="1854">
        <v>3.05</v>
      </c>
      <c r="CFM174" s="1854">
        <v>3.03</v>
      </c>
      <c r="CFN174" s="1854">
        <v>3.06</v>
      </c>
      <c r="CFO174" s="1854">
        <v>3.07</v>
      </c>
      <c r="CFP174" s="1854">
        <v>3.08</v>
      </c>
      <c r="CFQ174" s="1854">
        <v>3.08</v>
      </c>
      <c r="CFR174" s="1854">
        <v>3.06</v>
      </c>
      <c r="CFS174" s="1854">
        <v>3.07</v>
      </c>
      <c r="CFT174" s="1854">
        <v>3.08</v>
      </c>
      <c r="CFU174" s="1854">
        <v>3.08</v>
      </c>
      <c r="CFV174" s="1854">
        <v>3.11</v>
      </c>
      <c r="CFW174" s="1854">
        <v>3.12</v>
      </c>
      <c r="CFX174" s="1854">
        <v>3.13</v>
      </c>
      <c r="CFY174" s="1854">
        <v>3.13</v>
      </c>
      <c r="CFZ174" s="1854">
        <v>3.15</v>
      </c>
      <c r="CGA174" s="1854">
        <v>3.13</v>
      </c>
      <c r="CGB174" s="1854">
        <v>3.13</v>
      </c>
      <c r="CGC174" s="1854">
        <v>3.12</v>
      </c>
      <c r="CGD174" s="1854">
        <v>3.13</v>
      </c>
      <c r="CGE174" s="1854">
        <v>3.15</v>
      </c>
      <c r="CGF174" s="1854">
        <v>3.17</v>
      </c>
      <c r="CGG174" s="1854">
        <v>3.19</v>
      </c>
      <c r="CGH174" s="1854">
        <v>3.2</v>
      </c>
      <c r="CGI174" s="1854">
        <v>3.19</v>
      </c>
      <c r="CGJ174" s="1854">
        <v>3.21</v>
      </c>
      <c r="CGK174" s="1854">
        <v>3.21</v>
      </c>
      <c r="CGL174" s="1854">
        <v>3.25</v>
      </c>
      <c r="CGM174" s="1854">
        <v>3.25</v>
      </c>
      <c r="CGN174" s="1854">
        <v>3.19</v>
      </c>
      <c r="CGO174" s="1854">
        <v>3.23</v>
      </c>
      <c r="CGP174" s="1854">
        <v>3.23</v>
      </c>
      <c r="CGQ174" s="1854">
        <v>3.25</v>
      </c>
      <c r="CGR174" s="1854">
        <v>3.23</v>
      </c>
      <c r="CGS174" s="1854">
        <v>3.25</v>
      </c>
      <c r="CGT174" s="1854">
        <v>3.3</v>
      </c>
      <c r="CGU174" s="1854">
        <v>3.29</v>
      </c>
      <c r="CGV174" s="1854">
        <v>3.29</v>
      </c>
      <c r="CGW174" s="1854">
        <v>3.31</v>
      </c>
      <c r="CGX174" s="1854">
        <v>3.33</v>
      </c>
      <c r="CGY174" s="1854">
        <v>3.32</v>
      </c>
      <c r="CGZ174" s="1854">
        <v>3.3</v>
      </c>
      <c r="CHA174" s="1854">
        <v>3.32</v>
      </c>
      <c r="CHB174" s="1854">
        <v>3.33</v>
      </c>
      <c r="CHC174" s="1854">
        <v>3.31</v>
      </c>
      <c r="CHD174" s="1854">
        <v>3.31</v>
      </c>
      <c r="CHE174" s="1854">
        <v>3.3</v>
      </c>
      <c r="CHF174" s="1854">
        <v>3.27</v>
      </c>
      <c r="CHG174" s="1854">
        <v>3.27</v>
      </c>
      <c r="CHH174" s="1854">
        <v>3.27</v>
      </c>
      <c r="CHI174" s="1854">
        <v>3.25</v>
      </c>
      <c r="CHJ174" s="1854">
        <v>3.28</v>
      </c>
      <c r="CHK174" s="1854">
        <v>3.32</v>
      </c>
      <c r="CHL174" s="1854">
        <v>3.31</v>
      </c>
      <c r="CHM174" s="1854">
        <v>3.36</v>
      </c>
      <c r="CHN174" s="1854">
        <v>3.37</v>
      </c>
      <c r="CHO174" s="1854">
        <v>3.36</v>
      </c>
      <c r="CHP174" s="1854">
        <v>3.36</v>
      </c>
      <c r="CHQ174" s="1854">
        <v>3.37</v>
      </c>
      <c r="CHR174" s="1854">
        <v>3.35</v>
      </c>
      <c r="CHS174" s="1854">
        <v>3.37</v>
      </c>
      <c r="CHT174" s="1854">
        <v>3.35</v>
      </c>
      <c r="CHU174" s="1854">
        <v>3.33</v>
      </c>
      <c r="CHV174" s="1854">
        <v>3.33</v>
      </c>
      <c r="CHW174" s="1854">
        <v>3.32</v>
      </c>
      <c r="CHX174" s="1854">
        <v>3.3</v>
      </c>
      <c r="CHY174" s="1854">
        <v>3.31</v>
      </c>
      <c r="CHZ174" s="1854">
        <v>3.31</v>
      </c>
      <c r="CIA174" s="1854">
        <v>3.3</v>
      </c>
      <c r="CIB174" s="1854">
        <v>3.31</v>
      </c>
      <c r="CIC174" s="1854">
        <v>3.31</v>
      </c>
      <c r="CID174" s="1854">
        <v>3.28</v>
      </c>
      <c r="CIE174" s="1854">
        <v>3.3</v>
      </c>
      <c r="CIF174" s="1854">
        <v>3.3</v>
      </c>
      <c r="CIG174" s="1854">
        <v>3.32</v>
      </c>
      <c r="CIH174" s="1854">
        <v>3.3</v>
      </c>
      <c r="CII174" s="1854">
        <v>3.29</v>
      </c>
      <c r="CIJ174" s="1854">
        <v>3.29</v>
      </c>
      <c r="CIK174" s="1854">
        <v>3.3</v>
      </c>
      <c r="CIL174" s="1854">
        <v>3.3</v>
      </c>
      <c r="CIM174" s="1854">
        <v>3.29</v>
      </c>
      <c r="CIN174" s="1854">
        <v>3.32</v>
      </c>
      <c r="CIO174" s="1854">
        <v>3.32</v>
      </c>
      <c r="CIP174" s="1854">
        <v>3.33</v>
      </c>
      <c r="CIQ174" s="1854">
        <v>3.36</v>
      </c>
      <c r="CIR174" s="1854">
        <v>3.33</v>
      </c>
      <c r="CIS174" s="1854">
        <v>3.35</v>
      </c>
      <c r="CIT174" s="1854">
        <v>3.32</v>
      </c>
      <c r="CIU174" s="1854">
        <v>3.29</v>
      </c>
      <c r="CIV174" s="1854">
        <v>3.27</v>
      </c>
      <c r="CIW174" s="1854">
        <v>3.28</v>
      </c>
      <c r="CIX174" s="1854">
        <v>3.26</v>
      </c>
      <c r="CIY174" s="1854">
        <v>3.23</v>
      </c>
      <c r="CIZ174" s="1854">
        <v>3.28</v>
      </c>
      <c r="CJA174" s="1854">
        <v>3.28</v>
      </c>
      <c r="CJB174" s="1854">
        <v>3.27</v>
      </c>
      <c r="CJC174" s="1854">
        <v>3.26</v>
      </c>
      <c r="CJD174" s="1854">
        <v>3.27</v>
      </c>
      <c r="CJE174" s="1854">
        <v>3.3</v>
      </c>
      <c r="CJF174" s="1854">
        <v>3.32</v>
      </c>
      <c r="CJG174" s="1854">
        <v>3.3</v>
      </c>
      <c r="CJH174" s="1854">
        <v>3.31</v>
      </c>
      <c r="CJI174" s="1854">
        <v>3.32</v>
      </c>
      <c r="CJJ174" s="1854">
        <v>3.34</v>
      </c>
      <c r="CJK174" s="1854">
        <v>3.32</v>
      </c>
      <c r="CJL174" s="1854">
        <v>3.38</v>
      </c>
      <c r="CJM174" s="1854">
        <v>3.36</v>
      </c>
      <c r="CJN174" s="1854">
        <v>3.4</v>
      </c>
      <c r="CJO174" s="1854">
        <v>3.36</v>
      </c>
      <c r="CJP174" s="1854">
        <v>3.37</v>
      </c>
      <c r="CJQ174" s="1854">
        <v>3.29</v>
      </c>
      <c r="CJR174" s="1854">
        <v>3.27</v>
      </c>
      <c r="CJS174" s="1854">
        <v>3.3</v>
      </c>
      <c r="CJT174" s="1854">
        <v>3.32</v>
      </c>
      <c r="CJU174" s="1854">
        <v>3.25</v>
      </c>
      <c r="CJV174" s="1854">
        <v>3.24</v>
      </c>
      <c r="CJW174" s="1854">
        <v>3.27</v>
      </c>
      <c r="CJX174" s="1854">
        <v>3.25</v>
      </c>
      <c r="CJY174" s="1854">
        <v>3.27</v>
      </c>
      <c r="CJZ174" s="1854">
        <v>3.29</v>
      </c>
      <c r="CKA174" s="1854">
        <v>3.3</v>
      </c>
      <c r="CKB174" s="1854">
        <v>3.33</v>
      </c>
      <c r="CKC174" s="1854">
        <v>3.34</v>
      </c>
      <c r="CKD174" s="1854">
        <v>3.37</v>
      </c>
      <c r="CKE174" s="1854">
        <v>3.43</v>
      </c>
      <c r="CKF174" s="1854">
        <v>3.47</v>
      </c>
      <c r="CKG174" s="1854">
        <v>3.47</v>
      </c>
      <c r="CKH174" s="1854">
        <v>3.54</v>
      </c>
      <c r="CKI174" s="1854">
        <v>3.52</v>
      </c>
      <c r="CKJ174" s="1854">
        <v>3.54</v>
      </c>
      <c r="CKK174" s="1854">
        <v>3.46</v>
      </c>
      <c r="CKL174" s="1854">
        <v>3.41</v>
      </c>
      <c r="CKM174" s="1854">
        <v>3.38</v>
      </c>
      <c r="CKN174" s="1854">
        <v>3.41</v>
      </c>
      <c r="CKO174" s="1854">
        <v>3.35</v>
      </c>
      <c r="CKP174" s="1854">
        <v>3.36</v>
      </c>
      <c r="CKQ174" s="1854">
        <v>3.36</v>
      </c>
      <c r="CKR174" s="1854">
        <v>3.35</v>
      </c>
      <c r="CKS174" s="1854">
        <v>3.38</v>
      </c>
      <c r="CKT174" s="1854">
        <v>3.42</v>
      </c>
      <c r="CKU174" s="1854">
        <v>3.44</v>
      </c>
      <c r="CKV174" s="1854">
        <v>3.44</v>
      </c>
      <c r="CKW174" s="1854">
        <v>3.45</v>
      </c>
      <c r="CKX174" s="1854">
        <v>3.4</v>
      </c>
      <c r="CKY174" s="1854">
        <v>3.37</v>
      </c>
      <c r="CKZ174" s="1854">
        <v>3.43</v>
      </c>
      <c r="CLA174" s="1854">
        <v>3.41</v>
      </c>
      <c r="CLB174" s="1854">
        <v>3.47</v>
      </c>
      <c r="CLC174" s="1854">
        <v>3.5</v>
      </c>
      <c r="CLD174" s="1854">
        <v>3.48</v>
      </c>
      <c r="CLE174" s="1854">
        <v>3.51</v>
      </c>
      <c r="CLF174" s="1854">
        <v>3.54</v>
      </c>
      <c r="CLG174" s="1854">
        <v>3.54</v>
      </c>
      <c r="CLH174" s="1854">
        <v>3.56</v>
      </c>
      <c r="CLI174" s="1854">
        <v>3.77</v>
      </c>
      <c r="CLJ174" s="1854">
        <v>3.79</v>
      </c>
      <c r="CLK174" s="1854">
        <v>3.78</v>
      </c>
      <c r="CLL174" s="1854">
        <v>3.8</v>
      </c>
      <c r="CLM174" s="1854">
        <v>3.84</v>
      </c>
      <c r="CLN174" s="1854">
        <v>3.85</v>
      </c>
      <c r="CLO174" s="1854">
        <v>3.86</v>
      </c>
      <c r="CLP174" s="1854">
        <v>3.87</v>
      </c>
      <c r="CLQ174" s="1854">
        <v>3.87</v>
      </c>
      <c r="CLR174" s="1854">
        <v>3.84</v>
      </c>
      <c r="CLS174" s="1854">
        <v>3.84</v>
      </c>
      <c r="CLT174" s="1854">
        <v>3.86</v>
      </c>
      <c r="CLU174" s="1854">
        <v>3.86</v>
      </c>
      <c r="CLV174" s="1854">
        <v>3.86</v>
      </c>
      <c r="CLW174" s="1854">
        <v>3.88</v>
      </c>
      <c r="CLX174" s="1854">
        <v>3.88</v>
      </c>
      <c r="CLY174" s="1854">
        <v>3.86</v>
      </c>
      <c r="CLZ174" s="1854">
        <v>3.88</v>
      </c>
      <c r="CMA174" s="1854">
        <v>3.85</v>
      </c>
      <c r="CMB174" s="1854">
        <v>3.86</v>
      </c>
      <c r="CMC174" s="1854">
        <v>3.88</v>
      </c>
      <c r="CMD174" s="1854">
        <v>3.87</v>
      </c>
      <c r="CME174" s="1854">
        <v>3.91</v>
      </c>
      <c r="CMF174" s="1854">
        <v>3.84</v>
      </c>
      <c r="CMG174" s="1854">
        <v>3.89</v>
      </c>
      <c r="CMH174" s="1854">
        <v>3.88</v>
      </c>
      <c r="CMI174" s="1854">
        <v>3.86</v>
      </c>
      <c r="CMJ174" s="1854">
        <v>3.9</v>
      </c>
      <c r="CMK174" s="1854">
        <v>3.92</v>
      </c>
      <c r="CML174" s="1854">
        <v>3.95</v>
      </c>
      <c r="CMM174" s="1854">
        <v>3.96</v>
      </c>
      <c r="CMN174" s="1854">
        <v>3.95</v>
      </c>
      <c r="CMO174" s="1854">
        <v>3.95</v>
      </c>
      <c r="CMP174" s="1854">
        <v>3.96</v>
      </c>
      <c r="CMQ174" s="1854">
        <v>3.97</v>
      </c>
      <c r="CMR174" s="1854">
        <v>3.98</v>
      </c>
      <c r="CMS174" s="1854">
        <v>3.97</v>
      </c>
      <c r="CMT174" s="1854">
        <v>4</v>
      </c>
      <c r="CMU174" s="1854">
        <v>3.99</v>
      </c>
      <c r="CMV174" s="1854">
        <v>4</v>
      </c>
      <c r="CMW174" s="1854">
        <v>4.01</v>
      </c>
      <c r="CMX174" s="1854">
        <v>4</v>
      </c>
      <c r="CMY174" s="1854">
        <v>4.04</v>
      </c>
      <c r="CMZ174" s="1854">
        <v>4.03</v>
      </c>
      <c r="CNA174" s="1854">
        <v>4.05</v>
      </c>
      <c r="CNB174" s="1854">
        <v>4.04</v>
      </c>
      <c r="CNC174" s="1854">
        <v>4.09</v>
      </c>
      <c r="CND174" s="1854">
        <v>4.1100000000000003</v>
      </c>
      <c r="CNE174" s="1854">
        <v>4.1399999999999997</v>
      </c>
      <c r="CNF174" s="1854">
        <v>4.1399999999999997</v>
      </c>
      <c r="CNG174" s="1854">
        <v>4.16</v>
      </c>
      <c r="CNH174" s="1854">
        <v>4.2</v>
      </c>
      <c r="CNI174" s="1854">
        <v>4.21</v>
      </c>
      <c r="CNJ174" s="1854">
        <v>4.2</v>
      </c>
      <c r="CNK174" s="1854">
        <v>4.2</v>
      </c>
      <c r="CNL174" s="1854">
        <v>4.2</v>
      </c>
      <c r="CNM174" s="1854">
        <v>4.22</v>
      </c>
      <c r="CNN174" s="1854">
        <v>4.2300000000000004</v>
      </c>
      <c r="CNO174" s="1854">
        <v>4.22</v>
      </c>
      <c r="CNP174" s="1854">
        <v>4.2300000000000004</v>
      </c>
      <c r="CNQ174" s="1854">
        <v>4.26</v>
      </c>
      <c r="CNR174" s="1854">
        <v>4.2699999999999996</v>
      </c>
      <c r="CNS174" s="1854">
        <v>4.2699999999999996</v>
      </c>
      <c r="CNT174" s="1854">
        <v>4.2699999999999996</v>
      </c>
      <c r="CNU174" s="1854">
        <v>4.3099999999999996</v>
      </c>
      <c r="CNV174" s="1854">
        <v>4.34</v>
      </c>
      <c r="CNW174" s="1854">
        <v>4.3499999999999996</v>
      </c>
      <c r="CNX174" s="1854">
        <v>4.3600000000000003</v>
      </c>
      <c r="CNY174" s="1854">
        <v>4.38</v>
      </c>
      <c r="CNZ174" s="1854">
        <v>4.3499999999999996</v>
      </c>
      <c r="COA174" s="1854">
        <v>4.37</v>
      </c>
      <c r="COB174" s="1854">
        <v>4.3899999999999997</v>
      </c>
      <c r="COC174" s="1854">
        <v>4.43</v>
      </c>
      <c r="COD174" s="1854">
        <v>4.42</v>
      </c>
      <c r="COE174" s="1854">
        <v>4.4400000000000004</v>
      </c>
      <c r="COF174" s="1854">
        <v>4.43</v>
      </c>
      <c r="COG174" s="1854">
        <v>4.43</v>
      </c>
      <c r="COH174" s="1854">
        <v>4.4000000000000004</v>
      </c>
      <c r="COI174" s="1854">
        <v>4.41</v>
      </c>
      <c r="COJ174" s="1854">
        <v>4.3899999999999997</v>
      </c>
      <c r="COK174" s="1854">
        <v>4.37</v>
      </c>
      <c r="COL174" s="1854">
        <v>4.32</v>
      </c>
      <c r="COM174" s="1854">
        <v>4.28</v>
      </c>
      <c r="CON174" s="1854">
        <v>4.28</v>
      </c>
      <c r="COO174" s="1854">
        <v>4.3</v>
      </c>
      <c r="COP174" s="1854">
        <v>4.29</v>
      </c>
      <c r="COQ174" s="1854">
        <v>4.3099999999999996</v>
      </c>
      <c r="COR174" s="1854">
        <v>4.3099999999999996</v>
      </c>
      <c r="COS174" s="1854">
        <v>4.32</v>
      </c>
      <c r="COT174" s="1854">
        <v>4.29</v>
      </c>
      <c r="COU174" s="1854">
        <v>4.26</v>
      </c>
      <c r="COV174" s="1854">
        <v>4.2300000000000004</v>
      </c>
      <c r="COW174" s="1854">
        <v>4.25</v>
      </c>
      <c r="COX174" s="1854">
        <v>4.26</v>
      </c>
      <c r="COY174" s="1854">
        <v>4.25</v>
      </c>
      <c r="COZ174" s="1854">
        <v>4.2699999999999996</v>
      </c>
      <c r="CPA174" s="1854">
        <v>4.2699999999999996</v>
      </c>
      <c r="CPB174" s="1854">
        <v>4.2699999999999996</v>
      </c>
      <c r="CPC174" s="1854">
        <v>4.25</v>
      </c>
      <c r="CPD174" s="1854">
        <v>4.24</v>
      </c>
      <c r="CPE174" s="1854">
        <v>4.26</v>
      </c>
      <c r="CPF174" s="1854">
        <v>4.25</v>
      </c>
      <c r="CPG174" s="1854">
        <v>4.2699999999999996</v>
      </c>
      <c r="CPH174" s="1854">
        <v>4.25</v>
      </c>
      <c r="CPI174" s="1854">
        <v>4.26</v>
      </c>
      <c r="CPJ174" s="1854">
        <v>4.26</v>
      </c>
      <c r="CPK174" s="1854">
        <v>4.24</v>
      </c>
      <c r="CPL174" s="1854">
        <v>4.25</v>
      </c>
      <c r="CPM174" s="1854">
        <v>4.24</v>
      </c>
      <c r="CPN174" s="1854">
        <v>4.24</v>
      </c>
      <c r="CPO174" s="1854">
        <v>4.2300000000000004</v>
      </c>
      <c r="CPP174" s="1854">
        <v>4.24</v>
      </c>
      <c r="CPQ174" s="1854">
        <v>4.2300000000000004</v>
      </c>
      <c r="CPR174" s="1854">
        <v>4.25</v>
      </c>
      <c r="CPS174" s="1854">
        <v>4.2699999999999996</v>
      </c>
      <c r="CPT174" s="1854">
        <v>4.29</v>
      </c>
      <c r="CPU174" s="1854">
        <v>4.2699999999999996</v>
      </c>
      <c r="CPV174" s="1854">
        <v>4.25</v>
      </c>
      <c r="CPW174" s="1854">
        <v>4.24</v>
      </c>
      <c r="CPX174" s="1854">
        <v>4.24</v>
      </c>
      <c r="CPY174" s="1854">
        <v>4.22</v>
      </c>
      <c r="CPZ174" s="1854">
        <v>4.24</v>
      </c>
      <c r="CQA174" s="1854">
        <v>4.25</v>
      </c>
      <c r="CQB174" s="1854">
        <v>4.25</v>
      </c>
      <c r="CQC174" s="1854">
        <v>4.25</v>
      </c>
      <c r="CQD174" s="1854">
        <v>4.25</v>
      </c>
      <c r="CQE174" s="1854">
        <v>4.22</v>
      </c>
      <c r="CQF174" s="1854">
        <v>4.21</v>
      </c>
      <c r="CQG174" s="1854">
        <v>4.22</v>
      </c>
      <c r="CQH174" s="1854">
        <v>4.22</v>
      </c>
      <c r="CQI174" s="1854">
        <v>4.21</v>
      </c>
    </row>
    <row r="176" spans="2:2479">
      <c r="F176" s="4692" t="s">
        <v>3636</v>
      </c>
      <c r="G176" s="4692" t="s">
        <v>3637</v>
      </c>
      <c r="H176" s="4692" t="s">
        <v>3638</v>
      </c>
      <c r="I176" s="4692" t="s">
        <v>3639</v>
      </c>
      <c r="J176" s="4692" t="s">
        <v>3640</v>
      </c>
    </row>
    <row r="177" spans="4:10">
      <c r="F177" s="4693">
        <f>E188</f>
        <v>2.0831405622489953E-2</v>
      </c>
      <c r="G177" s="4693">
        <f>AVERAGE(E187:E188)</f>
        <v>2.1055562248995977E-2</v>
      </c>
      <c r="H177" s="4693">
        <f>AVERAGE(E186:E188)</f>
        <v>2.0780091431854268E-2</v>
      </c>
      <c r="I177" s="4693">
        <f>AVERAGE(E184:E188)</f>
        <v>2.2418778746700386E-2</v>
      </c>
      <c r="J177" s="4693">
        <f>AVERAGE(E179:E188)</f>
        <v>2.5117791806298112E-2</v>
      </c>
    </row>
    <row r="178" spans="4:10">
      <c r="D178" s="1856" t="s">
        <v>771</v>
      </c>
      <c r="E178" s="1856" t="s">
        <v>5001</v>
      </c>
      <c r="F178" s="498" t="s">
        <v>5002</v>
      </c>
    </row>
    <row r="179" spans="4:10">
      <c r="D179" s="1857">
        <v>2012</v>
      </c>
      <c r="E179" s="1858">
        <f>AVERAGEIF($G$172:$CQI$172,$D179,$G$174:$CQI$174)/100</f>
        <v>3.7644578313253026E-2</v>
      </c>
      <c r="F179" s="1855">
        <f>AVERAGE($E$179:$E$188)</f>
        <v>2.5117791806298112E-2</v>
      </c>
    </row>
    <row r="180" spans="4:10">
      <c r="D180" s="1857">
        <f>D179+1</f>
        <v>2013</v>
      </c>
      <c r="E180" s="1858">
        <f t="shared" ref="E180:E188" si="92">AVERAGEIF($G$172:$CQI$172,$D180,$G$174:$CQI$174)/100</f>
        <v>3.1905322580645178E-2</v>
      </c>
      <c r="F180" s="1855">
        <f t="shared" ref="F180:F188" si="93">AVERAGE($E$179:$E$188)</f>
        <v>2.5117791806298112E-2</v>
      </c>
    </row>
    <row r="181" spans="4:10">
      <c r="D181" s="1857">
        <f t="shared" ref="D181:D188" si="94">D180+1</f>
        <v>2014</v>
      </c>
      <c r="E181" s="1858">
        <f t="shared" si="92"/>
        <v>2.983455284552846E-2</v>
      </c>
      <c r="F181" s="1855">
        <f t="shared" si="93"/>
        <v>2.5117791806298112E-2</v>
      </c>
    </row>
    <row r="182" spans="4:10">
      <c r="D182" s="1857">
        <f t="shared" si="94"/>
        <v>2015</v>
      </c>
      <c r="E182" s="1858">
        <f t="shared" si="92"/>
        <v>2.0838032128514063E-2</v>
      </c>
      <c r="F182" s="1855">
        <f t="shared" si="93"/>
        <v>2.5117791806298112E-2</v>
      </c>
    </row>
    <row r="183" spans="4:10">
      <c r="D183" s="1857">
        <f t="shared" si="94"/>
        <v>2016</v>
      </c>
      <c r="E183" s="1858">
        <f t="shared" si="92"/>
        <v>1.8861538461538457E-2</v>
      </c>
      <c r="F183" s="1855">
        <f t="shared" si="93"/>
        <v>2.5117791806298112E-2</v>
      </c>
    </row>
    <row r="184" spans="4:10">
      <c r="D184" s="1857">
        <f t="shared" si="94"/>
        <v>2017</v>
      </c>
      <c r="E184" s="1858">
        <f t="shared" si="92"/>
        <v>2.3246762295081963E-2</v>
      </c>
      <c r="F184" s="1855">
        <f t="shared" si="93"/>
        <v>2.5117791806298112E-2</v>
      </c>
    </row>
    <row r="185" spans="4:10">
      <c r="D185" s="1857">
        <f t="shared" si="94"/>
        <v>2018</v>
      </c>
      <c r="E185" s="1858">
        <f t="shared" si="92"/>
        <v>2.6506857142857151E-2</v>
      </c>
      <c r="F185" s="1855">
        <f t="shared" si="93"/>
        <v>2.5117791806298112E-2</v>
      </c>
    </row>
    <row r="186" spans="4:10">
      <c r="D186" s="1857">
        <f t="shared" si="94"/>
        <v>2019</v>
      </c>
      <c r="E186" s="1858">
        <f t="shared" si="92"/>
        <v>2.0229149797570855E-2</v>
      </c>
      <c r="F186" s="1855">
        <f t="shared" si="93"/>
        <v>2.5117791806298112E-2</v>
      </c>
    </row>
    <row r="187" spans="4:10">
      <c r="D187" s="1857">
        <f t="shared" si="94"/>
        <v>2020</v>
      </c>
      <c r="E187" s="1858">
        <f t="shared" si="92"/>
        <v>2.1279718875502E-2</v>
      </c>
      <c r="F187" s="1855">
        <f t="shared" si="93"/>
        <v>2.5117791806298112E-2</v>
      </c>
    </row>
    <row r="188" spans="4:10">
      <c r="D188" s="1857">
        <f t="shared" si="94"/>
        <v>2021</v>
      </c>
      <c r="E188" s="1858">
        <f t="shared" si="92"/>
        <v>2.0831405622489953E-2</v>
      </c>
      <c r="F188" s="1855">
        <f t="shared" si="93"/>
        <v>2.5117791806298112E-2</v>
      </c>
    </row>
    <row r="189" spans="4:10">
      <c r="E189" s="1859"/>
    </row>
    <row r="190" spans="4:10">
      <c r="E190" s="1859"/>
    </row>
    <row r="197" spans="2:46">
      <c r="B197" s="498" t="s">
        <v>3641</v>
      </c>
    </row>
    <row r="198" spans="2:46" ht="14.25" thickBot="1"/>
    <row r="199" spans="2:46" ht="14.25" thickBot="1">
      <c r="C199" s="1860" t="s">
        <v>48</v>
      </c>
      <c r="D199" s="1861" t="s">
        <v>14</v>
      </c>
      <c r="E199" s="1861">
        <v>2022</v>
      </c>
      <c r="F199" s="1861">
        <f>E199+1</f>
        <v>2023</v>
      </c>
      <c r="G199" s="1861">
        <f t="shared" ref="G199:AT199" si="95">F199+1</f>
        <v>2024</v>
      </c>
      <c r="H199" s="1861">
        <f t="shared" si="95"/>
        <v>2025</v>
      </c>
      <c r="I199" s="1861">
        <f t="shared" si="95"/>
        <v>2026</v>
      </c>
      <c r="J199" s="1861">
        <f t="shared" si="95"/>
        <v>2027</v>
      </c>
      <c r="K199" s="1861">
        <f t="shared" si="95"/>
        <v>2028</v>
      </c>
      <c r="L199" s="1861">
        <f t="shared" si="95"/>
        <v>2029</v>
      </c>
      <c r="M199" s="1861">
        <f t="shared" si="95"/>
        <v>2030</v>
      </c>
      <c r="N199" s="1861">
        <f t="shared" si="95"/>
        <v>2031</v>
      </c>
      <c r="O199" s="1861">
        <f t="shared" si="95"/>
        <v>2032</v>
      </c>
      <c r="P199" s="1861">
        <f t="shared" si="95"/>
        <v>2033</v>
      </c>
      <c r="Q199" s="498">
        <f t="shared" si="95"/>
        <v>2034</v>
      </c>
      <c r="R199" s="498">
        <f t="shared" si="95"/>
        <v>2035</v>
      </c>
      <c r="S199" s="498">
        <f t="shared" si="95"/>
        <v>2036</v>
      </c>
      <c r="T199" s="498">
        <f t="shared" si="95"/>
        <v>2037</v>
      </c>
      <c r="U199" s="498">
        <f t="shared" si="95"/>
        <v>2038</v>
      </c>
      <c r="V199" s="498">
        <f t="shared" si="95"/>
        <v>2039</v>
      </c>
      <c r="W199" s="498">
        <f t="shared" si="95"/>
        <v>2040</v>
      </c>
      <c r="X199" s="498">
        <f t="shared" si="95"/>
        <v>2041</v>
      </c>
      <c r="Y199" s="498">
        <f t="shared" si="95"/>
        <v>2042</v>
      </c>
      <c r="Z199" s="498">
        <f t="shared" si="95"/>
        <v>2043</v>
      </c>
      <c r="AA199" s="498">
        <f t="shared" si="95"/>
        <v>2044</v>
      </c>
      <c r="AB199" s="498">
        <f t="shared" si="95"/>
        <v>2045</v>
      </c>
      <c r="AC199" s="498">
        <f t="shared" si="95"/>
        <v>2046</v>
      </c>
      <c r="AD199" s="498">
        <f t="shared" si="95"/>
        <v>2047</v>
      </c>
      <c r="AE199" s="498">
        <f t="shared" si="95"/>
        <v>2048</v>
      </c>
      <c r="AF199" s="498">
        <f t="shared" si="95"/>
        <v>2049</v>
      </c>
      <c r="AG199" s="498">
        <f t="shared" si="95"/>
        <v>2050</v>
      </c>
      <c r="AH199" s="498">
        <f t="shared" si="95"/>
        <v>2051</v>
      </c>
      <c r="AI199" s="498">
        <f t="shared" si="95"/>
        <v>2052</v>
      </c>
      <c r="AJ199" s="498">
        <f t="shared" si="95"/>
        <v>2053</v>
      </c>
      <c r="AK199" s="498">
        <f t="shared" si="95"/>
        <v>2054</v>
      </c>
      <c r="AL199" s="498">
        <f t="shared" si="95"/>
        <v>2055</v>
      </c>
      <c r="AM199" s="498">
        <f t="shared" si="95"/>
        <v>2056</v>
      </c>
      <c r="AN199" s="498">
        <f t="shared" si="95"/>
        <v>2057</v>
      </c>
      <c r="AO199" s="498">
        <f t="shared" si="95"/>
        <v>2058</v>
      </c>
      <c r="AP199" s="498">
        <f t="shared" si="95"/>
        <v>2059</v>
      </c>
      <c r="AQ199" s="498">
        <f t="shared" si="95"/>
        <v>2060</v>
      </c>
      <c r="AR199" s="498">
        <f t="shared" si="95"/>
        <v>2061</v>
      </c>
      <c r="AS199" s="498">
        <f t="shared" si="95"/>
        <v>2062</v>
      </c>
      <c r="AT199" s="498">
        <f t="shared" si="95"/>
        <v>2063</v>
      </c>
    </row>
    <row r="200" spans="2:46" ht="17.45" customHeight="1" thickBot="1">
      <c r="B200" s="1863">
        <f ca="1">SUM(E200:L200)</f>
        <v>276165.68024678022</v>
      </c>
      <c r="C200" s="1862" t="s">
        <v>3642</v>
      </c>
      <c r="D200" s="1863">
        <f ca="1">SUM(E200:AT200)</f>
        <v>1579360.3027104274</v>
      </c>
      <c r="E200" s="1863">
        <f ca="1">SUMIFS('IS(Y)'!4:4,'IS(Y)'!$3:$3,E$199)*100</f>
        <v>38341.569806898297</v>
      </c>
      <c r="F200" s="1863">
        <f ca="1">SUMIFS('IS(Y)'!4:4,'IS(Y)'!$3:$3,F$199)*100</f>
        <v>40193.535940382557</v>
      </c>
      <c r="G200" s="1863">
        <f ca="1">SUMIFS('IS(Y)'!4:4,'IS(Y)'!$3:$3,G$199)*100</f>
        <v>41009.41347405548</v>
      </c>
      <c r="H200" s="1863">
        <f ca="1">SUMIFS('IS(Y)'!4:4,'IS(Y)'!$3:$3,H$199)*100</f>
        <v>34056.63764191154</v>
      </c>
      <c r="I200" s="1863">
        <f ca="1">SUMIFS('IS(Y)'!4:4,'IS(Y)'!$3:$3,I$199)*100</f>
        <v>28825.260350008019</v>
      </c>
      <c r="J200" s="1863">
        <f ca="1">SUMIFS('IS(Y)'!4:4,'IS(Y)'!$3:$3,J$199)*100</f>
        <v>30469.791429229521</v>
      </c>
      <c r="K200" s="1863">
        <f ca="1">SUMIFS('IS(Y)'!4:4,'IS(Y)'!$3:$3,K$199)*100</f>
        <v>31246.635293074774</v>
      </c>
      <c r="L200" s="1863">
        <f ca="1">SUMIFS('IS(Y)'!4:4,'IS(Y)'!$3:$3,L$199)*100</f>
        <v>32022.836311220046</v>
      </c>
      <c r="M200" s="1863">
        <f ca="1">SUMIFS('IS(Y)'!4:4,'IS(Y)'!$3:$3,M$199)*100</f>
        <v>33788.09966346428</v>
      </c>
      <c r="N200" s="1863">
        <f ca="1">SUMIFS('IS(Y)'!4:4,'IS(Y)'!$3:$3,N$199)*100</f>
        <v>34108.606694588518</v>
      </c>
      <c r="O200" s="1863">
        <f ca="1">SUMIFS('IS(Y)'!4:4,'IS(Y)'!$3:$3,O$199)*100</f>
        <v>34428.438737727767</v>
      </c>
      <c r="P200" s="1863">
        <f ca="1">SUMIFS('IS(Y)'!4:4,'IS(Y)'!$3:$3,P$199)*100</f>
        <v>35797.403863449123</v>
      </c>
      <c r="Q200" s="498">
        <f ca="1">SUMIFS('IS(Y)'!4:4,'IS(Y)'!$3:$3,Q$199)*100</f>
        <v>36127.540830497106</v>
      </c>
      <c r="R200" s="498">
        <f ca="1">SUMIFS('IS(Y)'!4:4,'IS(Y)'!$3:$3,R$199)*100</f>
        <v>36456.969060160831</v>
      </c>
      <c r="S200" s="498">
        <f ca="1">SUMIFS('IS(Y)'!4:4,'IS(Y)'!$3:$3,S$199)*100</f>
        <v>37898.347599860404</v>
      </c>
      <c r="T200" s="498">
        <f ca="1">SUMIFS('IS(Y)'!4:4,'IS(Y)'!$3:$3,T$199)*100</f>
        <v>38238.404137159327</v>
      </c>
      <c r="U200" s="498">
        <f ca="1">SUMIFS('IS(Y)'!4:4,'IS(Y)'!$3:$3,U$199)*100</f>
        <v>38577.71650020477</v>
      </c>
      <c r="V200" s="498">
        <f ca="1">SUMIFS('IS(Y)'!4:4,'IS(Y)'!$3:$3,V$199)*100</f>
        <v>40094.655224283095</v>
      </c>
      <c r="W200" s="498">
        <f ca="1">SUMIFS('IS(Y)'!4:4,'IS(Y)'!$3:$3,W$199)*100</f>
        <v>40444.929692002443</v>
      </c>
      <c r="X200" s="498">
        <f ca="1">SUMIFS('IS(Y)'!4:4,'IS(Y)'!$3:$3,X$199)*100</f>
        <v>40794.422776755673</v>
      </c>
      <c r="Y200" s="498">
        <f ca="1">SUMIFS('IS(Y)'!4:4,'IS(Y)'!$3:$3,Y$199)*100</f>
        <v>42390.193791473488</v>
      </c>
      <c r="Z200" s="498">
        <f ca="1">SUMIFS('IS(Y)'!4:4,'IS(Y)'!$3:$3,Z$199)*100</f>
        <v>42750.993539240982</v>
      </c>
      <c r="AA200" s="498">
        <f ca="1">SUMIFS('IS(Y)'!4:4,'IS(Y)'!$3:$3,AA$199)*100</f>
        <v>43110.972834894033</v>
      </c>
      <c r="AB200" s="498">
        <f ca="1">SUMIFS('IS(Y)'!4:4,'IS(Y)'!$3:$3,AB$199)*100</f>
        <v>44788.978355515981</v>
      </c>
      <c r="AC200" s="498">
        <f ca="1">SUMIFS('IS(Y)'!4:4,'IS(Y)'!$3:$3,AC$199)*100</f>
        <v>45160.61999403387</v>
      </c>
      <c r="AD200" s="498">
        <f ca="1">SUMIFS('IS(Y)'!4:4,'IS(Y)'!$3:$3,AD$199)*100</f>
        <v>45531.400157831587</v>
      </c>
      <c r="AE200" s="498">
        <f ca="1">SUMIFS('IS(Y)'!4:4,'IS(Y)'!$3:$3,AE$199)*100</f>
        <v>47295.177459610517</v>
      </c>
      <c r="AF200" s="498">
        <f ca="1">SUMIFS('IS(Y)'!4:4,'IS(Y)'!$3:$3,AF$199)*100</f>
        <v>47677.98714051718</v>
      </c>
      <c r="AG200" s="498">
        <f ca="1">SUMIFS('IS(Y)'!4:4,'IS(Y)'!$3:$3,AG$199)*100</f>
        <v>48059.892272967678</v>
      </c>
      <c r="AH200" s="498">
        <f ca="1">SUMIFS('IS(Y)'!4:4,'IS(Y)'!$3:$3,AH$199)*100</f>
        <v>49913.118826556863</v>
      </c>
      <c r="AI200" s="498">
        <f ca="1">SUMIFS('IS(Y)'!4:4,'IS(Y)'!$3:$3,AI$199)*100</f>
        <v>50307.432530785634</v>
      </c>
      <c r="AJ200" s="498">
        <f ca="1">SUMIFS('IS(Y)'!4:4,'IS(Y)'!$3:$3,AJ$199)*100</f>
        <v>50700.796459135432</v>
      </c>
      <c r="AK200" s="498">
        <f ca="1">SUMIFS('IS(Y)'!4:4,'IS(Y)'!$3:$3,AK$199)*100</f>
        <v>52647.295257261918</v>
      </c>
      <c r="AL200" s="498">
        <f ca="1">SUMIFS('IS(Y)'!4:4,'IS(Y)'!$3:$3,AL$199)*100</f>
        <v>53053.459092157209</v>
      </c>
      <c r="AM200" s="498">
        <f ca="1">SUMIFS('IS(Y)'!4:4,'IS(Y)'!$3:$3,AM$199)*100</f>
        <v>53458.625662379585</v>
      </c>
      <c r="AN200" s="498">
        <f ca="1">SUMIFS('IS(Y)'!4:4,'IS(Y)'!$3:$3,AN$199)*100</f>
        <v>55502.370744866959</v>
      </c>
      <c r="AO200" s="498">
        <f ca="1">SUMIFS('IS(Y)'!4:4,'IS(Y)'!$3:$3,AO$199)*100</f>
        <v>55920.741250325736</v>
      </c>
      <c r="AP200" s="498">
        <f ca="1">SUMIFS('IS(Y)'!4:4,'IS(Y)'!$3:$3,AP$199)*100</f>
        <v>28169.032313938977</v>
      </c>
      <c r="AQ200" s="498">
        <f>SUMIFS('IS(Y)'!4:4,'IS(Y)'!$3:$3,AQ$199)*100</f>
        <v>0</v>
      </c>
      <c r="AR200" s="498">
        <f>SUMIFS('IS(Y)'!4:4,'IS(Y)'!$3:$3,AR$199)*100</f>
        <v>0</v>
      </c>
      <c r="AS200" s="498">
        <f>SUMIFS('IS(Y)'!4:4,'IS(Y)'!$3:$3,AS$199)*100</f>
        <v>0</v>
      </c>
      <c r="AT200" s="498">
        <f>SUMIFS('IS(Y)'!4:4,'IS(Y)'!$3:$3,AT$199)*100</f>
        <v>0</v>
      </c>
    </row>
    <row r="201" spans="2:46" ht="17.45" customHeight="1" thickBot="1">
      <c r="B201" s="1863">
        <f t="shared" ref="B201:B218" ca="1" si="96">SUM(E201:L201)</f>
        <v>208525.97645669474</v>
      </c>
      <c r="C201" s="1847" t="s">
        <v>3643</v>
      </c>
      <c r="D201" s="1863">
        <f t="shared" ref="D201:D218" ca="1" si="97">SUM(E201:AT201)</f>
        <v>1421883.372834041</v>
      </c>
      <c r="E201" s="1863">
        <f>SUMIFS('IS(Y)'!5:5,'IS(Y)'!$3:$3,E$199)*100</f>
        <v>22043.318867892762</v>
      </c>
      <c r="F201" s="1863">
        <f ca="1">SUMIFS('IS(Y)'!5:5,'IS(Y)'!$3:$3,F$199)*100</f>
        <v>23470.089984000002</v>
      </c>
      <c r="G201" s="1863">
        <f ca="1">SUMIFS('IS(Y)'!5:5,'IS(Y)'!$3:$3,G$199)*100</f>
        <v>24866.707026110409</v>
      </c>
      <c r="H201" s="1863">
        <f ca="1">SUMIFS('IS(Y)'!5:5,'IS(Y)'!$3:$3,H$199)*100</f>
        <v>25620.243602659208</v>
      </c>
      <c r="I201" s="1863">
        <f ca="1">SUMIFS('IS(Y)'!5:5,'IS(Y)'!$3:$3,I$199)*100</f>
        <v>26373.780179208014</v>
      </c>
      <c r="J201" s="1863">
        <f ca="1">SUMIFS('IS(Y)'!5:5,'IS(Y)'!$3:$3,J$199)*100</f>
        <v>27941.136258429513</v>
      </c>
      <c r="K201" s="1863">
        <f ca="1">SUMIFS('IS(Y)'!5:5,'IS(Y)'!$3:$3,K$199)*100</f>
        <v>28717.278932274774</v>
      </c>
      <c r="L201" s="1863">
        <f ca="1">SUMIFS('IS(Y)'!5:5,'IS(Y)'!$3:$3,L$199)*100</f>
        <v>29493.421606120039</v>
      </c>
      <c r="M201" s="1863">
        <f ca="1">SUMIFS('IS(Y)'!5:5,'IS(Y)'!$3:$3,M$199)*100</f>
        <v>31177.651208364274</v>
      </c>
      <c r="N201" s="1863">
        <f ca="1">SUMIFS('IS(Y)'!5:5,'IS(Y)'!$3:$3,N$199)*100</f>
        <v>31497.421989988514</v>
      </c>
      <c r="O201" s="1863">
        <f ca="1">SUMIFS('IS(Y)'!5:5,'IS(Y)'!$3:$3,O$199)*100</f>
        <v>31817.192771612765</v>
      </c>
      <c r="P201" s="1863">
        <f ca="1">SUMIFS('IS(Y)'!5:5,'IS(Y)'!$3:$3,P$199)*100</f>
        <v>33101.072459834126</v>
      </c>
      <c r="Q201" s="498">
        <f ca="1">SUMIFS('IS(Y)'!5:5,'IS(Y)'!$3:$3,Q$199)*100</f>
        <v>33430.436364907102</v>
      </c>
      <c r="R201" s="498">
        <f ca="1">SUMIFS('IS(Y)'!5:5,'IS(Y)'!$3:$3,R$199)*100</f>
        <v>33759.800269980078</v>
      </c>
      <c r="S201" s="498">
        <f ca="1">SUMIFS('IS(Y)'!5:5,'IS(Y)'!$3:$3,S$199)*100</f>
        <v>35111.839100304649</v>
      </c>
      <c r="T201" s="498">
        <f ca="1">SUMIFS('IS(Y)'!5:5,'IS(Y)'!$3:$3,T$199)*100</f>
        <v>35451.083922529819</v>
      </c>
      <c r="U201" s="498">
        <f ca="1">SUMIFS('IS(Y)'!5:5,'IS(Y)'!$3:$3,U$199)*100</f>
        <v>35790.328744754974</v>
      </c>
      <c r="V201" s="498">
        <f ca="1">SUMIFS('IS(Y)'!5:5,'IS(Y)'!$3:$3,V$199)*100</f>
        <v>37213.460773989551</v>
      </c>
      <c r="W201" s="498">
        <f ca="1">SUMIFS('IS(Y)'!5:5,'IS(Y)'!$3:$3,W$199)*100</f>
        <v>37562.882940881471</v>
      </c>
      <c r="X201" s="498">
        <f ca="1">SUMIFS('IS(Y)'!5:5,'IS(Y)'!$3:$3,X$199)*100</f>
        <v>37912.305107773391</v>
      </c>
      <c r="Y201" s="498">
        <f ca="1">SUMIFS('IS(Y)'!5:5,'IS(Y)'!$3:$3,Y$199)*100</f>
        <v>39409.579092905275</v>
      </c>
      <c r="Z201" s="498">
        <f ca="1">SUMIFS('IS(Y)'!5:5,'IS(Y)'!$3:$3,Z$199)*100</f>
        <v>39769.483924803957</v>
      </c>
      <c r="AA201" s="498">
        <f ca="1">SUMIFS('IS(Y)'!5:5,'IS(Y)'!$3:$3,AA$199)*100</f>
        <v>40129.38875670264</v>
      </c>
      <c r="AB201" s="498">
        <f ca="1">SUMIFS('IS(Y)'!5:5,'IS(Y)'!$3:$3,AB$199)*100</f>
        <v>41703.972396259356</v>
      </c>
      <c r="AC201" s="498">
        <f ca="1">SUMIFS('IS(Y)'!5:5,'IS(Y)'!$3:$3,AC$199)*100</f>
        <v>42074.674373114991</v>
      </c>
      <c r="AD201" s="498">
        <f ca="1">SUMIFS('IS(Y)'!5:5,'IS(Y)'!$3:$3,AD$199)*100</f>
        <v>42445.376349970626</v>
      </c>
      <c r="AE201" s="498">
        <f ca="1">SUMIFS('IS(Y)'!5:5,'IS(Y)'!$3:$3,AE$199)*100</f>
        <v>44100.560676631059</v>
      </c>
      <c r="AF201" s="498">
        <f ca="1">SUMIFS('IS(Y)'!5:5,'IS(Y)'!$3:$3,AF$199)*100</f>
        <v>44482.383712792362</v>
      </c>
      <c r="AG201" s="498">
        <f ca="1">SUMIFS('IS(Y)'!5:5,'IS(Y)'!$3:$3,AG$199)*100</f>
        <v>44864.206748953664</v>
      </c>
      <c r="AH201" s="498">
        <f ca="1">SUMIFS('IS(Y)'!5:5,'IS(Y)'!$3:$3,AH$199)*100</f>
        <v>46603.410678668435</v>
      </c>
      <c r="AI201" s="498">
        <f ca="1">SUMIFS('IS(Y)'!5:5,'IS(Y)'!$3:$3,AI$199)*100</f>
        <v>46996.688405914574</v>
      </c>
      <c r="AJ201" s="498">
        <f ca="1">SUMIFS('IS(Y)'!5:5,'IS(Y)'!$3:$3,AJ$199)*100</f>
        <v>47389.96613316072</v>
      </c>
      <c r="AK201" s="498">
        <f ca="1">SUMIFS('IS(Y)'!5:5,'IS(Y)'!$3:$3,AK$199)*100</f>
        <v>49216.741176219068</v>
      </c>
      <c r="AL201" s="498">
        <f ca="1">SUMIFS('IS(Y)'!5:5,'IS(Y)'!$3:$3,AL$199)*100</f>
        <v>49621.8172352826</v>
      </c>
      <c r="AM201" s="498">
        <f ca="1">SUMIFS('IS(Y)'!5:5,'IS(Y)'!$3:$3,AM$199)*100</f>
        <v>50026.89329434614</v>
      </c>
      <c r="AN201" s="498">
        <f ca="1">SUMIFS('IS(Y)'!5:5,'IS(Y)'!$3:$3,AN$199)*100</f>
        <v>51944.928434011956</v>
      </c>
      <c r="AO201" s="498">
        <f ca="1">SUMIFS('IS(Y)'!5:5,'IS(Y)'!$3:$3,AO$199)*100</f>
        <v>52362.15677484739</v>
      </c>
      <c r="AP201" s="498">
        <f ca="1">SUMIFS('IS(Y)'!5:5,'IS(Y)'!$3:$3,AP$199)*100</f>
        <v>26389.692557841416</v>
      </c>
      <c r="AQ201" s="498">
        <f>SUMIFS('IS(Y)'!5:5,'IS(Y)'!$3:$3,AQ$199)*100</f>
        <v>0</v>
      </c>
      <c r="AR201" s="498">
        <f>SUMIFS('IS(Y)'!5:5,'IS(Y)'!$3:$3,AR$199)*100</f>
        <v>0</v>
      </c>
      <c r="AS201" s="498">
        <f>SUMIFS('IS(Y)'!5:5,'IS(Y)'!$3:$3,AS$199)*100</f>
        <v>0</v>
      </c>
      <c r="AT201" s="498">
        <f>SUMIFS('IS(Y)'!5:5,'IS(Y)'!$3:$3,AT$199)*100</f>
        <v>0</v>
      </c>
    </row>
    <row r="202" spans="2:46" ht="17.45" customHeight="1" thickBot="1">
      <c r="B202" s="1863">
        <f t="shared" ca="1" si="96"/>
        <v>22483.096066700033</v>
      </c>
      <c r="C202" s="1847" t="s">
        <v>3644</v>
      </c>
      <c r="D202" s="1863">
        <f t="shared" ca="1" si="97"/>
        <v>112320.32215300006</v>
      </c>
      <c r="E202" s="1863">
        <f ca="1">(E200-E201-E203)</f>
        <v>3557.3054848000011</v>
      </c>
      <c r="F202" s="1863">
        <f t="shared" ref="F202:AT202" ca="1" si="98">(F200-F201-F203)</f>
        <v>3266.6686848000027</v>
      </c>
      <c r="G202" s="1863">
        <f t="shared" ca="1" si="98"/>
        <v>3168.7908848000043</v>
      </c>
      <c r="H202" s="1863">
        <f t="shared" ca="1" si="98"/>
        <v>2451.4246048000032</v>
      </c>
      <c r="I202" s="1863">
        <f t="shared" ca="1" si="98"/>
        <v>2451.480170800005</v>
      </c>
      <c r="J202" s="1863">
        <f t="shared" ca="1" si="98"/>
        <v>2528.6551708000079</v>
      </c>
      <c r="K202" s="1863">
        <f t="shared" ca="1" si="98"/>
        <v>2529.3563608000004</v>
      </c>
      <c r="L202" s="1863">
        <f t="shared" ca="1" si="98"/>
        <v>2529.4147051000073</v>
      </c>
      <c r="M202" s="1863">
        <f t="shared" ca="1" si="98"/>
        <v>2610.448455100006</v>
      </c>
      <c r="N202" s="1863">
        <f t="shared" ca="1" si="98"/>
        <v>2611.1847046000039</v>
      </c>
      <c r="O202" s="1863">
        <f t="shared" ca="1" si="98"/>
        <v>2611.2459661150024</v>
      </c>
      <c r="P202" s="1863">
        <f t="shared" ca="1" si="98"/>
        <v>2696.3314036149968</v>
      </c>
      <c r="Q202" s="498">
        <f t="shared" ca="1" si="98"/>
        <v>2697.1044655900041</v>
      </c>
      <c r="R202" s="498">
        <f t="shared" ca="1" si="98"/>
        <v>2697.1687901807527</v>
      </c>
      <c r="S202" s="498">
        <f t="shared" ca="1" si="98"/>
        <v>2786.5084995557554</v>
      </c>
      <c r="T202" s="498">
        <f t="shared" ca="1" si="98"/>
        <v>2787.320214629508</v>
      </c>
      <c r="U202" s="498">
        <f t="shared" ca="1" si="98"/>
        <v>2787.3877554497958</v>
      </c>
      <c r="V202" s="498">
        <f t="shared" ca="1" si="98"/>
        <v>2881.1944502935439</v>
      </c>
      <c r="W202" s="498">
        <f t="shared" ca="1" si="98"/>
        <v>2882.0467511209717</v>
      </c>
      <c r="X202" s="498">
        <f t="shared" ca="1" si="98"/>
        <v>2882.1176689822823</v>
      </c>
      <c r="Y202" s="498">
        <f t="shared" ca="1" si="98"/>
        <v>2980.6146985682135</v>
      </c>
      <c r="Z202" s="498">
        <f t="shared" ca="1" si="98"/>
        <v>2981.5096144370254</v>
      </c>
      <c r="AA202" s="498">
        <f t="shared" ca="1" si="98"/>
        <v>2981.5840781913939</v>
      </c>
      <c r="AB202" s="498">
        <f t="shared" ca="1" si="98"/>
        <v>3085.0059592566249</v>
      </c>
      <c r="AC202" s="498">
        <f t="shared" ca="1" si="98"/>
        <v>3085.9456209188793</v>
      </c>
      <c r="AD202" s="498">
        <f t="shared" ca="1" si="98"/>
        <v>3086.0238078609618</v>
      </c>
      <c r="AE202" s="498">
        <f t="shared" ca="1" si="98"/>
        <v>3194.6167829794576</v>
      </c>
      <c r="AF202" s="498">
        <f t="shared" ca="1" si="98"/>
        <v>3195.6034277248182</v>
      </c>
      <c r="AG202" s="498">
        <f t="shared" ca="1" si="98"/>
        <v>3195.6855240140139</v>
      </c>
      <c r="AH202" s="498">
        <f t="shared" ca="1" si="98"/>
        <v>3309.7081478884284</v>
      </c>
      <c r="AI202" s="498">
        <f t="shared" ca="1" si="98"/>
        <v>3310.7441248710602</v>
      </c>
      <c r="AJ202" s="498">
        <f t="shared" ca="1" si="98"/>
        <v>3310.8303259747117</v>
      </c>
      <c r="AK202" s="498">
        <f t="shared" ca="1" si="98"/>
        <v>3430.5540810428502</v>
      </c>
      <c r="AL202" s="498">
        <f t="shared" ca="1" si="98"/>
        <v>3431.6418568746085</v>
      </c>
      <c r="AM202" s="498">
        <f t="shared" ca="1" si="98"/>
        <v>3431.7323680334448</v>
      </c>
      <c r="AN202" s="498">
        <f t="shared" ca="1" si="98"/>
        <v>3557.4423108550036</v>
      </c>
      <c r="AO202" s="498">
        <f t="shared" ca="1" si="98"/>
        <v>3558.5844754783466</v>
      </c>
      <c r="AP202" s="498">
        <f t="shared" ca="1" si="98"/>
        <v>1779.3397560975609</v>
      </c>
      <c r="AQ202" s="498">
        <f t="shared" si="98"/>
        <v>0</v>
      </c>
      <c r="AR202" s="498">
        <f t="shared" si="98"/>
        <v>0</v>
      </c>
      <c r="AS202" s="498">
        <f t="shared" si="98"/>
        <v>0</v>
      </c>
      <c r="AT202" s="498">
        <f t="shared" si="98"/>
        <v>0</v>
      </c>
    </row>
    <row r="203" spans="2:46" ht="17.45" customHeight="1" thickBot="1">
      <c r="B203" s="1863">
        <f t="shared" ca="1" si="96"/>
        <v>45156.607723385488</v>
      </c>
      <c r="C203" s="1847" t="s">
        <v>3645</v>
      </c>
      <c r="D203" s="1863">
        <f t="shared" ca="1" si="97"/>
        <v>45156.607723385488</v>
      </c>
      <c r="E203" s="1863">
        <f ca="1">SUMIFS('IS(Y)'!11:11,'IS(Y)'!$3:$3,E$199)*100</f>
        <v>12740.945454205534</v>
      </c>
      <c r="F203" s="1863">
        <f ca="1">SUMIFS('IS(Y)'!11:11,'IS(Y)'!$3:$3,F$199)*100</f>
        <v>13456.777271582552</v>
      </c>
      <c r="G203" s="1863">
        <f ca="1">SUMIFS('IS(Y)'!11:11,'IS(Y)'!$3:$3,G$199)*100</f>
        <v>12973.915563145067</v>
      </c>
      <c r="H203" s="1863">
        <f ca="1">SUMIFS('IS(Y)'!11:11,'IS(Y)'!$3:$3,H$199)*100</f>
        <v>5984.9694344523296</v>
      </c>
      <c r="I203" s="1863">
        <f>SUMIFS('IS(Y)'!11:11,'IS(Y)'!$3:$3,I$199)*100</f>
        <v>0</v>
      </c>
      <c r="J203" s="1863">
        <f>SUMIFS('IS(Y)'!11:11,'IS(Y)'!$3:$3,J$199)*100</f>
        <v>0</v>
      </c>
      <c r="K203" s="1863">
        <f>SUMIFS('IS(Y)'!11:11,'IS(Y)'!$3:$3,K$199)*100</f>
        <v>0</v>
      </c>
      <c r="L203" s="1863">
        <f>SUMIFS('IS(Y)'!11:11,'IS(Y)'!$3:$3,L$199)*100</f>
        <v>0</v>
      </c>
      <c r="M203" s="1863">
        <f>SUMIFS('IS(Y)'!11:11,'IS(Y)'!$3:$3,M$199)*100</f>
        <v>0</v>
      </c>
      <c r="N203" s="1863">
        <f>SUMIFS('IS(Y)'!11:11,'IS(Y)'!$3:$3,N$199)*100</f>
        <v>0</v>
      </c>
      <c r="O203" s="1863">
        <f>SUMIFS('IS(Y)'!11:11,'IS(Y)'!$3:$3,O$199)*100</f>
        <v>0</v>
      </c>
      <c r="P203" s="1863">
        <f>SUMIFS('IS(Y)'!11:11,'IS(Y)'!$3:$3,P$199)*100</f>
        <v>0</v>
      </c>
      <c r="Q203" s="498">
        <f>SUMIFS('IS(Y)'!11:11,'IS(Y)'!$3:$3,Q$199)*100</f>
        <v>0</v>
      </c>
      <c r="R203" s="498">
        <f>SUMIFS('IS(Y)'!11:11,'IS(Y)'!$3:$3,R$199)*100</f>
        <v>0</v>
      </c>
      <c r="S203" s="498">
        <f>SUMIFS('IS(Y)'!11:11,'IS(Y)'!$3:$3,S$199)*100</f>
        <v>0</v>
      </c>
      <c r="T203" s="498">
        <f>SUMIFS('IS(Y)'!11:11,'IS(Y)'!$3:$3,T$199)*100</f>
        <v>0</v>
      </c>
      <c r="U203" s="498">
        <f>SUMIFS('IS(Y)'!11:11,'IS(Y)'!$3:$3,U$199)*100</f>
        <v>0</v>
      </c>
      <c r="V203" s="498">
        <f>SUMIFS('IS(Y)'!11:11,'IS(Y)'!$3:$3,V$199)*100</f>
        <v>0</v>
      </c>
      <c r="W203" s="498">
        <f>SUMIFS('IS(Y)'!11:11,'IS(Y)'!$3:$3,W$199)*100</f>
        <v>0</v>
      </c>
      <c r="X203" s="498">
        <f>SUMIFS('IS(Y)'!11:11,'IS(Y)'!$3:$3,X$199)*100</f>
        <v>0</v>
      </c>
      <c r="Y203" s="498">
        <f>SUMIFS('IS(Y)'!11:11,'IS(Y)'!$3:$3,Y$199)*100</f>
        <v>0</v>
      </c>
      <c r="Z203" s="498">
        <f>SUMIFS('IS(Y)'!11:11,'IS(Y)'!$3:$3,Z$199)*100</f>
        <v>0</v>
      </c>
      <c r="AA203" s="498">
        <f>SUMIFS('IS(Y)'!11:11,'IS(Y)'!$3:$3,AA$199)*100</f>
        <v>0</v>
      </c>
      <c r="AB203" s="498">
        <f>SUMIFS('IS(Y)'!11:11,'IS(Y)'!$3:$3,AB$199)*100</f>
        <v>0</v>
      </c>
      <c r="AC203" s="498">
        <f>SUMIFS('IS(Y)'!11:11,'IS(Y)'!$3:$3,AC$199)*100</f>
        <v>0</v>
      </c>
      <c r="AD203" s="498">
        <f>SUMIFS('IS(Y)'!11:11,'IS(Y)'!$3:$3,AD$199)*100</f>
        <v>0</v>
      </c>
      <c r="AE203" s="498">
        <f>SUMIFS('IS(Y)'!11:11,'IS(Y)'!$3:$3,AE$199)*100</f>
        <v>0</v>
      </c>
      <c r="AF203" s="498">
        <f>SUMIFS('IS(Y)'!11:11,'IS(Y)'!$3:$3,AF$199)*100</f>
        <v>0</v>
      </c>
      <c r="AG203" s="498">
        <f>SUMIFS('IS(Y)'!11:11,'IS(Y)'!$3:$3,AG$199)*100</f>
        <v>0</v>
      </c>
      <c r="AH203" s="498">
        <f>SUMIFS('IS(Y)'!11:11,'IS(Y)'!$3:$3,AH$199)*100</f>
        <v>0</v>
      </c>
      <c r="AI203" s="498">
        <f>SUMIFS('IS(Y)'!11:11,'IS(Y)'!$3:$3,AI$199)*100</f>
        <v>0</v>
      </c>
      <c r="AJ203" s="498">
        <f>SUMIFS('IS(Y)'!11:11,'IS(Y)'!$3:$3,AJ$199)*100</f>
        <v>0</v>
      </c>
      <c r="AK203" s="498">
        <f>SUMIFS('IS(Y)'!11:11,'IS(Y)'!$3:$3,AK$199)*100</f>
        <v>0</v>
      </c>
      <c r="AL203" s="498">
        <f>SUMIFS('IS(Y)'!11:11,'IS(Y)'!$3:$3,AL$199)*100</f>
        <v>0</v>
      </c>
      <c r="AM203" s="498">
        <f>SUMIFS('IS(Y)'!11:11,'IS(Y)'!$3:$3,AM$199)*100</f>
        <v>0</v>
      </c>
      <c r="AN203" s="498">
        <f>SUMIFS('IS(Y)'!11:11,'IS(Y)'!$3:$3,AN$199)*100</f>
        <v>0</v>
      </c>
      <c r="AO203" s="498">
        <f>SUMIFS('IS(Y)'!11:11,'IS(Y)'!$3:$3,AO$199)*100</f>
        <v>0</v>
      </c>
      <c r="AP203" s="498">
        <f>SUMIFS('IS(Y)'!11:11,'IS(Y)'!$3:$3,AP$199)*100</f>
        <v>0</v>
      </c>
      <c r="AQ203" s="498">
        <f>SUMIFS('IS(Y)'!11:11,'IS(Y)'!$3:$3,AQ$199)*100</f>
        <v>0</v>
      </c>
      <c r="AR203" s="498">
        <f>SUMIFS('IS(Y)'!11:11,'IS(Y)'!$3:$3,AR$199)*100</f>
        <v>0</v>
      </c>
      <c r="AS203" s="498">
        <f>SUMIFS('IS(Y)'!11:11,'IS(Y)'!$3:$3,AS$199)*100</f>
        <v>0</v>
      </c>
      <c r="AT203" s="498">
        <f>SUMIFS('IS(Y)'!11:11,'IS(Y)'!$3:$3,AT$199)*100</f>
        <v>0</v>
      </c>
    </row>
    <row r="204" spans="2:46" ht="17.45" customHeight="1" thickBot="1">
      <c r="B204" s="1863">
        <f t="shared" ca="1" si="96"/>
        <v>221472.8686602927</v>
      </c>
      <c r="C204" s="1862" t="s">
        <v>247</v>
      </c>
      <c r="D204" s="1863">
        <f t="shared" ca="1" si="97"/>
        <v>1306224.1888101981</v>
      </c>
      <c r="E204" s="1863">
        <f ca="1">SUMIFS('IS(Y)'!12:12,'IS(Y)'!$3:$3,E$199)*100</f>
        <v>26246.241630391829</v>
      </c>
      <c r="F204" s="1863">
        <f ca="1">SUMIFS('IS(Y)'!12:12,'IS(Y)'!$3:$3,F$199)*100</f>
        <v>26611.651354622838</v>
      </c>
      <c r="G204" s="1863">
        <f ca="1">SUMIFS('IS(Y)'!12:12,'IS(Y)'!$3:$3,G$199)*100</f>
        <v>26914.088939274206</v>
      </c>
      <c r="H204" s="1863">
        <f ca="1">SUMIFS('IS(Y)'!12:12,'IS(Y)'!$3:$3,H$199)*100</f>
        <v>27324.462727151615</v>
      </c>
      <c r="I204" s="1863">
        <f ca="1">SUMIFS('IS(Y)'!12:12,'IS(Y)'!$3:$3,I$199)*100</f>
        <v>27582.844056042137</v>
      </c>
      <c r="J204" s="1863">
        <f ca="1">SUMIFS('IS(Y)'!12:12,'IS(Y)'!$3:$3,J$199)*100</f>
        <v>28249.314121137802</v>
      </c>
      <c r="K204" s="1863">
        <f ca="1">SUMIFS('IS(Y)'!12:12,'IS(Y)'!$3:$3,K$199)*100</f>
        <v>28697.283238946147</v>
      </c>
      <c r="L204" s="1863">
        <f ca="1">SUMIFS('IS(Y)'!12:12,'IS(Y)'!$3:$3,L$199)*100</f>
        <v>29846.982592726119</v>
      </c>
      <c r="M204" s="1863">
        <f ca="1">SUMIFS('IS(Y)'!12:12,'IS(Y)'!$3:$3,M$199)*100</f>
        <v>29776.984240047095</v>
      </c>
      <c r="N204" s="1863">
        <f ca="1">SUMIFS('IS(Y)'!12:12,'IS(Y)'!$3:$3,N$199)*100</f>
        <v>30605.41908096907</v>
      </c>
      <c r="O204" s="1863">
        <f ca="1">SUMIFS('IS(Y)'!12:12,'IS(Y)'!$3:$3,O$199)*100</f>
        <v>30704.185567587367</v>
      </c>
      <c r="P204" s="1863">
        <f ca="1">SUMIFS('IS(Y)'!12:12,'IS(Y)'!$3:$3,P$199)*100</f>
        <v>31185.48537127499</v>
      </c>
      <c r="Q204" s="498">
        <f ca="1">SUMIFS('IS(Y)'!12:12,'IS(Y)'!$3:$3,Q$199)*100</f>
        <v>31575.36019044448</v>
      </c>
      <c r="R204" s="498">
        <f ca="1">SUMIFS('IS(Y)'!12:12,'IS(Y)'!$3:$3,R$199)*100</f>
        <v>32575.566546980845</v>
      </c>
      <c r="S204" s="498">
        <f ca="1">SUMIFS('IS(Y)'!12:12,'IS(Y)'!$3:$3,S$199)*100</f>
        <v>32791.360052374963</v>
      </c>
      <c r="T204" s="498">
        <f ca="1">SUMIFS('IS(Y)'!12:12,'IS(Y)'!$3:$3,T$199)*100</f>
        <v>33365.983271377147</v>
      </c>
      <c r="U204" s="498">
        <f ca="1">SUMIFS('IS(Y)'!12:12,'IS(Y)'!$3:$3,U$199)*100</f>
        <v>34223.338256666182</v>
      </c>
      <c r="V204" s="498">
        <f ca="1">SUMIFS('IS(Y)'!12:12,'IS(Y)'!$3:$3,V$199)*100</f>
        <v>35660.82978630258</v>
      </c>
      <c r="W204" s="498">
        <f ca="1">SUMIFS('IS(Y)'!12:12,'IS(Y)'!$3:$3,W$199)*100</f>
        <v>34344.208904498933</v>
      </c>
      <c r="X204" s="498">
        <f ca="1">SUMIFS('IS(Y)'!12:12,'IS(Y)'!$3:$3,X$199)*100</f>
        <v>34289.300243420097</v>
      </c>
      <c r="Y204" s="498">
        <f ca="1">SUMIFS('IS(Y)'!12:12,'IS(Y)'!$3:$3,Y$199)*100</f>
        <v>34183.398430696398</v>
      </c>
      <c r="Z204" s="498">
        <f ca="1">SUMIFS('IS(Y)'!12:12,'IS(Y)'!$3:$3,Z$199)*100</f>
        <v>34764.632955313493</v>
      </c>
      <c r="AA204" s="498">
        <f ca="1">SUMIFS('IS(Y)'!12:12,'IS(Y)'!$3:$3,AA$199)*100</f>
        <v>35056.501184831461</v>
      </c>
      <c r="AB204" s="498">
        <f ca="1">SUMIFS('IS(Y)'!12:12,'IS(Y)'!$3:$3,AB$199)*100</f>
        <v>35903.627693310424</v>
      </c>
      <c r="AC204" s="498">
        <f ca="1">SUMIFS('IS(Y)'!12:12,'IS(Y)'!$3:$3,AC$199)*100</f>
        <v>35919.52374028138</v>
      </c>
      <c r="AD204" s="498">
        <f ca="1">SUMIFS('IS(Y)'!12:12,'IS(Y)'!$3:$3,AD$199)*100</f>
        <v>36858.077936033427</v>
      </c>
      <c r="AE204" s="498">
        <f ca="1">SUMIFS('IS(Y)'!12:12,'IS(Y)'!$3:$3,AE$199)*100</f>
        <v>37460.864507159429</v>
      </c>
      <c r="AF204" s="498">
        <f ca="1">SUMIFS('IS(Y)'!12:12,'IS(Y)'!$3:$3,AF$199)*100</f>
        <v>38833.782129978274</v>
      </c>
      <c r="AG204" s="498">
        <f ca="1">SUMIFS('IS(Y)'!12:12,'IS(Y)'!$3:$3,AG$199)*100</f>
        <v>38502.448879017786</v>
      </c>
      <c r="AH204" s="498">
        <f ca="1">SUMIFS('IS(Y)'!12:12,'IS(Y)'!$3:$3,AH$199)*100</f>
        <v>39146.815687363458</v>
      </c>
      <c r="AI204" s="498">
        <f ca="1">SUMIFS('IS(Y)'!12:12,'IS(Y)'!$3:$3,AI$199)*100</f>
        <v>39882.198194931661</v>
      </c>
      <c r="AJ204" s="498">
        <f ca="1">SUMIFS('IS(Y)'!12:12,'IS(Y)'!$3:$3,AJ$199)*100</f>
        <v>40193.488113737098</v>
      </c>
      <c r="AK204" s="498">
        <f ca="1">SUMIFS('IS(Y)'!12:12,'IS(Y)'!$3:$3,AK$199)*100</f>
        <v>40452.411736740702</v>
      </c>
      <c r="AL204" s="498">
        <f ca="1">SUMIFS('IS(Y)'!12:12,'IS(Y)'!$3:$3,AL$199)*100</f>
        <v>40818.927870975735</v>
      </c>
      <c r="AM204" s="498">
        <f ca="1">SUMIFS('IS(Y)'!12:12,'IS(Y)'!$3:$3,AM$199)*100</f>
        <v>40954.859769576986</v>
      </c>
      <c r="AN204" s="498">
        <f ca="1">SUMIFS('IS(Y)'!12:12,'IS(Y)'!$3:$3,AN$199)*100</f>
        <v>41939.345583120135</v>
      </c>
      <c r="AO204" s="498">
        <f ca="1">SUMIFS('IS(Y)'!12:12,'IS(Y)'!$3:$3,AO$199)*100</f>
        <v>42215.600671853463</v>
      </c>
      <c r="AP204" s="498">
        <f ca="1">SUMIFS('IS(Y)'!12:12,'IS(Y)'!$3:$3,AP$199)*100</f>
        <v>40566.79355304037</v>
      </c>
      <c r="AQ204" s="498">
        <f ca="1">SUMIFS('IS(Y)'!12:12,'IS(Y)'!$3:$3,AQ$199)*100</f>
        <v>0</v>
      </c>
      <c r="AR204" s="498">
        <f ca="1">SUMIFS('IS(Y)'!12:12,'IS(Y)'!$3:$3,AR$199)*100</f>
        <v>0</v>
      </c>
      <c r="AS204" s="498">
        <f ca="1">SUMIFS('IS(Y)'!12:12,'IS(Y)'!$3:$3,AS$199)*100</f>
        <v>0</v>
      </c>
      <c r="AT204" s="498">
        <f ca="1">SUMIFS('IS(Y)'!12:12,'IS(Y)'!$3:$3,AT$199)*100</f>
        <v>0</v>
      </c>
    </row>
    <row r="205" spans="2:46" ht="17.45" customHeight="1" thickBot="1">
      <c r="B205" s="1863">
        <f t="shared" ca="1" si="96"/>
        <v>174592.59133892535</v>
      </c>
      <c r="C205" s="1847" t="s">
        <v>251</v>
      </c>
      <c r="D205" s="1863">
        <f t="shared" ca="1" si="97"/>
        <v>1057206.2000115807</v>
      </c>
      <c r="E205" s="1863">
        <f ca="1">SUMIFS('IS(Y)'!13:13,'IS(Y)'!$3:$3,E$199)*100+SUMIFS('IS(Y)'!14:14,'IS(Y)'!$3:$3,E$199)*100</f>
        <v>20474.169147021697</v>
      </c>
      <c r="F205" s="1863">
        <f ca="1">SUMIFS('IS(Y)'!13:13,'IS(Y)'!$3:$3,F$199)*100+SUMIFS('IS(Y)'!14:14,'IS(Y)'!$3:$3,F$199)*100</f>
        <v>20879.578871252703</v>
      </c>
      <c r="G205" s="1863">
        <f ca="1">SUMIFS('IS(Y)'!13:13,'IS(Y)'!$3:$3,G$199)*100+SUMIFS('IS(Y)'!14:14,'IS(Y)'!$3:$3,G$199)*100</f>
        <v>21182.016455904075</v>
      </c>
      <c r="H205" s="1863">
        <f ca="1">SUMIFS('IS(Y)'!13:13,'IS(Y)'!$3:$3,H$199)*100+SUMIFS('IS(Y)'!14:14,'IS(Y)'!$3:$3,H$199)*100</f>
        <v>21576.781183631487</v>
      </c>
      <c r="I205" s="1863">
        <f ca="1">SUMIFS('IS(Y)'!13:13,'IS(Y)'!$3:$3,I$199)*100+SUMIFS('IS(Y)'!14:14,'IS(Y)'!$3:$3,I$199)*100</f>
        <v>21820.411225842152</v>
      </c>
      <c r="J205" s="1863">
        <f ca="1">SUMIFS('IS(Y)'!13:13,'IS(Y)'!$3:$3,J$199)*100+SUMIFS('IS(Y)'!14:14,'IS(Y)'!$3:$3,J$199)*100</f>
        <v>22258.931894341775</v>
      </c>
      <c r="K205" s="1863">
        <f ca="1">SUMIFS('IS(Y)'!13:13,'IS(Y)'!$3:$3,K$199)*100+SUMIFS('IS(Y)'!14:14,'IS(Y)'!$3:$3,K$199)*100</f>
        <v>22917.060771566103</v>
      </c>
      <c r="L205" s="1863">
        <f ca="1">SUMIFS('IS(Y)'!13:13,'IS(Y)'!$3:$3,L$199)*100+SUMIFS('IS(Y)'!14:14,'IS(Y)'!$3:$3,L$199)*100</f>
        <v>23483.641789365352</v>
      </c>
      <c r="M205" s="1863">
        <f ca="1">SUMIFS('IS(Y)'!13:13,'IS(Y)'!$3:$3,M$199)*100+SUMIFS('IS(Y)'!14:14,'IS(Y)'!$3:$3,M$199)*100</f>
        <v>23806.183861730617</v>
      </c>
      <c r="N205" s="1863">
        <f ca="1">SUMIFS('IS(Y)'!13:13,'IS(Y)'!$3:$3,N$199)*100+SUMIFS('IS(Y)'!14:14,'IS(Y)'!$3:$3,N$199)*100</f>
        <v>24227.93227989689</v>
      </c>
      <c r="O205" s="1863">
        <f ca="1">SUMIFS('IS(Y)'!13:13,'IS(Y)'!$3:$3,O$199)*100+SUMIFS('IS(Y)'!14:14,'IS(Y)'!$3:$3,O$199)*100</f>
        <v>24645.949208584727</v>
      </c>
      <c r="P205" s="1863">
        <f ca="1">SUMIFS('IS(Y)'!13:13,'IS(Y)'!$3:$3,P$199)*100+SUMIFS('IS(Y)'!14:14,'IS(Y)'!$3:$3,P$199)*100</f>
        <v>25122.741712151823</v>
      </c>
      <c r="Q205" s="498">
        <f ca="1">SUMIFS('IS(Y)'!13:13,'IS(Y)'!$3:$3,Q$199)*100+SUMIFS('IS(Y)'!14:14,'IS(Y)'!$3:$3,Q$199)*100</f>
        <v>25341.902539256316</v>
      </c>
      <c r="R205" s="498">
        <f ca="1">SUMIFS('IS(Y)'!13:13,'IS(Y)'!$3:$3,R$199)*100+SUMIFS('IS(Y)'!14:14,'IS(Y)'!$3:$3,R$199)*100</f>
        <v>25778.866531306248</v>
      </c>
      <c r="S205" s="498">
        <f ca="1">SUMIFS('IS(Y)'!13:13,'IS(Y)'!$3:$3,S$199)*100+SUMIFS('IS(Y)'!14:14,'IS(Y)'!$3:$3,S$199)*100</f>
        <v>26038.30283682837</v>
      </c>
      <c r="T205" s="498">
        <f ca="1">SUMIFS('IS(Y)'!13:13,'IS(Y)'!$3:$3,T$199)*100+SUMIFS('IS(Y)'!14:14,'IS(Y)'!$3:$3,T$199)*100</f>
        <v>26493.440291912833</v>
      </c>
      <c r="U205" s="498">
        <f ca="1">SUMIFS('IS(Y)'!13:13,'IS(Y)'!$3:$3,U$199)*100+SUMIFS('IS(Y)'!14:14,'IS(Y)'!$3:$3,U$199)*100</f>
        <v>26768.117496966381</v>
      </c>
      <c r="V205" s="498">
        <f ca="1">SUMIFS('IS(Y)'!13:13,'IS(Y)'!$3:$3,V$199)*100+SUMIFS('IS(Y)'!14:14,'IS(Y)'!$3:$3,V$199)*100</f>
        <v>27247.313996075871</v>
      </c>
      <c r="W205" s="498">
        <f ca="1">SUMIFS('IS(Y)'!13:13,'IS(Y)'!$3:$3,W$199)*100+SUMIFS('IS(Y)'!14:14,'IS(Y)'!$3:$3,W$199)*100</f>
        <v>27561.611440473287</v>
      </c>
      <c r="X205" s="498">
        <f ca="1">SUMIFS('IS(Y)'!13:13,'IS(Y)'!$3:$3,X$199)*100+SUMIFS('IS(Y)'!14:14,'IS(Y)'!$3:$3,X$199)*100</f>
        <v>28064.380124739364</v>
      </c>
      <c r="Y205" s="498">
        <f ca="1">SUMIFS('IS(Y)'!13:13,'IS(Y)'!$3:$3,Y$199)*100+SUMIFS('IS(Y)'!14:14,'IS(Y)'!$3:$3,Y$199)*100</f>
        <v>28351.749506335553</v>
      </c>
      <c r="Z205" s="498">
        <f ca="1">SUMIFS('IS(Y)'!13:13,'IS(Y)'!$3:$3,Z$199)*100+SUMIFS('IS(Y)'!14:14,'IS(Y)'!$3:$3,Z$199)*100</f>
        <v>28847.098636629831</v>
      </c>
      <c r="AA205" s="498">
        <f ca="1">SUMIFS('IS(Y)'!13:13,'IS(Y)'!$3:$3,AA$199)*100+SUMIFS('IS(Y)'!14:14,'IS(Y)'!$3:$3,AA$199)*100</f>
        <v>29138.966866147806</v>
      </c>
      <c r="AB205" s="498">
        <f ca="1">SUMIFS('IS(Y)'!13:13,'IS(Y)'!$3:$3,AB$199)*100+SUMIFS('IS(Y)'!14:14,'IS(Y)'!$3:$3,AB$199)*100</f>
        <v>29691.887180534966</v>
      </c>
      <c r="AC205" s="498">
        <f ca="1">SUMIFS('IS(Y)'!13:13,'IS(Y)'!$3:$3,AC$199)*100+SUMIFS('IS(Y)'!14:14,'IS(Y)'!$3:$3,AC$199)*100</f>
        <v>29954.505233739023</v>
      </c>
      <c r="AD205" s="498">
        <f ca="1">SUMIFS('IS(Y)'!13:13,'IS(Y)'!$3:$3,AD$199)*100+SUMIFS('IS(Y)'!14:14,'IS(Y)'!$3:$3,AD$199)*100</f>
        <v>30493.136623618138</v>
      </c>
      <c r="AE205" s="498">
        <f ca="1">SUMIFS('IS(Y)'!13:13,'IS(Y)'!$3:$3,AE$199)*100+SUMIFS('IS(Y)'!14:14,'IS(Y)'!$3:$3,AE$199)*100</f>
        <v>31407.366901924666</v>
      </c>
      <c r="AF205" s="498">
        <f ca="1">SUMIFS('IS(Y)'!13:13,'IS(Y)'!$3:$3,AF$199)*100+SUMIFS('IS(Y)'!14:14,'IS(Y)'!$3:$3,AF$199)*100</f>
        <v>32125.072743110657</v>
      </c>
      <c r="AG205" s="498">
        <f ca="1">SUMIFS('IS(Y)'!13:13,'IS(Y)'!$3:$3,AG$199)*100+SUMIFS('IS(Y)'!14:14,'IS(Y)'!$3:$3,AG$199)*100</f>
        <v>32527.490405777899</v>
      </c>
      <c r="AH205" s="498">
        <f ca="1">SUMIFS('IS(Y)'!13:13,'IS(Y)'!$3:$3,AH$199)*100+SUMIFS('IS(Y)'!14:14,'IS(Y)'!$3:$3,AH$199)*100</f>
        <v>33146.835623880885</v>
      </c>
      <c r="AI205" s="498">
        <f ca="1">SUMIFS('IS(Y)'!13:13,'IS(Y)'!$3:$3,AI$199)*100+SUMIFS('IS(Y)'!14:14,'IS(Y)'!$3:$3,AI$199)*100</f>
        <v>33666.434618053492</v>
      </c>
      <c r="AJ205" s="498">
        <f ca="1">SUMIFS('IS(Y)'!13:13,'IS(Y)'!$3:$3,AJ$199)*100+SUMIFS('IS(Y)'!14:14,'IS(Y)'!$3:$3,AJ$199)*100</f>
        <v>34308.950414056148</v>
      </c>
      <c r="AK205" s="498">
        <f ca="1">SUMIFS('IS(Y)'!13:13,'IS(Y)'!$3:$3,AK$199)*100+SUMIFS('IS(Y)'!14:14,'IS(Y)'!$3:$3,AK$199)*100</f>
        <v>34630.270202470063</v>
      </c>
      <c r="AL205" s="498">
        <f ca="1">SUMIFS('IS(Y)'!13:13,'IS(Y)'!$3:$3,AL$199)*100+SUMIFS('IS(Y)'!14:14,'IS(Y)'!$3:$3,AL$199)*100</f>
        <v>35215.18643722024</v>
      </c>
      <c r="AM205" s="498">
        <f ca="1">SUMIFS('IS(Y)'!13:13,'IS(Y)'!$3:$3,AM$199)*100+SUMIFS('IS(Y)'!14:14,'IS(Y)'!$3:$3,AM$199)*100</f>
        <v>35613.290393736119</v>
      </c>
      <c r="AN205" s="498">
        <f ca="1">SUMIFS('IS(Y)'!13:13,'IS(Y)'!$3:$3,AN$199)*100+SUMIFS('IS(Y)'!14:14,'IS(Y)'!$3:$3,AN$199)*100</f>
        <v>36277.30057024258</v>
      </c>
      <c r="AO205" s="498">
        <f ca="1">SUMIFS('IS(Y)'!13:13,'IS(Y)'!$3:$3,AO$199)*100+SUMIFS('IS(Y)'!14:14,'IS(Y)'!$3:$3,AO$199)*100</f>
        <v>37214.034954837982</v>
      </c>
      <c r="AP205" s="498">
        <f ca="1">SUMIFS('IS(Y)'!13:13,'IS(Y)'!$3:$3,AP$199)*100+SUMIFS('IS(Y)'!14:14,'IS(Y)'!$3:$3,AP$199)*100</f>
        <v>18907.289040416494</v>
      </c>
      <c r="AQ205" s="498">
        <f>SUMIFS('IS(Y)'!13:13,'IS(Y)'!$3:$3,AQ$199)*100+SUMIFS('IS(Y)'!14:14,'IS(Y)'!$3:$3,AQ$199)*100</f>
        <v>0</v>
      </c>
      <c r="AR205" s="498">
        <f>SUMIFS('IS(Y)'!13:13,'IS(Y)'!$3:$3,AR$199)*100+SUMIFS('IS(Y)'!14:14,'IS(Y)'!$3:$3,AR$199)*100</f>
        <v>0</v>
      </c>
      <c r="AS205" s="498">
        <f>SUMIFS('IS(Y)'!13:13,'IS(Y)'!$3:$3,AS$199)*100+SUMIFS('IS(Y)'!14:14,'IS(Y)'!$3:$3,AS$199)*100</f>
        <v>0</v>
      </c>
      <c r="AT205" s="498">
        <f>SUMIFS('IS(Y)'!13:13,'IS(Y)'!$3:$3,AT$199)*100+SUMIFS('IS(Y)'!14:14,'IS(Y)'!$3:$3,AT$199)*100</f>
        <v>0</v>
      </c>
    </row>
    <row r="206" spans="2:46" ht="17.45" customHeight="1" thickBot="1">
      <c r="B206" s="1863">
        <f t="shared" ca="1" si="96"/>
        <v>706.0866878866043</v>
      </c>
      <c r="C206" s="1847" t="s">
        <v>1252</v>
      </c>
      <c r="D206" s="1863">
        <f t="shared" ca="1" si="97"/>
        <v>4197.4856775968592</v>
      </c>
      <c r="E206" s="1863">
        <f ca="1">SUMIFS('IS(Y)'!15:15,'IS(Y)'!$3:$3,E$199)*100</f>
        <v>0</v>
      </c>
      <c r="F206" s="1863">
        <f ca="1">SUMIFS('IS(Y)'!15:15,'IS(Y)'!$3:$3,F$199)*100</f>
        <v>0</v>
      </c>
      <c r="G206" s="1863">
        <f ca="1">SUMIFS('IS(Y)'!15:15,'IS(Y)'!$3:$3,G$199)*100</f>
        <v>0</v>
      </c>
      <c r="H206" s="1863">
        <f ca="1">SUMIFS('IS(Y)'!15:15,'IS(Y)'!$3:$3,H$199)*100</f>
        <v>0</v>
      </c>
      <c r="I206" s="1863">
        <f ca="1">SUMIFS('IS(Y)'!15:15,'IS(Y)'!$3:$3,I$199)*100</f>
        <v>0</v>
      </c>
      <c r="J206" s="1863">
        <f ca="1">SUMIFS('IS(Y)'!15:15,'IS(Y)'!$3:$3,J$199)*100</f>
        <v>212.30403012019997</v>
      </c>
      <c r="K206" s="1863">
        <f ca="1">SUMIFS('IS(Y)'!15:15,'IS(Y)'!$3:$3,K$199)*100</f>
        <v>0</v>
      </c>
      <c r="L206" s="1863">
        <f ca="1">SUMIFS('IS(Y)'!15:15,'IS(Y)'!$3:$3,L$199)*100</f>
        <v>493.78265776640433</v>
      </c>
      <c r="M206" s="1863">
        <f ca="1">SUMIFS('IS(Y)'!15:15,'IS(Y)'!$3:$3,M$199)*100</f>
        <v>0</v>
      </c>
      <c r="N206" s="1863">
        <f ca="1">SUMIFS('IS(Y)'!15:15,'IS(Y)'!$3:$3,N$199)*100</f>
        <v>265.10931009868909</v>
      </c>
      <c r="O206" s="1863">
        <f ca="1">SUMIFS('IS(Y)'!15:15,'IS(Y)'!$3:$3,O$199)*100</f>
        <v>0</v>
      </c>
      <c r="P206" s="1863">
        <f ca="1">SUMIFS('IS(Y)'!15:15,'IS(Y)'!$3:$3,P$199)*100</f>
        <v>0</v>
      </c>
      <c r="Q206" s="498">
        <f ca="1">SUMIFS('IS(Y)'!15:15,'IS(Y)'!$3:$3,Q$199)*100</f>
        <v>0</v>
      </c>
      <c r="R206" s="498">
        <f ca="1">SUMIFS('IS(Y)'!15:15,'IS(Y)'!$3:$3,R$199)*100</f>
        <v>344.84226397128714</v>
      </c>
      <c r="S206" s="498">
        <f ca="1">SUMIFS('IS(Y)'!15:15,'IS(Y)'!$3:$3,S$199)*100</f>
        <v>0</v>
      </c>
      <c r="T206" s="498">
        <f ca="1">SUMIFS('IS(Y)'!15:15,'IS(Y)'!$3:$3,T$199)*100</f>
        <v>0</v>
      </c>
      <c r="U206" s="498">
        <f ca="1">SUMIFS('IS(Y)'!15:15,'IS(Y)'!$3:$3,U$199)*100</f>
        <v>284.23306352950453</v>
      </c>
      <c r="V206" s="498">
        <f ca="1">SUMIFS('IS(Y)'!15:15,'IS(Y)'!$3:$3,V$199)*100</f>
        <v>545.44324891311908</v>
      </c>
      <c r="W206" s="498">
        <f ca="1">SUMIFS('IS(Y)'!15:15,'IS(Y)'!$3:$3,W$199)*100</f>
        <v>0</v>
      </c>
      <c r="X206" s="498">
        <f ca="1">SUMIFS('IS(Y)'!15:15,'IS(Y)'!$3:$3,X$199)*100</f>
        <v>0</v>
      </c>
      <c r="Y206" s="498">
        <f ca="1">SUMIFS('IS(Y)'!15:15,'IS(Y)'!$3:$3,Y$199)*100</f>
        <v>0</v>
      </c>
      <c r="Z206" s="498">
        <f ca="1">SUMIFS('IS(Y)'!15:15,'IS(Y)'!$3:$3,Z$199)*100</f>
        <v>0</v>
      </c>
      <c r="AA206" s="498">
        <f ca="1">SUMIFS('IS(Y)'!15:15,'IS(Y)'!$3:$3,AA$199)*100</f>
        <v>0</v>
      </c>
      <c r="AB206" s="498">
        <f ca="1">SUMIFS('IS(Y)'!15:15,'IS(Y)'!$3:$3,AB$199)*100</f>
        <v>304.73631564765958</v>
      </c>
      <c r="AC206" s="498">
        <f ca="1">SUMIFS('IS(Y)'!15:15,'IS(Y)'!$3:$3,AC$199)*100</f>
        <v>0</v>
      </c>
      <c r="AD206" s="498">
        <f ca="1">SUMIFS('IS(Y)'!15:15,'IS(Y)'!$3:$3,AD$199)*100</f>
        <v>388.57689449022195</v>
      </c>
      <c r="AE206" s="498">
        <f ca="1">SUMIFS('IS(Y)'!15:15,'IS(Y)'!$3:$3,AE$199)*100</f>
        <v>0</v>
      </c>
      <c r="AF206" s="498">
        <f ca="1">SUMIFS('IS(Y)'!15:15,'IS(Y)'!$3:$3,AF$199)*100</f>
        <v>602.508680905603</v>
      </c>
      <c r="AG206" s="498">
        <f ca="1">SUMIFS('IS(Y)'!15:15,'IS(Y)'!$3:$3,AG$199)*100</f>
        <v>0</v>
      </c>
      <c r="AH206" s="498">
        <f ca="1">SUMIFS('IS(Y)'!15:15,'IS(Y)'!$3:$3,AH$199)*100</f>
        <v>0</v>
      </c>
      <c r="AI206" s="498">
        <f ca="1">SUMIFS('IS(Y)'!15:15,'IS(Y)'!$3:$3,AI$199)*100</f>
        <v>326.71857707669659</v>
      </c>
      <c r="AJ206" s="498">
        <f ca="1">SUMIFS('IS(Y)'!15:15,'IS(Y)'!$3:$3,AJ$199)*100</f>
        <v>0</v>
      </c>
      <c r="AK206" s="498">
        <f ca="1">SUMIFS('IS(Y)'!15:15,'IS(Y)'!$3:$3,AK$199)*100</f>
        <v>0</v>
      </c>
      <c r="AL206" s="498">
        <f ca="1">SUMIFS('IS(Y)'!15:15,'IS(Y)'!$3:$3,AL$199)*100</f>
        <v>0</v>
      </c>
      <c r="AM206" s="498">
        <f ca="1">SUMIFS('IS(Y)'!15:15,'IS(Y)'!$3:$3,AM$199)*100</f>
        <v>0</v>
      </c>
      <c r="AN206" s="498">
        <f ca="1">SUMIFS('IS(Y)'!15:15,'IS(Y)'!$3:$3,AN$199)*100</f>
        <v>429.23063507747435</v>
      </c>
      <c r="AO206" s="498">
        <f ca="1">SUMIFS('IS(Y)'!15:15,'IS(Y)'!$3:$3,AO$199)*100</f>
        <v>0</v>
      </c>
      <c r="AP206" s="498">
        <f ca="1">SUMIFS('IS(Y)'!15:15,'IS(Y)'!$3:$3,AP$199)*100</f>
        <v>0</v>
      </c>
      <c r="AQ206" s="498">
        <f ca="1">SUMIFS('IS(Y)'!15:15,'IS(Y)'!$3:$3,AQ$199)*100</f>
        <v>0</v>
      </c>
      <c r="AR206" s="498">
        <f ca="1">SUMIFS('IS(Y)'!15:15,'IS(Y)'!$3:$3,AR$199)*100</f>
        <v>0</v>
      </c>
      <c r="AS206" s="498">
        <f ca="1">SUMIFS('IS(Y)'!15:15,'IS(Y)'!$3:$3,AS$199)*100</f>
        <v>0</v>
      </c>
      <c r="AT206" s="498">
        <f>SUMIFS('IS(Y)'!15:15,'IS(Y)'!$3:$3,AT$199)*100</f>
        <v>0</v>
      </c>
    </row>
    <row r="207" spans="2:46" ht="17.45" customHeight="1" thickBot="1">
      <c r="B207" s="1863">
        <f t="shared" ca="1" si="96"/>
        <v>8150</v>
      </c>
      <c r="C207" s="1847" t="s">
        <v>3646</v>
      </c>
      <c r="D207" s="1863">
        <f t="shared" ca="1" si="97"/>
        <v>16630</v>
      </c>
      <c r="E207" s="1863">
        <f ca="1">SUMIFS('IS(Y)'!16:16,'IS(Y)'!$3:$3,E$199)*100+SUMIFS('IS(Y)'!17:17,'IS(Y)'!$3:$3,E$199)*100</f>
        <v>1070</v>
      </c>
      <c r="F207" s="1863">
        <f ca="1">SUMIFS('IS(Y)'!16:16,'IS(Y)'!$3:$3,F$199)*100+SUMIFS('IS(Y)'!17:17,'IS(Y)'!$3:$3,F$199)*100</f>
        <v>1030</v>
      </c>
      <c r="G207" s="1863">
        <f ca="1">SUMIFS('IS(Y)'!16:16,'IS(Y)'!$3:$3,G$199)*100+SUMIFS('IS(Y)'!17:17,'IS(Y)'!$3:$3,G$199)*100</f>
        <v>1030</v>
      </c>
      <c r="H207" s="1863">
        <f ca="1">SUMIFS('IS(Y)'!16:16,'IS(Y)'!$3:$3,H$199)*100+SUMIFS('IS(Y)'!17:17,'IS(Y)'!$3:$3,H$199)*100</f>
        <v>1030</v>
      </c>
      <c r="I207" s="1863">
        <f ca="1">SUMIFS('IS(Y)'!16:16,'IS(Y)'!$3:$3,I$199)*100+SUMIFS('IS(Y)'!17:17,'IS(Y)'!$3:$3,I$199)*100</f>
        <v>1020</v>
      </c>
      <c r="J207" s="1863">
        <f ca="1">SUMIFS('IS(Y)'!16:16,'IS(Y)'!$3:$3,J$199)*100+SUMIFS('IS(Y)'!17:17,'IS(Y)'!$3:$3,J$199)*100</f>
        <v>990</v>
      </c>
      <c r="K207" s="1863">
        <f ca="1">SUMIFS('IS(Y)'!16:16,'IS(Y)'!$3:$3,K$199)*100+SUMIFS('IS(Y)'!17:17,'IS(Y)'!$3:$3,K$199)*100</f>
        <v>990</v>
      </c>
      <c r="L207" s="1863">
        <f ca="1">SUMIFS('IS(Y)'!16:16,'IS(Y)'!$3:$3,L$199)*100+SUMIFS('IS(Y)'!17:17,'IS(Y)'!$3:$3,L$199)*100</f>
        <v>990</v>
      </c>
      <c r="M207" s="1863">
        <f ca="1">SUMIFS('IS(Y)'!16:16,'IS(Y)'!$3:$3,M$199)*100+SUMIFS('IS(Y)'!17:17,'IS(Y)'!$3:$3,M$199)*100</f>
        <v>960</v>
      </c>
      <c r="N207" s="1863">
        <f ca="1">SUMIFS('IS(Y)'!16:16,'IS(Y)'!$3:$3,N$199)*100+SUMIFS('IS(Y)'!17:17,'IS(Y)'!$3:$3,N$199)*100</f>
        <v>889.99999999999989</v>
      </c>
      <c r="O207" s="1863">
        <f ca="1">SUMIFS('IS(Y)'!16:16,'IS(Y)'!$3:$3,O$199)*100+SUMIFS('IS(Y)'!17:17,'IS(Y)'!$3:$3,O$199)*100</f>
        <v>680</v>
      </c>
      <c r="P207" s="1863">
        <f ca="1">SUMIFS('IS(Y)'!16:16,'IS(Y)'!$3:$3,P$199)*100+SUMIFS('IS(Y)'!17:17,'IS(Y)'!$3:$3,P$199)*100</f>
        <v>680</v>
      </c>
      <c r="Q207" s="498">
        <f ca="1">SUMIFS('IS(Y)'!16:16,'IS(Y)'!$3:$3,Q$199)*100+SUMIFS('IS(Y)'!17:17,'IS(Y)'!$3:$3,Q$199)*100</f>
        <v>680</v>
      </c>
      <c r="R207" s="498">
        <f ca="1">SUMIFS('IS(Y)'!16:16,'IS(Y)'!$3:$3,R$199)*100+SUMIFS('IS(Y)'!17:17,'IS(Y)'!$3:$3,R$199)*100</f>
        <v>680</v>
      </c>
      <c r="S207" s="498">
        <f ca="1">SUMIFS('IS(Y)'!16:16,'IS(Y)'!$3:$3,S$199)*100+SUMIFS('IS(Y)'!17:17,'IS(Y)'!$3:$3,S$199)*100</f>
        <v>680</v>
      </c>
      <c r="T207" s="498">
        <f ca="1">SUMIFS('IS(Y)'!16:16,'IS(Y)'!$3:$3,T$199)*100+SUMIFS('IS(Y)'!17:17,'IS(Y)'!$3:$3,T$199)*100</f>
        <v>680</v>
      </c>
      <c r="U207" s="498">
        <f ca="1">SUMIFS('IS(Y)'!16:16,'IS(Y)'!$3:$3,U$199)*100+SUMIFS('IS(Y)'!17:17,'IS(Y)'!$3:$3,U$199)*100</f>
        <v>680</v>
      </c>
      <c r="V207" s="498">
        <f ca="1">SUMIFS('IS(Y)'!16:16,'IS(Y)'!$3:$3,V$199)*100+SUMIFS('IS(Y)'!17:17,'IS(Y)'!$3:$3,V$199)*100</f>
        <v>680</v>
      </c>
      <c r="W207" s="498">
        <f ca="1">SUMIFS('IS(Y)'!16:16,'IS(Y)'!$3:$3,W$199)*100+SUMIFS('IS(Y)'!17:17,'IS(Y)'!$3:$3,W$199)*100</f>
        <v>680</v>
      </c>
      <c r="X207" s="498">
        <f ca="1">SUMIFS('IS(Y)'!16:16,'IS(Y)'!$3:$3,X$199)*100+SUMIFS('IS(Y)'!17:17,'IS(Y)'!$3:$3,X$199)*100</f>
        <v>509.99999999999994</v>
      </c>
      <c r="Y207" s="498">
        <f ca="1">SUMIFS('IS(Y)'!16:16,'IS(Y)'!$3:$3,Y$199)*100+SUMIFS('IS(Y)'!17:17,'IS(Y)'!$3:$3,Y$199)*100</f>
        <v>0</v>
      </c>
      <c r="Z207" s="498">
        <f ca="1">SUMIFS('IS(Y)'!16:16,'IS(Y)'!$3:$3,Z$199)*100+SUMIFS('IS(Y)'!17:17,'IS(Y)'!$3:$3,Z$199)*100</f>
        <v>0</v>
      </c>
      <c r="AA207" s="498">
        <f ca="1">SUMIFS('IS(Y)'!16:16,'IS(Y)'!$3:$3,AA$199)*100+SUMIFS('IS(Y)'!17:17,'IS(Y)'!$3:$3,AA$199)*100</f>
        <v>0</v>
      </c>
      <c r="AB207" s="498">
        <f ca="1">SUMIFS('IS(Y)'!16:16,'IS(Y)'!$3:$3,AB$199)*100+SUMIFS('IS(Y)'!17:17,'IS(Y)'!$3:$3,AB$199)*100</f>
        <v>0</v>
      </c>
      <c r="AC207" s="498">
        <f ca="1">SUMIFS('IS(Y)'!16:16,'IS(Y)'!$3:$3,AC$199)*100+SUMIFS('IS(Y)'!17:17,'IS(Y)'!$3:$3,AC$199)*100</f>
        <v>0</v>
      </c>
      <c r="AD207" s="498">
        <f ca="1">SUMIFS('IS(Y)'!16:16,'IS(Y)'!$3:$3,AD$199)*100+SUMIFS('IS(Y)'!17:17,'IS(Y)'!$3:$3,AD$199)*100</f>
        <v>0</v>
      </c>
      <c r="AE207" s="498">
        <f ca="1">SUMIFS('IS(Y)'!16:16,'IS(Y)'!$3:$3,AE$199)*100+SUMIFS('IS(Y)'!17:17,'IS(Y)'!$3:$3,AE$199)*100</f>
        <v>0</v>
      </c>
      <c r="AF207" s="498">
        <f ca="1">SUMIFS('IS(Y)'!16:16,'IS(Y)'!$3:$3,AF$199)*100+SUMIFS('IS(Y)'!17:17,'IS(Y)'!$3:$3,AF$199)*100</f>
        <v>0</v>
      </c>
      <c r="AG207" s="498">
        <f ca="1">SUMIFS('IS(Y)'!16:16,'IS(Y)'!$3:$3,AG$199)*100+SUMIFS('IS(Y)'!17:17,'IS(Y)'!$3:$3,AG$199)*100</f>
        <v>0</v>
      </c>
      <c r="AH207" s="498">
        <f ca="1">SUMIFS('IS(Y)'!16:16,'IS(Y)'!$3:$3,AH$199)*100+SUMIFS('IS(Y)'!17:17,'IS(Y)'!$3:$3,AH$199)*100</f>
        <v>0</v>
      </c>
      <c r="AI207" s="498">
        <f ca="1">SUMIFS('IS(Y)'!16:16,'IS(Y)'!$3:$3,AI$199)*100+SUMIFS('IS(Y)'!17:17,'IS(Y)'!$3:$3,AI$199)*100</f>
        <v>0</v>
      </c>
      <c r="AJ207" s="498">
        <f ca="1">SUMIFS('IS(Y)'!16:16,'IS(Y)'!$3:$3,AJ$199)*100+SUMIFS('IS(Y)'!17:17,'IS(Y)'!$3:$3,AJ$199)*100</f>
        <v>0</v>
      </c>
      <c r="AK207" s="498">
        <f ca="1">SUMIFS('IS(Y)'!16:16,'IS(Y)'!$3:$3,AK$199)*100+SUMIFS('IS(Y)'!17:17,'IS(Y)'!$3:$3,AK$199)*100</f>
        <v>0</v>
      </c>
      <c r="AL207" s="498">
        <f ca="1">SUMIFS('IS(Y)'!16:16,'IS(Y)'!$3:$3,AL$199)*100+SUMIFS('IS(Y)'!17:17,'IS(Y)'!$3:$3,AL$199)*100</f>
        <v>0</v>
      </c>
      <c r="AM207" s="498">
        <f ca="1">SUMIFS('IS(Y)'!16:16,'IS(Y)'!$3:$3,AM$199)*100+SUMIFS('IS(Y)'!17:17,'IS(Y)'!$3:$3,AM$199)*100</f>
        <v>0</v>
      </c>
      <c r="AN207" s="498">
        <f ca="1">SUMIFS('IS(Y)'!16:16,'IS(Y)'!$3:$3,AN$199)*100+SUMIFS('IS(Y)'!17:17,'IS(Y)'!$3:$3,AN$199)*100</f>
        <v>0</v>
      </c>
      <c r="AO207" s="498">
        <f ca="1">SUMIFS('IS(Y)'!16:16,'IS(Y)'!$3:$3,AO$199)*100+SUMIFS('IS(Y)'!17:17,'IS(Y)'!$3:$3,AO$199)*100</f>
        <v>0</v>
      </c>
      <c r="AP207" s="498">
        <f ca="1">SUMIFS('IS(Y)'!16:16,'IS(Y)'!$3:$3,AP$199)*100+SUMIFS('IS(Y)'!17:17,'IS(Y)'!$3:$3,AP$199)*100</f>
        <v>0</v>
      </c>
      <c r="AQ207" s="498">
        <f>SUMIFS('IS(Y)'!16:16,'IS(Y)'!$3:$3,AQ$199)*100+SUMIFS('IS(Y)'!17:17,'IS(Y)'!$3:$3,AQ$199)*100</f>
        <v>0</v>
      </c>
      <c r="AR207" s="498">
        <f>SUMIFS('IS(Y)'!16:16,'IS(Y)'!$3:$3,AR$199)*100+SUMIFS('IS(Y)'!17:17,'IS(Y)'!$3:$3,AR$199)*100</f>
        <v>0</v>
      </c>
      <c r="AS207" s="498">
        <f>SUMIFS('IS(Y)'!16:16,'IS(Y)'!$3:$3,AS$199)*100+SUMIFS('IS(Y)'!17:17,'IS(Y)'!$3:$3,AS$199)*100</f>
        <v>0</v>
      </c>
      <c r="AT207" s="498">
        <f>SUMIFS('IS(Y)'!16:16,'IS(Y)'!$3:$3,AT$199)*100+SUMIFS('IS(Y)'!17:17,'IS(Y)'!$3:$3,AT$199)*100</f>
        <v>0</v>
      </c>
    </row>
    <row r="208" spans="2:46" ht="17.45" customHeight="1" thickBot="1">
      <c r="B208" s="1863">
        <f t="shared" si="96"/>
        <v>21657.058094961041</v>
      </c>
      <c r="C208" s="1847" t="s">
        <v>3647</v>
      </c>
      <c r="D208" s="1863">
        <f t="shared" si="97"/>
        <v>101517.45982012998</v>
      </c>
      <c r="E208" s="1863">
        <f>SUMIFS('IS(Y)'!18:18,'IS(Y)'!$3:$3,E$199)*100</f>
        <v>2707.1322618701297</v>
      </c>
      <c r="F208" s="1863">
        <f>SUMIFS('IS(Y)'!18:18,'IS(Y)'!$3:$3,F$199)*100</f>
        <v>2707.1322618701302</v>
      </c>
      <c r="G208" s="1863">
        <f>SUMIFS('IS(Y)'!18:18,'IS(Y)'!$3:$3,G$199)*100</f>
        <v>2707.1322618701297</v>
      </c>
      <c r="H208" s="1863">
        <f>SUMIFS('IS(Y)'!18:18,'IS(Y)'!$3:$3,H$199)*100</f>
        <v>2707.1322618701302</v>
      </c>
      <c r="I208" s="1863">
        <f>SUMIFS('IS(Y)'!18:18,'IS(Y)'!$3:$3,I$199)*100</f>
        <v>2707.1322618701297</v>
      </c>
      <c r="J208" s="1863">
        <f>SUMIFS('IS(Y)'!18:18,'IS(Y)'!$3:$3,J$199)*100</f>
        <v>2707.1322618701306</v>
      </c>
      <c r="K208" s="1863">
        <f>SUMIFS('IS(Y)'!18:18,'IS(Y)'!$3:$3,K$199)*100</f>
        <v>2707.1322618701297</v>
      </c>
      <c r="L208" s="1863">
        <f>SUMIFS('IS(Y)'!18:18,'IS(Y)'!$3:$3,L$199)*100</f>
        <v>2707.1322618701306</v>
      </c>
      <c r="M208" s="1863">
        <f>SUMIFS('IS(Y)'!18:18,'IS(Y)'!$3:$3,M$199)*100</f>
        <v>2707.1322618701302</v>
      </c>
      <c r="N208" s="1863">
        <f>SUMIFS('IS(Y)'!18:18,'IS(Y)'!$3:$3,N$199)*100</f>
        <v>2707.1322618701306</v>
      </c>
      <c r="O208" s="1863">
        <f>SUMIFS('IS(Y)'!18:18,'IS(Y)'!$3:$3,O$199)*100</f>
        <v>2707.1322618701302</v>
      </c>
      <c r="P208" s="1863">
        <f>SUMIFS('IS(Y)'!18:18,'IS(Y)'!$3:$3,P$199)*100</f>
        <v>2707.1322618701311</v>
      </c>
      <c r="Q208" s="498">
        <f>SUMIFS('IS(Y)'!18:18,'IS(Y)'!$3:$3,Q$199)*100</f>
        <v>2707.1322618701302</v>
      </c>
      <c r="R208" s="498">
        <f>SUMIFS('IS(Y)'!18:18,'IS(Y)'!$3:$3,R$199)*100</f>
        <v>2707.1322618701306</v>
      </c>
      <c r="S208" s="498">
        <f>SUMIFS('IS(Y)'!18:18,'IS(Y)'!$3:$3,S$199)*100</f>
        <v>2707.1322618701306</v>
      </c>
      <c r="T208" s="498">
        <f>SUMIFS('IS(Y)'!18:18,'IS(Y)'!$3:$3,T$199)*100</f>
        <v>2707.1322618701311</v>
      </c>
      <c r="U208" s="498">
        <f>SUMIFS('IS(Y)'!18:18,'IS(Y)'!$3:$3,U$199)*100</f>
        <v>2707.1322618701311</v>
      </c>
      <c r="V208" s="498">
        <f>SUMIFS('IS(Y)'!18:18,'IS(Y)'!$3:$3,V$199)*100</f>
        <v>2707.1322618701311</v>
      </c>
      <c r="W208" s="498">
        <f>SUMIFS('IS(Y)'!18:18,'IS(Y)'!$3:$3,W$199)*100</f>
        <v>2707.1322618701311</v>
      </c>
      <c r="X208" s="498">
        <f>SUMIFS('IS(Y)'!18:18,'IS(Y)'!$3:$3,X$199)*100</f>
        <v>2707.1322618701311</v>
      </c>
      <c r="Y208" s="498">
        <f>SUMIFS('IS(Y)'!18:18,'IS(Y)'!$3:$3,Y$199)*100</f>
        <v>2707.1322618701311</v>
      </c>
      <c r="Z208" s="498">
        <f>SUMIFS('IS(Y)'!18:18,'IS(Y)'!$3:$3,Z$199)*100</f>
        <v>2707.1322618701315</v>
      </c>
      <c r="AA208" s="498">
        <f>SUMIFS('IS(Y)'!18:18,'IS(Y)'!$3:$3,AA$199)*100</f>
        <v>2707.1322618701315</v>
      </c>
      <c r="AB208" s="498">
        <f>SUMIFS('IS(Y)'!18:18,'IS(Y)'!$3:$3,AB$199)*100</f>
        <v>2707.132261870132</v>
      </c>
      <c r="AC208" s="498">
        <f>SUMIFS('IS(Y)'!18:18,'IS(Y)'!$3:$3,AC$199)*100</f>
        <v>2707.1322618701315</v>
      </c>
      <c r="AD208" s="498">
        <f>SUMIFS('IS(Y)'!18:18,'IS(Y)'!$3:$3,AD$199)*100</f>
        <v>2707.1322618701315</v>
      </c>
      <c r="AE208" s="498">
        <f>SUMIFS('IS(Y)'!18:18,'IS(Y)'!$3:$3,AE$199)*100</f>
        <v>2707.1322618701315</v>
      </c>
      <c r="AF208" s="498">
        <f>SUMIFS('IS(Y)'!18:18,'IS(Y)'!$3:$3,AF$199)*100</f>
        <v>2707.132261870132</v>
      </c>
      <c r="AG208" s="498">
        <f>SUMIFS('IS(Y)'!18:18,'IS(Y)'!$3:$3,AG$199)*100</f>
        <v>2707.132261870132</v>
      </c>
      <c r="AH208" s="498">
        <f>SUMIFS('IS(Y)'!18:18,'IS(Y)'!$3:$3,AH$199)*100</f>
        <v>2707.132261870132</v>
      </c>
      <c r="AI208" s="498">
        <f>SUMIFS('IS(Y)'!18:18,'IS(Y)'!$3:$3,AI$199)*100</f>
        <v>2707.132261870132</v>
      </c>
      <c r="AJ208" s="498">
        <f>SUMIFS('IS(Y)'!18:18,'IS(Y)'!$3:$3,AJ$199)*100</f>
        <v>2707.1322618701315</v>
      </c>
      <c r="AK208" s="498">
        <f>SUMIFS('IS(Y)'!18:18,'IS(Y)'!$3:$3,AK$199)*100</f>
        <v>2707.132261870132</v>
      </c>
      <c r="AL208" s="498">
        <f>SUMIFS('IS(Y)'!18:18,'IS(Y)'!$3:$3,AL$199)*100</f>
        <v>2707.132261870132</v>
      </c>
      <c r="AM208" s="498">
        <f>SUMIFS('IS(Y)'!18:18,'IS(Y)'!$3:$3,AM$199)*100</f>
        <v>2707.132261870132</v>
      </c>
      <c r="AN208" s="498">
        <f>SUMIFS('IS(Y)'!18:18,'IS(Y)'!$3:$3,AN$199)*100</f>
        <v>2707.1322618701324</v>
      </c>
      <c r="AO208" s="498">
        <f>SUMIFS('IS(Y)'!18:18,'IS(Y)'!$3:$3,AO$199)*100</f>
        <v>2707.132261870132</v>
      </c>
      <c r="AP208" s="498">
        <f>SUMIFS('IS(Y)'!18:18,'IS(Y)'!$3:$3,AP$199)*100</f>
        <v>1353.5661309350664</v>
      </c>
      <c r="AQ208" s="498">
        <f>SUMIFS('IS(Y)'!18:18,'IS(Y)'!$3:$3,AQ$199)*100</f>
        <v>0</v>
      </c>
      <c r="AR208" s="498">
        <f>SUMIFS('IS(Y)'!18:18,'IS(Y)'!$3:$3,AR$199)*100</f>
        <v>0</v>
      </c>
      <c r="AS208" s="498">
        <f>SUMIFS('IS(Y)'!18:18,'IS(Y)'!$3:$3,AS$199)*100</f>
        <v>0</v>
      </c>
      <c r="AT208" s="498">
        <f>SUMIFS('IS(Y)'!18:18,'IS(Y)'!$3:$3,AT$199)*100</f>
        <v>0</v>
      </c>
    </row>
    <row r="209" spans="2:46" ht="17.45" customHeight="1" thickBot="1">
      <c r="B209" s="1863">
        <f t="shared" ca="1" si="96"/>
        <v>16367.132538519698</v>
      </c>
      <c r="C209" s="1847" t="s">
        <v>3648</v>
      </c>
      <c r="D209" s="1863">
        <f t="shared" ca="1" si="97"/>
        <v>126673.04330089071</v>
      </c>
      <c r="E209" s="1863">
        <f ca="1">SUMIFS('IS(Y)'!19:19,'IS(Y)'!$3:$3,E$199)*100</f>
        <v>1994.9402215000002</v>
      </c>
      <c r="F209" s="1863">
        <f ca="1">SUMIFS('IS(Y)'!19:19,'IS(Y)'!$3:$3,F$199)*100</f>
        <v>1994.9402215000002</v>
      </c>
      <c r="G209" s="1863">
        <f ca="1">SUMIFS('IS(Y)'!19:19,'IS(Y)'!$3:$3,G$199)*100</f>
        <v>1994.9402215000002</v>
      </c>
      <c r="H209" s="1863">
        <f ca="1">SUMIFS('IS(Y)'!19:19,'IS(Y)'!$3:$3,H$199)*100</f>
        <v>2010.5492816500005</v>
      </c>
      <c r="I209" s="1863">
        <f ca="1">SUMIFS('IS(Y)'!19:19,'IS(Y)'!$3:$3,I$199)*100</f>
        <v>2035.3005683298552</v>
      </c>
      <c r="J209" s="1863">
        <f ca="1">SUMIFS('IS(Y)'!19:19,'IS(Y)'!$3:$3,J$199)*100</f>
        <v>2080.9459348056985</v>
      </c>
      <c r="K209" s="1863">
        <f ca="1">SUMIFS('IS(Y)'!19:19,'IS(Y)'!$3:$3,K$199)*100</f>
        <v>2083.0902055099123</v>
      </c>
      <c r="L209" s="1863">
        <f ca="1">SUMIFS('IS(Y)'!19:19,'IS(Y)'!$3:$3,L$199)*100</f>
        <v>2172.4258837242287</v>
      </c>
      <c r="M209" s="1863">
        <f ca="1">SUMIFS('IS(Y)'!19:19,'IS(Y)'!$3:$3,M$199)*100</f>
        <v>2303.6681164463525</v>
      </c>
      <c r="N209" s="1863">
        <f ca="1">SUMIFS('IS(Y)'!19:19,'IS(Y)'!$3:$3,N$199)*100</f>
        <v>2515.2452291033637</v>
      </c>
      <c r="O209" s="1863">
        <f ca="1">SUMIFS('IS(Y)'!19:19,'IS(Y)'!$3:$3,O$199)*100</f>
        <v>2671.1040971325087</v>
      </c>
      <c r="P209" s="1863">
        <f ca="1">SUMIFS('IS(Y)'!19:19,'IS(Y)'!$3:$3,P$199)*100</f>
        <v>2675.611397253037</v>
      </c>
      <c r="Q209" s="498">
        <f ca="1">SUMIFS('IS(Y)'!19:19,'IS(Y)'!$3:$3,Q$199)*100</f>
        <v>2846.3253893180299</v>
      </c>
      <c r="R209" s="498">
        <f ca="1">SUMIFS('IS(Y)'!19:19,'IS(Y)'!$3:$3,R$199)*100</f>
        <v>3064.725489833178</v>
      </c>
      <c r="S209" s="498">
        <f ca="1">SUMIFS('IS(Y)'!19:19,'IS(Y)'!$3:$3,S$199)*100</f>
        <v>3365.9249536764596</v>
      </c>
      <c r="T209" s="498">
        <f ca="1">SUMIFS('IS(Y)'!19:19,'IS(Y)'!$3:$3,T$199)*100</f>
        <v>3485.410717594184</v>
      </c>
      <c r="U209" s="498">
        <f ca="1">SUMIFS('IS(Y)'!19:19,'IS(Y)'!$3:$3,U$199)*100</f>
        <v>3783.8554343001638</v>
      </c>
      <c r="V209" s="498">
        <f ca="1">SUMIFS('IS(Y)'!19:19,'IS(Y)'!$3:$3,V$199)*100</f>
        <v>4480.94027944346</v>
      </c>
      <c r="W209" s="498">
        <f ca="1">SUMIFS('IS(Y)'!19:19,'IS(Y)'!$3:$3,W$199)*100</f>
        <v>3395.4652021555139</v>
      </c>
      <c r="X209" s="498">
        <f ca="1">SUMIFS('IS(Y)'!19:19,'IS(Y)'!$3:$3,X$199)*100</f>
        <v>3007.7878568106057</v>
      </c>
      <c r="Y209" s="498">
        <f ca="1">SUMIFS('IS(Y)'!19:19,'IS(Y)'!$3:$3,Y$199)*100</f>
        <v>3124.5166624907142</v>
      </c>
      <c r="Z209" s="498">
        <f ca="1">SUMIFS('IS(Y)'!19:19,'IS(Y)'!$3:$3,Z$199)*100</f>
        <v>3210.4020568135284</v>
      </c>
      <c r="AA209" s="498">
        <f ca="1">SUMIFS('IS(Y)'!19:19,'IS(Y)'!$3:$3,AA$199)*100</f>
        <v>3210.4020568135284</v>
      </c>
      <c r="AB209" s="498">
        <f ca="1">SUMIFS('IS(Y)'!19:19,'IS(Y)'!$3:$3,AB$199)*100</f>
        <v>3199.8719352576559</v>
      </c>
      <c r="AC209" s="498">
        <f ca="1">SUMIFS('IS(Y)'!19:19,'IS(Y)'!$3:$3,AC$199)*100</f>
        <v>3257.8862446722228</v>
      </c>
      <c r="AD209" s="498">
        <f ca="1">SUMIFS('IS(Y)'!19:19,'IS(Y)'!$3:$3,AD$199)*100</f>
        <v>3269.2321560549458</v>
      </c>
      <c r="AE209" s="498">
        <f ca="1">SUMIFS('IS(Y)'!19:19,'IS(Y)'!$3:$3,AE$199)*100</f>
        <v>3346.3653433646273</v>
      </c>
      <c r="AF209" s="498">
        <f ca="1">SUMIFS('IS(Y)'!19:19,'IS(Y)'!$3:$3,AF$199)*100</f>
        <v>3399.0684440918726</v>
      </c>
      <c r="AG209" s="498">
        <f ca="1">SUMIFS('IS(Y)'!19:19,'IS(Y)'!$3:$3,AG$199)*100</f>
        <v>3267.8262113697492</v>
      </c>
      <c r="AH209" s="498">
        <f ca="1">SUMIFS('IS(Y)'!19:19,'IS(Y)'!$3:$3,AH$199)*100</f>
        <v>3292.8478016124459</v>
      </c>
      <c r="AI209" s="498">
        <f ca="1">SUMIFS('IS(Y)'!19:19,'IS(Y)'!$3:$3,AI$199)*100</f>
        <v>3181.9127379313463</v>
      </c>
      <c r="AJ209" s="498">
        <f ca="1">SUMIFS('IS(Y)'!19:19,'IS(Y)'!$3:$3,AJ$199)*100</f>
        <v>3177.405437810819</v>
      </c>
      <c r="AK209" s="498">
        <f ca="1">SUMIFS('IS(Y)'!19:19,'IS(Y)'!$3:$3,AK$199)*100</f>
        <v>3115.0092724005058</v>
      </c>
      <c r="AL209" s="498">
        <f ca="1">SUMIFS('IS(Y)'!19:19,'IS(Y)'!$3:$3,AL$199)*100</f>
        <v>2896.6091718853563</v>
      </c>
      <c r="AM209" s="498">
        <f ca="1">SUMIFS('IS(Y)'!19:19,'IS(Y)'!$3:$3,AM$199)*100</f>
        <v>2634.4371139707355</v>
      </c>
      <c r="AN209" s="498">
        <f ca="1">SUMIFS('IS(Y)'!19:19,'IS(Y)'!$3:$3,AN$199)*100</f>
        <v>2525.6821159299475</v>
      </c>
      <c r="AO209" s="498">
        <f ca="1">SUMIFS('IS(Y)'!19:19,'IS(Y)'!$3:$3,AO$199)*100</f>
        <v>2294.4334551453467</v>
      </c>
      <c r="AP209" s="498">
        <f ca="1">SUMIFS('IS(Y)'!19:19,'IS(Y)'!$3:$3,AP$199)*100</f>
        <v>20305.938381688811</v>
      </c>
      <c r="AQ209" s="498">
        <f ca="1">SUMIFS('IS(Y)'!19:19,'IS(Y)'!$3:$3,AQ$199)*100</f>
        <v>0</v>
      </c>
      <c r="AR209" s="498">
        <f ca="1">SUMIFS('IS(Y)'!19:19,'IS(Y)'!$3:$3,AR$199)*100</f>
        <v>0</v>
      </c>
      <c r="AS209" s="498">
        <f ca="1">SUMIFS('IS(Y)'!19:19,'IS(Y)'!$3:$3,AS$199)*100</f>
        <v>0</v>
      </c>
      <c r="AT209" s="498">
        <f ca="1">SUMIFS('IS(Y)'!19:19,'IS(Y)'!$3:$3,AT$199)*100</f>
        <v>0</v>
      </c>
    </row>
    <row r="210" spans="2:46" ht="17.45" customHeight="1" thickBot="1">
      <c r="B210" s="1863">
        <f t="shared" ca="1" si="96"/>
        <v>0</v>
      </c>
      <c r="C210" s="1847" t="s">
        <v>3649</v>
      </c>
      <c r="D210" s="1863">
        <f t="shared" ca="1" si="97"/>
        <v>0</v>
      </c>
      <c r="E210" s="1863">
        <f ca="1">SUMIFS('IS(Y)'!20:20,'IS(Y)'!$3:$3,E$199)*100</f>
        <v>0</v>
      </c>
      <c r="F210" s="1863">
        <f ca="1">SUMIFS('IS(Y)'!20:20,'IS(Y)'!$3:$3,F$199)*100</f>
        <v>0</v>
      </c>
      <c r="G210" s="1863">
        <f ca="1">SUMIFS('IS(Y)'!20:20,'IS(Y)'!$3:$3,G$199)*100</f>
        <v>0</v>
      </c>
      <c r="H210" s="1863">
        <f ca="1">SUMIFS('IS(Y)'!20:20,'IS(Y)'!$3:$3,H$199)*100</f>
        <v>0</v>
      </c>
      <c r="I210" s="1863">
        <f ca="1">SUMIFS('IS(Y)'!20:20,'IS(Y)'!$3:$3,I$199)*100</f>
        <v>0</v>
      </c>
      <c r="J210" s="1863">
        <f ca="1">SUMIFS('IS(Y)'!20:20,'IS(Y)'!$3:$3,J$199)*100</f>
        <v>0</v>
      </c>
      <c r="K210" s="1863">
        <f ca="1">SUMIFS('IS(Y)'!20:20,'IS(Y)'!$3:$3,K$199)*100</f>
        <v>0</v>
      </c>
      <c r="L210" s="1863">
        <f ca="1">SUMIFS('IS(Y)'!20:20,'IS(Y)'!$3:$3,L$199)*100</f>
        <v>0</v>
      </c>
      <c r="M210" s="1863">
        <f ca="1">SUMIFS('IS(Y)'!20:20,'IS(Y)'!$3:$3,M$199)*100</f>
        <v>0</v>
      </c>
      <c r="N210" s="1863">
        <f ca="1">SUMIFS('IS(Y)'!20:20,'IS(Y)'!$3:$3,N$199)*100</f>
        <v>0</v>
      </c>
      <c r="O210" s="1863">
        <f ca="1">SUMIFS('IS(Y)'!20:20,'IS(Y)'!$3:$3,O$199)*100</f>
        <v>0</v>
      </c>
      <c r="P210" s="1863">
        <f ca="1">SUMIFS('IS(Y)'!20:20,'IS(Y)'!$3:$3,P$199)*100</f>
        <v>0</v>
      </c>
      <c r="Q210" s="498">
        <f ca="1">SUMIFS('IS(Y)'!20:20,'IS(Y)'!$3:$3,Q$199)*100</f>
        <v>0</v>
      </c>
      <c r="R210" s="498">
        <f ca="1">SUMIFS('IS(Y)'!20:20,'IS(Y)'!$3:$3,R$199)*100</f>
        <v>0</v>
      </c>
      <c r="S210" s="498">
        <f ca="1">SUMIFS('IS(Y)'!20:20,'IS(Y)'!$3:$3,S$199)*100</f>
        <v>0</v>
      </c>
      <c r="T210" s="498">
        <f ca="1">SUMIFS('IS(Y)'!20:20,'IS(Y)'!$3:$3,T$199)*100</f>
        <v>0</v>
      </c>
      <c r="U210" s="498">
        <f ca="1">SUMIFS('IS(Y)'!20:20,'IS(Y)'!$3:$3,U$199)*100</f>
        <v>0</v>
      </c>
      <c r="V210" s="498">
        <f ca="1">SUMIFS('IS(Y)'!20:20,'IS(Y)'!$3:$3,V$199)*100</f>
        <v>0</v>
      </c>
      <c r="W210" s="498">
        <f ca="1">SUMIFS('IS(Y)'!20:20,'IS(Y)'!$3:$3,W$199)*100</f>
        <v>0</v>
      </c>
      <c r="X210" s="498">
        <f ca="1">SUMIFS('IS(Y)'!20:20,'IS(Y)'!$3:$3,X$199)*100</f>
        <v>0</v>
      </c>
      <c r="Y210" s="498">
        <f ca="1">SUMIFS('IS(Y)'!20:20,'IS(Y)'!$3:$3,Y$199)*100</f>
        <v>0</v>
      </c>
      <c r="Z210" s="498">
        <f ca="1">SUMIFS('IS(Y)'!20:20,'IS(Y)'!$3:$3,Z$199)*100</f>
        <v>0</v>
      </c>
      <c r="AA210" s="498">
        <f ca="1">SUMIFS('IS(Y)'!20:20,'IS(Y)'!$3:$3,AA$199)*100</f>
        <v>0</v>
      </c>
      <c r="AB210" s="498">
        <f ca="1">SUMIFS('IS(Y)'!20:20,'IS(Y)'!$3:$3,AB$199)*100</f>
        <v>0</v>
      </c>
      <c r="AC210" s="498">
        <f ca="1">SUMIFS('IS(Y)'!20:20,'IS(Y)'!$3:$3,AC$199)*100</f>
        <v>0</v>
      </c>
      <c r="AD210" s="498">
        <f ca="1">SUMIFS('IS(Y)'!20:20,'IS(Y)'!$3:$3,AD$199)*100</f>
        <v>0</v>
      </c>
      <c r="AE210" s="498">
        <f ca="1">SUMIFS('IS(Y)'!20:20,'IS(Y)'!$3:$3,AE$199)*100</f>
        <v>0</v>
      </c>
      <c r="AF210" s="498">
        <f ca="1">SUMIFS('IS(Y)'!20:20,'IS(Y)'!$3:$3,AF$199)*100</f>
        <v>0</v>
      </c>
      <c r="AG210" s="498">
        <f ca="1">SUMIFS('IS(Y)'!20:20,'IS(Y)'!$3:$3,AG$199)*100</f>
        <v>0</v>
      </c>
      <c r="AH210" s="498">
        <f ca="1">SUMIFS('IS(Y)'!20:20,'IS(Y)'!$3:$3,AH$199)*100</f>
        <v>0</v>
      </c>
      <c r="AI210" s="498">
        <f ca="1">SUMIFS('IS(Y)'!20:20,'IS(Y)'!$3:$3,AI$199)*100</f>
        <v>0</v>
      </c>
      <c r="AJ210" s="498">
        <f ca="1">SUMIFS('IS(Y)'!20:20,'IS(Y)'!$3:$3,AJ$199)*100</f>
        <v>0</v>
      </c>
      <c r="AK210" s="498">
        <f ca="1">SUMIFS('IS(Y)'!20:20,'IS(Y)'!$3:$3,AK$199)*100</f>
        <v>0</v>
      </c>
      <c r="AL210" s="498">
        <f ca="1">SUMIFS('IS(Y)'!20:20,'IS(Y)'!$3:$3,AL$199)*100</f>
        <v>0</v>
      </c>
      <c r="AM210" s="498">
        <f ca="1">SUMIFS('IS(Y)'!20:20,'IS(Y)'!$3:$3,AM$199)*100</f>
        <v>0</v>
      </c>
      <c r="AN210" s="498">
        <f ca="1">SUMIFS('IS(Y)'!20:20,'IS(Y)'!$3:$3,AN$199)*100</f>
        <v>0</v>
      </c>
      <c r="AO210" s="498">
        <f ca="1">SUMIFS('IS(Y)'!20:20,'IS(Y)'!$3:$3,AO$199)*100</f>
        <v>0</v>
      </c>
      <c r="AP210" s="498">
        <f ca="1">SUMIFS('IS(Y)'!20:20,'IS(Y)'!$3:$3,AP$199)*100</f>
        <v>0</v>
      </c>
      <c r="AQ210" s="498">
        <f>SUMIFS('IS(Y)'!20:20,'IS(Y)'!$3:$3,AQ$199)*100</f>
        <v>0</v>
      </c>
      <c r="AR210" s="498">
        <f>SUMIFS('IS(Y)'!20:20,'IS(Y)'!$3:$3,AR$199)*100</f>
        <v>0</v>
      </c>
      <c r="AS210" s="498">
        <f>SUMIFS('IS(Y)'!20:20,'IS(Y)'!$3:$3,AS$199)*100</f>
        <v>0</v>
      </c>
      <c r="AT210" s="498">
        <f>SUMIFS('IS(Y)'!20:20,'IS(Y)'!$3:$3,AT$199)*100</f>
        <v>0</v>
      </c>
    </row>
    <row r="211" spans="2:46" ht="17.45" customHeight="1" thickBot="1">
      <c r="B211" s="1863">
        <f t="shared" ca="1" si="96"/>
        <v>54692.811586487544</v>
      </c>
      <c r="C211" s="1862" t="s">
        <v>3650</v>
      </c>
      <c r="D211" s="1863">
        <f t="shared" ca="1" si="97"/>
        <v>273136.11390022904</v>
      </c>
      <c r="E211" s="1863">
        <f ca="1">SUMIFS('IS(Y)'!21:21,'IS(Y)'!$3:$3,E$199)*100</f>
        <v>12095.328176506468</v>
      </c>
      <c r="F211" s="1863">
        <f ca="1">SUMIFS('IS(Y)'!21:21,'IS(Y)'!$3:$3,F$199)*100</f>
        <v>13581.884585759724</v>
      </c>
      <c r="G211" s="1863">
        <f ca="1">SUMIFS('IS(Y)'!21:21,'IS(Y)'!$3:$3,G$199)*100</f>
        <v>14095.324534781275</v>
      </c>
      <c r="H211" s="1863">
        <f ca="1">SUMIFS('IS(Y)'!21:21,'IS(Y)'!$3:$3,H$199)*100</f>
        <v>6732.1749147599239</v>
      </c>
      <c r="I211" s="1863">
        <f ca="1">SUMIFS('IS(Y)'!21:21,'IS(Y)'!$3:$3,I$199)*100</f>
        <v>1242.41629396588</v>
      </c>
      <c r="J211" s="1863">
        <f ca="1">SUMIFS('IS(Y)'!21:21,'IS(Y)'!$3:$3,J$199)*100</f>
        <v>2220.4773080917166</v>
      </c>
      <c r="K211" s="1863">
        <f ca="1">SUMIFS('IS(Y)'!21:21,'IS(Y)'!$3:$3,K$199)*100</f>
        <v>2549.3520541286271</v>
      </c>
      <c r="L211" s="1863">
        <f ca="1">SUMIFS('IS(Y)'!21:21,'IS(Y)'!$3:$3,L$199)*100</f>
        <v>2175.853718493926</v>
      </c>
      <c r="M211" s="1863">
        <f ca="1">SUMIFS('IS(Y)'!21:21,'IS(Y)'!$3:$3,M$199)*100</f>
        <v>4011.1154234171809</v>
      </c>
      <c r="N211" s="1863">
        <f ca="1">SUMIFS('IS(Y)'!21:21,'IS(Y)'!$3:$3,N$199)*100</f>
        <v>3503.1876136194514</v>
      </c>
      <c r="O211" s="1863">
        <f ca="1">SUMIFS('IS(Y)'!21:21,'IS(Y)'!$3:$3,O$199)*100</f>
        <v>3724.2531701404005</v>
      </c>
      <c r="P211" s="1863">
        <f ca="1">SUMIFS('IS(Y)'!21:21,'IS(Y)'!$3:$3,P$199)*100</f>
        <v>4611.9184921741353</v>
      </c>
      <c r="Q211" s="498">
        <f ca="1">SUMIFS('IS(Y)'!21:21,'IS(Y)'!$3:$3,Q$199)*100</f>
        <v>4552.1806400526257</v>
      </c>
      <c r="R211" s="498">
        <f ca="1">SUMIFS('IS(Y)'!21:21,'IS(Y)'!$3:$3,R$199)*100</f>
        <v>3881.4025131799835</v>
      </c>
      <c r="S211" s="498">
        <f ca="1">SUMIFS('IS(Y)'!21:21,'IS(Y)'!$3:$3,S$199)*100</f>
        <v>5106.9875474854425</v>
      </c>
      <c r="T211" s="498">
        <f ca="1">SUMIFS('IS(Y)'!21:21,'IS(Y)'!$3:$3,T$199)*100</f>
        <v>4872.4208657821746</v>
      </c>
      <c r="U211" s="498">
        <f ca="1">SUMIFS('IS(Y)'!21:21,'IS(Y)'!$3:$3,U$199)*100</f>
        <v>4354.3782435385874</v>
      </c>
      <c r="V211" s="498">
        <f ca="1">SUMIFS('IS(Y)'!21:21,'IS(Y)'!$3:$3,V$199)*100</f>
        <v>4433.8254379805112</v>
      </c>
      <c r="W211" s="498">
        <f ca="1">SUMIFS('IS(Y)'!21:21,'IS(Y)'!$3:$3,W$199)*100</f>
        <v>6100.7207875035137</v>
      </c>
      <c r="X211" s="498">
        <f ca="1">SUMIFS('IS(Y)'!21:21,'IS(Y)'!$3:$3,X$199)*100</f>
        <v>6505.1225333355715</v>
      </c>
      <c r="Y211" s="498">
        <f ca="1">SUMIFS('IS(Y)'!21:21,'IS(Y)'!$3:$3,Y$199)*100</f>
        <v>8206.7953607770905</v>
      </c>
      <c r="Z211" s="498">
        <f ca="1">SUMIFS('IS(Y)'!21:21,'IS(Y)'!$3:$3,Z$199)*100</f>
        <v>7986.3605839274896</v>
      </c>
      <c r="AA211" s="498">
        <f ca="1">SUMIFS('IS(Y)'!21:21,'IS(Y)'!$3:$3,AA$199)*100</f>
        <v>8054.4716500625727</v>
      </c>
      <c r="AB211" s="498">
        <f ca="1">SUMIFS('IS(Y)'!21:21,'IS(Y)'!$3:$3,AB$199)*100</f>
        <v>8885.3506622055593</v>
      </c>
      <c r="AC211" s="498">
        <f ca="1">SUMIFS('IS(Y)'!21:21,'IS(Y)'!$3:$3,AC$199)*100</f>
        <v>9241.0962537524883</v>
      </c>
      <c r="AD211" s="498">
        <f ca="1">SUMIFS('IS(Y)'!21:21,'IS(Y)'!$3:$3,AD$199)*100</f>
        <v>8673.3222217981565</v>
      </c>
      <c r="AE211" s="498">
        <f ca="1">SUMIFS('IS(Y)'!21:21,'IS(Y)'!$3:$3,AE$199)*100</f>
        <v>9834.3129524510859</v>
      </c>
      <c r="AF211" s="498">
        <f ca="1">SUMIFS('IS(Y)'!21:21,'IS(Y)'!$3:$3,AF$199)*100</f>
        <v>8844.2050105389117</v>
      </c>
      <c r="AG211" s="498">
        <f ca="1">SUMIFS('IS(Y)'!21:21,'IS(Y)'!$3:$3,AG$199)*100</f>
        <v>9557.4433939498922</v>
      </c>
      <c r="AH211" s="498">
        <f ca="1">SUMIFS('IS(Y)'!21:21,'IS(Y)'!$3:$3,AH$199)*100</f>
        <v>10766.303139193406</v>
      </c>
      <c r="AI211" s="498">
        <f ca="1">SUMIFS('IS(Y)'!21:21,'IS(Y)'!$3:$3,AI$199)*100</f>
        <v>10425.234335853969</v>
      </c>
      <c r="AJ211" s="498">
        <f ca="1">SUMIFS('IS(Y)'!21:21,'IS(Y)'!$3:$3,AJ$199)*100</f>
        <v>10507.308345398331</v>
      </c>
      <c r="AK211" s="498">
        <f ca="1">SUMIFS('IS(Y)'!21:21,'IS(Y)'!$3:$3,AK$199)*100</f>
        <v>12194.883520521216</v>
      </c>
      <c r="AL211" s="498">
        <f ca="1">SUMIFS('IS(Y)'!21:21,'IS(Y)'!$3:$3,AL$199)*100</f>
        <v>12234.531221181476</v>
      </c>
      <c r="AM211" s="498">
        <f ca="1">SUMIFS('IS(Y)'!21:21,'IS(Y)'!$3:$3,AM$199)*100</f>
        <v>12503.765892802601</v>
      </c>
      <c r="AN211" s="498">
        <f ca="1">SUMIFS('IS(Y)'!21:21,'IS(Y)'!$3:$3,AN$199)*100</f>
        <v>13563.025161746822</v>
      </c>
      <c r="AO211" s="498">
        <f ca="1">SUMIFS('IS(Y)'!21:21,'IS(Y)'!$3:$3,AO$199)*100</f>
        <v>13705.140578472276</v>
      </c>
      <c r="AP211" s="498">
        <f ca="1">SUMIFS('IS(Y)'!21:21,'IS(Y)'!$3:$3,AP$199)*100</f>
        <v>-12397.761239101397</v>
      </c>
      <c r="AQ211" s="498">
        <f ca="1">SUMIFS('IS(Y)'!21:21,'IS(Y)'!$3:$3,AQ$199)*100</f>
        <v>0</v>
      </c>
      <c r="AR211" s="498">
        <f ca="1">SUMIFS('IS(Y)'!21:21,'IS(Y)'!$3:$3,AR$199)*100</f>
        <v>0</v>
      </c>
      <c r="AS211" s="498">
        <f ca="1">SUMIFS('IS(Y)'!21:21,'IS(Y)'!$3:$3,AS$199)*100</f>
        <v>0</v>
      </c>
      <c r="AT211" s="498">
        <f ca="1">SUMIFS('IS(Y)'!21:21,'IS(Y)'!$3:$3,AT$199)*100</f>
        <v>0</v>
      </c>
    </row>
    <row r="212" spans="2:46" ht="17.45" customHeight="1" thickBot="1">
      <c r="B212" s="1863">
        <f t="shared" si="96"/>
        <v>0</v>
      </c>
      <c r="C212" s="1862" t="s">
        <v>3651</v>
      </c>
      <c r="D212" s="1863">
        <f t="shared" si="97"/>
        <v>0</v>
      </c>
      <c r="E212" s="1863">
        <f>SUMIFS('IS(Y)'!22:22,'IS(Y)'!$3:$3,E$199)*100</f>
        <v>0</v>
      </c>
      <c r="F212" s="1863">
        <f>SUMIFS('IS(Y)'!22:22,'IS(Y)'!$3:$3,F$199)*100</f>
        <v>0</v>
      </c>
      <c r="G212" s="1863">
        <f>SUMIFS('IS(Y)'!22:22,'IS(Y)'!$3:$3,G$199)*100</f>
        <v>0</v>
      </c>
      <c r="H212" s="1863">
        <f>SUMIFS('IS(Y)'!22:22,'IS(Y)'!$3:$3,H$199)*100</f>
        <v>0</v>
      </c>
      <c r="I212" s="1863">
        <f>SUMIFS('IS(Y)'!22:22,'IS(Y)'!$3:$3,I$199)*100</f>
        <v>0</v>
      </c>
      <c r="J212" s="1863">
        <f>SUMIFS('IS(Y)'!22:22,'IS(Y)'!$3:$3,J$199)*100</f>
        <v>0</v>
      </c>
      <c r="K212" s="1863">
        <f>SUMIFS('IS(Y)'!22:22,'IS(Y)'!$3:$3,K$199)*100</f>
        <v>0</v>
      </c>
      <c r="L212" s="1863">
        <f>SUMIFS('IS(Y)'!22:22,'IS(Y)'!$3:$3,L$199)*100</f>
        <v>0</v>
      </c>
      <c r="M212" s="1863">
        <f>SUMIFS('IS(Y)'!22:22,'IS(Y)'!$3:$3,M$199)*100</f>
        <v>0</v>
      </c>
      <c r="N212" s="1863">
        <f>SUMIFS('IS(Y)'!22:22,'IS(Y)'!$3:$3,N$199)*100</f>
        <v>0</v>
      </c>
      <c r="O212" s="1863">
        <f>SUMIFS('IS(Y)'!22:22,'IS(Y)'!$3:$3,O$199)*100</f>
        <v>0</v>
      </c>
      <c r="P212" s="1863">
        <f>SUMIFS('IS(Y)'!22:22,'IS(Y)'!$3:$3,P$199)*100</f>
        <v>0</v>
      </c>
      <c r="Q212" s="498">
        <f>SUMIFS('IS(Y)'!22:22,'IS(Y)'!$3:$3,Q$199)*100</f>
        <v>0</v>
      </c>
      <c r="R212" s="498">
        <f>SUMIFS('IS(Y)'!22:22,'IS(Y)'!$3:$3,R$199)*100</f>
        <v>0</v>
      </c>
      <c r="S212" s="498">
        <f>SUMIFS('IS(Y)'!22:22,'IS(Y)'!$3:$3,S$199)*100</f>
        <v>0</v>
      </c>
      <c r="T212" s="498">
        <f>SUMIFS('IS(Y)'!22:22,'IS(Y)'!$3:$3,T$199)*100</f>
        <v>0</v>
      </c>
      <c r="U212" s="498">
        <f>SUMIFS('IS(Y)'!22:22,'IS(Y)'!$3:$3,U$199)*100</f>
        <v>0</v>
      </c>
      <c r="V212" s="498">
        <f>SUMIFS('IS(Y)'!22:22,'IS(Y)'!$3:$3,V$199)*100</f>
        <v>0</v>
      </c>
      <c r="W212" s="498">
        <f>SUMIFS('IS(Y)'!22:22,'IS(Y)'!$3:$3,W$199)*100</f>
        <v>0</v>
      </c>
      <c r="X212" s="498">
        <f>SUMIFS('IS(Y)'!22:22,'IS(Y)'!$3:$3,X$199)*100</f>
        <v>0</v>
      </c>
      <c r="Y212" s="498">
        <f>SUMIFS('IS(Y)'!22:22,'IS(Y)'!$3:$3,Y$199)*100</f>
        <v>0</v>
      </c>
      <c r="Z212" s="498">
        <f>SUMIFS('IS(Y)'!22:22,'IS(Y)'!$3:$3,Z$199)*100</f>
        <v>0</v>
      </c>
      <c r="AA212" s="498">
        <f>SUMIFS('IS(Y)'!22:22,'IS(Y)'!$3:$3,AA$199)*100</f>
        <v>0</v>
      </c>
      <c r="AB212" s="498">
        <f>SUMIFS('IS(Y)'!22:22,'IS(Y)'!$3:$3,AB$199)*100</f>
        <v>0</v>
      </c>
      <c r="AC212" s="498">
        <f>SUMIFS('IS(Y)'!22:22,'IS(Y)'!$3:$3,AC$199)*100</f>
        <v>0</v>
      </c>
      <c r="AD212" s="498">
        <f>SUMIFS('IS(Y)'!22:22,'IS(Y)'!$3:$3,AD$199)*100</f>
        <v>0</v>
      </c>
      <c r="AE212" s="498">
        <f>SUMIFS('IS(Y)'!22:22,'IS(Y)'!$3:$3,AE$199)*100</f>
        <v>0</v>
      </c>
      <c r="AF212" s="498">
        <f>SUMIFS('IS(Y)'!22:22,'IS(Y)'!$3:$3,AF$199)*100</f>
        <v>0</v>
      </c>
      <c r="AG212" s="498">
        <f>SUMIFS('IS(Y)'!22:22,'IS(Y)'!$3:$3,AG$199)*100</f>
        <v>0</v>
      </c>
      <c r="AH212" s="498">
        <f>SUMIFS('IS(Y)'!22:22,'IS(Y)'!$3:$3,AH$199)*100</f>
        <v>0</v>
      </c>
      <c r="AI212" s="498">
        <f>SUMIFS('IS(Y)'!22:22,'IS(Y)'!$3:$3,AI$199)*100</f>
        <v>0</v>
      </c>
      <c r="AJ212" s="498">
        <f>SUMIFS('IS(Y)'!22:22,'IS(Y)'!$3:$3,AJ$199)*100</f>
        <v>0</v>
      </c>
      <c r="AK212" s="498">
        <f>SUMIFS('IS(Y)'!22:22,'IS(Y)'!$3:$3,AK$199)*100</f>
        <v>0</v>
      </c>
      <c r="AL212" s="498">
        <f>SUMIFS('IS(Y)'!22:22,'IS(Y)'!$3:$3,AL$199)*100</f>
        <v>0</v>
      </c>
      <c r="AM212" s="498">
        <f>SUMIFS('IS(Y)'!22:22,'IS(Y)'!$3:$3,AM$199)*100</f>
        <v>0</v>
      </c>
      <c r="AN212" s="498">
        <f>SUMIFS('IS(Y)'!22:22,'IS(Y)'!$3:$3,AN$199)*100</f>
        <v>0</v>
      </c>
      <c r="AO212" s="498">
        <f>SUMIFS('IS(Y)'!22:22,'IS(Y)'!$3:$3,AO$199)*100</f>
        <v>0</v>
      </c>
      <c r="AP212" s="498">
        <f>SUMIFS('IS(Y)'!22:22,'IS(Y)'!$3:$3,AP$199)*100</f>
        <v>0</v>
      </c>
      <c r="AQ212" s="498">
        <f>SUMIFS('IS(Y)'!22:22,'IS(Y)'!$3:$3,AQ$199)*100</f>
        <v>0</v>
      </c>
      <c r="AR212" s="498">
        <f>SUMIFS('IS(Y)'!22:22,'IS(Y)'!$3:$3,AR$199)*100</f>
        <v>0</v>
      </c>
      <c r="AS212" s="498">
        <f>SUMIFS('IS(Y)'!22:22,'IS(Y)'!$3:$3,AS$199)*100</f>
        <v>0</v>
      </c>
      <c r="AT212" s="498">
        <f>SUMIFS('IS(Y)'!22:22,'IS(Y)'!$3:$3,AT$199)*100</f>
        <v>0</v>
      </c>
    </row>
    <row r="213" spans="2:46" ht="17.45" customHeight="1" thickBot="1">
      <c r="B213" s="1863">
        <f t="shared" ca="1" si="96"/>
        <v>13979.000708317008</v>
      </c>
      <c r="C213" s="1862" t="s">
        <v>3652</v>
      </c>
      <c r="D213" s="1863">
        <f t="shared" ca="1" si="97"/>
        <v>13979.000708317008</v>
      </c>
      <c r="E213" s="1863">
        <f ca="1">SUMIFS('IS(Y)'!28:28,'IS(Y)'!$3:$3,E$199)*100</f>
        <v>4222.0397166310231</v>
      </c>
      <c r="F213" s="1863">
        <f ca="1">SUMIFS('IS(Y)'!28:28,'IS(Y)'!$3:$3,F$199)*100</f>
        <v>3473.6484787596601</v>
      </c>
      <c r="G213" s="1863">
        <f ca="1">SUMIFS('IS(Y)'!28:28,'IS(Y)'!$3:$3,G$199)*100</f>
        <v>2712.8382796775918</v>
      </c>
      <c r="H213" s="1863">
        <f ca="1">SUMIFS('IS(Y)'!28:28,'IS(Y)'!$3:$3,H$199)*100</f>
        <v>1836.3622579148971</v>
      </c>
      <c r="I213" s="1863">
        <f ca="1">SUMIFS('IS(Y)'!28:28,'IS(Y)'!$3:$3,I$199)*100</f>
        <v>948.96027321772772</v>
      </c>
      <c r="J213" s="1863">
        <f ca="1">SUMIFS('IS(Y)'!28:28,'IS(Y)'!$3:$3,J$199)*100</f>
        <v>450.36366147559528</v>
      </c>
      <c r="K213" s="1863">
        <f ca="1">SUMIFS('IS(Y)'!28:28,'IS(Y)'!$3:$3,K$199)*100</f>
        <v>261.76297356191486</v>
      </c>
      <c r="L213" s="1863">
        <f ca="1">SUMIFS('IS(Y)'!28:28,'IS(Y)'!$3:$3,L$199)*100</f>
        <v>73.025067078595356</v>
      </c>
      <c r="M213" s="1863">
        <f ca="1">SUMIFS('IS(Y)'!28:28,'IS(Y)'!$3:$3,M$199)*100</f>
        <v>0</v>
      </c>
      <c r="N213" s="1863">
        <f ca="1">SUMIFS('IS(Y)'!28:28,'IS(Y)'!$3:$3,N$199)*100</f>
        <v>0</v>
      </c>
      <c r="O213" s="1863">
        <f ca="1">SUMIFS('IS(Y)'!28:28,'IS(Y)'!$3:$3,O$199)*100</f>
        <v>0</v>
      </c>
      <c r="P213" s="1863">
        <f ca="1">SUMIFS('IS(Y)'!28:28,'IS(Y)'!$3:$3,P$199)*100</f>
        <v>0</v>
      </c>
      <c r="Q213" s="498">
        <f ca="1">SUMIFS('IS(Y)'!28:28,'IS(Y)'!$3:$3,Q$199)*100</f>
        <v>0</v>
      </c>
      <c r="R213" s="498">
        <f ca="1">SUMIFS('IS(Y)'!28:28,'IS(Y)'!$3:$3,R$199)*100</f>
        <v>0</v>
      </c>
      <c r="S213" s="498">
        <f ca="1">SUMIFS('IS(Y)'!28:28,'IS(Y)'!$3:$3,S$199)*100</f>
        <v>0</v>
      </c>
      <c r="T213" s="498">
        <f ca="1">SUMIFS('IS(Y)'!28:28,'IS(Y)'!$3:$3,T$199)*100</f>
        <v>0</v>
      </c>
      <c r="U213" s="498">
        <f ca="1">SUMIFS('IS(Y)'!28:28,'IS(Y)'!$3:$3,U$199)*100</f>
        <v>0</v>
      </c>
      <c r="V213" s="498">
        <f ca="1">SUMIFS('IS(Y)'!28:28,'IS(Y)'!$3:$3,V$199)*100</f>
        <v>0</v>
      </c>
      <c r="W213" s="498">
        <f ca="1">SUMIFS('IS(Y)'!28:28,'IS(Y)'!$3:$3,W$199)*100</f>
        <v>0</v>
      </c>
      <c r="X213" s="498">
        <f ca="1">SUMIFS('IS(Y)'!28:28,'IS(Y)'!$3:$3,X$199)*100</f>
        <v>0</v>
      </c>
      <c r="Y213" s="498">
        <f ca="1">SUMIFS('IS(Y)'!28:28,'IS(Y)'!$3:$3,Y$199)*100</f>
        <v>0</v>
      </c>
      <c r="Z213" s="498">
        <f ca="1">SUMIFS('IS(Y)'!28:28,'IS(Y)'!$3:$3,Z$199)*100</f>
        <v>0</v>
      </c>
      <c r="AA213" s="498">
        <f ca="1">SUMIFS('IS(Y)'!28:28,'IS(Y)'!$3:$3,AA$199)*100</f>
        <v>0</v>
      </c>
      <c r="AB213" s="498">
        <f ca="1">SUMIFS('IS(Y)'!28:28,'IS(Y)'!$3:$3,AB$199)*100</f>
        <v>0</v>
      </c>
      <c r="AC213" s="498">
        <f ca="1">SUMIFS('IS(Y)'!28:28,'IS(Y)'!$3:$3,AC$199)*100</f>
        <v>0</v>
      </c>
      <c r="AD213" s="498">
        <f ca="1">SUMIFS('IS(Y)'!28:28,'IS(Y)'!$3:$3,AD$199)*100</f>
        <v>0</v>
      </c>
      <c r="AE213" s="498">
        <f ca="1">SUMIFS('IS(Y)'!28:28,'IS(Y)'!$3:$3,AE$199)*100</f>
        <v>0</v>
      </c>
      <c r="AF213" s="498">
        <f ca="1">SUMIFS('IS(Y)'!28:28,'IS(Y)'!$3:$3,AF$199)*100</f>
        <v>0</v>
      </c>
      <c r="AG213" s="498">
        <f ca="1">SUMIFS('IS(Y)'!28:28,'IS(Y)'!$3:$3,AG$199)*100</f>
        <v>0</v>
      </c>
      <c r="AH213" s="498">
        <f ca="1">SUMIFS('IS(Y)'!28:28,'IS(Y)'!$3:$3,AH$199)*100</f>
        <v>0</v>
      </c>
      <c r="AI213" s="498">
        <f ca="1">SUMIFS('IS(Y)'!28:28,'IS(Y)'!$3:$3,AI$199)*100</f>
        <v>0</v>
      </c>
      <c r="AJ213" s="498">
        <f ca="1">SUMIFS('IS(Y)'!28:28,'IS(Y)'!$3:$3,AJ$199)*100</f>
        <v>0</v>
      </c>
      <c r="AK213" s="498">
        <f ca="1">SUMIFS('IS(Y)'!28:28,'IS(Y)'!$3:$3,AK$199)*100</f>
        <v>0</v>
      </c>
      <c r="AL213" s="498">
        <f ca="1">SUMIFS('IS(Y)'!28:28,'IS(Y)'!$3:$3,AL$199)*100</f>
        <v>0</v>
      </c>
      <c r="AM213" s="498">
        <f ca="1">SUMIFS('IS(Y)'!28:28,'IS(Y)'!$3:$3,AM$199)*100</f>
        <v>0</v>
      </c>
      <c r="AN213" s="498">
        <f ca="1">SUMIFS('IS(Y)'!28:28,'IS(Y)'!$3:$3,AN$199)*100</f>
        <v>0</v>
      </c>
      <c r="AO213" s="498">
        <f ca="1">SUMIFS('IS(Y)'!28:28,'IS(Y)'!$3:$3,AO$199)*100</f>
        <v>0</v>
      </c>
      <c r="AP213" s="498">
        <f ca="1">SUMIFS('IS(Y)'!28:28,'IS(Y)'!$3:$3,AP$199)*100</f>
        <v>0</v>
      </c>
      <c r="AQ213" s="498">
        <f ca="1">SUMIFS('IS(Y)'!28:28,'IS(Y)'!$3:$3,AQ$199)*100</f>
        <v>0</v>
      </c>
      <c r="AR213" s="498">
        <f ca="1">SUMIFS('IS(Y)'!28:28,'IS(Y)'!$3:$3,AR$199)*100</f>
        <v>0</v>
      </c>
      <c r="AS213" s="498">
        <f ca="1">SUMIFS('IS(Y)'!28:28,'IS(Y)'!$3:$3,AS$199)*100</f>
        <v>0</v>
      </c>
      <c r="AT213" s="498">
        <f>SUMIFS('IS(Y)'!28:28,'IS(Y)'!$3:$3,AT$199)*100</f>
        <v>0</v>
      </c>
    </row>
    <row r="214" spans="2:46" ht="17.45" customHeight="1" thickBot="1">
      <c r="B214" s="1863">
        <f t="shared" ca="1" si="96"/>
        <v>13143.478793499997</v>
      </c>
      <c r="C214" s="1847" t="s">
        <v>765</v>
      </c>
      <c r="D214" s="1863">
        <f t="shared" ca="1" si="97"/>
        <v>13143.478793499997</v>
      </c>
      <c r="E214" s="1863">
        <f ca="1">SUMIFS('IS(Y)'!29:29,'IS(Y)'!$3:$3,E$199)*100</f>
        <v>3988.2194384999993</v>
      </c>
      <c r="F214" s="1863">
        <f ca="1">SUMIFS('IS(Y)'!29:29,'IS(Y)'!$3:$3,F$199)*100</f>
        <v>3271.3192104999998</v>
      </c>
      <c r="G214" s="1863">
        <f ca="1">SUMIFS('IS(Y)'!29:29,'IS(Y)'!$3:$3,G$199)*100</f>
        <v>2545.1805774999993</v>
      </c>
      <c r="H214" s="1863">
        <f ca="1">SUMIFS('IS(Y)'!29:29,'IS(Y)'!$3:$3,H$199)*100</f>
        <v>1719.2671704999996</v>
      </c>
      <c r="I214" s="1863">
        <f ca="1">SUMIFS('IS(Y)'!29:29,'IS(Y)'!$3:$3,I$199)*100</f>
        <v>887.81072049999977</v>
      </c>
      <c r="J214" s="1863">
        <f ca="1">SUMIFS('IS(Y)'!29:29,'IS(Y)'!$3:$3,J$199)*100</f>
        <v>421.27126799999957</v>
      </c>
      <c r="K214" s="1863">
        <f ca="1">SUMIFS('IS(Y)'!29:29,'IS(Y)'!$3:$3,K$199)*100</f>
        <v>243.89389199999957</v>
      </c>
      <c r="L214" s="1863">
        <f ca="1">SUMIFS('IS(Y)'!29:29,'IS(Y)'!$3:$3,L$199)*100</f>
        <v>66.516515999999655</v>
      </c>
      <c r="M214" s="1863">
        <f ca="1">SUMIFS('IS(Y)'!29:29,'IS(Y)'!$3:$3,M$199)*100</f>
        <v>0</v>
      </c>
      <c r="N214" s="1863">
        <f ca="1">SUMIFS('IS(Y)'!29:29,'IS(Y)'!$3:$3,N$199)*100</f>
        <v>0</v>
      </c>
      <c r="O214" s="1863">
        <f ca="1">SUMIFS('IS(Y)'!29:29,'IS(Y)'!$3:$3,O$199)*100</f>
        <v>0</v>
      </c>
      <c r="P214" s="1863">
        <f ca="1">SUMIFS('IS(Y)'!29:29,'IS(Y)'!$3:$3,P$199)*100</f>
        <v>0</v>
      </c>
      <c r="Q214" s="498">
        <f ca="1">SUMIFS('IS(Y)'!29:29,'IS(Y)'!$3:$3,Q$199)*100</f>
        <v>0</v>
      </c>
      <c r="R214" s="498">
        <f ca="1">SUMIFS('IS(Y)'!29:29,'IS(Y)'!$3:$3,R$199)*100</f>
        <v>0</v>
      </c>
      <c r="S214" s="498">
        <f ca="1">SUMIFS('IS(Y)'!29:29,'IS(Y)'!$3:$3,S$199)*100</f>
        <v>0</v>
      </c>
      <c r="T214" s="498">
        <f ca="1">SUMIFS('IS(Y)'!29:29,'IS(Y)'!$3:$3,T$199)*100</f>
        <v>0</v>
      </c>
      <c r="U214" s="498">
        <f ca="1">SUMIFS('IS(Y)'!29:29,'IS(Y)'!$3:$3,U$199)*100</f>
        <v>0</v>
      </c>
      <c r="V214" s="498">
        <f ca="1">SUMIFS('IS(Y)'!29:29,'IS(Y)'!$3:$3,V$199)*100</f>
        <v>0</v>
      </c>
      <c r="W214" s="498">
        <f ca="1">SUMIFS('IS(Y)'!29:29,'IS(Y)'!$3:$3,W$199)*100</f>
        <v>0</v>
      </c>
      <c r="X214" s="498">
        <f ca="1">SUMIFS('IS(Y)'!29:29,'IS(Y)'!$3:$3,X$199)*100</f>
        <v>0</v>
      </c>
      <c r="Y214" s="498">
        <f ca="1">SUMIFS('IS(Y)'!29:29,'IS(Y)'!$3:$3,Y$199)*100</f>
        <v>0</v>
      </c>
      <c r="Z214" s="498">
        <f ca="1">SUMIFS('IS(Y)'!29:29,'IS(Y)'!$3:$3,Z$199)*100</f>
        <v>0</v>
      </c>
      <c r="AA214" s="498">
        <f ca="1">SUMIFS('IS(Y)'!29:29,'IS(Y)'!$3:$3,AA$199)*100</f>
        <v>0</v>
      </c>
      <c r="AB214" s="498">
        <f ca="1">SUMIFS('IS(Y)'!29:29,'IS(Y)'!$3:$3,AB$199)*100</f>
        <v>0</v>
      </c>
      <c r="AC214" s="498">
        <f ca="1">SUMIFS('IS(Y)'!29:29,'IS(Y)'!$3:$3,AC$199)*100</f>
        <v>0</v>
      </c>
      <c r="AD214" s="498">
        <f ca="1">SUMIFS('IS(Y)'!29:29,'IS(Y)'!$3:$3,AD$199)*100</f>
        <v>0</v>
      </c>
      <c r="AE214" s="498">
        <f ca="1">SUMIFS('IS(Y)'!29:29,'IS(Y)'!$3:$3,AE$199)*100</f>
        <v>0</v>
      </c>
      <c r="AF214" s="498">
        <f ca="1">SUMIFS('IS(Y)'!29:29,'IS(Y)'!$3:$3,AF$199)*100</f>
        <v>0</v>
      </c>
      <c r="AG214" s="498">
        <f ca="1">SUMIFS('IS(Y)'!29:29,'IS(Y)'!$3:$3,AG$199)*100</f>
        <v>0</v>
      </c>
      <c r="AH214" s="498">
        <f ca="1">SUMIFS('IS(Y)'!29:29,'IS(Y)'!$3:$3,AH$199)*100</f>
        <v>0</v>
      </c>
      <c r="AI214" s="498">
        <f ca="1">SUMIFS('IS(Y)'!29:29,'IS(Y)'!$3:$3,AI$199)*100</f>
        <v>0</v>
      </c>
      <c r="AJ214" s="498">
        <f ca="1">SUMIFS('IS(Y)'!29:29,'IS(Y)'!$3:$3,AJ$199)*100</f>
        <v>0</v>
      </c>
      <c r="AK214" s="498">
        <f ca="1">SUMIFS('IS(Y)'!29:29,'IS(Y)'!$3:$3,AK$199)*100</f>
        <v>0</v>
      </c>
      <c r="AL214" s="498">
        <f ca="1">SUMIFS('IS(Y)'!29:29,'IS(Y)'!$3:$3,AL$199)*100</f>
        <v>0</v>
      </c>
      <c r="AM214" s="498">
        <f ca="1">SUMIFS('IS(Y)'!29:29,'IS(Y)'!$3:$3,AM$199)*100</f>
        <v>0</v>
      </c>
      <c r="AN214" s="498">
        <f ca="1">SUMIFS('IS(Y)'!29:29,'IS(Y)'!$3:$3,AN$199)*100</f>
        <v>0</v>
      </c>
      <c r="AO214" s="498">
        <f ca="1">SUMIFS('IS(Y)'!29:29,'IS(Y)'!$3:$3,AO$199)*100</f>
        <v>0</v>
      </c>
      <c r="AP214" s="498">
        <f ca="1">SUMIFS('IS(Y)'!29:29,'IS(Y)'!$3:$3,AP$199)*100</f>
        <v>0</v>
      </c>
      <c r="AQ214" s="498">
        <f ca="1">SUMIFS('IS(Y)'!29:29,'IS(Y)'!$3:$3,AQ$199)*100</f>
        <v>0</v>
      </c>
      <c r="AR214" s="498">
        <f ca="1">SUMIFS('IS(Y)'!29:29,'IS(Y)'!$3:$3,AR$199)*100</f>
        <v>0</v>
      </c>
      <c r="AS214" s="498">
        <f ca="1">SUMIFS('IS(Y)'!29:29,'IS(Y)'!$3:$3,AS$199)*100</f>
        <v>0</v>
      </c>
      <c r="AT214" s="498">
        <f>SUMIFS('IS(Y)'!29:29,'IS(Y)'!$3:$3,AT$199)*100</f>
        <v>0</v>
      </c>
    </row>
    <row r="215" spans="2:46" ht="17.45" customHeight="1" thickBot="1">
      <c r="B215" s="1863">
        <f t="shared" si="96"/>
        <v>835.52191481700811</v>
      </c>
      <c r="C215" s="1847" t="s">
        <v>3653</v>
      </c>
      <c r="D215" s="1863">
        <f t="shared" si="97"/>
        <v>835.52191481700811</v>
      </c>
      <c r="E215" s="1863">
        <f>SUMIFS('IS(Y)'!32:32,'IS(Y)'!$3:$3,E$199)*100</f>
        <v>233.82027813102351</v>
      </c>
      <c r="F215" s="1863">
        <f>SUMIFS('IS(Y)'!32:32,'IS(Y)'!$3:$3,F$199)*100</f>
        <v>202.32926825966032</v>
      </c>
      <c r="G215" s="1863">
        <f>SUMIFS('IS(Y)'!32:32,'IS(Y)'!$3:$3,G$199)*100</f>
        <v>167.6577021775922</v>
      </c>
      <c r="H215" s="1863">
        <f>SUMIFS('IS(Y)'!32:32,'IS(Y)'!$3:$3,H$199)*100</f>
        <v>117.09508741489745</v>
      </c>
      <c r="I215" s="1863">
        <f>SUMIFS('IS(Y)'!32:32,'IS(Y)'!$3:$3,I$199)*100</f>
        <v>61.149552717727893</v>
      </c>
      <c r="J215" s="1863">
        <f>SUMIFS('IS(Y)'!32:32,'IS(Y)'!$3:$3,J$199)*100</f>
        <v>29.092393475595745</v>
      </c>
      <c r="K215" s="1863">
        <f>SUMIFS('IS(Y)'!32:32,'IS(Y)'!$3:$3,K$199)*100</f>
        <v>17.869081561915305</v>
      </c>
      <c r="L215" s="1863">
        <f>SUMIFS('IS(Y)'!32:32,'IS(Y)'!$3:$3,L$199)*100</f>
        <v>6.508551078595703</v>
      </c>
      <c r="M215" s="1863">
        <f>SUMIFS('IS(Y)'!32:32,'IS(Y)'!$3:$3,M$199)*100</f>
        <v>0</v>
      </c>
      <c r="N215" s="1863">
        <f>SUMIFS('IS(Y)'!32:32,'IS(Y)'!$3:$3,N$199)*100</f>
        <v>0</v>
      </c>
      <c r="O215" s="1863">
        <f>SUMIFS('IS(Y)'!32:32,'IS(Y)'!$3:$3,O$199)*100</f>
        <v>0</v>
      </c>
      <c r="P215" s="1863">
        <f>SUMIFS('IS(Y)'!32:32,'IS(Y)'!$3:$3,P$199)*100</f>
        <v>0</v>
      </c>
      <c r="Q215" s="498">
        <f>SUMIFS('IS(Y)'!32:32,'IS(Y)'!$3:$3,Q$199)*100</f>
        <v>0</v>
      </c>
      <c r="R215" s="498">
        <f>SUMIFS('IS(Y)'!32:32,'IS(Y)'!$3:$3,R$199)*100</f>
        <v>0</v>
      </c>
      <c r="S215" s="498">
        <f>SUMIFS('IS(Y)'!32:32,'IS(Y)'!$3:$3,S$199)*100</f>
        <v>0</v>
      </c>
      <c r="T215" s="498">
        <f>SUMIFS('IS(Y)'!32:32,'IS(Y)'!$3:$3,T$199)*100</f>
        <v>0</v>
      </c>
      <c r="U215" s="498">
        <f>SUMIFS('IS(Y)'!32:32,'IS(Y)'!$3:$3,U$199)*100</f>
        <v>0</v>
      </c>
      <c r="V215" s="498">
        <f>SUMIFS('IS(Y)'!32:32,'IS(Y)'!$3:$3,V$199)*100</f>
        <v>0</v>
      </c>
      <c r="W215" s="498">
        <f>SUMIFS('IS(Y)'!32:32,'IS(Y)'!$3:$3,W$199)*100</f>
        <v>0</v>
      </c>
      <c r="X215" s="498">
        <f>SUMIFS('IS(Y)'!32:32,'IS(Y)'!$3:$3,X$199)*100</f>
        <v>0</v>
      </c>
      <c r="Y215" s="498">
        <f>SUMIFS('IS(Y)'!32:32,'IS(Y)'!$3:$3,Y$199)*100</f>
        <v>0</v>
      </c>
      <c r="Z215" s="498">
        <f>SUMIFS('IS(Y)'!32:32,'IS(Y)'!$3:$3,Z$199)*100</f>
        <v>0</v>
      </c>
      <c r="AA215" s="498">
        <f>SUMIFS('IS(Y)'!32:32,'IS(Y)'!$3:$3,AA$199)*100</f>
        <v>0</v>
      </c>
      <c r="AB215" s="498">
        <f>SUMIFS('IS(Y)'!32:32,'IS(Y)'!$3:$3,AB$199)*100</f>
        <v>0</v>
      </c>
      <c r="AC215" s="498">
        <f>SUMIFS('IS(Y)'!32:32,'IS(Y)'!$3:$3,AC$199)*100</f>
        <v>0</v>
      </c>
      <c r="AD215" s="498">
        <f>SUMIFS('IS(Y)'!32:32,'IS(Y)'!$3:$3,AD$199)*100</f>
        <v>0</v>
      </c>
      <c r="AE215" s="498">
        <f>SUMIFS('IS(Y)'!32:32,'IS(Y)'!$3:$3,AE$199)*100</f>
        <v>0</v>
      </c>
      <c r="AF215" s="498">
        <f>SUMIFS('IS(Y)'!32:32,'IS(Y)'!$3:$3,AF$199)*100</f>
        <v>0</v>
      </c>
      <c r="AG215" s="498">
        <f>SUMIFS('IS(Y)'!32:32,'IS(Y)'!$3:$3,AG$199)*100</f>
        <v>0</v>
      </c>
      <c r="AH215" s="498">
        <f>SUMIFS('IS(Y)'!32:32,'IS(Y)'!$3:$3,AH$199)*100</f>
        <v>0</v>
      </c>
      <c r="AI215" s="498">
        <f>SUMIFS('IS(Y)'!32:32,'IS(Y)'!$3:$3,AI$199)*100</f>
        <v>0</v>
      </c>
      <c r="AJ215" s="498">
        <f>SUMIFS('IS(Y)'!32:32,'IS(Y)'!$3:$3,AJ$199)*100</f>
        <v>0</v>
      </c>
      <c r="AK215" s="498">
        <f>SUMIFS('IS(Y)'!32:32,'IS(Y)'!$3:$3,AK$199)*100</f>
        <v>0</v>
      </c>
      <c r="AL215" s="498">
        <f>SUMIFS('IS(Y)'!32:32,'IS(Y)'!$3:$3,AL$199)*100</f>
        <v>0</v>
      </c>
      <c r="AM215" s="498">
        <f>SUMIFS('IS(Y)'!32:32,'IS(Y)'!$3:$3,AM$199)*100</f>
        <v>0</v>
      </c>
      <c r="AN215" s="498">
        <f>SUMIFS('IS(Y)'!32:32,'IS(Y)'!$3:$3,AN$199)*100</f>
        <v>0</v>
      </c>
      <c r="AO215" s="498">
        <f>SUMIFS('IS(Y)'!32:32,'IS(Y)'!$3:$3,AO$199)*100</f>
        <v>0</v>
      </c>
      <c r="AP215" s="498">
        <f>SUMIFS('IS(Y)'!32:32,'IS(Y)'!$3:$3,AP$199)*100</f>
        <v>0</v>
      </c>
      <c r="AQ215" s="498">
        <f>SUMIFS('IS(Y)'!32:32,'IS(Y)'!$3:$3,AQ$199)*100</f>
        <v>0</v>
      </c>
      <c r="AR215" s="498">
        <f>SUMIFS('IS(Y)'!32:32,'IS(Y)'!$3:$3,AR$199)*100</f>
        <v>0</v>
      </c>
      <c r="AS215" s="498">
        <f>SUMIFS('IS(Y)'!32:32,'IS(Y)'!$3:$3,AS$199)*100</f>
        <v>0</v>
      </c>
      <c r="AT215" s="498">
        <f>SUMIFS('IS(Y)'!32:32,'IS(Y)'!$3:$3,AT$199)*100</f>
        <v>0</v>
      </c>
    </row>
    <row r="216" spans="2:46" ht="17.45" customHeight="1" thickBot="1">
      <c r="B216" s="1863">
        <f t="shared" ca="1" si="96"/>
        <v>40713.810878170538</v>
      </c>
      <c r="C216" s="1862" t="s">
        <v>3654</v>
      </c>
      <c r="D216" s="1863">
        <f t="shared" ca="1" si="97"/>
        <v>259157.11319191207</v>
      </c>
      <c r="E216" s="1863">
        <f ca="1">SUMIFS('IS(Y)'!33:33,'IS(Y)'!$3:$3,E$199)*100</f>
        <v>7873.2884598754454</v>
      </c>
      <c r="F216" s="1863">
        <f ca="1">SUMIFS('IS(Y)'!33:33,'IS(Y)'!$3:$3,F$199)*100</f>
        <v>10108.236107000064</v>
      </c>
      <c r="G216" s="1863">
        <f ca="1">SUMIFS('IS(Y)'!33:33,'IS(Y)'!$3:$3,G$199)*100</f>
        <v>11382.486255103682</v>
      </c>
      <c r="H216" s="1863">
        <f ca="1">SUMIFS('IS(Y)'!33:33,'IS(Y)'!$3:$3,H$199)*100</f>
        <v>4895.812656845027</v>
      </c>
      <c r="I216" s="1863">
        <f ca="1">SUMIFS('IS(Y)'!33:33,'IS(Y)'!$3:$3,I$199)*100</f>
        <v>293.4560207481523</v>
      </c>
      <c r="J216" s="1863">
        <f ca="1">SUMIFS('IS(Y)'!33:33,'IS(Y)'!$3:$3,J$199)*100</f>
        <v>1770.1136466161208</v>
      </c>
      <c r="K216" s="1863">
        <f ca="1">SUMIFS('IS(Y)'!33:33,'IS(Y)'!$3:$3,K$199)*100</f>
        <v>2287.5890805667127</v>
      </c>
      <c r="L216" s="1863">
        <f ca="1">SUMIFS('IS(Y)'!33:33,'IS(Y)'!$3:$3,L$199)*100</f>
        <v>2102.8286514153306</v>
      </c>
      <c r="M216" s="1863">
        <f ca="1">SUMIFS('IS(Y)'!33:33,'IS(Y)'!$3:$3,M$199)*100</f>
        <v>4011.1154234171809</v>
      </c>
      <c r="N216" s="1863">
        <f ca="1">SUMIFS('IS(Y)'!33:33,'IS(Y)'!$3:$3,N$199)*100</f>
        <v>3503.1876136194514</v>
      </c>
      <c r="O216" s="1863">
        <f ca="1">SUMIFS('IS(Y)'!33:33,'IS(Y)'!$3:$3,O$199)*100</f>
        <v>3724.2531701404005</v>
      </c>
      <c r="P216" s="1863">
        <f ca="1">SUMIFS('IS(Y)'!33:33,'IS(Y)'!$3:$3,P$199)*100</f>
        <v>4611.9184921741353</v>
      </c>
      <c r="Q216" s="498">
        <f ca="1">SUMIFS('IS(Y)'!33:33,'IS(Y)'!$3:$3,Q$199)*100</f>
        <v>4552.1806400526257</v>
      </c>
      <c r="R216" s="498">
        <f ca="1">SUMIFS('IS(Y)'!33:33,'IS(Y)'!$3:$3,R$199)*100</f>
        <v>3881.4025131799835</v>
      </c>
      <c r="S216" s="498">
        <f ca="1">SUMIFS('IS(Y)'!33:33,'IS(Y)'!$3:$3,S$199)*100</f>
        <v>5106.9875474854425</v>
      </c>
      <c r="T216" s="498">
        <f ca="1">SUMIFS('IS(Y)'!33:33,'IS(Y)'!$3:$3,T$199)*100</f>
        <v>4872.4208657821746</v>
      </c>
      <c r="U216" s="498">
        <f ca="1">SUMIFS('IS(Y)'!33:33,'IS(Y)'!$3:$3,U$199)*100</f>
        <v>4354.3782435385874</v>
      </c>
      <c r="V216" s="498">
        <f ca="1">SUMIFS('IS(Y)'!33:33,'IS(Y)'!$3:$3,V$199)*100</f>
        <v>4433.8254379805112</v>
      </c>
      <c r="W216" s="498">
        <f ca="1">SUMIFS('IS(Y)'!33:33,'IS(Y)'!$3:$3,W$199)*100</f>
        <v>6100.7207875035137</v>
      </c>
      <c r="X216" s="498">
        <f ca="1">SUMIFS('IS(Y)'!33:33,'IS(Y)'!$3:$3,X$199)*100</f>
        <v>6505.1225333355715</v>
      </c>
      <c r="Y216" s="498">
        <f ca="1">SUMIFS('IS(Y)'!33:33,'IS(Y)'!$3:$3,Y$199)*100</f>
        <v>8206.7953607770905</v>
      </c>
      <c r="Z216" s="498">
        <f ca="1">SUMIFS('IS(Y)'!33:33,'IS(Y)'!$3:$3,Z$199)*100</f>
        <v>7986.3605839274896</v>
      </c>
      <c r="AA216" s="498">
        <f ca="1">SUMIFS('IS(Y)'!33:33,'IS(Y)'!$3:$3,AA$199)*100</f>
        <v>8054.4716500625727</v>
      </c>
      <c r="AB216" s="498">
        <f ca="1">SUMIFS('IS(Y)'!33:33,'IS(Y)'!$3:$3,AB$199)*100</f>
        <v>8885.3506622055593</v>
      </c>
      <c r="AC216" s="498">
        <f ca="1">SUMIFS('IS(Y)'!33:33,'IS(Y)'!$3:$3,AC$199)*100</f>
        <v>9241.0962537524883</v>
      </c>
      <c r="AD216" s="498">
        <f ca="1">SUMIFS('IS(Y)'!33:33,'IS(Y)'!$3:$3,AD$199)*100</f>
        <v>8673.3222217981565</v>
      </c>
      <c r="AE216" s="498">
        <f ca="1">SUMIFS('IS(Y)'!33:33,'IS(Y)'!$3:$3,AE$199)*100</f>
        <v>9834.3129524510859</v>
      </c>
      <c r="AF216" s="498">
        <f ca="1">SUMIFS('IS(Y)'!33:33,'IS(Y)'!$3:$3,AF$199)*100</f>
        <v>8844.2050105389117</v>
      </c>
      <c r="AG216" s="498">
        <f ca="1">SUMIFS('IS(Y)'!33:33,'IS(Y)'!$3:$3,AG$199)*100</f>
        <v>9557.4433939498922</v>
      </c>
      <c r="AH216" s="498">
        <f ca="1">SUMIFS('IS(Y)'!33:33,'IS(Y)'!$3:$3,AH$199)*100</f>
        <v>10766.303139193406</v>
      </c>
      <c r="AI216" s="498">
        <f ca="1">SUMIFS('IS(Y)'!33:33,'IS(Y)'!$3:$3,AI$199)*100</f>
        <v>10425.234335853969</v>
      </c>
      <c r="AJ216" s="498">
        <f ca="1">SUMIFS('IS(Y)'!33:33,'IS(Y)'!$3:$3,AJ$199)*100</f>
        <v>10507.308345398331</v>
      </c>
      <c r="AK216" s="498">
        <f ca="1">SUMIFS('IS(Y)'!33:33,'IS(Y)'!$3:$3,AK$199)*100</f>
        <v>12194.883520521216</v>
      </c>
      <c r="AL216" s="498">
        <f ca="1">SUMIFS('IS(Y)'!33:33,'IS(Y)'!$3:$3,AL$199)*100</f>
        <v>12234.531221181476</v>
      </c>
      <c r="AM216" s="498">
        <f ca="1">SUMIFS('IS(Y)'!33:33,'IS(Y)'!$3:$3,AM$199)*100</f>
        <v>12503.765892802601</v>
      </c>
      <c r="AN216" s="498">
        <f ca="1">SUMIFS('IS(Y)'!33:33,'IS(Y)'!$3:$3,AN$199)*100</f>
        <v>13563.025161746822</v>
      </c>
      <c r="AO216" s="498">
        <f ca="1">SUMIFS('IS(Y)'!33:33,'IS(Y)'!$3:$3,AO$199)*100</f>
        <v>13705.140578472276</v>
      </c>
      <c r="AP216" s="498">
        <f ca="1">SUMIFS('IS(Y)'!33:33,'IS(Y)'!$3:$3,AP$199)*100</f>
        <v>-12397.761239101397</v>
      </c>
      <c r="AQ216" s="498">
        <f ca="1">SUMIFS('IS(Y)'!33:33,'IS(Y)'!$3:$3,AQ$199)*100</f>
        <v>0</v>
      </c>
      <c r="AR216" s="498">
        <f ca="1">SUMIFS('IS(Y)'!33:33,'IS(Y)'!$3:$3,AR$199)*100</f>
        <v>0</v>
      </c>
      <c r="AS216" s="498">
        <f ca="1">SUMIFS('IS(Y)'!33:33,'IS(Y)'!$3:$3,AS$199)*100</f>
        <v>0</v>
      </c>
      <c r="AT216" s="498">
        <f ca="1">SUMIFS('IS(Y)'!33:33,'IS(Y)'!$3:$3,AT$199)*100</f>
        <v>0</v>
      </c>
    </row>
    <row r="217" spans="2:46" ht="17.45" customHeight="1" thickBot="1">
      <c r="B217" s="1863">
        <f t="shared" ca="1" si="96"/>
        <v>4904.9889646962647</v>
      </c>
      <c r="C217" s="1847" t="s">
        <v>3655</v>
      </c>
      <c r="D217" s="1863">
        <f t="shared" ca="1" si="97"/>
        <v>55052.022946321704</v>
      </c>
      <c r="E217" s="1863">
        <f ca="1">SUMIFS('IS(Y)'!34:34,'IS(Y)'!$3:$3,E$199)*100</f>
        <v>670.84938446903914</v>
      </c>
      <c r="F217" s="1863">
        <f ca="1">SUMIFS('IS(Y)'!34:34,'IS(Y)'!$3:$3,F$199)*100</f>
        <v>867.5247774160058</v>
      </c>
      <c r="G217" s="1863">
        <f ca="1">SUMIFS('IS(Y)'!34:34,'IS(Y)'!$3:$3,G$199)*100</f>
        <v>979.65879044912413</v>
      </c>
      <c r="H217" s="1863">
        <f ca="1">SUMIFS('IS(Y)'!34:34,'IS(Y)'!$3:$3,H$199)*100</f>
        <v>1055.0787845059058</v>
      </c>
      <c r="I217" s="1863">
        <f ca="1">SUMIFS('IS(Y)'!34:34,'IS(Y)'!$3:$3,I$199)*100</f>
        <v>42.560324564593508</v>
      </c>
      <c r="J217" s="1863">
        <f ca="1">SUMIFS('IS(Y)'!34:34,'IS(Y)'!$3:$3,J$199)*100</f>
        <v>367.42500225554664</v>
      </c>
      <c r="K217" s="1863">
        <f ca="1">SUMIFS('IS(Y)'!34:34,'IS(Y)'!$3:$3,K$199)*100</f>
        <v>481.26959772467677</v>
      </c>
      <c r="L217" s="1863">
        <f ca="1">SUMIFS('IS(Y)'!34:34,'IS(Y)'!$3:$3,L$199)*100</f>
        <v>440.62230331137266</v>
      </c>
      <c r="M217" s="1863">
        <f ca="1">SUMIFS('IS(Y)'!34:34,'IS(Y)'!$3:$3,M$199)*100</f>
        <v>860.44539315177974</v>
      </c>
      <c r="N217" s="1863">
        <f ca="1">SUMIFS('IS(Y)'!34:34,'IS(Y)'!$3:$3,N$199)*100</f>
        <v>748.70127499627927</v>
      </c>
      <c r="O217" s="1863">
        <f ca="1">SUMIFS('IS(Y)'!34:34,'IS(Y)'!$3:$3,O$199)*100</f>
        <v>797.3356974308881</v>
      </c>
      <c r="P217" s="1863">
        <f ca="1">SUMIFS('IS(Y)'!34:34,'IS(Y)'!$3:$3,P$199)*100</f>
        <v>992.62206827830983</v>
      </c>
      <c r="Q217" s="498">
        <f ca="1">SUMIFS('IS(Y)'!34:34,'IS(Y)'!$3:$3,Q$199)*100</f>
        <v>979.47974081157781</v>
      </c>
      <c r="R217" s="498">
        <f ca="1">SUMIFS('IS(Y)'!34:34,'IS(Y)'!$3:$3,R$199)*100</f>
        <v>831.90855289959643</v>
      </c>
      <c r="S217" s="498">
        <f ca="1">SUMIFS('IS(Y)'!34:34,'IS(Y)'!$3:$3,S$199)*100</f>
        <v>1101.5372604467975</v>
      </c>
      <c r="T217" s="498">
        <f ca="1">SUMIFS('IS(Y)'!34:34,'IS(Y)'!$3:$3,T$199)*100</f>
        <v>1049.9325904720786</v>
      </c>
      <c r="U217" s="498">
        <f ca="1">SUMIFS('IS(Y)'!34:34,'IS(Y)'!$3:$3,U$199)*100</f>
        <v>935.96321357848944</v>
      </c>
      <c r="V217" s="498">
        <f ca="1">SUMIFS('IS(Y)'!34:34,'IS(Y)'!$3:$3,V$199)*100</f>
        <v>953.44159635571248</v>
      </c>
      <c r="W217" s="498">
        <f ca="1">SUMIFS('IS(Y)'!34:34,'IS(Y)'!$3:$3,W$199)*100</f>
        <v>1320.1585732507731</v>
      </c>
      <c r="X217" s="498">
        <f ca="1">SUMIFS('IS(Y)'!34:34,'IS(Y)'!$3:$3,X$199)*100</f>
        <v>1409.1269573338259</v>
      </c>
      <c r="Y217" s="498">
        <f ca="1">SUMIFS('IS(Y)'!34:34,'IS(Y)'!$3:$3,Y$199)*100</f>
        <v>1783.4949793709598</v>
      </c>
      <c r="Z217" s="498">
        <f ca="1">SUMIFS('IS(Y)'!34:34,'IS(Y)'!$3:$3,Z$199)*100</f>
        <v>1734.9993284640477</v>
      </c>
      <c r="AA217" s="498">
        <f ca="1">SUMIFS('IS(Y)'!34:34,'IS(Y)'!$3:$3,AA$199)*100</f>
        <v>1749.9837630137658</v>
      </c>
      <c r="AB217" s="498">
        <f ca="1">SUMIFS('IS(Y)'!34:34,'IS(Y)'!$3:$3,AB$199)*100</f>
        <v>1932.7771456852229</v>
      </c>
      <c r="AC217" s="498">
        <f ca="1">SUMIFS('IS(Y)'!34:34,'IS(Y)'!$3:$3,AC$199)*100</f>
        <v>2011.0411758255473</v>
      </c>
      <c r="AD217" s="498">
        <f ca="1">SUMIFS('IS(Y)'!34:34,'IS(Y)'!$3:$3,AD$199)*100</f>
        <v>1886.1308887955943</v>
      </c>
      <c r="AE217" s="498">
        <f ca="1">SUMIFS('IS(Y)'!34:34,'IS(Y)'!$3:$3,AE$199)*100</f>
        <v>2141.5488495392387</v>
      </c>
      <c r="AF217" s="498">
        <f ca="1">SUMIFS('IS(Y)'!34:34,'IS(Y)'!$3:$3,AF$199)*100</f>
        <v>1923.7251023185604</v>
      </c>
      <c r="AG217" s="498">
        <f ca="1">SUMIFS('IS(Y)'!34:34,'IS(Y)'!$3:$3,AG$199)*100</f>
        <v>2080.6375466689765</v>
      </c>
      <c r="AH217" s="498">
        <f ca="1">SUMIFS('IS(Y)'!34:34,'IS(Y)'!$3:$3,AH$199)*100</f>
        <v>2346.5866906225488</v>
      </c>
      <c r="AI217" s="498">
        <f ca="1">SUMIFS('IS(Y)'!34:34,'IS(Y)'!$3:$3,AI$199)*100</f>
        <v>2271.5515538878731</v>
      </c>
      <c r="AJ217" s="498">
        <f ca="1">SUMIFS('IS(Y)'!34:34,'IS(Y)'!$3:$3,AJ$199)*100</f>
        <v>2289.6078359876328</v>
      </c>
      <c r="AK217" s="498">
        <f ca="1">SUMIFS('IS(Y)'!34:34,'IS(Y)'!$3:$3,AK$199)*100</f>
        <v>2660.8743745146676</v>
      </c>
      <c r="AL217" s="498">
        <f ca="1">SUMIFS('IS(Y)'!34:34,'IS(Y)'!$3:$3,AL$199)*100</f>
        <v>2669.5968686599249</v>
      </c>
      <c r="AM217" s="498">
        <f ca="1">SUMIFS('IS(Y)'!34:34,'IS(Y)'!$3:$3,AM$199)*100</f>
        <v>2728.8284964165723</v>
      </c>
      <c r="AN217" s="498">
        <f ca="1">SUMIFS('IS(Y)'!34:34,'IS(Y)'!$3:$3,AN$199)*100</f>
        <v>2961.8655355843007</v>
      </c>
      <c r="AO217" s="498">
        <f ca="1">SUMIFS('IS(Y)'!34:34,'IS(Y)'!$3:$3,AO$199)*100</f>
        <v>2993.1309272639005</v>
      </c>
      <c r="AP217" s="498">
        <f ca="1">SUMIFS('IS(Y)'!34:34,'IS(Y)'!$3:$3,AP$199)*100</f>
        <v>0</v>
      </c>
      <c r="AQ217" s="498">
        <f>SUMIFS('IS(Y)'!34:34,'IS(Y)'!$3:$3,AQ$199)*100</f>
        <v>0</v>
      </c>
      <c r="AR217" s="498">
        <f>SUMIFS('IS(Y)'!34:34,'IS(Y)'!$3:$3,AR$199)*100</f>
        <v>0</v>
      </c>
      <c r="AS217" s="498">
        <f>SUMIFS('IS(Y)'!34:34,'IS(Y)'!$3:$3,AS$199)*100</f>
        <v>0</v>
      </c>
      <c r="AT217" s="498">
        <f>SUMIFS('IS(Y)'!34:34,'IS(Y)'!$3:$3,AT$199)*100</f>
        <v>0</v>
      </c>
    </row>
    <row r="218" spans="2:46" ht="17.45" customHeight="1" thickBot="1">
      <c r="B218" s="1863">
        <f t="shared" ca="1" si="96"/>
        <v>35808.821913474269</v>
      </c>
      <c r="C218" s="1862" t="s">
        <v>1389</v>
      </c>
      <c r="D218" s="1863">
        <f t="shared" ca="1" si="97"/>
        <v>204105.09024559037</v>
      </c>
      <c r="E218" s="1863">
        <f ca="1">SUMIFS('IS(Y)'!35:35,'IS(Y)'!$3:$3,E$199)*100</f>
        <v>7202.4390754064061</v>
      </c>
      <c r="F218" s="1863">
        <f ca="1">SUMIFS('IS(Y)'!35:35,'IS(Y)'!$3:$3,F$199)*100</f>
        <v>9240.7113295840591</v>
      </c>
      <c r="G218" s="1863">
        <f ca="1">SUMIFS('IS(Y)'!35:35,'IS(Y)'!$3:$3,G$199)*100</f>
        <v>10402.827464654558</v>
      </c>
      <c r="H218" s="1863">
        <f ca="1">SUMIFS('IS(Y)'!35:35,'IS(Y)'!$3:$3,H$199)*100</f>
        <v>3840.7338723391204</v>
      </c>
      <c r="I218" s="1863">
        <f ca="1">SUMIFS('IS(Y)'!35:35,'IS(Y)'!$3:$3,I$199)*100</f>
        <v>250.89569618355881</v>
      </c>
      <c r="J218" s="1863">
        <f ca="1">SUMIFS('IS(Y)'!35:35,'IS(Y)'!$3:$3,J$199)*100</f>
        <v>1402.6886443605742</v>
      </c>
      <c r="K218" s="1863">
        <f ca="1">SUMIFS('IS(Y)'!35:35,'IS(Y)'!$3:$3,K$199)*100</f>
        <v>1806.3194828420358</v>
      </c>
      <c r="L218" s="1863">
        <f ca="1">SUMIFS('IS(Y)'!35:35,'IS(Y)'!$3:$3,L$199)*100</f>
        <v>1662.2063481039579</v>
      </c>
      <c r="M218" s="1863">
        <f ca="1">SUMIFS('IS(Y)'!35:35,'IS(Y)'!$3:$3,M$199)*100</f>
        <v>3150.6700302654012</v>
      </c>
      <c r="N218" s="1863">
        <f ca="1">SUMIFS('IS(Y)'!35:35,'IS(Y)'!$3:$3,N$199)*100</f>
        <v>2754.4863386231718</v>
      </c>
      <c r="O218" s="1863">
        <f ca="1">SUMIFS('IS(Y)'!35:35,'IS(Y)'!$3:$3,O$199)*100</f>
        <v>2926.9174727095124</v>
      </c>
      <c r="P218" s="1863">
        <f ca="1">SUMIFS('IS(Y)'!35:35,'IS(Y)'!$3:$3,P$199)*100</f>
        <v>3619.2964238958252</v>
      </c>
      <c r="Q218" s="498">
        <f ca="1">SUMIFS('IS(Y)'!35:35,'IS(Y)'!$3:$3,Q$199)*100</f>
        <v>3572.7008992410483</v>
      </c>
      <c r="R218" s="498">
        <f ca="1">SUMIFS('IS(Y)'!35:35,'IS(Y)'!$3:$3,R$199)*100</f>
        <v>3049.4939602803875</v>
      </c>
      <c r="S218" s="498">
        <f ca="1">SUMIFS('IS(Y)'!35:35,'IS(Y)'!$3:$3,S$199)*100</f>
        <v>4005.450287038645</v>
      </c>
      <c r="T218" s="498">
        <f ca="1">SUMIFS('IS(Y)'!35:35,'IS(Y)'!$3:$3,T$199)*100</f>
        <v>3822.4882753100965</v>
      </c>
      <c r="U218" s="498">
        <f ca="1">SUMIFS('IS(Y)'!35:35,'IS(Y)'!$3:$3,U$199)*100</f>
        <v>3418.4150299600988</v>
      </c>
      <c r="V218" s="498">
        <f ca="1">SUMIFS('IS(Y)'!35:35,'IS(Y)'!$3:$3,V$199)*100</f>
        <v>3480.3838416247986</v>
      </c>
      <c r="W218" s="498">
        <f ca="1">SUMIFS('IS(Y)'!35:35,'IS(Y)'!$3:$3,W$199)*100</f>
        <v>4780.5622142527409</v>
      </c>
      <c r="X218" s="498">
        <f ca="1">SUMIFS('IS(Y)'!35:35,'IS(Y)'!$3:$3,X$199)*100</f>
        <v>5095.9955760017456</v>
      </c>
      <c r="Y218" s="498">
        <f ca="1">SUMIFS('IS(Y)'!35:35,'IS(Y)'!$3:$3,Y$199)*100</f>
        <v>6423.3003814061303</v>
      </c>
      <c r="Z218" s="498">
        <f ca="1">SUMIFS('IS(Y)'!35:35,'IS(Y)'!$3:$3,Z$199)*100</f>
        <v>6251.3612554634419</v>
      </c>
      <c r="AA218" s="498">
        <f ca="1">SUMIFS('IS(Y)'!35:35,'IS(Y)'!$3:$3,AA$199)*100</f>
        <v>6304.4878870488064</v>
      </c>
      <c r="AB218" s="498">
        <f ca="1">SUMIFS('IS(Y)'!35:35,'IS(Y)'!$3:$3,AB$199)*100</f>
        <v>6952.5735165203359</v>
      </c>
      <c r="AC218" s="498">
        <f ca="1">SUMIFS('IS(Y)'!35:35,'IS(Y)'!$3:$3,AC$199)*100</f>
        <v>7230.0550779269397</v>
      </c>
      <c r="AD218" s="498">
        <f ca="1">SUMIFS('IS(Y)'!35:35,'IS(Y)'!$3:$3,AD$199)*100</f>
        <v>6787.1913330025618</v>
      </c>
      <c r="AE218" s="498">
        <f ca="1">SUMIFS('IS(Y)'!35:35,'IS(Y)'!$3:$3,AE$199)*100</f>
        <v>7692.7641029118458</v>
      </c>
      <c r="AF218" s="498">
        <f ca="1">SUMIFS('IS(Y)'!35:35,'IS(Y)'!$3:$3,AF$199)*100</f>
        <v>6920.4799082203508</v>
      </c>
      <c r="AG218" s="498">
        <f ca="1">SUMIFS('IS(Y)'!35:35,'IS(Y)'!$3:$3,AG$199)*100</f>
        <v>7476.8058472809171</v>
      </c>
      <c r="AH218" s="498">
        <f ca="1">SUMIFS('IS(Y)'!35:35,'IS(Y)'!$3:$3,AH$199)*100</f>
        <v>8419.7164485708563</v>
      </c>
      <c r="AI218" s="498">
        <f ca="1">SUMIFS('IS(Y)'!35:35,'IS(Y)'!$3:$3,AI$199)*100</f>
        <v>8153.6827819660957</v>
      </c>
      <c r="AJ218" s="498">
        <f ca="1">SUMIFS('IS(Y)'!35:35,'IS(Y)'!$3:$3,AJ$199)*100</f>
        <v>8217.7005094106989</v>
      </c>
      <c r="AK218" s="498">
        <f ca="1">SUMIFS('IS(Y)'!35:35,'IS(Y)'!$3:$3,AK$199)*100</f>
        <v>9534.0091460065487</v>
      </c>
      <c r="AL218" s="498">
        <f ca="1">SUMIFS('IS(Y)'!35:35,'IS(Y)'!$3:$3,AL$199)*100</f>
        <v>9564.9343525215518</v>
      </c>
      <c r="AM218" s="498">
        <f ca="1">SUMIFS('IS(Y)'!35:35,'IS(Y)'!$3:$3,AM$199)*100</f>
        <v>9774.9373963860289</v>
      </c>
      <c r="AN218" s="498">
        <f ca="1">SUMIFS('IS(Y)'!35:35,'IS(Y)'!$3:$3,AN$199)*100</f>
        <v>10601.159626162522</v>
      </c>
      <c r="AO218" s="498">
        <f ca="1">SUMIFS('IS(Y)'!35:35,'IS(Y)'!$3:$3,AO$199)*100</f>
        <v>10712.009651208376</v>
      </c>
      <c r="AP218" s="498">
        <f ca="1">SUMIFS('IS(Y)'!35:35,'IS(Y)'!$3:$3,AP$199)*100</f>
        <v>-12397.761239101397</v>
      </c>
      <c r="AQ218" s="498">
        <f ca="1">SUMIFS('IS(Y)'!35:35,'IS(Y)'!$3:$3,AQ$199)*100</f>
        <v>0</v>
      </c>
      <c r="AR218" s="498">
        <f ca="1">SUMIFS('IS(Y)'!35:35,'IS(Y)'!$3:$3,AR$199)*100</f>
        <v>0</v>
      </c>
      <c r="AS218" s="498">
        <f ca="1">SUMIFS('IS(Y)'!35:35,'IS(Y)'!$3:$3,AS$199)*100</f>
        <v>0</v>
      </c>
      <c r="AT218" s="498">
        <f ca="1">SUMIFS('IS(Y)'!35:35,'IS(Y)'!$3:$3,AT$199)*100</f>
        <v>0</v>
      </c>
    </row>
    <row r="219" spans="2:46" ht="17.45" customHeight="1">
      <c r="C219" s="1864"/>
      <c r="D219" s="1844">
        <f ca="1">SUM(D201:D203)-D200</f>
        <v>0</v>
      </c>
      <c r="E219" s="1844">
        <f t="shared" ref="E219:AT219" ca="1" si="99">SUM(E201:E203)-E200</f>
        <v>0</v>
      </c>
      <c r="F219" s="1844">
        <f t="shared" ca="1" si="99"/>
        <v>0</v>
      </c>
      <c r="G219" s="1844">
        <f t="shared" ca="1" si="99"/>
        <v>0</v>
      </c>
      <c r="H219" s="1844">
        <f t="shared" ca="1" si="99"/>
        <v>0</v>
      </c>
      <c r="I219" s="1844">
        <f t="shared" ca="1" si="99"/>
        <v>0</v>
      </c>
      <c r="J219" s="1844">
        <f t="shared" ca="1" si="99"/>
        <v>0</v>
      </c>
      <c r="K219" s="1844">
        <f t="shared" ca="1" si="99"/>
        <v>0</v>
      </c>
      <c r="L219" s="1844">
        <f t="shared" ca="1" si="99"/>
        <v>0</v>
      </c>
      <c r="M219" s="1844">
        <f t="shared" ca="1" si="99"/>
        <v>0</v>
      </c>
      <c r="N219" s="1844">
        <f t="shared" ca="1" si="99"/>
        <v>0</v>
      </c>
      <c r="O219" s="1844">
        <f t="shared" ca="1" si="99"/>
        <v>0</v>
      </c>
      <c r="P219" s="1844">
        <f t="shared" ca="1" si="99"/>
        <v>0</v>
      </c>
      <c r="Q219" s="1844">
        <f t="shared" ca="1" si="99"/>
        <v>0</v>
      </c>
      <c r="R219" s="1844">
        <f t="shared" ca="1" si="99"/>
        <v>0</v>
      </c>
      <c r="S219" s="1844">
        <f t="shared" ca="1" si="99"/>
        <v>0</v>
      </c>
      <c r="T219" s="1844">
        <f t="shared" ca="1" si="99"/>
        <v>0</v>
      </c>
      <c r="U219" s="1844">
        <f t="shared" ca="1" si="99"/>
        <v>0</v>
      </c>
      <c r="V219" s="1844">
        <f t="shared" ca="1" si="99"/>
        <v>0</v>
      </c>
      <c r="W219" s="1844">
        <f t="shared" ca="1" si="99"/>
        <v>0</v>
      </c>
      <c r="X219" s="1844">
        <f t="shared" ca="1" si="99"/>
        <v>0</v>
      </c>
      <c r="Y219" s="1844">
        <f t="shared" ca="1" si="99"/>
        <v>0</v>
      </c>
      <c r="Z219" s="1844">
        <f t="shared" ca="1" si="99"/>
        <v>0</v>
      </c>
      <c r="AA219" s="1844">
        <f t="shared" ca="1" si="99"/>
        <v>0</v>
      </c>
      <c r="AB219" s="1844">
        <f t="shared" ca="1" si="99"/>
        <v>0</v>
      </c>
      <c r="AC219" s="1844">
        <f t="shared" ca="1" si="99"/>
        <v>0</v>
      </c>
      <c r="AD219" s="1844">
        <f t="shared" ca="1" si="99"/>
        <v>0</v>
      </c>
      <c r="AE219" s="1844">
        <f t="shared" ca="1" si="99"/>
        <v>0</v>
      </c>
      <c r="AF219" s="1844">
        <f t="shared" ca="1" si="99"/>
        <v>0</v>
      </c>
      <c r="AG219" s="1844">
        <f t="shared" ca="1" si="99"/>
        <v>0</v>
      </c>
      <c r="AH219" s="1844">
        <f t="shared" ca="1" si="99"/>
        <v>0</v>
      </c>
      <c r="AI219" s="1844">
        <f t="shared" ca="1" si="99"/>
        <v>0</v>
      </c>
      <c r="AJ219" s="1844">
        <f t="shared" ca="1" si="99"/>
        <v>0</v>
      </c>
      <c r="AK219" s="1844">
        <f t="shared" ca="1" si="99"/>
        <v>0</v>
      </c>
      <c r="AL219" s="1844">
        <f t="shared" ca="1" si="99"/>
        <v>0</v>
      </c>
      <c r="AM219" s="1844">
        <f t="shared" ca="1" si="99"/>
        <v>0</v>
      </c>
      <c r="AN219" s="1844">
        <f t="shared" ca="1" si="99"/>
        <v>0</v>
      </c>
      <c r="AO219" s="1844">
        <f t="shared" ca="1" si="99"/>
        <v>0</v>
      </c>
      <c r="AP219" s="1844">
        <f t="shared" ca="1" si="99"/>
        <v>0</v>
      </c>
      <c r="AQ219" s="1844">
        <f t="shared" si="99"/>
        <v>0</v>
      </c>
      <c r="AR219" s="1844">
        <f t="shared" si="99"/>
        <v>0</v>
      </c>
      <c r="AS219" s="1844">
        <f t="shared" si="99"/>
        <v>0</v>
      </c>
      <c r="AT219" s="1844">
        <f t="shared" si="99"/>
        <v>0</v>
      </c>
    </row>
    <row r="220" spans="2:46" ht="17.45" customHeight="1">
      <c r="C220" s="1864"/>
      <c r="D220" s="1844">
        <f ca="1">SUM(D205:D210)-D204</f>
        <v>0</v>
      </c>
      <c r="E220" s="1844">
        <f t="shared" ref="E220:AT220" ca="1" si="100">SUM(E205:E210)-E204</f>
        <v>0</v>
      </c>
      <c r="F220" s="1844">
        <f t="shared" ca="1" si="100"/>
        <v>0</v>
      </c>
      <c r="G220" s="1844">
        <f t="shared" ca="1" si="100"/>
        <v>0</v>
      </c>
      <c r="H220" s="1844">
        <f t="shared" ca="1" si="100"/>
        <v>0</v>
      </c>
      <c r="I220" s="1844">
        <f t="shared" ca="1" si="100"/>
        <v>0</v>
      </c>
      <c r="J220" s="1844">
        <f t="shared" ca="1" si="100"/>
        <v>0</v>
      </c>
      <c r="K220" s="1844">
        <f t="shared" ca="1" si="100"/>
        <v>0</v>
      </c>
      <c r="L220" s="1844">
        <f t="shared" ca="1" si="100"/>
        <v>0</v>
      </c>
      <c r="M220" s="1844">
        <f t="shared" ca="1" si="100"/>
        <v>0</v>
      </c>
      <c r="N220" s="1844">
        <f t="shared" ca="1" si="100"/>
        <v>0</v>
      </c>
      <c r="O220" s="1844">
        <f t="shared" ca="1" si="100"/>
        <v>0</v>
      </c>
      <c r="P220" s="1844">
        <f t="shared" ca="1" si="100"/>
        <v>0</v>
      </c>
      <c r="Q220" s="1844">
        <f t="shared" ca="1" si="100"/>
        <v>0</v>
      </c>
      <c r="R220" s="1844">
        <f t="shared" ca="1" si="100"/>
        <v>0</v>
      </c>
      <c r="S220" s="1844">
        <f t="shared" ca="1" si="100"/>
        <v>0</v>
      </c>
      <c r="T220" s="1844">
        <f t="shared" ca="1" si="100"/>
        <v>0</v>
      </c>
      <c r="U220" s="1844">
        <f t="shared" ca="1" si="100"/>
        <v>0</v>
      </c>
      <c r="V220" s="1844">
        <f t="shared" ca="1" si="100"/>
        <v>0</v>
      </c>
      <c r="W220" s="1844">
        <f t="shared" ca="1" si="100"/>
        <v>0</v>
      </c>
      <c r="X220" s="1844">
        <f t="shared" ca="1" si="100"/>
        <v>0</v>
      </c>
      <c r="Y220" s="1844">
        <f t="shared" ca="1" si="100"/>
        <v>0</v>
      </c>
      <c r="Z220" s="1844">
        <f t="shared" ca="1" si="100"/>
        <v>0</v>
      </c>
      <c r="AA220" s="1844">
        <f t="shared" ca="1" si="100"/>
        <v>0</v>
      </c>
      <c r="AB220" s="1844">
        <f t="shared" ca="1" si="100"/>
        <v>0</v>
      </c>
      <c r="AC220" s="1844">
        <f t="shared" ca="1" si="100"/>
        <v>0</v>
      </c>
      <c r="AD220" s="1844">
        <f t="shared" ca="1" si="100"/>
        <v>0</v>
      </c>
      <c r="AE220" s="1844">
        <f t="shared" ca="1" si="100"/>
        <v>0</v>
      </c>
      <c r="AF220" s="1844">
        <f t="shared" ca="1" si="100"/>
        <v>0</v>
      </c>
      <c r="AG220" s="1844">
        <f t="shared" ca="1" si="100"/>
        <v>0</v>
      </c>
      <c r="AH220" s="1844">
        <f t="shared" ca="1" si="100"/>
        <v>0</v>
      </c>
      <c r="AI220" s="1844">
        <f t="shared" ca="1" si="100"/>
        <v>0</v>
      </c>
      <c r="AJ220" s="1844">
        <f t="shared" ca="1" si="100"/>
        <v>0</v>
      </c>
      <c r="AK220" s="1844">
        <f t="shared" ca="1" si="100"/>
        <v>0</v>
      </c>
      <c r="AL220" s="1844">
        <f t="shared" ca="1" si="100"/>
        <v>0</v>
      </c>
      <c r="AM220" s="1844">
        <f t="shared" ca="1" si="100"/>
        <v>0</v>
      </c>
      <c r="AN220" s="1844">
        <f t="shared" ca="1" si="100"/>
        <v>0</v>
      </c>
      <c r="AO220" s="1844">
        <f t="shared" ca="1" si="100"/>
        <v>0</v>
      </c>
      <c r="AP220" s="1844">
        <f t="shared" ca="1" si="100"/>
        <v>0</v>
      </c>
      <c r="AQ220" s="1844">
        <f t="shared" ca="1" si="100"/>
        <v>0</v>
      </c>
      <c r="AR220" s="1844">
        <f t="shared" ca="1" si="100"/>
        <v>0</v>
      </c>
      <c r="AS220" s="1844">
        <f t="shared" ca="1" si="100"/>
        <v>0</v>
      </c>
      <c r="AT220" s="1844">
        <f t="shared" ca="1" si="100"/>
        <v>0</v>
      </c>
    </row>
    <row r="221" spans="2:46" ht="17.45" customHeight="1">
      <c r="C221" s="1864"/>
      <c r="D221" s="491">
        <f ca="1">D200-D204-D211</f>
        <v>0</v>
      </c>
      <c r="E221" s="491">
        <f t="shared" ref="E221:AT221" ca="1" si="101">E200-E204-E211</f>
        <v>0</v>
      </c>
      <c r="F221" s="491">
        <f t="shared" ca="1" si="101"/>
        <v>0</v>
      </c>
      <c r="G221" s="491">
        <f t="shared" ca="1" si="101"/>
        <v>0</v>
      </c>
      <c r="H221" s="491">
        <f t="shared" ca="1" si="101"/>
        <v>0</v>
      </c>
      <c r="I221" s="491">
        <f t="shared" ca="1" si="101"/>
        <v>1.8189894035458565E-12</v>
      </c>
      <c r="J221" s="491">
        <f t="shared" ca="1" si="101"/>
        <v>0</v>
      </c>
      <c r="K221" s="491">
        <f t="shared" ca="1" si="101"/>
        <v>0</v>
      </c>
      <c r="L221" s="491">
        <f t="shared" ca="1" si="101"/>
        <v>0</v>
      </c>
      <c r="M221" s="491">
        <f t="shared" ca="1" si="101"/>
        <v>3.637978807091713E-12</v>
      </c>
      <c r="N221" s="491">
        <f t="shared" ca="1" si="101"/>
        <v>-3.637978807091713E-12</v>
      </c>
      <c r="O221" s="491">
        <f t="shared" ca="1" si="101"/>
        <v>0</v>
      </c>
      <c r="P221" s="491">
        <f t="shared" ca="1" si="101"/>
        <v>0</v>
      </c>
      <c r="Q221" s="491">
        <f t="shared" ca="1" si="101"/>
        <v>0</v>
      </c>
      <c r="R221" s="491">
        <f t="shared" ca="1" si="101"/>
        <v>0</v>
      </c>
      <c r="S221" s="491">
        <f t="shared" ca="1" si="101"/>
        <v>0</v>
      </c>
      <c r="T221" s="491">
        <f t="shared" ca="1" si="101"/>
        <v>0</v>
      </c>
      <c r="U221" s="491">
        <f t="shared" ca="1" si="101"/>
        <v>0</v>
      </c>
      <c r="V221" s="491">
        <f t="shared" ca="1" si="101"/>
        <v>0</v>
      </c>
      <c r="W221" s="491">
        <f t="shared" ca="1" si="101"/>
        <v>0</v>
      </c>
      <c r="X221" s="491">
        <f t="shared" ca="1" si="101"/>
        <v>0</v>
      </c>
      <c r="Y221" s="491">
        <f t="shared" ca="1" si="101"/>
        <v>0</v>
      </c>
      <c r="Z221" s="491">
        <f t="shared" ca="1" si="101"/>
        <v>0</v>
      </c>
      <c r="AA221" s="491">
        <f t="shared" ca="1" si="101"/>
        <v>0</v>
      </c>
      <c r="AB221" s="491">
        <f t="shared" ca="1" si="101"/>
        <v>0</v>
      </c>
      <c r="AC221" s="491">
        <f t="shared" ca="1" si="101"/>
        <v>0</v>
      </c>
      <c r="AD221" s="491">
        <f t="shared" ca="1" si="101"/>
        <v>0</v>
      </c>
      <c r="AE221" s="491">
        <f t="shared" ca="1" si="101"/>
        <v>0</v>
      </c>
      <c r="AF221" s="491">
        <f t="shared" ca="1" si="101"/>
        <v>0</v>
      </c>
      <c r="AG221" s="491">
        <f t="shared" ca="1" si="101"/>
        <v>0</v>
      </c>
      <c r="AH221" s="491">
        <f t="shared" ca="1" si="101"/>
        <v>0</v>
      </c>
      <c r="AI221" s="491">
        <f t="shared" ca="1" si="101"/>
        <v>0</v>
      </c>
      <c r="AJ221" s="491">
        <f t="shared" ca="1" si="101"/>
        <v>0</v>
      </c>
      <c r="AK221" s="491">
        <f t="shared" ca="1" si="101"/>
        <v>0</v>
      </c>
      <c r="AL221" s="491">
        <f t="shared" ca="1" si="101"/>
        <v>0</v>
      </c>
      <c r="AM221" s="491">
        <f t="shared" ca="1" si="101"/>
        <v>0</v>
      </c>
      <c r="AN221" s="491">
        <f t="shared" ca="1" si="101"/>
        <v>0</v>
      </c>
      <c r="AO221" s="491">
        <f t="shared" ca="1" si="101"/>
        <v>0</v>
      </c>
      <c r="AP221" s="491">
        <f t="shared" ca="1" si="101"/>
        <v>0</v>
      </c>
      <c r="AQ221" s="491">
        <f t="shared" ca="1" si="101"/>
        <v>0</v>
      </c>
      <c r="AR221" s="491">
        <f t="shared" ca="1" si="101"/>
        <v>0</v>
      </c>
      <c r="AS221" s="491">
        <f t="shared" ca="1" si="101"/>
        <v>0</v>
      </c>
      <c r="AT221" s="491">
        <f t="shared" ca="1" si="101"/>
        <v>0</v>
      </c>
    </row>
    <row r="222" spans="2:46" ht="17.45" customHeight="1">
      <c r="C222" s="1864"/>
      <c r="D222" s="1844">
        <f ca="1">D211+D212-D213-D216</f>
        <v>0</v>
      </c>
      <c r="E222" s="1844">
        <f t="shared" ref="E222:AT222" ca="1" si="102">E211+E212-E213-E216</f>
        <v>0</v>
      </c>
      <c r="F222" s="1844">
        <f t="shared" ca="1" si="102"/>
        <v>0</v>
      </c>
      <c r="G222" s="1844">
        <f t="shared" ca="1" si="102"/>
        <v>0</v>
      </c>
      <c r="H222" s="1844">
        <f t="shared" ca="1" si="102"/>
        <v>0</v>
      </c>
      <c r="I222" s="1844">
        <f t="shared" ca="1" si="102"/>
        <v>0</v>
      </c>
      <c r="J222" s="1844">
        <f t="shared" ca="1" si="102"/>
        <v>0</v>
      </c>
      <c r="K222" s="1844">
        <f t="shared" ca="1" si="102"/>
        <v>0</v>
      </c>
      <c r="L222" s="1844">
        <f t="shared" ca="1" si="102"/>
        <v>0</v>
      </c>
      <c r="M222" s="1844">
        <f t="shared" ca="1" si="102"/>
        <v>0</v>
      </c>
      <c r="N222" s="1844">
        <f t="shared" ca="1" si="102"/>
        <v>0</v>
      </c>
      <c r="O222" s="1844">
        <f t="shared" ca="1" si="102"/>
        <v>0</v>
      </c>
      <c r="P222" s="1844">
        <f t="shared" ca="1" si="102"/>
        <v>0</v>
      </c>
      <c r="Q222" s="1844">
        <f t="shared" ca="1" si="102"/>
        <v>0</v>
      </c>
      <c r="R222" s="1844">
        <f t="shared" ca="1" si="102"/>
        <v>0</v>
      </c>
      <c r="S222" s="1844">
        <f t="shared" ca="1" si="102"/>
        <v>0</v>
      </c>
      <c r="T222" s="1844">
        <f t="shared" ca="1" si="102"/>
        <v>0</v>
      </c>
      <c r="U222" s="1844">
        <f t="shared" ca="1" si="102"/>
        <v>0</v>
      </c>
      <c r="V222" s="1844">
        <f t="shared" ca="1" si="102"/>
        <v>0</v>
      </c>
      <c r="W222" s="1844">
        <f t="shared" ca="1" si="102"/>
        <v>0</v>
      </c>
      <c r="X222" s="1844">
        <f t="shared" ca="1" si="102"/>
        <v>0</v>
      </c>
      <c r="Y222" s="1844">
        <f t="shared" ca="1" si="102"/>
        <v>0</v>
      </c>
      <c r="Z222" s="1844">
        <f t="shared" ca="1" si="102"/>
        <v>0</v>
      </c>
      <c r="AA222" s="1844">
        <f t="shared" ca="1" si="102"/>
        <v>0</v>
      </c>
      <c r="AB222" s="1844">
        <f t="shared" ca="1" si="102"/>
        <v>0</v>
      </c>
      <c r="AC222" s="1844">
        <f t="shared" ca="1" si="102"/>
        <v>0</v>
      </c>
      <c r="AD222" s="1844">
        <f t="shared" ca="1" si="102"/>
        <v>0</v>
      </c>
      <c r="AE222" s="1844">
        <f t="shared" ca="1" si="102"/>
        <v>0</v>
      </c>
      <c r="AF222" s="1844">
        <f t="shared" ca="1" si="102"/>
        <v>0</v>
      </c>
      <c r="AG222" s="1844">
        <f t="shared" ca="1" si="102"/>
        <v>0</v>
      </c>
      <c r="AH222" s="1844">
        <f t="shared" ca="1" si="102"/>
        <v>0</v>
      </c>
      <c r="AI222" s="1844">
        <f t="shared" ca="1" si="102"/>
        <v>0</v>
      </c>
      <c r="AJ222" s="1844">
        <f t="shared" ca="1" si="102"/>
        <v>0</v>
      </c>
      <c r="AK222" s="1844">
        <f t="shared" ca="1" si="102"/>
        <v>0</v>
      </c>
      <c r="AL222" s="1844">
        <f t="shared" ca="1" si="102"/>
        <v>0</v>
      </c>
      <c r="AM222" s="1844">
        <f t="shared" ca="1" si="102"/>
        <v>0</v>
      </c>
      <c r="AN222" s="1844">
        <f t="shared" ca="1" si="102"/>
        <v>0</v>
      </c>
      <c r="AO222" s="1844">
        <f t="shared" ca="1" si="102"/>
        <v>0</v>
      </c>
      <c r="AP222" s="1844">
        <f t="shared" ca="1" si="102"/>
        <v>0</v>
      </c>
      <c r="AQ222" s="1844">
        <f t="shared" ca="1" si="102"/>
        <v>0</v>
      </c>
      <c r="AR222" s="1844">
        <f t="shared" ca="1" si="102"/>
        <v>0</v>
      </c>
      <c r="AS222" s="1844">
        <f t="shared" ca="1" si="102"/>
        <v>0</v>
      </c>
      <c r="AT222" s="1844">
        <f t="shared" ca="1" si="102"/>
        <v>0</v>
      </c>
    </row>
    <row r="223" spans="2:46" ht="17.45" customHeight="1">
      <c r="C223" s="1864"/>
      <c r="D223" s="1844">
        <f ca="1">D216-D217-D218</f>
        <v>0</v>
      </c>
      <c r="E223" s="1844">
        <f t="shared" ref="E223:AT223" ca="1" si="103">E216-E217-E218</f>
        <v>0</v>
      </c>
      <c r="F223" s="1844">
        <f t="shared" ca="1" si="103"/>
        <v>0</v>
      </c>
      <c r="G223" s="1844">
        <f t="shared" ca="1" si="103"/>
        <v>0</v>
      </c>
      <c r="H223" s="1844">
        <f t="shared" ca="1" si="103"/>
        <v>0</v>
      </c>
      <c r="I223" s="1844">
        <f t="shared" ca="1" si="103"/>
        <v>0</v>
      </c>
      <c r="J223" s="1844">
        <f t="shared" ca="1" si="103"/>
        <v>0</v>
      </c>
      <c r="K223" s="1844">
        <f t="shared" ca="1" si="103"/>
        <v>0</v>
      </c>
      <c r="L223" s="1844">
        <f t="shared" ca="1" si="103"/>
        <v>0</v>
      </c>
      <c r="M223" s="1844">
        <f t="shared" ca="1" si="103"/>
        <v>0</v>
      </c>
      <c r="N223" s="1844">
        <f t="shared" ca="1" si="103"/>
        <v>0</v>
      </c>
      <c r="O223" s="1844">
        <f t="shared" ca="1" si="103"/>
        <v>0</v>
      </c>
      <c r="P223" s="1844">
        <f t="shared" ca="1" si="103"/>
        <v>0</v>
      </c>
      <c r="Q223" s="1844">
        <f t="shared" ca="1" si="103"/>
        <v>0</v>
      </c>
      <c r="R223" s="1844">
        <f t="shared" ca="1" si="103"/>
        <v>0</v>
      </c>
      <c r="S223" s="1844">
        <f t="shared" ca="1" si="103"/>
        <v>0</v>
      </c>
      <c r="T223" s="1844">
        <f t="shared" ca="1" si="103"/>
        <v>0</v>
      </c>
      <c r="U223" s="1844">
        <f t="shared" ca="1" si="103"/>
        <v>0</v>
      </c>
      <c r="V223" s="1844">
        <f t="shared" ca="1" si="103"/>
        <v>0</v>
      </c>
      <c r="W223" s="1844">
        <f t="shared" ca="1" si="103"/>
        <v>0</v>
      </c>
      <c r="X223" s="1844">
        <f t="shared" ca="1" si="103"/>
        <v>0</v>
      </c>
      <c r="Y223" s="1844">
        <f t="shared" ca="1" si="103"/>
        <v>0</v>
      </c>
      <c r="Z223" s="1844">
        <f t="shared" ca="1" si="103"/>
        <v>0</v>
      </c>
      <c r="AA223" s="1844">
        <f t="shared" ca="1" si="103"/>
        <v>0</v>
      </c>
      <c r="AB223" s="1844">
        <f t="shared" ca="1" si="103"/>
        <v>0</v>
      </c>
      <c r="AC223" s="1844">
        <f t="shared" ca="1" si="103"/>
        <v>0</v>
      </c>
      <c r="AD223" s="1844">
        <f t="shared" ca="1" si="103"/>
        <v>0</v>
      </c>
      <c r="AE223" s="1844">
        <f t="shared" ca="1" si="103"/>
        <v>0</v>
      </c>
      <c r="AF223" s="1844">
        <f t="shared" ca="1" si="103"/>
        <v>0</v>
      </c>
      <c r="AG223" s="1844">
        <f t="shared" ca="1" si="103"/>
        <v>0</v>
      </c>
      <c r="AH223" s="1844">
        <f t="shared" ca="1" si="103"/>
        <v>0</v>
      </c>
      <c r="AI223" s="1844">
        <f t="shared" ca="1" si="103"/>
        <v>0</v>
      </c>
      <c r="AJ223" s="1844">
        <f t="shared" ca="1" si="103"/>
        <v>0</v>
      </c>
      <c r="AK223" s="1844">
        <f t="shared" ca="1" si="103"/>
        <v>0</v>
      </c>
      <c r="AL223" s="1844">
        <f t="shared" ca="1" si="103"/>
        <v>0</v>
      </c>
      <c r="AM223" s="1844">
        <f t="shared" ca="1" si="103"/>
        <v>0</v>
      </c>
      <c r="AN223" s="1844">
        <f t="shared" ca="1" si="103"/>
        <v>0</v>
      </c>
      <c r="AO223" s="1844">
        <f t="shared" ca="1" si="103"/>
        <v>0</v>
      </c>
      <c r="AP223" s="1844">
        <f t="shared" ca="1" si="103"/>
        <v>0</v>
      </c>
      <c r="AQ223" s="1844">
        <f t="shared" ca="1" si="103"/>
        <v>0</v>
      </c>
      <c r="AR223" s="1844">
        <f t="shared" ca="1" si="103"/>
        <v>0</v>
      </c>
      <c r="AS223" s="1844">
        <f t="shared" ca="1" si="103"/>
        <v>0</v>
      </c>
      <c r="AT223" s="1844">
        <f t="shared" ca="1" si="103"/>
        <v>0</v>
      </c>
    </row>
    <row r="224" spans="2:46" ht="17.45" customHeight="1">
      <c r="C224" s="1864"/>
    </row>
    <row r="225" spans="3:16" ht="17.45" customHeight="1" thickBot="1">
      <c r="C225" s="1864"/>
    </row>
    <row r="226" spans="3:16" ht="17.45" customHeight="1" thickBot="1">
      <c r="C226" s="1860" t="s">
        <v>48</v>
      </c>
      <c r="D226" s="1861">
        <f t="shared" ref="D226:P241" si="104">Q199</f>
        <v>2034</v>
      </c>
      <c r="E226" s="1861">
        <f t="shared" si="104"/>
        <v>2035</v>
      </c>
      <c r="F226" s="1861">
        <f t="shared" si="104"/>
        <v>2036</v>
      </c>
      <c r="G226" s="1861">
        <f t="shared" si="104"/>
        <v>2037</v>
      </c>
      <c r="H226" s="1861">
        <f t="shared" si="104"/>
        <v>2038</v>
      </c>
      <c r="I226" s="1861">
        <f t="shared" si="104"/>
        <v>2039</v>
      </c>
      <c r="J226" s="1861">
        <f t="shared" si="104"/>
        <v>2040</v>
      </c>
      <c r="K226" s="1861">
        <f t="shared" si="104"/>
        <v>2041</v>
      </c>
      <c r="L226" s="1861">
        <f t="shared" si="104"/>
        <v>2042</v>
      </c>
      <c r="M226" s="1861">
        <f t="shared" si="104"/>
        <v>2043</v>
      </c>
      <c r="N226" s="1861">
        <f t="shared" si="104"/>
        <v>2044</v>
      </c>
      <c r="O226" s="1861">
        <f t="shared" si="104"/>
        <v>2045</v>
      </c>
      <c r="P226" s="1861">
        <f t="shared" si="104"/>
        <v>2046</v>
      </c>
    </row>
    <row r="227" spans="3:16" ht="17.45" customHeight="1" thickBot="1">
      <c r="C227" s="1862" t="s">
        <v>3642</v>
      </c>
      <c r="D227" s="1863">
        <f t="shared" ca="1" si="104"/>
        <v>36127.540830497106</v>
      </c>
      <c r="E227" s="1863">
        <f t="shared" ca="1" si="104"/>
        <v>36456.969060160831</v>
      </c>
      <c r="F227" s="1863">
        <f t="shared" ca="1" si="104"/>
        <v>37898.347599860404</v>
      </c>
      <c r="G227" s="1863">
        <f t="shared" ca="1" si="104"/>
        <v>38238.404137159327</v>
      </c>
      <c r="H227" s="1863">
        <f t="shared" ca="1" si="104"/>
        <v>38577.71650020477</v>
      </c>
      <c r="I227" s="1863">
        <f t="shared" ca="1" si="104"/>
        <v>40094.655224283095</v>
      </c>
      <c r="J227" s="1863">
        <f t="shared" ca="1" si="104"/>
        <v>40444.929692002443</v>
      </c>
      <c r="K227" s="1863">
        <f t="shared" ca="1" si="104"/>
        <v>40794.422776755673</v>
      </c>
      <c r="L227" s="1863">
        <f t="shared" ca="1" si="104"/>
        <v>42390.193791473488</v>
      </c>
      <c r="M227" s="1863">
        <f t="shared" ca="1" si="104"/>
        <v>42750.993539240982</v>
      </c>
      <c r="N227" s="1863">
        <f t="shared" ca="1" si="104"/>
        <v>43110.972834894033</v>
      </c>
      <c r="O227" s="1863">
        <f t="shared" ca="1" si="104"/>
        <v>44788.978355515981</v>
      </c>
      <c r="P227" s="1863">
        <f t="shared" ca="1" si="104"/>
        <v>45160.61999403387</v>
      </c>
    </row>
    <row r="228" spans="3:16" ht="14.25" thickBot="1">
      <c r="C228" s="1847" t="s">
        <v>3643</v>
      </c>
      <c r="D228" s="1863">
        <f t="shared" ca="1" si="104"/>
        <v>33430.436364907102</v>
      </c>
      <c r="E228" s="1863">
        <f t="shared" ca="1" si="104"/>
        <v>33759.800269980078</v>
      </c>
      <c r="F228" s="1863">
        <f t="shared" ca="1" si="104"/>
        <v>35111.839100304649</v>
      </c>
      <c r="G228" s="1863">
        <f t="shared" ca="1" si="104"/>
        <v>35451.083922529819</v>
      </c>
      <c r="H228" s="1863">
        <f t="shared" ca="1" si="104"/>
        <v>35790.328744754974</v>
      </c>
      <c r="I228" s="1863">
        <f t="shared" ca="1" si="104"/>
        <v>37213.460773989551</v>
      </c>
      <c r="J228" s="1863">
        <f t="shared" ca="1" si="104"/>
        <v>37562.882940881471</v>
      </c>
      <c r="K228" s="1863">
        <f t="shared" ca="1" si="104"/>
        <v>37912.305107773391</v>
      </c>
      <c r="L228" s="1863">
        <f t="shared" ca="1" si="104"/>
        <v>39409.579092905275</v>
      </c>
      <c r="M228" s="1863">
        <f t="shared" ca="1" si="104"/>
        <v>39769.483924803957</v>
      </c>
      <c r="N228" s="1863">
        <f t="shared" ca="1" si="104"/>
        <v>40129.38875670264</v>
      </c>
      <c r="O228" s="1863">
        <f t="shared" ca="1" si="104"/>
        <v>41703.972396259356</v>
      </c>
      <c r="P228" s="1863">
        <f t="shared" ca="1" si="104"/>
        <v>42074.674373114991</v>
      </c>
    </row>
    <row r="229" spans="3:16" ht="14.25" thickBot="1">
      <c r="C229" s="1847" t="s">
        <v>3644</v>
      </c>
      <c r="D229" s="1863">
        <f t="shared" ca="1" si="104"/>
        <v>2697.1044655900041</v>
      </c>
      <c r="E229" s="1863">
        <f t="shared" ca="1" si="104"/>
        <v>2697.1687901807527</v>
      </c>
      <c r="F229" s="1863">
        <f t="shared" ca="1" si="104"/>
        <v>2786.5084995557554</v>
      </c>
      <c r="G229" s="1863">
        <f t="shared" ca="1" si="104"/>
        <v>2787.320214629508</v>
      </c>
      <c r="H229" s="1863">
        <f t="shared" ca="1" si="104"/>
        <v>2787.3877554497958</v>
      </c>
      <c r="I229" s="1863">
        <f t="shared" ca="1" si="104"/>
        <v>2881.1944502935439</v>
      </c>
      <c r="J229" s="1863">
        <f t="shared" ca="1" si="104"/>
        <v>2882.0467511209717</v>
      </c>
      <c r="K229" s="1863">
        <f t="shared" ca="1" si="104"/>
        <v>2882.1176689822823</v>
      </c>
      <c r="L229" s="1863">
        <f t="shared" ca="1" si="104"/>
        <v>2980.6146985682135</v>
      </c>
      <c r="M229" s="1863">
        <f t="shared" ca="1" si="104"/>
        <v>2981.5096144370254</v>
      </c>
      <c r="N229" s="1863">
        <f t="shared" ca="1" si="104"/>
        <v>2981.5840781913939</v>
      </c>
      <c r="O229" s="1863">
        <f t="shared" ca="1" si="104"/>
        <v>3085.0059592566249</v>
      </c>
      <c r="P229" s="1863">
        <f t="shared" ca="1" si="104"/>
        <v>3085.9456209188793</v>
      </c>
    </row>
    <row r="230" spans="3:16" ht="14.25" thickBot="1">
      <c r="C230" s="1847" t="s">
        <v>3645</v>
      </c>
      <c r="D230" s="1863">
        <f t="shared" si="104"/>
        <v>0</v>
      </c>
      <c r="E230" s="1863">
        <f t="shared" si="104"/>
        <v>0</v>
      </c>
      <c r="F230" s="1863">
        <f t="shared" si="104"/>
        <v>0</v>
      </c>
      <c r="G230" s="1863">
        <f t="shared" si="104"/>
        <v>0</v>
      </c>
      <c r="H230" s="1863">
        <f t="shared" si="104"/>
        <v>0</v>
      </c>
      <c r="I230" s="1863">
        <f t="shared" si="104"/>
        <v>0</v>
      </c>
      <c r="J230" s="1863">
        <f t="shared" si="104"/>
        <v>0</v>
      </c>
      <c r="K230" s="1863">
        <f t="shared" si="104"/>
        <v>0</v>
      </c>
      <c r="L230" s="1863">
        <f t="shared" si="104"/>
        <v>0</v>
      </c>
      <c r="M230" s="1863">
        <f t="shared" si="104"/>
        <v>0</v>
      </c>
      <c r="N230" s="1863">
        <f t="shared" si="104"/>
        <v>0</v>
      </c>
      <c r="O230" s="1863">
        <f t="shared" si="104"/>
        <v>0</v>
      </c>
      <c r="P230" s="1863">
        <f t="shared" si="104"/>
        <v>0</v>
      </c>
    </row>
    <row r="231" spans="3:16" ht="14.25" thickBot="1">
      <c r="C231" s="1862" t="s">
        <v>247</v>
      </c>
      <c r="D231" s="1863">
        <f t="shared" ca="1" si="104"/>
        <v>31575.36019044448</v>
      </c>
      <c r="E231" s="1863">
        <f t="shared" ca="1" si="104"/>
        <v>32575.566546980845</v>
      </c>
      <c r="F231" s="1863">
        <f t="shared" ca="1" si="104"/>
        <v>32791.360052374963</v>
      </c>
      <c r="G231" s="1863">
        <f t="shared" ca="1" si="104"/>
        <v>33365.983271377147</v>
      </c>
      <c r="H231" s="1863">
        <f t="shared" ca="1" si="104"/>
        <v>34223.338256666182</v>
      </c>
      <c r="I231" s="1863">
        <f t="shared" ca="1" si="104"/>
        <v>35660.82978630258</v>
      </c>
      <c r="J231" s="1863">
        <f t="shared" ca="1" si="104"/>
        <v>34344.208904498933</v>
      </c>
      <c r="K231" s="1863">
        <f t="shared" ca="1" si="104"/>
        <v>34289.300243420097</v>
      </c>
      <c r="L231" s="1863">
        <f t="shared" ca="1" si="104"/>
        <v>34183.398430696398</v>
      </c>
      <c r="M231" s="1863">
        <f t="shared" ca="1" si="104"/>
        <v>34764.632955313493</v>
      </c>
      <c r="N231" s="1863">
        <f t="shared" ca="1" si="104"/>
        <v>35056.501184831461</v>
      </c>
      <c r="O231" s="1863">
        <f t="shared" ca="1" si="104"/>
        <v>35903.627693310424</v>
      </c>
      <c r="P231" s="1863">
        <f t="shared" ca="1" si="104"/>
        <v>35919.52374028138</v>
      </c>
    </row>
    <row r="232" spans="3:16" ht="14.25" thickBot="1">
      <c r="C232" s="1847" t="s">
        <v>251</v>
      </c>
      <c r="D232" s="1863">
        <f t="shared" ca="1" si="104"/>
        <v>25341.902539256316</v>
      </c>
      <c r="E232" s="1863">
        <f t="shared" ca="1" si="104"/>
        <v>25778.866531306248</v>
      </c>
      <c r="F232" s="1863">
        <f t="shared" ca="1" si="104"/>
        <v>26038.30283682837</v>
      </c>
      <c r="G232" s="1863">
        <f t="shared" ca="1" si="104"/>
        <v>26493.440291912833</v>
      </c>
      <c r="H232" s="1863">
        <f t="shared" ca="1" si="104"/>
        <v>26768.117496966381</v>
      </c>
      <c r="I232" s="1863">
        <f t="shared" ca="1" si="104"/>
        <v>27247.313996075871</v>
      </c>
      <c r="J232" s="1863">
        <f t="shared" ca="1" si="104"/>
        <v>27561.611440473287</v>
      </c>
      <c r="K232" s="1863">
        <f t="shared" ca="1" si="104"/>
        <v>28064.380124739364</v>
      </c>
      <c r="L232" s="1863">
        <f t="shared" ca="1" si="104"/>
        <v>28351.749506335553</v>
      </c>
      <c r="M232" s="1863">
        <f t="shared" ca="1" si="104"/>
        <v>28847.098636629831</v>
      </c>
      <c r="N232" s="1863">
        <f t="shared" ca="1" si="104"/>
        <v>29138.966866147806</v>
      </c>
      <c r="O232" s="1863">
        <f t="shared" ca="1" si="104"/>
        <v>29691.887180534966</v>
      </c>
      <c r="P232" s="1863">
        <f t="shared" ca="1" si="104"/>
        <v>29954.505233739023</v>
      </c>
    </row>
    <row r="233" spans="3:16" ht="14.25" thickBot="1">
      <c r="C233" s="1847" t="s">
        <v>1252</v>
      </c>
      <c r="D233" s="1863">
        <f t="shared" ca="1" si="104"/>
        <v>0</v>
      </c>
      <c r="E233" s="1863">
        <f t="shared" ca="1" si="104"/>
        <v>344.84226397128714</v>
      </c>
      <c r="F233" s="1863">
        <f t="shared" ca="1" si="104"/>
        <v>0</v>
      </c>
      <c r="G233" s="1863">
        <f t="shared" ca="1" si="104"/>
        <v>0</v>
      </c>
      <c r="H233" s="1863">
        <f t="shared" ca="1" si="104"/>
        <v>284.23306352950453</v>
      </c>
      <c r="I233" s="1863">
        <f t="shared" ca="1" si="104"/>
        <v>545.44324891311908</v>
      </c>
      <c r="J233" s="1863">
        <f t="shared" ca="1" si="104"/>
        <v>0</v>
      </c>
      <c r="K233" s="1863">
        <f t="shared" ca="1" si="104"/>
        <v>0</v>
      </c>
      <c r="L233" s="1863">
        <f t="shared" ca="1" si="104"/>
        <v>0</v>
      </c>
      <c r="M233" s="1863">
        <f t="shared" ca="1" si="104"/>
        <v>0</v>
      </c>
      <c r="N233" s="1863">
        <f t="shared" ca="1" si="104"/>
        <v>0</v>
      </c>
      <c r="O233" s="1863">
        <f t="shared" ca="1" si="104"/>
        <v>304.73631564765958</v>
      </c>
      <c r="P233" s="1863">
        <f t="shared" ca="1" si="104"/>
        <v>0</v>
      </c>
    </row>
    <row r="234" spans="3:16" ht="14.25" thickBot="1">
      <c r="C234" s="1847" t="s">
        <v>3646</v>
      </c>
      <c r="D234" s="1863">
        <f t="shared" ca="1" si="104"/>
        <v>680</v>
      </c>
      <c r="E234" s="1863">
        <f t="shared" ca="1" si="104"/>
        <v>680</v>
      </c>
      <c r="F234" s="1863">
        <f t="shared" ca="1" si="104"/>
        <v>680</v>
      </c>
      <c r="G234" s="1863">
        <f t="shared" ca="1" si="104"/>
        <v>680</v>
      </c>
      <c r="H234" s="1863">
        <f t="shared" ca="1" si="104"/>
        <v>680</v>
      </c>
      <c r="I234" s="1863">
        <f t="shared" ca="1" si="104"/>
        <v>680</v>
      </c>
      <c r="J234" s="1863">
        <f t="shared" ca="1" si="104"/>
        <v>680</v>
      </c>
      <c r="K234" s="1863">
        <f t="shared" ca="1" si="104"/>
        <v>509.99999999999994</v>
      </c>
      <c r="L234" s="1863">
        <f t="shared" ca="1" si="104"/>
        <v>0</v>
      </c>
      <c r="M234" s="1863">
        <f t="shared" ca="1" si="104"/>
        <v>0</v>
      </c>
      <c r="N234" s="1863">
        <f t="shared" ca="1" si="104"/>
        <v>0</v>
      </c>
      <c r="O234" s="1863">
        <f t="shared" ca="1" si="104"/>
        <v>0</v>
      </c>
      <c r="P234" s="1863">
        <f t="shared" ca="1" si="104"/>
        <v>0</v>
      </c>
    </row>
    <row r="235" spans="3:16" ht="14.25" thickBot="1">
      <c r="C235" s="1847" t="s">
        <v>3647</v>
      </c>
      <c r="D235" s="1863">
        <f t="shared" si="104"/>
        <v>2707.1322618701302</v>
      </c>
      <c r="E235" s="1863">
        <f t="shared" si="104"/>
        <v>2707.1322618701306</v>
      </c>
      <c r="F235" s="1863">
        <f t="shared" si="104"/>
        <v>2707.1322618701306</v>
      </c>
      <c r="G235" s="1863">
        <f t="shared" si="104"/>
        <v>2707.1322618701311</v>
      </c>
      <c r="H235" s="1863">
        <f t="shared" si="104"/>
        <v>2707.1322618701311</v>
      </c>
      <c r="I235" s="1863">
        <f t="shared" si="104"/>
        <v>2707.1322618701311</v>
      </c>
      <c r="J235" s="1863">
        <f t="shared" si="104"/>
        <v>2707.1322618701311</v>
      </c>
      <c r="K235" s="1863">
        <f t="shared" si="104"/>
        <v>2707.1322618701311</v>
      </c>
      <c r="L235" s="1863">
        <f t="shared" si="104"/>
        <v>2707.1322618701311</v>
      </c>
      <c r="M235" s="1863">
        <f t="shared" si="104"/>
        <v>2707.1322618701315</v>
      </c>
      <c r="N235" s="1863">
        <f t="shared" si="104"/>
        <v>2707.1322618701315</v>
      </c>
      <c r="O235" s="1863">
        <f t="shared" si="104"/>
        <v>2707.132261870132</v>
      </c>
      <c r="P235" s="1863">
        <f t="shared" si="104"/>
        <v>2707.1322618701315</v>
      </c>
    </row>
    <row r="236" spans="3:16" ht="14.25" thickBot="1">
      <c r="C236" s="1847" t="s">
        <v>3648</v>
      </c>
      <c r="D236" s="1863">
        <f t="shared" ca="1" si="104"/>
        <v>2846.3253893180299</v>
      </c>
      <c r="E236" s="1863">
        <f t="shared" ca="1" si="104"/>
        <v>3064.725489833178</v>
      </c>
      <c r="F236" s="1863">
        <f t="shared" ca="1" si="104"/>
        <v>3365.9249536764596</v>
      </c>
      <c r="G236" s="1863">
        <f t="shared" ca="1" si="104"/>
        <v>3485.410717594184</v>
      </c>
      <c r="H236" s="1863">
        <f t="shared" ca="1" si="104"/>
        <v>3783.8554343001638</v>
      </c>
      <c r="I236" s="1863">
        <f t="shared" ca="1" si="104"/>
        <v>4480.94027944346</v>
      </c>
      <c r="J236" s="1863">
        <f t="shared" ca="1" si="104"/>
        <v>3395.4652021555139</v>
      </c>
      <c r="K236" s="1863">
        <f t="shared" ca="1" si="104"/>
        <v>3007.7878568106057</v>
      </c>
      <c r="L236" s="1863">
        <f t="shared" ca="1" si="104"/>
        <v>3124.5166624907142</v>
      </c>
      <c r="M236" s="1863">
        <f t="shared" ca="1" si="104"/>
        <v>3210.4020568135284</v>
      </c>
      <c r="N236" s="1863">
        <f t="shared" ca="1" si="104"/>
        <v>3210.4020568135284</v>
      </c>
      <c r="O236" s="1863">
        <f t="shared" ca="1" si="104"/>
        <v>3199.8719352576559</v>
      </c>
      <c r="P236" s="1863">
        <f t="shared" ca="1" si="104"/>
        <v>3257.8862446722228</v>
      </c>
    </row>
    <row r="237" spans="3:16" ht="14.25" thickBot="1">
      <c r="C237" s="1847" t="s">
        <v>3649</v>
      </c>
      <c r="D237" s="1863">
        <f t="shared" ca="1" si="104"/>
        <v>0</v>
      </c>
      <c r="E237" s="1863">
        <f t="shared" ca="1" si="104"/>
        <v>0</v>
      </c>
      <c r="F237" s="1863">
        <f t="shared" ca="1" si="104"/>
        <v>0</v>
      </c>
      <c r="G237" s="1863">
        <f t="shared" ca="1" si="104"/>
        <v>0</v>
      </c>
      <c r="H237" s="1863">
        <f t="shared" ca="1" si="104"/>
        <v>0</v>
      </c>
      <c r="I237" s="1863">
        <f t="shared" ca="1" si="104"/>
        <v>0</v>
      </c>
      <c r="J237" s="1863">
        <f t="shared" ca="1" si="104"/>
        <v>0</v>
      </c>
      <c r="K237" s="1863">
        <f t="shared" ca="1" si="104"/>
        <v>0</v>
      </c>
      <c r="L237" s="1863">
        <f t="shared" ca="1" si="104"/>
        <v>0</v>
      </c>
      <c r="M237" s="1863">
        <f t="shared" ca="1" si="104"/>
        <v>0</v>
      </c>
      <c r="N237" s="1863">
        <f t="shared" ca="1" si="104"/>
        <v>0</v>
      </c>
      <c r="O237" s="1863">
        <f t="shared" ca="1" si="104"/>
        <v>0</v>
      </c>
      <c r="P237" s="1863">
        <f t="shared" ca="1" si="104"/>
        <v>0</v>
      </c>
    </row>
    <row r="238" spans="3:16" ht="14.25" thickBot="1">
      <c r="C238" s="1862" t="s">
        <v>3650</v>
      </c>
      <c r="D238" s="1863">
        <f t="shared" ca="1" si="104"/>
        <v>4552.1806400526257</v>
      </c>
      <c r="E238" s="1863">
        <f t="shared" ca="1" si="104"/>
        <v>3881.4025131799835</v>
      </c>
      <c r="F238" s="1863">
        <f t="shared" ca="1" si="104"/>
        <v>5106.9875474854425</v>
      </c>
      <c r="G238" s="1863">
        <f t="shared" ca="1" si="104"/>
        <v>4872.4208657821746</v>
      </c>
      <c r="H238" s="1863">
        <f t="shared" ca="1" si="104"/>
        <v>4354.3782435385874</v>
      </c>
      <c r="I238" s="1863">
        <f t="shared" ca="1" si="104"/>
        <v>4433.8254379805112</v>
      </c>
      <c r="J238" s="1863">
        <f t="shared" ca="1" si="104"/>
        <v>6100.7207875035137</v>
      </c>
      <c r="K238" s="1863">
        <f t="shared" ca="1" si="104"/>
        <v>6505.1225333355715</v>
      </c>
      <c r="L238" s="1863">
        <f t="shared" ca="1" si="104"/>
        <v>8206.7953607770905</v>
      </c>
      <c r="M238" s="1863">
        <f t="shared" ca="1" si="104"/>
        <v>7986.3605839274896</v>
      </c>
      <c r="N238" s="1863">
        <f t="shared" ca="1" si="104"/>
        <v>8054.4716500625727</v>
      </c>
      <c r="O238" s="1863">
        <f t="shared" ca="1" si="104"/>
        <v>8885.3506622055593</v>
      </c>
      <c r="P238" s="1863">
        <f t="shared" ca="1" si="104"/>
        <v>9241.0962537524883</v>
      </c>
    </row>
    <row r="239" spans="3:16" ht="14.25" thickBot="1">
      <c r="C239" s="1862" t="s">
        <v>3651</v>
      </c>
      <c r="D239" s="1863">
        <f t="shared" si="104"/>
        <v>0</v>
      </c>
      <c r="E239" s="1863">
        <f t="shared" si="104"/>
        <v>0</v>
      </c>
      <c r="F239" s="1863">
        <f t="shared" si="104"/>
        <v>0</v>
      </c>
      <c r="G239" s="1863">
        <f t="shared" si="104"/>
        <v>0</v>
      </c>
      <c r="H239" s="1863">
        <f t="shared" si="104"/>
        <v>0</v>
      </c>
      <c r="I239" s="1863">
        <f t="shared" si="104"/>
        <v>0</v>
      </c>
      <c r="J239" s="1863">
        <f t="shared" si="104"/>
        <v>0</v>
      </c>
      <c r="K239" s="1863">
        <f t="shared" si="104"/>
        <v>0</v>
      </c>
      <c r="L239" s="1863">
        <f t="shared" si="104"/>
        <v>0</v>
      </c>
      <c r="M239" s="1863">
        <f t="shared" si="104"/>
        <v>0</v>
      </c>
      <c r="N239" s="1863">
        <f t="shared" si="104"/>
        <v>0</v>
      </c>
      <c r="O239" s="1863">
        <f t="shared" si="104"/>
        <v>0</v>
      </c>
      <c r="P239" s="1863">
        <f t="shared" si="104"/>
        <v>0</v>
      </c>
    </row>
    <row r="240" spans="3:16" ht="14.25" thickBot="1">
      <c r="C240" s="1862" t="s">
        <v>3652</v>
      </c>
      <c r="D240" s="1863">
        <f t="shared" ca="1" si="104"/>
        <v>0</v>
      </c>
      <c r="E240" s="1863">
        <f t="shared" ca="1" si="104"/>
        <v>0</v>
      </c>
      <c r="F240" s="1863">
        <f t="shared" ca="1" si="104"/>
        <v>0</v>
      </c>
      <c r="G240" s="1863">
        <f t="shared" ca="1" si="104"/>
        <v>0</v>
      </c>
      <c r="H240" s="1863">
        <f t="shared" ca="1" si="104"/>
        <v>0</v>
      </c>
      <c r="I240" s="1863">
        <f t="shared" ca="1" si="104"/>
        <v>0</v>
      </c>
      <c r="J240" s="1863">
        <f t="shared" ca="1" si="104"/>
        <v>0</v>
      </c>
      <c r="K240" s="1863">
        <f t="shared" ca="1" si="104"/>
        <v>0</v>
      </c>
      <c r="L240" s="1863">
        <f t="shared" ca="1" si="104"/>
        <v>0</v>
      </c>
      <c r="M240" s="1863">
        <f t="shared" ca="1" si="104"/>
        <v>0</v>
      </c>
      <c r="N240" s="1863">
        <f t="shared" ca="1" si="104"/>
        <v>0</v>
      </c>
      <c r="O240" s="1863">
        <f t="shared" ca="1" si="104"/>
        <v>0</v>
      </c>
      <c r="P240" s="1863">
        <f t="shared" ca="1" si="104"/>
        <v>0</v>
      </c>
    </row>
    <row r="241" spans="3:16" ht="14.25" thickBot="1">
      <c r="C241" s="1847" t="s">
        <v>765</v>
      </c>
      <c r="D241" s="1863">
        <f t="shared" ca="1" si="104"/>
        <v>0</v>
      </c>
      <c r="E241" s="1863">
        <f t="shared" ca="1" si="104"/>
        <v>0</v>
      </c>
      <c r="F241" s="1863">
        <f t="shared" ca="1" si="104"/>
        <v>0</v>
      </c>
      <c r="G241" s="1863">
        <f t="shared" ca="1" si="104"/>
        <v>0</v>
      </c>
      <c r="H241" s="1863">
        <f t="shared" ca="1" si="104"/>
        <v>0</v>
      </c>
      <c r="I241" s="1863">
        <f t="shared" ca="1" si="104"/>
        <v>0</v>
      </c>
      <c r="J241" s="1863">
        <f t="shared" ca="1" si="104"/>
        <v>0</v>
      </c>
      <c r="K241" s="1863">
        <f t="shared" ca="1" si="104"/>
        <v>0</v>
      </c>
      <c r="L241" s="1863">
        <f t="shared" ca="1" si="104"/>
        <v>0</v>
      </c>
      <c r="M241" s="1863">
        <f t="shared" ca="1" si="104"/>
        <v>0</v>
      </c>
      <c r="N241" s="1863">
        <f t="shared" ca="1" si="104"/>
        <v>0</v>
      </c>
      <c r="O241" s="1863">
        <f t="shared" ca="1" si="104"/>
        <v>0</v>
      </c>
      <c r="P241" s="1863">
        <f t="shared" ca="1" si="104"/>
        <v>0</v>
      </c>
    </row>
    <row r="242" spans="3:16" ht="14.25" thickBot="1">
      <c r="C242" s="1847" t="s">
        <v>3653</v>
      </c>
      <c r="D242" s="1863">
        <f t="shared" ref="D242:P245" si="105">Q215</f>
        <v>0</v>
      </c>
      <c r="E242" s="1863">
        <f t="shared" si="105"/>
        <v>0</v>
      </c>
      <c r="F242" s="1863">
        <f t="shared" si="105"/>
        <v>0</v>
      </c>
      <c r="G242" s="1863">
        <f t="shared" si="105"/>
        <v>0</v>
      </c>
      <c r="H242" s="1863">
        <f t="shared" si="105"/>
        <v>0</v>
      </c>
      <c r="I242" s="1863">
        <f t="shared" si="105"/>
        <v>0</v>
      </c>
      <c r="J242" s="1863">
        <f t="shared" si="105"/>
        <v>0</v>
      </c>
      <c r="K242" s="1863">
        <f t="shared" si="105"/>
        <v>0</v>
      </c>
      <c r="L242" s="1863">
        <f t="shared" si="105"/>
        <v>0</v>
      </c>
      <c r="M242" s="1863">
        <f t="shared" si="105"/>
        <v>0</v>
      </c>
      <c r="N242" s="1863">
        <f t="shared" si="105"/>
        <v>0</v>
      </c>
      <c r="O242" s="1863">
        <f t="shared" si="105"/>
        <v>0</v>
      </c>
      <c r="P242" s="1863">
        <f t="shared" si="105"/>
        <v>0</v>
      </c>
    </row>
    <row r="243" spans="3:16" ht="14.25" thickBot="1">
      <c r="C243" s="1862" t="s">
        <v>3654</v>
      </c>
      <c r="D243" s="1863">
        <f t="shared" ca="1" si="105"/>
        <v>4552.1806400526257</v>
      </c>
      <c r="E243" s="1863">
        <f t="shared" ca="1" si="105"/>
        <v>3881.4025131799835</v>
      </c>
      <c r="F243" s="1863">
        <f t="shared" ca="1" si="105"/>
        <v>5106.9875474854425</v>
      </c>
      <c r="G243" s="1863">
        <f t="shared" ca="1" si="105"/>
        <v>4872.4208657821746</v>
      </c>
      <c r="H243" s="1863">
        <f t="shared" ca="1" si="105"/>
        <v>4354.3782435385874</v>
      </c>
      <c r="I243" s="1863">
        <f t="shared" ca="1" si="105"/>
        <v>4433.8254379805112</v>
      </c>
      <c r="J243" s="1863">
        <f t="shared" ca="1" si="105"/>
        <v>6100.7207875035137</v>
      </c>
      <c r="K243" s="1863">
        <f t="shared" ca="1" si="105"/>
        <v>6505.1225333355715</v>
      </c>
      <c r="L243" s="1863">
        <f t="shared" ca="1" si="105"/>
        <v>8206.7953607770905</v>
      </c>
      <c r="M243" s="1863">
        <f t="shared" ca="1" si="105"/>
        <v>7986.3605839274896</v>
      </c>
      <c r="N243" s="1863">
        <f t="shared" ca="1" si="105"/>
        <v>8054.4716500625727</v>
      </c>
      <c r="O243" s="1863">
        <f t="shared" ca="1" si="105"/>
        <v>8885.3506622055593</v>
      </c>
      <c r="P243" s="1863">
        <f t="shared" ca="1" si="105"/>
        <v>9241.0962537524883</v>
      </c>
    </row>
    <row r="244" spans="3:16" ht="14.25" thickBot="1">
      <c r="C244" s="1847" t="s">
        <v>3655</v>
      </c>
      <c r="D244" s="1863">
        <f t="shared" ca="1" si="105"/>
        <v>979.47974081157781</v>
      </c>
      <c r="E244" s="1863">
        <f t="shared" ca="1" si="105"/>
        <v>831.90855289959643</v>
      </c>
      <c r="F244" s="1863">
        <f t="shared" ca="1" si="105"/>
        <v>1101.5372604467975</v>
      </c>
      <c r="G244" s="1863">
        <f t="shared" ca="1" si="105"/>
        <v>1049.9325904720786</v>
      </c>
      <c r="H244" s="1863">
        <f t="shared" ca="1" si="105"/>
        <v>935.96321357848944</v>
      </c>
      <c r="I244" s="1863">
        <f t="shared" ca="1" si="105"/>
        <v>953.44159635571248</v>
      </c>
      <c r="J244" s="1863">
        <f t="shared" ca="1" si="105"/>
        <v>1320.1585732507731</v>
      </c>
      <c r="K244" s="1863">
        <f t="shared" ca="1" si="105"/>
        <v>1409.1269573338259</v>
      </c>
      <c r="L244" s="1863">
        <f t="shared" ca="1" si="105"/>
        <v>1783.4949793709598</v>
      </c>
      <c r="M244" s="1863">
        <f t="shared" ca="1" si="105"/>
        <v>1734.9993284640477</v>
      </c>
      <c r="N244" s="1863">
        <f t="shared" ca="1" si="105"/>
        <v>1749.9837630137658</v>
      </c>
      <c r="O244" s="1863">
        <f t="shared" ca="1" si="105"/>
        <v>1932.7771456852229</v>
      </c>
      <c r="P244" s="1863">
        <f t="shared" ca="1" si="105"/>
        <v>2011.0411758255473</v>
      </c>
    </row>
    <row r="245" spans="3:16" ht="14.25" thickBot="1">
      <c r="C245" s="1862" t="s">
        <v>1389</v>
      </c>
      <c r="D245" s="1863">
        <f t="shared" ca="1" si="105"/>
        <v>3572.7008992410483</v>
      </c>
      <c r="E245" s="1863">
        <f t="shared" ca="1" si="105"/>
        <v>3049.4939602803875</v>
      </c>
      <c r="F245" s="1863">
        <f t="shared" ca="1" si="105"/>
        <v>4005.450287038645</v>
      </c>
      <c r="G245" s="1863">
        <f t="shared" ca="1" si="105"/>
        <v>3822.4882753100965</v>
      </c>
      <c r="H245" s="1863">
        <f t="shared" ca="1" si="105"/>
        <v>3418.4150299600988</v>
      </c>
      <c r="I245" s="1863">
        <f t="shared" ca="1" si="105"/>
        <v>3480.3838416247986</v>
      </c>
      <c r="J245" s="1863">
        <f t="shared" ca="1" si="105"/>
        <v>4780.5622142527409</v>
      </c>
      <c r="K245" s="1863">
        <f t="shared" ca="1" si="105"/>
        <v>5095.9955760017456</v>
      </c>
      <c r="L245" s="1863">
        <f t="shared" ca="1" si="105"/>
        <v>6423.3003814061303</v>
      </c>
      <c r="M245" s="1863">
        <f t="shared" ca="1" si="105"/>
        <v>6251.3612554634419</v>
      </c>
      <c r="N245" s="1863">
        <f t="shared" ca="1" si="105"/>
        <v>6304.4878870488064</v>
      </c>
      <c r="O245" s="1863">
        <f t="shared" ca="1" si="105"/>
        <v>6952.5735165203359</v>
      </c>
      <c r="P245" s="1863">
        <f t="shared" ca="1" si="105"/>
        <v>7230.0550779269397</v>
      </c>
    </row>
    <row r="246" spans="3:16" ht="14.25" thickBot="1"/>
    <row r="247" spans="3:16" ht="14.25" thickBot="1">
      <c r="C247" s="1860" t="s">
        <v>48</v>
      </c>
      <c r="D247" s="1861">
        <f t="shared" ref="D247:P262" si="106">AD199</f>
        <v>2047</v>
      </c>
      <c r="E247" s="1861">
        <f t="shared" si="106"/>
        <v>2048</v>
      </c>
      <c r="F247" s="1861">
        <f t="shared" si="106"/>
        <v>2049</v>
      </c>
      <c r="G247" s="1861">
        <f t="shared" si="106"/>
        <v>2050</v>
      </c>
      <c r="H247" s="1861">
        <f t="shared" si="106"/>
        <v>2051</v>
      </c>
      <c r="I247" s="1861">
        <f t="shared" si="106"/>
        <v>2052</v>
      </c>
      <c r="J247" s="1861">
        <f t="shared" si="106"/>
        <v>2053</v>
      </c>
      <c r="K247" s="1861">
        <f t="shared" si="106"/>
        <v>2054</v>
      </c>
      <c r="L247" s="1861">
        <f t="shared" si="106"/>
        <v>2055</v>
      </c>
      <c r="M247" s="1861">
        <f t="shared" si="106"/>
        <v>2056</v>
      </c>
      <c r="N247" s="1861">
        <f t="shared" si="106"/>
        <v>2057</v>
      </c>
      <c r="O247" s="1861">
        <f t="shared" si="106"/>
        <v>2058</v>
      </c>
      <c r="P247" s="1861">
        <f t="shared" si="106"/>
        <v>2059</v>
      </c>
    </row>
    <row r="248" spans="3:16" ht="14.25" thickBot="1">
      <c r="C248" s="1862" t="s">
        <v>3642</v>
      </c>
      <c r="D248" s="1863">
        <f t="shared" ca="1" si="106"/>
        <v>45531.400157831587</v>
      </c>
      <c r="E248" s="1863">
        <f t="shared" ca="1" si="106"/>
        <v>47295.177459610517</v>
      </c>
      <c r="F248" s="1863">
        <f t="shared" ca="1" si="106"/>
        <v>47677.98714051718</v>
      </c>
      <c r="G248" s="1863">
        <f t="shared" ca="1" si="106"/>
        <v>48059.892272967678</v>
      </c>
      <c r="H248" s="1863">
        <f t="shared" ca="1" si="106"/>
        <v>49913.118826556863</v>
      </c>
      <c r="I248" s="1863">
        <f t="shared" ca="1" si="106"/>
        <v>50307.432530785634</v>
      </c>
      <c r="J248" s="1863">
        <f t="shared" ca="1" si="106"/>
        <v>50700.796459135432</v>
      </c>
      <c r="K248" s="1863">
        <f t="shared" ca="1" si="106"/>
        <v>52647.295257261918</v>
      </c>
      <c r="L248" s="1863">
        <f t="shared" ca="1" si="106"/>
        <v>53053.459092157209</v>
      </c>
      <c r="M248" s="1863">
        <f t="shared" ca="1" si="106"/>
        <v>53458.625662379585</v>
      </c>
      <c r="N248" s="1863">
        <f t="shared" ca="1" si="106"/>
        <v>55502.370744866959</v>
      </c>
      <c r="O248" s="1863">
        <f t="shared" ca="1" si="106"/>
        <v>55920.741250325736</v>
      </c>
      <c r="P248" s="1863">
        <f t="shared" ca="1" si="106"/>
        <v>28169.032313938977</v>
      </c>
    </row>
    <row r="249" spans="3:16" ht="14.25" thickBot="1">
      <c r="C249" s="1847" t="s">
        <v>3643</v>
      </c>
      <c r="D249" s="1863">
        <f t="shared" ca="1" si="106"/>
        <v>42445.376349970626</v>
      </c>
      <c r="E249" s="1863">
        <f t="shared" ca="1" si="106"/>
        <v>44100.560676631059</v>
      </c>
      <c r="F249" s="1863">
        <f t="shared" ca="1" si="106"/>
        <v>44482.383712792362</v>
      </c>
      <c r="G249" s="1863">
        <f t="shared" ca="1" si="106"/>
        <v>44864.206748953664</v>
      </c>
      <c r="H249" s="1863">
        <f t="shared" ca="1" si="106"/>
        <v>46603.410678668435</v>
      </c>
      <c r="I249" s="1863">
        <f t="shared" ca="1" si="106"/>
        <v>46996.688405914574</v>
      </c>
      <c r="J249" s="1863">
        <f t="shared" ca="1" si="106"/>
        <v>47389.96613316072</v>
      </c>
      <c r="K249" s="1863">
        <f t="shared" ca="1" si="106"/>
        <v>49216.741176219068</v>
      </c>
      <c r="L249" s="1863">
        <f t="shared" ca="1" si="106"/>
        <v>49621.8172352826</v>
      </c>
      <c r="M249" s="1863">
        <f t="shared" ca="1" si="106"/>
        <v>50026.89329434614</v>
      </c>
      <c r="N249" s="1863">
        <f t="shared" ca="1" si="106"/>
        <v>51944.928434011956</v>
      </c>
      <c r="O249" s="1863">
        <f t="shared" ca="1" si="106"/>
        <v>52362.15677484739</v>
      </c>
      <c r="P249" s="1863">
        <f t="shared" ca="1" si="106"/>
        <v>26389.692557841416</v>
      </c>
    </row>
    <row r="250" spans="3:16" ht="14.25" thickBot="1">
      <c r="C250" s="1847" t="s">
        <v>3644</v>
      </c>
      <c r="D250" s="1863">
        <f t="shared" ca="1" si="106"/>
        <v>3086.0238078609618</v>
      </c>
      <c r="E250" s="1863">
        <f t="shared" ca="1" si="106"/>
        <v>3194.6167829794576</v>
      </c>
      <c r="F250" s="1863">
        <f t="shared" ca="1" si="106"/>
        <v>3195.6034277248182</v>
      </c>
      <c r="G250" s="1863">
        <f t="shared" ca="1" si="106"/>
        <v>3195.6855240140139</v>
      </c>
      <c r="H250" s="1863">
        <f t="shared" ca="1" si="106"/>
        <v>3309.7081478884284</v>
      </c>
      <c r="I250" s="1863">
        <f t="shared" ca="1" si="106"/>
        <v>3310.7441248710602</v>
      </c>
      <c r="J250" s="1863">
        <f t="shared" ca="1" si="106"/>
        <v>3310.8303259747117</v>
      </c>
      <c r="K250" s="1863">
        <f t="shared" ca="1" si="106"/>
        <v>3430.5540810428502</v>
      </c>
      <c r="L250" s="1863">
        <f t="shared" ca="1" si="106"/>
        <v>3431.6418568746085</v>
      </c>
      <c r="M250" s="1863">
        <f t="shared" ca="1" si="106"/>
        <v>3431.7323680334448</v>
      </c>
      <c r="N250" s="1863">
        <f t="shared" ca="1" si="106"/>
        <v>3557.4423108550036</v>
      </c>
      <c r="O250" s="1863">
        <f t="shared" ca="1" si="106"/>
        <v>3558.5844754783466</v>
      </c>
      <c r="P250" s="1863">
        <f t="shared" ca="1" si="106"/>
        <v>1779.3397560975609</v>
      </c>
    </row>
    <row r="251" spans="3:16" ht="14.25" thickBot="1">
      <c r="C251" s="1847" t="s">
        <v>3645</v>
      </c>
      <c r="D251" s="1863">
        <f t="shared" si="106"/>
        <v>0</v>
      </c>
      <c r="E251" s="1863">
        <f t="shared" si="106"/>
        <v>0</v>
      </c>
      <c r="F251" s="1863">
        <f t="shared" si="106"/>
        <v>0</v>
      </c>
      <c r="G251" s="1863">
        <f t="shared" si="106"/>
        <v>0</v>
      </c>
      <c r="H251" s="1863">
        <f t="shared" si="106"/>
        <v>0</v>
      </c>
      <c r="I251" s="1863">
        <f t="shared" si="106"/>
        <v>0</v>
      </c>
      <c r="J251" s="1863">
        <f t="shared" si="106"/>
        <v>0</v>
      </c>
      <c r="K251" s="1863">
        <f t="shared" si="106"/>
        <v>0</v>
      </c>
      <c r="L251" s="1863">
        <f t="shared" si="106"/>
        <v>0</v>
      </c>
      <c r="M251" s="1863">
        <f t="shared" si="106"/>
        <v>0</v>
      </c>
      <c r="N251" s="1863">
        <f t="shared" si="106"/>
        <v>0</v>
      </c>
      <c r="O251" s="1863">
        <f t="shared" si="106"/>
        <v>0</v>
      </c>
      <c r="P251" s="1863">
        <f t="shared" si="106"/>
        <v>0</v>
      </c>
    </row>
    <row r="252" spans="3:16" ht="14.25" thickBot="1">
      <c r="C252" s="1862" t="s">
        <v>247</v>
      </c>
      <c r="D252" s="1863">
        <f t="shared" ca="1" si="106"/>
        <v>36858.077936033427</v>
      </c>
      <c r="E252" s="1863">
        <f t="shared" ca="1" si="106"/>
        <v>37460.864507159429</v>
      </c>
      <c r="F252" s="1863">
        <f t="shared" ca="1" si="106"/>
        <v>38833.782129978274</v>
      </c>
      <c r="G252" s="1863">
        <f t="shared" ca="1" si="106"/>
        <v>38502.448879017786</v>
      </c>
      <c r="H252" s="1863">
        <f t="shared" ca="1" si="106"/>
        <v>39146.815687363458</v>
      </c>
      <c r="I252" s="1863">
        <f t="shared" ca="1" si="106"/>
        <v>39882.198194931661</v>
      </c>
      <c r="J252" s="1863">
        <f t="shared" ca="1" si="106"/>
        <v>40193.488113737098</v>
      </c>
      <c r="K252" s="1863">
        <f t="shared" ca="1" si="106"/>
        <v>40452.411736740702</v>
      </c>
      <c r="L252" s="1863">
        <f t="shared" ca="1" si="106"/>
        <v>40818.927870975735</v>
      </c>
      <c r="M252" s="1863">
        <f t="shared" ca="1" si="106"/>
        <v>40954.859769576986</v>
      </c>
      <c r="N252" s="1863">
        <f t="shared" ca="1" si="106"/>
        <v>41939.345583120135</v>
      </c>
      <c r="O252" s="1863">
        <f t="shared" ca="1" si="106"/>
        <v>42215.600671853463</v>
      </c>
      <c r="P252" s="1863">
        <f t="shared" ca="1" si="106"/>
        <v>40566.79355304037</v>
      </c>
    </row>
    <row r="253" spans="3:16" ht="14.25" thickBot="1">
      <c r="C253" s="1847" t="s">
        <v>251</v>
      </c>
      <c r="D253" s="1863">
        <f t="shared" ca="1" si="106"/>
        <v>30493.136623618138</v>
      </c>
      <c r="E253" s="1863">
        <f t="shared" ca="1" si="106"/>
        <v>31407.366901924666</v>
      </c>
      <c r="F253" s="1863">
        <f t="shared" ca="1" si="106"/>
        <v>32125.072743110657</v>
      </c>
      <c r="G253" s="1863">
        <f t="shared" ca="1" si="106"/>
        <v>32527.490405777899</v>
      </c>
      <c r="H253" s="1863">
        <f t="shared" ca="1" si="106"/>
        <v>33146.835623880885</v>
      </c>
      <c r="I253" s="1863">
        <f t="shared" ca="1" si="106"/>
        <v>33666.434618053492</v>
      </c>
      <c r="J253" s="1863">
        <f t="shared" ca="1" si="106"/>
        <v>34308.950414056148</v>
      </c>
      <c r="K253" s="1863">
        <f t="shared" ca="1" si="106"/>
        <v>34630.270202470063</v>
      </c>
      <c r="L253" s="1863">
        <f t="shared" ca="1" si="106"/>
        <v>35215.18643722024</v>
      </c>
      <c r="M253" s="1863">
        <f t="shared" ca="1" si="106"/>
        <v>35613.290393736119</v>
      </c>
      <c r="N253" s="1863">
        <f t="shared" ca="1" si="106"/>
        <v>36277.30057024258</v>
      </c>
      <c r="O253" s="1863">
        <f t="shared" ca="1" si="106"/>
        <v>37214.034954837982</v>
      </c>
      <c r="P253" s="1863">
        <f t="shared" ca="1" si="106"/>
        <v>18907.289040416494</v>
      </c>
    </row>
    <row r="254" spans="3:16" ht="14.25" thickBot="1">
      <c r="C254" s="1847" t="s">
        <v>1252</v>
      </c>
      <c r="D254" s="1863">
        <f t="shared" ca="1" si="106"/>
        <v>388.57689449022195</v>
      </c>
      <c r="E254" s="1863">
        <f t="shared" ca="1" si="106"/>
        <v>0</v>
      </c>
      <c r="F254" s="1863">
        <f t="shared" ca="1" si="106"/>
        <v>602.508680905603</v>
      </c>
      <c r="G254" s="1863">
        <f t="shared" ca="1" si="106"/>
        <v>0</v>
      </c>
      <c r="H254" s="1863">
        <f t="shared" ca="1" si="106"/>
        <v>0</v>
      </c>
      <c r="I254" s="1863">
        <f t="shared" ca="1" si="106"/>
        <v>326.71857707669659</v>
      </c>
      <c r="J254" s="1863">
        <f t="shared" ca="1" si="106"/>
        <v>0</v>
      </c>
      <c r="K254" s="1863">
        <f t="shared" ca="1" si="106"/>
        <v>0</v>
      </c>
      <c r="L254" s="1863">
        <f t="shared" ca="1" si="106"/>
        <v>0</v>
      </c>
      <c r="M254" s="1863">
        <f t="shared" ca="1" si="106"/>
        <v>0</v>
      </c>
      <c r="N254" s="1863">
        <f t="shared" ca="1" si="106"/>
        <v>429.23063507747435</v>
      </c>
      <c r="O254" s="1863">
        <f t="shared" ca="1" si="106"/>
        <v>0</v>
      </c>
      <c r="P254" s="1863">
        <f t="shared" ca="1" si="106"/>
        <v>0</v>
      </c>
    </row>
    <row r="255" spans="3:16" ht="14.25" thickBot="1">
      <c r="C255" s="1847" t="s">
        <v>3646</v>
      </c>
      <c r="D255" s="1863">
        <f t="shared" ca="1" si="106"/>
        <v>0</v>
      </c>
      <c r="E255" s="1863">
        <f t="shared" ca="1" si="106"/>
        <v>0</v>
      </c>
      <c r="F255" s="1863">
        <f t="shared" ca="1" si="106"/>
        <v>0</v>
      </c>
      <c r="G255" s="1863">
        <f t="shared" ca="1" si="106"/>
        <v>0</v>
      </c>
      <c r="H255" s="1863">
        <f t="shared" ca="1" si="106"/>
        <v>0</v>
      </c>
      <c r="I255" s="1863">
        <f t="shared" ca="1" si="106"/>
        <v>0</v>
      </c>
      <c r="J255" s="1863">
        <f t="shared" ca="1" si="106"/>
        <v>0</v>
      </c>
      <c r="K255" s="1863">
        <f t="shared" ca="1" si="106"/>
        <v>0</v>
      </c>
      <c r="L255" s="1863">
        <f t="shared" ca="1" si="106"/>
        <v>0</v>
      </c>
      <c r="M255" s="1863">
        <f t="shared" ca="1" si="106"/>
        <v>0</v>
      </c>
      <c r="N255" s="1863">
        <f t="shared" ca="1" si="106"/>
        <v>0</v>
      </c>
      <c r="O255" s="1863">
        <f t="shared" ca="1" si="106"/>
        <v>0</v>
      </c>
      <c r="P255" s="1863">
        <f t="shared" ca="1" si="106"/>
        <v>0</v>
      </c>
    </row>
    <row r="256" spans="3:16" ht="14.25" thickBot="1">
      <c r="C256" s="1847" t="s">
        <v>3647</v>
      </c>
      <c r="D256" s="1863">
        <f t="shared" si="106"/>
        <v>2707.1322618701315</v>
      </c>
      <c r="E256" s="1863">
        <f t="shared" si="106"/>
        <v>2707.1322618701315</v>
      </c>
      <c r="F256" s="1863">
        <f t="shared" si="106"/>
        <v>2707.132261870132</v>
      </c>
      <c r="G256" s="1863">
        <f t="shared" si="106"/>
        <v>2707.132261870132</v>
      </c>
      <c r="H256" s="1863">
        <f t="shared" si="106"/>
        <v>2707.132261870132</v>
      </c>
      <c r="I256" s="1863">
        <f t="shared" si="106"/>
        <v>2707.132261870132</v>
      </c>
      <c r="J256" s="1863">
        <f t="shared" si="106"/>
        <v>2707.1322618701315</v>
      </c>
      <c r="K256" s="1863">
        <f t="shared" si="106"/>
        <v>2707.132261870132</v>
      </c>
      <c r="L256" s="1863">
        <f t="shared" si="106"/>
        <v>2707.132261870132</v>
      </c>
      <c r="M256" s="1863">
        <f t="shared" si="106"/>
        <v>2707.132261870132</v>
      </c>
      <c r="N256" s="1863">
        <f t="shared" si="106"/>
        <v>2707.1322618701324</v>
      </c>
      <c r="O256" s="1863">
        <f t="shared" si="106"/>
        <v>2707.132261870132</v>
      </c>
      <c r="P256" s="1863">
        <f t="shared" si="106"/>
        <v>1353.5661309350664</v>
      </c>
    </row>
    <row r="257" spans="2:43" ht="14.25" thickBot="1">
      <c r="C257" s="1847" t="s">
        <v>3648</v>
      </c>
      <c r="D257" s="1863">
        <f t="shared" ca="1" si="106"/>
        <v>3269.2321560549458</v>
      </c>
      <c r="E257" s="1863">
        <f t="shared" ca="1" si="106"/>
        <v>3346.3653433646273</v>
      </c>
      <c r="F257" s="1863">
        <f t="shared" ca="1" si="106"/>
        <v>3399.0684440918726</v>
      </c>
      <c r="G257" s="1863">
        <f t="shared" ca="1" si="106"/>
        <v>3267.8262113697492</v>
      </c>
      <c r="H257" s="1863">
        <f t="shared" ca="1" si="106"/>
        <v>3292.8478016124459</v>
      </c>
      <c r="I257" s="1863">
        <f t="shared" ca="1" si="106"/>
        <v>3181.9127379313463</v>
      </c>
      <c r="J257" s="1863">
        <f t="shared" ca="1" si="106"/>
        <v>3177.405437810819</v>
      </c>
      <c r="K257" s="1863">
        <f t="shared" ca="1" si="106"/>
        <v>3115.0092724005058</v>
      </c>
      <c r="L257" s="1863">
        <f t="shared" ca="1" si="106"/>
        <v>2896.6091718853563</v>
      </c>
      <c r="M257" s="1863">
        <f t="shared" ca="1" si="106"/>
        <v>2634.4371139707355</v>
      </c>
      <c r="N257" s="1863">
        <f t="shared" ca="1" si="106"/>
        <v>2525.6821159299475</v>
      </c>
      <c r="O257" s="1863">
        <f t="shared" ca="1" si="106"/>
        <v>2294.4334551453467</v>
      </c>
      <c r="P257" s="1863">
        <f t="shared" ca="1" si="106"/>
        <v>20305.938381688811</v>
      </c>
    </row>
    <row r="258" spans="2:43" ht="14.25" thickBot="1">
      <c r="C258" s="1847" t="s">
        <v>3649</v>
      </c>
      <c r="D258" s="1863">
        <f t="shared" ca="1" si="106"/>
        <v>0</v>
      </c>
      <c r="E258" s="1863">
        <f t="shared" ca="1" si="106"/>
        <v>0</v>
      </c>
      <c r="F258" s="1863">
        <f t="shared" ca="1" si="106"/>
        <v>0</v>
      </c>
      <c r="G258" s="1863">
        <f t="shared" ca="1" si="106"/>
        <v>0</v>
      </c>
      <c r="H258" s="1863">
        <f t="shared" ca="1" si="106"/>
        <v>0</v>
      </c>
      <c r="I258" s="1863">
        <f t="shared" ca="1" si="106"/>
        <v>0</v>
      </c>
      <c r="J258" s="1863">
        <f t="shared" ca="1" si="106"/>
        <v>0</v>
      </c>
      <c r="K258" s="1863">
        <f t="shared" ca="1" si="106"/>
        <v>0</v>
      </c>
      <c r="L258" s="1863">
        <f t="shared" ca="1" si="106"/>
        <v>0</v>
      </c>
      <c r="M258" s="1863">
        <f t="shared" ca="1" si="106"/>
        <v>0</v>
      </c>
      <c r="N258" s="1863">
        <f t="shared" ca="1" si="106"/>
        <v>0</v>
      </c>
      <c r="O258" s="1863">
        <f t="shared" ca="1" si="106"/>
        <v>0</v>
      </c>
      <c r="P258" s="1863">
        <f t="shared" ca="1" si="106"/>
        <v>0</v>
      </c>
    </row>
    <row r="259" spans="2:43" ht="14.25" thickBot="1">
      <c r="C259" s="1862" t="s">
        <v>3650</v>
      </c>
      <c r="D259" s="1863">
        <f t="shared" ca="1" si="106"/>
        <v>8673.3222217981565</v>
      </c>
      <c r="E259" s="1863">
        <f t="shared" ca="1" si="106"/>
        <v>9834.3129524510859</v>
      </c>
      <c r="F259" s="1863">
        <f t="shared" ca="1" si="106"/>
        <v>8844.2050105389117</v>
      </c>
      <c r="G259" s="1863">
        <f t="shared" ca="1" si="106"/>
        <v>9557.4433939498922</v>
      </c>
      <c r="H259" s="1863">
        <f t="shared" ca="1" si="106"/>
        <v>10766.303139193406</v>
      </c>
      <c r="I259" s="1863">
        <f t="shared" ca="1" si="106"/>
        <v>10425.234335853969</v>
      </c>
      <c r="J259" s="1863">
        <f t="shared" ca="1" si="106"/>
        <v>10507.308345398331</v>
      </c>
      <c r="K259" s="1863">
        <f t="shared" ca="1" si="106"/>
        <v>12194.883520521216</v>
      </c>
      <c r="L259" s="1863">
        <f t="shared" ca="1" si="106"/>
        <v>12234.531221181476</v>
      </c>
      <c r="M259" s="1863">
        <f t="shared" ca="1" si="106"/>
        <v>12503.765892802601</v>
      </c>
      <c r="N259" s="1863">
        <f t="shared" ca="1" si="106"/>
        <v>13563.025161746822</v>
      </c>
      <c r="O259" s="1863">
        <f t="shared" ca="1" si="106"/>
        <v>13705.140578472276</v>
      </c>
      <c r="P259" s="1863">
        <f t="shared" ca="1" si="106"/>
        <v>-12397.761239101397</v>
      </c>
    </row>
    <row r="260" spans="2:43" ht="14.25" thickBot="1">
      <c r="C260" s="1862" t="s">
        <v>3651</v>
      </c>
      <c r="D260" s="1863">
        <f t="shared" si="106"/>
        <v>0</v>
      </c>
      <c r="E260" s="1863">
        <f t="shared" si="106"/>
        <v>0</v>
      </c>
      <c r="F260" s="1863">
        <f t="shared" si="106"/>
        <v>0</v>
      </c>
      <c r="G260" s="1863">
        <f t="shared" si="106"/>
        <v>0</v>
      </c>
      <c r="H260" s="1863">
        <f t="shared" si="106"/>
        <v>0</v>
      </c>
      <c r="I260" s="1863">
        <f t="shared" si="106"/>
        <v>0</v>
      </c>
      <c r="J260" s="1863">
        <f t="shared" si="106"/>
        <v>0</v>
      </c>
      <c r="K260" s="1863">
        <f t="shared" si="106"/>
        <v>0</v>
      </c>
      <c r="L260" s="1863">
        <f t="shared" si="106"/>
        <v>0</v>
      </c>
      <c r="M260" s="1863">
        <f t="shared" si="106"/>
        <v>0</v>
      </c>
      <c r="N260" s="1863">
        <f t="shared" si="106"/>
        <v>0</v>
      </c>
      <c r="O260" s="1863">
        <f t="shared" si="106"/>
        <v>0</v>
      </c>
      <c r="P260" s="1863">
        <f t="shared" si="106"/>
        <v>0</v>
      </c>
    </row>
    <row r="261" spans="2:43" ht="14.25" thickBot="1">
      <c r="C261" s="1862" t="s">
        <v>3652</v>
      </c>
      <c r="D261" s="1863">
        <f t="shared" ca="1" si="106"/>
        <v>0</v>
      </c>
      <c r="E261" s="1863">
        <f t="shared" ca="1" si="106"/>
        <v>0</v>
      </c>
      <c r="F261" s="1863">
        <f t="shared" ca="1" si="106"/>
        <v>0</v>
      </c>
      <c r="G261" s="1863">
        <f t="shared" ca="1" si="106"/>
        <v>0</v>
      </c>
      <c r="H261" s="1863">
        <f t="shared" ca="1" si="106"/>
        <v>0</v>
      </c>
      <c r="I261" s="1863">
        <f t="shared" ca="1" si="106"/>
        <v>0</v>
      </c>
      <c r="J261" s="1863">
        <f t="shared" ca="1" si="106"/>
        <v>0</v>
      </c>
      <c r="K261" s="1863">
        <f t="shared" ca="1" si="106"/>
        <v>0</v>
      </c>
      <c r="L261" s="1863">
        <f t="shared" ca="1" si="106"/>
        <v>0</v>
      </c>
      <c r="M261" s="1863">
        <f t="shared" ca="1" si="106"/>
        <v>0</v>
      </c>
      <c r="N261" s="1863">
        <f t="shared" ca="1" si="106"/>
        <v>0</v>
      </c>
      <c r="O261" s="1863">
        <f t="shared" ca="1" si="106"/>
        <v>0</v>
      </c>
      <c r="P261" s="1863">
        <f t="shared" ca="1" si="106"/>
        <v>0</v>
      </c>
    </row>
    <row r="262" spans="2:43" ht="14.25" thickBot="1">
      <c r="C262" s="1847" t="s">
        <v>765</v>
      </c>
      <c r="D262" s="1863">
        <f t="shared" ca="1" si="106"/>
        <v>0</v>
      </c>
      <c r="E262" s="1863">
        <f t="shared" ca="1" si="106"/>
        <v>0</v>
      </c>
      <c r="F262" s="1863">
        <f t="shared" ca="1" si="106"/>
        <v>0</v>
      </c>
      <c r="G262" s="1863">
        <f t="shared" ca="1" si="106"/>
        <v>0</v>
      </c>
      <c r="H262" s="1863">
        <f t="shared" ca="1" si="106"/>
        <v>0</v>
      </c>
      <c r="I262" s="1863">
        <f t="shared" ca="1" si="106"/>
        <v>0</v>
      </c>
      <c r="J262" s="1863">
        <f t="shared" ca="1" si="106"/>
        <v>0</v>
      </c>
      <c r="K262" s="1863">
        <f t="shared" ca="1" si="106"/>
        <v>0</v>
      </c>
      <c r="L262" s="1863">
        <f t="shared" ca="1" si="106"/>
        <v>0</v>
      </c>
      <c r="M262" s="1863">
        <f t="shared" ca="1" si="106"/>
        <v>0</v>
      </c>
      <c r="N262" s="1863">
        <f t="shared" ca="1" si="106"/>
        <v>0</v>
      </c>
      <c r="O262" s="1863">
        <f t="shared" ca="1" si="106"/>
        <v>0</v>
      </c>
      <c r="P262" s="1863">
        <f t="shared" ca="1" si="106"/>
        <v>0</v>
      </c>
    </row>
    <row r="263" spans="2:43" ht="14.25" thickBot="1">
      <c r="C263" s="1847" t="s">
        <v>3653</v>
      </c>
      <c r="D263" s="1863">
        <f t="shared" ref="D263:P266" si="107">AD215</f>
        <v>0</v>
      </c>
      <c r="E263" s="1863">
        <f t="shared" si="107"/>
        <v>0</v>
      </c>
      <c r="F263" s="1863">
        <f t="shared" si="107"/>
        <v>0</v>
      </c>
      <c r="G263" s="1863">
        <f t="shared" si="107"/>
        <v>0</v>
      </c>
      <c r="H263" s="1863">
        <f t="shared" si="107"/>
        <v>0</v>
      </c>
      <c r="I263" s="1863">
        <f t="shared" si="107"/>
        <v>0</v>
      </c>
      <c r="J263" s="1863">
        <f t="shared" si="107"/>
        <v>0</v>
      </c>
      <c r="K263" s="1863">
        <f t="shared" si="107"/>
        <v>0</v>
      </c>
      <c r="L263" s="1863">
        <f t="shared" si="107"/>
        <v>0</v>
      </c>
      <c r="M263" s="1863">
        <f t="shared" si="107"/>
        <v>0</v>
      </c>
      <c r="N263" s="1863">
        <f t="shared" si="107"/>
        <v>0</v>
      </c>
      <c r="O263" s="1863">
        <f t="shared" si="107"/>
        <v>0</v>
      </c>
      <c r="P263" s="1863">
        <f t="shared" si="107"/>
        <v>0</v>
      </c>
    </row>
    <row r="264" spans="2:43" ht="14.25" thickBot="1">
      <c r="C264" s="1862" t="s">
        <v>3654</v>
      </c>
      <c r="D264" s="1863">
        <f t="shared" ca="1" si="107"/>
        <v>8673.3222217981565</v>
      </c>
      <c r="E264" s="1863">
        <f t="shared" ca="1" si="107"/>
        <v>9834.3129524510859</v>
      </c>
      <c r="F264" s="1863">
        <f t="shared" ca="1" si="107"/>
        <v>8844.2050105389117</v>
      </c>
      <c r="G264" s="1863">
        <f t="shared" ca="1" si="107"/>
        <v>9557.4433939498922</v>
      </c>
      <c r="H264" s="1863">
        <f t="shared" ca="1" si="107"/>
        <v>10766.303139193406</v>
      </c>
      <c r="I264" s="1863">
        <f t="shared" ca="1" si="107"/>
        <v>10425.234335853969</v>
      </c>
      <c r="J264" s="1863">
        <f t="shared" ca="1" si="107"/>
        <v>10507.308345398331</v>
      </c>
      <c r="K264" s="1863">
        <f t="shared" ca="1" si="107"/>
        <v>12194.883520521216</v>
      </c>
      <c r="L264" s="1863">
        <f t="shared" ca="1" si="107"/>
        <v>12234.531221181476</v>
      </c>
      <c r="M264" s="1863">
        <f t="shared" ca="1" si="107"/>
        <v>12503.765892802601</v>
      </c>
      <c r="N264" s="1863">
        <f t="shared" ca="1" si="107"/>
        <v>13563.025161746822</v>
      </c>
      <c r="O264" s="1863">
        <f t="shared" ca="1" si="107"/>
        <v>13705.140578472276</v>
      </c>
      <c r="P264" s="1863">
        <f t="shared" ca="1" si="107"/>
        <v>-12397.761239101397</v>
      </c>
    </row>
    <row r="265" spans="2:43" ht="14.25" thickBot="1">
      <c r="C265" s="1847" t="s">
        <v>3655</v>
      </c>
      <c r="D265" s="1863">
        <f t="shared" ca="1" si="107"/>
        <v>1886.1308887955943</v>
      </c>
      <c r="E265" s="1863">
        <f t="shared" ca="1" si="107"/>
        <v>2141.5488495392387</v>
      </c>
      <c r="F265" s="1863">
        <f t="shared" ca="1" si="107"/>
        <v>1923.7251023185604</v>
      </c>
      <c r="G265" s="1863">
        <f t="shared" ca="1" si="107"/>
        <v>2080.6375466689765</v>
      </c>
      <c r="H265" s="1863">
        <f t="shared" ca="1" si="107"/>
        <v>2346.5866906225488</v>
      </c>
      <c r="I265" s="1863">
        <f t="shared" ca="1" si="107"/>
        <v>2271.5515538878731</v>
      </c>
      <c r="J265" s="1863">
        <f t="shared" ca="1" si="107"/>
        <v>2289.6078359876328</v>
      </c>
      <c r="K265" s="1863">
        <f t="shared" ca="1" si="107"/>
        <v>2660.8743745146676</v>
      </c>
      <c r="L265" s="1863">
        <f t="shared" ca="1" si="107"/>
        <v>2669.5968686599249</v>
      </c>
      <c r="M265" s="1863">
        <f t="shared" ca="1" si="107"/>
        <v>2728.8284964165723</v>
      </c>
      <c r="N265" s="1863">
        <f t="shared" ca="1" si="107"/>
        <v>2961.8655355843007</v>
      </c>
      <c r="O265" s="1863">
        <f t="shared" ca="1" si="107"/>
        <v>2993.1309272639005</v>
      </c>
      <c r="P265" s="1863">
        <f t="shared" ca="1" si="107"/>
        <v>0</v>
      </c>
    </row>
    <row r="266" spans="2:43" ht="14.25" thickBot="1">
      <c r="C266" s="1862" t="s">
        <v>1389</v>
      </c>
      <c r="D266" s="1863">
        <f t="shared" ca="1" si="107"/>
        <v>6787.1913330025618</v>
      </c>
      <c r="E266" s="1863">
        <f t="shared" ca="1" si="107"/>
        <v>7692.7641029118458</v>
      </c>
      <c r="F266" s="1863">
        <f t="shared" ca="1" si="107"/>
        <v>6920.4799082203508</v>
      </c>
      <c r="G266" s="1863">
        <f t="shared" ca="1" si="107"/>
        <v>7476.8058472809171</v>
      </c>
      <c r="H266" s="1863">
        <f t="shared" ca="1" si="107"/>
        <v>8419.7164485708563</v>
      </c>
      <c r="I266" s="1863">
        <f t="shared" ca="1" si="107"/>
        <v>8153.6827819660957</v>
      </c>
      <c r="J266" s="1863">
        <f t="shared" ca="1" si="107"/>
        <v>8217.7005094106989</v>
      </c>
      <c r="K266" s="1863">
        <f t="shared" ca="1" si="107"/>
        <v>9534.0091460065487</v>
      </c>
      <c r="L266" s="1863">
        <f t="shared" ca="1" si="107"/>
        <v>9564.9343525215518</v>
      </c>
      <c r="M266" s="1863">
        <f t="shared" ca="1" si="107"/>
        <v>9774.9373963860289</v>
      </c>
      <c r="N266" s="1863">
        <f t="shared" ca="1" si="107"/>
        <v>10601.159626162522</v>
      </c>
      <c r="O266" s="1863">
        <f t="shared" ca="1" si="107"/>
        <v>10712.009651208376</v>
      </c>
      <c r="P266" s="1863">
        <f t="shared" ca="1" si="107"/>
        <v>-12397.761239101397</v>
      </c>
    </row>
    <row r="268" spans="2:43">
      <c r="B268" s="498" t="s">
        <v>3656</v>
      </c>
    </row>
    <row r="269" spans="2:43" ht="14.25" thickBot="1"/>
    <row r="270" spans="2:43" ht="13.15" customHeight="1" thickBot="1">
      <c r="C270" s="1865" t="s">
        <v>48</v>
      </c>
      <c r="D270" s="1861" t="s">
        <v>14</v>
      </c>
      <c r="E270" s="1866">
        <v>2022</v>
      </c>
      <c r="F270" s="1866">
        <f>E270+1</f>
        <v>2023</v>
      </c>
      <c r="G270" s="1866">
        <f t="shared" ref="G270:AQ270" si="108">F270+1</f>
        <v>2024</v>
      </c>
      <c r="H270" s="1866">
        <f t="shared" si="108"/>
        <v>2025</v>
      </c>
      <c r="I270" s="1866">
        <f t="shared" si="108"/>
        <v>2026</v>
      </c>
      <c r="J270" s="1866">
        <f t="shared" si="108"/>
        <v>2027</v>
      </c>
      <c r="K270" s="1866">
        <f t="shared" si="108"/>
        <v>2028</v>
      </c>
      <c r="L270" s="1866">
        <f t="shared" si="108"/>
        <v>2029</v>
      </c>
      <c r="M270" s="1866">
        <f t="shared" si="108"/>
        <v>2030</v>
      </c>
      <c r="N270" s="1866">
        <f t="shared" si="108"/>
        <v>2031</v>
      </c>
      <c r="O270" s="1866">
        <f t="shared" si="108"/>
        <v>2032</v>
      </c>
      <c r="P270" s="1866">
        <f t="shared" si="108"/>
        <v>2033</v>
      </c>
      <c r="Q270" s="498">
        <f t="shared" si="108"/>
        <v>2034</v>
      </c>
      <c r="R270" s="498">
        <f t="shared" si="108"/>
        <v>2035</v>
      </c>
      <c r="S270" s="498">
        <f t="shared" si="108"/>
        <v>2036</v>
      </c>
      <c r="T270" s="498">
        <f t="shared" si="108"/>
        <v>2037</v>
      </c>
      <c r="U270" s="498">
        <f t="shared" si="108"/>
        <v>2038</v>
      </c>
      <c r="V270" s="498">
        <f t="shared" si="108"/>
        <v>2039</v>
      </c>
      <c r="W270" s="498">
        <f t="shared" si="108"/>
        <v>2040</v>
      </c>
      <c r="X270" s="498">
        <f t="shared" si="108"/>
        <v>2041</v>
      </c>
      <c r="Y270" s="498">
        <f t="shared" si="108"/>
        <v>2042</v>
      </c>
      <c r="Z270" s="498">
        <f t="shared" si="108"/>
        <v>2043</v>
      </c>
      <c r="AA270" s="498">
        <f t="shared" si="108"/>
        <v>2044</v>
      </c>
      <c r="AB270" s="498">
        <f t="shared" si="108"/>
        <v>2045</v>
      </c>
      <c r="AC270" s="498">
        <f t="shared" si="108"/>
        <v>2046</v>
      </c>
      <c r="AD270" s="498">
        <f t="shared" si="108"/>
        <v>2047</v>
      </c>
      <c r="AE270" s="498">
        <f t="shared" si="108"/>
        <v>2048</v>
      </c>
      <c r="AF270" s="498">
        <f t="shared" si="108"/>
        <v>2049</v>
      </c>
      <c r="AG270" s="498">
        <f t="shared" si="108"/>
        <v>2050</v>
      </c>
      <c r="AH270" s="498">
        <f t="shared" si="108"/>
        <v>2051</v>
      </c>
      <c r="AI270" s="498">
        <f t="shared" si="108"/>
        <v>2052</v>
      </c>
      <c r="AJ270" s="498">
        <f t="shared" si="108"/>
        <v>2053</v>
      </c>
      <c r="AK270" s="498">
        <f t="shared" si="108"/>
        <v>2054</v>
      </c>
      <c r="AL270" s="498">
        <f t="shared" si="108"/>
        <v>2055</v>
      </c>
      <c r="AM270" s="498">
        <f t="shared" si="108"/>
        <v>2056</v>
      </c>
      <c r="AN270" s="498">
        <f t="shared" si="108"/>
        <v>2057</v>
      </c>
      <c r="AO270" s="498">
        <f t="shared" si="108"/>
        <v>2058</v>
      </c>
      <c r="AP270" s="498">
        <f t="shared" si="108"/>
        <v>2059</v>
      </c>
      <c r="AQ270" s="498">
        <f t="shared" si="108"/>
        <v>2060</v>
      </c>
    </row>
    <row r="271" spans="2:43" ht="13.15" customHeight="1" thickBot="1">
      <c r="B271" s="1844">
        <f ca="1">SUM(E271:L271)</f>
        <v>106591.29832580738</v>
      </c>
      <c r="C271" s="1862" t="s">
        <v>3657</v>
      </c>
      <c r="D271" s="1863">
        <f ca="1">SUM(E271:AR271)</f>
        <v>464786.29894101428</v>
      </c>
      <c r="E271" s="1863">
        <f ca="1">SUMIFS('CF(Y)'!5:5,'CF(Y)'!$4:$4,E$270)*100</f>
        <v>17035.058506000001</v>
      </c>
      <c r="F271" s="1863">
        <f ca="1">SUMIFS('CF(Y)'!5:5,'CF(Y)'!$4:$4,F$270)*100</f>
        <v>18019.427690546541</v>
      </c>
      <c r="G271" s="1863">
        <f ca="1">SUMIFS('CF(Y)'!5:5,'CF(Y)'!$4:$4,G$270)*100</f>
        <v>15853.131865722646</v>
      </c>
      <c r="H271" s="1863">
        <f ca="1">SUMIFS('CF(Y)'!5:5,'CF(Y)'!$4:$4,H$270)*100</f>
        <v>20753.66764673081</v>
      </c>
      <c r="I271" s="1863">
        <f ca="1">SUMIFS('CF(Y)'!5:5,'CF(Y)'!$4:$4,I$270)*100</f>
        <v>14862.502733597099</v>
      </c>
      <c r="J271" s="1863">
        <f ca="1">SUMIFS('CF(Y)'!5:5,'CF(Y)'!$4:$4,J$270)*100</f>
        <v>7050.9831421736071</v>
      </c>
      <c r="K271" s="1863">
        <f ca="1">SUMIFS('CF(Y)'!5:5,'CF(Y)'!$4:$4,K$270)*100</f>
        <v>6565.8232884076451</v>
      </c>
      <c r="L271" s="1863">
        <f ca="1">SUMIFS('CF(Y)'!5:5,'CF(Y)'!$4:$4,L$270)*100</f>
        <v>6450.7034526290454</v>
      </c>
      <c r="M271" s="1863">
        <f ca="1">SUMIFS('CF(Y)'!5:5,'CF(Y)'!$4:$4,M$270)*100</f>
        <v>8601.6171456289412</v>
      </c>
      <c r="N271" s="1863">
        <f ca="1">SUMIFS('CF(Y)'!5:5,'CF(Y)'!$4:$4,N$270)*100</f>
        <v>7655.2081665209589</v>
      </c>
      <c r="O271" s="1863">
        <f ca="1">SUMIFS('CF(Y)'!5:5,'CF(Y)'!$4:$4,O$270)*100</f>
        <v>8409.6603132245091</v>
      </c>
      <c r="P271" s="1863">
        <f ca="1">SUMIFS('CF(Y)'!5:5,'CF(Y)'!$4:$4,P$270)*100</f>
        <v>9173.0092426491065</v>
      </c>
      <c r="Q271" s="498">
        <f ca="1">SUMIFS('CF(Y)'!5:5,'CF(Y)'!$4:$4,Q$270)*100</f>
        <v>9015.3730375387622</v>
      </c>
      <c r="R271" s="498">
        <f ca="1">SUMIFS('CF(Y)'!5:5,'CF(Y)'!$4:$4,R$270)*100</f>
        <v>8680.3516878050796</v>
      </c>
      <c r="S271" s="498">
        <f ca="1">SUMIFS('CF(Y)'!5:5,'CF(Y)'!$4:$4,S$270)*100</f>
        <v>10421.921804088424</v>
      </c>
      <c r="T271" s="498">
        <f ca="1">SUMIFS('CF(Y)'!5:5,'CF(Y)'!$4:$4,T$270)*100</f>
        <v>9828.6122310260907</v>
      </c>
      <c r="U271" s="498">
        <f ca="1">SUMIFS('CF(Y)'!5:5,'CF(Y)'!$4:$4,U$270)*100</f>
        <v>9821.2356842241607</v>
      </c>
      <c r="V271" s="498">
        <f ca="1">SUMIFS('CF(Y)'!5:5,'CF(Y)'!$4:$4,V$270)*100</f>
        <v>10742.919454162404</v>
      </c>
      <c r="W271" s="498">
        <f ca="1">SUMIFS('CF(Y)'!5:5,'CF(Y)'!$4:$4,W$270)*100</f>
        <v>11241.137463784833</v>
      </c>
      <c r="X271" s="498">
        <f ca="1">SUMIFS('CF(Y)'!5:5,'CF(Y)'!$4:$4,X$270)*100</f>
        <v>10716.525590317997</v>
      </c>
      <c r="Y271" s="498">
        <f ca="1">SUMIFS('CF(Y)'!5:5,'CF(Y)'!$4:$4,Y$270)*100</f>
        <v>12584.833135762585</v>
      </c>
      <c r="Z271" s="498">
        <f ca="1">SUMIFS('CF(Y)'!5:5,'CF(Y)'!$4:$4,Z$270)*100</f>
        <v>11933.215912221624</v>
      </c>
      <c r="AA271" s="498">
        <f ca="1">SUMIFS('CF(Y)'!5:5,'CF(Y)'!$4:$4,AA$270)*100</f>
        <v>12261.254465735641</v>
      </c>
      <c r="AB271" s="498">
        <f ca="1">SUMIFS('CF(Y)'!5:5,'CF(Y)'!$4:$4,AB$270)*100</f>
        <v>13034.878879044732</v>
      </c>
      <c r="AC271" s="498">
        <f ca="1">SUMIFS('CF(Y)'!5:5,'CF(Y)'!$4:$4,AC$270)*100</f>
        <v>13181.940923273896</v>
      </c>
      <c r="AD271" s="498">
        <f ca="1">SUMIFS('CF(Y)'!5:5,'CF(Y)'!$4:$4,AD$270)*100</f>
        <v>12599.51344882752</v>
      </c>
      <c r="AE271" s="498">
        <f ca="1">SUMIFS('CF(Y)'!5:5,'CF(Y)'!$4:$4,AE$270)*100</f>
        <v>14064.134812405235</v>
      </c>
      <c r="AF271" s="498">
        <f ca="1">SUMIFS('CF(Y)'!5:5,'CF(Y)'!$4:$4,AF$270)*100</f>
        <v>12681.147886589861</v>
      </c>
      <c r="AG271" s="498">
        <f ca="1">SUMIFS('CF(Y)'!5:5,'CF(Y)'!$4:$4,AG$270)*100</f>
        <v>13717.588638481555</v>
      </c>
      <c r="AH271" s="498">
        <f ca="1">SUMIFS('CF(Y)'!5:5,'CF(Y)'!$4:$4,AH$270)*100</f>
        <v>14607.189433831803</v>
      </c>
      <c r="AI271" s="498">
        <f ca="1">SUMIFS('CF(Y)'!5:5,'CF(Y)'!$4:$4,AI$270)*100</f>
        <v>13834.718073056116</v>
      </c>
      <c r="AJ271" s="498">
        <f ca="1">SUMIFS('CF(Y)'!5:5,'CF(Y)'!$4:$4,AJ$270)*100</f>
        <v>14157.812059558744</v>
      </c>
      <c r="AK271" s="498">
        <f ca="1">SUMIFS('CF(Y)'!5:5,'CF(Y)'!$4:$4,AK$270)*100</f>
        <v>15718.389077754353</v>
      </c>
      <c r="AL271" s="498">
        <f ca="1">SUMIFS('CF(Y)'!5:5,'CF(Y)'!$4:$4,AL$270)*100</f>
        <v>14991.765011158775</v>
      </c>
      <c r="AM271" s="498">
        <f ca="1">SUMIFS('CF(Y)'!5:5,'CF(Y)'!$4:$4,AM$270)*100</f>
        <v>15171.377152910918</v>
      </c>
      <c r="AN271" s="498">
        <f ca="1">SUMIFS('CF(Y)'!5:5,'CF(Y)'!$4:$4,AN$270)*100</f>
        <v>16037.395229252008</v>
      </c>
      <c r="AO271" s="498">
        <f ca="1">SUMIFS('CF(Y)'!5:5,'CF(Y)'!$4:$4,AO$270)*100</f>
        <v>15628.322240319585</v>
      </c>
      <c r="AP271" s="498">
        <f ca="1">SUMIFS('CF(Y)'!5:5,'CF(Y)'!$4:$4,AP$270)*100</f>
        <v>7681.9524140507037</v>
      </c>
      <c r="AQ271" s="498">
        <f>SUMIFS('CF(Y)'!5:5,'CF(Y)'!$4:$4,AQ$270)*100</f>
        <v>0</v>
      </c>
    </row>
    <row r="272" spans="2:43" ht="13.15" customHeight="1" thickBot="1">
      <c r="B272" s="1844">
        <f t="shared" ref="B272:B293" ca="1" si="109">SUM(E272:L272)</f>
        <v>270052.87789358658</v>
      </c>
      <c r="C272" s="1862" t="s">
        <v>3658</v>
      </c>
      <c r="D272" s="1863">
        <f t="shared" ref="D272:D291" ca="1" si="110">SUM(E272:AR272)</f>
        <v>1573247.5003572337</v>
      </c>
      <c r="E272" s="1863">
        <f>SUMIFS('CF(Y)'!6:6,'CF(Y)'!$4:$4,E$270)*100</f>
        <v>31600.624352692761</v>
      </c>
      <c r="F272" s="1863">
        <f ca="1">SUMIFS('CF(Y)'!6:6,'CF(Y)'!$4:$4,F$270)*100</f>
        <v>43944.824368537003</v>
      </c>
      <c r="G272" s="1863">
        <f ca="1">SUMIFS('CF(Y)'!6:6,'CF(Y)'!$4:$4,G$270)*100</f>
        <v>39456.59901213285</v>
      </c>
      <c r="H272" s="1863">
        <f ca="1">SUMIFS('CF(Y)'!6:6,'CF(Y)'!$4:$4,H$270)*100</f>
        <v>32486.306776691607</v>
      </c>
      <c r="I272" s="1863">
        <f ca="1">SUMIFS('CF(Y)'!6:6,'CF(Y)'!$4:$4,I$270)*100</f>
        <v>28825.260350008019</v>
      </c>
      <c r="J272" s="1863">
        <f ca="1">SUMIFS('CF(Y)'!6:6,'CF(Y)'!$4:$4,J$270)*100</f>
        <v>30469.791429229521</v>
      </c>
      <c r="K272" s="1863">
        <f ca="1">SUMIFS('CF(Y)'!6:6,'CF(Y)'!$4:$4,K$270)*100</f>
        <v>31246.635293074774</v>
      </c>
      <c r="L272" s="1863">
        <f ca="1">SUMIFS('CF(Y)'!6:6,'CF(Y)'!$4:$4,L$270)*100</f>
        <v>32022.836311220046</v>
      </c>
      <c r="M272" s="1863">
        <f ca="1">SUMIFS('CF(Y)'!6:6,'CF(Y)'!$4:$4,M$270)*100</f>
        <v>33788.09966346428</v>
      </c>
      <c r="N272" s="1863">
        <f ca="1">SUMIFS('CF(Y)'!6:6,'CF(Y)'!$4:$4,N$270)*100</f>
        <v>34108.606694588518</v>
      </c>
      <c r="O272" s="1863">
        <f ca="1">SUMIFS('CF(Y)'!6:6,'CF(Y)'!$4:$4,O$270)*100</f>
        <v>34428.438737727767</v>
      </c>
      <c r="P272" s="1863">
        <f ca="1">SUMIFS('CF(Y)'!6:6,'CF(Y)'!$4:$4,P$270)*100</f>
        <v>35797.403863449123</v>
      </c>
      <c r="Q272" s="498">
        <f ca="1">SUMIFS('CF(Y)'!6:6,'CF(Y)'!$4:$4,Q$270)*100</f>
        <v>36127.540830497106</v>
      </c>
      <c r="R272" s="498">
        <f ca="1">SUMIFS('CF(Y)'!6:6,'CF(Y)'!$4:$4,R$270)*100</f>
        <v>36456.969060160831</v>
      </c>
      <c r="S272" s="498">
        <f ca="1">SUMIFS('CF(Y)'!6:6,'CF(Y)'!$4:$4,S$270)*100</f>
        <v>37898.347599860404</v>
      </c>
      <c r="T272" s="498">
        <f ca="1">SUMIFS('CF(Y)'!6:6,'CF(Y)'!$4:$4,T$270)*100</f>
        <v>38238.404137159327</v>
      </c>
      <c r="U272" s="498">
        <f ca="1">SUMIFS('CF(Y)'!6:6,'CF(Y)'!$4:$4,U$270)*100</f>
        <v>38577.71650020477</v>
      </c>
      <c r="V272" s="498">
        <f ca="1">SUMIFS('CF(Y)'!6:6,'CF(Y)'!$4:$4,V$270)*100</f>
        <v>40094.655224283095</v>
      </c>
      <c r="W272" s="498">
        <f ca="1">SUMIFS('CF(Y)'!6:6,'CF(Y)'!$4:$4,W$270)*100</f>
        <v>40444.929692002443</v>
      </c>
      <c r="X272" s="498">
        <f ca="1">SUMIFS('CF(Y)'!6:6,'CF(Y)'!$4:$4,X$270)*100</f>
        <v>40794.422776755673</v>
      </c>
      <c r="Y272" s="498">
        <f ca="1">SUMIFS('CF(Y)'!6:6,'CF(Y)'!$4:$4,Y$270)*100</f>
        <v>42390.193791473488</v>
      </c>
      <c r="Z272" s="498">
        <f ca="1">SUMIFS('CF(Y)'!6:6,'CF(Y)'!$4:$4,Z$270)*100</f>
        <v>42750.993539240982</v>
      </c>
      <c r="AA272" s="498">
        <f ca="1">SUMIFS('CF(Y)'!6:6,'CF(Y)'!$4:$4,AA$270)*100</f>
        <v>43110.972834894033</v>
      </c>
      <c r="AB272" s="498">
        <f ca="1">SUMIFS('CF(Y)'!6:6,'CF(Y)'!$4:$4,AB$270)*100</f>
        <v>44788.978355515981</v>
      </c>
      <c r="AC272" s="498">
        <f ca="1">SUMIFS('CF(Y)'!6:6,'CF(Y)'!$4:$4,AC$270)*100</f>
        <v>45160.61999403387</v>
      </c>
      <c r="AD272" s="498">
        <f ca="1">SUMIFS('CF(Y)'!6:6,'CF(Y)'!$4:$4,AD$270)*100</f>
        <v>45531.400157831587</v>
      </c>
      <c r="AE272" s="498">
        <f ca="1">SUMIFS('CF(Y)'!6:6,'CF(Y)'!$4:$4,AE$270)*100</f>
        <v>47295.177459610517</v>
      </c>
      <c r="AF272" s="498">
        <f ca="1">SUMIFS('CF(Y)'!6:6,'CF(Y)'!$4:$4,AF$270)*100</f>
        <v>47677.98714051718</v>
      </c>
      <c r="AG272" s="498">
        <f ca="1">SUMIFS('CF(Y)'!6:6,'CF(Y)'!$4:$4,AG$270)*100</f>
        <v>48059.892272967678</v>
      </c>
      <c r="AH272" s="498">
        <f ca="1">SUMIFS('CF(Y)'!6:6,'CF(Y)'!$4:$4,AH$270)*100</f>
        <v>49913.118826556863</v>
      </c>
      <c r="AI272" s="498">
        <f ca="1">SUMIFS('CF(Y)'!6:6,'CF(Y)'!$4:$4,AI$270)*100</f>
        <v>50307.432530785634</v>
      </c>
      <c r="AJ272" s="498">
        <f ca="1">SUMIFS('CF(Y)'!6:6,'CF(Y)'!$4:$4,AJ$270)*100</f>
        <v>50700.796459135432</v>
      </c>
      <c r="AK272" s="498">
        <f ca="1">SUMIFS('CF(Y)'!6:6,'CF(Y)'!$4:$4,AK$270)*100</f>
        <v>52647.295257261918</v>
      </c>
      <c r="AL272" s="498">
        <f ca="1">SUMIFS('CF(Y)'!6:6,'CF(Y)'!$4:$4,AL$270)*100</f>
        <v>53053.459092157209</v>
      </c>
      <c r="AM272" s="498">
        <f ca="1">SUMIFS('CF(Y)'!6:6,'CF(Y)'!$4:$4,AM$270)*100</f>
        <v>53458.625662379585</v>
      </c>
      <c r="AN272" s="498">
        <f ca="1">SUMIFS('CF(Y)'!6:6,'CF(Y)'!$4:$4,AN$270)*100</f>
        <v>55502.370744866959</v>
      </c>
      <c r="AO272" s="498">
        <f ca="1">SUMIFS('CF(Y)'!6:6,'CF(Y)'!$4:$4,AO$270)*100</f>
        <v>55920.741250325736</v>
      </c>
      <c r="AP272" s="498">
        <f ca="1">SUMIFS('CF(Y)'!6:6,'CF(Y)'!$4:$4,AP$270)*100</f>
        <v>28169.032313938977</v>
      </c>
      <c r="AQ272" s="498">
        <f>SUMIFS('CF(Y)'!6:6,'CF(Y)'!$4:$4,AQ$270)*100</f>
        <v>0</v>
      </c>
    </row>
    <row r="273" spans="2:43" ht="13.15" customHeight="1" thickBot="1">
      <c r="B273" s="1844">
        <f t="shared" ca="1" si="109"/>
        <v>208525.97645669474</v>
      </c>
      <c r="C273" s="1847" t="s">
        <v>3659</v>
      </c>
      <c r="D273" s="1863">
        <f t="shared" ca="1" si="110"/>
        <v>1421883.372834041</v>
      </c>
      <c r="E273" s="1863">
        <f>SUMIFS('CF(Y)'!7:7,'CF(Y)'!$4:$4,E$270)*100</f>
        <v>22043.318867892762</v>
      </c>
      <c r="F273" s="1863">
        <f ca="1">SUMIFS('CF(Y)'!7:7,'CF(Y)'!$4:$4,F$270)*100</f>
        <v>23470.089984000002</v>
      </c>
      <c r="G273" s="1863">
        <f ca="1">SUMIFS('CF(Y)'!7:7,'CF(Y)'!$4:$4,G$270)*100</f>
        <v>24866.707026110409</v>
      </c>
      <c r="H273" s="1863">
        <f ca="1">SUMIFS('CF(Y)'!7:7,'CF(Y)'!$4:$4,H$270)*100</f>
        <v>25620.243602659208</v>
      </c>
      <c r="I273" s="1863">
        <f ca="1">SUMIFS('CF(Y)'!7:7,'CF(Y)'!$4:$4,I$270)*100</f>
        <v>26373.780179208014</v>
      </c>
      <c r="J273" s="1863">
        <f ca="1">SUMIFS('CF(Y)'!7:7,'CF(Y)'!$4:$4,J$270)*100</f>
        <v>27941.136258429513</v>
      </c>
      <c r="K273" s="1863">
        <f ca="1">SUMIFS('CF(Y)'!7:7,'CF(Y)'!$4:$4,K$270)*100</f>
        <v>28717.278932274774</v>
      </c>
      <c r="L273" s="1863">
        <f ca="1">SUMIFS('CF(Y)'!7:7,'CF(Y)'!$4:$4,L$270)*100</f>
        <v>29493.421606120039</v>
      </c>
      <c r="M273" s="1863">
        <f ca="1">SUMIFS('CF(Y)'!7:7,'CF(Y)'!$4:$4,M$270)*100</f>
        <v>31177.651208364274</v>
      </c>
      <c r="N273" s="1863">
        <f ca="1">SUMIFS('CF(Y)'!7:7,'CF(Y)'!$4:$4,N$270)*100</f>
        <v>31497.421989988514</v>
      </c>
      <c r="O273" s="1863">
        <f ca="1">SUMIFS('CF(Y)'!7:7,'CF(Y)'!$4:$4,O$270)*100</f>
        <v>31817.192771612765</v>
      </c>
      <c r="P273" s="1863">
        <f ca="1">SUMIFS('CF(Y)'!7:7,'CF(Y)'!$4:$4,P$270)*100</f>
        <v>33101.072459834126</v>
      </c>
      <c r="Q273" s="498">
        <f ca="1">SUMIFS('CF(Y)'!7:7,'CF(Y)'!$4:$4,Q$270)*100</f>
        <v>33430.436364907102</v>
      </c>
      <c r="R273" s="498">
        <f ca="1">SUMIFS('CF(Y)'!7:7,'CF(Y)'!$4:$4,R$270)*100</f>
        <v>33759.800269980078</v>
      </c>
      <c r="S273" s="498">
        <f ca="1">SUMIFS('CF(Y)'!7:7,'CF(Y)'!$4:$4,S$270)*100</f>
        <v>35111.839100304649</v>
      </c>
      <c r="T273" s="498">
        <f ca="1">SUMIFS('CF(Y)'!7:7,'CF(Y)'!$4:$4,T$270)*100</f>
        <v>35451.083922529819</v>
      </c>
      <c r="U273" s="498">
        <f ca="1">SUMIFS('CF(Y)'!7:7,'CF(Y)'!$4:$4,U$270)*100</f>
        <v>35790.328744754974</v>
      </c>
      <c r="V273" s="498">
        <f ca="1">SUMIFS('CF(Y)'!7:7,'CF(Y)'!$4:$4,V$270)*100</f>
        <v>37213.460773989551</v>
      </c>
      <c r="W273" s="498">
        <f ca="1">SUMIFS('CF(Y)'!7:7,'CF(Y)'!$4:$4,W$270)*100</f>
        <v>37562.882940881471</v>
      </c>
      <c r="X273" s="498">
        <f ca="1">SUMIFS('CF(Y)'!7:7,'CF(Y)'!$4:$4,X$270)*100</f>
        <v>37912.305107773391</v>
      </c>
      <c r="Y273" s="498">
        <f ca="1">SUMIFS('CF(Y)'!7:7,'CF(Y)'!$4:$4,Y$270)*100</f>
        <v>39409.579092905275</v>
      </c>
      <c r="Z273" s="498">
        <f ca="1">SUMIFS('CF(Y)'!7:7,'CF(Y)'!$4:$4,Z$270)*100</f>
        <v>39769.483924803957</v>
      </c>
      <c r="AA273" s="498">
        <f ca="1">SUMIFS('CF(Y)'!7:7,'CF(Y)'!$4:$4,AA$270)*100</f>
        <v>40129.38875670264</v>
      </c>
      <c r="AB273" s="498">
        <f ca="1">SUMIFS('CF(Y)'!7:7,'CF(Y)'!$4:$4,AB$270)*100</f>
        <v>41703.972396259356</v>
      </c>
      <c r="AC273" s="498">
        <f ca="1">SUMIFS('CF(Y)'!7:7,'CF(Y)'!$4:$4,AC$270)*100</f>
        <v>42074.674373114991</v>
      </c>
      <c r="AD273" s="498">
        <f ca="1">SUMIFS('CF(Y)'!7:7,'CF(Y)'!$4:$4,AD$270)*100</f>
        <v>42445.376349970626</v>
      </c>
      <c r="AE273" s="498">
        <f ca="1">SUMIFS('CF(Y)'!7:7,'CF(Y)'!$4:$4,AE$270)*100</f>
        <v>44100.560676631059</v>
      </c>
      <c r="AF273" s="498">
        <f ca="1">SUMIFS('CF(Y)'!7:7,'CF(Y)'!$4:$4,AF$270)*100</f>
        <v>44482.383712792362</v>
      </c>
      <c r="AG273" s="498">
        <f ca="1">SUMIFS('CF(Y)'!7:7,'CF(Y)'!$4:$4,AG$270)*100</f>
        <v>44864.206748953664</v>
      </c>
      <c r="AH273" s="498">
        <f ca="1">SUMIFS('CF(Y)'!7:7,'CF(Y)'!$4:$4,AH$270)*100</f>
        <v>46603.410678668435</v>
      </c>
      <c r="AI273" s="498">
        <f ca="1">SUMIFS('CF(Y)'!7:7,'CF(Y)'!$4:$4,AI$270)*100</f>
        <v>46996.688405914574</v>
      </c>
      <c r="AJ273" s="498">
        <f ca="1">SUMIFS('CF(Y)'!7:7,'CF(Y)'!$4:$4,AJ$270)*100</f>
        <v>47389.96613316072</v>
      </c>
      <c r="AK273" s="498">
        <f ca="1">SUMIFS('CF(Y)'!7:7,'CF(Y)'!$4:$4,AK$270)*100</f>
        <v>49216.741176219068</v>
      </c>
      <c r="AL273" s="498">
        <f ca="1">SUMIFS('CF(Y)'!7:7,'CF(Y)'!$4:$4,AL$270)*100</f>
        <v>49621.8172352826</v>
      </c>
      <c r="AM273" s="498">
        <f ca="1">SUMIFS('CF(Y)'!7:7,'CF(Y)'!$4:$4,AM$270)*100</f>
        <v>50026.89329434614</v>
      </c>
      <c r="AN273" s="498">
        <f ca="1">SUMIFS('CF(Y)'!7:7,'CF(Y)'!$4:$4,AN$270)*100</f>
        <v>51944.928434011956</v>
      </c>
      <c r="AO273" s="498">
        <f ca="1">SUMIFS('CF(Y)'!7:7,'CF(Y)'!$4:$4,AO$270)*100</f>
        <v>52362.15677484739</v>
      </c>
      <c r="AP273" s="498">
        <f ca="1">SUMIFS('CF(Y)'!7:7,'CF(Y)'!$4:$4,AP$270)*100</f>
        <v>26389.692557841416</v>
      </c>
      <c r="AQ273" s="498">
        <f>SUMIFS('CF(Y)'!7:7,'CF(Y)'!$4:$4,AQ$270)*100</f>
        <v>0</v>
      </c>
    </row>
    <row r="274" spans="2:43" ht="13.15" customHeight="1" thickBot="1">
      <c r="B274" s="1844">
        <f t="shared" ca="1" si="109"/>
        <v>22483.096066700029</v>
      </c>
      <c r="C274" s="1847" t="s">
        <v>3660</v>
      </c>
      <c r="D274" s="1863">
        <f t="shared" ca="1" si="110"/>
        <v>112320.32215300006</v>
      </c>
      <c r="E274" s="1863">
        <f>E272-E273-E275</f>
        <v>3557.3054847999992</v>
      </c>
      <c r="F274" s="1863">
        <f t="shared" ref="F274:AQ274" ca="1" si="111">F272-F273-F275</f>
        <v>3266.6686848000027</v>
      </c>
      <c r="G274" s="1863">
        <f t="shared" ca="1" si="111"/>
        <v>3168.7908848000061</v>
      </c>
      <c r="H274" s="1863">
        <f t="shared" ca="1" si="111"/>
        <v>2451.4246047999995</v>
      </c>
      <c r="I274" s="1863">
        <f t="shared" ca="1" si="111"/>
        <v>2451.480170800005</v>
      </c>
      <c r="J274" s="1863">
        <f t="shared" ca="1" si="111"/>
        <v>2528.6551708000079</v>
      </c>
      <c r="K274" s="1863">
        <f t="shared" ca="1" si="111"/>
        <v>2529.3563608000004</v>
      </c>
      <c r="L274" s="1863">
        <f t="shared" ca="1" si="111"/>
        <v>2529.4147051000073</v>
      </c>
      <c r="M274" s="1863">
        <f t="shared" ca="1" si="111"/>
        <v>2610.448455100006</v>
      </c>
      <c r="N274" s="1863">
        <f t="shared" ca="1" si="111"/>
        <v>2611.1847046000039</v>
      </c>
      <c r="O274" s="1863">
        <f t="shared" ca="1" si="111"/>
        <v>2611.2459661150024</v>
      </c>
      <c r="P274" s="1863">
        <f t="shared" ca="1" si="111"/>
        <v>2696.3314036149968</v>
      </c>
      <c r="Q274" s="498">
        <f t="shared" ca="1" si="111"/>
        <v>2697.1044655900041</v>
      </c>
      <c r="R274" s="498">
        <f t="shared" ca="1" si="111"/>
        <v>2697.1687901807527</v>
      </c>
      <c r="S274" s="498">
        <f t="shared" ca="1" si="111"/>
        <v>2786.5084995557554</v>
      </c>
      <c r="T274" s="498">
        <f t="shared" ca="1" si="111"/>
        <v>2787.320214629508</v>
      </c>
      <c r="U274" s="498">
        <f t="shared" ca="1" si="111"/>
        <v>2787.3877554497958</v>
      </c>
      <c r="V274" s="498">
        <f t="shared" ca="1" si="111"/>
        <v>2881.1944502935439</v>
      </c>
      <c r="W274" s="498">
        <f t="shared" ca="1" si="111"/>
        <v>2882.0467511209717</v>
      </c>
      <c r="X274" s="498">
        <f t="shared" ca="1" si="111"/>
        <v>2882.1176689822823</v>
      </c>
      <c r="Y274" s="498">
        <f t="shared" ca="1" si="111"/>
        <v>2980.6146985682135</v>
      </c>
      <c r="Z274" s="498">
        <f t="shared" ca="1" si="111"/>
        <v>2981.5096144370254</v>
      </c>
      <c r="AA274" s="498">
        <f t="shared" ca="1" si="111"/>
        <v>2981.5840781913939</v>
      </c>
      <c r="AB274" s="498">
        <f t="shared" ca="1" si="111"/>
        <v>3085.0059592566249</v>
      </c>
      <c r="AC274" s="498">
        <f t="shared" ca="1" si="111"/>
        <v>3085.9456209188793</v>
      </c>
      <c r="AD274" s="498">
        <f t="shared" ca="1" si="111"/>
        <v>3086.0238078609618</v>
      </c>
      <c r="AE274" s="498">
        <f t="shared" ca="1" si="111"/>
        <v>3194.6167829794576</v>
      </c>
      <c r="AF274" s="498">
        <f t="shared" ca="1" si="111"/>
        <v>3195.6034277248182</v>
      </c>
      <c r="AG274" s="498">
        <f t="shared" ca="1" si="111"/>
        <v>3195.6855240140139</v>
      </c>
      <c r="AH274" s="498">
        <f t="shared" ca="1" si="111"/>
        <v>3309.7081478884284</v>
      </c>
      <c r="AI274" s="498">
        <f t="shared" ca="1" si="111"/>
        <v>3310.7441248710602</v>
      </c>
      <c r="AJ274" s="498">
        <f t="shared" ca="1" si="111"/>
        <v>3310.8303259747117</v>
      </c>
      <c r="AK274" s="498">
        <f t="shared" ca="1" si="111"/>
        <v>3430.5540810428502</v>
      </c>
      <c r="AL274" s="498">
        <f t="shared" ca="1" si="111"/>
        <v>3431.6418568746085</v>
      </c>
      <c r="AM274" s="498">
        <f t="shared" ca="1" si="111"/>
        <v>3431.7323680334448</v>
      </c>
      <c r="AN274" s="498">
        <f t="shared" ca="1" si="111"/>
        <v>3557.4423108550036</v>
      </c>
      <c r="AO274" s="498">
        <f t="shared" ca="1" si="111"/>
        <v>3558.5844754783466</v>
      </c>
      <c r="AP274" s="498">
        <f t="shared" ca="1" si="111"/>
        <v>1779.3397560975609</v>
      </c>
      <c r="AQ274" s="498">
        <f t="shared" si="111"/>
        <v>0</v>
      </c>
    </row>
    <row r="275" spans="2:43" ht="13.15" customHeight="1" thickBot="1">
      <c r="B275" s="1844">
        <f t="shared" ca="1" si="109"/>
        <v>39043.805370191832</v>
      </c>
      <c r="C275" s="1847" t="s">
        <v>3661</v>
      </c>
      <c r="D275" s="1863">
        <f t="shared" ca="1" si="110"/>
        <v>39043.805370191832</v>
      </c>
      <c r="E275" s="1863">
        <f>SUMIFS('CF(Y)'!13:13,'CF(Y)'!$4:$4,E$270)*100</f>
        <v>6000</v>
      </c>
      <c r="F275" s="1863">
        <f ca="1">SUMIFS('CF(Y)'!13:13,'CF(Y)'!$4:$4,F$270)*100</f>
        <v>17208.065699736999</v>
      </c>
      <c r="G275" s="1863">
        <f ca="1">SUMIFS('CF(Y)'!13:13,'CF(Y)'!$4:$4,G$270)*100</f>
        <v>11421.101101222435</v>
      </c>
      <c r="H275" s="1863">
        <f ca="1">SUMIFS('CF(Y)'!13:13,'CF(Y)'!$4:$4,H$270)*100</f>
        <v>4414.6385692323993</v>
      </c>
      <c r="I275" s="1863">
        <f>SUMIFS('CF(Y)'!13:13,'CF(Y)'!$4:$4,I$270)*100</f>
        <v>0</v>
      </c>
      <c r="J275" s="1863">
        <f>SUMIFS('CF(Y)'!13:13,'CF(Y)'!$4:$4,J$270)*100</f>
        <v>0</v>
      </c>
      <c r="K275" s="1863">
        <f>SUMIFS('CF(Y)'!13:13,'CF(Y)'!$4:$4,K$270)*100</f>
        <v>0</v>
      </c>
      <c r="L275" s="1863">
        <f>SUMIFS('CF(Y)'!13:13,'CF(Y)'!$4:$4,L$270)*100</f>
        <v>0</v>
      </c>
      <c r="M275" s="1863">
        <f>SUMIFS('CF(Y)'!13:13,'CF(Y)'!$4:$4,M$270)*100</f>
        <v>0</v>
      </c>
      <c r="N275" s="1863">
        <f>SUMIFS('CF(Y)'!13:13,'CF(Y)'!$4:$4,N$270)*100</f>
        <v>0</v>
      </c>
      <c r="O275" s="1863">
        <f>SUMIFS('CF(Y)'!13:13,'CF(Y)'!$4:$4,O$270)*100</f>
        <v>0</v>
      </c>
      <c r="P275" s="1863">
        <f>SUMIFS('CF(Y)'!13:13,'CF(Y)'!$4:$4,P$270)*100</f>
        <v>0</v>
      </c>
      <c r="Q275" s="498">
        <f>SUMIFS('CF(Y)'!13:13,'CF(Y)'!$4:$4,Q$270)*100</f>
        <v>0</v>
      </c>
      <c r="R275" s="498">
        <f>SUMIFS('CF(Y)'!13:13,'CF(Y)'!$4:$4,R$270)*100</f>
        <v>0</v>
      </c>
      <c r="S275" s="498">
        <f>SUMIFS('CF(Y)'!13:13,'CF(Y)'!$4:$4,S$270)*100</f>
        <v>0</v>
      </c>
      <c r="T275" s="498">
        <f>SUMIFS('CF(Y)'!13:13,'CF(Y)'!$4:$4,T$270)*100</f>
        <v>0</v>
      </c>
      <c r="U275" s="498">
        <f>SUMIFS('CF(Y)'!13:13,'CF(Y)'!$4:$4,U$270)*100</f>
        <v>0</v>
      </c>
      <c r="V275" s="498">
        <f>SUMIFS('CF(Y)'!13:13,'CF(Y)'!$4:$4,V$270)*100</f>
        <v>0</v>
      </c>
      <c r="W275" s="498">
        <f>SUMIFS('CF(Y)'!13:13,'CF(Y)'!$4:$4,W$270)*100</f>
        <v>0</v>
      </c>
      <c r="X275" s="498">
        <f>SUMIFS('CF(Y)'!13:13,'CF(Y)'!$4:$4,X$270)*100</f>
        <v>0</v>
      </c>
      <c r="Y275" s="498">
        <f>SUMIFS('CF(Y)'!13:13,'CF(Y)'!$4:$4,Y$270)*100</f>
        <v>0</v>
      </c>
      <c r="Z275" s="498">
        <f>SUMIFS('CF(Y)'!13:13,'CF(Y)'!$4:$4,Z$270)*100</f>
        <v>0</v>
      </c>
      <c r="AA275" s="498">
        <f>SUMIFS('CF(Y)'!13:13,'CF(Y)'!$4:$4,AA$270)*100</f>
        <v>0</v>
      </c>
      <c r="AB275" s="498">
        <f>SUMIFS('CF(Y)'!13:13,'CF(Y)'!$4:$4,AB$270)*100</f>
        <v>0</v>
      </c>
      <c r="AC275" s="498">
        <f>SUMIFS('CF(Y)'!13:13,'CF(Y)'!$4:$4,AC$270)*100</f>
        <v>0</v>
      </c>
      <c r="AD275" s="498">
        <f>SUMIFS('CF(Y)'!13:13,'CF(Y)'!$4:$4,AD$270)*100</f>
        <v>0</v>
      </c>
      <c r="AE275" s="498">
        <f>SUMIFS('CF(Y)'!13:13,'CF(Y)'!$4:$4,AE$270)*100</f>
        <v>0</v>
      </c>
      <c r="AF275" s="498">
        <f>SUMIFS('CF(Y)'!13:13,'CF(Y)'!$4:$4,AF$270)*100</f>
        <v>0</v>
      </c>
      <c r="AG275" s="498">
        <f>SUMIFS('CF(Y)'!13:13,'CF(Y)'!$4:$4,AG$270)*100</f>
        <v>0</v>
      </c>
      <c r="AH275" s="498">
        <f>SUMIFS('CF(Y)'!13:13,'CF(Y)'!$4:$4,AH$270)*100</f>
        <v>0</v>
      </c>
      <c r="AI275" s="498">
        <f>SUMIFS('CF(Y)'!13:13,'CF(Y)'!$4:$4,AI$270)*100</f>
        <v>0</v>
      </c>
      <c r="AJ275" s="498">
        <f>SUMIFS('CF(Y)'!13:13,'CF(Y)'!$4:$4,AJ$270)*100</f>
        <v>0</v>
      </c>
      <c r="AK275" s="498">
        <f>SUMIFS('CF(Y)'!13:13,'CF(Y)'!$4:$4,AK$270)*100</f>
        <v>0</v>
      </c>
      <c r="AL275" s="498">
        <f>SUMIFS('CF(Y)'!13:13,'CF(Y)'!$4:$4,AL$270)*100</f>
        <v>0</v>
      </c>
      <c r="AM275" s="498">
        <f>SUMIFS('CF(Y)'!13:13,'CF(Y)'!$4:$4,AM$270)*100</f>
        <v>0</v>
      </c>
      <c r="AN275" s="498">
        <f>SUMIFS('CF(Y)'!13:13,'CF(Y)'!$4:$4,AN$270)*100</f>
        <v>0</v>
      </c>
      <c r="AO275" s="498">
        <f>SUMIFS('CF(Y)'!13:13,'CF(Y)'!$4:$4,AO$270)*100</f>
        <v>0</v>
      </c>
      <c r="AP275" s="498">
        <f>SUMIFS('CF(Y)'!13:13,'CF(Y)'!$4:$4,AP$270)*100</f>
        <v>0</v>
      </c>
      <c r="AQ275" s="498">
        <f>SUMIFS('CF(Y)'!13:13,'CF(Y)'!$4:$4,AQ$270)*100</f>
        <v>0</v>
      </c>
    </row>
    <row r="276" spans="2:43" ht="13.15" customHeight="1" thickBot="1">
      <c r="B276" s="1844">
        <f t="shared" ca="1" si="109"/>
        <v>163461.57956777918</v>
      </c>
      <c r="C276" s="1862" t="s">
        <v>3662</v>
      </c>
      <c r="D276" s="1863">
        <f t="shared" ca="1" si="110"/>
        <v>1108461.2014162191</v>
      </c>
      <c r="E276" s="1863">
        <f ca="1">SUMIFS('CF(Y)'!14:14,'CF(Y)'!$4:$4,E$270)*100</f>
        <v>14565.56584669276</v>
      </c>
      <c r="F276" s="1863">
        <f ca="1">SUMIFS('CF(Y)'!14:14,'CF(Y)'!$4:$4,F$270)*100</f>
        <v>25925.396677990459</v>
      </c>
      <c r="G276" s="1863">
        <f ca="1">SUMIFS('CF(Y)'!14:14,'CF(Y)'!$4:$4,G$270)*100</f>
        <v>23603.467146410203</v>
      </c>
      <c r="H276" s="1863">
        <f ca="1">SUMIFS('CF(Y)'!14:14,'CF(Y)'!$4:$4,H$270)*100</f>
        <v>11732.639129960797</v>
      </c>
      <c r="I276" s="1863">
        <f ca="1">SUMIFS('CF(Y)'!14:14,'CF(Y)'!$4:$4,I$270)*100</f>
        <v>13962.757616410918</v>
      </c>
      <c r="J276" s="1863">
        <f ca="1">SUMIFS('CF(Y)'!14:14,'CF(Y)'!$4:$4,J$270)*100</f>
        <v>23418.808287055912</v>
      </c>
      <c r="K276" s="1863">
        <f ca="1">SUMIFS('CF(Y)'!14:14,'CF(Y)'!$4:$4,K$270)*100</f>
        <v>24680.812004667128</v>
      </c>
      <c r="L276" s="1863">
        <f ca="1">SUMIFS('CF(Y)'!14:14,'CF(Y)'!$4:$4,L$270)*100</f>
        <v>25572.132858590998</v>
      </c>
      <c r="M276" s="1863">
        <f ca="1">SUMIFS('CF(Y)'!14:14,'CF(Y)'!$4:$4,M$270)*100</f>
        <v>25186.482517835335</v>
      </c>
      <c r="N276" s="1863">
        <f ca="1">SUMIFS('CF(Y)'!14:14,'CF(Y)'!$4:$4,N$270)*100</f>
        <v>26453.398528067562</v>
      </c>
      <c r="O276" s="1863">
        <f ca="1">SUMIFS('CF(Y)'!14:14,'CF(Y)'!$4:$4,O$270)*100</f>
        <v>26018.778424503256</v>
      </c>
      <c r="P276" s="1863">
        <f ca="1">SUMIFS('CF(Y)'!14:14,'CF(Y)'!$4:$4,P$270)*100</f>
        <v>26624.39462080002</v>
      </c>
      <c r="Q276" s="498">
        <f ca="1">SUMIFS('CF(Y)'!14:14,'CF(Y)'!$4:$4,Q$270)*100</f>
        <v>27112.167792958342</v>
      </c>
      <c r="R276" s="498">
        <f ca="1">SUMIFS('CF(Y)'!14:14,'CF(Y)'!$4:$4,R$270)*100</f>
        <v>27776.617372355748</v>
      </c>
      <c r="S276" s="498">
        <f ca="1">SUMIFS('CF(Y)'!14:14,'CF(Y)'!$4:$4,S$270)*100</f>
        <v>27476.425795771978</v>
      </c>
      <c r="T276" s="498">
        <f ca="1">SUMIFS('CF(Y)'!14:14,'CF(Y)'!$4:$4,T$270)*100</f>
        <v>28409.791906133232</v>
      </c>
      <c r="U276" s="498">
        <f ca="1">SUMIFS('CF(Y)'!14:14,'CF(Y)'!$4:$4,U$270)*100</f>
        <v>28756.480815980609</v>
      </c>
      <c r="V276" s="498">
        <f ca="1">SUMIFS('CF(Y)'!14:14,'CF(Y)'!$4:$4,V$270)*100</f>
        <v>29351.735770120689</v>
      </c>
      <c r="W276" s="498">
        <f ca="1">SUMIFS('CF(Y)'!14:14,'CF(Y)'!$4:$4,W$270)*100</f>
        <v>29203.792228217611</v>
      </c>
      <c r="X276" s="498">
        <f ca="1">SUMIFS('CF(Y)'!14:14,'CF(Y)'!$4:$4,X$270)*100</f>
        <v>30077.897186437673</v>
      </c>
      <c r="Y276" s="498">
        <f ca="1">SUMIFS('CF(Y)'!14:14,'CF(Y)'!$4:$4,Y$270)*100</f>
        <v>29805.360655710905</v>
      </c>
      <c r="Z276" s="498">
        <f ca="1">SUMIFS('CF(Y)'!14:14,'CF(Y)'!$4:$4,Z$270)*100</f>
        <v>30817.777627019357</v>
      </c>
      <c r="AA276" s="498">
        <f ca="1">SUMIFS('CF(Y)'!14:14,'CF(Y)'!$4:$4,AA$270)*100</f>
        <v>30849.718369158392</v>
      </c>
      <c r="AB276" s="498">
        <f ca="1">SUMIFS('CF(Y)'!14:14,'CF(Y)'!$4:$4,AB$270)*100</f>
        <v>31754.099476471249</v>
      </c>
      <c r="AC276" s="498">
        <f ca="1">SUMIFS('CF(Y)'!14:14,'CF(Y)'!$4:$4,AC$270)*100</f>
        <v>31978.679070759972</v>
      </c>
      <c r="AD276" s="498">
        <f ca="1">SUMIFS('CF(Y)'!14:14,'CF(Y)'!$4:$4,AD$270)*100</f>
        <v>32931.886709004066</v>
      </c>
      <c r="AE276" s="498">
        <f ca="1">SUMIFS('CF(Y)'!14:14,'CF(Y)'!$4:$4,AE$270)*100</f>
        <v>33231.042647205286</v>
      </c>
      <c r="AF276" s="498">
        <f ca="1">SUMIFS('CF(Y)'!14:14,'CF(Y)'!$4:$4,AF$270)*100</f>
        <v>34996.839253927319</v>
      </c>
      <c r="AG276" s="498">
        <f ca="1">SUMIFS('CF(Y)'!14:14,'CF(Y)'!$4:$4,AG$270)*100</f>
        <v>34342.303634486118</v>
      </c>
      <c r="AH276" s="498">
        <f ca="1">SUMIFS('CF(Y)'!14:14,'CF(Y)'!$4:$4,AH$270)*100</f>
        <v>35305.929392725062</v>
      </c>
      <c r="AI276" s="498">
        <f ca="1">SUMIFS('CF(Y)'!14:14,'CF(Y)'!$4:$4,AI$270)*100</f>
        <v>36472.714457729518</v>
      </c>
      <c r="AJ276" s="498">
        <f ca="1">SUMIFS('CF(Y)'!14:14,'CF(Y)'!$4:$4,AJ$270)*100</f>
        <v>36542.984399576686</v>
      </c>
      <c r="AK276" s="498">
        <f ca="1">SUMIFS('CF(Y)'!14:14,'CF(Y)'!$4:$4,AK$270)*100</f>
        <v>36928.906179507569</v>
      </c>
      <c r="AL276" s="498">
        <f ca="1">SUMIFS('CF(Y)'!14:14,'CF(Y)'!$4:$4,AL$270)*100</f>
        <v>38061.69408099843</v>
      </c>
      <c r="AM276" s="498">
        <f ca="1">SUMIFS('CF(Y)'!14:14,'CF(Y)'!$4:$4,AM$270)*100</f>
        <v>38287.248509468671</v>
      </c>
      <c r="AN276" s="498">
        <f ca="1">SUMIFS('CF(Y)'!14:14,'CF(Y)'!$4:$4,AN$270)*100</f>
        <v>39464.975515614955</v>
      </c>
      <c r="AO276" s="498">
        <f ca="1">SUMIFS('CF(Y)'!14:14,'CF(Y)'!$4:$4,AO$270)*100</f>
        <v>40292.419010006153</v>
      </c>
      <c r="AP276" s="498">
        <f ca="1">SUMIFS('CF(Y)'!14:14,'CF(Y)'!$4:$4,AP$270)*100</f>
        <v>20487.079899888271</v>
      </c>
      <c r="AQ276" s="498">
        <f>SUMIFS('CF(Y)'!14:14,'CF(Y)'!$4:$4,AQ$270)*100</f>
        <v>0</v>
      </c>
    </row>
    <row r="277" spans="2:43" ht="13.15" customHeight="1" thickBot="1">
      <c r="B277" s="1844">
        <f t="shared" ca="1" si="109"/>
        <v>136638.84005521375</v>
      </c>
      <c r="C277" s="1847" t="s">
        <v>251</v>
      </c>
      <c r="D277" s="1863">
        <f t="shared" ca="1" si="110"/>
        <v>1019252.4487278692</v>
      </c>
      <c r="E277" s="1863">
        <f ca="1">SUMIFS('CF(Y)'!15:15,'CF(Y)'!$4:$4,E$270)*100+SUMIFS('CF(Y)'!16:16,'CF(Y)'!$4:$4,E$270)*100</f>
        <v>9127.3983567953655</v>
      </c>
      <c r="F277" s="1863">
        <f ca="1">SUMIFS('CF(Y)'!15:15,'CF(Y)'!$4:$4,F$270)*100+SUMIFS('CF(Y)'!16:16,'CF(Y)'!$4:$4,F$270)*100</f>
        <v>20879.578871252703</v>
      </c>
      <c r="G277" s="1863">
        <f ca="1">SUMIFS('CF(Y)'!15:15,'CF(Y)'!$4:$4,G$270)*100+SUMIFS('CF(Y)'!16:16,'CF(Y)'!$4:$4,G$270)*100</f>
        <v>19062.42409502071</v>
      </c>
      <c r="H277" s="1863">
        <f ca="1">SUMIFS('CF(Y)'!15:15,'CF(Y)'!$4:$4,H$270)*100+SUMIFS('CF(Y)'!16:16,'CF(Y)'!$4:$4,H$270)*100</f>
        <v>7947.6461624951135</v>
      </c>
      <c r="I277" s="1863">
        <f ca="1">SUMIFS('CF(Y)'!15:15,'CF(Y)'!$4:$4,I$270)*100+SUMIFS('CF(Y)'!16:16,'CF(Y)'!$4:$4,I$270)*100</f>
        <v>10962.15811437662</v>
      </c>
      <c r="J277" s="1863">
        <f ca="1">SUMIFS('CF(Y)'!15:15,'CF(Y)'!$4:$4,J$270)*100+SUMIFS('CF(Y)'!16:16,'CF(Y)'!$4:$4,J$270)*100</f>
        <v>22258.931894341775</v>
      </c>
      <c r="K277" s="1863">
        <f ca="1">SUMIFS('CF(Y)'!15:15,'CF(Y)'!$4:$4,K$270)*100+SUMIFS('CF(Y)'!16:16,'CF(Y)'!$4:$4,K$270)*100</f>
        <v>22917.060771566103</v>
      </c>
      <c r="L277" s="1863">
        <f ca="1">SUMIFS('CF(Y)'!15:15,'CF(Y)'!$4:$4,L$270)*100+SUMIFS('CF(Y)'!16:16,'CF(Y)'!$4:$4,L$270)*100</f>
        <v>23483.641789365352</v>
      </c>
      <c r="M277" s="1863">
        <f ca="1">SUMIFS('CF(Y)'!15:15,'CF(Y)'!$4:$4,M$270)*100+SUMIFS('CF(Y)'!16:16,'CF(Y)'!$4:$4,M$270)*100</f>
        <v>23806.183861730617</v>
      </c>
      <c r="N277" s="1863">
        <f ca="1">SUMIFS('CF(Y)'!15:15,'CF(Y)'!$4:$4,N$270)*100+SUMIFS('CF(Y)'!16:16,'CF(Y)'!$4:$4,N$270)*100</f>
        <v>24227.93227989689</v>
      </c>
      <c r="O277" s="1863">
        <f ca="1">SUMIFS('CF(Y)'!15:15,'CF(Y)'!$4:$4,O$270)*100+SUMIFS('CF(Y)'!16:16,'CF(Y)'!$4:$4,O$270)*100</f>
        <v>24645.949208584727</v>
      </c>
      <c r="P277" s="1863">
        <f ca="1">SUMIFS('CF(Y)'!15:15,'CF(Y)'!$4:$4,P$270)*100+SUMIFS('CF(Y)'!16:16,'CF(Y)'!$4:$4,P$270)*100</f>
        <v>25122.741712151823</v>
      </c>
      <c r="Q277" s="498">
        <f ca="1">SUMIFS('CF(Y)'!15:15,'CF(Y)'!$4:$4,Q$270)*100+SUMIFS('CF(Y)'!16:16,'CF(Y)'!$4:$4,Q$270)*100</f>
        <v>25341.902539256316</v>
      </c>
      <c r="R277" s="498">
        <f ca="1">SUMIFS('CF(Y)'!15:15,'CF(Y)'!$4:$4,R$270)*100+SUMIFS('CF(Y)'!16:16,'CF(Y)'!$4:$4,R$270)*100</f>
        <v>25778.866531306248</v>
      </c>
      <c r="S277" s="498">
        <f ca="1">SUMIFS('CF(Y)'!15:15,'CF(Y)'!$4:$4,S$270)*100+SUMIFS('CF(Y)'!16:16,'CF(Y)'!$4:$4,S$270)*100</f>
        <v>26038.30283682837</v>
      </c>
      <c r="T277" s="498">
        <f ca="1">SUMIFS('CF(Y)'!15:15,'CF(Y)'!$4:$4,T$270)*100+SUMIFS('CF(Y)'!16:16,'CF(Y)'!$4:$4,T$270)*100</f>
        <v>26493.440291912833</v>
      </c>
      <c r="U277" s="498">
        <f ca="1">SUMIFS('CF(Y)'!15:15,'CF(Y)'!$4:$4,U$270)*100+SUMIFS('CF(Y)'!16:16,'CF(Y)'!$4:$4,U$270)*100</f>
        <v>26768.117496966381</v>
      </c>
      <c r="V277" s="498">
        <f ca="1">SUMIFS('CF(Y)'!15:15,'CF(Y)'!$4:$4,V$270)*100+SUMIFS('CF(Y)'!16:16,'CF(Y)'!$4:$4,V$270)*100</f>
        <v>27247.313996075871</v>
      </c>
      <c r="W277" s="498">
        <f ca="1">SUMIFS('CF(Y)'!15:15,'CF(Y)'!$4:$4,W$270)*100+SUMIFS('CF(Y)'!16:16,'CF(Y)'!$4:$4,W$270)*100</f>
        <v>27561.611440473287</v>
      </c>
      <c r="X277" s="498">
        <f ca="1">SUMIFS('CF(Y)'!15:15,'CF(Y)'!$4:$4,X$270)*100+SUMIFS('CF(Y)'!16:16,'CF(Y)'!$4:$4,X$270)*100</f>
        <v>28064.380124739364</v>
      </c>
      <c r="Y277" s="498">
        <f ca="1">SUMIFS('CF(Y)'!15:15,'CF(Y)'!$4:$4,Y$270)*100+SUMIFS('CF(Y)'!16:16,'CF(Y)'!$4:$4,Y$270)*100</f>
        <v>28351.749506335553</v>
      </c>
      <c r="Z277" s="498">
        <f ca="1">SUMIFS('CF(Y)'!15:15,'CF(Y)'!$4:$4,Z$270)*100+SUMIFS('CF(Y)'!16:16,'CF(Y)'!$4:$4,Z$270)*100</f>
        <v>28847.098636629831</v>
      </c>
      <c r="AA277" s="498">
        <f ca="1">SUMIFS('CF(Y)'!15:15,'CF(Y)'!$4:$4,AA$270)*100+SUMIFS('CF(Y)'!16:16,'CF(Y)'!$4:$4,AA$270)*100</f>
        <v>29138.966866147806</v>
      </c>
      <c r="AB277" s="498">
        <f ca="1">SUMIFS('CF(Y)'!15:15,'CF(Y)'!$4:$4,AB$270)*100+SUMIFS('CF(Y)'!16:16,'CF(Y)'!$4:$4,AB$270)*100</f>
        <v>29691.887180534966</v>
      </c>
      <c r="AC277" s="498">
        <f ca="1">SUMIFS('CF(Y)'!15:15,'CF(Y)'!$4:$4,AC$270)*100+SUMIFS('CF(Y)'!16:16,'CF(Y)'!$4:$4,AC$270)*100</f>
        <v>29954.505233739023</v>
      </c>
      <c r="AD277" s="498">
        <f ca="1">SUMIFS('CF(Y)'!15:15,'CF(Y)'!$4:$4,AD$270)*100+SUMIFS('CF(Y)'!16:16,'CF(Y)'!$4:$4,AD$270)*100</f>
        <v>30493.136623618138</v>
      </c>
      <c r="AE277" s="498">
        <f ca="1">SUMIFS('CF(Y)'!15:15,'CF(Y)'!$4:$4,AE$270)*100+SUMIFS('CF(Y)'!16:16,'CF(Y)'!$4:$4,AE$270)*100</f>
        <v>31407.366901924666</v>
      </c>
      <c r="AF277" s="498">
        <f ca="1">SUMIFS('CF(Y)'!15:15,'CF(Y)'!$4:$4,AF$270)*100+SUMIFS('CF(Y)'!16:16,'CF(Y)'!$4:$4,AF$270)*100</f>
        <v>32125.072743110657</v>
      </c>
      <c r="AG277" s="498">
        <f ca="1">SUMIFS('CF(Y)'!15:15,'CF(Y)'!$4:$4,AG$270)*100+SUMIFS('CF(Y)'!16:16,'CF(Y)'!$4:$4,AG$270)*100</f>
        <v>32527.490405777899</v>
      </c>
      <c r="AH277" s="498">
        <f ca="1">SUMIFS('CF(Y)'!15:15,'CF(Y)'!$4:$4,AH$270)*100+SUMIFS('CF(Y)'!16:16,'CF(Y)'!$4:$4,AH$270)*100</f>
        <v>33146.835623880885</v>
      </c>
      <c r="AI277" s="498">
        <f ca="1">SUMIFS('CF(Y)'!15:15,'CF(Y)'!$4:$4,AI$270)*100+SUMIFS('CF(Y)'!16:16,'CF(Y)'!$4:$4,AI$270)*100</f>
        <v>33666.434618053492</v>
      </c>
      <c r="AJ277" s="498">
        <f ca="1">SUMIFS('CF(Y)'!15:15,'CF(Y)'!$4:$4,AJ$270)*100+SUMIFS('CF(Y)'!16:16,'CF(Y)'!$4:$4,AJ$270)*100</f>
        <v>34308.950414056148</v>
      </c>
      <c r="AK277" s="498">
        <f ca="1">SUMIFS('CF(Y)'!15:15,'CF(Y)'!$4:$4,AK$270)*100+SUMIFS('CF(Y)'!16:16,'CF(Y)'!$4:$4,AK$270)*100</f>
        <v>34630.270202470063</v>
      </c>
      <c r="AL277" s="498">
        <f ca="1">SUMIFS('CF(Y)'!15:15,'CF(Y)'!$4:$4,AL$270)*100+SUMIFS('CF(Y)'!16:16,'CF(Y)'!$4:$4,AL$270)*100</f>
        <v>35215.18643722024</v>
      </c>
      <c r="AM277" s="498">
        <f ca="1">SUMIFS('CF(Y)'!15:15,'CF(Y)'!$4:$4,AM$270)*100+SUMIFS('CF(Y)'!16:16,'CF(Y)'!$4:$4,AM$270)*100</f>
        <v>35613.290393736119</v>
      </c>
      <c r="AN277" s="498">
        <f ca="1">SUMIFS('CF(Y)'!15:15,'CF(Y)'!$4:$4,AN$270)*100+SUMIFS('CF(Y)'!16:16,'CF(Y)'!$4:$4,AN$270)*100</f>
        <v>36277.30057024258</v>
      </c>
      <c r="AO277" s="498">
        <f ca="1">SUMIFS('CF(Y)'!15:15,'CF(Y)'!$4:$4,AO$270)*100+SUMIFS('CF(Y)'!16:16,'CF(Y)'!$4:$4,AO$270)*100</f>
        <v>37214.034954837982</v>
      </c>
      <c r="AP277" s="498">
        <f ca="1">SUMIFS('CF(Y)'!15:15,'CF(Y)'!$4:$4,AP$270)*100+SUMIFS('CF(Y)'!16:16,'CF(Y)'!$4:$4,AP$270)*100</f>
        <v>18907.289040416494</v>
      </c>
      <c r="AQ277" s="498">
        <f>SUMIFS('CF(Y)'!15:15,'CF(Y)'!$4:$4,AQ$270)*100+SUMIFS('CF(Y)'!16:16,'CF(Y)'!$4:$4,AQ$270)*100</f>
        <v>0</v>
      </c>
    </row>
    <row r="278" spans="2:43" ht="13.15" customHeight="1" thickBot="1">
      <c r="B278" s="1844">
        <f t="shared" ca="1" si="109"/>
        <v>706.0866878866043</v>
      </c>
      <c r="C278" s="1847" t="s">
        <v>1252</v>
      </c>
      <c r="D278" s="1863">
        <f t="shared" ca="1" si="110"/>
        <v>4197.4856775968592</v>
      </c>
      <c r="E278" s="1863">
        <f ca="1">SUMIFS('CF(Y)'!18:18,'CF(Y)'!$4:$4,E$270)*100</f>
        <v>0</v>
      </c>
      <c r="F278" s="1863">
        <f ca="1">SUMIFS('CF(Y)'!18:18,'CF(Y)'!$4:$4,F$270)*100</f>
        <v>0</v>
      </c>
      <c r="G278" s="1863">
        <f ca="1">SUMIFS('CF(Y)'!18:18,'CF(Y)'!$4:$4,G$270)*100</f>
        <v>0</v>
      </c>
      <c r="H278" s="1863">
        <f ca="1">SUMIFS('CF(Y)'!18:18,'CF(Y)'!$4:$4,H$270)*100</f>
        <v>0</v>
      </c>
      <c r="I278" s="1863">
        <f ca="1">SUMIFS('CF(Y)'!18:18,'CF(Y)'!$4:$4,I$270)*100</f>
        <v>0</v>
      </c>
      <c r="J278" s="1863">
        <f ca="1">SUMIFS('CF(Y)'!18:18,'CF(Y)'!$4:$4,J$270)*100</f>
        <v>212.30403012019997</v>
      </c>
      <c r="K278" s="1863">
        <f ca="1">SUMIFS('CF(Y)'!18:18,'CF(Y)'!$4:$4,K$270)*100</f>
        <v>0</v>
      </c>
      <c r="L278" s="1863">
        <f ca="1">SUMIFS('CF(Y)'!18:18,'CF(Y)'!$4:$4,L$270)*100</f>
        <v>493.78265776640433</v>
      </c>
      <c r="M278" s="1863">
        <f ca="1">SUMIFS('CF(Y)'!18:18,'CF(Y)'!$4:$4,M$270)*100</f>
        <v>0</v>
      </c>
      <c r="N278" s="1863">
        <f ca="1">SUMIFS('CF(Y)'!18:18,'CF(Y)'!$4:$4,N$270)*100</f>
        <v>265.10931009868909</v>
      </c>
      <c r="O278" s="1863">
        <f ca="1">SUMIFS('CF(Y)'!18:18,'CF(Y)'!$4:$4,O$270)*100</f>
        <v>0</v>
      </c>
      <c r="P278" s="1863">
        <f ca="1">SUMIFS('CF(Y)'!18:18,'CF(Y)'!$4:$4,P$270)*100</f>
        <v>0</v>
      </c>
      <c r="Q278" s="498">
        <f ca="1">SUMIFS('CF(Y)'!18:18,'CF(Y)'!$4:$4,Q$270)*100</f>
        <v>0</v>
      </c>
      <c r="R278" s="498">
        <f ca="1">SUMIFS('CF(Y)'!18:18,'CF(Y)'!$4:$4,R$270)*100</f>
        <v>344.84226397128714</v>
      </c>
      <c r="S278" s="498">
        <f ca="1">SUMIFS('CF(Y)'!18:18,'CF(Y)'!$4:$4,S$270)*100</f>
        <v>0</v>
      </c>
      <c r="T278" s="498">
        <f ca="1">SUMIFS('CF(Y)'!18:18,'CF(Y)'!$4:$4,T$270)*100</f>
        <v>0</v>
      </c>
      <c r="U278" s="498">
        <f ca="1">SUMIFS('CF(Y)'!18:18,'CF(Y)'!$4:$4,U$270)*100</f>
        <v>284.23306352950453</v>
      </c>
      <c r="V278" s="498">
        <f ca="1">SUMIFS('CF(Y)'!18:18,'CF(Y)'!$4:$4,V$270)*100</f>
        <v>545.44324891311908</v>
      </c>
      <c r="W278" s="498">
        <f ca="1">SUMIFS('CF(Y)'!18:18,'CF(Y)'!$4:$4,W$270)*100</f>
        <v>0</v>
      </c>
      <c r="X278" s="498">
        <f ca="1">SUMIFS('CF(Y)'!18:18,'CF(Y)'!$4:$4,X$270)*100</f>
        <v>0</v>
      </c>
      <c r="Y278" s="498">
        <f ca="1">SUMIFS('CF(Y)'!18:18,'CF(Y)'!$4:$4,Y$270)*100</f>
        <v>0</v>
      </c>
      <c r="Z278" s="498">
        <f ca="1">SUMIFS('CF(Y)'!18:18,'CF(Y)'!$4:$4,Z$270)*100</f>
        <v>0</v>
      </c>
      <c r="AA278" s="498">
        <f ca="1">SUMIFS('CF(Y)'!18:18,'CF(Y)'!$4:$4,AA$270)*100</f>
        <v>0</v>
      </c>
      <c r="AB278" s="498">
        <f ca="1">SUMIFS('CF(Y)'!18:18,'CF(Y)'!$4:$4,AB$270)*100</f>
        <v>304.73631564765958</v>
      </c>
      <c r="AC278" s="498">
        <f ca="1">SUMIFS('CF(Y)'!18:18,'CF(Y)'!$4:$4,AC$270)*100</f>
        <v>0</v>
      </c>
      <c r="AD278" s="498">
        <f ca="1">SUMIFS('CF(Y)'!18:18,'CF(Y)'!$4:$4,AD$270)*100</f>
        <v>388.57689449022195</v>
      </c>
      <c r="AE278" s="498">
        <f ca="1">SUMIFS('CF(Y)'!18:18,'CF(Y)'!$4:$4,AE$270)*100</f>
        <v>0</v>
      </c>
      <c r="AF278" s="498">
        <f ca="1">SUMIFS('CF(Y)'!18:18,'CF(Y)'!$4:$4,AF$270)*100</f>
        <v>602.508680905603</v>
      </c>
      <c r="AG278" s="498">
        <f ca="1">SUMIFS('CF(Y)'!18:18,'CF(Y)'!$4:$4,AG$270)*100</f>
        <v>0</v>
      </c>
      <c r="AH278" s="498">
        <f ca="1">SUMIFS('CF(Y)'!18:18,'CF(Y)'!$4:$4,AH$270)*100</f>
        <v>0</v>
      </c>
      <c r="AI278" s="498">
        <f ca="1">SUMIFS('CF(Y)'!18:18,'CF(Y)'!$4:$4,AI$270)*100</f>
        <v>326.71857707669659</v>
      </c>
      <c r="AJ278" s="498">
        <f ca="1">SUMIFS('CF(Y)'!18:18,'CF(Y)'!$4:$4,AJ$270)*100</f>
        <v>0</v>
      </c>
      <c r="AK278" s="498">
        <f ca="1">SUMIFS('CF(Y)'!18:18,'CF(Y)'!$4:$4,AK$270)*100</f>
        <v>0</v>
      </c>
      <c r="AL278" s="498">
        <f ca="1">SUMIFS('CF(Y)'!18:18,'CF(Y)'!$4:$4,AL$270)*100</f>
        <v>0</v>
      </c>
      <c r="AM278" s="498">
        <f ca="1">SUMIFS('CF(Y)'!18:18,'CF(Y)'!$4:$4,AM$270)*100</f>
        <v>0</v>
      </c>
      <c r="AN278" s="498">
        <f ca="1">SUMIFS('CF(Y)'!18:18,'CF(Y)'!$4:$4,AN$270)*100</f>
        <v>429.23063507747435</v>
      </c>
      <c r="AO278" s="498">
        <f ca="1">SUMIFS('CF(Y)'!18:18,'CF(Y)'!$4:$4,AO$270)*100</f>
        <v>0</v>
      </c>
      <c r="AP278" s="498">
        <f ca="1">SUMIFS('CF(Y)'!18:18,'CF(Y)'!$4:$4,AP$270)*100</f>
        <v>0</v>
      </c>
      <c r="AQ278" s="498">
        <f>SUMIFS('CF(Y)'!18:18,'CF(Y)'!$4:$4,AQ$270)*100</f>
        <v>0</v>
      </c>
    </row>
    <row r="279" spans="2:43" ht="13.15" customHeight="1" thickBot="1">
      <c r="B279" s="1844">
        <f t="shared" ca="1" si="109"/>
        <v>8150</v>
      </c>
      <c r="C279" s="1847" t="s">
        <v>3663</v>
      </c>
      <c r="D279" s="1863">
        <f t="shared" ca="1" si="110"/>
        <v>16630</v>
      </c>
      <c r="E279" s="1863">
        <f ca="1">SUMIFS('CF(Y)'!19:19,'CF(Y)'!$4:$4,E$270)*100+SUMIFS('CF(Y)'!20:20,'CF(Y)'!$4:$4,E$270)*100</f>
        <v>1070</v>
      </c>
      <c r="F279" s="1863">
        <f ca="1">SUMIFS('CF(Y)'!19:19,'CF(Y)'!$4:$4,F$270)*100+SUMIFS('CF(Y)'!20:20,'CF(Y)'!$4:$4,F$270)*100</f>
        <v>1030</v>
      </c>
      <c r="G279" s="1863">
        <f ca="1">SUMIFS('CF(Y)'!19:19,'CF(Y)'!$4:$4,G$270)*100+SUMIFS('CF(Y)'!20:20,'CF(Y)'!$4:$4,G$270)*100</f>
        <v>1030</v>
      </c>
      <c r="H279" s="1863">
        <f ca="1">SUMIFS('CF(Y)'!19:19,'CF(Y)'!$4:$4,H$270)*100+SUMIFS('CF(Y)'!20:20,'CF(Y)'!$4:$4,H$270)*100</f>
        <v>1030</v>
      </c>
      <c r="I279" s="1863">
        <f ca="1">SUMIFS('CF(Y)'!19:19,'CF(Y)'!$4:$4,I$270)*100+SUMIFS('CF(Y)'!20:20,'CF(Y)'!$4:$4,I$270)*100</f>
        <v>1020</v>
      </c>
      <c r="J279" s="1863">
        <f ca="1">SUMIFS('CF(Y)'!19:19,'CF(Y)'!$4:$4,J$270)*100+SUMIFS('CF(Y)'!20:20,'CF(Y)'!$4:$4,J$270)*100</f>
        <v>990</v>
      </c>
      <c r="K279" s="1863">
        <f ca="1">SUMIFS('CF(Y)'!19:19,'CF(Y)'!$4:$4,K$270)*100+SUMIFS('CF(Y)'!20:20,'CF(Y)'!$4:$4,K$270)*100</f>
        <v>990</v>
      </c>
      <c r="L279" s="1863">
        <f ca="1">SUMIFS('CF(Y)'!19:19,'CF(Y)'!$4:$4,L$270)*100+SUMIFS('CF(Y)'!20:20,'CF(Y)'!$4:$4,L$270)*100</f>
        <v>990</v>
      </c>
      <c r="M279" s="1863">
        <f ca="1">SUMIFS('CF(Y)'!19:19,'CF(Y)'!$4:$4,M$270)*100+SUMIFS('CF(Y)'!20:20,'CF(Y)'!$4:$4,M$270)*100</f>
        <v>960</v>
      </c>
      <c r="N279" s="1863">
        <f ca="1">SUMIFS('CF(Y)'!19:19,'CF(Y)'!$4:$4,N$270)*100+SUMIFS('CF(Y)'!20:20,'CF(Y)'!$4:$4,N$270)*100</f>
        <v>889.99999999999989</v>
      </c>
      <c r="O279" s="1863">
        <f ca="1">SUMIFS('CF(Y)'!19:19,'CF(Y)'!$4:$4,O$270)*100+SUMIFS('CF(Y)'!20:20,'CF(Y)'!$4:$4,O$270)*100</f>
        <v>680</v>
      </c>
      <c r="P279" s="1863">
        <f ca="1">SUMIFS('CF(Y)'!19:19,'CF(Y)'!$4:$4,P$270)*100+SUMIFS('CF(Y)'!20:20,'CF(Y)'!$4:$4,P$270)*100</f>
        <v>680</v>
      </c>
      <c r="Q279" s="498">
        <f ca="1">SUMIFS('CF(Y)'!19:19,'CF(Y)'!$4:$4,Q$270)*100+SUMIFS('CF(Y)'!20:20,'CF(Y)'!$4:$4,Q$270)*100</f>
        <v>680</v>
      </c>
      <c r="R279" s="498">
        <f ca="1">SUMIFS('CF(Y)'!19:19,'CF(Y)'!$4:$4,R$270)*100+SUMIFS('CF(Y)'!20:20,'CF(Y)'!$4:$4,R$270)*100</f>
        <v>680</v>
      </c>
      <c r="S279" s="498">
        <f ca="1">SUMIFS('CF(Y)'!19:19,'CF(Y)'!$4:$4,S$270)*100+SUMIFS('CF(Y)'!20:20,'CF(Y)'!$4:$4,S$270)*100</f>
        <v>680</v>
      </c>
      <c r="T279" s="498">
        <f ca="1">SUMIFS('CF(Y)'!19:19,'CF(Y)'!$4:$4,T$270)*100+SUMIFS('CF(Y)'!20:20,'CF(Y)'!$4:$4,T$270)*100</f>
        <v>680</v>
      </c>
      <c r="U279" s="498">
        <f ca="1">SUMIFS('CF(Y)'!19:19,'CF(Y)'!$4:$4,U$270)*100+SUMIFS('CF(Y)'!20:20,'CF(Y)'!$4:$4,U$270)*100</f>
        <v>680</v>
      </c>
      <c r="V279" s="498">
        <f ca="1">SUMIFS('CF(Y)'!19:19,'CF(Y)'!$4:$4,V$270)*100+SUMIFS('CF(Y)'!20:20,'CF(Y)'!$4:$4,V$270)*100</f>
        <v>680</v>
      </c>
      <c r="W279" s="498">
        <f ca="1">SUMIFS('CF(Y)'!19:19,'CF(Y)'!$4:$4,W$270)*100+SUMIFS('CF(Y)'!20:20,'CF(Y)'!$4:$4,W$270)*100</f>
        <v>680</v>
      </c>
      <c r="X279" s="498">
        <f ca="1">SUMIFS('CF(Y)'!19:19,'CF(Y)'!$4:$4,X$270)*100+SUMIFS('CF(Y)'!20:20,'CF(Y)'!$4:$4,X$270)*100</f>
        <v>509.99999999999994</v>
      </c>
      <c r="Y279" s="498">
        <f ca="1">SUMIFS('CF(Y)'!19:19,'CF(Y)'!$4:$4,Y$270)*100+SUMIFS('CF(Y)'!20:20,'CF(Y)'!$4:$4,Y$270)*100</f>
        <v>0</v>
      </c>
      <c r="Z279" s="498">
        <f ca="1">SUMIFS('CF(Y)'!19:19,'CF(Y)'!$4:$4,Z$270)*100+SUMIFS('CF(Y)'!20:20,'CF(Y)'!$4:$4,Z$270)*100</f>
        <v>0</v>
      </c>
      <c r="AA279" s="498">
        <f ca="1">SUMIFS('CF(Y)'!19:19,'CF(Y)'!$4:$4,AA$270)*100+SUMIFS('CF(Y)'!20:20,'CF(Y)'!$4:$4,AA$270)*100</f>
        <v>0</v>
      </c>
      <c r="AB279" s="498">
        <f ca="1">SUMIFS('CF(Y)'!19:19,'CF(Y)'!$4:$4,AB$270)*100+SUMIFS('CF(Y)'!20:20,'CF(Y)'!$4:$4,AB$270)*100</f>
        <v>0</v>
      </c>
      <c r="AC279" s="498">
        <f ca="1">SUMIFS('CF(Y)'!19:19,'CF(Y)'!$4:$4,AC$270)*100+SUMIFS('CF(Y)'!20:20,'CF(Y)'!$4:$4,AC$270)*100</f>
        <v>0</v>
      </c>
      <c r="AD279" s="498">
        <f ca="1">SUMIFS('CF(Y)'!19:19,'CF(Y)'!$4:$4,AD$270)*100+SUMIFS('CF(Y)'!20:20,'CF(Y)'!$4:$4,AD$270)*100</f>
        <v>0</v>
      </c>
      <c r="AE279" s="498">
        <f ca="1">SUMIFS('CF(Y)'!19:19,'CF(Y)'!$4:$4,AE$270)*100+SUMIFS('CF(Y)'!20:20,'CF(Y)'!$4:$4,AE$270)*100</f>
        <v>0</v>
      </c>
      <c r="AF279" s="498">
        <f ca="1">SUMIFS('CF(Y)'!19:19,'CF(Y)'!$4:$4,AF$270)*100+SUMIFS('CF(Y)'!20:20,'CF(Y)'!$4:$4,AF$270)*100</f>
        <v>0</v>
      </c>
      <c r="AG279" s="498">
        <f ca="1">SUMIFS('CF(Y)'!19:19,'CF(Y)'!$4:$4,AG$270)*100+SUMIFS('CF(Y)'!20:20,'CF(Y)'!$4:$4,AG$270)*100</f>
        <v>0</v>
      </c>
      <c r="AH279" s="498">
        <f ca="1">SUMIFS('CF(Y)'!19:19,'CF(Y)'!$4:$4,AH$270)*100+SUMIFS('CF(Y)'!20:20,'CF(Y)'!$4:$4,AH$270)*100</f>
        <v>0</v>
      </c>
      <c r="AI279" s="498">
        <f ca="1">SUMIFS('CF(Y)'!19:19,'CF(Y)'!$4:$4,AI$270)*100+SUMIFS('CF(Y)'!20:20,'CF(Y)'!$4:$4,AI$270)*100</f>
        <v>0</v>
      </c>
      <c r="AJ279" s="498">
        <f ca="1">SUMIFS('CF(Y)'!19:19,'CF(Y)'!$4:$4,AJ$270)*100+SUMIFS('CF(Y)'!20:20,'CF(Y)'!$4:$4,AJ$270)*100</f>
        <v>0</v>
      </c>
      <c r="AK279" s="498">
        <f ca="1">SUMIFS('CF(Y)'!19:19,'CF(Y)'!$4:$4,AK$270)*100+SUMIFS('CF(Y)'!20:20,'CF(Y)'!$4:$4,AK$270)*100</f>
        <v>0</v>
      </c>
      <c r="AL279" s="498">
        <f ca="1">SUMIFS('CF(Y)'!19:19,'CF(Y)'!$4:$4,AL$270)*100+SUMIFS('CF(Y)'!20:20,'CF(Y)'!$4:$4,AL$270)*100</f>
        <v>0</v>
      </c>
      <c r="AM279" s="498">
        <f ca="1">SUMIFS('CF(Y)'!19:19,'CF(Y)'!$4:$4,AM$270)*100+SUMIFS('CF(Y)'!20:20,'CF(Y)'!$4:$4,AM$270)*100</f>
        <v>0</v>
      </c>
      <c r="AN279" s="498">
        <f ca="1">SUMIFS('CF(Y)'!19:19,'CF(Y)'!$4:$4,AN$270)*100+SUMIFS('CF(Y)'!20:20,'CF(Y)'!$4:$4,AN$270)*100</f>
        <v>0</v>
      </c>
      <c r="AO279" s="498">
        <f ca="1">SUMIFS('CF(Y)'!19:19,'CF(Y)'!$4:$4,AO$270)*100+SUMIFS('CF(Y)'!20:20,'CF(Y)'!$4:$4,AO$270)*100</f>
        <v>0</v>
      </c>
      <c r="AP279" s="498">
        <f ca="1">SUMIFS('CF(Y)'!19:19,'CF(Y)'!$4:$4,AP$270)*100+SUMIFS('CF(Y)'!20:20,'CF(Y)'!$4:$4,AP$270)*100</f>
        <v>0</v>
      </c>
      <c r="AQ279" s="498">
        <f>SUMIFS('CF(Y)'!19:19,'CF(Y)'!$4:$4,AQ$270)*100+SUMIFS('CF(Y)'!20:20,'CF(Y)'!$4:$4,AQ$270)*100</f>
        <v>0</v>
      </c>
    </row>
    <row r="280" spans="2:43" ht="13.15" customHeight="1" thickBot="1">
      <c r="B280" s="1844">
        <f t="shared" ca="1" si="109"/>
        <v>13143.478793499997</v>
      </c>
      <c r="C280" s="1847" t="s">
        <v>3664</v>
      </c>
      <c r="D280" s="1863">
        <f t="shared" ca="1" si="110"/>
        <v>13143.478793499997</v>
      </c>
      <c r="E280" s="1863">
        <f ca="1">SUMIFS('CF(Y)'!21:21,'CF(Y)'!$4:$4,E$270)*100</f>
        <v>3988.2194384999993</v>
      </c>
      <c r="F280" s="1863">
        <f ca="1">SUMIFS('CF(Y)'!21:21,'CF(Y)'!$4:$4,F$270)*100</f>
        <v>3271.3192104999998</v>
      </c>
      <c r="G280" s="1863">
        <f ca="1">SUMIFS('CF(Y)'!21:21,'CF(Y)'!$4:$4,G$270)*100</f>
        <v>2545.1805774999993</v>
      </c>
      <c r="H280" s="1863">
        <f ca="1">SUMIFS('CF(Y)'!21:21,'CF(Y)'!$4:$4,H$270)*100</f>
        <v>1719.2671704999996</v>
      </c>
      <c r="I280" s="1863">
        <f ca="1">SUMIFS('CF(Y)'!21:21,'CF(Y)'!$4:$4,I$270)*100</f>
        <v>887.81072049999977</v>
      </c>
      <c r="J280" s="1863">
        <f ca="1">SUMIFS('CF(Y)'!21:21,'CF(Y)'!$4:$4,J$270)*100</f>
        <v>421.27126799999957</v>
      </c>
      <c r="K280" s="1863">
        <f ca="1">SUMIFS('CF(Y)'!21:21,'CF(Y)'!$4:$4,K$270)*100</f>
        <v>243.89389199999957</v>
      </c>
      <c r="L280" s="1863">
        <f ca="1">SUMIFS('CF(Y)'!21:21,'CF(Y)'!$4:$4,L$270)*100</f>
        <v>66.516515999999655</v>
      </c>
      <c r="M280" s="1863">
        <f ca="1">SUMIFS('CF(Y)'!21:21,'CF(Y)'!$4:$4,M$270)*100</f>
        <v>0</v>
      </c>
      <c r="N280" s="1863">
        <f ca="1">SUMIFS('CF(Y)'!21:21,'CF(Y)'!$4:$4,N$270)*100</f>
        <v>0</v>
      </c>
      <c r="O280" s="1863">
        <f ca="1">SUMIFS('CF(Y)'!21:21,'CF(Y)'!$4:$4,O$270)*100</f>
        <v>0</v>
      </c>
      <c r="P280" s="1863">
        <f ca="1">SUMIFS('CF(Y)'!21:21,'CF(Y)'!$4:$4,P$270)*100</f>
        <v>0</v>
      </c>
      <c r="Q280" s="498">
        <f ca="1">SUMIFS('CF(Y)'!21:21,'CF(Y)'!$4:$4,Q$270)*100</f>
        <v>0</v>
      </c>
      <c r="R280" s="498">
        <f ca="1">SUMIFS('CF(Y)'!21:21,'CF(Y)'!$4:$4,R$270)*100</f>
        <v>0</v>
      </c>
      <c r="S280" s="498">
        <f ca="1">SUMIFS('CF(Y)'!21:21,'CF(Y)'!$4:$4,S$270)*100</f>
        <v>0</v>
      </c>
      <c r="T280" s="498">
        <f ca="1">SUMIFS('CF(Y)'!21:21,'CF(Y)'!$4:$4,T$270)*100</f>
        <v>0</v>
      </c>
      <c r="U280" s="498">
        <f ca="1">SUMIFS('CF(Y)'!21:21,'CF(Y)'!$4:$4,U$270)*100</f>
        <v>0</v>
      </c>
      <c r="V280" s="498">
        <f ca="1">SUMIFS('CF(Y)'!21:21,'CF(Y)'!$4:$4,V$270)*100</f>
        <v>0</v>
      </c>
      <c r="W280" s="498">
        <f ca="1">SUMIFS('CF(Y)'!21:21,'CF(Y)'!$4:$4,W$270)*100</f>
        <v>0</v>
      </c>
      <c r="X280" s="498">
        <f ca="1">SUMIFS('CF(Y)'!21:21,'CF(Y)'!$4:$4,X$270)*100</f>
        <v>0</v>
      </c>
      <c r="Y280" s="498">
        <f ca="1">SUMIFS('CF(Y)'!21:21,'CF(Y)'!$4:$4,Y$270)*100</f>
        <v>0</v>
      </c>
      <c r="Z280" s="498">
        <f ca="1">SUMIFS('CF(Y)'!21:21,'CF(Y)'!$4:$4,Z$270)*100</f>
        <v>0</v>
      </c>
      <c r="AA280" s="498">
        <f ca="1">SUMIFS('CF(Y)'!21:21,'CF(Y)'!$4:$4,AA$270)*100</f>
        <v>0</v>
      </c>
      <c r="AB280" s="498">
        <f ca="1">SUMIFS('CF(Y)'!21:21,'CF(Y)'!$4:$4,AB$270)*100</f>
        <v>0</v>
      </c>
      <c r="AC280" s="498">
        <f ca="1">SUMIFS('CF(Y)'!21:21,'CF(Y)'!$4:$4,AC$270)*100</f>
        <v>0</v>
      </c>
      <c r="AD280" s="498">
        <f ca="1">SUMIFS('CF(Y)'!21:21,'CF(Y)'!$4:$4,AD$270)*100</f>
        <v>0</v>
      </c>
      <c r="AE280" s="498">
        <f ca="1">SUMIFS('CF(Y)'!21:21,'CF(Y)'!$4:$4,AE$270)*100</f>
        <v>0</v>
      </c>
      <c r="AF280" s="498">
        <f ca="1">SUMIFS('CF(Y)'!21:21,'CF(Y)'!$4:$4,AF$270)*100</f>
        <v>0</v>
      </c>
      <c r="AG280" s="498">
        <f ca="1">SUMIFS('CF(Y)'!21:21,'CF(Y)'!$4:$4,AG$270)*100</f>
        <v>0</v>
      </c>
      <c r="AH280" s="498">
        <f ca="1">SUMIFS('CF(Y)'!21:21,'CF(Y)'!$4:$4,AH$270)*100</f>
        <v>0</v>
      </c>
      <c r="AI280" s="498">
        <f ca="1">SUMIFS('CF(Y)'!21:21,'CF(Y)'!$4:$4,AI$270)*100</f>
        <v>0</v>
      </c>
      <c r="AJ280" s="498">
        <f ca="1">SUMIFS('CF(Y)'!21:21,'CF(Y)'!$4:$4,AJ$270)*100</f>
        <v>0</v>
      </c>
      <c r="AK280" s="498">
        <f ca="1">SUMIFS('CF(Y)'!21:21,'CF(Y)'!$4:$4,AK$270)*100</f>
        <v>0</v>
      </c>
      <c r="AL280" s="498">
        <f ca="1">SUMIFS('CF(Y)'!21:21,'CF(Y)'!$4:$4,AL$270)*100</f>
        <v>0</v>
      </c>
      <c r="AM280" s="498">
        <f ca="1">SUMIFS('CF(Y)'!21:21,'CF(Y)'!$4:$4,AM$270)*100</f>
        <v>0</v>
      </c>
      <c r="AN280" s="498">
        <f ca="1">SUMIFS('CF(Y)'!21:21,'CF(Y)'!$4:$4,AN$270)*100</f>
        <v>0</v>
      </c>
      <c r="AO280" s="498">
        <f ca="1">SUMIFS('CF(Y)'!21:21,'CF(Y)'!$4:$4,AO$270)*100</f>
        <v>0</v>
      </c>
      <c r="AP280" s="498">
        <f ca="1">SUMIFS('CF(Y)'!21:21,'CF(Y)'!$4:$4,AP$270)*100</f>
        <v>0</v>
      </c>
      <c r="AQ280" s="498">
        <f>SUMIFS('CF(Y)'!21:21,'CF(Y)'!$4:$4,AQ$270)*100</f>
        <v>0</v>
      </c>
    </row>
    <row r="281" spans="2:43" ht="13.15" customHeight="1" thickBot="1">
      <c r="B281" s="1844">
        <f t="shared" ca="1" si="109"/>
        <v>0</v>
      </c>
      <c r="C281" s="1847" t="s">
        <v>3665</v>
      </c>
      <c r="D281" s="1863">
        <f t="shared" ca="1" si="110"/>
        <v>0</v>
      </c>
      <c r="E281" s="1863">
        <f ca="1">SUMIFS('CF(Y)'!24:24,'CF(Y)'!$4:$4,E$270)*100</f>
        <v>0</v>
      </c>
      <c r="F281" s="1863">
        <f ca="1">SUMIFS('CF(Y)'!24:24,'CF(Y)'!$4:$4,F$270)*100</f>
        <v>0</v>
      </c>
      <c r="G281" s="1863">
        <f ca="1">SUMIFS('CF(Y)'!24:24,'CF(Y)'!$4:$4,G$270)*100</f>
        <v>0</v>
      </c>
      <c r="H281" s="1863">
        <f ca="1">SUMIFS('CF(Y)'!24:24,'CF(Y)'!$4:$4,H$270)*100</f>
        <v>0</v>
      </c>
      <c r="I281" s="1863">
        <f ca="1">SUMIFS('CF(Y)'!24:24,'CF(Y)'!$4:$4,I$270)*100</f>
        <v>0</v>
      </c>
      <c r="J281" s="1863">
        <f ca="1">SUMIFS('CF(Y)'!24:24,'CF(Y)'!$4:$4,J$270)*100</f>
        <v>0</v>
      </c>
      <c r="K281" s="1863">
        <f ca="1">SUMIFS('CF(Y)'!24:24,'CF(Y)'!$4:$4,K$270)*100</f>
        <v>0</v>
      </c>
      <c r="L281" s="1863">
        <f ca="1">SUMIFS('CF(Y)'!24:24,'CF(Y)'!$4:$4,L$270)*100</f>
        <v>0</v>
      </c>
      <c r="M281" s="1863">
        <f ca="1">SUMIFS('CF(Y)'!24:24,'CF(Y)'!$4:$4,M$270)*100</f>
        <v>0</v>
      </c>
      <c r="N281" s="1863">
        <f ca="1">SUMIFS('CF(Y)'!24:24,'CF(Y)'!$4:$4,N$270)*100</f>
        <v>0</v>
      </c>
      <c r="O281" s="1863">
        <f ca="1">SUMIFS('CF(Y)'!24:24,'CF(Y)'!$4:$4,O$270)*100</f>
        <v>0</v>
      </c>
      <c r="P281" s="1863">
        <f ca="1">SUMIFS('CF(Y)'!24:24,'CF(Y)'!$4:$4,P$270)*100</f>
        <v>0</v>
      </c>
      <c r="Q281" s="498">
        <f ca="1">SUMIFS('CF(Y)'!24:24,'CF(Y)'!$4:$4,Q$270)*100</f>
        <v>0</v>
      </c>
      <c r="R281" s="498">
        <f ca="1">SUMIFS('CF(Y)'!24:24,'CF(Y)'!$4:$4,R$270)*100</f>
        <v>0</v>
      </c>
      <c r="S281" s="498">
        <f ca="1">SUMIFS('CF(Y)'!24:24,'CF(Y)'!$4:$4,S$270)*100</f>
        <v>0</v>
      </c>
      <c r="T281" s="498">
        <f ca="1">SUMIFS('CF(Y)'!24:24,'CF(Y)'!$4:$4,T$270)*100</f>
        <v>0</v>
      </c>
      <c r="U281" s="498">
        <f ca="1">SUMIFS('CF(Y)'!24:24,'CF(Y)'!$4:$4,U$270)*100</f>
        <v>0</v>
      </c>
      <c r="V281" s="498">
        <f ca="1">SUMIFS('CF(Y)'!24:24,'CF(Y)'!$4:$4,V$270)*100</f>
        <v>0</v>
      </c>
      <c r="W281" s="498">
        <f ca="1">SUMIFS('CF(Y)'!24:24,'CF(Y)'!$4:$4,W$270)*100</f>
        <v>0</v>
      </c>
      <c r="X281" s="498">
        <f ca="1">SUMIFS('CF(Y)'!24:24,'CF(Y)'!$4:$4,X$270)*100</f>
        <v>0</v>
      </c>
      <c r="Y281" s="498">
        <f ca="1">SUMIFS('CF(Y)'!24:24,'CF(Y)'!$4:$4,Y$270)*100</f>
        <v>0</v>
      </c>
      <c r="Z281" s="498">
        <f ca="1">SUMIFS('CF(Y)'!24:24,'CF(Y)'!$4:$4,Z$270)*100</f>
        <v>0</v>
      </c>
      <c r="AA281" s="498">
        <f ca="1">SUMIFS('CF(Y)'!24:24,'CF(Y)'!$4:$4,AA$270)*100</f>
        <v>0</v>
      </c>
      <c r="AB281" s="498">
        <f ca="1">SUMIFS('CF(Y)'!24:24,'CF(Y)'!$4:$4,AB$270)*100</f>
        <v>0</v>
      </c>
      <c r="AC281" s="498">
        <f ca="1">SUMIFS('CF(Y)'!24:24,'CF(Y)'!$4:$4,AC$270)*100</f>
        <v>0</v>
      </c>
      <c r="AD281" s="498">
        <f ca="1">SUMIFS('CF(Y)'!24:24,'CF(Y)'!$4:$4,AD$270)*100</f>
        <v>0</v>
      </c>
      <c r="AE281" s="498">
        <f ca="1">SUMIFS('CF(Y)'!24:24,'CF(Y)'!$4:$4,AE$270)*100</f>
        <v>0</v>
      </c>
      <c r="AF281" s="498">
        <f ca="1">SUMIFS('CF(Y)'!24:24,'CF(Y)'!$4:$4,AF$270)*100</f>
        <v>0</v>
      </c>
      <c r="AG281" s="498">
        <f ca="1">SUMIFS('CF(Y)'!24:24,'CF(Y)'!$4:$4,AG$270)*100</f>
        <v>0</v>
      </c>
      <c r="AH281" s="498">
        <f ca="1">SUMIFS('CF(Y)'!24:24,'CF(Y)'!$4:$4,AH$270)*100</f>
        <v>0</v>
      </c>
      <c r="AI281" s="498">
        <f ca="1">SUMIFS('CF(Y)'!24:24,'CF(Y)'!$4:$4,AI$270)*100</f>
        <v>0</v>
      </c>
      <c r="AJ281" s="498">
        <f ca="1">SUMIFS('CF(Y)'!24:24,'CF(Y)'!$4:$4,AJ$270)*100</f>
        <v>0</v>
      </c>
      <c r="AK281" s="498">
        <f ca="1">SUMIFS('CF(Y)'!24:24,'CF(Y)'!$4:$4,AK$270)*100</f>
        <v>0</v>
      </c>
      <c r="AL281" s="498">
        <f ca="1">SUMIFS('CF(Y)'!24:24,'CF(Y)'!$4:$4,AL$270)*100</f>
        <v>0</v>
      </c>
      <c r="AM281" s="498">
        <f ca="1">SUMIFS('CF(Y)'!24:24,'CF(Y)'!$4:$4,AM$270)*100</f>
        <v>0</v>
      </c>
      <c r="AN281" s="498">
        <f ca="1">SUMIFS('CF(Y)'!24:24,'CF(Y)'!$4:$4,AN$270)*100</f>
        <v>0</v>
      </c>
      <c r="AO281" s="498">
        <f ca="1">SUMIFS('CF(Y)'!24:24,'CF(Y)'!$4:$4,AO$270)*100</f>
        <v>0</v>
      </c>
      <c r="AP281" s="498">
        <f ca="1">SUMIFS('CF(Y)'!24:24,'CF(Y)'!$4:$4,AP$270)*100</f>
        <v>0</v>
      </c>
      <c r="AQ281" s="498">
        <f>SUMIFS('CF(Y)'!24:24,'CF(Y)'!$4:$4,AQ$270)*100</f>
        <v>0</v>
      </c>
    </row>
    <row r="282" spans="2:43" ht="13.15" customHeight="1" thickBot="1">
      <c r="B282" s="1844">
        <f t="shared" ca="1" si="109"/>
        <v>4823.1740311788253</v>
      </c>
      <c r="C282" s="1847" t="s">
        <v>3666</v>
      </c>
      <c r="D282" s="1863">
        <f t="shared" ca="1" si="110"/>
        <v>55237.788217253299</v>
      </c>
      <c r="E282" s="1863">
        <f ca="1">SUMIFS('CF(Y)'!25:25,'CF(Y)'!$4:$4,E$270)*100</f>
        <v>379.94805139739333</v>
      </c>
      <c r="F282" s="1863">
        <f ca="1">SUMIFS('CF(Y)'!25:25,'CF(Y)'!$4:$4,F$270)*100</f>
        <v>744.49859623776115</v>
      </c>
      <c r="G282" s="1863">
        <f ca="1">SUMIFS('CF(Y)'!25:25,'CF(Y)'!$4:$4,G$270)*100</f>
        <v>965.86247388948868</v>
      </c>
      <c r="H282" s="1863">
        <f ca="1">SUMIFS('CF(Y)'!25:25,'CF(Y)'!$4:$4,H$270)*100</f>
        <v>1035.7257969656832</v>
      </c>
      <c r="I282" s="1863">
        <f ca="1">SUMIFS('CF(Y)'!25:25,'CF(Y)'!$4:$4,I$270)*100</f>
        <v>1092.788781534296</v>
      </c>
      <c r="J282" s="1863">
        <f ca="1">SUMIFS('CF(Y)'!25:25,'CF(Y)'!$4:$4,J$270)*100</f>
        <v>-463.69890540606258</v>
      </c>
      <c r="K282" s="1863">
        <f ca="1">SUMIFS('CF(Y)'!25:25,'CF(Y)'!$4:$4,K$270)*100</f>
        <v>529.85734110102362</v>
      </c>
      <c r="L282" s="1863">
        <f ca="1">SUMIFS('CF(Y)'!25:25,'CF(Y)'!$4:$4,L$270)*100</f>
        <v>538.19189545924178</v>
      </c>
      <c r="M282" s="1863">
        <f ca="1">SUMIFS('CF(Y)'!25:25,'CF(Y)'!$4:$4,M$270)*100</f>
        <v>420.29865610472081</v>
      </c>
      <c r="N282" s="1863">
        <f ca="1">SUMIFS('CF(Y)'!25:25,'CF(Y)'!$4:$4,N$270)*100</f>
        <v>1070.3569380719834</v>
      </c>
      <c r="O282" s="1863">
        <f ca="1">SUMIFS('CF(Y)'!25:25,'CF(Y)'!$4:$4,O$270)*100</f>
        <v>692.82921591852926</v>
      </c>
      <c r="P282" s="1863">
        <f ca="1">SUMIFS('CF(Y)'!25:25,'CF(Y)'!$4:$4,P$270)*100</f>
        <v>821.65290864819326</v>
      </c>
      <c r="Q282" s="498">
        <f ca="1">SUMIFS('CF(Y)'!25:25,'CF(Y)'!$4:$4,Q$270)*100</f>
        <v>1090.265253702021</v>
      </c>
      <c r="R282" s="498">
        <f ca="1">SUMIFS('CF(Y)'!25:25,'CF(Y)'!$4:$4,R$270)*100</f>
        <v>972.90857707821021</v>
      </c>
      <c r="S282" s="498">
        <f ca="1">SUMIFS('CF(Y)'!25:25,'CF(Y)'!$4:$4,S$270)*100</f>
        <v>758.12295894360602</v>
      </c>
      <c r="T282" s="498">
        <f ca="1">SUMIFS('CF(Y)'!25:25,'CF(Y)'!$4:$4,T$270)*100</f>
        <v>1236.3516142203973</v>
      </c>
      <c r="U282" s="498">
        <f ca="1">SUMIFS('CF(Y)'!25:25,'CF(Y)'!$4:$4,U$270)*100</f>
        <v>1024.1302554847191</v>
      </c>
      <c r="V282" s="498">
        <f ca="1">SUMIFS('CF(Y)'!25:25,'CF(Y)'!$4:$4,V$270)*100</f>
        <v>878.97852513169573</v>
      </c>
      <c r="W282" s="498">
        <f ca="1">SUMIFS('CF(Y)'!25:25,'CF(Y)'!$4:$4,W$270)*100</f>
        <v>962.18078774432388</v>
      </c>
      <c r="X282" s="498">
        <f ca="1">SUMIFS('CF(Y)'!25:25,'CF(Y)'!$4:$4,X$270)*100</f>
        <v>1503.5170616983062</v>
      </c>
      <c r="Y282" s="498">
        <f ca="1">SUMIFS('CF(Y)'!25:25,'CF(Y)'!$4:$4,Y$270)*100</f>
        <v>1453.6111493753485</v>
      </c>
      <c r="Z282" s="498">
        <f ca="1">SUMIFS('CF(Y)'!25:25,'CF(Y)'!$4:$4,Z$270)*100</f>
        <v>1970.6789903895269</v>
      </c>
      <c r="AA282" s="498">
        <f ca="1">SUMIFS('CF(Y)'!25:25,'CF(Y)'!$4:$4,AA$270)*100</f>
        <v>1710.7515030105915</v>
      </c>
      <c r="AB282" s="498">
        <f ca="1">SUMIFS('CF(Y)'!25:25,'CF(Y)'!$4:$4,AB$270)*100</f>
        <v>1757.4759802886226</v>
      </c>
      <c r="AC282" s="498">
        <f ca="1">SUMIFS('CF(Y)'!25:25,'CF(Y)'!$4:$4,AC$270)*100</f>
        <v>2024.1738370209468</v>
      </c>
      <c r="AD282" s="498">
        <f ca="1">SUMIFS('CF(Y)'!25:25,'CF(Y)'!$4:$4,AD$270)*100</f>
        <v>2050.1731908957067</v>
      </c>
      <c r="AE282" s="498">
        <f ca="1">SUMIFS('CF(Y)'!25:25,'CF(Y)'!$4:$4,AE$270)*100</f>
        <v>1823.675745280616</v>
      </c>
      <c r="AF282" s="498">
        <f ca="1">SUMIFS('CF(Y)'!25:25,'CF(Y)'!$4:$4,AF$270)*100</f>
        <v>2269.2578299110592</v>
      </c>
      <c r="AG282" s="498">
        <f ca="1">SUMIFS('CF(Y)'!25:25,'CF(Y)'!$4:$4,AG$270)*100</f>
        <v>1814.8132287082185</v>
      </c>
      <c r="AH282" s="498">
        <f ca="1">SUMIFS('CF(Y)'!25:25,'CF(Y)'!$4:$4,AH$270)*100</f>
        <v>2159.0937688441818</v>
      </c>
      <c r="AI282" s="498">
        <f ca="1">SUMIFS('CF(Y)'!25:25,'CF(Y)'!$4:$4,AI$270)*100</f>
        <v>2479.5612625993308</v>
      </c>
      <c r="AJ282" s="498">
        <f ca="1">SUMIFS('CF(Y)'!25:25,'CF(Y)'!$4:$4,AJ$270)*100</f>
        <v>2234.033985520538</v>
      </c>
      <c r="AK282" s="498">
        <f ca="1">SUMIFS('CF(Y)'!25:25,'CF(Y)'!$4:$4,AK$270)*100</f>
        <v>2298.6359770375016</v>
      </c>
      <c r="AL282" s="498">
        <f ca="1">SUMIFS('CF(Y)'!25:25,'CF(Y)'!$4:$4,AL$270)*100</f>
        <v>2846.50764377819</v>
      </c>
      <c r="AM282" s="498">
        <f ca="1">SUMIFS('CF(Y)'!25:25,'CF(Y)'!$4:$4,AM$270)*100</f>
        <v>2673.9581157325511</v>
      </c>
      <c r="AN282" s="498">
        <f ca="1">SUMIFS('CF(Y)'!25:25,'CF(Y)'!$4:$4,AN$270)*100</f>
        <v>2758.4443102948944</v>
      </c>
      <c r="AO282" s="498">
        <f ca="1">SUMIFS('CF(Y)'!25:25,'CF(Y)'!$4:$4,AO$270)*100</f>
        <v>3078.3840551681706</v>
      </c>
      <c r="AP282" s="498">
        <f ca="1">SUMIFS('CF(Y)'!25:25,'CF(Y)'!$4:$4,AP$270)*100</f>
        <v>1579.790859471776</v>
      </c>
      <c r="AQ282" s="498">
        <f>SUMIFS('CF(Y)'!25:25,'CF(Y)'!$4:$4,AQ$270)*100</f>
        <v>0</v>
      </c>
    </row>
    <row r="283" spans="2:43" ht="13.15" customHeight="1" thickBot="1">
      <c r="B283" s="1844">
        <f t="shared" ca="1" si="109"/>
        <v>-5479.2132444845729</v>
      </c>
      <c r="C283" s="1862" t="s">
        <v>3667</v>
      </c>
      <c r="D283" s="1863">
        <f t="shared" ca="1" si="110"/>
        <v>-90602.204092390748</v>
      </c>
      <c r="E283" s="1863">
        <f>SUMIFS('CF(Y)'!26:26,'CF(Y)'!$4:$4,E$270)*100</f>
        <v>-1929.5000000000002</v>
      </c>
      <c r="F283" s="1863">
        <f ca="1">SUMIFS('CF(Y)'!26:26,'CF(Y)'!$4:$4,F$270)*100</f>
        <v>0</v>
      </c>
      <c r="G283" s="1863">
        <f ca="1">SUMIFS('CF(Y)'!26:26,'CF(Y)'!$4:$4,G$270)*100</f>
        <v>0</v>
      </c>
      <c r="H283" s="1863">
        <f ca="1">SUMIFS('CF(Y)'!26:26,'CF(Y)'!$4:$4,H$270)*100</f>
        <v>-312.18120299999998</v>
      </c>
      <c r="I283" s="1863">
        <f ca="1">SUMIFS('CF(Y)'!26:26,'CF(Y)'!$4:$4,I$270)*100</f>
        <v>-495.02573359709999</v>
      </c>
      <c r="J283" s="1863">
        <f ca="1">SUMIFS('CF(Y)'!26:26,'CF(Y)'!$4:$4,J$270)*100</f>
        <v>-912.90732951685993</v>
      </c>
      <c r="K283" s="1863">
        <f ca="1">SUMIFS('CF(Y)'!26:26,'CF(Y)'!$4:$4,K$270)*100</f>
        <v>-42.885414084280391</v>
      </c>
      <c r="L283" s="1863">
        <f ca="1">SUMIFS('CF(Y)'!26:26,'CF(Y)'!$4:$4,L$270)*100</f>
        <v>-1786.713564286332</v>
      </c>
      <c r="M283" s="1863">
        <f ca="1">SUMIFS('CF(Y)'!26:26,'CF(Y)'!$4:$4,M$270)*100</f>
        <v>-2624.8446544424655</v>
      </c>
      <c r="N283" s="1863">
        <f ca="1">SUMIFS('CF(Y)'!26:26,'CF(Y)'!$4:$4,N$270)*100</f>
        <v>-4231.5422531402264</v>
      </c>
      <c r="O283" s="1863">
        <f ca="1">SUMIFS('CF(Y)'!26:26,'CF(Y)'!$4:$4,O$270)*100</f>
        <v>-3117.1773605828948</v>
      </c>
      <c r="P283" s="1863">
        <f ca="1">SUMIFS('CF(Y)'!26:26,'CF(Y)'!$4:$4,P$270)*100</f>
        <v>-90.146002410557585</v>
      </c>
      <c r="Q283" s="498">
        <f ca="1">SUMIFS('CF(Y)'!26:26,'CF(Y)'!$4:$4,Q$270)*100</f>
        <v>-3414.2798412998686</v>
      </c>
      <c r="R283" s="498">
        <f ca="1">SUMIFS('CF(Y)'!26:26,'CF(Y)'!$4:$4,R$270)*100</f>
        <v>-4368.0020103029647</v>
      </c>
      <c r="S283" s="498">
        <f ca="1">SUMIFS('CF(Y)'!26:26,'CF(Y)'!$4:$4,S$270)*100</f>
        <v>-6023.9892768656337</v>
      </c>
      <c r="T283" s="498">
        <f ca="1">SUMIFS('CF(Y)'!26:26,'CF(Y)'!$4:$4,T$270)*100</f>
        <v>-2389.715278354498</v>
      </c>
      <c r="U283" s="498">
        <f ca="1">SUMIFS('CF(Y)'!26:26,'CF(Y)'!$4:$4,U$270)*100</f>
        <v>-5968.8943341195945</v>
      </c>
      <c r="V283" s="498">
        <f ca="1">SUMIFS('CF(Y)'!26:26,'CF(Y)'!$4:$4,V$270)*100</f>
        <v>-13941.696902865926</v>
      </c>
      <c r="W283" s="498">
        <f ca="1">SUMIFS('CF(Y)'!26:26,'CF(Y)'!$4:$4,W$270)*100</f>
        <v>-5491.4592342410724</v>
      </c>
      <c r="X283" s="498">
        <f ca="1">SUMIFS('CF(Y)'!26:26,'CF(Y)'!$4:$4,X$270)*100</f>
        <v>-3014.7967431018392</v>
      </c>
      <c r="Y283" s="498">
        <f ca="1">SUMIFS('CF(Y)'!26:26,'CF(Y)'!$4:$4,Y$270)*100</f>
        <v>-4264.0761136021656</v>
      </c>
      <c r="Z283" s="498">
        <f ca="1">SUMIFS('CF(Y)'!26:26,'CF(Y)'!$4:$4,Z$270)*100</f>
        <v>-1717.7078864562716</v>
      </c>
      <c r="AA283" s="498">
        <f ca="1">SUMIFS('CF(Y)'!26:26,'CF(Y)'!$4:$4,AA$270)*100</f>
        <v>0</v>
      </c>
      <c r="AB283" s="498">
        <f ca="1">SUMIFS('CF(Y)'!26:26,'CF(Y)'!$4:$4,AB$270)*100</f>
        <v>-101.5787718825532</v>
      </c>
      <c r="AC283" s="498">
        <f ca="1">SUMIFS('CF(Y)'!26:26,'CF(Y)'!$4:$4,AC$270)*100</f>
        <v>-1655.3119218884451</v>
      </c>
      <c r="AD283" s="498">
        <f ca="1">SUMIFS('CF(Y)'!26:26,'CF(Y)'!$4:$4,AD$270)*100</f>
        <v>-1139.8255571713178</v>
      </c>
      <c r="AE283" s="498">
        <f ca="1">SUMIFS('CF(Y)'!26:26,'CF(Y)'!$4:$4,AE$270)*100</f>
        <v>-1585.5491602779014</v>
      </c>
      <c r="AF283" s="498">
        <f ca="1">SUMIFS('CF(Y)'!26:26,'CF(Y)'!$4:$4,AF$270)*100</f>
        <v>-2840.7755788312402</v>
      </c>
      <c r="AG283" s="498">
        <f ca="1">SUMIFS('CF(Y)'!26:26,'CF(Y)'!$4:$4,AG$270)*100</f>
        <v>0</v>
      </c>
      <c r="AH283" s="498">
        <f ca="1">SUMIFS('CF(Y)'!26:26,'CF(Y)'!$4:$4,AH$270)*100</f>
        <v>-4731.9740579941545</v>
      </c>
      <c r="AI283" s="498">
        <f ca="1">SUMIFS('CF(Y)'!26:26,'CF(Y)'!$4:$4,AI$270)*100</f>
        <v>-898.47608696091538</v>
      </c>
      <c r="AJ283" s="498">
        <f ca="1">SUMIFS('CF(Y)'!26:26,'CF(Y)'!$4:$4,AJ$270)*100</f>
        <v>0</v>
      </c>
      <c r="AK283" s="498">
        <f ca="1">SUMIFS('CF(Y)'!26:26,'CF(Y)'!$4:$4,AK$270)*100</f>
        <v>-2166.3565330935976</v>
      </c>
      <c r="AL283" s="498">
        <f ca="1">SUMIFS('CF(Y)'!26:26,'CF(Y)'!$4:$4,AL$270)*100</f>
        <v>0</v>
      </c>
      <c r="AM283" s="498">
        <f ca="1">SUMIFS('CF(Y)'!26:26,'CF(Y)'!$4:$4,AM$270)*100</f>
        <v>-780.54811857322898</v>
      </c>
      <c r="AN283" s="498">
        <f ca="1">SUMIFS('CF(Y)'!26:26,'CF(Y)'!$4:$4,AN$270)*100</f>
        <v>-214.61531753873717</v>
      </c>
      <c r="AO283" s="498">
        <f ca="1">SUMIFS('CF(Y)'!26:26,'CF(Y)'!$4:$4,AO$270)*100</f>
        <v>-1343.9211184275721</v>
      </c>
      <c r="AP283" s="498">
        <f ca="1">SUMIFS('CF(Y)'!26:26,'CF(Y)'!$4:$4,AP$270)*100</f>
        <v>-7005.7307334805064</v>
      </c>
      <c r="AQ283" s="498">
        <f>SUMIFS('CF(Y)'!26:26,'CF(Y)'!$4:$4,AQ$270)*100</f>
        <v>0</v>
      </c>
    </row>
    <row r="284" spans="2:43" ht="13.15" customHeight="1" thickBot="1">
      <c r="B284" s="1844">
        <f t="shared" ca="1" si="109"/>
        <v>5479.2132444845729</v>
      </c>
      <c r="C284" s="1862" t="s">
        <v>3668</v>
      </c>
      <c r="D284" s="1863">
        <f t="shared" ca="1" si="110"/>
        <v>90602.204092390748</v>
      </c>
      <c r="E284" s="1863">
        <f>SUMIFS('CF(Y)'!29:29,'CF(Y)'!$4:$4,E$270)*100</f>
        <v>1929.5000000000002</v>
      </c>
      <c r="F284" s="1863">
        <f ca="1">SUMIFS('CF(Y)'!29:29,'CF(Y)'!$4:$4,F$270)*100</f>
        <v>0</v>
      </c>
      <c r="G284" s="1863">
        <f ca="1">SUMIFS('CF(Y)'!29:29,'CF(Y)'!$4:$4,G$270)*100</f>
        <v>0</v>
      </c>
      <c r="H284" s="1863">
        <f ca="1">SUMIFS('CF(Y)'!29:29,'CF(Y)'!$4:$4,H$270)*100</f>
        <v>312.18120299999998</v>
      </c>
      <c r="I284" s="1863">
        <f ca="1">SUMIFS('CF(Y)'!29:29,'CF(Y)'!$4:$4,I$270)*100</f>
        <v>495.02573359709999</v>
      </c>
      <c r="J284" s="1863">
        <f ca="1">SUMIFS('CF(Y)'!29:29,'CF(Y)'!$4:$4,J$270)*100</f>
        <v>912.90732951685993</v>
      </c>
      <c r="K284" s="1863">
        <f ca="1">SUMIFS('CF(Y)'!29:29,'CF(Y)'!$4:$4,K$270)*100</f>
        <v>42.885414084280391</v>
      </c>
      <c r="L284" s="1863">
        <f ca="1">SUMIFS('CF(Y)'!29:29,'CF(Y)'!$4:$4,L$270)*100</f>
        <v>1786.713564286332</v>
      </c>
      <c r="M284" s="1863">
        <f ca="1">SUMIFS('CF(Y)'!29:29,'CF(Y)'!$4:$4,M$270)*100</f>
        <v>2624.8446544424655</v>
      </c>
      <c r="N284" s="1863">
        <f ca="1">SUMIFS('CF(Y)'!29:29,'CF(Y)'!$4:$4,N$270)*100</f>
        <v>4231.5422531402264</v>
      </c>
      <c r="O284" s="1863">
        <f ca="1">SUMIFS('CF(Y)'!29:29,'CF(Y)'!$4:$4,O$270)*100</f>
        <v>3117.1773605828948</v>
      </c>
      <c r="P284" s="1863">
        <f ca="1">SUMIFS('CF(Y)'!29:29,'CF(Y)'!$4:$4,P$270)*100</f>
        <v>90.146002410557585</v>
      </c>
      <c r="Q284" s="498">
        <f ca="1">SUMIFS('CF(Y)'!29:29,'CF(Y)'!$4:$4,Q$270)*100</f>
        <v>3414.2798412998686</v>
      </c>
      <c r="R284" s="498">
        <f ca="1">SUMIFS('CF(Y)'!29:29,'CF(Y)'!$4:$4,R$270)*100</f>
        <v>4368.0020103029647</v>
      </c>
      <c r="S284" s="498">
        <f ca="1">SUMIFS('CF(Y)'!29:29,'CF(Y)'!$4:$4,S$270)*100</f>
        <v>6023.9892768656337</v>
      </c>
      <c r="T284" s="498">
        <f ca="1">SUMIFS('CF(Y)'!29:29,'CF(Y)'!$4:$4,T$270)*100</f>
        <v>2389.715278354498</v>
      </c>
      <c r="U284" s="498">
        <f ca="1">SUMIFS('CF(Y)'!29:29,'CF(Y)'!$4:$4,U$270)*100</f>
        <v>5968.8943341195945</v>
      </c>
      <c r="V284" s="498">
        <f ca="1">SUMIFS('CF(Y)'!29:29,'CF(Y)'!$4:$4,V$270)*100</f>
        <v>13941.696902865926</v>
      </c>
      <c r="W284" s="498">
        <f ca="1">SUMIFS('CF(Y)'!29:29,'CF(Y)'!$4:$4,W$270)*100</f>
        <v>5491.4592342410724</v>
      </c>
      <c r="X284" s="498">
        <f ca="1">SUMIFS('CF(Y)'!29:29,'CF(Y)'!$4:$4,X$270)*100</f>
        <v>3014.7967431018392</v>
      </c>
      <c r="Y284" s="498">
        <f ca="1">SUMIFS('CF(Y)'!29:29,'CF(Y)'!$4:$4,Y$270)*100</f>
        <v>4264.0761136021656</v>
      </c>
      <c r="Z284" s="498">
        <f ca="1">SUMIFS('CF(Y)'!29:29,'CF(Y)'!$4:$4,Z$270)*100</f>
        <v>1717.7078864562716</v>
      </c>
      <c r="AA284" s="498">
        <f ca="1">SUMIFS('CF(Y)'!29:29,'CF(Y)'!$4:$4,AA$270)*100</f>
        <v>0</v>
      </c>
      <c r="AB284" s="498">
        <f ca="1">SUMIFS('CF(Y)'!29:29,'CF(Y)'!$4:$4,AB$270)*100</f>
        <v>101.5787718825532</v>
      </c>
      <c r="AC284" s="498">
        <f ca="1">SUMIFS('CF(Y)'!29:29,'CF(Y)'!$4:$4,AC$270)*100</f>
        <v>1655.3119218884451</v>
      </c>
      <c r="AD284" s="498">
        <f ca="1">SUMIFS('CF(Y)'!29:29,'CF(Y)'!$4:$4,AD$270)*100</f>
        <v>1139.8255571713178</v>
      </c>
      <c r="AE284" s="498">
        <f ca="1">SUMIFS('CF(Y)'!29:29,'CF(Y)'!$4:$4,AE$270)*100</f>
        <v>1585.5491602779014</v>
      </c>
      <c r="AF284" s="498">
        <f ca="1">SUMIFS('CF(Y)'!29:29,'CF(Y)'!$4:$4,AF$270)*100</f>
        <v>2840.7755788312402</v>
      </c>
      <c r="AG284" s="498">
        <f ca="1">SUMIFS('CF(Y)'!29:29,'CF(Y)'!$4:$4,AG$270)*100</f>
        <v>0</v>
      </c>
      <c r="AH284" s="498">
        <f ca="1">SUMIFS('CF(Y)'!29:29,'CF(Y)'!$4:$4,AH$270)*100</f>
        <v>4731.9740579941545</v>
      </c>
      <c r="AI284" s="498">
        <f ca="1">SUMIFS('CF(Y)'!29:29,'CF(Y)'!$4:$4,AI$270)*100</f>
        <v>898.47608696091538</v>
      </c>
      <c r="AJ284" s="498">
        <f ca="1">SUMIFS('CF(Y)'!29:29,'CF(Y)'!$4:$4,AJ$270)*100</f>
        <v>0</v>
      </c>
      <c r="AK284" s="498">
        <f ca="1">SUMIFS('CF(Y)'!29:29,'CF(Y)'!$4:$4,AK$270)*100</f>
        <v>2166.3565330935976</v>
      </c>
      <c r="AL284" s="498">
        <f ca="1">SUMIFS('CF(Y)'!29:29,'CF(Y)'!$4:$4,AL$270)*100</f>
        <v>0</v>
      </c>
      <c r="AM284" s="498">
        <f ca="1">SUMIFS('CF(Y)'!29:29,'CF(Y)'!$4:$4,AM$270)*100</f>
        <v>780.54811857322898</v>
      </c>
      <c r="AN284" s="498">
        <f ca="1">SUMIFS('CF(Y)'!29:29,'CF(Y)'!$4:$4,AN$270)*100</f>
        <v>214.61531753873717</v>
      </c>
      <c r="AO284" s="498">
        <f ca="1">SUMIFS('CF(Y)'!29:29,'CF(Y)'!$4:$4,AO$270)*100</f>
        <v>1343.9211184275721</v>
      </c>
      <c r="AP284" s="498">
        <f ca="1">SUMIFS('CF(Y)'!29:29,'CF(Y)'!$4:$4,AP$270)*100</f>
        <v>7005.7307334805064</v>
      </c>
      <c r="AQ284" s="498">
        <f>SUMIFS('CF(Y)'!29:29,'CF(Y)'!$4:$4,AQ$270)*100</f>
        <v>0</v>
      </c>
    </row>
    <row r="285" spans="2:43" ht="13.15" customHeight="1" thickBot="1">
      <c r="B285" s="1844">
        <f t="shared" ca="1" si="109"/>
        <v>5479.2132444845729</v>
      </c>
      <c r="C285" s="1847" t="s">
        <v>3669</v>
      </c>
      <c r="D285" s="1863">
        <f t="shared" ca="1" si="110"/>
        <v>90602.204092390748</v>
      </c>
      <c r="E285" s="1863">
        <f>SUMIFS('CF(Y)'!30:30,'CF(Y)'!$4:$4,E$270)*100</f>
        <v>1929.5000000000002</v>
      </c>
      <c r="F285" s="1863">
        <f ca="1">SUMIFS('CF(Y)'!30:30,'CF(Y)'!$4:$4,F$270)*100</f>
        <v>0</v>
      </c>
      <c r="G285" s="1863">
        <f ca="1">SUMIFS('CF(Y)'!30:30,'CF(Y)'!$4:$4,G$270)*100</f>
        <v>0</v>
      </c>
      <c r="H285" s="1863">
        <f ca="1">SUMIFS('CF(Y)'!30:30,'CF(Y)'!$4:$4,H$270)*100</f>
        <v>312.18120299999998</v>
      </c>
      <c r="I285" s="1863">
        <f ca="1">SUMIFS('CF(Y)'!30:30,'CF(Y)'!$4:$4,I$270)*100</f>
        <v>495.02573359709999</v>
      </c>
      <c r="J285" s="1863">
        <f ca="1">SUMIFS('CF(Y)'!30:30,'CF(Y)'!$4:$4,J$270)*100</f>
        <v>912.90732951685993</v>
      </c>
      <c r="K285" s="1863">
        <f ca="1">SUMIFS('CF(Y)'!30:30,'CF(Y)'!$4:$4,K$270)*100</f>
        <v>42.885414084280391</v>
      </c>
      <c r="L285" s="1863">
        <f ca="1">SUMIFS('CF(Y)'!30:30,'CF(Y)'!$4:$4,L$270)*100</f>
        <v>1786.713564286332</v>
      </c>
      <c r="M285" s="1863">
        <f ca="1">SUMIFS('CF(Y)'!30:30,'CF(Y)'!$4:$4,M$270)*100</f>
        <v>2624.8446544424655</v>
      </c>
      <c r="N285" s="1863">
        <f ca="1">SUMIFS('CF(Y)'!30:30,'CF(Y)'!$4:$4,N$270)*100</f>
        <v>4231.5422531402264</v>
      </c>
      <c r="O285" s="1863">
        <f ca="1">SUMIFS('CF(Y)'!30:30,'CF(Y)'!$4:$4,O$270)*100</f>
        <v>3117.1773605828948</v>
      </c>
      <c r="P285" s="1863">
        <f ca="1">SUMIFS('CF(Y)'!30:30,'CF(Y)'!$4:$4,P$270)*100</f>
        <v>90.146002410557585</v>
      </c>
      <c r="Q285" s="498">
        <f ca="1">SUMIFS('CF(Y)'!30:30,'CF(Y)'!$4:$4,Q$270)*100</f>
        <v>3414.2798412998686</v>
      </c>
      <c r="R285" s="498">
        <f ca="1">SUMIFS('CF(Y)'!30:30,'CF(Y)'!$4:$4,R$270)*100</f>
        <v>4368.0020103029647</v>
      </c>
      <c r="S285" s="498">
        <f ca="1">SUMIFS('CF(Y)'!30:30,'CF(Y)'!$4:$4,S$270)*100</f>
        <v>6023.9892768656337</v>
      </c>
      <c r="T285" s="498">
        <f ca="1">SUMIFS('CF(Y)'!30:30,'CF(Y)'!$4:$4,T$270)*100</f>
        <v>2389.715278354498</v>
      </c>
      <c r="U285" s="498">
        <f ca="1">SUMIFS('CF(Y)'!30:30,'CF(Y)'!$4:$4,U$270)*100</f>
        <v>5968.8943341195945</v>
      </c>
      <c r="V285" s="498">
        <f ca="1">SUMIFS('CF(Y)'!30:30,'CF(Y)'!$4:$4,V$270)*100</f>
        <v>13941.696902865926</v>
      </c>
      <c r="W285" s="498">
        <f ca="1">SUMIFS('CF(Y)'!30:30,'CF(Y)'!$4:$4,W$270)*100</f>
        <v>5491.4592342410724</v>
      </c>
      <c r="X285" s="498">
        <f ca="1">SUMIFS('CF(Y)'!30:30,'CF(Y)'!$4:$4,X$270)*100</f>
        <v>3014.7967431018392</v>
      </c>
      <c r="Y285" s="498">
        <f ca="1">SUMIFS('CF(Y)'!30:30,'CF(Y)'!$4:$4,Y$270)*100</f>
        <v>4264.0761136021656</v>
      </c>
      <c r="Z285" s="498">
        <f ca="1">SUMIFS('CF(Y)'!30:30,'CF(Y)'!$4:$4,Z$270)*100</f>
        <v>1717.7078864562716</v>
      </c>
      <c r="AA285" s="498">
        <f ca="1">SUMIFS('CF(Y)'!30:30,'CF(Y)'!$4:$4,AA$270)*100</f>
        <v>0</v>
      </c>
      <c r="AB285" s="498">
        <f ca="1">SUMIFS('CF(Y)'!30:30,'CF(Y)'!$4:$4,AB$270)*100</f>
        <v>101.5787718825532</v>
      </c>
      <c r="AC285" s="498">
        <f ca="1">SUMIFS('CF(Y)'!30:30,'CF(Y)'!$4:$4,AC$270)*100</f>
        <v>1655.3119218884451</v>
      </c>
      <c r="AD285" s="498">
        <f ca="1">SUMIFS('CF(Y)'!30:30,'CF(Y)'!$4:$4,AD$270)*100</f>
        <v>1139.8255571713178</v>
      </c>
      <c r="AE285" s="498">
        <f ca="1">SUMIFS('CF(Y)'!30:30,'CF(Y)'!$4:$4,AE$270)*100</f>
        <v>1585.5491602779014</v>
      </c>
      <c r="AF285" s="498">
        <f ca="1">SUMIFS('CF(Y)'!30:30,'CF(Y)'!$4:$4,AF$270)*100</f>
        <v>2840.7755788312402</v>
      </c>
      <c r="AG285" s="498">
        <f ca="1">SUMIFS('CF(Y)'!30:30,'CF(Y)'!$4:$4,AG$270)*100</f>
        <v>0</v>
      </c>
      <c r="AH285" s="498">
        <f ca="1">SUMIFS('CF(Y)'!30:30,'CF(Y)'!$4:$4,AH$270)*100</f>
        <v>4731.9740579941545</v>
      </c>
      <c r="AI285" s="498">
        <f ca="1">SUMIFS('CF(Y)'!30:30,'CF(Y)'!$4:$4,AI$270)*100</f>
        <v>898.47608696091538</v>
      </c>
      <c r="AJ285" s="498">
        <f ca="1">SUMIFS('CF(Y)'!30:30,'CF(Y)'!$4:$4,AJ$270)*100</f>
        <v>0</v>
      </c>
      <c r="AK285" s="498">
        <f ca="1">SUMIFS('CF(Y)'!30:30,'CF(Y)'!$4:$4,AK$270)*100</f>
        <v>2166.3565330935976</v>
      </c>
      <c r="AL285" s="498">
        <f ca="1">SUMIFS('CF(Y)'!30:30,'CF(Y)'!$4:$4,AL$270)*100</f>
        <v>0</v>
      </c>
      <c r="AM285" s="498">
        <f ca="1">SUMIFS('CF(Y)'!30:30,'CF(Y)'!$4:$4,AM$270)*100</f>
        <v>780.54811857322898</v>
      </c>
      <c r="AN285" s="498">
        <f ca="1">SUMIFS('CF(Y)'!30:30,'CF(Y)'!$4:$4,AN$270)*100</f>
        <v>214.61531753873717</v>
      </c>
      <c r="AO285" s="498">
        <f ca="1">SUMIFS('CF(Y)'!30:30,'CF(Y)'!$4:$4,AO$270)*100</f>
        <v>1343.9211184275721</v>
      </c>
      <c r="AP285" s="498">
        <f ca="1">SUMIFS('CF(Y)'!30:30,'CF(Y)'!$4:$4,AP$270)*100</f>
        <v>7005.7307334805064</v>
      </c>
      <c r="AQ285" s="498">
        <f>SUMIFS('CF(Y)'!30:30,'CF(Y)'!$4:$4,AQ$270)*100</f>
        <v>0</v>
      </c>
    </row>
    <row r="286" spans="2:43" ht="13.15" customHeight="1" thickBot="1">
      <c r="B286" s="1844">
        <f t="shared" ca="1" si="109"/>
        <v>-98699.777686980102</v>
      </c>
      <c r="C286" s="1862" t="s">
        <v>3670</v>
      </c>
      <c r="D286" s="1863">
        <f t="shared" ca="1" si="110"/>
        <v>-374940.89534262358</v>
      </c>
      <c r="E286" s="1863">
        <f ca="1">SUMIFS('CF(Y)'!32:32,'CF(Y)'!$4:$4,E$270)*100</f>
        <v>-15862.358999999999</v>
      </c>
      <c r="F286" s="1863">
        <f ca="1">SUMIFS('CF(Y)'!32:32,'CF(Y)'!$4:$4,F$270)*100</f>
        <v>-16526.751</v>
      </c>
      <c r="G286" s="1863">
        <f ca="1">SUMIFS('CF(Y)'!32:32,'CF(Y)'!$4:$4,G$270)*100</f>
        <v>-16609.8</v>
      </c>
      <c r="H286" s="1863">
        <f ca="1">SUMIFS('CF(Y)'!32:32,'CF(Y)'!$4:$4,H$270)*100</f>
        <v>-21177.494999999999</v>
      </c>
      <c r="I286" s="1863">
        <f ca="1">SUMIFS('CF(Y)'!32:32,'CF(Y)'!$4:$4,I$270)*100</f>
        <v>-14367.476999999999</v>
      </c>
      <c r="J286" s="1863">
        <f ca="1">SUMIFS('CF(Y)'!32:32,'CF(Y)'!$4:$4,J$270)*100</f>
        <v>-3986.3520000000003</v>
      </c>
      <c r="K286" s="1863">
        <f ca="1">SUMIFS('CF(Y)'!32:32,'CF(Y)'!$4:$4,K$270)*100</f>
        <v>-4144.8998126567503</v>
      </c>
      <c r="L286" s="1863">
        <f ca="1">SUMIFS('CF(Y)'!32:32,'CF(Y)'!$4:$4,L$270)*100</f>
        <v>-6024.643874323363</v>
      </c>
      <c r="M286" s="1863">
        <f ca="1">SUMIFS('CF(Y)'!32:32,'CF(Y)'!$4:$4,M$270)*100</f>
        <v>-1575.713685472163</v>
      </c>
      <c r="N286" s="1863">
        <f ca="1">SUMIFS('CF(Y)'!32:32,'CF(Y)'!$4:$4,N$270)*100</f>
        <v>-2864.2454820594553</v>
      </c>
      <c r="O286" s="1863">
        <f ca="1">SUMIFS('CF(Y)'!32:32,'CF(Y)'!$4:$4,O$270)*100</f>
        <v>-2504.0784896574287</v>
      </c>
      <c r="P286" s="1863">
        <f ca="1">SUMIFS('CF(Y)'!32:32,'CF(Y)'!$4:$4,P$270)*100</f>
        <v>-2660.8340660995564</v>
      </c>
      <c r="Q286" s="498">
        <f ca="1">SUMIFS('CF(Y)'!32:32,'CF(Y)'!$4:$4,Q$270)*100</f>
        <v>-3290.2694762689321</v>
      </c>
      <c r="R286" s="498">
        <f ca="1">SUMIFS('CF(Y)'!32:32,'CF(Y)'!$4:$4,R$270)*100</f>
        <v>-3247.9099084009526</v>
      </c>
      <c r="S286" s="498">
        <f ca="1">SUMIFS('CF(Y)'!32:32,'CF(Y)'!$4:$4,S$270)*100</f>
        <v>-3405.0114158243837</v>
      </c>
      <c r="T286" s="498">
        <f ca="1">SUMIFS('CF(Y)'!32:32,'CF(Y)'!$4:$4,T$270)*100</f>
        <v>-5581.566854556273</v>
      </c>
      <c r="U286" s="498">
        <f ca="1">SUMIFS('CF(Y)'!32:32,'CF(Y)'!$4:$4,U$270)*100</f>
        <v>-5739.6316468599898</v>
      </c>
      <c r="V286" s="498">
        <f ca="1">SUMIFS('CF(Y)'!32:32,'CF(Y)'!$4:$4,V$270)*100</f>
        <v>-7093.0748371729305</v>
      </c>
      <c r="W286" s="498">
        <f ca="1">SUMIFS('CF(Y)'!32:32,'CF(Y)'!$4:$4,W$270)*100</f>
        <v>-7338.5307651134535</v>
      </c>
      <c r="X286" s="498">
        <f ca="1">SUMIFS('CF(Y)'!32:32,'CF(Y)'!$4:$4,X$270)*100</f>
        <v>-8520.5111038661289</v>
      </c>
      <c r="Y286" s="498">
        <f ca="1">SUMIFS('CF(Y)'!32:32,'CF(Y)'!$4:$4,Y$270)*100</f>
        <v>-8807.268705456132</v>
      </c>
      <c r="Z286" s="498">
        <f ca="1">SUMIFS('CF(Y)'!32:32,'CF(Y)'!$4:$4,Z$270)*100</f>
        <v>-8492.2464029390849</v>
      </c>
      <c r="AA286" s="498">
        <f ca="1">SUMIFS('CF(Y)'!32:32,'CF(Y)'!$4:$4,AA$270)*100</f>
        <v>-10215.508025765352</v>
      </c>
      <c r="AB286" s="498">
        <f ca="1">SUMIFS('CF(Y)'!32:32,'CF(Y)'!$4:$4,AB$270)*100</f>
        <v>-10838.100940147186</v>
      </c>
      <c r="AC286" s="498">
        <f ca="1">SUMIFS('CF(Y)'!32:32,'CF(Y)'!$4:$4,AC$270)*100</f>
        <v>-10495.066833200304</v>
      </c>
      <c r="AD286" s="498">
        <f ca="1">SUMIFS('CF(Y)'!32:32,'CF(Y)'!$4:$4,AD$270)*100</f>
        <v>-9398.9140875407047</v>
      </c>
      <c r="AE286" s="498">
        <f ca="1">SUMIFS('CF(Y)'!32:32,'CF(Y)'!$4:$4,AE$270)*100</f>
        <v>-6170.173939093238</v>
      </c>
      <c r="AF286" s="498">
        <f ca="1">SUMIFS('CF(Y)'!32:32,'CF(Y)'!$4:$4,AF$270)*100</f>
        <v>-6993.4219117380426</v>
      </c>
      <c r="AG286" s="498">
        <f ca="1">SUMIFS('CF(Y)'!32:32,'CF(Y)'!$4:$4,AG$270)*100</f>
        <v>-6291.3453711094098</v>
      </c>
      <c r="AH286" s="498">
        <f ca="1">SUMIFS('CF(Y)'!32:32,'CF(Y)'!$4:$4,AH$270)*100</f>
        <v>-6797.0962248008336</v>
      </c>
      <c r="AI286" s="498">
        <f ca="1">SUMIFS('CF(Y)'!32:32,'CF(Y)'!$4:$4,AI$270)*100</f>
        <v>-7654.2876805189608</v>
      </c>
      <c r="AJ286" s="498">
        <f ca="1">SUMIFS('CF(Y)'!32:32,'CF(Y)'!$4:$4,AJ$270)*100</f>
        <v>-7412.4388926964511</v>
      </c>
      <c r="AK286" s="498">
        <f ca="1">SUMIFS('CF(Y)'!32:32,'CF(Y)'!$4:$4,AK$270)*100</f>
        <v>-7470.636826736998</v>
      </c>
      <c r="AL286" s="498">
        <f ca="1">SUMIFS('CF(Y)'!32:32,'CF(Y)'!$4:$4,AL$270)*100</f>
        <v>-8667.2810418241334</v>
      </c>
      <c r="AM286" s="498">
        <f ca="1">SUMIFS('CF(Y)'!32:32,'CF(Y)'!$4:$4,AM$270)*100</f>
        <v>-8695.3948659286816</v>
      </c>
      <c r="AN286" s="498">
        <f ca="1">SUMIFS('CF(Y)'!32:32,'CF(Y)'!$4:$4,AN$270)*100</f>
        <v>-8886.3067239872998</v>
      </c>
      <c r="AO286" s="498">
        <f ca="1">SUMIFS('CF(Y)'!32:32,'CF(Y)'!$4:$4,AO$270)*100</f>
        <v>-9637.4178419659293</v>
      </c>
      <c r="AP286" s="498">
        <f ca="1">SUMIFS('CF(Y)'!32:32,'CF(Y)'!$4:$4,AP$270)*100</f>
        <v>-79496.833608843124</v>
      </c>
      <c r="AQ286" s="498">
        <f>SUMIFS('CF(Y)'!32:32,'CF(Y)'!$4:$4,AQ$270)*100</f>
        <v>0</v>
      </c>
    </row>
    <row r="287" spans="2:43" ht="13.15" customHeight="1" thickBot="1">
      <c r="B287" s="1844">
        <f t="shared" ca="1" si="109"/>
        <v>0</v>
      </c>
      <c r="C287" s="1862" t="s">
        <v>3671</v>
      </c>
      <c r="D287" s="1863">
        <f t="shared" ca="1" si="110"/>
        <v>0</v>
      </c>
      <c r="E287" s="1863">
        <f ca="1">SUMIFS('CF(Y)'!33:33,'CF(Y)'!$4:$4,E$270)*100</f>
        <v>0</v>
      </c>
      <c r="F287" s="1863">
        <f ca="1">SUMIFS('CF(Y)'!33:33,'CF(Y)'!$4:$4,F$270)*100</f>
        <v>0</v>
      </c>
      <c r="G287" s="1863">
        <f ca="1">SUMIFS('CF(Y)'!33:33,'CF(Y)'!$4:$4,G$270)*100</f>
        <v>0</v>
      </c>
      <c r="H287" s="1863">
        <f ca="1">SUMIFS('CF(Y)'!33:33,'CF(Y)'!$4:$4,H$270)*100</f>
        <v>0</v>
      </c>
      <c r="I287" s="1863">
        <f ca="1">SUMIFS('CF(Y)'!33:33,'CF(Y)'!$4:$4,I$270)*100</f>
        <v>0</v>
      </c>
      <c r="J287" s="1863">
        <f ca="1">SUMIFS('CF(Y)'!33:33,'CF(Y)'!$4:$4,J$270)*100</f>
        <v>0</v>
      </c>
      <c r="K287" s="1863">
        <f ca="1">SUMIFS('CF(Y)'!33:33,'CF(Y)'!$4:$4,K$270)*100</f>
        <v>0</v>
      </c>
      <c r="L287" s="1863">
        <f ca="1">SUMIFS('CF(Y)'!33:33,'CF(Y)'!$4:$4,L$270)*100</f>
        <v>0</v>
      </c>
      <c r="M287" s="1863">
        <f ca="1">SUMIFS('CF(Y)'!33:33,'CF(Y)'!$4:$4,M$270)*100</f>
        <v>0</v>
      </c>
      <c r="N287" s="1863">
        <f ca="1">SUMIFS('CF(Y)'!33:33,'CF(Y)'!$4:$4,N$270)*100</f>
        <v>0</v>
      </c>
      <c r="O287" s="1863">
        <f ca="1">SUMIFS('CF(Y)'!33:33,'CF(Y)'!$4:$4,O$270)*100</f>
        <v>0</v>
      </c>
      <c r="P287" s="1863">
        <f ca="1">SUMIFS('CF(Y)'!33:33,'CF(Y)'!$4:$4,P$270)*100</f>
        <v>0</v>
      </c>
      <c r="Q287" s="498">
        <f ca="1">SUMIFS('CF(Y)'!33:33,'CF(Y)'!$4:$4,Q$270)*100</f>
        <v>0</v>
      </c>
      <c r="R287" s="498">
        <f ca="1">SUMIFS('CF(Y)'!33:33,'CF(Y)'!$4:$4,R$270)*100</f>
        <v>0</v>
      </c>
      <c r="S287" s="498">
        <f ca="1">SUMIFS('CF(Y)'!33:33,'CF(Y)'!$4:$4,S$270)*100</f>
        <v>0</v>
      </c>
      <c r="T287" s="498">
        <f ca="1">SUMIFS('CF(Y)'!33:33,'CF(Y)'!$4:$4,T$270)*100</f>
        <v>0</v>
      </c>
      <c r="U287" s="498">
        <f ca="1">SUMIFS('CF(Y)'!33:33,'CF(Y)'!$4:$4,U$270)*100</f>
        <v>0</v>
      </c>
      <c r="V287" s="498">
        <f ca="1">SUMIFS('CF(Y)'!33:33,'CF(Y)'!$4:$4,V$270)*100</f>
        <v>0</v>
      </c>
      <c r="W287" s="498">
        <f ca="1">SUMIFS('CF(Y)'!33:33,'CF(Y)'!$4:$4,W$270)*100</f>
        <v>0</v>
      </c>
      <c r="X287" s="498">
        <f ca="1">SUMIFS('CF(Y)'!33:33,'CF(Y)'!$4:$4,X$270)*100</f>
        <v>0</v>
      </c>
      <c r="Y287" s="498">
        <f ca="1">SUMIFS('CF(Y)'!33:33,'CF(Y)'!$4:$4,Y$270)*100</f>
        <v>0</v>
      </c>
      <c r="Z287" s="498">
        <f ca="1">SUMIFS('CF(Y)'!33:33,'CF(Y)'!$4:$4,Z$270)*100</f>
        <v>0</v>
      </c>
      <c r="AA287" s="498">
        <f ca="1">SUMIFS('CF(Y)'!33:33,'CF(Y)'!$4:$4,AA$270)*100</f>
        <v>0</v>
      </c>
      <c r="AB287" s="498">
        <f ca="1">SUMIFS('CF(Y)'!33:33,'CF(Y)'!$4:$4,AB$270)*100</f>
        <v>0</v>
      </c>
      <c r="AC287" s="498">
        <f ca="1">SUMIFS('CF(Y)'!33:33,'CF(Y)'!$4:$4,AC$270)*100</f>
        <v>0</v>
      </c>
      <c r="AD287" s="498">
        <f ca="1">SUMIFS('CF(Y)'!33:33,'CF(Y)'!$4:$4,AD$270)*100</f>
        <v>0</v>
      </c>
      <c r="AE287" s="498">
        <f ca="1">SUMIFS('CF(Y)'!33:33,'CF(Y)'!$4:$4,AE$270)*100</f>
        <v>0</v>
      </c>
      <c r="AF287" s="498">
        <f ca="1">SUMIFS('CF(Y)'!33:33,'CF(Y)'!$4:$4,AF$270)*100</f>
        <v>0</v>
      </c>
      <c r="AG287" s="498">
        <f ca="1">SUMIFS('CF(Y)'!33:33,'CF(Y)'!$4:$4,AG$270)*100</f>
        <v>0</v>
      </c>
      <c r="AH287" s="498">
        <f ca="1">SUMIFS('CF(Y)'!33:33,'CF(Y)'!$4:$4,AH$270)*100</f>
        <v>0</v>
      </c>
      <c r="AI287" s="498">
        <f ca="1">SUMIFS('CF(Y)'!33:33,'CF(Y)'!$4:$4,AI$270)*100</f>
        <v>0</v>
      </c>
      <c r="AJ287" s="498">
        <f ca="1">SUMIFS('CF(Y)'!33:33,'CF(Y)'!$4:$4,AJ$270)*100</f>
        <v>0</v>
      </c>
      <c r="AK287" s="498">
        <f ca="1">SUMIFS('CF(Y)'!33:33,'CF(Y)'!$4:$4,AK$270)*100</f>
        <v>0</v>
      </c>
      <c r="AL287" s="498">
        <f ca="1">SUMIFS('CF(Y)'!33:33,'CF(Y)'!$4:$4,AL$270)*100</f>
        <v>0</v>
      </c>
      <c r="AM287" s="498">
        <f ca="1">SUMIFS('CF(Y)'!33:33,'CF(Y)'!$4:$4,AM$270)*100</f>
        <v>0</v>
      </c>
      <c r="AN287" s="498">
        <f ca="1">SUMIFS('CF(Y)'!33:33,'CF(Y)'!$4:$4,AN$270)*100</f>
        <v>0</v>
      </c>
      <c r="AO287" s="498">
        <f ca="1">SUMIFS('CF(Y)'!33:33,'CF(Y)'!$4:$4,AO$270)*100</f>
        <v>0</v>
      </c>
      <c r="AP287" s="498">
        <f ca="1">SUMIFS('CF(Y)'!33:33,'CF(Y)'!$4:$4,AP$270)*100</f>
        <v>0</v>
      </c>
      <c r="AQ287" s="498">
        <f>SUMIFS('CF(Y)'!33:33,'CF(Y)'!$4:$4,AQ$270)*100</f>
        <v>0</v>
      </c>
    </row>
    <row r="288" spans="2:43" ht="13.15" customHeight="1" thickBot="1">
      <c r="B288" s="1844">
        <f t="shared" ca="1" si="109"/>
        <v>98699.777686980102</v>
      </c>
      <c r="C288" s="1862" t="s">
        <v>3672</v>
      </c>
      <c r="D288" s="1863">
        <f t="shared" ca="1" si="110"/>
        <v>374940.89534262358</v>
      </c>
      <c r="E288" s="1863">
        <f ca="1">SUMIFS('CF(Y)'!38:38,'CF(Y)'!$4:$4,E$270)*100</f>
        <v>15862.358999999999</v>
      </c>
      <c r="F288" s="1863">
        <f ca="1">SUMIFS('CF(Y)'!38:38,'CF(Y)'!$4:$4,F$270)*100</f>
        <v>16526.751</v>
      </c>
      <c r="G288" s="1863">
        <f ca="1">SUMIFS('CF(Y)'!38:38,'CF(Y)'!$4:$4,G$270)*100</f>
        <v>16609.8</v>
      </c>
      <c r="H288" s="1863">
        <f ca="1">SUMIFS('CF(Y)'!38:38,'CF(Y)'!$4:$4,H$270)*100</f>
        <v>21177.494999999999</v>
      </c>
      <c r="I288" s="1863">
        <f ca="1">SUMIFS('CF(Y)'!38:38,'CF(Y)'!$4:$4,I$270)*100</f>
        <v>14367.476999999999</v>
      </c>
      <c r="J288" s="1863">
        <f ca="1">SUMIFS('CF(Y)'!38:38,'CF(Y)'!$4:$4,J$270)*100</f>
        <v>3986.3520000000003</v>
      </c>
      <c r="K288" s="1863">
        <f ca="1">SUMIFS('CF(Y)'!38:38,'CF(Y)'!$4:$4,K$270)*100</f>
        <v>4144.8998126567503</v>
      </c>
      <c r="L288" s="1863">
        <f ca="1">SUMIFS('CF(Y)'!38:38,'CF(Y)'!$4:$4,L$270)*100</f>
        <v>6024.643874323363</v>
      </c>
      <c r="M288" s="1863">
        <f ca="1">SUMIFS('CF(Y)'!38:38,'CF(Y)'!$4:$4,M$270)*100</f>
        <v>1575.713685472163</v>
      </c>
      <c r="N288" s="1863">
        <f ca="1">SUMIFS('CF(Y)'!38:38,'CF(Y)'!$4:$4,N$270)*100</f>
        <v>2864.2454820594553</v>
      </c>
      <c r="O288" s="1863">
        <f ca="1">SUMIFS('CF(Y)'!38:38,'CF(Y)'!$4:$4,O$270)*100</f>
        <v>2504.0784896574287</v>
      </c>
      <c r="P288" s="1863">
        <f ca="1">SUMIFS('CF(Y)'!38:38,'CF(Y)'!$4:$4,P$270)*100</f>
        <v>2660.8340660995564</v>
      </c>
      <c r="Q288" s="498">
        <f ca="1">SUMIFS('CF(Y)'!38:38,'CF(Y)'!$4:$4,Q$270)*100</f>
        <v>3290.2694762689321</v>
      </c>
      <c r="R288" s="498">
        <f ca="1">SUMIFS('CF(Y)'!38:38,'CF(Y)'!$4:$4,R$270)*100</f>
        <v>3247.9099084009526</v>
      </c>
      <c r="S288" s="498">
        <f ca="1">SUMIFS('CF(Y)'!38:38,'CF(Y)'!$4:$4,S$270)*100</f>
        <v>3405.0114158243837</v>
      </c>
      <c r="T288" s="498">
        <f ca="1">SUMIFS('CF(Y)'!38:38,'CF(Y)'!$4:$4,T$270)*100</f>
        <v>5581.566854556273</v>
      </c>
      <c r="U288" s="498">
        <f ca="1">SUMIFS('CF(Y)'!38:38,'CF(Y)'!$4:$4,U$270)*100</f>
        <v>5739.6316468599898</v>
      </c>
      <c r="V288" s="498">
        <f ca="1">SUMIFS('CF(Y)'!38:38,'CF(Y)'!$4:$4,V$270)*100</f>
        <v>7093.0748371729305</v>
      </c>
      <c r="W288" s="498">
        <f ca="1">SUMIFS('CF(Y)'!38:38,'CF(Y)'!$4:$4,W$270)*100</f>
        <v>7338.5307651134535</v>
      </c>
      <c r="X288" s="498">
        <f ca="1">SUMIFS('CF(Y)'!38:38,'CF(Y)'!$4:$4,X$270)*100</f>
        <v>8520.5111038661289</v>
      </c>
      <c r="Y288" s="498">
        <f ca="1">SUMIFS('CF(Y)'!38:38,'CF(Y)'!$4:$4,Y$270)*100</f>
        <v>8807.268705456132</v>
      </c>
      <c r="Z288" s="498">
        <f ca="1">SUMIFS('CF(Y)'!38:38,'CF(Y)'!$4:$4,Z$270)*100</f>
        <v>8492.2464029390849</v>
      </c>
      <c r="AA288" s="498">
        <f ca="1">SUMIFS('CF(Y)'!38:38,'CF(Y)'!$4:$4,AA$270)*100</f>
        <v>10215.508025765352</v>
      </c>
      <c r="AB288" s="498">
        <f ca="1">SUMIFS('CF(Y)'!38:38,'CF(Y)'!$4:$4,AB$270)*100</f>
        <v>10838.100940147186</v>
      </c>
      <c r="AC288" s="498">
        <f ca="1">SUMIFS('CF(Y)'!38:38,'CF(Y)'!$4:$4,AC$270)*100</f>
        <v>10495.066833200304</v>
      </c>
      <c r="AD288" s="498">
        <f ca="1">SUMIFS('CF(Y)'!38:38,'CF(Y)'!$4:$4,AD$270)*100</f>
        <v>9398.9140875407047</v>
      </c>
      <c r="AE288" s="498">
        <f ca="1">SUMIFS('CF(Y)'!38:38,'CF(Y)'!$4:$4,AE$270)*100</f>
        <v>6170.173939093238</v>
      </c>
      <c r="AF288" s="498">
        <f ca="1">SUMIFS('CF(Y)'!38:38,'CF(Y)'!$4:$4,AF$270)*100</f>
        <v>6993.4219117380426</v>
      </c>
      <c r="AG288" s="498">
        <f ca="1">SUMIFS('CF(Y)'!38:38,'CF(Y)'!$4:$4,AG$270)*100</f>
        <v>6291.3453711094098</v>
      </c>
      <c r="AH288" s="498">
        <f ca="1">SUMIFS('CF(Y)'!38:38,'CF(Y)'!$4:$4,AH$270)*100</f>
        <v>6797.0962248008336</v>
      </c>
      <c r="AI288" s="498">
        <f ca="1">SUMIFS('CF(Y)'!38:38,'CF(Y)'!$4:$4,AI$270)*100</f>
        <v>7654.2876805189608</v>
      </c>
      <c r="AJ288" s="498">
        <f ca="1">SUMIFS('CF(Y)'!38:38,'CF(Y)'!$4:$4,AJ$270)*100</f>
        <v>7412.4388926964511</v>
      </c>
      <c r="AK288" s="498">
        <f ca="1">SUMIFS('CF(Y)'!38:38,'CF(Y)'!$4:$4,AK$270)*100</f>
        <v>7470.636826736998</v>
      </c>
      <c r="AL288" s="498">
        <f ca="1">SUMIFS('CF(Y)'!38:38,'CF(Y)'!$4:$4,AL$270)*100</f>
        <v>8667.2810418241334</v>
      </c>
      <c r="AM288" s="498">
        <f ca="1">SUMIFS('CF(Y)'!38:38,'CF(Y)'!$4:$4,AM$270)*100</f>
        <v>8695.3948659286816</v>
      </c>
      <c r="AN288" s="498">
        <f ca="1">SUMIFS('CF(Y)'!38:38,'CF(Y)'!$4:$4,AN$270)*100</f>
        <v>8886.3067239872998</v>
      </c>
      <c r="AO288" s="498">
        <f ca="1">SUMIFS('CF(Y)'!38:38,'CF(Y)'!$4:$4,AO$270)*100</f>
        <v>9637.4178419659293</v>
      </c>
      <c r="AP288" s="498">
        <f ca="1">SUMIFS('CF(Y)'!38:38,'CF(Y)'!$4:$4,AP$270)*100</f>
        <v>79496.833608843124</v>
      </c>
      <c r="AQ288" s="498">
        <f>SUMIFS('CF(Y)'!38:38,'CF(Y)'!$4:$4,AQ$270)*100</f>
        <v>0</v>
      </c>
    </row>
    <row r="289" spans="2:43" ht="13.15" customHeight="1" thickBot="1">
      <c r="B289" s="1844">
        <f t="shared" si="109"/>
        <v>95506.349999999991</v>
      </c>
      <c r="C289" s="1847" t="s">
        <v>3673</v>
      </c>
      <c r="D289" s="1863">
        <f t="shared" si="110"/>
        <v>95506.349999999991</v>
      </c>
      <c r="E289" s="1863">
        <f>SUMIFS('CF(Y)'!40:40,'CF(Y)'!$4:$4,E$270)*100</f>
        <v>15862.358999999999</v>
      </c>
      <c r="F289" s="1863">
        <f>SUMIFS('CF(Y)'!40:40,'CF(Y)'!$4:$4,F$270)*100</f>
        <v>16526.751</v>
      </c>
      <c r="G289" s="1863">
        <f>SUMIFS('CF(Y)'!40:40,'CF(Y)'!$4:$4,G$270)*100</f>
        <v>16609.8</v>
      </c>
      <c r="H289" s="1863">
        <f>SUMIFS('CF(Y)'!40:40,'CF(Y)'!$4:$4,H$270)*100</f>
        <v>21177.494999999999</v>
      </c>
      <c r="I289" s="1863">
        <f>SUMIFS('CF(Y)'!40:40,'CF(Y)'!$4:$4,I$270)*100</f>
        <v>14367.476999999999</v>
      </c>
      <c r="J289" s="1863">
        <f>SUMIFS('CF(Y)'!40:40,'CF(Y)'!$4:$4,J$270)*100</f>
        <v>3986.3520000000003</v>
      </c>
      <c r="K289" s="1863">
        <f>SUMIFS('CF(Y)'!40:40,'CF(Y)'!$4:$4,K$270)*100</f>
        <v>3986.3520000000003</v>
      </c>
      <c r="L289" s="1863">
        <f>SUMIFS('CF(Y)'!40:40,'CF(Y)'!$4:$4,L$270)*100</f>
        <v>2989.7639999999888</v>
      </c>
      <c r="M289" s="1863">
        <f>SUMIFS('CF(Y)'!40:40,'CF(Y)'!$4:$4,M$270)*100</f>
        <v>0</v>
      </c>
      <c r="N289" s="1863">
        <f>SUMIFS('CF(Y)'!40:40,'CF(Y)'!$4:$4,N$270)*100</f>
        <v>0</v>
      </c>
      <c r="O289" s="1863">
        <f>SUMIFS('CF(Y)'!40:40,'CF(Y)'!$4:$4,O$270)*100</f>
        <v>0</v>
      </c>
      <c r="P289" s="1863">
        <f>SUMIFS('CF(Y)'!40:40,'CF(Y)'!$4:$4,P$270)*100</f>
        <v>0</v>
      </c>
      <c r="Q289" s="498">
        <f>SUMIFS('CF(Y)'!40:40,'CF(Y)'!$4:$4,Q$270)*100</f>
        <v>0</v>
      </c>
      <c r="R289" s="498">
        <f>SUMIFS('CF(Y)'!40:40,'CF(Y)'!$4:$4,R$270)*100</f>
        <v>0</v>
      </c>
      <c r="S289" s="498">
        <f>SUMIFS('CF(Y)'!40:40,'CF(Y)'!$4:$4,S$270)*100</f>
        <v>0</v>
      </c>
      <c r="T289" s="498">
        <f>SUMIFS('CF(Y)'!40:40,'CF(Y)'!$4:$4,T$270)*100</f>
        <v>0</v>
      </c>
      <c r="U289" s="498">
        <f>SUMIFS('CF(Y)'!40:40,'CF(Y)'!$4:$4,U$270)*100</f>
        <v>0</v>
      </c>
      <c r="V289" s="498">
        <f>SUMIFS('CF(Y)'!40:40,'CF(Y)'!$4:$4,V$270)*100</f>
        <v>0</v>
      </c>
      <c r="W289" s="498">
        <f>SUMIFS('CF(Y)'!40:40,'CF(Y)'!$4:$4,W$270)*100</f>
        <v>0</v>
      </c>
      <c r="X289" s="498">
        <f>SUMIFS('CF(Y)'!40:40,'CF(Y)'!$4:$4,X$270)*100</f>
        <v>0</v>
      </c>
      <c r="Y289" s="498">
        <f>SUMIFS('CF(Y)'!40:40,'CF(Y)'!$4:$4,Y$270)*100</f>
        <v>0</v>
      </c>
      <c r="Z289" s="498">
        <f>SUMIFS('CF(Y)'!40:40,'CF(Y)'!$4:$4,Z$270)*100</f>
        <v>0</v>
      </c>
      <c r="AA289" s="498">
        <f>SUMIFS('CF(Y)'!40:40,'CF(Y)'!$4:$4,AA$270)*100</f>
        <v>0</v>
      </c>
      <c r="AB289" s="498">
        <f>SUMIFS('CF(Y)'!40:40,'CF(Y)'!$4:$4,AB$270)*100</f>
        <v>0</v>
      </c>
      <c r="AC289" s="498">
        <f>SUMIFS('CF(Y)'!40:40,'CF(Y)'!$4:$4,AC$270)*100</f>
        <v>0</v>
      </c>
      <c r="AD289" s="498">
        <f>SUMIFS('CF(Y)'!40:40,'CF(Y)'!$4:$4,AD$270)*100</f>
        <v>0</v>
      </c>
      <c r="AE289" s="498">
        <f>SUMIFS('CF(Y)'!40:40,'CF(Y)'!$4:$4,AE$270)*100</f>
        <v>0</v>
      </c>
      <c r="AF289" s="498">
        <f>SUMIFS('CF(Y)'!40:40,'CF(Y)'!$4:$4,AF$270)*100</f>
        <v>0</v>
      </c>
      <c r="AG289" s="498">
        <f>SUMIFS('CF(Y)'!40:40,'CF(Y)'!$4:$4,AG$270)*100</f>
        <v>0</v>
      </c>
      <c r="AH289" s="498">
        <f>SUMIFS('CF(Y)'!40:40,'CF(Y)'!$4:$4,AH$270)*100</f>
        <v>0</v>
      </c>
      <c r="AI289" s="498">
        <f>SUMIFS('CF(Y)'!40:40,'CF(Y)'!$4:$4,AI$270)*100</f>
        <v>0</v>
      </c>
      <c r="AJ289" s="498">
        <f>SUMIFS('CF(Y)'!40:40,'CF(Y)'!$4:$4,AJ$270)*100</f>
        <v>0</v>
      </c>
      <c r="AK289" s="498">
        <f>SUMIFS('CF(Y)'!40:40,'CF(Y)'!$4:$4,AK$270)*100</f>
        <v>0</v>
      </c>
      <c r="AL289" s="498">
        <f>SUMIFS('CF(Y)'!40:40,'CF(Y)'!$4:$4,AL$270)*100</f>
        <v>0</v>
      </c>
      <c r="AM289" s="498">
        <f>SUMIFS('CF(Y)'!40:40,'CF(Y)'!$4:$4,AM$270)*100</f>
        <v>0</v>
      </c>
      <c r="AN289" s="498">
        <f>SUMIFS('CF(Y)'!40:40,'CF(Y)'!$4:$4,AN$270)*100</f>
        <v>0</v>
      </c>
      <c r="AO289" s="498">
        <f>SUMIFS('CF(Y)'!40:40,'CF(Y)'!$4:$4,AO$270)*100</f>
        <v>0</v>
      </c>
      <c r="AP289" s="498">
        <f>SUMIFS('CF(Y)'!40:40,'CF(Y)'!$4:$4,AP$270)*100</f>
        <v>0</v>
      </c>
      <c r="AQ289" s="498">
        <f>SUMIFS('CF(Y)'!40:40,'CF(Y)'!$4:$4,AQ$270)*100</f>
        <v>0</v>
      </c>
    </row>
    <row r="290" spans="2:43" ht="13.15" customHeight="1" thickBot="1">
      <c r="B290" s="1844">
        <f t="shared" ca="1" si="109"/>
        <v>3193.4276869801233</v>
      </c>
      <c r="C290" s="1847" t="s">
        <v>3674</v>
      </c>
      <c r="D290" s="1863">
        <f t="shared" ca="1" si="110"/>
        <v>279434.54534262361</v>
      </c>
      <c r="E290" s="1863">
        <f ca="1">SUMIFS('CF(Y)'!43:43,'CF(Y)'!$4:$4,E$270)*100</f>
        <v>0</v>
      </c>
      <c r="F290" s="1863">
        <f ca="1">SUMIFS('CF(Y)'!43:43,'CF(Y)'!$4:$4,F$270)*100</f>
        <v>0</v>
      </c>
      <c r="G290" s="1863">
        <f ca="1">SUMIFS('CF(Y)'!43:43,'CF(Y)'!$4:$4,G$270)*100</f>
        <v>0</v>
      </c>
      <c r="H290" s="1863">
        <f ca="1">SUMIFS('CF(Y)'!43:43,'CF(Y)'!$4:$4,H$270)*100</f>
        <v>0</v>
      </c>
      <c r="I290" s="1863">
        <f ca="1">SUMIFS('CF(Y)'!43:43,'CF(Y)'!$4:$4,I$270)*100</f>
        <v>0</v>
      </c>
      <c r="J290" s="1863">
        <f ca="1">SUMIFS('CF(Y)'!43:43,'CF(Y)'!$4:$4,J$270)*100</f>
        <v>0</v>
      </c>
      <c r="K290" s="1863">
        <f ca="1">SUMIFS('CF(Y)'!43:43,'CF(Y)'!$4:$4,K$270)*100</f>
        <v>158.54781265674978</v>
      </c>
      <c r="L290" s="1863">
        <f ca="1">SUMIFS('CF(Y)'!43:43,'CF(Y)'!$4:$4,L$270)*100</f>
        <v>3034.8798743233738</v>
      </c>
      <c r="M290" s="1863">
        <f ca="1">SUMIFS('CF(Y)'!43:43,'CF(Y)'!$4:$4,M$270)*100</f>
        <v>1575.713685472163</v>
      </c>
      <c r="N290" s="1863">
        <f ca="1">SUMIFS('CF(Y)'!43:43,'CF(Y)'!$4:$4,N$270)*100</f>
        <v>2864.2454820594553</v>
      </c>
      <c r="O290" s="1863">
        <f ca="1">SUMIFS('CF(Y)'!43:43,'CF(Y)'!$4:$4,O$270)*100</f>
        <v>2504.0784896574287</v>
      </c>
      <c r="P290" s="1863">
        <f ca="1">SUMIFS('CF(Y)'!43:43,'CF(Y)'!$4:$4,P$270)*100</f>
        <v>2660.8340660995564</v>
      </c>
      <c r="Q290" s="498">
        <f ca="1">SUMIFS('CF(Y)'!43:43,'CF(Y)'!$4:$4,Q$270)*100</f>
        <v>3290.2694762689321</v>
      </c>
      <c r="R290" s="498">
        <f ca="1">SUMIFS('CF(Y)'!43:43,'CF(Y)'!$4:$4,R$270)*100</f>
        <v>3247.9099084009526</v>
      </c>
      <c r="S290" s="498">
        <f ca="1">SUMIFS('CF(Y)'!43:43,'CF(Y)'!$4:$4,S$270)*100</f>
        <v>3405.0114158243837</v>
      </c>
      <c r="T290" s="498">
        <f ca="1">SUMIFS('CF(Y)'!43:43,'CF(Y)'!$4:$4,T$270)*100</f>
        <v>5581.566854556273</v>
      </c>
      <c r="U290" s="498">
        <f ca="1">SUMIFS('CF(Y)'!43:43,'CF(Y)'!$4:$4,U$270)*100</f>
        <v>5739.6316468599898</v>
      </c>
      <c r="V290" s="498">
        <f ca="1">SUMIFS('CF(Y)'!43:43,'CF(Y)'!$4:$4,V$270)*100</f>
        <v>7093.0748371729305</v>
      </c>
      <c r="W290" s="498">
        <f ca="1">SUMIFS('CF(Y)'!43:43,'CF(Y)'!$4:$4,W$270)*100</f>
        <v>7338.5307651134535</v>
      </c>
      <c r="X290" s="498">
        <f ca="1">SUMIFS('CF(Y)'!43:43,'CF(Y)'!$4:$4,X$270)*100</f>
        <v>8520.5111038661289</v>
      </c>
      <c r="Y290" s="498">
        <f ca="1">SUMIFS('CF(Y)'!43:43,'CF(Y)'!$4:$4,Y$270)*100</f>
        <v>8807.268705456132</v>
      </c>
      <c r="Z290" s="498">
        <f ca="1">SUMIFS('CF(Y)'!43:43,'CF(Y)'!$4:$4,Z$270)*100</f>
        <v>8492.2464029390849</v>
      </c>
      <c r="AA290" s="498">
        <f ca="1">SUMIFS('CF(Y)'!43:43,'CF(Y)'!$4:$4,AA$270)*100</f>
        <v>10215.508025765352</v>
      </c>
      <c r="AB290" s="498">
        <f ca="1">SUMIFS('CF(Y)'!43:43,'CF(Y)'!$4:$4,AB$270)*100</f>
        <v>10838.100940147186</v>
      </c>
      <c r="AC290" s="498">
        <f ca="1">SUMIFS('CF(Y)'!43:43,'CF(Y)'!$4:$4,AC$270)*100</f>
        <v>10495.066833200304</v>
      </c>
      <c r="AD290" s="498">
        <f ca="1">SUMIFS('CF(Y)'!43:43,'CF(Y)'!$4:$4,AD$270)*100</f>
        <v>9398.9140875407047</v>
      </c>
      <c r="AE290" s="498">
        <f ca="1">SUMIFS('CF(Y)'!43:43,'CF(Y)'!$4:$4,AE$270)*100</f>
        <v>6170.173939093238</v>
      </c>
      <c r="AF290" s="498">
        <f ca="1">SUMIFS('CF(Y)'!43:43,'CF(Y)'!$4:$4,AF$270)*100</f>
        <v>6993.4219117380426</v>
      </c>
      <c r="AG290" s="498">
        <f ca="1">SUMIFS('CF(Y)'!43:43,'CF(Y)'!$4:$4,AG$270)*100</f>
        <v>6291.3453711094098</v>
      </c>
      <c r="AH290" s="498">
        <f ca="1">SUMIFS('CF(Y)'!43:43,'CF(Y)'!$4:$4,AH$270)*100</f>
        <v>6797.0962248008336</v>
      </c>
      <c r="AI290" s="498">
        <f ca="1">SUMIFS('CF(Y)'!43:43,'CF(Y)'!$4:$4,AI$270)*100</f>
        <v>7654.2876805189608</v>
      </c>
      <c r="AJ290" s="498">
        <f ca="1">SUMIFS('CF(Y)'!43:43,'CF(Y)'!$4:$4,AJ$270)*100</f>
        <v>7412.4388926964511</v>
      </c>
      <c r="AK290" s="498">
        <f ca="1">SUMIFS('CF(Y)'!43:43,'CF(Y)'!$4:$4,AK$270)*100</f>
        <v>7470.636826736998</v>
      </c>
      <c r="AL290" s="498">
        <f ca="1">SUMIFS('CF(Y)'!43:43,'CF(Y)'!$4:$4,AL$270)*100</f>
        <v>8667.2810418241334</v>
      </c>
      <c r="AM290" s="498">
        <f ca="1">SUMIFS('CF(Y)'!43:43,'CF(Y)'!$4:$4,AM$270)*100</f>
        <v>8695.3948659286816</v>
      </c>
      <c r="AN290" s="498">
        <f ca="1">SUMIFS('CF(Y)'!43:43,'CF(Y)'!$4:$4,AN$270)*100</f>
        <v>8886.3067239872998</v>
      </c>
      <c r="AO290" s="498">
        <f ca="1">SUMIFS('CF(Y)'!43:43,'CF(Y)'!$4:$4,AO$270)*100</f>
        <v>9637.4178419659293</v>
      </c>
      <c r="AP290" s="498">
        <f ca="1">SUMIFS('CF(Y)'!43:43,'CF(Y)'!$4:$4,AP$270)*100</f>
        <v>79496.833608843124</v>
      </c>
      <c r="AQ290" s="498">
        <f>SUMIFS('CF(Y)'!43:43,'CF(Y)'!$4:$4,AQ$270)*100</f>
        <v>0</v>
      </c>
    </row>
    <row r="291" spans="2:43" ht="13.15" customHeight="1" thickBot="1">
      <c r="B291" s="1844">
        <f t="shared" ca="1" si="109"/>
        <v>2412.3073943427125</v>
      </c>
      <c r="C291" s="1862" t="s">
        <v>3675</v>
      </c>
      <c r="D291" s="1863">
        <f t="shared" ca="1" si="110"/>
        <v>-756.80049400003918</v>
      </c>
      <c r="E291" s="1863">
        <f ca="1">SUMIFS('CF(Y)'!45:45,'CF(Y)'!$4:$4,E$270)*100</f>
        <v>-756.80049399999803</v>
      </c>
      <c r="F291" s="1863">
        <f ca="1">SUMIFS('CF(Y)'!45:45,'CF(Y)'!$4:$4,F$270)*100</f>
        <v>1492.6766905465399</v>
      </c>
      <c r="G291" s="1863">
        <f ca="1">SUMIFS('CF(Y)'!45:45,'CF(Y)'!$4:$4,G$270)*100</f>
        <v>-756.66813427735349</v>
      </c>
      <c r="H291" s="1863">
        <f ca="1">SUMIFS('CF(Y)'!45:45,'CF(Y)'!$4:$4,H$270)*100</f>
        <v>-736.00855626918928</v>
      </c>
      <c r="I291" s="4691">
        <f ca="1">SUMIFS('CF(Y)'!45:45,'CF(Y)'!$4:$4,I$270)*100</f>
        <v>0</v>
      </c>
      <c r="J291" s="1863">
        <f ca="1">SUMIFS('CF(Y)'!45:45,'CF(Y)'!$4:$4,J$270)*100</f>
        <v>2151.7238126567472</v>
      </c>
      <c r="K291" s="1863">
        <f ca="1">SUMIFS('CF(Y)'!45:45,'CF(Y)'!$4:$4,K$270)*100</f>
        <v>2378.0380616666152</v>
      </c>
      <c r="L291" s="1863">
        <f ca="1">SUMIFS('CF(Y)'!45:45,'CF(Y)'!$4:$4,L$270)*100</f>
        <v>-1360.6539859806489</v>
      </c>
      <c r="M291" s="1863">
        <f ca="1">SUMIFS('CF(Y)'!45:45,'CF(Y)'!$4:$4,M$270)*100</f>
        <v>4401.0588057143132</v>
      </c>
      <c r="N291" s="1863">
        <f ca="1">SUMIFS('CF(Y)'!45:45,'CF(Y)'!$4:$4,N$270)*100</f>
        <v>559.42043132127674</v>
      </c>
      <c r="O291" s="1863">
        <f ca="1">SUMIFS('CF(Y)'!45:45,'CF(Y)'!$4:$4,O$270)*100</f>
        <v>2788.404462984186</v>
      </c>
      <c r="P291" s="1863">
        <f ca="1">SUMIFS('CF(Y)'!45:45,'CF(Y)'!$4:$4,P$270)*100</f>
        <v>6422.0291741389929</v>
      </c>
      <c r="Q291" s="498">
        <f ca="1">SUMIFS('CF(Y)'!45:45,'CF(Y)'!$4:$4,Q$270)*100</f>
        <v>2310.8237199699615</v>
      </c>
      <c r="R291" s="498">
        <f ca="1">SUMIFS('CF(Y)'!45:45,'CF(Y)'!$4:$4,R$270)*100</f>
        <v>1064.4397691011627</v>
      </c>
      <c r="S291" s="498">
        <f ca="1">SUMIFS('CF(Y)'!45:45,'CF(Y)'!$4:$4,S$270)*100</f>
        <v>992.92111139840677</v>
      </c>
      <c r="T291" s="498">
        <f ca="1">SUMIFS('CF(Y)'!45:45,'CF(Y)'!$4:$4,T$270)*100</f>
        <v>1857.3300981153195</v>
      </c>
      <c r="U291" s="498">
        <f ca="1">SUMIFS('CF(Y)'!45:45,'CF(Y)'!$4:$4,U$270)*100</f>
        <v>-1887.2902967554239</v>
      </c>
      <c r="V291" s="498">
        <f ca="1">SUMIFS('CF(Y)'!45:45,'CF(Y)'!$4:$4,V$270)*100</f>
        <v>-10291.852285876452</v>
      </c>
      <c r="W291" s="498">
        <f ca="1">SUMIFS('CF(Y)'!45:45,'CF(Y)'!$4:$4,W$270)*100</f>
        <v>-1588.8525355696943</v>
      </c>
      <c r="X291" s="498">
        <f ca="1">SUMIFS('CF(Y)'!45:45,'CF(Y)'!$4:$4,X$270)*100</f>
        <v>-818.78225664997046</v>
      </c>
      <c r="Y291" s="498">
        <f ca="1">SUMIFS('CF(Y)'!45:45,'CF(Y)'!$4:$4,Y$270)*100</f>
        <v>-486.51168329571277</v>
      </c>
      <c r="Z291" s="498">
        <f ca="1">SUMIFS('CF(Y)'!45:45,'CF(Y)'!$4:$4,Z$270)*100</f>
        <v>1723.2616228262671</v>
      </c>
      <c r="AA291" s="498">
        <f ca="1">SUMIFS('CF(Y)'!45:45,'CF(Y)'!$4:$4,AA$270)*100</f>
        <v>2045.7464399702899</v>
      </c>
      <c r="AB291" s="498">
        <f ca="1">SUMIFS('CF(Y)'!45:45,'CF(Y)'!$4:$4,AB$270)*100</f>
        <v>2095.1991670149937</v>
      </c>
      <c r="AC291" s="498">
        <f ca="1">SUMIFS('CF(Y)'!45:45,'CF(Y)'!$4:$4,AC$270)*100</f>
        <v>1031.5621681851467</v>
      </c>
      <c r="AD291" s="498">
        <f ca="1">SUMIFS('CF(Y)'!45:45,'CF(Y)'!$4:$4,AD$270)*100</f>
        <v>2060.7738041154976</v>
      </c>
      <c r="AE291" s="498">
        <f ca="1">SUMIFS('CF(Y)'!45:45,'CF(Y)'!$4:$4,AE$270)*100</f>
        <v>6308.4117130340946</v>
      </c>
      <c r="AF291" s="498">
        <f ca="1">SUMIFS('CF(Y)'!45:45,'CF(Y)'!$4:$4,AF$270)*100</f>
        <v>2846.9503960205784</v>
      </c>
      <c r="AG291" s="498">
        <f ca="1">SUMIFS('CF(Y)'!45:45,'CF(Y)'!$4:$4,AG$270)*100</f>
        <v>7426.243267372146</v>
      </c>
      <c r="AH291" s="498">
        <f ca="1">SUMIFS('CF(Y)'!45:45,'CF(Y)'!$4:$4,AH$270)*100</f>
        <v>3078.1191510368162</v>
      </c>
      <c r="AI291" s="498">
        <f ca="1">SUMIFS('CF(Y)'!45:45,'CF(Y)'!$4:$4,AI$270)*100</f>
        <v>5281.9543055762397</v>
      </c>
      <c r="AJ291" s="498">
        <f ca="1">SUMIFS('CF(Y)'!45:45,'CF(Y)'!$4:$4,AJ$270)*100</f>
        <v>6745.3731668622931</v>
      </c>
      <c r="AK291" s="498">
        <f ca="1">SUMIFS('CF(Y)'!45:45,'CF(Y)'!$4:$4,AK$270)*100</f>
        <v>6081.3957179237577</v>
      </c>
      <c r="AL291" s="498">
        <f ca="1">SUMIFS('CF(Y)'!45:45,'CF(Y)'!$4:$4,AL$270)*100</f>
        <v>6324.4839693346421</v>
      </c>
      <c r="AM291" s="498">
        <f ca="1">SUMIFS('CF(Y)'!45:45,'CF(Y)'!$4:$4,AM$270)*100</f>
        <v>5695.4341684090086</v>
      </c>
      <c r="AN291" s="498">
        <f ca="1">SUMIFS('CF(Y)'!45:45,'CF(Y)'!$4:$4,AN$270)*100</f>
        <v>6936.4731877259683</v>
      </c>
      <c r="AO291" s="498">
        <f ca="1">SUMIFS('CF(Y)'!45:45,'CF(Y)'!$4:$4,AO$270)*100</f>
        <v>4646.983279926083</v>
      </c>
      <c r="AP291" s="498">
        <f ca="1">SUMIFS('CF(Y)'!45:45,'CF(Y)'!$4:$4,AP$270)*100</f>
        <v>-78820.61192827292</v>
      </c>
      <c r="AQ291" s="498">
        <f>SUMIFS('CF(Y)'!45:45,'CF(Y)'!$4:$4,AQ$270)*100</f>
        <v>0</v>
      </c>
    </row>
    <row r="292" spans="2:43" ht="13.15" customHeight="1" thickBot="1">
      <c r="B292" s="1844">
        <f t="shared" ca="1" si="109"/>
        <v>9666.9714277958392</v>
      </c>
      <c r="C292" s="1862" t="s">
        <v>3676</v>
      </c>
      <c r="D292" s="1863"/>
      <c r="E292" s="1863">
        <f ca="1">SUMIFS('CF(Y)'!46:46,'CF(Y)'!$4:$4,E$270)*100</f>
        <v>756.80049400000303</v>
      </c>
      <c r="F292" s="1863">
        <f ca="1">SUMIFS('CF(Y)'!46:46,'CF(Y)'!$4:$4,F$270)*100</f>
        <v>0</v>
      </c>
      <c r="G292" s="1863">
        <f ca="1">SUMIFS('CF(Y)'!46:46,'CF(Y)'!$4:$4,G$270)*100</f>
        <v>1492.6766905465399</v>
      </c>
      <c r="H292" s="1863">
        <f ca="1">SUMIFS('CF(Y)'!46:46,'CF(Y)'!$4:$4,H$270)*100</f>
        <v>736.00855626918644</v>
      </c>
      <c r="I292" s="1863">
        <f ca="1">SUMIFS('CF(Y)'!46:46,'CF(Y)'!$4:$4,I$270)*100</f>
        <v>0</v>
      </c>
      <c r="J292" s="1863">
        <f ca="1">SUMIFS('CF(Y)'!46:46,'CF(Y)'!$4:$4,J$270)*100</f>
        <v>0</v>
      </c>
      <c r="K292" s="1863">
        <f ca="1">SUMIFS('CF(Y)'!46:46,'CF(Y)'!$4:$4,K$270)*100</f>
        <v>2151.7238126567472</v>
      </c>
      <c r="L292" s="1863">
        <f ca="1">SUMIFS('CF(Y)'!46:46,'CF(Y)'!$4:$4,L$270)*100</f>
        <v>4529.7618743233625</v>
      </c>
      <c r="M292" s="1863">
        <f ca="1">SUMIFS('CF(Y)'!46:46,'CF(Y)'!$4:$4,M$270)*100</f>
        <v>3169.1078883427131</v>
      </c>
      <c r="N292" s="1863">
        <f ca="1">SUMIFS('CF(Y)'!46:46,'CF(Y)'!$4:$4,N$270)*100</f>
        <v>7570.1666940570267</v>
      </c>
      <c r="O292" s="1863">
        <f ca="1">SUMIFS('CF(Y)'!46:46,'CF(Y)'!$4:$4,O$270)*100</f>
        <v>8129.5871253783034</v>
      </c>
      <c r="P292" s="1863">
        <f ca="1">SUMIFS('CF(Y)'!46:46,'CF(Y)'!$4:$4,P$270)*100</f>
        <v>10917.991588362489</v>
      </c>
      <c r="Q292" s="498">
        <f ca="1">SUMIFS('CF(Y)'!46:46,'CF(Y)'!$4:$4,Q$270)*100</f>
        <v>17340.020762501481</v>
      </c>
      <c r="R292" s="498">
        <f ca="1">SUMIFS('CF(Y)'!46:46,'CF(Y)'!$4:$4,R$270)*100</f>
        <v>19650.844482471446</v>
      </c>
      <c r="S292" s="498">
        <f ca="1">SUMIFS('CF(Y)'!46:46,'CF(Y)'!$4:$4,S$270)*100</f>
        <v>20715.284251572608</v>
      </c>
      <c r="T292" s="498">
        <f ca="1">SUMIFS('CF(Y)'!46:46,'CF(Y)'!$4:$4,T$270)*100</f>
        <v>21708.205362971014</v>
      </c>
      <c r="U292" s="498">
        <f ca="1">SUMIFS('CF(Y)'!46:46,'CF(Y)'!$4:$4,U$270)*100</f>
        <v>23565.535461086329</v>
      </c>
      <c r="V292" s="498">
        <f ca="1">SUMIFS('CF(Y)'!46:46,'CF(Y)'!$4:$4,V$270)*100</f>
        <v>21678.245164330907</v>
      </c>
      <c r="W292" s="498">
        <f ca="1">SUMIFS('CF(Y)'!46:46,'CF(Y)'!$4:$4,W$270)*100</f>
        <v>11386.392878454453</v>
      </c>
      <c r="X292" s="498">
        <f ca="1">SUMIFS('CF(Y)'!46:46,'CF(Y)'!$4:$4,X$270)*100</f>
        <v>9797.5403428847603</v>
      </c>
      <c r="Y292" s="498">
        <f ca="1">SUMIFS('CF(Y)'!46:46,'CF(Y)'!$4:$4,Y$270)*100</f>
        <v>8978.7580862347895</v>
      </c>
      <c r="Z292" s="498">
        <f ca="1">SUMIFS('CF(Y)'!46:46,'CF(Y)'!$4:$4,Z$270)*100</f>
        <v>8492.2464029390758</v>
      </c>
      <c r="AA292" s="498">
        <f ca="1">SUMIFS('CF(Y)'!46:46,'CF(Y)'!$4:$4,AA$270)*100</f>
        <v>10215.508025765344</v>
      </c>
      <c r="AB292" s="498">
        <f ca="1">SUMIFS('CF(Y)'!46:46,'CF(Y)'!$4:$4,AB$270)*100</f>
        <v>12261.254465735634</v>
      </c>
      <c r="AC292" s="498">
        <f ca="1">SUMIFS('CF(Y)'!46:46,'CF(Y)'!$4:$4,AC$270)*100</f>
        <v>14356.453632750628</v>
      </c>
      <c r="AD292" s="498">
        <f ca="1">SUMIFS('CF(Y)'!46:46,'CF(Y)'!$4:$4,AD$270)*100</f>
        <v>15388.015800935776</v>
      </c>
      <c r="AE292" s="498">
        <f ca="1">SUMIFS('CF(Y)'!46:46,'CF(Y)'!$4:$4,AE$270)*100</f>
        <v>17448.789605051275</v>
      </c>
      <c r="AF292" s="498">
        <f ca="1">SUMIFS('CF(Y)'!46:46,'CF(Y)'!$4:$4,AF$270)*100</f>
        <v>23757.201318085372</v>
      </c>
      <c r="AG292" s="498">
        <f ca="1">SUMIFS('CF(Y)'!46:46,'CF(Y)'!$4:$4,AG$270)*100</f>
        <v>26604.151714105948</v>
      </c>
      <c r="AH292" s="498">
        <f ca="1">SUMIFS('CF(Y)'!46:46,'CF(Y)'!$4:$4,AH$270)*100</f>
        <v>34030.394981478094</v>
      </c>
      <c r="AI292" s="498">
        <f ca="1">SUMIFS('CF(Y)'!46:46,'CF(Y)'!$4:$4,AI$270)*100</f>
        <v>37108.514132514909</v>
      </c>
      <c r="AJ292" s="498">
        <f ca="1">SUMIFS('CF(Y)'!46:46,'CF(Y)'!$4:$4,AJ$270)*100</f>
        <v>42390.468438091149</v>
      </c>
      <c r="AK292" s="498">
        <f ca="1">SUMIFS('CF(Y)'!46:46,'CF(Y)'!$4:$4,AK$270)*100</f>
        <v>49135.841604953443</v>
      </c>
      <c r="AL292" s="498">
        <f ca="1">SUMIFS('CF(Y)'!46:46,'CF(Y)'!$4:$4,AL$270)*100</f>
        <v>55217.237322877205</v>
      </c>
      <c r="AM292" s="498">
        <f ca="1">SUMIFS('CF(Y)'!46:46,'CF(Y)'!$4:$4,AM$270)*100</f>
        <v>61541.721292211842</v>
      </c>
      <c r="AN292" s="498">
        <f ca="1">SUMIFS('CF(Y)'!46:46,'CF(Y)'!$4:$4,AN$270)*100</f>
        <v>67237.155460620852</v>
      </c>
      <c r="AO292" s="498">
        <f ca="1">SUMIFS('CF(Y)'!46:46,'CF(Y)'!$4:$4,AO$270)*100</f>
        <v>74173.628648346828</v>
      </c>
      <c r="AP292" s="498">
        <f ca="1">SUMIFS('CF(Y)'!46:46,'CF(Y)'!$4:$4,AP$270)*100</f>
        <v>78820.611928272905</v>
      </c>
      <c r="AQ292" s="498">
        <f ca="1">SUMIFS('CF(Y)'!46:46,'CF(Y)'!$4:$4,AQ$270)*100</f>
        <v>0</v>
      </c>
    </row>
    <row r="293" spans="2:43" ht="13.15" customHeight="1" thickBot="1">
      <c r="B293" s="1844">
        <f t="shared" ca="1" si="109"/>
        <v>12079.278822138547</v>
      </c>
      <c r="C293" s="1862" t="s">
        <v>3677</v>
      </c>
      <c r="D293" s="1863"/>
      <c r="E293" s="1863">
        <f ca="1">SUMIFS('CF(Y)'!47:47,'CF(Y)'!$4:$4,E$270)*100</f>
        <v>0</v>
      </c>
      <c r="F293" s="1863">
        <f ca="1">SUMIFS('CF(Y)'!47:47,'CF(Y)'!$4:$4,F$270)*100</f>
        <v>1492.6766905465399</v>
      </c>
      <c r="G293" s="1863">
        <f ca="1">SUMIFS('CF(Y)'!47:47,'CF(Y)'!$4:$4,G$270)*100</f>
        <v>736.00855626918644</v>
      </c>
      <c r="H293" s="1863">
        <f ca="1">SUMIFS('CF(Y)'!47:47,'CF(Y)'!$4:$4,H$270)*100</f>
        <v>0</v>
      </c>
      <c r="I293" s="1863">
        <f ca="1">SUMIFS('CF(Y)'!47:47,'CF(Y)'!$4:$4,I$270)*100</f>
        <v>0</v>
      </c>
      <c r="J293" s="1863">
        <f ca="1">SUMIFS('CF(Y)'!47:47,'CF(Y)'!$4:$4,J$270)*100</f>
        <v>2151.7238126567472</v>
      </c>
      <c r="K293" s="1863">
        <f ca="1">SUMIFS('CF(Y)'!47:47,'CF(Y)'!$4:$4,K$270)*100</f>
        <v>4529.7618743233625</v>
      </c>
      <c r="L293" s="1863">
        <f ca="1">SUMIFS('CF(Y)'!47:47,'CF(Y)'!$4:$4,L$270)*100</f>
        <v>3169.1078883427131</v>
      </c>
      <c r="M293" s="1863">
        <f ca="1">SUMIFS('CF(Y)'!47:47,'CF(Y)'!$4:$4,M$270)*100</f>
        <v>7570.1666940570267</v>
      </c>
      <c r="N293" s="1863">
        <f ca="1">SUMIFS('CF(Y)'!47:47,'CF(Y)'!$4:$4,N$270)*100</f>
        <v>8129.5871253783034</v>
      </c>
      <c r="O293" s="1863">
        <f ca="1">SUMIFS('CF(Y)'!47:47,'CF(Y)'!$4:$4,O$270)*100</f>
        <v>10917.991588362489</v>
      </c>
      <c r="P293" s="1863">
        <f ca="1">SUMIFS('CF(Y)'!47:47,'CF(Y)'!$4:$4,P$270)*100</f>
        <v>17340.020762501481</v>
      </c>
      <c r="Q293" s="498">
        <f ca="1">SUMIFS('CF(Y)'!47:47,'CF(Y)'!$4:$4,Q$270)*100</f>
        <v>19650.844482471446</v>
      </c>
      <c r="R293" s="498">
        <f ca="1">SUMIFS('CF(Y)'!47:47,'CF(Y)'!$4:$4,R$270)*100</f>
        <v>20715.284251572608</v>
      </c>
      <c r="S293" s="498">
        <f ca="1">SUMIFS('CF(Y)'!47:47,'CF(Y)'!$4:$4,S$270)*100</f>
        <v>21708.205362971014</v>
      </c>
      <c r="T293" s="498">
        <f ca="1">SUMIFS('CF(Y)'!47:47,'CF(Y)'!$4:$4,T$270)*100</f>
        <v>23565.535461086329</v>
      </c>
      <c r="U293" s="498">
        <f ca="1">SUMIFS('CF(Y)'!47:47,'CF(Y)'!$4:$4,U$270)*100</f>
        <v>21678.245164330907</v>
      </c>
      <c r="V293" s="498">
        <f ca="1">SUMIFS('CF(Y)'!47:47,'CF(Y)'!$4:$4,V$270)*100</f>
        <v>11386.392878454453</v>
      </c>
      <c r="W293" s="498">
        <f ca="1">SUMIFS('CF(Y)'!47:47,'CF(Y)'!$4:$4,W$270)*100</f>
        <v>9797.5403428847603</v>
      </c>
      <c r="X293" s="498">
        <f ca="1">SUMIFS('CF(Y)'!47:47,'CF(Y)'!$4:$4,X$270)*100</f>
        <v>8978.7580862347895</v>
      </c>
      <c r="Y293" s="498">
        <f ca="1">SUMIFS('CF(Y)'!47:47,'CF(Y)'!$4:$4,Y$270)*100</f>
        <v>8492.2464029390758</v>
      </c>
      <c r="Z293" s="498">
        <f ca="1">SUMIFS('CF(Y)'!47:47,'CF(Y)'!$4:$4,Z$270)*100</f>
        <v>10215.508025765344</v>
      </c>
      <c r="AA293" s="498">
        <f ca="1">SUMIFS('CF(Y)'!47:47,'CF(Y)'!$4:$4,AA$270)*100</f>
        <v>12261.254465735634</v>
      </c>
      <c r="AB293" s="498">
        <f ca="1">SUMIFS('CF(Y)'!47:47,'CF(Y)'!$4:$4,AB$270)*100</f>
        <v>14356.453632750628</v>
      </c>
      <c r="AC293" s="498">
        <f ca="1">SUMIFS('CF(Y)'!47:47,'CF(Y)'!$4:$4,AC$270)*100</f>
        <v>15388.015800935776</v>
      </c>
      <c r="AD293" s="498">
        <f ca="1">SUMIFS('CF(Y)'!47:47,'CF(Y)'!$4:$4,AD$270)*100</f>
        <v>17448.789605051275</v>
      </c>
      <c r="AE293" s="498">
        <f ca="1">SUMIFS('CF(Y)'!47:47,'CF(Y)'!$4:$4,AE$270)*100</f>
        <v>23757.201318085372</v>
      </c>
      <c r="AF293" s="498">
        <f ca="1">SUMIFS('CF(Y)'!47:47,'CF(Y)'!$4:$4,AF$270)*100</f>
        <v>26604.151714105948</v>
      </c>
      <c r="AG293" s="498">
        <f ca="1">SUMIFS('CF(Y)'!47:47,'CF(Y)'!$4:$4,AG$270)*100</f>
        <v>34030.394981478094</v>
      </c>
      <c r="AH293" s="498">
        <f ca="1">SUMIFS('CF(Y)'!47:47,'CF(Y)'!$4:$4,AH$270)*100</f>
        <v>37108.514132514909</v>
      </c>
      <c r="AI293" s="498">
        <f ca="1">SUMIFS('CF(Y)'!47:47,'CF(Y)'!$4:$4,AI$270)*100</f>
        <v>42390.468438091149</v>
      </c>
      <c r="AJ293" s="498">
        <f ca="1">SUMIFS('CF(Y)'!47:47,'CF(Y)'!$4:$4,AJ$270)*100</f>
        <v>49135.841604953443</v>
      </c>
      <c r="AK293" s="498">
        <f ca="1">SUMIFS('CF(Y)'!47:47,'CF(Y)'!$4:$4,AK$270)*100</f>
        <v>55217.237322877205</v>
      </c>
      <c r="AL293" s="498">
        <f ca="1">SUMIFS('CF(Y)'!47:47,'CF(Y)'!$4:$4,AL$270)*100</f>
        <v>61541.721292211842</v>
      </c>
      <c r="AM293" s="498">
        <f ca="1">SUMIFS('CF(Y)'!47:47,'CF(Y)'!$4:$4,AM$270)*100</f>
        <v>67237.155460620852</v>
      </c>
      <c r="AN293" s="498">
        <f ca="1">SUMIFS('CF(Y)'!47:47,'CF(Y)'!$4:$4,AN$270)*100</f>
        <v>74173.628648346828</v>
      </c>
      <c r="AO293" s="498">
        <f ca="1">SUMIFS('CF(Y)'!47:47,'CF(Y)'!$4:$4,AO$270)*100</f>
        <v>78820.611928272905</v>
      </c>
      <c r="AP293" s="498">
        <f ca="1">SUMIFS('CF(Y)'!47:47,'CF(Y)'!$4:$4,AP$270)*100</f>
        <v>0</v>
      </c>
      <c r="AQ293" s="498">
        <f ca="1">SUMIFS('CF(Y)'!47:47,'CF(Y)'!$4:$4,AQ$270)*100</f>
        <v>0</v>
      </c>
    </row>
    <row r="294" spans="2:43" ht="13.15" customHeight="1">
      <c r="E294" s="1844">
        <f>E272-SUM(E273:E275)</f>
        <v>0</v>
      </c>
      <c r="F294" s="1844">
        <f t="shared" ref="F294:AP294" ca="1" si="112">F272-SUM(F273:F275)</f>
        <v>0</v>
      </c>
      <c r="G294" s="1844">
        <f t="shared" ca="1" si="112"/>
        <v>0</v>
      </c>
      <c r="H294" s="1844">
        <f t="shared" ca="1" si="112"/>
        <v>0</v>
      </c>
      <c r="I294" s="1844">
        <f t="shared" ca="1" si="112"/>
        <v>0</v>
      </c>
      <c r="J294" s="1844">
        <f t="shared" ca="1" si="112"/>
        <v>0</v>
      </c>
      <c r="K294" s="1844">
        <f t="shared" ca="1" si="112"/>
        <v>0</v>
      </c>
      <c r="L294" s="1844">
        <f t="shared" ca="1" si="112"/>
        <v>0</v>
      </c>
      <c r="M294" s="1844">
        <f t="shared" ca="1" si="112"/>
        <v>0</v>
      </c>
      <c r="N294" s="1844">
        <f t="shared" ca="1" si="112"/>
        <v>0</v>
      </c>
      <c r="O294" s="1844">
        <f t="shared" ca="1" si="112"/>
        <v>0</v>
      </c>
      <c r="P294" s="1844">
        <f t="shared" ca="1" si="112"/>
        <v>0</v>
      </c>
      <c r="Q294" s="1844">
        <f t="shared" ca="1" si="112"/>
        <v>0</v>
      </c>
      <c r="R294" s="1844">
        <f t="shared" ca="1" si="112"/>
        <v>0</v>
      </c>
      <c r="S294" s="1844">
        <f t="shared" ca="1" si="112"/>
        <v>0</v>
      </c>
      <c r="T294" s="1844">
        <f t="shared" ca="1" si="112"/>
        <v>0</v>
      </c>
      <c r="U294" s="1844">
        <f t="shared" ca="1" si="112"/>
        <v>0</v>
      </c>
      <c r="V294" s="1844">
        <f t="shared" ca="1" si="112"/>
        <v>0</v>
      </c>
      <c r="W294" s="1844">
        <f t="shared" ca="1" si="112"/>
        <v>0</v>
      </c>
      <c r="X294" s="1844">
        <f t="shared" ca="1" si="112"/>
        <v>0</v>
      </c>
      <c r="Y294" s="1844">
        <f t="shared" ca="1" si="112"/>
        <v>0</v>
      </c>
      <c r="Z294" s="1844">
        <f t="shared" ca="1" si="112"/>
        <v>0</v>
      </c>
      <c r="AA294" s="1844">
        <f t="shared" ca="1" si="112"/>
        <v>0</v>
      </c>
      <c r="AB294" s="1844">
        <f t="shared" ca="1" si="112"/>
        <v>0</v>
      </c>
      <c r="AC294" s="1844">
        <f t="shared" ca="1" si="112"/>
        <v>0</v>
      </c>
      <c r="AD294" s="1844">
        <f t="shared" ca="1" si="112"/>
        <v>0</v>
      </c>
      <c r="AE294" s="1844">
        <f t="shared" ca="1" si="112"/>
        <v>0</v>
      </c>
      <c r="AF294" s="1844">
        <f t="shared" ca="1" si="112"/>
        <v>0</v>
      </c>
      <c r="AG294" s="1844">
        <f t="shared" ca="1" si="112"/>
        <v>0</v>
      </c>
      <c r="AH294" s="1844">
        <f t="shared" ca="1" si="112"/>
        <v>0</v>
      </c>
      <c r="AI294" s="1844">
        <f t="shared" ca="1" si="112"/>
        <v>0</v>
      </c>
      <c r="AJ294" s="1844">
        <f t="shared" ca="1" si="112"/>
        <v>0</v>
      </c>
      <c r="AK294" s="1844">
        <f t="shared" ca="1" si="112"/>
        <v>0</v>
      </c>
      <c r="AL294" s="1844">
        <f t="shared" ca="1" si="112"/>
        <v>0</v>
      </c>
      <c r="AM294" s="1844">
        <f t="shared" ca="1" si="112"/>
        <v>0</v>
      </c>
      <c r="AN294" s="1844">
        <f t="shared" ca="1" si="112"/>
        <v>0</v>
      </c>
      <c r="AO294" s="1844">
        <f t="shared" ca="1" si="112"/>
        <v>0</v>
      </c>
      <c r="AP294" s="1844">
        <f t="shared" ca="1" si="112"/>
        <v>0</v>
      </c>
    </row>
    <row r="295" spans="2:43" ht="13.15" customHeight="1">
      <c r="E295" s="1844">
        <f ca="1">SUM(E277:E282)-E276</f>
        <v>0</v>
      </c>
      <c r="F295" s="1844">
        <f t="shared" ref="F295:AP295" ca="1" si="113">SUM(F277:F282)-F276</f>
        <v>0</v>
      </c>
      <c r="G295" s="1844">
        <f t="shared" ca="1" si="113"/>
        <v>0</v>
      </c>
      <c r="H295" s="1844">
        <f t="shared" ca="1" si="113"/>
        <v>0</v>
      </c>
      <c r="I295" s="1844">
        <f t="shared" ca="1" si="113"/>
        <v>0</v>
      </c>
      <c r="J295" s="1844">
        <f t="shared" ca="1" si="113"/>
        <v>0</v>
      </c>
      <c r="K295" s="1844">
        <f t="shared" ca="1" si="113"/>
        <v>0</v>
      </c>
      <c r="L295" s="1844">
        <f t="shared" ca="1" si="113"/>
        <v>0</v>
      </c>
      <c r="M295" s="1844">
        <f t="shared" ca="1" si="113"/>
        <v>0</v>
      </c>
      <c r="N295" s="1844">
        <f t="shared" ca="1" si="113"/>
        <v>0</v>
      </c>
      <c r="O295" s="1844">
        <f t="shared" ca="1" si="113"/>
        <v>0</v>
      </c>
      <c r="P295" s="1844">
        <f t="shared" ca="1" si="113"/>
        <v>0</v>
      </c>
      <c r="Q295" s="1844">
        <f t="shared" ca="1" si="113"/>
        <v>0</v>
      </c>
      <c r="R295" s="1844">
        <f t="shared" ca="1" si="113"/>
        <v>0</v>
      </c>
      <c r="S295" s="1844">
        <f t="shared" ca="1" si="113"/>
        <v>0</v>
      </c>
      <c r="T295" s="1844">
        <f t="shared" ca="1" si="113"/>
        <v>0</v>
      </c>
      <c r="U295" s="1844">
        <f t="shared" ca="1" si="113"/>
        <v>0</v>
      </c>
      <c r="V295" s="1844">
        <f t="shared" ca="1" si="113"/>
        <v>0</v>
      </c>
      <c r="W295" s="1844">
        <f t="shared" ca="1" si="113"/>
        <v>0</v>
      </c>
      <c r="X295" s="1844">
        <f t="shared" ca="1" si="113"/>
        <v>0</v>
      </c>
      <c r="Y295" s="1844">
        <f t="shared" ca="1" si="113"/>
        <v>0</v>
      </c>
      <c r="Z295" s="1844">
        <f t="shared" ca="1" si="113"/>
        <v>0</v>
      </c>
      <c r="AA295" s="1844">
        <f t="shared" ca="1" si="113"/>
        <v>0</v>
      </c>
      <c r="AB295" s="1844">
        <f t="shared" ca="1" si="113"/>
        <v>0</v>
      </c>
      <c r="AC295" s="1844">
        <f t="shared" ca="1" si="113"/>
        <v>0</v>
      </c>
      <c r="AD295" s="1844">
        <f t="shared" ca="1" si="113"/>
        <v>0</v>
      </c>
      <c r="AE295" s="1844">
        <f t="shared" ca="1" si="113"/>
        <v>0</v>
      </c>
      <c r="AF295" s="1844">
        <f t="shared" ca="1" si="113"/>
        <v>0</v>
      </c>
      <c r="AG295" s="1844">
        <f t="shared" ca="1" si="113"/>
        <v>0</v>
      </c>
      <c r="AH295" s="1844">
        <f t="shared" ca="1" si="113"/>
        <v>0</v>
      </c>
      <c r="AI295" s="1844">
        <f t="shared" ca="1" si="113"/>
        <v>0</v>
      </c>
      <c r="AJ295" s="1844">
        <f t="shared" ca="1" si="113"/>
        <v>0</v>
      </c>
      <c r="AK295" s="1844">
        <f t="shared" ca="1" si="113"/>
        <v>0</v>
      </c>
      <c r="AL295" s="1844">
        <f t="shared" ca="1" si="113"/>
        <v>0</v>
      </c>
      <c r="AM295" s="1844">
        <f t="shared" ca="1" si="113"/>
        <v>0</v>
      </c>
      <c r="AN295" s="1844">
        <f t="shared" ca="1" si="113"/>
        <v>0</v>
      </c>
      <c r="AO295" s="1844">
        <f t="shared" ca="1" si="113"/>
        <v>0</v>
      </c>
      <c r="AP295" s="1844">
        <f t="shared" ca="1" si="113"/>
        <v>0</v>
      </c>
    </row>
    <row r="296" spans="2:43" ht="13.15" customHeight="1">
      <c r="E296" s="1844">
        <f ca="1">E271+E283+E286-E291</f>
        <v>0</v>
      </c>
      <c r="F296" s="1844">
        <f t="shared" ref="F296:AP296" ca="1" si="114">F271+F283+F286-F291</f>
        <v>0</v>
      </c>
      <c r="G296" s="1844">
        <f t="shared" ca="1" si="114"/>
        <v>0</v>
      </c>
      <c r="H296" s="1844">
        <f t="shared" ca="1" si="114"/>
        <v>0</v>
      </c>
      <c r="I296" s="1844">
        <f t="shared" ca="1" si="114"/>
        <v>0</v>
      </c>
      <c r="J296" s="1844">
        <f t="shared" ca="1" si="114"/>
        <v>0</v>
      </c>
      <c r="K296" s="1844">
        <f t="shared" ca="1" si="114"/>
        <v>0</v>
      </c>
      <c r="L296" s="1844">
        <f t="shared" ca="1" si="114"/>
        <v>0</v>
      </c>
      <c r="M296" s="1844">
        <f t="shared" ca="1" si="114"/>
        <v>0</v>
      </c>
      <c r="N296" s="1844">
        <f t="shared" ca="1" si="114"/>
        <v>0</v>
      </c>
      <c r="O296" s="1844">
        <f t="shared" ca="1" si="114"/>
        <v>0</v>
      </c>
      <c r="P296" s="1844">
        <f t="shared" ca="1" si="114"/>
        <v>0</v>
      </c>
      <c r="Q296" s="1844">
        <f t="shared" ca="1" si="114"/>
        <v>0</v>
      </c>
      <c r="R296" s="1844">
        <f t="shared" ca="1" si="114"/>
        <v>0</v>
      </c>
      <c r="S296" s="1844">
        <f t="shared" ca="1" si="114"/>
        <v>0</v>
      </c>
      <c r="T296" s="1844">
        <f t="shared" ca="1" si="114"/>
        <v>0</v>
      </c>
      <c r="U296" s="1844">
        <f t="shared" ca="1" si="114"/>
        <v>0</v>
      </c>
      <c r="V296" s="1844">
        <f t="shared" ca="1" si="114"/>
        <v>0</v>
      </c>
      <c r="W296" s="1844">
        <f t="shared" ca="1" si="114"/>
        <v>0</v>
      </c>
      <c r="X296" s="1844">
        <f t="shared" ca="1" si="114"/>
        <v>0</v>
      </c>
      <c r="Y296" s="1844">
        <f t="shared" ca="1" si="114"/>
        <v>-9.6633812063373625E-13</v>
      </c>
      <c r="Z296" s="1844">
        <f t="shared" ca="1" si="114"/>
        <v>0</v>
      </c>
      <c r="AA296" s="1844">
        <f t="shared" ca="1" si="114"/>
        <v>0</v>
      </c>
      <c r="AB296" s="1844">
        <f t="shared" ca="1" si="114"/>
        <v>0</v>
      </c>
      <c r="AC296" s="1844">
        <f t="shared" ca="1" si="114"/>
        <v>0</v>
      </c>
      <c r="AD296" s="1844">
        <f t="shared" ca="1" si="114"/>
        <v>0</v>
      </c>
      <c r="AE296" s="1844">
        <f t="shared" ca="1" si="114"/>
        <v>0</v>
      </c>
      <c r="AF296" s="1844">
        <f t="shared" ca="1" si="114"/>
        <v>0</v>
      </c>
      <c r="AG296" s="1844">
        <f t="shared" ca="1" si="114"/>
        <v>0</v>
      </c>
      <c r="AH296" s="1844">
        <f t="shared" ca="1" si="114"/>
        <v>0</v>
      </c>
      <c r="AI296" s="1844">
        <f t="shared" ca="1" si="114"/>
        <v>0</v>
      </c>
      <c r="AJ296" s="1844">
        <f t="shared" ca="1" si="114"/>
        <v>0</v>
      </c>
      <c r="AK296" s="1844">
        <f t="shared" ca="1" si="114"/>
        <v>0</v>
      </c>
      <c r="AL296" s="1844">
        <f t="shared" ca="1" si="114"/>
        <v>0</v>
      </c>
      <c r="AM296" s="1844">
        <f t="shared" ca="1" si="114"/>
        <v>0</v>
      </c>
      <c r="AN296" s="1844">
        <f t="shared" ca="1" si="114"/>
        <v>0</v>
      </c>
      <c r="AO296" s="1844">
        <f t="shared" ca="1" si="114"/>
        <v>0</v>
      </c>
      <c r="AP296" s="1844">
        <f t="shared" ca="1" si="114"/>
        <v>0</v>
      </c>
    </row>
    <row r="297" spans="2:43" ht="13.15" customHeight="1">
      <c r="E297" s="1844">
        <f ca="1">E292+E291-E293</f>
        <v>5.0022208597511053E-12</v>
      </c>
      <c r="F297" s="1844">
        <f t="shared" ref="F297:AP297" ca="1" si="115">F292+F291-F293</f>
        <v>0</v>
      </c>
      <c r="G297" s="1844">
        <f t="shared" ca="1" si="115"/>
        <v>0</v>
      </c>
      <c r="H297" s="1844">
        <f t="shared" ca="1" si="115"/>
        <v>-2.8421709430404007E-12</v>
      </c>
      <c r="I297" s="1844">
        <f t="shared" ca="1" si="115"/>
        <v>0</v>
      </c>
      <c r="J297" s="1844">
        <f t="shared" ca="1" si="115"/>
        <v>0</v>
      </c>
      <c r="K297" s="1844">
        <f t="shared" ca="1" si="115"/>
        <v>0</v>
      </c>
      <c r="L297" s="1844">
        <f t="shared" ca="1" si="115"/>
        <v>0</v>
      </c>
      <c r="M297" s="1844">
        <f t="shared" ca="1" si="115"/>
        <v>0</v>
      </c>
      <c r="N297" s="1844">
        <f t="shared" ca="1" si="115"/>
        <v>0</v>
      </c>
      <c r="O297" s="1844">
        <f t="shared" ca="1" si="115"/>
        <v>0</v>
      </c>
      <c r="P297" s="1844">
        <f t="shared" ca="1" si="115"/>
        <v>0</v>
      </c>
      <c r="Q297" s="1844">
        <f t="shared" ca="1" si="115"/>
        <v>0</v>
      </c>
      <c r="R297" s="1844">
        <f t="shared" ca="1" si="115"/>
        <v>0</v>
      </c>
      <c r="S297" s="1844">
        <f t="shared" ca="1" si="115"/>
        <v>0</v>
      </c>
      <c r="T297" s="1844">
        <f t="shared" ca="1" si="115"/>
        <v>0</v>
      </c>
      <c r="U297" s="1844">
        <f t="shared" ca="1" si="115"/>
        <v>0</v>
      </c>
      <c r="V297" s="1844">
        <f t="shared" ca="1" si="115"/>
        <v>0</v>
      </c>
      <c r="W297" s="1844">
        <f t="shared" ca="1" si="115"/>
        <v>0</v>
      </c>
      <c r="X297" s="1844">
        <f t="shared" ca="1" si="115"/>
        <v>0</v>
      </c>
      <c r="Y297" s="1844">
        <f t="shared" ca="1" si="115"/>
        <v>0</v>
      </c>
      <c r="Z297" s="1844">
        <f t="shared" ca="1" si="115"/>
        <v>0</v>
      </c>
      <c r="AA297" s="1844">
        <f t="shared" ca="1" si="115"/>
        <v>0</v>
      </c>
      <c r="AB297" s="1844">
        <f t="shared" ca="1" si="115"/>
        <v>0</v>
      </c>
      <c r="AC297" s="1844">
        <f t="shared" ca="1" si="115"/>
        <v>0</v>
      </c>
      <c r="AD297" s="1844">
        <f t="shared" ca="1" si="115"/>
        <v>0</v>
      </c>
      <c r="AE297" s="1844">
        <f t="shared" ca="1" si="115"/>
        <v>0</v>
      </c>
      <c r="AF297" s="1844">
        <f t="shared" ca="1" si="115"/>
        <v>0</v>
      </c>
      <c r="AG297" s="1844">
        <f t="shared" ca="1" si="115"/>
        <v>0</v>
      </c>
      <c r="AH297" s="1844">
        <f t="shared" ca="1" si="115"/>
        <v>0</v>
      </c>
      <c r="AI297" s="1844">
        <f t="shared" ca="1" si="115"/>
        <v>0</v>
      </c>
      <c r="AJ297" s="1844">
        <f t="shared" ca="1" si="115"/>
        <v>0</v>
      </c>
      <c r="AK297" s="1844">
        <f t="shared" ca="1" si="115"/>
        <v>0</v>
      </c>
      <c r="AL297" s="1844">
        <f t="shared" ca="1" si="115"/>
        <v>0</v>
      </c>
      <c r="AM297" s="1844">
        <f t="shared" ca="1" si="115"/>
        <v>0</v>
      </c>
      <c r="AN297" s="1844">
        <f t="shared" ca="1" si="115"/>
        <v>0</v>
      </c>
      <c r="AO297" s="1844">
        <f t="shared" ca="1" si="115"/>
        <v>0</v>
      </c>
      <c r="AP297" s="1844">
        <f t="shared" ca="1" si="115"/>
        <v>-1.4551915228366852E-11</v>
      </c>
    </row>
    <row r="298" spans="2:43" ht="13.15" customHeight="1" thickBot="1"/>
    <row r="299" spans="2:43" ht="13.15" customHeight="1" thickBot="1">
      <c r="C299" s="1865" t="s">
        <v>48</v>
      </c>
      <c r="D299" s="1861">
        <f>Q270</f>
        <v>2034</v>
      </c>
      <c r="E299" s="1866">
        <f t="shared" ref="E299:P314" si="116">R270</f>
        <v>2035</v>
      </c>
      <c r="F299" s="1866">
        <f t="shared" si="116"/>
        <v>2036</v>
      </c>
      <c r="G299" s="1866">
        <f t="shared" si="116"/>
        <v>2037</v>
      </c>
      <c r="H299" s="1866">
        <f t="shared" si="116"/>
        <v>2038</v>
      </c>
      <c r="I299" s="1866">
        <f t="shared" si="116"/>
        <v>2039</v>
      </c>
      <c r="J299" s="1866">
        <f t="shared" si="116"/>
        <v>2040</v>
      </c>
      <c r="K299" s="1866">
        <f t="shared" si="116"/>
        <v>2041</v>
      </c>
      <c r="L299" s="1866">
        <f t="shared" si="116"/>
        <v>2042</v>
      </c>
      <c r="M299" s="1866">
        <f t="shared" si="116"/>
        <v>2043</v>
      </c>
      <c r="N299" s="1866">
        <f t="shared" si="116"/>
        <v>2044</v>
      </c>
      <c r="O299" s="1866">
        <f t="shared" si="116"/>
        <v>2045</v>
      </c>
      <c r="P299" s="1866">
        <f t="shared" si="116"/>
        <v>2046</v>
      </c>
    </row>
    <row r="300" spans="2:43" ht="13.15" customHeight="1" thickBot="1">
      <c r="C300" s="1862" t="s">
        <v>3657</v>
      </c>
      <c r="D300" s="1863">
        <f t="shared" ref="D300:P315" ca="1" si="117">Q271</f>
        <v>9015.3730375387622</v>
      </c>
      <c r="E300" s="1863">
        <f t="shared" ca="1" si="116"/>
        <v>8680.3516878050796</v>
      </c>
      <c r="F300" s="1863">
        <f t="shared" ca="1" si="116"/>
        <v>10421.921804088424</v>
      </c>
      <c r="G300" s="1863">
        <f t="shared" ca="1" si="116"/>
        <v>9828.6122310260907</v>
      </c>
      <c r="H300" s="1863">
        <f t="shared" ca="1" si="116"/>
        <v>9821.2356842241607</v>
      </c>
      <c r="I300" s="1863">
        <f t="shared" ca="1" si="116"/>
        <v>10742.919454162404</v>
      </c>
      <c r="J300" s="1863">
        <f t="shared" ca="1" si="116"/>
        <v>11241.137463784833</v>
      </c>
      <c r="K300" s="1863">
        <f t="shared" ca="1" si="116"/>
        <v>10716.525590317997</v>
      </c>
      <c r="L300" s="1863">
        <f t="shared" ca="1" si="116"/>
        <v>12584.833135762585</v>
      </c>
      <c r="M300" s="1863">
        <f t="shared" ca="1" si="116"/>
        <v>11933.215912221624</v>
      </c>
      <c r="N300" s="1863">
        <f t="shared" ca="1" si="116"/>
        <v>12261.254465735641</v>
      </c>
      <c r="O300" s="1863">
        <f t="shared" ca="1" si="116"/>
        <v>13034.878879044732</v>
      </c>
      <c r="P300" s="1863">
        <f t="shared" ca="1" si="116"/>
        <v>13181.940923273896</v>
      </c>
    </row>
    <row r="301" spans="2:43" ht="13.15" customHeight="1" thickBot="1">
      <c r="C301" s="1862" t="s">
        <v>3658</v>
      </c>
      <c r="D301" s="1863">
        <f t="shared" ca="1" si="117"/>
        <v>36127.540830497106</v>
      </c>
      <c r="E301" s="1863">
        <f t="shared" ca="1" si="116"/>
        <v>36456.969060160831</v>
      </c>
      <c r="F301" s="1863">
        <f t="shared" ca="1" si="116"/>
        <v>37898.347599860404</v>
      </c>
      <c r="G301" s="1863">
        <f t="shared" ca="1" si="116"/>
        <v>38238.404137159327</v>
      </c>
      <c r="H301" s="1863">
        <f t="shared" ca="1" si="116"/>
        <v>38577.71650020477</v>
      </c>
      <c r="I301" s="1863">
        <f t="shared" ca="1" si="116"/>
        <v>40094.655224283095</v>
      </c>
      <c r="J301" s="1863">
        <f t="shared" ca="1" si="116"/>
        <v>40444.929692002443</v>
      </c>
      <c r="K301" s="1863">
        <f t="shared" ca="1" si="116"/>
        <v>40794.422776755673</v>
      </c>
      <c r="L301" s="1863">
        <f t="shared" ca="1" si="116"/>
        <v>42390.193791473488</v>
      </c>
      <c r="M301" s="1863">
        <f t="shared" ca="1" si="116"/>
        <v>42750.993539240982</v>
      </c>
      <c r="N301" s="1863">
        <f t="shared" ca="1" si="116"/>
        <v>43110.972834894033</v>
      </c>
      <c r="O301" s="1863">
        <f t="shared" ca="1" si="116"/>
        <v>44788.978355515981</v>
      </c>
      <c r="P301" s="1863">
        <f t="shared" ca="1" si="116"/>
        <v>45160.61999403387</v>
      </c>
    </row>
    <row r="302" spans="2:43" ht="13.15" customHeight="1" thickBot="1">
      <c r="C302" s="1847" t="s">
        <v>3659</v>
      </c>
      <c r="D302" s="1863">
        <f t="shared" ca="1" si="117"/>
        <v>33430.436364907102</v>
      </c>
      <c r="E302" s="1863">
        <f t="shared" ca="1" si="116"/>
        <v>33759.800269980078</v>
      </c>
      <c r="F302" s="1863">
        <f t="shared" ca="1" si="116"/>
        <v>35111.839100304649</v>
      </c>
      <c r="G302" s="1863">
        <f t="shared" ca="1" si="116"/>
        <v>35451.083922529819</v>
      </c>
      <c r="H302" s="1863">
        <f t="shared" ca="1" si="116"/>
        <v>35790.328744754974</v>
      </c>
      <c r="I302" s="1863">
        <f t="shared" ca="1" si="116"/>
        <v>37213.460773989551</v>
      </c>
      <c r="J302" s="1863">
        <f t="shared" ca="1" si="116"/>
        <v>37562.882940881471</v>
      </c>
      <c r="K302" s="1863">
        <f t="shared" ca="1" si="116"/>
        <v>37912.305107773391</v>
      </c>
      <c r="L302" s="1863">
        <f t="shared" ca="1" si="116"/>
        <v>39409.579092905275</v>
      </c>
      <c r="M302" s="1863">
        <f t="shared" ca="1" si="116"/>
        <v>39769.483924803957</v>
      </c>
      <c r="N302" s="1863">
        <f t="shared" ca="1" si="116"/>
        <v>40129.38875670264</v>
      </c>
      <c r="O302" s="1863">
        <f t="shared" ca="1" si="116"/>
        <v>41703.972396259356</v>
      </c>
      <c r="P302" s="1863">
        <f t="shared" ca="1" si="116"/>
        <v>42074.674373114991</v>
      </c>
    </row>
    <row r="303" spans="2:43" ht="13.15" customHeight="1" thickBot="1">
      <c r="C303" s="1847" t="s">
        <v>3660</v>
      </c>
      <c r="D303" s="1863">
        <f t="shared" ca="1" si="117"/>
        <v>2697.1044655900041</v>
      </c>
      <c r="E303" s="1863">
        <f t="shared" ca="1" si="116"/>
        <v>2697.1687901807527</v>
      </c>
      <c r="F303" s="1863">
        <f t="shared" ca="1" si="116"/>
        <v>2786.5084995557554</v>
      </c>
      <c r="G303" s="1863">
        <f t="shared" ca="1" si="116"/>
        <v>2787.320214629508</v>
      </c>
      <c r="H303" s="1863">
        <f t="shared" ca="1" si="116"/>
        <v>2787.3877554497958</v>
      </c>
      <c r="I303" s="1863">
        <f t="shared" ca="1" si="116"/>
        <v>2881.1944502935439</v>
      </c>
      <c r="J303" s="1863">
        <f t="shared" ca="1" si="116"/>
        <v>2882.0467511209717</v>
      </c>
      <c r="K303" s="1863">
        <f t="shared" ca="1" si="116"/>
        <v>2882.1176689822823</v>
      </c>
      <c r="L303" s="1863">
        <f t="shared" ca="1" si="116"/>
        <v>2980.6146985682135</v>
      </c>
      <c r="M303" s="1863">
        <f t="shared" ca="1" si="116"/>
        <v>2981.5096144370254</v>
      </c>
      <c r="N303" s="1863">
        <f t="shared" ca="1" si="116"/>
        <v>2981.5840781913939</v>
      </c>
      <c r="O303" s="1863">
        <f t="shared" ca="1" si="116"/>
        <v>3085.0059592566249</v>
      </c>
      <c r="P303" s="1863">
        <f t="shared" ca="1" si="116"/>
        <v>3085.9456209188793</v>
      </c>
    </row>
    <row r="304" spans="2:43" ht="13.15" customHeight="1" thickBot="1">
      <c r="C304" s="1847" t="s">
        <v>3661</v>
      </c>
      <c r="D304" s="1863">
        <f t="shared" si="117"/>
        <v>0</v>
      </c>
      <c r="E304" s="1863">
        <f t="shared" si="116"/>
        <v>0</v>
      </c>
      <c r="F304" s="1863">
        <f t="shared" si="116"/>
        <v>0</v>
      </c>
      <c r="G304" s="1863">
        <f t="shared" si="116"/>
        <v>0</v>
      </c>
      <c r="H304" s="1863">
        <f t="shared" si="116"/>
        <v>0</v>
      </c>
      <c r="I304" s="1863">
        <f t="shared" si="116"/>
        <v>0</v>
      </c>
      <c r="J304" s="1863">
        <f t="shared" si="116"/>
        <v>0</v>
      </c>
      <c r="K304" s="1863">
        <f t="shared" si="116"/>
        <v>0</v>
      </c>
      <c r="L304" s="1863">
        <f t="shared" si="116"/>
        <v>0</v>
      </c>
      <c r="M304" s="1863">
        <f t="shared" si="116"/>
        <v>0</v>
      </c>
      <c r="N304" s="1863">
        <f t="shared" si="116"/>
        <v>0</v>
      </c>
      <c r="O304" s="1863">
        <f t="shared" si="116"/>
        <v>0</v>
      </c>
      <c r="P304" s="1863">
        <f t="shared" si="116"/>
        <v>0</v>
      </c>
    </row>
    <row r="305" spans="3:16" ht="13.15" customHeight="1" thickBot="1">
      <c r="C305" s="1862" t="s">
        <v>3662</v>
      </c>
      <c r="D305" s="1863">
        <f t="shared" ca="1" si="117"/>
        <v>27112.167792958342</v>
      </c>
      <c r="E305" s="1863">
        <f t="shared" ca="1" si="116"/>
        <v>27776.617372355748</v>
      </c>
      <c r="F305" s="1863">
        <f t="shared" ca="1" si="116"/>
        <v>27476.425795771978</v>
      </c>
      <c r="G305" s="1863">
        <f t="shared" ca="1" si="116"/>
        <v>28409.791906133232</v>
      </c>
      <c r="H305" s="1863">
        <f t="shared" ca="1" si="116"/>
        <v>28756.480815980609</v>
      </c>
      <c r="I305" s="1863">
        <f t="shared" ca="1" si="116"/>
        <v>29351.735770120689</v>
      </c>
      <c r="J305" s="1863">
        <f t="shared" ca="1" si="116"/>
        <v>29203.792228217611</v>
      </c>
      <c r="K305" s="1863">
        <f t="shared" ca="1" si="116"/>
        <v>30077.897186437673</v>
      </c>
      <c r="L305" s="1863">
        <f t="shared" ca="1" si="116"/>
        <v>29805.360655710905</v>
      </c>
      <c r="M305" s="1863">
        <f t="shared" ca="1" si="116"/>
        <v>30817.777627019357</v>
      </c>
      <c r="N305" s="1863">
        <f t="shared" ca="1" si="116"/>
        <v>30849.718369158392</v>
      </c>
      <c r="O305" s="1863">
        <f t="shared" ca="1" si="116"/>
        <v>31754.099476471249</v>
      </c>
      <c r="P305" s="1863">
        <f t="shared" ca="1" si="116"/>
        <v>31978.679070759972</v>
      </c>
    </row>
    <row r="306" spans="3:16" ht="13.15" customHeight="1" thickBot="1">
      <c r="C306" s="1847" t="s">
        <v>251</v>
      </c>
      <c r="D306" s="1863">
        <f t="shared" ca="1" si="117"/>
        <v>25341.902539256316</v>
      </c>
      <c r="E306" s="1863">
        <f t="shared" ca="1" si="116"/>
        <v>25778.866531306248</v>
      </c>
      <c r="F306" s="1863">
        <f t="shared" ca="1" si="116"/>
        <v>26038.30283682837</v>
      </c>
      <c r="G306" s="1863">
        <f t="shared" ca="1" si="116"/>
        <v>26493.440291912833</v>
      </c>
      <c r="H306" s="1863">
        <f t="shared" ca="1" si="116"/>
        <v>26768.117496966381</v>
      </c>
      <c r="I306" s="1863">
        <f t="shared" ca="1" si="116"/>
        <v>27247.313996075871</v>
      </c>
      <c r="J306" s="1863">
        <f t="shared" ca="1" si="116"/>
        <v>27561.611440473287</v>
      </c>
      <c r="K306" s="1863">
        <f t="shared" ca="1" si="116"/>
        <v>28064.380124739364</v>
      </c>
      <c r="L306" s="1863">
        <f t="shared" ca="1" si="116"/>
        <v>28351.749506335553</v>
      </c>
      <c r="M306" s="1863">
        <f t="shared" ca="1" si="116"/>
        <v>28847.098636629831</v>
      </c>
      <c r="N306" s="1863">
        <f t="shared" ca="1" si="116"/>
        <v>29138.966866147806</v>
      </c>
      <c r="O306" s="1863">
        <f t="shared" ca="1" si="116"/>
        <v>29691.887180534966</v>
      </c>
      <c r="P306" s="1863">
        <f t="shared" ca="1" si="116"/>
        <v>29954.505233739023</v>
      </c>
    </row>
    <row r="307" spans="3:16" ht="13.15" customHeight="1" thickBot="1">
      <c r="C307" s="1847" t="s">
        <v>1252</v>
      </c>
      <c r="D307" s="1863">
        <f t="shared" ca="1" si="117"/>
        <v>0</v>
      </c>
      <c r="E307" s="1863">
        <f t="shared" ca="1" si="116"/>
        <v>344.84226397128714</v>
      </c>
      <c r="F307" s="1863">
        <f t="shared" ca="1" si="116"/>
        <v>0</v>
      </c>
      <c r="G307" s="1863">
        <f t="shared" ca="1" si="116"/>
        <v>0</v>
      </c>
      <c r="H307" s="1863">
        <f t="shared" ca="1" si="116"/>
        <v>284.23306352950453</v>
      </c>
      <c r="I307" s="1863">
        <f t="shared" ca="1" si="116"/>
        <v>545.44324891311908</v>
      </c>
      <c r="J307" s="1863">
        <f t="shared" ca="1" si="116"/>
        <v>0</v>
      </c>
      <c r="K307" s="1863">
        <f t="shared" ca="1" si="116"/>
        <v>0</v>
      </c>
      <c r="L307" s="1863">
        <f t="shared" ca="1" si="116"/>
        <v>0</v>
      </c>
      <c r="M307" s="1863">
        <f t="shared" ca="1" si="116"/>
        <v>0</v>
      </c>
      <c r="N307" s="1863">
        <f t="shared" ca="1" si="116"/>
        <v>0</v>
      </c>
      <c r="O307" s="1863">
        <f t="shared" ca="1" si="116"/>
        <v>304.73631564765958</v>
      </c>
      <c r="P307" s="1863">
        <f t="shared" ca="1" si="116"/>
        <v>0</v>
      </c>
    </row>
    <row r="308" spans="3:16" ht="13.15" customHeight="1" thickBot="1">
      <c r="C308" s="1847" t="s">
        <v>3663</v>
      </c>
      <c r="D308" s="1863">
        <f t="shared" ca="1" si="117"/>
        <v>680</v>
      </c>
      <c r="E308" s="1863">
        <f t="shared" ca="1" si="116"/>
        <v>680</v>
      </c>
      <c r="F308" s="1863">
        <f t="shared" ca="1" si="116"/>
        <v>680</v>
      </c>
      <c r="G308" s="1863">
        <f t="shared" ca="1" si="116"/>
        <v>680</v>
      </c>
      <c r="H308" s="1863">
        <f t="shared" ca="1" si="116"/>
        <v>680</v>
      </c>
      <c r="I308" s="1863">
        <f t="shared" ca="1" si="116"/>
        <v>680</v>
      </c>
      <c r="J308" s="1863">
        <f t="shared" ca="1" si="116"/>
        <v>680</v>
      </c>
      <c r="K308" s="1863">
        <f t="shared" ca="1" si="116"/>
        <v>509.99999999999994</v>
      </c>
      <c r="L308" s="1863">
        <f t="shared" ca="1" si="116"/>
        <v>0</v>
      </c>
      <c r="M308" s="1863">
        <f t="shared" ca="1" si="116"/>
        <v>0</v>
      </c>
      <c r="N308" s="1863">
        <f t="shared" ca="1" si="116"/>
        <v>0</v>
      </c>
      <c r="O308" s="1863">
        <f t="shared" ca="1" si="116"/>
        <v>0</v>
      </c>
      <c r="P308" s="1863">
        <f t="shared" ca="1" si="116"/>
        <v>0</v>
      </c>
    </row>
    <row r="309" spans="3:16" ht="13.15" customHeight="1" thickBot="1">
      <c r="C309" s="1847" t="s">
        <v>3664</v>
      </c>
      <c r="D309" s="1863">
        <f t="shared" ca="1" si="117"/>
        <v>0</v>
      </c>
      <c r="E309" s="1863">
        <f t="shared" ca="1" si="116"/>
        <v>0</v>
      </c>
      <c r="F309" s="1863">
        <f t="shared" ca="1" si="116"/>
        <v>0</v>
      </c>
      <c r="G309" s="1863">
        <f t="shared" ca="1" si="116"/>
        <v>0</v>
      </c>
      <c r="H309" s="1863">
        <f t="shared" ca="1" si="116"/>
        <v>0</v>
      </c>
      <c r="I309" s="1863">
        <f t="shared" ca="1" si="116"/>
        <v>0</v>
      </c>
      <c r="J309" s="1863">
        <f t="shared" ca="1" si="116"/>
        <v>0</v>
      </c>
      <c r="K309" s="1863">
        <f t="shared" ca="1" si="116"/>
        <v>0</v>
      </c>
      <c r="L309" s="1863">
        <f t="shared" ca="1" si="116"/>
        <v>0</v>
      </c>
      <c r="M309" s="1863">
        <f t="shared" ca="1" si="116"/>
        <v>0</v>
      </c>
      <c r="N309" s="1863">
        <f t="shared" ca="1" si="116"/>
        <v>0</v>
      </c>
      <c r="O309" s="1863">
        <f t="shared" ca="1" si="116"/>
        <v>0</v>
      </c>
      <c r="P309" s="1863">
        <f t="shared" ca="1" si="116"/>
        <v>0</v>
      </c>
    </row>
    <row r="310" spans="3:16" ht="13.15" customHeight="1" thickBot="1">
      <c r="C310" s="1847" t="s">
        <v>3665</v>
      </c>
      <c r="D310" s="1863">
        <f t="shared" ca="1" si="117"/>
        <v>0</v>
      </c>
      <c r="E310" s="1863">
        <f t="shared" ca="1" si="116"/>
        <v>0</v>
      </c>
      <c r="F310" s="1863">
        <f t="shared" ca="1" si="116"/>
        <v>0</v>
      </c>
      <c r="G310" s="1863">
        <f t="shared" ca="1" si="116"/>
        <v>0</v>
      </c>
      <c r="H310" s="1863">
        <f t="shared" ca="1" si="116"/>
        <v>0</v>
      </c>
      <c r="I310" s="1863">
        <f t="shared" ca="1" si="116"/>
        <v>0</v>
      </c>
      <c r="J310" s="1863">
        <f t="shared" ca="1" si="116"/>
        <v>0</v>
      </c>
      <c r="K310" s="1863">
        <f t="shared" ca="1" si="116"/>
        <v>0</v>
      </c>
      <c r="L310" s="1863">
        <f t="shared" ca="1" si="116"/>
        <v>0</v>
      </c>
      <c r="M310" s="1863">
        <f t="shared" ca="1" si="116"/>
        <v>0</v>
      </c>
      <c r="N310" s="1863">
        <f t="shared" ca="1" si="116"/>
        <v>0</v>
      </c>
      <c r="O310" s="1863">
        <f t="shared" ca="1" si="116"/>
        <v>0</v>
      </c>
      <c r="P310" s="1863">
        <f t="shared" ca="1" si="116"/>
        <v>0</v>
      </c>
    </row>
    <row r="311" spans="3:16" ht="13.15" customHeight="1" thickBot="1">
      <c r="C311" s="1847" t="s">
        <v>3666</v>
      </c>
      <c r="D311" s="1863">
        <f t="shared" ca="1" si="117"/>
        <v>1090.265253702021</v>
      </c>
      <c r="E311" s="1863">
        <f t="shared" ca="1" si="116"/>
        <v>972.90857707821021</v>
      </c>
      <c r="F311" s="1863">
        <f t="shared" ca="1" si="116"/>
        <v>758.12295894360602</v>
      </c>
      <c r="G311" s="1863">
        <f t="shared" ca="1" si="116"/>
        <v>1236.3516142203973</v>
      </c>
      <c r="H311" s="1863">
        <f t="shared" ca="1" si="116"/>
        <v>1024.1302554847191</v>
      </c>
      <c r="I311" s="1863">
        <f t="shared" ca="1" si="116"/>
        <v>878.97852513169573</v>
      </c>
      <c r="J311" s="1863">
        <f t="shared" ca="1" si="116"/>
        <v>962.18078774432388</v>
      </c>
      <c r="K311" s="1863">
        <f t="shared" ca="1" si="116"/>
        <v>1503.5170616983062</v>
      </c>
      <c r="L311" s="1863">
        <f t="shared" ca="1" si="116"/>
        <v>1453.6111493753485</v>
      </c>
      <c r="M311" s="1863">
        <f t="shared" ca="1" si="116"/>
        <v>1970.6789903895269</v>
      </c>
      <c r="N311" s="1863">
        <f t="shared" ca="1" si="116"/>
        <v>1710.7515030105915</v>
      </c>
      <c r="O311" s="1863">
        <f t="shared" ca="1" si="116"/>
        <v>1757.4759802886226</v>
      </c>
      <c r="P311" s="1863">
        <f t="shared" ca="1" si="116"/>
        <v>2024.1738370209468</v>
      </c>
    </row>
    <row r="312" spans="3:16" ht="13.15" customHeight="1" thickBot="1">
      <c r="C312" s="1862" t="s">
        <v>3667</v>
      </c>
      <c r="D312" s="1863">
        <f t="shared" ca="1" si="117"/>
        <v>-3414.2798412998686</v>
      </c>
      <c r="E312" s="1863">
        <f t="shared" ca="1" si="116"/>
        <v>-4368.0020103029647</v>
      </c>
      <c r="F312" s="1863">
        <f t="shared" ca="1" si="116"/>
        <v>-6023.9892768656337</v>
      </c>
      <c r="G312" s="1863">
        <f t="shared" ca="1" si="116"/>
        <v>-2389.715278354498</v>
      </c>
      <c r="H312" s="1863">
        <f t="shared" ca="1" si="116"/>
        <v>-5968.8943341195945</v>
      </c>
      <c r="I312" s="1863">
        <f t="shared" ca="1" si="116"/>
        <v>-13941.696902865926</v>
      </c>
      <c r="J312" s="1863">
        <f t="shared" ca="1" si="116"/>
        <v>-5491.4592342410724</v>
      </c>
      <c r="K312" s="1863">
        <f t="shared" ca="1" si="116"/>
        <v>-3014.7967431018392</v>
      </c>
      <c r="L312" s="1863">
        <f t="shared" ca="1" si="116"/>
        <v>-4264.0761136021656</v>
      </c>
      <c r="M312" s="1863">
        <f t="shared" ca="1" si="116"/>
        <v>-1717.7078864562716</v>
      </c>
      <c r="N312" s="1863">
        <f t="shared" ca="1" si="116"/>
        <v>0</v>
      </c>
      <c r="O312" s="1863">
        <f t="shared" ca="1" si="116"/>
        <v>-101.5787718825532</v>
      </c>
      <c r="P312" s="1863">
        <f t="shared" ca="1" si="116"/>
        <v>-1655.3119218884451</v>
      </c>
    </row>
    <row r="313" spans="3:16" ht="13.15" customHeight="1" thickBot="1">
      <c r="C313" s="1862" t="s">
        <v>3668</v>
      </c>
      <c r="D313" s="1863">
        <f t="shared" ca="1" si="117"/>
        <v>3414.2798412998686</v>
      </c>
      <c r="E313" s="1863">
        <f t="shared" ca="1" si="116"/>
        <v>4368.0020103029647</v>
      </c>
      <c r="F313" s="1863">
        <f t="shared" ca="1" si="116"/>
        <v>6023.9892768656337</v>
      </c>
      <c r="G313" s="1863">
        <f t="shared" ca="1" si="116"/>
        <v>2389.715278354498</v>
      </c>
      <c r="H313" s="1863">
        <f t="shared" ca="1" si="116"/>
        <v>5968.8943341195945</v>
      </c>
      <c r="I313" s="1863">
        <f t="shared" ca="1" si="116"/>
        <v>13941.696902865926</v>
      </c>
      <c r="J313" s="1863">
        <f t="shared" ca="1" si="116"/>
        <v>5491.4592342410724</v>
      </c>
      <c r="K313" s="1863">
        <f t="shared" ca="1" si="116"/>
        <v>3014.7967431018392</v>
      </c>
      <c r="L313" s="1863">
        <f t="shared" ca="1" si="116"/>
        <v>4264.0761136021656</v>
      </c>
      <c r="M313" s="1863">
        <f t="shared" ca="1" si="116"/>
        <v>1717.7078864562716</v>
      </c>
      <c r="N313" s="1863">
        <f t="shared" ca="1" si="116"/>
        <v>0</v>
      </c>
      <c r="O313" s="1863">
        <f t="shared" ca="1" si="116"/>
        <v>101.5787718825532</v>
      </c>
      <c r="P313" s="1863">
        <f t="shared" ca="1" si="116"/>
        <v>1655.3119218884451</v>
      </c>
    </row>
    <row r="314" spans="3:16" ht="13.15" customHeight="1" thickBot="1">
      <c r="C314" s="1847" t="s">
        <v>3669</v>
      </c>
      <c r="D314" s="1863">
        <f t="shared" ca="1" si="117"/>
        <v>3414.2798412998686</v>
      </c>
      <c r="E314" s="1863">
        <f t="shared" ca="1" si="116"/>
        <v>4368.0020103029647</v>
      </c>
      <c r="F314" s="1863">
        <f t="shared" ca="1" si="116"/>
        <v>6023.9892768656337</v>
      </c>
      <c r="G314" s="1863">
        <f t="shared" ca="1" si="116"/>
        <v>2389.715278354498</v>
      </c>
      <c r="H314" s="1863">
        <f t="shared" ca="1" si="116"/>
        <v>5968.8943341195945</v>
      </c>
      <c r="I314" s="1863">
        <f t="shared" ca="1" si="116"/>
        <v>13941.696902865926</v>
      </c>
      <c r="J314" s="1863">
        <f t="shared" ca="1" si="116"/>
        <v>5491.4592342410724</v>
      </c>
      <c r="K314" s="1863">
        <f t="shared" ca="1" si="116"/>
        <v>3014.7967431018392</v>
      </c>
      <c r="L314" s="1863">
        <f t="shared" ca="1" si="116"/>
        <v>4264.0761136021656</v>
      </c>
      <c r="M314" s="1863">
        <f t="shared" ca="1" si="116"/>
        <v>1717.7078864562716</v>
      </c>
      <c r="N314" s="1863">
        <f t="shared" ca="1" si="116"/>
        <v>0</v>
      </c>
      <c r="O314" s="1863">
        <f t="shared" ca="1" si="116"/>
        <v>101.5787718825532</v>
      </c>
      <c r="P314" s="1863">
        <f t="shared" ca="1" si="116"/>
        <v>1655.3119218884451</v>
      </c>
    </row>
    <row r="315" spans="3:16" ht="13.15" customHeight="1" thickBot="1">
      <c r="C315" s="1862" t="s">
        <v>3670</v>
      </c>
      <c r="D315" s="1863">
        <f t="shared" ca="1" si="117"/>
        <v>-3290.2694762689321</v>
      </c>
      <c r="E315" s="1863">
        <f t="shared" ca="1" si="117"/>
        <v>-3247.9099084009526</v>
      </c>
      <c r="F315" s="1863">
        <f t="shared" ca="1" si="117"/>
        <v>-3405.0114158243837</v>
      </c>
      <c r="G315" s="1863">
        <f t="shared" ca="1" si="117"/>
        <v>-5581.566854556273</v>
      </c>
      <c r="H315" s="1863">
        <f t="shared" ca="1" si="117"/>
        <v>-5739.6316468599898</v>
      </c>
      <c r="I315" s="1863">
        <f t="shared" ca="1" si="117"/>
        <v>-7093.0748371729305</v>
      </c>
      <c r="J315" s="1863">
        <f t="shared" ca="1" si="117"/>
        <v>-7338.5307651134535</v>
      </c>
      <c r="K315" s="1863">
        <f t="shared" ca="1" si="117"/>
        <v>-8520.5111038661289</v>
      </c>
      <c r="L315" s="1863">
        <f t="shared" ca="1" si="117"/>
        <v>-8807.268705456132</v>
      </c>
      <c r="M315" s="1863">
        <f t="shared" ca="1" si="117"/>
        <v>-8492.2464029390849</v>
      </c>
      <c r="N315" s="1863">
        <f t="shared" ca="1" si="117"/>
        <v>-10215.508025765352</v>
      </c>
      <c r="O315" s="1863">
        <f t="shared" ca="1" si="117"/>
        <v>-10838.100940147186</v>
      </c>
      <c r="P315" s="1863">
        <f t="shared" ca="1" si="117"/>
        <v>-10495.066833200304</v>
      </c>
    </row>
    <row r="316" spans="3:16" ht="13.15" customHeight="1" thickBot="1">
      <c r="C316" s="1862" t="s">
        <v>3671</v>
      </c>
      <c r="D316" s="1863">
        <f t="shared" ref="D316:P322" ca="1" si="118">Q287</f>
        <v>0</v>
      </c>
      <c r="E316" s="1863">
        <f t="shared" ca="1" si="118"/>
        <v>0</v>
      </c>
      <c r="F316" s="1863">
        <f t="shared" ca="1" si="118"/>
        <v>0</v>
      </c>
      <c r="G316" s="1863">
        <f t="shared" ca="1" si="118"/>
        <v>0</v>
      </c>
      <c r="H316" s="1863">
        <f t="shared" ca="1" si="118"/>
        <v>0</v>
      </c>
      <c r="I316" s="1863">
        <f t="shared" ca="1" si="118"/>
        <v>0</v>
      </c>
      <c r="J316" s="1863">
        <f t="shared" ca="1" si="118"/>
        <v>0</v>
      </c>
      <c r="K316" s="1863">
        <f t="shared" ca="1" si="118"/>
        <v>0</v>
      </c>
      <c r="L316" s="1863">
        <f t="shared" ca="1" si="118"/>
        <v>0</v>
      </c>
      <c r="M316" s="1863">
        <f t="shared" ca="1" si="118"/>
        <v>0</v>
      </c>
      <c r="N316" s="1863">
        <f t="shared" ca="1" si="118"/>
        <v>0</v>
      </c>
      <c r="O316" s="1863">
        <f t="shared" ca="1" si="118"/>
        <v>0</v>
      </c>
      <c r="P316" s="1863">
        <f t="shared" ca="1" si="118"/>
        <v>0</v>
      </c>
    </row>
    <row r="317" spans="3:16" ht="13.15" customHeight="1" thickBot="1">
      <c r="C317" s="1862" t="s">
        <v>3672</v>
      </c>
      <c r="D317" s="1863">
        <f t="shared" ca="1" si="118"/>
        <v>3290.2694762689321</v>
      </c>
      <c r="E317" s="1863">
        <f t="shared" ca="1" si="118"/>
        <v>3247.9099084009526</v>
      </c>
      <c r="F317" s="1863">
        <f t="shared" ca="1" si="118"/>
        <v>3405.0114158243837</v>
      </c>
      <c r="G317" s="1863">
        <f t="shared" ca="1" si="118"/>
        <v>5581.566854556273</v>
      </c>
      <c r="H317" s="1863">
        <f t="shared" ca="1" si="118"/>
        <v>5739.6316468599898</v>
      </c>
      <c r="I317" s="1863">
        <f t="shared" ca="1" si="118"/>
        <v>7093.0748371729305</v>
      </c>
      <c r="J317" s="1863">
        <f t="shared" ca="1" si="118"/>
        <v>7338.5307651134535</v>
      </c>
      <c r="K317" s="1863">
        <f t="shared" ca="1" si="118"/>
        <v>8520.5111038661289</v>
      </c>
      <c r="L317" s="1863">
        <f t="shared" ca="1" si="118"/>
        <v>8807.268705456132</v>
      </c>
      <c r="M317" s="1863">
        <f t="shared" ca="1" si="118"/>
        <v>8492.2464029390849</v>
      </c>
      <c r="N317" s="1863">
        <f t="shared" ca="1" si="118"/>
        <v>10215.508025765352</v>
      </c>
      <c r="O317" s="1863">
        <f t="shared" ca="1" si="118"/>
        <v>10838.100940147186</v>
      </c>
      <c r="P317" s="1863">
        <f t="shared" ca="1" si="118"/>
        <v>10495.066833200304</v>
      </c>
    </row>
    <row r="318" spans="3:16" ht="13.15" customHeight="1" thickBot="1">
      <c r="C318" s="1847" t="s">
        <v>3673</v>
      </c>
      <c r="D318" s="1863">
        <f t="shared" si="118"/>
        <v>0</v>
      </c>
      <c r="E318" s="1863">
        <f t="shared" si="118"/>
        <v>0</v>
      </c>
      <c r="F318" s="1863">
        <f t="shared" si="118"/>
        <v>0</v>
      </c>
      <c r="G318" s="1863">
        <f t="shared" si="118"/>
        <v>0</v>
      </c>
      <c r="H318" s="1863">
        <f t="shared" si="118"/>
        <v>0</v>
      </c>
      <c r="I318" s="1863">
        <f t="shared" si="118"/>
        <v>0</v>
      </c>
      <c r="J318" s="1863">
        <f t="shared" si="118"/>
        <v>0</v>
      </c>
      <c r="K318" s="1863">
        <f t="shared" si="118"/>
        <v>0</v>
      </c>
      <c r="L318" s="1863">
        <f t="shared" si="118"/>
        <v>0</v>
      </c>
      <c r="M318" s="1863">
        <f t="shared" si="118"/>
        <v>0</v>
      </c>
      <c r="N318" s="1863">
        <f t="shared" si="118"/>
        <v>0</v>
      </c>
      <c r="O318" s="1863">
        <f t="shared" si="118"/>
        <v>0</v>
      </c>
      <c r="P318" s="1863">
        <f t="shared" si="118"/>
        <v>0</v>
      </c>
    </row>
    <row r="319" spans="3:16" ht="13.15" customHeight="1" thickBot="1">
      <c r="C319" s="1847" t="s">
        <v>3674</v>
      </c>
      <c r="D319" s="1863">
        <f t="shared" ca="1" si="118"/>
        <v>3290.2694762689321</v>
      </c>
      <c r="E319" s="1863">
        <f t="shared" ca="1" si="118"/>
        <v>3247.9099084009526</v>
      </c>
      <c r="F319" s="1863">
        <f t="shared" ca="1" si="118"/>
        <v>3405.0114158243837</v>
      </c>
      <c r="G319" s="1863">
        <f t="shared" ca="1" si="118"/>
        <v>5581.566854556273</v>
      </c>
      <c r="H319" s="1863">
        <f t="shared" ca="1" si="118"/>
        <v>5739.6316468599898</v>
      </c>
      <c r="I319" s="1863">
        <f t="shared" ca="1" si="118"/>
        <v>7093.0748371729305</v>
      </c>
      <c r="J319" s="1863">
        <f t="shared" ca="1" si="118"/>
        <v>7338.5307651134535</v>
      </c>
      <c r="K319" s="1863">
        <f t="shared" ca="1" si="118"/>
        <v>8520.5111038661289</v>
      </c>
      <c r="L319" s="1863">
        <f t="shared" ca="1" si="118"/>
        <v>8807.268705456132</v>
      </c>
      <c r="M319" s="1863">
        <f t="shared" ca="1" si="118"/>
        <v>8492.2464029390849</v>
      </c>
      <c r="N319" s="1863">
        <f t="shared" ca="1" si="118"/>
        <v>10215.508025765352</v>
      </c>
      <c r="O319" s="1863">
        <f t="shared" ca="1" si="118"/>
        <v>10838.100940147186</v>
      </c>
      <c r="P319" s="1863">
        <f t="shared" ca="1" si="118"/>
        <v>10495.066833200304</v>
      </c>
    </row>
    <row r="320" spans="3:16" ht="13.15" customHeight="1" thickBot="1">
      <c r="C320" s="1862" t="s">
        <v>3675</v>
      </c>
      <c r="D320" s="1863">
        <f t="shared" ca="1" si="118"/>
        <v>2310.8237199699615</v>
      </c>
      <c r="E320" s="1863">
        <f t="shared" ca="1" si="118"/>
        <v>1064.4397691011627</v>
      </c>
      <c r="F320" s="1863">
        <f t="shared" ca="1" si="118"/>
        <v>992.92111139840677</v>
      </c>
      <c r="G320" s="1863">
        <f t="shared" ca="1" si="118"/>
        <v>1857.3300981153195</v>
      </c>
      <c r="H320" s="1863">
        <f t="shared" ca="1" si="118"/>
        <v>-1887.2902967554239</v>
      </c>
      <c r="I320" s="1863">
        <f t="shared" ca="1" si="118"/>
        <v>-10291.852285876452</v>
      </c>
      <c r="J320" s="1863">
        <f t="shared" ca="1" si="118"/>
        <v>-1588.8525355696943</v>
      </c>
      <c r="K320" s="1863">
        <f t="shared" ca="1" si="118"/>
        <v>-818.78225664997046</v>
      </c>
      <c r="L320" s="1863">
        <f t="shared" ca="1" si="118"/>
        <v>-486.51168329571277</v>
      </c>
      <c r="M320" s="1863">
        <f t="shared" ca="1" si="118"/>
        <v>1723.2616228262671</v>
      </c>
      <c r="N320" s="1863">
        <f t="shared" ca="1" si="118"/>
        <v>2045.7464399702899</v>
      </c>
      <c r="O320" s="1863">
        <f t="shared" ca="1" si="118"/>
        <v>2095.1991670149937</v>
      </c>
      <c r="P320" s="1863">
        <f t="shared" ca="1" si="118"/>
        <v>1031.5621681851467</v>
      </c>
    </row>
    <row r="321" spans="3:16" ht="13.15" customHeight="1" thickBot="1">
      <c r="C321" s="1862" t="s">
        <v>3676</v>
      </c>
      <c r="D321" s="1863">
        <f t="shared" ca="1" si="118"/>
        <v>17340.020762501481</v>
      </c>
      <c r="E321" s="1863">
        <f t="shared" ca="1" si="118"/>
        <v>19650.844482471446</v>
      </c>
      <c r="F321" s="1863">
        <f t="shared" ca="1" si="118"/>
        <v>20715.284251572608</v>
      </c>
      <c r="G321" s="1863">
        <f t="shared" ca="1" si="118"/>
        <v>21708.205362971014</v>
      </c>
      <c r="H321" s="1863">
        <f t="shared" ca="1" si="118"/>
        <v>23565.535461086329</v>
      </c>
      <c r="I321" s="1863">
        <f t="shared" ca="1" si="118"/>
        <v>21678.245164330907</v>
      </c>
      <c r="J321" s="1863">
        <f t="shared" ca="1" si="118"/>
        <v>11386.392878454453</v>
      </c>
      <c r="K321" s="1863">
        <f t="shared" ca="1" si="118"/>
        <v>9797.5403428847603</v>
      </c>
      <c r="L321" s="1863">
        <f t="shared" ca="1" si="118"/>
        <v>8978.7580862347895</v>
      </c>
      <c r="M321" s="1863">
        <f t="shared" ca="1" si="118"/>
        <v>8492.2464029390758</v>
      </c>
      <c r="N321" s="1863">
        <f t="shared" ca="1" si="118"/>
        <v>10215.508025765344</v>
      </c>
      <c r="O321" s="1863">
        <f t="shared" ca="1" si="118"/>
        <v>12261.254465735634</v>
      </c>
      <c r="P321" s="1863">
        <f t="shared" ca="1" si="118"/>
        <v>14356.453632750628</v>
      </c>
    </row>
    <row r="322" spans="3:16" ht="13.15" customHeight="1" thickBot="1">
      <c r="C322" s="1862" t="s">
        <v>3677</v>
      </c>
      <c r="D322" s="1863">
        <f t="shared" ca="1" si="118"/>
        <v>19650.844482471446</v>
      </c>
      <c r="E322" s="1863">
        <f t="shared" ca="1" si="118"/>
        <v>20715.284251572608</v>
      </c>
      <c r="F322" s="1863">
        <f t="shared" ca="1" si="118"/>
        <v>21708.205362971014</v>
      </c>
      <c r="G322" s="1863">
        <f t="shared" ca="1" si="118"/>
        <v>23565.535461086329</v>
      </c>
      <c r="H322" s="1863">
        <f t="shared" ca="1" si="118"/>
        <v>21678.245164330907</v>
      </c>
      <c r="I322" s="1863">
        <f t="shared" ca="1" si="118"/>
        <v>11386.392878454453</v>
      </c>
      <c r="J322" s="1863">
        <f t="shared" ca="1" si="118"/>
        <v>9797.5403428847603</v>
      </c>
      <c r="K322" s="1863">
        <f t="shared" ca="1" si="118"/>
        <v>8978.7580862347895</v>
      </c>
      <c r="L322" s="1863">
        <f t="shared" ca="1" si="118"/>
        <v>8492.2464029390758</v>
      </c>
      <c r="M322" s="1863">
        <f t="shared" ca="1" si="118"/>
        <v>10215.508025765344</v>
      </c>
      <c r="N322" s="1863">
        <f t="shared" ca="1" si="118"/>
        <v>12261.254465735634</v>
      </c>
      <c r="O322" s="1863">
        <f t="shared" ca="1" si="118"/>
        <v>14356.453632750628</v>
      </c>
      <c r="P322" s="1863">
        <f t="shared" ca="1" si="118"/>
        <v>15388.015800935776</v>
      </c>
    </row>
    <row r="323" spans="3:16" ht="13.15" customHeight="1" thickBot="1"/>
    <row r="324" spans="3:16" ht="13.15" customHeight="1" thickBot="1">
      <c r="C324" s="1865" t="s">
        <v>48</v>
      </c>
      <c r="D324" s="1861">
        <f>AD270</f>
        <v>2047</v>
      </c>
      <c r="E324" s="1866">
        <f t="shared" ref="E324:P339" si="119">AE270</f>
        <v>2048</v>
      </c>
      <c r="F324" s="1866">
        <f t="shared" si="119"/>
        <v>2049</v>
      </c>
      <c r="G324" s="1866">
        <f t="shared" si="119"/>
        <v>2050</v>
      </c>
      <c r="H324" s="1866">
        <f t="shared" si="119"/>
        <v>2051</v>
      </c>
      <c r="I324" s="1866">
        <f t="shared" si="119"/>
        <v>2052</v>
      </c>
      <c r="J324" s="1866">
        <f t="shared" si="119"/>
        <v>2053</v>
      </c>
      <c r="K324" s="1866">
        <f t="shared" si="119"/>
        <v>2054</v>
      </c>
      <c r="L324" s="1866">
        <f t="shared" si="119"/>
        <v>2055</v>
      </c>
      <c r="M324" s="1866">
        <f t="shared" si="119"/>
        <v>2056</v>
      </c>
      <c r="N324" s="1866">
        <f t="shared" si="119"/>
        <v>2057</v>
      </c>
      <c r="O324" s="1866">
        <f t="shared" si="119"/>
        <v>2058</v>
      </c>
      <c r="P324" s="1866">
        <f t="shared" si="119"/>
        <v>2059</v>
      </c>
    </row>
    <row r="325" spans="3:16" ht="13.15" customHeight="1" thickBot="1">
      <c r="C325" s="1862" t="s">
        <v>3657</v>
      </c>
      <c r="D325" s="1863">
        <f t="shared" ref="D325:P347" ca="1" si="120">AD271</f>
        <v>12599.51344882752</v>
      </c>
      <c r="E325" s="1863">
        <f t="shared" ca="1" si="119"/>
        <v>14064.134812405235</v>
      </c>
      <c r="F325" s="1863">
        <f t="shared" ca="1" si="119"/>
        <v>12681.147886589861</v>
      </c>
      <c r="G325" s="1863">
        <f t="shared" ca="1" si="119"/>
        <v>13717.588638481555</v>
      </c>
      <c r="H325" s="1863">
        <f t="shared" ca="1" si="119"/>
        <v>14607.189433831803</v>
      </c>
      <c r="I325" s="1863">
        <f t="shared" ca="1" si="119"/>
        <v>13834.718073056116</v>
      </c>
      <c r="J325" s="1863">
        <f t="shared" ca="1" si="119"/>
        <v>14157.812059558744</v>
      </c>
      <c r="K325" s="1863">
        <f t="shared" ca="1" si="119"/>
        <v>15718.389077754353</v>
      </c>
      <c r="L325" s="1863">
        <f t="shared" ca="1" si="119"/>
        <v>14991.765011158775</v>
      </c>
      <c r="M325" s="1863">
        <f t="shared" ca="1" si="119"/>
        <v>15171.377152910918</v>
      </c>
      <c r="N325" s="1863">
        <f t="shared" ca="1" si="119"/>
        <v>16037.395229252008</v>
      </c>
      <c r="O325" s="1863">
        <f t="shared" ca="1" si="119"/>
        <v>15628.322240319585</v>
      </c>
      <c r="P325" s="1863">
        <f t="shared" ca="1" si="119"/>
        <v>7681.9524140507037</v>
      </c>
    </row>
    <row r="326" spans="3:16" ht="13.15" customHeight="1" thickBot="1">
      <c r="C326" s="1862" t="s">
        <v>3658</v>
      </c>
      <c r="D326" s="1863">
        <f t="shared" ca="1" si="120"/>
        <v>45531.400157831587</v>
      </c>
      <c r="E326" s="1863">
        <f t="shared" ca="1" si="119"/>
        <v>47295.177459610517</v>
      </c>
      <c r="F326" s="1863">
        <f t="shared" ca="1" si="119"/>
        <v>47677.98714051718</v>
      </c>
      <c r="G326" s="1863">
        <f t="shared" ca="1" si="119"/>
        <v>48059.892272967678</v>
      </c>
      <c r="H326" s="1863">
        <f t="shared" ca="1" si="119"/>
        <v>49913.118826556863</v>
      </c>
      <c r="I326" s="1863">
        <f t="shared" ca="1" si="119"/>
        <v>50307.432530785634</v>
      </c>
      <c r="J326" s="1863">
        <f t="shared" ca="1" si="119"/>
        <v>50700.796459135432</v>
      </c>
      <c r="K326" s="1863">
        <f t="shared" ca="1" si="119"/>
        <v>52647.295257261918</v>
      </c>
      <c r="L326" s="1863">
        <f t="shared" ca="1" si="119"/>
        <v>53053.459092157209</v>
      </c>
      <c r="M326" s="1863">
        <f t="shared" ca="1" si="119"/>
        <v>53458.625662379585</v>
      </c>
      <c r="N326" s="1863">
        <f t="shared" ca="1" si="119"/>
        <v>55502.370744866959</v>
      </c>
      <c r="O326" s="1863">
        <f t="shared" ca="1" si="119"/>
        <v>55920.741250325736</v>
      </c>
      <c r="P326" s="1863">
        <f t="shared" ca="1" si="119"/>
        <v>28169.032313938977</v>
      </c>
    </row>
    <row r="327" spans="3:16" ht="13.15" customHeight="1" thickBot="1">
      <c r="C327" s="1847" t="s">
        <v>3659</v>
      </c>
      <c r="D327" s="1863">
        <f t="shared" ca="1" si="120"/>
        <v>42445.376349970626</v>
      </c>
      <c r="E327" s="1863">
        <f t="shared" ca="1" si="119"/>
        <v>44100.560676631059</v>
      </c>
      <c r="F327" s="1863">
        <f t="shared" ca="1" si="119"/>
        <v>44482.383712792362</v>
      </c>
      <c r="G327" s="1863">
        <f t="shared" ca="1" si="119"/>
        <v>44864.206748953664</v>
      </c>
      <c r="H327" s="1863">
        <f t="shared" ca="1" si="119"/>
        <v>46603.410678668435</v>
      </c>
      <c r="I327" s="1863">
        <f t="shared" ca="1" si="119"/>
        <v>46996.688405914574</v>
      </c>
      <c r="J327" s="1863">
        <f t="shared" ca="1" si="119"/>
        <v>47389.96613316072</v>
      </c>
      <c r="K327" s="1863">
        <f t="shared" ca="1" si="119"/>
        <v>49216.741176219068</v>
      </c>
      <c r="L327" s="1863">
        <f t="shared" ca="1" si="119"/>
        <v>49621.8172352826</v>
      </c>
      <c r="M327" s="1863">
        <f t="shared" ca="1" si="119"/>
        <v>50026.89329434614</v>
      </c>
      <c r="N327" s="1863">
        <f t="shared" ca="1" si="119"/>
        <v>51944.928434011956</v>
      </c>
      <c r="O327" s="1863">
        <f t="shared" ca="1" si="119"/>
        <v>52362.15677484739</v>
      </c>
      <c r="P327" s="1863">
        <f t="shared" ca="1" si="119"/>
        <v>26389.692557841416</v>
      </c>
    </row>
    <row r="328" spans="3:16" ht="13.15" customHeight="1" thickBot="1">
      <c r="C328" s="1847" t="s">
        <v>3660</v>
      </c>
      <c r="D328" s="1863">
        <f t="shared" ca="1" si="120"/>
        <v>3086.0238078609618</v>
      </c>
      <c r="E328" s="1863">
        <f t="shared" ca="1" si="119"/>
        <v>3194.6167829794576</v>
      </c>
      <c r="F328" s="1863">
        <f t="shared" ca="1" si="119"/>
        <v>3195.6034277248182</v>
      </c>
      <c r="G328" s="1863">
        <f t="shared" ca="1" si="119"/>
        <v>3195.6855240140139</v>
      </c>
      <c r="H328" s="1863">
        <f t="shared" ca="1" si="119"/>
        <v>3309.7081478884284</v>
      </c>
      <c r="I328" s="1863">
        <f t="shared" ca="1" si="119"/>
        <v>3310.7441248710602</v>
      </c>
      <c r="J328" s="1863">
        <f t="shared" ca="1" si="119"/>
        <v>3310.8303259747117</v>
      </c>
      <c r="K328" s="1863">
        <f t="shared" ca="1" si="119"/>
        <v>3430.5540810428502</v>
      </c>
      <c r="L328" s="1863">
        <f t="shared" ca="1" si="119"/>
        <v>3431.6418568746085</v>
      </c>
      <c r="M328" s="1863">
        <f t="shared" ca="1" si="119"/>
        <v>3431.7323680334448</v>
      </c>
      <c r="N328" s="1863">
        <f t="shared" ca="1" si="119"/>
        <v>3557.4423108550036</v>
      </c>
      <c r="O328" s="1863">
        <f t="shared" ca="1" si="119"/>
        <v>3558.5844754783466</v>
      </c>
      <c r="P328" s="1863">
        <f t="shared" ca="1" si="119"/>
        <v>1779.3397560975609</v>
      </c>
    </row>
    <row r="329" spans="3:16" ht="13.15" customHeight="1" thickBot="1">
      <c r="C329" s="1847" t="s">
        <v>3661</v>
      </c>
      <c r="D329" s="1863">
        <f t="shared" si="120"/>
        <v>0</v>
      </c>
      <c r="E329" s="1863">
        <f t="shared" si="119"/>
        <v>0</v>
      </c>
      <c r="F329" s="1863">
        <f t="shared" si="119"/>
        <v>0</v>
      </c>
      <c r="G329" s="1863">
        <f t="shared" si="119"/>
        <v>0</v>
      </c>
      <c r="H329" s="1863">
        <f t="shared" si="119"/>
        <v>0</v>
      </c>
      <c r="I329" s="1863">
        <f t="shared" si="119"/>
        <v>0</v>
      </c>
      <c r="J329" s="1863">
        <f t="shared" si="119"/>
        <v>0</v>
      </c>
      <c r="K329" s="1863">
        <f t="shared" si="119"/>
        <v>0</v>
      </c>
      <c r="L329" s="1863">
        <f t="shared" si="119"/>
        <v>0</v>
      </c>
      <c r="M329" s="1863">
        <f t="shared" si="119"/>
        <v>0</v>
      </c>
      <c r="N329" s="1863">
        <f t="shared" si="119"/>
        <v>0</v>
      </c>
      <c r="O329" s="1863">
        <f t="shared" si="119"/>
        <v>0</v>
      </c>
      <c r="P329" s="1863">
        <f t="shared" si="119"/>
        <v>0</v>
      </c>
    </row>
    <row r="330" spans="3:16" ht="13.15" customHeight="1" thickBot="1">
      <c r="C330" s="1862" t="s">
        <v>3662</v>
      </c>
      <c r="D330" s="1863">
        <f t="shared" ca="1" si="120"/>
        <v>32931.886709004066</v>
      </c>
      <c r="E330" s="1863">
        <f t="shared" ca="1" si="119"/>
        <v>33231.042647205286</v>
      </c>
      <c r="F330" s="1863">
        <f t="shared" ca="1" si="119"/>
        <v>34996.839253927319</v>
      </c>
      <c r="G330" s="1863">
        <f t="shared" ca="1" si="119"/>
        <v>34342.303634486118</v>
      </c>
      <c r="H330" s="1863">
        <f t="shared" ca="1" si="119"/>
        <v>35305.929392725062</v>
      </c>
      <c r="I330" s="1863">
        <f t="shared" ca="1" si="119"/>
        <v>36472.714457729518</v>
      </c>
      <c r="J330" s="1863">
        <f t="shared" ca="1" si="119"/>
        <v>36542.984399576686</v>
      </c>
      <c r="K330" s="1863">
        <f t="shared" ca="1" si="119"/>
        <v>36928.906179507569</v>
      </c>
      <c r="L330" s="1863">
        <f t="shared" ca="1" si="119"/>
        <v>38061.69408099843</v>
      </c>
      <c r="M330" s="1863">
        <f t="shared" ca="1" si="119"/>
        <v>38287.248509468671</v>
      </c>
      <c r="N330" s="1863">
        <f t="shared" ca="1" si="119"/>
        <v>39464.975515614955</v>
      </c>
      <c r="O330" s="1863">
        <f t="shared" ca="1" si="119"/>
        <v>40292.419010006153</v>
      </c>
      <c r="P330" s="1863">
        <f t="shared" ca="1" si="119"/>
        <v>20487.079899888271</v>
      </c>
    </row>
    <row r="331" spans="3:16" ht="13.15" customHeight="1" thickBot="1">
      <c r="C331" s="1847" t="s">
        <v>251</v>
      </c>
      <c r="D331" s="1863">
        <f t="shared" ca="1" si="120"/>
        <v>30493.136623618138</v>
      </c>
      <c r="E331" s="1863">
        <f t="shared" ca="1" si="119"/>
        <v>31407.366901924666</v>
      </c>
      <c r="F331" s="1863">
        <f t="shared" ca="1" si="119"/>
        <v>32125.072743110657</v>
      </c>
      <c r="G331" s="1863">
        <f t="shared" ca="1" si="119"/>
        <v>32527.490405777899</v>
      </c>
      <c r="H331" s="1863">
        <f t="shared" ca="1" si="119"/>
        <v>33146.835623880885</v>
      </c>
      <c r="I331" s="1863">
        <f t="shared" ca="1" si="119"/>
        <v>33666.434618053492</v>
      </c>
      <c r="J331" s="1863">
        <f t="shared" ca="1" si="119"/>
        <v>34308.950414056148</v>
      </c>
      <c r="K331" s="1863">
        <f t="shared" ca="1" si="119"/>
        <v>34630.270202470063</v>
      </c>
      <c r="L331" s="1863">
        <f t="shared" ca="1" si="119"/>
        <v>35215.18643722024</v>
      </c>
      <c r="M331" s="1863">
        <f t="shared" ca="1" si="119"/>
        <v>35613.290393736119</v>
      </c>
      <c r="N331" s="1863">
        <f t="shared" ca="1" si="119"/>
        <v>36277.30057024258</v>
      </c>
      <c r="O331" s="1863">
        <f t="shared" ca="1" si="119"/>
        <v>37214.034954837982</v>
      </c>
      <c r="P331" s="1863">
        <f t="shared" ca="1" si="119"/>
        <v>18907.289040416494</v>
      </c>
    </row>
    <row r="332" spans="3:16" ht="13.15" customHeight="1" thickBot="1">
      <c r="C332" s="1847" t="s">
        <v>1252</v>
      </c>
      <c r="D332" s="1863">
        <f t="shared" ca="1" si="120"/>
        <v>388.57689449022195</v>
      </c>
      <c r="E332" s="1863">
        <f t="shared" ca="1" si="119"/>
        <v>0</v>
      </c>
      <c r="F332" s="1863">
        <f t="shared" ca="1" si="119"/>
        <v>602.508680905603</v>
      </c>
      <c r="G332" s="1863">
        <f t="shared" ca="1" si="119"/>
        <v>0</v>
      </c>
      <c r="H332" s="1863">
        <f t="shared" ca="1" si="119"/>
        <v>0</v>
      </c>
      <c r="I332" s="1863">
        <f t="shared" ca="1" si="119"/>
        <v>326.71857707669659</v>
      </c>
      <c r="J332" s="1863">
        <f t="shared" ca="1" si="119"/>
        <v>0</v>
      </c>
      <c r="K332" s="1863">
        <f t="shared" ca="1" si="119"/>
        <v>0</v>
      </c>
      <c r="L332" s="1863">
        <f t="shared" ca="1" si="119"/>
        <v>0</v>
      </c>
      <c r="M332" s="1863">
        <f t="shared" ca="1" si="119"/>
        <v>0</v>
      </c>
      <c r="N332" s="1863">
        <f t="shared" ca="1" si="119"/>
        <v>429.23063507747435</v>
      </c>
      <c r="O332" s="1863">
        <f t="shared" ca="1" si="119"/>
        <v>0</v>
      </c>
      <c r="P332" s="1863">
        <f t="shared" ca="1" si="119"/>
        <v>0</v>
      </c>
    </row>
    <row r="333" spans="3:16" ht="13.15" customHeight="1" thickBot="1">
      <c r="C333" s="1847" t="s">
        <v>3663</v>
      </c>
      <c r="D333" s="1863">
        <f t="shared" ca="1" si="120"/>
        <v>0</v>
      </c>
      <c r="E333" s="1863">
        <f t="shared" ca="1" si="119"/>
        <v>0</v>
      </c>
      <c r="F333" s="1863">
        <f t="shared" ca="1" si="119"/>
        <v>0</v>
      </c>
      <c r="G333" s="1863">
        <f t="shared" ca="1" si="119"/>
        <v>0</v>
      </c>
      <c r="H333" s="1863">
        <f t="shared" ca="1" si="119"/>
        <v>0</v>
      </c>
      <c r="I333" s="1863">
        <f t="shared" ca="1" si="119"/>
        <v>0</v>
      </c>
      <c r="J333" s="1863">
        <f t="shared" ca="1" si="119"/>
        <v>0</v>
      </c>
      <c r="K333" s="1863">
        <f t="shared" ca="1" si="119"/>
        <v>0</v>
      </c>
      <c r="L333" s="1863">
        <f t="shared" ca="1" si="119"/>
        <v>0</v>
      </c>
      <c r="M333" s="1863">
        <f t="shared" ca="1" si="119"/>
        <v>0</v>
      </c>
      <c r="N333" s="1863">
        <f t="shared" ca="1" si="119"/>
        <v>0</v>
      </c>
      <c r="O333" s="1863">
        <f t="shared" ca="1" si="119"/>
        <v>0</v>
      </c>
      <c r="P333" s="1863">
        <f t="shared" ca="1" si="119"/>
        <v>0</v>
      </c>
    </row>
    <row r="334" spans="3:16" ht="13.15" customHeight="1" thickBot="1">
      <c r="C334" s="1847" t="s">
        <v>3664</v>
      </c>
      <c r="D334" s="1863">
        <f t="shared" ca="1" si="120"/>
        <v>0</v>
      </c>
      <c r="E334" s="1863">
        <f t="shared" ca="1" si="119"/>
        <v>0</v>
      </c>
      <c r="F334" s="1863">
        <f t="shared" ca="1" si="119"/>
        <v>0</v>
      </c>
      <c r="G334" s="1863">
        <f t="shared" ca="1" si="119"/>
        <v>0</v>
      </c>
      <c r="H334" s="1863">
        <f t="shared" ca="1" si="119"/>
        <v>0</v>
      </c>
      <c r="I334" s="1863">
        <f t="shared" ca="1" si="119"/>
        <v>0</v>
      </c>
      <c r="J334" s="1863">
        <f t="shared" ca="1" si="119"/>
        <v>0</v>
      </c>
      <c r="K334" s="1863">
        <f t="shared" ca="1" si="119"/>
        <v>0</v>
      </c>
      <c r="L334" s="1863">
        <f t="shared" ca="1" si="119"/>
        <v>0</v>
      </c>
      <c r="M334" s="1863">
        <f t="shared" ca="1" si="119"/>
        <v>0</v>
      </c>
      <c r="N334" s="1863">
        <f t="shared" ca="1" si="119"/>
        <v>0</v>
      </c>
      <c r="O334" s="1863">
        <f t="shared" ca="1" si="119"/>
        <v>0</v>
      </c>
      <c r="P334" s="1863">
        <f t="shared" ca="1" si="119"/>
        <v>0</v>
      </c>
    </row>
    <row r="335" spans="3:16" ht="13.15" customHeight="1" thickBot="1">
      <c r="C335" s="1847" t="s">
        <v>3665</v>
      </c>
      <c r="D335" s="1863">
        <f t="shared" ca="1" si="120"/>
        <v>0</v>
      </c>
      <c r="E335" s="1863">
        <f t="shared" ca="1" si="119"/>
        <v>0</v>
      </c>
      <c r="F335" s="1863">
        <f t="shared" ca="1" si="119"/>
        <v>0</v>
      </c>
      <c r="G335" s="1863">
        <f t="shared" ca="1" si="119"/>
        <v>0</v>
      </c>
      <c r="H335" s="1863">
        <f t="shared" ca="1" si="119"/>
        <v>0</v>
      </c>
      <c r="I335" s="1863">
        <f t="shared" ca="1" si="119"/>
        <v>0</v>
      </c>
      <c r="J335" s="1863">
        <f t="shared" ca="1" si="119"/>
        <v>0</v>
      </c>
      <c r="K335" s="1863">
        <f t="shared" ca="1" si="119"/>
        <v>0</v>
      </c>
      <c r="L335" s="1863">
        <f t="shared" ca="1" si="119"/>
        <v>0</v>
      </c>
      <c r="M335" s="1863">
        <f t="shared" ca="1" si="119"/>
        <v>0</v>
      </c>
      <c r="N335" s="1863">
        <f t="shared" ca="1" si="119"/>
        <v>0</v>
      </c>
      <c r="O335" s="1863">
        <f t="shared" ca="1" si="119"/>
        <v>0</v>
      </c>
      <c r="P335" s="1863">
        <f t="shared" ca="1" si="119"/>
        <v>0</v>
      </c>
    </row>
    <row r="336" spans="3:16" ht="13.15" customHeight="1" thickBot="1">
      <c r="C336" s="1847" t="s">
        <v>3666</v>
      </c>
      <c r="D336" s="1863">
        <f t="shared" ca="1" si="120"/>
        <v>2050.1731908957067</v>
      </c>
      <c r="E336" s="1863">
        <f t="shared" ca="1" si="119"/>
        <v>1823.675745280616</v>
      </c>
      <c r="F336" s="1863">
        <f t="shared" ca="1" si="119"/>
        <v>2269.2578299110592</v>
      </c>
      <c r="G336" s="1863">
        <f t="shared" ca="1" si="119"/>
        <v>1814.8132287082185</v>
      </c>
      <c r="H336" s="1863">
        <f t="shared" ca="1" si="119"/>
        <v>2159.0937688441818</v>
      </c>
      <c r="I336" s="1863">
        <f t="shared" ca="1" si="119"/>
        <v>2479.5612625993308</v>
      </c>
      <c r="J336" s="1863">
        <f t="shared" ca="1" si="119"/>
        <v>2234.033985520538</v>
      </c>
      <c r="K336" s="1863">
        <f t="shared" ca="1" si="119"/>
        <v>2298.6359770375016</v>
      </c>
      <c r="L336" s="1863">
        <f t="shared" ca="1" si="119"/>
        <v>2846.50764377819</v>
      </c>
      <c r="M336" s="1863">
        <f t="shared" ca="1" si="119"/>
        <v>2673.9581157325511</v>
      </c>
      <c r="N336" s="1863">
        <f t="shared" ca="1" si="119"/>
        <v>2758.4443102948944</v>
      </c>
      <c r="O336" s="1863">
        <f t="shared" ca="1" si="119"/>
        <v>3078.3840551681706</v>
      </c>
      <c r="P336" s="1863">
        <f t="shared" ca="1" si="119"/>
        <v>1579.790859471776</v>
      </c>
    </row>
    <row r="337" spans="2:42" ht="13.15" customHeight="1" thickBot="1">
      <c r="C337" s="1862" t="s">
        <v>3667</v>
      </c>
      <c r="D337" s="1863">
        <f t="shared" ca="1" si="120"/>
        <v>-1139.8255571713178</v>
      </c>
      <c r="E337" s="1863">
        <f t="shared" ca="1" si="119"/>
        <v>-1585.5491602779014</v>
      </c>
      <c r="F337" s="1863">
        <f t="shared" ca="1" si="119"/>
        <v>-2840.7755788312402</v>
      </c>
      <c r="G337" s="1863">
        <f t="shared" ca="1" si="119"/>
        <v>0</v>
      </c>
      <c r="H337" s="1863">
        <f t="shared" ca="1" si="119"/>
        <v>-4731.9740579941545</v>
      </c>
      <c r="I337" s="1863">
        <f t="shared" ca="1" si="119"/>
        <v>-898.47608696091538</v>
      </c>
      <c r="J337" s="1863">
        <f t="shared" ca="1" si="119"/>
        <v>0</v>
      </c>
      <c r="K337" s="1863">
        <f t="shared" ca="1" si="119"/>
        <v>-2166.3565330935976</v>
      </c>
      <c r="L337" s="1863">
        <f t="shared" ca="1" si="119"/>
        <v>0</v>
      </c>
      <c r="M337" s="1863">
        <f t="shared" ca="1" si="119"/>
        <v>-780.54811857322898</v>
      </c>
      <c r="N337" s="1863">
        <f t="shared" ca="1" si="119"/>
        <v>-214.61531753873717</v>
      </c>
      <c r="O337" s="1863">
        <f t="shared" ca="1" si="119"/>
        <v>-1343.9211184275721</v>
      </c>
      <c r="P337" s="1863">
        <f t="shared" ca="1" si="119"/>
        <v>-7005.7307334805064</v>
      </c>
    </row>
    <row r="338" spans="2:42" ht="13.15" customHeight="1" thickBot="1">
      <c r="C338" s="1862" t="s">
        <v>3668</v>
      </c>
      <c r="D338" s="1863">
        <f t="shared" ca="1" si="120"/>
        <v>1139.8255571713178</v>
      </c>
      <c r="E338" s="1863">
        <f t="shared" ca="1" si="119"/>
        <v>1585.5491602779014</v>
      </c>
      <c r="F338" s="1863">
        <f t="shared" ca="1" si="119"/>
        <v>2840.7755788312402</v>
      </c>
      <c r="G338" s="1863">
        <f t="shared" ca="1" si="119"/>
        <v>0</v>
      </c>
      <c r="H338" s="1863">
        <f t="shared" ca="1" si="119"/>
        <v>4731.9740579941545</v>
      </c>
      <c r="I338" s="1863">
        <f t="shared" ca="1" si="119"/>
        <v>898.47608696091538</v>
      </c>
      <c r="J338" s="1863">
        <f t="shared" ca="1" si="119"/>
        <v>0</v>
      </c>
      <c r="K338" s="1863">
        <f t="shared" ca="1" si="119"/>
        <v>2166.3565330935976</v>
      </c>
      <c r="L338" s="1863">
        <f t="shared" ca="1" si="119"/>
        <v>0</v>
      </c>
      <c r="M338" s="1863">
        <f t="shared" ca="1" si="119"/>
        <v>780.54811857322898</v>
      </c>
      <c r="N338" s="1863">
        <f t="shared" ca="1" si="119"/>
        <v>214.61531753873717</v>
      </c>
      <c r="O338" s="1863">
        <f t="shared" ca="1" si="119"/>
        <v>1343.9211184275721</v>
      </c>
      <c r="P338" s="1863">
        <f t="shared" ca="1" si="119"/>
        <v>7005.7307334805064</v>
      </c>
    </row>
    <row r="339" spans="2:42" ht="13.15" customHeight="1" thickBot="1">
      <c r="C339" s="1847" t="s">
        <v>3669</v>
      </c>
      <c r="D339" s="1863">
        <f t="shared" ca="1" si="120"/>
        <v>1139.8255571713178</v>
      </c>
      <c r="E339" s="1863">
        <f t="shared" ca="1" si="119"/>
        <v>1585.5491602779014</v>
      </c>
      <c r="F339" s="1863">
        <f t="shared" ca="1" si="119"/>
        <v>2840.7755788312402</v>
      </c>
      <c r="G339" s="1863">
        <f t="shared" ca="1" si="119"/>
        <v>0</v>
      </c>
      <c r="H339" s="1863">
        <f t="shared" ca="1" si="119"/>
        <v>4731.9740579941545</v>
      </c>
      <c r="I339" s="1863">
        <f t="shared" ca="1" si="119"/>
        <v>898.47608696091538</v>
      </c>
      <c r="J339" s="1863">
        <f t="shared" ca="1" si="119"/>
        <v>0</v>
      </c>
      <c r="K339" s="1863">
        <f t="shared" ca="1" si="119"/>
        <v>2166.3565330935976</v>
      </c>
      <c r="L339" s="1863">
        <f t="shared" ca="1" si="119"/>
        <v>0</v>
      </c>
      <c r="M339" s="1863">
        <f t="shared" ca="1" si="119"/>
        <v>780.54811857322898</v>
      </c>
      <c r="N339" s="1863">
        <f t="shared" ca="1" si="119"/>
        <v>214.61531753873717</v>
      </c>
      <c r="O339" s="1863">
        <f t="shared" ca="1" si="119"/>
        <v>1343.9211184275721</v>
      </c>
      <c r="P339" s="1863">
        <f t="shared" ca="1" si="119"/>
        <v>7005.7307334805064</v>
      </c>
    </row>
    <row r="340" spans="2:42" ht="13.15" customHeight="1" thickBot="1">
      <c r="C340" s="1862" t="s">
        <v>3670</v>
      </c>
      <c r="D340" s="1863">
        <f t="shared" ca="1" si="120"/>
        <v>-9398.9140875407047</v>
      </c>
      <c r="E340" s="1863">
        <f t="shared" ca="1" si="120"/>
        <v>-6170.173939093238</v>
      </c>
      <c r="F340" s="1863">
        <f t="shared" ca="1" si="120"/>
        <v>-6993.4219117380426</v>
      </c>
      <c r="G340" s="1863">
        <f t="shared" ca="1" si="120"/>
        <v>-6291.3453711094098</v>
      </c>
      <c r="H340" s="1863">
        <f t="shared" ca="1" si="120"/>
        <v>-6797.0962248008336</v>
      </c>
      <c r="I340" s="1863">
        <f t="shared" ca="1" si="120"/>
        <v>-7654.2876805189608</v>
      </c>
      <c r="J340" s="1863">
        <f t="shared" ca="1" si="120"/>
        <v>-7412.4388926964511</v>
      </c>
      <c r="K340" s="1863">
        <f t="shared" ca="1" si="120"/>
        <v>-7470.636826736998</v>
      </c>
      <c r="L340" s="1863">
        <f t="shared" ca="1" si="120"/>
        <v>-8667.2810418241334</v>
      </c>
      <c r="M340" s="1863">
        <f t="shared" ca="1" si="120"/>
        <v>-8695.3948659286816</v>
      </c>
      <c r="N340" s="1863">
        <f t="shared" ca="1" si="120"/>
        <v>-8886.3067239872998</v>
      </c>
      <c r="O340" s="1863">
        <f t="shared" ca="1" si="120"/>
        <v>-9637.4178419659293</v>
      </c>
      <c r="P340" s="1863">
        <f t="shared" ca="1" si="120"/>
        <v>-79496.833608843124</v>
      </c>
    </row>
    <row r="341" spans="2:42" ht="13.15" customHeight="1" thickBot="1">
      <c r="C341" s="1862" t="s">
        <v>3671</v>
      </c>
      <c r="D341" s="1863">
        <f t="shared" ca="1" si="120"/>
        <v>0</v>
      </c>
      <c r="E341" s="1863">
        <f t="shared" ca="1" si="120"/>
        <v>0</v>
      </c>
      <c r="F341" s="1863">
        <f t="shared" ca="1" si="120"/>
        <v>0</v>
      </c>
      <c r="G341" s="1863">
        <f t="shared" ca="1" si="120"/>
        <v>0</v>
      </c>
      <c r="H341" s="1863">
        <f t="shared" ca="1" si="120"/>
        <v>0</v>
      </c>
      <c r="I341" s="1863">
        <f t="shared" ca="1" si="120"/>
        <v>0</v>
      </c>
      <c r="J341" s="1863">
        <f t="shared" ca="1" si="120"/>
        <v>0</v>
      </c>
      <c r="K341" s="1863">
        <f t="shared" ca="1" si="120"/>
        <v>0</v>
      </c>
      <c r="L341" s="1863">
        <f t="shared" ca="1" si="120"/>
        <v>0</v>
      </c>
      <c r="M341" s="1863">
        <f t="shared" ca="1" si="120"/>
        <v>0</v>
      </c>
      <c r="N341" s="1863">
        <f t="shared" ca="1" si="120"/>
        <v>0</v>
      </c>
      <c r="O341" s="1863">
        <f t="shared" ca="1" si="120"/>
        <v>0</v>
      </c>
      <c r="P341" s="1863">
        <f t="shared" ca="1" si="120"/>
        <v>0</v>
      </c>
    </row>
    <row r="342" spans="2:42" ht="13.15" customHeight="1" thickBot="1">
      <c r="C342" s="1862" t="s">
        <v>3672</v>
      </c>
      <c r="D342" s="1863">
        <f t="shared" ca="1" si="120"/>
        <v>9398.9140875407047</v>
      </c>
      <c r="E342" s="1863">
        <f t="shared" ca="1" si="120"/>
        <v>6170.173939093238</v>
      </c>
      <c r="F342" s="1863">
        <f t="shared" ca="1" si="120"/>
        <v>6993.4219117380426</v>
      </c>
      <c r="G342" s="1863">
        <f t="shared" ca="1" si="120"/>
        <v>6291.3453711094098</v>
      </c>
      <c r="H342" s="1863">
        <f t="shared" ca="1" si="120"/>
        <v>6797.0962248008336</v>
      </c>
      <c r="I342" s="1863">
        <f t="shared" ca="1" si="120"/>
        <v>7654.2876805189608</v>
      </c>
      <c r="J342" s="1863">
        <f t="shared" ca="1" si="120"/>
        <v>7412.4388926964511</v>
      </c>
      <c r="K342" s="1863">
        <f t="shared" ca="1" si="120"/>
        <v>7470.636826736998</v>
      </c>
      <c r="L342" s="1863">
        <f t="shared" ca="1" si="120"/>
        <v>8667.2810418241334</v>
      </c>
      <c r="M342" s="1863">
        <f t="shared" ca="1" si="120"/>
        <v>8695.3948659286816</v>
      </c>
      <c r="N342" s="1863">
        <f t="shared" ca="1" si="120"/>
        <v>8886.3067239872998</v>
      </c>
      <c r="O342" s="1863">
        <f t="shared" ca="1" si="120"/>
        <v>9637.4178419659293</v>
      </c>
      <c r="P342" s="1863">
        <f t="shared" ca="1" si="120"/>
        <v>79496.833608843124</v>
      </c>
    </row>
    <row r="343" spans="2:42" ht="13.15" customHeight="1" thickBot="1">
      <c r="C343" s="1847" t="s">
        <v>3673</v>
      </c>
      <c r="D343" s="1863">
        <f t="shared" si="120"/>
        <v>0</v>
      </c>
      <c r="E343" s="1863">
        <f t="shared" si="120"/>
        <v>0</v>
      </c>
      <c r="F343" s="1863">
        <f t="shared" si="120"/>
        <v>0</v>
      </c>
      <c r="G343" s="1863">
        <f t="shared" si="120"/>
        <v>0</v>
      </c>
      <c r="H343" s="1863">
        <f t="shared" si="120"/>
        <v>0</v>
      </c>
      <c r="I343" s="1863">
        <f t="shared" si="120"/>
        <v>0</v>
      </c>
      <c r="J343" s="1863">
        <f t="shared" si="120"/>
        <v>0</v>
      </c>
      <c r="K343" s="1863">
        <f t="shared" si="120"/>
        <v>0</v>
      </c>
      <c r="L343" s="1863">
        <f t="shared" si="120"/>
        <v>0</v>
      </c>
      <c r="M343" s="1863">
        <f t="shared" si="120"/>
        <v>0</v>
      </c>
      <c r="N343" s="1863">
        <f t="shared" si="120"/>
        <v>0</v>
      </c>
      <c r="O343" s="1863">
        <f t="shared" si="120"/>
        <v>0</v>
      </c>
      <c r="P343" s="1863">
        <f t="shared" si="120"/>
        <v>0</v>
      </c>
    </row>
    <row r="344" spans="2:42" ht="13.15" customHeight="1" thickBot="1">
      <c r="C344" s="1847" t="s">
        <v>3674</v>
      </c>
      <c r="D344" s="1863">
        <f t="shared" ca="1" si="120"/>
        <v>9398.9140875407047</v>
      </c>
      <c r="E344" s="1863">
        <f t="shared" ca="1" si="120"/>
        <v>6170.173939093238</v>
      </c>
      <c r="F344" s="1863">
        <f t="shared" ca="1" si="120"/>
        <v>6993.4219117380426</v>
      </c>
      <c r="G344" s="1863">
        <f t="shared" ca="1" si="120"/>
        <v>6291.3453711094098</v>
      </c>
      <c r="H344" s="1863">
        <f t="shared" ca="1" si="120"/>
        <v>6797.0962248008336</v>
      </c>
      <c r="I344" s="1863">
        <f t="shared" ca="1" si="120"/>
        <v>7654.2876805189608</v>
      </c>
      <c r="J344" s="1863">
        <f t="shared" ca="1" si="120"/>
        <v>7412.4388926964511</v>
      </c>
      <c r="K344" s="1863">
        <f t="shared" ca="1" si="120"/>
        <v>7470.636826736998</v>
      </c>
      <c r="L344" s="1863">
        <f t="shared" ca="1" si="120"/>
        <v>8667.2810418241334</v>
      </c>
      <c r="M344" s="1863">
        <f t="shared" ca="1" si="120"/>
        <v>8695.3948659286816</v>
      </c>
      <c r="N344" s="1863">
        <f t="shared" ca="1" si="120"/>
        <v>8886.3067239872998</v>
      </c>
      <c r="O344" s="1863">
        <f t="shared" ca="1" si="120"/>
        <v>9637.4178419659293</v>
      </c>
      <c r="P344" s="1863">
        <f t="shared" ca="1" si="120"/>
        <v>79496.833608843124</v>
      </c>
    </row>
    <row r="345" spans="2:42" ht="13.15" customHeight="1" thickBot="1">
      <c r="C345" s="1862" t="s">
        <v>3675</v>
      </c>
      <c r="D345" s="1863">
        <f t="shared" ca="1" si="120"/>
        <v>2060.7738041154976</v>
      </c>
      <c r="E345" s="1863">
        <f t="shared" ca="1" si="120"/>
        <v>6308.4117130340946</v>
      </c>
      <c r="F345" s="1863">
        <f t="shared" ca="1" si="120"/>
        <v>2846.9503960205784</v>
      </c>
      <c r="G345" s="1863">
        <f t="shared" ca="1" si="120"/>
        <v>7426.243267372146</v>
      </c>
      <c r="H345" s="1863">
        <f t="shared" ca="1" si="120"/>
        <v>3078.1191510368162</v>
      </c>
      <c r="I345" s="1863">
        <f t="shared" ca="1" si="120"/>
        <v>5281.9543055762397</v>
      </c>
      <c r="J345" s="1863">
        <f t="shared" ca="1" si="120"/>
        <v>6745.3731668622931</v>
      </c>
      <c r="K345" s="1863">
        <f t="shared" ca="1" si="120"/>
        <v>6081.3957179237577</v>
      </c>
      <c r="L345" s="1863">
        <f t="shared" ca="1" si="120"/>
        <v>6324.4839693346421</v>
      </c>
      <c r="M345" s="1863">
        <f t="shared" ca="1" si="120"/>
        <v>5695.4341684090086</v>
      </c>
      <c r="N345" s="1863">
        <f t="shared" ca="1" si="120"/>
        <v>6936.4731877259683</v>
      </c>
      <c r="O345" s="1863">
        <f t="shared" ca="1" si="120"/>
        <v>4646.983279926083</v>
      </c>
      <c r="P345" s="1863">
        <f t="shared" ca="1" si="120"/>
        <v>-78820.61192827292</v>
      </c>
    </row>
    <row r="346" spans="2:42" ht="13.15" customHeight="1" thickBot="1">
      <c r="C346" s="1862" t="s">
        <v>3676</v>
      </c>
      <c r="D346" s="1863">
        <f t="shared" ca="1" si="120"/>
        <v>15388.015800935776</v>
      </c>
      <c r="E346" s="1863">
        <f t="shared" ca="1" si="120"/>
        <v>17448.789605051275</v>
      </c>
      <c r="F346" s="1863">
        <f t="shared" ca="1" si="120"/>
        <v>23757.201318085372</v>
      </c>
      <c r="G346" s="1863">
        <f t="shared" ca="1" si="120"/>
        <v>26604.151714105948</v>
      </c>
      <c r="H346" s="1863">
        <f t="shared" ca="1" si="120"/>
        <v>34030.394981478094</v>
      </c>
      <c r="I346" s="1863">
        <f t="shared" ca="1" si="120"/>
        <v>37108.514132514909</v>
      </c>
      <c r="J346" s="1863">
        <f t="shared" ca="1" si="120"/>
        <v>42390.468438091149</v>
      </c>
      <c r="K346" s="1863">
        <f t="shared" ca="1" si="120"/>
        <v>49135.841604953443</v>
      </c>
      <c r="L346" s="1863">
        <f t="shared" ca="1" si="120"/>
        <v>55217.237322877205</v>
      </c>
      <c r="M346" s="1863">
        <f t="shared" ca="1" si="120"/>
        <v>61541.721292211842</v>
      </c>
      <c r="N346" s="1863">
        <f t="shared" ca="1" si="120"/>
        <v>67237.155460620852</v>
      </c>
      <c r="O346" s="1863">
        <f t="shared" ca="1" si="120"/>
        <v>74173.628648346828</v>
      </c>
      <c r="P346" s="1863">
        <f t="shared" ca="1" si="120"/>
        <v>78820.611928272905</v>
      </c>
    </row>
    <row r="347" spans="2:42" ht="13.15" customHeight="1" thickBot="1">
      <c r="C347" s="1862" t="s">
        <v>3677</v>
      </c>
      <c r="D347" s="1863">
        <f t="shared" ca="1" si="120"/>
        <v>17448.789605051275</v>
      </c>
      <c r="E347" s="1863">
        <f t="shared" ca="1" si="120"/>
        <v>23757.201318085372</v>
      </c>
      <c r="F347" s="1863">
        <f t="shared" ca="1" si="120"/>
        <v>26604.151714105948</v>
      </c>
      <c r="G347" s="1863">
        <f t="shared" ca="1" si="120"/>
        <v>34030.394981478094</v>
      </c>
      <c r="H347" s="1863">
        <f t="shared" ca="1" si="120"/>
        <v>37108.514132514909</v>
      </c>
      <c r="I347" s="1863">
        <f t="shared" ca="1" si="120"/>
        <v>42390.468438091149</v>
      </c>
      <c r="J347" s="1863">
        <f t="shared" ca="1" si="120"/>
        <v>49135.841604953443</v>
      </c>
      <c r="K347" s="1863">
        <f t="shared" ca="1" si="120"/>
        <v>55217.237322877205</v>
      </c>
      <c r="L347" s="1863">
        <f t="shared" ca="1" si="120"/>
        <v>61541.721292211842</v>
      </c>
      <c r="M347" s="1863">
        <f t="shared" ca="1" si="120"/>
        <v>67237.155460620852</v>
      </c>
      <c r="N347" s="1863">
        <f t="shared" ca="1" si="120"/>
        <v>74173.628648346828</v>
      </c>
      <c r="O347" s="1863">
        <f t="shared" ca="1" si="120"/>
        <v>78820.611928272905</v>
      </c>
      <c r="P347" s="1863">
        <f t="shared" ca="1" si="120"/>
        <v>0</v>
      </c>
    </row>
    <row r="348" spans="2:42" ht="13.15" customHeight="1"/>
    <row r="349" spans="2:42" ht="13.15" customHeight="1">
      <c r="B349" s="498" t="s">
        <v>3678</v>
      </c>
    </row>
    <row r="350" spans="2:42" ht="13.15" customHeight="1" thickBot="1"/>
    <row r="351" spans="2:42" ht="13.15" customHeight="1" thickBot="1">
      <c r="C351" s="1860" t="s">
        <v>48</v>
      </c>
      <c r="D351" s="1866">
        <v>2022</v>
      </c>
      <c r="E351" s="1866">
        <f>D351+1</f>
        <v>2023</v>
      </c>
      <c r="F351" s="1866">
        <f t="shared" ref="F351:AP351" si="121">E351+1</f>
        <v>2024</v>
      </c>
      <c r="G351" s="1866">
        <f t="shared" si="121"/>
        <v>2025</v>
      </c>
      <c r="H351" s="1866">
        <f t="shared" si="121"/>
        <v>2026</v>
      </c>
      <c r="I351" s="1866">
        <f t="shared" si="121"/>
        <v>2027</v>
      </c>
      <c r="J351" s="1866">
        <f t="shared" si="121"/>
        <v>2028</v>
      </c>
      <c r="K351" s="1866">
        <f t="shared" si="121"/>
        <v>2029</v>
      </c>
      <c r="L351" s="1866">
        <f t="shared" si="121"/>
        <v>2030</v>
      </c>
      <c r="M351" s="1866">
        <f t="shared" si="121"/>
        <v>2031</v>
      </c>
      <c r="N351" s="1866">
        <f t="shared" si="121"/>
        <v>2032</v>
      </c>
      <c r="O351" s="1866">
        <f t="shared" si="121"/>
        <v>2033</v>
      </c>
      <c r="P351" s="1866">
        <f t="shared" si="121"/>
        <v>2034</v>
      </c>
      <c r="Q351" s="498">
        <f t="shared" si="121"/>
        <v>2035</v>
      </c>
      <c r="R351" s="498">
        <f t="shared" si="121"/>
        <v>2036</v>
      </c>
      <c r="S351" s="498">
        <f t="shared" si="121"/>
        <v>2037</v>
      </c>
      <c r="T351" s="498">
        <f t="shared" si="121"/>
        <v>2038</v>
      </c>
      <c r="U351" s="498">
        <f t="shared" si="121"/>
        <v>2039</v>
      </c>
      <c r="V351" s="498">
        <f t="shared" si="121"/>
        <v>2040</v>
      </c>
      <c r="W351" s="498">
        <f t="shared" si="121"/>
        <v>2041</v>
      </c>
      <c r="X351" s="498">
        <f t="shared" si="121"/>
        <v>2042</v>
      </c>
      <c r="Y351" s="498">
        <f t="shared" si="121"/>
        <v>2043</v>
      </c>
      <c r="Z351" s="498">
        <f t="shared" si="121"/>
        <v>2044</v>
      </c>
      <c r="AA351" s="498">
        <f t="shared" si="121"/>
        <v>2045</v>
      </c>
      <c r="AB351" s="498">
        <f t="shared" si="121"/>
        <v>2046</v>
      </c>
      <c r="AC351" s="498">
        <f t="shared" si="121"/>
        <v>2047</v>
      </c>
      <c r="AD351" s="498">
        <f t="shared" si="121"/>
        <v>2048</v>
      </c>
      <c r="AE351" s="498">
        <f t="shared" si="121"/>
        <v>2049</v>
      </c>
      <c r="AF351" s="498">
        <f t="shared" si="121"/>
        <v>2050</v>
      </c>
      <c r="AG351" s="498">
        <f t="shared" si="121"/>
        <v>2051</v>
      </c>
      <c r="AH351" s="498">
        <f t="shared" si="121"/>
        <v>2052</v>
      </c>
      <c r="AI351" s="498">
        <f t="shared" si="121"/>
        <v>2053</v>
      </c>
      <c r="AJ351" s="498">
        <f t="shared" si="121"/>
        <v>2054</v>
      </c>
      <c r="AK351" s="498">
        <f t="shared" si="121"/>
        <v>2055</v>
      </c>
      <c r="AL351" s="498">
        <f t="shared" si="121"/>
        <v>2056</v>
      </c>
      <c r="AM351" s="498">
        <f t="shared" si="121"/>
        <v>2057</v>
      </c>
      <c r="AN351" s="498">
        <f t="shared" si="121"/>
        <v>2058</v>
      </c>
      <c r="AO351" s="498">
        <f t="shared" si="121"/>
        <v>2059</v>
      </c>
      <c r="AP351" s="498">
        <f t="shared" si="121"/>
        <v>2060</v>
      </c>
    </row>
    <row r="352" spans="2:42" ht="13.15" customHeight="1" thickBot="1">
      <c r="C352" s="1862" t="s">
        <v>3679</v>
      </c>
      <c r="D352" s="1863">
        <f ca="1">SUMIFS(BS!8:8,BS!$7:$7,D$351)*100</f>
        <v>17436.431360205534</v>
      </c>
      <c r="E352" s="1863">
        <f ca="1">SUMIFS(BS!8:8,BS!$7:$7,E$351)*100</f>
        <v>15177.819622597628</v>
      </c>
      <c r="F352" s="1863">
        <f ca="1">SUMIFS(BS!8:8,BS!$7:$7,F$351)*100</f>
        <v>15973.965950242906</v>
      </c>
      <c r="G352" s="1863">
        <f ca="1">SUMIFS(BS!8:8,BS!$7:$7,G$351)*100</f>
        <v>16808.288259193647</v>
      </c>
      <c r="H352" s="1863">
        <f ca="1">SUMIFS(BS!8:8,BS!$7:$7,H$351)*100</f>
        <v>17225.674630882004</v>
      </c>
      <c r="I352" s="1863">
        <f ca="1">SUMIFS(BS!8:8,BS!$7:$7,I$351)*100</f>
        <v>18960.012071850393</v>
      </c>
      <c r="J352" s="1863">
        <f ca="1">SUMIFS(BS!8:8,BS!$7:$7,J$351)*100</f>
        <v>21338.050133517008</v>
      </c>
      <c r="K352" s="1863">
        <f ca="1">SUMIFS(BS!8:8,BS!$7:$7,K$351)*100</f>
        <v>19977.396147536358</v>
      </c>
      <c r="L352" s="1863">
        <f ca="1">SUMIFS(BS!8:8,BS!$7:$7,L$351)*100</f>
        <v>24378.454953250672</v>
      </c>
      <c r="M352" s="1863">
        <f ca="1">SUMIFS(BS!8:8,BS!$7:$7,M$351)*100</f>
        <v>24937.875384571955</v>
      </c>
      <c r="N352" s="1863">
        <f ca="1">SUMIFS(BS!8:8,BS!$7:$7,N$351)*100</f>
        <v>27726.279847556139</v>
      </c>
      <c r="O352" s="1863">
        <f ca="1">SUMIFS(BS!8:8,BS!$7:$7,O$351)*100</f>
        <v>34148.309021695139</v>
      </c>
      <c r="P352" s="1863">
        <f ca="1">SUMIFS(BS!8:8,BS!$7:$7,P$351)*100</f>
        <v>36459.132741665097</v>
      </c>
      <c r="Q352" s="498">
        <f ca="1">SUMIFS(BS!8:8,BS!$7:$7,Q$351)*100</f>
        <v>37523.572510766266</v>
      </c>
      <c r="R352" s="498">
        <f ca="1">SUMIFS(BS!8:8,BS!$7:$7,R$351)*100</f>
        <v>38516.493622164686</v>
      </c>
      <c r="S352" s="498">
        <f ca="1">SUMIFS(BS!8:8,BS!$7:$7,S$351)*100</f>
        <v>40373.823720279994</v>
      </c>
      <c r="T352" s="498">
        <f ca="1">SUMIFS(BS!8:8,BS!$7:$7,T$351)*100</f>
        <v>38486.533423524575</v>
      </c>
      <c r="U352" s="498">
        <f ca="1">SUMIFS(BS!8:8,BS!$7:$7,U$351)*100</f>
        <v>28194.681137648127</v>
      </c>
      <c r="V352" s="498">
        <f ca="1">SUMIFS(BS!8:8,BS!$7:$7,V$351)*100</f>
        <v>26605.828602078425</v>
      </c>
      <c r="W352" s="498">
        <f ca="1">SUMIFS(BS!8:8,BS!$7:$7,W$351)*100</f>
        <v>25787.046345428451</v>
      </c>
      <c r="X352" s="498">
        <f ca="1">SUMIFS(BS!8:8,BS!$7:$7,X$351)*100</f>
        <v>25300.534662132737</v>
      </c>
      <c r="Y352" s="498">
        <f ca="1">SUMIFS(BS!8:8,BS!$7:$7,Y$351)*100</f>
        <v>27023.796284959008</v>
      </c>
      <c r="Z352" s="498">
        <f ca="1">SUMIFS(BS!8:8,BS!$7:$7,Z$351)*100</f>
        <v>29069.542724929306</v>
      </c>
      <c r="AA352" s="498">
        <f ca="1">SUMIFS(BS!8:8,BS!$7:$7,AA$351)*100</f>
        <v>31164.741891944301</v>
      </c>
      <c r="AB352" s="498">
        <f ca="1">SUMIFS(BS!8:8,BS!$7:$7,AB$351)*100</f>
        <v>32196.304060129456</v>
      </c>
      <c r="AC352" s="498">
        <f ca="1">SUMIFS(BS!8:8,BS!$7:$7,AC$351)*100</f>
        <v>34257.077864244959</v>
      </c>
      <c r="AD352" s="498">
        <f ca="1">SUMIFS(BS!8:8,BS!$7:$7,AD$351)*100</f>
        <v>40565.489577279048</v>
      </c>
      <c r="AE352" s="498">
        <f ca="1">SUMIFS(BS!8:8,BS!$7:$7,AE$351)*100</f>
        <v>43412.439973299624</v>
      </c>
      <c r="AF352" s="498">
        <f ca="1">SUMIFS(BS!8:8,BS!$7:$7,AF$351)*100</f>
        <v>50838.683240671773</v>
      </c>
      <c r="AG352" s="498">
        <f ca="1">SUMIFS(BS!8:8,BS!$7:$7,AG$351)*100</f>
        <v>53916.802391708596</v>
      </c>
      <c r="AH352" s="498">
        <f ca="1">SUMIFS(BS!8:8,BS!$7:$7,AH$351)*100</f>
        <v>59198.756697284829</v>
      </c>
      <c r="AI352" s="498">
        <f ca="1">SUMIFS(BS!8:8,BS!$7:$7,AI$351)*100</f>
        <v>65944.129864147137</v>
      </c>
      <c r="AJ352" s="498">
        <f ca="1">SUMIFS(BS!8:8,BS!$7:$7,AJ$351)*100</f>
        <v>72025.525582070899</v>
      </c>
      <c r="AK352" s="498">
        <f ca="1">SUMIFS(BS!8:8,BS!$7:$7,AK$351)*100</f>
        <v>78350.009551405528</v>
      </c>
      <c r="AL352" s="498">
        <f ca="1">SUMIFS(BS!8:8,BS!$7:$7,AL$351)*100</f>
        <v>84045.443719814532</v>
      </c>
      <c r="AM352" s="498">
        <f ca="1">SUMIFS(BS!8:8,BS!$7:$7,AM$351)*100</f>
        <v>90981.916907540508</v>
      </c>
      <c r="AN352" s="498">
        <f ca="1">SUMIFS(BS!8:8,BS!$7:$7,AN$351)*100</f>
        <v>95628.900187466585</v>
      </c>
      <c r="AO352" s="498">
        <f ca="1">SUMIFS(BS!8:8,BS!$7:$7,AO$351)*100</f>
        <v>0</v>
      </c>
      <c r="AP352" s="498">
        <f>SUMIFS(BS!8:8,BS!$7:$7,AP$351)*100</f>
        <v>0</v>
      </c>
    </row>
    <row r="353" spans="3:42" ht="13.15" customHeight="1" thickBot="1">
      <c r="C353" s="1847" t="s">
        <v>3680</v>
      </c>
      <c r="D353" s="1863">
        <f ca="1">SUMIFS(BS!10:10,BS!$7:$7,D$351)*100</f>
        <v>0</v>
      </c>
      <c r="E353" s="1863">
        <f ca="1">SUMIFS(BS!10:10,BS!$7:$7,E$351)*100</f>
        <v>1492.6766905465399</v>
      </c>
      <c r="F353" s="1863">
        <f ca="1">SUMIFS(BS!10:10,BS!$7:$7,F$351)*100</f>
        <v>736.0085562691836</v>
      </c>
      <c r="G353" s="1863">
        <f ca="1">SUMIFS(BS!10:10,BS!$7:$7,G$351)*100</f>
        <v>0</v>
      </c>
      <c r="H353" s="1863">
        <f ca="1">SUMIFS(BS!10:10,BS!$7:$7,H$351)*100</f>
        <v>0</v>
      </c>
      <c r="I353" s="1863">
        <f ca="1">SUMIFS(BS!10:10,BS!$7:$7,I$351)*100</f>
        <v>2151.7238126567463</v>
      </c>
      <c r="J353" s="1863">
        <f ca="1">SUMIFS(BS!10:10,BS!$7:$7,J$351)*100</f>
        <v>4529.7618743233616</v>
      </c>
      <c r="K353" s="1863">
        <f ca="1">SUMIFS(BS!10:10,BS!$7:$7,K$351)*100</f>
        <v>3169.1078883427108</v>
      </c>
      <c r="L353" s="1863">
        <f ca="1">SUMIFS(BS!10:10,BS!$7:$7,L$351)*100</f>
        <v>7570.1666940570249</v>
      </c>
      <c r="M353" s="1863">
        <f ca="1">SUMIFS(BS!10:10,BS!$7:$7,M$351)*100</f>
        <v>8129.5871253783043</v>
      </c>
      <c r="N353" s="1863">
        <f ca="1">SUMIFS(BS!10:10,BS!$7:$7,N$351)*100</f>
        <v>10917.991588362491</v>
      </c>
      <c r="O353" s="1863">
        <f ca="1">SUMIFS(BS!10:10,BS!$7:$7,O$351)*100</f>
        <v>17340.020762501485</v>
      </c>
      <c r="P353" s="1863">
        <f ca="1">SUMIFS(BS!10:10,BS!$7:$7,P$351)*100</f>
        <v>19650.84448247145</v>
      </c>
      <c r="Q353" s="498">
        <f ca="1">SUMIFS(BS!10:10,BS!$7:$7,Q$351)*100</f>
        <v>20715.284251572615</v>
      </c>
      <c r="R353" s="498">
        <f ca="1">SUMIFS(BS!10:10,BS!$7:$7,R$351)*100</f>
        <v>21708.205362971028</v>
      </c>
      <c r="S353" s="498">
        <f ca="1">SUMIFS(BS!10:10,BS!$7:$7,S$351)*100</f>
        <v>23565.535461086347</v>
      </c>
      <c r="T353" s="498">
        <f ca="1">SUMIFS(BS!10:10,BS!$7:$7,T$351)*100</f>
        <v>21678.245164330921</v>
      </c>
      <c r="U353" s="498">
        <f ca="1">SUMIFS(BS!10:10,BS!$7:$7,U$351)*100</f>
        <v>11386.392878454473</v>
      </c>
      <c r="V353" s="498">
        <f ca="1">SUMIFS(BS!10:10,BS!$7:$7,V$351)*100</f>
        <v>9797.5403428847749</v>
      </c>
      <c r="W353" s="498">
        <f ca="1">SUMIFS(BS!10:10,BS!$7:$7,W$351)*100</f>
        <v>8978.7580862348022</v>
      </c>
      <c r="X353" s="498">
        <f ca="1">SUMIFS(BS!10:10,BS!$7:$7,X$351)*100</f>
        <v>8492.2464029390885</v>
      </c>
      <c r="Y353" s="498">
        <f ca="1">SUMIFS(BS!10:10,BS!$7:$7,Y$351)*100</f>
        <v>10215.508025765359</v>
      </c>
      <c r="Z353" s="498">
        <f ca="1">SUMIFS(BS!10:10,BS!$7:$7,Z$351)*100</f>
        <v>12261.254465735658</v>
      </c>
      <c r="AA353" s="498">
        <f ca="1">SUMIFS(BS!10:10,BS!$7:$7,AA$351)*100</f>
        <v>14356.453632750652</v>
      </c>
      <c r="AB353" s="498">
        <f ca="1">SUMIFS(BS!10:10,BS!$7:$7,AB$351)*100</f>
        <v>15388.015800935802</v>
      </c>
      <c r="AC353" s="498">
        <f ca="1">SUMIFS(BS!10:10,BS!$7:$7,AC$351)*100</f>
        <v>17448.789605051305</v>
      </c>
      <c r="AD353" s="498">
        <f ca="1">SUMIFS(BS!10:10,BS!$7:$7,AD$351)*100</f>
        <v>23757.201318085397</v>
      </c>
      <c r="AE353" s="498">
        <f ca="1">SUMIFS(BS!10:10,BS!$7:$7,AE$351)*100</f>
        <v>26604.151714105978</v>
      </c>
      <c r="AF353" s="498">
        <f ca="1">SUMIFS(BS!10:10,BS!$7:$7,AF$351)*100</f>
        <v>34030.39498147813</v>
      </c>
      <c r="AG353" s="498">
        <f ca="1">SUMIFS(BS!10:10,BS!$7:$7,AG$351)*100</f>
        <v>37108.514132514945</v>
      </c>
      <c r="AH353" s="498">
        <f ca="1">SUMIFS(BS!10:10,BS!$7:$7,AH$351)*100</f>
        <v>42390.468438091179</v>
      </c>
      <c r="AI353" s="498">
        <f ca="1">SUMIFS(BS!10:10,BS!$7:$7,AI$351)*100</f>
        <v>49135.841604953479</v>
      </c>
      <c r="AJ353" s="498">
        <f ca="1">SUMIFS(BS!10:10,BS!$7:$7,AJ$351)*100</f>
        <v>55217.237322877249</v>
      </c>
      <c r="AK353" s="498">
        <f ca="1">SUMIFS(BS!10:10,BS!$7:$7,AK$351)*100</f>
        <v>61541.721292211878</v>
      </c>
      <c r="AL353" s="498">
        <f ca="1">SUMIFS(BS!10:10,BS!$7:$7,AL$351)*100</f>
        <v>67237.155460620881</v>
      </c>
      <c r="AM353" s="498">
        <f ca="1">SUMIFS(BS!10:10,BS!$7:$7,AM$351)*100</f>
        <v>74173.628648346858</v>
      </c>
      <c r="AN353" s="498">
        <f ca="1">SUMIFS(BS!10:10,BS!$7:$7,AN$351)*100</f>
        <v>78820.611928272934</v>
      </c>
      <c r="AO353" s="498">
        <f ca="1">SUMIFS(BS!10:10,BS!$7:$7,AO$351)*100</f>
        <v>0</v>
      </c>
      <c r="AP353" s="498">
        <f>SUMIFS(BS!10:10,BS!$7:$7,AP$351)*100</f>
        <v>0</v>
      </c>
    </row>
    <row r="354" spans="3:42" ht="13.15" customHeight="1" thickBot="1">
      <c r="C354" s="1847" t="s">
        <v>3681</v>
      </c>
      <c r="D354" s="1863">
        <f ca="1">SUMIFS(BS!13:13,BS!$7:$7,D$351)*100</f>
        <v>11650.598518205532</v>
      </c>
      <c r="E354" s="1863">
        <f ca="1">SUMIFS(BS!13:13,BS!$7:$7,E$351)*100</f>
        <v>7899.3100900510881</v>
      </c>
      <c r="F354" s="1863">
        <f ca="1">SUMIFS(BS!13:13,BS!$7:$7,F$351)*100</f>
        <v>9452.1245519737204</v>
      </c>
      <c r="G354" s="1863">
        <f ca="1">SUMIFS(BS!13:13,BS!$7:$7,G$351)*100</f>
        <v>11022.455417193649</v>
      </c>
      <c r="H354" s="1863">
        <f ca="1">SUMIFS(BS!13:13,BS!$7:$7,H$351)*100</f>
        <v>11022.455417193649</v>
      </c>
      <c r="I354" s="1863">
        <f ca="1">SUMIFS(BS!13:13,BS!$7:$7,I$351)*100</f>
        <v>11022.455417193649</v>
      </c>
      <c r="J354" s="1863">
        <f ca="1">SUMIFS(BS!13:13,BS!$7:$7,J$351)*100</f>
        <v>11022.455417193649</v>
      </c>
      <c r="K354" s="1863">
        <f ca="1">SUMIFS(BS!13:13,BS!$7:$7,K$351)*100</f>
        <v>11022.455417193649</v>
      </c>
      <c r="L354" s="1863">
        <f ca="1">SUMIFS(BS!13:13,BS!$7:$7,L$351)*100</f>
        <v>11022.455417193649</v>
      </c>
      <c r="M354" s="1863">
        <f ca="1">SUMIFS(BS!13:13,BS!$7:$7,M$351)*100</f>
        <v>11022.455417193649</v>
      </c>
      <c r="N354" s="1863">
        <f ca="1">SUMIFS(BS!13:13,BS!$7:$7,N$351)*100</f>
        <v>11022.455417193649</v>
      </c>
      <c r="O354" s="1863">
        <f ca="1">SUMIFS(BS!13:13,BS!$7:$7,O$351)*100</f>
        <v>11022.455417193649</v>
      </c>
      <c r="P354" s="1863">
        <f ca="1">SUMIFS(BS!13:13,BS!$7:$7,P$351)*100</f>
        <v>11022.455417193649</v>
      </c>
      <c r="Q354" s="498">
        <f ca="1">SUMIFS(BS!13:13,BS!$7:$7,Q$351)*100</f>
        <v>11022.455417193649</v>
      </c>
      <c r="R354" s="498">
        <f ca="1">SUMIFS(BS!13:13,BS!$7:$7,R$351)*100</f>
        <v>11022.455417193649</v>
      </c>
      <c r="S354" s="498">
        <f ca="1">SUMIFS(BS!13:13,BS!$7:$7,S$351)*100</f>
        <v>11022.455417193649</v>
      </c>
      <c r="T354" s="498">
        <f ca="1">SUMIFS(BS!13:13,BS!$7:$7,T$351)*100</f>
        <v>11022.455417193649</v>
      </c>
      <c r="U354" s="498">
        <f ca="1">SUMIFS(BS!13:13,BS!$7:$7,U$351)*100</f>
        <v>11022.455417193649</v>
      </c>
      <c r="V354" s="498">
        <f ca="1">SUMIFS(BS!13:13,BS!$7:$7,V$351)*100</f>
        <v>11022.455417193649</v>
      </c>
      <c r="W354" s="498">
        <f ca="1">SUMIFS(BS!13:13,BS!$7:$7,W$351)*100</f>
        <v>11022.455417193649</v>
      </c>
      <c r="X354" s="498">
        <f ca="1">SUMIFS(BS!13:13,BS!$7:$7,X$351)*100</f>
        <v>11022.455417193649</v>
      </c>
      <c r="Y354" s="498">
        <f ca="1">SUMIFS(BS!13:13,BS!$7:$7,Y$351)*100</f>
        <v>11022.455417193649</v>
      </c>
      <c r="Z354" s="498">
        <f ca="1">SUMIFS(BS!13:13,BS!$7:$7,Z$351)*100</f>
        <v>11022.455417193649</v>
      </c>
      <c r="AA354" s="498">
        <f ca="1">SUMIFS(BS!13:13,BS!$7:$7,AA$351)*100</f>
        <v>11022.455417193649</v>
      </c>
      <c r="AB354" s="498">
        <f ca="1">SUMIFS(BS!13:13,BS!$7:$7,AB$351)*100</f>
        <v>11022.455417193649</v>
      </c>
      <c r="AC354" s="498">
        <f ca="1">SUMIFS(BS!13:13,BS!$7:$7,AC$351)*100</f>
        <v>11022.455417193649</v>
      </c>
      <c r="AD354" s="498">
        <f ca="1">SUMIFS(BS!13:13,BS!$7:$7,AD$351)*100</f>
        <v>11022.455417193649</v>
      </c>
      <c r="AE354" s="498">
        <f ca="1">SUMIFS(BS!13:13,BS!$7:$7,AE$351)*100</f>
        <v>11022.455417193649</v>
      </c>
      <c r="AF354" s="498">
        <f ca="1">SUMIFS(BS!13:13,BS!$7:$7,AF$351)*100</f>
        <v>11022.455417193649</v>
      </c>
      <c r="AG354" s="498">
        <f ca="1">SUMIFS(BS!13:13,BS!$7:$7,AG$351)*100</f>
        <v>11022.455417193649</v>
      </c>
      <c r="AH354" s="498">
        <f ca="1">SUMIFS(BS!13:13,BS!$7:$7,AH$351)*100</f>
        <v>11022.455417193649</v>
      </c>
      <c r="AI354" s="498">
        <f ca="1">SUMIFS(BS!13:13,BS!$7:$7,AI$351)*100</f>
        <v>11022.455417193649</v>
      </c>
      <c r="AJ354" s="498">
        <f ca="1">SUMIFS(BS!13:13,BS!$7:$7,AJ$351)*100</f>
        <v>11022.455417193649</v>
      </c>
      <c r="AK354" s="498">
        <f ca="1">SUMIFS(BS!13:13,BS!$7:$7,AK$351)*100</f>
        <v>11022.455417193649</v>
      </c>
      <c r="AL354" s="498">
        <f ca="1">SUMIFS(BS!13:13,BS!$7:$7,AL$351)*100</f>
        <v>11022.455417193649</v>
      </c>
      <c r="AM354" s="498">
        <f ca="1">SUMIFS(BS!13:13,BS!$7:$7,AM$351)*100</f>
        <v>11022.455417193649</v>
      </c>
      <c r="AN354" s="498">
        <f ca="1">SUMIFS(BS!13:13,BS!$7:$7,AN$351)*100</f>
        <v>11022.455417193649</v>
      </c>
      <c r="AO354" s="498">
        <f ca="1">SUMIFS(BS!13:13,BS!$7:$7,AO$351)*100</f>
        <v>0</v>
      </c>
      <c r="AP354" s="498">
        <f>SUMIFS(BS!13:13,BS!$7:$7,AP$351)*100</f>
        <v>0</v>
      </c>
    </row>
    <row r="355" spans="3:42" ht="13.15" customHeight="1" thickBot="1">
      <c r="C355" s="1847" t="s">
        <v>3682</v>
      </c>
      <c r="D355" s="1863">
        <f t="shared" ref="D355" ca="1" si="122">D352-D353-D354</f>
        <v>5785.8328420000016</v>
      </c>
      <c r="E355" s="1863">
        <f t="shared" ref="E355" ca="1" si="123">E352-E353-E354</f>
        <v>5785.8328420000007</v>
      </c>
      <c r="F355" s="1863">
        <f t="shared" ref="F355:AP355" ca="1" si="124">F352-F353-F354</f>
        <v>5785.8328420000016</v>
      </c>
      <c r="G355" s="1863">
        <f t="shared" ca="1" si="124"/>
        <v>5785.832841999998</v>
      </c>
      <c r="H355" s="1863">
        <f t="shared" ca="1" si="124"/>
        <v>6203.219213688355</v>
      </c>
      <c r="I355" s="1863">
        <f t="shared" ca="1" si="124"/>
        <v>5785.832841999998</v>
      </c>
      <c r="J355" s="1863">
        <f t="shared" ca="1" si="124"/>
        <v>5785.832841999998</v>
      </c>
      <c r="K355" s="1863">
        <f t="shared" ca="1" si="124"/>
        <v>5785.832841999998</v>
      </c>
      <c r="L355" s="1863">
        <f t="shared" ca="1" si="124"/>
        <v>5785.832841999998</v>
      </c>
      <c r="M355" s="1863">
        <f t="shared" ca="1" si="124"/>
        <v>5785.8328420000016</v>
      </c>
      <c r="N355" s="1863">
        <f t="shared" ca="1" si="124"/>
        <v>5785.8328420000016</v>
      </c>
      <c r="O355" s="1863">
        <f t="shared" ca="1" si="124"/>
        <v>5785.8328420000053</v>
      </c>
      <c r="P355" s="1863">
        <f t="shared" ca="1" si="124"/>
        <v>5785.832841999998</v>
      </c>
      <c r="Q355" s="498">
        <f t="shared" ca="1" si="124"/>
        <v>5785.8328420000016</v>
      </c>
      <c r="R355" s="498">
        <f t="shared" ca="1" si="124"/>
        <v>5785.8328420000089</v>
      </c>
      <c r="S355" s="498">
        <f t="shared" ca="1" si="124"/>
        <v>5785.832841999998</v>
      </c>
      <c r="T355" s="498">
        <f t="shared" ca="1" si="124"/>
        <v>5785.8328420000053</v>
      </c>
      <c r="U355" s="498">
        <f t="shared" ca="1" si="124"/>
        <v>5785.8328420000053</v>
      </c>
      <c r="V355" s="498">
        <f t="shared" ca="1" si="124"/>
        <v>5785.8328420000016</v>
      </c>
      <c r="W355" s="498">
        <f t="shared" ca="1" si="124"/>
        <v>5785.8328420000016</v>
      </c>
      <c r="X355" s="498">
        <f t="shared" ca="1" si="124"/>
        <v>5785.8328420000016</v>
      </c>
      <c r="Y355" s="498">
        <f t="shared" ca="1" si="124"/>
        <v>5785.8328420000016</v>
      </c>
      <c r="Z355" s="498">
        <f t="shared" ca="1" si="124"/>
        <v>5785.8328420000016</v>
      </c>
      <c r="AA355" s="498">
        <f t="shared" ca="1" si="124"/>
        <v>5785.8328420000016</v>
      </c>
      <c r="AB355" s="498">
        <f t="shared" ca="1" si="124"/>
        <v>5785.8328420000053</v>
      </c>
      <c r="AC355" s="498">
        <f t="shared" ca="1" si="124"/>
        <v>5785.8328420000053</v>
      </c>
      <c r="AD355" s="498">
        <f t="shared" ca="1" si="124"/>
        <v>5785.8328420000016</v>
      </c>
      <c r="AE355" s="498">
        <f t="shared" ca="1" si="124"/>
        <v>5785.832841999998</v>
      </c>
      <c r="AF355" s="498">
        <f t="shared" ca="1" si="124"/>
        <v>5785.8328419999943</v>
      </c>
      <c r="AG355" s="498">
        <f t="shared" ca="1" si="124"/>
        <v>5785.8328420000016</v>
      </c>
      <c r="AH355" s="498">
        <f t="shared" ca="1" si="124"/>
        <v>5785.8328420000016</v>
      </c>
      <c r="AI355" s="498">
        <f t="shared" ca="1" si="124"/>
        <v>5785.8328420000089</v>
      </c>
      <c r="AJ355" s="498">
        <f t="shared" ca="1" si="124"/>
        <v>5785.8328420000016</v>
      </c>
      <c r="AK355" s="498">
        <f t="shared" ca="1" si="124"/>
        <v>5785.8328420000016</v>
      </c>
      <c r="AL355" s="498">
        <f t="shared" ca="1" si="124"/>
        <v>5785.8328420000016</v>
      </c>
      <c r="AM355" s="498">
        <f t="shared" ca="1" si="124"/>
        <v>5785.8328420000016</v>
      </c>
      <c r="AN355" s="498">
        <f t="shared" ca="1" si="124"/>
        <v>5785.8328420000016</v>
      </c>
      <c r="AO355" s="498">
        <f t="shared" ca="1" si="124"/>
        <v>0</v>
      </c>
      <c r="AP355" s="498">
        <f t="shared" si="124"/>
        <v>0</v>
      </c>
    </row>
    <row r="356" spans="3:42" ht="13.15" customHeight="1" thickBot="1">
      <c r="C356" s="1862" t="s">
        <v>3683</v>
      </c>
      <c r="D356" s="1863">
        <f ca="1">SUMIFS(BS!17:17,BS!$7:$7,D$351)*100</f>
        <v>135005.90215525977</v>
      </c>
      <c r="E356" s="1863">
        <f ca="1">SUMIFS(BS!17:17,BS!$7:$7,E$351)*100</f>
        <v>130303.82967188962</v>
      </c>
      <c r="F356" s="1863">
        <f ca="1">SUMIFS(BS!17:17,BS!$7:$7,F$351)*100</f>
        <v>125601.75718851949</v>
      </c>
      <c r="G356" s="1863">
        <f ca="1">SUMIFS(BS!17:17,BS!$7:$7,G$351)*100</f>
        <v>121196.25684799936</v>
      </c>
      <c r="H356" s="1863">
        <f ca="1">SUMIFS(BS!17:17,BS!$7:$7,H$351)*100</f>
        <v>116948.84975139648</v>
      </c>
      <c r="I356" s="1863">
        <f ca="1">SUMIFS(BS!17:17,BS!$7:$7,I$351)*100</f>
        <v>113073.67888423752</v>
      </c>
      <c r="J356" s="1863">
        <f ca="1">SUMIFS(BS!17:17,BS!$7:$7,J$351)*100</f>
        <v>108326.34183094176</v>
      </c>
      <c r="K356" s="1863">
        <f ca="1">SUMIFS(BS!17:17,BS!$7:$7,K$351)*100</f>
        <v>105233.49724963373</v>
      </c>
      <c r="L356" s="1863">
        <f ca="1">SUMIFS(BS!17:17,BS!$7:$7,L$351)*100</f>
        <v>102847.54152575972</v>
      </c>
      <c r="M356" s="1863">
        <f ca="1">SUMIFS(BS!17:17,BS!$7:$7,M$351)*100</f>
        <v>101856.70628792646</v>
      </c>
      <c r="N356" s="1863">
        <f ca="1">SUMIFS(BS!17:17,BS!$7:$7,N$351)*100</f>
        <v>99595.647289506713</v>
      </c>
      <c r="O356" s="1863">
        <f ca="1">SUMIFS(BS!17:17,BS!$7:$7,O$351)*100</f>
        <v>94303.049632794107</v>
      </c>
      <c r="P356" s="1863">
        <f ca="1">SUMIFS(BS!17:17,BS!$7:$7,P$351)*100</f>
        <v>92163.871822905814</v>
      </c>
      <c r="Q356" s="498">
        <f ca="1">SUMIFS(BS!17:17,BS!$7:$7,Q$351)*100</f>
        <v>90760.016081505484</v>
      </c>
      <c r="R356" s="498">
        <f ca="1">SUMIFS(BS!17:17,BS!$7:$7,R$351)*100</f>
        <v>90710.948142824505</v>
      </c>
      <c r="S356" s="498">
        <f ca="1">SUMIFS(BS!17:17,BS!$7:$7,S$351)*100</f>
        <v>86908.120441714709</v>
      </c>
      <c r="T356" s="498">
        <f ca="1">SUMIFS(BS!17:17,BS!$7:$7,T$351)*100</f>
        <v>86386.027079664011</v>
      </c>
      <c r="U356" s="498">
        <f ca="1">SUMIFS(BS!17:17,BS!$7:$7,U$351)*100</f>
        <v>93139.651441216352</v>
      </c>
      <c r="V356" s="498">
        <f ca="1">SUMIFS(BS!17:17,BS!$7:$7,V$351)*100</f>
        <v>92528.513211431782</v>
      </c>
      <c r="W356" s="498">
        <f ca="1">SUMIFS(BS!17:17,BS!$7:$7,W$351)*100</f>
        <v>89828.389835852868</v>
      </c>
      <c r="X356" s="498">
        <f ca="1">SUMIFS(BS!17:17,BS!$7:$7,X$351)*100</f>
        <v>88260.817025094191</v>
      </c>
      <c r="Y356" s="498">
        <f ca="1">SUMIFS(BS!17:17,BS!$7:$7,Y$351)*100</f>
        <v>84060.990592866801</v>
      </c>
      <c r="Z356" s="498">
        <f ca="1">SUMIFS(BS!17:17,BS!$7:$7,Z$351)*100</f>
        <v>78143.456274183147</v>
      </c>
      <c r="AA356" s="498">
        <f ca="1">SUMIFS(BS!17:17,BS!$7:$7,AA$351)*100</f>
        <v>72338.030848937909</v>
      </c>
      <c r="AB356" s="498">
        <f ca="1">SUMIFS(BS!17:17,BS!$7:$7,AB$351)*100</f>
        <v>68028.324264284005</v>
      </c>
      <c r="AC356" s="498">
        <f ca="1">SUMIFS(BS!17:17,BS!$7:$7,AC$351)*100</f>
        <v>63191.785403530244</v>
      </c>
      <c r="AD356" s="498">
        <f ca="1">SUMIFS(BS!17:17,BS!$7:$7,AD$351)*100</f>
        <v>58723.836958573382</v>
      </c>
      <c r="AE356" s="498">
        <f ca="1">SUMIFS(BS!17:17,BS!$7:$7,AE$351)*100</f>
        <v>55458.411831442616</v>
      </c>
      <c r="AF356" s="498">
        <f ca="1">SUMIFS(BS!17:17,BS!$7:$7,AF$351)*100</f>
        <v>49483.453358202729</v>
      </c>
      <c r="AG356" s="498">
        <f ca="1">SUMIFS(BS!17:17,BS!$7:$7,AG$351)*100</f>
        <v>48215.447352714298</v>
      </c>
      <c r="AH356" s="498">
        <f ca="1">SUMIFS(BS!17:17,BS!$7:$7,AH$351)*100</f>
        <v>43224.878439873733</v>
      </c>
      <c r="AI356" s="498">
        <f ca="1">SUMIFS(BS!17:17,BS!$7:$7,AI$351)*100</f>
        <v>37340.340740192783</v>
      </c>
      <c r="AJ356" s="498">
        <f ca="1">SUMIFS(BS!17:17,BS!$7:$7,AJ$351)*100</f>
        <v>33684.555739015748</v>
      </c>
      <c r="AK356" s="498">
        <f ca="1">SUMIFS(BS!17:17,BS!$7:$7,AK$351)*100</f>
        <v>28080.814305260257</v>
      </c>
      <c r="AL356" s="498">
        <f ca="1">SUMIFS(BS!17:17,BS!$7:$7,AL$351)*100</f>
        <v>23519.793047992618</v>
      </c>
      <c r="AM356" s="498">
        <f ca="1">SUMIFS(BS!17:17,BS!$7:$7,AM$351)*100</f>
        <v>18501.593987731278</v>
      </c>
      <c r="AN356" s="498">
        <f ca="1">SUMIFS(BS!17:17,BS!$7:$7,AN$351)*100</f>
        <v>14843.94938914337</v>
      </c>
      <c r="AO356" s="498">
        <f ca="1">SUMIFS(BS!17:17,BS!$7:$7,AO$351)*100</f>
        <v>0</v>
      </c>
      <c r="AP356" s="498">
        <f>SUMIFS(BS!17:17,BS!$7:$7,AP$351)*100</f>
        <v>0</v>
      </c>
    </row>
    <row r="357" spans="3:42" ht="13.15" customHeight="1" thickBot="1">
      <c r="C357" s="1847" t="s">
        <v>3684</v>
      </c>
      <c r="D357" s="1863">
        <f>SUMIFS(BS!24:24,BS!$7:$7,D$351)*100</f>
        <v>98810.327558259742</v>
      </c>
      <c r="E357" s="1863">
        <f>SUMIFS(BS!24:24,BS!$7:$7,E$351)*100</f>
        <v>96103.195296389618</v>
      </c>
      <c r="F357" s="1863">
        <f>SUMIFS(BS!24:24,BS!$7:$7,F$351)*100</f>
        <v>93396.063034519495</v>
      </c>
      <c r="G357" s="1863">
        <f>SUMIFS(BS!24:24,BS!$7:$7,G$351)*100</f>
        <v>90688.930772649357</v>
      </c>
      <c r="H357" s="1863">
        <f>SUMIFS(BS!24:24,BS!$7:$7,H$351)*100</f>
        <v>87981.798510779234</v>
      </c>
      <c r="I357" s="1863">
        <f>SUMIFS(BS!24:24,BS!$7:$7,I$351)*100</f>
        <v>85274.666248909096</v>
      </c>
      <c r="J357" s="1863">
        <f>SUMIFS(BS!24:24,BS!$7:$7,J$351)*100</f>
        <v>82567.533987038973</v>
      </c>
      <c r="K357" s="1863">
        <f>SUMIFS(BS!24:24,BS!$7:$7,K$351)*100</f>
        <v>79860.401725168849</v>
      </c>
      <c r="L357" s="1863">
        <f>SUMIFS(BS!24:24,BS!$7:$7,L$351)*100</f>
        <v>77153.269463298711</v>
      </c>
      <c r="M357" s="1863">
        <f>SUMIFS(BS!24:24,BS!$7:$7,M$351)*100</f>
        <v>74446.137201428588</v>
      </c>
      <c r="N357" s="1863">
        <f>SUMIFS(BS!24:24,BS!$7:$7,N$351)*100</f>
        <v>71739.004939558465</v>
      </c>
      <c r="O357" s="1863">
        <f>SUMIFS(BS!24:24,BS!$7:$7,O$351)*100</f>
        <v>69031.872677688327</v>
      </c>
      <c r="P357" s="1863">
        <f>SUMIFS(BS!24:24,BS!$7:$7,P$351)*100</f>
        <v>66324.740415818203</v>
      </c>
      <c r="Q357" s="498">
        <f>SUMIFS(BS!24:24,BS!$7:$7,Q$351)*100</f>
        <v>63617.608153948073</v>
      </c>
      <c r="R357" s="498">
        <f>SUMIFS(BS!24:24,BS!$7:$7,R$351)*100</f>
        <v>60910.475892077942</v>
      </c>
      <c r="S357" s="498">
        <f>SUMIFS(BS!24:24,BS!$7:$7,S$351)*100</f>
        <v>58203.343630207812</v>
      </c>
      <c r="T357" s="498">
        <f>SUMIFS(BS!24:24,BS!$7:$7,T$351)*100</f>
        <v>55496.211368337688</v>
      </c>
      <c r="U357" s="498">
        <f>SUMIFS(BS!24:24,BS!$7:$7,U$351)*100</f>
        <v>52789.079106467558</v>
      </c>
      <c r="V357" s="498">
        <f>SUMIFS(BS!24:24,BS!$7:$7,V$351)*100</f>
        <v>50081.946844597427</v>
      </c>
      <c r="W357" s="498">
        <f>SUMIFS(BS!24:24,BS!$7:$7,W$351)*100</f>
        <v>47374.814582727297</v>
      </c>
      <c r="X357" s="498">
        <f>SUMIFS(BS!24:24,BS!$7:$7,X$351)*100</f>
        <v>44667.682320857173</v>
      </c>
      <c r="Y357" s="498">
        <f>SUMIFS(BS!24:24,BS!$7:$7,Y$351)*100</f>
        <v>41960.550058987043</v>
      </c>
      <c r="Z357" s="498">
        <f>SUMIFS(BS!24:24,BS!$7:$7,Z$351)*100</f>
        <v>39253.417797116912</v>
      </c>
      <c r="AA357" s="498">
        <f>SUMIFS(BS!24:24,BS!$7:$7,AA$351)*100</f>
        <v>36546.285535246781</v>
      </c>
      <c r="AB357" s="498">
        <f>SUMIFS(BS!24:24,BS!$7:$7,AB$351)*100</f>
        <v>33839.153273376643</v>
      </c>
      <c r="AC357" s="498">
        <f>SUMIFS(BS!24:24,BS!$7:$7,AC$351)*100</f>
        <v>31132.021011506517</v>
      </c>
      <c r="AD357" s="498">
        <f>SUMIFS(BS!24:24,BS!$7:$7,AD$351)*100</f>
        <v>28424.888749636386</v>
      </c>
      <c r="AE357" s="498">
        <f>SUMIFS(BS!24:24,BS!$7:$7,AE$351)*100</f>
        <v>25717.756487766252</v>
      </c>
      <c r="AF357" s="498">
        <f>SUMIFS(BS!24:24,BS!$7:$7,AF$351)*100</f>
        <v>23010.624225896121</v>
      </c>
      <c r="AG357" s="498">
        <f>SUMIFS(BS!24:24,BS!$7:$7,AG$351)*100</f>
        <v>20303.49196402599</v>
      </c>
      <c r="AH357" s="498">
        <f>SUMIFS(BS!24:24,BS!$7:$7,AH$351)*100</f>
        <v>17596.359702155856</v>
      </c>
      <c r="AI357" s="498">
        <f>SUMIFS(BS!24:24,BS!$7:$7,AI$351)*100</f>
        <v>14889.227440285726</v>
      </c>
      <c r="AJ357" s="498">
        <f>SUMIFS(BS!24:24,BS!$7:$7,AJ$351)*100</f>
        <v>12182.095178415593</v>
      </c>
      <c r="AK357" s="498">
        <f>SUMIFS(BS!24:24,BS!$7:$7,AK$351)*100</f>
        <v>9474.9629165454626</v>
      </c>
      <c r="AL357" s="498">
        <f>SUMIFS(BS!24:24,BS!$7:$7,AL$351)*100</f>
        <v>6767.8306546753302</v>
      </c>
      <c r="AM357" s="498">
        <f>SUMIFS(BS!24:24,BS!$7:$7,AM$351)*100</f>
        <v>4060.6983928051982</v>
      </c>
      <c r="AN357" s="498">
        <f>SUMIFS(BS!24:24,BS!$7:$7,AN$351)*100</f>
        <v>1353.5661309350662</v>
      </c>
      <c r="AO357" s="498">
        <f>SUMIFS(BS!24:24,BS!$7:$7,AO$351)*100</f>
        <v>0</v>
      </c>
      <c r="AP357" s="498">
        <f>SUMIFS(BS!24:24,BS!$7:$7,AP$351)*100</f>
        <v>0</v>
      </c>
    </row>
    <row r="358" spans="3:42" ht="13.15" customHeight="1" thickBot="1">
      <c r="C358" s="1847" t="s">
        <v>3685</v>
      </c>
      <c r="D358" s="1863">
        <f ca="1">SUMIFS(BS!19:19,BS!$7:$7,D$351)*100</f>
        <v>36005.398987000008</v>
      </c>
      <c r="E358" s="1863">
        <f ca="1">SUMIFS(BS!19:19,BS!$7:$7,E$351)*100</f>
        <v>34010.458765500007</v>
      </c>
      <c r="F358" s="1863">
        <f ca="1">SUMIFS(BS!19:19,BS!$7:$7,F$351)*100</f>
        <v>32015.518544000002</v>
      </c>
      <c r="G358" s="1863">
        <f ca="1">SUMIFS(BS!19:19,BS!$7:$7,G$351)*100</f>
        <v>30317.150465349998</v>
      </c>
      <c r="H358" s="1863">
        <f ca="1">SUMIFS(BS!19:19,BS!$7:$7,H$351)*100</f>
        <v>28776.875630617251</v>
      </c>
      <c r="I358" s="1863">
        <f ca="1">SUMIFS(BS!19:19,BS!$7:$7,I$351)*100</f>
        <v>27608.837025328416</v>
      </c>
      <c r="J358" s="1863">
        <f ca="1">SUMIFS(BS!19:19,BS!$7:$7,J$351)*100</f>
        <v>25568.632233902783</v>
      </c>
      <c r="K358" s="1863">
        <f ca="1">SUMIFS(BS!19:19,BS!$7:$7,K$351)*100</f>
        <v>25182.919914464881</v>
      </c>
      <c r="L358" s="1863">
        <f ca="1">SUMIFS(BS!19:19,BS!$7:$7,L$351)*100</f>
        <v>25504.096452460999</v>
      </c>
      <c r="M358" s="1863">
        <f ca="1">SUMIFS(BS!19:19,BS!$7:$7,M$351)*100</f>
        <v>27220.393476497862</v>
      </c>
      <c r="N358" s="1863">
        <f ca="1">SUMIFS(BS!19:19,BS!$7:$7,N$351)*100</f>
        <v>27666.46673994825</v>
      </c>
      <c r="O358" s="1863">
        <f ca="1">SUMIFS(BS!19:19,BS!$7:$7,O$351)*100</f>
        <v>25081.001345105771</v>
      </c>
      <c r="P358" s="1863">
        <f ca="1">SUMIFS(BS!19:19,BS!$7:$7,P$351)*100</f>
        <v>25648.955797087609</v>
      </c>
      <c r="Q358" s="498">
        <f ca="1">SUMIFS(BS!19:19,BS!$7:$7,Q$351)*100</f>
        <v>26952.232317557395</v>
      </c>
      <c r="R358" s="498">
        <f ca="1">SUMIFS(BS!19:19,BS!$7:$7,R$351)*100</f>
        <v>29610.296640746565</v>
      </c>
      <c r="S358" s="498">
        <f ca="1">SUMIFS(BS!19:19,BS!$7:$7,S$351)*100</f>
        <v>28514.601201506885</v>
      </c>
      <c r="T358" s="498">
        <f ca="1">SUMIFS(BS!19:19,BS!$7:$7,T$351)*100</f>
        <v>30699.640101326317</v>
      </c>
      <c r="U358" s="498">
        <f ca="1">SUMIFS(BS!19:19,BS!$7:$7,U$351)*100</f>
        <v>40160.396724748782</v>
      </c>
      <c r="V358" s="498">
        <f ca="1">SUMIFS(BS!19:19,BS!$7:$7,V$351)*100</f>
        <v>42256.390756834335</v>
      </c>
      <c r="W358" s="498">
        <f ca="1">SUMIFS(BS!19:19,BS!$7:$7,W$351)*100</f>
        <v>42263.399643125573</v>
      </c>
      <c r="X358" s="498">
        <f ca="1">SUMIFS(BS!19:19,BS!$7:$7,X$351)*100</f>
        <v>43402.95909423702</v>
      </c>
      <c r="Y358" s="498">
        <f ca="1">SUMIFS(BS!19:19,BS!$7:$7,Y$351)*100</f>
        <v>41910.26492387976</v>
      </c>
      <c r="Z358" s="498">
        <f ca="1">SUMIFS(BS!19:19,BS!$7:$7,Z$351)*100</f>
        <v>38699.862867066229</v>
      </c>
      <c r="AA358" s="498">
        <f ca="1">SUMIFS(BS!19:19,BS!$7:$7,AA$351)*100</f>
        <v>35601.56970369113</v>
      </c>
      <c r="AB358" s="498">
        <f ca="1">SUMIFS(BS!19:19,BS!$7:$7,AB$351)*100</f>
        <v>33998.995380907356</v>
      </c>
      <c r="AC358" s="498">
        <f ca="1">SUMIFS(BS!19:19,BS!$7:$7,AC$351)*100</f>
        <v>31869.588782023719</v>
      </c>
      <c r="AD358" s="498">
        <f ca="1">SUMIFS(BS!19:19,BS!$7:$7,AD$351)*100</f>
        <v>30108.77259893699</v>
      </c>
      <c r="AE358" s="498">
        <f ca="1">SUMIFS(BS!19:19,BS!$7:$7,AE$351)*100</f>
        <v>29550.479733676355</v>
      </c>
      <c r="AF358" s="498">
        <f ca="1">SUMIFS(BS!19:19,BS!$7:$7,AF$351)*100</f>
        <v>26282.653522306606</v>
      </c>
      <c r="AG358" s="498">
        <f ca="1">SUMIFS(BS!19:19,BS!$7:$7,AG$351)*100</f>
        <v>27721.779778688313</v>
      </c>
      <c r="AH358" s="498">
        <f ca="1">SUMIFS(BS!19:19,BS!$7:$7,AH$351)*100</f>
        <v>25438.343127717879</v>
      </c>
      <c r="AI358" s="498">
        <f ca="1">SUMIFS(BS!19:19,BS!$7:$7,AI$351)*100</f>
        <v>22260.937689907059</v>
      </c>
      <c r="AJ358" s="498">
        <f ca="1">SUMIFS(BS!19:19,BS!$7:$7,AJ$351)*100</f>
        <v>21312.284950600151</v>
      </c>
      <c r="AK358" s="498">
        <f ca="1">SUMIFS(BS!19:19,BS!$7:$7,AK$351)*100</f>
        <v>18415.675778714798</v>
      </c>
      <c r="AL358" s="498">
        <f ca="1">SUMIFS(BS!19:19,BS!$7:$7,AL$351)*100</f>
        <v>16561.78678331729</v>
      </c>
      <c r="AM358" s="498">
        <f ca="1">SUMIFS(BS!19:19,BS!$7:$7,AM$351)*100</f>
        <v>14250.719984926078</v>
      </c>
      <c r="AN358" s="498">
        <f ca="1">SUMIFS(BS!19:19,BS!$7:$7,AN$351)*100</f>
        <v>13300.207648208303</v>
      </c>
      <c r="AO358" s="498">
        <f ca="1">SUMIFS(BS!19:19,BS!$7:$7,AO$351)*100</f>
        <v>0</v>
      </c>
      <c r="AP358" s="498">
        <f>SUMIFS(BS!19:19,BS!$7:$7,AP$351)*100</f>
        <v>0</v>
      </c>
    </row>
    <row r="359" spans="3:42" ht="13.15" customHeight="1" thickBot="1">
      <c r="C359" s="1847" t="s">
        <v>3686</v>
      </c>
      <c r="D359" s="1863">
        <f t="shared" ref="D359" ca="1" si="125">D356-D357-D358</f>
        <v>190.17561000002024</v>
      </c>
      <c r="E359" s="1863">
        <f t="shared" ref="E359" ca="1" si="126">E356-E357-E358</f>
        <v>190.17560999999114</v>
      </c>
      <c r="F359" s="1863">
        <f t="shared" ref="F359:AP359" ca="1" si="127">F356-F357-F358</f>
        <v>190.17560999999478</v>
      </c>
      <c r="G359" s="1863">
        <f t="shared" ca="1" si="127"/>
        <v>190.17561000000933</v>
      </c>
      <c r="H359" s="1863">
        <f t="shared" ca="1" si="127"/>
        <v>190.17560999999841</v>
      </c>
      <c r="I359" s="1863">
        <f t="shared" ca="1" si="127"/>
        <v>190.17561000001297</v>
      </c>
      <c r="J359" s="1863">
        <f t="shared" ca="1" si="127"/>
        <v>190.17561000000569</v>
      </c>
      <c r="K359" s="1863">
        <f t="shared" ca="1" si="127"/>
        <v>190.17560999999841</v>
      </c>
      <c r="L359" s="1863">
        <f t="shared" ca="1" si="127"/>
        <v>190.17561000000933</v>
      </c>
      <c r="M359" s="1863">
        <f t="shared" ca="1" si="127"/>
        <v>190.17561000000569</v>
      </c>
      <c r="N359" s="1863">
        <f t="shared" ca="1" si="127"/>
        <v>190.17560999999841</v>
      </c>
      <c r="O359" s="1863">
        <f t="shared" ca="1" si="127"/>
        <v>190.17561000000933</v>
      </c>
      <c r="P359" s="1863">
        <f t="shared" ca="1" si="127"/>
        <v>190.17561000000205</v>
      </c>
      <c r="Q359" s="498">
        <f t="shared" ca="1" si="127"/>
        <v>190.1756100000166</v>
      </c>
      <c r="R359" s="498">
        <f t="shared" ca="1" si="127"/>
        <v>190.17560999999841</v>
      </c>
      <c r="S359" s="498">
        <f t="shared" ca="1" si="127"/>
        <v>190.17561000001297</v>
      </c>
      <c r="T359" s="498">
        <f t="shared" ca="1" si="127"/>
        <v>190.17561000000569</v>
      </c>
      <c r="U359" s="498">
        <f t="shared" ca="1" si="127"/>
        <v>190.17561000001297</v>
      </c>
      <c r="V359" s="498">
        <f t="shared" ca="1" si="127"/>
        <v>190.17561000002024</v>
      </c>
      <c r="W359" s="498">
        <f t="shared" ca="1" si="127"/>
        <v>190.17560999999841</v>
      </c>
      <c r="X359" s="498">
        <f t="shared" ca="1" si="127"/>
        <v>190.17560999999841</v>
      </c>
      <c r="Y359" s="498">
        <f t="shared" ca="1" si="127"/>
        <v>190.17560999999841</v>
      </c>
      <c r="Z359" s="498">
        <f t="shared" ca="1" si="127"/>
        <v>190.17561000000569</v>
      </c>
      <c r="AA359" s="498">
        <f t="shared" ca="1" si="127"/>
        <v>190.17560999999841</v>
      </c>
      <c r="AB359" s="498">
        <f t="shared" ca="1" si="127"/>
        <v>190.17561000000569</v>
      </c>
      <c r="AC359" s="498">
        <f t="shared" ca="1" si="127"/>
        <v>190.17561000000933</v>
      </c>
      <c r="AD359" s="498">
        <f t="shared" ca="1" si="127"/>
        <v>190.17561000000569</v>
      </c>
      <c r="AE359" s="498">
        <f t="shared" ca="1" si="127"/>
        <v>190.17561000000933</v>
      </c>
      <c r="AF359" s="498">
        <f t="shared" ca="1" si="127"/>
        <v>190.17561000000205</v>
      </c>
      <c r="AG359" s="498">
        <f t="shared" ca="1" si="127"/>
        <v>190.17560999999478</v>
      </c>
      <c r="AH359" s="498">
        <f t="shared" ca="1" si="127"/>
        <v>190.17560999999841</v>
      </c>
      <c r="AI359" s="498">
        <f t="shared" ca="1" si="127"/>
        <v>190.17560999999841</v>
      </c>
      <c r="AJ359" s="498">
        <f t="shared" ca="1" si="127"/>
        <v>190.17561000000569</v>
      </c>
      <c r="AK359" s="498">
        <f t="shared" ca="1" si="127"/>
        <v>190.17560999999478</v>
      </c>
      <c r="AL359" s="498">
        <f t="shared" ca="1" si="127"/>
        <v>190.17560999999841</v>
      </c>
      <c r="AM359" s="498">
        <f t="shared" ca="1" si="127"/>
        <v>190.17561000000205</v>
      </c>
      <c r="AN359" s="498">
        <f t="shared" ca="1" si="127"/>
        <v>190.17561000000205</v>
      </c>
      <c r="AO359" s="498">
        <f t="shared" ca="1" si="127"/>
        <v>0</v>
      </c>
      <c r="AP359" s="498">
        <f t="shared" si="127"/>
        <v>0</v>
      </c>
    </row>
    <row r="360" spans="3:42" ht="13.15" customHeight="1" thickBot="1">
      <c r="C360" s="1862" t="s">
        <v>688</v>
      </c>
      <c r="D360" s="1863">
        <f ca="1">SUMIFS(BS!29:29,BS!$7:$7,D$351)*100</f>
        <v>152442.33351546529</v>
      </c>
      <c r="E360" s="1863">
        <f ca="1">SUMIFS(BS!29:29,BS!$7:$7,E$351)*100</f>
        <v>145481.64929448723</v>
      </c>
      <c r="F360" s="1863">
        <f ca="1">SUMIFS(BS!29:29,BS!$7:$7,F$351)*100</f>
        <v>141575.72313876241</v>
      </c>
      <c r="G360" s="1863">
        <f ca="1">SUMIFS(BS!29:29,BS!$7:$7,G$351)*100</f>
        <v>138004.545107193</v>
      </c>
      <c r="H360" s="1863">
        <f ca="1">SUMIFS(BS!29:29,BS!$7:$7,H$351)*100</f>
        <v>134174.5243822785</v>
      </c>
      <c r="I360" s="1863">
        <f ca="1">SUMIFS(BS!29:29,BS!$7:$7,I$351)*100</f>
        <v>132033.6909560879</v>
      </c>
      <c r="J360" s="1863">
        <f ca="1">SUMIFS(BS!29:29,BS!$7:$7,J$351)*100</f>
        <v>129664.39196445876</v>
      </c>
      <c r="K360" s="1863">
        <f ca="1">SUMIFS(BS!29:29,BS!$7:$7,K$351)*100</f>
        <v>125210.89339717009</v>
      </c>
      <c r="L360" s="1863">
        <f ca="1">SUMIFS(BS!29:29,BS!$7:$7,L$351)*100</f>
        <v>127225.99647901038</v>
      </c>
      <c r="M360" s="1863">
        <f ca="1">SUMIFS(BS!29:29,BS!$7:$7,M$351)*100</f>
        <v>126794.5816724984</v>
      </c>
      <c r="N360" s="1863">
        <f ca="1">SUMIFS(BS!29:29,BS!$7:$7,N$351)*100</f>
        <v>127321.92713706286</v>
      </c>
      <c r="O360" s="1863">
        <f ca="1">SUMIFS(BS!29:29,BS!$7:$7,O$351)*100</f>
        <v>128451.35865448925</v>
      </c>
      <c r="P360" s="1863">
        <f ca="1">SUMIFS(BS!29:29,BS!$7:$7,P$351)*100</f>
        <v>128623.00456457092</v>
      </c>
      <c r="Q360" s="498">
        <f ca="1">SUMIFS(BS!29:29,BS!$7:$7,Q$351)*100</f>
        <v>128283.58859227173</v>
      </c>
      <c r="R360" s="498">
        <f ca="1">SUMIFS(BS!29:29,BS!$7:$7,R$351)*100</f>
        <v>129227.44176498918</v>
      </c>
      <c r="S360" s="498">
        <f ca="1">SUMIFS(BS!29:29,BS!$7:$7,S$351)*100</f>
        <v>127281.94416199472</v>
      </c>
      <c r="T360" s="498">
        <f ca="1">SUMIFS(BS!29:29,BS!$7:$7,T$351)*100</f>
        <v>124872.56050318858</v>
      </c>
      <c r="U360" s="498">
        <f ca="1">SUMIFS(BS!29:29,BS!$7:$7,U$351)*100</f>
        <v>121334.33257886447</v>
      </c>
      <c r="V360" s="498">
        <f ca="1">SUMIFS(BS!29:29,BS!$7:$7,V$351)*100</f>
        <v>119134.3418135102</v>
      </c>
      <c r="W360" s="498">
        <f ca="1">SUMIFS(BS!29:29,BS!$7:$7,W$351)*100</f>
        <v>115615.43618128133</v>
      </c>
      <c r="X360" s="498">
        <f ca="1">SUMIFS(BS!29:29,BS!$7:$7,X$351)*100</f>
        <v>113561.35168722694</v>
      </c>
      <c r="Y360" s="498">
        <f ca="1">SUMIFS(BS!29:29,BS!$7:$7,Y$351)*100</f>
        <v>111084.78687782581</v>
      </c>
      <c r="Z360" s="498">
        <f ca="1">SUMIFS(BS!29:29,BS!$7:$7,Z$351)*100</f>
        <v>107212.99899911246</v>
      </c>
      <c r="AA360" s="498">
        <f ca="1">SUMIFS(BS!29:29,BS!$7:$7,AA$351)*100</f>
        <v>103502.77274088221</v>
      </c>
      <c r="AB360" s="498">
        <f ca="1">SUMIFS(BS!29:29,BS!$7:$7,AB$351)*100</f>
        <v>100224.62832441345</v>
      </c>
      <c r="AC360" s="498">
        <f ca="1">SUMIFS(BS!29:29,BS!$7:$7,AC$351)*100</f>
        <v>97448.863267775203</v>
      </c>
      <c r="AD360" s="498">
        <f ca="1">SUMIFS(BS!29:29,BS!$7:$7,AD$351)*100</f>
        <v>99289.326535852437</v>
      </c>
      <c r="AE360" s="498">
        <f ca="1">SUMIFS(BS!29:29,BS!$7:$7,AE$351)*100</f>
        <v>98870.85180474224</v>
      </c>
      <c r="AF360" s="498">
        <f ca="1">SUMIFS(BS!29:29,BS!$7:$7,AF$351)*100</f>
        <v>100322.13659887449</v>
      </c>
      <c r="AG360" s="498">
        <f ca="1">SUMIFS(BS!29:29,BS!$7:$7,AG$351)*100</f>
        <v>102132.24974442289</v>
      </c>
      <c r="AH360" s="498">
        <f ca="1">SUMIFS(BS!29:29,BS!$7:$7,AH$351)*100</f>
        <v>102423.63513715856</v>
      </c>
      <c r="AI360" s="498">
        <f ca="1">SUMIFS(BS!29:29,BS!$7:$7,AI$351)*100</f>
        <v>103284.47060433991</v>
      </c>
      <c r="AJ360" s="498">
        <f ca="1">SUMIFS(BS!29:29,BS!$7:$7,AJ$351)*100</f>
        <v>105710.08132108663</v>
      </c>
      <c r="AK360" s="498">
        <f ca="1">SUMIFS(BS!29:29,BS!$7:$7,AK$351)*100</f>
        <v>106430.82385666578</v>
      </c>
      <c r="AL360" s="498">
        <f ca="1">SUMIFS(BS!29:29,BS!$7:$7,AL$351)*100</f>
        <v>107565.23676780716</v>
      </c>
      <c r="AM360" s="498">
        <f ca="1">SUMIFS(BS!29:29,BS!$7:$7,AM$351)*100</f>
        <v>109483.51089527177</v>
      </c>
      <c r="AN360" s="498">
        <f ca="1">SUMIFS(BS!29:29,BS!$7:$7,AN$351)*100</f>
        <v>110472.84957660995</v>
      </c>
      <c r="AO360" s="498">
        <f ca="1">SUMIFS(BS!29:29,BS!$7:$7,AO$351)*100</f>
        <v>0</v>
      </c>
      <c r="AP360" s="498">
        <f>SUMIFS(BS!29:29,BS!$7:$7,AP$351)*100</f>
        <v>0</v>
      </c>
    </row>
    <row r="361" spans="3:42" ht="13.15" customHeight="1" thickBot="1">
      <c r="C361" s="1862" t="s">
        <v>3687</v>
      </c>
      <c r="D361" s="1863">
        <f ca="1">SUMIFS(BS!30:30,BS!$7:$7,D$351)*100</f>
        <v>2523.3588730032416</v>
      </c>
      <c r="E361" s="1863">
        <f ca="1">SUMIFS(BS!30:30,BS!$7:$7,E$351)*100</f>
        <v>2646.3850541814859</v>
      </c>
      <c r="F361" s="1863">
        <f ca="1">SUMIFS(BS!30:30,BS!$7:$7,F$351)*100</f>
        <v>2660.1813707411216</v>
      </c>
      <c r="G361" s="1863">
        <f ca="1">SUMIFS(BS!30:30,BS!$7:$7,G$351)*100</f>
        <v>2679.5343582813439</v>
      </c>
      <c r="H361" s="1863">
        <f ca="1">SUMIFS(BS!30:30,BS!$7:$7,H$351)*100</f>
        <v>2046.6922730000001</v>
      </c>
      <c r="I361" s="1863">
        <f ca="1">SUMIFS(BS!30:30,BS!$7:$7,I$351)*100</f>
        <v>2460.4298089732511</v>
      </c>
      <c r="J361" s="1863">
        <f ca="1">SUMIFS(BS!30:30,BS!$7:$7,J$351)*100</f>
        <v>2411.8420655969039</v>
      </c>
      <c r="K361" s="1863">
        <f ca="1">SUMIFS(BS!30:30,BS!$7:$7,K$351)*100</f>
        <v>2314.2724734490348</v>
      </c>
      <c r="L361" s="1863">
        <f ca="1">SUMIFS(BS!30:30,BS!$7:$7,L$351)*100</f>
        <v>2754.4192104960935</v>
      </c>
      <c r="M361" s="1863">
        <f ca="1">SUMIFS(BS!30:30,BS!$7:$7,M$351)*100</f>
        <v>2432.7635474203894</v>
      </c>
      <c r="N361" s="1863">
        <f ca="1">SUMIFS(BS!30:30,BS!$7:$7,N$351)*100</f>
        <v>2537.2700289327481</v>
      </c>
      <c r="O361" s="1863">
        <f ca="1">SUMIFS(BS!30:30,BS!$7:$7,O$351)*100</f>
        <v>2708.2391885628654</v>
      </c>
      <c r="P361" s="1863">
        <f ca="1">SUMIFS(BS!30:30,BS!$7:$7,P$351)*100</f>
        <v>2597.4536756724219</v>
      </c>
      <c r="Q361" s="498">
        <f ca="1">SUMIFS(BS!30:30,BS!$7:$7,Q$351)*100</f>
        <v>2456.4536514938081</v>
      </c>
      <c r="R361" s="498">
        <f ca="1">SUMIFS(BS!30:30,BS!$7:$7,R$351)*100</f>
        <v>2799.867952997</v>
      </c>
      <c r="S361" s="498">
        <f ca="1">SUMIFS(BS!30:30,BS!$7:$7,S$351)*100</f>
        <v>2613.448929248681</v>
      </c>
      <c r="T361" s="498">
        <f ca="1">SUMIFS(BS!30:30,BS!$7:$7,T$351)*100</f>
        <v>2525.2818873424508</v>
      </c>
      <c r="U361" s="498">
        <f ca="1">SUMIFS(BS!30:30,BS!$7:$7,U$351)*100</f>
        <v>2599.7449585664681</v>
      </c>
      <c r="V361" s="498">
        <f ca="1">SUMIFS(BS!30:30,BS!$7:$7,V$351)*100</f>
        <v>2957.7227440729171</v>
      </c>
      <c r="W361" s="498">
        <f ca="1">SUMIFS(BS!30:30,BS!$7:$7,W$351)*100</f>
        <v>2863.3326397084365</v>
      </c>
      <c r="X361" s="498">
        <f ca="1">SUMIFS(BS!30:30,BS!$7:$7,X$351)*100</f>
        <v>3193.216469704048</v>
      </c>
      <c r="Y361" s="498">
        <f ca="1">SUMIFS(BS!30:30,BS!$7:$7,Y$351)*100</f>
        <v>2957.5368077785688</v>
      </c>
      <c r="Z361" s="498">
        <f ca="1">SUMIFS(BS!30:30,BS!$7:$7,Z$351)*100</f>
        <v>2996.7690677817432</v>
      </c>
      <c r="AA361" s="498">
        <f ca="1">SUMIFS(BS!30:30,BS!$7:$7,AA$351)*100</f>
        <v>3172.0702331783432</v>
      </c>
      <c r="AB361" s="498">
        <f ca="1">SUMIFS(BS!30:30,BS!$7:$7,AB$351)*100</f>
        <v>3158.9375719829436</v>
      </c>
      <c r="AC361" s="498">
        <f ca="1">SUMIFS(BS!30:30,BS!$7:$7,AC$351)*100</f>
        <v>2994.8952698828316</v>
      </c>
      <c r="AD361" s="498">
        <f ca="1">SUMIFS(BS!30:30,BS!$7:$7,AD$351)*100</f>
        <v>3312.7683741414544</v>
      </c>
      <c r="AE361" s="498">
        <f ca="1">SUMIFS(BS!30:30,BS!$7:$7,AE$351)*100</f>
        <v>2967.2356465489556</v>
      </c>
      <c r="AF361" s="498">
        <f ca="1">SUMIFS(BS!30:30,BS!$7:$7,AF$351)*100</f>
        <v>3233.0599645097136</v>
      </c>
      <c r="AG361" s="498">
        <f ca="1">SUMIFS(BS!30:30,BS!$7:$7,AG$351)*100</f>
        <v>3420.552886288081</v>
      </c>
      <c r="AH361" s="498">
        <f ca="1">SUMIFS(BS!30:30,BS!$7:$7,AH$351)*100</f>
        <v>3212.5431775766237</v>
      </c>
      <c r="AI361" s="498">
        <f ca="1">SUMIFS(BS!30:30,BS!$7:$7,AI$351)*100</f>
        <v>3268.1170280437186</v>
      </c>
      <c r="AJ361" s="498">
        <f ca="1">SUMIFS(BS!30:30,BS!$7:$7,AJ$351)*100</f>
        <v>3630.3554255208846</v>
      </c>
      <c r="AK361" s="498">
        <f ca="1">SUMIFS(BS!30:30,BS!$7:$7,AK$351)*100</f>
        <v>3453.4446504026191</v>
      </c>
      <c r="AL361" s="498">
        <f ca="1">SUMIFS(BS!30:30,BS!$7:$7,AL$351)*100</f>
        <v>3508.3150310866399</v>
      </c>
      <c r="AM361" s="498">
        <f ca="1">SUMIFS(BS!30:30,BS!$7:$7,AM$351)*100</f>
        <v>3711.7362563760466</v>
      </c>
      <c r="AN361" s="498">
        <f ca="1">SUMIFS(BS!30:30,BS!$7:$7,AN$351)*100</f>
        <v>3626.4831284717766</v>
      </c>
      <c r="AO361" s="498">
        <f ca="1">SUMIFS(BS!30:30,BS!$7:$7,AO$351)*100</f>
        <v>0</v>
      </c>
      <c r="AP361" s="498">
        <f>SUMIFS(BS!30:30,BS!$7:$7,AP$351)*100</f>
        <v>0</v>
      </c>
    </row>
    <row r="362" spans="3:42" ht="13.15" customHeight="1" thickBot="1">
      <c r="C362" s="1847" t="s">
        <v>3688</v>
      </c>
      <c r="D362" s="1863">
        <f>SUMIFS(BS!32:32,BS!$7:$7,D$351)*100</f>
        <v>2046.6922730000001</v>
      </c>
      <c r="E362" s="1863">
        <f>SUMIFS(BS!32:32,BS!$7:$7,E$351)*100</f>
        <v>2046.6922730000001</v>
      </c>
      <c r="F362" s="1863">
        <f>SUMIFS(BS!32:32,BS!$7:$7,F$351)*100</f>
        <v>2046.6922730000001</v>
      </c>
      <c r="G362" s="1863">
        <f>SUMIFS(BS!32:32,BS!$7:$7,G$351)*100</f>
        <v>2046.6922730000001</v>
      </c>
      <c r="H362" s="1863">
        <f>SUMIFS(BS!32:32,BS!$7:$7,H$351)*100</f>
        <v>2046.6922730000001</v>
      </c>
      <c r="I362" s="1863">
        <f>SUMIFS(BS!32:32,BS!$7:$7,I$351)*100</f>
        <v>2046.6922730000001</v>
      </c>
      <c r="J362" s="1863">
        <f>SUMIFS(BS!32:32,BS!$7:$7,J$351)*100</f>
        <v>2046.6922730000001</v>
      </c>
      <c r="K362" s="1863">
        <f>SUMIFS(BS!32:32,BS!$7:$7,K$351)*100</f>
        <v>2046.6922730000001</v>
      </c>
      <c r="L362" s="1863">
        <f>SUMIFS(BS!32:32,BS!$7:$7,L$351)*100</f>
        <v>2046.6922730000001</v>
      </c>
      <c r="M362" s="1863">
        <f>SUMIFS(BS!32:32,BS!$7:$7,M$351)*100</f>
        <v>2046.6922730000001</v>
      </c>
      <c r="N362" s="1863">
        <f>SUMIFS(BS!32:32,BS!$7:$7,N$351)*100</f>
        <v>2046.6922730000001</v>
      </c>
      <c r="O362" s="1863">
        <f>SUMIFS(BS!32:32,BS!$7:$7,O$351)*100</f>
        <v>2046.6922730000001</v>
      </c>
      <c r="P362" s="1863">
        <f>SUMIFS(BS!32:32,BS!$7:$7,P$351)*100</f>
        <v>2046.6922730000001</v>
      </c>
      <c r="Q362" s="498">
        <f>SUMIFS(BS!32:32,BS!$7:$7,Q$351)*100</f>
        <v>2046.6922730000001</v>
      </c>
      <c r="R362" s="498">
        <f>SUMIFS(BS!32:32,BS!$7:$7,R$351)*100</f>
        <v>2046.6922730000001</v>
      </c>
      <c r="S362" s="498">
        <f>SUMIFS(BS!32:32,BS!$7:$7,S$351)*100</f>
        <v>2046.6922730000001</v>
      </c>
      <c r="T362" s="498">
        <f>SUMIFS(BS!32:32,BS!$7:$7,T$351)*100</f>
        <v>2046.6922730000001</v>
      </c>
      <c r="U362" s="498">
        <f>SUMIFS(BS!32:32,BS!$7:$7,U$351)*100</f>
        <v>2046.6922730000001</v>
      </c>
      <c r="V362" s="498">
        <f>SUMIFS(BS!32:32,BS!$7:$7,V$351)*100</f>
        <v>2046.6922730000001</v>
      </c>
      <c r="W362" s="498">
        <f>SUMIFS(BS!32:32,BS!$7:$7,W$351)*100</f>
        <v>2046.6922730000001</v>
      </c>
      <c r="X362" s="498">
        <f>SUMIFS(BS!32:32,BS!$7:$7,X$351)*100</f>
        <v>2046.6922730000001</v>
      </c>
      <c r="Y362" s="498">
        <f>SUMIFS(BS!32:32,BS!$7:$7,Y$351)*100</f>
        <v>2046.6922730000001</v>
      </c>
      <c r="Z362" s="498">
        <f>SUMIFS(BS!32:32,BS!$7:$7,Z$351)*100</f>
        <v>2046.6922730000001</v>
      </c>
      <c r="AA362" s="498">
        <f>SUMIFS(BS!32:32,BS!$7:$7,AA$351)*100</f>
        <v>2046.6922730000001</v>
      </c>
      <c r="AB362" s="498">
        <f>SUMIFS(BS!32:32,BS!$7:$7,AB$351)*100</f>
        <v>2046.6922730000001</v>
      </c>
      <c r="AC362" s="498">
        <f>SUMIFS(BS!32:32,BS!$7:$7,AC$351)*100</f>
        <v>2046.6922730000001</v>
      </c>
      <c r="AD362" s="498">
        <f>SUMIFS(BS!32:32,BS!$7:$7,AD$351)*100</f>
        <v>2046.6922730000001</v>
      </c>
      <c r="AE362" s="498">
        <f>SUMIFS(BS!32:32,BS!$7:$7,AE$351)*100</f>
        <v>2046.6922730000001</v>
      </c>
      <c r="AF362" s="498">
        <f>SUMIFS(BS!32:32,BS!$7:$7,AF$351)*100</f>
        <v>2046.6922730000001</v>
      </c>
      <c r="AG362" s="498">
        <f>SUMIFS(BS!32:32,BS!$7:$7,AG$351)*100</f>
        <v>2046.6922730000001</v>
      </c>
      <c r="AH362" s="498">
        <f>SUMIFS(BS!32:32,BS!$7:$7,AH$351)*100</f>
        <v>2046.6922730000001</v>
      </c>
      <c r="AI362" s="498">
        <f>SUMIFS(BS!32:32,BS!$7:$7,AI$351)*100</f>
        <v>2046.6922730000001</v>
      </c>
      <c r="AJ362" s="498">
        <f>SUMIFS(BS!32:32,BS!$7:$7,AJ$351)*100</f>
        <v>2046.6922730000001</v>
      </c>
      <c r="AK362" s="498">
        <f>SUMIFS(BS!32:32,BS!$7:$7,AK$351)*100</f>
        <v>2046.6922730000001</v>
      </c>
      <c r="AL362" s="498">
        <f>SUMIFS(BS!32:32,BS!$7:$7,AL$351)*100</f>
        <v>2046.6922730000001</v>
      </c>
      <c r="AM362" s="498">
        <f>SUMIFS(BS!32:32,BS!$7:$7,AM$351)*100</f>
        <v>2046.6922730000001</v>
      </c>
      <c r="AN362" s="498">
        <f>SUMIFS(BS!32:32,BS!$7:$7,AN$351)*100</f>
        <v>2046.6922730000001</v>
      </c>
      <c r="AO362" s="498">
        <f>SUMIFS(BS!32:32,BS!$7:$7,AO$351)*100</f>
        <v>0</v>
      </c>
      <c r="AP362" s="498">
        <f>SUMIFS(BS!32:32,BS!$7:$7,AP$351)*100</f>
        <v>0</v>
      </c>
    </row>
    <row r="363" spans="3:42" ht="13.15" customHeight="1" thickBot="1">
      <c r="C363" s="1847" t="s">
        <v>3689</v>
      </c>
      <c r="D363" s="1863">
        <f t="shared" ref="D363" ca="1" si="128">D361-D362</f>
        <v>476.66660000324146</v>
      </c>
      <c r="E363" s="1863">
        <f t="shared" ref="E363" ca="1" si="129">E361-E362</f>
        <v>599.69278118148577</v>
      </c>
      <c r="F363" s="1863">
        <f t="shared" ref="F363:AP363" ca="1" si="130">F361-F362</f>
        <v>613.48909774112144</v>
      </c>
      <c r="G363" s="1863">
        <f t="shared" ca="1" si="130"/>
        <v>632.84208528134377</v>
      </c>
      <c r="H363" s="1863">
        <f t="shared" ca="1" si="130"/>
        <v>0</v>
      </c>
      <c r="I363" s="1863">
        <f t="shared" ca="1" si="130"/>
        <v>413.73753597325094</v>
      </c>
      <c r="J363" s="1863">
        <f t="shared" ca="1" si="130"/>
        <v>365.14979259690381</v>
      </c>
      <c r="K363" s="1863">
        <f t="shared" ca="1" si="130"/>
        <v>267.58020044903469</v>
      </c>
      <c r="L363" s="1863">
        <f t="shared" ca="1" si="130"/>
        <v>707.72693749609334</v>
      </c>
      <c r="M363" s="1863">
        <f t="shared" ca="1" si="130"/>
        <v>386.07127442038927</v>
      </c>
      <c r="N363" s="1863">
        <f t="shared" ca="1" si="130"/>
        <v>490.577755932748</v>
      </c>
      <c r="O363" s="1863">
        <f t="shared" ca="1" si="130"/>
        <v>661.54691556286525</v>
      </c>
      <c r="P363" s="1863">
        <f t="shared" ca="1" si="130"/>
        <v>550.76140267242181</v>
      </c>
      <c r="Q363" s="498">
        <f t="shared" ca="1" si="130"/>
        <v>409.76137849380802</v>
      </c>
      <c r="R363" s="498">
        <f t="shared" ca="1" si="130"/>
        <v>753.17567999699986</v>
      </c>
      <c r="S363" s="498">
        <f t="shared" ca="1" si="130"/>
        <v>566.75665624868088</v>
      </c>
      <c r="T363" s="498">
        <f t="shared" ca="1" si="130"/>
        <v>478.58961434245066</v>
      </c>
      <c r="U363" s="498">
        <f t="shared" ca="1" si="130"/>
        <v>553.05268556646797</v>
      </c>
      <c r="V363" s="498">
        <f t="shared" ca="1" si="130"/>
        <v>911.03047107291695</v>
      </c>
      <c r="W363" s="498">
        <f t="shared" ca="1" si="130"/>
        <v>816.64036670843643</v>
      </c>
      <c r="X363" s="498">
        <f t="shared" ca="1" si="130"/>
        <v>1146.5241967040479</v>
      </c>
      <c r="Y363" s="498">
        <f t="shared" ca="1" si="130"/>
        <v>910.84453477856869</v>
      </c>
      <c r="Z363" s="498">
        <f t="shared" ca="1" si="130"/>
        <v>950.07679478174305</v>
      </c>
      <c r="AA363" s="498">
        <f t="shared" ca="1" si="130"/>
        <v>1125.3779601783431</v>
      </c>
      <c r="AB363" s="498">
        <f t="shared" ca="1" si="130"/>
        <v>1112.2452989829435</v>
      </c>
      <c r="AC363" s="498">
        <f t="shared" ca="1" si="130"/>
        <v>948.20299688283148</v>
      </c>
      <c r="AD363" s="498">
        <f t="shared" ca="1" si="130"/>
        <v>1266.0761011414543</v>
      </c>
      <c r="AE363" s="498">
        <f t="shared" ca="1" si="130"/>
        <v>920.54337354895551</v>
      </c>
      <c r="AF363" s="498">
        <f t="shared" ca="1" si="130"/>
        <v>1186.3676915097135</v>
      </c>
      <c r="AG363" s="498">
        <f t="shared" ca="1" si="130"/>
        <v>1373.8606132880809</v>
      </c>
      <c r="AH363" s="498">
        <f t="shared" ca="1" si="130"/>
        <v>1165.8509045766236</v>
      </c>
      <c r="AI363" s="498">
        <f t="shared" ca="1" si="130"/>
        <v>1221.4247550437185</v>
      </c>
      <c r="AJ363" s="498">
        <f t="shared" ca="1" si="130"/>
        <v>1583.6631525208845</v>
      </c>
      <c r="AK363" s="498">
        <f t="shared" ca="1" si="130"/>
        <v>1406.752377402619</v>
      </c>
      <c r="AL363" s="498">
        <f t="shared" ca="1" si="130"/>
        <v>1461.6227580866398</v>
      </c>
      <c r="AM363" s="498">
        <f t="shared" ca="1" si="130"/>
        <v>1665.0439833760465</v>
      </c>
      <c r="AN363" s="498">
        <f t="shared" ca="1" si="130"/>
        <v>1579.7908554717765</v>
      </c>
      <c r="AO363" s="498">
        <f t="shared" ca="1" si="130"/>
        <v>0</v>
      </c>
      <c r="AP363" s="498">
        <f t="shared" si="130"/>
        <v>0</v>
      </c>
    </row>
    <row r="364" spans="3:42" ht="13.15" customHeight="1" thickBot="1">
      <c r="C364" s="1862" t="s">
        <v>3690</v>
      </c>
      <c r="D364" s="1863">
        <f ca="1">SUMIFS(BS!35:35,BS!$7:$7,D$351)*100</f>
        <v>98098.827396313995</v>
      </c>
      <c r="E364" s="1863">
        <f ca="1">SUMIFS(BS!35:35,BS!$7:$7,E$351)*100</f>
        <v>81774.405664573642</v>
      </c>
      <c r="F364" s="1863">
        <f ca="1">SUMIFS(BS!35:35,BS!$7:$7,F$351)*100</f>
        <v>67451.85576675125</v>
      </c>
      <c r="G364" s="1863">
        <f ca="1">SUMIFS(BS!35:35,BS!$7:$7,G$351)*100</f>
        <v>60020.590854166156</v>
      </c>
      <c r="H364" s="1863">
        <f ca="1">SUMIFS(BS!35:35,BS!$7:$7,H$351)*100</f>
        <v>56572.516506883883</v>
      </c>
      <c r="I364" s="1863">
        <f ca="1">SUMIFS(BS!35:35,BS!$7:$7,I$351)*100</f>
        <v>52615.256900359476</v>
      </c>
      <c r="J364" s="1863">
        <f ca="1">SUMIFS(BS!35:35,BS!$7:$7,J$351)*100</f>
        <v>48646.773981921397</v>
      </c>
      <c r="K364" s="1863">
        <f ca="1">SUMIFS(BS!35:35,BS!$7:$7,K$351)*100</f>
        <v>45663.518533000002</v>
      </c>
      <c r="L364" s="1863">
        <f ca="1">SUMIFS(BS!35:35,BS!$7:$7,L$351)*100</f>
        <v>45663.518533000002</v>
      </c>
      <c r="M364" s="1863">
        <f ca="1">SUMIFS(BS!35:35,BS!$7:$7,M$351)*100</f>
        <v>45663.518533000002</v>
      </c>
      <c r="N364" s="1863">
        <f ca="1">SUMIFS(BS!35:35,BS!$7:$7,N$351)*100</f>
        <v>45663.518533000002</v>
      </c>
      <c r="O364" s="1863">
        <f ca="1">SUMIFS(BS!35:35,BS!$7:$7,O$351)*100</f>
        <v>45663.518533000002</v>
      </c>
      <c r="P364" s="1863">
        <f ca="1">SUMIFS(BS!35:35,BS!$7:$7,P$351)*100</f>
        <v>44967.499932999999</v>
      </c>
      <c r="Q364" s="498">
        <f ca="1">SUMIFS(BS!35:35,BS!$7:$7,Q$351)*100</f>
        <v>42833.226632999998</v>
      </c>
      <c r="R364" s="498">
        <f ca="1">SUMIFS(BS!35:35,BS!$7:$7,R$351)*100</f>
        <v>40342.120133000004</v>
      </c>
      <c r="S364" s="498">
        <f ca="1">SUMIFS(BS!35:35,BS!$7:$7,S$351)*100</f>
        <v>35958.152833</v>
      </c>
      <c r="T364" s="498">
        <f ca="1">SUMIFS(BS!35:35,BS!$7:$7,T$351)*100</f>
        <v>31366.152833</v>
      </c>
      <c r="U364" s="498">
        <f ca="1">SUMIFS(BS!35:35,BS!$7:$7,U$351)*100</f>
        <v>26774.152833</v>
      </c>
      <c r="V364" s="498">
        <f ca="1">SUMIFS(BS!35:35,BS!$7:$7,V$351)*100</f>
        <v>22182.152833</v>
      </c>
      <c r="W364" s="498">
        <f ca="1">SUMIFS(BS!35:35,BS!$7:$7,W$351)*100</f>
        <v>17590.152833</v>
      </c>
      <c r="X364" s="498">
        <f ca="1">SUMIFS(BS!35:35,BS!$7:$7,X$351)*100</f>
        <v>12998.152833</v>
      </c>
      <c r="Y364" s="498">
        <f ca="1">SUMIFS(BS!35:35,BS!$7:$7,Y$351)*100</f>
        <v>8406.1528330000001</v>
      </c>
      <c r="Z364" s="498">
        <f ca="1">SUMIFS(BS!35:35,BS!$7:$7,Z$351)*100</f>
        <v>3814.1528330000001</v>
      </c>
      <c r="AA364" s="498">
        <f ca="1">SUMIFS(BS!35:35,BS!$7:$7,AA$351)*100</f>
        <v>705.40243299999997</v>
      </c>
      <c r="AB364" s="498">
        <f ca="1">SUMIFS(BS!35:35,BS!$7:$7,AB$351)*100</f>
        <v>705.40243299999997</v>
      </c>
      <c r="AC364" s="498">
        <f ca="1">SUMIFS(BS!35:35,BS!$7:$7,AC$351)*100</f>
        <v>705.40243299999997</v>
      </c>
      <c r="AD364" s="498">
        <f ca="1">SUMIFS(BS!35:35,BS!$7:$7,AD$351)*100</f>
        <v>705.40243299999997</v>
      </c>
      <c r="AE364" s="498">
        <f ca="1">SUMIFS(BS!35:35,BS!$7:$7,AE$351)*100</f>
        <v>705.40243299999997</v>
      </c>
      <c r="AF364" s="498">
        <f ca="1">SUMIFS(BS!35:35,BS!$7:$7,AF$351)*100</f>
        <v>705.40243299999997</v>
      </c>
      <c r="AG364" s="498">
        <f ca="1">SUMIFS(BS!35:35,BS!$7:$7,AG$351)*100</f>
        <v>705.40243299999997</v>
      </c>
      <c r="AH364" s="498">
        <f ca="1">SUMIFS(BS!35:35,BS!$7:$7,AH$351)*100</f>
        <v>705.40243299999997</v>
      </c>
      <c r="AI364" s="498">
        <f ca="1">SUMIFS(BS!35:35,BS!$7:$7,AI$351)*100</f>
        <v>705.40243299999997</v>
      </c>
      <c r="AJ364" s="498">
        <f ca="1">SUMIFS(BS!35:35,BS!$7:$7,AJ$351)*100</f>
        <v>705.40243299999997</v>
      </c>
      <c r="AK364" s="498">
        <f ca="1">SUMIFS(BS!35:35,BS!$7:$7,AK$351)*100</f>
        <v>705.40243299999997</v>
      </c>
      <c r="AL364" s="498">
        <f ca="1">SUMIFS(BS!35:35,BS!$7:$7,AL$351)*100</f>
        <v>705.40243299999997</v>
      </c>
      <c r="AM364" s="498">
        <f ca="1">SUMIFS(BS!35:35,BS!$7:$7,AM$351)*100</f>
        <v>705.40243299999997</v>
      </c>
      <c r="AN364" s="498">
        <f ca="1">SUMIFS(BS!35:35,BS!$7:$7,AN$351)*100</f>
        <v>705.40243299999997</v>
      </c>
      <c r="AO364" s="498">
        <f ca="1">SUMIFS(BS!35:35,BS!$7:$7,AO$351)*100</f>
        <v>0</v>
      </c>
      <c r="AP364" s="498">
        <f>SUMIFS(BS!35:35,BS!$7:$7,AP$351)*100</f>
        <v>0</v>
      </c>
    </row>
    <row r="365" spans="3:42" ht="13.15" customHeight="1" thickBot="1">
      <c r="C365" s="1847" t="s">
        <v>707</v>
      </c>
      <c r="D365" s="1863">
        <f>SUMIFS(BS!36:36,BS!$7:$7,D$351)*100</f>
        <v>79643.99099999998</v>
      </c>
      <c r="E365" s="1863">
        <f>SUMIFS(BS!36:36,BS!$7:$7,E$351)*100</f>
        <v>63117.239999999983</v>
      </c>
      <c r="F365" s="1863">
        <f>SUMIFS(BS!36:36,BS!$7:$7,F$351)*100</f>
        <v>46507.439999999988</v>
      </c>
      <c r="G365" s="1863">
        <f>SUMIFS(BS!36:36,BS!$7:$7,G$351)*100</f>
        <v>25329.944999999985</v>
      </c>
      <c r="H365" s="1863">
        <f>SUMIFS(BS!36:36,BS!$7:$7,H$351)*100</f>
        <v>10962.467999999986</v>
      </c>
      <c r="I365" s="1863">
        <f>SUMIFS(BS!36:36,BS!$7:$7,I$351)*100</f>
        <v>6976.1159999999873</v>
      </c>
      <c r="J365" s="1863">
        <f>SUMIFS(BS!36:36,BS!$7:$7,J$351)*100</f>
        <v>2989.7639999999874</v>
      </c>
      <c r="K365" s="1863">
        <f>SUMIFS(BS!36:36,BS!$7:$7,K$351)*100</f>
        <v>0</v>
      </c>
      <c r="L365" s="1863">
        <f>SUMIFS(BS!36:36,BS!$7:$7,L$351)*100</f>
        <v>0</v>
      </c>
      <c r="M365" s="1863">
        <f>SUMIFS(BS!36:36,BS!$7:$7,M$351)*100</f>
        <v>0</v>
      </c>
      <c r="N365" s="1863">
        <f>SUMIFS(BS!36:36,BS!$7:$7,N$351)*100</f>
        <v>0</v>
      </c>
      <c r="O365" s="1863">
        <f>SUMIFS(BS!36:36,BS!$7:$7,O$351)*100</f>
        <v>0</v>
      </c>
      <c r="P365" s="1863">
        <f>SUMIFS(BS!36:36,BS!$7:$7,P$351)*100</f>
        <v>0</v>
      </c>
      <c r="Q365" s="498">
        <f>SUMIFS(BS!36:36,BS!$7:$7,Q$351)*100</f>
        <v>0</v>
      </c>
      <c r="R365" s="498">
        <f>SUMIFS(BS!36:36,BS!$7:$7,R$351)*100</f>
        <v>0</v>
      </c>
      <c r="S365" s="498">
        <f>SUMIFS(BS!36:36,BS!$7:$7,S$351)*100</f>
        <v>0</v>
      </c>
      <c r="T365" s="498">
        <f>SUMIFS(BS!36:36,BS!$7:$7,T$351)*100</f>
        <v>0</v>
      </c>
      <c r="U365" s="498">
        <f>SUMIFS(BS!36:36,BS!$7:$7,U$351)*100</f>
        <v>0</v>
      </c>
      <c r="V365" s="498">
        <f>SUMIFS(BS!36:36,BS!$7:$7,V$351)*100</f>
        <v>0</v>
      </c>
      <c r="W365" s="498">
        <f>SUMIFS(BS!36:36,BS!$7:$7,W$351)*100</f>
        <v>0</v>
      </c>
      <c r="X365" s="498">
        <f>SUMIFS(BS!36:36,BS!$7:$7,X$351)*100</f>
        <v>0</v>
      </c>
      <c r="Y365" s="498">
        <f>SUMIFS(BS!36:36,BS!$7:$7,Y$351)*100</f>
        <v>0</v>
      </c>
      <c r="Z365" s="498">
        <f>SUMIFS(BS!36:36,BS!$7:$7,Z$351)*100</f>
        <v>0</v>
      </c>
      <c r="AA365" s="498">
        <f>SUMIFS(BS!36:36,BS!$7:$7,AA$351)*100</f>
        <v>0</v>
      </c>
      <c r="AB365" s="498">
        <f>SUMIFS(BS!36:36,BS!$7:$7,AB$351)*100</f>
        <v>0</v>
      </c>
      <c r="AC365" s="498">
        <f>SUMIFS(BS!36:36,BS!$7:$7,AC$351)*100</f>
        <v>0</v>
      </c>
      <c r="AD365" s="498">
        <f>SUMIFS(BS!36:36,BS!$7:$7,AD$351)*100</f>
        <v>0</v>
      </c>
      <c r="AE365" s="498">
        <f>SUMIFS(BS!36:36,BS!$7:$7,AE$351)*100</f>
        <v>0</v>
      </c>
      <c r="AF365" s="498">
        <f>SUMIFS(BS!36:36,BS!$7:$7,AF$351)*100</f>
        <v>0</v>
      </c>
      <c r="AG365" s="498">
        <f>SUMIFS(BS!36:36,BS!$7:$7,AG$351)*100</f>
        <v>0</v>
      </c>
      <c r="AH365" s="498">
        <f>SUMIFS(BS!36:36,BS!$7:$7,AH$351)*100</f>
        <v>0</v>
      </c>
      <c r="AI365" s="498">
        <f>SUMIFS(BS!36:36,BS!$7:$7,AI$351)*100</f>
        <v>0</v>
      </c>
      <c r="AJ365" s="498">
        <f>SUMIFS(BS!36:36,BS!$7:$7,AJ$351)*100</f>
        <v>0</v>
      </c>
      <c r="AK365" s="498">
        <f>SUMIFS(BS!36:36,BS!$7:$7,AK$351)*100</f>
        <v>0</v>
      </c>
      <c r="AL365" s="498">
        <f>SUMIFS(BS!36:36,BS!$7:$7,AL$351)*100</f>
        <v>0</v>
      </c>
      <c r="AM365" s="498">
        <f>SUMIFS(BS!36:36,BS!$7:$7,AM$351)*100</f>
        <v>0</v>
      </c>
      <c r="AN365" s="498">
        <f>SUMIFS(BS!36:36,BS!$7:$7,AN$351)*100</f>
        <v>0</v>
      </c>
      <c r="AO365" s="498">
        <f>SUMIFS(BS!36:36,BS!$7:$7,AO$351)*100</f>
        <v>0</v>
      </c>
      <c r="AP365" s="498">
        <f>SUMIFS(BS!36:36,BS!$7:$7,AP$351)*100</f>
        <v>0</v>
      </c>
    </row>
    <row r="366" spans="3:42" ht="13.15" customHeight="1" thickBot="1">
      <c r="C366" s="1847" t="s">
        <v>695</v>
      </c>
      <c r="D366" s="1863">
        <f>SUMIFS(BS!37:37,BS!$7:$7,D$351)*100</f>
        <v>-601.70163668598343</v>
      </c>
      <c r="E366" s="1863">
        <f>SUMIFS(BS!37:37,BS!$7:$7,E$351)*100</f>
        <v>-399.37236842632376</v>
      </c>
      <c r="F366" s="1863">
        <f>SUMIFS(BS!37:37,BS!$7:$7,F$351)*100</f>
        <v>-231.71466624873176</v>
      </c>
      <c r="G366" s="1863">
        <f>SUMIFS(BS!37:37,BS!$7:$7,G$351)*100</f>
        <v>-114.61957883383462</v>
      </c>
      <c r="H366" s="1863">
        <f>SUMIFS(BS!37:37,BS!$7:$7,H$351)*100</f>
        <v>-53.470026116106695</v>
      </c>
      <c r="I366" s="1863">
        <f>SUMIFS(BS!37:37,BS!$7:$7,I$351)*100</f>
        <v>-24.37763264051096</v>
      </c>
      <c r="J366" s="1863">
        <f>SUMIFS(BS!37:37,BS!$7:$7,J$351)*100</f>
        <v>-6.5085510785956924</v>
      </c>
      <c r="K366" s="1863">
        <f>SUMIFS(BS!37:37,BS!$7:$7,K$351)*100</f>
        <v>0</v>
      </c>
      <c r="L366" s="1863">
        <f>SUMIFS(BS!37:37,BS!$7:$7,L$351)*100</f>
        <v>0</v>
      </c>
      <c r="M366" s="1863">
        <f>SUMIFS(BS!37:37,BS!$7:$7,M$351)*100</f>
        <v>0</v>
      </c>
      <c r="N366" s="1863">
        <f>SUMIFS(BS!37:37,BS!$7:$7,N$351)*100</f>
        <v>0</v>
      </c>
      <c r="O366" s="1863">
        <f>SUMIFS(BS!37:37,BS!$7:$7,O$351)*100</f>
        <v>0</v>
      </c>
      <c r="P366" s="1863">
        <f>SUMIFS(BS!37:37,BS!$7:$7,P$351)*100</f>
        <v>0</v>
      </c>
      <c r="Q366" s="498">
        <f>SUMIFS(BS!37:37,BS!$7:$7,Q$351)*100</f>
        <v>0</v>
      </c>
      <c r="R366" s="498">
        <f>SUMIFS(BS!37:37,BS!$7:$7,R$351)*100</f>
        <v>0</v>
      </c>
      <c r="S366" s="498">
        <f>SUMIFS(BS!37:37,BS!$7:$7,S$351)*100</f>
        <v>0</v>
      </c>
      <c r="T366" s="498">
        <f>SUMIFS(BS!37:37,BS!$7:$7,T$351)*100</f>
        <v>0</v>
      </c>
      <c r="U366" s="498">
        <f>SUMIFS(BS!37:37,BS!$7:$7,U$351)*100</f>
        <v>0</v>
      </c>
      <c r="V366" s="498">
        <f>SUMIFS(BS!37:37,BS!$7:$7,V$351)*100</f>
        <v>0</v>
      </c>
      <c r="W366" s="498">
        <f>SUMIFS(BS!37:37,BS!$7:$7,W$351)*100</f>
        <v>0</v>
      </c>
      <c r="X366" s="498">
        <f>SUMIFS(BS!37:37,BS!$7:$7,X$351)*100</f>
        <v>0</v>
      </c>
      <c r="Y366" s="498">
        <f>SUMIFS(BS!37:37,BS!$7:$7,Y$351)*100</f>
        <v>0</v>
      </c>
      <c r="Z366" s="498">
        <f>SUMIFS(BS!37:37,BS!$7:$7,Z$351)*100</f>
        <v>0</v>
      </c>
      <c r="AA366" s="498">
        <f>SUMIFS(BS!37:37,BS!$7:$7,AA$351)*100</f>
        <v>0</v>
      </c>
      <c r="AB366" s="498">
        <f>SUMIFS(BS!37:37,BS!$7:$7,AB$351)*100</f>
        <v>0</v>
      </c>
      <c r="AC366" s="498">
        <f>SUMIFS(BS!37:37,BS!$7:$7,AC$351)*100</f>
        <v>0</v>
      </c>
      <c r="AD366" s="498">
        <f>SUMIFS(BS!37:37,BS!$7:$7,AD$351)*100</f>
        <v>0</v>
      </c>
      <c r="AE366" s="498">
        <f>SUMIFS(BS!37:37,BS!$7:$7,AE$351)*100</f>
        <v>0</v>
      </c>
      <c r="AF366" s="498">
        <f>SUMIFS(BS!37:37,BS!$7:$7,AF$351)*100</f>
        <v>0</v>
      </c>
      <c r="AG366" s="498">
        <f>SUMIFS(BS!37:37,BS!$7:$7,AG$351)*100</f>
        <v>0</v>
      </c>
      <c r="AH366" s="498">
        <f>SUMIFS(BS!37:37,BS!$7:$7,AH$351)*100</f>
        <v>0</v>
      </c>
      <c r="AI366" s="498">
        <f>SUMIFS(BS!37:37,BS!$7:$7,AI$351)*100</f>
        <v>0</v>
      </c>
      <c r="AJ366" s="498">
        <f>SUMIFS(BS!37:37,BS!$7:$7,AJ$351)*100</f>
        <v>0</v>
      </c>
      <c r="AK366" s="498">
        <f>SUMIFS(BS!37:37,BS!$7:$7,AK$351)*100</f>
        <v>0</v>
      </c>
      <c r="AL366" s="498">
        <f>SUMIFS(BS!37:37,BS!$7:$7,AL$351)*100</f>
        <v>0</v>
      </c>
      <c r="AM366" s="498">
        <f>SUMIFS(BS!37:37,BS!$7:$7,AM$351)*100</f>
        <v>0</v>
      </c>
      <c r="AN366" s="498">
        <f>SUMIFS(BS!37:37,BS!$7:$7,AN$351)*100</f>
        <v>0</v>
      </c>
      <c r="AO366" s="498">
        <f>SUMIFS(BS!37:37,BS!$7:$7,AO$351)*100</f>
        <v>0</v>
      </c>
      <c r="AP366" s="498">
        <f>SUMIFS(BS!37:37,BS!$7:$7,AP$351)*100</f>
        <v>0</v>
      </c>
    </row>
    <row r="367" spans="3:42" ht="13.15" customHeight="1" thickBot="1">
      <c r="C367" s="1847" t="s">
        <v>3691</v>
      </c>
      <c r="D367" s="1863">
        <f ca="1">SUMIFS(BS!39:39,BS!$7:$7,D$351)*100</f>
        <v>18351.135600000001</v>
      </c>
      <c r="E367" s="1863">
        <f ca="1">SUMIFS(BS!39:39,BS!$7:$7,E$351)*100</f>
        <v>18351.135600000001</v>
      </c>
      <c r="F367" s="1863">
        <f ca="1">SUMIFS(BS!39:39,BS!$7:$7,F$351)*100</f>
        <v>20470.727999999999</v>
      </c>
      <c r="G367" s="1863">
        <f ca="1">SUMIFS(BS!39:39,BS!$7:$7,G$351)*100</f>
        <v>34099.862999999998</v>
      </c>
      <c r="H367" s="1863">
        <f ca="1">SUMIFS(BS!39:39,BS!$7:$7,H$351)*100</f>
        <v>44958.116099999999</v>
      </c>
      <c r="I367" s="1863">
        <f ca="1">SUMIFS(BS!39:39,BS!$7:$7,I$351)*100</f>
        <v>44958.116099999999</v>
      </c>
      <c r="J367" s="1863">
        <f ca="1">SUMIFS(BS!39:39,BS!$7:$7,J$351)*100</f>
        <v>44958.116099999999</v>
      </c>
      <c r="K367" s="1863">
        <f ca="1">SUMIFS(BS!39:39,BS!$7:$7,K$351)*100</f>
        <v>44958.116099999999</v>
      </c>
      <c r="L367" s="1863">
        <f ca="1">SUMIFS(BS!39:39,BS!$7:$7,L$351)*100</f>
        <v>44958.116099999999</v>
      </c>
      <c r="M367" s="1863">
        <f ca="1">SUMIFS(BS!39:39,BS!$7:$7,M$351)*100</f>
        <v>44958.116099999999</v>
      </c>
      <c r="N367" s="1863">
        <f ca="1">SUMIFS(BS!39:39,BS!$7:$7,N$351)*100</f>
        <v>44958.116099999999</v>
      </c>
      <c r="O367" s="1863">
        <f ca="1">SUMIFS(BS!39:39,BS!$7:$7,O$351)*100</f>
        <v>44958.116099999999</v>
      </c>
      <c r="P367" s="1863">
        <f ca="1">SUMIFS(BS!39:39,BS!$7:$7,P$351)*100</f>
        <v>44262.097499999996</v>
      </c>
      <c r="Q367" s="498">
        <f ca="1">SUMIFS(BS!39:39,BS!$7:$7,Q$351)*100</f>
        <v>42127.824199999995</v>
      </c>
      <c r="R367" s="498">
        <f ca="1">SUMIFS(BS!39:39,BS!$7:$7,R$351)*100</f>
        <v>39636.717700000001</v>
      </c>
      <c r="S367" s="498">
        <f ca="1">SUMIFS(BS!39:39,BS!$7:$7,S$351)*100</f>
        <v>35252.750400000004</v>
      </c>
      <c r="T367" s="498">
        <f ca="1">SUMIFS(BS!39:39,BS!$7:$7,T$351)*100</f>
        <v>30660.750400000001</v>
      </c>
      <c r="U367" s="498">
        <f ca="1">SUMIFS(BS!39:39,BS!$7:$7,U$351)*100</f>
        <v>26068.750399999997</v>
      </c>
      <c r="V367" s="498">
        <f ca="1">SUMIFS(BS!39:39,BS!$7:$7,V$351)*100</f>
        <v>21476.750400000001</v>
      </c>
      <c r="W367" s="498">
        <f ca="1">SUMIFS(BS!39:39,BS!$7:$7,W$351)*100</f>
        <v>16884.750399999997</v>
      </c>
      <c r="X367" s="498">
        <f ca="1">SUMIFS(BS!39:39,BS!$7:$7,X$351)*100</f>
        <v>12292.750400000001</v>
      </c>
      <c r="Y367" s="498">
        <f ca="1">SUMIFS(BS!39:39,BS!$7:$7,Y$351)*100</f>
        <v>7700.7503999999999</v>
      </c>
      <c r="Z367" s="498">
        <f ca="1">SUMIFS(BS!39:39,BS!$7:$7,Z$351)*100</f>
        <v>3108.7503999999999</v>
      </c>
      <c r="AA367" s="498">
        <f ca="1">SUMIFS(BS!39:39,BS!$7:$7,AA$351)*100</f>
        <v>0</v>
      </c>
      <c r="AB367" s="498">
        <f ca="1">SUMIFS(BS!39:39,BS!$7:$7,AB$351)*100</f>
        <v>0</v>
      </c>
      <c r="AC367" s="498">
        <f ca="1">SUMIFS(BS!39:39,BS!$7:$7,AC$351)*100</f>
        <v>0</v>
      </c>
      <c r="AD367" s="498">
        <f ca="1">SUMIFS(BS!39:39,BS!$7:$7,AD$351)*100</f>
        <v>0</v>
      </c>
      <c r="AE367" s="498">
        <f ca="1">SUMIFS(BS!39:39,BS!$7:$7,AE$351)*100</f>
        <v>0</v>
      </c>
      <c r="AF367" s="498">
        <f ca="1">SUMIFS(BS!39:39,BS!$7:$7,AF$351)*100</f>
        <v>0</v>
      </c>
      <c r="AG367" s="498">
        <f ca="1">SUMIFS(BS!39:39,BS!$7:$7,AG$351)*100</f>
        <v>0</v>
      </c>
      <c r="AH367" s="498">
        <f ca="1">SUMIFS(BS!39:39,BS!$7:$7,AH$351)*100</f>
        <v>0</v>
      </c>
      <c r="AI367" s="498">
        <f ca="1">SUMIFS(BS!39:39,BS!$7:$7,AI$351)*100</f>
        <v>0</v>
      </c>
      <c r="AJ367" s="498">
        <f ca="1">SUMIFS(BS!39:39,BS!$7:$7,AJ$351)*100</f>
        <v>0</v>
      </c>
      <c r="AK367" s="498">
        <f ca="1">SUMIFS(BS!39:39,BS!$7:$7,AK$351)*100</f>
        <v>0</v>
      </c>
      <c r="AL367" s="498">
        <f ca="1">SUMIFS(BS!39:39,BS!$7:$7,AL$351)*100</f>
        <v>0</v>
      </c>
      <c r="AM367" s="498">
        <f ca="1">SUMIFS(BS!39:39,BS!$7:$7,AM$351)*100</f>
        <v>0</v>
      </c>
      <c r="AN367" s="498">
        <f ca="1">SUMIFS(BS!39:39,BS!$7:$7,AN$351)*100</f>
        <v>0</v>
      </c>
      <c r="AO367" s="498">
        <f ca="1">SUMIFS(BS!39:39,BS!$7:$7,AO$351)*100</f>
        <v>0</v>
      </c>
      <c r="AP367" s="498">
        <f>SUMIFS(BS!39:39,BS!$7:$7,AP$351)*100</f>
        <v>0</v>
      </c>
    </row>
    <row r="368" spans="3:42" ht="13.15" customHeight="1" thickBot="1">
      <c r="C368" s="1847" t="s">
        <v>3692</v>
      </c>
      <c r="D368" s="1863">
        <f ca="1">D364-SUM(D365:D367)</f>
        <v>705.40243299999565</v>
      </c>
      <c r="E368" s="1863">
        <f ca="1">E364-SUM(E365:E367)</f>
        <v>705.4024329999811</v>
      </c>
      <c r="F368" s="1863">
        <f t="shared" ref="F368:AP368" ca="1" si="131">F364-SUM(F365:F367)</f>
        <v>705.40243299999565</v>
      </c>
      <c r="G368" s="1863">
        <f t="shared" ca="1" si="131"/>
        <v>705.40243300000293</v>
      </c>
      <c r="H368" s="1863">
        <f t="shared" ca="1" si="131"/>
        <v>705.40243300000293</v>
      </c>
      <c r="I368" s="1863">
        <f t="shared" ca="1" si="131"/>
        <v>705.40243300000293</v>
      </c>
      <c r="J368" s="1863">
        <f t="shared" ca="1" si="131"/>
        <v>705.40243300000293</v>
      </c>
      <c r="K368" s="1863">
        <f t="shared" ca="1" si="131"/>
        <v>705.40243300000293</v>
      </c>
      <c r="L368" s="1863">
        <f t="shared" ca="1" si="131"/>
        <v>705.40243300000293</v>
      </c>
      <c r="M368" s="1863">
        <f t="shared" ca="1" si="131"/>
        <v>705.40243300000293</v>
      </c>
      <c r="N368" s="1863">
        <f t="shared" ca="1" si="131"/>
        <v>705.40243300000293</v>
      </c>
      <c r="O368" s="1863">
        <f t="shared" ca="1" si="131"/>
        <v>705.40243300000293</v>
      </c>
      <c r="P368" s="1863">
        <f t="shared" ca="1" si="131"/>
        <v>705.40243300000293</v>
      </c>
      <c r="Q368" s="498">
        <f t="shared" ca="1" si="131"/>
        <v>705.40243300000293</v>
      </c>
      <c r="R368" s="498">
        <f t="shared" ca="1" si="131"/>
        <v>705.40243300000293</v>
      </c>
      <c r="S368" s="498">
        <f t="shared" ca="1" si="131"/>
        <v>705.40243299999565</v>
      </c>
      <c r="T368" s="498">
        <f t="shared" ca="1" si="131"/>
        <v>705.40243299999929</v>
      </c>
      <c r="U368" s="498">
        <f t="shared" ca="1" si="131"/>
        <v>705.40243300000293</v>
      </c>
      <c r="V368" s="498">
        <f t="shared" ca="1" si="131"/>
        <v>705.40243299999929</v>
      </c>
      <c r="W368" s="498">
        <f t="shared" ca="1" si="131"/>
        <v>705.40243300000293</v>
      </c>
      <c r="X368" s="498">
        <f t="shared" ca="1" si="131"/>
        <v>705.40243299999929</v>
      </c>
      <c r="Y368" s="498">
        <f t="shared" ca="1" si="131"/>
        <v>705.4024330000002</v>
      </c>
      <c r="Z368" s="498">
        <f t="shared" ca="1" si="131"/>
        <v>705.4024330000002</v>
      </c>
      <c r="AA368" s="498">
        <f t="shared" ca="1" si="131"/>
        <v>705.40243299999997</v>
      </c>
      <c r="AB368" s="498">
        <f t="shared" ca="1" si="131"/>
        <v>705.40243299999997</v>
      </c>
      <c r="AC368" s="498">
        <f t="shared" ca="1" si="131"/>
        <v>705.40243299999997</v>
      </c>
      <c r="AD368" s="498">
        <f t="shared" ca="1" si="131"/>
        <v>705.40243299999997</v>
      </c>
      <c r="AE368" s="498">
        <f t="shared" ca="1" si="131"/>
        <v>705.40243299999997</v>
      </c>
      <c r="AF368" s="498">
        <f t="shared" ca="1" si="131"/>
        <v>705.40243299999997</v>
      </c>
      <c r="AG368" s="498">
        <f t="shared" ca="1" si="131"/>
        <v>705.40243299999997</v>
      </c>
      <c r="AH368" s="498">
        <f t="shared" ca="1" si="131"/>
        <v>705.40243299999997</v>
      </c>
      <c r="AI368" s="498">
        <f t="shared" ca="1" si="131"/>
        <v>705.40243299999997</v>
      </c>
      <c r="AJ368" s="498">
        <f t="shared" ca="1" si="131"/>
        <v>705.40243299999997</v>
      </c>
      <c r="AK368" s="498">
        <f t="shared" ca="1" si="131"/>
        <v>705.40243299999997</v>
      </c>
      <c r="AL368" s="498">
        <f t="shared" ca="1" si="131"/>
        <v>705.40243299999997</v>
      </c>
      <c r="AM368" s="498">
        <f t="shared" ca="1" si="131"/>
        <v>705.40243299999997</v>
      </c>
      <c r="AN368" s="498">
        <f t="shared" ca="1" si="131"/>
        <v>705.40243299999997</v>
      </c>
      <c r="AO368" s="498">
        <f t="shared" ca="1" si="131"/>
        <v>0</v>
      </c>
      <c r="AP368" s="498">
        <f t="shared" si="131"/>
        <v>0</v>
      </c>
    </row>
    <row r="369" spans="3:43" ht="13.15" customHeight="1" thickBot="1">
      <c r="C369" s="1862" t="s">
        <v>712</v>
      </c>
      <c r="D369" s="1863">
        <f ca="1">SUMIFS(BS!43:43,BS!$7:$7,D$351)*100</f>
        <v>100622.18626931724</v>
      </c>
      <c r="E369" s="1863">
        <f ca="1">SUMIFS(BS!43:43,BS!$7:$7,E$351)*100</f>
        <v>84420.790718755132</v>
      </c>
      <c r="F369" s="1863">
        <f ca="1">SUMIFS(BS!43:43,BS!$7:$7,F$351)*100</f>
        <v>70112.037137492371</v>
      </c>
      <c r="G369" s="1863">
        <f ca="1">SUMIFS(BS!43:43,BS!$7:$7,G$351)*100</f>
        <v>62700.125212447492</v>
      </c>
      <c r="H369" s="1863">
        <f ca="1">SUMIFS(BS!43:43,BS!$7:$7,H$351)*100</f>
        <v>58619.208779883877</v>
      </c>
      <c r="I369" s="1863">
        <f ca="1">SUMIFS(BS!43:43,BS!$7:$7,I$351)*100</f>
        <v>55075.686709332731</v>
      </c>
      <c r="J369" s="1863">
        <f ca="1">SUMIFS(BS!43:43,BS!$7:$7,J$351)*100</f>
        <v>51058.616047518299</v>
      </c>
      <c r="K369" s="1863">
        <f ca="1">SUMIFS(BS!43:43,BS!$7:$7,K$351)*100</f>
        <v>47977.791006449035</v>
      </c>
      <c r="L369" s="1863">
        <f ca="1">SUMIFS(BS!43:43,BS!$7:$7,L$351)*100</f>
        <v>48417.937743496092</v>
      </c>
      <c r="M369" s="1863">
        <f ca="1">SUMIFS(BS!43:43,BS!$7:$7,M$351)*100</f>
        <v>48096.282080420388</v>
      </c>
      <c r="N369" s="1863">
        <f ca="1">SUMIFS(BS!43:43,BS!$7:$7,N$351)*100</f>
        <v>48200.78856193275</v>
      </c>
      <c r="O369" s="1863">
        <f ca="1">SUMIFS(BS!43:43,BS!$7:$7,O$351)*100</f>
        <v>48371.75772156287</v>
      </c>
      <c r="P369" s="1863">
        <f ca="1">SUMIFS(BS!43:43,BS!$7:$7,P$351)*100</f>
        <v>47564.953608672418</v>
      </c>
      <c r="Q369" s="498">
        <f ca="1">SUMIFS(BS!43:43,BS!$7:$7,Q$351)*100</f>
        <v>45289.680284493807</v>
      </c>
      <c r="R369" s="498">
        <f ca="1">SUMIFS(BS!43:43,BS!$7:$7,R$351)*100</f>
        <v>43141.988085997</v>
      </c>
      <c r="S369" s="498">
        <f ca="1">SUMIFS(BS!43:43,BS!$7:$7,S$351)*100</f>
        <v>38571.601762248683</v>
      </c>
      <c r="T369" s="498">
        <f ca="1">SUMIFS(BS!43:43,BS!$7:$7,T$351)*100</f>
        <v>33891.434720342455</v>
      </c>
      <c r="U369" s="498">
        <f ca="1">SUMIFS(BS!43:43,BS!$7:$7,U$351)*100</f>
        <v>29373.897791566469</v>
      </c>
      <c r="V369" s="498">
        <f ca="1">SUMIFS(BS!43:43,BS!$7:$7,V$351)*100</f>
        <v>25139.875577072919</v>
      </c>
      <c r="W369" s="498">
        <f ca="1">SUMIFS(BS!43:43,BS!$7:$7,W$351)*100</f>
        <v>20453.485472708435</v>
      </c>
      <c r="X369" s="498">
        <f ca="1">SUMIFS(BS!43:43,BS!$7:$7,X$351)*100</f>
        <v>16191.36930270405</v>
      </c>
      <c r="Y369" s="498">
        <f ca="1">SUMIFS(BS!43:43,BS!$7:$7,Y$351)*100</f>
        <v>11363.689640778568</v>
      </c>
      <c r="Z369" s="498">
        <f ca="1">SUMIFS(BS!43:43,BS!$7:$7,Z$351)*100</f>
        <v>6810.9219007817428</v>
      </c>
      <c r="AA369" s="498">
        <f ca="1">SUMIFS(BS!43:43,BS!$7:$7,AA$351)*100</f>
        <v>3877.4726661783434</v>
      </c>
      <c r="AB369" s="498">
        <f ca="1">SUMIFS(BS!43:43,BS!$7:$7,AB$351)*100</f>
        <v>3864.3400049829438</v>
      </c>
      <c r="AC369" s="498">
        <f ca="1">SUMIFS(BS!43:43,BS!$7:$7,AC$351)*100</f>
        <v>3700.2977028828313</v>
      </c>
      <c r="AD369" s="498">
        <f ca="1">SUMIFS(BS!43:43,BS!$7:$7,AD$351)*100</f>
        <v>4018.1708071414541</v>
      </c>
      <c r="AE369" s="498">
        <f ca="1">SUMIFS(BS!43:43,BS!$7:$7,AE$351)*100</f>
        <v>3672.6380795489554</v>
      </c>
      <c r="AF369" s="498">
        <f ca="1">SUMIFS(BS!43:43,BS!$7:$7,AF$351)*100</f>
        <v>3938.4623975097134</v>
      </c>
      <c r="AG369" s="498">
        <f ca="1">SUMIFS(BS!43:43,BS!$7:$7,AG$351)*100</f>
        <v>4125.9553192880812</v>
      </c>
      <c r="AH369" s="498">
        <f ca="1">SUMIFS(BS!43:43,BS!$7:$7,AH$351)*100</f>
        <v>3917.9456105766235</v>
      </c>
      <c r="AI369" s="498">
        <f ca="1">SUMIFS(BS!43:43,BS!$7:$7,AI$351)*100</f>
        <v>3973.5194610437184</v>
      </c>
      <c r="AJ369" s="498">
        <f ca="1">SUMIFS(BS!43:43,BS!$7:$7,AJ$351)*100</f>
        <v>4335.7578585208839</v>
      </c>
      <c r="AK369" s="498">
        <f ca="1">SUMIFS(BS!43:43,BS!$7:$7,AK$351)*100</f>
        <v>4158.8470834026193</v>
      </c>
      <c r="AL369" s="498">
        <f ca="1">SUMIFS(BS!43:43,BS!$7:$7,AL$351)*100</f>
        <v>4213.7174640866397</v>
      </c>
      <c r="AM369" s="498">
        <f ca="1">SUMIFS(BS!43:43,BS!$7:$7,AM$351)*100</f>
        <v>4417.1386893760464</v>
      </c>
      <c r="AN369" s="498">
        <f ca="1">SUMIFS(BS!43:43,BS!$7:$7,AN$351)*100</f>
        <v>4331.8855614717759</v>
      </c>
      <c r="AO369" s="498">
        <f ca="1">SUMIFS(BS!43:43,BS!$7:$7,AO$351)*100</f>
        <v>0</v>
      </c>
      <c r="AP369" s="498">
        <f>SUMIFS(BS!43:43,BS!$7:$7,AP$351)*100</f>
        <v>0</v>
      </c>
    </row>
    <row r="370" spans="3:43" ht="13.15" customHeight="1" thickBot="1">
      <c r="C370" s="1862" t="s">
        <v>3693</v>
      </c>
      <c r="D370" s="1863"/>
      <c r="E370" s="1863"/>
      <c r="F370" s="1863"/>
      <c r="G370" s="1863"/>
      <c r="H370" s="1863"/>
      <c r="I370" s="1863"/>
      <c r="J370" s="1863"/>
      <c r="K370" s="1863"/>
      <c r="L370" s="1863"/>
      <c r="M370" s="1863"/>
      <c r="N370" s="1863"/>
      <c r="O370" s="1863"/>
      <c r="P370" s="1863"/>
    </row>
    <row r="371" spans="3:43" ht="13.15" customHeight="1" thickBot="1">
      <c r="C371" s="1847" t="s">
        <v>3694</v>
      </c>
      <c r="D371" s="1863">
        <f>SUMIFS(BS!45:45,BS!$7:$7,D$351)*100</f>
        <v>57400</v>
      </c>
      <c r="E371" s="1863">
        <f>SUMIFS(BS!45:45,BS!$7:$7,E$351)*100</f>
        <v>57400</v>
      </c>
      <c r="F371" s="1863">
        <f>SUMIFS(BS!45:45,BS!$7:$7,F$351)*100</f>
        <v>57400</v>
      </c>
      <c r="G371" s="1863">
        <f>SUMIFS(BS!45:45,BS!$7:$7,G$351)*100</f>
        <v>57400</v>
      </c>
      <c r="H371" s="1863">
        <f>SUMIFS(BS!45:45,BS!$7:$7,H$351)*100</f>
        <v>57400</v>
      </c>
      <c r="I371" s="1863">
        <f>SUMIFS(BS!45:45,BS!$7:$7,I$351)*100</f>
        <v>57400</v>
      </c>
      <c r="J371" s="1863">
        <f>SUMIFS(BS!45:45,BS!$7:$7,J$351)*100</f>
        <v>57400</v>
      </c>
      <c r="K371" s="1863">
        <f>SUMIFS(BS!45:45,BS!$7:$7,K$351)*100</f>
        <v>57400</v>
      </c>
      <c r="L371" s="1863">
        <f>SUMIFS(BS!45:45,BS!$7:$7,L$351)*100</f>
        <v>57400</v>
      </c>
      <c r="M371" s="1863">
        <f>SUMIFS(BS!45:45,BS!$7:$7,M$351)*100</f>
        <v>57400</v>
      </c>
      <c r="N371" s="1863">
        <f>SUMIFS(BS!45:45,BS!$7:$7,N$351)*100</f>
        <v>57400</v>
      </c>
      <c r="O371" s="1863">
        <f>SUMIFS(BS!45:45,BS!$7:$7,O$351)*100</f>
        <v>57400</v>
      </c>
      <c r="P371" s="1863">
        <f>SUMIFS(BS!45:45,BS!$7:$7,P$351)*100</f>
        <v>57400</v>
      </c>
      <c r="Q371" s="498">
        <f>SUMIFS(BS!45:45,BS!$7:$7,Q$351)*100</f>
        <v>57400</v>
      </c>
      <c r="R371" s="498">
        <f>SUMIFS(BS!45:45,BS!$7:$7,R$351)*100</f>
        <v>57400</v>
      </c>
      <c r="S371" s="498">
        <f>SUMIFS(BS!45:45,BS!$7:$7,S$351)*100</f>
        <v>57400</v>
      </c>
      <c r="T371" s="498">
        <f>SUMIFS(BS!45:45,BS!$7:$7,T$351)*100</f>
        <v>57400</v>
      </c>
      <c r="U371" s="498">
        <f>SUMIFS(BS!45:45,BS!$7:$7,U$351)*100</f>
        <v>57400</v>
      </c>
      <c r="V371" s="498">
        <f>SUMIFS(BS!45:45,BS!$7:$7,V$351)*100</f>
        <v>57400</v>
      </c>
      <c r="W371" s="498">
        <f>SUMIFS(BS!45:45,BS!$7:$7,W$351)*100</f>
        <v>57400</v>
      </c>
      <c r="X371" s="498">
        <f>SUMIFS(BS!45:45,BS!$7:$7,X$351)*100</f>
        <v>57400</v>
      </c>
      <c r="Y371" s="498">
        <f>SUMIFS(BS!45:45,BS!$7:$7,Y$351)*100</f>
        <v>57400</v>
      </c>
      <c r="Z371" s="498">
        <f>SUMIFS(BS!45:45,BS!$7:$7,Z$351)*100</f>
        <v>57400</v>
      </c>
      <c r="AA371" s="498">
        <f>SUMIFS(BS!45:45,BS!$7:$7,AA$351)*100</f>
        <v>57400</v>
      </c>
      <c r="AB371" s="498">
        <f>SUMIFS(BS!45:45,BS!$7:$7,AB$351)*100</f>
        <v>57400</v>
      </c>
      <c r="AC371" s="498">
        <f>SUMIFS(BS!45:45,BS!$7:$7,AC$351)*100</f>
        <v>57400</v>
      </c>
      <c r="AD371" s="498">
        <f>SUMIFS(BS!45:45,BS!$7:$7,AD$351)*100</f>
        <v>57400</v>
      </c>
      <c r="AE371" s="498">
        <f>SUMIFS(BS!45:45,BS!$7:$7,AE$351)*100</f>
        <v>57400</v>
      </c>
      <c r="AF371" s="498">
        <f>SUMIFS(BS!45:45,BS!$7:$7,AF$351)*100</f>
        <v>57400</v>
      </c>
      <c r="AG371" s="498">
        <f>SUMIFS(BS!45:45,BS!$7:$7,AG$351)*100</f>
        <v>57400</v>
      </c>
      <c r="AH371" s="498">
        <f>SUMIFS(BS!45:45,BS!$7:$7,AH$351)*100</f>
        <v>57400</v>
      </c>
      <c r="AI371" s="498">
        <f>SUMIFS(BS!45:45,BS!$7:$7,AI$351)*100</f>
        <v>57400</v>
      </c>
      <c r="AJ371" s="498">
        <f>SUMIFS(BS!45:45,BS!$7:$7,AJ$351)*100</f>
        <v>57400</v>
      </c>
      <c r="AK371" s="498">
        <f>SUMIFS(BS!45:45,BS!$7:$7,AK$351)*100</f>
        <v>57400</v>
      </c>
      <c r="AL371" s="498">
        <f>SUMIFS(BS!45:45,BS!$7:$7,AL$351)*100</f>
        <v>57400</v>
      </c>
      <c r="AM371" s="498">
        <f>SUMIFS(BS!45:45,BS!$7:$7,AM$351)*100</f>
        <v>57400</v>
      </c>
      <c r="AN371" s="498">
        <f>SUMIFS(BS!45:45,BS!$7:$7,AN$351)*100</f>
        <v>57400</v>
      </c>
      <c r="AO371" s="498">
        <f>SUMIFS(BS!45:45,BS!$7:$7,AO$351)*100</f>
        <v>0</v>
      </c>
      <c r="AP371" s="498">
        <f>SUMIFS(BS!45:45,BS!$7:$7,AP$351)*100</f>
        <v>0</v>
      </c>
      <c r="AQ371" s="498">
        <f>SUMIFS(BS!45:45,BS!$7:$7,AQ$351)</f>
        <v>0</v>
      </c>
    </row>
    <row r="372" spans="3:43" ht="13.15" customHeight="1" thickBot="1">
      <c r="C372" s="1847" t="s">
        <v>3695</v>
      </c>
      <c r="D372" s="1863">
        <f>SUMIFS(BS!46:46,BS!$7:$7,D$351)*100</f>
        <v>10600</v>
      </c>
      <c r="E372" s="1863">
        <f>SUMIFS(BS!46:46,BS!$7:$7,E$351)*100</f>
        <v>10600</v>
      </c>
      <c r="F372" s="1863">
        <f>SUMIFS(BS!46:46,BS!$7:$7,F$351)*100</f>
        <v>10600</v>
      </c>
      <c r="G372" s="1863">
        <f>SUMIFS(BS!46:46,BS!$7:$7,G$351)*100</f>
        <v>10600</v>
      </c>
      <c r="H372" s="1863">
        <f>SUMIFS(BS!46:46,BS!$7:$7,H$351)*100</f>
        <v>10600</v>
      </c>
      <c r="I372" s="1863">
        <f>SUMIFS(BS!46:46,BS!$7:$7,I$351)*100</f>
        <v>10600</v>
      </c>
      <c r="J372" s="1863">
        <f>SUMIFS(BS!46:46,BS!$7:$7,J$351)*100</f>
        <v>10600</v>
      </c>
      <c r="K372" s="1863">
        <f>SUMIFS(BS!46:46,BS!$7:$7,K$351)*100</f>
        <v>10600</v>
      </c>
      <c r="L372" s="1863">
        <f>SUMIFS(BS!46:46,BS!$7:$7,L$351)*100</f>
        <v>10600</v>
      </c>
      <c r="M372" s="1863">
        <f>SUMIFS(BS!46:46,BS!$7:$7,M$351)*100</f>
        <v>10600</v>
      </c>
      <c r="N372" s="1863">
        <f>SUMIFS(BS!46:46,BS!$7:$7,N$351)*100</f>
        <v>10600</v>
      </c>
      <c r="O372" s="1863">
        <f>SUMIFS(BS!46:46,BS!$7:$7,O$351)*100</f>
        <v>10600</v>
      </c>
      <c r="P372" s="1863">
        <f>SUMIFS(BS!46:46,BS!$7:$7,P$351)*100</f>
        <v>10600</v>
      </c>
      <c r="Q372" s="498">
        <f>SUMIFS(BS!46:46,BS!$7:$7,Q$351)*100</f>
        <v>10600</v>
      </c>
      <c r="R372" s="498">
        <f>SUMIFS(BS!46:46,BS!$7:$7,R$351)*100</f>
        <v>10600</v>
      </c>
      <c r="S372" s="498">
        <f>SUMIFS(BS!46:46,BS!$7:$7,S$351)*100</f>
        <v>10600</v>
      </c>
      <c r="T372" s="498">
        <f>SUMIFS(BS!46:46,BS!$7:$7,T$351)*100</f>
        <v>10600</v>
      </c>
      <c r="U372" s="498">
        <f>SUMIFS(BS!46:46,BS!$7:$7,U$351)*100</f>
        <v>10600</v>
      </c>
      <c r="V372" s="498">
        <f>SUMIFS(BS!46:46,BS!$7:$7,V$351)*100</f>
        <v>10600</v>
      </c>
      <c r="W372" s="498">
        <f>SUMIFS(BS!46:46,BS!$7:$7,W$351)*100</f>
        <v>10600</v>
      </c>
      <c r="X372" s="498">
        <f>SUMIFS(BS!46:46,BS!$7:$7,X$351)*100</f>
        <v>10600</v>
      </c>
      <c r="Y372" s="498">
        <f>SUMIFS(BS!46:46,BS!$7:$7,Y$351)*100</f>
        <v>10600</v>
      </c>
      <c r="Z372" s="498">
        <f>SUMIFS(BS!46:46,BS!$7:$7,Z$351)*100</f>
        <v>10600</v>
      </c>
      <c r="AA372" s="498">
        <f>SUMIFS(BS!46:46,BS!$7:$7,AA$351)*100</f>
        <v>10600</v>
      </c>
      <c r="AB372" s="498">
        <f>SUMIFS(BS!46:46,BS!$7:$7,AB$351)*100</f>
        <v>10600</v>
      </c>
      <c r="AC372" s="498">
        <f>SUMIFS(BS!46:46,BS!$7:$7,AC$351)*100</f>
        <v>10600</v>
      </c>
      <c r="AD372" s="498">
        <f>SUMIFS(BS!46:46,BS!$7:$7,AD$351)*100</f>
        <v>10600</v>
      </c>
      <c r="AE372" s="498">
        <f>SUMIFS(BS!46:46,BS!$7:$7,AE$351)*100</f>
        <v>10600</v>
      </c>
      <c r="AF372" s="498">
        <f>SUMIFS(BS!46:46,BS!$7:$7,AF$351)*100</f>
        <v>10600</v>
      </c>
      <c r="AG372" s="498">
        <f>SUMIFS(BS!46:46,BS!$7:$7,AG$351)*100</f>
        <v>10600</v>
      </c>
      <c r="AH372" s="498">
        <f>SUMIFS(BS!46:46,BS!$7:$7,AH$351)*100</f>
        <v>10600</v>
      </c>
      <c r="AI372" s="498">
        <f>SUMIFS(BS!46:46,BS!$7:$7,AI$351)*100</f>
        <v>10600</v>
      </c>
      <c r="AJ372" s="498">
        <f>SUMIFS(BS!46:46,BS!$7:$7,AJ$351)*100</f>
        <v>10600</v>
      </c>
      <c r="AK372" s="498">
        <f>SUMIFS(BS!46:46,BS!$7:$7,AK$351)*100</f>
        <v>10600</v>
      </c>
      <c r="AL372" s="498">
        <f>SUMIFS(BS!46:46,BS!$7:$7,AL$351)*100</f>
        <v>10600</v>
      </c>
      <c r="AM372" s="498">
        <f>SUMIFS(BS!46:46,BS!$7:$7,AM$351)*100</f>
        <v>10600</v>
      </c>
      <c r="AN372" s="498">
        <f>SUMIFS(BS!46:46,BS!$7:$7,AN$351)*100</f>
        <v>10600</v>
      </c>
      <c r="AO372" s="498">
        <f>SUMIFS(BS!46:46,BS!$7:$7,AO$351)*100</f>
        <v>0</v>
      </c>
      <c r="AP372" s="498">
        <f>SUMIFS(BS!46:46,BS!$7:$7,AP$351)*100</f>
        <v>0</v>
      </c>
      <c r="AQ372" s="498">
        <f>SUMIFS(BS!46:46,BS!$7:$7,AQ$351)</f>
        <v>0</v>
      </c>
    </row>
    <row r="373" spans="3:43" ht="13.15" customHeight="1" thickBot="1">
      <c r="C373" s="1847" t="s">
        <v>3696</v>
      </c>
      <c r="D373" s="1863">
        <f>SUMIFS(BS!48:48,BS!$7:$7,D$351)*100</f>
        <v>6888.3606140000002</v>
      </c>
      <c r="E373" s="1863">
        <f>SUMIFS(BS!48:48,BS!$7:$7,E$351)*100</f>
        <v>6888.3606140000002</v>
      </c>
      <c r="F373" s="1863">
        <f>SUMIFS(BS!48:48,BS!$7:$7,F$351)*100</f>
        <v>6888.3606140000002</v>
      </c>
      <c r="G373" s="1863">
        <f>SUMIFS(BS!48:48,BS!$7:$7,G$351)*100</f>
        <v>6888.3606140000002</v>
      </c>
      <c r="H373" s="1863">
        <f>SUMIFS(BS!48:48,BS!$7:$7,H$351)*100</f>
        <v>6888.3606140000002</v>
      </c>
      <c r="I373" s="1863">
        <f>SUMIFS(BS!48:48,BS!$7:$7,I$351)*100</f>
        <v>6888.3606140000002</v>
      </c>
      <c r="J373" s="1863">
        <f>SUMIFS(BS!48:48,BS!$7:$7,J$351)*100</f>
        <v>6888.3606140000002</v>
      </c>
      <c r="K373" s="1863">
        <f>SUMIFS(BS!48:48,BS!$7:$7,K$351)*100</f>
        <v>6888.3606140000002</v>
      </c>
      <c r="L373" s="1863">
        <f>SUMIFS(BS!48:48,BS!$7:$7,L$351)*100</f>
        <v>6888.3606140000002</v>
      </c>
      <c r="M373" s="1863">
        <f>SUMIFS(BS!48:48,BS!$7:$7,M$351)*100</f>
        <v>6888.3606140000002</v>
      </c>
      <c r="N373" s="1863">
        <f>SUMIFS(BS!48:48,BS!$7:$7,N$351)*100</f>
        <v>6888.3606140000002</v>
      </c>
      <c r="O373" s="1863">
        <f>SUMIFS(BS!48:48,BS!$7:$7,O$351)*100</f>
        <v>6888.3606140000002</v>
      </c>
      <c r="P373" s="1863">
        <f>SUMIFS(BS!48:48,BS!$7:$7,P$351)*100</f>
        <v>6888.3606140000002</v>
      </c>
      <c r="Q373" s="498">
        <f>SUMIFS(BS!48:48,BS!$7:$7,Q$351)*100</f>
        <v>6888.3606140000002</v>
      </c>
      <c r="R373" s="498">
        <f>SUMIFS(BS!48:48,BS!$7:$7,R$351)*100</f>
        <v>6888.3606140000002</v>
      </c>
      <c r="S373" s="498">
        <f>SUMIFS(BS!48:48,BS!$7:$7,S$351)*100</f>
        <v>6888.3606140000002</v>
      </c>
      <c r="T373" s="498">
        <f>SUMIFS(BS!48:48,BS!$7:$7,T$351)*100</f>
        <v>6888.3606140000002</v>
      </c>
      <c r="U373" s="498">
        <f>SUMIFS(BS!48:48,BS!$7:$7,U$351)*100</f>
        <v>6888.3606140000002</v>
      </c>
      <c r="V373" s="498">
        <f>SUMIFS(BS!48:48,BS!$7:$7,V$351)*100</f>
        <v>6888.3606140000002</v>
      </c>
      <c r="W373" s="498">
        <f>SUMIFS(BS!48:48,BS!$7:$7,W$351)*100</f>
        <v>6888.3606140000002</v>
      </c>
      <c r="X373" s="498">
        <f>SUMIFS(BS!48:48,BS!$7:$7,X$351)*100</f>
        <v>6888.3606140000002</v>
      </c>
      <c r="Y373" s="498">
        <f>SUMIFS(BS!48:48,BS!$7:$7,Y$351)*100</f>
        <v>6888.3606140000002</v>
      </c>
      <c r="Z373" s="498">
        <f>SUMIFS(BS!48:48,BS!$7:$7,Z$351)*100</f>
        <v>6888.3606140000002</v>
      </c>
      <c r="AA373" s="498">
        <f>SUMIFS(BS!48:48,BS!$7:$7,AA$351)*100</f>
        <v>6888.3606140000002</v>
      </c>
      <c r="AB373" s="498">
        <f>SUMIFS(BS!48:48,BS!$7:$7,AB$351)*100</f>
        <v>6888.3606140000002</v>
      </c>
      <c r="AC373" s="498">
        <f>SUMIFS(BS!48:48,BS!$7:$7,AC$351)*100</f>
        <v>6888.3606140000002</v>
      </c>
      <c r="AD373" s="498">
        <f>SUMIFS(BS!48:48,BS!$7:$7,AD$351)*100</f>
        <v>6888.3606140000002</v>
      </c>
      <c r="AE373" s="498">
        <f>SUMIFS(BS!48:48,BS!$7:$7,AE$351)*100</f>
        <v>6888.3606140000002</v>
      </c>
      <c r="AF373" s="498">
        <f>SUMIFS(BS!48:48,BS!$7:$7,AF$351)*100</f>
        <v>6888.3606140000002</v>
      </c>
      <c r="AG373" s="498">
        <f>SUMIFS(BS!48:48,BS!$7:$7,AG$351)*100</f>
        <v>6888.3606140000002</v>
      </c>
      <c r="AH373" s="498">
        <f>SUMIFS(BS!48:48,BS!$7:$7,AH$351)*100</f>
        <v>6888.3606140000002</v>
      </c>
      <c r="AI373" s="498">
        <f>SUMIFS(BS!48:48,BS!$7:$7,AI$351)*100</f>
        <v>6888.3606140000002</v>
      </c>
      <c r="AJ373" s="498">
        <f>SUMIFS(BS!48:48,BS!$7:$7,AJ$351)*100</f>
        <v>6888.3606140000002</v>
      </c>
      <c r="AK373" s="498">
        <f>SUMIFS(BS!48:48,BS!$7:$7,AK$351)*100</f>
        <v>6888.3606140000002</v>
      </c>
      <c r="AL373" s="498">
        <f>SUMIFS(BS!48:48,BS!$7:$7,AL$351)*100</f>
        <v>6888.3606140000002</v>
      </c>
      <c r="AM373" s="498">
        <f>SUMIFS(BS!48:48,BS!$7:$7,AM$351)*100</f>
        <v>6888.3606140000002</v>
      </c>
      <c r="AN373" s="498">
        <f>SUMIFS(BS!48:48,BS!$7:$7,AN$351)*100</f>
        <v>6888.3606140000002</v>
      </c>
      <c r="AO373" s="498">
        <f>SUMIFS(BS!48:48,BS!$7:$7,AO$351)*100</f>
        <v>0</v>
      </c>
      <c r="AP373" s="498">
        <f>SUMIFS(BS!48:48,BS!$7:$7,AP$351)*100</f>
        <v>0</v>
      </c>
      <c r="AQ373" s="498">
        <f>SUMIFS(BS!48:48,BS!$7:$7,AQ$351)</f>
        <v>0</v>
      </c>
    </row>
    <row r="374" spans="3:43" ht="13.15" customHeight="1" thickBot="1">
      <c r="C374" s="1847" t="s">
        <v>3697</v>
      </c>
      <c r="D374" s="1863">
        <f ca="1">SUMIFS(BS!51:51,BS!$7:$7,D$351)*100</f>
        <v>-339.1739</v>
      </c>
      <c r="E374" s="1863">
        <f ca="1">SUMIFS(BS!51:51,BS!$7:$7,E$351)*100</f>
        <v>-339.1739</v>
      </c>
      <c r="F374" s="1863">
        <f ca="1">SUMIFS(BS!51:51,BS!$7:$7,F$351)*100</f>
        <v>-339.1739</v>
      </c>
      <c r="G374" s="1863">
        <f ca="1">SUMIFS(BS!51:51,BS!$7:$7,G$351)*100</f>
        <v>-339.1739</v>
      </c>
      <c r="H374" s="1863">
        <f ca="1">SUMIFS(BS!51:51,BS!$7:$7,H$351)*100</f>
        <v>-226.11593333333334</v>
      </c>
      <c r="I374" s="1863">
        <f ca="1">SUMIFS(BS!51:51,BS!$7:$7,I$351)*100</f>
        <v>-113.0579666666667</v>
      </c>
      <c r="J374" s="1863">
        <f ca="1">SUMIFS(BS!51:51,BS!$7:$7,J$351)*100</f>
        <v>0</v>
      </c>
      <c r="K374" s="1863">
        <f ca="1">SUMIFS(BS!51:51,BS!$7:$7,K$351)*100</f>
        <v>0</v>
      </c>
      <c r="L374" s="1863">
        <f ca="1">SUMIFS(BS!51:51,BS!$7:$7,L$351)*100</f>
        <v>0</v>
      </c>
      <c r="M374" s="1863">
        <f ca="1">SUMIFS(BS!51:51,BS!$7:$7,M$351)*100</f>
        <v>0</v>
      </c>
      <c r="N374" s="1863">
        <f ca="1">SUMIFS(BS!51:51,BS!$7:$7,N$351)*100</f>
        <v>0</v>
      </c>
      <c r="O374" s="1863">
        <f ca="1">SUMIFS(BS!51:51,BS!$7:$7,O$351)*100</f>
        <v>0</v>
      </c>
      <c r="P374" s="1863">
        <f ca="1">SUMIFS(BS!51:51,BS!$7:$7,P$351)*100</f>
        <v>0</v>
      </c>
      <c r="Q374" s="498">
        <f ca="1">SUMIFS(BS!51:51,BS!$7:$7,Q$351)*100</f>
        <v>0</v>
      </c>
      <c r="R374" s="498">
        <f ca="1">SUMIFS(BS!51:51,BS!$7:$7,R$351)*100</f>
        <v>0</v>
      </c>
      <c r="S374" s="498">
        <f ca="1">SUMIFS(BS!51:51,BS!$7:$7,S$351)*100</f>
        <v>0</v>
      </c>
      <c r="T374" s="498">
        <f ca="1">SUMIFS(BS!51:51,BS!$7:$7,T$351)*100</f>
        <v>0</v>
      </c>
      <c r="U374" s="498">
        <f ca="1">SUMIFS(BS!51:51,BS!$7:$7,U$351)*100</f>
        <v>0</v>
      </c>
      <c r="V374" s="498">
        <f ca="1">SUMIFS(BS!51:51,BS!$7:$7,V$351)*100</f>
        <v>0</v>
      </c>
      <c r="W374" s="498">
        <f ca="1">SUMIFS(BS!51:51,BS!$7:$7,W$351)*100</f>
        <v>0</v>
      </c>
      <c r="X374" s="498">
        <f ca="1">SUMIFS(BS!51:51,BS!$7:$7,X$351)*100</f>
        <v>0</v>
      </c>
      <c r="Y374" s="498">
        <f ca="1">SUMIFS(BS!51:51,BS!$7:$7,Y$351)*100</f>
        <v>0</v>
      </c>
      <c r="Z374" s="498">
        <f ca="1">SUMIFS(BS!51:51,BS!$7:$7,Z$351)*100</f>
        <v>0</v>
      </c>
      <c r="AA374" s="498">
        <f ca="1">SUMIFS(BS!51:51,BS!$7:$7,AA$351)*100</f>
        <v>0</v>
      </c>
      <c r="AB374" s="498">
        <f ca="1">SUMIFS(BS!51:51,BS!$7:$7,AB$351)*100</f>
        <v>0</v>
      </c>
      <c r="AC374" s="498">
        <f ca="1">SUMIFS(BS!51:51,BS!$7:$7,AC$351)*100</f>
        <v>0</v>
      </c>
      <c r="AD374" s="498">
        <f ca="1">SUMIFS(BS!51:51,BS!$7:$7,AD$351)*100</f>
        <v>0</v>
      </c>
      <c r="AE374" s="498">
        <f ca="1">SUMIFS(BS!51:51,BS!$7:$7,AE$351)*100</f>
        <v>0</v>
      </c>
      <c r="AF374" s="498">
        <f ca="1">SUMIFS(BS!51:51,BS!$7:$7,AF$351)*100</f>
        <v>0</v>
      </c>
      <c r="AG374" s="498">
        <f ca="1">SUMIFS(BS!51:51,BS!$7:$7,AG$351)*100</f>
        <v>0</v>
      </c>
      <c r="AH374" s="498">
        <f ca="1">SUMIFS(BS!51:51,BS!$7:$7,AH$351)*100</f>
        <v>0</v>
      </c>
      <c r="AI374" s="498">
        <f ca="1">SUMIFS(BS!51:51,BS!$7:$7,AI$351)*100</f>
        <v>0</v>
      </c>
      <c r="AJ374" s="498">
        <f ca="1">SUMIFS(BS!51:51,BS!$7:$7,AJ$351)*100</f>
        <v>0</v>
      </c>
      <c r="AK374" s="498">
        <f ca="1">SUMIFS(BS!51:51,BS!$7:$7,AK$351)*100</f>
        <v>0</v>
      </c>
      <c r="AL374" s="498">
        <f ca="1">SUMIFS(BS!51:51,BS!$7:$7,AL$351)*100</f>
        <v>0</v>
      </c>
      <c r="AM374" s="498">
        <f ca="1">SUMIFS(BS!51:51,BS!$7:$7,AM$351)*100</f>
        <v>0</v>
      </c>
      <c r="AN374" s="498">
        <f ca="1">SUMIFS(BS!51:51,BS!$7:$7,AN$351)*100</f>
        <v>0</v>
      </c>
      <c r="AO374" s="498">
        <f ca="1">SUMIFS(BS!51:51,BS!$7:$7,AO$351)*100</f>
        <v>0</v>
      </c>
      <c r="AP374" s="498">
        <f>SUMIFS(BS!51:51,BS!$7:$7,AP$351)*100</f>
        <v>0</v>
      </c>
      <c r="AQ374" s="498">
        <f>SUMIFS(BS!51:51,BS!$7:$7,AQ$351)</f>
        <v>0</v>
      </c>
    </row>
    <row r="375" spans="3:43" ht="13.15" customHeight="1" thickBot="1">
      <c r="C375" s="1847" t="s">
        <v>3698</v>
      </c>
      <c r="D375" s="1863">
        <f ca="1">SUMIFS(BS!53:53,BS!$7:$7,D$351)*100</f>
        <v>-22729.039458078278</v>
      </c>
      <c r="E375" s="1863">
        <f ca="1">SUMIFS(BS!53:53,BS!$7:$7,E$351)*100</f>
        <v>-13488.328128494217</v>
      </c>
      <c r="F375" s="1863">
        <f ca="1">SUMIFS(BS!53:53,BS!$7:$7,F$351)*100</f>
        <v>-3085.500663839659</v>
      </c>
      <c r="G375" s="1863">
        <f ca="1">SUMIFS(BS!53:53,BS!$7:$7,G$351)*100</f>
        <v>755.23320849946174</v>
      </c>
      <c r="H375" s="1863">
        <f ca="1">SUMIFS(BS!53:53,BS!$7:$7,H$351)*100</f>
        <v>893.07093801635381</v>
      </c>
      <c r="I375" s="1863">
        <f ca="1">SUMIFS(BS!53:53,BS!$7:$7,I$351)*100</f>
        <v>2182.7016157102616</v>
      </c>
      <c r="J375" s="1863">
        <f ca="1">SUMIFS(BS!53:53,BS!$7:$7,J$351)*100</f>
        <v>3717.4153192288804</v>
      </c>
      <c r="K375" s="1863">
        <f ca="1">SUMIFS(BS!53:53,BS!$7:$7,K$351)*100</f>
        <v>2344.7417930094643</v>
      </c>
      <c r="L375" s="1863">
        <f ca="1">SUMIFS(BS!53:53,BS!$7:$7,L$351)*100</f>
        <v>3919.6981378027026</v>
      </c>
      <c r="M375" s="1863">
        <f ca="1">SUMIFS(BS!53:53,BS!$7:$7,M$351)*100</f>
        <v>3809.9389943664191</v>
      </c>
      <c r="N375" s="1863">
        <f ca="1">SUMIFS(BS!53:53,BS!$7:$7,N$351)*100</f>
        <v>4232.7779774185028</v>
      </c>
      <c r="O375" s="1863">
        <f ca="1">SUMIFS(BS!53:53,BS!$7:$7,O$351)*100</f>
        <v>5191.2403352147712</v>
      </c>
      <c r="P375" s="1863">
        <f ca="1">SUMIFS(BS!53:53,BS!$7:$7,P$351)*100</f>
        <v>6169.6903553133216</v>
      </c>
      <c r="Q375" s="498">
        <f ca="1">SUMIFS(BS!53:53,BS!$7:$7,Q$351)*100</f>
        <v>8105.5476601660121</v>
      </c>
      <c r="R375" s="498">
        <f ca="1">SUMIFS(BS!53:53,BS!$7:$7,R$351)*100</f>
        <v>11197.093067616166</v>
      </c>
      <c r="S375" s="498">
        <f ca="1">SUMIFS(BS!53:53,BS!$7:$7,S$351)*100</f>
        <v>13821.981779300115</v>
      </c>
      <c r="T375" s="498">
        <f ca="1">SUMIFS(BS!53:53,BS!$7:$7,T$351)*100</f>
        <v>16092.765162400225</v>
      </c>
      <c r="U375" s="498">
        <f ca="1">SUMIFS(BS!53:53,BS!$7:$7,U$351)*100</f>
        <v>17072.07416685209</v>
      </c>
      <c r="V375" s="498">
        <f ca="1">SUMIFS(BS!53:53,BS!$7:$7,V$351)*100</f>
        <v>19106.105615991379</v>
      </c>
      <c r="W375" s="498">
        <f ca="1">SUMIFS(BS!53:53,BS!$7:$7,W$351)*100</f>
        <v>20273.590088126995</v>
      </c>
      <c r="X375" s="498">
        <f ca="1">SUMIFS(BS!53:53,BS!$7:$7,X$351)*100</f>
        <v>22481.621764076994</v>
      </c>
      <c r="Y375" s="498">
        <f ca="1">SUMIFS(BS!53:53,BS!$7:$7,Y$351)*100</f>
        <v>24832.736616601353</v>
      </c>
      <c r="Z375" s="498">
        <f ca="1">SUMIFS(BS!53:53,BS!$7:$7,Z$351)*100</f>
        <v>25513.716477884805</v>
      </c>
      <c r="AA375" s="498">
        <f ca="1">SUMIFS(BS!53:53,BS!$7:$7,AA$351)*100</f>
        <v>24736.939472625789</v>
      </c>
      <c r="AB375" s="498">
        <f ca="1">SUMIFS(BS!53:53,BS!$7:$7,AB$351)*100</f>
        <v>21471.927717352428</v>
      </c>
      <c r="AC375" s="498">
        <f ca="1">SUMIFS(BS!53:53,BS!$7:$7,AC$351)*100</f>
        <v>18860.204962814281</v>
      </c>
      <c r="AD375" s="498">
        <f ca="1">SUMIFS(BS!53:53,BS!$7:$7,AD$351)*100</f>
        <v>20382.795126632889</v>
      </c>
      <c r="AE375" s="498">
        <f ca="1">SUMIFS(BS!53:53,BS!$7:$7,AE$351)*100</f>
        <v>20309.853123115197</v>
      </c>
      <c r="AF375" s="498">
        <f ca="1">SUMIFS(BS!53:53,BS!$7:$7,AF$351)*100</f>
        <v>21495.313599286706</v>
      </c>
      <c r="AG375" s="498">
        <f ca="1">SUMIFS(BS!53:53,BS!$7:$7,AG$351)*100</f>
        <v>23117.93382305673</v>
      </c>
      <c r="AH375" s="498">
        <f ca="1">SUMIFS(BS!53:53,BS!$7:$7,AH$351)*100</f>
        <v>23617.328924503861</v>
      </c>
      <c r="AI375" s="498">
        <f ca="1">SUMIFS(BS!53:53,BS!$7:$7,AI$351)*100</f>
        <v>24422.590541218113</v>
      </c>
      <c r="AJ375" s="498">
        <f ca="1">SUMIFS(BS!53:53,BS!$7:$7,AJ$351)*100</f>
        <v>26485.962860487667</v>
      </c>
      <c r="AK375" s="498">
        <f ca="1">SUMIFS(BS!53:53,BS!$7:$7,AK$351)*100</f>
        <v>27383.616171185084</v>
      </c>
      <c r="AL375" s="498">
        <f ca="1">SUMIFS(BS!53:53,BS!$7:$7,AL$351)*100</f>
        <v>28463.158701642424</v>
      </c>
      <c r="AM375" s="498">
        <f ca="1">SUMIFS(BS!53:53,BS!$7:$7,AM$351)*100</f>
        <v>30178.011603817653</v>
      </c>
      <c r="AN375" s="498">
        <f ca="1">SUMIFS(BS!53:53,BS!$7:$7,AN$351)*100</f>
        <v>31252.603413060096</v>
      </c>
      <c r="AO375" s="498">
        <f ca="1">SUMIFS(BS!53:53,BS!$7:$7,AO$351)*100</f>
        <v>0</v>
      </c>
      <c r="AP375" s="498">
        <f>SUMIFS(BS!53:53,BS!$7:$7,AP$351)*100</f>
        <v>0</v>
      </c>
      <c r="AQ375" s="498">
        <f>SUMIFS(BS!53:53,BS!$7:$7,AQ$351)</f>
        <v>0</v>
      </c>
    </row>
    <row r="376" spans="3:43" ht="13.15" customHeight="1" thickBot="1">
      <c r="C376" s="1862" t="s">
        <v>723</v>
      </c>
      <c r="D376" s="1863">
        <f ca="1">SUMIFS(BS!56:56,BS!$7:$7,D$351)*100</f>
        <v>51820.147255921722</v>
      </c>
      <c r="E376" s="1863">
        <f ca="1">SUMIFS(BS!56:56,BS!$7:$7,E$351)*100</f>
        <v>61060.858585505775</v>
      </c>
      <c r="F376" s="1863">
        <f ca="1">SUMIFS(BS!56:56,BS!$7:$7,F$351)*100</f>
        <v>71463.686050160337</v>
      </c>
      <c r="G376" s="1863">
        <f ca="1">SUMIFS(BS!56:56,BS!$7:$7,G$351)*100</f>
        <v>75304.419922499466</v>
      </c>
      <c r="H376" s="1863">
        <f ca="1">SUMIFS(BS!56:56,BS!$7:$7,H$351)*100</f>
        <v>75555.315618683017</v>
      </c>
      <c r="I376" s="1863">
        <f ca="1">SUMIFS(BS!56:56,BS!$7:$7,I$351)*100</f>
        <v>76958.004263043593</v>
      </c>
      <c r="J376" s="1863">
        <f ca="1">SUMIFS(BS!56:56,BS!$7:$7,J$351)*100</f>
        <v>78605.775933228884</v>
      </c>
      <c r="K376" s="1863">
        <f ca="1">SUMIFS(BS!56:56,BS!$7:$7,K$351)*100</f>
        <v>77233.102407009457</v>
      </c>
      <c r="L376" s="1863">
        <f ca="1">SUMIFS(BS!56:56,BS!$7:$7,L$351)*100</f>
        <v>78808.058751802702</v>
      </c>
      <c r="M376" s="1863">
        <f ca="1">SUMIFS(BS!56:56,BS!$7:$7,M$351)*100</f>
        <v>78698.299608366418</v>
      </c>
      <c r="N376" s="1863">
        <f ca="1">SUMIFS(BS!56:56,BS!$7:$7,N$351)*100</f>
        <v>79121.138591418508</v>
      </c>
      <c r="O376" s="1863">
        <f ca="1">SUMIFS(BS!56:56,BS!$7:$7,O$351)*100</f>
        <v>80079.600949214771</v>
      </c>
      <c r="P376" s="1863">
        <f ca="1">SUMIFS(BS!56:56,BS!$7:$7,P$351)*100</f>
        <v>81058.050969313321</v>
      </c>
      <c r="Q376" s="498">
        <f ca="1">SUMIFS(BS!56:56,BS!$7:$7,Q$351)*100</f>
        <v>82993.90827416601</v>
      </c>
      <c r="R376" s="498">
        <f ca="1">SUMIFS(BS!56:56,BS!$7:$7,R$351)*100</f>
        <v>86085.453681616156</v>
      </c>
      <c r="S376" s="498">
        <f ca="1">SUMIFS(BS!56:56,BS!$7:$7,S$351)*100</f>
        <v>88710.342393300103</v>
      </c>
      <c r="T376" s="498">
        <f ca="1">SUMIFS(BS!56:56,BS!$7:$7,T$351)*100</f>
        <v>90981.125776400222</v>
      </c>
      <c r="U376" s="498">
        <f ca="1">SUMIFS(BS!56:56,BS!$7:$7,U$351)*100</f>
        <v>91960.434780852083</v>
      </c>
      <c r="V376" s="498">
        <f ca="1">SUMIFS(BS!56:56,BS!$7:$7,V$351)*100</f>
        <v>93994.466229991376</v>
      </c>
      <c r="W376" s="498">
        <f ca="1">SUMIFS(BS!56:56,BS!$7:$7,W$351)*100</f>
        <v>95161.950702126996</v>
      </c>
      <c r="X376" s="498">
        <f ca="1">SUMIFS(BS!56:56,BS!$7:$7,X$351)*100</f>
        <v>97369.982378076995</v>
      </c>
      <c r="Y376" s="498">
        <f ca="1">SUMIFS(BS!56:56,BS!$7:$7,Y$351)*100</f>
        <v>99721.097230601343</v>
      </c>
      <c r="Z376" s="498">
        <f ca="1">SUMIFS(BS!56:56,BS!$7:$7,Z$351)*100</f>
        <v>100402.0770918848</v>
      </c>
      <c r="AA376" s="498">
        <f ca="1">SUMIFS(BS!56:56,BS!$7:$7,AA$351)*100</f>
        <v>99625.300086625793</v>
      </c>
      <c r="AB376" s="498">
        <f ca="1">SUMIFS(BS!56:56,BS!$7:$7,AB$351)*100</f>
        <v>96360.288331352422</v>
      </c>
      <c r="AC376" s="498">
        <f ca="1">SUMIFS(BS!56:56,BS!$7:$7,AC$351)*100</f>
        <v>93748.565576814275</v>
      </c>
      <c r="AD376" s="498">
        <f ca="1">SUMIFS(BS!56:56,BS!$7:$7,AD$351)*100</f>
        <v>95271.155740632894</v>
      </c>
      <c r="AE376" s="498">
        <f ca="1">SUMIFS(BS!56:56,BS!$7:$7,AE$351)*100</f>
        <v>95198.213737115206</v>
      </c>
      <c r="AF376" s="498">
        <f ca="1">SUMIFS(BS!56:56,BS!$7:$7,AF$351)*100</f>
        <v>96383.674213286708</v>
      </c>
      <c r="AG376" s="498">
        <f ca="1">SUMIFS(BS!56:56,BS!$7:$7,AG$351)*100</f>
        <v>98006.294437056727</v>
      </c>
      <c r="AH376" s="498">
        <f ca="1">SUMIFS(BS!56:56,BS!$7:$7,AH$351)*100</f>
        <v>98505.689538503866</v>
      </c>
      <c r="AI376" s="498">
        <f ca="1">SUMIFS(BS!56:56,BS!$7:$7,AI$351)*100</f>
        <v>99310.951155218121</v>
      </c>
      <c r="AJ376" s="498">
        <f ca="1">SUMIFS(BS!56:56,BS!$7:$7,AJ$351)*100</f>
        <v>101374.32347448767</v>
      </c>
      <c r="AK376" s="498">
        <f ca="1">SUMIFS(BS!56:56,BS!$7:$7,AK$351)*100</f>
        <v>102271.97678518508</v>
      </c>
      <c r="AL376" s="498">
        <f ca="1">SUMIFS(BS!56:56,BS!$7:$7,AL$351)*100</f>
        <v>103351.51931564242</v>
      </c>
      <c r="AM376" s="498">
        <f ca="1">SUMIFS(BS!56:56,BS!$7:$7,AM$351)*100</f>
        <v>105066.37221781767</v>
      </c>
      <c r="AN376" s="498">
        <f ca="1">SUMIFS(BS!56:56,BS!$7:$7,AN$351)*100</f>
        <v>106140.96402706009</v>
      </c>
      <c r="AO376" s="498">
        <f ca="1">SUMIFS(BS!56:56,BS!$7:$7,AO$351)*100</f>
        <v>0</v>
      </c>
      <c r="AP376" s="498">
        <f>SUMIFS(BS!56:56,BS!$7:$7,AP$351)*100</f>
        <v>0</v>
      </c>
      <c r="AQ376" s="498">
        <f>SUMIFS(BS!56:56,BS!$7:$7,AQ$351)</f>
        <v>0</v>
      </c>
    </row>
    <row r="377" spans="3:43" ht="13.15" customHeight="1">
      <c r="D377" s="4623">
        <f ca="1">SUM(D352,D356)-D360</f>
        <v>0</v>
      </c>
      <c r="E377" s="4623">
        <f t="shared" ref="E377:AQ377" ca="1" si="132">SUM(E352,E356)-E360</f>
        <v>0</v>
      </c>
      <c r="F377" s="4623">
        <f t="shared" ca="1" si="132"/>
        <v>0</v>
      </c>
      <c r="G377" s="4623">
        <f t="shared" ca="1" si="132"/>
        <v>0</v>
      </c>
      <c r="H377" s="4623">
        <f t="shared" ca="1" si="132"/>
        <v>0</v>
      </c>
      <c r="I377" s="4623">
        <f t="shared" ca="1" si="132"/>
        <v>0</v>
      </c>
      <c r="J377" s="4623">
        <f t="shared" ca="1" si="132"/>
        <v>0</v>
      </c>
      <c r="K377" s="4623">
        <f t="shared" ca="1" si="132"/>
        <v>0</v>
      </c>
      <c r="L377" s="4623">
        <f t="shared" ca="1" si="132"/>
        <v>0</v>
      </c>
      <c r="M377" s="4623">
        <f t="shared" ca="1" si="132"/>
        <v>0</v>
      </c>
      <c r="N377" s="4623">
        <f t="shared" ca="1" si="132"/>
        <v>0</v>
      </c>
      <c r="O377" s="4623">
        <f t="shared" ca="1" si="132"/>
        <v>0</v>
      </c>
      <c r="P377" s="4623">
        <f t="shared" ca="1" si="132"/>
        <v>0</v>
      </c>
      <c r="Q377" s="498">
        <f t="shared" ca="1" si="132"/>
        <v>0</v>
      </c>
      <c r="R377" s="498">
        <f t="shared" ca="1" si="132"/>
        <v>0</v>
      </c>
      <c r="S377" s="498">
        <f t="shared" ca="1" si="132"/>
        <v>0</v>
      </c>
      <c r="T377" s="498">
        <f t="shared" ca="1" si="132"/>
        <v>0</v>
      </c>
      <c r="U377" s="498">
        <f t="shared" ca="1" si="132"/>
        <v>0</v>
      </c>
      <c r="V377" s="498">
        <f t="shared" ca="1" si="132"/>
        <v>0</v>
      </c>
      <c r="W377" s="498">
        <f t="shared" ca="1" si="132"/>
        <v>0</v>
      </c>
      <c r="X377" s="498">
        <f t="shared" ca="1" si="132"/>
        <v>0</v>
      </c>
      <c r="Y377" s="498">
        <f t="shared" ca="1" si="132"/>
        <v>0</v>
      </c>
      <c r="Z377" s="498">
        <f t="shared" ca="1" si="132"/>
        <v>0</v>
      </c>
      <c r="AA377" s="498">
        <f t="shared" ca="1" si="132"/>
        <v>0</v>
      </c>
      <c r="AB377" s="498">
        <f t="shared" ca="1" si="132"/>
        <v>0</v>
      </c>
      <c r="AC377" s="498">
        <f t="shared" ca="1" si="132"/>
        <v>0</v>
      </c>
      <c r="AD377" s="498">
        <f t="shared" ca="1" si="132"/>
        <v>0</v>
      </c>
      <c r="AE377" s="498">
        <f t="shared" ca="1" si="132"/>
        <v>0</v>
      </c>
      <c r="AF377" s="498">
        <f t="shared" ca="1" si="132"/>
        <v>0</v>
      </c>
      <c r="AG377" s="498">
        <f t="shared" ca="1" si="132"/>
        <v>0</v>
      </c>
      <c r="AH377" s="498">
        <f t="shared" ca="1" si="132"/>
        <v>0</v>
      </c>
      <c r="AI377" s="498">
        <f t="shared" ca="1" si="132"/>
        <v>0</v>
      </c>
      <c r="AJ377" s="498">
        <f t="shared" ca="1" si="132"/>
        <v>0</v>
      </c>
      <c r="AK377" s="498">
        <f t="shared" ca="1" si="132"/>
        <v>0</v>
      </c>
      <c r="AL377" s="498">
        <f t="shared" ca="1" si="132"/>
        <v>0</v>
      </c>
      <c r="AM377" s="498">
        <f t="shared" ca="1" si="132"/>
        <v>0</v>
      </c>
      <c r="AN377" s="498">
        <f t="shared" ca="1" si="132"/>
        <v>0</v>
      </c>
      <c r="AO377" s="498">
        <f t="shared" ca="1" si="132"/>
        <v>0</v>
      </c>
      <c r="AP377" s="498">
        <f t="shared" si="132"/>
        <v>0</v>
      </c>
      <c r="AQ377" s="498">
        <f t="shared" si="132"/>
        <v>0</v>
      </c>
    </row>
    <row r="378" spans="3:43" ht="13.15" customHeight="1">
      <c r="D378" s="4623">
        <f ca="1">D361+D364-D369</f>
        <v>0</v>
      </c>
      <c r="E378" s="4623">
        <f t="shared" ref="E378:AQ378" ca="1" si="133">E361+E364-E369</f>
        <v>0</v>
      </c>
      <c r="F378" s="4623">
        <f t="shared" ca="1" si="133"/>
        <v>0</v>
      </c>
      <c r="G378" s="4623">
        <f t="shared" ca="1" si="133"/>
        <v>0</v>
      </c>
      <c r="H378" s="4623">
        <f t="shared" ca="1" si="133"/>
        <v>0</v>
      </c>
      <c r="I378" s="4623">
        <f t="shared" ca="1" si="133"/>
        <v>0</v>
      </c>
      <c r="J378" s="4623">
        <f t="shared" ca="1" si="133"/>
        <v>0</v>
      </c>
      <c r="K378" s="4623">
        <f t="shared" ca="1" si="133"/>
        <v>0</v>
      </c>
      <c r="L378" s="4623">
        <f t="shared" ca="1" si="133"/>
        <v>0</v>
      </c>
      <c r="M378" s="4623">
        <f t="shared" ca="1" si="133"/>
        <v>0</v>
      </c>
      <c r="N378" s="4623">
        <f t="shared" ca="1" si="133"/>
        <v>0</v>
      </c>
      <c r="O378" s="4623">
        <f t="shared" ca="1" si="133"/>
        <v>0</v>
      </c>
      <c r="P378" s="4623">
        <f t="shared" ca="1" si="133"/>
        <v>0</v>
      </c>
      <c r="Q378" s="498">
        <f t="shared" ca="1" si="133"/>
        <v>0</v>
      </c>
      <c r="R378" s="498">
        <f t="shared" ca="1" si="133"/>
        <v>0</v>
      </c>
      <c r="S378" s="498">
        <f t="shared" ca="1" si="133"/>
        <v>0</v>
      </c>
      <c r="T378" s="498">
        <f t="shared" ca="1" si="133"/>
        <v>0</v>
      </c>
      <c r="U378" s="498">
        <f t="shared" ca="1" si="133"/>
        <v>0</v>
      </c>
      <c r="V378" s="498">
        <f t="shared" ca="1" si="133"/>
        <v>0</v>
      </c>
      <c r="W378" s="498">
        <f t="shared" ca="1" si="133"/>
        <v>0</v>
      </c>
      <c r="X378" s="498">
        <f t="shared" ca="1" si="133"/>
        <v>0</v>
      </c>
      <c r="Y378" s="498">
        <f t="shared" ca="1" si="133"/>
        <v>0</v>
      </c>
      <c r="Z378" s="498">
        <f t="shared" ca="1" si="133"/>
        <v>0</v>
      </c>
      <c r="AA378" s="498">
        <f t="shared" ca="1" si="133"/>
        <v>0</v>
      </c>
      <c r="AB378" s="498">
        <f t="shared" ca="1" si="133"/>
        <v>0</v>
      </c>
      <c r="AC378" s="498">
        <f t="shared" ca="1" si="133"/>
        <v>0</v>
      </c>
      <c r="AD378" s="498">
        <f t="shared" ca="1" si="133"/>
        <v>0</v>
      </c>
      <c r="AE378" s="498">
        <f t="shared" ca="1" si="133"/>
        <v>0</v>
      </c>
      <c r="AF378" s="498">
        <f t="shared" ca="1" si="133"/>
        <v>0</v>
      </c>
      <c r="AG378" s="498">
        <f t="shared" ca="1" si="133"/>
        <v>0</v>
      </c>
      <c r="AH378" s="498">
        <f t="shared" ca="1" si="133"/>
        <v>0</v>
      </c>
      <c r="AI378" s="498">
        <f t="shared" ca="1" si="133"/>
        <v>0</v>
      </c>
      <c r="AJ378" s="498">
        <f t="shared" ca="1" si="133"/>
        <v>0</v>
      </c>
      <c r="AK378" s="498">
        <f t="shared" ca="1" si="133"/>
        <v>0</v>
      </c>
      <c r="AL378" s="498">
        <f t="shared" ca="1" si="133"/>
        <v>0</v>
      </c>
      <c r="AM378" s="498">
        <f t="shared" ca="1" si="133"/>
        <v>0</v>
      </c>
      <c r="AN378" s="498">
        <f t="shared" ca="1" si="133"/>
        <v>0</v>
      </c>
      <c r="AO378" s="498">
        <f t="shared" ca="1" si="133"/>
        <v>0</v>
      </c>
      <c r="AP378" s="498">
        <f t="shared" si="133"/>
        <v>0</v>
      </c>
      <c r="AQ378" s="498">
        <f t="shared" si="133"/>
        <v>0</v>
      </c>
    </row>
    <row r="379" spans="3:43" ht="13.15" customHeight="1">
      <c r="D379" s="4623">
        <f ca="1">SUM(D371:D375)-D376</f>
        <v>0</v>
      </c>
      <c r="E379" s="4623">
        <f t="shared" ref="E379:AQ379" ca="1" si="134">SUM(E371:E375)-E376</f>
        <v>0</v>
      </c>
      <c r="F379" s="4623">
        <f t="shared" ca="1" si="134"/>
        <v>0</v>
      </c>
      <c r="G379" s="4623">
        <f t="shared" ca="1" si="134"/>
        <v>0</v>
      </c>
      <c r="H379" s="4623">
        <f t="shared" ca="1" si="134"/>
        <v>0</v>
      </c>
      <c r="I379" s="4623">
        <f t="shared" ca="1" si="134"/>
        <v>0</v>
      </c>
      <c r="J379" s="4623">
        <f t="shared" ca="1" si="134"/>
        <v>0</v>
      </c>
      <c r="K379" s="4623">
        <f t="shared" ca="1" si="134"/>
        <v>0</v>
      </c>
      <c r="L379" s="4623">
        <f t="shared" ca="1" si="134"/>
        <v>0</v>
      </c>
      <c r="M379" s="4623">
        <f t="shared" ca="1" si="134"/>
        <v>0</v>
      </c>
      <c r="N379" s="4623">
        <f t="shared" ca="1" si="134"/>
        <v>0</v>
      </c>
      <c r="O379" s="4623">
        <f t="shared" ca="1" si="134"/>
        <v>0</v>
      </c>
      <c r="P379" s="4623">
        <f t="shared" ca="1" si="134"/>
        <v>0</v>
      </c>
      <c r="Q379" s="498">
        <f t="shared" ca="1" si="134"/>
        <v>0</v>
      </c>
      <c r="R379" s="498">
        <f t="shared" ca="1" si="134"/>
        <v>0</v>
      </c>
      <c r="S379" s="498">
        <f t="shared" ca="1" si="134"/>
        <v>0</v>
      </c>
      <c r="T379" s="498">
        <f t="shared" ca="1" si="134"/>
        <v>0</v>
      </c>
      <c r="U379" s="498">
        <f t="shared" ca="1" si="134"/>
        <v>0</v>
      </c>
      <c r="V379" s="498">
        <f t="shared" ca="1" si="134"/>
        <v>0</v>
      </c>
      <c r="W379" s="498">
        <f t="shared" ca="1" si="134"/>
        <v>0</v>
      </c>
      <c r="X379" s="498">
        <f t="shared" ca="1" si="134"/>
        <v>0</v>
      </c>
      <c r="Y379" s="498">
        <f t="shared" ca="1" si="134"/>
        <v>0</v>
      </c>
      <c r="Z379" s="498">
        <f t="shared" ca="1" si="134"/>
        <v>0</v>
      </c>
      <c r="AA379" s="498">
        <f t="shared" ca="1" si="134"/>
        <v>0</v>
      </c>
      <c r="AB379" s="498">
        <f t="shared" ca="1" si="134"/>
        <v>0</v>
      </c>
      <c r="AC379" s="498">
        <f t="shared" ca="1" si="134"/>
        <v>0</v>
      </c>
      <c r="AD379" s="498">
        <f t="shared" ca="1" si="134"/>
        <v>0</v>
      </c>
      <c r="AE379" s="498">
        <f t="shared" ca="1" si="134"/>
        <v>0</v>
      </c>
      <c r="AF379" s="498">
        <f t="shared" ca="1" si="134"/>
        <v>0</v>
      </c>
      <c r="AG379" s="498">
        <f t="shared" ca="1" si="134"/>
        <v>0</v>
      </c>
      <c r="AH379" s="498">
        <f t="shared" ca="1" si="134"/>
        <v>0</v>
      </c>
      <c r="AI379" s="498">
        <f t="shared" ca="1" si="134"/>
        <v>0</v>
      </c>
      <c r="AJ379" s="498">
        <f t="shared" ca="1" si="134"/>
        <v>0</v>
      </c>
      <c r="AK379" s="498">
        <f t="shared" ca="1" si="134"/>
        <v>0</v>
      </c>
      <c r="AL379" s="498">
        <f t="shared" ca="1" si="134"/>
        <v>0</v>
      </c>
      <c r="AM379" s="498">
        <f t="shared" ca="1" si="134"/>
        <v>0</v>
      </c>
      <c r="AN379" s="498">
        <f t="shared" ca="1" si="134"/>
        <v>0</v>
      </c>
      <c r="AO379" s="498">
        <f t="shared" ca="1" si="134"/>
        <v>0</v>
      </c>
      <c r="AP379" s="498">
        <f t="shared" si="134"/>
        <v>0</v>
      </c>
      <c r="AQ379" s="498">
        <f t="shared" si="134"/>
        <v>0</v>
      </c>
    </row>
    <row r="380" spans="3:43" ht="13.15" customHeight="1">
      <c r="D380" s="4624">
        <f ca="1">D376+D369-D360</f>
        <v>9.7736774478107691E-6</v>
      </c>
      <c r="E380" s="4624">
        <f t="shared" ref="E380:AQ380" ca="1" si="135">E376+E369-E360</f>
        <v>9.7736774478107691E-6</v>
      </c>
      <c r="F380" s="4624">
        <f t="shared" ca="1" si="135"/>
        <v>4.8890302423387766E-5</v>
      </c>
      <c r="G380" s="4624">
        <f t="shared" ca="1" si="135"/>
        <v>2.7753965696319938E-5</v>
      </c>
      <c r="H380" s="4624">
        <f t="shared" ca="1" si="135"/>
        <v>1.6288395272567868E-5</v>
      </c>
      <c r="I380" s="4624">
        <f t="shared" ca="1" si="135"/>
        <v>1.6288424376398325E-5</v>
      </c>
      <c r="J380" s="4624">
        <f t="shared" ca="1" si="135"/>
        <v>1.6288424376398325E-5</v>
      </c>
      <c r="K380" s="4624">
        <f t="shared" ca="1" si="135"/>
        <v>1.6288395272567868E-5</v>
      </c>
      <c r="L380" s="4624">
        <f t="shared" ca="1" si="135"/>
        <v>1.6288409824483097E-5</v>
      </c>
      <c r="M380" s="4624">
        <f t="shared" ca="1" si="135"/>
        <v>1.6288395272567868E-5</v>
      </c>
      <c r="N380" s="4624">
        <f t="shared" ca="1" si="135"/>
        <v>1.6288395272567868E-5</v>
      </c>
      <c r="O380" s="4624">
        <f t="shared" ca="1" si="135"/>
        <v>1.6288395272567868E-5</v>
      </c>
      <c r="P380" s="4624">
        <f t="shared" ca="1" si="135"/>
        <v>1.3414814020507038E-5</v>
      </c>
      <c r="Q380" s="491">
        <f t="shared" ca="1" si="135"/>
        <v>-3.3611911931075156E-5</v>
      </c>
      <c r="R380" s="491">
        <f t="shared" ca="1" si="135"/>
        <v>2.623972250148654E-6</v>
      </c>
      <c r="S380" s="491">
        <f t="shared" ca="1" si="135"/>
        <v>-6.445930921472609E-6</v>
      </c>
      <c r="T380" s="491">
        <f t="shared" ca="1" si="135"/>
        <v>-6.4459018176421523E-6</v>
      </c>
      <c r="U380" s="491">
        <f t="shared" ca="1" si="135"/>
        <v>-6.4459163695573807E-6</v>
      </c>
      <c r="V380" s="491">
        <f t="shared" ca="1" si="135"/>
        <v>-6.4459018176421523E-6</v>
      </c>
      <c r="W380" s="491">
        <f t="shared" ca="1" si="135"/>
        <v>-6.4459018176421523E-6</v>
      </c>
      <c r="X380" s="491">
        <f t="shared" ca="1" si="135"/>
        <v>-6.4458872657269239E-6</v>
      </c>
      <c r="Y380" s="491">
        <f t="shared" ca="1" si="135"/>
        <v>-6.4459018176421523E-6</v>
      </c>
      <c r="Z380" s="491">
        <f t="shared" ca="1" si="135"/>
        <v>-6.4459163695573807E-6</v>
      </c>
      <c r="AA380" s="491">
        <f t="shared" ca="1" si="135"/>
        <v>1.1921933037228882E-5</v>
      </c>
      <c r="AB380" s="491">
        <f t="shared" ca="1" si="135"/>
        <v>1.1921918485313654E-5</v>
      </c>
      <c r="AC380" s="491">
        <f t="shared" ca="1" si="135"/>
        <v>1.1921903933398426E-5</v>
      </c>
      <c r="AD380" s="491">
        <f t="shared" ca="1" si="135"/>
        <v>1.1921903933398426E-5</v>
      </c>
      <c r="AE380" s="491">
        <f t="shared" ca="1" si="135"/>
        <v>1.1921918485313654E-5</v>
      </c>
      <c r="AF380" s="491">
        <f t="shared" ca="1" si="135"/>
        <v>1.1921933037228882E-5</v>
      </c>
      <c r="AG380" s="491">
        <f t="shared" ca="1" si="135"/>
        <v>1.1921918485313654E-5</v>
      </c>
      <c r="AH380" s="491">
        <f t="shared" ca="1" si="135"/>
        <v>1.1921933037228882E-5</v>
      </c>
      <c r="AI380" s="491">
        <f t="shared" ca="1" si="135"/>
        <v>1.1921933037228882E-5</v>
      </c>
      <c r="AJ380" s="491">
        <f t="shared" ca="1" si="135"/>
        <v>1.1921918485313654E-5</v>
      </c>
      <c r="AK380" s="491">
        <f t="shared" ca="1" si="135"/>
        <v>1.1921918485313654E-5</v>
      </c>
      <c r="AL380" s="491">
        <f t="shared" ca="1" si="135"/>
        <v>1.1921903933398426E-5</v>
      </c>
      <c r="AM380" s="491">
        <f t="shared" ca="1" si="135"/>
        <v>1.1921947589144111E-5</v>
      </c>
      <c r="AN380" s="491">
        <f t="shared" ca="1" si="135"/>
        <v>1.1921918485313654E-5</v>
      </c>
      <c r="AO380" s="491">
        <f t="shared" ca="1" si="135"/>
        <v>0</v>
      </c>
      <c r="AP380" s="491">
        <f t="shared" si="135"/>
        <v>0</v>
      </c>
      <c r="AQ380" s="491">
        <f t="shared" si="135"/>
        <v>0</v>
      </c>
    </row>
    <row r="381" spans="3:43" ht="13.15" customHeight="1"/>
    <row r="382" spans="3:43" ht="13.15" customHeight="1" thickBot="1"/>
    <row r="383" spans="3:43" ht="13.15" customHeight="1" thickBot="1">
      <c r="C383" s="1860" t="s">
        <v>48</v>
      </c>
      <c r="D383" s="1866">
        <f>Q351</f>
        <v>2035</v>
      </c>
      <c r="E383" s="1866">
        <f t="shared" ref="E383:O398" si="136">R351</f>
        <v>2036</v>
      </c>
      <c r="F383" s="1866">
        <f t="shared" si="136"/>
        <v>2037</v>
      </c>
      <c r="G383" s="1866">
        <f t="shared" si="136"/>
        <v>2038</v>
      </c>
      <c r="H383" s="1866">
        <f t="shared" si="136"/>
        <v>2039</v>
      </c>
      <c r="I383" s="1866">
        <f t="shared" si="136"/>
        <v>2040</v>
      </c>
      <c r="J383" s="1866">
        <f t="shared" si="136"/>
        <v>2041</v>
      </c>
      <c r="K383" s="1866">
        <f t="shared" si="136"/>
        <v>2042</v>
      </c>
      <c r="L383" s="1866">
        <f t="shared" si="136"/>
        <v>2043</v>
      </c>
      <c r="M383" s="1866">
        <f t="shared" si="136"/>
        <v>2044</v>
      </c>
      <c r="N383" s="1866">
        <f t="shared" si="136"/>
        <v>2045</v>
      </c>
      <c r="O383" s="1866">
        <f t="shared" si="136"/>
        <v>2046</v>
      </c>
    </row>
    <row r="384" spans="3:43" ht="13.15" customHeight="1" thickBot="1">
      <c r="C384" s="1862" t="s">
        <v>3679</v>
      </c>
      <c r="D384" s="1863">
        <f t="shared" ref="D384:O408" ca="1" si="137">Q352</f>
        <v>37523.572510766266</v>
      </c>
      <c r="E384" s="1863">
        <f t="shared" ca="1" si="136"/>
        <v>38516.493622164686</v>
      </c>
      <c r="F384" s="1863">
        <f t="shared" ca="1" si="136"/>
        <v>40373.823720279994</v>
      </c>
      <c r="G384" s="1863">
        <f t="shared" ca="1" si="136"/>
        <v>38486.533423524575</v>
      </c>
      <c r="H384" s="1863">
        <f t="shared" ca="1" si="136"/>
        <v>28194.681137648127</v>
      </c>
      <c r="I384" s="1863">
        <f t="shared" ca="1" si="136"/>
        <v>26605.828602078425</v>
      </c>
      <c r="J384" s="1863">
        <f t="shared" ca="1" si="136"/>
        <v>25787.046345428451</v>
      </c>
      <c r="K384" s="1863">
        <f t="shared" ca="1" si="136"/>
        <v>25300.534662132737</v>
      </c>
      <c r="L384" s="1863">
        <f t="shared" ca="1" si="136"/>
        <v>27023.796284959008</v>
      </c>
      <c r="M384" s="1863">
        <f t="shared" ca="1" si="136"/>
        <v>29069.542724929306</v>
      </c>
      <c r="N384" s="1863">
        <f t="shared" ca="1" si="136"/>
        <v>31164.741891944301</v>
      </c>
      <c r="O384" s="1863">
        <f t="shared" ca="1" si="136"/>
        <v>32196.304060129456</v>
      </c>
    </row>
    <row r="385" spans="3:15" ht="13.15" customHeight="1" thickBot="1">
      <c r="C385" s="1847" t="s">
        <v>3680</v>
      </c>
      <c r="D385" s="1863">
        <f t="shared" ca="1" si="137"/>
        <v>20715.284251572615</v>
      </c>
      <c r="E385" s="1863">
        <f t="shared" ca="1" si="136"/>
        <v>21708.205362971028</v>
      </c>
      <c r="F385" s="1863">
        <f t="shared" ca="1" si="136"/>
        <v>23565.535461086347</v>
      </c>
      <c r="G385" s="1863">
        <f t="shared" ca="1" si="136"/>
        <v>21678.245164330921</v>
      </c>
      <c r="H385" s="1863">
        <f t="shared" ca="1" si="136"/>
        <v>11386.392878454473</v>
      </c>
      <c r="I385" s="1863">
        <f t="shared" ca="1" si="136"/>
        <v>9797.5403428847749</v>
      </c>
      <c r="J385" s="1863">
        <f t="shared" ca="1" si="136"/>
        <v>8978.7580862348022</v>
      </c>
      <c r="K385" s="1863">
        <f t="shared" ca="1" si="136"/>
        <v>8492.2464029390885</v>
      </c>
      <c r="L385" s="1863">
        <f t="shared" ca="1" si="136"/>
        <v>10215.508025765359</v>
      </c>
      <c r="M385" s="1863">
        <f t="shared" ca="1" si="136"/>
        <v>12261.254465735658</v>
      </c>
      <c r="N385" s="1863">
        <f t="shared" ca="1" si="136"/>
        <v>14356.453632750652</v>
      </c>
      <c r="O385" s="1863">
        <f t="shared" ca="1" si="136"/>
        <v>15388.015800935802</v>
      </c>
    </row>
    <row r="386" spans="3:15" ht="13.15" customHeight="1" thickBot="1">
      <c r="C386" s="1847" t="s">
        <v>3681</v>
      </c>
      <c r="D386" s="1863">
        <f t="shared" ca="1" si="137"/>
        <v>11022.455417193649</v>
      </c>
      <c r="E386" s="1863">
        <f t="shared" ca="1" si="136"/>
        <v>11022.455417193649</v>
      </c>
      <c r="F386" s="1863">
        <f t="shared" ca="1" si="136"/>
        <v>11022.455417193649</v>
      </c>
      <c r="G386" s="1863">
        <f t="shared" ca="1" si="136"/>
        <v>11022.455417193649</v>
      </c>
      <c r="H386" s="1863">
        <f t="shared" ca="1" si="136"/>
        <v>11022.455417193649</v>
      </c>
      <c r="I386" s="1863">
        <f t="shared" ca="1" si="136"/>
        <v>11022.455417193649</v>
      </c>
      <c r="J386" s="1863">
        <f t="shared" ca="1" si="136"/>
        <v>11022.455417193649</v>
      </c>
      <c r="K386" s="1863">
        <f t="shared" ca="1" si="136"/>
        <v>11022.455417193649</v>
      </c>
      <c r="L386" s="1863">
        <f t="shared" ca="1" si="136"/>
        <v>11022.455417193649</v>
      </c>
      <c r="M386" s="1863">
        <f t="shared" ca="1" si="136"/>
        <v>11022.455417193649</v>
      </c>
      <c r="N386" s="1863">
        <f t="shared" ca="1" si="136"/>
        <v>11022.455417193649</v>
      </c>
      <c r="O386" s="1863">
        <f t="shared" ca="1" si="136"/>
        <v>11022.455417193649</v>
      </c>
    </row>
    <row r="387" spans="3:15" ht="13.15" customHeight="1" thickBot="1">
      <c r="C387" s="1847" t="s">
        <v>3682</v>
      </c>
      <c r="D387" s="1863">
        <f t="shared" ca="1" si="137"/>
        <v>5785.8328420000016</v>
      </c>
      <c r="E387" s="1863">
        <f t="shared" ca="1" si="136"/>
        <v>5785.8328420000089</v>
      </c>
      <c r="F387" s="1863">
        <f t="shared" ca="1" si="136"/>
        <v>5785.832841999998</v>
      </c>
      <c r="G387" s="1863">
        <f t="shared" ca="1" si="136"/>
        <v>5785.8328420000053</v>
      </c>
      <c r="H387" s="1863">
        <f t="shared" ca="1" si="136"/>
        <v>5785.8328420000053</v>
      </c>
      <c r="I387" s="1863">
        <f t="shared" ca="1" si="136"/>
        <v>5785.8328420000016</v>
      </c>
      <c r="J387" s="1863">
        <f t="shared" ca="1" si="136"/>
        <v>5785.8328420000016</v>
      </c>
      <c r="K387" s="1863">
        <f t="shared" ca="1" si="136"/>
        <v>5785.8328420000016</v>
      </c>
      <c r="L387" s="1863">
        <f t="shared" ca="1" si="136"/>
        <v>5785.8328420000016</v>
      </c>
      <c r="M387" s="1863">
        <f t="shared" ca="1" si="136"/>
        <v>5785.8328420000016</v>
      </c>
      <c r="N387" s="1863">
        <f t="shared" ca="1" si="136"/>
        <v>5785.8328420000016</v>
      </c>
      <c r="O387" s="1863">
        <f t="shared" ca="1" si="136"/>
        <v>5785.8328420000053</v>
      </c>
    </row>
    <row r="388" spans="3:15" ht="13.15" customHeight="1" thickBot="1">
      <c r="C388" s="1862" t="s">
        <v>3683</v>
      </c>
      <c r="D388" s="1863">
        <f t="shared" ca="1" si="137"/>
        <v>90760.016081505484</v>
      </c>
      <c r="E388" s="1863">
        <f t="shared" ca="1" si="136"/>
        <v>90710.948142824505</v>
      </c>
      <c r="F388" s="1863">
        <f t="shared" ca="1" si="136"/>
        <v>86908.120441714709</v>
      </c>
      <c r="G388" s="1863">
        <f t="shared" ca="1" si="136"/>
        <v>86386.027079664011</v>
      </c>
      <c r="H388" s="1863">
        <f t="shared" ca="1" si="136"/>
        <v>93139.651441216352</v>
      </c>
      <c r="I388" s="1863">
        <f t="shared" ca="1" si="136"/>
        <v>92528.513211431782</v>
      </c>
      <c r="J388" s="1863">
        <f t="shared" ca="1" si="136"/>
        <v>89828.389835852868</v>
      </c>
      <c r="K388" s="1863">
        <f t="shared" ca="1" si="136"/>
        <v>88260.817025094191</v>
      </c>
      <c r="L388" s="1863">
        <f t="shared" ca="1" si="136"/>
        <v>84060.990592866801</v>
      </c>
      <c r="M388" s="1863">
        <f t="shared" ca="1" si="136"/>
        <v>78143.456274183147</v>
      </c>
      <c r="N388" s="1863">
        <f t="shared" ca="1" si="136"/>
        <v>72338.030848937909</v>
      </c>
      <c r="O388" s="1863">
        <f t="shared" ca="1" si="136"/>
        <v>68028.324264284005</v>
      </c>
    </row>
    <row r="389" spans="3:15" ht="13.15" customHeight="1" thickBot="1">
      <c r="C389" s="1847" t="s">
        <v>3684</v>
      </c>
      <c r="D389" s="1863">
        <f t="shared" si="137"/>
        <v>63617.608153948073</v>
      </c>
      <c r="E389" s="1863">
        <f t="shared" si="136"/>
        <v>60910.475892077942</v>
      </c>
      <c r="F389" s="1863">
        <f t="shared" si="136"/>
        <v>58203.343630207812</v>
      </c>
      <c r="G389" s="1863">
        <f t="shared" si="136"/>
        <v>55496.211368337688</v>
      </c>
      <c r="H389" s="1863">
        <f t="shared" si="136"/>
        <v>52789.079106467558</v>
      </c>
      <c r="I389" s="1863">
        <f t="shared" si="136"/>
        <v>50081.946844597427</v>
      </c>
      <c r="J389" s="1863">
        <f t="shared" si="136"/>
        <v>47374.814582727297</v>
      </c>
      <c r="K389" s="1863">
        <f t="shared" si="136"/>
        <v>44667.682320857173</v>
      </c>
      <c r="L389" s="1863">
        <f t="shared" si="136"/>
        <v>41960.550058987043</v>
      </c>
      <c r="M389" s="1863">
        <f t="shared" si="136"/>
        <v>39253.417797116912</v>
      </c>
      <c r="N389" s="1863">
        <f t="shared" si="136"/>
        <v>36546.285535246781</v>
      </c>
      <c r="O389" s="1863">
        <f t="shared" si="136"/>
        <v>33839.153273376643</v>
      </c>
    </row>
    <row r="390" spans="3:15" ht="13.15" customHeight="1" thickBot="1">
      <c r="C390" s="1847" t="s">
        <v>3685</v>
      </c>
      <c r="D390" s="1863">
        <f t="shared" ca="1" si="137"/>
        <v>26952.232317557395</v>
      </c>
      <c r="E390" s="1863">
        <f t="shared" ca="1" si="136"/>
        <v>29610.296640746565</v>
      </c>
      <c r="F390" s="1863">
        <f t="shared" ca="1" si="136"/>
        <v>28514.601201506885</v>
      </c>
      <c r="G390" s="1863">
        <f t="shared" ca="1" si="136"/>
        <v>30699.640101326317</v>
      </c>
      <c r="H390" s="1863">
        <f t="shared" ca="1" si="136"/>
        <v>40160.396724748782</v>
      </c>
      <c r="I390" s="1863">
        <f t="shared" ca="1" si="136"/>
        <v>42256.390756834335</v>
      </c>
      <c r="J390" s="1863">
        <f t="shared" ca="1" si="136"/>
        <v>42263.399643125573</v>
      </c>
      <c r="K390" s="1863">
        <f t="shared" ca="1" si="136"/>
        <v>43402.95909423702</v>
      </c>
      <c r="L390" s="1863">
        <f t="shared" ca="1" si="136"/>
        <v>41910.26492387976</v>
      </c>
      <c r="M390" s="1863">
        <f t="shared" ca="1" si="136"/>
        <v>38699.862867066229</v>
      </c>
      <c r="N390" s="1863">
        <f t="shared" ca="1" si="136"/>
        <v>35601.56970369113</v>
      </c>
      <c r="O390" s="1863">
        <f t="shared" ca="1" si="136"/>
        <v>33998.995380907356</v>
      </c>
    </row>
    <row r="391" spans="3:15" ht="14.25" thickBot="1">
      <c r="C391" s="1847" t="s">
        <v>3686</v>
      </c>
      <c r="D391" s="1863">
        <f t="shared" ca="1" si="137"/>
        <v>190.1756100000166</v>
      </c>
      <c r="E391" s="1863">
        <f t="shared" ca="1" si="136"/>
        <v>190.17560999999841</v>
      </c>
      <c r="F391" s="1863">
        <f t="shared" ca="1" si="136"/>
        <v>190.17561000001297</v>
      </c>
      <c r="G391" s="1863">
        <f t="shared" ca="1" si="136"/>
        <v>190.17561000000569</v>
      </c>
      <c r="H391" s="1863">
        <f t="shared" ca="1" si="136"/>
        <v>190.17561000001297</v>
      </c>
      <c r="I391" s="1863">
        <f t="shared" ca="1" si="136"/>
        <v>190.17561000002024</v>
      </c>
      <c r="J391" s="1863">
        <f t="shared" ca="1" si="136"/>
        <v>190.17560999999841</v>
      </c>
      <c r="K391" s="1863">
        <f t="shared" ca="1" si="136"/>
        <v>190.17560999999841</v>
      </c>
      <c r="L391" s="1863">
        <f t="shared" ca="1" si="136"/>
        <v>190.17560999999841</v>
      </c>
      <c r="M391" s="1863">
        <f t="shared" ca="1" si="136"/>
        <v>190.17561000000569</v>
      </c>
      <c r="N391" s="1863">
        <f t="shared" ca="1" si="136"/>
        <v>190.17560999999841</v>
      </c>
      <c r="O391" s="1863">
        <f t="shared" ca="1" si="136"/>
        <v>190.17561000000569</v>
      </c>
    </row>
    <row r="392" spans="3:15" ht="14.25" thickBot="1">
      <c r="C392" s="1862" t="s">
        <v>688</v>
      </c>
      <c r="D392" s="1863">
        <f t="shared" ca="1" si="137"/>
        <v>128283.58859227173</v>
      </c>
      <c r="E392" s="1863">
        <f t="shared" ca="1" si="136"/>
        <v>129227.44176498918</v>
      </c>
      <c r="F392" s="1863">
        <f t="shared" ca="1" si="136"/>
        <v>127281.94416199472</v>
      </c>
      <c r="G392" s="1863">
        <f t="shared" ca="1" si="136"/>
        <v>124872.56050318858</v>
      </c>
      <c r="H392" s="1863">
        <f t="shared" ca="1" si="136"/>
        <v>121334.33257886447</v>
      </c>
      <c r="I392" s="1863">
        <f t="shared" ca="1" si="136"/>
        <v>119134.3418135102</v>
      </c>
      <c r="J392" s="1863">
        <f t="shared" ca="1" si="136"/>
        <v>115615.43618128133</v>
      </c>
      <c r="K392" s="1863">
        <f t="shared" ca="1" si="136"/>
        <v>113561.35168722694</v>
      </c>
      <c r="L392" s="1863">
        <f t="shared" ca="1" si="136"/>
        <v>111084.78687782581</v>
      </c>
      <c r="M392" s="1863">
        <f t="shared" ca="1" si="136"/>
        <v>107212.99899911246</v>
      </c>
      <c r="N392" s="1863">
        <f t="shared" ca="1" si="136"/>
        <v>103502.77274088221</v>
      </c>
      <c r="O392" s="1863">
        <f t="shared" ca="1" si="136"/>
        <v>100224.62832441345</v>
      </c>
    </row>
    <row r="393" spans="3:15" ht="14.25" thickBot="1">
      <c r="C393" s="1862" t="s">
        <v>3687</v>
      </c>
      <c r="D393" s="1863">
        <f t="shared" ca="1" si="137"/>
        <v>2456.4536514938081</v>
      </c>
      <c r="E393" s="1863">
        <f t="shared" ca="1" si="136"/>
        <v>2799.867952997</v>
      </c>
      <c r="F393" s="1863">
        <f t="shared" ca="1" si="136"/>
        <v>2613.448929248681</v>
      </c>
      <c r="G393" s="1863">
        <f t="shared" ca="1" si="136"/>
        <v>2525.2818873424508</v>
      </c>
      <c r="H393" s="1863">
        <f t="shared" ca="1" si="136"/>
        <v>2599.7449585664681</v>
      </c>
      <c r="I393" s="1863">
        <f t="shared" ca="1" si="136"/>
        <v>2957.7227440729171</v>
      </c>
      <c r="J393" s="1863">
        <f t="shared" ca="1" si="136"/>
        <v>2863.3326397084365</v>
      </c>
      <c r="K393" s="1863">
        <f t="shared" ca="1" si="136"/>
        <v>3193.216469704048</v>
      </c>
      <c r="L393" s="1863">
        <f t="shared" ca="1" si="136"/>
        <v>2957.5368077785688</v>
      </c>
      <c r="M393" s="1863">
        <f t="shared" ca="1" si="136"/>
        <v>2996.7690677817432</v>
      </c>
      <c r="N393" s="1863">
        <f t="shared" ca="1" si="136"/>
        <v>3172.0702331783432</v>
      </c>
      <c r="O393" s="1863">
        <f t="shared" ca="1" si="136"/>
        <v>3158.9375719829436</v>
      </c>
    </row>
    <row r="394" spans="3:15" ht="14.25" thickBot="1">
      <c r="C394" s="1847" t="s">
        <v>3688</v>
      </c>
      <c r="D394" s="1863">
        <f t="shared" si="137"/>
        <v>2046.6922730000001</v>
      </c>
      <c r="E394" s="1863">
        <f t="shared" si="136"/>
        <v>2046.6922730000001</v>
      </c>
      <c r="F394" s="1863">
        <f t="shared" si="136"/>
        <v>2046.6922730000001</v>
      </c>
      <c r="G394" s="1863">
        <f t="shared" si="136"/>
        <v>2046.6922730000001</v>
      </c>
      <c r="H394" s="1863">
        <f t="shared" si="136"/>
        <v>2046.6922730000001</v>
      </c>
      <c r="I394" s="1863">
        <f t="shared" si="136"/>
        <v>2046.6922730000001</v>
      </c>
      <c r="J394" s="1863">
        <f t="shared" si="136"/>
        <v>2046.6922730000001</v>
      </c>
      <c r="K394" s="1863">
        <f t="shared" si="136"/>
        <v>2046.6922730000001</v>
      </c>
      <c r="L394" s="1863">
        <f t="shared" si="136"/>
        <v>2046.6922730000001</v>
      </c>
      <c r="M394" s="1863">
        <f t="shared" si="136"/>
        <v>2046.6922730000001</v>
      </c>
      <c r="N394" s="1863">
        <f t="shared" si="136"/>
        <v>2046.6922730000001</v>
      </c>
      <c r="O394" s="1863">
        <f t="shared" si="136"/>
        <v>2046.6922730000001</v>
      </c>
    </row>
    <row r="395" spans="3:15" ht="14.25" thickBot="1">
      <c r="C395" s="1847" t="s">
        <v>3689</v>
      </c>
      <c r="D395" s="1863">
        <f t="shared" ca="1" si="137"/>
        <v>409.76137849380802</v>
      </c>
      <c r="E395" s="1863">
        <f t="shared" ca="1" si="136"/>
        <v>753.17567999699986</v>
      </c>
      <c r="F395" s="1863">
        <f t="shared" ca="1" si="136"/>
        <v>566.75665624868088</v>
      </c>
      <c r="G395" s="1863">
        <f t="shared" ca="1" si="136"/>
        <v>478.58961434245066</v>
      </c>
      <c r="H395" s="1863">
        <f t="shared" ca="1" si="136"/>
        <v>553.05268556646797</v>
      </c>
      <c r="I395" s="1863">
        <f t="shared" ca="1" si="136"/>
        <v>911.03047107291695</v>
      </c>
      <c r="J395" s="1863">
        <f t="shared" ca="1" si="136"/>
        <v>816.64036670843643</v>
      </c>
      <c r="K395" s="1863">
        <f t="shared" ca="1" si="136"/>
        <v>1146.5241967040479</v>
      </c>
      <c r="L395" s="1863">
        <f t="shared" ca="1" si="136"/>
        <v>910.84453477856869</v>
      </c>
      <c r="M395" s="1863">
        <f t="shared" ca="1" si="136"/>
        <v>950.07679478174305</v>
      </c>
      <c r="N395" s="1863">
        <f t="shared" ca="1" si="136"/>
        <v>1125.3779601783431</v>
      </c>
      <c r="O395" s="1863">
        <f t="shared" ca="1" si="136"/>
        <v>1112.2452989829435</v>
      </c>
    </row>
    <row r="396" spans="3:15" ht="14.25" thickBot="1">
      <c r="C396" s="1862" t="s">
        <v>3690</v>
      </c>
      <c r="D396" s="1863">
        <f t="shared" ca="1" si="137"/>
        <v>42833.226632999998</v>
      </c>
      <c r="E396" s="1863">
        <f t="shared" ca="1" si="136"/>
        <v>40342.120133000004</v>
      </c>
      <c r="F396" s="1863">
        <f t="shared" ca="1" si="136"/>
        <v>35958.152833</v>
      </c>
      <c r="G396" s="1863">
        <f t="shared" ca="1" si="136"/>
        <v>31366.152833</v>
      </c>
      <c r="H396" s="1863">
        <f t="shared" ca="1" si="136"/>
        <v>26774.152833</v>
      </c>
      <c r="I396" s="1863">
        <f t="shared" ca="1" si="136"/>
        <v>22182.152833</v>
      </c>
      <c r="J396" s="1863">
        <f t="shared" ca="1" si="136"/>
        <v>17590.152833</v>
      </c>
      <c r="K396" s="1863">
        <f t="shared" ca="1" si="136"/>
        <v>12998.152833</v>
      </c>
      <c r="L396" s="1863">
        <f t="shared" ca="1" si="136"/>
        <v>8406.1528330000001</v>
      </c>
      <c r="M396" s="1863">
        <f t="shared" ca="1" si="136"/>
        <v>3814.1528330000001</v>
      </c>
      <c r="N396" s="1863">
        <f t="shared" ca="1" si="136"/>
        <v>705.40243299999997</v>
      </c>
      <c r="O396" s="1863">
        <f t="shared" ca="1" si="136"/>
        <v>705.40243299999997</v>
      </c>
    </row>
    <row r="397" spans="3:15" ht="14.25" thickBot="1">
      <c r="C397" s="1847" t="s">
        <v>707</v>
      </c>
      <c r="D397" s="1863">
        <f t="shared" si="137"/>
        <v>0</v>
      </c>
      <c r="E397" s="1863">
        <f t="shared" si="136"/>
        <v>0</v>
      </c>
      <c r="F397" s="1863">
        <f t="shared" si="136"/>
        <v>0</v>
      </c>
      <c r="G397" s="1863">
        <f t="shared" si="136"/>
        <v>0</v>
      </c>
      <c r="H397" s="1863">
        <f t="shared" si="136"/>
        <v>0</v>
      </c>
      <c r="I397" s="1863">
        <f t="shared" si="136"/>
        <v>0</v>
      </c>
      <c r="J397" s="1863">
        <f t="shared" si="136"/>
        <v>0</v>
      </c>
      <c r="K397" s="1863">
        <f t="shared" si="136"/>
        <v>0</v>
      </c>
      <c r="L397" s="1863">
        <f t="shared" si="136"/>
        <v>0</v>
      </c>
      <c r="M397" s="1863">
        <f t="shared" si="136"/>
        <v>0</v>
      </c>
      <c r="N397" s="1863">
        <f t="shared" si="136"/>
        <v>0</v>
      </c>
      <c r="O397" s="1863">
        <f t="shared" si="136"/>
        <v>0</v>
      </c>
    </row>
    <row r="398" spans="3:15" ht="14.25" thickBot="1">
      <c r="C398" s="1847" t="s">
        <v>695</v>
      </c>
      <c r="D398" s="1863">
        <f t="shared" si="137"/>
        <v>0</v>
      </c>
      <c r="E398" s="1863">
        <f t="shared" si="136"/>
        <v>0</v>
      </c>
      <c r="F398" s="1863">
        <f t="shared" si="136"/>
        <v>0</v>
      </c>
      <c r="G398" s="1863">
        <f t="shared" si="136"/>
        <v>0</v>
      </c>
      <c r="H398" s="1863">
        <f t="shared" si="136"/>
        <v>0</v>
      </c>
      <c r="I398" s="1863">
        <f t="shared" si="136"/>
        <v>0</v>
      </c>
      <c r="J398" s="1863">
        <f t="shared" si="136"/>
        <v>0</v>
      </c>
      <c r="K398" s="1863">
        <f t="shared" si="136"/>
        <v>0</v>
      </c>
      <c r="L398" s="1863">
        <f t="shared" si="136"/>
        <v>0</v>
      </c>
      <c r="M398" s="1863">
        <f t="shared" si="136"/>
        <v>0</v>
      </c>
      <c r="N398" s="1863">
        <f t="shared" si="136"/>
        <v>0</v>
      </c>
      <c r="O398" s="1863">
        <f t="shared" si="136"/>
        <v>0</v>
      </c>
    </row>
    <row r="399" spans="3:15" ht="14.25" thickBot="1">
      <c r="C399" s="1847" t="s">
        <v>3691</v>
      </c>
      <c r="D399" s="1863">
        <f t="shared" ca="1" si="137"/>
        <v>42127.824199999995</v>
      </c>
      <c r="E399" s="1863">
        <f t="shared" ca="1" si="137"/>
        <v>39636.717700000001</v>
      </c>
      <c r="F399" s="1863">
        <f t="shared" ca="1" si="137"/>
        <v>35252.750400000004</v>
      </c>
      <c r="G399" s="1863">
        <f t="shared" ca="1" si="137"/>
        <v>30660.750400000001</v>
      </c>
      <c r="H399" s="1863">
        <f t="shared" ca="1" si="137"/>
        <v>26068.750399999997</v>
      </c>
      <c r="I399" s="1863">
        <f t="shared" ca="1" si="137"/>
        <v>21476.750400000001</v>
      </c>
      <c r="J399" s="1863">
        <f t="shared" ca="1" si="137"/>
        <v>16884.750399999997</v>
      </c>
      <c r="K399" s="1863">
        <f t="shared" ca="1" si="137"/>
        <v>12292.750400000001</v>
      </c>
      <c r="L399" s="1863">
        <f t="shared" ca="1" si="137"/>
        <v>7700.7503999999999</v>
      </c>
      <c r="M399" s="1863">
        <f t="shared" ca="1" si="137"/>
        <v>3108.7503999999999</v>
      </c>
      <c r="N399" s="1863">
        <f t="shared" ca="1" si="137"/>
        <v>0</v>
      </c>
      <c r="O399" s="1863">
        <f t="shared" ca="1" si="137"/>
        <v>0</v>
      </c>
    </row>
    <row r="400" spans="3:15" ht="14.25" thickBot="1">
      <c r="C400" s="1847" t="s">
        <v>3692</v>
      </c>
      <c r="D400" s="1863">
        <f t="shared" ca="1" si="137"/>
        <v>705.40243300000293</v>
      </c>
      <c r="E400" s="1863">
        <f t="shared" ca="1" si="137"/>
        <v>705.40243300000293</v>
      </c>
      <c r="F400" s="1863">
        <f t="shared" ca="1" si="137"/>
        <v>705.40243299999565</v>
      </c>
      <c r="G400" s="1863">
        <f t="shared" ca="1" si="137"/>
        <v>705.40243299999929</v>
      </c>
      <c r="H400" s="1863">
        <f t="shared" ca="1" si="137"/>
        <v>705.40243300000293</v>
      </c>
      <c r="I400" s="1863">
        <f t="shared" ca="1" si="137"/>
        <v>705.40243299999929</v>
      </c>
      <c r="J400" s="1863">
        <f t="shared" ca="1" si="137"/>
        <v>705.40243300000293</v>
      </c>
      <c r="K400" s="1863">
        <f t="shared" ca="1" si="137"/>
        <v>705.40243299999929</v>
      </c>
      <c r="L400" s="1863">
        <f t="shared" ca="1" si="137"/>
        <v>705.4024330000002</v>
      </c>
      <c r="M400" s="1863">
        <f t="shared" ca="1" si="137"/>
        <v>705.4024330000002</v>
      </c>
      <c r="N400" s="1863">
        <f t="shared" ca="1" si="137"/>
        <v>705.40243299999997</v>
      </c>
      <c r="O400" s="1863">
        <f t="shared" ca="1" si="137"/>
        <v>705.40243299999997</v>
      </c>
    </row>
    <row r="401" spans="3:15" ht="14.25" thickBot="1">
      <c r="C401" s="1862" t="s">
        <v>712</v>
      </c>
      <c r="D401" s="1863">
        <f t="shared" ca="1" si="137"/>
        <v>45289.680284493807</v>
      </c>
      <c r="E401" s="1863">
        <f t="shared" ca="1" si="137"/>
        <v>43141.988085997</v>
      </c>
      <c r="F401" s="1863">
        <f t="shared" ca="1" si="137"/>
        <v>38571.601762248683</v>
      </c>
      <c r="G401" s="1863">
        <f t="shared" ca="1" si="137"/>
        <v>33891.434720342455</v>
      </c>
      <c r="H401" s="1863">
        <f t="shared" ca="1" si="137"/>
        <v>29373.897791566469</v>
      </c>
      <c r="I401" s="1863">
        <f t="shared" ca="1" si="137"/>
        <v>25139.875577072919</v>
      </c>
      <c r="J401" s="1863">
        <f t="shared" ca="1" si="137"/>
        <v>20453.485472708435</v>
      </c>
      <c r="K401" s="1863">
        <f t="shared" ca="1" si="137"/>
        <v>16191.36930270405</v>
      </c>
      <c r="L401" s="1863">
        <f t="shared" ca="1" si="137"/>
        <v>11363.689640778568</v>
      </c>
      <c r="M401" s="1863">
        <f t="shared" ca="1" si="137"/>
        <v>6810.9219007817428</v>
      </c>
      <c r="N401" s="1863">
        <f t="shared" ca="1" si="137"/>
        <v>3877.4726661783434</v>
      </c>
      <c r="O401" s="1863">
        <f t="shared" ca="1" si="137"/>
        <v>3864.3400049829438</v>
      </c>
    </row>
    <row r="402" spans="3:15" ht="14.25" thickBot="1">
      <c r="C402" s="1862" t="s">
        <v>3693</v>
      </c>
      <c r="D402" s="1863">
        <f t="shared" si="137"/>
        <v>0</v>
      </c>
      <c r="E402" s="1863">
        <f t="shared" si="137"/>
        <v>0</v>
      </c>
      <c r="F402" s="1863">
        <f t="shared" si="137"/>
        <v>0</v>
      </c>
      <c r="G402" s="1863">
        <f t="shared" si="137"/>
        <v>0</v>
      </c>
      <c r="H402" s="1863">
        <f t="shared" si="137"/>
        <v>0</v>
      </c>
      <c r="I402" s="1863">
        <f t="shared" si="137"/>
        <v>0</v>
      </c>
      <c r="J402" s="1863">
        <f t="shared" si="137"/>
        <v>0</v>
      </c>
      <c r="K402" s="1863">
        <f t="shared" si="137"/>
        <v>0</v>
      </c>
      <c r="L402" s="1863">
        <f t="shared" si="137"/>
        <v>0</v>
      </c>
      <c r="M402" s="1863">
        <f t="shared" si="137"/>
        <v>0</v>
      </c>
      <c r="N402" s="1863">
        <f t="shared" si="137"/>
        <v>0</v>
      </c>
      <c r="O402" s="1863">
        <f t="shared" si="137"/>
        <v>0</v>
      </c>
    </row>
    <row r="403" spans="3:15" ht="14.25" thickBot="1">
      <c r="C403" s="1847" t="s">
        <v>3694</v>
      </c>
      <c r="D403" s="1863">
        <f t="shared" si="137"/>
        <v>57400</v>
      </c>
      <c r="E403" s="1863">
        <f t="shared" si="137"/>
        <v>57400</v>
      </c>
      <c r="F403" s="1863">
        <f t="shared" si="137"/>
        <v>57400</v>
      </c>
      <c r="G403" s="1863">
        <f t="shared" si="137"/>
        <v>57400</v>
      </c>
      <c r="H403" s="1863">
        <f t="shared" si="137"/>
        <v>57400</v>
      </c>
      <c r="I403" s="1863">
        <f t="shared" si="137"/>
        <v>57400</v>
      </c>
      <c r="J403" s="1863">
        <f t="shared" si="137"/>
        <v>57400</v>
      </c>
      <c r="K403" s="1863">
        <f t="shared" si="137"/>
        <v>57400</v>
      </c>
      <c r="L403" s="1863">
        <f t="shared" si="137"/>
        <v>57400</v>
      </c>
      <c r="M403" s="1863">
        <f t="shared" si="137"/>
        <v>57400</v>
      </c>
      <c r="N403" s="1863">
        <f t="shared" si="137"/>
        <v>57400</v>
      </c>
      <c r="O403" s="1863">
        <f t="shared" si="137"/>
        <v>57400</v>
      </c>
    </row>
    <row r="404" spans="3:15" ht="14.25" thickBot="1">
      <c r="C404" s="1847" t="s">
        <v>3695</v>
      </c>
      <c r="D404" s="1863">
        <f t="shared" si="137"/>
        <v>10600</v>
      </c>
      <c r="E404" s="1863">
        <f t="shared" si="137"/>
        <v>10600</v>
      </c>
      <c r="F404" s="1863">
        <f t="shared" si="137"/>
        <v>10600</v>
      </c>
      <c r="G404" s="1863">
        <f t="shared" si="137"/>
        <v>10600</v>
      </c>
      <c r="H404" s="1863">
        <f t="shared" si="137"/>
        <v>10600</v>
      </c>
      <c r="I404" s="1863">
        <f t="shared" si="137"/>
        <v>10600</v>
      </c>
      <c r="J404" s="1863">
        <f t="shared" si="137"/>
        <v>10600</v>
      </c>
      <c r="K404" s="1863">
        <f t="shared" si="137"/>
        <v>10600</v>
      </c>
      <c r="L404" s="1863">
        <f t="shared" si="137"/>
        <v>10600</v>
      </c>
      <c r="M404" s="1863">
        <f t="shared" si="137"/>
        <v>10600</v>
      </c>
      <c r="N404" s="1863">
        <f t="shared" si="137"/>
        <v>10600</v>
      </c>
      <c r="O404" s="1863">
        <f t="shared" si="137"/>
        <v>10600</v>
      </c>
    </row>
    <row r="405" spans="3:15" ht="14.25" thickBot="1">
      <c r="C405" s="1847" t="s">
        <v>3696</v>
      </c>
      <c r="D405" s="1863">
        <f t="shared" si="137"/>
        <v>6888.3606140000002</v>
      </c>
      <c r="E405" s="1863">
        <f t="shared" si="137"/>
        <v>6888.3606140000002</v>
      </c>
      <c r="F405" s="1863">
        <f t="shared" si="137"/>
        <v>6888.3606140000002</v>
      </c>
      <c r="G405" s="1863">
        <f t="shared" si="137"/>
        <v>6888.3606140000002</v>
      </c>
      <c r="H405" s="1863">
        <f t="shared" si="137"/>
        <v>6888.3606140000002</v>
      </c>
      <c r="I405" s="1863">
        <f t="shared" si="137"/>
        <v>6888.3606140000002</v>
      </c>
      <c r="J405" s="1863">
        <f t="shared" si="137"/>
        <v>6888.3606140000002</v>
      </c>
      <c r="K405" s="1863">
        <f t="shared" si="137"/>
        <v>6888.3606140000002</v>
      </c>
      <c r="L405" s="1863">
        <f t="shared" si="137"/>
        <v>6888.3606140000002</v>
      </c>
      <c r="M405" s="1863">
        <f t="shared" si="137"/>
        <v>6888.3606140000002</v>
      </c>
      <c r="N405" s="1863">
        <f t="shared" si="137"/>
        <v>6888.3606140000002</v>
      </c>
      <c r="O405" s="1863">
        <f t="shared" si="137"/>
        <v>6888.3606140000002</v>
      </c>
    </row>
    <row r="406" spans="3:15" ht="14.25" thickBot="1">
      <c r="C406" s="1847" t="s">
        <v>3697</v>
      </c>
      <c r="D406" s="1863">
        <f t="shared" ca="1" si="137"/>
        <v>0</v>
      </c>
      <c r="E406" s="1863">
        <f t="shared" ca="1" si="137"/>
        <v>0</v>
      </c>
      <c r="F406" s="1863">
        <f t="shared" ca="1" si="137"/>
        <v>0</v>
      </c>
      <c r="G406" s="1863">
        <f t="shared" ca="1" si="137"/>
        <v>0</v>
      </c>
      <c r="H406" s="1863">
        <f t="shared" ca="1" si="137"/>
        <v>0</v>
      </c>
      <c r="I406" s="1863">
        <f t="shared" ca="1" si="137"/>
        <v>0</v>
      </c>
      <c r="J406" s="1863">
        <f t="shared" ca="1" si="137"/>
        <v>0</v>
      </c>
      <c r="K406" s="1863">
        <f t="shared" ca="1" si="137"/>
        <v>0</v>
      </c>
      <c r="L406" s="1863">
        <f t="shared" ca="1" si="137"/>
        <v>0</v>
      </c>
      <c r="M406" s="1863">
        <f t="shared" ca="1" si="137"/>
        <v>0</v>
      </c>
      <c r="N406" s="1863">
        <f t="shared" ca="1" si="137"/>
        <v>0</v>
      </c>
      <c r="O406" s="1863">
        <f t="shared" ca="1" si="137"/>
        <v>0</v>
      </c>
    </row>
    <row r="407" spans="3:15" ht="14.25" thickBot="1">
      <c r="C407" s="1847" t="s">
        <v>3698</v>
      </c>
      <c r="D407" s="1863">
        <f t="shared" ca="1" si="137"/>
        <v>8105.5476601660121</v>
      </c>
      <c r="E407" s="1863">
        <f t="shared" ca="1" si="137"/>
        <v>11197.093067616166</v>
      </c>
      <c r="F407" s="1863">
        <f t="shared" ca="1" si="137"/>
        <v>13821.981779300115</v>
      </c>
      <c r="G407" s="1863">
        <f t="shared" ca="1" si="137"/>
        <v>16092.765162400225</v>
      </c>
      <c r="H407" s="1863">
        <f t="shared" ca="1" si="137"/>
        <v>17072.07416685209</v>
      </c>
      <c r="I407" s="1863">
        <f t="shared" ca="1" si="137"/>
        <v>19106.105615991379</v>
      </c>
      <c r="J407" s="1863">
        <f t="shared" ca="1" si="137"/>
        <v>20273.590088126995</v>
      </c>
      <c r="K407" s="1863">
        <f t="shared" ca="1" si="137"/>
        <v>22481.621764076994</v>
      </c>
      <c r="L407" s="1863">
        <f t="shared" ca="1" si="137"/>
        <v>24832.736616601353</v>
      </c>
      <c r="M407" s="1863">
        <f t="shared" ca="1" si="137"/>
        <v>25513.716477884805</v>
      </c>
      <c r="N407" s="1863">
        <f t="shared" ca="1" si="137"/>
        <v>24736.939472625789</v>
      </c>
      <c r="O407" s="1863">
        <f t="shared" ca="1" si="137"/>
        <v>21471.927717352428</v>
      </c>
    </row>
    <row r="408" spans="3:15" ht="14.25" thickBot="1">
      <c r="C408" s="1862" t="s">
        <v>723</v>
      </c>
      <c r="D408" s="1863">
        <f t="shared" ca="1" si="137"/>
        <v>82993.90827416601</v>
      </c>
      <c r="E408" s="1863">
        <f t="shared" ca="1" si="137"/>
        <v>86085.453681616156</v>
      </c>
      <c r="F408" s="1863">
        <f t="shared" ca="1" si="137"/>
        <v>88710.342393300103</v>
      </c>
      <c r="G408" s="1863">
        <f t="shared" ca="1" si="137"/>
        <v>90981.125776400222</v>
      </c>
      <c r="H408" s="1863">
        <f t="shared" ca="1" si="137"/>
        <v>91960.434780852083</v>
      </c>
      <c r="I408" s="1863">
        <f t="shared" ca="1" si="137"/>
        <v>93994.466229991376</v>
      </c>
      <c r="J408" s="1863">
        <f t="shared" ca="1" si="137"/>
        <v>95161.950702126996</v>
      </c>
      <c r="K408" s="1863">
        <f t="shared" ca="1" si="137"/>
        <v>97369.982378076995</v>
      </c>
      <c r="L408" s="1863">
        <f t="shared" ca="1" si="137"/>
        <v>99721.097230601343</v>
      </c>
      <c r="M408" s="1863">
        <f t="shared" ca="1" si="137"/>
        <v>100402.0770918848</v>
      </c>
      <c r="N408" s="1863">
        <f t="shared" ca="1" si="137"/>
        <v>99625.300086625793</v>
      </c>
      <c r="O408" s="1863">
        <f t="shared" ca="1" si="137"/>
        <v>96360.288331352422</v>
      </c>
    </row>
    <row r="410" spans="3:15" ht="14.25" thickBot="1"/>
    <row r="411" spans="3:15" ht="14.25" thickBot="1">
      <c r="C411" s="1860" t="s">
        <v>48</v>
      </c>
      <c r="D411" s="1866">
        <f>AC351</f>
        <v>2047</v>
      </c>
      <c r="E411" s="1866">
        <f t="shared" ref="E411:O426" si="138">AD351</f>
        <v>2048</v>
      </c>
      <c r="F411" s="1866">
        <f t="shared" si="138"/>
        <v>2049</v>
      </c>
      <c r="G411" s="1866">
        <f t="shared" si="138"/>
        <v>2050</v>
      </c>
      <c r="H411" s="1866">
        <f t="shared" si="138"/>
        <v>2051</v>
      </c>
      <c r="I411" s="1866">
        <f t="shared" si="138"/>
        <v>2052</v>
      </c>
      <c r="J411" s="1866">
        <f t="shared" si="138"/>
        <v>2053</v>
      </c>
      <c r="K411" s="1866">
        <f t="shared" si="138"/>
        <v>2054</v>
      </c>
      <c r="L411" s="1866">
        <f t="shared" si="138"/>
        <v>2055</v>
      </c>
      <c r="M411" s="1866">
        <f t="shared" si="138"/>
        <v>2056</v>
      </c>
      <c r="N411" s="1866">
        <f t="shared" si="138"/>
        <v>2057</v>
      </c>
      <c r="O411" s="1866">
        <f t="shared" si="138"/>
        <v>2058</v>
      </c>
    </row>
    <row r="412" spans="3:15" ht="14.25" thickBot="1">
      <c r="C412" s="1862" t="s">
        <v>3679</v>
      </c>
      <c r="D412" s="1863">
        <f t="shared" ref="D412:O436" ca="1" si="139">AC352</f>
        <v>34257.077864244959</v>
      </c>
      <c r="E412" s="1863">
        <f t="shared" ca="1" si="138"/>
        <v>40565.489577279048</v>
      </c>
      <c r="F412" s="1863">
        <f t="shared" ca="1" si="138"/>
        <v>43412.439973299624</v>
      </c>
      <c r="G412" s="1863">
        <f t="shared" ca="1" si="138"/>
        <v>50838.683240671773</v>
      </c>
      <c r="H412" s="1863">
        <f t="shared" ca="1" si="138"/>
        <v>53916.802391708596</v>
      </c>
      <c r="I412" s="1863">
        <f t="shared" ca="1" si="138"/>
        <v>59198.756697284829</v>
      </c>
      <c r="J412" s="1863">
        <f t="shared" ca="1" si="138"/>
        <v>65944.129864147137</v>
      </c>
      <c r="K412" s="1863">
        <f t="shared" ca="1" si="138"/>
        <v>72025.525582070899</v>
      </c>
      <c r="L412" s="1863">
        <f t="shared" ca="1" si="138"/>
        <v>78350.009551405528</v>
      </c>
      <c r="M412" s="1863">
        <f t="shared" ca="1" si="138"/>
        <v>84045.443719814532</v>
      </c>
      <c r="N412" s="1863">
        <f t="shared" ca="1" si="138"/>
        <v>90981.916907540508</v>
      </c>
      <c r="O412" s="1863">
        <f t="shared" ca="1" si="138"/>
        <v>95628.900187466585</v>
      </c>
    </row>
    <row r="413" spans="3:15" ht="14.25" thickBot="1">
      <c r="C413" s="1847" t="s">
        <v>3680</v>
      </c>
      <c r="D413" s="1863">
        <f t="shared" ca="1" si="139"/>
        <v>17448.789605051305</v>
      </c>
      <c r="E413" s="1863">
        <f t="shared" ca="1" si="138"/>
        <v>23757.201318085397</v>
      </c>
      <c r="F413" s="1863">
        <f t="shared" ca="1" si="138"/>
        <v>26604.151714105978</v>
      </c>
      <c r="G413" s="1863">
        <f t="shared" ca="1" si="138"/>
        <v>34030.39498147813</v>
      </c>
      <c r="H413" s="1863">
        <f t="shared" ca="1" si="138"/>
        <v>37108.514132514945</v>
      </c>
      <c r="I413" s="1863">
        <f t="shared" ca="1" si="138"/>
        <v>42390.468438091179</v>
      </c>
      <c r="J413" s="1863">
        <f t="shared" ca="1" si="138"/>
        <v>49135.841604953479</v>
      </c>
      <c r="K413" s="1863">
        <f t="shared" ca="1" si="138"/>
        <v>55217.237322877249</v>
      </c>
      <c r="L413" s="1863">
        <f t="shared" ca="1" si="138"/>
        <v>61541.721292211878</v>
      </c>
      <c r="M413" s="1863">
        <f t="shared" ca="1" si="138"/>
        <v>67237.155460620881</v>
      </c>
      <c r="N413" s="1863">
        <f t="shared" ca="1" si="138"/>
        <v>74173.628648346858</v>
      </c>
      <c r="O413" s="1863">
        <f t="shared" ca="1" si="138"/>
        <v>78820.611928272934</v>
      </c>
    </row>
    <row r="414" spans="3:15" ht="14.25" thickBot="1">
      <c r="C414" s="1847" t="s">
        <v>3681</v>
      </c>
      <c r="D414" s="1863">
        <f t="shared" ca="1" si="139"/>
        <v>11022.455417193649</v>
      </c>
      <c r="E414" s="1863">
        <f t="shared" ca="1" si="138"/>
        <v>11022.455417193649</v>
      </c>
      <c r="F414" s="1863">
        <f t="shared" ca="1" si="138"/>
        <v>11022.455417193649</v>
      </c>
      <c r="G414" s="1863">
        <f t="shared" ca="1" si="138"/>
        <v>11022.455417193649</v>
      </c>
      <c r="H414" s="1863">
        <f t="shared" ca="1" si="138"/>
        <v>11022.455417193649</v>
      </c>
      <c r="I414" s="1863">
        <f t="shared" ca="1" si="138"/>
        <v>11022.455417193649</v>
      </c>
      <c r="J414" s="1863">
        <f t="shared" ca="1" si="138"/>
        <v>11022.455417193649</v>
      </c>
      <c r="K414" s="1863">
        <f t="shared" ca="1" si="138"/>
        <v>11022.455417193649</v>
      </c>
      <c r="L414" s="1863">
        <f t="shared" ca="1" si="138"/>
        <v>11022.455417193649</v>
      </c>
      <c r="M414" s="1863">
        <f t="shared" ca="1" si="138"/>
        <v>11022.455417193649</v>
      </c>
      <c r="N414" s="1863">
        <f t="shared" ca="1" si="138"/>
        <v>11022.455417193649</v>
      </c>
      <c r="O414" s="1863">
        <f t="shared" ca="1" si="138"/>
        <v>11022.455417193649</v>
      </c>
    </row>
    <row r="415" spans="3:15" ht="14.25" thickBot="1">
      <c r="C415" s="1847" t="s">
        <v>3682</v>
      </c>
      <c r="D415" s="1863">
        <f t="shared" ca="1" si="139"/>
        <v>5785.8328420000053</v>
      </c>
      <c r="E415" s="1863">
        <f t="shared" ca="1" si="138"/>
        <v>5785.8328420000016</v>
      </c>
      <c r="F415" s="1863">
        <f t="shared" ca="1" si="138"/>
        <v>5785.832841999998</v>
      </c>
      <c r="G415" s="1863">
        <f t="shared" ca="1" si="138"/>
        <v>5785.8328419999943</v>
      </c>
      <c r="H415" s="1863">
        <f t="shared" ca="1" si="138"/>
        <v>5785.8328420000016</v>
      </c>
      <c r="I415" s="1863">
        <f t="shared" ca="1" si="138"/>
        <v>5785.8328420000016</v>
      </c>
      <c r="J415" s="1863">
        <f t="shared" ca="1" si="138"/>
        <v>5785.8328420000089</v>
      </c>
      <c r="K415" s="1863">
        <f t="shared" ca="1" si="138"/>
        <v>5785.8328420000016</v>
      </c>
      <c r="L415" s="1863">
        <f t="shared" ca="1" si="138"/>
        <v>5785.8328420000016</v>
      </c>
      <c r="M415" s="1863">
        <f t="shared" ca="1" si="138"/>
        <v>5785.8328420000016</v>
      </c>
      <c r="N415" s="1863">
        <f t="shared" ca="1" si="138"/>
        <v>5785.8328420000016</v>
      </c>
      <c r="O415" s="1863">
        <f t="shared" ca="1" si="138"/>
        <v>5785.8328420000016</v>
      </c>
    </row>
    <row r="416" spans="3:15" ht="14.25" thickBot="1">
      <c r="C416" s="1862" t="s">
        <v>3683</v>
      </c>
      <c r="D416" s="1863">
        <f t="shared" ca="1" si="139"/>
        <v>63191.785403530244</v>
      </c>
      <c r="E416" s="1863">
        <f t="shared" ca="1" si="138"/>
        <v>58723.836958573382</v>
      </c>
      <c r="F416" s="1863">
        <f t="shared" ca="1" si="138"/>
        <v>55458.411831442616</v>
      </c>
      <c r="G416" s="1863">
        <f t="shared" ca="1" si="138"/>
        <v>49483.453358202729</v>
      </c>
      <c r="H416" s="1863">
        <f t="shared" ca="1" si="138"/>
        <v>48215.447352714298</v>
      </c>
      <c r="I416" s="1863">
        <f t="shared" ca="1" si="138"/>
        <v>43224.878439873733</v>
      </c>
      <c r="J416" s="1863">
        <f t="shared" ca="1" si="138"/>
        <v>37340.340740192783</v>
      </c>
      <c r="K416" s="1863">
        <f t="shared" ca="1" si="138"/>
        <v>33684.555739015748</v>
      </c>
      <c r="L416" s="1863">
        <f t="shared" ca="1" si="138"/>
        <v>28080.814305260257</v>
      </c>
      <c r="M416" s="1863">
        <f t="shared" ca="1" si="138"/>
        <v>23519.793047992618</v>
      </c>
      <c r="N416" s="1863">
        <f t="shared" ca="1" si="138"/>
        <v>18501.593987731278</v>
      </c>
      <c r="O416" s="1863">
        <f t="shared" ca="1" si="138"/>
        <v>14843.94938914337</v>
      </c>
    </row>
    <row r="417" spans="3:15" ht="14.25" thickBot="1">
      <c r="C417" s="1847" t="s">
        <v>3684</v>
      </c>
      <c r="D417" s="1863">
        <f t="shared" si="139"/>
        <v>31132.021011506517</v>
      </c>
      <c r="E417" s="1863">
        <f t="shared" si="138"/>
        <v>28424.888749636386</v>
      </c>
      <c r="F417" s="1863">
        <f t="shared" si="138"/>
        <v>25717.756487766252</v>
      </c>
      <c r="G417" s="1863">
        <f t="shared" si="138"/>
        <v>23010.624225896121</v>
      </c>
      <c r="H417" s="1863">
        <f t="shared" si="138"/>
        <v>20303.49196402599</v>
      </c>
      <c r="I417" s="1863">
        <f t="shared" si="138"/>
        <v>17596.359702155856</v>
      </c>
      <c r="J417" s="1863">
        <f t="shared" si="138"/>
        <v>14889.227440285726</v>
      </c>
      <c r="K417" s="1863">
        <f t="shared" si="138"/>
        <v>12182.095178415593</v>
      </c>
      <c r="L417" s="1863">
        <f t="shared" si="138"/>
        <v>9474.9629165454626</v>
      </c>
      <c r="M417" s="1863">
        <f t="shared" si="138"/>
        <v>6767.8306546753302</v>
      </c>
      <c r="N417" s="1863">
        <f t="shared" si="138"/>
        <v>4060.6983928051982</v>
      </c>
      <c r="O417" s="1863">
        <f t="shared" si="138"/>
        <v>1353.5661309350662</v>
      </c>
    </row>
    <row r="418" spans="3:15" ht="14.25" thickBot="1">
      <c r="C418" s="1847" t="s">
        <v>3685</v>
      </c>
      <c r="D418" s="1863">
        <f t="shared" ca="1" si="139"/>
        <v>31869.588782023719</v>
      </c>
      <c r="E418" s="1863">
        <f t="shared" ca="1" si="138"/>
        <v>30108.77259893699</v>
      </c>
      <c r="F418" s="1863">
        <f t="shared" ca="1" si="138"/>
        <v>29550.479733676355</v>
      </c>
      <c r="G418" s="1863">
        <f t="shared" ca="1" si="138"/>
        <v>26282.653522306606</v>
      </c>
      <c r="H418" s="1863">
        <f t="shared" ca="1" si="138"/>
        <v>27721.779778688313</v>
      </c>
      <c r="I418" s="1863">
        <f t="shared" ca="1" si="138"/>
        <v>25438.343127717879</v>
      </c>
      <c r="J418" s="1863">
        <f t="shared" ca="1" si="138"/>
        <v>22260.937689907059</v>
      </c>
      <c r="K418" s="1863">
        <f t="shared" ca="1" si="138"/>
        <v>21312.284950600151</v>
      </c>
      <c r="L418" s="1863">
        <f t="shared" ca="1" si="138"/>
        <v>18415.675778714798</v>
      </c>
      <c r="M418" s="1863">
        <f t="shared" ca="1" si="138"/>
        <v>16561.78678331729</v>
      </c>
      <c r="N418" s="1863">
        <f t="shared" ca="1" si="138"/>
        <v>14250.719984926078</v>
      </c>
      <c r="O418" s="1863">
        <f t="shared" ca="1" si="138"/>
        <v>13300.207648208303</v>
      </c>
    </row>
    <row r="419" spans="3:15" ht="14.25" thickBot="1">
      <c r="C419" s="1847" t="s">
        <v>3686</v>
      </c>
      <c r="D419" s="1863">
        <f t="shared" ca="1" si="139"/>
        <v>190.17561000000933</v>
      </c>
      <c r="E419" s="1863">
        <f t="shared" ca="1" si="138"/>
        <v>190.17561000000569</v>
      </c>
      <c r="F419" s="1863">
        <f t="shared" ca="1" si="138"/>
        <v>190.17561000000933</v>
      </c>
      <c r="G419" s="1863">
        <f t="shared" ca="1" si="138"/>
        <v>190.17561000000205</v>
      </c>
      <c r="H419" s="1863">
        <f t="shared" ca="1" si="138"/>
        <v>190.17560999999478</v>
      </c>
      <c r="I419" s="1863">
        <f t="shared" ca="1" si="138"/>
        <v>190.17560999999841</v>
      </c>
      <c r="J419" s="1863">
        <f t="shared" ca="1" si="138"/>
        <v>190.17560999999841</v>
      </c>
      <c r="K419" s="1863">
        <f t="shared" ca="1" si="138"/>
        <v>190.17561000000569</v>
      </c>
      <c r="L419" s="1863">
        <f t="shared" ca="1" si="138"/>
        <v>190.17560999999478</v>
      </c>
      <c r="M419" s="1863">
        <f t="shared" ca="1" si="138"/>
        <v>190.17560999999841</v>
      </c>
      <c r="N419" s="1863">
        <f t="shared" ca="1" si="138"/>
        <v>190.17561000000205</v>
      </c>
      <c r="O419" s="1863">
        <f t="shared" ca="1" si="138"/>
        <v>190.17561000000205</v>
      </c>
    </row>
    <row r="420" spans="3:15" ht="14.25" thickBot="1">
      <c r="C420" s="1862" t="s">
        <v>688</v>
      </c>
      <c r="D420" s="1863">
        <f t="shared" ca="1" si="139"/>
        <v>97448.863267775203</v>
      </c>
      <c r="E420" s="1863">
        <f t="shared" ca="1" si="138"/>
        <v>99289.326535852437</v>
      </c>
      <c r="F420" s="1863">
        <f t="shared" ca="1" si="138"/>
        <v>98870.85180474224</v>
      </c>
      <c r="G420" s="1863">
        <f t="shared" ca="1" si="138"/>
        <v>100322.13659887449</v>
      </c>
      <c r="H420" s="1863">
        <f t="shared" ca="1" si="138"/>
        <v>102132.24974442289</v>
      </c>
      <c r="I420" s="1863">
        <f t="shared" ca="1" si="138"/>
        <v>102423.63513715856</v>
      </c>
      <c r="J420" s="1863">
        <f t="shared" ca="1" si="138"/>
        <v>103284.47060433991</v>
      </c>
      <c r="K420" s="1863">
        <f t="shared" ca="1" si="138"/>
        <v>105710.08132108663</v>
      </c>
      <c r="L420" s="1863">
        <f t="shared" ca="1" si="138"/>
        <v>106430.82385666578</v>
      </c>
      <c r="M420" s="1863">
        <f t="shared" ca="1" si="138"/>
        <v>107565.23676780716</v>
      </c>
      <c r="N420" s="1863">
        <f t="shared" ca="1" si="138"/>
        <v>109483.51089527177</v>
      </c>
      <c r="O420" s="1863">
        <f t="shared" ca="1" si="138"/>
        <v>110472.84957660995</v>
      </c>
    </row>
    <row r="421" spans="3:15" ht="14.25" thickBot="1">
      <c r="C421" s="1862" t="s">
        <v>3687</v>
      </c>
      <c r="D421" s="1863">
        <f t="shared" ca="1" si="139"/>
        <v>2994.8952698828316</v>
      </c>
      <c r="E421" s="1863">
        <f t="shared" ca="1" si="138"/>
        <v>3312.7683741414544</v>
      </c>
      <c r="F421" s="1863">
        <f t="shared" ca="1" si="138"/>
        <v>2967.2356465489556</v>
      </c>
      <c r="G421" s="1863">
        <f t="shared" ca="1" si="138"/>
        <v>3233.0599645097136</v>
      </c>
      <c r="H421" s="1863">
        <f t="shared" ca="1" si="138"/>
        <v>3420.552886288081</v>
      </c>
      <c r="I421" s="1863">
        <f t="shared" ca="1" si="138"/>
        <v>3212.5431775766237</v>
      </c>
      <c r="J421" s="1863">
        <f t="shared" ca="1" si="138"/>
        <v>3268.1170280437186</v>
      </c>
      <c r="K421" s="1863">
        <f t="shared" ca="1" si="138"/>
        <v>3630.3554255208846</v>
      </c>
      <c r="L421" s="1863">
        <f t="shared" ca="1" si="138"/>
        <v>3453.4446504026191</v>
      </c>
      <c r="M421" s="1863">
        <f t="shared" ca="1" si="138"/>
        <v>3508.3150310866399</v>
      </c>
      <c r="N421" s="1863">
        <f t="shared" ca="1" si="138"/>
        <v>3711.7362563760466</v>
      </c>
      <c r="O421" s="1863">
        <f t="shared" ca="1" si="138"/>
        <v>3626.4831284717766</v>
      </c>
    </row>
    <row r="422" spans="3:15" ht="14.25" thickBot="1">
      <c r="C422" s="1847" t="s">
        <v>3688</v>
      </c>
      <c r="D422" s="1863">
        <f t="shared" si="139"/>
        <v>2046.6922730000001</v>
      </c>
      <c r="E422" s="1863">
        <f t="shared" si="138"/>
        <v>2046.6922730000001</v>
      </c>
      <c r="F422" s="1863">
        <f t="shared" si="138"/>
        <v>2046.6922730000001</v>
      </c>
      <c r="G422" s="1863">
        <f t="shared" si="138"/>
        <v>2046.6922730000001</v>
      </c>
      <c r="H422" s="1863">
        <f t="shared" si="138"/>
        <v>2046.6922730000001</v>
      </c>
      <c r="I422" s="1863">
        <f t="shared" si="138"/>
        <v>2046.6922730000001</v>
      </c>
      <c r="J422" s="1863">
        <f t="shared" si="138"/>
        <v>2046.6922730000001</v>
      </c>
      <c r="K422" s="1863">
        <f t="shared" si="138"/>
        <v>2046.6922730000001</v>
      </c>
      <c r="L422" s="1863">
        <f t="shared" si="138"/>
        <v>2046.6922730000001</v>
      </c>
      <c r="M422" s="1863">
        <f t="shared" si="138"/>
        <v>2046.6922730000001</v>
      </c>
      <c r="N422" s="1863">
        <f t="shared" si="138"/>
        <v>2046.6922730000001</v>
      </c>
      <c r="O422" s="1863">
        <f t="shared" si="138"/>
        <v>2046.6922730000001</v>
      </c>
    </row>
    <row r="423" spans="3:15" ht="14.25" thickBot="1">
      <c r="C423" s="1847" t="s">
        <v>3689</v>
      </c>
      <c r="D423" s="1863">
        <f t="shared" ca="1" si="139"/>
        <v>948.20299688283148</v>
      </c>
      <c r="E423" s="1863">
        <f t="shared" ca="1" si="138"/>
        <v>1266.0761011414543</v>
      </c>
      <c r="F423" s="1863">
        <f t="shared" ca="1" si="138"/>
        <v>920.54337354895551</v>
      </c>
      <c r="G423" s="1863">
        <f t="shared" ca="1" si="138"/>
        <v>1186.3676915097135</v>
      </c>
      <c r="H423" s="1863">
        <f t="shared" ca="1" si="138"/>
        <v>1373.8606132880809</v>
      </c>
      <c r="I423" s="1863">
        <f t="shared" ca="1" si="138"/>
        <v>1165.8509045766236</v>
      </c>
      <c r="J423" s="1863">
        <f t="shared" ca="1" si="138"/>
        <v>1221.4247550437185</v>
      </c>
      <c r="K423" s="1863">
        <f t="shared" ca="1" si="138"/>
        <v>1583.6631525208845</v>
      </c>
      <c r="L423" s="1863">
        <f t="shared" ca="1" si="138"/>
        <v>1406.752377402619</v>
      </c>
      <c r="M423" s="1863">
        <f t="shared" ca="1" si="138"/>
        <v>1461.6227580866398</v>
      </c>
      <c r="N423" s="1863">
        <f t="shared" ca="1" si="138"/>
        <v>1665.0439833760465</v>
      </c>
      <c r="O423" s="1863">
        <f t="shared" ca="1" si="138"/>
        <v>1579.7908554717765</v>
      </c>
    </row>
    <row r="424" spans="3:15" ht="14.25" thickBot="1">
      <c r="C424" s="1862" t="s">
        <v>3690</v>
      </c>
      <c r="D424" s="1863">
        <f t="shared" ca="1" si="139"/>
        <v>705.40243299999997</v>
      </c>
      <c r="E424" s="1863">
        <f t="shared" ca="1" si="138"/>
        <v>705.40243299999997</v>
      </c>
      <c r="F424" s="1863">
        <f t="shared" ca="1" si="138"/>
        <v>705.40243299999997</v>
      </c>
      <c r="G424" s="1863">
        <f t="shared" ca="1" si="138"/>
        <v>705.40243299999997</v>
      </c>
      <c r="H424" s="1863">
        <f t="shared" ca="1" si="138"/>
        <v>705.40243299999997</v>
      </c>
      <c r="I424" s="1863">
        <f t="shared" ca="1" si="138"/>
        <v>705.40243299999997</v>
      </c>
      <c r="J424" s="1863">
        <f t="shared" ca="1" si="138"/>
        <v>705.40243299999997</v>
      </c>
      <c r="K424" s="1863">
        <f t="shared" ca="1" si="138"/>
        <v>705.40243299999997</v>
      </c>
      <c r="L424" s="1863">
        <f t="shared" ca="1" si="138"/>
        <v>705.40243299999997</v>
      </c>
      <c r="M424" s="1863">
        <f t="shared" ca="1" si="138"/>
        <v>705.40243299999997</v>
      </c>
      <c r="N424" s="1863">
        <f t="shared" ca="1" si="138"/>
        <v>705.40243299999997</v>
      </c>
      <c r="O424" s="1863">
        <f t="shared" ca="1" si="138"/>
        <v>705.40243299999997</v>
      </c>
    </row>
    <row r="425" spans="3:15" ht="14.25" thickBot="1">
      <c r="C425" s="1847" t="s">
        <v>707</v>
      </c>
      <c r="D425" s="1863">
        <f t="shared" si="139"/>
        <v>0</v>
      </c>
      <c r="E425" s="1863">
        <f t="shared" si="138"/>
        <v>0</v>
      </c>
      <c r="F425" s="1863">
        <f t="shared" si="138"/>
        <v>0</v>
      </c>
      <c r="G425" s="1863">
        <f t="shared" si="138"/>
        <v>0</v>
      </c>
      <c r="H425" s="1863">
        <f t="shared" si="138"/>
        <v>0</v>
      </c>
      <c r="I425" s="1863">
        <f t="shared" si="138"/>
        <v>0</v>
      </c>
      <c r="J425" s="1863">
        <f t="shared" si="138"/>
        <v>0</v>
      </c>
      <c r="K425" s="1863">
        <f t="shared" si="138"/>
        <v>0</v>
      </c>
      <c r="L425" s="1863">
        <f t="shared" si="138"/>
        <v>0</v>
      </c>
      <c r="M425" s="1863">
        <f t="shared" si="138"/>
        <v>0</v>
      </c>
      <c r="N425" s="1863">
        <f t="shared" si="138"/>
        <v>0</v>
      </c>
      <c r="O425" s="1863">
        <f t="shared" si="138"/>
        <v>0</v>
      </c>
    </row>
    <row r="426" spans="3:15" ht="14.25" thickBot="1">
      <c r="C426" s="1847" t="s">
        <v>695</v>
      </c>
      <c r="D426" s="1863">
        <f t="shared" si="139"/>
        <v>0</v>
      </c>
      <c r="E426" s="1863">
        <f t="shared" si="138"/>
        <v>0</v>
      </c>
      <c r="F426" s="1863">
        <f t="shared" si="138"/>
        <v>0</v>
      </c>
      <c r="G426" s="1863">
        <f t="shared" si="138"/>
        <v>0</v>
      </c>
      <c r="H426" s="1863">
        <f t="shared" si="138"/>
        <v>0</v>
      </c>
      <c r="I426" s="1863">
        <f t="shared" si="138"/>
        <v>0</v>
      </c>
      <c r="J426" s="1863">
        <f t="shared" si="138"/>
        <v>0</v>
      </c>
      <c r="K426" s="1863">
        <f t="shared" si="138"/>
        <v>0</v>
      </c>
      <c r="L426" s="1863">
        <f t="shared" si="138"/>
        <v>0</v>
      </c>
      <c r="M426" s="1863">
        <f t="shared" si="138"/>
        <v>0</v>
      </c>
      <c r="N426" s="1863">
        <f t="shared" si="138"/>
        <v>0</v>
      </c>
      <c r="O426" s="1863">
        <f t="shared" si="138"/>
        <v>0</v>
      </c>
    </row>
    <row r="427" spans="3:15" ht="14.25" thickBot="1">
      <c r="C427" s="1847" t="s">
        <v>3691</v>
      </c>
      <c r="D427" s="1863">
        <f t="shared" ca="1" si="139"/>
        <v>0</v>
      </c>
      <c r="E427" s="1863">
        <f t="shared" ca="1" si="139"/>
        <v>0</v>
      </c>
      <c r="F427" s="1863">
        <f t="shared" ca="1" si="139"/>
        <v>0</v>
      </c>
      <c r="G427" s="1863">
        <f t="shared" ca="1" si="139"/>
        <v>0</v>
      </c>
      <c r="H427" s="1863">
        <f t="shared" ca="1" si="139"/>
        <v>0</v>
      </c>
      <c r="I427" s="1863">
        <f t="shared" ca="1" si="139"/>
        <v>0</v>
      </c>
      <c r="J427" s="1863">
        <f t="shared" ca="1" si="139"/>
        <v>0</v>
      </c>
      <c r="K427" s="1863">
        <f t="shared" ca="1" si="139"/>
        <v>0</v>
      </c>
      <c r="L427" s="1863">
        <f t="shared" ca="1" si="139"/>
        <v>0</v>
      </c>
      <c r="M427" s="1863">
        <f t="shared" ca="1" si="139"/>
        <v>0</v>
      </c>
      <c r="N427" s="1863">
        <f t="shared" ca="1" si="139"/>
        <v>0</v>
      </c>
      <c r="O427" s="1863">
        <f t="shared" ca="1" si="139"/>
        <v>0</v>
      </c>
    </row>
    <row r="428" spans="3:15" ht="14.25" thickBot="1">
      <c r="C428" s="1847" t="s">
        <v>3692</v>
      </c>
      <c r="D428" s="1863">
        <f t="shared" ca="1" si="139"/>
        <v>705.40243299999997</v>
      </c>
      <c r="E428" s="1863">
        <f t="shared" ca="1" si="139"/>
        <v>705.40243299999997</v>
      </c>
      <c r="F428" s="1863">
        <f t="shared" ca="1" si="139"/>
        <v>705.40243299999997</v>
      </c>
      <c r="G428" s="1863">
        <f t="shared" ca="1" si="139"/>
        <v>705.40243299999997</v>
      </c>
      <c r="H428" s="1863">
        <f t="shared" ca="1" si="139"/>
        <v>705.40243299999997</v>
      </c>
      <c r="I428" s="1863">
        <f t="shared" ca="1" si="139"/>
        <v>705.40243299999997</v>
      </c>
      <c r="J428" s="1863">
        <f t="shared" ca="1" si="139"/>
        <v>705.40243299999997</v>
      </c>
      <c r="K428" s="1863">
        <f t="shared" ca="1" si="139"/>
        <v>705.40243299999997</v>
      </c>
      <c r="L428" s="1863">
        <f t="shared" ca="1" si="139"/>
        <v>705.40243299999997</v>
      </c>
      <c r="M428" s="1863">
        <f t="shared" ca="1" si="139"/>
        <v>705.40243299999997</v>
      </c>
      <c r="N428" s="1863">
        <f t="shared" ca="1" si="139"/>
        <v>705.40243299999997</v>
      </c>
      <c r="O428" s="1863">
        <f t="shared" ca="1" si="139"/>
        <v>705.40243299999997</v>
      </c>
    </row>
    <row r="429" spans="3:15" ht="14.25" thickBot="1">
      <c r="C429" s="1862" t="s">
        <v>712</v>
      </c>
      <c r="D429" s="1863">
        <f t="shared" ca="1" si="139"/>
        <v>3700.2977028828313</v>
      </c>
      <c r="E429" s="1863">
        <f t="shared" ca="1" si="139"/>
        <v>4018.1708071414541</v>
      </c>
      <c r="F429" s="1863">
        <f t="shared" ca="1" si="139"/>
        <v>3672.6380795489554</v>
      </c>
      <c r="G429" s="1863">
        <f t="shared" ca="1" si="139"/>
        <v>3938.4623975097134</v>
      </c>
      <c r="H429" s="1863">
        <f t="shared" ca="1" si="139"/>
        <v>4125.9553192880812</v>
      </c>
      <c r="I429" s="1863">
        <f t="shared" ca="1" si="139"/>
        <v>3917.9456105766235</v>
      </c>
      <c r="J429" s="1863">
        <f t="shared" ca="1" si="139"/>
        <v>3973.5194610437184</v>
      </c>
      <c r="K429" s="1863">
        <f t="shared" ca="1" si="139"/>
        <v>4335.7578585208839</v>
      </c>
      <c r="L429" s="1863">
        <f t="shared" ca="1" si="139"/>
        <v>4158.8470834026193</v>
      </c>
      <c r="M429" s="1863">
        <f t="shared" ca="1" si="139"/>
        <v>4213.7174640866397</v>
      </c>
      <c r="N429" s="1863">
        <f t="shared" ca="1" si="139"/>
        <v>4417.1386893760464</v>
      </c>
      <c r="O429" s="1863">
        <f t="shared" ca="1" si="139"/>
        <v>4331.8855614717759</v>
      </c>
    </row>
    <row r="430" spans="3:15" ht="14.25" thickBot="1">
      <c r="C430" s="1862" t="s">
        <v>3693</v>
      </c>
      <c r="D430" s="1863">
        <f t="shared" si="139"/>
        <v>0</v>
      </c>
      <c r="E430" s="1863">
        <f t="shared" si="139"/>
        <v>0</v>
      </c>
      <c r="F430" s="1863">
        <f t="shared" si="139"/>
        <v>0</v>
      </c>
      <c r="G430" s="1863">
        <f t="shared" si="139"/>
        <v>0</v>
      </c>
      <c r="H430" s="1863">
        <f t="shared" si="139"/>
        <v>0</v>
      </c>
      <c r="I430" s="1863">
        <f t="shared" si="139"/>
        <v>0</v>
      </c>
      <c r="J430" s="1863">
        <f t="shared" si="139"/>
        <v>0</v>
      </c>
      <c r="K430" s="1863">
        <f t="shared" si="139"/>
        <v>0</v>
      </c>
      <c r="L430" s="1863">
        <f t="shared" si="139"/>
        <v>0</v>
      </c>
      <c r="M430" s="1863">
        <f t="shared" si="139"/>
        <v>0</v>
      </c>
      <c r="N430" s="1863">
        <f t="shared" si="139"/>
        <v>0</v>
      </c>
      <c r="O430" s="1863">
        <f t="shared" si="139"/>
        <v>0</v>
      </c>
    </row>
    <row r="431" spans="3:15" ht="14.25" thickBot="1">
      <c r="C431" s="1847" t="s">
        <v>3694</v>
      </c>
      <c r="D431" s="1863">
        <f t="shared" si="139"/>
        <v>57400</v>
      </c>
      <c r="E431" s="1863">
        <f t="shared" si="139"/>
        <v>57400</v>
      </c>
      <c r="F431" s="1863">
        <f t="shared" si="139"/>
        <v>57400</v>
      </c>
      <c r="G431" s="1863">
        <f t="shared" si="139"/>
        <v>57400</v>
      </c>
      <c r="H431" s="1863">
        <f t="shared" si="139"/>
        <v>57400</v>
      </c>
      <c r="I431" s="1863">
        <f t="shared" si="139"/>
        <v>57400</v>
      </c>
      <c r="J431" s="1863">
        <f t="shared" si="139"/>
        <v>57400</v>
      </c>
      <c r="K431" s="1863">
        <f t="shared" si="139"/>
        <v>57400</v>
      </c>
      <c r="L431" s="1863">
        <f t="shared" si="139"/>
        <v>57400</v>
      </c>
      <c r="M431" s="1863">
        <f t="shared" si="139"/>
        <v>57400</v>
      </c>
      <c r="N431" s="1863">
        <f t="shared" si="139"/>
        <v>57400</v>
      </c>
      <c r="O431" s="1863">
        <f t="shared" si="139"/>
        <v>57400</v>
      </c>
    </row>
    <row r="432" spans="3:15" ht="14.25" thickBot="1">
      <c r="C432" s="1847" t="s">
        <v>3695</v>
      </c>
      <c r="D432" s="1863">
        <f t="shared" si="139"/>
        <v>10600</v>
      </c>
      <c r="E432" s="1863">
        <f t="shared" si="139"/>
        <v>10600</v>
      </c>
      <c r="F432" s="1863">
        <f t="shared" si="139"/>
        <v>10600</v>
      </c>
      <c r="G432" s="1863">
        <f t="shared" si="139"/>
        <v>10600</v>
      </c>
      <c r="H432" s="1863">
        <f t="shared" si="139"/>
        <v>10600</v>
      </c>
      <c r="I432" s="1863">
        <f t="shared" si="139"/>
        <v>10600</v>
      </c>
      <c r="J432" s="1863">
        <f t="shared" si="139"/>
        <v>10600</v>
      </c>
      <c r="K432" s="1863">
        <f t="shared" si="139"/>
        <v>10600</v>
      </c>
      <c r="L432" s="1863">
        <f t="shared" si="139"/>
        <v>10600</v>
      </c>
      <c r="M432" s="1863">
        <f t="shared" si="139"/>
        <v>10600</v>
      </c>
      <c r="N432" s="1863">
        <f t="shared" si="139"/>
        <v>10600</v>
      </c>
      <c r="O432" s="1863">
        <f t="shared" si="139"/>
        <v>10600</v>
      </c>
    </row>
    <row r="433" spans="2:32" ht="14.25" thickBot="1">
      <c r="C433" s="1847" t="s">
        <v>3696</v>
      </c>
      <c r="D433" s="1863">
        <f t="shared" si="139"/>
        <v>6888.3606140000002</v>
      </c>
      <c r="E433" s="1863">
        <f t="shared" si="139"/>
        <v>6888.3606140000002</v>
      </c>
      <c r="F433" s="1863">
        <f t="shared" si="139"/>
        <v>6888.3606140000002</v>
      </c>
      <c r="G433" s="1863">
        <f t="shared" si="139"/>
        <v>6888.3606140000002</v>
      </c>
      <c r="H433" s="1863">
        <f t="shared" si="139"/>
        <v>6888.3606140000002</v>
      </c>
      <c r="I433" s="1863">
        <f t="shared" si="139"/>
        <v>6888.3606140000002</v>
      </c>
      <c r="J433" s="1863">
        <f t="shared" si="139"/>
        <v>6888.3606140000002</v>
      </c>
      <c r="K433" s="1863">
        <f t="shared" si="139"/>
        <v>6888.3606140000002</v>
      </c>
      <c r="L433" s="1863">
        <f t="shared" si="139"/>
        <v>6888.3606140000002</v>
      </c>
      <c r="M433" s="1863">
        <f t="shared" si="139"/>
        <v>6888.3606140000002</v>
      </c>
      <c r="N433" s="1863">
        <f t="shared" si="139"/>
        <v>6888.3606140000002</v>
      </c>
      <c r="O433" s="1863">
        <f t="shared" si="139"/>
        <v>6888.3606140000002</v>
      </c>
    </row>
    <row r="434" spans="2:32" ht="14.25" thickBot="1">
      <c r="C434" s="1847" t="s">
        <v>3697</v>
      </c>
      <c r="D434" s="1863">
        <f t="shared" ca="1" si="139"/>
        <v>0</v>
      </c>
      <c r="E434" s="1863">
        <f t="shared" ca="1" si="139"/>
        <v>0</v>
      </c>
      <c r="F434" s="1863">
        <f t="shared" ca="1" si="139"/>
        <v>0</v>
      </c>
      <c r="G434" s="1863">
        <f t="shared" ca="1" si="139"/>
        <v>0</v>
      </c>
      <c r="H434" s="1863">
        <f t="shared" ca="1" si="139"/>
        <v>0</v>
      </c>
      <c r="I434" s="1863">
        <f t="shared" ca="1" si="139"/>
        <v>0</v>
      </c>
      <c r="J434" s="1863">
        <f t="shared" ca="1" si="139"/>
        <v>0</v>
      </c>
      <c r="K434" s="1863">
        <f t="shared" ca="1" si="139"/>
        <v>0</v>
      </c>
      <c r="L434" s="1863">
        <f t="shared" ca="1" si="139"/>
        <v>0</v>
      </c>
      <c r="M434" s="1863">
        <f t="shared" ca="1" si="139"/>
        <v>0</v>
      </c>
      <c r="N434" s="1863">
        <f t="shared" ca="1" si="139"/>
        <v>0</v>
      </c>
      <c r="O434" s="1863">
        <f t="shared" ca="1" si="139"/>
        <v>0</v>
      </c>
    </row>
    <row r="435" spans="2:32" ht="14.25" thickBot="1">
      <c r="C435" s="1847" t="s">
        <v>3698</v>
      </c>
      <c r="D435" s="1863">
        <f t="shared" ca="1" si="139"/>
        <v>18860.204962814281</v>
      </c>
      <c r="E435" s="1863">
        <f t="shared" ca="1" si="139"/>
        <v>20382.795126632889</v>
      </c>
      <c r="F435" s="1863">
        <f t="shared" ca="1" si="139"/>
        <v>20309.853123115197</v>
      </c>
      <c r="G435" s="1863">
        <f t="shared" ca="1" si="139"/>
        <v>21495.313599286706</v>
      </c>
      <c r="H435" s="1863">
        <f t="shared" ca="1" si="139"/>
        <v>23117.93382305673</v>
      </c>
      <c r="I435" s="1863">
        <f t="shared" ca="1" si="139"/>
        <v>23617.328924503861</v>
      </c>
      <c r="J435" s="1863">
        <f t="shared" ca="1" si="139"/>
        <v>24422.590541218113</v>
      </c>
      <c r="K435" s="1863">
        <f t="shared" ca="1" si="139"/>
        <v>26485.962860487667</v>
      </c>
      <c r="L435" s="1863">
        <f t="shared" ca="1" si="139"/>
        <v>27383.616171185084</v>
      </c>
      <c r="M435" s="1863">
        <f t="shared" ca="1" si="139"/>
        <v>28463.158701642424</v>
      </c>
      <c r="N435" s="1863">
        <f t="shared" ca="1" si="139"/>
        <v>30178.011603817653</v>
      </c>
      <c r="O435" s="1863">
        <f t="shared" ca="1" si="139"/>
        <v>31252.603413060096</v>
      </c>
    </row>
    <row r="436" spans="2:32" ht="14.25" thickBot="1">
      <c r="C436" s="1862" t="s">
        <v>723</v>
      </c>
      <c r="D436" s="1863">
        <f t="shared" ca="1" si="139"/>
        <v>93748.565576814275</v>
      </c>
      <c r="E436" s="1863">
        <f t="shared" ca="1" si="139"/>
        <v>95271.155740632894</v>
      </c>
      <c r="F436" s="1863">
        <f t="shared" ca="1" si="139"/>
        <v>95198.213737115206</v>
      </c>
      <c r="G436" s="1863">
        <f t="shared" ca="1" si="139"/>
        <v>96383.674213286708</v>
      </c>
      <c r="H436" s="1863">
        <f t="shared" ca="1" si="139"/>
        <v>98006.294437056727</v>
      </c>
      <c r="I436" s="1863">
        <f t="shared" ca="1" si="139"/>
        <v>98505.689538503866</v>
      </c>
      <c r="J436" s="1863">
        <f t="shared" ca="1" si="139"/>
        <v>99310.951155218121</v>
      </c>
      <c r="K436" s="1863">
        <f t="shared" ca="1" si="139"/>
        <v>101374.32347448767</v>
      </c>
      <c r="L436" s="1863">
        <f t="shared" ca="1" si="139"/>
        <v>102271.97678518508</v>
      </c>
      <c r="M436" s="1863">
        <f t="shared" ca="1" si="139"/>
        <v>103351.51931564242</v>
      </c>
      <c r="N436" s="1863">
        <f t="shared" ca="1" si="139"/>
        <v>105066.37221781767</v>
      </c>
      <c r="O436" s="1863">
        <f t="shared" ca="1" si="139"/>
        <v>106140.96402706009</v>
      </c>
    </row>
    <row r="440" spans="2:32">
      <c r="B440" s="498" t="s">
        <v>5377</v>
      </c>
    </row>
    <row r="442" spans="2:32">
      <c r="D442" s="505">
        <v>44834</v>
      </c>
      <c r="E442" s="505">
        <f>EOMONTH(D442,3)</f>
        <v>44926</v>
      </c>
      <c r="F442" s="505">
        <f t="shared" ref="F442:AC442" si="140">EOMONTH(E442,3)</f>
        <v>45016</v>
      </c>
      <c r="G442" s="505">
        <f t="shared" si="140"/>
        <v>45107</v>
      </c>
      <c r="H442" s="505">
        <f t="shared" si="140"/>
        <v>45199</v>
      </c>
      <c r="I442" s="505">
        <f t="shared" si="140"/>
        <v>45291</v>
      </c>
      <c r="J442" s="505">
        <f t="shared" si="140"/>
        <v>45382</v>
      </c>
      <c r="K442" s="505">
        <f t="shared" si="140"/>
        <v>45473</v>
      </c>
      <c r="L442" s="505">
        <f t="shared" si="140"/>
        <v>45565</v>
      </c>
      <c r="M442" s="505">
        <f t="shared" si="140"/>
        <v>45657</v>
      </c>
      <c r="N442" s="505">
        <f t="shared" si="140"/>
        <v>45747</v>
      </c>
      <c r="O442" s="505">
        <f t="shared" si="140"/>
        <v>45838</v>
      </c>
      <c r="P442" s="505">
        <f t="shared" si="140"/>
        <v>45930</v>
      </c>
      <c r="Q442" s="505">
        <f t="shared" si="140"/>
        <v>46022</v>
      </c>
      <c r="R442" s="505">
        <f t="shared" si="140"/>
        <v>46112</v>
      </c>
      <c r="S442" s="505">
        <f t="shared" si="140"/>
        <v>46203</v>
      </c>
      <c r="T442" s="505">
        <f t="shared" si="140"/>
        <v>46295</v>
      </c>
      <c r="U442" s="505">
        <f t="shared" si="140"/>
        <v>46387</v>
      </c>
      <c r="V442" s="505">
        <f t="shared" si="140"/>
        <v>46477</v>
      </c>
      <c r="W442" s="505">
        <f t="shared" si="140"/>
        <v>46568</v>
      </c>
      <c r="X442" s="505">
        <f t="shared" si="140"/>
        <v>46660</v>
      </c>
      <c r="Y442" s="505">
        <f t="shared" si="140"/>
        <v>46752</v>
      </c>
      <c r="Z442" s="505">
        <f t="shared" si="140"/>
        <v>46843</v>
      </c>
      <c r="AA442" s="505">
        <f t="shared" si="140"/>
        <v>46934</v>
      </c>
      <c r="AB442" s="505">
        <f t="shared" si="140"/>
        <v>47026</v>
      </c>
      <c r="AC442" s="505">
        <f t="shared" si="140"/>
        <v>47118</v>
      </c>
      <c r="AD442" s="505">
        <f>EOMONTH(AC442,3)</f>
        <v>47208</v>
      </c>
      <c r="AE442" s="505">
        <f>EOMONTH(AD442,3)</f>
        <v>47299</v>
      </c>
      <c r="AF442" s="505">
        <f>EOMONTH(AE442,3)</f>
        <v>47391</v>
      </c>
    </row>
    <row r="443" spans="2:32">
      <c r="C443" s="527" t="s">
        <v>40</v>
      </c>
      <c r="D443" s="527" t="s">
        <v>5379</v>
      </c>
      <c r="E443" s="527" t="s">
        <v>5380</v>
      </c>
      <c r="F443" s="527" t="s">
        <v>5381</v>
      </c>
      <c r="G443" s="527" t="s">
        <v>5382</v>
      </c>
      <c r="H443" s="527" t="s">
        <v>5383</v>
      </c>
      <c r="I443" s="527" t="s">
        <v>5384</v>
      </c>
      <c r="J443" s="527" t="s">
        <v>5385</v>
      </c>
      <c r="K443" s="527" t="s">
        <v>5386</v>
      </c>
      <c r="L443" s="527" t="s">
        <v>5387</v>
      </c>
      <c r="M443" s="527" t="s">
        <v>5388</v>
      </c>
      <c r="N443" s="527" t="s">
        <v>5389</v>
      </c>
      <c r="O443" s="527" t="s">
        <v>5390</v>
      </c>
      <c r="P443" s="527" t="s">
        <v>5391</v>
      </c>
      <c r="Q443" s="527" t="s">
        <v>5392</v>
      </c>
      <c r="R443" s="527" t="s">
        <v>5393</v>
      </c>
      <c r="S443" s="527" t="s">
        <v>5394</v>
      </c>
      <c r="T443" s="527" t="s">
        <v>5395</v>
      </c>
      <c r="U443" s="527" t="s">
        <v>5396</v>
      </c>
      <c r="V443" s="527" t="s">
        <v>5397</v>
      </c>
      <c r="W443" s="527" t="s">
        <v>5398</v>
      </c>
      <c r="X443" s="527" t="s">
        <v>5399</v>
      </c>
      <c r="Y443" s="527" t="s">
        <v>5400</v>
      </c>
      <c r="Z443" s="527" t="s">
        <v>5401</v>
      </c>
      <c r="AA443" s="527" t="s">
        <v>5402</v>
      </c>
      <c r="AB443" s="527" t="s">
        <v>5403</v>
      </c>
      <c r="AC443" s="527" t="s">
        <v>5404</v>
      </c>
      <c r="AD443" s="527" t="s">
        <v>5405</v>
      </c>
      <c r="AE443" s="527" t="s">
        <v>5406</v>
      </c>
      <c r="AF443" s="527" t="s">
        <v>5407</v>
      </c>
    </row>
    <row r="444" spans="2:32" s="527" customFormat="1">
      <c r="C444" s="5451">
        <f ca="1">SUM(D444:AF444)</f>
        <v>1</v>
      </c>
      <c r="D444" s="5452">
        <f ca="1">SUMIFS(펀드차입금!69:69,펀드차입금!6:6,D442)</f>
        <v>4.5954545454545442E-2</v>
      </c>
      <c r="E444" s="5452">
        <f ca="1">SUMIFS(펀드차입금!69:69,펀드차입금!6:6,E442)</f>
        <v>4.6901515151515132E-2</v>
      </c>
      <c r="F444" s="5452">
        <f ca="1">SUMIFS(펀드차입금!69:69,펀드차입금!6:6,F442)</f>
        <v>4.6901515151515132E-2</v>
      </c>
      <c r="G444" s="5452">
        <f ca="1">SUMIFS(펀드차입금!69:69,펀드차입금!6:6,G442)</f>
        <v>4.6901515151515132E-2</v>
      </c>
      <c r="H444" s="5452">
        <f ca="1">SUMIFS(펀드차입금!69:69,펀드차입금!6:6,H442)</f>
        <v>4.7848484848484842E-2</v>
      </c>
      <c r="I444" s="5452">
        <f ca="1">SUMIFS(펀드차입금!69:69,펀드차입금!6:6,I442)</f>
        <v>4.8795454545454524E-2</v>
      </c>
      <c r="J444" s="5452">
        <f ca="1">SUMIFS(펀드차입금!69:69,펀드차입금!6:6,J442)</f>
        <v>4.4060606060606043E-2</v>
      </c>
      <c r="K444" s="5452">
        <f ca="1">SUMIFS(펀드차입금!69:69,펀드차입금!6:6,K442)</f>
        <v>4.5007575757575739E-2</v>
      </c>
      <c r="L444" s="5452">
        <f ca="1">SUMIFS(펀드차입금!69:69,펀드차입금!6:6,L442)</f>
        <v>5.0189393939393916E-2</v>
      </c>
      <c r="M444" s="5452">
        <f ca="1">SUMIFS(펀드차입금!69:69,펀드차입금!6:6,M442)</f>
        <v>5.1136363636363612E-2</v>
      </c>
      <c r="N444" s="5452">
        <f ca="1">SUMIFS(펀드차입금!69:69,펀드차입금!6:6,N442)</f>
        <v>5.9659090909090877E-2</v>
      </c>
      <c r="O444" s="5452">
        <f ca="1">SUMIFS(펀드차입금!69:69,펀드차입금!6:6,O442)</f>
        <v>5.9659090909090877E-2</v>
      </c>
      <c r="P444" s="5452">
        <f ca="1">SUMIFS(펀드차입금!69:69,펀드차입금!6:6,P442)</f>
        <v>6.0606060606060573E-2</v>
      </c>
      <c r="Q444" s="5452">
        <f ca="1">SUMIFS(펀드차입금!69:69,펀드차입금!6:6,Q442)</f>
        <v>6.1553030303030283E-2</v>
      </c>
      <c r="R444" s="5452">
        <f ca="1">SUMIFS(펀드차입금!69:69,펀드차입금!6:6,R442)</f>
        <v>3.7878787878787866E-2</v>
      </c>
      <c r="S444" s="5452">
        <f ca="1">SUMIFS(펀드차입금!69:69,펀드차입금!6:6,S442)</f>
        <v>4.3560606060606043E-2</v>
      </c>
      <c r="T444" s="5452">
        <f ca="1">SUMIFS(펀드차입금!69:69,펀드차입금!6:6,T442)</f>
        <v>4.4507575757575739E-2</v>
      </c>
      <c r="U444" s="5452">
        <f ca="1">SUMIFS(펀드차입금!69:69,펀드차입금!6:6,U442)</f>
        <v>3.7878787878787866E-2</v>
      </c>
      <c r="V444" s="5452">
        <f ca="1">SUMIFS(펀드차입금!69:69,펀드차입금!6:6,V442)</f>
        <v>1.136363636363636E-2</v>
      </c>
      <c r="W444" s="5452">
        <f ca="1">SUMIFS(펀드차입금!69:69,펀드차입금!6:6,W442)</f>
        <v>1.136363636363636E-2</v>
      </c>
      <c r="X444" s="5452">
        <f ca="1">SUMIFS(펀드차입금!69:69,펀드차입금!6:6,X442)</f>
        <v>1.136363636363636E-2</v>
      </c>
      <c r="Y444" s="5452">
        <f ca="1">SUMIFS(펀드차입금!69:69,펀드차입금!6:6,Y442)</f>
        <v>1.136363636363636E-2</v>
      </c>
      <c r="Z444" s="5452">
        <f ca="1">SUMIFS(펀드차입금!69:69,펀드차입금!6:6,Z442)</f>
        <v>1.136363636363636E-2</v>
      </c>
      <c r="AA444" s="5452">
        <f ca="1">SUMIFS(펀드차입금!69:69,펀드차입금!6:6,AA442)</f>
        <v>1.136363636363636E-2</v>
      </c>
      <c r="AB444" s="5452">
        <f ca="1">SUMIFS(펀드차입금!69:69,펀드차입금!6:6,AB442)</f>
        <v>1.136363636363636E-2</v>
      </c>
      <c r="AC444" s="5452">
        <f ca="1">SUMIFS(펀드차입금!69:69,펀드차입금!6:6,AC442)</f>
        <v>1.136363636363636E-2</v>
      </c>
      <c r="AD444" s="5452">
        <f ca="1">SUMIFS(펀드차입금!69:69,펀드차입금!6:6,AD442)</f>
        <v>1.136363636363636E-2</v>
      </c>
      <c r="AE444" s="5452">
        <f ca="1">SUMIFS(펀드차입금!69:69,펀드차입금!6:6,AE442)</f>
        <v>1.136363636363636E-2</v>
      </c>
      <c r="AF444" s="5452">
        <f ca="1">SUMIFS(펀드차입금!69:69,펀드차입금!6:6,AF442)</f>
        <v>7.3636363636370161E-3</v>
      </c>
    </row>
    <row r="446" spans="2:32" ht="14.25" thickBot="1"/>
    <row r="447" spans="2:32" ht="14.25" thickBot="1">
      <c r="C447" s="5449" t="s">
        <v>48</v>
      </c>
      <c r="D447" s="5450" t="str">
        <f t="shared" ref="D447:I448" si="141">D443</f>
        <v>2022.3Q</v>
      </c>
      <c r="E447" s="5450" t="str">
        <f t="shared" si="141"/>
        <v>2022.4Q</v>
      </c>
      <c r="F447" s="5450" t="str">
        <f t="shared" si="141"/>
        <v>2023.1Q</v>
      </c>
      <c r="G447" s="5450" t="str">
        <f t="shared" si="141"/>
        <v>2023.2Q</v>
      </c>
      <c r="H447" s="5450" t="str">
        <f t="shared" si="141"/>
        <v>2023.3Q</v>
      </c>
      <c r="I447" s="5450" t="str">
        <f t="shared" si="141"/>
        <v>2023.4Q</v>
      </c>
    </row>
    <row r="448" spans="2:32" ht="14.25" thickBot="1">
      <c r="C448" s="5081" t="s">
        <v>5408</v>
      </c>
      <c r="D448" s="4695">
        <f t="shared" ca="1" si="141"/>
        <v>4.5954545454545442E-2</v>
      </c>
      <c r="E448" s="4695">
        <f t="shared" ca="1" si="141"/>
        <v>4.6901515151515132E-2</v>
      </c>
      <c r="F448" s="4695">
        <f t="shared" ca="1" si="141"/>
        <v>4.6901515151515132E-2</v>
      </c>
      <c r="G448" s="4695">
        <f t="shared" ca="1" si="141"/>
        <v>4.6901515151515132E-2</v>
      </c>
      <c r="H448" s="4695">
        <f t="shared" ca="1" si="141"/>
        <v>4.7848484848484842E-2</v>
      </c>
      <c r="I448" s="4695">
        <f t="shared" ca="1" si="141"/>
        <v>4.8795454545454524E-2</v>
      </c>
    </row>
    <row r="449" spans="2:12" ht="14.25" thickBot="1">
      <c r="C449" s="5449" t="s">
        <v>48</v>
      </c>
      <c r="D449" s="5450" t="str">
        <f t="shared" ref="D449:I450" si="142">J443</f>
        <v>2024.1Q</v>
      </c>
      <c r="E449" s="5450" t="str">
        <f t="shared" si="142"/>
        <v>2024.2Q</v>
      </c>
      <c r="F449" s="5450" t="str">
        <f t="shared" si="142"/>
        <v>2024.3Q</v>
      </c>
      <c r="G449" s="5450" t="str">
        <f t="shared" si="142"/>
        <v>2024.4Q</v>
      </c>
      <c r="H449" s="5450" t="str">
        <f t="shared" si="142"/>
        <v>2025.1Q</v>
      </c>
      <c r="I449" s="5450" t="str">
        <f t="shared" si="142"/>
        <v>2025.2Q</v>
      </c>
    </row>
    <row r="450" spans="2:12" ht="14.25" thickBot="1">
      <c r="C450" s="5081" t="s">
        <v>5408</v>
      </c>
      <c r="D450" s="4695">
        <f t="shared" ca="1" si="142"/>
        <v>4.4060606060606043E-2</v>
      </c>
      <c r="E450" s="4695">
        <f t="shared" ca="1" si="142"/>
        <v>4.5007575757575739E-2</v>
      </c>
      <c r="F450" s="4695">
        <f t="shared" ca="1" si="142"/>
        <v>5.0189393939393916E-2</v>
      </c>
      <c r="G450" s="4695">
        <f t="shared" ca="1" si="142"/>
        <v>5.1136363636363612E-2</v>
      </c>
      <c r="H450" s="4695">
        <f t="shared" ca="1" si="142"/>
        <v>5.9659090909090877E-2</v>
      </c>
      <c r="I450" s="4695">
        <f t="shared" ca="1" si="142"/>
        <v>5.9659090909090877E-2</v>
      </c>
    </row>
    <row r="451" spans="2:12" ht="14.25" thickBot="1">
      <c r="C451" s="5449" t="s">
        <v>48</v>
      </c>
      <c r="D451" s="5450" t="str">
        <f t="shared" ref="D451:I452" si="143">P443</f>
        <v>2025.3Q</v>
      </c>
      <c r="E451" s="5450" t="str">
        <f t="shared" si="143"/>
        <v>2025.4Q</v>
      </c>
      <c r="F451" s="5450" t="str">
        <f t="shared" si="143"/>
        <v>2026.1Q</v>
      </c>
      <c r="G451" s="5450" t="str">
        <f t="shared" si="143"/>
        <v>2026.2Q</v>
      </c>
      <c r="H451" s="5450" t="str">
        <f t="shared" si="143"/>
        <v>2026.3Q</v>
      </c>
      <c r="I451" s="5450" t="str">
        <f t="shared" si="143"/>
        <v>2026.4Q</v>
      </c>
    </row>
    <row r="452" spans="2:12" ht="14.25" thickBot="1">
      <c r="C452" s="5081" t="s">
        <v>5408</v>
      </c>
      <c r="D452" s="4695">
        <f t="shared" ca="1" si="143"/>
        <v>6.0606060606060573E-2</v>
      </c>
      <c r="E452" s="4695">
        <f t="shared" ca="1" si="143"/>
        <v>6.1553030303030283E-2</v>
      </c>
      <c r="F452" s="4695">
        <f t="shared" ca="1" si="143"/>
        <v>3.7878787878787866E-2</v>
      </c>
      <c r="G452" s="4695">
        <f t="shared" ca="1" si="143"/>
        <v>4.3560606060606043E-2</v>
      </c>
      <c r="H452" s="4695">
        <f t="shared" ca="1" si="143"/>
        <v>4.4507575757575739E-2</v>
      </c>
      <c r="I452" s="4695">
        <f t="shared" ca="1" si="143"/>
        <v>3.7878787878787866E-2</v>
      </c>
    </row>
    <row r="453" spans="2:12" ht="14.25" thickBot="1">
      <c r="C453" s="5449" t="s">
        <v>48</v>
      </c>
      <c r="D453" s="5450" t="str">
        <f t="shared" ref="D453:I454" si="144">V443</f>
        <v>2027.1Q</v>
      </c>
      <c r="E453" s="5450" t="str">
        <f t="shared" si="144"/>
        <v>2027.2Q</v>
      </c>
      <c r="F453" s="5450" t="str">
        <f t="shared" si="144"/>
        <v>2027.3Q</v>
      </c>
      <c r="G453" s="5450" t="str">
        <f t="shared" si="144"/>
        <v>2027.4Q</v>
      </c>
      <c r="H453" s="5450" t="str">
        <f t="shared" si="144"/>
        <v>2028.1Q</v>
      </c>
      <c r="I453" s="5450" t="str">
        <f t="shared" si="144"/>
        <v>2028.2Q</v>
      </c>
    </row>
    <row r="454" spans="2:12" ht="14.25" thickBot="1">
      <c r="C454" s="5081" t="s">
        <v>5408</v>
      </c>
      <c r="D454" s="4695">
        <f t="shared" ca="1" si="144"/>
        <v>1.136363636363636E-2</v>
      </c>
      <c r="E454" s="4695">
        <f t="shared" ca="1" si="144"/>
        <v>1.136363636363636E-2</v>
      </c>
      <c r="F454" s="4695">
        <f t="shared" ca="1" si="144"/>
        <v>1.136363636363636E-2</v>
      </c>
      <c r="G454" s="4695">
        <f t="shared" ca="1" si="144"/>
        <v>1.136363636363636E-2</v>
      </c>
      <c r="H454" s="4695">
        <f t="shared" ca="1" si="144"/>
        <v>1.136363636363636E-2</v>
      </c>
      <c r="I454" s="4695">
        <f t="shared" ca="1" si="144"/>
        <v>1.136363636363636E-2</v>
      </c>
    </row>
    <row r="455" spans="2:12" ht="14.25" thickBot="1">
      <c r="C455" s="5449" t="s">
        <v>48</v>
      </c>
      <c r="D455" s="5450" t="str">
        <f t="shared" ref="D455:H456" si="145">AB443</f>
        <v>2028.3Q</v>
      </c>
      <c r="E455" s="5450" t="str">
        <f t="shared" si="145"/>
        <v>2028.4Q</v>
      </c>
      <c r="F455" s="5450" t="str">
        <f t="shared" si="145"/>
        <v>2029.1Q</v>
      </c>
      <c r="G455" s="5450" t="str">
        <f t="shared" si="145"/>
        <v>2029.2Q</v>
      </c>
      <c r="H455" s="5450" t="str">
        <f t="shared" si="145"/>
        <v>2029.3Q</v>
      </c>
      <c r="I455" s="5450" t="s">
        <v>40</v>
      </c>
    </row>
    <row r="456" spans="2:12" ht="14.25" thickBot="1">
      <c r="C456" s="5081" t="s">
        <v>5408</v>
      </c>
      <c r="D456" s="4695">
        <f t="shared" ca="1" si="145"/>
        <v>1.136363636363636E-2</v>
      </c>
      <c r="E456" s="4695">
        <f t="shared" ca="1" si="145"/>
        <v>1.136363636363636E-2</v>
      </c>
      <c r="F456" s="4695">
        <f t="shared" ca="1" si="145"/>
        <v>1.136363636363636E-2</v>
      </c>
      <c r="G456" s="4695">
        <f t="shared" ca="1" si="145"/>
        <v>1.136363636363636E-2</v>
      </c>
      <c r="H456" s="4695">
        <f t="shared" ca="1" si="145"/>
        <v>7.3636363636370161E-3</v>
      </c>
      <c r="I456" s="4695">
        <v>1</v>
      </c>
    </row>
    <row r="459" spans="2:12">
      <c r="B459" s="498" t="s">
        <v>5378</v>
      </c>
    </row>
    <row r="462" spans="2:12">
      <c r="C462" s="498" t="s">
        <v>5409</v>
      </c>
    </row>
    <row r="463" spans="2:12" ht="14.25" thickBot="1"/>
    <row r="464" spans="2:12" ht="14.25" thickBot="1">
      <c r="C464" s="4626" t="s">
        <v>4952</v>
      </c>
      <c r="D464" s="4627" t="s">
        <v>14</v>
      </c>
      <c r="E464" s="4627">
        <v>2022</v>
      </c>
      <c r="F464" s="4627">
        <v>2023</v>
      </c>
      <c r="G464" s="4627">
        <v>2024</v>
      </c>
      <c r="H464" s="4627">
        <v>2025</v>
      </c>
      <c r="I464" s="4627">
        <v>2026</v>
      </c>
      <c r="J464" s="4627">
        <v>2027</v>
      </c>
      <c r="K464" s="4627">
        <v>2028</v>
      </c>
      <c r="L464" s="4627">
        <v>2029</v>
      </c>
    </row>
    <row r="465" spans="3:12" ht="14.25" thickBot="1">
      <c r="C465" s="4628" t="s">
        <v>4953</v>
      </c>
      <c r="D465" s="1863">
        <f ca="1">SUM(E465:L465)</f>
        <v>66416.503486924048</v>
      </c>
      <c r="E465" s="1863">
        <f ca="1">SUMIFS(펀드수익률!45:45,펀드수익률!$42:$42,E$464)</f>
        <v>6694.3241145703596</v>
      </c>
      <c r="F465" s="1863">
        <f ca="1">SUMIFS(펀드수익률!45:45,펀드수익률!$42:$42,F$464)</f>
        <v>13333.133564134492</v>
      </c>
      <c r="G465" s="1863">
        <f ca="1">SUMIFS(펀드수익률!45:45,펀드수익률!$42:$42,G$464)</f>
        <v>12905.921245330008</v>
      </c>
      <c r="H465" s="1863">
        <f ca="1">SUMIFS(펀드수익률!45:45,펀드수익률!$42:$42,H$464)</f>
        <v>15482.72464508094</v>
      </c>
      <c r="I465" s="1863">
        <f ca="1">SUMIFS(펀드수익률!45:45,펀드수익률!$42:$42,I$464)</f>
        <v>10338.234607721044</v>
      </c>
      <c r="J465" s="1863">
        <f ca="1">SUMIFS(펀드수익률!45:45,펀드수익률!$42:$42,J$464)</f>
        <v>2964.0406475716068</v>
      </c>
      <c r="K465" s="1863">
        <f ca="1">SUMIFS(펀드수익률!45:45,펀드수익률!$42:$42,K$464)</f>
        <v>2860.8761843088423</v>
      </c>
      <c r="L465" s="1863">
        <f ca="1">SUMIFS(펀드수익률!45:45,펀드수익률!$42:$42,L$464)</f>
        <v>1837.2484782067536</v>
      </c>
    </row>
    <row r="466" spans="3:12" ht="14.25" thickBot="1">
      <c r="C466" s="4629" t="s">
        <v>5212</v>
      </c>
      <c r="D466" s="1863">
        <f ca="1">SUM(E466:L466)</f>
        <v>60000.000000000007</v>
      </c>
      <c r="E466" s="1863">
        <f ca="1">SUMIFS(펀드수익률!46:46,펀드수익률!$42:$42,E$464)</f>
        <v>5571.3636363636342</v>
      </c>
      <c r="F466" s="1863">
        <f ca="1">SUMIFS(펀드수익률!46:46,펀드수익률!$42:$42,F$464)</f>
        <v>11426.818181818178</v>
      </c>
      <c r="G466" s="1863">
        <f ca="1">SUMIFS(펀드수익률!46:46,펀드수익률!$42:$42,G$464)</f>
        <v>11423.636363636357</v>
      </c>
      <c r="H466" s="1863">
        <f ca="1">SUMIFS(펀드수익률!46:46,펀드수익률!$42:$42,H$464)</f>
        <v>14488.636363636357</v>
      </c>
      <c r="I466" s="1863">
        <f ca="1">SUMIFS(펀드수익률!46:46,펀드수익률!$42:$42,I$464)</f>
        <v>9829.5454545454504</v>
      </c>
      <c r="J466" s="1863">
        <f ca="1">SUMIFS(펀드수익률!46:46,펀드수익률!$42:$42,J$464)</f>
        <v>2727.2727272727266</v>
      </c>
      <c r="K466" s="1863">
        <f ca="1">SUMIFS(펀드수익률!46:46,펀드수익률!$42:$42,K$464)</f>
        <v>2727.2727272727266</v>
      </c>
      <c r="L466" s="1863">
        <f ca="1">SUMIFS(펀드수익률!46:46,펀드수익률!$42:$42,L$464)</f>
        <v>1805.4545454545732</v>
      </c>
    </row>
    <row r="467" spans="3:12" ht="14.25" thickBot="1">
      <c r="C467" s="4629" t="s">
        <v>5213</v>
      </c>
      <c r="D467" s="1863">
        <f t="shared" ref="D467:D471" ca="1" si="146">SUM(E467:L467)</f>
        <v>6416.503486924039</v>
      </c>
      <c r="E467" s="1863">
        <f ca="1">SUMIFS(펀드수익률!47:47,펀드수익률!$42:$42,E$464)</f>
        <v>1122.9604782067249</v>
      </c>
      <c r="F467" s="1863">
        <f ca="1">SUMIFS(펀드수익률!47:47,펀드수익률!$42:$42,F$464)</f>
        <v>1906.3153823163138</v>
      </c>
      <c r="G467" s="1863">
        <f ca="1">SUMIFS(펀드수익률!47:47,펀드수익률!$42:$42,G$464)</f>
        <v>1482.2848816936491</v>
      </c>
      <c r="H467" s="1863">
        <f ca="1">SUMIFS(펀드수익률!47:47,펀드수익률!$42:$42,H$464)</f>
        <v>994.08828144458334</v>
      </c>
      <c r="I467" s="1863">
        <f ca="1">SUMIFS(펀드수익률!47:47,펀드수익률!$42:$42,I$464)</f>
        <v>508.68915317559248</v>
      </c>
      <c r="J467" s="1863">
        <f ca="1">SUMIFS(펀드수익률!47:47,펀드수익률!$42:$42,J$464)</f>
        <v>236.7679202988802</v>
      </c>
      <c r="K467" s="1863">
        <f ca="1">SUMIFS(펀드수익률!47:47,펀드수익률!$42:$42,K$464)</f>
        <v>133.6034570361156</v>
      </c>
      <c r="L467" s="1863">
        <f ca="1">SUMIFS(펀드수익률!47:47,펀드수익률!$42:$42,L$464)</f>
        <v>31.793932752180126</v>
      </c>
    </row>
    <row r="468" spans="3:12" ht="14.25" thickBot="1">
      <c r="C468" s="4628" t="s">
        <v>4954</v>
      </c>
      <c r="D468" s="1863">
        <f t="shared" ca="1" si="146"/>
        <v>60252.922840909094</v>
      </c>
      <c r="E468" s="1863">
        <f ca="1">SUMIFS(펀드수익률!48:48,펀드수익률!$42:$42,E$464)</f>
        <v>60043.966022727276</v>
      </c>
      <c r="F468" s="1863">
        <f ca="1">SUMIFS(펀드수익률!48:48,펀드수익률!$42:$42,F$464)</f>
        <v>75.289943181818174</v>
      </c>
      <c r="G468" s="1863">
        <f ca="1">SUMIFS(펀드수익률!48:48,펀드수익률!$42:$42,G$464)</f>
        <v>58.374034090909106</v>
      </c>
      <c r="H468" s="1863">
        <f ca="1">SUMIFS(펀드수익률!48:48,펀드수익률!$42:$42,H$464)</f>
        <v>39.291988636363662</v>
      </c>
      <c r="I468" s="1863">
        <f ca="1">SUMIFS(펀드수익률!48:48,펀드수익률!$42:$42,I$464)</f>
        <v>20.115852272727309</v>
      </c>
      <c r="J468" s="1863">
        <f ca="1">SUMIFS(펀드수익률!48:48,펀드수익률!$42:$42,J$464)</f>
        <v>9.3559090909091314</v>
      </c>
      <c r="K468" s="1863">
        <f ca="1">SUMIFS(펀드수익률!48:48,펀드수익률!$42:$42,K$464)</f>
        <v>5.2650000000000405</v>
      </c>
      <c r="L468" s="1863">
        <f ca="1">SUMIFS(펀드수익률!48:48,펀드수익률!$42:$42,L$464)</f>
        <v>1.2640909090909405</v>
      </c>
    </row>
    <row r="469" spans="3:12" ht="14.25" thickBot="1">
      <c r="C469" s="4629" t="s">
        <v>5214</v>
      </c>
      <c r="D469" s="1863">
        <f t="shared" ca="1" si="146"/>
        <v>60000</v>
      </c>
      <c r="E469" s="1863">
        <f ca="1">SUMIFS(펀드수익률!49:49,펀드수익률!$42:$42,E$464)</f>
        <v>60000</v>
      </c>
      <c r="F469" s="1863">
        <f ca="1">SUMIFS(펀드수익률!49:49,펀드수익률!$42:$42,F$464)</f>
        <v>0</v>
      </c>
      <c r="G469" s="1863">
        <f ca="1">SUMIFS(펀드수익률!49:49,펀드수익률!$42:$42,G$464)</f>
        <v>0</v>
      </c>
      <c r="H469" s="1863">
        <f ca="1">SUMIFS(펀드수익률!49:49,펀드수익률!$42:$42,H$464)</f>
        <v>0</v>
      </c>
      <c r="I469" s="1863">
        <f ca="1">SUMIFS(펀드수익률!49:49,펀드수익률!$42:$42,I$464)</f>
        <v>0</v>
      </c>
      <c r="J469" s="1863">
        <f ca="1">SUMIFS(펀드수익률!49:49,펀드수익률!$42:$42,J$464)</f>
        <v>0</v>
      </c>
      <c r="K469" s="1863">
        <f ca="1">SUMIFS(펀드수익률!49:49,펀드수익률!$42:$42,K$464)</f>
        <v>0</v>
      </c>
      <c r="L469" s="1863">
        <f ca="1">SUMIFS(펀드수익률!49:49,펀드수익률!$42:$42,L$464)</f>
        <v>0</v>
      </c>
    </row>
    <row r="470" spans="3:12" ht="14.25" thickBot="1">
      <c r="C470" s="4629" t="s">
        <v>4956</v>
      </c>
      <c r="D470" s="1863">
        <f t="shared" ca="1" si="146"/>
        <v>252.92284090909109</v>
      </c>
      <c r="E470" s="1863">
        <f ca="1">SUMIFS(펀드수익률!50:50,펀드수익률!$42:$42,E$464)</f>
        <v>43.96602272727273</v>
      </c>
      <c r="F470" s="1863">
        <f ca="1">SUMIFS(펀드수익률!50:50,펀드수익률!$42:$42,F$464)</f>
        <v>75.289943181818174</v>
      </c>
      <c r="G470" s="1863">
        <f ca="1">SUMIFS(펀드수익률!50:50,펀드수익률!$42:$42,G$464)</f>
        <v>58.374034090909106</v>
      </c>
      <c r="H470" s="1863">
        <f ca="1">SUMIFS(펀드수익률!50:50,펀드수익률!$42:$42,H$464)</f>
        <v>39.291988636363662</v>
      </c>
      <c r="I470" s="1863">
        <f ca="1">SUMIFS(펀드수익률!50:50,펀드수익률!$42:$42,I$464)</f>
        <v>20.115852272727309</v>
      </c>
      <c r="J470" s="1863">
        <f ca="1">SUMIFS(펀드수익률!50:50,펀드수익률!$42:$42,J$464)</f>
        <v>9.3559090909091314</v>
      </c>
      <c r="K470" s="1863">
        <f ca="1">SUMIFS(펀드수익률!50:50,펀드수익률!$42:$42,K$464)</f>
        <v>5.2650000000000405</v>
      </c>
      <c r="L470" s="1863">
        <f ca="1">SUMIFS(펀드수익률!50:50,펀드수익률!$42:$42,L$464)</f>
        <v>1.2640909090909405</v>
      </c>
    </row>
    <row r="471" spans="3:12" ht="14.25" thickBot="1">
      <c r="C471" s="4628" t="s">
        <v>4957</v>
      </c>
      <c r="D471" s="1863">
        <f t="shared" ca="1" si="146"/>
        <v>6163.5806460149588</v>
      </c>
      <c r="E471" s="1863">
        <f ca="1">SUMIFS(펀드수익률!51:51,펀드수익률!$42:$42,E$464)</f>
        <v>-53349.641908156911</v>
      </c>
      <c r="F471" s="1863">
        <f ca="1">SUMIFS(펀드수익률!51:51,펀드수익률!$42:$42,F$464)</f>
        <v>13257.843620952675</v>
      </c>
      <c r="G471" s="1863">
        <f ca="1">SUMIFS(펀드수익률!51:51,펀드수익률!$42:$42,G$464)</f>
        <v>12847.5472112391</v>
      </c>
      <c r="H471" s="1863">
        <f ca="1">SUMIFS(펀드수익률!51:51,펀드수익률!$42:$42,H$464)</f>
        <v>15443.432656444576</v>
      </c>
      <c r="I471" s="1863">
        <f ca="1">SUMIFS(펀드수익률!51:51,펀드수익률!$42:$42,I$464)</f>
        <v>10318.118755448315</v>
      </c>
      <c r="J471" s="1863">
        <f ca="1">SUMIFS(펀드수익률!51:51,펀드수익률!$42:$42,J$464)</f>
        <v>2954.6847384806974</v>
      </c>
      <c r="K471" s="1863">
        <f ca="1">SUMIFS(펀드수익률!51:51,펀드수익률!$42:$42,K$464)</f>
        <v>2855.611184308842</v>
      </c>
      <c r="L471" s="1863">
        <f ca="1">SUMIFS(펀드수익률!51:51,펀드수익률!$42:$42,L$464)</f>
        <v>1835.9843872976626</v>
      </c>
    </row>
    <row r="472" spans="3:12" ht="14.25" thickBot="1">
      <c r="C472" s="4628" t="s">
        <v>4958</v>
      </c>
      <c r="D472" s="1863">
        <f t="shared" ref="D472" ca="1" si="147">SUM(E472:L472)</f>
        <v>6416.5034869240426</v>
      </c>
      <c r="E472" s="1863">
        <f ca="1">SUMIFS(펀드수익률!53:53,펀드수익률!$42:$42,E$464)</f>
        <v>-53305.675885429642</v>
      </c>
      <c r="F472" s="1863">
        <f ca="1">SUMIFS(펀드수익률!53:53,펀드수익률!$42:$42,F$464)</f>
        <v>13333.133564134492</v>
      </c>
      <c r="G472" s="1863">
        <f ca="1">SUMIFS(펀드수익률!53:53,펀드수익률!$42:$42,G$464)</f>
        <v>12905.921245330008</v>
      </c>
      <c r="H472" s="1863">
        <f ca="1">SUMIFS(펀드수익률!53:53,펀드수익률!$42:$42,H$464)</f>
        <v>15482.72464508094</v>
      </c>
      <c r="I472" s="1863">
        <f ca="1">SUMIFS(펀드수익률!53:53,펀드수익률!$42:$42,I$464)</f>
        <v>10338.234607721044</v>
      </c>
      <c r="J472" s="1863">
        <f ca="1">SUMIFS(펀드수익률!53:53,펀드수익률!$42:$42,J$464)</f>
        <v>2964.0406475716068</v>
      </c>
      <c r="K472" s="1863">
        <f ca="1">SUMIFS(펀드수익률!53:53,펀드수익률!$42:$42,K$464)</f>
        <v>2860.8761843088423</v>
      </c>
      <c r="L472" s="1863">
        <f ca="1">SUMIFS(펀드수익률!53:53,펀드수익률!$42:$42,L$464)</f>
        <v>1837.2484782067536</v>
      </c>
    </row>
    <row r="473" spans="3:12">
      <c r="E473" s="1844">
        <f t="shared" ref="E473:L473" ca="1" si="148">E465-E468-E471</f>
        <v>0</v>
      </c>
      <c r="F473" s="1844">
        <f t="shared" ca="1" si="148"/>
        <v>0</v>
      </c>
      <c r="G473" s="1844">
        <f t="shared" ca="1" si="148"/>
        <v>0</v>
      </c>
      <c r="H473" s="1844">
        <f t="shared" ca="1" si="148"/>
        <v>0</v>
      </c>
      <c r="I473" s="1844">
        <f t="shared" ca="1" si="148"/>
        <v>0</v>
      </c>
      <c r="J473" s="1844">
        <f t="shared" ca="1" si="148"/>
        <v>0</v>
      </c>
      <c r="K473" s="1844">
        <f t="shared" ca="1" si="148"/>
        <v>0</v>
      </c>
      <c r="L473" s="1844">
        <f t="shared" ca="1" si="148"/>
        <v>0</v>
      </c>
    </row>
    <row r="474" spans="3:12">
      <c r="C474" s="498" t="s">
        <v>5410</v>
      </c>
    </row>
    <row r="475" spans="3:12" ht="14.25" thickBot="1"/>
    <row r="476" spans="3:12" ht="14.25" thickBot="1">
      <c r="C476" s="4626" t="s">
        <v>4952</v>
      </c>
      <c r="D476" s="4627" t="s">
        <v>14</v>
      </c>
      <c r="E476" s="4627">
        <v>2022</v>
      </c>
      <c r="F476" s="4627">
        <v>2023</v>
      </c>
      <c r="G476" s="4627">
        <v>2024</v>
      </c>
      <c r="H476" s="4627">
        <v>2025</v>
      </c>
      <c r="I476" s="4627">
        <v>2026</v>
      </c>
      <c r="J476" s="4627">
        <v>2027</v>
      </c>
      <c r="K476" s="4627">
        <v>2028</v>
      </c>
      <c r="L476" s="4627">
        <v>2029</v>
      </c>
    </row>
    <row r="477" spans="3:12" ht="14.25" thickBot="1">
      <c r="C477" s="4628" t="s">
        <v>4953</v>
      </c>
      <c r="D477" s="1863">
        <f ca="1">SUM(E477:L477)</f>
        <v>32345.306660075938</v>
      </c>
      <c r="E477" s="1863">
        <f ca="1">SUMIFS(펀드수익률!30:30,펀드수익률!$42:$42,E$464)</f>
        <v>3268.2356774296404</v>
      </c>
      <c r="F477" s="1863">
        <f ca="1">SUMIFS(펀드수익률!30:30,펀드수익률!$42:$42,F$464)</f>
        <v>6464.9366463655078</v>
      </c>
      <c r="G477" s="1863">
        <f ca="1">SUMIFS(펀드수익률!30:30,펀드수익률!$42:$42,G$464)</f>
        <v>6249.0593321699898</v>
      </c>
      <c r="H477" s="1863">
        <f ca="1">SUMIFS(펀드수익률!30:30,펀드수익률!$42:$42,H$464)</f>
        <v>7414.0375254190594</v>
      </c>
      <c r="I477" s="1863">
        <f ca="1">SUMIFS(펀드수익률!30:30,펀드수익률!$42:$42,I$464)</f>
        <v>4917.0531127789554</v>
      </c>
      <c r="J477" s="1863">
        <f ca="1">SUMIFS(펀드수익률!30:30,펀드수익률!$42:$42,J$464)</f>
        <v>1443.5826204283931</v>
      </c>
      <c r="K477" s="1863">
        <f ca="1">SUMIFS(펀드수익률!30:30,펀드수익률!$42:$42,K$464)</f>
        <v>1369.3697076911578</v>
      </c>
      <c r="L477" s="1863">
        <f ca="1">SUMIFS(펀드수익률!30:30,펀드수익률!$42:$42,L$464)</f>
        <v>1219.0320377932353</v>
      </c>
    </row>
    <row r="478" spans="3:12" ht="14.25" thickBot="1">
      <c r="C478" s="4629" t="s">
        <v>5212</v>
      </c>
      <c r="D478" s="1863">
        <f ca="1">SUM(E478:L478)</f>
        <v>28150.743999999981</v>
      </c>
      <c r="E478" s="1863">
        <f ca="1">SUMIFS(펀드수익률!31:31,펀드수익률!$42:$42,E$464)</f>
        <v>2613.9671909696935</v>
      </c>
      <c r="F478" s="1863">
        <f ca="1">SUMIFS(펀드수익률!31:31,펀드수익률!$42:$42,F$464)</f>
        <v>5361.2238895151449</v>
      </c>
      <c r="G478" s="1863">
        <f ca="1">SUMIFS(펀드수익률!31:31,펀드수익률!$42:$42,G$464)</f>
        <v>5359.7310470302964</v>
      </c>
      <c r="H478" s="1863">
        <f ca="1">SUMIFS(펀드수익률!31:31,펀드수익률!$42:$42,H$464)</f>
        <v>6797.7648863636277</v>
      </c>
      <c r="I478" s="1863">
        <f ca="1">SUMIFS(펀드수익률!31:31,펀드수익률!$42:$42,I$464)</f>
        <v>4611.8169621212064</v>
      </c>
      <c r="J478" s="1863">
        <f ca="1">SUMIFS(펀드수익률!31:31,펀드수익률!$42:$42,J$464)</f>
        <v>1279.5792727272712</v>
      </c>
      <c r="K478" s="1863">
        <f ca="1">SUMIFS(펀드수익률!31:31,펀드수익률!$42:$42,K$464)</f>
        <v>1279.5792727272712</v>
      </c>
      <c r="L478" s="1863">
        <f ca="1">SUMIFS(펀드수익률!31:31,펀드수익률!$42:$42,L$464)</f>
        <v>847.08147854546769</v>
      </c>
    </row>
    <row r="479" spans="3:12" ht="14.25" thickBot="1">
      <c r="C479" s="4629" t="s">
        <v>5213</v>
      </c>
      <c r="D479" s="1863">
        <f t="shared" ref="D479:D485" ca="1" si="149">SUM(E479:L479)</f>
        <v>3129.3242139923168</v>
      </c>
      <c r="E479" s="1863">
        <f ca="1">SUMIFS(펀드수익률!32:32,펀드수익률!$42:$42,E$464)</f>
        <v>547.66703126866014</v>
      </c>
      <c r="F479" s="1863">
        <f ca="1">SUMIFS(펀드수익률!32:32,펀드수익률!$42:$42,F$464)</f>
        <v>929.7086641572464</v>
      </c>
      <c r="G479" s="1863">
        <f ca="1">SUMIFS(펀드수익률!32:32,펀드수익률!$42:$42,G$464)</f>
        <v>722.90928880057572</v>
      </c>
      <c r="H479" s="1863">
        <f ca="1">SUMIFS(펀드수익률!32:32,펀드수익률!$42:$42,H$464)</f>
        <v>484.81615202266789</v>
      </c>
      <c r="I479" s="1863">
        <f ca="1">SUMIFS(펀드수익률!32:32,펀드수익률!$42:$42,I$464)</f>
        <v>248.08734035158056</v>
      </c>
      <c r="J479" s="1863">
        <f ca="1">SUMIFS(펀드수익률!32:32,펀드수익률!$42:$42,J$464)</f>
        <v>115.47154733069033</v>
      </c>
      <c r="K479" s="1863">
        <f ca="1">SUMIFS(펀드수익률!32:32,펀드수익률!$42:$42,K$464)</f>
        <v>65.158311536525503</v>
      </c>
      <c r="L479" s="1863">
        <f ca="1">SUMIFS(펀드수익률!32:32,펀드수익률!$42:$42,L$464)</f>
        <v>15.505878524370013</v>
      </c>
    </row>
    <row r="480" spans="3:12" ht="14.25" thickBot="1">
      <c r="C480" s="4629" t="s">
        <v>4955</v>
      </c>
      <c r="D480" s="1863">
        <f t="shared" ca="1" si="149"/>
        <v>1065.2384460836436</v>
      </c>
      <c r="E480" s="1863">
        <f ca="1">SUMIFS(펀드수익률!33:33,펀드수익률!$42:$42,E$464)</f>
        <v>106.60145519128668</v>
      </c>
      <c r="F480" s="1863">
        <f ca="1">SUMIFS(펀드수익률!33:33,펀드수익률!$42:$42,F$464)</f>
        <v>174.00409269311666</v>
      </c>
      <c r="G480" s="1863">
        <f ca="1">SUMIFS(펀드수익률!33:33,펀드수익률!$42:$42,G$464)</f>
        <v>166.41899633911822</v>
      </c>
      <c r="H480" s="1863">
        <f ca="1">SUMIFS(펀드수익률!33:33,펀드수익률!$42:$42,H$464)</f>
        <v>131.45648703276376</v>
      </c>
      <c r="I480" s="1863">
        <f ca="1">SUMIFS(펀드수익률!33:33,펀드수익률!$42:$42,I$464)</f>
        <v>57.148810306168293</v>
      </c>
      <c r="J480" s="1863">
        <f ca="1">SUMIFS(펀드수익률!33:33,펀드수익률!$42:$42,J$464)</f>
        <v>48.531800370431462</v>
      </c>
      <c r="K480" s="1863">
        <f ca="1">SUMIFS(펀드수익률!33:33,펀드수익률!$42:$42,K$464)</f>
        <v>24.632123427360984</v>
      </c>
      <c r="L480" s="1863">
        <f ca="1">SUMIFS(펀드수익률!33:33,펀드수익률!$42:$42,L$464)</f>
        <v>356.44468072339748</v>
      </c>
    </row>
    <row r="481" spans="2:12" ht="14.25" thickBot="1">
      <c r="C481" s="4628" t="s">
        <v>4954</v>
      </c>
      <c r="D481" s="1863">
        <f t="shared" ca="1" si="149"/>
        <v>28269.410102436392</v>
      </c>
      <c r="E481" s="1863">
        <f ca="1">SUMIFS(펀드수익률!34:34,펀드수익률!$42:$42,E$464)</f>
        <v>28171.371937508207</v>
      </c>
      <c r="F481" s="1863">
        <f ca="1">SUMIFS(펀드수익률!34:34,펀드수익률!$42:$42,F$464)</f>
        <v>35.324465271431798</v>
      </c>
      <c r="G481" s="1863">
        <f ca="1">SUMIFS(펀드수익률!34:34,펀드수익률!$42:$42,G$464)</f>
        <v>27.387874832340895</v>
      </c>
      <c r="H481" s="1863">
        <f ca="1">SUMIFS(펀드수익률!34:34,펀드수익률!$42:$42,H$464)</f>
        <v>18.434978555886364</v>
      </c>
      <c r="I481" s="1863">
        <f ca="1">SUMIFS(펀드수익률!34:34,펀드수익률!$42:$42,I$464)</f>
        <v>9.4379367945227362</v>
      </c>
      <c r="J481" s="1863">
        <f ca="1">SUMIFS(펀드수익률!34:34,펀드수익률!$42:$42,J$464)</f>
        <v>4.3895966950909244</v>
      </c>
      <c r="K481" s="1863">
        <f ca="1">SUMIFS(펀드수익률!34:34,펀드수익률!$42:$42,K$464)</f>
        <v>2.4702277860000184</v>
      </c>
      <c r="L481" s="1863">
        <f ca="1">SUMIFS(펀드수익률!34:34,펀드수익률!$42:$42,L$464)</f>
        <v>0.59308499290910621</v>
      </c>
    </row>
    <row r="482" spans="2:12" ht="14.25" thickBot="1">
      <c r="C482" s="4629" t="s">
        <v>5214</v>
      </c>
      <c r="D482" s="1863">
        <f t="shared" ca="1" si="149"/>
        <v>28150.743999999977</v>
      </c>
      <c r="E482" s="1863">
        <f ca="1">SUMIFS(펀드수익률!35:35,펀드수익률!$42:$42,E$464)</f>
        <v>28150.743999999977</v>
      </c>
      <c r="F482" s="1863">
        <f ca="1">SUMIFS(펀드수익률!35:35,펀드수익률!$42:$42,F$464)</f>
        <v>0</v>
      </c>
      <c r="G482" s="1863">
        <f ca="1">SUMIFS(펀드수익률!35:35,펀드수익률!$42:$42,G$464)</f>
        <v>0</v>
      </c>
      <c r="H482" s="1863">
        <f ca="1">SUMIFS(펀드수익률!35:35,펀드수익률!$42:$42,H$464)</f>
        <v>0</v>
      </c>
      <c r="I482" s="1863">
        <f ca="1">SUMIFS(펀드수익률!35:35,펀드수익률!$42:$42,I$464)</f>
        <v>0</v>
      </c>
      <c r="J482" s="1863">
        <f ca="1">SUMIFS(펀드수익률!35:35,펀드수익률!$42:$42,J$464)</f>
        <v>0</v>
      </c>
      <c r="K482" s="1863">
        <f ca="1">SUMIFS(펀드수익률!35:35,펀드수익률!$42:$42,K$464)</f>
        <v>0</v>
      </c>
      <c r="L482" s="1863">
        <f ca="1">SUMIFS(펀드수익률!35:35,펀드수익률!$42:$42,L$464)</f>
        <v>0</v>
      </c>
    </row>
    <row r="483" spans="2:12" ht="14.25" thickBot="1">
      <c r="C483" s="4629" t="s">
        <v>4956</v>
      </c>
      <c r="D483" s="1863">
        <f t="shared" ca="1" si="149"/>
        <v>118.66610243640912</v>
      </c>
      <c r="E483" s="1863">
        <f ca="1">SUMIFS(펀드수익률!36:36,펀드수익률!$42:$42,E$464)</f>
        <v>20.627937508227255</v>
      </c>
      <c r="F483" s="1863">
        <f ca="1">SUMIFS(펀드수익률!36:36,펀드수익률!$42:$42,F$464)</f>
        <v>35.324465271431798</v>
      </c>
      <c r="G483" s="1863">
        <f ca="1">SUMIFS(펀드수익률!36:36,펀드수익률!$42:$42,G$464)</f>
        <v>27.387874832340895</v>
      </c>
      <c r="H483" s="1863">
        <f ca="1">SUMIFS(펀드수익률!36:36,펀드수익률!$42:$42,H$464)</f>
        <v>18.434978555886364</v>
      </c>
      <c r="I483" s="1863">
        <f ca="1">SUMIFS(펀드수익률!36:36,펀드수익률!$42:$42,I$464)</f>
        <v>9.4379367945227362</v>
      </c>
      <c r="J483" s="1863">
        <f ca="1">SUMIFS(펀드수익률!36:36,펀드수익률!$42:$42,J$464)</f>
        <v>4.3895966950909244</v>
      </c>
      <c r="K483" s="1863">
        <f ca="1">SUMIFS(펀드수익률!36:36,펀드수익률!$42:$42,K$464)</f>
        <v>2.4702277860000184</v>
      </c>
      <c r="L483" s="1863">
        <f ca="1">SUMIFS(펀드수익률!36:36,펀드수익률!$42:$42,L$464)</f>
        <v>0.59308499290910621</v>
      </c>
    </row>
    <row r="484" spans="2:12" ht="14.25" thickBot="1">
      <c r="C484" s="4628" t="s">
        <v>4957</v>
      </c>
      <c r="D484" s="1863">
        <f t="shared" ca="1" si="149"/>
        <v>4075.8965576395499</v>
      </c>
      <c r="E484" s="1863">
        <f ca="1">SUMIFS(펀드수익률!37:37,펀드수익률!$42:$42,E$464)</f>
        <v>-24903.136260078565</v>
      </c>
      <c r="F484" s="1863">
        <f ca="1">SUMIFS(펀드수익률!37:37,펀드수익률!$42:$42,F$464)</f>
        <v>6429.6121810940767</v>
      </c>
      <c r="G484" s="1863">
        <f ca="1">SUMIFS(펀드수익률!37:37,펀드수익률!$42:$42,G$464)</f>
        <v>6221.6714573376494</v>
      </c>
      <c r="H484" s="1863">
        <f ca="1">SUMIFS(펀드수익률!37:37,펀드수익률!$42:$42,H$464)</f>
        <v>7395.6025468631724</v>
      </c>
      <c r="I484" s="1863">
        <f ca="1">SUMIFS(펀드수익률!37:37,펀드수익률!$42:$42,I$464)</f>
        <v>4907.6151759844333</v>
      </c>
      <c r="J484" s="1863">
        <f ca="1">SUMIFS(펀드수익률!37:37,펀드수익률!$42:$42,J$464)</f>
        <v>1439.193023733302</v>
      </c>
      <c r="K484" s="1863">
        <f ca="1">SUMIFS(펀드수익률!37:37,펀드수익률!$42:$42,K$464)</f>
        <v>1366.8994799051577</v>
      </c>
      <c r="L484" s="1863">
        <f ca="1">SUMIFS(펀드수익률!37:37,펀드수익률!$42:$42,L$464)</f>
        <v>1218.4389528003262</v>
      </c>
    </row>
    <row r="485" spans="2:12" ht="14.25" thickBot="1">
      <c r="C485" s="4628" t="s">
        <v>4958</v>
      </c>
      <c r="D485" s="1863">
        <f t="shared" ca="1" si="149"/>
        <v>4194.5626600759642</v>
      </c>
      <c r="E485" s="1863">
        <f ca="1">SUMIFS(펀드수익률!39:39,펀드수익률!$42:$42,E$464)</f>
        <v>-24882.508322570335</v>
      </c>
      <c r="F485" s="1863">
        <f ca="1">SUMIFS(펀드수익률!39:39,펀드수익률!$42:$42,F$464)</f>
        <v>6464.9366463655078</v>
      </c>
      <c r="G485" s="1863">
        <f ca="1">SUMIFS(펀드수익률!39:39,펀드수익률!$42:$42,G$464)</f>
        <v>6249.0593321699898</v>
      </c>
      <c r="H485" s="1863">
        <f ca="1">SUMIFS(펀드수익률!39:39,펀드수익률!$42:$42,H$464)</f>
        <v>7414.0375254190594</v>
      </c>
      <c r="I485" s="1863">
        <f ca="1">SUMIFS(펀드수익률!39:39,펀드수익률!$42:$42,I$464)</f>
        <v>4917.0531127789554</v>
      </c>
      <c r="J485" s="1863">
        <f ca="1">SUMIFS(펀드수익률!39:39,펀드수익률!$42:$42,J$464)</f>
        <v>1443.5826204283931</v>
      </c>
      <c r="K485" s="1863">
        <f ca="1">SUMIFS(펀드수익률!39:39,펀드수익률!$42:$42,K$464)</f>
        <v>1369.3697076911578</v>
      </c>
      <c r="L485" s="1863">
        <f ca="1">SUMIFS(펀드수익률!39:39,펀드수익률!$42:$42,L$464)</f>
        <v>1219.0320377932353</v>
      </c>
    </row>
    <row r="486" spans="2:12">
      <c r="E486" s="1844">
        <f ca="1">E477-E481-E484</f>
        <v>0</v>
      </c>
      <c r="F486" s="1844">
        <f t="shared" ref="F486:L486" ca="1" si="150">F477-F481-F484</f>
        <v>0</v>
      </c>
      <c r="G486" s="1844">
        <f t="shared" ca="1" si="150"/>
        <v>0</v>
      </c>
      <c r="H486" s="1844">
        <f t="shared" ca="1" si="150"/>
        <v>0</v>
      </c>
      <c r="I486" s="1844">
        <f t="shared" ca="1" si="150"/>
        <v>0</v>
      </c>
      <c r="J486" s="1844">
        <f t="shared" ca="1" si="150"/>
        <v>0</v>
      </c>
      <c r="K486" s="1844">
        <f t="shared" ca="1" si="150"/>
        <v>0</v>
      </c>
      <c r="L486" s="1844">
        <f t="shared" ca="1" si="150"/>
        <v>0</v>
      </c>
    </row>
    <row r="487" spans="2:12">
      <c r="C487" s="498" t="s">
        <v>5211</v>
      </c>
    </row>
    <row r="488" spans="2:12" ht="14.25" thickBot="1"/>
    <row r="489" spans="2:12" ht="14.25" thickBot="1">
      <c r="C489" s="4626" t="s">
        <v>4952</v>
      </c>
      <c r="D489" s="4627" t="s">
        <v>14</v>
      </c>
      <c r="E489" s="4627">
        <v>2022</v>
      </c>
      <c r="F489" s="4627">
        <v>2023</v>
      </c>
      <c r="G489" s="4627">
        <v>2024</v>
      </c>
      <c r="H489" s="4627">
        <v>2025</v>
      </c>
      <c r="I489" s="4627">
        <v>2026</v>
      </c>
      <c r="J489" s="4627">
        <v>2027</v>
      </c>
      <c r="K489" s="4627">
        <v>2028</v>
      </c>
      <c r="L489" s="4627">
        <v>2029</v>
      </c>
    </row>
    <row r="490" spans="2:12" ht="14.25" thickBot="1">
      <c r="B490" s="1844">
        <f ca="1">D465+D477-D490</f>
        <v>0</v>
      </c>
      <c r="C490" s="4629" t="s">
        <v>5357</v>
      </c>
      <c r="D490" s="1863">
        <f ca="1">SUM(E490:L490)</f>
        <v>98761.810146999982</v>
      </c>
      <c r="E490" s="1863">
        <f ca="1">SUMIFS(펀드수익률!12:12,펀드수익률!$9:$9,E$489)</f>
        <v>9962.559792</v>
      </c>
      <c r="F490" s="1863">
        <f ca="1">SUMIFS(펀드수익률!12:12,펀드수익률!$9:$9,F$489)</f>
        <v>19798.070210500002</v>
      </c>
      <c r="G490" s="1863">
        <f ca="1">SUMIFS(펀드수익률!12:12,펀드수익률!$9:$9,G$489)</f>
        <v>19154.980577499999</v>
      </c>
      <c r="H490" s="1863">
        <f ca="1">SUMIFS(펀드수익률!12:12,펀드수익률!$9:$9,H$489)</f>
        <v>22896.762170499998</v>
      </c>
      <c r="I490" s="1863">
        <f ca="1">SUMIFS(펀드수익률!12:12,펀드수익률!$9:$9,I$489)</f>
        <v>15255.287720499997</v>
      </c>
      <c r="J490" s="1863">
        <f ca="1">SUMIFS(펀드수익률!12:12,펀드수익률!$9:$9,J$489)</f>
        <v>4407.6232680000003</v>
      </c>
      <c r="K490" s="1863">
        <f ca="1">SUMIFS(펀드수익률!12:12,펀드수익률!$9:$9,K$489)</f>
        <v>4230.2458919999999</v>
      </c>
      <c r="L490" s="1863">
        <f ca="1">SUMIFS(펀드수익률!12:12,펀드수익률!$9:$9,L$489)</f>
        <v>3056.2805159999884</v>
      </c>
    </row>
    <row r="491" spans="2:12" ht="14.25" thickBot="1">
      <c r="B491" s="1844">
        <f ca="1">D466-D491</f>
        <v>0</v>
      </c>
      <c r="C491" s="4629" t="s">
        <v>5349</v>
      </c>
      <c r="D491" s="1863">
        <f t="shared" ref="D491:D501" ca="1" si="151">SUM(E491:L491)</f>
        <v>60000.000000000007</v>
      </c>
      <c r="E491" s="1863">
        <f ca="1">SUMIFS(펀드수익률!13:13,펀드수익률!$9:$9,E$489)</f>
        <v>5571.3636363636342</v>
      </c>
      <c r="F491" s="1863">
        <f ca="1">SUMIFS(펀드수익률!13:13,펀드수익률!$9:$9,F$489)</f>
        <v>11426.818181818178</v>
      </c>
      <c r="G491" s="1863">
        <f ca="1">SUMIFS(펀드수익률!13:13,펀드수익률!$9:$9,G$489)</f>
        <v>11423.636363636357</v>
      </c>
      <c r="H491" s="1863">
        <f ca="1">SUMIFS(펀드수익률!13:13,펀드수익률!$9:$9,H$489)</f>
        <v>14488.636363636357</v>
      </c>
      <c r="I491" s="1863">
        <f ca="1">SUMIFS(펀드수익률!13:13,펀드수익률!$9:$9,I$489)</f>
        <v>9829.5454545454504</v>
      </c>
      <c r="J491" s="1863">
        <f ca="1">SUMIFS(펀드수익률!13:13,펀드수익률!$9:$9,J$489)</f>
        <v>2727.2727272727266</v>
      </c>
      <c r="K491" s="1863">
        <f ca="1">SUMIFS(펀드수익률!13:13,펀드수익률!$9:$9,K$489)</f>
        <v>2727.2727272727266</v>
      </c>
      <c r="L491" s="1863">
        <f ca="1">SUMIFS(펀드수익률!13:13,펀드수익률!$9:$9,L$489)</f>
        <v>1805.4545454545732</v>
      </c>
    </row>
    <row r="492" spans="2:12" ht="14.25" thickBot="1">
      <c r="B492" s="1844">
        <f ca="1">D467-D492</f>
        <v>0</v>
      </c>
      <c r="C492" s="4629" t="s">
        <v>5351</v>
      </c>
      <c r="D492" s="1863">
        <f t="shared" ca="1" si="151"/>
        <v>6416.503486924039</v>
      </c>
      <c r="E492" s="1863">
        <f ca="1">SUMIFS(펀드수익률!14:14,펀드수익률!$9:$9,E$489)</f>
        <v>1122.9604782067249</v>
      </c>
      <c r="F492" s="1863">
        <f ca="1">SUMIFS(펀드수익률!14:14,펀드수익률!$9:$9,F$489)</f>
        <v>1906.3153823163138</v>
      </c>
      <c r="G492" s="1863">
        <f ca="1">SUMIFS(펀드수익률!14:14,펀드수익률!$9:$9,G$489)</f>
        <v>1482.2848816936491</v>
      </c>
      <c r="H492" s="1863">
        <f ca="1">SUMIFS(펀드수익률!14:14,펀드수익률!$9:$9,H$489)</f>
        <v>994.08828144458334</v>
      </c>
      <c r="I492" s="1863">
        <f ca="1">SUMIFS(펀드수익률!14:14,펀드수익률!$9:$9,I$489)</f>
        <v>508.68915317559248</v>
      </c>
      <c r="J492" s="1863">
        <f ca="1">SUMIFS(펀드수익률!14:14,펀드수익률!$9:$9,J$489)</f>
        <v>236.7679202988802</v>
      </c>
      <c r="K492" s="1863">
        <f ca="1">SUMIFS(펀드수익률!14:14,펀드수익률!$9:$9,K$489)</f>
        <v>133.6034570361156</v>
      </c>
      <c r="L492" s="1863">
        <f ca="1">SUMIFS(펀드수익률!14:14,펀드수익률!$9:$9,L$489)</f>
        <v>31.793932752180126</v>
      </c>
    </row>
    <row r="493" spans="2:12" ht="14.25" thickBot="1">
      <c r="B493" s="1844">
        <f ca="1">D478-D493</f>
        <v>0</v>
      </c>
      <c r="C493" s="4629" t="s">
        <v>5353</v>
      </c>
      <c r="D493" s="1863">
        <f t="shared" ca="1" si="151"/>
        <v>28150.743999999981</v>
      </c>
      <c r="E493" s="1863">
        <f ca="1">SUMIFS(펀드수익률!15:15,펀드수익률!$9:$9,E$489)</f>
        <v>2613.9671909696935</v>
      </c>
      <c r="F493" s="1863">
        <f ca="1">SUMIFS(펀드수익률!15:15,펀드수익률!$9:$9,F$489)</f>
        <v>5361.2238895151449</v>
      </c>
      <c r="G493" s="1863">
        <f ca="1">SUMIFS(펀드수익률!15:15,펀드수익률!$9:$9,G$489)</f>
        <v>5359.7310470302964</v>
      </c>
      <c r="H493" s="1863">
        <f ca="1">SUMIFS(펀드수익률!15:15,펀드수익률!$9:$9,H$489)</f>
        <v>6797.7648863636277</v>
      </c>
      <c r="I493" s="1863">
        <f ca="1">SUMIFS(펀드수익률!15:15,펀드수익률!$9:$9,I$489)</f>
        <v>4611.8169621212064</v>
      </c>
      <c r="J493" s="1863">
        <f ca="1">SUMIFS(펀드수익률!15:15,펀드수익률!$9:$9,J$489)</f>
        <v>1279.5792727272712</v>
      </c>
      <c r="K493" s="1863">
        <f ca="1">SUMIFS(펀드수익률!15:15,펀드수익률!$9:$9,K$489)</f>
        <v>1279.5792727272712</v>
      </c>
      <c r="L493" s="1863">
        <f ca="1">SUMIFS(펀드수익률!15:15,펀드수익률!$9:$9,L$489)</f>
        <v>847.08147854546769</v>
      </c>
    </row>
    <row r="494" spans="2:12" ht="14.25" thickBot="1">
      <c r="B494" s="1844">
        <f ca="1">D479-D494</f>
        <v>0</v>
      </c>
      <c r="C494" s="4629" t="s">
        <v>5355</v>
      </c>
      <c r="D494" s="1863">
        <f t="shared" ca="1" si="151"/>
        <v>3129.3242139923168</v>
      </c>
      <c r="E494" s="1863">
        <f ca="1">SUMIFS(펀드수익률!16:16,펀드수익률!$9:$9,E$489)</f>
        <v>547.66703126866014</v>
      </c>
      <c r="F494" s="1863">
        <f ca="1">SUMIFS(펀드수익률!16:16,펀드수익률!$9:$9,F$489)</f>
        <v>929.7086641572464</v>
      </c>
      <c r="G494" s="1863">
        <f ca="1">SUMIFS(펀드수익률!16:16,펀드수익률!$9:$9,G$489)</f>
        <v>722.90928880057572</v>
      </c>
      <c r="H494" s="1863">
        <f ca="1">SUMIFS(펀드수익률!16:16,펀드수익률!$9:$9,H$489)</f>
        <v>484.81615202266789</v>
      </c>
      <c r="I494" s="1863">
        <f ca="1">SUMIFS(펀드수익률!16:16,펀드수익률!$9:$9,I$489)</f>
        <v>248.08734035158056</v>
      </c>
      <c r="J494" s="1863">
        <f ca="1">SUMIFS(펀드수익률!16:16,펀드수익률!$9:$9,J$489)</f>
        <v>115.47154733069033</v>
      </c>
      <c r="K494" s="1863">
        <f ca="1">SUMIFS(펀드수익률!16:16,펀드수익률!$9:$9,K$489)</f>
        <v>65.158311536525503</v>
      </c>
      <c r="L494" s="1863">
        <f ca="1">SUMIFS(펀드수익률!16:16,펀드수익률!$9:$9,L$489)</f>
        <v>15.505878524370013</v>
      </c>
    </row>
    <row r="495" spans="2:12" ht="14.25" thickBot="1">
      <c r="B495" s="1844">
        <f ca="1">D480-D495</f>
        <v>0</v>
      </c>
      <c r="C495" s="4629" t="s">
        <v>5347</v>
      </c>
      <c r="D495" s="1863">
        <f t="shared" ca="1" si="151"/>
        <v>1065.2384460836436</v>
      </c>
      <c r="E495" s="1863">
        <f ca="1">SUMIFS(펀드수익률!17:17,펀드수익률!$9:$9,E$489)</f>
        <v>106.60145519128668</v>
      </c>
      <c r="F495" s="1863">
        <f ca="1">SUMIFS(펀드수익률!17:17,펀드수익률!$9:$9,F$489)</f>
        <v>174.00409269311666</v>
      </c>
      <c r="G495" s="1863">
        <f ca="1">SUMIFS(펀드수익률!17:17,펀드수익률!$9:$9,G$489)</f>
        <v>166.41899633911822</v>
      </c>
      <c r="H495" s="1863">
        <f ca="1">SUMIFS(펀드수익률!17:17,펀드수익률!$9:$9,H$489)</f>
        <v>131.45648703276376</v>
      </c>
      <c r="I495" s="1863">
        <f ca="1">SUMIFS(펀드수익률!17:17,펀드수익률!$9:$9,I$489)</f>
        <v>57.148810306168293</v>
      </c>
      <c r="J495" s="1863">
        <f ca="1">SUMIFS(펀드수익률!17:17,펀드수익률!$9:$9,J$489)</f>
        <v>48.531800370431462</v>
      </c>
      <c r="K495" s="1863">
        <f ca="1">SUMIFS(펀드수익률!17:17,펀드수익률!$9:$9,K$489)</f>
        <v>24.632123427360984</v>
      </c>
      <c r="L495" s="1863">
        <f ca="1">SUMIFS(펀드수익률!17:17,펀드수익률!$9:$9,L$489)</f>
        <v>356.44468072339748</v>
      </c>
    </row>
    <row r="496" spans="2:12" ht="14.25" thickBot="1">
      <c r="B496" s="1844">
        <f ca="1">D468+D481-D496</f>
        <v>0</v>
      </c>
      <c r="C496" s="4628" t="s">
        <v>5358</v>
      </c>
      <c r="D496" s="1863">
        <f t="shared" ca="1" si="151"/>
        <v>88522.332943345493</v>
      </c>
      <c r="E496" s="1863">
        <f ca="1">SUMIFS(펀드수익률!18:18,펀드수익률!$9:$9,E$489)</f>
        <v>88215.337960235469</v>
      </c>
      <c r="F496" s="1863">
        <f ca="1">SUMIFS(펀드수익률!18:18,펀드수익률!$9:$9,F$489)</f>
        <v>110.61440845324998</v>
      </c>
      <c r="G496" s="1863">
        <f ca="1">SUMIFS(펀드수익률!18:18,펀드수익률!$9:$9,G$489)</f>
        <v>85.76190892324999</v>
      </c>
      <c r="H496" s="1863">
        <f ca="1">SUMIFS(펀드수익률!18:18,펀드수익률!$9:$9,H$489)</f>
        <v>57.726967192250022</v>
      </c>
      <c r="I496" s="1863">
        <f ca="1">SUMIFS(펀드수익률!18:18,펀드수익률!$9:$9,I$489)</f>
        <v>29.553789067250044</v>
      </c>
      <c r="J496" s="1863">
        <f ca="1">SUMIFS(펀드수익률!18:18,펀드수익률!$9:$9,J$489)</f>
        <v>13.745505786000056</v>
      </c>
      <c r="K496" s="1863">
        <f ca="1">SUMIFS(펀드수익률!18:18,펀드수익률!$9:$9,K$489)</f>
        <v>7.7352277860000589</v>
      </c>
      <c r="L496" s="1863">
        <f ca="1">SUMIFS(펀드수익률!18:18,펀드수익률!$9:$9,L$489)</f>
        <v>1.8571759020000469</v>
      </c>
    </row>
    <row r="497" spans="2:47" ht="14.25" thickBot="1">
      <c r="B497" s="1844">
        <f ca="1">D469-D497</f>
        <v>0</v>
      </c>
      <c r="C497" s="4629" t="s">
        <v>5359</v>
      </c>
      <c r="D497" s="1863">
        <f t="shared" ca="1" si="151"/>
        <v>60000</v>
      </c>
      <c r="E497" s="1863">
        <f ca="1">SUMIFS(펀드수익률!19:19,펀드수익률!$9:$9,E$489)</f>
        <v>60000</v>
      </c>
      <c r="F497" s="1863">
        <f ca="1">SUMIFS(펀드수익률!19:19,펀드수익률!$9:$9,F$489)</f>
        <v>0</v>
      </c>
      <c r="G497" s="1863">
        <f ca="1">SUMIFS(펀드수익률!19:19,펀드수익률!$9:$9,G$489)</f>
        <v>0</v>
      </c>
      <c r="H497" s="1863">
        <f ca="1">SUMIFS(펀드수익률!19:19,펀드수익률!$9:$9,H$489)</f>
        <v>0</v>
      </c>
      <c r="I497" s="1863">
        <f ca="1">SUMIFS(펀드수익률!19:19,펀드수익률!$9:$9,I$489)</f>
        <v>0</v>
      </c>
      <c r="J497" s="1863">
        <f ca="1">SUMIFS(펀드수익률!19:19,펀드수익률!$9:$9,J$489)</f>
        <v>0</v>
      </c>
      <c r="K497" s="1863">
        <f ca="1">SUMIFS(펀드수익률!19:19,펀드수익률!$9:$9,K$489)</f>
        <v>0</v>
      </c>
      <c r="L497" s="1863">
        <f ca="1">SUMIFS(펀드수익률!19:19,펀드수익률!$9:$9,L$489)</f>
        <v>0</v>
      </c>
    </row>
    <row r="498" spans="2:47" ht="14.25" thickBot="1">
      <c r="B498" s="1844">
        <f ca="1">D482-D498</f>
        <v>0</v>
      </c>
      <c r="C498" s="4629" t="s">
        <v>5360</v>
      </c>
      <c r="D498" s="1863">
        <f t="shared" ca="1" si="151"/>
        <v>28150.743999999977</v>
      </c>
      <c r="E498" s="1863">
        <f ca="1">SUMIFS(펀드수익률!20:20,펀드수익률!$9:$9,E$489)</f>
        <v>28150.743999999977</v>
      </c>
      <c r="F498" s="1863">
        <f ca="1">SUMIFS(펀드수익률!20:20,펀드수익률!$9:$9,F$489)</f>
        <v>0</v>
      </c>
      <c r="G498" s="1863">
        <f ca="1">SUMIFS(펀드수익률!20:20,펀드수익률!$9:$9,G$489)</f>
        <v>0</v>
      </c>
      <c r="H498" s="1863">
        <f ca="1">SUMIFS(펀드수익률!20:20,펀드수익률!$9:$9,H$489)</f>
        <v>0</v>
      </c>
      <c r="I498" s="1863">
        <f ca="1">SUMIFS(펀드수익률!20:20,펀드수익률!$9:$9,I$489)</f>
        <v>0</v>
      </c>
      <c r="J498" s="1863">
        <f ca="1">SUMIFS(펀드수익률!20:20,펀드수익률!$9:$9,J$489)</f>
        <v>0</v>
      </c>
      <c r="K498" s="1863">
        <f ca="1">SUMIFS(펀드수익률!20:20,펀드수익률!$9:$9,K$489)</f>
        <v>0</v>
      </c>
      <c r="L498" s="1863">
        <f ca="1">SUMIFS(펀드수익률!20:20,펀드수익률!$9:$9,L$489)</f>
        <v>0</v>
      </c>
    </row>
    <row r="499" spans="2:47" ht="14.25" thickBot="1">
      <c r="B499" s="1844">
        <f ca="1">D470+D483-D499</f>
        <v>0</v>
      </c>
      <c r="C499" s="4629" t="s">
        <v>4956</v>
      </c>
      <c r="D499" s="1863">
        <f t="shared" ca="1" si="151"/>
        <v>371.58894334550013</v>
      </c>
      <c r="E499" s="1863">
        <f ca="1">SUMIFS(펀드수익률!21:21,펀드수익률!$9:$9,E$489)</f>
        <v>64.593960235499978</v>
      </c>
      <c r="F499" s="1863">
        <f ca="1">SUMIFS(펀드수익률!21:21,펀드수익률!$9:$9,F$489)</f>
        <v>110.61440845324998</v>
      </c>
      <c r="G499" s="1863">
        <f ca="1">SUMIFS(펀드수익률!21:21,펀드수익률!$9:$9,G$489)</f>
        <v>85.76190892324999</v>
      </c>
      <c r="H499" s="1863">
        <f ca="1">SUMIFS(펀드수익률!21:21,펀드수익률!$9:$9,H$489)</f>
        <v>57.726967192250022</v>
      </c>
      <c r="I499" s="1863">
        <f ca="1">SUMIFS(펀드수익률!21:21,펀드수익률!$9:$9,I$489)</f>
        <v>29.553789067250044</v>
      </c>
      <c r="J499" s="1863">
        <f ca="1">SUMIFS(펀드수익률!21:21,펀드수익률!$9:$9,J$489)</f>
        <v>13.745505786000056</v>
      </c>
      <c r="K499" s="1863">
        <f ca="1">SUMIFS(펀드수익률!21:21,펀드수익률!$9:$9,K$489)</f>
        <v>7.7352277860000589</v>
      </c>
      <c r="L499" s="1863">
        <f ca="1">SUMIFS(펀드수익률!21:21,펀드수익률!$9:$9,L$489)</f>
        <v>1.8571759020000469</v>
      </c>
    </row>
    <row r="500" spans="2:47" ht="14.25" thickBot="1">
      <c r="B500" s="1844">
        <f ca="1">D471+D484-D500</f>
        <v>0</v>
      </c>
      <c r="C500" s="4629" t="s">
        <v>5361</v>
      </c>
      <c r="D500" s="1863">
        <f t="shared" ca="1" si="151"/>
        <v>10239.477203654516</v>
      </c>
      <c r="E500" s="1863">
        <f ca="1">SUMIFS(펀드수익률!22:22,펀드수익률!$9:$9,E$489)</f>
        <v>-78252.778168235469</v>
      </c>
      <c r="F500" s="1863">
        <f ca="1">SUMIFS(펀드수익률!22:22,펀드수익률!$9:$9,F$489)</f>
        <v>19687.455802046752</v>
      </c>
      <c r="G500" s="1863">
        <f ca="1">SUMIFS(펀드수익률!22:22,펀드수익률!$9:$9,G$489)</f>
        <v>19069.218668576748</v>
      </c>
      <c r="H500" s="1863">
        <f ca="1">SUMIFS(펀드수익률!22:22,펀드수익률!$9:$9,H$489)</f>
        <v>22839.035203307747</v>
      </c>
      <c r="I500" s="1863">
        <f ca="1">SUMIFS(펀드수익률!22:22,펀드수익률!$9:$9,I$489)</f>
        <v>15225.733931432747</v>
      </c>
      <c r="J500" s="1863">
        <f ca="1">SUMIFS(펀드수익률!22:22,펀드수익률!$9:$9,J$489)</f>
        <v>4393.8777622139987</v>
      </c>
      <c r="K500" s="1863">
        <f ca="1">SUMIFS(펀드수익률!22:22,펀드수익률!$9:$9,K$489)</f>
        <v>4222.5106642139999</v>
      </c>
      <c r="L500" s="1863">
        <f ca="1">SUMIFS(펀드수익률!22:22,펀드수익률!$9:$9,L$489)</f>
        <v>3054.4233400979883</v>
      </c>
    </row>
    <row r="501" spans="2:47" ht="14.25" thickBot="1">
      <c r="B501" s="1844">
        <f ca="1">D472+D485-D501</f>
        <v>0</v>
      </c>
      <c r="C501" s="4629" t="s">
        <v>5362</v>
      </c>
      <c r="D501" s="1863">
        <f t="shared" ca="1" si="151"/>
        <v>10611.066147000007</v>
      </c>
      <c r="E501" s="1863">
        <f ca="1">SUMIFS(펀드수익률!24:24,펀드수익률!$9:$9,E$489)</f>
        <v>-78188.184207999977</v>
      </c>
      <c r="F501" s="1863">
        <f ca="1">SUMIFS(펀드수익률!24:24,펀드수익률!$9:$9,F$489)</f>
        <v>19798.070210500002</v>
      </c>
      <c r="G501" s="1863">
        <f ca="1">SUMIFS(펀드수익률!24:24,펀드수익률!$9:$9,G$489)</f>
        <v>19154.980577499999</v>
      </c>
      <c r="H501" s="1863">
        <f ca="1">SUMIFS(펀드수익률!24:24,펀드수익률!$9:$9,H$489)</f>
        <v>22896.762170499998</v>
      </c>
      <c r="I501" s="1863">
        <f ca="1">SUMIFS(펀드수익률!24:24,펀드수익률!$9:$9,I$489)</f>
        <v>15255.287720499997</v>
      </c>
      <c r="J501" s="1863">
        <f ca="1">SUMIFS(펀드수익률!24:24,펀드수익률!$9:$9,J$489)</f>
        <v>4407.6232680000003</v>
      </c>
      <c r="K501" s="1863">
        <f ca="1">SUMIFS(펀드수익률!24:24,펀드수익률!$9:$9,K$489)</f>
        <v>4230.2458919999999</v>
      </c>
      <c r="L501" s="1863">
        <f ca="1">SUMIFS(펀드수익률!24:24,펀드수익률!$9:$9,L$489)</f>
        <v>3056.2805159999884</v>
      </c>
    </row>
    <row r="502" spans="2:47">
      <c r="E502" s="1844">
        <f t="shared" ref="E502:L502" ca="1" si="152">E490-E496-E500</f>
        <v>0</v>
      </c>
      <c r="F502" s="1844">
        <f t="shared" ca="1" si="152"/>
        <v>0</v>
      </c>
      <c r="G502" s="1844">
        <f t="shared" ca="1" si="152"/>
        <v>0</v>
      </c>
      <c r="H502" s="1844">
        <f t="shared" ca="1" si="152"/>
        <v>0</v>
      </c>
      <c r="I502" s="1844">
        <f t="shared" ca="1" si="152"/>
        <v>0</v>
      </c>
      <c r="J502" s="1844">
        <f t="shared" ca="1" si="152"/>
        <v>0</v>
      </c>
      <c r="K502" s="1844">
        <f t="shared" ca="1" si="152"/>
        <v>0</v>
      </c>
      <c r="L502" s="1844">
        <f t="shared" ca="1" si="152"/>
        <v>0</v>
      </c>
    </row>
    <row r="505" spans="2:47">
      <c r="B505" s="498" t="s">
        <v>4980</v>
      </c>
    </row>
    <row r="506" spans="2:47" ht="14.25" thickBot="1">
      <c r="C506" s="498" t="s">
        <v>4981</v>
      </c>
    </row>
    <row r="507" spans="2:47" ht="14.25" thickBot="1">
      <c r="C507" s="4634" t="s">
        <v>48</v>
      </c>
      <c r="D507" s="4635">
        <v>2022</v>
      </c>
      <c r="E507" s="4635">
        <v>2023</v>
      </c>
      <c r="F507" s="4635">
        <v>2024</v>
      </c>
      <c r="G507" s="4635">
        <v>2025</v>
      </c>
      <c r="H507" s="4635">
        <v>2026</v>
      </c>
      <c r="I507" s="4635">
        <v>2027</v>
      </c>
      <c r="J507" s="4635">
        <v>2028</v>
      </c>
      <c r="K507" s="4635">
        <v>2029</v>
      </c>
      <c r="L507" s="498">
        <f>K507+1</f>
        <v>2030</v>
      </c>
      <c r="M507" s="498">
        <f t="shared" ref="M507:AU507" si="153">L507+1</f>
        <v>2031</v>
      </c>
      <c r="N507" s="498">
        <f t="shared" si="153"/>
        <v>2032</v>
      </c>
      <c r="O507" s="498">
        <f t="shared" si="153"/>
        <v>2033</v>
      </c>
      <c r="P507" s="498">
        <f t="shared" si="153"/>
        <v>2034</v>
      </c>
      <c r="Q507" s="498">
        <f t="shared" si="153"/>
        <v>2035</v>
      </c>
      <c r="R507" s="498">
        <f t="shared" si="153"/>
        <v>2036</v>
      </c>
      <c r="S507" s="498">
        <f t="shared" si="153"/>
        <v>2037</v>
      </c>
      <c r="T507" s="498">
        <f t="shared" si="153"/>
        <v>2038</v>
      </c>
      <c r="U507" s="498">
        <f t="shared" si="153"/>
        <v>2039</v>
      </c>
      <c r="V507" s="498">
        <f t="shared" si="153"/>
        <v>2040</v>
      </c>
      <c r="W507" s="498">
        <f t="shared" si="153"/>
        <v>2041</v>
      </c>
      <c r="X507" s="498">
        <f t="shared" si="153"/>
        <v>2042</v>
      </c>
      <c r="Y507" s="498">
        <f t="shared" si="153"/>
        <v>2043</v>
      </c>
      <c r="Z507" s="498">
        <f t="shared" si="153"/>
        <v>2044</v>
      </c>
      <c r="AA507" s="498">
        <f t="shared" si="153"/>
        <v>2045</v>
      </c>
      <c r="AB507" s="498">
        <f t="shared" si="153"/>
        <v>2046</v>
      </c>
      <c r="AC507" s="498">
        <f t="shared" si="153"/>
        <v>2047</v>
      </c>
      <c r="AD507" s="498">
        <f t="shared" si="153"/>
        <v>2048</v>
      </c>
      <c r="AE507" s="498">
        <f t="shared" si="153"/>
        <v>2049</v>
      </c>
      <c r="AF507" s="498">
        <f t="shared" si="153"/>
        <v>2050</v>
      </c>
      <c r="AG507" s="498">
        <f t="shared" si="153"/>
        <v>2051</v>
      </c>
      <c r="AH507" s="498">
        <f t="shared" si="153"/>
        <v>2052</v>
      </c>
      <c r="AI507" s="498">
        <f t="shared" si="153"/>
        <v>2053</v>
      </c>
      <c r="AJ507" s="498">
        <f t="shared" si="153"/>
        <v>2054</v>
      </c>
      <c r="AK507" s="498">
        <f t="shared" si="153"/>
        <v>2055</v>
      </c>
      <c r="AL507" s="498">
        <f t="shared" si="153"/>
        <v>2056</v>
      </c>
      <c r="AM507" s="498">
        <f t="shared" si="153"/>
        <v>2057</v>
      </c>
      <c r="AN507" s="498">
        <f t="shared" si="153"/>
        <v>2058</v>
      </c>
      <c r="AO507" s="498">
        <f t="shared" si="153"/>
        <v>2059</v>
      </c>
      <c r="AP507" s="498">
        <f t="shared" si="153"/>
        <v>2060</v>
      </c>
      <c r="AQ507" s="498">
        <f t="shared" si="153"/>
        <v>2061</v>
      </c>
      <c r="AR507" s="498">
        <f t="shared" si="153"/>
        <v>2062</v>
      </c>
      <c r="AS507" s="498">
        <f t="shared" si="153"/>
        <v>2063</v>
      </c>
      <c r="AT507" s="498">
        <f t="shared" si="153"/>
        <v>2064</v>
      </c>
      <c r="AU507" s="498">
        <f t="shared" si="153"/>
        <v>2065</v>
      </c>
    </row>
    <row r="508" spans="2:47" ht="14.25" thickBot="1">
      <c r="C508" s="4636" t="s">
        <v>4973</v>
      </c>
      <c r="D508" s="1863">
        <f ca="1">SUMIFS('IS(Y)'!4:4,'IS(Y)'!$3:$3,D$507)*100</f>
        <v>38341.569806898297</v>
      </c>
      <c r="E508" s="1863">
        <f ca="1">SUMIFS('IS(Y)'!4:4,'IS(Y)'!$3:$3,E$507)*100</f>
        <v>40193.535940382557</v>
      </c>
      <c r="F508" s="1863">
        <f ca="1">SUMIFS('IS(Y)'!4:4,'IS(Y)'!$3:$3,F$507)*100</f>
        <v>41009.41347405548</v>
      </c>
      <c r="G508" s="1863">
        <f ca="1">SUMIFS('IS(Y)'!4:4,'IS(Y)'!$3:$3,G$507)*100</f>
        <v>34056.63764191154</v>
      </c>
      <c r="H508" s="1863">
        <f ca="1">SUMIFS('IS(Y)'!4:4,'IS(Y)'!$3:$3,H$507)*100</f>
        <v>28825.260350008019</v>
      </c>
      <c r="I508" s="1863">
        <f ca="1">SUMIFS('IS(Y)'!4:4,'IS(Y)'!$3:$3,I$507)*100</f>
        <v>30469.791429229521</v>
      </c>
      <c r="J508" s="1863">
        <f ca="1">SUMIFS('IS(Y)'!4:4,'IS(Y)'!$3:$3,J$507)*100</f>
        <v>31246.635293074774</v>
      </c>
      <c r="K508" s="1863">
        <f ca="1">SUMIFS('IS(Y)'!4:4,'IS(Y)'!$3:$3,K$507)*100</f>
        <v>32022.836311220046</v>
      </c>
      <c r="L508" s="498">
        <f ca="1">SUMIFS('IS(Y)'!4:4,'IS(Y)'!$3:$3,L$507)*100</f>
        <v>33788.09966346428</v>
      </c>
      <c r="M508" s="498">
        <f ca="1">SUMIFS('IS(Y)'!4:4,'IS(Y)'!$3:$3,M$507)*100</f>
        <v>34108.606694588518</v>
      </c>
      <c r="N508" s="498">
        <f ca="1">SUMIFS('IS(Y)'!4:4,'IS(Y)'!$3:$3,N$507)*100</f>
        <v>34428.438737727767</v>
      </c>
      <c r="O508" s="498">
        <f ca="1">SUMIFS('IS(Y)'!4:4,'IS(Y)'!$3:$3,O$507)*100</f>
        <v>35797.403863449123</v>
      </c>
      <c r="P508" s="498">
        <f ca="1">SUMIFS('IS(Y)'!4:4,'IS(Y)'!$3:$3,P$507)*100</f>
        <v>36127.540830497106</v>
      </c>
      <c r="Q508" s="498">
        <f ca="1">SUMIFS('IS(Y)'!4:4,'IS(Y)'!$3:$3,Q$507)*100</f>
        <v>36456.969060160831</v>
      </c>
      <c r="R508" s="498">
        <f ca="1">SUMIFS('IS(Y)'!4:4,'IS(Y)'!$3:$3,R$507)*100</f>
        <v>37898.347599860404</v>
      </c>
      <c r="S508" s="498">
        <f ca="1">SUMIFS('IS(Y)'!4:4,'IS(Y)'!$3:$3,S$507)*100</f>
        <v>38238.404137159327</v>
      </c>
      <c r="T508" s="498">
        <f ca="1">SUMIFS('IS(Y)'!4:4,'IS(Y)'!$3:$3,T$507)*100</f>
        <v>38577.71650020477</v>
      </c>
      <c r="U508" s="498">
        <f ca="1">SUMIFS('IS(Y)'!4:4,'IS(Y)'!$3:$3,U$507)*100</f>
        <v>40094.655224283095</v>
      </c>
      <c r="V508" s="498">
        <f ca="1">SUMIFS('IS(Y)'!4:4,'IS(Y)'!$3:$3,V$507)*100</f>
        <v>40444.929692002443</v>
      </c>
      <c r="W508" s="498">
        <f ca="1">SUMIFS('IS(Y)'!4:4,'IS(Y)'!$3:$3,W$507)*100</f>
        <v>40794.422776755673</v>
      </c>
      <c r="X508" s="498">
        <f ca="1">SUMIFS('IS(Y)'!4:4,'IS(Y)'!$3:$3,X$507)*100</f>
        <v>42390.193791473488</v>
      </c>
      <c r="Y508" s="498">
        <f ca="1">SUMIFS('IS(Y)'!4:4,'IS(Y)'!$3:$3,Y$507)*100</f>
        <v>42750.993539240982</v>
      </c>
      <c r="Z508" s="498">
        <f ca="1">SUMIFS('IS(Y)'!4:4,'IS(Y)'!$3:$3,Z$507)*100</f>
        <v>43110.972834894033</v>
      </c>
      <c r="AA508" s="498">
        <f ca="1">SUMIFS('IS(Y)'!4:4,'IS(Y)'!$3:$3,AA$507)*100</f>
        <v>44788.978355515981</v>
      </c>
      <c r="AB508" s="498">
        <f ca="1">SUMIFS('IS(Y)'!4:4,'IS(Y)'!$3:$3,AB$507)*100</f>
        <v>45160.61999403387</v>
      </c>
      <c r="AC508" s="498">
        <f ca="1">SUMIFS('IS(Y)'!4:4,'IS(Y)'!$3:$3,AC$507)*100</f>
        <v>45531.400157831587</v>
      </c>
      <c r="AD508" s="498">
        <f ca="1">SUMIFS('IS(Y)'!4:4,'IS(Y)'!$3:$3,AD$507)*100</f>
        <v>47295.177459610517</v>
      </c>
      <c r="AE508" s="498">
        <f ca="1">SUMIFS('IS(Y)'!4:4,'IS(Y)'!$3:$3,AE$507)*100</f>
        <v>47677.98714051718</v>
      </c>
      <c r="AF508" s="498">
        <f ca="1">SUMIFS('IS(Y)'!4:4,'IS(Y)'!$3:$3,AF$507)*100</f>
        <v>48059.892272967678</v>
      </c>
      <c r="AG508" s="498">
        <f ca="1">SUMIFS('IS(Y)'!4:4,'IS(Y)'!$3:$3,AG$507)*100</f>
        <v>49913.118826556863</v>
      </c>
      <c r="AH508" s="498">
        <f ca="1">SUMIFS('IS(Y)'!4:4,'IS(Y)'!$3:$3,AH$507)*100</f>
        <v>50307.432530785634</v>
      </c>
      <c r="AI508" s="498">
        <f ca="1">SUMIFS('IS(Y)'!4:4,'IS(Y)'!$3:$3,AI$507)*100</f>
        <v>50700.796459135432</v>
      </c>
      <c r="AJ508" s="498">
        <f ca="1">SUMIFS('IS(Y)'!4:4,'IS(Y)'!$3:$3,AJ$507)*100</f>
        <v>52647.295257261918</v>
      </c>
      <c r="AK508" s="498">
        <f ca="1">SUMIFS('IS(Y)'!4:4,'IS(Y)'!$3:$3,AK$507)*100</f>
        <v>53053.459092157209</v>
      </c>
      <c r="AL508" s="498">
        <f ca="1">SUMIFS('IS(Y)'!4:4,'IS(Y)'!$3:$3,AL$507)*100</f>
        <v>53458.625662379585</v>
      </c>
      <c r="AM508" s="498">
        <f ca="1">SUMIFS('IS(Y)'!4:4,'IS(Y)'!$3:$3,AM$507)*100</f>
        <v>55502.370744866959</v>
      </c>
      <c r="AN508" s="498">
        <f ca="1">SUMIFS('IS(Y)'!4:4,'IS(Y)'!$3:$3,AN$507)*100</f>
        <v>55920.741250325736</v>
      </c>
      <c r="AO508" s="498">
        <f ca="1">SUMIFS('IS(Y)'!4:4,'IS(Y)'!$3:$3,AO$507)*100</f>
        <v>28169.032313938977</v>
      </c>
      <c r="AP508" s="498">
        <f>SUMIFS('IS(Y)'!4:4,'IS(Y)'!$3:$3,AP$507)*100</f>
        <v>0</v>
      </c>
      <c r="AQ508" s="498">
        <f>SUMIFS('IS(Y)'!4:4,'IS(Y)'!$3:$3,AQ$507)*100</f>
        <v>0</v>
      </c>
      <c r="AR508" s="498">
        <f>SUMIFS('IS(Y)'!4:4,'IS(Y)'!$3:$3,AR$507)*100</f>
        <v>0</v>
      </c>
      <c r="AS508" s="498">
        <f>SUMIFS('IS(Y)'!4:4,'IS(Y)'!$3:$3,AS$507)*100</f>
        <v>0</v>
      </c>
      <c r="AT508" s="498">
        <f>SUMIFS('IS(Y)'!4:4,'IS(Y)'!$3:$3,AT$507)*100</f>
        <v>0</v>
      </c>
      <c r="AU508" s="498">
        <f>SUMIFS('IS(Y)'!4:4,'IS(Y)'!$3:$3,AU$507)*100</f>
        <v>0</v>
      </c>
    </row>
    <row r="509" spans="2:47" ht="14.25" thickBot="1">
      <c r="C509" s="4636" t="s">
        <v>4974</v>
      </c>
      <c r="D509" s="1863">
        <f ca="1">SUMIFS('IS(Y)'!12:12,'IS(Y)'!$3:$3,D$507)*100</f>
        <v>26246.241630391829</v>
      </c>
      <c r="E509" s="1863">
        <f ca="1">SUMIFS('IS(Y)'!12:12,'IS(Y)'!$3:$3,E$507)*100</f>
        <v>26611.651354622838</v>
      </c>
      <c r="F509" s="1863">
        <f ca="1">SUMIFS('IS(Y)'!12:12,'IS(Y)'!$3:$3,F$507)*100</f>
        <v>26914.088939274206</v>
      </c>
      <c r="G509" s="1863">
        <f ca="1">SUMIFS('IS(Y)'!12:12,'IS(Y)'!$3:$3,G$507)*100</f>
        <v>27324.462727151615</v>
      </c>
      <c r="H509" s="1863">
        <f ca="1">SUMIFS('IS(Y)'!12:12,'IS(Y)'!$3:$3,H$507)*100</f>
        <v>27582.844056042137</v>
      </c>
      <c r="I509" s="1863">
        <f ca="1">SUMIFS('IS(Y)'!12:12,'IS(Y)'!$3:$3,I$507)*100</f>
        <v>28249.314121137802</v>
      </c>
      <c r="J509" s="1863">
        <f ca="1">SUMIFS('IS(Y)'!12:12,'IS(Y)'!$3:$3,J$507)*100</f>
        <v>28697.283238946147</v>
      </c>
      <c r="K509" s="1863">
        <f ca="1">SUMIFS('IS(Y)'!12:12,'IS(Y)'!$3:$3,K$507)*100</f>
        <v>29846.982592726119</v>
      </c>
      <c r="L509" s="498">
        <f ca="1">SUMIFS('IS(Y)'!12:12,'IS(Y)'!$3:$3,L$507)*100</f>
        <v>29776.984240047095</v>
      </c>
      <c r="M509" s="498">
        <f ca="1">SUMIFS('IS(Y)'!12:12,'IS(Y)'!$3:$3,M$507)*100</f>
        <v>30605.41908096907</v>
      </c>
      <c r="N509" s="498">
        <f ca="1">SUMIFS('IS(Y)'!12:12,'IS(Y)'!$3:$3,N$507)*100</f>
        <v>30704.185567587367</v>
      </c>
      <c r="O509" s="498">
        <f ca="1">SUMIFS('IS(Y)'!12:12,'IS(Y)'!$3:$3,O$507)*100</f>
        <v>31185.48537127499</v>
      </c>
      <c r="P509" s="498">
        <f ca="1">SUMIFS('IS(Y)'!12:12,'IS(Y)'!$3:$3,P$507)*100</f>
        <v>31575.36019044448</v>
      </c>
      <c r="Q509" s="498">
        <f ca="1">SUMIFS('IS(Y)'!12:12,'IS(Y)'!$3:$3,Q$507)*100</f>
        <v>32575.566546980845</v>
      </c>
      <c r="R509" s="498">
        <f ca="1">SUMIFS('IS(Y)'!12:12,'IS(Y)'!$3:$3,R$507)*100</f>
        <v>32791.360052374963</v>
      </c>
      <c r="S509" s="498">
        <f ca="1">SUMIFS('IS(Y)'!12:12,'IS(Y)'!$3:$3,S$507)*100</f>
        <v>33365.983271377147</v>
      </c>
      <c r="T509" s="498">
        <f ca="1">SUMIFS('IS(Y)'!12:12,'IS(Y)'!$3:$3,T$507)*100</f>
        <v>34223.338256666182</v>
      </c>
      <c r="U509" s="498">
        <f ca="1">SUMIFS('IS(Y)'!12:12,'IS(Y)'!$3:$3,U$507)*100</f>
        <v>35660.82978630258</v>
      </c>
      <c r="V509" s="498">
        <f ca="1">SUMIFS('IS(Y)'!12:12,'IS(Y)'!$3:$3,V$507)*100</f>
        <v>34344.208904498933</v>
      </c>
      <c r="W509" s="498">
        <f ca="1">SUMIFS('IS(Y)'!12:12,'IS(Y)'!$3:$3,W$507)*100</f>
        <v>34289.300243420097</v>
      </c>
      <c r="X509" s="498">
        <f ca="1">SUMIFS('IS(Y)'!12:12,'IS(Y)'!$3:$3,X$507)*100</f>
        <v>34183.398430696398</v>
      </c>
      <c r="Y509" s="498">
        <f ca="1">SUMIFS('IS(Y)'!12:12,'IS(Y)'!$3:$3,Y$507)*100</f>
        <v>34764.632955313493</v>
      </c>
      <c r="Z509" s="498">
        <f ca="1">SUMIFS('IS(Y)'!12:12,'IS(Y)'!$3:$3,Z$507)*100</f>
        <v>35056.501184831461</v>
      </c>
      <c r="AA509" s="498">
        <f ca="1">SUMIFS('IS(Y)'!12:12,'IS(Y)'!$3:$3,AA$507)*100</f>
        <v>35903.627693310424</v>
      </c>
      <c r="AB509" s="498">
        <f ca="1">SUMIFS('IS(Y)'!12:12,'IS(Y)'!$3:$3,AB$507)*100</f>
        <v>35919.52374028138</v>
      </c>
      <c r="AC509" s="498">
        <f ca="1">SUMIFS('IS(Y)'!12:12,'IS(Y)'!$3:$3,AC$507)*100</f>
        <v>36858.077936033427</v>
      </c>
      <c r="AD509" s="498">
        <f ca="1">SUMIFS('IS(Y)'!12:12,'IS(Y)'!$3:$3,AD$507)*100</f>
        <v>37460.864507159429</v>
      </c>
      <c r="AE509" s="498">
        <f ca="1">SUMIFS('IS(Y)'!12:12,'IS(Y)'!$3:$3,AE$507)*100</f>
        <v>38833.782129978274</v>
      </c>
      <c r="AF509" s="498">
        <f ca="1">SUMIFS('IS(Y)'!12:12,'IS(Y)'!$3:$3,AF$507)*100</f>
        <v>38502.448879017786</v>
      </c>
      <c r="AG509" s="498">
        <f ca="1">SUMIFS('IS(Y)'!12:12,'IS(Y)'!$3:$3,AG$507)*100</f>
        <v>39146.815687363458</v>
      </c>
      <c r="AH509" s="498">
        <f ca="1">SUMIFS('IS(Y)'!12:12,'IS(Y)'!$3:$3,AH$507)*100</f>
        <v>39882.198194931661</v>
      </c>
      <c r="AI509" s="498">
        <f ca="1">SUMIFS('IS(Y)'!12:12,'IS(Y)'!$3:$3,AI$507)*100</f>
        <v>40193.488113737098</v>
      </c>
      <c r="AJ509" s="498">
        <f ca="1">SUMIFS('IS(Y)'!12:12,'IS(Y)'!$3:$3,AJ$507)*100</f>
        <v>40452.411736740702</v>
      </c>
      <c r="AK509" s="498">
        <f ca="1">SUMIFS('IS(Y)'!12:12,'IS(Y)'!$3:$3,AK$507)*100</f>
        <v>40818.927870975735</v>
      </c>
      <c r="AL509" s="498">
        <f ca="1">SUMIFS('IS(Y)'!12:12,'IS(Y)'!$3:$3,AL$507)*100</f>
        <v>40954.859769576986</v>
      </c>
      <c r="AM509" s="498">
        <f ca="1">SUMIFS('IS(Y)'!12:12,'IS(Y)'!$3:$3,AM$507)*100</f>
        <v>41939.345583120135</v>
      </c>
      <c r="AN509" s="498">
        <f ca="1">SUMIFS('IS(Y)'!12:12,'IS(Y)'!$3:$3,AN$507)*100</f>
        <v>42215.600671853463</v>
      </c>
      <c r="AO509" s="498">
        <f ca="1">SUMIFS('IS(Y)'!12:12,'IS(Y)'!$3:$3,AO$507)*100</f>
        <v>40566.79355304037</v>
      </c>
      <c r="AP509" s="498">
        <f ca="1">SUMIFS('IS(Y)'!12:12,'IS(Y)'!$3:$3,AP$507)*100</f>
        <v>0</v>
      </c>
      <c r="AQ509" s="498">
        <f ca="1">SUMIFS('IS(Y)'!12:12,'IS(Y)'!$3:$3,AQ$507)*100</f>
        <v>0</v>
      </c>
      <c r="AR509" s="498">
        <f ca="1">SUMIFS('IS(Y)'!12:12,'IS(Y)'!$3:$3,AR$507)*100</f>
        <v>0</v>
      </c>
      <c r="AS509" s="498">
        <f ca="1">SUMIFS('IS(Y)'!12:12,'IS(Y)'!$3:$3,AS$507)*100</f>
        <v>0</v>
      </c>
      <c r="AT509" s="498">
        <f>SUMIFS('IS(Y)'!12:12,'IS(Y)'!$3:$3,AT$507)*100</f>
        <v>0</v>
      </c>
      <c r="AU509" s="498">
        <f>SUMIFS('IS(Y)'!12:12,'IS(Y)'!$3:$3,AU$507)*100</f>
        <v>0</v>
      </c>
    </row>
    <row r="510" spans="2:47" ht="14.25" thickBot="1">
      <c r="C510" s="4636" t="s">
        <v>4975</v>
      </c>
      <c r="D510" s="1863">
        <f ca="1">D508-D509</f>
        <v>12095.328176506468</v>
      </c>
      <c r="E510" s="1863">
        <f t="shared" ref="E510:AU510" ca="1" si="154">E508-E509</f>
        <v>13581.884585759719</v>
      </c>
      <c r="F510" s="1863">
        <f t="shared" ca="1" si="154"/>
        <v>14095.324534781274</v>
      </c>
      <c r="G510" s="1863">
        <f t="shared" ca="1" si="154"/>
        <v>6732.1749147599257</v>
      </c>
      <c r="H510" s="1863">
        <f t="shared" ca="1" si="154"/>
        <v>1242.4162939658818</v>
      </c>
      <c r="I510" s="1863">
        <f t="shared" ca="1" si="154"/>
        <v>2220.4773080917184</v>
      </c>
      <c r="J510" s="1863">
        <f t="shared" ca="1" si="154"/>
        <v>2549.3520541286271</v>
      </c>
      <c r="K510" s="1863">
        <f t="shared" ca="1" si="154"/>
        <v>2175.8537184939269</v>
      </c>
      <c r="L510" s="498">
        <f t="shared" ca="1" si="154"/>
        <v>4011.1154234171845</v>
      </c>
      <c r="M510" s="498">
        <f t="shared" ca="1" si="154"/>
        <v>3503.1876136194478</v>
      </c>
      <c r="N510" s="498">
        <f t="shared" ca="1" si="154"/>
        <v>3724.2531701404005</v>
      </c>
      <c r="O510" s="498">
        <f t="shared" ca="1" si="154"/>
        <v>4611.9184921741326</v>
      </c>
      <c r="P510" s="498">
        <f t="shared" ca="1" si="154"/>
        <v>4552.1806400526257</v>
      </c>
      <c r="Q510" s="498">
        <f t="shared" ca="1" si="154"/>
        <v>3881.4025131799863</v>
      </c>
      <c r="R510" s="498">
        <f t="shared" ca="1" si="154"/>
        <v>5106.9875474854416</v>
      </c>
      <c r="S510" s="498">
        <f t="shared" ca="1" si="154"/>
        <v>4872.42086578218</v>
      </c>
      <c r="T510" s="498">
        <f t="shared" ca="1" si="154"/>
        <v>4354.3782435385874</v>
      </c>
      <c r="U510" s="498">
        <f t="shared" ca="1" si="154"/>
        <v>4433.8254379805148</v>
      </c>
      <c r="V510" s="498">
        <f t="shared" ca="1" si="154"/>
        <v>6100.7207875035092</v>
      </c>
      <c r="W510" s="498">
        <f t="shared" ca="1" si="154"/>
        <v>6505.122533335576</v>
      </c>
      <c r="X510" s="498">
        <f t="shared" ca="1" si="154"/>
        <v>8206.7953607770905</v>
      </c>
      <c r="Y510" s="498">
        <f t="shared" ca="1" si="154"/>
        <v>7986.3605839274896</v>
      </c>
      <c r="Z510" s="498">
        <f t="shared" ca="1" si="154"/>
        <v>8054.4716500625727</v>
      </c>
      <c r="AA510" s="498">
        <f t="shared" ca="1" si="154"/>
        <v>8885.3506622055575</v>
      </c>
      <c r="AB510" s="498">
        <f t="shared" ca="1" si="154"/>
        <v>9241.0962537524902</v>
      </c>
      <c r="AC510" s="498">
        <f t="shared" ca="1" si="154"/>
        <v>8673.3222217981602</v>
      </c>
      <c r="AD510" s="498">
        <f t="shared" ca="1" si="154"/>
        <v>9834.3129524510878</v>
      </c>
      <c r="AE510" s="498">
        <f t="shared" ca="1" si="154"/>
        <v>8844.2050105389062</v>
      </c>
      <c r="AF510" s="498">
        <f t="shared" ca="1" si="154"/>
        <v>9557.4433939498922</v>
      </c>
      <c r="AG510" s="498">
        <f t="shared" ca="1" si="154"/>
        <v>10766.303139193406</v>
      </c>
      <c r="AH510" s="498">
        <f t="shared" ca="1" si="154"/>
        <v>10425.234335853973</v>
      </c>
      <c r="AI510" s="498">
        <f t="shared" ca="1" si="154"/>
        <v>10507.308345398334</v>
      </c>
      <c r="AJ510" s="498">
        <f t="shared" ca="1" si="154"/>
        <v>12194.883520521216</v>
      </c>
      <c r="AK510" s="498">
        <f t="shared" ca="1" si="154"/>
        <v>12234.531221181474</v>
      </c>
      <c r="AL510" s="498">
        <f t="shared" ca="1" si="154"/>
        <v>12503.765892802599</v>
      </c>
      <c r="AM510" s="498">
        <f t="shared" ca="1" si="154"/>
        <v>13563.025161746824</v>
      </c>
      <c r="AN510" s="498">
        <f t="shared" ca="1" si="154"/>
        <v>13705.140578472274</v>
      </c>
      <c r="AO510" s="498">
        <f t="shared" ca="1" si="154"/>
        <v>-12397.761239101394</v>
      </c>
      <c r="AP510" s="498">
        <f t="shared" ca="1" si="154"/>
        <v>0</v>
      </c>
      <c r="AQ510" s="498">
        <f t="shared" ca="1" si="154"/>
        <v>0</v>
      </c>
      <c r="AR510" s="498">
        <f t="shared" ca="1" si="154"/>
        <v>0</v>
      </c>
      <c r="AS510" s="498">
        <f t="shared" ca="1" si="154"/>
        <v>0</v>
      </c>
      <c r="AT510" s="498">
        <f t="shared" si="154"/>
        <v>0</v>
      </c>
      <c r="AU510" s="498">
        <f t="shared" si="154"/>
        <v>0</v>
      </c>
    </row>
    <row r="511" spans="2:47" ht="14.25" thickBot="1">
      <c r="C511" s="4636" t="s">
        <v>4976</v>
      </c>
      <c r="D511" s="1863">
        <f ca="1">SUMIFS('IS(Y)'!18:18,'IS(Y)'!$3:$3,D$507)*100+SUMIFS('IS(Y)'!19:19,'IS(Y)'!$3:$3,D$507)*100</f>
        <v>4702.0724833701297</v>
      </c>
      <c r="E511" s="1863">
        <f ca="1">SUMIFS('IS(Y)'!18:18,'IS(Y)'!$3:$3,E$507)*100+SUMIFS('IS(Y)'!19:19,'IS(Y)'!$3:$3,E$507)*100</f>
        <v>4702.0724833701306</v>
      </c>
      <c r="F511" s="1863">
        <f ca="1">SUMIFS('IS(Y)'!18:18,'IS(Y)'!$3:$3,F$507)*100+SUMIFS('IS(Y)'!19:19,'IS(Y)'!$3:$3,F$507)*100</f>
        <v>4702.0724833701297</v>
      </c>
      <c r="G511" s="1863">
        <f ca="1">SUMIFS('IS(Y)'!18:18,'IS(Y)'!$3:$3,G$507)*100+SUMIFS('IS(Y)'!19:19,'IS(Y)'!$3:$3,G$507)*100</f>
        <v>4717.6815435201306</v>
      </c>
      <c r="H511" s="1863">
        <f ca="1">SUMIFS('IS(Y)'!18:18,'IS(Y)'!$3:$3,H$507)*100+SUMIFS('IS(Y)'!19:19,'IS(Y)'!$3:$3,H$507)*100</f>
        <v>4742.4328301999849</v>
      </c>
      <c r="I511" s="1863">
        <f ca="1">SUMIFS('IS(Y)'!18:18,'IS(Y)'!$3:$3,I$507)*100+SUMIFS('IS(Y)'!19:19,'IS(Y)'!$3:$3,I$507)*100</f>
        <v>4788.0781966758295</v>
      </c>
      <c r="J511" s="1863">
        <f ca="1">SUMIFS('IS(Y)'!18:18,'IS(Y)'!$3:$3,J$507)*100+SUMIFS('IS(Y)'!19:19,'IS(Y)'!$3:$3,J$507)*100</f>
        <v>4790.222467380042</v>
      </c>
      <c r="K511" s="1863">
        <f ca="1">SUMIFS('IS(Y)'!18:18,'IS(Y)'!$3:$3,K$507)*100+SUMIFS('IS(Y)'!19:19,'IS(Y)'!$3:$3,K$507)*100</f>
        <v>4879.5581455943593</v>
      </c>
      <c r="L511" s="498">
        <f ca="1">SUMIFS('IS(Y)'!18:18,'IS(Y)'!$3:$3,L$507)*100+SUMIFS('IS(Y)'!19:19,'IS(Y)'!$3:$3,L$507)*100</f>
        <v>5010.8003783164822</v>
      </c>
      <c r="M511" s="498">
        <f ca="1">SUMIFS('IS(Y)'!18:18,'IS(Y)'!$3:$3,M$507)*100+SUMIFS('IS(Y)'!19:19,'IS(Y)'!$3:$3,M$507)*100</f>
        <v>5222.3774909734948</v>
      </c>
      <c r="N511" s="498">
        <f ca="1">SUMIFS('IS(Y)'!18:18,'IS(Y)'!$3:$3,N$507)*100+SUMIFS('IS(Y)'!19:19,'IS(Y)'!$3:$3,N$507)*100</f>
        <v>5378.2363590026389</v>
      </c>
      <c r="O511" s="498">
        <f ca="1">SUMIFS('IS(Y)'!18:18,'IS(Y)'!$3:$3,O$507)*100+SUMIFS('IS(Y)'!19:19,'IS(Y)'!$3:$3,O$507)*100</f>
        <v>5382.7436591231681</v>
      </c>
      <c r="P511" s="498">
        <f ca="1">SUMIFS('IS(Y)'!18:18,'IS(Y)'!$3:$3,P$507)*100+SUMIFS('IS(Y)'!19:19,'IS(Y)'!$3:$3,P$507)*100</f>
        <v>5553.4576511881605</v>
      </c>
      <c r="Q511" s="498">
        <f ca="1">SUMIFS('IS(Y)'!18:18,'IS(Y)'!$3:$3,Q$507)*100+SUMIFS('IS(Y)'!19:19,'IS(Y)'!$3:$3,Q$507)*100</f>
        <v>5771.8577517033082</v>
      </c>
      <c r="R511" s="498">
        <f ca="1">SUMIFS('IS(Y)'!18:18,'IS(Y)'!$3:$3,R$507)*100+SUMIFS('IS(Y)'!19:19,'IS(Y)'!$3:$3,R$507)*100</f>
        <v>6073.0572155465907</v>
      </c>
      <c r="S511" s="498">
        <f ca="1">SUMIFS('IS(Y)'!18:18,'IS(Y)'!$3:$3,S$507)*100+SUMIFS('IS(Y)'!19:19,'IS(Y)'!$3:$3,S$507)*100</f>
        <v>6192.5429794643151</v>
      </c>
      <c r="T511" s="498">
        <f ca="1">SUMIFS('IS(Y)'!18:18,'IS(Y)'!$3:$3,T$507)*100+SUMIFS('IS(Y)'!19:19,'IS(Y)'!$3:$3,T$507)*100</f>
        <v>6490.9876961702948</v>
      </c>
      <c r="U511" s="498">
        <f ca="1">SUMIFS('IS(Y)'!18:18,'IS(Y)'!$3:$3,U$507)*100+SUMIFS('IS(Y)'!19:19,'IS(Y)'!$3:$3,U$507)*100</f>
        <v>7188.0725413135915</v>
      </c>
      <c r="V511" s="498">
        <f ca="1">SUMIFS('IS(Y)'!18:18,'IS(Y)'!$3:$3,V$507)*100+SUMIFS('IS(Y)'!19:19,'IS(Y)'!$3:$3,V$507)*100</f>
        <v>6102.5974640256445</v>
      </c>
      <c r="W511" s="498">
        <f ca="1">SUMIFS('IS(Y)'!18:18,'IS(Y)'!$3:$3,W$507)*100+SUMIFS('IS(Y)'!19:19,'IS(Y)'!$3:$3,W$507)*100</f>
        <v>5714.9201186807368</v>
      </c>
      <c r="X511" s="498">
        <f ca="1">SUMIFS('IS(Y)'!18:18,'IS(Y)'!$3:$3,X$507)*100+SUMIFS('IS(Y)'!19:19,'IS(Y)'!$3:$3,X$507)*100</f>
        <v>5831.6489243608448</v>
      </c>
      <c r="Y511" s="498">
        <f ca="1">SUMIFS('IS(Y)'!18:18,'IS(Y)'!$3:$3,Y$507)*100+SUMIFS('IS(Y)'!19:19,'IS(Y)'!$3:$3,Y$507)*100</f>
        <v>5917.5343186836599</v>
      </c>
      <c r="Z511" s="498">
        <f ca="1">SUMIFS('IS(Y)'!18:18,'IS(Y)'!$3:$3,Z$507)*100+SUMIFS('IS(Y)'!19:19,'IS(Y)'!$3:$3,Z$507)*100</f>
        <v>5917.5343186836599</v>
      </c>
      <c r="AA511" s="498">
        <f ca="1">SUMIFS('IS(Y)'!18:18,'IS(Y)'!$3:$3,AA$507)*100+SUMIFS('IS(Y)'!19:19,'IS(Y)'!$3:$3,AA$507)*100</f>
        <v>5907.0041971277878</v>
      </c>
      <c r="AB511" s="498">
        <f ca="1">SUMIFS('IS(Y)'!18:18,'IS(Y)'!$3:$3,AB$507)*100+SUMIFS('IS(Y)'!19:19,'IS(Y)'!$3:$3,AB$507)*100</f>
        <v>5965.0185065423539</v>
      </c>
      <c r="AC511" s="498">
        <f ca="1">SUMIFS('IS(Y)'!18:18,'IS(Y)'!$3:$3,AC$507)*100+SUMIFS('IS(Y)'!19:19,'IS(Y)'!$3:$3,AC$507)*100</f>
        <v>5976.3644179250769</v>
      </c>
      <c r="AD511" s="498">
        <f ca="1">SUMIFS('IS(Y)'!18:18,'IS(Y)'!$3:$3,AD$507)*100+SUMIFS('IS(Y)'!19:19,'IS(Y)'!$3:$3,AD$507)*100</f>
        <v>6053.4976052347592</v>
      </c>
      <c r="AE511" s="498">
        <f ca="1">SUMIFS('IS(Y)'!18:18,'IS(Y)'!$3:$3,AE$507)*100+SUMIFS('IS(Y)'!19:19,'IS(Y)'!$3:$3,AE$507)*100</f>
        <v>6106.2007059620046</v>
      </c>
      <c r="AF511" s="498">
        <f ca="1">SUMIFS('IS(Y)'!18:18,'IS(Y)'!$3:$3,AF$507)*100+SUMIFS('IS(Y)'!19:19,'IS(Y)'!$3:$3,AF$507)*100</f>
        <v>5974.9584732398816</v>
      </c>
      <c r="AG511" s="498">
        <f ca="1">SUMIFS('IS(Y)'!18:18,'IS(Y)'!$3:$3,AG$507)*100+SUMIFS('IS(Y)'!19:19,'IS(Y)'!$3:$3,AG$507)*100</f>
        <v>5999.9800634825779</v>
      </c>
      <c r="AH511" s="498">
        <f ca="1">SUMIFS('IS(Y)'!18:18,'IS(Y)'!$3:$3,AH$507)*100+SUMIFS('IS(Y)'!19:19,'IS(Y)'!$3:$3,AH$507)*100</f>
        <v>5889.0449998014783</v>
      </c>
      <c r="AI511" s="498">
        <f ca="1">SUMIFS('IS(Y)'!18:18,'IS(Y)'!$3:$3,AI$507)*100+SUMIFS('IS(Y)'!19:19,'IS(Y)'!$3:$3,AI$507)*100</f>
        <v>5884.53769968095</v>
      </c>
      <c r="AJ511" s="498">
        <f ca="1">SUMIFS('IS(Y)'!18:18,'IS(Y)'!$3:$3,AJ$507)*100+SUMIFS('IS(Y)'!19:19,'IS(Y)'!$3:$3,AJ$507)*100</f>
        <v>5822.1415342706377</v>
      </c>
      <c r="AK511" s="498">
        <f ca="1">SUMIFS('IS(Y)'!18:18,'IS(Y)'!$3:$3,AK$507)*100+SUMIFS('IS(Y)'!19:19,'IS(Y)'!$3:$3,AK$507)*100</f>
        <v>5603.7414337554883</v>
      </c>
      <c r="AL511" s="498">
        <f ca="1">SUMIFS('IS(Y)'!18:18,'IS(Y)'!$3:$3,AL$507)*100+SUMIFS('IS(Y)'!19:19,'IS(Y)'!$3:$3,AL$507)*100</f>
        <v>5341.569375840867</v>
      </c>
      <c r="AM511" s="498">
        <f ca="1">SUMIFS('IS(Y)'!18:18,'IS(Y)'!$3:$3,AM$507)*100+SUMIFS('IS(Y)'!19:19,'IS(Y)'!$3:$3,AM$507)*100</f>
        <v>5232.8143778000795</v>
      </c>
      <c r="AN511" s="498">
        <f ca="1">SUMIFS('IS(Y)'!18:18,'IS(Y)'!$3:$3,AN$507)*100+SUMIFS('IS(Y)'!19:19,'IS(Y)'!$3:$3,AN$507)*100</f>
        <v>5001.5657170154791</v>
      </c>
      <c r="AO511" s="498">
        <f ca="1">SUMIFS('IS(Y)'!18:18,'IS(Y)'!$3:$3,AO$507)*100+SUMIFS('IS(Y)'!19:19,'IS(Y)'!$3:$3,AO$507)*100</f>
        <v>21659.504512623877</v>
      </c>
      <c r="AP511" s="498">
        <f ca="1">SUMIFS('IS(Y)'!18:18,'IS(Y)'!$3:$3,AP$507)*100+SUMIFS('IS(Y)'!19:19,'IS(Y)'!$3:$3,AP$507)*100</f>
        <v>0</v>
      </c>
      <c r="AQ511" s="498">
        <f ca="1">SUMIFS('IS(Y)'!18:18,'IS(Y)'!$3:$3,AQ$507)*100+SUMIFS('IS(Y)'!19:19,'IS(Y)'!$3:$3,AQ$507)*100</f>
        <v>0</v>
      </c>
      <c r="AR511" s="498">
        <f ca="1">SUMIFS('IS(Y)'!18:18,'IS(Y)'!$3:$3,AR$507)*100+SUMIFS('IS(Y)'!19:19,'IS(Y)'!$3:$3,AR$507)*100</f>
        <v>0</v>
      </c>
      <c r="AS511" s="498">
        <f ca="1">SUMIFS('IS(Y)'!18:18,'IS(Y)'!$3:$3,AS$507)*100+SUMIFS('IS(Y)'!19:19,'IS(Y)'!$3:$3,AS$507)*100</f>
        <v>0</v>
      </c>
      <c r="AT511" s="498">
        <f>SUMIFS('IS(Y)'!18:18,'IS(Y)'!$3:$3,AT$507)*100+SUMIFS('IS(Y)'!19:19,'IS(Y)'!$3:$3,AT$507)*100</f>
        <v>0</v>
      </c>
      <c r="AU511" s="498">
        <f>SUMIFS('IS(Y)'!18:18,'IS(Y)'!$3:$3,AU$507)*100+SUMIFS('IS(Y)'!19:19,'IS(Y)'!$3:$3,AU$507)*100</f>
        <v>0</v>
      </c>
    </row>
    <row r="512" spans="2:47" ht="14.25" thickBot="1">
      <c r="C512" s="4637" t="s">
        <v>4977</v>
      </c>
      <c r="D512" s="1863">
        <f ca="1">D510+D511</f>
        <v>16797.400659876599</v>
      </c>
      <c r="E512" s="1863">
        <f t="shared" ref="E512:AU512" ca="1" si="155">E510+E511</f>
        <v>18283.95706912985</v>
      </c>
      <c r="F512" s="1863">
        <f t="shared" ca="1" si="155"/>
        <v>18797.397018151401</v>
      </c>
      <c r="G512" s="1863">
        <f t="shared" ca="1" si="155"/>
        <v>11449.856458280057</v>
      </c>
      <c r="H512" s="1863">
        <f t="shared" ca="1" si="155"/>
        <v>5984.8491241658667</v>
      </c>
      <c r="I512" s="1863">
        <f t="shared" ca="1" si="155"/>
        <v>7008.555504767548</v>
      </c>
      <c r="J512" s="1863">
        <f t="shared" ca="1" si="155"/>
        <v>7339.574521508669</v>
      </c>
      <c r="K512" s="1863">
        <f t="shared" ca="1" si="155"/>
        <v>7055.4118640882862</v>
      </c>
      <c r="L512" s="498">
        <f t="shared" ca="1" si="155"/>
        <v>9021.9158017336667</v>
      </c>
      <c r="M512" s="498">
        <f t="shared" ca="1" si="155"/>
        <v>8725.5651045929426</v>
      </c>
      <c r="N512" s="498">
        <f t="shared" ca="1" si="155"/>
        <v>9102.4895291430403</v>
      </c>
      <c r="O512" s="498">
        <f t="shared" ca="1" si="155"/>
        <v>9994.6621512972997</v>
      </c>
      <c r="P512" s="498">
        <f t="shared" ca="1" si="155"/>
        <v>10105.638291240786</v>
      </c>
      <c r="Q512" s="498">
        <f t="shared" ca="1" si="155"/>
        <v>9653.2602648832944</v>
      </c>
      <c r="R512" s="498">
        <f t="shared" ca="1" si="155"/>
        <v>11180.044763032032</v>
      </c>
      <c r="S512" s="498">
        <f t="shared" ca="1" si="155"/>
        <v>11064.963845246495</v>
      </c>
      <c r="T512" s="498">
        <f t="shared" ca="1" si="155"/>
        <v>10845.365939708881</v>
      </c>
      <c r="U512" s="498">
        <f t="shared" ca="1" si="155"/>
        <v>11621.897979294106</v>
      </c>
      <c r="V512" s="498">
        <f t="shared" ca="1" si="155"/>
        <v>12203.318251529154</v>
      </c>
      <c r="W512" s="498">
        <f t="shared" ca="1" si="155"/>
        <v>12220.042652016313</v>
      </c>
      <c r="X512" s="498">
        <f t="shared" ca="1" si="155"/>
        <v>14038.444285137935</v>
      </c>
      <c r="Y512" s="498">
        <f t="shared" ca="1" si="155"/>
        <v>13903.89490261115</v>
      </c>
      <c r="Z512" s="498">
        <f t="shared" ca="1" si="155"/>
        <v>13972.005968746233</v>
      </c>
      <c r="AA512" s="498">
        <f t="shared" ca="1" si="155"/>
        <v>14792.354859333345</v>
      </c>
      <c r="AB512" s="498">
        <f t="shared" ca="1" si="155"/>
        <v>15206.114760294844</v>
      </c>
      <c r="AC512" s="498">
        <f t="shared" ca="1" si="155"/>
        <v>14649.686639723237</v>
      </c>
      <c r="AD512" s="498">
        <f t="shared" ca="1" si="155"/>
        <v>15887.810557685847</v>
      </c>
      <c r="AE512" s="498">
        <f t="shared" ca="1" si="155"/>
        <v>14950.405716500911</v>
      </c>
      <c r="AF512" s="498">
        <f t="shared" ca="1" si="155"/>
        <v>15532.401867189774</v>
      </c>
      <c r="AG512" s="498">
        <f t="shared" ca="1" si="155"/>
        <v>16766.283202675982</v>
      </c>
      <c r="AH512" s="498">
        <f t="shared" ca="1" si="155"/>
        <v>16314.27933565545</v>
      </c>
      <c r="AI512" s="498">
        <f t="shared" ca="1" si="155"/>
        <v>16391.846045079285</v>
      </c>
      <c r="AJ512" s="498">
        <f t="shared" ca="1" si="155"/>
        <v>18017.025054791855</v>
      </c>
      <c r="AK512" s="498">
        <f t="shared" ca="1" si="155"/>
        <v>17838.272654936962</v>
      </c>
      <c r="AL512" s="498">
        <f t="shared" ca="1" si="155"/>
        <v>17845.335268643466</v>
      </c>
      <c r="AM512" s="498">
        <f t="shared" ca="1" si="155"/>
        <v>18795.839539546905</v>
      </c>
      <c r="AN512" s="498">
        <f t="shared" ca="1" si="155"/>
        <v>18706.706295487755</v>
      </c>
      <c r="AO512" s="498">
        <f t="shared" ca="1" si="155"/>
        <v>9261.7432735224829</v>
      </c>
      <c r="AP512" s="498">
        <f t="shared" ca="1" si="155"/>
        <v>0</v>
      </c>
      <c r="AQ512" s="498">
        <f t="shared" ca="1" si="155"/>
        <v>0</v>
      </c>
      <c r="AR512" s="498">
        <f t="shared" ca="1" si="155"/>
        <v>0</v>
      </c>
      <c r="AS512" s="498">
        <f t="shared" ca="1" si="155"/>
        <v>0</v>
      </c>
      <c r="AT512" s="498">
        <f t="shared" si="155"/>
        <v>0</v>
      </c>
      <c r="AU512" s="498">
        <f t="shared" si="155"/>
        <v>0</v>
      </c>
    </row>
    <row r="513" spans="3:47" ht="15" thickTop="1" thickBot="1">
      <c r="C513" s="4636" t="s">
        <v>4978</v>
      </c>
      <c r="D513" s="4638">
        <f ca="1">D510/D508</f>
        <v>0.31546251855160906</v>
      </c>
      <c r="E513" s="4638">
        <f t="shared" ref="E513:AU513" ca="1" si="156">E510/E508</f>
        <v>0.33791216094809817</v>
      </c>
      <c r="F513" s="4638">
        <f t="shared" ca="1" si="156"/>
        <v>0.34370948864456818</v>
      </c>
      <c r="G513" s="4638">
        <f t="shared" ca="1" si="156"/>
        <v>0.19767585354565437</v>
      </c>
      <c r="H513" s="4638">
        <f t="shared" ca="1" si="156"/>
        <v>4.3101650388581353E-2</v>
      </c>
      <c r="I513" s="4638">
        <f t="shared" ca="1" si="156"/>
        <v>7.2874713082598436E-2</v>
      </c>
      <c r="J513" s="4638">
        <f t="shared" ca="1" si="156"/>
        <v>8.1588050368214926E-2</v>
      </c>
      <c r="K513" s="4638">
        <f t="shared" ca="1" si="156"/>
        <v>6.7946939407474011E-2</v>
      </c>
      <c r="L513" s="498">
        <f t="shared" ca="1" si="156"/>
        <v>0.11871385083412905</v>
      </c>
      <c r="M513" s="498">
        <f t="shared" ca="1" si="156"/>
        <v>0.1027068518215153</v>
      </c>
      <c r="N513" s="498">
        <f t="shared" ca="1" si="156"/>
        <v>0.10817374550473724</v>
      </c>
      <c r="O513" s="498">
        <f t="shared" ca="1" si="156"/>
        <v>0.12883388163472725</v>
      </c>
      <c r="P513" s="498">
        <f t="shared" ca="1" si="156"/>
        <v>0.12600305848135385</v>
      </c>
      <c r="Q513" s="498">
        <f t="shared" ca="1" si="156"/>
        <v>0.10646531001452547</v>
      </c>
      <c r="R513" s="498">
        <f t="shared" ca="1" si="156"/>
        <v>0.13475488697835081</v>
      </c>
      <c r="S513" s="498">
        <f t="shared" ca="1" si="156"/>
        <v>0.12742218133123545</v>
      </c>
      <c r="T513" s="498">
        <f t="shared" ca="1" si="156"/>
        <v>0.11287288721496708</v>
      </c>
      <c r="U513" s="498">
        <f t="shared" ca="1" si="156"/>
        <v>0.110583952229503</v>
      </c>
      <c r="V513" s="498">
        <f t="shared" ca="1" si="156"/>
        <v>0.15084018773087055</v>
      </c>
      <c r="W513" s="498">
        <f t="shared" ca="1" si="156"/>
        <v>0.15946107557237313</v>
      </c>
      <c r="X513" s="498">
        <f t="shared" ca="1" si="156"/>
        <v>0.1936012701698909</v>
      </c>
      <c r="Y513" s="498">
        <f t="shared" ca="1" si="156"/>
        <v>0.18681111063762385</v>
      </c>
      <c r="Z513" s="498">
        <f t="shared" ca="1" si="156"/>
        <v>0.18683112721463063</v>
      </c>
      <c r="AA513" s="498">
        <f t="shared" ca="1" si="156"/>
        <v>0.19838252597943626</v>
      </c>
      <c r="AB513" s="498">
        <f t="shared" ca="1" si="156"/>
        <v>0.20462731147121813</v>
      </c>
      <c r="AC513" s="498">
        <f t="shared" ca="1" si="156"/>
        <v>0.19049100602513128</v>
      </c>
      <c r="AD513" s="498">
        <f t="shared" ca="1" si="156"/>
        <v>0.20793479336977785</v>
      </c>
      <c r="AE513" s="498">
        <f t="shared" ca="1" si="156"/>
        <v>0.18549870791468506</v>
      </c>
      <c r="AF513" s="498">
        <f t="shared" ca="1" si="156"/>
        <v>0.19886526877060193</v>
      </c>
      <c r="AG513" s="498">
        <f t="shared" ca="1" si="156"/>
        <v>0.21570086967727345</v>
      </c>
      <c r="AH513" s="498">
        <f t="shared" ca="1" si="156"/>
        <v>0.20723049878314204</v>
      </c>
      <c r="AI513" s="498">
        <f t="shared" ca="1" si="156"/>
        <v>0.20724148493144814</v>
      </c>
      <c r="AJ513" s="498">
        <f t="shared" ca="1" si="156"/>
        <v>0.23163361880094138</v>
      </c>
      <c r="AK513" s="498">
        <f t="shared" ca="1" si="156"/>
        <v>0.23060760656396262</v>
      </c>
      <c r="AL513" s="498">
        <f t="shared" ca="1" si="156"/>
        <v>0.23389613440066173</v>
      </c>
      <c r="AM513" s="498">
        <f t="shared" ca="1" si="156"/>
        <v>0.24436839327266352</v>
      </c>
      <c r="AN513" s="498">
        <f t="shared" ca="1" si="156"/>
        <v>0.24508152560285387</v>
      </c>
      <c r="AO513" s="498">
        <f t="shared" ca="1" si="156"/>
        <v>-0.44012023916656051</v>
      </c>
      <c r="AP513" s="498" t="e">
        <f t="shared" ca="1" si="156"/>
        <v>#DIV/0!</v>
      </c>
      <c r="AQ513" s="498" t="e">
        <f t="shared" ca="1" si="156"/>
        <v>#DIV/0!</v>
      </c>
      <c r="AR513" s="498" t="e">
        <f t="shared" ca="1" si="156"/>
        <v>#DIV/0!</v>
      </c>
      <c r="AS513" s="498" t="e">
        <f t="shared" ca="1" si="156"/>
        <v>#DIV/0!</v>
      </c>
      <c r="AT513" s="498" t="e">
        <f t="shared" si="156"/>
        <v>#DIV/0!</v>
      </c>
      <c r="AU513" s="498" t="e">
        <f t="shared" si="156"/>
        <v>#DIV/0!</v>
      </c>
    </row>
    <row r="514" spans="3:47" ht="14.25" thickBot="1">
      <c r="C514" s="4636" t="s">
        <v>4979</v>
      </c>
      <c r="D514" s="4638">
        <f ca="1">D512/D508</f>
        <v>0.43809892877298057</v>
      </c>
      <c r="E514" s="4638">
        <f t="shared" ref="E514:AU514" ca="1" si="157">E512/E508</f>
        <v>0.45489794916898335</v>
      </c>
      <c r="F514" s="4638">
        <f t="shared" ca="1" si="157"/>
        <v>0.45836785815148356</v>
      </c>
      <c r="G514" s="4638">
        <f t="shared" ca="1" si="157"/>
        <v>0.33620043700935937</v>
      </c>
      <c r="H514" s="4638">
        <f t="shared" ca="1" si="157"/>
        <v>0.20762515417017566</v>
      </c>
      <c r="I514" s="4638">
        <f t="shared" ca="1" si="157"/>
        <v>0.23001652377719511</v>
      </c>
      <c r="J514" s="4638">
        <f t="shared" ca="1" si="157"/>
        <v>0.23489167562100188</v>
      </c>
      <c r="K514" s="4638">
        <f t="shared" ca="1" si="157"/>
        <v>0.22032438961742551</v>
      </c>
      <c r="L514" s="498">
        <f t="shared" ca="1" si="157"/>
        <v>0.26701459660630861</v>
      </c>
      <c r="M514" s="498">
        <f t="shared" ca="1" si="157"/>
        <v>0.25581710747443964</v>
      </c>
      <c r="N514" s="498">
        <f t="shared" ca="1" si="157"/>
        <v>0.26438868165021512</v>
      </c>
      <c r="O514" s="498">
        <f t="shared" ca="1" si="157"/>
        <v>0.27920075403854444</v>
      </c>
      <c r="P514" s="498">
        <f t="shared" ca="1" si="157"/>
        <v>0.27972117832914051</v>
      </c>
      <c r="Q514" s="498">
        <f t="shared" ca="1" si="157"/>
        <v>0.26478504696738792</v>
      </c>
      <c r="R514" s="498">
        <f t="shared" ca="1" si="157"/>
        <v>0.29500085019731082</v>
      </c>
      <c r="S514" s="498">
        <f t="shared" ca="1" si="157"/>
        <v>0.28936782522505383</v>
      </c>
      <c r="T514" s="498">
        <f t="shared" ca="1" si="157"/>
        <v>0.28113032402141569</v>
      </c>
      <c r="U514" s="498">
        <f t="shared" ca="1" si="157"/>
        <v>0.28986152678662697</v>
      </c>
      <c r="V514" s="498">
        <f t="shared" ca="1" si="157"/>
        <v>0.30172677624761035</v>
      </c>
      <c r="W514" s="498">
        <f t="shared" ca="1" si="157"/>
        <v>0.29955179704072665</v>
      </c>
      <c r="X514" s="498">
        <f t="shared" ca="1" si="157"/>
        <v>0.33117197704252244</v>
      </c>
      <c r="Y514" s="498">
        <f t="shared" ca="1" si="157"/>
        <v>0.32522974910159258</v>
      </c>
      <c r="Z514" s="498">
        <f t="shared" ca="1" si="157"/>
        <v>0.32409396146674951</v>
      </c>
      <c r="AA514" s="498">
        <f t="shared" ca="1" si="157"/>
        <v>0.33026774448655388</v>
      </c>
      <c r="AB514" s="498">
        <f t="shared" ca="1" si="157"/>
        <v>0.33671182464509369</v>
      </c>
      <c r="AC514" s="498">
        <f t="shared" ca="1" si="157"/>
        <v>0.32174909159263865</v>
      </c>
      <c r="AD514" s="498">
        <f t="shared" ca="1" si="157"/>
        <v>0.33592876506814751</v>
      </c>
      <c r="AE514" s="498">
        <f t="shared" ca="1" si="157"/>
        <v>0.31357040456508539</v>
      </c>
      <c r="AF514" s="498">
        <f t="shared" ca="1" si="157"/>
        <v>0.32318844534585667</v>
      </c>
      <c r="AG514" s="498">
        <f t="shared" ca="1" si="157"/>
        <v>0.33590934802004968</v>
      </c>
      <c r="AH514" s="498">
        <f t="shared" ca="1" si="157"/>
        <v>0.32429163077785628</v>
      </c>
      <c r="AI514" s="498">
        <f t="shared" ca="1" si="157"/>
        <v>0.32330549399339364</v>
      </c>
      <c r="AJ514" s="498">
        <f t="shared" ca="1" si="157"/>
        <v>0.34222128538135438</v>
      </c>
      <c r="AK514" s="498">
        <f t="shared" ca="1" si="157"/>
        <v>0.33623203765000048</v>
      </c>
      <c r="AL514" s="498">
        <f t="shared" ca="1" si="157"/>
        <v>0.33381582574431495</v>
      </c>
      <c r="AM514" s="498">
        <f t="shared" ca="1" si="157"/>
        <v>0.33864930970151769</v>
      </c>
      <c r="AN514" s="498">
        <f t="shared" ca="1" si="157"/>
        <v>0.33452178703691249</v>
      </c>
      <c r="AO514" s="498">
        <f t="shared" ca="1" si="157"/>
        <v>0.32879167343421534</v>
      </c>
      <c r="AP514" s="498" t="e">
        <f t="shared" ca="1" si="157"/>
        <v>#DIV/0!</v>
      </c>
      <c r="AQ514" s="498" t="e">
        <f t="shared" ca="1" si="157"/>
        <v>#DIV/0!</v>
      </c>
      <c r="AR514" s="498" t="e">
        <f t="shared" ca="1" si="157"/>
        <v>#DIV/0!</v>
      </c>
      <c r="AS514" s="498" t="e">
        <f t="shared" ca="1" si="157"/>
        <v>#DIV/0!</v>
      </c>
      <c r="AT514" s="498" t="e">
        <f t="shared" si="157"/>
        <v>#DIV/0!</v>
      </c>
      <c r="AU514" s="498" t="e">
        <f t="shared" si="157"/>
        <v>#DIV/0!</v>
      </c>
    </row>
    <row r="515" spans="3:47" ht="14.25" thickBot="1"/>
    <row r="516" spans="3:47" ht="14.25" thickBot="1">
      <c r="C516" s="4634" t="s">
        <v>48</v>
      </c>
      <c r="D516" s="4635">
        <f>L507</f>
        <v>2030</v>
      </c>
      <c r="E516" s="4635">
        <f t="shared" ref="E516:K516" si="158">M507</f>
        <v>2031</v>
      </c>
      <c r="F516" s="4635">
        <f t="shared" si="158"/>
        <v>2032</v>
      </c>
      <c r="G516" s="4635">
        <f t="shared" si="158"/>
        <v>2033</v>
      </c>
      <c r="H516" s="4635">
        <f t="shared" si="158"/>
        <v>2034</v>
      </c>
      <c r="I516" s="4635">
        <f t="shared" si="158"/>
        <v>2035</v>
      </c>
      <c r="J516" s="4635">
        <f t="shared" si="158"/>
        <v>2036</v>
      </c>
      <c r="K516" s="4635">
        <f t="shared" si="158"/>
        <v>2037</v>
      </c>
    </row>
    <row r="517" spans="3:47" ht="14.25" thickBot="1">
      <c r="C517" s="4636" t="s">
        <v>4973</v>
      </c>
      <c r="D517" s="1863">
        <f t="shared" ref="D517:D523" ca="1" si="159">L508</f>
        <v>33788.09966346428</v>
      </c>
      <c r="E517" s="1863">
        <f t="shared" ref="E517:E523" ca="1" si="160">M508</f>
        <v>34108.606694588518</v>
      </c>
      <c r="F517" s="1863">
        <f t="shared" ref="F517:F523" ca="1" si="161">N508</f>
        <v>34428.438737727767</v>
      </c>
      <c r="G517" s="1863">
        <f t="shared" ref="G517:G523" ca="1" si="162">O508</f>
        <v>35797.403863449123</v>
      </c>
      <c r="H517" s="1863">
        <f t="shared" ref="H517:H523" ca="1" si="163">P508</f>
        <v>36127.540830497106</v>
      </c>
      <c r="I517" s="1863">
        <f t="shared" ref="I517:I523" ca="1" si="164">Q508</f>
        <v>36456.969060160831</v>
      </c>
      <c r="J517" s="1863">
        <f t="shared" ref="J517:J523" ca="1" si="165">R508</f>
        <v>37898.347599860404</v>
      </c>
      <c r="K517" s="1863">
        <f t="shared" ref="K517:K523" ca="1" si="166">S508</f>
        <v>38238.404137159327</v>
      </c>
    </row>
    <row r="518" spans="3:47" ht="14.25" thickBot="1">
      <c r="C518" s="4636" t="s">
        <v>4974</v>
      </c>
      <c r="D518" s="1863">
        <f t="shared" ca="1" si="159"/>
        <v>29776.984240047095</v>
      </c>
      <c r="E518" s="1863">
        <f t="shared" ca="1" si="160"/>
        <v>30605.41908096907</v>
      </c>
      <c r="F518" s="1863">
        <f t="shared" ca="1" si="161"/>
        <v>30704.185567587367</v>
      </c>
      <c r="G518" s="1863">
        <f t="shared" ca="1" si="162"/>
        <v>31185.48537127499</v>
      </c>
      <c r="H518" s="1863">
        <f t="shared" ca="1" si="163"/>
        <v>31575.36019044448</v>
      </c>
      <c r="I518" s="1863">
        <f t="shared" ca="1" si="164"/>
        <v>32575.566546980845</v>
      </c>
      <c r="J518" s="1863">
        <f t="shared" ca="1" si="165"/>
        <v>32791.360052374963</v>
      </c>
      <c r="K518" s="1863">
        <f t="shared" ca="1" si="166"/>
        <v>33365.983271377147</v>
      </c>
    </row>
    <row r="519" spans="3:47" ht="14.25" thickBot="1">
      <c r="C519" s="4636" t="s">
        <v>4975</v>
      </c>
      <c r="D519" s="1863">
        <f t="shared" ca="1" si="159"/>
        <v>4011.1154234171845</v>
      </c>
      <c r="E519" s="1863">
        <f t="shared" ca="1" si="160"/>
        <v>3503.1876136194478</v>
      </c>
      <c r="F519" s="1863">
        <f t="shared" ca="1" si="161"/>
        <v>3724.2531701404005</v>
      </c>
      <c r="G519" s="1863">
        <f t="shared" ca="1" si="162"/>
        <v>4611.9184921741326</v>
      </c>
      <c r="H519" s="1863">
        <f t="shared" ca="1" si="163"/>
        <v>4552.1806400526257</v>
      </c>
      <c r="I519" s="1863">
        <f t="shared" ca="1" si="164"/>
        <v>3881.4025131799863</v>
      </c>
      <c r="J519" s="1863">
        <f t="shared" ca="1" si="165"/>
        <v>5106.9875474854416</v>
      </c>
      <c r="K519" s="1863">
        <f t="shared" ca="1" si="166"/>
        <v>4872.42086578218</v>
      </c>
    </row>
    <row r="520" spans="3:47" ht="14.25" thickBot="1">
      <c r="C520" s="4636" t="s">
        <v>4976</v>
      </c>
      <c r="D520" s="1863">
        <f t="shared" ca="1" si="159"/>
        <v>5010.8003783164822</v>
      </c>
      <c r="E520" s="1863">
        <f t="shared" ca="1" si="160"/>
        <v>5222.3774909734948</v>
      </c>
      <c r="F520" s="1863">
        <f t="shared" ca="1" si="161"/>
        <v>5378.2363590026389</v>
      </c>
      <c r="G520" s="1863">
        <f t="shared" ca="1" si="162"/>
        <v>5382.7436591231681</v>
      </c>
      <c r="H520" s="1863">
        <f t="shared" ca="1" si="163"/>
        <v>5553.4576511881605</v>
      </c>
      <c r="I520" s="1863">
        <f t="shared" ca="1" si="164"/>
        <v>5771.8577517033082</v>
      </c>
      <c r="J520" s="1863">
        <f t="shared" ca="1" si="165"/>
        <v>6073.0572155465907</v>
      </c>
      <c r="K520" s="1863">
        <f t="shared" ca="1" si="166"/>
        <v>6192.5429794643151</v>
      </c>
    </row>
    <row r="521" spans="3:47" ht="14.25" thickBot="1">
      <c r="C521" s="4637" t="s">
        <v>4977</v>
      </c>
      <c r="D521" s="1863">
        <f t="shared" ca="1" si="159"/>
        <v>9021.9158017336667</v>
      </c>
      <c r="E521" s="1863">
        <f t="shared" ca="1" si="160"/>
        <v>8725.5651045929426</v>
      </c>
      <c r="F521" s="1863">
        <f t="shared" ca="1" si="161"/>
        <v>9102.4895291430403</v>
      </c>
      <c r="G521" s="1863">
        <f t="shared" ca="1" si="162"/>
        <v>9994.6621512972997</v>
      </c>
      <c r="H521" s="1863">
        <f t="shared" ca="1" si="163"/>
        <v>10105.638291240786</v>
      </c>
      <c r="I521" s="1863">
        <f t="shared" ca="1" si="164"/>
        <v>9653.2602648832944</v>
      </c>
      <c r="J521" s="1863">
        <f t="shared" ca="1" si="165"/>
        <v>11180.044763032032</v>
      </c>
      <c r="K521" s="1863">
        <f t="shared" ca="1" si="166"/>
        <v>11064.963845246495</v>
      </c>
    </row>
    <row r="522" spans="3:47" ht="15" thickTop="1" thickBot="1">
      <c r="C522" s="4636" t="s">
        <v>4978</v>
      </c>
      <c r="D522" s="4638">
        <f t="shared" ca="1" si="159"/>
        <v>0.11871385083412905</v>
      </c>
      <c r="E522" s="4638">
        <f t="shared" ca="1" si="160"/>
        <v>0.1027068518215153</v>
      </c>
      <c r="F522" s="4638">
        <f t="shared" ca="1" si="161"/>
        <v>0.10817374550473724</v>
      </c>
      <c r="G522" s="4638">
        <f t="shared" ca="1" si="162"/>
        <v>0.12883388163472725</v>
      </c>
      <c r="H522" s="4638">
        <f t="shared" ca="1" si="163"/>
        <v>0.12600305848135385</v>
      </c>
      <c r="I522" s="4638">
        <f t="shared" ca="1" si="164"/>
        <v>0.10646531001452547</v>
      </c>
      <c r="J522" s="4638">
        <f t="shared" ca="1" si="165"/>
        <v>0.13475488697835081</v>
      </c>
      <c r="K522" s="4638">
        <f t="shared" ca="1" si="166"/>
        <v>0.12742218133123545</v>
      </c>
    </row>
    <row r="523" spans="3:47" ht="14.25" thickBot="1">
      <c r="C523" s="4636" t="s">
        <v>4979</v>
      </c>
      <c r="D523" s="4638">
        <f t="shared" ca="1" si="159"/>
        <v>0.26701459660630861</v>
      </c>
      <c r="E523" s="4638">
        <f t="shared" ca="1" si="160"/>
        <v>0.25581710747443964</v>
      </c>
      <c r="F523" s="4638">
        <f t="shared" ca="1" si="161"/>
        <v>0.26438868165021512</v>
      </c>
      <c r="G523" s="4638">
        <f t="shared" ca="1" si="162"/>
        <v>0.27920075403854444</v>
      </c>
      <c r="H523" s="4638">
        <f t="shared" ca="1" si="163"/>
        <v>0.27972117832914051</v>
      </c>
      <c r="I523" s="4638">
        <f t="shared" ca="1" si="164"/>
        <v>0.26478504696738792</v>
      </c>
      <c r="J523" s="4638">
        <f t="shared" ca="1" si="165"/>
        <v>0.29500085019731082</v>
      </c>
      <c r="K523" s="4638">
        <f t="shared" ca="1" si="166"/>
        <v>0.28936782522505383</v>
      </c>
    </row>
    <row r="524" spans="3:47" ht="14.25" thickBot="1"/>
    <row r="525" spans="3:47" ht="14.25" thickBot="1">
      <c r="C525" s="4634" t="s">
        <v>48</v>
      </c>
      <c r="D525" s="4635">
        <f>T507</f>
        <v>2038</v>
      </c>
      <c r="E525" s="4635">
        <f t="shared" ref="E525:K525" si="167">U507</f>
        <v>2039</v>
      </c>
      <c r="F525" s="4635">
        <f t="shared" si="167"/>
        <v>2040</v>
      </c>
      <c r="G525" s="4635">
        <f t="shared" si="167"/>
        <v>2041</v>
      </c>
      <c r="H525" s="4635">
        <f t="shared" si="167"/>
        <v>2042</v>
      </c>
      <c r="I525" s="4635">
        <f t="shared" si="167"/>
        <v>2043</v>
      </c>
      <c r="J525" s="4635">
        <f t="shared" si="167"/>
        <v>2044</v>
      </c>
      <c r="K525" s="4635">
        <f t="shared" si="167"/>
        <v>2045</v>
      </c>
    </row>
    <row r="526" spans="3:47" ht="14.25" thickBot="1">
      <c r="C526" s="4636" t="s">
        <v>4973</v>
      </c>
      <c r="D526" s="1863">
        <f t="shared" ref="D526:D532" ca="1" si="168">T508</f>
        <v>38577.71650020477</v>
      </c>
      <c r="E526" s="1863">
        <f t="shared" ref="E526:E532" ca="1" si="169">U508</f>
        <v>40094.655224283095</v>
      </c>
      <c r="F526" s="1863">
        <f t="shared" ref="F526:F532" ca="1" si="170">V508</f>
        <v>40444.929692002443</v>
      </c>
      <c r="G526" s="1863">
        <f t="shared" ref="G526:G532" ca="1" si="171">W508</f>
        <v>40794.422776755673</v>
      </c>
      <c r="H526" s="1863">
        <f t="shared" ref="H526:H532" ca="1" si="172">X508</f>
        <v>42390.193791473488</v>
      </c>
      <c r="I526" s="1863">
        <f t="shared" ref="I526:I532" ca="1" si="173">Y508</f>
        <v>42750.993539240982</v>
      </c>
      <c r="J526" s="1863">
        <f t="shared" ref="J526:J532" ca="1" si="174">Z508</f>
        <v>43110.972834894033</v>
      </c>
      <c r="K526" s="1863">
        <f t="shared" ref="K526:K532" ca="1" si="175">AA508</f>
        <v>44788.978355515981</v>
      </c>
    </row>
    <row r="527" spans="3:47" ht="14.25" thickBot="1">
      <c r="C527" s="4636" t="s">
        <v>4974</v>
      </c>
      <c r="D527" s="1863">
        <f t="shared" ca="1" si="168"/>
        <v>34223.338256666182</v>
      </c>
      <c r="E527" s="1863">
        <f t="shared" ca="1" si="169"/>
        <v>35660.82978630258</v>
      </c>
      <c r="F527" s="1863">
        <f t="shared" ca="1" si="170"/>
        <v>34344.208904498933</v>
      </c>
      <c r="G527" s="1863">
        <f t="shared" ca="1" si="171"/>
        <v>34289.300243420097</v>
      </c>
      <c r="H527" s="1863">
        <f t="shared" ca="1" si="172"/>
        <v>34183.398430696398</v>
      </c>
      <c r="I527" s="1863">
        <f t="shared" ca="1" si="173"/>
        <v>34764.632955313493</v>
      </c>
      <c r="J527" s="1863">
        <f t="shared" ca="1" si="174"/>
        <v>35056.501184831461</v>
      </c>
      <c r="K527" s="1863">
        <f t="shared" ca="1" si="175"/>
        <v>35903.627693310424</v>
      </c>
    </row>
    <row r="528" spans="3:47" ht="14.25" thickBot="1">
      <c r="C528" s="4636" t="s">
        <v>4975</v>
      </c>
      <c r="D528" s="1863">
        <f t="shared" ca="1" si="168"/>
        <v>4354.3782435385874</v>
      </c>
      <c r="E528" s="1863">
        <f t="shared" ca="1" si="169"/>
        <v>4433.8254379805148</v>
      </c>
      <c r="F528" s="1863">
        <f t="shared" ca="1" si="170"/>
        <v>6100.7207875035092</v>
      </c>
      <c r="G528" s="1863">
        <f t="shared" ca="1" si="171"/>
        <v>6505.122533335576</v>
      </c>
      <c r="H528" s="1863">
        <f t="shared" ca="1" si="172"/>
        <v>8206.7953607770905</v>
      </c>
      <c r="I528" s="1863">
        <f t="shared" ca="1" si="173"/>
        <v>7986.3605839274896</v>
      </c>
      <c r="J528" s="1863">
        <f t="shared" ca="1" si="174"/>
        <v>8054.4716500625727</v>
      </c>
      <c r="K528" s="1863">
        <f t="shared" ca="1" si="175"/>
        <v>8885.3506622055575</v>
      </c>
    </row>
    <row r="529" spans="3:11" ht="14.25" thickBot="1">
      <c r="C529" s="4636" t="s">
        <v>4976</v>
      </c>
      <c r="D529" s="1863">
        <f t="shared" ca="1" si="168"/>
        <v>6490.9876961702948</v>
      </c>
      <c r="E529" s="1863">
        <f t="shared" ca="1" si="169"/>
        <v>7188.0725413135915</v>
      </c>
      <c r="F529" s="1863">
        <f t="shared" ca="1" si="170"/>
        <v>6102.5974640256445</v>
      </c>
      <c r="G529" s="1863">
        <f t="shared" ca="1" si="171"/>
        <v>5714.9201186807368</v>
      </c>
      <c r="H529" s="1863">
        <f t="shared" ca="1" si="172"/>
        <v>5831.6489243608448</v>
      </c>
      <c r="I529" s="1863">
        <f t="shared" ca="1" si="173"/>
        <v>5917.5343186836599</v>
      </c>
      <c r="J529" s="1863">
        <f t="shared" ca="1" si="174"/>
        <v>5917.5343186836599</v>
      </c>
      <c r="K529" s="1863">
        <f t="shared" ca="1" si="175"/>
        <v>5907.0041971277878</v>
      </c>
    </row>
    <row r="530" spans="3:11" ht="14.25" thickBot="1">
      <c r="C530" s="4637" t="s">
        <v>4977</v>
      </c>
      <c r="D530" s="1863">
        <f t="shared" ca="1" si="168"/>
        <v>10845.365939708881</v>
      </c>
      <c r="E530" s="1863">
        <f t="shared" ca="1" si="169"/>
        <v>11621.897979294106</v>
      </c>
      <c r="F530" s="1863">
        <f t="shared" ca="1" si="170"/>
        <v>12203.318251529154</v>
      </c>
      <c r="G530" s="1863">
        <f t="shared" ca="1" si="171"/>
        <v>12220.042652016313</v>
      </c>
      <c r="H530" s="1863">
        <f t="shared" ca="1" si="172"/>
        <v>14038.444285137935</v>
      </c>
      <c r="I530" s="1863">
        <f t="shared" ca="1" si="173"/>
        <v>13903.89490261115</v>
      </c>
      <c r="J530" s="1863">
        <f t="shared" ca="1" si="174"/>
        <v>13972.005968746233</v>
      </c>
      <c r="K530" s="1863">
        <f t="shared" ca="1" si="175"/>
        <v>14792.354859333345</v>
      </c>
    </row>
    <row r="531" spans="3:11" ht="15" thickTop="1" thickBot="1">
      <c r="C531" s="4636" t="s">
        <v>4978</v>
      </c>
      <c r="D531" s="4638">
        <f t="shared" ca="1" si="168"/>
        <v>0.11287288721496708</v>
      </c>
      <c r="E531" s="4638">
        <f t="shared" ca="1" si="169"/>
        <v>0.110583952229503</v>
      </c>
      <c r="F531" s="4638">
        <f t="shared" ca="1" si="170"/>
        <v>0.15084018773087055</v>
      </c>
      <c r="G531" s="4638">
        <f t="shared" ca="1" si="171"/>
        <v>0.15946107557237313</v>
      </c>
      <c r="H531" s="4638">
        <f t="shared" ca="1" si="172"/>
        <v>0.1936012701698909</v>
      </c>
      <c r="I531" s="4638">
        <f t="shared" ca="1" si="173"/>
        <v>0.18681111063762385</v>
      </c>
      <c r="J531" s="4638">
        <f t="shared" ca="1" si="174"/>
        <v>0.18683112721463063</v>
      </c>
      <c r="K531" s="4638">
        <f t="shared" ca="1" si="175"/>
        <v>0.19838252597943626</v>
      </c>
    </row>
    <row r="532" spans="3:11" ht="14.25" thickBot="1">
      <c r="C532" s="4636" t="s">
        <v>4979</v>
      </c>
      <c r="D532" s="4638">
        <f t="shared" ca="1" si="168"/>
        <v>0.28113032402141569</v>
      </c>
      <c r="E532" s="4638">
        <f t="shared" ca="1" si="169"/>
        <v>0.28986152678662697</v>
      </c>
      <c r="F532" s="4638">
        <f t="shared" ca="1" si="170"/>
        <v>0.30172677624761035</v>
      </c>
      <c r="G532" s="4638">
        <f t="shared" ca="1" si="171"/>
        <v>0.29955179704072665</v>
      </c>
      <c r="H532" s="4638">
        <f t="shared" ca="1" si="172"/>
        <v>0.33117197704252244</v>
      </c>
      <c r="I532" s="4638">
        <f t="shared" ca="1" si="173"/>
        <v>0.32522974910159258</v>
      </c>
      <c r="J532" s="4638">
        <f t="shared" ca="1" si="174"/>
        <v>0.32409396146674951</v>
      </c>
      <c r="K532" s="4638">
        <f t="shared" ca="1" si="175"/>
        <v>0.33026774448655388</v>
      </c>
    </row>
    <row r="533" spans="3:11" ht="14.25" thickBot="1"/>
    <row r="534" spans="3:11" ht="14.25" thickBot="1">
      <c r="C534" s="4634" t="s">
        <v>48</v>
      </c>
      <c r="D534" s="4635">
        <f>AB507</f>
        <v>2046</v>
      </c>
      <c r="E534" s="4635">
        <f t="shared" ref="E534:K534" si="176">AC507</f>
        <v>2047</v>
      </c>
      <c r="F534" s="4635">
        <f t="shared" si="176"/>
        <v>2048</v>
      </c>
      <c r="G534" s="4635">
        <f t="shared" si="176"/>
        <v>2049</v>
      </c>
      <c r="H534" s="4635">
        <f t="shared" si="176"/>
        <v>2050</v>
      </c>
      <c r="I534" s="4635">
        <f t="shared" si="176"/>
        <v>2051</v>
      </c>
      <c r="J534" s="4635">
        <f t="shared" si="176"/>
        <v>2052</v>
      </c>
      <c r="K534" s="4635">
        <f t="shared" si="176"/>
        <v>2053</v>
      </c>
    </row>
    <row r="535" spans="3:11" ht="14.25" thickBot="1">
      <c r="C535" s="4636" t="s">
        <v>4973</v>
      </c>
      <c r="D535" s="1863">
        <f t="shared" ref="D535:D541" ca="1" si="177">AB508</f>
        <v>45160.61999403387</v>
      </c>
      <c r="E535" s="1863">
        <f t="shared" ref="E535:E541" ca="1" si="178">AC508</f>
        <v>45531.400157831587</v>
      </c>
      <c r="F535" s="1863">
        <f t="shared" ref="F535:F541" ca="1" si="179">AD508</f>
        <v>47295.177459610517</v>
      </c>
      <c r="G535" s="1863">
        <f t="shared" ref="G535:G541" ca="1" si="180">AE508</f>
        <v>47677.98714051718</v>
      </c>
      <c r="H535" s="1863">
        <f t="shared" ref="H535:H541" ca="1" si="181">AF508</f>
        <v>48059.892272967678</v>
      </c>
      <c r="I535" s="1863">
        <f t="shared" ref="I535:I541" ca="1" si="182">AG508</f>
        <v>49913.118826556863</v>
      </c>
      <c r="J535" s="1863">
        <f t="shared" ref="J535:J541" ca="1" si="183">AH508</f>
        <v>50307.432530785634</v>
      </c>
      <c r="K535" s="1863">
        <f t="shared" ref="K535:K541" ca="1" si="184">AI508</f>
        <v>50700.796459135432</v>
      </c>
    </row>
    <row r="536" spans="3:11" ht="14.25" thickBot="1">
      <c r="C536" s="4636" t="s">
        <v>4974</v>
      </c>
      <c r="D536" s="1863">
        <f t="shared" ca="1" si="177"/>
        <v>35919.52374028138</v>
      </c>
      <c r="E536" s="1863">
        <f t="shared" ca="1" si="178"/>
        <v>36858.077936033427</v>
      </c>
      <c r="F536" s="1863">
        <f t="shared" ca="1" si="179"/>
        <v>37460.864507159429</v>
      </c>
      <c r="G536" s="1863">
        <f t="shared" ca="1" si="180"/>
        <v>38833.782129978274</v>
      </c>
      <c r="H536" s="1863">
        <f t="shared" ca="1" si="181"/>
        <v>38502.448879017786</v>
      </c>
      <c r="I536" s="1863">
        <f t="shared" ca="1" si="182"/>
        <v>39146.815687363458</v>
      </c>
      <c r="J536" s="1863">
        <f t="shared" ca="1" si="183"/>
        <v>39882.198194931661</v>
      </c>
      <c r="K536" s="1863">
        <f t="shared" ca="1" si="184"/>
        <v>40193.488113737098</v>
      </c>
    </row>
    <row r="537" spans="3:11" ht="14.25" thickBot="1">
      <c r="C537" s="4636" t="s">
        <v>4975</v>
      </c>
      <c r="D537" s="1863">
        <f t="shared" ca="1" si="177"/>
        <v>9241.0962537524902</v>
      </c>
      <c r="E537" s="1863">
        <f t="shared" ca="1" si="178"/>
        <v>8673.3222217981602</v>
      </c>
      <c r="F537" s="1863">
        <f t="shared" ca="1" si="179"/>
        <v>9834.3129524510878</v>
      </c>
      <c r="G537" s="1863">
        <f t="shared" ca="1" si="180"/>
        <v>8844.2050105389062</v>
      </c>
      <c r="H537" s="1863">
        <f t="shared" ca="1" si="181"/>
        <v>9557.4433939498922</v>
      </c>
      <c r="I537" s="1863">
        <f t="shared" ca="1" si="182"/>
        <v>10766.303139193406</v>
      </c>
      <c r="J537" s="1863">
        <f t="shared" ca="1" si="183"/>
        <v>10425.234335853973</v>
      </c>
      <c r="K537" s="1863">
        <f t="shared" ca="1" si="184"/>
        <v>10507.308345398334</v>
      </c>
    </row>
    <row r="538" spans="3:11" ht="14.25" thickBot="1">
      <c r="C538" s="4636" t="s">
        <v>4976</v>
      </c>
      <c r="D538" s="1863">
        <f t="shared" ca="1" si="177"/>
        <v>5965.0185065423539</v>
      </c>
      <c r="E538" s="1863">
        <f t="shared" ca="1" si="178"/>
        <v>5976.3644179250769</v>
      </c>
      <c r="F538" s="1863">
        <f t="shared" ca="1" si="179"/>
        <v>6053.4976052347592</v>
      </c>
      <c r="G538" s="1863">
        <f t="shared" ca="1" si="180"/>
        <v>6106.2007059620046</v>
      </c>
      <c r="H538" s="1863">
        <f t="shared" ca="1" si="181"/>
        <v>5974.9584732398816</v>
      </c>
      <c r="I538" s="1863">
        <f t="shared" ca="1" si="182"/>
        <v>5999.9800634825779</v>
      </c>
      <c r="J538" s="1863">
        <f t="shared" ca="1" si="183"/>
        <v>5889.0449998014783</v>
      </c>
      <c r="K538" s="1863">
        <f t="shared" ca="1" si="184"/>
        <v>5884.53769968095</v>
      </c>
    </row>
    <row r="539" spans="3:11" ht="14.25" thickBot="1">
      <c r="C539" s="4637" t="s">
        <v>4977</v>
      </c>
      <c r="D539" s="1863">
        <f t="shared" ca="1" si="177"/>
        <v>15206.114760294844</v>
      </c>
      <c r="E539" s="1863">
        <f t="shared" ca="1" si="178"/>
        <v>14649.686639723237</v>
      </c>
      <c r="F539" s="1863">
        <f t="shared" ca="1" si="179"/>
        <v>15887.810557685847</v>
      </c>
      <c r="G539" s="1863">
        <f t="shared" ca="1" si="180"/>
        <v>14950.405716500911</v>
      </c>
      <c r="H539" s="1863">
        <f t="shared" ca="1" si="181"/>
        <v>15532.401867189774</v>
      </c>
      <c r="I539" s="1863">
        <f t="shared" ca="1" si="182"/>
        <v>16766.283202675982</v>
      </c>
      <c r="J539" s="1863">
        <f t="shared" ca="1" si="183"/>
        <v>16314.27933565545</v>
      </c>
      <c r="K539" s="1863">
        <f t="shared" ca="1" si="184"/>
        <v>16391.846045079285</v>
      </c>
    </row>
    <row r="540" spans="3:11" ht="15" thickTop="1" thickBot="1">
      <c r="C540" s="4636" t="s">
        <v>4978</v>
      </c>
      <c r="D540" s="4638">
        <f t="shared" ca="1" si="177"/>
        <v>0.20462731147121813</v>
      </c>
      <c r="E540" s="4638">
        <f t="shared" ca="1" si="178"/>
        <v>0.19049100602513128</v>
      </c>
      <c r="F540" s="4638">
        <f t="shared" ca="1" si="179"/>
        <v>0.20793479336977785</v>
      </c>
      <c r="G540" s="4638">
        <f t="shared" ca="1" si="180"/>
        <v>0.18549870791468506</v>
      </c>
      <c r="H540" s="4638">
        <f t="shared" ca="1" si="181"/>
        <v>0.19886526877060193</v>
      </c>
      <c r="I540" s="4638">
        <f t="shared" ca="1" si="182"/>
        <v>0.21570086967727345</v>
      </c>
      <c r="J540" s="4638">
        <f t="shared" ca="1" si="183"/>
        <v>0.20723049878314204</v>
      </c>
      <c r="K540" s="4638">
        <f t="shared" ca="1" si="184"/>
        <v>0.20724148493144814</v>
      </c>
    </row>
    <row r="541" spans="3:11" ht="14.25" thickBot="1">
      <c r="C541" s="4636" t="s">
        <v>4979</v>
      </c>
      <c r="D541" s="4638">
        <f t="shared" ca="1" si="177"/>
        <v>0.33671182464509369</v>
      </c>
      <c r="E541" s="4638">
        <f t="shared" ca="1" si="178"/>
        <v>0.32174909159263865</v>
      </c>
      <c r="F541" s="4638">
        <f t="shared" ca="1" si="179"/>
        <v>0.33592876506814751</v>
      </c>
      <c r="G541" s="4638">
        <f t="shared" ca="1" si="180"/>
        <v>0.31357040456508539</v>
      </c>
      <c r="H541" s="4638">
        <f t="shared" ca="1" si="181"/>
        <v>0.32318844534585667</v>
      </c>
      <c r="I541" s="4638">
        <f t="shared" ca="1" si="182"/>
        <v>0.33590934802004968</v>
      </c>
      <c r="J541" s="4638">
        <f t="shared" ca="1" si="183"/>
        <v>0.32429163077785628</v>
      </c>
      <c r="K541" s="4638">
        <f t="shared" ca="1" si="184"/>
        <v>0.32330549399339364</v>
      </c>
    </row>
    <row r="542" spans="3:11" ht="14.25" thickBot="1"/>
    <row r="543" spans="3:11" ht="14.25" thickBot="1">
      <c r="C543" s="4634" t="s">
        <v>48</v>
      </c>
      <c r="D543" s="4635">
        <f>AJ507</f>
        <v>2054</v>
      </c>
      <c r="E543" s="4635">
        <f t="shared" ref="E543:I543" si="185">AK507</f>
        <v>2055</v>
      </c>
      <c r="F543" s="4635">
        <f t="shared" si="185"/>
        <v>2056</v>
      </c>
      <c r="G543" s="4635">
        <f t="shared" si="185"/>
        <v>2057</v>
      </c>
      <c r="H543" s="4635">
        <f t="shared" si="185"/>
        <v>2058</v>
      </c>
      <c r="I543" s="4635">
        <f t="shared" si="185"/>
        <v>2059</v>
      </c>
    </row>
    <row r="544" spans="3:11" ht="14.25" thickBot="1">
      <c r="C544" s="4636" t="s">
        <v>4973</v>
      </c>
      <c r="D544" s="1863">
        <f t="shared" ref="D544:D550" ca="1" si="186">AJ508</f>
        <v>52647.295257261918</v>
      </c>
      <c r="E544" s="1863">
        <f t="shared" ref="E544:E550" ca="1" si="187">AK508</f>
        <v>53053.459092157209</v>
      </c>
      <c r="F544" s="1863">
        <f t="shared" ref="F544:F550" ca="1" si="188">AL508</f>
        <v>53458.625662379585</v>
      </c>
      <c r="G544" s="1863">
        <f t="shared" ref="G544:G550" ca="1" si="189">AM508</f>
        <v>55502.370744866959</v>
      </c>
      <c r="H544" s="1863">
        <f t="shared" ref="H544:H550" ca="1" si="190">AN508</f>
        <v>55920.741250325736</v>
      </c>
      <c r="I544" s="1863">
        <f t="shared" ref="I544:I550" ca="1" si="191">AO508</f>
        <v>28169.032313938977</v>
      </c>
    </row>
    <row r="545" spans="3:27" ht="14.25" thickBot="1">
      <c r="C545" s="4636" t="s">
        <v>4974</v>
      </c>
      <c r="D545" s="1863">
        <f t="shared" ca="1" si="186"/>
        <v>40452.411736740702</v>
      </c>
      <c r="E545" s="1863">
        <f t="shared" ca="1" si="187"/>
        <v>40818.927870975735</v>
      </c>
      <c r="F545" s="1863">
        <f t="shared" ca="1" si="188"/>
        <v>40954.859769576986</v>
      </c>
      <c r="G545" s="1863">
        <f t="shared" ca="1" si="189"/>
        <v>41939.345583120135</v>
      </c>
      <c r="H545" s="1863">
        <f t="shared" ca="1" si="190"/>
        <v>42215.600671853463</v>
      </c>
      <c r="I545" s="1863">
        <f t="shared" ca="1" si="191"/>
        <v>40566.79355304037</v>
      </c>
    </row>
    <row r="546" spans="3:27" ht="14.25" thickBot="1">
      <c r="C546" s="4636" t="s">
        <v>4975</v>
      </c>
      <c r="D546" s="1863">
        <f t="shared" ca="1" si="186"/>
        <v>12194.883520521216</v>
      </c>
      <c r="E546" s="1863">
        <f t="shared" ca="1" si="187"/>
        <v>12234.531221181474</v>
      </c>
      <c r="F546" s="1863">
        <f t="shared" ca="1" si="188"/>
        <v>12503.765892802599</v>
      </c>
      <c r="G546" s="1863">
        <f t="shared" ca="1" si="189"/>
        <v>13563.025161746824</v>
      </c>
      <c r="H546" s="1863">
        <f t="shared" ca="1" si="190"/>
        <v>13705.140578472274</v>
      </c>
      <c r="I546" s="1863">
        <f t="shared" ca="1" si="191"/>
        <v>-12397.761239101394</v>
      </c>
    </row>
    <row r="547" spans="3:27" ht="14.25" thickBot="1">
      <c r="C547" s="4636" t="s">
        <v>4976</v>
      </c>
      <c r="D547" s="1863">
        <f t="shared" ca="1" si="186"/>
        <v>5822.1415342706377</v>
      </c>
      <c r="E547" s="1863">
        <f t="shared" ca="1" si="187"/>
        <v>5603.7414337554883</v>
      </c>
      <c r="F547" s="1863">
        <f t="shared" ca="1" si="188"/>
        <v>5341.569375840867</v>
      </c>
      <c r="G547" s="1863">
        <f t="shared" ca="1" si="189"/>
        <v>5232.8143778000795</v>
      </c>
      <c r="H547" s="1863">
        <f t="shared" ca="1" si="190"/>
        <v>5001.5657170154791</v>
      </c>
      <c r="I547" s="1863">
        <f t="shared" ca="1" si="191"/>
        <v>21659.504512623877</v>
      </c>
    </row>
    <row r="548" spans="3:27" ht="14.25" thickBot="1">
      <c r="C548" s="4637" t="s">
        <v>4977</v>
      </c>
      <c r="D548" s="1863">
        <f t="shared" ca="1" si="186"/>
        <v>18017.025054791855</v>
      </c>
      <c r="E548" s="1863">
        <f t="shared" ca="1" si="187"/>
        <v>17838.272654936962</v>
      </c>
      <c r="F548" s="1863">
        <f t="shared" ca="1" si="188"/>
        <v>17845.335268643466</v>
      </c>
      <c r="G548" s="1863">
        <f t="shared" ca="1" si="189"/>
        <v>18795.839539546905</v>
      </c>
      <c r="H548" s="1863">
        <f t="shared" ca="1" si="190"/>
        <v>18706.706295487755</v>
      </c>
      <c r="I548" s="1863">
        <f t="shared" ca="1" si="191"/>
        <v>9261.7432735224829</v>
      </c>
    </row>
    <row r="549" spans="3:27" ht="15" thickTop="1" thickBot="1">
      <c r="C549" s="4636" t="s">
        <v>4978</v>
      </c>
      <c r="D549" s="4638">
        <f t="shared" ca="1" si="186"/>
        <v>0.23163361880094138</v>
      </c>
      <c r="E549" s="4638">
        <f t="shared" ca="1" si="187"/>
        <v>0.23060760656396262</v>
      </c>
      <c r="F549" s="4638">
        <f t="shared" ca="1" si="188"/>
        <v>0.23389613440066173</v>
      </c>
      <c r="G549" s="4638">
        <f t="shared" ca="1" si="189"/>
        <v>0.24436839327266352</v>
      </c>
      <c r="H549" s="4638">
        <f t="shared" ca="1" si="190"/>
        <v>0.24508152560285387</v>
      </c>
      <c r="I549" s="4638">
        <f t="shared" ca="1" si="191"/>
        <v>-0.44012023916656051</v>
      </c>
    </row>
    <row r="550" spans="3:27" ht="14.25" thickBot="1">
      <c r="C550" s="4636" t="s">
        <v>4979</v>
      </c>
      <c r="D550" s="4638">
        <f t="shared" ca="1" si="186"/>
        <v>0.34222128538135438</v>
      </c>
      <c r="E550" s="4638">
        <f t="shared" ca="1" si="187"/>
        <v>0.33623203765000048</v>
      </c>
      <c r="F550" s="4638">
        <f t="shared" ca="1" si="188"/>
        <v>0.33381582574431495</v>
      </c>
      <c r="G550" s="4638">
        <f t="shared" ca="1" si="189"/>
        <v>0.33864930970151769</v>
      </c>
      <c r="H550" s="4638">
        <f t="shared" ca="1" si="190"/>
        <v>0.33452178703691249</v>
      </c>
      <c r="I550" s="4638">
        <f t="shared" ca="1" si="191"/>
        <v>0.32879167343421534</v>
      </c>
    </row>
    <row r="551" spans="3:27">
      <c r="C551" s="4639"/>
      <c r="D551" s="4640"/>
      <c r="E551" s="4640"/>
      <c r="F551" s="4640"/>
      <c r="G551" s="4640"/>
      <c r="H551" s="4640"/>
      <c r="I551" s="4640"/>
    </row>
    <row r="552" spans="3:27">
      <c r="C552" s="4639"/>
      <c r="D552" s="4640"/>
      <c r="E552" s="4640"/>
      <c r="F552" s="4640"/>
      <c r="G552" s="4640"/>
      <c r="H552" s="4640"/>
      <c r="I552" s="4640"/>
    </row>
    <row r="553" spans="3:27" ht="14.25" thickBot="1">
      <c r="C553" s="4639"/>
      <c r="D553" s="4640"/>
      <c r="E553" s="4640"/>
      <c r="F553" s="4640"/>
      <c r="H553" s="4640"/>
      <c r="I553" s="5354" t="s">
        <v>5252</v>
      </c>
    </row>
    <row r="554" spans="3:27" ht="15.6" customHeight="1">
      <c r="C554" s="5501"/>
      <c r="D554" s="4641"/>
      <c r="E554" s="5498" t="s">
        <v>4992</v>
      </c>
      <c r="F554" s="4641" t="s">
        <v>4982</v>
      </c>
      <c r="G554" s="5498" t="s">
        <v>4984</v>
      </c>
      <c r="H554" s="5498" t="s">
        <v>5256</v>
      </c>
      <c r="I554" s="5504" t="s">
        <v>251</v>
      </c>
      <c r="J554" s="5498" t="s">
        <v>4991</v>
      </c>
      <c r="K554" s="4641" t="s">
        <v>4985</v>
      </c>
    </row>
    <row r="555" spans="3:27">
      <c r="C555" s="5502"/>
      <c r="D555" s="4642" t="s">
        <v>3744</v>
      </c>
      <c r="E555" s="5499"/>
      <c r="F555" s="4642" t="s">
        <v>4983</v>
      </c>
      <c r="G555" s="5499"/>
      <c r="H555" s="5499"/>
      <c r="I555" s="5505"/>
      <c r="J555" s="5499"/>
      <c r="K555" s="4642" t="s">
        <v>1136</v>
      </c>
    </row>
    <row r="556" spans="3:27" ht="14.25" thickBot="1">
      <c r="C556" s="5503"/>
      <c r="D556" s="4643"/>
      <c r="E556" s="5500"/>
      <c r="F556" s="4644" t="s">
        <v>1322</v>
      </c>
      <c r="G556" s="5500"/>
      <c r="H556" s="5500"/>
      <c r="I556" s="5506"/>
      <c r="J556" s="5500"/>
      <c r="K556" s="4643"/>
      <c r="N556" s="498" t="s">
        <v>5107</v>
      </c>
      <c r="O556" s="498" t="s">
        <v>5108</v>
      </c>
    </row>
    <row r="557" spans="3:27" ht="14.25" thickBot="1">
      <c r="C557" s="4645">
        <v>2022</v>
      </c>
      <c r="D557" s="1863">
        <f ca="1">SUMIFS('CF(Y)'!$46:$46,'CF(Y)'!$4:$4,report!C557)*100</f>
        <v>756.80049400000303</v>
      </c>
      <c r="E557" s="1863">
        <f ca="1">SUMIFS(Waterfall!$16:$16,Waterfall!$3:$3,$C557)*100-SUMIFS(Waterfall!$11:$11,Waterfall!$3:$3,C557)*100</f>
        <v>31220.676301295367</v>
      </c>
      <c r="F557" s="1863">
        <f ca="1">SUMIFS(Waterfall!$35:$35,Waterfall!$3:$3,report!C557)*100</f>
        <v>19850.578438500001</v>
      </c>
      <c r="G557" s="1863">
        <f ca="1">IF(E557+D557-F557&lt;0,E557+D557-F557,0)</f>
        <v>0</v>
      </c>
      <c r="H557" s="1863">
        <f ca="1">SUMIFS(Waterfall!$44:$44,Waterfall!$3:$3,$C557)*100+SUMIFS(Waterfall!$45:$45,Waterfall!$3:$3,$C557)*100+SUMIFS(Waterfall!$46:$46,Waterfall!$3:$3,$C557)*100+SUMIFS(Waterfall!$47:$47,Waterfall!$3:$3,$C557)*100+SUMIFS(Waterfall!$39:$39,Waterfall!$3:$3,$C557)*100</f>
        <v>2999.5</v>
      </c>
      <c r="I557" s="1863">
        <f ca="1">SUMIFS(Waterfall!$51:$51,Waterfall!$3:$3,$C557)*100</f>
        <v>9127.3983567953674</v>
      </c>
      <c r="J557" s="1863">
        <f ca="1">SUMIFS('CF(Y)'!$43:$43,'CF(Y)'!$4:$4,report!C557)*100</f>
        <v>0</v>
      </c>
      <c r="K557" s="1863">
        <f ca="1">SUMIFS('CF(Y)'!$47:$47,'CF(Y)'!$4:$4,$C557)*100</f>
        <v>0</v>
      </c>
      <c r="L557" s="4699">
        <f ca="1">D557+E557-F557-H557-I557-J557-K557</f>
        <v>1.8189894035458565E-12</v>
      </c>
      <c r="N557" s="5060">
        <f>SUMIFS(Waterfall!$34:$34,Waterfall!$3:$3,report!C557)*100</f>
        <v>15862.358999999999</v>
      </c>
      <c r="O557" s="5060">
        <f ca="1">SUMIFS(Waterfall!$33:$33,Waterfall!$3:$3,report!C557)*100</f>
        <v>3988.2194384999993</v>
      </c>
      <c r="Q557" s="5253" t="s">
        <v>5225</v>
      </c>
      <c r="R557" s="5256" t="s">
        <v>14</v>
      </c>
      <c r="S557" s="5256">
        <v>2022</v>
      </c>
      <c r="T557" s="5256">
        <v>2023</v>
      </c>
      <c r="U557" s="5256">
        <v>2024</v>
      </c>
      <c r="V557" s="5256">
        <v>2025</v>
      </c>
      <c r="W557" s="5256">
        <v>2026</v>
      </c>
      <c r="X557" s="5256">
        <v>2027</v>
      </c>
      <c r="Y557" s="5256">
        <v>2028</v>
      </c>
      <c r="Z557" s="5257">
        <v>2029</v>
      </c>
    </row>
    <row r="558" spans="3:27" ht="14.25" thickBot="1">
      <c r="C558" s="4645">
        <f>C557+1</f>
        <v>2023</v>
      </c>
      <c r="D558" s="1863">
        <f ca="1">SUMIFS('CF(Y)'!$46:$46,'CF(Y)'!$4:$4,report!C558)*100</f>
        <v>0</v>
      </c>
      <c r="E558" s="1863">
        <f ca="1">SUMIFS(Waterfall!$16:$16,Waterfall!$3:$3,$C558)*100-SUMIFS(Waterfall!$11:$11,Waterfall!$3:$3,C558)*100</f>
        <v>43200.325772299235</v>
      </c>
      <c r="F558" s="1863">
        <f ca="1">SUMIFS(Waterfall!$35:$35,Waterfall!$3:$3,report!C558)*100</f>
        <v>19798.070210500002</v>
      </c>
      <c r="G558" s="1863">
        <f t="shared" ref="G558:G564" ca="1" si="192">IF(E558+D558-F558&lt;0,E558+D558-F558,0)</f>
        <v>0</v>
      </c>
      <c r="H558" s="1863">
        <f ca="1">SUMIFS(Waterfall!$44:$44,Waterfall!$3:$3,$C558)*100+SUMIFS(Waterfall!$45:$45,Waterfall!$3:$3,$C558)*100+SUMIFS(Waterfall!$46:$46,Waterfall!$3:$3,$C558)*100+SUMIFS(Waterfall!$47:$47,Waterfall!$3:$3,$C558)*100+SUMIFS(Waterfall!$39:$39,Waterfall!$3:$3,$C558)*100</f>
        <v>1030</v>
      </c>
      <c r="I558" s="1863">
        <f ca="1">SUMIFS(Waterfall!$51:$51,Waterfall!$3:$3,$C558)*100</f>
        <v>20879.578871252703</v>
      </c>
      <c r="J558" s="1863">
        <f ca="1">SUMIFS('CF(Y)'!$43:$43,'CF(Y)'!$4:$4,report!C558)*100</f>
        <v>0</v>
      </c>
      <c r="K558" s="4649">
        <f ca="1">SUMIFS('CF(Y)'!$47:$47,'CF(Y)'!$4:$4,$C558)*100</f>
        <v>1492.6766905465399</v>
      </c>
      <c r="L558" s="4699">
        <f ca="1">D558+E558-F558-H558-I558-J558-K558</f>
        <v>-9.7770680440589786E-12</v>
      </c>
      <c r="N558" s="5061">
        <f>SUMIFS(Waterfall!$34:$34,Waterfall!$3:$3,report!C558)*100</f>
        <v>16526.751</v>
      </c>
      <c r="O558" s="5061">
        <f ca="1">SUMIFS(Waterfall!$33:$33,Waterfall!$3:$3,report!C558)*100</f>
        <v>3271.3192104999998</v>
      </c>
      <c r="Q558" s="5254" t="s">
        <v>3676</v>
      </c>
      <c r="R558" s="1863"/>
      <c r="S558" s="1863">
        <v>756.80049400000303</v>
      </c>
      <c r="T558" s="1863">
        <f t="shared" ref="T558:Z558" si="193">S565</f>
        <v>3594.0287722499979</v>
      </c>
      <c r="U558" s="1863">
        <f t="shared" si="193"/>
        <v>8305.9915053515397</v>
      </c>
      <c r="V558" s="1863">
        <f t="shared" si="193"/>
        <v>9739.5807722741883</v>
      </c>
      <c r="W558" s="1863">
        <f t="shared" si="193"/>
        <v>10384.969864500003</v>
      </c>
      <c r="X558" s="1863">
        <f t="shared" si="193"/>
        <v>11185.030473750001</v>
      </c>
      <c r="Y558" s="1863">
        <f t="shared" si="193"/>
        <v>12289.031839183484</v>
      </c>
      <c r="Z558" s="1863">
        <f t="shared" si="193"/>
        <v>13512.529899341414</v>
      </c>
    </row>
    <row r="559" spans="3:27" ht="14.25" thickBot="1">
      <c r="C559" s="4645">
        <f t="shared" ref="C559:C564" si="194">C558+1</f>
        <v>2024</v>
      </c>
      <c r="D559" s="1863">
        <f ca="1">SUMIFS('CF(Y)'!$46:$46,'CF(Y)'!$4:$4,report!C559)*100</f>
        <v>1492.6766905465399</v>
      </c>
      <c r="E559" s="1863">
        <f ca="1">SUMIFS(Waterfall!$16:$16,Waterfall!$3:$3,$C559)*100-SUMIFS(Waterfall!$11:$11,Waterfall!$3:$3,C559)*100</f>
        <v>38490.736538243356</v>
      </c>
      <c r="F559" s="1863">
        <f ca="1">SUMIFS(Waterfall!$35:$35,Waterfall!$3:$3,report!C559)*100</f>
        <v>19154.980577499999</v>
      </c>
      <c r="G559" s="1863">
        <f t="shared" ca="1" si="192"/>
        <v>0</v>
      </c>
      <c r="H559" s="1863">
        <f ca="1">SUMIFS(Waterfall!$44:$44,Waterfall!$3:$3,$C559)*100+SUMIFS(Waterfall!$45:$45,Waterfall!$3:$3,$C559)*100+SUMIFS(Waterfall!$46:$46,Waterfall!$3:$3,$C559)*100+SUMIFS(Waterfall!$47:$47,Waterfall!$3:$3,$C559)*100+SUMIFS(Waterfall!$39:$39,Waterfall!$3:$3,$C559)*100</f>
        <v>1030</v>
      </c>
      <c r="I559" s="1863">
        <f ca="1">SUMIFS(Waterfall!$51:$51,Waterfall!$3:$3,$C559)*100</f>
        <v>19062.424095020713</v>
      </c>
      <c r="J559" s="1863">
        <f ca="1">SUMIFS('CF(Y)'!$43:$43,'CF(Y)'!$4:$4,report!C559)*100</f>
        <v>0</v>
      </c>
      <c r="K559" s="1863">
        <f ca="1">SUMIFS('CF(Y)'!$47:$47,'CF(Y)'!$4:$4,$C559)*100</f>
        <v>736.00855626918644</v>
      </c>
      <c r="L559" s="4699">
        <f t="shared" ref="L559:L564" ca="1" si="195">D559+E559-F559-H559-I559-J559-K559</f>
        <v>0</v>
      </c>
      <c r="N559" s="5061">
        <f>SUMIFS(Waterfall!$34:$34,Waterfall!$3:$3,report!C559)*100</f>
        <v>16609.8</v>
      </c>
      <c r="O559" s="5061">
        <f ca="1">SUMIFS(Waterfall!$33:$33,Waterfall!$3:$3,report!C559)*100</f>
        <v>2545.1805774999993</v>
      </c>
      <c r="Q559" s="5254" t="s">
        <v>5226</v>
      </c>
      <c r="R559" s="1863">
        <f t="shared" ref="R559:R561" si="196">SUM(S559:Z559)</f>
        <v>227048.92346741902</v>
      </c>
      <c r="S559" s="1863">
        <v>27570.149820070266</v>
      </c>
      <c r="T559" s="1863">
        <v>39523.048013108433</v>
      </c>
      <c r="U559" s="1863">
        <v>34705.103321482617</v>
      </c>
      <c r="V559" s="1863">
        <v>27712.770462337568</v>
      </c>
      <c r="W559" s="1863">
        <v>22284.487496631526</v>
      </c>
      <c r="X559" s="1863">
        <v>24801.031997147165</v>
      </c>
      <c r="Y559" s="1863">
        <v>24908.244285452554</v>
      </c>
      <c r="Z559" s="1863">
        <v>25544.088071188911</v>
      </c>
      <c r="AA559" s="498" t="s">
        <v>4986</v>
      </c>
    </row>
    <row r="560" spans="3:27" ht="14.25" thickBot="1">
      <c r="C560" s="4645">
        <f t="shared" si="194"/>
        <v>2025</v>
      </c>
      <c r="D560" s="1863">
        <f ca="1">SUMIFS('CF(Y)'!$46:$46,'CF(Y)'!$4:$4,report!C560)*100</f>
        <v>736.00855626918644</v>
      </c>
      <c r="E560" s="1863">
        <f ca="1">SUMIFS(Waterfall!$16:$16,Waterfall!$3:$3,$C560)*100-SUMIFS(Waterfall!$11:$11,Waterfall!$3:$3,C560)*100</f>
        <v>31450.580979725921</v>
      </c>
      <c r="F560" s="1863">
        <f ca="1">SUMIFS(Waterfall!$35:$35,Waterfall!$3:$3,report!C560)*100</f>
        <v>22896.762170499998</v>
      </c>
      <c r="G560" s="1863">
        <f t="shared" ca="1" si="192"/>
        <v>0</v>
      </c>
      <c r="H560" s="1863">
        <f ca="1">SUMIFS(Waterfall!$44:$44,Waterfall!$3:$3,$C560)*100+SUMIFS(Waterfall!$45:$45,Waterfall!$3:$3,$C560)*100+SUMIFS(Waterfall!$46:$46,Waterfall!$3:$3,$C560)*100+SUMIFS(Waterfall!$47:$47,Waterfall!$3:$3,$C560)*100+SUMIFS(Waterfall!$39:$39,Waterfall!$3:$3,$C560)*100</f>
        <v>1342.1812030000001</v>
      </c>
      <c r="I560" s="1863">
        <f ca="1">SUMIFS(Waterfall!$51:$51,Waterfall!$3:$3,$C560)*100</f>
        <v>7947.6461624951125</v>
      </c>
      <c r="J560" s="1863">
        <f ca="1">SUMIFS('CF(Y)'!$43:$43,'CF(Y)'!$4:$4,report!C560)*100</f>
        <v>0</v>
      </c>
      <c r="K560" s="1863">
        <f ca="1">SUMIFS('CF(Y)'!$47:$47,'CF(Y)'!$4:$4,$C560)*100</f>
        <v>0</v>
      </c>
      <c r="L560" s="4699">
        <f t="shared" ca="1" si="195"/>
        <v>-4.5474735088646412E-12</v>
      </c>
      <c r="N560" s="5061">
        <f>SUMIFS(Waterfall!$34:$34,Waterfall!$3:$3,report!C560)*100</f>
        <v>21177.494999999999</v>
      </c>
      <c r="O560" s="5061">
        <f ca="1">SUMIFS(Waterfall!$33:$33,Waterfall!$3:$3,report!C560)*100</f>
        <v>1719.2671704999996</v>
      </c>
      <c r="Q560" s="5254" t="s">
        <v>5230</v>
      </c>
      <c r="R560" s="1863">
        <f t="shared" si="196"/>
        <v>95506.349999999991</v>
      </c>
      <c r="S560" s="1863">
        <f>SUMIF(Waterfall!3:3,report!S557,Waterfall!34:34)*100</f>
        <v>15862.358999999999</v>
      </c>
      <c r="T560" s="1863">
        <f>SUMIF(Waterfall!3:3,report!T557,Waterfall!34:34)*100</f>
        <v>16526.751</v>
      </c>
      <c r="U560" s="1863">
        <f>SUMIF(Waterfall!3:3,report!U557,Waterfall!34:34)*100</f>
        <v>16609.8</v>
      </c>
      <c r="V560" s="1863">
        <f>SUMIF(Waterfall!3:3,report!V557,Waterfall!34:34)*100</f>
        <v>21177.494999999999</v>
      </c>
      <c r="W560" s="1863">
        <f>SUMIF(Waterfall!3:3,report!W557,Waterfall!34:34)*100</f>
        <v>14367.476999999999</v>
      </c>
      <c r="X560" s="1863">
        <f>SUMIF(Waterfall!3:3,report!X557,Waterfall!34:34)*100</f>
        <v>3986.3520000000003</v>
      </c>
      <c r="Y560" s="1863">
        <f>SUMIF(Waterfall!3:3,report!Y557,Waterfall!34:34)*100</f>
        <v>3986.3520000000003</v>
      </c>
      <c r="Z560" s="1863">
        <f>SUMIF(Waterfall!3:3,report!Z557,Waterfall!34:34)*100</f>
        <v>2989.7639999999888</v>
      </c>
      <c r="AA560" s="498">
        <v>107350.74363974998</v>
      </c>
    </row>
    <row r="561" spans="3:27" ht="14.25" thickBot="1">
      <c r="C561" s="4645">
        <f t="shared" si="194"/>
        <v>2026</v>
      </c>
      <c r="D561" s="1863">
        <f ca="1">SUMIFS('CF(Y)'!$46:$46,'CF(Y)'!$4:$4,report!C561)*100</f>
        <v>0</v>
      </c>
      <c r="E561" s="1863">
        <f ca="1">SUMIFS(Waterfall!$16:$16,Waterfall!$3:$3,$C561)*100-SUMIFS(Waterfall!$11:$11,Waterfall!$3:$3,C561)*100</f>
        <v>27732.471568473717</v>
      </c>
      <c r="F561" s="1863">
        <f ca="1">SUMIFS(Waterfall!$35:$35,Waterfall!$3:$3,report!C561)*100</f>
        <v>15255.287720499997</v>
      </c>
      <c r="G561" s="1863">
        <f t="shared" ca="1" si="192"/>
        <v>0</v>
      </c>
      <c r="H561" s="1863">
        <f ca="1">SUMIFS(Waterfall!$44:$44,Waterfall!$3:$3,$C561)*100+SUMIFS(Waterfall!$45:$45,Waterfall!$3:$3,$C561)*100+SUMIFS(Waterfall!$46:$46,Waterfall!$3:$3,$C561)*100+SUMIFS(Waterfall!$47:$47,Waterfall!$3:$3,$C561)*100+SUMIFS(Waterfall!$39:$39,Waterfall!$3:$3,$C561)*100</f>
        <v>1515.0257335971</v>
      </c>
      <c r="I561" s="1863">
        <f ca="1">SUMIFS(Waterfall!$51:$51,Waterfall!$3:$3,$C561)*100</f>
        <v>10962.15811437662</v>
      </c>
      <c r="J561" s="1863">
        <f ca="1">SUMIFS('CF(Y)'!$43:$43,'CF(Y)'!$4:$4,report!C561)*100</f>
        <v>0</v>
      </c>
      <c r="K561" s="1863">
        <f ca="1">SUMIFS('CF(Y)'!$47:$47,'CF(Y)'!$4:$4,$C561)*100</f>
        <v>0</v>
      </c>
      <c r="L561" s="4699">
        <f t="shared" ca="1" si="195"/>
        <v>0</v>
      </c>
      <c r="N561" s="5061">
        <f>SUMIFS(Waterfall!$34:$34,Waterfall!$3:$3,report!C561)*100</f>
        <v>14367.476999999999</v>
      </c>
      <c r="O561" s="5061">
        <f ca="1">SUMIFS(Waterfall!$33:$33,Waterfall!$3:$3,report!C561)*100</f>
        <v>887.81072049999977</v>
      </c>
      <c r="Q561" s="5254" t="s">
        <v>5231</v>
      </c>
      <c r="R561" s="1863">
        <f t="shared" ca="1" si="196"/>
        <v>13143.478793499997</v>
      </c>
      <c r="S561" s="1863">
        <f ca="1">SUMIF(Waterfall!3:3,report!S557,Waterfall!33:33)*100</f>
        <v>3988.2194384999993</v>
      </c>
      <c r="T561" s="1863">
        <f ca="1">SUMIF(Waterfall!3:3,report!T557,Waterfall!33:33)*100</f>
        <v>3271.3192104999998</v>
      </c>
      <c r="U561" s="1863">
        <f ca="1">SUMIF(Waterfall!3:3,report!U557,Waterfall!33:33)*100</f>
        <v>2545.1805774999993</v>
      </c>
      <c r="V561" s="1863">
        <f ca="1">SUMIF(Waterfall!3:3,report!V557,Waterfall!33:33)*100</f>
        <v>1719.2671704999996</v>
      </c>
      <c r="W561" s="1863">
        <f ca="1">SUMIF(Waterfall!3:3,report!W557,Waterfall!33:33)*100</f>
        <v>887.81072049999977</v>
      </c>
      <c r="X561" s="1863">
        <f ca="1">SUMIF(Waterfall!3:3,report!X557,Waterfall!33:33)*100</f>
        <v>421.27126799999957</v>
      </c>
      <c r="Y561" s="1863">
        <f ca="1">SUMIF(Waterfall!3:3,report!Y557,Waterfall!33:33)*100</f>
        <v>243.89389199999957</v>
      </c>
      <c r="Z561" s="1863">
        <f ca="1">SUMIF(Waterfall!3:3,report!Z557,Waterfall!33:33)*100</f>
        <v>66.516515999999655</v>
      </c>
      <c r="AA561" s="498">
        <v>0</v>
      </c>
    </row>
    <row r="562" spans="3:27" ht="24.75" thickBot="1">
      <c r="C562" s="4645">
        <f t="shared" si="194"/>
        <v>2027</v>
      </c>
      <c r="D562" s="1863">
        <f ca="1">SUMIFS('CF(Y)'!$46:$46,'CF(Y)'!$4:$4,report!C562)*100</f>
        <v>0</v>
      </c>
      <c r="E562" s="1863">
        <f ca="1">SUMIFS(Waterfall!$16:$16,Waterfall!$3:$3,$C562)*100-SUMIFS(Waterfall!$11:$11,Waterfall!$3:$3,C562)*100</f>
        <v>30933.490334635582</v>
      </c>
      <c r="F562" s="1863">
        <f ca="1">SUMIFS(Waterfall!$35:$35,Waterfall!$3:$3,report!C562)*100</f>
        <v>4407.6232679999994</v>
      </c>
      <c r="G562" s="1863">
        <f t="shared" ca="1" si="192"/>
        <v>0</v>
      </c>
      <c r="H562" s="1863">
        <f ca="1">SUMIFS(Waterfall!$44:$44,Waterfall!$3:$3,$C562)*100+SUMIFS(Waterfall!$45:$45,Waterfall!$3:$3,$C562)*100+SUMIFS(Waterfall!$46:$46,Waterfall!$3:$3,$C562)*100+SUMIFS(Waterfall!$47:$47,Waterfall!$3:$3,$C562)*100+SUMIFS(Waterfall!$39:$39,Waterfall!$3:$3,$C562)*100</f>
        <v>2115.21135963706</v>
      </c>
      <c r="I562" s="1863">
        <f ca="1">SUMIFS(Waterfall!$51:$51,Waterfall!$3:$3,$C562)*100</f>
        <v>22258.931894341775</v>
      </c>
      <c r="J562" s="1863">
        <f ca="1">SUMIFS('CF(Y)'!$43:$43,'CF(Y)'!$4:$4,report!C562)*100</f>
        <v>0</v>
      </c>
      <c r="K562" s="1863">
        <f ca="1">SUMIFS('CF(Y)'!$47:$47,'CF(Y)'!$4:$4,$C562)*100</f>
        <v>2151.7238126567472</v>
      </c>
      <c r="L562" s="4699">
        <f t="shared" ca="1" si="195"/>
        <v>0</v>
      </c>
      <c r="N562" s="5061">
        <f>SUMIFS(Waterfall!$34:$34,Waterfall!$3:$3,report!C562)*100</f>
        <v>3986.3520000000003</v>
      </c>
      <c r="O562" s="5061">
        <f ca="1">SUMIFS(Waterfall!$33:$33,Waterfall!$3:$3,report!C562)*100</f>
        <v>421.27126799999957</v>
      </c>
      <c r="Q562" s="5254" t="s">
        <v>5227</v>
      </c>
      <c r="R562" s="1863">
        <f>SUM(S562:Z562)</f>
        <v>0</v>
      </c>
      <c r="S562" s="1863">
        <v>0</v>
      </c>
      <c r="T562" s="1863">
        <v>0</v>
      </c>
      <c r="U562" s="1863">
        <v>0</v>
      </c>
      <c r="V562" s="1863">
        <v>0</v>
      </c>
      <c r="W562" s="1863">
        <v>0</v>
      </c>
      <c r="X562" s="1863">
        <v>0</v>
      </c>
      <c r="Y562" s="1863">
        <v>0</v>
      </c>
      <c r="Z562" s="1863">
        <v>0</v>
      </c>
      <c r="AA562" s="498">
        <v>6185.2999323711801</v>
      </c>
    </row>
    <row r="563" spans="3:27" ht="14.25" thickBot="1">
      <c r="C563" s="4645">
        <f t="shared" si="194"/>
        <v>2028</v>
      </c>
      <c r="D563" s="1863">
        <f ca="1">SUMIFS('CF(Y)'!$46:$46,'CF(Y)'!$4:$4,report!C563)*100</f>
        <v>2151.7238126567472</v>
      </c>
      <c r="E563" s="1863">
        <f ca="1">SUMIFS(Waterfall!$16:$16,Waterfall!$3:$3,$C563)*100-SUMIFS(Waterfall!$11:$11,Waterfall!$3:$3,C563)*100</f>
        <v>30716.777951973749</v>
      </c>
      <c r="F563" s="1863">
        <f ca="1">SUMIFS(Waterfall!$35:$35,Waterfall!$3:$3,report!C563)*100</f>
        <v>4230.2458919999999</v>
      </c>
      <c r="G563" s="1863">
        <f t="shared" ca="1" si="192"/>
        <v>0</v>
      </c>
      <c r="H563" s="1863">
        <f ca="1">SUMIFS(Waterfall!$44:$44,Waterfall!$3:$3,$C563)*100+SUMIFS(Waterfall!$45:$45,Waterfall!$3:$3,$C563)*100+SUMIFS(Waterfall!$46:$46,Waterfall!$3:$3,$C563)*100+SUMIFS(Waterfall!$47:$47,Waterfall!$3:$3,$C563)*100+SUMIFS(Waterfall!$39:$39,Waterfall!$3:$3,$C563)*100</f>
        <v>1032.8854140842805</v>
      </c>
      <c r="I563" s="1863">
        <f ca="1">SUMIFS(Waterfall!$51:$51,Waterfall!$3:$3,$C563)*100</f>
        <v>22917.060771566106</v>
      </c>
      <c r="J563" s="1863">
        <f ca="1">SUMIFS('CF(Y)'!$43:$43,'CF(Y)'!$4:$4,report!C563)*100</f>
        <v>158.54781265674978</v>
      </c>
      <c r="K563" s="1863">
        <f ca="1">SUMIFS('CF(Y)'!$47:$47,'CF(Y)'!$4:$4,$C563)*100</f>
        <v>4529.7618743233625</v>
      </c>
      <c r="L563" s="4699">
        <f t="shared" ca="1" si="195"/>
        <v>0</v>
      </c>
      <c r="N563" s="5061">
        <f>SUMIFS(Waterfall!$34:$34,Waterfall!$3:$3,report!C563)*100</f>
        <v>3986.3520000000003</v>
      </c>
      <c r="O563" s="5061">
        <f ca="1">SUMIFS(Waterfall!$33:$33,Waterfall!$3:$3,report!C563)*100</f>
        <v>243.89389199999957</v>
      </c>
      <c r="Q563" s="5254" t="s">
        <v>5228</v>
      </c>
      <c r="R563" s="1863">
        <f>SUM(S563:Z563)</f>
        <v>6185.2999323711774</v>
      </c>
      <c r="S563" s="1863">
        <v>1929.5000000000002</v>
      </c>
      <c r="T563" s="1863">
        <v>0</v>
      </c>
      <c r="U563" s="1863">
        <v>0</v>
      </c>
      <c r="V563" s="1863">
        <v>312.18120299999998</v>
      </c>
      <c r="W563" s="1863">
        <v>495.02573359709999</v>
      </c>
      <c r="X563" s="1863">
        <v>1125.2113596370598</v>
      </c>
      <c r="Y563" s="1863">
        <v>42.885414084280391</v>
      </c>
      <c r="Z563" s="1863">
        <v>2280.4962220527364</v>
      </c>
      <c r="AA563" s="498">
        <v>110767.15324161429</v>
      </c>
    </row>
    <row r="564" spans="3:27" ht="14.25" thickBot="1">
      <c r="C564" s="4645">
        <f t="shared" si="194"/>
        <v>2029</v>
      </c>
      <c r="D564" s="1863">
        <f ca="1">SUMIFS('CF(Y)'!$46:$46,'CF(Y)'!$4:$4,report!C564)*100</f>
        <v>4529.7618743233625</v>
      </c>
      <c r="E564" s="1863">
        <f ca="1">SUMIFS(Waterfall!$16:$16,Waterfall!$3:$3,$C564)*100-SUMIFS(Waterfall!$11:$11,Waterfall!$3:$3,C564)*100</f>
        <v>31484.644415760806</v>
      </c>
      <c r="F564" s="1863">
        <f ca="1">SUMIFS(Waterfall!$35:$35,Waterfall!$3:$3,report!C564)*100</f>
        <v>3056.2805159999884</v>
      </c>
      <c r="G564" s="1863">
        <f t="shared" ca="1" si="192"/>
        <v>0</v>
      </c>
      <c r="H564" s="1863">
        <f ca="1">SUMIFS(Waterfall!$44:$44,Waterfall!$3:$3,$C564)*100+SUMIFS(Waterfall!$45:$45,Waterfall!$3:$3,$C564)*100+SUMIFS(Waterfall!$46:$46,Waterfall!$3:$3,$C564)*100+SUMIFS(Waterfall!$47:$47,Waterfall!$3:$3,$C564)*100+SUMIFS(Waterfall!$39:$39,Waterfall!$3:$3,$C564)*100</f>
        <v>3270.4962220527364</v>
      </c>
      <c r="I564" s="1863">
        <f ca="1">SUMIFS(Waterfall!$51:$51,Waterfall!$3:$3,$C564)*100</f>
        <v>23483.641789365352</v>
      </c>
      <c r="J564" s="1863">
        <f ca="1">SUMIFS('CF(Y)'!$43:$43,'CF(Y)'!$4:$4,report!C564)*100</f>
        <v>3034.8798743233738</v>
      </c>
      <c r="K564" s="1863">
        <f ca="1">SUMIFS('CF(Y)'!$47:$47,'CF(Y)'!$4:$4,$C564)*100</f>
        <v>3169.1078883427131</v>
      </c>
      <c r="L564" s="4699">
        <f t="shared" ca="1" si="195"/>
        <v>0</v>
      </c>
      <c r="M564" s="1844">
        <f ca="1">D564+E564-F564-H564-I564</f>
        <v>6203.9877626660855</v>
      </c>
      <c r="N564" s="5061">
        <f>SUMIFS(Waterfall!$34:$34,Waterfall!$3:$3,report!C564)*100</f>
        <v>2989.7639999999888</v>
      </c>
      <c r="O564" s="5061">
        <f ca="1">SUMIFS(Waterfall!$33:$33,Waterfall!$3:$3,report!C564)*100</f>
        <v>66.516515999999655</v>
      </c>
      <c r="Q564" s="5254" t="s">
        <v>5229</v>
      </c>
      <c r="R564" s="1863">
        <f>SUM(S564:Z564)</f>
        <v>112824.62906022144</v>
      </c>
      <c r="S564" s="1863">
        <v>6941.0625418202726</v>
      </c>
      <c r="T564" s="1863">
        <v>18284.334280006893</v>
      </c>
      <c r="U564" s="1863">
        <v>16661.714054559972</v>
      </c>
      <c r="V564" s="1863">
        <v>5577.7051671117551</v>
      </c>
      <c r="W564" s="1863">
        <v>6621.9241537844282</v>
      </c>
      <c r="X564" s="1863">
        <v>18585.467272076625</v>
      </c>
      <c r="Y564" s="1863">
        <v>19655.508811210344</v>
      </c>
      <c r="Z564" s="1863">
        <v>20496.912779651157</v>
      </c>
    </row>
    <row r="565" spans="3:27" ht="14.25" thickBot="1">
      <c r="C565" s="4647" t="s">
        <v>14</v>
      </c>
      <c r="D565" s="4646" t="s">
        <v>4986</v>
      </c>
      <c r="E565" s="4648">
        <f t="shared" ref="E565:J565" ca="1" si="197">SUM(E557:E564)</f>
        <v>265229.70386240777</v>
      </c>
      <c r="F565" s="4648">
        <f t="shared" ca="1" si="197"/>
        <v>108649.82879349998</v>
      </c>
      <c r="G565" s="4648">
        <f t="shared" ca="1" si="197"/>
        <v>0</v>
      </c>
      <c r="H565" s="4648">
        <f t="shared" ca="1" si="197"/>
        <v>14335.299932371176</v>
      </c>
      <c r="I565" s="4648">
        <f t="shared" ca="1" si="197"/>
        <v>136638.84005521375</v>
      </c>
      <c r="J565" s="4648">
        <f t="shared" ca="1" si="197"/>
        <v>3193.4276869801233</v>
      </c>
      <c r="K565" s="4646" t="s">
        <v>4986</v>
      </c>
      <c r="N565" s="5061">
        <f>SUM(N557:N564)</f>
        <v>95506.349999999991</v>
      </c>
      <c r="O565" s="5061">
        <f ca="1">SUM(O557:O564)</f>
        <v>13143.478793499997</v>
      </c>
      <c r="Q565" s="5254" t="s">
        <v>3677</v>
      </c>
      <c r="R565" s="1863"/>
      <c r="S565" s="1863">
        <f t="shared" ref="S565:Z565" si="198">S558+S559-S560-S563-S564</f>
        <v>3594.0287722499979</v>
      </c>
      <c r="T565" s="1863">
        <f t="shared" si="198"/>
        <v>8305.9915053515397</v>
      </c>
      <c r="U565" s="1863">
        <f t="shared" si="198"/>
        <v>9739.5807722741883</v>
      </c>
      <c r="V565" s="1863">
        <f t="shared" si="198"/>
        <v>10384.969864500003</v>
      </c>
      <c r="W565" s="1863">
        <f t="shared" si="198"/>
        <v>11185.030473750001</v>
      </c>
      <c r="X565" s="1863">
        <f t="shared" si="198"/>
        <v>12289.031839183484</v>
      </c>
      <c r="Y565" s="1863">
        <f t="shared" si="198"/>
        <v>13512.529899341414</v>
      </c>
      <c r="Z565" s="1863">
        <f t="shared" si="198"/>
        <v>13289.444968826439</v>
      </c>
    </row>
    <row r="566" spans="3:27">
      <c r="C566" s="4639"/>
      <c r="D566" s="4640"/>
      <c r="E566" s="4640"/>
      <c r="F566" s="4640"/>
      <c r="H566" s="4640"/>
      <c r="I566" s="4640"/>
      <c r="Q566" s="5255" t="s">
        <v>4990</v>
      </c>
      <c r="S566" s="4699">
        <f t="shared" ref="S566:Z567" ca="1" si="199">F650</f>
        <v>1.5727842086829662</v>
      </c>
      <c r="T566" s="4699">
        <f t="shared" ca="1" si="199"/>
        <v>2.1820473062767372</v>
      </c>
      <c r="U566" s="4699">
        <f t="shared" ca="1" si="199"/>
        <v>2.0094375132625144</v>
      </c>
      <c r="V566" s="4699">
        <f t="shared" ca="1" si="199"/>
        <v>1.3735820263812935</v>
      </c>
      <c r="W566" s="4699">
        <f t="shared" ca="1" si="199"/>
        <v>1.8178923974804437</v>
      </c>
      <c r="X566" s="4699">
        <f t="shared" ca="1" si="199"/>
        <v>7.0181792893274988</v>
      </c>
      <c r="Y566" s="4699">
        <f t="shared" ca="1" si="199"/>
        <v>7.261227535274859</v>
      </c>
      <c r="Z566" s="4699">
        <f t="shared" ca="1" si="199"/>
        <v>10.301621284739729</v>
      </c>
    </row>
    <row r="567" spans="3:27">
      <c r="C567" s="4639"/>
      <c r="D567" s="4640"/>
      <c r="E567" s="4640"/>
      <c r="F567" s="4640"/>
      <c r="H567" s="4640"/>
      <c r="I567" s="4640"/>
      <c r="Q567" s="5255" t="s">
        <v>1397</v>
      </c>
      <c r="S567" s="4699">
        <f t="shared" ca="1" si="199"/>
        <v>1.6109090671773765</v>
      </c>
      <c r="T567" s="4699">
        <f t="shared" ca="1" si="199"/>
        <v>2.1820473062767372</v>
      </c>
      <c r="U567" s="4699">
        <f t="shared" ca="1" si="199"/>
        <v>2.0873638094812574</v>
      </c>
      <c r="V567" s="4699">
        <f t="shared" ca="1" si="199"/>
        <v>1.4057266829396537</v>
      </c>
      <c r="W567" s="4699">
        <f t="shared" ca="1" si="199"/>
        <v>1.8178923974804437</v>
      </c>
      <c r="X567" s="4699">
        <f t="shared" ca="1" si="199"/>
        <v>7.0181792893274988</v>
      </c>
      <c r="Y567" s="4699">
        <f t="shared" ca="1" si="199"/>
        <v>7.7698797194719909</v>
      </c>
      <c r="Z567" s="4699">
        <f t="shared" ca="1" si="199"/>
        <v>11.783737160756189</v>
      </c>
    </row>
    <row r="568" spans="3:27" ht="14.25" thickBot="1">
      <c r="C568" s="4639"/>
      <c r="D568" s="4640"/>
      <c r="E568" s="4640"/>
      <c r="F568" s="4640"/>
      <c r="H568" s="4640"/>
      <c r="I568" s="4640"/>
      <c r="R568" s="1863">
        <f t="shared" ref="R568:R574" si="200">SUM(S568:Z568)</f>
        <v>6602.5106700834804</v>
      </c>
      <c r="S568" s="1863">
        <v>756.80049400000303</v>
      </c>
      <c r="T568" s="1863">
        <v>0</v>
      </c>
      <c r="U568" s="1863">
        <v>2815.7040541035485</v>
      </c>
      <c r="V568" s="1863">
        <v>2643.2941499630629</v>
      </c>
      <c r="W568" s="1863">
        <v>0</v>
      </c>
      <c r="X568" s="1863">
        <v>0</v>
      </c>
      <c r="Y568" s="1863">
        <v>0</v>
      </c>
      <c r="Z568" s="1863">
        <v>386.71197201686664</v>
      </c>
    </row>
    <row r="569" spans="3:27" ht="14.25" thickBot="1">
      <c r="C569" s="4639"/>
      <c r="D569" s="4640"/>
      <c r="E569" s="4640"/>
      <c r="F569" s="4640"/>
      <c r="H569" s="4640"/>
      <c r="I569" s="4640"/>
      <c r="R569" s="1863">
        <f t="shared" si="200"/>
        <v>219374.64417816864</v>
      </c>
      <c r="S569" s="1863">
        <v>27579.182262877071</v>
      </c>
      <c r="T569" s="1863">
        <v>40381.974221581499</v>
      </c>
      <c r="U569" s="1863">
        <v>35587.14537079171</v>
      </c>
      <c r="V569" s="1863">
        <v>26783.888550892661</v>
      </c>
      <c r="W569" s="1863">
        <v>19912.674484259533</v>
      </c>
      <c r="X569" s="1863">
        <v>22779.745091301636</v>
      </c>
      <c r="Y569" s="1863">
        <v>22884.385877413508</v>
      </c>
      <c r="Z569" s="1863">
        <v>23465.648319051059</v>
      </c>
      <c r="AA569" s="498" t="s">
        <v>4986</v>
      </c>
    </row>
    <row r="570" spans="3:27" ht="14.25" thickBot="1">
      <c r="C570" s="4639"/>
      <c r="D570" s="4640"/>
      <c r="E570" s="4640"/>
      <c r="F570" s="4640"/>
      <c r="H570" s="4640"/>
      <c r="I570" s="4640"/>
      <c r="R570" s="1863">
        <f t="shared" si="200"/>
        <v>107350.74363974998</v>
      </c>
      <c r="S570" s="1863">
        <v>19456.387772250004</v>
      </c>
      <c r="T570" s="1863">
        <v>19474.737074249999</v>
      </c>
      <c r="U570" s="1863">
        <v>18903.418083749999</v>
      </c>
      <c r="V570" s="1863">
        <v>22726.83193425</v>
      </c>
      <c r="W570" s="1863">
        <v>15167.537609249999</v>
      </c>
      <c r="X570" s="1863">
        <v>4365.9853379999995</v>
      </c>
      <c r="Y570" s="1863">
        <v>4206.1397219999999</v>
      </c>
      <c r="Z570" s="1863">
        <v>3049.7061059999883</v>
      </c>
      <c r="AA570" s="498">
        <v>107350.74363974998</v>
      </c>
    </row>
    <row r="571" spans="3:27" ht="14.25" thickBot="1">
      <c r="C571" s="4639"/>
      <c r="D571" s="4640"/>
      <c r="E571" s="4640"/>
      <c r="F571" s="4640"/>
      <c r="H571" s="4640"/>
      <c r="I571" s="4640"/>
      <c r="R571" s="1863">
        <f t="shared" si="200"/>
        <v>0</v>
      </c>
      <c r="S571" s="1863">
        <v>0</v>
      </c>
      <c r="T571" s="1863">
        <v>0</v>
      </c>
      <c r="U571" s="1863">
        <v>0</v>
      </c>
      <c r="V571" s="1863">
        <v>0</v>
      </c>
      <c r="W571" s="1863">
        <v>0</v>
      </c>
      <c r="X571" s="1863">
        <v>0</v>
      </c>
      <c r="Y571" s="1863">
        <v>0</v>
      </c>
      <c r="Z571" s="1863">
        <v>0</v>
      </c>
      <c r="AA571" s="498">
        <v>0</v>
      </c>
    </row>
    <row r="572" spans="3:27" ht="14.25" thickBot="1">
      <c r="C572" s="4639"/>
      <c r="D572" s="4640"/>
      <c r="E572" s="4640"/>
      <c r="F572" s="4640"/>
      <c r="H572" s="4640"/>
      <c r="I572" s="4640"/>
      <c r="R572" s="1863">
        <f t="shared" si="200"/>
        <v>6185.2999323711774</v>
      </c>
      <c r="S572" s="1863">
        <v>1929.5000000000002</v>
      </c>
      <c r="T572" s="1863">
        <v>0</v>
      </c>
      <c r="U572" s="1863">
        <v>0</v>
      </c>
      <c r="V572" s="1863">
        <v>312.18120299999998</v>
      </c>
      <c r="W572" s="1863">
        <v>495.02573359709999</v>
      </c>
      <c r="X572" s="1863">
        <v>1125.2113596370598</v>
      </c>
      <c r="Y572" s="1863">
        <v>42.885414084280391</v>
      </c>
      <c r="Z572" s="1863">
        <v>2280.4962220527364</v>
      </c>
      <c r="AA572" s="498">
        <v>6185.2999323711774</v>
      </c>
    </row>
    <row r="573" spans="3:27" ht="14.25" thickBot="1">
      <c r="C573" s="4639"/>
      <c r="D573" s="4640"/>
      <c r="E573" s="4640"/>
      <c r="F573" s="4640"/>
      <c r="H573" s="4640"/>
      <c r="I573" s="4640"/>
      <c r="R573" s="1863">
        <f t="shared" si="200"/>
        <v>105943.74039598822</v>
      </c>
      <c r="S573" s="1863">
        <v>6950.0949846270742</v>
      </c>
      <c r="T573" s="1863">
        <v>18091.533093227961</v>
      </c>
      <c r="U573" s="1863">
        <v>16856.137191182181</v>
      </c>
      <c r="V573" s="1863">
        <v>6388.1695636057211</v>
      </c>
      <c r="W573" s="1863">
        <v>4250.1111414124298</v>
      </c>
      <c r="X573" s="1863">
        <v>17288.548393664569</v>
      </c>
      <c r="Y573" s="1863">
        <v>18248.64876931236</v>
      </c>
      <c r="Z573" s="1863">
        <v>17870.497258955918</v>
      </c>
      <c r="AA573" s="498">
        <v>105943.74039598822</v>
      </c>
    </row>
    <row r="574" spans="3:27" ht="14.25" thickBot="1">
      <c r="C574" s="4639"/>
      <c r="D574" s="4640"/>
      <c r="E574" s="4640"/>
      <c r="F574" s="4640"/>
      <c r="H574" s="4640"/>
      <c r="I574" s="4640"/>
      <c r="R574" s="1863">
        <f t="shared" si="200"/>
        <v>6497.3708801427601</v>
      </c>
      <c r="S574" s="1863">
        <v>0</v>
      </c>
      <c r="T574" s="1863">
        <v>2815.7040541035485</v>
      </c>
      <c r="U574" s="1863">
        <v>2643.2941499630629</v>
      </c>
      <c r="V574" s="1863">
        <v>0</v>
      </c>
      <c r="W574" s="1863">
        <v>0</v>
      </c>
      <c r="X574" s="1863">
        <v>0</v>
      </c>
      <c r="Y574" s="1863">
        <v>386.71197201686664</v>
      </c>
      <c r="Z574" s="1863">
        <v>651.66070405928303</v>
      </c>
    </row>
    <row r="575" spans="3:27">
      <c r="C575" s="4639"/>
      <c r="D575" s="4640"/>
      <c r="E575" s="4640"/>
      <c r="F575" s="4640"/>
      <c r="H575" s="4640"/>
      <c r="I575" s="4640"/>
      <c r="S575" s="4699">
        <f ca="1">F650</f>
        <v>1.5727842086829662</v>
      </c>
      <c r="T575" s="4699">
        <f t="shared" ref="T575:Z575" ca="1" si="201">G650</f>
        <v>2.1820473062767372</v>
      </c>
      <c r="U575" s="4699">
        <f t="shared" ca="1" si="201"/>
        <v>2.0094375132625144</v>
      </c>
      <c r="V575" s="4699">
        <f t="shared" ca="1" si="201"/>
        <v>1.3735820263812935</v>
      </c>
      <c r="W575" s="4699">
        <f t="shared" ca="1" si="201"/>
        <v>1.8178923974804437</v>
      </c>
      <c r="X575" s="4699">
        <f t="shared" ca="1" si="201"/>
        <v>7.0181792893274988</v>
      </c>
      <c r="Y575" s="4699">
        <f t="shared" ca="1" si="201"/>
        <v>7.261227535274859</v>
      </c>
      <c r="Z575" s="4699">
        <f t="shared" ca="1" si="201"/>
        <v>10.301621284739729</v>
      </c>
    </row>
    <row r="576" spans="3:27">
      <c r="C576" s="4639"/>
      <c r="D576" s="4640"/>
      <c r="E576" s="4640"/>
      <c r="F576" s="4640"/>
      <c r="H576" s="4640"/>
      <c r="I576" s="4640"/>
      <c r="S576" s="4699">
        <f ca="1">F651</f>
        <v>1.6109090671773765</v>
      </c>
      <c r="T576" s="4699">
        <f t="shared" ref="T576:Z576" ca="1" si="202">G651</f>
        <v>2.1820473062767372</v>
      </c>
      <c r="U576" s="4699">
        <f t="shared" ca="1" si="202"/>
        <v>2.0873638094812574</v>
      </c>
      <c r="V576" s="4699">
        <f t="shared" ca="1" si="202"/>
        <v>1.4057266829396537</v>
      </c>
      <c r="W576" s="4699">
        <f t="shared" ca="1" si="202"/>
        <v>1.8178923974804437</v>
      </c>
      <c r="X576" s="4699">
        <f t="shared" ca="1" si="202"/>
        <v>7.0181792893274988</v>
      </c>
      <c r="Y576" s="4699">
        <f t="shared" ca="1" si="202"/>
        <v>7.7698797194719909</v>
      </c>
      <c r="Z576" s="4699">
        <f t="shared" ca="1" si="202"/>
        <v>11.783737160756189</v>
      </c>
    </row>
    <row r="577" spans="3:26">
      <c r="C577" s="4639"/>
      <c r="D577" s="4640"/>
      <c r="E577" s="4640"/>
      <c r="F577" s="4640"/>
      <c r="H577" s="4640"/>
      <c r="I577" s="4640"/>
    </row>
    <row r="578" spans="3:26">
      <c r="C578" s="4639"/>
      <c r="D578" s="4640"/>
      <c r="E578" s="4640"/>
      <c r="F578" s="4640"/>
      <c r="H578" s="4640"/>
      <c r="I578" s="4640"/>
    </row>
    <row r="579" spans="3:26" ht="14.25" thickBot="1">
      <c r="C579" s="4639"/>
      <c r="D579" s="4640"/>
      <c r="E579" s="4640"/>
      <c r="F579" s="4640"/>
      <c r="H579" s="4640"/>
      <c r="I579" s="4640"/>
      <c r="R579" s="1863">
        <f>SUM(S579:Z579)</f>
        <v>76474.999999999985</v>
      </c>
      <c r="S579" s="1863">
        <f>E596</f>
        <v>12701.500000000002</v>
      </c>
      <c r="T579" s="1863">
        <f t="shared" ref="T579:Z579" si="203">F596</f>
        <v>13233.5</v>
      </c>
      <c r="U579" s="1863">
        <f t="shared" si="203"/>
        <v>13300</v>
      </c>
      <c r="V579" s="1863">
        <f t="shared" si="203"/>
        <v>16957.5</v>
      </c>
      <c r="W579" s="1863">
        <f t="shared" si="203"/>
        <v>11504.499999999998</v>
      </c>
      <c r="X579" s="1863">
        <f t="shared" si="203"/>
        <v>3192</v>
      </c>
      <c r="Y579" s="1863">
        <f t="shared" si="203"/>
        <v>3192</v>
      </c>
      <c r="Z579" s="1863">
        <f t="shared" si="203"/>
        <v>2393.9999999999891</v>
      </c>
    </row>
    <row r="580" spans="3:26" ht="14.25" thickBot="1">
      <c r="C580" s="4639"/>
      <c r="D580" s="4640"/>
      <c r="E580" s="4640"/>
      <c r="F580" s="4640"/>
      <c r="H580" s="4640"/>
      <c r="I580" s="4640"/>
      <c r="R580" s="1863">
        <f t="shared" ref="R580:R582" si="204">SUM(S580:Z580)</f>
        <v>4312.5</v>
      </c>
      <c r="S580" s="1863">
        <f>E598</f>
        <v>716.25</v>
      </c>
      <c r="T580" s="1863">
        <f t="shared" ref="T580:Z580" si="205">F598</f>
        <v>746.25</v>
      </c>
      <c r="U580" s="1863">
        <f t="shared" si="205"/>
        <v>750</v>
      </c>
      <c r="V580" s="1863">
        <f t="shared" si="205"/>
        <v>956.25</v>
      </c>
      <c r="W580" s="1863">
        <f t="shared" si="205"/>
        <v>648.75</v>
      </c>
      <c r="X580" s="1863">
        <f t="shared" si="205"/>
        <v>180</v>
      </c>
      <c r="Y580" s="1863">
        <f t="shared" si="205"/>
        <v>180</v>
      </c>
      <c r="Z580" s="1863">
        <f t="shared" si="205"/>
        <v>134.99999999999974</v>
      </c>
    </row>
    <row r="581" spans="3:26" ht="14.25" thickBot="1">
      <c r="C581" s="4639"/>
      <c r="D581" s="4640"/>
      <c r="E581" s="4640"/>
      <c r="F581" s="4640"/>
      <c r="H581" s="4640"/>
      <c r="I581" s="4640"/>
      <c r="R581" s="1863">
        <f t="shared" si="204"/>
        <v>7187.5</v>
      </c>
      <c r="S581" s="1863">
        <f>E600</f>
        <v>1193.75</v>
      </c>
      <c r="T581" s="1863">
        <f t="shared" ref="T581:Z581" si="206">F600</f>
        <v>1243.75</v>
      </c>
      <c r="U581" s="1863">
        <f t="shared" si="206"/>
        <v>1250</v>
      </c>
      <c r="V581" s="1863">
        <f t="shared" si="206"/>
        <v>1593.75</v>
      </c>
      <c r="W581" s="1863">
        <f t="shared" si="206"/>
        <v>1081.25</v>
      </c>
      <c r="X581" s="1863">
        <f t="shared" si="206"/>
        <v>300</v>
      </c>
      <c r="Y581" s="1863">
        <f t="shared" si="206"/>
        <v>300</v>
      </c>
      <c r="Z581" s="1863">
        <f t="shared" si="206"/>
        <v>225</v>
      </c>
    </row>
    <row r="582" spans="3:26" ht="14.25" thickBot="1">
      <c r="C582" s="4639"/>
      <c r="D582" s="4640"/>
      <c r="E582" s="4640"/>
      <c r="F582" s="4640"/>
      <c r="H582" s="4640"/>
      <c r="I582" s="4640"/>
      <c r="R582" s="1863">
        <f t="shared" si="204"/>
        <v>7531.3499999999995</v>
      </c>
      <c r="S582" s="1863">
        <f>E602</f>
        <v>1250.8589999999999</v>
      </c>
      <c r="T582" s="1863">
        <f t="shared" ref="T582:Z582" si="207">F602</f>
        <v>1303.251</v>
      </c>
      <c r="U582" s="1863">
        <f t="shared" si="207"/>
        <v>1309.8</v>
      </c>
      <c r="V582" s="1863">
        <f t="shared" si="207"/>
        <v>1669.9950000000001</v>
      </c>
      <c r="W582" s="1863">
        <f t="shared" si="207"/>
        <v>1132.9770000000001</v>
      </c>
      <c r="X582" s="1863">
        <f t="shared" si="207"/>
        <v>314.35199999999998</v>
      </c>
      <c r="Y582" s="1863">
        <f t="shared" si="207"/>
        <v>314.35199999999998</v>
      </c>
      <c r="Z582" s="1863">
        <f t="shared" si="207"/>
        <v>235.76399999999981</v>
      </c>
    </row>
    <row r="583" spans="3:26">
      <c r="C583" s="4639"/>
      <c r="D583" s="4640"/>
      <c r="E583" s="4640"/>
      <c r="F583" s="4640"/>
      <c r="H583" s="4640"/>
      <c r="I583" s="4640"/>
    </row>
    <row r="584" spans="3:26">
      <c r="C584" s="4639"/>
      <c r="D584" s="4640"/>
      <c r="E584" s="4640"/>
      <c r="F584" s="4640"/>
      <c r="H584" s="4640"/>
      <c r="I584" s="4640"/>
    </row>
    <row r="585" spans="3:26">
      <c r="C585" s="4639"/>
      <c r="D585" s="4640"/>
      <c r="E585" s="4640"/>
      <c r="F585" s="4640"/>
      <c r="H585" s="4640"/>
      <c r="I585" s="4640"/>
    </row>
    <row r="586" spans="3:26">
      <c r="C586" s="4639"/>
      <c r="D586" s="4640"/>
      <c r="E586" s="4640"/>
      <c r="F586" s="4640"/>
      <c r="H586" s="4640"/>
      <c r="I586" s="4640"/>
    </row>
    <row r="587" spans="3:26">
      <c r="C587" s="4639"/>
      <c r="D587" s="4640"/>
      <c r="E587" s="4640"/>
      <c r="F587" s="4640"/>
      <c r="H587" s="4640"/>
      <c r="I587" s="4640"/>
    </row>
    <row r="588" spans="3:26">
      <c r="C588" s="4639"/>
      <c r="D588" s="4640"/>
      <c r="E588" s="4640"/>
      <c r="F588" s="4640"/>
      <c r="H588" s="4640"/>
      <c r="I588" s="4640"/>
    </row>
    <row r="589" spans="3:26">
      <c r="C589" s="4639"/>
      <c r="D589" s="4640"/>
      <c r="E589" s="4640"/>
      <c r="F589" s="4640"/>
      <c r="H589" s="4640"/>
      <c r="I589" s="4640"/>
    </row>
    <row r="590" spans="3:26">
      <c r="C590" s="4639"/>
      <c r="D590" s="4640"/>
      <c r="E590" s="4640"/>
      <c r="F590" s="4640"/>
      <c r="H590" s="4640"/>
      <c r="I590" s="4640"/>
    </row>
    <row r="591" spans="3:26">
      <c r="C591" s="4639"/>
      <c r="D591" s="4640"/>
      <c r="E591" s="4640"/>
      <c r="F591" s="4640"/>
      <c r="H591" s="4640"/>
      <c r="I591" s="4640"/>
    </row>
    <row r="592" spans="3:26">
      <c r="C592" s="4639"/>
      <c r="D592" s="4640"/>
      <c r="E592" s="4640"/>
      <c r="F592" s="4640"/>
      <c r="H592" s="4640"/>
      <c r="I592" s="4640"/>
    </row>
    <row r="593" spans="3:12">
      <c r="C593" s="4639"/>
      <c r="D593" s="4640"/>
      <c r="E593" s="4640"/>
      <c r="F593" s="4640"/>
      <c r="H593" s="4640"/>
      <c r="I593" s="4640"/>
    </row>
    <row r="594" spans="3:12" ht="14.25" thickBot="1">
      <c r="C594" s="4639"/>
      <c r="D594" s="4640"/>
      <c r="E594" s="5261">
        <f>SUM(E604:H604)</f>
        <v>70176.404999999999</v>
      </c>
      <c r="F594" s="4640">
        <f>E594/D604</f>
        <v>0.73478260869565237</v>
      </c>
      <c r="H594" s="4640"/>
      <c r="I594" s="4640"/>
    </row>
    <row r="595" spans="3:12" ht="14.25" thickBot="1">
      <c r="C595" s="4659" t="s">
        <v>48</v>
      </c>
      <c r="D595" s="4627" t="s">
        <v>14</v>
      </c>
      <c r="E595" s="4627">
        <v>2022</v>
      </c>
      <c r="F595" s="4627">
        <v>2023</v>
      </c>
      <c r="G595" s="4627">
        <v>2024</v>
      </c>
      <c r="H595" s="4627">
        <v>2025</v>
      </c>
      <c r="I595" s="4627">
        <v>2026</v>
      </c>
      <c r="J595" s="4627">
        <v>2027</v>
      </c>
      <c r="K595" s="4627">
        <v>2028</v>
      </c>
      <c r="L595" s="4627">
        <v>2029</v>
      </c>
    </row>
    <row r="596" spans="3:12" ht="14.25" thickBot="1">
      <c r="C596" s="4660" t="s">
        <v>4993</v>
      </c>
      <c r="D596" s="1863">
        <f>SUM(E596:L596)</f>
        <v>76474.999999999985</v>
      </c>
      <c r="E596" s="1863">
        <f>SUMIFS(차입금상환!10:10,차입금상환!$3:$3,E$595)*100</f>
        <v>12701.500000000002</v>
      </c>
      <c r="F596" s="1863">
        <f>SUMIFS(차입금상환!10:10,차입금상환!$3:$3,F$595)*100</f>
        <v>13233.5</v>
      </c>
      <c r="G596" s="1863">
        <f>SUMIFS(차입금상환!10:10,차입금상환!$3:$3,G$595)*100</f>
        <v>13300</v>
      </c>
      <c r="H596" s="1863">
        <f>SUMIFS(차입금상환!10:10,차입금상환!$3:$3,H$595)*100</f>
        <v>16957.5</v>
      </c>
      <c r="I596" s="1863">
        <f>SUMIFS(차입금상환!10:10,차입금상환!$3:$3,I$595)*100</f>
        <v>11504.499999999998</v>
      </c>
      <c r="J596" s="1863">
        <f>SUMIFS(차입금상환!10:10,차입금상환!$3:$3,J$595)*100</f>
        <v>3192</v>
      </c>
      <c r="K596" s="1863">
        <f>SUMIFS(차입금상환!10:10,차입금상환!$3:$3,K$595)*100</f>
        <v>3192</v>
      </c>
      <c r="L596" s="1863">
        <f>SUMIFS(차입금상환!10:10,차입금상환!$3:$3,L$595)*100</f>
        <v>2393.9999999999891</v>
      </c>
    </row>
    <row r="597" spans="3:12" ht="14.25" thickBot="1">
      <c r="C597" s="4661" t="s">
        <v>4994</v>
      </c>
      <c r="D597" s="4662">
        <f t="shared" ref="D597:D603" si="208">SUM(E597:L597)</f>
        <v>1</v>
      </c>
      <c r="E597" s="4663">
        <f>E596/$D596</f>
        <v>0.16608695652173919</v>
      </c>
      <c r="F597" s="4663">
        <f t="shared" ref="F597:L597" si="209">F596/$D596</f>
        <v>0.1730434782608696</v>
      </c>
      <c r="G597" s="4663">
        <f t="shared" si="209"/>
        <v>0.17391304347826089</v>
      </c>
      <c r="H597" s="4663">
        <f t="shared" si="209"/>
        <v>0.22173913043478266</v>
      </c>
      <c r="I597" s="4663">
        <f t="shared" si="209"/>
        <v>0.15043478260869567</v>
      </c>
      <c r="J597" s="4663">
        <f t="shared" si="209"/>
        <v>4.1739130434782619E-2</v>
      </c>
      <c r="K597" s="4663">
        <f t="shared" si="209"/>
        <v>4.1739130434782619E-2</v>
      </c>
      <c r="L597" s="4663">
        <f t="shared" si="209"/>
        <v>3.130434782608682E-2</v>
      </c>
    </row>
    <row r="598" spans="3:12" ht="15" thickTop="1" thickBot="1">
      <c r="C598" s="4660" t="s">
        <v>4995</v>
      </c>
      <c r="D598" s="1863">
        <f t="shared" si="208"/>
        <v>4312.5</v>
      </c>
      <c r="E598" s="1863">
        <f>SUMIFS(차입금상환!15:15,차입금상환!$3:$3,E$595)*100</f>
        <v>716.25</v>
      </c>
      <c r="F598" s="1863">
        <f>SUMIFS(차입금상환!15:15,차입금상환!$3:$3,F$595)*100</f>
        <v>746.25</v>
      </c>
      <c r="G598" s="1863">
        <f>SUMIFS(차입금상환!15:15,차입금상환!$3:$3,G$595)*100</f>
        <v>750</v>
      </c>
      <c r="H598" s="1863">
        <f>SUMIFS(차입금상환!15:15,차입금상환!$3:$3,H$595)*100</f>
        <v>956.25</v>
      </c>
      <c r="I598" s="1863">
        <f>SUMIFS(차입금상환!15:15,차입금상환!$3:$3,I$595)*100</f>
        <v>648.75</v>
      </c>
      <c r="J598" s="1863">
        <f>SUMIFS(차입금상환!15:15,차입금상환!$3:$3,J$595)*100</f>
        <v>180</v>
      </c>
      <c r="K598" s="1863">
        <f>SUMIFS(차입금상환!15:15,차입금상환!$3:$3,K$595)*100</f>
        <v>180</v>
      </c>
      <c r="L598" s="1863">
        <f>SUMIFS(차입금상환!15:15,차입금상환!$3:$3,L$595)*100</f>
        <v>134.99999999999974</v>
      </c>
    </row>
    <row r="599" spans="3:12" ht="14.25" thickBot="1">
      <c r="C599" s="4660" t="s">
        <v>4996</v>
      </c>
      <c r="D599" s="4662">
        <f t="shared" si="208"/>
        <v>0.99999999999999989</v>
      </c>
      <c r="E599" s="4663">
        <f>E598/$D598</f>
        <v>0.16608695652173913</v>
      </c>
      <c r="F599" s="4663">
        <f t="shared" ref="F599" si="210">F598/$D598</f>
        <v>0.17304347826086958</v>
      </c>
      <c r="G599" s="4663">
        <f t="shared" ref="G599" si="211">G598/$D598</f>
        <v>0.17391304347826086</v>
      </c>
      <c r="H599" s="4663">
        <f t="shared" ref="H599" si="212">H598/$D598</f>
        <v>0.22173913043478261</v>
      </c>
      <c r="I599" s="4663">
        <f t="shared" ref="I599" si="213">I598/$D598</f>
        <v>0.15043478260869564</v>
      </c>
      <c r="J599" s="4663">
        <f t="shared" ref="J599" si="214">J598/$D598</f>
        <v>4.1739130434782612E-2</v>
      </c>
      <c r="K599" s="4663">
        <f t="shared" ref="K599" si="215">K598/$D598</f>
        <v>4.1739130434782612E-2</v>
      </c>
      <c r="L599" s="4663">
        <f t="shared" ref="L599" si="216">L598/$D598</f>
        <v>3.1304347826086897E-2</v>
      </c>
    </row>
    <row r="600" spans="3:12" ht="14.25" thickBot="1">
      <c r="C600" s="4660" t="s">
        <v>4997</v>
      </c>
      <c r="D600" s="1863">
        <f t="shared" si="208"/>
        <v>7187.5</v>
      </c>
      <c r="E600" s="1863">
        <f>SUMIFS(차입금상환!20:20,차입금상환!$3:$3,E$595)*100</f>
        <v>1193.75</v>
      </c>
      <c r="F600" s="1863">
        <f>SUMIFS(차입금상환!20:20,차입금상환!$3:$3,F$595)*100</f>
        <v>1243.75</v>
      </c>
      <c r="G600" s="1863">
        <f>SUMIFS(차입금상환!20:20,차입금상환!$3:$3,G$595)*100</f>
        <v>1250</v>
      </c>
      <c r="H600" s="1863">
        <f>SUMIFS(차입금상환!20:20,차입금상환!$3:$3,H$595)*100</f>
        <v>1593.75</v>
      </c>
      <c r="I600" s="1863">
        <f>SUMIFS(차입금상환!20:20,차입금상환!$3:$3,I$595)*100</f>
        <v>1081.25</v>
      </c>
      <c r="J600" s="1863">
        <f>SUMIFS(차입금상환!20:20,차입금상환!$3:$3,J$595)*100</f>
        <v>300</v>
      </c>
      <c r="K600" s="1863">
        <f>SUMIFS(차입금상환!20:20,차입금상환!$3:$3,K$595)*100</f>
        <v>300</v>
      </c>
      <c r="L600" s="1863">
        <f>SUMIFS(차입금상환!20:20,차입금상환!$3:$3,L$595)*100</f>
        <v>225</v>
      </c>
    </row>
    <row r="601" spans="3:12" ht="14.25" thickBot="1">
      <c r="C601" s="4661" t="s">
        <v>4998</v>
      </c>
      <c r="D601" s="4662">
        <f t="shared" si="208"/>
        <v>0.99999999999999989</v>
      </c>
      <c r="E601" s="4663">
        <f>E600/$D600</f>
        <v>0.16608695652173913</v>
      </c>
      <c r="F601" s="4663">
        <f t="shared" ref="F601" si="217">F600/$D600</f>
        <v>0.17304347826086958</v>
      </c>
      <c r="G601" s="4663">
        <f t="shared" ref="G601" si="218">G600/$D600</f>
        <v>0.17391304347826086</v>
      </c>
      <c r="H601" s="4663">
        <f t="shared" ref="H601" si="219">H600/$D600</f>
        <v>0.22173913043478261</v>
      </c>
      <c r="I601" s="4663">
        <f t="shared" ref="I601" si="220">I600/$D600</f>
        <v>0.15043478260869564</v>
      </c>
      <c r="J601" s="4663">
        <f t="shared" ref="J601" si="221">J600/$D600</f>
        <v>4.1739130434782612E-2</v>
      </c>
      <c r="K601" s="4663">
        <f t="shared" ref="K601" si="222">K600/$D600</f>
        <v>4.1739130434782612E-2</v>
      </c>
      <c r="L601" s="4663">
        <f t="shared" ref="L601" si="223">L600/$D600</f>
        <v>3.1304347826086959E-2</v>
      </c>
    </row>
    <row r="602" spans="3:12" ht="15" thickTop="1" thickBot="1">
      <c r="C602" s="4660" t="s">
        <v>4999</v>
      </c>
      <c r="D602" s="1863">
        <f t="shared" si="208"/>
        <v>7531.3499999999995</v>
      </c>
      <c r="E602" s="1863">
        <f>SUMIFS(차입금상환!25:25,차입금상환!$3:$3,E$595)*100</f>
        <v>1250.8589999999999</v>
      </c>
      <c r="F602" s="1863">
        <f>SUMIFS(차입금상환!25:25,차입금상환!$3:$3,F$595)*100</f>
        <v>1303.251</v>
      </c>
      <c r="G602" s="1863">
        <f>SUMIFS(차입금상환!25:25,차입금상환!$3:$3,G$595)*100</f>
        <v>1309.8</v>
      </c>
      <c r="H602" s="1863">
        <f>SUMIFS(차입금상환!25:25,차입금상환!$3:$3,H$595)*100</f>
        <v>1669.9950000000001</v>
      </c>
      <c r="I602" s="1863">
        <f>SUMIFS(차입금상환!25:25,차입금상환!$3:$3,I$595)*100</f>
        <v>1132.9770000000001</v>
      </c>
      <c r="J602" s="1863">
        <f>SUMIFS(차입금상환!25:25,차입금상환!$3:$3,J$595)*100</f>
        <v>314.35199999999998</v>
      </c>
      <c r="K602" s="1863">
        <f>SUMIFS(차입금상환!25:25,차입금상환!$3:$3,K$595)*100</f>
        <v>314.35199999999998</v>
      </c>
      <c r="L602" s="1863">
        <f>SUMIFS(차입금상환!25:25,차입금상환!$3:$3,L$595)*100</f>
        <v>235.76399999999981</v>
      </c>
    </row>
    <row r="603" spans="3:12" ht="14.25" thickBot="1">
      <c r="C603" s="4660" t="s">
        <v>5000</v>
      </c>
      <c r="D603" s="4662">
        <f t="shared" si="208"/>
        <v>1</v>
      </c>
      <c r="E603" s="4663">
        <f>E602/$D602</f>
        <v>0.16608695652173913</v>
      </c>
      <c r="F603" s="4663">
        <f t="shared" ref="F603:F605" si="224">F602/$D602</f>
        <v>0.17304347826086958</v>
      </c>
      <c r="G603" s="4663">
        <f t="shared" ref="G603:G605" si="225">G602/$D602</f>
        <v>0.17391304347826086</v>
      </c>
      <c r="H603" s="4663">
        <f t="shared" ref="H603:H605" si="226">H602/$D602</f>
        <v>0.22173913043478263</v>
      </c>
      <c r="I603" s="4663">
        <f t="shared" ref="I603:I605" si="227">I602/$D602</f>
        <v>0.15043478260869567</v>
      </c>
      <c r="J603" s="4663">
        <f t="shared" ref="J603:J605" si="228">J602/$D602</f>
        <v>4.1739130434782605E-2</v>
      </c>
      <c r="K603" s="4663">
        <f t="shared" ref="K603:K605" si="229">K602/$D602</f>
        <v>4.1739130434782605E-2</v>
      </c>
      <c r="L603" s="4663">
        <f t="shared" ref="L603:L605" si="230">L602/$D602</f>
        <v>3.1304347826086931E-2</v>
      </c>
    </row>
    <row r="604" spans="3:12" ht="14.25" thickBot="1">
      <c r="C604" s="4660" t="s">
        <v>5114</v>
      </c>
      <c r="D604" s="1863">
        <f t="shared" ref="D604:D605" si="231">SUM(E604:L604)</f>
        <v>95506.349999999977</v>
      </c>
      <c r="E604" s="1863">
        <f>SUM(E596,E598,E600,E602)</f>
        <v>15862.359000000002</v>
      </c>
      <c r="F604" s="1863">
        <f t="shared" ref="F604:L604" si="232">SUM(F596,F598,F600,F602)</f>
        <v>16526.751</v>
      </c>
      <c r="G604" s="1863">
        <f t="shared" si="232"/>
        <v>16609.8</v>
      </c>
      <c r="H604" s="1863">
        <f t="shared" si="232"/>
        <v>21177.494999999999</v>
      </c>
      <c r="I604" s="1863">
        <f t="shared" si="232"/>
        <v>14367.476999999999</v>
      </c>
      <c r="J604" s="1863">
        <f t="shared" si="232"/>
        <v>3986.3519999999999</v>
      </c>
      <c r="K604" s="1863">
        <f t="shared" si="232"/>
        <v>3986.3519999999999</v>
      </c>
      <c r="L604" s="1863">
        <f t="shared" si="232"/>
        <v>2989.7639999999883</v>
      </c>
    </row>
    <row r="605" spans="3:12" ht="14.25" thickBot="1">
      <c r="C605" s="4660" t="s">
        <v>4788</v>
      </c>
      <c r="D605" s="4662">
        <f t="shared" si="231"/>
        <v>1.0000000000000002</v>
      </c>
      <c r="E605" s="4663">
        <f>E604/$D604</f>
        <v>0.16608695652173919</v>
      </c>
      <c r="F605" s="4663">
        <f t="shared" si="224"/>
        <v>0.1730434782608696</v>
      </c>
      <c r="G605" s="4663">
        <f t="shared" si="225"/>
        <v>0.17391304347826089</v>
      </c>
      <c r="H605" s="4663">
        <f t="shared" si="226"/>
        <v>0.22173913043478266</v>
      </c>
      <c r="I605" s="4663">
        <f t="shared" si="227"/>
        <v>0.15043478260869567</v>
      </c>
      <c r="J605" s="4663">
        <f t="shared" si="228"/>
        <v>4.1739130434782619E-2</v>
      </c>
      <c r="K605" s="4663">
        <f t="shared" si="229"/>
        <v>4.1739130434782619E-2</v>
      </c>
      <c r="L605" s="4663">
        <f t="shared" si="230"/>
        <v>3.1304347826086841E-2</v>
      </c>
    </row>
    <row r="606" spans="3:12">
      <c r="C606" s="4639"/>
      <c r="D606" s="4640"/>
      <c r="E606" s="4640"/>
      <c r="F606" s="4640"/>
      <c r="H606" s="4640"/>
      <c r="I606" s="4640"/>
    </row>
    <row r="607" spans="3:12">
      <c r="C607" s="4639"/>
      <c r="D607" s="4640"/>
      <c r="E607" s="4640"/>
      <c r="F607" s="4640"/>
      <c r="H607" s="4640"/>
      <c r="I607" s="4640"/>
    </row>
    <row r="608" spans="3:12">
      <c r="C608" s="4639"/>
      <c r="D608" s="4640"/>
    </row>
    <row r="609" spans="2:29" ht="14.25" thickBot="1">
      <c r="C609" s="4639"/>
      <c r="D609" s="4640"/>
      <c r="E609" s="505">
        <v>45930</v>
      </c>
      <c r="F609" s="505">
        <f>EOMONTH(E609,3)</f>
        <v>46022</v>
      </c>
      <c r="G609" s="505">
        <f t="shared" ref="G609:U609" si="233">EOMONTH(F609,3)</f>
        <v>46112</v>
      </c>
      <c r="H609" s="505">
        <f t="shared" si="233"/>
        <v>46203</v>
      </c>
      <c r="I609" s="505">
        <f t="shared" si="233"/>
        <v>46295</v>
      </c>
      <c r="J609" s="505">
        <f t="shared" si="233"/>
        <v>46387</v>
      </c>
      <c r="K609" s="505">
        <f t="shared" si="233"/>
        <v>46477</v>
      </c>
      <c r="L609" s="505">
        <f t="shared" si="233"/>
        <v>46568</v>
      </c>
      <c r="M609" s="505">
        <f t="shared" si="233"/>
        <v>46660</v>
      </c>
      <c r="N609" s="505">
        <f t="shared" si="233"/>
        <v>46752</v>
      </c>
      <c r="O609" s="505">
        <f t="shared" si="233"/>
        <v>46843</v>
      </c>
      <c r="P609" s="505">
        <f t="shared" si="233"/>
        <v>46934</v>
      </c>
      <c r="Q609" s="505">
        <f t="shared" si="233"/>
        <v>47026</v>
      </c>
      <c r="R609" s="505">
        <f t="shared" si="233"/>
        <v>47118</v>
      </c>
      <c r="S609" s="505">
        <f t="shared" si="233"/>
        <v>47208</v>
      </c>
      <c r="T609" s="505">
        <f t="shared" si="233"/>
        <v>47299</v>
      </c>
      <c r="U609" s="505">
        <f t="shared" si="233"/>
        <v>47391</v>
      </c>
    </row>
    <row r="610" spans="2:29" ht="14.25" thickBot="1">
      <c r="C610" s="4634" t="s">
        <v>48</v>
      </c>
      <c r="D610" s="4635" t="s">
        <v>14</v>
      </c>
      <c r="E610" s="4635" t="s">
        <v>5270</v>
      </c>
      <c r="F610" s="4635" t="s">
        <v>5271</v>
      </c>
      <c r="G610" s="4635" t="s">
        <v>5272</v>
      </c>
      <c r="H610" s="4635" t="s">
        <v>5273</v>
      </c>
      <c r="I610" s="4635" t="s">
        <v>5274</v>
      </c>
      <c r="J610" s="4635" t="s">
        <v>5275</v>
      </c>
      <c r="K610" s="4635" t="s">
        <v>5276</v>
      </c>
      <c r="L610" s="4635" t="s">
        <v>5277</v>
      </c>
      <c r="M610" s="5406" t="s">
        <v>5284</v>
      </c>
      <c r="N610" s="5406" t="s">
        <v>5285</v>
      </c>
      <c r="O610" s="5406" t="s">
        <v>5286</v>
      </c>
      <c r="P610" s="5406" t="s">
        <v>5287</v>
      </c>
      <c r="Q610" s="5406" t="s">
        <v>5288</v>
      </c>
      <c r="R610" s="5406" t="s">
        <v>5289</v>
      </c>
      <c r="S610" s="5406" t="s">
        <v>5290</v>
      </c>
      <c r="T610" s="5406" t="s">
        <v>5291</v>
      </c>
      <c r="U610" s="5406" t="s">
        <v>5292</v>
      </c>
    </row>
    <row r="611" spans="2:29" ht="14.25" thickBot="1">
      <c r="C611" s="4636" t="s">
        <v>5278</v>
      </c>
      <c r="D611" s="1863">
        <f ca="1">SUM(E611:U611)</f>
        <v>128594.64840945698</v>
      </c>
      <c r="E611" s="1863">
        <f ca="1">SUMIFS('CF(Q)'!7:7,'CF(Q)'!$5:$5,E$609)*100</f>
        <v>7017.9170518648025</v>
      </c>
      <c r="F611" s="1863">
        <f ca="1">SUMIFS('CF(Q)'!7:7,'CF(Q)'!$5:$5,F$609)*100</f>
        <v>7017.9170518648025</v>
      </c>
      <c r="G611" s="1863">
        <f ca="1">SUMIFS('CF(Q)'!7:7,'CF(Q)'!$5:$5,G$609)*100</f>
        <v>7206.3150875020046</v>
      </c>
      <c r="H611" s="1863">
        <f ca="1">SUMIFS('CF(Q)'!7:7,'CF(Q)'!$5:$5,H$609)*100</f>
        <v>7206.3150875020046</v>
      </c>
      <c r="I611" s="1863">
        <f ca="1">SUMIFS('CF(Q)'!7:7,'CF(Q)'!$5:$5,I$609)*100</f>
        <v>7206.3150875020046</v>
      </c>
      <c r="J611" s="1863">
        <f ca="1">SUMIFS('CF(Q)'!7:7,'CF(Q)'!$5:$5,J$609)*100</f>
        <v>7206.3150875020046</v>
      </c>
      <c r="K611" s="1863">
        <f ca="1">SUMIFS('CF(Q)'!7:7,'CF(Q)'!$5:$5,K$609)*100</f>
        <v>7617.4478573073802</v>
      </c>
      <c r="L611" s="1863">
        <f ca="1">SUMIFS('CF(Q)'!7:7,'CF(Q)'!$5:$5,L$609)*100</f>
        <v>7617.4478573073802</v>
      </c>
      <c r="M611" s="498">
        <f ca="1">SUMIFS('CF(Q)'!7:7,'CF(Q)'!$5:$5,M$609)*100</f>
        <v>7617.4478573073802</v>
      </c>
      <c r="N611" s="498">
        <f ca="1">SUMIFS('CF(Q)'!7:7,'CF(Q)'!$5:$5,N$609)*100</f>
        <v>7617.4478573073802</v>
      </c>
      <c r="O611" s="498">
        <f ca="1">SUMIFS('CF(Q)'!7:7,'CF(Q)'!$5:$5,O$609)*100</f>
        <v>7811.6588232686936</v>
      </c>
      <c r="P611" s="498">
        <f ca="1">SUMIFS('CF(Q)'!7:7,'CF(Q)'!$5:$5,P$609)*100</f>
        <v>7811.6588232686936</v>
      </c>
      <c r="Q611" s="498">
        <f ca="1">SUMIFS('CF(Q)'!7:7,'CF(Q)'!$5:$5,Q$609)*100</f>
        <v>7811.6588232686936</v>
      </c>
      <c r="R611" s="498">
        <f ca="1">SUMIFS('CF(Q)'!7:7,'CF(Q)'!$5:$5,R$609)*100</f>
        <v>7811.6588232686936</v>
      </c>
      <c r="S611" s="498">
        <f ca="1">SUMIFS('CF(Q)'!7:7,'CF(Q)'!$5:$5,S$609)*100</f>
        <v>8005.7090778050115</v>
      </c>
      <c r="T611" s="498">
        <f ca="1">SUMIFS('CF(Q)'!7:7,'CF(Q)'!$5:$5,T$609)*100</f>
        <v>8005.7090778050115</v>
      </c>
      <c r="U611" s="498">
        <f ca="1">SUMIFS('CF(Q)'!7:7,'CF(Q)'!$5:$5,U$609)*100</f>
        <v>8005.7090778050115</v>
      </c>
    </row>
    <row r="612" spans="2:29" ht="14.25" thickBot="1">
      <c r="C612" s="4636" t="s">
        <v>5279</v>
      </c>
      <c r="D612" s="1863">
        <f t="shared" ref="D612:D616" ca="1" si="234">SUM(E612:U612)</f>
        <v>2186.9685079130609</v>
      </c>
      <c r="E612" s="1863">
        <f ca="1">SUMIFS('CF(Q)'!26:26,'CF(Q)'!$5:$5,E$609)*100</f>
        <v>489.82939522456206</v>
      </c>
      <c r="F612" s="1863">
        <f ca="1">SUMIFS('CF(Q)'!26:26,'CF(Q)'!$5:$5,F$609)*100</f>
        <v>0</v>
      </c>
      <c r="G612" s="1863">
        <f ca="1">SUMIFS('CF(Q)'!26:26,'CF(Q)'!$5:$5,G$609)*100</f>
        <v>565.24938928134316</v>
      </c>
      <c r="H612" s="1863">
        <f ca="1">SUMIFS('CF(Q)'!26:26,'CF(Q)'!$5:$5,H$609)*100</f>
        <v>0</v>
      </c>
      <c r="I612" s="1863">
        <f ca="1">SUMIFS('CF(Q)'!26:26,'CF(Q)'!$5:$5,I$609)*100</f>
        <v>527.53939225295289</v>
      </c>
      <c r="J612" s="1863">
        <f ca="1">SUMIFS('CF(Q)'!26:26,'CF(Q)'!$5:$5,J$609)*100</f>
        <v>0</v>
      </c>
      <c r="K612" s="1863">
        <f ca="1">SUMIFS('CF(Q)'!26:26,'CF(Q)'!$5:$5,K$609)*100</f>
        <v>-484.97906768835935</v>
      </c>
      <c r="L612" s="1863">
        <f ca="1">SUMIFS('CF(Q)'!26:26,'CF(Q)'!$5:$5,L$609)*100</f>
        <v>0</v>
      </c>
      <c r="M612" s="498">
        <f ca="1">SUMIFS('CF(Q)'!26:26,'CF(Q)'!$5:$5,M$609)*100</f>
        <v>21.280162282296754</v>
      </c>
      <c r="N612" s="498">
        <f ca="1">SUMIFS('CF(Q)'!26:26,'CF(Q)'!$5:$5,N$609)*100</f>
        <v>0</v>
      </c>
      <c r="O612" s="498">
        <f ca="1">SUMIFS('CF(Q)'!26:26,'CF(Q)'!$5:$5,O$609)*100</f>
        <v>346.14483997325038</v>
      </c>
      <c r="P612" s="498">
        <f ca="1">SUMIFS('CF(Q)'!26:26,'CF(Q)'!$5:$5,P$609)*100</f>
        <v>0</v>
      </c>
      <c r="Q612" s="498">
        <f ca="1">SUMIFS('CF(Q)'!26:26,'CF(Q)'!$5:$5,Q$609)*100</f>
        <v>183.71250112777332</v>
      </c>
      <c r="R612" s="498">
        <f ca="1">SUMIFS('CF(Q)'!26:26,'CF(Q)'!$5:$5,R$609)*100</f>
        <v>0</v>
      </c>
      <c r="S612" s="498">
        <f ca="1">SUMIFS('CF(Q)'!26:26,'CF(Q)'!$5:$5,S$609)*100</f>
        <v>297.55709659690342</v>
      </c>
      <c r="T612" s="498">
        <f ca="1">SUMIFS('CF(Q)'!26:26,'CF(Q)'!$5:$5,T$609)*100</f>
        <v>0</v>
      </c>
      <c r="U612" s="498">
        <f ca="1">SUMIFS('CF(Q)'!26:26,'CF(Q)'!$5:$5,U$609)*100</f>
        <v>240.63479886233839</v>
      </c>
    </row>
    <row r="613" spans="2:29" ht="14.25" thickBot="1">
      <c r="C613" s="4636" t="s">
        <v>5280</v>
      </c>
      <c r="D613" s="1863">
        <f t="shared" ca="1" si="234"/>
        <v>126407.6799015439</v>
      </c>
      <c r="E613" s="1863">
        <f ca="1">E611-E612</f>
        <v>6528.0876566402403</v>
      </c>
      <c r="F613" s="1863">
        <f t="shared" ref="F613:U613" ca="1" si="235">F611-F612</f>
        <v>7017.9170518648025</v>
      </c>
      <c r="G613" s="1863">
        <f t="shared" ca="1" si="235"/>
        <v>6641.0656982206619</v>
      </c>
      <c r="H613" s="1863">
        <f t="shared" ca="1" si="235"/>
        <v>7206.3150875020046</v>
      </c>
      <c r="I613" s="1863">
        <f t="shared" ca="1" si="235"/>
        <v>6678.7756952490518</v>
      </c>
      <c r="J613" s="1863">
        <f t="shared" ca="1" si="235"/>
        <v>7206.3150875020046</v>
      </c>
      <c r="K613" s="1863">
        <f t="shared" ca="1" si="235"/>
        <v>8102.4269249957397</v>
      </c>
      <c r="L613" s="1863">
        <f t="shared" ca="1" si="235"/>
        <v>7617.4478573073802</v>
      </c>
      <c r="M613" s="498">
        <f t="shared" ca="1" si="235"/>
        <v>7596.167695025083</v>
      </c>
      <c r="N613" s="498">
        <f t="shared" ca="1" si="235"/>
        <v>7617.4478573073802</v>
      </c>
      <c r="O613" s="498">
        <f t="shared" ca="1" si="235"/>
        <v>7465.5139832954428</v>
      </c>
      <c r="P613" s="498">
        <f t="shared" ca="1" si="235"/>
        <v>7811.6588232686936</v>
      </c>
      <c r="Q613" s="498">
        <f t="shared" ca="1" si="235"/>
        <v>7627.9463221409205</v>
      </c>
      <c r="R613" s="498">
        <f t="shared" ca="1" si="235"/>
        <v>7811.6588232686936</v>
      </c>
      <c r="S613" s="498">
        <f t="shared" ca="1" si="235"/>
        <v>7708.1519812081078</v>
      </c>
      <c r="T613" s="498">
        <f t="shared" ca="1" si="235"/>
        <v>8005.7090778050115</v>
      </c>
      <c r="U613" s="498">
        <f t="shared" ca="1" si="235"/>
        <v>7765.0742789426731</v>
      </c>
    </row>
    <row r="614" spans="2:29" ht="14.25" thickBot="1">
      <c r="B614" s="498">
        <v>22</v>
      </c>
      <c r="C614" s="4636" t="s">
        <v>1244</v>
      </c>
      <c r="D614" s="1863">
        <f t="shared" ca="1" si="234"/>
        <v>2362.2601584999979</v>
      </c>
      <c r="E614" s="1863">
        <f ca="1">SUMIFS('CF(Q)'!22:22,'CF(Q)'!$5:$5,E$609)*100</f>
        <v>400.94677699999988</v>
      </c>
      <c r="F614" s="1863">
        <f ca="1">SUMIFS('CF(Q)'!22:22,'CF(Q)'!$5:$5,F$609)*100</f>
        <v>341.82098499999989</v>
      </c>
      <c r="G614" s="1863">
        <f ca="1">SUMIFS('CF(Q)'!22:22,'CF(Q)'!$5:$5,G$609)*100</f>
        <v>281.77135249999992</v>
      </c>
      <c r="H614" s="1863">
        <f ca="1">SUMIFS('CF(Q)'!22:22,'CF(Q)'!$5:$5,H$609)*100</f>
        <v>244.81773249999986</v>
      </c>
      <c r="I614" s="1863">
        <f ca="1">SUMIFS('CF(Q)'!22:22,'CF(Q)'!$5:$5,I$609)*100</f>
        <v>202.32106949999991</v>
      </c>
      <c r="J614" s="1863">
        <f ca="1">SUMIFS('CF(Q)'!22:22,'CF(Q)'!$5:$5,J$609)*100</f>
        <v>158.90056599999991</v>
      </c>
      <c r="K614" s="1863">
        <f ca="1">SUMIFS('CF(Q)'!22:22,'CF(Q)'!$5:$5,K$609)*100</f>
        <v>121.94694599999988</v>
      </c>
      <c r="L614" s="1863">
        <f ca="1">SUMIFS('CF(Q)'!22:22,'CF(Q)'!$5:$5,L$609)*100</f>
        <v>110.8608599999999</v>
      </c>
      <c r="M614" s="498">
        <f ca="1">SUMIFS('CF(Q)'!22:22,'CF(Q)'!$5:$5,M$609)*100</f>
        <v>99.774773999999908</v>
      </c>
      <c r="N614" s="498">
        <f ca="1">SUMIFS('CF(Q)'!22:22,'CF(Q)'!$5:$5,N$609)*100</f>
        <v>88.6886879999999</v>
      </c>
      <c r="O614" s="498">
        <f ca="1">SUMIFS('CF(Q)'!22:22,'CF(Q)'!$5:$5,O$609)*100</f>
        <v>77.602601999999905</v>
      </c>
      <c r="P614" s="498">
        <f ca="1">SUMIFS('CF(Q)'!22:22,'CF(Q)'!$5:$5,P$609)*100</f>
        <v>66.516515999999868</v>
      </c>
      <c r="Q614" s="498">
        <f ca="1">SUMIFS('CF(Q)'!22:22,'CF(Q)'!$5:$5,Q$609)*100</f>
        <v>55.430429999999888</v>
      </c>
      <c r="R614" s="498">
        <f ca="1">SUMIFS('CF(Q)'!22:22,'CF(Q)'!$5:$5,R$609)*100</f>
        <v>44.344343999999879</v>
      </c>
      <c r="S614" s="498">
        <f ca="1">SUMIFS('CF(Q)'!22:22,'CF(Q)'!$5:$5,S$609)*100</f>
        <v>33.258257999999877</v>
      </c>
      <c r="T614" s="498">
        <f ca="1">SUMIFS('CF(Q)'!22:22,'CF(Q)'!$5:$5,T$609)*100</f>
        <v>22.172171999999883</v>
      </c>
      <c r="U614" s="498">
        <f ca="1">SUMIFS('CF(Q)'!22:22,'CF(Q)'!$5:$5,U$609)*100</f>
        <v>11.086085999999881</v>
      </c>
    </row>
    <row r="615" spans="2:29" ht="14.25" thickBot="1">
      <c r="B615" s="498">
        <v>41</v>
      </c>
      <c r="C615" s="4636" t="s">
        <v>5281</v>
      </c>
      <c r="D615" s="1863">
        <f t="shared" si="234"/>
        <v>36043.265999999996</v>
      </c>
      <c r="E615" s="1863">
        <f>SUMIFS('CF(Q)'!41:41,'CF(Q)'!$5:$5,E$609)*100</f>
        <v>5315.1359999999995</v>
      </c>
      <c r="F615" s="1863">
        <f>SUMIFS('CF(Q)'!41:41,'CF(Q)'!$5:$5,F$609)*100</f>
        <v>5398.1850000000004</v>
      </c>
      <c r="G615" s="1863">
        <f>SUMIFS('CF(Q)'!41:41,'CF(Q)'!$5:$5,G$609)*100</f>
        <v>3321.96</v>
      </c>
      <c r="H615" s="1863">
        <f>SUMIFS('CF(Q)'!41:41,'CF(Q)'!$5:$5,H$609)*100</f>
        <v>3820.2539999999999</v>
      </c>
      <c r="I615" s="1863">
        <f>SUMIFS('CF(Q)'!41:41,'CF(Q)'!$5:$5,I$609)*100</f>
        <v>3903.3029999999999</v>
      </c>
      <c r="J615" s="1863">
        <f>SUMIFS('CF(Q)'!41:41,'CF(Q)'!$5:$5,J$609)*100</f>
        <v>3321.96</v>
      </c>
      <c r="K615" s="1863">
        <f>SUMIFS('CF(Q)'!41:41,'CF(Q)'!$5:$5,K$609)*100</f>
        <v>996.58800000000008</v>
      </c>
      <c r="L615" s="1863">
        <f>SUMIFS('CF(Q)'!41:41,'CF(Q)'!$5:$5,L$609)*100</f>
        <v>996.58800000000008</v>
      </c>
      <c r="M615" s="498">
        <f>SUMIFS('CF(Q)'!41:41,'CF(Q)'!$5:$5,M$609)*100</f>
        <v>996.58800000000008</v>
      </c>
      <c r="N615" s="498">
        <f>SUMIFS('CF(Q)'!41:41,'CF(Q)'!$5:$5,N$609)*100</f>
        <v>996.58800000000008</v>
      </c>
      <c r="O615" s="498">
        <f>SUMIFS('CF(Q)'!41:41,'CF(Q)'!$5:$5,O$609)*100</f>
        <v>996.58800000000008</v>
      </c>
      <c r="P615" s="498">
        <f>SUMIFS('CF(Q)'!41:41,'CF(Q)'!$5:$5,P$609)*100</f>
        <v>996.58800000000008</v>
      </c>
      <c r="Q615" s="498">
        <f>SUMIFS('CF(Q)'!41:41,'CF(Q)'!$5:$5,Q$609)*100</f>
        <v>996.58800000000008</v>
      </c>
      <c r="R615" s="498">
        <f>SUMIFS('CF(Q)'!41:41,'CF(Q)'!$5:$5,R$609)*100</f>
        <v>996.58800000000008</v>
      </c>
      <c r="S615" s="498">
        <f>SUMIFS('CF(Q)'!41:41,'CF(Q)'!$5:$5,S$609)*100</f>
        <v>996.58800000000008</v>
      </c>
      <c r="T615" s="498">
        <f>SUMIFS('CF(Q)'!41:41,'CF(Q)'!$5:$5,T$609)*100</f>
        <v>996.58800000000008</v>
      </c>
      <c r="U615" s="498">
        <f>SUMIFS('CF(Q)'!41:41,'CF(Q)'!$5:$5,U$609)*100</f>
        <v>996.58799999998871</v>
      </c>
    </row>
    <row r="616" spans="2:29" ht="14.25" thickBot="1">
      <c r="C616" s="4636" t="s">
        <v>5282</v>
      </c>
      <c r="D616" s="1863">
        <f t="shared" ca="1" si="234"/>
        <v>38405.52615849999</v>
      </c>
      <c r="E616" s="1863">
        <f ca="1">SUM(E614:E615)</f>
        <v>5716.0827769999996</v>
      </c>
      <c r="F616" s="1863">
        <f t="shared" ref="F616:U616" ca="1" si="236">SUM(F614:F615)</f>
        <v>5740.0059850000007</v>
      </c>
      <c r="G616" s="1863">
        <f t="shared" ca="1" si="236"/>
        <v>3603.7313525</v>
      </c>
      <c r="H616" s="1863">
        <f t="shared" ca="1" si="236"/>
        <v>4065.0717324999996</v>
      </c>
      <c r="I616" s="1863">
        <f t="shared" ca="1" si="236"/>
        <v>4105.6240694999997</v>
      </c>
      <c r="J616" s="1863">
        <f t="shared" ca="1" si="236"/>
        <v>3480.8605659999998</v>
      </c>
      <c r="K616" s="1863">
        <f t="shared" ca="1" si="236"/>
        <v>1118.534946</v>
      </c>
      <c r="L616" s="1863">
        <f t="shared" ca="1" si="236"/>
        <v>1107.44886</v>
      </c>
      <c r="M616" s="498">
        <f t="shared" ca="1" si="236"/>
        <v>1096.3627739999999</v>
      </c>
      <c r="N616" s="498">
        <f t="shared" ca="1" si="236"/>
        <v>1085.2766879999999</v>
      </c>
      <c r="O616" s="498">
        <f t="shared" ca="1" si="236"/>
        <v>1074.1906019999999</v>
      </c>
      <c r="P616" s="498">
        <f t="shared" ca="1" si="236"/>
        <v>1063.1045159999999</v>
      </c>
      <c r="Q616" s="498">
        <f t="shared" ca="1" si="236"/>
        <v>1052.0184300000001</v>
      </c>
      <c r="R616" s="498">
        <f t="shared" ca="1" si="236"/>
        <v>1040.9323440000001</v>
      </c>
      <c r="S616" s="498">
        <f t="shared" ca="1" si="236"/>
        <v>1029.846258</v>
      </c>
      <c r="T616" s="498">
        <f t="shared" ca="1" si="236"/>
        <v>1018.760172</v>
      </c>
      <c r="U616" s="498">
        <f t="shared" ca="1" si="236"/>
        <v>1007.6740859999886</v>
      </c>
    </row>
    <row r="617" spans="2:29" ht="14.25" thickBot="1">
      <c r="C617" s="4636" t="s">
        <v>5283</v>
      </c>
      <c r="D617" s="1863"/>
      <c r="E617" s="5405">
        <f ca="1">E613/E616</f>
        <v>1.1420561792610024</v>
      </c>
      <c r="F617" s="5405">
        <f t="shared" ref="F617:U617" ca="1" si="237">F613/F616</f>
        <v>1.2226323579111742</v>
      </c>
      <c r="G617" s="5405">
        <f t="shared" ca="1" si="237"/>
        <v>1.8428304023310689</v>
      </c>
      <c r="H617" s="5405">
        <f t="shared" ca="1" si="237"/>
        <v>1.7727399568100992</v>
      </c>
      <c r="I617" s="5405">
        <f t="shared" ca="1" si="237"/>
        <v>1.6267382454386334</v>
      </c>
      <c r="J617" s="5405">
        <f t="shared" ca="1" si="237"/>
        <v>2.0702682428279733</v>
      </c>
      <c r="K617" s="5405">
        <f t="shared" ca="1" si="237"/>
        <v>7.243785233506455</v>
      </c>
      <c r="L617" s="5405">
        <f t="shared" ca="1" si="237"/>
        <v>6.8783743723456272</v>
      </c>
      <c r="M617" s="498">
        <f t="shared" ca="1" si="237"/>
        <v>6.9285166143602419</v>
      </c>
      <c r="N617" s="498">
        <f t="shared" ca="1" si="237"/>
        <v>7.0188993659719898</v>
      </c>
      <c r="O617" s="498">
        <f t="shared" ca="1" si="237"/>
        <v>6.9498969451004777</v>
      </c>
      <c r="P617" s="498">
        <f t="shared" ca="1" si="237"/>
        <v>7.3479688080533885</v>
      </c>
      <c r="Q617" s="498">
        <f t="shared" ca="1" si="237"/>
        <v>7.2507725193948547</v>
      </c>
      <c r="R617" s="498">
        <f t="shared" ca="1" si="237"/>
        <v>7.5044827536540577</v>
      </c>
      <c r="S617" s="498">
        <f t="shared" ca="1" si="237"/>
        <v>7.4847599059859942</v>
      </c>
      <c r="T617" s="498">
        <f t="shared" ca="1" si="237"/>
        <v>7.858286275648604</v>
      </c>
      <c r="U617" s="498">
        <f t="shared" ca="1" si="237"/>
        <v>7.70593824613126</v>
      </c>
    </row>
    <row r="619" spans="2:29" ht="14.25" thickBot="1"/>
    <row r="620" spans="2:29" ht="14.25" thickBot="1">
      <c r="C620" s="4634" t="s">
        <v>48</v>
      </c>
      <c r="D620" s="4635" t="s">
        <v>5284</v>
      </c>
      <c r="E620" s="4635" t="s">
        <v>5285</v>
      </c>
      <c r="F620" s="4635" t="s">
        <v>5286</v>
      </c>
      <c r="G620" s="4635" t="s">
        <v>5287</v>
      </c>
      <c r="H620" s="4635" t="s">
        <v>5288</v>
      </c>
      <c r="I620" s="4635" t="s">
        <v>5289</v>
      </c>
      <c r="J620" s="4635" t="s">
        <v>5290</v>
      </c>
      <c r="K620" s="4635" t="s">
        <v>5291</v>
      </c>
      <c r="L620" s="4635" t="s">
        <v>5292</v>
      </c>
    </row>
    <row r="621" spans="2:29" ht="14.25" thickBot="1">
      <c r="C621" s="4636" t="s">
        <v>5278</v>
      </c>
      <c r="D621" s="1863">
        <f ca="1">M611</f>
        <v>7617.4478573073802</v>
      </c>
      <c r="E621" s="1863">
        <f t="shared" ref="E621:L621" ca="1" si="238">N611</f>
        <v>7617.4478573073802</v>
      </c>
      <c r="F621" s="1863">
        <f t="shared" ca="1" si="238"/>
        <v>7811.6588232686936</v>
      </c>
      <c r="G621" s="1863">
        <f t="shared" ca="1" si="238"/>
        <v>7811.6588232686936</v>
      </c>
      <c r="H621" s="1863">
        <f t="shared" ca="1" si="238"/>
        <v>7811.6588232686936</v>
      </c>
      <c r="I621" s="1863">
        <f t="shared" ca="1" si="238"/>
        <v>7811.6588232686936</v>
      </c>
      <c r="J621" s="1863">
        <f t="shared" ca="1" si="238"/>
        <v>8005.7090778050115</v>
      </c>
      <c r="K621" s="1863">
        <f t="shared" ca="1" si="238"/>
        <v>8005.7090778050115</v>
      </c>
      <c r="L621" s="1863">
        <f t="shared" ca="1" si="238"/>
        <v>8005.7090778050115</v>
      </c>
    </row>
    <row r="622" spans="2:29" ht="14.25" thickBot="1">
      <c r="C622" s="4636" t="s">
        <v>5279</v>
      </c>
      <c r="D622" s="1863">
        <f t="shared" ref="D622:D627" ca="1" si="239">M612</f>
        <v>21.280162282296754</v>
      </c>
      <c r="E622" s="1863">
        <f t="shared" ref="E622:E627" ca="1" si="240">N612</f>
        <v>0</v>
      </c>
      <c r="F622" s="1863">
        <f t="shared" ref="F622:F627" ca="1" si="241">O612</f>
        <v>346.14483997325038</v>
      </c>
      <c r="G622" s="1863">
        <f t="shared" ref="G622:G627" ca="1" si="242">P612</f>
        <v>0</v>
      </c>
      <c r="H622" s="1863">
        <f t="shared" ref="H622:H627" ca="1" si="243">Q612</f>
        <v>183.71250112777332</v>
      </c>
      <c r="I622" s="1863">
        <f t="shared" ref="I622:I627" ca="1" si="244">R612</f>
        <v>0</v>
      </c>
      <c r="J622" s="1863">
        <f t="shared" ref="J622:J627" ca="1" si="245">S612</f>
        <v>297.55709659690342</v>
      </c>
      <c r="K622" s="1863">
        <f t="shared" ref="K622:K627" ca="1" si="246">T612</f>
        <v>0</v>
      </c>
      <c r="L622" s="1863">
        <f t="shared" ref="L622:L627" ca="1" si="247">U612</f>
        <v>240.63479886233839</v>
      </c>
      <c r="S622" s="5491" t="s">
        <v>5413</v>
      </c>
      <c r="T622" s="5453" t="s">
        <v>5414</v>
      </c>
      <c r="U622" s="5453" t="s">
        <v>5414</v>
      </c>
      <c r="V622" s="5453" t="s">
        <v>5417</v>
      </c>
      <c r="W622" s="5453" t="s">
        <v>5417</v>
      </c>
      <c r="X622" s="5453" t="s">
        <v>5417</v>
      </c>
      <c r="Y622" s="5453" t="s">
        <v>5417</v>
      </c>
      <c r="Z622" s="5453" t="s">
        <v>5420</v>
      </c>
      <c r="AA622" s="5453" t="s">
        <v>5420</v>
      </c>
      <c r="AB622" s="5453" t="s">
        <v>5420</v>
      </c>
      <c r="AC622" s="5455" t="s">
        <v>5420</v>
      </c>
    </row>
    <row r="623" spans="2:29" ht="14.25" thickBot="1">
      <c r="C623" s="4636" t="s">
        <v>5280</v>
      </c>
      <c r="D623" s="1863">
        <f t="shared" ca="1" si="239"/>
        <v>7596.167695025083</v>
      </c>
      <c r="E623" s="1863">
        <f t="shared" ca="1" si="240"/>
        <v>7617.4478573073802</v>
      </c>
      <c r="F623" s="1863">
        <f t="shared" ca="1" si="241"/>
        <v>7465.5139832954428</v>
      </c>
      <c r="G623" s="1863">
        <f t="shared" ca="1" si="242"/>
        <v>7811.6588232686936</v>
      </c>
      <c r="H623" s="1863">
        <f t="shared" ca="1" si="243"/>
        <v>7627.9463221409205</v>
      </c>
      <c r="I623" s="1863">
        <f t="shared" ca="1" si="244"/>
        <v>7811.6588232686936</v>
      </c>
      <c r="J623" s="1863">
        <f t="shared" ca="1" si="245"/>
        <v>7708.1519812081078</v>
      </c>
      <c r="K623" s="1863">
        <f t="shared" ca="1" si="246"/>
        <v>8005.7090778050115</v>
      </c>
      <c r="L623" s="1863">
        <f t="shared" ca="1" si="247"/>
        <v>7765.0742789426731</v>
      </c>
      <c r="S623" s="5492"/>
      <c r="T623" s="5454" t="s">
        <v>5415</v>
      </c>
      <c r="U623" s="5454" t="s">
        <v>5416</v>
      </c>
      <c r="V623" s="5454" t="s">
        <v>5418</v>
      </c>
      <c r="W623" s="5454" t="s">
        <v>5419</v>
      </c>
      <c r="X623" s="5454" t="s">
        <v>5415</v>
      </c>
      <c r="Y623" s="5454" t="s">
        <v>5416</v>
      </c>
      <c r="Z623" s="5454" t="s">
        <v>5418</v>
      </c>
      <c r="AA623" s="5454" t="s">
        <v>5419</v>
      </c>
      <c r="AB623" s="5454" t="s">
        <v>5415</v>
      </c>
      <c r="AC623" s="5456" t="s">
        <v>5416</v>
      </c>
    </row>
    <row r="624" spans="2:29" ht="14.25" thickBot="1">
      <c r="C624" s="4636" t="s">
        <v>1244</v>
      </c>
      <c r="D624" s="1863">
        <f t="shared" ca="1" si="239"/>
        <v>99.774773999999908</v>
      </c>
      <c r="E624" s="1863">
        <f t="shared" ca="1" si="240"/>
        <v>88.6886879999999</v>
      </c>
      <c r="F624" s="1863">
        <f t="shared" ca="1" si="241"/>
        <v>77.602601999999905</v>
      </c>
      <c r="G624" s="1863">
        <f t="shared" ca="1" si="242"/>
        <v>66.516515999999868</v>
      </c>
      <c r="H624" s="1863">
        <f t="shared" ca="1" si="243"/>
        <v>55.430429999999888</v>
      </c>
      <c r="I624" s="1863">
        <f t="shared" ca="1" si="244"/>
        <v>44.344343999999879</v>
      </c>
      <c r="J624" s="1863">
        <f t="shared" ca="1" si="245"/>
        <v>33.258257999999877</v>
      </c>
      <c r="K624" s="1863">
        <f t="shared" ca="1" si="246"/>
        <v>22.172171999999883</v>
      </c>
      <c r="L624" s="1863">
        <f t="shared" ca="1" si="247"/>
        <v>11.086085999999881</v>
      </c>
      <c r="S624" s="5457" t="s">
        <v>5421</v>
      </c>
      <c r="T624" s="5458">
        <v>171346</v>
      </c>
      <c r="U624" s="5458">
        <v>170476</v>
      </c>
      <c r="V624" s="5458">
        <v>168285</v>
      </c>
      <c r="W624" s="5458">
        <v>167462</v>
      </c>
      <c r="X624" s="5458">
        <v>166634</v>
      </c>
      <c r="Y624" s="5458">
        <v>165741</v>
      </c>
      <c r="Z624" s="5458">
        <f ca="1">Z645</f>
        <v>166819.8578053602</v>
      </c>
      <c r="AA624" s="5458">
        <f t="shared" ref="AA624:AC624" ca="1" si="248">AA645</f>
        <v>165950.8033379491</v>
      </c>
      <c r="AB624" s="5458">
        <f t="shared" ca="1" si="248"/>
        <v>165186.06045684946</v>
      </c>
      <c r="AC624" s="5458">
        <f t="shared" ca="1" si="248"/>
        <v>164363.02939435889</v>
      </c>
    </row>
    <row r="625" spans="3:29" ht="14.25" thickBot="1">
      <c r="C625" s="4636" t="s">
        <v>5281</v>
      </c>
      <c r="D625" s="1863">
        <f t="shared" si="239"/>
        <v>996.58800000000008</v>
      </c>
      <c r="E625" s="1863">
        <f t="shared" si="240"/>
        <v>996.58800000000008</v>
      </c>
      <c r="F625" s="1863">
        <f t="shared" si="241"/>
        <v>996.58800000000008</v>
      </c>
      <c r="G625" s="1863">
        <f t="shared" si="242"/>
        <v>996.58800000000008</v>
      </c>
      <c r="H625" s="1863">
        <f t="shared" si="243"/>
        <v>996.58800000000008</v>
      </c>
      <c r="I625" s="1863">
        <f t="shared" si="244"/>
        <v>996.58800000000008</v>
      </c>
      <c r="J625" s="1863">
        <f t="shared" si="245"/>
        <v>996.58800000000008</v>
      </c>
      <c r="K625" s="1863">
        <f t="shared" si="246"/>
        <v>996.58800000000008</v>
      </c>
      <c r="L625" s="1863">
        <f t="shared" si="247"/>
        <v>996.58799999998871</v>
      </c>
      <c r="S625" s="5457" t="s">
        <v>4963</v>
      </c>
      <c r="T625" s="5458">
        <v>167469</v>
      </c>
      <c r="U625" s="5458">
        <v>166580</v>
      </c>
      <c r="V625" s="5458">
        <v>164371</v>
      </c>
      <c r="W625" s="5458">
        <v>163532</v>
      </c>
      <c r="X625" s="5458">
        <v>162688</v>
      </c>
      <c r="Y625" s="5458">
        <v>161781</v>
      </c>
      <c r="Z625" s="5458">
        <f t="shared" ref="Z625:AC626" ca="1" si="249">Z646</f>
        <v>162846.95121211602</v>
      </c>
      <c r="AA625" s="5458">
        <f t="shared" ca="1" si="249"/>
        <v>161965.99264660664</v>
      </c>
      <c r="AB625" s="5458">
        <f t="shared" ca="1" si="249"/>
        <v>161190.41959930272</v>
      </c>
      <c r="AC625" s="5458">
        <f t="shared" ca="1" si="249"/>
        <v>160357.60508243763</v>
      </c>
    </row>
    <row r="626" spans="3:29" ht="14.25" thickBot="1">
      <c r="C626" s="4636" t="s">
        <v>5282</v>
      </c>
      <c r="D626" s="1863">
        <f t="shared" ca="1" si="239"/>
        <v>1096.3627739999999</v>
      </c>
      <c r="E626" s="1863">
        <f t="shared" ca="1" si="240"/>
        <v>1085.2766879999999</v>
      </c>
      <c r="F626" s="1863">
        <f t="shared" ca="1" si="241"/>
        <v>1074.1906019999999</v>
      </c>
      <c r="G626" s="1863">
        <f t="shared" ca="1" si="242"/>
        <v>1063.1045159999999</v>
      </c>
      <c r="H626" s="1863">
        <f t="shared" ca="1" si="243"/>
        <v>1052.0184300000001</v>
      </c>
      <c r="I626" s="1863">
        <f t="shared" ca="1" si="244"/>
        <v>1040.9323440000001</v>
      </c>
      <c r="J626" s="1863">
        <f t="shared" ca="1" si="245"/>
        <v>1029.846258</v>
      </c>
      <c r="K626" s="1863">
        <f t="shared" ca="1" si="246"/>
        <v>1018.760172</v>
      </c>
      <c r="L626" s="1863">
        <f t="shared" ca="1" si="247"/>
        <v>1007.6740859999886</v>
      </c>
      <c r="S626" s="5457" t="s">
        <v>4964</v>
      </c>
      <c r="T626" s="5458">
        <v>169351</v>
      </c>
      <c r="U626" s="5458">
        <v>168470</v>
      </c>
      <c r="V626" s="5458">
        <v>166270</v>
      </c>
      <c r="W626" s="5458">
        <v>165439</v>
      </c>
      <c r="X626" s="5458">
        <v>164602</v>
      </c>
      <c r="Y626" s="5458">
        <v>163702</v>
      </c>
      <c r="Z626" s="5458">
        <f t="shared" ca="1" si="249"/>
        <v>164774.68561851833</v>
      </c>
      <c r="AA626" s="5458">
        <f t="shared" ca="1" si="249"/>
        <v>163899.50316149343</v>
      </c>
      <c r="AB626" s="5458">
        <f t="shared" ca="1" si="249"/>
        <v>163129.18512925948</v>
      </c>
      <c r="AC626" s="5458">
        <f t="shared" ca="1" si="249"/>
        <v>162301.11774177398</v>
      </c>
    </row>
    <row r="627" spans="3:29" ht="14.25" thickBot="1">
      <c r="C627" s="4636" t="s">
        <v>5283</v>
      </c>
      <c r="D627" s="5405">
        <f t="shared" ca="1" si="239"/>
        <v>6.9285166143602419</v>
      </c>
      <c r="E627" s="5405">
        <f t="shared" ca="1" si="240"/>
        <v>7.0188993659719898</v>
      </c>
      <c r="F627" s="5405">
        <f t="shared" ca="1" si="241"/>
        <v>6.9498969451004777</v>
      </c>
      <c r="G627" s="5405">
        <f t="shared" ca="1" si="242"/>
        <v>7.3479688080533885</v>
      </c>
      <c r="H627" s="5405">
        <f t="shared" ca="1" si="243"/>
        <v>7.2507725193948547</v>
      </c>
      <c r="I627" s="5405">
        <f t="shared" ca="1" si="244"/>
        <v>7.5044827536540577</v>
      </c>
      <c r="J627" s="5405">
        <f t="shared" ca="1" si="245"/>
        <v>7.4847599059859942</v>
      </c>
      <c r="K627" s="5405">
        <f t="shared" ca="1" si="246"/>
        <v>7.858286275648604</v>
      </c>
      <c r="L627" s="5405">
        <f t="shared" ca="1" si="247"/>
        <v>7.70593824613126</v>
      </c>
      <c r="S627" s="5459" t="s">
        <v>5422</v>
      </c>
      <c r="T627" s="5460">
        <v>93784</v>
      </c>
      <c r="U627" s="5460">
        <v>92497</v>
      </c>
      <c r="V627" s="5460">
        <v>91229</v>
      </c>
      <c r="W627" s="5460">
        <v>89978</v>
      </c>
      <c r="X627" s="5460">
        <v>88743</v>
      </c>
      <c r="Y627" s="5460">
        <v>87526</v>
      </c>
      <c r="Z627" s="5460">
        <v>86326</v>
      </c>
      <c r="AA627" s="5460">
        <v>85142</v>
      </c>
      <c r="AB627" s="5460">
        <v>83974</v>
      </c>
      <c r="AC627" s="5461">
        <v>82822</v>
      </c>
    </row>
    <row r="628" spans="3:29">
      <c r="C628" s="4639"/>
      <c r="D628" s="4640"/>
      <c r="E628" s="4640"/>
      <c r="F628" s="4640"/>
      <c r="H628" s="4640"/>
      <c r="I628" s="4640"/>
      <c r="S628" s="5462" t="s">
        <v>5423</v>
      </c>
      <c r="T628" s="5463">
        <v>83713</v>
      </c>
      <c r="U628" s="5463">
        <v>79644</v>
      </c>
      <c r="V628" s="5463">
        <v>75575</v>
      </c>
      <c r="W628" s="5463">
        <v>71505</v>
      </c>
      <c r="X628" s="5463">
        <v>67353</v>
      </c>
      <c r="Y628" s="5463">
        <v>63117</v>
      </c>
      <c r="Z628" s="5463">
        <v>59297</v>
      </c>
      <c r="AA628" s="5463">
        <v>55394</v>
      </c>
      <c r="AB628" s="5463">
        <v>50992</v>
      </c>
      <c r="AC628" s="5464">
        <v>46507</v>
      </c>
    </row>
    <row r="629" spans="3:29">
      <c r="C629" s="4639"/>
      <c r="D629" s="4640"/>
      <c r="E629" s="4640"/>
      <c r="F629" s="4640"/>
      <c r="H629" s="4640"/>
      <c r="I629" s="4640"/>
      <c r="S629" s="5493" t="s">
        <v>5413</v>
      </c>
      <c r="T629" s="5453" t="s">
        <v>5424</v>
      </c>
      <c r="U629" s="5453" t="s">
        <v>5424</v>
      </c>
      <c r="V629" s="5453" t="s">
        <v>5424</v>
      </c>
      <c r="W629" s="5453" t="s">
        <v>5424</v>
      </c>
      <c r="X629" s="5453" t="s">
        <v>5425</v>
      </c>
      <c r="Y629" s="5453" t="s">
        <v>5425</v>
      </c>
      <c r="Z629" s="5453" t="s">
        <v>5425</v>
      </c>
      <c r="AA629" s="5453" t="s">
        <v>5425</v>
      </c>
      <c r="AB629" s="5453" t="s">
        <v>5426</v>
      </c>
      <c r="AC629" s="5455" t="s">
        <v>5426</v>
      </c>
    </row>
    <row r="630" spans="3:29">
      <c r="C630" s="4639"/>
      <c r="D630" s="4640"/>
      <c r="E630" s="4640"/>
      <c r="F630" s="4640"/>
      <c r="H630" s="4640"/>
      <c r="I630" s="4640"/>
      <c r="S630" s="5492"/>
      <c r="T630" s="5454" t="s">
        <v>5418</v>
      </c>
      <c r="U630" s="5454" t="s">
        <v>5419</v>
      </c>
      <c r="V630" s="5454" t="s">
        <v>5415</v>
      </c>
      <c r="W630" s="5454" t="s">
        <v>5416</v>
      </c>
      <c r="X630" s="5454" t="s">
        <v>5418</v>
      </c>
      <c r="Y630" s="5454" t="s">
        <v>5419</v>
      </c>
      <c r="Z630" s="5454" t="s">
        <v>5415</v>
      </c>
      <c r="AA630" s="5454" t="s">
        <v>5416</v>
      </c>
      <c r="AB630" s="5454" t="s">
        <v>5418</v>
      </c>
      <c r="AC630" s="5456" t="s">
        <v>5419</v>
      </c>
    </row>
    <row r="631" spans="3:29">
      <c r="C631" s="4639"/>
      <c r="D631" s="4640"/>
      <c r="E631" s="4640"/>
      <c r="F631" s="4640"/>
      <c r="H631" s="4640"/>
      <c r="I631" s="4640"/>
      <c r="S631" s="5457" t="s">
        <v>5421</v>
      </c>
      <c r="T631" s="5458">
        <f ca="1">AD645</f>
        <v>166757.33859699281</v>
      </c>
      <c r="U631" s="5458">
        <f t="shared" ref="U631:AC633" ca="1" si="250">AE645</f>
        <v>165950.5883616668</v>
      </c>
      <c r="V631" s="5458">
        <f t="shared" ca="1" si="250"/>
        <v>164869.84280079851</v>
      </c>
      <c r="W631" s="5458">
        <f t="shared" ca="1" si="250"/>
        <v>163722.61864978576</v>
      </c>
      <c r="X631" s="5458">
        <f t="shared" ca="1" si="250"/>
        <v>151893.32615853616</v>
      </c>
      <c r="Y631" s="5458">
        <f t="shared" ca="1" si="250"/>
        <v>150884.43538406841</v>
      </c>
      <c r="Z631" s="5458">
        <f t="shared" ca="1" si="250"/>
        <v>149871.98182081734</v>
      </c>
      <c r="AA631" s="5458">
        <f t="shared" ca="1" si="250"/>
        <v>148800.48666972871</v>
      </c>
      <c r="AB631" s="5458">
        <f t="shared" ca="1" si="250"/>
        <v>131947.1705666671</v>
      </c>
      <c r="AC631" s="5458">
        <f t="shared" ca="1" si="250"/>
        <v>131059.03192361907</v>
      </c>
    </row>
    <row r="632" spans="3:29">
      <c r="C632" s="4639"/>
      <c r="D632" s="4640"/>
      <c r="E632" s="4640"/>
      <c r="F632" s="4640"/>
      <c r="H632" s="4640"/>
      <c r="I632" s="4640"/>
      <c r="S632" s="5457" t="s">
        <v>4963</v>
      </c>
      <c r="T632" s="5458">
        <f t="shared" ref="T632:T633" ca="1" si="251">AD646</f>
        <v>162743.15086711882</v>
      </c>
      <c r="U632" s="5458">
        <f t="shared" ca="1" si="250"/>
        <v>161928.63110968989</v>
      </c>
      <c r="V632" s="5458">
        <f t="shared" ca="1" si="250"/>
        <v>160841.0843071795</v>
      </c>
      <c r="W632" s="5458">
        <f t="shared" ca="1" si="250"/>
        <v>159688.00209529046</v>
      </c>
      <c r="X632" s="5458">
        <f t="shared" ca="1" si="250"/>
        <v>147853.77013060212</v>
      </c>
      <c r="Y632" s="5458">
        <f t="shared" ca="1" si="250"/>
        <v>146840.83437400282</v>
      </c>
      <c r="Z632" s="5458">
        <f t="shared" ca="1" si="250"/>
        <v>145825.20671198278</v>
      </c>
      <c r="AA632" s="5458">
        <f t="shared" ca="1" si="250"/>
        <v>144751.38521687014</v>
      </c>
      <c r="AB632" s="5458">
        <f t="shared" ca="1" si="250"/>
        <v>127896.56786653146</v>
      </c>
      <c r="AC632" s="5458">
        <f t="shared" ca="1" si="250"/>
        <v>127007.7308770161</v>
      </c>
    </row>
    <row r="633" spans="3:29">
      <c r="C633" s="4639"/>
      <c r="D633" s="4640"/>
      <c r="E633" s="4640"/>
      <c r="F633" s="4640"/>
      <c r="H633" s="4640"/>
      <c r="I633" s="4640"/>
      <c r="S633" s="5457" t="s">
        <v>4964</v>
      </c>
      <c r="T633" s="5458">
        <f t="shared" ca="1" si="251"/>
        <v>164690.9157135904</v>
      </c>
      <c r="U633" s="5458">
        <f t="shared" ca="1" si="250"/>
        <v>163880.16588498501</v>
      </c>
      <c r="V633" s="5458">
        <f t="shared" ca="1" si="250"/>
        <v>162795.91918208986</v>
      </c>
      <c r="W633" s="5458">
        <f t="shared" ca="1" si="250"/>
        <v>161645.679419486</v>
      </c>
      <c r="X633" s="5458">
        <f t="shared" ca="1" si="250"/>
        <v>149813.84418693164</v>
      </c>
      <c r="Y633" s="5458">
        <f t="shared" ca="1" si="250"/>
        <v>148802.87113724358</v>
      </c>
      <c r="Z633" s="5458">
        <f t="shared" ca="1" si="250"/>
        <v>147788.78361196289</v>
      </c>
      <c r="AA633" s="5458">
        <f t="shared" ca="1" si="250"/>
        <v>146716.09090588946</v>
      </c>
      <c r="AB633" s="5458">
        <f t="shared" ca="1" si="250"/>
        <v>129862.00199100743</v>
      </c>
      <c r="AC633" s="5458">
        <f t="shared" ca="1" si="250"/>
        <v>128973.5038532826</v>
      </c>
    </row>
    <row r="634" spans="3:29">
      <c r="C634" s="4639"/>
      <c r="D634" s="4640"/>
      <c r="E634" s="4640"/>
      <c r="F634" s="4640"/>
      <c r="H634" s="4640"/>
      <c r="I634" s="4640"/>
      <c r="S634" s="5459" t="s">
        <v>5422</v>
      </c>
      <c r="T634" s="5460">
        <v>81686</v>
      </c>
      <c r="U634" s="5460">
        <v>80566</v>
      </c>
      <c r="V634" s="5460">
        <v>79461</v>
      </c>
      <c r="W634" s="5460">
        <v>78371</v>
      </c>
      <c r="X634" s="5460">
        <v>77296</v>
      </c>
      <c r="Y634" s="5460">
        <v>76236</v>
      </c>
      <c r="Z634" s="5460">
        <v>75190</v>
      </c>
      <c r="AA634" s="5460">
        <v>74159</v>
      </c>
      <c r="AB634" s="5460">
        <v>73142</v>
      </c>
      <c r="AC634" s="5461">
        <v>72139</v>
      </c>
    </row>
    <row r="635" spans="3:29">
      <c r="C635" s="4639"/>
      <c r="D635" s="4640"/>
      <c r="E635" s="4640"/>
      <c r="F635" s="4640"/>
      <c r="H635" s="4640"/>
      <c r="I635" s="4640"/>
      <c r="S635" s="5462" t="s">
        <v>5423</v>
      </c>
      <c r="T635" s="5463">
        <v>41275</v>
      </c>
      <c r="U635" s="5463">
        <v>36043</v>
      </c>
      <c r="V635" s="5463">
        <v>30728</v>
      </c>
      <c r="W635" s="5463">
        <v>25330</v>
      </c>
      <c r="X635" s="5463">
        <v>22008</v>
      </c>
      <c r="Y635" s="5463">
        <v>18188</v>
      </c>
      <c r="Z635" s="5463">
        <v>14284</v>
      </c>
      <c r="AA635" s="5463">
        <v>10962</v>
      </c>
      <c r="AB635" s="5463">
        <v>9966</v>
      </c>
      <c r="AC635" s="5464">
        <v>8969</v>
      </c>
    </row>
    <row r="636" spans="3:29">
      <c r="C636" s="4639"/>
      <c r="D636" s="4640"/>
      <c r="E636" s="4640"/>
      <c r="F636" s="4640"/>
      <c r="H636" s="4640"/>
      <c r="I636" s="4640"/>
      <c r="S636" s="5493" t="s">
        <v>5413</v>
      </c>
      <c r="T636" s="5453" t="s">
        <v>5426</v>
      </c>
      <c r="U636" s="5453" t="s">
        <v>5426</v>
      </c>
      <c r="V636" s="5453" t="s">
        <v>5427</v>
      </c>
      <c r="W636" s="5453" t="s">
        <v>5427</v>
      </c>
      <c r="X636" s="5453" t="s">
        <v>5427</v>
      </c>
      <c r="Y636" s="5453" t="s">
        <v>5427</v>
      </c>
      <c r="Z636" s="5453" t="s">
        <v>5428</v>
      </c>
      <c r="AA636" s="5453" t="s">
        <v>5428</v>
      </c>
      <c r="AB636" s="5455" t="s">
        <v>5428</v>
      </c>
    </row>
    <row r="637" spans="3:29">
      <c r="C637" s="4639"/>
      <c r="D637" s="4640"/>
      <c r="E637" s="4640"/>
      <c r="F637" s="4640"/>
      <c r="H637" s="4640"/>
      <c r="I637" s="4640"/>
      <c r="S637" s="5492"/>
      <c r="T637" s="5454" t="s">
        <v>5415</v>
      </c>
      <c r="U637" s="5454" t="s">
        <v>5416</v>
      </c>
      <c r="V637" s="5454" t="s">
        <v>5418</v>
      </c>
      <c r="W637" s="5454" t="s">
        <v>5419</v>
      </c>
      <c r="X637" s="5454" t="s">
        <v>5415</v>
      </c>
      <c r="Y637" s="5454" t="s">
        <v>5416</v>
      </c>
      <c r="Z637" s="5454" t="s">
        <v>5418</v>
      </c>
      <c r="AA637" s="5454" t="s">
        <v>5419</v>
      </c>
      <c r="AB637" s="5456" t="s">
        <v>5415</v>
      </c>
    </row>
    <row r="638" spans="3:29">
      <c r="C638" s="4639"/>
      <c r="D638" s="4640"/>
      <c r="E638" s="4640"/>
      <c r="F638" s="4640"/>
      <c r="H638" s="4640"/>
      <c r="I638" s="4640"/>
      <c r="S638" s="5457" t="s">
        <v>5421</v>
      </c>
      <c r="T638" s="5458">
        <f ca="1">AN645</f>
        <v>130295.68763602054</v>
      </c>
      <c r="U638" s="5458">
        <f t="shared" ref="U638:AB640" ca="1" si="252">AO645</f>
        <v>129487.25049609529</v>
      </c>
      <c r="V638" s="5458">
        <f t="shared" ca="1" si="252"/>
        <v>121372.33456704702</v>
      </c>
      <c r="W638" s="5458">
        <f t="shared" ca="1" si="252"/>
        <v>120651.62333963861</v>
      </c>
      <c r="X638" s="5458">
        <f t="shared" ca="1" si="252"/>
        <v>121785.92339366558</v>
      </c>
      <c r="Y638" s="5458">
        <f t="shared" ca="1" si="252"/>
        <v>122944.00230077436</v>
      </c>
      <c r="Z638" s="5458">
        <f t="shared" ca="1" si="252"/>
        <v>122918.71705562953</v>
      </c>
      <c r="AA638" s="5458">
        <f t="shared" ca="1" si="252"/>
        <v>124051.2370564841</v>
      </c>
      <c r="AB638" s="5458">
        <f t="shared" ca="1" si="252"/>
        <v>123739.47400544555</v>
      </c>
    </row>
    <row r="639" spans="3:29">
      <c r="C639" s="4639"/>
      <c r="D639" s="4640"/>
      <c r="E639" s="4640"/>
      <c r="F639" s="4640"/>
      <c r="H639" s="4640"/>
      <c r="I639" s="4640"/>
      <c r="S639" s="5457" t="s">
        <v>4963</v>
      </c>
      <c r="T639" s="5458">
        <f t="shared" ref="T639:T640" ca="1" si="253">AN646</f>
        <v>126244.46940147089</v>
      </c>
      <c r="U639" s="5458">
        <f t="shared" ca="1" si="252"/>
        <v>125436.87493521026</v>
      </c>
      <c r="V639" s="5458">
        <f t="shared" ca="1" si="252"/>
        <v>117323.54068178065</v>
      </c>
      <c r="W639" s="5458">
        <f t="shared" ca="1" si="252"/>
        <v>116605.12970155211</v>
      </c>
      <c r="X639" s="5458">
        <f t="shared" ca="1" si="252"/>
        <v>117742.42856534029</v>
      </c>
      <c r="Y639" s="5458">
        <f t="shared" ca="1" si="252"/>
        <v>118904.18524950826</v>
      </c>
      <c r="Z639" s="5458">
        <f t="shared" ca="1" si="252"/>
        <v>118883.23755954957</v>
      </c>
      <c r="AA639" s="5458">
        <f t="shared" ca="1" si="252"/>
        <v>120020.73610320452</v>
      </c>
      <c r="AB639" s="5458">
        <f t="shared" ca="1" si="252"/>
        <v>119714.57418340039</v>
      </c>
    </row>
    <row r="640" spans="3:29">
      <c r="C640" s="4639"/>
      <c r="D640" s="4640"/>
      <c r="E640" s="4640"/>
      <c r="F640" s="4640"/>
      <c r="H640" s="4640"/>
      <c r="I640" s="4640"/>
      <c r="S640" s="5457" t="s">
        <v>4964</v>
      </c>
      <c r="T640" s="5458">
        <f t="shared" ca="1" si="253"/>
        <v>128210.20219565893</v>
      </c>
      <c r="U640" s="5458">
        <f t="shared" ca="1" si="252"/>
        <v>127402.1988471408</v>
      </c>
      <c r="V640" s="5458">
        <f t="shared" ca="1" si="252"/>
        <v>119288.09713280106</v>
      </c>
      <c r="W640" s="5458">
        <f t="shared" ca="1" si="252"/>
        <v>118568.57002624843</v>
      </c>
      <c r="X640" s="5458">
        <f t="shared" ca="1" si="252"/>
        <v>119704.41380705913</v>
      </c>
      <c r="Y640" s="5458">
        <f t="shared" ca="1" si="252"/>
        <v>120864.38595962292</v>
      </c>
      <c r="Z640" s="5458">
        <f t="shared" ca="1" si="252"/>
        <v>120841.33360040616</v>
      </c>
      <c r="AA640" s="5458">
        <f t="shared" ca="1" si="252"/>
        <v>121976.41645468488</v>
      </c>
      <c r="AB640" s="5458">
        <f t="shared" ca="1" si="252"/>
        <v>121667.53675303969</v>
      </c>
    </row>
    <row r="641" spans="2:54">
      <c r="C641" s="4639"/>
      <c r="D641" s="4640"/>
      <c r="E641" s="4640"/>
      <c r="F641" s="4640"/>
      <c r="H641" s="4640"/>
      <c r="I641" s="4640"/>
      <c r="S641" s="5459" t="s">
        <v>5422</v>
      </c>
      <c r="T641" s="5460">
        <v>71149</v>
      </c>
      <c r="U641" s="5460">
        <v>70173</v>
      </c>
      <c r="V641" s="5460">
        <v>69211</v>
      </c>
      <c r="W641" s="5460">
        <v>68262</v>
      </c>
      <c r="X641" s="5460">
        <v>67325</v>
      </c>
      <c r="Y641" s="5460">
        <v>66402</v>
      </c>
      <c r="Z641" s="5460">
        <v>65491</v>
      </c>
      <c r="AA641" s="5460">
        <v>64593</v>
      </c>
      <c r="AB641" s="5461">
        <v>63707</v>
      </c>
    </row>
    <row r="642" spans="2:54">
      <c r="C642" s="4639"/>
      <c r="D642" s="4640"/>
      <c r="E642" s="4640"/>
      <c r="F642" s="4640"/>
      <c r="H642" s="4640"/>
      <c r="I642" s="4640"/>
      <c r="S642" s="5462" t="s">
        <v>5423</v>
      </c>
      <c r="T642" s="5463">
        <v>7973</v>
      </c>
      <c r="U642" s="5463">
        <v>6976</v>
      </c>
      <c r="V642" s="5463">
        <v>5980</v>
      </c>
      <c r="W642" s="5463">
        <v>4983</v>
      </c>
      <c r="X642" s="5463">
        <v>3986</v>
      </c>
      <c r="Y642" s="5463">
        <v>2990</v>
      </c>
      <c r="Z642" s="5463">
        <v>1993</v>
      </c>
      <c r="AA642" s="5465">
        <v>997</v>
      </c>
      <c r="AB642" s="5466" t="s">
        <v>5167</v>
      </c>
    </row>
    <row r="643" spans="2:54">
      <c r="C643" s="4639"/>
      <c r="D643" s="4640"/>
      <c r="E643" s="4640"/>
      <c r="F643" s="4640"/>
      <c r="H643" s="4640"/>
      <c r="I643" s="4640"/>
      <c r="T643" s="498">
        <f>'TP(분기)'!CJ10</f>
        <v>2022</v>
      </c>
      <c r="U643" s="498">
        <f>'TP(분기)'!CK10</f>
        <v>2022</v>
      </c>
      <c r="V643" s="498">
        <f>'TP(분기)'!CL10</f>
        <v>2023</v>
      </c>
      <c r="W643" s="498">
        <f>'TP(분기)'!CM10</f>
        <v>2023</v>
      </c>
      <c r="X643" s="498">
        <f>'TP(분기)'!CN10</f>
        <v>2023</v>
      </c>
      <c r="Y643" s="498">
        <f>'TP(분기)'!CO10</f>
        <v>2023</v>
      </c>
      <c r="Z643" s="498">
        <f>'TP(분기)'!CP10</f>
        <v>2024</v>
      </c>
      <c r="AA643" s="498">
        <f>'TP(분기)'!CQ10</f>
        <v>2024</v>
      </c>
      <c r="AB643" s="498">
        <f>'TP(분기)'!CR10</f>
        <v>2024</v>
      </c>
      <c r="AC643" s="498">
        <f>'TP(분기)'!CS10</f>
        <v>2024</v>
      </c>
      <c r="AD643" s="498">
        <f>'TP(분기)'!CT10</f>
        <v>2025</v>
      </c>
      <c r="AE643" s="498">
        <f>'TP(분기)'!CU10</f>
        <v>2025</v>
      </c>
      <c r="AF643" s="498">
        <f>'TP(분기)'!CV10</f>
        <v>2025</v>
      </c>
      <c r="AG643" s="498">
        <f>'TP(분기)'!CW10</f>
        <v>2025</v>
      </c>
      <c r="AH643" s="498">
        <f>'TP(분기)'!CX10</f>
        <v>2026</v>
      </c>
      <c r="AI643" s="498">
        <f>'TP(분기)'!CY10</f>
        <v>2026</v>
      </c>
      <c r="AJ643" s="498">
        <f>'TP(분기)'!CZ10</f>
        <v>2026</v>
      </c>
      <c r="AK643" s="498">
        <f>'TP(분기)'!DA10</f>
        <v>2026</v>
      </c>
      <c r="AL643" s="498">
        <f>'TP(분기)'!DB10</f>
        <v>2027</v>
      </c>
      <c r="AM643" s="498">
        <f>'TP(분기)'!DC10</f>
        <v>2027</v>
      </c>
      <c r="AN643" s="498">
        <f>'TP(분기)'!DD10</f>
        <v>2027</v>
      </c>
      <c r="AO643" s="498">
        <f>'TP(분기)'!DE10</f>
        <v>2027</v>
      </c>
      <c r="AP643" s="498">
        <f>'TP(분기)'!DF10</f>
        <v>2028</v>
      </c>
      <c r="AQ643" s="498">
        <f>'TP(분기)'!DG10</f>
        <v>2028</v>
      </c>
      <c r="AR643" s="498">
        <f>'TP(분기)'!DH10</f>
        <v>2028</v>
      </c>
      <c r="AS643" s="498">
        <f>'TP(분기)'!DI10</f>
        <v>2028</v>
      </c>
      <c r="AT643" s="498">
        <f>'TP(분기)'!DJ10</f>
        <v>2029</v>
      </c>
      <c r="AU643" s="498">
        <f>'TP(분기)'!DK10</f>
        <v>2029</v>
      </c>
      <c r="AV643" s="498">
        <f>'TP(분기)'!DL10</f>
        <v>2029</v>
      </c>
    </row>
    <row r="644" spans="2:54">
      <c r="C644" s="4639"/>
      <c r="D644" s="4640"/>
      <c r="E644" s="4640"/>
      <c r="F644" s="4640"/>
      <c r="H644" s="4640"/>
      <c r="I644" s="4640"/>
      <c r="S644" s="4722"/>
      <c r="T644" s="498">
        <f>'TP(분기)'!CJ11</f>
        <v>3</v>
      </c>
      <c r="U644" s="498">
        <f>'TP(분기)'!CK11</f>
        <v>4</v>
      </c>
      <c r="V644" s="498">
        <f>'TP(분기)'!CL11</f>
        <v>1</v>
      </c>
      <c r="W644" s="498">
        <f>'TP(분기)'!CM11</f>
        <v>2</v>
      </c>
      <c r="X644" s="498">
        <f>'TP(분기)'!CN11</f>
        <v>3</v>
      </c>
      <c r="Y644" s="498">
        <f>'TP(분기)'!CO11</f>
        <v>4</v>
      </c>
      <c r="Z644" s="498">
        <f>'TP(분기)'!CP11</f>
        <v>1</v>
      </c>
      <c r="AA644" s="498">
        <f>'TP(분기)'!CQ11</f>
        <v>2</v>
      </c>
      <c r="AB644" s="498">
        <f>'TP(분기)'!CR11</f>
        <v>3</v>
      </c>
      <c r="AC644" s="498">
        <f>'TP(분기)'!CS11</f>
        <v>4</v>
      </c>
      <c r="AD644" s="498">
        <f>'TP(분기)'!CT11</f>
        <v>1</v>
      </c>
      <c r="AE644" s="498">
        <f>'TP(분기)'!CU11</f>
        <v>2</v>
      </c>
      <c r="AF644" s="498">
        <f>'TP(분기)'!CV11</f>
        <v>3</v>
      </c>
      <c r="AG644" s="498">
        <f>'TP(분기)'!CW11</f>
        <v>4</v>
      </c>
      <c r="AH644" s="498">
        <f>'TP(분기)'!CX11</f>
        <v>1</v>
      </c>
      <c r="AI644" s="498">
        <f>'TP(분기)'!CY11</f>
        <v>2</v>
      </c>
      <c r="AJ644" s="498">
        <f>'TP(분기)'!CZ11</f>
        <v>3</v>
      </c>
      <c r="AK644" s="498">
        <f>'TP(분기)'!DA11</f>
        <v>4</v>
      </c>
      <c r="AL644" s="498">
        <f>'TP(분기)'!DB11</f>
        <v>1</v>
      </c>
      <c r="AM644" s="498">
        <f>'TP(분기)'!DC11</f>
        <v>2</v>
      </c>
      <c r="AN644" s="498">
        <f>'TP(분기)'!DD11</f>
        <v>3</v>
      </c>
      <c r="AO644" s="498">
        <f>'TP(분기)'!DE11</f>
        <v>4</v>
      </c>
      <c r="AP644" s="498">
        <f>'TP(분기)'!DF11</f>
        <v>1</v>
      </c>
      <c r="AQ644" s="498">
        <f>'TP(분기)'!DG11</f>
        <v>2</v>
      </c>
      <c r="AR644" s="498">
        <f>'TP(분기)'!DH11</f>
        <v>3</v>
      </c>
      <c r="AS644" s="498">
        <f>'TP(분기)'!DI11</f>
        <v>4</v>
      </c>
      <c r="AT644" s="498">
        <f>'TP(분기)'!DJ11</f>
        <v>1</v>
      </c>
      <c r="AU644" s="498">
        <f>'TP(분기)'!DK11</f>
        <v>2</v>
      </c>
      <c r="AV644" s="498">
        <f>'TP(분기)'!DL11</f>
        <v>3</v>
      </c>
    </row>
    <row r="645" spans="2:54">
      <c r="B645" s="498" t="s">
        <v>4987</v>
      </c>
      <c r="C645" s="4639"/>
      <c r="D645" s="4640"/>
      <c r="E645" s="4640"/>
      <c r="F645" s="4640"/>
      <c r="G645" s="4640"/>
      <c r="H645" s="4640"/>
      <c r="I645" s="4640"/>
      <c r="T645" s="4722">
        <f ca="1">'TP(분기)'!CJ13</f>
        <v>171346.49943581643</v>
      </c>
      <c r="U645" s="4722">
        <f ca="1">'TP(분기)'!CK13</f>
        <v>170476.12126252064</v>
      </c>
      <c r="V645" s="4722">
        <f ca="1">'TP(분기)'!CL13</f>
        <v>168284.57395346498</v>
      </c>
      <c r="W645" s="4722">
        <f ca="1">'TP(분기)'!CM13</f>
        <v>167462.21823365692</v>
      </c>
      <c r="X645" s="4722">
        <f ca="1">'TP(분기)'!CN13</f>
        <v>166633.50501375739</v>
      </c>
      <c r="Y645" s="4722">
        <f ca="1">'TP(분기)'!CO13</f>
        <v>165740.56816320212</v>
      </c>
      <c r="Z645" s="4722">
        <f ca="1">'TP(분기)'!CP13</f>
        <v>166819.8578053602</v>
      </c>
      <c r="AA645" s="4722">
        <f ca="1">'TP(분기)'!CQ13</f>
        <v>165950.8033379491</v>
      </c>
      <c r="AB645" s="4722">
        <f ca="1">'TP(분기)'!CR13</f>
        <v>165186.06045684946</v>
      </c>
      <c r="AC645" s="4722">
        <f ca="1">'TP(분기)'!CS13</f>
        <v>164363.02939435889</v>
      </c>
      <c r="AD645" s="4722">
        <f ca="1">'TP(분기)'!CT13</f>
        <v>166757.33859699281</v>
      </c>
      <c r="AE645" s="4722">
        <f ca="1">'TP(분기)'!CU13</f>
        <v>165950.5883616668</v>
      </c>
      <c r="AF645" s="4722">
        <f ca="1">'TP(분기)'!CV13</f>
        <v>164869.84280079851</v>
      </c>
      <c r="AG645" s="4722">
        <f ca="1">'TP(분기)'!CW13</f>
        <v>163722.61864978576</v>
      </c>
      <c r="AH645" s="4722">
        <f ca="1">'TP(분기)'!CX13</f>
        <v>151893.32615853616</v>
      </c>
      <c r="AI645" s="4722">
        <f ca="1">'TP(분기)'!CY13</f>
        <v>150884.43538406841</v>
      </c>
      <c r="AJ645" s="4722">
        <f ca="1">'TP(분기)'!CZ13</f>
        <v>149871.98182081734</v>
      </c>
      <c r="AK645" s="4722">
        <f ca="1">'TP(분기)'!DA13</f>
        <v>148800.48666972871</v>
      </c>
      <c r="AL645" s="4722">
        <f ca="1">'TP(분기)'!DB13</f>
        <v>131947.1705666671</v>
      </c>
      <c r="AM645" s="4722">
        <f ca="1">'TP(분기)'!DC13</f>
        <v>131059.03192361907</v>
      </c>
      <c r="AN645" s="4722">
        <f ca="1">'TP(분기)'!DD13</f>
        <v>130295.68763602054</v>
      </c>
      <c r="AO645" s="4722">
        <f ca="1">'TP(분기)'!DE13</f>
        <v>129487.25049609529</v>
      </c>
      <c r="AP645" s="4722">
        <f ca="1">'TP(분기)'!DF13</f>
        <v>121372.33456704702</v>
      </c>
      <c r="AQ645" s="4722">
        <f ca="1">'TP(분기)'!DG13</f>
        <v>120651.62333963861</v>
      </c>
      <c r="AR645" s="4722">
        <f ca="1">'TP(분기)'!DH13</f>
        <v>121785.92339366558</v>
      </c>
      <c r="AS645" s="4722">
        <f ca="1">'TP(분기)'!DI13</f>
        <v>122944.00230077436</v>
      </c>
      <c r="AT645" s="4722">
        <f ca="1">'TP(분기)'!DJ13</f>
        <v>122918.71705562953</v>
      </c>
      <c r="AU645" s="4722">
        <f ca="1">'TP(분기)'!DK13</f>
        <v>124051.2370564841</v>
      </c>
      <c r="AV645" s="4722">
        <f ca="1">'TP(분기)'!DL13</f>
        <v>123739.47400544555</v>
      </c>
      <c r="AW645" s="4722"/>
      <c r="AX645" s="4722"/>
      <c r="AY645" s="4722"/>
      <c r="AZ645" s="4722"/>
      <c r="BA645" s="4722"/>
      <c r="BB645" s="4722"/>
    </row>
    <row r="646" spans="2:54">
      <c r="C646" s="4639"/>
      <c r="D646" s="4640"/>
      <c r="E646" s="4640"/>
      <c r="F646" s="4640"/>
      <c r="G646" s="4640"/>
      <c r="H646" s="4640"/>
      <c r="I646" s="4640"/>
      <c r="T646" s="4722">
        <f ca="1">'TP(분기)'!CJ14</f>
        <v>167469.16550518369</v>
      </c>
      <c r="U646" s="4722">
        <f ca="1">'TP(분기)'!CK14</f>
        <v>166579.83623965143</v>
      </c>
      <c r="V646" s="4722">
        <f ca="1">'TP(분기)'!CL14</f>
        <v>164370.58710007899</v>
      </c>
      <c r="W646" s="4722">
        <f ca="1">'TP(분기)'!CM14</f>
        <v>163531.74810754953</v>
      </c>
      <c r="X646" s="4722">
        <f ca="1">'TP(분기)'!CN14</f>
        <v>162687.7400760398</v>
      </c>
      <c r="Y646" s="4722">
        <f ca="1">'TP(분기)'!CO14</f>
        <v>161780.6673746602</v>
      </c>
      <c r="Z646" s="4722">
        <f ca="1">'TP(분기)'!CP14</f>
        <v>162846.95121211602</v>
      </c>
      <c r="AA646" s="4722">
        <f ca="1">'TP(분기)'!CQ14</f>
        <v>161965.99264660664</v>
      </c>
      <c r="AB646" s="4722">
        <f ca="1">'TP(분기)'!CR14</f>
        <v>161190.41959930272</v>
      </c>
      <c r="AC646" s="4722">
        <f ca="1">'TP(분기)'!CS14</f>
        <v>160357.60508243763</v>
      </c>
      <c r="AD646" s="4722">
        <f ca="1">'TP(분기)'!CT14</f>
        <v>162743.15086711882</v>
      </c>
      <c r="AE646" s="4722">
        <f ca="1">'TP(분기)'!CU14</f>
        <v>161928.63110968989</v>
      </c>
      <c r="AF646" s="4722">
        <f ca="1">'TP(분기)'!CV14</f>
        <v>160841.0843071795</v>
      </c>
      <c r="AG646" s="4722">
        <f ca="1">'TP(분기)'!CW14</f>
        <v>159688.00209529046</v>
      </c>
      <c r="AH646" s="4722">
        <f ca="1">'TP(분기)'!CX14</f>
        <v>147853.77013060212</v>
      </c>
      <c r="AI646" s="4722">
        <f ca="1">'TP(분기)'!CY14</f>
        <v>146840.83437400282</v>
      </c>
      <c r="AJ646" s="4722">
        <f ca="1">'TP(분기)'!CZ14</f>
        <v>145825.20671198278</v>
      </c>
      <c r="AK646" s="4722">
        <f ca="1">'TP(분기)'!DA14</f>
        <v>144751.38521687014</v>
      </c>
      <c r="AL646" s="4722">
        <f ca="1">'TP(분기)'!DB14</f>
        <v>127896.56786653146</v>
      </c>
      <c r="AM646" s="4722">
        <f ca="1">'TP(분기)'!DC14</f>
        <v>127007.7308770161</v>
      </c>
      <c r="AN646" s="4722">
        <f ca="1">'TP(분기)'!DD14</f>
        <v>126244.46940147089</v>
      </c>
      <c r="AO646" s="4722">
        <f ca="1">'TP(분기)'!DE14</f>
        <v>125436.87493521026</v>
      </c>
      <c r="AP646" s="4722">
        <f ca="1">'TP(분기)'!DF14</f>
        <v>117323.54068178065</v>
      </c>
      <c r="AQ646" s="4722">
        <f ca="1">'TP(분기)'!DG14</f>
        <v>116605.12970155211</v>
      </c>
      <c r="AR646" s="4722">
        <f ca="1">'TP(분기)'!DH14</f>
        <v>117742.42856534029</v>
      </c>
      <c r="AS646" s="4722">
        <f ca="1">'TP(분기)'!DI14</f>
        <v>118904.18524950826</v>
      </c>
      <c r="AT646" s="4722">
        <f ca="1">'TP(분기)'!DJ14</f>
        <v>118883.23755954957</v>
      </c>
      <c r="AU646" s="4722">
        <f ca="1">'TP(분기)'!DK14</f>
        <v>120020.73610320452</v>
      </c>
      <c r="AV646" s="4722">
        <f ca="1">'TP(분기)'!DL14</f>
        <v>119714.57418340039</v>
      </c>
      <c r="AW646" s="4722"/>
      <c r="AX646" s="4722"/>
      <c r="AY646" s="4722"/>
      <c r="AZ646" s="4722"/>
      <c r="BA646" s="4722"/>
      <c r="BB646" s="4722"/>
    </row>
    <row r="647" spans="2:54">
      <c r="C647" s="4639"/>
      <c r="D647" s="4640"/>
      <c r="E647" s="4640"/>
      <c r="F647" s="4640"/>
      <c r="G647" s="4640"/>
      <c r="H647" s="4640"/>
      <c r="I647" s="4640"/>
      <c r="T647" s="4722">
        <f ca="1">'TP(분기)'!CJ15</f>
        <v>169350.52612813466</v>
      </c>
      <c r="U647" s="4722">
        <f ca="1">'TP(분기)'!CK15</f>
        <v>168470.39231476965</v>
      </c>
      <c r="V647" s="4722">
        <f ca="1">'TP(분기)'!CL15</f>
        <v>166269.73246038239</v>
      </c>
      <c r="W647" s="4722">
        <f ca="1">'TP(분기)'!CM15</f>
        <v>165438.89148421941</v>
      </c>
      <c r="X647" s="4722">
        <f ca="1">'TP(분기)'!CN15</f>
        <v>164602.30480377554</v>
      </c>
      <c r="Y647" s="4722">
        <f ca="1">'TP(분기)'!CO15</f>
        <v>163702.09110231407</v>
      </c>
      <c r="Z647" s="4722">
        <f ca="1">'TP(분기)'!CP15</f>
        <v>164774.68561851833</v>
      </c>
      <c r="AA647" s="4722">
        <f ca="1">'TP(분기)'!CQ15</f>
        <v>163899.50316149343</v>
      </c>
      <c r="AB647" s="4722">
        <f ca="1">'TP(분기)'!CR15</f>
        <v>163129.18512925948</v>
      </c>
      <c r="AC647" s="4722">
        <f ca="1">'TP(분기)'!CS15</f>
        <v>162301.11774177398</v>
      </c>
      <c r="AD647" s="4722">
        <f ca="1">'TP(분기)'!CT15</f>
        <v>164690.9157135904</v>
      </c>
      <c r="AE647" s="4722">
        <f ca="1">'TP(분기)'!CU15</f>
        <v>163880.16588498501</v>
      </c>
      <c r="AF647" s="4722">
        <f ca="1">'TP(분기)'!CV15</f>
        <v>162795.91918208986</v>
      </c>
      <c r="AG647" s="4722">
        <f ca="1">'TP(분기)'!CW15</f>
        <v>161645.679419486</v>
      </c>
      <c r="AH647" s="4722">
        <f ca="1">'TP(분기)'!CX15</f>
        <v>149813.84418693164</v>
      </c>
      <c r="AI647" s="4722">
        <f ca="1">'TP(분기)'!CY15</f>
        <v>148802.87113724358</v>
      </c>
      <c r="AJ647" s="4722">
        <f ca="1">'TP(분기)'!CZ15</f>
        <v>147788.78361196289</v>
      </c>
      <c r="AK647" s="4722">
        <f ca="1">'TP(분기)'!DA15</f>
        <v>146716.09090588946</v>
      </c>
      <c r="AL647" s="4722">
        <f ca="1">'TP(분기)'!DB15</f>
        <v>129862.00199100743</v>
      </c>
      <c r="AM647" s="4722">
        <f ca="1">'TP(분기)'!DC15</f>
        <v>128973.5038532826</v>
      </c>
      <c r="AN647" s="4722">
        <f ca="1">'TP(분기)'!DD15</f>
        <v>128210.20219565893</v>
      </c>
      <c r="AO647" s="4722">
        <f ca="1">'TP(분기)'!DE15</f>
        <v>127402.1988471408</v>
      </c>
      <c r="AP647" s="4722">
        <f ca="1">'TP(분기)'!DF15</f>
        <v>119288.09713280106</v>
      </c>
      <c r="AQ647" s="4722">
        <f ca="1">'TP(분기)'!DG15</f>
        <v>118568.57002624843</v>
      </c>
      <c r="AR647" s="4722">
        <f ca="1">'TP(분기)'!DH15</f>
        <v>119704.41380705913</v>
      </c>
      <c r="AS647" s="4722">
        <f ca="1">'TP(분기)'!DI15</f>
        <v>120864.38595962292</v>
      </c>
      <c r="AT647" s="4722">
        <f ca="1">'TP(분기)'!DJ15</f>
        <v>120841.33360040616</v>
      </c>
      <c r="AU647" s="4722">
        <f ca="1">'TP(분기)'!DK15</f>
        <v>121976.41645468488</v>
      </c>
      <c r="AV647" s="4722">
        <f ca="1">'TP(분기)'!DL15</f>
        <v>121667.53675303969</v>
      </c>
      <c r="AW647" s="4722"/>
      <c r="AX647" s="4722"/>
      <c r="AY647" s="4722"/>
      <c r="AZ647" s="4722"/>
      <c r="BA647" s="4722"/>
      <c r="BB647" s="4722"/>
    </row>
    <row r="648" spans="2:54" ht="14.25" thickBot="1">
      <c r="C648" s="4639"/>
      <c r="D648" s="4640"/>
      <c r="E648" s="4640"/>
      <c r="F648" s="4640"/>
      <c r="G648" s="4640"/>
      <c r="H648" s="4640"/>
      <c r="I648" s="4640"/>
      <c r="T648" s="4722">
        <f ca="1">'TP(분기)'!CJ12</f>
        <v>93783.798967046721</v>
      </c>
      <c r="U648" s="4722">
        <f ca="1">'TP(분기)'!CK12</f>
        <v>92497.487855435422</v>
      </c>
      <c r="V648" s="4722">
        <f ca="1">'TP(분기)'!CL12</f>
        <v>91228.819410191674</v>
      </c>
      <c r="W648" s="4722">
        <f ca="1">'TP(분기)'!CM12</f>
        <v>89977.551649672154</v>
      </c>
      <c r="X648" s="4722">
        <f ca="1">'TP(분기)'!CN12</f>
        <v>88743.44591118292</v>
      </c>
      <c r="Y648" s="4722">
        <f ca="1">'TP(분기)'!CO12</f>
        <v>87526.266805457635</v>
      </c>
      <c r="Z648" s="4722">
        <f ca="1">'TP(분기)'!CP12</f>
        <v>86325.782171760133</v>
      </c>
      <c r="AA648" s="4722">
        <f ca="1">'TP(분기)'!CQ12</f>
        <v>85141.76303360294</v>
      </c>
      <c r="AB648" s="4722">
        <f ca="1">'TP(분기)'!CR12</f>
        <v>83973.983555072948</v>
      </c>
      <c r="AC648" s="4722">
        <f ca="1">'TP(분기)'!CS12</f>
        <v>82822.220997756333</v>
      </c>
      <c r="AD648" s="4722">
        <f ca="1">'TP(분기)'!CT12</f>
        <v>81686.255678254034</v>
      </c>
      <c r="AE648" s="4722">
        <f ca="1">'TP(분기)'!CU12</f>
        <v>80565.8709262802</v>
      </c>
      <c r="AF648" s="4722">
        <f ca="1">'TP(분기)'!CV12</f>
        <v>79460.853043335097</v>
      </c>
      <c r="AG648" s="4722">
        <f ca="1">'TP(분기)'!CW12</f>
        <v>78370.991261945019</v>
      </c>
      <c r="AH648" s="4722">
        <f ca="1">'TP(분기)'!CX12</f>
        <v>77296.077705461212</v>
      </c>
      <c r="AI648" s="4722">
        <f ca="1">'TP(분기)'!CY12</f>
        <v>76235.907348410081</v>
      </c>
      <c r="AJ648" s="4722">
        <f ca="1">'TP(분기)'!CZ12</f>
        <v>75190.277977387421</v>
      </c>
      <c r="AK648" s="4722">
        <f ca="1">'TP(분기)'!DA12</f>
        <v>74158.990152488797</v>
      </c>
      <c r="AL648" s="4722">
        <f ca="1">'TP(분기)'!DB12</f>
        <v>73141.847169269109</v>
      </c>
      <c r="AM648" s="4722">
        <f ca="1">'TP(분기)'!DC12</f>
        <v>72138.655021223734</v>
      </c>
      <c r="AN648" s="4722">
        <f ca="1">'TP(분기)'!DD12</f>
        <v>71149.222362784538</v>
      </c>
      <c r="AO648" s="4722">
        <f ca="1">'TP(분기)'!DE12</f>
        <v>70173.360472823013</v>
      </c>
      <c r="AP648" s="4722">
        <f ca="1">'TP(분기)'!DF12</f>
        <v>69210.883218654475</v>
      </c>
      <c r="AQ648" s="4722">
        <f ca="1">'TP(분기)'!DG12</f>
        <v>68261.607020535565</v>
      </c>
      <c r="AR648" s="4722">
        <f ca="1">'TP(분기)'!DH12</f>
        <v>67325.350816648861</v>
      </c>
      <c r="AS648" s="4722">
        <f ca="1">'TP(분기)'!DI12</f>
        <v>66401.936028567914</v>
      </c>
      <c r="AT648" s="4722">
        <f ca="1">'TP(분기)'!DJ12</f>
        <v>65491.186527195481</v>
      </c>
      <c r="AU648" s="4722">
        <f ca="1">'TP(분기)'!DK12</f>
        <v>64592.928599169551</v>
      </c>
      <c r="AV648" s="4722">
        <f ca="1">'TP(분기)'!DL12</f>
        <v>63706.990913729671</v>
      </c>
      <c r="AW648" s="4722"/>
      <c r="AX648" s="4722"/>
      <c r="AY648" s="4722"/>
      <c r="AZ648" s="4722"/>
      <c r="BA648" s="4722"/>
      <c r="BB648" s="4722"/>
    </row>
    <row r="649" spans="2:54" ht="15" thickTop="1" thickBot="1">
      <c r="C649" s="4650" t="s">
        <v>48</v>
      </c>
      <c r="D649" s="4651" t="s">
        <v>4988</v>
      </c>
      <c r="E649" s="4652" t="s">
        <v>4989</v>
      </c>
      <c r="F649" s="4627">
        <v>2022</v>
      </c>
      <c r="G649" s="4627">
        <v>2023</v>
      </c>
      <c r="H649" s="4627">
        <v>2024</v>
      </c>
      <c r="I649" s="4627">
        <v>2025</v>
      </c>
      <c r="J649" s="4627">
        <v>2026</v>
      </c>
      <c r="K649" s="4627">
        <v>2027</v>
      </c>
      <c r="L649" s="4627">
        <v>2028</v>
      </c>
      <c r="M649" s="4627">
        <v>2029</v>
      </c>
      <c r="T649" s="521">
        <f>T628</f>
        <v>83713</v>
      </c>
      <c r="U649" s="521">
        <f t="shared" ref="U649:AC649" si="254">U628</f>
        <v>79644</v>
      </c>
      <c r="V649" s="521">
        <f t="shared" si="254"/>
        <v>75575</v>
      </c>
      <c r="W649" s="521">
        <f t="shared" si="254"/>
        <v>71505</v>
      </c>
      <c r="X649" s="521">
        <f t="shared" si="254"/>
        <v>67353</v>
      </c>
      <c r="Y649" s="521">
        <f t="shared" si="254"/>
        <v>63117</v>
      </c>
      <c r="Z649" s="521">
        <f t="shared" si="254"/>
        <v>59297</v>
      </c>
      <c r="AA649" s="521">
        <f t="shared" si="254"/>
        <v>55394</v>
      </c>
      <c r="AB649" s="521">
        <f t="shared" si="254"/>
        <v>50992</v>
      </c>
      <c r="AC649" s="521">
        <f t="shared" si="254"/>
        <v>46507</v>
      </c>
      <c r="AD649" s="521">
        <f>T635</f>
        <v>41275</v>
      </c>
      <c r="AE649" s="521">
        <f t="shared" ref="AE649:AM649" si="255">U635</f>
        <v>36043</v>
      </c>
      <c r="AF649" s="521">
        <f t="shared" si="255"/>
        <v>30728</v>
      </c>
      <c r="AG649" s="521">
        <f t="shared" si="255"/>
        <v>25330</v>
      </c>
      <c r="AH649" s="521">
        <f t="shared" si="255"/>
        <v>22008</v>
      </c>
      <c r="AI649" s="521">
        <f t="shared" si="255"/>
        <v>18188</v>
      </c>
      <c r="AJ649" s="521">
        <f t="shared" si="255"/>
        <v>14284</v>
      </c>
      <c r="AK649" s="521">
        <f t="shared" si="255"/>
        <v>10962</v>
      </c>
      <c r="AL649" s="521">
        <f t="shared" si="255"/>
        <v>9966</v>
      </c>
      <c r="AM649" s="521">
        <f t="shared" si="255"/>
        <v>8969</v>
      </c>
      <c r="AN649" s="521">
        <f>T642</f>
        <v>7973</v>
      </c>
      <c r="AO649" s="521">
        <f t="shared" ref="AO649:AV649" si="256">U642</f>
        <v>6976</v>
      </c>
      <c r="AP649" s="521">
        <f t="shared" si="256"/>
        <v>5980</v>
      </c>
      <c r="AQ649" s="521">
        <f t="shared" si="256"/>
        <v>4983</v>
      </c>
      <c r="AR649" s="521">
        <f t="shared" si="256"/>
        <v>3986</v>
      </c>
      <c r="AS649" s="521">
        <f t="shared" si="256"/>
        <v>2990</v>
      </c>
      <c r="AT649" s="521">
        <f t="shared" si="256"/>
        <v>1993</v>
      </c>
      <c r="AU649" s="521">
        <f t="shared" si="256"/>
        <v>997</v>
      </c>
      <c r="AV649" s="521" t="str">
        <f t="shared" si="256"/>
        <v xml:space="preserve">- </v>
      </c>
    </row>
    <row r="650" spans="2:54" ht="14.25" thickBot="1">
      <c r="C650" s="4653" t="s">
        <v>4990</v>
      </c>
      <c r="D650" s="4654">
        <f ca="1">MIN(F650:M650)</f>
        <v>1.3735820263812935</v>
      </c>
      <c r="E650" s="4655">
        <f ca="1">AVERAGE(F650:M650)</f>
        <v>4.1920964451782554</v>
      </c>
      <c r="F650" s="4654">
        <f ca="1">SUMIFS(Sensitivity!$R$7:$R$15,Sensitivity!$O$7:$O$15,F649)</f>
        <v>1.5727842086829662</v>
      </c>
      <c r="G650" s="4654">
        <f ca="1">SUMIFS(Sensitivity!$R$7:$R$15,Sensitivity!$O$7:$O$15,G649)</f>
        <v>2.1820473062767372</v>
      </c>
      <c r="H650" s="4654">
        <f ca="1">SUMIFS(Sensitivity!$R$7:$R$15,Sensitivity!$O$7:$O$15,H649)</f>
        <v>2.0094375132625144</v>
      </c>
      <c r="I650" s="4654">
        <f ca="1">SUMIFS(Sensitivity!$R$7:$R$15,Sensitivity!$O$7:$O$15,I649)</f>
        <v>1.3735820263812935</v>
      </c>
      <c r="J650" s="4654">
        <f ca="1">SUMIFS(Sensitivity!$R$7:$R$15,Sensitivity!$O$7:$O$15,J649)</f>
        <v>1.8178923974804437</v>
      </c>
      <c r="K650" s="4654">
        <f ca="1">SUMIFS(Sensitivity!$R$7:$R$15,Sensitivity!$O$7:$O$15,K649)</f>
        <v>7.0181792893274988</v>
      </c>
      <c r="L650" s="4654">
        <f ca="1">SUMIFS(Sensitivity!$R$7:$R$15,Sensitivity!$O$7:$O$15,L649)</f>
        <v>7.261227535274859</v>
      </c>
      <c r="M650" s="4654">
        <f ca="1">SUMIFS(Sensitivity!$R$7:$R$15,Sensitivity!$O$7:$O$15,M649)</f>
        <v>10.301621284739729</v>
      </c>
    </row>
    <row r="651" spans="2:54" ht="14.25" thickBot="1">
      <c r="C651" s="4653" t="s">
        <v>1397</v>
      </c>
      <c r="D651" s="4656">
        <f ca="1">MIN(F651:M651)</f>
        <v>1.4057266829396537</v>
      </c>
      <c r="E651" s="4657">
        <f ca="1">AVERAGE(F651:M651)</f>
        <v>4.4594669291138933</v>
      </c>
      <c r="F651" s="4658">
        <f ca="1">SUMIFS(Sensitivity!$S$7:$S$15,Sensitivity!$O$7:$O$15,F649)</f>
        <v>1.6109090671773765</v>
      </c>
      <c r="G651" s="4658">
        <f ca="1">SUMIFS(Sensitivity!$S$7:$S$15,Sensitivity!$O$7:$O$15,G649)</f>
        <v>2.1820473062767372</v>
      </c>
      <c r="H651" s="4658">
        <f ca="1">SUMIFS(Sensitivity!$S$7:$S$15,Sensitivity!$O$7:$O$15,H649)</f>
        <v>2.0873638094812574</v>
      </c>
      <c r="I651" s="4658">
        <f ca="1">SUMIFS(Sensitivity!$S$7:$S$15,Sensitivity!$O$7:$O$15,I649)</f>
        <v>1.4057266829396537</v>
      </c>
      <c r="J651" s="4658">
        <f ca="1">SUMIFS(Sensitivity!$S$7:$S$15,Sensitivity!$O$7:$O$15,J649)</f>
        <v>1.8178923974804437</v>
      </c>
      <c r="K651" s="4658">
        <f ca="1">SUMIFS(Sensitivity!$S$7:$S$15,Sensitivity!$O$7:$O$15,K649)</f>
        <v>7.0181792893274988</v>
      </c>
      <c r="L651" s="4654">
        <f ca="1">SUMIFS(Sensitivity!$S$7:$S$15,Sensitivity!$O$7:$O$15,L649)</f>
        <v>7.7698797194719909</v>
      </c>
      <c r="M651" s="4654">
        <f ca="1">SUMIFS(Sensitivity!$S$7:$S$15,Sensitivity!$O$7:$O$15,M649)</f>
        <v>11.783737160756189</v>
      </c>
    </row>
    <row r="652" spans="2:54">
      <c r="C652" s="4639"/>
      <c r="D652" s="4640"/>
      <c r="E652" s="4640"/>
      <c r="F652" s="4640"/>
      <c r="G652" s="4640"/>
      <c r="H652" s="4640"/>
      <c r="I652" s="4640"/>
      <c r="S652" s="5253" t="s">
        <v>5413</v>
      </c>
      <c r="T652" s="5256" t="s">
        <v>14</v>
      </c>
      <c r="U652" s="5256" t="s">
        <v>5429</v>
      </c>
      <c r="V652" s="5256">
        <v>2023</v>
      </c>
      <c r="W652" s="5256">
        <v>2024</v>
      </c>
      <c r="X652" s="5256">
        <v>2025</v>
      </c>
      <c r="Y652" s="5256">
        <v>2026</v>
      </c>
      <c r="Z652" s="5256">
        <v>2027</v>
      </c>
      <c r="AA652" s="5256">
        <v>2028</v>
      </c>
      <c r="AB652" s="5257">
        <v>2029</v>
      </c>
    </row>
    <row r="653" spans="2:54">
      <c r="C653" s="4639"/>
      <c r="D653" s="4640"/>
      <c r="E653" s="4640"/>
      <c r="F653" s="4640"/>
      <c r="G653" s="4640"/>
      <c r="H653" s="4640"/>
      <c r="I653" s="4640"/>
      <c r="S653" s="5254" t="s">
        <v>3676</v>
      </c>
      <c r="T653" s="5467"/>
      <c r="U653" s="5468">
        <f ca="1">Waterfall!U11*100</f>
        <v>770.3740082373173</v>
      </c>
      <c r="V653" s="5479">
        <f ca="1">U665</f>
        <v>0</v>
      </c>
      <c r="W653" s="5479">
        <f t="shared" ref="W653:AB653" ca="1" si="257">V665</f>
        <v>1492.6766905465374</v>
      </c>
      <c r="X653" s="5479">
        <f t="shared" ca="1" si="257"/>
        <v>736.00855626918565</v>
      </c>
      <c r="Y653" s="5479">
        <f t="shared" ca="1" si="257"/>
        <v>0</v>
      </c>
      <c r="Z653" s="5479">
        <f t="shared" ca="1" si="257"/>
        <v>0</v>
      </c>
      <c r="AA653" s="5479">
        <f t="shared" ca="1" si="257"/>
        <v>2151.7238126567463</v>
      </c>
      <c r="AB653" s="5479">
        <f t="shared" ca="1" si="257"/>
        <v>4529.7618743233625</v>
      </c>
    </row>
    <row r="654" spans="2:54">
      <c r="C654" s="4639"/>
      <c r="D654" s="4640"/>
      <c r="E654" s="4640"/>
      <c r="F654" s="4640"/>
      <c r="G654" s="4640"/>
      <c r="H654" s="4640"/>
      <c r="I654" s="4640"/>
      <c r="S654" s="5254" t="s">
        <v>5226</v>
      </c>
      <c r="T654" s="5468">
        <f ca="1">SUM(U654:AB654)</f>
        <v>246801.48854671061</v>
      </c>
      <c r="U654" s="5468">
        <f ca="1">(Waterfall!U13+Waterfall!V13+Waterfall!U14+Waterfall!V14)*100</f>
        <v>12792.460985598251</v>
      </c>
      <c r="V654" s="5468">
        <f ca="1">(SUMIF(Waterfall!3:3,report!V652,Waterfall!13:13)+SUMIF(Waterfall!3:3,report!V652,Waterfall!14:14))*100</f>
        <v>43200.325772299242</v>
      </c>
      <c r="W654" s="5468">
        <f ca="1">(SUMIF(Waterfall!3:3,report!W652,Waterfall!13:13)+SUMIF(Waterfall!3:3,report!W652,Waterfall!14:14))*100</f>
        <v>38490.736538243356</v>
      </c>
      <c r="X654" s="5468">
        <f ca="1">(SUMIF(Waterfall!3:3,report!X652,Waterfall!13:13)+SUMIF(Waterfall!3:3,report!X652,Waterfall!14:14))*100</f>
        <v>31450.580979725924</v>
      </c>
      <c r="Y654" s="5468">
        <f ca="1">(SUMIF(Waterfall!3:3,report!Y652,Waterfall!13:13)+SUMIF(Waterfall!3:3,report!Y652,Waterfall!14:14))*100</f>
        <v>27732.47156847372</v>
      </c>
      <c r="Z654" s="5468">
        <f ca="1">(SUMIF(Waterfall!3:3,report!Z652,Waterfall!13:13)+SUMIF(Waterfall!3:3,report!Z652,Waterfall!14:14))*100</f>
        <v>30933.490334635582</v>
      </c>
      <c r="AA654" s="5468">
        <f ca="1">(SUMIF(Waterfall!3:3,report!AA652,Waterfall!13:13)+SUMIF(Waterfall!3:3,report!AA652,Waterfall!14:14))*100</f>
        <v>30716.777951973752</v>
      </c>
      <c r="AB654" s="5468">
        <f ca="1">(SUMIF(Waterfall!3:3,report!AB652,Waterfall!13:13)+SUMIF(Waterfall!3:3,report!AB652,Waterfall!14:14))*100</f>
        <v>31484.644415760802</v>
      </c>
    </row>
    <row r="655" spans="2:54">
      <c r="C655" s="4639"/>
      <c r="D655" s="4640"/>
      <c r="E655" s="4640"/>
      <c r="F655" s="4640"/>
      <c r="G655" s="4640"/>
      <c r="H655" s="4640"/>
      <c r="I655" s="4640"/>
      <c r="S655" s="5255" t="s">
        <v>5430</v>
      </c>
      <c r="T655" s="5468">
        <f t="shared" ref="T655:T664" si="258">SUM(U655:AB655)</f>
        <v>87699.743999999992</v>
      </c>
      <c r="U655" s="5468">
        <f>SUM(Waterfall!U34+Waterfall!V34)*100</f>
        <v>8055.7529999999997</v>
      </c>
      <c r="V655" s="5468">
        <f>SUMIF(Waterfall!3:3,report!V652,Waterfall!34:34)*100</f>
        <v>16526.751</v>
      </c>
      <c r="W655" s="5468">
        <f>SUMIF(Waterfall!3:3,report!W652,Waterfall!34:34)*100</f>
        <v>16609.8</v>
      </c>
      <c r="X655" s="5468">
        <f>SUMIF(Waterfall!3:3,report!X652,Waterfall!34:34)*100</f>
        <v>21177.494999999999</v>
      </c>
      <c r="Y655" s="5468">
        <f>SUMIF(Waterfall!3:3,report!Y652,Waterfall!34:34)*100</f>
        <v>14367.476999999999</v>
      </c>
      <c r="Z655" s="5468">
        <f>SUMIF(Waterfall!3:3,report!Z652,Waterfall!34:34)*100</f>
        <v>3986.3520000000003</v>
      </c>
      <c r="AA655" s="5468">
        <f>SUMIF(Waterfall!3:3,report!AA652,Waterfall!34:34)*100</f>
        <v>3986.3520000000003</v>
      </c>
      <c r="AB655" s="5468">
        <f>SUMIF(Waterfall!3:3,report!AB652,Waterfall!34:34)*100</f>
        <v>2989.7639999999888</v>
      </c>
    </row>
    <row r="656" spans="2:54">
      <c r="C656" s="4639"/>
      <c r="D656" s="4640"/>
      <c r="E656" s="4640"/>
      <c r="F656" s="4640"/>
      <c r="G656" s="4640"/>
      <c r="H656" s="4640"/>
      <c r="I656" s="4640"/>
      <c r="S656" s="5469" t="s">
        <v>5431</v>
      </c>
      <c r="T656" s="5468">
        <f t="shared" si="258"/>
        <v>70226</v>
      </c>
      <c r="U656" s="5470">
        <v>6451</v>
      </c>
      <c r="V656" s="5470">
        <v>13234</v>
      </c>
      <c r="W656" s="5470">
        <v>13300</v>
      </c>
      <c r="X656" s="5470">
        <v>16958</v>
      </c>
      <c r="Y656" s="5470">
        <v>11505</v>
      </c>
      <c r="Z656" s="5470">
        <v>3192</v>
      </c>
      <c r="AA656" s="5470">
        <v>3192</v>
      </c>
      <c r="AB656" s="5471">
        <v>2394</v>
      </c>
    </row>
    <row r="657" spans="2:28">
      <c r="C657" s="4639"/>
      <c r="D657" s="4640"/>
      <c r="E657" s="4640"/>
      <c r="F657" s="4640"/>
      <c r="G657" s="4640"/>
      <c r="H657" s="4640"/>
      <c r="I657" s="4640"/>
      <c r="S657" s="5469" t="s">
        <v>5432</v>
      </c>
      <c r="T657" s="5468">
        <f t="shared" si="258"/>
        <v>3960</v>
      </c>
      <c r="U657" s="5472">
        <v>364</v>
      </c>
      <c r="V657" s="5472">
        <v>746</v>
      </c>
      <c r="W657" s="5472">
        <v>750</v>
      </c>
      <c r="X657" s="5472">
        <v>956</v>
      </c>
      <c r="Y657" s="5472">
        <v>649</v>
      </c>
      <c r="Z657" s="5472">
        <v>180</v>
      </c>
      <c r="AA657" s="5472">
        <v>180</v>
      </c>
      <c r="AB657" s="5473">
        <v>135</v>
      </c>
    </row>
    <row r="658" spans="2:28">
      <c r="C658" s="4639"/>
      <c r="D658" s="4640"/>
      <c r="E658" s="4640"/>
      <c r="F658" s="4640"/>
      <c r="G658" s="4640"/>
      <c r="H658" s="4640"/>
      <c r="I658" s="4640"/>
      <c r="S658" s="5469" t="s">
        <v>5433</v>
      </c>
      <c r="T658" s="5468">
        <f t="shared" si="258"/>
        <v>6600</v>
      </c>
      <c r="U658" s="5472">
        <v>606</v>
      </c>
      <c r="V658" s="5470">
        <v>1244</v>
      </c>
      <c r="W658" s="5470">
        <v>1250</v>
      </c>
      <c r="X658" s="5470">
        <v>1594</v>
      </c>
      <c r="Y658" s="5470">
        <v>1081</v>
      </c>
      <c r="Z658" s="5472">
        <v>300</v>
      </c>
      <c r="AA658" s="5472">
        <v>300</v>
      </c>
      <c r="AB658" s="5473">
        <v>225</v>
      </c>
    </row>
    <row r="659" spans="2:28">
      <c r="C659" s="4639"/>
      <c r="D659" s="4640"/>
      <c r="E659" s="4640"/>
      <c r="F659" s="4640"/>
      <c r="G659" s="4640"/>
      <c r="H659" s="4640"/>
      <c r="I659" s="4640"/>
      <c r="S659" s="5469" t="s">
        <v>5434</v>
      </c>
      <c r="T659" s="5468">
        <f t="shared" si="258"/>
        <v>6915</v>
      </c>
      <c r="U659" s="5472">
        <v>635</v>
      </c>
      <c r="V659" s="5470">
        <v>1303</v>
      </c>
      <c r="W659" s="5470">
        <v>1310</v>
      </c>
      <c r="X659" s="5470">
        <v>1670</v>
      </c>
      <c r="Y659" s="5470">
        <v>1133</v>
      </c>
      <c r="Z659" s="5472">
        <v>314</v>
      </c>
      <c r="AA659" s="5472">
        <v>314</v>
      </c>
      <c r="AB659" s="5473">
        <v>236</v>
      </c>
    </row>
    <row r="660" spans="2:28">
      <c r="C660" s="4639"/>
      <c r="D660" s="4640"/>
      <c r="E660" s="4640"/>
      <c r="F660" s="4640"/>
      <c r="G660" s="4640"/>
      <c r="H660" s="4640"/>
      <c r="I660" s="4640"/>
      <c r="S660" s="5254" t="s">
        <v>5435</v>
      </c>
      <c r="T660" s="5468">
        <f t="shared" ca="1" si="258"/>
        <v>11062.066146999998</v>
      </c>
      <c r="U660" s="5470">
        <f ca="1">(Waterfall!U33+Waterfall!V33)*100</f>
        <v>1906.8067919999996</v>
      </c>
      <c r="V660" s="5468">
        <f ca="1">SUMIF(Waterfall!3:3,report!V652,Waterfall!33:33)*100</f>
        <v>3271.3192104999998</v>
      </c>
      <c r="W660" s="5468">
        <f ca="1">SUMIF(Waterfall!3:3,report!W652,Waterfall!33:33)*100</f>
        <v>2545.1805774999993</v>
      </c>
      <c r="X660" s="5468">
        <f ca="1">SUMIF(Waterfall!3:3,report!X652,Waterfall!33:33)*100</f>
        <v>1719.2671704999996</v>
      </c>
      <c r="Y660" s="5468">
        <f ca="1">SUMIF(Waterfall!3:3,report!Y652,Waterfall!33:33)*100</f>
        <v>887.81072049999977</v>
      </c>
      <c r="Z660" s="5468">
        <f ca="1">SUMIF(Waterfall!3:3,report!Z652,Waterfall!33:33)*100</f>
        <v>421.27126799999957</v>
      </c>
      <c r="AA660" s="5468">
        <f ca="1">SUMIF(Waterfall!3:3,report!AA652,Waterfall!33:33)*100</f>
        <v>243.89389199999957</v>
      </c>
      <c r="AB660" s="5468">
        <f ca="1">SUMIF(Waterfall!3:3,report!AB652,Waterfall!33:33)*100</f>
        <v>66.516515999999655</v>
      </c>
    </row>
    <row r="661" spans="2:28">
      <c r="C661" s="4639"/>
      <c r="D661" s="4640"/>
      <c r="E661" s="4640"/>
      <c r="F661" s="4640"/>
      <c r="G661" s="4640"/>
      <c r="H661" s="4640"/>
      <c r="I661" s="4640"/>
      <c r="S661" s="5254" t="s">
        <v>5227</v>
      </c>
      <c r="T661" s="5467">
        <f t="shared" si="258"/>
        <v>0</v>
      </c>
      <c r="U661" s="5467" t="s">
        <v>1411</v>
      </c>
      <c r="V661" s="5467" t="s">
        <v>1411</v>
      </c>
      <c r="W661" s="5467" t="s">
        <v>1411</v>
      </c>
      <c r="X661" s="5467" t="s">
        <v>1411</v>
      </c>
      <c r="Y661" s="5467" t="s">
        <v>1411</v>
      </c>
      <c r="Z661" s="5467" t="s">
        <v>1411</v>
      </c>
      <c r="AA661" s="5467" t="s">
        <v>1411</v>
      </c>
      <c r="AB661" s="5474" t="s">
        <v>1411</v>
      </c>
    </row>
    <row r="662" spans="2:28">
      <c r="C662" s="4639"/>
      <c r="D662" s="4640"/>
      <c r="E662" s="4640"/>
      <c r="F662" s="4640"/>
      <c r="G662" s="4640"/>
      <c r="H662" s="4640"/>
      <c r="I662" s="4640"/>
      <c r="S662" s="5254" t="s">
        <v>5436</v>
      </c>
      <c r="T662" s="5468">
        <f t="shared" ca="1" si="258"/>
        <v>12015.799932371177</v>
      </c>
      <c r="U662" s="5468">
        <f>(Waterfall!U45+Waterfall!V45+Waterfall!U47+Waterfall!V47)*100</f>
        <v>680</v>
      </c>
      <c r="V662" s="5468">
        <f ca="1">SUMIF(Waterfall!$3:$3,report!V$652,Waterfall!50:50)*100+SUMIF(Waterfall!$3:$3,report!V$652,Waterfall!39:39)*100</f>
        <v>1030</v>
      </c>
      <c r="W662" s="5468">
        <f ca="1">SUMIF(Waterfall!$3:$3,report!W$652,Waterfall!50:50)*100+SUMIF(Waterfall!$3:$3,report!W$652,Waterfall!39:39)*100</f>
        <v>1030</v>
      </c>
      <c r="X662" s="5468">
        <f ca="1">SUMIF(Waterfall!$3:$3,report!X$652,Waterfall!50:50)*100+SUMIF(Waterfall!$3:$3,report!X$652,Waterfall!39:39)*100</f>
        <v>1342.1812029999999</v>
      </c>
      <c r="Y662" s="5468">
        <f ca="1">SUMIF(Waterfall!$3:$3,report!Y$652,Waterfall!50:50)*100+SUMIF(Waterfall!$3:$3,report!Y$652,Waterfall!39:39)*100</f>
        <v>1515.0257335970998</v>
      </c>
      <c r="Z662" s="5468">
        <f ca="1">SUMIF(Waterfall!$3:$3,report!Z$652,Waterfall!50:50)*100+SUMIF(Waterfall!$3:$3,report!Z$652,Waterfall!39:39)*100</f>
        <v>2115.21135963706</v>
      </c>
      <c r="AA662" s="5468">
        <f ca="1">SUMIF(Waterfall!$3:$3,report!AA$652,Waterfall!50:50)*100+SUMIF(Waterfall!$3:$3,report!AA$652,Waterfall!39:39)*100</f>
        <v>1032.8854140842805</v>
      </c>
      <c r="AB662" s="5468">
        <f ca="1">SUMIF(Waterfall!$3:$3,report!AB$652,Waterfall!50:50)*100+SUMIF(Waterfall!$3:$3,report!AB$652,Waterfall!39:39)*100</f>
        <v>3270.4962220527368</v>
      </c>
    </row>
    <row r="663" spans="2:28">
      <c r="C663" s="4639"/>
      <c r="D663" s="4640"/>
      <c r="E663" s="4640"/>
      <c r="F663" s="4640"/>
      <c r="G663" s="4640"/>
      <c r="H663" s="4640"/>
      <c r="I663" s="4640"/>
      <c r="S663" s="5254" t="s">
        <v>5437</v>
      </c>
      <c r="T663" s="5468">
        <f t="shared" ca="1" si="258"/>
        <v>130431.71690025394</v>
      </c>
      <c r="U663" s="5468">
        <f ca="1">(Waterfall!U51+Waterfall!V51)*100</f>
        <v>2920.2752018355686</v>
      </c>
      <c r="V663" s="5468">
        <f ca="1">SUMIF(Waterfall!$3:$3,report!V$652,Waterfall!51:51)*100</f>
        <v>20879.578871252703</v>
      </c>
      <c r="W663" s="5468">
        <f ca="1">SUMIF(Waterfall!$3:$3,report!W$652,Waterfall!51:51)*100</f>
        <v>19062.424095020713</v>
      </c>
      <c r="X663" s="5468">
        <f ca="1">SUMIF(Waterfall!$3:$3,report!X$652,Waterfall!51:51)*100</f>
        <v>7947.6461624951125</v>
      </c>
      <c r="Y663" s="5468">
        <f ca="1">SUMIF(Waterfall!$3:$3,report!Y$652,Waterfall!51:51)*100</f>
        <v>10962.15811437662</v>
      </c>
      <c r="Z663" s="5468">
        <f ca="1">SUMIF(Waterfall!$3:$3,report!Z$652,Waterfall!51:51)*100</f>
        <v>22258.931894341775</v>
      </c>
      <c r="AA663" s="5468">
        <f ca="1">SUMIF(Waterfall!$3:$3,report!AA$652,Waterfall!51:51)*100</f>
        <v>22917.060771566106</v>
      </c>
      <c r="AB663" s="5468">
        <f ca="1">SUMIF(Waterfall!$3:$3,report!AB$652,Waterfall!51:51)*100</f>
        <v>23483.641789365352</v>
      </c>
    </row>
    <row r="664" spans="2:28">
      <c r="C664" s="4639"/>
      <c r="D664" s="4640"/>
      <c r="E664" s="4640"/>
      <c r="F664" s="4640"/>
      <c r="G664" s="4640"/>
      <c r="H664" s="4640"/>
      <c r="I664" s="4640"/>
      <c r="S664" s="5254" t="s">
        <v>152</v>
      </c>
      <c r="T664" s="5468">
        <f t="shared" ca="1" si="258"/>
        <v>3193.4276869801233</v>
      </c>
      <c r="U664" s="5468">
        <f ca="1">SUMIF('CF(Y)'!4:4,report!U670,'CF(Y)'!43:43)*100</f>
        <v>0</v>
      </c>
      <c r="V664" s="5468">
        <f ca="1">SUMIF('CF(Y)'!4:4,report!V670,'CF(Y)'!43:43)*100</f>
        <v>0</v>
      </c>
      <c r="W664" s="5468">
        <f ca="1">SUMIF('CF(Y)'!4:4,report!W670,'CF(Y)'!43:43)*100</f>
        <v>0</v>
      </c>
      <c r="X664" s="5468">
        <f ca="1">SUMIF('CF(Y)'!4:4,report!X670,'CF(Y)'!43:43)*100</f>
        <v>0</v>
      </c>
      <c r="Y664" s="5468">
        <f ca="1">SUMIF('CF(Y)'!4:4,report!Y670,'CF(Y)'!43:43)*100</f>
        <v>0</v>
      </c>
      <c r="Z664" s="5468">
        <f ca="1">SUMIF('CF(Y)'!4:4,report!Z670,'CF(Y)'!43:43)*100</f>
        <v>0</v>
      </c>
      <c r="AA664" s="5468">
        <f ca="1">SUMIF('CF(Y)'!4:4,report!AA670,'CF(Y)'!43:43)*100</f>
        <v>158.54781265674978</v>
      </c>
      <c r="AB664" s="5468">
        <f ca="1">SUMIF('CF(Y)'!4:4,report!AB670,'CF(Y)'!43:43)*100</f>
        <v>3034.8798743233738</v>
      </c>
    </row>
    <row r="665" spans="2:28" ht="23.25">
      <c r="C665" s="4639"/>
      <c r="D665" s="4640"/>
      <c r="E665" s="4640"/>
      <c r="F665" s="4640"/>
      <c r="G665" s="4640"/>
      <c r="H665" s="4640"/>
      <c r="I665" s="4640"/>
      <c r="S665" s="5254" t="s">
        <v>3677</v>
      </c>
      <c r="T665" s="5475"/>
      <c r="U665" s="5468">
        <f ca="1">U653+U654-U655-U660-U662-U663</f>
        <v>0</v>
      </c>
      <c r="V665" s="5468">
        <f t="shared" ref="V665:Y665" ca="1" si="259">V653+V654-V655-V660-V662-V663</f>
        <v>1492.6766905465374</v>
      </c>
      <c r="W665" s="5468">
        <f t="shared" ca="1" si="259"/>
        <v>736.00855626918565</v>
      </c>
      <c r="X665" s="5468">
        <f t="shared" ca="1" si="259"/>
        <v>0</v>
      </c>
      <c r="Y665" s="5468">
        <f t="shared" ca="1" si="259"/>
        <v>0</v>
      </c>
      <c r="Z665" s="5468">
        <f ca="1">Z653+Z654-Z655-Z660-Z662-Z663-Z664</f>
        <v>2151.7238126567463</v>
      </c>
      <c r="AA665" s="5468">
        <f t="shared" ref="AA665:AB665" ca="1" si="260">AA653+AA654-AA655-AA660-AA662-AA663-AA664</f>
        <v>4529.7618743233625</v>
      </c>
      <c r="AB665" s="5468">
        <f t="shared" ca="1" si="260"/>
        <v>3169.107888342719</v>
      </c>
    </row>
    <row r="666" spans="2:28" ht="23.25">
      <c r="C666" s="4639"/>
      <c r="D666" s="4640"/>
      <c r="E666" s="4640"/>
      <c r="F666" s="4640"/>
      <c r="G666" s="4640"/>
      <c r="H666" s="4640"/>
      <c r="I666" s="4640"/>
      <c r="S666" s="5255" t="s">
        <v>4990</v>
      </c>
      <c r="T666" s="5476"/>
      <c r="U666" s="5480">
        <f ca="1">'CF(Y)'!N48</f>
        <v>1.5727842086829662</v>
      </c>
      <c r="V666" s="5480">
        <f ca="1">'CF(Y)'!O48</f>
        <v>2.1820473062767372</v>
      </c>
      <c r="W666" s="5480">
        <f ca="1">'CF(Y)'!P48</f>
        <v>2.0094375132625144</v>
      </c>
      <c r="X666" s="5480">
        <f ca="1">'CF(Y)'!Q48</f>
        <v>1.3735820263812935</v>
      </c>
      <c r="Y666" s="5480">
        <f ca="1">'CF(Y)'!R48</f>
        <v>1.8178923974804437</v>
      </c>
      <c r="Z666" s="5480">
        <f ca="1">'CF(Y)'!S48</f>
        <v>7.0181792893274988</v>
      </c>
      <c r="AA666" s="5480">
        <f ca="1">'CF(Y)'!T48</f>
        <v>7.261227535274859</v>
      </c>
      <c r="AB666" s="5480">
        <f ca="1">'CF(Y)'!U48</f>
        <v>10.301621284739729</v>
      </c>
    </row>
    <row r="667" spans="2:28" ht="23.25">
      <c r="C667" s="4639"/>
      <c r="D667" s="4640"/>
      <c r="E667" s="4640"/>
      <c r="F667" s="4640"/>
      <c r="G667" s="4640"/>
      <c r="H667" s="4640"/>
      <c r="I667" s="4640"/>
      <c r="S667" s="5255" t="s">
        <v>1397</v>
      </c>
      <c r="T667" s="5476"/>
      <c r="U667" s="5480">
        <f ca="1">'CF(Y)'!N49</f>
        <v>1.6109090671773765</v>
      </c>
      <c r="V667" s="5480">
        <f ca="1">'CF(Y)'!O49</f>
        <v>2.1820473062767372</v>
      </c>
      <c r="W667" s="5480">
        <f ca="1">'CF(Y)'!P49</f>
        <v>2.0873638094812574</v>
      </c>
      <c r="X667" s="5480">
        <f ca="1">'CF(Y)'!Q49</f>
        <v>1.4057266829396537</v>
      </c>
      <c r="Y667" s="5480">
        <f ca="1">'CF(Y)'!R49</f>
        <v>1.8178923974804437</v>
      </c>
      <c r="Z667" s="5480">
        <f ca="1">'CF(Y)'!S49</f>
        <v>7.0181792893274988</v>
      </c>
      <c r="AA667" s="5480">
        <f ca="1">'CF(Y)'!T49</f>
        <v>7.7698797194719909</v>
      </c>
      <c r="AB667" s="5480">
        <f ca="1">'CF(Y)'!U49</f>
        <v>11.783737160756189</v>
      </c>
    </row>
    <row r="668" spans="2:28">
      <c r="C668" s="4639"/>
      <c r="D668" s="4640"/>
      <c r="E668" s="4640"/>
      <c r="F668" s="4640"/>
      <c r="G668" s="4640"/>
      <c r="H668" s="4640"/>
      <c r="I668" s="4640"/>
    </row>
    <row r="669" spans="2:28" ht="14.25" thickBot="1">
      <c r="C669" s="4639"/>
      <c r="D669" s="4640"/>
      <c r="E669" s="4640"/>
      <c r="F669" s="4640"/>
      <c r="G669" s="4640"/>
      <c r="H669" s="4640"/>
      <c r="I669" s="4640"/>
    </row>
    <row r="670" spans="2:28">
      <c r="C670" s="4639"/>
      <c r="D670" s="4640"/>
      <c r="E670" s="4640"/>
      <c r="F670" s="4640"/>
      <c r="G670" s="4640"/>
      <c r="H670" s="4640"/>
      <c r="I670" s="4640"/>
      <c r="S670" s="5253" t="s">
        <v>5225</v>
      </c>
      <c r="T670" s="5256" t="s">
        <v>14</v>
      </c>
      <c r="U670" s="5256">
        <v>2022</v>
      </c>
      <c r="V670" s="5256">
        <v>2023</v>
      </c>
      <c r="W670" s="5256">
        <v>2024</v>
      </c>
      <c r="X670" s="5256">
        <v>2025</v>
      </c>
      <c r="Y670" s="5256">
        <v>2026</v>
      </c>
      <c r="Z670" s="5256">
        <v>2027</v>
      </c>
      <c r="AA670" s="5256">
        <v>2028</v>
      </c>
      <c r="AB670" s="5257">
        <v>2029</v>
      </c>
    </row>
    <row r="671" spans="2:28" ht="23.25">
      <c r="B671" s="498" t="s">
        <v>4971</v>
      </c>
      <c r="S671" s="5254" t="s">
        <v>3676</v>
      </c>
      <c r="T671" s="5475"/>
      <c r="U671" s="5468">
        <f ca="1">U653</f>
        <v>770.3740082373173</v>
      </c>
      <c r="V671" s="5468">
        <f ca="1">U678</f>
        <v>-9.0949470177292824E-13</v>
      </c>
      <c r="W671" s="5468">
        <f t="shared" ref="W671:AB671" ca="1" si="261">V678</f>
        <v>1492.6766905465374</v>
      </c>
      <c r="X671" s="5468">
        <f t="shared" ca="1" si="261"/>
        <v>736.00855626918565</v>
      </c>
      <c r="Y671" s="5468">
        <f t="shared" ca="1" si="261"/>
        <v>-9.0949470177292824E-13</v>
      </c>
      <c r="Z671" s="5468">
        <f t="shared" ca="1" si="261"/>
        <v>1.8189894035458565E-12</v>
      </c>
      <c r="AA671" s="5468">
        <f t="shared" ca="1" si="261"/>
        <v>2151.7238126567536</v>
      </c>
      <c r="AB671" s="5468">
        <f t="shared" ca="1" si="261"/>
        <v>4529.7618743233697</v>
      </c>
    </row>
    <row r="672" spans="2:28" ht="14.25" thickBot="1">
      <c r="S672" s="5254" t="s">
        <v>5226</v>
      </c>
      <c r="T672" s="5468">
        <f ca="1">SUM(U672:AB672)</f>
        <v>246801.48854671061</v>
      </c>
      <c r="U672" s="5468">
        <f ca="1">U654</f>
        <v>12792.460985598251</v>
      </c>
      <c r="V672" s="5468">
        <f t="shared" ref="V672:AB672" ca="1" si="262">V654</f>
        <v>43200.325772299242</v>
      </c>
      <c r="W672" s="5468">
        <f t="shared" ca="1" si="262"/>
        <v>38490.736538243356</v>
      </c>
      <c r="X672" s="5468">
        <f t="shared" ca="1" si="262"/>
        <v>31450.580979725924</v>
      </c>
      <c r="Y672" s="5468">
        <f t="shared" ca="1" si="262"/>
        <v>27732.47156847372</v>
      </c>
      <c r="Z672" s="5468">
        <f t="shared" ca="1" si="262"/>
        <v>30933.490334635582</v>
      </c>
      <c r="AA672" s="5468">
        <f t="shared" ca="1" si="262"/>
        <v>30716.777951973752</v>
      </c>
      <c r="AB672" s="5468">
        <f t="shared" ca="1" si="262"/>
        <v>31484.644415760802</v>
      </c>
    </row>
    <row r="673" spans="3:35" ht="14.25" thickBot="1">
      <c r="C673" s="4630" t="s">
        <v>4959</v>
      </c>
      <c r="D673" s="4631">
        <v>2022</v>
      </c>
      <c r="E673" s="4631">
        <v>2023</v>
      </c>
      <c r="F673" s="4631">
        <v>2024</v>
      </c>
      <c r="G673" s="4631">
        <v>2025</v>
      </c>
      <c r="H673" s="4631">
        <v>2026</v>
      </c>
      <c r="I673" s="4631">
        <v>2027</v>
      </c>
      <c r="J673" s="4631">
        <v>2028</v>
      </c>
      <c r="K673" s="4631">
        <v>2029</v>
      </c>
      <c r="S673" s="5254" t="s">
        <v>5438</v>
      </c>
      <c r="T673" s="5468">
        <f t="shared" ref="T673:T677" ca="1" si="263">SUM(U673:AB673)</f>
        <v>98761.810146999982</v>
      </c>
      <c r="U673" s="5468">
        <f ca="1">U655+U660</f>
        <v>9962.559792</v>
      </c>
      <c r="V673" s="5468">
        <f t="shared" ref="V673:AB673" ca="1" si="264">V655+V660</f>
        <v>19798.070210500002</v>
      </c>
      <c r="W673" s="5468">
        <f t="shared" ca="1" si="264"/>
        <v>19154.980577499999</v>
      </c>
      <c r="X673" s="5468">
        <f t="shared" ca="1" si="264"/>
        <v>22896.762170499998</v>
      </c>
      <c r="Y673" s="5468">
        <f t="shared" ca="1" si="264"/>
        <v>15255.287720499999</v>
      </c>
      <c r="Z673" s="5468">
        <f t="shared" ca="1" si="264"/>
        <v>4407.6232680000003</v>
      </c>
      <c r="AA673" s="5468">
        <f t="shared" ca="1" si="264"/>
        <v>4230.2458919999999</v>
      </c>
      <c r="AB673" s="5468">
        <f t="shared" ca="1" si="264"/>
        <v>3056.2805159999884</v>
      </c>
    </row>
    <row r="674" spans="3:35" ht="14.25" thickBot="1">
      <c r="C674" s="4632" t="s">
        <v>4960</v>
      </c>
      <c r="D674" s="1863">
        <f>SUMIFS(TP!276:276,TP!$267:$267,D$673)*100</f>
        <v>79643.99099999998</v>
      </c>
      <c r="E674" s="1863">
        <f>SUMIFS(TP!276:276,TP!$267:$267,E$673)*100</f>
        <v>63117.239999999983</v>
      </c>
      <c r="F674" s="1863">
        <f>SUMIFS(TP!276:276,TP!$267:$267,F$673)*100</f>
        <v>46507.439999999988</v>
      </c>
      <c r="G674" s="1863">
        <f>SUMIFS(TP!276:276,TP!$267:$267,G$673)*100</f>
        <v>25329.944999999985</v>
      </c>
      <c r="H674" s="1863">
        <f>SUMIFS(TP!276:276,TP!$267:$267,H$673)*100</f>
        <v>10962.467999999986</v>
      </c>
      <c r="I674" s="1863">
        <f>SUMIFS(TP!276:276,TP!$267:$267,I$673)*100</f>
        <v>6976.1159999999873</v>
      </c>
      <c r="J674" s="1863">
        <f>SUMIFS(TP!276:276,TP!$267:$267,J$673)*100</f>
        <v>2989.7639999999874</v>
      </c>
      <c r="K674" s="1863">
        <f>SUMIFS(TP!276:276,TP!$267:$267,K$673)*100</f>
        <v>0</v>
      </c>
      <c r="S674" s="5254" t="s">
        <v>5227</v>
      </c>
      <c r="T674" s="5467" t="s">
        <v>1411</v>
      </c>
      <c r="U674" s="5467" t="s">
        <v>1411</v>
      </c>
      <c r="V674" s="5467" t="s">
        <v>1411</v>
      </c>
      <c r="W674" s="5467" t="s">
        <v>1411</v>
      </c>
      <c r="X674" s="5467" t="s">
        <v>1411</v>
      </c>
      <c r="Y674" s="5467" t="s">
        <v>1411</v>
      </c>
      <c r="Z674" s="5467" t="s">
        <v>1411</v>
      </c>
      <c r="AA674" s="5467" t="s">
        <v>1411</v>
      </c>
      <c r="AB674" s="5467" t="s">
        <v>1411</v>
      </c>
    </row>
    <row r="675" spans="3:35" ht="15.75" thickTop="1" thickBot="1">
      <c r="C675" s="4629" t="s">
        <v>4961</v>
      </c>
      <c r="D675" s="1863"/>
      <c r="E675" s="1863"/>
      <c r="F675" s="1863"/>
      <c r="G675" s="1863"/>
      <c r="H675" s="1863"/>
      <c r="I675" s="1863"/>
      <c r="J675" s="1863"/>
      <c r="K675" s="1863"/>
      <c r="S675" s="5254" t="s">
        <v>5228</v>
      </c>
      <c r="T675" s="5468">
        <f t="shared" ca="1" si="263"/>
        <v>12015.799932371177</v>
      </c>
      <c r="U675" s="5468">
        <f>U662</f>
        <v>680</v>
      </c>
      <c r="V675" s="5468">
        <f t="shared" ref="V675:AB675" ca="1" si="265">V662</f>
        <v>1030</v>
      </c>
      <c r="W675" s="5468">
        <f t="shared" ca="1" si="265"/>
        <v>1030</v>
      </c>
      <c r="X675" s="5468">
        <f t="shared" ca="1" si="265"/>
        <v>1342.1812029999999</v>
      </c>
      <c r="Y675" s="5468">
        <f t="shared" ca="1" si="265"/>
        <v>1515.0257335970998</v>
      </c>
      <c r="Z675" s="5468">
        <f t="shared" ca="1" si="265"/>
        <v>2115.21135963706</v>
      </c>
      <c r="AA675" s="5468">
        <f t="shared" ca="1" si="265"/>
        <v>1032.8854140842805</v>
      </c>
      <c r="AB675" s="5468">
        <f t="shared" ca="1" si="265"/>
        <v>3270.4962220527368</v>
      </c>
    </row>
    <row r="676" spans="3:35" ht="14.25" thickBot="1">
      <c r="C676" s="4629" t="s">
        <v>4962</v>
      </c>
      <c r="D676" s="1863">
        <f ca="1">SUMIFS(TP!268:268,TP!$267:$267,D$673)*100</f>
        <v>92497.487855435451</v>
      </c>
      <c r="E676" s="1863">
        <f ca="1">SUMIFS(TP!268:268,TP!$267:$267,E$673)*100</f>
        <v>87526.26680545765</v>
      </c>
      <c r="F676" s="1863">
        <f ca="1">SUMIFS(TP!268:268,TP!$267:$267,F$673)*100</f>
        <v>82822.220997756333</v>
      </c>
      <c r="G676" s="1863">
        <f ca="1">SUMIFS(TP!268:268,TP!$267:$267,G$673)*100</f>
        <v>78370.991261945019</v>
      </c>
      <c r="H676" s="1863">
        <f ca="1">SUMIFS(TP!268:268,TP!$267:$267,H$673)*100</f>
        <v>74158.990152488797</v>
      </c>
      <c r="I676" s="1863">
        <f ca="1">SUMIFS(TP!268:268,TP!$267:$267,I$673)*100</f>
        <v>70173.360472823013</v>
      </c>
      <c r="J676" s="1863">
        <f ca="1">SUMIFS(TP!268:268,TP!$267:$267,J$673)*100</f>
        <v>66401.936028567914</v>
      </c>
      <c r="K676" s="1863">
        <f ca="1">SUMIFS(TP!268:268,TP!$267:$267,K$673)*100</f>
        <v>62833.204490037817</v>
      </c>
      <c r="S676" s="5254" t="s">
        <v>5229</v>
      </c>
      <c r="T676" s="5468">
        <f t="shared" ca="1" si="263"/>
        <v>130431.71690025394</v>
      </c>
      <c r="U676" s="5468">
        <f ca="1">U663</f>
        <v>2920.2752018355686</v>
      </c>
      <c r="V676" s="5468">
        <f t="shared" ref="V676:AB676" ca="1" si="266">V663</f>
        <v>20879.578871252703</v>
      </c>
      <c r="W676" s="5468">
        <f t="shared" ca="1" si="266"/>
        <v>19062.424095020713</v>
      </c>
      <c r="X676" s="5468">
        <f t="shared" ca="1" si="266"/>
        <v>7947.6461624951125</v>
      </c>
      <c r="Y676" s="5468">
        <f t="shared" ca="1" si="266"/>
        <v>10962.15811437662</v>
      </c>
      <c r="Z676" s="5468">
        <f t="shared" ca="1" si="266"/>
        <v>22258.931894341775</v>
      </c>
      <c r="AA676" s="5468">
        <f t="shared" ca="1" si="266"/>
        <v>22917.060771566106</v>
      </c>
      <c r="AB676" s="5468">
        <f t="shared" ca="1" si="266"/>
        <v>23483.641789365352</v>
      </c>
    </row>
    <row r="677" spans="3:35" ht="14.25" thickBot="1">
      <c r="C677" s="4629" t="s">
        <v>4963</v>
      </c>
      <c r="D677" s="1863">
        <f ca="1">SUMIFS(TP!270:270,TP!$267:$267,D$673)*100</f>
        <v>166579.8362396514</v>
      </c>
      <c r="E677" s="1863">
        <f ca="1">SUMIFS(TP!270:270,TP!$267:$267,E$673)*100</f>
        <v>161780.6673746602</v>
      </c>
      <c r="F677" s="1863">
        <f ca="1">SUMIFS(TP!270:270,TP!$267:$267,F$673)*100</f>
        <v>160357.60508243763</v>
      </c>
      <c r="G677" s="1863">
        <f ca="1">SUMIFS(TP!270:270,TP!$267:$267,G$673)*100</f>
        <v>159688.00209529052</v>
      </c>
      <c r="H677" s="1863">
        <f ca="1">SUMIFS(TP!270:270,TP!$267:$267,H$673)*100</f>
        <v>144751.38521687011</v>
      </c>
      <c r="I677" s="1863">
        <f ca="1">SUMIFS(TP!270:270,TP!$267:$267,I$673)*100</f>
        <v>125436.8749352102</v>
      </c>
      <c r="J677" s="1863">
        <f ca="1">SUMIFS(TP!270:270,TP!$267:$267,J$673)*100</f>
        <v>118904.18524950818</v>
      </c>
      <c r="K677" s="1863">
        <f ca="1">SUMIFS(TP!270:270,TP!$267:$267,K$673)*100</f>
        <v>119384.64562711699</v>
      </c>
      <c r="S677" s="5254" t="s">
        <v>152</v>
      </c>
      <c r="T677" s="5468">
        <f t="shared" ca="1" si="263"/>
        <v>3193.4276869801233</v>
      </c>
      <c r="U677" s="5468">
        <f ca="1">U664</f>
        <v>0</v>
      </c>
      <c r="V677" s="5468">
        <f t="shared" ref="V677:AB677" ca="1" si="267">V664</f>
        <v>0</v>
      </c>
      <c r="W677" s="5468">
        <f t="shared" ca="1" si="267"/>
        <v>0</v>
      </c>
      <c r="X677" s="5468">
        <f t="shared" ca="1" si="267"/>
        <v>0</v>
      </c>
      <c r="Y677" s="5468">
        <f t="shared" ca="1" si="267"/>
        <v>0</v>
      </c>
      <c r="Z677" s="5468">
        <f t="shared" ca="1" si="267"/>
        <v>0</v>
      </c>
      <c r="AA677" s="5468">
        <f t="shared" ca="1" si="267"/>
        <v>158.54781265674978</v>
      </c>
      <c r="AB677" s="5468">
        <f t="shared" ca="1" si="267"/>
        <v>3034.8798743233738</v>
      </c>
    </row>
    <row r="678" spans="3:35" ht="24" thickBot="1">
      <c r="C678" s="4629" t="s">
        <v>4964</v>
      </c>
      <c r="D678" s="1863">
        <f ca="1">SUMIFS(TP!271:271,TP!$267:$267,D$673)*100</f>
        <v>168470.39231476962</v>
      </c>
      <c r="E678" s="1863">
        <f ca="1">SUMIFS(TP!271:271,TP!$267:$267,E$673)*100</f>
        <v>163702.09110231409</v>
      </c>
      <c r="F678" s="1863">
        <f ca="1">SUMIFS(TP!271:271,TP!$267:$267,F$673)*100</f>
        <v>162301.11774177398</v>
      </c>
      <c r="G678" s="1863">
        <f ca="1">SUMIFS(TP!271:271,TP!$267:$267,G$673)*100</f>
        <v>161645.67941948597</v>
      </c>
      <c r="H678" s="1863">
        <f ca="1">SUMIFS(TP!271:271,TP!$267:$267,H$673)*100</f>
        <v>146716.0909058894</v>
      </c>
      <c r="I678" s="1863">
        <f ca="1">SUMIFS(TP!271:271,TP!$267:$267,I$673)*100</f>
        <v>127402.19884714068</v>
      </c>
      <c r="J678" s="1863">
        <f ca="1">SUMIFS(TP!271:271,TP!$267:$267,J$673)*100</f>
        <v>120864.38595962284</v>
      </c>
      <c r="K678" s="1863">
        <f ca="1">SUMIFS(TP!271:271,TP!$267:$267,K$673)*100</f>
        <v>121334.59706371484</v>
      </c>
      <c r="S678" s="5254" t="s">
        <v>3677</v>
      </c>
      <c r="T678" s="5475"/>
      <c r="U678" s="5468">
        <f ca="1">U671+U672-U673-U675-U676-U677</f>
        <v>-9.0949470177292824E-13</v>
      </c>
      <c r="V678" s="5468">
        <f t="shared" ref="V678:AB678" ca="1" si="268">V671+V672-V673-V675-V676-V677</f>
        <v>1492.6766905465374</v>
      </c>
      <c r="W678" s="5468">
        <f t="shared" ca="1" si="268"/>
        <v>736.00855626918565</v>
      </c>
      <c r="X678" s="5468">
        <f t="shared" ca="1" si="268"/>
        <v>-9.0949470177292824E-13</v>
      </c>
      <c r="Y678" s="5468">
        <f t="shared" ca="1" si="268"/>
        <v>1.8189894035458565E-12</v>
      </c>
      <c r="Z678" s="5468">
        <f t="shared" ca="1" si="268"/>
        <v>2151.7238126567536</v>
      </c>
      <c r="AA678" s="5468">
        <f t="shared" ca="1" si="268"/>
        <v>4529.7618743233697</v>
      </c>
      <c r="AB678" s="5468">
        <f t="shared" ca="1" si="268"/>
        <v>3169.107888342719</v>
      </c>
    </row>
    <row r="679" spans="3:35" ht="24" thickBot="1">
      <c r="C679" s="4632" t="s">
        <v>4965</v>
      </c>
      <c r="D679" s="1863">
        <f ca="1">SUMIFS(TP!269:269,TP!$267:$267,D$673)*100</f>
        <v>170476.12126252061</v>
      </c>
      <c r="E679" s="1863">
        <f ca="1">SUMIFS(TP!269:269,TP!$267:$267,E$673)*100</f>
        <v>165740.56816320214</v>
      </c>
      <c r="F679" s="1863">
        <f ca="1">SUMIFS(TP!269:269,TP!$267:$267,F$673)*100</f>
        <v>164363.02939435892</v>
      </c>
      <c r="G679" s="1863">
        <f ca="1">SUMIFS(TP!269:269,TP!$267:$267,G$673)*100</f>
        <v>163722.61864978581</v>
      </c>
      <c r="H679" s="1863">
        <f ca="1">SUMIFS(TP!269:269,TP!$267:$267,H$673)*100</f>
        <v>148800.48666972871</v>
      </c>
      <c r="I679" s="1863">
        <f ca="1">SUMIFS(TP!269:269,TP!$267:$267,I$673)*100</f>
        <v>129487.25049609526</v>
      </c>
      <c r="J679" s="1863">
        <f ca="1">SUMIFS(TP!269:269,TP!$267:$267,J$673)*100</f>
        <v>122944.00230077436</v>
      </c>
      <c r="K679" s="1863">
        <f ca="1">SUMIFS(TP!269:269,TP!$267:$267,K$673)*100</f>
        <v>123403.33974454149</v>
      </c>
      <c r="S679" s="5255" t="s">
        <v>4990</v>
      </c>
      <c r="T679" s="5476"/>
      <c r="U679" s="5480">
        <f ca="1">U666</f>
        <v>1.5727842086829662</v>
      </c>
      <c r="V679" s="5480">
        <f t="shared" ref="V679:AB679" ca="1" si="269">V666</f>
        <v>2.1820473062767372</v>
      </c>
      <c r="W679" s="5480">
        <f t="shared" ca="1" si="269"/>
        <v>2.0094375132625144</v>
      </c>
      <c r="X679" s="5480">
        <f t="shared" ca="1" si="269"/>
        <v>1.3735820263812935</v>
      </c>
      <c r="Y679" s="5480">
        <f t="shared" ca="1" si="269"/>
        <v>1.8178923974804437</v>
      </c>
      <c r="Z679" s="5480">
        <f t="shared" ca="1" si="269"/>
        <v>7.0181792893274988</v>
      </c>
      <c r="AA679" s="5480">
        <f t="shared" ca="1" si="269"/>
        <v>7.261227535274859</v>
      </c>
      <c r="AB679" s="5480">
        <f t="shared" ca="1" si="269"/>
        <v>10.301621284739729</v>
      </c>
    </row>
    <row r="680" spans="3:35" ht="24.75" thickTop="1" thickBot="1">
      <c r="C680" s="4629" t="s">
        <v>4966</v>
      </c>
      <c r="D680" s="1863"/>
      <c r="E680" s="1863"/>
      <c r="F680" s="1863"/>
      <c r="G680" s="1863"/>
      <c r="H680" s="1863"/>
      <c r="I680" s="1863"/>
      <c r="J680" s="1863"/>
      <c r="K680" s="1863"/>
      <c r="S680" s="5255" t="s">
        <v>1397</v>
      </c>
      <c r="T680" s="5476"/>
      <c r="U680" s="5480">
        <f ca="1">U667</f>
        <v>1.6109090671773765</v>
      </c>
      <c r="V680" s="5480">
        <f t="shared" ref="V680:AB680" ca="1" si="270">V667</f>
        <v>2.1820473062767372</v>
      </c>
      <c r="W680" s="5480">
        <f t="shared" ca="1" si="270"/>
        <v>2.0873638094812574</v>
      </c>
      <c r="X680" s="5480">
        <f t="shared" ca="1" si="270"/>
        <v>1.4057266829396537</v>
      </c>
      <c r="Y680" s="5480">
        <f t="shared" ca="1" si="270"/>
        <v>1.8178923974804437</v>
      </c>
      <c r="Z680" s="5480">
        <f t="shared" ca="1" si="270"/>
        <v>7.0181792893274988</v>
      </c>
      <c r="AA680" s="5480">
        <f t="shared" ca="1" si="270"/>
        <v>7.7698797194719909</v>
      </c>
      <c r="AB680" s="5480">
        <f t="shared" ca="1" si="270"/>
        <v>11.783737160756189</v>
      </c>
    </row>
    <row r="681" spans="3:35" ht="14.25" thickBot="1">
      <c r="C681" s="4629" t="s">
        <v>4967</v>
      </c>
      <c r="D681" s="4633">
        <f t="shared" ref="D681:J684" ca="1" si="271">D676/D$674</f>
        <v>1.1613869005564459</v>
      </c>
      <c r="E681" s="4633">
        <f t="shared" ca="1" si="271"/>
        <v>1.3867251927596591</v>
      </c>
      <c r="F681" s="4633">
        <f t="shared" ca="1" si="271"/>
        <v>1.7808380981141159</v>
      </c>
      <c r="G681" s="4633">
        <f t="shared" ca="1" si="271"/>
        <v>3.0940055835867413</v>
      </c>
      <c r="H681" s="4633">
        <f t="shared" ca="1" si="271"/>
        <v>6.7648079020608218</v>
      </c>
      <c r="I681" s="4633">
        <f t="shared" ca="1" si="271"/>
        <v>10.059087387999732</v>
      </c>
      <c r="J681" s="4633">
        <f t="shared" ca="1" si="271"/>
        <v>22.209758371753821</v>
      </c>
      <c r="K681" s="4633"/>
    </row>
    <row r="682" spans="3:35" ht="14.25" thickBot="1">
      <c r="C682" s="4629" t="s">
        <v>4968</v>
      </c>
      <c r="D682" s="4633">
        <f t="shared" ca="1" si="271"/>
        <v>2.0915556107635469</v>
      </c>
      <c r="E682" s="4633">
        <f t="shared" ca="1" si="271"/>
        <v>2.5631771505639387</v>
      </c>
      <c r="F682" s="4633">
        <f t="shared" ca="1" si="271"/>
        <v>3.4479989670994073</v>
      </c>
      <c r="G682" s="4633">
        <f t="shared" ca="1" si="271"/>
        <v>6.3043169693140122</v>
      </c>
      <c r="H682" s="4633">
        <f t="shared" ca="1" si="271"/>
        <v>13.204269806476999</v>
      </c>
      <c r="I682" s="4633">
        <f t="shared" ca="1" si="271"/>
        <v>17.98090440801306</v>
      </c>
      <c r="J682" s="4633">
        <f t="shared" ca="1" si="271"/>
        <v>39.77042510696787</v>
      </c>
      <c r="K682" s="4633"/>
    </row>
    <row r="683" spans="3:35" ht="14.25" thickBot="1">
      <c r="C683" s="4629" t="s">
        <v>4969</v>
      </c>
      <c r="D683" s="4633">
        <f t="shared" ca="1" si="271"/>
        <v>2.1152931966301094</v>
      </c>
      <c r="E683" s="4633">
        <f t="shared" ca="1" si="271"/>
        <v>2.5936192885226625</v>
      </c>
      <c r="F683" s="4633">
        <f t="shared" ca="1" si="271"/>
        <v>3.48978825198235</v>
      </c>
      <c r="G683" s="4633">
        <f t="shared" ca="1" si="271"/>
        <v>6.3816040429415093</v>
      </c>
      <c r="H683" s="4633">
        <f t="shared" ca="1" si="271"/>
        <v>13.383490916998761</v>
      </c>
      <c r="I683" s="4633">
        <f t="shared" ca="1" si="271"/>
        <v>18.262626201620058</v>
      </c>
      <c r="J683" s="4633">
        <f t="shared" ca="1" si="271"/>
        <v>40.426062378041664</v>
      </c>
      <c r="K683" s="4633"/>
    </row>
    <row r="684" spans="3:35" ht="14.25" thickBot="1">
      <c r="C684" s="4629" t="s">
        <v>4970</v>
      </c>
      <c r="D684" s="4633">
        <f t="shared" ca="1" si="271"/>
        <v>2.1404768786953512</v>
      </c>
      <c r="E684" s="4633">
        <f t="shared" ca="1" si="271"/>
        <v>2.6259159646905057</v>
      </c>
      <c r="F684" s="4633">
        <f t="shared" ca="1" si="271"/>
        <v>3.5341233444446516</v>
      </c>
      <c r="G684" s="4633">
        <f t="shared" ca="1" si="271"/>
        <v>6.4635994531289311</v>
      </c>
      <c r="H684" s="4633">
        <f t="shared" ca="1" si="271"/>
        <v>13.573630196204805</v>
      </c>
      <c r="I684" s="4633">
        <f t="shared" ca="1" si="271"/>
        <v>18.561510516180565</v>
      </c>
      <c r="J684" s="4633">
        <f t="shared" ca="1" si="271"/>
        <v>41.121641139827382</v>
      </c>
      <c r="K684" s="4633"/>
      <c r="S684" s="5494" t="s">
        <v>48</v>
      </c>
      <c r="T684" s="5483">
        <v>2009</v>
      </c>
      <c r="U684" s="5483">
        <f>T684+1</f>
        <v>2010</v>
      </c>
      <c r="V684" s="5483">
        <f t="shared" ref="V684:AB684" si="272">U684+1</f>
        <v>2011</v>
      </c>
      <c r="W684" s="5483">
        <f t="shared" si="272"/>
        <v>2012</v>
      </c>
      <c r="X684" s="5483">
        <f t="shared" si="272"/>
        <v>2013</v>
      </c>
      <c r="Y684" s="5483">
        <f t="shared" si="272"/>
        <v>2014</v>
      </c>
      <c r="Z684" s="5483">
        <f t="shared" si="272"/>
        <v>2015</v>
      </c>
      <c r="AA684" s="5483">
        <f t="shared" si="272"/>
        <v>2016</v>
      </c>
      <c r="AB684" s="5483">
        <f t="shared" si="272"/>
        <v>2017</v>
      </c>
      <c r="AC684" s="5483">
        <f t="shared" ref="AC684:AH684" si="273">AB684+1</f>
        <v>2018</v>
      </c>
      <c r="AD684" s="5483">
        <f t="shared" si="273"/>
        <v>2019</v>
      </c>
      <c r="AE684" s="5483">
        <f t="shared" si="273"/>
        <v>2020</v>
      </c>
      <c r="AF684" s="5483">
        <f t="shared" si="273"/>
        <v>2021</v>
      </c>
      <c r="AG684" s="5483">
        <f t="shared" si="273"/>
        <v>2022</v>
      </c>
      <c r="AH684" s="5483">
        <f t="shared" si="273"/>
        <v>2023</v>
      </c>
      <c r="AI684" s="5483">
        <f t="shared" ref="AI684" si="274">AH684+1</f>
        <v>2024</v>
      </c>
    </row>
    <row r="685" spans="3:35">
      <c r="S685" s="5495"/>
      <c r="T685" s="5481" t="s">
        <v>5439</v>
      </c>
      <c r="U685" s="5481" t="s">
        <v>5441</v>
      </c>
      <c r="V685" s="5481" t="s">
        <v>5442</v>
      </c>
      <c r="W685" s="5481" t="s">
        <v>5443</v>
      </c>
      <c r="X685" s="5481" t="s">
        <v>5444</v>
      </c>
      <c r="Y685" s="5481" t="s">
        <v>5445</v>
      </c>
      <c r="Z685" s="5481" t="s">
        <v>5446</v>
      </c>
      <c r="AA685" s="5481" t="s">
        <v>5447</v>
      </c>
      <c r="AB685" s="5481" t="s">
        <v>5448</v>
      </c>
      <c r="AC685" s="5481" t="s">
        <v>5449</v>
      </c>
      <c r="AD685" s="5481" t="s">
        <v>5450</v>
      </c>
      <c r="AE685" s="5481" t="s">
        <v>5451</v>
      </c>
      <c r="AF685" s="5481" t="s">
        <v>5452</v>
      </c>
      <c r="AG685" s="5481" t="s">
        <v>5453</v>
      </c>
      <c r="AH685" s="5481" t="s">
        <v>5454</v>
      </c>
      <c r="AI685" s="5481" t="s">
        <v>5455</v>
      </c>
    </row>
    <row r="686" spans="3:35">
      <c r="S686" s="5482" t="s">
        <v>5440</v>
      </c>
      <c r="T686" s="5484">
        <f>MRG!E65/1000000</f>
        <v>329.13090099999999</v>
      </c>
      <c r="U686" s="5484">
        <f>MRG!F65/1000000</f>
        <v>1052.323386</v>
      </c>
      <c r="V686" s="5484">
        <f>MRG!G65/1000000</f>
        <v>2072.055914</v>
      </c>
      <c r="W686" s="5484">
        <f>MRG!H65/1000000</f>
        <v>2364.2966150000002</v>
      </c>
      <c r="X686" s="5484">
        <f>MRG!I65/1000000</f>
        <v>682.79826100000002</v>
      </c>
      <c r="Y686" s="5484">
        <f>MRG!J65/1000000</f>
        <v>6598.7155919999996</v>
      </c>
      <c r="Z686" s="5484">
        <f>MRG!K65/1000000</f>
        <v>20842.488366000001</v>
      </c>
      <c r="AA686" s="5484">
        <f>MRG!L65/1000000</f>
        <v>19766.892973999999</v>
      </c>
      <c r="AB686" s="5484">
        <f>MRG!M65/1000000</f>
        <v>17296.398015080002</v>
      </c>
      <c r="AC686" s="5484">
        <f>MRG!N65/1000000</f>
        <v>13656.974478239998</v>
      </c>
      <c r="AD686" s="5484">
        <f>MRG!O65/1000000</f>
        <v>9342.5730196728837</v>
      </c>
      <c r="AE686" s="5484">
        <f ca="1">MRG!P65/1000000</f>
        <v>9063.5823873885056</v>
      </c>
      <c r="AF686" s="5484">
        <f ca="1">MRG!Q65/1000000</f>
        <v>11280.835386677001</v>
      </c>
      <c r="AG686" s="5484">
        <f ca="1">MRG!R65/1000000</f>
        <v>11927.230313059994</v>
      </c>
      <c r="AH686" s="5484">
        <f ca="1">MRG!S65/1000000</f>
        <v>11421.101101222435</v>
      </c>
      <c r="AI686" s="5484">
        <f ca="1">MRG!T65/1000000</f>
        <v>4414.6385692324002</v>
      </c>
    </row>
    <row r="687" spans="3:35" ht="14.25" thickBot="1">
      <c r="S687" s="5482" t="s">
        <v>1208</v>
      </c>
      <c r="T687" s="5484">
        <f>T686</f>
        <v>329.13090099999999</v>
      </c>
      <c r="U687" s="5484">
        <f>T687+U686</f>
        <v>1381.454287</v>
      </c>
      <c r="V687" s="5484">
        <f t="shared" ref="V687:AI687" si="275">U687+V686</f>
        <v>3453.5102010000001</v>
      </c>
      <c r="W687" s="5484">
        <f t="shared" si="275"/>
        <v>5817.8068160000003</v>
      </c>
      <c r="X687" s="5484">
        <f t="shared" si="275"/>
        <v>6500.6050770000002</v>
      </c>
      <c r="Y687" s="5484">
        <f t="shared" si="275"/>
        <v>13099.320669000001</v>
      </c>
      <c r="Z687" s="5484">
        <f t="shared" si="275"/>
        <v>33941.809034999998</v>
      </c>
      <c r="AA687" s="5484">
        <f t="shared" si="275"/>
        <v>53708.702009000001</v>
      </c>
      <c r="AB687" s="5484">
        <f t="shared" si="275"/>
        <v>71005.100024080006</v>
      </c>
      <c r="AC687" s="5484">
        <f t="shared" si="275"/>
        <v>84662.07450232</v>
      </c>
      <c r="AD687" s="5484">
        <f t="shared" si="275"/>
        <v>94004.647521992883</v>
      </c>
      <c r="AE687" s="5484">
        <f t="shared" ca="1" si="275"/>
        <v>103068.22990938139</v>
      </c>
      <c r="AF687" s="5484">
        <f t="shared" ca="1" si="275"/>
        <v>114349.0652960584</v>
      </c>
      <c r="AG687" s="5484">
        <f t="shared" ca="1" si="275"/>
        <v>126276.29560911839</v>
      </c>
      <c r="AH687" s="5484">
        <f t="shared" ca="1" si="275"/>
        <v>137697.39671034084</v>
      </c>
      <c r="AI687" s="5484">
        <f t="shared" ca="1" si="275"/>
        <v>142112.03527957323</v>
      </c>
    </row>
    <row r="688" spans="3:35" ht="14.25" thickBot="1">
      <c r="S688" s="5494" t="s">
        <v>48</v>
      </c>
      <c r="T688" s="5483">
        <f>AB684</f>
        <v>2017</v>
      </c>
      <c r="U688" s="5483">
        <f t="shared" ref="U688:AA688" si="276">AC684</f>
        <v>2018</v>
      </c>
      <c r="V688" s="5483">
        <f t="shared" si="276"/>
        <v>2019</v>
      </c>
      <c r="W688" s="5483">
        <f t="shared" si="276"/>
        <v>2020</v>
      </c>
      <c r="X688" s="5483">
        <f t="shared" si="276"/>
        <v>2021</v>
      </c>
      <c r="Y688" s="5483">
        <f t="shared" si="276"/>
        <v>2022</v>
      </c>
      <c r="Z688" s="5483">
        <f t="shared" si="276"/>
        <v>2023</v>
      </c>
      <c r="AA688" s="5483">
        <f t="shared" si="276"/>
        <v>2024</v>
      </c>
    </row>
    <row r="689" spans="19:27">
      <c r="S689" s="5495"/>
      <c r="T689" s="5483" t="str">
        <f t="shared" ref="T689:T691" si="277">AB685</f>
        <v>9년차</v>
      </c>
      <c r="U689" s="5483" t="str">
        <f t="shared" ref="U689:U691" si="278">AC685</f>
        <v>10년차</v>
      </c>
      <c r="V689" s="5483" t="str">
        <f t="shared" ref="V689:V691" si="279">AD685</f>
        <v>11년차</v>
      </c>
      <c r="W689" s="5483" t="str">
        <f t="shared" ref="W689:W691" si="280">AE685</f>
        <v>12년차</v>
      </c>
      <c r="X689" s="5483" t="str">
        <f t="shared" ref="X689:X691" si="281">AF685</f>
        <v>13년차</v>
      </c>
      <c r="Y689" s="5483" t="str">
        <f t="shared" ref="Y689:Y691" si="282">AG685</f>
        <v>14년차</v>
      </c>
      <c r="Z689" s="5483" t="str">
        <f t="shared" ref="Z689:Z691" si="283">AH685</f>
        <v>15년차</v>
      </c>
      <c r="AA689" s="5483" t="str">
        <f t="shared" ref="AA689:AA691" si="284">AI685</f>
        <v>16년차</v>
      </c>
    </row>
    <row r="690" spans="19:27">
      <c r="S690" s="5482" t="s">
        <v>5440</v>
      </c>
      <c r="T690" s="5484">
        <f t="shared" si="277"/>
        <v>17296.398015080002</v>
      </c>
      <c r="U690" s="5484">
        <f t="shared" si="278"/>
        <v>13656.974478239998</v>
      </c>
      <c r="V690" s="5484">
        <f t="shared" si="279"/>
        <v>9342.5730196728837</v>
      </c>
      <c r="W690" s="5484">
        <f t="shared" ca="1" si="280"/>
        <v>9063.5823873885056</v>
      </c>
      <c r="X690" s="5484">
        <f t="shared" ca="1" si="281"/>
        <v>11280.835386677001</v>
      </c>
      <c r="Y690" s="5484">
        <f t="shared" ca="1" si="282"/>
        <v>11927.230313059994</v>
      </c>
      <c r="Z690" s="5484">
        <f t="shared" ca="1" si="283"/>
        <v>11421.101101222435</v>
      </c>
      <c r="AA690" s="5484">
        <f t="shared" ca="1" si="284"/>
        <v>4414.6385692324002</v>
      </c>
    </row>
    <row r="691" spans="19:27">
      <c r="S691" s="5482" t="s">
        <v>5456</v>
      </c>
      <c r="T691" s="5484">
        <f t="shared" si="277"/>
        <v>71005.100024080006</v>
      </c>
      <c r="U691" s="5484">
        <f t="shared" si="278"/>
        <v>84662.07450232</v>
      </c>
      <c r="V691" s="5484">
        <f t="shared" si="279"/>
        <v>94004.647521992883</v>
      </c>
      <c r="W691" s="5484">
        <f t="shared" ca="1" si="280"/>
        <v>103068.22990938139</v>
      </c>
      <c r="X691" s="5484">
        <f t="shared" ca="1" si="281"/>
        <v>114349.0652960584</v>
      </c>
      <c r="Y691" s="5484">
        <f t="shared" ca="1" si="282"/>
        <v>126276.29560911839</v>
      </c>
      <c r="Z691" s="5484">
        <f t="shared" ca="1" si="283"/>
        <v>137697.39671034084</v>
      </c>
      <c r="AA691" s="5484">
        <f t="shared" ca="1" si="284"/>
        <v>142112.03527957323</v>
      </c>
    </row>
    <row r="712" spans="3:23">
      <c r="S712" s="498">
        <v>2021</v>
      </c>
      <c r="T712" s="498">
        <v>2020</v>
      </c>
      <c r="U712" s="498">
        <v>2019</v>
      </c>
      <c r="V712" s="498">
        <v>2018</v>
      </c>
      <c r="W712" s="498">
        <v>2017</v>
      </c>
    </row>
    <row r="713" spans="3:23">
      <c r="R713" s="5255" t="s">
        <v>5461</v>
      </c>
      <c r="S713" s="5468">
        <v>531255658</v>
      </c>
      <c r="T713" s="5468">
        <v>526822001</v>
      </c>
      <c r="U713" s="5468">
        <v>628416351</v>
      </c>
      <c r="V713" s="5468">
        <v>554091662</v>
      </c>
      <c r="W713" s="5486">
        <v>542475618</v>
      </c>
    </row>
    <row r="714" spans="3:23">
      <c r="R714" s="5255" t="s">
        <v>5462</v>
      </c>
      <c r="S714" s="5468">
        <v>399799099</v>
      </c>
      <c r="T714" s="5468">
        <v>410051935</v>
      </c>
      <c r="U714" s="5468">
        <v>512774958</v>
      </c>
      <c r="V714" s="5468">
        <v>423904329</v>
      </c>
      <c r="W714" s="5486">
        <v>415812192</v>
      </c>
    </row>
    <row r="715" spans="3:23">
      <c r="R715" s="5255" t="s">
        <v>5278</v>
      </c>
      <c r="S715" s="5468">
        <v>595947334</v>
      </c>
      <c r="T715" s="5468">
        <v>592054485</v>
      </c>
      <c r="U715" s="5468">
        <v>633047832</v>
      </c>
      <c r="V715" s="5468">
        <v>526437269</v>
      </c>
      <c r="W715" s="5486">
        <v>466981638</v>
      </c>
    </row>
    <row r="716" spans="3:23">
      <c r="R716" s="5255" t="s">
        <v>3650</v>
      </c>
      <c r="S716" s="5468">
        <v>27775164</v>
      </c>
      <c r="T716" s="5468">
        <v>24590388</v>
      </c>
      <c r="U716" s="5468">
        <v>20944995</v>
      </c>
      <c r="V716" s="5468">
        <v>14161500</v>
      </c>
      <c r="W716" s="5486">
        <v>14649683</v>
      </c>
    </row>
    <row r="717" spans="3:23">
      <c r="R717" s="5255" t="s">
        <v>1389</v>
      </c>
      <c r="S717" s="5468">
        <v>-359593</v>
      </c>
      <c r="T717" s="5468">
        <v>13396837</v>
      </c>
      <c r="U717" s="5468">
        <v>-8669488</v>
      </c>
      <c r="V717" s="5468">
        <v>15801154</v>
      </c>
      <c r="W717" s="5486">
        <v>-9349609</v>
      </c>
    </row>
    <row r="718" spans="3:23" ht="14.25" thickBot="1">
      <c r="R718" s="5255" t="s">
        <v>5463</v>
      </c>
      <c r="S718" s="5487">
        <f>S716/S715</f>
        <v>4.6606742601855489E-2</v>
      </c>
      <c r="T718" s="5487">
        <f t="shared" ref="T718:W718" si="285">T716/T715</f>
        <v>4.1533994966696353E-2</v>
      </c>
      <c r="U718" s="5487">
        <f t="shared" si="285"/>
        <v>3.3085959608815149E-2</v>
      </c>
      <c r="V718" s="5487">
        <f t="shared" si="285"/>
        <v>2.6900641033452365E-2</v>
      </c>
      <c r="W718" s="5487">
        <f t="shared" si="285"/>
        <v>3.1371004356278348E-2</v>
      </c>
    </row>
    <row r="719" spans="3:23" ht="14.25" thickBot="1">
      <c r="C719" s="5507" t="s">
        <v>4952</v>
      </c>
      <c r="D719" s="5336" t="s">
        <v>4982</v>
      </c>
      <c r="E719" s="5510" t="s">
        <v>5242</v>
      </c>
      <c r="F719" s="5511"/>
      <c r="G719" s="5511"/>
      <c r="H719" s="5512"/>
      <c r="I719" s="5510" t="s">
        <v>4966</v>
      </c>
      <c r="J719" s="5511"/>
      <c r="K719" s="5511"/>
      <c r="L719" s="5512"/>
      <c r="R719" s="5490" t="s">
        <v>5464</v>
      </c>
      <c r="S719" s="5488">
        <f>S717/S715</f>
        <v>-6.0339727939784696E-4</v>
      </c>
      <c r="T719" s="5488">
        <v>2.2599999999999999E-2</v>
      </c>
      <c r="U719" s="5488">
        <v>-1.37E-2</v>
      </c>
      <c r="V719" s="5488">
        <v>0.03</v>
      </c>
      <c r="W719" s="5489">
        <v>-0.02</v>
      </c>
    </row>
    <row r="720" spans="3:23">
      <c r="C720" s="5508"/>
      <c r="D720" s="5337" t="s">
        <v>5241</v>
      </c>
      <c r="E720" s="5337" t="s">
        <v>5243</v>
      </c>
      <c r="F720" s="5337" t="s">
        <v>5245</v>
      </c>
      <c r="G720" s="5337" t="s">
        <v>5247</v>
      </c>
      <c r="H720" s="5513" t="s">
        <v>4965</v>
      </c>
      <c r="I720" s="5337" t="s">
        <v>5243</v>
      </c>
      <c r="J720" s="5337" t="s">
        <v>5245</v>
      </c>
      <c r="K720" s="5337" t="s">
        <v>5247</v>
      </c>
      <c r="L720" s="5513" t="s">
        <v>4965</v>
      </c>
    </row>
    <row r="721" spans="3:23" ht="14.25" thickBot="1">
      <c r="C721" s="5509"/>
      <c r="D721" s="5338"/>
      <c r="E721" s="5339" t="s">
        <v>5244</v>
      </c>
      <c r="F721" s="5339" t="s">
        <v>5246</v>
      </c>
      <c r="G721" s="5339" t="s">
        <v>5246</v>
      </c>
      <c r="H721" s="5514"/>
      <c r="I721" s="5339" t="s">
        <v>5244</v>
      </c>
      <c r="J721" s="5339" t="s">
        <v>5246</v>
      </c>
      <c r="K721" s="5339" t="s">
        <v>5246</v>
      </c>
      <c r="L721" s="5514"/>
    </row>
    <row r="722" spans="3:23" ht="14.25" thickBot="1">
      <c r="C722" s="5340">
        <v>44651</v>
      </c>
      <c r="D722" s="5341">
        <f>SUMIFS('TP(분기)'!$275:$275,'TP(분기)'!$264:$264,$C722)*100</f>
        <v>91603.046999999991</v>
      </c>
      <c r="E722" s="5341">
        <f ca="1">SUMIFS('TP(분기)'!$267:$267,'TP(분기)'!$264:$264,$C722)*100</f>
        <v>96410.333988262166</v>
      </c>
      <c r="F722" s="5341">
        <f ca="1">SUMIFS('TP(분기)'!$269:$269,'TP(분기)'!$264:$264,$C722)*100</f>
        <v>169062.39016627532</v>
      </c>
      <c r="G722" s="5341">
        <f ca="1">SUMIFS('TP(분기)'!$270:$270,'TP(분기)'!$264:$264,$C722)*100</f>
        <v>170923.48028574942</v>
      </c>
      <c r="H722" s="5341">
        <f ca="1">SUMIFS('TP(분기)'!$268:$268,'TP(분기)'!$264:$264,$C722)*100</f>
        <v>172897.9482087752</v>
      </c>
      <c r="I722" s="5343">
        <f ca="1">IFERROR(E722/$D722,"")</f>
        <v>1.0524795533085507</v>
      </c>
      <c r="J722" s="5343">
        <f t="shared" ref="J722:L722" ca="1" si="286">IFERROR(F722/$D722,"")</f>
        <v>1.8455978889684241</v>
      </c>
      <c r="K722" s="5343">
        <f t="shared" ca="1" si="286"/>
        <v>1.865914790866612</v>
      </c>
      <c r="L722" s="5343">
        <f t="shared" ca="1" si="286"/>
        <v>1.8874694005405215</v>
      </c>
      <c r="S722" s="491">
        <f>S713/100000</f>
        <v>5312.5565800000004</v>
      </c>
      <c r="T722" s="491">
        <f t="shared" ref="T722:W722" si="287">T713/100000</f>
        <v>5268.22001</v>
      </c>
      <c r="U722" s="491">
        <f t="shared" si="287"/>
        <v>6284.1635100000003</v>
      </c>
      <c r="V722" s="491">
        <f t="shared" si="287"/>
        <v>5540.91662</v>
      </c>
      <c r="W722" s="491">
        <f t="shared" si="287"/>
        <v>5424.7561800000003</v>
      </c>
    </row>
    <row r="723" spans="3:23" ht="14.25" thickBot="1">
      <c r="C723" s="5340">
        <f>EOMONTH(C722,3)</f>
        <v>44742</v>
      </c>
      <c r="D723" s="5342">
        <f>SUMIFS('TP(분기)'!$275:$275,'TP(분기)'!$264:$264,$C723)*100</f>
        <v>87699.743999999992</v>
      </c>
      <c r="E723" s="5341">
        <f ca="1">SUMIFS('TP(분기)'!$267:$267,'TP(분기)'!$264:$264,$C723)*100</f>
        <v>95087.998091772926</v>
      </c>
      <c r="F723" s="5341">
        <f ca="1">SUMIFS('TP(분기)'!$269:$269,'TP(분기)'!$264:$264,$C723)*100</f>
        <v>168292.16497837979</v>
      </c>
      <c r="G723" s="5341">
        <f ca="1">SUMIFS('TP(분기)'!$270:$270,'TP(분기)'!$264:$264,$C723)*100</f>
        <v>170163.70878400217</v>
      </c>
      <c r="H723" s="5341">
        <f ca="1">SUMIFS('TP(분기)'!$268:$268,'TP(분기)'!$264:$264,$C723)*100</f>
        <v>172149.26723282319</v>
      </c>
      <c r="I723" s="5343">
        <f t="shared" ref="I723:I752" ca="1" si="288">IFERROR(E723/$D723,"")</f>
        <v>1.084244876379262</v>
      </c>
      <c r="J723" s="5343">
        <f t="shared" ref="J723:J752" ca="1" si="289">IFERROR(F723/$D723,"")</f>
        <v>1.9189584519012941</v>
      </c>
      <c r="K723" s="5343">
        <f t="shared" ref="K723:K752" ca="1" si="290">IFERROR(G723/$D723,"")</f>
        <v>1.9402988084435251</v>
      </c>
      <c r="L723" s="5343">
        <f t="shared" ref="L723:L752" ca="1" si="291">IFERROR(H723/$D723,"")</f>
        <v>1.9629392217247887</v>
      </c>
      <c r="S723" s="491">
        <f t="shared" ref="S723:W726" si="292">S714/100000</f>
        <v>3997.9909899999998</v>
      </c>
      <c r="T723" s="491">
        <f t="shared" si="292"/>
        <v>4100.5193499999996</v>
      </c>
      <c r="U723" s="491">
        <f t="shared" si="292"/>
        <v>5127.7495799999997</v>
      </c>
      <c r="V723" s="491">
        <f t="shared" si="292"/>
        <v>4239.0432899999996</v>
      </c>
      <c r="W723" s="491">
        <f t="shared" si="292"/>
        <v>4158.1219199999996</v>
      </c>
    </row>
    <row r="724" spans="3:23" ht="14.25" thickBot="1">
      <c r="C724" s="5340">
        <f t="shared" ref="C724:C732" si="293">EOMONTH(C723,3)</f>
        <v>44834</v>
      </c>
      <c r="D724" s="5342">
        <f>SUMIFS('TP(분기)'!$275:$275,'TP(분기)'!$264:$264,$C724)*100</f>
        <v>83713.391999999993</v>
      </c>
      <c r="E724" s="5341">
        <f ca="1">SUMIFS('TP(분기)'!$267:$267,'TP(분기)'!$264:$264,$C724)*100</f>
        <v>93783.798967046721</v>
      </c>
      <c r="F724" s="5341">
        <f ca="1">SUMIFS('TP(분기)'!$269:$269,'TP(분기)'!$264:$264,$C724)*100</f>
        <v>167469.16550518369</v>
      </c>
      <c r="G724" s="5341">
        <f ca="1">SUMIFS('TP(분기)'!$270:$270,'TP(분기)'!$264:$264,$C724)*100</f>
        <v>169350.52612813466</v>
      </c>
      <c r="H724" s="5341">
        <f ca="1">SUMIFS('TP(분기)'!$268:$268,'TP(분기)'!$264:$264,$C724)*100</f>
        <v>171346.49943581643</v>
      </c>
      <c r="I724" s="5343">
        <f t="shared" ca="1" si="288"/>
        <v>1.120296248025008</v>
      </c>
      <c r="J724" s="5343">
        <f t="shared" ca="1" si="289"/>
        <v>2.0005062691186102</v>
      </c>
      <c r="K724" s="5343">
        <f t="shared" ca="1" si="290"/>
        <v>2.0229801001031551</v>
      </c>
      <c r="L724" s="5343">
        <f t="shared" ca="1" si="291"/>
        <v>2.0468230392075912</v>
      </c>
      <c r="S724" s="491">
        <f t="shared" si="292"/>
        <v>5959.4733399999996</v>
      </c>
      <c r="T724" s="491">
        <f t="shared" si="292"/>
        <v>5920.5448500000002</v>
      </c>
      <c r="U724" s="491">
        <f t="shared" si="292"/>
        <v>6330.4783200000002</v>
      </c>
      <c r="V724" s="491">
        <f t="shared" si="292"/>
        <v>5264.3726900000001</v>
      </c>
      <c r="W724" s="491">
        <f t="shared" si="292"/>
        <v>4669.8163800000002</v>
      </c>
    </row>
    <row r="725" spans="3:23" ht="14.25" thickBot="1">
      <c r="C725" s="5340">
        <f t="shared" si="293"/>
        <v>44926</v>
      </c>
      <c r="D725" s="5342">
        <f>SUMIFS('TP(분기)'!$275:$275,'TP(분기)'!$264:$264,$C725)*100</f>
        <v>79643.99099999998</v>
      </c>
      <c r="E725" s="5341">
        <f ca="1">SUMIFS('TP(분기)'!$267:$267,'TP(분기)'!$264:$264,$C725)*100</f>
        <v>92497.487855435422</v>
      </c>
      <c r="F725" s="5341">
        <f ca="1">SUMIFS('TP(분기)'!$269:$269,'TP(분기)'!$264:$264,$C725)*100</f>
        <v>166579.83623965143</v>
      </c>
      <c r="G725" s="5341">
        <f ca="1">SUMIFS('TP(분기)'!$270:$270,'TP(분기)'!$264:$264,$C725)*100</f>
        <v>168470.39231476965</v>
      </c>
      <c r="H725" s="5341">
        <f ca="1">SUMIFS('TP(분기)'!$268:$268,'TP(분기)'!$264:$264,$C725)*100</f>
        <v>170476.12126252064</v>
      </c>
      <c r="I725" s="5343">
        <f t="shared" ca="1" si="288"/>
        <v>1.1613869005564457</v>
      </c>
      <c r="J725" s="5343">
        <f t="shared" ca="1" si="289"/>
        <v>2.0915556107635473</v>
      </c>
      <c r="K725" s="5343">
        <f t="shared" ca="1" si="290"/>
        <v>2.1152931966301098</v>
      </c>
      <c r="L725" s="5343">
        <f t="shared" ca="1" si="291"/>
        <v>2.1404768786953516</v>
      </c>
      <c r="S725" s="491">
        <f t="shared" si="292"/>
        <v>277.75164000000001</v>
      </c>
      <c r="T725" s="491">
        <f t="shared" si="292"/>
        <v>245.90387999999999</v>
      </c>
      <c r="U725" s="491">
        <f t="shared" si="292"/>
        <v>209.44995</v>
      </c>
      <c r="V725" s="491">
        <f t="shared" si="292"/>
        <v>141.61500000000001</v>
      </c>
      <c r="W725" s="491">
        <f t="shared" si="292"/>
        <v>146.49682999999999</v>
      </c>
    </row>
    <row r="726" spans="3:23" ht="14.25" thickBot="1">
      <c r="C726" s="5340">
        <f t="shared" si="293"/>
        <v>45016</v>
      </c>
      <c r="D726" s="5342">
        <f>SUMIFS('TP(분기)'!$275:$275,'TP(분기)'!$264:$264,$C726)*100</f>
        <v>75574.589999999982</v>
      </c>
      <c r="E726" s="5341">
        <f ca="1">SUMIFS('TP(분기)'!$267:$267,'TP(분기)'!$264:$264,$C726)*100</f>
        <v>91228.819410191674</v>
      </c>
      <c r="F726" s="5341">
        <f ca="1">SUMIFS('TP(분기)'!$269:$269,'TP(분기)'!$264:$264,$C726)*100</f>
        <v>164370.58710007899</v>
      </c>
      <c r="G726" s="5341">
        <f ca="1">SUMIFS('TP(분기)'!$270:$270,'TP(분기)'!$264:$264,$C726)*100</f>
        <v>166269.73246038239</v>
      </c>
      <c r="H726" s="5341">
        <f ca="1">SUMIFS('TP(분기)'!$268:$268,'TP(분기)'!$264:$264,$C726)*100</f>
        <v>168284.57395346498</v>
      </c>
      <c r="I726" s="5343">
        <f t="shared" ca="1" si="288"/>
        <v>1.2071361473504745</v>
      </c>
      <c r="J726" s="5343">
        <f t="shared" ca="1" si="289"/>
        <v>2.1749451383074527</v>
      </c>
      <c r="K726" s="5343">
        <f t="shared" ca="1" si="290"/>
        <v>2.2000745549579883</v>
      </c>
      <c r="L726" s="5343">
        <f t="shared" ca="1" si="291"/>
        <v>2.2267348582832538</v>
      </c>
      <c r="S726" s="491">
        <f t="shared" si="292"/>
        <v>-3.5959300000000001</v>
      </c>
      <c r="T726" s="491">
        <f t="shared" si="292"/>
        <v>133.96836999999999</v>
      </c>
      <c r="U726" s="491">
        <f t="shared" si="292"/>
        <v>-86.694879999999998</v>
      </c>
      <c r="V726" s="491">
        <f t="shared" si="292"/>
        <v>158.01154</v>
      </c>
      <c r="W726" s="491">
        <f t="shared" si="292"/>
        <v>-93.496089999999995</v>
      </c>
    </row>
    <row r="727" spans="3:23" ht="14.25" thickBot="1">
      <c r="C727" s="5340">
        <f t="shared" si="293"/>
        <v>45107</v>
      </c>
      <c r="D727" s="5342">
        <f>SUMIFS('TP(분기)'!$275:$275,'TP(분기)'!$264:$264,$C727)*100</f>
        <v>71505.188999999984</v>
      </c>
      <c r="E727" s="5341">
        <f ca="1">SUMIFS('TP(분기)'!$267:$267,'TP(분기)'!$264:$264,$C727)*100</f>
        <v>89977.551649672154</v>
      </c>
      <c r="F727" s="5341">
        <f ca="1">SUMIFS('TP(분기)'!$269:$269,'TP(분기)'!$264:$264,$C727)*100</f>
        <v>163531.74810754953</v>
      </c>
      <c r="G727" s="5341">
        <f ca="1">SUMIFS('TP(분기)'!$270:$270,'TP(분기)'!$264:$264,$C727)*100</f>
        <v>165438.89148421941</v>
      </c>
      <c r="H727" s="5341">
        <f ca="1">SUMIFS('TP(분기)'!$268:$268,'TP(분기)'!$264:$264,$C727)*100</f>
        <v>167462.21823365692</v>
      </c>
      <c r="I727" s="5343">
        <f t="shared" ca="1" si="288"/>
        <v>1.2583359740461937</v>
      </c>
      <c r="J727" s="5343">
        <f t="shared" ca="1" si="289"/>
        <v>2.2869913413913161</v>
      </c>
      <c r="K727" s="5343">
        <f t="shared" ca="1" si="290"/>
        <v>2.3136627396959883</v>
      </c>
      <c r="L727" s="5343">
        <f t="shared" ca="1" si="291"/>
        <v>2.3419589623580599</v>
      </c>
    </row>
    <row r="728" spans="3:23" ht="14.25" thickBot="1">
      <c r="C728" s="5340">
        <f t="shared" si="293"/>
        <v>45199</v>
      </c>
      <c r="D728" s="5342">
        <f>SUMIFS('TP(분기)'!$275:$275,'TP(분기)'!$264:$264,$C728)*100</f>
        <v>67352.738999999987</v>
      </c>
      <c r="E728" s="5341">
        <f ca="1">SUMIFS('TP(분기)'!$267:$267,'TP(분기)'!$264:$264,$C728)*100</f>
        <v>88743.44591118292</v>
      </c>
      <c r="F728" s="5341">
        <f ca="1">SUMIFS('TP(분기)'!$269:$269,'TP(분기)'!$264:$264,$C728)*100</f>
        <v>162687.7400760398</v>
      </c>
      <c r="G728" s="5341">
        <f ca="1">SUMIFS('TP(분기)'!$270:$270,'TP(분기)'!$264:$264,$C728)*100</f>
        <v>164602.30480377554</v>
      </c>
      <c r="H728" s="5341">
        <f ca="1">SUMIFS('TP(분기)'!$268:$268,'TP(분기)'!$264:$264,$C728)*100</f>
        <v>166633.50501375739</v>
      </c>
      <c r="I728" s="5343">
        <f t="shared" ca="1" si="288"/>
        <v>1.3175922349822022</v>
      </c>
      <c r="J728" s="5343">
        <f t="shared" ca="1" si="289"/>
        <v>2.4154584132954091</v>
      </c>
      <c r="K728" s="5343">
        <f t="shared" ca="1" si="290"/>
        <v>2.4438843504757179</v>
      </c>
      <c r="L728" s="5343">
        <f t="shared" ca="1" si="291"/>
        <v>2.4740419987041271</v>
      </c>
    </row>
    <row r="729" spans="3:23" ht="14.25" thickBot="1">
      <c r="C729" s="5340">
        <f t="shared" si="293"/>
        <v>45291</v>
      </c>
      <c r="D729" s="5342">
        <f>SUMIFS('TP(분기)'!$275:$275,'TP(분기)'!$264:$264,$C729)*100</f>
        <v>63117.239999999983</v>
      </c>
      <c r="E729" s="5341">
        <f ca="1">SUMIFS('TP(분기)'!$267:$267,'TP(분기)'!$264:$264,$C729)*100</f>
        <v>87526.266805457635</v>
      </c>
      <c r="F729" s="5341">
        <f ca="1">SUMIFS('TP(분기)'!$269:$269,'TP(분기)'!$264:$264,$C729)*100</f>
        <v>161780.6673746602</v>
      </c>
      <c r="G729" s="5341">
        <f ca="1">SUMIFS('TP(분기)'!$270:$270,'TP(분기)'!$264:$264,$C729)*100</f>
        <v>163702.09110231407</v>
      </c>
      <c r="H729" s="5341">
        <f ca="1">SUMIFS('TP(분기)'!$268:$268,'TP(분기)'!$264:$264,$C729)*100</f>
        <v>165740.56816320212</v>
      </c>
      <c r="I729" s="5343">
        <f t="shared" ca="1" si="288"/>
        <v>1.3867251927596589</v>
      </c>
      <c r="J729" s="5343">
        <f t="shared" ca="1" si="289"/>
        <v>2.5631771505639387</v>
      </c>
      <c r="K729" s="5343">
        <f t="shared" ca="1" si="290"/>
        <v>2.5936192885226621</v>
      </c>
      <c r="L729" s="5343">
        <f t="shared" ca="1" si="291"/>
        <v>2.6259159646905053</v>
      </c>
    </row>
    <row r="730" spans="3:23" ht="14.25" thickBot="1">
      <c r="C730" s="5340">
        <f t="shared" si="293"/>
        <v>45382</v>
      </c>
      <c r="D730" s="5342">
        <f>SUMIFS('TP(분기)'!$275:$275,'TP(분기)'!$264:$264,$C730)*100</f>
        <v>59296.985999999983</v>
      </c>
      <c r="E730" s="5341">
        <f ca="1">SUMIFS('TP(분기)'!$267:$267,'TP(분기)'!$264:$264,$C730)*100</f>
        <v>86325.782171760133</v>
      </c>
      <c r="F730" s="5341">
        <f ca="1">SUMIFS('TP(분기)'!$269:$269,'TP(분기)'!$264:$264,$C730)*100</f>
        <v>162846.95121211602</v>
      </c>
      <c r="G730" s="5341">
        <f ca="1">SUMIFS('TP(분기)'!$270:$270,'TP(분기)'!$264:$264,$C730)*100</f>
        <v>164774.68561851833</v>
      </c>
      <c r="H730" s="5341">
        <f ca="1">SUMIFS('TP(분기)'!$268:$268,'TP(분기)'!$264:$264,$C730)*100</f>
        <v>166819.8578053602</v>
      </c>
      <c r="I730" s="5343">
        <f t="shared" ca="1" si="288"/>
        <v>1.455820742250882</v>
      </c>
      <c r="J730" s="5343">
        <f t="shared" ca="1" si="289"/>
        <v>2.7462939045859103</v>
      </c>
      <c r="K730" s="5343">
        <f t="shared" ca="1" si="290"/>
        <v>2.7788037256820841</v>
      </c>
      <c r="L730" s="5343">
        <f t="shared" ca="1" si="291"/>
        <v>2.8132940484590607</v>
      </c>
    </row>
    <row r="731" spans="3:23" ht="14.25" thickBot="1">
      <c r="C731" s="5340">
        <f t="shared" si="293"/>
        <v>45473</v>
      </c>
      <c r="D731" s="5342">
        <f>SUMIFS('TP(분기)'!$275:$275,'TP(분기)'!$264:$264,$C731)*100</f>
        <v>55393.68299999999</v>
      </c>
      <c r="E731" s="5341">
        <f ca="1">SUMIFS('TP(분기)'!$267:$267,'TP(분기)'!$264:$264,$C731)*100</f>
        <v>85141.76303360294</v>
      </c>
      <c r="F731" s="5341">
        <f ca="1">SUMIFS('TP(분기)'!$269:$269,'TP(분기)'!$264:$264,$C731)*100</f>
        <v>161965.99264660664</v>
      </c>
      <c r="G731" s="5341">
        <f ca="1">SUMIFS('TP(분기)'!$270:$270,'TP(분기)'!$264:$264,$C731)*100</f>
        <v>163899.50316149343</v>
      </c>
      <c r="H731" s="5341">
        <f ca="1">SUMIFS('TP(분기)'!$268:$268,'TP(분기)'!$264:$264,$C731)*100</f>
        <v>165950.8033379491</v>
      </c>
      <c r="I731" s="5343">
        <f t="shared" ca="1" si="288"/>
        <v>1.5370301886878139</v>
      </c>
      <c r="J731" s="5343">
        <f t="shared" ca="1" si="289"/>
        <v>2.9239072738060523</v>
      </c>
      <c r="K731" s="5343">
        <f t="shared" ca="1" si="290"/>
        <v>2.9588121656668589</v>
      </c>
      <c r="L731" s="5343">
        <f t="shared" ca="1" si="291"/>
        <v>2.9958434671684335</v>
      </c>
    </row>
    <row r="732" spans="3:23" ht="14.25" thickBot="1">
      <c r="C732" s="5340">
        <f t="shared" si="293"/>
        <v>45565</v>
      </c>
      <c r="D732" s="5342">
        <f>SUMIFS('TP(분기)'!$275:$275,'TP(분기)'!$264:$264,$C732)*100</f>
        <v>50992.085999999988</v>
      </c>
      <c r="E732" s="5341">
        <f ca="1">SUMIFS('TP(분기)'!$267:$267,'TP(분기)'!$264:$264,$C732)*100</f>
        <v>83973.983555072948</v>
      </c>
      <c r="F732" s="5341">
        <f ca="1">SUMIFS('TP(분기)'!$269:$269,'TP(분기)'!$264:$264,$C732)*100</f>
        <v>161190.41959930272</v>
      </c>
      <c r="G732" s="5341">
        <f ca="1">SUMIFS('TP(분기)'!$270:$270,'TP(분기)'!$264:$264,$C732)*100</f>
        <v>163129.18512925948</v>
      </c>
      <c r="H732" s="5341">
        <f ca="1">SUMIFS('TP(분기)'!$268:$268,'TP(분기)'!$264:$264,$C732)*100</f>
        <v>165186.06045684946</v>
      </c>
      <c r="I732" s="5343">
        <f t="shared" ca="1" si="288"/>
        <v>1.6468042424283833</v>
      </c>
      <c r="J732" s="5343">
        <f t="shared" ca="1" si="289"/>
        <v>3.1610869890536106</v>
      </c>
      <c r="K732" s="5343">
        <f t="shared" ca="1" si="290"/>
        <v>3.1991078993955946</v>
      </c>
      <c r="L732" s="5343">
        <f t="shared" ca="1" si="291"/>
        <v>3.2394450475481529</v>
      </c>
    </row>
    <row r="733" spans="3:23" ht="14.25" thickBot="1">
      <c r="C733" s="5340">
        <f t="shared" ref="C733:C748" si="294">EOMONTH(C732,3)</f>
        <v>45657</v>
      </c>
      <c r="D733" s="5342">
        <f>SUMIFS('TP(분기)'!$275:$275,'TP(분기)'!$264:$264,$C733)*100</f>
        <v>46507.439999999981</v>
      </c>
      <c r="E733" s="5341">
        <f ca="1">SUMIFS('TP(분기)'!$267:$267,'TP(분기)'!$264:$264,$C733)*100</f>
        <v>82822.220997756333</v>
      </c>
      <c r="F733" s="5341">
        <f ca="1">SUMIFS('TP(분기)'!$269:$269,'TP(분기)'!$264:$264,$C733)*100</f>
        <v>160357.60508243763</v>
      </c>
      <c r="G733" s="5341">
        <f ca="1">SUMIFS('TP(분기)'!$270:$270,'TP(분기)'!$264:$264,$C733)*100</f>
        <v>162301.11774177398</v>
      </c>
      <c r="H733" s="5341">
        <f ca="1">SUMIFS('TP(분기)'!$268:$268,'TP(분기)'!$264:$264,$C733)*100</f>
        <v>164363.02939435889</v>
      </c>
      <c r="I733" s="5343">
        <f t="shared" ca="1" si="288"/>
        <v>1.7808380981141161</v>
      </c>
      <c r="J733" s="5343">
        <f t="shared" ca="1" si="289"/>
        <v>3.4479989670994082</v>
      </c>
      <c r="K733" s="5343">
        <f t="shared" ca="1" si="290"/>
        <v>3.4897882519823504</v>
      </c>
      <c r="L733" s="5343">
        <f t="shared" ca="1" si="291"/>
        <v>3.5341233444446516</v>
      </c>
    </row>
    <row r="734" spans="3:23" ht="14.25" thickBot="1">
      <c r="C734" s="5340">
        <f t="shared" si="294"/>
        <v>45747</v>
      </c>
      <c r="D734" s="5342">
        <f>SUMIFS('TP(분기)'!$275:$275,'TP(분기)'!$264:$264,$C734)*100</f>
        <v>41275.352999999981</v>
      </c>
      <c r="E734" s="5341">
        <f ca="1">SUMIFS('TP(분기)'!$267:$267,'TP(분기)'!$264:$264,$C734)*100</f>
        <v>81686.255678254034</v>
      </c>
      <c r="F734" s="5341">
        <f ca="1">SUMIFS('TP(분기)'!$269:$269,'TP(분기)'!$264:$264,$C734)*100</f>
        <v>162743.15086711882</v>
      </c>
      <c r="G734" s="5341">
        <f ca="1">SUMIFS('TP(분기)'!$270:$270,'TP(분기)'!$264:$264,$C734)*100</f>
        <v>164690.9157135904</v>
      </c>
      <c r="H734" s="5341">
        <f ca="1">SUMIFS('TP(분기)'!$268:$268,'TP(분기)'!$264:$264,$C734)*100</f>
        <v>166757.33859699281</v>
      </c>
      <c r="I734" s="5343">
        <f t="shared" ca="1" si="288"/>
        <v>1.9790565008191225</v>
      </c>
      <c r="J734" s="5343">
        <f t="shared" ca="1" si="289"/>
        <v>3.9428651492603564</v>
      </c>
      <c r="K734" s="5343">
        <f t="shared" ca="1" si="290"/>
        <v>3.9900546874448408</v>
      </c>
      <c r="L734" s="5343">
        <f t="shared" ca="1" si="291"/>
        <v>4.0401190172012065</v>
      </c>
    </row>
    <row r="735" spans="3:23" ht="14.25" thickBot="1">
      <c r="C735" s="5340">
        <f t="shared" si="294"/>
        <v>45838</v>
      </c>
      <c r="D735" s="5342">
        <f>SUMIFS('TP(분기)'!$275:$275,'TP(분기)'!$264:$264,$C735)*100</f>
        <v>36043.265999999981</v>
      </c>
      <c r="E735" s="5341">
        <f ca="1">SUMIFS('TP(분기)'!$267:$267,'TP(분기)'!$264:$264,$C735)*100</f>
        <v>80565.8709262802</v>
      </c>
      <c r="F735" s="5341">
        <f ca="1">SUMIFS('TP(분기)'!$269:$269,'TP(분기)'!$264:$264,$C735)*100</f>
        <v>161928.63110968989</v>
      </c>
      <c r="G735" s="5341">
        <f ca="1">SUMIFS('TP(분기)'!$270:$270,'TP(분기)'!$264:$264,$C735)*100</f>
        <v>163880.16588498501</v>
      </c>
      <c r="H735" s="5341">
        <f ca="1">SUMIFS('TP(분기)'!$268:$268,'TP(분기)'!$264:$264,$C735)*100</f>
        <v>165950.5883616668</v>
      </c>
      <c r="I735" s="5343">
        <f t="shared" ca="1" si="288"/>
        <v>2.2352544557499381</v>
      </c>
      <c r="J735" s="5343">
        <f t="shared" ca="1" si="289"/>
        <v>4.4926181525750186</v>
      </c>
      <c r="K735" s="5343">
        <f t="shared" ca="1" si="290"/>
        <v>4.5467623795519829</v>
      </c>
      <c r="L735" s="5343">
        <f t="shared" ca="1" si="291"/>
        <v>4.6042050784650561</v>
      </c>
    </row>
    <row r="736" spans="3:23" ht="14.25" thickBot="1">
      <c r="C736" s="5340">
        <f t="shared" si="294"/>
        <v>45930</v>
      </c>
      <c r="D736" s="5342">
        <f>SUMIFS('TP(분기)'!$275:$275,'TP(분기)'!$264:$264,$C736)*100</f>
        <v>30728.129999999986</v>
      </c>
      <c r="E736" s="5341">
        <f ca="1">SUMIFS('TP(분기)'!$267:$267,'TP(분기)'!$264:$264,$C736)*100</f>
        <v>79460.853043335097</v>
      </c>
      <c r="F736" s="5341">
        <f ca="1">SUMIFS('TP(분기)'!$269:$269,'TP(분기)'!$264:$264,$C736)*100</f>
        <v>160841.0843071795</v>
      </c>
      <c r="G736" s="5341">
        <f ca="1">SUMIFS('TP(분기)'!$270:$270,'TP(분기)'!$264:$264,$C736)*100</f>
        <v>162795.91918208986</v>
      </c>
      <c r="H736" s="5341">
        <f ca="1">SUMIFS('TP(분기)'!$268:$268,'TP(분기)'!$264:$264,$C736)*100</f>
        <v>164869.84280079851</v>
      </c>
      <c r="I736" s="5343">
        <f t="shared" ca="1" si="288"/>
        <v>2.5859319471551028</v>
      </c>
      <c r="J736" s="5343">
        <f t="shared" ca="1" si="289"/>
        <v>5.234327123296457</v>
      </c>
      <c r="K736" s="5343">
        <f t="shared" ca="1" si="290"/>
        <v>5.2979442348782673</v>
      </c>
      <c r="L736" s="5343">
        <f t="shared" ca="1" si="291"/>
        <v>5.3654369075110848</v>
      </c>
    </row>
    <row r="737" spans="3:12" ht="14.25" thickBot="1">
      <c r="C737" s="5340">
        <f t="shared" si="294"/>
        <v>46022</v>
      </c>
      <c r="D737" s="5342">
        <f>SUMIFS('TP(분기)'!$275:$275,'TP(분기)'!$264:$264,$C737)*100</f>
        <v>25329.944999999985</v>
      </c>
      <c r="E737" s="5341">
        <f ca="1">SUMIFS('TP(분기)'!$267:$267,'TP(분기)'!$264:$264,$C737)*100</f>
        <v>78370.991261945019</v>
      </c>
      <c r="F737" s="5341">
        <f ca="1">SUMIFS('TP(분기)'!$269:$269,'TP(분기)'!$264:$264,$C737)*100</f>
        <v>159688.00209529046</v>
      </c>
      <c r="G737" s="5341">
        <f ca="1">SUMIFS('TP(분기)'!$270:$270,'TP(분기)'!$264:$264,$C737)*100</f>
        <v>161645.679419486</v>
      </c>
      <c r="H737" s="5341">
        <f ca="1">SUMIFS('TP(분기)'!$268:$268,'TP(분기)'!$264:$264,$C737)*100</f>
        <v>163722.61864978576</v>
      </c>
      <c r="I737" s="5343">
        <f t="shared" ca="1" si="288"/>
        <v>3.0940055835867413</v>
      </c>
      <c r="J737" s="5343">
        <f t="shared" ca="1" si="289"/>
        <v>6.3043169693140095</v>
      </c>
      <c r="K737" s="5343">
        <f t="shared" ca="1" si="290"/>
        <v>6.3816040429415102</v>
      </c>
      <c r="L737" s="5343">
        <f t="shared" ca="1" si="291"/>
        <v>6.4635994531289294</v>
      </c>
    </row>
    <row r="738" spans="3:12" ht="14.25" thickBot="1">
      <c r="C738" s="5340">
        <f t="shared" si="294"/>
        <v>46112</v>
      </c>
      <c r="D738" s="5342">
        <f>SUMIFS('TP(분기)'!$275:$275,'TP(분기)'!$264:$264,$C738)*100</f>
        <v>22007.98499999999</v>
      </c>
      <c r="E738" s="5341">
        <f ca="1">SUMIFS('TP(분기)'!$267:$267,'TP(분기)'!$264:$264,$C738)*100</f>
        <v>77296.077705461212</v>
      </c>
      <c r="F738" s="5341">
        <f ca="1">SUMIFS('TP(분기)'!$269:$269,'TP(분기)'!$264:$264,$C738)*100</f>
        <v>147853.77013060212</v>
      </c>
      <c r="G738" s="5341">
        <f ca="1">SUMIFS('TP(분기)'!$270:$270,'TP(분기)'!$264:$264,$C738)*100</f>
        <v>149813.84418693164</v>
      </c>
      <c r="H738" s="5341">
        <f ca="1">SUMIFS('TP(분기)'!$268:$268,'TP(분기)'!$264:$264,$C738)*100</f>
        <v>151893.32615853616</v>
      </c>
      <c r="I738" s="5343">
        <f t="shared" ca="1" si="288"/>
        <v>3.5121833146224541</v>
      </c>
      <c r="J738" s="5343">
        <f t="shared" ca="1" si="289"/>
        <v>6.7181875183303781</v>
      </c>
      <c r="K738" s="5343">
        <f t="shared" ca="1" si="290"/>
        <v>6.8072494681785596</v>
      </c>
      <c r="L738" s="5343">
        <f t="shared" ca="1" si="291"/>
        <v>6.9017370812701042</v>
      </c>
    </row>
    <row r="739" spans="3:12" ht="14.25" thickBot="1">
      <c r="C739" s="5340">
        <f t="shared" si="294"/>
        <v>46203</v>
      </c>
      <c r="D739" s="5342">
        <f>SUMIFS('TP(분기)'!$275:$275,'TP(분기)'!$264:$264,$C739)*100</f>
        <v>18187.730999999992</v>
      </c>
      <c r="E739" s="5341">
        <f ca="1">SUMIFS('TP(분기)'!$267:$267,'TP(분기)'!$264:$264,$C739)*100</f>
        <v>76235.907348410081</v>
      </c>
      <c r="F739" s="5341">
        <f ca="1">SUMIFS('TP(분기)'!$269:$269,'TP(분기)'!$264:$264,$C739)*100</f>
        <v>146840.83437400282</v>
      </c>
      <c r="G739" s="5341">
        <f ca="1">SUMIFS('TP(분기)'!$270:$270,'TP(분기)'!$264:$264,$C739)*100</f>
        <v>148802.87113724358</v>
      </c>
      <c r="H739" s="5341">
        <f ca="1">SUMIFS('TP(분기)'!$268:$268,'TP(분기)'!$264:$264,$C739)*100</f>
        <v>150884.43538406841</v>
      </c>
      <c r="I739" s="5343">
        <f t="shared" ca="1" si="288"/>
        <v>4.1916117710565501</v>
      </c>
      <c r="J739" s="5343">
        <f t="shared" ca="1" si="289"/>
        <v>8.0736203088776097</v>
      </c>
      <c r="K739" s="5343">
        <f t="shared" ca="1" si="290"/>
        <v>8.1814972487356243</v>
      </c>
      <c r="L739" s="5343">
        <f t="shared" ca="1" si="291"/>
        <v>8.2959460629843527</v>
      </c>
    </row>
    <row r="740" spans="3:12" ht="14.25" thickBot="1">
      <c r="C740" s="5340">
        <f t="shared" si="294"/>
        <v>46295</v>
      </c>
      <c r="D740" s="5342">
        <f>SUMIFS('TP(분기)'!$275:$275,'TP(분기)'!$264:$264,$C740)*100</f>
        <v>14284.427999999991</v>
      </c>
      <c r="E740" s="5341">
        <f ca="1">SUMIFS('TP(분기)'!$267:$267,'TP(분기)'!$264:$264,$C740)*100</f>
        <v>75190.277977387421</v>
      </c>
      <c r="F740" s="5341">
        <f ca="1">SUMIFS('TP(분기)'!$269:$269,'TP(분기)'!$264:$264,$C740)*100</f>
        <v>145825.20671198278</v>
      </c>
      <c r="G740" s="5341">
        <f ca="1">SUMIFS('TP(분기)'!$270:$270,'TP(분기)'!$264:$264,$C740)*100</f>
        <v>147788.78361196289</v>
      </c>
      <c r="H740" s="5341">
        <f ca="1">SUMIFS('TP(분기)'!$268:$268,'TP(분기)'!$264:$264,$C740)*100</f>
        <v>149871.98182081734</v>
      </c>
      <c r="I740" s="5343">
        <f t="shared" ca="1" si="288"/>
        <v>5.2637934103757935</v>
      </c>
      <c r="J740" s="5343">
        <f t="shared" ca="1" si="289"/>
        <v>10.208683659715522</v>
      </c>
      <c r="K740" s="5343">
        <f t="shared" ca="1" si="290"/>
        <v>10.346146419861054</v>
      </c>
      <c r="L740" s="5343">
        <f t="shared" ca="1" si="291"/>
        <v>10.491983425644866</v>
      </c>
    </row>
    <row r="741" spans="3:12" ht="14.25" thickBot="1">
      <c r="C741" s="5340">
        <f t="shared" si="294"/>
        <v>46387</v>
      </c>
      <c r="D741" s="5342">
        <f>SUMIFS('TP(분기)'!$275:$275,'TP(분기)'!$264:$264,$C741)*100</f>
        <v>10962.467999999992</v>
      </c>
      <c r="E741" s="5341">
        <f ca="1">SUMIFS('TP(분기)'!$267:$267,'TP(분기)'!$264:$264,$C741)*100</f>
        <v>74158.990152488797</v>
      </c>
      <c r="F741" s="5341">
        <f ca="1">SUMIFS('TP(분기)'!$269:$269,'TP(분기)'!$264:$264,$C741)*100</f>
        <v>144751.38521687014</v>
      </c>
      <c r="G741" s="5341">
        <f ca="1">SUMIFS('TP(분기)'!$270:$270,'TP(분기)'!$264:$264,$C741)*100</f>
        <v>146716.09090588946</v>
      </c>
      <c r="H741" s="5341">
        <f ca="1">SUMIFS('TP(분기)'!$268:$268,'TP(분기)'!$264:$264,$C741)*100</f>
        <v>148800.48666972871</v>
      </c>
      <c r="I741" s="5343">
        <f t="shared" ca="1" si="288"/>
        <v>6.7648079020608183</v>
      </c>
      <c r="J741" s="5343">
        <f t="shared" ca="1" si="289"/>
        <v>13.204269806476995</v>
      </c>
      <c r="K741" s="5343">
        <f t="shared" ca="1" si="290"/>
        <v>13.383490916998761</v>
      </c>
      <c r="L741" s="5343">
        <f t="shared" ca="1" si="291"/>
        <v>13.573630196204798</v>
      </c>
    </row>
    <row r="742" spans="3:12" ht="14.25" thickBot="1">
      <c r="C742" s="5340">
        <f t="shared" si="294"/>
        <v>46477</v>
      </c>
      <c r="D742" s="5342">
        <f>SUMIFS('TP(분기)'!$275:$275,'TP(분기)'!$264:$264,$C742)*100</f>
        <v>9965.8799999999919</v>
      </c>
      <c r="E742" s="5341">
        <f ca="1">SUMIFS('TP(분기)'!$267:$267,'TP(분기)'!$264:$264,$C742)*100</f>
        <v>73141.847169269109</v>
      </c>
      <c r="F742" s="5341">
        <f ca="1">SUMIFS('TP(분기)'!$269:$269,'TP(분기)'!$264:$264,$C742)*100</f>
        <v>127896.56786653148</v>
      </c>
      <c r="G742" s="5341">
        <f ca="1">SUMIFS('TP(분기)'!$270:$270,'TP(분기)'!$264:$264,$C742)*100</f>
        <v>129862.00199100742</v>
      </c>
      <c r="H742" s="5341">
        <f ca="1">SUMIFS('TP(분기)'!$268:$268,'TP(분기)'!$264:$264,$C742)*100</f>
        <v>131947.1705666671</v>
      </c>
      <c r="I742" s="5343">
        <f t="shared" ca="1" si="288"/>
        <v>7.3392261565731447</v>
      </c>
      <c r="J742" s="5343">
        <f t="shared" ca="1" si="289"/>
        <v>12.833444499284717</v>
      </c>
      <c r="K742" s="5343">
        <f t="shared" ca="1" si="290"/>
        <v>13.030660813797429</v>
      </c>
      <c r="L742" s="5343">
        <f t="shared" ca="1" si="291"/>
        <v>13.239891566692275</v>
      </c>
    </row>
    <row r="743" spans="3:12" ht="14.25" thickBot="1">
      <c r="C743" s="5340">
        <f t="shared" si="294"/>
        <v>46568</v>
      </c>
      <c r="D743" s="5342">
        <f>SUMIFS('TP(분기)'!$275:$275,'TP(분기)'!$264:$264,$C743)*100</f>
        <v>8969.2919999999922</v>
      </c>
      <c r="E743" s="5341">
        <f ca="1">SUMIFS('TP(분기)'!$267:$267,'TP(분기)'!$264:$264,$C743)*100</f>
        <v>72138.655021223734</v>
      </c>
      <c r="F743" s="5341">
        <f ca="1">SUMIFS('TP(분기)'!$269:$269,'TP(분기)'!$264:$264,$C743)*100</f>
        <v>127007.73087701609</v>
      </c>
      <c r="G743" s="5341">
        <f ca="1">SUMIFS('TP(분기)'!$270:$270,'TP(분기)'!$264:$264,$C743)*100</f>
        <v>128973.50385328259</v>
      </c>
      <c r="H743" s="5341">
        <f ca="1">SUMIFS('TP(분기)'!$268:$268,'TP(분기)'!$264:$264,$C743)*100</f>
        <v>131059.03192361907</v>
      </c>
      <c r="I743" s="5343">
        <f t="shared" ca="1" si="288"/>
        <v>8.0428483119095464</v>
      </c>
      <c r="J743" s="5343">
        <f t="shared" ca="1" si="289"/>
        <v>14.160284989831549</v>
      </c>
      <c r="K743" s="5343">
        <f t="shared" ca="1" si="290"/>
        <v>14.379452007280252</v>
      </c>
      <c r="L743" s="5343">
        <f t="shared" ca="1" si="291"/>
        <v>14.611970702215871</v>
      </c>
    </row>
    <row r="744" spans="3:12" ht="14.25" thickBot="1">
      <c r="C744" s="5340">
        <f t="shared" si="294"/>
        <v>46660</v>
      </c>
      <c r="D744" s="5342">
        <f>SUMIFS('TP(분기)'!$275:$275,'TP(분기)'!$264:$264,$C744)*100</f>
        <v>7972.7039999999906</v>
      </c>
      <c r="E744" s="5341">
        <f ca="1">SUMIFS('TP(분기)'!$267:$267,'TP(분기)'!$264:$264,$C744)*100</f>
        <v>71149.222362784538</v>
      </c>
      <c r="F744" s="5341">
        <f ca="1">SUMIFS('TP(분기)'!$269:$269,'TP(분기)'!$264:$264,$C744)*100</f>
        <v>126244.46940147091</v>
      </c>
      <c r="G744" s="5341">
        <f ca="1">SUMIFS('TP(분기)'!$270:$270,'TP(분기)'!$264:$264,$C744)*100</f>
        <v>128210.20219565895</v>
      </c>
      <c r="H744" s="5341">
        <f ca="1">SUMIFS('TP(분기)'!$268:$268,'TP(분기)'!$264:$264,$C744)*100</f>
        <v>130295.68763602054</v>
      </c>
      <c r="I744" s="5343">
        <f t="shared" ca="1" si="288"/>
        <v>8.9241018307947488</v>
      </c>
      <c r="J744" s="5343">
        <f t="shared" ca="1" si="289"/>
        <v>15.834586283583469</v>
      </c>
      <c r="K744" s="5343">
        <f t="shared" ca="1" si="290"/>
        <v>16.08114413825712</v>
      </c>
      <c r="L744" s="5343">
        <f t="shared" ca="1" si="291"/>
        <v>16.342722323068898</v>
      </c>
    </row>
    <row r="745" spans="3:12" ht="14.25" thickBot="1">
      <c r="C745" s="5340">
        <f t="shared" si="294"/>
        <v>46752</v>
      </c>
      <c r="D745" s="5342">
        <f>SUMIFS('TP(분기)'!$275:$275,'TP(분기)'!$264:$264,$C745)*100</f>
        <v>6976.1159999999891</v>
      </c>
      <c r="E745" s="5341">
        <f ca="1">SUMIFS('TP(분기)'!$267:$267,'TP(분기)'!$264:$264,$C745)*100</f>
        <v>70173.360472823013</v>
      </c>
      <c r="F745" s="5341">
        <f ca="1">SUMIFS('TP(분기)'!$269:$269,'TP(분기)'!$264:$264,$C745)*100</f>
        <v>125436.87493521026</v>
      </c>
      <c r="G745" s="5341">
        <f ca="1">SUMIFS('TP(분기)'!$270:$270,'TP(분기)'!$264:$264,$C745)*100</f>
        <v>127402.1988471408</v>
      </c>
      <c r="H745" s="5341">
        <f ca="1">SUMIFS('TP(분기)'!$268:$268,'TP(분기)'!$264:$264,$C745)*100</f>
        <v>129487.25049609529</v>
      </c>
      <c r="I745" s="5343">
        <f t="shared" ca="1" si="288"/>
        <v>10.05908738799973</v>
      </c>
      <c r="J745" s="5343">
        <f t="shared" ca="1" si="289"/>
        <v>17.980904408013064</v>
      </c>
      <c r="K745" s="5343">
        <f t="shared" ca="1" si="290"/>
        <v>18.262626201620069</v>
      </c>
      <c r="L745" s="5343">
        <f t="shared" ca="1" si="291"/>
        <v>18.561510516180565</v>
      </c>
    </row>
    <row r="746" spans="3:12" ht="14.25" thickBot="1">
      <c r="C746" s="5340">
        <f t="shared" si="294"/>
        <v>46843</v>
      </c>
      <c r="D746" s="5342">
        <f>SUMIFS('TP(분기)'!$275:$275,'TP(분기)'!$264:$264,$C746)*100</f>
        <v>5979.5279999999902</v>
      </c>
      <c r="E746" s="5341">
        <f ca="1">SUMIFS('TP(분기)'!$267:$267,'TP(분기)'!$264:$264,$C746)*100</f>
        <v>69210.883218654475</v>
      </c>
      <c r="F746" s="5341">
        <f ca="1">SUMIFS('TP(분기)'!$269:$269,'TP(분기)'!$264:$264,$C746)*100</f>
        <v>117323.54068178065</v>
      </c>
      <c r="G746" s="5341">
        <f ca="1">SUMIFS('TP(분기)'!$270:$270,'TP(분기)'!$264:$264,$C746)*100</f>
        <v>119288.09713280106</v>
      </c>
      <c r="H746" s="5341">
        <f ca="1">SUMIFS('TP(분기)'!$268:$268,'TP(분기)'!$264:$264,$C746)*100</f>
        <v>121372.334567047</v>
      </c>
      <c r="I746" s="5343">
        <f t="shared" ca="1" si="288"/>
        <v>11.574639874360416</v>
      </c>
      <c r="J746" s="5343">
        <f t="shared" ca="1" si="289"/>
        <v>19.62086985490842</v>
      </c>
      <c r="K746" s="5343">
        <f t="shared" ca="1" si="290"/>
        <v>19.949416932707944</v>
      </c>
      <c r="L746" s="5343">
        <f t="shared" ca="1" si="291"/>
        <v>20.297979132641775</v>
      </c>
    </row>
    <row r="747" spans="3:12" ht="14.25" thickBot="1">
      <c r="C747" s="5340">
        <f t="shared" si="294"/>
        <v>46934</v>
      </c>
      <c r="D747" s="5342">
        <f>SUMIFS('TP(분기)'!$275:$275,'TP(분기)'!$264:$264,$C747)*100</f>
        <v>4982.9399999999896</v>
      </c>
      <c r="E747" s="5341">
        <f ca="1">SUMIFS('TP(분기)'!$267:$267,'TP(분기)'!$264:$264,$C747)*100</f>
        <v>68261.607020535565</v>
      </c>
      <c r="F747" s="5341">
        <f ca="1">SUMIFS('TP(분기)'!$269:$269,'TP(분기)'!$264:$264,$C747)*100</f>
        <v>116605.12970155211</v>
      </c>
      <c r="G747" s="5341">
        <f ca="1">SUMIFS('TP(분기)'!$270:$270,'TP(분기)'!$264:$264,$C747)*100</f>
        <v>118568.57002624843</v>
      </c>
      <c r="H747" s="5341">
        <f ca="1">SUMIFS('TP(분기)'!$268:$268,'TP(분기)'!$264:$264,$C747)*100</f>
        <v>120651.62333963861</v>
      </c>
      <c r="I747" s="5343">
        <f t="shared" ca="1" si="288"/>
        <v>13.699062605717851</v>
      </c>
      <c r="J747" s="5343">
        <f t="shared" ca="1" si="289"/>
        <v>23.400869707753326</v>
      </c>
      <c r="K747" s="5343">
        <f t="shared" ca="1" si="290"/>
        <v>23.794902211595701</v>
      </c>
      <c r="L747" s="5343">
        <f t="shared" ca="1" si="291"/>
        <v>24.21293921653459</v>
      </c>
    </row>
    <row r="748" spans="3:12" ht="14.25" thickBot="1">
      <c r="C748" s="5340">
        <f t="shared" si="294"/>
        <v>47026</v>
      </c>
      <c r="D748" s="5342">
        <f>SUMIFS('TP(분기)'!$275:$275,'TP(분기)'!$264:$264,$C748)*100</f>
        <v>3986.3519999999894</v>
      </c>
      <c r="E748" s="5341">
        <f ca="1">SUMIFS('TP(분기)'!$267:$267,'TP(분기)'!$264:$264,$C748)*100</f>
        <v>67325.350816648861</v>
      </c>
      <c r="F748" s="5341">
        <f ca="1">SUMIFS('TP(분기)'!$269:$269,'TP(분기)'!$264:$264,$C748)*100</f>
        <v>117742.42856534029</v>
      </c>
      <c r="G748" s="5341">
        <f ca="1">SUMIFS('TP(분기)'!$270:$270,'TP(분기)'!$264:$264,$C748)*100</f>
        <v>119704.41380705913</v>
      </c>
      <c r="H748" s="5341">
        <f ca="1">SUMIFS('TP(분기)'!$268:$268,'TP(분기)'!$264:$264,$C748)*100</f>
        <v>121785.92339366558</v>
      </c>
      <c r="I748" s="5343">
        <f t="shared" ca="1" si="288"/>
        <v>16.888962845390733</v>
      </c>
      <c r="J748" s="5343">
        <f t="shared" ca="1" si="289"/>
        <v>29.536385287937595</v>
      </c>
      <c r="K748" s="5343">
        <f t="shared" ca="1" si="290"/>
        <v>30.028560901560986</v>
      </c>
      <c r="L748" s="5343">
        <f t="shared" ca="1" si="291"/>
        <v>30.55071990473142</v>
      </c>
    </row>
    <row r="749" spans="3:12" ht="14.25" thickBot="1">
      <c r="C749" s="5340">
        <f t="shared" ref="C749:C750" si="295">EOMONTH(C748,3)</f>
        <v>47118</v>
      </c>
      <c r="D749" s="5342">
        <f>SUMIFS('TP(분기)'!$275:$275,'TP(분기)'!$264:$264,$C749)*100</f>
        <v>2989.7639999999888</v>
      </c>
      <c r="E749" s="5341">
        <f ca="1">SUMIFS('TP(분기)'!$267:$267,'TP(분기)'!$264:$264,$C749)*100</f>
        <v>66401.936028567914</v>
      </c>
      <c r="F749" s="5341">
        <f ca="1">SUMIFS('TP(분기)'!$269:$269,'TP(분기)'!$264:$264,$C749)*100</f>
        <v>118904.18524950826</v>
      </c>
      <c r="G749" s="5341">
        <f ca="1">SUMIFS('TP(분기)'!$270:$270,'TP(분기)'!$264:$264,$C749)*100</f>
        <v>120864.3859596229</v>
      </c>
      <c r="H749" s="5341">
        <f ca="1">SUMIFS('TP(분기)'!$268:$268,'TP(분기)'!$264:$264,$C749)*100</f>
        <v>122944.00230077436</v>
      </c>
      <c r="I749" s="5343">
        <f t="shared" ca="1" si="288"/>
        <v>22.209758371753811</v>
      </c>
      <c r="J749" s="5343">
        <f t="shared" ca="1" si="289"/>
        <v>39.770425106967878</v>
      </c>
      <c r="K749" s="5343">
        <f t="shared" ca="1" si="290"/>
        <v>40.426062378041664</v>
      </c>
      <c r="L749" s="5343">
        <f t="shared" ca="1" si="291"/>
        <v>41.121641139827368</v>
      </c>
    </row>
    <row r="750" spans="3:12" ht="14.25" thickBot="1">
      <c r="C750" s="5340">
        <f t="shared" si="295"/>
        <v>47208</v>
      </c>
      <c r="D750" s="5342">
        <f>SUMIFS('TP(분기)'!$275:$275,'TP(분기)'!$264:$264,$C750)*100</f>
        <v>1993.175999999989</v>
      </c>
      <c r="E750" s="5341">
        <f ca="1">SUMIFS('TP(분기)'!$267:$267,'TP(분기)'!$264:$264,$C750)*100</f>
        <v>65491.186527195488</v>
      </c>
      <c r="F750" s="5341">
        <f ca="1">SUMIFS('TP(분기)'!$269:$269,'TP(분기)'!$264:$264,$C750)*100</f>
        <v>118883.23755954957</v>
      </c>
      <c r="G750" s="5341">
        <f ca="1">SUMIFS('TP(분기)'!$270:$270,'TP(분기)'!$264:$264,$C750)*100</f>
        <v>120841.33360040617</v>
      </c>
      <c r="H750" s="5341">
        <f ca="1">SUMIFS('TP(분기)'!$268:$268,'TP(분기)'!$264:$264,$C750)*100</f>
        <v>122918.71705562953</v>
      </c>
      <c r="I750" s="5343">
        <f t="shared" ca="1" si="288"/>
        <v>32.857703748788794</v>
      </c>
      <c r="J750" s="5343">
        <f t="shared" ca="1" si="289"/>
        <v>59.645127956362217</v>
      </c>
      <c r="K750" s="5343">
        <f t="shared" ca="1" si="290"/>
        <v>60.627527925485175</v>
      </c>
      <c r="L750" s="5343">
        <f t="shared" ca="1" si="291"/>
        <v>61.669775802854446</v>
      </c>
    </row>
    <row r="751" spans="3:12" ht="14.25" thickBot="1">
      <c r="C751" s="5340">
        <f t="shared" ref="C751" si="296">EOMONTH(C750,3)</f>
        <v>47299</v>
      </c>
      <c r="D751" s="5342">
        <f>SUMIFS('TP(분기)'!$275:$275,'TP(분기)'!$264:$264,$C751)*100</f>
        <v>996.58799999998871</v>
      </c>
      <c r="E751" s="5341">
        <f ca="1">SUMIFS('TP(분기)'!$267:$267,'TP(분기)'!$264:$264,$C751)*100</f>
        <v>64592.928599169543</v>
      </c>
      <c r="F751" s="5341">
        <f ca="1">SUMIFS('TP(분기)'!$269:$269,'TP(분기)'!$264:$264,$C751)*100</f>
        <v>120020.73610320452</v>
      </c>
      <c r="G751" s="5341">
        <f ca="1">SUMIFS('TP(분기)'!$270:$270,'TP(분기)'!$264:$264,$C751)*100</f>
        <v>121976.41645468489</v>
      </c>
      <c r="H751" s="5341">
        <f ca="1">SUMIFS('TP(분기)'!$268:$268,'TP(분기)'!$264:$264,$C751)*100</f>
        <v>124051.2370564841</v>
      </c>
      <c r="I751" s="5343">
        <f t="shared" ca="1" si="288"/>
        <v>64.814074220410319</v>
      </c>
      <c r="J751" s="5343">
        <f t="shared" ca="1" si="289"/>
        <v>120.43164888921588</v>
      </c>
      <c r="K751" s="5343">
        <f t="shared" ca="1" si="290"/>
        <v>122.3940248675343</v>
      </c>
      <c r="L751" s="5343">
        <f t="shared" ca="1" si="291"/>
        <v>124.47594899445458</v>
      </c>
    </row>
    <row r="752" spans="3:12" ht="14.25" thickBot="1">
      <c r="C752" s="5340">
        <f t="shared" ref="C752" si="297">EOMONTH(C751,3)</f>
        <v>47391</v>
      </c>
      <c r="D752" s="5342">
        <f>SUMIFS('TP(분기)'!$275:$275,'TP(분기)'!$264:$264,$C752)*100</f>
        <v>0</v>
      </c>
      <c r="E752" s="5341">
        <f ca="1">SUMIFS('TP(분기)'!$267:$267,'TP(분기)'!$264:$264,$C752)*100</f>
        <v>63706.990913729671</v>
      </c>
      <c r="F752" s="5341">
        <f ca="1">SUMIFS('TP(분기)'!$269:$269,'TP(분기)'!$264:$264,$C752)*100</f>
        <v>119714.5741834004</v>
      </c>
      <c r="G752" s="5341">
        <f ca="1">SUMIFS('TP(분기)'!$270:$270,'TP(분기)'!$264:$264,$C752)*100</f>
        <v>121667.53675303969</v>
      </c>
      <c r="H752" s="5341">
        <f ca="1">SUMIFS('TP(분기)'!$268:$268,'TP(분기)'!$264:$264,$C752)*100</f>
        <v>123739.47400544555</v>
      </c>
      <c r="I752" s="5343" t="str">
        <f t="shared" ca="1" si="288"/>
        <v/>
      </c>
      <c r="J752" s="5343" t="str">
        <f t="shared" ca="1" si="289"/>
        <v/>
      </c>
      <c r="K752" s="5343" t="str">
        <f t="shared" ca="1" si="290"/>
        <v/>
      </c>
      <c r="L752" s="5343" t="str">
        <f t="shared" ca="1" si="291"/>
        <v/>
      </c>
    </row>
    <row r="785" spans="2:13">
      <c r="B785" s="498" t="s">
        <v>5003</v>
      </c>
    </row>
    <row r="787" spans="2:13">
      <c r="C787" s="4696">
        <f>시나리오</f>
        <v>1</v>
      </c>
    </row>
    <row r="788" spans="2:13" ht="14.25" thickBot="1"/>
    <row r="789" spans="2:13" ht="15" thickTop="1" thickBot="1">
      <c r="C789" s="4650" t="s">
        <v>48</v>
      </c>
      <c r="D789" s="4651" t="s">
        <v>4988</v>
      </c>
      <c r="E789" s="4652" t="s">
        <v>4989</v>
      </c>
      <c r="F789" s="4627">
        <v>2022</v>
      </c>
      <c r="G789" s="4627">
        <v>2023</v>
      </c>
      <c r="H789" s="4627">
        <v>2024</v>
      </c>
      <c r="I789" s="4627">
        <v>2025</v>
      </c>
      <c r="J789" s="4627">
        <v>2026</v>
      </c>
      <c r="K789" s="4627">
        <v>2027</v>
      </c>
      <c r="L789" s="4627">
        <v>2028</v>
      </c>
      <c r="M789" s="4627">
        <v>2029</v>
      </c>
    </row>
    <row r="790" spans="2:13" ht="14.25" thickBot="1">
      <c r="C790" s="4653" t="s">
        <v>4990</v>
      </c>
      <c r="D790" s="4654">
        <f ca="1">MIN(F790:M790)</f>
        <v>1.3735820263812935</v>
      </c>
      <c r="E790" s="4655">
        <f ca="1">AVERAGE(F790:M790)</f>
        <v>4.1920964451782554</v>
      </c>
      <c r="F790" s="4654">
        <f ca="1">SUMIFS(Sensitivity!$R$7:$R$15,Sensitivity!$O$7:$O$15,F789)</f>
        <v>1.5727842086829662</v>
      </c>
      <c r="G790" s="4654">
        <f ca="1">SUMIFS(Sensitivity!$R$7:$R$15,Sensitivity!$O$7:$O$15,G789)</f>
        <v>2.1820473062767372</v>
      </c>
      <c r="H790" s="4654">
        <f ca="1">SUMIFS(Sensitivity!$R$7:$R$15,Sensitivity!$O$7:$O$15,H789)</f>
        <v>2.0094375132625144</v>
      </c>
      <c r="I790" s="4654">
        <f ca="1">SUMIFS(Sensitivity!$R$7:$R$15,Sensitivity!$O$7:$O$15,I789)</f>
        <v>1.3735820263812935</v>
      </c>
      <c r="J790" s="4654">
        <f ca="1">SUMIFS(Sensitivity!$R$7:$R$15,Sensitivity!$O$7:$O$15,J789)</f>
        <v>1.8178923974804437</v>
      </c>
      <c r="K790" s="4654">
        <f ca="1">SUMIFS(Sensitivity!$R$7:$R$15,Sensitivity!$O$7:$O$15,K789)</f>
        <v>7.0181792893274988</v>
      </c>
      <c r="L790" s="4654">
        <f ca="1">SUMIFS(Sensitivity!$R$7:$R$15,Sensitivity!$O$7:$O$15,L789)</f>
        <v>7.261227535274859</v>
      </c>
      <c r="M790" s="4654">
        <f ca="1">SUMIFS(Sensitivity!$R$7:$R$15,Sensitivity!$O$7:$O$15,M789)</f>
        <v>10.301621284739729</v>
      </c>
    </row>
    <row r="791" spans="2:13" ht="14.25" thickBot="1">
      <c r="C791" s="4653" t="s">
        <v>1397</v>
      </c>
      <c r="D791" s="4656">
        <f ca="1">MIN(F791:M791)</f>
        <v>1.4057266829396537</v>
      </c>
      <c r="E791" s="4657">
        <f ca="1">AVERAGE(F791:M791)</f>
        <v>4.4594669291138933</v>
      </c>
      <c r="F791" s="4658">
        <f ca="1">SUMIFS(Sensitivity!$S$7:$S$15,Sensitivity!$O$7:$O$15,F789)</f>
        <v>1.6109090671773765</v>
      </c>
      <c r="G791" s="4658">
        <f ca="1">SUMIFS(Sensitivity!$S$7:$S$15,Sensitivity!$O$7:$O$15,G789)</f>
        <v>2.1820473062767372</v>
      </c>
      <c r="H791" s="4658">
        <f ca="1">SUMIFS(Sensitivity!$S$7:$S$15,Sensitivity!$O$7:$O$15,H789)</f>
        <v>2.0873638094812574</v>
      </c>
      <c r="I791" s="4658">
        <f ca="1">SUMIFS(Sensitivity!$S$7:$S$15,Sensitivity!$O$7:$O$15,I789)</f>
        <v>1.4057266829396537</v>
      </c>
      <c r="J791" s="4658">
        <f ca="1">SUMIFS(Sensitivity!$S$7:$S$15,Sensitivity!$O$7:$O$15,J789)</f>
        <v>1.8178923974804437</v>
      </c>
      <c r="K791" s="4658">
        <f ca="1">SUMIFS(Sensitivity!$S$7:$S$15,Sensitivity!$O$7:$O$15,K789)</f>
        <v>7.0181792893274988</v>
      </c>
      <c r="L791" s="4654">
        <f ca="1">SUMIFS(Sensitivity!$S$7:$S$15,Sensitivity!$O$7:$O$15,L789)</f>
        <v>7.7698797194719909</v>
      </c>
      <c r="M791" s="4654">
        <f ca="1">SUMIFS(Sensitivity!$S$7:$S$15,Sensitivity!$O$7:$O$15,M789)</f>
        <v>11.783737160756189</v>
      </c>
    </row>
    <row r="793" spans="2:13" ht="14.25" thickBot="1"/>
    <row r="794" spans="2:13" ht="14.25" thickBot="1">
      <c r="C794" s="4659" t="s">
        <v>48</v>
      </c>
      <c r="D794" s="4627" t="s">
        <v>5374</v>
      </c>
      <c r="E794" s="4627" t="s">
        <v>5376</v>
      </c>
      <c r="F794" s="4627" t="s">
        <v>5215</v>
      </c>
    </row>
    <row r="795" spans="2:13" ht="14.25" thickBot="1">
      <c r="C795" s="4660" t="s">
        <v>5004</v>
      </c>
      <c r="D795" s="4695">
        <f ca="1">펀드수익률!E5</f>
        <v>3.7004634737968459E-2</v>
      </c>
      <c r="E795" s="4695">
        <f ca="1">펀드수익률!D5</f>
        <v>5.1261338591575625E-2</v>
      </c>
      <c r="F795" s="4695">
        <f ca="1">펀드수익률!C5</f>
        <v>4.160479009151459E-2</v>
      </c>
    </row>
    <row r="796" spans="2:13" ht="14.25" thickBot="1">
      <c r="C796" s="4660" t="s">
        <v>5005</v>
      </c>
      <c r="D796" s="4695">
        <f ca="1">펀드수익률!E6</f>
        <v>3.8544651865959165E-2</v>
      </c>
      <c r="E796" s="4695">
        <f ca="1">펀드수익률!D6</f>
        <v>5.2786615490913402E-2</v>
      </c>
      <c r="F796" s="4695">
        <f ca="1">펀드수익률!C6</f>
        <v>4.3139651417732239E-2</v>
      </c>
    </row>
    <row r="798" spans="2:13" ht="14.25" thickBot="1">
      <c r="B798" s="498">
        <v>2</v>
      </c>
      <c r="C798" s="5245">
        <v>2.3E-2</v>
      </c>
    </row>
    <row r="799" spans="2:13" ht="15" thickTop="1" thickBot="1">
      <c r="C799" s="5232" t="s">
        <v>48</v>
      </c>
      <c r="D799" s="5233" t="s">
        <v>4988</v>
      </c>
      <c r="E799" s="5234" t="s">
        <v>4989</v>
      </c>
      <c r="F799" s="5235">
        <v>2022</v>
      </c>
      <c r="G799" s="5235">
        <v>2023</v>
      </c>
      <c r="H799" s="5235">
        <v>2024</v>
      </c>
      <c r="I799" s="5235">
        <v>2025</v>
      </c>
      <c r="J799" s="5235">
        <v>2026</v>
      </c>
      <c r="K799" s="5235">
        <v>2027</v>
      </c>
      <c r="L799" s="5235">
        <v>2028</v>
      </c>
      <c r="M799" s="5235">
        <v>2029</v>
      </c>
    </row>
    <row r="800" spans="2:13" ht="14.25" thickBot="1">
      <c r="C800" s="5236" t="s">
        <v>4990</v>
      </c>
      <c r="D800" s="5237">
        <v>1.37720770175748</v>
      </c>
      <c r="E800" s="5238">
        <v>4.2013329227651646</v>
      </c>
      <c r="F800" s="5237">
        <v>1.5727842086829662</v>
      </c>
      <c r="G800" s="5237">
        <v>2.1887988571698567</v>
      </c>
      <c r="H800" s="5237">
        <v>2.019626183285248</v>
      </c>
      <c r="I800" s="5237">
        <v>1.37720770175748</v>
      </c>
      <c r="J800" s="5237">
        <v>1.8209018750064665</v>
      </c>
      <c r="K800" s="5237">
        <v>7.043864490502914</v>
      </c>
      <c r="L800" s="5237">
        <v>7.2774292356989676</v>
      </c>
      <c r="M800" s="5237">
        <v>10.310050830017421</v>
      </c>
    </row>
    <row r="801" spans="2:13" ht="14.25" thickBot="1">
      <c r="C801" s="5236" t="s">
        <v>1397</v>
      </c>
      <c r="D801" s="5239">
        <v>1.4125222276990335</v>
      </c>
      <c r="E801" s="5240">
        <v>4.4705559470274441</v>
      </c>
      <c r="F801" s="5237">
        <v>1.6109090671773765</v>
      </c>
      <c r="G801" s="5237">
        <v>2.1887988571698567</v>
      </c>
      <c r="H801" s="5237">
        <v>2.1011689910712743</v>
      </c>
      <c r="I801" s="5237">
        <v>1.4125222276990335</v>
      </c>
      <c r="J801" s="5237">
        <v>1.8209018750064665</v>
      </c>
      <c r="K801" s="5237">
        <v>7.043864490502914</v>
      </c>
      <c r="L801" s="5237">
        <v>7.7902167883175926</v>
      </c>
      <c r="M801" s="5237">
        <v>11.796065279275036</v>
      </c>
    </row>
    <row r="802" spans="2:13">
      <c r="C802" s="5241"/>
      <c r="D802" s="5241"/>
      <c r="E802" s="5241"/>
      <c r="F802" s="5241"/>
      <c r="G802" s="5241"/>
      <c r="H802" s="5241"/>
      <c r="I802" s="5241"/>
      <c r="J802" s="5241"/>
      <c r="K802" s="5241"/>
      <c r="L802" s="5241"/>
      <c r="M802" s="5241"/>
    </row>
    <row r="803" spans="2:13" ht="14.25" thickBot="1">
      <c r="C803" s="5241"/>
      <c r="D803" s="5241"/>
      <c r="E803" s="5241"/>
      <c r="F803" s="5241"/>
      <c r="G803" s="5241"/>
      <c r="H803" s="5241"/>
      <c r="I803" s="5241"/>
      <c r="J803" s="5241"/>
      <c r="K803" s="5241"/>
      <c r="L803" s="5241"/>
      <c r="M803" s="5241"/>
    </row>
    <row r="804" spans="2:13" ht="14.25" thickBot="1">
      <c r="C804" s="5242" t="s">
        <v>48</v>
      </c>
      <c r="D804" s="5235" t="s">
        <v>5373</v>
      </c>
      <c r="E804" s="5235" t="s">
        <v>5375</v>
      </c>
      <c r="F804" s="5235" t="s">
        <v>5215</v>
      </c>
      <c r="G804" s="5241"/>
      <c r="H804" s="5241"/>
      <c r="I804" s="5241"/>
      <c r="J804" s="5241"/>
      <c r="K804" s="5241"/>
      <c r="L804" s="5241"/>
      <c r="M804" s="5241"/>
    </row>
    <row r="805" spans="2:13" ht="14.25" thickBot="1">
      <c r="C805" s="5243" t="s">
        <v>5004</v>
      </c>
      <c r="D805" s="5244">
        <v>3.7004634737968459E-2</v>
      </c>
      <c r="E805" s="5244">
        <v>4.7620818018913269E-2</v>
      </c>
      <c r="F805" s="5244">
        <v>4.0427640080451979E-2</v>
      </c>
      <c r="G805" s="5241"/>
      <c r="H805" s="5241"/>
      <c r="I805" s="5241"/>
      <c r="J805" s="5241"/>
      <c r="K805" s="5241"/>
      <c r="L805" s="5241"/>
      <c r="M805" s="5241"/>
    </row>
    <row r="806" spans="2:13" ht="14.25" thickBot="1">
      <c r="C806" s="5243" t="s">
        <v>5005</v>
      </c>
      <c r="D806" s="5244">
        <v>3.8544651865959165E-2</v>
      </c>
      <c r="E806" s="5244">
        <v>4.9145576357841489E-2</v>
      </c>
      <c r="F806" s="5244">
        <v>4.1962435841560369E-2</v>
      </c>
      <c r="G806" s="5241"/>
      <c r="H806" s="5241"/>
      <c r="I806" s="5241"/>
      <c r="J806" s="5241"/>
      <c r="K806" s="5241"/>
      <c r="L806" s="5241"/>
      <c r="M806" s="5241"/>
    </row>
    <row r="807" spans="2:13">
      <c r="C807" s="5241"/>
      <c r="D807" s="5241"/>
      <c r="E807" s="5241"/>
      <c r="F807" s="5241"/>
      <c r="G807" s="5241"/>
      <c r="H807" s="5241"/>
      <c r="I807" s="5241"/>
      <c r="J807" s="5241"/>
      <c r="K807" s="5241"/>
      <c r="L807" s="5241"/>
      <c r="M807" s="5241"/>
    </row>
    <row r="808" spans="2:13" ht="14.25" thickBot="1">
      <c r="B808" s="498">
        <v>3</v>
      </c>
      <c r="C808" s="5245">
        <v>2.4E-2</v>
      </c>
      <c r="D808" s="5241"/>
      <c r="E808" s="5241"/>
      <c r="F808" s="5241"/>
      <c r="G808" s="5241"/>
      <c r="H808" s="5241"/>
      <c r="I808" s="5241"/>
      <c r="J808" s="5241"/>
      <c r="K808" s="5241"/>
      <c r="L808" s="5241"/>
      <c r="M808" s="5241"/>
    </row>
    <row r="809" spans="2:13" ht="15" thickTop="1" thickBot="1">
      <c r="C809" s="5232" t="s">
        <v>48</v>
      </c>
      <c r="D809" s="5233" t="s">
        <v>4988</v>
      </c>
      <c r="E809" s="5234" t="s">
        <v>4989</v>
      </c>
      <c r="F809" s="5235">
        <v>2022</v>
      </c>
      <c r="G809" s="5235">
        <v>2023</v>
      </c>
      <c r="H809" s="5235">
        <v>2024</v>
      </c>
      <c r="I809" s="5235">
        <v>2025</v>
      </c>
      <c r="J809" s="5235">
        <v>2026</v>
      </c>
      <c r="K809" s="5235">
        <v>2027</v>
      </c>
      <c r="L809" s="5235">
        <v>2028</v>
      </c>
      <c r="M809" s="5235">
        <v>2029</v>
      </c>
    </row>
    <row r="810" spans="2:13" ht="14.25" thickBot="1">
      <c r="C810" s="5236" t="s">
        <v>4990</v>
      </c>
      <c r="D810" s="5237">
        <v>1.3753921692440954</v>
      </c>
      <c r="E810" s="5238">
        <v>4.1967073807430122</v>
      </c>
      <c r="F810" s="5237">
        <v>1.5727842086829662</v>
      </c>
      <c r="G810" s="5237">
        <v>2.1854178672364721</v>
      </c>
      <c r="H810" s="5237">
        <v>2.0145184322478693</v>
      </c>
      <c r="I810" s="5237">
        <v>1.3753921692440954</v>
      </c>
      <c r="J810" s="5237">
        <v>1.8193954031647468</v>
      </c>
      <c r="K810" s="5237">
        <v>7.0309975796918005</v>
      </c>
      <c r="L810" s="5237">
        <v>7.2693191423699162</v>
      </c>
      <c r="M810" s="5237">
        <v>10.305834243306229</v>
      </c>
    </row>
    <row r="811" spans="2:13" ht="14.25" thickBot="1">
      <c r="C811" s="5236" t="s">
        <v>1397</v>
      </c>
      <c r="D811" s="5239">
        <v>1.409119404451854</v>
      </c>
      <c r="E811" s="5240">
        <v>4.465002845298736</v>
      </c>
      <c r="F811" s="5237">
        <v>1.6109090671773765</v>
      </c>
      <c r="G811" s="5237">
        <v>2.1854178672364721</v>
      </c>
      <c r="H811" s="5237">
        <v>2.0942482221750125</v>
      </c>
      <c r="I811" s="5237">
        <v>1.409119404451854</v>
      </c>
      <c r="J811" s="5237">
        <v>1.8193954031647468</v>
      </c>
      <c r="K811" s="5237">
        <v>7.0309975796918005</v>
      </c>
      <c r="L811" s="5237">
        <v>7.7800366515381398</v>
      </c>
      <c r="M811" s="5237">
        <v>11.789898566954488</v>
      </c>
    </row>
    <row r="812" spans="2:13">
      <c r="C812" s="5241"/>
      <c r="D812" s="5241"/>
      <c r="E812" s="5241"/>
      <c r="F812" s="5241"/>
      <c r="G812" s="5241"/>
      <c r="H812" s="5241"/>
      <c r="I812" s="5241"/>
      <c r="J812" s="5241"/>
      <c r="K812" s="5241"/>
      <c r="L812" s="5241"/>
      <c r="M812" s="5241"/>
    </row>
    <row r="813" spans="2:13" ht="14.25" thickBot="1">
      <c r="C813" s="5241"/>
      <c r="D813" s="5241"/>
      <c r="E813" s="5241"/>
      <c r="F813" s="5241"/>
      <c r="G813" s="5241"/>
      <c r="H813" s="5241"/>
      <c r="I813" s="5241"/>
      <c r="J813" s="5241"/>
      <c r="K813" s="5241"/>
      <c r="L813" s="5241"/>
      <c r="M813" s="5241"/>
    </row>
    <row r="814" spans="2:13" ht="14.25" thickBot="1">
      <c r="C814" s="5242" t="s">
        <v>48</v>
      </c>
      <c r="D814" s="5235" t="s">
        <v>5373</v>
      </c>
      <c r="E814" s="5235" t="s">
        <v>5375</v>
      </c>
      <c r="F814" s="5235" t="s">
        <v>5215</v>
      </c>
      <c r="G814" s="5241"/>
      <c r="H814" s="5241"/>
      <c r="I814" s="5241"/>
      <c r="J814" s="5241"/>
      <c r="K814" s="5241"/>
      <c r="L814" s="5241"/>
      <c r="M814" s="5241"/>
    </row>
    <row r="815" spans="2:13" ht="14.25" thickBot="1">
      <c r="C815" s="5243" t="s">
        <v>5004</v>
      </c>
      <c r="D815" s="5244">
        <v>3.7004634737968459E-2</v>
      </c>
      <c r="E815" s="5244">
        <v>4.9442103505134602E-2</v>
      </c>
      <c r="F815" s="5244">
        <v>4.1016331315040594E-2</v>
      </c>
      <c r="G815" s="5241"/>
      <c r="H815" s="5241"/>
      <c r="I815" s="5241"/>
      <c r="J815" s="5241"/>
      <c r="K815" s="5241"/>
      <c r="L815" s="5241"/>
      <c r="M815" s="5241"/>
    </row>
    <row r="816" spans="2:13" ht="14.25" thickBot="1">
      <c r="C816" s="5243" t="s">
        <v>5005</v>
      </c>
      <c r="D816" s="5244">
        <v>3.8544651865959165E-2</v>
      </c>
      <c r="E816" s="5244">
        <v>5.0967124104499814E-2</v>
      </c>
      <c r="F816" s="5244">
        <v>4.2551162838935855E-2</v>
      </c>
      <c r="G816" s="5241"/>
      <c r="H816" s="5241"/>
      <c r="I816" s="5241"/>
      <c r="J816" s="5241"/>
      <c r="K816" s="5241"/>
      <c r="L816" s="5241"/>
      <c r="M816" s="5241"/>
    </row>
    <row r="817" spans="2:13">
      <c r="C817" s="5241"/>
      <c r="D817" s="5241"/>
      <c r="E817" s="5241"/>
      <c r="F817" s="5241"/>
      <c r="G817" s="5241"/>
      <c r="H817" s="5241"/>
      <c r="I817" s="5241"/>
      <c r="J817" s="5241"/>
      <c r="K817" s="5241"/>
      <c r="L817" s="5241"/>
      <c r="M817" s="5241"/>
    </row>
    <row r="818" spans="2:13" ht="14.25" thickBot="1">
      <c r="B818" s="498">
        <v>4</v>
      </c>
      <c r="C818" s="5245">
        <v>2.5999999999999999E-2</v>
      </c>
      <c r="D818" s="5241"/>
      <c r="E818" s="5241"/>
      <c r="F818" s="5241"/>
      <c r="G818" s="5241"/>
      <c r="H818" s="5241"/>
      <c r="I818" s="5241"/>
      <c r="J818" s="5241"/>
      <c r="K818" s="5241"/>
      <c r="L818" s="5241"/>
      <c r="M818" s="5241"/>
    </row>
    <row r="819" spans="2:13" ht="15" thickTop="1" thickBot="1">
      <c r="C819" s="5232" t="s">
        <v>48</v>
      </c>
      <c r="D819" s="5233" t="s">
        <v>4988</v>
      </c>
      <c r="E819" s="5234" t="s">
        <v>4989</v>
      </c>
      <c r="F819" s="5235">
        <v>2022</v>
      </c>
      <c r="G819" s="5235">
        <v>2023</v>
      </c>
      <c r="H819" s="5235">
        <v>2024</v>
      </c>
      <c r="I819" s="5235">
        <v>2025</v>
      </c>
      <c r="J819" s="5235">
        <v>2026</v>
      </c>
      <c r="K819" s="5235">
        <v>2027</v>
      </c>
      <c r="L819" s="5235">
        <v>2028</v>
      </c>
      <c r="M819" s="5235">
        <v>2029</v>
      </c>
    </row>
    <row r="820" spans="2:13" ht="14.25" thickBot="1">
      <c r="C820" s="5236" t="s">
        <v>4990</v>
      </c>
      <c r="D820" s="5237">
        <v>1.3717772492047984</v>
      </c>
      <c r="E820" s="5238">
        <v>4.1875000363396246</v>
      </c>
      <c r="F820" s="5237">
        <v>1.5727842086829662</v>
      </c>
      <c r="G820" s="5237">
        <v>2.1786871261112686</v>
      </c>
      <c r="H820" s="5237">
        <v>2.004383215451758</v>
      </c>
      <c r="I820" s="5237">
        <v>1.3717772492047984</v>
      </c>
      <c r="J820" s="5237">
        <v>1.8163928460046705</v>
      </c>
      <c r="K820" s="5237">
        <v>7.0054093443451606</v>
      </c>
      <c r="L820" s="5237">
        <v>7.2531543512791679</v>
      </c>
      <c r="M820" s="5237">
        <v>10.297411949637205</v>
      </c>
    </row>
    <row r="821" spans="2:13" ht="14.25" thickBot="1">
      <c r="C821" s="5236" t="s">
        <v>1397</v>
      </c>
      <c r="D821" s="5239">
        <v>1.4023440182465789</v>
      </c>
      <c r="E821" s="5240">
        <v>4.4539481044812899</v>
      </c>
      <c r="F821" s="5237">
        <v>1.6109090671773765</v>
      </c>
      <c r="G821" s="5237">
        <v>2.1786871261112686</v>
      </c>
      <c r="H821" s="5237">
        <v>2.0805154672607489</v>
      </c>
      <c r="I821" s="5237">
        <v>1.4023440182465789</v>
      </c>
      <c r="J821" s="5237">
        <v>1.8163928460046705</v>
      </c>
      <c r="K821" s="5237">
        <v>7.0054093443451606</v>
      </c>
      <c r="L821" s="5237">
        <v>7.759745912869862</v>
      </c>
      <c r="M821" s="5237">
        <v>11.777581053834648</v>
      </c>
    </row>
    <row r="822" spans="2:13">
      <c r="C822" s="5241"/>
      <c r="D822" s="5241"/>
      <c r="E822" s="5241"/>
      <c r="F822" s="5241"/>
      <c r="G822" s="5241"/>
      <c r="H822" s="5241"/>
      <c r="I822" s="5241"/>
      <c r="J822" s="5241"/>
      <c r="K822" s="5241"/>
      <c r="L822" s="5241"/>
      <c r="M822" s="5241"/>
    </row>
    <row r="823" spans="2:13" ht="14.25" thickBot="1">
      <c r="C823" s="5241"/>
      <c r="D823" s="5241"/>
      <c r="E823" s="5241"/>
      <c r="F823" s="5241"/>
      <c r="G823" s="5241"/>
      <c r="H823" s="5241"/>
      <c r="I823" s="5241"/>
      <c r="J823" s="5241"/>
      <c r="K823" s="5241"/>
      <c r="L823" s="5241"/>
      <c r="M823" s="5241"/>
    </row>
    <row r="824" spans="2:13" ht="14.25" thickBot="1">
      <c r="C824" s="5242" t="s">
        <v>48</v>
      </c>
      <c r="D824" s="5235" t="s">
        <v>5373</v>
      </c>
      <c r="E824" s="5235" t="s">
        <v>5375</v>
      </c>
      <c r="F824" s="5235" t="s">
        <v>5215</v>
      </c>
      <c r="G824" s="5241"/>
      <c r="H824" s="5241"/>
      <c r="I824" s="5241"/>
      <c r="J824" s="5241"/>
      <c r="K824" s="5241"/>
      <c r="L824" s="5241"/>
      <c r="M824" s="5241"/>
    </row>
    <row r="825" spans="2:13" ht="14.25" thickBot="1">
      <c r="C825" s="5243" t="s">
        <v>5004</v>
      </c>
      <c r="D825" s="5244">
        <v>3.7004634737968459E-2</v>
      </c>
      <c r="E825" s="5244">
        <v>5.3078535199165347E-2</v>
      </c>
      <c r="F825" s="5244">
        <v>4.2193016409873968E-2</v>
      </c>
      <c r="G825" s="5241"/>
      <c r="H825" s="5241"/>
      <c r="I825" s="5241"/>
      <c r="J825" s="5241"/>
      <c r="K825" s="5241"/>
      <c r="L825" s="5241"/>
      <c r="M825" s="5241"/>
    </row>
    <row r="826" spans="2:13" ht="14.25" thickBot="1">
      <c r="C826" s="5243" t="s">
        <v>5005</v>
      </c>
      <c r="D826" s="5244">
        <v>3.8544651865959165E-2</v>
      </c>
      <c r="E826" s="5244">
        <v>5.4604062438011164E-2</v>
      </c>
      <c r="F826" s="5244">
        <v>4.3727907538414004E-2</v>
      </c>
      <c r="G826" s="5241"/>
      <c r="H826" s="5241"/>
      <c r="I826" s="5241"/>
      <c r="J826" s="5241"/>
      <c r="K826" s="5241"/>
      <c r="L826" s="5241"/>
      <c r="M826" s="5241"/>
    </row>
    <row r="827" spans="2:13">
      <c r="C827" s="5241"/>
      <c r="D827" s="5241"/>
      <c r="E827" s="5241"/>
      <c r="F827" s="5241"/>
      <c r="G827" s="5241"/>
      <c r="H827" s="5241"/>
      <c r="I827" s="5241"/>
      <c r="J827" s="5241"/>
      <c r="K827" s="5241"/>
      <c r="L827" s="5241"/>
      <c r="M827" s="5241"/>
    </row>
    <row r="828" spans="2:13" ht="14.25" thickBot="1">
      <c r="B828" s="498">
        <v>5</v>
      </c>
      <c r="C828" s="5245">
        <v>2.7E-2</v>
      </c>
      <c r="D828" s="5241"/>
      <c r="E828" s="5241"/>
      <c r="F828" s="5241"/>
      <c r="G828" s="5241"/>
      <c r="H828" s="5241"/>
      <c r="I828" s="5241"/>
      <c r="J828" s="5241"/>
      <c r="K828" s="5241"/>
      <c r="L828" s="5241"/>
      <c r="M828" s="5241"/>
    </row>
    <row r="829" spans="2:13" ht="15" thickTop="1" thickBot="1">
      <c r="C829" s="5232" t="s">
        <v>48</v>
      </c>
      <c r="D829" s="5233" t="s">
        <v>4988</v>
      </c>
      <c r="E829" s="5234" t="s">
        <v>4989</v>
      </c>
      <c r="F829" s="5235">
        <v>2022</v>
      </c>
      <c r="G829" s="5235">
        <v>2023</v>
      </c>
      <c r="H829" s="5235">
        <v>2024</v>
      </c>
      <c r="I829" s="5235">
        <v>2025</v>
      </c>
      <c r="J829" s="5235">
        <v>2026</v>
      </c>
      <c r="K829" s="5235">
        <v>2027</v>
      </c>
      <c r="L829" s="5235">
        <v>2028</v>
      </c>
      <c r="M829" s="5235">
        <v>2029</v>
      </c>
    </row>
    <row r="830" spans="2:13" ht="14.25" thickBot="1">
      <c r="C830" s="5236" t="s">
        <v>4990</v>
      </c>
      <c r="D830" s="5237">
        <v>1.3699778138921967</v>
      </c>
      <c r="E830" s="5238">
        <v>4.1829180751287467</v>
      </c>
      <c r="F830" s="5237">
        <v>1.5727842086829662</v>
      </c>
      <c r="G830" s="5237">
        <v>2.1753372788569978</v>
      </c>
      <c r="H830" s="5237">
        <v>1.9993553301421612</v>
      </c>
      <c r="I830" s="5237">
        <v>1.3699778138921967</v>
      </c>
      <c r="J830" s="5237">
        <v>1.8148967368433981</v>
      </c>
      <c r="K830" s="5237">
        <v>6.9926874717508944</v>
      </c>
      <c r="L830" s="5237">
        <v>7.2450995275353804</v>
      </c>
      <c r="M830" s="5237">
        <v>10.293206233325982</v>
      </c>
    </row>
    <row r="831" spans="2:13" ht="14.25" thickBot="1">
      <c r="C831" s="5236" t="s">
        <v>1397</v>
      </c>
      <c r="D831" s="5239">
        <v>1.3989713657226641</v>
      </c>
      <c r="E831" s="5240">
        <v>4.4484462781651128</v>
      </c>
      <c r="F831" s="5237">
        <v>1.6109090671773765</v>
      </c>
      <c r="G831" s="5237">
        <v>2.1753372788569978</v>
      </c>
      <c r="H831" s="5237">
        <v>2.0737029127705271</v>
      </c>
      <c r="I831" s="5237">
        <v>1.3989713657226641</v>
      </c>
      <c r="J831" s="5237">
        <v>1.8148967368433981</v>
      </c>
      <c r="K831" s="5237">
        <v>6.9926874717508944</v>
      </c>
      <c r="L831" s="5237">
        <v>7.7496351528429193</v>
      </c>
      <c r="M831" s="5237">
        <v>11.771430239356125</v>
      </c>
    </row>
    <row r="832" spans="2:13">
      <c r="C832" s="5241"/>
      <c r="D832" s="5241"/>
      <c r="E832" s="5241"/>
      <c r="F832" s="5241"/>
      <c r="G832" s="5241"/>
      <c r="H832" s="5241"/>
      <c r="I832" s="5241"/>
      <c r="J832" s="5241"/>
      <c r="K832" s="5241"/>
      <c r="L832" s="5241"/>
      <c r="M832" s="5241"/>
    </row>
    <row r="833" spans="2:13" ht="14.25" thickBot="1">
      <c r="C833" s="5241"/>
      <c r="D833" s="5241"/>
      <c r="E833" s="5241"/>
      <c r="F833" s="5241"/>
      <c r="G833" s="5241"/>
      <c r="H833" s="5241"/>
      <c r="I833" s="5241"/>
      <c r="J833" s="5241"/>
      <c r="K833" s="5241"/>
      <c r="L833" s="5241"/>
      <c r="M833" s="5241"/>
    </row>
    <row r="834" spans="2:13" ht="14.25" thickBot="1">
      <c r="C834" s="5242" t="s">
        <v>48</v>
      </c>
      <c r="D834" s="5235" t="s">
        <v>5373</v>
      </c>
      <c r="E834" s="5235" t="s">
        <v>5375</v>
      </c>
      <c r="F834" s="5235" t="s">
        <v>5215</v>
      </c>
      <c r="G834" s="5241"/>
      <c r="H834" s="5241"/>
      <c r="I834" s="5241"/>
      <c r="J834" s="5241"/>
      <c r="K834" s="5241"/>
      <c r="L834" s="5241"/>
      <c r="M834" s="5241"/>
    </row>
    <row r="835" spans="2:13" ht="14.25" thickBot="1">
      <c r="C835" s="5243" t="s">
        <v>5004</v>
      </c>
      <c r="D835" s="5244">
        <v>3.7004634737968459E-2</v>
      </c>
      <c r="E835" s="5244">
        <v>5.4893693327903753E-2</v>
      </c>
      <c r="F835" s="5244">
        <v>4.2781010270118713E-2</v>
      </c>
      <c r="G835" s="5241"/>
      <c r="H835" s="5241"/>
      <c r="I835" s="5241"/>
      <c r="J835" s="5241"/>
      <c r="K835" s="5241"/>
      <c r="L835" s="5241"/>
      <c r="M835" s="5241"/>
    </row>
    <row r="836" spans="2:13" ht="14.25" thickBot="1">
      <c r="C836" s="5243" t="s">
        <v>5005</v>
      </c>
      <c r="D836" s="5244">
        <v>3.8544651865959165E-2</v>
      </c>
      <c r="E836" s="5244">
        <v>5.6419470906257624E-2</v>
      </c>
      <c r="F836" s="5244">
        <v>4.4315931200981151E-2</v>
      </c>
      <c r="G836" s="5241"/>
      <c r="H836" s="5241"/>
      <c r="I836" s="5241"/>
      <c r="J836" s="5241"/>
      <c r="K836" s="5241"/>
      <c r="L836" s="5241"/>
      <c r="M836" s="5241"/>
    </row>
    <row r="838" spans="2:13">
      <c r="B838" s="498" t="s">
        <v>5010</v>
      </c>
    </row>
    <row r="839" spans="2:13" ht="14.25" thickBot="1">
      <c r="D839" s="498">
        <v>2</v>
      </c>
      <c r="E839" s="498">
        <v>3</v>
      </c>
      <c r="F839" s="498">
        <v>1</v>
      </c>
      <c r="G839" s="498">
        <v>4</v>
      </c>
      <c r="H839" s="498">
        <v>5</v>
      </c>
      <c r="J839" s="498">
        <v>7</v>
      </c>
      <c r="K839" s="498">
        <v>8</v>
      </c>
    </row>
    <row r="840" spans="2:13">
      <c r="C840" s="5496" t="s">
        <v>48</v>
      </c>
      <c r="D840" s="4697" t="s">
        <v>5006</v>
      </c>
      <c r="E840" s="4697" t="s">
        <v>5006</v>
      </c>
      <c r="F840" s="4697" t="s">
        <v>5006</v>
      </c>
      <c r="G840" s="4697" t="s">
        <v>5006</v>
      </c>
      <c r="H840" s="4697" t="s">
        <v>5006</v>
      </c>
      <c r="J840" s="4697" t="s">
        <v>95</v>
      </c>
      <c r="K840" s="4697" t="s">
        <v>95</v>
      </c>
    </row>
    <row r="841" spans="2:13" ht="14.25" thickBot="1">
      <c r="C841" s="5497"/>
      <c r="D841" s="4698">
        <v>2.3E-2</v>
      </c>
      <c r="E841" s="4698">
        <v>2.4E-2</v>
      </c>
      <c r="F841" s="4698">
        <v>2.5000000000000001E-2</v>
      </c>
      <c r="G841" s="4698">
        <v>2.5999999999999999E-2</v>
      </c>
      <c r="H841" s="4698">
        <v>2.7E-2</v>
      </c>
      <c r="J841" s="4698">
        <v>0.95</v>
      </c>
      <c r="K841" s="4698">
        <v>0.9</v>
      </c>
    </row>
    <row r="842" spans="2:13" ht="14.25" thickBot="1">
      <c r="C842" s="4660" t="s">
        <v>5007</v>
      </c>
      <c r="D842" s="4654">
        <f>D800</f>
        <v>1.37720770175748</v>
      </c>
      <c r="E842" s="4654">
        <f>D810</f>
        <v>1.3753921692440954</v>
      </c>
      <c r="F842" s="4654">
        <f ca="1">D650</f>
        <v>1.3735820263812935</v>
      </c>
      <c r="G842" s="4654">
        <f>D820</f>
        <v>1.3717772492047984</v>
      </c>
      <c r="H842" s="4654">
        <f>D830</f>
        <v>1.3699778138921967</v>
      </c>
      <c r="J842" s="4654">
        <f>민감도!M127</f>
        <v>1.3557986985952881</v>
      </c>
      <c r="K842" s="4654">
        <f>민감도!N127</f>
        <v>1.3347433792567578</v>
      </c>
    </row>
    <row r="843" spans="2:13" ht="14.25" thickBot="1">
      <c r="C843" s="4660" t="s">
        <v>5008</v>
      </c>
      <c r="D843" s="4654">
        <f>D801</f>
        <v>1.4125222276990335</v>
      </c>
      <c r="E843" s="4654">
        <f>D811</f>
        <v>1.409119404451854</v>
      </c>
      <c r="F843" s="4654">
        <f ca="1">D651</f>
        <v>1.4057266829396537</v>
      </c>
      <c r="G843" s="4654">
        <f>D821</f>
        <v>1.4023440182465789</v>
      </c>
      <c r="H843" s="4654">
        <f>D831</f>
        <v>1.3989713657226641</v>
      </c>
      <c r="J843" s="4654">
        <f>민감도!M126</f>
        <v>1.4277763235695149</v>
      </c>
      <c r="K843" s="4654">
        <f>민감도!N126</f>
        <v>1.4428527637092587</v>
      </c>
    </row>
    <row r="844" spans="2:13" ht="15" thickBot="1">
      <c r="B844" s="498">
        <v>107</v>
      </c>
      <c r="C844" s="4660" t="s">
        <v>5009</v>
      </c>
      <c r="D844" s="4695">
        <f>민감도!H100</f>
        <v>4.1962435841560369E-2</v>
      </c>
      <c r="E844" s="4695">
        <f>민감도!I100</f>
        <v>4.2551162838935855E-2</v>
      </c>
      <c r="F844" s="4695">
        <f>민감도!G100</f>
        <v>4.3139651417732239E-2</v>
      </c>
      <c r="G844" s="4695">
        <f>민감도!J100</f>
        <v>4.3727907538414004E-2</v>
      </c>
      <c r="H844" s="4695">
        <f>민감도!K100</f>
        <v>4.4315931200981151E-2</v>
      </c>
      <c r="J844" s="4695">
        <f>민감도!M100</f>
        <v>4.3139651417732239E-2</v>
      </c>
      <c r="K844" s="4695">
        <f>민감도!N100</f>
        <v>4.3139651417732239E-2</v>
      </c>
    </row>
    <row r="845" spans="2:13" ht="15.75" thickBot="1">
      <c r="B845" s="498">
        <v>101</v>
      </c>
      <c r="C845" s="5259" t="s">
        <v>5232</v>
      </c>
      <c r="D845" s="4695">
        <f>민감도!H101</f>
        <v>3.8544651865959165E-2</v>
      </c>
      <c r="E845" s="4695">
        <f>민감도!I101</f>
        <v>3.8544651865959165E-2</v>
      </c>
      <c r="F845" s="4695">
        <f>민감도!G101</f>
        <v>3.8544651865959165E-2</v>
      </c>
      <c r="G845" s="4695">
        <f>민감도!J101</f>
        <v>3.8544651865959165E-2</v>
      </c>
      <c r="H845" s="4695">
        <f>민감도!K101</f>
        <v>3.8544651865959165E-2</v>
      </c>
      <c r="J845" s="4695">
        <f>민감도!M101</f>
        <v>3.8544651865959165E-2</v>
      </c>
      <c r="K845" s="4695">
        <f>민감도!N101</f>
        <v>3.8544651865959165E-2</v>
      </c>
    </row>
    <row r="846" spans="2:13" ht="15.75" thickBot="1">
      <c r="B846" s="498">
        <v>102</v>
      </c>
      <c r="C846" s="4636" t="s">
        <v>5233</v>
      </c>
      <c r="D846" s="4695">
        <f>민감도!H102</f>
        <v>4.9145576357841489E-2</v>
      </c>
      <c r="E846" s="4695">
        <f>민감도!I102</f>
        <v>5.0967124104499814E-2</v>
      </c>
      <c r="F846" s="4695">
        <f>민감도!G102</f>
        <v>5.2786615490913402E-2</v>
      </c>
      <c r="G846" s="4695">
        <f>민감도!J102</f>
        <v>5.4604062438011164E-2</v>
      </c>
      <c r="H846" s="4695">
        <f>민감도!K102</f>
        <v>5.6419470906257624E-2</v>
      </c>
      <c r="J846" s="4695">
        <f>민감도!M102</f>
        <v>5.2786615490913402E-2</v>
      </c>
      <c r="K846" s="4695">
        <f>민감도!N102</f>
        <v>5.2786615490913402E-2</v>
      </c>
    </row>
    <row r="847" spans="2:13" ht="14.25" thickBot="1">
      <c r="B847" s="498">
        <v>124</v>
      </c>
      <c r="C847" s="4637" t="s">
        <v>5234</v>
      </c>
      <c r="D847" s="4726">
        <f>민감도!H118</f>
        <v>377.25635188078053</v>
      </c>
      <c r="E847" s="4726">
        <f>민감도!I118</f>
        <v>378.39635188078051</v>
      </c>
      <c r="F847" s="4726">
        <f>민감도!G118</f>
        <v>379.5363518807805</v>
      </c>
      <c r="G847" s="4726">
        <f>민감도!J118</f>
        <v>380.67635188078054</v>
      </c>
      <c r="H847" s="4726">
        <f>민감도!K118</f>
        <v>381.81635188078053</v>
      </c>
      <c r="J847" s="4726">
        <f>민감도!M118</f>
        <v>381.44635188078053</v>
      </c>
      <c r="K847" s="4726">
        <f>민감도!N118</f>
        <v>395.5363518807805</v>
      </c>
    </row>
    <row r="848" spans="2:13" ht="15" thickTop="1" thickBot="1">
      <c r="B848" s="498">
        <v>110</v>
      </c>
      <c r="C848" s="4637" t="s">
        <v>5235</v>
      </c>
      <c r="D848" s="5260">
        <f>민감도!H106</f>
        <v>0</v>
      </c>
      <c r="E848" s="5260">
        <f>민감도!I106</f>
        <v>0</v>
      </c>
      <c r="F848" s="5260">
        <f>민감도!G106</f>
        <v>0</v>
      </c>
      <c r="G848" s="5260">
        <f>민감도!J106</f>
        <v>0</v>
      </c>
      <c r="H848" s="5260">
        <f>민감도!K106</f>
        <v>0</v>
      </c>
      <c r="J848" s="5260">
        <f>민감도!M106</f>
        <v>0</v>
      </c>
      <c r="K848" s="5260">
        <f>민감도!N106</f>
        <v>0</v>
      </c>
    </row>
    <row r="849" spans="2:13" ht="14.25" thickTop="1"/>
    <row r="851" spans="2:13">
      <c r="B851" s="498" t="s">
        <v>5037</v>
      </c>
    </row>
    <row r="852" spans="2:13" ht="14.25" thickBot="1">
      <c r="C852" s="5241"/>
      <c r="D852" s="5241"/>
      <c r="E852" s="5241"/>
      <c r="F852" s="5241"/>
      <c r="G852" s="5241"/>
      <c r="H852" s="5241"/>
      <c r="I852" s="5241"/>
      <c r="J852" s="5241"/>
      <c r="K852" s="5241"/>
      <c r="L852" s="5241"/>
      <c r="M852" s="5241"/>
    </row>
    <row r="853" spans="2:13" ht="14.25" thickBot="1">
      <c r="C853" s="5246" t="s">
        <v>1409</v>
      </c>
      <c r="D853" s="5247">
        <v>2022</v>
      </c>
      <c r="E853" s="5247">
        <v>2023</v>
      </c>
      <c r="F853" s="5247">
        <v>2024</v>
      </c>
      <c r="G853" s="5247">
        <v>2025</v>
      </c>
      <c r="H853" s="5247">
        <v>2026</v>
      </c>
      <c r="I853" s="5247">
        <v>2027</v>
      </c>
      <c r="J853" s="5247">
        <v>2028</v>
      </c>
      <c r="K853" s="5247">
        <v>2029</v>
      </c>
      <c r="L853" s="5247">
        <v>2030</v>
      </c>
      <c r="M853" s="5247">
        <v>2031</v>
      </c>
    </row>
    <row r="854" spans="2:13" ht="14.25" thickBot="1">
      <c r="C854" s="5248" t="s">
        <v>5027</v>
      </c>
      <c r="D854" s="5249">
        <v>71388</v>
      </c>
      <c r="E854" s="5249">
        <v>73344.031200000012</v>
      </c>
      <c r="F854" s="5249">
        <v>75353.657654880022</v>
      </c>
      <c r="G854" s="5249">
        <v>75353.657654880022</v>
      </c>
      <c r="H854" s="5249">
        <v>75353.657654880022</v>
      </c>
      <c r="I854" s="5249">
        <v>75353.657654880022</v>
      </c>
      <c r="J854" s="5249">
        <v>79121.340537624026</v>
      </c>
      <c r="K854" s="5249">
        <v>79121.340537624026</v>
      </c>
      <c r="L854" s="5249">
        <v>79121.340537624026</v>
      </c>
      <c r="M854" s="5249">
        <v>79121.340537624026</v>
      </c>
    </row>
    <row r="855" spans="2:13" ht="14.25" thickBot="1">
      <c r="C855" s="5248" t="s">
        <v>5015</v>
      </c>
      <c r="D855" s="5250">
        <v>6.7986228632201495E-2</v>
      </c>
      <c r="E855" s="5250">
        <v>2.7400000000000091E-2</v>
      </c>
      <c r="F855" s="5250">
        <v>2.7400000000000091E-2</v>
      </c>
      <c r="G855" s="5250">
        <v>0</v>
      </c>
      <c r="H855" s="5250">
        <v>0</v>
      </c>
      <c r="I855" s="5250">
        <v>0</v>
      </c>
      <c r="J855" s="5250">
        <v>5.0000000000000044E-2</v>
      </c>
      <c r="K855" s="5250">
        <v>0</v>
      </c>
      <c r="L855" s="5250">
        <v>0</v>
      </c>
      <c r="M855" s="5250">
        <v>0</v>
      </c>
    </row>
    <row r="856" spans="2:13" ht="14.25" thickBot="1">
      <c r="C856" s="5246" t="s">
        <v>1409</v>
      </c>
      <c r="D856" s="5251">
        <v>2032</v>
      </c>
      <c r="E856" s="5251">
        <v>2033</v>
      </c>
      <c r="F856" s="5251">
        <v>2034</v>
      </c>
      <c r="G856" s="5251">
        <v>2035</v>
      </c>
      <c r="H856" s="5251">
        <v>2036</v>
      </c>
      <c r="I856" s="5251">
        <v>2037</v>
      </c>
      <c r="J856" s="5251">
        <v>2038</v>
      </c>
      <c r="K856" s="5251">
        <v>2039</v>
      </c>
      <c r="L856" s="5251">
        <v>2040</v>
      </c>
      <c r="M856" s="5251">
        <v>2041</v>
      </c>
    </row>
    <row r="857" spans="2:13" ht="14.25" thickBot="1">
      <c r="C857" s="5248" t="s">
        <v>5027</v>
      </c>
      <c r="D857" s="5249">
        <v>79121.340537624026</v>
      </c>
      <c r="E857" s="5249">
        <v>83077.407564505236</v>
      </c>
      <c r="F857" s="5249">
        <v>83077.407564505236</v>
      </c>
      <c r="G857" s="5249">
        <v>83077.407564505236</v>
      </c>
      <c r="H857" s="5249">
        <v>83077.407564505236</v>
      </c>
      <c r="I857" s="5249">
        <v>83077.407564505236</v>
      </c>
      <c r="J857" s="5249">
        <v>87231.277942730507</v>
      </c>
      <c r="K857" s="5249">
        <v>87231.277942730507</v>
      </c>
      <c r="L857" s="5249">
        <v>87231.277942730507</v>
      </c>
      <c r="M857" s="5249">
        <v>87231.277942730507</v>
      </c>
    </row>
    <row r="858" spans="2:13" ht="14.25" thickBot="1">
      <c r="C858" s="5248" t="s">
        <v>5015</v>
      </c>
      <c r="D858" s="5250">
        <v>0</v>
      </c>
      <c r="E858" s="5250">
        <v>5.0000000000000044E-2</v>
      </c>
      <c r="F858" s="5250">
        <v>0</v>
      </c>
      <c r="G858" s="5250">
        <v>0</v>
      </c>
      <c r="H858" s="5250">
        <v>0</v>
      </c>
      <c r="I858" s="5250">
        <v>0</v>
      </c>
      <c r="J858" s="5250">
        <v>5.0000000000000044E-2</v>
      </c>
      <c r="K858" s="5250">
        <v>0</v>
      </c>
      <c r="L858" s="5250">
        <v>0</v>
      </c>
      <c r="M858" s="5250">
        <v>0</v>
      </c>
    </row>
    <row r="859" spans="2:13" ht="14.25" thickBot="1">
      <c r="C859" s="5246" t="s">
        <v>1409</v>
      </c>
      <c r="D859" s="5251">
        <v>2042</v>
      </c>
      <c r="E859" s="5251">
        <v>2043</v>
      </c>
      <c r="F859" s="5251">
        <v>2044</v>
      </c>
      <c r="G859" s="5251">
        <v>2045</v>
      </c>
      <c r="H859" s="5251">
        <v>2046</v>
      </c>
      <c r="I859" s="5251">
        <v>2047</v>
      </c>
      <c r="J859" s="5251">
        <v>2048</v>
      </c>
      <c r="K859" s="5251">
        <v>2049</v>
      </c>
      <c r="L859" s="5251">
        <v>2050</v>
      </c>
      <c r="M859" s="5251">
        <v>2051</v>
      </c>
    </row>
    <row r="860" spans="2:13" ht="14.25" thickBot="1">
      <c r="C860" s="5248" t="s">
        <v>5027</v>
      </c>
      <c r="D860" s="5249">
        <v>87231.277942730507</v>
      </c>
      <c r="E860" s="5249">
        <v>91592.841839867033</v>
      </c>
      <c r="F860" s="5249">
        <v>91592.841839867033</v>
      </c>
      <c r="G860" s="5249">
        <v>91592.841839867033</v>
      </c>
      <c r="H860" s="5249">
        <v>91592.841839867033</v>
      </c>
      <c r="I860" s="5249">
        <v>91592.841839867033</v>
      </c>
      <c r="J860" s="5249">
        <v>96172.483931860392</v>
      </c>
      <c r="K860" s="5249">
        <v>96172.483931860392</v>
      </c>
      <c r="L860" s="5249">
        <v>96172.483931860392</v>
      </c>
      <c r="M860" s="5249">
        <v>96172.483931860392</v>
      </c>
    </row>
    <row r="861" spans="2:13" ht="14.25" thickBot="1">
      <c r="C861" s="5248" t="s">
        <v>5015</v>
      </c>
      <c r="D861" s="5250">
        <v>0</v>
      </c>
      <c r="E861" s="5250">
        <v>5.0000000000000044E-2</v>
      </c>
      <c r="F861" s="5250">
        <v>0</v>
      </c>
      <c r="G861" s="5250">
        <v>0</v>
      </c>
      <c r="H861" s="5250">
        <v>0</v>
      </c>
      <c r="I861" s="5250">
        <v>0</v>
      </c>
      <c r="J861" s="5250">
        <v>5.0000000000000044E-2</v>
      </c>
      <c r="K861" s="5250">
        <v>0</v>
      </c>
      <c r="L861" s="5250">
        <v>0</v>
      </c>
      <c r="M861" s="5250">
        <v>0</v>
      </c>
    </row>
    <row r="862" spans="2:13" ht="14.25" thickBot="1">
      <c r="C862" s="5246" t="s">
        <v>1409</v>
      </c>
      <c r="D862" s="5251">
        <v>2052</v>
      </c>
      <c r="E862" s="5251">
        <v>2053</v>
      </c>
      <c r="F862" s="5251">
        <v>2054</v>
      </c>
      <c r="G862" s="5251">
        <v>2055</v>
      </c>
      <c r="H862" s="5251">
        <v>2056</v>
      </c>
      <c r="I862" s="5251">
        <v>2057</v>
      </c>
      <c r="J862" s="5251">
        <v>2058</v>
      </c>
      <c r="K862" s="5251">
        <v>2059</v>
      </c>
      <c r="L862" s="5251"/>
      <c r="M862" s="5251"/>
    </row>
    <row r="863" spans="2:13" ht="14.25" thickBot="1">
      <c r="C863" s="5248" t="s">
        <v>5027</v>
      </c>
      <c r="D863" s="5249">
        <v>96172.483931860392</v>
      </c>
      <c r="E863" s="5249">
        <v>100981.10812845342</v>
      </c>
      <c r="F863" s="5249">
        <v>100981.10812845342</v>
      </c>
      <c r="G863" s="5249">
        <v>100981.10812845342</v>
      </c>
      <c r="H863" s="5249">
        <v>100981.10812845342</v>
      </c>
      <c r="I863" s="5249">
        <v>100981.10812845342</v>
      </c>
      <c r="J863" s="5249">
        <v>106030.16353487609</v>
      </c>
      <c r="K863" s="5249">
        <v>106030.16353487609</v>
      </c>
      <c r="L863" s="5252"/>
      <c r="M863" s="5252"/>
    </row>
    <row r="864" spans="2:13" ht="14.25" thickBot="1">
      <c r="C864" s="5248" t="s">
        <v>5015</v>
      </c>
      <c r="D864" s="5250">
        <v>0</v>
      </c>
      <c r="E864" s="5250">
        <v>5.0000000000000044E-2</v>
      </c>
      <c r="F864" s="5250">
        <v>0</v>
      </c>
      <c r="G864" s="5250">
        <v>0</v>
      </c>
      <c r="H864" s="5250">
        <v>0</v>
      </c>
      <c r="I864" s="5250">
        <v>0</v>
      </c>
      <c r="J864" s="5250">
        <v>5.0000000000000044E-2</v>
      </c>
      <c r="K864" s="5250">
        <v>0</v>
      </c>
      <c r="L864" s="5250"/>
      <c r="M864" s="5250"/>
    </row>
    <row r="865" spans="2:14">
      <c r="C865" s="5241"/>
      <c r="D865" s="5241"/>
      <c r="E865" s="5241"/>
      <c r="F865" s="5241"/>
      <c r="G865" s="5241"/>
      <c r="H865" s="5241"/>
      <c r="I865" s="5241"/>
      <c r="J865" s="5241"/>
      <c r="K865" s="5241"/>
      <c r="L865" s="5241"/>
      <c r="M865" s="5241"/>
    </row>
    <row r="867" spans="2:14">
      <c r="B867" s="498">
        <v>6</v>
      </c>
      <c r="C867" s="498" t="s">
        <v>5038</v>
      </c>
    </row>
    <row r="868" spans="2:14" ht="14.25" thickBot="1"/>
    <row r="869" spans="2:14" ht="15" thickTop="1" thickBot="1">
      <c r="C869" s="5232" t="s">
        <v>48</v>
      </c>
      <c r="D869" s="5233" t="s">
        <v>4988</v>
      </c>
      <c r="E869" s="5234" t="s">
        <v>4989</v>
      </c>
      <c r="F869" s="5235">
        <v>2022</v>
      </c>
      <c r="G869" s="5235">
        <v>2023</v>
      </c>
      <c r="H869" s="5235">
        <v>2024</v>
      </c>
      <c r="I869" s="5235">
        <v>2025</v>
      </c>
      <c r="J869" s="5235">
        <v>2026</v>
      </c>
      <c r="K869" s="5235">
        <v>2027</v>
      </c>
      <c r="L869" s="5235">
        <v>2028</v>
      </c>
      <c r="M869" s="5235">
        <v>2029</v>
      </c>
      <c r="N869" s="5241"/>
    </row>
    <row r="870" spans="2:14" ht="14.25" thickBot="1">
      <c r="C870" s="5236" t="s">
        <v>4990</v>
      </c>
      <c r="D870" s="5237">
        <v>1.3735820263812935</v>
      </c>
      <c r="E870" s="5238">
        <v>4.2056645860307134</v>
      </c>
      <c r="F870" s="5237">
        <v>1.5727842086829662</v>
      </c>
      <c r="G870" s="5237">
        <v>2.1820473062767372</v>
      </c>
      <c r="H870" s="5237">
        <v>2.0094375132625144</v>
      </c>
      <c r="I870" s="5237">
        <v>1.3735820263812935</v>
      </c>
      <c r="J870" s="5237">
        <v>1.8178923974804437</v>
      </c>
      <c r="K870" s="5237">
        <v>6.8335402098986471</v>
      </c>
      <c r="L870" s="5237">
        <v>7.4565300126297878</v>
      </c>
      <c r="M870" s="5237">
        <v>10.39950301363332</v>
      </c>
      <c r="N870" s="5241"/>
    </row>
    <row r="871" spans="2:14" ht="14.25" thickBot="1">
      <c r="C871" s="5236" t="s">
        <v>1397</v>
      </c>
      <c r="D871" s="5239">
        <v>1.4057266829396537</v>
      </c>
      <c r="E871" s="5240">
        <v>4.4559773711792205</v>
      </c>
      <c r="F871" s="5237">
        <v>1.6109090671773765</v>
      </c>
      <c r="G871" s="5237">
        <v>2.1820473062767372</v>
      </c>
      <c r="H871" s="5237">
        <v>2.0873638094812574</v>
      </c>
      <c r="I871" s="5237">
        <v>1.4057266829396537</v>
      </c>
      <c r="J871" s="5237">
        <v>1.8178923974804437</v>
      </c>
      <c r="K871" s="5237">
        <v>6.8335402098986471</v>
      </c>
      <c r="L871" s="5237">
        <v>7.7728010626210438</v>
      </c>
      <c r="M871" s="5237">
        <v>11.937538433558606</v>
      </c>
      <c r="N871" s="5241"/>
    </row>
    <row r="872" spans="2:14">
      <c r="C872" s="5241"/>
      <c r="D872" s="5241"/>
      <c r="E872" s="5241"/>
      <c r="F872" s="5241"/>
      <c r="G872" s="5241"/>
      <c r="H872" s="5241"/>
      <c r="I872" s="5241"/>
      <c r="J872" s="5241"/>
      <c r="K872" s="5241"/>
      <c r="L872" s="5241"/>
      <c r="M872" s="5241"/>
      <c r="N872" s="5241"/>
    </row>
    <row r="873" spans="2:14" ht="14.25" thickBot="1">
      <c r="C873" s="5241"/>
      <c r="D873" s="5241"/>
      <c r="E873" s="5241"/>
      <c r="F873" s="5241"/>
      <c r="G873" s="5241"/>
      <c r="H873" s="5241"/>
      <c r="I873" s="5241"/>
      <c r="J873" s="5241"/>
      <c r="K873" s="5241"/>
      <c r="L873" s="5241"/>
      <c r="M873" s="5241"/>
      <c r="N873" s="5241"/>
    </row>
    <row r="874" spans="2:14" ht="14.25" thickBot="1">
      <c r="C874" s="5242" t="s">
        <v>48</v>
      </c>
      <c r="D874" s="5235" t="s">
        <v>5373</v>
      </c>
      <c r="E874" s="5235" t="s">
        <v>5375</v>
      </c>
      <c r="F874" s="5235" t="s">
        <v>5215</v>
      </c>
      <c r="G874" s="5241"/>
      <c r="H874" s="5241"/>
      <c r="I874" s="5241"/>
      <c r="J874" s="5241"/>
      <c r="K874" s="5241"/>
      <c r="L874" s="5241"/>
      <c r="M874" s="5241"/>
      <c r="N874" s="5241"/>
    </row>
    <row r="875" spans="2:14" ht="14.25" thickBot="1">
      <c r="C875" s="5243" t="s">
        <v>5004</v>
      </c>
      <c r="D875" s="5244">
        <v>3.7004634737968459E-2</v>
      </c>
      <c r="E875" s="5244">
        <v>5.1261338591575625E-2</v>
      </c>
      <c r="F875" s="5244">
        <v>4.160479009151459E-2</v>
      </c>
      <c r="G875" s="5241"/>
      <c r="H875" s="5241"/>
      <c r="I875" s="5241"/>
      <c r="J875" s="5241"/>
      <c r="K875" s="5241"/>
      <c r="L875" s="5241"/>
      <c r="M875" s="5241"/>
      <c r="N875" s="5241"/>
    </row>
    <row r="876" spans="2:14" ht="14.25" thickBot="1">
      <c r="C876" s="5243" t="s">
        <v>5005</v>
      </c>
      <c r="D876" s="5244">
        <v>3.8544651865959165E-2</v>
      </c>
      <c r="E876" s="5244">
        <v>5.2786615490913402E-2</v>
      </c>
      <c r="F876" s="5244">
        <v>4.3139651417732239E-2</v>
      </c>
      <c r="G876" s="5241"/>
      <c r="H876" s="5241"/>
      <c r="I876" s="5241"/>
      <c r="J876" s="5241"/>
      <c r="K876" s="5241"/>
      <c r="L876" s="5241"/>
      <c r="M876" s="5241"/>
      <c r="N876" s="5241"/>
    </row>
    <row r="877" spans="2:14">
      <c r="C877" s="5241"/>
      <c r="D877" s="5241"/>
      <c r="E877" s="5241"/>
      <c r="F877" s="5241"/>
      <c r="G877" s="5241"/>
      <c r="H877" s="5241"/>
      <c r="I877" s="5241"/>
      <c r="J877" s="5241"/>
      <c r="K877" s="5241"/>
      <c r="L877" s="5241"/>
      <c r="M877" s="5241"/>
      <c r="N877" s="5241"/>
    </row>
    <row r="878" spans="2:14">
      <c r="C878" s="5241"/>
      <c r="D878" s="5241"/>
      <c r="E878" s="5241"/>
      <c r="F878" s="5241"/>
      <c r="G878" s="5241"/>
      <c r="H878" s="5241"/>
      <c r="I878" s="5241"/>
      <c r="J878" s="5241"/>
      <c r="K878" s="5241"/>
      <c r="L878" s="5241"/>
      <c r="M878" s="5241"/>
    </row>
    <row r="880" spans="2:14">
      <c r="B880" s="498">
        <v>7</v>
      </c>
      <c r="C880" s="498" t="s">
        <v>5120</v>
      </c>
    </row>
    <row r="881" spans="3:13" ht="14.25" thickBot="1"/>
    <row r="882" spans="3:13" ht="14.25" thickBot="1">
      <c r="C882" s="5246" t="s">
        <v>1409</v>
      </c>
      <c r="D882" s="5247">
        <v>2022</v>
      </c>
      <c r="E882" s="5247">
        <v>2023</v>
      </c>
      <c r="F882" s="5247">
        <v>2024</v>
      </c>
      <c r="G882" s="5247">
        <v>2025</v>
      </c>
      <c r="H882" s="5247">
        <v>2026</v>
      </c>
      <c r="I882" s="5247">
        <v>2027</v>
      </c>
      <c r="J882" s="5247">
        <v>2028</v>
      </c>
      <c r="K882" s="5247">
        <v>2029</v>
      </c>
      <c r="L882" s="5247">
        <v>2030</v>
      </c>
      <c r="M882" s="5247">
        <v>2031</v>
      </c>
    </row>
    <row r="883" spans="3:13" ht="14.25" thickBot="1">
      <c r="C883" s="5248" t="s">
        <v>5014</v>
      </c>
      <c r="D883" s="5252">
        <v>294.5</v>
      </c>
      <c r="E883" s="5252">
        <v>304</v>
      </c>
      <c r="F883" s="5252">
        <v>313.5</v>
      </c>
      <c r="G883" s="5252">
        <v>323</v>
      </c>
      <c r="H883" s="5252">
        <v>332.5</v>
      </c>
      <c r="I883" s="5252">
        <v>342</v>
      </c>
      <c r="J883" s="5252">
        <v>351.5</v>
      </c>
      <c r="K883" s="5252">
        <v>361</v>
      </c>
      <c r="L883" s="5252">
        <v>370.5</v>
      </c>
      <c r="M883" s="5252">
        <v>374.3</v>
      </c>
    </row>
    <row r="884" spans="3:13" ht="14.25" thickBot="1">
      <c r="C884" s="5248" t="s">
        <v>5015</v>
      </c>
      <c r="D884" s="5250">
        <v>-6.340240939332642E-2</v>
      </c>
      <c r="E884" s="5250">
        <v>3.2258064516129004E-2</v>
      </c>
      <c r="F884" s="5250">
        <v>3.125E-2</v>
      </c>
      <c r="G884" s="5250">
        <v>3.0303030303030276E-2</v>
      </c>
      <c r="H884" s="5250">
        <v>2.9411764705882248E-2</v>
      </c>
      <c r="I884" s="5250">
        <v>2.857142857142847E-2</v>
      </c>
      <c r="J884" s="5250">
        <v>2.7777777777777679E-2</v>
      </c>
      <c r="K884" s="5250">
        <v>2.7027027027026973E-2</v>
      </c>
      <c r="L884" s="5250">
        <v>2.6315789473684292E-2</v>
      </c>
      <c r="M884" s="5250">
        <v>1.025641025641022E-2</v>
      </c>
    </row>
    <row r="885" spans="3:13" ht="14.25" thickBot="1">
      <c r="C885" s="5248" t="s">
        <v>1409</v>
      </c>
      <c r="D885" s="5251">
        <v>2032</v>
      </c>
      <c r="E885" s="5251">
        <v>2033</v>
      </c>
      <c r="F885" s="5251">
        <v>2034</v>
      </c>
      <c r="G885" s="5251">
        <v>2035</v>
      </c>
      <c r="H885" s="5251">
        <v>2036</v>
      </c>
      <c r="I885" s="5251">
        <v>2037</v>
      </c>
      <c r="J885" s="5251">
        <v>2038</v>
      </c>
      <c r="K885" s="5251">
        <v>2039</v>
      </c>
      <c r="L885" s="5251">
        <v>2040</v>
      </c>
      <c r="M885" s="5251">
        <v>2041</v>
      </c>
    </row>
    <row r="886" spans="3:13" ht="14.25" thickBot="1">
      <c r="C886" s="5248" t="s">
        <v>5014</v>
      </c>
      <c r="D886" s="5252">
        <v>378.1</v>
      </c>
      <c r="E886" s="5252">
        <v>381.9</v>
      </c>
      <c r="F886" s="5252">
        <v>385.7</v>
      </c>
      <c r="G886" s="5252">
        <v>389.5</v>
      </c>
      <c r="H886" s="5252">
        <v>393.3</v>
      </c>
      <c r="I886" s="5252">
        <v>397.1</v>
      </c>
      <c r="J886" s="5252">
        <v>400.9</v>
      </c>
      <c r="K886" s="5252">
        <v>404.7</v>
      </c>
      <c r="L886" s="5252">
        <v>408.5</v>
      </c>
      <c r="M886" s="5252">
        <v>412.3</v>
      </c>
    </row>
    <row r="887" spans="3:13" ht="14.25" thickBot="1">
      <c r="C887" s="5248" t="s">
        <v>5015</v>
      </c>
      <c r="D887" s="5250">
        <v>1.0152284263959421E-2</v>
      </c>
      <c r="E887" s="5250">
        <v>1.0050251256281229E-2</v>
      </c>
      <c r="F887" s="5250">
        <v>9.9502487562188602E-3</v>
      </c>
      <c r="G887" s="5250">
        <v>9.8522167487684609E-3</v>
      </c>
      <c r="H887" s="5250">
        <v>9.7560975609756184E-3</v>
      </c>
      <c r="I887" s="5250">
        <v>9.6618357487923134E-3</v>
      </c>
      <c r="J887" s="5250">
        <v>9.5693779904304499E-3</v>
      </c>
      <c r="K887" s="5250">
        <v>9.4786729857820884E-3</v>
      </c>
      <c r="L887" s="5250">
        <v>9.3896713615024829E-3</v>
      </c>
      <c r="M887" s="5250">
        <v>9.302325581395321E-3</v>
      </c>
    </row>
    <row r="888" spans="3:13" ht="14.25" thickBot="1">
      <c r="C888" s="5248" t="s">
        <v>1409</v>
      </c>
      <c r="D888" s="5251">
        <v>2042</v>
      </c>
      <c r="E888" s="5251">
        <v>2043</v>
      </c>
      <c r="F888" s="5251">
        <v>2044</v>
      </c>
      <c r="G888" s="5251">
        <v>2045</v>
      </c>
      <c r="H888" s="5251">
        <v>2046</v>
      </c>
      <c r="I888" s="5251">
        <v>2047</v>
      </c>
      <c r="J888" s="5251">
        <v>2048</v>
      </c>
      <c r="K888" s="5251">
        <v>2049</v>
      </c>
      <c r="L888" s="5251">
        <v>2050</v>
      </c>
      <c r="M888" s="5251">
        <v>2051</v>
      </c>
    </row>
    <row r="889" spans="3:13" ht="14.25" thickBot="1">
      <c r="C889" s="5248" t="s">
        <v>5014</v>
      </c>
      <c r="D889" s="5252">
        <v>416.1</v>
      </c>
      <c r="E889" s="5252">
        <v>419.9</v>
      </c>
      <c r="F889" s="5252">
        <v>423.7</v>
      </c>
      <c r="G889" s="5252">
        <v>427.5</v>
      </c>
      <c r="H889" s="5252">
        <v>431.3</v>
      </c>
      <c r="I889" s="5252">
        <v>435.1</v>
      </c>
      <c r="J889" s="5252">
        <v>438.9</v>
      </c>
      <c r="K889" s="5252">
        <v>442.7</v>
      </c>
      <c r="L889" s="5252">
        <v>446.5</v>
      </c>
      <c r="M889" s="5252">
        <v>450.3</v>
      </c>
    </row>
    <row r="890" spans="3:13" ht="14.25" thickBot="1">
      <c r="C890" s="5248" t="s">
        <v>5015</v>
      </c>
      <c r="D890" s="5250">
        <v>9.2165898617511122E-3</v>
      </c>
      <c r="E890" s="5250">
        <v>9.1324200913240894E-3</v>
      </c>
      <c r="F890" s="5250">
        <v>9.0497737556560764E-3</v>
      </c>
      <c r="G890" s="5250">
        <v>8.9686098654708779E-3</v>
      </c>
      <c r="H890" s="5250">
        <v>8.8888888888889461E-3</v>
      </c>
      <c r="I890" s="5250">
        <v>8.8105726872247381E-3</v>
      </c>
      <c r="J890" s="5250">
        <v>8.7336244541482699E-3</v>
      </c>
      <c r="K890" s="5250">
        <v>8.6580086580085869E-3</v>
      </c>
      <c r="L890" s="5250">
        <v>8.5836909871244149E-3</v>
      </c>
      <c r="M890" s="5250">
        <v>8.5106382978723527E-3</v>
      </c>
    </row>
    <row r="891" spans="3:13" ht="14.25" thickBot="1">
      <c r="C891" s="5248" t="s">
        <v>1409</v>
      </c>
      <c r="D891" s="5251">
        <v>2052</v>
      </c>
      <c r="E891" s="5251">
        <v>2053</v>
      </c>
      <c r="F891" s="5251">
        <v>2054</v>
      </c>
      <c r="G891" s="5251">
        <v>2055</v>
      </c>
      <c r="H891" s="5251">
        <v>2056</v>
      </c>
      <c r="I891" s="5251">
        <v>2057</v>
      </c>
      <c r="J891" s="5251">
        <v>2058</v>
      </c>
      <c r="K891" s="5251">
        <v>2059</v>
      </c>
      <c r="L891" s="5251"/>
      <c r="M891" s="5251"/>
    </row>
    <row r="892" spans="3:13" ht="14.25" thickBot="1">
      <c r="C892" s="5248" t="s">
        <v>5014</v>
      </c>
      <c r="D892" s="5252">
        <v>454.1</v>
      </c>
      <c r="E892" s="5252">
        <v>457.9</v>
      </c>
      <c r="F892" s="5252">
        <v>461.7</v>
      </c>
      <c r="G892" s="5252">
        <v>465.5</v>
      </c>
      <c r="H892" s="5252">
        <v>469.3</v>
      </c>
      <c r="I892" s="5252">
        <v>473.1</v>
      </c>
      <c r="J892" s="5252">
        <v>476.9</v>
      </c>
      <c r="K892" s="5252">
        <v>480.7</v>
      </c>
      <c r="L892" s="5252"/>
      <c r="M892" s="5252"/>
    </row>
    <row r="893" spans="3:13" ht="14.25" thickBot="1">
      <c r="C893" s="5248" t="s">
        <v>5015</v>
      </c>
      <c r="D893" s="5250">
        <v>8.4388185654009629E-3</v>
      </c>
      <c r="E893" s="5250">
        <v>8.3682008368199945E-3</v>
      </c>
      <c r="F893" s="5250">
        <v>8.2987551867219622E-3</v>
      </c>
      <c r="G893" s="5250">
        <v>8.2304526748970819E-3</v>
      </c>
      <c r="H893" s="5250">
        <v>8.1632653061225469E-3</v>
      </c>
      <c r="I893" s="5250">
        <v>8.0971659919029104E-3</v>
      </c>
      <c r="J893" s="5250">
        <v>8.0321285140561027E-3</v>
      </c>
      <c r="K893" s="5250">
        <v>7.9681274900398336E-3</v>
      </c>
      <c r="L893" s="5250"/>
      <c r="M893" s="5250"/>
    </row>
    <row r="894" spans="3:13" ht="14.25" thickBot="1"/>
    <row r="895" spans="3:13" ht="15" thickTop="1" thickBot="1">
      <c r="C895" s="5232" t="s">
        <v>48</v>
      </c>
      <c r="D895" s="5233" t="s">
        <v>4988</v>
      </c>
      <c r="E895" s="5234" t="s">
        <v>4989</v>
      </c>
      <c r="F895" s="5235">
        <v>2022</v>
      </c>
      <c r="G895" s="5235">
        <v>2023</v>
      </c>
      <c r="H895" s="5235">
        <v>2024</v>
      </c>
      <c r="I895" s="5235">
        <v>2025</v>
      </c>
      <c r="J895" s="5235">
        <v>2026</v>
      </c>
      <c r="K895" s="5235">
        <v>2027</v>
      </c>
      <c r="L895" s="5235">
        <v>2028</v>
      </c>
      <c r="M895" s="5235">
        <v>2029</v>
      </c>
    </row>
    <row r="896" spans="3:13" ht="14.25" thickBot="1">
      <c r="C896" s="5236" t="s">
        <v>4990</v>
      </c>
      <c r="D896" s="5237">
        <v>1.3557986985952881</v>
      </c>
      <c r="E896" s="5238">
        <v>4.0776952244540752</v>
      </c>
      <c r="F896" s="5237">
        <v>1.5727842086829658</v>
      </c>
      <c r="G896" s="5237">
        <v>2.2035016487806249</v>
      </c>
      <c r="H896" s="5237">
        <v>2.0344174212303932</v>
      </c>
      <c r="I896" s="5237">
        <v>1.3557986985952881</v>
      </c>
      <c r="J896" s="5237">
        <v>1.7384445087258453</v>
      </c>
      <c r="K896" s="5237">
        <v>6.7097988292607926</v>
      </c>
      <c r="L896" s="5237">
        <v>7.0393879567914395</v>
      </c>
      <c r="M896" s="5237">
        <v>9.9674285235652533</v>
      </c>
    </row>
    <row r="897" spans="2:13" ht="14.25" thickBot="1">
      <c r="C897" s="5236" t="s">
        <v>1397</v>
      </c>
      <c r="D897" s="5239">
        <v>1.4277763235695149</v>
      </c>
      <c r="E897" s="5240">
        <v>4.239205288914742</v>
      </c>
      <c r="F897" s="5237">
        <v>1.610909067177376</v>
      </c>
      <c r="G897" s="5237">
        <v>2.2035016487806249</v>
      </c>
      <c r="H897" s="5237">
        <v>2.1397968226871384</v>
      </c>
      <c r="I897" s="5237">
        <v>1.4277763235695149</v>
      </c>
      <c r="J897" s="5237">
        <v>1.7384445087258453</v>
      </c>
      <c r="K897" s="5237">
        <v>6.7097988292607926</v>
      </c>
      <c r="L897" s="5237">
        <v>7.2546936508755859</v>
      </c>
      <c r="M897" s="5237">
        <v>10.828721460241058</v>
      </c>
    </row>
    <row r="898" spans="2:13">
      <c r="C898" s="5241"/>
      <c r="D898" s="5241"/>
      <c r="E898" s="5241"/>
      <c r="F898" s="5241"/>
      <c r="G898" s="5241"/>
      <c r="H898" s="5241"/>
      <c r="I898" s="5241"/>
      <c r="J898" s="5241"/>
      <c r="K898" s="5241"/>
      <c r="L898" s="5241"/>
      <c r="M898" s="5241"/>
    </row>
    <row r="899" spans="2:13" ht="14.25" thickBot="1">
      <c r="C899" s="5241"/>
      <c r="D899" s="5241"/>
      <c r="E899" s="5241"/>
      <c r="F899" s="5241"/>
      <c r="G899" s="5241"/>
      <c r="H899" s="5241"/>
      <c r="I899" s="5241"/>
      <c r="J899" s="5241"/>
      <c r="K899" s="5241"/>
      <c r="L899" s="5241"/>
      <c r="M899" s="5241"/>
    </row>
    <row r="900" spans="2:13" ht="14.25" thickBot="1">
      <c r="C900" s="5242" t="s">
        <v>48</v>
      </c>
      <c r="D900" s="5235" t="s">
        <v>5373</v>
      </c>
      <c r="E900" s="5235" t="s">
        <v>5375</v>
      </c>
      <c r="F900" s="5235" t="s">
        <v>5215</v>
      </c>
      <c r="G900" s="5241"/>
      <c r="H900" s="5241"/>
      <c r="I900" s="5241"/>
      <c r="J900" s="5241"/>
      <c r="K900" s="5241"/>
      <c r="L900" s="5241"/>
      <c r="M900" s="5241"/>
    </row>
    <row r="901" spans="2:13" ht="14.25" thickBot="1">
      <c r="C901" s="5243" t="s">
        <v>5004</v>
      </c>
      <c r="D901" s="5244">
        <v>3.7004634737968459E-2</v>
      </c>
      <c r="E901" s="5244">
        <v>5.1261338591575625E-2</v>
      </c>
      <c r="F901" s="5244">
        <v>4.160479009151459E-2</v>
      </c>
      <c r="G901" s="5241"/>
      <c r="H901" s="5241"/>
      <c r="I901" s="5241"/>
      <c r="J901" s="5241"/>
      <c r="K901" s="5241"/>
      <c r="L901" s="5241"/>
      <c r="M901" s="5241"/>
    </row>
    <row r="902" spans="2:13" ht="14.25" thickBot="1">
      <c r="C902" s="5243" t="s">
        <v>5005</v>
      </c>
      <c r="D902" s="5244">
        <v>3.8544651865959165E-2</v>
      </c>
      <c r="E902" s="5244">
        <v>5.2786615490913402E-2</v>
      </c>
      <c r="F902" s="5244">
        <v>4.3139651417732239E-2</v>
      </c>
      <c r="G902" s="5241"/>
      <c r="H902" s="5241"/>
      <c r="I902" s="5241"/>
      <c r="J902" s="5241"/>
      <c r="K902" s="5241"/>
      <c r="L902" s="5241"/>
      <c r="M902" s="5241"/>
    </row>
    <row r="903" spans="2:13">
      <c r="C903" s="5241"/>
      <c r="D903" s="5241"/>
      <c r="E903" s="5241"/>
      <c r="F903" s="5241"/>
      <c r="G903" s="5241"/>
      <c r="H903" s="5241"/>
      <c r="I903" s="5241"/>
      <c r="J903" s="5241"/>
      <c r="K903" s="5241"/>
      <c r="L903" s="5241"/>
      <c r="M903" s="5241"/>
    </row>
    <row r="905" spans="2:13">
      <c r="B905" s="498">
        <v>8</v>
      </c>
      <c r="C905" s="498" t="s">
        <v>5121</v>
      </c>
    </row>
    <row r="906" spans="2:13" ht="14.25" thickBot="1"/>
    <row r="907" spans="2:13" ht="14.25" thickBot="1">
      <c r="C907" s="5246" t="s">
        <v>1409</v>
      </c>
      <c r="D907" s="5247">
        <v>2022</v>
      </c>
      <c r="E907" s="5247">
        <v>2023</v>
      </c>
      <c r="F907" s="5247">
        <v>2024</v>
      </c>
      <c r="G907" s="5247">
        <v>2025</v>
      </c>
      <c r="H907" s="5247">
        <v>2026</v>
      </c>
      <c r="I907" s="5247">
        <v>2027</v>
      </c>
      <c r="J907" s="5247">
        <v>2028</v>
      </c>
      <c r="K907" s="5247">
        <v>2029</v>
      </c>
      <c r="L907" s="5247">
        <v>2030</v>
      </c>
      <c r="M907" s="5247">
        <v>2031</v>
      </c>
    </row>
    <row r="908" spans="2:13" ht="14.25" thickBot="1">
      <c r="C908" s="5248" t="s">
        <v>5014</v>
      </c>
      <c r="D908" s="5252">
        <v>279</v>
      </c>
      <c r="E908" s="5252">
        <v>288</v>
      </c>
      <c r="F908" s="5252">
        <v>297</v>
      </c>
      <c r="G908" s="5252">
        <v>306</v>
      </c>
      <c r="H908" s="5252">
        <v>315</v>
      </c>
      <c r="I908" s="5252">
        <v>324</v>
      </c>
      <c r="J908" s="5252">
        <v>333</v>
      </c>
      <c r="K908" s="5252">
        <v>342</v>
      </c>
      <c r="L908" s="5252">
        <v>351</v>
      </c>
      <c r="M908" s="5252">
        <v>354.6</v>
      </c>
    </row>
    <row r="909" spans="2:13" ht="14.25" thickBot="1">
      <c r="C909" s="5248" t="s">
        <v>1409</v>
      </c>
      <c r="D909" s="5251">
        <v>2032</v>
      </c>
      <c r="E909" s="5251">
        <v>2033</v>
      </c>
      <c r="F909" s="5251">
        <v>2034</v>
      </c>
      <c r="G909" s="5251">
        <v>2035</v>
      </c>
      <c r="H909" s="5251">
        <v>2036</v>
      </c>
      <c r="I909" s="5251">
        <v>2037</v>
      </c>
      <c r="J909" s="5251">
        <v>2038</v>
      </c>
      <c r="K909" s="5251">
        <v>2039</v>
      </c>
      <c r="L909" s="5251">
        <v>2040</v>
      </c>
      <c r="M909" s="5251">
        <v>2041</v>
      </c>
    </row>
    <row r="910" spans="2:13" ht="14.25" thickBot="1">
      <c r="C910" s="5248" t="s">
        <v>5014</v>
      </c>
      <c r="D910" s="5252">
        <v>358.2</v>
      </c>
      <c r="E910" s="5252">
        <v>361.8</v>
      </c>
      <c r="F910" s="5252">
        <v>365.4</v>
      </c>
      <c r="G910" s="5252">
        <v>369</v>
      </c>
      <c r="H910" s="5252">
        <v>372.6</v>
      </c>
      <c r="I910" s="5252">
        <v>376.2</v>
      </c>
      <c r="J910" s="5252">
        <v>379.8</v>
      </c>
      <c r="K910" s="5252">
        <v>383.4</v>
      </c>
      <c r="L910" s="5252">
        <v>387</v>
      </c>
      <c r="M910" s="5252">
        <v>390.6</v>
      </c>
    </row>
    <row r="911" spans="2:13" ht="14.25" thickBot="1">
      <c r="C911" s="5248" t="s">
        <v>1409</v>
      </c>
      <c r="D911" s="5251">
        <v>2042</v>
      </c>
      <c r="E911" s="5251">
        <v>2043</v>
      </c>
      <c r="F911" s="5251">
        <v>2044</v>
      </c>
      <c r="G911" s="5251">
        <v>2045</v>
      </c>
      <c r="H911" s="5251">
        <v>2046</v>
      </c>
      <c r="I911" s="5251">
        <v>2047</v>
      </c>
      <c r="J911" s="5251">
        <v>2048</v>
      </c>
      <c r="K911" s="5251">
        <v>2049</v>
      </c>
      <c r="L911" s="5251">
        <v>2050</v>
      </c>
      <c r="M911" s="5251">
        <v>2051</v>
      </c>
    </row>
    <row r="912" spans="2:13" ht="14.25" thickBot="1">
      <c r="C912" s="5248" t="s">
        <v>5014</v>
      </c>
      <c r="D912" s="5252">
        <v>394.2</v>
      </c>
      <c r="E912" s="5252">
        <v>397.8</v>
      </c>
      <c r="F912" s="5252">
        <v>401.4</v>
      </c>
      <c r="G912" s="5252">
        <v>405</v>
      </c>
      <c r="H912" s="5252">
        <v>408.6</v>
      </c>
      <c r="I912" s="5252">
        <v>412.2</v>
      </c>
      <c r="J912" s="5252">
        <v>415.8</v>
      </c>
      <c r="K912" s="5252">
        <v>419.4</v>
      </c>
      <c r="L912" s="5252">
        <v>423</v>
      </c>
      <c r="M912" s="5252">
        <v>426.6</v>
      </c>
    </row>
    <row r="913" spans="3:13" ht="14.25" thickBot="1">
      <c r="C913" s="5248" t="s">
        <v>1409</v>
      </c>
      <c r="D913" s="5251">
        <v>2052</v>
      </c>
      <c r="E913" s="5251">
        <v>2053</v>
      </c>
      <c r="F913" s="5251">
        <v>2054</v>
      </c>
      <c r="G913" s="5251">
        <v>2055</v>
      </c>
      <c r="H913" s="5251">
        <v>2056</v>
      </c>
      <c r="I913" s="5251">
        <v>2057</v>
      </c>
      <c r="J913" s="5251">
        <v>2058</v>
      </c>
      <c r="K913" s="5251">
        <v>2059</v>
      </c>
      <c r="L913" s="5251"/>
      <c r="M913" s="5251"/>
    </row>
    <row r="914" spans="3:13" ht="14.25" thickBot="1">
      <c r="C914" s="5248" t="s">
        <v>5014</v>
      </c>
      <c r="D914" s="5252">
        <v>430.2</v>
      </c>
      <c r="E914" s="5252">
        <v>433.8</v>
      </c>
      <c r="F914" s="5252">
        <v>437.4</v>
      </c>
      <c r="G914" s="5252">
        <v>441</v>
      </c>
      <c r="H914" s="5252">
        <v>444.6</v>
      </c>
      <c r="I914" s="5252">
        <v>448.2</v>
      </c>
      <c r="J914" s="5252">
        <v>451.8</v>
      </c>
      <c r="K914" s="5252">
        <v>455.4</v>
      </c>
      <c r="L914" s="5252"/>
      <c r="M914" s="5252"/>
    </row>
    <row r="915" spans="3:13" ht="14.25" thickBot="1"/>
    <row r="916" spans="3:13" ht="15" thickTop="1" thickBot="1">
      <c r="C916" s="5232" t="s">
        <v>48</v>
      </c>
      <c r="D916" s="5233" t="s">
        <v>4988</v>
      </c>
      <c r="E916" s="5234" t="s">
        <v>4989</v>
      </c>
      <c r="F916" s="5235">
        <v>2022</v>
      </c>
      <c r="G916" s="5235">
        <v>2023</v>
      </c>
      <c r="H916" s="5235">
        <v>2024</v>
      </c>
      <c r="I916" s="5235">
        <v>2025</v>
      </c>
      <c r="J916" s="5235">
        <v>2026</v>
      </c>
      <c r="K916" s="5235">
        <v>2027</v>
      </c>
      <c r="L916" s="5235">
        <v>2028</v>
      </c>
      <c r="M916" s="5235">
        <v>2029</v>
      </c>
    </row>
    <row r="917" spans="3:13" ht="14.25" thickBot="1">
      <c r="C917" s="5236" t="s">
        <v>4990</v>
      </c>
      <c r="D917" s="5237">
        <v>1.3347433792567578</v>
      </c>
      <c r="E917" s="5238">
        <v>3.931919414851488</v>
      </c>
      <c r="F917" s="5237">
        <v>1.5727842086829662</v>
      </c>
      <c r="G917" s="5237">
        <v>2.2249559912845136</v>
      </c>
      <c r="H917" s="5237">
        <v>2.0549731168925214</v>
      </c>
      <c r="I917" s="5237">
        <v>1.3347433792567578</v>
      </c>
      <c r="J917" s="5237">
        <v>1.6606336045537891</v>
      </c>
      <c r="K917" s="5237">
        <v>6.3869342622354948</v>
      </c>
      <c r="L917" s="5237">
        <v>6.7076260161397014</v>
      </c>
      <c r="M917" s="5237">
        <v>9.512704739766157</v>
      </c>
    </row>
    <row r="918" spans="3:13" ht="14.25" thickBot="1">
      <c r="C918" s="5236" t="s">
        <v>1397</v>
      </c>
      <c r="D918" s="5239">
        <v>1.4428527637092587</v>
      </c>
      <c r="E918" s="5240">
        <v>3.9848610277656937</v>
      </c>
      <c r="F918" s="5237">
        <v>1.6109090671773765</v>
      </c>
      <c r="G918" s="5237">
        <v>2.2249559912845136</v>
      </c>
      <c r="H918" s="5237">
        <v>2.1878056235872703</v>
      </c>
      <c r="I918" s="5237">
        <v>1.4428527637092587</v>
      </c>
      <c r="J918" s="5237">
        <v>1.6606336045537891</v>
      </c>
      <c r="K918" s="5237">
        <v>6.3869342622354948</v>
      </c>
      <c r="L918" s="5237">
        <v>6.7076260161397014</v>
      </c>
      <c r="M918" s="5237">
        <v>9.6571708934381455</v>
      </c>
    </row>
    <row r="919" spans="3:13">
      <c r="C919" s="5241"/>
      <c r="D919" s="5241"/>
      <c r="E919" s="5241"/>
      <c r="F919" s="5241"/>
      <c r="G919" s="5241"/>
      <c r="H919" s="5241"/>
      <c r="I919" s="5241"/>
      <c r="J919" s="5241"/>
      <c r="K919" s="5241"/>
      <c r="L919" s="5241"/>
      <c r="M919" s="5241"/>
    </row>
    <row r="920" spans="3:13" ht="14.25" thickBot="1">
      <c r="C920" s="5241"/>
      <c r="D920" s="5241"/>
      <c r="E920" s="5241"/>
      <c r="F920" s="5241"/>
      <c r="G920" s="5241"/>
      <c r="H920" s="5241"/>
      <c r="I920" s="5241"/>
      <c r="J920" s="5241"/>
      <c r="K920" s="5241"/>
      <c r="L920" s="5241"/>
      <c r="M920" s="5241"/>
    </row>
    <row r="921" spans="3:13" ht="14.25" thickBot="1">
      <c r="C921" s="5242" t="s">
        <v>48</v>
      </c>
      <c r="D921" s="5235" t="s">
        <v>5373</v>
      </c>
      <c r="E921" s="5235" t="s">
        <v>5375</v>
      </c>
      <c r="F921" s="5235" t="s">
        <v>5215</v>
      </c>
      <c r="G921" s="5241"/>
      <c r="H921" s="5241"/>
      <c r="I921" s="5241"/>
      <c r="J921" s="5241"/>
      <c r="K921" s="5241"/>
      <c r="L921" s="5241"/>
      <c r="M921" s="5241"/>
    </row>
    <row r="922" spans="3:13" ht="14.25" thickBot="1">
      <c r="C922" s="5243" t="s">
        <v>5004</v>
      </c>
      <c r="D922" s="5244">
        <v>3.7004634737968459E-2</v>
      </c>
      <c r="E922" s="5244">
        <v>5.1261338591575625E-2</v>
      </c>
      <c r="F922" s="5244">
        <v>4.160479009151459E-2</v>
      </c>
      <c r="G922" s="5241"/>
      <c r="H922" s="5241"/>
      <c r="I922" s="5241"/>
      <c r="J922" s="5241"/>
      <c r="K922" s="5241"/>
      <c r="L922" s="5241"/>
      <c r="M922" s="5241"/>
    </row>
    <row r="923" spans="3:13" ht="14.25" thickBot="1">
      <c r="C923" s="5243" t="s">
        <v>5005</v>
      </c>
      <c r="D923" s="5244">
        <v>3.8544651865959165E-2</v>
      </c>
      <c r="E923" s="5244">
        <v>5.2786615490913402E-2</v>
      </c>
      <c r="F923" s="5244">
        <v>4.3139651417732239E-2</v>
      </c>
      <c r="G923" s="5241"/>
      <c r="H923" s="5241"/>
      <c r="I923" s="5241"/>
      <c r="J923" s="5241"/>
      <c r="K923" s="5241"/>
      <c r="L923" s="5241"/>
      <c r="M923" s="5241"/>
    </row>
    <row r="927" spans="3:13" ht="14.25" thickBot="1">
      <c r="E927" s="4731" t="s">
        <v>5082</v>
      </c>
    </row>
    <row r="928" spans="3:13" ht="14.25" thickBot="1">
      <c r="C928" s="4634" t="s">
        <v>5045</v>
      </c>
      <c r="D928" s="4635" t="s">
        <v>48</v>
      </c>
      <c r="E928" s="4730">
        <v>2018</v>
      </c>
      <c r="F928" s="4730">
        <f>E928+1</f>
        <v>2019</v>
      </c>
      <c r="G928" s="4730">
        <f>F928+1</f>
        <v>2020</v>
      </c>
      <c r="H928" s="4635">
        <v>2021</v>
      </c>
      <c r="I928" s="4635">
        <v>2022</v>
      </c>
      <c r="J928" s="4635">
        <v>2023</v>
      </c>
      <c r="K928" s="4635">
        <v>2024</v>
      </c>
    </row>
    <row r="929" spans="3:11" ht="27.75" thickBot="1">
      <c r="C929" s="4723" t="s">
        <v>5046</v>
      </c>
      <c r="D929" s="4724" t="s">
        <v>5047</v>
      </c>
      <c r="E929" s="4726">
        <f>MRG!N6</f>
        <v>40685</v>
      </c>
      <c r="F929" s="4726">
        <f>MRG!O6</f>
        <v>40685</v>
      </c>
      <c r="G929" s="4726">
        <f>MRG!P6</f>
        <v>40685</v>
      </c>
      <c r="H929" s="4726">
        <f>MRG!Q6</f>
        <v>40629.876225765402</v>
      </c>
      <c r="I929" s="4726">
        <f>MRG!R6</f>
        <v>40685</v>
      </c>
      <c r="J929" s="4726">
        <f>MRG!S6</f>
        <v>40685</v>
      </c>
      <c r="K929" s="4726">
        <f>MRG!T6</f>
        <v>20286.767123287671</v>
      </c>
    </row>
    <row r="930" spans="3:11" ht="27.75" thickBot="1">
      <c r="C930" s="4723" t="s">
        <v>5048</v>
      </c>
      <c r="D930" s="4724" t="s">
        <v>5049</v>
      </c>
      <c r="E930" s="4728">
        <f>MRG!M4</f>
        <v>1.4875</v>
      </c>
      <c r="F930" s="4728">
        <f>MRG!N4</f>
        <v>1.5072000000000001</v>
      </c>
      <c r="G930" s="4728">
        <f>MRG!O4</f>
        <v>1.5183</v>
      </c>
      <c r="H930" s="4728">
        <f>MRG!P4</f>
        <v>1.5262</v>
      </c>
      <c r="I930" s="4728">
        <f ca="1">MRG!Q4</f>
        <v>1.5490929999999998</v>
      </c>
      <c r="J930" s="4728">
        <f ca="1">MRG!R4</f>
        <v>1.5723293949999997</v>
      </c>
      <c r="K930" s="4728">
        <f ca="1">MRG!S4</f>
        <v>1.5959143359249994</v>
      </c>
    </row>
    <row r="931" spans="3:11" ht="27.75" thickBot="1">
      <c r="C931" s="4723" t="s">
        <v>5068</v>
      </c>
      <c r="D931" s="4724" t="s">
        <v>5050</v>
      </c>
      <c r="E931" s="4726">
        <f t="shared" ref="E931:G931" si="298">E929*E930</f>
        <v>60518.9375</v>
      </c>
      <c r="F931" s="4726">
        <f t="shared" si="298"/>
        <v>61320.432000000001</v>
      </c>
      <c r="G931" s="4726">
        <f t="shared" si="298"/>
        <v>61772.035499999998</v>
      </c>
      <c r="H931" s="4726">
        <f>H929*H930</f>
        <v>62009.317095763159</v>
      </c>
      <c r="I931" s="4726">
        <f t="shared" ref="I931:K931" ca="1" si="299">I929*I930</f>
        <v>63024.848704999997</v>
      </c>
      <c r="J931" s="4726">
        <f t="shared" ca="1" si="299"/>
        <v>63970.221435574989</v>
      </c>
      <c r="K931" s="4726">
        <f t="shared" ca="1" si="299"/>
        <v>32375.942481626753</v>
      </c>
    </row>
    <row r="932" spans="3:11" ht="14.25" thickBot="1">
      <c r="C932" s="4723" t="s">
        <v>5051</v>
      </c>
      <c r="D932" s="4724" t="s">
        <v>5052</v>
      </c>
      <c r="E932" s="4727">
        <f>MRG!N8</f>
        <v>0.85</v>
      </c>
      <c r="F932" s="4732">
        <f>E932*181/365+G932*184/365</f>
        <v>0.82479452054794522</v>
      </c>
      <c r="G932" s="4727">
        <f>MRG!P8</f>
        <v>0.8</v>
      </c>
      <c r="H932" s="4727">
        <f>MRG!Q8</f>
        <v>0.8</v>
      </c>
      <c r="I932" s="4727">
        <f>MRG!R8</f>
        <v>0.8</v>
      </c>
      <c r="J932" s="4727">
        <f>MRG!S8</f>
        <v>0.8</v>
      </c>
      <c r="K932" s="4727">
        <f>MRG!T8</f>
        <v>0.8</v>
      </c>
    </row>
    <row r="933" spans="3:11" ht="27.75" thickBot="1">
      <c r="C933" s="4723" t="s">
        <v>5053</v>
      </c>
      <c r="D933" s="4724" t="s">
        <v>5054</v>
      </c>
      <c r="E933" s="4726">
        <f t="shared" ref="E933:G933" si="300">E931*E932</f>
        <v>51441.096874999996</v>
      </c>
      <c r="F933" s="4726">
        <f t="shared" si="300"/>
        <v>50576.756311232879</v>
      </c>
      <c r="G933" s="4726">
        <f t="shared" si="300"/>
        <v>49417.628400000001</v>
      </c>
      <c r="H933" s="4726">
        <f>H931*H932</f>
        <v>49607.45367661053</v>
      </c>
      <c r="I933" s="4726">
        <f t="shared" ref="I933:K933" ca="1" si="301">I931*I932</f>
        <v>50419.878964000003</v>
      </c>
      <c r="J933" s="4726">
        <f t="shared" ca="1" si="301"/>
        <v>51176.177148459996</v>
      </c>
      <c r="K933" s="4726">
        <f t="shared" ca="1" si="301"/>
        <v>25900.753985301402</v>
      </c>
    </row>
    <row r="934" spans="3:11" ht="41.25" thickBot="1">
      <c r="C934" s="4723" t="s">
        <v>5055</v>
      </c>
      <c r="D934" s="4724" t="s">
        <v>5056</v>
      </c>
      <c r="E934" s="4726">
        <f>MRG!N13</f>
        <v>79000</v>
      </c>
      <c r="F934" s="4726">
        <f>MRG!O13</f>
        <v>79000</v>
      </c>
      <c r="G934" s="4726">
        <f>MRG!P13</f>
        <v>79000</v>
      </c>
      <c r="H934" s="4726">
        <f>MRG!Q13</f>
        <v>79000</v>
      </c>
      <c r="I934" s="4726">
        <f>MRG!R13</f>
        <v>79000</v>
      </c>
      <c r="J934" s="4726">
        <f>MRG!S13</f>
        <v>79000</v>
      </c>
      <c r="K934" s="4726">
        <f>MRG!T13</f>
        <v>79000</v>
      </c>
    </row>
    <row r="935" spans="3:11" ht="27.75" thickBot="1">
      <c r="C935" s="4723" t="s">
        <v>5057</v>
      </c>
      <c r="D935" s="4724" t="s">
        <v>5058</v>
      </c>
      <c r="E935" s="4726">
        <f t="shared" ref="E935:G935" si="302">E934*E930</f>
        <v>117512.5</v>
      </c>
      <c r="F935" s="4726">
        <f t="shared" si="302"/>
        <v>119068.8</v>
      </c>
      <c r="G935" s="4726">
        <f t="shared" si="302"/>
        <v>119945.7</v>
      </c>
      <c r="H935" s="4726">
        <f>H934*H930</f>
        <v>120569.8</v>
      </c>
      <c r="I935" s="4726">
        <f t="shared" ref="I935:K935" ca="1" si="303">I934*I930</f>
        <v>122378.34699999998</v>
      </c>
      <c r="J935" s="4726">
        <f t="shared" ca="1" si="303"/>
        <v>124214.02220499997</v>
      </c>
      <c r="K935" s="4726">
        <f t="shared" ca="1" si="303"/>
        <v>126077.23253807495</v>
      </c>
    </row>
    <row r="936" spans="3:11" ht="27.75" thickBot="1">
      <c r="C936" s="4723" t="s">
        <v>5059</v>
      </c>
      <c r="D936" s="4724" t="s">
        <v>5060</v>
      </c>
      <c r="E936" s="4733">
        <f>ROUNDUP(E935*90%,0)</f>
        <v>105762</v>
      </c>
      <c r="F936" s="4726">
        <f t="shared" ref="F936:G936" si="304">F935*90%</f>
        <v>107161.92</v>
      </c>
      <c r="G936" s="4726">
        <f t="shared" si="304"/>
        <v>107951.13</v>
      </c>
      <c r="H936" s="4726">
        <f>H935*90%</f>
        <v>108512.82</v>
      </c>
      <c r="I936" s="4726">
        <f t="shared" ref="I936:K936" ca="1" si="305">I935*90%</f>
        <v>110140.51229999999</v>
      </c>
      <c r="J936" s="4726">
        <f ca="1">J935*90%</f>
        <v>111792.61998449998</v>
      </c>
      <c r="K936" s="4726">
        <f t="shared" ca="1" si="305"/>
        <v>113469.50928426746</v>
      </c>
    </row>
    <row r="937" spans="3:11" ht="14.25" thickBot="1">
      <c r="C937" s="4723" t="s">
        <v>5061</v>
      </c>
      <c r="D937" s="4724" t="s">
        <v>5069</v>
      </c>
      <c r="E937" s="4726">
        <f>MRG!N11</f>
        <v>302.93200000000002</v>
      </c>
      <c r="F937" s="4726">
        <f>MRG!O11</f>
        <v>320.34300000000002</v>
      </c>
      <c r="G937" s="4726">
        <f ca="1">MRG!P11</f>
        <v>352.19400000000002</v>
      </c>
      <c r="H937" s="4726">
        <f ca="1">MRG!Q11</f>
        <v>314.43599999999998</v>
      </c>
      <c r="I937" s="4726">
        <f ca="1">MRG!R11</f>
        <v>310</v>
      </c>
      <c r="J937" s="4726">
        <f ca="1">MRG!S11</f>
        <v>320</v>
      </c>
      <c r="K937" s="4726">
        <f ca="1">MRG!T11/2</f>
        <v>165</v>
      </c>
    </row>
    <row r="938" spans="3:11" ht="14.25" thickBot="1">
      <c r="C938" s="4723" t="s">
        <v>5072</v>
      </c>
      <c r="D938" s="4724" t="s">
        <v>5071</v>
      </c>
      <c r="E938" s="4726">
        <f>MRG!N17</f>
        <v>3126.3270200000002</v>
      </c>
      <c r="F938" s="4726">
        <f>MRG!O17</f>
        <v>2885.7242000000001</v>
      </c>
      <c r="G938" s="4726">
        <f>MRG!P17</f>
        <v>2640.7464</v>
      </c>
      <c r="H938" s="4726">
        <f>MRG!Q17</f>
        <v>2727.2172</v>
      </c>
      <c r="I938" s="4726">
        <f>MRG!R17</f>
        <v>2699.5160000000001</v>
      </c>
      <c r="J938" s="4726">
        <f ca="1">MRG!S17</f>
        <v>2408.8791999999999</v>
      </c>
      <c r="K938" s="4726">
        <f ca="1">MRG!T17</f>
        <v>1173.1676</v>
      </c>
    </row>
    <row r="939" spans="3:11" ht="14.25" thickBot="1">
      <c r="C939" s="4723" t="s">
        <v>5073</v>
      </c>
      <c r="D939" s="4724" t="s">
        <v>5062</v>
      </c>
      <c r="E939" s="4726">
        <f t="shared" ref="E939:G939" si="306">E936*E937/1000+E938</f>
        <v>35165.021203999997</v>
      </c>
      <c r="F939" s="4726">
        <f t="shared" si="306"/>
        <v>37214.295138559995</v>
      </c>
      <c r="G939" s="4726">
        <f t="shared" ca="1" si="306"/>
        <v>40660.486679220005</v>
      </c>
      <c r="H939" s="4726">
        <f ca="1">H936*H937/1000+H938</f>
        <v>36847.554269519998</v>
      </c>
      <c r="I939" s="4726">
        <f t="shared" ref="I939:K939" ca="1" si="307">I936*I937/1000+I938</f>
        <v>36843.074812999999</v>
      </c>
      <c r="J939" s="4726">
        <f t="shared" ca="1" si="307"/>
        <v>38182.517595039993</v>
      </c>
      <c r="K939" s="4726">
        <f t="shared" ca="1" si="307"/>
        <v>19895.636631904134</v>
      </c>
    </row>
    <row r="940" spans="3:11" ht="27.75" thickBot="1">
      <c r="C940" s="4723" t="s">
        <v>5074</v>
      </c>
      <c r="D940" s="4724" t="s">
        <v>5063</v>
      </c>
      <c r="E940" s="4726">
        <f t="shared" ref="E940:G940" si="308">E931*50%</f>
        <v>30259.46875</v>
      </c>
      <c r="F940" s="4726">
        <f t="shared" si="308"/>
        <v>30660.216</v>
      </c>
      <c r="G940" s="4726">
        <f t="shared" si="308"/>
        <v>30886.017749999999</v>
      </c>
      <c r="H940" s="4726">
        <f>H931*50%</f>
        <v>31004.65854788158</v>
      </c>
      <c r="I940" s="4726">
        <f t="shared" ref="I940:K940" ca="1" si="309">I931*50%</f>
        <v>31512.424352499998</v>
      </c>
      <c r="J940" s="4726">
        <f t="shared" ca="1" si="309"/>
        <v>31985.110717787495</v>
      </c>
      <c r="K940" s="4726">
        <f t="shared" ca="1" si="309"/>
        <v>16187.971240813376</v>
      </c>
    </row>
    <row r="941" spans="3:11" ht="27.75" thickBot="1">
      <c r="C941" s="4723" t="s">
        <v>5075</v>
      </c>
      <c r="D941" s="4724" t="s">
        <v>5064</v>
      </c>
      <c r="E941" s="4726">
        <f t="shared" ref="E941:G941" si="310">MAX(E940,E939)</f>
        <v>35165.021203999997</v>
      </c>
      <c r="F941" s="4726">
        <f t="shared" si="310"/>
        <v>37214.295138559995</v>
      </c>
      <c r="G941" s="4726">
        <f t="shared" ca="1" si="310"/>
        <v>40660.486679220005</v>
      </c>
      <c r="H941" s="4726">
        <f ca="1">MAX(H940,H939)</f>
        <v>36847.554269519998</v>
      </c>
      <c r="I941" s="4726">
        <f t="shared" ref="I941:K941" ca="1" si="311">MAX(I940,I939)</f>
        <v>36843.074812999999</v>
      </c>
      <c r="J941" s="4726">
        <f t="shared" ca="1" si="311"/>
        <v>38182.517595039993</v>
      </c>
      <c r="K941" s="4726">
        <f t="shared" ca="1" si="311"/>
        <v>19895.636631904134</v>
      </c>
    </row>
    <row r="942" spans="3:11" ht="14.25" thickBot="1">
      <c r="C942" s="4723" t="s">
        <v>5076</v>
      </c>
      <c r="D942" s="4725" t="s">
        <v>5065</v>
      </c>
      <c r="E942" s="4726">
        <f t="shared" ref="E942:G942" si="312">E933-E941</f>
        <v>16276.075670999999</v>
      </c>
      <c r="F942" s="4726">
        <f t="shared" si="312"/>
        <v>13362.461172672884</v>
      </c>
      <c r="G942" s="4726">
        <f t="shared" ca="1" si="312"/>
        <v>8757.1417207799968</v>
      </c>
      <c r="H942" s="4726">
        <f ca="1">H933-H941</f>
        <v>12759.899407090532</v>
      </c>
      <c r="I942" s="4726">
        <f t="shared" ref="I942:K942" ca="1" si="313">I933-I941</f>
        <v>13576.804151000004</v>
      </c>
      <c r="J942" s="4726">
        <f t="shared" ca="1" si="313"/>
        <v>12993.659553420002</v>
      </c>
      <c r="K942" s="4726">
        <f t="shared" ca="1" si="313"/>
        <v>6005.1173533972687</v>
      </c>
    </row>
    <row r="943" spans="3:11" ht="14.25" thickBot="1">
      <c r="C943" s="4723" t="s">
        <v>5077</v>
      </c>
      <c r="D943" s="4724" t="s">
        <v>5066</v>
      </c>
      <c r="E943" s="4726">
        <f>(MRG!N58+MRG!N59)/10^6+MRG!N61/10^6</f>
        <v>2619.1011927599998</v>
      </c>
      <c r="F943" s="4726">
        <f>(MRG!O58+MRG!O59)/10^6+MRG!O61/10^6</f>
        <v>446.49703099999999</v>
      </c>
      <c r="G943" s="4726">
        <f>(MRG!P58+MRG!P59)/10^6+MRG!P61/10^6</f>
        <v>-1642.7026096085087</v>
      </c>
      <c r="H943" s="4726">
        <f>(MRG!Q58+MRG!Q59)/10^6+MRG!Q61/10^6</f>
        <v>18.953952884998454</v>
      </c>
      <c r="I943" s="4726">
        <f ca="1">(MRG!R58+MRG!R59)/10^6+MRG!R61/10^6</f>
        <v>120.0268794174517</v>
      </c>
      <c r="J943" s="4726">
        <f ca="1">(MRG!S58+MRG!S59)/10^6+MRG!S61/10^6</f>
        <v>19.743990274936174</v>
      </c>
      <c r="K943" s="4726">
        <f ca="1">(MRG!T58+MRG!T59)/10^6+MRG!T61/10^6</f>
        <v>20.147918944938667</v>
      </c>
    </row>
    <row r="944" spans="3:11" ht="27.75" thickBot="1">
      <c r="C944" s="4723" t="s">
        <v>5078</v>
      </c>
      <c r="D944" s="4724" t="s">
        <v>5067</v>
      </c>
      <c r="E944" s="4726">
        <f t="shared" ref="E944:G944" si="314">E942-E943</f>
        <v>13656.974478239999</v>
      </c>
      <c r="F944" s="4726">
        <f t="shared" si="314"/>
        <v>12915.964141672883</v>
      </c>
      <c r="G944" s="4726">
        <f t="shared" ca="1" si="314"/>
        <v>10399.844330388505</v>
      </c>
      <c r="H944" s="4726">
        <f ca="1">H942-H943</f>
        <v>12740.945454205534</v>
      </c>
      <c r="I944" s="4726">
        <f t="shared" ref="I944:K944" ca="1" si="315">I942-I943</f>
        <v>13456.777271582552</v>
      </c>
      <c r="J944" s="4726">
        <f t="shared" ca="1" si="315"/>
        <v>12973.915563145067</v>
      </c>
      <c r="K944" s="4726">
        <f t="shared" ca="1" si="315"/>
        <v>5984.9694344523305</v>
      </c>
    </row>
    <row r="945" spans="3:11" ht="14.25" thickBot="1">
      <c r="C945" s="4723" t="s">
        <v>5079</v>
      </c>
      <c r="D945" s="4724" t="s">
        <v>1306</v>
      </c>
      <c r="E945" s="4726">
        <f>MRG!N63/10^6</f>
        <v>0</v>
      </c>
      <c r="F945" s="4726">
        <f>MRG!O63/10^6</f>
        <v>3573.391122</v>
      </c>
      <c r="G945" s="4726">
        <f>MRG!P63/10^6</f>
        <v>1336.261943</v>
      </c>
      <c r="H945" s="4726">
        <f>MRG!Q63/10^6</f>
        <v>1460.1100675285327</v>
      </c>
      <c r="I945" s="4726">
        <f>MRG!R63/10^6</f>
        <v>1529.546958522558</v>
      </c>
      <c r="J945" s="4726">
        <f ca="1">MRG!S63/10^6</f>
        <v>1552.8144619226323</v>
      </c>
      <c r="K945" s="4726">
        <f ca="1">MRG!T63/10^6</f>
        <v>1570.3308652199294</v>
      </c>
    </row>
    <row r="946" spans="3:11" ht="27.75" thickBot="1">
      <c r="C946" s="4723" t="s">
        <v>5080</v>
      </c>
      <c r="D946" s="4724" t="s">
        <v>5070</v>
      </c>
      <c r="E946" s="4726">
        <f t="shared" ref="E946:G946" si="316">E944-E945</f>
        <v>13656.974478239999</v>
      </c>
      <c r="F946" s="4726">
        <f t="shared" si="316"/>
        <v>9342.5730196728837</v>
      </c>
      <c r="G946" s="4726">
        <f t="shared" ca="1" si="316"/>
        <v>9063.5823873885056</v>
      </c>
      <c r="H946" s="4726">
        <f ca="1">H944-H945</f>
        <v>11280.835386677001</v>
      </c>
      <c r="I946" s="4726">
        <f t="shared" ref="I946:K946" ca="1" si="317">I944-I945</f>
        <v>11927.230313059994</v>
      </c>
      <c r="J946" s="4726">
        <f t="shared" ca="1" si="317"/>
        <v>11421.101101222433</v>
      </c>
      <c r="K946" s="4726">
        <f t="shared" ca="1" si="317"/>
        <v>4414.6385692324011</v>
      </c>
    </row>
    <row r="947" spans="3:11">
      <c r="G947" s="491"/>
    </row>
    <row r="948" spans="3:11">
      <c r="E948" s="498" t="b">
        <f>MRG!N9=E933</f>
        <v>1</v>
      </c>
      <c r="F948" s="498" t="b">
        <f>MRG!O9=F933</f>
        <v>1</v>
      </c>
      <c r="G948" s="498" t="b">
        <f>MRG!P9=G933</f>
        <v>1</v>
      </c>
      <c r="H948" s="498" t="b">
        <f>MRG!Q9=H933</f>
        <v>1</v>
      </c>
      <c r="I948" s="498" t="b">
        <f ca="1">MRG!R9=I933</f>
        <v>1</v>
      </c>
      <c r="J948" s="498" t="b">
        <f ca="1">MRG!S9=J933</f>
        <v>1</v>
      </c>
      <c r="K948" s="498" t="b">
        <f ca="1">MRG!T9=K933</f>
        <v>1</v>
      </c>
    </row>
    <row r="949" spans="3:11">
      <c r="E949" s="521" t="b">
        <f>E942=MRG!N21</f>
        <v>1</v>
      </c>
      <c r="F949" s="521" t="b">
        <f>F942=MRG!O21</f>
        <v>1</v>
      </c>
      <c r="G949" s="521" t="b">
        <f ca="1">G942=MRG!P21</f>
        <v>1</v>
      </c>
      <c r="H949" s="521" t="b">
        <f ca="1">H942=MRG!Q21</f>
        <v>1</v>
      </c>
      <c r="I949" s="521" t="b">
        <f ca="1">I942=MRG!R21</f>
        <v>1</v>
      </c>
      <c r="J949" s="521" t="b">
        <f ca="1">J942=MRG!S21</f>
        <v>1</v>
      </c>
      <c r="K949" s="521" t="b">
        <f ca="1">K942=MRG!T21</f>
        <v>1</v>
      </c>
    </row>
    <row r="950" spans="3:11">
      <c r="E950" s="498" t="b">
        <f>E946=MRG!N65/10^6</f>
        <v>1</v>
      </c>
      <c r="F950" s="498" t="b">
        <f>F946=MRG!O65/10^6</f>
        <v>1</v>
      </c>
      <c r="G950" s="498" t="b">
        <f ca="1">G946=MRG!P65/10^6</f>
        <v>1</v>
      </c>
      <c r="H950" s="498" t="b">
        <f ca="1">H946=MRG!Q65/10^6</f>
        <v>1</v>
      </c>
      <c r="I950" s="498" t="b">
        <f ca="1">I946=MRG!R65/10^6</f>
        <v>1</v>
      </c>
      <c r="J950" s="498" t="b">
        <f ca="1">J946=MRG!S65/10^6</f>
        <v>1</v>
      </c>
      <c r="K950" s="498" t="b">
        <f ca="1">K946=MRG!T65/10^6</f>
        <v>1</v>
      </c>
    </row>
    <row r="951" spans="3:11">
      <c r="C951" s="4742" t="s">
        <v>5086</v>
      </c>
    </row>
    <row r="952" spans="3:11">
      <c r="C952" s="498" t="s">
        <v>5083</v>
      </c>
      <c r="E952" s="4722">
        <v>51441.096875000003</v>
      </c>
      <c r="F952" s="4722">
        <v>50576.756311232879</v>
      </c>
      <c r="G952" s="4722">
        <v>49417.628400000001</v>
      </c>
      <c r="H952" s="4722"/>
      <c r="I952" s="4722"/>
      <c r="J952" s="4722"/>
      <c r="K952" s="4722"/>
    </row>
    <row r="953" spans="3:11">
      <c r="C953" s="498" t="s">
        <v>5084</v>
      </c>
      <c r="E953" s="4722">
        <v>16276.075671000001</v>
      </c>
      <c r="F953" s="4722">
        <v>13362.461172672882</v>
      </c>
      <c r="G953" s="4722">
        <v>8757.1417207799986</v>
      </c>
      <c r="H953" s="4722"/>
      <c r="I953" s="4722"/>
      <c r="J953" s="4722"/>
      <c r="K953" s="4722"/>
    </row>
    <row r="954" spans="3:11">
      <c r="C954" s="498" t="s">
        <v>5085</v>
      </c>
      <c r="E954" s="4722">
        <v>13656.974478239999</v>
      </c>
      <c r="F954" s="4722">
        <v>9342.5730196728819</v>
      </c>
      <c r="G954" s="4722">
        <v>9063.5823873885074</v>
      </c>
      <c r="H954" s="4722"/>
      <c r="I954" s="4722"/>
      <c r="J954" s="4722"/>
      <c r="K954" s="4722"/>
    </row>
    <row r="955" spans="3:11">
      <c r="E955" s="498" t="b">
        <f>E952=E933</f>
        <v>1</v>
      </c>
      <c r="F955" s="498" t="b">
        <f t="shared" ref="F955:G955" si="318">F952=F933</f>
        <v>1</v>
      </c>
      <c r="G955" s="498" t="b">
        <f t="shared" si="318"/>
        <v>1</v>
      </c>
    </row>
    <row r="956" spans="3:11">
      <c r="E956" s="498" t="b">
        <f>E953=E942</f>
        <v>1</v>
      </c>
      <c r="F956" s="498" t="b">
        <f t="shared" ref="F956:G956" si="319">F953=F942</f>
        <v>1</v>
      </c>
      <c r="G956" s="498" t="b">
        <f t="shared" ca="1" si="319"/>
        <v>1</v>
      </c>
    </row>
    <row r="957" spans="3:11">
      <c r="E957" s="498" t="b">
        <f>E954=E946</f>
        <v>1</v>
      </c>
      <c r="F957" s="498" t="b">
        <f t="shared" ref="F957" si="320">F954=F946</f>
        <v>1</v>
      </c>
      <c r="G957" s="4738" t="b">
        <f ca="1">G954=G946</f>
        <v>1</v>
      </c>
    </row>
    <row r="958" spans="3:11">
      <c r="E958" s="498">
        <v>2021</v>
      </c>
      <c r="F958" s="498">
        <f>E958+1</f>
        <v>2022</v>
      </c>
      <c r="G958" s="498">
        <f t="shared" ref="G958:I958" si="321">F958+1</f>
        <v>2023</v>
      </c>
      <c r="H958" s="498">
        <f t="shared" si="321"/>
        <v>2024</v>
      </c>
      <c r="I958" s="498">
        <f t="shared" si="321"/>
        <v>2025</v>
      </c>
    </row>
    <row r="959" spans="3:11">
      <c r="C959" s="498" t="s">
        <v>1337</v>
      </c>
      <c r="E959" s="521">
        <f>BS!L13*100</f>
        <v>4909.6530640000001</v>
      </c>
      <c r="F959" s="521">
        <f ca="1">BS!M13*100</f>
        <v>11650.598518205532</v>
      </c>
      <c r="G959" s="521">
        <f ca="1">BS!N13*100</f>
        <v>7899.3100900510881</v>
      </c>
      <c r="H959" s="521">
        <f ca="1">BS!O13*100</f>
        <v>9452.1245519737204</v>
      </c>
      <c r="I959" s="521">
        <f ca="1">BS!P13*100</f>
        <v>11022.455417193649</v>
      </c>
      <c r="J959" s="521"/>
    </row>
    <row r="961" spans="3:7">
      <c r="G961" s="4737"/>
    </row>
    <row r="962" spans="3:7" ht="14.25" thickBot="1">
      <c r="G962" s="4737"/>
    </row>
    <row r="963" spans="3:7" ht="14.25" thickBot="1">
      <c r="C963" s="5229" t="s">
        <v>48</v>
      </c>
      <c r="D963" s="5230">
        <v>2022</v>
      </c>
      <c r="E963" s="5230">
        <v>2023</v>
      </c>
      <c r="F963" s="5230">
        <v>2024</v>
      </c>
      <c r="G963" s="5230">
        <v>2025</v>
      </c>
    </row>
    <row r="964" spans="3:7" ht="15.75" thickBot="1">
      <c r="C964" s="4636" t="s">
        <v>5207</v>
      </c>
      <c r="D964" s="5082">
        <f>E959</f>
        <v>4909.6530640000001</v>
      </c>
      <c r="E964" s="5082">
        <f t="shared" ref="E964:G964" ca="1" si="322">F959</f>
        <v>11650.598518205532</v>
      </c>
      <c r="F964" s="5082">
        <f t="shared" ca="1" si="322"/>
        <v>7899.3100900510881</v>
      </c>
      <c r="G964" s="5082">
        <f t="shared" ca="1" si="322"/>
        <v>9452.1245519737204</v>
      </c>
    </row>
    <row r="965" spans="3:7" ht="14.25" thickBot="1">
      <c r="C965" s="4636" t="s">
        <v>5208</v>
      </c>
      <c r="D965" s="5231">
        <f ca="1">H944</f>
        <v>12740.945454205534</v>
      </c>
      <c r="E965" s="5231">
        <f t="shared" ref="E965:G965" ca="1" si="323">I944</f>
        <v>13456.777271582552</v>
      </c>
      <c r="F965" s="5231">
        <f t="shared" ca="1" si="323"/>
        <v>12973.915563145067</v>
      </c>
      <c r="G965" s="5231">
        <f t="shared" ca="1" si="323"/>
        <v>5984.9694344523305</v>
      </c>
    </row>
    <row r="966" spans="3:7" ht="15.75" thickBot="1">
      <c r="C966" s="4636" t="s">
        <v>5209</v>
      </c>
      <c r="D966" s="5082">
        <f>SUMIFS(매출!68:68,매출!67:67,report!D963)*100</f>
        <v>6000</v>
      </c>
      <c r="E966" s="5082">
        <f ca="1">SUMIFS(매출!68:68,매출!67:67,report!E963)*100</f>
        <v>17208.065699736999</v>
      </c>
      <c r="F966" s="5082">
        <f ca="1">SUMIFS(매출!68:68,매출!67:67,report!F963)*100</f>
        <v>11421.101101222435</v>
      </c>
      <c r="G966" s="5082">
        <f ca="1">SUMIFS(매출!68:68,매출!67:67,report!G963)*100</f>
        <v>4414.6385692323993</v>
      </c>
    </row>
    <row r="967" spans="3:7" ht="14.25" thickBot="1">
      <c r="C967" s="4636" t="s">
        <v>5210</v>
      </c>
      <c r="D967" s="5082">
        <f ca="1">F959</f>
        <v>11650.598518205532</v>
      </c>
      <c r="E967" s="5082">
        <f t="shared" ref="E967:G967" ca="1" si="324">G959</f>
        <v>7899.3100900510881</v>
      </c>
      <c r="F967" s="5082">
        <f t="shared" ca="1" si="324"/>
        <v>9452.1245519737204</v>
      </c>
      <c r="G967" s="5082">
        <f t="shared" ca="1" si="324"/>
        <v>11022.455417193649</v>
      </c>
    </row>
  </sheetData>
  <mergeCells count="17">
    <mergeCell ref="C840:C841"/>
    <mergeCell ref="J554:J556"/>
    <mergeCell ref="C554:C556"/>
    <mergeCell ref="E554:E556"/>
    <mergeCell ref="H554:H556"/>
    <mergeCell ref="G554:G556"/>
    <mergeCell ref="I554:I556"/>
    <mergeCell ref="C719:C721"/>
    <mergeCell ref="E719:H719"/>
    <mergeCell ref="I719:L719"/>
    <mergeCell ref="H720:H721"/>
    <mergeCell ref="L720:L721"/>
    <mergeCell ref="S622:S623"/>
    <mergeCell ref="S629:S630"/>
    <mergeCell ref="S636:S637"/>
    <mergeCell ref="S684:S685"/>
    <mergeCell ref="S688:S689"/>
  </mergeCells>
  <phoneticPr fontId="1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A4E96-C265-4C67-B2EC-F656152F9756}">
  <sheetPr codeName="Sheet12">
    <tabColor rgb="FFFFFF00"/>
  </sheetPr>
  <dimension ref="A1:F28"/>
  <sheetViews>
    <sheetView showGridLines="0" zoomScale="85" zoomScaleNormal="85" workbookViewId="0"/>
  </sheetViews>
  <sheetFormatPr defaultColWidth="0" defaultRowHeight="16.5" zeroHeight="1"/>
  <cols>
    <col min="1" max="1" width="2.21875" style="3" customWidth="1"/>
    <col min="2" max="2" width="2" style="3" customWidth="1"/>
    <col min="3" max="3" width="163.44140625" style="3" customWidth="1"/>
    <col min="4" max="4" width="11.109375" style="3" customWidth="1"/>
    <col min="5" max="5" width="2" style="3" customWidth="1"/>
    <col min="6" max="6" width="3" style="3" customWidth="1"/>
    <col min="7" max="16384" width="8.77734375" hidden="1"/>
  </cols>
  <sheetData>
    <row r="1" spans="1:6">
      <c r="A1" s="1" t="s">
        <v>0</v>
      </c>
      <c r="B1" s="1"/>
      <c r="C1" s="1"/>
      <c r="D1" s="1"/>
      <c r="E1" s="1"/>
      <c r="F1" s="2"/>
    </row>
    <row r="2" spans="1:6" ht="17.25" thickBot="1"/>
    <row r="3" spans="1:6">
      <c r="B3" s="4"/>
      <c r="C3" s="5"/>
      <c r="D3" s="5"/>
      <c r="E3" s="6"/>
    </row>
    <row r="4" spans="1:6">
      <c r="B4" s="7"/>
      <c r="C4" s="8" t="s">
        <v>1</v>
      </c>
      <c r="E4" s="9"/>
    </row>
    <row r="5" spans="1:6">
      <c r="B5" s="10"/>
      <c r="E5" s="9"/>
    </row>
    <row r="6" spans="1:6">
      <c r="B6" s="10"/>
      <c r="C6" s="3" t="s">
        <v>2</v>
      </c>
      <c r="E6" s="9"/>
    </row>
    <row r="7" spans="1:6">
      <c r="B7" s="10"/>
      <c r="C7" s="3" t="s">
        <v>3</v>
      </c>
      <c r="E7" s="9"/>
    </row>
    <row r="8" spans="1:6">
      <c r="B8" s="10"/>
      <c r="E8" s="9"/>
    </row>
    <row r="9" spans="1:6" ht="33">
      <c r="B9" s="10"/>
      <c r="C9" s="11" t="s">
        <v>5087</v>
      </c>
      <c r="E9" s="9"/>
    </row>
    <row r="10" spans="1:6" ht="33">
      <c r="B10" s="10"/>
      <c r="C10" s="11" t="s">
        <v>4</v>
      </c>
      <c r="E10" s="9"/>
    </row>
    <row r="11" spans="1:6">
      <c r="B11" s="10"/>
      <c r="C11" s="11" t="s">
        <v>5</v>
      </c>
      <c r="E11" s="9"/>
    </row>
    <row r="12" spans="1:6">
      <c r="B12" s="10"/>
      <c r="E12" s="9"/>
    </row>
    <row r="13" spans="1:6" ht="33">
      <c r="B13" s="10"/>
      <c r="C13" s="11" t="s">
        <v>5117</v>
      </c>
      <c r="E13" s="9"/>
    </row>
    <row r="14" spans="1:6">
      <c r="B14" s="10"/>
      <c r="E14" s="9"/>
    </row>
    <row r="15" spans="1:6" ht="66">
      <c r="B15" s="10"/>
      <c r="C15" s="11" t="s">
        <v>6</v>
      </c>
      <c r="E15" s="9"/>
    </row>
    <row r="16" spans="1:6">
      <c r="B16" s="10"/>
      <c r="E16" s="9"/>
    </row>
    <row r="17" spans="2:5" ht="33">
      <c r="B17" s="10"/>
      <c r="C17" s="11" t="s">
        <v>5088</v>
      </c>
      <c r="E17" s="9"/>
    </row>
    <row r="18" spans="2:5" ht="33">
      <c r="B18" s="10"/>
      <c r="C18" s="11" t="s">
        <v>7</v>
      </c>
      <c r="E18" s="9"/>
    </row>
    <row r="19" spans="2:5">
      <c r="B19" s="10"/>
      <c r="C19" s="3" t="s">
        <v>8</v>
      </c>
      <c r="E19" s="9"/>
    </row>
    <row r="20" spans="2:5">
      <c r="B20" s="10"/>
      <c r="E20" s="9"/>
    </row>
    <row r="21" spans="2:5">
      <c r="B21" s="10"/>
      <c r="C21" s="11" t="s">
        <v>9</v>
      </c>
      <c r="E21" s="9"/>
    </row>
    <row r="22" spans="2:5">
      <c r="B22" s="10"/>
      <c r="E22" s="9"/>
    </row>
    <row r="23" spans="2:5">
      <c r="B23" s="10"/>
      <c r="E23" s="9"/>
    </row>
    <row r="24" spans="2:5">
      <c r="B24" s="10"/>
      <c r="E24" s="9"/>
    </row>
    <row r="25" spans="2:5">
      <c r="B25" s="10"/>
      <c r="E25" s="9"/>
    </row>
    <row r="26" spans="2:5">
      <c r="B26" s="10"/>
      <c r="E26" s="9"/>
    </row>
    <row r="27" spans="2:5" ht="17.25" thickBot="1">
      <c r="B27" s="12"/>
      <c r="C27" s="13"/>
      <c r="D27" s="13"/>
      <c r="E27" s="14"/>
    </row>
    <row r="28" spans="2:5"/>
  </sheetData>
  <sheetProtection algorithmName="SHA-1" hashValue="UveRak+mlLzLvCITqFr1GpYBLEk=" saltValue="09J3CokXX0iyRx6MIv5Xkg==" spinCount="100000" sheet="1" objects="1" scenarios="1" selectLockedCells="1" selectUnlockedCells="1"/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05C50-E297-495A-9B74-30EAFC4F16EF}">
  <dimension ref="A1:AY96"/>
  <sheetViews>
    <sheetView showGridLines="0" zoomScale="115" zoomScaleNormal="115"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H8" sqref="H8"/>
    </sheetView>
  </sheetViews>
  <sheetFormatPr defaultColWidth="0" defaultRowHeight="12"/>
  <cols>
    <col min="1" max="1" width="2.21875" style="16" customWidth="1"/>
    <col min="2" max="2" width="24" style="16" customWidth="1"/>
    <col min="3" max="3" width="11.5546875" style="16" customWidth="1"/>
    <col min="4" max="4" width="11.44140625" style="16" bestFit="1" customWidth="1"/>
    <col min="5" max="5" width="0.88671875" style="16" customWidth="1"/>
    <col min="6" max="12" width="11.21875" style="16" bestFit="1" customWidth="1"/>
    <col min="13" max="36" width="11.21875" style="16" customWidth="1"/>
    <col min="37" max="37" width="1.5546875" style="16" customWidth="1"/>
    <col min="38" max="51" width="0" style="16" hidden="1" customWidth="1"/>
    <col min="52" max="16384" width="8.88671875" style="16" hidden="1"/>
  </cols>
  <sheetData>
    <row r="1" spans="2:36" ht="15.75" customHeight="1"/>
    <row r="2" spans="2:36" ht="15.75" customHeight="1">
      <c r="B2" s="15" t="s">
        <v>5151</v>
      </c>
      <c r="C2" s="15"/>
      <c r="D2" s="15"/>
    </row>
    <row r="3" spans="2:36" ht="15.75" customHeight="1">
      <c r="B3" s="15"/>
      <c r="C3" s="15"/>
      <c r="D3" s="15"/>
      <c r="AJ3" s="45" t="s">
        <v>28</v>
      </c>
    </row>
    <row r="4" spans="2:36" s="17" customFormat="1" ht="15.75" customHeight="1">
      <c r="B4" s="5515" t="s">
        <v>5140</v>
      </c>
      <c r="C4" s="5133"/>
      <c r="D4" s="5515" t="s">
        <v>14</v>
      </c>
      <c r="F4" s="5134">
        <f>펀드차입금!F4</f>
        <v>2022</v>
      </c>
      <c r="G4" s="5134">
        <f>펀드차입금!G4</f>
        <v>2022</v>
      </c>
      <c r="H4" s="5134">
        <f>펀드차입금!H4</f>
        <v>2022</v>
      </c>
      <c r="I4" s="5134">
        <f>펀드차입금!I4</f>
        <v>2022</v>
      </c>
      <c r="J4" s="5134">
        <f>펀드차입금!J4</f>
        <v>2023</v>
      </c>
      <c r="K4" s="5134">
        <f>펀드차입금!K4</f>
        <v>2023</v>
      </c>
      <c r="L4" s="5134">
        <f>펀드차입금!L4</f>
        <v>2023</v>
      </c>
      <c r="M4" s="5134">
        <f>펀드차입금!M4</f>
        <v>2023</v>
      </c>
      <c r="N4" s="5134">
        <f>펀드차입금!N4</f>
        <v>2024</v>
      </c>
      <c r="O4" s="5134">
        <f>펀드차입금!O4</f>
        <v>2024</v>
      </c>
      <c r="P4" s="5134">
        <f>펀드차입금!P4</f>
        <v>2024</v>
      </c>
      <c r="Q4" s="5134">
        <f>펀드차입금!Q4</f>
        <v>2024</v>
      </c>
      <c r="R4" s="5134">
        <f>펀드차입금!R4</f>
        <v>2025</v>
      </c>
      <c r="S4" s="5134">
        <f>펀드차입금!S4</f>
        <v>2025</v>
      </c>
      <c r="T4" s="5134">
        <f>펀드차입금!T4</f>
        <v>2025</v>
      </c>
      <c r="U4" s="5134">
        <f>펀드차입금!U4</f>
        <v>2025</v>
      </c>
      <c r="V4" s="5134">
        <f>펀드차입금!V4</f>
        <v>2026</v>
      </c>
      <c r="W4" s="5134">
        <f>펀드차입금!W4</f>
        <v>2026</v>
      </c>
      <c r="X4" s="5134">
        <f>펀드차입금!X4</f>
        <v>2026</v>
      </c>
      <c r="Y4" s="5134">
        <f>펀드차입금!Y4</f>
        <v>2026</v>
      </c>
      <c r="Z4" s="5134">
        <f>펀드차입금!Z4</f>
        <v>2027</v>
      </c>
      <c r="AA4" s="5134">
        <f>펀드차입금!AA4</f>
        <v>2027</v>
      </c>
      <c r="AB4" s="5134">
        <f>펀드차입금!AB4</f>
        <v>2027</v>
      </c>
      <c r="AC4" s="5134">
        <f>펀드차입금!AC4</f>
        <v>2027</v>
      </c>
      <c r="AD4" s="5134">
        <f>펀드차입금!AD4</f>
        <v>2028</v>
      </c>
      <c r="AE4" s="5134">
        <f>펀드차입금!AE4</f>
        <v>2028</v>
      </c>
      <c r="AF4" s="5134">
        <f>펀드차입금!AF4</f>
        <v>2028</v>
      </c>
      <c r="AG4" s="5134">
        <f>펀드차입금!AG4</f>
        <v>2028</v>
      </c>
      <c r="AH4" s="5134">
        <f>펀드차입금!AH4</f>
        <v>2029</v>
      </c>
      <c r="AI4" s="5134">
        <f>펀드차입금!AI4</f>
        <v>2029</v>
      </c>
      <c r="AJ4" s="5134">
        <f>펀드차입금!AJ4</f>
        <v>2029</v>
      </c>
    </row>
    <row r="5" spans="2:36" s="17" customFormat="1" ht="15.75" customHeight="1">
      <c r="B5" s="5517"/>
      <c r="C5" s="5145"/>
      <c r="D5" s="5517"/>
      <c r="F5" s="55">
        <f>펀드차입금!F5</f>
        <v>1</v>
      </c>
      <c r="G5" s="55">
        <f>펀드차입금!G5</f>
        <v>2</v>
      </c>
      <c r="H5" s="55">
        <f>펀드차입금!H5</f>
        <v>3</v>
      </c>
      <c r="I5" s="55">
        <f>펀드차입금!I5</f>
        <v>4</v>
      </c>
      <c r="J5" s="55">
        <f>펀드차입금!J5</f>
        <v>1</v>
      </c>
      <c r="K5" s="55">
        <f>펀드차입금!K5</f>
        <v>2</v>
      </c>
      <c r="L5" s="55">
        <f>펀드차입금!L5</f>
        <v>3</v>
      </c>
      <c r="M5" s="55">
        <f>펀드차입금!M5</f>
        <v>4</v>
      </c>
      <c r="N5" s="55">
        <f>펀드차입금!N5</f>
        <v>1</v>
      </c>
      <c r="O5" s="55">
        <f>펀드차입금!O5</f>
        <v>2</v>
      </c>
      <c r="P5" s="55">
        <f>펀드차입금!P5</f>
        <v>3</v>
      </c>
      <c r="Q5" s="55">
        <f>펀드차입금!Q5</f>
        <v>4</v>
      </c>
      <c r="R5" s="55">
        <f>펀드차입금!R5</f>
        <v>1</v>
      </c>
      <c r="S5" s="55">
        <f>펀드차입금!S5</f>
        <v>2</v>
      </c>
      <c r="T5" s="55">
        <f>펀드차입금!T5</f>
        <v>3</v>
      </c>
      <c r="U5" s="55">
        <f>펀드차입금!U5</f>
        <v>4</v>
      </c>
      <c r="V5" s="55">
        <f>펀드차입금!V5</f>
        <v>1</v>
      </c>
      <c r="W5" s="55">
        <f>펀드차입금!W5</f>
        <v>2</v>
      </c>
      <c r="X5" s="55">
        <f>펀드차입금!X5</f>
        <v>3</v>
      </c>
      <c r="Y5" s="55">
        <f>펀드차입금!Y5</f>
        <v>4</v>
      </c>
      <c r="Z5" s="55">
        <f>펀드차입금!Z5</f>
        <v>1</v>
      </c>
      <c r="AA5" s="55">
        <f>펀드차입금!AA5</f>
        <v>2</v>
      </c>
      <c r="AB5" s="55">
        <f>펀드차입금!AB5</f>
        <v>3</v>
      </c>
      <c r="AC5" s="55">
        <f>펀드차입금!AC5</f>
        <v>4</v>
      </c>
      <c r="AD5" s="55">
        <f>펀드차입금!AD5</f>
        <v>1</v>
      </c>
      <c r="AE5" s="55">
        <f>펀드차입금!AE5</f>
        <v>2</v>
      </c>
      <c r="AF5" s="55">
        <f>펀드차입금!AF5</f>
        <v>3</v>
      </c>
      <c r="AG5" s="55">
        <f>펀드차입금!AG5</f>
        <v>4</v>
      </c>
      <c r="AH5" s="55">
        <f>펀드차입금!AH5</f>
        <v>1</v>
      </c>
      <c r="AI5" s="55">
        <f>펀드차입금!AI5</f>
        <v>2</v>
      </c>
      <c r="AJ5" s="55">
        <f>펀드차입금!AJ5</f>
        <v>3</v>
      </c>
    </row>
    <row r="6" spans="2:36" s="17" customFormat="1" ht="15.75" customHeight="1">
      <c r="B6" s="5516"/>
      <c r="C6" s="5135"/>
      <c r="D6" s="5516"/>
      <c r="F6" s="5136">
        <f>펀드차입금!F6</f>
        <v>44651</v>
      </c>
      <c r="G6" s="5136">
        <f>펀드차입금!G6</f>
        <v>44742</v>
      </c>
      <c r="H6" s="5136">
        <f>펀드차입금!H6</f>
        <v>44834</v>
      </c>
      <c r="I6" s="5136">
        <f>펀드차입금!I6</f>
        <v>44926</v>
      </c>
      <c r="J6" s="5136">
        <f>펀드차입금!J6</f>
        <v>45016</v>
      </c>
      <c r="K6" s="5136">
        <f>펀드차입금!K6</f>
        <v>45107</v>
      </c>
      <c r="L6" s="5136">
        <f>펀드차입금!L6</f>
        <v>45199</v>
      </c>
      <c r="M6" s="5136">
        <f>펀드차입금!M6</f>
        <v>45291</v>
      </c>
      <c r="N6" s="5136">
        <f>펀드차입금!N6</f>
        <v>45382</v>
      </c>
      <c r="O6" s="5136">
        <f>펀드차입금!O6</f>
        <v>45473</v>
      </c>
      <c r="P6" s="5136">
        <f>펀드차입금!P6</f>
        <v>45565</v>
      </c>
      <c r="Q6" s="5136">
        <f>펀드차입금!Q6</f>
        <v>45657</v>
      </c>
      <c r="R6" s="5136">
        <f>펀드차입금!R6</f>
        <v>45747</v>
      </c>
      <c r="S6" s="5136">
        <f>펀드차입금!S6</f>
        <v>45838</v>
      </c>
      <c r="T6" s="5136">
        <f>펀드차입금!T6</f>
        <v>45930</v>
      </c>
      <c r="U6" s="5136">
        <f>펀드차입금!U6</f>
        <v>46022</v>
      </c>
      <c r="V6" s="5136">
        <f>펀드차입금!V6</f>
        <v>46112</v>
      </c>
      <c r="W6" s="5136">
        <f>펀드차입금!W6</f>
        <v>46203</v>
      </c>
      <c r="X6" s="5136">
        <f>펀드차입금!X6</f>
        <v>46295</v>
      </c>
      <c r="Y6" s="5136">
        <f>펀드차입금!Y6</f>
        <v>46387</v>
      </c>
      <c r="Z6" s="5136">
        <f>펀드차입금!Z6</f>
        <v>46477</v>
      </c>
      <c r="AA6" s="5136">
        <f>펀드차입금!AA6</f>
        <v>46568</v>
      </c>
      <c r="AB6" s="5136">
        <f>펀드차입금!AB6</f>
        <v>46660</v>
      </c>
      <c r="AC6" s="5136">
        <f>펀드차입금!AC6</f>
        <v>46752</v>
      </c>
      <c r="AD6" s="5136">
        <f>펀드차입금!AD6</f>
        <v>46843</v>
      </c>
      <c r="AE6" s="5136">
        <f>펀드차입금!AE6</f>
        <v>46934</v>
      </c>
      <c r="AF6" s="5136">
        <f>펀드차입금!AF6</f>
        <v>47026</v>
      </c>
      <c r="AG6" s="5136">
        <f>펀드차입금!AG6</f>
        <v>47118</v>
      </c>
      <c r="AH6" s="5136">
        <f>펀드차입금!AH6</f>
        <v>47208</v>
      </c>
      <c r="AI6" s="5136">
        <f>펀드차입금!AI6</f>
        <v>47299</v>
      </c>
      <c r="AJ6" s="5136">
        <f>펀드차입금!AJ6</f>
        <v>47391</v>
      </c>
    </row>
    <row r="7" spans="2:36" s="17" customFormat="1" ht="15.75" customHeight="1">
      <c r="B7" s="5137" t="s">
        <v>15</v>
      </c>
      <c r="C7" s="5137"/>
      <c r="D7" s="5155"/>
      <c r="E7" s="4625"/>
      <c r="F7" s="5138"/>
      <c r="G7" s="5138"/>
      <c r="H7" s="5138"/>
      <c r="I7" s="5138"/>
      <c r="J7" s="5138"/>
      <c r="K7" s="5138"/>
      <c r="L7" s="5138"/>
      <c r="M7" s="5138"/>
      <c r="N7" s="5138"/>
      <c r="O7" s="5138"/>
      <c r="P7" s="5138"/>
      <c r="Q7" s="5138"/>
      <c r="R7" s="5138"/>
      <c r="S7" s="5138"/>
      <c r="T7" s="5138"/>
      <c r="U7" s="5138"/>
      <c r="V7" s="5138"/>
      <c r="W7" s="5138"/>
      <c r="X7" s="5138"/>
      <c r="Y7" s="5138"/>
      <c r="Z7" s="5138"/>
      <c r="AA7" s="5138"/>
      <c r="AB7" s="5138"/>
      <c r="AC7" s="5138"/>
      <c r="AD7" s="5138"/>
      <c r="AE7" s="5138"/>
      <c r="AF7" s="5138"/>
      <c r="AG7" s="5138"/>
      <c r="AH7" s="5138"/>
      <c r="AI7" s="5138"/>
      <c r="AJ7" s="5138"/>
    </row>
    <row r="8" spans="2:36" s="17" customFormat="1" ht="15.75" customHeight="1">
      <c r="B8" s="5110" t="s">
        <v>29</v>
      </c>
      <c r="C8" s="5110"/>
      <c r="D8" s="5155">
        <f ca="1">SUM(F8:AJ8)</f>
        <v>87699.744000000035</v>
      </c>
      <c r="E8" s="4625"/>
      <c r="F8" s="5155">
        <f>펀드차입금!F8</f>
        <v>0</v>
      </c>
      <c r="G8" s="5155">
        <f ca="1">펀드차입금!G8</f>
        <v>0</v>
      </c>
      <c r="H8" s="5155">
        <f ca="1">펀드차입금!H8</f>
        <v>3986.3520000000003</v>
      </c>
      <c r="I8" s="5155">
        <f ca="1">펀드차입금!I8</f>
        <v>4069.4009999999998</v>
      </c>
      <c r="J8" s="5155">
        <f ca="1">펀드차입금!J8</f>
        <v>4069.4009999999998</v>
      </c>
      <c r="K8" s="5155">
        <f ca="1">펀드차입금!K8</f>
        <v>4069.4009999999998</v>
      </c>
      <c r="L8" s="5155">
        <f ca="1">펀드차입금!L8</f>
        <v>4152.4500000000007</v>
      </c>
      <c r="M8" s="5155">
        <f ca="1">펀드차입금!M8</f>
        <v>4235.4989999999998</v>
      </c>
      <c r="N8" s="5155">
        <f ca="1">펀드차입금!N8</f>
        <v>3820.2539999999999</v>
      </c>
      <c r="O8" s="5155">
        <f ca="1">펀드차입금!O8</f>
        <v>3903.3029999999999</v>
      </c>
      <c r="P8" s="5155">
        <f ca="1">펀드차입금!P8</f>
        <v>4401.5969999999998</v>
      </c>
      <c r="Q8" s="5155">
        <f ca="1">펀드차입금!Q8</f>
        <v>4484.6459999999997</v>
      </c>
      <c r="R8" s="5155">
        <f ca="1">펀드차입금!R8</f>
        <v>5232.0869999999995</v>
      </c>
      <c r="S8" s="5155">
        <f ca="1">펀드차입금!S8</f>
        <v>5232.0869999999995</v>
      </c>
      <c r="T8" s="5155">
        <f ca="1">펀드차입금!T8</f>
        <v>5315.1359999999995</v>
      </c>
      <c r="U8" s="5155">
        <f ca="1">펀드차입금!U8</f>
        <v>5398.1850000000004</v>
      </c>
      <c r="V8" s="5155">
        <f ca="1">펀드차입금!V8</f>
        <v>3321.96</v>
      </c>
      <c r="W8" s="5155">
        <f ca="1">펀드차입금!W8</f>
        <v>3820.2539999999999</v>
      </c>
      <c r="X8" s="5155">
        <f ca="1">펀드차입금!X8</f>
        <v>3903.3029999999999</v>
      </c>
      <c r="Y8" s="5155">
        <f ca="1">펀드차입금!Y8</f>
        <v>3321.96</v>
      </c>
      <c r="Z8" s="5155">
        <f ca="1">펀드차입금!Z8</f>
        <v>996.58800000000008</v>
      </c>
      <c r="AA8" s="5155">
        <f ca="1">펀드차입금!AA8</f>
        <v>996.58800000000008</v>
      </c>
      <c r="AB8" s="5155">
        <f ca="1">펀드차입금!AB8</f>
        <v>996.58800000000008</v>
      </c>
      <c r="AC8" s="5155">
        <f ca="1">펀드차입금!AC8</f>
        <v>996.58800000000008</v>
      </c>
      <c r="AD8" s="5155">
        <f ca="1">펀드차입금!AD8</f>
        <v>996.58800000000008</v>
      </c>
      <c r="AE8" s="5155">
        <f ca="1">펀드차입금!AE8</f>
        <v>996.58800000000008</v>
      </c>
      <c r="AF8" s="5155">
        <f ca="1">펀드차입금!AF8</f>
        <v>996.58800000000008</v>
      </c>
      <c r="AG8" s="5155">
        <f ca="1">펀드차입금!AG8</f>
        <v>996.58800000000008</v>
      </c>
      <c r="AH8" s="5155">
        <f ca="1">펀드차입금!AH8</f>
        <v>996.58800000000008</v>
      </c>
      <c r="AI8" s="5155">
        <f ca="1">펀드차입금!AI8</f>
        <v>996.58800000000008</v>
      </c>
      <c r="AJ8" s="5155">
        <f ca="1">펀드차입금!AJ8</f>
        <v>996.58799999998871</v>
      </c>
    </row>
    <row r="9" spans="2:36" s="17" customFormat="1" ht="15.75" customHeight="1">
      <c r="B9" s="5110" t="s">
        <v>30</v>
      </c>
      <c r="C9" s="5110"/>
      <c r="D9" s="5155">
        <f t="shared" ref="D9:D16" ca="1" si="0">SUM(F9:AJ9)</f>
        <v>11062.066146999996</v>
      </c>
      <c r="E9" s="4625"/>
      <c r="F9" s="5155">
        <f>펀드차입금!F9</f>
        <v>0</v>
      </c>
      <c r="G9" s="5155">
        <f ca="1">펀드차입금!G9</f>
        <v>0</v>
      </c>
      <c r="H9" s="5155">
        <f ca="1">펀드차입금!H9</f>
        <v>975.57556799999986</v>
      </c>
      <c r="I9" s="5155">
        <f ca="1">펀드차입금!I9</f>
        <v>931.23122399999988</v>
      </c>
      <c r="J9" s="5155">
        <f ca="1">펀드차입금!J9</f>
        <v>885.96303950000004</v>
      </c>
      <c r="K9" s="5155">
        <f ca="1">펀드차입금!K9</f>
        <v>840.69485499999996</v>
      </c>
      <c r="L9" s="5155">
        <f ca="1">펀드차입금!L9</f>
        <v>795.42667049999989</v>
      </c>
      <c r="M9" s="5155">
        <f ca="1">펀드차입금!M9</f>
        <v>749.23464549999983</v>
      </c>
      <c r="N9" s="5155">
        <f ca="1">펀드차입금!N9</f>
        <v>702.11877999999967</v>
      </c>
      <c r="O9" s="5155">
        <f ca="1">펀드차입금!O9</f>
        <v>659.62211699999989</v>
      </c>
      <c r="P9" s="5155">
        <f ca="1">펀드차입금!P9</f>
        <v>616.20161349999978</v>
      </c>
      <c r="Q9" s="5155">
        <f ca="1">펀드차입금!Q9</f>
        <v>567.23806699999977</v>
      </c>
      <c r="R9" s="5155">
        <f ca="1">펀드차입금!R9</f>
        <v>517.35067999999978</v>
      </c>
      <c r="S9" s="5155">
        <f ca="1">펀드차입금!S9</f>
        <v>459.14872849999983</v>
      </c>
      <c r="T9" s="5155">
        <f ca="1">펀드차입금!T9</f>
        <v>400.94677699999988</v>
      </c>
      <c r="U9" s="5155">
        <f ca="1">펀드차입금!U9</f>
        <v>341.82098499999989</v>
      </c>
      <c r="V9" s="5155">
        <f ca="1">펀드차입금!V9</f>
        <v>281.77135249999992</v>
      </c>
      <c r="W9" s="5155">
        <f ca="1">펀드차입금!W9</f>
        <v>244.81773249999986</v>
      </c>
      <c r="X9" s="5155">
        <f ca="1">펀드차입금!X9</f>
        <v>202.32106949999991</v>
      </c>
      <c r="Y9" s="5155">
        <f ca="1">펀드차입금!Y9</f>
        <v>158.90056599999991</v>
      </c>
      <c r="Z9" s="5155">
        <f ca="1">펀드차입금!Z9</f>
        <v>121.94694599999988</v>
      </c>
      <c r="AA9" s="5155">
        <f ca="1">펀드차입금!AA9</f>
        <v>110.8608599999999</v>
      </c>
      <c r="AB9" s="5155">
        <f ca="1">펀드차입금!AB9</f>
        <v>99.774773999999908</v>
      </c>
      <c r="AC9" s="5155">
        <f ca="1">펀드차입금!AC9</f>
        <v>88.6886879999999</v>
      </c>
      <c r="AD9" s="5155">
        <f ca="1">펀드차입금!AD9</f>
        <v>77.602601999999905</v>
      </c>
      <c r="AE9" s="5155">
        <f ca="1">펀드차입금!AE9</f>
        <v>66.516515999999868</v>
      </c>
      <c r="AF9" s="5155">
        <f ca="1">펀드차입금!AF9</f>
        <v>55.430429999999888</v>
      </c>
      <c r="AG9" s="5155">
        <f ca="1">펀드차입금!AG9</f>
        <v>44.344343999999879</v>
      </c>
      <c r="AH9" s="5155">
        <f ca="1">펀드차입금!AH9</f>
        <v>33.258257999999877</v>
      </c>
      <c r="AI9" s="5155">
        <f ca="1">펀드차입금!AI9</f>
        <v>22.172171999999883</v>
      </c>
      <c r="AJ9" s="5155">
        <f ca="1">펀드차입금!AJ9</f>
        <v>11.086085999999881</v>
      </c>
    </row>
    <row r="10" spans="2:36" s="17" customFormat="1" ht="15.75" customHeight="1">
      <c r="B10" s="5137" t="s">
        <v>17</v>
      </c>
      <c r="C10" s="5137"/>
      <c r="D10" s="5155"/>
      <c r="E10" s="4625"/>
      <c r="F10" s="5155"/>
      <c r="G10" s="5155"/>
      <c r="H10" s="5155"/>
      <c r="I10" s="5155"/>
      <c r="J10" s="5155"/>
      <c r="K10" s="5155"/>
      <c r="L10" s="5155"/>
      <c r="M10" s="5155"/>
      <c r="N10" s="5155"/>
      <c r="O10" s="5155"/>
      <c r="P10" s="5155"/>
      <c r="Q10" s="5155"/>
      <c r="R10" s="5155"/>
      <c r="S10" s="5155"/>
      <c r="T10" s="5155"/>
      <c r="U10" s="5155"/>
      <c r="V10" s="5155"/>
      <c r="W10" s="5155"/>
      <c r="X10" s="5155"/>
      <c r="Y10" s="5155"/>
      <c r="Z10" s="5155"/>
      <c r="AA10" s="5155"/>
      <c r="AB10" s="5155"/>
      <c r="AC10" s="5155"/>
      <c r="AD10" s="5155"/>
      <c r="AE10" s="5155"/>
      <c r="AF10" s="5155"/>
      <c r="AG10" s="5155"/>
      <c r="AH10" s="5155"/>
      <c r="AI10" s="5155"/>
      <c r="AJ10" s="5155"/>
    </row>
    <row r="11" spans="2:36" s="17" customFormat="1" ht="15.75" customHeight="1">
      <c r="B11" s="5110" t="s">
        <v>5293</v>
      </c>
      <c r="C11" s="5110"/>
      <c r="D11" s="5155">
        <f t="shared" ca="1" si="0"/>
        <v>3129.3242139923168</v>
      </c>
      <c r="E11" s="4625"/>
      <c r="F11" s="5155">
        <f>펀드차입금!F11</f>
        <v>0</v>
      </c>
      <c r="G11" s="5155">
        <f ca="1">펀드차입금!G11</f>
        <v>0</v>
      </c>
      <c r="H11" s="5155">
        <f ca="1">펀드차입금!H11</f>
        <v>280.27343478356147</v>
      </c>
      <c r="I11" s="5155">
        <f ca="1">펀드차입금!I11</f>
        <v>267.39359648509861</v>
      </c>
      <c r="J11" s="5155">
        <f ca="1">펀드차입금!J11</f>
        <v>248.72120974274705</v>
      </c>
      <c r="K11" s="5155">
        <f ca="1">펀드차입금!K11</f>
        <v>238.48241313038625</v>
      </c>
      <c r="L11" s="5155">
        <f ca="1">펀드차입금!L11</f>
        <v>227.95785024089352</v>
      </c>
      <c r="M11" s="5155">
        <f ca="1">펀드차입금!M11</f>
        <v>214.54719104321947</v>
      </c>
      <c r="N11" s="5155">
        <f ca="1">펀드차입금!N11</f>
        <v>198.68773964163609</v>
      </c>
      <c r="O11" s="5155">
        <f ca="1">펀드차입금!O11</f>
        <v>186.47295069237649</v>
      </c>
      <c r="P11" s="5155">
        <f ca="1">펀드차입금!P11</f>
        <v>175.90767614783121</v>
      </c>
      <c r="Q11" s="5155">
        <f ca="1">펀드차입금!Q11</f>
        <v>161.840922318732</v>
      </c>
      <c r="R11" s="5155">
        <f ca="1">펀드차입금!R11</f>
        <v>144.30204590872225</v>
      </c>
      <c r="S11" s="5155">
        <f ca="1">펀드차입금!S11</f>
        <v>129.36629210927509</v>
      </c>
      <c r="T11" s="5155">
        <f ca="1">펀드차입금!T11</f>
        <v>114.06704138971591</v>
      </c>
      <c r="U11" s="5155">
        <f ca="1">펀드차입금!U11</f>
        <v>97.080772614954611</v>
      </c>
      <c r="V11" s="5155">
        <f ca="1">펀드차입금!V11</f>
        <v>78.093678316879249</v>
      </c>
      <c r="W11" s="5155">
        <f ca="1">펀드차입금!W11</f>
        <v>68.460363717162281</v>
      </c>
      <c r="X11" s="5155">
        <f ca="1">펀드차입금!X11</f>
        <v>57.003794724502185</v>
      </c>
      <c r="Y11" s="5155">
        <f ca="1">펀드차입금!Y11</f>
        <v>44.529503593036857</v>
      </c>
      <c r="Z11" s="5155">
        <f ca="1">펀드차입금!Z11</f>
        <v>33.175844617315164</v>
      </c>
      <c r="AA11" s="5155">
        <f ca="1">펀드차입금!AA11</f>
        <v>30.394158472091757</v>
      </c>
      <c r="AB11" s="5155">
        <f ca="1">펀드차입금!AB11</f>
        <v>27.543234818275572</v>
      </c>
      <c r="AC11" s="5155">
        <f ca="1">펀드차입금!AC11</f>
        <v>24.358309423007832</v>
      </c>
      <c r="AD11" s="5155">
        <f ca="1">펀드차입금!AD11</f>
        <v>20.943238549177696</v>
      </c>
      <c r="AE11" s="5155">
        <f ca="1">펀드차입금!AE11</f>
        <v>17.792931908206345</v>
      </c>
      <c r="AF11" s="5155">
        <f ca="1">펀드차입금!AF11</f>
        <v>14.803533237204604</v>
      </c>
      <c r="AG11" s="5155">
        <f ca="1">펀드차입금!AG11</f>
        <v>11.618607841936864</v>
      </c>
      <c r="AH11" s="5155">
        <f ca="1">펀드차입금!AH11</f>
        <v>8.250341523915445</v>
      </c>
      <c r="AI11" s="5155">
        <f ca="1">펀드차입금!AI11</f>
        <v>5.1917053443209307</v>
      </c>
      <c r="AJ11" s="5155">
        <f ca="1">펀드차입금!AJ11</f>
        <v>2.0638316561336385</v>
      </c>
    </row>
    <row r="12" spans="2:36" s="17" customFormat="1" ht="15.75" customHeight="1">
      <c r="B12" s="5110" t="s">
        <v>5294</v>
      </c>
      <c r="C12" s="5110"/>
      <c r="D12" s="5155">
        <f t="shared" ca="1" si="0"/>
        <v>6416.503486924039</v>
      </c>
      <c r="E12" s="4625"/>
      <c r="F12" s="5155">
        <f>펀드차입금!F13</f>
        <v>0</v>
      </c>
      <c r="G12" s="5155">
        <f ca="1">펀드차입금!G13</f>
        <v>0</v>
      </c>
      <c r="H12" s="5155">
        <f ca="1">펀드차입금!H13</f>
        <v>574.68493150684935</v>
      </c>
      <c r="I12" s="5155">
        <f ca="1">펀드차입금!I13</f>
        <v>548.27554669987546</v>
      </c>
      <c r="J12" s="5155">
        <f ca="1">펀드차입금!J13</f>
        <v>509.98886674968867</v>
      </c>
      <c r="K12" s="5155">
        <f ca="1">펀드차입금!K13</f>
        <v>488.9947895392279</v>
      </c>
      <c r="L12" s="5155">
        <f ca="1">펀드차입금!L13</f>
        <v>467.41476463262757</v>
      </c>
      <c r="M12" s="5155">
        <f ca="1">펀드차입금!M13</f>
        <v>439.91696139476966</v>
      </c>
      <c r="N12" s="5155">
        <f ca="1">펀드차입금!N13</f>
        <v>407.39804732254044</v>
      </c>
      <c r="O12" s="5155">
        <f ca="1">펀드차입금!O13</f>
        <v>382.35230884184313</v>
      </c>
      <c r="P12" s="5155">
        <f ca="1">펀드차입금!P13</f>
        <v>360.68880697384816</v>
      </c>
      <c r="Q12" s="5155">
        <f ca="1">펀드차입금!Q13</f>
        <v>331.84571855541731</v>
      </c>
      <c r="R12" s="5155">
        <f ca="1">펀드차입금!R13</f>
        <v>295.88323785803249</v>
      </c>
      <c r="S12" s="5155">
        <f ca="1">펀드차입금!S13</f>
        <v>265.25831382316323</v>
      </c>
      <c r="T12" s="5155">
        <f ca="1">펀드차입금!T13</f>
        <v>233.88805977584076</v>
      </c>
      <c r="U12" s="5155">
        <f ca="1">펀드차입금!U13</f>
        <v>199.05866998754692</v>
      </c>
      <c r="V12" s="5155">
        <f ca="1">펀드차입금!V13</f>
        <v>160.12669987546721</v>
      </c>
      <c r="W12" s="5155">
        <f ca="1">펀드차입금!W13</f>
        <v>140.37412951432151</v>
      </c>
      <c r="X12" s="5155">
        <f ca="1">펀드차입금!X13</f>
        <v>116.88307845579104</v>
      </c>
      <c r="Y12" s="5155">
        <f ca="1">펀드차입금!Y13</f>
        <v>91.30524533001271</v>
      </c>
      <c r="Z12" s="5155">
        <f ca="1">펀드차입금!Z13</f>
        <v>68.02520547945231</v>
      </c>
      <c r="AA12" s="5155">
        <f ca="1">펀드차입금!AA13</f>
        <v>62.321514321295396</v>
      </c>
      <c r="AB12" s="5155">
        <f ca="1">펀드차입금!AB13</f>
        <v>56.475855541718808</v>
      </c>
      <c r="AC12" s="5155">
        <f ca="1">펀드차입금!AC13</f>
        <v>49.945344956413706</v>
      </c>
      <c r="AD12" s="5155">
        <f ca="1">펀드차입금!AD13</f>
        <v>42.942933997509591</v>
      </c>
      <c r="AE12" s="5155">
        <f ca="1">펀드차입금!AE13</f>
        <v>36.48340722291433</v>
      </c>
      <c r="AF12" s="5155">
        <f ca="1">펀드차입금!AF13</f>
        <v>30.353813200498394</v>
      </c>
      <c r="AG12" s="5155">
        <f ca="1">펀드차입금!AG13</f>
        <v>23.823302615193288</v>
      </c>
      <c r="AH12" s="5155">
        <f ca="1">펀드차입금!AH13</f>
        <v>16.916861768368879</v>
      </c>
      <c r="AI12" s="5155">
        <f ca="1">펀드차입금!AI13</f>
        <v>10.645300124533266</v>
      </c>
      <c r="AJ12" s="5155">
        <f ca="1">펀드차입금!AJ13</f>
        <v>4.2317708592779786</v>
      </c>
    </row>
    <row r="13" spans="2:36" s="17" customFormat="1" ht="15.75" customHeight="1">
      <c r="B13" s="5110" t="s">
        <v>5295</v>
      </c>
      <c r="C13" s="5110"/>
      <c r="D13" s="5155">
        <f ca="1">SUM(F13:AJ13)</f>
        <v>28150.743999999995</v>
      </c>
      <c r="E13" s="4625"/>
      <c r="F13" s="5155">
        <f>펀드차입금!F12</f>
        <v>0</v>
      </c>
      <c r="G13" s="5155">
        <f ca="1">펀드차입금!G12</f>
        <v>0</v>
      </c>
      <c r="H13" s="5155">
        <f ca="1">펀드차입금!H12</f>
        <v>1293.6546447272713</v>
      </c>
      <c r="I13" s="5155">
        <f ca="1">펀드차입금!I12</f>
        <v>1320.3125462424225</v>
      </c>
      <c r="J13" s="5155">
        <f ca="1">펀드차입금!J12</f>
        <v>1320.3125462424225</v>
      </c>
      <c r="K13" s="5155">
        <f ca="1">펀드차입금!K12</f>
        <v>1320.3125462424225</v>
      </c>
      <c r="L13" s="5155">
        <f ca="1">펀드차입금!L12</f>
        <v>1346.9704477575744</v>
      </c>
      <c r="M13" s="5155">
        <f ca="1">펀드차입금!M12</f>
        <v>1373.6283492727255</v>
      </c>
      <c r="N13" s="5155">
        <f ca="1">펀드차입금!N12</f>
        <v>1240.3388416969683</v>
      </c>
      <c r="O13" s="5155">
        <f ca="1">펀드차입금!O12</f>
        <v>1266.9967432121196</v>
      </c>
      <c r="P13" s="5155">
        <f ca="1">펀드차입금!P12</f>
        <v>1412.8687803030284</v>
      </c>
      <c r="Q13" s="5155">
        <f ca="1">펀드차입금!Q12</f>
        <v>1439.5266818181799</v>
      </c>
      <c r="R13" s="5155">
        <f ca="1">펀드차입금!R12</f>
        <v>1679.4477954545432</v>
      </c>
      <c r="S13" s="5155">
        <f ca="1">펀드차입금!S12</f>
        <v>1679.4477954545432</v>
      </c>
      <c r="T13" s="5155">
        <f ca="1">펀드차입금!T12</f>
        <v>1706.1056969696947</v>
      </c>
      <c r="U13" s="5155">
        <f ca="1">펀드차입금!U12</f>
        <v>1732.7635984848464</v>
      </c>
      <c r="V13" s="5155">
        <f ca="1">펀드차입금!V12</f>
        <v>1066.3160606060594</v>
      </c>
      <c r="W13" s="5155">
        <f ca="1">펀드차입금!W12</f>
        <v>1226.2634696969683</v>
      </c>
      <c r="X13" s="5155">
        <f ca="1">펀드차입금!X12</f>
        <v>1252.9213712121198</v>
      </c>
      <c r="Y13" s="5155">
        <f ca="1">펀드차입금!Y12</f>
        <v>1066.3160606060594</v>
      </c>
      <c r="Z13" s="5155">
        <f ca="1">펀드차입금!Z12</f>
        <v>319.89481818181781</v>
      </c>
      <c r="AA13" s="5155">
        <f ca="1">펀드차입금!AA12</f>
        <v>319.89481818181781</v>
      </c>
      <c r="AB13" s="5155">
        <f ca="1">펀드차입금!AB12</f>
        <v>319.89481818181781</v>
      </c>
      <c r="AC13" s="5155">
        <f ca="1">펀드차입금!AC12</f>
        <v>319.89481818181781</v>
      </c>
      <c r="AD13" s="5155">
        <f ca="1">펀드차입금!AD12</f>
        <v>319.89481818181781</v>
      </c>
      <c r="AE13" s="5155">
        <f ca="1">펀드차입금!AE12</f>
        <v>319.89481818181781</v>
      </c>
      <c r="AF13" s="5155">
        <f ca="1">펀드차입금!AF12</f>
        <v>319.89481818181781</v>
      </c>
      <c r="AG13" s="5155">
        <f ca="1">펀드차입금!AG12</f>
        <v>319.89481818181781</v>
      </c>
      <c r="AH13" s="5155">
        <f ca="1">펀드차입금!AH12</f>
        <v>319.89481818181781</v>
      </c>
      <c r="AI13" s="5155">
        <f ca="1">펀드차입금!AI12</f>
        <v>319.89481818181781</v>
      </c>
      <c r="AJ13" s="5155">
        <f ca="1">펀드차입금!AJ12</f>
        <v>207.29184218183212</v>
      </c>
    </row>
    <row r="14" spans="2:36" s="17" customFormat="1" ht="15.75" customHeight="1">
      <c r="B14" s="5110" t="s">
        <v>5297</v>
      </c>
      <c r="C14" s="5412"/>
      <c r="D14" s="5155">
        <f ca="1">SUM(F14:AJ14)</f>
        <v>60000.000000000029</v>
      </c>
      <c r="E14" s="4625"/>
      <c r="F14" s="5155">
        <f>펀드차입금!F14</f>
        <v>0</v>
      </c>
      <c r="G14" s="5155">
        <f ca="1">펀드차입금!G14</f>
        <v>0</v>
      </c>
      <c r="H14" s="5155">
        <f ca="1">펀드차입금!H14</f>
        <v>2757.2727272727266</v>
      </c>
      <c r="I14" s="5155">
        <f ca="1">펀드차입금!I14</f>
        <v>2814.0909090909081</v>
      </c>
      <c r="J14" s="5155">
        <f ca="1">펀드차입금!J14</f>
        <v>2814.0909090909081</v>
      </c>
      <c r="K14" s="5155">
        <f ca="1">펀드차입금!K14</f>
        <v>2814.0909090909081</v>
      </c>
      <c r="L14" s="5155">
        <f ca="1">펀드차입금!L14</f>
        <v>2870.9090909090905</v>
      </c>
      <c r="M14" s="5155">
        <f ca="1">펀드차입금!M14</f>
        <v>2927.7272727272716</v>
      </c>
      <c r="N14" s="5155">
        <f ca="1">펀드차입금!N14</f>
        <v>2643.6363636363626</v>
      </c>
      <c r="O14" s="5155">
        <f ca="1">펀드차입금!O14</f>
        <v>2700.4545454545441</v>
      </c>
      <c r="P14" s="5155">
        <f ca="1">펀드차입금!P14</f>
        <v>3011.3636363636351</v>
      </c>
      <c r="Q14" s="5155">
        <f ca="1">펀드차입금!Q14</f>
        <v>3068.1818181818167</v>
      </c>
      <c r="R14" s="5155">
        <f ca="1">펀드차입금!R14</f>
        <v>3579.5454545454527</v>
      </c>
      <c r="S14" s="5155">
        <f ca="1">펀드차입금!S14</f>
        <v>3579.5454545454527</v>
      </c>
      <c r="T14" s="5155">
        <f ca="1">펀드차입금!T14</f>
        <v>3636.3636363636342</v>
      </c>
      <c r="U14" s="5155">
        <f ca="1">펀드차입금!U14</f>
        <v>3693.1818181818171</v>
      </c>
      <c r="V14" s="5155">
        <f ca="1">펀드차입금!V14</f>
        <v>2272.7272727272721</v>
      </c>
      <c r="W14" s="5155">
        <f ca="1">펀드차입금!W14</f>
        <v>2613.6363636363626</v>
      </c>
      <c r="X14" s="5155">
        <f ca="1">펀드차입금!X14</f>
        <v>2670.4545454545441</v>
      </c>
      <c r="Y14" s="5155">
        <f ca="1">펀드차입금!Y14</f>
        <v>2272.7272727272721</v>
      </c>
      <c r="Z14" s="5155">
        <f ca="1">펀드차입금!Z14</f>
        <v>681.81818181818164</v>
      </c>
      <c r="AA14" s="5155">
        <f ca="1">펀드차입금!AA14</f>
        <v>681.81818181818164</v>
      </c>
      <c r="AB14" s="5155">
        <f ca="1">펀드차입금!AB14</f>
        <v>681.81818181818164</v>
      </c>
      <c r="AC14" s="5155">
        <f ca="1">펀드차입금!AC14</f>
        <v>681.81818181818164</v>
      </c>
      <c r="AD14" s="5155">
        <f ca="1">펀드차입금!AD14</f>
        <v>681.81818181818164</v>
      </c>
      <c r="AE14" s="5155">
        <f ca="1">펀드차입금!AE14</f>
        <v>681.81818181818164</v>
      </c>
      <c r="AF14" s="5155">
        <f ca="1">펀드차입금!AF14</f>
        <v>681.81818181818164</v>
      </c>
      <c r="AG14" s="5155">
        <f ca="1">펀드차입금!AG14</f>
        <v>681.81818181818164</v>
      </c>
      <c r="AH14" s="5155">
        <f ca="1">펀드차입금!AH14</f>
        <v>681.81818181818164</v>
      </c>
      <c r="AI14" s="5155">
        <f ca="1">펀드차입금!AI14</f>
        <v>681.81818181818164</v>
      </c>
      <c r="AJ14" s="5155">
        <f ca="1">펀드차입금!AJ14</f>
        <v>441.81818181821006</v>
      </c>
    </row>
    <row r="15" spans="2:36" s="17" customFormat="1" ht="15.75" customHeight="1">
      <c r="B15" s="5110" t="s">
        <v>5296</v>
      </c>
      <c r="C15" s="5165"/>
      <c r="D15" s="5155">
        <f t="shared" ca="1" si="0"/>
        <v>1065.2384460836436</v>
      </c>
      <c r="E15" s="4625"/>
      <c r="F15" s="5155">
        <f>펀드차입금!F15</f>
        <v>0</v>
      </c>
      <c r="G15" s="5155">
        <f ca="1">펀드차입금!G15</f>
        <v>0</v>
      </c>
      <c r="H15" s="5155">
        <f ca="1">펀드차입금!H15</f>
        <v>56.041829709591411</v>
      </c>
      <c r="I15" s="5155">
        <f ca="1">펀드차입금!I15</f>
        <v>50.559625481695264</v>
      </c>
      <c r="J15" s="5155">
        <f ca="1">펀드차입금!J15</f>
        <v>62.250507674233887</v>
      </c>
      <c r="K15" s="5155">
        <f ca="1">펀드차입금!K15</f>
        <v>48.215196997054818</v>
      </c>
      <c r="L15" s="5155">
        <f ca="1">펀드차입금!L15</f>
        <v>34.624516959814656</v>
      </c>
      <c r="M15" s="5155">
        <f ca="1">펀드차입금!M15</f>
        <v>28.9138710620133</v>
      </c>
      <c r="N15" s="5155">
        <f ca="1">펀드차입금!N15</f>
        <v>32.311787702492268</v>
      </c>
      <c r="O15" s="5155">
        <f ca="1">펀드차입금!O15</f>
        <v>26.648568799116475</v>
      </c>
      <c r="P15" s="5155">
        <f ca="1">펀드차입금!P15</f>
        <v>56.969713711656283</v>
      </c>
      <c r="Q15" s="5155">
        <f ca="1">펀드차입금!Q15</f>
        <v>50.488926125853197</v>
      </c>
      <c r="R15" s="5155">
        <f ca="1">펀드차입금!R15</f>
        <v>50.259146233248458</v>
      </c>
      <c r="S15" s="5155">
        <f ca="1">펀드차입금!S15</f>
        <v>37.617872567565598</v>
      </c>
      <c r="T15" s="5155">
        <f ca="1">펀드차입금!T15</f>
        <v>25.658342501114049</v>
      </c>
      <c r="U15" s="5155">
        <f ca="1">펀드차입금!U15</f>
        <v>17.921125730835655</v>
      </c>
      <c r="V15" s="5155">
        <f ca="1">펀드차입금!V15</f>
        <v>26.467640974322023</v>
      </c>
      <c r="W15" s="5155">
        <f ca="1">펀드차입금!W15</f>
        <v>16.337405935184918</v>
      </c>
      <c r="X15" s="5155">
        <f ca="1">펀드차입금!X15</f>
        <v>8.3612796530425584</v>
      </c>
      <c r="Y15" s="5155">
        <f ca="1">펀드차입금!Y15</f>
        <v>5.9824837436187934</v>
      </c>
      <c r="Z15" s="5155">
        <f ca="1">펀드차입금!Z15</f>
        <v>15.620895903233063</v>
      </c>
      <c r="AA15" s="5155">
        <f ca="1">펀드차입금!AA15</f>
        <v>13.020187206613361</v>
      </c>
      <c r="AB15" s="5155">
        <f ca="1">펀드차입금!AB15</f>
        <v>10.630683640006112</v>
      </c>
      <c r="AC15" s="5155">
        <f ca="1">펀드차입금!AC15</f>
        <v>9.2600336205789304</v>
      </c>
      <c r="AD15" s="5155">
        <f ca="1">펀드차입금!AD15</f>
        <v>8.5914294533131574</v>
      </c>
      <c r="AE15" s="5155">
        <f ca="1">펀드차입금!AE15</f>
        <v>7.1151768688797468</v>
      </c>
      <c r="AF15" s="5155">
        <f ca="1">펀드차입금!AF15</f>
        <v>5.1480835622976286</v>
      </c>
      <c r="AG15" s="5155">
        <f ca="1">펀드차입금!AG15</f>
        <v>3.7774335428704511</v>
      </c>
      <c r="AH15" s="5155">
        <f ca="1">펀드차입금!AH15</f>
        <v>2.9660547077162569</v>
      </c>
      <c r="AI15" s="5155">
        <f ca="1">펀드차입금!AI15</f>
        <v>1.2101665311463607</v>
      </c>
      <c r="AJ15" s="5155">
        <f ca="1">펀드차입금!AJ15</f>
        <v>352.26845948453484</v>
      </c>
    </row>
    <row r="16" spans="2:36" s="17" customFormat="1" ht="15.75" customHeight="1">
      <c r="B16" s="5137" t="s">
        <v>31</v>
      </c>
      <c r="C16" s="5166"/>
      <c r="D16" s="5155">
        <f t="shared" ca="1" si="0"/>
        <v>0</v>
      </c>
      <c r="E16" s="4625"/>
      <c r="F16" s="5155">
        <f t="shared" ref="F16:AJ16" si="1">SUM(F8:F9)-SUM(F11:F15)</f>
        <v>0</v>
      </c>
      <c r="G16" s="5155">
        <f t="shared" ca="1" si="1"/>
        <v>0</v>
      </c>
      <c r="H16" s="5155">
        <f t="shared" ca="1" si="1"/>
        <v>0</v>
      </c>
      <c r="I16" s="5155">
        <f t="shared" ca="1" si="1"/>
        <v>0</v>
      </c>
      <c r="J16" s="5155">
        <f t="shared" ca="1" si="1"/>
        <v>0</v>
      </c>
      <c r="K16" s="5155">
        <f t="shared" ca="1" si="1"/>
        <v>0</v>
      </c>
      <c r="L16" s="5155">
        <f t="shared" ca="1" si="1"/>
        <v>0</v>
      </c>
      <c r="M16" s="5155">
        <f t="shared" ca="1" si="1"/>
        <v>0</v>
      </c>
      <c r="N16" s="5155">
        <f t="shared" ca="1" si="1"/>
        <v>0</v>
      </c>
      <c r="O16" s="5155">
        <f t="shared" ca="1" si="1"/>
        <v>0</v>
      </c>
      <c r="P16" s="5155">
        <f t="shared" ca="1" si="1"/>
        <v>0</v>
      </c>
      <c r="Q16" s="5155">
        <f t="shared" ca="1" si="1"/>
        <v>0</v>
      </c>
      <c r="R16" s="5155">
        <f t="shared" ca="1" si="1"/>
        <v>0</v>
      </c>
      <c r="S16" s="5155">
        <f t="shared" ca="1" si="1"/>
        <v>0</v>
      </c>
      <c r="T16" s="5155">
        <f t="shared" ca="1" si="1"/>
        <v>0</v>
      </c>
      <c r="U16" s="5155">
        <f t="shared" ca="1" si="1"/>
        <v>0</v>
      </c>
      <c r="V16" s="5155">
        <f t="shared" ca="1" si="1"/>
        <v>0</v>
      </c>
      <c r="W16" s="5155">
        <f t="shared" ca="1" si="1"/>
        <v>0</v>
      </c>
      <c r="X16" s="5155">
        <f t="shared" ca="1" si="1"/>
        <v>0</v>
      </c>
      <c r="Y16" s="5155">
        <f t="shared" ca="1" si="1"/>
        <v>0</v>
      </c>
      <c r="Z16" s="5155">
        <f t="shared" ca="1" si="1"/>
        <v>0</v>
      </c>
      <c r="AA16" s="5155">
        <f t="shared" ca="1" si="1"/>
        <v>0</v>
      </c>
      <c r="AB16" s="5155">
        <f t="shared" ca="1" si="1"/>
        <v>0</v>
      </c>
      <c r="AC16" s="5155">
        <f t="shared" ca="1" si="1"/>
        <v>0</v>
      </c>
      <c r="AD16" s="5155">
        <f t="shared" ca="1" si="1"/>
        <v>0</v>
      </c>
      <c r="AE16" s="5155">
        <f t="shared" ca="1" si="1"/>
        <v>0</v>
      </c>
      <c r="AF16" s="5155">
        <f t="shared" ca="1" si="1"/>
        <v>0</v>
      </c>
      <c r="AG16" s="5155">
        <f t="shared" ca="1" si="1"/>
        <v>0</v>
      </c>
      <c r="AH16" s="5155">
        <f t="shared" ca="1" si="1"/>
        <v>0</v>
      </c>
      <c r="AI16" s="5155">
        <f t="shared" ca="1" si="1"/>
        <v>0</v>
      </c>
      <c r="AJ16" s="5155">
        <f t="shared" ca="1" si="1"/>
        <v>0</v>
      </c>
    </row>
    <row r="17" spans="2:36" s="17" customFormat="1" ht="15.75" customHeight="1">
      <c r="B17" s="5137" t="s">
        <v>32</v>
      </c>
      <c r="C17" s="5166"/>
      <c r="D17" s="5155"/>
      <c r="E17" s="4625"/>
      <c r="F17" s="5155">
        <f>E18</f>
        <v>0</v>
      </c>
      <c r="G17" s="5155">
        <f t="shared" ref="G17:AJ17" si="2">F18</f>
        <v>0</v>
      </c>
      <c r="H17" s="5155">
        <f t="shared" ca="1" si="2"/>
        <v>0</v>
      </c>
      <c r="I17" s="5155">
        <f t="shared" ca="1" si="2"/>
        <v>0</v>
      </c>
      <c r="J17" s="5155">
        <f t="shared" ca="1" si="2"/>
        <v>0</v>
      </c>
      <c r="K17" s="5155">
        <f t="shared" ca="1" si="2"/>
        <v>0</v>
      </c>
      <c r="L17" s="5155">
        <f t="shared" ca="1" si="2"/>
        <v>0</v>
      </c>
      <c r="M17" s="5155">
        <f t="shared" ca="1" si="2"/>
        <v>0</v>
      </c>
      <c r="N17" s="5155">
        <f t="shared" ca="1" si="2"/>
        <v>0</v>
      </c>
      <c r="O17" s="5155">
        <f t="shared" ca="1" si="2"/>
        <v>0</v>
      </c>
      <c r="P17" s="5155">
        <f t="shared" ca="1" si="2"/>
        <v>0</v>
      </c>
      <c r="Q17" s="5155">
        <f t="shared" ca="1" si="2"/>
        <v>0</v>
      </c>
      <c r="R17" s="5155">
        <f t="shared" ca="1" si="2"/>
        <v>0</v>
      </c>
      <c r="S17" s="5155">
        <f t="shared" ca="1" si="2"/>
        <v>0</v>
      </c>
      <c r="T17" s="5155">
        <f t="shared" ca="1" si="2"/>
        <v>0</v>
      </c>
      <c r="U17" s="5155">
        <f t="shared" ca="1" si="2"/>
        <v>0</v>
      </c>
      <c r="V17" s="5155">
        <f t="shared" ca="1" si="2"/>
        <v>0</v>
      </c>
      <c r="W17" s="5155">
        <f t="shared" ca="1" si="2"/>
        <v>0</v>
      </c>
      <c r="X17" s="5155">
        <f t="shared" ca="1" si="2"/>
        <v>0</v>
      </c>
      <c r="Y17" s="5155">
        <f t="shared" ca="1" si="2"/>
        <v>0</v>
      </c>
      <c r="Z17" s="5155">
        <f t="shared" ca="1" si="2"/>
        <v>0</v>
      </c>
      <c r="AA17" s="5155">
        <f t="shared" ca="1" si="2"/>
        <v>0</v>
      </c>
      <c r="AB17" s="5155">
        <f t="shared" ca="1" si="2"/>
        <v>0</v>
      </c>
      <c r="AC17" s="5155">
        <f t="shared" ca="1" si="2"/>
        <v>0</v>
      </c>
      <c r="AD17" s="5155">
        <f t="shared" ca="1" si="2"/>
        <v>0</v>
      </c>
      <c r="AE17" s="5155">
        <f t="shared" ca="1" si="2"/>
        <v>0</v>
      </c>
      <c r="AF17" s="5155">
        <f t="shared" ca="1" si="2"/>
        <v>0</v>
      </c>
      <c r="AG17" s="5155">
        <f t="shared" ca="1" si="2"/>
        <v>0</v>
      </c>
      <c r="AH17" s="5155">
        <f t="shared" ca="1" si="2"/>
        <v>0</v>
      </c>
      <c r="AI17" s="5155">
        <f t="shared" ca="1" si="2"/>
        <v>0</v>
      </c>
      <c r="AJ17" s="5155">
        <f t="shared" ca="1" si="2"/>
        <v>0</v>
      </c>
    </row>
    <row r="18" spans="2:36" s="17" customFormat="1" ht="15.75" customHeight="1" thickBot="1">
      <c r="B18" s="5151" t="s">
        <v>33</v>
      </c>
      <c r="C18" s="5168"/>
      <c r="D18" s="5169"/>
      <c r="E18" s="5170"/>
      <c r="F18" s="5169">
        <f>IF(ABS(F16+F17)&lt;0.00001,0,F16+F17)</f>
        <v>0</v>
      </c>
      <c r="G18" s="5169">
        <f t="shared" ref="G18:AJ18" ca="1" si="3">IF(ABS(G16+G17)&lt;0.00001,0,G16+G17)</f>
        <v>0</v>
      </c>
      <c r="H18" s="5169">
        <f t="shared" ca="1" si="3"/>
        <v>0</v>
      </c>
      <c r="I18" s="5169">
        <f t="shared" ca="1" si="3"/>
        <v>0</v>
      </c>
      <c r="J18" s="5169">
        <f t="shared" ca="1" si="3"/>
        <v>0</v>
      </c>
      <c r="K18" s="5169">
        <f t="shared" ca="1" si="3"/>
        <v>0</v>
      </c>
      <c r="L18" s="5169">
        <f t="shared" ca="1" si="3"/>
        <v>0</v>
      </c>
      <c r="M18" s="5169">
        <f t="shared" ca="1" si="3"/>
        <v>0</v>
      </c>
      <c r="N18" s="5169">
        <f t="shared" ca="1" si="3"/>
        <v>0</v>
      </c>
      <c r="O18" s="5169">
        <f t="shared" ca="1" si="3"/>
        <v>0</v>
      </c>
      <c r="P18" s="5169">
        <f t="shared" ca="1" si="3"/>
        <v>0</v>
      </c>
      <c r="Q18" s="5169">
        <f t="shared" ca="1" si="3"/>
        <v>0</v>
      </c>
      <c r="R18" s="5169">
        <f t="shared" ca="1" si="3"/>
        <v>0</v>
      </c>
      <c r="S18" s="5169">
        <f t="shared" ca="1" si="3"/>
        <v>0</v>
      </c>
      <c r="T18" s="5169">
        <f t="shared" ca="1" si="3"/>
        <v>0</v>
      </c>
      <c r="U18" s="5169">
        <f t="shared" ca="1" si="3"/>
        <v>0</v>
      </c>
      <c r="V18" s="5169">
        <f t="shared" ca="1" si="3"/>
        <v>0</v>
      </c>
      <c r="W18" s="5169">
        <f t="shared" ca="1" si="3"/>
        <v>0</v>
      </c>
      <c r="X18" s="5169">
        <f t="shared" ca="1" si="3"/>
        <v>0</v>
      </c>
      <c r="Y18" s="5169">
        <f t="shared" ca="1" si="3"/>
        <v>0</v>
      </c>
      <c r="Z18" s="5169">
        <f t="shared" ca="1" si="3"/>
        <v>0</v>
      </c>
      <c r="AA18" s="5169">
        <f t="shared" ca="1" si="3"/>
        <v>0</v>
      </c>
      <c r="AB18" s="5169">
        <f t="shared" ca="1" si="3"/>
        <v>0</v>
      </c>
      <c r="AC18" s="5169">
        <f t="shared" ca="1" si="3"/>
        <v>0</v>
      </c>
      <c r="AD18" s="5169">
        <f t="shared" ca="1" si="3"/>
        <v>0</v>
      </c>
      <c r="AE18" s="5169">
        <f t="shared" ca="1" si="3"/>
        <v>0</v>
      </c>
      <c r="AF18" s="5169">
        <f t="shared" ca="1" si="3"/>
        <v>0</v>
      </c>
      <c r="AG18" s="5169">
        <f t="shared" ca="1" si="3"/>
        <v>0</v>
      </c>
      <c r="AH18" s="5169">
        <f t="shared" ca="1" si="3"/>
        <v>0</v>
      </c>
      <c r="AI18" s="5169">
        <f t="shared" ca="1" si="3"/>
        <v>0</v>
      </c>
      <c r="AJ18" s="5152">
        <f t="shared" ca="1" si="3"/>
        <v>0</v>
      </c>
    </row>
    <row r="19" spans="2:36" s="5171" customFormat="1" ht="15.75" customHeight="1" thickTop="1">
      <c r="B19" s="5172" t="s">
        <v>5130</v>
      </c>
      <c r="C19" s="5139"/>
      <c r="D19" s="5173">
        <f ca="1">SUM(F19:AJ19)</f>
        <v>0</v>
      </c>
      <c r="E19" s="5174"/>
      <c r="F19" s="5173">
        <f>MIN(F18,0)</f>
        <v>0</v>
      </c>
      <c r="G19" s="5173">
        <f t="shared" ref="G19:AJ19" ca="1" si="4">MIN(G18,0)</f>
        <v>0</v>
      </c>
      <c r="H19" s="5173">
        <f t="shared" ca="1" si="4"/>
        <v>0</v>
      </c>
      <c r="I19" s="5173">
        <f t="shared" ca="1" si="4"/>
        <v>0</v>
      </c>
      <c r="J19" s="5173">
        <f t="shared" ca="1" si="4"/>
        <v>0</v>
      </c>
      <c r="K19" s="5173">
        <f t="shared" ca="1" si="4"/>
        <v>0</v>
      </c>
      <c r="L19" s="5173">
        <f t="shared" ca="1" si="4"/>
        <v>0</v>
      </c>
      <c r="M19" s="5173">
        <f t="shared" ca="1" si="4"/>
        <v>0</v>
      </c>
      <c r="N19" s="5173">
        <f t="shared" ca="1" si="4"/>
        <v>0</v>
      </c>
      <c r="O19" s="5173">
        <f t="shared" ca="1" si="4"/>
        <v>0</v>
      </c>
      <c r="P19" s="5173">
        <f t="shared" ca="1" si="4"/>
        <v>0</v>
      </c>
      <c r="Q19" s="5173">
        <f t="shared" ca="1" si="4"/>
        <v>0</v>
      </c>
      <c r="R19" s="5173">
        <f t="shared" ca="1" si="4"/>
        <v>0</v>
      </c>
      <c r="S19" s="5173">
        <f t="shared" ca="1" si="4"/>
        <v>0</v>
      </c>
      <c r="T19" s="5173">
        <f t="shared" ca="1" si="4"/>
        <v>0</v>
      </c>
      <c r="U19" s="5173">
        <f t="shared" ca="1" si="4"/>
        <v>0</v>
      </c>
      <c r="V19" s="5173">
        <f t="shared" ca="1" si="4"/>
        <v>0</v>
      </c>
      <c r="W19" s="5173">
        <f t="shared" ca="1" si="4"/>
        <v>0</v>
      </c>
      <c r="X19" s="5173">
        <f t="shared" ca="1" si="4"/>
        <v>0</v>
      </c>
      <c r="Y19" s="5173">
        <f t="shared" ca="1" si="4"/>
        <v>0</v>
      </c>
      <c r="Z19" s="5173">
        <f t="shared" ca="1" si="4"/>
        <v>0</v>
      </c>
      <c r="AA19" s="5173">
        <f t="shared" ca="1" si="4"/>
        <v>0</v>
      </c>
      <c r="AB19" s="5173">
        <f t="shared" ca="1" si="4"/>
        <v>0</v>
      </c>
      <c r="AC19" s="5173">
        <f t="shared" ca="1" si="4"/>
        <v>0</v>
      </c>
      <c r="AD19" s="5173">
        <f t="shared" ca="1" si="4"/>
        <v>0</v>
      </c>
      <c r="AE19" s="5173">
        <f t="shared" ca="1" si="4"/>
        <v>0</v>
      </c>
      <c r="AF19" s="5173">
        <f t="shared" ca="1" si="4"/>
        <v>0</v>
      </c>
      <c r="AG19" s="5173">
        <f t="shared" ca="1" si="4"/>
        <v>0</v>
      </c>
      <c r="AH19" s="5173">
        <f t="shared" ca="1" si="4"/>
        <v>0</v>
      </c>
      <c r="AI19" s="5173">
        <f t="shared" ca="1" si="4"/>
        <v>0</v>
      </c>
      <c r="AJ19" s="5173">
        <f t="shared" ca="1" si="4"/>
        <v>0</v>
      </c>
    </row>
    <row r="20" spans="2:36" ht="15.75" customHeight="1">
      <c r="B20" s="15"/>
      <c r="C20" s="15"/>
      <c r="G20" s="5205">
        <f ca="1">G16-펀드수익률!H21</f>
        <v>-33.056528999999991</v>
      </c>
      <c r="H20" s="5205">
        <f ca="1">H16-펀드수익률!I21</f>
        <v>-31.537431235499991</v>
      </c>
      <c r="I20" s="5205">
        <f ca="1">I16-펀드수익률!J21</f>
        <v>-29.987029939749995</v>
      </c>
      <c r="J20" s="5205">
        <f ca="1">J16-펀드수익률!K21</f>
        <v>-28.436628643999995</v>
      </c>
      <c r="K20" s="5205">
        <f ca="1">K16-펀드수익률!L21</f>
        <v>-26.886227348249996</v>
      </c>
      <c r="L20" s="5205">
        <f ca="1">L16-펀드수익률!M21</f>
        <v>-25.304522521249993</v>
      </c>
      <c r="M20" s="5205">
        <f ca="1">M16-펀드수익률!N21</f>
        <v>-23.691514162999994</v>
      </c>
      <c r="N20" s="5205">
        <f ca="1">N16-펀드수익률!O21</f>
        <v>-22.235023460999997</v>
      </c>
      <c r="O20" s="5205">
        <f ca="1">O16-펀드수익률!P21</f>
        <v>-20.747229227750001</v>
      </c>
      <c r="P20" s="5205">
        <f ca="1">P16-펀드수익률!Q21</f>
        <v>-19.088142071500002</v>
      </c>
      <c r="Q20" s="5205">
        <f ca="1">Q16-펀드수익률!R21</f>
        <v>-17.397751384000003</v>
      </c>
      <c r="R20" s="5205">
        <f ca="1">R16-펀드수익률!S21</f>
        <v>-15.425628915250005</v>
      </c>
      <c r="S20" s="5205">
        <f ca="1">S16-펀드수익률!T21</f>
        <v>-13.453506446500008</v>
      </c>
      <c r="T20" s="5205">
        <f ca="1">T16-펀드수익률!U21</f>
        <v>-11.45008044650001</v>
      </c>
      <c r="U20" s="5205">
        <f ca="1">U16-펀드수익률!V21</f>
        <v>-9.4153509152500092</v>
      </c>
      <c r="V20" s="5205">
        <f ca="1">V16-펀드수익률!W21</f>
        <v>-8.1632096652500117</v>
      </c>
      <c r="W20" s="5205">
        <f ca="1">W16-펀드수익률!X21</f>
        <v>-6.7232472277500124</v>
      </c>
      <c r="X20" s="5205">
        <f ca="1">X16-펀드수익률!Y21</f>
        <v>-5.2519812590000132</v>
      </c>
      <c r="Y20" s="5205">
        <f ca="1">Y16-펀드수익률!Z21</f>
        <v>-3.9998400090000139</v>
      </c>
      <c r="Z20" s="5205">
        <f ca="1">Z16-펀드수익률!AA21</f>
        <v>-3.6241976340000139</v>
      </c>
      <c r="AA20" s="5205">
        <f ca="1">AA16-펀드수익률!AB21</f>
        <v>-3.248555259000014</v>
      </c>
      <c r="AB20" s="5205">
        <f ca="1">AB16-펀드수익률!AC21</f>
        <v>-2.872912884000014</v>
      </c>
      <c r="AC20" s="5205">
        <f ca="1">AC16-펀드수익률!AD21</f>
        <v>-2.497270509000014</v>
      </c>
      <c r="AD20" s="5205">
        <f ca="1">AD16-펀드수익률!AE21</f>
        <v>-2.1216281340000149</v>
      </c>
      <c r="AE20" s="5205">
        <f ca="1">AE16-펀드수익률!AF21</f>
        <v>-1.745985759000015</v>
      </c>
      <c r="AF20" s="5205">
        <f ca="1">AF16-펀드수익률!AG21</f>
        <v>-1.370343384000015</v>
      </c>
      <c r="AG20" s="5205">
        <f ca="1">AG16-펀드수익률!AH21</f>
        <v>-0.99470100900001535</v>
      </c>
      <c r="AH20" s="5205">
        <f ca="1">AH16-펀드수익률!AI21</f>
        <v>-0.6190586340000156</v>
      </c>
      <c r="AI20" s="5205">
        <f ca="1">AI16-펀드수익률!AJ21</f>
        <v>-0.24341625900001584</v>
      </c>
      <c r="AJ20" s="5205">
        <f ca="1">AJ16-펀드수익률!AK21</f>
        <v>0</v>
      </c>
    </row>
    <row r="21" spans="2:36" ht="15.75" customHeight="1">
      <c r="B21" s="5515" t="s">
        <v>5139</v>
      </c>
      <c r="C21" s="5141"/>
      <c r="D21" s="5515" t="s">
        <v>4625</v>
      </c>
      <c r="E21" s="5141"/>
      <c r="F21" s="5134">
        <v>2022</v>
      </c>
      <c r="G21" s="5134">
        <v>2023</v>
      </c>
      <c r="H21" s="5134">
        <v>2024</v>
      </c>
      <c r="I21" s="5134">
        <v>2025</v>
      </c>
      <c r="J21" s="5134">
        <v>2026</v>
      </c>
      <c r="K21" s="5134">
        <v>2027</v>
      </c>
      <c r="L21" s="5134">
        <v>2028</v>
      </c>
      <c r="M21" s="5134">
        <v>2029</v>
      </c>
    </row>
    <row r="22" spans="2:36" ht="15.75" customHeight="1">
      <c r="B22" s="5516"/>
      <c r="C22" s="5142"/>
      <c r="D22" s="5516"/>
      <c r="E22" s="5143"/>
      <c r="F22" s="5136">
        <v>44926</v>
      </c>
      <c r="G22" s="5136">
        <v>45291</v>
      </c>
      <c r="H22" s="5136">
        <v>45657</v>
      </c>
      <c r="I22" s="5136">
        <v>46022</v>
      </c>
      <c r="J22" s="5136">
        <v>46387</v>
      </c>
      <c r="K22" s="5136">
        <v>46752</v>
      </c>
      <c r="L22" s="5136">
        <v>47118</v>
      </c>
      <c r="M22" s="5136">
        <v>47391</v>
      </c>
    </row>
    <row r="23" spans="2:36" ht="15.75" customHeight="1">
      <c r="B23" s="5137" t="s">
        <v>15</v>
      </c>
      <c r="C23" s="5137"/>
      <c r="D23" s="5155"/>
      <c r="E23" s="4625"/>
      <c r="F23" s="5138"/>
      <c r="G23" s="5138"/>
      <c r="H23" s="5138"/>
      <c r="I23" s="5138"/>
      <c r="J23" s="5138"/>
      <c r="K23" s="5138"/>
      <c r="L23" s="5138"/>
      <c r="M23" s="5138"/>
    </row>
    <row r="24" spans="2:36" ht="15.75" customHeight="1">
      <c r="B24" s="5110" t="s">
        <v>29</v>
      </c>
      <c r="C24" s="5110"/>
      <c r="D24" s="5155">
        <f ca="1">SUM(F24:AJ24)</f>
        <v>87699.743999999992</v>
      </c>
      <c r="E24" s="4625"/>
      <c r="F24" s="5155">
        <f t="shared" ref="F24:M32" ca="1" si="5">SUMIFS(8:8,$4:$4,F$21)</f>
        <v>8055.7530000000006</v>
      </c>
      <c r="G24" s="5155">
        <f t="shared" ca="1" si="5"/>
        <v>16526.751</v>
      </c>
      <c r="H24" s="5155">
        <f t="shared" ca="1" si="5"/>
        <v>16609.8</v>
      </c>
      <c r="I24" s="5155">
        <f t="shared" ca="1" si="5"/>
        <v>21177.494999999999</v>
      </c>
      <c r="J24" s="5155">
        <f t="shared" ca="1" si="5"/>
        <v>14367.476999999999</v>
      </c>
      <c r="K24" s="5155">
        <f t="shared" ca="1" si="5"/>
        <v>3986.3520000000003</v>
      </c>
      <c r="L24" s="5155">
        <f t="shared" ca="1" si="5"/>
        <v>3986.3520000000003</v>
      </c>
      <c r="M24" s="5155">
        <f t="shared" ca="1" si="5"/>
        <v>2989.7639999999888</v>
      </c>
    </row>
    <row r="25" spans="2:36" ht="15.75" customHeight="1">
      <c r="B25" s="5110" t="s">
        <v>30</v>
      </c>
      <c r="C25" s="5110"/>
      <c r="D25" s="5155">
        <f t="shared" ref="D25" ca="1" si="6">SUM(F25:AJ25)</f>
        <v>11062.066146999998</v>
      </c>
      <c r="E25" s="4625"/>
      <c r="F25" s="5155">
        <f t="shared" ca="1" si="5"/>
        <v>1906.8067919999999</v>
      </c>
      <c r="G25" s="5155">
        <f t="shared" ca="1" si="5"/>
        <v>3271.3192104999998</v>
      </c>
      <c r="H25" s="5155">
        <f t="shared" ca="1" si="5"/>
        <v>2545.1805774999993</v>
      </c>
      <c r="I25" s="5155">
        <f t="shared" ca="1" si="5"/>
        <v>1719.2671704999993</v>
      </c>
      <c r="J25" s="5155">
        <f t="shared" ca="1" si="5"/>
        <v>887.81072049999966</v>
      </c>
      <c r="K25" s="5155">
        <f t="shared" ca="1" si="5"/>
        <v>421.27126799999962</v>
      </c>
      <c r="L25" s="5155">
        <f t="shared" ca="1" si="5"/>
        <v>243.89389199999954</v>
      </c>
      <c r="M25" s="5155">
        <f t="shared" ca="1" si="5"/>
        <v>66.51651599999964</v>
      </c>
    </row>
    <row r="26" spans="2:36" ht="15.75" customHeight="1">
      <c r="B26" s="5137" t="s">
        <v>17</v>
      </c>
      <c r="C26" s="5137"/>
      <c r="D26" s="5155"/>
      <c r="E26" s="4625"/>
      <c r="F26" s="5155">
        <f t="shared" si="5"/>
        <v>0</v>
      </c>
      <c r="G26" s="5155">
        <f t="shared" si="5"/>
        <v>0</v>
      </c>
      <c r="H26" s="5155">
        <f t="shared" si="5"/>
        <v>0</v>
      </c>
      <c r="I26" s="5155">
        <f t="shared" si="5"/>
        <v>0</v>
      </c>
      <c r="J26" s="5155">
        <f t="shared" si="5"/>
        <v>0</v>
      </c>
      <c r="K26" s="5155">
        <f t="shared" si="5"/>
        <v>0</v>
      </c>
      <c r="L26" s="5155">
        <f t="shared" si="5"/>
        <v>0</v>
      </c>
      <c r="M26" s="5155">
        <f t="shared" si="5"/>
        <v>0</v>
      </c>
    </row>
    <row r="27" spans="2:36" ht="15.75" customHeight="1">
      <c r="B27" s="5110" t="str">
        <f>B11</f>
        <v>비용(변동수익증권 이자)</v>
      </c>
      <c r="C27" s="5110"/>
      <c r="D27" s="5155">
        <f t="shared" ref="D27:D28" ca="1" si="7">SUM(F27:AJ27)</f>
        <v>3129.3242139923168</v>
      </c>
      <c r="E27" s="4625"/>
      <c r="F27" s="5155">
        <f t="shared" ca="1" si="5"/>
        <v>547.66703126866014</v>
      </c>
      <c r="G27" s="5155">
        <f t="shared" ca="1" si="5"/>
        <v>929.7086641572464</v>
      </c>
      <c r="H27" s="5155">
        <f t="shared" ca="1" si="5"/>
        <v>722.90928880057572</v>
      </c>
      <c r="I27" s="5155">
        <f t="shared" ca="1" si="5"/>
        <v>484.81615202266789</v>
      </c>
      <c r="J27" s="5155">
        <f t="shared" ca="1" si="5"/>
        <v>248.08734035158056</v>
      </c>
      <c r="K27" s="5155">
        <f t="shared" ca="1" si="5"/>
        <v>115.47154733069033</v>
      </c>
      <c r="L27" s="5155">
        <f t="shared" ca="1" si="5"/>
        <v>65.158311536525503</v>
      </c>
      <c r="M27" s="5155">
        <f t="shared" ca="1" si="5"/>
        <v>15.505878524370013</v>
      </c>
    </row>
    <row r="28" spans="2:36" ht="15.75" customHeight="1">
      <c r="B28" s="5110" t="str">
        <f>B12</f>
        <v>비용(고정수익증권 이자)</v>
      </c>
      <c r="C28" s="5110"/>
      <c r="D28" s="5155">
        <f t="shared" ca="1" si="7"/>
        <v>6416.503486924039</v>
      </c>
      <c r="E28" s="4625"/>
      <c r="F28" s="5155">
        <f t="shared" ca="1" si="5"/>
        <v>1122.9604782067249</v>
      </c>
      <c r="G28" s="5155">
        <f t="shared" ca="1" si="5"/>
        <v>1906.3153823163138</v>
      </c>
      <c r="H28" s="5155">
        <f t="shared" ca="1" si="5"/>
        <v>1482.2848816936491</v>
      </c>
      <c r="I28" s="5155">
        <f t="shared" ca="1" si="5"/>
        <v>994.08828144458334</v>
      </c>
      <c r="J28" s="5155">
        <f t="shared" ca="1" si="5"/>
        <v>508.68915317559248</v>
      </c>
      <c r="K28" s="5155">
        <f t="shared" ca="1" si="5"/>
        <v>236.7679202988802</v>
      </c>
      <c r="L28" s="5155">
        <f t="shared" ca="1" si="5"/>
        <v>133.6034570361156</v>
      </c>
      <c r="M28" s="5155">
        <f t="shared" ca="1" si="5"/>
        <v>31.793932752180126</v>
      </c>
    </row>
    <row r="29" spans="2:36" ht="15.75" customHeight="1">
      <c r="B29" s="5110" t="str">
        <f>B13</f>
        <v>상환(변동수익증권 원금)</v>
      </c>
      <c r="C29" s="5110"/>
      <c r="D29" s="5155">
        <f ca="1">SUM(F29:AJ29)</f>
        <v>28150.743999999981</v>
      </c>
      <c r="E29" s="4625"/>
      <c r="F29" s="5155">
        <f t="shared" ca="1" si="5"/>
        <v>2613.9671909696935</v>
      </c>
      <c r="G29" s="5155">
        <f t="shared" ca="1" si="5"/>
        <v>5361.2238895151449</v>
      </c>
      <c r="H29" s="5155">
        <f t="shared" ca="1" si="5"/>
        <v>5359.7310470302964</v>
      </c>
      <c r="I29" s="5155">
        <f t="shared" ca="1" si="5"/>
        <v>6797.7648863636277</v>
      </c>
      <c r="J29" s="5155">
        <f t="shared" ca="1" si="5"/>
        <v>4611.8169621212064</v>
      </c>
      <c r="K29" s="5155">
        <f t="shared" ca="1" si="5"/>
        <v>1279.5792727272712</v>
      </c>
      <c r="L29" s="5155">
        <f t="shared" ca="1" si="5"/>
        <v>1279.5792727272712</v>
      </c>
      <c r="M29" s="5155">
        <f t="shared" ca="1" si="5"/>
        <v>847.08147854546769</v>
      </c>
    </row>
    <row r="30" spans="2:36" ht="15.75" customHeight="1">
      <c r="B30" s="5110" t="str">
        <f>B14</f>
        <v>상환(고정수익증권 원금)</v>
      </c>
      <c r="C30" s="5110"/>
      <c r="D30" s="5155">
        <f t="shared" ref="D30:D32" ca="1" si="8">SUM(F30:AJ30)</f>
        <v>60000.000000000007</v>
      </c>
      <c r="E30" s="4625"/>
      <c r="F30" s="5155">
        <f t="shared" ca="1" si="5"/>
        <v>5571.3636363636342</v>
      </c>
      <c r="G30" s="5155">
        <f t="shared" ca="1" si="5"/>
        <v>11426.818181818178</v>
      </c>
      <c r="H30" s="5155">
        <f t="shared" ca="1" si="5"/>
        <v>11423.636363636357</v>
      </c>
      <c r="I30" s="5155">
        <f t="shared" ca="1" si="5"/>
        <v>14488.636363636357</v>
      </c>
      <c r="J30" s="5155">
        <f t="shared" ca="1" si="5"/>
        <v>9829.5454545454504</v>
      </c>
      <c r="K30" s="5155">
        <f t="shared" ca="1" si="5"/>
        <v>2727.2727272727266</v>
      </c>
      <c r="L30" s="5155">
        <f t="shared" ca="1" si="5"/>
        <v>2727.2727272727266</v>
      </c>
      <c r="M30" s="5155">
        <f t="shared" ca="1" si="5"/>
        <v>1805.4545454545732</v>
      </c>
    </row>
    <row r="31" spans="2:36" ht="15.75" customHeight="1">
      <c r="B31" s="5110" t="str">
        <f>B15</f>
        <v>잔여현금 이자지급(변동)</v>
      </c>
      <c r="C31" s="5110"/>
      <c r="D31" s="5155">
        <f t="shared" ca="1" si="8"/>
        <v>1065.2384460836436</v>
      </c>
      <c r="E31" s="4625"/>
      <c r="F31" s="5155">
        <f t="shared" ca="1" si="5"/>
        <v>106.60145519128668</v>
      </c>
      <c r="G31" s="5155">
        <f t="shared" ca="1" si="5"/>
        <v>174.00409269311666</v>
      </c>
      <c r="H31" s="5155">
        <f t="shared" ca="1" si="5"/>
        <v>166.41899633911822</v>
      </c>
      <c r="I31" s="5155">
        <f t="shared" ca="1" si="5"/>
        <v>131.45648703276376</v>
      </c>
      <c r="J31" s="5155">
        <f t="shared" ca="1" si="5"/>
        <v>57.148810306168293</v>
      </c>
      <c r="K31" s="5155">
        <f t="shared" ca="1" si="5"/>
        <v>48.531800370431462</v>
      </c>
      <c r="L31" s="5155">
        <f t="shared" ca="1" si="5"/>
        <v>24.632123427360984</v>
      </c>
      <c r="M31" s="5155">
        <f t="shared" ca="1" si="5"/>
        <v>356.44468072339748</v>
      </c>
    </row>
    <row r="32" spans="2:36" ht="15.75" customHeight="1">
      <c r="B32" s="5137" t="s">
        <v>31</v>
      </c>
      <c r="C32" s="5137"/>
      <c r="D32" s="5155">
        <f t="shared" ca="1" si="8"/>
        <v>0</v>
      </c>
      <c r="E32" s="4625"/>
      <c r="F32" s="5155">
        <f t="shared" ca="1" si="5"/>
        <v>0</v>
      </c>
      <c r="G32" s="5155">
        <f t="shared" ca="1" si="5"/>
        <v>0</v>
      </c>
      <c r="H32" s="5155">
        <f t="shared" ca="1" si="5"/>
        <v>0</v>
      </c>
      <c r="I32" s="5155">
        <f t="shared" ca="1" si="5"/>
        <v>0</v>
      </c>
      <c r="J32" s="5155">
        <f t="shared" ca="1" si="5"/>
        <v>0</v>
      </c>
      <c r="K32" s="5155">
        <f t="shared" ca="1" si="5"/>
        <v>0</v>
      </c>
      <c r="L32" s="5155">
        <f t="shared" ca="1" si="5"/>
        <v>0</v>
      </c>
      <c r="M32" s="5155">
        <f t="shared" ca="1" si="5"/>
        <v>0</v>
      </c>
    </row>
    <row r="33" spans="2:36" ht="15.75" customHeight="1">
      <c r="B33" s="5137" t="s">
        <v>32</v>
      </c>
      <c r="C33" s="5137"/>
      <c r="D33" s="5155"/>
      <c r="E33" s="4625"/>
      <c r="F33" s="5155">
        <f>E34</f>
        <v>0</v>
      </c>
      <c r="G33" s="5155">
        <f t="shared" ref="G33:M33" ca="1" si="9">F34</f>
        <v>0</v>
      </c>
      <c r="H33" s="5155">
        <f t="shared" ca="1" si="9"/>
        <v>0</v>
      </c>
      <c r="I33" s="5155">
        <f t="shared" ca="1" si="9"/>
        <v>0</v>
      </c>
      <c r="J33" s="5155">
        <f t="shared" ca="1" si="9"/>
        <v>0</v>
      </c>
      <c r="K33" s="5155">
        <f t="shared" ca="1" si="9"/>
        <v>0</v>
      </c>
      <c r="L33" s="5155">
        <f t="shared" ca="1" si="9"/>
        <v>0</v>
      </c>
      <c r="M33" s="5155">
        <f t="shared" ca="1" si="9"/>
        <v>0</v>
      </c>
    </row>
    <row r="34" spans="2:36" ht="15.75" customHeight="1">
      <c r="B34" s="5137" t="s">
        <v>33</v>
      </c>
      <c r="C34" s="5137"/>
      <c r="D34" s="5155"/>
      <c r="E34" s="4625"/>
      <c r="F34" s="5155">
        <f ca="1">IF(ABS(F32+F33)&lt;0.00001,0,F32+F33)</f>
        <v>0</v>
      </c>
      <c r="G34" s="5155">
        <f t="shared" ref="G34:M34" ca="1" si="10">IF(ABS(G32+G33)&lt;0.00001,0,G32+G33)</f>
        <v>0</v>
      </c>
      <c r="H34" s="5155">
        <f t="shared" ca="1" si="10"/>
        <v>0</v>
      </c>
      <c r="I34" s="5155">
        <f t="shared" ca="1" si="10"/>
        <v>0</v>
      </c>
      <c r="J34" s="5155">
        <f t="shared" ca="1" si="10"/>
        <v>0</v>
      </c>
      <c r="K34" s="5155">
        <f t="shared" ca="1" si="10"/>
        <v>0</v>
      </c>
      <c r="L34" s="5155">
        <f t="shared" ca="1" si="10"/>
        <v>0</v>
      </c>
      <c r="M34" s="5155">
        <f t="shared" ca="1" si="10"/>
        <v>0</v>
      </c>
    </row>
    <row r="35" spans="2:36" ht="15.75" customHeight="1">
      <c r="B35" s="15"/>
      <c r="C35" s="15"/>
    </row>
    <row r="36" spans="2:36" ht="15.75" customHeight="1">
      <c r="B36" s="15" t="s">
        <v>5152</v>
      </c>
      <c r="C36" s="15"/>
    </row>
    <row r="37" spans="2:36" ht="15.75" customHeight="1"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5" t="s">
        <v>28</v>
      </c>
    </row>
    <row r="38" spans="2:36" ht="15.75" customHeight="1">
      <c r="B38" s="5515" t="s">
        <v>5137</v>
      </c>
      <c r="C38" s="5141"/>
      <c r="D38" s="5515" t="s">
        <v>14</v>
      </c>
      <c r="E38" s="5141"/>
      <c r="F38" s="5134">
        <f t="shared" ref="F38:AJ38" si="11">F4</f>
        <v>2022</v>
      </c>
      <c r="G38" s="5134">
        <f t="shared" si="11"/>
        <v>2022</v>
      </c>
      <c r="H38" s="5134">
        <f t="shared" si="11"/>
        <v>2022</v>
      </c>
      <c r="I38" s="5134">
        <f t="shared" si="11"/>
        <v>2022</v>
      </c>
      <c r="J38" s="5134">
        <f t="shared" si="11"/>
        <v>2023</v>
      </c>
      <c r="K38" s="5134">
        <f t="shared" si="11"/>
        <v>2023</v>
      </c>
      <c r="L38" s="5134">
        <f t="shared" si="11"/>
        <v>2023</v>
      </c>
      <c r="M38" s="5134">
        <f t="shared" si="11"/>
        <v>2023</v>
      </c>
      <c r="N38" s="5134">
        <f t="shared" si="11"/>
        <v>2024</v>
      </c>
      <c r="O38" s="5134">
        <f t="shared" si="11"/>
        <v>2024</v>
      </c>
      <c r="P38" s="5134">
        <f t="shared" si="11"/>
        <v>2024</v>
      </c>
      <c r="Q38" s="5134">
        <f t="shared" si="11"/>
        <v>2024</v>
      </c>
      <c r="R38" s="5134">
        <f t="shared" si="11"/>
        <v>2025</v>
      </c>
      <c r="S38" s="5134">
        <f t="shared" si="11"/>
        <v>2025</v>
      </c>
      <c r="T38" s="5134">
        <f t="shared" si="11"/>
        <v>2025</v>
      </c>
      <c r="U38" s="5134">
        <f t="shared" si="11"/>
        <v>2025</v>
      </c>
      <c r="V38" s="5134">
        <f t="shared" si="11"/>
        <v>2026</v>
      </c>
      <c r="W38" s="5134">
        <f t="shared" si="11"/>
        <v>2026</v>
      </c>
      <c r="X38" s="5134">
        <f t="shared" si="11"/>
        <v>2026</v>
      </c>
      <c r="Y38" s="5134">
        <f t="shared" si="11"/>
        <v>2026</v>
      </c>
      <c r="Z38" s="5134">
        <f t="shared" si="11"/>
        <v>2027</v>
      </c>
      <c r="AA38" s="5134">
        <f t="shared" si="11"/>
        <v>2027</v>
      </c>
      <c r="AB38" s="5134">
        <f t="shared" si="11"/>
        <v>2027</v>
      </c>
      <c r="AC38" s="5134">
        <f t="shared" si="11"/>
        <v>2027</v>
      </c>
      <c r="AD38" s="5134">
        <f t="shared" si="11"/>
        <v>2028</v>
      </c>
      <c r="AE38" s="5134">
        <f t="shared" si="11"/>
        <v>2028</v>
      </c>
      <c r="AF38" s="5134">
        <f t="shared" si="11"/>
        <v>2028</v>
      </c>
      <c r="AG38" s="5134">
        <f t="shared" si="11"/>
        <v>2028</v>
      </c>
      <c r="AH38" s="5134">
        <f t="shared" si="11"/>
        <v>2029</v>
      </c>
      <c r="AI38" s="5134">
        <f t="shared" si="11"/>
        <v>2029</v>
      </c>
      <c r="AJ38" s="5134">
        <f t="shared" si="11"/>
        <v>2029</v>
      </c>
    </row>
    <row r="39" spans="2:36" ht="15.75" customHeight="1">
      <c r="B39" s="5517"/>
      <c r="C39" s="5146"/>
      <c r="D39" s="5517"/>
      <c r="E39" s="5146"/>
      <c r="F39" s="5147">
        <f t="shared" ref="F39:AJ39" si="12">F5</f>
        <v>1</v>
      </c>
      <c r="G39" s="5147">
        <f t="shared" si="12"/>
        <v>2</v>
      </c>
      <c r="H39" s="5147">
        <f t="shared" si="12"/>
        <v>3</v>
      </c>
      <c r="I39" s="5147">
        <f t="shared" si="12"/>
        <v>4</v>
      </c>
      <c r="J39" s="5147">
        <f t="shared" si="12"/>
        <v>1</v>
      </c>
      <c r="K39" s="5147">
        <f t="shared" si="12"/>
        <v>2</v>
      </c>
      <c r="L39" s="5147">
        <f t="shared" si="12"/>
        <v>3</v>
      </c>
      <c r="M39" s="5147">
        <f t="shared" si="12"/>
        <v>4</v>
      </c>
      <c r="N39" s="5147">
        <f t="shared" si="12"/>
        <v>1</v>
      </c>
      <c r="O39" s="5147">
        <f t="shared" si="12"/>
        <v>2</v>
      </c>
      <c r="P39" s="5147">
        <f t="shared" si="12"/>
        <v>3</v>
      </c>
      <c r="Q39" s="5147">
        <f t="shared" si="12"/>
        <v>4</v>
      </c>
      <c r="R39" s="5147">
        <f t="shared" si="12"/>
        <v>1</v>
      </c>
      <c r="S39" s="5147">
        <f t="shared" si="12"/>
        <v>2</v>
      </c>
      <c r="T39" s="5147">
        <f t="shared" si="12"/>
        <v>3</v>
      </c>
      <c r="U39" s="5147">
        <f t="shared" si="12"/>
        <v>4</v>
      </c>
      <c r="V39" s="5147">
        <f t="shared" si="12"/>
        <v>1</v>
      </c>
      <c r="W39" s="5147">
        <f t="shared" si="12"/>
        <v>2</v>
      </c>
      <c r="X39" s="5147">
        <f t="shared" si="12"/>
        <v>3</v>
      </c>
      <c r="Y39" s="5147">
        <f t="shared" si="12"/>
        <v>4</v>
      </c>
      <c r="Z39" s="5147">
        <f t="shared" si="12"/>
        <v>1</v>
      </c>
      <c r="AA39" s="5147">
        <f t="shared" si="12"/>
        <v>2</v>
      </c>
      <c r="AB39" s="5147">
        <f t="shared" si="12"/>
        <v>3</v>
      </c>
      <c r="AC39" s="5147">
        <f t="shared" si="12"/>
        <v>4</v>
      </c>
      <c r="AD39" s="5147">
        <f t="shared" si="12"/>
        <v>1</v>
      </c>
      <c r="AE39" s="5147">
        <f t="shared" si="12"/>
        <v>2</v>
      </c>
      <c r="AF39" s="5147">
        <f t="shared" si="12"/>
        <v>3</v>
      </c>
      <c r="AG39" s="5147">
        <f t="shared" si="12"/>
        <v>4</v>
      </c>
      <c r="AH39" s="5147">
        <f t="shared" si="12"/>
        <v>1</v>
      </c>
      <c r="AI39" s="5147">
        <f t="shared" si="12"/>
        <v>2</v>
      </c>
      <c r="AJ39" s="5147">
        <f t="shared" si="12"/>
        <v>3</v>
      </c>
    </row>
    <row r="40" spans="2:36" ht="15.75" customHeight="1">
      <c r="B40" s="5516"/>
      <c r="C40" s="5142"/>
      <c r="D40" s="5516"/>
      <c r="E40" s="5143"/>
      <c r="F40" s="5136">
        <f t="shared" ref="F40:AJ40" si="13">F6</f>
        <v>44651</v>
      </c>
      <c r="G40" s="5136">
        <f t="shared" si="13"/>
        <v>44742</v>
      </c>
      <c r="H40" s="5136">
        <f t="shared" si="13"/>
        <v>44834</v>
      </c>
      <c r="I40" s="5136">
        <f t="shared" si="13"/>
        <v>44926</v>
      </c>
      <c r="J40" s="5136">
        <f t="shared" si="13"/>
        <v>45016</v>
      </c>
      <c r="K40" s="5136">
        <f t="shared" si="13"/>
        <v>45107</v>
      </c>
      <c r="L40" s="5136">
        <f t="shared" si="13"/>
        <v>45199</v>
      </c>
      <c r="M40" s="5136">
        <f t="shared" si="13"/>
        <v>45291</v>
      </c>
      <c r="N40" s="5136">
        <f t="shared" si="13"/>
        <v>45382</v>
      </c>
      <c r="O40" s="5136">
        <f t="shared" si="13"/>
        <v>45473</v>
      </c>
      <c r="P40" s="5136">
        <f t="shared" si="13"/>
        <v>45565</v>
      </c>
      <c r="Q40" s="5136">
        <f t="shared" si="13"/>
        <v>45657</v>
      </c>
      <c r="R40" s="5136">
        <f t="shared" si="13"/>
        <v>45747</v>
      </c>
      <c r="S40" s="5136">
        <f t="shared" si="13"/>
        <v>45838</v>
      </c>
      <c r="T40" s="5136">
        <f t="shared" si="13"/>
        <v>45930</v>
      </c>
      <c r="U40" s="5136">
        <f t="shared" si="13"/>
        <v>46022</v>
      </c>
      <c r="V40" s="5136">
        <f t="shared" si="13"/>
        <v>46112</v>
      </c>
      <c r="W40" s="5136">
        <f t="shared" si="13"/>
        <v>46203</v>
      </c>
      <c r="X40" s="5136">
        <f t="shared" si="13"/>
        <v>46295</v>
      </c>
      <c r="Y40" s="5136">
        <f t="shared" si="13"/>
        <v>46387</v>
      </c>
      <c r="Z40" s="5136">
        <f t="shared" si="13"/>
        <v>46477</v>
      </c>
      <c r="AA40" s="5136">
        <f t="shared" si="13"/>
        <v>46568</v>
      </c>
      <c r="AB40" s="5136">
        <f t="shared" si="13"/>
        <v>46660</v>
      </c>
      <c r="AC40" s="5136">
        <f t="shared" si="13"/>
        <v>46752</v>
      </c>
      <c r="AD40" s="5136">
        <f t="shared" si="13"/>
        <v>46843</v>
      </c>
      <c r="AE40" s="5136">
        <f t="shared" si="13"/>
        <v>46934</v>
      </c>
      <c r="AF40" s="5136">
        <f t="shared" si="13"/>
        <v>47026</v>
      </c>
      <c r="AG40" s="5136">
        <f t="shared" si="13"/>
        <v>47118</v>
      </c>
      <c r="AH40" s="5136">
        <f t="shared" si="13"/>
        <v>47208</v>
      </c>
      <c r="AI40" s="5136">
        <f t="shared" si="13"/>
        <v>47299</v>
      </c>
      <c r="AJ40" s="5136">
        <f t="shared" si="13"/>
        <v>47391</v>
      </c>
    </row>
    <row r="41" spans="2:36" ht="15.75" customHeight="1">
      <c r="B41" s="5137" t="s">
        <v>5158</v>
      </c>
      <c r="C41" s="5137"/>
      <c r="D41" s="5118">
        <f t="shared" ref="D41:D49" ca="1" si="14">SUM(F41:AJ41)</f>
        <v>11062.066146999996</v>
      </c>
      <c r="E41" s="5094"/>
      <c r="F41" s="5156">
        <f>SUM(F42:F43)</f>
        <v>0</v>
      </c>
      <c r="G41" s="5156">
        <f t="shared" ref="G41:AJ41" ca="1" si="15">SUM(G42:G43)</f>
        <v>0</v>
      </c>
      <c r="H41" s="5156">
        <f t="shared" ca="1" si="15"/>
        <v>975.57556799999986</v>
      </c>
      <c r="I41" s="5156">
        <f t="shared" ca="1" si="15"/>
        <v>931.23122399999988</v>
      </c>
      <c r="J41" s="5156">
        <f t="shared" ca="1" si="15"/>
        <v>885.96303950000004</v>
      </c>
      <c r="K41" s="5156">
        <f t="shared" ca="1" si="15"/>
        <v>840.69485499999996</v>
      </c>
      <c r="L41" s="5156">
        <f t="shared" ca="1" si="15"/>
        <v>795.42667049999989</v>
      </c>
      <c r="M41" s="5156">
        <f t="shared" ca="1" si="15"/>
        <v>749.23464549999983</v>
      </c>
      <c r="N41" s="5156">
        <f t="shared" ca="1" si="15"/>
        <v>702.11877999999967</v>
      </c>
      <c r="O41" s="5156">
        <f t="shared" ca="1" si="15"/>
        <v>659.62211699999989</v>
      </c>
      <c r="P41" s="5156">
        <f t="shared" ca="1" si="15"/>
        <v>616.20161349999978</v>
      </c>
      <c r="Q41" s="5156">
        <f t="shared" ca="1" si="15"/>
        <v>567.23806699999977</v>
      </c>
      <c r="R41" s="5156">
        <f t="shared" ca="1" si="15"/>
        <v>517.35067999999978</v>
      </c>
      <c r="S41" s="5156">
        <f t="shared" ca="1" si="15"/>
        <v>459.14872849999983</v>
      </c>
      <c r="T41" s="5156">
        <f t="shared" ca="1" si="15"/>
        <v>400.94677699999988</v>
      </c>
      <c r="U41" s="5156">
        <f t="shared" ca="1" si="15"/>
        <v>341.82098499999989</v>
      </c>
      <c r="V41" s="5156">
        <f t="shared" ca="1" si="15"/>
        <v>281.77135249999992</v>
      </c>
      <c r="W41" s="5156">
        <f t="shared" ca="1" si="15"/>
        <v>244.81773249999986</v>
      </c>
      <c r="X41" s="5156">
        <f t="shared" ca="1" si="15"/>
        <v>202.32106949999991</v>
      </c>
      <c r="Y41" s="5156">
        <f t="shared" ca="1" si="15"/>
        <v>158.90056599999991</v>
      </c>
      <c r="Z41" s="5156">
        <f t="shared" ca="1" si="15"/>
        <v>121.94694599999988</v>
      </c>
      <c r="AA41" s="5156">
        <f t="shared" ca="1" si="15"/>
        <v>110.8608599999999</v>
      </c>
      <c r="AB41" s="5156">
        <f t="shared" ca="1" si="15"/>
        <v>99.774773999999908</v>
      </c>
      <c r="AC41" s="5156">
        <f t="shared" ca="1" si="15"/>
        <v>88.6886879999999</v>
      </c>
      <c r="AD41" s="5156">
        <f t="shared" ca="1" si="15"/>
        <v>77.602601999999905</v>
      </c>
      <c r="AE41" s="5156">
        <f t="shared" ca="1" si="15"/>
        <v>66.516515999999868</v>
      </c>
      <c r="AF41" s="5156">
        <f t="shared" ca="1" si="15"/>
        <v>55.430429999999888</v>
      </c>
      <c r="AG41" s="5156">
        <f t="shared" ca="1" si="15"/>
        <v>44.344343999999879</v>
      </c>
      <c r="AH41" s="5156">
        <f t="shared" ca="1" si="15"/>
        <v>33.258257999999877</v>
      </c>
      <c r="AI41" s="5156">
        <f t="shared" ca="1" si="15"/>
        <v>22.172171999999883</v>
      </c>
      <c r="AJ41" s="5156">
        <f t="shared" ca="1" si="15"/>
        <v>11.086085999999881</v>
      </c>
    </row>
    <row r="42" spans="2:36" ht="15.75" customHeight="1">
      <c r="B42" s="5110" t="s">
        <v>42</v>
      </c>
      <c r="C42" s="5110"/>
      <c r="D42" s="5118">
        <f t="shared" ca="1" si="14"/>
        <v>11062.066146999996</v>
      </c>
      <c r="E42" s="5094"/>
      <c r="F42" s="5156">
        <f t="shared" ref="F42:AJ42" si="16">F9</f>
        <v>0</v>
      </c>
      <c r="G42" s="5156">
        <f t="shared" ca="1" si="16"/>
        <v>0</v>
      </c>
      <c r="H42" s="5156">
        <f t="shared" ca="1" si="16"/>
        <v>975.57556799999986</v>
      </c>
      <c r="I42" s="5156">
        <f t="shared" ca="1" si="16"/>
        <v>931.23122399999988</v>
      </c>
      <c r="J42" s="5156">
        <f t="shared" ca="1" si="16"/>
        <v>885.96303950000004</v>
      </c>
      <c r="K42" s="5156">
        <f t="shared" ca="1" si="16"/>
        <v>840.69485499999996</v>
      </c>
      <c r="L42" s="5156">
        <f t="shared" ca="1" si="16"/>
        <v>795.42667049999989</v>
      </c>
      <c r="M42" s="5156">
        <f t="shared" ca="1" si="16"/>
        <v>749.23464549999983</v>
      </c>
      <c r="N42" s="5156">
        <f t="shared" ca="1" si="16"/>
        <v>702.11877999999967</v>
      </c>
      <c r="O42" s="5156">
        <f t="shared" ca="1" si="16"/>
        <v>659.62211699999989</v>
      </c>
      <c r="P42" s="5156">
        <f t="shared" ca="1" si="16"/>
        <v>616.20161349999978</v>
      </c>
      <c r="Q42" s="5156">
        <f t="shared" ca="1" si="16"/>
        <v>567.23806699999977</v>
      </c>
      <c r="R42" s="5156">
        <f t="shared" ca="1" si="16"/>
        <v>517.35067999999978</v>
      </c>
      <c r="S42" s="5156">
        <f t="shared" ca="1" si="16"/>
        <v>459.14872849999983</v>
      </c>
      <c r="T42" s="5156">
        <f t="shared" ca="1" si="16"/>
        <v>400.94677699999988</v>
      </c>
      <c r="U42" s="5156">
        <f t="shared" ca="1" si="16"/>
        <v>341.82098499999989</v>
      </c>
      <c r="V42" s="5156">
        <f t="shared" ca="1" si="16"/>
        <v>281.77135249999992</v>
      </c>
      <c r="W42" s="5156">
        <f t="shared" ca="1" si="16"/>
        <v>244.81773249999986</v>
      </c>
      <c r="X42" s="5156">
        <f t="shared" ca="1" si="16"/>
        <v>202.32106949999991</v>
      </c>
      <c r="Y42" s="5156">
        <f t="shared" ca="1" si="16"/>
        <v>158.90056599999991</v>
      </c>
      <c r="Z42" s="5156">
        <f t="shared" ca="1" si="16"/>
        <v>121.94694599999988</v>
      </c>
      <c r="AA42" s="5156">
        <f t="shared" ca="1" si="16"/>
        <v>110.8608599999999</v>
      </c>
      <c r="AB42" s="5156">
        <f t="shared" ca="1" si="16"/>
        <v>99.774773999999908</v>
      </c>
      <c r="AC42" s="5156">
        <f t="shared" ca="1" si="16"/>
        <v>88.6886879999999</v>
      </c>
      <c r="AD42" s="5156">
        <f t="shared" ca="1" si="16"/>
        <v>77.602601999999905</v>
      </c>
      <c r="AE42" s="5156">
        <f t="shared" ca="1" si="16"/>
        <v>66.516515999999868</v>
      </c>
      <c r="AF42" s="5156">
        <f t="shared" ca="1" si="16"/>
        <v>55.430429999999888</v>
      </c>
      <c r="AG42" s="5156">
        <f t="shared" ca="1" si="16"/>
        <v>44.344343999999879</v>
      </c>
      <c r="AH42" s="5156">
        <f t="shared" ca="1" si="16"/>
        <v>33.258257999999877</v>
      </c>
      <c r="AI42" s="5156">
        <f t="shared" ca="1" si="16"/>
        <v>22.172171999999883</v>
      </c>
      <c r="AJ42" s="5156">
        <f t="shared" ca="1" si="16"/>
        <v>11.086085999999881</v>
      </c>
    </row>
    <row r="43" spans="2:36" ht="15.75" customHeight="1">
      <c r="B43" s="5179" t="s">
        <v>5162</v>
      </c>
      <c r="C43" s="5110"/>
      <c r="D43" s="5118">
        <f t="shared" ca="1" si="14"/>
        <v>0</v>
      </c>
      <c r="E43" s="5094"/>
      <c r="F43" s="5156">
        <f>SUMIFS(펀드차입금!38:38,펀드차입금!6:6,F$40)</f>
        <v>0</v>
      </c>
      <c r="G43" s="5156">
        <f ca="1">SUMIFS(펀드차입금!38:38,펀드차입금!6:6,G$40)</f>
        <v>0</v>
      </c>
      <c r="H43" s="5156">
        <f ca="1">SUMIFS(펀드차입금!38:38,펀드차입금!6:6,H$40)</f>
        <v>0</v>
      </c>
      <c r="I43" s="5156">
        <f ca="1">SUMIFS(펀드차입금!38:38,펀드차입금!6:6,I$40)</f>
        <v>0</v>
      </c>
      <c r="J43" s="5156">
        <f ca="1">SUMIFS(펀드차입금!38:38,펀드차입금!6:6,J$40)</f>
        <v>0</v>
      </c>
      <c r="K43" s="5156">
        <f ca="1">SUMIFS(펀드차입금!38:38,펀드차입금!6:6,K$40)</f>
        <v>0</v>
      </c>
      <c r="L43" s="5156">
        <f ca="1">SUMIFS(펀드차입금!38:38,펀드차입금!6:6,L$40)</f>
        <v>0</v>
      </c>
      <c r="M43" s="5156">
        <f ca="1">SUMIFS(펀드차입금!38:38,펀드차입금!6:6,M$40)</f>
        <v>0</v>
      </c>
      <c r="N43" s="5156">
        <f ca="1">SUMIFS(펀드차입금!38:38,펀드차입금!6:6,N$40)</f>
        <v>0</v>
      </c>
      <c r="O43" s="5156">
        <f ca="1">SUMIFS(펀드차입금!38:38,펀드차입금!6:6,O$40)</f>
        <v>0</v>
      </c>
      <c r="P43" s="5156">
        <f ca="1">SUMIFS(펀드차입금!38:38,펀드차입금!6:6,P$40)</f>
        <v>0</v>
      </c>
      <c r="Q43" s="5156">
        <f ca="1">SUMIFS(펀드차입금!38:38,펀드차입금!6:6,Q$40)</f>
        <v>0</v>
      </c>
      <c r="R43" s="5156">
        <f ca="1">SUMIFS(펀드차입금!38:38,펀드차입금!6:6,R$40)</f>
        <v>0</v>
      </c>
      <c r="S43" s="5156">
        <f ca="1">SUMIFS(펀드차입금!38:38,펀드차입금!6:6,S$40)</f>
        <v>0</v>
      </c>
      <c r="T43" s="5156">
        <f ca="1">SUMIFS(펀드차입금!38:38,펀드차입금!6:6,T$40)</f>
        <v>0</v>
      </c>
      <c r="U43" s="5156">
        <f ca="1">SUMIFS(펀드차입금!38:38,펀드차입금!6:6,U$40)</f>
        <v>0</v>
      </c>
      <c r="V43" s="5156">
        <f ca="1">SUMIFS(펀드차입금!38:38,펀드차입금!6:6,V$40)</f>
        <v>0</v>
      </c>
      <c r="W43" s="5156">
        <f ca="1">SUMIFS(펀드차입금!38:38,펀드차입금!6:6,W$40)</f>
        <v>0</v>
      </c>
      <c r="X43" s="5156">
        <f ca="1">SUMIFS(펀드차입금!38:38,펀드차입금!6:6,X$40)</f>
        <v>0</v>
      </c>
      <c r="Y43" s="5156">
        <f ca="1">SUMIFS(펀드차입금!38:38,펀드차입금!6:6,Y$40)</f>
        <v>0</v>
      </c>
      <c r="Z43" s="5156">
        <f ca="1">SUMIFS(펀드차입금!38:38,펀드차입금!6:6,Z$40)</f>
        <v>0</v>
      </c>
      <c r="AA43" s="5156">
        <f ca="1">SUMIFS(펀드차입금!38:38,펀드차입금!6:6,AA$40)</f>
        <v>0</v>
      </c>
      <c r="AB43" s="5156">
        <f ca="1">SUMIFS(펀드차입금!38:38,펀드차입금!6:6,AB$40)</f>
        <v>0</v>
      </c>
      <c r="AC43" s="5156">
        <f ca="1">SUMIFS(펀드차입금!38:38,펀드차입금!6:6,AC$40)</f>
        <v>0</v>
      </c>
      <c r="AD43" s="5156">
        <f ca="1">SUMIFS(펀드차입금!38:38,펀드차입금!6:6,AD$40)</f>
        <v>0</v>
      </c>
      <c r="AE43" s="5156">
        <f ca="1">SUMIFS(펀드차입금!38:38,펀드차입금!6:6,AE$40)</f>
        <v>0</v>
      </c>
      <c r="AF43" s="5156">
        <f ca="1">SUMIFS(펀드차입금!38:38,펀드차입금!6:6,AF$40)</f>
        <v>0</v>
      </c>
      <c r="AG43" s="5156">
        <f ca="1">SUMIFS(펀드차입금!38:38,펀드차입금!6:6,AG$40)</f>
        <v>0</v>
      </c>
      <c r="AH43" s="5156">
        <f ca="1">SUMIFS(펀드차입금!38:38,펀드차입금!6:6,AH$40)</f>
        <v>0</v>
      </c>
      <c r="AI43" s="5156">
        <f ca="1">SUMIFS(펀드차입금!38:38,펀드차입금!6:6,AI$40)</f>
        <v>0</v>
      </c>
      <c r="AJ43" s="5156">
        <f ca="1">SUMIFS(펀드차입금!38:38,펀드차입금!6:6,AJ$40)</f>
        <v>0</v>
      </c>
    </row>
    <row r="44" spans="2:36" ht="15.75" customHeight="1">
      <c r="B44" s="5137" t="s">
        <v>43</v>
      </c>
      <c r="C44" s="5137"/>
      <c r="D44" s="5118">
        <f t="shared" ca="1" si="14"/>
        <v>11062.066147</v>
      </c>
      <c r="E44" s="5140"/>
      <c r="F44" s="5156">
        <f ca="1">SUM(F45:F47)</f>
        <v>0</v>
      </c>
      <c r="G44" s="5156">
        <f t="shared" ref="G44:AJ44" ca="1" si="17">SUM(G45:G47)</f>
        <v>451</v>
      </c>
      <c r="H44" s="5156">
        <f t="shared" ca="1" si="17"/>
        <v>911.00019600000223</v>
      </c>
      <c r="I44" s="5156">
        <f t="shared" ca="1" si="17"/>
        <v>866.22876866666934</v>
      </c>
      <c r="J44" s="5156">
        <f t="shared" ca="1" si="17"/>
        <v>820.96058416666961</v>
      </c>
      <c r="K44" s="5156">
        <f t="shared" ca="1" si="17"/>
        <v>775.69239966666896</v>
      </c>
      <c r="L44" s="5156">
        <f t="shared" ca="1" si="17"/>
        <v>729.99713183333574</v>
      </c>
      <c r="M44" s="5156">
        <f t="shared" ca="1" si="17"/>
        <v>683.37802350000243</v>
      </c>
      <c r="N44" s="5156">
        <f t="shared" ca="1" si="17"/>
        <v>638.39757466666879</v>
      </c>
      <c r="O44" s="5156">
        <f t="shared" ca="1" si="17"/>
        <v>595.47382833333609</v>
      </c>
      <c r="P44" s="5156">
        <f t="shared" ca="1" si="17"/>
        <v>593.56619683333565</v>
      </c>
      <c r="Q44" s="5156">
        <f t="shared" ca="1" si="17"/>
        <v>544.1755670000025</v>
      </c>
      <c r="R44" s="5156">
        <f t="shared" ca="1" si="17"/>
        <v>490.44443000000319</v>
      </c>
      <c r="S44" s="5156">
        <f t="shared" ca="1" si="17"/>
        <v>432.24247850000393</v>
      </c>
      <c r="T44" s="5156">
        <f t="shared" ca="1" si="17"/>
        <v>373.61344366667072</v>
      </c>
      <c r="U44" s="5156">
        <f t="shared" ca="1" si="17"/>
        <v>314.06056833333719</v>
      </c>
      <c r="V44" s="5156">
        <f t="shared" ca="1" si="17"/>
        <v>264.68801916666848</v>
      </c>
      <c r="W44" s="5156">
        <f t="shared" ca="1" si="17"/>
        <v>225.17189916666871</v>
      </c>
      <c r="X44" s="5156">
        <f t="shared" ca="1" si="17"/>
        <v>182.24815283333578</v>
      </c>
      <c r="Y44" s="5156">
        <f t="shared" ca="1" si="17"/>
        <v>141.81723266666836</v>
      </c>
      <c r="Z44" s="5156">
        <f t="shared" ca="1" si="17"/>
        <v>116.82194600000054</v>
      </c>
      <c r="AA44" s="5156">
        <f t="shared" ca="1" si="17"/>
        <v>105.73586000000051</v>
      </c>
      <c r="AB44" s="5156">
        <f t="shared" ca="1" si="17"/>
        <v>94.649774000000491</v>
      </c>
      <c r="AC44" s="5156">
        <f t="shared" ca="1" si="17"/>
        <v>83.563688000000468</v>
      </c>
      <c r="AD44" s="5156">
        <f t="shared" ca="1" si="17"/>
        <v>72.477602000000445</v>
      </c>
      <c r="AE44" s="5156">
        <f t="shared" ca="1" si="17"/>
        <v>61.391516000000422</v>
      </c>
      <c r="AF44" s="5156">
        <f t="shared" ca="1" si="17"/>
        <v>50.305430000000626</v>
      </c>
      <c r="AG44" s="5156">
        <f t="shared" ca="1" si="17"/>
        <v>39.219344000000604</v>
      </c>
      <c r="AH44" s="5156">
        <f t="shared" ca="1" si="17"/>
        <v>28.133258000000581</v>
      </c>
      <c r="AI44" s="5156">
        <f t="shared" ca="1" si="17"/>
        <v>17.047172000000558</v>
      </c>
      <c r="AJ44" s="5156">
        <f t="shared" ca="1" si="17"/>
        <v>358.56406199994649</v>
      </c>
    </row>
    <row r="45" spans="2:36" ht="15.75" customHeight="1">
      <c r="B45" s="5110" t="s">
        <v>44</v>
      </c>
      <c r="C45" s="5110"/>
      <c r="D45" s="5118">
        <f t="shared" ca="1" si="14"/>
        <v>9545.8277009163576</v>
      </c>
      <c r="E45" s="5140"/>
      <c r="F45" s="5156">
        <f t="shared" ref="F45:AJ45" si="18">SUM(F11:F12)</f>
        <v>0</v>
      </c>
      <c r="G45" s="5156">
        <f t="shared" ca="1" si="18"/>
        <v>0</v>
      </c>
      <c r="H45" s="5156">
        <f t="shared" ca="1" si="18"/>
        <v>854.95836629041082</v>
      </c>
      <c r="I45" s="5156">
        <f t="shared" ca="1" si="18"/>
        <v>815.66914318497402</v>
      </c>
      <c r="J45" s="5156">
        <f t="shared" ca="1" si="18"/>
        <v>758.71007649243575</v>
      </c>
      <c r="K45" s="5156">
        <f t="shared" ca="1" si="18"/>
        <v>727.47720266961414</v>
      </c>
      <c r="L45" s="5156">
        <f t="shared" ca="1" si="18"/>
        <v>695.37261487352112</v>
      </c>
      <c r="M45" s="5156">
        <f t="shared" ca="1" si="18"/>
        <v>654.46415243798913</v>
      </c>
      <c r="N45" s="5156">
        <f t="shared" ca="1" si="18"/>
        <v>606.08578696417658</v>
      </c>
      <c r="O45" s="5156">
        <f t="shared" ca="1" si="18"/>
        <v>568.82525953421964</v>
      </c>
      <c r="P45" s="5156">
        <f t="shared" ca="1" si="18"/>
        <v>536.5964831216794</v>
      </c>
      <c r="Q45" s="5156">
        <f t="shared" ca="1" si="18"/>
        <v>493.6866408741493</v>
      </c>
      <c r="R45" s="5156">
        <f t="shared" ca="1" si="18"/>
        <v>440.18528376675476</v>
      </c>
      <c r="S45" s="5156">
        <f t="shared" ca="1" si="18"/>
        <v>394.62460593243833</v>
      </c>
      <c r="T45" s="5156">
        <f t="shared" ca="1" si="18"/>
        <v>347.9551011655567</v>
      </c>
      <c r="U45" s="5156">
        <f t="shared" ca="1" si="18"/>
        <v>296.1394426025015</v>
      </c>
      <c r="V45" s="5156">
        <f t="shared" ca="1" si="18"/>
        <v>238.22037819234646</v>
      </c>
      <c r="W45" s="5156">
        <f t="shared" ca="1" si="18"/>
        <v>208.8344932314838</v>
      </c>
      <c r="X45" s="5156">
        <f t="shared" ca="1" si="18"/>
        <v>173.88687318029321</v>
      </c>
      <c r="Y45" s="5156">
        <f t="shared" ca="1" si="18"/>
        <v>135.83474892304957</v>
      </c>
      <c r="Z45" s="5156">
        <f t="shared" ca="1" si="18"/>
        <v>101.20105009676747</v>
      </c>
      <c r="AA45" s="5156">
        <f t="shared" ca="1" si="18"/>
        <v>92.715672793387157</v>
      </c>
      <c r="AB45" s="5156">
        <f t="shared" ca="1" si="18"/>
        <v>84.019090359994379</v>
      </c>
      <c r="AC45" s="5156">
        <f t="shared" ca="1" si="18"/>
        <v>74.303654379421545</v>
      </c>
      <c r="AD45" s="5156">
        <f t="shared" ca="1" si="18"/>
        <v>63.886172546687291</v>
      </c>
      <c r="AE45" s="5156">
        <f t="shared" ca="1" si="18"/>
        <v>54.276339131120679</v>
      </c>
      <c r="AF45" s="5156">
        <f t="shared" ca="1" si="18"/>
        <v>45.157346437702998</v>
      </c>
      <c r="AG45" s="5156">
        <f t="shared" ca="1" si="18"/>
        <v>35.441910457130149</v>
      </c>
      <c r="AH45" s="5156">
        <f t="shared" ca="1" si="18"/>
        <v>25.167203292284324</v>
      </c>
      <c r="AI45" s="5156">
        <f t="shared" ca="1" si="18"/>
        <v>15.837005468854198</v>
      </c>
      <c r="AJ45" s="5156">
        <f t="shared" ca="1" si="18"/>
        <v>6.2956025154116171</v>
      </c>
    </row>
    <row r="46" spans="2:36" ht="15.75" customHeight="1">
      <c r="B46" s="5110" t="s">
        <v>5155</v>
      </c>
      <c r="C46" s="5110"/>
      <c r="D46" s="5118">
        <f t="shared" ca="1" si="14"/>
        <v>1065.2384460836436</v>
      </c>
      <c r="E46" s="5140"/>
      <c r="F46" s="5156">
        <f>F15</f>
        <v>0</v>
      </c>
      <c r="G46" s="5156">
        <f t="shared" ref="G46:AJ46" ca="1" si="19">G15</f>
        <v>0</v>
      </c>
      <c r="H46" s="5156">
        <f t="shared" ca="1" si="19"/>
        <v>56.041829709591411</v>
      </c>
      <c r="I46" s="5156">
        <f t="shared" ca="1" si="19"/>
        <v>50.559625481695264</v>
      </c>
      <c r="J46" s="5156">
        <f t="shared" ca="1" si="19"/>
        <v>62.250507674233887</v>
      </c>
      <c r="K46" s="5156">
        <f t="shared" ca="1" si="19"/>
        <v>48.215196997054818</v>
      </c>
      <c r="L46" s="5156">
        <f t="shared" ca="1" si="19"/>
        <v>34.624516959814656</v>
      </c>
      <c r="M46" s="5156">
        <f t="shared" ca="1" si="19"/>
        <v>28.9138710620133</v>
      </c>
      <c r="N46" s="5156">
        <f t="shared" ca="1" si="19"/>
        <v>32.311787702492268</v>
      </c>
      <c r="O46" s="5156">
        <f t="shared" ca="1" si="19"/>
        <v>26.648568799116475</v>
      </c>
      <c r="P46" s="5156">
        <f t="shared" ca="1" si="19"/>
        <v>56.969713711656283</v>
      </c>
      <c r="Q46" s="5156">
        <f t="shared" ca="1" si="19"/>
        <v>50.488926125853197</v>
      </c>
      <c r="R46" s="5156">
        <f t="shared" ca="1" si="19"/>
        <v>50.259146233248458</v>
      </c>
      <c r="S46" s="5156">
        <f t="shared" ca="1" si="19"/>
        <v>37.617872567565598</v>
      </c>
      <c r="T46" s="5156">
        <f t="shared" ca="1" si="19"/>
        <v>25.658342501114049</v>
      </c>
      <c r="U46" s="5156">
        <f t="shared" ca="1" si="19"/>
        <v>17.921125730835655</v>
      </c>
      <c r="V46" s="5156">
        <f t="shared" ca="1" si="19"/>
        <v>26.467640974322023</v>
      </c>
      <c r="W46" s="5156">
        <f t="shared" ca="1" si="19"/>
        <v>16.337405935184918</v>
      </c>
      <c r="X46" s="5156">
        <f t="shared" ca="1" si="19"/>
        <v>8.3612796530425584</v>
      </c>
      <c r="Y46" s="5156">
        <f t="shared" ca="1" si="19"/>
        <v>5.9824837436187934</v>
      </c>
      <c r="Z46" s="5156">
        <f t="shared" ca="1" si="19"/>
        <v>15.620895903233063</v>
      </c>
      <c r="AA46" s="5156">
        <f t="shared" ca="1" si="19"/>
        <v>13.020187206613361</v>
      </c>
      <c r="AB46" s="5156">
        <f t="shared" ca="1" si="19"/>
        <v>10.630683640006112</v>
      </c>
      <c r="AC46" s="5156">
        <f t="shared" ca="1" si="19"/>
        <v>9.2600336205789304</v>
      </c>
      <c r="AD46" s="5156">
        <f t="shared" ca="1" si="19"/>
        <v>8.5914294533131574</v>
      </c>
      <c r="AE46" s="5156">
        <f t="shared" ca="1" si="19"/>
        <v>7.1151768688797468</v>
      </c>
      <c r="AF46" s="5156">
        <f t="shared" ca="1" si="19"/>
        <v>5.1480835622976286</v>
      </c>
      <c r="AG46" s="5156">
        <f t="shared" ca="1" si="19"/>
        <v>3.7774335428704511</v>
      </c>
      <c r="AH46" s="5156">
        <f t="shared" ca="1" si="19"/>
        <v>2.9660547077162569</v>
      </c>
      <c r="AI46" s="5156">
        <f t="shared" ca="1" si="19"/>
        <v>1.2101665311463607</v>
      </c>
      <c r="AJ46" s="5156">
        <f t="shared" ca="1" si="19"/>
        <v>352.26845948453484</v>
      </c>
    </row>
    <row r="47" spans="2:36" ht="15.75" customHeight="1">
      <c r="B47" s="5110" t="s">
        <v>5134</v>
      </c>
      <c r="C47" s="5110"/>
      <c r="D47" s="5118">
        <f t="shared" ca="1" si="14"/>
        <v>451</v>
      </c>
      <c r="E47" s="5140"/>
      <c r="F47" s="5156">
        <f ca="1">(F40=Sensitivity!$E$10)*펀드차입금!$D$83</f>
        <v>0</v>
      </c>
      <c r="G47" s="5156">
        <f ca="1">(G40=Sensitivity!$E$10)*펀드차입금!$D$83</f>
        <v>451</v>
      </c>
      <c r="H47" s="5156">
        <f ca="1">(H40=Sensitivity!$E$10)*펀드차입금!$D$83</f>
        <v>0</v>
      </c>
      <c r="I47" s="5156">
        <f ca="1">(I40=Sensitivity!$E$10)*펀드차입금!$D$83</f>
        <v>0</v>
      </c>
      <c r="J47" s="5156">
        <f ca="1">(J40=Sensitivity!$E$10)*펀드차입금!$D$83</f>
        <v>0</v>
      </c>
      <c r="K47" s="5156">
        <f ca="1">(K40=Sensitivity!$E$10)*펀드차입금!$D$83</f>
        <v>0</v>
      </c>
      <c r="L47" s="5156">
        <f ca="1">(L40=Sensitivity!$E$10)*펀드차입금!$D$83</f>
        <v>0</v>
      </c>
      <c r="M47" s="5156">
        <f ca="1">(M40=Sensitivity!$E$10)*펀드차입금!$D$83</f>
        <v>0</v>
      </c>
      <c r="N47" s="5156">
        <f ca="1">(N40=Sensitivity!$E$10)*펀드차입금!$D$83</f>
        <v>0</v>
      </c>
      <c r="O47" s="5156">
        <f ca="1">(O40=Sensitivity!$E$10)*펀드차입금!$D$83</f>
        <v>0</v>
      </c>
      <c r="P47" s="5156">
        <f ca="1">(P40=Sensitivity!$E$10)*펀드차입금!$D$83</f>
        <v>0</v>
      </c>
      <c r="Q47" s="5156">
        <f ca="1">(Q40=Sensitivity!$E$10)*펀드차입금!$D$83</f>
        <v>0</v>
      </c>
      <c r="R47" s="5156">
        <f ca="1">(R40=Sensitivity!$E$10)*펀드차입금!$D$83</f>
        <v>0</v>
      </c>
      <c r="S47" s="5156">
        <f ca="1">(S40=Sensitivity!$E$10)*펀드차입금!$D$83</f>
        <v>0</v>
      </c>
      <c r="T47" s="5156">
        <f ca="1">(T40=Sensitivity!$E$10)*펀드차입금!$D$83</f>
        <v>0</v>
      </c>
      <c r="U47" s="5156">
        <f ca="1">(U40=Sensitivity!$E$10)*펀드차입금!$D$83</f>
        <v>0</v>
      </c>
      <c r="V47" s="5156">
        <f ca="1">(V40=Sensitivity!$E$10)*펀드차입금!$D$83</f>
        <v>0</v>
      </c>
      <c r="W47" s="5156">
        <f ca="1">(W40=Sensitivity!$E$10)*펀드차입금!$D$83</f>
        <v>0</v>
      </c>
      <c r="X47" s="5156">
        <f ca="1">(X40=Sensitivity!$E$10)*펀드차입금!$D$83</f>
        <v>0</v>
      </c>
      <c r="Y47" s="5156">
        <f ca="1">(Y40=Sensitivity!$E$10)*펀드차입금!$D$83</f>
        <v>0</v>
      </c>
      <c r="Z47" s="5156">
        <f ca="1">(Z40=Sensitivity!$E$10)*펀드차입금!$D$83</f>
        <v>0</v>
      </c>
      <c r="AA47" s="5156">
        <f ca="1">(AA40=Sensitivity!$E$10)*펀드차입금!$D$83</f>
        <v>0</v>
      </c>
      <c r="AB47" s="5156">
        <f ca="1">(AB40=Sensitivity!$E$10)*펀드차입금!$D$83</f>
        <v>0</v>
      </c>
      <c r="AC47" s="5156">
        <f ca="1">(AC40=Sensitivity!$E$10)*펀드차입금!$D$83</f>
        <v>0</v>
      </c>
      <c r="AD47" s="5156">
        <f ca="1">(AD40=Sensitivity!$E$10)*펀드차입금!$D$83</f>
        <v>0</v>
      </c>
      <c r="AE47" s="5156">
        <f ca="1">(AE40=Sensitivity!$E$10)*펀드차입금!$D$83</f>
        <v>0</v>
      </c>
      <c r="AF47" s="5156">
        <f ca="1">(AF40=Sensitivity!$E$10)*펀드차입금!$D$83</f>
        <v>0</v>
      </c>
      <c r="AG47" s="5156">
        <f ca="1">(AG40=Sensitivity!$E$10)*펀드차입금!$D$83</f>
        <v>0</v>
      </c>
      <c r="AH47" s="5156">
        <f ca="1">(AH40=Sensitivity!$E$10)*펀드차입금!$D$83</f>
        <v>0</v>
      </c>
      <c r="AI47" s="5156">
        <f ca="1">(AI40=Sensitivity!$E$10)*펀드차입금!$D$83</f>
        <v>0</v>
      </c>
      <c r="AJ47" s="5156">
        <f ca="1">(AJ40=Sensitivity!$E$10)*펀드차입금!$D$83</f>
        <v>0</v>
      </c>
    </row>
    <row r="48" spans="2:36" ht="15.75" customHeight="1">
      <c r="B48" s="5137" t="s">
        <v>45</v>
      </c>
      <c r="C48" s="5137"/>
      <c r="D48" s="5118">
        <f t="shared" ca="1" si="14"/>
        <v>-3.0695446184836328E-12</v>
      </c>
      <c r="E48" s="5140"/>
      <c r="F48" s="5156">
        <f t="shared" ref="F48:AJ48" ca="1" si="20">F41-F44</f>
        <v>0</v>
      </c>
      <c r="G48" s="5156">
        <f t="shared" ca="1" si="20"/>
        <v>-451</v>
      </c>
      <c r="H48" s="5156">
        <f t="shared" ca="1" si="20"/>
        <v>64.575371999997628</v>
      </c>
      <c r="I48" s="5156">
        <f t="shared" ca="1" si="20"/>
        <v>65.002455333330545</v>
      </c>
      <c r="J48" s="5156">
        <f t="shared" ca="1" si="20"/>
        <v>65.002455333330431</v>
      </c>
      <c r="K48" s="5156">
        <f t="shared" ca="1" si="20"/>
        <v>65.002455333331</v>
      </c>
      <c r="L48" s="5156">
        <f t="shared" ca="1" si="20"/>
        <v>65.429538666664143</v>
      </c>
      <c r="M48" s="5156">
        <f t="shared" ca="1" si="20"/>
        <v>65.856621999997401</v>
      </c>
      <c r="N48" s="5156">
        <f t="shared" ca="1" si="20"/>
        <v>63.721205333330886</v>
      </c>
      <c r="O48" s="5156">
        <f t="shared" ca="1" si="20"/>
        <v>64.148288666663802</v>
      </c>
      <c r="P48" s="5156">
        <f t="shared" ca="1" si="20"/>
        <v>22.635416666664128</v>
      </c>
      <c r="Q48" s="5156">
        <f t="shared" ca="1" si="20"/>
        <v>23.062499999997272</v>
      </c>
      <c r="R48" s="5156">
        <f t="shared" ca="1" si="20"/>
        <v>26.906249999996589</v>
      </c>
      <c r="S48" s="5156">
        <f t="shared" ca="1" si="20"/>
        <v>26.906249999995907</v>
      </c>
      <c r="T48" s="5156">
        <f t="shared" ca="1" si="20"/>
        <v>27.333333333329165</v>
      </c>
      <c r="U48" s="5156">
        <f t="shared" ca="1" si="20"/>
        <v>27.760416666662707</v>
      </c>
      <c r="V48" s="5156">
        <f t="shared" ca="1" si="20"/>
        <v>17.083333333331439</v>
      </c>
      <c r="W48" s="5156">
        <f t="shared" ca="1" si="20"/>
        <v>19.645833333331154</v>
      </c>
      <c r="X48" s="5156">
        <f t="shared" ca="1" si="20"/>
        <v>20.072916666664128</v>
      </c>
      <c r="Y48" s="5156">
        <f t="shared" ca="1" si="20"/>
        <v>17.083333333331552</v>
      </c>
      <c r="Z48" s="5156">
        <f t="shared" ca="1" si="20"/>
        <v>5.1249999999993463</v>
      </c>
      <c r="AA48" s="5156">
        <f t="shared" ca="1" si="20"/>
        <v>5.1249999999993889</v>
      </c>
      <c r="AB48" s="5156">
        <f t="shared" ca="1" si="20"/>
        <v>5.1249999999994174</v>
      </c>
      <c r="AC48" s="5156">
        <f t="shared" ca="1" si="20"/>
        <v>5.1249999999994316</v>
      </c>
      <c r="AD48" s="5156">
        <f t="shared" ca="1" si="20"/>
        <v>5.12499999999946</v>
      </c>
      <c r="AE48" s="5156">
        <f t="shared" ca="1" si="20"/>
        <v>5.1249999999994458</v>
      </c>
      <c r="AF48" s="5156">
        <f t="shared" ca="1" si="20"/>
        <v>5.124999999999261</v>
      </c>
      <c r="AG48" s="5156">
        <f t="shared" ca="1" si="20"/>
        <v>5.1249999999992752</v>
      </c>
      <c r="AH48" s="5156">
        <f t="shared" ca="1" si="20"/>
        <v>5.1249999999992966</v>
      </c>
      <c r="AI48" s="5156">
        <f t="shared" ca="1" si="20"/>
        <v>5.124999999999325</v>
      </c>
      <c r="AJ48" s="5156">
        <f t="shared" ca="1" si="20"/>
        <v>-347.47797599994658</v>
      </c>
    </row>
    <row r="49" spans="2:36" ht="15.75" customHeight="1">
      <c r="B49" s="5137" t="s">
        <v>46</v>
      </c>
      <c r="C49" s="5137"/>
      <c r="D49" s="5118">
        <f t="shared" si="14"/>
        <v>0</v>
      </c>
      <c r="E49" s="5140"/>
      <c r="F49" s="5156">
        <v>0</v>
      </c>
      <c r="G49" s="5156">
        <v>0</v>
      </c>
      <c r="H49" s="5156">
        <v>0</v>
      </c>
      <c r="I49" s="5156">
        <v>0</v>
      </c>
      <c r="J49" s="5156">
        <v>0</v>
      </c>
      <c r="K49" s="5156">
        <v>0</v>
      </c>
      <c r="L49" s="5156">
        <v>0</v>
      </c>
      <c r="M49" s="5156">
        <v>0</v>
      </c>
      <c r="N49" s="5156">
        <v>0</v>
      </c>
      <c r="O49" s="5156">
        <v>0</v>
      </c>
      <c r="P49" s="5156">
        <v>0</v>
      </c>
      <c r="Q49" s="5156">
        <v>0</v>
      </c>
      <c r="R49" s="5156">
        <v>0</v>
      </c>
      <c r="S49" s="5156">
        <v>0</v>
      </c>
      <c r="T49" s="5156">
        <v>0</v>
      </c>
      <c r="U49" s="5156">
        <v>0</v>
      </c>
      <c r="V49" s="5156">
        <v>0</v>
      </c>
      <c r="W49" s="5156">
        <v>0</v>
      </c>
      <c r="X49" s="5156">
        <v>0</v>
      </c>
      <c r="Y49" s="5156">
        <v>0</v>
      </c>
      <c r="Z49" s="5156">
        <v>0</v>
      </c>
      <c r="AA49" s="5156">
        <v>0</v>
      </c>
      <c r="AB49" s="5156">
        <v>0</v>
      </c>
      <c r="AC49" s="5156">
        <v>0</v>
      </c>
      <c r="AD49" s="5156">
        <v>0</v>
      </c>
      <c r="AE49" s="5156">
        <v>0</v>
      </c>
      <c r="AF49" s="5156">
        <v>0</v>
      </c>
      <c r="AG49" s="5156">
        <v>0</v>
      </c>
      <c r="AH49" s="5156">
        <v>0</v>
      </c>
      <c r="AI49" s="5156">
        <v>0</v>
      </c>
      <c r="AJ49" s="5156">
        <v>0</v>
      </c>
    </row>
    <row r="50" spans="2:36" ht="15.75" customHeight="1">
      <c r="B50" s="5137" t="s">
        <v>47</v>
      </c>
      <c r="C50" s="5137"/>
      <c r="D50" s="5118">
        <f ca="1">SUM(F50:AJ50)</f>
        <v>-3.0695446184836328E-12</v>
      </c>
      <c r="E50" s="5140"/>
      <c r="F50" s="5156">
        <f ca="1">F48-F49</f>
        <v>0</v>
      </c>
      <c r="G50" s="5156">
        <f t="shared" ref="G50:AJ50" ca="1" si="21">G48-G49</f>
        <v>-451</v>
      </c>
      <c r="H50" s="5156">
        <f t="shared" ca="1" si="21"/>
        <v>64.575371999997628</v>
      </c>
      <c r="I50" s="5156">
        <f t="shared" ca="1" si="21"/>
        <v>65.002455333330545</v>
      </c>
      <c r="J50" s="5156">
        <f t="shared" ca="1" si="21"/>
        <v>65.002455333330431</v>
      </c>
      <c r="K50" s="5156">
        <f t="shared" ca="1" si="21"/>
        <v>65.002455333331</v>
      </c>
      <c r="L50" s="5156">
        <f t="shared" ca="1" si="21"/>
        <v>65.429538666664143</v>
      </c>
      <c r="M50" s="5156">
        <f t="shared" ca="1" si="21"/>
        <v>65.856621999997401</v>
      </c>
      <c r="N50" s="5156">
        <f t="shared" ca="1" si="21"/>
        <v>63.721205333330886</v>
      </c>
      <c r="O50" s="5156">
        <f t="shared" ca="1" si="21"/>
        <v>64.148288666663802</v>
      </c>
      <c r="P50" s="5156">
        <f t="shared" ca="1" si="21"/>
        <v>22.635416666664128</v>
      </c>
      <c r="Q50" s="5156">
        <f t="shared" ca="1" si="21"/>
        <v>23.062499999997272</v>
      </c>
      <c r="R50" s="5156">
        <f t="shared" ca="1" si="21"/>
        <v>26.906249999996589</v>
      </c>
      <c r="S50" s="5156">
        <f t="shared" ca="1" si="21"/>
        <v>26.906249999995907</v>
      </c>
      <c r="T50" s="5156">
        <f t="shared" ca="1" si="21"/>
        <v>27.333333333329165</v>
      </c>
      <c r="U50" s="5156">
        <f t="shared" ca="1" si="21"/>
        <v>27.760416666662707</v>
      </c>
      <c r="V50" s="5156">
        <f t="shared" ca="1" si="21"/>
        <v>17.083333333331439</v>
      </c>
      <c r="W50" s="5156">
        <f t="shared" ca="1" si="21"/>
        <v>19.645833333331154</v>
      </c>
      <c r="X50" s="5156">
        <f t="shared" ca="1" si="21"/>
        <v>20.072916666664128</v>
      </c>
      <c r="Y50" s="5156">
        <f t="shared" ca="1" si="21"/>
        <v>17.083333333331552</v>
      </c>
      <c r="Z50" s="5156">
        <f t="shared" ca="1" si="21"/>
        <v>5.1249999999993463</v>
      </c>
      <c r="AA50" s="5156">
        <f t="shared" ca="1" si="21"/>
        <v>5.1249999999993889</v>
      </c>
      <c r="AB50" s="5156">
        <f t="shared" ca="1" si="21"/>
        <v>5.1249999999994174</v>
      </c>
      <c r="AC50" s="5156">
        <f t="shared" ca="1" si="21"/>
        <v>5.1249999999994316</v>
      </c>
      <c r="AD50" s="5156">
        <f t="shared" ca="1" si="21"/>
        <v>5.12499999999946</v>
      </c>
      <c r="AE50" s="5156">
        <f t="shared" ca="1" si="21"/>
        <v>5.1249999999994458</v>
      </c>
      <c r="AF50" s="5156">
        <f t="shared" ca="1" si="21"/>
        <v>5.124999999999261</v>
      </c>
      <c r="AG50" s="5156">
        <f t="shared" ca="1" si="21"/>
        <v>5.1249999999992752</v>
      </c>
      <c r="AH50" s="5156">
        <f t="shared" ca="1" si="21"/>
        <v>5.1249999999992966</v>
      </c>
      <c r="AI50" s="5156">
        <f t="shared" ca="1" si="21"/>
        <v>5.124999999999325</v>
      </c>
      <c r="AJ50" s="5156">
        <f t="shared" ca="1" si="21"/>
        <v>-347.47797599994658</v>
      </c>
    </row>
    <row r="51" spans="2:36" ht="15.75" customHeight="1"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</row>
    <row r="52" spans="2:36" ht="15.75" customHeight="1">
      <c r="B52" s="5515" t="s">
        <v>5138</v>
      </c>
      <c r="C52" s="5141"/>
      <c r="D52" s="5515" t="s">
        <v>4625</v>
      </c>
      <c r="E52" s="5141"/>
      <c r="F52" s="5134">
        <v>2022</v>
      </c>
      <c r="G52" s="5134">
        <v>2023</v>
      </c>
      <c r="H52" s="5134">
        <v>2024</v>
      </c>
      <c r="I52" s="5134">
        <v>2025</v>
      </c>
      <c r="J52" s="5134">
        <v>2026</v>
      </c>
      <c r="K52" s="5134">
        <v>2027</v>
      </c>
      <c r="L52" s="5134">
        <v>2028</v>
      </c>
      <c r="M52" s="5134">
        <v>2029</v>
      </c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</row>
    <row r="53" spans="2:36" ht="15.75" customHeight="1">
      <c r="B53" s="5516"/>
      <c r="C53" s="5142"/>
      <c r="D53" s="5516"/>
      <c r="E53" s="5143"/>
      <c r="F53" s="5136">
        <v>44926</v>
      </c>
      <c r="G53" s="5136">
        <v>45291</v>
      </c>
      <c r="H53" s="5136">
        <v>45657</v>
      </c>
      <c r="I53" s="5136">
        <v>46022</v>
      </c>
      <c r="J53" s="5136">
        <v>46387</v>
      </c>
      <c r="K53" s="5136">
        <v>46752</v>
      </c>
      <c r="L53" s="5136">
        <v>47118</v>
      </c>
      <c r="M53" s="5136">
        <v>47391</v>
      </c>
    </row>
    <row r="54" spans="2:36" ht="15.75" customHeight="1">
      <c r="B54" s="5137" t="str">
        <f>B41</f>
        <v>수익</v>
      </c>
      <c r="C54" s="5137"/>
      <c r="D54" s="5118">
        <f t="shared" ref="D54:D63" ca="1" si="22">SUM(F54:AJ54)</f>
        <v>11062.066146999998</v>
      </c>
      <c r="E54" s="5094"/>
      <c r="F54" s="5156">
        <f t="shared" ref="F54:M63" ca="1" si="23">SUMIFS(41:41,$38:$38,F$52)</f>
        <v>1906.8067919999999</v>
      </c>
      <c r="G54" s="5156">
        <f t="shared" ca="1" si="23"/>
        <v>3271.3192104999998</v>
      </c>
      <c r="H54" s="5156">
        <f t="shared" ca="1" si="23"/>
        <v>2545.1805774999993</v>
      </c>
      <c r="I54" s="5156">
        <f t="shared" ca="1" si="23"/>
        <v>1719.2671704999993</v>
      </c>
      <c r="J54" s="5156">
        <f t="shared" ca="1" si="23"/>
        <v>887.81072049999966</v>
      </c>
      <c r="K54" s="5156">
        <f t="shared" ca="1" si="23"/>
        <v>421.27126799999962</v>
      </c>
      <c r="L54" s="5156">
        <f t="shared" ca="1" si="23"/>
        <v>243.89389199999954</v>
      </c>
      <c r="M54" s="5156">
        <f t="shared" ca="1" si="23"/>
        <v>66.51651599999964</v>
      </c>
    </row>
    <row r="55" spans="2:36" ht="15.75" customHeight="1">
      <c r="B55" s="5110" t="str">
        <f t="shared" ref="B55:B63" si="24">B42</f>
        <v>이자수익</v>
      </c>
      <c r="C55" s="5110"/>
      <c r="D55" s="5118">
        <f t="shared" ca="1" si="22"/>
        <v>11062.066146999998</v>
      </c>
      <c r="E55" s="5094"/>
      <c r="F55" s="5156">
        <f t="shared" ca="1" si="23"/>
        <v>1906.8067919999999</v>
      </c>
      <c r="G55" s="5156">
        <f t="shared" ca="1" si="23"/>
        <v>3271.3192104999998</v>
      </c>
      <c r="H55" s="5156">
        <f t="shared" ca="1" si="23"/>
        <v>2545.1805774999993</v>
      </c>
      <c r="I55" s="5156">
        <f t="shared" ca="1" si="23"/>
        <v>1719.2671704999993</v>
      </c>
      <c r="J55" s="5156">
        <f t="shared" ca="1" si="23"/>
        <v>887.81072049999966</v>
      </c>
      <c r="K55" s="5156">
        <f t="shared" ca="1" si="23"/>
        <v>421.27126799999962</v>
      </c>
      <c r="L55" s="5156">
        <f t="shared" ca="1" si="23"/>
        <v>243.89389199999954</v>
      </c>
      <c r="M55" s="5156">
        <f t="shared" ca="1" si="23"/>
        <v>66.51651599999964</v>
      </c>
    </row>
    <row r="56" spans="2:36" ht="15.75" customHeight="1">
      <c r="B56" s="5110" t="str">
        <f t="shared" si="24"/>
        <v>조정이익(원금미지급)</v>
      </c>
      <c r="C56" s="5110"/>
      <c r="D56" s="5118">
        <f t="shared" ca="1" si="22"/>
        <v>0</v>
      </c>
      <c r="E56" s="5094"/>
      <c r="F56" s="5156">
        <f t="shared" ca="1" si="23"/>
        <v>0</v>
      </c>
      <c r="G56" s="5156">
        <f t="shared" ca="1" si="23"/>
        <v>0</v>
      </c>
      <c r="H56" s="5156">
        <f t="shared" ca="1" si="23"/>
        <v>0</v>
      </c>
      <c r="I56" s="5156">
        <f t="shared" ca="1" si="23"/>
        <v>0</v>
      </c>
      <c r="J56" s="5156">
        <f t="shared" ca="1" si="23"/>
        <v>0</v>
      </c>
      <c r="K56" s="5156">
        <f t="shared" ca="1" si="23"/>
        <v>0</v>
      </c>
      <c r="L56" s="5156">
        <f t="shared" ca="1" si="23"/>
        <v>0</v>
      </c>
      <c r="M56" s="5156">
        <f t="shared" ca="1" si="23"/>
        <v>0</v>
      </c>
    </row>
    <row r="57" spans="2:36" ht="15.75" customHeight="1">
      <c r="B57" s="5137" t="str">
        <f t="shared" si="24"/>
        <v>비용</v>
      </c>
      <c r="C57" s="5137"/>
      <c r="D57" s="5118">
        <f t="shared" ca="1" si="22"/>
        <v>11062.066146999998</v>
      </c>
      <c r="E57" s="5140"/>
      <c r="F57" s="5156">
        <f t="shared" ca="1" si="23"/>
        <v>2228.2289646666713</v>
      </c>
      <c r="G57" s="5156">
        <f t="shared" ca="1" si="23"/>
        <v>3010.0281391666767</v>
      </c>
      <c r="H57" s="5156">
        <f t="shared" ca="1" si="23"/>
        <v>2371.6131668333428</v>
      </c>
      <c r="I57" s="5156">
        <f t="shared" ca="1" si="23"/>
        <v>1610.360920500015</v>
      </c>
      <c r="J57" s="5156">
        <f t="shared" ca="1" si="23"/>
        <v>813.92530383334133</v>
      </c>
      <c r="K57" s="5156">
        <f t="shared" ca="1" si="23"/>
        <v>400.77126800000201</v>
      </c>
      <c r="L57" s="5156">
        <f t="shared" ca="1" si="23"/>
        <v>223.3938920000021</v>
      </c>
      <c r="M57" s="5156">
        <f t="shared" ca="1" si="23"/>
        <v>403.74449199994763</v>
      </c>
    </row>
    <row r="58" spans="2:36" ht="15.75" customHeight="1">
      <c r="B58" s="5110" t="str">
        <f t="shared" si="24"/>
        <v>이자비용</v>
      </c>
      <c r="C58" s="5110"/>
      <c r="D58" s="5118">
        <f t="shared" ca="1" si="22"/>
        <v>9545.8277009163576</v>
      </c>
      <c r="E58" s="5140"/>
      <c r="F58" s="5156">
        <f t="shared" ca="1" si="23"/>
        <v>1670.6275094753848</v>
      </c>
      <c r="G58" s="5156">
        <f t="shared" ca="1" si="23"/>
        <v>2836.0240464735602</v>
      </c>
      <c r="H58" s="5156">
        <f t="shared" ca="1" si="23"/>
        <v>2205.1941704942251</v>
      </c>
      <c r="I58" s="5156">
        <f t="shared" ca="1" si="23"/>
        <v>1478.9044334672512</v>
      </c>
      <c r="J58" s="5156">
        <f t="shared" ca="1" si="23"/>
        <v>756.77649352717299</v>
      </c>
      <c r="K58" s="5156">
        <f t="shared" ca="1" si="23"/>
        <v>352.23946762957053</v>
      </c>
      <c r="L58" s="5156">
        <f t="shared" ca="1" si="23"/>
        <v>198.7617685726411</v>
      </c>
      <c r="M58" s="5156">
        <f t="shared" ca="1" si="23"/>
        <v>47.299811276550138</v>
      </c>
    </row>
    <row r="59" spans="2:36" ht="15.75" customHeight="1">
      <c r="B59" s="5110" t="str">
        <f t="shared" si="24"/>
        <v>잔여현금 이자비용</v>
      </c>
      <c r="C59" s="5110"/>
      <c r="D59" s="5118">
        <f t="shared" ca="1" si="22"/>
        <v>1065.2384460836436</v>
      </c>
      <c r="E59" s="5140"/>
      <c r="F59" s="5156">
        <f t="shared" ca="1" si="23"/>
        <v>106.60145519128668</v>
      </c>
      <c r="G59" s="5156">
        <f t="shared" ca="1" si="23"/>
        <v>174.00409269311666</v>
      </c>
      <c r="H59" s="5156">
        <f t="shared" ca="1" si="23"/>
        <v>166.41899633911822</v>
      </c>
      <c r="I59" s="5156">
        <f t="shared" ca="1" si="23"/>
        <v>131.45648703276376</v>
      </c>
      <c r="J59" s="5156">
        <f t="shared" ca="1" si="23"/>
        <v>57.148810306168293</v>
      </c>
      <c r="K59" s="5156">
        <f t="shared" ca="1" si="23"/>
        <v>48.531800370431462</v>
      </c>
      <c r="L59" s="5156">
        <f t="shared" ca="1" si="23"/>
        <v>24.632123427360984</v>
      </c>
      <c r="M59" s="5156">
        <f t="shared" ca="1" si="23"/>
        <v>356.44468072339748</v>
      </c>
    </row>
    <row r="60" spans="2:36" ht="15.75" customHeight="1">
      <c r="B60" s="5110" t="str">
        <f t="shared" si="24"/>
        <v>펀드 부대비용</v>
      </c>
      <c r="C60" s="5110"/>
      <c r="D60" s="5118">
        <f t="shared" ca="1" si="22"/>
        <v>451</v>
      </c>
      <c r="E60" s="5140"/>
      <c r="F60" s="5156">
        <f t="shared" ca="1" si="23"/>
        <v>451</v>
      </c>
      <c r="G60" s="5156">
        <f t="shared" ca="1" si="23"/>
        <v>0</v>
      </c>
      <c r="H60" s="5156">
        <f t="shared" ca="1" si="23"/>
        <v>0</v>
      </c>
      <c r="I60" s="5156">
        <f t="shared" ca="1" si="23"/>
        <v>0</v>
      </c>
      <c r="J60" s="5156">
        <f t="shared" ca="1" si="23"/>
        <v>0</v>
      </c>
      <c r="K60" s="5156">
        <f t="shared" ca="1" si="23"/>
        <v>0</v>
      </c>
      <c r="L60" s="5156">
        <f t="shared" ca="1" si="23"/>
        <v>0</v>
      </c>
      <c r="M60" s="5156">
        <f t="shared" ca="1" si="23"/>
        <v>0</v>
      </c>
    </row>
    <row r="61" spans="2:36" ht="15.75" customHeight="1">
      <c r="B61" s="5137" t="str">
        <f t="shared" si="24"/>
        <v>법인세등차감전이익</v>
      </c>
      <c r="C61" s="5137"/>
      <c r="D61" s="5118">
        <f t="shared" ca="1" si="22"/>
        <v>-3.0127011996228248E-12</v>
      </c>
      <c r="E61" s="5140"/>
      <c r="F61" s="5156">
        <f t="shared" ca="1" si="23"/>
        <v>-321.42217266667183</v>
      </c>
      <c r="G61" s="5156">
        <f t="shared" ca="1" si="23"/>
        <v>261.29107133332298</v>
      </c>
      <c r="H61" s="5156">
        <f t="shared" ca="1" si="23"/>
        <v>173.56741066665609</v>
      </c>
      <c r="I61" s="5156">
        <f t="shared" ca="1" si="23"/>
        <v>108.90624999998437</v>
      </c>
      <c r="J61" s="5156">
        <f t="shared" ca="1" si="23"/>
        <v>73.885416666658273</v>
      </c>
      <c r="K61" s="5156">
        <f t="shared" ca="1" si="23"/>
        <v>20.499999999997584</v>
      </c>
      <c r="L61" s="5156">
        <f t="shared" ca="1" si="23"/>
        <v>20.499999999997442</v>
      </c>
      <c r="M61" s="5156">
        <f t="shared" ca="1" si="23"/>
        <v>-337.22797599994794</v>
      </c>
    </row>
    <row r="62" spans="2:36" ht="15.75" customHeight="1">
      <c r="B62" s="5137" t="str">
        <f t="shared" si="24"/>
        <v>법인세비용</v>
      </c>
      <c r="C62" s="5137"/>
      <c r="D62" s="5118">
        <f t="shared" si="22"/>
        <v>0</v>
      </c>
      <c r="E62" s="5140"/>
      <c r="F62" s="5156">
        <f t="shared" si="23"/>
        <v>0</v>
      </c>
      <c r="G62" s="5156">
        <f t="shared" si="23"/>
        <v>0</v>
      </c>
      <c r="H62" s="5156">
        <f t="shared" si="23"/>
        <v>0</v>
      </c>
      <c r="I62" s="5156">
        <f t="shared" si="23"/>
        <v>0</v>
      </c>
      <c r="J62" s="5156">
        <f t="shared" si="23"/>
        <v>0</v>
      </c>
      <c r="K62" s="5156">
        <f t="shared" si="23"/>
        <v>0</v>
      </c>
      <c r="L62" s="5156">
        <f t="shared" si="23"/>
        <v>0</v>
      </c>
      <c r="M62" s="5156">
        <f t="shared" si="23"/>
        <v>0</v>
      </c>
    </row>
    <row r="63" spans="2:36" ht="15.75" customHeight="1">
      <c r="B63" s="5137" t="str">
        <f t="shared" si="24"/>
        <v>당기순이익</v>
      </c>
      <c r="C63" s="5137"/>
      <c r="D63" s="5118">
        <f t="shared" ca="1" si="22"/>
        <v>-3.0127011996228248E-12</v>
      </c>
      <c r="E63" s="5140"/>
      <c r="F63" s="5156">
        <f t="shared" ca="1" si="23"/>
        <v>-321.42217266667183</v>
      </c>
      <c r="G63" s="5156">
        <f t="shared" ca="1" si="23"/>
        <v>261.29107133332298</v>
      </c>
      <c r="H63" s="5156">
        <f t="shared" ca="1" si="23"/>
        <v>173.56741066665609</v>
      </c>
      <c r="I63" s="5156">
        <f t="shared" ca="1" si="23"/>
        <v>108.90624999998437</v>
      </c>
      <c r="J63" s="5156">
        <f t="shared" ca="1" si="23"/>
        <v>73.885416666658273</v>
      </c>
      <c r="K63" s="5156">
        <f t="shared" ca="1" si="23"/>
        <v>20.499999999997584</v>
      </c>
      <c r="L63" s="5156">
        <f t="shared" ca="1" si="23"/>
        <v>20.499999999997442</v>
      </c>
      <c r="M63" s="5156">
        <f t="shared" ca="1" si="23"/>
        <v>-337.22797599994794</v>
      </c>
    </row>
    <row r="64" spans="2:36" ht="15.75" customHeight="1"/>
    <row r="65" spans="2:36" ht="15.75" customHeight="1">
      <c r="B65" s="15" t="s">
        <v>5153</v>
      </c>
      <c r="C65" s="15"/>
    </row>
    <row r="66" spans="2:36" ht="15.75" customHeight="1"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5" t="s">
        <v>28</v>
      </c>
    </row>
    <row r="67" spans="2:36" ht="15.75" customHeight="1">
      <c r="B67" s="5515" t="s">
        <v>5141</v>
      </c>
      <c r="C67" s="5141"/>
      <c r="D67" s="5515"/>
      <c r="E67" s="5141"/>
      <c r="F67" s="5134">
        <f t="shared" ref="F67:AJ67" si="25">F4</f>
        <v>2022</v>
      </c>
      <c r="G67" s="5134">
        <f t="shared" si="25"/>
        <v>2022</v>
      </c>
      <c r="H67" s="5134">
        <f t="shared" si="25"/>
        <v>2022</v>
      </c>
      <c r="I67" s="5134">
        <f t="shared" si="25"/>
        <v>2022</v>
      </c>
      <c r="J67" s="5134">
        <f t="shared" si="25"/>
        <v>2023</v>
      </c>
      <c r="K67" s="5134">
        <f t="shared" si="25"/>
        <v>2023</v>
      </c>
      <c r="L67" s="5134">
        <f t="shared" si="25"/>
        <v>2023</v>
      </c>
      <c r="M67" s="5134">
        <f t="shared" si="25"/>
        <v>2023</v>
      </c>
      <c r="N67" s="5134">
        <f t="shared" si="25"/>
        <v>2024</v>
      </c>
      <c r="O67" s="5134">
        <f t="shared" si="25"/>
        <v>2024</v>
      </c>
      <c r="P67" s="5134">
        <f t="shared" si="25"/>
        <v>2024</v>
      </c>
      <c r="Q67" s="5134">
        <f t="shared" si="25"/>
        <v>2024</v>
      </c>
      <c r="R67" s="5134">
        <f t="shared" si="25"/>
        <v>2025</v>
      </c>
      <c r="S67" s="5134">
        <f t="shared" si="25"/>
        <v>2025</v>
      </c>
      <c r="T67" s="5134">
        <f t="shared" si="25"/>
        <v>2025</v>
      </c>
      <c r="U67" s="5134">
        <f t="shared" si="25"/>
        <v>2025</v>
      </c>
      <c r="V67" s="5134">
        <f t="shared" si="25"/>
        <v>2026</v>
      </c>
      <c r="W67" s="5134">
        <f t="shared" si="25"/>
        <v>2026</v>
      </c>
      <c r="X67" s="5134">
        <f t="shared" si="25"/>
        <v>2026</v>
      </c>
      <c r="Y67" s="5134">
        <f t="shared" si="25"/>
        <v>2026</v>
      </c>
      <c r="Z67" s="5134">
        <f t="shared" si="25"/>
        <v>2027</v>
      </c>
      <c r="AA67" s="5134">
        <f t="shared" si="25"/>
        <v>2027</v>
      </c>
      <c r="AB67" s="5134">
        <f t="shared" si="25"/>
        <v>2027</v>
      </c>
      <c r="AC67" s="5134">
        <f t="shared" si="25"/>
        <v>2027</v>
      </c>
      <c r="AD67" s="5134">
        <f t="shared" si="25"/>
        <v>2028</v>
      </c>
      <c r="AE67" s="5134">
        <f t="shared" si="25"/>
        <v>2028</v>
      </c>
      <c r="AF67" s="5134">
        <f t="shared" si="25"/>
        <v>2028</v>
      </c>
      <c r="AG67" s="5134">
        <f t="shared" si="25"/>
        <v>2028</v>
      </c>
      <c r="AH67" s="5134">
        <f t="shared" si="25"/>
        <v>2029</v>
      </c>
      <c r="AI67" s="5134">
        <f t="shared" si="25"/>
        <v>2029</v>
      </c>
      <c r="AJ67" s="5134">
        <f t="shared" si="25"/>
        <v>2029</v>
      </c>
    </row>
    <row r="68" spans="2:36" ht="15.75" customHeight="1">
      <c r="B68" s="5517"/>
      <c r="C68" s="5146"/>
      <c r="D68" s="5517"/>
      <c r="E68" s="5146"/>
      <c r="F68" s="5147">
        <f t="shared" ref="F68:AJ68" si="26">F5</f>
        <v>1</v>
      </c>
      <c r="G68" s="5147">
        <f t="shared" si="26"/>
        <v>2</v>
      </c>
      <c r="H68" s="5147">
        <f t="shared" si="26"/>
        <v>3</v>
      </c>
      <c r="I68" s="5147">
        <f t="shared" si="26"/>
        <v>4</v>
      </c>
      <c r="J68" s="5147">
        <f t="shared" si="26"/>
        <v>1</v>
      </c>
      <c r="K68" s="5147">
        <f t="shared" si="26"/>
        <v>2</v>
      </c>
      <c r="L68" s="5147">
        <f t="shared" si="26"/>
        <v>3</v>
      </c>
      <c r="M68" s="5147">
        <f t="shared" si="26"/>
        <v>4</v>
      </c>
      <c r="N68" s="5147">
        <f t="shared" si="26"/>
        <v>1</v>
      </c>
      <c r="O68" s="5147">
        <f t="shared" si="26"/>
        <v>2</v>
      </c>
      <c r="P68" s="5147">
        <f t="shared" si="26"/>
        <v>3</v>
      </c>
      <c r="Q68" s="5147">
        <f t="shared" si="26"/>
        <v>4</v>
      </c>
      <c r="R68" s="5147">
        <f t="shared" si="26"/>
        <v>1</v>
      </c>
      <c r="S68" s="5147">
        <f t="shared" si="26"/>
        <v>2</v>
      </c>
      <c r="T68" s="5147">
        <f t="shared" si="26"/>
        <v>3</v>
      </c>
      <c r="U68" s="5147">
        <f t="shared" si="26"/>
        <v>4</v>
      </c>
      <c r="V68" s="5147">
        <f t="shared" si="26"/>
        <v>1</v>
      </c>
      <c r="W68" s="5147">
        <f t="shared" si="26"/>
        <v>2</v>
      </c>
      <c r="X68" s="5147">
        <f t="shared" si="26"/>
        <v>3</v>
      </c>
      <c r="Y68" s="5147">
        <f t="shared" si="26"/>
        <v>4</v>
      </c>
      <c r="Z68" s="5147">
        <f t="shared" si="26"/>
        <v>1</v>
      </c>
      <c r="AA68" s="5147">
        <f t="shared" si="26"/>
        <v>2</v>
      </c>
      <c r="AB68" s="5147">
        <f t="shared" si="26"/>
        <v>3</v>
      </c>
      <c r="AC68" s="5147">
        <f t="shared" si="26"/>
        <v>4</v>
      </c>
      <c r="AD68" s="5147">
        <f t="shared" si="26"/>
        <v>1</v>
      </c>
      <c r="AE68" s="5147">
        <f t="shared" si="26"/>
        <v>2</v>
      </c>
      <c r="AF68" s="5147">
        <f t="shared" si="26"/>
        <v>3</v>
      </c>
      <c r="AG68" s="5147">
        <f t="shared" si="26"/>
        <v>4</v>
      </c>
      <c r="AH68" s="5147">
        <f t="shared" si="26"/>
        <v>1</v>
      </c>
      <c r="AI68" s="5147">
        <f t="shared" si="26"/>
        <v>2</v>
      </c>
      <c r="AJ68" s="5147">
        <f t="shared" si="26"/>
        <v>3</v>
      </c>
    </row>
    <row r="69" spans="2:36" ht="15.75" customHeight="1">
      <c r="B69" s="5516"/>
      <c r="C69" s="5142"/>
      <c r="D69" s="5516"/>
      <c r="E69" s="5143"/>
      <c r="F69" s="5136">
        <f t="shared" ref="F69:AJ69" si="27">F6</f>
        <v>44651</v>
      </c>
      <c r="G69" s="5136">
        <f t="shared" si="27"/>
        <v>44742</v>
      </c>
      <c r="H69" s="5136">
        <f t="shared" si="27"/>
        <v>44834</v>
      </c>
      <c r="I69" s="5136">
        <f t="shared" si="27"/>
        <v>44926</v>
      </c>
      <c r="J69" s="5136">
        <f t="shared" si="27"/>
        <v>45016</v>
      </c>
      <c r="K69" s="5136">
        <f t="shared" si="27"/>
        <v>45107</v>
      </c>
      <c r="L69" s="5136">
        <f t="shared" si="27"/>
        <v>45199</v>
      </c>
      <c r="M69" s="5136">
        <f t="shared" si="27"/>
        <v>45291</v>
      </c>
      <c r="N69" s="5136">
        <f t="shared" si="27"/>
        <v>45382</v>
      </c>
      <c r="O69" s="5136">
        <f t="shared" si="27"/>
        <v>45473</v>
      </c>
      <c r="P69" s="5136">
        <f t="shared" si="27"/>
        <v>45565</v>
      </c>
      <c r="Q69" s="5136">
        <f t="shared" si="27"/>
        <v>45657</v>
      </c>
      <c r="R69" s="5136">
        <f t="shared" si="27"/>
        <v>45747</v>
      </c>
      <c r="S69" s="5136">
        <f t="shared" si="27"/>
        <v>45838</v>
      </c>
      <c r="T69" s="5136">
        <f t="shared" si="27"/>
        <v>45930</v>
      </c>
      <c r="U69" s="5136">
        <f t="shared" si="27"/>
        <v>46022</v>
      </c>
      <c r="V69" s="5136">
        <f t="shared" si="27"/>
        <v>46112</v>
      </c>
      <c r="W69" s="5136">
        <f t="shared" si="27"/>
        <v>46203</v>
      </c>
      <c r="X69" s="5136">
        <f t="shared" si="27"/>
        <v>46295</v>
      </c>
      <c r="Y69" s="5136">
        <f t="shared" si="27"/>
        <v>46387</v>
      </c>
      <c r="Z69" s="5136">
        <f t="shared" si="27"/>
        <v>46477</v>
      </c>
      <c r="AA69" s="5136">
        <f t="shared" si="27"/>
        <v>46568</v>
      </c>
      <c r="AB69" s="5136">
        <f t="shared" si="27"/>
        <v>46660</v>
      </c>
      <c r="AC69" s="5136">
        <f t="shared" si="27"/>
        <v>46752</v>
      </c>
      <c r="AD69" s="5136">
        <f t="shared" si="27"/>
        <v>46843</v>
      </c>
      <c r="AE69" s="5136">
        <f t="shared" si="27"/>
        <v>46934</v>
      </c>
      <c r="AF69" s="5136">
        <f t="shared" si="27"/>
        <v>47026</v>
      </c>
      <c r="AG69" s="5136">
        <f t="shared" si="27"/>
        <v>47118</v>
      </c>
      <c r="AH69" s="5136">
        <f t="shared" si="27"/>
        <v>47208</v>
      </c>
      <c r="AI69" s="5136">
        <f t="shared" si="27"/>
        <v>47299</v>
      </c>
      <c r="AJ69" s="5136">
        <f t="shared" si="27"/>
        <v>47391</v>
      </c>
    </row>
    <row r="70" spans="2:36" ht="15.75" customHeight="1">
      <c r="B70" s="5137" t="s">
        <v>5142</v>
      </c>
      <c r="C70" s="5137"/>
      <c r="D70" s="5118"/>
      <c r="E70" s="5094"/>
      <c r="F70" s="5156"/>
      <c r="G70" s="5156"/>
      <c r="H70" s="5156"/>
      <c r="I70" s="5156"/>
      <c r="J70" s="5156"/>
      <c r="K70" s="5156"/>
      <c r="L70" s="5156"/>
      <c r="M70" s="5156"/>
      <c r="N70" s="5156"/>
      <c r="O70" s="5156"/>
      <c r="P70" s="5156"/>
      <c r="Q70" s="5156"/>
      <c r="R70" s="5156"/>
      <c r="S70" s="5156"/>
      <c r="T70" s="5156"/>
      <c r="U70" s="5156"/>
      <c r="V70" s="5156"/>
      <c r="W70" s="5156"/>
      <c r="X70" s="5156"/>
      <c r="Y70" s="5156"/>
      <c r="Z70" s="5156"/>
      <c r="AA70" s="5156"/>
      <c r="AB70" s="5156"/>
      <c r="AC70" s="5156"/>
      <c r="AD70" s="5156"/>
      <c r="AE70" s="5156"/>
      <c r="AF70" s="5156"/>
      <c r="AG70" s="5156"/>
      <c r="AH70" s="5156"/>
      <c r="AI70" s="5156"/>
      <c r="AJ70" s="5156"/>
    </row>
    <row r="71" spans="2:36" ht="15.75" customHeight="1">
      <c r="B71" s="5110" t="s">
        <v>5144</v>
      </c>
      <c r="C71" s="5110"/>
      <c r="D71" s="5118"/>
      <c r="E71" s="5094"/>
      <c r="F71" s="5156">
        <f t="shared" ref="F71:AJ71" si="28">F18</f>
        <v>0</v>
      </c>
      <c r="G71" s="5156">
        <f t="shared" ca="1" si="28"/>
        <v>0</v>
      </c>
      <c r="H71" s="5156">
        <f t="shared" ca="1" si="28"/>
        <v>0</v>
      </c>
      <c r="I71" s="5156">
        <f t="shared" ca="1" si="28"/>
        <v>0</v>
      </c>
      <c r="J71" s="5156">
        <f t="shared" ca="1" si="28"/>
        <v>0</v>
      </c>
      <c r="K71" s="5156">
        <f t="shared" ca="1" si="28"/>
        <v>0</v>
      </c>
      <c r="L71" s="5156">
        <f t="shared" ca="1" si="28"/>
        <v>0</v>
      </c>
      <c r="M71" s="5156">
        <f t="shared" ca="1" si="28"/>
        <v>0</v>
      </c>
      <c r="N71" s="5156">
        <f t="shared" ca="1" si="28"/>
        <v>0</v>
      </c>
      <c r="O71" s="5156">
        <f t="shared" ca="1" si="28"/>
        <v>0</v>
      </c>
      <c r="P71" s="5156">
        <f t="shared" ca="1" si="28"/>
        <v>0</v>
      </c>
      <c r="Q71" s="5156">
        <f t="shared" ca="1" si="28"/>
        <v>0</v>
      </c>
      <c r="R71" s="5156">
        <f t="shared" ca="1" si="28"/>
        <v>0</v>
      </c>
      <c r="S71" s="5156">
        <f t="shared" ca="1" si="28"/>
        <v>0</v>
      </c>
      <c r="T71" s="5156">
        <f t="shared" ca="1" si="28"/>
        <v>0</v>
      </c>
      <c r="U71" s="5156">
        <f t="shared" ca="1" si="28"/>
        <v>0</v>
      </c>
      <c r="V71" s="5156">
        <f t="shared" ca="1" si="28"/>
        <v>0</v>
      </c>
      <c r="W71" s="5156">
        <f t="shared" ca="1" si="28"/>
        <v>0</v>
      </c>
      <c r="X71" s="5156">
        <f t="shared" ca="1" si="28"/>
        <v>0</v>
      </c>
      <c r="Y71" s="5156">
        <f t="shared" ca="1" si="28"/>
        <v>0</v>
      </c>
      <c r="Z71" s="5156">
        <f t="shared" ca="1" si="28"/>
        <v>0</v>
      </c>
      <c r="AA71" s="5156">
        <f t="shared" ca="1" si="28"/>
        <v>0</v>
      </c>
      <c r="AB71" s="5156">
        <f t="shared" ca="1" si="28"/>
        <v>0</v>
      </c>
      <c r="AC71" s="5156">
        <f t="shared" ca="1" si="28"/>
        <v>0</v>
      </c>
      <c r="AD71" s="5156">
        <f t="shared" ca="1" si="28"/>
        <v>0</v>
      </c>
      <c r="AE71" s="5156">
        <f t="shared" ca="1" si="28"/>
        <v>0</v>
      </c>
      <c r="AF71" s="5156">
        <f t="shared" ca="1" si="28"/>
        <v>0</v>
      </c>
      <c r="AG71" s="5156">
        <f t="shared" ca="1" si="28"/>
        <v>0</v>
      </c>
      <c r="AH71" s="5156">
        <f t="shared" ca="1" si="28"/>
        <v>0</v>
      </c>
      <c r="AI71" s="5156">
        <f t="shared" ca="1" si="28"/>
        <v>0</v>
      </c>
      <c r="AJ71" s="5156">
        <f t="shared" ca="1" si="28"/>
        <v>0</v>
      </c>
    </row>
    <row r="72" spans="2:36" ht="15.75" customHeight="1">
      <c r="B72" s="5110" t="s">
        <v>5146</v>
      </c>
      <c r="C72" s="5110"/>
      <c r="D72" s="5118"/>
      <c r="E72" s="5094"/>
      <c r="F72" s="5156">
        <f ca="1">(SUMIFS(차입금상환!$38:$38,차입금상환!4:4,펀드FS!F69)*100-SUMIFS(차입금상환!$40:$40,차입금상환!4:4,펀드FS!F69)*100)*(F69&gt;=민감도!$E$67)</f>
        <v>0</v>
      </c>
      <c r="G72" s="5156">
        <f ca="1">(SUMIFS(차입금상환!$38:$38,차입금상환!4:4,펀드FS!G69)*100-SUMIFS(차입금상환!$40:$40,차입금상환!4:4,펀드FS!G69)*100)*(G69&gt;=민감도!$E$67)</f>
        <v>87699.743999999977</v>
      </c>
      <c r="H72" s="5156">
        <f ca="1">(SUMIFS(차입금상환!$38:$38,차입금상환!4:4,펀드FS!H69)*100-SUMIFS(차입금상환!$40:$40,차입금상환!4:4,펀드FS!H69)*100)*(H69&gt;=민감도!$E$67)</f>
        <v>83713.391999999993</v>
      </c>
      <c r="I72" s="5156">
        <f ca="1">(SUMIFS(차입금상환!$38:$38,차입금상환!4:4,펀드FS!I69)*100-SUMIFS(차입금상환!$40:$40,차입금상환!4:4,펀드FS!I69)*100)*(I69&gt;=민감도!$E$67)</f>
        <v>79643.990999999995</v>
      </c>
      <c r="J72" s="5156">
        <f ca="1">(SUMIFS(차입금상환!$38:$38,차입금상환!4:4,펀드FS!J69)*100-SUMIFS(차입금상환!$40:$40,차입금상환!4:4,펀드FS!J69)*100)*(J69&gt;=민감도!$E$67)</f>
        <v>75574.589999999982</v>
      </c>
      <c r="K72" s="5156">
        <f ca="1">(SUMIFS(차입금상환!$38:$38,차입금상환!4:4,펀드FS!K69)*100-SUMIFS(차입금상환!$40:$40,차입금상환!4:4,펀드FS!K69)*100)*(K69&gt;=민감도!$E$67)</f>
        <v>71505.188999999998</v>
      </c>
      <c r="L72" s="5156">
        <f ca="1">(SUMIFS(차입금상환!$38:$38,차입금상환!4:4,펀드FS!L69)*100-SUMIFS(차입금상환!$40:$40,차입금상환!4:4,펀드FS!L69)*100)*(L69&gt;=민감도!$E$67)</f>
        <v>67352.738999999987</v>
      </c>
      <c r="M72" s="5156">
        <f ca="1">(SUMIFS(차입금상환!$38:$38,차입금상환!4:4,펀드FS!M69)*100-SUMIFS(차입금상환!$40:$40,차입금상환!4:4,펀드FS!M69)*100)*(M69&gt;=민감도!$E$67)</f>
        <v>63117.239999999991</v>
      </c>
      <c r="N72" s="5156">
        <f ca="1">(SUMIFS(차입금상환!$38:$38,차입금상환!4:4,펀드FS!N69)*100-SUMIFS(차입금상환!$40:$40,차입금상환!4:4,펀드FS!N69)*100)*(N69&gt;=민감도!$E$67)</f>
        <v>59296.985999999983</v>
      </c>
      <c r="O72" s="5156">
        <f ca="1">(SUMIFS(차입금상환!$38:$38,차입금상환!4:4,펀드FS!O69)*100-SUMIFS(차입금상환!$40:$40,차입금상환!4:4,펀드FS!O69)*100)*(O69&gt;=민감도!$E$67)</f>
        <v>55393.682999999983</v>
      </c>
      <c r="P72" s="5156">
        <f ca="1">(SUMIFS(차입금상환!$38:$38,차입금상환!4:4,펀드FS!P69)*100-SUMIFS(차입금상환!$40:$40,차입금상환!4:4,펀드FS!P69)*100)*(P69&gt;=민감도!$E$67)</f>
        <v>50992.085999999988</v>
      </c>
      <c r="Q72" s="5156">
        <f ca="1">(SUMIFS(차입금상환!$38:$38,차입금상환!4:4,펀드FS!Q69)*100-SUMIFS(차입금상환!$40:$40,차입금상환!4:4,펀드FS!Q69)*100)*(Q69&gt;=민감도!$E$67)</f>
        <v>46507.439999999981</v>
      </c>
      <c r="R72" s="5156">
        <f ca="1">(SUMIFS(차입금상환!$38:$38,차입금상환!4:4,펀드FS!R69)*100-SUMIFS(차입금상환!$40:$40,차입금상환!4:4,펀드FS!R69)*100)*(R69&gt;=민감도!$E$67)</f>
        <v>41275.352999999988</v>
      </c>
      <c r="S72" s="5156">
        <f ca="1">(SUMIFS(차입금상환!$38:$38,차입금상환!4:4,펀드FS!S69)*100-SUMIFS(차입금상환!$40:$40,차입금상환!4:4,펀드FS!S69)*100)*(S69&gt;=민감도!$E$67)</f>
        <v>36043.265999999981</v>
      </c>
      <c r="T72" s="5156">
        <f ca="1">(SUMIFS(차입금상환!$38:$38,차입금상환!4:4,펀드FS!T69)*100-SUMIFS(차입금상환!$40:$40,차입금상환!4:4,펀드FS!T69)*100)*(T69&gt;=민감도!$E$67)</f>
        <v>30728.12999999999</v>
      </c>
      <c r="U72" s="5156">
        <f ca="1">(SUMIFS(차입금상환!$38:$38,차입금상환!4:4,펀드FS!U69)*100-SUMIFS(차입금상환!$40:$40,차입금상환!4:4,펀드FS!U69)*100)*(U69&gt;=민감도!$E$67)</f>
        <v>25329.944999999985</v>
      </c>
      <c r="V72" s="5156">
        <f ca="1">(SUMIFS(차입금상환!$38:$38,차입금상환!4:4,펀드FS!V69)*100-SUMIFS(차입금상환!$40:$40,차입금상환!4:4,펀드FS!V69)*100)*(V69&gt;=민감도!$E$67)</f>
        <v>22007.98499999999</v>
      </c>
      <c r="W72" s="5156">
        <f ca="1">(SUMIFS(차입금상환!$38:$38,차입금상환!4:4,펀드FS!W69)*100-SUMIFS(차입금상환!$40:$40,차입금상환!4:4,펀드FS!W69)*100)*(W69&gt;=민감도!$E$67)</f>
        <v>18187.730999999989</v>
      </c>
      <c r="X72" s="5156">
        <f ca="1">(SUMIFS(차입금상환!$38:$38,차입금상환!4:4,펀드FS!X69)*100-SUMIFS(차입금상환!$40:$40,차입금상환!4:4,펀드FS!X69)*100)*(X69&gt;=민감도!$E$67)</f>
        <v>14284.427999999993</v>
      </c>
      <c r="Y72" s="5156">
        <f ca="1">(SUMIFS(차입금상환!$38:$38,차입금상환!4:4,펀드FS!Y69)*100-SUMIFS(차입금상환!$40:$40,차입금상환!4:4,펀드FS!Y69)*100)*(Y69&gt;=민감도!$E$67)</f>
        <v>10962.46799999999</v>
      </c>
      <c r="Z72" s="5156">
        <f ca="1">(SUMIFS(차입금상환!$38:$38,차입금상환!4:4,펀드FS!Z69)*100-SUMIFS(차입금상환!$40:$40,차입금상환!4:4,펀드FS!Z69)*100)*(Z69&gt;=민감도!$E$67)</f>
        <v>9965.8799999999919</v>
      </c>
      <c r="AA72" s="5156">
        <f ca="1">(SUMIFS(차입금상환!$38:$38,차입금상환!4:4,펀드FS!AA69)*100-SUMIFS(차입금상환!$40:$40,차입금상환!4:4,펀드FS!AA69)*100)*(AA69&gt;=민감도!$E$67)</f>
        <v>8969.2919999999922</v>
      </c>
      <c r="AB72" s="5156">
        <f ca="1">(SUMIFS(차입금상환!$38:$38,차입금상환!4:4,펀드FS!AB69)*100-SUMIFS(차입금상환!$40:$40,차입금상환!4:4,펀드FS!AB69)*100)*(AB69&gt;=민감도!$E$67)</f>
        <v>7972.7039999999906</v>
      </c>
      <c r="AC72" s="5156">
        <f ca="1">(SUMIFS(차입금상환!$38:$38,차입금상환!4:4,펀드FS!AC69)*100-SUMIFS(차입금상환!$40:$40,차입금상환!4:4,펀드FS!AC69)*100)*(AC69&gt;=민감도!$E$67)</f>
        <v>6976.1159999999891</v>
      </c>
      <c r="AD72" s="5156">
        <f ca="1">(SUMIFS(차입금상환!$38:$38,차입금상환!4:4,펀드FS!AD69)*100-SUMIFS(차입금상환!$40:$40,차입금상환!4:4,펀드FS!AD69)*100)*(AD69&gt;=민감도!$E$67)</f>
        <v>5979.5279999999912</v>
      </c>
      <c r="AE72" s="5156">
        <f ca="1">(SUMIFS(차입금상환!$38:$38,차입금상환!4:4,펀드FS!AE69)*100-SUMIFS(차입금상환!$40:$40,차입금상환!4:4,펀드FS!AE69)*100)*(AE69&gt;=민감도!$E$67)</f>
        <v>4982.9399999999896</v>
      </c>
      <c r="AF72" s="5156">
        <f ca="1">(SUMIFS(차입금상환!$38:$38,차입금상환!4:4,펀드FS!AF69)*100-SUMIFS(차입금상환!$40:$40,차입금상환!4:4,펀드FS!AF69)*100)*(AF69&gt;=민감도!$E$67)</f>
        <v>3986.3519999999894</v>
      </c>
      <c r="AG72" s="5156">
        <f ca="1">(SUMIFS(차입금상환!$38:$38,차입금상환!4:4,펀드FS!AG69)*100-SUMIFS(차입금상환!$40:$40,차입금상환!4:4,펀드FS!AG69)*100)*(AG69&gt;=민감도!$E$67)</f>
        <v>2989.7639999999888</v>
      </c>
      <c r="AH72" s="5156">
        <f ca="1">(SUMIFS(차입금상환!$38:$38,차입금상환!4:4,펀드FS!AH69)*100-SUMIFS(차입금상환!$40:$40,차입금상환!4:4,펀드FS!AH69)*100)*(AH69&gt;=민감도!$E$67)</f>
        <v>1993.1759999999886</v>
      </c>
      <c r="AI72" s="5156">
        <f ca="1">(SUMIFS(차입금상환!$38:$38,차입금상환!4:4,펀드FS!AI69)*100-SUMIFS(차입금상환!$40:$40,차입금상환!4:4,펀드FS!AI69)*100)*(AI69&gt;=민감도!$E$67)</f>
        <v>996.58799999998871</v>
      </c>
      <c r="AJ72" s="5156">
        <f ca="1">(SUMIFS(차입금상환!$38:$38,차입금상환!4:4,펀드FS!AJ69)*100-SUMIFS(차입금상환!$40:$40,차입금상환!4:4,펀드FS!AJ69)*100)*(AJ69&gt;=민감도!$E$67)</f>
        <v>0</v>
      </c>
    </row>
    <row r="73" spans="2:36" s="5185" customFormat="1" ht="15.75" customHeight="1" thickBot="1">
      <c r="B73" s="5180" t="s">
        <v>5145</v>
      </c>
      <c r="C73" s="5181"/>
      <c r="D73" s="5182"/>
      <c r="E73" s="5183"/>
      <c r="F73" s="5184">
        <f ca="1">SUM(F71:F72)</f>
        <v>0</v>
      </c>
      <c r="G73" s="5184">
        <f t="shared" ref="G73:AJ73" ca="1" si="29">SUM(G71:G72)</f>
        <v>87699.743999999977</v>
      </c>
      <c r="H73" s="5184">
        <f t="shared" ca="1" si="29"/>
        <v>83713.391999999993</v>
      </c>
      <c r="I73" s="5184">
        <f t="shared" ca="1" si="29"/>
        <v>79643.990999999995</v>
      </c>
      <c r="J73" s="5184">
        <f t="shared" ca="1" si="29"/>
        <v>75574.589999999982</v>
      </c>
      <c r="K73" s="5184">
        <f t="shared" ca="1" si="29"/>
        <v>71505.188999999998</v>
      </c>
      <c r="L73" s="5184">
        <f t="shared" ca="1" si="29"/>
        <v>67352.738999999987</v>
      </c>
      <c r="M73" s="5184">
        <f t="shared" ca="1" si="29"/>
        <v>63117.239999999991</v>
      </c>
      <c r="N73" s="5184">
        <f t="shared" ca="1" si="29"/>
        <v>59296.985999999983</v>
      </c>
      <c r="O73" s="5184">
        <f t="shared" ca="1" si="29"/>
        <v>55393.682999999983</v>
      </c>
      <c r="P73" s="5184">
        <f t="shared" ca="1" si="29"/>
        <v>50992.085999999988</v>
      </c>
      <c r="Q73" s="5184">
        <f t="shared" ca="1" si="29"/>
        <v>46507.439999999981</v>
      </c>
      <c r="R73" s="5184">
        <f t="shared" ca="1" si="29"/>
        <v>41275.352999999988</v>
      </c>
      <c r="S73" s="5184">
        <f t="shared" ca="1" si="29"/>
        <v>36043.265999999981</v>
      </c>
      <c r="T73" s="5184">
        <f t="shared" ca="1" si="29"/>
        <v>30728.12999999999</v>
      </c>
      <c r="U73" s="5184">
        <f t="shared" ca="1" si="29"/>
        <v>25329.944999999985</v>
      </c>
      <c r="V73" s="5184">
        <f t="shared" ca="1" si="29"/>
        <v>22007.98499999999</v>
      </c>
      <c r="W73" s="5184">
        <f t="shared" ca="1" si="29"/>
        <v>18187.730999999989</v>
      </c>
      <c r="X73" s="5184">
        <f t="shared" ca="1" si="29"/>
        <v>14284.427999999993</v>
      </c>
      <c r="Y73" s="5184">
        <f t="shared" ca="1" si="29"/>
        <v>10962.46799999999</v>
      </c>
      <c r="Z73" s="5184">
        <f t="shared" ca="1" si="29"/>
        <v>9965.8799999999919</v>
      </c>
      <c r="AA73" s="5184">
        <f t="shared" ca="1" si="29"/>
        <v>8969.2919999999922</v>
      </c>
      <c r="AB73" s="5184">
        <f t="shared" ca="1" si="29"/>
        <v>7972.7039999999906</v>
      </c>
      <c r="AC73" s="5184">
        <f t="shared" ca="1" si="29"/>
        <v>6976.1159999999891</v>
      </c>
      <c r="AD73" s="5184">
        <f t="shared" ca="1" si="29"/>
        <v>5979.5279999999912</v>
      </c>
      <c r="AE73" s="5184">
        <f t="shared" ca="1" si="29"/>
        <v>4982.9399999999896</v>
      </c>
      <c r="AF73" s="5184">
        <f t="shared" ca="1" si="29"/>
        <v>3986.3519999999894</v>
      </c>
      <c r="AG73" s="5184">
        <f t="shared" ca="1" si="29"/>
        <v>2989.7639999999888</v>
      </c>
      <c r="AH73" s="5184">
        <f t="shared" ca="1" si="29"/>
        <v>1993.1759999999886</v>
      </c>
      <c r="AI73" s="5184">
        <f t="shared" ca="1" si="29"/>
        <v>996.58799999998871</v>
      </c>
      <c r="AJ73" s="5184">
        <f t="shared" ca="1" si="29"/>
        <v>0</v>
      </c>
    </row>
    <row r="74" spans="2:36" s="5185" customFormat="1" ht="15.75" customHeight="1" thickTop="1">
      <c r="B74" s="5186" t="s">
        <v>5143</v>
      </c>
      <c r="C74" s="5187"/>
      <c r="D74" s="5188"/>
      <c r="E74" s="5189"/>
      <c r="F74" s="5190"/>
      <c r="G74" s="5190"/>
      <c r="H74" s="5190"/>
      <c r="I74" s="5190"/>
      <c r="J74" s="5190"/>
      <c r="K74" s="5190"/>
      <c r="L74" s="5190"/>
      <c r="M74" s="5190"/>
      <c r="N74" s="5190"/>
      <c r="O74" s="5190"/>
      <c r="P74" s="5190"/>
      <c r="Q74" s="5190"/>
      <c r="R74" s="5190"/>
      <c r="S74" s="5190"/>
      <c r="T74" s="5190"/>
      <c r="U74" s="5190"/>
      <c r="V74" s="5190"/>
      <c r="W74" s="5190"/>
      <c r="X74" s="5190"/>
      <c r="Y74" s="5190"/>
      <c r="Z74" s="5190"/>
      <c r="AA74" s="5190"/>
      <c r="AB74" s="5190"/>
      <c r="AC74" s="5190"/>
      <c r="AD74" s="5190"/>
      <c r="AE74" s="5190"/>
      <c r="AF74" s="5190"/>
      <c r="AG74" s="5190"/>
      <c r="AH74" s="5190"/>
      <c r="AI74" s="5190"/>
      <c r="AJ74" s="5190"/>
    </row>
    <row r="75" spans="2:36" s="5185" customFormat="1" ht="15.75" customHeight="1" thickBot="1">
      <c r="B75" s="5180" t="s">
        <v>5147</v>
      </c>
      <c r="C75" s="5191"/>
      <c r="D75" s="5182"/>
      <c r="E75" s="5192">
        <f>E74</f>
        <v>0</v>
      </c>
      <c r="F75" s="5184">
        <f>F74</f>
        <v>0</v>
      </c>
      <c r="G75" s="5184">
        <f t="shared" ref="G75:AJ75" si="30">G74</f>
        <v>0</v>
      </c>
      <c r="H75" s="5184">
        <f t="shared" si="30"/>
        <v>0</v>
      </c>
      <c r="I75" s="5184">
        <f t="shared" si="30"/>
        <v>0</v>
      </c>
      <c r="J75" s="5184">
        <f t="shared" si="30"/>
        <v>0</v>
      </c>
      <c r="K75" s="5184">
        <f t="shared" si="30"/>
        <v>0</v>
      </c>
      <c r="L75" s="5184">
        <f t="shared" si="30"/>
        <v>0</v>
      </c>
      <c r="M75" s="5184">
        <f t="shared" si="30"/>
        <v>0</v>
      </c>
      <c r="N75" s="5184">
        <f t="shared" si="30"/>
        <v>0</v>
      </c>
      <c r="O75" s="5184">
        <f t="shared" si="30"/>
        <v>0</v>
      </c>
      <c r="P75" s="5184">
        <f t="shared" si="30"/>
        <v>0</v>
      </c>
      <c r="Q75" s="5184">
        <f t="shared" si="30"/>
        <v>0</v>
      </c>
      <c r="R75" s="5184">
        <f t="shared" si="30"/>
        <v>0</v>
      </c>
      <c r="S75" s="5184">
        <f t="shared" si="30"/>
        <v>0</v>
      </c>
      <c r="T75" s="5184">
        <f t="shared" si="30"/>
        <v>0</v>
      </c>
      <c r="U75" s="5184">
        <f t="shared" si="30"/>
        <v>0</v>
      </c>
      <c r="V75" s="5184">
        <f t="shared" si="30"/>
        <v>0</v>
      </c>
      <c r="W75" s="5184">
        <f t="shared" si="30"/>
        <v>0</v>
      </c>
      <c r="X75" s="5184">
        <f t="shared" si="30"/>
        <v>0</v>
      </c>
      <c r="Y75" s="5184">
        <f t="shared" si="30"/>
        <v>0</v>
      </c>
      <c r="Z75" s="5184">
        <f t="shared" si="30"/>
        <v>0</v>
      </c>
      <c r="AA75" s="5184">
        <f t="shared" si="30"/>
        <v>0</v>
      </c>
      <c r="AB75" s="5184">
        <f t="shared" si="30"/>
        <v>0</v>
      </c>
      <c r="AC75" s="5184">
        <f t="shared" si="30"/>
        <v>0</v>
      </c>
      <c r="AD75" s="5184">
        <f t="shared" si="30"/>
        <v>0</v>
      </c>
      <c r="AE75" s="5184">
        <f t="shared" si="30"/>
        <v>0</v>
      </c>
      <c r="AF75" s="5184">
        <f t="shared" si="30"/>
        <v>0</v>
      </c>
      <c r="AG75" s="5184">
        <f t="shared" si="30"/>
        <v>0</v>
      </c>
      <c r="AH75" s="5184">
        <f t="shared" si="30"/>
        <v>0</v>
      </c>
      <c r="AI75" s="5184">
        <f t="shared" si="30"/>
        <v>0</v>
      </c>
      <c r="AJ75" s="5184">
        <f t="shared" si="30"/>
        <v>0</v>
      </c>
    </row>
    <row r="76" spans="2:36" s="5185" customFormat="1" ht="15.75" customHeight="1" thickTop="1">
      <c r="B76" s="5186" t="s">
        <v>5148</v>
      </c>
      <c r="C76" s="5187"/>
      <c r="D76" s="5188"/>
      <c r="E76" s="5189"/>
      <c r="F76" s="5190"/>
      <c r="G76" s="5190"/>
      <c r="H76" s="5190"/>
      <c r="I76" s="5190"/>
      <c r="J76" s="5190"/>
      <c r="K76" s="5190"/>
      <c r="L76" s="5190"/>
      <c r="M76" s="5190"/>
      <c r="N76" s="5190"/>
      <c r="O76" s="5190"/>
      <c r="P76" s="5190"/>
      <c r="Q76" s="5190"/>
      <c r="R76" s="5190"/>
      <c r="S76" s="5190"/>
      <c r="T76" s="5190"/>
      <c r="U76" s="5190"/>
      <c r="V76" s="5190"/>
      <c r="W76" s="5190"/>
      <c r="X76" s="5190"/>
      <c r="Y76" s="5190"/>
      <c r="Z76" s="5190"/>
      <c r="AA76" s="5190"/>
      <c r="AB76" s="5190"/>
      <c r="AC76" s="5190"/>
      <c r="AD76" s="5190"/>
      <c r="AE76" s="5190"/>
      <c r="AF76" s="5190"/>
      <c r="AG76" s="5190"/>
      <c r="AH76" s="5190"/>
      <c r="AI76" s="5190"/>
      <c r="AJ76" s="5190"/>
    </row>
    <row r="77" spans="2:36" ht="15.75" customHeight="1">
      <c r="B77" s="5110" t="s">
        <v>5341</v>
      </c>
      <c r="C77" s="5137"/>
      <c r="D77" s="5118"/>
      <c r="E77" s="5140"/>
      <c r="F77" s="5156">
        <f ca="1">펀드차입금!F58</f>
        <v>0</v>
      </c>
      <c r="G77" s="5156">
        <f ca="1">펀드차입금!G58</f>
        <v>28150.743999999977</v>
      </c>
      <c r="H77" s="5156">
        <f ca="1">펀드차입금!H58</f>
        <v>26857.089355272707</v>
      </c>
      <c r="I77" s="5156">
        <f ca="1">펀드차입금!I58</f>
        <v>25536.776809030285</v>
      </c>
      <c r="J77" s="5156">
        <f ca="1">펀드차입금!J58</f>
        <v>24216.464262787864</v>
      </c>
      <c r="K77" s="5156">
        <f ca="1">펀드차입금!K58</f>
        <v>22896.151716545442</v>
      </c>
      <c r="L77" s="5156">
        <f ca="1">펀드차입금!L58</f>
        <v>21549.181268787866</v>
      </c>
      <c r="M77" s="5156">
        <f ca="1">펀드차입금!M58</f>
        <v>20175.552919515139</v>
      </c>
      <c r="N77" s="5156">
        <f ca="1">펀드차입금!N58</f>
        <v>18935.214077818171</v>
      </c>
      <c r="O77" s="5156">
        <f ca="1">펀드차입금!O58</f>
        <v>17668.217334606052</v>
      </c>
      <c r="P77" s="5156">
        <f ca="1">펀드차입금!P58</f>
        <v>16255.348554303024</v>
      </c>
      <c r="Q77" s="5156">
        <f ca="1">펀드차입금!Q58</f>
        <v>14815.821872484845</v>
      </c>
      <c r="R77" s="5156">
        <f ca="1">펀드차입금!R58</f>
        <v>13136.374077030301</v>
      </c>
      <c r="S77" s="5156">
        <f ca="1">펀드차입금!S58</f>
        <v>11456.926281575757</v>
      </c>
      <c r="T77" s="5156">
        <f ca="1">펀드차입금!T58</f>
        <v>9750.8205846060628</v>
      </c>
      <c r="U77" s="5156">
        <f ca="1">펀드차입금!U58</f>
        <v>8018.0569861212161</v>
      </c>
      <c r="V77" s="5156">
        <f ca="1">펀드차입금!V58</f>
        <v>6951.740925515157</v>
      </c>
      <c r="W77" s="5156">
        <f ca="1">펀드차입금!W58</f>
        <v>5725.4774558181889</v>
      </c>
      <c r="X77" s="5156">
        <f ca="1">펀드차입금!X58</f>
        <v>4472.5560846060689</v>
      </c>
      <c r="Y77" s="5156">
        <f ca="1">펀드차입금!Y58</f>
        <v>3406.2400240000097</v>
      </c>
      <c r="Z77" s="5156">
        <f ca="1">펀드차입금!Z58</f>
        <v>3086.345205818192</v>
      </c>
      <c r="AA77" s="5156">
        <f ca="1">펀드차입금!AA58</f>
        <v>2766.4503876363742</v>
      </c>
      <c r="AB77" s="5156">
        <f ca="1">펀드차입금!AB58</f>
        <v>2446.5555694545565</v>
      </c>
      <c r="AC77" s="5156">
        <f ca="1">펀드차입금!AC58</f>
        <v>2126.6607512727387</v>
      </c>
      <c r="AD77" s="5156">
        <f ca="1">펀드차입금!AD58</f>
        <v>1806.765933090921</v>
      </c>
      <c r="AE77" s="5156">
        <f ca="1">펀드차입금!AE58</f>
        <v>1486.8711149091032</v>
      </c>
      <c r="AF77" s="5156">
        <f ca="1">펀드차입금!AF58</f>
        <v>1166.9762967272854</v>
      </c>
      <c r="AG77" s="5156">
        <f ca="1">펀드차입금!AG58</f>
        <v>847.08147854546769</v>
      </c>
      <c r="AH77" s="5156">
        <f ca="1">펀드차입금!AH58</f>
        <v>527.18666036364993</v>
      </c>
      <c r="AI77" s="5156">
        <f ca="1">펀드차입금!AI58</f>
        <v>207.29184218183212</v>
      </c>
      <c r="AJ77" s="5156">
        <f ca="1">펀드차입금!AJ58</f>
        <v>0</v>
      </c>
    </row>
    <row r="78" spans="2:36" ht="15.75" customHeight="1">
      <c r="B78" s="5110" t="s">
        <v>5342</v>
      </c>
      <c r="C78" s="5137"/>
      <c r="D78" s="5118"/>
      <c r="E78" s="5140"/>
      <c r="F78" s="5156">
        <f ca="1">펀드차입금!F62</f>
        <v>0</v>
      </c>
      <c r="G78" s="5156">
        <f ca="1">펀드차입금!G62</f>
        <v>60000</v>
      </c>
      <c r="H78" s="5156">
        <f ca="1">펀드차입금!H62</f>
        <v>57242.727272727272</v>
      </c>
      <c r="I78" s="5156">
        <f ca="1">펀드차입금!I62</f>
        <v>54428.636363636368</v>
      </c>
      <c r="J78" s="5156">
        <f ca="1">펀드차입금!J62</f>
        <v>51614.545454545456</v>
      </c>
      <c r="K78" s="5156">
        <f ca="1">펀드차입금!K62</f>
        <v>48800.454545454544</v>
      </c>
      <c r="L78" s="5156">
        <f ca="1">펀드차입금!L62</f>
        <v>45929.545454545456</v>
      </c>
      <c r="M78" s="5156">
        <f ca="1">펀드차입금!M62</f>
        <v>43001.818181818184</v>
      </c>
      <c r="N78" s="5156">
        <f ca="1">펀드차입금!N62</f>
        <v>40358.181818181823</v>
      </c>
      <c r="O78" s="5156">
        <f ca="1">펀드차입금!O62</f>
        <v>37657.727272727279</v>
      </c>
      <c r="P78" s="5156">
        <f ca="1">펀드차입금!P62</f>
        <v>34646.363636363647</v>
      </c>
      <c r="Q78" s="5156">
        <f ca="1">펀드차입금!Q62</f>
        <v>31578.181818181831</v>
      </c>
      <c r="R78" s="5156">
        <f ca="1">펀드차입금!R62</f>
        <v>27998.636363636379</v>
      </c>
      <c r="S78" s="5156">
        <f ca="1">펀드차입금!S62</f>
        <v>24419.090909090926</v>
      </c>
      <c r="T78" s="5156">
        <f ca="1">펀드차입금!T62</f>
        <v>20782.727272727294</v>
      </c>
      <c r="U78" s="5156">
        <f ca="1">펀드차입금!U62</f>
        <v>17089.545454545478</v>
      </c>
      <c r="V78" s="5156">
        <f ca="1">펀드차입금!V62</f>
        <v>14816.818181818206</v>
      </c>
      <c r="W78" s="5156">
        <f ca="1">펀드차입금!W62</f>
        <v>12203.181818181843</v>
      </c>
      <c r="X78" s="5156">
        <f ca="1">펀드차입금!X62</f>
        <v>9532.7272727272994</v>
      </c>
      <c r="Y78" s="5156">
        <f ca="1">펀드차입금!Y62</f>
        <v>7260.0000000000273</v>
      </c>
      <c r="Z78" s="5156">
        <f ca="1">펀드차입금!Z62</f>
        <v>6578.1818181818453</v>
      </c>
      <c r="AA78" s="5156">
        <f ca="1">펀드차입금!AA62</f>
        <v>5896.3636363636633</v>
      </c>
      <c r="AB78" s="5156">
        <f ca="1">펀드차입금!AB62</f>
        <v>5214.5454545454813</v>
      </c>
      <c r="AC78" s="5156">
        <f ca="1">펀드차입금!AC62</f>
        <v>4532.7272727272994</v>
      </c>
      <c r="AD78" s="5156">
        <f ca="1">펀드차입금!AD62</f>
        <v>3850.9090909091178</v>
      </c>
      <c r="AE78" s="5156">
        <f ca="1">펀드차입금!AE62</f>
        <v>3169.0909090909363</v>
      </c>
      <c r="AF78" s="5156">
        <f ca="1">펀드차입금!AF62</f>
        <v>2487.2727272727548</v>
      </c>
      <c r="AG78" s="5156">
        <f ca="1">펀드차입금!AG62</f>
        <v>1805.4545454545732</v>
      </c>
      <c r="AH78" s="5156">
        <f ca="1">펀드차입금!AH62</f>
        <v>1123.6363636363917</v>
      </c>
      <c r="AI78" s="5156">
        <f ca="1">펀드차입금!AI62</f>
        <v>441.81818181821006</v>
      </c>
      <c r="AJ78" s="5156">
        <f ca="1">펀드차입금!AJ62</f>
        <v>0</v>
      </c>
    </row>
    <row r="79" spans="2:36" ht="15.75" customHeight="1">
      <c r="B79" s="5110" t="s">
        <v>5149</v>
      </c>
      <c r="C79" s="5137"/>
      <c r="D79" s="5118"/>
      <c r="E79" s="5140"/>
      <c r="F79" s="5156">
        <f ca="1">IF(ABS(SUM($E50:F50))&lt;0.000001,0,SUM($E50:F50))</f>
        <v>0</v>
      </c>
      <c r="G79" s="5156">
        <f ca="1">IF(ABS(SUM($E50:G50))&lt;0.000001,0,SUM($E50:G50))</f>
        <v>-451</v>
      </c>
      <c r="H79" s="5156">
        <f ca="1">IF(ABS(SUM($E50:H50))&lt;0.000001,0,SUM($E50:H50))</f>
        <v>-386.42462800000237</v>
      </c>
      <c r="I79" s="5156">
        <f ca="1">IF(ABS(SUM($E50:I50))&lt;0.000001,0,SUM($E50:I50))</f>
        <v>-321.42217266667183</v>
      </c>
      <c r="J79" s="5156">
        <f ca="1">IF(ABS(SUM($E50:J50))&lt;0.000001,0,SUM($E50:J50))</f>
        <v>-256.4197173333414</v>
      </c>
      <c r="K79" s="5156">
        <f ca="1">IF(ABS(SUM($E50:K50))&lt;0.000001,0,SUM($E50:K50))</f>
        <v>-191.4172620000104</v>
      </c>
      <c r="L79" s="5156">
        <f ca="1">IF(ABS(SUM($E50:L50))&lt;0.000001,0,SUM($E50:L50))</f>
        <v>-125.98772333334625</v>
      </c>
      <c r="M79" s="5156">
        <f ca="1">IF(ABS(SUM($E50:M50))&lt;0.000001,0,SUM($E50:M50))</f>
        <v>-60.131101333348852</v>
      </c>
      <c r="N79" s="5156">
        <f ca="1">IF(ABS(SUM($E50:N50))&lt;0.000001,0,SUM($E50:N50))</f>
        <v>3.5901039999820341</v>
      </c>
      <c r="O79" s="5156">
        <f ca="1">IF(ABS(SUM($E50:O50))&lt;0.000001,0,SUM($E50:O50))</f>
        <v>67.738392666645836</v>
      </c>
      <c r="P79" s="5156">
        <f ca="1">IF(ABS(SUM($E50:P50))&lt;0.000001,0,SUM($E50:P50))</f>
        <v>90.373809333309964</v>
      </c>
      <c r="Q79" s="5156">
        <f ca="1">IF(ABS(SUM($E50:Q50))&lt;0.000001,0,SUM($E50:Q50))</f>
        <v>113.43630933330724</v>
      </c>
      <c r="R79" s="5156">
        <f ca="1">IF(ABS(SUM($E50:R50))&lt;0.000001,0,SUM($E50:R50))</f>
        <v>140.34255933330383</v>
      </c>
      <c r="S79" s="5156">
        <f ca="1">IF(ABS(SUM($E50:S50))&lt;0.000001,0,SUM($E50:S50))</f>
        <v>167.24880933329973</v>
      </c>
      <c r="T79" s="5156">
        <f ca="1">IF(ABS(SUM($E50:T50))&lt;0.000001,0,SUM($E50:T50))</f>
        <v>194.5821426666289</v>
      </c>
      <c r="U79" s="5156">
        <f ca="1">IF(ABS(SUM($E50:U50))&lt;0.000001,0,SUM($E50:U50))</f>
        <v>222.3425593332916</v>
      </c>
      <c r="V79" s="5156">
        <f ca="1">IF(ABS(SUM($E50:V50))&lt;0.000001,0,SUM($E50:V50))</f>
        <v>239.42589266662304</v>
      </c>
      <c r="W79" s="5156">
        <f ca="1">IF(ABS(SUM($E50:W50))&lt;0.000001,0,SUM($E50:W50))</f>
        <v>259.0717259999542</v>
      </c>
      <c r="X79" s="5156">
        <f ca="1">IF(ABS(SUM($E50:X50))&lt;0.000001,0,SUM($E50:X50))</f>
        <v>279.14464266661832</v>
      </c>
      <c r="Y79" s="5156">
        <f ca="1">IF(ABS(SUM($E50:Y50))&lt;0.000001,0,SUM($E50:Y50))</f>
        <v>296.22797599994988</v>
      </c>
      <c r="Z79" s="5156">
        <f ca="1">IF(ABS(SUM($E50:Z50))&lt;0.000001,0,SUM($E50:Z50))</f>
        <v>301.35297599994919</v>
      </c>
      <c r="AA79" s="5156">
        <f ca="1">IF(ABS(SUM($E50:AA50))&lt;0.000001,0,SUM($E50:AA50))</f>
        <v>306.47797599994857</v>
      </c>
      <c r="AB79" s="5156">
        <f ca="1">IF(ABS(SUM($E50:AB50))&lt;0.000001,0,SUM($E50:AB50))</f>
        <v>311.602975999948</v>
      </c>
      <c r="AC79" s="5156">
        <f ca="1">IF(ABS(SUM($E50:AC50))&lt;0.000001,0,SUM($E50:AC50))</f>
        <v>316.72797599994743</v>
      </c>
      <c r="AD79" s="5156">
        <f ca="1">IF(ABS(SUM($E50:AD50))&lt;0.000001,0,SUM($E50:AD50))</f>
        <v>321.85297599994692</v>
      </c>
      <c r="AE79" s="5156">
        <f ca="1">IF(ABS(SUM($E50:AE50))&lt;0.000001,0,SUM($E50:AE50))</f>
        <v>326.97797599994635</v>
      </c>
      <c r="AF79" s="5156">
        <f ca="1">IF(ABS(SUM($E50:AF50))&lt;0.000001,0,SUM($E50:AF50))</f>
        <v>332.10297599994561</v>
      </c>
      <c r="AG79" s="5156">
        <f ca="1">IF(ABS(SUM($E50:AG50))&lt;0.000001,0,SUM($E50:AG50))</f>
        <v>337.22797599994487</v>
      </c>
      <c r="AH79" s="5156">
        <f ca="1">IF(ABS(SUM($E50:AH50))&lt;0.000001,0,SUM($E50:AH50))</f>
        <v>342.35297599994419</v>
      </c>
      <c r="AI79" s="5156">
        <f ca="1">IF(ABS(SUM($E50:AI50))&lt;0.000001,0,SUM($E50:AI50))</f>
        <v>347.47797599994351</v>
      </c>
      <c r="AJ79" s="5156">
        <f ca="1">IF(ABS(SUM($E50:AJ50))&lt;0.000001,0,SUM($E50:AJ50))</f>
        <v>0</v>
      </c>
    </row>
    <row r="80" spans="2:36" ht="15.75" customHeight="1" thickBot="1">
      <c r="B80" s="5150" t="s">
        <v>5150</v>
      </c>
      <c r="C80" s="5154"/>
      <c r="D80" s="5152"/>
      <c r="E80" s="5153"/>
      <c r="F80" s="5157">
        <f t="shared" ref="F80:AJ80" ca="1" si="31">SUM(F77:F79)</f>
        <v>0</v>
      </c>
      <c r="G80" s="5157">
        <f t="shared" ca="1" si="31"/>
        <v>87699.743999999977</v>
      </c>
      <c r="H80" s="5157">
        <f t="shared" ca="1" si="31"/>
        <v>83713.391999999963</v>
      </c>
      <c r="I80" s="5157">
        <f t="shared" ca="1" si="31"/>
        <v>79643.99099999998</v>
      </c>
      <c r="J80" s="5157">
        <f t="shared" ca="1" si="31"/>
        <v>75574.589999999982</v>
      </c>
      <c r="K80" s="5157">
        <f t="shared" ca="1" si="31"/>
        <v>71505.188999999969</v>
      </c>
      <c r="L80" s="5157">
        <f t="shared" ca="1" si="31"/>
        <v>67352.738999999987</v>
      </c>
      <c r="M80" s="5157">
        <f t="shared" ca="1" si="31"/>
        <v>63117.239999999976</v>
      </c>
      <c r="N80" s="5157">
        <f t="shared" ca="1" si="31"/>
        <v>59296.985999999975</v>
      </c>
      <c r="O80" s="5157">
        <f t="shared" ca="1" si="31"/>
        <v>55393.682999999975</v>
      </c>
      <c r="P80" s="5157">
        <f t="shared" ca="1" si="31"/>
        <v>50992.085999999981</v>
      </c>
      <c r="Q80" s="5157">
        <f t="shared" ca="1" si="31"/>
        <v>46507.439999999988</v>
      </c>
      <c r="R80" s="5157">
        <f t="shared" ca="1" si="31"/>
        <v>41275.352999999981</v>
      </c>
      <c r="S80" s="5157">
        <f t="shared" ca="1" si="31"/>
        <v>36043.265999999981</v>
      </c>
      <c r="T80" s="5157">
        <f t="shared" ca="1" si="31"/>
        <v>30728.129999999986</v>
      </c>
      <c r="U80" s="5157">
        <f t="shared" ca="1" si="31"/>
        <v>25329.944999999985</v>
      </c>
      <c r="V80" s="5157">
        <f t="shared" ca="1" si="31"/>
        <v>22007.984999999986</v>
      </c>
      <c r="W80" s="5157">
        <f t="shared" ca="1" si="31"/>
        <v>18187.730999999989</v>
      </c>
      <c r="X80" s="5157">
        <f t="shared" ca="1" si="31"/>
        <v>14284.427999999987</v>
      </c>
      <c r="Y80" s="5157">
        <f t="shared" ca="1" si="31"/>
        <v>10962.467999999986</v>
      </c>
      <c r="Z80" s="5157">
        <f t="shared" ca="1" si="31"/>
        <v>9965.8799999999865</v>
      </c>
      <c r="AA80" s="5157">
        <f t="shared" ca="1" si="31"/>
        <v>8969.2919999999867</v>
      </c>
      <c r="AB80" s="5157">
        <f t="shared" ca="1" si="31"/>
        <v>7972.7039999999861</v>
      </c>
      <c r="AC80" s="5157">
        <f t="shared" ca="1" si="31"/>
        <v>6976.1159999999854</v>
      </c>
      <c r="AD80" s="5157">
        <f t="shared" ca="1" si="31"/>
        <v>5979.5279999999857</v>
      </c>
      <c r="AE80" s="5157">
        <f t="shared" ca="1" si="31"/>
        <v>4982.939999999986</v>
      </c>
      <c r="AF80" s="5157">
        <f t="shared" ca="1" si="31"/>
        <v>3986.3519999999858</v>
      </c>
      <c r="AG80" s="5157">
        <f t="shared" ca="1" si="31"/>
        <v>2989.7639999999856</v>
      </c>
      <c r="AH80" s="5157">
        <f t="shared" ca="1" si="31"/>
        <v>1993.1759999999858</v>
      </c>
      <c r="AI80" s="5157">
        <f t="shared" ca="1" si="31"/>
        <v>996.58799999998564</v>
      </c>
      <c r="AJ80" s="5157">
        <f t="shared" ca="1" si="31"/>
        <v>0</v>
      </c>
    </row>
    <row r="81" spans="2:36" s="5159" customFormat="1" ht="15.75" customHeight="1" thickTop="1">
      <c r="B81" s="5160" t="s">
        <v>5130</v>
      </c>
      <c r="C81" s="5161"/>
      <c r="D81" s="5162">
        <f ca="1">SUM(F81:AJ81)</f>
        <v>0</v>
      </c>
      <c r="E81" s="5163"/>
      <c r="F81" s="5164">
        <f t="shared" ref="F81:AJ81" ca="1" si="32">IF(ABS(F80+F75-F73)&lt;0.00001,0,F80+F75-F73)</f>
        <v>0</v>
      </c>
      <c r="G81" s="5164">
        <f t="shared" ca="1" si="32"/>
        <v>0</v>
      </c>
      <c r="H81" s="5164">
        <f t="shared" ca="1" si="32"/>
        <v>0</v>
      </c>
      <c r="I81" s="5164">
        <f t="shared" ca="1" si="32"/>
        <v>0</v>
      </c>
      <c r="J81" s="5164">
        <f t="shared" ca="1" si="32"/>
        <v>0</v>
      </c>
      <c r="K81" s="5164">
        <f t="shared" ca="1" si="32"/>
        <v>0</v>
      </c>
      <c r="L81" s="5164">
        <f t="shared" ca="1" si="32"/>
        <v>0</v>
      </c>
      <c r="M81" s="5164">
        <f t="shared" ca="1" si="32"/>
        <v>0</v>
      </c>
      <c r="N81" s="5164">
        <f t="shared" ca="1" si="32"/>
        <v>0</v>
      </c>
      <c r="O81" s="5164">
        <f t="shared" ca="1" si="32"/>
        <v>0</v>
      </c>
      <c r="P81" s="5164">
        <f t="shared" ca="1" si="32"/>
        <v>0</v>
      </c>
      <c r="Q81" s="5164">
        <f t="shared" ca="1" si="32"/>
        <v>0</v>
      </c>
      <c r="R81" s="5164">
        <f t="shared" ca="1" si="32"/>
        <v>0</v>
      </c>
      <c r="S81" s="5164">
        <f t="shared" ca="1" si="32"/>
        <v>0</v>
      </c>
      <c r="T81" s="5164">
        <f t="shared" ca="1" si="32"/>
        <v>0</v>
      </c>
      <c r="U81" s="5164">
        <f t="shared" ca="1" si="32"/>
        <v>0</v>
      </c>
      <c r="V81" s="5164">
        <f t="shared" ca="1" si="32"/>
        <v>0</v>
      </c>
      <c r="W81" s="5164">
        <f t="shared" ca="1" si="32"/>
        <v>0</v>
      </c>
      <c r="X81" s="5164">
        <f t="shared" ca="1" si="32"/>
        <v>0</v>
      </c>
      <c r="Y81" s="5164">
        <f t="shared" ca="1" si="32"/>
        <v>0</v>
      </c>
      <c r="Z81" s="5164">
        <f t="shared" ca="1" si="32"/>
        <v>0</v>
      </c>
      <c r="AA81" s="5164">
        <f t="shared" ca="1" si="32"/>
        <v>0</v>
      </c>
      <c r="AB81" s="5164">
        <f t="shared" ca="1" si="32"/>
        <v>0</v>
      </c>
      <c r="AC81" s="5164">
        <f t="shared" ca="1" si="32"/>
        <v>0</v>
      </c>
      <c r="AD81" s="5164">
        <f t="shared" ca="1" si="32"/>
        <v>0</v>
      </c>
      <c r="AE81" s="5164">
        <f t="shared" ca="1" si="32"/>
        <v>0</v>
      </c>
      <c r="AF81" s="5164">
        <f t="shared" ca="1" si="32"/>
        <v>0</v>
      </c>
      <c r="AG81" s="5164">
        <f t="shared" ca="1" si="32"/>
        <v>0</v>
      </c>
      <c r="AH81" s="5164">
        <f t="shared" ca="1" si="32"/>
        <v>0</v>
      </c>
      <c r="AI81" s="5164">
        <f t="shared" ca="1" si="32"/>
        <v>0</v>
      </c>
      <c r="AJ81" s="5164">
        <f t="shared" ca="1" si="32"/>
        <v>0</v>
      </c>
    </row>
    <row r="82" spans="2:36" ht="15.75" customHeight="1"/>
    <row r="83" spans="2:36" ht="15.75" customHeight="1">
      <c r="B83" s="5515" t="s">
        <v>5154</v>
      </c>
      <c r="C83" s="5141"/>
      <c r="D83" s="5515" t="s">
        <v>4625</v>
      </c>
      <c r="E83" s="5141"/>
      <c r="F83" s="5134">
        <v>2022</v>
      </c>
      <c r="G83" s="5134">
        <v>2023</v>
      </c>
      <c r="H83" s="5134">
        <v>2024</v>
      </c>
      <c r="I83" s="5134">
        <v>2025</v>
      </c>
      <c r="J83" s="5134">
        <v>2026</v>
      </c>
      <c r="K83" s="5134">
        <v>2027</v>
      </c>
      <c r="L83" s="5134">
        <v>2028</v>
      </c>
      <c r="M83" s="5134">
        <v>2029</v>
      </c>
    </row>
    <row r="84" spans="2:36" ht="15.75" customHeight="1">
      <c r="B84" s="5516"/>
      <c r="C84" s="5142"/>
      <c r="D84" s="5516"/>
      <c r="E84" s="5143"/>
      <c r="F84" s="5136">
        <v>44926</v>
      </c>
      <c r="G84" s="5136">
        <v>45291</v>
      </c>
      <c r="H84" s="5136">
        <v>45657</v>
      </c>
      <c r="I84" s="5136">
        <v>46022</v>
      </c>
      <c r="J84" s="5136">
        <v>46387</v>
      </c>
      <c r="K84" s="5136">
        <v>46752</v>
      </c>
      <c r="L84" s="5136">
        <v>47118</v>
      </c>
      <c r="M84" s="5136">
        <v>47391</v>
      </c>
    </row>
    <row r="85" spans="2:36" ht="15.75" customHeight="1">
      <c r="B85" s="5137" t="str">
        <f>B70</f>
        <v>자산</v>
      </c>
      <c r="C85" s="5137"/>
      <c r="D85" s="5118"/>
      <c r="E85" s="5094"/>
      <c r="F85" s="5156"/>
      <c r="G85" s="5156"/>
      <c r="H85" s="5156"/>
      <c r="I85" s="5156"/>
      <c r="J85" s="5156"/>
      <c r="K85" s="5156"/>
      <c r="L85" s="5156"/>
      <c r="M85" s="5156"/>
    </row>
    <row r="86" spans="2:36" ht="15.75" customHeight="1">
      <c r="B86" s="5110" t="str">
        <f t="shared" ref="B86:B95" si="33">B71</f>
        <v>현금및현금성자산</v>
      </c>
      <c r="C86" s="5110"/>
      <c r="D86" s="5118"/>
      <c r="E86" s="5094"/>
      <c r="F86" s="5156">
        <f t="shared" ref="F86:M87" ca="1" si="34">SUMIFS(71:71,$69:$69,F$84)</f>
        <v>0</v>
      </c>
      <c r="G86" s="5156">
        <f t="shared" ca="1" si="34"/>
        <v>0</v>
      </c>
      <c r="H86" s="5156">
        <f t="shared" ca="1" si="34"/>
        <v>0</v>
      </c>
      <c r="I86" s="5156">
        <f t="shared" ca="1" si="34"/>
        <v>0</v>
      </c>
      <c r="J86" s="5156">
        <f t="shared" ca="1" si="34"/>
        <v>0</v>
      </c>
      <c r="K86" s="5156">
        <f t="shared" ca="1" si="34"/>
        <v>0</v>
      </c>
      <c r="L86" s="5156">
        <f t="shared" ca="1" si="34"/>
        <v>0</v>
      </c>
      <c r="M86" s="5156">
        <f t="shared" ca="1" si="34"/>
        <v>0</v>
      </c>
    </row>
    <row r="87" spans="2:36" ht="15.75" customHeight="1">
      <c r="B87" s="5110" t="str">
        <f t="shared" si="33"/>
        <v>운용자산(UNCT대출금)</v>
      </c>
      <c r="C87" s="5110"/>
      <c r="D87" s="5118"/>
      <c r="E87" s="5094"/>
      <c r="F87" s="5156">
        <f t="shared" ca="1" si="34"/>
        <v>79643.990999999995</v>
      </c>
      <c r="G87" s="5156">
        <f t="shared" ca="1" si="34"/>
        <v>63117.239999999991</v>
      </c>
      <c r="H87" s="5156">
        <f t="shared" ca="1" si="34"/>
        <v>46507.439999999981</v>
      </c>
      <c r="I87" s="5156">
        <f t="shared" ca="1" si="34"/>
        <v>25329.944999999985</v>
      </c>
      <c r="J87" s="5156">
        <f t="shared" ca="1" si="34"/>
        <v>10962.46799999999</v>
      </c>
      <c r="K87" s="5156">
        <f t="shared" ca="1" si="34"/>
        <v>6976.1159999999891</v>
      </c>
      <c r="L87" s="5156">
        <f t="shared" ca="1" si="34"/>
        <v>2989.7639999999888</v>
      </c>
      <c r="M87" s="5156">
        <f t="shared" ca="1" si="34"/>
        <v>0</v>
      </c>
    </row>
    <row r="88" spans="2:36" ht="15.75" customHeight="1" thickBot="1">
      <c r="B88" s="5150" t="str">
        <f t="shared" si="33"/>
        <v>자산총계</v>
      </c>
      <c r="C88" s="5151"/>
      <c r="D88" s="5152"/>
      <c r="E88" s="5153"/>
      <c r="F88" s="5157">
        <f ca="1">SUM(F86:F87)</f>
        <v>79643.990999999995</v>
      </c>
      <c r="G88" s="5157">
        <f t="shared" ref="G88:M88" ca="1" si="35">SUM(G86:G87)</f>
        <v>63117.239999999991</v>
      </c>
      <c r="H88" s="5157">
        <f t="shared" ca="1" si="35"/>
        <v>46507.439999999981</v>
      </c>
      <c r="I88" s="5157">
        <f t="shared" ca="1" si="35"/>
        <v>25329.944999999985</v>
      </c>
      <c r="J88" s="5157">
        <f t="shared" ca="1" si="35"/>
        <v>10962.46799999999</v>
      </c>
      <c r="K88" s="5157">
        <f t="shared" ca="1" si="35"/>
        <v>6976.1159999999891</v>
      </c>
      <c r="L88" s="5157">
        <f t="shared" ca="1" si="35"/>
        <v>2989.7639999999888</v>
      </c>
      <c r="M88" s="5157">
        <f t="shared" ca="1" si="35"/>
        <v>0</v>
      </c>
    </row>
    <row r="89" spans="2:36" s="5185" customFormat="1" ht="15.75" customHeight="1" thickTop="1">
      <c r="B89" s="5186" t="str">
        <f t="shared" si="33"/>
        <v>부채</v>
      </c>
      <c r="C89" s="5187"/>
      <c r="D89" s="5188"/>
      <c r="E89" s="5189"/>
      <c r="F89" s="5190"/>
      <c r="G89" s="5190"/>
      <c r="H89" s="5190"/>
      <c r="I89" s="5190"/>
      <c r="J89" s="5190"/>
      <c r="K89" s="5190"/>
      <c r="L89" s="5190"/>
      <c r="M89" s="5190"/>
    </row>
    <row r="90" spans="2:36" s="5185" customFormat="1" ht="15.75" customHeight="1" thickBot="1">
      <c r="B90" s="5180" t="str">
        <f t="shared" si="33"/>
        <v>부채총계</v>
      </c>
      <c r="C90" s="5191"/>
      <c r="D90" s="5182"/>
      <c r="E90" s="5192"/>
      <c r="F90" s="5184">
        <f>F89</f>
        <v>0</v>
      </c>
      <c r="G90" s="5184">
        <f t="shared" ref="G90:M90" si="36">G89</f>
        <v>0</v>
      </c>
      <c r="H90" s="5184">
        <f t="shared" si="36"/>
        <v>0</v>
      </c>
      <c r="I90" s="5184">
        <f t="shared" si="36"/>
        <v>0</v>
      </c>
      <c r="J90" s="5184">
        <f t="shared" si="36"/>
        <v>0</v>
      </c>
      <c r="K90" s="5184">
        <f t="shared" si="36"/>
        <v>0</v>
      </c>
      <c r="L90" s="5184">
        <f t="shared" si="36"/>
        <v>0</v>
      </c>
      <c r="M90" s="5184">
        <f t="shared" si="36"/>
        <v>0</v>
      </c>
    </row>
    <row r="91" spans="2:36" ht="15.75" customHeight="1" thickTop="1">
      <c r="B91" s="5148" t="str">
        <f t="shared" si="33"/>
        <v>자본</v>
      </c>
      <c r="C91" s="5144"/>
      <c r="D91" s="5132"/>
      <c r="E91" s="5149"/>
      <c r="F91" s="5158"/>
      <c r="G91" s="5158"/>
      <c r="H91" s="5158"/>
      <c r="I91" s="5158"/>
      <c r="J91" s="5158"/>
      <c r="K91" s="5158"/>
      <c r="L91" s="5158"/>
      <c r="M91" s="5158"/>
    </row>
    <row r="92" spans="2:36" ht="15.75" customHeight="1">
      <c r="B92" s="5110" t="str">
        <f t="shared" si="33"/>
        <v>원본(변동수익증권)</v>
      </c>
      <c r="C92" s="5137"/>
      <c r="D92" s="5118"/>
      <c r="E92" s="5140"/>
      <c r="F92" s="5156">
        <f t="shared" ref="F92:M94" ca="1" si="37">SUMIFS(77:77,$69:$69,F$84)</f>
        <v>25536.776809030285</v>
      </c>
      <c r="G92" s="5156">
        <f t="shared" ca="1" si="37"/>
        <v>20175.552919515139</v>
      </c>
      <c r="H92" s="5156">
        <f t="shared" ca="1" si="37"/>
        <v>14815.821872484845</v>
      </c>
      <c r="I92" s="5156">
        <f t="shared" ca="1" si="37"/>
        <v>8018.0569861212161</v>
      </c>
      <c r="J92" s="5156">
        <f t="shared" ca="1" si="37"/>
        <v>3406.2400240000097</v>
      </c>
      <c r="K92" s="5156">
        <f t="shared" ca="1" si="37"/>
        <v>2126.6607512727387</v>
      </c>
      <c r="L92" s="5156">
        <f t="shared" ca="1" si="37"/>
        <v>847.08147854546769</v>
      </c>
      <c r="M92" s="5156">
        <f t="shared" ca="1" si="37"/>
        <v>0</v>
      </c>
    </row>
    <row r="93" spans="2:36" ht="15.75" customHeight="1">
      <c r="B93" s="5110" t="str">
        <f t="shared" si="33"/>
        <v>원본(고정수익증권)</v>
      </c>
      <c r="C93" s="5137"/>
      <c r="D93" s="5118"/>
      <c r="E93" s="5140"/>
      <c r="F93" s="5156">
        <f t="shared" ca="1" si="37"/>
        <v>54428.636363636368</v>
      </c>
      <c r="G93" s="5156">
        <f t="shared" ca="1" si="37"/>
        <v>43001.818181818184</v>
      </c>
      <c r="H93" s="5156">
        <f t="shared" ca="1" si="37"/>
        <v>31578.181818181831</v>
      </c>
      <c r="I93" s="5156">
        <f t="shared" ca="1" si="37"/>
        <v>17089.545454545478</v>
      </c>
      <c r="J93" s="5156">
        <f t="shared" ca="1" si="37"/>
        <v>7260.0000000000273</v>
      </c>
      <c r="K93" s="5156">
        <f t="shared" ca="1" si="37"/>
        <v>4532.7272727272994</v>
      </c>
      <c r="L93" s="5156">
        <f t="shared" ca="1" si="37"/>
        <v>1805.4545454545732</v>
      </c>
      <c r="M93" s="5156">
        <f t="shared" ca="1" si="37"/>
        <v>0</v>
      </c>
    </row>
    <row r="94" spans="2:36" ht="15.75" customHeight="1">
      <c r="B94" s="5110" t="str">
        <f t="shared" si="33"/>
        <v>이익잉여금</v>
      </c>
      <c r="C94" s="5137"/>
      <c r="D94" s="5118"/>
      <c r="E94" s="5140"/>
      <c r="F94" s="5156">
        <f t="shared" ca="1" si="37"/>
        <v>-321.42217266667183</v>
      </c>
      <c r="G94" s="5156">
        <f t="shared" ca="1" si="37"/>
        <v>-60.131101333348852</v>
      </c>
      <c r="H94" s="5156">
        <f t="shared" ca="1" si="37"/>
        <v>113.43630933330724</v>
      </c>
      <c r="I94" s="5156">
        <f t="shared" ca="1" si="37"/>
        <v>222.3425593332916</v>
      </c>
      <c r="J94" s="5156">
        <f t="shared" ca="1" si="37"/>
        <v>296.22797599994988</v>
      </c>
      <c r="K94" s="5156">
        <f t="shared" ca="1" si="37"/>
        <v>316.72797599994743</v>
      </c>
      <c r="L94" s="5156">
        <f t="shared" ca="1" si="37"/>
        <v>337.22797599994487</v>
      </c>
      <c r="M94" s="5118">
        <f t="shared" ca="1" si="37"/>
        <v>0</v>
      </c>
    </row>
    <row r="95" spans="2:36" ht="15.75" customHeight="1" thickBot="1">
      <c r="B95" s="5150" t="str">
        <f t="shared" si="33"/>
        <v>자본총계</v>
      </c>
      <c r="C95" s="5154"/>
      <c r="D95" s="5152"/>
      <c r="E95" s="5153"/>
      <c r="F95" s="5157">
        <f t="shared" ref="F95:M95" ca="1" si="38">SUM(F92:F94)</f>
        <v>79643.99099999998</v>
      </c>
      <c r="G95" s="5157">
        <f t="shared" ca="1" si="38"/>
        <v>63117.239999999976</v>
      </c>
      <c r="H95" s="5157">
        <f t="shared" ca="1" si="38"/>
        <v>46507.439999999988</v>
      </c>
      <c r="I95" s="5157">
        <f t="shared" ca="1" si="38"/>
        <v>25329.944999999985</v>
      </c>
      <c r="J95" s="5157">
        <f t="shared" ca="1" si="38"/>
        <v>10962.467999999986</v>
      </c>
      <c r="K95" s="5157">
        <f t="shared" ca="1" si="38"/>
        <v>6976.1159999999854</v>
      </c>
      <c r="L95" s="5157">
        <f t="shared" ca="1" si="38"/>
        <v>2989.7639999999856</v>
      </c>
      <c r="M95" s="5157">
        <f t="shared" ca="1" si="38"/>
        <v>0</v>
      </c>
    </row>
    <row r="96" spans="2:36" ht="15.75" customHeight="1" thickTop="1">
      <c r="B96" s="5160" t="s">
        <v>5130</v>
      </c>
      <c r="C96" s="5161"/>
      <c r="D96" s="5162">
        <f ca="1">SUM(F96:AJ96)</f>
        <v>0</v>
      </c>
      <c r="E96" s="5163"/>
      <c r="F96" s="5164">
        <f t="shared" ref="F96:M96" ca="1" si="39">IF(ABS(F95+F90-F88)&lt;0.00001,0,F95+F90-F88)</f>
        <v>0</v>
      </c>
      <c r="G96" s="5164">
        <f t="shared" ca="1" si="39"/>
        <v>0</v>
      </c>
      <c r="H96" s="5164">
        <f t="shared" ca="1" si="39"/>
        <v>0</v>
      </c>
      <c r="I96" s="5164">
        <f t="shared" ca="1" si="39"/>
        <v>0</v>
      </c>
      <c r="J96" s="5164">
        <f t="shared" ca="1" si="39"/>
        <v>0</v>
      </c>
      <c r="K96" s="5164">
        <f t="shared" ca="1" si="39"/>
        <v>0</v>
      </c>
      <c r="L96" s="5164">
        <f t="shared" ca="1" si="39"/>
        <v>0</v>
      </c>
      <c r="M96" s="5164">
        <f t="shared" ca="1" si="39"/>
        <v>0</v>
      </c>
    </row>
  </sheetData>
  <mergeCells count="12">
    <mergeCell ref="B83:B84"/>
    <mergeCell ref="D83:D84"/>
    <mergeCell ref="B4:B6"/>
    <mergeCell ref="D4:D6"/>
    <mergeCell ref="B38:B40"/>
    <mergeCell ref="B52:B53"/>
    <mergeCell ref="B21:B22"/>
    <mergeCell ref="B67:B69"/>
    <mergeCell ref="D21:D22"/>
    <mergeCell ref="D52:D53"/>
    <mergeCell ref="D38:D40"/>
    <mergeCell ref="D67:D69"/>
  </mergeCells>
  <phoneticPr fontId="7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6A165-0D54-415E-AEE1-EBC3692CD49C}">
  <sheetPr codeName="Sheet17"/>
  <dimension ref="A2:AT111"/>
  <sheetViews>
    <sheetView showGridLines="0" zoomScale="112" zoomScaleNormal="112" workbookViewId="0">
      <selection activeCell="H8" sqref="H8"/>
    </sheetView>
  </sheetViews>
  <sheetFormatPr defaultColWidth="0" defaultRowHeight="12"/>
  <cols>
    <col min="1" max="1" width="1.33203125" style="16" customWidth="1"/>
    <col min="2" max="2" width="24.88671875" style="16" customWidth="1"/>
    <col min="3" max="3" width="9.5546875" style="16" customWidth="1"/>
    <col min="4" max="4" width="8.77734375" style="16" customWidth="1"/>
    <col min="5" max="5" width="9.44140625" style="16" bestFit="1" customWidth="1"/>
    <col min="6" max="6" width="1.109375" style="16" customWidth="1"/>
    <col min="7" max="7" width="17.6640625" style="16" customWidth="1"/>
    <col min="8" max="37" width="10.6640625" style="16" customWidth="1"/>
    <col min="38" max="38" width="1.5546875" style="16" customWidth="1"/>
    <col min="39" max="42" width="10.6640625" style="16" hidden="1" customWidth="1"/>
    <col min="43" max="46" width="0" style="16" hidden="1" customWidth="1"/>
    <col min="47" max="16384" width="8.88671875" style="16" hidden="1"/>
  </cols>
  <sheetData>
    <row r="2" spans="2:46">
      <c r="B2" s="15" t="s">
        <v>10</v>
      </c>
    </row>
    <row r="3" spans="2:46" s="17" customFormat="1"/>
    <row r="4" spans="2:46" s="17" customFormat="1" ht="24">
      <c r="B4" s="18" t="s">
        <v>11</v>
      </c>
      <c r="C4" s="19" t="s">
        <v>5311</v>
      </c>
      <c r="D4" s="19" t="s">
        <v>5338</v>
      </c>
      <c r="E4" s="19" t="s">
        <v>5339</v>
      </c>
    </row>
    <row r="5" spans="2:46" s="17" customFormat="1">
      <c r="B5" s="20" t="s">
        <v>12</v>
      </c>
      <c r="C5" s="4745">
        <f ca="1">E23</f>
        <v>4.160479009151459E-2</v>
      </c>
      <c r="D5" s="4745">
        <f ca="1">E38</f>
        <v>5.1261338591575625E-2</v>
      </c>
      <c r="E5" s="4745">
        <f ca="1">E52</f>
        <v>3.7004634737968459E-2</v>
      </c>
    </row>
    <row r="6" spans="2:46" s="17" customFormat="1">
      <c r="B6" s="20" t="s">
        <v>13</v>
      </c>
      <c r="C6" s="4745">
        <f ca="1">E25</f>
        <v>4.3139651417732239E-2</v>
      </c>
      <c r="D6" s="4745">
        <f ca="1">E40</f>
        <v>5.2786615490913402E-2</v>
      </c>
      <c r="E6" s="4745">
        <f ca="1">E54</f>
        <v>3.8544651865959165E-2</v>
      </c>
    </row>
    <row r="7" spans="2:46" s="17" customFormat="1">
      <c r="E7" s="68">
        <f ca="1">E14+E16+E17</f>
        <v>10611.066147</v>
      </c>
      <c r="I7" s="68">
        <f ca="1">I13+I15</f>
        <v>4134.4034553333304</v>
      </c>
      <c r="J7" s="68">
        <f t="shared" ref="J7:AK7" ca="1" si="0">J13+J15</f>
        <v>4134.4034553333304</v>
      </c>
      <c r="K7" s="68">
        <f t="shared" ca="1" si="0"/>
        <v>4134.4034553333304</v>
      </c>
      <c r="L7" s="68">
        <f t="shared" ca="1" si="0"/>
        <v>4217.8795386666652</v>
      </c>
      <c r="M7" s="68">
        <f t="shared" ca="1" si="0"/>
        <v>4301.3556219999973</v>
      </c>
      <c r="N7" s="68">
        <f t="shared" ca="1" si="0"/>
        <v>3883.9752053333309</v>
      </c>
      <c r="O7" s="68">
        <f t="shared" ca="1" si="0"/>
        <v>3967.4512886666635</v>
      </c>
      <c r="P7" s="68">
        <f t="shared" ca="1" si="0"/>
        <v>4424.232416666664</v>
      </c>
      <c r="Q7" s="68">
        <f t="shared" ca="1" si="0"/>
        <v>4507.708499999997</v>
      </c>
      <c r="R7" s="68">
        <f t="shared" ca="1" si="0"/>
        <v>5258.9932499999959</v>
      </c>
      <c r="S7" s="68">
        <f t="shared" ca="1" si="0"/>
        <v>5258.9932499999959</v>
      </c>
      <c r="T7" s="68">
        <f t="shared" ca="1" si="0"/>
        <v>5342.4693333333289</v>
      </c>
      <c r="U7" s="68">
        <f t="shared" ca="1" si="0"/>
        <v>5425.9454166666637</v>
      </c>
      <c r="V7" s="68">
        <f t="shared" ca="1" si="0"/>
        <v>3339.0433333333312</v>
      </c>
      <c r="W7" s="68">
        <f t="shared" ca="1" si="0"/>
        <v>3839.8998333333311</v>
      </c>
      <c r="X7" s="68">
        <f t="shared" ca="1" si="0"/>
        <v>3923.3759166666641</v>
      </c>
      <c r="Y7" s="68">
        <f t="shared" ca="1" si="0"/>
        <v>3339.0433333333312</v>
      </c>
      <c r="Z7" s="68">
        <f t="shared" ca="1" si="0"/>
        <v>1001.7129999999995</v>
      </c>
      <c r="AA7" s="68">
        <f t="shared" ca="1" si="0"/>
        <v>1001.7129999999995</v>
      </c>
      <c r="AB7" s="68">
        <f t="shared" ca="1" si="0"/>
        <v>1001.7129999999995</v>
      </c>
      <c r="AC7" s="68">
        <f t="shared" ca="1" si="0"/>
        <v>1001.7129999999995</v>
      </c>
      <c r="AD7" s="68">
        <f t="shared" ca="1" si="0"/>
        <v>1001.7129999999995</v>
      </c>
      <c r="AE7" s="68">
        <f t="shared" ca="1" si="0"/>
        <v>1001.7129999999995</v>
      </c>
      <c r="AF7" s="68">
        <f t="shared" ca="1" si="0"/>
        <v>1001.7129999999995</v>
      </c>
      <c r="AG7" s="68">
        <f t="shared" ca="1" si="0"/>
        <v>1001.7129999999995</v>
      </c>
      <c r="AH7" s="68">
        <f t="shared" ca="1" si="0"/>
        <v>1001.7129999999995</v>
      </c>
      <c r="AI7" s="68">
        <f t="shared" ca="1" si="0"/>
        <v>1001.7129999999995</v>
      </c>
      <c r="AJ7" s="68">
        <f t="shared" ca="1" si="0"/>
        <v>649.11002400004213</v>
      </c>
      <c r="AK7" s="68">
        <f t="shared" ca="1" si="0"/>
        <v>0</v>
      </c>
    </row>
    <row r="8" spans="2:46" s="17" customFormat="1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2:46" s="25" customFormat="1" ht="14.25" customHeight="1">
      <c r="B9" s="22" t="s">
        <v>5310</v>
      </c>
      <c r="C9" s="22"/>
      <c r="D9" s="22"/>
      <c r="E9" s="23"/>
      <c r="F9" s="23"/>
      <c r="G9" s="24">
        <f ca="1">YEAR(G11)</f>
        <v>2022</v>
      </c>
      <c r="H9" s="24">
        <f t="shared" ref="H9:AK9" ca="1" si="1">YEAR(H11)</f>
        <v>2022</v>
      </c>
      <c r="I9" s="24">
        <f t="shared" ca="1" si="1"/>
        <v>2022</v>
      </c>
      <c r="J9" s="24">
        <f t="shared" ca="1" si="1"/>
        <v>2023</v>
      </c>
      <c r="K9" s="24">
        <f t="shared" ca="1" si="1"/>
        <v>2023</v>
      </c>
      <c r="L9" s="24">
        <f t="shared" ca="1" si="1"/>
        <v>2023</v>
      </c>
      <c r="M9" s="24">
        <f t="shared" ca="1" si="1"/>
        <v>2023</v>
      </c>
      <c r="N9" s="24">
        <f t="shared" ca="1" si="1"/>
        <v>2024</v>
      </c>
      <c r="O9" s="24">
        <f t="shared" ca="1" si="1"/>
        <v>2024</v>
      </c>
      <c r="P9" s="24">
        <f t="shared" ca="1" si="1"/>
        <v>2024</v>
      </c>
      <c r="Q9" s="24">
        <f t="shared" ca="1" si="1"/>
        <v>2024</v>
      </c>
      <c r="R9" s="24">
        <f t="shared" ca="1" si="1"/>
        <v>2025</v>
      </c>
      <c r="S9" s="24">
        <f t="shared" ca="1" si="1"/>
        <v>2025</v>
      </c>
      <c r="T9" s="24">
        <f t="shared" ca="1" si="1"/>
        <v>2025</v>
      </c>
      <c r="U9" s="24">
        <f t="shared" ca="1" si="1"/>
        <v>2025</v>
      </c>
      <c r="V9" s="24">
        <f t="shared" ca="1" si="1"/>
        <v>2026</v>
      </c>
      <c r="W9" s="24">
        <f t="shared" ca="1" si="1"/>
        <v>2026</v>
      </c>
      <c r="X9" s="24">
        <f t="shared" ca="1" si="1"/>
        <v>2026</v>
      </c>
      <c r="Y9" s="24">
        <f t="shared" ca="1" si="1"/>
        <v>2026</v>
      </c>
      <c r="Z9" s="24">
        <f t="shared" ca="1" si="1"/>
        <v>2027</v>
      </c>
      <c r="AA9" s="24">
        <f t="shared" ca="1" si="1"/>
        <v>2027</v>
      </c>
      <c r="AB9" s="24">
        <f t="shared" ca="1" si="1"/>
        <v>2027</v>
      </c>
      <c r="AC9" s="24">
        <f t="shared" ca="1" si="1"/>
        <v>2027</v>
      </c>
      <c r="AD9" s="24">
        <f t="shared" ca="1" si="1"/>
        <v>2028</v>
      </c>
      <c r="AE9" s="24">
        <f t="shared" ca="1" si="1"/>
        <v>2028</v>
      </c>
      <c r="AF9" s="24">
        <f t="shared" ca="1" si="1"/>
        <v>2028</v>
      </c>
      <c r="AG9" s="24">
        <f t="shared" ca="1" si="1"/>
        <v>2028</v>
      </c>
      <c r="AH9" s="24">
        <f t="shared" ca="1" si="1"/>
        <v>2029</v>
      </c>
      <c r="AI9" s="24">
        <f t="shared" ca="1" si="1"/>
        <v>2029</v>
      </c>
      <c r="AJ9" s="24">
        <f t="shared" ca="1" si="1"/>
        <v>2029</v>
      </c>
      <c r="AK9" s="24">
        <f t="shared" ca="1" si="1"/>
        <v>2029</v>
      </c>
      <c r="AM9" s="26"/>
      <c r="AN9" s="26"/>
      <c r="AO9" s="26"/>
      <c r="AP9" s="26"/>
      <c r="AQ9" s="26"/>
      <c r="AR9" s="26"/>
      <c r="AS9" s="26"/>
      <c r="AT9" s="26"/>
    </row>
    <row r="10" spans="2:46" s="25" customFormat="1" ht="14.25" customHeight="1">
      <c r="B10" s="27"/>
      <c r="C10" s="27"/>
      <c r="D10" s="27"/>
      <c r="E10" s="28"/>
      <c r="F10" s="28"/>
      <c r="G10" s="29">
        <f ca="1">(MONTH(G11)&lt;=3)*1+AND(MONTH(G11)&gt;=4,MONTH(G11)&lt;=6)*2+AND(MONTH(G11)&gt;=7,MONTH(G11)&lt;=9)*3+AND(MONTH(G11)&gt;=10,MONTH(G11)&lt;=12)*4</f>
        <v>2</v>
      </c>
      <c r="H10" s="29">
        <f t="shared" ref="H10:AK10" ca="1" si="2">(MONTH(H11)&lt;=3)*1+AND(MONTH(H11)&gt;=4,MONTH(H11)&lt;=6)*2+AND(MONTH(H11)&gt;=7,MONTH(H11)&lt;=9)*3+AND(MONTH(H11)&gt;=10,MONTH(H11)&lt;=12)*4</f>
        <v>3</v>
      </c>
      <c r="I10" s="29">
        <f t="shared" ca="1" si="2"/>
        <v>4</v>
      </c>
      <c r="J10" s="29">
        <f t="shared" ca="1" si="2"/>
        <v>1</v>
      </c>
      <c r="K10" s="29">
        <f t="shared" ca="1" si="2"/>
        <v>2</v>
      </c>
      <c r="L10" s="29">
        <f t="shared" ca="1" si="2"/>
        <v>3</v>
      </c>
      <c r="M10" s="29">
        <f t="shared" ca="1" si="2"/>
        <v>4</v>
      </c>
      <c r="N10" s="29">
        <f t="shared" ca="1" si="2"/>
        <v>1</v>
      </c>
      <c r="O10" s="29">
        <f t="shared" ca="1" si="2"/>
        <v>2</v>
      </c>
      <c r="P10" s="29">
        <f t="shared" ca="1" si="2"/>
        <v>3</v>
      </c>
      <c r="Q10" s="29">
        <f t="shared" ca="1" si="2"/>
        <v>4</v>
      </c>
      <c r="R10" s="29">
        <f t="shared" ca="1" si="2"/>
        <v>1</v>
      </c>
      <c r="S10" s="29">
        <f t="shared" ca="1" si="2"/>
        <v>2</v>
      </c>
      <c r="T10" s="29">
        <f t="shared" ca="1" si="2"/>
        <v>3</v>
      </c>
      <c r="U10" s="29">
        <f t="shared" ca="1" si="2"/>
        <v>4</v>
      </c>
      <c r="V10" s="29">
        <f t="shared" ca="1" si="2"/>
        <v>1</v>
      </c>
      <c r="W10" s="29">
        <f t="shared" ca="1" si="2"/>
        <v>2</v>
      </c>
      <c r="X10" s="29">
        <f t="shared" ca="1" si="2"/>
        <v>3</v>
      </c>
      <c r="Y10" s="29">
        <f t="shared" ca="1" si="2"/>
        <v>4</v>
      </c>
      <c r="Z10" s="29">
        <f t="shared" ca="1" si="2"/>
        <v>1</v>
      </c>
      <c r="AA10" s="29">
        <f t="shared" ca="1" si="2"/>
        <v>2</v>
      </c>
      <c r="AB10" s="29">
        <f t="shared" ca="1" si="2"/>
        <v>3</v>
      </c>
      <c r="AC10" s="29">
        <f t="shared" ca="1" si="2"/>
        <v>4</v>
      </c>
      <c r="AD10" s="29">
        <f t="shared" ca="1" si="2"/>
        <v>1</v>
      </c>
      <c r="AE10" s="29">
        <f t="shared" ca="1" si="2"/>
        <v>2</v>
      </c>
      <c r="AF10" s="29">
        <f t="shared" ca="1" si="2"/>
        <v>3</v>
      </c>
      <c r="AG10" s="29">
        <f t="shared" ca="1" si="2"/>
        <v>4</v>
      </c>
      <c r="AH10" s="29">
        <f t="shared" ca="1" si="2"/>
        <v>1</v>
      </c>
      <c r="AI10" s="29">
        <f t="shared" ca="1" si="2"/>
        <v>2</v>
      </c>
      <c r="AJ10" s="29">
        <f t="shared" ca="1" si="2"/>
        <v>3</v>
      </c>
      <c r="AK10" s="29">
        <f t="shared" ca="1" si="2"/>
        <v>4</v>
      </c>
      <c r="AM10" s="30"/>
      <c r="AN10" s="30"/>
      <c r="AO10" s="30"/>
      <c r="AP10" s="30"/>
      <c r="AQ10" s="30"/>
      <c r="AR10" s="30"/>
      <c r="AS10" s="30"/>
      <c r="AT10" s="30"/>
    </row>
    <row r="11" spans="2:46" s="25" customFormat="1" ht="14.25" customHeight="1">
      <c r="B11" s="31"/>
      <c r="C11" s="31"/>
      <c r="D11" s="31"/>
      <c r="E11" s="32" t="s">
        <v>14</v>
      </c>
      <c r="F11" s="32"/>
      <c r="G11" s="33">
        <f ca="1">민감도!$E$67</f>
        <v>44742</v>
      </c>
      <c r="H11" s="33">
        <f ca="1">EOMONTH(G11,3)</f>
        <v>44834</v>
      </c>
      <c r="I11" s="33">
        <f t="shared" ref="I11:AK11" ca="1" si="3">EOMONTH(H11,3)</f>
        <v>44926</v>
      </c>
      <c r="J11" s="33">
        <f t="shared" ca="1" si="3"/>
        <v>45016</v>
      </c>
      <c r="K11" s="33">
        <f t="shared" ca="1" si="3"/>
        <v>45107</v>
      </c>
      <c r="L11" s="33">
        <f t="shared" ca="1" si="3"/>
        <v>45199</v>
      </c>
      <c r="M11" s="33">
        <f t="shared" ca="1" si="3"/>
        <v>45291</v>
      </c>
      <c r="N11" s="33">
        <f t="shared" ca="1" si="3"/>
        <v>45382</v>
      </c>
      <c r="O11" s="33">
        <f t="shared" ca="1" si="3"/>
        <v>45473</v>
      </c>
      <c r="P11" s="33">
        <f t="shared" ca="1" si="3"/>
        <v>45565</v>
      </c>
      <c r="Q11" s="33">
        <f t="shared" ca="1" si="3"/>
        <v>45657</v>
      </c>
      <c r="R11" s="33">
        <f t="shared" ca="1" si="3"/>
        <v>45747</v>
      </c>
      <c r="S11" s="33">
        <f t="shared" ca="1" si="3"/>
        <v>45838</v>
      </c>
      <c r="T11" s="33">
        <f t="shared" ca="1" si="3"/>
        <v>45930</v>
      </c>
      <c r="U11" s="33">
        <f t="shared" ca="1" si="3"/>
        <v>46022</v>
      </c>
      <c r="V11" s="33">
        <f t="shared" ca="1" si="3"/>
        <v>46112</v>
      </c>
      <c r="W11" s="33">
        <f t="shared" ca="1" si="3"/>
        <v>46203</v>
      </c>
      <c r="X11" s="33">
        <f t="shared" ca="1" si="3"/>
        <v>46295</v>
      </c>
      <c r="Y11" s="33">
        <f t="shared" ca="1" si="3"/>
        <v>46387</v>
      </c>
      <c r="Z11" s="33">
        <f t="shared" ca="1" si="3"/>
        <v>46477</v>
      </c>
      <c r="AA11" s="33">
        <f t="shared" ca="1" si="3"/>
        <v>46568</v>
      </c>
      <c r="AB11" s="33">
        <f t="shared" ca="1" si="3"/>
        <v>46660</v>
      </c>
      <c r="AC11" s="33">
        <f t="shared" ca="1" si="3"/>
        <v>46752</v>
      </c>
      <c r="AD11" s="33">
        <f t="shared" ca="1" si="3"/>
        <v>46843</v>
      </c>
      <c r="AE11" s="33">
        <f t="shared" ca="1" si="3"/>
        <v>46934</v>
      </c>
      <c r="AF11" s="33">
        <f t="shared" ca="1" si="3"/>
        <v>47026</v>
      </c>
      <c r="AG11" s="33">
        <f t="shared" ca="1" si="3"/>
        <v>47118</v>
      </c>
      <c r="AH11" s="33">
        <f t="shared" ca="1" si="3"/>
        <v>47208</v>
      </c>
      <c r="AI11" s="33">
        <f t="shared" ca="1" si="3"/>
        <v>47299</v>
      </c>
      <c r="AJ11" s="33">
        <f t="shared" ca="1" si="3"/>
        <v>47391</v>
      </c>
      <c r="AK11" s="33">
        <f t="shared" ca="1" si="3"/>
        <v>47483</v>
      </c>
      <c r="AM11" s="34"/>
      <c r="AN11" s="34"/>
      <c r="AO11" s="34"/>
      <c r="AP11" s="34"/>
      <c r="AQ11" s="34"/>
      <c r="AR11" s="34"/>
      <c r="AS11" s="34"/>
      <c r="AT11" s="34"/>
    </row>
    <row r="12" spans="2:46">
      <c r="B12" s="35" t="s">
        <v>15</v>
      </c>
      <c r="C12" s="35"/>
      <c r="D12" s="35"/>
      <c r="E12" s="36">
        <f t="shared" ref="E12:E22" ca="1" si="4">SUM(G12:AK12)</f>
        <v>98761.810146999982</v>
      </c>
      <c r="F12" s="36"/>
      <c r="G12" s="37">
        <f t="shared" ref="G12:AK12" ca="1" si="5">SUM(G13:G17)</f>
        <v>0</v>
      </c>
      <c r="H12" s="37">
        <f t="shared" ca="1" si="5"/>
        <v>4961.9275679999992</v>
      </c>
      <c r="I12" s="37">
        <f t="shared" ca="1" si="5"/>
        <v>5000.6322240000009</v>
      </c>
      <c r="J12" s="37">
        <f t="shared" ca="1" si="5"/>
        <v>4955.3640395000002</v>
      </c>
      <c r="K12" s="37">
        <f t="shared" ca="1" si="5"/>
        <v>4910.0958549999996</v>
      </c>
      <c r="L12" s="37">
        <f t="shared" ca="1" si="5"/>
        <v>4947.8766705000007</v>
      </c>
      <c r="M12" s="37">
        <f t="shared" ca="1" si="5"/>
        <v>4984.7336455000004</v>
      </c>
      <c r="N12" s="37">
        <f t="shared" ca="1" si="5"/>
        <v>4522.3727799999997</v>
      </c>
      <c r="O12" s="37">
        <f t="shared" ca="1" si="5"/>
        <v>4562.9251169999998</v>
      </c>
      <c r="P12" s="37">
        <f t="shared" ca="1" si="5"/>
        <v>5017.7986134999983</v>
      </c>
      <c r="Q12" s="37">
        <f t="shared" ca="1" si="5"/>
        <v>5051.884066999999</v>
      </c>
      <c r="R12" s="37">
        <f t="shared" ca="1" si="5"/>
        <v>5749.4376799999982</v>
      </c>
      <c r="S12" s="37">
        <f t="shared" ca="1" si="5"/>
        <v>5691.2357285000007</v>
      </c>
      <c r="T12" s="37">
        <f t="shared" ca="1" si="5"/>
        <v>5716.0827769999996</v>
      </c>
      <c r="U12" s="37">
        <f t="shared" ca="1" si="5"/>
        <v>5740.0059849999998</v>
      </c>
      <c r="V12" s="37">
        <f t="shared" ca="1" si="5"/>
        <v>3603.7313524999995</v>
      </c>
      <c r="W12" s="37">
        <f t="shared" ca="1" si="5"/>
        <v>4065.0717324999991</v>
      </c>
      <c r="X12" s="37">
        <f t="shared" ca="1" si="5"/>
        <v>4105.6240694999988</v>
      </c>
      <c r="Y12" s="37">
        <f t="shared" ca="1" si="5"/>
        <v>3480.8605660000003</v>
      </c>
      <c r="Z12" s="37">
        <f t="shared" ca="1" si="5"/>
        <v>1118.534946</v>
      </c>
      <c r="AA12" s="37">
        <f t="shared" ca="1" si="5"/>
        <v>1107.44886</v>
      </c>
      <c r="AB12" s="37">
        <f t="shared" ca="1" si="5"/>
        <v>1096.3627739999999</v>
      </c>
      <c r="AC12" s="37">
        <f t="shared" ca="1" si="5"/>
        <v>1085.2766879999999</v>
      </c>
      <c r="AD12" s="37">
        <f t="shared" ca="1" si="5"/>
        <v>1074.1906019999999</v>
      </c>
      <c r="AE12" s="37">
        <f t="shared" ca="1" si="5"/>
        <v>1063.1045159999999</v>
      </c>
      <c r="AF12" s="37">
        <f t="shared" ca="1" si="5"/>
        <v>1052.0184300000001</v>
      </c>
      <c r="AG12" s="37">
        <f t="shared" ca="1" si="5"/>
        <v>1040.9323440000001</v>
      </c>
      <c r="AH12" s="37">
        <f t="shared" ca="1" si="5"/>
        <v>1029.846258</v>
      </c>
      <c r="AI12" s="37">
        <f t="shared" ca="1" si="5"/>
        <v>1018.7601719999999</v>
      </c>
      <c r="AJ12" s="37">
        <f t="shared" ca="1" si="5"/>
        <v>1007.6740859999886</v>
      </c>
      <c r="AK12" s="37">
        <f t="shared" ca="1" si="5"/>
        <v>0</v>
      </c>
    </row>
    <row r="13" spans="2:46">
      <c r="B13" s="38" t="s">
        <v>5350</v>
      </c>
      <c r="C13" s="38"/>
      <c r="D13" s="38"/>
      <c r="E13" s="36">
        <f t="shared" ca="1" si="4"/>
        <v>60000.000000000029</v>
      </c>
      <c r="F13" s="36"/>
      <c r="G13" s="37">
        <f t="shared" ref="G13:AK13" ca="1" si="6">G46</f>
        <v>0</v>
      </c>
      <c r="H13" s="37">
        <f t="shared" ca="1" si="6"/>
        <v>2757.2727272727266</v>
      </c>
      <c r="I13" s="37">
        <f t="shared" ca="1" si="6"/>
        <v>2814.0909090909081</v>
      </c>
      <c r="J13" s="37">
        <f t="shared" ca="1" si="6"/>
        <v>2814.0909090909081</v>
      </c>
      <c r="K13" s="37">
        <f t="shared" ca="1" si="6"/>
        <v>2814.0909090909081</v>
      </c>
      <c r="L13" s="37">
        <f t="shared" ca="1" si="6"/>
        <v>2870.9090909090905</v>
      </c>
      <c r="M13" s="37">
        <f t="shared" ca="1" si="6"/>
        <v>2927.7272727272716</v>
      </c>
      <c r="N13" s="37">
        <f t="shared" ca="1" si="6"/>
        <v>2643.6363636363626</v>
      </c>
      <c r="O13" s="37">
        <f t="shared" ca="1" si="6"/>
        <v>2700.4545454545441</v>
      </c>
      <c r="P13" s="37">
        <f t="shared" ca="1" si="6"/>
        <v>3011.3636363636351</v>
      </c>
      <c r="Q13" s="37">
        <f t="shared" ca="1" si="6"/>
        <v>3068.1818181818167</v>
      </c>
      <c r="R13" s="37">
        <f t="shared" ca="1" si="6"/>
        <v>3579.5454545454527</v>
      </c>
      <c r="S13" s="37">
        <f t="shared" ca="1" si="6"/>
        <v>3579.5454545454527</v>
      </c>
      <c r="T13" s="37">
        <f t="shared" ca="1" si="6"/>
        <v>3636.3636363636342</v>
      </c>
      <c r="U13" s="37">
        <f t="shared" ca="1" si="6"/>
        <v>3693.1818181818171</v>
      </c>
      <c r="V13" s="37">
        <f t="shared" ca="1" si="6"/>
        <v>2272.7272727272721</v>
      </c>
      <c r="W13" s="37">
        <f t="shared" ca="1" si="6"/>
        <v>2613.6363636363626</v>
      </c>
      <c r="X13" s="37">
        <f t="shared" ca="1" si="6"/>
        <v>2670.4545454545441</v>
      </c>
      <c r="Y13" s="37">
        <f t="shared" ca="1" si="6"/>
        <v>2272.7272727272721</v>
      </c>
      <c r="Z13" s="37">
        <f t="shared" ca="1" si="6"/>
        <v>681.81818181818164</v>
      </c>
      <c r="AA13" s="37">
        <f t="shared" ca="1" si="6"/>
        <v>681.81818181818164</v>
      </c>
      <c r="AB13" s="37">
        <f t="shared" ca="1" si="6"/>
        <v>681.81818181818164</v>
      </c>
      <c r="AC13" s="37">
        <f t="shared" ca="1" si="6"/>
        <v>681.81818181818164</v>
      </c>
      <c r="AD13" s="37">
        <f t="shared" ca="1" si="6"/>
        <v>681.81818181818164</v>
      </c>
      <c r="AE13" s="37">
        <f t="shared" ca="1" si="6"/>
        <v>681.81818181818164</v>
      </c>
      <c r="AF13" s="37">
        <f t="shared" ca="1" si="6"/>
        <v>681.81818181818164</v>
      </c>
      <c r="AG13" s="37">
        <f t="shared" ca="1" si="6"/>
        <v>681.81818181818164</v>
      </c>
      <c r="AH13" s="37">
        <f t="shared" ca="1" si="6"/>
        <v>681.81818181818164</v>
      </c>
      <c r="AI13" s="37">
        <f t="shared" ca="1" si="6"/>
        <v>681.81818181818164</v>
      </c>
      <c r="AJ13" s="37">
        <f t="shared" ca="1" si="6"/>
        <v>441.81818181821006</v>
      </c>
      <c r="AK13" s="37">
        <f t="shared" ca="1" si="6"/>
        <v>0</v>
      </c>
    </row>
    <row r="14" spans="2:46">
      <c r="B14" s="38" t="s">
        <v>5352</v>
      </c>
      <c r="C14" s="38"/>
      <c r="D14" s="38"/>
      <c r="E14" s="36">
        <f t="shared" ca="1" si="4"/>
        <v>6416.503486924039</v>
      </c>
      <c r="F14" s="36"/>
      <c r="G14" s="37">
        <f t="shared" ref="G14:AK14" ca="1" si="7">G47</f>
        <v>0</v>
      </c>
      <c r="H14" s="37">
        <f t="shared" ca="1" si="7"/>
        <v>574.68493150684935</v>
      </c>
      <c r="I14" s="37">
        <f t="shared" ca="1" si="7"/>
        <v>548.27554669987546</v>
      </c>
      <c r="J14" s="37">
        <f t="shared" ca="1" si="7"/>
        <v>509.98886674968867</v>
      </c>
      <c r="K14" s="37">
        <f t="shared" ca="1" si="7"/>
        <v>488.9947895392279</v>
      </c>
      <c r="L14" s="37">
        <f t="shared" ca="1" si="7"/>
        <v>467.41476463262757</v>
      </c>
      <c r="M14" s="37">
        <f t="shared" ca="1" si="7"/>
        <v>439.91696139476966</v>
      </c>
      <c r="N14" s="37">
        <f t="shared" ca="1" si="7"/>
        <v>407.39804732254044</v>
      </c>
      <c r="O14" s="37">
        <f t="shared" ca="1" si="7"/>
        <v>382.35230884184313</v>
      </c>
      <c r="P14" s="37">
        <f t="shared" ca="1" si="7"/>
        <v>360.68880697384816</v>
      </c>
      <c r="Q14" s="37">
        <f t="shared" ca="1" si="7"/>
        <v>331.84571855541731</v>
      </c>
      <c r="R14" s="37">
        <f t="shared" ca="1" si="7"/>
        <v>295.88323785803249</v>
      </c>
      <c r="S14" s="37">
        <f t="shared" ca="1" si="7"/>
        <v>265.25831382316323</v>
      </c>
      <c r="T14" s="37">
        <f t="shared" ca="1" si="7"/>
        <v>233.88805977584076</v>
      </c>
      <c r="U14" s="37">
        <f t="shared" ca="1" si="7"/>
        <v>199.05866998754692</v>
      </c>
      <c r="V14" s="37">
        <f t="shared" ca="1" si="7"/>
        <v>160.12669987546721</v>
      </c>
      <c r="W14" s="37">
        <f t="shared" ca="1" si="7"/>
        <v>140.37412951432151</v>
      </c>
      <c r="X14" s="37">
        <f t="shared" ca="1" si="7"/>
        <v>116.88307845579104</v>
      </c>
      <c r="Y14" s="37">
        <f t="shared" ca="1" si="7"/>
        <v>91.30524533001271</v>
      </c>
      <c r="Z14" s="37">
        <f t="shared" ca="1" si="7"/>
        <v>68.02520547945231</v>
      </c>
      <c r="AA14" s="37">
        <f t="shared" ca="1" si="7"/>
        <v>62.321514321295396</v>
      </c>
      <c r="AB14" s="37">
        <f t="shared" ca="1" si="7"/>
        <v>56.475855541718808</v>
      </c>
      <c r="AC14" s="37">
        <f t="shared" ca="1" si="7"/>
        <v>49.945344956413706</v>
      </c>
      <c r="AD14" s="37">
        <f t="shared" ca="1" si="7"/>
        <v>42.942933997509591</v>
      </c>
      <c r="AE14" s="37">
        <f t="shared" ca="1" si="7"/>
        <v>36.48340722291433</v>
      </c>
      <c r="AF14" s="37">
        <f t="shared" ca="1" si="7"/>
        <v>30.353813200498394</v>
      </c>
      <c r="AG14" s="37">
        <f t="shared" ca="1" si="7"/>
        <v>23.823302615193288</v>
      </c>
      <c r="AH14" s="37">
        <f t="shared" ca="1" si="7"/>
        <v>16.916861768368879</v>
      </c>
      <c r="AI14" s="37">
        <f t="shared" ca="1" si="7"/>
        <v>10.645300124533266</v>
      </c>
      <c r="AJ14" s="37">
        <f t="shared" ca="1" si="7"/>
        <v>4.2317708592779786</v>
      </c>
      <c r="AK14" s="37">
        <f t="shared" ca="1" si="7"/>
        <v>0</v>
      </c>
    </row>
    <row r="15" spans="2:46">
      <c r="B15" s="38" t="s">
        <v>5354</v>
      </c>
      <c r="C15" s="38"/>
      <c r="D15" s="38"/>
      <c r="E15" s="36">
        <f t="shared" ca="1" si="4"/>
        <v>28150.743999999995</v>
      </c>
      <c r="F15" s="36"/>
      <c r="G15" s="37">
        <f t="shared" ref="G15:AK15" ca="1" si="8">G31</f>
        <v>0</v>
      </c>
      <c r="H15" s="37">
        <f t="shared" ca="1" si="8"/>
        <v>1293.6546447272713</v>
      </c>
      <c r="I15" s="37">
        <f t="shared" ca="1" si="8"/>
        <v>1320.3125462424225</v>
      </c>
      <c r="J15" s="37">
        <f t="shared" ca="1" si="8"/>
        <v>1320.3125462424225</v>
      </c>
      <c r="K15" s="37">
        <f t="shared" ca="1" si="8"/>
        <v>1320.3125462424225</v>
      </c>
      <c r="L15" s="37">
        <f t="shared" ca="1" si="8"/>
        <v>1346.9704477575744</v>
      </c>
      <c r="M15" s="37">
        <f t="shared" ca="1" si="8"/>
        <v>1373.6283492727255</v>
      </c>
      <c r="N15" s="37">
        <f t="shared" ca="1" si="8"/>
        <v>1240.3388416969683</v>
      </c>
      <c r="O15" s="37">
        <f t="shared" ca="1" si="8"/>
        <v>1266.9967432121196</v>
      </c>
      <c r="P15" s="37">
        <f t="shared" ca="1" si="8"/>
        <v>1412.8687803030284</v>
      </c>
      <c r="Q15" s="37">
        <f t="shared" ca="1" si="8"/>
        <v>1439.5266818181799</v>
      </c>
      <c r="R15" s="37">
        <f t="shared" ca="1" si="8"/>
        <v>1679.4477954545432</v>
      </c>
      <c r="S15" s="37">
        <f t="shared" ca="1" si="8"/>
        <v>1679.4477954545432</v>
      </c>
      <c r="T15" s="37">
        <f t="shared" ca="1" si="8"/>
        <v>1706.1056969696947</v>
      </c>
      <c r="U15" s="37">
        <f t="shared" ca="1" si="8"/>
        <v>1732.7635984848464</v>
      </c>
      <c r="V15" s="37">
        <f t="shared" ca="1" si="8"/>
        <v>1066.3160606060594</v>
      </c>
      <c r="W15" s="37">
        <f t="shared" ca="1" si="8"/>
        <v>1226.2634696969683</v>
      </c>
      <c r="X15" s="37">
        <f t="shared" ca="1" si="8"/>
        <v>1252.9213712121198</v>
      </c>
      <c r="Y15" s="37">
        <f t="shared" ca="1" si="8"/>
        <v>1066.3160606060594</v>
      </c>
      <c r="Z15" s="37">
        <f t="shared" ca="1" si="8"/>
        <v>319.89481818181781</v>
      </c>
      <c r="AA15" s="37">
        <f t="shared" ca="1" si="8"/>
        <v>319.89481818181781</v>
      </c>
      <c r="AB15" s="37">
        <f t="shared" ca="1" si="8"/>
        <v>319.89481818181781</v>
      </c>
      <c r="AC15" s="37">
        <f t="shared" ca="1" si="8"/>
        <v>319.89481818181781</v>
      </c>
      <c r="AD15" s="37">
        <f t="shared" ca="1" si="8"/>
        <v>319.89481818181781</v>
      </c>
      <c r="AE15" s="37">
        <f t="shared" ca="1" si="8"/>
        <v>319.89481818181781</v>
      </c>
      <c r="AF15" s="37">
        <f t="shared" ca="1" si="8"/>
        <v>319.89481818181781</v>
      </c>
      <c r="AG15" s="37">
        <f t="shared" ca="1" si="8"/>
        <v>319.89481818181781</v>
      </c>
      <c r="AH15" s="37">
        <f t="shared" ca="1" si="8"/>
        <v>319.89481818181781</v>
      </c>
      <c r="AI15" s="37">
        <f t="shared" ca="1" si="8"/>
        <v>319.89481818181781</v>
      </c>
      <c r="AJ15" s="37">
        <f t="shared" ca="1" si="8"/>
        <v>207.29184218183212</v>
      </c>
      <c r="AK15" s="37">
        <f t="shared" ca="1" si="8"/>
        <v>0</v>
      </c>
    </row>
    <row r="16" spans="2:46">
      <c r="B16" s="38" t="s">
        <v>5356</v>
      </c>
      <c r="C16" s="38"/>
      <c r="D16" s="38"/>
      <c r="E16" s="36">
        <f t="shared" ca="1" si="4"/>
        <v>3129.3242139923168</v>
      </c>
      <c r="F16" s="36"/>
      <c r="G16" s="37">
        <f t="shared" ref="G16:AK16" ca="1" si="9">G32</f>
        <v>0</v>
      </c>
      <c r="H16" s="37">
        <f t="shared" ca="1" si="9"/>
        <v>280.27343478356147</v>
      </c>
      <c r="I16" s="37">
        <f t="shared" ca="1" si="9"/>
        <v>267.39359648509861</v>
      </c>
      <c r="J16" s="37">
        <f t="shared" ca="1" si="9"/>
        <v>248.72120974274705</v>
      </c>
      <c r="K16" s="37">
        <f t="shared" ca="1" si="9"/>
        <v>238.48241313038625</v>
      </c>
      <c r="L16" s="37">
        <f t="shared" ca="1" si="9"/>
        <v>227.95785024089352</v>
      </c>
      <c r="M16" s="37">
        <f t="shared" ca="1" si="9"/>
        <v>214.54719104321947</v>
      </c>
      <c r="N16" s="37">
        <f t="shared" ca="1" si="9"/>
        <v>198.68773964163609</v>
      </c>
      <c r="O16" s="37">
        <f t="shared" ca="1" si="9"/>
        <v>186.47295069237649</v>
      </c>
      <c r="P16" s="37">
        <f t="shared" ca="1" si="9"/>
        <v>175.90767614783121</v>
      </c>
      <c r="Q16" s="37">
        <f t="shared" ca="1" si="9"/>
        <v>161.840922318732</v>
      </c>
      <c r="R16" s="37">
        <f t="shared" ca="1" si="9"/>
        <v>144.30204590872225</v>
      </c>
      <c r="S16" s="37">
        <f t="shared" ca="1" si="9"/>
        <v>129.36629210927509</v>
      </c>
      <c r="T16" s="37">
        <f t="shared" ca="1" si="9"/>
        <v>114.06704138971591</v>
      </c>
      <c r="U16" s="37">
        <f t="shared" ca="1" si="9"/>
        <v>97.080772614954611</v>
      </c>
      <c r="V16" s="37">
        <f t="shared" ca="1" si="9"/>
        <v>78.093678316879249</v>
      </c>
      <c r="W16" s="37">
        <f t="shared" ca="1" si="9"/>
        <v>68.460363717162281</v>
      </c>
      <c r="X16" s="37">
        <f t="shared" ca="1" si="9"/>
        <v>57.003794724502185</v>
      </c>
      <c r="Y16" s="37">
        <f t="shared" ca="1" si="9"/>
        <v>44.529503593036857</v>
      </c>
      <c r="Z16" s="37">
        <f t="shared" ca="1" si="9"/>
        <v>33.175844617315164</v>
      </c>
      <c r="AA16" s="37">
        <f t="shared" ca="1" si="9"/>
        <v>30.394158472091757</v>
      </c>
      <c r="AB16" s="37">
        <f t="shared" ca="1" si="9"/>
        <v>27.543234818275572</v>
      </c>
      <c r="AC16" s="37">
        <f t="shared" ca="1" si="9"/>
        <v>24.358309423007832</v>
      </c>
      <c r="AD16" s="37">
        <f t="shared" ca="1" si="9"/>
        <v>20.943238549177696</v>
      </c>
      <c r="AE16" s="37">
        <f t="shared" ca="1" si="9"/>
        <v>17.792931908206345</v>
      </c>
      <c r="AF16" s="37">
        <f t="shared" ca="1" si="9"/>
        <v>14.803533237204604</v>
      </c>
      <c r="AG16" s="37">
        <f t="shared" ca="1" si="9"/>
        <v>11.618607841936864</v>
      </c>
      <c r="AH16" s="37">
        <f t="shared" ca="1" si="9"/>
        <v>8.250341523915445</v>
      </c>
      <c r="AI16" s="37">
        <f t="shared" ca="1" si="9"/>
        <v>5.1917053443209307</v>
      </c>
      <c r="AJ16" s="37">
        <f t="shared" ca="1" si="9"/>
        <v>2.0638316561336385</v>
      </c>
      <c r="AK16" s="37">
        <f t="shared" ca="1" si="9"/>
        <v>0</v>
      </c>
    </row>
    <row r="17" spans="2:46">
      <c r="B17" s="38" t="s">
        <v>5348</v>
      </c>
      <c r="C17" s="38"/>
      <c r="D17" s="38"/>
      <c r="E17" s="36">
        <f t="shared" ca="1" si="4"/>
        <v>1065.2384460836436</v>
      </c>
      <c r="F17" s="36"/>
      <c r="G17" s="37">
        <f ca="1">G33</f>
        <v>0</v>
      </c>
      <c r="H17" s="37">
        <f t="shared" ref="H17:AK17" ca="1" si="10">H33</f>
        <v>56.041829709591411</v>
      </c>
      <c r="I17" s="37">
        <f t="shared" ca="1" si="10"/>
        <v>50.559625481695264</v>
      </c>
      <c r="J17" s="37">
        <f t="shared" ca="1" si="10"/>
        <v>62.250507674233887</v>
      </c>
      <c r="K17" s="37">
        <f t="shared" ca="1" si="10"/>
        <v>48.215196997054818</v>
      </c>
      <c r="L17" s="37">
        <f t="shared" ca="1" si="10"/>
        <v>34.624516959814656</v>
      </c>
      <c r="M17" s="37">
        <f t="shared" ca="1" si="10"/>
        <v>28.9138710620133</v>
      </c>
      <c r="N17" s="37">
        <f t="shared" ca="1" si="10"/>
        <v>32.311787702492268</v>
      </c>
      <c r="O17" s="37">
        <f t="shared" ca="1" si="10"/>
        <v>26.648568799116475</v>
      </c>
      <c r="P17" s="37">
        <f t="shared" ca="1" si="10"/>
        <v>56.969713711656283</v>
      </c>
      <c r="Q17" s="37">
        <f t="shared" ca="1" si="10"/>
        <v>50.488926125853197</v>
      </c>
      <c r="R17" s="37">
        <f t="shared" ca="1" si="10"/>
        <v>50.259146233248458</v>
      </c>
      <c r="S17" s="37">
        <f t="shared" ca="1" si="10"/>
        <v>37.617872567565598</v>
      </c>
      <c r="T17" s="37">
        <f t="shared" ca="1" si="10"/>
        <v>25.658342501114049</v>
      </c>
      <c r="U17" s="37">
        <f t="shared" ca="1" si="10"/>
        <v>17.921125730835655</v>
      </c>
      <c r="V17" s="37">
        <f t="shared" ca="1" si="10"/>
        <v>26.467640974322023</v>
      </c>
      <c r="W17" s="37">
        <f t="shared" ca="1" si="10"/>
        <v>16.337405935184918</v>
      </c>
      <c r="X17" s="37">
        <f t="shared" ca="1" si="10"/>
        <v>8.3612796530425584</v>
      </c>
      <c r="Y17" s="37">
        <f t="shared" ca="1" si="10"/>
        <v>5.9824837436187934</v>
      </c>
      <c r="Z17" s="37">
        <f t="shared" ca="1" si="10"/>
        <v>15.620895903233063</v>
      </c>
      <c r="AA17" s="37">
        <f t="shared" ca="1" si="10"/>
        <v>13.020187206613361</v>
      </c>
      <c r="AB17" s="37">
        <f t="shared" ca="1" si="10"/>
        <v>10.630683640006112</v>
      </c>
      <c r="AC17" s="37">
        <f t="shared" ca="1" si="10"/>
        <v>9.2600336205789304</v>
      </c>
      <c r="AD17" s="37">
        <f t="shared" ca="1" si="10"/>
        <v>8.5914294533131574</v>
      </c>
      <c r="AE17" s="37">
        <f t="shared" ca="1" si="10"/>
        <v>7.1151768688797468</v>
      </c>
      <c r="AF17" s="37">
        <f t="shared" ca="1" si="10"/>
        <v>5.1480835622976286</v>
      </c>
      <c r="AG17" s="37">
        <f t="shared" ca="1" si="10"/>
        <v>3.7774335428704511</v>
      </c>
      <c r="AH17" s="37">
        <f t="shared" ca="1" si="10"/>
        <v>2.9660547077162569</v>
      </c>
      <c r="AI17" s="37">
        <f t="shared" ca="1" si="10"/>
        <v>1.2101665311463607</v>
      </c>
      <c r="AJ17" s="37">
        <f t="shared" ca="1" si="10"/>
        <v>352.26845948453484</v>
      </c>
      <c r="AK17" s="37">
        <f t="shared" ca="1" si="10"/>
        <v>0</v>
      </c>
    </row>
    <row r="18" spans="2:46">
      <c r="B18" s="35" t="s">
        <v>17</v>
      </c>
      <c r="C18" s="35"/>
      <c r="D18" s="35"/>
      <c r="E18" s="36">
        <f t="shared" ca="1" si="4"/>
        <v>88522.332943345507</v>
      </c>
      <c r="F18" s="36"/>
      <c r="G18" s="37">
        <f ca="1">SUM(G19:G21)</f>
        <v>88150.743999999977</v>
      </c>
      <c r="H18" s="37">
        <f t="shared" ref="H18:AK18" ca="1" si="11">SUM(H19:H21)</f>
        <v>33.056528999999991</v>
      </c>
      <c r="I18" s="37">
        <f t="shared" ca="1" si="11"/>
        <v>31.537431235499991</v>
      </c>
      <c r="J18" s="37">
        <f t="shared" ca="1" si="11"/>
        <v>29.987029939749995</v>
      </c>
      <c r="K18" s="37">
        <f t="shared" ca="1" si="11"/>
        <v>28.436628643999995</v>
      </c>
      <c r="L18" s="37">
        <f t="shared" ca="1" si="11"/>
        <v>26.886227348249996</v>
      </c>
      <c r="M18" s="37">
        <f t="shared" ca="1" si="11"/>
        <v>25.304522521249993</v>
      </c>
      <c r="N18" s="37">
        <f t="shared" ca="1" si="11"/>
        <v>23.691514162999994</v>
      </c>
      <c r="O18" s="37">
        <f t="shared" ca="1" si="11"/>
        <v>22.235023460999997</v>
      </c>
      <c r="P18" s="37">
        <f t="shared" ca="1" si="11"/>
        <v>20.747229227750001</v>
      </c>
      <c r="Q18" s="37">
        <f t="shared" ca="1" si="11"/>
        <v>19.088142071500002</v>
      </c>
      <c r="R18" s="37">
        <f t="shared" ca="1" si="11"/>
        <v>17.397751384000003</v>
      </c>
      <c r="S18" s="37">
        <f t="shared" ca="1" si="11"/>
        <v>15.425628915250005</v>
      </c>
      <c r="T18" s="37">
        <f t="shared" ca="1" si="11"/>
        <v>13.453506446500008</v>
      </c>
      <c r="U18" s="37">
        <f t="shared" ca="1" si="11"/>
        <v>11.45008044650001</v>
      </c>
      <c r="V18" s="37">
        <f t="shared" ca="1" si="11"/>
        <v>9.4153509152500092</v>
      </c>
      <c r="W18" s="37">
        <f t="shared" ca="1" si="11"/>
        <v>8.1632096652500117</v>
      </c>
      <c r="X18" s="37">
        <f t="shared" ca="1" si="11"/>
        <v>6.7232472277500124</v>
      </c>
      <c r="Y18" s="37">
        <f t="shared" ca="1" si="11"/>
        <v>5.2519812590000132</v>
      </c>
      <c r="Z18" s="37">
        <f t="shared" ca="1" si="11"/>
        <v>3.9998400090000139</v>
      </c>
      <c r="AA18" s="37">
        <f t="shared" ca="1" si="11"/>
        <v>3.6241976340000139</v>
      </c>
      <c r="AB18" s="37">
        <f t="shared" ca="1" si="11"/>
        <v>3.248555259000014</v>
      </c>
      <c r="AC18" s="37">
        <f t="shared" ca="1" si="11"/>
        <v>2.872912884000014</v>
      </c>
      <c r="AD18" s="37">
        <f t="shared" ca="1" si="11"/>
        <v>2.497270509000014</v>
      </c>
      <c r="AE18" s="37">
        <f t="shared" ca="1" si="11"/>
        <v>2.1216281340000149</v>
      </c>
      <c r="AF18" s="37">
        <f t="shared" ca="1" si="11"/>
        <v>1.745985759000015</v>
      </c>
      <c r="AG18" s="37">
        <f t="shared" ca="1" si="11"/>
        <v>1.370343384000015</v>
      </c>
      <c r="AH18" s="37">
        <f t="shared" ca="1" si="11"/>
        <v>0.99470100900001535</v>
      </c>
      <c r="AI18" s="37">
        <f t="shared" ca="1" si="11"/>
        <v>0.6190586340000156</v>
      </c>
      <c r="AJ18" s="37">
        <f t="shared" ca="1" si="11"/>
        <v>0.24341625900001584</v>
      </c>
      <c r="AK18" s="37">
        <f t="shared" ca="1" si="11"/>
        <v>0</v>
      </c>
    </row>
    <row r="19" spans="2:46">
      <c r="B19" s="38" t="s">
        <v>18</v>
      </c>
      <c r="C19" s="38"/>
      <c r="D19" s="38"/>
      <c r="E19" s="36">
        <f t="shared" ca="1" si="4"/>
        <v>60000</v>
      </c>
      <c r="F19" s="36"/>
      <c r="G19" s="37">
        <f ca="1">G49</f>
        <v>60000</v>
      </c>
      <c r="H19" s="37">
        <f t="shared" ref="H19:AK19" ca="1" si="12">H49</f>
        <v>0</v>
      </c>
      <c r="I19" s="37">
        <f t="shared" ca="1" si="12"/>
        <v>0</v>
      </c>
      <c r="J19" s="37">
        <f t="shared" ca="1" si="12"/>
        <v>0</v>
      </c>
      <c r="K19" s="37">
        <f t="shared" ca="1" si="12"/>
        <v>0</v>
      </c>
      <c r="L19" s="37">
        <f t="shared" ca="1" si="12"/>
        <v>0</v>
      </c>
      <c r="M19" s="37">
        <f t="shared" ca="1" si="12"/>
        <v>0</v>
      </c>
      <c r="N19" s="37">
        <f t="shared" ca="1" si="12"/>
        <v>0</v>
      </c>
      <c r="O19" s="37">
        <f t="shared" ca="1" si="12"/>
        <v>0</v>
      </c>
      <c r="P19" s="37">
        <f t="shared" ca="1" si="12"/>
        <v>0</v>
      </c>
      <c r="Q19" s="37">
        <f t="shared" ca="1" si="12"/>
        <v>0</v>
      </c>
      <c r="R19" s="37">
        <f t="shared" ca="1" si="12"/>
        <v>0</v>
      </c>
      <c r="S19" s="37">
        <f t="shared" ca="1" si="12"/>
        <v>0</v>
      </c>
      <c r="T19" s="37">
        <f t="shared" ca="1" si="12"/>
        <v>0</v>
      </c>
      <c r="U19" s="37">
        <f t="shared" ca="1" si="12"/>
        <v>0</v>
      </c>
      <c r="V19" s="37">
        <f t="shared" ca="1" si="12"/>
        <v>0</v>
      </c>
      <c r="W19" s="37">
        <f t="shared" ca="1" si="12"/>
        <v>0</v>
      </c>
      <c r="X19" s="37">
        <f t="shared" ca="1" si="12"/>
        <v>0</v>
      </c>
      <c r="Y19" s="37">
        <f t="shared" ca="1" si="12"/>
        <v>0</v>
      </c>
      <c r="Z19" s="37">
        <f t="shared" ca="1" si="12"/>
        <v>0</v>
      </c>
      <c r="AA19" s="37">
        <f t="shared" ca="1" si="12"/>
        <v>0</v>
      </c>
      <c r="AB19" s="37">
        <f t="shared" ca="1" si="12"/>
        <v>0</v>
      </c>
      <c r="AC19" s="37">
        <f t="shared" ca="1" si="12"/>
        <v>0</v>
      </c>
      <c r="AD19" s="37">
        <f t="shared" ca="1" si="12"/>
        <v>0</v>
      </c>
      <c r="AE19" s="37">
        <f t="shared" ca="1" si="12"/>
        <v>0</v>
      </c>
      <c r="AF19" s="37">
        <f t="shared" ca="1" si="12"/>
        <v>0</v>
      </c>
      <c r="AG19" s="37">
        <f t="shared" ca="1" si="12"/>
        <v>0</v>
      </c>
      <c r="AH19" s="37">
        <f t="shared" ca="1" si="12"/>
        <v>0</v>
      </c>
      <c r="AI19" s="37">
        <f t="shared" ca="1" si="12"/>
        <v>0</v>
      </c>
      <c r="AJ19" s="37">
        <f t="shared" ca="1" si="12"/>
        <v>0</v>
      </c>
      <c r="AK19" s="37">
        <f t="shared" ca="1" si="12"/>
        <v>0</v>
      </c>
    </row>
    <row r="20" spans="2:46">
      <c r="B20" s="38" t="s">
        <v>19</v>
      </c>
      <c r="C20" s="38"/>
      <c r="D20" s="38"/>
      <c r="E20" s="36">
        <f t="shared" ca="1" si="4"/>
        <v>28150.743999999977</v>
      </c>
      <c r="F20" s="36"/>
      <c r="G20" s="37">
        <f ca="1">G35</f>
        <v>28150.743999999977</v>
      </c>
      <c r="H20" s="37">
        <f ca="1">H35</f>
        <v>0</v>
      </c>
      <c r="I20" s="37">
        <f t="shared" ref="I20:AK20" ca="1" si="13">I49+I35</f>
        <v>0</v>
      </c>
      <c r="J20" s="37">
        <f t="shared" ca="1" si="13"/>
        <v>0</v>
      </c>
      <c r="K20" s="37">
        <f t="shared" ca="1" si="13"/>
        <v>0</v>
      </c>
      <c r="L20" s="37">
        <f t="shared" ca="1" si="13"/>
        <v>0</v>
      </c>
      <c r="M20" s="37">
        <f t="shared" ca="1" si="13"/>
        <v>0</v>
      </c>
      <c r="N20" s="37">
        <f t="shared" ca="1" si="13"/>
        <v>0</v>
      </c>
      <c r="O20" s="37">
        <f t="shared" ca="1" si="13"/>
        <v>0</v>
      </c>
      <c r="P20" s="37">
        <f t="shared" ca="1" si="13"/>
        <v>0</v>
      </c>
      <c r="Q20" s="37">
        <f t="shared" ca="1" si="13"/>
        <v>0</v>
      </c>
      <c r="R20" s="37">
        <f t="shared" ca="1" si="13"/>
        <v>0</v>
      </c>
      <c r="S20" s="37">
        <f t="shared" ca="1" si="13"/>
        <v>0</v>
      </c>
      <c r="T20" s="37">
        <f t="shared" ca="1" si="13"/>
        <v>0</v>
      </c>
      <c r="U20" s="37">
        <f t="shared" ca="1" si="13"/>
        <v>0</v>
      </c>
      <c r="V20" s="37">
        <f t="shared" ca="1" si="13"/>
        <v>0</v>
      </c>
      <c r="W20" s="37">
        <f t="shared" ca="1" si="13"/>
        <v>0</v>
      </c>
      <c r="X20" s="37">
        <f t="shared" ca="1" si="13"/>
        <v>0</v>
      </c>
      <c r="Y20" s="37">
        <f t="shared" ca="1" si="13"/>
        <v>0</v>
      </c>
      <c r="Z20" s="37">
        <f t="shared" ca="1" si="13"/>
        <v>0</v>
      </c>
      <c r="AA20" s="37">
        <f t="shared" ca="1" si="13"/>
        <v>0</v>
      </c>
      <c r="AB20" s="37">
        <f t="shared" ca="1" si="13"/>
        <v>0</v>
      </c>
      <c r="AC20" s="37">
        <f t="shared" ca="1" si="13"/>
        <v>0</v>
      </c>
      <c r="AD20" s="37">
        <f t="shared" ca="1" si="13"/>
        <v>0</v>
      </c>
      <c r="AE20" s="37">
        <f t="shared" ca="1" si="13"/>
        <v>0</v>
      </c>
      <c r="AF20" s="37">
        <f t="shared" ca="1" si="13"/>
        <v>0</v>
      </c>
      <c r="AG20" s="37">
        <f t="shared" ca="1" si="13"/>
        <v>0</v>
      </c>
      <c r="AH20" s="37">
        <f t="shared" ca="1" si="13"/>
        <v>0</v>
      </c>
      <c r="AI20" s="37">
        <f t="shared" ca="1" si="13"/>
        <v>0</v>
      </c>
      <c r="AJ20" s="37">
        <f t="shared" ca="1" si="13"/>
        <v>0</v>
      </c>
      <c r="AK20" s="37">
        <f t="shared" ca="1" si="13"/>
        <v>0</v>
      </c>
    </row>
    <row r="21" spans="2:46">
      <c r="B21" s="38" t="s">
        <v>20</v>
      </c>
      <c r="C21" s="39" t="str">
        <f ca="1">"기초NAV의 "&amp;TEXT(민감도!$E$59,"0.00%")</f>
        <v>기초NAV의 0.15%</v>
      </c>
      <c r="D21" s="38"/>
      <c r="E21" s="36">
        <f t="shared" ca="1" si="4"/>
        <v>371.58894334550018</v>
      </c>
      <c r="F21" s="36"/>
      <c r="G21" s="37">
        <f ca="1">G50+G36</f>
        <v>0</v>
      </c>
      <c r="H21" s="37">
        <f ca="1">H50+H36</f>
        <v>33.056528999999991</v>
      </c>
      <c r="I21" s="37">
        <f t="shared" ref="I21:AK21" ca="1" si="14">I50+I36</f>
        <v>31.537431235499991</v>
      </c>
      <c r="J21" s="37">
        <f t="shared" ca="1" si="14"/>
        <v>29.987029939749995</v>
      </c>
      <c r="K21" s="37">
        <f t="shared" ca="1" si="14"/>
        <v>28.436628643999995</v>
      </c>
      <c r="L21" s="37">
        <f t="shared" ca="1" si="14"/>
        <v>26.886227348249996</v>
      </c>
      <c r="M21" s="37">
        <f t="shared" ca="1" si="14"/>
        <v>25.304522521249993</v>
      </c>
      <c r="N21" s="37">
        <f t="shared" ca="1" si="14"/>
        <v>23.691514162999994</v>
      </c>
      <c r="O21" s="37">
        <f t="shared" ca="1" si="14"/>
        <v>22.235023460999997</v>
      </c>
      <c r="P21" s="37">
        <f t="shared" ca="1" si="14"/>
        <v>20.747229227750001</v>
      </c>
      <c r="Q21" s="37">
        <f t="shared" ca="1" si="14"/>
        <v>19.088142071500002</v>
      </c>
      <c r="R21" s="37">
        <f t="shared" ca="1" si="14"/>
        <v>17.397751384000003</v>
      </c>
      <c r="S21" s="37">
        <f t="shared" ca="1" si="14"/>
        <v>15.425628915250005</v>
      </c>
      <c r="T21" s="37">
        <f t="shared" ca="1" si="14"/>
        <v>13.453506446500008</v>
      </c>
      <c r="U21" s="37">
        <f t="shared" ca="1" si="14"/>
        <v>11.45008044650001</v>
      </c>
      <c r="V21" s="37">
        <f t="shared" ca="1" si="14"/>
        <v>9.4153509152500092</v>
      </c>
      <c r="W21" s="37">
        <f t="shared" ca="1" si="14"/>
        <v>8.1632096652500117</v>
      </c>
      <c r="X21" s="37">
        <f t="shared" ca="1" si="14"/>
        <v>6.7232472277500124</v>
      </c>
      <c r="Y21" s="37">
        <f t="shared" ca="1" si="14"/>
        <v>5.2519812590000132</v>
      </c>
      <c r="Z21" s="37">
        <f t="shared" ca="1" si="14"/>
        <v>3.9998400090000139</v>
      </c>
      <c r="AA21" s="37">
        <f t="shared" ca="1" si="14"/>
        <v>3.6241976340000139</v>
      </c>
      <c r="AB21" s="37">
        <f t="shared" ca="1" si="14"/>
        <v>3.248555259000014</v>
      </c>
      <c r="AC21" s="37">
        <f t="shared" ca="1" si="14"/>
        <v>2.872912884000014</v>
      </c>
      <c r="AD21" s="37">
        <f t="shared" ca="1" si="14"/>
        <v>2.497270509000014</v>
      </c>
      <c r="AE21" s="37">
        <f t="shared" ca="1" si="14"/>
        <v>2.1216281340000149</v>
      </c>
      <c r="AF21" s="37">
        <f t="shared" ca="1" si="14"/>
        <v>1.745985759000015</v>
      </c>
      <c r="AG21" s="37">
        <f t="shared" ca="1" si="14"/>
        <v>1.370343384000015</v>
      </c>
      <c r="AH21" s="37">
        <f t="shared" ca="1" si="14"/>
        <v>0.99470100900001535</v>
      </c>
      <c r="AI21" s="37">
        <f t="shared" ca="1" si="14"/>
        <v>0.6190586340000156</v>
      </c>
      <c r="AJ21" s="37">
        <f t="shared" ca="1" si="14"/>
        <v>0.24341625900001584</v>
      </c>
      <c r="AK21" s="37">
        <f t="shared" ca="1" si="14"/>
        <v>0</v>
      </c>
    </row>
    <row r="22" spans="2:46">
      <c r="B22" s="35" t="s">
        <v>21</v>
      </c>
      <c r="C22" s="35"/>
      <c r="D22" s="35"/>
      <c r="E22" s="36">
        <f t="shared" ca="1" si="4"/>
        <v>10239.477203654518</v>
      </c>
      <c r="F22" s="36"/>
      <c r="G22" s="37">
        <f t="shared" ref="G22:AK22" ca="1" si="15">G12-G18</f>
        <v>-88150.743999999977</v>
      </c>
      <c r="H22" s="37">
        <f t="shared" ca="1" si="15"/>
        <v>4928.8710389999987</v>
      </c>
      <c r="I22" s="37">
        <f t="shared" ca="1" si="15"/>
        <v>4969.0947927645011</v>
      </c>
      <c r="J22" s="37">
        <f t="shared" ca="1" si="15"/>
        <v>4925.3770095602504</v>
      </c>
      <c r="K22" s="37">
        <f t="shared" ca="1" si="15"/>
        <v>4881.6592263559996</v>
      </c>
      <c r="L22" s="37">
        <f t="shared" ca="1" si="15"/>
        <v>4920.9904431517507</v>
      </c>
      <c r="M22" s="37">
        <f t="shared" ca="1" si="15"/>
        <v>4959.4291229787505</v>
      </c>
      <c r="N22" s="37">
        <f t="shared" ca="1" si="15"/>
        <v>4498.681265837</v>
      </c>
      <c r="O22" s="37">
        <f t="shared" ca="1" si="15"/>
        <v>4540.6900935389995</v>
      </c>
      <c r="P22" s="37">
        <f t="shared" ca="1" si="15"/>
        <v>4997.0513842722485</v>
      </c>
      <c r="Q22" s="37">
        <f t="shared" ca="1" si="15"/>
        <v>5032.7959249284986</v>
      </c>
      <c r="R22" s="37">
        <f t="shared" ca="1" si="15"/>
        <v>5732.0399286159982</v>
      </c>
      <c r="S22" s="37">
        <f t="shared" ca="1" si="15"/>
        <v>5675.8100995847508</v>
      </c>
      <c r="T22" s="37">
        <f t="shared" ca="1" si="15"/>
        <v>5702.6292705534997</v>
      </c>
      <c r="U22" s="37">
        <f t="shared" ca="1" si="15"/>
        <v>5728.5559045535001</v>
      </c>
      <c r="V22" s="37">
        <f t="shared" ca="1" si="15"/>
        <v>3594.3160015847493</v>
      </c>
      <c r="W22" s="37">
        <f t="shared" ca="1" si="15"/>
        <v>4056.908522834749</v>
      </c>
      <c r="X22" s="37">
        <f t="shared" ca="1" si="15"/>
        <v>4098.9008222722487</v>
      </c>
      <c r="Y22" s="37">
        <f t="shared" ca="1" si="15"/>
        <v>3475.6085847410004</v>
      </c>
      <c r="Z22" s="37">
        <f t="shared" ca="1" si="15"/>
        <v>1114.5351059909999</v>
      </c>
      <c r="AA22" s="37">
        <f t="shared" ca="1" si="15"/>
        <v>1103.824662366</v>
      </c>
      <c r="AB22" s="37">
        <f t="shared" ca="1" si="15"/>
        <v>1093.1142187409998</v>
      </c>
      <c r="AC22" s="37">
        <f t="shared" ca="1" si="15"/>
        <v>1082.4037751159999</v>
      </c>
      <c r="AD22" s="37">
        <f t="shared" ca="1" si="15"/>
        <v>1071.693331491</v>
      </c>
      <c r="AE22" s="37">
        <f t="shared" ca="1" si="15"/>
        <v>1060.9828878659998</v>
      </c>
      <c r="AF22" s="37">
        <f t="shared" ca="1" si="15"/>
        <v>1050.2724442410001</v>
      </c>
      <c r="AG22" s="37">
        <f t="shared" ca="1" si="15"/>
        <v>1039.562000616</v>
      </c>
      <c r="AH22" s="37">
        <f t="shared" ca="1" si="15"/>
        <v>1028.8515569910001</v>
      </c>
      <c r="AI22" s="37">
        <f t="shared" ca="1" si="15"/>
        <v>1018.1411133659999</v>
      </c>
      <c r="AJ22" s="37">
        <f t="shared" ca="1" si="15"/>
        <v>1007.4306697409886</v>
      </c>
      <c r="AK22" s="37">
        <f t="shared" ca="1" si="15"/>
        <v>0</v>
      </c>
    </row>
    <row r="23" spans="2:46">
      <c r="B23" s="40" t="s">
        <v>22</v>
      </c>
      <c r="C23" s="40"/>
      <c r="D23" s="40"/>
      <c r="E23" s="4746">
        <f ca="1">XIRR(G22:AK22,G11:AK11)</f>
        <v>4.160479009151459E-2</v>
      </c>
      <c r="F23" s="41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</row>
    <row r="24" spans="2:46">
      <c r="B24" s="35" t="s">
        <v>23</v>
      </c>
      <c r="C24" s="35"/>
      <c r="D24" s="35"/>
      <c r="E24" s="36">
        <f t="shared" ref="E24" ca="1" si="16">SUM(G24:AK24)</f>
        <v>10611.066146999989</v>
      </c>
      <c r="F24" s="36"/>
      <c r="G24" s="37">
        <f ca="1">G22+G21</f>
        <v>-88150.743999999977</v>
      </c>
      <c r="H24" s="37">
        <f t="shared" ref="H24:AK24" ca="1" si="17">H22+H21</f>
        <v>4961.9275679999992</v>
      </c>
      <c r="I24" s="37">
        <f t="shared" ca="1" si="17"/>
        <v>5000.6322240000009</v>
      </c>
      <c r="J24" s="37">
        <f t="shared" ca="1" si="17"/>
        <v>4955.3640395000002</v>
      </c>
      <c r="K24" s="37">
        <f t="shared" ca="1" si="17"/>
        <v>4910.0958549999996</v>
      </c>
      <c r="L24" s="37">
        <f t="shared" ca="1" si="17"/>
        <v>4947.8766705000007</v>
      </c>
      <c r="M24" s="37">
        <f t="shared" ca="1" si="17"/>
        <v>4984.7336455000004</v>
      </c>
      <c r="N24" s="37">
        <f t="shared" ca="1" si="17"/>
        <v>4522.3727799999997</v>
      </c>
      <c r="O24" s="37">
        <f t="shared" ca="1" si="17"/>
        <v>4562.9251169999998</v>
      </c>
      <c r="P24" s="37">
        <f t="shared" ca="1" si="17"/>
        <v>5017.7986134999983</v>
      </c>
      <c r="Q24" s="37">
        <f t="shared" ca="1" si="17"/>
        <v>5051.884066999999</v>
      </c>
      <c r="R24" s="37">
        <f t="shared" ca="1" si="17"/>
        <v>5749.4376799999982</v>
      </c>
      <c r="S24" s="37">
        <f t="shared" ca="1" si="17"/>
        <v>5691.2357285000007</v>
      </c>
      <c r="T24" s="37">
        <f t="shared" ca="1" si="17"/>
        <v>5716.0827769999996</v>
      </c>
      <c r="U24" s="37">
        <f t="shared" ca="1" si="17"/>
        <v>5740.0059849999998</v>
      </c>
      <c r="V24" s="37">
        <f t="shared" ca="1" si="17"/>
        <v>3603.7313524999995</v>
      </c>
      <c r="W24" s="37">
        <f t="shared" ca="1" si="17"/>
        <v>4065.0717324999991</v>
      </c>
      <c r="X24" s="37">
        <f t="shared" ca="1" si="17"/>
        <v>4105.6240694999988</v>
      </c>
      <c r="Y24" s="37">
        <f t="shared" ca="1" si="17"/>
        <v>3480.8605660000003</v>
      </c>
      <c r="Z24" s="37">
        <f t="shared" ca="1" si="17"/>
        <v>1118.534946</v>
      </c>
      <c r="AA24" s="37">
        <f t="shared" ca="1" si="17"/>
        <v>1107.44886</v>
      </c>
      <c r="AB24" s="37">
        <f t="shared" ca="1" si="17"/>
        <v>1096.3627739999999</v>
      </c>
      <c r="AC24" s="37">
        <f t="shared" ca="1" si="17"/>
        <v>1085.2766879999999</v>
      </c>
      <c r="AD24" s="37">
        <f t="shared" ca="1" si="17"/>
        <v>1074.1906019999999</v>
      </c>
      <c r="AE24" s="37">
        <f t="shared" ca="1" si="17"/>
        <v>1063.1045159999999</v>
      </c>
      <c r="AF24" s="37">
        <f t="shared" ca="1" si="17"/>
        <v>1052.0184300000001</v>
      </c>
      <c r="AG24" s="37">
        <f t="shared" ca="1" si="17"/>
        <v>1040.9323440000001</v>
      </c>
      <c r="AH24" s="37">
        <f t="shared" ca="1" si="17"/>
        <v>1029.846258</v>
      </c>
      <c r="AI24" s="37">
        <f t="shared" ca="1" si="17"/>
        <v>1018.7601719999999</v>
      </c>
      <c r="AJ24" s="37">
        <f t="shared" ca="1" si="17"/>
        <v>1007.6740859999886</v>
      </c>
      <c r="AK24" s="37">
        <f t="shared" ca="1" si="17"/>
        <v>0</v>
      </c>
    </row>
    <row r="25" spans="2:46">
      <c r="B25" s="40" t="s">
        <v>24</v>
      </c>
      <c r="C25" s="40"/>
      <c r="D25" s="40"/>
      <c r="E25" s="4746">
        <f ca="1">XIRR(G24:AK24,G11:AK11)</f>
        <v>4.3139651417732239E-2</v>
      </c>
      <c r="F25" s="42"/>
      <c r="G25" s="4729"/>
    </row>
    <row r="27" spans="2:46" s="25" customFormat="1" ht="14.25" customHeight="1">
      <c r="B27" s="22" t="s">
        <v>5337</v>
      </c>
      <c r="C27" s="22"/>
      <c r="D27" s="22"/>
      <c r="E27" s="23"/>
      <c r="F27" s="23"/>
      <c r="G27" s="24">
        <f ca="1">G$9</f>
        <v>2022</v>
      </c>
      <c r="H27" s="24">
        <f t="shared" ref="H27:AK27" ca="1" si="18">H$9</f>
        <v>2022</v>
      </c>
      <c r="I27" s="24">
        <f t="shared" ca="1" si="18"/>
        <v>2022</v>
      </c>
      <c r="J27" s="24">
        <f t="shared" ca="1" si="18"/>
        <v>2023</v>
      </c>
      <c r="K27" s="24">
        <f t="shared" ca="1" si="18"/>
        <v>2023</v>
      </c>
      <c r="L27" s="24">
        <f t="shared" ca="1" si="18"/>
        <v>2023</v>
      </c>
      <c r="M27" s="24">
        <f t="shared" ca="1" si="18"/>
        <v>2023</v>
      </c>
      <c r="N27" s="24">
        <f t="shared" ca="1" si="18"/>
        <v>2024</v>
      </c>
      <c r="O27" s="24">
        <f t="shared" ca="1" si="18"/>
        <v>2024</v>
      </c>
      <c r="P27" s="24">
        <f t="shared" ca="1" si="18"/>
        <v>2024</v>
      </c>
      <c r="Q27" s="24">
        <f t="shared" ca="1" si="18"/>
        <v>2024</v>
      </c>
      <c r="R27" s="24">
        <f t="shared" ca="1" si="18"/>
        <v>2025</v>
      </c>
      <c r="S27" s="24">
        <f t="shared" ca="1" si="18"/>
        <v>2025</v>
      </c>
      <c r="T27" s="24">
        <f t="shared" ca="1" si="18"/>
        <v>2025</v>
      </c>
      <c r="U27" s="24">
        <f t="shared" ca="1" si="18"/>
        <v>2025</v>
      </c>
      <c r="V27" s="24">
        <f t="shared" ca="1" si="18"/>
        <v>2026</v>
      </c>
      <c r="W27" s="24">
        <f t="shared" ca="1" si="18"/>
        <v>2026</v>
      </c>
      <c r="X27" s="24">
        <f t="shared" ca="1" si="18"/>
        <v>2026</v>
      </c>
      <c r="Y27" s="24">
        <f t="shared" ca="1" si="18"/>
        <v>2026</v>
      </c>
      <c r="Z27" s="24">
        <f t="shared" ca="1" si="18"/>
        <v>2027</v>
      </c>
      <c r="AA27" s="24">
        <f t="shared" ca="1" si="18"/>
        <v>2027</v>
      </c>
      <c r="AB27" s="24">
        <f t="shared" ca="1" si="18"/>
        <v>2027</v>
      </c>
      <c r="AC27" s="24">
        <f t="shared" ca="1" si="18"/>
        <v>2027</v>
      </c>
      <c r="AD27" s="24">
        <f t="shared" ca="1" si="18"/>
        <v>2028</v>
      </c>
      <c r="AE27" s="24">
        <f t="shared" ca="1" si="18"/>
        <v>2028</v>
      </c>
      <c r="AF27" s="24">
        <f t="shared" ca="1" si="18"/>
        <v>2028</v>
      </c>
      <c r="AG27" s="24">
        <f t="shared" ca="1" si="18"/>
        <v>2028</v>
      </c>
      <c r="AH27" s="24">
        <f t="shared" ca="1" si="18"/>
        <v>2029</v>
      </c>
      <c r="AI27" s="24">
        <f t="shared" ca="1" si="18"/>
        <v>2029</v>
      </c>
      <c r="AJ27" s="24">
        <f t="shared" ca="1" si="18"/>
        <v>2029</v>
      </c>
      <c r="AK27" s="24">
        <f t="shared" ca="1" si="18"/>
        <v>2029</v>
      </c>
      <c r="AM27" s="26"/>
      <c r="AN27" s="26"/>
      <c r="AO27" s="26"/>
      <c r="AP27" s="26"/>
      <c r="AQ27" s="26"/>
      <c r="AR27" s="26"/>
      <c r="AS27" s="26"/>
      <c r="AT27" s="26"/>
    </row>
    <row r="28" spans="2:46" s="25" customFormat="1" ht="14.25" customHeight="1">
      <c r="B28" s="27"/>
      <c r="C28" s="27"/>
      <c r="D28" s="27"/>
      <c r="E28" s="28"/>
      <c r="F28" s="28"/>
      <c r="G28" s="29">
        <f ca="1">G$10</f>
        <v>2</v>
      </c>
      <c r="H28" s="29">
        <f t="shared" ref="H28:AK28" ca="1" si="19">H$10</f>
        <v>3</v>
      </c>
      <c r="I28" s="29">
        <f t="shared" ca="1" si="19"/>
        <v>4</v>
      </c>
      <c r="J28" s="29">
        <f t="shared" ca="1" si="19"/>
        <v>1</v>
      </c>
      <c r="K28" s="29">
        <f t="shared" ca="1" si="19"/>
        <v>2</v>
      </c>
      <c r="L28" s="29">
        <f t="shared" ca="1" si="19"/>
        <v>3</v>
      </c>
      <c r="M28" s="29">
        <f t="shared" ca="1" si="19"/>
        <v>4</v>
      </c>
      <c r="N28" s="29">
        <f t="shared" ca="1" si="19"/>
        <v>1</v>
      </c>
      <c r="O28" s="29">
        <f t="shared" ca="1" si="19"/>
        <v>2</v>
      </c>
      <c r="P28" s="29">
        <f t="shared" ca="1" si="19"/>
        <v>3</v>
      </c>
      <c r="Q28" s="29">
        <f t="shared" ca="1" si="19"/>
        <v>4</v>
      </c>
      <c r="R28" s="29">
        <f t="shared" ca="1" si="19"/>
        <v>1</v>
      </c>
      <c r="S28" s="29">
        <f t="shared" ca="1" si="19"/>
        <v>2</v>
      </c>
      <c r="T28" s="29">
        <f t="shared" ca="1" si="19"/>
        <v>3</v>
      </c>
      <c r="U28" s="29">
        <f t="shared" ca="1" si="19"/>
        <v>4</v>
      </c>
      <c r="V28" s="29">
        <f t="shared" ca="1" si="19"/>
        <v>1</v>
      </c>
      <c r="W28" s="29">
        <f t="shared" ca="1" si="19"/>
        <v>2</v>
      </c>
      <c r="X28" s="29">
        <f t="shared" ca="1" si="19"/>
        <v>3</v>
      </c>
      <c r="Y28" s="29">
        <f t="shared" ca="1" si="19"/>
        <v>4</v>
      </c>
      <c r="Z28" s="29">
        <f t="shared" ca="1" si="19"/>
        <v>1</v>
      </c>
      <c r="AA28" s="29">
        <f t="shared" ca="1" si="19"/>
        <v>2</v>
      </c>
      <c r="AB28" s="29">
        <f t="shared" ca="1" si="19"/>
        <v>3</v>
      </c>
      <c r="AC28" s="29">
        <f t="shared" ca="1" si="19"/>
        <v>4</v>
      </c>
      <c r="AD28" s="29">
        <f t="shared" ca="1" si="19"/>
        <v>1</v>
      </c>
      <c r="AE28" s="29">
        <f t="shared" ca="1" si="19"/>
        <v>2</v>
      </c>
      <c r="AF28" s="29">
        <f t="shared" ca="1" si="19"/>
        <v>3</v>
      </c>
      <c r="AG28" s="29">
        <f t="shared" ca="1" si="19"/>
        <v>4</v>
      </c>
      <c r="AH28" s="29">
        <f t="shared" ca="1" si="19"/>
        <v>1</v>
      </c>
      <c r="AI28" s="29">
        <f t="shared" ca="1" si="19"/>
        <v>2</v>
      </c>
      <c r="AJ28" s="29">
        <f t="shared" ca="1" si="19"/>
        <v>3</v>
      </c>
      <c r="AK28" s="29">
        <f t="shared" ca="1" si="19"/>
        <v>4</v>
      </c>
      <c r="AM28" s="30"/>
      <c r="AN28" s="30"/>
      <c r="AO28" s="30"/>
      <c r="AP28" s="30"/>
      <c r="AQ28" s="30"/>
      <c r="AR28" s="30"/>
      <c r="AS28" s="30"/>
      <c r="AT28" s="30"/>
    </row>
    <row r="29" spans="2:46" s="25" customFormat="1" ht="14.25" customHeight="1">
      <c r="B29" s="31"/>
      <c r="C29" s="31"/>
      <c r="D29" s="31"/>
      <c r="E29" s="32" t="s">
        <v>14</v>
      </c>
      <c r="F29" s="32"/>
      <c r="G29" s="33">
        <f ca="1">G$11</f>
        <v>44742</v>
      </c>
      <c r="H29" s="33">
        <f t="shared" ref="H29:AK29" ca="1" si="20">H$11</f>
        <v>44834</v>
      </c>
      <c r="I29" s="33">
        <f t="shared" ca="1" si="20"/>
        <v>44926</v>
      </c>
      <c r="J29" s="33">
        <f t="shared" ca="1" si="20"/>
        <v>45016</v>
      </c>
      <c r="K29" s="33">
        <f t="shared" ca="1" si="20"/>
        <v>45107</v>
      </c>
      <c r="L29" s="33">
        <f t="shared" ca="1" si="20"/>
        <v>45199</v>
      </c>
      <c r="M29" s="33">
        <f t="shared" ca="1" si="20"/>
        <v>45291</v>
      </c>
      <c r="N29" s="33">
        <f t="shared" ca="1" si="20"/>
        <v>45382</v>
      </c>
      <c r="O29" s="33">
        <f t="shared" ca="1" si="20"/>
        <v>45473</v>
      </c>
      <c r="P29" s="33">
        <f t="shared" ca="1" si="20"/>
        <v>45565</v>
      </c>
      <c r="Q29" s="33">
        <f t="shared" ca="1" si="20"/>
        <v>45657</v>
      </c>
      <c r="R29" s="33">
        <f t="shared" ca="1" si="20"/>
        <v>45747</v>
      </c>
      <c r="S29" s="33">
        <f t="shared" ca="1" si="20"/>
        <v>45838</v>
      </c>
      <c r="T29" s="33">
        <f t="shared" ca="1" si="20"/>
        <v>45930</v>
      </c>
      <c r="U29" s="33">
        <f t="shared" ca="1" si="20"/>
        <v>46022</v>
      </c>
      <c r="V29" s="33">
        <f t="shared" ca="1" si="20"/>
        <v>46112</v>
      </c>
      <c r="W29" s="33">
        <f t="shared" ca="1" si="20"/>
        <v>46203</v>
      </c>
      <c r="X29" s="33">
        <f t="shared" ca="1" si="20"/>
        <v>46295</v>
      </c>
      <c r="Y29" s="33">
        <f t="shared" ca="1" si="20"/>
        <v>46387</v>
      </c>
      <c r="Z29" s="33">
        <f t="shared" ca="1" si="20"/>
        <v>46477</v>
      </c>
      <c r="AA29" s="33">
        <f t="shared" ca="1" si="20"/>
        <v>46568</v>
      </c>
      <c r="AB29" s="33">
        <f t="shared" ca="1" si="20"/>
        <v>46660</v>
      </c>
      <c r="AC29" s="33">
        <f t="shared" ca="1" si="20"/>
        <v>46752</v>
      </c>
      <c r="AD29" s="33">
        <f t="shared" ca="1" si="20"/>
        <v>46843</v>
      </c>
      <c r="AE29" s="33">
        <f t="shared" ca="1" si="20"/>
        <v>46934</v>
      </c>
      <c r="AF29" s="33">
        <f t="shared" ca="1" si="20"/>
        <v>47026</v>
      </c>
      <c r="AG29" s="33">
        <f t="shared" ca="1" si="20"/>
        <v>47118</v>
      </c>
      <c r="AH29" s="33">
        <f t="shared" ca="1" si="20"/>
        <v>47208</v>
      </c>
      <c r="AI29" s="33">
        <f t="shared" ca="1" si="20"/>
        <v>47299</v>
      </c>
      <c r="AJ29" s="33">
        <f t="shared" ca="1" si="20"/>
        <v>47391</v>
      </c>
      <c r="AK29" s="33">
        <f t="shared" ca="1" si="20"/>
        <v>47483</v>
      </c>
      <c r="AM29" s="34"/>
      <c r="AN29" s="34"/>
      <c r="AO29" s="34"/>
      <c r="AP29" s="34"/>
      <c r="AQ29" s="34"/>
      <c r="AR29" s="34"/>
      <c r="AS29" s="34"/>
      <c r="AT29" s="34"/>
    </row>
    <row r="30" spans="2:46">
      <c r="B30" s="35" t="s">
        <v>15</v>
      </c>
      <c r="C30" s="35"/>
      <c r="D30" s="35"/>
      <c r="E30" s="36">
        <f ca="1">SUM(G30:AK30)</f>
        <v>32345.306660075938</v>
      </c>
      <c r="F30" s="36"/>
      <c r="G30" s="37">
        <f ca="1">SUM(G31:G33)</f>
        <v>0</v>
      </c>
      <c r="H30" s="37">
        <f ca="1">SUM(H31:H33)</f>
        <v>1629.9699092204241</v>
      </c>
      <c r="I30" s="37">
        <f t="shared" ref="I30:AK30" ca="1" si="21">SUM(I31:I33)</f>
        <v>1638.2657682092165</v>
      </c>
      <c r="J30" s="37">
        <f t="shared" ca="1" si="21"/>
        <v>1631.2842636594035</v>
      </c>
      <c r="K30" s="37">
        <f t="shared" ca="1" si="21"/>
        <v>1607.0101563698636</v>
      </c>
      <c r="L30" s="37">
        <f t="shared" ca="1" si="21"/>
        <v>1609.5528149582826</v>
      </c>
      <c r="M30" s="37">
        <f t="shared" ca="1" si="21"/>
        <v>1617.0894113779582</v>
      </c>
      <c r="N30" s="37">
        <f t="shared" ca="1" si="21"/>
        <v>1471.3383690410967</v>
      </c>
      <c r="O30" s="37">
        <f t="shared" ca="1" si="21"/>
        <v>1480.1182627036126</v>
      </c>
      <c r="P30" s="37">
        <f t="shared" ca="1" si="21"/>
        <v>1645.7461701625159</v>
      </c>
      <c r="Q30" s="37">
        <f t="shared" ca="1" si="21"/>
        <v>1651.8565302627651</v>
      </c>
      <c r="R30" s="37">
        <f t="shared" ca="1" si="21"/>
        <v>1874.0089875965139</v>
      </c>
      <c r="S30" s="37">
        <f t="shared" ca="1" si="21"/>
        <v>1846.4319601313839</v>
      </c>
      <c r="T30" s="37">
        <f t="shared" ca="1" si="21"/>
        <v>1845.8310808605247</v>
      </c>
      <c r="U30" s="37">
        <f t="shared" ca="1" si="21"/>
        <v>1847.7654968306367</v>
      </c>
      <c r="V30" s="37">
        <f t="shared" ca="1" si="21"/>
        <v>1170.8773798972607</v>
      </c>
      <c r="W30" s="37">
        <f t="shared" ca="1" si="21"/>
        <v>1311.0612393493154</v>
      </c>
      <c r="X30" s="37">
        <f t="shared" ca="1" si="21"/>
        <v>1318.2864455896645</v>
      </c>
      <c r="Y30" s="37">
        <f t="shared" ca="1" si="21"/>
        <v>1116.8280479427151</v>
      </c>
      <c r="Z30" s="37">
        <f t="shared" ca="1" si="21"/>
        <v>368.69155870236602</v>
      </c>
      <c r="AA30" s="37">
        <f t="shared" ca="1" si="21"/>
        <v>363.30916386052292</v>
      </c>
      <c r="AB30" s="37">
        <f t="shared" ca="1" si="21"/>
        <v>358.06873664009947</v>
      </c>
      <c r="AC30" s="37">
        <f t="shared" ca="1" si="21"/>
        <v>353.51316122540459</v>
      </c>
      <c r="AD30" s="37">
        <f t="shared" ca="1" si="21"/>
        <v>349.42948618430864</v>
      </c>
      <c r="AE30" s="37">
        <f t="shared" ca="1" si="21"/>
        <v>344.80292695890392</v>
      </c>
      <c r="AF30" s="37">
        <f t="shared" ca="1" si="21"/>
        <v>339.84643498132004</v>
      </c>
      <c r="AG30" s="37">
        <f t="shared" ca="1" si="21"/>
        <v>335.2908595666251</v>
      </c>
      <c r="AH30" s="37">
        <f t="shared" ca="1" si="21"/>
        <v>331.11121441344949</v>
      </c>
      <c r="AI30" s="37">
        <f t="shared" ca="1" si="21"/>
        <v>326.2966900572851</v>
      </c>
      <c r="AJ30" s="37">
        <f t="shared" ca="1" si="21"/>
        <v>561.6241333225006</v>
      </c>
      <c r="AK30" s="37">
        <f t="shared" ca="1" si="21"/>
        <v>0</v>
      </c>
    </row>
    <row r="31" spans="2:46">
      <c r="B31" s="38" t="s">
        <v>25</v>
      </c>
      <c r="C31" s="38"/>
      <c r="D31" s="38"/>
      <c r="E31" s="36">
        <f ca="1">SUM(G31:AK31)</f>
        <v>28150.743999999995</v>
      </c>
      <c r="F31" s="36"/>
      <c r="G31" s="37">
        <f ca="1">SUMIFS(펀드차입금!57:57,펀드차입금!54:54,펀드수익률!G29)</f>
        <v>0</v>
      </c>
      <c r="H31" s="37">
        <f ca="1">SUMIFS(펀드차입금!57:57,펀드차입금!54:54,펀드수익률!H29)</f>
        <v>1293.6546447272713</v>
      </c>
      <c r="I31" s="37">
        <f ca="1">SUMIFS(펀드차입금!57:57,펀드차입금!54:54,펀드수익률!I29)</f>
        <v>1320.3125462424225</v>
      </c>
      <c r="J31" s="37">
        <f ca="1">SUMIFS(펀드차입금!57:57,펀드차입금!54:54,펀드수익률!J29)</f>
        <v>1320.3125462424225</v>
      </c>
      <c r="K31" s="37">
        <f ca="1">SUMIFS(펀드차입금!57:57,펀드차입금!54:54,펀드수익률!K29)</f>
        <v>1320.3125462424225</v>
      </c>
      <c r="L31" s="37">
        <f ca="1">SUMIFS(펀드차입금!57:57,펀드차입금!54:54,펀드수익률!L29)</f>
        <v>1346.9704477575744</v>
      </c>
      <c r="M31" s="37">
        <f ca="1">SUMIFS(펀드차입금!57:57,펀드차입금!54:54,펀드수익률!M29)</f>
        <v>1373.6283492727255</v>
      </c>
      <c r="N31" s="37">
        <f ca="1">SUMIFS(펀드차입금!57:57,펀드차입금!54:54,펀드수익률!N29)</f>
        <v>1240.3388416969683</v>
      </c>
      <c r="O31" s="37">
        <f ca="1">SUMIFS(펀드차입금!57:57,펀드차입금!54:54,펀드수익률!O29)</f>
        <v>1266.9967432121196</v>
      </c>
      <c r="P31" s="37">
        <f ca="1">SUMIFS(펀드차입금!57:57,펀드차입금!54:54,펀드수익률!P29)</f>
        <v>1412.8687803030284</v>
      </c>
      <c r="Q31" s="37">
        <f ca="1">SUMIFS(펀드차입금!57:57,펀드차입금!54:54,펀드수익률!Q29)</f>
        <v>1439.5266818181799</v>
      </c>
      <c r="R31" s="37">
        <f ca="1">SUMIFS(펀드차입금!57:57,펀드차입금!54:54,펀드수익률!R29)</f>
        <v>1679.4477954545432</v>
      </c>
      <c r="S31" s="37">
        <f ca="1">SUMIFS(펀드차입금!57:57,펀드차입금!54:54,펀드수익률!S29)</f>
        <v>1679.4477954545432</v>
      </c>
      <c r="T31" s="37">
        <f ca="1">SUMIFS(펀드차입금!57:57,펀드차입금!54:54,펀드수익률!T29)</f>
        <v>1706.1056969696947</v>
      </c>
      <c r="U31" s="37">
        <f ca="1">SUMIFS(펀드차입금!57:57,펀드차입금!54:54,펀드수익률!U29)</f>
        <v>1732.7635984848464</v>
      </c>
      <c r="V31" s="37">
        <f ca="1">SUMIFS(펀드차입금!57:57,펀드차입금!54:54,펀드수익률!V29)</f>
        <v>1066.3160606060594</v>
      </c>
      <c r="W31" s="37">
        <f ca="1">SUMIFS(펀드차입금!57:57,펀드차입금!54:54,펀드수익률!W29)</f>
        <v>1226.2634696969683</v>
      </c>
      <c r="X31" s="37">
        <f ca="1">SUMIFS(펀드차입금!57:57,펀드차입금!54:54,펀드수익률!X29)</f>
        <v>1252.9213712121198</v>
      </c>
      <c r="Y31" s="37">
        <f ca="1">SUMIFS(펀드차입금!57:57,펀드차입금!54:54,펀드수익률!Y29)</f>
        <v>1066.3160606060594</v>
      </c>
      <c r="Z31" s="37">
        <f ca="1">SUMIFS(펀드차입금!57:57,펀드차입금!54:54,펀드수익률!Z29)</f>
        <v>319.89481818181781</v>
      </c>
      <c r="AA31" s="37">
        <f ca="1">SUMIFS(펀드차입금!57:57,펀드차입금!54:54,펀드수익률!AA29)</f>
        <v>319.89481818181781</v>
      </c>
      <c r="AB31" s="37">
        <f ca="1">SUMIFS(펀드차입금!57:57,펀드차입금!54:54,펀드수익률!AB29)</f>
        <v>319.89481818181781</v>
      </c>
      <c r="AC31" s="37">
        <f ca="1">SUMIFS(펀드차입금!57:57,펀드차입금!54:54,펀드수익률!AC29)</f>
        <v>319.89481818181781</v>
      </c>
      <c r="AD31" s="37">
        <f ca="1">SUMIFS(펀드차입금!57:57,펀드차입금!54:54,펀드수익률!AD29)</f>
        <v>319.89481818181781</v>
      </c>
      <c r="AE31" s="37">
        <f ca="1">SUMIFS(펀드차입금!57:57,펀드차입금!54:54,펀드수익률!AE29)</f>
        <v>319.89481818181781</v>
      </c>
      <c r="AF31" s="37">
        <f ca="1">SUMIFS(펀드차입금!57:57,펀드차입금!54:54,펀드수익률!AF29)</f>
        <v>319.89481818181781</v>
      </c>
      <c r="AG31" s="37">
        <f ca="1">SUMIFS(펀드차입금!57:57,펀드차입금!54:54,펀드수익률!AG29)</f>
        <v>319.89481818181781</v>
      </c>
      <c r="AH31" s="37">
        <f ca="1">SUMIFS(펀드차입금!57:57,펀드차입금!54:54,펀드수익률!AH29)</f>
        <v>319.89481818181781</v>
      </c>
      <c r="AI31" s="37">
        <f ca="1">SUMIFS(펀드차입금!57:57,펀드차입금!54:54,펀드수익률!AI29)</f>
        <v>319.89481818181781</v>
      </c>
      <c r="AJ31" s="37">
        <f ca="1">SUMIFS(펀드차입금!57:57,펀드차입금!54:54,펀드수익률!AJ29)</f>
        <v>207.29184218183212</v>
      </c>
      <c r="AK31" s="37">
        <f ca="1">SUMIFS(펀드차입금!57:57,펀드차입금!54:54,펀드수익률!AK29)</f>
        <v>0</v>
      </c>
    </row>
    <row r="32" spans="2:46">
      <c r="B32" s="38" t="s">
        <v>26</v>
      </c>
      <c r="C32" s="38"/>
      <c r="D32" s="38"/>
      <c r="E32" s="36">
        <f t="shared" ref="E32:E37" ca="1" si="22">SUM(G32:AK32)</f>
        <v>3129.3242139923168</v>
      </c>
      <c r="F32" s="36"/>
      <c r="G32" s="37">
        <f ca="1">SUMIFS(펀드차입금!63:63,펀드차입금!54:54,펀드수익률!G44)</f>
        <v>0</v>
      </c>
      <c r="H32" s="37">
        <f ca="1">SUMIFS(펀드차입금!63:63,펀드차입금!54:54,펀드수익률!H44)</f>
        <v>280.27343478356147</v>
      </c>
      <c r="I32" s="37">
        <f ca="1">SUMIFS(펀드차입금!63:63,펀드차입금!54:54,펀드수익률!I44)</f>
        <v>267.39359648509861</v>
      </c>
      <c r="J32" s="37">
        <f ca="1">SUMIFS(펀드차입금!63:63,펀드차입금!54:54,펀드수익률!J44)</f>
        <v>248.72120974274705</v>
      </c>
      <c r="K32" s="37">
        <f ca="1">SUMIFS(펀드차입금!63:63,펀드차입금!54:54,펀드수익률!K44)</f>
        <v>238.48241313038625</v>
      </c>
      <c r="L32" s="37">
        <f ca="1">SUMIFS(펀드차입금!63:63,펀드차입금!54:54,펀드수익률!L44)</f>
        <v>227.95785024089352</v>
      </c>
      <c r="M32" s="37">
        <f ca="1">SUMIFS(펀드차입금!63:63,펀드차입금!54:54,펀드수익률!M44)</f>
        <v>214.54719104321947</v>
      </c>
      <c r="N32" s="37">
        <f ca="1">SUMIFS(펀드차입금!63:63,펀드차입금!54:54,펀드수익률!N44)</f>
        <v>198.68773964163609</v>
      </c>
      <c r="O32" s="37">
        <f ca="1">SUMIFS(펀드차입금!63:63,펀드차입금!54:54,펀드수익률!O44)</f>
        <v>186.47295069237649</v>
      </c>
      <c r="P32" s="37">
        <f ca="1">SUMIFS(펀드차입금!63:63,펀드차입금!54:54,펀드수익률!P44)</f>
        <v>175.90767614783121</v>
      </c>
      <c r="Q32" s="37">
        <f ca="1">SUMIFS(펀드차입금!63:63,펀드차입금!54:54,펀드수익률!Q44)</f>
        <v>161.840922318732</v>
      </c>
      <c r="R32" s="37">
        <f ca="1">SUMIFS(펀드차입금!63:63,펀드차입금!54:54,펀드수익률!R44)</f>
        <v>144.30204590872225</v>
      </c>
      <c r="S32" s="37">
        <f ca="1">SUMIFS(펀드차입금!63:63,펀드차입금!54:54,펀드수익률!S44)</f>
        <v>129.36629210927509</v>
      </c>
      <c r="T32" s="37">
        <f ca="1">SUMIFS(펀드차입금!63:63,펀드차입금!54:54,펀드수익률!T44)</f>
        <v>114.06704138971591</v>
      </c>
      <c r="U32" s="37">
        <f ca="1">SUMIFS(펀드차입금!63:63,펀드차입금!54:54,펀드수익률!U44)</f>
        <v>97.080772614954611</v>
      </c>
      <c r="V32" s="37">
        <f ca="1">SUMIFS(펀드차입금!63:63,펀드차입금!54:54,펀드수익률!V44)</f>
        <v>78.093678316879249</v>
      </c>
      <c r="W32" s="37">
        <f ca="1">SUMIFS(펀드차입금!63:63,펀드차입금!54:54,펀드수익률!W44)</f>
        <v>68.460363717162281</v>
      </c>
      <c r="X32" s="37">
        <f ca="1">SUMIFS(펀드차입금!63:63,펀드차입금!54:54,펀드수익률!X44)</f>
        <v>57.003794724502185</v>
      </c>
      <c r="Y32" s="37">
        <f ca="1">SUMIFS(펀드차입금!63:63,펀드차입금!54:54,펀드수익률!Y44)</f>
        <v>44.529503593036857</v>
      </c>
      <c r="Z32" s="37">
        <f ca="1">SUMIFS(펀드차입금!63:63,펀드차입금!54:54,펀드수익률!Z44)</f>
        <v>33.175844617315164</v>
      </c>
      <c r="AA32" s="37">
        <f ca="1">SUMIFS(펀드차입금!63:63,펀드차입금!54:54,펀드수익률!AA44)</f>
        <v>30.394158472091757</v>
      </c>
      <c r="AB32" s="37">
        <f ca="1">SUMIFS(펀드차입금!63:63,펀드차입금!54:54,펀드수익률!AB44)</f>
        <v>27.543234818275572</v>
      </c>
      <c r="AC32" s="37">
        <f ca="1">SUMIFS(펀드차입금!63:63,펀드차입금!54:54,펀드수익률!AC44)</f>
        <v>24.358309423007832</v>
      </c>
      <c r="AD32" s="37">
        <f ca="1">SUMIFS(펀드차입금!63:63,펀드차입금!54:54,펀드수익률!AD44)</f>
        <v>20.943238549177696</v>
      </c>
      <c r="AE32" s="37">
        <f ca="1">SUMIFS(펀드차입금!63:63,펀드차입금!54:54,펀드수익률!AE44)</f>
        <v>17.792931908206345</v>
      </c>
      <c r="AF32" s="37">
        <f ca="1">SUMIFS(펀드차입금!63:63,펀드차입금!54:54,펀드수익률!AF44)</f>
        <v>14.803533237204604</v>
      </c>
      <c r="AG32" s="37">
        <f ca="1">SUMIFS(펀드차입금!63:63,펀드차입금!54:54,펀드수익률!AG44)</f>
        <v>11.618607841936864</v>
      </c>
      <c r="AH32" s="37">
        <f ca="1">SUMIFS(펀드차입금!63:63,펀드차입금!54:54,펀드수익률!AH44)</f>
        <v>8.250341523915445</v>
      </c>
      <c r="AI32" s="37">
        <f ca="1">SUMIFS(펀드차입금!63:63,펀드차입금!54:54,펀드수익률!AI44)</f>
        <v>5.1917053443209307</v>
      </c>
      <c r="AJ32" s="37">
        <f ca="1">SUMIFS(펀드차입금!63:63,펀드차입금!54:54,펀드수익률!AJ44)</f>
        <v>2.0638316561336385</v>
      </c>
      <c r="AK32" s="37">
        <f ca="1">SUMIFS(펀드차입금!63:63,펀드차입금!54:54,펀드수익률!AK44)</f>
        <v>0</v>
      </c>
    </row>
    <row r="33" spans="2:46">
      <c r="B33" s="38" t="s">
        <v>16</v>
      </c>
      <c r="C33" s="5111"/>
      <c r="D33" s="38"/>
      <c r="E33" s="36">
        <f t="shared" ca="1" si="22"/>
        <v>1065.2384460836436</v>
      </c>
      <c r="F33" s="36"/>
      <c r="G33" s="37">
        <f ca="1">SUMIFS(펀드FS!15:15,펀드FS!6:6,펀드수익률!G29)</f>
        <v>0</v>
      </c>
      <c r="H33" s="37">
        <f ca="1">SUMIFS(펀드FS!15:15,펀드FS!6:6,펀드수익률!H29)</f>
        <v>56.041829709591411</v>
      </c>
      <c r="I33" s="37">
        <f ca="1">SUMIFS(펀드FS!15:15,펀드FS!6:6,펀드수익률!I29)</f>
        <v>50.559625481695264</v>
      </c>
      <c r="J33" s="37">
        <f ca="1">SUMIFS(펀드FS!15:15,펀드FS!6:6,펀드수익률!J29)</f>
        <v>62.250507674233887</v>
      </c>
      <c r="K33" s="37">
        <f ca="1">SUMIFS(펀드FS!15:15,펀드FS!6:6,펀드수익률!K29)</f>
        <v>48.215196997054818</v>
      </c>
      <c r="L33" s="37">
        <f ca="1">SUMIFS(펀드FS!15:15,펀드FS!6:6,펀드수익률!L29)</f>
        <v>34.624516959814656</v>
      </c>
      <c r="M33" s="37">
        <f ca="1">SUMIFS(펀드FS!15:15,펀드FS!6:6,펀드수익률!M29)</f>
        <v>28.9138710620133</v>
      </c>
      <c r="N33" s="37">
        <f ca="1">SUMIFS(펀드FS!15:15,펀드FS!6:6,펀드수익률!N29)</f>
        <v>32.311787702492268</v>
      </c>
      <c r="O33" s="37">
        <f ca="1">SUMIFS(펀드FS!15:15,펀드FS!6:6,펀드수익률!O29)</f>
        <v>26.648568799116475</v>
      </c>
      <c r="P33" s="37">
        <f ca="1">SUMIFS(펀드FS!15:15,펀드FS!6:6,펀드수익률!P29)</f>
        <v>56.969713711656283</v>
      </c>
      <c r="Q33" s="37">
        <f ca="1">SUMIFS(펀드FS!15:15,펀드FS!6:6,펀드수익률!Q29)</f>
        <v>50.488926125853197</v>
      </c>
      <c r="R33" s="37">
        <f ca="1">SUMIFS(펀드FS!15:15,펀드FS!6:6,펀드수익률!R29)</f>
        <v>50.259146233248458</v>
      </c>
      <c r="S33" s="37">
        <f ca="1">SUMIFS(펀드FS!15:15,펀드FS!6:6,펀드수익률!S29)</f>
        <v>37.617872567565598</v>
      </c>
      <c r="T33" s="37">
        <f ca="1">SUMIFS(펀드FS!15:15,펀드FS!6:6,펀드수익률!T29)</f>
        <v>25.658342501114049</v>
      </c>
      <c r="U33" s="37">
        <f ca="1">SUMIFS(펀드FS!15:15,펀드FS!6:6,펀드수익률!U29)</f>
        <v>17.921125730835655</v>
      </c>
      <c r="V33" s="37">
        <f ca="1">SUMIFS(펀드FS!15:15,펀드FS!6:6,펀드수익률!V29)</f>
        <v>26.467640974322023</v>
      </c>
      <c r="W33" s="37">
        <f ca="1">SUMIFS(펀드FS!15:15,펀드FS!6:6,펀드수익률!W29)</f>
        <v>16.337405935184918</v>
      </c>
      <c r="X33" s="37">
        <f ca="1">SUMIFS(펀드FS!15:15,펀드FS!6:6,펀드수익률!X29)</f>
        <v>8.3612796530425584</v>
      </c>
      <c r="Y33" s="37">
        <f ca="1">SUMIFS(펀드FS!15:15,펀드FS!6:6,펀드수익률!Y29)</f>
        <v>5.9824837436187934</v>
      </c>
      <c r="Z33" s="37">
        <f ca="1">SUMIFS(펀드FS!15:15,펀드FS!6:6,펀드수익률!Z29)</f>
        <v>15.620895903233063</v>
      </c>
      <c r="AA33" s="37">
        <f ca="1">SUMIFS(펀드FS!15:15,펀드FS!6:6,펀드수익률!AA29)</f>
        <v>13.020187206613361</v>
      </c>
      <c r="AB33" s="37">
        <f ca="1">SUMIFS(펀드FS!15:15,펀드FS!6:6,펀드수익률!AB29)</f>
        <v>10.630683640006112</v>
      </c>
      <c r="AC33" s="37">
        <f ca="1">SUMIFS(펀드FS!15:15,펀드FS!6:6,펀드수익률!AC29)</f>
        <v>9.2600336205789304</v>
      </c>
      <c r="AD33" s="37">
        <f ca="1">SUMIFS(펀드FS!15:15,펀드FS!6:6,펀드수익률!AD29)</f>
        <v>8.5914294533131574</v>
      </c>
      <c r="AE33" s="37">
        <f ca="1">SUMIFS(펀드FS!15:15,펀드FS!6:6,펀드수익률!AE29)</f>
        <v>7.1151768688797468</v>
      </c>
      <c r="AF33" s="37">
        <f ca="1">SUMIFS(펀드FS!15:15,펀드FS!6:6,펀드수익률!AF29)</f>
        <v>5.1480835622976286</v>
      </c>
      <c r="AG33" s="37">
        <f ca="1">SUMIFS(펀드FS!15:15,펀드FS!6:6,펀드수익률!AG29)</f>
        <v>3.7774335428704511</v>
      </c>
      <c r="AH33" s="37">
        <f ca="1">SUMIFS(펀드FS!15:15,펀드FS!6:6,펀드수익률!AH29)</f>
        <v>2.9660547077162569</v>
      </c>
      <c r="AI33" s="37">
        <f ca="1">SUMIFS(펀드FS!15:15,펀드FS!6:6,펀드수익률!AI29)</f>
        <v>1.2101665311463607</v>
      </c>
      <c r="AJ33" s="37">
        <f ca="1">SUMIFS(펀드FS!15:15,펀드FS!6:6,펀드수익률!AJ29)</f>
        <v>352.26845948453484</v>
      </c>
      <c r="AK33" s="37">
        <f ca="1">SUMIFS(펀드FS!15:15,펀드FS!6:6,펀드수익률!AK29)</f>
        <v>0</v>
      </c>
    </row>
    <row r="34" spans="2:46">
      <c r="B34" s="35" t="s">
        <v>17</v>
      </c>
      <c r="C34" s="35"/>
      <c r="D34" s="35"/>
      <c r="E34" s="36">
        <f ca="1">SUM(G34:AK34)</f>
        <v>28269.410102436399</v>
      </c>
      <c r="F34" s="36"/>
      <c r="G34" s="37">
        <f ca="1">SUM(G35:G36)</f>
        <v>28150.743999999977</v>
      </c>
      <c r="H34" s="37">
        <f t="shared" ref="H34:AK34" ca="1" si="23">SUM(H35:H36)</f>
        <v>10.556528999999992</v>
      </c>
      <c r="I34" s="37">
        <f t="shared" ca="1" si="23"/>
        <v>10.071408508227265</v>
      </c>
      <c r="J34" s="37">
        <f t="shared" ca="1" si="23"/>
        <v>9.5762913033863573</v>
      </c>
      <c r="K34" s="37">
        <f t="shared" ca="1" si="23"/>
        <v>9.0811740985454499</v>
      </c>
      <c r="L34" s="37">
        <f t="shared" ca="1" si="23"/>
        <v>8.5860568937045407</v>
      </c>
      <c r="M34" s="37">
        <f t="shared" ca="1" si="23"/>
        <v>8.0809429757954501</v>
      </c>
      <c r="N34" s="37">
        <f t="shared" ca="1" si="23"/>
        <v>7.565832344818177</v>
      </c>
      <c r="O34" s="37">
        <f t="shared" ca="1" si="23"/>
        <v>7.1007052791818142</v>
      </c>
      <c r="P34" s="37">
        <f t="shared" ca="1" si="23"/>
        <v>6.6255815004772698</v>
      </c>
      <c r="Q34" s="37">
        <f t="shared" ca="1" si="23"/>
        <v>6.095755707863634</v>
      </c>
      <c r="R34" s="37">
        <f t="shared" ca="1" si="23"/>
        <v>5.5559332021818166</v>
      </c>
      <c r="S34" s="37">
        <f t="shared" ca="1" si="23"/>
        <v>4.9261402788863631</v>
      </c>
      <c r="T34" s="37">
        <f t="shared" ca="1" si="23"/>
        <v>4.2963473555909095</v>
      </c>
      <c r="U34" s="37">
        <f t="shared" ca="1" si="23"/>
        <v>3.6565577192272736</v>
      </c>
      <c r="V34" s="37">
        <f t="shared" ca="1" si="23"/>
        <v>3.0067713697954561</v>
      </c>
      <c r="W34" s="37">
        <f t="shared" ca="1" si="23"/>
        <v>2.6069028470681839</v>
      </c>
      <c r="X34" s="37">
        <f t="shared" ca="1" si="23"/>
        <v>2.1470540459318208</v>
      </c>
      <c r="Y34" s="37">
        <f t="shared" ca="1" si="23"/>
        <v>1.6772085317272758</v>
      </c>
      <c r="Z34" s="37">
        <f t="shared" ca="1" si="23"/>
        <v>1.2773400090000038</v>
      </c>
      <c r="AA34" s="37">
        <f t="shared" ca="1" si="23"/>
        <v>1.1573794521818219</v>
      </c>
      <c r="AB34" s="37">
        <f t="shared" ca="1" si="23"/>
        <v>1.0374188953636403</v>
      </c>
      <c r="AC34" s="37">
        <f t="shared" ca="1" si="23"/>
        <v>0.91745833854545866</v>
      </c>
      <c r="AD34" s="37">
        <f t="shared" ca="1" si="23"/>
        <v>0.79749778172727703</v>
      </c>
      <c r="AE34" s="37">
        <f t="shared" ca="1" si="23"/>
        <v>0.6775372249090954</v>
      </c>
      <c r="AF34" s="37">
        <f t="shared" ca="1" si="23"/>
        <v>0.55757666809091366</v>
      </c>
      <c r="AG34" s="37">
        <f t="shared" ca="1" si="23"/>
        <v>0.43761611127273203</v>
      </c>
      <c r="AH34" s="37">
        <f t="shared" ca="1" si="23"/>
        <v>0.3176555544545504</v>
      </c>
      <c r="AI34" s="37">
        <f t="shared" ca="1" si="23"/>
        <v>0.19769499763636872</v>
      </c>
      <c r="AJ34" s="37">
        <f t="shared" ca="1" si="23"/>
        <v>7.7734440818187048E-2</v>
      </c>
      <c r="AK34" s="37">
        <f t="shared" ca="1" si="23"/>
        <v>0</v>
      </c>
    </row>
    <row r="35" spans="2:46">
      <c r="B35" s="38" t="s">
        <v>27</v>
      </c>
      <c r="D35" s="38"/>
      <c r="E35" s="36">
        <f t="shared" ca="1" si="22"/>
        <v>28150.743999999977</v>
      </c>
      <c r="F35" s="36"/>
      <c r="G35" s="37">
        <f ca="1">SUMIFS(펀드차입금!56:56,펀드차입금!54:54,펀드수익률!G44)</f>
        <v>28150.743999999977</v>
      </c>
      <c r="H35" s="37">
        <f ca="1">SUMIFS(펀드차입금!56:56,펀드차입금!54:54,펀드수익률!H44)</f>
        <v>0</v>
      </c>
      <c r="I35" s="37">
        <f ca="1">SUMIFS(펀드차입금!56:56,펀드차입금!54:54,펀드수익률!I44)</f>
        <v>0</v>
      </c>
      <c r="J35" s="37">
        <f ca="1">SUMIFS(펀드차입금!56:56,펀드차입금!54:54,펀드수익률!J44)</f>
        <v>0</v>
      </c>
      <c r="K35" s="37">
        <f ca="1">SUMIFS(펀드차입금!56:56,펀드차입금!54:54,펀드수익률!K44)</f>
        <v>0</v>
      </c>
      <c r="L35" s="37">
        <f ca="1">SUMIFS(펀드차입금!56:56,펀드차입금!54:54,펀드수익률!L44)</f>
        <v>0</v>
      </c>
      <c r="M35" s="37">
        <f ca="1">SUMIFS(펀드차입금!56:56,펀드차입금!54:54,펀드수익률!M44)</f>
        <v>0</v>
      </c>
      <c r="N35" s="37">
        <f ca="1">SUMIFS(펀드차입금!56:56,펀드차입금!54:54,펀드수익률!N44)</f>
        <v>0</v>
      </c>
      <c r="O35" s="37">
        <f ca="1">SUMIFS(펀드차입금!56:56,펀드차입금!54:54,펀드수익률!O44)</f>
        <v>0</v>
      </c>
      <c r="P35" s="37">
        <f ca="1">SUMIFS(펀드차입금!56:56,펀드차입금!54:54,펀드수익률!P44)</f>
        <v>0</v>
      </c>
      <c r="Q35" s="37">
        <f ca="1">SUMIFS(펀드차입금!56:56,펀드차입금!54:54,펀드수익률!Q44)</f>
        <v>0</v>
      </c>
      <c r="R35" s="37">
        <f ca="1">SUMIFS(펀드차입금!56:56,펀드차입금!54:54,펀드수익률!R44)</f>
        <v>0</v>
      </c>
      <c r="S35" s="37">
        <f ca="1">SUMIFS(펀드차입금!56:56,펀드차입금!54:54,펀드수익률!S44)</f>
        <v>0</v>
      </c>
      <c r="T35" s="37">
        <f ca="1">SUMIFS(펀드차입금!56:56,펀드차입금!54:54,펀드수익률!T44)</f>
        <v>0</v>
      </c>
      <c r="U35" s="37">
        <f ca="1">SUMIFS(펀드차입금!56:56,펀드차입금!54:54,펀드수익률!U44)</f>
        <v>0</v>
      </c>
      <c r="V35" s="37">
        <f ca="1">SUMIFS(펀드차입금!56:56,펀드차입금!54:54,펀드수익률!V44)</f>
        <v>0</v>
      </c>
      <c r="W35" s="37">
        <f ca="1">SUMIFS(펀드차입금!56:56,펀드차입금!54:54,펀드수익률!W44)</f>
        <v>0</v>
      </c>
      <c r="X35" s="37">
        <f ca="1">SUMIFS(펀드차입금!56:56,펀드차입금!54:54,펀드수익률!X44)</f>
        <v>0</v>
      </c>
      <c r="Y35" s="37">
        <f ca="1">SUMIFS(펀드차입금!56:56,펀드차입금!54:54,펀드수익률!Y44)</f>
        <v>0</v>
      </c>
      <c r="Z35" s="37">
        <f ca="1">SUMIFS(펀드차입금!56:56,펀드차입금!54:54,펀드수익률!Z44)</f>
        <v>0</v>
      </c>
      <c r="AA35" s="37">
        <f ca="1">SUMIFS(펀드차입금!56:56,펀드차입금!54:54,펀드수익률!AA44)</f>
        <v>0</v>
      </c>
      <c r="AB35" s="37">
        <f ca="1">SUMIFS(펀드차입금!56:56,펀드차입금!54:54,펀드수익률!AB44)</f>
        <v>0</v>
      </c>
      <c r="AC35" s="37">
        <f ca="1">SUMIFS(펀드차입금!56:56,펀드차입금!54:54,펀드수익률!AC44)</f>
        <v>0</v>
      </c>
      <c r="AD35" s="37">
        <f ca="1">SUMIFS(펀드차입금!56:56,펀드차입금!54:54,펀드수익률!AD44)</f>
        <v>0</v>
      </c>
      <c r="AE35" s="37">
        <f ca="1">SUMIFS(펀드차입금!56:56,펀드차입금!54:54,펀드수익률!AE44)</f>
        <v>0</v>
      </c>
      <c r="AF35" s="37">
        <f ca="1">SUMIFS(펀드차입금!56:56,펀드차입금!54:54,펀드수익률!AF44)</f>
        <v>0</v>
      </c>
      <c r="AG35" s="37">
        <f ca="1">SUMIFS(펀드차입금!56:56,펀드차입금!54:54,펀드수익률!AG44)</f>
        <v>0</v>
      </c>
      <c r="AH35" s="37">
        <f ca="1">SUMIFS(펀드차입금!56:56,펀드차입금!54:54,펀드수익률!AH44)</f>
        <v>0</v>
      </c>
      <c r="AI35" s="37">
        <f ca="1">SUMIFS(펀드차입금!56:56,펀드차입금!54:54,펀드수익률!AI44)</f>
        <v>0</v>
      </c>
      <c r="AJ35" s="37">
        <f ca="1">SUMIFS(펀드차입금!56:56,펀드차입금!54:54,펀드수익률!AJ44)</f>
        <v>0</v>
      </c>
      <c r="AK35" s="37">
        <f ca="1">SUMIFS(펀드차입금!56:56,펀드차입금!54:54,펀드수익률!AK44)</f>
        <v>0</v>
      </c>
    </row>
    <row r="36" spans="2:46">
      <c r="B36" s="38" t="s">
        <v>20</v>
      </c>
      <c r="C36" s="43">
        <f ca="1">민감도!$E$59</f>
        <v>1.5E-3</v>
      </c>
      <c r="D36" s="38"/>
      <c r="E36" s="36">
        <f t="shared" ca="1" si="22"/>
        <v>118.66610243640912</v>
      </c>
      <c r="F36" s="36"/>
      <c r="G36" s="37">
        <f ca="1">SUMIFS(펀드차입금!55:55,펀드차입금!$54:$54,G29)*$C36/4*(G29&lt;=펀드차입금!$B$51)</f>
        <v>0</v>
      </c>
      <c r="H36" s="37">
        <f ca="1">SUMIFS(펀드차입금!55:55,펀드차입금!$54:$54,H29)*$C36/4*(H29&lt;=펀드차입금!$B$51)</f>
        <v>10.556528999999992</v>
      </c>
      <c r="I36" s="37">
        <f ca="1">SUMIFS(펀드차입금!55:55,펀드차입금!$54:$54,I29)*$C36/4*(I29&lt;=펀드차입금!$B$51)</f>
        <v>10.071408508227265</v>
      </c>
      <c r="J36" s="37">
        <f ca="1">SUMIFS(펀드차입금!55:55,펀드차입금!$54:$54,J29)*$C36/4*(J29&lt;=펀드차입금!$B$51)</f>
        <v>9.5762913033863573</v>
      </c>
      <c r="K36" s="37">
        <f ca="1">SUMIFS(펀드차입금!55:55,펀드차입금!$54:$54,K29)*$C36/4*(K29&lt;=펀드차입금!$B$51)</f>
        <v>9.0811740985454499</v>
      </c>
      <c r="L36" s="37">
        <f ca="1">SUMIFS(펀드차입금!55:55,펀드차입금!$54:$54,L29)*$C36/4*(L29&lt;=펀드차입금!$B$51)</f>
        <v>8.5860568937045407</v>
      </c>
      <c r="M36" s="37">
        <f ca="1">SUMIFS(펀드차입금!55:55,펀드차입금!$54:$54,M29)*$C36/4*(M29&lt;=펀드차입금!$B$51)</f>
        <v>8.0809429757954501</v>
      </c>
      <c r="N36" s="37">
        <f ca="1">SUMIFS(펀드차입금!55:55,펀드차입금!$54:$54,N29)*$C36/4*(N29&lt;=펀드차입금!$B$51)</f>
        <v>7.565832344818177</v>
      </c>
      <c r="O36" s="37">
        <f ca="1">SUMIFS(펀드차입금!55:55,펀드차입금!$54:$54,O29)*$C36/4*(O29&lt;=펀드차입금!$B$51)</f>
        <v>7.1007052791818142</v>
      </c>
      <c r="P36" s="37">
        <f ca="1">SUMIFS(펀드차입금!55:55,펀드차입금!$54:$54,P29)*$C36/4*(P29&lt;=펀드차입금!$B$51)</f>
        <v>6.6255815004772698</v>
      </c>
      <c r="Q36" s="37">
        <f ca="1">SUMIFS(펀드차입금!55:55,펀드차입금!$54:$54,Q29)*$C36/4*(Q29&lt;=펀드차입금!$B$51)</f>
        <v>6.095755707863634</v>
      </c>
      <c r="R36" s="37">
        <f ca="1">SUMIFS(펀드차입금!55:55,펀드차입금!$54:$54,R29)*$C36/4*(R29&lt;=펀드차입금!$B$51)</f>
        <v>5.5559332021818166</v>
      </c>
      <c r="S36" s="37">
        <f ca="1">SUMIFS(펀드차입금!55:55,펀드차입금!$54:$54,S29)*$C36/4*(S29&lt;=펀드차입금!$B$51)</f>
        <v>4.9261402788863631</v>
      </c>
      <c r="T36" s="37">
        <f ca="1">SUMIFS(펀드차입금!55:55,펀드차입금!$54:$54,T29)*$C36/4*(T29&lt;=펀드차입금!$B$51)</f>
        <v>4.2963473555909095</v>
      </c>
      <c r="U36" s="37">
        <f ca="1">SUMIFS(펀드차입금!55:55,펀드차입금!$54:$54,U29)*$C36/4*(U29&lt;=펀드차입금!$B$51)</f>
        <v>3.6565577192272736</v>
      </c>
      <c r="V36" s="37">
        <f ca="1">SUMIFS(펀드차입금!55:55,펀드차입금!$54:$54,V29)*$C36/4*(V29&lt;=펀드차입금!$B$51)</f>
        <v>3.0067713697954561</v>
      </c>
      <c r="W36" s="37">
        <f ca="1">SUMIFS(펀드차입금!55:55,펀드차입금!$54:$54,W29)*$C36/4*(W29&lt;=펀드차입금!$B$51)</f>
        <v>2.6069028470681839</v>
      </c>
      <c r="X36" s="37">
        <f ca="1">SUMIFS(펀드차입금!55:55,펀드차입금!$54:$54,X29)*$C36/4*(X29&lt;=펀드차입금!$B$51)</f>
        <v>2.1470540459318208</v>
      </c>
      <c r="Y36" s="37">
        <f ca="1">SUMIFS(펀드차입금!55:55,펀드차입금!$54:$54,Y29)*$C36/4*(Y29&lt;=펀드차입금!$B$51)</f>
        <v>1.6772085317272758</v>
      </c>
      <c r="Z36" s="37">
        <f ca="1">SUMIFS(펀드차입금!55:55,펀드차입금!$54:$54,Z29)*$C36/4*(Z29&lt;=펀드차입금!$B$51)</f>
        <v>1.2773400090000038</v>
      </c>
      <c r="AA36" s="37">
        <f ca="1">SUMIFS(펀드차입금!55:55,펀드차입금!$54:$54,AA29)*$C36/4*(AA29&lt;=펀드차입금!$B$51)</f>
        <v>1.1573794521818219</v>
      </c>
      <c r="AB36" s="37">
        <f ca="1">SUMIFS(펀드차입금!55:55,펀드차입금!$54:$54,AB29)*$C36/4*(AB29&lt;=펀드차입금!$B$51)</f>
        <v>1.0374188953636403</v>
      </c>
      <c r="AC36" s="37">
        <f ca="1">SUMIFS(펀드차입금!55:55,펀드차입금!$54:$54,AC29)*$C36/4*(AC29&lt;=펀드차입금!$B$51)</f>
        <v>0.91745833854545866</v>
      </c>
      <c r="AD36" s="37">
        <f ca="1">SUMIFS(펀드차입금!55:55,펀드차입금!$54:$54,AD29)*$C36/4*(AD29&lt;=펀드차입금!$B$51)</f>
        <v>0.79749778172727703</v>
      </c>
      <c r="AE36" s="37">
        <f ca="1">SUMIFS(펀드차입금!55:55,펀드차입금!$54:$54,AE29)*$C36/4*(AE29&lt;=펀드차입금!$B$51)</f>
        <v>0.6775372249090954</v>
      </c>
      <c r="AF36" s="37">
        <f ca="1">SUMIFS(펀드차입금!55:55,펀드차입금!$54:$54,AF29)*$C36/4*(AF29&lt;=펀드차입금!$B$51)</f>
        <v>0.55757666809091366</v>
      </c>
      <c r="AG36" s="37">
        <f ca="1">SUMIFS(펀드차입금!55:55,펀드차입금!$54:$54,AG29)*$C36/4*(AG29&lt;=펀드차입금!$B$51)</f>
        <v>0.43761611127273203</v>
      </c>
      <c r="AH36" s="37">
        <f ca="1">SUMIFS(펀드차입금!55:55,펀드차입금!$54:$54,AH29)*$C36/4*(AH29&lt;=펀드차입금!$B$51)</f>
        <v>0.3176555544545504</v>
      </c>
      <c r="AI36" s="37">
        <f ca="1">SUMIFS(펀드차입금!55:55,펀드차입금!$54:$54,AI29)*$C36/4*(AI29&lt;=펀드차입금!$B$51)</f>
        <v>0.19769499763636872</v>
      </c>
      <c r="AJ36" s="37">
        <f ca="1">SUMIFS(펀드차입금!55:55,펀드차입금!$54:$54,AJ29)*$C36/4*(AJ29&lt;=펀드차입금!$B$51)</f>
        <v>7.7734440818187048E-2</v>
      </c>
      <c r="AK36" s="37">
        <f ca="1">SUMIFS(펀드차입금!55:55,펀드차입금!$54:$54,AK29)*$C36/4*(AK29&lt;=펀드차입금!$B$51)</f>
        <v>0</v>
      </c>
    </row>
    <row r="37" spans="2:46">
      <c r="B37" s="35" t="s">
        <v>21</v>
      </c>
      <c r="C37" s="35"/>
      <c r="D37" s="35"/>
      <c r="E37" s="36">
        <f t="shared" ca="1" si="22"/>
        <v>4075.896557639549</v>
      </c>
      <c r="F37" s="36"/>
      <c r="G37" s="37">
        <f ca="1">G30-G34</f>
        <v>-28150.743999999977</v>
      </c>
      <c r="H37" s="37">
        <f t="shared" ref="H37:AK37" ca="1" si="24">H30-H34</f>
        <v>1619.4133802204242</v>
      </c>
      <c r="I37" s="37">
        <f t="shared" ca="1" si="24"/>
        <v>1628.1943597009893</v>
      </c>
      <c r="J37" s="37">
        <f t="shared" ca="1" si="24"/>
        <v>1621.7079723560171</v>
      </c>
      <c r="K37" s="37">
        <f t="shared" ca="1" si="24"/>
        <v>1597.9289822713181</v>
      </c>
      <c r="L37" s="37">
        <f t="shared" ca="1" si="24"/>
        <v>1600.966758064578</v>
      </c>
      <c r="M37" s="37">
        <f t="shared" ca="1" si="24"/>
        <v>1609.0084684021626</v>
      </c>
      <c r="N37" s="37">
        <f t="shared" ca="1" si="24"/>
        <v>1463.7725366962786</v>
      </c>
      <c r="O37" s="37">
        <f t="shared" ca="1" si="24"/>
        <v>1473.0175574244308</v>
      </c>
      <c r="P37" s="37">
        <f t="shared" ca="1" si="24"/>
        <v>1639.1205886620387</v>
      </c>
      <c r="Q37" s="37">
        <f t="shared" ca="1" si="24"/>
        <v>1645.7607745549014</v>
      </c>
      <c r="R37" s="37">
        <f t="shared" ca="1" si="24"/>
        <v>1868.453054394332</v>
      </c>
      <c r="S37" s="37">
        <f t="shared" ca="1" si="24"/>
        <v>1841.5058198524976</v>
      </c>
      <c r="T37" s="37">
        <f t="shared" ca="1" si="24"/>
        <v>1841.5347335049339</v>
      </c>
      <c r="U37" s="37">
        <f t="shared" ca="1" si="24"/>
        <v>1844.1089391114094</v>
      </c>
      <c r="V37" s="37">
        <f t="shared" ca="1" si="24"/>
        <v>1167.8706085274653</v>
      </c>
      <c r="W37" s="37">
        <f t="shared" ca="1" si="24"/>
        <v>1308.4543365022473</v>
      </c>
      <c r="X37" s="37">
        <f t="shared" ca="1" si="24"/>
        <v>1316.1393915437327</v>
      </c>
      <c r="Y37" s="37">
        <f t="shared" ca="1" si="24"/>
        <v>1115.1508394109878</v>
      </c>
      <c r="Z37" s="37">
        <f t="shared" ca="1" si="24"/>
        <v>367.41421869336602</v>
      </c>
      <c r="AA37" s="37">
        <f t="shared" ca="1" si="24"/>
        <v>362.15178440834109</v>
      </c>
      <c r="AB37" s="37">
        <f t="shared" ca="1" si="24"/>
        <v>357.03131774473582</v>
      </c>
      <c r="AC37" s="37">
        <f t="shared" ca="1" si="24"/>
        <v>352.5957028868591</v>
      </c>
      <c r="AD37" s="37">
        <f t="shared" ca="1" si="24"/>
        <v>348.63198840258138</v>
      </c>
      <c r="AE37" s="37">
        <f t="shared" ca="1" si="24"/>
        <v>344.12538973399484</v>
      </c>
      <c r="AF37" s="37">
        <f t="shared" ca="1" si="24"/>
        <v>339.28885831322913</v>
      </c>
      <c r="AG37" s="37">
        <f t="shared" ca="1" si="24"/>
        <v>334.85324345535236</v>
      </c>
      <c r="AH37" s="37">
        <f t="shared" ca="1" si="24"/>
        <v>330.79355885899491</v>
      </c>
      <c r="AI37" s="37">
        <f t="shared" ca="1" si="24"/>
        <v>326.09899505964876</v>
      </c>
      <c r="AJ37" s="37">
        <f t="shared" ca="1" si="24"/>
        <v>561.54639888168242</v>
      </c>
      <c r="AK37" s="37">
        <f t="shared" ca="1" si="24"/>
        <v>0</v>
      </c>
    </row>
    <row r="38" spans="2:46">
      <c r="B38" s="40" t="s">
        <v>22</v>
      </c>
      <c r="C38" s="40"/>
      <c r="D38" s="40"/>
      <c r="E38" s="4746">
        <f ca="1">XIRR(G37:AK37,G29:AK29)</f>
        <v>5.1261338591575625E-2</v>
      </c>
      <c r="F38" s="41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</row>
    <row r="39" spans="2:46">
      <c r="B39" s="35" t="s">
        <v>23</v>
      </c>
      <c r="C39" s="35"/>
      <c r="D39" s="35"/>
      <c r="E39" s="36">
        <f t="shared" ref="E39" ca="1" si="25">SUM(G39:AK39)</f>
        <v>4194.5626600759597</v>
      </c>
      <c r="F39" s="36"/>
      <c r="G39" s="37">
        <f ca="1">G37+G36</f>
        <v>-28150.743999999977</v>
      </c>
      <c r="H39" s="37">
        <f t="shared" ref="H39:AK39" ca="1" si="26">H37+H36</f>
        <v>1629.9699092204241</v>
      </c>
      <c r="I39" s="37">
        <f t="shared" ca="1" si="26"/>
        <v>1638.2657682092165</v>
      </c>
      <c r="J39" s="37">
        <f t="shared" ca="1" si="26"/>
        <v>1631.2842636594035</v>
      </c>
      <c r="K39" s="37">
        <f t="shared" ca="1" si="26"/>
        <v>1607.0101563698636</v>
      </c>
      <c r="L39" s="37">
        <f t="shared" ca="1" si="26"/>
        <v>1609.5528149582826</v>
      </c>
      <c r="M39" s="37">
        <f t="shared" ca="1" si="26"/>
        <v>1617.0894113779582</v>
      </c>
      <c r="N39" s="37">
        <f t="shared" ca="1" si="26"/>
        <v>1471.3383690410967</v>
      </c>
      <c r="O39" s="37">
        <f t="shared" ca="1" si="26"/>
        <v>1480.1182627036126</v>
      </c>
      <c r="P39" s="37">
        <f t="shared" ca="1" si="26"/>
        <v>1645.7461701625159</v>
      </c>
      <c r="Q39" s="37">
        <f t="shared" ca="1" si="26"/>
        <v>1651.8565302627651</v>
      </c>
      <c r="R39" s="37">
        <f t="shared" ca="1" si="26"/>
        <v>1874.0089875965139</v>
      </c>
      <c r="S39" s="37">
        <f t="shared" ca="1" si="26"/>
        <v>1846.4319601313839</v>
      </c>
      <c r="T39" s="37">
        <f t="shared" ca="1" si="26"/>
        <v>1845.8310808605247</v>
      </c>
      <c r="U39" s="37">
        <f t="shared" ca="1" si="26"/>
        <v>1847.7654968306367</v>
      </c>
      <c r="V39" s="37">
        <f t="shared" ca="1" si="26"/>
        <v>1170.8773798972607</v>
      </c>
      <c r="W39" s="37">
        <f t="shared" ca="1" si="26"/>
        <v>1311.0612393493154</v>
      </c>
      <c r="X39" s="37">
        <f t="shared" ca="1" si="26"/>
        <v>1318.2864455896645</v>
      </c>
      <c r="Y39" s="37">
        <f t="shared" ca="1" si="26"/>
        <v>1116.8280479427151</v>
      </c>
      <c r="Z39" s="37">
        <f t="shared" ca="1" si="26"/>
        <v>368.69155870236602</v>
      </c>
      <c r="AA39" s="37">
        <f t="shared" ca="1" si="26"/>
        <v>363.30916386052292</v>
      </c>
      <c r="AB39" s="37">
        <f t="shared" ca="1" si="26"/>
        <v>358.06873664009947</v>
      </c>
      <c r="AC39" s="37">
        <f t="shared" ca="1" si="26"/>
        <v>353.51316122540459</v>
      </c>
      <c r="AD39" s="37">
        <f t="shared" ca="1" si="26"/>
        <v>349.42948618430864</v>
      </c>
      <c r="AE39" s="37">
        <f t="shared" ca="1" si="26"/>
        <v>344.80292695890392</v>
      </c>
      <c r="AF39" s="37">
        <f t="shared" ca="1" si="26"/>
        <v>339.84643498132004</v>
      </c>
      <c r="AG39" s="37">
        <f t="shared" ca="1" si="26"/>
        <v>335.2908595666251</v>
      </c>
      <c r="AH39" s="37">
        <f t="shared" ca="1" si="26"/>
        <v>331.11121441344949</v>
      </c>
      <c r="AI39" s="37">
        <f t="shared" ca="1" si="26"/>
        <v>326.2966900572851</v>
      </c>
      <c r="AJ39" s="37">
        <f t="shared" ca="1" si="26"/>
        <v>561.6241333225006</v>
      </c>
      <c r="AK39" s="37">
        <f t="shared" ca="1" si="26"/>
        <v>0</v>
      </c>
    </row>
    <row r="40" spans="2:46">
      <c r="B40" s="40" t="s">
        <v>24</v>
      </c>
      <c r="C40" s="40"/>
      <c r="D40" s="40"/>
      <c r="E40" s="4746">
        <f ca="1">XIRR(G39:AK39,G29:AK29)</f>
        <v>5.2786615490913402E-2</v>
      </c>
      <c r="F40" s="42"/>
      <c r="G40" s="5211"/>
    </row>
    <row r="42" spans="2:46" s="25" customFormat="1" ht="14.25" customHeight="1">
      <c r="B42" s="22" t="s">
        <v>5336</v>
      </c>
      <c r="C42" s="22"/>
      <c r="D42" s="22"/>
      <c r="E42" s="23"/>
      <c r="F42" s="23"/>
      <c r="G42" s="24">
        <f ca="1">G$9</f>
        <v>2022</v>
      </c>
      <c r="H42" s="24">
        <f t="shared" ref="H42:AK42" ca="1" si="27">H$9</f>
        <v>2022</v>
      </c>
      <c r="I42" s="24">
        <f t="shared" ca="1" si="27"/>
        <v>2022</v>
      </c>
      <c r="J42" s="24">
        <f t="shared" ca="1" si="27"/>
        <v>2023</v>
      </c>
      <c r="K42" s="24">
        <f t="shared" ca="1" si="27"/>
        <v>2023</v>
      </c>
      <c r="L42" s="24">
        <f t="shared" ca="1" si="27"/>
        <v>2023</v>
      </c>
      <c r="M42" s="24">
        <f t="shared" ca="1" si="27"/>
        <v>2023</v>
      </c>
      <c r="N42" s="24">
        <f t="shared" ca="1" si="27"/>
        <v>2024</v>
      </c>
      <c r="O42" s="24">
        <f t="shared" ca="1" si="27"/>
        <v>2024</v>
      </c>
      <c r="P42" s="24">
        <f t="shared" ca="1" si="27"/>
        <v>2024</v>
      </c>
      <c r="Q42" s="24">
        <f t="shared" ca="1" si="27"/>
        <v>2024</v>
      </c>
      <c r="R42" s="24">
        <f t="shared" ca="1" si="27"/>
        <v>2025</v>
      </c>
      <c r="S42" s="24">
        <f t="shared" ca="1" si="27"/>
        <v>2025</v>
      </c>
      <c r="T42" s="24">
        <f t="shared" ca="1" si="27"/>
        <v>2025</v>
      </c>
      <c r="U42" s="24">
        <f t="shared" ca="1" si="27"/>
        <v>2025</v>
      </c>
      <c r="V42" s="24">
        <f t="shared" ca="1" si="27"/>
        <v>2026</v>
      </c>
      <c r="W42" s="24">
        <f t="shared" ca="1" si="27"/>
        <v>2026</v>
      </c>
      <c r="X42" s="24">
        <f t="shared" ca="1" si="27"/>
        <v>2026</v>
      </c>
      <c r="Y42" s="24">
        <f t="shared" ca="1" si="27"/>
        <v>2026</v>
      </c>
      <c r="Z42" s="24">
        <f t="shared" ca="1" si="27"/>
        <v>2027</v>
      </c>
      <c r="AA42" s="24">
        <f t="shared" ca="1" si="27"/>
        <v>2027</v>
      </c>
      <c r="AB42" s="24">
        <f t="shared" ca="1" si="27"/>
        <v>2027</v>
      </c>
      <c r="AC42" s="24">
        <f t="shared" ca="1" si="27"/>
        <v>2027</v>
      </c>
      <c r="AD42" s="24">
        <f t="shared" ca="1" si="27"/>
        <v>2028</v>
      </c>
      <c r="AE42" s="24">
        <f t="shared" ca="1" si="27"/>
        <v>2028</v>
      </c>
      <c r="AF42" s="24">
        <f t="shared" ca="1" si="27"/>
        <v>2028</v>
      </c>
      <c r="AG42" s="24">
        <f t="shared" ca="1" si="27"/>
        <v>2028</v>
      </c>
      <c r="AH42" s="24">
        <f t="shared" ca="1" si="27"/>
        <v>2029</v>
      </c>
      <c r="AI42" s="24">
        <f t="shared" ca="1" si="27"/>
        <v>2029</v>
      </c>
      <c r="AJ42" s="24">
        <f t="shared" ca="1" si="27"/>
        <v>2029</v>
      </c>
      <c r="AK42" s="24">
        <f t="shared" ca="1" si="27"/>
        <v>2029</v>
      </c>
      <c r="AM42" s="26"/>
      <c r="AN42" s="26"/>
      <c r="AO42" s="26"/>
      <c r="AP42" s="26"/>
      <c r="AQ42" s="26"/>
      <c r="AR42" s="26"/>
      <c r="AS42" s="26"/>
      <c r="AT42" s="26"/>
    </row>
    <row r="43" spans="2:46" s="25" customFormat="1" ht="14.25" customHeight="1">
      <c r="B43" s="27"/>
      <c r="C43" s="27"/>
      <c r="D43" s="27"/>
      <c r="E43" s="28"/>
      <c r="F43" s="28"/>
      <c r="G43" s="29">
        <f ca="1">G$10</f>
        <v>2</v>
      </c>
      <c r="H43" s="29">
        <f t="shared" ref="H43:AK43" ca="1" si="28">H$10</f>
        <v>3</v>
      </c>
      <c r="I43" s="29">
        <f t="shared" ca="1" si="28"/>
        <v>4</v>
      </c>
      <c r="J43" s="29">
        <f t="shared" ca="1" si="28"/>
        <v>1</v>
      </c>
      <c r="K43" s="29">
        <f t="shared" ca="1" si="28"/>
        <v>2</v>
      </c>
      <c r="L43" s="29">
        <f t="shared" ca="1" si="28"/>
        <v>3</v>
      </c>
      <c r="M43" s="29">
        <f t="shared" ca="1" si="28"/>
        <v>4</v>
      </c>
      <c r="N43" s="29">
        <f t="shared" ca="1" si="28"/>
        <v>1</v>
      </c>
      <c r="O43" s="29">
        <f t="shared" ca="1" si="28"/>
        <v>2</v>
      </c>
      <c r="P43" s="29">
        <f t="shared" ca="1" si="28"/>
        <v>3</v>
      </c>
      <c r="Q43" s="29">
        <f t="shared" ca="1" si="28"/>
        <v>4</v>
      </c>
      <c r="R43" s="29">
        <f t="shared" ca="1" si="28"/>
        <v>1</v>
      </c>
      <c r="S43" s="29">
        <f t="shared" ca="1" si="28"/>
        <v>2</v>
      </c>
      <c r="T43" s="29">
        <f t="shared" ca="1" si="28"/>
        <v>3</v>
      </c>
      <c r="U43" s="29">
        <f t="shared" ca="1" si="28"/>
        <v>4</v>
      </c>
      <c r="V43" s="29">
        <f t="shared" ca="1" si="28"/>
        <v>1</v>
      </c>
      <c r="W43" s="29">
        <f t="shared" ca="1" si="28"/>
        <v>2</v>
      </c>
      <c r="X43" s="29">
        <f t="shared" ca="1" si="28"/>
        <v>3</v>
      </c>
      <c r="Y43" s="29">
        <f t="shared" ca="1" si="28"/>
        <v>4</v>
      </c>
      <c r="Z43" s="29">
        <f t="shared" ca="1" si="28"/>
        <v>1</v>
      </c>
      <c r="AA43" s="29">
        <f t="shared" ca="1" si="28"/>
        <v>2</v>
      </c>
      <c r="AB43" s="29">
        <f t="shared" ca="1" si="28"/>
        <v>3</v>
      </c>
      <c r="AC43" s="29">
        <f t="shared" ca="1" si="28"/>
        <v>4</v>
      </c>
      <c r="AD43" s="29">
        <f t="shared" ca="1" si="28"/>
        <v>1</v>
      </c>
      <c r="AE43" s="29">
        <f t="shared" ca="1" si="28"/>
        <v>2</v>
      </c>
      <c r="AF43" s="29">
        <f t="shared" ca="1" si="28"/>
        <v>3</v>
      </c>
      <c r="AG43" s="29">
        <f t="shared" ca="1" si="28"/>
        <v>4</v>
      </c>
      <c r="AH43" s="29">
        <f t="shared" ca="1" si="28"/>
        <v>1</v>
      </c>
      <c r="AI43" s="29">
        <f t="shared" ca="1" si="28"/>
        <v>2</v>
      </c>
      <c r="AJ43" s="29">
        <f t="shared" ca="1" si="28"/>
        <v>3</v>
      </c>
      <c r="AK43" s="29">
        <f t="shared" ca="1" si="28"/>
        <v>4</v>
      </c>
      <c r="AM43" s="30"/>
      <c r="AN43" s="30"/>
      <c r="AO43" s="30"/>
      <c r="AP43" s="30"/>
      <c r="AQ43" s="30"/>
      <c r="AR43" s="30"/>
      <c r="AS43" s="30"/>
      <c r="AT43" s="30"/>
    </row>
    <row r="44" spans="2:46" s="25" customFormat="1" ht="14.25" customHeight="1">
      <c r="B44" s="31"/>
      <c r="C44" s="31"/>
      <c r="D44" s="31"/>
      <c r="E44" s="32" t="s">
        <v>14</v>
      </c>
      <c r="F44" s="32"/>
      <c r="G44" s="33">
        <f ca="1">G$11</f>
        <v>44742</v>
      </c>
      <c r="H44" s="33">
        <f t="shared" ref="H44:AK44" ca="1" si="29">H$11</f>
        <v>44834</v>
      </c>
      <c r="I44" s="33">
        <f t="shared" ca="1" si="29"/>
        <v>44926</v>
      </c>
      <c r="J44" s="33">
        <f t="shared" ca="1" si="29"/>
        <v>45016</v>
      </c>
      <c r="K44" s="33">
        <f t="shared" ca="1" si="29"/>
        <v>45107</v>
      </c>
      <c r="L44" s="33">
        <f t="shared" ca="1" si="29"/>
        <v>45199</v>
      </c>
      <c r="M44" s="33">
        <f t="shared" ca="1" si="29"/>
        <v>45291</v>
      </c>
      <c r="N44" s="33">
        <f t="shared" ca="1" si="29"/>
        <v>45382</v>
      </c>
      <c r="O44" s="33">
        <f t="shared" ca="1" si="29"/>
        <v>45473</v>
      </c>
      <c r="P44" s="33">
        <f t="shared" ca="1" si="29"/>
        <v>45565</v>
      </c>
      <c r="Q44" s="33">
        <f t="shared" ca="1" si="29"/>
        <v>45657</v>
      </c>
      <c r="R44" s="33">
        <f t="shared" ca="1" si="29"/>
        <v>45747</v>
      </c>
      <c r="S44" s="33">
        <f t="shared" ca="1" si="29"/>
        <v>45838</v>
      </c>
      <c r="T44" s="33">
        <f t="shared" ca="1" si="29"/>
        <v>45930</v>
      </c>
      <c r="U44" s="33">
        <f t="shared" ca="1" si="29"/>
        <v>46022</v>
      </c>
      <c r="V44" s="33">
        <f t="shared" ca="1" si="29"/>
        <v>46112</v>
      </c>
      <c r="W44" s="33">
        <f t="shared" ca="1" si="29"/>
        <v>46203</v>
      </c>
      <c r="X44" s="33">
        <f t="shared" ca="1" si="29"/>
        <v>46295</v>
      </c>
      <c r="Y44" s="33">
        <f t="shared" ca="1" si="29"/>
        <v>46387</v>
      </c>
      <c r="Z44" s="33">
        <f t="shared" ca="1" si="29"/>
        <v>46477</v>
      </c>
      <c r="AA44" s="33">
        <f t="shared" ca="1" si="29"/>
        <v>46568</v>
      </c>
      <c r="AB44" s="33">
        <f t="shared" ca="1" si="29"/>
        <v>46660</v>
      </c>
      <c r="AC44" s="33">
        <f t="shared" ca="1" si="29"/>
        <v>46752</v>
      </c>
      <c r="AD44" s="33">
        <f t="shared" ca="1" si="29"/>
        <v>46843</v>
      </c>
      <c r="AE44" s="33">
        <f t="shared" ca="1" si="29"/>
        <v>46934</v>
      </c>
      <c r="AF44" s="33">
        <f t="shared" ca="1" si="29"/>
        <v>47026</v>
      </c>
      <c r="AG44" s="33">
        <f t="shared" ca="1" si="29"/>
        <v>47118</v>
      </c>
      <c r="AH44" s="33">
        <f t="shared" ca="1" si="29"/>
        <v>47208</v>
      </c>
      <c r="AI44" s="33">
        <f t="shared" ca="1" si="29"/>
        <v>47299</v>
      </c>
      <c r="AJ44" s="33">
        <f t="shared" ca="1" si="29"/>
        <v>47391</v>
      </c>
      <c r="AK44" s="33">
        <f t="shared" ca="1" si="29"/>
        <v>47483</v>
      </c>
      <c r="AM44" s="34"/>
      <c r="AN44" s="34"/>
      <c r="AO44" s="34"/>
      <c r="AP44" s="34"/>
      <c r="AQ44" s="34"/>
      <c r="AR44" s="34"/>
      <c r="AS44" s="34"/>
      <c r="AT44" s="34"/>
    </row>
    <row r="45" spans="2:46">
      <c r="B45" s="35" t="s">
        <v>15</v>
      </c>
      <c r="C45" s="35"/>
      <c r="D45" s="35"/>
      <c r="E45" s="36">
        <f ca="1">SUM(G45:AK45)</f>
        <v>66416.503486924048</v>
      </c>
      <c r="F45" s="36"/>
      <c r="G45" s="37">
        <f t="shared" ref="G45:AK45" ca="1" si="30">SUM(G46:G47)</f>
        <v>0</v>
      </c>
      <c r="H45" s="37">
        <f t="shared" ca="1" si="30"/>
        <v>3331.9576587795759</v>
      </c>
      <c r="I45" s="37">
        <f t="shared" ca="1" si="30"/>
        <v>3362.3664557907837</v>
      </c>
      <c r="J45" s="37">
        <f t="shared" ca="1" si="30"/>
        <v>3324.079775840597</v>
      </c>
      <c r="K45" s="37">
        <f t="shared" ca="1" si="30"/>
        <v>3303.085698630136</v>
      </c>
      <c r="L45" s="37">
        <f t="shared" ca="1" si="30"/>
        <v>3338.3238555417183</v>
      </c>
      <c r="M45" s="37">
        <f t="shared" ca="1" si="30"/>
        <v>3367.6442341220413</v>
      </c>
      <c r="N45" s="37">
        <f t="shared" ca="1" si="30"/>
        <v>3051.0344109589032</v>
      </c>
      <c r="O45" s="37">
        <f t="shared" ca="1" si="30"/>
        <v>3082.8068542963874</v>
      </c>
      <c r="P45" s="37">
        <f t="shared" ca="1" si="30"/>
        <v>3372.0524433374831</v>
      </c>
      <c r="Q45" s="37">
        <f t="shared" ca="1" si="30"/>
        <v>3400.0275367372342</v>
      </c>
      <c r="R45" s="37">
        <f t="shared" ca="1" si="30"/>
        <v>3875.428692403485</v>
      </c>
      <c r="S45" s="37">
        <f t="shared" ca="1" si="30"/>
        <v>3844.8037683686161</v>
      </c>
      <c r="T45" s="37">
        <f t="shared" ca="1" si="30"/>
        <v>3870.2516961394749</v>
      </c>
      <c r="U45" s="37">
        <f t="shared" ca="1" si="30"/>
        <v>3892.2404881693642</v>
      </c>
      <c r="V45" s="37">
        <f t="shared" ca="1" si="30"/>
        <v>2432.8539726027393</v>
      </c>
      <c r="W45" s="37">
        <f t="shared" ca="1" si="30"/>
        <v>2754.0104931506839</v>
      </c>
      <c r="X45" s="37">
        <f t="shared" ca="1" si="30"/>
        <v>2787.337623910335</v>
      </c>
      <c r="Y45" s="37">
        <f t="shared" ca="1" si="30"/>
        <v>2364.032518057285</v>
      </c>
      <c r="Z45" s="37">
        <f t="shared" ca="1" si="30"/>
        <v>749.84338729763397</v>
      </c>
      <c r="AA45" s="37">
        <f t="shared" ca="1" si="30"/>
        <v>744.139696139477</v>
      </c>
      <c r="AB45" s="37">
        <f t="shared" ca="1" si="30"/>
        <v>738.29403735990047</v>
      </c>
      <c r="AC45" s="37">
        <f t="shared" ca="1" si="30"/>
        <v>731.76352677459533</v>
      </c>
      <c r="AD45" s="37">
        <f t="shared" ca="1" si="30"/>
        <v>724.76111581569126</v>
      </c>
      <c r="AE45" s="37">
        <f t="shared" ca="1" si="30"/>
        <v>718.30158904109601</v>
      </c>
      <c r="AF45" s="37">
        <f t="shared" ca="1" si="30"/>
        <v>712.17199501868004</v>
      </c>
      <c r="AG45" s="37">
        <f t="shared" ca="1" si="30"/>
        <v>705.6414844333749</v>
      </c>
      <c r="AH45" s="37">
        <f t="shared" ca="1" si="30"/>
        <v>698.73504358655055</v>
      </c>
      <c r="AI45" s="37">
        <f t="shared" ca="1" si="30"/>
        <v>692.46348194271491</v>
      </c>
      <c r="AJ45" s="37">
        <f t="shared" ca="1" si="30"/>
        <v>446.04995267748802</v>
      </c>
      <c r="AK45" s="37">
        <f t="shared" ca="1" si="30"/>
        <v>0</v>
      </c>
    </row>
    <row r="46" spans="2:46">
      <c r="B46" s="38" t="s">
        <v>25</v>
      </c>
      <c r="C46" s="38"/>
      <c r="D46" s="38"/>
      <c r="E46" s="36">
        <f ca="1">SUM(G46:AK46)</f>
        <v>60000.000000000029</v>
      </c>
      <c r="F46" s="36"/>
      <c r="G46" s="37">
        <f ca="1">SUMIFS(펀드FS!14:14,펀드FS!$6:$6,G$44)</f>
        <v>0</v>
      </c>
      <c r="H46" s="37">
        <f ca="1">SUMIFS(펀드FS!14:14,펀드FS!$6:$6,H$44)</f>
        <v>2757.2727272727266</v>
      </c>
      <c r="I46" s="37">
        <f ca="1">SUMIFS(펀드FS!14:14,펀드FS!$6:$6,I$44)</f>
        <v>2814.0909090909081</v>
      </c>
      <c r="J46" s="37">
        <f ca="1">SUMIFS(펀드FS!14:14,펀드FS!$6:$6,J$44)</f>
        <v>2814.0909090909081</v>
      </c>
      <c r="K46" s="37">
        <f ca="1">SUMIFS(펀드FS!14:14,펀드FS!$6:$6,K$44)</f>
        <v>2814.0909090909081</v>
      </c>
      <c r="L46" s="37">
        <f ca="1">SUMIFS(펀드FS!14:14,펀드FS!$6:$6,L$44)</f>
        <v>2870.9090909090905</v>
      </c>
      <c r="M46" s="37">
        <f ca="1">SUMIFS(펀드FS!14:14,펀드FS!$6:$6,M$44)</f>
        <v>2927.7272727272716</v>
      </c>
      <c r="N46" s="37">
        <f ca="1">SUMIFS(펀드FS!14:14,펀드FS!$6:$6,N$44)</f>
        <v>2643.6363636363626</v>
      </c>
      <c r="O46" s="37">
        <f ca="1">SUMIFS(펀드FS!14:14,펀드FS!$6:$6,O$44)</f>
        <v>2700.4545454545441</v>
      </c>
      <c r="P46" s="37">
        <f ca="1">SUMIFS(펀드FS!14:14,펀드FS!$6:$6,P$44)</f>
        <v>3011.3636363636351</v>
      </c>
      <c r="Q46" s="37">
        <f ca="1">SUMIFS(펀드FS!14:14,펀드FS!$6:$6,Q$44)</f>
        <v>3068.1818181818167</v>
      </c>
      <c r="R46" s="37">
        <f ca="1">SUMIFS(펀드FS!14:14,펀드FS!$6:$6,R$44)</f>
        <v>3579.5454545454527</v>
      </c>
      <c r="S46" s="37">
        <f ca="1">SUMIFS(펀드FS!14:14,펀드FS!$6:$6,S$44)</f>
        <v>3579.5454545454527</v>
      </c>
      <c r="T46" s="37">
        <f ca="1">SUMIFS(펀드FS!14:14,펀드FS!$6:$6,T$44)</f>
        <v>3636.3636363636342</v>
      </c>
      <c r="U46" s="37">
        <f ca="1">SUMIFS(펀드FS!14:14,펀드FS!$6:$6,U$44)</f>
        <v>3693.1818181818171</v>
      </c>
      <c r="V46" s="37">
        <f ca="1">SUMIFS(펀드FS!14:14,펀드FS!$6:$6,V$44)</f>
        <v>2272.7272727272721</v>
      </c>
      <c r="W46" s="37">
        <f ca="1">SUMIFS(펀드FS!14:14,펀드FS!$6:$6,W$44)</f>
        <v>2613.6363636363626</v>
      </c>
      <c r="X46" s="37">
        <f ca="1">SUMIFS(펀드FS!14:14,펀드FS!$6:$6,X$44)</f>
        <v>2670.4545454545441</v>
      </c>
      <c r="Y46" s="37">
        <f ca="1">SUMIFS(펀드FS!14:14,펀드FS!$6:$6,Y$44)</f>
        <v>2272.7272727272721</v>
      </c>
      <c r="Z46" s="37">
        <f ca="1">SUMIFS(펀드FS!14:14,펀드FS!$6:$6,Z$44)</f>
        <v>681.81818181818164</v>
      </c>
      <c r="AA46" s="37">
        <f ca="1">SUMIFS(펀드FS!14:14,펀드FS!$6:$6,AA$44)</f>
        <v>681.81818181818164</v>
      </c>
      <c r="AB46" s="37">
        <f ca="1">SUMIFS(펀드FS!14:14,펀드FS!$6:$6,AB$44)</f>
        <v>681.81818181818164</v>
      </c>
      <c r="AC46" s="37">
        <f ca="1">SUMIFS(펀드FS!14:14,펀드FS!$6:$6,AC$44)</f>
        <v>681.81818181818164</v>
      </c>
      <c r="AD46" s="37">
        <f ca="1">SUMIFS(펀드FS!14:14,펀드FS!$6:$6,AD$44)</f>
        <v>681.81818181818164</v>
      </c>
      <c r="AE46" s="37">
        <f ca="1">SUMIFS(펀드FS!14:14,펀드FS!$6:$6,AE$44)</f>
        <v>681.81818181818164</v>
      </c>
      <c r="AF46" s="37">
        <f ca="1">SUMIFS(펀드FS!14:14,펀드FS!$6:$6,AF$44)</f>
        <v>681.81818181818164</v>
      </c>
      <c r="AG46" s="37">
        <f ca="1">SUMIFS(펀드FS!14:14,펀드FS!$6:$6,AG$44)</f>
        <v>681.81818181818164</v>
      </c>
      <c r="AH46" s="37">
        <f ca="1">SUMIFS(펀드FS!14:14,펀드FS!$6:$6,AH$44)</f>
        <v>681.81818181818164</v>
      </c>
      <c r="AI46" s="37">
        <f ca="1">SUMIFS(펀드FS!14:14,펀드FS!$6:$6,AI$44)</f>
        <v>681.81818181818164</v>
      </c>
      <c r="AJ46" s="37">
        <f ca="1">SUMIFS(펀드FS!14:14,펀드FS!$6:$6,AJ$44)</f>
        <v>441.81818181821006</v>
      </c>
      <c r="AK46" s="37">
        <f ca="1">SUMIFS(펀드FS!14:14,펀드FS!$6:$6,AK$44)</f>
        <v>0</v>
      </c>
    </row>
    <row r="47" spans="2:46">
      <c r="B47" s="38" t="s">
        <v>26</v>
      </c>
      <c r="C47" s="38"/>
      <c r="D47" s="38"/>
      <c r="E47" s="36">
        <f t="shared" ref="E47:E53" ca="1" si="31">SUM(G47:AK47)</f>
        <v>6416.503486924039</v>
      </c>
      <c r="F47" s="36"/>
      <c r="G47" s="37">
        <f ca="1">SUMIFS(펀드FS!12:12,펀드FS!$6:$6,G$44)</f>
        <v>0</v>
      </c>
      <c r="H47" s="37">
        <f ca="1">SUMIFS(펀드FS!12:12,펀드FS!$6:$6,H$44)</f>
        <v>574.68493150684935</v>
      </c>
      <c r="I47" s="37">
        <f ca="1">SUMIFS(펀드FS!12:12,펀드FS!$6:$6,I$44)</f>
        <v>548.27554669987546</v>
      </c>
      <c r="J47" s="37">
        <f ca="1">SUMIFS(펀드FS!12:12,펀드FS!$6:$6,J$44)</f>
        <v>509.98886674968867</v>
      </c>
      <c r="K47" s="37">
        <f ca="1">SUMIFS(펀드FS!12:12,펀드FS!$6:$6,K$44)</f>
        <v>488.9947895392279</v>
      </c>
      <c r="L47" s="37">
        <f ca="1">SUMIFS(펀드FS!12:12,펀드FS!$6:$6,L$44)</f>
        <v>467.41476463262757</v>
      </c>
      <c r="M47" s="37">
        <f ca="1">SUMIFS(펀드FS!12:12,펀드FS!$6:$6,M$44)</f>
        <v>439.91696139476966</v>
      </c>
      <c r="N47" s="37">
        <f ca="1">SUMIFS(펀드FS!12:12,펀드FS!$6:$6,N$44)</f>
        <v>407.39804732254044</v>
      </c>
      <c r="O47" s="37">
        <f ca="1">SUMIFS(펀드FS!12:12,펀드FS!$6:$6,O$44)</f>
        <v>382.35230884184313</v>
      </c>
      <c r="P47" s="37">
        <f ca="1">SUMIFS(펀드FS!12:12,펀드FS!$6:$6,P$44)</f>
        <v>360.68880697384816</v>
      </c>
      <c r="Q47" s="37">
        <f ca="1">SUMIFS(펀드FS!12:12,펀드FS!$6:$6,Q$44)</f>
        <v>331.84571855541731</v>
      </c>
      <c r="R47" s="37">
        <f ca="1">SUMIFS(펀드FS!12:12,펀드FS!$6:$6,R$44)</f>
        <v>295.88323785803249</v>
      </c>
      <c r="S47" s="37">
        <f ca="1">SUMIFS(펀드FS!12:12,펀드FS!$6:$6,S$44)</f>
        <v>265.25831382316323</v>
      </c>
      <c r="T47" s="37">
        <f ca="1">SUMIFS(펀드FS!12:12,펀드FS!$6:$6,T$44)</f>
        <v>233.88805977584076</v>
      </c>
      <c r="U47" s="37">
        <f ca="1">SUMIFS(펀드FS!12:12,펀드FS!$6:$6,U$44)</f>
        <v>199.05866998754692</v>
      </c>
      <c r="V47" s="37">
        <f ca="1">SUMIFS(펀드FS!12:12,펀드FS!$6:$6,V$44)</f>
        <v>160.12669987546721</v>
      </c>
      <c r="W47" s="37">
        <f ca="1">SUMIFS(펀드FS!12:12,펀드FS!$6:$6,W$44)</f>
        <v>140.37412951432151</v>
      </c>
      <c r="X47" s="37">
        <f ca="1">SUMIFS(펀드FS!12:12,펀드FS!$6:$6,X$44)</f>
        <v>116.88307845579104</v>
      </c>
      <c r="Y47" s="37">
        <f ca="1">SUMIFS(펀드FS!12:12,펀드FS!$6:$6,Y$44)</f>
        <v>91.30524533001271</v>
      </c>
      <c r="Z47" s="37">
        <f ca="1">SUMIFS(펀드FS!12:12,펀드FS!$6:$6,Z$44)</f>
        <v>68.02520547945231</v>
      </c>
      <c r="AA47" s="37">
        <f ca="1">SUMIFS(펀드FS!12:12,펀드FS!$6:$6,AA$44)</f>
        <v>62.321514321295396</v>
      </c>
      <c r="AB47" s="37">
        <f ca="1">SUMIFS(펀드FS!12:12,펀드FS!$6:$6,AB$44)</f>
        <v>56.475855541718808</v>
      </c>
      <c r="AC47" s="37">
        <f ca="1">SUMIFS(펀드FS!12:12,펀드FS!$6:$6,AC$44)</f>
        <v>49.945344956413706</v>
      </c>
      <c r="AD47" s="37">
        <f ca="1">SUMIFS(펀드FS!12:12,펀드FS!$6:$6,AD$44)</f>
        <v>42.942933997509591</v>
      </c>
      <c r="AE47" s="37">
        <f ca="1">SUMIFS(펀드FS!12:12,펀드FS!$6:$6,AE$44)</f>
        <v>36.48340722291433</v>
      </c>
      <c r="AF47" s="37">
        <f ca="1">SUMIFS(펀드FS!12:12,펀드FS!$6:$6,AF$44)</f>
        <v>30.353813200498394</v>
      </c>
      <c r="AG47" s="37">
        <f ca="1">SUMIFS(펀드FS!12:12,펀드FS!$6:$6,AG$44)</f>
        <v>23.823302615193288</v>
      </c>
      <c r="AH47" s="37">
        <f ca="1">SUMIFS(펀드FS!12:12,펀드FS!$6:$6,AH$44)</f>
        <v>16.916861768368879</v>
      </c>
      <c r="AI47" s="37">
        <f ca="1">SUMIFS(펀드FS!12:12,펀드FS!$6:$6,AI$44)</f>
        <v>10.645300124533266</v>
      </c>
      <c r="AJ47" s="37">
        <f ca="1">SUMIFS(펀드FS!12:12,펀드FS!$6:$6,AJ$44)</f>
        <v>4.2317708592779786</v>
      </c>
      <c r="AK47" s="37">
        <f ca="1">SUMIFS(펀드FS!12:12,펀드FS!$6:$6,AK$44)</f>
        <v>0</v>
      </c>
    </row>
    <row r="48" spans="2:46">
      <c r="B48" s="35" t="s">
        <v>17</v>
      </c>
      <c r="C48" s="35"/>
      <c r="D48" s="35"/>
      <c r="E48" s="36">
        <f t="shared" ca="1" si="31"/>
        <v>60252.922840909094</v>
      </c>
      <c r="F48" s="36"/>
      <c r="G48" s="37">
        <f ca="1">SUM(G49:G50)</f>
        <v>60000</v>
      </c>
      <c r="H48" s="37">
        <f t="shared" ref="H48:AK48" ca="1" si="32">SUM(H49:H50)</f>
        <v>22.5</v>
      </c>
      <c r="I48" s="37">
        <f t="shared" ca="1" si="32"/>
        <v>21.466022727272726</v>
      </c>
      <c r="J48" s="37">
        <f t="shared" ca="1" si="32"/>
        <v>20.410738636363639</v>
      </c>
      <c r="K48" s="37">
        <f t="shared" ca="1" si="32"/>
        <v>19.355454545454545</v>
      </c>
      <c r="L48" s="37">
        <f t="shared" ca="1" si="32"/>
        <v>18.300170454545455</v>
      </c>
      <c r="M48" s="37">
        <f t="shared" ca="1" si="32"/>
        <v>17.223579545454545</v>
      </c>
      <c r="N48" s="37">
        <f t="shared" ca="1" si="32"/>
        <v>16.125681818181818</v>
      </c>
      <c r="O48" s="37">
        <f t="shared" ca="1" si="32"/>
        <v>15.134318181818184</v>
      </c>
      <c r="P48" s="37">
        <f t="shared" ca="1" si="32"/>
        <v>14.12164772727273</v>
      </c>
      <c r="Q48" s="37">
        <f t="shared" ca="1" si="32"/>
        <v>12.992386363636367</v>
      </c>
      <c r="R48" s="37">
        <f t="shared" ca="1" si="32"/>
        <v>11.841818181818187</v>
      </c>
      <c r="S48" s="37">
        <f t="shared" ca="1" si="32"/>
        <v>10.499488636363642</v>
      </c>
      <c r="T48" s="37">
        <f t="shared" ca="1" si="32"/>
        <v>9.1571590909090972</v>
      </c>
      <c r="U48" s="37">
        <f t="shared" ca="1" si="32"/>
        <v>7.7935227272727357</v>
      </c>
      <c r="V48" s="37">
        <f t="shared" ca="1" si="32"/>
        <v>6.408579545454554</v>
      </c>
      <c r="W48" s="37">
        <f t="shared" ca="1" si="32"/>
        <v>5.5563068181818274</v>
      </c>
      <c r="X48" s="37">
        <f t="shared" ca="1" si="32"/>
        <v>4.5761931818181916</v>
      </c>
      <c r="Y48" s="37">
        <f t="shared" ca="1" si="32"/>
        <v>3.5747727272727374</v>
      </c>
      <c r="Z48" s="37">
        <f t="shared" ca="1" si="32"/>
        <v>2.7225000000000104</v>
      </c>
      <c r="AA48" s="37">
        <f t="shared" ca="1" si="32"/>
        <v>2.466818181818192</v>
      </c>
      <c r="AB48" s="37">
        <f t="shared" ca="1" si="32"/>
        <v>2.2111363636363737</v>
      </c>
      <c r="AC48" s="37">
        <f t="shared" ca="1" si="32"/>
        <v>1.9554545454545555</v>
      </c>
      <c r="AD48" s="37">
        <f t="shared" ca="1" si="32"/>
        <v>1.6997727272727372</v>
      </c>
      <c r="AE48" s="37">
        <f t="shared" ca="1" si="32"/>
        <v>1.4440909090909193</v>
      </c>
      <c r="AF48" s="37">
        <f t="shared" ca="1" si="32"/>
        <v>1.1884090909091012</v>
      </c>
      <c r="AG48" s="37">
        <f t="shared" ca="1" si="32"/>
        <v>0.93272727272728306</v>
      </c>
      <c r="AH48" s="37">
        <f t="shared" ca="1" si="32"/>
        <v>0.67704545454546494</v>
      </c>
      <c r="AI48" s="37">
        <f t="shared" ca="1" si="32"/>
        <v>0.42136363636364688</v>
      </c>
      <c r="AJ48" s="37">
        <f t="shared" ca="1" si="32"/>
        <v>0.16568181818182878</v>
      </c>
      <c r="AK48" s="37">
        <f t="shared" ca="1" si="32"/>
        <v>0</v>
      </c>
    </row>
    <row r="49" spans="2:37">
      <c r="B49" s="38" t="s">
        <v>27</v>
      </c>
      <c r="D49" s="38"/>
      <c r="E49" s="36">
        <f t="shared" ca="1" si="31"/>
        <v>60000</v>
      </c>
      <c r="F49" s="36"/>
      <c r="G49" s="37">
        <f ca="1">SUMIFS(펀드차입금!60:60,펀드차입금!54:54,펀드수익률!G44)</f>
        <v>60000</v>
      </c>
      <c r="H49" s="37">
        <f ca="1">SUMIFS(펀드차입금!60:60,펀드차입금!54:54,펀드수익률!H44)</f>
        <v>0</v>
      </c>
      <c r="I49" s="37">
        <f ca="1">SUMIFS(펀드차입금!60:60,펀드차입금!54:54,펀드수익률!I44)</f>
        <v>0</v>
      </c>
      <c r="J49" s="37">
        <f ca="1">SUMIFS(펀드차입금!60:60,펀드차입금!54:54,펀드수익률!J44)</f>
        <v>0</v>
      </c>
      <c r="K49" s="37">
        <f ca="1">SUMIFS(펀드차입금!60:60,펀드차입금!54:54,펀드수익률!K44)</f>
        <v>0</v>
      </c>
      <c r="L49" s="37">
        <f ca="1">SUMIFS(펀드차입금!60:60,펀드차입금!54:54,펀드수익률!L44)</f>
        <v>0</v>
      </c>
      <c r="M49" s="37">
        <f ca="1">SUMIFS(펀드차입금!60:60,펀드차입금!54:54,펀드수익률!M44)</f>
        <v>0</v>
      </c>
      <c r="N49" s="37">
        <f ca="1">SUMIFS(펀드차입금!60:60,펀드차입금!54:54,펀드수익률!N44)</f>
        <v>0</v>
      </c>
      <c r="O49" s="37">
        <f ca="1">SUMIFS(펀드차입금!60:60,펀드차입금!54:54,펀드수익률!O44)</f>
        <v>0</v>
      </c>
      <c r="P49" s="37">
        <f ca="1">SUMIFS(펀드차입금!60:60,펀드차입금!54:54,펀드수익률!P44)</f>
        <v>0</v>
      </c>
      <c r="Q49" s="37">
        <f ca="1">SUMIFS(펀드차입금!60:60,펀드차입금!54:54,펀드수익률!Q44)</f>
        <v>0</v>
      </c>
      <c r="R49" s="37">
        <f ca="1">SUMIFS(펀드차입금!60:60,펀드차입금!54:54,펀드수익률!R44)</f>
        <v>0</v>
      </c>
      <c r="S49" s="37">
        <f ca="1">SUMIFS(펀드차입금!60:60,펀드차입금!54:54,펀드수익률!S44)</f>
        <v>0</v>
      </c>
      <c r="T49" s="37">
        <f ca="1">SUMIFS(펀드차입금!60:60,펀드차입금!54:54,펀드수익률!T44)</f>
        <v>0</v>
      </c>
      <c r="U49" s="37">
        <f ca="1">SUMIFS(펀드차입금!60:60,펀드차입금!54:54,펀드수익률!U44)</f>
        <v>0</v>
      </c>
      <c r="V49" s="37">
        <f ca="1">SUMIFS(펀드차입금!60:60,펀드차입금!54:54,펀드수익률!V44)</f>
        <v>0</v>
      </c>
      <c r="W49" s="37">
        <f ca="1">SUMIFS(펀드차입금!60:60,펀드차입금!54:54,펀드수익률!W44)</f>
        <v>0</v>
      </c>
      <c r="X49" s="37">
        <f ca="1">SUMIFS(펀드차입금!60:60,펀드차입금!54:54,펀드수익률!X44)</f>
        <v>0</v>
      </c>
      <c r="Y49" s="37">
        <f ca="1">SUMIFS(펀드차입금!60:60,펀드차입금!54:54,펀드수익률!Y44)</f>
        <v>0</v>
      </c>
      <c r="Z49" s="37">
        <f ca="1">SUMIFS(펀드차입금!60:60,펀드차입금!54:54,펀드수익률!Z44)</f>
        <v>0</v>
      </c>
      <c r="AA49" s="37">
        <f ca="1">SUMIFS(펀드차입금!60:60,펀드차입금!54:54,펀드수익률!AA44)</f>
        <v>0</v>
      </c>
      <c r="AB49" s="37">
        <f ca="1">SUMIFS(펀드차입금!60:60,펀드차입금!54:54,펀드수익률!AB44)</f>
        <v>0</v>
      </c>
      <c r="AC49" s="37">
        <f ca="1">SUMIFS(펀드차입금!60:60,펀드차입금!54:54,펀드수익률!AC44)</f>
        <v>0</v>
      </c>
      <c r="AD49" s="37">
        <f ca="1">SUMIFS(펀드차입금!60:60,펀드차입금!54:54,펀드수익률!AD44)</f>
        <v>0</v>
      </c>
      <c r="AE49" s="37">
        <f ca="1">SUMIFS(펀드차입금!60:60,펀드차입금!54:54,펀드수익률!AE44)</f>
        <v>0</v>
      </c>
      <c r="AF49" s="37">
        <f ca="1">SUMIFS(펀드차입금!60:60,펀드차입금!54:54,펀드수익률!AF44)</f>
        <v>0</v>
      </c>
      <c r="AG49" s="37">
        <f ca="1">SUMIFS(펀드차입금!60:60,펀드차입금!54:54,펀드수익률!AG44)</f>
        <v>0</v>
      </c>
      <c r="AH49" s="37">
        <f ca="1">SUMIFS(펀드차입금!60:60,펀드차입금!54:54,펀드수익률!AH44)</f>
        <v>0</v>
      </c>
      <c r="AI49" s="37">
        <f ca="1">SUMIFS(펀드차입금!60:60,펀드차입금!54:54,펀드수익률!AI44)</f>
        <v>0</v>
      </c>
      <c r="AJ49" s="37">
        <f ca="1">SUMIFS(펀드차입금!60:60,펀드차입금!54:54,펀드수익률!AJ44)</f>
        <v>0</v>
      </c>
      <c r="AK49" s="37">
        <f ca="1">SUMIFS(펀드차입금!60:60,펀드차입금!54:54,펀드수익률!AK44)</f>
        <v>0</v>
      </c>
    </row>
    <row r="50" spans="2:37">
      <c r="B50" s="38" t="s">
        <v>20</v>
      </c>
      <c r="C50" s="43">
        <f ca="1">민감도!$E$59</f>
        <v>1.5E-3</v>
      </c>
      <c r="D50" s="38"/>
      <c r="E50" s="36">
        <f t="shared" ca="1" si="31"/>
        <v>252.92284090909112</v>
      </c>
      <c r="F50" s="36"/>
      <c r="G50" s="37">
        <f ca="1">SUMIFS(펀드차입금!59:59,펀드차입금!$54:$54,G44)*$C50/4*(G44&lt;=펀드차입금!$B$51)</f>
        <v>0</v>
      </c>
      <c r="H50" s="37">
        <f ca="1">SUMIFS(펀드차입금!59:59,펀드차입금!$54:$54,H44)*$C50/4*(H44&lt;=펀드차입금!$B$51)</f>
        <v>22.5</v>
      </c>
      <c r="I50" s="37">
        <f ca="1">SUMIFS(펀드차입금!59:59,펀드차입금!$54:$54,I44)*$C50/4*(I44&lt;=펀드차입금!$B$51)</f>
        <v>21.466022727272726</v>
      </c>
      <c r="J50" s="37">
        <f ca="1">SUMIFS(펀드차입금!59:59,펀드차입금!$54:$54,J44)*$C50/4*(J44&lt;=펀드차입금!$B$51)</f>
        <v>20.410738636363639</v>
      </c>
      <c r="K50" s="37">
        <f ca="1">SUMIFS(펀드차입금!59:59,펀드차입금!$54:$54,K44)*$C50/4*(K44&lt;=펀드차입금!$B$51)</f>
        <v>19.355454545454545</v>
      </c>
      <c r="L50" s="37">
        <f ca="1">SUMIFS(펀드차입금!59:59,펀드차입금!$54:$54,L44)*$C50/4*(L44&lt;=펀드차입금!$B$51)</f>
        <v>18.300170454545455</v>
      </c>
      <c r="M50" s="37">
        <f ca="1">SUMIFS(펀드차입금!59:59,펀드차입금!$54:$54,M44)*$C50/4*(M44&lt;=펀드차입금!$B$51)</f>
        <v>17.223579545454545</v>
      </c>
      <c r="N50" s="37">
        <f ca="1">SUMIFS(펀드차입금!59:59,펀드차입금!$54:$54,N44)*$C50/4*(N44&lt;=펀드차입금!$B$51)</f>
        <v>16.125681818181818</v>
      </c>
      <c r="O50" s="37">
        <f ca="1">SUMIFS(펀드차입금!59:59,펀드차입금!$54:$54,O44)*$C50/4*(O44&lt;=펀드차입금!$B$51)</f>
        <v>15.134318181818184</v>
      </c>
      <c r="P50" s="37">
        <f ca="1">SUMIFS(펀드차입금!59:59,펀드차입금!$54:$54,P44)*$C50/4*(P44&lt;=펀드차입금!$B$51)</f>
        <v>14.12164772727273</v>
      </c>
      <c r="Q50" s="37">
        <f ca="1">SUMIFS(펀드차입금!59:59,펀드차입금!$54:$54,Q44)*$C50/4*(Q44&lt;=펀드차입금!$B$51)</f>
        <v>12.992386363636367</v>
      </c>
      <c r="R50" s="37">
        <f ca="1">SUMIFS(펀드차입금!59:59,펀드차입금!$54:$54,R44)*$C50/4*(R44&lt;=펀드차입금!$B$51)</f>
        <v>11.841818181818187</v>
      </c>
      <c r="S50" s="37">
        <f ca="1">SUMIFS(펀드차입금!59:59,펀드차입금!$54:$54,S44)*$C50/4*(S44&lt;=펀드차입금!$B$51)</f>
        <v>10.499488636363642</v>
      </c>
      <c r="T50" s="37">
        <f ca="1">SUMIFS(펀드차입금!59:59,펀드차입금!$54:$54,T44)*$C50/4*(T44&lt;=펀드차입금!$B$51)</f>
        <v>9.1571590909090972</v>
      </c>
      <c r="U50" s="37">
        <f ca="1">SUMIFS(펀드차입금!59:59,펀드차입금!$54:$54,U44)*$C50/4*(U44&lt;=펀드차입금!$B$51)</f>
        <v>7.7935227272727357</v>
      </c>
      <c r="V50" s="37">
        <f ca="1">SUMIFS(펀드차입금!59:59,펀드차입금!$54:$54,V44)*$C50/4*(V44&lt;=펀드차입금!$B$51)</f>
        <v>6.408579545454554</v>
      </c>
      <c r="W50" s="37">
        <f ca="1">SUMIFS(펀드차입금!59:59,펀드차입금!$54:$54,W44)*$C50/4*(W44&lt;=펀드차입금!$B$51)</f>
        <v>5.5563068181818274</v>
      </c>
      <c r="X50" s="37">
        <f ca="1">SUMIFS(펀드차입금!59:59,펀드차입금!$54:$54,X44)*$C50/4*(X44&lt;=펀드차입금!$B$51)</f>
        <v>4.5761931818181916</v>
      </c>
      <c r="Y50" s="37">
        <f ca="1">SUMIFS(펀드차입금!59:59,펀드차입금!$54:$54,Y44)*$C50/4*(Y44&lt;=펀드차입금!$B$51)</f>
        <v>3.5747727272727374</v>
      </c>
      <c r="Z50" s="37">
        <f ca="1">SUMIFS(펀드차입금!59:59,펀드차입금!$54:$54,Z44)*$C50/4*(Z44&lt;=펀드차입금!$B$51)</f>
        <v>2.7225000000000104</v>
      </c>
      <c r="AA50" s="37">
        <f ca="1">SUMIFS(펀드차입금!59:59,펀드차입금!$54:$54,AA44)*$C50/4*(AA44&lt;=펀드차입금!$B$51)</f>
        <v>2.466818181818192</v>
      </c>
      <c r="AB50" s="37">
        <f ca="1">SUMIFS(펀드차입금!59:59,펀드차입금!$54:$54,AB44)*$C50/4*(AB44&lt;=펀드차입금!$B$51)</f>
        <v>2.2111363636363737</v>
      </c>
      <c r="AC50" s="37">
        <f ca="1">SUMIFS(펀드차입금!59:59,펀드차입금!$54:$54,AC44)*$C50/4*(AC44&lt;=펀드차입금!$B$51)</f>
        <v>1.9554545454545555</v>
      </c>
      <c r="AD50" s="37">
        <f ca="1">SUMIFS(펀드차입금!59:59,펀드차입금!$54:$54,AD44)*$C50/4*(AD44&lt;=펀드차입금!$B$51)</f>
        <v>1.6997727272727372</v>
      </c>
      <c r="AE50" s="37">
        <f ca="1">SUMIFS(펀드차입금!59:59,펀드차입금!$54:$54,AE44)*$C50/4*(AE44&lt;=펀드차입금!$B$51)</f>
        <v>1.4440909090909193</v>
      </c>
      <c r="AF50" s="37">
        <f ca="1">SUMIFS(펀드차입금!59:59,펀드차입금!$54:$54,AF44)*$C50/4*(AF44&lt;=펀드차입금!$B$51)</f>
        <v>1.1884090909091012</v>
      </c>
      <c r="AG50" s="37">
        <f ca="1">SUMIFS(펀드차입금!59:59,펀드차입금!$54:$54,AG44)*$C50/4*(AG44&lt;=펀드차입금!$B$51)</f>
        <v>0.93272727272728306</v>
      </c>
      <c r="AH50" s="37">
        <f ca="1">SUMIFS(펀드차입금!59:59,펀드차입금!$54:$54,AH44)*$C50/4*(AH44&lt;=펀드차입금!$B$51)</f>
        <v>0.67704545454546494</v>
      </c>
      <c r="AI50" s="37">
        <f ca="1">SUMIFS(펀드차입금!59:59,펀드차입금!$54:$54,AI44)*$C50/4*(AI44&lt;=펀드차입금!$B$51)</f>
        <v>0.42136363636364688</v>
      </c>
      <c r="AJ50" s="37">
        <f ca="1">SUMIFS(펀드차입금!59:59,펀드차입금!$54:$54,AJ44)*$C50/4*(AJ44&lt;=펀드차입금!$B$51)</f>
        <v>0.16568181818182878</v>
      </c>
      <c r="AK50" s="37">
        <f ca="1">SUMIFS(펀드차입금!59:59,펀드차입금!$54:$54,AK44)*$C50/4*(AK44&lt;=펀드차입금!$B$51)</f>
        <v>0</v>
      </c>
    </row>
    <row r="51" spans="2:37">
      <c r="B51" s="35" t="s">
        <v>21</v>
      </c>
      <c r="C51" s="35"/>
      <c r="D51" s="35"/>
      <c r="E51" s="36">
        <f t="shared" ca="1" si="31"/>
        <v>6163.5806460149533</v>
      </c>
      <c r="F51" s="36"/>
      <c r="G51" s="37">
        <f t="shared" ref="G51:AK51" ca="1" si="33">G45-G48</f>
        <v>-60000</v>
      </c>
      <c r="H51" s="37">
        <f t="shared" ca="1" si="33"/>
        <v>3309.4576587795759</v>
      </c>
      <c r="I51" s="37">
        <f t="shared" ca="1" si="33"/>
        <v>3340.9004330635112</v>
      </c>
      <c r="J51" s="37">
        <f t="shared" ca="1" si="33"/>
        <v>3303.6690372042335</v>
      </c>
      <c r="K51" s="37">
        <f t="shared" ca="1" si="33"/>
        <v>3283.7302440846815</v>
      </c>
      <c r="L51" s="37">
        <f t="shared" ca="1" si="33"/>
        <v>3320.0236850871729</v>
      </c>
      <c r="M51" s="37">
        <f t="shared" ca="1" si="33"/>
        <v>3350.4206545765869</v>
      </c>
      <c r="N51" s="37">
        <f t="shared" ca="1" si="33"/>
        <v>3034.9087291407213</v>
      </c>
      <c r="O51" s="37">
        <f t="shared" ca="1" si="33"/>
        <v>3067.6725361145691</v>
      </c>
      <c r="P51" s="37">
        <f t="shared" ca="1" si="33"/>
        <v>3357.9307956102102</v>
      </c>
      <c r="Q51" s="37">
        <f t="shared" ca="1" si="33"/>
        <v>3387.0351503735978</v>
      </c>
      <c r="R51" s="37">
        <f t="shared" ca="1" si="33"/>
        <v>3863.5868742216667</v>
      </c>
      <c r="S51" s="37">
        <f t="shared" ca="1" si="33"/>
        <v>3834.3042797322523</v>
      </c>
      <c r="T51" s="37">
        <f t="shared" ca="1" si="33"/>
        <v>3861.0945370485656</v>
      </c>
      <c r="U51" s="37">
        <f t="shared" ca="1" si="33"/>
        <v>3884.4469654420914</v>
      </c>
      <c r="V51" s="37">
        <f t="shared" ca="1" si="33"/>
        <v>2426.4453930572849</v>
      </c>
      <c r="W51" s="37">
        <f t="shared" ca="1" si="33"/>
        <v>2748.4541863325021</v>
      </c>
      <c r="X51" s="37">
        <f t="shared" ca="1" si="33"/>
        <v>2782.7614307285166</v>
      </c>
      <c r="Y51" s="37">
        <f t="shared" ca="1" si="33"/>
        <v>2360.4577453300121</v>
      </c>
      <c r="Z51" s="37">
        <f t="shared" ca="1" si="33"/>
        <v>747.120887297634</v>
      </c>
      <c r="AA51" s="37">
        <f t="shared" ca="1" si="33"/>
        <v>741.67287795765878</v>
      </c>
      <c r="AB51" s="37">
        <f t="shared" ca="1" si="33"/>
        <v>736.08290099626413</v>
      </c>
      <c r="AC51" s="37">
        <f t="shared" ca="1" si="33"/>
        <v>729.80807222914075</v>
      </c>
      <c r="AD51" s="37">
        <f t="shared" ca="1" si="33"/>
        <v>723.06134308841854</v>
      </c>
      <c r="AE51" s="37">
        <f t="shared" ca="1" si="33"/>
        <v>716.85749813200505</v>
      </c>
      <c r="AF51" s="37">
        <f t="shared" ca="1" si="33"/>
        <v>710.98358592777095</v>
      </c>
      <c r="AG51" s="37">
        <f t="shared" ca="1" si="33"/>
        <v>704.70875716064756</v>
      </c>
      <c r="AH51" s="37">
        <f t="shared" ca="1" si="33"/>
        <v>698.05799813200508</v>
      </c>
      <c r="AI51" s="37">
        <f t="shared" ca="1" si="33"/>
        <v>692.04211830635131</v>
      </c>
      <c r="AJ51" s="37">
        <f t="shared" ca="1" si="33"/>
        <v>445.88427085930618</v>
      </c>
      <c r="AK51" s="37">
        <f t="shared" ca="1" si="33"/>
        <v>0</v>
      </c>
    </row>
    <row r="52" spans="2:37">
      <c r="B52" s="40" t="s">
        <v>22</v>
      </c>
      <c r="C52" s="40"/>
      <c r="D52" s="40"/>
      <c r="E52" s="4746">
        <f ca="1">XIRR(G51:AK51,G44:AK44)</f>
        <v>3.7004634737968459E-2</v>
      </c>
      <c r="F52" s="41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</row>
    <row r="53" spans="2:37">
      <c r="B53" s="35" t="s">
        <v>23</v>
      </c>
      <c r="C53" s="35"/>
      <c r="D53" s="35"/>
      <c r="E53" s="36">
        <f t="shared" ca="1" si="31"/>
        <v>6416.5034869240462</v>
      </c>
      <c r="F53" s="36"/>
      <c r="G53" s="37">
        <f ca="1">G51+G50</f>
        <v>-60000</v>
      </c>
      <c r="H53" s="37">
        <f t="shared" ref="H53:AK53" ca="1" si="34">H51+H50</f>
        <v>3331.9576587795759</v>
      </c>
      <c r="I53" s="37">
        <f t="shared" ca="1" si="34"/>
        <v>3362.3664557907837</v>
      </c>
      <c r="J53" s="37">
        <f t="shared" ca="1" si="34"/>
        <v>3324.079775840597</v>
      </c>
      <c r="K53" s="37">
        <f t="shared" ca="1" si="34"/>
        <v>3303.085698630136</v>
      </c>
      <c r="L53" s="37">
        <f t="shared" ca="1" si="34"/>
        <v>3338.3238555417183</v>
      </c>
      <c r="M53" s="37">
        <f t="shared" ca="1" si="34"/>
        <v>3367.6442341220413</v>
      </c>
      <c r="N53" s="37">
        <f t="shared" ca="1" si="34"/>
        <v>3051.0344109589032</v>
      </c>
      <c r="O53" s="37">
        <f t="shared" ca="1" si="34"/>
        <v>3082.8068542963874</v>
      </c>
      <c r="P53" s="37">
        <f t="shared" ca="1" si="34"/>
        <v>3372.0524433374831</v>
      </c>
      <c r="Q53" s="37">
        <f t="shared" ca="1" si="34"/>
        <v>3400.0275367372342</v>
      </c>
      <c r="R53" s="37">
        <f t="shared" ca="1" si="34"/>
        <v>3875.428692403485</v>
      </c>
      <c r="S53" s="37">
        <f t="shared" ca="1" si="34"/>
        <v>3844.8037683686161</v>
      </c>
      <c r="T53" s="37">
        <f t="shared" ca="1" si="34"/>
        <v>3870.2516961394749</v>
      </c>
      <c r="U53" s="37">
        <f t="shared" ca="1" si="34"/>
        <v>3892.2404881693642</v>
      </c>
      <c r="V53" s="37">
        <f t="shared" ca="1" si="34"/>
        <v>2432.8539726027393</v>
      </c>
      <c r="W53" s="37">
        <f t="shared" ca="1" si="34"/>
        <v>2754.0104931506839</v>
      </c>
      <c r="X53" s="37">
        <f t="shared" ca="1" si="34"/>
        <v>2787.337623910335</v>
      </c>
      <c r="Y53" s="37">
        <f t="shared" ca="1" si="34"/>
        <v>2364.032518057285</v>
      </c>
      <c r="Z53" s="37">
        <f t="shared" ca="1" si="34"/>
        <v>749.84338729763397</v>
      </c>
      <c r="AA53" s="37">
        <f t="shared" ca="1" si="34"/>
        <v>744.139696139477</v>
      </c>
      <c r="AB53" s="37">
        <f t="shared" ca="1" si="34"/>
        <v>738.29403735990047</v>
      </c>
      <c r="AC53" s="37">
        <f t="shared" ca="1" si="34"/>
        <v>731.76352677459533</v>
      </c>
      <c r="AD53" s="37">
        <f t="shared" ca="1" si="34"/>
        <v>724.76111581569126</v>
      </c>
      <c r="AE53" s="37">
        <f t="shared" ca="1" si="34"/>
        <v>718.30158904109601</v>
      </c>
      <c r="AF53" s="37">
        <f t="shared" ca="1" si="34"/>
        <v>712.17199501868004</v>
      </c>
      <c r="AG53" s="37">
        <f t="shared" ca="1" si="34"/>
        <v>705.6414844333749</v>
      </c>
      <c r="AH53" s="37">
        <f t="shared" ca="1" si="34"/>
        <v>698.73504358655055</v>
      </c>
      <c r="AI53" s="37">
        <f t="shared" ca="1" si="34"/>
        <v>692.46348194271491</v>
      </c>
      <c r="AJ53" s="37">
        <f t="shared" ca="1" si="34"/>
        <v>446.04995267748802</v>
      </c>
      <c r="AK53" s="37">
        <f t="shared" ca="1" si="34"/>
        <v>0</v>
      </c>
    </row>
    <row r="54" spans="2:37">
      <c r="B54" s="40" t="s">
        <v>24</v>
      </c>
      <c r="C54" s="40"/>
      <c r="D54" s="40"/>
      <c r="E54" s="4746">
        <f ca="1">XIRR(G53:AK53,G44:AK44)</f>
        <v>3.8544651865959165E-2</v>
      </c>
      <c r="F54" s="42"/>
    </row>
    <row r="55" spans="2:37">
      <c r="B55" s="5167"/>
      <c r="C55" s="5167"/>
      <c r="D55" s="5167"/>
      <c r="E55" s="5210"/>
      <c r="F55" s="42"/>
    </row>
    <row r="57" spans="2:37">
      <c r="E57" s="5210"/>
      <c r="AB57" s="16">
        <f>29*3</f>
        <v>87</v>
      </c>
    </row>
    <row r="58" spans="2:37" ht="14.25" customHeight="1" thickBot="1">
      <c r="E58" s="5210"/>
      <c r="G58" s="5198" t="s">
        <v>322</v>
      </c>
      <c r="H58" s="5199" t="s">
        <v>14</v>
      </c>
      <c r="I58" s="5200">
        <v>2022</v>
      </c>
      <c r="J58" s="5200">
        <v>2023</v>
      </c>
      <c r="K58" s="5200">
        <v>2024</v>
      </c>
      <c r="L58" s="5200">
        <v>2025</v>
      </c>
      <c r="M58" s="5200">
        <v>2026</v>
      </c>
      <c r="N58" s="5200">
        <v>2027</v>
      </c>
      <c r="O58" s="5200">
        <v>2028</v>
      </c>
      <c r="P58" s="5201">
        <v>2029</v>
      </c>
      <c r="AB58" s="16">
        <f>AB57/12</f>
        <v>7.25</v>
      </c>
    </row>
    <row r="59" spans="2:37" ht="14.25" customHeight="1" thickBot="1">
      <c r="E59" s="5210"/>
      <c r="G59" s="5202" t="s">
        <v>5166</v>
      </c>
      <c r="H59" s="5204">
        <f t="shared" ref="H59" ca="1" si="35">SUM(I59:P59)</f>
        <v>88522.332943345507</v>
      </c>
      <c r="I59" s="5204">
        <f ca="1">SUM(I60:I62)</f>
        <v>88215.337960235483</v>
      </c>
      <c r="J59" s="5204">
        <f t="shared" ref="J59:P59" ca="1" si="36">SUM(J60:J62)</f>
        <v>110.61440845324998</v>
      </c>
      <c r="K59" s="5204">
        <f t="shared" ca="1" si="36"/>
        <v>85.76190892324999</v>
      </c>
      <c r="L59" s="5204">
        <f t="shared" ca="1" si="36"/>
        <v>57.726967192250022</v>
      </c>
      <c r="M59" s="5204">
        <f t="shared" ca="1" si="36"/>
        <v>29.553789067250044</v>
      </c>
      <c r="N59" s="5204">
        <f t="shared" ca="1" si="36"/>
        <v>13.745505786000056</v>
      </c>
      <c r="O59" s="5204">
        <f t="shared" ca="1" si="36"/>
        <v>7.7352277860000589</v>
      </c>
      <c r="P59" s="5204">
        <f t="shared" ca="1" si="36"/>
        <v>1.8571759020000469</v>
      </c>
    </row>
    <row r="60" spans="2:37" ht="14.25" customHeight="1" thickBot="1">
      <c r="G60" s="5203" t="s">
        <v>5170</v>
      </c>
      <c r="H60" s="5204">
        <f ca="1">SUM(I60:P60)</f>
        <v>87699.743999999977</v>
      </c>
      <c r="I60" s="5204">
        <f ca="1">민감도!E51</f>
        <v>87699.743999999977</v>
      </c>
      <c r="J60" s="5204" t="s">
        <v>5167</v>
      </c>
      <c r="K60" s="5204" t="s">
        <v>1411</v>
      </c>
      <c r="L60" s="5204" t="s">
        <v>1411</v>
      </c>
      <c r="M60" s="5204" t="s">
        <v>1411</v>
      </c>
      <c r="N60" s="5204" t="s">
        <v>1411</v>
      </c>
      <c r="O60" s="5204" t="s">
        <v>1411</v>
      </c>
      <c r="P60" s="5204" t="s">
        <v>1411</v>
      </c>
    </row>
    <row r="61" spans="2:37" ht="14.25" customHeight="1" thickBot="1">
      <c r="G61" s="5203" t="s">
        <v>5171</v>
      </c>
      <c r="H61" s="5204">
        <f t="shared" ref="H61:H67" ca="1" si="37">SUM(I61:P61)</f>
        <v>451</v>
      </c>
      <c r="I61" s="5204">
        <f ca="1">민감도!$E$66</f>
        <v>451</v>
      </c>
      <c r="J61" s="5204" t="s">
        <v>1411</v>
      </c>
      <c r="K61" s="5204" t="s">
        <v>1411</v>
      </c>
      <c r="L61" s="5204" t="s">
        <v>1411</v>
      </c>
      <c r="M61" s="5204" t="s">
        <v>1411</v>
      </c>
      <c r="N61" s="5204" t="s">
        <v>1411</v>
      </c>
      <c r="O61" s="5204" t="s">
        <v>1411</v>
      </c>
      <c r="P61" s="5204" t="s">
        <v>1411</v>
      </c>
    </row>
    <row r="62" spans="2:37" ht="14.25" customHeight="1" thickBot="1">
      <c r="G62" s="5203" t="s">
        <v>4956</v>
      </c>
      <c r="H62" s="5204">
        <f t="shared" ca="1" si="37"/>
        <v>371.58894334550013</v>
      </c>
      <c r="I62" s="5204">
        <f t="shared" ref="I62:P62" ca="1" si="38">SUMIF(9:9,I58,21:21)</f>
        <v>64.593960235499978</v>
      </c>
      <c r="J62" s="5204">
        <f t="shared" ca="1" si="38"/>
        <v>110.61440845324998</v>
      </c>
      <c r="K62" s="5204">
        <f t="shared" ca="1" si="38"/>
        <v>85.76190892324999</v>
      </c>
      <c r="L62" s="5204">
        <f t="shared" ca="1" si="38"/>
        <v>57.726967192250022</v>
      </c>
      <c r="M62" s="5204">
        <f t="shared" ca="1" si="38"/>
        <v>29.553789067250044</v>
      </c>
      <c r="N62" s="5204">
        <f t="shared" ca="1" si="38"/>
        <v>13.745505786000056</v>
      </c>
      <c r="O62" s="5204">
        <f t="shared" ca="1" si="38"/>
        <v>7.7352277860000589</v>
      </c>
      <c r="P62" s="5204">
        <f t="shared" ca="1" si="38"/>
        <v>1.8571759020000469</v>
      </c>
    </row>
    <row r="63" spans="2:37" ht="14.25" customHeight="1" thickBot="1">
      <c r="G63" s="5202" t="s">
        <v>5168</v>
      </c>
      <c r="H63" s="5204">
        <f ca="1">SUM(I63:P63)</f>
        <v>98761.810146999982</v>
      </c>
      <c r="I63" s="5204">
        <f t="shared" ref="I63:P63" ca="1" si="39">SUM(I64:I67)</f>
        <v>9962.559792</v>
      </c>
      <c r="J63" s="5204">
        <f t="shared" ca="1" si="39"/>
        <v>19798.070210500002</v>
      </c>
      <c r="K63" s="5204">
        <f t="shared" ca="1" si="39"/>
        <v>19154.980577499999</v>
      </c>
      <c r="L63" s="5204">
        <f t="shared" ca="1" si="39"/>
        <v>22896.762170499998</v>
      </c>
      <c r="M63" s="5204">
        <f t="shared" ca="1" si="39"/>
        <v>15255.287720499997</v>
      </c>
      <c r="N63" s="5204">
        <f t="shared" ca="1" si="39"/>
        <v>4407.6232679999994</v>
      </c>
      <c r="O63" s="5204">
        <f t="shared" ca="1" si="39"/>
        <v>4230.2458919999999</v>
      </c>
      <c r="P63" s="5204">
        <f t="shared" ca="1" si="39"/>
        <v>3056.2805159999884</v>
      </c>
    </row>
    <row r="64" spans="2:37" ht="14.25" customHeight="1" thickBot="1">
      <c r="G64" s="5203" t="s">
        <v>5216</v>
      </c>
      <c r="H64" s="5204">
        <f t="shared" ca="1" si="37"/>
        <v>4194.5626600759606</v>
      </c>
      <c r="I64" s="5204">
        <f t="shared" ref="I64:P64" ca="1" si="40">SUMIF($9:$9,I$58,33:33)+SUMIF($9:$9,I$58,16:16)</f>
        <v>654.26848645994687</v>
      </c>
      <c r="J64" s="5204">
        <f t="shared" ca="1" si="40"/>
        <v>1103.7127568503631</v>
      </c>
      <c r="K64" s="5204">
        <f t="shared" ca="1" si="40"/>
        <v>889.32828513969389</v>
      </c>
      <c r="L64" s="5204">
        <f t="shared" ca="1" si="40"/>
        <v>616.27263905543168</v>
      </c>
      <c r="M64" s="5204">
        <f t="shared" ca="1" si="40"/>
        <v>305.23615065774885</v>
      </c>
      <c r="N64" s="5204">
        <f t="shared" ca="1" si="40"/>
        <v>164.00334770112178</v>
      </c>
      <c r="O64" s="5204">
        <f t="shared" ca="1" si="40"/>
        <v>89.790434963886483</v>
      </c>
      <c r="P64" s="5204">
        <f t="shared" ca="1" si="40"/>
        <v>371.9505592477675</v>
      </c>
    </row>
    <row r="65" spans="7:16" ht="14.25" customHeight="1" thickBot="1">
      <c r="G65" s="5203" t="s">
        <v>5217</v>
      </c>
      <c r="H65" s="5204">
        <f t="shared" ca="1" si="37"/>
        <v>6416.503486924039</v>
      </c>
      <c r="I65" s="5204">
        <f t="shared" ref="I65:P65" ca="1" si="41">+SUMIF($9:$9,I$58,14:14)</f>
        <v>1122.9604782067249</v>
      </c>
      <c r="J65" s="5204">
        <f t="shared" ca="1" si="41"/>
        <v>1906.3153823163138</v>
      </c>
      <c r="K65" s="5204">
        <f t="shared" ca="1" si="41"/>
        <v>1482.2848816936491</v>
      </c>
      <c r="L65" s="5204">
        <f t="shared" ca="1" si="41"/>
        <v>994.08828144458334</v>
      </c>
      <c r="M65" s="5204">
        <f t="shared" ca="1" si="41"/>
        <v>508.68915317559248</v>
      </c>
      <c r="N65" s="5204">
        <f t="shared" ca="1" si="41"/>
        <v>236.7679202988802</v>
      </c>
      <c r="O65" s="5204">
        <f t="shared" ca="1" si="41"/>
        <v>133.6034570361156</v>
      </c>
      <c r="P65" s="5204">
        <f t="shared" ca="1" si="41"/>
        <v>31.793932752180126</v>
      </c>
    </row>
    <row r="66" spans="7:16" ht="14.25" customHeight="1" thickBot="1">
      <c r="G66" s="5203" t="s">
        <v>5218</v>
      </c>
      <c r="H66" s="5204">
        <f t="shared" ca="1" si="37"/>
        <v>60000.000000000007</v>
      </c>
      <c r="I66" s="5204">
        <f t="shared" ref="I66:P66" ca="1" si="42">SUMIF($9:$9,I$58,13:13)</f>
        <v>5571.3636363636342</v>
      </c>
      <c r="J66" s="5204">
        <f t="shared" ca="1" si="42"/>
        <v>11426.818181818178</v>
      </c>
      <c r="K66" s="5204">
        <f t="shared" ca="1" si="42"/>
        <v>11423.636363636357</v>
      </c>
      <c r="L66" s="5204">
        <f t="shared" ca="1" si="42"/>
        <v>14488.636363636357</v>
      </c>
      <c r="M66" s="5204">
        <f t="shared" ca="1" si="42"/>
        <v>9829.5454545454504</v>
      </c>
      <c r="N66" s="5204">
        <f t="shared" ca="1" si="42"/>
        <v>2727.2727272727266</v>
      </c>
      <c r="O66" s="5204">
        <f t="shared" ca="1" si="42"/>
        <v>2727.2727272727266</v>
      </c>
      <c r="P66" s="5204">
        <f t="shared" ca="1" si="42"/>
        <v>1805.4545454545732</v>
      </c>
    </row>
    <row r="67" spans="7:16" ht="14.25" customHeight="1" thickBot="1">
      <c r="G67" s="5203" t="s">
        <v>5219</v>
      </c>
      <c r="H67" s="5204">
        <f t="shared" ca="1" si="37"/>
        <v>28150.743999999981</v>
      </c>
      <c r="I67" s="5204">
        <f t="shared" ref="I67:P67" ca="1" si="43">SUMIF($9:$9,I$58,15:15)</f>
        <v>2613.9671909696935</v>
      </c>
      <c r="J67" s="5204">
        <f t="shared" ca="1" si="43"/>
        <v>5361.2238895151449</v>
      </c>
      <c r="K67" s="5204">
        <f t="shared" ca="1" si="43"/>
        <v>5359.7310470302964</v>
      </c>
      <c r="L67" s="5204">
        <f t="shared" ca="1" si="43"/>
        <v>6797.7648863636277</v>
      </c>
      <c r="M67" s="5204">
        <f t="shared" ca="1" si="43"/>
        <v>4611.8169621212064</v>
      </c>
      <c r="N67" s="5204">
        <f t="shared" ca="1" si="43"/>
        <v>1279.5792727272712</v>
      </c>
      <c r="O67" s="5204">
        <f t="shared" ca="1" si="43"/>
        <v>1279.5792727272712</v>
      </c>
      <c r="P67" s="5204">
        <f t="shared" ca="1" si="43"/>
        <v>847.08147854546769</v>
      </c>
    </row>
    <row r="68" spans="7:16" ht="14.25" customHeight="1" thickBot="1">
      <c r="G68" s="5202" t="s">
        <v>5169</v>
      </c>
      <c r="H68" s="5204">
        <f ca="1">SUM(I68:P68)</f>
        <v>10239.477203654504</v>
      </c>
      <c r="I68" s="5204">
        <f ca="1">I63-I59</f>
        <v>-78252.778168235483</v>
      </c>
      <c r="J68" s="5204">
        <f t="shared" ref="J68:P68" ca="1" si="44">J63-J59</f>
        <v>19687.455802046752</v>
      </c>
      <c r="K68" s="5204">
        <f t="shared" ca="1" si="44"/>
        <v>19069.218668576748</v>
      </c>
      <c r="L68" s="5204">
        <f t="shared" ca="1" si="44"/>
        <v>22839.035203307747</v>
      </c>
      <c r="M68" s="5204">
        <f t="shared" ca="1" si="44"/>
        <v>15225.733931432747</v>
      </c>
      <c r="N68" s="5204">
        <f t="shared" ca="1" si="44"/>
        <v>4393.8777622139996</v>
      </c>
      <c r="O68" s="5204">
        <f t="shared" ca="1" si="44"/>
        <v>4222.5106642139999</v>
      </c>
      <c r="P68" s="5204">
        <f t="shared" ca="1" si="44"/>
        <v>3054.4233400979883</v>
      </c>
    </row>
    <row r="69" spans="7:16" ht="14.25" customHeight="1"/>
    <row r="71" spans="7:16" ht="12.75" thickBot="1"/>
    <row r="72" spans="7:16" ht="17.45" customHeight="1">
      <c r="G72" s="5518" t="s">
        <v>5006</v>
      </c>
      <c r="H72" s="5206" t="s">
        <v>5172</v>
      </c>
      <c r="I72" s="5206" t="s">
        <v>5330</v>
      </c>
      <c r="J72" s="5206" t="s">
        <v>5331</v>
      </c>
    </row>
    <row r="73" spans="7:16" ht="33">
      <c r="G73" s="5519"/>
      <c r="H73" s="5207" t="s">
        <v>5329</v>
      </c>
      <c r="I73" s="5207" t="s">
        <v>5173</v>
      </c>
      <c r="J73" s="5207" t="s">
        <v>5173</v>
      </c>
      <c r="M73" s="16" t="s">
        <v>5220</v>
      </c>
      <c r="N73" s="16" t="s">
        <v>5221</v>
      </c>
      <c r="O73" s="16" t="s">
        <v>5222</v>
      </c>
    </row>
    <row r="74" spans="7:16" ht="13.5">
      <c r="G74" s="5208" t="s">
        <v>5236</v>
      </c>
      <c r="H74" s="5209">
        <f>민감도!H103</f>
        <v>4.0427640080451979E-2</v>
      </c>
      <c r="I74" s="5209">
        <f>민감도!H105</f>
        <v>4.7620818018913269E-2</v>
      </c>
      <c r="J74" s="5209">
        <f>민감도!H104</f>
        <v>3.7004634737968459E-2</v>
      </c>
      <c r="L74" s="16" t="s">
        <v>5223</v>
      </c>
      <c r="M74" s="5209">
        <f>민감도!G103</f>
        <v>4.160479009151459E-2</v>
      </c>
      <c r="N74" s="5209">
        <f>민감도!G105</f>
        <v>5.1261338591575625E-2</v>
      </c>
      <c r="O74" s="5209">
        <f>민감도!G104</f>
        <v>3.7004634737968459E-2</v>
      </c>
    </row>
    <row r="75" spans="7:16" ht="13.5">
      <c r="G75" s="5208" t="s">
        <v>88</v>
      </c>
      <c r="H75" s="5209">
        <f>민감도!I103</f>
        <v>4.1016331315040594E-2</v>
      </c>
      <c r="I75" s="5209">
        <f>민감도!I105</f>
        <v>4.9442103505134602E-2</v>
      </c>
      <c r="J75" s="5209">
        <f>민감도!I104</f>
        <v>3.7004634737968459E-2</v>
      </c>
      <c r="L75" s="16" t="s">
        <v>5224</v>
      </c>
      <c r="M75" s="5209">
        <f>민감도!G100</f>
        <v>4.3139651417732239E-2</v>
      </c>
      <c r="N75" s="5209">
        <f>민감도!G102</f>
        <v>5.2786615490913402E-2</v>
      </c>
      <c r="O75" s="5209">
        <f>민감도!G101</f>
        <v>3.8544651865959165E-2</v>
      </c>
    </row>
    <row r="76" spans="7:16" ht="13.5">
      <c r="G76" s="5208" t="s">
        <v>5239</v>
      </c>
      <c r="H76" s="5209">
        <f>민감도!G103</f>
        <v>4.160479009151459E-2</v>
      </c>
      <c r="I76" s="5209">
        <f>민감도!G105</f>
        <v>5.1261338591575625E-2</v>
      </c>
      <c r="J76" s="5209">
        <f>민감도!G104</f>
        <v>3.7004634737968459E-2</v>
      </c>
    </row>
    <row r="77" spans="7:16" ht="13.5">
      <c r="G77" s="5208" t="s">
        <v>5237</v>
      </c>
      <c r="H77" s="5209">
        <f>민감도!J103</f>
        <v>4.2193016409873968E-2</v>
      </c>
      <c r="I77" s="5209">
        <f>민감도!J105</f>
        <v>5.3078535199165347E-2</v>
      </c>
      <c r="J77" s="5209">
        <f>민감도!J104</f>
        <v>3.7004634737968459E-2</v>
      </c>
    </row>
    <row r="78" spans="7:16" ht="13.5">
      <c r="G78" s="5208" t="s">
        <v>5238</v>
      </c>
      <c r="H78" s="5209">
        <f>민감도!K103</f>
        <v>4.2781010270118713E-2</v>
      </c>
      <c r="I78" s="5209">
        <f>민감도!K105</f>
        <v>5.4893693327903753E-2</v>
      </c>
      <c r="J78" s="5209">
        <f>민감도!K104</f>
        <v>3.7004634737968459E-2</v>
      </c>
    </row>
    <row r="82" spans="7:9">
      <c r="G82" s="16" t="s">
        <v>5174</v>
      </c>
      <c r="H82" s="5214">
        <v>3818.17018181818</v>
      </c>
      <c r="I82" s="5214">
        <v>188.68181818181813</v>
      </c>
    </row>
    <row r="83" spans="7:9">
      <c r="G83" s="16" t="s">
        <v>5175</v>
      </c>
      <c r="H83" s="5214">
        <v>3897.7153939393911</v>
      </c>
      <c r="I83" s="5214">
        <v>192.61268939393932</v>
      </c>
    </row>
    <row r="84" spans="7:9">
      <c r="G84" s="16" t="s">
        <v>5176</v>
      </c>
      <c r="H84" s="5214">
        <v>3897.7153939393911</v>
      </c>
      <c r="I84" s="5214">
        <v>192.61268939393932</v>
      </c>
    </row>
    <row r="85" spans="7:9">
      <c r="G85" s="16" t="s">
        <v>5177</v>
      </c>
      <c r="H85" s="5214">
        <v>3897.7153939393911</v>
      </c>
      <c r="I85" s="5214">
        <v>192.61268939393932</v>
      </c>
    </row>
    <row r="86" spans="7:9">
      <c r="G86" s="16" t="s">
        <v>5178</v>
      </c>
      <c r="H86" s="5214">
        <v>3977.2606060606045</v>
      </c>
      <c r="I86" s="5214">
        <v>196.54356060606057</v>
      </c>
    </row>
    <row r="87" spans="7:9">
      <c r="G87" s="16" t="s">
        <v>5181</v>
      </c>
      <c r="H87" s="5214">
        <v>4056.8058181818151</v>
      </c>
      <c r="I87" s="5214">
        <v>200.47443181818173</v>
      </c>
    </row>
    <row r="88" spans="7:9">
      <c r="G88" s="16" t="s">
        <v>5182</v>
      </c>
      <c r="H88" s="5214">
        <v>3659.0797575757551</v>
      </c>
      <c r="I88" s="5214">
        <v>180.82007575757569</v>
      </c>
    </row>
    <row r="89" spans="7:9">
      <c r="G89" s="16" t="s">
        <v>5184</v>
      </c>
      <c r="H89" s="5214">
        <v>3738.6249696969671</v>
      </c>
      <c r="I89" s="5214">
        <v>184.75094696969688</v>
      </c>
    </row>
    <row r="90" spans="7:9">
      <c r="G90" s="16" t="s">
        <v>5185</v>
      </c>
      <c r="H90" s="5214">
        <v>4215.89624242424</v>
      </c>
      <c r="I90" s="5214">
        <v>208.33617424242414</v>
      </c>
    </row>
    <row r="91" spans="7:9">
      <c r="G91" s="16" t="s">
        <v>5179</v>
      </c>
      <c r="H91" s="5214">
        <v>4295.4414545454511</v>
      </c>
      <c r="I91" s="5214">
        <v>212.26704545454535</v>
      </c>
    </row>
    <row r="92" spans="7:9">
      <c r="G92" s="16" t="s">
        <v>5180</v>
      </c>
      <c r="H92" s="5214">
        <v>5011.3483636363599</v>
      </c>
      <c r="I92" s="5214">
        <v>247.64488636363623</v>
      </c>
    </row>
    <row r="93" spans="7:9">
      <c r="G93" s="16" t="s">
        <v>5183</v>
      </c>
      <c r="H93" s="5214">
        <v>5011.3483636363599</v>
      </c>
      <c r="I93" s="5214">
        <v>247.64488636363623</v>
      </c>
    </row>
    <row r="94" spans="7:9">
      <c r="G94" s="16" t="s">
        <v>5186</v>
      </c>
      <c r="H94" s="5214">
        <v>5090.8935757575709</v>
      </c>
      <c r="I94" s="5214">
        <v>251.57575757575745</v>
      </c>
    </row>
    <row r="95" spans="7:9">
      <c r="G95" s="16" t="s">
        <v>5187</v>
      </c>
      <c r="H95" s="5214">
        <v>5170.4387878787848</v>
      </c>
      <c r="I95" s="5214">
        <v>255.5066287878787</v>
      </c>
    </row>
    <row r="96" spans="7:9">
      <c r="G96" s="16" t="s">
        <v>5188</v>
      </c>
      <c r="H96" s="5214">
        <v>3181.8084848484832</v>
      </c>
      <c r="I96" s="5214">
        <v>157.23484848484844</v>
      </c>
    </row>
    <row r="97" spans="7:9">
      <c r="G97" s="16" t="s">
        <v>5189</v>
      </c>
      <c r="H97" s="5214">
        <v>3659.0797575757551</v>
      </c>
      <c r="I97" s="5214">
        <v>180.82007575757569</v>
      </c>
    </row>
    <row r="98" spans="7:9">
      <c r="G98" s="16" t="s">
        <v>5190</v>
      </c>
      <c r="H98" s="5214">
        <v>3738.6249696969671</v>
      </c>
      <c r="I98" s="5214">
        <v>184.75094696969688</v>
      </c>
    </row>
    <row r="99" spans="7:9">
      <c r="G99" s="16" t="s">
        <v>5191</v>
      </c>
      <c r="H99" s="5214">
        <v>3181.8084848484832</v>
      </c>
      <c r="I99" s="5214">
        <v>157.23484848484844</v>
      </c>
    </row>
    <row r="100" spans="7:9">
      <c r="G100" s="16" t="s">
        <v>5192</v>
      </c>
      <c r="H100" s="5214">
        <v>954.54254545454501</v>
      </c>
      <c r="I100" s="5214">
        <v>47.170454545454533</v>
      </c>
    </row>
    <row r="101" spans="7:9">
      <c r="G101" s="16" t="s">
        <v>5193</v>
      </c>
      <c r="H101" s="5214">
        <v>954.54254545454501</v>
      </c>
      <c r="I101" s="5214">
        <v>47.170454545454533</v>
      </c>
    </row>
    <row r="102" spans="7:9">
      <c r="G102" s="16" t="s">
        <v>5194</v>
      </c>
      <c r="H102" s="5214">
        <v>954.54254545454501</v>
      </c>
      <c r="I102" s="5214">
        <v>47.170454545454533</v>
      </c>
    </row>
    <row r="103" spans="7:9">
      <c r="G103" s="16" t="s">
        <v>5195</v>
      </c>
      <c r="H103" s="5214">
        <v>954.54254545454501</v>
      </c>
      <c r="I103" s="5214">
        <v>47.170454545454533</v>
      </c>
    </row>
    <row r="104" spans="7:9">
      <c r="G104" s="16" t="s">
        <v>5196</v>
      </c>
      <c r="H104" s="5214">
        <v>954.54254545454501</v>
      </c>
      <c r="I104" s="5214">
        <v>47.170454545454533</v>
      </c>
    </row>
    <row r="105" spans="7:9">
      <c r="G105" s="16" t="s">
        <v>5197</v>
      </c>
      <c r="H105" s="5214">
        <v>954.54254545454501</v>
      </c>
      <c r="I105" s="5214">
        <v>47.170454545454533</v>
      </c>
    </row>
    <row r="106" spans="7:9">
      <c r="G106" s="16" t="s">
        <v>5198</v>
      </c>
      <c r="H106" s="5214">
        <v>954.54254545454501</v>
      </c>
      <c r="I106" s="5214">
        <v>47.170454545454533</v>
      </c>
    </row>
    <row r="107" spans="7:9">
      <c r="G107" s="16" t="s">
        <v>5199</v>
      </c>
      <c r="H107" s="5214">
        <v>954.54254545454501</v>
      </c>
      <c r="I107" s="5214">
        <v>47.170454545454533</v>
      </c>
    </row>
    <row r="108" spans="7:9">
      <c r="G108" s="16" t="s">
        <v>5200</v>
      </c>
      <c r="H108" s="5214">
        <v>954.54254545454501</v>
      </c>
      <c r="I108" s="5214">
        <v>47.170454545454533</v>
      </c>
    </row>
    <row r="109" spans="7:9">
      <c r="G109" s="16" t="s">
        <v>5201</v>
      </c>
      <c r="H109" s="5214">
        <v>954.54254545454501</v>
      </c>
      <c r="I109" s="5214">
        <v>47.170454545454533</v>
      </c>
    </row>
    <row r="110" spans="7:9">
      <c r="G110" s="16" t="s">
        <v>5202</v>
      </c>
      <c r="H110" s="5214">
        <v>954.54254545459912</v>
      </c>
      <c r="I110" s="5214">
        <v>47.170454545455954</v>
      </c>
    </row>
    <row r="111" spans="7:9">
      <c r="H111" s="5214">
        <f>SUM(H82:H110)</f>
        <v>83999.744000000035</v>
      </c>
      <c r="I111" s="5214">
        <f>SUM(I82:I110)</f>
        <v>4150.9999999999991</v>
      </c>
    </row>
  </sheetData>
  <mergeCells count="1">
    <mergeCell ref="G72:G73"/>
  </mergeCells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682DD-FF3D-456C-B120-2F6A8A376F2B}">
  <sheetPr codeName="Sheet19"/>
  <dimension ref="A1:AS103"/>
  <sheetViews>
    <sheetView showGridLines="0" topLeftCell="A3" zoomScale="115" zoomScaleNormal="115" workbookViewId="0">
      <pane xSplit="4" ySplit="4" topLeftCell="E7" activePane="bottomRight" state="frozen"/>
      <selection activeCell="C10" sqref="C10"/>
      <selection pane="topRight" activeCell="C10" sqref="C10"/>
      <selection pane="bottomLeft" activeCell="C10" sqref="C10"/>
      <selection pane="bottomRight" activeCell="H8" sqref="H8"/>
    </sheetView>
  </sheetViews>
  <sheetFormatPr defaultColWidth="0" defaultRowHeight="12" outlineLevelRow="1"/>
  <cols>
    <col min="1" max="1" width="3.6640625" style="50" bestFit="1" customWidth="1"/>
    <col min="2" max="2" width="19.33203125" style="50" customWidth="1"/>
    <col min="3" max="3" width="9.44140625" style="50" customWidth="1"/>
    <col min="4" max="4" width="9.44140625" style="50" bestFit="1" customWidth="1"/>
    <col min="5" max="5" width="1.44140625" style="50" customWidth="1"/>
    <col min="6" max="36" width="9.21875" style="50" customWidth="1"/>
    <col min="37" max="37" width="1.33203125" style="50" customWidth="1"/>
    <col min="38" max="45" width="0" style="50" hidden="1" customWidth="1"/>
    <col min="46" max="16384" width="8.88671875" style="50" hidden="1"/>
  </cols>
  <sheetData>
    <row r="1" spans="2:45" hidden="1"/>
    <row r="2" spans="2:45" hidden="1"/>
    <row r="3" spans="2:45">
      <c r="B3" s="50" t="s">
        <v>28</v>
      </c>
    </row>
    <row r="4" spans="2:45" s="25" customFormat="1" ht="14.25" customHeight="1">
      <c r="B4" s="5520" t="s">
        <v>59</v>
      </c>
      <c r="C4" s="51"/>
      <c r="D4" s="5523" t="s">
        <v>14</v>
      </c>
      <c r="E4" s="23"/>
      <c r="F4" s="52">
        <v>2022</v>
      </c>
      <c r="G4" s="5218">
        <v>2022</v>
      </c>
      <c r="H4" s="24">
        <v>2022</v>
      </c>
      <c r="I4" s="24">
        <v>2022</v>
      </c>
      <c r="J4" s="24">
        <v>2023</v>
      </c>
      <c r="K4" s="24">
        <v>2023</v>
      </c>
      <c r="L4" s="24">
        <v>2023</v>
      </c>
      <c r="M4" s="24">
        <v>2023</v>
      </c>
      <c r="N4" s="24">
        <v>2024</v>
      </c>
      <c r="O4" s="24">
        <v>2024</v>
      </c>
      <c r="P4" s="24">
        <v>2024</v>
      </c>
      <c r="Q4" s="24">
        <v>2024</v>
      </c>
      <c r="R4" s="24">
        <v>2025</v>
      </c>
      <c r="S4" s="24">
        <v>2025</v>
      </c>
      <c r="T4" s="24">
        <v>2025</v>
      </c>
      <c r="U4" s="24">
        <v>2025</v>
      </c>
      <c r="V4" s="24">
        <v>2026</v>
      </c>
      <c r="W4" s="24">
        <v>2026</v>
      </c>
      <c r="X4" s="24">
        <v>2026</v>
      </c>
      <c r="Y4" s="24">
        <v>2026</v>
      </c>
      <c r="Z4" s="24">
        <v>2027</v>
      </c>
      <c r="AA4" s="24">
        <v>2027</v>
      </c>
      <c r="AB4" s="24">
        <v>2027</v>
      </c>
      <c r="AC4" s="24">
        <v>2027</v>
      </c>
      <c r="AD4" s="24">
        <v>2028</v>
      </c>
      <c r="AE4" s="24">
        <v>2028</v>
      </c>
      <c r="AF4" s="24">
        <v>2028</v>
      </c>
      <c r="AG4" s="24">
        <v>2028</v>
      </c>
      <c r="AH4" s="24">
        <v>2029</v>
      </c>
      <c r="AI4" s="24">
        <v>2029</v>
      </c>
      <c r="AJ4" s="24">
        <v>2029</v>
      </c>
      <c r="AK4" s="26"/>
      <c r="AL4" s="26"/>
      <c r="AM4" s="26"/>
      <c r="AN4" s="26"/>
      <c r="AO4" s="26"/>
      <c r="AP4" s="26"/>
      <c r="AQ4" s="26"/>
      <c r="AR4" s="26"/>
      <c r="AS4" s="26"/>
    </row>
    <row r="5" spans="2:45" s="25" customFormat="1" ht="14.25" customHeight="1">
      <c r="B5" s="5521"/>
      <c r="C5" s="53"/>
      <c r="D5" s="5521"/>
      <c r="E5" s="28"/>
      <c r="F5" s="54">
        <v>1</v>
      </c>
      <c r="G5" s="5219">
        <v>2</v>
      </c>
      <c r="H5" s="55">
        <v>3</v>
      </c>
      <c r="I5" s="55">
        <v>4</v>
      </c>
      <c r="J5" s="55">
        <v>1</v>
      </c>
      <c r="K5" s="55">
        <v>2</v>
      </c>
      <c r="L5" s="55">
        <v>3</v>
      </c>
      <c r="M5" s="55">
        <v>4</v>
      </c>
      <c r="N5" s="55">
        <v>1</v>
      </c>
      <c r="O5" s="55">
        <v>2</v>
      </c>
      <c r="P5" s="55">
        <v>3</v>
      </c>
      <c r="Q5" s="55">
        <v>4</v>
      </c>
      <c r="R5" s="55">
        <v>1</v>
      </c>
      <c r="S5" s="55">
        <v>2</v>
      </c>
      <c r="T5" s="55">
        <v>3</v>
      </c>
      <c r="U5" s="55">
        <v>4</v>
      </c>
      <c r="V5" s="55">
        <v>1</v>
      </c>
      <c r="W5" s="55">
        <v>2</v>
      </c>
      <c r="X5" s="55">
        <v>3</v>
      </c>
      <c r="Y5" s="55">
        <v>4</v>
      </c>
      <c r="Z5" s="55">
        <v>1</v>
      </c>
      <c r="AA5" s="55">
        <v>2</v>
      </c>
      <c r="AB5" s="55">
        <v>3</v>
      </c>
      <c r="AC5" s="55">
        <v>4</v>
      </c>
      <c r="AD5" s="55">
        <v>1</v>
      </c>
      <c r="AE5" s="55">
        <v>2</v>
      </c>
      <c r="AF5" s="55">
        <v>3</v>
      </c>
      <c r="AG5" s="55">
        <v>4</v>
      </c>
      <c r="AH5" s="55">
        <v>1</v>
      </c>
      <c r="AI5" s="55">
        <v>2</v>
      </c>
      <c r="AJ5" s="55">
        <v>3</v>
      </c>
      <c r="AK5" s="56"/>
      <c r="AL5" s="56"/>
      <c r="AM5" s="56"/>
      <c r="AN5" s="56"/>
      <c r="AO5" s="56"/>
      <c r="AP5" s="56"/>
      <c r="AQ5" s="56"/>
      <c r="AR5" s="56"/>
      <c r="AS5" s="56"/>
    </row>
    <row r="6" spans="2:45" s="25" customFormat="1" ht="14.25" customHeight="1">
      <c r="B6" s="5522"/>
      <c r="C6" s="32"/>
      <c r="D6" s="5522"/>
      <c r="E6" s="32"/>
      <c r="F6" s="57">
        <f>차입금상환!T4</f>
        <v>44651</v>
      </c>
      <c r="G6" s="5220">
        <f>차입금상환!U4</f>
        <v>44742</v>
      </c>
      <c r="H6" s="33">
        <f>차입금상환!V4</f>
        <v>44834</v>
      </c>
      <c r="I6" s="33">
        <f>차입금상환!W4</f>
        <v>44926</v>
      </c>
      <c r="J6" s="33">
        <f>차입금상환!X4</f>
        <v>45016</v>
      </c>
      <c r="K6" s="33">
        <f>차입금상환!Y4</f>
        <v>45107</v>
      </c>
      <c r="L6" s="33">
        <f>차입금상환!Z4</f>
        <v>45199</v>
      </c>
      <c r="M6" s="33">
        <f>차입금상환!AA4</f>
        <v>45291</v>
      </c>
      <c r="N6" s="33">
        <f>차입금상환!AB4</f>
        <v>45382</v>
      </c>
      <c r="O6" s="33">
        <f>차입금상환!AC4</f>
        <v>45473</v>
      </c>
      <c r="P6" s="33">
        <f>차입금상환!AD4</f>
        <v>45565</v>
      </c>
      <c r="Q6" s="33">
        <f>차입금상환!AE4</f>
        <v>45657</v>
      </c>
      <c r="R6" s="33">
        <f>차입금상환!AF4</f>
        <v>45747</v>
      </c>
      <c r="S6" s="33">
        <f>차입금상환!AG4</f>
        <v>45838</v>
      </c>
      <c r="T6" s="33">
        <f>차입금상환!AH4</f>
        <v>45930</v>
      </c>
      <c r="U6" s="33">
        <f>차입금상환!AI4</f>
        <v>46022</v>
      </c>
      <c r="V6" s="33">
        <f>차입금상환!AJ4</f>
        <v>46112</v>
      </c>
      <c r="W6" s="33">
        <f>차입금상환!AK4</f>
        <v>46203</v>
      </c>
      <c r="X6" s="33">
        <f>차입금상환!AL4</f>
        <v>46295</v>
      </c>
      <c r="Y6" s="33">
        <f>차입금상환!AM4</f>
        <v>46387</v>
      </c>
      <c r="Z6" s="33">
        <f>차입금상환!AN4</f>
        <v>46477</v>
      </c>
      <c r="AA6" s="33">
        <f>차입금상환!AO4</f>
        <v>46568</v>
      </c>
      <c r="AB6" s="33">
        <f>차입금상환!AP4</f>
        <v>46660</v>
      </c>
      <c r="AC6" s="33">
        <f>차입금상환!AQ4</f>
        <v>46752</v>
      </c>
      <c r="AD6" s="33">
        <f>차입금상환!AR4</f>
        <v>46843</v>
      </c>
      <c r="AE6" s="33">
        <f>차입금상환!AS4</f>
        <v>46934</v>
      </c>
      <c r="AF6" s="33">
        <f>차입금상환!AT4</f>
        <v>47026</v>
      </c>
      <c r="AG6" s="33">
        <f>차입금상환!AU4</f>
        <v>47118</v>
      </c>
      <c r="AH6" s="33">
        <f>차입금상환!AV4</f>
        <v>47208</v>
      </c>
      <c r="AI6" s="33">
        <f>차입금상환!AW4</f>
        <v>47299</v>
      </c>
      <c r="AJ6" s="33">
        <f>차입금상환!AX4</f>
        <v>47391</v>
      </c>
      <c r="AK6" s="34"/>
      <c r="AL6" s="34"/>
      <c r="AM6" s="34"/>
      <c r="AN6" s="34"/>
      <c r="AO6" s="34"/>
      <c r="AP6" s="34"/>
      <c r="AQ6" s="34"/>
      <c r="AR6" s="34"/>
      <c r="AS6" s="34"/>
    </row>
    <row r="7" spans="2:45" s="60" customFormat="1" ht="14.25" customHeight="1">
      <c r="B7" s="58" t="s">
        <v>60</v>
      </c>
      <c r="C7" s="58"/>
      <c r="D7" s="46"/>
      <c r="E7" s="46"/>
      <c r="F7" s="59"/>
      <c r="G7" s="5221">
        <f ca="1">G8+G9</f>
        <v>0</v>
      </c>
      <c r="H7" s="48">
        <f t="shared" ref="H7:AJ7" ca="1" si="0">H8+H9</f>
        <v>4961.9275680000001</v>
      </c>
      <c r="I7" s="48">
        <f t="shared" ca="1" si="0"/>
        <v>5000.632224</v>
      </c>
      <c r="J7" s="48">
        <f t="shared" ca="1" si="0"/>
        <v>4955.3640395000002</v>
      </c>
      <c r="K7" s="48">
        <f t="shared" ca="1" si="0"/>
        <v>4910.0958549999996</v>
      </c>
      <c r="L7" s="48">
        <f t="shared" ca="1" si="0"/>
        <v>4947.8766705000007</v>
      </c>
      <c r="M7" s="48">
        <f t="shared" ca="1" si="0"/>
        <v>4984.7336454999995</v>
      </c>
      <c r="N7" s="48">
        <f t="shared" ca="1" si="0"/>
        <v>4522.3727799999997</v>
      </c>
      <c r="O7" s="48">
        <f t="shared" ca="1" si="0"/>
        <v>4562.9251169999998</v>
      </c>
      <c r="P7" s="48">
        <f t="shared" ca="1" si="0"/>
        <v>5017.7986134999992</v>
      </c>
      <c r="Q7" s="48">
        <f t="shared" ca="1" si="0"/>
        <v>5051.884066999999</v>
      </c>
      <c r="R7" s="48">
        <f t="shared" ca="1" si="0"/>
        <v>5749.4376799999991</v>
      </c>
      <c r="S7" s="48">
        <f t="shared" ca="1" si="0"/>
        <v>5691.2357284999998</v>
      </c>
      <c r="T7" s="48">
        <f t="shared" ca="1" si="0"/>
        <v>5716.0827769999996</v>
      </c>
      <c r="U7" s="48">
        <f t="shared" ca="1" si="0"/>
        <v>5740.0059850000007</v>
      </c>
      <c r="V7" s="48">
        <f t="shared" ca="1" si="0"/>
        <v>3603.7313525</v>
      </c>
      <c r="W7" s="48">
        <f t="shared" ca="1" si="0"/>
        <v>4065.0717324999996</v>
      </c>
      <c r="X7" s="48">
        <f t="shared" ca="1" si="0"/>
        <v>4105.6240694999997</v>
      </c>
      <c r="Y7" s="48">
        <f t="shared" ca="1" si="0"/>
        <v>3480.8605659999998</v>
      </c>
      <c r="Z7" s="48">
        <f t="shared" ca="1" si="0"/>
        <v>1118.534946</v>
      </c>
      <c r="AA7" s="48">
        <f t="shared" ca="1" si="0"/>
        <v>1107.44886</v>
      </c>
      <c r="AB7" s="48">
        <f t="shared" ca="1" si="0"/>
        <v>1096.3627739999999</v>
      </c>
      <c r="AC7" s="48">
        <f t="shared" ca="1" si="0"/>
        <v>1085.2766879999999</v>
      </c>
      <c r="AD7" s="48">
        <f t="shared" ca="1" si="0"/>
        <v>1074.1906019999999</v>
      </c>
      <c r="AE7" s="48">
        <f t="shared" ca="1" si="0"/>
        <v>1063.1045159999999</v>
      </c>
      <c r="AF7" s="48">
        <f t="shared" ca="1" si="0"/>
        <v>1052.0184300000001</v>
      </c>
      <c r="AG7" s="48">
        <f t="shared" ca="1" si="0"/>
        <v>1040.9323440000001</v>
      </c>
      <c r="AH7" s="48">
        <f t="shared" ca="1" si="0"/>
        <v>1029.846258</v>
      </c>
      <c r="AI7" s="48">
        <f t="shared" ca="1" si="0"/>
        <v>1018.760172</v>
      </c>
      <c r="AJ7" s="48">
        <f t="shared" ca="1" si="0"/>
        <v>1007.6740859999886</v>
      </c>
    </row>
    <row r="8" spans="2:45" s="60" customFormat="1" ht="14.25" customHeight="1">
      <c r="B8" s="61" t="s">
        <v>61</v>
      </c>
      <c r="C8" s="61"/>
      <c r="D8" s="5435">
        <f ca="1">SUM(G8:AJ8)</f>
        <v>87699.744000000035</v>
      </c>
      <c r="E8" s="46"/>
      <c r="F8" s="59"/>
      <c r="G8" s="5221">
        <f ca="1">차입금상환!U40*100*(G6&gt;민감도!$E$67)</f>
        <v>0</v>
      </c>
      <c r="H8" s="62">
        <f ca="1">차입금상환!V40*100*(H6&gt;민감도!$E$67)</f>
        <v>3986.3520000000003</v>
      </c>
      <c r="I8" s="62">
        <f ca="1">차입금상환!W40*100*(I6&gt;민감도!$E$67)</f>
        <v>4069.4009999999998</v>
      </c>
      <c r="J8" s="62">
        <f ca="1">차입금상환!X40*100*(J6&gt;민감도!$E$67)</f>
        <v>4069.4009999999998</v>
      </c>
      <c r="K8" s="62">
        <f ca="1">차입금상환!Y40*100*(K6&gt;민감도!$E$67)</f>
        <v>4069.4009999999998</v>
      </c>
      <c r="L8" s="62">
        <f ca="1">차입금상환!Z40*100*(L6&gt;민감도!$E$67)</f>
        <v>4152.4500000000007</v>
      </c>
      <c r="M8" s="62">
        <f ca="1">차입금상환!AA40*100*(M6&gt;민감도!$E$67)</f>
        <v>4235.4989999999998</v>
      </c>
      <c r="N8" s="62">
        <f ca="1">차입금상환!AB40*100*(N6&gt;민감도!$E$67)</f>
        <v>3820.2539999999999</v>
      </c>
      <c r="O8" s="62">
        <f ca="1">차입금상환!AC40*100*(O6&gt;민감도!$E$67)</f>
        <v>3903.3029999999999</v>
      </c>
      <c r="P8" s="62">
        <f ca="1">차입금상환!AD40*100*(P6&gt;민감도!$E$67)</f>
        <v>4401.5969999999998</v>
      </c>
      <c r="Q8" s="62">
        <f ca="1">차입금상환!AE40*100*(Q6&gt;민감도!$E$67)</f>
        <v>4484.6459999999997</v>
      </c>
      <c r="R8" s="62">
        <f ca="1">차입금상환!AF40*100*(R6&gt;민감도!$E$67)</f>
        <v>5232.0869999999995</v>
      </c>
      <c r="S8" s="62">
        <f ca="1">차입금상환!AG40*100*(S6&gt;민감도!$E$67)</f>
        <v>5232.0869999999995</v>
      </c>
      <c r="T8" s="62">
        <f ca="1">차입금상환!AH40*100*(T6&gt;민감도!$E$67)</f>
        <v>5315.1359999999995</v>
      </c>
      <c r="U8" s="62">
        <f ca="1">차입금상환!AI40*100*(U6&gt;민감도!$E$67)</f>
        <v>5398.1850000000004</v>
      </c>
      <c r="V8" s="62">
        <f ca="1">차입금상환!AJ40*100*(V6&gt;민감도!$E$67)</f>
        <v>3321.96</v>
      </c>
      <c r="W8" s="62">
        <f ca="1">차입금상환!AK40*100*(W6&gt;민감도!$E$67)</f>
        <v>3820.2539999999999</v>
      </c>
      <c r="X8" s="62">
        <f ca="1">차입금상환!AL40*100*(X6&gt;민감도!$E$67)</f>
        <v>3903.3029999999999</v>
      </c>
      <c r="Y8" s="62">
        <f ca="1">차입금상환!AM40*100*(Y6&gt;민감도!$E$67)</f>
        <v>3321.96</v>
      </c>
      <c r="Z8" s="62">
        <f ca="1">차입금상환!AN40*100*(Z6&gt;민감도!$E$67)</f>
        <v>996.58800000000008</v>
      </c>
      <c r="AA8" s="62">
        <f ca="1">차입금상환!AO40*100*(AA6&gt;민감도!$E$67)</f>
        <v>996.58800000000008</v>
      </c>
      <c r="AB8" s="62">
        <f ca="1">차입금상환!AP40*100*(AB6&gt;민감도!$E$67)</f>
        <v>996.58800000000008</v>
      </c>
      <c r="AC8" s="62">
        <f ca="1">차입금상환!AQ40*100*(AC6&gt;민감도!$E$67)</f>
        <v>996.58800000000008</v>
      </c>
      <c r="AD8" s="62">
        <f ca="1">차입금상환!AR40*100*(AD6&gt;민감도!$E$67)</f>
        <v>996.58800000000008</v>
      </c>
      <c r="AE8" s="62">
        <f ca="1">차입금상환!AS40*100*(AE6&gt;민감도!$E$67)</f>
        <v>996.58800000000008</v>
      </c>
      <c r="AF8" s="62">
        <f ca="1">차입금상환!AT40*100*(AF6&gt;민감도!$E$67)</f>
        <v>996.58800000000008</v>
      </c>
      <c r="AG8" s="62">
        <f ca="1">차입금상환!AU40*100*(AG6&gt;민감도!$E$67)</f>
        <v>996.58800000000008</v>
      </c>
      <c r="AH8" s="62">
        <f ca="1">차입금상환!AV40*100*(AH6&gt;민감도!$E$67)</f>
        <v>996.58800000000008</v>
      </c>
      <c r="AI8" s="62">
        <f ca="1">차입금상환!AW40*100*(AI6&gt;민감도!$E$67)</f>
        <v>996.58800000000008</v>
      </c>
      <c r="AJ8" s="62">
        <f ca="1">차입금상환!AX40*100*(AJ6&gt;민감도!$E$67)</f>
        <v>996.58799999998871</v>
      </c>
    </row>
    <row r="9" spans="2:45" s="60" customFormat="1" ht="14.25" customHeight="1">
      <c r="B9" s="61" t="s">
        <v>62</v>
      </c>
      <c r="C9" s="61"/>
      <c r="D9" s="5435">
        <f ca="1">SUM(G9:AJ9)</f>
        <v>11062.066146999996</v>
      </c>
      <c r="E9" s="46"/>
      <c r="F9" s="59"/>
      <c r="G9" s="5221">
        <f ca="1">0+(차입금상환!U41*100*(G6&gt;민감도!$E$67))</f>
        <v>0</v>
      </c>
      <c r="H9" s="62">
        <f ca="1">차입금상환!V41*100*(H6&gt;민감도!$E$67)</f>
        <v>975.57556799999986</v>
      </c>
      <c r="I9" s="62">
        <f ca="1">차입금상환!W41*100*(I6&gt;민감도!$E$67)</f>
        <v>931.23122399999988</v>
      </c>
      <c r="J9" s="62">
        <f ca="1">차입금상환!X41*100*(J6&gt;민감도!$E$67)</f>
        <v>885.96303950000004</v>
      </c>
      <c r="K9" s="62">
        <f ca="1">차입금상환!Y41*100*(K6&gt;민감도!$E$67)</f>
        <v>840.69485499999996</v>
      </c>
      <c r="L9" s="62">
        <f ca="1">차입금상환!Z41*100*(L6&gt;민감도!$E$67)</f>
        <v>795.42667049999989</v>
      </c>
      <c r="M9" s="62">
        <f ca="1">차입금상환!AA41*100*(M6&gt;민감도!$E$67)</f>
        <v>749.23464549999983</v>
      </c>
      <c r="N9" s="62">
        <f ca="1">차입금상환!AB41*100*(N6&gt;민감도!$E$67)</f>
        <v>702.11877999999967</v>
      </c>
      <c r="O9" s="62">
        <f ca="1">차입금상환!AC41*100*(O6&gt;민감도!$E$67)</f>
        <v>659.62211699999989</v>
      </c>
      <c r="P9" s="62">
        <f ca="1">차입금상환!AD41*100*(P6&gt;민감도!$E$67)</f>
        <v>616.20161349999978</v>
      </c>
      <c r="Q9" s="62">
        <f ca="1">차입금상환!AE41*100*(Q6&gt;민감도!$E$67)</f>
        <v>567.23806699999977</v>
      </c>
      <c r="R9" s="62">
        <f ca="1">차입금상환!AF41*100*(R6&gt;민감도!$E$67)</f>
        <v>517.35067999999978</v>
      </c>
      <c r="S9" s="62">
        <f ca="1">차입금상환!AG41*100*(S6&gt;민감도!$E$67)</f>
        <v>459.14872849999983</v>
      </c>
      <c r="T9" s="62">
        <f ca="1">차입금상환!AH41*100*(T6&gt;민감도!$E$67)</f>
        <v>400.94677699999988</v>
      </c>
      <c r="U9" s="62">
        <f ca="1">차입금상환!AI41*100*(U6&gt;민감도!$E$67)</f>
        <v>341.82098499999989</v>
      </c>
      <c r="V9" s="62">
        <f ca="1">차입금상환!AJ41*100*(V6&gt;민감도!$E$67)</f>
        <v>281.77135249999992</v>
      </c>
      <c r="W9" s="62">
        <f ca="1">차입금상환!AK41*100*(W6&gt;민감도!$E$67)</f>
        <v>244.81773249999986</v>
      </c>
      <c r="X9" s="62">
        <f ca="1">차입금상환!AL41*100*(X6&gt;민감도!$E$67)</f>
        <v>202.32106949999991</v>
      </c>
      <c r="Y9" s="62">
        <f ca="1">차입금상환!AM41*100*(Y6&gt;민감도!$E$67)</f>
        <v>158.90056599999991</v>
      </c>
      <c r="Z9" s="62">
        <f ca="1">차입금상환!AN41*100*(Z6&gt;민감도!$E$67)</f>
        <v>121.94694599999988</v>
      </c>
      <c r="AA9" s="62">
        <f ca="1">차입금상환!AO41*100*(AA6&gt;민감도!$E$67)</f>
        <v>110.8608599999999</v>
      </c>
      <c r="AB9" s="62">
        <f ca="1">차입금상환!AP41*100*(AB6&gt;민감도!$E$67)</f>
        <v>99.774773999999908</v>
      </c>
      <c r="AC9" s="62">
        <f ca="1">차입금상환!AQ41*100*(AC6&gt;민감도!$E$67)</f>
        <v>88.6886879999999</v>
      </c>
      <c r="AD9" s="62">
        <f ca="1">차입금상환!AR41*100*(AD6&gt;민감도!$E$67)</f>
        <v>77.602601999999905</v>
      </c>
      <c r="AE9" s="62">
        <f ca="1">차입금상환!AS41*100*(AE6&gt;민감도!$E$67)</f>
        <v>66.516515999999868</v>
      </c>
      <c r="AF9" s="62">
        <f ca="1">차입금상환!AT41*100*(AF6&gt;민감도!$E$67)</f>
        <v>55.430429999999888</v>
      </c>
      <c r="AG9" s="62">
        <f ca="1">차입금상환!AU41*100*(AG6&gt;민감도!$E$67)</f>
        <v>44.344343999999879</v>
      </c>
      <c r="AH9" s="62">
        <f ca="1">차입금상환!AV41*100*(AH6&gt;민감도!$E$67)</f>
        <v>33.258257999999877</v>
      </c>
      <c r="AI9" s="62">
        <f ca="1">차입금상환!AW41*100*(AI6&gt;민감도!$E$67)</f>
        <v>22.172171999999883</v>
      </c>
      <c r="AJ9" s="62">
        <f ca="1">차입금상환!AX41*100*(AJ6&gt;민감도!$E$67)</f>
        <v>11.086085999999881</v>
      </c>
    </row>
    <row r="10" spans="2:45" s="60" customFormat="1" ht="14.25" customHeight="1">
      <c r="B10" s="58" t="s">
        <v>63</v>
      </c>
      <c r="C10" s="58"/>
      <c r="D10" s="5435"/>
      <c r="E10" s="46"/>
      <c r="F10" s="59"/>
      <c r="G10" s="5221">
        <f t="shared" ref="G10:AJ10" ca="1" si="1">SUM(G11:G15)</f>
        <v>0</v>
      </c>
      <c r="H10" s="48">
        <f t="shared" ca="1" si="1"/>
        <v>4961.9275679999992</v>
      </c>
      <c r="I10" s="48">
        <f t="shared" ca="1" si="1"/>
        <v>5000.6322240000009</v>
      </c>
      <c r="J10" s="48">
        <f t="shared" ca="1" si="1"/>
        <v>4955.3640395000002</v>
      </c>
      <c r="K10" s="48">
        <f t="shared" ca="1" si="1"/>
        <v>4910.0958549999996</v>
      </c>
      <c r="L10" s="48">
        <f t="shared" ca="1" si="1"/>
        <v>4947.8766705000016</v>
      </c>
      <c r="M10" s="48">
        <f t="shared" ca="1" si="1"/>
        <v>4984.7336455000004</v>
      </c>
      <c r="N10" s="48">
        <f t="shared" ca="1" si="1"/>
        <v>4522.3727799999997</v>
      </c>
      <c r="O10" s="48">
        <f t="shared" ca="1" si="1"/>
        <v>4562.9251169999998</v>
      </c>
      <c r="P10" s="48">
        <f t="shared" ca="1" si="1"/>
        <v>5017.7986134999992</v>
      </c>
      <c r="Q10" s="48">
        <f t="shared" ca="1" si="1"/>
        <v>5051.884066999999</v>
      </c>
      <c r="R10" s="48">
        <f t="shared" ca="1" si="1"/>
        <v>5749.4376799999991</v>
      </c>
      <c r="S10" s="48">
        <f t="shared" ca="1" si="1"/>
        <v>5691.2357284999998</v>
      </c>
      <c r="T10" s="48">
        <f t="shared" ca="1" si="1"/>
        <v>5716.0827769999996</v>
      </c>
      <c r="U10" s="48">
        <f t="shared" ca="1" si="1"/>
        <v>5740.0059850000007</v>
      </c>
      <c r="V10" s="48">
        <f t="shared" ca="1" si="1"/>
        <v>3603.7313525</v>
      </c>
      <c r="W10" s="48">
        <f t="shared" ca="1" si="1"/>
        <v>4065.0717324999996</v>
      </c>
      <c r="X10" s="48">
        <f t="shared" ca="1" si="1"/>
        <v>4105.6240694999997</v>
      </c>
      <c r="Y10" s="48">
        <f t="shared" ca="1" si="1"/>
        <v>3480.8605660000003</v>
      </c>
      <c r="Z10" s="48">
        <f t="shared" ca="1" si="1"/>
        <v>1118.534946</v>
      </c>
      <c r="AA10" s="48">
        <f t="shared" ca="1" si="1"/>
        <v>1107.44886</v>
      </c>
      <c r="AB10" s="48">
        <f t="shared" ca="1" si="1"/>
        <v>1096.3627739999999</v>
      </c>
      <c r="AC10" s="48">
        <f t="shared" ca="1" si="1"/>
        <v>1085.2766879999999</v>
      </c>
      <c r="AD10" s="48">
        <f t="shared" ca="1" si="1"/>
        <v>1074.1906019999999</v>
      </c>
      <c r="AE10" s="48">
        <f t="shared" ca="1" si="1"/>
        <v>1063.1045159999999</v>
      </c>
      <c r="AF10" s="48">
        <f t="shared" ca="1" si="1"/>
        <v>1052.0184300000001</v>
      </c>
      <c r="AG10" s="48">
        <f t="shared" ca="1" si="1"/>
        <v>1040.9323440000001</v>
      </c>
      <c r="AH10" s="48">
        <f t="shared" ca="1" si="1"/>
        <v>1029.846258</v>
      </c>
      <c r="AI10" s="48">
        <f t="shared" ca="1" si="1"/>
        <v>1018.760172</v>
      </c>
      <c r="AJ10" s="48">
        <f t="shared" ca="1" si="1"/>
        <v>1007.6740859999886</v>
      </c>
    </row>
    <row r="11" spans="2:45" s="64" customFormat="1" ht="14.25" customHeight="1">
      <c r="B11" s="5104" t="s">
        <v>5298</v>
      </c>
      <c r="C11" s="5104"/>
      <c r="D11" s="5436">
        <f ca="1">SUM(G11:AJ11)</f>
        <v>3129.3242139923168</v>
      </c>
      <c r="E11" s="5105"/>
      <c r="F11" s="5106"/>
      <c r="G11" s="5222">
        <f t="shared" ref="G11:AJ11" ca="1" si="2">G33</f>
        <v>0</v>
      </c>
      <c r="H11" s="5107">
        <f t="shared" ca="1" si="2"/>
        <v>280.27343478356147</v>
      </c>
      <c r="I11" s="5107">
        <f t="shared" ca="1" si="2"/>
        <v>267.39359648509861</v>
      </c>
      <c r="J11" s="5107">
        <f t="shared" ca="1" si="2"/>
        <v>248.72120974274705</v>
      </c>
      <c r="K11" s="5107">
        <f t="shared" ca="1" si="2"/>
        <v>238.48241313038625</v>
      </c>
      <c r="L11" s="5107">
        <f t="shared" ca="1" si="2"/>
        <v>227.95785024089352</v>
      </c>
      <c r="M11" s="5107">
        <f t="shared" ca="1" si="2"/>
        <v>214.54719104321947</v>
      </c>
      <c r="N11" s="5107">
        <f t="shared" ca="1" si="2"/>
        <v>198.68773964163609</v>
      </c>
      <c r="O11" s="5107">
        <f t="shared" ca="1" si="2"/>
        <v>186.47295069237649</v>
      </c>
      <c r="P11" s="5107">
        <f t="shared" ca="1" si="2"/>
        <v>175.90767614783121</v>
      </c>
      <c r="Q11" s="5107">
        <f t="shared" ca="1" si="2"/>
        <v>161.840922318732</v>
      </c>
      <c r="R11" s="5107">
        <f t="shared" ca="1" si="2"/>
        <v>144.30204590872225</v>
      </c>
      <c r="S11" s="5107">
        <f t="shared" ca="1" si="2"/>
        <v>129.36629210927509</v>
      </c>
      <c r="T11" s="5107">
        <f t="shared" ca="1" si="2"/>
        <v>114.06704138971591</v>
      </c>
      <c r="U11" s="5107">
        <f t="shared" ca="1" si="2"/>
        <v>97.080772614954611</v>
      </c>
      <c r="V11" s="5107">
        <f t="shared" ca="1" si="2"/>
        <v>78.093678316879249</v>
      </c>
      <c r="W11" s="5107">
        <f t="shared" ca="1" si="2"/>
        <v>68.460363717162281</v>
      </c>
      <c r="X11" s="5107">
        <f t="shared" ca="1" si="2"/>
        <v>57.003794724502185</v>
      </c>
      <c r="Y11" s="5107">
        <f t="shared" ca="1" si="2"/>
        <v>44.529503593036857</v>
      </c>
      <c r="Z11" s="5107">
        <f t="shared" ca="1" si="2"/>
        <v>33.175844617315164</v>
      </c>
      <c r="AA11" s="5107">
        <f t="shared" ca="1" si="2"/>
        <v>30.394158472091757</v>
      </c>
      <c r="AB11" s="5107">
        <f t="shared" ca="1" si="2"/>
        <v>27.543234818275572</v>
      </c>
      <c r="AC11" s="5107">
        <f t="shared" ca="1" si="2"/>
        <v>24.358309423007832</v>
      </c>
      <c r="AD11" s="5107">
        <f t="shared" ca="1" si="2"/>
        <v>20.943238549177696</v>
      </c>
      <c r="AE11" s="5107">
        <f t="shared" ca="1" si="2"/>
        <v>17.792931908206345</v>
      </c>
      <c r="AF11" s="5107">
        <f t="shared" ca="1" si="2"/>
        <v>14.803533237204604</v>
      </c>
      <c r="AG11" s="5107">
        <f t="shared" ca="1" si="2"/>
        <v>11.618607841936864</v>
      </c>
      <c r="AH11" s="5107">
        <f t="shared" ca="1" si="2"/>
        <v>8.250341523915445</v>
      </c>
      <c r="AI11" s="5107">
        <f t="shared" ca="1" si="2"/>
        <v>5.1917053443209307</v>
      </c>
      <c r="AJ11" s="5107">
        <f t="shared" ca="1" si="2"/>
        <v>2.0638316561336385</v>
      </c>
    </row>
    <row r="12" spans="2:45" s="64" customFormat="1" ht="14.25" customHeight="1">
      <c r="B12" s="5093" t="s">
        <v>5299</v>
      </c>
      <c r="C12" s="5093"/>
      <c r="D12" s="5437">
        <f ca="1">SUM(G12:AJ12)</f>
        <v>28150.743999999995</v>
      </c>
      <c r="E12" s="5094"/>
      <c r="F12" s="5095"/>
      <c r="G12" s="5223">
        <f ca="1">G24</f>
        <v>0</v>
      </c>
      <c r="H12" s="5096">
        <f ca="1">H24</f>
        <v>1293.6546447272713</v>
      </c>
      <c r="I12" s="5096">
        <f t="shared" ref="I12:AJ12" ca="1" si="3">I24</f>
        <v>1320.3125462424225</v>
      </c>
      <c r="J12" s="5096">
        <f t="shared" ca="1" si="3"/>
        <v>1320.3125462424225</v>
      </c>
      <c r="K12" s="5096">
        <f t="shared" ca="1" si="3"/>
        <v>1320.3125462424225</v>
      </c>
      <c r="L12" s="5096">
        <f t="shared" ca="1" si="3"/>
        <v>1346.9704477575744</v>
      </c>
      <c r="M12" s="5096">
        <f t="shared" ca="1" si="3"/>
        <v>1373.6283492727255</v>
      </c>
      <c r="N12" s="5096">
        <f t="shared" ca="1" si="3"/>
        <v>1240.3388416969683</v>
      </c>
      <c r="O12" s="5096">
        <f t="shared" ca="1" si="3"/>
        <v>1266.9967432121196</v>
      </c>
      <c r="P12" s="5096">
        <f t="shared" ca="1" si="3"/>
        <v>1412.8687803030284</v>
      </c>
      <c r="Q12" s="5096">
        <f t="shared" ca="1" si="3"/>
        <v>1439.5266818181799</v>
      </c>
      <c r="R12" s="5096">
        <f t="shared" ca="1" si="3"/>
        <v>1679.4477954545432</v>
      </c>
      <c r="S12" s="5096">
        <f t="shared" ca="1" si="3"/>
        <v>1679.4477954545432</v>
      </c>
      <c r="T12" s="5096">
        <f t="shared" ca="1" si="3"/>
        <v>1706.1056969696947</v>
      </c>
      <c r="U12" s="5096">
        <f t="shared" ca="1" si="3"/>
        <v>1732.7635984848464</v>
      </c>
      <c r="V12" s="5096">
        <f t="shared" ca="1" si="3"/>
        <v>1066.3160606060594</v>
      </c>
      <c r="W12" s="5096">
        <f t="shared" ca="1" si="3"/>
        <v>1226.2634696969683</v>
      </c>
      <c r="X12" s="5096">
        <f t="shared" ca="1" si="3"/>
        <v>1252.9213712121198</v>
      </c>
      <c r="Y12" s="5096">
        <f t="shared" ca="1" si="3"/>
        <v>1066.3160606060594</v>
      </c>
      <c r="Z12" s="5096">
        <f t="shared" ca="1" si="3"/>
        <v>319.89481818181781</v>
      </c>
      <c r="AA12" s="5096">
        <f t="shared" ca="1" si="3"/>
        <v>319.89481818181781</v>
      </c>
      <c r="AB12" s="5096">
        <f t="shared" ca="1" si="3"/>
        <v>319.89481818181781</v>
      </c>
      <c r="AC12" s="5096">
        <f t="shared" ca="1" si="3"/>
        <v>319.89481818181781</v>
      </c>
      <c r="AD12" s="5096">
        <f t="shared" ca="1" si="3"/>
        <v>319.89481818181781</v>
      </c>
      <c r="AE12" s="5096">
        <f t="shared" ca="1" si="3"/>
        <v>319.89481818181781</v>
      </c>
      <c r="AF12" s="5096">
        <f t="shared" ca="1" si="3"/>
        <v>319.89481818181781</v>
      </c>
      <c r="AG12" s="5096">
        <f t="shared" ca="1" si="3"/>
        <v>319.89481818181781</v>
      </c>
      <c r="AH12" s="5096">
        <f t="shared" ca="1" si="3"/>
        <v>319.89481818181781</v>
      </c>
      <c r="AI12" s="5096">
        <f t="shared" ca="1" si="3"/>
        <v>319.89481818181781</v>
      </c>
      <c r="AJ12" s="5096">
        <f t="shared" ca="1" si="3"/>
        <v>207.29184218183212</v>
      </c>
    </row>
    <row r="13" spans="2:45" s="64" customFormat="1" ht="14.25" customHeight="1">
      <c r="B13" s="5104" t="s">
        <v>5300</v>
      </c>
      <c r="C13" s="5104"/>
      <c r="D13" s="5436">
        <f ca="1">SUM(G13:AJ13)</f>
        <v>6416.503486924039</v>
      </c>
      <c r="E13" s="5105"/>
      <c r="F13" s="5117"/>
      <c r="G13" s="5222">
        <f t="shared" ref="G13:AJ13" ca="1" si="4">G29</f>
        <v>0</v>
      </c>
      <c r="H13" s="5107">
        <f t="shared" ca="1" si="4"/>
        <v>574.68493150684935</v>
      </c>
      <c r="I13" s="5107">
        <f t="shared" ca="1" si="4"/>
        <v>548.27554669987546</v>
      </c>
      <c r="J13" s="5107">
        <f t="shared" ca="1" si="4"/>
        <v>509.98886674968867</v>
      </c>
      <c r="K13" s="5107">
        <f t="shared" ca="1" si="4"/>
        <v>488.9947895392279</v>
      </c>
      <c r="L13" s="5107">
        <f t="shared" ca="1" si="4"/>
        <v>467.41476463262757</v>
      </c>
      <c r="M13" s="5107">
        <f t="shared" ca="1" si="4"/>
        <v>439.91696139476966</v>
      </c>
      <c r="N13" s="5107">
        <f t="shared" ca="1" si="4"/>
        <v>407.39804732254044</v>
      </c>
      <c r="O13" s="5107">
        <f t="shared" ca="1" si="4"/>
        <v>382.35230884184313</v>
      </c>
      <c r="P13" s="5107">
        <f t="shared" ca="1" si="4"/>
        <v>360.68880697384816</v>
      </c>
      <c r="Q13" s="5107">
        <f t="shared" ca="1" si="4"/>
        <v>331.84571855541731</v>
      </c>
      <c r="R13" s="5107">
        <f t="shared" ca="1" si="4"/>
        <v>295.88323785803249</v>
      </c>
      <c r="S13" s="5107">
        <f t="shared" ca="1" si="4"/>
        <v>265.25831382316323</v>
      </c>
      <c r="T13" s="5107">
        <f t="shared" ca="1" si="4"/>
        <v>233.88805977584076</v>
      </c>
      <c r="U13" s="5107">
        <f t="shared" ca="1" si="4"/>
        <v>199.05866998754692</v>
      </c>
      <c r="V13" s="5107">
        <f t="shared" ca="1" si="4"/>
        <v>160.12669987546721</v>
      </c>
      <c r="W13" s="5107">
        <f t="shared" ca="1" si="4"/>
        <v>140.37412951432151</v>
      </c>
      <c r="X13" s="5107">
        <f t="shared" ca="1" si="4"/>
        <v>116.88307845579104</v>
      </c>
      <c r="Y13" s="5107">
        <f t="shared" ca="1" si="4"/>
        <v>91.30524533001271</v>
      </c>
      <c r="Z13" s="5107">
        <f t="shared" ca="1" si="4"/>
        <v>68.02520547945231</v>
      </c>
      <c r="AA13" s="5107">
        <f t="shared" ca="1" si="4"/>
        <v>62.321514321295396</v>
      </c>
      <c r="AB13" s="5107">
        <f t="shared" ca="1" si="4"/>
        <v>56.475855541718808</v>
      </c>
      <c r="AC13" s="5107">
        <f t="shared" ca="1" si="4"/>
        <v>49.945344956413706</v>
      </c>
      <c r="AD13" s="5107">
        <f t="shared" ca="1" si="4"/>
        <v>42.942933997509591</v>
      </c>
      <c r="AE13" s="5107">
        <f t="shared" ca="1" si="4"/>
        <v>36.48340722291433</v>
      </c>
      <c r="AF13" s="5107">
        <f t="shared" ca="1" si="4"/>
        <v>30.353813200498394</v>
      </c>
      <c r="AG13" s="5107">
        <f t="shared" ca="1" si="4"/>
        <v>23.823302615193288</v>
      </c>
      <c r="AH13" s="5107">
        <f t="shared" ca="1" si="4"/>
        <v>16.916861768368879</v>
      </c>
      <c r="AI13" s="5107">
        <f t="shared" ca="1" si="4"/>
        <v>10.645300124533266</v>
      </c>
      <c r="AJ13" s="5107">
        <f t="shared" ca="1" si="4"/>
        <v>4.2317708592779786</v>
      </c>
    </row>
    <row r="14" spans="2:45" s="64" customFormat="1" ht="14.25" customHeight="1">
      <c r="B14" s="5093" t="s">
        <v>5301</v>
      </c>
      <c r="C14" s="5093"/>
      <c r="D14" s="5437">
        <f ca="1">SUM(G14:AJ14)</f>
        <v>60000.000000000029</v>
      </c>
      <c r="E14" s="5094"/>
      <c r="F14" s="5095"/>
      <c r="G14" s="5223">
        <f t="shared" ref="G14:AJ14" ca="1" si="5">G23</f>
        <v>0</v>
      </c>
      <c r="H14" s="5096">
        <f t="shared" ca="1" si="5"/>
        <v>2757.2727272727266</v>
      </c>
      <c r="I14" s="5096">
        <f t="shared" ca="1" si="5"/>
        <v>2814.0909090909081</v>
      </c>
      <c r="J14" s="5096">
        <f t="shared" ca="1" si="5"/>
        <v>2814.0909090909081</v>
      </c>
      <c r="K14" s="5096">
        <f t="shared" ca="1" si="5"/>
        <v>2814.0909090909081</v>
      </c>
      <c r="L14" s="5096">
        <f t="shared" ca="1" si="5"/>
        <v>2870.9090909090905</v>
      </c>
      <c r="M14" s="5096">
        <f t="shared" ca="1" si="5"/>
        <v>2927.7272727272716</v>
      </c>
      <c r="N14" s="5096">
        <f t="shared" ca="1" si="5"/>
        <v>2643.6363636363626</v>
      </c>
      <c r="O14" s="5096">
        <f t="shared" ca="1" si="5"/>
        <v>2700.4545454545441</v>
      </c>
      <c r="P14" s="5096">
        <f t="shared" ca="1" si="5"/>
        <v>3011.3636363636351</v>
      </c>
      <c r="Q14" s="5096">
        <f t="shared" ca="1" si="5"/>
        <v>3068.1818181818167</v>
      </c>
      <c r="R14" s="5096">
        <f t="shared" ca="1" si="5"/>
        <v>3579.5454545454527</v>
      </c>
      <c r="S14" s="5096">
        <f t="shared" ca="1" si="5"/>
        <v>3579.5454545454527</v>
      </c>
      <c r="T14" s="5096">
        <f t="shared" ca="1" si="5"/>
        <v>3636.3636363636342</v>
      </c>
      <c r="U14" s="5096">
        <f t="shared" ca="1" si="5"/>
        <v>3693.1818181818171</v>
      </c>
      <c r="V14" s="5096">
        <f t="shared" ca="1" si="5"/>
        <v>2272.7272727272721</v>
      </c>
      <c r="W14" s="5096">
        <f t="shared" ca="1" si="5"/>
        <v>2613.6363636363626</v>
      </c>
      <c r="X14" s="5096">
        <f t="shared" ca="1" si="5"/>
        <v>2670.4545454545441</v>
      </c>
      <c r="Y14" s="5096">
        <f t="shared" ca="1" si="5"/>
        <v>2272.7272727272721</v>
      </c>
      <c r="Z14" s="5096">
        <f t="shared" ca="1" si="5"/>
        <v>681.81818181818164</v>
      </c>
      <c r="AA14" s="5096">
        <f t="shared" ca="1" si="5"/>
        <v>681.81818181818164</v>
      </c>
      <c r="AB14" s="5096">
        <f t="shared" ca="1" si="5"/>
        <v>681.81818181818164</v>
      </c>
      <c r="AC14" s="5096">
        <f t="shared" ca="1" si="5"/>
        <v>681.81818181818164</v>
      </c>
      <c r="AD14" s="5096">
        <f t="shared" ca="1" si="5"/>
        <v>681.81818181818164</v>
      </c>
      <c r="AE14" s="5096">
        <f t="shared" ca="1" si="5"/>
        <v>681.81818181818164</v>
      </c>
      <c r="AF14" s="5096">
        <f t="shared" ca="1" si="5"/>
        <v>681.81818181818164</v>
      </c>
      <c r="AG14" s="5096">
        <f t="shared" ca="1" si="5"/>
        <v>681.81818181818164</v>
      </c>
      <c r="AH14" s="5096">
        <f t="shared" ca="1" si="5"/>
        <v>681.81818181818164</v>
      </c>
      <c r="AI14" s="5096">
        <f t="shared" ca="1" si="5"/>
        <v>681.81818181818164</v>
      </c>
      <c r="AJ14" s="5096">
        <f t="shared" ca="1" si="5"/>
        <v>441.81818181821006</v>
      </c>
    </row>
    <row r="15" spans="2:45" s="64" customFormat="1" ht="14.25" customHeight="1">
      <c r="B15" s="5104" t="s">
        <v>5340</v>
      </c>
      <c r="C15" s="5104"/>
      <c r="D15" s="5436">
        <f ca="1">SUM(G15:AJ15)</f>
        <v>1065.2384460836436</v>
      </c>
      <c r="E15" s="5105"/>
      <c r="F15" s="5117"/>
      <c r="G15" s="5222">
        <f ca="1">G36</f>
        <v>0</v>
      </c>
      <c r="H15" s="5107">
        <f t="shared" ref="H15:AJ15" ca="1" si="6">H36</f>
        <v>56.041829709591411</v>
      </c>
      <c r="I15" s="5107">
        <f t="shared" ca="1" si="6"/>
        <v>50.559625481695264</v>
      </c>
      <c r="J15" s="5107">
        <f t="shared" ca="1" si="6"/>
        <v>62.250507674233887</v>
      </c>
      <c r="K15" s="5107">
        <f t="shared" ca="1" si="6"/>
        <v>48.215196997054818</v>
      </c>
      <c r="L15" s="5107">
        <f t="shared" ca="1" si="6"/>
        <v>34.624516959814656</v>
      </c>
      <c r="M15" s="5107">
        <f t="shared" ca="1" si="6"/>
        <v>28.9138710620133</v>
      </c>
      <c r="N15" s="5107">
        <f t="shared" ca="1" si="6"/>
        <v>32.311787702492268</v>
      </c>
      <c r="O15" s="5107">
        <f t="shared" ca="1" si="6"/>
        <v>26.648568799116475</v>
      </c>
      <c r="P15" s="5107">
        <f t="shared" ca="1" si="6"/>
        <v>56.969713711656283</v>
      </c>
      <c r="Q15" s="5107">
        <f t="shared" ca="1" si="6"/>
        <v>50.488926125853197</v>
      </c>
      <c r="R15" s="5107">
        <f t="shared" ca="1" si="6"/>
        <v>50.259146233248458</v>
      </c>
      <c r="S15" s="5107">
        <f t="shared" ca="1" si="6"/>
        <v>37.617872567565598</v>
      </c>
      <c r="T15" s="5107">
        <f t="shared" ca="1" si="6"/>
        <v>25.658342501114049</v>
      </c>
      <c r="U15" s="5107">
        <f t="shared" ca="1" si="6"/>
        <v>17.921125730835655</v>
      </c>
      <c r="V15" s="5107">
        <f t="shared" ca="1" si="6"/>
        <v>26.467640974322023</v>
      </c>
      <c r="W15" s="5107">
        <f t="shared" ca="1" si="6"/>
        <v>16.337405935184918</v>
      </c>
      <c r="X15" s="5107">
        <f t="shared" ca="1" si="6"/>
        <v>8.3612796530425584</v>
      </c>
      <c r="Y15" s="5107">
        <f t="shared" ca="1" si="6"/>
        <v>5.9824837436187934</v>
      </c>
      <c r="Z15" s="5107">
        <f t="shared" ca="1" si="6"/>
        <v>15.620895903233063</v>
      </c>
      <c r="AA15" s="5107">
        <f t="shared" ca="1" si="6"/>
        <v>13.020187206613361</v>
      </c>
      <c r="AB15" s="5107">
        <f t="shared" ca="1" si="6"/>
        <v>10.630683640006112</v>
      </c>
      <c r="AC15" s="5107">
        <f t="shared" ca="1" si="6"/>
        <v>9.2600336205789304</v>
      </c>
      <c r="AD15" s="5107">
        <f t="shared" ca="1" si="6"/>
        <v>8.5914294533131574</v>
      </c>
      <c r="AE15" s="5107">
        <f t="shared" ca="1" si="6"/>
        <v>7.1151768688797468</v>
      </c>
      <c r="AF15" s="5107">
        <f t="shared" ca="1" si="6"/>
        <v>5.1480835622976286</v>
      </c>
      <c r="AG15" s="5107">
        <f t="shared" ca="1" si="6"/>
        <v>3.7774335428704511</v>
      </c>
      <c r="AH15" s="5107">
        <f t="shared" ca="1" si="6"/>
        <v>2.9660547077162569</v>
      </c>
      <c r="AI15" s="5107">
        <f t="shared" ca="1" si="6"/>
        <v>1.2101665311463607</v>
      </c>
      <c r="AJ15" s="5107">
        <f t="shared" ca="1" si="6"/>
        <v>352.26845948453484</v>
      </c>
    </row>
    <row r="16" spans="2:45" s="64" customFormat="1" ht="14.25" customHeight="1">
      <c r="B16" s="5103" t="s">
        <v>3744</v>
      </c>
      <c r="C16" s="5104"/>
      <c r="D16" s="5436"/>
      <c r="E16" s="5105"/>
      <c r="F16" s="5106"/>
      <c r="G16" s="5222">
        <f>SUMIFS(펀드FS!17:17,펀드FS!6:6,펀드차입금!G6)</f>
        <v>0</v>
      </c>
      <c r="H16" s="5107">
        <f ca="1">SUMIFS(펀드FS!17:17,펀드FS!6:6,펀드차입금!H6)</f>
        <v>0</v>
      </c>
      <c r="I16" s="5107">
        <f ca="1">SUMIFS(펀드FS!17:17,펀드FS!6:6,펀드차입금!I6)</f>
        <v>0</v>
      </c>
      <c r="J16" s="5107">
        <f ca="1">SUMIFS(펀드FS!17:17,펀드FS!6:6,펀드차입금!J6)</f>
        <v>0</v>
      </c>
      <c r="K16" s="5107">
        <f ca="1">SUMIFS(펀드FS!17:17,펀드FS!6:6,펀드차입금!K6)</f>
        <v>0</v>
      </c>
      <c r="L16" s="5107">
        <f ca="1">SUMIFS(펀드FS!17:17,펀드FS!6:6,펀드차입금!L6)</f>
        <v>0</v>
      </c>
      <c r="M16" s="5107">
        <f ca="1">SUMIFS(펀드FS!17:17,펀드FS!6:6,펀드차입금!M6)</f>
        <v>0</v>
      </c>
      <c r="N16" s="5107">
        <f ca="1">SUMIFS(펀드FS!17:17,펀드FS!6:6,펀드차입금!N6)</f>
        <v>0</v>
      </c>
      <c r="O16" s="5107">
        <f ca="1">SUMIFS(펀드FS!17:17,펀드FS!6:6,펀드차입금!O6)</f>
        <v>0</v>
      </c>
      <c r="P16" s="5107">
        <f ca="1">SUMIFS(펀드FS!17:17,펀드FS!6:6,펀드차입금!P6)</f>
        <v>0</v>
      </c>
      <c r="Q16" s="5107">
        <f ca="1">SUMIFS(펀드FS!17:17,펀드FS!6:6,펀드차입금!Q6)</f>
        <v>0</v>
      </c>
      <c r="R16" s="5107">
        <f ca="1">SUMIFS(펀드FS!17:17,펀드FS!6:6,펀드차입금!R6)</f>
        <v>0</v>
      </c>
      <c r="S16" s="5107">
        <f ca="1">SUMIFS(펀드FS!17:17,펀드FS!6:6,펀드차입금!S6)</f>
        <v>0</v>
      </c>
      <c r="T16" s="5107">
        <f ca="1">SUMIFS(펀드FS!17:17,펀드FS!6:6,펀드차입금!T6)</f>
        <v>0</v>
      </c>
      <c r="U16" s="5107">
        <f ca="1">SUMIFS(펀드FS!17:17,펀드FS!6:6,펀드차입금!U6)</f>
        <v>0</v>
      </c>
      <c r="V16" s="5107">
        <f ca="1">SUMIFS(펀드FS!17:17,펀드FS!6:6,펀드차입금!V6)</f>
        <v>0</v>
      </c>
      <c r="W16" s="5107">
        <f ca="1">SUMIFS(펀드FS!17:17,펀드FS!6:6,펀드차입금!W6)</f>
        <v>0</v>
      </c>
      <c r="X16" s="5107">
        <f ca="1">SUMIFS(펀드FS!17:17,펀드FS!6:6,펀드차입금!X6)</f>
        <v>0</v>
      </c>
      <c r="Y16" s="5107">
        <f ca="1">SUMIFS(펀드FS!17:17,펀드FS!6:6,펀드차입금!Y6)</f>
        <v>0</v>
      </c>
      <c r="Z16" s="5107">
        <f ca="1">SUMIFS(펀드FS!17:17,펀드FS!6:6,펀드차입금!Z6)</f>
        <v>0</v>
      </c>
      <c r="AA16" s="5107">
        <f ca="1">SUMIFS(펀드FS!17:17,펀드FS!6:6,펀드차입금!AA6)</f>
        <v>0</v>
      </c>
      <c r="AB16" s="5107">
        <f ca="1">SUMIFS(펀드FS!17:17,펀드FS!6:6,펀드차입금!AB6)</f>
        <v>0</v>
      </c>
      <c r="AC16" s="5107">
        <f ca="1">SUMIFS(펀드FS!17:17,펀드FS!6:6,펀드차입금!AC6)</f>
        <v>0</v>
      </c>
      <c r="AD16" s="5107">
        <f ca="1">SUMIFS(펀드FS!17:17,펀드FS!6:6,펀드차입금!AD6)</f>
        <v>0</v>
      </c>
      <c r="AE16" s="5107">
        <f ca="1">SUMIFS(펀드FS!17:17,펀드FS!6:6,펀드차입금!AE6)</f>
        <v>0</v>
      </c>
      <c r="AF16" s="5107">
        <f ca="1">SUMIFS(펀드FS!17:17,펀드FS!6:6,펀드차입금!AF6)</f>
        <v>0</v>
      </c>
      <c r="AG16" s="5107">
        <f ca="1">SUMIFS(펀드FS!17:17,펀드FS!6:6,펀드차입금!AG6)</f>
        <v>0</v>
      </c>
      <c r="AH16" s="5107">
        <f ca="1">SUMIFS(펀드FS!17:17,펀드FS!6:6,펀드차입금!AH6)</f>
        <v>0</v>
      </c>
      <c r="AI16" s="5107">
        <f ca="1">SUMIFS(펀드FS!17:17,펀드FS!6:6,펀드차입금!AI6)</f>
        <v>0</v>
      </c>
      <c r="AJ16" s="5107">
        <f ca="1">SUMIFS(펀드FS!17:17,펀드FS!6:6,펀드차입금!AJ6)</f>
        <v>0</v>
      </c>
    </row>
    <row r="17" spans="2:36" s="64" customFormat="1" ht="14.25" customHeight="1">
      <c r="G17" s="68">
        <f t="shared" ref="G17:AJ17" ca="1" si="7">G7-G10</f>
        <v>0</v>
      </c>
      <c r="H17" s="68">
        <f t="shared" ca="1" si="7"/>
        <v>0</v>
      </c>
      <c r="I17" s="68">
        <f t="shared" ca="1" si="7"/>
        <v>0</v>
      </c>
      <c r="J17" s="68">
        <f t="shared" ca="1" si="7"/>
        <v>0</v>
      </c>
      <c r="K17" s="68">
        <f t="shared" ca="1" si="7"/>
        <v>0</v>
      </c>
      <c r="L17" s="68">
        <f t="shared" ca="1" si="7"/>
        <v>0</v>
      </c>
      <c r="M17" s="68">
        <f t="shared" ca="1" si="7"/>
        <v>0</v>
      </c>
      <c r="N17" s="68">
        <f t="shared" ca="1" si="7"/>
        <v>0</v>
      </c>
      <c r="O17" s="68">
        <f t="shared" ca="1" si="7"/>
        <v>0</v>
      </c>
      <c r="P17" s="68">
        <f t="shared" ca="1" si="7"/>
        <v>0</v>
      </c>
      <c r="Q17" s="68">
        <f t="shared" ca="1" si="7"/>
        <v>0</v>
      </c>
      <c r="R17" s="68">
        <f t="shared" ca="1" si="7"/>
        <v>0</v>
      </c>
      <c r="S17" s="68">
        <f t="shared" ca="1" si="7"/>
        <v>0</v>
      </c>
      <c r="T17" s="68">
        <f t="shared" ca="1" si="7"/>
        <v>0</v>
      </c>
      <c r="U17" s="68">
        <f t="shared" ca="1" si="7"/>
        <v>0</v>
      </c>
      <c r="V17" s="68">
        <f t="shared" ca="1" si="7"/>
        <v>0</v>
      </c>
      <c r="W17" s="68">
        <f t="shared" ca="1" si="7"/>
        <v>0</v>
      </c>
      <c r="X17" s="68">
        <f t="shared" ca="1" si="7"/>
        <v>0</v>
      </c>
      <c r="Y17" s="68">
        <f t="shared" ca="1" si="7"/>
        <v>0</v>
      </c>
      <c r="Z17" s="68">
        <f t="shared" ca="1" si="7"/>
        <v>0</v>
      </c>
      <c r="AA17" s="68">
        <f t="shared" ca="1" si="7"/>
        <v>0</v>
      </c>
      <c r="AB17" s="68">
        <f t="shared" ca="1" si="7"/>
        <v>0</v>
      </c>
      <c r="AC17" s="68">
        <f t="shared" ca="1" si="7"/>
        <v>0</v>
      </c>
      <c r="AD17" s="68">
        <f t="shared" ca="1" si="7"/>
        <v>0</v>
      </c>
      <c r="AE17" s="68">
        <f t="shared" ca="1" si="7"/>
        <v>0</v>
      </c>
      <c r="AF17" s="68">
        <f t="shared" ca="1" si="7"/>
        <v>0</v>
      </c>
      <c r="AG17" s="68">
        <f t="shared" ca="1" si="7"/>
        <v>0</v>
      </c>
      <c r="AH17" s="68">
        <f t="shared" ca="1" si="7"/>
        <v>0</v>
      </c>
      <c r="AI17" s="68">
        <f t="shared" ca="1" si="7"/>
        <v>0</v>
      </c>
      <c r="AJ17" s="68">
        <f t="shared" ca="1" si="7"/>
        <v>0</v>
      </c>
    </row>
    <row r="18" spans="2:36" s="64" customFormat="1" ht="14.25" customHeight="1">
      <c r="B18" s="5109" t="s">
        <v>3739</v>
      </c>
      <c r="AH18" s="5413"/>
    </row>
    <row r="19" spans="2:36" s="64" customFormat="1" ht="14.25" customHeight="1" outlineLevel="1">
      <c r="B19" s="5119" t="s">
        <v>5411</v>
      </c>
      <c r="C19" s="5120" t="s">
        <v>5136</v>
      </c>
      <c r="D19" s="5122"/>
      <c r="E19" s="5121"/>
      <c r="F19" s="5128"/>
      <c r="G19" s="5215">
        <f ca="1">G7+G16</f>
        <v>0</v>
      </c>
      <c r="H19" s="5130">
        <f ca="1">H7+H16</f>
        <v>4961.9275680000001</v>
      </c>
      <c r="I19" s="5130">
        <f t="shared" ref="I19:AJ19" ca="1" si="8">I7+I16</f>
        <v>5000.632224</v>
      </c>
      <c r="J19" s="5130">
        <f t="shared" ca="1" si="8"/>
        <v>4955.3640395000002</v>
      </c>
      <c r="K19" s="5130">
        <f t="shared" ca="1" si="8"/>
        <v>4910.0958549999996</v>
      </c>
      <c r="L19" s="5130">
        <f t="shared" ca="1" si="8"/>
        <v>4947.8766705000007</v>
      </c>
      <c r="M19" s="5130">
        <f t="shared" ca="1" si="8"/>
        <v>4984.7336454999995</v>
      </c>
      <c r="N19" s="5130">
        <f t="shared" ca="1" si="8"/>
        <v>4522.3727799999997</v>
      </c>
      <c r="O19" s="5130">
        <f t="shared" ca="1" si="8"/>
        <v>4562.9251169999998</v>
      </c>
      <c r="P19" s="5130">
        <f t="shared" ca="1" si="8"/>
        <v>5017.7986134999992</v>
      </c>
      <c r="Q19" s="5130">
        <f t="shared" ca="1" si="8"/>
        <v>5051.884066999999</v>
      </c>
      <c r="R19" s="5130">
        <f t="shared" ca="1" si="8"/>
        <v>5749.4376799999991</v>
      </c>
      <c r="S19" s="5130">
        <f t="shared" ca="1" si="8"/>
        <v>5691.2357284999998</v>
      </c>
      <c r="T19" s="5130">
        <f t="shared" ca="1" si="8"/>
        <v>5716.0827769999996</v>
      </c>
      <c r="U19" s="5130">
        <f t="shared" ca="1" si="8"/>
        <v>5740.0059850000007</v>
      </c>
      <c r="V19" s="5130">
        <f t="shared" ca="1" si="8"/>
        <v>3603.7313525</v>
      </c>
      <c r="W19" s="5130">
        <f t="shared" ca="1" si="8"/>
        <v>4065.0717324999996</v>
      </c>
      <c r="X19" s="5130">
        <f t="shared" ca="1" si="8"/>
        <v>4105.6240694999997</v>
      </c>
      <c r="Y19" s="5130">
        <f t="shared" ca="1" si="8"/>
        <v>3480.8605659999998</v>
      </c>
      <c r="Z19" s="5130">
        <f t="shared" ca="1" si="8"/>
        <v>1118.534946</v>
      </c>
      <c r="AA19" s="5130">
        <f t="shared" ca="1" si="8"/>
        <v>1107.44886</v>
      </c>
      <c r="AB19" s="5130">
        <f t="shared" ca="1" si="8"/>
        <v>1096.3627739999999</v>
      </c>
      <c r="AC19" s="5130">
        <f t="shared" ca="1" si="8"/>
        <v>1085.2766879999999</v>
      </c>
      <c r="AD19" s="5130">
        <f t="shared" ca="1" si="8"/>
        <v>1074.1906019999999</v>
      </c>
      <c r="AE19" s="5130">
        <f t="shared" ca="1" si="8"/>
        <v>1063.1045159999999</v>
      </c>
      <c r="AF19" s="5130">
        <f t="shared" ca="1" si="8"/>
        <v>1052.0184300000001</v>
      </c>
      <c r="AG19" s="5130">
        <f t="shared" ca="1" si="8"/>
        <v>1040.9323440000001</v>
      </c>
      <c r="AH19" s="5130">
        <f t="shared" ca="1" si="8"/>
        <v>1029.846258</v>
      </c>
      <c r="AI19" s="5130">
        <f t="shared" ca="1" si="8"/>
        <v>1018.760172</v>
      </c>
      <c r="AJ19" s="5130">
        <f t="shared" ca="1" si="8"/>
        <v>1007.6740859999886</v>
      </c>
    </row>
    <row r="20" spans="2:36" s="64" customFormat="1" ht="14.25" customHeight="1" outlineLevel="1">
      <c r="B20" s="5123"/>
      <c r="C20" s="5124" t="s">
        <v>5322</v>
      </c>
      <c r="D20" s="5126">
        <f t="shared" ref="D20:D26" ca="1" si="9">SUM(F20:AJ20)</f>
        <v>60000.000000000029</v>
      </c>
      <c r="E20" s="5125"/>
      <c r="F20" s="5129"/>
      <c r="G20" s="5216">
        <f t="shared" ref="G20:AJ20" ca="1" si="10">G61</f>
        <v>0</v>
      </c>
      <c r="H20" s="5131">
        <f t="shared" ca="1" si="10"/>
        <v>2757.2727272727266</v>
      </c>
      <c r="I20" s="5131">
        <f t="shared" ca="1" si="10"/>
        <v>2814.0909090909081</v>
      </c>
      <c r="J20" s="5131">
        <f t="shared" ca="1" si="10"/>
        <v>2814.0909090909081</v>
      </c>
      <c r="K20" s="5131">
        <f t="shared" ca="1" si="10"/>
        <v>2814.0909090909081</v>
      </c>
      <c r="L20" s="5131">
        <f t="shared" ca="1" si="10"/>
        <v>2870.9090909090905</v>
      </c>
      <c r="M20" s="5131">
        <f t="shared" ca="1" si="10"/>
        <v>2927.7272727272716</v>
      </c>
      <c r="N20" s="5131">
        <f t="shared" ca="1" si="10"/>
        <v>2643.6363636363626</v>
      </c>
      <c r="O20" s="5131">
        <f t="shared" ca="1" si="10"/>
        <v>2700.4545454545441</v>
      </c>
      <c r="P20" s="5131">
        <f t="shared" ca="1" si="10"/>
        <v>3011.3636363636351</v>
      </c>
      <c r="Q20" s="5131">
        <f t="shared" ca="1" si="10"/>
        <v>3068.1818181818167</v>
      </c>
      <c r="R20" s="5131">
        <f t="shared" ca="1" si="10"/>
        <v>3579.5454545454527</v>
      </c>
      <c r="S20" s="5131">
        <f t="shared" ca="1" si="10"/>
        <v>3579.5454545454527</v>
      </c>
      <c r="T20" s="5131">
        <f t="shared" ca="1" si="10"/>
        <v>3636.3636363636342</v>
      </c>
      <c r="U20" s="5131">
        <f t="shared" ca="1" si="10"/>
        <v>3693.1818181818171</v>
      </c>
      <c r="V20" s="5131">
        <f t="shared" ca="1" si="10"/>
        <v>2272.7272727272721</v>
      </c>
      <c r="W20" s="5131">
        <f t="shared" ca="1" si="10"/>
        <v>2613.6363636363626</v>
      </c>
      <c r="X20" s="5131">
        <f t="shared" ca="1" si="10"/>
        <v>2670.4545454545441</v>
      </c>
      <c r="Y20" s="5131">
        <f t="shared" ca="1" si="10"/>
        <v>2272.7272727272721</v>
      </c>
      <c r="Z20" s="5131">
        <f t="shared" ca="1" si="10"/>
        <v>681.81818181818164</v>
      </c>
      <c r="AA20" s="5131">
        <f t="shared" ca="1" si="10"/>
        <v>681.81818181818164</v>
      </c>
      <c r="AB20" s="5131">
        <f t="shared" ca="1" si="10"/>
        <v>681.81818181818164</v>
      </c>
      <c r="AC20" s="5131">
        <f t="shared" ca="1" si="10"/>
        <v>681.81818181818164</v>
      </c>
      <c r="AD20" s="5131">
        <f t="shared" ca="1" si="10"/>
        <v>681.81818181818164</v>
      </c>
      <c r="AE20" s="5131">
        <f t="shared" ca="1" si="10"/>
        <v>681.81818181818164</v>
      </c>
      <c r="AF20" s="5131">
        <f t="shared" ca="1" si="10"/>
        <v>681.81818181818164</v>
      </c>
      <c r="AG20" s="5131">
        <f t="shared" ca="1" si="10"/>
        <v>681.81818181818164</v>
      </c>
      <c r="AH20" s="5131">
        <f t="shared" ca="1" si="10"/>
        <v>681.81818181818164</v>
      </c>
      <c r="AI20" s="5131">
        <f t="shared" ca="1" si="10"/>
        <v>681.81818181818164</v>
      </c>
      <c r="AJ20" s="5131">
        <f t="shared" ca="1" si="10"/>
        <v>441.81818181821006</v>
      </c>
    </row>
    <row r="21" spans="2:36" s="64" customFormat="1" ht="14.25" customHeight="1" outlineLevel="1">
      <c r="B21" s="5123"/>
      <c r="C21" s="5124" t="s">
        <v>5323</v>
      </c>
      <c r="D21" s="5126">
        <f t="shared" ca="1" si="9"/>
        <v>28150.743999999995</v>
      </c>
      <c r="E21" s="5125"/>
      <c r="F21" s="5129"/>
      <c r="G21" s="5216">
        <f ca="1">G57</f>
        <v>0</v>
      </c>
      <c r="H21" s="5131">
        <f ca="1">H57</f>
        <v>1293.6546447272713</v>
      </c>
      <c r="I21" s="5131">
        <f t="shared" ref="I21:AJ21" ca="1" si="11">I57</f>
        <v>1320.3125462424225</v>
      </c>
      <c r="J21" s="5131">
        <f t="shared" ca="1" si="11"/>
        <v>1320.3125462424225</v>
      </c>
      <c r="K21" s="5131">
        <f t="shared" ca="1" si="11"/>
        <v>1320.3125462424225</v>
      </c>
      <c r="L21" s="5131">
        <f t="shared" ca="1" si="11"/>
        <v>1346.9704477575744</v>
      </c>
      <c r="M21" s="5131">
        <f t="shared" ca="1" si="11"/>
        <v>1373.6283492727255</v>
      </c>
      <c r="N21" s="5131">
        <f t="shared" ca="1" si="11"/>
        <v>1240.3388416969683</v>
      </c>
      <c r="O21" s="5131">
        <f t="shared" ca="1" si="11"/>
        <v>1266.9967432121196</v>
      </c>
      <c r="P21" s="5131">
        <f t="shared" ca="1" si="11"/>
        <v>1412.8687803030284</v>
      </c>
      <c r="Q21" s="5131">
        <f t="shared" ca="1" si="11"/>
        <v>1439.5266818181799</v>
      </c>
      <c r="R21" s="5131">
        <f t="shared" ca="1" si="11"/>
        <v>1679.4477954545432</v>
      </c>
      <c r="S21" s="5131">
        <f t="shared" ca="1" si="11"/>
        <v>1679.4477954545432</v>
      </c>
      <c r="T21" s="5131">
        <f t="shared" ca="1" si="11"/>
        <v>1706.1056969696947</v>
      </c>
      <c r="U21" s="5131">
        <f t="shared" ca="1" si="11"/>
        <v>1732.7635984848464</v>
      </c>
      <c r="V21" s="5131">
        <f t="shared" ca="1" si="11"/>
        <v>1066.3160606060594</v>
      </c>
      <c r="W21" s="5131">
        <f t="shared" ca="1" si="11"/>
        <v>1226.2634696969683</v>
      </c>
      <c r="X21" s="5131">
        <f t="shared" ca="1" si="11"/>
        <v>1252.9213712121198</v>
      </c>
      <c r="Y21" s="5131">
        <f t="shared" ca="1" si="11"/>
        <v>1066.3160606060594</v>
      </c>
      <c r="Z21" s="5131">
        <f t="shared" ca="1" si="11"/>
        <v>319.89481818181781</v>
      </c>
      <c r="AA21" s="5131">
        <f t="shared" ca="1" si="11"/>
        <v>319.89481818181781</v>
      </c>
      <c r="AB21" s="5131">
        <f t="shared" ca="1" si="11"/>
        <v>319.89481818181781</v>
      </c>
      <c r="AC21" s="5131">
        <f t="shared" ca="1" si="11"/>
        <v>319.89481818181781</v>
      </c>
      <c r="AD21" s="5131">
        <f t="shared" ca="1" si="11"/>
        <v>319.89481818181781</v>
      </c>
      <c r="AE21" s="5131">
        <f t="shared" ca="1" si="11"/>
        <v>319.89481818181781</v>
      </c>
      <c r="AF21" s="5131">
        <f t="shared" ca="1" si="11"/>
        <v>319.89481818181781</v>
      </c>
      <c r="AG21" s="5131">
        <f t="shared" ca="1" si="11"/>
        <v>319.89481818181781</v>
      </c>
      <c r="AH21" s="5131">
        <f t="shared" ca="1" si="11"/>
        <v>319.89481818181781</v>
      </c>
      <c r="AI21" s="5131">
        <f t="shared" ca="1" si="11"/>
        <v>319.89481818181781</v>
      </c>
      <c r="AJ21" s="5131">
        <f t="shared" ca="1" si="11"/>
        <v>207.29184218183212</v>
      </c>
    </row>
    <row r="22" spans="2:36" s="64" customFormat="1" ht="14.25" customHeight="1" outlineLevel="1">
      <c r="B22" s="5123"/>
      <c r="C22" s="5124" t="s">
        <v>5328</v>
      </c>
      <c r="D22" s="5411">
        <f t="shared" ca="1" si="9"/>
        <v>0</v>
      </c>
      <c r="E22" s="5125"/>
      <c r="F22" s="5129"/>
      <c r="G22" s="5216">
        <f ca="1">-MIN(G19-G20-G21,0)</f>
        <v>0</v>
      </c>
      <c r="H22" s="5131">
        <f ca="1">-MIN(H19-H20-H21,0)</f>
        <v>0</v>
      </c>
      <c r="I22" s="5131">
        <f t="shared" ref="I22:AJ22" ca="1" si="12">-MIN(I19-I20-I21,0)</f>
        <v>0</v>
      </c>
      <c r="J22" s="5131">
        <f t="shared" ca="1" si="12"/>
        <v>0</v>
      </c>
      <c r="K22" s="5131">
        <f t="shared" ca="1" si="12"/>
        <v>0</v>
      </c>
      <c r="L22" s="5131">
        <f t="shared" ca="1" si="12"/>
        <v>0</v>
      </c>
      <c r="M22" s="5131">
        <f t="shared" ca="1" si="12"/>
        <v>0</v>
      </c>
      <c r="N22" s="5131">
        <f t="shared" ca="1" si="12"/>
        <v>0</v>
      </c>
      <c r="O22" s="5131">
        <f t="shared" ca="1" si="12"/>
        <v>0</v>
      </c>
      <c r="P22" s="5131">
        <f t="shared" ca="1" si="12"/>
        <v>0</v>
      </c>
      <c r="Q22" s="5131">
        <f t="shared" ca="1" si="12"/>
        <v>0</v>
      </c>
      <c r="R22" s="5131">
        <f t="shared" ca="1" si="12"/>
        <v>0</v>
      </c>
      <c r="S22" s="5131">
        <f t="shared" ca="1" si="12"/>
        <v>0</v>
      </c>
      <c r="T22" s="5131">
        <f t="shared" ca="1" si="12"/>
        <v>0</v>
      </c>
      <c r="U22" s="5131">
        <f t="shared" ca="1" si="12"/>
        <v>0</v>
      </c>
      <c r="V22" s="5131">
        <f t="shared" ca="1" si="12"/>
        <v>0</v>
      </c>
      <c r="W22" s="5131">
        <f t="shared" ca="1" si="12"/>
        <v>0</v>
      </c>
      <c r="X22" s="5131">
        <f t="shared" ca="1" si="12"/>
        <v>0</v>
      </c>
      <c r="Y22" s="5131">
        <f t="shared" ca="1" si="12"/>
        <v>0</v>
      </c>
      <c r="Z22" s="5131">
        <f t="shared" ca="1" si="12"/>
        <v>0</v>
      </c>
      <c r="AA22" s="5131">
        <f t="shared" ca="1" si="12"/>
        <v>0</v>
      </c>
      <c r="AB22" s="5131">
        <f t="shared" ca="1" si="12"/>
        <v>0</v>
      </c>
      <c r="AC22" s="5131">
        <f t="shared" ca="1" si="12"/>
        <v>0</v>
      </c>
      <c r="AD22" s="5131">
        <f t="shared" ca="1" si="12"/>
        <v>0</v>
      </c>
      <c r="AE22" s="5131">
        <f t="shared" ca="1" si="12"/>
        <v>0</v>
      </c>
      <c r="AF22" s="5131">
        <f t="shared" ca="1" si="12"/>
        <v>0</v>
      </c>
      <c r="AG22" s="5131">
        <f t="shared" ca="1" si="12"/>
        <v>0</v>
      </c>
      <c r="AH22" s="5131">
        <f t="shared" ca="1" si="12"/>
        <v>0</v>
      </c>
      <c r="AI22" s="5131">
        <f t="shared" ca="1" si="12"/>
        <v>0</v>
      </c>
      <c r="AJ22" s="5444">
        <f t="shared" ca="1" si="12"/>
        <v>0</v>
      </c>
    </row>
    <row r="23" spans="2:36" s="64" customFormat="1" ht="14.25" customHeight="1" outlineLevel="1">
      <c r="B23" s="5123"/>
      <c r="C23" s="5124" t="s">
        <v>5324</v>
      </c>
      <c r="D23" s="5126">
        <f t="shared" ca="1" si="9"/>
        <v>60000.000000000029</v>
      </c>
      <c r="E23" s="5125"/>
      <c r="F23" s="5129"/>
      <c r="G23" s="5216">
        <f t="shared" ref="G23:AJ23" ca="1" si="13">G20-G22*$C$61</f>
        <v>0</v>
      </c>
      <c r="H23" s="5131">
        <f t="shared" ca="1" si="13"/>
        <v>2757.2727272727266</v>
      </c>
      <c r="I23" s="5131">
        <f t="shared" ca="1" si="13"/>
        <v>2814.0909090909081</v>
      </c>
      <c r="J23" s="5131">
        <f t="shared" ca="1" si="13"/>
        <v>2814.0909090909081</v>
      </c>
      <c r="K23" s="5131">
        <f t="shared" ca="1" si="13"/>
        <v>2814.0909090909081</v>
      </c>
      <c r="L23" s="5131">
        <f t="shared" ca="1" si="13"/>
        <v>2870.9090909090905</v>
      </c>
      <c r="M23" s="5131">
        <f t="shared" ca="1" si="13"/>
        <v>2927.7272727272716</v>
      </c>
      <c r="N23" s="5131">
        <f t="shared" ca="1" si="13"/>
        <v>2643.6363636363626</v>
      </c>
      <c r="O23" s="5131">
        <f t="shared" ca="1" si="13"/>
        <v>2700.4545454545441</v>
      </c>
      <c r="P23" s="5131">
        <f t="shared" ca="1" si="13"/>
        <v>3011.3636363636351</v>
      </c>
      <c r="Q23" s="5131">
        <f t="shared" ca="1" si="13"/>
        <v>3068.1818181818167</v>
      </c>
      <c r="R23" s="5131">
        <f t="shared" ca="1" si="13"/>
        <v>3579.5454545454527</v>
      </c>
      <c r="S23" s="5131">
        <f t="shared" ca="1" si="13"/>
        <v>3579.5454545454527</v>
      </c>
      <c r="T23" s="5131">
        <f t="shared" ca="1" si="13"/>
        <v>3636.3636363636342</v>
      </c>
      <c r="U23" s="5131">
        <f t="shared" ca="1" si="13"/>
        <v>3693.1818181818171</v>
      </c>
      <c r="V23" s="5131">
        <f t="shared" ca="1" si="13"/>
        <v>2272.7272727272721</v>
      </c>
      <c r="W23" s="5131">
        <f t="shared" ca="1" si="13"/>
        <v>2613.6363636363626</v>
      </c>
      <c r="X23" s="5131">
        <f t="shared" ca="1" si="13"/>
        <v>2670.4545454545441</v>
      </c>
      <c r="Y23" s="5131">
        <f t="shared" ca="1" si="13"/>
        <v>2272.7272727272721</v>
      </c>
      <c r="Z23" s="5131">
        <f t="shared" ca="1" si="13"/>
        <v>681.81818181818164</v>
      </c>
      <c r="AA23" s="5131">
        <f t="shared" ca="1" si="13"/>
        <v>681.81818181818164</v>
      </c>
      <c r="AB23" s="5131">
        <f t="shared" ca="1" si="13"/>
        <v>681.81818181818164</v>
      </c>
      <c r="AC23" s="5131">
        <f t="shared" ca="1" si="13"/>
        <v>681.81818181818164</v>
      </c>
      <c r="AD23" s="5131">
        <f t="shared" ca="1" si="13"/>
        <v>681.81818181818164</v>
      </c>
      <c r="AE23" s="5131">
        <f t="shared" ca="1" si="13"/>
        <v>681.81818181818164</v>
      </c>
      <c r="AF23" s="5131">
        <f t="shared" ca="1" si="13"/>
        <v>681.81818181818164</v>
      </c>
      <c r="AG23" s="5131">
        <f t="shared" ca="1" si="13"/>
        <v>681.81818181818164</v>
      </c>
      <c r="AH23" s="5131">
        <f t="shared" ca="1" si="13"/>
        <v>681.81818181818164</v>
      </c>
      <c r="AI23" s="5131">
        <f t="shared" ca="1" si="13"/>
        <v>681.81818181818164</v>
      </c>
      <c r="AJ23" s="5131">
        <f t="shared" ca="1" si="13"/>
        <v>441.81818181821006</v>
      </c>
    </row>
    <row r="24" spans="2:36" s="64" customFormat="1" ht="14.25" customHeight="1" outlineLevel="1">
      <c r="B24" s="5123"/>
      <c r="C24" s="5124" t="s">
        <v>5325</v>
      </c>
      <c r="D24" s="5126">
        <f t="shared" ca="1" si="9"/>
        <v>28150.743999999995</v>
      </c>
      <c r="E24" s="5125"/>
      <c r="F24" s="5129"/>
      <c r="G24" s="5216">
        <f t="shared" ref="G24:AJ24" ca="1" si="14">G21-G22*$C$57</f>
        <v>0</v>
      </c>
      <c r="H24" s="5131">
        <f t="shared" ca="1" si="14"/>
        <v>1293.6546447272713</v>
      </c>
      <c r="I24" s="5131">
        <f t="shared" ca="1" si="14"/>
        <v>1320.3125462424225</v>
      </c>
      <c r="J24" s="5131">
        <f t="shared" ca="1" si="14"/>
        <v>1320.3125462424225</v>
      </c>
      <c r="K24" s="5131">
        <f t="shared" ca="1" si="14"/>
        <v>1320.3125462424225</v>
      </c>
      <c r="L24" s="5131">
        <f t="shared" ca="1" si="14"/>
        <v>1346.9704477575744</v>
      </c>
      <c r="M24" s="5131">
        <f t="shared" ca="1" si="14"/>
        <v>1373.6283492727255</v>
      </c>
      <c r="N24" s="5131">
        <f t="shared" ca="1" si="14"/>
        <v>1240.3388416969683</v>
      </c>
      <c r="O24" s="5131">
        <f t="shared" ca="1" si="14"/>
        <v>1266.9967432121196</v>
      </c>
      <c r="P24" s="5131">
        <f t="shared" ca="1" si="14"/>
        <v>1412.8687803030284</v>
      </c>
      <c r="Q24" s="5131">
        <f t="shared" ca="1" si="14"/>
        <v>1439.5266818181799</v>
      </c>
      <c r="R24" s="5131">
        <f t="shared" ca="1" si="14"/>
        <v>1679.4477954545432</v>
      </c>
      <c r="S24" s="5131">
        <f t="shared" ca="1" si="14"/>
        <v>1679.4477954545432</v>
      </c>
      <c r="T24" s="5131">
        <f t="shared" ca="1" si="14"/>
        <v>1706.1056969696947</v>
      </c>
      <c r="U24" s="5131">
        <f t="shared" ca="1" si="14"/>
        <v>1732.7635984848464</v>
      </c>
      <c r="V24" s="5131">
        <f t="shared" ca="1" si="14"/>
        <v>1066.3160606060594</v>
      </c>
      <c r="W24" s="5131">
        <f t="shared" ca="1" si="14"/>
        <v>1226.2634696969683</v>
      </c>
      <c r="X24" s="5131">
        <f t="shared" ca="1" si="14"/>
        <v>1252.9213712121198</v>
      </c>
      <c r="Y24" s="5131">
        <f t="shared" ca="1" si="14"/>
        <v>1066.3160606060594</v>
      </c>
      <c r="Z24" s="5131">
        <f t="shared" ca="1" si="14"/>
        <v>319.89481818181781</v>
      </c>
      <c r="AA24" s="5131">
        <f t="shared" ca="1" si="14"/>
        <v>319.89481818181781</v>
      </c>
      <c r="AB24" s="5131">
        <f t="shared" ca="1" si="14"/>
        <v>319.89481818181781</v>
      </c>
      <c r="AC24" s="5131">
        <f t="shared" ca="1" si="14"/>
        <v>319.89481818181781</v>
      </c>
      <c r="AD24" s="5131">
        <f t="shared" ca="1" si="14"/>
        <v>319.89481818181781</v>
      </c>
      <c r="AE24" s="5131">
        <f t="shared" ca="1" si="14"/>
        <v>319.89481818181781</v>
      </c>
      <c r="AF24" s="5131">
        <f t="shared" ca="1" si="14"/>
        <v>319.89481818181781</v>
      </c>
      <c r="AG24" s="5131">
        <f t="shared" ca="1" si="14"/>
        <v>319.89481818181781</v>
      </c>
      <c r="AH24" s="5131">
        <f t="shared" ca="1" si="14"/>
        <v>319.89481818181781</v>
      </c>
      <c r="AI24" s="5131">
        <f t="shared" ca="1" si="14"/>
        <v>319.89481818181781</v>
      </c>
      <c r="AJ24" s="5131">
        <f t="shared" ca="1" si="14"/>
        <v>207.29184218183212</v>
      </c>
    </row>
    <row r="25" spans="2:36" s="64" customFormat="1" ht="14.25" customHeight="1" outlineLevel="1">
      <c r="B25" s="5123"/>
      <c r="C25" s="5124" t="s">
        <v>5326</v>
      </c>
      <c r="D25" s="5411">
        <f t="shared" ca="1" si="9"/>
        <v>0</v>
      </c>
      <c r="E25" s="5125"/>
      <c r="F25" s="5129"/>
      <c r="G25" s="5216">
        <f ca="1">G20-G23</f>
        <v>0</v>
      </c>
      <c r="H25" s="5131">
        <f ca="1">H20-H23</f>
        <v>0</v>
      </c>
      <c r="I25" s="5131">
        <f t="shared" ref="I25:AJ25" ca="1" si="15">I20-I23</f>
        <v>0</v>
      </c>
      <c r="J25" s="5131">
        <f t="shared" ca="1" si="15"/>
        <v>0</v>
      </c>
      <c r="K25" s="5131">
        <f t="shared" ca="1" si="15"/>
        <v>0</v>
      </c>
      <c r="L25" s="5131">
        <f t="shared" ca="1" si="15"/>
        <v>0</v>
      </c>
      <c r="M25" s="5131">
        <f t="shared" ca="1" si="15"/>
        <v>0</v>
      </c>
      <c r="N25" s="5131">
        <f t="shared" ca="1" si="15"/>
        <v>0</v>
      </c>
      <c r="O25" s="5131">
        <f t="shared" ca="1" si="15"/>
        <v>0</v>
      </c>
      <c r="P25" s="5131">
        <f t="shared" ca="1" si="15"/>
        <v>0</v>
      </c>
      <c r="Q25" s="5131">
        <f t="shared" ca="1" si="15"/>
        <v>0</v>
      </c>
      <c r="R25" s="5131">
        <f t="shared" ca="1" si="15"/>
        <v>0</v>
      </c>
      <c r="S25" s="5131">
        <f t="shared" ca="1" si="15"/>
        <v>0</v>
      </c>
      <c r="T25" s="5131">
        <f t="shared" ca="1" si="15"/>
        <v>0</v>
      </c>
      <c r="U25" s="5131">
        <f t="shared" ca="1" si="15"/>
        <v>0</v>
      </c>
      <c r="V25" s="5131">
        <f t="shared" ca="1" si="15"/>
        <v>0</v>
      </c>
      <c r="W25" s="5131">
        <f t="shared" ca="1" si="15"/>
        <v>0</v>
      </c>
      <c r="X25" s="5131">
        <f t="shared" ca="1" si="15"/>
        <v>0</v>
      </c>
      <c r="Y25" s="5131">
        <f t="shared" ca="1" si="15"/>
        <v>0</v>
      </c>
      <c r="Z25" s="5131">
        <f t="shared" ca="1" si="15"/>
        <v>0</v>
      </c>
      <c r="AA25" s="5131">
        <f t="shared" ca="1" si="15"/>
        <v>0</v>
      </c>
      <c r="AB25" s="5131">
        <f t="shared" ca="1" si="15"/>
        <v>0</v>
      </c>
      <c r="AC25" s="5131">
        <f t="shared" ca="1" si="15"/>
        <v>0</v>
      </c>
      <c r="AD25" s="5131">
        <f t="shared" ca="1" si="15"/>
        <v>0</v>
      </c>
      <c r="AE25" s="5131">
        <f t="shared" ca="1" si="15"/>
        <v>0</v>
      </c>
      <c r="AF25" s="5131">
        <f t="shared" ca="1" si="15"/>
        <v>0</v>
      </c>
      <c r="AG25" s="5131">
        <f t="shared" ca="1" si="15"/>
        <v>0</v>
      </c>
      <c r="AH25" s="5131">
        <f t="shared" ca="1" si="15"/>
        <v>0</v>
      </c>
      <c r="AI25" s="5131">
        <f t="shared" ca="1" si="15"/>
        <v>0</v>
      </c>
      <c r="AJ25" s="5131">
        <f t="shared" ca="1" si="15"/>
        <v>0</v>
      </c>
    </row>
    <row r="26" spans="2:36" s="64" customFormat="1" ht="14.25" customHeight="1" outlineLevel="1">
      <c r="B26" s="5123"/>
      <c r="C26" s="5124" t="s">
        <v>5327</v>
      </c>
      <c r="D26" s="5411">
        <f t="shared" ca="1" si="9"/>
        <v>0</v>
      </c>
      <c r="E26" s="5125"/>
      <c r="F26" s="5129"/>
      <c r="G26" s="5216">
        <f ca="1">G21-G24</f>
        <v>0</v>
      </c>
      <c r="H26" s="5131">
        <f ca="1">H21-H24</f>
        <v>0</v>
      </c>
      <c r="I26" s="5131">
        <f t="shared" ref="I26:AJ26" ca="1" si="16">I21-I24</f>
        <v>0</v>
      </c>
      <c r="J26" s="5131">
        <f t="shared" ca="1" si="16"/>
        <v>0</v>
      </c>
      <c r="K26" s="5131">
        <f t="shared" ca="1" si="16"/>
        <v>0</v>
      </c>
      <c r="L26" s="5131">
        <f t="shared" ca="1" si="16"/>
        <v>0</v>
      </c>
      <c r="M26" s="5131">
        <f t="shared" ca="1" si="16"/>
        <v>0</v>
      </c>
      <c r="N26" s="5131">
        <f t="shared" ca="1" si="16"/>
        <v>0</v>
      </c>
      <c r="O26" s="5131">
        <f t="shared" ca="1" si="16"/>
        <v>0</v>
      </c>
      <c r="P26" s="5131">
        <f t="shared" ca="1" si="16"/>
        <v>0</v>
      </c>
      <c r="Q26" s="5131">
        <f t="shared" ca="1" si="16"/>
        <v>0</v>
      </c>
      <c r="R26" s="5131">
        <f t="shared" ca="1" si="16"/>
        <v>0</v>
      </c>
      <c r="S26" s="5131">
        <f t="shared" ca="1" si="16"/>
        <v>0</v>
      </c>
      <c r="T26" s="5131">
        <f t="shared" ca="1" si="16"/>
        <v>0</v>
      </c>
      <c r="U26" s="5131">
        <f t="shared" ca="1" si="16"/>
        <v>0</v>
      </c>
      <c r="V26" s="5131">
        <f t="shared" ca="1" si="16"/>
        <v>0</v>
      </c>
      <c r="W26" s="5131">
        <f t="shared" ca="1" si="16"/>
        <v>0</v>
      </c>
      <c r="X26" s="5131">
        <f t="shared" ca="1" si="16"/>
        <v>0</v>
      </c>
      <c r="Y26" s="5131">
        <f t="shared" ca="1" si="16"/>
        <v>0</v>
      </c>
      <c r="Z26" s="5131">
        <f t="shared" ca="1" si="16"/>
        <v>0</v>
      </c>
      <c r="AA26" s="5131">
        <f t="shared" ca="1" si="16"/>
        <v>0</v>
      </c>
      <c r="AB26" s="5131">
        <f t="shared" ca="1" si="16"/>
        <v>0</v>
      </c>
      <c r="AC26" s="5131">
        <f t="shared" ca="1" si="16"/>
        <v>0</v>
      </c>
      <c r="AD26" s="5131">
        <f t="shared" ca="1" si="16"/>
        <v>0</v>
      </c>
      <c r="AE26" s="5131">
        <f t="shared" ca="1" si="16"/>
        <v>0</v>
      </c>
      <c r="AF26" s="5131">
        <f t="shared" ca="1" si="16"/>
        <v>0</v>
      </c>
      <c r="AG26" s="5131">
        <f t="shared" ca="1" si="16"/>
        <v>0</v>
      </c>
      <c r="AH26" s="5131">
        <f t="shared" ca="1" si="16"/>
        <v>0</v>
      </c>
      <c r="AI26" s="5131">
        <f t="shared" ca="1" si="16"/>
        <v>0</v>
      </c>
      <c r="AJ26" s="5131">
        <f t="shared" ca="1" si="16"/>
        <v>0</v>
      </c>
    </row>
    <row r="27" spans="2:36" s="64" customFormat="1" ht="14.25" customHeight="1" outlineLevel="1">
      <c r="B27" s="5119" t="s">
        <v>5412</v>
      </c>
      <c r="C27" s="5120" t="s">
        <v>5136</v>
      </c>
      <c r="D27" s="5122"/>
      <c r="E27" s="5121"/>
      <c r="F27" s="5128"/>
      <c r="G27" s="5215">
        <f ca="1">G19-G23-G24</f>
        <v>0</v>
      </c>
      <c r="H27" s="5130">
        <f ca="1">H19-H23-H24</f>
        <v>911.00019600000223</v>
      </c>
      <c r="I27" s="5130">
        <f t="shared" ref="I27:AJ27" ca="1" si="17">I19-I23-I24</f>
        <v>866.22876866666934</v>
      </c>
      <c r="J27" s="5130">
        <f t="shared" ca="1" si="17"/>
        <v>820.96058416666961</v>
      </c>
      <c r="K27" s="5130">
        <f t="shared" ca="1" si="17"/>
        <v>775.69239966666896</v>
      </c>
      <c r="L27" s="5130">
        <f t="shared" ca="1" si="17"/>
        <v>729.99713183333574</v>
      </c>
      <c r="M27" s="5130">
        <f t="shared" ca="1" si="17"/>
        <v>683.37802350000243</v>
      </c>
      <c r="N27" s="5130">
        <f t="shared" ca="1" si="17"/>
        <v>638.39757466666879</v>
      </c>
      <c r="O27" s="5130">
        <f t="shared" ca="1" si="17"/>
        <v>595.47382833333609</v>
      </c>
      <c r="P27" s="5130">
        <f t="shared" ca="1" si="17"/>
        <v>593.56619683333565</v>
      </c>
      <c r="Q27" s="5130">
        <f t="shared" ca="1" si="17"/>
        <v>544.1755670000025</v>
      </c>
      <c r="R27" s="5130">
        <f t="shared" ca="1" si="17"/>
        <v>490.44443000000319</v>
      </c>
      <c r="S27" s="5130">
        <f t="shared" ca="1" si="17"/>
        <v>432.24247850000393</v>
      </c>
      <c r="T27" s="5130">
        <f t="shared" ca="1" si="17"/>
        <v>373.61344366667072</v>
      </c>
      <c r="U27" s="5130">
        <f t="shared" ca="1" si="17"/>
        <v>314.06056833333719</v>
      </c>
      <c r="V27" s="5130">
        <f t="shared" ca="1" si="17"/>
        <v>264.68801916666848</v>
      </c>
      <c r="W27" s="5130">
        <f t="shared" ca="1" si="17"/>
        <v>225.17189916666871</v>
      </c>
      <c r="X27" s="5130">
        <f t="shared" ca="1" si="17"/>
        <v>182.24815283333578</v>
      </c>
      <c r="Y27" s="5130">
        <f t="shared" ca="1" si="17"/>
        <v>141.81723266666836</v>
      </c>
      <c r="Z27" s="5130">
        <f t="shared" ca="1" si="17"/>
        <v>116.82194600000054</v>
      </c>
      <c r="AA27" s="5130">
        <f t="shared" ca="1" si="17"/>
        <v>105.73586000000051</v>
      </c>
      <c r="AB27" s="5130">
        <f t="shared" ca="1" si="17"/>
        <v>94.649774000000491</v>
      </c>
      <c r="AC27" s="5130">
        <f t="shared" ca="1" si="17"/>
        <v>83.563688000000468</v>
      </c>
      <c r="AD27" s="5130">
        <f t="shared" ca="1" si="17"/>
        <v>72.477602000000445</v>
      </c>
      <c r="AE27" s="5130">
        <f t="shared" ca="1" si="17"/>
        <v>61.391516000000422</v>
      </c>
      <c r="AF27" s="5130">
        <f t="shared" ca="1" si="17"/>
        <v>50.305430000000626</v>
      </c>
      <c r="AG27" s="5130">
        <f t="shared" ca="1" si="17"/>
        <v>39.219344000000604</v>
      </c>
      <c r="AH27" s="5130">
        <f t="shared" ca="1" si="17"/>
        <v>28.133258000000581</v>
      </c>
      <c r="AI27" s="5130">
        <f t="shared" ca="1" si="17"/>
        <v>17.047172000000558</v>
      </c>
      <c r="AJ27" s="5130">
        <f t="shared" ca="1" si="17"/>
        <v>358.56406199994643</v>
      </c>
    </row>
    <row r="28" spans="2:36" s="64" customFormat="1" ht="14.25" customHeight="1" outlineLevel="1">
      <c r="B28" s="5123"/>
      <c r="C28" s="5124" t="s">
        <v>1137</v>
      </c>
      <c r="D28" s="5126">
        <f ca="1">SUM(F28:AJ28)</f>
        <v>6416.503486924039</v>
      </c>
      <c r="E28" s="5125"/>
      <c r="F28" s="5129"/>
      <c r="G28" s="5216">
        <f t="shared" ref="G28:AJ28" ca="1" si="18">G64</f>
        <v>0</v>
      </c>
      <c r="H28" s="5131">
        <f t="shared" ca="1" si="18"/>
        <v>574.68493150684935</v>
      </c>
      <c r="I28" s="5131">
        <f t="shared" ca="1" si="18"/>
        <v>548.27554669987546</v>
      </c>
      <c r="J28" s="5131">
        <f t="shared" ca="1" si="18"/>
        <v>509.98886674968867</v>
      </c>
      <c r="K28" s="5131">
        <f t="shared" ca="1" si="18"/>
        <v>488.9947895392279</v>
      </c>
      <c r="L28" s="5131">
        <f t="shared" ca="1" si="18"/>
        <v>467.41476463262757</v>
      </c>
      <c r="M28" s="5131">
        <f t="shared" ca="1" si="18"/>
        <v>439.91696139476966</v>
      </c>
      <c r="N28" s="5131">
        <f t="shared" ca="1" si="18"/>
        <v>407.39804732254044</v>
      </c>
      <c r="O28" s="5131">
        <f t="shared" ca="1" si="18"/>
        <v>382.35230884184313</v>
      </c>
      <c r="P28" s="5131">
        <f t="shared" ca="1" si="18"/>
        <v>360.68880697384816</v>
      </c>
      <c r="Q28" s="5131">
        <f t="shared" ca="1" si="18"/>
        <v>331.84571855541731</v>
      </c>
      <c r="R28" s="5131">
        <f t="shared" ca="1" si="18"/>
        <v>295.88323785803249</v>
      </c>
      <c r="S28" s="5131">
        <f t="shared" ca="1" si="18"/>
        <v>265.25831382316323</v>
      </c>
      <c r="T28" s="5131">
        <f t="shared" ca="1" si="18"/>
        <v>233.88805977584076</v>
      </c>
      <c r="U28" s="5131">
        <f t="shared" ca="1" si="18"/>
        <v>199.05866998754692</v>
      </c>
      <c r="V28" s="5131">
        <f t="shared" ca="1" si="18"/>
        <v>160.12669987546721</v>
      </c>
      <c r="W28" s="5131">
        <f t="shared" ca="1" si="18"/>
        <v>140.37412951432151</v>
      </c>
      <c r="X28" s="5131">
        <f t="shared" ca="1" si="18"/>
        <v>116.88307845579104</v>
      </c>
      <c r="Y28" s="5131">
        <f t="shared" ca="1" si="18"/>
        <v>91.30524533001271</v>
      </c>
      <c r="Z28" s="5131">
        <f t="shared" ca="1" si="18"/>
        <v>68.02520547945231</v>
      </c>
      <c r="AA28" s="5131">
        <f t="shared" ca="1" si="18"/>
        <v>62.321514321295396</v>
      </c>
      <c r="AB28" s="5131">
        <f t="shared" ca="1" si="18"/>
        <v>56.475855541718808</v>
      </c>
      <c r="AC28" s="5131">
        <f t="shared" ca="1" si="18"/>
        <v>49.945344956413706</v>
      </c>
      <c r="AD28" s="5131">
        <f t="shared" ca="1" si="18"/>
        <v>42.942933997509591</v>
      </c>
      <c r="AE28" s="5131">
        <f t="shared" ca="1" si="18"/>
        <v>36.48340722291433</v>
      </c>
      <c r="AF28" s="5131">
        <f t="shared" ca="1" si="18"/>
        <v>30.353813200498394</v>
      </c>
      <c r="AG28" s="5131">
        <f t="shared" ca="1" si="18"/>
        <v>23.823302615193288</v>
      </c>
      <c r="AH28" s="5131">
        <f t="shared" ca="1" si="18"/>
        <v>16.916861768368879</v>
      </c>
      <c r="AI28" s="5131">
        <f t="shared" ca="1" si="18"/>
        <v>10.645300124533266</v>
      </c>
      <c r="AJ28" s="5131">
        <f t="shared" ca="1" si="18"/>
        <v>4.2317708592779786</v>
      </c>
    </row>
    <row r="29" spans="2:36" s="64" customFormat="1" ht="14.25" customHeight="1" outlineLevel="1">
      <c r="B29" s="5123"/>
      <c r="C29" s="5124" t="s">
        <v>5135</v>
      </c>
      <c r="D29" s="5126">
        <f ca="1">SUM(F29:AJ29)</f>
        <v>6416.503486924039</v>
      </c>
      <c r="E29" s="5125"/>
      <c r="F29" s="5129"/>
      <c r="G29" s="5216">
        <f t="shared" ref="G29:H29" ca="1" si="19">MIN(G27,G28)</f>
        <v>0</v>
      </c>
      <c r="H29" s="5131">
        <f t="shared" ca="1" si="19"/>
        <v>574.68493150684935</v>
      </c>
      <c r="I29" s="5131">
        <f t="shared" ref="I29" ca="1" si="20">MIN(I27,I28)</f>
        <v>548.27554669987546</v>
      </c>
      <c r="J29" s="5131">
        <f t="shared" ref="J29" ca="1" si="21">MIN(J27,J28)</f>
        <v>509.98886674968867</v>
      </c>
      <c r="K29" s="5131">
        <f t="shared" ref="K29" ca="1" si="22">MIN(K27,K28)</f>
        <v>488.9947895392279</v>
      </c>
      <c r="L29" s="5131">
        <f t="shared" ref="L29" ca="1" si="23">MIN(L27,L28)</f>
        <v>467.41476463262757</v>
      </c>
      <c r="M29" s="5131">
        <f t="shared" ref="M29" ca="1" si="24">MIN(M27,M28)</f>
        <v>439.91696139476966</v>
      </c>
      <c r="N29" s="5131">
        <f t="shared" ref="N29" ca="1" si="25">MIN(N27,N28)</f>
        <v>407.39804732254044</v>
      </c>
      <c r="O29" s="5131">
        <f t="shared" ref="O29" ca="1" si="26">MIN(O27,O28)</f>
        <v>382.35230884184313</v>
      </c>
      <c r="P29" s="5131">
        <f t="shared" ref="P29" ca="1" si="27">MIN(P27,P28)</f>
        <v>360.68880697384816</v>
      </c>
      <c r="Q29" s="5131">
        <f t="shared" ref="Q29" ca="1" si="28">MIN(Q27,Q28)</f>
        <v>331.84571855541731</v>
      </c>
      <c r="R29" s="5131">
        <f t="shared" ref="R29" ca="1" si="29">MIN(R27,R28)</f>
        <v>295.88323785803249</v>
      </c>
      <c r="S29" s="5131">
        <f t="shared" ref="S29" ca="1" si="30">MIN(S27,S28)</f>
        <v>265.25831382316323</v>
      </c>
      <c r="T29" s="5131">
        <f t="shared" ref="T29" ca="1" si="31">MIN(T27,T28)</f>
        <v>233.88805977584076</v>
      </c>
      <c r="U29" s="5131">
        <f t="shared" ref="U29" ca="1" si="32">MIN(U27,U28)</f>
        <v>199.05866998754692</v>
      </c>
      <c r="V29" s="5131">
        <f t="shared" ref="V29" ca="1" si="33">MIN(V27,V28)</f>
        <v>160.12669987546721</v>
      </c>
      <c r="W29" s="5131">
        <f t="shared" ref="W29" ca="1" si="34">MIN(W27,W28)</f>
        <v>140.37412951432151</v>
      </c>
      <c r="X29" s="5131">
        <f t="shared" ref="X29" ca="1" si="35">MIN(X27,X28)</f>
        <v>116.88307845579104</v>
      </c>
      <c r="Y29" s="5131">
        <f t="shared" ref="Y29" ca="1" si="36">MIN(Y27,Y28)</f>
        <v>91.30524533001271</v>
      </c>
      <c r="Z29" s="5131">
        <f t="shared" ref="Z29" ca="1" si="37">MIN(Z27,Z28)</f>
        <v>68.02520547945231</v>
      </c>
      <c r="AA29" s="5131">
        <f t="shared" ref="AA29" ca="1" si="38">MIN(AA27,AA28)</f>
        <v>62.321514321295396</v>
      </c>
      <c r="AB29" s="5131">
        <f t="shared" ref="AB29" ca="1" si="39">MIN(AB27,AB28)</f>
        <v>56.475855541718808</v>
      </c>
      <c r="AC29" s="5131">
        <f t="shared" ref="AC29" ca="1" si="40">MIN(AC27,AC28)</f>
        <v>49.945344956413706</v>
      </c>
      <c r="AD29" s="5131">
        <f t="shared" ref="AD29" ca="1" si="41">MIN(AD27,AD28)</f>
        <v>42.942933997509591</v>
      </c>
      <c r="AE29" s="5131">
        <f t="shared" ref="AE29" ca="1" si="42">MIN(AE27,AE28)</f>
        <v>36.48340722291433</v>
      </c>
      <c r="AF29" s="5131">
        <f t="shared" ref="AF29" ca="1" si="43">MIN(AF27,AF28)</f>
        <v>30.353813200498394</v>
      </c>
      <c r="AG29" s="5131">
        <f t="shared" ref="AG29" ca="1" si="44">MIN(AG27,AG28)</f>
        <v>23.823302615193288</v>
      </c>
      <c r="AH29" s="5131">
        <f t="shared" ref="AH29" ca="1" si="45">MIN(AH27,AH28)</f>
        <v>16.916861768368879</v>
      </c>
      <c r="AI29" s="5131">
        <f t="shared" ref="AI29" ca="1" si="46">MIN(AI27,AI28)</f>
        <v>10.645300124533266</v>
      </c>
      <c r="AJ29" s="5131">
        <f t="shared" ref="AJ29" ca="1" si="47">MIN(AJ27,AJ28)</f>
        <v>4.2317708592779786</v>
      </c>
    </row>
    <row r="30" spans="2:36" s="64" customFormat="1" ht="14.25" customHeight="1" outlineLevel="1">
      <c r="B30" s="5123"/>
      <c r="C30" s="5124" t="s">
        <v>5161</v>
      </c>
      <c r="D30" s="5126">
        <f ca="1">SUM(F30:AJ30)</f>
        <v>0</v>
      </c>
      <c r="E30" s="5125"/>
      <c r="F30" s="5129"/>
      <c r="G30" s="5216">
        <f t="shared" ref="G30:H30" ca="1" si="48">G28-G29</f>
        <v>0</v>
      </c>
      <c r="H30" s="5131">
        <f t="shared" ca="1" si="48"/>
        <v>0</v>
      </c>
      <c r="I30" s="5131">
        <f t="shared" ref="I30" ca="1" si="49">I28-I29</f>
        <v>0</v>
      </c>
      <c r="J30" s="5131">
        <f t="shared" ref="J30" ca="1" si="50">J28-J29</f>
        <v>0</v>
      </c>
      <c r="K30" s="5131">
        <f t="shared" ref="K30" ca="1" si="51">K28-K29</f>
        <v>0</v>
      </c>
      <c r="L30" s="5131">
        <f t="shared" ref="L30" ca="1" si="52">L28-L29</f>
        <v>0</v>
      </c>
      <c r="M30" s="5131">
        <f t="shared" ref="M30" ca="1" si="53">M28-M29</f>
        <v>0</v>
      </c>
      <c r="N30" s="5131">
        <f t="shared" ref="N30" ca="1" si="54">N28-N29</f>
        <v>0</v>
      </c>
      <c r="O30" s="5131">
        <f t="shared" ref="O30" ca="1" si="55">O28-O29</f>
        <v>0</v>
      </c>
      <c r="P30" s="5131">
        <f t="shared" ref="P30" ca="1" si="56">P28-P29</f>
        <v>0</v>
      </c>
      <c r="Q30" s="5131">
        <f t="shared" ref="Q30" ca="1" si="57">Q28-Q29</f>
        <v>0</v>
      </c>
      <c r="R30" s="5131">
        <f t="shared" ref="R30" ca="1" si="58">R28-R29</f>
        <v>0</v>
      </c>
      <c r="S30" s="5131">
        <f t="shared" ref="S30" ca="1" si="59">S28-S29</f>
        <v>0</v>
      </c>
      <c r="T30" s="5131">
        <f t="shared" ref="T30" ca="1" si="60">T28-T29</f>
        <v>0</v>
      </c>
      <c r="U30" s="5131">
        <f t="shared" ref="U30" ca="1" si="61">U28-U29</f>
        <v>0</v>
      </c>
      <c r="V30" s="5131">
        <f t="shared" ref="V30" ca="1" si="62">V28-V29</f>
        <v>0</v>
      </c>
      <c r="W30" s="5131">
        <f t="shared" ref="W30" ca="1" si="63">W28-W29</f>
        <v>0</v>
      </c>
      <c r="X30" s="5131">
        <f t="shared" ref="X30" ca="1" si="64">X28-X29</f>
        <v>0</v>
      </c>
      <c r="Y30" s="5131">
        <f t="shared" ref="Y30" ca="1" si="65">Y28-Y29</f>
        <v>0</v>
      </c>
      <c r="Z30" s="5131">
        <f t="shared" ref="Z30" ca="1" si="66">Z28-Z29</f>
        <v>0</v>
      </c>
      <c r="AA30" s="5131">
        <f t="shared" ref="AA30" ca="1" si="67">AA28-AA29</f>
        <v>0</v>
      </c>
      <c r="AB30" s="5131">
        <f t="shared" ref="AB30" ca="1" si="68">AB28-AB29</f>
        <v>0</v>
      </c>
      <c r="AC30" s="5131">
        <f t="shared" ref="AC30" ca="1" si="69">AC28-AC29</f>
        <v>0</v>
      </c>
      <c r="AD30" s="5131">
        <f t="shared" ref="AD30" ca="1" si="70">AD28-AD29</f>
        <v>0</v>
      </c>
      <c r="AE30" s="5131">
        <f t="shared" ref="AE30" ca="1" si="71">AE28-AE29</f>
        <v>0</v>
      </c>
      <c r="AF30" s="5131">
        <f t="shared" ref="AF30" ca="1" si="72">AF28-AF29</f>
        <v>0</v>
      </c>
      <c r="AG30" s="5131">
        <f t="shared" ref="AG30" ca="1" si="73">AG28-AG29</f>
        <v>0</v>
      </c>
      <c r="AH30" s="5131">
        <f t="shared" ref="AH30" ca="1" si="74">AH28-AH29</f>
        <v>0</v>
      </c>
      <c r="AI30" s="5131">
        <f t="shared" ref="AI30" ca="1" si="75">AI28-AI29</f>
        <v>0</v>
      </c>
      <c r="AJ30" s="5131">
        <f t="shared" ref="AJ30" ca="1" si="76">AJ28-AJ29</f>
        <v>0</v>
      </c>
    </row>
    <row r="31" spans="2:36" s="64" customFormat="1" ht="14.25" customHeight="1" outlineLevel="1">
      <c r="B31" s="5119" t="s">
        <v>5332</v>
      </c>
      <c r="C31" s="5120" t="s">
        <v>5136</v>
      </c>
      <c r="D31" s="5122"/>
      <c r="E31" s="5121"/>
      <c r="F31" s="5128"/>
      <c r="G31" s="5215">
        <f ca="1">G27-G29</f>
        <v>0</v>
      </c>
      <c r="H31" s="5130">
        <f ca="1">H27-H29</f>
        <v>336.31526449315288</v>
      </c>
      <c r="I31" s="5130">
        <f t="shared" ref="I31:AJ31" ca="1" si="77">I27-I29</f>
        <v>317.95322196679388</v>
      </c>
      <c r="J31" s="5130">
        <f t="shared" ca="1" si="77"/>
        <v>310.97171741698094</v>
      </c>
      <c r="K31" s="5130">
        <f t="shared" ca="1" si="77"/>
        <v>286.69761012744107</v>
      </c>
      <c r="L31" s="5130">
        <f t="shared" ca="1" si="77"/>
        <v>262.58236720070818</v>
      </c>
      <c r="M31" s="5130">
        <f t="shared" ca="1" si="77"/>
        <v>243.46106210523277</v>
      </c>
      <c r="N31" s="5130">
        <f t="shared" ca="1" si="77"/>
        <v>230.99952734412835</v>
      </c>
      <c r="O31" s="5130">
        <f t="shared" ca="1" si="77"/>
        <v>213.12151949149296</v>
      </c>
      <c r="P31" s="5130">
        <f t="shared" ca="1" si="77"/>
        <v>232.87738985948749</v>
      </c>
      <c r="Q31" s="5130">
        <f t="shared" ca="1" si="77"/>
        <v>212.3298484445852</v>
      </c>
      <c r="R31" s="5130">
        <f t="shared" ca="1" si="77"/>
        <v>194.56119214197071</v>
      </c>
      <c r="S31" s="5130">
        <f t="shared" ca="1" si="77"/>
        <v>166.98416467684069</v>
      </c>
      <c r="T31" s="5130">
        <f t="shared" ca="1" si="77"/>
        <v>139.72538389082996</v>
      </c>
      <c r="U31" s="5130">
        <f t="shared" ca="1" si="77"/>
        <v>115.00189834579027</v>
      </c>
      <c r="V31" s="5130">
        <f t="shared" ca="1" si="77"/>
        <v>104.56131929120127</v>
      </c>
      <c r="W31" s="5130">
        <f t="shared" ca="1" si="77"/>
        <v>84.797769652347199</v>
      </c>
      <c r="X31" s="5130">
        <f t="shared" ca="1" si="77"/>
        <v>65.365074377544744</v>
      </c>
      <c r="Y31" s="5130">
        <f t="shared" ca="1" si="77"/>
        <v>50.51198733665565</v>
      </c>
      <c r="Z31" s="5130">
        <f t="shared" ca="1" si="77"/>
        <v>48.796740520548227</v>
      </c>
      <c r="AA31" s="5130">
        <f t="shared" ca="1" si="77"/>
        <v>43.414345678705118</v>
      </c>
      <c r="AB31" s="5130">
        <f t="shared" ca="1" si="77"/>
        <v>38.173918458281683</v>
      </c>
      <c r="AC31" s="5130">
        <f t="shared" ca="1" si="77"/>
        <v>33.618343043586762</v>
      </c>
      <c r="AD31" s="5130">
        <f t="shared" ca="1" si="77"/>
        <v>29.534668002490854</v>
      </c>
      <c r="AE31" s="5130">
        <f t="shared" ca="1" si="77"/>
        <v>24.908108777086092</v>
      </c>
      <c r="AF31" s="5130">
        <f t="shared" ca="1" si="77"/>
        <v>19.951616799502233</v>
      </c>
      <c r="AG31" s="5130">
        <f t="shared" ca="1" si="77"/>
        <v>15.396041384807315</v>
      </c>
      <c r="AH31" s="5130">
        <f t="shared" ca="1" si="77"/>
        <v>11.216396231631702</v>
      </c>
      <c r="AI31" s="5130">
        <f t="shared" ca="1" si="77"/>
        <v>6.4018718754672914</v>
      </c>
      <c r="AJ31" s="5130">
        <f t="shared" ca="1" si="77"/>
        <v>354.33229114066847</v>
      </c>
    </row>
    <row r="32" spans="2:36" s="64" customFormat="1" ht="14.25" customHeight="1" outlineLevel="1">
      <c r="B32" s="5123"/>
      <c r="C32" s="5124" t="s">
        <v>1137</v>
      </c>
      <c r="D32" s="5126">
        <f ca="1">SUM(F32:AJ32)</f>
        <v>3129.3242139923168</v>
      </c>
      <c r="E32" s="5125"/>
      <c r="F32" s="5129"/>
      <c r="G32" s="5216">
        <f t="shared" ref="G32:AJ32" ca="1" si="78">G63</f>
        <v>0</v>
      </c>
      <c r="H32" s="5131">
        <f t="shared" ca="1" si="78"/>
        <v>280.27343478356147</v>
      </c>
      <c r="I32" s="5131">
        <f t="shared" ca="1" si="78"/>
        <v>267.39359648509861</v>
      </c>
      <c r="J32" s="5131">
        <f t="shared" ca="1" si="78"/>
        <v>248.72120974274705</v>
      </c>
      <c r="K32" s="5131">
        <f t="shared" ca="1" si="78"/>
        <v>238.48241313038625</v>
      </c>
      <c r="L32" s="5131">
        <f t="shared" ca="1" si="78"/>
        <v>227.95785024089352</v>
      </c>
      <c r="M32" s="5131">
        <f t="shared" ca="1" si="78"/>
        <v>214.54719104321947</v>
      </c>
      <c r="N32" s="5131">
        <f t="shared" ca="1" si="78"/>
        <v>198.68773964163609</v>
      </c>
      <c r="O32" s="5131">
        <f t="shared" ca="1" si="78"/>
        <v>186.47295069237649</v>
      </c>
      <c r="P32" s="5131">
        <f t="shared" ca="1" si="78"/>
        <v>175.90767614783121</v>
      </c>
      <c r="Q32" s="5131">
        <f t="shared" ca="1" si="78"/>
        <v>161.840922318732</v>
      </c>
      <c r="R32" s="5131">
        <f t="shared" ca="1" si="78"/>
        <v>144.30204590872225</v>
      </c>
      <c r="S32" s="5131">
        <f t="shared" ca="1" si="78"/>
        <v>129.36629210927509</v>
      </c>
      <c r="T32" s="5131">
        <f t="shared" ca="1" si="78"/>
        <v>114.06704138971591</v>
      </c>
      <c r="U32" s="5131">
        <f t="shared" ca="1" si="78"/>
        <v>97.080772614954611</v>
      </c>
      <c r="V32" s="5131">
        <f t="shared" ca="1" si="78"/>
        <v>78.093678316879249</v>
      </c>
      <c r="W32" s="5131">
        <f t="shared" ca="1" si="78"/>
        <v>68.460363717162281</v>
      </c>
      <c r="X32" s="5131">
        <f t="shared" ca="1" si="78"/>
        <v>57.003794724502185</v>
      </c>
      <c r="Y32" s="5131">
        <f t="shared" ca="1" si="78"/>
        <v>44.529503593036857</v>
      </c>
      <c r="Z32" s="5131">
        <f t="shared" ca="1" si="78"/>
        <v>33.175844617315164</v>
      </c>
      <c r="AA32" s="5131">
        <f t="shared" ca="1" si="78"/>
        <v>30.394158472091757</v>
      </c>
      <c r="AB32" s="5131">
        <f t="shared" ca="1" si="78"/>
        <v>27.543234818275572</v>
      </c>
      <c r="AC32" s="5131">
        <f t="shared" ca="1" si="78"/>
        <v>24.358309423007832</v>
      </c>
      <c r="AD32" s="5131">
        <f t="shared" ca="1" si="78"/>
        <v>20.943238549177696</v>
      </c>
      <c r="AE32" s="5131">
        <f t="shared" ca="1" si="78"/>
        <v>17.792931908206345</v>
      </c>
      <c r="AF32" s="5131">
        <f t="shared" ca="1" si="78"/>
        <v>14.803533237204604</v>
      </c>
      <c r="AG32" s="5131">
        <f t="shared" ca="1" si="78"/>
        <v>11.618607841936864</v>
      </c>
      <c r="AH32" s="5131">
        <f t="shared" ca="1" si="78"/>
        <v>8.250341523915445</v>
      </c>
      <c r="AI32" s="5131">
        <f t="shared" ca="1" si="78"/>
        <v>5.1917053443209307</v>
      </c>
      <c r="AJ32" s="5131">
        <f t="shared" ca="1" si="78"/>
        <v>2.0638316561336385</v>
      </c>
    </row>
    <row r="33" spans="2:36" s="64" customFormat="1" ht="14.25" customHeight="1" outlineLevel="1">
      <c r="B33" s="5123"/>
      <c r="C33" s="5124" t="s">
        <v>5135</v>
      </c>
      <c r="D33" s="5126">
        <f ca="1">SUM(F33:AJ33)</f>
        <v>3129.3242139923168</v>
      </c>
      <c r="E33" s="5125"/>
      <c r="F33" s="5129"/>
      <c r="G33" s="5216">
        <f t="shared" ref="G33" ca="1" si="79">MIN(G31,G32)</f>
        <v>0</v>
      </c>
      <c r="H33" s="5131">
        <f t="shared" ref="H33:AJ33" ca="1" si="80">MIN(H31,H32)</f>
        <v>280.27343478356147</v>
      </c>
      <c r="I33" s="5131">
        <f t="shared" ca="1" si="80"/>
        <v>267.39359648509861</v>
      </c>
      <c r="J33" s="5131">
        <f t="shared" ca="1" si="80"/>
        <v>248.72120974274705</v>
      </c>
      <c r="K33" s="5131">
        <f t="shared" ca="1" si="80"/>
        <v>238.48241313038625</v>
      </c>
      <c r="L33" s="5131">
        <f t="shared" ca="1" si="80"/>
        <v>227.95785024089352</v>
      </c>
      <c r="M33" s="5131">
        <f t="shared" ca="1" si="80"/>
        <v>214.54719104321947</v>
      </c>
      <c r="N33" s="5131">
        <f t="shared" ca="1" si="80"/>
        <v>198.68773964163609</v>
      </c>
      <c r="O33" s="5131">
        <f t="shared" ca="1" si="80"/>
        <v>186.47295069237649</v>
      </c>
      <c r="P33" s="5131">
        <f t="shared" ca="1" si="80"/>
        <v>175.90767614783121</v>
      </c>
      <c r="Q33" s="5131">
        <f t="shared" ca="1" si="80"/>
        <v>161.840922318732</v>
      </c>
      <c r="R33" s="5131">
        <f t="shared" ca="1" si="80"/>
        <v>144.30204590872225</v>
      </c>
      <c r="S33" s="5131">
        <f t="shared" ca="1" si="80"/>
        <v>129.36629210927509</v>
      </c>
      <c r="T33" s="5131">
        <f t="shared" ca="1" si="80"/>
        <v>114.06704138971591</v>
      </c>
      <c r="U33" s="5131">
        <f t="shared" ca="1" si="80"/>
        <v>97.080772614954611</v>
      </c>
      <c r="V33" s="5131">
        <f t="shared" ca="1" si="80"/>
        <v>78.093678316879249</v>
      </c>
      <c r="W33" s="5131">
        <f t="shared" ca="1" si="80"/>
        <v>68.460363717162281</v>
      </c>
      <c r="X33" s="5131">
        <f t="shared" ca="1" si="80"/>
        <v>57.003794724502185</v>
      </c>
      <c r="Y33" s="5131">
        <f t="shared" ca="1" si="80"/>
        <v>44.529503593036857</v>
      </c>
      <c r="Z33" s="5131">
        <f t="shared" ca="1" si="80"/>
        <v>33.175844617315164</v>
      </c>
      <c r="AA33" s="5131">
        <f t="shared" ca="1" si="80"/>
        <v>30.394158472091757</v>
      </c>
      <c r="AB33" s="5131">
        <f t="shared" ca="1" si="80"/>
        <v>27.543234818275572</v>
      </c>
      <c r="AC33" s="5131">
        <f t="shared" ca="1" si="80"/>
        <v>24.358309423007832</v>
      </c>
      <c r="AD33" s="5131">
        <f t="shared" ca="1" si="80"/>
        <v>20.943238549177696</v>
      </c>
      <c r="AE33" s="5131">
        <f t="shared" ca="1" si="80"/>
        <v>17.792931908206345</v>
      </c>
      <c r="AF33" s="5131">
        <f t="shared" ca="1" si="80"/>
        <v>14.803533237204604</v>
      </c>
      <c r="AG33" s="5131">
        <f t="shared" ca="1" si="80"/>
        <v>11.618607841936864</v>
      </c>
      <c r="AH33" s="5131">
        <f t="shared" ca="1" si="80"/>
        <v>8.250341523915445</v>
      </c>
      <c r="AI33" s="5131">
        <f t="shared" ca="1" si="80"/>
        <v>5.1917053443209307</v>
      </c>
      <c r="AJ33" s="5131">
        <f t="shared" ca="1" si="80"/>
        <v>2.0638316561336385</v>
      </c>
    </row>
    <row r="34" spans="2:36" s="64" customFormat="1" ht="14.25" customHeight="1" outlineLevel="1">
      <c r="B34" s="5123"/>
      <c r="C34" s="5124" t="s">
        <v>5161</v>
      </c>
      <c r="D34" s="5127">
        <f ca="1">SUM(F34:AJ34)</f>
        <v>0</v>
      </c>
      <c r="E34" s="5125"/>
      <c r="F34" s="5129"/>
      <c r="G34" s="5216">
        <f t="shared" ref="G34" ca="1" si="81">G32-G33</f>
        <v>0</v>
      </c>
      <c r="H34" s="5131">
        <f t="shared" ref="H34:AJ34" ca="1" si="82">H32-H33</f>
        <v>0</v>
      </c>
      <c r="I34" s="5131">
        <f t="shared" ca="1" si="82"/>
        <v>0</v>
      </c>
      <c r="J34" s="5131">
        <f t="shared" ca="1" si="82"/>
        <v>0</v>
      </c>
      <c r="K34" s="5131">
        <f t="shared" ca="1" si="82"/>
        <v>0</v>
      </c>
      <c r="L34" s="5131">
        <f t="shared" ca="1" si="82"/>
        <v>0</v>
      </c>
      <c r="M34" s="5131">
        <f t="shared" ca="1" si="82"/>
        <v>0</v>
      </c>
      <c r="N34" s="5131">
        <f t="shared" ca="1" si="82"/>
        <v>0</v>
      </c>
      <c r="O34" s="5131">
        <f t="shared" ca="1" si="82"/>
        <v>0</v>
      </c>
      <c r="P34" s="5131">
        <f t="shared" ca="1" si="82"/>
        <v>0</v>
      </c>
      <c r="Q34" s="5131">
        <f t="shared" ca="1" si="82"/>
        <v>0</v>
      </c>
      <c r="R34" s="5131">
        <f t="shared" ca="1" si="82"/>
        <v>0</v>
      </c>
      <c r="S34" s="5131">
        <f t="shared" ca="1" si="82"/>
        <v>0</v>
      </c>
      <c r="T34" s="5131">
        <f t="shared" ca="1" si="82"/>
        <v>0</v>
      </c>
      <c r="U34" s="5131">
        <f t="shared" ca="1" si="82"/>
        <v>0</v>
      </c>
      <c r="V34" s="5131">
        <f t="shared" ca="1" si="82"/>
        <v>0</v>
      </c>
      <c r="W34" s="5131">
        <f t="shared" ca="1" si="82"/>
        <v>0</v>
      </c>
      <c r="X34" s="5131">
        <f t="shared" ca="1" si="82"/>
        <v>0</v>
      </c>
      <c r="Y34" s="5131">
        <f t="shared" ca="1" si="82"/>
        <v>0</v>
      </c>
      <c r="Z34" s="5131">
        <f t="shared" ca="1" si="82"/>
        <v>0</v>
      </c>
      <c r="AA34" s="5131">
        <f t="shared" ca="1" si="82"/>
        <v>0</v>
      </c>
      <c r="AB34" s="5131">
        <f t="shared" ca="1" si="82"/>
        <v>0</v>
      </c>
      <c r="AC34" s="5131">
        <f t="shared" ca="1" si="82"/>
        <v>0</v>
      </c>
      <c r="AD34" s="5131">
        <f t="shared" ca="1" si="82"/>
        <v>0</v>
      </c>
      <c r="AE34" s="5131">
        <f t="shared" ca="1" si="82"/>
        <v>0</v>
      </c>
      <c r="AF34" s="5131">
        <f t="shared" ca="1" si="82"/>
        <v>0</v>
      </c>
      <c r="AG34" s="5131">
        <f t="shared" ca="1" si="82"/>
        <v>0</v>
      </c>
      <c r="AH34" s="5131">
        <f t="shared" ca="1" si="82"/>
        <v>0</v>
      </c>
      <c r="AI34" s="5131">
        <f t="shared" ca="1" si="82"/>
        <v>0</v>
      </c>
      <c r="AJ34" s="5131">
        <f t="shared" ca="1" si="82"/>
        <v>0</v>
      </c>
    </row>
    <row r="35" spans="2:36" s="64" customFormat="1" ht="14.25" customHeight="1" outlineLevel="1">
      <c r="B35" s="5119" t="s">
        <v>5335</v>
      </c>
      <c r="C35" s="5120" t="s">
        <v>5333</v>
      </c>
      <c r="D35" s="5122">
        <f ca="1">SUM(F35:AJ35)</f>
        <v>1065.2384460836436</v>
      </c>
      <c r="E35" s="5121"/>
      <c r="F35" s="5128"/>
      <c r="G35" s="5215">
        <f ca="1">G31-G33</f>
        <v>0</v>
      </c>
      <c r="H35" s="5130">
        <f ca="1">H31-H33</f>
        <v>56.041829709591411</v>
      </c>
      <c r="I35" s="5130">
        <f t="shared" ref="I35:AJ35" ca="1" si="83">I31-I33</f>
        <v>50.559625481695264</v>
      </c>
      <c r="J35" s="5130">
        <f t="shared" ca="1" si="83"/>
        <v>62.250507674233887</v>
      </c>
      <c r="K35" s="5130">
        <f t="shared" ca="1" si="83"/>
        <v>48.215196997054818</v>
      </c>
      <c r="L35" s="5130">
        <f t="shared" ca="1" si="83"/>
        <v>34.624516959814656</v>
      </c>
      <c r="M35" s="5130">
        <f t="shared" ca="1" si="83"/>
        <v>28.9138710620133</v>
      </c>
      <c r="N35" s="5130">
        <f t="shared" ca="1" si="83"/>
        <v>32.311787702492268</v>
      </c>
      <c r="O35" s="5130">
        <f t="shared" ca="1" si="83"/>
        <v>26.648568799116475</v>
      </c>
      <c r="P35" s="5130">
        <f t="shared" ca="1" si="83"/>
        <v>56.969713711656283</v>
      </c>
      <c r="Q35" s="5130">
        <f t="shared" ca="1" si="83"/>
        <v>50.488926125853197</v>
      </c>
      <c r="R35" s="5130">
        <f t="shared" ca="1" si="83"/>
        <v>50.259146233248458</v>
      </c>
      <c r="S35" s="5130">
        <f t="shared" ca="1" si="83"/>
        <v>37.617872567565598</v>
      </c>
      <c r="T35" s="5130">
        <f t="shared" ca="1" si="83"/>
        <v>25.658342501114049</v>
      </c>
      <c r="U35" s="5130">
        <f t="shared" ca="1" si="83"/>
        <v>17.921125730835655</v>
      </c>
      <c r="V35" s="5130">
        <f t="shared" ca="1" si="83"/>
        <v>26.467640974322023</v>
      </c>
      <c r="W35" s="5130">
        <f t="shared" ca="1" si="83"/>
        <v>16.337405935184918</v>
      </c>
      <c r="X35" s="5130">
        <f t="shared" ca="1" si="83"/>
        <v>8.3612796530425584</v>
      </c>
      <c r="Y35" s="5130">
        <f t="shared" ca="1" si="83"/>
        <v>5.9824837436187934</v>
      </c>
      <c r="Z35" s="5130">
        <f t="shared" ca="1" si="83"/>
        <v>15.620895903233063</v>
      </c>
      <c r="AA35" s="5130">
        <f t="shared" ca="1" si="83"/>
        <v>13.020187206613361</v>
      </c>
      <c r="AB35" s="5130">
        <f t="shared" ca="1" si="83"/>
        <v>10.630683640006112</v>
      </c>
      <c r="AC35" s="5130">
        <f t="shared" ca="1" si="83"/>
        <v>9.2600336205789304</v>
      </c>
      <c r="AD35" s="5130">
        <f t="shared" ca="1" si="83"/>
        <v>8.5914294533131574</v>
      </c>
      <c r="AE35" s="5130">
        <f t="shared" ca="1" si="83"/>
        <v>7.1151768688797468</v>
      </c>
      <c r="AF35" s="5130">
        <f t="shared" ca="1" si="83"/>
        <v>5.1480835622976286</v>
      </c>
      <c r="AG35" s="5130">
        <f t="shared" ca="1" si="83"/>
        <v>3.7774335428704511</v>
      </c>
      <c r="AH35" s="5130">
        <f t="shared" ca="1" si="83"/>
        <v>2.9660547077162569</v>
      </c>
      <c r="AI35" s="5130">
        <f t="shared" ca="1" si="83"/>
        <v>1.2101665311463607</v>
      </c>
      <c r="AJ35" s="5130">
        <f t="shared" ca="1" si="83"/>
        <v>352.26845948453484</v>
      </c>
    </row>
    <row r="36" spans="2:36" s="64" customFormat="1" ht="14.25" customHeight="1" outlineLevel="1">
      <c r="B36" s="5123"/>
      <c r="C36" s="5124" t="s">
        <v>5334</v>
      </c>
      <c r="D36" s="5127">
        <f t="shared" ref="D36" ca="1" si="84">SUM(F36:AJ36)</f>
        <v>1065.2384460836436</v>
      </c>
      <c r="E36" s="5125"/>
      <c r="F36" s="5129"/>
      <c r="G36" s="5216">
        <f ca="1">G35</f>
        <v>0</v>
      </c>
      <c r="H36" s="5131">
        <f ca="1">H35</f>
        <v>56.041829709591411</v>
      </c>
      <c r="I36" s="5131">
        <f t="shared" ref="I36:AJ36" ca="1" si="85">I35</f>
        <v>50.559625481695264</v>
      </c>
      <c r="J36" s="5131">
        <f t="shared" ca="1" si="85"/>
        <v>62.250507674233887</v>
      </c>
      <c r="K36" s="5131">
        <f t="shared" ca="1" si="85"/>
        <v>48.215196997054818</v>
      </c>
      <c r="L36" s="5131">
        <f t="shared" ca="1" si="85"/>
        <v>34.624516959814656</v>
      </c>
      <c r="M36" s="5131">
        <f t="shared" ca="1" si="85"/>
        <v>28.9138710620133</v>
      </c>
      <c r="N36" s="5131">
        <f t="shared" ca="1" si="85"/>
        <v>32.311787702492268</v>
      </c>
      <c r="O36" s="5131">
        <f t="shared" ca="1" si="85"/>
        <v>26.648568799116475</v>
      </c>
      <c r="P36" s="5131">
        <f t="shared" ca="1" si="85"/>
        <v>56.969713711656283</v>
      </c>
      <c r="Q36" s="5131">
        <f t="shared" ca="1" si="85"/>
        <v>50.488926125853197</v>
      </c>
      <c r="R36" s="5131">
        <f t="shared" ca="1" si="85"/>
        <v>50.259146233248458</v>
      </c>
      <c r="S36" s="5131">
        <f t="shared" ca="1" si="85"/>
        <v>37.617872567565598</v>
      </c>
      <c r="T36" s="5131">
        <f t="shared" ca="1" si="85"/>
        <v>25.658342501114049</v>
      </c>
      <c r="U36" s="5131">
        <f t="shared" ca="1" si="85"/>
        <v>17.921125730835655</v>
      </c>
      <c r="V36" s="5131">
        <f t="shared" ca="1" si="85"/>
        <v>26.467640974322023</v>
      </c>
      <c r="W36" s="5131">
        <f t="shared" ca="1" si="85"/>
        <v>16.337405935184918</v>
      </c>
      <c r="X36" s="5131">
        <f t="shared" ca="1" si="85"/>
        <v>8.3612796530425584</v>
      </c>
      <c r="Y36" s="5131">
        <f t="shared" ca="1" si="85"/>
        <v>5.9824837436187934</v>
      </c>
      <c r="Z36" s="5131">
        <f t="shared" ca="1" si="85"/>
        <v>15.620895903233063</v>
      </c>
      <c r="AA36" s="5131">
        <f t="shared" ca="1" si="85"/>
        <v>13.020187206613361</v>
      </c>
      <c r="AB36" s="5131">
        <f t="shared" ca="1" si="85"/>
        <v>10.630683640006112</v>
      </c>
      <c r="AC36" s="5131">
        <f t="shared" ca="1" si="85"/>
        <v>9.2600336205789304</v>
      </c>
      <c r="AD36" s="5131">
        <f t="shared" ca="1" si="85"/>
        <v>8.5914294533131574</v>
      </c>
      <c r="AE36" s="5131">
        <f t="shared" ca="1" si="85"/>
        <v>7.1151768688797468</v>
      </c>
      <c r="AF36" s="5131">
        <f t="shared" ca="1" si="85"/>
        <v>5.1480835622976286</v>
      </c>
      <c r="AG36" s="5131">
        <f t="shared" ca="1" si="85"/>
        <v>3.7774335428704511</v>
      </c>
      <c r="AH36" s="5131">
        <f t="shared" ca="1" si="85"/>
        <v>2.9660547077162569</v>
      </c>
      <c r="AI36" s="5131">
        <f t="shared" ca="1" si="85"/>
        <v>1.2101665311463607</v>
      </c>
      <c r="AJ36" s="5131">
        <f t="shared" ca="1" si="85"/>
        <v>352.26845948453484</v>
      </c>
    </row>
    <row r="37" spans="2:36" s="64" customFormat="1" ht="14.25" customHeight="1" outlineLevel="1">
      <c r="B37" s="5175" t="s">
        <v>5159</v>
      </c>
      <c r="C37" s="5176"/>
      <c r="D37" s="5127">
        <f ca="1">SUM(F37:AJ37)</f>
        <v>0</v>
      </c>
      <c r="E37" s="5177"/>
      <c r="F37" s="5178"/>
      <c r="G37" s="5217">
        <f t="shared" ref="G37:AJ37" ca="1" si="86">G30+G34</f>
        <v>0</v>
      </c>
      <c r="H37" s="5118">
        <f t="shared" ca="1" si="86"/>
        <v>0</v>
      </c>
      <c r="I37" s="5118">
        <f t="shared" ca="1" si="86"/>
        <v>0</v>
      </c>
      <c r="J37" s="5118">
        <f t="shared" ca="1" si="86"/>
        <v>0</v>
      </c>
      <c r="K37" s="5118">
        <f t="shared" ca="1" si="86"/>
        <v>0</v>
      </c>
      <c r="L37" s="5118">
        <f t="shared" ca="1" si="86"/>
        <v>0</v>
      </c>
      <c r="M37" s="5118">
        <f t="shared" ca="1" si="86"/>
        <v>0</v>
      </c>
      <c r="N37" s="5118">
        <f t="shared" ca="1" si="86"/>
        <v>0</v>
      </c>
      <c r="O37" s="5118">
        <f t="shared" ca="1" si="86"/>
        <v>0</v>
      </c>
      <c r="P37" s="5118">
        <f t="shared" ca="1" si="86"/>
        <v>0</v>
      </c>
      <c r="Q37" s="5118">
        <f t="shared" ca="1" si="86"/>
        <v>0</v>
      </c>
      <c r="R37" s="5118">
        <f t="shared" ca="1" si="86"/>
        <v>0</v>
      </c>
      <c r="S37" s="5118">
        <f t="shared" ca="1" si="86"/>
        <v>0</v>
      </c>
      <c r="T37" s="5118">
        <f t="shared" ca="1" si="86"/>
        <v>0</v>
      </c>
      <c r="U37" s="5118">
        <f t="shared" ca="1" si="86"/>
        <v>0</v>
      </c>
      <c r="V37" s="5118">
        <f t="shared" ca="1" si="86"/>
        <v>0</v>
      </c>
      <c r="W37" s="5118">
        <f t="shared" ca="1" si="86"/>
        <v>0</v>
      </c>
      <c r="X37" s="5118">
        <f t="shared" ca="1" si="86"/>
        <v>0</v>
      </c>
      <c r="Y37" s="5118">
        <f t="shared" ca="1" si="86"/>
        <v>0</v>
      </c>
      <c r="Z37" s="5118">
        <f t="shared" ca="1" si="86"/>
        <v>0</v>
      </c>
      <c r="AA37" s="5118">
        <f t="shared" ca="1" si="86"/>
        <v>0</v>
      </c>
      <c r="AB37" s="5118">
        <f t="shared" ca="1" si="86"/>
        <v>0</v>
      </c>
      <c r="AC37" s="5118">
        <f t="shared" ca="1" si="86"/>
        <v>0</v>
      </c>
      <c r="AD37" s="5118">
        <f t="shared" ca="1" si="86"/>
        <v>0</v>
      </c>
      <c r="AE37" s="5118">
        <f t="shared" ca="1" si="86"/>
        <v>0</v>
      </c>
      <c r="AF37" s="5118">
        <f t="shared" ca="1" si="86"/>
        <v>0</v>
      </c>
      <c r="AG37" s="5118">
        <f t="shared" ca="1" si="86"/>
        <v>0</v>
      </c>
      <c r="AH37" s="5118">
        <f t="shared" ca="1" si="86"/>
        <v>0</v>
      </c>
      <c r="AI37" s="5446">
        <f t="shared" ca="1" si="86"/>
        <v>0</v>
      </c>
      <c r="AJ37" s="5118">
        <f t="shared" ca="1" si="86"/>
        <v>0</v>
      </c>
    </row>
    <row r="38" spans="2:36" s="64" customFormat="1" ht="14.25" customHeight="1" outlineLevel="1">
      <c r="B38" s="5175" t="s">
        <v>5160</v>
      </c>
      <c r="C38" s="5176"/>
      <c r="D38" s="5127">
        <f ca="1">SUM(F38:AJ38)</f>
        <v>0</v>
      </c>
      <c r="E38" s="5177"/>
      <c r="F38" s="5178"/>
      <c r="G38" s="5217">
        <f t="shared" ref="G38:AJ38" ca="1" si="87">G25+G26</f>
        <v>0</v>
      </c>
      <c r="H38" s="5118">
        <f t="shared" ca="1" si="87"/>
        <v>0</v>
      </c>
      <c r="I38" s="5118">
        <f t="shared" ca="1" si="87"/>
        <v>0</v>
      </c>
      <c r="J38" s="5118">
        <f t="shared" ca="1" si="87"/>
        <v>0</v>
      </c>
      <c r="K38" s="5118">
        <f t="shared" ca="1" si="87"/>
        <v>0</v>
      </c>
      <c r="L38" s="5118">
        <f t="shared" ca="1" si="87"/>
        <v>0</v>
      </c>
      <c r="M38" s="5118">
        <f t="shared" ca="1" si="87"/>
        <v>0</v>
      </c>
      <c r="N38" s="5118">
        <f t="shared" ca="1" si="87"/>
        <v>0</v>
      </c>
      <c r="O38" s="5118">
        <f t="shared" ca="1" si="87"/>
        <v>0</v>
      </c>
      <c r="P38" s="5118">
        <f t="shared" ca="1" si="87"/>
        <v>0</v>
      </c>
      <c r="Q38" s="5118">
        <f t="shared" ca="1" si="87"/>
        <v>0</v>
      </c>
      <c r="R38" s="5118">
        <f t="shared" ca="1" si="87"/>
        <v>0</v>
      </c>
      <c r="S38" s="5118">
        <f t="shared" ca="1" si="87"/>
        <v>0</v>
      </c>
      <c r="T38" s="5118">
        <f t="shared" ca="1" si="87"/>
        <v>0</v>
      </c>
      <c r="U38" s="5118">
        <f t="shared" ca="1" si="87"/>
        <v>0</v>
      </c>
      <c r="V38" s="5118">
        <f t="shared" ca="1" si="87"/>
        <v>0</v>
      </c>
      <c r="W38" s="5118">
        <f t="shared" ca="1" si="87"/>
        <v>0</v>
      </c>
      <c r="X38" s="5118">
        <f t="shared" ca="1" si="87"/>
        <v>0</v>
      </c>
      <c r="Y38" s="5118">
        <f t="shared" ca="1" si="87"/>
        <v>0</v>
      </c>
      <c r="Z38" s="5118">
        <f t="shared" ca="1" si="87"/>
        <v>0</v>
      </c>
      <c r="AA38" s="5118">
        <f t="shared" ca="1" si="87"/>
        <v>0</v>
      </c>
      <c r="AB38" s="5118">
        <f t="shared" ca="1" si="87"/>
        <v>0</v>
      </c>
      <c r="AC38" s="5118">
        <f t="shared" ca="1" si="87"/>
        <v>0</v>
      </c>
      <c r="AD38" s="5118">
        <f t="shared" ca="1" si="87"/>
        <v>0</v>
      </c>
      <c r="AE38" s="5118">
        <f t="shared" ca="1" si="87"/>
        <v>0</v>
      </c>
      <c r="AF38" s="5118">
        <f t="shared" ca="1" si="87"/>
        <v>0</v>
      </c>
      <c r="AG38" s="5118">
        <f t="shared" ca="1" si="87"/>
        <v>0</v>
      </c>
      <c r="AH38" s="5118">
        <f t="shared" ca="1" si="87"/>
        <v>0</v>
      </c>
      <c r="AI38" s="5118">
        <f t="shared" ca="1" si="87"/>
        <v>0</v>
      </c>
      <c r="AJ38" s="5118">
        <f t="shared" ca="1" si="87"/>
        <v>0</v>
      </c>
    </row>
    <row r="39" spans="2:36" s="64" customFormat="1" ht="14.25" customHeight="1">
      <c r="C39" s="5109"/>
      <c r="H39" s="5413">
        <f ca="1">SUM(H36:K36)</f>
        <v>217.06715986257538</v>
      </c>
    </row>
    <row r="40" spans="2:36" s="64" customFormat="1" ht="14.25" customHeight="1">
      <c r="H40" s="64">
        <v>390.8362983537271</v>
      </c>
      <c r="I40" s="5413">
        <f ca="1">H40-H39</f>
        <v>173.76913849115172</v>
      </c>
    </row>
    <row r="41" spans="2:36" s="64" customFormat="1" ht="14.25" customHeight="1">
      <c r="B41" s="22" t="s">
        <v>64</v>
      </c>
      <c r="C41" s="22"/>
      <c r="D41" s="65" t="s">
        <v>14</v>
      </c>
      <c r="E41" s="65"/>
      <c r="F41" s="24">
        <v>2022</v>
      </c>
      <c r="G41" s="24">
        <v>2023</v>
      </c>
      <c r="H41" s="24">
        <v>2024</v>
      </c>
      <c r="I41" s="24">
        <v>2025</v>
      </c>
      <c r="J41" s="24">
        <v>2026</v>
      </c>
      <c r="K41" s="24">
        <v>2027</v>
      </c>
      <c r="L41" s="24">
        <v>2028</v>
      </c>
      <c r="M41" s="24">
        <v>2029</v>
      </c>
    </row>
    <row r="42" spans="2:36" s="64" customFormat="1" ht="14.25" customHeight="1">
      <c r="B42" s="58" t="s">
        <v>60</v>
      </c>
      <c r="C42" s="58"/>
      <c r="D42" s="58"/>
      <c r="E42" s="58"/>
      <c r="F42" s="58">
        <f ca="1">SUM(F43:F44)</f>
        <v>9962.559792</v>
      </c>
      <c r="G42" s="58">
        <f t="shared" ref="G42:M42" ca="1" si="88">SUM(G43:G44)</f>
        <v>19798.070210500002</v>
      </c>
      <c r="H42" s="58">
        <f t="shared" ca="1" si="88"/>
        <v>19154.980577499999</v>
      </c>
      <c r="I42" s="58">
        <f t="shared" ca="1" si="88"/>
        <v>22896.762170499998</v>
      </c>
      <c r="J42" s="58">
        <f t="shared" ca="1" si="88"/>
        <v>15255.287720499999</v>
      </c>
      <c r="K42" s="58">
        <f t="shared" ca="1" si="88"/>
        <v>4407.6232680000003</v>
      </c>
      <c r="L42" s="58">
        <f t="shared" ca="1" si="88"/>
        <v>4230.2458919999999</v>
      </c>
      <c r="M42" s="58">
        <f t="shared" ca="1" si="88"/>
        <v>3056.2805159999884</v>
      </c>
    </row>
    <row r="43" spans="2:36" s="64" customFormat="1" ht="14.25" customHeight="1">
      <c r="B43" s="61" t="str">
        <f>B8</f>
        <v>원금</v>
      </c>
      <c r="C43" s="61"/>
      <c r="D43" s="58">
        <f ca="1">SUM(F43:M43)</f>
        <v>87699.743999999992</v>
      </c>
      <c r="E43" s="58"/>
      <c r="F43" s="58">
        <f t="shared" ref="F43:M44" ca="1" si="89">SUMIF($F$4:$AJ$4,F$41,$F8:$AI8)</f>
        <v>8055.7530000000006</v>
      </c>
      <c r="G43" s="58">
        <f t="shared" ca="1" si="89"/>
        <v>16526.751</v>
      </c>
      <c r="H43" s="58">
        <f t="shared" ca="1" si="89"/>
        <v>16609.8</v>
      </c>
      <c r="I43" s="58">
        <f t="shared" ca="1" si="89"/>
        <v>21177.494999999999</v>
      </c>
      <c r="J43" s="58">
        <f t="shared" ca="1" si="89"/>
        <v>14367.476999999999</v>
      </c>
      <c r="K43" s="58">
        <f t="shared" ca="1" si="89"/>
        <v>3986.3520000000003</v>
      </c>
      <c r="L43" s="58">
        <f t="shared" ca="1" si="89"/>
        <v>3986.3520000000003</v>
      </c>
      <c r="M43" s="58">
        <f t="shared" ca="1" si="89"/>
        <v>2989.7639999999888</v>
      </c>
    </row>
    <row r="44" spans="2:36" s="64" customFormat="1" ht="14.25" customHeight="1">
      <c r="B44" s="61" t="str">
        <f>B9</f>
        <v>이자</v>
      </c>
      <c r="C44" s="61"/>
      <c r="D44" s="58">
        <f ca="1">SUM(F44:M44)</f>
        <v>11062.066146999998</v>
      </c>
      <c r="E44" s="58"/>
      <c r="F44" s="58">
        <f t="shared" ca="1" si="89"/>
        <v>1906.8067919999999</v>
      </c>
      <c r="G44" s="58">
        <f t="shared" ca="1" si="89"/>
        <v>3271.3192104999998</v>
      </c>
      <c r="H44" s="58">
        <f t="shared" ca="1" si="89"/>
        <v>2545.1805774999993</v>
      </c>
      <c r="I44" s="58">
        <f t="shared" ca="1" si="89"/>
        <v>1719.2671704999993</v>
      </c>
      <c r="J44" s="58">
        <f t="shared" ca="1" si="89"/>
        <v>887.81072049999966</v>
      </c>
      <c r="K44" s="58">
        <f t="shared" ca="1" si="89"/>
        <v>421.27126799999962</v>
      </c>
      <c r="L44" s="58">
        <f t="shared" ca="1" si="89"/>
        <v>243.89389199999954</v>
      </c>
      <c r="M44" s="58">
        <f t="shared" ca="1" si="89"/>
        <v>66.51651599999964</v>
      </c>
    </row>
    <row r="45" spans="2:36" s="64" customFormat="1" ht="14.25" customHeight="1">
      <c r="B45" s="58" t="s">
        <v>63</v>
      </c>
      <c r="C45" s="58"/>
      <c r="D45" s="58"/>
      <c r="E45" s="58"/>
      <c r="F45" s="58">
        <f t="shared" ref="F45:M45" ca="1" si="90">SUM(F46:F49)</f>
        <v>9855.9583368087133</v>
      </c>
      <c r="G45" s="58">
        <f t="shared" ca="1" si="90"/>
        <v>19624.066117806884</v>
      </c>
      <c r="H45" s="58">
        <f t="shared" ca="1" si="90"/>
        <v>18988.56158116088</v>
      </c>
      <c r="I45" s="58">
        <f t="shared" ca="1" si="90"/>
        <v>22765.305683467235</v>
      </c>
      <c r="J45" s="58">
        <f t="shared" ca="1" si="90"/>
        <v>15198.138910193829</v>
      </c>
      <c r="K45" s="58">
        <f t="shared" ca="1" si="90"/>
        <v>4359.0914676295688</v>
      </c>
      <c r="L45" s="58">
        <f t="shared" ca="1" si="90"/>
        <v>4205.6137685726389</v>
      </c>
      <c r="M45" s="58">
        <f t="shared" ca="1" si="90"/>
        <v>2699.8358352765908</v>
      </c>
    </row>
    <row r="46" spans="2:36" s="64" customFormat="1" ht="14.25" customHeight="1">
      <c r="B46" s="5093" t="str">
        <f>B11</f>
        <v>이자_변동</v>
      </c>
      <c r="C46" s="5093"/>
      <c r="D46" s="58">
        <f t="shared" ref="D46:D49" ca="1" si="91">SUM(F46:M46)</f>
        <v>3129.3242139923168</v>
      </c>
      <c r="E46" s="5097"/>
      <c r="F46" s="58">
        <f t="shared" ref="F46:M49" ca="1" si="92">SUMIF($F$4:$AJ$4,F$41,$F11:$AI11)</f>
        <v>547.66703126866014</v>
      </c>
      <c r="G46" s="58">
        <f t="shared" ca="1" si="92"/>
        <v>929.7086641572464</v>
      </c>
      <c r="H46" s="58">
        <f t="shared" ca="1" si="92"/>
        <v>722.90928880057572</v>
      </c>
      <c r="I46" s="58">
        <f t="shared" ca="1" si="92"/>
        <v>484.81615202266789</v>
      </c>
      <c r="J46" s="58">
        <f t="shared" ca="1" si="92"/>
        <v>248.08734035158056</v>
      </c>
      <c r="K46" s="58">
        <f t="shared" ca="1" si="92"/>
        <v>115.47154733069033</v>
      </c>
      <c r="L46" s="58">
        <f t="shared" ca="1" si="92"/>
        <v>65.158311536525503</v>
      </c>
      <c r="M46" s="58">
        <f t="shared" ca="1" si="92"/>
        <v>15.505878524370013</v>
      </c>
    </row>
    <row r="47" spans="2:36" s="64" customFormat="1" ht="14.25" customHeight="1">
      <c r="B47" s="63" t="str">
        <f>B12</f>
        <v>원금_변동</v>
      </c>
      <c r="C47" s="63"/>
      <c r="D47" s="58">
        <f t="shared" ca="1" si="91"/>
        <v>28150.743999999981</v>
      </c>
      <c r="E47" s="58"/>
      <c r="F47" s="58">
        <f t="shared" ca="1" si="92"/>
        <v>2613.9671909696935</v>
      </c>
      <c r="G47" s="58">
        <f t="shared" ca="1" si="92"/>
        <v>5361.2238895151449</v>
      </c>
      <c r="H47" s="58">
        <f t="shared" ca="1" si="92"/>
        <v>5359.7310470302964</v>
      </c>
      <c r="I47" s="58">
        <f t="shared" ca="1" si="92"/>
        <v>6797.7648863636277</v>
      </c>
      <c r="J47" s="58">
        <f t="shared" ca="1" si="92"/>
        <v>4611.8169621212064</v>
      </c>
      <c r="K47" s="58">
        <f t="shared" ca="1" si="92"/>
        <v>1279.5792727272712</v>
      </c>
      <c r="L47" s="58">
        <f t="shared" ca="1" si="92"/>
        <v>1279.5792727272712</v>
      </c>
      <c r="M47" s="58">
        <f t="shared" ca="1" si="92"/>
        <v>847.08147854546769</v>
      </c>
    </row>
    <row r="48" spans="2:36" s="64" customFormat="1" ht="14.25" customHeight="1">
      <c r="B48" s="63" t="str">
        <f>B13</f>
        <v>이자_고정</v>
      </c>
      <c r="C48" s="63"/>
      <c r="D48" s="58">
        <f t="shared" ca="1" si="91"/>
        <v>6416.503486924039</v>
      </c>
      <c r="E48" s="58"/>
      <c r="F48" s="58">
        <f t="shared" ca="1" si="92"/>
        <v>1122.9604782067249</v>
      </c>
      <c r="G48" s="58">
        <f t="shared" ca="1" si="92"/>
        <v>1906.3153823163138</v>
      </c>
      <c r="H48" s="58">
        <f t="shared" ca="1" si="92"/>
        <v>1482.2848816936491</v>
      </c>
      <c r="I48" s="58">
        <f t="shared" ca="1" si="92"/>
        <v>994.08828144458334</v>
      </c>
      <c r="J48" s="58">
        <f t="shared" ca="1" si="92"/>
        <v>508.68915317559248</v>
      </c>
      <c r="K48" s="58">
        <f t="shared" ca="1" si="92"/>
        <v>236.7679202988802</v>
      </c>
      <c r="L48" s="58">
        <f t="shared" ca="1" si="92"/>
        <v>133.6034570361156</v>
      </c>
      <c r="M48" s="58">
        <f t="shared" ca="1" si="92"/>
        <v>31.793932752180126</v>
      </c>
    </row>
    <row r="49" spans="2:45" s="64" customFormat="1" ht="14.25" customHeight="1">
      <c r="B49" s="5093" t="str">
        <f>B14</f>
        <v>원금_고정</v>
      </c>
      <c r="C49" s="5093"/>
      <c r="D49" s="58">
        <f t="shared" ca="1" si="91"/>
        <v>60000.000000000007</v>
      </c>
      <c r="E49" s="5097"/>
      <c r="F49" s="58">
        <f t="shared" ca="1" si="92"/>
        <v>5571.3636363636342</v>
      </c>
      <c r="G49" s="58">
        <f t="shared" ca="1" si="92"/>
        <v>11426.818181818178</v>
      </c>
      <c r="H49" s="58">
        <f t="shared" ca="1" si="92"/>
        <v>11423.636363636357</v>
      </c>
      <c r="I49" s="58">
        <f t="shared" ca="1" si="92"/>
        <v>14488.636363636357</v>
      </c>
      <c r="J49" s="58">
        <f t="shared" ca="1" si="92"/>
        <v>9829.5454545454504</v>
      </c>
      <c r="K49" s="58">
        <f t="shared" ca="1" si="92"/>
        <v>2727.2727272727266</v>
      </c>
      <c r="L49" s="58">
        <f t="shared" ca="1" si="92"/>
        <v>2727.2727272727266</v>
      </c>
      <c r="M49" s="58">
        <f t="shared" ca="1" si="92"/>
        <v>1805.4545454545732</v>
      </c>
    </row>
    <row r="50" spans="2:45" s="64" customFormat="1" ht="14.25" customHeight="1"/>
    <row r="51" spans="2:45" s="64" customFormat="1" ht="14.25" customHeight="1">
      <c r="B51" s="67">
        <f>Sensitivity!$J$21</f>
        <v>47391</v>
      </c>
      <c r="C51" s="67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</row>
    <row r="52" spans="2:45" s="25" customFormat="1" ht="14.25" customHeight="1">
      <c r="B52" s="5520" t="s">
        <v>65</v>
      </c>
      <c r="C52" s="22"/>
      <c r="D52" s="5523" t="s">
        <v>14</v>
      </c>
      <c r="E52" s="23"/>
      <c r="F52" s="5218">
        <v>2022</v>
      </c>
      <c r="G52" s="24">
        <v>2022</v>
      </c>
      <c r="H52" s="24">
        <v>2022</v>
      </c>
      <c r="I52" s="24">
        <v>2022</v>
      </c>
      <c r="J52" s="24">
        <v>2023</v>
      </c>
      <c r="K52" s="24">
        <v>2023</v>
      </c>
      <c r="L52" s="24">
        <v>2023</v>
      </c>
      <c r="M52" s="24">
        <v>2023</v>
      </c>
      <c r="N52" s="24">
        <v>2024</v>
      </c>
      <c r="O52" s="24">
        <v>2024</v>
      </c>
      <c r="P52" s="24">
        <v>2024</v>
      </c>
      <c r="Q52" s="24">
        <v>2024</v>
      </c>
      <c r="R52" s="24">
        <v>2025</v>
      </c>
      <c r="S52" s="24">
        <v>2025</v>
      </c>
      <c r="T52" s="24">
        <v>2025</v>
      </c>
      <c r="U52" s="24">
        <v>2025</v>
      </c>
      <c r="V52" s="24">
        <v>2026</v>
      </c>
      <c r="W52" s="24">
        <v>2026</v>
      </c>
      <c r="X52" s="24">
        <v>2026</v>
      </c>
      <c r="Y52" s="24">
        <v>2026</v>
      </c>
      <c r="Z52" s="24">
        <v>2027</v>
      </c>
      <c r="AA52" s="24">
        <v>2027</v>
      </c>
      <c r="AB52" s="24">
        <v>2027</v>
      </c>
      <c r="AC52" s="24">
        <v>2027</v>
      </c>
      <c r="AD52" s="24">
        <v>2028</v>
      </c>
      <c r="AE52" s="24">
        <v>2028</v>
      </c>
      <c r="AF52" s="24">
        <v>2028</v>
      </c>
      <c r="AG52" s="24">
        <v>2028</v>
      </c>
      <c r="AH52" s="24">
        <v>2029</v>
      </c>
      <c r="AI52" s="24">
        <v>2029</v>
      </c>
      <c r="AJ52" s="24">
        <v>2029</v>
      </c>
      <c r="AL52" s="26"/>
      <c r="AM52" s="26"/>
      <c r="AN52" s="26"/>
      <c r="AO52" s="26"/>
      <c r="AP52" s="26"/>
      <c r="AQ52" s="26"/>
      <c r="AR52" s="26"/>
      <c r="AS52" s="26"/>
    </row>
    <row r="53" spans="2:45" s="25" customFormat="1" ht="14.25" customHeight="1">
      <c r="B53" s="5521"/>
      <c r="C53" s="27"/>
      <c r="D53" s="5521"/>
      <c r="E53" s="28"/>
      <c r="F53" s="5224">
        <v>1</v>
      </c>
      <c r="G53" s="29">
        <v>2</v>
      </c>
      <c r="H53" s="29">
        <v>3</v>
      </c>
      <c r="I53" s="29">
        <v>4</v>
      </c>
      <c r="J53" s="29">
        <v>1</v>
      </c>
      <c r="K53" s="29">
        <v>2</v>
      </c>
      <c r="L53" s="29">
        <v>3</v>
      </c>
      <c r="M53" s="29">
        <v>4</v>
      </c>
      <c r="N53" s="29">
        <v>1</v>
      </c>
      <c r="O53" s="29">
        <v>2</v>
      </c>
      <c r="P53" s="29">
        <v>3</v>
      </c>
      <c r="Q53" s="29">
        <v>4</v>
      </c>
      <c r="R53" s="29">
        <v>1</v>
      </c>
      <c r="S53" s="29">
        <v>2</v>
      </c>
      <c r="T53" s="29">
        <v>3</v>
      </c>
      <c r="U53" s="29">
        <v>4</v>
      </c>
      <c r="V53" s="29">
        <v>1</v>
      </c>
      <c r="W53" s="29">
        <v>2</v>
      </c>
      <c r="X53" s="29">
        <v>3</v>
      </c>
      <c r="Y53" s="29">
        <v>4</v>
      </c>
      <c r="Z53" s="29">
        <v>1</v>
      </c>
      <c r="AA53" s="29">
        <v>2</v>
      </c>
      <c r="AB53" s="29">
        <v>3</v>
      </c>
      <c r="AC53" s="29">
        <v>4</v>
      </c>
      <c r="AD53" s="29">
        <v>1</v>
      </c>
      <c r="AE53" s="29">
        <v>2</v>
      </c>
      <c r="AF53" s="29">
        <v>3</v>
      </c>
      <c r="AG53" s="29">
        <v>4</v>
      </c>
      <c r="AH53" s="29">
        <v>1</v>
      </c>
      <c r="AI53" s="29">
        <v>2</v>
      </c>
      <c r="AJ53" s="29">
        <v>3</v>
      </c>
      <c r="AL53" s="30"/>
      <c r="AM53" s="30"/>
      <c r="AN53" s="30"/>
      <c r="AO53" s="30"/>
      <c r="AP53" s="30"/>
      <c r="AQ53" s="30"/>
      <c r="AR53" s="30"/>
      <c r="AS53" s="30"/>
    </row>
    <row r="54" spans="2:45" s="25" customFormat="1" ht="14.25" customHeight="1">
      <c r="B54" s="5522"/>
      <c r="C54" s="31"/>
      <c r="D54" s="5522"/>
      <c r="E54" s="32"/>
      <c r="F54" s="5220">
        <f t="shared" ref="F54:AJ54" si="93">F6</f>
        <v>44651</v>
      </c>
      <c r="G54" s="33">
        <f t="shared" si="93"/>
        <v>44742</v>
      </c>
      <c r="H54" s="33">
        <f t="shared" si="93"/>
        <v>44834</v>
      </c>
      <c r="I54" s="33">
        <f t="shared" si="93"/>
        <v>44926</v>
      </c>
      <c r="J54" s="33">
        <f t="shared" si="93"/>
        <v>45016</v>
      </c>
      <c r="K54" s="33">
        <f t="shared" si="93"/>
        <v>45107</v>
      </c>
      <c r="L54" s="33">
        <f t="shared" si="93"/>
        <v>45199</v>
      </c>
      <c r="M54" s="33">
        <f t="shared" si="93"/>
        <v>45291</v>
      </c>
      <c r="N54" s="33">
        <f t="shared" si="93"/>
        <v>45382</v>
      </c>
      <c r="O54" s="33">
        <f t="shared" si="93"/>
        <v>45473</v>
      </c>
      <c r="P54" s="33">
        <f t="shared" si="93"/>
        <v>45565</v>
      </c>
      <c r="Q54" s="33">
        <f t="shared" si="93"/>
        <v>45657</v>
      </c>
      <c r="R54" s="33">
        <f t="shared" si="93"/>
        <v>45747</v>
      </c>
      <c r="S54" s="33">
        <f t="shared" si="93"/>
        <v>45838</v>
      </c>
      <c r="T54" s="33">
        <f t="shared" si="93"/>
        <v>45930</v>
      </c>
      <c r="U54" s="33">
        <f t="shared" si="93"/>
        <v>46022</v>
      </c>
      <c r="V54" s="33">
        <f t="shared" si="93"/>
        <v>46112</v>
      </c>
      <c r="W54" s="33">
        <f t="shared" si="93"/>
        <v>46203</v>
      </c>
      <c r="X54" s="33">
        <f t="shared" si="93"/>
        <v>46295</v>
      </c>
      <c r="Y54" s="33">
        <f t="shared" si="93"/>
        <v>46387</v>
      </c>
      <c r="Z54" s="33">
        <f t="shared" si="93"/>
        <v>46477</v>
      </c>
      <c r="AA54" s="33">
        <f t="shared" si="93"/>
        <v>46568</v>
      </c>
      <c r="AB54" s="33">
        <f t="shared" si="93"/>
        <v>46660</v>
      </c>
      <c r="AC54" s="33">
        <f t="shared" si="93"/>
        <v>46752</v>
      </c>
      <c r="AD54" s="33">
        <f t="shared" si="93"/>
        <v>46843</v>
      </c>
      <c r="AE54" s="33">
        <f t="shared" si="93"/>
        <v>46934</v>
      </c>
      <c r="AF54" s="33">
        <f t="shared" si="93"/>
        <v>47026</v>
      </c>
      <c r="AG54" s="33">
        <f t="shared" si="93"/>
        <v>47118</v>
      </c>
      <c r="AH54" s="33">
        <f t="shared" si="93"/>
        <v>47208</v>
      </c>
      <c r="AI54" s="33">
        <f t="shared" si="93"/>
        <v>47299</v>
      </c>
      <c r="AJ54" s="33">
        <f t="shared" si="93"/>
        <v>47391</v>
      </c>
      <c r="AL54" s="34"/>
      <c r="AM54" s="34"/>
      <c r="AN54" s="34"/>
      <c r="AO54" s="34"/>
      <c r="AP54" s="34"/>
      <c r="AQ54" s="34"/>
      <c r="AR54" s="34"/>
      <c r="AS54" s="34"/>
    </row>
    <row r="55" spans="2:45" s="60" customFormat="1" ht="14.25" customHeight="1">
      <c r="B55" s="73" t="s">
        <v>5302</v>
      </c>
      <c r="C55" s="73"/>
      <c r="D55" s="73"/>
      <c r="E55" s="74"/>
      <c r="F55" s="5225">
        <f>E58</f>
        <v>0</v>
      </c>
      <c r="G55" s="73">
        <f ca="1">F58</f>
        <v>0</v>
      </c>
      <c r="H55" s="73">
        <f ca="1">G58</f>
        <v>28150.743999999977</v>
      </c>
      <c r="I55" s="73">
        <f t="shared" ref="I55:AJ55" ca="1" si="94">H58</f>
        <v>26857.089355272707</v>
      </c>
      <c r="J55" s="73">
        <f t="shared" ca="1" si="94"/>
        <v>25536.776809030285</v>
      </c>
      <c r="K55" s="73">
        <f t="shared" ca="1" si="94"/>
        <v>24216.464262787864</v>
      </c>
      <c r="L55" s="73">
        <f t="shared" ca="1" si="94"/>
        <v>22896.151716545442</v>
      </c>
      <c r="M55" s="73">
        <f t="shared" ca="1" si="94"/>
        <v>21549.181268787866</v>
      </c>
      <c r="N55" s="73">
        <f t="shared" ca="1" si="94"/>
        <v>20175.552919515139</v>
      </c>
      <c r="O55" s="73">
        <f t="shared" ca="1" si="94"/>
        <v>18935.214077818171</v>
      </c>
      <c r="P55" s="73">
        <f t="shared" ca="1" si="94"/>
        <v>17668.217334606052</v>
      </c>
      <c r="Q55" s="73">
        <f t="shared" ca="1" si="94"/>
        <v>16255.348554303024</v>
      </c>
      <c r="R55" s="73">
        <f t="shared" ca="1" si="94"/>
        <v>14815.821872484845</v>
      </c>
      <c r="S55" s="73">
        <f t="shared" ca="1" si="94"/>
        <v>13136.374077030301</v>
      </c>
      <c r="T55" s="73">
        <f t="shared" ca="1" si="94"/>
        <v>11456.926281575757</v>
      </c>
      <c r="U55" s="73">
        <f t="shared" ca="1" si="94"/>
        <v>9750.8205846060628</v>
      </c>
      <c r="V55" s="73">
        <f t="shared" ca="1" si="94"/>
        <v>8018.0569861212161</v>
      </c>
      <c r="W55" s="73">
        <f t="shared" ca="1" si="94"/>
        <v>6951.740925515157</v>
      </c>
      <c r="X55" s="73">
        <f t="shared" ca="1" si="94"/>
        <v>5725.4774558181889</v>
      </c>
      <c r="Y55" s="73">
        <f t="shared" ca="1" si="94"/>
        <v>4472.5560846060689</v>
      </c>
      <c r="Z55" s="73">
        <f t="shared" ca="1" si="94"/>
        <v>3406.2400240000097</v>
      </c>
      <c r="AA55" s="73">
        <f t="shared" ca="1" si="94"/>
        <v>3086.345205818192</v>
      </c>
      <c r="AB55" s="73">
        <f t="shared" ca="1" si="94"/>
        <v>2766.4503876363742</v>
      </c>
      <c r="AC55" s="73">
        <f t="shared" ca="1" si="94"/>
        <v>2446.5555694545565</v>
      </c>
      <c r="AD55" s="73">
        <f t="shared" ca="1" si="94"/>
        <v>2126.6607512727387</v>
      </c>
      <c r="AE55" s="73">
        <f t="shared" ca="1" si="94"/>
        <v>1806.765933090921</v>
      </c>
      <c r="AF55" s="73">
        <f t="shared" ca="1" si="94"/>
        <v>1486.8711149091032</v>
      </c>
      <c r="AG55" s="73">
        <f t="shared" ca="1" si="94"/>
        <v>1166.9762967272854</v>
      </c>
      <c r="AH55" s="73">
        <f t="shared" ca="1" si="94"/>
        <v>847.08147854546769</v>
      </c>
      <c r="AI55" s="73">
        <f t="shared" ca="1" si="94"/>
        <v>527.18666036364993</v>
      </c>
      <c r="AJ55" s="73">
        <f t="shared" ca="1" si="94"/>
        <v>207.29184218183212</v>
      </c>
    </row>
    <row r="56" spans="2:45" s="60" customFormat="1" ht="14.25" customHeight="1">
      <c r="B56" s="58" t="s">
        <v>5303</v>
      </c>
      <c r="C56" s="69">
        <f ca="1">민감도!E$53</f>
        <v>28150.743999999977</v>
      </c>
      <c r="D56" s="58">
        <f ca="1">SUM(F56:AJ56)</f>
        <v>28150.743999999977</v>
      </c>
      <c r="E56" s="46"/>
      <c r="F56" s="5226">
        <f ca="1">IF(F$54=Sensitivity!$E$10,$C56,0)</f>
        <v>0</v>
      </c>
      <c r="G56" s="66">
        <f ca="1">IF(G$54=Sensitivity!$E$10,$C56,0)</f>
        <v>28150.743999999977</v>
      </c>
      <c r="H56" s="66">
        <f ca="1">IF(H$54=Sensitivity!$E$10,$C56,0)</f>
        <v>0</v>
      </c>
      <c r="I56" s="66">
        <f ca="1">IF(I$54=Sensitivity!$E$10,$C56,0)</f>
        <v>0</v>
      </c>
      <c r="J56" s="66">
        <f ca="1">IF(J$54=Sensitivity!$E$10,$C56,0)</f>
        <v>0</v>
      </c>
      <c r="K56" s="66">
        <f ca="1">IF(K$54=Sensitivity!$E$10,$C56,0)</f>
        <v>0</v>
      </c>
      <c r="L56" s="66">
        <f ca="1">IF(L$54=Sensitivity!$E$10,$C56,0)</f>
        <v>0</v>
      </c>
      <c r="M56" s="66">
        <f ca="1">IF(M$54=Sensitivity!$E$10,$C56,0)</f>
        <v>0</v>
      </c>
      <c r="N56" s="66">
        <f ca="1">IF(N$54=Sensitivity!$E$10,$C56,0)</f>
        <v>0</v>
      </c>
      <c r="O56" s="66">
        <f ca="1">IF(O$54=Sensitivity!$E$10,$C56,0)</f>
        <v>0</v>
      </c>
      <c r="P56" s="66">
        <f ca="1">IF(P$54=Sensitivity!$E$10,$C56,0)</f>
        <v>0</v>
      </c>
      <c r="Q56" s="66">
        <f ca="1">IF(Q$54=Sensitivity!$E$10,$C56,0)</f>
        <v>0</v>
      </c>
      <c r="R56" s="66">
        <f ca="1">IF(R$54=Sensitivity!$E$10,$C56,0)</f>
        <v>0</v>
      </c>
      <c r="S56" s="66">
        <f ca="1">IF(S$54=Sensitivity!$E$10,$C56,0)</f>
        <v>0</v>
      </c>
      <c r="T56" s="66">
        <f ca="1">IF(T$54=Sensitivity!$E$10,$C56,0)</f>
        <v>0</v>
      </c>
      <c r="U56" s="66">
        <f ca="1">IF(U$54=Sensitivity!$E$10,$C56,0)</f>
        <v>0</v>
      </c>
      <c r="V56" s="66">
        <f ca="1">IF(V$54=Sensitivity!$E$10,$C56,0)</f>
        <v>0</v>
      </c>
      <c r="W56" s="66">
        <f ca="1">IF(W$54=Sensitivity!$E$10,$C56,0)</f>
        <v>0</v>
      </c>
      <c r="X56" s="66">
        <f ca="1">IF(X$54=Sensitivity!$E$10,$C56,0)</f>
        <v>0</v>
      </c>
      <c r="Y56" s="66">
        <f ca="1">IF(Y$54=Sensitivity!$E$10,$C56,0)</f>
        <v>0</v>
      </c>
      <c r="Z56" s="66">
        <f ca="1">IF(Z$54=Sensitivity!$E$10,$C56,0)</f>
        <v>0</v>
      </c>
      <c r="AA56" s="66">
        <f ca="1">IF(AA$54=Sensitivity!$E$10,$C56,0)</f>
        <v>0</v>
      </c>
      <c r="AB56" s="66">
        <f ca="1">IF(AB$54=Sensitivity!$E$10,$C56,0)</f>
        <v>0</v>
      </c>
      <c r="AC56" s="66">
        <f ca="1">IF(AC$54=Sensitivity!$E$10,$C56,0)</f>
        <v>0</v>
      </c>
      <c r="AD56" s="66">
        <f ca="1">IF(AD$54=Sensitivity!$E$10,$C56,0)</f>
        <v>0</v>
      </c>
      <c r="AE56" s="66">
        <f ca="1">IF(AE$54=Sensitivity!$E$10,$C56,0)</f>
        <v>0</v>
      </c>
      <c r="AF56" s="66">
        <f ca="1">IF(AF$54=Sensitivity!$E$10,$C56,0)</f>
        <v>0</v>
      </c>
      <c r="AG56" s="66">
        <f ca="1">IF(AG$54=Sensitivity!$E$10,$C56,0)</f>
        <v>0</v>
      </c>
      <c r="AH56" s="66">
        <f ca="1">IF(AH$54=Sensitivity!$E$10,$C56,0)</f>
        <v>0</v>
      </c>
      <c r="AI56" s="66">
        <f ca="1">IF(AI$54=Sensitivity!$E$10,$C56,0)</f>
        <v>0</v>
      </c>
      <c r="AJ56" s="66">
        <f ca="1">IF(AJ$54=Sensitivity!$E$10,$C56,0)</f>
        <v>0</v>
      </c>
    </row>
    <row r="57" spans="2:45" s="60" customFormat="1" ht="14.25" customHeight="1">
      <c r="B57" s="58" t="s">
        <v>5304</v>
      </c>
      <c r="C57" s="70">
        <f ca="1">D57/D84</f>
        <v>0.31934777544248522</v>
      </c>
      <c r="D57" s="58">
        <f ca="1">SUM(F57:AJ57)</f>
        <v>28150.743999999995</v>
      </c>
      <c r="E57" s="46"/>
      <c r="F57" s="5226">
        <f t="shared" ref="F57:AJ57" ca="1" si="95">IF($B$51=F$54,SUM(F55:F56),$D$56*F$69)</f>
        <v>0</v>
      </c>
      <c r="G57" s="58">
        <f t="shared" ca="1" si="95"/>
        <v>0</v>
      </c>
      <c r="H57" s="58">
        <f t="shared" ca="1" si="95"/>
        <v>1293.6546447272713</v>
      </c>
      <c r="I57" s="58">
        <f t="shared" ca="1" si="95"/>
        <v>1320.3125462424225</v>
      </c>
      <c r="J57" s="58">
        <f t="shared" ca="1" si="95"/>
        <v>1320.3125462424225</v>
      </c>
      <c r="K57" s="58">
        <f t="shared" ca="1" si="95"/>
        <v>1320.3125462424225</v>
      </c>
      <c r="L57" s="58">
        <f t="shared" ca="1" si="95"/>
        <v>1346.9704477575744</v>
      </c>
      <c r="M57" s="58">
        <f t="shared" ca="1" si="95"/>
        <v>1373.6283492727255</v>
      </c>
      <c r="N57" s="58">
        <f t="shared" ca="1" si="95"/>
        <v>1240.3388416969683</v>
      </c>
      <c r="O57" s="58">
        <f t="shared" ca="1" si="95"/>
        <v>1266.9967432121196</v>
      </c>
      <c r="P57" s="58">
        <f t="shared" ca="1" si="95"/>
        <v>1412.8687803030284</v>
      </c>
      <c r="Q57" s="58">
        <f t="shared" ca="1" si="95"/>
        <v>1439.5266818181799</v>
      </c>
      <c r="R57" s="58">
        <f t="shared" ca="1" si="95"/>
        <v>1679.4477954545432</v>
      </c>
      <c r="S57" s="58">
        <f t="shared" ca="1" si="95"/>
        <v>1679.4477954545432</v>
      </c>
      <c r="T57" s="58">
        <f t="shared" ca="1" si="95"/>
        <v>1706.1056969696947</v>
      </c>
      <c r="U57" s="58">
        <f t="shared" ca="1" si="95"/>
        <v>1732.7635984848464</v>
      </c>
      <c r="V57" s="58">
        <f t="shared" ca="1" si="95"/>
        <v>1066.3160606060594</v>
      </c>
      <c r="W57" s="58">
        <f t="shared" ca="1" si="95"/>
        <v>1226.2634696969683</v>
      </c>
      <c r="X57" s="58">
        <f t="shared" ca="1" si="95"/>
        <v>1252.9213712121198</v>
      </c>
      <c r="Y57" s="58">
        <f t="shared" ca="1" si="95"/>
        <v>1066.3160606060594</v>
      </c>
      <c r="Z57" s="58">
        <f t="shared" ca="1" si="95"/>
        <v>319.89481818181781</v>
      </c>
      <c r="AA57" s="58">
        <f t="shared" ca="1" si="95"/>
        <v>319.89481818181781</v>
      </c>
      <c r="AB57" s="58">
        <f t="shared" ca="1" si="95"/>
        <v>319.89481818181781</v>
      </c>
      <c r="AC57" s="58">
        <f t="shared" ca="1" si="95"/>
        <v>319.89481818181781</v>
      </c>
      <c r="AD57" s="58">
        <f t="shared" ca="1" si="95"/>
        <v>319.89481818181781</v>
      </c>
      <c r="AE57" s="58">
        <f t="shared" ca="1" si="95"/>
        <v>319.89481818181781</v>
      </c>
      <c r="AF57" s="58">
        <f t="shared" ca="1" si="95"/>
        <v>319.89481818181781</v>
      </c>
      <c r="AG57" s="58">
        <f t="shared" ca="1" si="95"/>
        <v>319.89481818181781</v>
      </c>
      <c r="AH57" s="58">
        <f t="shared" ca="1" si="95"/>
        <v>319.89481818181781</v>
      </c>
      <c r="AI57" s="58">
        <f t="shared" ca="1" si="95"/>
        <v>319.89481818181781</v>
      </c>
      <c r="AJ57" s="58">
        <f t="shared" ca="1" si="95"/>
        <v>207.29184218183212</v>
      </c>
    </row>
    <row r="58" spans="2:45" s="60" customFormat="1" ht="14.25" customHeight="1" thickBot="1">
      <c r="B58" s="71" t="s">
        <v>5305</v>
      </c>
      <c r="C58" s="71"/>
      <c r="D58" s="71"/>
      <c r="E58" s="72"/>
      <c r="F58" s="5227">
        <f ca="1">IF(ABS(F55+F56-F57)&lt;0.0000001,0,F55+F56-F57)</f>
        <v>0</v>
      </c>
      <c r="G58" s="71">
        <f t="shared" ref="G58:AJ58" ca="1" si="96">IF(ABS(G55+G56-G57)&lt;0.0000001,0,G55+G56-G57)</f>
        <v>28150.743999999977</v>
      </c>
      <c r="H58" s="71">
        <f t="shared" ca="1" si="96"/>
        <v>26857.089355272707</v>
      </c>
      <c r="I58" s="71">
        <f t="shared" ca="1" si="96"/>
        <v>25536.776809030285</v>
      </c>
      <c r="J58" s="71">
        <f t="shared" ca="1" si="96"/>
        <v>24216.464262787864</v>
      </c>
      <c r="K58" s="71">
        <f t="shared" ca="1" si="96"/>
        <v>22896.151716545442</v>
      </c>
      <c r="L58" s="71">
        <f t="shared" ca="1" si="96"/>
        <v>21549.181268787866</v>
      </c>
      <c r="M58" s="71">
        <f t="shared" ca="1" si="96"/>
        <v>20175.552919515139</v>
      </c>
      <c r="N58" s="71">
        <f t="shared" ca="1" si="96"/>
        <v>18935.214077818171</v>
      </c>
      <c r="O58" s="71">
        <f t="shared" ca="1" si="96"/>
        <v>17668.217334606052</v>
      </c>
      <c r="P58" s="71">
        <f t="shared" ca="1" si="96"/>
        <v>16255.348554303024</v>
      </c>
      <c r="Q58" s="71">
        <f t="shared" ca="1" si="96"/>
        <v>14815.821872484845</v>
      </c>
      <c r="R58" s="71">
        <f t="shared" ca="1" si="96"/>
        <v>13136.374077030301</v>
      </c>
      <c r="S58" s="71">
        <f t="shared" ca="1" si="96"/>
        <v>11456.926281575757</v>
      </c>
      <c r="T58" s="71">
        <f t="shared" ca="1" si="96"/>
        <v>9750.8205846060628</v>
      </c>
      <c r="U58" s="71">
        <f t="shared" ca="1" si="96"/>
        <v>8018.0569861212161</v>
      </c>
      <c r="V58" s="71">
        <f t="shared" ca="1" si="96"/>
        <v>6951.740925515157</v>
      </c>
      <c r="W58" s="71">
        <f t="shared" ca="1" si="96"/>
        <v>5725.4774558181889</v>
      </c>
      <c r="X58" s="71">
        <f t="shared" ca="1" si="96"/>
        <v>4472.5560846060689</v>
      </c>
      <c r="Y58" s="71">
        <f t="shared" ca="1" si="96"/>
        <v>3406.2400240000097</v>
      </c>
      <c r="Z58" s="71">
        <f t="shared" ca="1" si="96"/>
        <v>3086.345205818192</v>
      </c>
      <c r="AA58" s="71">
        <f t="shared" ca="1" si="96"/>
        <v>2766.4503876363742</v>
      </c>
      <c r="AB58" s="71">
        <f t="shared" ca="1" si="96"/>
        <v>2446.5555694545565</v>
      </c>
      <c r="AC58" s="71">
        <f t="shared" ca="1" si="96"/>
        <v>2126.6607512727387</v>
      </c>
      <c r="AD58" s="71">
        <f t="shared" ca="1" si="96"/>
        <v>1806.765933090921</v>
      </c>
      <c r="AE58" s="71">
        <f t="shared" ca="1" si="96"/>
        <v>1486.8711149091032</v>
      </c>
      <c r="AF58" s="71">
        <f t="shared" ca="1" si="96"/>
        <v>1166.9762967272854</v>
      </c>
      <c r="AG58" s="71">
        <f t="shared" ca="1" si="96"/>
        <v>847.08147854546769</v>
      </c>
      <c r="AH58" s="71">
        <f t="shared" ca="1" si="96"/>
        <v>527.18666036364993</v>
      </c>
      <c r="AI58" s="71">
        <f t="shared" ca="1" si="96"/>
        <v>207.29184218183212</v>
      </c>
      <c r="AJ58" s="71">
        <f t="shared" ca="1" si="96"/>
        <v>0</v>
      </c>
    </row>
    <row r="59" spans="2:45" s="60" customFormat="1" ht="14.25" customHeight="1" thickTop="1">
      <c r="B59" s="58" t="s">
        <v>5306</v>
      </c>
      <c r="C59" s="58"/>
      <c r="D59" s="58"/>
      <c r="E59" s="46"/>
      <c r="F59" s="5226">
        <f>E62</f>
        <v>0</v>
      </c>
      <c r="G59" s="58">
        <f ca="1">F62</f>
        <v>0</v>
      </c>
      <c r="H59" s="58">
        <f t="shared" ref="H59:AJ59" ca="1" si="97">G62</f>
        <v>60000</v>
      </c>
      <c r="I59" s="58">
        <f t="shared" ca="1" si="97"/>
        <v>57242.727272727272</v>
      </c>
      <c r="J59" s="58">
        <f t="shared" ca="1" si="97"/>
        <v>54428.636363636368</v>
      </c>
      <c r="K59" s="58">
        <f t="shared" ca="1" si="97"/>
        <v>51614.545454545456</v>
      </c>
      <c r="L59" s="58">
        <f t="shared" ca="1" si="97"/>
        <v>48800.454545454544</v>
      </c>
      <c r="M59" s="58">
        <f t="shared" ca="1" si="97"/>
        <v>45929.545454545456</v>
      </c>
      <c r="N59" s="58">
        <f t="shared" ca="1" si="97"/>
        <v>43001.818181818184</v>
      </c>
      <c r="O59" s="58">
        <f t="shared" ca="1" si="97"/>
        <v>40358.181818181823</v>
      </c>
      <c r="P59" s="58">
        <f t="shared" ca="1" si="97"/>
        <v>37657.727272727279</v>
      </c>
      <c r="Q59" s="58">
        <f t="shared" ca="1" si="97"/>
        <v>34646.363636363647</v>
      </c>
      <c r="R59" s="58">
        <f t="shared" ca="1" si="97"/>
        <v>31578.181818181831</v>
      </c>
      <c r="S59" s="58">
        <f t="shared" ca="1" si="97"/>
        <v>27998.636363636379</v>
      </c>
      <c r="T59" s="58">
        <f t="shared" ca="1" si="97"/>
        <v>24419.090909090926</v>
      </c>
      <c r="U59" s="58">
        <f t="shared" ca="1" si="97"/>
        <v>20782.727272727294</v>
      </c>
      <c r="V59" s="58">
        <f t="shared" ca="1" si="97"/>
        <v>17089.545454545478</v>
      </c>
      <c r="W59" s="58">
        <f t="shared" ca="1" si="97"/>
        <v>14816.818181818206</v>
      </c>
      <c r="X59" s="58">
        <f t="shared" ca="1" si="97"/>
        <v>12203.181818181843</v>
      </c>
      <c r="Y59" s="58">
        <f t="shared" ca="1" si="97"/>
        <v>9532.7272727272994</v>
      </c>
      <c r="Z59" s="58">
        <f t="shared" ca="1" si="97"/>
        <v>7260.0000000000273</v>
      </c>
      <c r="AA59" s="58">
        <f t="shared" ca="1" si="97"/>
        <v>6578.1818181818453</v>
      </c>
      <c r="AB59" s="58">
        <f t="shared" ca="1" si="97"/>
        <v>5896.3636363636633</v>
      </c>
      <c r="AC59" s="58">
        <f t="shared" ca="1" si="97"/>
        <v>5214.5454545454813</v>
      </c>
      <c r="AD59" s="58">
        <f t="shared" ca="1" si="97"/>
        <v>4532.7272727272994</v>
      </c>
      <c r="AE59" s="58">
        <f t="shared" ca="1" si="97"/>
        <v>3850.9090909091178</v>
      </c>
      <c r="AF59" s="58">
        <f t="shared" ca="1" si="97"/>
        <v>3169.0909090909363</v>
      </c>
      <c r="AG59" s="58">
        <f t="shared" ca="1" si="97"/>
        <v>2487.2727272727548</v>
      </c>
      <c r="AH59" s="58">
        <f t="shared" ca="1" si="97"/>
        <v>1805.4545454545732</v>
      </c>
      <c r="AI59" s="58">
        <f t="shared" ca="1" si="97"/>
        <v>1123.6363636363917</v>
      </c>
      <c r="AJ59" s="58">
        <f t="shared" ca="1" si="97"/>
        <v>441.81818181821006</v>
      </c>
    </row>
    <row r="60" spans="2:45" s="60" customFormat="1" ht="14.25" customHeight="1">
      <c r="B60" s="58" t="s">
        <v>5307</v>
      </c>
      <c r="C60" s="69">
        <f ca="1">민감도!$E$54</f>
        <v>60000</v>
      </c>
      <c r="D60" s="58">
        <f ca="1">SUM(F60:AJ60)</f>
        <v>60000</v>
      </c>
      <c r="E60" s="46"/>
      <c r="F60" s="5226">
        <f ca="1">IF(F$54=Sensitivity!$E$10,$C60,0)</f>
        <v>0</v>
      </c>
      <c r="G60" s="58">
        <f ca="1">IF(G$54=Sensitivity!$E$10,$C60,0)</f>
        <v>60000</v>
      </c>
      <c r="H60" s="58">
        <f ca="1">IF(H$54=Sensitivity!$E$10,$C60,0)</f>
        <v>0</v>
      </c>
      <c r="I60" s="58">
        <f ca="1">IF(I$54=Sensitivity!$E$10,$C60,0)</f>
        <v>0</v>
      </c>
      <c r="J60" s="58">
        <f ca="1">IF(J$54=Sensitivity!$E$10,$C60,0)</f>
        <v>0</v>
      </c>
      <c r="K60" s="58">
        <f ca="1">IF(K$54=Sensitivity!$E$10,$C60,0)</f>
        <v>0</v>
      </c>
      <c r="L60" s="58">
        <f ca="1">IF(L$54=Sensitivity!$E$10,$C60,0)</f>
        <v>0</v>
      </c>
      <c r="M60" s="58">
        <f ca="1">IF(M$54=Sensitivity!$E$10,$C60,0)</f>
        <v>0</v>
      </c>
      <c r="N60" s="58">
        <f ca="1">IF(N$54=Sensitivity!$E$10,$C60,0)</f>
        <v>0</v>
      </c>
      <c r="O60" s="58">
        <f ca="1">IF(O$54=Sensitivity!$E$10,$C60,0)</f>
        <v>0</v>
      </c>
      <c r="P60" s="58">
        <f ca="1">IF(P$54=Sensitivity!$E$10,$C60,0)</f>
        <v>0</v>
      </c>
      <c r="Q60" s="58">
        <f ca="1">IF(Q$54=Sensitivity!$E$10,$C60,0)</f>
        <v>0</v>
      </c>
      <c r="R60" s="58">
        <f ca="1">IF(R$54=Sensitivity!$E$10,$C60,0)</f>
        <v>0</v>
      </c>
      <c r="S60" s="58">
        <f ca="1">IF(S$54=Sensitivity!$E$10,$C60,0)</f>
        <v>0</v>
      </c>
      <c r="T60" s="58">
        <f ca="1">IF(T$54=Sensitivity!$E$10,$C60,0)</f>
        <v>0</v>
      </c>
      <c r="U60" s="58">
        <f ca="1">IF(U$54=Sensitivity!$E$10,$C60,0)</f>
        <v>0</v>
      </c>
      <c r="V60" s="58">
        <f ca="1">IF(V$54=Sensitivity!$E$10,$C60,0)</f>
        <v>0</v>
      </c>
      <c r="W60" s="58">
        <f ca="1">IF(W$54=Sensitivity!$E$10,$C60,0)</f>
        <v>0</v>
      </c>
      <c r="X60" s="58">
        <f ca="1">IF(X$54=Sensitivity!$E$10,$C60,0)</f>
        <v>0</v>
      </c>
      <c r="Y60" s="58">
        <f ca="1">IF(Y$54=Sensitivity!$E$10,$C60,0)</f>
        <v>0</v>
      </c>
      <c r="Z60" s="58">
        <f ca="1">IF(Z$54=Sensitivity!$E$10,$C60,0)</f>
        <v>0</v>
      </c>
      <c r="AA60" s="58">
        <f ca="1">IF(AA$54=Sensitivity!$E$10,$C60,0)</f>
        <v>0</v>
      </c>
      <c r="AB60" s="58">
        <f ca="1">IF(AB$54=Sensitivity!$E$10,$C60,0)</f>
        <v>0</v>
      </c>
      <c r="AC60" s="58">
        <f ca="1">IF(AC$54=Sensitivity!$E$10,$C60,0)</f>
        <v>0</v>
      </c>
      <c r="AD60" s="58">
        <f ca="1">IF(AD$54=Sensitivity!$E$10,$C60,0)</f>
        <v>0</v>
      </c>
      <c r="AE60" s="58">
        <f ca="1">IF(AE$54=Sensitivity!$E$10,$C60,0)</f>
        <v>0</v>
      </c>
      <c r="AF60" s="58">
        <f ca="1">IF(AF$54=Sensitivity!$E$10,$C60,0)</f>
        <v>0</v>
      </c>
      <c r="AG60" s="58">
        <f ca="1">IF(AG$54=Sensitivity!$E$10,$C60,0)</f>
        <v>0</v>
      </c>
      <c r="AH60" s="58">
        <f ca="1">IF(AH$54=Sensitivity!$E$10,$C60,0)</f>
        <v>0</v>
      </c>
      <c r="AI60" s="58">
        <f ca="1">IF(AI$54=Sensitivity!$E$10,$C60,0)</f>
        <v>0</v>
      </c>
      <c r="AJ60" s="58">
        <f ca="1">IF(AJ$54=Sensitivity!$E$10,$C60,0)</f>
        <v>0</v>
      </c>
    </row>
    <row r="61" spans="2:45" s="60" customFormat="1" ht="14.25" customHeight="1">
      <c r="B61" s="58" t="s">
        <v>5308</v>
      </c>
      <c r="C61" s="70">
        <f ca="1">D60/D84</f>
        <v>0.68065222455751495</v>
      </c>
      <c r="D61" s="58">
        <f ca="1">SUM(F61:AJ61)</f>
        <v>60000.000000000029</v>
      </c>
      <c r="E61" s="46"/>
      <c r="F61" s="5226">
        <f t="shared" ref="F61:AJ61" ca="1" si="98">IF($B$51=F$54,SUM(F59:F60),$D$60*F$69)</f>
        <v>0</v>
      </c>
      <c r="G61" s="58">
        <f t="shared" ca="1" si="98"/>
        <v>0</v>
      </c>
      <c r="H61" s="58">
        <f t="shared" ca="1" si="98"/>
        <v>2757.2727272727266</v>
      </c>
      <c r="I61" s="58">
        <f t="shared" ca="1" si="98"/>
        <v>2814.0909090909081</v>
      </c>
      <c r="J61" s="58">
        <f t="shared" ca="1" si="98"/>
        <v>2814.0909090909081</v>
      </c>
      <c r="K61" s="58">
        <f t="shared" ca="1" si="98"/>
        <v>2814.0909090909081</v>
      </c>
      <c r="L61" s="58">
        <f t="shared" ca="1" si="98"/>
        <v>2870.9090909090905</v>
      </c>
      <c r="M61" s="58">
        <f t="shared" ca="1" si="98"/>
        <v>2927.7272727272716</v>
      </c>
      <c r="N61" s="58">
        <f t="shared" ca="1" si="98"/>
        <v>2643.6363636363626</v>
      </c>
      <c r="O61" s="58">
        <f t="shared" ca="1" si="98"/>
        <v>2700.4545454545441</v>
      </c>
      <c r="P61" s="58">
        <f t="shared" ca="1" si="98"/>
        <v>3011.3636363636351</v>
      </c>
      <c r="Q61" s="58">
        <f t="shared" ca="1" si="98"/>
        <v>3068.1818181818167</v>
      </c>
      <c r="R61" s="58">
        <f t="shared" ca="1" si="98"/>
        <v>3579.5454545454527</v>
      </c>
      <c r="S61" s="58">
        <f t="shared" ca="1" si="98"/>
        <v>3579.5454545454527</v>
      </c>
      <c r="T61" s="58">
        <f t="shared" ca="1" si="98"/>
        <v>3636.3636363636342</v>
      </c>
      <c r="U61" s="58">
        <f t="shared" ca="1" si="98"/>
        <v>3693.1818181818171</v>
      </c>
      <c r="V61" s="58">
        <f t="shared" ca="1" si="98"/>
        <v>2272.7272727272721</v>
      </c>
      <c r="W61" s="58">
        <f t="shared" ca="1" si="98"/>
        <v>2613.6363636363626</v>
      </c>
      <c r="X61" s="58">
        <f t="shared" ca="1" si="98"/>
        <v>2670.4545454545441</v>
      </c>
      <c r="Y61" s="58">
        <f t="shared" ca="1" si="98"/>
        <v>2272.7272727272721</v>
      </c>
      <c r="Z61" s="58">
        <f t="shared" ca="1" si="98"/>
        <v>681.81818181818164</v>
      </c>
      <c r="AA61" s="58">
        <f t="shared" ca="1" si="98"/>
        <v>681.81818181818164</v>
      </c>
      <c r="AB61" s="58">
        <f t="shared" ca="1" si="98"/>
        <v>681.81818181818164</v>
      </c>
      <c r="AC61" s="58">
        <f t="shared" ca="1" si="98"/>
        <v>681.81818181818164</v>
      </c>
      <c r="AD61" s="58">
        <f t="shared" ca="1" si="98"/>
        <v>681.81818181818164</v>
      </c>
      <c r="AE61" s="58">
        <f t="shared" ca="1" si="98"/>
        <v>681.81818181818164</v>
      </c>
      <c r="AF61" s="58">
        <f t="shared" ca="1" si="98"/>
        <v>681.81818181818164</v>
      </c>
      <c r="AG61" s="58">
        <f t="shared" ca="1" si="98"/>
        <v>681.81818181818164</v>
      </c>
      <c r="AH61" s="58">
        <f t="shared" ca="1" si="98"/>
        <v>681.81818181818164</v>
      </c>
      <c r="AI61" s="58">
        <f t="shared" ca="1" si="98"/>
        <v>681.81818181818164</v>
      </c>
      <c r="AJ61" s="58">
        <f t="shared" ca="1" si="98"/>
        <v>441.81818181821006</v>
      </c>
    </row>
    <row r="62" spans="2:45" s="64" customFormat="1" ht="12.75" thickBot="1">
      <c r="B62" s="71" t="s">
        <v>5309</v>
      </c>
      <c r="C62" s="71"/>
      <c r="D62" s="71"/>
      <c r="E62" s="72"/>
      <c r="F62" s="5227">
        <f t="shared" ref="F62:AJ62" ca="1" si="99">IF(ABS(F59+F60-F61)&lt;0.0000001,0,F59+F60-F61)</f>
        <v>0</v>
      </c>
      <c r="G62" s="71">
        <f t="shared" ca="1" si="99"/>
        <v>60000</v>
      </c>
      <c r="H62" s="71">
        <f t="shared" ca="1" si="99"/>
        <v>57242.727272727272</v>
      </c>
      <c r="I62" s="71">
        <f t="shared" ca="1" si="99"/>
        <v>54428.636363636368</v>
      </c>
      <c r="J62" s="71">
        <f t="shared" ca="1" si="99"/>
        <v>51614.545454545456</v>
      </c>
      <c r="K62" s="71">
        <f t="shared" ca="1" si="99"/>
        <v>48800.454545454544</v>
      </c>
      <c r="L62" s="71">
        <f t="shared" ca="1" si="99"/>
        <v>45929.545454545456</v>
      </c>
      <c r="M62" s="71">
        <f t="shared" ca="1" si="99"/>
        <v>43001.818181818184</v>
      </c>
      <c r="N62" s="71">
        <f t="shared" ca="1" si="99"/>
        <v>40358.181818181823</v>
      </c>
      <c r="O62" s="71">
        <f t="shared" ca="1" si="99"/>
        <v>37657.727272727279</v>
      </c>
      <c r="P62" s="71">
        <f t="shared" ca="1" si="99"/>
        <v>34646.363636363647</v>
      </c>
      <c r="Q62" s="71">
        <f t="shared" ca="1" si="99"/>
        <v>31578.181818181831</v>
      </c>
      <c r="R62" s="71">
        <f t="shared" ca="1" si="99"/>
        <v>27998.636363636379</v>
      </c>
      <c r="S62" s="71">
        <f t="shared" ca="1" si="99"/>
        <v>24419.090909090926</v>
      </c>
      <c r="T62" s="71">
        <f t="shared" ca="1" si="99"/>
        <v>20782.727272727294</v>
      </c>
      <c r="U62" s="71">
        <f t="shared" ca="1" si="99"/>
        <v>17089.545454545478</v>
      </c>
      <c r="V62" s="71">
        <f t="shared" ca="1" si="99"/>
        <v>14816.818181818206</v>
      </c>
      <c r="W62" s="71">
        <f t="shared" ca="1" si="99"/>
        <v>12203.181818181843</v>
      </c>
      <c r="X62" s="71">
        <f t="shared" ca="1" si="99"/>
        <v>9532.7272727272994</v>
      </c>
      <c r="Y62" s="71">
        <f t="shared" ca="1" si="99"/>
        <v>7260.0000000000273</v>
      </c>
      <c r="Z62" s="71">
        <f t="shared" ca="1" si="99"/>
        <v>6578.1818181818453</v>
      </c>
      <c r="AA62" s="71">
        <f t="shared" ca="1" si="99"/>
        <v>5896.3636363636633</v>
      </c>
      <c r="AB62" s="71">
        <f t="shared" ca="1" si="99"/>
        <v>5214.5454545454813</v>
      </c>
      <c r="AC62" s="71">
        <f t="shared" ca="1" si="99"/>
        <v>4532.7272727272994</v>
      </c>
      <c r="AD62" s="71">
        <f t="shared" ca="1" si="99"/>
        <v>3850.9090909091178</v>
      </c>
      <c r="AE62" s="71">
        <f t="shared" ca="1" si="99"/>
        <v>3169.0909090909363</v>
      </c>
      <c r="AF62" s="71">
        <f t="shared" ca="1" si="99"/>
        <v>2487.2727272727548</v>
      </c>
      <c r="AG62" s="71">
        <f t="shared" ca="1" si="99"/>
        <v>1805.4545454545732</v>
      </c>
      <c r="AH62" s="71">
        <f t="shared" ca="1" si="99"/>
        <v>1123.6363636363917</v>
      </c>
      <c r="AI62" s="71">
        <f t="shared" ca="1" si="99"/>
        <v>441.81818181821006</v>
      </c>
      <c r="AJ62" s="71">
        <f t="shared" ca="1" si="99"/>
        <v>0</v>
      </c>
    </row>
    <row r="63" spans="2:45" s="17" customFormat="1" ht="14.25" customHeight="1" thickTop="1">
      <c r="B63" s="5098" t="s">
        <v>5298</v>
      </c>
      <c r="C63" s="5099">
        <f ca="1">D72</f>
        <v>3.95E-2</v>
      </c>
      <c r="D63" s="5097">
        <f ca="1">SUM(F63:AJ63)</f>
        <v>3129.3242139923168</v>
      </c>
      <c r="E63" s="5094"/>
      <c r="F63" s="5228"/>
      <c r="G63" s="5097">
        <f t="shared" ref="G63:AJ63" ca="1" si="100">IF(G54&lt;=$F$72,$D$72,$D$73)*G55*(G54-F54)/365</f>
        <v>0</v>
      </c>
      <c r="H63" s="5097">
        <f t="shared" ca="1" si="100"/>
        <v>280.27343478356147</v>
      </c>
      <c r="I63" s="5097">
        <f t="shared" ca="1" si="100"/>
        <v>267.39359648509861</v>
      </c>
      <c r="J63" s="5097">
        <f t="shared" ca="1" si="100"/>
        <v>248.72120974274705</v>
      </c>
      <c r="K63" s="5097">
        <f t="shared" ca="1" si="100"/>
        <v>238.48241313038625</v>
      </c>
      <c r="L63" s="5097">
        <f t="shared" ca="1" si="100"/>
        <v>227.95785024089352</v>
      </c>
      <c r="M63" s="5097">
        <f t="shared" ca="1" si="100"/>
        <v>214.54719104321947</v>
      </c>
      <c r="N63" s="5097">
        <f t="shared" ca="1" si="100"/>
        <v>198.68773964163609</v>
      </c>
      <c r="O63" s="5097">
        <f t="shared" ca="1" si="100"/>
        <v>186.47295069237649</v>
      </c>
      <c r="P63" s="5097">
        <f t="shared" ca="1" si="100"/>
        <v>175.90767614783121</v>
      </c>
      <c r="Q63" s="5097">
        <f t="shared" ca="1" si="100"/>
        <v>161.840922318732</v>
      </c>
      <c r="R63" s="5097">
        <f t="shared" ca="1" si="100"/>
        <v>144.30204590872225</v>
      </c>
      <c r="S63" s="5097">
        <f t="shared" ca="1" si="100"/>
        <v>129.36629210927509</v>
      </c>
      <c r="T63" s="5097">
        <f t="shared" ca="1" si="100"/>
        <v>114.06704138971591</v>
      </c>
      <c r="U63" s="5097">
        <f t="shared" ca="1" si="100"/>
        <v>97.080772614954611</v>
      </c>
      <c r="V63" s="5097">
        <f t="shared" ca="1" si="100"/>
        <v>78.093678316879249</v>
      </c>
      <c r="W63" s="5097">
        <f t="shared" ca="1" si="100"/>
        <v>68.460363717162281</v>
      </c>
      <c r="X63" s="5097">
        <f t="shared" ca="1" si="100"/>
        <v>57.003794724502185</v>
      </c>
      <c r="Y63" s="5097">
        <f t="shared" ca="1" si="100"/>
        <v>44.529503593036857</v>
      </c>
      <c r="Z63" s="5097">
        <f t="shared" ca="1" si="100"/>
        <v>33.175844617315164</v>
      </c>
      <c r="AA63" s="5097">
        <f t="shared" ca="1" si="100"/>
        <v>30.394158472091757</v>
      </c>
      <c r="AB63" s="5097">
        <f t="shared" ca="1" si="100"/>
        <v>27.543234818275572</v>
      </c>
      <c r="AC63" s="5097">
        <f t="shared" ca="1" si="100"/>
        <v>24.358309423007832</v>
      </c>
      <c r="AD63" s="5097">
        <f t="shared" ca="1" si="100"/>
        <v>20.943238549177696</v>
      </c>
      <c r="AE63" s="5097">
        <f t="shared" ca="1" si="100"/>
        <v>17.792931908206345</v>
      </c>
      <c r="AF63" s="5097">
        <f t="shared" ca="1" si="100"/>
        <v>14.803533237204604</v>
      </c>
      <c r="AG63" s="5097">
        <f t="shared" ca="1" si="100"/>
        <v>11.618607841936864</v>
      </c>
      <c r="AH63" s="5097">
        <f t="shared" ca="1" si="100"/>
        <v>8.250341523915445</v>
      </c>
      <c r="AI63" s="5097">
        <f t="shared" ca="1" si="100"/>
        <v>5.1917053443209307</v>
      </c>
      <c r="AJ63" s="5097">
        <f t="shared" ca="1" si="100"/>
        <v>2.0638316561336385</v>
      </c>
    </row>
    <row r="64" spans="2:45" s="60" customFormat="1" ht="14.25" customHeight="1" thickBot="1">
      <c r="B64" s="5407" t="s">
        <v>5300</v>
      </c>
      <c r="C64" s="5408">
        <f ca="1">민감도!$E$55</f>
        <v>3.7999999999999999E-2</v>
      </c>
      <c r="D64" s="5409">
        <f ca="1">SUM(F64:AJ64)</f>
        <v>6416.503486924039</v>
      </c>
      <c r="E64" s="5108"/>
      <c r="F64" s="5410"/>
      <c r="G64" s="5409">
        <f t="shared" ref="G64:AJ64" ca="1" si="101">G59*$C$64*(G54-F54)/365</f>
        <v>0</v>
      </c>
      <c r="H64" s="5409">
        <f t="shared" ca="1" si="101"/>
        <v>574.68493150684935</v>
      </c>
      <c r="I64" s="5409">
        <f t="shared" ca="1" si="101"/>
        <v>548.27554669987546</v>
      </c>
      <c r="J64" s="5409">
        <f t="shared" ca="1" si="101"/>
        <v>509.98886674968867</v>
      </c>
      <c r="K64" s="5409">
        <f t="shared" ca="1" si="101"/>
        <v>488.9947895392279</v>
      </c>
      <c r="L64" s="5409">
        <f t="shared" ca="1" si="101"/>
        <v>467.41476463262757</v>
      </c>
      <c r="M64" s="5409">
        <f t="shared" ca="1" si="101"/>
        <v>439.91696139476966</v>
      </c>
      <c r="N64" s="5409">
        <f t="shared" ca="1" si="101"/>
        <v>407.39804732254044</v>
      </c>
      <c r="O64" s="5409">
        <f t="shared" ca="1" si="101"/>
        <v>382.35230884184313</v>
      </c>
      <c r="P64" s="5409">
        <f t="shared" ca="1" si="101"/>
        <v>360.68880697384816</v>
      </c>
      <c r="Q64" s="5409">
        <f t="shared" ca="1" si="101"/>
        <v>331.84571855541731</v>
      </c>
      <c r="R64" s="5409">
        <f t="shared" ca="1" si="101"/>
        <v>295.88323785803249</v>
      </c>
      <c r="S64" s="5409">
        <f t="shared" ca="1" si="101"/>
        <v>265.25831382316323</v>
      </c>
      <c r="T64" s="5409">
        <f t="shared" ca="1" si="101"/>
        <v>233.88805977584076</v>
      </c>
      <c r="U64" s="5409">
        <f t="shared" ca="1" si="101"/>
        <v>199.05866998754692</v>
      </c>
      <c r="V64" s="5409">
        <f t="shared" ca="1" si="101"/>
        <v>160.12669987546721</v>
      </c>
      <c r="W64" s="5409">
        <f t="shared" ca="1" si="101"/>
        <v>140.37412951432151</v>
      </c>
      <c r="X64" s="5409">
        <f t="shared" ca="1" si="101"/>
        <v>116.88307845579104</v>
      </c>
      <c r="Y64" s="5409">
        <f t="shared" ca="1" si="101"/>
        <v>91.30524533001271</v>
      </c>
      <c r="Z64" s="5409">
        <f t="shared" ca="1" si="101"/>
        <v>68.02520547945231</v>
      </c>
      <c r="AA64" s="5409">
        <f t="shared" ca="1" si="101"/>
        <v>62.321514321295396</v>
      </c>
      <c r="AB64" s="5409">
        <f t="shared" ca="1" si="101"/>
        <v>56.475855541718808</v>
      </c>
      <c r="AC64" s="5409">
        <f t="shared" ca="1" si="101"/>
        <v>49.945344956413706</v>
      </c>
      <c r="AD64" s="5409">
        <f t="shared" ca="1" si="101"/>
        <v>42.942933997509591</v>
      </c>
      <c r="AE64" s="5409">
        <f t="shared" ca="1" si="101"/>
        <v>36.48340722291433</v>
      </c>
      <c r="AF64" s="5409">
        <f t="shared" ca="1" si="101"/>
        <v>30.353813200498394</v>
      </c>
      <c r="AG64" s="5409">
        <f t="shared" ca="1" si="101"/>
        <v>23.823302615193288</v>
      </c>
      <c r="AH64" s="5409">
        <f t="shared" ca="1" si="101"/>
        <v>16.916861768368879</v>
      </c>
      <c r="AI64" s="5409">
        <f t="shared" ca="1" si="101"/>
        <v>10.645300124533266</v>
      </c>
      <c r="AJ64" s="5409">
        <f t="shared" ca="1" si="101"/>
        <v>4.2317708592779786</v>
      </c>
    </row>
    <row r="65" spans="2:36" s="60" customFormat="1" ht="14.25" customHeight="1" thickTop="1">
      <c r="B65" s="73" t="s">
        <v>66</v>
      </c>
      <c r="C65" s="73"/>
      <c r="D65" s="73"/>
      <c r="E65" s="74"/>
      <c r="F65" s="5225">
        <f>E68</f>
        <v>0</v>
      </c>
      <c r="G65" s="73">
        <f ca="1">F68</f>
        <v>0</v>
      </c>
      <c r="H65" s="73">
        <f ca="1">G68</f>
        <v>88150.743999999977</v>
      </c>
      <c r="I65" s="73">
        <f t="shared" ref="I65:AJ65" ca="1" si="102">H68</f>
        <v>84099.816627999986</v>
      </c>
      <c r="J65" s="73">
        <f t="shared" ca="1" si="102"/>
        <v>79965.413172666653</v>
      </c>
      <c r="K65" s="73">
        <f t="shared" ca="1" si="102"/>
        <v>75831.00971733332</v>
      </c>
      <c r="L65" s="73">
        <f t="shared" ca="1" si="102"/>
        <v>71696.606261999987</v>
      </c>
      <c r="M65" s="73">
        <f t="shared" ca="1" si="102"/>
        <v>67478.726723333326</v>
      </c>
      <c r="N65" s="73">
        <f t="shared" ca="1" si="102"/>
        <v>63177.37110133333</v>
      </c>
      <c r="O65" s="73">
        <f t="shared" ca="1" si="102"/>
        <v>59293.395896000002</v>
      </c>
      <c r="P65" s="73">
        <f t="shared" ca="1" si="102"/>
        <v>55325.944607333338</v>
      </c>
      <c r="Q65" s="73">
        <f t="shared" ca="1" si="102"/>
        <v>50901.712190666673</v>
      </c>
      <c r="R65" s="73">
        <f t="shared" ca="1" si="102"/>
        <v>46394.003690666679</v>
      </c>
      <c r="S65" s="73">
        <f t="shared" ca="1" si="102"/>
        <v>41135.01044066668</v>
      </c>
      <c r="T65" s="73">
        <f t="shared" ca="1" si="102"/>
        <v>35876.01719066668</v>
      </c>
      <c r="U65" s="73">
        <f t="shared" ca="1" si="102"/>
        <v>30533.547857333353</v>
      </c>
      <c r="V65" s="73">
        <f t="shared" ca="1" si="102"/>
        <v>25107.602440666691</v>
      </c>
      <c r="W65" s="73">
        <f t="shared" ca="1" si="102"/>
        <v>21768.55910733336</v>
      </c>
      <c r="X65" s="73">
        <f t="shared" ca="1" si="102"/>
        <v>17928.659274000027</v>
      </c>
      <c r="Y65" s="73">
        <f t="shared" ca="1" si="102"/>
        <v>14005.283357333363</v>
      </c>
      <c r="Z65" s="73">
        <f t="shared" ca="1" si="102"/>
        <v>10666.240024000032</v>
      </c>
      <c r="AA65" s="73">
        <f t="shared" ca="1" si="102"/>
        <v>9664.5270240000318</v>
      </c>
      <c r="AB65" s="73">
        <f t="shared" ca="1" si="102"/>
        <v>8662.8140240000321</v>
      </c>
      <c r="AC65" s="73">
        <f t="shared" ca="1" si="102"/>
        <v>7661.1010240000323</v>
      </c>
      <c r="AD65" s="73">
        <f t="shared" ca="1" si="102"/>
        <v>6659.3880240000326</v>
      </c>
      <c r="AE65" s="73">
        <f t="shared" ca="1" si="102"/>
        <v>5657.6750240000329</v>
      </c>
      <c r="AF65" s="73">
        <f t="shared" ca="1" si="102"/>
        <v>4655.9620240000331</v>
      </c>
      <c r="AG65" s="73">
        <f t="shared" ca="1" si="102"/>
        <v>3654.2490240000334</v>
      </c>
      <c r="AH65" s="73">
        <f t="shared" ca="1" si="102"/>
        <v>2652.5360240000336</v>
      </c>
      <c r="AI65" s="73">
        <f t="shared" ca="1" si="102"/>
        <v>1650.8230240000341</v>
      </c>
      <c r="AJ65" s="73">
        <f t="shared" ca="1" si="102"/>
        <v>649.11002400003463</v>
      </c>
    </row>
    <row r="66" spans="2:36" s="60" customFormat="1" ht="14.25" customHeight="1">
      <c r="B66" s="58" t="s">
        <v>67</v>
      </c>
      <c r="C66" s="69"/>
      <c r="D66" s="58">
        <f ca="1">SUM(F66:AJ66)</f>
        <v>88150.743999999977</v>
      </c>
      <c r="E66" s="46"/>
      <c r="F66" s="5226">
        <f ca="1">F56+F60</f>
        <v>0</v>
      </c>
      <c r="G66" s="66">
        <f ca="1">G56+G60</f>
        <v>88150.743999999977</v>
      </c>
      <c r="H66" s="66">
        <f t="shared" ref="H66:AJ66" ca="1" si="103">H56+H60</f>
        <v>0</v>
      </c>
      <c r="I66" s="66">
        <f t="shared" ca="1" si="103"/>
        <v>0</v>
      </c>
      <c r="J66" s="66">
        <f t="shared" ca="1" si="103"/>
        <v>0</v>
      </c>
      <c r="K66" s="66">
        <f t="shared" ca="1" si="103"/>
        <v>0</v>
      </c>
      <c r="L66" s="66">
        <f t="shared" ca="1" si="103"/>
        <v>0</v>
      </c>
      <c r="M66" s="66">
        <f t="shared" ca="1" si="103"/>
        <v>0</v>
      </c>
      <c r="N66" s="66">
        <f t="shared" ca="1" si="103"/>
        <v>0</v>
      </c>
      <c r="O66" s="66">
        <f t="shared" ca="1" si="103"/>
        <v>0</v>
      </c>
      <c r="P66" s="66">
        <f t="shared" ca="1" si="103"/>
        <v>0</v>
      </c>
      <c r="Q66" s="66">
        <f t="shared" ca="1" si="103"/>
        <v>0</v>
      </c>
      <c r="R66" s="66">
        <f t="shared" ca="1" si="103"/>
        <v>0</v>
      </c>
      <c r="S66" s="66">
        <f t="shared" ca="1" si="103"/>
        <v>0</v>
      </c>
      <c r="T66" s="66">
        <f t="shared" ca="1" si="103"/>
        <v>0</v>
      </c>
      <c r="U66" s="66">
        <f t="shared" ca="1" si="103"/>
        <v>0</v>
      </c>
      <c r="V66" s="66">
        <f t="shared" ca="1" si="103"/>
        <v>0</v>
      </c>
      <c r="W66" s="66">
        <f t="shared" ca="1" si="103"/>
        <v>0</v>
      </c>
      <c r="X66" s="66">
        <f t="shared" ca="1" si="103"/>
        <v>0</v>
      </c>
      <c r="Y66" s="66">
        <f t="shared" ca="1" si="103"/>
        <v>0</v>
      </c>
      <c r="Z66" s="66">
        <f t="shared" ca="1" si="103"/>
        <v>0</v>
      </c>
      <c r="AA66" s="66">
        <f t="shared" ca="1" si="103"/>
        <v>0</v>
      </c>
      <c r="AB66" s="66">
        <f t="shared" ca="1" si="103"/>
        <v>0</v>
      </c>
      <c r="AC66" s="66">
        <f t="shared" ca="1" si="103"/>
        <v>0</v>
      </c>
      <c r="AD66" s="66">
        <f t="shared" ca="1" si="103"/>
        <v>0</v>
      </c>
      <c r="AE66" s="66">
        <f t="shared" ca="1" si="103"/>
        <v>0</v>
      </c>
      <c r="AF66" s="66">
        <f t="shared" ca="1" si="103"/>
        <v>0</v>
      </c>
      <c r="AG66" s="66">
        <f t="shared" ca="1" si="103"/>
        <v>0</v>
      </c>
      <c r="AH66" s="66">
        <f t="shared" ca="1" si="103"/>
        <v>0</v>
      </c>
      <c r="AI66" s="66">
        <f t="shared" ca="1" si="103"/>
        <v>0</v>
      </c>
      <c r="AJ66" s="66">
        <f t="shared" ca="1" si="103"/>
        <v>0</v>
      </c>
    </row>
    <row r="67" spans="2:36" s="60" customFormat="1" ht="14.25" customHeight="1">
      <c r="B67" s="58" t="s">
        <v>68</v>
      </c>
      <c r="C67" s="70"/>
      <c r="D67" s="58">
        <f ca="1">SUM(F67:AJ67)</f>
        <v>88150.744000000021</v>
      </c>
      <c r="E67" s="46"/>
      <c r="F67" s="5226">
        <f ca="1">F57+F61</f>
        <v>0</v>
      </c>
      <c r="G67" s="66">
        <f ca="1">G57+G61</f>
        <v>0</v>
      </c>
      <c r="H67" s="66">
        <f t="shared" ref="H67:AJ67" ca="1" si="104">H57+H61</f>
        <v>4050.9273719999978</v>
      </c>
      <c r="I67" s="66">
        <f t="shared" ca="1" si="104"/>
        <v>4134.4034553333304</v>
      </c>
      <c r="J67" s="66">
        <f t="shared" ca="1" si="104"/>
        <v>4134.4034553333304</v>
      </c>
      <c r="K67" s="66">
        <f t="shared" ca="1" si="104"/>
        <v>4134.4034553333304</v>
      </c>
      <c r="L67" s="66">
        <f t="shared" ca="1" si="104"/>
        <v>4217.8795386666652</v>
      </c>
      <c r="M67" s="66">
        <f t="shared" ca="1" si="104"/>
        <v>4301.3556219999973</v>
      </c>
      <c r="N67" s="66">
        <f t="shared" ca="1" si="104"/>
        <v>3883.9752053333309</v>
      </c>
      <c r="O67" s="66">
        <f t="shared" ca="1" si="104"/>
        <v>3967.4512886666635</v>
      </c>
      <c r="P67" s="66">
        <f t="shared" ca="1" si="104"/>
        <v>4424.232416666664</v>
      </c>
      <c r="Q67" s="66">
        <f t="shared" ca="1" si="104"/>
        <v>4507.708499999997</v>
      </c>
      <c r="R67" s="66">
        <f t="shared" ca="1" si="104"/>
        <v>5258.9932499999959</v>
      </c>
      <c r="S67" s="66">
        <f t="shared" ca="1" si="104"/>
        <v>5258.9932499999959</v>
      </c>
      <c r="T67" s="66">
        <f t="shared" ca="1" si="104"/>
        <v>5342.4693333333289</v>
      </c>
      <c r="U67" s="66">
        <f t="shared" ca="1" si="104"/>
        <v>5425.9454166666637</v>
      </c>
      <c r="V67" s="66">
        <f t="shared" ca="1" si="104"/>
        <v>3339.0433333333312</v>
      </c>
      <c r="W67" s="66">
        <f t="shared" ca="1" si="104"/>
        <v>3839.8998333333311</v>
      </c>
      <c r="X67" s="66">
        <f t="shared" ca="1" si="104"/>
        <v>3923.3759166666641</v>
      </c>
      <c r="Y67" s="66">
        <f t="shared" ca="1" si="104"/>
        <v>3339.0433333333312</v>
      </c>
      <c r="Z67" s="66">
        <f t="shared" ca="1" si="104"/>
        <v>1001.7129999999995</v>
      </c>
      <c r="AA67" s="66">
        <f t="shared" ca="1" si="104"/>
        <v>1001.7129999999995</v>
      </c>
      <c r="AB67" s="66">
        <f t="shared" ca="1" si="104"/>
        <v>1001.7129999999995</v>
      </c>
      <c r="AC67" s="66">
        <f t="shared" ca="1" si="104"/>
        <v>1001.7129999999995</v>
      </c>
      <c r="AD67" s="66">
        <f t="shared" ca="1" si="104"/>
        <v>1001.7129999999995</v>
      </c>
      <c r="AE67" s="66">
        <f t="shared" ca="1" si="104"/>
        <v>1001.7129999999995</v>
      </c>
      <c r="AF67" s="66">
        <f t="shared" ca="1" si="104"/>
        <v>1001.7129999999995</v>
      </c>
      <c r="AG67" s="66">
        <f t="shared" ca="1" si="104"/>
        <v>1001.7129999999995</v>
      </c>
      <c r="AH67" s="66">
        <f t="shared" ca="1" si="104"/>
        <v>1001.7129999999995</v>
      </c>
      <c r="AI67" s="66">
        <f t="shared" ca="1" si="104"/>
        <v>1001.7129999999995</v>
      </c>
      <c r="AJ67" s="66">
        <f t="shared" ca="1" si="104"/>
        <v>649.11002400004213</v>
      </c>
    </row>
    <row r="68" spans="2:36" s="60" customFormat="1" ht="14.25" customHeight="1">
      <c r="B68" s="58" t="s">
        <v>69</v>
      </c>
      <c r="C68" s="58"/>
      <c r="D68" s="58"/>
      <c r="E68" s="46"/>
      <c r="F68" s="5226">
        <f ca="1">IF(ABS(F65+F66-F67)&lt;0.0000001,0,F65+F66-F67)</f>
        <v>0</v>
      </c>
      <c r="G68" s="58">
        <f t="shared" ref="G68:AJ68" ca="1" si="105">IF(ABS(G65+G66-G67)&lt;0.0000001,0,G65+G66-G67)</f>
        <v>88150.743999999977</v>
      </c>
      <c r="H68" s="58">
        <f t="shared" ca="1" si="105"/>
        <v>84099.816627999986</v>
      </c>
      <c r="I68" s="58">
        <f t="shared" ca="1" si="105"/>
        <v>79965.413172666653</v>
      </c>
      <c r="J68" s="58">
        <f t="shared" ca="1" si="105"/>
        <v>75831.00971733332</v>
      </c>
      <c r="K68" s="58">
        <f t="shared" ca="1" si="105"/>
        <v>71696.606261999987</v>
      </c>
      <c r="L68" s="58">
        <f t="shared" ca="1" si="105"/>
        <v>67478.726723333326</v>
      </c>
      <c r="M68" s="58">
        <f t="shared" ca="1" si="105"/>
        <v>63177.37110133333</v>
      </c>
      <c r="N68" s="58">
        <f t="shared" ca="1" si="105"/>
        <v>59293.395896000002</v>
      </c>
      <c r="O68" s="58">
        <f t="shared" ca="1" si="105"/>
        <v>55325.944607333338</v>
      </c>
      <c r="P68" s="58">
        <f t="shared" ca="1" si="105"/>
        <v>50901.712190666673</v>
      </c>
      <c r="Q68" s="58">
        <f t="shared" ca="1" si="105"/>
        <v>46394.003690666679</v>
      </c>
      <c r="R68" s="58">
        <f t="shared" ca="1" si="105"/>
        <v>41135.01044066668</v>
      </c>
      <c r="S68" s="58">
        <f t="shared" ca="1" si="105"/>
        <v>35876.01719066668</v>
      </c>
      <c r="T68" s="58">
        <f t="shared" ca="1" si="105"/>
        <v>30533.547857333353</v>
      </c>
      <c r="U68" s="58">
        <f t="shared" ca="1" si="105"/>
        <v>25107.602440666691</v>
      </c>
      <c r="V68" s="58">
        <f t="shared" ca="1" si="105"/>
        <v>21768.55910733336</v>
      </c>
      <c r="W68" s="58">
        <f t="shared" ca="1" si="105"/>
        <v>17928.659274000027</v>
      </c>
      <c r="X68" s="58">
        <f t="shared" ca="1" si="105"/>
        <v>14005.283357333363</v>
      </c>
      <c r="Y68" s="58">
        <f t="shared" ca="1" si="105"/>
        <v>10666.240024000032</v>
      </c>
      <c r="Z68" s="58">
        <f t="shared" ca="1" si="105"/>
        <v>9664.5270240000318</v>
      </c>
      <c r="AA68" s="58">
        <f t="shared" ca="1" si="105"/>
        <v>8662.8140240000321</v>
      </c>
      <c r="AB68" s="58">
        <f t="shared" ca="1" si="105"/>
        <v>7661.1010240000323</v>
      </c>
      <c r="AC68" s="58">
        <f t="shared" ca="1" si="105"/>
        <v>6659.3880240000326</v>
      </c>
      <c r="AD68" s="58">
        <f t="shared" ca="1" si="105"/>
        <v>5657.6750240000329</v>
      </c>
      <c r="AE68" s="58">
        <f t="shared" ca="1" si="105"/>
        <v>4655.9620240000331</v>
      </c>
      <c r="AF68" s="58">
        <f t="shared" ca="1" si="105"/>
        <v>3654.2490240000334</v>
      </c>
      <c r="AG68" s="58">
        <f t="shared" ca="1" si="105"/>
        <v>2652.5360240000336</v>
      </c>
      <c r="AH68" s="58">
        <f t="shared" ca="1" si="105"/>
        <v>1650.8230240000341</v>
      </c>
      <c r="AI68" s="58">
        <f t="shared" ca="1" si="105"/>
        <v>649.11002400003463</v>
      </c>
      <c r="AJ68" s="58">
        <f t="shared" ca="1" si="105"/>
        <v>0</v>
      </c>
    </row>
    <row r="69" spans="2:36" s="64" customFormat="1" ht="14.25" customHeight="1">
      <c r="B69" s="5102" t="s">
        <v>5129</v>
      </c>
      <c r="D69" s="5101">
        <f ca="1">SUM(G69:AJ69)</f>
        <v>1</v>
      </c>
      <c r="F69" s="5100">
        <f ca="1">F8/$D$8</f>
        <v>0</v>
      </c>
      <c r="G69" s="5100">
        <f ca="1">G8/$D$8</f>
        <v>0</v>
      </c>
      <c r="H69" s="5447">
        <f t="shared" ref="H69:O69" ca="1" si="106">H8/$D$8+$H$71</f>
        <v>4.5954545454545442E-2</v>
      </c>
      <c r="I69" s="5447">
        <f t="shared" ca="1" si="106"/>
        <v>4.6901515151515132E-2</v>
      </c>
      <c r="J69" s="5447">
        <f t="shared" ca="1" si="106"/>
        <v>4.6901515151515132E-2</v>
      </c>
      <c r="K69" s="5447">
        <f t="shared" ca="1" si="106"/>
        <v>4.6901515151515132E-2</v>
      </c>
      <c r="L69" s="5447">
        <f t="shared" ca="1" si="106"/>
        <v>4.7848484848484842E-2</v>
      </c>
      <c r="M69" s="5447">
        <f t="shared" ca="1" si="106"/>
        <v>4.8795454545454524E-2</v>
      </c>
      <c r="N69" s="5447">
        <f t="shared" ca="1" si="106"/>
        <v>4.4060606060606043E-2</v>
      </c>
      <c r="O69" s="5447">
        <f t="shared" ca="1" si="106"/>
        <v>4.5007575757575739E-2</v>
      </c>
      <c r="P69" s="5100">
        <f t="shared" ref="P69:AI69" ca="1" si="107">P8/$D$8</f>
        <v>5.0189393939393916E-2</v>
      </c>
      <c r="Q69" s="5100">
        <f t="shared" ca="1" si="107"/>
        <v>5.1136363636363612E-2</v>
      </c>
      <c r="R69" s="5100">
        <f t="shared" ca="1" si="107"/>
        <v>5.9659090909090877E-2</v>
      </c>
      <c r="S69" s="5100">
        <f t="shared" ca="1" si="107"/>
        <v>5.9659090909090877E-2</v>
      </c>
      <c r="T69" s="5100">
        <f t="shared" ca="1" si="107"/>
        <v>6.0606060606060573E-2</v>
      </c>
      <c r="U69" s="5100">
        <f t="shared" ca="1" si="107"/>
        <v>6.1553030303030283E-2</v>
      </c>
      <c r="V69" s="5100">
        <f t="shared" ca="1" si="107"/>
        <v>3.7878787878787866E-2</v>
      </c>
      <c r="W69" s="5100">
        <f t="shared" ca="1" si="107"/>
        <v>4.3560606060606043E-2</v>
      </c>
      <c r="X69" s="5100">
        <f t="shared" ca="1" si="107"/>
        <v>4.4507575757575739E-2</v>
      </c>
      <c r="Y69" s="5100">
        <f t="shared" ca="1" si="107"/>
        <v>3.7878787878787866E-2</v>
      </c>
      <c r="Z69" s="5100">
        <f t="shared" ca="1" si="107"/>
        <v>1.136363636363636E-2</v>
      </c>
      <c r="AA69" s="5100">
        <f t="shared" ca="1" si="107"/>
        <v>1.136363636363636E-2</v>
      </c>
      <c r="AB69" s="5100">
        <f t="shared" ca="1" si="107"/>
        <v>1.136363636363636E-2</v>
      </c>
      <c r="AC69" s="5100">
        <f t="shared" ca="1" si="107"/>
        <v>1.136363636363636E-2</v>
      </c>
      <c r="AD69" s="5100">
        <f t="shared" ca="1" si="107"/>
        <v>1.136363636363636E-2</v>
      </c>
      <c r="AE69" s="5100">
        <f t="shared" ca="1" si="107"/>
        <v>1.136363636363636E-2</v>
      </c>
      <c r="AF69" s="5100">
        <f t="shared" ca="1" si="107"/>
        <v>1.136363636363636E-2</v>
      </c>
      <c r="AG69" s="5100">
        <f t="shared" ca="1" si="107"/>
        <v>1.136363636363636E-2</v>
      </c>
      <c r="AH69" s="5100">
        <f t="shared" ca="1" si="107"/>
        <v>1.136363636363636E-2</v>
      </c>
      <c r="AI69" s="5100">
        <f t="shared" ca="1" si="107"/>
        <v>1.136363636363636E-2</v>
      </c>
      <c r="AJ69" s="5447">
        <f ca="1">1-SUM(F69:AI69)</f>
        <v>7.3636363636370161E-3</v>
      </c>
    </row>
    <row r="70" spans="2:36">
      <c r="G70" s="75"/>
      <c r="H70" s="5445"/>
    </row>
    <row r="71" spans="2:36">
      <c r="B71" s="76" t="s">
        <v>70</v>
      </c>
      <c r="C71" s="77" t="s">
        <v>71</v>
      </c>
      <c r="D71" s="77" t="s">
        <v>5128</v>
      </c>
      <c r="E71" s="78"/>
      <c r="F71" s="77" t="s">
        <v>72</v>
      </c>
      <c r="G71" s="75"/>
      <c r="H71" s="5448">
        <v>5.0000000000000001E-4</v>
      </c>
    </row>
    <row r="72" spans="2:36">
      <c r="B72" s="79" t="s">
        <v>73</v>
      </c>
      <c r="C72" s="80">
        <f ca="1">민감도!E57</f>
        <v>2.5000000000000001E-2</v>
      </c>
      <c r="D72" s="80">
        <f ca="1">C72+민감도!$E$56</f>
        <v>3.95E-2</v>
      </c>
      <c r="F72" s="81">
        <f ca="1">EOMONTH(Sensitivity!$E$10,12)</f>
        <v>45107</v>
      </c>
      <c r="G72" s="75"/>
    </row>
    <row r="73" spans="2:36">
      <c r="B73" s="82" t="s">
        <v>74</v>
      </c>
      <c r="C73" s="80">
        <f ca="1">민감도!E58</f>
        <v>2.5000000000000001E-2</v>
      </c>
      <c r="D73" s="80">
        <f ca="1">C73+민감도!$E$56</f>
        <v>3.95E-2</v>
      </c>
      <c r="F73" s="83"/>
      <c r="G73" s="75"/>
    </row>
    <row r="74" spans="2:36">
      <c r="G74" s="75"/>
    </row>
    <row r="75" spans="2:36">
      <c r="B75" s="84" t="s">
        <v>75</v>
      </c>
      <c r="C75" s="85"/>
      <c r="D75" s="86"/>
      <c r="E75" s="86"/>
      <c r="F75" s="87"/>
      <c r="G75" s="87"/>
      <c r="H75" s="88"/>
    </row>
    <row r="76" spans="2:36">
      <c r="B76" s="89" t="s">
        <v>11</v>
      </c>
      <c r="C76" s="89"/>
      <c r="D76" s="89" t="s">
        <v>36</v>
      </c>
      <c r="E76" s="89"/>
      <c r="F76" s="90" t="s">
        <v>76</v>
      </c>
      <c r="G76" s="87"/>
      <c r="H76" s="88"/>
    </row>
    <row r="77" spans="2:36">
      <c r="B77" s="91" t="s">
        <v>5205</v>
      </c>
      <c r="C77" s="91"/>
      <c r="D77" s="92">
        <f ca="1">SUM(D78:D81)</f>
        <v>87699.743999999977</v>
      </c>
      <c r="E77" s="93"/>
      <c r="F77" s="79" t="s">
        <v>5204</v>
      </c>
      <c r="G77" s="94"/>
      <c r="H77" s="95"/>
    </row>
    <row r="78" spans="2:36">
      <c r="B78" s="96" t="s">
        <v>77</v>
      </c>
      <c r="C78" s="96"/>
      <c r="D78" s="97">
        <f ca="1">(SUMIFS(차입금상환!72:72,차입금상환!$70:$70,민감도!$E$67)-SUMIFS(차입금상환!73:73,차입금상환!$70:$70,민감도!$E$67))*100</f>
        <v>70223.999999999985</v>
      </c>
      <c r="E78" s="98"/>
      <c r="F78" s="79"/>
      <c r="G78" s="94"/>
      <c r="H78" s="95"/>
    </row>
    <row r="79" spans="2:36">
      <c r="B79" s="99" t="s">
        <v>78</v>
      </c>
      <c r="C79" s="99"/>
      <c r="D79" s="97">
        <f ca="1">(SUMIFS(차입금상환!76:76,차입금상환!$70:$70,민감도!$E$67)-SUMIFS(차입금상환!77:77,차입금상환!$70:$70,민감도!$E$67))*100</f>
        <v>3959.9999999999995</v>
      </c>
      <c r="E79" s="98"/>
      <c r="F79" s="79"/>
      <c r="G79" s="94"/>
      <c r="H79" s="95"/>
    </row>
    <row r="80" spans="2:36">
      <c r="B80" s="99" t="s">
        <v>79</v>
      </c>
      <c r="C80" s="99"/>
      <c r="D80" s="97">
        <f ca="1">(SUMIFS(차입금상환!80:80,차입금상환!$70:$70,민감도!$E$67)-SUMIFS(차입금상환!81:81,차입금상환!$70:$70,민감도!$E$67))*100</f>
        <v>6600</v>
      </c>
      <c r="E80" s="98"/>
      <c r="F80" s="79"/>
      <c r="G80" s="94"/>
      <c r="H80" s="95"/>
    </row>
    <row r="81" spans="2:36">
      <c r="B81" s="99" t="s">
        <v>80</v>
      </c>
      <c r="C81" s="99"/>
      <c r="D81" s="97">
        <f ca="1">(SUMIFS(차입금상환!84:84,차입금상환!$70:$70,민감도!$E$67)-SUMIFS(차입금상환!85:85,차입금상환!$70:$70,민감도!$E$67))*100</f>
        <v>6915.7439999999979</v>
      </c>
      <c r="E81" s="98"/>
      <c r="F81" s="79"/>
      <c r="G81" s="94"/>
      <c r="H81" s="95"/>
    </row>
    <row r="82" spans="2:36">
      <c r="B82" s="100" t="s">
        <v>81</v>
      </c>
      <c r="C82" s="100"/>
      <c r="D82" s="101">
        <f ca="1">민감도!E65</f>
        <v>0</v>
      </c>
      <c r="E82" s="102"/>
      <c r="F82" s="79" t="s">
        <v>82</v>
      </c>
      <c r="G82" s="94"/>
      <c r="H82" s="95"/>
    </row>
    <row r="83" spans="2:36">
      <c r="B83" s="100" t="s">
        <v>83</v>
      </c>
      <c r="C83" s="100"/>
      <c r="D83" s="101">
        <f ca="1">민감도!E66</f>
        <v>451</v>
      </c>
      <c r="E83" s="102"/>
      <c r="F83" s="79" t="s">
        <v>84</v>
      </c>
      <c r="G83" s="94"/>
      <c r="H83" s="95"/>
    </row>
    <row r="84" spans="2:36" s="109" customFormat="1">
      <c r="B84" s="103" t="s">
        <v>75</v>
      </c>
      <c r="C84" s="103"/>
      <c r="D84" s="104">
        <f ca="1">SUM(D77,D82:D83)</f>
        <v>88150.743999999977</v>
      </c>
      <c r="E84" s="105"/>
      <c r="F84" s="106">
        <f ca="1">G60+G56-D84</f>
        <v>0</v>
      </c>
      <c r="G84" s="107"/>
      <c r="H84" s="108"/>
    </row>
    <row r="87" spans="2:36">
      <c r="B87" s="50" t="s">
        <v>5372</v>
      </c>
      <c r="C87" s="50" t="s">
        <v>5363</v>
      </c>
      <c r="D87" s="5438">
        <f t="shared" ref="D87:D88" ca="1" si="108">SUM(F87:AJ87)</f>
        <v>11062.066146999996</v>
      </c>
      <c r="F87" s="5438">
        <f t="shared" ref="F87:AJ87" si="109">F9</f>
        <v>0</v>
      </c>
      <c r="G87" s="5438">
        <f t="shared" ca="1" si="109"/>
        <v>0</v>
      </c>
      <c r="H87" s="5438">
        <f t="shared" ca="1" si="109"/>
        <v>975.57556799999986</v>
      </c>
      <c r="I87" s="5438">
        <f t="shared" ca="1" si="109"/>
        <v>931.23122399999988</v>
      </c>
      <c r="J87" s="5438">
        <f t="shared" ca="1" si="109"/>
        <v>885.96303950000004</v>
      </c>
      <c r="K87" s="5438">
        <f t="shared" ca="1" si="109"/>
        <v>840.69485499999996</v>
      </c>
      <c r="L87" s="5438">
        <f t="shared" ca="1" si="109"/>
        <v>795.42667049999989</v>
      </c>
      <c r="M87" s="5438">
        <f t="shared" ca="1" si="109"/>
        <v>749.23464549999983</v>
      </c>
      <c r="N87" s="5438">
        <f t="shared" ca="1" si="109"/>
        <v>702.11877999999967</v>
      </c>
      <c r="O87" s="5438">
        <f t="shared" ca="1" si="109"/>
        <v>659.62211699999989</v>
      </c>
      <c r="P87" s="5438">
        <f t="shared" ca="1" si="109"/>
        <v>616.20161349999978</v>
      </c>
      <c r="Q87" s="5438">
        <f t="shared" ca="1" si="109"/>
        <v>567.23806699999977</v>
      </c>
      <c r="R87" s="5438">
        <f t="shared" ca="1" si="109"/>
        <v>517.35067999999978</v>
      </c>
      <c r="S87" s="5438">
        <f t="shared" ca="1" si="109"/>
        <v>459.14872849999983</v>
      </c>
      <c r="T87" s="5438">
        <f t="shared" ca="1" si="109"/>
        <v>400.94677699999988</v>
      </c>
      <c r="U87" s="5438">
        <f t="shared" ca="1" si="109"/>
        <v>341.82098499999989</v>
      </c>
      <c r="V87" s="5438">
        <f t="shared" ca="1" si="109"/>
        <v>281.77135249999992</v>
      </c>
      <c r="W87" s="5438">
        <f t="shared" ca="1" si="109"/>
        <v>244.81773249999986</v>
      </c>
      <c r="X87" s="5438">
        <f t="shared" ca="1" si="109"/>
        <v>202.32106949999991</v>
      </c>
      <c r="Y87" s="5438">
        <f t="shared" ca="1" si="109"/>
        <v>158.90056599999991</v>
      </c>
      <c r="Z87" s="5438">
        <f t="shared" ca="1" si="109"/>
        <v>121.94694599999988</v>
      </c>
      <c r="AA87" s="5438">
        <f t="shared" ca="1" si="109"/>
        <v>110.8608599999999</v>
      </c>
      <c r="AB87" s="5438">
        <f t="shared" ca="1" si="109"/>
        <v>99.774773999999908</v>
      </c>
      <c r="AC87" s="5438">
        <f t="shared" ca="1" si="109"/>
        <v>88.6886879999999</v>
      </c>
      <c r="AD87" s="5438">
        <f t="shared" ca="1" si="109"/>
        <v>77.602601999999905</v>
      </c>
      <c r="AE87" s="5438">
        <f t="shared" ca="1" si="109"/>
        <v>66.516515999999868</v>
      </c>
      <c r="AF87" s="5438">
        <f t="shared" ca="1" si="109"/>
        <v>55.430429999999888</v>
      </c>
      <c r="AG87" s="5438">
        <f t="shared" ca="1" si="109"/>
        <v>44.344343999999879</v>
      </c>
      <c r="AH87" s="5438">
        <f t="shared" ca="1" si="109"/>
        <v>33.258257999999877</v>
      </c>
      <c r="AI87" s="5438">
        <f t="shared" ca="1" si="109"/>
        <v>22.172171999999883</v>
      </c>
      <c r="AJ87" s="5438">
        <f t="shared" ca="1" si="109"/>
        <v>11.086085999999881</v>
      </c>
    </row>
    <row r="88" spans="2:36">
      <c r="C88" s="50" t="s">
        <v>5364</v>
      </c>
      <c r="D88" s="5438">
        <f t="shared" ca="1" si="108"/>
        <v>9545.8277009163576</v>
      </c>
      <c r="F88" s="5438">
        <f t="shared" ref="F88:AJ88" si="110">F28+F32</f>
        <v>0</v>
      </c>
      <c r="G88" s="5438">
        <f t="shared" ca="1" si="110"/>
        <v>0</v>
      </c>
      <c r="H88" s="5438">
        <f t="shared" ca="1" si="110"/>
        <v>854.95836629041082</v>
      </c>
      <c r="I88" s="5438">
        <f t="shared" ca="1" si="110"/>
        <v>815.66914318497402</v>
      </c>
      <c r="J88" s="5438">
        <f t="shared" ca="1" si="110"/>
        <v>758.71007649243575</v>
      </c>
      <c r="K88" s="5438">
        <f t="shared" ca="1" si="110"/>
        <v>727.47720266961414</v>
      </c>
      <c r="L88" s="5438">
        <f t="shared" ca="1" si="110"/>
        <v>695.37261487352112</v>
      </c>
      <c r="M88" s="5438">
        <f t="shared" ca="1" si="110"/>
        <v>654.46415243798913</v>
      </c>
      <c r="N88" s="5438">
        <f t="shared" ca="1" si="110"/>
        <v>606.08578696417658</v>
      </c>
      <c r="O88" s="5438">
        <f t="shared" ca="1" si="110"/>
        <v>568.82525953421964</v>
      </c>
      <c r="P88" s="5438">
        <f t="shared" ca="1" si="110"/>
        <v>536.5964831216794</v>
      </c>
      <c r="Q88" s="5438">
        <f t="shared" ca="1" si="110"/>
        <v>493.6866408741493</v>
      </c>
      <c r="R88" s="5438">
        <f t="shared" ca="1" si="110"/>
        <v>440.18528376675476</v>
      </c>
      <c r="S88" s="5438">
        <f t="shared" ca="1" si="110"/>
        <v>394.62460593243833</v>
      </c>
      <c r="T88" s="5438">
        <f t="shared" ca="1" si="110"/>
        <v>347.9551011655567</v>
      </c>
      <c r="U88" s="5438">
        <f t="shared" ca="1" si="110"/>
        <v>296.1394426025015</v>
      </c>
      <c r="V88" s="5438">
        <f t="shared" ca="1" si="110"/>
        <v>238.22037819234646</v>
      </c>
      <c r="W88" s="5438">
        <f t="shared" ca="1" si="110"/>
        <v>208.8344932314838</v>
      </c>
      <c r="X88" s="5438">
        <f t="shared" ca="1" si="110"/>
        <v>173.88687318029321</v>
      </c>
      <c r="Y88" s="5438">
        <f t="shared" ca="1" si="110"/>
        <v>135.83474892304957</v>
      </c>
      <c r="Z88" s="5438">
        <f t="shared" ca="1" si="110"/>
        <v>101.20105009676747</v>
      </c>
      <c r="AA88" s="5438">
        <f t="shared" ca="1" si="110"/>
        <v>92.715672793387157</v>
      </c>
      <c r="AB88" s="5438">
        <f t="shared" ca="1" si="110"/>
        <v>84.019090359994379</v>
      </c>
      <c r="AC88" s="5438">
        <f t="shared" ca="1" si="110"/>
        <v>74.303654379421545</v>
      </c>
      <c r="AD88" s="5438">
        <f t="shared" ca="1" si="110"/>
        <v>63.886172546687291</v>
      </c>
      <c r="AE88" s="5438">
        <f t="shared" ca="1" si="110"/>
        <v>54.276339131120679</v>
      </c>
      <c r="AF88" s="5438">
        <f t="shared" ca="1" si="110"/>
        <v>45.157346437702998</v>
      </c>
      <c r="AG88" s="5438">
        <f t="shared" ca="1" si="110"/>
        <v>35.441910457130149</v>
      </c>
      <c r="AH88" s="5438">
        <f t="shared" ca="1" si="110"/>
        <v>25.167203292284324</v>
      </c>
      <c r="AI88" s="5438">
        <f t="shared" ca="1" si="110"/>
        <v>15.837005468854198</v>
      </c>
      <c r="AJ88" s="5438">
        <f t="shared" ca="1" si="110"/>
        <v>6.2956025154116171</v>
      </c>
    </row>
    <row r="89" spans="2:36">
      <c r="C89" s="50" t="s">
        <v>5369</v>
      </c>
      <c r="D89" s="5439">
        <f ca="1">SUM(F89:AJ89)</f>
        <v>1516.2384460836399</v>
      </c>
      <c r="F89" s="5438">
        <f>F87-F88</f>
        <v>0</v>
      </c>
      <c r="G89" s="5438">
        <f t="shared" ref="G89:AJ89" ca="1" si="111">G87-G88</f>
        <v>0</v>
      </c>
      <c r="H89" s="5438">
        <f t="shared" ca="1" si="111"/>
        <v>120.61720170958904</v>
      </c>
      <c r="I89" s="5438">
        <f t="shared" ca="1" si="111"/>
        <v>115.56208081502587</v>
      </c>
      <c r="J89" s="5438">
        <f t="shared" ca="1" si="111"/>
        <v>127.25296300756429</v>
      </c>
      <c r="K89" s="5438">
        <f t="shared" ca="1" si="111"/>
        <v>113.21765233038582</v>
      </c>
      <c r="L89" s="5438">
        <f t="shared" ca="1" si="111"/>
        <v>100.05405562647877</v>
      </c>
      <c r="M89" s="5438">
        <f t="shared" ca="1" si="111"/>
        <v>94.770493062010701</v>
      </c>
      <c r="N89" s="5438">
        <f t="shared" ca="1" si="111"/>
        <v>96.032993035823097</v>
      </c>
      <c r="O89" s="5438">
        <f t="shared" ca="1" si="111"/>
        <v>90.796857465780249</v>
      </c>
      <c r="P89" s="5438">
        <f t="shared" ca="1" si="111"/>
        <v>79.605130378320382</v>
      </c>
      <c r="Q89" s="5438">
        <f t="shared" ca="1" si="111"/>
        <v>73.551426125850469</v>
      </c>
      <c r="R89" s="5438">
        <f t="shared" ca="1" si="111"/>
        <v>77.165396233245019</v>
      </c>
      <c r="S89" s="5438">
        <f t="shared" ca="1" si="111"/>
        <v>64.524122567561506</v>
      </c>
      <c r="T89" s="5438">
        <f t="shared" ca="1" si="111"/>
        <v>52.991675834443186</v>
      </c>
      <c r="U89" s="5438">
        <f t="shared" ca="1" si="111"/>
        <v>45.68154239749839</v>
      </c>
      <c r="V89" s="5438">
        <f t="shared" ca="1" si="111"/>
        <v>43.550974307653462</v>
      </c>
      <c r="W89" s="5438">
        <f t="shared" ca="1" si="111"/>
        <v>35.983239268516058</v>
      </c>
      <c r="X89" s="5438">
        <f t="shared" ca="1" si="111"/>
        <v>28.4341963197067</v>
      </c>
      <c r="Y89" s="5438">
        <f t="shared" ca="1" si="111"/>
        <v>23.065817076950339</v>
      </c>
      <c r="Z89" s="5438">
        <f t="shared" ca="1" si="111"/>
        <v>20.745895903232409</v>
      </c>
      <c r="AA89" s="5438">
        <f t="shared" ca="1" si="111"/>
        <v>18.145187206612746</v>
      </c>
      <c r="AB89" s="5438">
        <f t="shared" ca="1" si="111"/>
        <v>15.755683640005529</v>
      </c>
      <c r="AC89" s="5438">
        <f t="shared" ca="1" si="111"/>
        <v>14.385033620578355</v>
      </c>
      <c r="AD89" s="5438">
        <f t="shared" ca="1" si="111"/>
        <v>13.716429453312614</v>
      </c>
      <c r="AE89" s="5438">
        <f t="shared" ca="1" si="111"/>
        <v>12.240176868879189</v>
      </c>
      <c r="AF89" s="5438">
        <f t="shared" ca="1" si="111"/>
        <v>10.27308356229689</v>
      </c>
      <c r="AG89" s="5438">
        <f t="shared" ca="1" si="111"/>
        <v>8.9024335428697299</v>
      </c>
      <c r="AH89" s="5438">
        <f t="shared" ca="1" si="111"/>
        <v>8.0910547077155535</v>
      </c>
      <c r="AI89" s="5438">
        <f t="shared" ca="1" si="111"/>
        <v>6.3351665311456848</v>
      </c>
      <c r="AJ89" s="5438">
        <f t="shared" ca="1" si="111"/>
        <v>4.7904834845882638</v>
      </c>
    </row>
    <row r="90" spans="2:36">
      <c r="C90" s="50" t="s">
        <v>5367</v>
      </c>
      <c r="F90" s="5438">
        <f>SUM($F$89:F89)</f>
        <v>0</v>
      </c>
      <c r="G90" s="5438">
        <f ca="1">SUM($F$89:G89)</f>
        <v>0</v>
      </c>
      <c r="H90" s="5438">
        <f ca="1">SUM($F$89:H89)</f>
        <v>120.61720170958904</v>
      </c>
      <c r="I90" s="5438">
        <f ca="1">SUM($F$89:I89)</f>
        <v>236.17928252461491</v>
      </c>
      <c r="J90" s="5438">
        <f ca="1">SUM($F$89:J89)</f>
        <v>363.43224553217919</v>
      </c>
      <c r="K90" s="5438">
        <f ca="1">SUM($F$89:K89)</f>
        <v>476.64989786256501</v>
      </c>
      <c r="L90" s="5438">
        <f ca="1">SUM($F$89:L89)</f>
        <v>576.70395348904378</v>
      </c>
      <c r="M90" s="5438">
        <f ca="1">SUM($F$89:M89)</f>
        <v>671.47444655105448</v>
      </c>
      <c r="N90" s="5438">
        <f ca="1">SUM($F$89:N89)</f>
        <v>767.50743958687758</v>
      </c>
      <c r="O90" s="5438">
        <f ca="1">SUM($F$89:O89)</f>
        <v>858.30429705265783</v>
      </c>
      <c r="P90" s="5438">
        <f ca="1">SUM($F$89:P89)</f>
        <v>937.90942743097821</v>
      </c>
      <c r="Q90" s="5438">
        <f ca="1">SUM($F$89:Q89)</f>
        <v>1011.4608535568286</v>
      </c>
      <c r="R90" s="5438">
        <f ca="1">SUM($F$89:R89)</f>
        <v>1088.6262497900736</v>
      </c>
      <c r="S90" s="5438">
        <f ca="1">SUM($F$89:S89)</f>
        <v>1153.1503723576352</v>
      </c>
      <c r="T90" s="5438">
        <f ca="1">SUM($F$89:T89)</f>
        <v>1206.1420481920784</v>
      </c>
      <c r="U90" s="5438">
        <f ca="1">SUM($F$89:U89)</f>
        <v>1251.8235905895767</v>
      </c>
      <c r="V90" s="5438">
        <f ca="1">SUM($F$89:V89)</f>
        <v>1295.3745648972301</v>
      </c>
      <c r="W90" s="5438">
        <f ca="1">SUM($F$89:W89)</f>
        <v>1331.3578041657461</v>
      </c>
      <c r="X90" s="5438">
        <f ca="1">SUM($F$89:X89)</f>
        <v>1359.7920004854527</v>
      </c>
      <c r="Y90" s="5438">
        <f ca="1">SUM($F$89:Y89)</f>
        <v>1382.8578175624029</v>
      </c>
      <c r="Z90" s="5438">
        <f ca="1">SUM($F$89:Z89)</f>
        <v>1403.6037134656353</v>
      </c>
      <c r="AA90" s="5438">
        <f ca="1">SUM($F$89:AA89)</f>
        <v>1421.7489006722481</v>
      </c>
      <c r="AB90" s="5438">
        <f ca="1">SUM($F$89:AB89)</f>
        <v>1437.5045843122537</v>
      </c>
      <c r="AC90" s="5438">
        <f ca="1">SUM($F$89:AC89)</f>
        <v>1451.8896179328319</v>
      </c>
      <c r="AD90" s="5438">
        <f ca="1">SUM($F$89:AD89)</f>
        <v>1465.6060473861446</v>
      </c>
      <c r="AE90" s="5438">
        <f ca="1">SUM($F$89:AE89)</f>
        <v>1477.8462242550238</v>
      </c>
      <c r="AF90" s="5438">
        <f ca="1">SUM($F$89:AF89)</f>
        <v>1488.1193078173208</v>
      </c>
      <c r="AG90" s="5438">
        <f ca="1">SUM($F$89:AG89)</f>
        <v>1497.0217413601904</v>
      </c>
      <c r="AH90" s="5438">
        <f ca="1">SUM($F$89:AH89)</f>
        <v>1505.1127960679059</v>
      </c>
      <c r="AI90" s="5438">
        <f ca="1">SUM($F$89:AI89)</f>
        <v>1511.4479625990516</v>
      </c>
      <c r="AJ90" s="5438">
        <f ca="1">SUM($F$89:AJ89)</f>
        <v>1516.2384460836399</v>
      </c>
    </row>
    <row r="91" spans="2:36">
      <c r="F91" s="5438"/>
      <c r="G91" s="5438"/>
      <c r="H91" s="5438"/>
      <c r="I91" s="5438"/>
      <c r="J91" s="5438"/>
      <c r="K91" s="5438"/>
      <c r="L91" s="5438"/>
      <c r="M91" s="5438"/>
      <c r="N91" s="5438"/>
      <c r="O91" s="5438"/>
      <c r="P91" s="5438"/>
      <c r="Q91" s="5438"/>
      <c r="R91" s="5438"/>
      <c r="S91" s="5438"/>
      <c r="T91" s="5438"/>
      <c r="U91" s="5438"/>
      <c r="V91" s="5438"/>
      <c r="W91" s="5438"/>
      <c r="X91" s="5438"/>
      <c r="Y91" s="5438"/>
      <c r="Z91" s="5438"/>
      <c r="AA91" s="5438"/>
      <c r="AB91" s="5438"/>
      <c r="AC91" s="5438"/>
      <c r="AD91" s="5438"/>
      <c r="AE91" s="5438"/>
      <c r="AF91" s="5438"/>
      <c r="AG91" s="5438"/>
      <c r="AH91" s="5438"/>
      <c r="AI91" s="5438"/>
      <c r="AJ91" s="5438"/>
    </row>
    <row r="93" spans="2:36">
      <c r="C93" s="50" t="s">
        <v>5365</v>
      </c>
      <c r="D93" s="5438">
        <f t="shared" ref="D93:D95" ca="1" si="112">SUM(F93:AJ93)</f>
        <v>87699.744000000035</v>
      </c>
      <c r="F93" s="5438">
        <f t="shared" ref="F93:AJ93" si="113">F8</f>
        <v>0</v>
      </c>
      <c r="G93" s="5438">
        <f t="shared" ca="1" si="113"/>
        <v>0</v>
      </c>
      <c r="H93" s="5438">
        <f t="shared" ca="1" si="113"/>
        <v>3986.3520000000003</v>
      </c>
      <c r="I93" s="5438">
        <f t="shared" ca="1" si="113"/>
        <v>4069.4009999999998</v>
      </c>
      <c r="J93" s="5438">
        <f t="shared" ca="1" si="113"/>
        <v>4069.4009999999998</v>
      </c>
      <c r="K93" s="5438">
        <f t="shared" ca="1" si="113"/>
        <v>4069.4009999999998</v>
      </c>
      <c r="L93" s="5438">
        <f t="shared" ca="1" si="113"/>
        <v>4152.4500000000007</v>
      </c>
      <c r="M93" s="5438">
        <f t="shared" ca="1" si="113"/>
        <v>4235.4989999999998</v>
      </c>
      <c r="N93" s="5438">
        <f t="shared" ca="1" si="113"/>
        <v>3820.2539999999999</v>
      </c>
      <c r="O93" s="5438">
        <f t="shared" ca="1" si="113"/>
        <v>3903.3029999999999</v>
      </c>
      <c r="P93" s="5438">
        <f t="shared" ca="1" si="113"/>
        <v>4401.5969999999998</v>
      </c>
      <c r="Q93" s="5438">
        <f t="shared" ca="1" si="113"/>
        <v>4484.6459999999997</v>
      </c>
      <c r="R93" s="5438">
        <f t="shared" ca="1" si="113"/>
        <v>5232.0869999999995</v>
      </c>
      <c r="S93" s="5438">
        <f t="shared" ca="1" si="113"/>
        <v>5232.0869999999995</v>
      </c>
      <c r="T93" s="5438">
        <f t="shared" ca="1" si="113"/>
        <v>5315.1359999999995</v>
      </c>
      <c r="U93" s="5438">
        <f t="shared" ca="1" si="113"/>
        <v>5398.1850000000004</v>
      </c>
      <c r="V93" s="5438">
        <f t="shared" ca="1" si="113"/>
        <v>3321.96</v>
      </c>
      <c r="W93" s="5438">
        <f t="shared" ca="1" si="113"/>
        <v>3820.2539999999999</v>
      </c>
      <c r="X93" s="5438">
        <f t="shared" ca="1" si="113"/>
        <v>3903.3029999999999</v>
      </c>
      <c r="Y93" s="5438">
        <f t="shared" ca="1" si="113"/>
        <v>3321.96</v>
      </c>
      <c r="Z93" s="5438">
        <f t="shared" ca="1" si="113"/>
        <v>996.58800000000008</v>
      </c>
      <c r="AA93" s="5438">
        <f t="shared" ca="1" si="113"/>
        <v>996.58800000000008</v>
      </c>
      <c r="AB93" s="5438">
        <f t="shared" ca="1" si="113"/>
        <v>996.58800000000008</v>
      </c>
      <c r="AC93" s="5438">
        <f t="shared" ca="1" si="113"/>
        <v>996.58800000000008</v>
      </c>
      <c r="AD93" s="5438">
        <f t="shared" ca="1" si="113"/>
        <v>996.58800000000008</v>
      </c>
      <c r="AE93" s="5438">
        <f t="shared" ca="1" si="113"/>
        <v>996.58800000000008</v>
      </c>
      <c r="AF93" s="5438">
        <f t="shared" ca="1" si="113"/>
        <v>996.58800000000008</v>
      </c>
      <c r="AG93" s="5438">
        <f t="shared" ca="1" si="113"/>
        <v>996.58800000000008</v>
      </c>
      <c r="AH93" s="5438">
        <f t="shared" ca="1" si="113"/>
        <v>996.58800000000008</v>
      </c>
      <c r="AI93" s="5438">
        <f t="shared" ca="1" si="113"/>
        <v>996.58800000000008</v>
      </c>
      <c r="AJ93" s="5438">
        <f t="shared" ca="1" si="113"/>
        <v>996.58799999998871</v>
      </c>
    </row>
    <row r="94" spans="2:36">
      <c r="C94" s="50" t="s">
        <v>5366</v>
      </c>
      <c r="D94" s="5438">
        <f t="shared" ca="1" si="112"/>
        <v>88150.744000000021</v>
      </c>
      <c r="F94" s="5438">
        <f t="shared" ref="F94:AJ94" si="114">F12+F14</f>
        <v>0</v>
      </c>
      <c r="G94" s="5438">
        <f t="shared" ca="1" si="114"/>
        <v>0</v>
      </c>
      <c r="H94" s="5438">
        <f t="shared" ca="1" si="114"/>
        <v>4050.9273719999978</v>
      </c>
      <c r="I94" s="5438">
        <f t="shared" ca="1" si="114"/>
        <v>4134.4034553333304</v>
      </c>
      <c r="J94" s="5438">
        <f t="shared" ca="1" si="114"/>
        <v>4134.4034553333304</v>
      </c>
      <c r="K94" s="5438">
        <f t="shared" ca="1" si="114"/>
        <v>4134.4034553333304</v>
      </c>
      <c r="L94" s="5438">
        <f t="shared" ca="1" si="114"/>
        <v>4217.8795386666652</v>
      </c>
      <c r="M94" s="5438">
        <f t="shared" ca="1" si="114"/>
        <v>4301.3556219999973</v>
      </c>
      <c r="N94" s="5438">
        <f t="shared" ca="1" si="114"/>
        <v>3883.9752053333309</v>
      </c>
      <c r="O94" s="5438">
        <f t="shared" ca="1" si="114"/>
        <v>3967.4512886666635</v>
      </c>
      <c r="P94" s="5438">
        <f t="shared" ca="1" si="114"/>
        <v>4424.232416666664</v>
      </c>
      <c r="Q94" s="5438">
        <f t="shared" ca="1" si="114"/>
        <v>4507.708499999997</v>
      </c>
      <c r="R94" s="5438">
        <f t="shared" ca="1" si="114"/>
        <v>5258.9932499999959</v>
      </c>
      <c r="S94" s="5438">
        <f t="shared" ca="1" si="114"/>
        <v>5258.9932499999959</v>
      </c>
      <c r="T94" s="5438">
        <f t="shared" ca="1" si="114"/>
        <v>5342.4693333333289</v>
      </c>
      <c r="U94" s="5438">
        <f t="shared" ca="1" si="114"/>
        <v>5425.9454166666637</v>
      </c>
      <c r="V94" s="5438">
        <f t="shared" ca="1" si="114"/>
        <v>3339.0433333333312</v>
      </c>
      <c r="W94" s="5438">
        <f t="shared" ca="1" si="114"/>
        <v>3839.8998333333311</v>
      </c>
      <c r="X94" s="5438">
        <f t="shared" ca="1" si="114"/>
        <v>3923.3759166666641</v>
      </c>
      <c r="Y94" s="5438">
        <f t="shared" ca="1" si="114"/>
        <v>3339.0433333333312</v>
      </c>
      <c r="Z94" s="5438">
        <f t="shared" ca="1" si="114"/>
        <v>1001.7129999999995</v>
      </c>
      <c r="AA94" s="5438">
        <f t="shared" ca="1" si="114"/>
        <v>1001.7129999999995</v>
      </c>
      <c r="AB94" s="5438">
        <f t="shared" ca="1" si="114"/>
        <v>1001.7129999999995</v>
      </c>
      <c r="AC94" s="5438">
        <f t="shared" ca="1" si="114"/>
        <v>1001.7129999999995</v>
      </c>
      <c r="AD94" s="5438">
        <f t="shared" ca="1" si="114"/>
        <v>1001.7129999999995</v>
      </c>
      <c r="AE94" s="5438">
        <f t="shared" ca="1" si="114"/>
        <v>1001.7129999999995</v>
      </c>
      <c r="AF94" s="5438">
        <f t="shared" ca="1" si="114"/>
        <v>1001.7129999999995</v>
      </c>
      <c r="AG94" s="5438">
        <f t="shared" ca="1" si="114"/>
        <v>1001.7129999999995</v>
      </c>
      <c r="AH94" s="5438">
        <f t="shared" ca="1" si="114"/>
        <v>1001.7129999999995</v>
      </c>
      <c r="AI94" s="5438">
        <f t="shared" ca="1" si="114"/>
        <v>1001.7129999999995</v>
      </c>
      <c r="AJ94" s="5438">
        <f t="shared" ca="1" si="114"/>
        <v>649.11002400004213</v>
      </c>
    </row>
    <row r="95" spans="2:36">
      <c r="C95" s="50" t="s">
        <v>5370</v>
      </c>
      <c r="D95" s="5439">
        <f t="shared" ca="1" si="112"/>
        <v>-450.99999999999829</v>
      </c>
      <c r="F95" s="5438">
        <f>F93-F94</f>
        <v>0</v>
      </c>
      <c r="G95" s="5438">
        <f t="shared" ref="G95:AJ95" ca="1" si="115">G93-G94</f>
        <v>0</v>
      </c>
      <c r="H95" s="5438">
        <f t="shared" ca="1" si="115"/>
        <v>-64.575371999997515</v>
      </c>
      <c r="I95" s="5438">
        <f t="shared" ca="1" si="115"/>
        <v>-65.002455333330545</v>
      </c>
      <c r="J95" s="5438">
        <f t="shared" ca="1" si="115"/>
        <v>-65.002455333330545</v>
      </c>
      <c r="K95" s="5438">
        <f t="shared" ca="1" si="115"/>
        <v>-65.002455333330545</v>
      </c>
      <c r="L95" s="5438">
        <f t="shared" ca="1" si="115"/>
        <v>-65.429538666664484</v>
      </c>
      <c r="M95" s="5438">
        <f t="shared" ca="1" si="115"/>
        <v>-65.856621999997515</v>
      </c>
      <c r="N95" s="5438">
        <f t="shared" ca="1" si="115"/>
        <v>-63.721205333331</v>
      </c>
      <c r="O95" s="5438">
        <f t="shared" ca="1" si="115"/>
        <v>-64.148288666663575</v>
      </c>
      <c r="P95" s="5438">
        <f t="shared" ca="1" si="115"/>
        <v>-22.635416666664241</v>
      </c>
      <c r="Q95" s="5438">
        <f t="shared" ca="1" si="115"/>
        <v>-23.062499999997272</v>
      </c>
      <c r="R95" s="5438">
        <f t="shared" ca="1" si="115"/>
        <v>-26.906249999996362</v>
      </c>
      <c r="S95" s="5438">
        <f t="shared" ca="1" si="115"/>
        <v>-26.906249999996362</v>
      </c>
      <c r="T95" s="5438">
        <f t="shared" ca="1" si="115"/>
        <v>-27.333333333329392</v>
      </c>
      <c r="U95" s="5438">
        <f t="shared" ca="1" si="115"/>
        <v>-27.760416666663332</v>
      </c>
      <c r="V95" s="5438">
        <f t="shared" ca="1" si="115"/>
        <v>-17.083333333331211</v>
      </c>
      <c r="W95" s="5438">
        <f t="shared" ca="1" si="115"/>
        <v>-19.645833333331211</v>
      </c>
      <c r="X95" s="5438">
        <f t="shared" ca="1" si="115"/>
        <v>-20.072916666664241</v>
      </c>
      <c r="Y95" s="5438">
        <f t="shared" ca="1" si="115"/>
        <v>-17.083333333331211</v>
      </c>
      <c r="Z95" s="5438">
        <f t="shared" ca="1" si="115"/>
        <v>-5.1249999999994316</v>
      </c>
      <c r="AA95" s="5438">
        <f t="shared" ca="1" si="115"/>
        <v>-5.1249999999994316</v>
      </c>
      <c r="AB95" s="5438">
        <f t="shared" ca="1" si="115"/>
        <v>-5.1249999999994316</v>
      </c>
      <c r="AC95" s="5438">
        <f t="shared" ca="1" si="115"/>
        <v>-5.1249999999994316</v>
      </c>
      <c r="AD95" s="5438">
        <f t="shared" ca="1" si="115"/>
        <v>-5.1249999999994316</v>
      </c>
      <c r="AE95" s="5438">
        <f t="shared" ca="1" si="115"/>
        <v>-5.1249999999994316</v>
      </c>
      <c r="AF95" s="5438">
        <f t="shared" ca="1" si="115"/>
        <v>-5.1249999999994316</v>
      </c>
      <c r="AG95" s="5438">
        <f t="shared" ca="1" si="115"/>
        <v>-5.1249999999994316</v>
      </c>
      <c r="AH95" s="5438">
        <f t="shared" ca="1" si="115"/>
        <v>-5.1249999999994316</v>
      </c>
      <c r="AI95" s="5438">
        <f t="shared" ca="1" si="115"/>
        <v>-5.1249999999994316</v>
      </c>
      <c r="AJ95" s="5438">
        <f t="shared" ca="1" si="115"/>
        <v>347.47797599994658</v>
      </c>
    </row>
    <row r="96" spans="2:36">
      <c r="C96" s="50" t="s">
        <v>5367</v>
      </c>
      <c r="F96" s="5438">
        <f>SUM($F$95:F95)</f>
        <v>0</v>
      </c>
      <c r="G96" s="5438">
        <f ca="1">SUM($F$95:G95)</f>
        <v>0</v>
      </c>
      <c r="H96" s="5438">
        <f ca="1">SUM($F$95:H95)</f>
        <v>-64.575371999997515</v>
      </c>
      <c r="I96" s="5438">
        <f ca="1">SUM($F$95:I95)</f>
        <v>-129.57782733332806</v>
      </c>
      <c r="J96" s="5438">
        <f ca="1">SUM($F$95:J95)</f>
        <v>-194.5802826666586</v>
      </c>
      <c r="K96" s="5438">
        <f ca="1">SUM($F$95:K95)</f>
        <v>-259.58273799998915</v>
      </c>
      <c r="L96" s="5438">
        <f ca="1">SUM($F$95:L95)</f>
        <v>-325.01227666665363</v>
      </c>
      <c r="M96" s="5438">
        <f ca="1">SUM($F$95:M95)</f>
        <v>-390.86889866665115</v>
      </c>
      <c r="N96" s="5438">
        <f ca="1">SUM($F$95:N95)</f>
        <v>-454.59010399998215</v>
      </c>
      <c r="O96" s="5438">
        <f ca="1">SUM($F$95:O95)</f>
        <v>-518.73839266664572</v>
      </c>
      <c r="P96" s="5438">
        <f ca="1">SUM($F$95:P95)</f>
        <v>-541.37380933330996</v>
      </c>
      <c r="Q96" s="5438">
        <f ca="1">SUM($F$95:Q95)</f>
        <v>-564.43630933330724</v>
      </c>
      <c r="R96" s="5438">
        <f ca="1">SUM($F$95:R95)</f>
        <v>-591.3425593333036</v>
      </c>
      <c r="S96" s="5438">
        <f ca="1">SUM($F$95:S95)</f>
        <v>-618.24880933329996</v>
      </c>
      <c r="T96" s="5438">
        <f ca="1">SUM($F$95:T95)</f>
        <v>-645.58214266662935</v>
      </c>
      <c r="U96" s="5438">
        <f ca="1">SUM($F$95:U95)</f>
        <v>-673.34255933329268</v>
      </c>
      <c r="V96" s="5438">
        <f ca="1">SUM($F$95:V95)</f>
        <v>-690.42589266662389</v>
      </c>
      <c r="W96" s="5438">
        <f ca="1">SUM($F$95:W95)</f>
        <v>-710.07172599995511</v>
      </c>
      <c r="X96" s="5438">
        <f ca="1">SUM($F$95:X95)</f>
        <v>-730.14464266661935</v>
      </c>
      <c r="Y96" s="5438">
        <f ca="1">SUM($F$95:Y95)</f>
        <v>-747.22797599995056</v>
      </c>
      <c r="Z96" s="5438">
        <f ca="1">SUM($F$95:Z95)</f>
        <v>-752.35297599994999</v>
      </c>
      <c r="AA96" s="5438">
        <f ca="1">SUM($F$95:AA95)</f>
        <v>-757.47797599994942</v>
      </c>
      <c r="AB96" s="5438">
        <f ca="1">SUM($F$95:AB95)</f>
        <v>-762.60297599994885</v>
      </c>
      <c r="AC96" s="5438">
        <f ca="1">SUM($F$95:AC95)</f>
        <v>-767.72797599994828</v>
      </c>
      <c r="AD96" s="5438">
        <f ca="1">SUM($F$95:AD95)</f>
        <v>-772.85297599994772</v>
      </c>
      <c r="AE96" s="5438">
        <f ca="1">SUM($F$95:AE95)</f>
        <v>-777.97797599994715</v>
      </c>
      <c r="AF96" s="5438">
        <f ca="1">SUM($F$95:AF95)</f>
        <v>-783.10297599994658</v>
      </c>
      <c r="AG96" s="5438">
        <f ca="1">SUM($F$95:AG95)</f>
        <v>-788.22797599994601</v>
      </c>
      <c r="AH96" s="5438">
        <f ca="1">SUM($F$95:AH95)</f>
        <v>-793.35297599994544</v>
      </c>
      <c r="AI96" s="5438">
        <f ca="1">SUM($F$95:AI95)</f>
        <v>-798.47797599994487</v>
      </c>
      <c r="AJ96" s="5438">
        <f ca="1">SUM($F$95:AJ95)</f>
        <v>-450.99999999999829</v>
      </c>
    </row>
    <row r="98" spans="3:36">
      <c r="C98" s="50" t="s">
        <v>5368</v>
      </c>
      <c r="D98" s="5438">
        <f t="shared" ref="D98" ca="1" si="116">SUM(F98:AJ98)</f>
        <v>1065.2384460836417</v>
      </c>
      <c r="F98" s="5438">
        <f>F89+F95</f>
        <v>0</v>
      </c>
      <c r="G98" s="5438">
        <f t="shared" ref="G98:AJ98" ca="1" si="117">G89+G95</f>
        <v>0</v>
      </c>
      <c r="H98" s="5438">
        <f t="shared" ca="1" si="117"/>
        <v>56.041829709591525</v>
      </c>
      <c r="I98" s="5442">
        <f t="shared" ca="1" si="117"/>
        <v>50.559625481695321</v>
      </c>
      <c r="J98" s="5438">
        <f t="shared" ca="1" si="117"/>
        <v>62.250507674233745</v>
      </c>
      <c r="K98" s="5438">
        <f t="shared" ca="1" si="117"/>
        <v>48.215196997055273</v>
      </c>
      <c r="L98" s="5438">
        <f t="shared" ca="1" si="117"/>
        <v>34.624516959814287</v>
      </c>
      <c r="M98" s="5438">
        <f t="shared" ca="1" si="117"/>
        <v>28.913871062013186</v>
      </c>
      <c r="N98" s="5438">
        <f t="shared" ca="1" si="117"/>
        <v>32.311787702492097</v>
      </c>
      <c r="O98" s="5438">
        <f t="shared" ca="1" si="117"/>
        <v>26.648568799116674</v>
      </c>
      <c r="P98" s="5438">
        <f t="shared" ca="1" si="117"/>
        <v>56.969713711656141</v>
      </c>
      <c r="Q98" s="5438">
        <f t="shared" ca="1" si="117"/>
        <v>50.488926125853197</v>
      </c>
      <c r="R98" s="5438">
        <f t="shared" ca="1" si="117"/>
        <v>50.259146233248657</v>
      </c>
      <c r="S98" s="5438">
        <f t="shared" ca="1" si="117"/>
        <v>37.617872567565144</v>
      </c>
      <c r="T98" s="5438">
        <f t="shared" ca="1" si="117"/>
        <v>25.658342501113793</v>
      </c>
      <c r="U98" s="5438">
        <f t="shared" ca="1" si="117"/>
        <v>17.921125730835058</v>
      </c>
      <c r="V98" s="5438">
        <f t="shared" ca="1" si="117"/>
        <v>26.467640974322251</v>
      </c>
      <c r="W98" s="5438">
        <f t="shared" ca="1" si="117"/>
        <v>16.337405935184847</v>
      </c>
      <c r="X98" s="5438">
        <f t="shared" ca="1" si="117"/>
        <v>8.3612796530424589</v>
      </c>
      <c r="Y98" s="5438">
        <f t="shared" ca="1" si="117"/>
        <v>5.9824837436191274</v>
      </c>
      <c r="Z98" s="5438">
        <f t="shared" ca="1" si="117"/>
        <v>15.620895903232977</v>
      </c>
      <c r="AA98" s="5438">
        <f t="shared" ca="1" si="117"/>
        <v>13.020187206613315</v>
      </c>
      <c r="AB98" s="5438">
        <f t="shared" ca="1" si="117"/>
        <v>10.630683640006097</v>
      </c>
      <c r="AC98" s="5438">
        <f t="shared" ca="1" si="117"/>
        <v>9.2600336205789233</v>
      </c>
      <c r="AD98" s="5438">
        <f t="shared" ca="1" si="117"/>
        <v>8.5914294533131823</v>
      </c>
      <c r="AE98" s="5438">
        <f t="shared" ca="1" si="117"/>
        <v>7.1151768688797574</v>
      </c>
      <c r="AF98" s="5438">
        <f t="shared" ca="1" si="117"/>
        <v>5.1480835622974581</v>
      </c>
      <c r="AG98" s="5438">
        <f t="shared" ca="1" si="117"/>
        <v>3.7774335428702983</v>
      </c>
      <c r="AH98" s="5438">
        <f t="shared" ca="1" si="117"/>
        <v>2.9660547077161219</v>
      </c>
      <c r="AI98" s="5438">
        <f t="shared" ca="1" si="117"/>
        <v>1.2101665311462533</v>
      </c>
      <c r="AJ98" s="5438">
        <f t="shared" ca="1" si="117"/>
        <v>352.26845948453484</v>
      </c>
    </row>
    <row r="99" spans="3:36">
      <c r="C99" s="50" t="s">
        <v>5371</v>
      </c>
      <c r="F99" s="5438">
        <f>SUM($F$98:F98)</f>
        <v>0</v>
      </c>
      <c r="G99" s="5438">
        <f ca="1">SUM($F$98:G98)</f>
        <v>0</v>
      </c>
      <c r="H99" s="5438">
        <f ca="1">SUM($F$98:H98)</f>
        <v>56.041829709591525</v>
      </c>
      <c r="I99" s="5438">
        <f ca="1">SUM($F$98:I98)</f>
        <v>106.60145519128685</v>
      </c>
      <c r="J99" s="5438">
        <f ca="1">SUM($F$98:J98)</f>
        <v>168.85196286552059</v>
      </c>
      <c r="K99" s="5438">
        <f ca="1">SUM($F$98:K98)</f>
        <v>217.06715986257586</v>
      </c>
      <c r="L99" s="5438">
        <f ca="1">SUM($F$98:L98)</f>
        <v>251.69167682239015</v>
      </c>
      <c r="M99" s="5438">
        <f ca="1">SUM($F$98:M98)</f>
        <v>280.60554788440334</v>
      </c>
      <c r="N99" s="5438">
        <f ca="1">SUM($F$98:N98)</f>
        <v>312.91733558689543</v>
      </c>
      <c r="O99" s="5438">
        <f ca="1">SUM($F$98:O98)</f>
        <v>339.56590438601211</v>
      </c>
      <c r="P99" s="5438">
        <f ca="1">SUM($F$98:P98)</f>
        <v>396.53561809766825</v>
      </c>
      <c r="Q99" s="5438">
        <f ca="1">SUM($F$98:Q98)</f>
        <v>447.02454422352145</v>
      </c>
      <c r="R99" s="5438">
        <f ca="1">SUM($F$98:R98)</f>
        <v>497.2836904567701</v>
      </c>
      <c r="S99" s="5438">
        <f ca="1">SUM($F$98:S98)</f>
        <v>534.90156302433525</v>
      </c>
      <c r="T99" s="5438">
        <f ca="1">SUM($F$98:T98)</f>
        <v>560.55990552544904</v>
      </c>
      <c r="U99" s="5438">
        <f ca="1">SUM($F$98:U98)</f>
        <v>578.48103125628404</v>
      </c>
      <c r="V99" s="5438">
        <f ca="1">SUM($F$98:V98)</f>
        <v>604.94867223060623</v>
      </c>
      <c r="W99" s="5438">
        <f ca="1">SUM($F$98:W98)</f>
        <v>621.28607816579108</v>
      </c>
      <c r="X99" s="5438">
        <f ca="1">SUM($F$98:X98)</f>
        <v>629.6473578188336</v>
      </c>
      <c r="Y99" s="5438">
        <f ca="1">SUM($F$98:Y98)</f>
        <v>635.62984156245273</v>
      </c>
      <c r="Z99" s="5438">
        <f ca="1">SUM($F$98:Z98)</f>
        <v>651.25073746568569</v>
      </c>
      <c r="AA99" s="5438">
        <f ca="1">SUM($F$98:AA98)</f>
        <v>664.27092467229897</v>
      </c>
      <c r="AB99" s="5438">
        <f ca="1">SUM($F$98:AB98)</f>
        <v>674.90160831230503</v>
      </c>
      <c r="AC99" s="5438">
        <f ca="1">SUM($F$98:AC98)</f>
        <v>684.16164193288398</v>
      </c>
      <c r="AD99" s="5438">
        <f ca="1">SUM($F$98:AD98)</f>
        <v>692.75307138619712</v>
      </c>
      <c r="AE99" s="5438">
        <f ca="1">SUM($F$98:AE98)</f>
        <v>699.86824825507688</v>
      </c>
      <c r="AF99" s="5438">
        <f ca="1">SUM($F$98:AF98)</f>
        <v>705.01633181737429</v>
      </c>
      <c r="AG99" s="5438">
        <f ca="1">SUM($F$98:AG98)</f>
        <v>708.79376536024461</v>
      </c>
      <c r="AH99" s="5438">
        <f ca="1">SUM($F$98:AH98)</f>
        <v>711.75982006796073</v>
      </c>
      <c r="AI99" s="5438">
        <f ca="1">SUM($F$98:AI98)</f>
        <v>712.96998659910696</v>
      </c>
      <c r="AJ99" s="5438">
        <f ca="1">SUM($F$98:AJ98)</f>
        <v>1065.2384460836417</v>
      </c>
    </row>
    <row r="101" spans="3:36">
      <c r="D101" s="5438">
        <f t="shared" ref="D101" ca="1" si="118">SUM(F101:AJ101)</f>
        <v>1065.2384460836436</v>
      </c>
      <c r="F101" s="5440">
        <f>F35</f>
        <v>0</v>
      </c>
      <c r="G101" s="5440">
        <f t="shared" ref="G101:AJ101" ca="1" si="119">G35</f>
        <v>0</v>
      </c>
      <c r="H101" s="5440">
        <f t="shared" ca="1" si="119"/>
        <v>56.041829709591411</v>
      </c>
      <c r="I101" s="5441">
        <f t="shared" ca="1" si="119"/>
        <v>50.559625481695264</v>
      </c>
      <c r="J101" s="5440">
        <f t="shared" ca="1" si="119"/>
        <v>62.250507674233887</v>
      </c>
      <c r="K101" s="5440">
        <f t="shared" ca="1" si="119"/>
        <v>48.215196997054818</v>
      </c>
      <c r="L101" s="5440">
        <f t="shared" ca="1" si="119"/>
        <v>34.624516959814656</v>
      </c>
      <c r="M101" s="5440">
        <f t="shared" ca="1" si="119"/>
        <v>28.9138710620133</v>
      </c>
      <c r="N101" s="5440">
        <f t="shared" ca="1" si="119"/>
        <v>32.311787702492268</v>
      </c>
      <c r="O101" s="5440">
        <f t="shared" ca="1" si="119"/>
        <v>26.648568799116475</v>
      </c>
      <c r="P101" s="5440">
        <f t="shared" ca="1" si="119"/>
        <v>56.969713711656283</v>
      </c>
      <c r="Q101" s="5440">
        <f t="shared" ca="1" si="119"/>
        <v>50.488926125853197</v>
      </c>
      <c r="R101" s="5440">
        <f t="shared" ca="1" si="119"/>
        <v>50.259146233248458</v>
      </c>
      <c r="S101" s="5440">
        <f t="shared" ca="1" si="119"/>
        <v>37.617872567565598</v>
      </c>
      <c r="T101" s="5440">
        <f t="shared" ca="1" si="119"/>
        <v>25.658342501114049</v>
      </c>
      <c r="U101" s="5440">
        <f t="shared" ca="1" si="119"/>
        <v>17.921125730835655</v>
      </c>
      <c r="V101" s="5440">
        <f t="shared" ca="1" si="119"/>
        <v>26.467640974322023</v>
      </c>
      <c r="W101" s="5440">
        <f t="shared" ca="1" si="119"/>
        <v>16.337405935184918</v>
      </c>
      <c r="X101" s="5440">
        <f t="shared" ca="1" si="119"/>
        <v>8.3612796530425584</v>
      </c>
      <c r="Y101" s="5440">
        <f t="shared" ca="1" si="119"/>
        <v>5.9824837436187934</v>
      </c>
      <c r="Z101" s="5440">
        <f t="shared" ca="1" si="119"/>
        <v>15.620895903233063</v>
      </c>
      <c r="AA101" s="5440">
        <f t="shared" ca="1" si="119"/>
        <v>13.020187206613361</v>
      </c>
      <c r="AB101" s="5440">
        <f t="shared" ca="1" si="119"/>
        <v>10.630683640006112</v>
      </c>
      <c r="AC101" s="5440">
        <f t="shared" ca="1" si="119"/>
        <v>9.2600336205789304</v>
      </c>
      <c r="AD101" s="5440">
        <f t="shared" ca="1" si="119"/>
        <v>8.5914294533131574</v>
      </c>
      <c r="AE101" s="5440">
        <f t="shared" ca="1" si="119"/>
        <v>7.1151768688797468</v>
      </c>
      <c r="AF101" s="5440">
        <f t="shared" ca="1" si="119"/>
        <v>5.1480835622976286</v>
      </c>
      <c r="AG101" s="5440">
        <f t="shared" ca="1" si="119"/>
        <v>3.7774335428704511</v>
      </c>
      <c r="AH101" s="5440">
        <f t="shared" ca="1" si="119"/>
        <v>2.9660547077162569</v>
      </c>
      <c r="AI101" s="5440">
        <f t="shared" ca="1" si="119"/>
        <v>1.2101665311463607</v>
      </c>
      <c r="AJ101" s="5440">
        <f t="shared" ca="1" si="119"/>
        <v>352.26845948453484</v>
      </c>
    </row>
    <row r="103" spans="3:36">
      <c r="F103" s="5438">
        <f>F98-F101</f>
        <v>0</v>
      </c>
      <c r="G103" s="5443">
        <f t="shared" ref="G103:AJ103" ca="1" si="120">G98-G101</f>
        <v>0</v>
      </c>
      <c r="H103" s="5443">
        <f t="shared" ca="1" si="120"/>
        <v>1.1368683772161603E-13</v>
      </c>
      <c r="I103" s="5443">
        <f t="shared" ca="1" si="120"/>
        <v>5.6843418860808015E-14</v>
      </c>
      <c r="J103" s="5443">
        <f t="shared" ca="1" si="120"/>
        <v>-1.4210854715202004E-13</v>
      </c>
      <c r="K103" s="5443">
        <f t="shared" ca="1" si="120"/>
        <v>4.5474735088646412E-13</v>
      </c>
      <c r="L103" s="5443">
        <f t="shared" ca="1" si="120"/>
        <v>-3.694822225952521E-13</v>
      </c>
      <c r="M103" s="5443">
        <f t="shared" ca="1" si="120"/>
        <v>-1.1368683772161603E-13</v>
      </c>
      <c r="N103" s="5443">
        <f t="shared" ca="1" si="120"/>
        <v>-1.7053025658242404E-13</v>
      </c>
      <c r="O103" s="5443">
        <f t="shared" ca="1" si="120"/>
        <v>1.9895196601282805E-13</v>
      </c>
      <c r="P103" s="5443">
        <f t="shared" ca="1" si="120"/>
        <v>-1.4210854715202004E-13</v>
      </c>
      <c r="Q103" s="5443">
        <f t="shared" ca="1" si="120"/>
        <v>0</v>
      </c>
      <c r="R103" s="5443">
        <f t="shared" ca="1" si="120"/>
        <v>1.9895196601282805E-13</v>
      </c>
      <c r="S103" s="5443">
        <f t="shared" ca="1" si="120"/>
        <v>-4.5474735088646412E-13</v>
      </c>
      <c r="T103" s="5443">
        <f t="shared" ca="1" si="120"/>
        <v>-2.5579538487363607E-13</v>
      </c>
      <c r="U103" s="5443">
        <f t="shared" ca="1" si="120"/>
        <v>-5.9685589803848416E-13</v>
      </c>
      <c r="V103" s="5443">
        <f t="shared" ca="1" si="120"/>
        <v>2.2737367544323206E-13</v>
      </c>
      <c r="W103" s="5443">
        <f t="shared" ca="1" si="120"/>
        <v>-7.1054273576010019E-14</v>
      </c>
      <c r="X103" s="5443">
        <f t="shared" ca="1" si="120"/>
        <v>-9.9475983006414026E-14</v>
      </c>
      <c r="Y103" s="5443">
        <f t="shared" ca="1" si="120"/>
        <v>3.3395508580724709E-13</v>
      </c>
      <c r="Z103" s="5443">
        <f t="shared" ca="1" si="120"/>
        <v>-8.5265128291212022E-14</v>
      </c>
      <c r="AA103" s="5443">
        <f t="shared" ca="1" si="120"/>
        <v>-4.6185277824406512E-14</v>
      </c>
      <c r="AB103" s="5443">
        <f t="shared" ca="1" si="120"/>
        <v>-1.4210854715202004E-14</v>
      </c>
      <c r="AC103" s="5443">
        <f t="shared" ca="1" si="120"/>
        <v>0</v>
      </c>
      <c r="AD103" s="5443">
        <f t="shared" ca="1" si="120"/>
        <v>2.4868995751603507E-14</v>
      </c>
      <c r="AE103" s="5443">
        <f t="shared" ca="1" si="120"/>
        <v>1.0658141036401503E-14</v>
      </c>
      <c r="AF103" s="5443">
        <f t="shared" ca="1" si="120"/>
        <v>-1.7053025658242404E-13</v>
      </c>
      <c r="AG103" s="5443">
        <f t="shared" ca="1" si="120"/>
        <v>-1.5276668818842154E-13</v>
      </c>
      <c r="AH103" s="5443">
        <f t="shared" ca="1" si="120"/>
        <v>-1.3500311979441904E-13</v>
      </c>
      <c r="AI103" s="5443">
        <f t="shared" ca="1" si="120"/>
        <v>-1.0746958878371515E-13</v>
      </c>
      <c r="AJ103" s="5443">
        <f t="shared" ca="1" si="120"/>
        <v>0</v>
      </c>
    </row>
  </sheetData>
  <mergeCells count="4">
    <mergeCell ref="B4:B6"/>
    <mergeCell ref="D4:D6"/>
    <mergeCell ref="B52:B54"/>
    <mergeCell ref="D52:D54"/>
  </mergeCells>
  <phoneticPr fontId="12" type="noConversion"/>
  <conditionalFormatting sqref="F98:AJ98">
    <cfRule type="cellIs" dxfId="7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AB912-4035-4054-9790-8A017921F315}">
  <sheetPr codeName="Sheet6"/>
  <dimension ref="A1:AP70"/>
  <sheetViews>
    <sheetView showGridLines="0" zoomScaleNormal="100" zoomScaleSheetLayoutView="100" workbookViewId="0">
      <selection activeCell="O23" sqref="O23"/>
    </sheetView>
  </sheetViews>
  <sheetFormatPr defaultColWidth="0" defaultRowHeight="17.100000000000001" customHeight="1"/>
  <cols>
    <col min="1" max="1" width="1" style="302" customWidth="1"/>
    <col min="2" max="2" width="11.5546875" style="302" customWidth="1"/>
    <col min="3" max="3" width="13" style="302" customWidth="1"/>
    <col min="4" max="5" width="10.88671875" style="302" customWidth="1"/>
    <col min="6" max="7" width="1" style="302" customWidth="1"/>
    <col min="8" max="10" width="10.88671875" style="302" customWidth="1"/>
    <col min="11" max="11" width="10.5546875" style="302" customWidth="1"/>
    <col min="12" max="12" width="12.6640625" style="302" customWidth="1"/>
    <col min="13" max="13" width="15.33203125" style="302" customWidth="1"/>
    <col min="14" max="14" width="1.21875" style="302" customWidth="1"/>
    <col min="15" max="19" width="10.109375" style="302" customWidth="1"/>
    <col min="20" max="20" width="1.6640625" style="302" customWidth="1"/>
    <col min="21" max="33" width="10.109375" style="302" hidden="1" customWidth="1"/>
    <col min="34" max="39" width="7.109375" style="302" hidden="1" customWidth="1"/>
    <col min="40" max="42" width="0" style="302" hidden="1" customWidth="1"/>
    <col min="43" max="16384" width="8.88671875" style="302" hidden="1"/>
  </cols>
  <sheetData>
    <row r="1" spans="1:19" ht="8.4499999999999993" customHeight="1"/>
    <row r="2" spans="1:19" s="305" customFormat="1" ht="17.100000000000001" customHeight="1">
      <c r="A2" s="303"/>
      <c r="B2" s="304" t="s">
        <v>160</v>
      </c>
    </row>
    <row r="3" spans="1:19" s="303" customFormat="1" ht="6" customHeight="1">
      <c r="A3" s="306"/>
    </row>
    <row r="4" spans="1:19" ht="17.100000000000001" customHeight="1">
      <c r="A4" s="307"/>
      <c r="B4" s="308" t="s">
        <v>161</v>
      </c>
      <c r="C4" s="309"/>
      <c r="D4" s="309"/>
      <c r="E4" s="309"/>
      <c r="F4" s="310"/>
      <c r="H4" s="308" t="s">
        <v>162</v>
      </c>
      <c r="I4" s="309"/>
      <c r="J4" s="309"/>
      <c r="K4" s="309"/>
      <c r="L4" s="309"/>
      <c r="M4" s="310"/>
      <c r="O4" s="308" t="s">
        <v>5122</v>
      </c>
      <c r="P4" s="309"/>
      <c r="Q4" s="309"/>
      <c r="R4" s="309"/>
      <c r="S4" s="310"/>
    </row>
    <row r="5" spans="1:19" ht="17.100000000000001" customHeight="1">
      <c r="A5" s="307"/>
      <c r="B5" s="311" t="s">
        <v>163</v>
      </c>
      <c r="C5" s="302" t="s">
        <v>164</v>
      </c>
      <c r="E5" s="312">
        <v>37040</v>
      </c>
      <c r="F5" s="313"/>
      <c r="H5" s="314"/>
      <c r="I5" s="315"/>
      <c r="J5" s="315"/>
      <c r="K5" s="316"/>
      <c r="L5" s="315"/>
      <c r="M5" s="313"/>
      <c r="O5" s="5532" t="s">
        <v>165</v>
      </c>
      <c r="P5" s="5534" t="s">
        <v>166</v>
      </c>
      <c r="Q5" s="5534"/>
      <c r="R5" s="5534" t="s">
        <v>167</v>
      </c>
      <c r="S5" s="5524" t="s">
        <v>168</v>
      </c>
    </row>
    <row r="6" spans="1:19" ht="28.15" customHeight="1">
      <c r="A6" s="307"/>
      <c r="B6" s="317"/>
      <c r="C6" s="302" t="s">
        <v>169</v>
      </c>
      <c r="E6" s="312">
        <v>43555</v>
      </c>
      <c r="F6" s="318"/>
      <c r="H6" s="5526" t="s">
        <v>11</v>
      </c>
      <c r="I6" s="5527"/>
      <c r="J6" s="319" t="s">
        <v>170</v>
      </c>
      <c r="K6" s="319"/>
      <c r="L6" s="320" t="str">
        <f ca="1">TEXT(펀드차입금!F72,"YYYY/MM/DD")&amp;"이후 적용금리"</f>
        <v>2023/06/30이후 적용금리</v>
      </c>
      <c r="M6" s="318"/>
      <c r="O6" s="5533"/>
      <c r="P6" s="321" t="s">
        <v>171</v>
      </c>
      <c r="Q6" s="321" t="s">
        <v>172</v>
      </c>
      <c r="R6" s="5535"/>
      <c r="S6" s="5525"/>
    </row>
    <row r="7" spans="1:19" ht="17.100000000000001" customHeight="1">
      <c r="A7" s="307"/>
      <c r="B7" s="317"/>
      <c r="C7" s="302" t="s">
        <v>173</v>
      </c>
      <c r="E7" s="322">
        <f>YEAR(기준분기)</f>
        <v>2019</v>
      </c>
      <c r="F7" s="318"/>
      <c r="H7" s="5528"/>
      <c r="I7" s="5529"/>
      <c r="J7" s="323" t="s">
        <v>36</v>
      </c>
      <c r="K7" s="324" t="s">
        <v>37</v>
      </c>
      <c r="L7" s="325" t="s">
        <v>174</v>
      </c>
      <c r="M7" s="318"/>
      <c r="O7" s="326">
        <v>2021</v>
      </c>
      <c r="P7" s="327">
        <f>Q7/$Q$16</f>
        <v>0.15316642120765833</v>
      </c>
      <c r="Q7" s="328">
        <f>SUMIFS(차입금상환!$62:$62,차입금상환!$59:$59,Sensitivity!O7)</f>
        <v>172.74191999999999</v>
      </c>
      <c r="R7" s="329">
        <f ca="1">SUMIFS('CF(Y)'!$48:$48,'CF(Y)'!$4:$4,Sensitivity!O7)</f>
        <v>1.5881199774157337</v>
      </c>
      <c r="S7" s="330">
        <f ca="1">SUMIFS('CF(Y)'!$49:$49,'CF(Y)'!$4:$4,Sensitivity!O7)</f>
        <v>1.8376083813756545</v>
      </c>
    </row>
    <row r="8" spans="1:19" ht="17.100000000000001" customHeight="1">
      <c r="A8" s="307"/>
      <c r="B8" s="317"/>
      <c r="C8" s="331" t="s">
        <v>175</v>
      </c>
      <c r="E8" s="332">
        <v>365</v>
      </c>
      <c r="F8" s="318"/>
      <c r="H8" s="333" t="s">
        <v>176</v>
      </c>
      <c r="I8" s="334"/>
      <c r="J8" s="335">
        <f>SUM(J9:J10)</f>
        <v>680</v>
      </c>
      <c r="K8" s="336">
        <f t="shared" ref="K8:K16" si="0">J8/J$16</f>
        <v>0.37614667622802017</v>
      </c>
      <c r="L8" s="337"/>
      <c r="M8" s="318"/>
      <c r="O8" s="326">
        <f>O7+1</f>
        <v>2022</v>
      </c>
      <c r="P8" s="327">
        <f t="shared" ref="P8:P15" si="1">Q8/$Q$16</f>
        <v>0.1406480117820324</v>
      </c>
      <c r="Q8" s="328">
        <f>SUMIFS(차입금상환!$62:$62,차입금상환!$59:$59,Sensitivity!O8)</f>
        <v>158.62358999999998</v>
      </c>
      <c r="R8" s="329">
        <f ca="1">SUMIFS('CF(Y)'!$48:$48,'CF(Y)'!$4:$4,Sensitivity!O8)</f>
        <v>1.5727842086829662</v>
      </c>
      <c r="S8" s="330">
        <f ca="1">SUMIFS('CF(Y)'!$49:$49,'CF(Y)'!$4:$4,Sensitivity!O8)</f>
        <v>1.6109090671773765</v>
      </c>
    </row>
    <row r="9" spans="1:19" ht="17.100000000000001" customHeight="1">
      <c r="A9" s="307"/>
      <c r="B9" s="317"/>
      <c r="C9" s="338" t="s">
        <v>177</v>
      </c>
      <c r="D9" s="338"/>
      <c r="E9" s="339">
        <v>43646</v>
      </c>
      <c r="F9" s="340"/>
      <c r="H9" s="341"/>
      <c r="I9" s="342" t="s">
        <v>178</v>
      </c>
      <c r="J9" s="343">
        <f>BS!K45</f>
        <v>574</v>
      </c>
      <c r="K9" s="344">
        <f t="shared" si="0"/>
        <v>0.31751204728659349</v>
      </c>
      <c r="L9" s="345"/>
      <c r="M9" s="318"/>
      <c r="O9" s="326">
        <f t="shared" ref="O9:O15" si="2">O8+1</f>
        <v>2023</v>
      </c>
      <c r="P9" s="327">
        <f t="shared" si="1"/>
        <v>0.14653902798232699</v>
      </c>
      <c r="Q9" s="328">
        <f>SUMIFS(차입금상환!$62:$62,차입금상환!$59:$59,Sensitivity!O9)</f>
        <v>165.26751000000002</v>
      </c>
      <c r="R9" s="329">
        <f ca="1">SUMIFS('CF(Y)'!$48:$48,'CF(Y)'!$4:$4,Sensitivity!O9)</f>
        <v>2.1820473062767372</v>
      </c>
      <c r="S9" s="330">
        <f ca="1">SUMIFS('CF(Y)'!$49:$49,'CF(Y)'!$4:$4,Sensitivity!O9)</f>
        <v>2.1820473062767372</v>
      </c>
    </row>
    <row r="10" spans="1:19" ht="17.100000000000001" customHeight="1">
      <c r="A10" s="307"/>
      <c r="B10" s="307"/>
      <c r="C10" s="346" t="s">
        <v>179</v>
      </c>
      <c r="E10" s="347">
        <f ca="1">민감도!$E$67</f>
        <v>44742</v>
      </c>
      <c r="F10" s="318"/>
      <c r="H10" s="348"/>
      <c r="I10" s="349" t="s">
        <v>180</v>
      </c>
      <c r="J10" s="350">
        <f>BS!K46</f>
        <v>106</v>
      </c>
      <c r="K10" s="351">
        <f t="shared" si="0"/>
        <v>5.8634628941426674E-2</v>
      </c>
      <c r="L10" s="352"/>
      <c r="M10" s="318"/>
      <c r="O10" s="326">
        <f t="shared" si="2"/>
        <v>2024</v>
      </c>
      <c r="P10" s="327">
        <f t="shared" si="1"/>
        <v>0.14727540500736377</v>
      </c>
      <c r="Q10" s="328">
        <f>SUMIFS(차입금상환!$62:$62,차입금상환!$59:$59,Sensitivity!O10)</f>
        <v>166.09799999999998</v>
      </c>
      <c r="R10" s="329">
        <f ca="1">SUMIFS('CF(Y)'!$48:$48,'CF(Y)'!$4:$4,Sensitivity!O10)</f>
        <v>2.0094375132625144</v>
      </c>
      <c r="S10" s="330">
        <f ca="1">SUMIFS('CF(Y)'!$49:$49,'CF(Y)'!$4:$4,Sensitivity!O10)</f>
        <v>2.0873638094812574</v>
      </c>
    </row>
    <row r="11" spans="1:19" ht="17.100000000000001" customHeight="1">
      <c r="A11" s="307"/>
      <c r="B11" s="311" t="s">
        <v>181</v>
      </c>
      <c r="C11" s="302" t="s">
        <v>182</v>
      </c>
      <c r="E11" s="353">
        <v>39995</v>
      </c>
      <c r="F11" s="354"/>
      <c r="H11" s="333" t="s">
        <v>183</v>
      </c>
      <c r="I11" s="334"/>
      <c r="J11" s="355">
        <f>SUM(J12:J15)</f>
        <v>1127.8054199999999</v>
      </c>
      <c r="K11" s="356">
        <f t="shared" si="0"/>
        <v>0.62385332377197977</v>
      </c>
      <c r="L11" s="337"/>
      <c r="M11" s="357" t="s">
        <v>184</v>
      </c>
      <c r="O11" s="326">
        <f t="shared" si="2"/>
        <v>2025</v>
      </c>
      <c r="P11" s="327">
        <f t="shared" si="1"/>
        <v>0.18777614138438881</v>
      </c>
      <c r="Q11" s="328">
        <f>SUMIFS(차입금상환!$62:$62,차입금상환!$59:$59,Sensitivity!O11)</f>
        <v>211.77494999999999</v>
      </c>
      <c r="R11" s="329">
        <f ca="1">SUMIFS('CF(Y)'!$48:$48,'CF(Y)'!$4:$4,Sensitivity!O11)</f>
        <v>1.3735820263812935</v>
      </c>
      <c r="S11" s="330">
        <f ca="1">SUMIFS('CF(Y)'!$49:$49,'CF(Y)'!$4:$4,Sensitivity!O11)</f>
        <v>1.4057266829396537</v>
      </c>
    </row>
    <row r="12" spans="1:19" ht="17.100000000000001" customHeight="1">
      <c r="A12" s="307"/>
      <c r="B12" s="307"/>
      <c r="C12" s="302" t="s">
        <v>185</v>
      </c>
      <c r="E12" s="358">
        <v>50</v>
      </c>
      <c r="F12" s="359"/>
      <c r="H12" s="307"/>
      <c r="I12" s="360" t="s">
        <v>77</v>
      </c>
      <c r="J12" s="343">
        <f>차입금상환!P72</f>
        <v>903.06999999999994</v>
      </c>
      <c r="K12" s="344">
        <f t="shared" si="0"/>
        <v>0.49953938073711496</v>
      </c>
      <c r="L12" s="361">
        <f ca="1">민감도!E62+Sensitivity!M12</f>
        <v>4.1000000000000002E-2</v>
      </c>
      <c r="M12" s="362">
        <v>1.6E-2</v>
      </c>
      <c r="O12" s="326">
        <f t="shared" si="2"/>
        <v>2026</v>
      </c>
      <c r="P12" s="327">
        <f t="shared" si="1"/>
        <v>0.12739322533136968</v>
      </c>
      <c r="Q12" s="328">
        <f>SUMIFS(차입금상환!$62:$62,차입금상환!$59:$59,Sensitivity!O12)</f>
        <v>143.67477</v>
      </c>
      <c r="R12" s="329">
        <f ca="1">SUMIFS('CF(Y)'!$48:$48,'CF(Y)'!$4:$4,Sensitivity!O12)</f>
        <v>1.8178923974804437</v>
      </c>
      <c r="S12" s="330">
        <f ca="1">SUMIFS('CF(Y)'!$49:$49,'CF(Y)'!$4:$4,Sensitivity!O12)</f>
        <v>1.8178923974804437</v>
      </c>
    </row>
    <row r="13" spans="1:19" ht="17.100000000000001" customHeight="1">
      <c r="A13" s="307"/>
      <c r="B13" s="363"/>
      <c r="C13" s="364" t="s">
        <v>186</v>
      </c>
      <c r="D13" s="364"/>
      <c r="E13" s="365">
        <f>EOMONTH(E11,E12*12-1)</f>
        <v>58256</v>
      </c>
      <c r="F13" s="366">
        <f>E13</f>
        <v>58256</v>
      </c>
      <c r="H13" s="307"/>
      <c r="I13" s="367" t="s">
        <v>187</v>
      </c>
      <c r="J13" s="368">
        <f>차입금상환!P76</f>
        <v>50.925000000000004</v>
      </c>
      <c r="K13" s="369">
        <f t="shared" si="0"/>
        <v>2.8169513951341072E-2</v>
      </c>
      <c r="L13" s="370">
        <v>7.1999999999999995E-2</v>
      </c>
      <c r="M13" s="371"/>
      <c r="O13" s="326">
        <f t="shared" si="2"/>
        <v>2027</v>
      </c>
      <c r="P13" s="327">
        <f t="shared" si="1"/>
        <v>3.5346097201767311E-2</v>
      </c>
      <c r="Q13" s="328">
        <f>SUMIFS(차입금상환!$62:$62,차입금상환!$59:$59,Sensitivity!O13)</f>
        <v>39.863520000000001</v>
      </c>
      <c r="R13" s="329">
        <f ca="1">SUMIFS('CF(Y)'!$48:$48,'CF(Y)'!$4:$4,Sensitivity!O13)</f>
        <v>7.0181792893274988</v>
      </c>
      <c r="S13" s="330">
        <f ca="1">SUMIFS('CF(Y)'!$49:$49,'CF(Y)'!$4:$4,Sensitivity!O13)</f>
        <v>7.0181792893274988</v>
      </c>
    </row>
    <row r="14" spans="1:19" ht="17.100000000000001" customHeight="1">
      <c r="A14" s="307"/>
      <c r="B14" s="308" t="s">
        <v>188</v>
      </c>
      <c r="C14" s="309"/>
      <c r="D14" s="309"/>
      <c r="E14" s="309"/>
      <c r="F14" s="310"/>
      <c r="H14" s="307"/>
      <c r="I14" s="367" t="s">
        <v>189</v>
      </c>
      <c r="J14" s="368">
        <f>차입금상환!P80</f>
        <v>84.875</v>
      </c>
      <c r="K14" s="369">
        <f t="shared" si="0"/>
        <v>4.6949189918901783E-2</v>
      </c>
      <c r="L14" s="370">
        <v>7.1999999999999995E-2</v>
      </c>
      <c r="M14" s="371"/>
      <c r="O14" s="326">
        <f t="shared" si="2"/>
        <v>2028</v>
      </c>
      <c r="P14" s="327">
        <f t="shared" si="1"/>
        <v>3.5346097201767311E-2</v>
      </c>
      <c r="Q14" s="328">
        <f>SUMIFS(차입금상환!$62:$62,차입금상환!$59:$59,Sensitivity!O14)</f>
        <v>39.863520000000001</v>
      </c>
      <c r="R14" s="329">
        <f ca="1">SUMIFS('CF(Y)'!$48:$48,'CF(Y)'!$4:$4,Sensitivity!O14)</f>
        <v>7.261227535274859</v>
      </c>
      <c r="S14" s="330">
        <f ca="1">SUMIFS('CF(Y)'!$49:$49,'CF(Y)'!$4:$4,Sensitivity!O14)</f>
        <v>7.7698797194719909</v>
      </c>
    </row>
    <row r="15" spans="1:19" ht="17.100000000000001" customHeight="1">
      <c r="A15" s="307"/>
      <c r="B15" s="317" t="s">
        <v>190</v>
      </c>
      <c r="D15" s="302" t="s">
        <v>191</v>
      </c>
      <c r="E15" s="372">
        <v>0.11</v>
      </c>
      <c r="F15" s="318"/>
      <c r="H15" s="307"/>
      <c r="I15" s="367" t="s">
        <v>192</v>
      </c>
      <c r="J15" s="368">
        <f>차입금상환!P84</f>
        <v>88.935419999999965</v>
      </c>
      <c r="K15" s="369">
        <f t="shared" si="0"/>
        <v>4.9195239164622026E-2</v>
      </c>
      <c r="L15" s="373">
        <f ca="1">민감도!E62+Sensitivity!M15</f>
        <v>3.7999999999999999E-2</v>
      </c>
      <c r="M15" s="362">
        <v>1.2999999999999999E-2</v>
      </c>
      <c r="O15" s="374">
        <f t="shared" si="2"/>
        <v>2029</v>
      </c>
      <c r="P15" s="375">
        <f t="shared" si="1"/>
        <v>2.6509572901325381E-2</v>
      </c>
      <c r="Q15" s="376">
        <f>SUMIFS(차입금상환!$62:$62,차입금상환!$59:$59,Sensitivity!O15)</f>
        <v>29.897639999999889</v>
      </c>
      <c r="R15" s="377">
        <f ca="1">SUMIFS('CF(Y)'!$48:$48,'CF(Y)'!$4:$4,Sensitivity!O15)</f>
        <v>10.301621284739729</v>
      </c>
      <c r="S15" s="378">
        <f ca="1">SUMIFS('CF(Y)'!$49:$49,'CF(Y)'!$4:$4,Sensitivity!O15)</f>
        <v>11.783737160756189</v>
      </c>
    </row>
    <row r="16" spans="1:19" ht="17.100000000000001" customHeight="1">
      <c r="A16" s="307"/>
      <c r="B16" s="379"/>
      <c r="D16" s="302" t="s">
        <v>193</v>
      </c>
      <c r="E16" s="372">
        <v>0.22</v>
      </c>
      <c r="F16" s="318"/>
      <c r="H16" s="380" t="s">
        <v>194</v>
      </c>
      <c r="I16" s="381"/>
      <c r="J16" s="382">
        <f>J8+J11</f>
        <v>1807.8054199999999</v>
      </c>
      <c r="K16" s="383">
        <f t="shared" si="0"/>
        <v>1</v>
      </c>
      <c r="L16" s="384"/>
      <c r="M16" s="318"/>
      <c r="O16" s="374" t="s">
        <v>195</v>
      </c>
      <c r="P16" s="385">
        <f>SUM(P7:P15)</f>
        <v>0.99999999999999989</v>
      </c>
      <c r="Q16" s="386">
        <f>SUM(Q7:Q15)</f>
        <v>1127.8054199999999</v>
      </c>
      <c r="R16" s="364"/>
      <c r="S16" s="387"/>
    </row>
    <row r="17" spans="1:28" ht="17.100000000000001" customHeight="1">
      <c r="A17" s="307"/>
      <c r="B17" s="317"/>
      <c r="D17" s="302" t="s">
        <v>196</v>
      </c>
      <c r="E17" s="372">
        <v>0.24199999999999999</v>
      </c>
      <c r="F17" s="318"/>
      <c r="H17" s="317" t="s">
        <v>197</v>
      </c>
      <c r="I17" s="388"/>
      <c r="J17" s="389">
        <f>SUM(J18:J19)</f>
        <v>0</v>
      </c>
      <c r="K17" s="369"/>
      <c r="L17" s="390"/>
      <c r="M17" s="318"/>
      <c r="O17" s="308" t="s">
        <v>198</v>
      </c>
      <c r="P17" s="309"/>
      <c r="Q17" s="309"/>
      <c r="R17" s="309"/>
      <c r="S17" s="310"/>
    </row>
    <row r="18" spans="1:28" ht="17.100000000000001" customHeight="1">
      <c r="A18" s="307"/>
      <c r="B18" s="317" t="s">
        <v>199</v>
      </c>
      <c r="E18" s="372">
        <v>0.6</v>
      </c>
      <c r="F18" s="318"/>
      <c r="H18" s="391"/>
      <c r="I18" s="360" t="s">
        <v>200</v>
      </c>
      <c r="J18" s="392">
        <f>차입금상환!P88</f>
        <v>0</v>
      </c>
      <c r="K18" s="393"/>
      <c r="L18" s="394">
        <v>6.9000000000000006E-2</v>
      </c>
      <c r="M18" s="318"/>
      <c r="O18" s="333" t="s">
        <v>201</v>
      </c>
      <c r="P18" s="315"/>
      <c r="Q18" s="315"/>
      <c r="R18" s="395" t="str">
        <f ca="1">IF(BS!D58=0,"OK","CHECK")</f>
        <v>OK</v>
      </c>
      <c r="S18" s="313"/>
    </row>
    <row r="19" spans="1:28" ht="17.100000000000001" customHeight="1">
      <c r="A19" s="307"/>
      <c r="B19" s="317"/>
      <c r="D19" s="396"/>
      <c r="E19" s="397"/>
      <c r="F19" s="318"/>
      <c r="H19" s="363"/>
      <c r="I19" s="398" t="s">
        <v>197</v>
      </c>
      <c r="J19" s="399">
        <f>차입금상환!P92</f>
        <v>0</v>
      </c>
      <c r="K19" s="351"/>
      <c r="L19" s="400">
        <v>3.6799999999999999E-2</v>
      </c>
      <c r="M19" s="318"/>
      <c r="O19" s="317" t="s">
        <v>202</v>
      </c>
      <c r="R19" s="401" t="str">
        <f ca="1">IF(Waterfall!F114=0,"OK","Check")</f>
        <v>OK</v>
      </c>
      <c r="S19" s="318"/>
    </row>
    <row r="20" spans="1:28" ht="17.100000000000001" customHeight="1">
      <c r="A20" s="307"/>
      <c r="B20" s="402" t="s">
        <v>203</v>
      </c>
      <c r="C20" s="364"/>
      <c r="D20" s="364"/>
      <c r="E20" s="403">
        <v>100000000</v>
      </c>
      <c r="F20" s="404"/>
      <c r="H20" s="307"/>
      <c r="J20" s="405"/>
      <c r="K20" s="370"/>
      <c r="L20" s="370"/>
      <c r="M20" s="406"/>
      <c r="O20" s="317" t="s">
        <v>204</v>
      </c>
      <c r="R20" s="401" t="str">
        <f ca="1">IF('CF(Q)'!F50=0,"OK","Check")</f>
        <v>OK</v>
      </c>
      <c r="S20" s="318"/>
    </row>
    <row r="21" spans="1:28" ht="17.100000000000001" customHeight="1">
      <c r="A21" s="307"/>
      <c r="B21" s="407" t="s">
        <v>205</v>
      </c>
      <c r="C21" s="408"/>
      <c r="D21" s="408"/>
      <c r="E21" s="408"/>
      <c r="F21" s="409"/>
      <c r="H21" s="311" t="s">
        <v>206</v>
      </c>
      <c r="J21" s="410">
        <v>47391</v>
      </c>
      <c r="M21" s="318"/>
      <c r="O21" s="363"/>
      <c r="P21" s="364"/>
      <c r="Q21" s="364"/>
      <c r="R21" s="364"/>
      <c r="S21" s="387"/>
    </row>
    <row r="22" spans="1:28" ht="17.100000000000001" customHeight="1">
      <c r="A22" s="307"/>
      <c r="B22" s="411" t="s">
        <v>207</v>
      </c>
      <c r="C22" s="315"/>
      <c r="D22" s="395" t="s">
        <v>208</v>
      </c>
      <c r="E22" s="412">
        <f ca="1">민감도!E49</f>
        <v>1</v>
      </c>
      <c r="F22" s="413"/>
      <c r="H22" s="311"/>
      <c r="J22" s="414"/>
      <c r="M22" s="318"/>
      <c r="O22" s="415" t="s">
        <v>209</v>
      </c>
      <c r="P22" s="416"/>
      <c r="Q22" s="416"/>
      <c r="R22" s="416"/>
      <c r="S22" s="417"/>
    </row>
    <row r="23" spans="1:28" ht="17.100000000000001" customHeight="1">
      <c r="A23" s="307"/>
      <c r="B23" s="317"/>
      <c r="C23" s="331"/>
      <c r="F23" s="418"/>
      <c r="G23" s="419"/>
      <c r="H23" s="311" t="s">
        <v>200</v>
      </c>
      <c r="J23" s="414"/>
      <c r="M23" s="318"/>
      <c r="O23" s="420" t="s">
        <v>210</v>
      </c>
      <c r="P23" s="421"/>
      <c r="Q23" s="421" t="s">
        <v>211</v>
      </c>
      <c r="R23" s="421" t="s">
        <v>76</v>
      </c>
      <c r="S23" s="422"/>
    </row>
    <row r="24" spans="1:28" ht="17.100000000000001" customHeight="1">
      <c r="A24" s="307"/>
      <c r="B24" s="311" t="s">
        <v>212</v>
      </c>
      <c r="D24" s="423" t="s">
        <v>213</v>
      </c>
      <c r="E24" s="424" t="s">
        <v>214</v>
      </c>
      <c r="F24" s="425"/>
      <c r="H24" s="307"/>
      <c r="I24" s="426" t="s">
        <v>215</v>
      </c>
      <c r="J24" s="427">
        <v>1000</v>
      </c>
      <c r="K24" s="396" t="s">
        <v>216</v>
      </c>
      <c r="L24" s="397">
        <v>0</v>
      </c>
      <c r="M24" s="318"/>
      <c r="O24" s="317" t="s">
        <v>217</v>
      </c>
      <c r="Q24" s="328">
        <f ca="1">펀드차입금!D77/100</f>
        <v>876.99743999999976</v>
      </c>
      <c r="R24" s="428" t="s">
        <v>218</v>
      </c>
      <c r="S24" s="334"/>
    </row>
    <row r="25" spans="1:28" ht="17.100000000000001" customHeight="1">
      <c r="A25" s="307"/>
      <c r="B25" s="317"/>
      <c r="D25" s="373">
        <f ca="1">민감도!E69</f>
        <v>0.03</v>
      </c>
      <c r="E25" s="429">
        <f ca="1">민감도!E70</f>
        <v>3</v>
      </c>
      <c r="F25" s="318"/>
      <c r="H25" s="307"/>
      <c r="I25" s="430" t="s">
        <v>219</v>
      </c>
      <c r="J25" s="431">
        <v>2059</v>
      </c>
      <c r="K25" s="396" t="s">
        <v>220</v>
      </c>
      <c r="L25" s="397">
        <v>4.5999999999999999E-2</v>
      </c>
      <c r="M25" s="318"/>
      <c r="O25" s="379"/>
      <c r="P25" s="360" t="s">
        <v>77</v>
      </c>
      <c r="Q25" s="432">
        <f ca="1">펀드차입금!D78/100</f>
        <v>702.2399999999999</v>
      </c>
      <c r="S25" s="318"/>
    </row>
    <row r="26" spans="1:28" ht="17.100000000000001" customHeight="1">
      <c r="A26" s="307"/>
      <c r="B26" s="317"/>
      <c r="F26" s="318"/>
      <c r="H26" s="308" t="s">
        <v>221</v>
      </c>
      <c r="I26" s="309"/>
      <c r="J26" s="309"/>
      <c r="K26" s="309"/>
      <c r="L26" s="309"/>
      <c r="M26" s="310"/>
      <c r="O26" s="379"/>
      <c r="P26" s="367" t="s">
        <v>78</v>
      </c>
      <c r="Q26" s="328">
        <f ca="1">펀드차입금!D79/100</f>
        <v>39.599999999999994</v>
      </c>
      <c r="S26" s="318"/>
    </row>
    <row r="27" spans="1:28" ht="17.100000000000001" customHeight="1">
      <c r="A27" s="307"/>
      <c r="B27" s="311" t="s">
        <v>222</v>
      </c>
      <c r="C27" s="331"/>
      <c r="D27" s="433" t="s">
        <v>223</v>
      </c>
      <c r="E27" s="434" t="s">
        <v>224</v>
      </c>
      <c r="F27" s="425"/>
      <c r="G27" s="435"/>
      <c r="H27" s="317" t="s">
        <v>225</v>
      </c>
      <c r="K27" s="396"/>
      <c r="L27" s="396"/>
      <c r="M27" s="318"/>
      <c r="O27" s="379"/>
      <c r="P27" s="367" t="s">
        <v>79</v>
      </c>
      <c r="Q27" s="328">
        <f ca="1">펀드차입금!D80/100</f>
        <v>66</v>
      </c>
      <c r="S27" s="318"/>
    </row>
    <row r="28" spans="1:28" ht="17.100000000000001" customHeight="1">
      <c r="A28" s="307"/>
      <c r="B28" s="326"/>
      <c r="C28" s="331"/>
      <c r="D28" s="436">
        <f ca="1">민감도!E72</f>
        <v>20</v>
      </c>
      <c r="E28" s="373">
        <f ca="1">민감도!E73</f>
        <v>0.05</v>
      </c>
      <c r="F28" s="425"/>
      <c r="G28" s="435"/>
      <c r="H28" s="307"/>
      <c r="I28" s="302" t="s">
        <v>34</v>
      </c>
      <c r="K28" s="396"/>
      <c r="L28" s="437">
        <f ca="1">민감도!E76</f>
        <v>1.2</v>
      </c>
      <c r="M28" s="318"/>
      <c r="O28" s="438"/>
      <c r="P28" s="398" t="s">
        <v>80</v>
      </c>
      <c r="Q28" s="376">
        <f ca="1">펀드차입금!D81/100</f>
        <v>69.15743999999998</v>
      </c>
      <c r="R28" s="364"/>
      <c r="S28" s="387"/>
    </row>
    <row r="29" spans="1:28" ht="17.100000000000001" customHeight="1">
      <c r="A29" s="307"/>
      <c r="B29" s="363"/>
      <c r="C29" s="364"/>
      <c r="D29" s="364"/>
      <c r="E29" s="364"/>
      <c r="F29" s="439"/>
      <c r="G29" s="435"/>
      <c r="H29" s="317"/>
      <c r="I29" s="302" t="s">
        <v>35</v>
      </c>
      <c r="K29" s="396"/>
      <c r="L29" s="440">
        <f ca="1">민감도!E77</f>
        <v>1.3</v>
      </c>
      <c r="M29" s="318"/>
      <c r="O29" s="380" t="s">
        <v>226</v>
      </c>
      <c r="P29" s="441"/>
      <c r="Q29" s="442">
        <f ca="1">펀드차입금!D82/100</f>
        <v>0</v>
      </c>
      <c r="R29" s="441" t="s">
        <v>227</v>
      </c>
      <c r="S29" s="381"/>
    </row>
    <row r="30" spans="1:28" ht="17.100000000000001" customHeight="1">
      <c r="A30" s="307"/>
      <c r="B30" s="443" t="s">
        <v>228</v>
      </c>
      <c r="C30" s="444"/>
      <c r="D30" s="444"/>
      <c r="E30" s="444"/>
      <c r="F30" s="445"/>
      <c r="G30" s="435"/>
      <c r="H30" s="307"/>
      <c r="I30" s="456"/>
      <c r="L30" s="370"/>
      <c r="M30" s="453"/>
      <c r="N30" s="435"/>
      <c r="O30" s="380" t="s">
        <v>229</v>
      </c>
      <c r="P30" s="441"/>
      <c r="Q30" s="442">
        <f ca="1">펀드차입금!D83/100</f>
        <v>4.51</v>
      </c>
      <c r="R30" s="441" t="s">
        <v>84</v>
      </c>
      <c r="S30" s="381"/>
    </row>
    <row r="31" spans="1:28" ht="17.100000000000001" customHeight="1">
      <c r="A31" s="307"/>
      <c r="B31" s="311" t="s">
        <v>230</v>
      </c>
      <c r="D31" s="401"/>
      <c r="F31" s="318"/>
      <c r="H31" s="317" t="s">
        <v>237</v>
      </c>
      <c r="J31" s="457"/>
      <c r="K31" s="302" t="s">
        <v>238</v>
      </c>
      <c r="L31" s="458">
        <v>3</v>
      </c>
      <c r="M31" s="459" t="s">
        <v>239</v>
      </c>
      <c r="O31" s="446" t="s">
        <v>210</v>
      </c>
      <c r="P31" s="447"/>
      <c r="Q31" s="448">
        <f ca="1">펀드차입금!D84/100</f>
        <v>881.50743999999975</v>
      </c>
      <c r="S31" s="387"/>
      <c r="T31" s="449"/>
      <c r="U31" s="449"/>
      <c r="V31" s="449"/>
      <c r="W31" s="449"/>
      <c r="X31" s="450"/>
      <c r="Y31" s="449"/>
      <c r="Z31" s="450"/>
      <c r="AB31" s="450"/>
    </row>
    <row r="32" spans="1:28" ht="17.100000000000001" customHeight="1">
      <c r="A32" s="451"/>
      <c r="B32" s="311" t="s">
        <v>208</v>
      </c>
      <c r="D32" s="401" t="s">
        <v>231</v>
      </c>
      <c r="E32" s="370">
        <v>1</v>
      </c>
      <c r="F32" s="318"/>
      <c r="H32" s="402"/>
      <c r="I32" s="364"/>
      <c r="J32" s="465"/>
      <c r="K32" s="364" t="s">
        <v>241</v>
      </c>
      <c r="L32" s="466">
        <v>3</v>
      </c>
      <c r="M32" s="467" t="s">
        <v>239</v>
      </c>
      <c r="O32" s="415" t="s">
        <v>232</v>
      </c>
      <c r="P32" s="416"/>
      <c r="Q32" s="416"/>
      <c r="R32" s="416"/>
      <c r="S32" s="417"/>
    </row>
    <row r="33" spans="1:38" ht="17.100000000000001" customHeight="1">
      <c r="A33" s="451"/>
      <c r="B33" s="311"/>
      <c r="D33" s="401"/>
      <c r="E33" s="454"/>
      <c r="F33" s="455"/>
      <c r="G33" s="370"/>
      <c r="O33" s="380" t="s">
        <v>233</v>
      </c>
      <c r="P33" s="441"/>
      <c r="Q33" s="421" t="s">
        <v>234</v>
      </c>
      <c r="R33" s="421" t="s">
        <v>38</v>
      </c>
      <c r="S33" s="422" t="s">
        <v>39</v>
      </c>
    </row>
    <row r="34" spans="1:38" ht="17.100000000000001" customHeight="1">
      <c r="A34" s="451"/>
      <c r="B34" s="311" t="s">
        <v>235</v>
      </c>
      <c r="D34" s="401" t="s">
        <v>236</v>
      </c>
      <c r="E34" s="373">
        <f ca="1">민감도!E88</f>
        <v>1.4999999999999999E-2</v>
      </c>
      <c r="F34" s="318"/>
      <c r="O34" s="317" t="s">
        <v>240</v>
      </c>
      <c r="Q34" s="327">
        <f ca="1">펀드수익률!C5</f>
        <v>4.160479009151459E-2</v>
      </c>
      <c r="R34" s="327">
        <f ca="1">펀드수익률!E5</f>
        <v>3.7004634737968459E-2</v>
      </c>
      <c r="S34" s="460">
        <f ca="1">펀드수익률!D5</f>
        <v>5.1261338591575625E-2</v>
      </c>
      <c r="Y34" s="461"/>
    </row>
    <row r="35" spans="1:38" ht="17.100000000000001" customHeight="1">
      <c r="A35" s="451"/>
      <c r="B35" s="446"/>
      <c r="C35" s="364"/>
      <c r="D35" s="462" t="s">
        <v>231</v>
      </c>
      <c r="E35" s="463">
        <f ca="1">민감도!E80</f>
        <v>0.01</v>
      </c>
      <c r="F35" s="464"/>
      <c r="O35" s="402" t="s">
        <v>242</v>
      </c>
      <c r="P35" s="364"/>
      <c r="Q35" s="375">
        <f ca="1">펀드수익률!C6</f>
        <v>4.3139651417732239E-2</v>
      </c>
      <c r="R35" s="375">
        <f ca="1">펀드수익률!E6</f>
        <v>3.8544651865959165E-2</v>
      </c>
      <c r="S35" s="468">
        <f ca="1">펀드수익률!D6</f>
        <v>5.2786615490913402E-2</v>
      </c>
      <c r="Y35" s="461"/>
    </row>
    <row r="36" spans="1:38" ht="17.100000000000001" customHeight="1">
      <c r="L36" s="469"/>
      <c r="M36" s="452"/>
      <c r="Q36" s="396"/>
    </row>
    <row r="38" spans="1:38" ht="17.100000000000001" customHeight="1">
      <c r="Q38" s="470"/>
    </row>
    <row r="39" spans="1:38" ht="17.100000000000001" customHeight="1">
      <c r="H39" s="471"/>
      <c r="N39" s="5530"/>
      <c r="Q39" s="461"/>
      <c r="R39" s="331"/>
      <c r="S39" s="331"/>
      <c r="T39" s="331"/>
      <c r="U39" s="331"/>
      <c r="V39" s="331"/>
      <c r="W39" s="472"/>
      <c r="X39" s="473"/>
      <c r="Y39" s="473"/>
      <c r="Z39" s="473"/>
      <c r="AA39" s="474"/>
      <c r="AB39" s="474"/>
      <c r="AC39" s="474"/>
      <c r="AD39" s="474"/>
      <c r="AE39" s="474"/>
      <c r="AF39" s="474"/>
      <c r="AG39" s="474"/>
      <c r="AH39" s="474"/>
      <c r="AI39" s="474"/>
      <c r="AJ39" s="474"/>
      <c r="AK39" s="474"/>
      <c r="AL39" s="474"/>
    </row>
    <row r="40" spans="1:38" ht="17.100000000000001" customHeight="1">
      <c r="H40" s="471"/>
      <c r="N40" s="5531"/>
      <c r="Q40" s="396"/>
      <c r="R40" s="396"/>
      <c r="S40" s="396"/>
      <c r="T40" s="396"/>
      <c r="U40" s="396"/>
      <c r="V40" s="396"/>
      <c r="W40" s="396"/>
      <c r="X40" s="396"/>
      <c r="Z40" s="475"/>
      <c r="AA40" s="475"/>
      <c r="AB40" s="475"/>
      <c r="AC40" s="475"/>
      <c r="AD40" s="475"/>
      <c r="AE40" s="475"/>
      <c r="AF40" s="475"/>
      <c r="AG40" s="475"/>
      <c r="AH40" s="475"/>
      <c r="AI40" s="475"/>
      <c r="AJ40" s="475"/>
      <c r="AK40" s="475"/>
      <c r="AL40" s="475"/>
    </row>
    <row r="41" spans="1:38" ht="17.100000000000001" customHeight="1">
      <c r="H41" s="331"/>
      <c r="Q41" s="396"/>
      <c r="R41" s="331"/>
      <c r="S41" s="331"/>
      <c r="T41" s="331"/>
      <c r="U41" s="331"/>
      <c r="V41" s="331"/>
      <c r="W41" s="331"/>
      <c r="X41" s="331"/>
      <c r="Y41" s="331"/>
      <c r="Z41" s="475"/>
      <c r="AA41" s="475"/>
      <c r="AB41" s="475"/>
      <c r="AC41" s="475"/>
      <c r="AD41" s="475"/>
      <c r="AE41" s="475"/>
      <c r="AF41" s="475"/>
      <c r="AG41" s="475"/>
      <c r="AH41" s="475"/>
      <c r="AI41" s="475"/>
      <c r="AJ41" s="475"/>
      <c r="AK41" s="475"/>
      <c r="AL41" s="475"/>
    </row>
    <row r="42" spans="1:38" ht="17.100000000000001" customHeight="1">
      <c r="H42" s="331"/>
      <c r="N42" s="469"/>
      <c r="O42" s="401"/>
      <c r="P42" s="396"/>
      <c r="Q42" s="476"/>
      <c r="R42" s="331"/>
      <c r="S42" s="331"/>
      <c r="T42" s="331"/>
      <c r="U42" s="331"/>
      <c r="V42" s="331"/>
      <c r="W42" s="331"/>
      <c r="Y42" s="396"/>
      <c r="Z42" s="475"/>
      <c r="AA42" s="475"/>
      <c r="AB42" s="475"/>
      <c r="AC42" s="475"/>
      <c r="AD42" s="475"/>
      <c r="AE42" s="475"/>
      <c r="AF42" s="475"/>
      <c r="AG42" s="475"/>
      <c r="AH42" s="475"/>
      <c r="AI42" s="475"/>
      <c r="AJ42" s="475"/>
      <c r="AK42" s="475"/>
      <c r="AL42" s="475"/>
    </row>
    <row r="43" spans="1:38" ht="17.100000000000001" customHeight="1">
      <c r="H43" s="331"/>
      <c r="N43" s="469"/>
      <c r="O43" s="401"/>
      <c r="Q43" s="477"/>
      <c r="R43" s="478"/>
      <c r="S43" s="478"/>
      <c r="T43" s="478"/>
      <c r="U43" s="478"/>
      <c r="V43" s="478"/>
      <c r="W43" s="478"/>
      <c r="Y43" s="396"/>
      <c r="Z43" s="475"/>
      <c r="AA43" s="475"/>
      <c r="AB43" s="475"/>
      <c r="AC43" s="475"/>
      <c r="AD43" s="475"/>
      <c r="AE43" s="475"/>
      <c r="AF43" s="475"/>
      <c r="AG43" s="475"/>
      <c r="AH43" s="475"/>
      <c r="AI43" s="475"/>
      <c r="AJ43" s="475"/>
      <c r="AK43" s="475"/>
      <c r="AL43" s="475"/>
    </row>
    <row r="44" spans="1:38" ht="17.100000000000001" customHeight="1">
      <c r="H44" s="331"/>
      <c r="P44" s="396"/>
      <c r="R44" s="331"/>
      <c r="S44" s="331"/>
      <c r="T44" s="331"/>
      <c r="U44" s="331"/>
      <c r="V44" s="331"/>
      <c r="W44" s="331"/>
      <c r="X44" s="396"/>
      <c r="Z44" s="475"/>
      <c r="AA44" s="475"/>
      <c r="AB44" s="475"/>
      <c r="AC44" s="475"/>
      <c r="AD44" s="475"/>
      <c r="AE44" s="475"/>
      <c r="AF44" s="475"/>
      <c r="AG44" s="475"/>
      <c r="AH44" s="475"/>
      <c r="AI44" s="475"/>
      <c r="AJ44" s="475"/>
      <c r="AK44" s="475"/>
      <c r="AL44" s="475"/>
    </row>
    <row r="45" spans="1:38" ht="17.100000000000001" customHeight="1">
      <c r="O45" s="469"/>
      <c r="P45" s="396"/>
      <c r="Q45" s="461"/>
      <c r="R45" s="331"/>
      <c r="S45" s="331"/>
      <c r="T45" s="331"/>
      <c r="U45" s="331"/>
      <c r="V45" s="331"/>
      <c r="W45" s="331"/>
      <c r="Y45" s="396"/>
      <c r="Z45" s="475"/>
      <c r="AA45" s="475"/>
      <c r="AB45" s="475"/>
      <c r="AC45" s="475"/>
      <c r="AD45" s="475"/>
      <c r="AE45" s="475"/>
      <c r="AF45" s="475"/>
      <c r="AG45" s="475"/>
      <c r="AH45" s="475"/>
      <c r="AI45" s="475"/>
      <c r="AJ45" s="475"/>
      <c r="AK45" s="475"/>
      <c r="AL45" s="475"/>
    </row>
    <row r="46" spans="1:38" ht="17.100000000000001" customHeight="1">
      <c r="N46" s="476"/>
      <c r="P46" s="476"/>
      <c r="Q46" s="476"/>
      <c r="R46" s="331"/>
      <c r="S46" s="331"/>
      <c r="T46" s="331"/>
      <c r="U46" s="331"/>
      <c r="V46" s="331"/>
      <c r="W46" s="331"/>
      <c r="Y46" s="396"/>
      <c r="Z46" s="475"/>
      <c r="AA46" s="475"/>
      <c r="AB46" s="475"/>
      <c r="AC46" s="475"/>
      <c r="AD46" s="475"/>
      <c r="AE46" s="475"/>
      <c r="AF46" s="475"/>
      <c r="AG46" s="469"/>
      <c r="AH46" s="469"/>
      <c r="AI46" s="475"/>
      <c r="AJ46" s="475"/>
      <c r="AK46" s="475"/>
      <c r="AL46" s="475"/>
    </row>
    <row r="47" spans="1:38" ht="17.100000000000001" customHeight="1">
      <c r="N47" s="476"/>
      <c r="O47" s="479"/>
      <c r="P47" s="476"/>
      <c r="R47" s="331"/>
      <c r="S47" s="331"/>
      <c r="T47" s="331"/>
      <c r="U47" s="331"/>
      <c r="V47" s="331"/>
      <c r="W47" s="331"/>
      <c r="Y47" s="396"/>
      <c r="Z47" s="475"/>
      <c r="AA47" s="475"/>
      <c r="AB47" s="475"/>
      <c r="AC47" s="475"/>
      <c r="AD47" s="475"/>
      <c r="AE47" s="475"/>
      <c r="AF47" s="475"/>
      <c r="AG47" s="469"/>
      <c r="AH47" s="469"/>
      <c r="AI47" s="475"/>
      <c r="AJ47" s="475"/>
      <c r="AK47" s="475"/>
      <c r="AL47" s="475"/>
    </row>
    <row r="48" spans="1:38" ht="17.100000000000001" customHeight="1">
      <c r="J48" s="469"/>
      <c r="K48" s="390"/>
      <c r="L48" s="476"/>
      <c r="M48" s="480"/>
      <c r="N48" s="461"/>
      <c r="O48" s="469"/>
      <c r="Q48" s="476"/>
      <c r="R48" s="331"/>
      <c r="S48" s="331"/>
      <c r="T48" s="331"/>
      <c r="U48" s="331"/>
      <c r="V48" s="331"/>
      <c r="W48" s="331"/>
      <c r="Y48" s="396"/>
      <c r="Z48" s="475"/>
      <c r="AA48" s="475"/>
      <c r="AB48" s="475"/>
      <c r="AC48" s="475"/>
      <c r="AD48" s="475"/>
      <c r="AE48" s="475"/>
      <c r="AF48" s="475"/>
      <c r="AG48" s="469"/>
      <c r="AH48" s="469"/>
      <c r="AI48" s="475"/>
      <c r="AJ48" s="475"/>
      <c r="AK48" s="475"/>
      <c r="AL48" s="475"/>
    </row>
    <row r="49" spans="8:38" ht="17.100000000000001" customHeight="1">
      <c r="J49" s="469"/>
      <c r="K49" s="390"/>
      <c r="L49" s="476"/>
      <c r="M49" s="481"/>
      <c r="N49" s="481"/>
      <c r="T49" s="469"/>
      <c r="U49" s="331"/>
      <c r="V49" s="331"/>
      <c r="W49" s="331"/>
      <c r="X49" s="331"/>
      <c r="Y49" s="331"/>
      <c r="Z49" s="475"/>
      <c r="AA49" s="475"/>
      <c r="AB49" s="475"/>
      <c r="AC49" s="475"/>
      <c r="AD49" s="475"/>
      <c r="AE49" s="475"/>
      <c r="AF49" s="475"/>
      <c r="AG49" s="475"/>
      <c r="AH49" s="475"/>
      <c r="AI49" s="475"/>
      <c r="AJ49" s="475"/>
      <c r="AK49" s="475"/>
      <c r="AL49" s="475"/>
    </row>
    <row r="50" spans="8:38" ht="17.100000000000001" customHeight="1">
      <c r="T50" s="469"/>
      <c r="U50" s="331"/>
      <c r="V50" s="331"/>
      <c r="W50" s="331"/>
      <c r="X50" s="331"/>
      <c r="Y50" s="331"/>
      <c r="Z50" s="475"/>
      <c r="AA50" s="475"/>
      <c r="AB50" s="475"/>
      <c r="AC50" s="475"/>
      <c r="AD50" s="475"/>
      <c r="AE50" s="475"/>
      <c r="AF50" s="475"/>
      <c r="AG50" s="475"/>
      <c r="AH50" s="475"/>
      <c r="AI50" s="475"/>
      <c r="AJ50" s="475"/>
      <c r="AK50" s="475"/>
      <c r="AL50" s="475"/>
    </row>
    <row r="51" spans="8:38" ht="17.100000000000001" customHeight="1">
      <c r="I51" s="482"/>
      <c r="J51" s="450"/>
      <c r="K51" s="483"/>
      <c r="L51" s="450"/>
      <c r="O51" s="401"/>
      <c r="T51" s="469"/>
      <c r="U51" s="331"/>
      <c r="V51" s="331"/>
      <c r="W51" s="331"/>
      <c r="Y51" s="396"/>
      <c r="Z51" s="475"/>
      <c r="AA51" s="475"/>
      <c r="AB51" s="475"/>
      <c r="AC51" s="475"/>
      <c r="AD51" s="475"/>
      <c r="AE51" s="475"/>
      <c r="AF51" s="475"/>
      <c r="AG51" s="475"/>
      <c r="AH51" s="475"/>
      <c r="AI51" s="475"/>
      <c r="AJ51" s="475"/>
      <c r="AK51" s="475"/>
      <c r="AL51" s="475"/>
    </row>
    <row r="52" spans="8:38" ht="17.100000000000001" customHeight="1">
      <c r="I52" s="484"/>
      <c r="J52" s="450"/>
      <c r="L52" s="450"/>
      <c r="O52" s="401"/>
      <c r="T52" s="469"/>
      <c r="U52" s="331"/>
      <c r="V52" s="331"/>
      <c r="W52" s="331"/>
      <c r="Y52" s="396"/>
      <c r="Z52" s="475"/>
      <c r="AA52" s="475"/>
      <c r="AB52" s="475"/>
      <c r="AC52" s="475"/>
      <c r="AD52" s="475"/>
      <c r="AE52" s="475"/>
      <c r="AF52" s="475"/>
      <c r="AG52" s="469"/>
      <c r="AH52" s="469"/>
      <c r="AI52" s="475"/>
      <c r="AJ52" s="475"/>
      <c r="AK52" s="475"/>
      <c r="AL52" s="475"/>
    </row>
    <row r="53" spans="8:38" ht="17.100000000000001" customHeight="1">
      <c r="H53" s="476"/>
      <c r="I53" s="484"/>
      <c r="J53" s="450"/>
      <c r="L53" s="450"/>
      <c r="T53" s="469"/>
    </row>
    <row r="54" spans="8:38" ht="17.100000000000001" customHeight="1">
      <c r="I54" s="414"/>
      <c r="T54" s="469"/>
    </row>
    <row r="55" spans="8:38" ht="17.100000000000001" customHeight="1">
      <c r="I55" s="485"/>
      <c r="J55" s="475"/>
      <c r="K55" s="396"/>
      <c r="L55" s="481"/>
      <c r="T55" s="469"/>
    </row>
    <row r="56" spans="8:38" ht="17.100000000000001" customHeight="1">
      <c r="I56" s="430"/>
      <c r="J56" s="486"/>
      <c r="K56" s="396"/>
      <c r="L56" s="481"/>
      <c r="R56" s="414"/>
      <c r="S56" s="414"/>
      <c r="T56" s="487"/>
    </row>
    <row r="57" spans="8:38" ht="17.100000000000001" customHeight="1">
      <c r="I57" s="430"/>
      <c r="J57" s="486"/>
      <c r="K57" s="396"/>
      <c r="L57" s="481"/>
      <c r="R57" s="414"/>
      <c r="S57" s="414"/>
      <c r="T57" s="487"/>
    </row>
    <row r="58" spans="8:38" ht="17.100000000000001" customHeight="1">
      <c r="H58" s="488"/>
      <c r="J58" s="451"/>
    </row>
    <row r="68" spans="1:7" ht="17.100000000000001" customHeight="1">
      <c r="A68" s="307"/>
    </row>
    <row r="69" spans="1:7" ht="17.100000000000001" customHeight="1">
      <c r="B69" s="489"/>
      <c r="D69" s="457"/>
      <c r="F69" s="482"/>
      <c r="G69" s="481"/>
    </row>
    <row r="70" spans="1:7" ht="17.100000000000001" customHeight="1">
      <c r="B70" s="489"/>
      <c r="D70" s="457"/>
      <c r="F70" s="490"/>
      <c r="G70" s="481"/>
    </row>
  </sheetData>
  <mergeCells count="6">
    <mergeCell ref="S5:S6"/>
    <mergeCell ref="H6:I7"/>
    <mergeCell ref="N39:N40"/>
    <mergeCell ref="O5:O6"/>
    <mergeCell ref="P5:Q5"/>
    <mergeCell ref="R5:R6"/>
  </mergeCells>
  <phoneticPr fontId="12" type="noConversion"/>
  <printOptions horizontalCentered="1" verticalCentered="1"/>
  <pageMargins left="0.27559055118110237" right="0" top="0.27559055118110237" bottom="0.19685039370078741" header="3.937007874015748E-2" footer="0.51181102362204722"/>
  <pageSetup paperSize="9" scale="67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D6EEB-6835-4F77-A4AC-AC3252B107CA}">
  <sheetPr codeName="Sheet5">
    <pageSetUpPr fitToPage="1"/>
  </sheetPr>
  <dimension ref="A1:Y140"/>
  <sheetViews>
    <sheetView showGridLines="0" zoomScale="95" zoomScaleNormal="95" zoomScaleSheetLayoutView="100" workbookViewId="0">
      <pane xSplit="5" ySplit="6" topLeftCell="F7" activePane="bottomRight" state="frozen"/>
      <selection activeCell="C10" sqref="C10"/>
      <selection pane="topRight" activeCell="C10" sqref="C10"/>
      <selection pane="bottomLeft" activeCell="C10" sqref="C10"/>
      <selection pane="bottomRight" activeCell="G51" sqref="G51"/>
    </sheetView>
  </sheetViews>
  <sheetFormatPr defaultColWidth="8.88671875" defaultRowHeight="17.100000000000001" customHeight="1" outlineLevelRow="1"/>
  <cols>
    <col min="1" max="2" width="1.77734375" style="113" customWidth="1"/>
    <col min="3" max="3" width="20.5546875" style="113" customWidth="1"/>
    <col min="4" max="4" width="22.44140625" style="113" customWidth="1"/>
    <col min="5" max="5" width="13.77734375" style="266" customWidth="1"/>
    <col min="6" max="6" width="1" style="266" customWidth="1"/>
    <col min="7" max="20" width="14.33203125" style="113" customWidth="1"/>
    <col min="21" max="22" width="10.44140625" style="113" customWidth="1"/>
    <col min="23" max="23" width="10.109375" style="113" bestFit="1" customWidth="1"/>
    <col min="24" max="24" width="11" style="113" bestFit="1" customWidth="1"/>
    <col min="25" max="16384" width="8.88671875" style="113"/>
  </cols>
  <sheetData>
    <row r="1" spans="1:22" s="112" customFormat="1" ht="15" customHeight="1" thickBot="1">
      <c r="A1" s="110" t="s">
        <v>85</v>
      </c>
      <c r="B1" s="110"/>
      <c r="C1" s="110"/>
      <c r="D1" s="110"/>
      <c r="E1" s="111"/>
      <c r="G1" s="111"/>
      <c r="H1" s="111"/>
      <c r="I1" s="111"/>
      <c r="J1" s="111"/>
      <c r="K1" s="111"/>
      <c r="L1" s="111"/>
      <c r="M1" s="111"/>
      <c r="N1" s="111"/>
      <c r="P1" s="111"/>
      <c r="Q1" s="111"/>
      <c r="R1" s="111"/>
      <c r="S1" s="111"/>
      <c r="T1" s="111"/>
    </row>
    <row r="2" spans="1:22" ht="16.5" customHeight="1">
      <c r="B2" s="114"/>
      <c r="C2" s="114"/>
      <c r="D2" s="114"/>
      <c r="E2" s="115">
        <f>COUNTA(O3:IQ3)</f>
        <v>8</v>
      </c>
      <c r="F2" s="113"/>
      <c r="G2" s="116"/>
      <c r="H2" s="116"/>
      <c r="I2" s="116"/>
      <c r="J2" s="116"/>
      <c r="K2" s="116"/>
      <c r="L2" s="116"/>
      <c r="M2" s="116"/>
      <c r="N2" s="116"/>
      <c r="P2" s="116"/>
      <c r="Q2" s="116"/>
      <c r="R2" s="116"/>
      <c r="S2" s="116"/>
      <c r="T2" s="116"/>
      <c r="U2" s="5112" t="s">
        <v>86</v>
      </c>
      <c r="V2" s="5113" t="s">
        <v>87</v>
      </c>
    </row>
    <row r="3" spans="1:22" ht="16.5" customHeight="1" thickBot="1">
      <c r="B3" s="114"/>
      <c r="C3" s="114"/>
      <c r="D3" s="114"/>
      <c r="E3" s="115"/>
      <c r="F3" s="113"/>
      <c r="G3" s="117" t="s">
        <v>5239</v>
      </c>
      <c r="H3" s="117" t="s">
        <v>5236</v>
      </c>
      <c r="I3" s="117" t="s">
        <v>88</v>
      </c>
      <c r="J3" s="117" t="s">
        <v>5237</v>
      </c>
      <c r="K3" s="117" t="s">
        <v>5238</v>
      </c>
      <c r="L3" s="117" t="s">
        <v>5239</v>
      </c>
      <c r="M3" s="117" t="s">
        <v>5239</v>
      </c>
      <c r="N3" s="117" t="s">
        <v>5239</v>
      </c>
      <c r="O3" s="117" t="s">
        <v>5239</v>
      </c>
      <c r="P3" s="117" t="s">
        <v>5239</v>
      </c>
      <c r="Q3" s="117" t="s">
        <v>5239</v>
      </c>
      <c r="R3" s="117" t="s">
        <v>5239</v>
      </c>
      <c r="S3" s="117" t="s">
        <v>5239</v>
      </c>
      <c r="T3" s="117" t="s">
        <v>5239</v>
      </c>
      <c r="U3" s="5114">
        <v>1</v>
      </c>
      <c r="V3" s="5115">
        <v>10</v>
      </c>
    </row>
    <row r="4" spans="1:22" ht="14.25" customHeight="1">
      <c r="B4" s="118" t="s">
        <v>89</v>
      </c>
      <c r="C4" s="119"/>
      <c r="D4" s="120"/>
      <c r="E4" s="121">
        <v>1</v>
      </c>
      <c r="F4" s="122"/>
      <c r="G4" s="123">
        <v>1</v>
      </c>
      <c r="H4" s="123">
        <f t="shared" ref="H4:N4" si="0">G4+1</f>
        <v>2</v>
      </c>
      <c r="I4" s="123">
        <f t="shared" si="0"/>
        <v>3</v>
      </c>
      <c r="J4" s="123">
        <f t="shared" si="0"/>
        <v>4</v>
      </c>
      <c r="K4" s="123">
        <f t="shared" si="0"/>
        <v>5</v>
      </c>
      <c r="L4" s="123">
        <f t="shared" si="0"/>
        <v>6</v>
      </c>
      <c r="M4" s="123">
        <f t="shared" si="0"/>
        <v>7</v>
      </c>
      <c r="N4" s="123">
        <f t="shared" si="0"/>
        <v>8</v>
      </c>
      <c r="O4" s="123">
        <f t="shared" ref="O4" si="1">N4+1</f>
        <v>9</v>
      </c>
      <c r="P4" s="123">
        <f>O4+1</f>
        <v>10</v>
      </c>
      <c r="Q4" s="123">
        <f t="shared" ref="Q4" si="2">P4+1</f>
        <v>11</v>
      </c>
      <c r="R4" s="123">
        <f t="shared" ref="R4" si="3">Q4+1</f>
        <v>12</v>
      </c>
      <c r="S4" s="123">
        <f t="shared" ref="S4" si="4">R4+1</f>
        <v>13</v>
      </c>
      <c r="T4" s="123">
        <f>S4+1</f>
        <v>14</v>
      </c>
    </row>
    <row r="5" spans="1:22" ht="14.25" customHeight="1">
      <c r="B5" s="124"/>
      <c r="C5" s="125" t="s">
        <v>90</v>
      </c>
      <c r="D5" s="126"/>
      <c r="E5" s="127"/>
      <c r="F5" s="122"/>
      <c r="G5" s="128" t="s">
        <v>91</v>
      </c>
      <c r="H5" s="5536" t="s">
        <v>92</v>
      </c>
      <c r="I5" s="5537"/>
      <c r="J5" s="5537"/>
      <c r="K5" s="5538"/>
      <c r="L5" s="128" t="s">
        <v>5036</v>
      </c>
      <c r="M5" s="128" t="s">
        <v>5118</v>
      </c>
      <c r="N5" s="128" t="s">
        <v>5118</v>
      </c>
      <c r="O5" s="128" t="s">
        <v>5036</v>
      </c>
      <c r="P5" s="128" t="s">
        <v>5250</v>
      </c>
      <c r="Q5" s="5536" t="s">
        <v>92</v>
      </c>
      <c r="R5" s="5537"/>
      <c r="S5" s="5537"/>
      <c r="T5" s="5538"/>
    </row>
    <row r="6" spans="1:22" ht="14.25" customHeight="1">
      <c r="B6" s="124"/>
      <c r="C6" s="125" t="s">
        <v>93</v>
      </c>
      <c r="D6" s="126"/>
      <c r="E6" s="127"/>
      <c r="F6" s="122"/>
      <c r="G6" s="129" t="s">
        <v>5266</v>
      </c>
      <c r="H6" s="129" t="s">
        <v>5267</v>
      </c>
      <c r="I6" s="129" t="s">
        <v>94</v>
      </c>
      <c r="J6" s="129" t="s">
        <v>5268</v>
      </c>
      <c r="K6" s="129" t="s">
        <v>5269</v>
      </c>
      <c r="L6" s="129" t="s">
        <v>5119</v>
      </c>
      <c r="M6" s="129" t="s">
        <v>5120</v>
      </c>
      <c r="N6" s="129" t="s">
        <v>5121</v>
      </c>
      <c r="O6" s="129" t="s">
        <v>5203</v>
      </c>
      <c r="P6" s="129" t="s">
        <v>5239</v>
      </c>
      <c r="Q6" s="129" t="s">
        <v>5457</v>
      </c>
      <c r="R6" s="129" t="s">
        <v>5458</v>
      </c>
      <c r="S6" s="129" t="s">
        <v>5459</v>
      </c>
      <c r="T6" s="129" t="s">
        <v>5460</v>
      </c>
    </row>
    <row r="7" spans="1:22" ht="13.5" customHeight="1">
      <c r="B7" s="130" t="s">
        <v>95</v>
      </c>
      <c r="C7" s="131"/>
      <c r="D7" s="132"/>
      <c r="E7" s="133"/>
      <c r="F7" s="134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6"/>
      <c r="V7" s="134"/>
    </row>
    <row r="8" spans="1:22" ht="13.5" customHeight="1">
      <c r="B8" s="137"/>
      <c r="C8" s="138"/>
      <c r="D8" s="139">
        <f>2019</f>
        <v>2019</v>
      </c>
      <c r="E8" s="140">
        <f t="shared" ref="E8:E81" ca="1" si="5">OFFSET($F8,0,시나리오)</f>
        <v>320.34300000000002</v>
      </c>
      <c r="F8" s="134"/>
      <c r="G8" s="141">
        <v>320.34300000000002</v>
      </c>
      <c r="H8" s="141">
        <v>320.34300000000002</v>
      </c>
      <c r="I8" s="141">
        <v>320.34300000000002</v>
      </c>
      <c r="J8" s="141">
        <v>320.34300000000002</v>
      </c>
      <c r="K8" s="141">
        <v>320.34300000000002</v>
      </c>
      <c r="L8" s="141">
        <v>320.34300000000002</v>
      </c>
      <c r="M8" s="141">
        <v>320.34300000000002</v>
      </c>
      <c r="N8" s="141">
        <v>320.34300000000002</v>
      </c>
      <c r="O8" s="141">
        <v>320.34300000000002</v>
      </c>
      <c r="P8" s="141">
        <v>320.34300000000002</v>
      </c>
      <c r="Q8" s="141">
        <f>G8</f>
        <v>320.34300000000002</v>
      </c>
      <c r="R8" s="141">
        <f t="shared" ref="R8:R71" si="6">H8</f>
        <v>320.34300000000002</v>
      </c>
      <c r="S8" s="141">
        <f t="shared" ref="S8:S71" si="7">I8</f>
        <v>320.34300000000002</v>
      </c>
      <c r="T8" s="141">
        <f t="shared" ref="T8:T71" si="8">J8</f>
        <v>320.34300000000002</v>
      </c>
      <c r="U8" s="136"/>
      <c r="V8" s="134"/>
    </row>
    <row r="9" spans="1:22" ht="13.5" hidden="1" customHeight="1" outlineLevel="1">
      <c r="B9" s="137"/>
      <c r="C9" s="142"/>
      <c r="D9" s="143">
        <f t="shared" ref="D9:D48" si="9">D8+1</f>
        <v>2020</v>
      </c>
      <c r="E9" s="133">
        <f t="shared" ca="1" si="5"/>
        <v>352.19400000000002</v>
      </c>
      <c r="F9" s="134"/>
      <c r="G9" s="144">
        <v>352.19400000000002</v>
      </c>
      <c r="H9" s="144">
        <v>352.19400000000002</v>
      </c>
      <c r="I9" s="144">
        <v>352.19400000000002</v>
      </c>
      <c r="J9" s="144">
        <v>352.19400000000002</v>
      </c>
      <c r="K9" s="144">
        <v>352.19400000000002</v>
      </c>
      <c r="L9" s="144">
        <v>352.19400000000002</v>
      </c>
      <c r="M9" s="144">
        <v>352.19400000000002</v>
      </c>
      <c r="N9" s="144">
        <v>352.19400000000002</v>
      </c>
      <c r="O9" s="144">
        <v>352.19400000000002</v>
      </c>
      <c r="P9" s="144">
        <v>352.19400000000002</v>
      </c>
      <c r="Q9" s="144">
        <f t="shared" ref="Q9:Q72" si="10">G9</f>
        <v>352.19400000000002</v>
      </c>
      <c r="R9" s="144">
        <f t="shared" si="6"/>
        <v>352.19400000000002</v>
      </c>
      <c r="S9" s="144">
        <f t="shared" si="7"/>
        <v>352.19400000000002</v>
      </c>
      <c r="T9" s="144">
        <f t="shared" si="8"/>
        <v>352.19400000000002</v>
      </c>
      <c r="U9" s="136"/>
      <c r="V9" s="134"/>
    </row>
    <row r="10" spans="1:22" ht="13.5" hidden="1" customHeight="1" outlineLevel="1">
      <c r="B10" s="137"/>
      <c r="C10" s="142"/>
      <c r="D10" s="143">
        <f t="shared" si="9"/>
        <v>2021</v>
      </c>
      <c r="E10" s="133">
        <f t="shared" ca="1" si="5"/>
        <v>314.43599999999998</v>
      </c>
      <c r="F10" s="134"/>
      <c r="G10" s="145">
        <f>연도별매출!$AP$5/1000</f>
        <v>314.43599999999998</v>
      </c>
      <c r="H10" s="145">
        <f>연도별매출!$AP$5/1000</f>
        <v>314.43599999999998</v>
      </c>
      <c r="I10" s="145">
        <f>연도별매출!$AP$5/1000</f>
        <v>314.43599999999998</v>
      </c>
      <c r="J10" s="145">
        <f>연도별매출!$AP$5/1000</f>
        <v>314.43599999999998</v>
      </c>
      <c r="K10" s="145">
        <f>연도별매출!$AP$5/1000</f>
        <v>314.43599999999998</v>
      </c>
      <c r="L10" s="145">
        <f>연도별매출!$AP$5/1000</f>
        <v>314.43599999999998</v>
      </c>
      <c r="M10" s="145">
        <f>연도별매출!$AP$5/1000</f>
        <v>314.43599999999998</v>
      </c>
      <c r="N10" s="145">
        <f>연도별매출!$AP$5/1000</f>
        <v>314.43599999999998</v>
      </c>
      <c r="O10" s="145">
        <v>314.43599999999998</v>
      </c>
      <c r="P10" s="145">
        <f>연도별매출!$AP$5/1000</f>
        <v>314.43599999999998</v>
      </c>
      <c r="Q10" s="145">
        <f t="shared" si="10"/>
        <v>314.43599999999998</v>
      </c>
      <c r="R10" s="145">
        <f t="shared" si="6"/>
        <v>314.43599999999998</v>
      </c>
      <c r="S10" s="145">
        <f t="shared" si="7"/>
        <v>314.43599999999998</v>
      </c>
      <c r="T10" s="145">
        <f t="shared" si="8"/>
        <v>314.43599999999998</v>
      </c>
      <c r="U10" s="136"/>
      <c r="V10" s="134"/>
    </row>
    <row r="11" spans="1:22" ht="13.5" hidden="1" customHeight="1" outlineLevel="1">
      <c r="B11" s="137"/>
      <c r="C11" s="142"/>
      <c r="D11" s="143">
        <f t="shared" si="9"/>
        <v>2022</v>
      </c>
      <c r="E11" s="133">
        <f ca="1">OFFSET($F11,0,시나리오)</f>
        <v>310</v>
      </c>
      <c r="F11" s="134"/>
      <c r="G11" s="146">
        <v>310</v>
      </c>
      <c r="H11" s="146">
        <v>310</v>
      </c>
      <c r="I11" s="146">
        <v>310</v>
      </c>
      <c r="J11" s="146">
        <v>310</v>
      </c>
      <c r="K11" s="146">
        <v>310</v>
      </c>
      <c r="L11" s="146">
        <v>310</v>
      </c>
      <c r="M11" s="146">
        <v>310</v>
      </c>
      <c r="N11" s="146">
        <v>310</v>
      </c>
      <c r="O11" s="146">
        <v>310</v>
      </c>
      <c r="P11" s="146">
        <v>310</v>
      </c>
      <c r="Q11" s="146">
        <f t="shared" si="10"/>
        <v>310</v>
      </c>
      <c r="R11" s="146">
        <f t="shared" si="6"/>
        <v>310</v>
      </c>
      <c r="S11" s="146">
        <f t="shared" si="7"/>
        <v>310</v>
      </c>
      <c r="T11" s="146">
        <f t="shared" si="8"/>
        <v>310</v>
      </c>
      <c r="U11" s="136"/>
      <c r="V11" s="134"/>
    </row>
    <row r="12" spans="1:22" ht="13.5" hidden="1" customHeight="1" outlineLevel="1">
      <c r="B12" s="137"/>
      <c r="C12" s="142"/>
      <c r="D12" s="143">
        <f t="shared" si="9"/>
        <v>2023</v>
      </c>
      <c r="E12" s="133">
        <f t="shared" ca="1" si="5"/>
        <v>320</v>
      </c>
      <c r="F12" s="134"/>
      <c r="G12" s="146">
        <v>320</v>
      </c>
      <c r="H12" s="146">
        <v>320</v>
      </c>
      <c r="I12" s="146">
        <v>320</v>
      </c>
      <c r="J12" s="146">
        <v>320</v>
      </c>
      <c r="K12" s="146">
        <v>320</v>
      </c>
      <c r="L12" s="146">
        <v>320</v>
      </c>
      <c r="M12" s="146">
        <v>320</v>
      </c>
      <c r="N12" s="146">
        <v>320</v>
      </c>
      <c r="O12" s="146">
        <v>320</v>
      </c>
      <c r="P12" s="146">
        <v>320</v>
      </c>
      <c r="Q12" s="146">
        <f t="shared" si="10"/>
        <v>320</v>
      </c>
      <c r="R12" s="146">
        <f t="shared" si="6"/>
        <v>320</v>
      </c>
      <c r="S12" s="146">
        <f t="shared" si="7"/>
        <v>320</v>
      </c>
      <c r="T12" s="146">
        <f t="shared" si="8"/>
        <v>320</v>
      </c>
      <c r="U12" s="136"/>
      <c r="V12" s="134"/>
    </row>
    <row r="13" spans="1:22" ht="13.5" hidden="1" customHeight="1" outlineLevel="1">
      <c r="B13" s="137"/>
      <c r="C13" s="147"/>
      <c r="D13" s="148">
        <f t="shared" si="9"/>
        <v>2024</v>
      </c>
      <c r="E13" s="149">
        <f t="shared" ca="1" si="5"/>
        <v>330</v>
      </c>
      <c r="F13" s="150"/>
      <c r="G13" s="151">
        <v>330</v>
      </c>
      <c r="H13" s="151">
        <v>330</v>
      </c>
      <c r="I13" s="151">
        <v>330</v>
      </c>
      <c r="J13" s="151">
        <v>330</v>
      </c>
      <c r="K13" s="151">
        <v>330</v>
      </c>
      <c r="L13" s="151">
        <v>330</v>
      </c>
      <c r="M13" s="151">
        <v>330</v>
      </c>
      <c r="N13" s="151">
        <v>330</v>
      </c>
      <c r="O13" s="151">
        <v>330</v>
      </c>
      <c r="P13" s="151">
        <v>330</v>
      </c>
      <c r="Q13" s="151">
        <f t="shared" si="10"/>
        <v>330</v>
      </c>
      <c r="R13" s="151">
        <f t="shared" si="6"/>
        <v>330</v>
      </c>
      <c r="S13" s="151">
        <f t="shared" si="7"/>
        <v>330</v>
      </c>
      <c r="T13" s="151">
        <f t="shared" si="8"/>
        <v>330</v>
      </c>
      <c r="U13" s="136"/>
      <c r="V13" s="134"/>
    </row>
    <row r="14" spans="1:22" ht="13.5" hidden="1" customHeight="1" outlineLevel="1">
      <c r="B14" s="137"/>
      <c r="C14" s="138"/>
      <c r="D14" s="139">
        <f t="shared" si="9"/>
        <v>2025</v>
      </c>
      <c r="E14" s="140">
        <f t="shared" ca="1" si="5"/>
        <v>340</v>
      </c>
      <c r="F14" s="152"/>
      <c r="G14" s="153">
        <v>340</v>
      </c>
      <c r="H14" s="153">
        <v>340</v>
      </c>
      <c r="I14" s="153">
        <v>340</v>
      </c>
      <c r="J14" s="153">
        <v>340</v>
      </c>
      <c r="K14" s="153">
        <v>340</v>
      </c>
      <c r="L14" s="153">
        <v>340</v>
      </c>
      <c r="M14" s="153">
        <v>340</v>
      </c>
      <c r="N14" s="153">
        <v>340</v>
      </c>
      <c r="O14" s="153">
        <v>340</v>
      </c>
      <c r="P14" s="153">
        <v>340</v>
      </c>
      <c r="Q14" s="153">
        <f t="shared" si="10"/>
        <v>340</v>
      </c>
      <c r="R14" s="153">
        <f t="shared" si="6"/>
        <v>340</v>
      </c>
      <c r="S14" s="153">
        <f t="shared" si="7"/>
        <v>340</v>
      </c>
      <c r="T14" s="153">
        <f t="shared" si="8"/>
        <v>340</v>
      </c>
      <c r="U14" s="136"/>
      <c r="V14" s="134"/>
    </row>
    <row r="15" spans="1:22" ht="13.5" hidden="1" customHeight="1" outlineLevel="1">
      <c r="B15" s="137"/>
      <c r="C15" s="142"/>
      <c r="D15" s="143">
        <f t="shared" si="9"/>
        <v>2026</v>
      </c>
      <c r="E15" s="133">
        <f t="shared" ca="1" si="5"/>
        <v>350</v>
      </c>
      <c r="F15" s="134"/>
      <c r="G15" s="146">
        <v>350</v>
      </c>
      <c r="H15" s="146">
        <v>350</v>
      </c>
      <c r="I15" s="146">
        <v>350</v>
      </c>
      <c r="J15" s="146">
        <v>350</v>
      </c>
      <c r="K15" s="146">
        <v>350</v>
      </c>
      <c r="L15" s="146">
        <v>350</v>
      </c>
      <c r="M15" s="146">
        <v>350</v>
      </c>
      <c r="N15" s="146">
        <v>350</v>
      </c>
      <c r="O15" s="146">
        <v>350</v>
      </c>
      <c r="P15" s="146">
        <v>350</v>
      </c>
      <c r="Q15" s="146">
        <f t="shared" si="10"/>
        <v>350</v>
      </c>
      <c r="R15" s="146">
        <f t="shared" si="6"/>
        <v>350</v>
      </c>
      <c r="S15" s="146">
        <f t="shared" si="7"/>
        <v>350</v>
      </c>
      <c r="T15" s="146">
        <f t="shared" si="8"/>
        <v>350</v>
      </c>
      <c r="U15" s="136"/>
      <c r="V15" s="134"/>
    </row>
    <row r="16" spans="1:22" ht="13.5" hidden="1" customHeight="1" outlineLevel="1">
      <c r="B16" s="137"/>
      <c r="C16" s="142"/>
      <c r="D16" s="143">
        <f t="shared" si="9"/>
        <v>2027</v>
      </c>
      <c r="E16" s="133">
        <f t="shared" ca="1" si="5"/>
        <v>360</v>
      </c>
      <c r="F16" s="134"/>
      <c r="G16" s="146">
        <v>360</v>
      </c>
      <c r="H16" s="146">
        <v>360</v>
      </c>
      <c r="I16" s="146">
        <v>360</v>
      </c>
      <c r="J16" s="146">
        <v>360</v>
      </c>
      <c r="K16" s="146">
        <v>360</v>
      </c>
      <c r="L16" s="146">
        <v>360</v>
      </c>
      <c r="M16" s="146">
        <v>360</v>
      </c>
      <c r="N16" s="146">
        <v>360</v>
      </c>
      <c r="O16" s="146">
        <v>360</v>
      </c>
      <c r="P16" s="146">
        <v>360</v>
      </c>
      <c r="Q16" s="146">
        <f t="shared" si="10"/>
        <v>360</v>
      </c>
      <c r="R16" s="146">
        <f t="shared" si="6"/>
        <v>360</v>
      </c>
      <c r="S16" s="146">
        <f t="shared" si="7"/>
        <v>360</v>
      </c>
      <c r="T16" s="146">
        <f t="shared" si="8"/>
        <v>360</v>
      </c>
      <c r="U16" s="136"/>
      <c r="V16" s="134"/>
    </row>
    <row r="17" spans="2:25" ht="13.5" hidden="1" customHeight="1" outlineLevel="1">
      <c r="B17" s="137"/>
      <c r="C17" s="142"/>
      <c r="D17" s="143">
        <f t="shared" si="9"/>
        <v>2028</v>
      </c>
      <c r="E17" s="133">
        <f t="shared" ca="1" si="5"/>
        <v>370</v>
      </c>
      <c r="F17" s="134"/>
      <c r="G17" s="146">
        <v>370</v>
      </c>
      <c r="H17" s="146">
        <v>370</v>
      </c>
      <c r="I17" s="146">
        <v>370</v>
      </c>
      <c r="J17" s="146">
        <v>370</v>
      </c>
      <c r="K17" s="146">
        <v>370</v>
      </c>
      <c r="L17" s="146">
        <v>370</v>
      </c>
      <c r="M17" s="146">
        <v>370</v>
      </c>
      <c r="N17" s="146">
        <v>370</v>
      </c>
      <c r="O17" s="146">
        <v>370</v>
      </c>
      <c r="P17" s="146">
        <v>370</v>
      </c>
      <c r="Q17" s="146">
        <f t="shared" si="10"/>
        <v>370</v>
      </c>
      <c r="R17" s="146">
        <f t="shared" si="6"/>
        <v>370</v>
      </c>
      <c r="S17" s="146">
        <f t="shared" si="7"/>
        <v>370</v>
      </c>
      <c r="T17" s="146">
        <f t="shared" si="8"/>
        <v>370</v>
      </c>
      <c r="U17" s="136"/>
      <c r="V17" s="134"/>
    </row>
    <row r="18" spans="2:25" ht="13.5" hidden="1" customHeight="1" outlineLevel="1">
      <c r="B18" s="137"/>
      <c r="C18" s="142"/>
      <c r="D18" s="143">
        <f t="shared" si="9"/>
        <v>2029</v>
      </c>
      <c r="E18" s="133">
        <f t="shared" ca="1" si="5"/>
        <v>380</v>
      </c>
      <c r="F18" s="134"/>
      <c r="G18" s="146">
        <v>380</v>
      </c>
      <c r="H18" s="146">
        <v>380</v>
      </c>
      <c r="I18" s="146">
        <v>380</v>
      </c>
      <c r="J18" s="146">
        <v>380</v>
      </c>
      <c r="K18" s="146">
        <v>380</v>
      </c>
      <c r="L18" s="146">
        <v>380</v>
      </c>
      <c r="M18" s="146">
        <v>380</v>
      </c>
      <c r="N18" s="146">
        <v>380</v>
      </c>
      <c r="O18" s="146">
        <v>380</v>
      </c>
      <c r="P18" s="146">
        <v>380</v>
      </c>
      <c r="Q18" s="146">
        <f t="shared" si="10"/>
        <v>380</v>
      </c>
      <c r="R18" s="146">
        <f t="shared" si="6"/>
        <v>380</v>
      </c>
      <c r="S18" s="146">
        <f t="shared" si="7"/>
        <v>380</v>
      </c>
      <c r="T18" s="146">
        <f t="shared" si="8"/>
        <v>380</v>
      </c>
      <c r="U18" s="136"/>
      <c r="V18" s="134"/>
    </row>
    <row r="19" spans="2:25" ht="13.5" hidden="1" customHeight="1" outlineLevel="1">
      <c r="B19" s="137"/>
      <c r="C19" s="142"/>
      <c r="D19" s="154">
        <f t="shared" si="9"/>
        <v>2030</v>
      </c>
      <c r="E19" s="155">
        <f t="shared" ca="1" si="5"/>
        <v>390</v>
      </c>
      <c r="F19" s="156"/>
      <c r="G19" s="157">
        <v>390</v>
      </c>
      <c r="H19" s="157">
        <v>390</v>
      </c>
      <c r="I19" s="157">
        <v>390</v>
      </c>
      <c r="J19" s="157">
        <v>390</v>
      </c>
      <c r="K19" s="157">
        <v>390</v>
      </c>
      <c r="L19" s="157">
        <v>390</v>
      </c>
      <c r="M19" s="157">
        <v>390</v>
      </c>
      <c r="N19" s="157">
        <v>390</v>
      </c>
      <c r="O19" s="157">
        <v>390</v>
      </c>
      <c r="P19" s="157">
        <v>390</v>
      </c>
      <c r="Q19" s="157">
        <f t="shared" si="10"/>
        <v>390</v>
      </c>
      <c r="R19" s="157">
        <f t="shared" si="6"/>
        <v>390</v>
      </c>
      <c r="S19" s="157">
        <f t="shared" si="7"/>
        <v>390</v>
      </c>
      <c r="T19" s="157">
        <f t="shared" si="8"/>
        <v>390</v>
      </c>
      <c r="U19" s="136"/>
      <c r="V19" s="134"/>
    </row>
    <row r="20" spans="2:25" ht="13.5" hidden="1" customHeight="1" outlineLevel="1">
      <c r="B20" s="137"/>
      <c r="C20" s="138"/>
      <c r="D20" s="139">
        <f t="shared" si="9"/>
        <v>2031</v>
      </c>
      <c r="E20" s="140">
        <f t="shared" ca="1" si="5"/>
        <v>394</v>
      </c>
      <c r="F20" s="152"/>
      <c r="G20" s="153">
        <v>394</v>
      </c>
      <c r="H20" s="153">
        <v>394</v>
      </c>
      <c r="I20" s="153">
        <v>394</v>
      </c>
      <c r="J20" s="153">
        <v>394</v>
      </c>
      <c r="K20" s="153">
        <v>394</v>
      </c>
      <c r="L20" s="153">
        <v>394</v>
      </c>
      <c r="M20" s="153">
        <v>394</v>
      </c>
      <c r="N20" s="153">
        <v>394</v>
      </c>
      <c r="O20" s="153">
        <v>394</v>
      </c>
      <c r="P20" s="153">
        <v>394</v>
      </c>
      <c r="Q20" s="153">
        <f t="shared" si="10"/>
        <v>394</v>
      </c>
      <c r="R20" s="153">
        <f t="shared" si="6"/>
        <v>394</v>
      </c>
      <c r="S20" s="153">
        <f t="shared" si="7"/>
        <v>394</v>
      </c>
      <c r="T20" s="153">
        <f t="shared" si="8"/>
        <v>394</v>
      </c>
      <c r="U20" s="136"/>
      <c r="V20" s="134"/>
    </row>
    <row r="21" spans="2:25" ht="13.5" hidden="1" customHeight="1" outlineLevel="1">
      <c r="B21" s="137"/>
      <c r="C21" s="142"/>
      <c r="D21" s="143">
        <f t="shared" si="9"/>
        <v>2032</v>
      </c>
      <c r="E21" s="133">
        <f t="shared" ca="1" si="5"/>
        <v>398</v>
      </c>
      <c r="F21" s="134"/>
      <c r="G21" s="146">
        <v>398</v>
      </c>
      <c r="H21" s="146">
        <v>398</v>
      </c>
      <c r="I21" s="146">
        <v>398</v>
      </c>
      <c r="J21" s="146">
        <v>398</v>
      </c>
      <c r="K21" s="146">
        <v>398</v>
      </c>
      <c r="L21" s="146">
        <v>398</v>
      </c>
      <c r="M21" s="146">
        <v>398</v>
      </c>
      <c r="N21" s="146">
        <v>398</v>
      </c>
      <c r="O21" s="146">
        <v>398</v>
      </c>
      <c r="P21" s="146">
        <v>398</v>
      </c>
      <c r="Q21" s="146">
        <f t="shared" si="10"/>
        <v>398</v>
      </c>
      <c r="R21" s="146">
        <f t="shared" si="6"/>
        <v>398</v>
      </c>
      <c r="S21" s="146">
        <f t="shared" si="7"/>
        <v>398</v>
      </c>
      <c r="T21" s="146">
        <f t="shared" si="8"/>
        <v>398</v>
      </c>
      <c r="U21" s="136"/>
      <c r="V21" s="134"/>
    </row>
    <row r="22" spans="2:25" ht="13.5" hidden="1" customHeight="1" outlineLevel="1">
      <c r="B22" s="137"/>
      <c r="C22" s="142"/>
      <c r="D22" s="143">
        <f t="shared" si="9"/>
        <v>2033</v>
      </c>
      <c r="E22" s="133">
        <f t="shared" ca="1" si="5"/>
        <v>402</v>
      </c>
      <c r="F22" s="134"/>
      <c r="G22" s="146">
        <v>402</v>
      </c>
      <c r="H22" s="146">
        <v>402</v>
      </c>
      <c r="I22" s="146">
        <v>402</v>
      </c>
      <c r="J22" s="146">
        <v>402</v>
      </c>
      <c r="K22" s="146">
        <v>402</v>
      </c>
      <c r="L22" s="146">
        <v>402</v>
      </c>
      <c r="M22" s="146">
        <v>402</v>
      </c>
      <c r="N22" s="146">
        <v>402</v>
      </c>
      <c r="O22" s="146">
        <v>402</v>
      </c>
      <c r="P22" s="146">
        <v>402</v>
      </c>
      <c r="Q22" s="146">
        <f t="shared" si="10"/>
        <v>402</v>
      </c>
      <c r="R22" s="146">
        <f t="shared" si="6"/>
        <v>402</v>
      </c>
      <c r="S22" s="146">
        <f t="shared" si="7"/>
        <v>402</v>
      </c>
      <c r="T22" s="146">
        <f t="shared" si="8"/>
        <v>402</v>
      </c>
      <c r="U22" s="136"/>
      <c r="V22" s="134"/>
    </row>
    <row r="23" spans="2:25" ht="13.5" hidden="1" customHeight="1" outlineLevel="1">
      <c r="B23" s="137"/>
      <c r="C23" s="142"/>
      <c r="D23" s="143">
        <f t="shared" si="9"/>
        <v>2034</v>
      </c>
      <c r="E23" s="133">
        <f t="shared" ca="1" si="5"/>
        <v>406</v>
      </c>
      <c r="F23" s="134"/>
      <c r="G23" s="146">
        <v>406</v>
      </c>
      <c r="H23" s="146">
        <v>406</v>
      </c>
      <c r="I23" s="146">
        <v>406</v>
      </c>
      <c r="J23" s="146">
        <v>406</v>
      </c>
      <c r="K23" s="146">
        <v>406</v>
      </c>
      <c r="L23" s="146">
        <v>406</v>
      </c>
      <c r="M23" s="146">
        <v>406</v>
      </c>
      <c r="N23" s="146">
        <v>406</v>
      </c>
      <c r="O23" s="146">
        <v>406</v>
      </c>
      <c r="P23" s="146">
        <v>406</v>
      </c>
      <c r="Q23" s="146">
        <f t="shared" si="10"/>
        <v>406</v>
      </c>
      <c r="R23" s="146">
        <f t="shared" si="6"/>
        <v>406</v>
      </c>
      <c r="S23" s="146">
        <f t="shared" si="7"/>
        <v>406</v>
      </c>
      <c r="T23" s="146">
        <f t="shared" si="8"/>
        <v>406</v>
      </c>
      <c r="U23" s="136"/>
      <c r="V23" s="134"/>
    </row>
    <row r="24" spans="2:25" ht="13.5" hidden="1" customHeight="1" outlineLevel="1">
      <c r="B24" s="137"/>
      <c r="C24" s="142"/>
      <c r="D24" s="143">
        <f t="shared" si="9"/>
        <v>2035</v>
      </c>
      <c r="E24" s="133">
        <f t="shared" ca="1" si="5"/>
        <v>410</v>
      </c>
      <c r="F24" s="134"/>
      <c r="G24" s="146">
        <v>410</v>
      </c>
      <c r="H24" s="146">
        <v>410</v>
      </c>
      <c r="I24" s="146">
        <v>410</v>
      </c>
      <c r="J24" s="146">
        <v>410</v>
      </c>
      <c r="K24" s="146">
        <v>410</v>
      </c>
      <c r="L24" s="146">
        <v>410</v>
      </c>
      <c r="M24" s="146">
        <v>410</v>
      </c>
      <c r="N24" s="146">
        <v>410</v>
      </c>
      <c r="O24" s="146">
        <v>410</v>
      </c>
      <c r="P24" s="146">
        <v>410</v>
      </c>
      <c r="Q24" s="146">
        <f t="shared" si="10"/>
        <v>410</v>
      </c>
      <c r="R24" s="146">
        <f t="shared" si="6"/>
        <v>410</v>
      </c>
      <c r="S24" s="146">
        <f t="shared" si="7"/>
        <v>410</v>
      </c>
      <c r="T24" s="146">
        <f t="shared" si="8"/>
        <v>410</v>
      </c>
      <c r="U24" s="136"/>
      <c r="V24" s="134"/>
    </row>
    <row r="25" spans="2:25" ht="13.5" hidden="1" customHeight="1" outlineLevel="1">
      <c r="B25" s="137"/>
      <c r="C25" s="142"/>
      <c r="D25" s="143">
        <f t="shared" si="9"/>
        <v>2036</v>
      </c>
      <c r="E25" s="133">
        <f t="shared" ca="1" si="5"/>
        <v>414</v>
      </c>
      <c r="F25" s="134"/>
      <c r="G25" s="146">
        <v>414</v>
      </c>
      <c r="H25" s="146">
        <v>414</v>
      </c>
      <c r="I25" s="146">
        <v>414</v>
      </c>
      <c r="J25" s="146">
        <v>414</v>
      </c>
      <c r="K25" s="146">
        <v>414</v>
      </c>
      <c r="L25" s="146">
        <v>414</v>
      </c>
      <c r="M25" s="146">
        <v>414</v>
      </c>
      <c r="N25" s="146">
        <v>414</v>
      </c>
      <c r="O25" s="146">
        <v>414</v>
      </c>
      <c r="P25" s="146">
        <v>414</v>
      </c>
      <c r="Q25" s="146">
        <f t="shared" si="10"/>
        <v>414</v>
      </c>
      <c r="R25" s="146">
        <f t="shared" si="6"/>
        <v>414</v>
      </c>
      <c r="S25" s="146">
        <f t="shared" si="7"/>
        <v>414</v>
      </c>
      <c r="T25" s="146">
        <f t="shared" si="8"/>
        <v>414</v>
      </c>
      <c r="U25" s="136"/>
      <c r="V25" s="134"/>
    </row>
    <row r="26" spans="2:25" ht="13.5" hidden="1" customHeight="1" outlineLevel="1">
      <c r="B26" s="137"/>
      <c r="C26" s="142"/>
      <c r="D26" s="143">
        <f t="shared" si="9"/>
        <v>2037</v>
      </c>
      <c r="E26" s="133">
        <f t="shared" ca="1" si="5"/>
        <v>418</v>
      </c>
      <c r="F26" s="134"/>
      <c r="G26" s="146">
        <v>418</v>
      </c>
      <c r="H26" s="146">
        <v>418</v>
      </c>
      <c r="I26" s="146">
        <v>418</v>
      </c>
      <c r="J26" s="146">
        <v>418</v>
      </c>
      <c r="K26" s="146">
        <v>418</v>
      </c>
      <c r="L26" s="146">
        <v>418</v>
      </c>
      <c r="M26" s="146">
        <v>418</v>
      </c>
      <c r="N26" s="146">
        <v>418</v>
      </c>
      <c r="O26" s="146">
        <v>418</v>
      </c>
      <c r="P26" s="146">
        <v>418</v>
      </c>
      <c r="Q26" s="146">
        <f t="shared" si="10"/>
        <v>418</v>
      </c>
      <c r="R26" s="146">
        <f t="shared" si="6"/>
        <v>418</v>
      </c>
      <c r="S26" s="146">
        <f t="shared" si="7"/>
        <v>418</v>
      </c>
      <c r="T26" s="146">
        <f t="shared" si="8"/>
        <v>418</v>
      </c>
      <c r="U26" s="136"/>
      <c r="V26" s="134"/>
    </row>
    <row r="27" spans="2:25" ht="13.5" hidden="1" customHeight="1" outlineLevel="1">
      <c r="B27" s="137"/>
      <c r="C27" s="142"/>
      <c r="D27" s="143">
        <f t="shared" si="9"/>
        <v>2038</v>
      </c>
      <c r="E27" s="133">
        <f t="shared" ca="1" si="5"/>
        <v>422</v>
      </c>
      <c r="F27" s="134"/>
      <c r="G27" s="146">
        <v>422</v>
      </c>
      <c r="H27" s="146">
        <v>422</v>
      </c>
      <c r="I27" s="146">
        <v>422</v>
      </c>
      <c r="J27" s="146">
        <v>422</v>
      </c>
      <c r="K27" s="146">
        <v>422</v>
      </c>
      <c r="L27" s="146">
        <v>422</v>
      </c>
      <c r="M27" s="146">
        <v>422</v>
      </c>
      <c r="N27" s="146">
        <v>422</v>
      </c>
      <c r="O27" s="146">
        <v>422</v>
      </c>
      <c r="P27" s="146">
        <v>422</v>
      </c>
      <c r="Q27" s="146">
        <f t="shared" si="10"/>
        <v>422</v>
      </c>
      <c r="R27" s="146">
        <f t="shared" si="6"/>
        <v>422</v>
      </c>
      <c r="S27" s="146">
        <f t="shared" si="7"/>
        <v>422</v>
      </c>
      <c r="T27" s="146">
        <f t="shared" si="8"/>
        <v>422</v>
      </c>
      <c r="U27" s="136"/>
      <c r="V27" s="134"/>
    </row>
    <row r="28" spans="2:25" ht="13.5" hidden="1" customHeight="1" outlineLevel="1">
      <c r="B28" s="137"/>
      <c r="C28" s="142"/>
      <c r="D28" s="143">
        <f t="shared" si="9"/>
        <v>2039</v>
      </c>
      <c r="E28" s="133">
        <f t="shared" ca="1" si="5"/>
        <v>426</v>
      </c>
      <c r="F28" s="134"/>
      <c r="G28" s="146">
        <v>426</v>
      </c>
      <c r="H28" s="146">
        <v>426</v>
      </c>
      <c r="I28" s="146">
        <v>426</v>
      </c>
      <c r="J28" s="146">
        <v>426</v>
      </c>
      <c r="K28" s="146">
        <v>426</v>
      </c>
      <c r="L28" s="146">
        <v>426</v>
      </c>
      <c r="M28" s="146">
        <v>426</v>
      </c>
      <c r="N28" s="146">
        <v>426</v>
      </c>
      <c r="O28" s="146">
        <v>426</v>
      </c>
      <c r="P28" s="146">
        <v>426</v>
      </c>
      <c r="Q28" s="146">
        <f t="shared" si="10"/>
        <v>426</v>
      </c>
      <c r="R28" s="146">
        <f t="shared" si="6"/>
        <v>426</v>
      </c>
      <c r="S28" s="146">
        <f t="shared" si="7"/>
        <v>426</v>
      </c>
      <c r="T28" s="146">
        <f t="shared" si="8"/>
        <v>426</v>
      </c>
      <c r="U28" s="136"/>
      <c r="V28" s="134"/>
    </row>
    <row r="29" spans="2:25" ht="13.5" hidden="1" customHeight="1" outlineLevel="1">
      <c r="B29" s="137"/>
      <c r="C29" s="158"/>
      <c r="D29" s="148">
        <f t="shared" si="9"/>
        <v>2040</v>
      </c>
      <c r="E29" s="149">
        <f t="shared" ca="1" si="5"/>
        <v>430</v>
      </c>
      <c r="F29" s="150"/>
      <c r="G29" s="151">
        <v>430</v>
      </c>
      <c r="H29" s="151">
        <v>430</v>
      </c>
      <c r="I29" s="151">
        <v>430</v>
      </c>
      <c r="J29" s="151">
        <v>430</v>
      </c>
      <c r="K29" s="151">
        <v>430</v>
      </c>
      <c r="L29" s="151">
        <v>430</v>
      </c>
      <c r="M29" s="151">
        <v>430</v>
      </c>
      <c r="N29" s="151">
        <v>430</v>
      </c>
      <c r="O29" s="151">
        <v>430</v>
      </c>
      <c r="P29" s="151">
        <v>430</v>
      </c>
      <c r="Q29" s="151">
        <f t="shared" si="10"/>
        <v>430</v>
      </c>
      <c r="R29" s="151">
        <f t="shared" si="6"/>
        <v>430</v>
      </c>
      <c r="S29" s="151">
        <f t="shared" si="7"/>
        <v>430</v>
      </c>
      <c r="T29" s="151">
        <f t="shared" si="8"/>
        <v>430</v>
      </c>
    </row>
    <row r="30" spans="2:25" ht="13.5" hidden="1" customHeight="1" outlineLevel="1">
      <c r="B30" s="137"/>
      <c r="C30" s="142"/>
      <c r="D30" s="143">
        <f t="shared" si="9"/>
        <v>2041</v>
      </c>
      <c r="E30" s="133">
        <f t="shared" ca="1" si="5"/>
        <v>434</v>
      </c>
      <c r="F30" s="134"/>
      <c r="G30" s="146">
        <v>434</v>
      </c>
      <c r="H30" s="146">
        <v>434</v>
      </c>
      <c r="I30" s="146">
        <v>434</v>
      </c>
      <c r="J30" s="146">
        <v>434</v>
      </c>
      <c r="K30" s="146">
        <v>434</v>
      </c>
      <c r="L30" s="146">
        <v>434</v>
      </c>
      <c r="M30" s="146">
        <v>434</v>
      </c>
      <c r="N30" s="146">
        <v>434</v>
      </c>
      <c r="O30" s="146">
        <v>434</v>
      </c>
      <c r="P30" s="146">
        <v>434</v>
      </c>
      <c r="Q30" s="146">
        <f t="shared" si="10"/>
        <v>434</v>
      </c>
      <c r="R30" s="146">
        <f t="shared" si="6"/>
        <v>434</v>
      </c>
      <c r="S30" s="146">
        <f t="shared" si="7"/>
        <v>434</v>
      </c>
      <c r="T30" s="146">
        <f t="shared" si="8"/>
        <v>434</v>
      </c>
    </row>
    <row r="31" spans="2:25" ht="13.5" hidden="1" customHeight="1" outlineLevel="1">
      <c r="B31" s="137"/>
      <c r="C31" s="142"/>
      <c r="D31" s="143">
        <f t="shared" si="9"/>
        <v>2042</v>
      </c>
      <c r="E31" s="133">
        <f t="shared" ca="1" si="5"/>
        <v>438</v>
      </c>
      <c r="F31" s="134"/>
      <c r="G31" s="146">
        <v>438</v>
      </c>
      <c r="H31" s="146">
        <v>438</v>
      </c>
      <c r="I31" s="146">
        <v>438</v>
      </c>
      <c r="J31" s="146">
        <v>438</v>
      </c>
      <c r="K31" s="146">
        <v>438</v>
      </c>
      <c r="L31" s="146">
        <v>438</v>
      </c>
      <c r="M31" s="146">
        <v>438</v>
      </c>
      <c r="N31" s="146">
        <v>438</v>
      </c>
      <c r="O31" s="146">
        <v>438</v>
      </c>
      <c r="P31" s="146">
        <v>438</v>
      </c>
      <c r="Q31" s="146">
        <f t="shared" si="10"/>
        <v>438</v>
      </c>
      <c r="R31" s="146">
        <f t="shared" si="6"/>
        <v>438</v>
      </c>
      <c r="S31" s="146">
        <f t="shared" si="7"/>
        <v>438</v>
      </c>
      <c r="T31" s="146">
        <f t="shared" si="8"/>
        <v>438</v>
      </c>
    </row>
    <row r="32" spans="2:25" ht="13.5" hidden="1" customHeight="1" outlineLevel="1">
      <c r="B32" s="137"/>
      <c r="C32" s="142"/>
      <c r="D32" s="143">
        <f t="shared" si="9"/>
        <v>2043</v>
      </c>
      <c r="E32" s="133">
        <f t="shared" ca="1" si="5"/>
        <v>442</v>
      </c>
      <c r="F32" s="134"/>
      <c r="G32" s="146">
        <v>442</v>
      </c>
      <c r="H32" s="146">
        <v>442</v>
      </c>
      <c r="I32" s="146">
        <v>442</v>
      </c>
      <c r="J32" s="146">
        <v>442</v>
      </c>
      <c r="K32" s="146">
        <v>442</v>
      </c>
      <c r="L32" s="146">
        <v>442</v>
      </c>
      <c r="M32" s="146">
        <v>442</v>
      </c>
      <c r="N32" s="146">
        <v>442</v>
      </c>
      <c r="O32" s="146">
        <v>442</v>
      </c>
      <c r="P32" s="146">
        <v>442</v>
      </c>
      <c r="Q32" s="146">
        <f t="shared" si="10"/>
        <v>442</v>
      </c>
      <c r="R32" s="146">
        <f t="shared" si="6"/>
        <v>442</v>
      </c>
      <c r="S32" s="146">
        <f t="shared" si="7"/>
        <v>442</v>
      </c>
      <c r="T32" s="146">
        <f t="shared" si="8"/>
        <v>442</v>
      </c>
      <c r="V32" s="134"/>
      <c r="W32" s="134"/>
      <c r="Y32" s="160"/>
    </row>
    <row r="33" spans="2:25" ht="13.5" hidden="1" customHeight="1" outlineLevel="1">
      <c r="B33" s="137"/>
      <c r="C33" s="142"/>
      <c r="D33" s="143">
        <f t="shared" si="9"/>
        <v>2044</v>
      </c>
      <c r="E33" s="133">
        <f t="shared" ca="1" si="5"/>
        <v>446</v>
      </c>
      <c r="F33" s="134"/>
      <c r="G33" s="146">
        <v>446</v>
      </c>
      <c r="H33" s="146">
        <v>446</v>
      </c>
      <c r="I33" s="146">
        <v>446</v>
      </c>
      <c r="J33" s="146">
        <v>446</v>
      </c>
      <c r="K33" s="146">
        <v>446</v>
      </c>
      <c r="L33" s="146">
        <v>446</v>
      </c>
      <c r="M33" s="146">
        <v>446</v>
      </c>
      <c r="N33" s="146">
        <v>446</v>
      </c>
      <c r="O33" s="146">
        <v>446</v>
      </c>
      <c r="P33" s="146">
        <v>446</v>
      </c>
      <c r="Q33" s="146">
        <f t="shared" si="10"/>
        <v>446</v>
      </c>
      <c r="R33" s="146">
        <f t="shared" si="6"/>
        <v>446</v>
      </c>
      <c r="S33" s="146">
        <f t="shared" si="7"/>
        <v>446</v>
      </c>
      <c r="T33" s="146">
        <f t="shared" si="8"/>
        <v>446</v>
      </c>
      <c r="V33" s="134"/>
      <c r="W33" s="134"/>
      <c r="X33" s="161"/>
      <c r="Y33" s="160"/>
    </row>
    <row r="34" spans="2:25" ht="13.5" hidden="1" customHeight="1" outlineLevel="1">
      <c r="B34" s="137"/>
      <c r="C34" s="142"/>
      <c r="D34" s="143">
        <f t="shared" si="9"/>
        <v>2045</v>
      </c>
      <c r="E34" s="133">
        <f t="shared" ca="1" si="5"/>
        <v>450</v>
      </c>
      <c r="F34" s="134"/>
      <c r="G34" s="146">
        <v>450</v>
      </c>
      <c r="H34" s="146">
        <v>450</v>
      </c>
      <c r="I34" s="146">
        <v>450</v>
      </c>
      <c r="J34" s="146">
        <v>450</v>
      </c>
      <c r="K34" s="146">
        <v>450</v>
      </c>
      <c r="L34" s="146">
        <v>450</v>
      </c>
      <c r="M34" s="146">
        <v>450</v>
      </c>
      <c r="N34" s="146">
        <v>450</v>
      </c>
      <c r="O34" s="146">
        <v>450</v>
      </c>
      <c r="P34" s="146">
        <v>450</v>
      </c>
      <c r="Q34" s="146">
        <f t="shared" si="10"/>
        <v>450</v>
      </c>
      <c r="R34" s="146">
        <f t="shared" si="6"/>
        <v>450</v>
      </c>
      <c r="S34" s="146">
        <f t="shared" si="7"/>
        <v>450</v>
      </c>
      <c r="T34" s="146">
        <f t="shared" si="8"/>
        <v>450</v>
      </c>
      <c r="U34" s="159"/>
      <c r="V34" s="134"/>
      <c r="W34" s="134"/>
      <c r="X34" s="161"/>
      <c r="Y34" s="160"/>
    </row>
    <row r="35" spans="2:25" ht="13.5" hidden="1" customHeight="1" outlineLevel="1">
      <c r="B35" s="137"/>
      <c r="C35" s="142"/>
      <c r="D35" s="143">
        <f t="shared" si="9"/>
        <v>2046</v>
      </c>
      <c r="E35" s="133">
        <f t="shared" ca="1" si="5"/>
        <v>454</v>
      </c>
      <c r="F35" s="134"/>
      <c r="G35" s="146">
        <v>454</v>
      </c>
      <c r="H35" s="146">
        <v>454</v>
      </c>
      <c r="I35" s="146">
        <v>454</v>
      </c>
      <c r="J35" s="146">
        <v>454</v>
      </c>
      <c r="K35" s="146">
        <v>454</v>
      </c>
      <c r="L35" s="146">
        <v>454</v>
      </c>
      <c r="M35" s="146">
        <v>454</v>
      </c>
      <c r="N35" s="146">
        <v>454</v>
      </c>
      <c r="O35" s="146">
        <v>454</v>
      </c>
      <c r="P35" s="146">
        <v>454</v>
      </c>
      <c r="Q35" s="146">
        <f t="shared" si="10"/>
        <v>454</v>
      </c>
      <c r="R35" s="146">
        <f t="shared" si="6"/>
        <v>454</v>
      </c>
      <c r="S35" s="146">
        <f t="shared" si="7"/>
        <v>454</v>
      </c>
      <c r="T35" s="146">
        <f t="shared" si="8"/>
        <v>454</v>
      </c>
      <c r="U35" s="159"/>
      <c r="V35" s="134"/>
      <c r="W35" s="134"/>
      <c r="X35" s="161"/>
      <c r="Y35" s="160"/>
    </row>
    <row r="36" spans="2:25" ht="13.5" hidden="1" customHeight="1" outlineLevel="1">
      <c r="B36" s="137"/>
      <c r="C36" s="142"/>
      <c r="D36" s="143">
        <f t="shared" si="9"/>
        <v>2047</v>
      </c>
      <c r="E36" s="133">
        <f t="shared" ca="1" si="5"/>
        <v>458</v>
      </c>
      <c r="F36" s="134"/>
      <c r="G36" s="146">
        <v>458</v>
      </c>
      <c r="H36" s="146">
        <v>458</v>
      </c>
      <c r="I36" s="146">
        <v>458</v>
      </c>
      <c r="J36" s="146">
        <v>458</v>
      </c>
      <c r="K36" s="146">
        <v>458</v>
      </c>
      <c r="L36" s="146">
        <v>458</v>
      </c>
      <c r="M36" s="146">
        <v>458</v>
      </c>
      <c r="N36" s="146">
        <v>458</v>
      </c>
      <c r="O36" s="146">
        <v>458</v>
      </c>
      <c r="P36" s="146">
        <v>458</v>
      </c>
      <c r="Q36" s="146">
        <f t="shared" si="10"/>
        <v>458</v>
      </c>
      <c r="R36" s="146">
        <f t="shared" si="6"/>
        <v>458</v>
      </c>
      <c r="S36" s="146">
        <f t="shared" si="7"/>
        <v>458</v>
      </c>
      <c r="T36" s="146">
        <f t="shared" si="8"/>
        <v>458</v>
      </c>
      <c r="U36" s="159"/>
      <c r="V36" s="134"/>
      <c r="W36" s="134"/>
      <c r="X36" s="161"/>
      <c r="Y36" s="160"/>
    </row>
    <row r="37" spans="2:25" ht="13.5" hidden="1" customHeight="1" outlineLevel="1">
      <c r="B37" s="137"/>
      <c r="C37" s="142"/>
      <c r="D37" s="143">
        <f t="shared" si="9"/>
        <v>2048</v>
      </c>
      <c r="E37" s="133">
        <f t="shared" ca="1" si="5"/>
        <v>462</v>
      </c>
      <c r="F37" s="134"/>
      <c r="G37" s="146">
        <v>462</v>
      </c>
      <c r="H37" s="146">
        <v>462</v>
      </c>
      <c r="I37" s="146">
        <v>462</v>
      </c>
      <c r="J37" s="146">
        <v>462</v>
      </c>
      <c r="K37" s="146">
        <v>462</v>
      </c>
      <c r="L37" s="146">
        <v>462</v>
      </c>
      <c r="M37" s="146">
        <v>462</v>
      </c>
      <c r="N37" s="146">
        <v>462</v>
      </c>
      <c r="O37" s="146">
        <v>462</v>
      </c>
      <c r="P37" s="146">
        <v>462</v>
      </c>
      <c r="Q37" s="146">
        <f t="shared" si="10"/>
        <v>462</v>
      </c>
      <c r="R37" s="146">
        <f t="shared" si="6"/>
        <v>462</v>
      </c>
      <c r="S37" s="146">
        <f t="shared" si="7"/>
        <v>462</v>
      </c>
      <c r="T37" s="146">
        <f t="shared" si="8"/>
        <v>462</v>
      </c>
      <c r="U37" s="159"/>
      <c r="V37" s="134"/>
      <c r="W37" s="134"/>
      <c r="X37" s="161"/>
      <c r="Y37" s="160"/>
    </row>
    <row r="38" spans="2:25" ht="13.5" hidden="1" customHeight="1" outlineLevel="1">
      <c r="B38" s="137"/>
      <c r="C38" s="142"/>
      <c r="D38" s="143">
        <f t="shared" si="9"/>
        <v>2049</v>
      </c>
      <c r="E38" s="133">
        <f t="shared" ca="1" si="5"/>
        <v>466</v>
      </c>
      <c r="F38" s="134"/>
      <c r="G38" s="146">
        <v>466</v>
      </c>
      <c r="H38" s="146">
        <v>466</v>
      </c>
      <c r="I38" s="146">
        <v>466</v>
      </c>
      <c r="J38" s="146">
        <v>466</v>
      </c>
      <c r="K38" s="146">
        <v>466</v>
      </c>
      <c r="L38" s="146">
        <v>466</v>
      </c>
      <c r="M38" s="146">
        <v>466</v>
      </c>
      <c r="N38" s="146">
        <v>466</v>
      </c>
      <c r="O38" s="146">
        <v>466</v>
      </c>
      <c r="P38" s="146">
        <v>466</v>
      </c>
      <c r="Q38" s="146">
        <f t="shared" si="10"/>
        <v>466</v>
      </c>
      <c r="R38" s="146">
        <f t="shared" si="6"/>
        <v>466</v>
      </c>
      <c r="S38" s="146">
        <f t="shared" si="7"/>
        <v>466</v>
      </c>
      <c r="T38" s="146">
        <f t="shared" si="8"/>
        <v>466</v>
      </c>
      <c r="U38" s="159"/>
      <c r="V38" s="134"/>
      <c r="W38" s="134"/>
      <c r="X38" s="161"/>
      <c r="Y38" s="160"/>
    </row>
    <row r="39" spans="2:25" ht="13.5" hidden="1" customHeight="1" outlineLevel="1">
      <c r="B39" s="137"/>
      <c r="C39" s="158"/>
      <c r="D39" s="148">
        <f t="shared" si="9"/>
        <v>2050</v>
      </c>
      <c r="E39" s="149">
        <f t="shared" ca="1" si="5"/>
        <v>470</v>
      </c>
      <c r="F39" s="150"/>
      <c r="G39" s="151">
        <v>470</v>
      </c>
      <c r="H39" s="151">
        <v>470</v>
      </c>
      <c r="I39" s="151">
        <v>470</v>
      </c>
      <c r="J39" s="151">
        <v>470</v>
      </c>
      <c r="K39" s="151">
        <v>470</v>
      </c>
      <c r="L39" s="151">
        <v>470</v>
      </c>
      <c r="M39" s="151">
        <v>470</v>
      </c>
      <c r="N39" s="151">
        <v>470</v>
      </c>
      <c r="O39" s="151">
        <v>470</v>
      </c>
      <c r="P39" s="151">
        <v>470</v>
      </c>
      <c r="Q39" s="151">
        <f t="shared" si="10"/>
        <v>470</v>
      </c>
      <c r="R39" s="151">
        <f t="shared" si="6"/>
        <v>470</v>
      </c>
      <c r="S39" s="151">
        <f t="shared" si="7"/>
        <v>470</v>
      </c>
      <c r="T39" s="151">
        <f t="shared" si="8"/>
        <v>470</v>
      </c>
      <c r="U39" s="159"/>
      <c r="V39" s="134"/>
      <c r="W39" s="134"/>
    </row>
    <row r="40" spans="2:25" ht="13.5" hidden="1" customHeight="1" outlineLevel="1">
      <c r="B40" s="137"/>
      <c r="C40" s="142"/>
      <c r="D40" s="143">
        <f t="shared" si="9"/>
        <v>2051</v>
      </c>
      <c r="E40" s="133">
        <f t="shared" ca="1" si="5"/>
        <v>474</v>
      </c>
      <c r="F40" s="134"/>
      <c r="G40" s="146">
        <v>474</v>
      </c>
      <c r="H40" s="146">
        <v>474</v>
      </c>
      <c r="I40" s="146">
        <v>474</v>
      </c>
      <c r="J40" s="146">
        <v>474</v>
      </c>
      <c r="K40" s="146">
        <v>474</v>
      </c>
      <c r="L40" s="146">
        <v>474</v>
      </c>
      <c r="M40" s="146">
        <v>474</v>
      </c>
      <c r="N40" s="146">
        <v>474</v>
      </c>
      <c r="O40" s="146">
        <v>474</v>
      </c>
      <c r="P40" s="146">
        <v>474</v>
      </c>
      <c r="Q40" s="146">
        <f t="shared" si="10"/>
        <v>474</v>
      </c>
      <c r="R40" s="146">
        <f t="shared" si="6"/>
        <v>474</v>
      </c>
      <c r="S40" s="146">
        <f t="shared" si="7"/>
        <v>474</v>
      </c>
      <c r="T40" s="146">
        <f t="shared" si="8"/>
        <v>474</v>
      </c>
    </row>
    <row r="41" spans="2:25" ht="13.5" hidden="1" customHeight="1" outlineLevel="1">
      <c r="B41" s="137"/>
      <c r="C41" s="142"/>
      <c r="D41" s="143">
        <f t="shared" si="9"/>
        <v>2052</v>
      </c>
      <c r="E41" s="133">
        <f t="shared" ca="1" si="5"/>
        <v>478</v>
      </c>
      <c r="F41" s="134"/>
      <c r="G41" s="146">
        <v>478</v>
      </c>
      <c r="H41" s="146">
        <v>478</v>
      </c>
      <c r="I41" s="146">
        <v>478</v>
      </c>
      <c r="J41" s="146">
        <v>478</v>
      </c>
      <c r="K41" s="146">
        <v>478</v>
      </c>
      <c r="L41" s="146">
        <v>478</v>
      </c>
      <c r="M41" s="146">
        <v>478</v>
      </c>
      <c r="N41" s="146">
        <v>478</v>
      </c>
      <c r="O41" s="146">
        <v>478</v>
      </c>
      <c r="P41" s="146">
        <v>478</v>
      </c>
      <c r="Q41" s="146">
        <f t="shared" si="10"/>
        <v>478</v>
      </c>
      <c r="R41" s="146">
        <f t="shared" si="6"/>
        <v>478</v>
      </c>
      <c r="S41" s="146">
        <f t="shared" si="7"/>
        <v>478</v>
      </c>
      <c r="T41" s="146">
        <f t="shared" si="8"/>
        <v>478</v>
      </c>
    </row>
    <row r="42" spans="2:25" ht="13.5" hidden="1" customHeight="1" outlineLevel="1">
      <c r="B42" s="137"/>
      <c r="C42" s="142"/>
      <c r="D42" s="143">
        <f t="shared" si="9"/>
        <v>2053</v>
      </c>
      <c r="E42" s="133">
        <f t="shared" ca="1" si="5"/>
        <v>482</v>
      </c>
      <c r="F42" s="134"/>
      <c r="G42" s="146">
        <v>482</v>
      </c>
      <c r="H42" s="146">
        <v>482</v>
      </c>
      <c r="I42" s="146">
        <v>482</v>
      </c>
      <c r="J42" s="146">
        <v>482</v>
      </c>
      <c r="K42" s="146">
        <v>482</v>
      </c>
      <c r="L42" s="146">
        <v>482</v>
      </c>
      <c r="M42" s="146">
        <v>482</v>
      </c>
      <c r="N42" s="146">
        <v>482</v>
      </c>
      <c r="O42" s="146">
        <v>482</v>
      </c>
      <c r="P42" s="146">
        <v>482</v>
      </c>
      <c r="Q42" s="146">
        <f t="shared" si="10"/>
        <v>482</v>
      </c>
      <c r="R42" s="146">
        <f t="shared" si="6"/>
        <v>482</v>
      </c>
      <c r="S42" s="146">
        <f t="shared" si="7"/>
        <v>482</v>
      </c>
      <c r="T42" s="146">
        <f t="shared" si="8"/>
        <v>482</v>
      </c>
    </row>
    <row r="43" spans="2:25" ht="13.5" hidden="1" customHeight="1" outlineLevel="1">
      <c r="B43" s="137"/>
      <c r="C43" s="142"/>
      <c r="D43" s="143">
        <f t="shared" si="9"/>
        <v>2054</v>
      </c>
      <c r="E43" s="133">
        <f t="shared" ca="1" si="5"/>
        <v>486</v>
      </c>
      <c r="F43" s="134"/>
      <c r="G43" s="146">
        <v>486</v>
      </c>
      <c r="H43" s="146">
        <v>486</v>
      </c>
      <c r="I43" s="146">
        <v>486</v>
      </c>
      <c r="J43" s="146">
        <v>486</v>
      </c>
      <c r="K43" s="146">
        <v>486</v>
      </c>
      <c r="L43" s="146">
        <v>486</v>
      </c>
      <c r="M43" s="146">
        <v>486</v>
      </c>
      <c r="N43" s="146">
        <v>486</v>
      </c>
      <c r="O43" s="146">
        <v>486</v>
      </c>
      <c r="P43" s="146">
        <v>486</v>
      </c>
      <c r="Q43" s="146">
        <f t="shared" si="10"/>
        <v>486</v>
      </c>
      <c r="R43" s="146">
        <f t="shared" si="6"/>
        <v>486</v>
      </c>
      <c r="S43" s="146">
        <f t="shared" si="7"/>
        <v>486</v>
      </c>
      <c r="T43" s="146">
        <f t="shared" si="8"/>
        <v>486</v>
      </c>
    </row>
    <row r="44" spans="2:25" ht="13.5" hidden="1" customHeight="1" outlineLevel="1">
      <c r="B44" s="137"/>
      <c r="C44" s="142"/>
      <c r="D44" s="143">
        <f t="shared" si="9"/>
        <v>2055</v>
      </c>
      <c r="E44" s="133">
        <f t="shared" ca="1" si="5"/>
        <v>490</v>
      </c>
      <c r="F44" s="134"/>
      <c r="G44" s="146">
        <v>490</v>
      </c>
      <c r="H44" s="146">
        <v>490</v>
      </c>
      <c r="I44" s="146">
        <v>490</v>
      </c>
      <c r="J44" s="146">
        <v>490</v>
      </c>
      <c r="K44" s="146">
        <v>490</v>
      </c>
      <c r="L44" s="146">
        <v>490</v>
      </c>
      <c r="M44" s="146">
        <v>490</v>
      </c>
      <c r="N44" s="146">
        <v>490</v>
      </c>
      <c r="O44" s="146">
        <v>490</v>
      </c>
      <c r="P44" s="146">
        <v>490</v>
      </c>
      <c r="Q44" s="146">
        <f t="shared" si="10"/>
        <v>490</v>
      </c>
      <c r="R44" s="146">
        <f t="shared" si="6"/>
        <v>490</v>
      </c>
      <c r="S44" s="146">
        <f t="shared" si="7"/>
        <v>490</v>
      </c>
      <c r="T44" s="146">
        <f t="shared" si="8"/>
        <v>490</v>
      </c>
    </row>
    <row r="45" spans="2:25" ht="13.5" hidden="1" customHeight="1" outlineLevel="1">
      <c r="B45" s="137"/>
      <c r="C45" s="142"/>
      <c r="D45" s="143">
        <f t="shared" si="9"/>
        <v>2056</v>
      </c>
      <c r="E45" s="133">
        <f t="shared" ca="1" si="5"/>
        <v>494</v>
      </c>
      <c r="F45" s="134"/>
      <c r="G45" s="146">
        <v>494</v>
      </c>
      <c r="H45" s="146">
        <v>494</v>
      </c>
      <c r="I45" s="146">
        <v>494</v>
      </c>
      <c r="J45" s="146">
        <v>494</v>
      </c>
      <c r="K45" s="146">
        <v>494</v>
      </c>
      <c r="L45" s="146">
        <v>494</v>
      </c>
      <c r="M45" s="146">
        <v>494</v>
      </c>
      <c r="N45" s="146">
        <v>494</v>
      </c>
      <c r="O45" s="146">
        <v>494</v>
      </c>
      <c r="P45" s="146">
        <v>494</v>
      </c>
      <c r="Q45" s="146">
        <f t="shared" si="10"/>
        <v>494</v>
      </c>
      <c r="R45" s="146">
        <f t="shared" si="6"/>
        <v>494</v>
      </c>
      <c r="S45" s="146">
        <f t="shared" si="7"/>
        <v>494</v>
      </c>
      <c r="T45" s="146">
        <f t="shared" si="8"/>
        <v>494</v>
      </c>
    </row>
    <row r="46" spans="2:25" ht="13.5" hidden="1" customHeight="1" outlineLevel="1">
      <c r="B46" s="137"/>
      <c r="C46" s="142"/>
      <c r="D46" s="143">
        <f t="shared" si="9"/>
        <v>2057</v>
      </c>
      <c r="E46" s="133">
        <f t="shared" ca="1" si="5"/>
        <v>498</v>
      </c>
      <c r="F46" s="134"/>
      <c r="G46" s="146">
        <v>498</v>
      </c>
      <c r="H46" s="146">
        <v>498</v>
      </c>
      <c r="I46" s="146">
        <v>498</v>
      </c>
      <c r="J46" s="146">
        <v>498</v>
      </c>
      <c r="K46" s="146">
        <v>498</v>
      </c>
      <c r="L46" s="146">
        <v>498</v>
      </c>
      <c r="M46" s="146">
        <v>498</v>
      </c>
      <c r="N46" s="146">
        <v>498</v>
      </c>
      <c r="O46" s="146">
        <v>498</v>
      </c>
      <c r="P46" s="146">
        <v>498</v>
      </c>
      <c r="Q46" s="146">
        <f t="shared" si="10"/>
        <v>498</v>
      </c>
      <c r="R46" s="146">
        <f t="shared" si="6"/>
        <v>498</v>
      </c>
      <c r="S46" s="146">
        <f t="shared" si="7"/>
        <v>498</v>
      </c>
      <c r="T46" s="146">
        <f t="shared" si="8"/>
        <v>498</v>
      </c>
    </row>
    <row r="47" spans="2:25" ht="13.5" hidden="1" customHeight="1" outlineLevel="1">
      <c r="B47" s="137"/>
      <c r="C47" s="142"/>
      <c r="D47" s="143">
        <f t="shared" si="9"/>
        <v>2058</v>
      </c>
      <c r="E47" s="133">
        <f t="shared" ca="1" si="5"/>
        <v>502</v>
      </c>
      <c r="F47" s="134"/>
      <c r="G47" s="146">
        <v>502</v>
      </c>
      <c r="H47" s="146">
        <v>502</v>
      </c>
      <c r="I47" s="146">
        <v>502</v>
      </c>
      <c r="J47" s="146">
        <v>502</v>
      </c>
      <c r="K47" s="146">
        <v>502</v>
      </c>
      <c r="L47" s="146">
        <v>502</v>
      </c>
      <c r="M47" s="146">
        <v>502</v>
      </c>
      <c r="N47" s="146">
        <v>502</v>
      </c>
      <c r="O47" s="146">
        <v>502</v>
      </c>
      <c r="P47" s="146">
        <v>502</v>
      </c>
      <c r="Q47" s="146">
        <f t="shared" si="10"/>
        <v>502</v>
      </c>
      <c r="R47" s="146">
        <f t="shared" si="6"/>
        <v>502</v>
      </c>
      <c r="S47" s="146">
        <f t="shared" si="7"/>
        <v>502</v>
      </c>
      <c r="T47" s="146">
        <f t="shared" si="8"/>
        <v>502</v>
      </c>
    </row>
    <row r="48" spans="2:25" ht="13.5" customHeight="1" collapsed="1">
      <c r="B48" s="137"/>
      <c r="C48" s="147"/>
      <c r="D48" s="162">
        <f t="shared" si="9"/>
        <v>2059</v>
      </c>
      <c r="E48" s="163">
        <f t="shared" ca="1" si="5"/>
        <v>506</v>
      </c>
      <c r="F48" s="134"/>
      <c r="G48" s="164">
        <v>506</v>
      </c>
      <c r="H48" s="164">
        <v>506</v>
      </c>
      <c r="I48" s="164">
        <v>506</v>
      </c>
      <c r="J48" s="164">
        <v>506</v>
      </c>
      <c r="K48" s="164">
        <v>506</v>
      </c>
      <c r="L48" s="164">
        <v>506</v>
      </c>
      <c r="M48" s="164">
        <v>506</v>
      </c>
      <c r="N48" s="164">
        <v>506</v>
      </c>
      <c r="O48" s="164">
        <v>506</v>
      </c>
      <c r="P48" s="164">
        <v>506</v>
      </c>
      <c r="Q48" s="164">
        <f t="shared" si="10"/>
        <v>506</v>
      </c>
      <c r="R48" s="164">
        <f t="shared" si="6"/>
        <v>506</v>
      </c>
      <c r="S48" s="164">
        <f t="shared" si="7"/>
        <v>506</v>
      </c>
      <c r="T48" s="164">
        <f t="shared" si="8"/>
        <v>506</v>
      </c>
    </row>
    <row r="49" spans="2:20" ht="13.5" customHeight="1">
      <c r="B49" s="137"/>
      <c r="C49" s="113" t="s">
        <v>5123</v>
      </c>
      <c r="D49" s="132"/>
      <c r="E49" s="165">
        <f t="shared" ref="E49:E74" ca="1" si="11">OFFSET($F49,0,시나리오)</f>
        <v>1</v>
      </c>
      <c r="F49" s="166"/>
      <c r="G49" s="167">
        <v>1</v>
      </c>
      <c r="H49" s="167">
        <v>1</v>
      </c>
      <c r="I49" s="167">
        <v>1</v>
      </c>
      <c r="J49" s="167">
        <v>1</v>
      </c>
      <c r="K49" s="167">
        <v>1</v>
      </c>
      <c r="L49" s="167">
        <v>1</v>
      </c>
      <c r="M49" s="5083">
        <v>0.95</v>
      </c>
      <c r="N49" s="5083">
        <v>0.9</v>
      </c>
      <c r="O49" s="167">
        <v>1</v>
      </c>
      <c r="P49" s="167">
        <v>1</v>
      </c>
      <c r="Q49" s="167">
        <f t="shared" si="10"/>
        <v>1</v>
      </c>
      <c r="R49" s="167">
        <f t="shared" si="6"/>
        <v>1</v>
      </c>
      <c r="S49" s="167">
        <f t="shared" si="7"/>
        <v>1</v>
      </c>
      <c r="T49" s="167">
        <f t="shared" si="8"/>
        <v>1</v>
      </c>
    </row>
    <row r="50" spans="2:20" s="169" customFormat="1" ht="13.5" customHeight="1">
      <c r="B50" s="168" t="s">
        <v>96</v>
      </c>
      <c r="D50" s="170"/>
      <c r="E50" s="171"/>
      <c r="F50" s="172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>
        <f t="shared" si="10"/>
        <v>0</v>
      </c>
      <c r="R50" s="173">
        <f t="shared" si="6"/>
        <v>0</v>
      </c>
      <c r="S50" s="173">
        <f t="shared" si="7"/>
        <v>0</v>
      </c>
      <c r="T50" s="173">
        <f t="shared" si="8"/>
        <v>0</v>
      </c>
    </row>
    <row r="51" spans="2:20" s="169" customFormat="1" ht="13.5" customHeight="1">
      <c r="B51" s="168"/>
      <c r="C51" s="175" t="s">
        <v>5206</v>
      </c>
      <c r="D51" s="176"/>
      <c r="E51" s="177">
        <f t="shared" ca="1" si="11"/>
        <v>87699.743999999977</v>
      </c>
      <c r="F51" s="172"/>
      <c r="G51" s="178">
        <f ca="1">펀드차입금!$D$77</f>
        <v>87699.743999999977</v>
      </c>
      <c r="H51" s="178">
        <f ca="1">펀드차입금!$D$77</f>
        <v>87699.743999999977</v>
      </c>
      <c r="I51" s="178">
        <f ca="1">펀드차입금!$D$77</f>
        <v>87699.743999999977</v>
      </c>
      <c r="J51" s="178">
        <f ca="1">펀드차입금!$D$77</f>
        <v>87699.743999999977</v>
      </c>
      <c r="K51" s="178">
        <f ca="1">펀드차입금!$D$77</f>
        <v>87699.743999999977</v>
      </c>
      <c r="L51" s="178">
        <f ca="1">펀드차입금!$D$77</f>
        <v>87699.743999999977</v>
      </c>
      <c r="M51" s="178">
        <f ca="1">펀드차입금!$D$77</f>
        <v>87699.743999999977</v>
      </c>
      <c r="N51" s="178">
        <f ca="1">펀드차입금!$D$77</f>
        <v>87699.743999999977</v>
      </c>
      <c r="O51" s="178">
        <v>87699.743999999977</v>
      </c>
      <c r="P51" s="178">
        <f ca="1">펀드차입금!$D$77</f>
        <v>87699.743999999977</v>
      </c>
      <c r="Q51" s="178">
        <f t="shared" ca="1" si="10"/>
        <v>87699.743999999977</v>
      </c>
      <c r="R51" s="178">
        <f t="shared" ca="1" si="6"/>
        <v>87699.743999999977</v>
      </c>
      <c r="S51" s="178">
        <f t="shared" ca="1" si="7"/>
        <v>87699.743999999977</v>
      </c>
      <c r="T51" s="178">
        <f t="shared" ca="1" si="8"/>
        <v>87699.743999999977</v>
      </c>
    </row>
    <row r="52" spans="2:20" s="169" customFormat="1" ht="13.5" customHeight="1">
      <c r="B52" s="168"/>
      <c r="C52" s="179" t="s">
        <v>5125</v>
      </c>
      <c r="D52" s="5264"/>
      <c r="E52" s="180">
        <f ca="1">OFFSET($F52,0,시나리오)</f>
        <v>88150.743999999977</v>
      </c>
      <c r="F52" s="172"/>
      <c r="G52" s="181">
        <f ca="1">펀드차입금!$D$84</f>
        <v>88150.743999999977</v>
      </c>
      <c r="H52" s="181">
        <f ca="1">펀드차입금!$D$84</f>
        <v>88150.743999999977</v>
      </c>
      <c r="I52" s="181">
        <f ca="1">펀드차입금!$D$84</f>
        <v>88150.743999999977</v>
      </c>
      <c r="J52" s="181">
        <f ca="1">펀드차입금!$D$84</f>
        <v>88150.743999999977</v>
      </c>
      <c r="K52" s="181">
        <f ca="1">펀드차입금!$D$84</f>
        <v>88150.743999999977</v>
      </c>
      <c r="L52" s="181">
        <f ca="1">펀드차입금!$D$84</f>
        <v>88150.743999999977</v>
      </c>
      <c r="M52" s="181">
        <f ca="1">펀드차입금!$D$84</f>
        <v>88150.743999999977</v>
      </c>
      <c r="N52" s="181">
        <f ca="1">펀드차입금!$D$84</f>
        <v>88150.743999999977</v>
      </c>
      <c r="O52" s="181">
        <v>88150.743999999977</v>
      </c>
      <c r="P52" s="181">
        <f ca="1">펀드차입금!$D$84</f>
        <v>88150.743999999977</v>
      </c>
      <c r="Q52" s="181">
        <f t="shared" ca="1" si="10"/>
        <v>88150.743999999977</v>
      </c>
      <c r="R52" s="181">
        <f t="shared" ca="1" si="6"/>
        <v>88150.743999999977</v>
      </c>
      <c r="S52" s="181">
        <f t="shared" ca="1" si="7"/>
        <v>88150.743999999977</v>
      </c>
      <c r="T52" s="181">
        <f t="shared" ca="1" si="8"/>
        <v>88150.743999999977</v>
      </c>
    </row>
    <row r="53" spans="2:20" s="169" customFormat="1" ht="13.5" customHeight="1">
      <c r="B53" s="168"/>
      <c r="C53" s="182" t="s">
        <v>5318</v>
      </c>
      <c r="D53" s="170"/>
      <c r="E53" s="180">
        <f ca="1">OFFSET($F53,0,시나리오)</f>
        <v>28150.743999999977</v>
      </c>
      <c r="F53" s="174"/>
      <c r="G53" s="145">
        <f ca="1">G52-G54</f>
        <v>28150.743999999977</v>
      </c>
      <c r="H53" s="145">
        <f t="shared" ref="H53:O53" ca="1" si="12">H52-H54</f>
        <v>28150.743999999977</v>
      </c>
      <c r="I53" s="145">
        <f t="shared" ca="1" si="12"/>
        <v>28150.743999999977</v>
      </c>
      <c r="J53" s="145">
        <f t="shared" ca="1" si="12"/>
        <v>28150.743999999977</v>
      </c>
      <c r="K53" s="145">
        <f t="shared" ca="1" si="12"/>
        <v>28150.743999999977</v>
      </c>
      <c r="L53" s="145">
        <f t="shared" ca="1" si="12"/>
        <v>28150.743999999977</v>
      </c>
      <c r="M53" s="145">
        <f t="shared" ca="1" si="12"/>
        <v>28150.743999999977</v>
      </c>
      <c r="N53" s="145">
        <f t="shared" ca="1" si="12"/>
        <v>28150.743999999977</v>
      </c>
      <c r="O53" s="145">
        <f t="shared" si="12"/>
        <v>28150.743999999977</v>
      </c>
      <c r="P53" s="145">
        <f ca="1">P52-P54</f>
        <v>28150.743999999977</v>
      </c>
      <c r="Q53" s="145">
        <f t="shared" ca="1" si="10"/>
        <v>28150.743999999977</v>
      </c>
      <c r="R53" s="145">
        <f t="shared" ca="1" si="6"/>
        <v>28150.743999999977</v>
      </c>
      <c r="S53" s="145">
        <f t="shared" ca="1" si="7"/>
        <v>28150.743999999977</v>
      </c>
      <c r="T53" s="145">
        <f t="shared" ca="1" si="8"/>
        <v>28150.743999999977</v>
      </c>
    </row>
    <row r="54" spans="2:20" s="169" customFormat="1" ht="13.5" customHeight="1">
      <c r="B54" s="168"/>
      <c r="C54" s="182" t="s">
        <v>5319</v>
      </c>
      <c r="D54" s="5264"/>
      <c r="E54" s="180">
        <f t="shared" ca="1" si="11"/>
        <v>60000</v>
      </c>
      <c r="F54" s="174"/>
      <c r="G54" s="183">
        <v>60000</v>
      </c>
      <c r="H54" s="183">
        <f>G54</f>
        <v>60000</v>
      </c>
      <c r="I54" s="183">
        <f t="shared" ref="I54:N54" si="13">H54</f>
        <v>60000</v>
      </c>
      <c r="J54" s="183">
        <f t="shared" si="13"/>
        <v>60000</v>
      </c>
      <c r="K54" s="183">
        <f t="shared" si="13"/>
        <v>60000</v>
      </c>
      <c r="L54" s="183">
        <f t="shared" si="13"/>
        <v>60000</v>
      </c>
      <c r="M54" s="183">
        <f t="shared" si="13"/>
        <v>60000</v>
      </c>
      <c r="N54" s="183">
        <f t="shared" si="13"/>
        <v>60000</v>
      </c>
      <c r="O54" s="183">
        <v>60000</v>
      </c>
      <c r="P54" s="183">
        <v>60000</v>
      </c>
      <c r="Q54" s="183">
        <f t="shared" si="10"/>
        <v>60000</v>
      </c>
      <c r="R54" s="183">
        <f t="shared" si="6"/>
        <v>60000</v>
      </c>
      <c r="S54" s="183">
        <f t="shared" si="7"/>
        <v>60000</v>
      </c>
      <c r="T54" s="183">
        <f t="shared" si="8"/>
        <v>60000</v>
      </c>
    </row>
    <row r="55" spans="2:20" s="169" customFormat="1" ht="13.5" customHeight="1">
      <c r="B55" s="168"/>
      <c r="C55" s="179" t="s">
        <v>5320</v>
      </c>
      <c r="D55" s="170"/>
      <c r="E55" s="184">
        <f ca="1">OFFSET($F55,0,시나리오)</f>
        <v>3.7999999999999999E-2</v>
      </c>
      <c r="F55" s="174"/>
      <c r="G55" s="185">
        <v>3.7999999999999999E-2</v>
      </c>
      <c r="H55" s="185">
        <f>G55</f>
        <v>3.7999999999999999E-2</v>
      </c>
      <c r="I55" s="185">
        <f t="shared" ref="I55:N55" si="14">H55</f>
        <v>3.7999999999999999E-2</v>
      </c>
      <c r="J55" s="185">
        <f t="shared" si="14"/>
        <v>3.7999999999999999E-2</v>
      </c>
      <c r="K55" s="185">
        <f t="shared" si="14"/>
        <v>3.7999999999999999E-2</v>
      </c>
      <c r="L55" s="185">
        <f t="shared" si="14"/>
        <v>3.7999999999999999E-2</v>
      </c>
      <c r="M55" s="185">
        <f t="shared" si="14"/>
        <v>3.7999999999999999E-2</v>
      </c>
      <c r="N55" s="185">
        <f t="shared" si="14"/>
        <v>3.7999999999999999E-2</v>
      </c>
      <c r="O55" s="185">
        <f t="shared" ref="O55" si="15">N55</f>
        <v>3.7999999999999999E-2</v>
      </c>
      <c r="P55" s="185">
        <v>3.7999999999999999E-2</v>
      </c>
      <c r="Q55" s="185">
        <f t="shared" si="10"/>
        <v>3.7999999999999999E-2</v>
      </c>
      <c r="R55" s="185">
        <f t="shared" si="6"/>
        <v>3.7999999999999999E-2</v>
      </c>
      <c r="S55" s="185">
        <f t="shared" si="7"/>
        <v>3.7999999999999999E-2</v>
      </c>
      <c r="T55" s="185">
        <f t="shared" si="8"/>
        <v>3.7999999999999999E-2</v>
      </c>
    </row>
    <row r="56" spans="2:20" s="169" customFormat="1" ht="13.5" customHeight="1">
      <c r="B56" s="168"/>
      <c r="C56" s="179" t="s">
        <v>5321</v>
      </c>
      <c r="D56" s="170"/>
      <c r="E56" s="184">
        <f t="shared" ca="1" si="11"/>
        <v>1.4500000000000001E-2</v>
      </c>
      <c r="F56" s="174"/>
      <c r="G56" s="185">
        <v>1.4500000000000001E-2</v>
      </c>
      <c r="H56" s="185">
        <f>G56</f>
        <v>1.4500000000000001E-2</v>
      </c>
      <c r="I56" s="185">
        <f t="shared" ref="I56:N56" si="16">H56</f>
        <v>1.4500000000000001E-2</v>
      </c>
      <c r="J56" s="185">
        <f t="shared" si="16"/>
        <v>1.4500000000000001E-2</v>
      </c>
      <c r="K56" s="185">
        <f t="shared" si="16"/>
        <v>1.4500000000000001E-2</v>
      </c>
      <c r="L56" s="185">
        <f t="shared" si="16"/>
        <v>1.4500000000000001E-2</v>
      </c>
      <c r="M56" s="185">
        <f t="shared" si="16"/>
        <v>1.4500000000000001E-2</v>
      </c>
      <c r="N56" s="185">
        <f t="shared" si="16"/>
        <v>1.4500000000000001E-2</v>
      </c>
      <c r="O56" s="185">
        <v>1.4500000000000001E-2</v>
      </c>
      <c r="P56" s="185">
        <v>1.4500000000000001E-2</v>
      </c>
      <c r="Q56" s="185">
        <f t="shared" si="10"/>
        <v>1.4500000000000001E-2</v>
      </c>
      <c r="R56" s="185">
        <f t="shared" si="6"/>
        <v>1.4500000000000001E-2</v>
      </c>
      <c r="S56" s="185">
        <f t="shared" si="7"/>
        <v>1.4500000000000001E-2</v>
      </c>
      <c r="T56" s="185">
        <f t="shared" si="8"/>
        <v>1.4500000000000001E-2</v>
      </c>
    </row>
    <row r="57" spans="2:20" s="169" customFormat="1" ht="13.5" customHeight="1">
      <c r="B57" s="168"/>
      <c r="C57" s="179" t="s">
        <v>5126</v>
      </c>
      <c r="D57" s="170"/>
      <c r="E57" s="184">
        <f ca="1">OFFSET($F57,0,시나리오)</f>
        <v>2.5000000000000001E-2</v>
      </c>
      <c r="F57" s="174"/>
      <c r="G57" s="185">
        <v>2.5000000000000001E-2</v>
      </c>
      <c r="H57" s="185">
        <v>2.5000000000000001E-2</v>
      </c>
      <c r="I57" s="185">
        <v>2.5000000000000001E-2</v>
      </c>
      <c r="J57" s="185">
        <v>2.5000000000000001E-2</v>
      </c>
      <c r="K57" s="185">
        <v>2.5000000000000001E-2</v>
      </c>
      <c r="L57" s="185">
        <v>2.5000000000000001E-2</v>
      </c>
      <c r="M57" s="185">
        <v>2.5000000000000001E-2</v>
      </c>
      <c r="N57" s="185">
        <v>2.5000000000000001E-2</v>
      </c>
      <c r="O57" s="185">
        <v>2.5000000000000001E-2</v>
      </c>
      <c r="P57" s="185">
        <v>2.5000000000000001E-2</v>
      </c>
      <c r="Q57" s="185">
        <f t="shared" si="10"/>
        <v>2.5000000000000001E-2</v>
      </c>
      <c r="R57" s="185">
        <f t="shared" si="6"/>
        <v>2.5000000000000001E-2</v>
      </c>
      <c r="S57" s="185">
        <f t="shared" si="7"/>
        <v>2.5000000000000001E-2</v>
      </c>
      <c r="T57" s="185">
        <f t="shared" si="8"/>
        <v>2.5000000000000001E-2</v>
      </c>
    </row>
    <row r="58" spans="2:20" s="169" customFormat="1" ht="13.5" customHeight="1">
      <c r="B58" s="168"/>
      <c r="C58" s="179" t="s">
        <v>5127</v>
      </c>
      <c r="D58" s="170"/>
      <c r="E58" s="184">
        <f t="shared" ca="1" si="11"/>
        <v>2.5000000000000001E-2</v>
      </c>
      <c r="F58" s="186"/>
      <c r="G58" s="187">
        <v>2.5000000000000001E-2</v>
      </c>
      <c r="H58" s="187">
        <v>2.3E-2</v>
      </c>
      <c r="I58" s="187">
        <v>2.4E-2</v>
      </c>
      <c r="J58" s="187">
        <v>2.5999999999999999E-2</v>
      </c>
      <c r="K58" s="187">
        <v>2.7E-2</v>
      </c>
      <c r="L58" s="187">
        <v>2.5000000000000001E-2</v>
      </c>
      <c r="M58" s="187">
        <v>2.5000000000000001E-2</v>
      </c>
      <c r="N58" s="187">
        <v>2.5000000000000001E-2</v>
      </c>
      <c r="O58" s="187">
        <v>2.5000000000000001E-2</v>
      </c>
      <c r="P58" s="187">
        <v>2.5000000000000001E-2</v>
      </c>
      <c r="Q58" s="187">
        <v>2.75E-2</v>
      </c>
      <c r="R58" s="187">
        <v>0.03</v>
      </c>
      <c r="S58" s="187">
        <v>3.2500000000000001E-2</v>
      </c>
      <c r="T58" s="187">
        <v>3.5000000000000003E-2</v>
      </c>
    </row>
    <row r="59" spans="2:20" s="169" customFormat="1" ht="13.5" customHeight="1">
      <c r="B59" s="168"/>
      <c r="C59" s="188" t="s">
        <v>97</v>
      </c>
      <c r="D59" s="189" t="s">
        <v>98</v>
      </c>
      <c r="E59" s="190">
        <f t="shared" ca="1" si="11"/>
        <v>1.5E-3</v>
      </c>
      <c r="F59" s="191"/>
      <c r="G59" s="192">
        <v>1.5E-3</v>
      </c>
      <c r="H59" s="192">
        <v>1.5E-3</v>
      </c>
      <c r="I59" s="192">
        <v>1.5E-3</v>
      </c>
      <c r="J59" s="192">
        <v>1.5E-3</v>
      </c>
      <c r="K59" s="192">
        <v>1.5E-3</v>
      </c>
      <c r="L59" s="192">
        <v>1.5E-3</v>
      </c>
      <c r="M59" s="192">
        <v>1.5E-3</v>
      </c>
      <c r="N59" s="192">
        <v>1.5E-3</v>
      </c>
      <c r="O59" s="192">
        <v>1.5E-3</v>
      </c>
      <c r="P59" s="192">
        <v>1.5E-3</v>
      </c>
      <c r="Q59" s="192">
        <f t="shared" si="10"/>
        <v>1.5E-3</v>
      </c>
      <c r="R59" s="192">
        <f t="shared" si="6"/>
        <v>1.5E-3</v>
      </c>
      <c r="S59" s="192">
        <f t="shared" si="7"/>
        <v>1.5E-3</v>
      </c>
      <c r="T59" s="192">
        <f t="shared" si="8"/>
        <v>1.5E-3</v>
      </c>
    </row>
    <row r="60" spans="2:20" s="169" customFormat="1" ht="13.5" customHeight="1">
      <c r="B60" s="168" t="s">
        <v>99</v>
      </c>
      <c r="D60" s="170"/>
      <c r="E60" s="171"/>
      <c r="F60" s="172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>
        <f t="shared" si="10"/>
        <v>0</v>
      </c>
      <c r="R60" s="173">
        <f t="shared" si="6"/>
        <v>0</v>
      </c>
      <c r="S60" s="173">
        <f t="shared" si="7"/>
        <v>0</v>
      </c>
      <c r="T60" s="173">
        <f t="shared" si="8"/>
        <v>0</v>
      </c>
    </row>
    <row r="61" spans="2:20" s="169" customFormat="1" ht="13.5" customHeight="1">
      <c r="B61" s="168"/>
      <c r="C61" s="175" t="s">
        <v>100</v>
      </c>
      <c r="D61" s="176"/>
      <c r="E61" s="193">
        <f t="shared" ca="1" si="11"/>
        <v>2.5000000000000001E-2</v>
      </c>
      <c r="F61" s="194"/>
      <c r="G61" s="195">
        <f t="shared" ref="G61:P61" si="17">G57</f>
        <v>2.5000000000000001E-2</v>
      </c>
      <c r="H61" s="195">
        <f t="shared" si="17"/>
        <v>2.5000000000000001E-2</v>
      </c>
      <c r="I61" s="195">
        <f t="shared" si="17"/>
        <v>2.5000000000000001E-2</v>
      </c>
      <c r="J61" s="195">
        <f t="shared" si="17"/>
        <v>2.5000000000000001E-2</v>
      </c>
      <c r="K61" s="195">
        <f t="shared" si="17"/>
        <v>2.5000000000000001E-2</v>
      </c>
      <c r="L61" s="195">
        <f t="shared" si="17"/>
        <v>2.5000000000000001E-2</v>
      </c>
      <c r="M61" s="195">
        <f t="shared" si="17"/>
        <v>2.5000000000000001E-2</v>
      </c>
      <c r="N61" s="195">
        <f t="shared" si="17"/>
        <v>2.5000000000000001E-2</v>
      </c>
      <c r="O61" s="195">
        <f t="shared" si="17"/>
        <v>2.5000000000000001E-2</v>
      </c>
      <c r="P61" s="195">
        <f t="shared" si="17"/>
        <v>2.5000000000000001E-2</v>
      </c>
      <c r="Q61" s="195">
        <f t="shared" si="10"/>
        <v>2.5000000000000001E-2</v>
      </c>
      <c r="R61" s="195">
        <f t="shared" si="6"/>
        <v>2.5000000000000001E-2</v>
      </c>
      <c r="S61" s="195">
        <f t="shared" si="7"/>
        <v>2.5000000000000001E-2</v>
      </c>
      <c r="T61" s="195">
        <f t="shared" si="8"/>
        <v>2.5000000000000001E-2</v>
      </c>
    </row>
    <row r="62" spans="2:20" s="169" customFormat="1" ht="13.5" customHeight="1">
      <c r="B62" s="168"/>
      <c r="C62" s="179" t="s">
        <v>101</v>
      </c>
      <c r="D62" s="170"/>
      <c r="E62" s="196">
        <f ca="1">OFFSET($F62,0,시나리오)</f>
        <v>2.5000000000000001E-2</v>
      </c>
      <c r="F62" s="172"/>
      <c r="G62" s="197">
        <f t="shared" ref="G62:T62" si="18">G58</f>
        <v>2.5000000000000001E-2</v>
      </c>
      <c r="H62" s="197">
        <f t="shared" si="18"/>
        <v>2.3E-2</v>
      </c>
      <c r="I62" s="197">
        <f t="shared" si="18"/>
        <v>2.4E-2</v>
      </c>
      <c r="J62" s="197">
        <f t="shared" si="18"/>
        <v>2.5999999999999999E-2</v>
      </c>
      <c r="K62" s="197">
        <f t="shared" si="18"/>
        <v>2.7E-2</v>
      </c>
      <c r="L62" s="197">
        <f t="shared" si="18"/>
        <v>2.5000000000000001E-2</v>
      </c>
      <c r="M62" s="197">
        <f t="shared" si="18"/>
        <v>2.5000000000000001E-2</v>
      </c>
      <c r="N62" s="197">
        <f t="shared" si="18"/>
        <v>2.5000000000000001E-2</v>
      </c>
      <c r="O62" s="197">
        <f t="shared" si="18"/>
        <v>2.5000000000000001E-2</v>
      </c>
      <c r="P62" s="197">
        <f t="shared" si="18"/>
        <v>2.5000000000000001E-2</v>
      </c>
      <c r="Q62" s="197">
        <f t="shared" si="18"/>
        <v>2.75E-2</v>
      </c>
      <c r="R62" s="197">
        <f t="shared" si="18"/>
        <v>0.03</v>
      </c>
      <c r="S62" s="197">
        <f t="shared" si="18"/>
        <v>3.2500000000000001E-2</v>
      </c>
      <c r="T62" s="197">
        <f t="shared" si="18"/>
        <v>3.5000000000000003E-2</v>
      </c>
    </row>
    <row r="63" spans="2:20" s="169" customFormat="1" ht="13.5" customHeight="1">
      <c r="B63" s="168"/>
      <c r="C63" s="188" t="s">
        <v>102</v>
      </c>
      <c r="D63" s="189"/>
      <c r="E63" s="198">
        <f ca="1">OFFSET($F63,0,시나리오)</f>
        <v>30</v>
      </c>
      <c r="F63" s="191"/>
      <c r="G63" s="199">
        <v>30</v>
      </c>
      <c r="H63" s="199">
        <v>30</v>
      </c>
      <c r="I63" s="199">
        <v>30</v>
      </c>
      <c r="J63" s="199">
        <v>30</v>
      </c>
      <c r="K63" s="199">
        <v>30</v>
      </c>
      <c r="L63" s="199">
        <v>30</v>
      </c>
      <c r="M63" s="199">
        <v>30</v>
      </c>
      <c r="N63" s="199">
        <v>30</v>
      </c>
      <c r="O63" s="199">
        <v>30</v>
      </c>
      <c r="P63" s="199">
        <v>30</v>
      </c>
      <c r="Q63" s="199">
        <f t="shared" si="10"/>
        <v>30</v>
      </c>
      <c r="R63" s="199">
        <f t="shared" si="6"/>
        <v>30</v>
      </c>
      <c r="S63" s="199">
        <f t="shared" si="7"/>
        <v>30</v>
      </c>
      <c r="T63" s="199">
        <f t="shared" si="8"/>
        <v>30</v>
      </c>
    </row>
    <row r="64" spans="2:20" s="169" customFormat="1" ht="13.5" customHeight="1">
      <c r="B64" s="168" t="s">
        <v>103</v>
      </c>
      <c r="D64" s="170"/>
      <c r="E64" s="171"/>
      <c r="F64" s="172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>
        <f t="shared" si="10"/>
        <v>0</v>
      </c>
      <c r="R64" s="173">
        <f t="shared" si="6"/>
        <v>0</v>
      </c>
      <c r="S64" s="173">
        <f t="shared" si="7"/>
        <v>0</v>
      </c>
      <c r="T64" s="173">
        <f t="shared" si="8"/>
        <v>0</v>
      </c>
    </row>
    <row r="65" spans="1:20" s="169" customFormat="1" ht="13.5" customHeight="1">
      <c r="B65" s="168"/>
      <c r="C65" s="175" t="s">
        <v>104</v>
      </c>
      <c r="D65" s="176"/>
      <c r="E65" s="177">
        <f t="shared" ca="1" si="11"/>
        <v>0</v>
      </c>
      <c r="F65" s="172"/>
      <c r="G65" s="200"/>
      <c r="H65" s="200"/>
      <c r="I65" s="200"/>
      <c r="J65" s="200"/>
      <c r="K65" s="200"/>
      <c r="L65" s="200"/>
      <c r="M65" s="200"/>
      <c r="N65" s="200"/>
      <c r="O65" s="200"/>
      <c r="P65" s="200"/>
      <c r="Q65" s="200">
        <f t="shared" si="10"/>
        <v>0</v>
      </c>
      <c r="R65" s="200">
        <f t="shared" si="6"/>
        <v>0</v>
      </c>
      <c r="S65" s="200">
        <f t="shared" si="7"/>
        <v>0</v>
      </c>
      <c r="T65" s="200">
        <f t="shared" si="8"/>
        <v>0</v>
      </c>
    </row>
    <row r="66" spans="1:20" s="174" customFormat="1" ht="13.5" customHeight="1">
      <c r="A66" s="169"/>
      <c r="B66" s="168"/>
      <c r="C66" s="179" t="s">
        <v>105</v>
      </c>
      <c r="D66" s="170"/>
      <c r="E66" s="201">
        <f ca="1">OFFSET($F66,0,시나리오)</f>
        <v>451</v>
      </c>
      <c r="G66" s="202">
        <v>451</v>
      </c>
      <c r="H66" s="202">
        <f>G66</f>
        <v>451</v>
      </c>
      <c r="I66" s="202">
        <f t="shared" ref="I66:N66" si="19">H66</f>
        <v>451</v>
      </c>
      <c r="J66" s="202">
        <f t="shared" si="19"/>
        <v>451</v>
      </c>
      <c r="K66" s="202">
        <f t="shared" si="19"/>
        <v>451</v>
      </c>
      <c r="L66" s="202">
        <f t="shared" si="19"/>
        <v>451</v>
      </c>
      <c r="M66" s="202">
        <f t="shared" si="19"/>
        <v>451</v>
      </c>
      <c r="N66" s="202">
        <f t="shared" si="19"/>
        <v>451</v>
      </c>
      <c r="O66" s="202">
        <v>451</v>
      </c>
      <c r="P66" s="202">
        <v>451</v>
      </c>
      <c r="Q66" s="202">
        <f t="shared" si="10"/>
        <v>451</v>
      </c>
      <c r="R66" s="202">
        <f t="shared" si="6"/>
        <v>451</v>
      </c>
      <c r="S66" s="202">
        <f t="shared" si="7"/>
        <v>451</v>
      </c>
      <c r="T66" s="202">
        <f t="shared" si="8"/>
        <v>451</v>
      </c>
    </row>
    <row r="67" spans="1:20" s="169" customFormat="1" ht="13.5" customHeight="1">
      <c r="B67" s="168"/>
      <c r="C67" s="188" t="s">
        <v>106</v>
      </c>
      <c r="D67" s="189"/>
      <c r="E67" s="203">
        <f t="shared" ca="1" si="11"/>
        <v>44742</v>
      </c>
      <c r="F67" s="204"/>
      <c r="G67" s="205">
        <v>44742</v>
      </c>
      <c r="H67" s="205">
        <f>G67</f>
        <v>44742</v>
      </c>
      <c r="I67" s="205">
        <f t="shared" ref="I67:N67" si="20">H67</f>
        <v>44742</v>
      </c>
      <c r="J67" s="205">
        <f t="shared" si="20"/>
        <v>44742</v>
      </c>
      <c r="K67" s="205">
        <f t="shared" si="20"/>
        <v>44742</v>
      </c>
      <c r="L67" s="205">
        <f t="shared" si="20"/>
        <v>44742</v>
      </c>
      <c r="M67" s="205">
        <f t="shared" si="20"/>
        <v>44742</v>
      </c>
      <c r="N67" s="205">
        <f t="shared" si="20"/>
        <v>44742</v>
      </c>
      <c r="O67" s="205">
        <v>44742</v>
      </c>
      <c r="P67" s="205">
        <v>44742</v>
      </c>
      <c r="Q67" s="205">
        <f t="shared" si="10"/>
        <v>44742</v>
      </c>
      <c r="R67" s="205">
        <f t="shared" si="6"/>
        <v>44742</v>
      </c>
      <c r="S67" s="205">
        <f t="shared" si="7"/>
        <v>44742</v>
      </c>
      <c r="T67" s="205">
        <f t="shared" si="8"/>
        <v>44742</v>
      </c>
    </row>
    <row r="68" spans="1:20" ht="13.5" customHeight="1" outlineLevel="1">
      <c r="B68" s="137" t="s">
        <v>107</v>
      </c>
      <c r="D68" s="132"/>
      <c r="E68" s="165"/>
      <c r="F68" s="166"/>
      <c r="G68" s="206"/>
      <c r="H68" s="206"/>
      <c r="I68" s="206"/>
      <c r="J68" s="206"/>
      <c r="K68" s="206"/>
      <c r="L68" s="206"/>
      <c r="M68" s="206"/>
      <c r="N68" s="206"/>
      <c r="O68" s="206"/>
      <c r="P68" s="206"/>
      <c r="Q68" s="206">
        <f t="shared" si="10"/>
        <v>0</v>
      </c>
      <c r="R68" s="206">
        <f t="shared" si="6"/>
        <v>0</v>
      </c>
      <c r="S68" s="206">
        <f t="shared" si="7"/>
        <v>0</v>
      </c>
      <c r="T68" s="206">
        <f t="shared" si="8"/>
        <v>0</v>
      </c>
    </row>
    <row r="69" spans="1:20" ht="13.5" customHeight="1" outlineLevel="1">
      <c r="B69" s="137"/>
      <c r="C69" s="138" t="s">
        <v>108</v>
      </c>
      <c r="D69" s="207"/>
      <c r="E69" s="208">
        <f t="shared" ca="1" si="11"/>
        <v>0.03</v>
      </c>
      <c r="F69" s="166"/>
      <c r="G69" s="209">
        <v>0.03</v>
      </c>
      <c r="H69" s="209">
        <v>0.03</v>
      </c>
      <c r="I69" s="209">
        <v>0.03</v>
      </c>
      <c r="J69" s="209">
        <v>0.03</v>
      </c>
      <c r="K69" s="209">
        <v>0.03</v>
      </c>
      <c r="L69" s="4720">
        <v>0.05</v>
      </c>
      <c r="M69" s="209">
        <v>0.03</v>
      </c>
      <c r="N69" s="209">
        <v>0.03</v>
      </c>
      <c r="O69" s="4720">
        <v>0</v>
      </c>
      <c r="P69" s="209">
        <v>0.03</v>
      </c>
      <c r="Q69" s="209">
        <f t="shared" si="10"/>
        <v>0.03</v>
      </c>
      <c r="R69" s="209">
        <f t="shared" si="6"/>
        <v>0.03</v>
      </c>
      <c r="S69" s="209">
        <f t="shared" si="7"/>
        <v>0.03</v>
      </c>
      <c r="T69" s="209">
        <f t="shared" si="8"/>
        <v>0.03</v>
      </c>
    </row>
    <row r="70" spans="1:20" ht="13.5" customHeight="1" outlineLevel="1">
      <c r="B70" s="137"/>
      <c r="C70" s="147" t="s">
        <v>109</v>
      </c>
      <c r="D70" s="210"/>
      <c r="E70" s="163">
        <f t="shared" ca="1" si="11"/>
        <v>3</v>
      </c>
      <c r="F70" s="134"/>
      <c r="G70" s="211">
        <v>3</v>
      </c>
      <c r="H70" s="211">
        <v>3</v>
      </c>
      <c r="I70" s="211">
        <v>3</v>
      </c>
      <c r="J70" s="211">
        <v>3</v>
      </c>
      <c r="K70" s="211">
        <v>3</v>
      </c>
      <c r="L70" s="4721">
        <v>5</v>
      </c>
      <c r="M70" s="211">
        <v>3</v>
      </c>
      <c r="N70" s="211">
        <v>3</v>
      </c>
      <c r="O70" s="4721">
        <v>3</v>
      </c>
      <c r="P70" s="211">
        <v>3</v>
      </c>
      <c r="Q70" s="211">
        <f t="shared" si="10"/>
        <v>3</v>
      </c>
      <c r="R70" s="211">
        <f t="shared" si="6"/>
        <v>3</v>
      </c>
      <c r="S70" s="211">
        <f t="shared" si="7"/>
        <v>3</v>
      </c>
      <c r="T70" s="211">
        <f t="shared" si="8"/>
        <v>3</v>
      </c>
    </row>
    <row r="71" spans="1:20" ht="13.5" customHeight="1" outlineLevel="1">
      <c r="B71" s="137" t="s">
        <v>110</v>
      </c>
      <c r="C71" s="212"/>
      <c r="D71" s="132"/>
      <c r="E71" s="133"/>
      <c r="F71" s="134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>
        <f t="shared" si="10"/>
        <v>0</v>
      </c>
      <c r="R71" s="146">
        <f t="shared" si="6"/>
        <v>0</v>
      </c>
      <c r="S71" s="146">
        <f t="shared" si="7"/>
        <v>0</v>
      </c>
      <c r="T71" s="146">
        <f t="shared" si="8"/>
        <v>0</v>
      </c>
    </row>
    <row r="72" spans="1:20" ht="13.5" customHeight="1" outlineLevel="1">
      <c r="B72" s="137"/>
      <c r="C72" s="138" t="s">
        <v>111</v>
      </c>
      <c r="D72" s="213"/>
      <c r="E72" s="140">
        <f t="shared" ca="1" si="11"/>
        <v>20</v>
      </c>
      <c r="F72" s="134"/>
      <c r="G72" s="141">
        <v>20</v>
      </c>
      <c r="H72" s="141">
        <v>20</v>
      </c>
      <c r="I72" s="141">
        <v>20</v>
      </c>
      <c r="J72" s="141">
        <v>20</v>
      </c>
      <c r="K72" s="141">
        <v>20</v>
      </c>
      <c r="L72" s="141">
        <v>20</v>
      </c>
      <c r="M72" s="141">
        <v>20</v>
      </c>
      <c r="N72" s="141">
        <v>20</v>
      </c>
      <c r="O72" s="141">
        <v>20</v>
      </c>
      <c r="P72" s="141">
        <v>20</v>
      </c>
      <c r="Q72" s="141">
        <f t="shared" si="10"/>
        <v>20</v>
      </c>
      <c r="R72" s="141">
        <f t="shared" ref="R72:R91" si="21">H72</f>
        <v>20</v>
      </c>
      <c r="S72" s="141">
        <f t="shared" ref="S72:S91" si="22">I72</f>
        <v>20</v>
      </c>
      <c r="T72" s="141">
        <f t="shared" ref="T72:T91" si="23">J72</f>
        <v>20</v>
      </c>
    </row>
    <row r="73" spans="1:20" ht="13.5" customHeight="1" outlineLevel="1">
      <c r="B73" s="137"/>
      <c r="C73" s="142" t="s">
        <v>112</v>
      </c>
      <c r="D73" s="143"/>
      <c r="E73" s="214">
        <f t="shared" ca="1" si="11"/>
        <v>0.05</v>
      </c>
      <c r="F73" s="215"/>
      <c r="G73" s="216">
        <v>0.05</v>
      </c>
      <c r="H73" s="216">
        <v>0.05</v>
      </c>
      <c r="I73" s="216">
        <v>0.05</v>
      </c>
      <c r="J73" s="216">
        <v>0.05</v>
      </c>
      <c r="K73" s="216">
        <v>0.05</v>
      </c>
      <c r="L73" s="216">
        <v>0.05</v>
      </c>
      <c r="M73" s="216">
        <v>0.05</v>
      </c>
      <c r="N73" s="216">
        <v>0.05</v>
      </c>
      <c r="O73" s="216">
        <v>0.05</v>
      </c>
      <c r="P73" s="216">
        <v>0.05</v>
      </c>
      <c r="Q73" s="216">
        <f t="shared" ref="Q73:Q91" si="24">G73</f>
        <v>0.05</v>
      </c>
      <c r="R73" s="216">
        <f t="shared" si="21"/>
        <v>0.05</v>
      </c>
      <c r="S73" s="216">
        <f t="shared" si="22"/>
        <v>0.05</v>
      </c>
      <c r="T73" s="216">
        <f t="shared" si="23"/>
        <v>0.05</v>
      </c>
    </row>
    <row r="74" spans="1:20" ht="13.5" customHeight="1" outlineLevel="1">
      <c r="B74" s="137"/>
      <c r="C74" s="147" t="s">
        <v>113</v>
      </c>
      <c r="D74" s="162"/>
      <c r="E74" s="163">
        <f t="shared" ca="1" si="11"/>
        <v>3</v>
      </c>
      <c r="F74" s="215"/>
      <c r="G74" s="211">
        <v>3</v>
      </c>
      <c r="H74" s="211">
        <v>3</v>
      </c>
      <c r="I74" s="211">
        <v>3</v>
      </c>
      <c r="J74" s="211">
        <v>3</v>
      </c>
      <c r="K74" s="211">
        <v>3</v>
      </c>
      <c r="L74" s="211">
        <v>3</v>
      </c>
      <c r="M74" s="211">
        <v>3</v>
      </c>
      <c r="N74" s="211">
        <v>3</v>
      </c>
      <c r="O74" s="211">
        <v>3</v>
      </c>
      <c r="P74" s="211">
        <v>3</v>
      </c>
      <c r="Q74" s="211">
        <f t="shared" si="24"/>
        <v>3</v>
      </c>
      <c r="R74" s="211">
        <f t="shared" si="21"/>
        <v>3</v>
      </c>
      <c r="S74" s="211">
        <f t="shared" si="22"/>
        <v>3</v>
      </c>
      <c r="T74" s="211">
        <f t="shared" si="23"/>
        <v>3</v>
      </c>
    </row>
    <row r="75" spans="1:20" ht="13.5" customHeight="1" outlineLevel="1">
      <c r="B75" s="137" t="s">
        <v>114</v>
      </c>
      <c r="D75" s="132"/>
      <c r="E75" s="165"/>
      <c r="F75" s="16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6">
        <f t="shared" si="24"/>
        <v>0</v>
      </c>
      <c r="R75" s="206">
        <f t="shared" si="21"/>
        <v>0</v>
      </c>
      <c r="S75" s="206">
        <f t="shared" si="22"/>
        <v>0</v>
      </c>
      <c r="T75" s="206">
        <f t="shared" si="23"/>
        <v>0</v>
      </c>
    </row>
    <row r="76" spans="1:20" ht="13.5" customHeight="1" outlineLevel="1">
      <c r="B76" s="137"/>
      <c r="C76" s="138" t="s">
        <v>5257</v>
      </c>
      <c r="D76" s="207"/>
      <c r="E76" s="217">
        <f t="shared" ca="1" si="5"/>
        <v>1.2</v>
      </c>
      <c r="F76" s="218"/>
      <c r="G76" s="219">
        <v>1.2</v>
      </c>
      <c r="H76" s="219">
        <v>1.2</v>
      </c>
      <c r="I76" s="219">
        <v>1.2</v>
      </c>
      <c r="J76" s="219">
        <v>1.2</v>
      </c>
      <c r="K76" s="219">
        <v>1.2</v>
      </c>
      <c r="L76" s="219">
        <v>1.2</v>
      </c>
      <c r="M76" s="219">
        <v>1.2</v>
      </c>
      <c r="N76" s="219">
        <v>1.2</v>
      </c>
      <c r="O76" s="219">
        <v>1.2</v>
      </c>
      <c r="P76" s="219">
        <v>1.2</v>
      </c>
      <c r="Q76" s="219">
        <f t="shared" si="24"/>
        <v>1.2</v>
      </c>
      <c r="R76" s="219">
        <f t="shared" si="21"/>
        <v>1.2</v>
      </c>
      <c r="S76" s="219">
        <f t="shared" si="22"/>
        <v>1.2</v>
      </c>
      <c r="T76" s="219">
        <f t="shared" si="23"/>
        <v>1.2</v>
      </c>
    </row>
    <row r="77" spans="1:20" ht="13.5" customHeight="1" outlineLevel="1">
      <c r="B77" s="137"/>
      <c r="C77" s="147" t="s">
        <v>115</v>
      </c>
      <c r="D77" s="210"/>
      <c r="E77" s="220">
        <f t="shared" ca="1" si="5"/>
        <v>1.3</v>
      </c>
      <c r="F77" s="218"/>
      <c r="G77" s="221">
        <v>1.3</v>
      </c>
      <c r="H77" s="221">
        <v>1.3</v>
      </c>
      <c r="I77" s="221">
        <v>1.3</v>
      </c>
      <c r="J77" s="221">
        <v>1.3</v>
      </c>
      <c r="K77" s="221">
        <v>1.3</v>
      </c>
      <c r="L77" s="221">
        <v>1.3</v>
      </c>
      <c r="M77" s="221">
        <v>1.3</v>
      </c>
      <c r="N77" s="221">
        <v>1.3</v>
      </c>
      <c r="O77" s="221">
        <v>1.3</v>
      </c>
      <c r="P77" s="221">
        <v>1.3</v>
      </c>
      <c r="Q77" s="221">
        <f t="shared" si="24"/>
        <v>1.3</v>
      </c>
      <c r="R77" s="221">
        <f t="shared" si="21"/>
        <v>1.3</v>
      </c>
      <c r="S77" s="221">
        <f t="shared" si="22"/>
        <v>1.3</v>
      </c>
      <c r="T77" s="221">
        <f t="shared" si="23"/>
        <v>1.3</v>
      </c>
    </row>
    <row r="78" spans="1:20" ht="13.5" customHeight="1" outlineLevel="1">
      <c r="B78" s="137" t="s">
        <v>116</v>
      </c>
      <c r="D78" s="132"/>
      <c r="E78" s="165"/>
      <c r="F78" s="134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>
        <f t="shared" si="24"/>
        <v>0</v>
      </c>
      <c r="R78" s="146">
        <f t="shared" si="21"/>
        <v>0</v>
      </c>
      <c r="S78" s="146">
        <f t="shared" si="22"/>
        <v>0</v>
      </c>
      <c r="T78" s="146">
        <f t="shared" si="23"/>
        <v>0</v>
      </c>
    </row>
    <row r="79" spans="1:20" ht="13.5" customHeight="1" outlineLevel="1">
      <c r="B79" s="137"/>
      <c r="C79" s="222" t="s">
        <v>117</v>
      </c>
      <c r="D79" s="207"/>
      <c r="E79" s="208">
        <f t="shared" ca="1" si="5"/>
        <v>1</v>
      </c>
      <c r="F79" s="215"/>
      <c r="G79" s="209">
        <v>1</v>
      </c>
      <c r="H79" s="209">
        <v>1</v>
      </c>
      <c r="I79" s="209">
        <v>1</v>
      </c>
      <c r="J79" s="209">
        <v>1</v>
      </c>
      <c r="K79" s="209">
        <v>1</v>
      </c>
      <c r="L79" s="209">
        <v>1</v>
      </c>
      <c r="M79" s="209">
        <v>1</v>
      </c>
      <c r="N79" s="209">
        <v>1</v>
      </c>
      <c r="O79" s="209">
        <v>1</v>
      </c>
      <c r="P79" s="209">
        <v>1</v>
      </c>
      <c r="Q79" s="209">
        <f t="shared" si="24"/>
        <v>1</v>
      </c>
      <c r="R79" s="209">
        <f t="shared" si="21"/>
        <v>1</v>
      </c>
      <c r="S79" s="209">
        <f t="shared" si="22"/>
        <v>1</v>
      </c>
      <c r="T79" s="209">
        <f t="shared" si="23"/>
        <v>1</v>
      </c>
    </row>
    <row r="80" spans="1:20" ht="13.5" customHeight="1" outlineLevel="1">
      <c r="B80" s="137"/>
      <c r="C80" s="223" t="s">
        <v>118</v>
      </c>
      <c r="D80" s="210"/>
      <c r="E80" s="224">
        <f t="shared" ca="1" si="5"/>
        <v>0.01</v>
      </c>
      <c r="F80" s="215"/>
      <c r="G80" s="225">
        <v>0.01</v>
      </c>
      <c r="H80" s="225">
        <v>0.01</v>
      </c>
      <c r="I80" s="225">
        <v>0.01</v>
      </c>
      <c r="J80" s="225">
        <v>0.01</v>
      </c>
      <c r="K80" s="225">
        <v>0.01</v>
      </c>
      <c r="L80" s="225">
        <v>0.01</v>
      </c>
      <c r="M80" s="225">
        <v>0.01</v>
      </c>
      <c r="N80" s="225">
        <v>0.01</v>
      </c>
      <c r="O80" s="225">
        <v>0.01</v>
      </c>
      <c r="P80" s="225">
        <v>0.01</v>
      </c>
      <c r="Q80" s="225">
        <f t="shared" si="24"/>
        <v>0.01</v>
      </c>
      <c r="R80" s="225">
        <f t="shared" si="21"/>
        <v>0.01</v>
      </c>
      <c r="S80" s="225">
        <f t="shared" si="22"/>
        <v>0.01</v>
      </c>
      <c r="T80" s="225">
        <f t="shared" si="23"/>
        <v>0.01</v>
      </c>
    </row>
    <row r="81" spans="2:20" ht="13.5" customHeight="1" outlineLevel="1">
      <c r="B81" s="137"/>
      <c r="C81" s="222" t="s">
        <v>119</v>
      </c>
      <c r="D81" s="207"/>
      <c r="E81" s="140">
        <f t="shared" ca="1" si="5"/>
        <v>1</v>
      </c>
      <c r="F81" s="215"/>
      <c r="G81" s="141">
        <v>1</v>
      </c>
      <c r="H81" s="141">
        <v>1</v>
      </c>
      <c r="I81" s="141">
        <v>1</v>
      </c>
      <c r="J81" s="141">
        <v>1</v>
      </c>
      <c r="K81" s="141">
        <v>1</v>
      </c>
      <c r="L81" s="141">
        <v>1</v>
      </c>
      <c r="M81" s="141">
        <v>1</v>
      </c>
      <c r="N81" s="141">
        <v>1</v>
      </c>
      <c r="O81" s="141">
        <v>1</v>
      </c>
      <c r="P81" s="141">
        <v>1</v>
      </c>
      <c r="Q81" s="141">
        <f t="shared" si="24"/>
        <v>1</v>
      </c>
      <c r="R81" s="141">
        <f t="shared" si="21"/>
        <v>1</v>
      </c>
      <c r="S81" s="141">
        <f t="shared" si="22"/>
        <v>1</v>
      </c>
      <c r="T81" s="141">
        <f t="shared" si="23"/>
        <v>1</v>
      </c>
    </row>
    <row r="82" spans="2:20" ht="13.5" customHeight="1" outlineLevel="1">
      <c r="B82" s="137"/>
      <c r="C82" s="223" t="s">
        <v>120</v>
      </c>
      <c r="D82" s="210"/>
      <c r="E82" s="163">
        <f ca="1">OFFSET($F82,0,시나리오)</f>
        <v>1</v>
      </c>
      <c r="F82" s="215"/>
      <c r="G82" s="211">
        <v>1</v>
      </c>
      <c r="H82" s="211">
        <v>1</v>
      </c>
      <c r="I82" s="211">
        <v>1</v>
      </c>
      <c r="J82" s="211">
        <v>1</v>
      </c>
      <c r="K82" s="211">
        <v>1</v>
      </c>
      <c r="L82" s="211">
        <v>1</v>
      </c>
      <c r="M82" s="211">
        <v>1</v>
      </c>
      <c r="N82" s="211">
        <v>1</v>
      </c>
      <c r="O82" s="211">
        <v>1</v>
      </c>
      <c r="P82" s="211">
        <v>1</v>
      </c>
      <c r="Q82" s="211">
        <f t="shared" si="24"/>
        <v>1</v>
      </c>
      <c r="R82" s="211">
        <f t="shared" si="21"/>
        <v>1</v>
      </c>
      <c r="S82" s="211">
        <f t="shared" si="22"/>
        <v>1</v>
      </c>
      <c r="T82" s="211">
        <f t="shared" si="23"/>
        <v>1</v>
      </c>
    </row>
    <row r="83" spans="2:20" ht="13.5" customHeight="1">
      <c r="B83" s="137" t="s">
        <v>121</v>
      </c>
      <c r="C83" s="215"/>
      <c r="D83" s="132"/>
      <c r="E83" s="133"/>
      <c r="F83" s="215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>
        <f t="shared" si="24"/>
        <v>0</v>
      </c>
      <c r="R83" s="144">
        <f t="shared" si="21"/>
        <v>0</v>
      </c>
      <c r="S83" s="144">
        <f t="shared" si="22"/>
        <v>0</v>
      </c>
      <c r="T83" s="144">
        <f t="shared" si="23"/>
        <v>0</v>
      </c>
    </row>
    <row r="84" spans="2:20" ht="13.5" customHeight="1">
      <c r="B84" s="226"/>
      <c r="C84" s="227" t="s">
        <v>122</v>
      </c>
      <c r="D84" s="228" t="s">
        <v>123</v>
      </c>
      <c r="E84" s="229">
        <f ca="1">OFFSET($F84,0,시나리오)</f>
        <v>2</v>
      </c>
      <c r="F84" s="230"/>
      <c r="G84" s="231">
        <v>2</v>
      </c>
      <c r="H84" s="231">
        <v>2</v>
      </c>
      <c r="I84" s="231">
        <v>2</v>
      </c>
      <c r="J84" s="231">
        <v>2</v>
      </c>
      <c r="K84" s="231">
        <v>2</v>
      </c>
      <c r="L84" s="231">
        <v>2</v>
      </c>
      <c r="M84" s="231">
        <v>2</v>
      </c>
      <c r="N84" s="231">
        <v>2</v>
      </c>
      <c r="O84" s="231">
        <v>2</v>
      </c>
      <c r="P84" s="231">
        <v>2</v>
      </c>
      <c r="Q84" s="231">
        <f t="shared" si="24"/>
        <v>2</v>
      </c>
      <c r="R84" s="231">
        <f t="shared" si="21"/>
        <v>2</v>
      </c>
      <c r="S84" s="231">
        <f t="shared" si="22"/>
        <v>2</v>
      </c>
      <c r="T84" s="231">
        <f t="shared" si="23"/>
        <v>2</v>
      </c>
    </row>
    <row r="85" spans="2:20" ht="13.5" customHeight="1">
      <c r="B85" s="226"/>
      <c r="C85" s="227" t="s">
        <v>124</v>
      </c>
      <c r="D85" s="228" t="s">
        <v>125</v>
      </c>
      <c r="E85" s="229">
        <f ca="1">OFFSET($F85,0,시나리오)</f>
        <v>2</v>
      </c>
      <c r="F85" s="230"/>
      <c r="G85" s="232">
        <v>2</v>
      </c>
      <c r="H85" s="232">
        <v>2</v>
      </c>
      <c r="I85" s="232">
        <v>2</v>
      </c>
      <c r="J85" s="232">
        <v>2</v>
      </c>
      <c r="K85" s="232">
        <v>2</v>
      </c>
      <c r="L85" s="232">
        <v>2</v>
      </c>
      <c r="M85" s="232">
        <v>2</v>
      </c>
      <c r="N85" s="232">
        <v>2</v>
      </c>
      <c r="O85" s="232">
        <v>2</v>
      </c>
      <c r="P85" s="232">
        <v>2</v>
      </c>
      <c r="Q85" s="232">
        <f t="shared" si="24"/>
        <v>2</v>
      </c>
      <c r="R85" s="232">
        <f t="shared" si="21"/>
        <v>2</v>
      </c>
      <c r="S85" s="232">
        <f t="shared" si="22"/>
        <v>2</v>
      </c>
      <c r="T85" s="232">
        <f t="shared" si="23"/>
        <v>2</v>
      </c>
    </row>
    <row r="86" spans="2:20" s="169" customFormat="1" ht="13.5" customHeight="1">
      <c r="B86" s="233"/>
      <c r="C86" s="234" t="s">
        <v>126</v>
      </c>
      <c r="D86" s="235"/>
      <c r="E86" s="236">
        <f ca="1">OFFSET($F86,0,시나리오)</f>
        <v>520</v>
      </c>
      <c r="F86" s="237"/>
      <c r="G86" s="238">
        <v>520</v>
      </c>
      <c r="H86" s="238">
        <v>520</v>
      </c>
      <c r="I86" s="238">
        <v>520</v>
      </c>
      <c r="J86" s="238">
        <v>520</v>
      </c>
      <c r="K86" s="238">
        <v>520</v>
      </c>
      <c r="L86" s="238">
        <v>520</v>
      </c>
      <c r="M86" s="238">
        <v>520</v>
      </c>
      <c r="N86" s="238">
        <v>520</v>
      </c>
      <c r="O86" s="238">
        <v>520</v>
      </c>
      <c r="P86" s="238">
        <v>520</v>
      </c>
      <c r="Q86" s="238">
        <f t="shared" si="24"/>
        <v>520</v>
      </c>
      <c r="R86" s="238">
        <f t="shared" si="21"/>
        <v>520</v>
      </c>
      <c r="S86" s="238">
        <f t="shared" si="22"/>
        <v>520</v>
      </c>
      <c r="T86" s="238">
        <f t="shared" si="23"/>
        <v>520</v>
      </c>
    </row>
    <row r="87" spans="2:20" ht="13.5" customHeight="1">
      <c r="B87" s="137" t="s">
        <v>127</v>
      </c>
      <c r="D87" s="132"/>
      <c r="E87" s="165"/>
      <c r="F87" s="134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>
        <f t="shared" si="24"/>
        <v>0</v>
      </c>
      <c r="R87" s="146">
        <f t="shared" si="21"/>
        <v>0</v>
      </c>
      <c r="S87" s="146">
        <f t="shared" si="22"/>
        <v>0</v>
      </c>
      <c r="T87" s="146">
        <f t="shared" si="23"/>
        <v>0</v>
      </c>
    </row>
    <row r="88" spans="2:20" ht="13.5" customHeight="1">
      <c r="B88" s="137"/>
      <c r="C88" s="227" t="s">
        <v>128</v>
      </c>
      <c r="D88" s="228"/>
      <c r="E88" s="239">
        <f ca="1">OFFSET($F88,0,시나리오)</f>
        <v>1.4999999999999999E-2</v>
      </c>
      <c r="F88" s="240"/>
      <c r="G88" s="241">
        <v>1.4999999999999999E-2</v>
      </c>
      <c r="H88" s="241">
        <v>1.4999999999999999E-2</v>
      </c>
      <c r="I88" s="241">
        <v>1.4999999999999999E-2</v>
      </c>
      <c r="J88" s="241">
        <v>1.4999999999999999E-2</v>
      </c>
      <c r="K88" s="241">
        <v>1.4999999999999999E-2</v>
      </c>
      <c r="L88" s="241">
        <v>1.4999999999999999E-2</v>
      </c>
      <c r="M88" s="241">
        <v>1.4999999999999999E-2</v>
      </c>
      <c r="N88" s="241">
        <v>1.4999999999999999E-2</v>
      </c>
      <c r="O88" s="241">
        <v>1.4999999999999999E-2</v>
      </c>
      <c r="P88" s="241">
        <v>1.4999999999999999E-2</v>
      </c>
      <c r="Q88" s="241">
        <f t="shared" si="24"/>
        <v>1.4999999999999999E-2</v>
      </c>
      <c r="R88" s="241">
        <f t="shared" si="21"/>
        <v>1.4999999999999999E-2</v>
      </c>
      <c r="S88" s="241">
        <f t="shared" si="22"/>
        <v>1.4999999999999999E-2</v>
      </c>
      <c r="T88" s="241">
        <f t="shared" si="23"/>
        <v>1.4999999999999999E-2</v>
      </c>
    </row>
    <row r="89" spans="2:20" ht="13.5" customHeight="1">
      <c r="B89" s="242"/>
      <c r="C89" s="5351" t="s">
        <v>5164</v>
      </c>
      <c r="D89" s="228"/>
      <c r="E89" s="5352">
        <f ca="1">OFFSET($F89,0,시나리오)</f>
        <v>1.4999999999999999E-2</v>
      </c>
      <c r="F89" s="243"/>
      <c r="G89" s="241">
        <v>1.4999999999999999E-2</v>
      </c>
      <c r="H89" s="241">
        <v>1.4999999999999999E-2</v>
      </c>
      <c r="I89" s="241">
        <v>1.4999999999999999E-2</v>
      </c>
      <c r="J89" s="241">
        <v>1.4999999999999999E-2</v>
      </c>
      <c r="K89" s="241">
        <v>1.4999999999999999E-2</v>
      </c>
      <c r="L89" s="241">
        <v>1.4999999999999999E-2</v>
      </c>
      <c r="M89" s="241">
        <v>1.4999999999999999E-2</v>
      </c>
      <c r="N89" s="241">
        <v>1.4999999999999999E-2</v>
      </c>
      <c r="O89" s="241">
        <v>1.4999999999999999E-2</v>
      </c>
      <c r="P89" s="241">
        <v>1.4999999999999999E-2</v>
      </c>
      <c r="Q89" s="241">
        <f t="shared" si="24"/>
        <v>1.4999999999999999E-2</v>
      </c>
      <c r="R89" s="241">
        <f t="shared" si="21"/>
        <v>1.4999999999999999E-2</v>
      </c>
      <c r="S89" s="241">
        <f t="shared" si="22"/>
        <v>1.4999999999999999E-2</v>
      </c>
      <c r="T89" s="241">
        <f t="shared" si="23"/>
        <v>1.4999999999999999E-2</v>
      </c>
    </row>
    <row r="90" spans="2:20" ht="13.5" customHeight="1">
      <c r="B90" s="137" t="s">
        <v>5254</v>
      </c>
      <c r="D90" s="132"/>
      <c r="E90" s="165"/>
      <c r="F90" s="134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>
        <f t="shared" si="24"/>
        <v>0</v>
      </c>
      <c r="R90" s="146">
        <f t="shared" si="21"/>
        <v>0</v>
      </c>
      <c r="S90" s="146">
        <f t="shared" si="22"/>
        <v>0</v>
      </c>
      <c r="T90" s="146">
        <f t="shared" si="23"/>
        <v>0</v>
      </c>
    </row>
    <row r="91" spans="2:20" ht="13.5" customHeight="1" thickBot="1">
      <c r="B91" s="137"/>
      <c r="C91" s="222" t="s">
        <v>5249</v>
      </c>
      <c r="D91" s="207"/>
      <c r="E91" s="229">
        <f ca="1">OFFSET($F91,0,시나리오)</f>
        <v>2</v>
      </c>
      <c r="F91" s="215"/>
      <c r="G91" s="5353">
        <v>2</v>
      </c>
      <c r="H91" s="5353">
        <v>2</v>
      </c>
      <c r="I91" s="5353">
        <v>2</v>
      </c>
      <c r="J91" s="5353">
        <v>2</v>
      </c>
      <c r="K91" s="5353">
        <v>2</v>
      </c>
      <c r="L91" s="5353">
        <v>2</v>
      </c>
      <c r="M91" s="5353">
        <v>2</v>
      </c>
      <c r="N91" s="5353">
        <v>2</v>
      </c>
      <c r="O91" s="5353">
        <v>2</v>
      </c>
      <c r="P91" s="5353">
        <v>1</v>
      </c>
      <c r="Q91" s="5353">
        <f t="shared" si="24"/>
        <v>2</v>
      </c>
      <c r="R91" s="5353">
        <f t="shared" si="21"/>
        <v>2</v>
      </c>
      <c r="S91" s="5353">
        <f t="shared" si="22"/>
        <v>2</v>
      </c>
      <c r="T91" s="5353">
        <f t="shared" si="23"/>
        <v>2</v>
      </c>
    </row>
    <row r="92" spans="2:20" ht="13.5" customHeight="1">
      <c r="B92" s="244" t="s">
        <v>129</v>
      </c>
      <c r="C92" s="245"/>
      <c r="D92" s="246"/>
      <c r="E92" s="246"/>
      <c r="F92" s="247"/>
      <c r="G92" s="248"/>
      <c r="H92" s="248"/>
      <c r="I92" s="248"/>
      <c r="J92" s="248"/>
      <c r="K92" s="248"/>
      <c r="L92" s="248"/>
      <c r="M92" s="248"/>
      <c r="N92" s="248"/>
      <c r="O92" s="248"/>
      <c r="P92" s="248"/>
      <c r="Q92" s="248"/>
      <c r="R92" s="248"/>
      <c r="S92" s="248"/>
      <c r="T92" s="248"/>
    </row>
    <row r="93" spans="2:20" ht="13.5" customHeight="1">
      <c r="B93" s="250" t="s">
        <v>130</v>
      </c>
      <c r="C93" s="131"/>
      <c r="D93" s="251"/>
      <c r="E93" s="252"/>
      <c r="F93" s="249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</row>
    <row r="94" spans="2:20" ht="13.5" customHeight="1">
      <c r="B94" s="226"/>
      <c r="C94" s="138" t="s">
        <v>131</v>
      </c>
      <c r="D94" s="253"/>
      <c r="E94" s="254">
        <f ca="1">BS!D58</f>
        <v>0</v>
      </c>
      <c r="F94" s="255"/>
      <c r="G94" s="153">
        <v>0</v>
      </c>
      <c r="H94" s="153">
        <v>0</v>
      </c>
      <c r="I94" s="153">
        <v>0</v>
      </c>
      <c r="J94" s="153">
        <v>0</v>
      </c>
      <c r="K94" s="153">
        <v>0</v>
      </c>
      <c r="L94" s="153">
        <v>0</v>
      </c>
      <c r="M94" s="153">
        <v>0</v>
      </c>
      <c r="N94" s="153">
        <v>0</v>
      </c>
      <c r="O94" s="153">
        <v>0</v>
      </c>
      <c r="P94" s="153">
        <v>0</v>
      </c>
      <c r="Q94" s="153">
        <v>0</v>
      </c>
      <c r="R94" s="153">
        <v>0</v>
      </c>
      <c r="S94" s="153">
        <v>0</v>
      </c>
      <c r="T94" s="153">
        <v>0</v>
      </c>
    </row>
    <row r="95" spans="2:20" ht="13.5" customHeight="1">
      <c r="B95" s="226"/>
      <c r="C95" s="142" t="s">
        <v>132</v>
      </c>
      <c r="D95" s="256"/>
      <c r="E95" s="252">
        <f ca="1">Waterfall!F114</f>
        <v>0</v>
      </c>
      <c r="F95" s="255"/>
      <c r="G95" s="146">
        <v>0</v>
      </c>
      <c r="H95" s="146">
        <v>0</v>
      </c>
      <c r="I95" s="146">
        <v>0</v>
      </c>
      <c r="J95" s="146">
        <v>0</v>
      </c>
      <c r="K95" s="146">
        <v>0</v>
      </c>
      <c r="L95" s="146">
        <v>0</v>
      </c>
      <c r="M95" s="146">
        <v>0</v>
      </c>
      <c r="N95" s="146">
        <v>0</v>
      </c>
      <c r="O95" s="146">
        <v>0</v>
      </c>
      <c r="P95" s="146">
        <v>0</v>
      </c>
      <c r="Q95" s="146">
        <v>0</v>
      </c>
      <c r="R95" s="146">
        <v>0</v>
      </c>
      <c r="S95" s="146">
        <v>0</v>
      </c>
      <c r="T95" s="146">
        <v>0</v>
      </c>
    </row>
    <row r="96" spans="2:20" ht="13.5" customHeight="1">
      <c r="B96" s="226"/>
      <c r="C96" s="147" t="s">
        <v>133</v>
      </c>
      <c r="D96" s="257"/>
      <c r="E96" s="258">
        <f ca="1">'CF(Q)'!F50</f>
        <v>0</v>
      </c>
      <c r="F96" s="255"/>
      <c r="G96" s="164">
        <v>0</v>
      </c>
      <c r="H96" s="164">
        <v>0</v>
      </c>
      <c r="I96" s="164">
        <v>0</v>
      </c>
      <c r="J96" s="164">
        <v>0</v>
      </c>
      <c r="K96" s="164">
        <v>0</v>
      </c>
      <c r="L96" s="164">
        <v>0</v>
      </c>
      <c r="M96" s="164">
        <v>0</v>
      </c>
      <c r="N96" s="164">
        <v>0</v>
      </c>
      <c r="O96" s="164">
        <v>0</v>
      </c>
      <c r="P96" s="164">
        <v>0</v>
      </c>
      <c r="Q96" s="164">
        <v>0</v>
      </c>
      <c r="R96" s="164">
        <v>0</v>
      </c>
      <c r="S96" s="164">
        <v>0</v>
      </c>
      <c r="T96" s="164">
        <v>0</v>
      </c>
    </row>
    <row r="97" spans="2:20" ht="13.5" customHeight="1">
      <c r="B97" s="226"/>
      <c r="C97" s="142" t="s">
        <v>5156</v>
      </c>
      <c r="D97" s="256"/>
      <c r="E97" s="252">
        <f ca="1">펀드FS!D81</f>
        <v>0</v>
      </c>
      <c r="F97" s="255"/>
      <c r="G97" s="146">
        <v>0</v>
      </c>
      <c r="H97" s="146">
        <v>0</v>
      </c>
      <c r="I97" s="146">
        <v>0</v>
      </c>
      <c r="J97" s="146">
        <v>0</v>
      </c>
      <c r="K97" s="146">
        <v>0</v>
      </c>
      <c r="L97" s="146">
        <v>0</v>
      </c>
      <c r="M97" s="146">
        <v>0</v>
      </c>
      <c r="N97" s="146">
        <v>0</v>
      </c>
      <c r="O97" s="146">
        <v>0</v>
      </c>
      <c r="P97" s="146">
        <v>0</v>
      </c>
      <c r="Q97" s="146">
        <v>0</v>
      </c>
      <c r="R97" s="146">
        <v>0</v>
      </c>
      <c r="S97" s="146">
        <v>0</v>
      </c>
      <c r="T97" s="146">
        <v>0</v>
      </c>
    </row>
    <row r="98" spans="2:20" ht="13.5" customHeight="1">
      <c r="B98" s="226"/>
      <c r="C98" s="147" t="s">
        <v>5157</v>
      </c>
      <c r="D98" s="257"/>
      <c r="E98" s="258">
        <f ca="1">펀드FS!D19</f>
        <v>0</v>
      </c>
      <c r="F98" s="255"/>
      <c r="G98" s="164">
        <v>0</v>
      </c>
      <c r="H98" s="164">
        <v>0</v>
      </c>
      <c r="I98" s="164">
        <v>0</v>
      </c>
      <c r="J98" s="164">
        <v>0</v>
      </c>
      <c r="K98" s="164">
        <v>0</v>
      </c>
      <c r="L98" s="164">
        <v>0</v>
      </c>
      <c r="M98" s="164">
        <v>0</v>
      </c>
      <c r="N98" s="164">
        <v>0</v>
      </c>
      <c r="O98" s="164">
        <v>0</v>
      </c>
      <c r="P98" s="164">
        <v>0</v>
      </c>
      <c r="Q98" s="164">
        <v>0</v>
      </c>
      <c r="R98" s="164">
        <v>0</v>
      </c>
      <c r="S98" s="164">
        <v>0</v>
      </c>
      <c r="T98" s="164">
        <v>0</v>
      </c>
    </row>
    <row r="99" spans="2:20" ht="13.5" customHeight="1">
      <c r="B99" s="259" t="s">
        <v>134</v>
      </c>
      <c r="C99" s="142"/>
      <c r="E99" s="260"/>
      <c r="F99" s="255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</row>
    <row r="100" spans="2:20" ht="13.5" customHeight="1">
      <c r="B100" s="226"/>
      <c r="C100" s="5414" t="s">
        <v>5312</v>
      </c>
      <c r="D100" s="5423"/>
      <c r="E100" s="5424">
        <f ca="1">펀드수익률!C6</f>
        <v>4.3139651417732239E-2</v>
      </c>
      <c r="F100" s="5425"/>
      <c r="G100" s="5426">
        <v>4.3139651417732239E-2</v>
      </c>
      <c r="H100" s="5426">
        <v>4.1962435841560369E-2</v>
      </c>
      <c r="I100" s="5426">
        <v>4.2551162838935855E-2</v>
      </c>
      <c r="J100" s="5426">
        <v>4.3727907538414004E-2</v>
      </c>
      <c r="K100" s="5426">
        <v>4.4315931200981151E-2</v>
      </c>
      <c r="L100" s="5426">
        <v>4.3139651417732239E-2</v>
      </c>
      <c r="M100" s="5426">
        <v>4.3139651417732239E-2</v>
      </c>
      <c r="N100" s="5426">
        <v>4.3139651417732239E-2</v>
      </c>
      <c r="O100" s="5426">
        <v>4.3139651417732239E-2</v>
      </c>
      <c r="P100" s="5426">
        <v>4.3139651417732239E-2</v>
      </c>
      <c r="Q100" s="5426">
        <v>4.4609853625297569E-2</v>
      </c>
      <c r="R100" s="5426">
        <v>4.6078589558601377E-2</v>
      </c>
      <c r="S100" s="5426">
        <v>4.7545871138572685E-2</v>
      </c>
      <c r="T100" s="5426">
        <v>4.9011692404747009E-2</v>
      </c>
    </row>
    <row r="101" spans="2:20" ht="13.5" customHeight="1">
      <c r="B101" s="226"/>
      <c r="C101" s="5419" t="s">
        <v>5313</v>
      </c>
      <c r="D101" s="5427"/>
      <c r="E101" s="5428">
        <f ca="1">펀드수익률!E6</f>
        <v>3.8544651865959165E-2</v>
      </c>
      <c r="F101" s="5425"/>
      <c r="G101" s="5429">
        <v>3.8544651865959165E-2</v>
      </c>
      <c r="H101" s="5429">
        <v>3.8544651865959165E-2</v>
      </c>
      <c r="I101" s="5429">
        <v>3.8544651865959165E-2</v>
      </c>
      <c r="J101" s="5429">
        <v>3.8544651865959165E-2</v>
      </c>
      <c r="K101" s="5429">
        <v>3.8544651865959165E-2</v>
      </c>
      <c r="L101" s="5429">
        <v>3.8544651865959165E-2</v>
      </c>
      <c r="M101" s="5429">
        <v>3.8544651865959165E-2</v>
      </c>
      <c r="N101" s="5429">
        <v>3.8544651865959165E-2</v>
      </c>
      <c r="O101" s="5429">
        <v>3.8544651865959165E-2</v>
      </c>
      <c r="P101" s="5429">
        <v>3.8544651865959165E-2</v>
      </c>
      <c r="Q101" s="5429">
        <v>3.8544651865959165E-2</v>
      </c>
      <c r="R101" s="5429">
        <v>3.8544651865959165E-2</v>
      </c>
      <c r="S101" s="5429">
        <v>3.8544651865959165E-2</v>
      </c>
      <c r="T101" s="5429">
        <v>3.8544651865959165E-2</v>
      </c>
    </row>
    <row r="102" spans="2:20" ht="13.5" customHeight="1">
      <c r="B102" s="226"/>
      <c r="C102" s="5419" t="s">
        <v>5314</v>
      </c>
      <c r="D102" s="5427"/>
      <c r="E102" s="5428">
        <f ca="1">펀드수익률!D6</f>
        <v>5.2786615490913402E-2</v>
      </c>
      <c r="F102" s="5425"/>
      <c r="G102" s="5429">
        <v>5.2786615490913402E-2</v>
      </c>
      <c r="H102" s="5429">
        <v>4.9145576357841489E-2</v>
      </c>
      <c r="I102" s="5429">
        <v>5.0967124104499814E-2</v>
      </c>
      <c r="J102" s="5429">
        <v>5.4604062438011164E-2</v>
      </c>
      <c r="K102" s="5429">
        <v>5.6419470906257624E-2</v>
      </c>
      <c r="L102" s="5429">
        <v>5.2786615490913402E-2</v>
      </c>
      <c r="M102" s="5429">
        <v>5.2786615490913402E-2</v>
      </c>
      <c r="N102" s="5429">
        <v>5.2786615490913402E-2</v>
      </c>
      <c r="O102" s="5429">
        <v>5.2786615490913402E-2</v>
      </c>
      <c r="P102" s="5429">
        <v>5.2786615490913402E-2</v>
      </c>
      <c r="Q102" s="5429">
        <v>5.7326403260231015E-2</v>
      </c>
      <c r="R102" s="5429">
        <v>6.1853453516960144E-2</v>
      </c>
      <c r="S102" s="5429">
        <v>6.6367807984352128E-2</v>
      </c>
      <c r="T102" s="5429">
        <v>7.0869520306587261E-2</v>
      </c>
    </row>
    <row r="103" spans="2:20" ht="13.5" customHeight="1">
      <c r="B103" s="226"/>
      <c r="C103" s="5419" t="s">
        <v>5315</v>
      </c>
      <c r="D103" s="5427"/>
      <c r="E103" s="5428">
        <f ca="1">펀드수익률!C5</f>
        <v>4.160479009151459E-2</v>
      </c>
      <c r="F103" s="5425"/>
      <c r="G103" s="5429">
        <v>4.160479009151459E-2</v>
      </c>
      <c r="H103" s="5429">
        <v>4.0427640080451979E-2</v>
      </c>
      <c r="I103" s="5429">
        <v>4.1016331315040594E-2</v>
      </c>
      <c r="J103" s="5429">
        <v>4.2193016409873968E-2</v>
      </c>
      <c r="K103" s="5429">
        <v>4.2781010270118713E-2</v>
      </c>
      <c r="L103" s="5429">
        <v>4.160479009151459E-2</v>
      </c>
      <c r="M103" s="5429">
        <v>4.160479009151459E-2</v>
      </c>
      <c r="N103" s="5429">
        <v>4.160479009151459E-2</v>
      </c>
      <c r="O103" s="5429">
        <v>4.160479009151459E-2</v>
      </c>
      <c r="P103" s="5429">
        <v>4.160479009151459E-2</v>
      </c>
      <c r="Q103" s="5429">
        <v>4.3074914813041681E-2</v>
      </c>
      <c r="R103" s="5429">
        <v>4.454357326030732E-2</v>
      </c>
      <c r="S103" s="5429">
        <v>4.6010777354240404E-2</v>
      </c>
      <c r="T103" s="5429">
        <v>4.7476521134376531E-2</v>
      </c>
    </row>
    <row r="104" spans="2:20" ht="13.5" customHeight="1">
      <c r="B104" s="226"/>
      <c r="C104" s="5419" t="s">
        <v>5316</v>
      </c>
      <c r="D104" s="5427"/>
      <c r="E104" s="5428">
        <f ca="1">펀드수익률!E5</f>
        <v>3.7004634737968459E-2</v>
      </c>
      <c r="F104" s="5425"/>
      <c r="G104" s="5429">
        <v>3.7004634737968459E-2</v>
      </c>
      <c r="H104" s="5429">
        <v>3.7004634737968459E-2</v>
      </c>
      <c r="I104" s="5429">
        <v>3.7004634737968459E-2</v>
      </c>
      <c r="J104" s="5429">
        <v>3.7004634737968459E-2</v>
      </c>
      <c r="K104" s="5429">
        <v>3.7004634737968459E-2</v>
      </c>
      <c r="L104" s="5429">
        <v>3.7004634737968459E-2</v>
      </c>
      <c r="M104" s="5429">
        <v>3.7004634737968459E-2</v>
      </c>
      <c r="N104" s="5429">
        <v>3.7004634737968459E-2</v>
      </c>
      <c r="O104" s="5429">
        <v>3.7004634737968459E-2</v>
      </c>
      <c r="P104" s="5429">
        <v>3.7004634737968459E-2</v>
      </c>
      <c r="Q104" s="5429">
        <v>3.7004634737968459E-2</v>
      </c>
      <c r="R104" s="5429">
        <v>3.7004634737968459E-2</v>
      </c>
      <c r="S104" s="5429">
        <v>3.7004634737968459E-2</v>
      </c>
      <c r="T104" s="5429">
        <v>3.7004634737968459E-2</v>
      </c>
    </row>
    <row r="105" spans="2:20" ht="13.5" customHeight="1">
      <c r="B105" s="226"/>
      <c r="C105" s="5430" t="s">
        <v>5317</v>
      </c>
      <c r="D105" s="5431"/>
      <c r="E105" s="5432">
        <f ca="1">펀드수익률!D5</f>
        <v>5.1261338591575625E-2</v>
      </c>
      <c r="F105" s="5433"/>
      <c r="G105" s="5434">
        <v>5.1261338591575625E-2</v>
      </c>
      <c r="H105" s="5434">
        <v>4.7620818018913269E-2</v>
      </c>
      <c r="I105" s="5434">
        <v>4.9442103505134602E-2</v>
      </c>
      <c r="J105" s="5434">
        <v>5.3078535199165347E-2</v>
      </c>
      <c r="K105" s="5434">
        <v>5.4893693327903753E-2</v>
      </c>
      <c r="L105" s="5434">
        <v>5.1261338591575625E-2</v>
      </c>
      <c r="M105" s="5434">
        <v>5.1261338591575625E-2</v>
      </c>
      <c r="N105" s="5434">
        <v>5.1261338591575625E-2</v>
      </c>
      <c r="O105" s="5434">
        <v>5.1261338591575625E-2</v>
      </c>
      <c r="P105" s="5434">
        <v>5.1261338591575625E-2</v>
      </c>
      <c r="Q105" s="5434">
        <v>5.580050647258758E-2</v>
      </c>
      <c r="R105" s="5434">
        <v>6.0326948761940002E-2</v>
      </c>
      <c r="S105" s="5434">
        <v>6.4840719103813185E-2</v>
      </c>
      <c r="T105" s="5434">
        <v>6.934186518192291E-2</v>
      </c>
    </row>
    <row r="106" spans="2:20" ht="13.5" customHeight="1">
      <c r="B106" s="130" t="s">
        <v>5163</v>
      </c>
      <c r="C106" s="142"/>
      <c r="E106" s="263">
        <f ca="1">SUM(E108:E109)</f>
        <v>0</v>
      </c>
      <c r="F106" s="255"/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</row>
    <row r="107" spans="2:20" ht="13.5" customHeight="1">
      <c r="B107" s="226"/>
      <c r="C107" s="5414" t="s">
        <v>5345</v>
      </c>
      <c r="D107" s="5415"/>
      <c r="E107" s="5416">
        <f ca="1">펀드차입금!D30</f>
        <v>0</v>
      </c>
      <c r="F107" s="5417"/>
      <c r="G107" s="5418">
        <v>0</v>
      </c>
      <c r="H107" s="5418">
        <v>0</v>
      </c>
      <c r="I107" s="5418">
        <v>0</v>
      </c>
      <c r="J107" s="5418">
        <v>0</v>
      </c>
      <c r="K107" s="5418">
        <v>0</v>
      </c>
      <c r="L107" s="5418">
        <v>0</v>
      </c>
      <c r="M107" s="5418">
        <v>0</v>
      </c>
      <c r="N107" s="5418">
        <v>0</v>
      </c>
      <c r="O107" s="5418">
        <v>0</v>
      </c>
      <c r="P107" s="5418">
        <v>0</v>
      </c>
      <c r="Q107" s="5418">
        <v>0</v>
      </c>
      <c r="R107" s="5418">
        <v>0</v>
      </c>
      <c r="S107" s="5418">
        <v>0</v>
      </c>
      <c r="T107" s="5418">
        <v>0</v>
      </c>
    </row>
    <row r="108" spans="2:20" ht="13.5" customHeight="1">
      <c r="B108" s="226"/>
      <c r="C108" s="5419" t="s">
        <v>5343</v>
      </c>
      <c r="D108" s="5420"/>
      <c r="E108" s="5421">
        <f ca="1">펀드차입금!D26</f>
        <v>0</v>
      </c>
      <c r="F108" s="5422"/>
      <c r="G108" s="5417">
        <v>0</v>
      </c>
      <c r="H108" s="5417">
        <v>0</v>
      </c>
      <c r="I108" s="5417">
        <v>0</v>
      </c>
      <c r="J108" s="5417">
        <v>0</v>
      </c>
      <c r="K108" s="5417">
        <v>0</v>
      </c>
      <c r="L108" s="5417">
        <v>0</v>
      </c>
      <c r="M108" s="5417">
        <v>0</v>
      </c>
      <c r="N108" s="5417">
        <v>0</v>
      </c>
      <c r="O108" s="5417">
        <v>0</v>
      </c>
      <c r="P108" s="5417">
        <v>0</v>
      </c>
      <c r="Q108" s="5417">
        <v>0</v>
      </c>
      <c r="R108" s="5417">
        <v>0</v>
      </c>
      <c r="S108" s="5417">
        <v>0</v>
      </c>
      <c r="T108" s="5417">
        <v>0</v>
      </c>
    </row>
    <row r="109" spans="2:20" ht="13.5" customHeight="1">
      <c r="B109" s="226"/>
      <c r="C109" s="5419" t="s">
        <v>5346</v>
      </c>
      <c r="D109" s="5420"/>
      <c r="E109" s="5421">
        <f ca="1">펀드차입금!D26</f>
        <v>0</v>
      </c>
      <c r="F109" s="5422"/>
      <c r="G109" s="5417">
        <v>0</v>
      </c>
      <c r="H109" s="5417">
        <v>0</v>
      </c>
      <c r="I109" s="5417">
        <v>0</v>
      </c>
      <c r="J109" s="5417">
        <v>0</v>
      </c>
      <c r="K109" s="5417">
        <v>0</v>
      </c>
      <c r="L109" s="5417">
        <v>0</v>
      </c>
      <c r="M109" s="5417">
        <v>0</v>
      </c>
      <c r="N109" s="5417">
        <v>0</v>
      </c>
      <c r="O109" s="5417">
        <v>0</v>
      </c>
      <c r="P109" s="5417">
        <v>0</v>
      </c>
      <c r="Q109" s="5417">
        <v>0</v>
      </c>
      <c r="R109" s="5417">
        <v>0</v>
      </c>
      <c r="S109" s="5417">
        <v>0</v>
      </c>
      <c r="T109" s="5417">
        <v>0</v>
      </c>
    </row>
    <row r="110" spans="2:20" ht="13.5" customHeight="1">
      <c r="B110" s="226"/>
      <c r="C110" s="5419" t="s">
        <v>5344</v>
      </c>
      <c r="D110" s="5420"/>
      <c r="E110" s="5421">
        <f ca="1">펀드차입금!D34</f>
        <v>0</v>
      </c>
      <c r="F110" s="5422"/>
      <c r="G110" s="5417">
        <v>0</v>
      </c>
      <c r="H110" s="5417">
        <v>0</v>
      </c>
      <c r="I110" s="5417">
        <v>0</v>
      </c>
      <c r="J110" s="5417">
        <v>0</v>
      </c>
      <c r="K110" s="5417">
        <v>0</v>
      </c>
      <c r="L110" s="5417">
        <v>0</v>
      </c>
      <c r="M110" s="5417">
        <v>0</v>
      </c>
      <c r="N110" s="5417">
        <v>0</v>
      </c>
      <c r="O110" s="5417">
        <v>0</v>
      </c>
      <c r="P110" s="5417">
        <v>0</v>
      </c>
      <c r="Q110" s="5417">
        <v>0</v>
      </c>
      <c r="R110" s="5417">
        <v>0</v>
      </c>
      <c r="S110" s="5417">
        <v>0</v>
      </c>
      <c r="T110" s="5417">
        <v>0</v>
      </c>
    </row>
    <row r="111" spans="2:20" ht="13.5" customHeight="1">
      <c r="B111" s="259" t="s">
        <v>135</v>
      </c>
      <c r="C111" s="138"/>
      <c r="D111" s="261" t="s">
        <v>136</v>
      </c>
      <c r="E111" s="262">
        <f ca="1">SUM(Waterfall!G87:AB87)</f>
        <v>0</v>
      </c>
      <c r="F111" s="146"/>
      <c r="G111" s="153">
        <v>0</v>
      </c>
      <c r="H111" s="153">
        <v>0</v>
      </c>
      <c r="I111" s="153">
        <v>0</v>
      </c>
      <c r="J111" s="153">
        <v>0</v>
      </c>
      <c r="K111" s="153">
        <v>0</v>
      </c>
      <c r="L111" s="153">
        <v>0</v>
      </c>
      <c r="M111" s="153">
        <v>0</v>
      </c>
      <c r="N111" s="153">
        <v>0</v>
      </c>
      <c r="O111" s="153">
        <v>0</v>
      </c>
      <c r="P111" s="153">
        <v>0</v>
      </c>
      <c r="Q111" s="153">
        <v>0</v>
      </c>
      <c r="R111" s="153">
        <v>0</v>
      </c>
      <c r="S111" s="153">
        <v>0</v>
      </c>
      <c r="T111" s="153">
        <v>0</v>
      </c>
    </row>
    <row r="112" spans="2:20" ht="13.5" customHeight="1">
      <c r="B112" s="130"/>
      <c r="D112" s="113" t="s">
        <v>137</v>
      </c>
      <c r="E112" s="263" t="str">
        <f ca="1">IF(E85=1,Waterfall!E95,"")</f>
        <v/>
      </c>
      <c r="F112" s="146"/>
      <c r="G112" s="146" t="s">
        <v>138</v>
      </c>
      <c r="H112" s="146" t="s">
        <v>138</v>
      </c>
      <c r="I112" s="146" t="s">
        <v>138</v>
      </c>
      <c r="J112" s="146" t="s">
        <v>138</v>
      </c>
      <c r="K112" s="146" t="s">
        <v>138</v>
      </c>
      <c r="L112" s="146" t="s">
        <v>138</v>
      </c>
      <c r="M112" s="146" t="s">
        <v>138</v>
      </c>
      <c r="N112" s="146" t="s">
        <v>138</v>
      </c>
      <c r="O112" s="146" t="s">
        <v>138</v>
      </c>
      <c r="P112" s="146" t="s">
        <v>138</v>
      </c>
      <c r="Q112" s="146" t="s">
        <v>138</v>
      </c>
      <c r="R112" s="146" t="s">
        <v>138</v>
      </c>
      <c r="S112" s="146" t="s">
        <v>138</v>
      </c>
      <c r="T112" s="146" t="s">
        <v>138</v>
      </c>
    </row>
    <row r="113" spans="2:20" ht="13.5" customHeight="1">
      <c r="B113" s="130"/>
      <c r="D113" s="113" t="s">
        <v>139</v>
      </c>
      <c r="E113" s="264" t="str">
        <f ca="1">IF(E$85=1,Waterfall!F96,"")</f>
        <v/>
      </c>
      <c r="F113" s="146"/>
      <c r="G113" s="265" t="s">
        <v>138</v>
      </c>
      <c r="H113" s="265" t="s">
        <v>138</v>
      </c>
      <c r="I113" s="265" t="s">
        <v>138</v>
      </c>
      <c r="J113" s="265" t="s">
        <v>138</v>
      </c>
      <c r="K113" s="265" t="s">
        <v>138</v>
      </c>
      <c r="L113" s="265" t="s">
        <v>138</v>
      </c>
      <c r="M113" s="265" t="s">
        <v>138</v>
      </c>
      <c r="N113" s="265" t="s">
        <v>138</v>
      </c>
      <c r="O113" s="265" t="s">
        <v>138</v>
      </c>
      <c r="P113" s="265" t="s">
        <v>138</v>
      </c>
      <c r="Q113" s="265" t="s">
        <v>138</v>
      </c>
      <c r="R113" s="265" t="s">
        <v>138</v>
      </c>
      <c r="S113" s="265" t="s">
        <v>138</v>
      </c>
      <c r="T113" s="265" t="s">
        <v>138</v>
      </c>
    </row>
    <row r="114" spans="2:20" ht="13.5" customHeight="1">
      <c r="B114" s="130"/>
      <c r="D114" s="113" t="s">
        <v>140</v>
      </c>
      <c r="E114" s="264" t="str">
        <f ca="1">IF(E$85=1,Waterfall!F97,"")</f>
        <v/>
      </c>
      <c r="F114" s="146"/>
      <c r="G114" s="265" t="s">
        <v>138</v>
      </c>
      <c r="H114" s="265" t="s">
        <v>138</v>
      </c>
      <c r="I114" s="265" t="s">
        <v>138</v>
      </c>
      <c r="J114" s="265" t="s">
        <v>138</v>
      </c>
      <c r="K114" s="265" t="s">
        <v>138</v>
      </c>
      <c r="L114" s="265" t="s">
        <v>138</v>
      </c>
      <c r="M114" s="265" t="s">
        <v>138</v>
      </c>
      <c r="N114" s="265" t="s">
        <v>138</v>
      </c>
      <c r="O114" s="265" t="s">
        <v>138</v>
      </c>
      <c r="P114" s="265" t="s">
        <v>138</v>
      </c>
      <c r="Q114" s="265" t="s">
        <v>138</v>
      </c>
      <c r="R114" s="265" t="s">
        <v>138</v>
      </c>
      <c r="S114" s="265" t="s">
        <v>138</v>
      </c>
      <c r="T114" s="265" t="s">
        <v>138</v>
      </c>
    </row>
    <row r="115" spans="2:20" ht="13.5" customHeight="1">
      <c r="B115" s="130"/>
      <c r="D115" s="113" t="s">
        <v>141</v>
      </c>
      <c r="E115" s="264" t="str">
        <f ca="1">IF(E$85=1,Waterfall!F98,"")</f>
        <v/>
      </c>
      <c r="F115" s="146"/>
      <c r="G115" s="265" t="s">
        <v>138</v>
      </c>
      <c r="H115" s="265" t="s">
        <v>138</v>
      </c>
      <c r="I115" s="265" t="s">
        <v>138</v>
      </c>
      <c r="J115" s="265" t="s">
        <v>138</v>
      </c>
      <c r="K115" s="265" t="s">
        <v>138</v>
      </c>
      <c r="L115" s="265" t="s">
        <v>138</v>
      </c>
      <c r="M115" s="265" t="s">
        <v>138</v>
      </c>
      <c r="N115" s="265" t="s">
        <v>138</v>
      </c>
      <c r="O115" s="265" t="s">
        <v>138</v>
      </c>
      <c r="P115" s="265" t="s">
        <v>138</v>
      </c>
      <c r="Q115" s="265" t="s">
        <v>138</v>
      </c>
      <c r="R115" s="265" t="s">
        <v>138</v>
      </c>
      <c r="S115" s="265" t="s">
        <v>138</v>
      </c>
      <c r="T115" s="265" t="s">
        <v>138</v>
      </c>
    </row>
    <row r="116" spans="2:20" ht="13.5" customHeight="1">
      <c r="B116" s="267"/>
      <c r="C116" s="268"/>
      <c r="D116" s="268" t="s">
        <v>142</v>
      </c>
      <c r="E116" s="269">
        <f ca="1">Waterfall!FL89</f>
        <v>0</v>
      </c>
      <c r="F116" s="146"/>
      <c r="G116" s="270">
        <v>0</v>
      </c>
      <c r="H116" s="270">
        <v>0</v>
      </c>
      <c r="I116" s="270">
        <v>0</v>
      </c>
      <c r="J116" s="270">
        <v>0</v>
      </c>
      <c r="K116" s="270">
        <v>0</v>
      </c>
      <c r="L116" s="270">
        <v>0</v>
      </c>
      <c r="M116" s="270">
        <v>0</v>
      </c>
      <c r="N116" s="270">
        <v>0</v>
      </c>
      <c r="O116" s="270">
        <v>0</v>
      </c>
      <c r="P116" s="270">
        <v>0</v>
      </c>
      <c r="Q116" s="270">
        <v>0</v>
      </c>
      <c r="R116" s="270">
        <v>0</v>
      </c>
      <c r="S116" s="270">
        <v>0</v>
      </c>
      <c r="T116" s="270">
        <v>0</v>
      </c>
    </row>
    <row r="117" spans="2:20" ht="13.5" customHeight="1">
      <c r="B117" s="259" t="s">
        <v>143</v>
      </c>
      <c r="C117" s="138"/>
      <c r="D117" s="261" t="s">
        <v>144</v>
      </c>
      <c r="E117" s="262">
        <f ca="1">IF(E85=2,Waterfall!AB62,"")</f>
        <v>204.70727963031644</v>
      </c>
      <c r="F117" s="146"/>
      <c r="G117" s="153">
        <v>204.70727963031644</v>
      </c>
      <c r="H117" s="153">
        <v>203.87274447863641</v>
      </c>
      <c r="I117" s="153">
        <v>204.29001205447642</v>
      </c>
      <c r="J117" s="153">
        <v>205.12454720615645</v>
      </c>
      <c r="K117" s="153">
        <v>205.54181478199641</v>
      </c>
      <c r="L117" s="153">
        <v>204.70727963031644</v>
      </c>
      <c r="M117" s="153">
        <v>201.76119294471371</v>
      </c>
      <c r="N117" s="153">
        <v>198.81510625911096</v>
      </c>
      <c r="O117" s="153">
        <v>204.70727963031644</v>
      </c>
      <c r="P117" s="153">
        <v>204.70727963031644</v>
      </c>
      <c r="Q117" s="153">
        <v>205.75044856991641</v>
      </c>
      <c r="R117" s="153">
        <v>206.79361750951645</v>
      </c>
      <c r="S117" s="153">
        <v>207.83678644911643</v>
      </c>
      <c r="T117" s="153">
        <v>208.87995538871647</v>
      </c>
    </row>
    <row r="118" spans="2:20" ht="13.5" customHeight="1">
      <c r="B118" s="271"/>
      <c r="C118" s="169"/>
      <c r="D118" s="169" t="s">
        <v>5251</v>
      </c>
      <c r="E118" s="272">
        <f ca="1">IF(E85=2,Waterfall!F68,"")</f>
        <v>379.5363518807805</v>
      </c>
      <c r="F118" s="145"/>
      <c r="G118" s="145">
        <v>379.5363518807805</v>
      </c>
      <c r="H118" s="145">
        <v>377.25635188078053</v>
      </c>
      <c r="I118" s="145">
        <v>378.39635188078051</v>
      </c>
      <c r="J118" s="145">
        <v>380.67635188078054</v>
      </c>
      <c r="K118" s="145">
        <v>381.81635188078053</v>
      </c>
      <c r="L118" s="145">
        <v>379.5363518807805</v>
      </c>
      <c r="M118" s="5085">
        <v>381.44635188078053</v>
      </c>
      <c r="N118" s="5258">
        <v>395.5363518807805</v>
      </c>
      <c r="O118" s="145">
        <v>379.5363518807805</v>
      </c>
      <c r="P118" s="145">
        <v>402.33635188078051</v>
      </c>
      <c r="Q118" s="145">
        <v>382.38635188078052</v>
      </c>
      <c r="R118" s="145">
        <v>385.23635188078049</v>
      </c>
      <c r="S118" s="145">
        <v>388.0963518807805</v>
      </c>
      <c r="T118" s="145">
        <v>390.94635188078053</v>
      </c>
    </row>
    <row r="119" spans="2:20" ht="13.5" customHeight="1">
      <c r="B119" s="130"/>
      <c r="D119" s="113" t="str">
        <f>D113</f>
        <v>최대 발생시점</v>
      </c>
      <c r="E119" s="264">
        <f ca="1">IF(E$85=2,Waterfall!F70,"")</f>
        <v>0</v>
      </c>
      <c r="F119" s="146"/>
      <c r="G119" s="265">
        <v>0</v>
      </c>
      <c r="H119" s="265">
        <v>0</v>
      </c>
      <c r="I119" s="265">
        <v>0</v>
      </c>
      <c r="J119" s="265">
        <v>0</v>
      </c>
      <c r="K119" s="265">
        <v>0</v>
      </c>
      <c r="L119" s="265">
        <v>0</v>
      </c>
      <c r="M119" s="265">
        <v>0</v>
      </c>
      <c r="N119" s="265">
        <v>0</v>
      </c>
      <c r="O119" s="265">
        <v>0</v>
      </c>
      <c r="P119" s="265">
        <v>0</v>
      </c>
      <c r="Q119" s="265">
        <v>0</v>
      </c>
      <c r="R119" s="265">
        <v>0</v>
      </c>
      <c r="S119" s="265">
        <v>0</v>
      </c>
      <c r="T119" s="265">
        <v>0</v>
      </c>
    </row>
    <row r="120" spans="2:20" ht="13.5" customHeight="1">
      <c r="B120" s="130"/>
      <c r="D120" s="113" t="s">
        <v>140</v>
      </c>
      <c r="E120" s="264">
        <f ca="1">IF(E$85=2,Waterfall!F71,"")</f>
        <v>49034</v>
      </c>
      <c r="F120" s="146"/>
      <c r="G120" s="265">
        <v>49034</v>
      </c>
      <c r="H120" s="265">
        <v>49034</v>
      </c>
      <c r="I120" s="265">
        <v>49034</v>
      </c>
      <c r="J120" s="265">
        <v>49034</v>
      </c>
      <c r="K120" s="265">
        <v>49034</v>
      </c>
      <c r="L120" s="265">
        <v>49034</v>
      </c>
      <c r="M120" s="265">
        <v>50860</v>
      </c>
      <c r="N120" s="265">
        <v>53782</v>
      </c>
      <c r="O120" s="265">
        <v>58256</v>
      </c>
      <c r="P120" s="265">
        <v>51591</v>
      </c>
      <c r="Q120" s="265">
        <v>49034</v>
      </c>
      <c r="R120" s="265">
        <v>49034</v>
      </c>
      <c r="S120" s="265">
        <v>49034</v>
      </c>
      <c r="T120" s="265">
        <v>49399</v>
      </c>
    </row>
    <row r="121" spans="2:20" ht="13.5" customHeight="1">
      <c r="B121" s="130"/>
      <c r="D121" s="113" t="s">
        <v>141</v>
      </c>
      <c r="E121" s="264">
        <f ca="1">IF(E$85=2,Waterfall!F72,"")</f>
        <v>53052</v>
      </c>
      <c r="F121" s="146"/>
      <c r="G121" s="265">
        <v>53052</v>
      </c>
      <c r="H121" s="265">
        <v>53052</v>
      </c>
      <c r="I121" s="265">
        <v>53052</v>
      </c>
      <c r="J121" s="265">
        <v>53052</v>
      </c>
      <c r="K121" s="265">
        <v>53052</v>
      </c>
      <c r="L121" s="265">
        <v>53052</v>
      </c>
      <c r="M121" s="265">
        <v>55243</v>
      </c>
      <c r="N121" s="265">
        <v>57800</v>
      </c>
      <c r="O121" s="265">
        <v>58256</v>
      </c>
      <c r="P121" s="265">
        <v>55609</v>
      </c>
      <c r="Q121" s="265">
        <v>53052</v>
      </c>
      <c r="R121" s="265">
        <v>53052</v>
      </c>
      <c r="S121" s="265">
        <v>53417</v>
      </c>
      <c r="T121" s="265">
        <v>53417</v>
      </c>
    </row>
    <row r="122" spans="2:20" ht="13.5" customHeight="1">
      <c r="B122" s="267"/>
      <c r="C122" s="268"/>
      <c r="D122" s="268" t="s">
        <v>142</v>
      </c>
      <c r="E122" s="5084">
        <f ca="1">Waterfall!FL62</f>
        <v>0</v>
      </c>
      <c r="F122" s="146"/>
      <c r="G122" s="270">
        <v>0</v>
      </c>
      <c r="H122" s="270">
        <v>0</v>
      </c>
      <c r="I122" s="270">
        <v>0</v>
      </c>
      <c r="J122" s="270">
        <v>0</v>
      </c>
      <c r="K122" s="270">
        <v>0</v>
      </c>
      <c r="L122" s="270">
        <v>0</v>
      </c>
      <c r="M122" s="270">
        <v>0</v>
      </c>
      <c r="N122" s="270">
        <v>0</v>
      </c>
      <c r="O122" s="270">
        <v>0</v>
      </c>
      <c r="P122" s="270">
        <v>0</v>
      </c>
      <c r="Q122" s="270">
        <v>0</v>
      </c>
      <c r="R122" s="270">
        <v>0</v>
      </c>
      <c r="S122" s="270">
        <v>0</v>
      </c>
      <c r="T122" s="270">
        <v>0</v>
      </c>
    </row>
    <row r="123" spans="2:20" ht="13.5" customHeight="1">
      <c r="B123" s="271"/>
      <c r="C123" s="169"/>
      <c r="D123" s="169" t="s">
        <v>145</v>
      </c>
      <c r="E123" s="272">
        <f ca="1">IF(E118&gt;=E86,1,0)*($E$85=2)</f>
        <v>0</v>
      </c>
      <c r="F123" s="145"/>
      <c r="G123" s="273">
        <v>0</v>
      </c>
      <c r="H123" s="273">
        <v>0</v>
      </c>
      <c r="I123" s="273">
        <v>0</v>
      </c>
      <c r="J123" s="273">
        <v>0</v>
      </c>
      <c r="K123" s="273">
        <v>0</v>
      </c>
      <c r="L123" s="273">
        <v>0</v>
      </c>
      <c r="M123" s="273">
        <v>0</v>
      </c>
      <c r="N123" s="273">
        <v>0</v>
      </c>
      <c r="O123" s="273">
        <v>0</v>
      </c>
      <c r="P123" s="273">
        <v>0</v>
      </c>
      <c r="Q123" s="273">
        <v>0</v>
      </c>
      <c r="R123" s="273">
        <v>0</v>
      </c>
      <c r="S123" s="273">
        <v>0</v>
      </c>
      <c r="T123" s="273">
        <v>0</v>
      </c>
    </row>
    <row r="124" spans="2:20" ht="13.5" customHeight="1">
      <c r="B124" s="271"/>
      <c r="C124" s="169"/>
      <c r="D124" s="169" t="s">
        <v>146</v>
      </c>
      <c r="E124" s="272">
        <f ca="1">(E118-E86)*(E123=1)</f>
        <v>0</v>
      </c>
      <c r="F124" s="145"/>
      <c r="G124" s="273">
        <v>0</v>
      </c>
      <c r="H124" s="273">
        <v>0</v>
      </c>
      <c r="I124" s="273">
        <v>0</v>
      </c>
      <c r="J124" s="273">
        <v>0</v>
      </c>
      <c r="K124" s="273">
        <v>0</v>
      </c>
      <c r="L124" s="273">
        <v>0</v>
      </c>
      <c r="M124" s="273">
        <v>0</v>
      </c>
      <c r="N124" s="273">
        <v>0</v>
      </c>
      <c r="O124" s="273">
        <v>0</v>
      </c>
      <c r="P124" s="273">
        <v>0</v>
      </c>
      <c r="Q124" s="273">
        <v>0</v>
      </c>
      <c r="R124" s="273">
        <v>0</v>
      </c>
      <c r="S124" s="273">
        <v>0</v>
      </c>
      <c r="T124" s="273">
        <v>0</v>
      </c>
    </row>
    <row r="125" spans="2:20" ht="13.5" customHeight="1">
      <c r="B125" s="130" t="s">
        <v>147</v>
      </c>
      <c r="C125" s="131"/>
      <c r="D125" s="131"/>
      <c r="E125" s="274"/>
      <c r="F125" s="275"/>
      <c r="G125" s="276"/>
      <c r="H125" s="276"/>
      <c r="I125" s="276"/>
      <c r="J125" s="276"/>
      <c r="K125" s="276"/>
      <c r="L125" s="276"/>
      <c r="M125" s="276"/>
      <c r="N125" s="276"/>
      <c r="O125" s="276"/>
      <c r="P125" s="276"/>
      <c r="Q125" s="276"/>
      <c r="R125" s="276"/>
      <c r="S125" s="276"/>
      <c r="T125" s="276"/>
    </row>
    <row r="126" spans="2:20" ht="13.5" customHeight="1">
      <c r="B126" s="226"/>
      <c r="C126" s="138" t="s">
        <v>35</v>
      </c>
      <c r="D126" s="261" t="s">
        <v>148</v>
      </c>
      <c r="E126" s="277">
        <f ca="1">'CF(Y)'!F49</f>
        <v>1.4057266829396537</v>
      </c>
      <c r="F126" s="276"/>
      <c r="G126" s="278">
        <v>1.4057266829396537</v>
      </c>
      <c r="H126" s="278">
        <v>1.4125222276990335</v>
      </c>
      <c r="I126" s="278">
        <v>1.409119404451854</v>
      </c>
      <c r="J126" s="278">
        <v>1.4023440182465789</v>
      </c>
      <c r="K126" s="278">
        <v>1.3989713657226641</v>
      </c>
      <c r="L126" s="278">
        <v>1.4057266829396537</v>
      </c>
      <c r="M126" s="278">
        <v>1.4277763235695149</v>
      </c>
      <c r="N126" s="278">
        <v>1.4428527637092587</v>
      </c>
      <c r="O126" s="278">
        <v>1.4057266829396537</v>
      </c>
      <c r="P126" s="278">
        <v>1.4057266829396537</v>
      </c>
      <c r="Q126" s="278">
        <v>1.3972887801432479</v>
      </c>
      <c r="R126" s="278">
        <v>1.3889130386134139</v>
      </c>
      <c r="S126" s="278">
        <v>1.3805987739664087</v>
      </c>
      <c r="T126" s="278">
        <v>1.372345311828332</v>
      </c>
    </row>
    <row r="127" spans="2:20" ht="13.5" customHeight="1">
      <c r="B127" s="226"/>
      <c r="C127" s="147" t="s">
        <v>34</v>
      </c>
      <c r="D127" s="268" t="s">
        <v>148</v>
      </c>
      <c r="E127" s="279">
        <f ca="1">'CF(Y)'!F48</f>
        <v>1.3735820263812935</v>
      </c>
      <c r="F127" s="280"/>
      <c r="G127" s="281">
        <v>1.3735820263812935</v>
      </c>
      <c r="H127" s="281">
        <v>1.37720770175748</v>
      </c>
      <c r="I127" s="281">
        <v>1.3753921692440954</v>
      </c>
      <c r="J127" s="281">
        <v>1.3717772492047984</v>
      </c>
      <c r="K127" s="281">
        <v>1.3699778138921967</v>
      </c>
      <c r="L127" s="281">
        <v>1.3735820263812935</v>
      </c>
      <c r="M127" s="281">
        <v>1.3557986985952881</v>
      </c>
      <c r="N127" s="281">
        <v>1.3347433792567578</v>
      </c>
      <c r="O127" s="281">
        <v>1.3735820263812935</v>
      </c>
      <c r="P127" s="281">
        <v>1.3735820263812935</v>
      </c>
      <c r="Q127" s="281">
        <v>1.3690800920288839</v>
      </c>
      <c r="R127" s="281">
        <v>1.3646113230195844</v>
      </c>
      <c r="S127" s="281">
        <v>1.3601753542092638</v>
      </c>
      <c r="T127" s="281">
        <v>1.3557718257944136</v>
      </c>
    </row>
    <row r="128" spans="2:20" ht="13.5" customHeight="1">
      <c r="B128" s="130" t="s">
        <v>149</v>
      </c>
      <c r="C128" s="131"/>
      <c r="D128" s="131"/>
      <c r="E128" s="263"/>
      <c r="F128" s="134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</row>
    <row r="129" spans="2:20" ht="13.5" customHeight="1">
      <c r="B129" s="130"/>
      <c r="C129" s="138" t="s">
        <v>5124</v>
      </c>
      <c r="D129" s="282"/>
      <c r="E129" s="262">
        <f ca="1">'CF(Y)'!F13</f>
        <v>481.07387750191828</v>
      </c>
      <c r="F129" s="134"/>
      <c r="G129" s="153">
        <v>481.07387750191828</v>
      </c>
      <c r="H129" s="153">
        <v>481.07387750191828</v>
      </c>
      <c r="I129" s="153">
        <v>481.07387750191828</v>
      </c>
      <c r="J129" s="153">
        <v>481.07387750191828</v>
      </c>
      <c r="K129" s="153">
        <v>481.07387750191828</v>
      </c>
      <c r="L129" s="153">
        <v>481.07387750191828</v>
      </c>
      <c r="M129" s="153">
        <v>524.43152986007135</v>
      </c>
      <c r="N129" s="153">
        <v>566.94172521035057</v>
      </c>
      <c r="O129" s="153">
        <v>481.07387750191828</v>
      </c>
      <c r="P129" s="153">
        <v>481.07387750191828</v>
      </c>
      <c r="Q129" s="153">
        <v>481.07387750191828</v>
      </c>
      <c r="R129" s="153">
        <v>481.07387750191828</v>
      </c>
      <c r="S129" s="153">
        <v>481.07387750191828</v>
      </c>
      <c r="T129" s="153">
        <v>481.07387750191828</v>
      </c>
    </row>
    <row r="130" spans="2:20" ht="13.5" customHeight="1">
      <c r="B130" s="130"/>
      <c r="C130" s="142" t="s">
        <v>150</v>
      </c>
      <c r="D130" s="131"/>
      <c r="E130" s="263">
        <f ca="1">'CF(Q)'!F25</f>
        <v>0</v>
      </c>
      <c r="F130" s="134"/>
      <c r="G130" s="146">
        <v>0</v>
      </c>
      <c r="H130" s="146">
        <v>0</v>
      </c>
      <c r="I130" s="146">
        <v>0</v>
      </c>
      <c r="J130" s="146">
        <v>0</v>
      </c>
      <c r="K130" s="146">
        <v>0</v>
      </c>
      <c r="L130" s="146">
        <v>0</v>
      </c>
      <c r="M130" s="146">
        <v>0</v>
      </c>
      <c r="N130" s="146">
        <v>0</v>
      </c>
      <c r="O130" s="146">
        <v>0</v>
      </c>
      <c r="P130" s="146">
        <v>627.42826755037061</v>
      </c>
      <c r="Q130" s="146">
        <v>0</v>
      </c>
      <c r="R130" s="146">
        <v>0</v>
      </c>
      <c r="S130" s="146">
        <v>0</v>
      </c>
      <c r="T130" s="146">
        <v>0</v>
      </c>
    </row>
    <row r="131" spans="2:20" ht="13.5" customHeight="1">
      <c r="B131" s="226"/>
      <c r="C131" s="147" t="s">
        <v>151</v>
      </c>
      <c r="D131" s="268"/>
      <c r="E131" s="283">
        <f ca="1">'CF(Q)'!F26</f>
        <v>561.28717987253322</v>
      </c>
      <c r="F131" s="284"/>
      <c r="G131" s="164">
        <v>561.28717987253322</v>
      </c>
      <c r="H131" s="164">
        <v>561.71986955325315</v>
      </c>
      <c r="I131" s="164">
        <v>561.50352471289307</v>
      </c>
      <c r="J131" s="164">
        <v>561.07083503217314</v>
      </c>
      <c r="K131" s="164">
        <v>560.85449019181317</v>
      </c>
      <c r="L131" s="164">
        <v>555.66888044076438</v>
      </c>
      <c r="M131" s="164">
        <v>432.49263614155961</v>
      </c>
      <c r="N131" s="164">
        <v>304.62993729393054</v>
      </c>
      <c r="O131" s="164">
        <v>100.96966855355312</v>
      </c>
      <c r="P131" s="164">
        <v>431.33838644488424</v>
      </c>
      <c r="Q131" s="164">
        <v>560.74631777163313</v>
      </c>
      <c r="R131" s="164">
        <v>560.20545567073316</v>
      </c>
      <c r="S131" s="164">
        <v>559.70657963057272</v>
      </c>
      <c r="T131" s="164">
        <v>559.21398009086022</v>
      </c>
    </row>
    <row r="132" spans="2:20" ht="13.5" customHeight="1">
      <c r="B132" s="130" t="s">
        <v>152</v>
      </c>
      <c r="C132" s="142"/>
      <c r="E132" s="285">
        <f ca="1">SUM(E136:E137)</f>
        <v>2794.3454534262364</v>
      </c>
      <c r="F132" s="286"/>
      <c r="G132" s="146">
        <v>2794.3454534262364</v>
      </c>
      <c r="H132" s="146">
        <v>2794.5686363834861</v>
      </c>
      <c r="I132" s="146">
        <v>2794.4570449048606</v>
      </c>
      <c r="J132" s="146">
        <v>2794.2338619476109</v>
      </c>
      <c r="K132" s="146">
        <v>2794.1222704689858</v>
      </c>
      <c r="L132" s="146">
        <v>2778.7854163329698</v>
      </c>
      <c r="M132" s="146">
        <v>2334.4618345432368</v>
      </c>
      <c r="N132" s="146">
        <v>1884.9832397608006</v>
      </c>
      <c r="O132" s="146">
        <v>1032.8830679217015</v>
      </c>
      <c r="P132" s="146">
        <v>2319.6618528624667</v>
      </c>
      <c r="Q132" s="146">
        <v>2794.0664747296732</v>
      </c>
      <c r="R132" s="146">
        <v>2793.787496033111</v>
      </c>
      <c r="S132" s="146">
        <v>2793.4665312758088</v>
      </c>
      <c r="T132" s="146">
        <v>2793.139290018059</v>
      </c>
    </row>
    <row r="133" spans="2:20" ht="13.5" customHeight="1">
      <c r="B133" s="130"/>
      <c r="C133" s="287" t="s">
        <v>153</v>
      </c>
      <c r="D133" s="261"/>
      <c r="E133" s="288">
        <f ca="1">배당!F64</f>
        <v>168.63479553268903</v>
      </c>
      <c r="F133" s="289"/>
      <c r="G133" s="153">
        <v>168.63479553268903</v>
      </c>
      <c r="H133" s="153">
        <v>168.07494321768772</v>
      </c>
      <c r="I133" s="153">
        <v>168.35486937518837</v>
      </c>
      <c r="J133" s="153">
        <v>168.91681783926782</v>
      </c>
      <c r="K133" s="153">
        <v>169.22090800978503</v>
      </c>
      <c r="L133" s="153">
        <v>169.49724304381684</v>
      </c>
      <c r="M133" s="153">
        <v>216.32652804927085</v>
      </c>
      <c r="N133" s="153">
        <v>270.54026382839908</v>
      </c>
      <c r="O133" s="153">
        <v>196.6947751540248</v>
      </c>
      <c r="P133" s="153">
        <v>221.84072884160372</v>
      </c>
      <c r="Q133" s="153">
        <v>169.37295309504367</v>
      </c>
      <c r="R133" s="153">
        <v>170.16626173296174</v>
      </c>
      <c r="S133" s="153">
        <v>171.27652807831782</v>
      </c>
      <c r="T133" s="153">
        <v>172.34463271500732</v>
      </c>
    </row>
    <row r="134" spans="2:20" ht="13.5" customHeight="1">
      <c r="B134" s="130"/>
      <c r="C134" s="290" t="s">
        <v>154</v>
      </c>
      <c r="E134" s="285">
        <f ca="1">배당!F74+배당!F81</f>
        <v>300.57344710235742</v>
      </c>
      <c r="F134" s="286"/>
      <c r="G134" s="146">
        <v>300.57344710235742</v>
      </c>
      <c r="H134" s="146">
        <v>300.45135282068225</v>
      </c>
      <c r="I134" s="146">
        <v>300.52244323517249</v>
      </c>
      <c r="J134" s="146">
        <v>300.61926693307936</v>
      </c>
      <c r="K134" s="146">
        <v>300.65625990851453</v>
      </c>
      <c r="L134" s="146">
        <v>297.77450410800719</v>
      </c>
      <c r="M134" s="146">
        <v>230.00506402233856</v>
      </c>
      <c r="N134" s="146">
        <v>159.35119784762605</v>
      </c>
      <c r="O134" s="146">
        <v>0</v>
      </c>
      <c r="P134" s="146">
        <v>230.66283554670403</v>
      </c>
      <c r="Q134" s="146">
        <v>300.67475639623206</v>
      </c>
      <c r="R134" s="146">
        <v>300.76639369222949</v>
      </c>
      <c r="S134" s="146">
        <v>300.66039766917908</v>
      </c>
      <c r="T134" s="146">
        <v>300.47228404456393</v>
      </c>
    </row>
    <row r="135" spans="2:20" ht="13.5" customHeight="1">
      <c r="B135" s="130"/>
      <c r="C135" s="290" t="s">
        <v>155</v>
      </c>
      <c r="E135" s="285">
        <f ca="1">배당!F75+배당!F82</f>
        <v>1627.5507806228347</v>
      </c>
      <c r="F135" s="286"/>
      <c r="G135" s="146">
        <v>1627.5507806228347</v>
      </c>
      <c r="H135" s="146">
        <v>1626.8897172285947</v>
      </c>
      <c r="I135" s="146">
        <v>1627.2746269070503</v>
      </c>
      <c r="J135" s="146">
        <v>1627.7988660565252</v>
      </c>
      <c r="K135" s="146">
        <v>1627.9991596457799</v>
      </c>
      <c r="L135" s="146">
        <v>1612.390114929884</v>
      </c>
      <c r="M135" s="146">
        <v>1245.4367834589864</v>
      </c>
      <c r="N135" s="146">
        <v>862.85379155343901</v>
      </c>
      <c r="O135" s="146">
        <v>0</v>
      </c>
      <c r="P135" s="146">
        <v>1248.9982006733344</v>
      </c>
      <c r="Q135" s="146">
        <v>1628.0993064404074</v>
      </c>
      <c r="R135" s="146">
        <v>1628.5893067069335</v>
      </c>
      <c r="S135" s="146">
        <v>1628.0154052120211</v>
      </c>
      <c r="T135" s="146">
        <v>1626.9968887877899</v>
      </c>
    </row>
    <row r="136" spans="2:20" ht="13.5" customHeight="1">
      <c r="B136" s="130"/>
      <c r="C136" s="291" t="s">
        <v>156</v>
      </c>
      <c r="D136" s="268"/>
      <c r="E136" s="283">
        <f ca="1">SUM(E133:E135)</f>
        <v>2096.7590232578814</v>
      </c>
      <c r="F136" s="292"/>
      <c r="G136" s="164">
        <v>2096.7590232578814</v>
      </c>
      <c r="H136" s="164">
        <v>2095.4160132669649</v>
      </c>
      <c r="I136" s="164">
        <v>2096.1519395174109</v>
      </c>
      <c r="J136" s="164">
        <v>2097.3349508288725</v>
      </c>
      <c r="K136" s="164">
        <v>2097.8763275640795</v>
      </c>
      <c r="L136" s="164">
        <v>2079.661862081708</v>
      </c>
      <c r="M136" s="164">
        <v>1691.7683755305957</v>
      </c>
      <c r="N136" s="164">
        <v>1292.7452532294642</v>
      </c>
      <c r="O136" s="164">
        <v>196.6947751540248</v>
      </c>
      <c r="P136" s="164">
        <v>1701.5017650616421</v>
      </c>
      <c r="Q136" s="164">
        <v>2098.1470159316832</v>
      </c>
      <c r="R136" s="164">
        <v>2099.5219621321248</v>
      </c>
      <c r="S136" s="164">
        <v>2099.9523309595179</v>
      </c>
      <c r="T136" s="164">
        <v>2099.813805547361</v>
      </c>
    </row>
    <row r="137" spans="2:20" ht="13.5" customHeight="1">
      <c r="B137" s="130"/>
      <c r="C137" s="290" t="s">
        <v>157</v>
      </c>
      <c r="E137" s="285">
        <f ca="1">'CF(Q)'!F46</f>
        <v>697.58643016835504</v>
      </c>
      <c r="F137" s="286"/>
      <c r="G137" s="146">
        <v>697.58643016835504</v>
      </c>
      <c r="H137" s="146">
        <v>699.15262311652111</v>
      </c>
      <c r="I137" s="146">
        <v>698.30510538744966</v>
      </c>
      <c r="J137" s="146">
        <v>696.89891111873851</v>
      </c>
      <c r="K137" s="146">
        <v>696.24594290490631</v>
      </c>
      <c r="L137" s="146">
        <v>699.12355425126179</v>
      </c>
      <c r="M137" s="146">
        <v>642.69345901264126</v>
      </c>
      <c r="N137" s="146">
        <v>592.23798653133656</v>
      </c>
      <c r="O137" s="146">
        <v>836.18829276767667</v>
      </c>
      <c r="P137" s="146">
        <v>618.16008780082484</v>
      </c>
      <c r="Q137" s="146">
        <v>695.91945879799016</v>
      </c>
      <c r="R137" s="146">
        <v>694.26553390098616</v>
      </c>
      <c r="S137" s="146">
        <v>693.51420031629107</v>
      </c>
      <c r="T137" s="146">
        <v>693.32548447069792</v>
      </c>
    </row>
    <row r="138" spans="2:20" ht="13.5" customHeight="1">
      <c r="B138" s="130"/>
      <c r="C138" s="287" t="s">
        <v>158</v>
      </c>
      <c r="D138" s="261"/>
      <c r="E138" s="262">
        <f ca="1">배당!F64</f>
        <v>168.63479553268903</v>
      </c>
      <c r="F138" s="289"/>
      <c r="G138" s="153">
        <v>168.63479553268903</v>
      </c>
      <c r="H138" s="153">
        <v>168.07494321768772</v>
      </c>
      <c r="I138" s="153">
        <v>168.35486937518837</v>
      </c>
      <c r="J138" s="153">
        <v>168.91681783926782</v>
      </c>
      <c r="K138" s="153">
        <v>169.22090800978503</v>
      </c>
      <c r="L138" s="153">
        <v>169.49724304381684</v>
      </c>
      <c r="M138" s="153">
        <v>216.32652804927085</v>
      </c>
      <c r="N138" s="153">
        <v>270.54026382839908</v>
      </c>
      <c r="O138" s="153">
        <v>196.6947751540248</v>
      </c>
      <c r="P138" s="153">
        <v>221.84072884160372</v>
      </c>
      <c r="Q138" s="153">
        <v>169.37295309504367</v>
      </c>
      <c r="R138" s="153">
        <v>170.16626173296174</v>
      </c>
      <c r="S138" s="153">
        <v>171.27652807831782</v>
      </c>
      <c r="T138" s="153">
        <v>172.34463271500732</v>
      </c>
    </row>
    <row r="139" spans="2:20" ht="13.5" customHeight="1">
      <c r="B139" s="130"/>
      <c r="C139" s="293" t="s">
        <v>159</v>
      </c>
      <c r="D139" s="212"/>
      <c r="E139" s="294">
        <f ca="1">배당!F65</f>
        <v>2033</v>
      </c>
      <c r="F139" s="295"/>
      <c r="G139" s="296">
        <v>2033</v>
      </c>
      <c r="H139" s="296">
        <v>2033</v>
      </c>
      <c r="I139" s="296">
        <v>2033</v>
      </c>
      <c r="J139" s="296">
        <v>2033</v>
      </c>
      <c r="K139" s="296">
        <v>2033</v>
      </c>
      <c r="L139" s="296">
        <v>2033</v>
      </c>
      <c r="M139" s="296">
        <v>2038</v>
      </c>
      <c r="N139" s="296">
        <v>2046</v>
      </c>
      <c r="O139" s="296">
        <v>0</v>
      </c>
      <c r="P139" s="296">
        <v>2040</v>
      </c>
      <c r="Q139" s="296">
        <v>2033</v>
      </c>
      <c r="R139" s="296">
        <v>2033</v>
      </c>
      <c r="S139" s="296">
        <v>2033</v>
      </c>
      <c r="T139" s="296">
        <v>2034</v>
      </c>
    </row>
    <row r="140" spans="2:20" ht="13.5" customHeight="1">
      <c r="B140" s="297"/>
      <c r="C140" s="298"/>
      <c r="D140" s="299"/>
      <c r="E140" s="300"/>
      <c r="F140" s="286"/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S140" s="301"/>
      <c r="T140" s="301"/>
    </row>
  </sheetData>
  <mergeCells count="2">
    <mergeCell ref="H5:K5"/>
    <mergeCell ref="Q5:T5"/>
  </mergeCells>
  <phoneticPr fontId="12" type="noConversion"/>
  <printOptions horizontalCentered="1" verticalCentered="1"/>
  <pageMargins left="0.59055118110236227" right="0.59055118110236227" top="0.59055118110236227" bottom="0.39370078740157483" header="0.39370078740157483" footer="0.39370078740157483"/>
  <pageSetup paperSize="8" fitToHeight="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Calculation">
                <anchor moveWithCells="1" siz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2</xdr:col>
                    <xdr:colOff>923925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자동">
                <anchor moveWithCells="1" sizeWithCells="1">
                  <from>
                    <xdr:col>2</xdr:col>
                    <xdr:colOff>1123950</xdr:colOff>
                    <xdr:row>1</xdr:row>
                    <xdr:rowOff>57150</xdr:rowOff>
                  </from>
                  <to>
                    <xdr:col>3</xdr:col>
                    <xdr:colOff>762000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1C8CD-6921-4A61-8FC7-A81E5F02A755}">
  <sheetPr codeName="Sheet23">
    <tabColor rgb="FFFFFF00"/>
  </sheetPr>
  <dimension ref="B2:R107"/>
  <sheetViews>
    <sheetView showGridLines="0" zoomScaleNormal="100" workbookViewId="0">
      <selection activeCell="K23" sqref="K23"/>
    </sheetView>
  </sheetViews>
  <sheetFormatPr defaultColWidth="8.77734375" defaultRowHeight="13.5"/>
  <cols>
    <col min="1" max="1" width="3.5546875" style="498" customWidth="1"/>
    <col min="2" max="2" width="18.21875" style="498" customWidth="1"/>
    <col min="3" max="3" width="14.44140625" style="498" customWidth="1"/>
    <col min="4" max="4" width="14.5546875" style="498" customWidth="1"/>
    <col min="5" max="14" width="12.33203125" style="498" customWidth="1"/>
    <col min="15" max="15" width="11.88671875" style="498" customWidth="1"/>
    <col min="16" max="16384" width="8.77734375" style="498"/>
  </cols>
  <sheetData>
    <row r="2" spans="2:4">
      <c r="B2" s="496" t="s">
        <v>253</v>
      </c>
      <c r="C2" s="497"/>
      <c r="D2" s="497"/>
    </row>
    <row r="4" spans="2:4">
      <c r="B4" s="498" t="s">
        <v>254</v>
      </c>
      <c r="C4" s="498" t="s">
        <v>255</v>
      </c>
    </row>
    <row r="5" spans="2:4">
      <c r="B5" s="498" t="s">
        <v>256</v>
      </c>
      <c r="C5" s="498" t="s">
        <v>257</v>
      </c>
      <c r="D5" s="498" t="s">
        <v>258</v>
      </c>
    </row>
    <row r="6" spans="2:4">
      <c r="C6" s="498" t="s">
        <v>259</v>
      </c>
      <c r="D6" s="498" t="s">
        <v>260</v>
      </c>
    </row>
    <row r="7" spans="2:4">
      <c r="B7" s="498" t="s">
        <v>261</v>
      </c>
      <c r="C7" s="498" t="s">
        <v>262</v>
      </c>
    </row>
    <row r="8" spans="2:4">
      <c r="B8" s="498" t="s">
        <v>263</v>
      </c>
      <c r="C8" s="498" t="s">
        <v>264</v>
      </c>
    </row>
    <row r="9" spans="2:4">
      <c r="B9" s="498" t="s">
        <v>243</v>
      </c>
      <c r="C9" s="498" t="s">
        <v>265</v>
      </c>
    </row>
    <row r="10" spans="2:4">
      <c r="C10" s="498" t="s">
        <v>266</v>
      </c>
    </row>
    <row r="12" spans="2:4">
      <c r="B12" s="496" t="s">
        <v>267</v>
      </c>
      <c r="C12" s="497"/>
      <c r="D12" s="497"/>
    </row>
    <row r="14" spans="2:4">
      <c r="B14" s="499">
        <v>38068</v>
      </c>
      <c r="C14" s="500" t="s">
        <v>268</v>
      </c>
      <c r="D14" s="501"/>
    </row>
    <row r="15" spans="2:4">
      <c r="B15" s="502">
        <v>37741</v>
      </c>
      <c r="C15" s="503" t="s">
        <v>269</v>
      </c>
      <c r="D15" s="504"/>
    </row>
    <row r="16" spans="2:4">
      <c r="B16" s="502">
        <v>38169</v>
      </c>
      <c r="C16" s="503" t="s">
        <v>270</v>
      </c>
      <c r="D16" s="504"/>
    </row>
    <row r="17" spans="2:6">
      <c r="B17" s="502">
        <v>39995</v>
      </c>
      <c r="C17" s="503" t="s">
        <v>271</v>
      </c>
      <c r="D17" s="504"/>
    </row>
    <row r="18" spans="2:6">
      <c r="B18" s="502">
        <v>42083</v>
      </c>
      <c r="C18" s="503" t="s">
        <v>272</v>
      </c>
      <c r="D18" s="504"/>
    </row>
    <row r="19" spans="2:6">
      <c r="B19" s="505"/>
    </row>
    <row r="20" spans="2:6">
      <c r="B20" s="496" t="s">
        <v>273</v>
      </c>
      <c r="C20" s="497"/>
      <c r="D20" s="497"/>
    </row>
    <row r="21" spans="2:6">
      <c r="B21" s="505"/>
    </row>
    <row r="22" spans="2:6">
      <c r="B22" s="5542" t="s">
        <v>274</v>
      </c>
      <c r="C22" s="5542" t="s">
        <v>275</v>
      </c>
      <c r="D22" s="5542"/>
      <c r="E22" s="5542"/>
      <c r="F22" s="5542" t="s">
        <v>276</v>
      </c>
    </row>
    <row r="23" spans="2:6">
      <c r="B23" s="5542"/>
      <c r="C23" s="506" t="s">
        <v>277</v>
      </c>
      <c r="D23" s="506" t="s">
        <v>278</v>
      </c>
      <c r="E23" s="5542" t="s">
        <v>279</v>
      </c>
      <c r="F23" s="5542"/>
    </row>
    <row r="24" spans="2:6">
      <c r="B24" s="5542"/>
      <c r="C24" s="506" t="s">
        <v>280</v>
      </c>
      <c r="D24" s="506" t="s">
        <v>281</v>
      </c>
      <c r="E24" s="5542"/>
      <c r="F24" s="5542"/>
    </row>
    <row r="25" spans="2:6" ht="15.6" customHeight="1">
      <c r="B25" s="507" t="s">
        <v>282</v>
      </c>
      <c r="C25" s="508">
        <v>5650000</v>
      </c>
      <c r="D25" s="508">
        <f t="shared" ref="D25:D35" si="0">C25*5000/단위</f>
        <v>282.5</v>
      </c>
      <c r="E25" s="509">
        <v>41.54</v>
      </c>
      <c r="F25" s="510" t="s">
        <v>283</v>
      </c>
    </row>
    <row r="26" spans="2:6" ht="15.6" customHeight="1">
      <c r="B26" s="511" t="s">
        <v>284</v>
      </c>
      <c r="C26" s="512">
        <v>1590000</v>
      </c>
      <c r="D26" s="512">
        <f t="shared" si="0"/>
        <v>79.5</v>
      </c>
      <c r="E26" s="513">
        <v>11.69</v>
      </c>
      <c r="F26" s="514" t="s">
        <v>285</v>
      </c>
    </row>
    <row r="27" spans="2:6" ht="15.6" customHeight="1">
      <c r="B27" s="511" t="s">
        <v>286</v>
      </c>
      <c r="C27" s="512">
        <v>1542300</v>
      </c>
      <c r="D27" s="512">
        <f t="shared" si="0"/>
        <v>77.114999999999995</v>
      </c>
      <c r="E27" s="513">
        <v>11.34</v>
      </c>
      <c r="F27" s="514" t="s">
        <v>283</v>
      </c>
    </row>
    <row r="28" spans="2:6" ht="15.6" customHeight="1">
      <c r="B28" s="511" t="s">
        <v>287</v>
      </c>
      <c r="C28" s="512">
        <v>1542300</v>
      </c>
      <c r="D28" s="512">
        <f t="shared" si="0"/>
        <v>77.114999999999995</v>
      </c>
      <c r="E28" s="513">
        <v>11.34</v>
      </c>
      <c r="F28" s="514" t="s">
        <v>283</v>
      </c>
    </row>
    <row r="29" spans="2:6" ht="15.6" customHeight="1">
      <c r="B29" s="511" t="s">
        <v>288</v>
      </c>
      <c r="C29" s="512">
        <v>913720</v>
      </c>
      <c r="D29" s="512">
        <f t="shared" si="0"/>
        <v>45.686</v>
      </c>
      <c r="E29" s="513">
        <v>6.72</v>
      </c>
      <c r="F29" s="514" t="s">
        <v>283</v>
      </c>
    </row>
    <row r="30" spans="2:6" ht="15.6" customHeight="1">
      <c r="B30" s="511" t="s">
        <v>289</v>
      </c>
      <c r="C30" s="512">
        <v>571340</v>
      </c>
      <c r="D30" s="512">
        <f t="shared" si="0"/>
        <v>28.567</v>
      </c>
      <c r="E30" s="513">
        <v>4.2</v>
      </c>
      <c r="F30" s="514" t="s">
        <v>283</v>
      </c>
    </row>
    <row r="31" spans="2:6" ht="15.6" customHeight="1">
      <c r="B31" s="511" t="s">
        <v>290</v>
      </c>
      <c r="C31" s="512">
        <v>571340</v>
      </c>
      <c r="D31" s="512">
        <f t="shared" si="0"/>
        <v>28.567</v>
      </c>
      <c r="E31" s="513">
        <v>4.2</v>
      </c>
      <c r="F31" s="514" t="s">
        <v>283</v>
      </c>
    </row>
    <row r="32" spans="2:6" ht="15.6" customHeight="1">
      <c r="B32" s="511" t="s">
        <v>291</v>
      </c>
      <c r="C32" s="512">
        <v>571340</v>
      </c>
      <c r="D32" s="512">
        <f t="shared" si="0"/>
        <v>28.567</v>
      </c>
      <c r="E32" s="513">
        <v>4.2</v>
      </c>
      <c r="F32" s="514" t="s">
        <v>283</v>
      </c>
    </row>
    <row r="33" spans="2:13" ht="15.6" customHeight="1">
      <c r="B33" s="511" t="s">
        <v>292</v>
      </c>
      <c r="C33" s="512">
        <v>530000</v>
      </c>
      <c r="D33" s="512">
        <f t="shared" si="0"/>
        <v>26.5</v>
      </c>
      <c r="E33" s="513">
        <v>3.9</v>
      </c>
      <c r="F33" s="514" t="s">
        <v>285</v>
      </c>
    </row>
    <row r="34" spans="2:13" ht="15.6" customHeight="1">
      <c r="B34" s="511" t="s">
        <v>293</v>
      </c>
      <c r="C34" s="512">
        <v>117660</v>
      </c>
      <c r="D34" s="512">
        <f t="shared" si="0"/>
        <v>5.883</v>
      </c>
      <c r="E34" s="513">
        <v>0.87</v>
      </c>
      <c r="F34" s="514" t="s">
        <v>283</v>
      </c>
    </row>
    <row r="35" spans="2:13" ht="15.6" customHeight="1">
      <c r="B35" s="515" t="s">
        <v>294</v>
      </c>
      <c r="C35" s="516">
        <v>13600000</v>
      </c>
      <c r="D35" s="516">
        <f t="shared" si="0"/>
        <v>680</v>
      </c>
      <c r="E35" s="517">
        <v>100</v>
      </c>
      <c r="F35" s="518"/>
    </row>
    <row r="36" spans="2:13">
      <c r="B36" s="519" t="s">
        <v>295</v>
      </c>
    </row>
    <row r="37" spans="2:13">
      <c r="B37" s="520" t="s">
        <v>296</v>
      </c>
    </row>
    <row r="38" spans="2:13">
      <c r="B38" s="520" t="s">
        <v>297</v>
      </c>
      <c r="C38" s="521"/>
      <c r="D38" s="521"/>
      <c r="E38" s="521"/>
    </row>
    <row r="39" spans="2:13">
      <c r="B39" s="519"/>
    </row>
    <row r="40" spans="2:13">
      <c r="B40" s="496" t="s">
        <v>298</v>
      </c>
      <c r="C40" s="497"/>
      <c r="D40" s="497"/>
    </row>
    <row r="41" spans="2:13">
      <c r="B41" s="519"/>
    </row>
    <row r="42" spans="2:13">
      <c r="B42" s="519" t="s">
        <v>299</v>
      </c>
      <c r="C42" s="498" t="s">
        <v>300</v>
      </c>
    </row>
    <row r="43" spans="2:13">
      <c r="B43" s="519"/>
    </row>
    <row r="44" spans="2:13" s="527" customFormat="1">
      <c r="B44" s="522" t="s">
        <v>11</v>
      </c>
      <c r="C44" s="523" t="s">
        <v>301</v>
      </c>
      <c r="D44" s="524" t="s">
        <v>302</v>
      </c>
      <c r="E44" s="523" t="s">
        <v>303</v>
      </c>
      <c r="F44" s="525" t="s">
        <v>304</v>
      </c>
      <c r="G44" s="523" t="s">
        <v>174</v>
      </c>
      <c r="H44" s="524" t="s">
        <v>305</v>
      </c>
      <c r="I44" s="524"/>
      <c r="J44" s="524"/>
      <c r="K44" s="524"/>
      <c r="L44" s="524"/>
      <c r="M44" s="526"/>
    </row>
    <row r="45" spans="2:13">
      <c r="B45" s="528" t="s">
        <v>306</v>
      </c>
      <c r="C45" s="529">
        <v>1330</v>
      </c>
      <c r="D45" s="530">
        <v>903.07</v>
      </c>
      <c r="E45" s="492">
        <f>차입금상환!T8</f>
        <v>764.74999999999989</v>
      </c>
      <c r="F45" s="531">
        <f>차입금상환!U72</f>
        <v>733.49499999999989</v>
      </c>
      <c r="G45" s="532" t="s">
        <v>307</v>
      </c>
      <c r="H45" s="533" t="s">
        <v>308</v>
      </c>
      <c r="I45" s="533"/>
      <c r="J45" s="533"/>
      <c r="K45" s="533"/>
      <c r="L45" s="533"/>
      <c r="M45" s="504"/>
    </row>
    <row r="46" spans="2:13">
      <c r="B46" s="528" t="s">
        <v>309</v>
      </c>
      <c r="C46" s="529">
        <v>75</v>
      </c>
      <c r="D46" s="530">
        <v>50.924999999999997</v>
      </c>
      <c r="E46" s="492">
        <f>차입금상환!T13</f>
        <v>43.125</v>
      </c>
      <c r="F46" s="531">
        <f>차입금상환!U76</f>
        <v>41.362499999999997</v>
      </c>
      <c r="G46" s="534">
        <v>7.1999999999999995E-2</v>
      </c>
      <c r="H46" s="533" t="s">
        <v>308</v>
      </c>
      <c r="I46" s="533"/>
      <c r="J46" s="533"/>
      <c r="K46" s="533"/>
      <c r="L46" s="533"/>
      <c r="M46" s="504"/>
    </row>
    <row r="47" spans="2:13">
      <c r="B47" s="528" t="s">
        <v>310</v>
      </c>
      <c r="C47" s="529">
        <v>125</v>
      </c>
      <c r="D47" s="530">
        <v>84.875</v>
      </c>
      <c r="E47" s="492">
        <f>차입금상환!T18</f>
        <v>71.875</v>
      </c>
      <c r="F47" s="531">
        <f>차입금상환!U80</f>
        <v>68.9375</v>
      </c>
      <c r="G47" s="534">
        <v>7.1999999999999995E-2</v>
      </c>
      <c r="H47" s="533" t="s">
        <v>308</v>
      </c>
      <c r="I47" s="533"/>
      <c r="J47" s="533"/>
      <c r="K47" s="533"/>
      <c r="L47" s="533"/>
      <c r="M47" s="504"/>
    </row>
    <row r="48" spans="2:13">
      <c r="B48" s="528" t="s">
        <v>311</v>
      </c>
      <c r="C48" s="529">
        <v>130.97999999999999</v>
      </c>
      <c r="D48" s="530">
        <v>88.935419999999993</v>
      </c>
      <c r="E48" s="492">
        <f>차입금상환!T23</f>
        <v>75.313499999999976</v>
      </c>
      <c r="F48" s="531">
        <f>차입금상환!U84</f>
        <v>72.235469999999978</v>
      </c>
      <c r="G48" s="532" t="s">
        <v>312</v>
      </c>
      <c r="H48" s="533" t="s">
        <v>308</v>
      </c>
      <c r="I48" s="533"/>
      <c r="J48" s="533"/>
      <c r="K48" s="533"/>
      <c r="L48" s="533"/>
      <c r="M48" s="504"/>
    </row>
    <row r="49" spans="2:18">
      <c r="B49" s="528" t="s">
        <v>313</v>
      </c>
      <c r="C49" s="529">
        <v>261</v>
      </c>
      <c r="D49" s="530">
        <v>0</v>
      </c>
      <c r="E49" s="492">
        <v>0</v>
      </c>
      <c r="F49" s="531"/>
      <c r="G49" s="532" t="s">
        <v>314</v>
      </c>
      <c r="H49" s="533" t="s">
        <v>315</v>
      </c>
      <c r="I49" s="533"/>
      <c r="J49" s="533"/>
      <c r="K49" s="533"/>
      <c r="L49" s="533"/>
      <c r="M49" s="504"/>
    </row>
    <row r="50" spans="2:18">
      <c r="B50" s="528" t="s">
        <v>40</v>
      </c>
      <c r="C50" s="529">
        <f>SUM(C45:C49)</f>
        <v>1921.98</v>
      </c>
      <c r="D50" s="535">
        <f>SUM(D45:D49)</f>
        <v>1127.8054199999999</v>
      </c>
      <c r="E50" s="536">
        <f>SUM(E45:E49)</f>
        <v>955.06349999999986</v>
      </c>
      <c r="F50" s="537">
        <f>SUM(F45:F49)</f>
        <v>916.03046999999981</v>
      </c>
      <c r="G50" s="532"/>
      <c r="H50" s="533"/>
      <c r="I50" s="533"/>
      <c r="J50" s="533"/>
      <c r="K50" s="533"/>
      <c r="L50" s="533"/>
      <c r="M50" s="504"/>
    </row>
    <row r="51" spans="2:18">
      <c r="B51" s="519"/>
    </row>
    <row r="52" spans="2:18">
      <c r="B52" s="519" t="s">
        <v>71</v>
      </c>
      <c r="C52" s="498" t="s">
        <v>316</v>
      </c>
    </row>
    <row r="53" spans="2:18">
      <c r="B53" s="519"/>
    </row>
    <row r="54" spans="2:18">
      <c r="B54" s="519"/>
    </row>
    <row r="55" spans="2:18">
      <c r="B55" s="496" t="s">
        <v>317</v>
      </c>
      <c r="C55" s="497"/>
      <c r="D55" s="497"/>
    </row>
    <row r="56" spans="2:18">
      <c r="B56" s="519"/>
    </row>
    <row r="57" spans="2:18">
      <c r="B57" s="541" t="s">
        <v>318</v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</row>
    <row r="58" spans="2:18">
      <c r="B58" s="30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 t="s">
        <v>319</v>
      </c>
      <c r="P58" s="16"/>
      <c r="Q58" s="16"/>
      <c r="R58" s="16"/>
    </row>
    <row r="59" spans="2:18">
      <c r="B59" s="542" t="s">
        <v>95</v>
      </c>
      <c r="C59" s="542"/>
      <c r="D59" s="542">
        <v>2009</v>
      </c>
      <c r="E59" s="542">
        <f t="shared" ref="E59:L59" si="1">D59+1</f>
        <v>2010</v>
      </c>
      <c r="F59" s="542">
        <f t="shared" si="1"/>
        <v>2011</v>
      </c>
      <c r="G59" s="542">
        <f t="shared" si="1"/>
        <v>2012</v>
      </c>
      <c r="H59" s="542">
        <f t="shared" si="1"/>
        <v>2013</v>
      </c>
      <c r="I59" s="542">
        <f t="shared" si="1"/>
        <v>2014</v>
      </c>
      <c r="J59" s="542">
        <f t="shared" si="1"/>
        <v>2015</v>
      </c>
      <c r="K59" s="542">
        <f t="shared" si="1"/>
        <v>2016</v>
      </c>
      <c r="L59" s="542">
        <f t="shared" si="1"/>
        <v>2017</v>
      </c>
      <c r="M59" s="542">
        <f>L59+1</f>
        <v>2018</v>
      </c>
      <c r="N59" s="542">
        <f>M59+1</f>
        <v>2019</v>
      </c>
      <c r="O59" s="542">
        <f>N59+1</f>
        <v>2020</v>
      </c>
      <c r="P59" s="16"/>
      <c r="Q59" s="16"/>
      <c r="R59" s="16"/>
    </row>
    <row r="60" spans="2:18">
      <c r="B60" s="542" t="s">
        <v>320</v>
      </c>
      <c r="C60" s="542"/>
      <c r="D60" s="543">
        <v>120482</v>
      </c>
      <c r="E60" s="543">
        <v>254627</v>
      </c>
      <c r="F60" s="543">
        <v>287644</v>
      </c>
      <c r="G60" s="543">
        <v>329170</v>
      </c>
      <c r="H60" s="543">
        <v>390844</v>
      </c>
      <c r="I60" s="543">
        <v>460751</v>
      </c>
      <c r="J60" s="543">
        <v>503099</v>
      </c>
      <c r="K60" s="543">
        <v>515000</v>
      </c>
      <c r="L60" s="543">
        <v>515000</v>
      </c>
      <c r="M60" s="543">
        <v>515000</v>
      </c>
      <c r="N60" s="543">
        <v>515000</v>
      </c>
      <c r="O60" s="543">
        <v>515000</v>
      </c>
      <c r="P60" s="16"/>
      <c r="Q60" s="16"/>
      <c r="R60" s="16"/>
    </row>
    <row r="61" spans="2:18">
      <c r="B61" s="544" t="s">
        <v>148</v>
      </c>
      <c r="C61" s="544"/>
      <c r="D61" s="545">
        <f>MRG!E11*1000</f>
        <v>63862</v>
      </c>
      <c r="E61" s="545">
        <f>MRG!F11*1000</f>
        <v>189372</v>
      </c>
      <c r="F61" s="545">
        <f>MRG!G11*1000</f>
        <v>232456</v>
      </c>
      <c r="G61" s="545">
        <f>MRG!H11*1000</f>
        <v>239018</v>
      </c>
      <c r="H61" s="545">
        <f>MRG!I11*1000</f>
        <v>243634</v>
      </c>
      <c r="I61" s="545">
        <f>MRG!J11*1000</f>
        <v>246131</v>
      </c>
      <c r="J61" s="545">
        <f>MRG!K11*1000</f>
        <v>251310</v>
      </c>
      <c r="K61" s="545">
        <f>MRG!L11*1000</f>
        <v>305520</v>
      </c>
      <c r="L61" s="545">
        <f>MRG!M11*1000</f>
        <v>307188</v>
      </c>
      <c r="M61" s="545">
        <f>MRG!N11*1000</f>
        <v>302932</v>
      </c>
      <c r="N61" s="545">
        <f>MRG!O11*1000</f>
        <v>320343</v>
      </c>
      <c r="O61" s="545">
        <f ca="1">MRG!P11*1000</f>
        <v>352194</v>
      </c>
      <c r="P61" s="16"/>
      <c r="Q61" s="16"/>
      <c r="R61" s="16"/>
    </row>
    <row r="62" spans="2:18">
      <c r="B62" s="544" t="s">
        <v>321</v>
      </c>
      <c r="C62" s="544"/>
      <c r="D62" s="545"/>
      <c r="E62" s="545">
        <v>151263</v>
      </c>
      <c r="F62" s="545">
        <v>100158</v>
      </c>
      <c r="G62" s="545">
        <v>136138</v>
      </c>
      <c r="H62" s="545">
        <v>145538</v>
      </c>
      <c r="I62" s="545">
        <v>147428</v>
      </c>
      <c r="J62" s="545">
        <v>133627</v>
      </c>
      <c r="K62" s="545">
        <v>118894</v>
      </c>
      <c r="L62" s="545">
        <v>162037</v>
      </c>
      <c r="M62" s="545">
        <v>186883</v>
      </c>
      <c r="N62" s="545">
        <v>204400</v>
      </c>
      <c r="O62" s="545">
        <v>182768</v>
      </c>
      <c r="P62" s="16"/>
      <c r="Q62" s="16"/>
      <c r="R62" s="16"/>
    </row>
    <row r="63" spans="2:18">
      <c r="B63" s="544" t="s">
        <v>40</v>
      </c>
      <c r="C63" s="544"/>
      <c r="D63" s="545">
        <f t="shared" ref="D63:N63" si="2">SUM(D61:D62)</f>
        <v>63862</v>
      </c>
      <c r="E63" s="545">
        <f t="shared" si="2"/>
        <v>340635</v>
      </c>
      <c r="F63" s="545">
        <f t="shared" si="2"/>
        <v>332614</v>
      </c>
      <c r="G63" s="545">
        <f t="shared" si="2"/>
        <v>375156</v>
      </c>
      <c r="H63" s="545">
        <f t="shared" si="2"/>
        <v>389172</v>
      </c>
      <c r="I63" s="545">
        <f t="shared" si="2"/>
        <v>393559</v>
      </c>
      <c r="J63" s="545">
        <f t="shared" si="2"/>
        <v>384937</v>
      </c>
      <c r="K63" s="545">
        <f t="shared" si="2"/>
        <v>424414</v>
      </c>
      <c r="L63" s="545">
        <f t="shared" si="2"/>
        <v>469225</v>
      </c>
      <c r="M63" s="545">
        <f t="shared" si="2"/>
        <v>489815</v>
      </c>
      <c r="N63" s="545">
        <f t="shared" si="2"/>
        <v>524743</v>
      </c>
      <c r="O63" s="545">
        <f ca="1">SUM(O61:O62)</f>
        <v>534962</v>
      </c>
      <c r="P63" s="16"/>
      <c r="Q63" s="16"/>
      <c r="R63" s="16"/>
    </row>
    <row r="64" spans="2:18">
      <c r="B64" s="54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Q64" s="16"/>
      <c r="R64" s="16"/>
    </row>
    <row r="65" spans="2:18" ht="14.25" thickBot="1">
      <c r="B65" s="5543" t="s">
        <v>322</v>
      </c>
      <c r="C65" s="5544"/>
      <c r="D65" s="547">
        <v>2009</v>
      </c>
      <c r="E65" s="547">
        <v>2010</v>
      </c>
      <c r="F65" s="547">
        <v>2011</v>
      </c>
      <c r="G65" s="547">
        <v>2012</v>
      </c>
      <c r="H65" s="547">
        <v>2013</v>
      </c>
      <c r="I65" s="547">
        <v>2014</v>
      </c>
      <c r="J65" s="547">
        <v>2015</v>
      </c>
      <c r="K65" s="547">
        <v>2016</v>
      </c>
      <c r="L65" s="547">
        <v>2017</v>
      </c>
      <c r="M65" s="547">
        <v>2018</v>
      </c>
      <c r="N65" s="547">
        <v>2019</v>
      </c>
      <c r="O65" s="547">
        <v>2020</v>
      </c>
      <c r="Q65" s="16"/>
      <c r="R65" s="16"/>
    </row>
    <row r="66" spans="2:18" ht="14.25" thickTop="1">
      <c r="B66" s="548" t="s">
        <v>95</v>
      </c>
      <c r="C66" s="549" t="s">
        <v>320</v>
      </c>
      <c r="D66" s="550">
        <v>120482</v>
      </c>
      <c r="E66" s="550">
        <v>254627</v>
      </c>
      <c r="F66" s="550">
        <v>287644</v>
      </c>
      <c r="G66" s="550">
        <v>329170</v>
      </c>
      <c r="H66" s="550">
        <v>390844</v>
      </c>
      <c r="I66" s="550">
        <v>460751</v>
      </c>
      <c r="J66" s="550">
        <v>503099</v>
      </c>
      <c r="K66" s="550">
        <v>515000</v>
      </c>
      <c r="L66" s="550">
        <v>515000</v>
      </c>
      <c r="M66" s="550">
        <v>515000</v>
      </c>
      <c r="N66" s="550">
        <v>515000</v>
      </c>
      <c r="O66" s="550">
        <v>515000</v>
      </c>
      <c r="Q66" s="16"/>
      <c r="R66" s="16"/>
    </row>
    <row r="67" spans="2:18">
      <c r="B67" s="551" t="s">
        <v>323</v>
      </c>
      <c r="C67" s="552" t="s">
        <v>317</v>
      </c>
      <c r="D67" s="553">
        <v>63862</v>
      </c>
      <c r="E67" s="553">
        <v>189372</v>
      </c>
      <c r="F67" s="553">
        <v>232456</v>
      </c>
      <c r="G67" s="553">
        <v>239018</v>
      </c>
      <c r="H67" s="553">
        <v>243634</v>
      </c>
      <c r="I67" s="553">
        <v>246131</v>
      </c>
      <c r="J67" s="553">
        <v>251310</v>
      </c>
      <c r="K67" s="553">
        <v>305520</v>
      </c>
      <c r="L67" s="553">
        <v>307188</v>
      </c>
      <c r="M67" s="553">
        <v>302932</v>
      </c>
      <c r="N67" s="553">
        <v>320372</v>
      </c>
      <c r="O67" s="553">
        <v>352194</v>
      </c>
      <c r="Q67" s="16"/>
      <c r="R67" s="16"/>
    </row>
    <row r="68" spans="2:18">
      <c r="B68" s="554"/>
      <c r="C68" s="555" t="s">
        <v>324</v>
      </c>
      <c r="D68" s="556">
        <f>D67/D66</f>
        <v>0.53005428196743087</v>
      </c>
      <c r="E68" s="556">
        <f t="shared" ref="E68:L68" si="3">E67/E66</f>
        <v>0.743723171541117</v>
      </c>
      <c r="F68" s="556">
        <f t="shared" si="3"/>
        <v>0.80813783704857389</v>
      </c>
      <c r="G68" s="556">
        <f t="shared" si="3"/>
        <v>0.7261232797642555</v>
      </c>
      <c r="H68" s="556">
        <f t="shared" si="3"/>
        <v>0.62335356305840695</v>
      </c>
      <c r="I68" s="556">
        <f t="shared" si="3"/>
        <v>0.53419525947854696</v>
      </c>
      <c r="J68" s="556">
        <f t="shared" si="3"/>
        <v>0.49952395055446341</v>
      </c>
      <c r="K68" s="556">
        <f t="shared" si="3"/>
        <v>0.59324271844660192</v>
      </c>
      <c r="L68" s="556">
        <f t="shared" si="3"/>
        <v>0.59648155339805831</v>
      </c>
      <c r="M68" s="556">
        <f>M67/M66</f>
        <v>0.5882174757281553</v>
      </c>
      <c r="N68" s="556">
        <f>N67/N66</f>
        <v>0.62208155339805826</v>
      </c>
      <c r="O68" s="556">
        <f>O67/O66</f>
        <v>0.68387184466019413</v>
      </c>
      <c r="Q68" s="16"/>
      <c r="R68" s="16"/>
    </row>
    <row r="69" spans="2:18">
      <c r="B69" s="5539" t="s">
        <v>325</v>
      </c>
      <c r="C69" s="557" t="s">
        <v>326</v>
      </c>
      <c r="D69" s="558">
        <f>MRG!E5</f>
        <v>15535</v>
      </c>
      <c r="E69" s="558">
        <f>MRG!F5</f>
        <v>17550</v>
      </c>
      <c r="F69" s="558">
        <f>MRG!G5</f>
        <v>19825</v>
      </c>
      <c r="G69" s="558">
        <f>MRG!H5</f>
        <v>24112</v>
      </c>
      <c r="H69" s="558">
        <f>MRG!I5</f>
        <v>30960</v>
      </c>
      <c r="I69" s="558">
        <f>MRG!J5</f>
        <v>37070.5</v>
      </c>
      <c r="J69" s="558">
        <f>MRG!K5</f>
        <v>40685</v>
      </c>
      <c r="K69" s="558">
        <f>MRG!L5</f>
        <v>40685</v>
      </c>
      <c r="L69" s="558">
        <f>MRG!M5</f>
        <v>40685</v>
      </c>
      <c r="M69" s="558">
        <f>MRG!N5</f>
        <v>40685</v>
      </c>
      <c r="N69" s="558">
        <f>MRG!O5</f>
        <v>40685</v>
      </c>
      <c r="O69" s="558">
        <f>MRG!P5</f>
        <v>40685</v>
      </c>
      <c r="Q69" s="16"/>
      <c r="R69" s="16"/>
    </row>
    <row r="70" spans="2:18" ht="27">
      <c r="B70" s="5540"/>
      <c r="C70" s="559" t="s">
        <v>327</v>
      </c>
      <c r="D70" s="560">
        <f>MRG!E6</f>
        <v>7831.3424657534242</v>
      </c>
      <c r="E70" s="560">
        <f>MRG!F6</f>
        <v>16550.780821917808</v>
      </c>
      <c r="F70" s="560">
        <f>MRG!G6</f>
        <v>18697</v>
      </c>
      <c r="G70" s="560">
        <f>MRG!H6</f>
        <v>22018.786960000001</v>
      </c>
      <c r="H70" s="560">
        <f>MRG!I6</f>
        <v>27531</v>
      </c>
      <c r="I70" s="560">
        <f>MRG!J6</f>
        <v>34040</v>
      </c>
      <c r="J70" s="560">
        <f>MRG!K6</f>
        <v>38892.60410958904</v>
      </c>
      <c r="K70" s="560">
        <f>MRG!L6</f>
        <v>40740.428325473462</v>
      </c>
      <c r="L70" s="560">
        <f>MRG!M6</f>
        <v>40629.876225765402</v>
      </c>
      <c r="M70" s="560">
        <f>MRG!N6</f>
        <v>40685</v>
      </c>
      <c r="N70" s="560">
        <f>MRG!O6</f>
        <v>40685</v>
      </c>
      <c r="O70" s="560">
        <f>MRG!P6</f>
        <v>40685</v>
      </c>
      <c r="Q70" s="16"/>
      <c r="R70" s="16"/>
    </row>
    <row r="71" spans="2:18" ht="27">
      <c r="B71" s="5540"/>
      <c r="C71" s="561" t="s">
        <v>328</v>
      </c>
      <c r="D71" s="562">
        <f>Index!M86</f>
        <v>1.2542630937880632</v>
      </c>
      <c r="E71" s="562">
        <f>Index!N86</f>
        <v>1.289281364190012</v>
      </c>
      <c r="F71" s="562">
        <f>Index!O86</f>
        <v>1.3284104750304506</v>
      </c>
      <c r="G71" s="562">
        <f>Index!P86</f>
        <v>1.3836784409257001</v>
      </c>
      <c r="H71" s="562">
        <f>Index!Q86</f>
        <v>1.4034713763702802</v>
      </c>
      <c r="I71" s="562">
        <f>Index!R86</f>
        <v>1.4194579780755177</v>
      </c>
      <c r="J71" s="562">
        <f>Index!S86</f>
        <v>1.4313337393422654</v>
      </c>
      <c r="K71" s="562">
        <f>Index!T86</f>
        <v>1.4474725943970765</v>
      </c>
      <c r="L71" s="562">
        <f>Index!U86</f>
        <v>1.4668087697929353</v>
      </c>
      <c r="M71" s="562">
        <f>Index!V86</f>
        <v>1.4875152253349573</v>
      </c>
      <c r="N71" s="562">
        <f>Index!W86</f>
        <v>1.5071559074299632</v>
      </c>
      <c r="O71" s="562">
        <f>Index!X86</f>
        <v>1.5182704019488427</v>
      </c>
      <c r="Q71" s="16"/>
      <c r="R71" s="16"/>
    </row>
    <row r="72" spans="2:18">
      <c r="B72" s="5540"/>
      <c r="C72" s="557" t="s">
        <v>329</v>
      </c>
      <c r="D72" s="558">
        <f>D70*D71</f>
        <v>9822.5638296097295</v>
      </c>
      <c r="E72" s="558">
        <f>E70*E71</f>
        <v>21338.61327649208</v>
      </c>
      <c r="F72" s="558">
        <f t="shared" ref="F72:O72" si="4">F70*F71</f>
        <v>24837.290651644336</v>
      </c>
      <c r="G72" s="558">
        <f t="shared" si="4"/>
        <v>30466.92081188794</v>
      </c>
      <c r="H72" s="558">
        <f t="shared" si="4"/>
        <v>38638.970462850186</v>
      </c>
      <c r="I72" s="558">
        <f t="shared" si="4"/>
        <v>48318.349573690619</v>
      </c>
      <c r="J72" s="558">
        <f t="shared" si="4"/>
        <v>55668.296472936439</v>
      </c>
      <c r="K72" s="558">
        <f t="shared" si="4"/>
        <v>58970.65348512122</v>
      </c>
      <c r="L72" s="558">
        <f t="shared" si="4"/>
        <v>59596.258763554179</v>
      </c>
      <c r="M72" s="558">
        <f t="shared" si="4"/>
        <v>60519.556942752737</v>
      </c>
      <c r="N72" s="558">
        <f t="shared" si="4"/>
        <v>61318.638093788053</v>
      </c>
      <c r="O72" s="558">
        <f t="shared" si="4"/>
        <v>61770.831303288665</v>
      </c>
    </row>
    <row r="73" spans="2:18">
      <c r="B73" s="5540"/>
      <c r="C73" s="552" t="s">
        <v>317</v>
      </c>
      <c r="D73" s="553">
        <v>3724.327468</v>
      </c>
      <c r="E73" s="553">
        <v>11297.785341000001</v>
      </c>
      <c r="F73" s="553">
        <v>14570.615564</v>
      </c>
      <c r="G73" s="553">
        <v>14910.639868</v>
      </c>
      <c r="H73" s="553">
        <v>15023.877861000001</v>
      </c>
      <c r="I73" s="553">
        <v>14789.025049</v>
      </c>
      <c r="J73" s="553">
        <v>16260.998858999999</v>
      </c>
      <c r="K73" s="553">
        <v>19838.288875999999</v>
      </c>
      <c r="L73" s="553">
        <v>21837.602509</v>
      </c>
      <c r="M73" s="553">
        <v>22155.7896</v>
      </c>
      <c r="N73" s="553">
        <v>24047.832912000002</v>
      </c>
      <c r="O73" s="553">
        <v>26585.109806999997</v>
      </c>
    </row>
    <row r="74" spans="2:18">
      <c r="B74" s="5541"/>
      <c r="C74" s="555" t="s">
        <v>330</v>
      </c>
      <c r="D74" s="563">
        <f>D73/D72</f>
        <v>0.37916042416269796</v>
      </c>
      <c r="E74" s="563">
        <f t="shared" ref="E74:N74" si="5">E73/E72</f>
        <v>0.5294526497392561</v>
      </c>
      <c r="F74" s="563">
        <f t="shared" si="5"/>
        <v>0.58664271270004087</v>
      </c>
      <c r="G74" s="563">
        <f t="shared" si="5"/>
        <v>0.48940422827967545</v>
      </c>
      <c r="H74" s="563">
        <f t="shared" si="5"/>
        <v>0.38882707486848944</v>
      </c>
      <c r="I74" s="563">
        <f t="shared" si="5"/>
        <v>0.30607471446112133</v>
      </c>
      <c r="J74" s="563">
        <f t="shared" si="5"/>
        <v>0.29210519971462401</v>
      </c>
      <c r="K74" s="563">
        <f t="shared" si="5"/>
        <v>0.33640951394587076</v>
      </c>
      <c r="L74" s="563">
        <f t="shared" si="5"/>
        <v>0.36642572809209101</v>
      </c>
      <c r="M74" s="563">
        <f t="shared" si="5"/>
        <v>0.36609305684372123</v>
      </c>
      <c r="N74" s="563">
        <f t="shared" si="5"/>
        <v>0.39217819670453824</v>
      </c>
      <c r="O74" s="563">
        <f>O73/O72</f>
        <v>0.43038290478024716</v>
      </c>
    </row>
    <row r="75" spans="2:18">
      <c r="B75" s="519" t="s">
        <v>331</v>
      </c>
    </row>
    <row r="76" spans="2:18">
      <c r="B76" s="519"/>
    </row>
    <row r="77" spans="2:18">
      <c r="B77" s="496" t="s">
        <v>243</v>
      </c>
      <c r="C77" s="497"/>
      <c r="D77" s="497"/>
    </row>
    <row r="78" spans="2:18">
      <c r="B78" s="519"/>
    </row>
    <row r="79" spans="2:18">
      <c r="B79" s="519" t="s">
        <v>332</v>
      </c>
    </row>
    <row r="80" spans="2:18">
      <c r="B80" s="564" t="s">
        <v>333</v>
      </c>
      <c r="C80" s="565" t="s">
        <v>334</v>
      </c>
      <c r="D80" s="566"/>
      <c r="E80" s="566"/>
      <c r="F80" s="566"/>
      <c r="G80" s="566"/>
      <c r="H80" s="567"/>
    </row>
    <row r="81" spans="2:8">
      <c r="B81" s="568" t="s">
        <v>335</v>
      </c>
      <c r="C81" s="569" t="s">
        <v>336</v>
      </c>
      <c r="D81" s="533"/>
      <c r="E81" s="533"/>
      <c r="F81" s="533"/>
      <c r="G81" s="533"/>
      <c r="H81" s="504"/>
    </row>
    <row r="82" spans="2:8">
      <c r="B82" s="568" t="s">
        <v>337</v>
      </c>
      <c r="C82" s="569" t="s">
        <v>338</v>
      </c>
      <c r="D82" s="533"/>
      <c r="E82" s="533"/>
      <c r="F82" s="533"/>
      <c r="G82" s="533"/>
      <c r="H82" s="504"/>
    </row>
    <row r="83" spans="2:8">
      <c r="B83" s="570" t="s">
        <v>339</v>
      </c>
      <c r="C83" s="571" t="s">
        <v>340</v>
      </c>
      <c r="D83" s="538"/>
      <c r="E83" s="538"/>
      <c r="F83" s="538"/>
      <c r="G83" s="538"/>
      <c r="H83" s="539"/>
    </row>
    <row r="84" spans="2:8">
      <c r="B84" s="572" t="s">
        <v>341</v>
      </c>
    </row>
    <row r="86" spans="2:8">
      <c r="B86" s="496" t="s">
        <v>342</v>
      </c>
      <c r="C86" s="497"/>
      <c r="D86" s="497"/>
    </row>
    <row r="88" spans="2:8">
      <c r="B88" s="498" t="s">
        <v>343</v>
      </c>
      <c r="C88" s="498" t="s">
        <v>344</v>
      </c>
    </row>
    <row r="89" spans="2:8">
      <c r="B89" s="498" t="s">
        <v>345</v>
      </c>
    </row>
    <row r="90" spans="2:8">
      <c r="B90" s="520" t="s">
        <v>346</v>
      </c>
      <c r="C90" s="498" t="s">
        <v>347</v>
      </c>
    </row>
    <row r="91" spans="2:8">
      <c r="B91" s="520" t="s">
        <v>348</v>
      </c>
      <c r="C91" s="498" t="s">
        <v>349</v>
      </c>
    </row>
    <row r="92" spans="2:8">
      <c r="B92" s="520" t="s">
        <v>350</v>
      </c>
      <c r="C92" s="498" t="s">
        <v>351</v>
      </c>
    </row>
    <row r="93" spans="2:8">
      <c r="B93" s="498" t="s">
        <v>352</v>
      </c>
    </row>
    <row r="94" spans="2:8">
      <c r="B94" s="520" t="s">
        <v>353</v>
      </c>
      <c r="C94" s="498" t="s">
        <v>354</v>
      </c>
    </row>
    <row r="95" spans="2:8">
      <c r="B95" s="520" t="s">
        <v>355</v>
      </c>
      <c r="C95" s="498" t="s">
        <v>356</v>
      </c>
    </row>
    <row r="96" spans="2:8">
      <c r="C96" s="498" t="s">
        <v>357</v>
      </c>
    </row>
    <row r="97" spans="2:5">
      <c r="B97" s="498" t="s">
        <v>358</v>
      </c>
    </row>
    <row r="98" spans="2:5">
      <c r="C98" s="498" t="s">
        <v>359</v>
      </c>
    </row>
    <row r="99" spans="2:5">
      <c r="C99" s="498" t="s">
        <v>360</v>
      </c>
    </row>
    <row r="100" spans="2:5">
      <c r="C100" s="498" t="s">
        <v>361</v>
      </c>
    </row>
    <row r="102" spans="2:5">
      <c r="B102" s="498" t="s">
        <v>362</v>
      </c>
      <c r="C102" s="498" t="s">
        <v>363</v>
      </c>
    </row>
    <row r="103" spans="2:5">
      <c r="C103" s="498" t="s">
        <v>364</v>
      </c>
    </row>
    <row r="105" spans="2:5">
      <c r="C105" s="498" t="s">
        <v>365</v>
      </c>
      <c r="D105" s="498">
        <f>Index!N60</f>
        <v>65.680000000000007</v>
      </c>
      <c r="E105" s="498" t="s">
        <v>366</v>
      </c>
    </row>
    <row r="106" spans="2:5">
      <c r="C106" s="498" t="s">
        <v>367</v>
      </c>
      <c r="D106" s="498">
        <f>Index!U73</f>
        <v>94.01</v>
      </c>
      <c r="E106" s="498" t="s">
        <v>368</v>
      </c>
    </row>
    <row r="107" spans="2:5">
      <c r="C107" s="498" t="s">
        <v>369</v>
      </c>
      <c r="D107" s="573">
        <f>D106/D105</f>
        <v>1.4313337393422654</v>
      </c>
    </row>
  </sheetData>
  <mergeCells count="6">
    <mergeCell ref="B69:B74"/>
    <mergeCell ref="B22:B24"/>
    <mergeCell ref="C22:E22"/>
    <mergeCell ref="F22:F24"/>
    <mergeCell ref="E23:E24"/>
    <mergeCell ref="B65:C65"/>
  </mergeCells>
  <phoneticPr fontId="12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74750-5AE4-4A77-9BE1-0779B0622B8F}">
  <sheetPr codeName="Sheet25">
    <tabColor rgb="FFFFFF00"/>
  </sheetPr>
  <dimension ref="B1:P119"/>
  <sheetViews>
    <sheetView zoomScaleNormal="100" workbookViewId="0">
      <selection activeCell="E31" sqref="E31"/>
    </sheetView>
  </sheetViews>
  <sheetFormatPr defaultColWidth="8.77734375" defaultRowHeight="13.5"/>
  <cols>
    <col min="1" max="1" width="3.33203125" style="498" customWidth="1"/>
    <col min="2" max="6" width="22.109375" style="611" customWidth="1"/>
    <col min="7" max="8" width="8.77734375" style="498"/>
    <col min="9" max="9" width="8.44140625" style="498" customWidth="1"/>
    <col min="10" max="10" width="20.33203125" style="498" customWidth="1"/>
    <col min="11" max="11" width="8.77734375" style="498"/>
    <col min="12" max="12" width="13.88671875" style="498" bestFit="1" customWidth="1"/>
    <col min="13" max="13" width="18.6640625" style="498" bestFit="1" customWidth="1"/>
    <col min="14" max="16384" width="8.77734375" style="498"/>
  </cols>
  <sheetData>
    <row r="1" spans="2:13">
      <c r="B1" s="5545" t="s">
        <v>630</v>
      </c>
      <c r="C1" s="5545"/>
      <c r="D1" s="5545"/>
      <c r="E1" s="5545"/>
      <c r="F1" s="5545"/>
    </row>
    <row r="2" spans="2:13">
      <c r="B2" s="5546" t="s">
        <v>631</v>
      </c>
      <c r="C2" s="5546"/>
      <c r="D2" s="5546"/>
      <c r="E2" s="5546"/>
      <c r="F2" s="5546"/>
    </row>
    <row r="3" spans="2:13">
      <c r="B3" s="5546" t="s">
        <v>632</v>
      </c>
      <c r="C3" s="5546"/>
      <c r="D3" s="5546"/>
      <c r="E3" s="5546"/>
      <c r="F3" s="5546"/>
    </row>
    <row r="4" spans="2:13">
      <c r="B4" s="574"/>
      <c r="C4" s="574"/>
      <c r="D4" s="574"/>
      <c r="E4" s="574"/>
      <c r="F4" s="574"/>
    </row>
    <row r="5" spans="2:13">
      <c r="B5" s="574" t="s">
        <v>633</v>
      </c>
      <c r="C5" s="574"/>
      <c r="D5" s="574"/>
      <c r="E5" s="574"/>
      <c r="F5" s="575" t="s">
        <v>634</v>
      </c>
    </row>
    <row r="6" spans="2:13">
      <c r="B6" s="5547" t="s">
        <v>635</v>
      </c>
      <c r="C6" s="5555" t="s">
        <v>636</v>
      </c>
      <c r="D6" s="5556"/>
      <c r="E6" s="5555" t="s">
        <v>637</v>
      </c>
      <c r="F6" s="5556"/>
    </row>
    <row r="7" spans="2:13">
      <c r="B7" s="5548"/>
      <c r="C7" s="5552" t="s">
        <v>638</v>
      </c>
      <c r="D7" s="5554"/>
      <c r="E7" s="5552" t="s">
        <v>638</v>
      </c>
      <c r="F7" s="5554"/>
    </row>
    <row r="8" spans="2:13" ht="15.75">
      <c r="B8" s="576" t="s">
        <v>639</v>
      </c>
      <c r="C8" s="577"/>
      <c r="D8" s="578"/>
      <c r="E8" s="579"/>
      <c r="F8" s="578"/>
    </row>
    <row r="9" spans="2:13">
      <c r="B9" s="580" t="s">
        <v>640</v>
      </c>
      <c r="C9" s="581"/>
      <c r="D9" s="582">
        <f>SUM(D10)</f>
        <v>14768832412</v>
      </c>
      <c r="E9" s="581"/>
      <c r="F9" s="582">
        <f>SUM(F10)</f>
        <v>20532887641</v>
      </c>
      <c r="L9" s="498" t="s">
        <v>641</v>
      </c>
    </row>
    <row r="10" spans="2:13">
      <c r="B10" s="583" t="s">
        <v>642</v>
      </c>
      <c r="C10" s="581"/>
      <c r="D10" s="582">
        <f>SUM(C11:C21)</f>
        <v>14768832412</v>
      </c>
      <c r="E10" s="581"/>
      <c r="F10" s="582">
        <f>SUM(E11:E21)</f>
        <v>20532887641</v>
      </c>
    </row>
    <row r="11" spans="2:13">
      <c r="B11" s="584" t="s">
        <v>643</v>
      </c>
      <c r="C11" s="585">
        <v>142950917</v>
      </c>
      <c r="D11" s="582"/>
      <c r="E11" s="581">
        <v>319303829</v>
      </c>
      <c r="F11" s="582"/>
      <c r="G11" s="498" t="s">
        <v>644</v>
      </c>
      <c r="L11" s="540" t="s">
        <v>645</v>
      </c>
      <c r="M11" s="540" t="s">
        <v>36</v>
      </c>
    </row>
    <row r="12" spans="2:13">
      <c r="B12" s="584" t="s">
        <v>646</v>
      </c>
      <c r="C12" s="585">
        <v>5266657532</v>
      </c>
      <c r="D12" s="582"/>
      <c r="E12" s="581">
        <v>1353143070</v>
      </c>
      <c r="F12" s="582"/>
      <c r="G12" s="498" t="s">
        <v>647</v>
      </c>
      <c r="L12" s="532">
        <v>2011</v>
      </c>
      <c r="M12" s="492">
        <v>653872295</v>
      </c>
    </row>
    <row r="13" spans="2:13">
      <c r="B13" s="584" t="s">
        <v>648</v>
      </c>
      <c r="C13" s="585">
        <v>3506129560</v>
      </c>
      <c r="D13" s="582"/>
      <c r="E13" s="581">
        <v>3564486600</v>
      </c>
      <c r="F13" s="582"/>
      <c r="G13" s="498" t="s">
        <v>649</v>
      </c>
      <c r="L13" s="532">
        <f>L12+1</f>
        <v>2012</v>
      </c>
      <c r="M13" s="492">
        <v>19154165436</v>
      </c>
    </row>
    <row r="14" spans="2:13">
      <c r="B14" s="584" t="s">
        <v>650</v>
      </c>
      <c r="C14" s="585">
        <v>3573391121</v>
      </c>
      <c r="D14" s="582"/>
      <c r="E14" s="581">
        <v>13156974478</v>
      </c>
      <c r="F14" s="582"/>
      <c r="G14" s="498" t="s">
        <v>651</v>
      </c>
      <c r="L14" s="532">
        <f t="shared" ref="L14:L21" si="0">L13+1</f>
        <v>2013</v>
      </c>
      <c r="M14" s="492">
        <v>9464071457</v>
      </c>
    </row>
    <row r="15" spans="2:13">
      <c r="B15" s="584" t="s">
        <v>652</v>
      </c>
      <c r="C15" s="585">
        <v>0</v>
      </c>
      <c r="D15" s="582"/>
      <c r="E15" s="586">
        <v>2163370</v>
      </c>
      <c r="F15" s="582"/>
      <c r="L15" s="532">
        <f t="shared" si="0"/>
        <v>2014</v>
      </c>
      <c r="M15" s="492">
        <v>7299437551</v>
      </c>
    </row>
    <row r="16" spans="2:13">
      <c r="B16" s="584" t="s">
        <v>653</v>
      </c>
      <c r="C16" s="585">
        <v>0</v>
      </c>
      <c r="D16" s="582"/>
      <c r="E16" s="587">
        <v>0</v>
      </c>
      <c r="F16" s="582"/>
      <c r="L16" s="532">
        <f t="shared" si="0"/>
        <v>2015</v>
      </c>
      <c r="M16" s="492">
        <v>0</v>
      </c>
    </row>
    <row r="17" spans="2:13">
      <c r="B17" s="584" t="s">
        <v>654</v>
      </c>
      <c r="C17" s="585">
        <v>507808284</v>
      </c>
      <c r="D17" s="582"/>
      <c r="E17" s="587">
        <v>357880154</v>
      </c>
      <c r="F17" s="582"/>
      <c r="L17" s="532">
        <f t="shared" si="0"/>
        <v>2016</v>
      </c>
      <c r="M17" s="492">
        <v>0</v>
      </c>
    </row>
    <row r="18" spans="2:13">
      <c r="B18" s="584" t="s">
        <v>655</v>
      </c>
      <c r="C18" s="585">
        <v>1148172866</v>
      </c>
      <c r="D18" s="582"/>
      <c r="E18" s="587">
        <v>1148172866</v>
      </c>
      <c r="F18" s="582"/>
      <c r="L18" s="532">
        <f t="shared" si="0"/>
        <v>2017</v>
      </c>
      <c r="M18" s="492">
        <v>0</v>
      </c>
    </row>
    <row r="19" spans="2:13">
      <c r="B19" s="584" t="s">
        <v>656</v>
      </c>
      <c r="C19" s="585">
        <v>623722132</v>
      </c>
      <c r="D19" s="582"/>
      <c r="E19" s="587">
        <v>630763274</v>
      </c>
      <c r="F19" s="582"/>
      <c r="L19" s="532">
        <f t="shared" si="0"/>
        <v>2018</v>
      </c>
      <c r="M19" s="492">
        <v>0</v>
      </c>
    </row>
    <row r="20" spans="2:13">
      <c r="B20" s="584" t="s">
        <v>657</v>
      </c>
      <c r="C20" s="585">
        <v>0</v>
      </c>
      <c r="D20" s="582"/>
      <c r="E20" s="581">
        <v>0</v>
      </c>
      <c r="F20" s="582"/>
      <c r="L20" s="532">
        <f t="shared" si="0"/>
        <v>2019</v>
      </c>
      <c r="M20" s="492">
        <v>0</v>
      </c>
    </row>
    <row r="21" spans="2:13">
      <c r="B21" s="584" t="s">
        <v>658</v>
      </c>
      <c r="C21" s="585">
        <v>0</v>
      </c>
      <c r="D21" s="582"/>
      <c r="E21" s="581">
        <v>0</v>
      </c>
      <c r="F21" s="582"/>
      <c r="L21" s="532">
        <f t="shared" si="0"/>
        <v>2020</v>
      </c>
      <c r="M21" s="492">
        <v>0</v>
      </c>
    </row>
    <row r="22" spans="2:13">
      <c r="B22" s="580" t="s">
        <v>659</v>
      </c>
      <c r="C22" s="581"/>
      <c r="D22" s="582">
        <f>SUM(D23,D25,D35,D39)</f>
        <v>137956850972</v>
      </c>
      <c r="E22" s="581"/>
      <c r="F22" s="582">
        <f>SUM(F23,F25,F35,F39)</f>
        <v>139742052960</v>
      </c>
      <c r="L22" s="498" t="s">
        <v>660</v>
      </c>
      <c r="M22" s="491"/>
    </row>
    <row r="23" spans="2:13">
      <c r="B23" s="583" t="s">
        <v>661</v>
      </c>
      <c r="C23" s="581"/>
      <c r="D23" s="582">
        <f>C24</f>
        <v>5775610</v>
      </c>
      <c r="E23" s="581"/>
      <c r="F23" s="582">
        <f>E24</f>
        <v>0</v>
      </c>
      <c r="M23" s="491"/>
    </row>
    <row r="24" spans="2:13">
      <c r="B24" s="584" t="s">
        <v>662</v>
      </c>
      <c r="C24" s="585">
        <v>5775610</v>
      </c>
      <c r="D24" s="582"/>
      <c r="E24" s="581">
        <v>0</v>
      </c>
      <c r="F24" s="582"/>
      <c r="G24" s="498" t="s">
        <v>663</v>
      </c>
      <c r="M24" s="491"/>
    </row>
    <row r="25" spans="2:13">
      <c r="B25" s="583" t="s">
        <v>664</v>
      </c>
      <c r="C25" s="588"/>
      <c r="D25" s="582">
        <f>SUM(C26:C34)</f>
        <v>33542083280</v>
      </c>
      <c r="E25" s="581"/>
      <c r="F25" s="582">
        <f>SUM(E26:E34)</f>
        <v>32645928622</v>
      </c>
      <c r="L25" s="498" t="s">
        <v>665</v>
      </c>
      <c r="M25" s="491"/>
    </row>
    <row r="26" spans="2:13">
      <c r="B26" s="584" t="s">
        <v>666</v>
      </c>
      <c r="C26" s="585">
        <v>53782574099</v>
      </c>
      <c r="D26" s="589">
        <f>SUM(C26:C28)</f>
        <v>27200960780</v>
      </c>
      <c r="E26" s="581">
        <v>54054692919</v>
      </c>
      <c r="F26" s="582">
        <f>SUM(E26:E28)</f>
        <v>30196619267</v>
      </c>
      <c r="G26" s="498" t="s">
        <v>667</v>
      </c>
      <c r="L26" s="532" t="s">
        <v>668</v>
      </c>
      <c r="M26" s="492">
        <v>9063582388</v>
      </c>
    </row>
    <row r="27" spans="2:13">
      <c r="B27" s="590" t="s">
        <v>669</v>
      </c>
      <c r="C27" s="585">
        <v>-26040322464</v>
      </c>
      <c r="D27" s="582"/>
      <c r="E27" s="581">
        <v>-23316782797</v>
      </c>
      <c r="F27" s="582"/>
      <c r="L27" s="532" t="s">
        <v>670</v>
      </c>
      <c r="M27" s="492">
        <v>8572000000</v>
      </c>
    </row>
    <row r="28" spans="2:13">
      <c r="B28" s="590" t="s">
        <v>671</v>
      </c>
      <c r="C28" s="585">
        <v>-541290855</v>
      </c>
      <c r="D28" s="582"/>
      <c r="E28" s="581">
        <v>-541290855</v>
      </c>
      <c r="F28" s="582"/>
      <c r="L28" s="532" t="s">
        <v>672</v>
      </c>
      <c r="M28" s="492">
        <v>491582380</v>
      </c>
    </row>
    <row r="29" spans="2:13">
      <c r="B29" s="584" t="s">
        <v>673</v>
      </c>
      <c r="C29" s="585">
        <v>297409237</v>
      </c>
      <c r="D29" s="582">
        <f>SUM(C29:C31)</f>
        <v>121089042</v>
      </c>
      <c r="E29" s="581">
        <v>306201855</v>
      </c>
      <c r="F29" s="582">
        <f>SUM(E29:E30)</f>
        <v>234531259</v>
      </c>
      <c r="G29" s="498" t="s">
        <v>674</v>
      </c>
    </row>
    <row r="30" spans="2:13">
      <c r="B30" s="590" t="s">
        <v>669</v>
      </c>
      <c r="C30" s="585">
        <v>-123053528</v>
      </c>
      <c r="D30" s="582"/>
      <c r="E30" s="581">
        <v>-71670596</v>
      </c>
      <c r="F30" s="582"/>
    </row>
    <row r="31" spans="2:13">
      <c r="B31" s="590" t="s">
        <v>675</v>
      </c>
      <c r="C31" s="585">
        <v>-53266667</v>
      </c>
      <c r="D31" s="582"/>
      <c r="E31" s="581">
        <v>-66866667</v>
      </c>
      <c r="F31" s="582"/>
    </row>
    <row r="32" spans="2:13" ht="14.25" thickBot="1">
      <c r="B32" s="584" t="s">
        <v>676</v>
      </c>
      <c r="C32" s="585">
        <v>9801182109</v>
      </c>
      <c r="D32" s="582">
        <f>SUM(C32:C33)</f>
        <v>566833458</v>
      </c>
      <c r="E32" s="581">
        <v>9639182109</v>
      </c>
      <c r="F32" s="582">
        <f>SUM(E32:E33)</f>
        <v>559044763</v>
      </c>
      <c r="G32" s="498" t="s">
        <v>677</v>
      </c>
    </row>
    <row r="33" spans="2:16" ht="14.25" thickBot="1">
      <c r="B33" s="590" t="s">
        <v>669</v>
      </c>
      <c r="C33" s="585">
        <v>-9234348651</v>
      </c>
      <c r="D33" s="582"/>
      <c r="E33" s="581">
        <v>-9080137346</v>
      </c>
      <c r="F33" s="582"/>
      <c r="L33" s="4634" t="s">
        <v>48</v>
      </c>
      <c r="M33" s="4635">
        <v>2017</v>
      </c>
      <c r="N33" s="4635">
        <v>2018</v>
      </c>
      <c r="O33" s="4635">
        <v>2019</v>
      </c>
      <c r="P33" s="4635">
        <v>2020</v>
      </c>
    </row>
    <row r="34" spans="2:16" ht="14.25" thickBot="1">
      <c r="B34" s="584" t="s">
        <v>678</v>
      </c>
      <c r="C34" s="585">
        <v>5653200000</v>
      </c>
      <c r="D34" s="582"/>
      <c r="E34" s="581">
        <v>1722600000</v>
      </c>
      <c r="F34" s="582"/>
      <c r="G34" s="498" t="s">
        <v>679</v>
      </c>
      <c r="L34" s="5080" t="s">
        <v>5115</v>
      </c>
      <c r="M34" s="4724">
        <v>742</v>
      </c>
      <c r="N34" s="4724">
        <v>801</v>
      </c>
      <c r="O34" s="4724">
        <v>859</v>
      </c>
      <c r="P34" s="4724">
        <v>880</v>
      </c>
    </row>
    <row r="35" spans="2:16" ht="27.75" thickBot="1">
      <c r="B35" s="583" t="s">
        <v>680</v>
      </c>
      <c r="C35" s="581"/>
      <c r="D35" s="582">
        <f>SUM(C36:C38)</f>
        <v>104224592082</v>
      </c>
      <c r="E35" s="581"/>
      <c r="F35" s="582">
        <f>SUM(E36:E38)</f>
        <v>106931724338</v>
      </c>
      <c r="G35" s="498" t="s">
        <v>681</v>
      </c>
      <c r="L35" s="5080" t="s">
        <v>5049</v>
      </c>
      <c r="M35" s="4724">
        <v>1.4668000000000001</v>
      </c>
      <c r="N35" s="4724">
        <v>1.4875</v>
      </c>
      <c r="O35" s="4724">
        <v>1.5072000000000001</v>
      </c>
      <c r="P35" s="4724">
        <v>1.5183</v>
      </c>
    </row>
    <row r="36" spans="2:16" ht="14.25" thickBot="1">
      <c r="B36" s="584" t="s">
        <v>682</v>
      </c>
      <c r="C36" s="585">
        <v>127241259877</v>
      </c>
      <c r="D36" s="582"/>
      <c r="E36" s="581">
        <v>130430404613</v>
      </c>
      <c r="F36" s="582"/>
      <c r="L36" s="5081" t="s">
        <v>5116</v>
      </c>
      <c r="M36" s="5082">
        <v>1088</v>
      </c>
      <c r="N36" s="5082">
        <v>1191</v>
      </c>
      <c r="O36" s="5082">
        <v>1294</v>
      </c>
      <c r="P36" s="5082">
        <v>1336</v>
      </c>
    </row>
    <row r="37" spans="2:16">
      <c r="B37" s="590" t="s">
        <v>671</v>
      </c>
      <c r="C37" s="585">
        <v>-4459187419</v>
      </c>
      <c r="D37" s="581"/>
      <c r="E37" s="581">
        <v>-4459187419</v>
      </c>
      <c r="F37" s="581"/>
    </row>
    <row r="38" spans="2:16">
      <c r="B38" s="590" t="s">
        <v>683</v>
      </c>
      <c r="C38" s="585">
        <v>-18557480376</v>
      </c>
      <c r="D38" s="581"/>
      <c r="E38" s="581">
        <v>-19039492856</v>
      </c>
      <c r="F38" s="581"/>
      <c r="O38" s="521">
        <f>SUM(M36:O36)</f>
        <v>3573</v>
      </c>
    </row>
    <row r="39" spans="2:16">
      <c r="B39" s="583" t="s">
        <v>684</v>
      </c>
      <c r="C39" s="581"/>
      <c r="D39" s="581">
        <f>SUM(C40,C41)</f>
        <v>184400000</v>
      </c>
      <c r="E39" s="581"/>
      <c r="F39" s="581">
        <f>SUM(E40,E41)</f>
        <v>164400000</v>
      </c>
      <c r="G39" s="498" t="s">
        <v>685</v>
      </c>
      <c r="O39" s="521">
        <f>C14/10^6</f>
        <v>3573.3911210000001</v>
      </c>
    </row>
    <row r="40" spans="2:16">
      <c r="B40" s="584" t="s">
        <v>686</v>
      </c>
      <c r="C40" s="585">
        <v>20400000</v>
      </c>
      <c r="D40" s="581"/>
      <c r="E40" s="581">
        <v>400000</v>
      </c>
      <c r="F40" s="581"/>
    </row>
    <row r="41" spans="2:16">
      <c r="B41" s="584" t="s">
        <v>687</v>
      </c>
      <c r="C41" s="591">
        <v>164000000</v>
      </c>
      <c r="D41" s="592"/>
      <c r="E41" s="592">
        <v>164000000</v>
      </c>
      <c r="F41" s="592"/>
    </row>
    <row r="42" spans="2:16">
      <c r="B42" s="593" t="s">
        <v>688</v>
      </c>
      <c r="C42" s="594"/>
      <c r="D42" s="595">
        <f>D9+D22</f>
        <v>152725683384</v>
      </c>
      <c r="E42" s="596"/>
      <c r="F42" s="595">
        <f>F9+F22</f>
        <v>160274940601</v>
      </c>
    </row>
    <row r="43" spans="2:16">
      <c r="B43" s="597" t="s">
        <v>689</v>
      </c>
      <c r="C43" s="579"/>
      <c r="D43" s="578"/>
      <c r="E43" s="598"/>
      <c r="F43" s="579"/>
    </row>
    <row r="44" spans="2:16">
      <c r="B44" s="580" t="s">
        <v>690</v>
      </c>
      <c r="C44" s="581"/>
      <c r="D44" s="581">
        <f>SUM(C45:C53)</f>
        <v>19608208153</v>
      </c>
      <c r="E44" s="599"/>
      <c r="F44" s="581">
        <f>SUM(E45:E53)</f>
        <v>17987121052</v>
      </c>
      <c r="I44" s="538"/>
      <c r="J44" s="538" t="s">
        <v>691</v>
      </c>
    </row>
    <row r="45" spans="2:16">
      <c r="B45" s="584" t="s">
        <v>692</v>
      </c>
      <c r="C45" s="585">
        <v>17274192000</v>
      </c>
      <c r="D45" s="581"/>
      <c r="E45" s="599">
        <v>16111506000</v>
      </c>
      <c r="F45" s="581"/>
      <c r="G45" s="498" t="s">
        <v>693</v>
      </c>
      <c r="I45" s="498" t="s">
        <v>694</v>
      </c>
      <c r="J45" s="491">
        <f>BS!K36</f>
        <v>1127.8054199999997</v>
      </c>
    </row>
    <row r="46" spans="2:16">
      <c r="B46" s="590" t="s">
        <v>695</v>
      </c>
      <c r="C46" s="585">
        <v>-265820196</v>
      </c>
      <c r="D46" s="581"/>
      <c r="E46" s="599">
        <v>-293026946</v>
      </c>
      <c r="F46" s="581"/>
      <c r="G46" s="498" t="s">
        <v>695</v>
      </c>
      <c r="I46" s="498" t="s">
        <v>696</v>
      </c>
      <c r="J46" s="491">
        <f>SUM(C45,C55)/단위</f>
        <v>1127.8054199999999</v>
      </c>
    </row>
    <row r="47" spans="2:16">
      <c r="B47" s="584" t="s">
        <v>697</v>
      </c>
      <c r="C47" s="585">
        <v>1972914402</v>
      </c>
      <c r="D47" s="581"/>
      <c r="E47" s="599">
        <v>1943483809</v>
      </c>
      <c r="F47" s="581"/>
      <c r="G47" s="498" t="s">
        <v>698</v>
      </c>
      <c r="J47" s="498" t="b">
        <f>J46=J45</f>
        <v>1</v>
      </c>
    </row>
    <row r="48" spans="2:16">
      <c r="B48" s="590" t="s">
        <v>695</v>
      </c>
      <c r="C48" s="581">
        <v>0</v>
      </c>
      <c r="D48" s="581"/>
      <c r="E48" s="599">
        <v>0</v>
      </c>
      <c r="F48" s="581"/>
    </row>
    <row r="49" spans="2:7">
      <c r="B49" s="584" t="s">
        <v>699</v>
      </c>
      <c r="C49" s="585">
        <v>51235851</v>
      </c>
      <c r="D49" s="581"/>
      <c r="E49" s="599">
        <v>36107678</v>
      </c>
      <c r="F49" s="581"/>
      <c r="G49" s="498" t="s">
        <v>700</v>
      </c>
    </row>
    <row r="50" spans="2:7">
      <c r="B50" s="584" t="s">
        <v>701</v>
      </c>
      <c r="C50" s="585">
        <v>553144076</v>
      </c>
      <c r="D50" s="581"/>
      <c r="E50" s="599">
        <v>127758678</v>
      </c>
      <c r="F50" s="581"/>
      <c r="G50" s="498" t="s">
        <v>702</v>
      </c>
    </row>
    <row r="51" spans="2:7">
      <c r="B51" s="584" t="s">
        <v>703</v>
      </c>
      <c r="C51" s="585">
        <v>17600</v>
      </c>
      <c r="D51" s="581"/>
      <c r="E51" s="599">
        <v>39196093</v>
      </c>
      <c r="F51" s="581"/>
      <c r="G51" s="498" t="s">
        <v>700</v>
      </c>
    </row>
    <row r="52" spans="2:7">
      <c r="B52" s="584" t="s">
        <v>704</v>
      </c>
      <c r="C52" s="585">
        <v>22524420</v>
      </c>
      <c r="D52" s="581"/>
      <c r="E52" s="599">
        <v>22095740</v>
      </c>
      <c r="F52" s="581"/>
      <c r="G52" s="498" t="s">
        <v>700</v>
      </c>
    </row>
    <row r="53" spans="2:7">
      <c r="B53" s="584" t="s">
        <v>705</v>
      </c>
      <c r="C53" s="581">
        <v>0</v>
      </c>
      <c r="D53" s="581"/>
      <c r="E53" s="599">
        <v>0</v>
      </c>
      <c r="F53" s="581"/>
    </row>
    <row r="54" spans="2:7">
      <c r="B54" s="580" t="s">
        <v>706</v>
      </c>
      <c r="C54" s="581"/>
      <c r="D54" s="581">
        <f>SUM(C55:C59)</f>
        <v>95378138223</v>
      </c>
      <c r="E54" s="599"/>
      <c r="F54" s="581">
        <f>SUM(E55:E59)</f>
        <v>112390220159</v>
      </c>
    </row>
    <row r="55" spans="2:7">
      <c r="B55" s="584" t="s">
        <v>707</v>
      </c>
      <c r="C55" s="585">
        <v>95506350000</v>
      </c>
      <c r="D55" s="581"/>
      <c r="E55" s="599">
        <v>112780542000</v>
      </c>
      <c r="F55" s="581"/>
      <c r="G55" s="498" t="s">
        <v>693</v>
      </c>
    </row>
    <row r="56" spans="2:7">
      <c r="B56" s="590" t="s">
        <v>695</v>
      </c>
      <c r="C56" s="585">
        <v>-833614210</v>
      </c>
      <c r="D56" s="581"/>
      <c r="E56" s="599">
        <v>-1097759973</v>
      </c>
      <c r="F56" s="581"/>
      <c r="G56" s="498" t="s">
        <v>695</v>
      </c>
    </row>
    <row r="57" spans="2:7">
      <c r="B57" s="584" t="s">
        <v>708</v>
      </c>
      <c r="C57" s="585">
        <v>705402433</v>
      </c>
      <c r="D57" s="581"/>
      <c r="E57" s="599">
        <v>706194433</v>
      </c>
      <c r="F57" s="581"/>
      <c r="G57" s="498" t="s">
        <v>709</v>
      </c>
    </row>
    <row r="58" spans="2:7">
      <c r="B58" s="584" t="s">
        <v>710</v>
      </c>
      <c r="C58" s="585">
        <v>1025805034</v>
      </c>
      <c r="D58" s="581">
        <f>C58+C59</f>
        <v>0</v>
      </c>
      <c r="E58" s="599">
        <v>1015180500</v>
      </c>
      <c r="F58" s="581">
        <f>E58+E59</f>
        <v>1243699</v>
      </c>
    </row>
    <row r="59" spans="2:7">
      <c r="B59" s="590" t="s">
        <v>711</v>
      </c>
      <c r="C59" s="585">
        <v>-1025805034</v>
      </c>
      <c r="D59" s="581"/>
      <c r="E59" s="599">
        <v>-1013936801</v>
      </c>
      <c r="F59" s="581"/>
    </row>
    <row r="60" spans="2:7">
      <c r="B60" s="593" t="s">
        <v>712</v>
      </c>
      <c r="C60" s="594"/>
      <c r="D60" s="600">
        <f>D44+D54</f>
        <v>114986346376</v>
      </c>
      <c r="E60" s="601"/>
      <c r="F60" s="600">
        <f>F44+F54</f>
        <v>130377341211</v>
      </c>
    </row>
    <row r="61" spans="2:7">
      <c r="B61" s="580" t="s">
        <v>713</v>
      </c>
      <c r="C61" s="579"/>
      <c r="D61" s="602">
        <f>C62+C63</f>
        <v>68000000000</v>
      </c>
      <c r="E61" s="579"/>
      <c r="F61" s="578">
        <f>E62+E63</f>
        <v>68000000000</v>
      </c>
    </row>
    <row r="62" spans="2:7">
      <c r="B62" s="584" t="s">
        <v>714</v>
      </c>
      <c r="C62" s="603">
        <v>57400000000</v>
      </c>
      <c r="D62" s="582"/>
      <c r="E62" s="581">
        <v>57400000000</v>
      </c>
      <c r="F62" s="582"/>
      <c r="G62" s="498" t="s">
        <v>715</v>
      </c>
    </row>
    <row r="63" spans="2:7">
      <c r="B63" s="584" t="s">
        <v>716</v>
      </c>
      <c r="C63" s="603">
        <v>10600000000</v>
      </c>
      <c r="D63" s="582"/>
      <c r="E63" s="581">
        <v>10600000000</v>
      </c>
      <c r="F63" s="582"/>
      <c r="G63" s="498" t="s">
        <v>715</v>
      </c>
    </row>
    <row r="64" spans="2:7">
      <c r="B64" s="580" t="s">
        <v>717</v>
      </c>
      <c r="C64" s="604"/>
      <c r="D64" s="582">
        <f>C65</f>
        <v>6888360614</v>
      </c>
      <c r="E64" s="581"/>
      <c r="F64" s="582">
        <f>E65</f>
        <v>6888360614</v>
      </c>
    </row>
    <row r="65" spans="2:7">
      <c r="B65" s="584" t="s">
        <v>718</v>
      </c>
      <c r="C65" s="603">
        <v>6888360614</v>
      </c>
      <c r="D65" s="582"/>
      <c r="E65" s="581">
        <v>6888360614</v>
      </c>
      <c r="F65" s="582"/>
    </row>
    <row r="66" spans="2:7">
      <c r="B66" s="580" t="s">
        <v>719</v>
      </c>
      <c r="C66" s="604"/>
      <c r="D66" s="582">
        <f>C67</f>
        <v>-339173900</v>
      </c>
      <c r="E66" s="581"/>
      <c r="F66" s="582">
        <f>E67</f>
        <v>-339173900</v>
      </c>
    </row>
    <row r="67" spans="2:7">
      <c r="B67" s="584" t="s">
        <v>720</v>
      </c>
      <c r="C67" s="603">
        <v>-339173900</v>
      </c>
      <c r="D67" s="582"/>
      <c r="E67" s="581">
        <v>-339173900</v>
      </c>
      <c r="F67" s="582"/>
      <c r="G67" s="498" t="s">
        <v>720</v>
      </c>
    </row>
    <row r="68" spans="2:7">
      <c r="B68" s="580" t="s">
        <v>721</v>
      </c>
      <c r="C68" s="604"/>
      <c r="D68" s="582">
        <f>C69</f>
        <v>36809849706</v>
      </c>
      <c r="E68" s="581"/>
      <c r="F68" s="582">
        <f>E69</f>
        <v>44651587324</v>
      </c>
    </row>
    <row r="69" spans="2:7">
      <c r="B69" s="584" t="s">
        <v>722</v>
      </c>
      <c r="C69" s="605">
        <v>36809849706</v>
      </c>
      <c r="D69" s="606"/>
      <c r="E69" s="592">
        <v>44651587324</v>
      </c>
      <c r="F69" s="606"/>
    </row>
    <row r="70" spans="2:7">
      <c r="B70" s="593" t="s">
        <v>723</v>
      </c>
      <c r="C70" s="607"/>
      <c r="D70" s="595">
        <f>SUM(D61,D64,D66)-D68</f>
        <v>37739337008</v>
      </c>
      <c r="E70" s="596"/>
      <c r="F70" s="595">
        <f>SUM(F61,F64,F66)-F68</f>
        <v>29897599390</v>
      </c>
    </row>
    <row r="71" spans="2:7">
      <c r="B71" s="593" t="s">
        <v>724</v>
      </c>
      <c r="C71" s="600"/>
      <c r="D71" s="595">
        <f>D60+D70</f>
        <v>152725683384</v>
      </c>
      <c r="E71" s="600"/>
      <c r="F71" s="595">
        <f>F60+F70</f>
        <v>160274940601</v>
      </c>
    </row>
    <row r="72" spans="2:7">
      <c r="B72" s="608">
        <f>H59*단위</f>
        <v>0</v>
      </c>
      <c r="C72" s="609"/>
      <c r="D72" s="610">
        <f>D71-D42</f>
        <v>0</v>
      </c>
      <c r="E72" s="610"/>
      <c r="F72" s="610">
        <f>F71-F42</f>
        <v>0</v>
      </c>
    </row>
    <row r="73" spans="2:7">
      <c r="D73" s="612"/>
    </row>
    <row r="74" spans="2:7">
      <c r="B74" s="5545" t="s">
        <v>725</v>
      </c>
      <c r="C74" s="5545"/>
      <c r="D74" s="5545"/>
      <c r="E74" s="5545"/>
      <c r="F74" s="5545"/>
    </row>
    <row r="75" spans="2:7">
      <c r="B75" s="5546" t="s">
        <v>726</v>
      </c>
      <c r="C75" s="5546"/>
      <c r="D75" s="5546"/>
      <c r="E75" s="5546"/>
      <c r="F75" s="5546"/>
    </row>
    <row r="76" spans="2:7">
      <c r="B76" s="5546" t="s">
        <v>727</v>
      </c>
      <c r="C76" s="5546"/>
      <c r="D76" s="5546"/>
      <c r="E76" s="5546"/>
      <c r="F76" s="5546"/>
    </row>
    <row r="77" spans="2:7">
      <c r="B77" s="613"/>
      <c r="C77" s="613"/>
      <c r="D77" s="613"/>
      <c r="E77" s="613"/>
      <c r="F77" s="613"/>
    </row>
    <row r="78" spans="2:7">
      <c r="B78" s="614" t="s">
        <v>728</v>
      </c>
      <c r="C78" s="614"/>
      <c r="D78" s="614"/>
      <c r="E78" s="614"/>
      <c r="F78" s="575" t="s">
        <v>634</v>
      </c>
    </row>
    <row r="79" spans="2:7">
      <c r="B79" s="5547" t="s">
        <v>635</v>
      </c>
      <c r="C79" s="5549" t="s">
        <v>729</v>
      </c>
      <c r="D79" s="5550"/>
      <c r="E79" s="5549" t="s">
        <v>730</v>
      </c>
      <c r="F79" s="5551"/>
    </row>
    <row r="80" spans="2:7">
      <c r="B80" s="5548"/>
      <c r="C80" s="5552" t="s">
        <v>638</v>
      </c>
      <c r="D80" s="5553"/>
      <c r="E80" s="5552" t="s">
        <v>638</v>
      </c>
      <c r="F80" s="5554"/>
    </row>
    <row r="81" spans="2:6">
      <c r="B81" s="580" t="s">
        <v>731</v>
      </c>
      <c r="C81" s="615"/>
      <c r="D81" s="616">
        <f>SUM(C82,C87,C88)</f>
        <v>39242806149</v>
      </c>
      <c r="E81" s="615"/>
      <c r="F81" s="617">
        <f>SUM(E82,E87,E88)</f>
        <v>38001205405</v>
      </c>
    </row>
    <row r="82" spans="2:6">
      <c r="B82" s="584" t="s">
        <v>732</v>
      </c>
      <c r="C82" s="618">
        <f>SUM(C83:C86)</f>
        <v>23944363407</v>
      </c>
      <c r="D82" s="619"/>
      <c r="E82" s="618">
        <v>21162108712</v>
      </c>
      <c r="F82" s="620"/>
    </row>
    <row r="83" spans="2:6">
      <c r="B83" s="590" t="s">
        <v>733</v>
      </c>
      <c r="C83" s="618">
        <v>21344696992</v>
      </c>
      <c r="D83" s="621"/>
      <c r="E83" s="618">
        <v>18668362212</v>
      </c>
      <c r="F83" s="622"/>
    </row>
    <row r="84" spans="2:6">
      <c r="B84" s="590" t="s">
        <v>734</v>
      </c>
      <c r="C84" s="618">
        <v>1036137960</v>
      </c>
      <c r="D84" s="623"/>
      <c r="E84" s="618">
        <v>947734340</v>
      </c>
      <c r="F84" s="624"/>
    </row>
    <row r="85" spans="2:6">
      <c r="B85" s="590" t="s">
        <v>735</v>
      </c>
      <c r="C85" s="618">
        <v>1522525900</v>
      </c>
      <c r="D85" s="623"/>
      <c r="E85" s="618">
        <v>1525096600</v>
      </c>
      <c r="F85" s="624"/>
    </row>
    <row r="86" spans="2:6">
      <c r="B86" s="590" t="s">
        <v>736</v>
      </c>
      <c r="C86" s="618">
        <v>41002555</v>
      </c>
      <c r="D86" s="623"/>
      <c r="E86" s="618">
        <v>20915560</v>
      </c>
      <c r="F86" s="624"/>
    </row>
    <row r="87" spans="2:6">
      <c r="B87" s="584" t="s">
        <v>737</v>
      </c>
      <c r="C87" s="618">
        <v>2640746400</v>
      </c>
      <c r="D87" s="625"/>
      <c r="E87" s="626">
        <v>2885724200</v>
      </c>
      <c r="F87" s="620"/>
    </row>
    <row r="88" spans="2:6">
      <c r="B88" s="584" t="s">
        <v>738</v>
      </c>
      <c r="C88" s="618">
        <v>12657696342</v>
      </c>
      <c r="D88" s="623"/>
      <c r="E88" s="627">
        <v>13953372493</v>
      </c>
      <c r="F88" s="624"/>
    </row>
    <row r="89" spans="2:6">
      <c r="B89" s="580" t="s">
        <v>739</v>
      </c>
      <c r="C89" s="618"/>
      <c r="D89" s="616">
        <v>24240383858</v>
      </c>
      <c r="E89" s="618"/>
      <c r="F89" s="617">
        <v>23745738695</v>
      </c>
    </row>
    <row r="90" spans="2:6">
      <c r="B90" s="580" t="s">
        <v>740</v>
      </c>
      <c r="C90" s="618"/>
      <c r="D90" s="616">
        <f>D81-D89</f>
        <v>15002422291</v>
      </c>
      <c r="E90" s="628"/>
      <c r="F90" s="617">
        <f>F81-F89</f>
        <v>14255466710</v>
      </c>
    </row>
    <row r="91" spans="2:6">
      <c r="B91" s="580" t="s">
        <v>741</v>
      </c>
      <c r="C91" s="618"/>
      <c r="D91" s="616">
        <f>SUM(C92:C108)</f>
        <v>2473094223</v>
      </c>
      <c r="E91" s="618"/>
      <c r="F91" s="617">
        <f>SUM(E92:E108)</f>
        <v>2557956032</v>
      </c>
    </row>
    <row r="92" spans="2:6">
      <c r="B92" s="584" t="s">
        <v>742</v>
      </c>
      <c r="C92" s="618">
        <v>877156425</v>
      </c>
      <c r="D92" s="623"/>
      <c r="E92" s="618">
        <v>764838400</v>
      </c>
      <c r="F92" s="624"/>
    </row>
    <row r="93" spans="2:6">
      <c r="B93" s="584" t="s">
        <v>743</v>
      </c>
      <c r="C93" s="618">
        <v>83308337</v>
      </c>
      <c r="D93" s="623"/>
      <c r="E93" s="618">
        <v>78442066</v>
      </c>
      <c r="F93" s="624"/>
    </row>
    <row r="94" spans="2:6">
      <c r="B94" s="584" t="s">
        <v>744</v>
      </c>
      <c r="C94" s="618">
        <v>169753271</v>
      </c>
      <c r="D94" s="623"/>
      <c r="E94" s="618">
        <v>170664209</v>
      </c>
      <c r="F94" s="624"/>
    </row>
    <row r="95" spans="2:6">
      <c r="B95" s="584" t="s">
        <v>745</v>
      </c>
      <c r="C95" s="618">
        <v>10944190</v>
      </c>
      <c r="D95" s="623"/>
      <c r="E95" s="618">
        <v>26899254</v>
      </c>
      <c r="F95" s="624"/>
    </row>
    <row r="96" spans="2:6">
      <c r="B96" s="584" t="s">
        <v>746</v>
      </c>
      <c r="C96" s="618">
        <v>53819370</v>
      </c>
      <c r="D96" s="623"/>
      <c r="E96" s="618">
        <v>71150340</v>
      </c>
      <c r="F96" s="624"/>
    </row>
    <row r="97" spans="2:6">
      <c r="B97" s="584" t="s">
        <v>747</v>
      </c>
      <c r="C97" s="618">
        <v>128022674</v>
      </c>
      <c r="D97" s="623"/>
      <c r="E97" s="618">
        <v>115233927</v>
      </c>
      <c r="F97" s="624"/>
    </row>
    <row r="98" spans="2:6">
      <c r="B98" s="584" t="s">
        <v>748</v>
      </c>
      <c r="C98" s="618">
        <v>7137330</v>
      </c>
      <c r="D98" s="623"/>
      <c r="E98" s="618">
        <v>15352440</v>
      </c>
      <c r="F98" s="624"/>
    </row>
    <row r="99" spans="2:6">
      <c r="B99" s="584" t="s">
        <v>749</v>
      </c>
      <c r="C99" s="618">
        <v>141446486</v>
      </c>
      <c r="D99" s="623"/>
      <c r="E99" s="618">
        <v>135732931</v>
      </c>
      <c r="F99" s="624"/>
    </row>
    <row r="100" spans="2:6">
      <c r="B100" s="584" t="s">
        <v>750</v>
      </c>
      <c r="C100" s="618">
        <v>2357354</v>
      </c>
      <c r="D100" s="623"/>
      <c r="E100" s="618">
        <v>2352390</v>
      </c>
      <c r="F100" s="624"/>
    </row>
    <row r="101" spans="2:6">
      <c r="B101" s="584" t="s">
        <v>751</v>
      </c>
      <c r="C101" s="618">
        <v>5873744</v>
      </c>
      <c r="D101" s="621"/>
      <c r="E101" s="629">
        <v>3605168</v>
      </c>
      <c r="F101" s="624"/>
    </row>
    <row r="102" spans="2:6">
      <c r="B102" s="584" t="s">
        <v>752</v>
      </c>
      <c r="C102" s="618">
        <v>29104654</v>
      </c>
      <c r="D102" s="623"/>
      <c r="E102" s="618">
        <v>24621152</v>
      </c>
      <c r="F102" s="624"/>
    </row>
    <row r="103" spans="2:6">
      <c r="B103" s="584" t="s">
        <v>753</v>
      </c>
      <c r="C103" s="618">
        <v>726365</v>
      </c>
      <c r="D103" s="623"/>
      <c r="E103" s="618">
        <v>1696951</v>
      </c>
      <c r="F103" s="624"/>
    </row>
    <row r="104" spans="2:6">
      <c r="B104" s="584" t="s">
        <v>754</v>
      </c>
      <c r="C104" s="618">
        <v>166900</v>
      </c>
      <c r="D104" s="623"/>
      <c r="E104" s="618">
        <v>149000</v>
      </c>
      <c r="F104" s="624"/>
    </row>
    <row r="105" spans="2:6">
      <c r="B105" s="584" t="s">
        <v>755</v>
      </c>
      <c r="C105" s="618">
        <v>6248167</v>
      </c>
      <c r="D105" s="623"/>
      <c r="E105" s="618">
        <v>6245459</v>
      </c>
      <c r="F105" s="624"/>
    </row>
    <row r="106" spans="2:6">
      <c r="B106" s="584" t="s">
        <v>756</v>
      </c>
      <c r="C106" s="618">
        <v>3546018</v>
      </c>
      <c r="D106" s="623"/>
      <c r="E106" s="618">
        <v>2411820</v>
      </c>
      <c r="F106" s="624"/>
    </row>
    <row r="107" spans="2:6">
      <c r="B107" s="584" t="s">
        <v>757</v>
      </c>
      <c r="C107" s="618">
        <v>948530211</v>
      </c>
      <c r="D107" s="623"/>
      <c r="E107" s="618">
        <v>1136880525</v>
      </c>
      <c r="F107" s="624"/>
    </row>
    <row r="108" spans="2:6">
      <c r="B108" s="584" t="s">
        <v>758</v>
      </c>
      <c r="C108" s="618">
        <v>4952727</v>
      </c>
      <c r="D108" s="623"/>
      <c r="E108" s="618">
        <v>1680000</v>
      </c>
      <c r="F108" s="624"/>
    </row>
    <row r="109" spans="2:6">
      <c r="B109" s="580" t="s">
        <v>759</v>
      </c>
      <c r="C109" s="618"/>
      <c r="D109" s="616">
        <f>D90-D91</f>
        <v>12529328068</v>
      </c>
      <c r="E109" s="628"/>
      <c r="F109" s="617">
        <f>F90-F91</f>
        <v>11697510678</v>
      </c>
    </row>
    <row r="110" spans="2:6">
      <c r="B110" s="580" t="s">
        <v>760</v>
      </c>
      <c r="C110" s="618"/>
      <c r="D110" s="616">
        <f>SUM(C111:C113)</f>
        <v>1307975437</v>
      </c>
      <c r="E110" s="618"/>
      <c r="F110" s="617">
        <f>SUM(E111:E112)</f>
        <v>603399070</v>
      </c>
    </row>
    <row r="111" spans="2:6">
      <c r="B111" s="584" t="s">
        <v>761</v>
      </c>
      <c r="C111" s="618">
        <v>67989679</v>
      </c>
      <c r="D111" s="623"/>
      <c r="E111" s="618">
        <v>561280299</v>
      </c>
      <c r="F111" s="624"/>
    </row>
    <row r="112" spans="2:6">
      <c r="B112" s="584" t="s">
        <v>762</v>
      </c>
      <c r="C112" s="618">
        <v>1238894849</v>
      </c>
      <c r="D112" s="623"/>
      <c r="E112" s="618">
        <v>42118771</v>
      </c>
      <c r="F112" s="624"/>
    </row>
    <row r="113" spans="2:6">
      <c r="B113" s="584" t="s">
        <v>763</v>
      </c>
      <c r="C113" s="618">
        <v>1090909</v>
      </c>
      <c r="D113" s="623"/>
      <c r="E113" s="618"/>
      <c r="F113" s="624"/>
    </row>
    <row r="114" spans="2:6">
      <c r="B114" s="580" t="s">
        <v>764</v>
      </c>
      <c r="C114" s="618"/>
      <c r="D114" s="616">
        <f>SUM(C115:C116)</f>
        <v>5243052601</v>
      </c>
      <c r="E114" s="618"/>
      <c r="F114" s="628">
        <f>SUM(E115:E116)</f>
        <v>6227586619</v>
      </c>
    </row>
    <row r="115" spans="2:6">
      <c r="B115" s="584" t="s">
        <v>765</v>
      </c>
      <c r="C115" s="618">
        <v>5242935510</v>
      </c>
      <c r="D115" s="623"/>
      <c r="E115" s="618">
        <v>6227584279</v>
      </c>
      <c r="F115" s="624"/>
    </row>
    <row r="116" spans="2:6">
      <c r="B116" s="584" t="s">
        <v>766</v>
      </c>
      <c r="C116" s="618">
        <v>117091</v>
      </c>
      <c r="D116" s="623"/>
      <c r="E116" s="618">
        <v>2340</v>
      </c>
      <c r="F116" s="624"/>
    </row>
    <row r="117" spans="2:6">
      <c r="B117" s="580" t="s">
        <v>767</v>
      </c>
      <c r="C117" s="618"/>
      <c r="D117" s="616">
        <f>D109+D110-D114</f>
        <v>8594250904</v>
      </c>
      <c r="E117" s="618"/>
      <c r="F117" s="617">
        <f>F109+F110-F114</f>
        <v>6073323129</v>
      </c>
    </row>
    <row r="118" spans="2:6">
      <c r="B118" s="580" t="s">
        <v>768</v>
      </c>
      <c r="C118" s="618">
        <v>752513286</v>
      </c>
      <c r="D118" s="616">
        <f>C118</f>
        <v>752513286</v>
      </c>
      <c r="E118" s="618">
        <v>533923812</v>
      </c>
      <c r="F118" s="617">
        <f>E118</f>
        <v>533923812</v>
      </c>
    </row>
    <row r="119" spans="2:6">
      <c r="B119" s="593" t="s">
        <v>769</v>
      </c>
      <c r="C119" s="630"/>
      <c r="D119" s="631">
        <f>D117-D118</f>
        <v>7841737618</v>
      </c>
      <c r="E119" s="630"/>
      <c r="F119" s="632">
        <f>F117-F118</f>
        <v>5539399317</v>
      </c>
    </row>
  </sheetData>
  <mergeCells count="16">
    <mergeCell ref="B1:F1"/>
    <mergeCell ref="B2:F2"/>
    <mergeCell ref="B3:F3"/>
    <mergeCell ref="B6:B7"/>
    <mergeCell ref="C6:D6"/>
    <mergeCell ref="E6:F6"/>
    <mergeCell ref="C7:D7"/>
    <mergeCell ref="E7:F7"/>
    <mergeCell ref="B74:F74"/>
    <mergeCell ref="B75:F75"/>
    <mergeCell ref="B76:F76"/>
    <mergeCell ref="B79:B80"/>
    <mergeCell ref="C79:D79"/>
    <mergeCell ref="E79:F79"/>
    <mergeCell ref="C80:D80"/>
    <mergeCell ref="E80:F80"/>
  </mergeCells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1B70-A579-48DE-BEFA-CB3E20F72D84}">
  <sheetPr codeName="Sheet7"/>
  <dimension ref="A1:IK123"/>
  <sheetViews>
    <sheetView showGridLines="0" topLeftCell="A22" zoomScaleNormal="100" workbookViewId="0">
      <selection activeCell="U65" sqref="U65"/>
    </sheetView>
  </sheetViews>
  <sheetFormatPr defaultColWidth="8.88671875" defaultRowHeight="13.5"/>
  <cols>
    <col min="1" max="1" width="1.33203125" customWidth="1"/>
    <col min="2" max="2" width="1.88671875" customWidth="1"/>
    <col min="3" max="3" width="2.33203125" customWidth="1"/>
    <col min="4" max="4" width="14.88671875" customWidth="1"/>
    <col min="5" max="5" width="7.109375" bestFit="1" customWidth="1"/>
    <col min="6" max="6" width="6.6640625" customWidth="1"/>
    <col min="7" max="14" width="7.109375" customWidth="1"/>
    <col min="15" max="226" width="7.77734375" customWidth="1"/>
  </cols>
  <sheetData>
    <row r="1" spans="1:226" ht="7.9" customHeight="1">
      <c r="A1" s="302"/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302"/>
      <c r="Z1" s="302"/>
      <c r="AA1" s="302"/>
      <c r="AB1" s="302"/>
      <c r="AC1" s="302"/>
      <c r="AD1" s="302"/>
      <c r="AE1" s="302"/>
      <c r="AF1" s="302"/>
      <c r="AG1" s="302"/>
      <c r="AH1" s="302"/>
      <c r="AI1" s="302"/>
      <c r="AJ1" s="302"/>
      <c r="AK1" s="302"/>
      <c r="AL1" s="302"/>
      <c r="AM1" s="302"/>
      <c r="AN1" s="302"/>
      <c r="AO1" s="302"/>
      <c r="AP1" s="302"/>
      <c r="AQ1" s="302"/>
      <c r="AR1" s="302"/>
      <c r="AS1" s="302"/>
      <c r="AT1" s="302"/>
      <c r="AU1" s="302"/>
      <c r="AV1" s="302"/>
      <c r="AW1" s="302"/>
      <c r="AX1" s="302"/>
      <c r="AY1" s="302"/>
      <c r="AZ1" s="302"/>
      <c r="BA1" s="302"/>
      <c r="BB1" s="302"/>
      <c r="BC1" s="302"/>
      <c r="BD1" s="302"/>
      <c r="BE1" s="302"/>
      <c r="BF1" s="302"/>
      <c r="BG1" s="302"/>
      <c r="BH1" s="302"/>
      <c r="BI1" s="302"/>
      <c r="BJ1" s="302"/>
      <c r="BK1" s="302"/>
      <c r="BL1" s="302"/>
      <c r="BM1" s="302"/>
      <c r="BN1" s="302"/>
      <c r="BO1" s="302"/>
      <c r="BP1" s="302"/>
      <c r="BQ1" s="302"/>
      <c r="BR1" s="302"/>
      <c r="BS1" s="302"/>
      <c r="BT1" s="302"/>
      <c r="BU1" s="302"/>
      <c r="BV1" s="302"/>
      <c r="BW1" s="302"/>
      <c r="BX1" s="302"/>
      <c r="BY1" s="302"/>
      <c r="BZ1" s="302"/>
      <c r="CA1" s="302"/>
      <c r="CB1" s="302"/>
      <c r="CC1" s="302"/>
      <c r="CD1" s="302"/>
      <c r="CE1" s="302"/>
      <c r="CF1" s="302"/>
      <c r="CG1" s="302"/>
      <c r="CH1" s="302"/>
      <c r="CI1" s="302"/>
      <c r="CJ1" s="302"/>
      <c r="CK1" s="302"/>
      <c r="CL1" s="302"/>
      <c r="CM1" s="302"/>
      <c r="CN1" s="302"/>
      <c r="CO1" s="302"/>
      <c r="CP1" s="302"/>
      <c r="CQ1" s="302"/>
      <c r="CR1" s="302"/>
      <c r="CS1" s="302"/>
      <c r="CT1" s="302"/>
      <c r="CU1" s="302"/>
      <c r="CV1" s="302"/>
      <c r="CW1" s="302"/>
      <c r="CX1" s="302"/>
      <c r="CY1" s="302"/>
      <c r="CZ1" s="302"/>
      <c r="DA1" s="302"/>
      <c r="DB1" s="302"/>
      <c r="DC1" s="302"/>
      <c r="DD1" s="302"/>
      <c r="DE1" s="302"/>
      <c r="DF1" s="302"/>
      <c r="DG1" s="302"/>
      <c r="DH1" s="302"/>
      <c r="DI1" s="302"/>
      <c r="DJ1" s="302"/>
      <c r="DK1" s="302"/>
      <c r="DL1" s="302"/>
      <c r="DM1" s="302"/>
      <c r="DN1" s="302"/>
      <c r="DO1" s="302"/>
      <c r="DP1" s="302"/>
      <c r="DQ1" s="302"/>
      <c r="DR1" s="302"/>
      <c r="DS1" s="302"/>
      <c r="DT1" s="302"/>
      <c r="DU1" s="302"/>
      <c r="DV1" s="302"/>
      <c r="DW1" s="302"/>
      <c r="DX1" s="302"/>
      <c r="DY1" s="302"/>
      <c r="DZ1" s="302"/>
      <c r="EA1" s="302"/>
      <c r="EB1" s="302"/>
      <c r="EC1" s="302"/>
      <c r="ED1" s="302"/>
      <c r="EE1" s="302"/>
      <c r="EF1" s="302"/>
      <c r="EG1" s="302"/>
      <c r="EH1" s="302"/>
      <c r="EI1" s="302"/>
      <c r="EJ1" s="302"/>
      <c r="EK1" s="302"/>
      <c r="EL1" s="302"/>
      <c r="EM1" s="302"/>
      <c r="EN1" s="302"/>
      <c r="EO1" s="302"/>
      <c r="EP1" s="302"/>
      <c r="EQ1" s="302"/>
      <c r="ER1" s="302"/>
      <c r="ES1" s="302"/>
      <c r="ET1" s="302"/>
      <c r="EU1" s="302"/>
      <c r="EV1" s="302"/>
      <c r="EW1" s="302"/>
      <c r="EX1" s="302"/>
      <c r="EY1" s="302"/>
      <c r="EZ1" s="302"/>
      <c r="FA1" s="302"/>
      <c r="FB1" s="302"/>
      <c r="FC1" s="302"/>
      <c r="FD1" s="302"/>
      <c r="FE1" s="302"/>
      <c r="FF1" s="302"/>
      <c r="FG1" s="302"/>
      <c r="FH1" s="302"/>
      <c r="FI1" s="302"/>
      <c r="FJ1" s="302"/>
      <c r="FK1" s="302"/>
      <c r="FL1" s="302"/>
      <c r="FM1" s="302"/>
      <c r="FN1" s="302"/>
      <c r="FO1" s="302"/>
      <c r="FP1" s="302"/>
      <c r="FQ1" s="302"/>
      <c r="FR1" s="302"/>
      <c r="FS1" s="302"/>
      <c r="FT1" s="302"/>
      <c r="FU1" s="302"/>
      <c r="FV1" s="302"/>
      <c r="FW1" s="302"/>
      <c r="FX1" s="302"/>
      <c r="FY1" s="302"/>
      <c r="FZ1" s="302"/>
      <c r="GA1" s="302"/>
      <c r="GB1" s="302"/>
      <c r="GC1" s="302"/>
      <c r="GD1" s="302"/>
      <c r="GE1" s="302"/>
      <c r="GF1" s="302"/>
      <c r="GG1" s="302"/>
      <c r="GH1" s="302"/>
      <c r="GI1" s="302"/>
      <c r="GJ1" s="302"/>
      <c r="GK1" s="302"/>
      <c r="GL1" s="302"/>
      <c r="GM1" s="302"/>
      <c r="GN1" s="302"/>
      <c r="GO1" s="302"/>
      <c r="GP1" s="302"/>
      <c r="GQ1" s="302"/>
      <c r="GR1" s="302"/>
      <c r="GS1" s="302"/>
      <c r="GT1" s="302"/>
      <c r="GU1" s="302"/>
      <c r="GV1" s="302"/>
      <c r="GW1" s="302"/>
      <c r="GX1" s="302"/>
      <c r="GY1" s="302"/>
      <c r="GZ1" s="302"/>
      <c r="HA1" s="302"/>
      <c r="HB1" s="302"/>
      <c r="HC1" s="302"/>
      <c r="HD1" s="302"/>
      <c r="HE1" s="302"/>
      <c r="HF1" s="302"/>
      <c r="HG1" s="302"/>
      <c r="HH1" s="302"/>
      <c r="HI1" s="302"/>
      <c r="HJ1" s="302"/>
      <c r="HK1" s="302"/>
      <c r="HL1" s="302"/>
      <c r="HM1" s="302"/>
      <c r="HN1" s="302"/>
      <c r="HO1" s="302"/>
      <c r="HP1" s="302"/>
      <c r="HQ1" s="302"/>
      <c r="HR1" s="302"/>
    </row>
    <row r="2" spans="1:226" s="635" customFormat="1" ht="15" customHeight="1">
      <c r="A2" s="633"/>
      <c r="B2" s="634" t="s">
        <v>770</v>
      </c>
    </row>
    <row r="3" spans="1:226" s="302" customFormat="1" ht="12">
      <c r="E3" s="401" t="s">
        <v>771</v>
      </c>
      <c r="G3" s="302">
        <f>YEAR(G8)</f>
        <v>2019</v>
      </c>
      <c r="H3" s="302">
        <f t="shared" ref="H3:BS3" si="0">YEAR(H8)</f>
        <v>2019</v>
      </c>
      <c r="I3" s="302">
        <f t="shared" si="0"/>
        <v>2019</v>
      </c>
      <c r="J3" s="302">
        <f t="shared" si="0"/>
        <v>2019</v>
      </c>
      <c r="K3" s="302">
        <f t="shared" si="0"/>
        <v>2020</v>
      </c>
      <c r="L3" s="302">
        <f t="shared" si="0"/>
        <v>2020</v>
      </c>
      <c r="M3" s="302">
        <f t="shared" si="0"/>
        <v>2020</v>
      </c>
      <c r="N3" s="302">
        <f t="shared" si="0"/>
        <v>2020</v>
      </c>
      <c r="O3" s="302">
        <f t="shared" si="0"/>
        <v>2021</v>
      </c>
      <c r="P3" s="302">
        <f t="shared" si="0"/>
        <v>2021</v>
      </c>
      <c r="Q3" s="302">
        <f t="shared" si="0"/>
        <v>2021</v>
      </c>
      <c r="R3" s="302">
        <f t="shared" si="0"/>
        <v>2021</v>
      </c>
      <c r="S3" s="302">
        <f t="shared" si="0"/>
        <v>2022</v>
      </c>
      <c r="T3" s="302">
        <f t="shared" si="0"/>
        <v>2022</v>
      </c>
      <c r="U3" s="302">
        <f t="shared" si="0"/>
        <v>2022</v>
      </c>
      <c r="V3" s="302">
        <f t="shared" si="0"/>
        <v>2022</v>
      </c>
      <c r="W3" s="302">
        <f t="shared" si="0"/>
        <v>2023</v>
      </c>
      <c r="X3" s="302">
        <f t="shared" si="0"/>
        <v>2023</v>
      </c>
      <c r="Y3" s="302">
        <f t="shared" si="0"/>
        <v>2023</v>
      </c>
      <c r="Z3" s="302">
        <f t="shared" si="0"/>
        <v>2023</v>
      </c>
      <c r="AA3" s="302">
        <f t="shared" si="0"/>
        <v>2024</v>
      </c>
      <c r="AB3" s="302">
        <f t="shared" si="0"/>
        <v>2024</v>
      </c>
      <c r="AC3" s="302">
        <f t="shared" si="0"/>
        <v>2024</v>
      </c>
      <c r="AD3" s="302">
        <f t="shared" si="0"/>
        <v>2024</v>
      </c>
      <c r="AE3" s="302">
        <f t="shared" si="0"/>
        <v>2025</v>
      </c>
      <c r="AF3" s="302">
        <f t="shared" si="0"/>
        <v>2025</v>
      </c>
      <c r="AG3" s="302">
        <f t="shared" si="0"/>
        <v>2025</v>
      </c>
      <c r="AH3" s="302">
        <f t="shared" si="0"/>
        <v>2025</v>
      </c>
      <c r="AI3" s="302">
        <f t="shared" si="0"/>
        <v>2026</v>
      </c>
      <c r="AJ3" s="302">
        <f t="shared" si="0"/>
        <v>2026</v>
      </c>
      <c r="AK3" s="302">
        <f t="shared" si="0"/>
        <v>2026</v>
      </c>
      <c r="AL3" s="302">
        <f t="shared" si="0"/>
        <v>2026</v>
      </c>
      <c r="AM3" s="302">
        <f t="shared" si="0"/>
        <v>2027</v>
      </c>
      <c r="AN3" s="302">
        <f t="shared" si="0"/>
        <v>2027</v>
      </c>
      <c r="AO3" s="302">
        <f t="shared" si="0"/>
        <v>2027</v>
      </c>
      <c r="AP3" s="302">
        <f t="shared" si="0"/>
        <v>2027</v>
      </c>
      <c r="AQ3" s="302">
        <f t="shared" si="0"/>
        <v>2028</v>
      </c>
      <c r="AR3" s="302">
        <f t="shared" si="0"/>
        <v>2028</v>
      </c>
      <c r="AS3" s="302">
        <f t="shared" si="0"/>
        <v>2028</v>
      </c>
      <c r="AT3" s="302">
        <f t="shared" si="0"/>
        <v>2028</v>
      </c>
      <c r="AU3" s="302">
        <f t="shared" si="0"/>
        <v>2029</v>
      </c>
      <c r="AV3" s="302">
        <f t="shared" si="0"/>
        <v>2029</v>
      </c>
      <c r="AW3" s="302">
        <f t="shared" si="0"/>
        <v>2029</v>
      </c>
      <c r="AX3" s="302">
        <f t="shared" si="0"/>
        <v>2029</v>
      </c>
      <c r="AY3" s="302">
        <f t="shared" si="0"/>
        <v>2030</v>
      </c>
      <c r="AZ3" s="302">
        <f t="shared" si="0"/>
        <v>2030</v>
      </c>
      <c r="BA3" s="302">
        <f t="shared" si="0"/>
        <v>2030</v>
      </c>
      <c r="BB3" s="302">
        <f t="shared" si="0"/>
        <v>2030</v>
      </c>
      <c r="BC3" s="302">
        <f t="shared" si="0"/>
        <v>2031</v>
      </c>
      <c r="BD3" s="302">
        <f t="shared" si="0"/>
        <v>2031</v>
      </c>
      <c r="BE3" s="302">
        <f t="shared" si="0"/>
        <v>2031</v>
      </c>
      <c r="BF3" s="302">
        <f t="shared" si="0"/>
        <v>2031</v>
      </c>
      <c r="BG3" s="302">
        <f t="shared" si="0"/>
        <v>2032</v>
      </c>
      <c r="BH3" s="302">
        <f t="shared" si="0"/>
        <v>2032</v>
      </c>
      <c r="BI3" s="302">
        <f t="shared" si="0"/>
        <v>2032</v>
      </c>
      <c r="BJ3" s="302">
        <f t="shared" si="0"/>
        <v>2032</v>
      </c>
      <c r="BK3" s="302">
        <f t="shared" si="0"/>
        <v>2033</v>
      </c>
      <c r="BL3" s="302">
        <f t="shared" si="0"/>
        <v>2033</v>
      </c>
      <c r="BM3" s="302">
        <f t="shared" si="0"/>
        <v>2033</v>
      </c>
      <c r="BN3" s="302">
        <f t="shared" si="0"/>
        <v>2033</v>
      </c>
      <c r="BO3" s="302">
        <f t="shared" si="0"/>
        <v>2034</v>
      </c>
      <c r="BP3" s="302">
        <f t="shared" si="0"/>
        <v>2034</v>
      </c>
      <c r="BQ3" s="302">
        <f t="shared" si="0"/>
        <v>2034</v>
      </c>
      <c r="BR3" s="302">
        <f t="shared" si="0"/>
        <v>2034</v>
      </c>
      <c r="BS3" s="302">
        <f t="shared" si="0"/>
        <v>2035</v>
      </c>
      <c r="BT3" s="302">
        <f t="shared" ref="BT3:EE3" si="1">YEAR(BT8)</f>
        <v>2035</v>
      </c>
      <c r="BU3" s="302">
        <f t="shared" si="1"/>
        <v>2035</v>
      </c>
      <c r="BV3" s="302">
        <f t="shared" si="1"/>
        <v>2035</v>
      </c>
      <c r="BW3" s="302">
        <f t="shared" si="1"/>
        <v>2036</v>
      </c>
      <c r="BX3" s="302">
        <f t="shared" si="1"/>
        <v>2036</v>
      </c>
      <c r="BY3" s="302">
        <f t="shared" si="1"/>
        <v>2036</v>
      </c>
      <c r="BZ3" s="302">
        <f t="shared" si="1"/>
        <v>2036</v>
      </c>
      <c r="CA3" s="302">
        <f t="shared" si="1"/>
        <v>2037</v>
      </c>
      <c r="CB3" s="302">
        <f t="shared" si="1"/>
        <v>2037</v>
      </c>
      <c r="CC3" s="302">
        <f t="shared" si="1"/>
        <v>2037</v>
      </c>
      <c r="CD3" s="302">
        <f t="shared" si="1"/>
        <v>2037</v>
      </c>
      <c r="CE3" s="302">
        <f t="shared" si="1"/>
        <v>2038</v>
      </c>
      <c r="CF3" s="302">
        <f t="shared" si="1"/>
        <v>2038</v>
      </c>
      <c r="CG3" s="302">
        <f t="shared" si="1"/>
        <v>2038</v>
      </c>
      <c r="CH3" s="302">
        <f t="shared" si="1"/>
        <v>2038</v>
      </c>
      <c r="CI3" s="302">
        <f t="shared" si="1"/>
        <v>2039</v>
      </c>
      <c r="CJ3" s="302">
        <f t="shared" si="1"/>
        <v>2039</v>
      </c>
      <c r="CK3" s="302">
        <f t="shared" si="1"/>
        <v>2039</v>
      </c>
      <c r="CL3" s="302">
        <f t="shared" si="1"/>
        <v>2039</v>
      </c>
      <c r="CM3" s="302">
        <f t="shared" si="1"/>
        <v>2040</v>
      </c>
      <c r="CN3" s="302">
        <f t="shared" si="1"/>
        <v>2040</v>
      </c>
      <c r="CO3" s="302">
        <f t="shared" si="1"/>
        <v>2040</v>
      </c>
      <c r="CP3" s="302">
        <f t="shared" si="1"/>
        <v>2040</v>
      </c>
      <c r="CQ3" s="302">
        <f t="shared" si="1"/>
        <v>2041</v>
      </c>
      <c r="CR3" s="302">
        <f t="shared" si="1"/>
        <v>2041</v>
      </c>
      <c r="CS3" s="302">
        <f t="shared" si="1"/>
        <v>2041</v>
      </c>
      <c r="CT3" s="302">
        <f t="shared" si="1"/>
        <v>2041</v>
      </c>
      <c r="CU3" s="302">
        <f t="shared" si="1"/>
        <v>2042</v>
      </c>
      <c r="CV3" s="302">
        <f t="shared" si="1"/>
        <v>2042</v>
      </c>
      <c r="CW3" s="302">
        <f t="shared" si="1"/>
        <v>2042</v>
      </c>
      <c r="CX3" s="302">
        <f t="shared" si="1"/>
        <v>2042</v>
      </c>
      <c r="CY3" s="302">
        <f t="shared" si="1"/>
        <v>2043</v>
      </c>
      <c r="CZ3" s="302">
        <f t="shared" si="1"/>
        <v>2043</v>
      </c>
      <c r="DA3" s="302">
        <f t="shared" si="1"/>
        <v>2043</v>
      </c>
      <c r="DB3" s="302">
        <f t="shared" si="1"/>
        <v>2043</v>
      </c>
      <c r="DC3" s="302">
        <f t="shared" si="1"/>
        <v>2044</v>
      </c>
      <c r="DD3" s="302">
        <f t="shared" si="1"/>
        <v>2044</v>
      </c>
      <c r="DE3" s="302">
        <f t="shared" si="1"/>
        <v>2044</v>
      </c>
      <c r="DF3" s="302">
        <f t="shared" si="1"/>
        <v>2044</v>
      </c>
      <c r="DG3" s="302">
        <f t="shared" si="1"/>
        <v>2045</v>
      </c>
      <c r="DH3" s="302">
        <f t="shared" si="1"/>
        <v>2045</v>
      </c>
      <c r="DI3" s="302">
        <f t="shared" si="1"/>
        <v>2045</v>
      </c>
      <c r="DJ3" s="302">
        <f t="shared" si="1"/>
        <v>2045</v>
      </c>
      <c r="DK3" s="302">
        <f t="shared" si="1"/>
        <v>2046</v>
      </c>
      <c r="DL3" s="302">
        <f t="shared" si="1"/>
        <v>2046</v>
      </c>
      <c r="DM3" s="302">
        <f t="shared" si="1"/>
        <v>2046</v>
      </c>
      <c r="DN3" s="302">
        <f t="shared" si="1"/>
        <v>2046</v>
      </c>
      <c r="DO3" s="302">
        <f t="shared" si="1"/>
        <v>2047</v>
      </c>
      <c r="DP3" s="302">
        <f t="shared" si="1"/>
        <v>2047</v>
      </c>
      <c r="DQ3" s="302">
        <f t="shared" si="1"/>
        <v>2047</v>
      </c>
      <c r="DR3" s="302">
        <f t="shared" si="1"/>
        <v>2047</v>
      </c>
      <c r="DS3" s="302">
        <f t="shared" si="1"/>
        <v>2048</v>
      </c>
      <c r="DT3" s="302">
        <f t="shared" si="1"/>
        <v>2048</v>
      </c>
      <c r="DU3" s="302">
        <f t="shared" si="1"/>
        <v>2048</v>
      </c>
      <c r="DV3" s="302">
        <f t="shared" si="1"/>
        <v>2048</v>
      </c>
      <c r="DW3" s="302">
        <f t="shared" si="1"/>
        <v>2049</v>
      </c>
      <c r="DX3" s="302">
        <f t="shared" si="1"/>
        <v>2049</v>
      </c>
      <c r="DY3" s="302">
        <f t="shared" si="1"/>
        <v>2049</v>
      </c>
      <c r="DZ3" s="302">
        <f t="shared" si="1"/>
        <v>2049</v>
      </c>
      <c r="EA3" s="302">
        <f t="shared" si="1"/>
        <v>2050</v>
      </c>
      <c r="EB3" s="302">
        <f t="shared" si="1"/>
        <v>2050</v>
      </c>
      <c r="EC3" s="302">
        <f t="shared" si="1"/>
        <v>2050</v>
      </c>
      <c r="ED3" s="302">
        <f t="shared" si="1"/>
        <v>2050</v>
      </c>
      <c r="EE3" s="302">
        <f t="shared" si="1"/>
        <v>2051</v>
      </c>
      <c r="EF3" s="302">
        <f t="shared" ref="EF3:GD3" si="2">YEAR(EF8)</f>
        <v>2051</v>
      </c>
      <c r="EG3" s="302">
        <f t="shared" si="2"/>
        <v>2051</v>
      </c>
      <c r="EH3" s="302">
        <f t="shared" si="2"/>
        <v>2051</v>
      </c>
      <c r="EI3" s="302">
        <f t="shared" si="2"/>
        <v>2052</v>
      </c>
      <c r="EJ3" s="302">
        <f t="shared" si="2"/>
        <v>2052</v>
      </c>
      <c r="EK3" s="302">
        <f t="shared" si="2"/>
        <v>2052</v>
      </c>
      <c r="EL3" s="302">
        <f t="shared" si="2"/>
        <v>2052</v>
      </c>
      <c r="EM3" s="302">
        <f t="shared" si="2"/>
        <v>2053</v>
      </c>
      <c r="EN3" s="302">
        <f t="shared" si="2"/>
        <v>2053</v>
      </c>
      <c r="EO3" s="302">
        <f t="shared" si="2"/>
        <v>2053</v>
      </c>
      <c r="EP3" s="302">
        <f t="shared" si="2"/>
        <v>2053</v>
      </c>
      <c r="EQ3" s="302">
        <f t="shared" si="2"/>
        <v>2054</v>
      </c>
      <c r="ER3" s="302">
        <f t="shared" si="2"/>
        <v>2054</v>
      </c>
      <c r="ES3" s="302">
        <f t="shared" si="2"/>
        <v>2054</v>
      </c>
      <c r="ET3" s="302">
        <f t="shared" si="2"/>
        <v>2054</v>
      </c>
      <c r="EU3" s="302">
        <f t="shared" si="2"/>
        <v>2055</v>
      </c>
      <c r="EV3" s="302">
        <f t="shared" si="2"/>
        <v>2055</v>
      </c>
      <c r="EW3" s="302">
        <f t="shared" si="2"/>
        <v>2055</v>
      </c>
      <c r="EX3" s="302">
        <f t="shared" si="2"/>
        <v>2055</v>
      </c>
      <c r="EY3" s="302">
        <f t="shared" si="2"/>
        <v>2056</v>
      </c>
      <c r="EZ3" s="302">
        <f t="shared" si="2"/>
        <v>2056</v>
      </c>
      <c r="FA3" s="302">
        <f t="shared" si="2"/>
        <v>2056</v>
      </c>
      <c r="FB3" s="302">
        <f t="shared" si="2"/>
        <v>2056</v>
      </c>
      <c r="FC3" s="302">
        <f t="shared" si="2"/>
        <v>2057</v>
      </c>
      <c r="FD3" s="302">
        <f t="shared" si="2"/>
        <v>2057</v>
      </c>
      <c r="FE3" s="302">
        <f t="shared" si="2"/>
        <v>2057</v>
      </c>
      <c r="FF3" s="302">
        <f t="shared" si="2"/>
        <v>2057</v>
      </c>
      <c r="FG3" s="302">
        <f t="shared" si="2"/>
        <v>2058</v>
      </c>
      <c r="FH3" s="302">
        <f t="shared" si="2"/>
        <v>2058</v>
      </c>
      <c r="FI3" s="302">
        <f t="shared" si="2"/>
        <v>2058</v>
      </c>
      <c r="FJ3" s="302">
        <f t="shared" si="2"/>
        <v>2058</v>
      </c>
      <c r="FK3" s="302">
        <f t="shared" si="2"/>
        <v>2059</v>
      </c>
      <c r="FL3" s="302">
        <f t="shared" si="2"/>
        <v>2059</v>
      </c>
      <c r="FM3" s="302">
        <f t="shared" si="2"/>
        <v>2059</v>
      </c>
      <c r="FN3" s="302">
        <f t="shared" si="2"/>
        <v>2059</v>
      </c>
      <c r="FO3" s="302">
        <f t="shared" si="2"/>
        <v>2060</v>
      </c>
      <c r="FP3" s="302">
        <f t="shared" si="2"/>
        <v>2060</v>
      </c>
      <c r="FQ3" s="302">
        <f t="shared" si="2"/>
        <v>2060</v>
      </c>
      <c r="FR3" s="302">
        <f t="shared" si="2"/>
        <v>2060</v>
      </c>
      <c r="FS3" s="302">
        <f t="shared" si="2"/>
        <v>2061</v>
      </c>
      <c r="FT3" s="302">
        <f t="shared" si="2"/>
        <v>2061</v>
      </c>
      <c r="FU3" s="302">
        <f t="shared" si="2"/>
        <v>2061</v>
      </c>
      <c r="FV3" s="302">
        <f t="shared" si="2"/>
        <v>2061</v>
      </c>
      <c r="FW3" s="302">
        <f t="shared" si="2"/>
        <v>2062</v>
      </c>
      <c r="FX3" s="302">
        <f t="shared" si="2"/>
        <v>2062</v>
      </c>
      <c r="FY3" s="302">
        <f t="shared" si="2"/>
        <v>2062</v>
      </c>
      <c r="FZ3" s="302">
        <f t="shared" si="2"/>
        <v>2062</v>
      </c>
      <c r="GA3" s="302">
        <f t="shared" si="2"/>
        <v>2063</v>
      </c>
      <c r="GB3" s="302">
        <f t="shared" si="2"/>
        <v>2063</v>
      </c>
      <c r="GC3" s="302">
        <f t="shared" si="2"/>
        <v>2063</v>
      </c>
      <c r="GD3" s="302">
        <f t="shared" si="2"/>
        <v>2063</v>
      </c>
    </row>
    <row r="4" spans="1:226" s="364" customFormat="1" ht="12"/>
    <row r="5" spans="1:226" s="302" customFormat="1" ht="12"/>
    <row r="6" spans="1:226" ht="14.25" customHeight="1">
      <c r="A6" s="302"/>
      <c r="B6" s="414" t="s">
        <v>772</v>
      </c>
      <c r="C6" s="302"/>
      <c r="D6" s="302"/>
      <c r="E6" s="302"/>
      <c r="F6" s="302"/>
      <c r="G6" s="302"/>
      <c r="H6" s="302"/>
      <c r="I6" s="302"/>
      <c r="J6" s="302"/>
      <c r="K6" s="302"/>
      <c r="L6" s="302"/>
      <c r="M6" s="302"/>
      <c r="N6" s="302"/>
      <c r="O6" s="302"/>
      <c r="P6" s="302"/>
      <c r="Q6" s="302"/>
      <c r="R6" s="302"/>
      <c r="S6" s="302"/>
      <c r="T6" s="302"/>
      <c r="U6" s="302"/>
      <c r="V6" s="302"/>
      <c r="W6" s="302"/>
      <c r="X6" s="302"/>
      <c r="Y6" s="302"/>
      <c r="Z6" s="302"/>
      <c r="AA6" s="302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  <c r="CG6" s="302"/>
      <c r="CH6" s="302"/>
      <c r="CI6" s="302"/>
      <c r="CJ6" s="302"/>
      <c r="CK6" s="302"/>
      <c r="CL6" s="302"/>
      <c r="CM6" s="302"/>
      <c r="CN6" s="302"/>
      <c r="CO6" s="302"/>
      <c r="CP6" s="302"/>
      <c r="CQ6" s="302"/>
      <c r="CR6" s="302"/>
      <c r="CS6" s="302"/>
      <c r="CT6" s="302"/>
      <c r="CU6" s="302"/>
      <c r="CV6" s="302"/>
      <c r="CW6" s="302"/>
      <c r="CX6" s="302"/>
      <c r="CY6" s="302"/>
      <c r="CZ6" s="302"/>
      <c r="DA6" s="302"/>
      <c r="DB6" s="302"/>
      <c r="DC6" s="302"/>
      <c r="DD6" s="302"/>
      <c r="DE6" s="302"/>
      <c r="DF6" s="302"/>
      <c r="DG6" s="302"/>
      <c r="DH6" s="302"/>
      <c r="DI6" s="302"/>
      <c r="DJ6" s="302"/>
      <c r="DK6" s="302"/>
      <c r="DL6" s="302"/>
      <c r="DM6" s="302"/>
      <c r="DN6" s="302"/>
      <c r="DO6" s="302"/>
      <c r="DP6" s="302"/>
      <c r="DQ6" s="302"/>
      <c r="DR6" s="302"/>
      <c r="DS6" s="302"/>
      <c r="DT6" s="302"/>
      <c r="DU6" s="302"/>
      <c r="DV6" s="302"/>
      <c r="DW6" s="302"/>
      <c r="DX6" s="302"/>
      <c r="DY6" s="302"/>
      <c r="DZ6" s="302"/>
      <c r="EA6" s="302"/>
      <c r="EB6" s="302"/>
      <c r="EC6" s="302"/>
      <c r="ED6" s="302"/>
      <c r="EE6" s="302"/>
      <c r="EF6" s="302"/>
      <c r="EG6" s="302"/>
      <c r="EH6" s="302"/>
      <c r="EI6" s="302"/>
      <c r="EJ6" s="302"/>
      <c r="EK6" s="302"/>
      <c r="EL6" s="302"/>
      <c r="EM6" s="302"/>
      <c r="EN6" s="302"/>
      <c r="EO6" s="302"/>
      <c r="EP6" s="302"/>
      <c r="EQ6" s="302"/>
      <c r="ER6" s="302"/>
      <c r="ES6" s="302"/>
      <c r="ET6" s="302"/>
      <c r="EU6" s="302"/>
      <c r="EV6" s="302"/>
      <c r="EW6" s="302"/>
      <c r="EX6" s="302"/>
      <c r="EY6" s="302"/>
      <c r="EZ6" s="302"/>
      <c r="FA6" s="302"/>
      <c r="FB6" s="302"/>
      <c r="FC6" s="302"/>
      <c r="FD6" s="302"/>
      <c r="FE6" s="302"/>
      <c r="FF6" s="302"/>
      <c r="FG6" s="302"/>
      <c r="FH6" s="302"/>
      <c r="FI6" s="302"/>
      <c r="FJ6" s="302"/>
      <c r="FK6" s="302"/>
      <c r="FL6" s="302"/>
      <c r="FM6" s="302"/>
      <c r="FN6" s="302"/>
      <c r="FO6" s="302"/>
      <c r="FP6" s="302"/>
      <c r="FQ6" s="302"/>
      <c r="FR6" s="302"/>
      <c r="FS6" s="302"/>
      <c r="FT6" s="302"/>
      <c r="FU6" s="302"/>
      <c r="FV6" s="302"/>
      <c r="FW6" s="302"/>
      <c r="FX6" s="302"/>
      <c r="FY6" s="302"/>
      <c r="FZ6" s="302"/>
      <c r="GA6" s="302"/>
      <c r="GB6" s="302"/>
      <c r="GC6" s="302"/>
      <c r="GD6" s="302"/>
      <c r="GE6" s="302"/>
      <c r="GF6" s="302"/>
      <c r="GG6" s="302"/>
      <c r="GH6" s="302"/>
      <c r="GI6" s="302"/>
      <c r="GJ6" s="302"/>
      <c r="GK6" s="302"/>
      <c r="GL6" s="302"/>
      <c r="GM6" s="302"/>
      <c r="GN6" s="302"/>
      <c r="GO6" s="302"/>
      <c r="GP6" s="302"/>
      <c r="GQ6" s="302"/>
      <c r="GR6" s="302"/>
      <c r="GS6" s="302"/>
      <c r="GT6" s="302"/>
      <c r="GU6" s="302"/>
      <c r="GV6" s="302"/>
      <c r="GW6" s="302"/>
      <c r="GX6" s="302"/>
      <c r="GY6" s="302"/>
      <c r="GZ6" s="302"/>
      <c r="HA6" s="302"/>
      <c r="HB6" s="302"/>
      <c r="HC6" s="302"/>
      <c r="HD6" s="302"/>
      <c r="HE6" s="302"/>
      <c r="HF6" s="302"/>
      <c r="HG6" s="302"/>
      <c r="HH6" s="302"/>
      <c r="HI6" s="302"/>
      <c r="HJ6" s="302"/>
      <c r="HK6" s="302"/>
      <c r="HL6" s="302"/>
      <c r="HM6" s="302"/>
      <c r="HN6" s="302"/>
      <c r="HO6" s="302"/>
      <c r="HP6" s="302"/>
      <c r="HQ6" s="302"/>
      <c r="HR6" s="302"/>
    </row>
    <row r="7" spans="1:226" ht="14.25" customHeight="1">
      <c r="A7" s="302"/>
      <c r="B7" s="302"/>
      <c r="C7" s="302"/>
      <c r="D7" s="302"/>
      <c r="E7" s="302"/>
      <c r="F7" s="302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2"/>
      <c r="AF7" s="302"/>
      <c r="AG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  <c r="CG7" s="302"/>
      <c r="CH7" s="302"/>
      <c r="CI7" s="302"/>
      <c r="CJ7" s="302"/>
      <c r="CK7" s="302"/>
      <c r="CL7" s="302"/>
      <c r="CM7" s="302"/>
      <c r="CN7" s="302"/>
      <c r="CO7" s="302"/>
      <c r="CP7" s="302"/>
      <c r="CQ7" s="302"/>
      <c r="CR7" s="302"/>
      <c r="CS7" s="302"/>
      <c r="CT7" s="302"/>
      <c r="CU7" s="302"/>
      <c r="CV7" s="302"/>
      <c r="CW7" s="302"/>
      <c r="CX7" s="302"/>
      <c r="CY7" s="302"/>
      <c r="CZ7" s="302"/>
      <c r="DA7" s="302"/>
      <c r="DB7" s="302"/>
      <c r="DC7" s="302"/>
      <c r="DD7" s="302"/>
      <c r="DE7" s="302"/>
      <c r="DF7" s="302"/>
      <c r="DG7" s="302"/>
      <c r="DH7" s="302"/>
      <c r="DI7" s="302"/>
      <c r="DJ7" s="302"/>
      <c r="DK7" s="302"/>
      <c r="DL7" s="302"/>
      <c r="DM7" s="302"/>
      <c r="DN7" s="302"/>
      <c r="DO7" s="302"/>
      <c r="DP7" s="302"/>
      <c r="DQ7" s="302"/>
      <c r="DR7" s="302"/>
      <c r="DS7" s="302"/>
      <c r="DT7" s="302"/>
      <c r="DU7" s="302"/>
      <c r="DV7" s="302"/>
      <c r="DW7" s="302"/>
      <c r="DX7" s="302"/>
      <c r="DY7" s="302"/>
      <c r="DZ7" s="302"/>
      <c r="EA7" s="302"/>
      <c r="EB7" s="302"/>
      <c r="EC7" s="302"/>
      <c r="ED7" s="302"/>
      <c r="EE7" s="302"/>
      <c r="EF7" s="302"/>
      <c r="EG7" s="302"/>
      <c r="EH7" s="302"/>
      <c r="EI7" s="302"/>
      <c r="EJ7" s="302"/>
      <c r="EK7" s="302"/>
      <c r="EL7" s="302"/>
      <c r="EM7" s="302"/>
      <c r="EN7" s="302"/>
      <c r="EO7" s="302"/>
      <c r="EP7" s="302"/>
      <c r="EQ7" s="302"/>
      <c r="ER7" s="302"/>
      <c r="ES7" s="302"/>
      <c r="ET7" s="302"/>
      <c r="EU7" s="302"/>
      <c r="EV7" s="302"/>
      <c r="EW7" s="302"/>
      <c r="EX7" s="302"/>
      <c r="EY7" s="302"/>
      <c r="EZ7" s="302"/>
      <c r="FA7" s="302"/>
      <c r="FB7" s="302"/>
      <c r="FC7" s="302"/>
      <c r="FD7" s="302"/>
      <c r="FE7" s="302"/>
      <c r="FF7" s="302"/>
      <c r="FG7" s="302"/>
      <c r="FH7" s="302"/>
      <c r="FI7" s="302"/>
      <c r="FJ7" s="302"/>
      <c r="FK7" s="302"/>
      <c r="FL7" s="302"/>
      <c r="FM7" s="302"/>
      <c r="FN7" s="302"/>
      <c r="FO7" s="302"/>
      <c r="FP7" s="302"/>
      <c r="FQ7" s="302"/>
      <c r="FR7" s="302"/>
      <c r="FS7" s="302"/>
      <c r="FT7" s="302"/>
      <c r="FU7" s="302"/>
      <c r="FV7" s="302"/>
      <c r="FW7" s="302"/>
      <c r="FX7" s="302"/>
      <c r="FY7" s="302"/>
      <c r="FZ7" s="302"/>
      <c r="GA7" s="302"/>
      <c r="GB7" s="302"/>
      <c r="GC7" s="302"/>
      <c r="GD7" s="302"/>
      <c r="GE7" s="302"/>
      <c r="GF7" s="302"/>
      <c r="GG7" s="302"/>
      <c r="GH7" s="302"/>
      <c r="GI7" s="302"/>
      <c r="GJ7" s="302"/>
      <c r="GK7" s="302"/>
      <c r="GL7" s="302"/>
      <c r="GM7" s="302"/>
      <c r="GN7" s="302"/>
      <c r="GO7" s="302"/>
      <c r="GP7" s="302"/>
      <c r="GQ7" s="302"/>
      <c r="GR7" s="302"/>
      <c r="GS7" s="302"/>
      <c r="GT7" s="302"/>
      <c r="GU7" s="302"/>
      <c r="GV7" s="302"/>
      <c r="GW7" s="302"/>
      <c r="GX7" s="302"/>
      <c r="GY7" s="302"/>
      <c r="GZ7" s="302"/>
      <c r="HA7" s="302"/>
      <c r="HB7" s="302"/>
      <c r="HC7" s="302"/>
      <c r="HD7" s="302"/>
      <c r="HE7" s="302"/>
      <c r="HF7" s="302"/>
      <c r="HG7" s="302"/>
      <c r="HH7" s="302"/>
      <c r="HI7" s="302"/>
      <c r="HJ7" s="302"/>
      <c r="HK7" s="302"/>
      <c r="HL7" s="302"/>
      <c r="HM7" s="302"/>
      <c r="HN7" s="302"/>
      <c r="HO7" s="302"/>
      <c r="HP7" s="302"/>
      <c r="HQ7" s="302"/>
      <c r="HR7" s="302"/>
    </row>
    <row r="8" spans="1:226" s="396" customFormat="1" ht="14.25" customHeight="1">
      <c r="C8" s="4756"/>
      <c r="D8" s="4756" t="s">
        <v>773</v>
      </c>
      <c r="E8" s="4756"/>
      <c r="F8" s="4756" t="s">
        <v>774</v>
      </c>
      <c r="G8" s="4855">
        <f>기준분기</f>
        <v>43555</v>
      </c>
      <c r="H8" s="4855">
        <f t="shared" ref="H8:BS8" si="3">EOMONTH(G8,3)</f>
        <v>43646</v>
      </c>
      <c r="I8" s="4855">
        <f t="shared" si="3"/>
        <v>43738</v>
      </c>
      <c r="J8" s="4855">
        <f t="shared" si="3"/>
        <v>43830</v>
      </c>
      <c r="K8" s="4855">
        <f t="shared" si="3"/>
        <v>43921</v>
      </c>
      <c r="L8" s="4855">
        <f t="shared" si="3"/>
        <v>44012</v>
      </c>
      <c r="M8" s="4855">
        <f t="shared" si="3"/>
        <v>44104</v>
      </c>
      <c r="N8" s="4855">
        <f t="shared" si="3"/>
        <v>44196</v>
      </c>
      <c r="O8" s="4856">
        <f t="shared" si="3"/>
        <v>44286</v>
      </c>
      <c r="P8" s="4856">
        <f t="shared" si="3"/>
        <v>44377</v>
      </c>
      <c r="Q8" s="4856">
        <f t="shared" si="3"/>
        <v>44469</v>
      </c>
      <c r="R8" s="4856">
        <f t="shared" si="3"/>
        <v>44561</v>
      </c>
      <c r="S8" s="4856">
        <f t="shared" si="3"/>
        <v>44651</v>
      </c>
      <c r="T8" s="4856">
        <f t="shared" si="3"/>
        <v>44742</v>
      </c>
      <c r="U8" s="4856">
        <f t="shared" si="3"/>
        <v>44834</v>
      </c>
      <c r="V8" s="4856">
        <f t="shared" si="3"/>
        <v>44926</v>
      </c>
      <c r="W8" s="4856">
        <f t="shared" si="3"/>
        <v>45016</v>
      </c>
      <c r="X8" s="4856">
        <f t="shared" si="3"/>
        <v>45107</v>
      </c>
      <c r="Y8" s="4856">
        <f t="shared" si="3"/>
        <v>45199</v>
      </c>
      <c r="Z8" s="4856">
        <f t="shared" si="3"/>
        <v>45291</v>
      </c>
      <c r="AA8" s="4856">
        <f t="shared" si="3"/>
        <v>45382</v>
      </c>
      <c r="AB8" s="4856">
        <f t="shared" si="3"/>
        <v>45473</v>
      </c>
      <c r="AC8" s="4856">
        <f t="shared" si="3"/>
        <v>45565</v>
      </c>
      <c r="AD8" s="4856">
        <f t="shared" si="3"/>
        <v>45657</v>
      </c>
      <c r="AE8" s="4856">
        <f t="shared" si="3"/>
        <v>45747</v>
      </c>
      <c r="AF8" s="4856">
        <f t="shared" si="3"/>
        <v>45838</v>
      </c>
      <c r="AG8" s="4856">
        <f t="shared" si="3"/>
        <v>45930</v>
      </c>
      <c r="AH8" s="4856">
        <f t="shared" si="3"/>
        <v>46022</v>
      </c>
      <c r="AI8" s="4856">
        <f t="shared" si="3"/>
        <v>46112</v>
      </c>
      <c r="AJ8" s="4856">
        <f t="shared" si="3"/>
        <v>46203</v>
      </c>
      <c r="AK8" s="4856">
        <f t="shared" si="3"/>
        <v>46295</v>
      </c>
      <c r="AL8" s="4856">
        <f t="shared" si="3"/>
        <v>46387</v>
      </c>
      <c r="AM8" s="4856">
        <f t="shared" si="3"/>
        <v>46477</v>
      </c>
      <c r="AN8" s="4856">
        <f t="shared" si="3"/>
        <v>46568</v>
      </c>
      <c r="AO8" s="4856">
        <f t="shared" si="3"/>
        <v>46660</v>
      </c>
      <c r="AP8" s="4856">
        <f t="shared" si="3"/>
        <v>46752</v>
      </c>
      <c r="AQ8" s="4856">
        <f t="shared" si="3"/>
        <v>46843</v>
      </c>
      <c r="AR8" s="4856">
        <f t="shared" si="3"/>
        <v>46934</v>
      </c>
      <c r="AS8" s="4856">
        <f t="shared" si="3"/>
        <v>47026</v>
      </c>
      <c r="AT8" s="4856">
        <f t="shared" si="3"/>
        <v>47118</v>
      </c>
      <c r="AU8" s="4856">
        <f t="shared" si="3"/>
        <v>47208</v>
      </c>
      <c r="AV8" s="4856">
        <f t="shared" si="3"/>
        <v>47299</v>
      </c>
      <c r="AW8" s="4856">
        <f t="shared" si="3"/>
        <v>47391</v>
      </c>
      <c r="AX8" s="4856">
        <f t="shared" si="3"/>
        <v>47483</v>
      </c>
      <c r="AY8" s="4856">
        <f t="shared" si="3"/>
        <v>47573</v>
      </c>
      <c r="AZ8" s="4856">
        <f t="shared" si="3"/>
        <v>47664</v>
      </c>
      <c r="BA8" s="4856">
        <f t="shared" si="3"/>
        <v>47756</v>
      </c>
      <c r="BB8" s="4856">
        <f t="shared" si="3"/>
        <v>47848</v>
      </c>
      <c r="BC8" s="4856">
        <f t="shared" si="3"/>
        <v>47938</v>
      </c>
      <c r="BD8" s="4856">
        <f t="shared" si="3"/>
        <v>48029</v>
      </c>
      <c r="BE8" s="4856">
        <f t="shared" si="3"/>
        <v>48121</v>
      </c>
      <c r="BF8" s="4856">
        <f t="shared" si="3"/>
        <v>48213</v>
      </c>
      <c r="BG8" s="4856">
        <f t="shared" si="3"/>
        <v>48304</v>
      </c>
      <c r="BH8" s="4856">
        <f t="shared" si="3"/>
        <v>48395</v>
      </c>
      <c r="BI8" s="4856">
        <f t="shared" si="3"/>
        <v>48487</v>
      </c>
      <c r="BJ8" s="4856">
        <f t="shared" si="3"/>
        <v>48579</v>
      </c>
      <c r="BK8" s="4856">
        <f t="shared" si="3"/>
        <v>48669</v>
      </c>
      <c r="BL8" s="4856">
        <f t="shared" si="3"/>
        <v>48760</v>
      </c>
      <c r="BM8" s="4856">
        <f t="shared" si="3"/>
        <v>48852</v>
      </c>
      <c r="BN8" s="4856">
        <f t="shared" si="3"/>
        <v>48944</v>
      </c>
      <c r="BO8" s="4856">
        <f t="shared" si="3"/>
        <v>49034</v>
      </c>
      <c r="BP8" s="4856">
        <f t="shared" si="3"/>
        <v>49125</v>
      </c>
      <c r="BQ8" s="4856">
        <f t="shared" si="3"/>
        <v>49217</v>
      </c>
      <c r="BR8" s="4856">
        <f t="shared" si="3"/>
        <v>49309</v>
      </c>
      <c r="BS8" s="4856">
        <f t="shared" si="3"/>
        <v>49399</v>
      </c>
      <c r="BT8" s="4856">
        <f t="shared" ref="BT8:EE8" si="4">EOMONTH(BS8,3)</f>
        <v>49490</v>
      </c>
      <c r="BU8" s="4856">
        <f t="shared" si="4"/>
        <v>49582</v>
      </c>
      <c r="BV8" s="4856">
        <f t="shared" si="4"/>
        <v>49674</v>
      </c>
      <c r="BW8" s="4856">
        <f t="shared" si="4"/>
        <v>49765</v>
      </c>
      <c r="BX8" s="4856">
        <f t="shared" si="4"/>
        <v>49856</v>
      </c>
      <c r="BY8" s="4856">
        <f t="shared" si="4"/>
        <v>49948</v>
      </c>
      <c r="BZ8" s="4856">
        <f t="shared" si="4"/>
        <v>50040</v>
      </c>
      <c r="CA8" s="4856">
        <f t="shared" si="4"/>
        <v>50130</v>
      </c>
      <c r="CB8" s="4856">
        <f t="shared" si="4"/>
        <v>50221</v>
      </c>
      <c r="CC8" s="4856">
        <f t="shared" si="4"/>
        <v>50313</v>
      </c>
      <c r="CD8" s="4856">
        <f t="shared" si="4"/>
        <v>50405</v>
      </c>
      <c r="CE8" s="4856">
        <f t="shared" si="4"/>
        <v>50495</v>
      </c>
      <c r="CF8" s="4856">
        <f t="shared" si="4"/>
        <v>50586</v>
      </c>
      <c r="CG8" s="4856">
        <f t="shared" si="4"/>
        <v>50678</v>
      </c>
      <c r="CH8" s="4856">
        <f t="shared" si="4"/>
        <v>50770</v>
      </c>
      <c r="CI8" s="4856">
        <f t="shared" si="4"/>
        <v>50860</v>
      </c>
      <c r="CJ8" s="4856">
        <f t="shared" si="4"/>
        <v>50951</v>
      </c>
      <c r="CK8" s="4856">
        <f t="shared" si="4"/>
        <v>51043</v>
      </c>
      <c r="CL8" s="4856">
        <f t="shared" si="4"/>
        <v>51135</v>
      </c>
      <c r="CM8" s="4856">
        <f t="shared" si="4"/>
        <v>51226</v>
      </c>
      <c r="CN8" s="4856">
        <f t="shared" si="4"/>
        <v>51317</v>
      </c>
      <c r="CO8" s="4856">
        <f t="shared" si="4"/>
        <v>51409</v>
      </c>
      <c r="CP8" s="4856">
        <f t="shared" si="4"/>
        <v>51501</v>
      </c>
      <c r="CQ8" s="4856">
        <f t="shared" si="4"/>
        <v>51591</v>
      </c>
      <c r="CR8" s="4856">
        <f t="shared" si="4"/>
        <v>51682</v>
      </c>
      <c r="CS8" s="4856">
        <f t="shared" si="4"/>
        <v>51774</v>
      </c>
      <c r="CT8" s="4856">
        <f t="shared" si="4"/>
        <v>51866</v>
      </c>
      <c r="CU8" s="4856">
        <f t="shared" si="4"/>
        <v>51956</v>
      </c>
      <c r="CV8" s="4856">
        <f t="shared" si="4"/>
        <v>52047</v>
      </c>
      <c r="CW8" s="4856">
        <f t="shared" si="4"/>
        <v>52139</v>
      </c>
      <c r="CX8" s="4856">
        <f t="shared" si="4"/>
        <v>52231</v>
      </c>
      <c r="CY8" s="4856">
        <f t="shared" si="4"/>
        <v>52321</v>
      </c>
      <c r="CZ8" s="4856">
        <f t="shared" si="4"/>
        <v>52412</v>
      </c>
      <c r="DA8" s="4856">
        <f t="shared" si="4"/>
        <v>52504</v>
      </c>
      <c r="DB8" s="4856">
        <f t="shared" si="4"/>
        <v>52596</v>
      </c>
      <c r="DC8" s="4856">
        <f t="shared" si="4"/>
        <v>52687</v>
      </c>
      <c r="DD8" s="4856">
        <f t="shared" si="4"/>
        <v>52778</v>
      </c>
      <c r="DE8" s="4856">
        <f t="shared" si="4"/>
        <v>52870</v>
      </c>
      <c r="DF8" s="4856">
        <f t="shared" si="4"/>
        <v>52962</v>
      </c>
      <c r="DG8" s="4856">
        <f t="shared" si="4"/>
        <v>53052</v>
      </c>
      <c r="DH8" s="4856">
        <f t="shared" si="4"/>
        <v>53143</v>
      </c>
      <c r="DI8" s="4856">
        <f t="shared" si="4"/>
        <v>53235</v>
      </c>
      <c r="DJ8" s="4856">
        <f t="shared" si="4"/>
        <v>53327</v>
      </c>
      <c r="DK8" s="4856">
        <f t="shared" si="4"/>
        <v>53417</v>
      </c>
      <c r="DL8" s="4856">
        <f t="shared" si="4"/>
        <v>53508</v>
      </c>
      <c r="DM8" s="4856">
        <f t="shared" si="4"/>
        <v>53600</v>
      </c>
      <c r="DN8" s="4856">
        <f t="shared" si="4"/>
        <v>53692</v>
      </c>
      <c r="DO8" s="4856">
        <f t="shared" si="4"/>
        <v>53782</v>
      </c>
      <c r="DP8" s="4856">
        <f t="shared" si="4"/>
        <v>53873</v>
      </c>
      <c r="DQ8" s="4856">
        <f t="shared" si="4"/>
        <v>53965</v>
      </c>
      <c r="DR8" s="4856">
        <f t="shared" si="4"/>
        <v>54057</v>
      </c>
      <c r="DS8" s="4856">
        <f t="shared" si="4"/>
        <v>54148</v>
      </c>
      <c r="DT8" s="4856">
        <f t="shared" si="4"/>
        <v>54239</v>
      </c>
      <c r="DU8" s="4856">
        <f t="shared" si="4"/>
        <v>54331</v>
      </c>
      <c r="DV8" s="4856">
        <f t="shared" si="4"/>
        <v>54423</v>
      </c>
      <c r="DW8" s="4856">
        <f t="shared" si="4"/>
        <v>54513</v>
      </c>
      <c r="DX8" s="4856">
        <f t="shared" si="4"/>
        <v>54604</v>
      </c>
      <c r="DY8" s="4856">
        <f t="shared" si="4"/>
        <v>54696</v>
      </c>
      <c r="DZ8" s="4856">
        <f t="shared" si="4"/>
        <v>54788</v>
      </c>
      <c r="EA8" s="4856">
        <f t="shared" si="4"/>
        <v>54878</v>
      </c>
      <c r="EB8" s="4856">
        <f t="shared" si="4"/>
        <v>54969</v>
      </c>
      <c r="EC8" s="4856">
        <f t="shared" si="4"/>
        <v>55061</v>
      </c>
      <c r="ED8" s="4856">
        <f t="shared" si="4"/>
        <v>55153</v>
      </c>
      <c r="EE8" s="4856">
        <f t="shared" si="4"/>
        <v>55243</v>
      </c>
      <c r="EF8" s="4856">
        <f t="shared" ref="EF8:GD8" si="5">EOMONTH(EE8,3)</f>
        <v>55334</v>
      </c>
      <c r="EG8" s="4856">
        <f t="shared" si="5"/>
        <v>55426</v>
      </c>
      <c r="EH8" s="4856">
        <f t="shared" si="5"/>
        <v>55518</v>
      </c>
      <c r="EI8" s="4856">
        <f t="shared" si="5"/>
        <v>55609</v>
      </c>
      <c r="EJ8" s="4856">
        <f t="shared" si="5"/>
        <v>55700</v>
      </c>
      <c r="EK8" s="4856">
        <f t="shared" si="5"/>
        <v>55792</v>
      </c>
      <c r="EL8" s="4856">
        <f t="shared" si="5"/>
        <v>55884</v>
      </c>
      <c r="EM8" s="4856">
        <f t="shared" si="5"/>
        <v>55974</v>
      </c>
      <c r="EN8" s="4856">
        <f t="shared" si="5"/>
        <v>56065</v>
      </c>
      <c r="EO8" s="4856">
        <f t="shared" si="5"/>
        <v>56157</v>
      </c>
      <c r="EP8" s="4856">
        <f t="shared" si="5"/>
        <v>56249</v>
      </c>
      <c r="EQ8" s="4856">
        <f t="shared" si="5"/>
        <v>56339</v>
      </c>
      <c r="ER8" s="4856">
        <f t="shared" si="5"/>
        <v>56430</v>
      </c>
      <c r="ES8" s="4856">
        <f t="shared" si="5"/>
        <v>56522</v>
      </c>
      <c r="ET8" s="4856">
        <f t="shared" si="5"/>
        <v>56614</v>
      </c>
      <c r="EU8" s="4856">
        <f t="shared" si="5"/>
        <v>56704</v>
      </c>
      <c r="EV8" s="4856">
        <f t="shared" si="5"/>
        <v>56795</v>
      </c>
      <c r="EW8" s="4856">
        <f t="shared" si="5"/>
        <v>56887</v>
      </c>
      <c r="EX8" s="4856">
        <f t="shared" si="5"/>
        <v>56979</v>
      </c>
      <c r="EY8" s="4856">
        <f t="shared" si="5"/>
        <v>57070</v>
      </c>
      <c r="EZ8" s="4856">
        <f t="shared" si="5"/>
        <v>57161</v>
      </c>
      <c r="FA8" s="4856">
        <f t="shared" si="5"/>
        <v>57253</v>
      </c>
      <c r="FB8" s="4856">
        <f t="shared" si="5"/>
        <v>57345</v>
      </c>
      <c r="FC8" s="4856">
        <f t="shared" si="5"/>
        <v>57435</v>
      </c>
      <c r="FD8" s="4856">
        <f t="shared" si="5"/>
        <v>57526</v>
      </c>
      <c r="FE8" s="4856">
        <f t="shared" si="5"/>
        <v>57618</v>
      </c>
      <c r="FF8" s="4856">
        <f t="shared" si="5"/>
        <v>57710</v>
      </c>
      <c r="FG8" s="4856">
        <f t="shared" si="5"/>
        <v>57800</v>
      </c>
      <c r="FH8" s="4856">
        <f t="shared" si="5"/>
        <v>57891</v>
      </c>
      <c r="FI8" s="4856">
        <f t="shared" si="5"/>
        <v>57983</v>
      </c>
      <c r="FJ8" s="4856">
        <f t="shared" si="5"/>
        <v>58075</v>
      </c>
      <c r="FK8" s="4856">
        <f t="shared" si="5"/>
        <v>58165</v>
      </c>
      <c r="FL8" s="4856">
        <f t="shared" si="5"/>
        <v>58256</v>
      </c>
      <c r="FM8" s="4856">
        <f t="shared" si="5"/>
        <v>58348</v>
      </c>
      <c r="FN8" s="4856">
        <f t="shared" si="5"/>
        <v>58440</v>
      </c>
      <c r="FO8" s="4856">
        <f t="shared" si="5"/>
        <v>58531</v>
      </c>
      <c r="FP8" s="4856">
        <f t="shared" si="5"/>
        <v>58622</v>
      </c>
      <c r="FQ8" s="4856">
        <f t="shared" si="5"/>
        <v>58714</v>
      </c>
      <c r="FR8" s="4856">
        <f t="shared" si="5"/>
        <v>58806</v>
      </c>
      <c r="FS8" s="4856">
        <f t="shared" si="5"/>
        <v>58896</v>
      </c>
      <c r="FT8" s="4856">
        <f t="shared" si="5"/>
        <v>58987</v>
      </c>
      <c r="FU8" s="4856">
        <f t="shared" si="5"/>
        <v>59079</v>
      </c>
      <c r="FV8" s="4856">
        <f t="shared" si="5"/>
        <v>59171</v>
      </c>
      <c r="FW8" s="4856">
        <f t="shared" si="5"/>
        <v>59261</v>
      </c>
      <c r="FX8" s="4856">
        <f t="shared" si="5"/>
        <v>59352</v>
      </c>
      <c r="FY8" s="4856">
        <f t="shared" si="5"/>
        <v>59444</v>
      </c>
      <c r="FZ8" s="4856">
        <f t="shared" si="5"/>
        <v>59536</v>
      </c>
      <c r="GA8" s="4856">
        <f t="shared" si="5"/>
        <v>59626</v>
      </c>
      <c r="GB8" s="4856">
        <f t="shared" si="5"/>
        <v>59717</v>
      </c>
      <c r="GC8" s="4856">
        <f t="shared" si="5"/>
        <v>59809</v>
      </c>
      <c r="GD8" s="4856">
        <f t="shared" si="5"/>
        <v>59901</v>
      </c>
      <c r="GE8" s="4854"/>
      <c r="GF8" s="643"/>
      <c r="GG8" s="643"/>
      <c r="GH8" s="643"/>
      <c r="GI8" s="643"/>
      <c r="GJ8" s="643"/>
      <c r="GK8" s="643"/>
      <c r="GL8" s="643"/>
      <c r="GM8" s="643"/>
      <c r="GN8" s="643"/>
      <c r="GO8" s="643"/>
      <c r="GP8" s="643"/>
      <c r="GQ8" s="643"/>
      <c r="GR8" s="643"/>
      <c r="GS8" s="643"/>
      <c r="GT8" s="643"/>
      <c r="GU8" s="643"/>
      <c r="GV8" s="643"/>
      <c r="GW8" s="643"/>
      <c r="GX8" s="643"/>
      <c r="GY8" s="643"/>
      <c r="GZ8" s="643"/>
      <c r="HA8" s="643"/>
      <c r="HB8" s="643"/>
      <c r="HC8" s="643"/>
      <c r="HD8" s="643"/>
      <c r="HE8" s="643"/>
      <c r="HF8" s="643"/>
      <c r="HG8" s="643"/>
      <c r="HH8" s="643"/>
      <c r="HI8" s="643"/>
      <c r="HJ8" s="643"/>
      <c r="HK8" s="643"/>
      <c r="HL8" s="643"/>
      <c r="HM8" s="643"/>
      <c r="HN8" s="643"/>
      <c r="HO8" s="643"/>
      <c r="HP8" s="643"/>
      <c r="HQ8" s="643"/>
      <c r="HR8" s="643"/>
    </row>
    <row r="9" spans="1:226" ht="14.25" customHeight="1">
      <c r="A9" s="302"/>
      <c r="B9" s="302"/>
      <c r="C9" s="4765" t="s">
        <v>775</v>
      </c>
      <c r="D9" s="4857"/>
      <c r="E9" s="4858" t="s">
        <v>776</v>
      </c>
      <c r="F9" s="4833"/>
      <c r="G9" s="4859"/>
      <c r="H9" s="4859"/>
      <c r="I9" s="4859"/>
      <c r="J9" s="4859"/>
      <c r="K9" s="4859"/>
      <c r="L9" s="4859"/>
      <c r="M9" s="4859"/>
      <c r="N9" s="4859"/>
      <c r="O9" s="4833"/>
      <c r="P9" s="4833"/>
      <c r="Q9" s="4833"/>
      <c r="R9" s="4833"/>
      <c r="S9" s="4833"/>
      <c r="T9" s="4833"/>
      <c r="U9" s="4833"/>
      <c r="V9" s="4833"/>
      <c r="W9" s="4833"/>
      <c r="X9" s="4833"/>
      <c r="Y9" s="4833"/>
      <c r="Z9" s="4833"/>
      <c r="AA9" s="4833"/>
      <c r="AB9" s="4833"/>
      <c r="AC9" s="4833"/>
      <c r="AD9" s="4833"/>
      <c r="AE9" s="4833"/>
      <c r="AF9" s="4833"/>
      <c r="AG9" s="4833"/>
      <c r="AH9" s="4833"/>
      <c r="AI9" s="4833"/>
      <c r="AJ9" s="4833"/>
      <c r="AK9" s="4833"/>
      <c r="AL9" s="4833"/>
      <c r="AM9" s="4833"/>
      <c r="AN9" s="4833"/>
      <c r="AO9" s="4833"/>
      <c r="AP9" s="4833"/>
      <c r="AQ9" s="4833"/>
      <c r="AR9" s="4833"/>
      <c r="AS9" s="4833"/>
      <c r="AT9" s="4833"/>
      <c r="AU9" s="4833"/>
      <c r="AV9" s="4833"/>
      <c r="AW9" s="4833"/>
      <c r="AX9" s="4833"/>
      <c r="AY9" s="4833"/>
      <c r="AZ9" s="4833"/>
      <c r="BA9" s="4833"/>
      <c r="BB9" s="4833"/>
      <c r="BC9" s="4833"/>
      <c r="BD9" s="4833"/>
      <c r="BE9" s="4833"/>
      <c r="BF9" s="4833"/>
      <c r="BG9" s="4833"/>
      <c r="BH9" s="4833"/>
      <c r="BI9" s="4833"/>
      <c r="BJ9" s="4833"/>
      <c r="BK9" s="4833"/>
      <c r="BL9" s="4833"/>
      <c r="BM9" s="4833"/>
      <c r="BN9" s="4833"/>
      <c r="BO9" s="4833"/>
      <c r="BP9" s="4833"/>
      <c r="BQ9" s="4833"/>
      <c r="BR9" s="4833"/>
      <c r="BS9" s="4833"/>
      <c r="BT9" s="4833"/>
      <c r="BU9" s="4833"/>
      <c r="BV9" s="4833"/>
      <c r="BW9" s="4833"/>
      <c r="BX9" s="4833"/>
      <c r="BY9" s="4833"/>
      <c r="BZ9" s="4833"/>
      <c r="CA9" s="4833"/>
      <c r="CB9" s="4833"/>
      <c r="CC9" s="4833"/>
      <c r="CD9" s="4833"/>
      <c r="CE9" s="4833"/>
      <c r="CF9" s="4833"/>
      <c r="CG9" s="4833"/>
      <c r="CH9" s="4833"/>
      <c r="CI9" s="4833"/>
      <c r="CJ9" s="4833"/>
      <c r="CK9" s="4833"/>
      <c r="CL9" s="4833"/>
      <c r="CM9" s="4833"/>
      <c r="CN9" s="4833"/>
      <c r="CO9" s="4833"/>
      <c r="CP9" s="4833"/>
      <c r="CQ9" s="4833"/>
      <c r="CR9" s="4833"/>
      <c r="CS9" s="4833"/>
      <c r="CT9" s="4833"/>
      <c r="CU9" s="4833"/>
      <c r="CV9" s="4833"/>
      <c r="CW9" s="4833"/>
      <c r="CX9" s="4833"/>
      <c r="CY9" s="4833"/>
      <c r="CZ9" s="4833"/>
      <c r="DA9" s="4833"/>
      <c r="DB9" s="4833"/>
      <c r="DC9" s="4833"/>
      <c r="DD9" s="4833"/>
      <c r="DE9" s="4833"/>
      <c r="DF9" s="4833"/>
      <c r="DG9" s="4833"/>
      <c r="DH9" s="4833"/>
      <c r="DI9" s="4833"/>
      <c r="DJ9" s="4833"/>
      <c r="DK9" s="4833"/>
      <c r="DL9" s="4833"/>
      <c r="DM9" s="4833"/>
      <c r="DN9" s="4833"/>
      <c r="DO9" s="4833"/>
      <c r="DP9" s="4833"/>
      <c r="DQ9" s="4833"/>
      <c r="DR9" s="4833"/>
      <c r="DS9" s="4833"/>
      <c r="DT9" s="4833"/>
      <c r="DU9" s="4833"/>
      <c r="DV9" s="4833"/>
      <c r="DW9" s="4833"/>
      <c r="DX9" s="4833"/>
      <c r="DY9" s="4833"/>
      <c r="DZ9" s="4833"/>
      <c r="EA9" s="4833"/>
      <c r="EB9" s="4833"/>
      <c r="EC9" s="4833"/>
      <c r="ED9" s="4833"/>
      <c r="EE9" s="4833"/>
      <c r="EF9" s="4833"/>
      <c r="EG9" s="4833"/>
      <c r="EH9" s="4833"/>
      <c r="EI9" s="4833"/>
      <c r="EJ9" s="4833"/>
      <c r="EK9" s="4833"/>
      <c r="EL9" s="4833"/>
      <c r="EM9" s="4833"/>
      <c r="EN9" s="4833"/>
      <c r="EO9" s="4833"/>
      <c r="EP9" s="4833"/>
      <c r="EQ9" s="4833"/>
      <c r="ER9" s="4833"/>
      <c r="ES9" s="4833"/>
      <c r="ET9" s="4833"/>
      <c r="EU9" s="4833"/>
      <c r="EV9" s="4833"/>
      <c r="EW9" s="4833"/>
      <c r="EX9" s="4833"/>
      <c r="EY9" s="4833"/>
      <c r="EZ9" s="4833"/>
      <c r="FA9" s="4833"/>
      <c r="FB9" s="4833"/>
      <c r="FC9" s="4833"/>
      <c r="FD9" s="4833"/>
      <c r="FE9" s="4833"/>
      <c r="FF9" s="4833"/>
      <c r="FG9" s="4833"/>
      <c r="FH9" s="4833"/>
      <c r="FI9" s="4833"/>
      <c r="FJ9" s="4833"/>
      <c r="FK9" s="4833"/>
      <c r="FL9" s="4833"/>
      <c r="FM9" s="4833"/>
      <c r="FN9" s="4833"/>
      <c r="FO9" s="4833"/>
      <c r="FP9" s="4833"/>
      <c r="FQ9" s="4833"/>
      <c r="FR9" s="4833"/>
      <c r="FS9" s="4833"/>
      <c r="FT9" s="4833"/>
      <c r="FU9" s="4833"/>
      <c r="FV9" s="4833"/>
      <c r="FW9" s="4833"/>
      <c r="FX9" s="4833"/>
      <c r="FY9" s="4833"/>
      <c r="FZ9" s="4833"/>
      <c r="GA9" s="4833"/>
      <c r="GB9" s="4833"/>
      <c r="GC9" s="4833"/>
      <c r="GD9" s="4833"/>
      <c r="GE9" s="644"/>
      <c r="GF9" s="644"/>
      <c r="GG9" s="644"/>
      <c r="GH9" s="644"/>
      <c r="GI9" s="644"/>
      <c r="GJ9" s="644"/>
      <c r="GK9" s="644"/>
      <c r="GL9" s="644"/>
      <c r="GM9" s="644"/>
      <c r="GN9" s="644"/>
      <c r="GO9" s="644"/>
      <c r="GP9" s="644"/>
      <c r="GQ9" s="644"/>
      <c r="GR9" s="644"/>
      <c r="GS9" s="644"/>
      <c r="GT9" s="644"/>
      <c r="GU9" s="644"/>
      <c r="GV9" s="644"/>
      <c r="GW9" s="644"/>
      <c r="GX9" s="644"/>
      <c r="GY9" s="644"/>
      <c r="GZ9" s="644"/>
      <c r="HA9" s="644"/>
      <c r="HB9" s="644"/>
      <c r="HC9" s="644"/>
      <c r="HD9" s="644"/>
      <c r="HE9" s="644"/>
      <c r="HF9" s="644"/>
      <c r="HG9" s="644"/>
      <c r="HH9" s="644"/>
      <c r="HI9" s="644"/>
      <c r="HJ9" s="644"/>
      <c r="HK9" s="644"/>
      <c r="HL9" s="644"/>
      <c r="HM9" s="644"/>
      <c r="HN9" s="644"/>
      <c r="HO9" s="644"/>
      <c r="HP9" s="644"/>
      <c r="HQ9" s="644"/>
      <c r="HR9" s="644"/>
    </row>
    <row r="10" spans="1:226" ht="14.25" customHeight="1">
      <c r="A10" s="302"/>
      <c r="B10" s="302"/>
      <c r="C10" s="4765"/>
      <c r="D10" s="4857" t="s">
        <v>777</v>
      </c>
      <c r="E10" s="4753">
        <f>YEARFRAC(Sensitivity!E11,G8)*12-3</f>
        <v>114</v>
      </c>
      <c r="F10" s="4753">
        <f>SUM(G10:HR10)+E10</f>
        <v>600</v>
      </c>
      <c r="G10" s="4859">
        <v>3</v>
      </c>
      <c r="H10" s="4859">
        <f>MIN(3,ROUND((H8-Sensitivity!$E$11)/30,0)*(H$8&gt;=Sensitivity!$E$11),Sensitivity!$E$12*12-SUM($G10:G10)-$E$10)</f>
        <v>3</v>
      </c>
      <c r="I10" s="4859">
        <f>MIN(3,ROUND((I8-Sensitivity!$E$11)/30,0)*(I$8&gt;=Sensitivity!$E$11),Sensitivity!$E$12*12-SUM($G10:H10)-$E$10)</f>
        <v>3</v>
      </c>
      <c r="J10" s="4859">
        <f>MIN(3,ROUND((J8-Sensitivity!$E$11)/30,0)*(J$8&gt;=Sensitivity!$E$11),Sensitivity!$E$12*12-SUM($G10:I10)-$E$10)</f>
        <v>3</v>
      </c>
      <c r="K10" s="4859">
        <f>MIN(3,ROUND((K8-Sensitivity!$E$11)/30,0)*(K$8&gt;=Sensitivity!$E$11),Sensitivity!$E$12*12-SUM($G10:J10)-$E$10)</f>
        <v>3</v>
      </c>
      <c r="L10" s="4859">
        <f>MIN(3,ROUND((L8-Sensitivity!$E$11)/30,0)*(L$8&gt;=Sensitivity!$E$11),Sensitivity!$E$12*12-SUM($G10:K10)-$E$10)</f>
        <v>3</v>
      </c>
      <c r="M10" s="4859">
        <f>MIN(3,ROUND((M8-Sensitivity!$E$11)/30,0)*(M$8&gt;=Sensitivity!$E$11),Sensitivity!$E$12*12-SUM($G10:L10)-$E$10)</f>
        <v>3</v>
      </c>
      <c r="N10" s="4859">
        <f>MIN(3,ROUND((N8-Sensitivity!$E$11)/30,0)*(N$8&gt;=Sensitivity!$E$11),Sensitivity!$E$12*12-SUM($G10:M10)-$E$10)</f>
        <v>3</v>
      </c>
      <c r="O10" s="4833">
        <f>MIN(3,ROUND((O8-Sensitivity!$E$11)/30,0)*(O$8&gt;=Sensitivity!$E$11),Sensitivity!$E$12*12-SUM($G10:N10)-$E$10)</f>
        <v>3</v>
      </c>
      <c r="P10" s="4833">
        <f>MIN(3,ROUND((P8-Sensitivity!$E$11)/30,0)*(P$8&gt;=Sensitivity!$E$11),Sensitivity!$E$12*12-SUM($G10:O10)-$E$10)</f>
        <v>3</v>
      </c>
      <c r="Q10" s="4833">
        <f>MIN(3,ROUND((Q8-Sensitivity!$E$11)/30,0)*(Q$8&gt;=Sensitivity!$E$11),Sensitivity!$E$12*12-SUM($G10:P10)-$E$10)</f>
        <v>3</v>
      </c>
      <c r="R10" s="4833">
        <f>MIN(3,ROUND((R8-Sensitivity!$E$11)/30,0)*(R$8&gt;=Sensitivity!$E$11),Sensitivity!$E$12*12-SUM($G10:Q10)-$E$10)</f>
        <v>3</v>
      </c>
      <c r="S10" s="4833">
        <f>MIN(3,ROUND((S8-Sensitivity!$E$11)/30,0)*(S$8&gt;=Sensitivity!$E$11),Sensitivity!$E$12*12-SUM($G10:R10)-$E$10)</f>
        <v>3</v>
      </c>
      <c r="T10" s="4833">
        <f>MIN(3,ROUND((T8-Sensitivity!$E$11)/30,0)*(T$8&gt;=Sensitivity!$E$11),Sensitivity!$E$12*12-SUM($G10:S10)-$E$10)</f>
        <v>3</v>
      </c>
      <c r="U10" s="4833">
        <f>MIN(3,ROUND((U8-Sensitivity!$E$11)/30,0)*(U$8&gt;=Sensitivity!$E$11),Sensitivity!$E$12*12-SUM($G10:T10)-$E$10)</f>
        <v>3</v>
      </c>
      <c r="V10" s="4833">
        <f>MIN(3,ROUND((V8-Sensitivity!$E$11)/30,0)*(V$8&gt;=Sensitivity!$E$11),Sensitivity!$E$12*12-SUM($G10:U10)-$E$10)</f>
        <v>3</v>
      </c>
      <c r="W10" s="4833">
        <f>MIN(3,ROUND((W8-Sensitivity!$E$11)/30,0)*(W$8&gt;=Sensitivity!$E$11),Sensitivity!$E$12*12-SUM($G10:V10)-$E$10)</f>
        <v>3</v>
      </c>
      <c r="X10" s="4833">
        <f>MIN(3,ROUND((X8-Sensitivity!$E$11)/30,0)*(X$8&gt;=Sensitivity!$E$11),Sensitivity!$E$12*12-SUM($G10:W10)-$E$10)</f>
        <v>3</v>
      </c>
      <c r="Y10" s="4833">
        <f>MIN(3,ROUND((Y8-Sensitivity!$E$11)/30,0)*(Y$8&gt;=Sensitivity!$E$11),Sensitivity!$E$12*12-SUM($G10:X10)-$E$10)</f>
        <v>3</v>
      </c>
      <c r="Z10" s="4833">
        <f>MIN(3,ROUND((Z8-Sensitivity!$E$11)/30,0)*(Z$8&gt;=Sensitivity!$E$11),Sensitivity!$E$12*12-SUM($G10:Y10)-$E$10)</f>
        <v>3</v>
      </c>
      <c r="AA10" s="4833">
        <f>MIN(3,ROUND((AA8-Sensitivity!$E$11)/30,0)*(AA$8&gt;=Sensitivity!$E$11),Sensitivity!$E$12*12-SUM($G10:Z10)-$E$10)</f>
        <v>3</v>
      </c>
      <c r="AB10" s="4833">
        <f>MIN(3,ROUND((AB8-Sensitivity!$E$11)/30,0)*(AB$8&gt;=Sensitivity!$E$11),Sensitivity!$E$12*12-SUM($G10:AA10)-$E$10)</f>
        <v>3</v>
      </c>
      <c r="AC10" s="4833">
        <f>MIN(3,ROUND((AC8-Sensitivity!$E$11)/30,0)*(AC$8&gt;=Sensitivity!$E$11),Sensitivity!$E$12*12-SUM($G10:AB10)-$E$10)</f>
        <v>3</v>
      </c>
      <c r="AD10" s="4833">
        <f>MIN(3,ROUND((AD8-Sensitivity!$E$11)/30,0)*(AD$8&gt;=Sensitivity!$E$11),Sensitivity!$E$12*12-SUM($G10:AC10)-$E$10)</f>
        <v>3</v>
      </c>
      <c r="AE10" s="4833">
        <f>MIN(3,ROUND((AE8-Sensitivity!$E$11)/30,0)*(AE$8&gt;=Sensitivity!$E$11),Sensitivity!$E$12*12-SUM($G10:AD10)-$E$10)</f>
        <v>3</v>
      </c>
      <c r="AF10" s="4833">
        <f>MIN(3,ROUND((AF8-Sensitivity!$E$11)/30,0)*(AF$8&gt;=Sensitivity!$E$11),Sensitivity!$E$12*12-SUM($G10:AE10)-$E$10)</f>
        <v>3</v>
      </c>
      <c r="AG10" s="4833">
        <f>MIN(3,ROUND((AG8-Sensitivity!$E$11)/30,0)*(AG$8&gt;=Sensitivity!$E$11),Sensitivity!$E$12*12-SUM($G10:AF10)-$E$10)</f>
        <v>3</v>
      </c>
      <c r="AH10" s="4833">
        <f>MIN(3,ROUND((AH8-Sensitivity!$E$11)/30,0)*(AH$8&gt;=Sensitivity!$E$11),Sensitivity!$E$12*12-SUM($G10:AG10)-$E$10)</f>
        <v>3</v>
      </c>
      <c r="AI10" s="4833">
        <f>MIN(3,ROUND((AI8-Sensitivity!$E$11)/30,0)*(AI$8&gt;=Sensitivity!$E$11),Sensitivity!$E$12*12-SUM($G10:AH10)-$E$10)</f>
        <v>3</v>
      </c>
      <c r="AJ10" s="4833">
        <f>MIN(3,ROUND((AJ8-Sensitivity!$E$11)/30,0)*(AJ$8&gt;=Sensitivity!$E$11),Sensitivity!$E$12*12-SUM($G10:AI10)-$E$10)</f>
        <v>3</v>
      </c>
      <c r="AK10" s="4833">
        <f>MIN(3,ROUND((AK8-Sensitivity!$E$11)/30,0)*(AK$8&gt;=Sensitivity!$E$11),Sensitivity!$E$12*12-SUM($G10:AJ10)-$E$10)</f>
        <v>3</v>
      </c>
      <c r="AL10" s="4833">
        <f>MIN(3,ROUND((AL8-Sensitivity!$E$11)/30,0)*(AL$8&gt;=Sensitivity!$E$11),Sensitivity!$E$12*12-SUM($G10:AK10)-$E$10)</f>
        <v>3</v>
      </c>
      <c r="AM10" s="4833">
        <f>MIN(3,ROUND((AM8-Sensitivity!$E$11)/30,0)*(AM$8&gt;=Sensitivity!$E$11),Sensitivity!$E$12*12-SUM($G10:AL10)-$E$10)</f>
        <v>3</v>
      </c>
      <c r="AN10" s="4833">
        <f>MIN(3,ROUND((AN8-Sensitivity!$E$11)/30,0)*(AN$8&gt;=Sensitivity!$E$11),Sensitivity!$E$12*12-SUM($G10:AM10)-$E$10)</f>
        <v>3</v>
      </c>
      <c r="AO10" s="4833">
        <f>MIN(3,ROUND((AO8-Sensitivity!$E$11)/30,0)*(AO$8&gt;=Sensitivity!$E$11),Sensitivity!$E$12*12-SUM($G10:AN10)-$E$10)</f>
        <v>3</v>
      </c>
      <c r="AP10" s="4833">
        <f>MIN(3,ROUND((AP8-Sensitivity!$E$11)/30,0)*(AP$8&gt;=Sensitivity!$E$11),Sensitivity!$E$12*12-SUM($G10:AO10)-$E$10)</f>
        <v>3</v>
      </c>
      <c r="AQ10" s="4833">
        <f>MIN(3,ROUND((AQ8-Sensitivity!$E$11)/30,0)*(AQ$8&gt;=Sensitivity!$E$11),Sensitivity!$E$12*12-SUM($G10:AP10)-$E$10)</f>
        <v>3</v>
      </c>
      <c r="AR10" s="4833">
        <f>MIN(3,ROUND((AR8-Sensitivity!$E$11)/30,0)*(AR$8&gt;=Sensitivity!$E$11),Sensitivity!$E$12*12-SUM($G10:AQ10)-$E$10)</f>
        <v>3</v>
      </c>
      <c r="AS10" s="4833">
        <f>MIN(3,ROUND((AS8-Sensitivity!$E$11)/30,0)*(AS$8&gt;=Sensitivity!$E$11),Sensitivity!$E$12*12-SUM($G10:AR10)-$E$10)</f>
        <v>3</v>
      </c>
      <c r="AT10" s="4833">
        <f>MIN(3,ROUND((AT8-Sensitivity!$E$11)/30,0)*(AT$8&gt;=Sensitivity!$E$11),Sensitivity!$E$12*12-SUM($G10:AS10)-$E$10)</f>
        <v>3</v>
      </c>
      <c r="AU10" s="4833">
        <f>MIN(3,ROUND((AU8-Sensitivity!$E$11)/30,0)*(AU$8&gt;=Sensitivity!$E$11),Sensitivity!$E$12*12-SUM($G10:AT10)-$E$10)</f>
        <v>3</v>
      </c>
      <c r="AV10" s="4833">
        <f>MIN(3,ROUND((AV8-Sensitivity!$E$11)/30,0)*(AV$8&gt;=Sensitivity!$E$11),Sensitivity!$E$12*12-SUM($G10:AU10)-$E$10)</f>
        <v>3</v>
      </c>
      <c r="AW10" s="4833">
        <f>MIN(3,ROUND((AW8-Sensitivity!$E$11)/30,0)*(AW$8&gt;=Sensitivity!$E$11),Sensitivity!$E$12*12-SUM($G10:AV10)-$E$10)</f>
        <v>3</v>
      </c>
      <c r="AX10" s="4833">
        <f>MIN(3,ROUND((AX8-Sensitivity!$E$11)/30,0)*(AX$8&gt;=Sensitivity!$E$11),Sensitivity!$E$12*12-SUM($G10:AW10)-$E$10)</f>
        <v>3</v>
      </c>
      <c r="AY10" s="4833">
        <f>MIN(3,ROUND((AY8-Sensitivity!$E$11)/30,0)*(AY$8&gt;=Sensitivity!$E$11),Sensitivity!$E$12*12-SUM($G10:AX10)-$E$10)</f>
        <v>3</v>
      </c>
      <c r="AZ10" s="4833">
        <f>MIN(3,ROUND((AZ8-Sensitivity!$E$11)/30,0)*(AZ$8&gt;=Sensitivity!$E$11),Sensitivity!$E$12*12-SUM($G10:AY10)-$E$10)</f>
        <v>3</v>
      </c>
      <c r="BA10" s="4833">
        <f>MIN(3,ROUND((BA8-Sensitivity!$E$11)/30,0)*(BA$8&gt;=Sensitivity!$E$11),Sensitivity!$E$12*12-SUM($G10:AZ10)-$E$10)</f>
        <v>3</v>
      </c>
      <c r="BB10" s="4833">
        <f>MIN(3,ROUND((BB8-Sensitivity!$E$11)/30,0)*(BB$8&gt;=Sensitivity!$E$11),Sensitivity!$E$12*12-SUM($G10:BA10)-$E$10)</f>
        <v>3</v>
      </c>
      <c r="BC10" s="4833">
        <f>MIN(3,ROUND((BC8-Sensitivity!$E$11)/30,0)*(BC$8&gt;=Sensitivity!$E$11),Sensitivity!$E$12*12-SUM($G10:BB10)-$E$10)</f>
        <v>3</v>
      </c>
      <c r="BD10" s="4833">
        <f>MIN(3,ROUND((BD8-Sensitivity!$E$11)/30,0)*(BD$8&gt;=Sensitivity!$E$11),Sensitivity!$E$12*12-SUM($G10:BC10)-$E$10)</f>
        <v>3</v>
      </c>
      <c r="BE10" s="4833">
        <f>MIN(3,ROUND((BE8-Sensitivity!$E$11)/30,0)*(BE$8&gt;=Sensitivity!$E$11),Sensitivity!$E$12*12-SUM($G10:BD10)-$E$10)</f>
        <v>3</v>
      </c>
      <c r="BF10" s="4833">
        <f>MIN(3,ROUND((BF8-Sensitivity!$E$11)/30,0)*(BF$8&gt;=Sensitivity!$E$11),Sensitivity!$E$12*12-SUM($G10:BE10)-$E$10)</f>
        <v>3</v>
      </c>
      <c r="BG10" s="4833">
        <f>MIN(3,ROUND((BG8-Sensitivity!$E$11)/30,0)*(BG$8&gt;=Sensitivity!$E$11),Sensitivity!$E$12*12-SUM($G10:BF10)-$E$10)</f>
        <v>3</v>
      </c>
      <c r="BH10" s="4833">
        <f>MIN(3,ROUND((BH8-Sensitivity!$E$11)/30,0)*(BH$8&gt;=Sensitivity!$E$11),Sensitivity!$E$12*12-SUM($G10:BG10)-$E$10)</f>
        <v>3</v>
      </c>
      <c r="BI10" s="4833">
        <f>MIN(3,ROUND((BI8-Sensitivity!$E$11)/30,0)*(BI$8&gt;=Sensitivity!$E$11),Sensitivity!$E$12*12-SUM($G10:BH10)-$E$10)</f>
        <v>3</v>
      </c>
      <c r="BJ10" s="4833">
        <f>MIN(3,ROUND((BJ8-Sensitivity!$E$11)/30,0)*(BJ$8&gt;=Sensitivity!$E$11),Sensitivity!$E$12*12-SUM($G10:BI10)-$E$10)</f>
        <v>3</v>
      </c>
      <c r="BK10" s="4833">
        <f>MIN(3,ROUND((BK8-Sensitivity!$E$11)/30,0)*(BK$8&gt;=Sensitivity!$E$11),Sensitivity!$E$12*12-SUM($G10:BJ10)-$E$10)</f>
        <v>3</v>
      </c>
      <c r="BL10" s="4833">
        <f>MIN(3,ROUND((BL8-Sensitivity!$E$11)/30,0)*(BL$8&gt;=Sensitivity!$E$11),Sensitivity!$E$12*12-SUM($G10:BK10)-$E$10)</f>
        <v>3</v>
      </c>
      <c r="BM10" s="4833">
        <f>MIN(3,ROUND((BM8-Sensitivity!$E$11)/30,0)*(BM$8&gt;=Sensitivity!$E$11),Sensitivity!$E$12*12-SUM($G10:BL10)-$E$10)</f>
        <v>3</v>
      </c>
      <c r="BN10" s="4833">
        <f>MIN(3,ROUND((BN8-Sensitivity!$E$11)/30,0)*(BN$8&gt;=Sensitivity!$E$11),Sensitivity!$E$12*12-SUM($G10:BM10)-$E$10)</f>
        <v>3</v>
      </c>
      <c r="BO10" s="4833">
        <f>MIN(3,ROUND((BO8-Sensitivity!$E$11)/30,0)*(BO$8&gt;=Sensitivity!$E$11),Sensitivity!$E$12*12-SUM($G10:BN10)-$E$10)</f>
        <v>3</v>
      </c>
      <c r="BP10" s="4833">
        <f>MIN(3,ROUND((BP8-Sensitivity!$E$11)/30,0)*(BP$8&gt;=Sensitivity!$E$11),Sensitivity!$E$12*12-SUM($G10:BO10)-$E$10)</f>
        <v>3</v>
      </c>
      <c r="BQ10" s="4833">
        <f>MIN(3,ROUND((BQ8-Sensitivity!$E$11)/30,0)*(BQ$8&gt;=Sensitivity!$E$11),Sensitivity!$E$12*12-SUM($G10:BP10)-$E$10)</f>
        <v>3</v>
      </c>
      <c r="BR10" s="4833">
        <f>MIN(3,ROUND((BR8-Sensitivity!$E$11)/30,0)*(BR$8&gt;=Sensitivity!$E$11),Sensitivity!$E$12*12-SUM($G10:BQ10)-$E$10)</f>
        <v>3</v>
      </c>
      <c r="BS10" s="4833">
        <f>MIN(3,ROUND((BS8-Sensitivity!$E$11)/30,0)*(BS$8&gt;=Sensitivity!$E$11),Sensitivity!$E$12*12-SUM($G10:BR10)-$E$10)</f>
        <v>3</v>
      </c>
      <c r="BT10" s="4833">
        <f>MIN(3,ROUND((BT8-Sensitivity!$E$11)/30,0)*(BT$8&gt;=Sensitivity!$E$11),Sensitivity!$E$12*12-SUM($G10:BS10)-$E$10)</f>
        <v>3</v>
      </c>
      <c r="BU10" s="4833">
        <f>MIN(3,ROUND((BU8-Sensitivity!$E$11)/30,0)*(BU$8&gt;=Sensitivity!$E$11),Sensitivity!$E$12*12-SUM($G10:BT10)-$E$10)</f>
        <v>3</v>
      </c>
      <c r="BV10" s="4833">
        <f>MIN(3,ROUND((BV8-Sensitivity!$E$11)/30,0)*(BV$8&gt;=Sensitivity!$E$11),Sensitivity!$E$12*12-SUM($G10:BU10)-$E$10)</f>
        <v>3</v>
      </c>
      <c r="BW10" s="4833">
        <f>MIN(3,ROUND((BW8-Sensitivity!$E$11)/30,0)*(BW$8&gt;=Sensitivity!$E$11),Sensitivity!$E$12*12-SUM($G10:BV10)-$E$10)</f>
        <v>3</v>
      </c>
      <c r="BX10" s="4833">
        <f>MIN(3,ROUND((BX8-Sensitivity!$E$11)/30,0)*(BX$8&gt;=Sensitivity!$E$11),Sensitivity!$E$12*12-SUM($G10:BW10)-$E$10)</f>
        <v>3</v>
      </c>
      <c r="BY10" s="4833">
        <f>MIN(3,ROUND((BY8-Sensitivity!$E$11)/30,0)*(BY$8&gt;=Sensitivity!$E$11),Sensitivity!$E$12*12-SUM($G10:BX10)-$E$10)</f>
        <v>3</v>
      </c>
      <c r="BZ10" s="4833">
        <f>MIN(3,ROUND((BZ8-Sensitivity!$E$11)/30,0)*(BZ$8&gt;=Sensitivity!$E$11),Sensitivity!$E$12*12-SUM($G10:BY10)-$E$10)</f>
        <v>3</v>
      </c>
      <c r="CA10" s="4833">
        <f>MIN(3,ROUND((CA8-Sensitivity!$E$11)/30,0)*(CA$8&gt;=Sensitivity!$E$11),Sensitivity!$E$12*12-SUM($G10:BZ10)-$E$10)</f>
        <v>3</v>
      </c>
      <c r="CB10" s="4833">
        <f>MIN(3,ROUND((CB8-Sensitivity!$E$11)/30,0)*(CB$8&gt;=Sensitivity!$E$11),Sensitivity!$E$12*12-SUM($G10:CA10)-$E$10)</f>
        <v>3</v>
      </c>
      <c r="CC10" s="4833">
        <f>MIN(3,ROUND((CC8-Sensitivity!$E$11)/30,0)*(CC$8&gt;=Sensitivity!$E$11),Sensitivity!$E$12*12-SUM($G10:CB10)-$E$10)</f>
        <v>3</v>
      </c>
      <c r="CD10" s="4833">
        <f>MIN(3,ROUND((CD8-Sensitivity!$E$11)/30,0)*(CD$8&gt;=Sensitivity!$E$11),Sensitivity!$E$12*12-SUM($G10:CC10)-$E$10)</f>
        <v>3</v>
      </c>
      <c r="CE10" s="4833">
        <f>MIN(3,ROUND((CE8-Sensitivity!$E$11)/30,0)*(CE$8&gt;=Sensitivity!$E$11),Sensitivity!$E$12*12-SUM($G10:CD10)-$E$10)</f>
        <v>3</v>
      </c>
      <c r="CF10" s="4833">
        <f>MIN(3,ROUND((CF8-Sensitivity!$E$11)/30,0)*(CF$8&gt;=Sensitivity!$E$11),Sensitivity!$E$12*12-SUM($G10:CE10)-$E$10)</f>
        <v>3</v>
      </c>
      <c r="CG10" s="4833">
        <f>MIN(3,ROUND((CG8-Sensitivity!$E$11)/30,0)*(CG$8&gt;=Sensitivity!$E$11),Sensitivity!$E$12*12-SUM($G10:CF10)-$E$10)</f>
        <v>3</v>
      </c>
      <c r="CH10" s="4833">
        <f>MIN(3,ROUND((CH8-Sensitivity!$E$11)/30,0)*(CH$8&gt;=Sensitivity!$E$11),Sensitivity!$E$12*12-SUM($G10:CG10)-$E$10)</f>
        <v>3</v>
      </c>
      <c r="CI10" s="4833">
        <f>MIN(3,ROUND((CI8-Sensitivity!$E$11)/30,0)*(CI$8&gt;=Sensitivity!$E$11),Sensitivity!$E$12*12-SUM($G10:CH10)-$E$10)</f>
        <v>3</v>
      </c>
      <c r="CJ10" s="4833">
        <f>MIN(3,ROUND((CJ8-Sensitivity!$E$11)/30,0)*(CJ$8&gt;=Sensitivity!$E$11),Sensitivity!$E$12*12-SUM($G10:CI10)-$E$10)</f>
        <v>3</v>
      </c>
      <c r="CK10" s="4833">
        <f>MIN(3,ROUND((CK8-Sensitivity!$E$11)/30,0)*(CK$8&gt;=Sensitivity!$E$11),Sensitivity!$E$12*12-SUM($G10:CJ10)-$E$10)</f>
        <v>3</v>
      </c>
      <c r="CL10" s="4833">
        <f>MIN(3,ROUND((CL8-Sensitivity!$E$11)/30,0)*(CL$8&gt;=Sensitivity!$E$11),Sensitivity!$E$12*12-SUM($G10:CK10)-$E$10)</f>
        <v>3</v>
      </c>
      <c r="CM10" s="4833">
        <f>MIN(3,ROUND((CM8-Sensitivity!$E$11)/30,0)*(CM$8&gt;=Sensitivity!$E$11),Sensitivity!$E$12*12-SUM($G10:CL10)-$E$10)</f>
        <v>3</v>
      </c>
      <c r="CN10" s="4833">
        <f>MIN(3,ROUND((CN8-Sensitivity!$E$11)/30,0)*(CN$8&gt;=Sensitivity!$E$11),Sensitivity!$E$12*12-SUM($G10:CM10)-$E$10)</f>
        <v>3</v>
      </c>
      <c r="CO10" s="4833">
        <f>MIN(3,ROUND((CO8-Sensitivity!$E$11)/30,0)*(CO$8&gt;=Sensitivity!$E$11),Sensitivity!$E$12*12-SUM($G10:CN10)-$E$10)</f>
        <v>3</v>
      </c>
      <c r="CP10" s="4833">
        <f>MIN(3,ROUND((CP8-Sensitivity!$E$11)/30,0)*(CP$8&gt;=Sensitivity!$E$11),Sensitivity!$E$12*12-SUM($G10:CO10)-$E$10)</f>
        <v>3</v>
      </c>
      <c r="CQ10" s="4833">
        <f>MIN(3,ROUND((CQ8-Sensitivity!$E$11)/30,0)*(CQ$8&gt;=Sensitivity!$E$11),Sensitivity!$E$12*12-SUM($G10:CP10)-$E$10)</f>
        <v>3</v>
      </c>
      <c r="CR10" s="4833">
        <f>MIN(3,ROUND((CR8-Sensitivity!$E$11)/30,0)*(CR$8&gt;=Sensitivity!$E$11),Sensitivity!$E$12*12-SUM($G10:CQ10)-$E$10)</f>
        <v>3</v>
      </c>
      <c r="CS10" s="4833">
        <f>MIN(3,ROUND((CS8-Sensitivity!$E$11)/30,0)*(CS$8&gt;=Sensitivity!$E$11),Sensitivity!$E$12*12-SUM($G10:CR10)-$E$10)</f>
        <v>3</v>
      </c>
      <c r="CT10" s="4833">
        <f>MIN(3,ROUND((CT8-Sensitivity!$E$11)/30,0)*(CT$8&gt;=Sensitivity!$E$11),Sensitivity!$E$12*12-SUM($G10:CS10)-$E$10)</f>
        <v>3</v>
      </c>
      <c r="CU10" s="4833">
        <f>MIN(3,ROUND((CU8-Sensitivity!$E$11)/30,0)*(CU$8&gt;=Sensitivity!$E$11),Sensitivity!$E$12*12-SUM($G10:CT10)-$E$10)</f>
        <v>3</v>
      </c>
      <c r="CV10" s="4833">
        <f>MIN(3,ROUND((CV8-Sensitivity!$E$11)/30,0)*(CV$8&gt;=Sensitivity!$E$11),Sensitivity!$E$12*12-SUM($G10:CU10)-$E$10)</f>
        <v>3</v>
      </c>
      <c r="CW10" s="4833">
        <f>MIN(3,ROUND((CW8-Sensitivity!$E$11)/30,0)*(CW$8&gt;=Sensitivity!$E$11),Sensitivity!$E$12*12-SUM($G10:CV10)-$E$10)</f>
        <v>3</v>
      </c>
      <c r="CX10" s="4833">
        <f>MIN(3,ROUND((CX8-Sensitivity!$E$11)/30,0)*(CX$8&gt;=Sensitivity!$E$11),Sensitivity!$E$12*12-SUM($G10:CW10)-$E$10)</f>
        <v>3</v>
      </c>
      <c r="CY10" s="4833">
        <f>MIN(3,ROUND((CY8-Sensitivity!$E$11)/30,0)*(CY$8&gt;=Sensitivity!$E$11),Sensitivity!$E$12*12-SUM($G10:CX10)-$E$10)</f>
        <v>3</v>
      </c>
      <c r="CZ10" s="4833">
        <f>MIN(3,ROUND((CZ8-Sensitivity!$E$11)/30,0)*(CZ$8&gt;=Sensitivity!$E$11),Sensitivity!$E$12*12-SUM($G10:CY10)-$E$10)</f>
        <v>3</v>
      </c>
      <c r="DA10" s="4833">
        <f>MIN(3,ROUND((DA8-Sensitivity!$E$11)/30,0)*(DA$8&gt;=Sensitivity!$E$11),Sensitivity!$E$12*12-SUM($G10:CZ10)-$E$10)</f>
        <v>3</v>
      </c>
      <c r="DB10" s="4833">
        <f>MIN(3,ROUND((DB8-Sensitivity!$E$11)/30,0)*(DB$8&gt;=Sensitivity!$E$11),Sensitivity!$E$12*12-SUM($G10:DA10)-$E$10)</f>
        <v>3</v>
      </c>
      <c r="DC10" s="4833">
        <f>MIN(3,ROUND((DC8-Sensitivity!$E$11)/30,0)*(DC$8&gt;=Sensitivity!$E$11),Sensitivity!$E$12*12-SUM($G10:DB10)-$E$10)</f>
        <v>3</v>
      </c>
      <c r="DD10" s="4833">
        <f>MIN(3,ROUND((DD8-Sensitivity!$E$11)/30,0)*(DD$8&gt;=Sensitivity!$E$11),Sensitivity!$E$12*12-SUM($G10:DC10)-$E$10)</f>
        <v>3</v>
      </c>
      <c r="DE10" s="4833">
        <f>MIN(3,ROUND((DE8-Sensitivity!$E$11)/30,0)*(DE$8&gt;=Sensitivity!$E$11),Sensitivity!$E$12*12-SUM($G10:DD10)-$E$10)</f>
        <v>3</v>
      </c>
      <c r="DF10" s="4833">
        <f>MIN(3,ROUND((DF8-Sensitivity!$E$11)/30,0)*(DF$8&gt;=Sensitivity!$E$11),Sensitivity!$E$12*12-SUM($G10:DE10)-$E$10)</f>
        <v>3</v>
      </c>
      <c r="DG10" s="4833">
        <f>MIN(3,ROUND((DG8-Sensitivity!$E$11)/30,0)*(DG$8&gt;=Sensitivity!$E$11),Sensitivity!$E$12*12-SUM($G10:DF10)-$E$10)</f>
        <v>3</v>
      </c>
      <c r="DH10" s="4833">
        <f>MIN(3,ROUND((DH8-Sensitivity!$E$11)/30,0)*(DH$8&gt;=Sensitivity!$E$11),Sensitivity!$E$12*12-SUM($G10:DG10)-$E$10)</f>
        <v>3</v>
      </c>
      <c r="DI10" s="4833">
        <f>MIN(3,ROUND((DI8-Sensitivity!$E$11)/30,0)*(DI$8&gt;=Sensitivity!$E$11),Sensitivity!$E$12*12-SUM($G10:DH10)-$E$10)</f>
        <v>3</v>
      </c>
      <c r="DJ10" s="4833">
        <f>MIN(3,ROUND((DJ8-Sensitivity!$E$11)/30,0)*(DJ$8&gt;=Sensitivity!$E$11),Sensitivity!$E$12*12-SUM($G10:DI10)-$E$10)</f>
        <v>3</v>
      </c>
      <c r="DK10" s="4833">
        <f>MIN(3,ROUND((DK8-Sensitivity!$E$11)/30,0)*(DK$8&gt;=Sensitivity!$E$11),Sensitivity!$E$12*12-SUM($G10:DJ10)-$E$10)</f>
        <v>3</v>
      </c>
      <c r="DL10" s="4833">
        <f>MIN(3,ROUND((DL8-Sensitivity!$E$11)/30,0)*(DL$8&gt;=Sensitivity!$E$11),Sensitivity!$E$12*12-SUM($G10:DK10)-$E$10)</f>
        <v>3</v>
      </c>
      <c r="DM10" s="4833">
        <f>MIN(3,ROUND((DM8-Sensitivity!$E$11)/30,0)*(DM$8&gt;=Sensitivity!$E$11),Sensitivity!$E$12*12-SUM($G10:DL10)-$E$10)</f>
        <v>3</v>
      </c>
      <c r="DN10" s="4833">
        <f>MIN(3,ROUND((DN8-Sensitivity!$E$11)/30,0)*(DN$8&gt;=Sensitivity!$E$11),Sensitivity!$E$12*12-SUM($G10:DM10)-$E$10)</f>
        <v>3</v>
      </c>
      <c r="DO10" s="4833">
        <f>MIN(3,ROUND((DO8-Sensitivity!$E$11)/30,0)*(DO$8&gt;=Sensitivity!$E$11),Sensitivity!$E$12*12-SUM($G10:DN10)-$E$10)</f>
        <v>3</v>
      </c>
      <c r="DP10" s="4833">
        <f>MIN(3,ROUND((DP8-Sensitivity!$E$11)/30,0)*(DP$8&gt;=Sensitivity!$E$11),Sensitivity!$E$12*12-SUM($G10:DO10)-$E$10)</f>
        <v>3</v>
      </c>
      <c r="DQ10" s="4833">
        <f>MIN(3,ROUND((DQ8-Sensitivity!$E$11)/30,0)*(DQ$8&gt;=Sensitivity!$E$11),Sensitivity!$E$12*12-SUM($G10:DP10)-$E$10)</f>
        <v>3</v>
      </c>
      <c r="DR10" s="4833">
        <f>MIN(3,ROUND((DR8-Sensitivity!$E$11)/30,0)*(DR$8&gt;=Sensitivity!$E$11),Sensitivity!$E$12*12-SUM($G10:DQ10)-$E$10)</f>
        <v>3</v>
      </c>
      <c r="DS10" s="4833">
        <f>MIN(3,ROUND((DS8-Sensitivity!$E$11)/30,0)*(DS$8&gt;=Sensitivity!$E$11),Sensitivity!$E$12*12-SUM($G10:DR10)-$E$10)</f>
        <v>3</v>
      </c>
      <c r="DT10" s="4833">
        <f>MIN(3,ROUND((DT8-Sensitivity!$E$11)/30,0)*(DT$8&gt;=Sensitivity!$E$11),Sensitivity!$E$12*12-SUM($G10:DS10)-$E$10)</f>
        <v>3</v>
      </c>
      <c r="DU10" s="4833">
        <f>MIN(3,ROUND((DU8-Sensitivity!$E$11)/30,0)*(DU$8&gt;=Sensitivity!$E$11),Sensitivity!$E$12*12-SUM($G10:DT10)-$E$10)</f>
        <v>3</v>
      </c>
      <c r="DV10" s="4833">
        <f>MIN(3,ROUND((DV8-Sensitivity!$E$11)/30,0)*(DV$8&gt;=Sensitivity!$E$11),Sensitivity!$E$12*12-SUM($G10:DU10)-$E$10)</f>
        <v>3</v>
      </c>
      <c r="DW10" s="4833">
        <f>MIN(3,ROUND((DW8-Sensitivity!$E$11)/30,0)*(DW$8&gt;=Sensitivity!$E$11),Sensitivity!$E$12*12-SUM($G10:DV10)-$E$10)</f>
        <v>3</v>
      </c>
      <c r="DX10" s="4833">
        <f>MIN(3,ROUND((DX8-Sensitivity!$E$11)/30,0)*(DX$8&gt;=Sensitivity!$E$11),Sensitivity!$E$12*12-SUM($G10:DW10)-$E$10)</f>
        <v>3</v>
      </c>
      <c r="DY10" s="4833">
        <f>MIN(3,ROUND((DY8-Sensitivity!$E$11)/30,0)*(DY$8&gt;=Sensitivity!$E$11),Sensitivity!$E$12*12-SUM($G10:DX10)-$E$10)</f>
        <v>3</v>
      </c>
      <c r="DZ10" s="4833">
        <f>MIN(3,ROUND((DZ8-Sensitivity!$E$11)/30,0)*(DZ$8&gt;=Sensitivity!$E$11),Sensitivity!$E$12*12-SUM($G10:DY10)-$E$10)</f>
        <v>3</v>
      </c>
      <c r="EA10" s="4833">
        <f>MIN(3,ROUND((EA8-Sensitivity!$E$11)/30,0)*(EA$8&gt;=Sensitivity!$E$11),Sensitivity!$E$12*12-SUM($G10:DZ10)-$E$10)</f>
        <v>3</v>
      </c>
      <c r="EB10" s="4833">
        <f>MIN(3,ROUND((EB8-Sensitivity!$E$11)/30,0)*(EB$8&gt;=Sensitivity!$E$11),Sensitivity!$E$12*12-SUM($G10:EA10)-$E$10)</f>
        <v>3</v>
      </c>
      <c r="EC10" s="4833">
        <f>MIN(3,ROUND((EC8-Sensitivity!$E$11)/30,0)*(EC$8&gt;=Sensitivity!$E$11),Sensitivity!$E$12*12-SUM($G10:EB10)-$E$10)</f>
        <v>3</v>
      </c>
      <c r="ED10" s="4833">
        <f>MIN(3,ROUND((ED8-Sensitivity!$E$11)/30,0)*(ED$8&gt;=Sensitivity!$E$11),Sensitivity!$E$12*12-SUM($G10:EC10)-$E$10)</f>
        <v>3</v>
      </c>
      <c r="EE10" s="4833">
        <f>MIN(3,ROUND((EE8-Sensitivity!$E$11)/30,0)*(EE$8&gt;=Sensitivity!$E$11),Sensitivity!$E$12*12-SUM($G10:ED10)-$E$10)</f>
        <v>3</v>
      </c>
      <c r="EF10" s="4833">
        <f>MIN(3,ROUND((EF8-Sensitivity!$E$11)/30,0)*(EF$8&gt;=Sensitivity!$E$11),Sensitivity!$E$12*12-SUM($G10:EE10)-$E$10)</f>
        <v>3</v>
      </c>
      <c r="EG10" s="4833">
        <f>MIN(3,ROUND((EG8-Sensitivity!$E$11)/30,0)*(EG$8&gt;=Sensitivity!$E$11),Sensitivity!$E$12*12-SUM($G10:EF10)-$E$10)</f>
        <v>3</v>
      </c>
      <c r="EH10" s="4833">
        <f>MIN(3,ROUND((EH8-Sensitivity!$E$11)/30,0)*(EH$8&gt;=Sensitivity!$E$11),Sensitivity!$E$12*12-SUM($G10:EG10)-$E$10)</f>
        <v>3</v>
      </c>
      <c r="EI10" s="4833">
        <f>MIN(3,ROUND((EI8-Sensitivity!$E$11)/30,0)*(EI$8&gt;=Sensitivity!$E$11),Sensitivity!$E$12*12-SUM($G10:EH10)-$E$10)</f>
        <v>3</v>
      </c>
      <c r="EJ10" s="4833">
        <f>MIN(3,ROUND((EJ8-Sensitivity!$E$11)/30,0)*(EJ$8&gt;=Sensitivity!$E$11),Sensitivity!$E$12*12-SUM($G10:EI10)-$E$10)</f>
        <v>3</v>
      </c>
      <c r="EK10" s="4833">
        <f>MIN(3,ROUND((EK8-Sensitivity!$E$11)/30,0)*(EK$8&gt;=Sensitivity!$E$11),Sensitivity!$E$12*12-SUM($G10:EJ10)-$E$10)</f>
        <v>3</v>
      </c>
      <c r="EL10" s="4833">
        <f>MIN(3,ROUND((EL8-Sensitivity!$E$11)/30,0)*(EL$8&gt;=Sensitivity!$E$11),Sensitivity!$E$12*12-SUM($G10:EK10)-$E$10)</f>
        <v>3</v>
      </c>
      <c r="EM10" s="4833">
        <f>MIN(3,ROUND((EM8-Sensitivity!$E$11)/30,0)*(EM$8&gt;=Sensitivity!$E$11),Sensitivity!$E$12*12-SUM($G10:EL10)-$E$10)</f>
        <v>3</v>
      </c>
      <c r="EN10" s="4833">
        <f>MIN(3,ROUND((EN8-Sensitivity!$E$11)/30,0)*(EN$8&gt;=Sensitivity!$E$11),Sensitivity!$E$12*12-SUM($G10:EM10)-$E$10)</f>
        <v>3</v>
      </c>
      <c r="EO10" s="4833">
        <f>MIN(3,ROUND((EO8-Sensitivity!$E$11)/30,0)*(EO$8&gt;=Sensitivity!$E$11),Sensitivity!$E$12*12-SUM($G10:EN10)-$E$10)</f>
        <v>3</v>
      </c>
      <c r="EP10" s="4833">
        <f>MIN(3,ROUND((EP8-Sensitivity!$E$11)/30,0)*(EP$8&gt;=Sensitivity!$E$11),Sensitivity!$E$12*12-SUM($G10:EO10)-$E$10)</f>
        <v>3</v>
      </c>
      <c r="EQ10" s="4833">
        <f>MIN(3,ROUND((EQ8-Sensitivity!$E$11)/30,0)*(EQ$8&gt;=Sensitivity!$E$11),Sensitivity!$E$12*12-SUM($G10:EP10)-$E$10)</f>
        <v>3</v>
      </c>
      <c r="ER10" s="4833">
        <f>MIN(3,ROUND((ER8-Sensitivity!$E$11)/30,0)*(ER$8&gt;=Sensitivity!$E$11),Sensitivity!$E$12*12-SUM($G10:EQ10)-$E$10)</f>
        <v>3</v>
      </c>
      <c r="ES10" s="4833">
        <f>MIN(3,ROUND((ES8-Sensitivity!$E$11)/30,0)*(ES$8&gt;=Sensitivity!$E$11),Sensitivity!$E$12*12-SUM($G10:ER10)-$E$10)</f>
        <v>3</v>
      </c>
      <c r="ET10" s="4833">
        <f>MIN(3,ROUND((ET8-Sensitivity!$E$11)/30,0)*(ET$8&gt;=Sensitivity!$E$11),Sensitivity!$E$12*12-SUM($G10:ES10)-$E$10)</f>
        <v>3</v>
      </c>
      <c r="EU10" s="4833">
        <f>MIN(3,ROUND((EU8-Sensitivity!$E$11)/30,0)*(EU$8&gt;=Sensitivity!$E$11),Sensitivity!$E$12*12-SUM($G10:ET10)-$E$10)</f>
        <v>3</v>
      </c>
      <c r="EV10" s="4833">
        <f>MIN(3,ROUND((EV8-Sensitivity!$E$11)/30,0)*(EV$8&gt;=Sensitivity!$E$11),Sensitivity!$E$12*12-SUM($G10:EU10)-$E$10)</f>
        <v>3</v>
      </c>
      <c r="EW10" s="4833">
        <f>MIN(3,ROUND((EW8-Sensitivity!$E$11)/30,0)*(EW$8&gt;=Sensitivity!$E$11),Sensitivity!$E$12*12-SUM($G10:EV10)-$E$10)</f>
        <v>3</v>
      </c>
      <c r="EX10" s="4833">
        <f>MIN(3,ROUND((EX8-Sensitivity!$E$11)/30,0)*(EX$8&gt;=Sensitivity!$E$11),Sensitivity!$E$12*12-SUM($G10:EW10)-$E$10)</f>
        <v>3</v>
      </c>
      <c r="EY10" s="4833">
        <f>MIN(3,ROUND((EY8-Sensitivity!$E$11)/30,0)*(EY$8&gt;=Sensitivity!$E$11),Sensitivity!$E$12*12-SUM($G10:EX10)-$E$10)</f>
        <v>3</v>
      </c>
      <c r="EZ10" s="4833">
        <f>MIN(3,ROUND((EZ8-Sensitivity!$E$11)/30,0)*(EZ$8&gt;=Sensitivity!$E$11),Sensitivity!$E$12*12-SUM($G10:EY10)-$E$10)</f>
        <v>3</v>
      </c>
      <c r="FA10" s="4833">
        <f>MIN(3,ROUND((FA8-Sensitivity!$E$11)/30,0)*(FA$8&gt;=Sensitivity!$E$11),Sensitivity!$E$12*12-SUM($G10:EZ10)-$E$10)</f>
        <v>3</v>
      </c>
      <c r="FB10" s="4833">
        <f>MIN(3,ROUND((FB8-Sensitivity!$E$11)/30,0)*(FB$8&gt;=Sensitivity!$E$11),Sensitivity!$E$12*12-SUM($G10:FA10)-$E$10)</f>
        <v>3</v>
      </c>
      <c r="FC10" s="4833">
        <f>MIN(3,ROUND((FC8-Sensitivity!$E$11)/30,0)*(FC$8&gt;=Sensitivity!$E$11),Sensitivity!$E$12*12-SUM($G10:FB10)-$E$10)</f>
        <v>3</v>
      </c>
      <c r="FD10" s="4833">
        <f>MIN(3,ROUND((FD8-Sensitivity!$E$11)/30,0)*(FD$8&gt;=Sensitivity!$E$11),Sensitivity!$E$12*12-SUM($G10:FC10)-$E$10)</f>
        <v>3</v>
      </c>
      <c r="FE10" s="4833">
        <f>MIN(3,ROUND((FE8-Sensitivity!$E$11)/30,0)*(FE$8&gt;=Sensitivity!$E$11),Sensitivity!$E$12*12-SUM($G10:FD10)-$E$10)</f>
        <v>3</v>
      </c>
      <c r="FF10" s="4833">
        <f>MIN(3,ROUND((FF8-Sensitivity!$E$11)/30,0)*(FF$8&gt;=Sensitivity!$E$11),Sensitivity!$E$12*12-SUM($G10:FE10)-$E$10)</f>
        <v>3</v>
      </c>
      <c r="FG10" s="4833">
        <f>MIN(3,ROUND((FG8-Sensitivity!$E$11)/30,0)*(FG$8&gt;=Sensitivity!$E$11),Sensitivity!$E$12*12-SUM($G10:FF10)-$E$10)</f>
        <v>3</v>
      </c>
      <c r="FH10" s="4833">
        <f>MIN(3,ROUND((FH8-Sensitivity!$E$11)/30,0)*(FH$8&gt;=Sensitivity!$E$11),Sensitivity!$E$12*12-SUM($G10:FG10)-$E$10)</f>
        <v>3</v>
      </c>
      <c r="FI10" s="4833">
        <f>MIN(3,ROUND((FI8-Sensitivity!$E$11)/30,0)*(FI$8&gt;=Sensitivity!$E$11),Sensitivity!$E$12*12-SUM($G10:FH10)-$E$10)</f>
        <v>3</v>
      </c>
      <c r="FJ10" s="4833">
        <f>MIN(3,ROUND((FJ8-Sensitivity!$E$11)/30,0)*(FJ$8&gt;=Sensitivity!$E$11),Sensitivity!$E$12*12-SUM($G10:FI10)-$E$10)</f>
        <v>3</v>
      </c>
      <c r="FK10" s="4833">
        <f>MIN(3,ROUND((FK8-Sensitivity!$E$11)/30,0)*(FK$8&gt;=Sensitivity!$E$11),Sensitivity!$E$12*12-SUM($G10:FJ10)-$E$10)</f>
        <v>3</v>
      </c>
      <c r="FL10" s="4833">
        <f>MIN(3,ROUND((FL8-Sensitivity!$E$11)/30,0)*(FL$8&gt;=Sensitivity!$E$11),Sensitivity!$E$12*12-SUM($G10:FK10)-$E$10)</f>
        <v>3</v>
      </c>
      <c r="FM10" s="4833">
        <f>MIN(3,ROUND((FM8-Sensitivity!$E$11)/30,0)*(FM$8&gt;=Sensitivity!$E$11),Sensitivity!$E$12*12-SUM($G10:FL10)-$E$10)</f>
        <v>0</v>
      </c>
      <c r="FN10" s="4833">
        <f>MIN(3,ROUND((FN8-Sensitivity!$E$11)/30,0)*(FN$8&gt;=Sensitivity!$E$11),Sensitivity!$E$12*12-SUM($G10:FM10)-$E$10)</f>
        <v>0</v>
      </c>
      <c r="FO10" s="4833">
        <f>MIN(3,ROUND((FO8-Sensitivity!$E$11)/30,0)*(FO$8&gt;=Sensitivity!$E$11),Sensitivity!$E$12*12-SUM($G10:FN10)-$E$10)</f>
        <v>0</v>
      </c>
      <c r="FP10" s="4833">
        <f>MIN(3,ROUND((FP8-Sensitivity!$E$11)/30,0)*(FP$8&gt;=Sensitivity!$E$11),Sensitivity!$E$12*12-SUM($G10:FO10)-$E$10)</f>
        <v>0</v>
      </c>
      <c r="FQ10" s="4833">
        <f>MIN(3,ROUND((FQ8-Sensitivity!$E$11)/30,0)*(FQ$8&gt;=Sensitivity!$E$11),Sensitivity!$E$12*12-SUM($G10:FP10)-$E$10)</f>
        <v>0</v>
      </c>
      <c r="FR10" s="4833">
        <f>MIN(3,ROUND((FR8-Sensitivity!$E$11)/30,0)*(FR$8&gt;=Sensitivity!$E$11),Sensitivity!$E$12*12-SUM($G10:FQ10)-$E$10)</f>
        <v>0</v>
      </c>
      <c r="FS10" s="4833">
        <f>MIN(3,ROUND((FS8-Sensitivity!$E$11)/30,0)*(FS$8&gt;=Sensitivity!$E$11),Sensitivity!$E$12*12-SUM($G10:FR10)-$E$10)</f>
        <v>0</v>
      </c>
      <c r="FT10" s="4833">
        <f>MIN(3,ROUND((FT8-Sensitivity!$E$11)/30,0)*(FT$8&gt;=Sensitivity!$E$11),Sensitivity!$E$12*12-SUM($G10:FS10)-$E$10)</f>
        <v>0</v>
      </c>
      <c r="FU10" s="4833">
        <f>MIN(3,ROUND((FU8-Sensitivity!$E$11)/30,0)*(FU$8&gt;=Sensitivity!$E$11),Sensitivity!$E$12*12-SUM($G10:FT10)-$E$10)</f>
        <v>0</v>
      </c>
      <c r="FV10" s="4833">
        <f>MIN(3,ROUND((FV8-Sensitivity!$E$11)/30,0)*(FV$8&gt;=Sensitivity!$E$11),Sensitivity!$E$12*12-SUM($G10:FU10)-$E$10)</f>
        <v>0</v>
      </c>
      <c r="FW10" s="4833">
        <f>MIN(3,ROUND((FW8-Sensitivity!$E$11)/30,0)*(FW$8&gt;=Sensitivity!$E$11),Sensitivity!$E$12*12-SUM($G10:FV10)-$E$10)</f>
        <v>0</v>
      </c>
      <c r="FX10" s="4833">
        <f>MIN(3,ROUND((FX8-Sensitivity!$E$11)/30,0)*(FX$8&gt;=Sensitivity!$E$11),Sensitivity!$E$12*12-SUM($G10:FW10)-$E$10)</f>
        <v>0</v>
      </c>
      <c r="FY10" s="4833">
        <f>MIN(3,ROUND((FY8-Sensitivity!$E$11)/30,0)*(FY$8&gt;=Sensitivity!$E$11),Sensitivity!$E$12*12-SUM($G10:FX10)-$E$10)</f>
        <v>0</v>
      </c>
      <c r="FZ10" s="4833">
        <f>MIN(3,ROUND((FZ8-Sensitivity!$E$11)/30,0)*(FZ$8&gt;=Sensitivity!$E$11),Sensitivity!$E$12*12-SUM($G10:FY10)-$E$10)</f>
        <v>0</v>
      </c>
      <c r="GA10" s="4833">
        <f>MIN(3,ROUND((GA8-Sensitivity!$E$11)/30,0)*(GA$8&gt;=Sensitivity!$E$11),Sensitivity!$E$12*12-SUM($G10:FZ10)-$E$10)</f>
        <v>0</v>
      </c>
      <c r="GB10" s="4833">
        <f>MIN(3,ROUND((GB8-Sensitivity!$E$11)/30,0)*(GB$8&gt;=Sensitivity!$E$11),Sensitivity!$E$12*12-SUM($G10:GA10)-$E$10)</f>
        <v>0</v>
      </c>
      <c r="GC10" s="4833">
        <f>MIN(3,ROUND((GC8-Sensitivity!$E$11)/30,0)*(GC$8&gt;=Sensitivity!$E$11),Sensitivity!$E$12*12-SUM($G10:GB10)-$E$10)</f>
        <v>0</v>
      </c>
      <c r="GD10" s="4833">
        <f>MIN(3,ROUND((GD8-Sensitivity!$E$11)/30,0)*(GD$8&gt;=Sensitivity!$E$11),Sensitivity!$E$12*12-SUM($G10:GC10)-$E$10)</f>
        <v>0</v>
      </c>
      <c r="GE10" s="644"/>
      <c r="GF10" s="644"/>
      <c r="GG10" s="644"/>
      <c r="GH10" s="644"/>
      <c r="GI10" s="644"/>
      <c r="GJ10" s="644"/>
      <c r="GK10" s="644"/>
      <c r="GL10" s="644"/>
      <c r="GM10" s="644"/>
      <c r="GN10" s="644"/>
      <c r="GO10" s="644"/>
      <c r="GP10" s="644"/>
      <c r="GQ10" s="644"/>
      <c r="GR10" s="644"/>
      <c r="GS10" s="644"/>
      <c r="GT10" s="644"/>
      <c r="GU10" s="644"/>
      <c r="GV10" s="644"/>
      <c r="GW10" s="644"/>
      <c r="GX10" s="644"/>
      <c r="GY10" s="644"/>
      <c r="GZ10" s="644"/>
      <c r="HA10" s="644"/>
      <c r="HB10" s="644"/>
      <c r="HC10" s="644"/>
      <c r="HD10" s="644"/>
      <c r="HE10" s="644"/>
      <c r="HF10" s="644"/>
      <c r="HG10" s="644"/>
      <c r="HH10" s="644"/>
      <c r="HI10" s="644"/>
      <c r="HJ10" s="644"/>
      <c r="HK10" s="644"/>
      <c r="HL10" s="644"/>
      <c r="HM10" s="644"/>
      <c r="HN10" s="644"/>
      <c r="HO10" s="644"/>
      <c r="HP10" s="644"/>
      <c r="HQ10" s="644"/>
      <c r="HR10" s="644"/>
    </row>
    <row r="11" spans="1:226" ht="14.25" customHeight="1">
      <c r="A11" s="302"/>
      <c r="B11" s="302"/>
      <c r="C11" s="4860"/>
      <c r="D11" s="4857" t="s">
        <v>778</v>
      </c>
      <c r="E11" s="4764"/>
      <c r="F11" s="4861">
        <f>SUM(G10:GD10)</f>
        <v>486</v>
      </c>
      <c r="G11" s="4863">
        <f>MAX(SUM(G10:J10),0.000001)</f>
        <v>12</v>
      </c>
      <c r="H11" s="4863">
        <f>G11</f>
        <v>12</v>
      </c>
      <c r="I11" s="4863">
        <f>H11</f>
        <v>12</v>
      </c>
      <c r="J11" s="4863">
        <f>I11</f>
        <v>12</v>
      </c>
      <c r="K11" s="4863">
        <f>MAX(SUM(K10:N10),0.000001)</f>
        <v>12</v>
      </c>
      <c r="L11" s="4863">
        <f t="shared" ref="L11:BV11" si="6">K11</f>
        <v>12</v>
      </c>
      <c r="M11" s="4863">
        <f t="shared" si="6"/>
        <v>12</v>
      </c>
      <c r="N11" s="4863">
        <f t="shared" si="6"/>
        <v>12</v>
      </c>
      <c r="O11" s="4862">
        <f>MAX(SUM(O10:R10),0.000001)</f>
        <v>12</v>
      </c>
      <c r="P11" s="4862">
        <f>O11</f>
        <v>12</v>
      </c>
      <c r="Q11" s="4862">
        <f t="shared" si="6"/>
        <v>12</v>
      </c>
      <c r="R11" s="4862">
        <f t="shared" si="6"/>
        <v>12</v>
      </c>
      <c r="S11" s="4862">
        <f>MAX(SUM(S10:V10),0.000001)</f>
        <v>12</v>
      </c>
      <c r="T11" s="4862">
        <f>S11</f>
        <v>12</v>
      </c>
      <c r="U11" s="4862">
        <f t="shared" si="6"/>
        <v>12</v>
      </c>
      <c r="V11" s="4862">
        <f t="shared" si="6"/>
        <v>12</v>
      </c>
      <c r="W11" s="4862">
        <f>MAX(SUM(W10:Z10),0.000001)</f>
        <v>12</v>
      </c>
      <c r="X11" s="4862">
        <f>W11</f>
        <v>12</v>
      </c>
      <c r="Y11" s="4862">
        <f t="shared" si="6"/>
        <v>12</v>
      </c>
      <c r="Z11" s="4862">
        <f t="shared" si="6"/>
        <v>12</v>
      </c>
      <c r="AA11" s="4862">
        <f>MAX(SUM(AA10:AD10),0.000001)</f>
        <v>12</v>
      </c>
      <c r="AB11" s="4862">
        <f>AA11</f>
        <v>12</v>
      </c>
      <c r="AC11" s="4862">
        <f t="shared" si="6"/>
        <v>12</v>
      </c>
      <c r="AD11" s="4862">
        <f t="shared" si="6"/>
        <v>12</v>
      </c>
      <c r="AE11" s="4862">
        <f>MAX(SUM(AE10:AH10),0.000001)</f>
        <v>12</v>
      </c>
      <c r="AF11" s="4862">
        <f>AE11</f>
        <v>12</v>
      </c>
      <c r="AG11" s="4862">
        <f t="shared" si="6"/>
        <v>12</v>
      </c>
      <c r="AH11" s="4862">
        <f t="shared" si="6"/>
        <v>12</v>
      </c>
      <c r="AI11" s="4862">
        <f>MAX(SUM(AI10:AL10),0.000001)</f>
        <v>12</v>
      </c>
      <c r="AJ11" s="4862">
        <f>AI11</f>
        <v>12</v>
      </c>
      <c r="AK11" s="4862">
        <f t="shared" si="6"/>
        <v>12</v>
      </c>
      <c r="AL11" s="4862">
        <f t="shared" si="6"/>
        <v>12</v>
      </c>
      <c r="AM11" s="4862">
        <f>MAX(SUM(AM10:AP10),0.000001)</f>
        <v>12</v>
      </c>
      <c r="AN11" s="4862">
        <f>AM11</f>
        <v>12</v>
      </c>
      <c r="AO11" s="4862">
        <f t="shared" si="6"/>
        <v>12</v>
      </c>
      <c r="AP11" s="4862">
        <f t="shared" si="6"/>
        <v>12</v>
      </c>
      <c r="AQ11" s="4862">
        <f>MAX(SUM(AQ10:AT10),0.000001)</f>
        <v>12</v>
      </c>
      <c r="AR11" s="4862">
        <f>AQ11</f>
        <v>12</v>
      </c>
      <c r="AS11" s="4862">
        <f t="shared" si="6"/>
        <v>12</v>
      </c>
      <c r="AT11" s="4862">
        <f t="shared" si="6"/>
        <v>12</v>
      </c>
      <c r="AU11" s="4862">
        <f>MAX(SUM(AU10:AX10),0.000001)</f>
        <v>12</v>
      </c>
      <c r="AV11" s="4862">
        <f>AU11</f>
        <v>12</v>
      </c>
      <c r="AW11" s="4862">
        <f t="shared" si="6"/>
        <v>12</v>
      </c>
      <c r="AX11" s="4862">
        <f t="shared" si="6"/>
        <v>12</v>
      </c>
      <c r="AY11" s="4862">
        <f>MAX(SUM(AY10:BB10),0.000001)</f>
        <v>12</v>
      </c>
      <c r="AZ11" s="4862">
        <f>AY11</f>
        <v>12</v>
      </c>
      <c r="BA11" s="4862">
        <f t="shared" si="6"/>
        <v>12</v>
      </c>
      <c r="BB11" s="4862">
        <f t="shared" si="6"/>
        <v>12</v>
      </c>
      <c r="BC11" s="4862">
        <f>MAX(SUM(BC10:BF10),0.000001)</f>
        <v>12</v>
      </c>
      <c r="BD11" s="4862">
        <f>BC11</f>
        <v>12</v>
      </c>
      <c r="BE11" s="4862">
        <f t="shared" si="6"/>
        <v>12</v>
      </c>
      <c r="BF11" s="4862">
        <f t="shared" si="6"/>
        <v>12</v>
      </c>
      <c r="BG11" s="4862">
        <f>MAX(SUM(BG10:BJ10),0.000001)</f>
        <v>12</v>
      </c>
      <c r="BH11" s="4862">
        <f>BG11</f>
        <v>12</v>
      </c>
      <c r="BI11" s="4862">
        <f t="shared" si="6"/>
        <v>12</v>
      </c>
      <c r="BJ11" s="4862">
        <f t="shared" si="6"/>
        <v>12</v>
      </c>
      <c r="BK11" s="4862">
        <f>MAX(SUM(BK10:BN10),0.000001)</f>
        <v>12</v>
      </c>
      <c r="BL11" s="4862">
        <f>BK11</f>
        <v>12</v>
      </c>
      <c r="BM11" s="4862">
        <f t="shared" si="6"/>
        <v>12</v>
      </c>
      <c r="BN11" s="4862">
        <f t="shared" si="6"/>
        <v>12</v>
      </c>
      <c r="BO11" s="4862">
        <f>MAX(SUM(BO10:BR10),0.000001)</f>
        <v>12</v>
      </c>
      <c r="BP11" s="4862">
        <f>BO11</f>
        <v>12</v>
      </c>
      <c r="BQ11" s="4862">
        <f t="shared" si="6"/>
        <v>12</v>
      </c>
      <c r="BR11" s="4862">
        <f t="shared" si="6"/>
        <v>12</v>
      </c>
      <c r="BS11" s="4862">
        <f>MAX(SUM(BS10:BV10),0.000001)</f>
        <v>12</v>
      </c>
      <c r="BT11" s="4862">
        <f>BS11</f>
        <v>12</v>
      </c>
      <c r="BU11" s="4862">
        <f t="shared" si="6"/>
        <v>12</v>
      </c>
      <c r="BV11" s="4862">
        <f t="shared" si="6"/>
        <v>12</v>
      </c>
      <c r="BW11" s="4862">
        <f>MAX(SUM(BW10:BZ10),0.000001)</f>
        <v>12</v>
      </c>
      <c r="BX11" s="4862">
        <f t="shared" ref="BX11:EH11" si="7">BW11</f>
        <v>12</v>
      </c>
      <c r="BY11" s="4862">
        <f t="shared" si="7"/>
        <v>12</v>
      </c>
      <c r="BZ11" s="4862">
        <f t="shared" si="7"/>
        <v>12</v>
      </c>
      <c r="CA11" s="4862">
        <f>MAX(SUM(CA10:CD10),0.000001)</f>
        <v>12</v>
      </c>
      <c r="CB11" s="4862">
        <f>CA11</f>
        <v>12</v>
      </c>
      <c r="CC11" s="4862">
        <f t="shared" si="7"/>
        <v>12</v>
      </c>
      <c r="CD11" s="4862">
        <f t="shared" si="7"/>
        <v>12</v>
      </c>
      <c r="CE11" s="4862">
        <f>MAX(SUM(CE10:CH10),0.000001)</f>
        <v>12</v>
      </c>
      <c r="CF11" s="4862">
        <f>CE11</f>
        <v>12</v>
      </c>
      <c r="CG11" s="4862">
        <f t="shared" si="7"/>
        <v>12</v>
      </c>
      <c r="CH11" s="4862">
        <f t="shared" si="7"/>
        <v>12</v>
      </c>
      <c r="CI11" s="4862">
        <f>MAX(SUM(CI10:CL10),0.000001)</f>
        <v>12</v>
      </c>
      <c r="CJ11" s="4862">
        <f>CI11</f>
        <v>12</v>
      </c>
      <c r="CK11" s="4862">
        <f t="shared" si="7"/>
        <v>12</v>
      </c>
      <c r="CL11" s="4862">
        <f t="shared" si="7"/>
        <v>12</v>
      </c>
      <c r="CM11" s="4862">
        <f>MAX(SUM(CM10:CP10),0.000001)</f>
        <v>12</v>
      </c>
      <c r="CN11" s="4862">
        <f>CM11</f>
        <v>12</v>
      </c>
      <c r="CO11" s="4862">
        <f t="shared" si="7"/>
        <v>12</v>
      </c>
      <c r="CP11" s="4862">
        <f t="shared" si="7"/>
        <v>12</v>
      </c>
      <c r="CQ11" s="4862">
        <f>MAX(SUM(CQ10:CT10),0.000001)</f>
        <v>12</v>
      </c>
      <c r="CR11" s="4862">
        <f>CQ11</f>
        <v>12</v>
      </c>
      <c r="CS11" s="4862">
        <f t="shared" si="7"/>
        <v>12</v>
      </c>
      <c r="CT11" s="4862">
        <f t="shared" si="7"/>
        <v>12</v>
      </c>
      <c r="CU11" s="4862">
        <f>MAX(SUM(CU10:CX10),0.000001)</f>
        <v>12</v>
      </c>
      <c r="CV11" s="4862">
        <f>CU11</f>
        <v>12</v>
      </c>
      <c r="CW11" s="4862">
        <f t="shared" si="7"/>
        <v>12</v>
      </c>
      <c r="CX11" s="4862">
        <f t="shared" si="7"/>
        <v>12</v>
      </c>
      <c r="CY11" s="4862">
        <f>MAX(SUM(CY10:DB10),0.000001)</f>
        <v>12</v>
      </c>
      <c r="CZ11" s="4862">
        <f>CY11</f>
        <v>12</v>
      </c>
      <c r="DA11" s="4862">
        <f t="shared" si="7"/>
        <v>12</v>
      </c>
      <c r="DB11" s="4862">
        <f t="shared" si="7"/>
        <v>12</v>
      </c>
      <c r="DC11" s="4862">
        <f>MAX(SUM(DC10:DF10),0.000001)</f>
        <v>12</v>
      </c>
      <c r="DD11" s="4862">
        <f>DC11</f>
        <v>12</v>
      </c>
      <c r="DE11" s="4862">
        <f t="shared" si="7"/>
        <v>12</v>
      </c>
      <c r="DF11" s="4862">
        <f t="shared" si="7"/>
        <v>12</v>
      </c>
      <c r="DG11" s="4862">
        <f>MAX(SUM(DG10:DJ10),0.000001)</f>
        <v>12</v>
      </c>
      <c r="DH11" s="4862">
        <f>DG11</f>
        <v>12</v>
      </c>
      <c r="DI11" s="4862">
        <f t="shared" si="7"/>
        <v>12</v>
      </c>
      <c r="DJ11" s="4862">
        <f t="shared" si="7"/>
        <v>12</v>
      </c>
      <c r="DK11" s="4862">
        <f>MAX(SUM(DK10:DN10),0.000001)</f>
        <v>12</v>
      </c>
      <c r="DL11" s="4862">
        <f>DK11</f>
        <v>12</v>
      </c>
      <c r="DM11" s="4862">
        <f t="shared" si="7"/>
        <v>12</v>
      </c>
      <c r="DN11" s="4862">
        <f t="shared" si="7"/>
        <v>12</v>
      </c>
      <c r="DO11" s="4862">
        <f>MAX(SUM(DO10:DR10),0.000001)</f>
        <v>12</v>
      </c>
      <c r="DP11" s="4862">
        <f>DO11</f>
        <v>12</v>
      </c>
      <c r="DQ11" s="4862">
        <f t="shared" si="7"/>
        <v>12</v>
      </c>
      <c r="DR11" s="4862">
        <f t="shared" si="7"/>
        <v>12</v>
      </c>
      <c r="DS11" s="4862">
        <f>MAX(SUM(DS10:DV10),0.000001)</f>
        <v>12</v>
      </c>
      <c r="DT11" s="4862">
        <f>DS11</f>
        <v>12</v>
      </c>
      <c r="DU11" s="4862">
        <f t="shared" si="7"/>
        <v>12</v>
      </c>
      <c r="DV11" s="4862">
        <f t="shared" si="7"/>
        <v>12</v>
      </c>
      <c r="DW11" s="4862">
        <f>MAX(SUM(DW10:DZ10),0.000001)</f>
        <v>12</v>
      </c>
      <c r="DX11" s="4862">
        <f>DW11</f>
        <v>12</v>
      </c>
      <c r="DY11" s="4862">
        <f t="shared" si="7"/>
        <v>12</v>
      </c>
      <c r="DZ11" s="4862">
        <f t="shared" si="7"/>
        <v>12</v>
      </c>
      <c r="EA11" s="4862">
        <f>MAX(SUM(EA10:ED10),0.000001)</f>
        <v>12</v>
      </c>
      <c r="EB11" s="4862">
        <f>EA11</f>
        <v>12</v>
      </c>
      <c r="EC11" s="4862">
        <f t="shared" si="7"/>
        <v>12</v>
      </c>
      <c r="ED11" s="4862">
        <f t="shared" si="7"/>
        <v>12</v>
      </c>
      <c r="EE11" s="4862">
        <f>MAX(SUM(EE10:EH10),0.000001)</f>
        <v>12</v>
      </c>
      <c r="EF11" s="4862">
        <f>EE11</f>
        <v>12</v>
      </c>
      <c r="EG11" s="4862">
        <f t="shared" si="7"/>
        <v>12</v>
      </c>
      <c r="EH11" s="4862">
        <f t="shared" si="7"/>
        <v>12</v>
      </c>
      <c r="EI11" s="4862">
        <f>MAX(SUM(EI10:EL10),0.000001)</f>
        <v>12</v>
      </c>
      <c r="EJ11" s="4862">
        <f t="shared" ref="EJ11:GD11" si="8">EI11</f>
        <v>12</v>
      </c>
      <c r="EK11" s="4862">
        <f t="shared" si="8"/>
        <v>12</v>
      </c>
      <c r="EL11" s="4862">
        <f t="shared" si="8"/>
        <v>12</v>
      </c>
      <c r="EM11" s="4862">
        <f>MAX(SUM(EM10:EP10),0.000001)</f>
        <v>12</v>
      </c>
      <c r="EN11" s="4862">
        <f>EM11</f>
        <v>12</v>
      </c>
      <c r="EO11" s="4862">
        <f t="shared" si="8"/>
        <v>12</v>
      </c>
      <c r="EP11" s="4862">
        <f t="shared" si="8"/>
        <v>12</v>
      </c>
      <c r="EQ11" s="4862">
        <f>MAX(SUM(EQ10:ET10),0.000001)</f>
        <v>12</v>
      </c>
      <c r="ER11" s="4862">
        <f>EQ11</f>
        <v>12</v>
      </c>
      <c r="ES11" s="4862">
        <f t="shared" si="8"/>
        <v>12</v>
      </c>
      <c r="ET11" s="4862">
        <f t="shared" si="8"/>
        <v>12</v>
      </c>
      <c r="EU11" s="4862">
        <f>MAX(SUM(EU10:EX10),0.000001)</f>
        <v>12</v>
      </c>
      <c r="EV11" s="4862">
        <f>EU11</f>
        <v>12</v>
      </c>
      <c r="EW11" s="4862">
        <f t="shared" si="8"/>
        <v>12</v>
      </c>
      <c r="EX11" s="4862">
        <f t="shared" si="8"/>
        <v>12</v>
      </c>
      <c r="EY11" s="4862">
        <f>MAX(SUM(EY10:FB10),0.000001)</f>
        <v>12</v>
      </c>
      <c r="EZ11" s="4862">
        <f>EY11</f>
        <v>12</v>
      </c>
      <c r="FA11" s="4862">
        <f t="shared" si="8"/>
        <v>12</v>
      </c>
      <c r="FB11" s="4862">
        <f t="shared" si="8"/>
        <v>12</v>
      </c>
      <c r="FC11" s="4862">
        <f>MAX(SUM(FC10:FF10),0.000001)</f>
        <v>12</v>
      </c>
      <c r="FD11" s="4862">
        <f>FC11</f>
        <v>12</v>
      </c>
      <c r="FE11" s="4862">
        <f t="shared" si="8"/>
        <v>12</v>
      </c>
      <c r="FF11" s="4862">
        <f t="shared" si="8"/>
        <v>12</v>
      </c>
      <c r="FG11" s="4862">
        <f>MAX(SUM(FG10:FJ10),0.000001)</f>
        <v>12</v>
      </c>
      <c r="FH11" s="4862">
        <f>FG11</f>
        <v>12</v>
      </c>
      <c r="FI11" s="4862">
        <f t="shared" si="8"/>
        <v>12</v>
      </c>
      <c r="FJ11" s="4862">
        <f t="shared" si="8"/>
        <v>12</v>
      </c>
      <c r="FK11" s="4862">
        <f>MAX(SUM(FK10:FN10),0.000001)</f>
        <v>6</v>
      </c>
      <c r="FL11" s="4862">
        <f>FK11</f>
        <v>6</v>
      </c>
      <c r="FM11" s="4862">
        <f t="shared" si="8"/>
        <v>6</v>
      </c>
      <c r="FN11" s="4862">
        <f t="shared" si="8"/>
        <v>6</v>
      </c>
      <c r="FO11" s="4862">
        <f>MAX(SUM(FO10:FR10),0.000001)</f>
        <v>9.9999999999999995E-7</v>
      </c>
      <c r="FP11" s="4862">
        <f>FO11</f>
        <v>9.9999999999999995E-7</v>
      </c>
      <c r="FQ11" s="4862">
        <f t="shared" si="8"/>
        <v>9.9999999999999995E-7</v>
      </c>
      <c r="FR11" s="4862">
        <f t="shared" si="8"/>
        <v>9.9999999999999995E-7</v>
      </c>
      <c r="FS11" s="4862">
        <f>MAX(SUM(FS10:FV10),0.000001)</f>
        <v>9.9999999999999995E-7</v>
      </c>
      <c r="FT11" s="4862">
        <f>FS11</f>
        <v>9.9999999999999995E-7</v>
      </c>
      <c r="FU11" s="4862">
        <f t="shared" si="8"/>
        <v>9.9999999999999995E-7</v>
      </c>
      <c r="FV11" s="4862">
        <f t="shared" si="8"/>
        <v>9.9999999999999995E-7</v>
      </c>
      <c r="FW11" s="4862">
        <f>MAX(SUM(FW10:FZ10),0.000001)</f>
        <v>9.9999999999999995E-7</v>
      </c>
      <c r="FX11" s="4862">
        <f>FW11</f>
        <v>9.9999999999999995E-7</v>
      </c>
      <c r="FY11" s="4862">
        <f t="shared" si="8"/>
        <v>9.9999999999999995E-7</v>
      </c>
      <c r="FZ11" s="4862">
        <f t="shared" si="8"/>
        <v>9.9999999999999995E-7</v>
      </c>
      <c r="GA11" s="4862">
        <f>MAX(SUM(GA10:GD10),0.000001)</f>
        <v>9.9999999999999995E-7</v>
      </c>
      <c r="GB11" s="4862">
        <f>GA11</f>
        <v>9.9999999999999995E-7</v>
      </c>
      <c r="GC11" s="4862">
        <f t="shared" si="8"/>
        <v>9.9999999999999995E-7</v>
      </c>
      <c r="GD11" s="4862">
        <f t="shared" si="8"/>
        <v>9.9999999999999995E-7</v>
      </c>
      <c r="GE11" s="302"/>
      <c r="GF11" s="302"/>
      <c r="GG11" s="302"/>
      <c r="GH11" s="302"/>
      <c r="GI11" s="302"/>
      <c r="GJ11" s="302"/>
      <c r="GK11" s="302"/>
      <c r="GL11" s="302"/>
      <c r="GM11" s="302"/>
      <c r="GN11" s="302"/>
      <c r="GO11" s="302"/>
      <c r="GP11" s="302"/>
      <c r="GQ11" s="302"/>
      <c r="GR11" s="302"/>
      <c r="GS11" s="302"/>
      <c r="GT11" s="302"/>
      <c r="GU11" s="302"/>
      <c r="GV11" s="302"/>
      <c r="GW11" s="302"/>
      <c r="GX11" s="302"/>
      <c r="GY11" s="302"/>
      <c r="GZ11" s="302"/>
      <c r="HA11" s="302"/>
      <c r="HB11" s="302"/>
      <c r="HC11" s="302"/>
      <c r="HD11" s="302"/>
      <c r="HE11" s="302"/>
      <c r="HF11" s="302"/>
      <c r="HG11" s="302"/>
      <c r="HH11" s="302"/>
      <c r="HI11" s="302"/>
      <c r="HJ11" s="302"/>
      <c r="HK11" s="302"/>
      <c r="HL11" s="302"/>
      <c r="HM11" s="302"/>
      <c r="HN11" s="302"/>
      <c r="HO11" s="302"/>
      <c r="HP11" s="302"/>
      <c r="HQ11" s="302"/>
      <c r="HR11" s="302"/>
    </row>
    <row r="12" spans="1:226" ht="14.25" customHeight="1">
      <c r="A12" s="302"/>
      <c r="B12" s="302"/>
      <c r="C12" s="451"/>
      <c r="D12" s="396"/>
      <c r="E12" s="302"/>
      <c r="F12" s="461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2"/>
      <c r="S12" s="302"/>
      <c r="T12" s="302"/>
      <c r="U12" s="302"/>
      <c r="V12" s="302"/>
      <c r="W12" s="302"/>
      <c r="X12" s="302"/>
      <c r="Y12" s="302"/>
      <c r="Z12" s="302"/>
      <c r="AA12" s="302"/>
      <c r="AB12" s="302"/>
      <c r="AC12" s="302"/>
      <c r="AD12" s="302"/>
      <c r="AE12" s="302"/>
      <c r="AF12" s="302"/>
      <c r="AG12" s="302"/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  <c r="CG12" s="302"/>
      <c r="CH12" s="302"/>
      <c r="CI12" s="302"/>
      <c r="CJ12" s="302"/>
      <c r="CK12" s="302"/>
      <c r="CL12" s="302"/>
      <c r="CM12" s="302"/>
      <c r="CN12" s="302"/>
      <c r="CO12" s="302"/>
      <c r="CP12" s="302"/>
      <c r="CQ12" s="302"/>
      <c r="CR12" s="302"/>
      <c r="CS12" s="302"/>
      <c r="CT12" s="302"/>
      <c r="CU12" s="302"/>
      <c r="CV12" s="302"/>
      <c r="CW12" s="302"/>
      <c r="CX12" s="302"/>
      <c r="CY12" s="302"/>
      <c r="CZ12" s="302"/>
      <c r="DA12" s="302"/>
      <c r="DB12" s="302"/>
      <c r="DC12" s="302"/>
      <c r="DD12" s="302"/>
      <c r="DE12" s="302"/>
      <c r="DF12" s="302"/>
      <c r="DG12" s="302"/>
      <c r="DH12" s="302"/>
      <c r="DI12" s="302"/>
      <c r="DJ12" s="302"/>
      <c r="DK12" s="302"/>
      <c r="DL12" s="302"/>
      <c r="DM12" s="302"/>
      <c r="DN12" s="302"/>
      <c r="DO12" s="302"/>
      <c r="DP12" s="302"/>
      <c r="DQ12" s="302"/>
      <c r="DR12" s="302"/>
      <c r="DS12" s="302"/>
      <c r="DT12" s="302"/>
      <c r="DU12" s="302"/>
      <c r="DV12" s="302"/>
      <c r="DW12" s="302"/>
      <c r="DX12" s="302"/>
      <c r="DY12" s="302"/>
      <c r="DZ12" s="302"/>
      <c r="EA12" s="302"/>
      <c r="EB12" s="302"/>
      <c r="EC12" s="302"/>
      <c r="ED12" s="302"/>
      <c r="EE12" s="302"/>
      <c r="EF12" s="302"/>
      <c r="EG12" s="302"/>
      <c r="EH12" s="302"/>
      <c r="EI12" s="302"/>
      <c r="EJ12" s="302"/>
      <c r="EK12" s="302"/>
      <c r="EL12" s="302"/>
      <c r="EM12" s="302"/>
      <c r="EN12" s="302"/>
      <c r="EO12" s="302"/>
      <c r="EP12" s="302"/>
      <c r="EQ12" s="302"/>
      <c r="ER12" s="302"/>
      <c r="ES12" s="302"/>
      <c r="ET12" s="302"/>
      <c r="EU12" s="302"/>
      <c r="EV12" s="302"/>
      <c r="EW12" s="302"/>
      <c r="EX12" s="302"/>
      <c r="EY12" s="302"/>
      <c r="EZ12" s="302"/>
      <c r="FA12" s="302"/>
      <c r="FB12" s="302"/>
      <c r="FC12" s="302"/>
      <c r="FD12" s="302"/>
      <c r="FE12" s="302"/>
      <c r="FF12" s="302"/>
      <c r="FG12" s="302"/>
      <c r="FH12" s="302"/>
      <c r="FI12" s="302"/>
      <c r="FJ12" s="302"/>
      <c r="FK12" s="302"/>
      <c r="FL12" s="302"/>
      <c r="FM12" s="302"/>
      <c r="FN12" s="302"/>
      <c r="FO12" s="302"/>
      <c r="FP12" s="302"/>
      <c r="FQ12" s="302"/>
      <c r="FR12" s="302"/>
      <c r="FS12" s="302"/>
      <c r="FT12" s="302"/>
      <c r="FU12" s="302"/>
      <c r="FV12" s="302"/>
      <c r="FW12" s="302"/>
      <c r="FX12" s="302"/>
      <c r="FY12" s="302"/>
      <c r="FZ12" s="302"/>
      <c r="GA12" s="302"/>
      <c r="GB12" s="302"/>
      <c r="GC12" s="302"/>
      <c r="GD12" s="302"/>
      <c r="GE12" s="302"/>
      <c r="GF12" s="302"/>
      <c r="GG12" s="302"/>
      <c r="GH12" s="302"/>
      <c r="GI12" s="302"/>
      <c r="GJ12" s="302"/>
      <c r="GK12" s="302"/>
      <c r="GL12" s="302"/>
      <c r="GM12" s="302"/>
      <c r="GN12" s="302"/>
      <c r="GO12" s="302"/>
      <c r="GP12" s="302"/>
      <c r="GQ12" s="302"/>
      <c r="GR12" s="302"/>
      <c r="GS12" s="302"/>
      <c r="GT12" s="302"/>
      <c r="GU12" s="302"/>
      <c r="GV12" s="302"/>
      <c r="GW12" s="302"/>
      <c r="GX12" s="302"/>
      <c r="GY12" s="302"/>
      <c r="GZ12" s="302"/>
      <c r="HA12" s="302"/>
      <c r="HB12" s="302"/>
      <c r="HC12" s="302"/>
      <c r="HD12" s="302"/>
      <c r="HE12" s="302"/>
      <c r="HF12" s="302"/>
      <c r="HG12" s="302"/>
      <c r="HH12" s="302"/>
      <c r="HI12" s="302"/>
      <c r="HJ12" s="302"/>
      <c r="HK12" s="302"/>
      <c r="HL12" s="302"/>
      <c r="HM12" s="302"/>
      <c r="HN12" s="302"/>
      <c r="HO12" s="302"/>
      <c r="HP12" s="302"/>
      <c r="HQ12" s="302"/>
      <c r="HR12" s="302"/>
    </row>
    <row r="13" spans="1:226" ht="14.25" customHeight="1">
      <c r="A13" s="302"/>
      <c r="B13" s="414" t="s">
        <v>779</v>
      </c>
      <c r="C13" s="302"/>
      <c r="D13" s="302"/>
      <c r="E13" s="302"/>
      <c r="F13" s="302"/>
      <c r="G13" s="646"/>
      <c r="H13" s="646"/>
      <c r="I13" s="646"/>
      <c r="J13" s="646"/>
      <c r="K13" s="646"/>
      <c r="L13" s="302"/>
      <c r="M13" s="461"/>
      <c r="N13" s="302"/>
      <c r="O13" s="302"/>
      <c r="P13" s="302"/>
      <c r="Q13" s="302"/>
      <c r="R13" s="302"/>
      <c r="S13" s="302"/>
      <c r="T13" s="302"/>
      <c r="U13" s="302"/>
      <c r="V13" s="302"/>
      <c r="W13" s="302"/>
      <c r="X13" s="302"/>
      <c r="Y13" s="302"/>
      <c r="Z13" s="302"/>
      <c r="AA13" s="302"/>
      <c r="AB13" s="302"/>
      <c r="AC13" s="302"/>
      <c r="AD13" s="302"/>
      <c r="AE13" s="302"/>
      <c r="AF13" s="302"/>
      <c r="AG13" s="302"/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  <c r="CG13" s="302"/>
      <c r="CH13" s="302"/>
      <c r="CI13" s="302"/>
      <c r="CJ13" s="302"/>
      <c r="CK13" s="302"/>
      <c r="CL13" s="302"/>
      <c r="CM13" s="302"/>
      <c r="CN13" s="302"/>
      <c r="CO13" s="302"/>
      <c r="CP13" s="302"/>
      <c r="CQ13" s="302"/>
      <c r="CR13" s="302"/>
      <c r="CS13" s="302"/>
      <c r="CT13" s="302"/>
      <c r="CU13" s="302"/>
      <c r="CV13" s="302"/>
      <c r="CW13" s="302"/>
      <c r="CX13" s="302"/>
      <c r="CY13" s="302"/>
      <c r="CZ13" s="302"/>
      <c r="DA13" s="302"/>
      <c r="DB13" s="302"/>
      <c r="DC13" s="302"/>
      <c r="DD13" s="302"/>
      <c r="DE13" s="302"/>
      <c r="DF13" s="302"/>
      <c r="DG13" s="302"/>
      <c r="DH13" s="302"/>
      <c r="DI13" s="302"/>
      <c r="DJ13" s="302"/>
      <c r="DK13" s="302"/>
      <c r="DL13" s="302"/>
      <c r="DM13" s="302"/>
      <c r="DN13" s="302"/>
      <c r="DO13" s="302"/>
      <c r="DP13" s="302"/>
      <c r="DQ13" s="302"/>
      <c r="DR13" s="302"/>
      <c r="DS13" s="302"/>
      <c r="DT13" s="302"/>
      <c r="DU13" s="302"/>
      <c r="DV13" s="302"/>
      <c r="DW13" s="302"/>
      <c r="DX13" s="302"/>
      <c r="DY13" s="302"/>
      <c r="DZ13" s="302"/>
      <c r="EA13" s="302"/>
      <c r="EB13" s="302"/>
      <c r="EC13" s="302"/>
      <c r="ED13" s="302"/>
      <c r="EE13" s="302"/>
      <c r="EF13" s="302"/>
      <c r="EG13" s="302"/>
      <c r="EH13" s="302"/>
      <c r="EI13" s="302"/>
      <c r="EJ13" s="302"/>
      <c r="EK13" s="302"/>
      <c r="EL13" s="302"/>
      <c r="EM13" s="302"/>
      <c r="EN13" s="302"/>
      <c r="EO13" s="302"/>
      <c r="EP13" s="302"/>
      <c r="EQ13" s="302"/>
      <c r="ER13" s="302"/>
      <c r="ES13" s="302"/>
      <c r="ET13" s="302"/>
      <c r="EU13" s="302"/>
      <c r="EV13" s="302"/>
      <c r="EW13" s="302"/>
      <c r="EX13" s="302"/>
      <c r="EY13" s="302"/>
      <c r="EZ13" s="302"/>
      <c r="FA13" s="302"/>
      <c r="FB13" s="302"/>
      <c r="FC13" s="302"/>
      <c r="FD13" s="302"/>
      <c r="FE13" s="302"/>
      <c r="FF13" s="302"/>
      <c r="FG13" s="302"/>
      <c r="FH13" s="302"/>
      <c r="FI13" s="302"/>
      <c r="FJ13" s="302"/>
      <c r="FK13" s="302"/>
      <c r="FL13" s="302"/>
      <c r="FM13" s="302"/>
      <c r="FN13" s="302"/>
      <c r="FO13" s="302"/>
      <c r="FP13" s="302"/>
      <c r="FQ13" s="302"/>
      <c r="FR13" s="302"/>
      <c r="FS13" s="302"/>
      <c r="FT13" s="302"/>
      <c r="FU13" s="302"/>
      <c r="FV13" s="302"/>
      <c r="FW13" s="302"/>
      <c r="FX13" s="302"/>
      <c r="FY13" s="302"/>
      <c r="FZ13" s="302"/>
      <c r="GA13" s="302"/>
      <c r="GB13" s="302"/>
      <c r="GC13" s="302"/>
      <c r="GD13" s="302"/>
      <c r="GE13" s="302"/>
      <c r="GF13" s="302"/>
      <c r="GG13" s="302"/>
      <c r="GH13" s="302"/>
      <c r="GI13" s="302"/>
      <c r="GJ13" s="302"/>
      <c r="GK13" s="302"/>
      <c r="GL13" s="302"/>
      <c r="GM13" s="302"/>
      <c r="GN13" s="302"/>
      <c r="GO13" s="302"/>
      <c r="GP13" s="302"/>
      <c r="GQ13" s="302"/>
      <c r="GR13" s="302"/>
      <c r="GS13" s="302"/>
      <c r="GT13" s="302"/>
      <c r="GU13" s="302"/>
      <c r="GV13" s="302"/>
      <c r="GW13" s="302"/>
      <c r="GX13" s="302"/>
      <c r="GY13" s="302"/>
      <c r="GZ13" s="302"/>
      <c r="HA13" s="302"/>
      <c r="HB13" s="302"/>
      <c r="HC13" s="302"/>
      <c r="HD13" s="302"/>
      <c r="HE13" s="302"/>
      <c r="HF13" s="302"/>
      <c r="HG13" s="302"/>
      <c r="HH13" s="302"/>
      <c r="HI13" s="302"/>
      <c r="HJ13" s="302"/>
      <c r="HK13" s="302"/>
      <c r="HL13" s="302"/>
      <c r="HM13" s="302"/>
      <c r="HN13" s="302"/>
      <c r="HO13" s="302"/>
      <c r="HP13" s="302"/>
      <c r="HQ13" s="302"/>
      <c r="HR13" s="302"/>
    </row>
    <row r="14" spans="1:226" ht="14.25" customHeight="1">
      <c r="A14" s="302"/>
      <c r="B14" s="302"/>
      <c r="C14" s="302"/>
      <c r="D14" s="302"/>
      <c r="E14" s="302"/>
      <c r="F14" s="302"/>
      <c r="G14" s="302"/>
      <c r="H14" s="302"/>
      <c r="I14" s="302"/>
      <c r="J14" s="302"/>
      <c r="K14" s="302"/>
      <c r="L14" s="302"/>
      <c r="M14" s="302"/>
      <c r="N14" s="302"/>
      <c r="O14" s="302"/>
      <c r="P14" s="302"/>
      <c r="Q14" s="302"/>
      <c r="R14" s="302"/>
      <c r="S14" s="302"/>
      <c r="T14" s="302"/>
      <c r="U14" s="302"/>
      <c r="V14" s="302"/>
      <c r="W14" s="302"/>
      <c r="X14" s="302"/>
      <c r="Y14" s="302"/>
      <c r="Z14" s="302"/>
      <c r="AA14" s="302"/>
      <c r="AB14" s="302"/>
      <c r="AC14" s="302"/>
      <c r="AD14" s="302"/>
      <c r="AE14" s="302"/>
      <c r="AF14" s="302"/>
      <c r="AG14" s="302"/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  <c r="CG14" s="302"/>
      <c r="CH14" s="302"/>
      <c r="CI14" s="302"/>
      <c r="CJ14" s="302"/>
      <c r="CK14" s="302"/>
      <c r="CL14" s="302"/>
      <c r="CM14" s="302"/>
      <c r="CN14" s="302"/>
      <c r="CO14" s="302"/>
      <c r="CP14" s="302"/>
      <c r="CQ14" s="302"/>
      <c r="CR14" s="302"/>
      <c r="CS14" s="302"/>
      <c r="CT14" s="302"/>
      <c r="CU14" s="302"/>
      <c r="CV14" s="302"/>
      <c r="CW14" s="302"/>
      <c r="CX14" s="302"/>
      <c r="CY14" s="302"/>
      <c r="CZ14" s="302"/>
      <c r="DA14" s="302"/>
      <c r="DB14" s="302"/>
      <c r="DC14" s="302"/>
      <c r="DD14" s="302"/>
      <c r="DE14" s="302"/>
      <c r="DF14" s="302"/>
      <c r="DG14" s="302"/>
      <c r="DH14" s="302"/>
      <c r="DI14" s="302"/>
      <c r="DJ14" s="302"/>
      <c r="DK14" s="302"/>
      <c r="DL14" s="302"/>
      <c r="DM14" s="302"/>
      <c r="DN14" s="302"/>
      <c r="DO14" s="302"/>
      <c r="DP14" s="302"/>
      <c r="DQ14" s="302"/>
      <c r="DR14" s="302"/>
      <c r="DS14" s="302"/>
      <c r="DT14" s="302"/>
      <c r="DU14" s="302"/>
      <c r="DV14" s="302"/>
      <c r="DW14" s="302"/>
      <c r="DX14" s="302"/>
      <c r="DY14" s="302"/>
      <c r="DZ14" s="302"/>
      <c r="EA14" s="302"/>
      <c r="EB14" s="302"/>
      <c r="EC14" s="302"/>
      <c r="ED14" s="302"/>
      <c r="EE14" s="302"/>
      <c r="EF14" s="302"/>
      <c r="EG14" s="302"/>
      <c r="EH14" s="302"/>
      <c r="EI14" s="302"/>
      <c r="EJ14" s="302"/>
      <c r="EK14" s="302"/>
      <c r="EL14" s="302"/>
      <c r="EM14" s="302"/>
      <c r="EN14" s="302"/>
      <c r="EO14" s="302"/>
      <c r="EP14" s="302"/>
      <c r="EQ14" s="302"/>
      <c r="ER14" s="302"/>
      <c r="ES14" s="302"/>
      <c r="ET14" s="302"/>
      <c r="EU14" s="302"/>
      <c r="EV14" s="302"/>
      <c r="EW14" s="302"/>
      <c r="EX14" s="302"/>
      <c r="EY14" s="302"/>
      <c r="EZ14" s="302"/>
      <c r="FA14" s="302"/>
      <c r="FB14" s="302"/>
      <c r="FC14" s="302"/>
      <c r="FD14" s="302"/>
      <c r="FE14" s="302"/>
      <c r="FF14" s="302"/>
      <c r="FG14" s="302"/>
      <c r="FH14" s="302"/>
      <c r="FI14" s="302"/>
      <c r="FJ14" s="302"/>
      <c r="FK14" s="302"/>
      <c r="FL14" s="302"/>
      <c r="FM14" s="302"/>
      <c r="FN14" s="302"/>
      <c r="FO14" s="302"/>
      <c r="FP14" s="302"/>
      <c r="FQ14" s="302"/>
      <c r="FR14" s="302"/>
      <c r="FS14" s="302"/>
      <c r="FT14" s="302"/>
      <c r="FU14" s="302"/>
      <c r="FV14" s="302"/>
      <c r="FW14" s="302"/>
      <c r="FX14" s="302"/>
      <c r="FY14" s="302"/>
      <c r="FZ14" s="302"/>
      <c r="GA14" s="302"/>
      <c r="GB14" s="302"/>
      <c r="GC14" s="302"/>
      <c r="GD14" s="302"/>
      <c r="GE14" s="302"/>
      <c r="GF14" s="302"/>
      <c r="GG14" s="302"/>
      <c r="GH14" s="302"/>
      <c r="GI14" s="302"/>
      <c r="GJ14" s="302"/>
      <c r="GK14" s="302"/>
      <c r="GL14" s="302"/>
      <c r="GM14" s="302"/>
      <c r="GN14" s="302"/>
      <c r="GO14" s="302"/>
      <c r="GP14" s="302"/>
      <c r="GQ14" s="302"/>
      <c r="GR14" s="302"/>
      <c r="GS14" s="302"/>
      <c r="GT14" s="302"/>
      <c r="GU14" s="302"/>
      <c r="GV14" s="302"/>
      <c r="GW14" s="302"/>
      <c r="GX14" s="302"/>
      <c r="GY14" s="302"/>
      <c r="GZ14" s="302"/>
      <c r="HA14" s="302"/>
      <c r="HB14" s="302"/>
      <c r="HC14" s="302"/>
      <c r="HD14" s="302"/>
      <c r="HE14" s="302"/>
      <c r="HF14" s="302"/>
      <c r="HG14" s="302"/>
      <c r="HH14" s="302"/>
      <c r="HI14" s="302"/>
      <c r="HJ14" s="302"/>
      <c r="HK14" s="302"/>
      <c r="HL14" s="302"/>
      <c r="HM14" s="302"/>
      <c r="HN14" s="302"/>
      <c r="HO14" s="302"/>
      <c r="HP14" s="302"/>
      <c r="HQ14" s="302"/>
      <c r="HR14" s="302"/>
    </row>
    <row r="15" spans="1:226" ht="14.25" customHeight="1">
      <c r="A15" s="302"/>
      <c r="B15" s="302"/>
      <c r="C15" s="5557" t="s">
        <v>780</v>
      </c>
      <c r="D15" s="5558"/>
      <c r="E15" s="5559"/>
      <c r="F15" s="5563" t="s">
        <v>774</v>
      </c>
      <c r="G15" s="4834">
        <f>YEAR(G16)</f>
        <v>2019</v>
      </c>
      <c r="H15" s="4834">
        <f t="shared" ref="H15:AY15" si="9">YEAR(H16)</f>
        <v>2020</v>
      </c>
      <c r="I15" s="647">
        <f t="shared" si="9"/>
        <v>2021</v>
      </c>
      <c r="J15" s="647">
        <f t="shared" si="9"/>
        <v>2022</v>
      </c>
      <c r="K15" s="647">
        <f t="shared" si="9"/>
        <v>2023</v>
      </c>
      <c r="L15" s="647">
        <f t="shared" si="9"/>
        <v>2024</v>
      </c>
      <c r="M15" s="647">
        <f t="shared" si="9"/>
        <v>2025</v>
      </c>
      <c r="N15" s="647">
        <f t="shared" si="9"/>
        <v>2026</v>
      </c>
      <c r="O15" s="647">
        <f t="shared" si="9"/>
        <v>2027</v>
      </c>
      <c r="P15" s="647">
        <f t="shared" si="9"/>
        <v>2028</v>
      </c>
      <c r="Q15" s="647">
        <f t="shared" si="9"/>
        <v>2029</v>
      </c>
      <c r="R15" s="647">
        <f t="shared" si="9"/>
        <v>2030</v>
      </c>
      <c r="S15" s="647">
        <f t="shared" si="9"/>
        <v>2031</v>
      </c>
      <c r="T15" s="647">
        <f t="shared" si="9"/>
        <v>2032</v>
      </c>
      <c r="U15" s="647">
        <f t="shared" si="9"/>
        <v>2033</v>
      </c>
      <c r="V15" s="647">
        <f t="shared" si="9"/>
        <v>2034</v>
      </c>
      <c r="W15" s="647">
        <f t="shared" si="9"/>
        <v>2035</v>
      </c>
      <c r="X15" s="647">
        <f t="shared" si="9"/>
        <v>2036</v>
      </c>
      <c r="Y15" s="647">
        <f t="shared" si="9"/>
        <v>2037</v>
      </c>
      <c r="Z15" s="647">
        <f t="shared" si="9"/>
        <v>2038</v>
      </c>
      <c r="AA15" s="647">
        <f t="shared" si="9"/>
        <v>2039</v>
      </c>
      <c r="AB15" s="647">
        <f t="shared" si="9"/>
        <v>2040</v>
      </c>
      <c r="AC15" s="647">
        <f t="shared" si="9"/>
        <v>2041</v>
      </c>
      <c r="AD15" s="647">
        <f t="shared" si="9"/>
        <v>2042</v>
      </c>
      <c r="AE15" s="647">
        <f t="shared" si="9"/>
        <v>2043</v>
      </c>
      <c r="AF15" s="647">
        <f t="shared" si="9"/>
        <v>2044</v>
      </c>
      <c r="AG15" s="647">
        <f t="shared" si="9"/>
        <v>2045</v>
      </c>
      <c r="AH15" s="647">
        <f t="shared" si="9"/>
        <v>2046</v>
      </c>
      <c r="AI15" s="647">
        <f t="shared" si="9"/>
        <v>2047</v>
      </c>
      <c r="AJ15" s="647">
        <f t="shared" si="9"/>
        <v>2048</v>
      </c>
      <c r="AK15" s="647">
        <f t="shared" si="9"/>
        <v>2049</v>
      </c>
      <c r="AL15" s="647">
        <f t="shared" si="9"/>
        <v>2050</v>
      </c>
      <c r="AM15" s="647">
        <f t="shared" si="9"/>
        <v>2051</v>
      </c>
      <c r="AN15" s="647">
        <f t="shared" si="9"/>
        <v>2052</v>
      </c>
      <c r="AO15" s="647">
        <f t="shared" si="9"/>
        <v>2053</v>
      </c>
      <c r="AP15" s="647">
        <f t="shared" si="9"/>
        <v>2054</v>
      </c>
      <c r="AQ15" s="647">
        <f t="shared" si="9"/>
        <v>2055</v>
      </c>
      <c r="AR15" s="647">
        <f t="shared" si="9"/>
        <v>2056</v>
      </c>
      <c r="AS15" s="647">
        <f t="shared" si="9"/>
        <v>2057</v>
      </c>
      <c r="AT15" s="647">
        <f t="shared" si="9"/>
        <v>2058</v>
      </c>
      <c r="AU15" s="647">
        <f t="shared" si="9"/>
        <v>2059</v>
      </c>
      <c r="AV15" s="647">
        <f t="shared" si="9"/>
        <v>2060</v>
      </c>
      <c r="AW15" s="647">
        <f t="shared" si="9"/>
        <v>2061</v>
      </c>
      <c r="AX15" s="647">
        <f t="shared" si="9"/>
        <v>2062</v>
      </c>
      <c r="AY15" s="647">
        <f t="shared" si="9"/>
        <v>2063</v>
      </c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  <c r="CG15" s="302"/>
      <c r="CH15" s="302"/>
      <c r="CI15" s="302"/>
      <c r="CJ15" s="302"/>
      <c r="CK15" s="302"/>
      <c r="CL15" s="302"/>
      <c r="CM15" s="302"/>
      <c r="CN15" s="302"/>
      <c r="CO15" s="302"/>
      <c r="CP15" s="302"/>
      <c r="CQ15" s="302"/>
      <c r="CR15" s="302"/>
      <c r="CS15" s="302"/>
      <c r="CT15" s="302"/>
      <c r="CU15" s="302"/>
      <c r="CV15" s="302"/>
      <c r="CW15" s="302"/>
      <c r="CX15" s="302"/>
      <c r="CY15" s="302"/>
      <c r="CZ15" s="302"/>
      <c r="DA15" s="302"/>
      <c r="DB15" s="302"/>
      <c r="DC15" s="302"/>
      <c r="DD15" s="302"/>
      <c r="DE15" s="302"/>
      <c r="DF15" s="302"/>
      <c r="DG15" s="302"/>
      <c r="DH15" s="302"/>
      <c r="DI15" s="302"/>
      <c r="DJ15" s="302"/>
      <c r="DK15" s="302"/>
      <c r="DL15" s="302"/>
      <c r="DM15" s="302"/>
      <c r="DN15" s="302"/>
      <c r="DO15" s="302"/>
      <c r="DP15" s="302"/>
      <c r="DQ15" s="302"/>
      <c r="DR15" s="302"/>
      <c r="DS15" s="302"/>
      <c r="DT15" s="302"/>
      <c r="DU15" s="302"/>
      <c r="DV15" s="302"/>
      <c r="DW15" s="302"/>
      <c r="DX15" s="302"/>
      <c r="DY15" s="302"/>
      <c r="DZ15" s="302"/>
      <c r="EA15" s="302"/>
      <c r="EB15" s="302"/>
      <c r="EC15" s="302"/>
      <c r="ED15" s="302"/>
      <c r="EE15" s="302"/>
      <c r="EF15" s="302"/>
      <c r="EG15" s="302"/>
      <c r="EH15" s="302"/>
      <c r="EI15" s="302"/>
      <c r="EJ15" s="302"/>
      <c r="EK15" s="302"/>
      <c r="EL15" s="302"/>
      <c r="EM15" s="302"/>
      <c r="EN15" s="302"/>
      <c r="EO15" s="302"/>
      <c r="EP15" s="302"/>
      <c r="EQ15" s="302"/>
      <c r="ER15" s="302"/>
      <c r="ES15" s="302"/>
      <c r="ET15" s="302"/>
      <c r="EU15" s="302"/>
      <c r="EV15" s="302"/>
      <c r="EW15" s="302"/>
      <c r="EX15" s="302"/>
      <c r="EY15" s="302"/>
      <c r="EZ15" s="302"/>
      <c r="FA15" s="302"/>
      <c r="FB15" s="302"/>
      <c r="FC15" s="302"/>
      <c r="FD15" s="302"/>
      <c r="FE15" s="302"/>
      <c r="FF15" s="302"/>
      <c r="FG15" s="302"/>
      <c r="FH15" s="302"/>
      <c r="FI15" s="302"/>
      <c r="FJ15" s="302"/>
      <c r="FK15" s="302"/>
      <c r="FL15" s="302"/>
      <c r="FM15" s="302"/>
      <c r="FN15" s="302"/>
      <c r="FO15" s="302"/>
      <c r="FP15" s="302"/>
      <c r="FQ15" s="302"/>
      <c r="FR15" s="302"/>
      <c r="FS15" s="302"/>
      <c r="FT15" s="302"/>
      <c r="FU15" s="302"/>
      <c r="FV15" s="302"/>
      <c r="FW15" s="302"/>
      <c r="FX15" s="302"/>
      <c r="FY15" s="302"/>
      <c r="FZ15" s="302"/>
      <c r="GA15" s="302"/>
      <c r="GB15" s="302"/>
      <c r="GC15" s="302"/>
      <c r="GD15" s="302"/>
      <c r="GE15" s="302"/>
      <c r="GF15" s="302"/>
      <c r="GG15" s="302"/>
      <c r="GH15" s="302"/>
      <c r="GI15" s="302"/>
      <c r="GJ15" s="302"/>
      <c r="GK15" s="302"/>
      <c r="GL15" s="302"/>
      <c r="GM15" s="302"/>
      <c r="GN15" s="302"/>
      <c r="GO15" s="302"/>
      <c r="GP15" s="302"/>
      <c r="GQ15" s="302"/>
      <c r="GR15" s="302"/>
      <c r="GS15" s="302"/>
      <c r="GT15" s="302"/>
      <c r="GU15" s="302"/>
      <c r="GV15" s="302"/>
      <c r="GW15" s="302"/>
      <c r="GX15" s="302"/>
      <c r="GY15" s="302"/>
      <c r="GZ15" s="302"/>
      <c r="HA15" s="302"/>
      <c r="HB15" s="302"/>
      <c r="HC15" s="302"/>
      <c r="HD15" s="302"/>
      <c r="HE15" s="302"/>
      <c r="HF15" s="302"/>
      <c r="HG15" s="302"/>
      <c r="HH15" s="302"/>
      <c r="HI15" s="302"/>
      <c r="HJ15" s="302"/>
      <c r="HK15" s="302"/>
      <c r="HL15" s="302"/>
      <c r="HM15" s="302"/>
      <c r="HN15" s="302"/>
      <c r="HO15" s="302"/>
      <c r="HP15" s="302"/>
      <c r="HQ15" s="302"/>
      <c r="HR15" s="302"/>
    </row>
    <row r="16" spans="1:226" ht="14.25" customHeight="1">
      <c r="A16" s="302"/>
      <c r="B16" s="302"/>
      <c r="C16" s="5560"/>
      <c r="D16" s="5561"/>
      <c r="E16" s="5562"/>
      <c r="F16" s="5564"/>
      <c r="G16" s="4839">
        <f>EOMONTH(기준분기,9)</f>
        <v>43830</v>
      </c>
      <c r="H16" s="4839">
        <f t="shared" ref="H16:AY16" si="10">EOMONTH(G16,12)</f>
        <v>44196</v>
      </c>
      <c r="I16" s="648">
        <f t="shared" si="10"/>
        <v>44561</v>
      </c>
      <c r="J16" s="648">
        <f t="shared" si="10"/>
        <v>44926</v>
      </c>
      <c r="K16" s="648">
        <f t="shared" si="10"/>
        <v>45291</v>
      </c>
      <c r="L16" s="648">
        <f t="shared" si="10"/>
        <v>45657</v>
      </c>
      <c r="M16" s="648">
        <f t="shared" si="10"/>
        <v>46022</v>
      </c>
      <c r="N16" s="648">
        <f t="shared" si="10"/>
        <v>46387</v>
      </c>
      <c r="O16" s="648">
        <f t="shared" si="10"/>
        <v>46752</v>
      </c>
      <c r="P16" s="648">
        <f t="shared" si="10"/>
        <v>47118</v>
      </c>
      <c r="Q16" s="648">
        <f t="shared" si="10"/>
        <v>47483</v>
      </c>
      <c r="R16" s="648">
        <f t="shared" si="10"/>
        <v>47848</v>
      </c>
      <c r="S16" s="648">
        <f t="shared" si="10"/>
        <v>48213</v>
      </c>
      <c r="T16" s="648">
        <f t="shared" si="10"/>
        <v>48579</v>
      </c>
      <c r="U16" s="648">
        <f t="shared" si="10"/>
        <v>48944</v>
      </c>
      <c r="V16" s="648">
        <f t="shared" si="10"/>
        <v>49309</v>
      </c>
      <c r="W16" s="648">
        <f t="shared" si="10"/>
        <v>49674</v>
      </c>
      <c r="X16" s="648">
        <f t="shared" si="10"/>
        <v>50040</v>
      </c>
      <c r="Y16" s="648">
        <f t="shared" si="10"/>
        <v>50405</v>
      </c>
      <c r="Z16" s="648">
        <f t="shared" si="10"/>
        <v>50770</v>
      </c>
      <c r="AA16" s="648">
        <f t="shared" si="10"/>
        <v>51135</v>
      </c>
      <c r="AB16" s="648">
        <f t="shared" si="10"/>
        <v>51501</v>
      </c>
      <c r="AC16" s="648">
        <f t="shared" si="10"/>
        <v>51866</v>
      </c>
      <c r="AD16" s="648">
        <f t="shared" si="10"/>
        <v>52231</v>
      </c>
      <c r="AE16" s="648">
        <f t="shared" si="10"/>
        <v>52596</v>
      </c>
      <c r="AF16" s="648">
        <f t="shared" si="10"/>
        <v>52962</v>
      </c>
      <c r="AG16" s="648">
        <f t="shared" si="10"/>
        <v>53327</v>
      </c>
      <c r="AH16" s="648">
        <f t="shared" si="10"/>
        <v>53692</v>
      </c>
      <c r="AI16" s="648">
        <f t="shared" si="10"/>
        <v>54057</v>
      </c>
      <c r="AJ16" s="648">
        <f t="shared" si="10"/>
        <v>54423</v>
      </c>
      <c r="AK16" s="648">
        <f t="shared" si="10"/>
        <v>54788</v>
      </c>
      <c r="AL16" s="648">
        <f t="shared" si="10"/>
        <v>55153</v>
      </c>
      <c r="AM16" s="648">
        <f t="shared" si="10"/>
        <v>55518</v>
      </c>
      <c r="AN16" s="648">
        <f t="shared" si="10"/>
        <v>55884</v>
      </c>
      <c r="AO16" s="648">
        <f t="shared" si="10"/>
        <v>56249</v>
      </c>
      <c r="AP16" s="648">
        <f t="shared" si="10"/>
        <v>56614</v>
      </c>
      <c r="AQ16" s="648">
        <f t="shared" si="10"/>
        <v>56979</v>
      </c>
      <c r="AR16" s="648">
        <f t="shared" si="10"/>
        <v>57345</v>
      </c>
      <c r="AS16" s="648">
        <f t="shared" si="10"/>
        <v>57710</v>
      </c>
      <c r="AT16" s="648">
        <f t="shared" si="10"/>
        <v>58075</v>
      </c>
      <c r="AU16" s="648">
        <f t="shared" si="10"/>
        <v>58440</v>
      </c>
      <c r="AV16" s="648">
        <f t="shared" si="10"/>
        <v>58806</v>
      </c>
      <c r="AW16" s="648">
        <f t="shared" si="10"/>
        <v>59171</v>
      </c>
      <c r="AX16" s="648">
        <f t="shared" si="10"/>
        <v>59536</v>
      </c>
      <c r="AY16" s="648">
        <f t="shared" si="10"/>
        <v>59901</v>
      </c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  <c r="CG16" s="302"/>
      <c r="CH16" s="302"/>
      <c r="CI16" s="302"/>
      <c r="CJ16" s="302"/>
      <c r="CK16" s="302"/>
      <c r="CL16" s="302"/>
      <c r="CM16" s="302"/>
      <c r="CN16" s="302"/>
      <c r="CO16" s="302"/>
      <c r="CP16" s="302"/>
      <c r="CQ16" s="302"/>
      <c r="CR16" s="302"/>
      <c r="CS16" s="302"/>
      <c r="CT16" s="302"/>
      <c r="CU16" s="302"/>
      <c r="CV16" s="302"/>
      <c r="CW16" s="302"/>
      <c r="CX16" s="302"/>
      <c r="CY16" s="302"/>
      <c r="CZ16" s="302"/>
      <c r="DA16" s="302"/>
      <c r="DB16" s="302"/>
      <c r="DC16" s="302"/>
      <c r="DD16" s="302"/>
      <c r="DE16" s="302"/>
      <c r="DF16" s="302"/>
      <c r="DG16" s="302"/>
      <c r="DH16" s="302"/>
      <c r="DI16" s="302"/>
      <c r="DJ16" s="302"/>
      <c r="DK16" s="302"/>
      <c r="DL16" s="302"/>
      <c r="DM16" s="302"/>
      <c r="DN16" s="302"/>
      <c r="DO16" s="302"/>
      <c r="DP16" s="302"/>
      <c r="DQ16" s="302"/>
      <c r="DR16" s="302"/>
      <c r="DS16" s="302"/>
      <c r="DT16" s="302"/>
      <c r="DU16" s="302"/>
      <c r="DV16" s="302"/>
      <c r="DW16" s="302"/>
      <c r="DX16" s="302"/>
      <c r="DY16" s="302"/>
      <c r="DZ16" s="302"/>
      <c r="EA16" s="302"/>
      <c r="EB16" s="302"/>
      <c r="EC16" s="302"/>
      <c r="ED16" s="302"/>
      <c r="EE16" s="302"/>
      <c r="EF16" s="302"/>
      <c r="EG16" s="302"/>
      <c r="EH16" s="302"/>
      <c r="EI16" s="302"/>
      <c r="EJ16" s="302"/>
      <c r="EK16" s="302"/>
      <c r="EL16" s="302"/>
      <c r="EM16" s="302"/>
      <c r="EN16" s="302"/>
      <c r="EO16" s="302"/>
      <c r="EP16" s="302"/>
      <c r="EQ16" s="302"/>
      <c r="ER16" s="302"/>
      <c r="ES16" s="302"/>
      <c r="ET16" s="302"/>
      <c r="EU16" s="302"/>
      <c r="EV16" s="302"/>
      <c r="EW16" s="302"/>
      <c r="EX16" s="302"/>
      <c r="EY16" s="302"/>
      <c r="EZ16" s="302"/>
      <c r="FA16" s="302"/>
      <c r="FB16" s="302"/>
      <c r="FC16" s="302"/>
      <c r="FD16" s="302"/>
      <c r="FE16" s="302"/>
      <c r="FF16" s="302"/>
      <c r="FG16" s="302"/>
      <c r="FH16" s="302"/>
      <c r="FI16" s="302"/>
      <c r="FJ16" s="302"/>
      <c r="FK16" s="302"/>
      <c r="FL16" s="302"/>
      <c r="FM16" s="302"/>
      <c r="FN16" s="302"/>
      <c r="FO16" s="302"/>
      <c r="FP16" s="302"/>
      <c r="FQ16" s="302"/>
      <c r="FR16" s="302"/>
      <c r="FS16" s="302"/>
      <c r="FT16" s="302"/>
      <c r="FU16" s="302"/>
      <c r="FV16" s="302"/>
      <c r="FW16" s="302"/>
      <c r="FX16" s="302"/>
      <c r="FY16" s="302"/>
      <c r="FZ16" s="302"/>
      <c r="GA16" s="302"/>
      <c r="GB16" s="302"/>
      <c r="GC16" s="302"/>
      <c r="GD16" s="302"/>
      <c r="GE16" s="302"/>
      <c r="GF16" s="302"/>
      <c r="GG16" s="302"/>
      <c r="GH16" s="302"/>
      <c r="GI16" s="302"/>
      <c r="GJ16" s="302"/>
      <c r="GK16" s="302"/>
      <c r="GL16" s="302"/>
      <c r="GM16" s="302"/>
      <c r="GN16" s="302"/>
      <c r="GO16" s="302"/>
      <c r="GP16" s="302"/>
      <c r="GQ16" s="302"/>
      <c r="GR16" s="302"/>
      <c r="GS16" s="302"/>
      <c r="GT16" s="302"/>
      <c r="GU16" s="302"/>
      <c r="GV16" s="302"/>
      <c r="GW16" s="302"/>
      <c r="GX16" s="302"/>
      <c r="GY16" s="302"/>
      <c r="GZ16" s="302"/>
      <c r="HA16" s="302"/>
      <c r="HB16" s="302"/>
      <c r="HC16" s="302"/>
      <c r="HD16" s="302"/>
      <c r="HE16" s="302"/>
      <c r="HF16" s="302"/>
      <c r="HG16" s="302"/>
      <c r="HH16" s="302"/>
      <c r="HI16" s="302"/>
      <c r="HJ16" s="302"/>
      <c r="HK16" s="302"/>
      <c r="HL16" s="302"/>
      <c r="HM16" s="302"/>
      <c r="HN16" s="302"/>
      <c r="HO16" s="302"/>
      <c r="HP16" s="302"/>
      <c r="HQ16" s="302"/>
      <c r="HR16" s="302"/>
    </row>
    <row r="17" spans="3:53" ht="14.25" customHeight="1">
      <c r="C17" s="649"/>
      <c r="D17" s="421" t="s">
        <v>777</v>
      </c>
      <c r="E17" s="650">
        <f>E10</f>
        <v>114</v>
      </c>
      <c r="F17" s="651">
        <f>SUM(G17:AY17)+E17</f>
        <v>600</v>
      </c>
      <c r="G17" s="4840">
        <f t="shared" ref="G17:AY17" si="11">SUMIF(3:3,G15,10:10)</f>
        <v>12</v>
      </c>
      <c r="H17" s="4840">
        <f t="shared" si="11"/>
        <v>12</v>
      </c>
      <c r="I17" s="651">
        <f t="shared" si="11"/>
        <v>12</v>
      </c>
      <c r="J17" s="651">
        <f t="shared" si="11"/>
        <v>12</v>
      </c>
      <c r="K17" s="651">
        <f t="shared" si="11"/>
        <v>12</v>
      </c>
      <c r="L17" s="651">
        <f t="shared" si="11"/>
        <v>12</v>
      </c>
      <c r="M17" s="651">
        <f t="shared" si="11"/>
        <v>12</v>
      </c>
      <c r="N17" s="651">
        <f t="shared" si="11"/>
        <v>12</v>
      </c>
      <c r="O17" s="651">
        <f t="shared" si="11"/>
        <v>12</v>
      </c>
      <c r="P17" s="651">
        <f t="shared" si="11"/>
        <v>12</v>
      </c>
      <c r="Q17" s="651">
        <f t="shared" si="11"/>
        <v>12</v>
      </c>
      <c r="R17" s="651">
        <f t="shared" si="11"/>
        <v>12</v>
      </c>
      <c r="S17" s="651">
        <f t="shared" si="11"/>
        <v>12</v>
      </c>
      <c r="T17" s="651">
        <f t="shared" si="11"/>
        <v>12</v>
      </c>
      <c r="U17" s="651">
        <f t="shared" si="11"/>
        <v>12</v>
      </c>
      <c r="V17" s="651">
        <f t="shared" si="11"/>
        <v>12</v>
      </c>
      <c r="W17" s="651">
        <f t="shared" si="11"/>
        <v>12</v>
      </c>
      <c r="X17" s="651">
        <f t="shared" si="11"/>
        <v>12</v>
      </c>
      <c r="Y17" s="651">
        <f t="shared" si="11"/>
        <v>12</v>
      </c>
      <c r="Z17" s="651">
        <f t="shared" si="11"/>
        <v>12</v>
      </c>
      <c r="AA17" s="651">
        <f t="shared" si="11"/>
        <v>12</v>
      </c>
      <c r="AB17" s="651">
        <f t="shared" si="11"/>
        <v>12</v>
      </c>
      <c r="AC17" s="651">
        <f t="shared" si="11"/>
        <v>12</v>
      </c>
      <c r="AD17" s="651">
        <f t="shared" si="11"/>
        <v>12</v>
      </c>
      <c r="AE17" s="651">
        <f t="shared" si="11"/>
        <v>12</v>
      </c>
      <c r="AF17" s="651">
        <f t="shared" si="11"/>
        <v>12</v>
      </c>
      <c r="AG17" s="651">
        <f t="shared" si="11"/>
        <v>12</v>
      </c>
      <c r="AH17" s="651">
        <f t="shared" si="11"/>
        <v>12</v>
      </c>
      <c r="AI17" s="651">
        <f t="shared" si="11"/>
        <v>12</v>
      </c>
      <c r="AJ17" s="651">
        <f t="shared" si="11"/>
        <v>12</v>
      </c>
      <c r="AK17" s="651">
        <f t="shared" si="11"/>
        <v>12</v>
      </c>
      <c r="AL17" s="651">
        <f t="shared" si="11"/>
        <v>12</v>
      </c>
      <c r="AM17" s="651">
        <f t="shared" si="11"/>
        <v>12</v>
      </c>
      <c r="AN17" s="651">
        <f t="shared" si="11"/>
        <v>12</v>
      </c>
      <c r="AO17" s="651">
        <f t="shared" si="11"/>
        <v>12</v>
      </c>
      <c r="AP17" s="651">
        <f t="shared" si="11"/>
        <v>12</v>
      </c>
      <c r="AQ17" s="651">
        <f t="shared" si="11"/>
        <v>12</v>
      </c>
      <c r="AR17" s="651">
        <f t="shared" si="11"/>
        <v>12</v>
      </c>
      <c r="AS17" s="651">
        <f t="shared" si="11"/>
        <v>12</v>
      </c>
      <c r="AT17" s="651">
        <f t="shared" si="11"/>
        <v>12</v>
      </c>
      <c r="AU17" s="651">
        <f t="shared" si="11"/>
        <v>6</v>
      </c>
      <c r="AV17" s="651">
        <f t="shared" si="11"/>
        <v>0</v>
      </c>
      <c r="AW17" s="651">
        <f t="shared" si="11"/>
        <v>0</v>
      </c>
      <c r="AX17" s="651">
        <f t="shared" si="11"/>
        <v>0</v>
      </c>
      <c r="AY17" s="651">
        <f t="shared" si="11"/>
        <v>0</v>
      </c>
      <c r="AZ17" s="302"/>
      <c r="BA17" s="302"/>
    </row>
    <row r="18" spans="3:53" ht="14.25" customHeight="1">
      <c r="C18" s="649"/>
      <c r="D18" s="421" t="s">
        <v>781</v>
      </c>
      <c r="E18" s="381"/>
      <c r="F18" s="651">
        <f>SUM(G18:AY18)</f>
        <v>40.5</v>
      </c>
      <c r="G18" s="4840">
        <f>G17/12</f>
        <v>1</v>
      </c>
      <c r="H18" s="4840">
        <f t="shared" ref="H18:AY18" si="12">H17/12</f>
        <v>1</v>
      </c>
      <c r="I18" s="651">
        <f t="shared" si="12"/>
        <v>1</v>
      </c>
      <c r="J18" s="651">
        <f t="shared" si="12"/>
        <v>1</v>
      </c>
      <c r="K18" s="651">
        <f t="shared" si="12"/>
        <v>1</v>
      </c>
      <c r="L18" s="651">
        <f t="shared" si="12"/>
        <v>1</v>
      </c>
      <c r="M18" s="651">
        <f t="shared" si="12"/>
        <v>1</v>
      </c>
      <c r="N18" s="651">
        <f t="shared" si="12"/>
        <v>1</v>
      </c>
      <c r="O18" s="651">
        <f t="shared" si="12"/>
        <v>1</v>
      </c>
      <c r="P18" s="651">
        <f t="shared" si="12"/>
        <v>1</v>
      </c>
      <c r="Q18" s="651">
        <f t="shared" si="12"/>
        <v>1</v>
      </c>
      <c r="R18" s="651">
        <f t="shared" si="12"/>
        <v>1</v>
      </c>
      <c r="S18" s="651">
        <f t="shared" si="12"/>
        <v>1</v>
      </c>
      <c r="T18" s="651">
        <f t="shared" si="12"/>
        <v>1</v>
      </c>
      <c r="U18" s="651">
        <f t="shared" si="12"/>
        <v>1</v>
      </c>
      <c r="V18" s="651">
        <f t="shared" si="12"/>
        <v>1</v>
      </c>
      <c r="W18" s="651">
        <f t="shared" si="12"/>
        <v>1</v>
      </c>
      <c r="X18" s="651">
        <f t="shared" si="12"/>
        <v>1</v>
      </c>
      <c r="Y18" s="651">
        <f t="shared" si="12"/>
        <v>1</v>
      </c>
      <c r="Z18" s="651">
        <f t="shared" si="12"/>
        <v>1</v>
      </c>
      <c r="AA18" s="651">
        <f t="shared" si="12"/>
        <v>1</v>
      </c>
      <c r="AB18" s="651">
        <f t="shared" si="12"/>
        <v>1</v>
      </c>
      <c r="AC18" s="651">
        <f t="shared" si="12"/>
        <v>1</v>
      </c>
      <c r="AD18" s="651">
        <f t="shared" si="12"/>
        <v>1</v>
      </c>
      <c r="AE18" s="651">
        <f t="shared" si="12"/>
        <v>1</v>
      </c>
      <c r="AF18" s="651">
        <f t="shared" si="12"/>
        <v>1</v>
      </c>
      <c r="AG18" s="651">
        <f t="shared" si="12"/>
        <v>1</v>
      </c>
      <c r="AH18" s="651">
        <f t="shared" si="12"/>
        <v>1</v>
      </c>
      <c r="AI18" s="651">
        <f t="shared" si="12"/>
        <v>1</v>
      </c>
      <c r="AJ18" s="651">
        <f t="shared" si="12"/>
        <v>1</v>
      </c>
      <c r="AK18" s="651">
        <f t="shared" si="12"/>
        <v>1</v>
      </c>
      <c r="AL18" s="651">
        <f t="shared" si="12"/>
        <v>1</v>
      </c>
      <c r="AM18" s="651">
        <f t="shared" si="12"/>
        <v>1</v>
      </c>
      <c r="AN18" s="651">
        <f t="shared" si="12"/>
        <v>1</v>
      </c>
      <c r="AO18" s="651">
        <f t="shared" si="12"/>
        <v>1</v>
      </c>
      <c r="AP18" s="651">
        <f t="shared" si="12"/>
        <v>1</v>
      </c>
      <c r="AQ18" s="651">
        <f t="shared" si="12"/>
        <v>1</v>
      </c>
      <c r="AR18" s="651">
        <f t="shared" si="12"/>
        <v>1</v>
      </c>
      <c r="AS18" s="651">
        <f t="shared" si="12"/>
        <v>1</v>
      </c>
      <c r="AT18" s="651">
        <f t="shared" si="12"/>
        <v>1</v>
      </c>
      <c r="AU18" s="651">
        <f t="shared" si="12"/>
        <v>0.5</v>
      </c>
      <c r="AV18" s="651">
        <f t="shared" si="12"/>
        <v>0</v>
      </c>
      <c r="AW18" s="651">
        <f t="shared" si="12"/>
        <v>0</v>
      </c>
      <c r="AX18" s="651">
        <f t="shared" si="12"/>
        <v>0</v>
      </c>
      <c r="AY18" s="651">
        <f t="shared" si="12"/>
        <v>0</v>
      </c>
      <c r="AZ18" s="302"/>
      <c r="BA18" s="302"/>
    </row>
    <row r="19" spans="3:53" ht="14.25" customHeight="1">
      <c r="C19" s="302"/>
      <c r="D19" s="302"/>
      <c r="E19" s="302"/>
      <c r="F19" s="302"/>
      <c r="G19" s="302"/>
      <c r="H19" s="302"/>
      <c r="I19" s="302"/>
      <c r="J19" s="302"/>
      <c r="K19" s="652"/>
      <c r="L19" s="302"/>
      <c r="M19" s="653"/>
      <c r="N19" s="302"/>
      <c r="O19" s="302"/>
      <c r="P19" s="302"/>
      <c r="Q19" s="302"/>
      <c r="R19" s="302"/>
      <c r="S19" s="302"/>
      <c r="T19" s="302"/>
      <c r="U19" s="302"/>
      <c r="V19" s="302"/>
      <c r="W19" s="302"/>
      <c r="X19" s="302"/>
      <c r="Y19" s="302"/>
      <c r="Z19" s="302"/>
      <c r="AA19" s="302"/>
      <c r="AB19" s="302"/>
      <c r="AC19" s="302"/>
      <c r="AD19" s="302"/>
      <c r="AE19" s="302"/>
      <c r="AF19" s="302"/>
      <c r="AG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</row>
    <row r="21" spans="3:53" s="302" customFormat="1" ht="13.5" customHeight="1">
      <c r="C21" s="636"/>
      <c r="D21" s="637" t="s">
        <v>773</v>
      </c>
      <c r="E21" s="638"/>
      <c r="F21" s="639" t="s">
        <v>774</v>
      </c>
      <c r="G21" s="4834">
        <v>2014</v>
      </c>
      <c r="H21" s="4834">
        <v>2015</v>
      </c>
      <c r="I21" s="4834">
        <v>2016</v>
      </c>
      <c r="J21" s="4834">
        <v>2017</v>
      </c>
      <c r="K21" s="4834">
        <v>2018</v>
      </c>
      <c r="L21" s="4834">
        <v>2019</v>
      </c>
      <c r="M21" s="647">
        <v>2020</v>
      </c>
      <c r="N21" s="647">
        <v>2021</v>
      </c>
      <c r="O21" s="647">
        <v>2022</v>
      </c>
      <c r="P21" s="647">
        <v>2023</v>
      </c>
      <c r="Q21" s="647">
        <v>2024</v>
      </c>
      <c r="R21" s="647">
        <v>2025</v>
      </c>
      <c r="S21" s="647">
        <v>2026</v>
      </c>
      <c r="T21" s="647">
        <v>2027</v>
      </c>
      <c r="U21" s="647">
        <v>2028</v>
      </c>
      <c r="V21" s="647">
        <v>2029</v>
      </c>
      <c r="W21" s="647">
        <v>2030</v>
      </c>
      <c r="X21" s="647">
        <v>2031</v>
      </c>
      <c r="Y21" s="647">
        <v>2032</v>
      </c>
      <c r="Z21" s="647">
        <v>2033</v>
      </c>
      <c r="AA21" s="647">
        <v>2034</v>
      </c>
      <c r="AB21" s="647">
        <v>2035</v>
      </c>
      <c r="AC21" s="647">
        <v>2036</v>
      </c>
      <c r="AD21" s="647">
        <v>2037</v>
      </c>
      <c r="AE21" s="647">
        <v>2038</v>
      </c>
      <c r="AF21" s="647">
        <v>2039</v>
      </c>
      <c r="AG21" s="647">
        <v>2040</v>
      </c>
      <c r="AH21" s="647">
        <v>2041</v>
      </c>
      <c r="AI21" s="647">
        <v>2042</v>
      </c>
      <c r="AJ21" s="647">
        <v>2043</v>
      </c>
      <c r="AK21" s="647">
        <v>2044</v>
      </c>
      <c r="AL21" s="647">
        <v>2045</v>
      </c>
      <c r="AM21" s="647">
        <v>2046</v>
      </c>
      <c r="AN21" s="647">
        <v>2047</v>
      </c>
      <c r="AO21" s="647">
        <v>2048</v>
      </c>
      <c r="AP21" s="647">
        <v>2049</v>
      </c>
      <c r="AQ21" s="647">
        <v>2050</v>
      </c>
      <c r="AR21" s="647">
        <v>2051</v>
      </c>
      <c r="AS21" s="647">
        <v>2052</v>
      </c>
      <c r="AT21" s="647">
        <v>2053</v>
      </c>
      <c r="AU21" s="647">
        <v>2054</v>
      </c>
      <c r="AV21" s="647">
        <v>2055</v>
      </c>
      <c r="AW21" s="647">
        <v>2056</v>
      </c>
      <c r="AX21" s="647">
        <v>2057</v>
      </c>
      <c r="AY21" s="647">
        <v>2058</v>
      </c>
      <c r="AZ21" s="647">
        <v>2059</v>
      </c>
      <c r="BA21" s="647">
        <f>AZ21+1</f>
        <v>2060</v>
      </c>
    </row>
    <row r="22" spans="3:53" s="302" customFormat="1" ht="13.5" customHeight="1">
      <c r="C22" s="654" t="s">
        <v>782</v>
      </c>
      <c r="D22" s="655"/>
      <c r="E22" s="656"/>
      <c r="F22" s="657" t="str">
        <f>Sensitivity!D24</f>
        <v>상승률</v>
      </c>
      <c r="G22" s="4835">
        <v>0</v>
      </c>
      <c r="H22" s="4835">
        <v>0</v>
      </c>
      <c r="I22" s="4835">
        <v>0.03</v>
      </c>
      <c r="J22" s="4835">
        <v>1.6592254323830824E-2</v>
      </c>
      <c r="K22" s="4835">
        <v>4.8721642684810718E-2</v>
      </c>
      <c r="L22" s="4835">
        <v>2.9245283018867863E-2</v>
      </c>
      <c r="M22" s="658">
        <f ca="1">IF(민감도!$E$70=1,민감도!$E$69,M23/L23-1)</f>
        <v>0</v>
      </c>
      <c r="N22" s="658">
        <f ca="1">IF(민감도!$E$70=1,민감도!$E$69,N23/M23-1)</f>
        <v>3.0000000000000027E-2</v>
      </c>
      <c r="O22" s="658">
        <f ca="1">IF(민감도!$E$70=1,민감도!$E$69,O23/N23-1)</f>
        <v>0</v>
      </c>
      <c r="P22" s="658">
        <f ca="1">IF(민감도!$E$70=1,민감도!$E$69,P23/O23-1)</f>
        <v>0</v>
      </c>
      <c r="Q22" s="658">
        <f ca="1">IF(민감도!$E$70=1,민감도!$E$69,Q23/P23-1)</f>
        <v>3.0000000000000027E-2</v>
      </c>
      <c r="R22" s="658">
        <f ca="1">IF(민감도!$E$70=1,민감도!$E$69,R23/Q23-1)</f>
        <v>0</v>
      </c>
      <c r="S22" s="658">
        <f ca="1">IF(민감도!$E$70=1,민감도!$E$69,S23/R23-1)</f>
        <v>0</v>
      </c>
      <c r="T22" s="659">
        <f ca="1">IF(민감도!$E$70=1,민감도!$E$69,T23/S23-1)</f>
        <v>3.0000000000000027E-2</v>
      </c>
      <c r="U22" s="659">
        <f ca="1">IF(민감도!$E$70=1,민감도!$E$69,U23/T23-1)</f>
        <v>0</v>
      </c>
      <c r="V22" s="659">
        <f ca="1">IF(민감도!$E$70=1,민감도!$E$69,V23/U23-1)</f>
        <v>0</v>
      </c>
      <c r="W22" s="659">
        <f ca="1">IF(민감도!$E$70=1,민감도!$E$69,W23/V23-1)</f>
        <v>3.0000000000000027E-2</v>
      </c>
      <c r="X22" s="659">
        <f ca="1">IF(민감도!$E$70=1,민감도!$E$69,X23/W23-1)</f>
        <v>0</v>
      </c>
      <c r="Y22" s="659">
        <f ca="1">IF(민감도!$E$70=1,민감도!$E$69,Y23/X23-1)</f>
        <v>0</v>
      </c>
      <c r="Z22" s="659">
        <f ca="1">IF(민감도!$E$70=1,민감도!$E$69,Z23/Y23-1)</f>
        <v>3.0000000000000027E-2</v>
      </c>
      <c r="AA22" s="659">
        <f ca="1">IF(민감도!$E$70=1,민감도!$E$69,AA23/Z23-1)</f>
        <v>0</v>
      </c>
      <c r="AB22" s="659">
        <f ca="1">IF(민감도!$E$70=1,민감도!$E$69,AB23/AA23-1)</f>
        <v>0</v>
      </c>
      <c r="AC22" s="659">
        <f ca="1">IF(민감도!$E$70=1,민감도!$E$69,AC23/AB23-1)</f>
        <v>3.0000000000000027E-2</v>
      </c>
      <c r="AD22" s="659">
        <f ca="1">IF(민감도!$E$70=1,민감도!$E$69,AD23/AC23-1)</f>
        <v>0</v>
      </c>
      <c r="AE22" s="659">
        <f ca="1">IF(민감도!$E$70=1,민감도!$E$69,AE23/AD23-1)</f>
        <v>0</v>
      </c>
      <c r="AF22" s="659">
        <f ca="1">IF(민감도!$E$70=1,민감도!$E$69,AF23/AE23-1)</f>
        <v>3.0000000000000027E-2</v>
      </c>
      <c r="AG22" s="659">
        <f ca="1">IF(민감도!$E$70=1,민감도!$E$69,AG23/AF23-1)</f>
        <v>0</v>
      </c>
      <c r="AH22" s="659">
        <f ca="1">IF(민감도!$E$70=1,민감도!$E$69,AH23/AG23-1)</f>
        <v>0</v>
      </c>
      <c r="AI22" s="659">
        <f ca="1">IF(민감도!$E$70=1,민감도!$E$69,AI23/AH23-1)</f>
        <v>3.0000000000000027E-2</v>
      </c>
      <c r="AJ22" s="659">
        <f ca="1">IF(민감도!$E$70=1,민감도!$E$69,AJ23/AI23-1)</f>
        <v>0</v>
      </c>
      <c r="AK22" s="659">
        <f ca="1">IF(민감도!$E$70=1,민감도!$E$69,AK23/AJ23-1)</f>
        <v>0</v>
      </c>
      <c r="AL22" s="659">
        <f ca="1">IF(민감도!$E$70=1,민감도!$E$69,AL23/AK23-1)</f>
        <v>3.0000000000000027E-2</v>
      </c>
      <c r="AM22" s="659">
        <f ca="1">IF(민감도!$E$70=1,민감도!$E$69,AM23/AL23-1)</f>
        <v>0</v>
      </c>
      <c r="AN22" s="659">
        <f ca="1">IF(민감도!$E$70=1,민감도!$E$69,AN23/AM23-1)</f>
        <v>0</v>
      </c>
      <c r="AO22" s="659">
        <f ca="1">IF(민감도!$E$70=1,민감도!$E$69,AO23/AN23-1)</f>
        <v>3.0000000000000027E-2</v>
      </c>
      <c r="AP22" s="659">
        <f ca="1">IF(민감도!$E$70=1,민감도!$E$69,AP23/AO23-1)</f>
        <v>0</v>
      </c>
      <c r="AQ22" s="659">
        <f ca="1">IF(민감도!$E$70=1,민감도!$E$69,AQ23/AP23-1)</f>
        <v>0</v>
      </c>
      <c r="AR22" s="659">
        <f ca="1">IF(민감도!$E$70=1,민감도!$E$69,AR23/AQ23-1)</f>
        <v>3.0000000000000027E-2</v>
      </c>
      <c r="AS22" s="659">
        <f ca="1">IF(민감도!$E$70=1,민감도!$E$69,AS23/AR23-1)</f>
        <v>0</v>
      </c>
      <c r="AT22" s="659">
        <f ca="1">IF(민감도!$E$70=1,민감도!$E$69,AT23/AS23-1)</f>
        <v>0</v>
      </c>
      <c r="AU22" s="659">
        <f ca="1">IF(민감도!$E$70=1,민감도!$E$69,AU23/AT23-1)</f>
        <v>3.0000000000000027E-2</v>
      </c>
      <c r="AV22" s="659">
        <f ca="1">IF(민감도!$E$70=1,민감도!$E$69,AV23/AU23-1)</f>
        <v>0</v>
      </c>
      <c r="AW22" s="659">
        <f ca="1">IF(민감도!$E$70=1,민감도!$E$69,AW23/AV23-1)</f>
        <v>0</v>
      </c>
      <c r="AX22" s="659">
        <f ca="1">IF(민감도!$E$70=1,민감도!$E$69,AX23/AW23-1)</f>
        <v>3.0000000000000027E-2</v>
      </c>
      <c r="AY22" s="659">
        <f ca="1">IF(민감도!$E$70=1,민감도!$E$69,AY23/AX23-1)</f>
        <v>0</v>
      </c>
      <c r="AZ22" s="659">
        <f ca="1">IF(민감도!$E$70=1,민감도!$E$69,AZ23/AY23-1)</f>
        <v>0</v>
      </c>
      <c r="BA22" s="659">
        <f ca="1">IF(민감도!$E$70=1,민감도!$E$69,BA23/AZ23-1)</f>
        <v>3.0000000000000027E-2</v>
      </c>
    </row>
    <row r="23" spans="3:53" s="302" customFormat="1" ht="13.5" customHeight="1">
      <c r="C23" s="654" t="s">
        <v>783</v>
      </c>
      <c r="D23" s="655"/>
      <c r="E23" s="656"/>
      <c r="F23" s="657">
        <f ca="1">Sensitivity!D25</f>
        <v>0.03</v>
      </c>
      <c r="G23" s="4835">
        <v>1</v>
      </c>
      <c r="H23" s="4835">
        <f>G23*(1+H22)</f>
        <v>1</v>
      </c>
      <c r="I23" s="4835">
        <f>H23*(1+I22)</f>
        <v>1.03</v>
      </c>
      <c r="J23" s="4835">
        <f>I23*(1+J22)</f>
        <v>1.0470900219535457</v>
      </c>
      <c r="K23" s="4835">
        <f>J23*(1+K22)</f>
        <v>1.0981059678619969</v>
      </c>
      <c r="L23" s="4836">
        <f ca="1">IF(L25=0,K23,K23*(1+$F23)^L25)</f>
        <v>1.0981059678619969</v>
      </c>
      <c r="M23" s="659">
        <f ca="1">IF(M25=0,L23,L23*(1+$F23)^M25)</f>
        <v>1.0981059678619969</v>
      </c>
      <c r="N23" s="659">
        <f t="shared" ref="N23:BA23" ca="1" si="13">IF(N25=0,M23,M23*(1+$F23)^N25)</f>
        <v>1.1310491468978567</v>
      </c>
      <c r="O23" s="659">
        <f t="shared" ca="1" si="13"/>
        <v>1.1310491468978567</v>
      </c>
      <c r="P23" s="659">
        <f t="shared" ca="1" si="13"/>
        <v>1.1310491468978567</v>
      </c>
      <c r="Q23" s="659">
        <f t="shared" ca="1" si="13"/>
        <v>1.1649806213047924</v>
      </c>
      <c r="R23" s="659">
        <f t="shared" ca="1" si="13"/>
        <v>1.1649806213047924</v>
      </c>
      <c r="S23" s="659">
        <f t="shared" ca="1" si="13"/>
        <v>1.1649806213047924</v>
      </c>
      <c r="T23" s="659">
        <f t="shared" ca="1" si="13"/>
        <v>1.1999300399439363</v>
      </c>
      <c r="U23" s="659">
        <f t="shared" ca="1" si="13"/>
        <v>1.1999300399439363</v>
      </c>
      <c r="V23" s="659">
        <f t="shared" ca="1" si="13"/>
        <v>1.1999300399439363</v>
      </c>
      <c r="W23" s="659">
        <f t="shared" ca="1" si="13"/>
        <v>1.2359279411422543</v>
      </c>
      <c r="X23" s="659">
        <f t="shared" ca="1" si="13"/>
        <v>1.2359279411422543</v>
      </c>
      <c r="Y23" s="659">
        <f t="shared" ca="1" si="13"/>
        <v>1.2359279411422543</v>
      </c>
      <c r="Z23" s="659">
        <f t="shared" ca="1" si="13"/>
        <v>1.2730057793765219</v>
      </c>
      <c r="AA23" s="659">
        <f t="shared" ca="1" si="13"/>
        <v>1.2730057793765219</v>
      </c>
      <c r="AB23" s="659">
        <f t="shared" ca="1" si="13"/>
        <v>1.2730057793765219</v>
      </c>
      <c r="AC23" s="659">
        <f t="shared" ca="1" si="13"/>
        <v>1.3111959527578176</v>
      </c>
      <c r="AD23" s="659">
        <f t="shared" ca="1" si="13"/>
        <v>1.3111959527578176</v>
      </c>
      <c r="AE23" s="659">
        <f t="shared" ca="1" si="13"/>
        <v>1.3111959527578176</v>
      </c>
      <c r="AF23" s="659">
        <f t="shared" ca="1" si="13"/>
        <v>1.3505318313405521</v>
      </c>
      <c r="AG23" s="659">
        <f t="shared" ca="1" si="13"/>
        <v>1.3505318313405521</v>
      </c>
      <c r="AH23" s="659">
        <f t="shared" ca="1" si="13"/>
        <v>1.3505318313405521</v>
      </c>
      <c r="AI23" s="659">
        <f t="shared" ca="1" si="13"/>
        <v>1.3910477862807686</v>
      </c>
      <c r="AJ23" s="659">
        <f t="shared" ca="1" si="13"/>
        <v>1.3910477862807686</v>
      </c>
      <c r="AK23" s="659">
        <f t="shared" ca="1" si="13"/>
        <v>1.3910477862807686</v>
      </c>
      <c r="AL23" s="659">
        <f t="shared" ca="1" si="13"/>
        <v>1.4327792198691918</v>
      </c>
      <c r="AM23" s="659">
        <f t="shared" ca="1" si="13"/>
        <v>1.4327792198691918</v>
      </c>
      <c r="AN23" s="659">
        <f t="shared" ca="1" si="13"/>
        <v>1.4327792198691918</v>
      </c>
      <c r="AO23" s="659">
        <f t="shared" ca="1" si="13"/>
        <v>1.4757625964652676</v>
      </c>
      <c r="AP23" s="659">
        <f t="shared" ca="1" si="13"/>
        <v>1.4757625964652676</v>
      </c>
      <c r="AQ23" s="659">
        <f t="shared" ca="1" si="13"/>
        <v>1.4757625964652676</v>
      </c>
      <c r="AR23" s="659">
        <f t="shared" ca="1" si="13"/>
        <v>1.5200354743592257</v>
      </c>
      <c r="AS23" s="659">
        <f t="shared" ca="1" si="13"/>
        <v>1.5200354743592257</v>
      </c>
      <c r="AT23" s="659">
        <f t="shared" ca="1" si="13"/>
        <v>1.5200354743592257</v>
      </c>
      <c r="AU23" s="659">
        <f t="shared" ca="1" si="13"/>
        <v>1.5656365385900026</v>
      </c>
      <c r="AV23" s="659">
        <f t="shared" ca="1" si="13"/>
        <v>1.5656365385900026</v>
      </c>
      <c r="AW23" s="659">
        <f t="shared" ca="1" si="13"/>
        <v>1.5656365385900026</v>
      </c>
      <c r="AX23" s="659">
        <f t="shared" ca="1" si="13"/>
        <v>1.6126056347477027</v>
      </c>
      <c r="AY23" s="659">
        <f t="shared" ca="1" si="13"/>
        <v>1.6126056347477027</v>
      </c>
      <c r="AZ23" s="659">
        <f t="shared" ca="1" si="13"/>
        <v>1.6126056347477027</v>
      </c>
      <c r="BA23" s="659">
        <f t="shared" ca="1" si="13"/>
        <v>1.6609838037901339</v>
      </c>
    </row>
    <row r="24" spans="3:53" s="302" customFormat="1" ht="13.5" customHeight="1">
      <c r="C24" s="660" t="s">
        <v>784</v>
      </c>
      <c r="D24" s="661"/>
      <c r="E24" s="662"/>
      <c r="F24" s="663"/>
      <c r="G24" s="4837">
        <v>0</v>
      </c>
      <c r="H24" s="4837">
        <v>0</v>
      </c>
      <c r="I24" s="4837">
        <v>0</v>
      </c>
      <c r="J24" s="4837">
        <f>I24+1</f>
        <v>1</v>
      </c>
      <c r="K24" s="4837">
        <f>J24+1</f>
        <v>2</v>
      </c>
      <c r="L24" s="4837">
        <f t="shared" ref="L24:AZ24" si="14">K24+1</f>
        <v>3</v>
      </c>
      <c r="M24" s="664">
        <f t="shared" si="14"/>
        <v>4</v>
      </c>
      <c r="N24" s="664">
        <f t="shared" si="14"/>
        <v>5</v>
      </c>
      <c r="O24" s="664">
        <f t="shared" si="14"/>
        <v>6</v>
      </c>
      <c r="P24" s="664">
        <f t="shared" si="14"/>
        <v>7</v>
      </c>
      <c r="Q24" s="664">
        <f t="shared" si="14"/>
        <v>8</v>
      </c>
      <c r="R24" s="664">
        <f t="shared" si="14"/>
        <v>9</v>
      </c>
      <c r="S24" s="664">
        <f t="shared" si="14"/>
        <v>10</v>
      </c>
      <c r="T24" s="664">
        <f t="shared" si="14"/>
        <v>11</v>
      </c>
      <c r="U24" s="664">
        <f t="shared" si="14"/>
        <v>12</v>
      </c>
      <c r="V24" s="664">
        <f t="shared" si="14"/>
        <v>13</v>
      </c>
      <c r="W24" s="664">
        <f t="shared" si="14"/>
        <v>14</v>
      </c>
      <c r="X24" s="664">
        <f t="shared" si="14"/>
        <v>15</v>
      </c>
      <c r="Y24" s="664">
        <f t="shared" si="14"/>
        <v>16</v>
      </c>
      <c r="Z24" s="664">
        <f t="shared" si="14"/>
        <v>17</v>
      </c>
      <c r="AA24" s="664">
        <f t="shared" si="14"/>
        <v>18</v>
      </c>
      <c r="AB24" s="664">
        <f t="shared" si="14"/>
        <v>19</v>
      </c>
      <c r="AC24" s="664">
        <f t="shared" si="14"/>
        <v>20</v>
      </c>
      <c r="AD24" s="664">
        <f t="shared" si="14"/>
        <v>21</v>
      </c>
      <c r="AE24" s="664">
        <f t="shared" si="14"/>
        <v>22</v>
      </c>
      <c r="AF24" s="664">
        <f t="shared" si="14"/>
        <v>23</v>
      </c>
      <c r="AG24" s="664">
        <f t="shared" si="14"/>
        <v>24</v>
      </c>
      <c r="AH24" s="664">
        <f t="shared" si="14"/>
        <v>25</v>
      </c>
      <c r="AI24" s="664">
        <f t="shared" si="14"/>
        <v>26</v>
      </c>
      <c r="AJ24" s="664">
        <f t="shared" si="14"/>
        <v>27</v>
      </c>
      <c r="AK24" s="664">
        <f t="shared" si="14"/>
        <v>28</v>
      </c>
      <c r="AL24" s="664">
        <f t="shared" si="14"/>
        <v>29</v>
      </c>
      <c r="AM24" s="664">
        <f t="shared" si="14"/>
        <v>30</v>
      </c>
      <c r="AN24" s="664">
        <f t="shared" si="14"/>
        <v>31</v>
      </c>
      <c r="AO24" s="664">
        <f t="shared" si="14"/>
        <v>32</v>
      </c>
      <c r="AP24" s="664">
        <f t="shared" si="14"/>
        <v>33</v>
      </c>
      <c r="AQ24" s="664">
        <f t="shared" si="14"/>
        <v>34</v>
      </c>
      <c r="AR24" s="664">
        <f t="shared" si="14"/>
        <v>35</v>
      </c>
      <c r="AS24" s="664">
        <f t="shared" si="14"/>
        <v>36</v>
      </c>
      <c r="AT24" s="664">
        <f t="shared" si="14"/>
        <v>37</v>
      </c>
      <c r="AU24" s="664">
        <f t="shared" si="14"/>
        <v>38</v>
      </c>
      <c r="AV24" s="664">
        <f t="shared" si="14"/>
        <v>39</v>
      </c>
      <c r="AW24" s="664">
        <f t="shared" si="14"/>
        <v>40</v>
      </c>
      <c r="AX24" s="664">
        <f t="shared" si="14"/>
        <v>41</v>
      </c>
      <c r="AY24" s="664">
        <f t="shared" si="14"/>
        <v>42</v>
      </c>
      <c r="AZ24" s="664">
        <f t="shared" si="14"/>
        <v>43</v>
      </c>
      <c r="BA24" s="664">
        <f>AZ24+1</f>
        <v>44</v>
      </c>
    </row>
    <row r="25" spans="3:53" s="302" customFormat="1" ht="13.5" customHeight="1">
      <c r="C25" s="665" t="s">
        <v>785</v>
      </c>
      <c r="D25" s="666"/>
      <c r="E25" s="667"/>
      <c r="F25" s="668">
        <f ca="1">Sensitivity!E25</f>
        <v>3</v>
      </c>
      <c r="G25" s="4838">
        <f t="shared" ref="G25:S25" ca="1" si="15">(MOD(G24,$F$25)=2)*1</f>
        <v>0</v>
      </c>
      <c r="H25" s="4838">
        <f t="shared" ca="1" si="15"/>
        <v>0</v>
      </c>
      <c r="I25" s="4838">
        <f t="shared" ca="1" si="15"/>
        <v>0</v>
      </c>
      <c r="J25" s="4838">
        <f t="shared" ca="1" si="15"/>
        <v>0</v>
      </c>
      <c r="K25" s="4838">
        <f t="shared" ca="1" si="15"/>
        <v>1</v>
      </c>
      <c r="L25" s="4838">
        <f t="shared" ca="1" si="15"/>
        <v>0</v>
      </c>
      <c r="M25" s="669">
        <f t="shared" ca="1" si="15"/>
        <v>0</v>
      </c>
      <c r="N25" s="669">
        <f t="shared" ca="1" si="15"/>
        <v>1</v>
      </c>
      <c r="O25" s="669">
        <f t="shared" ca="1" si="15"/>
        <v>0</v>
      </c>
      <c r="P25" s="669">
        <f t="shared" ca="1" si="15"/>
        <v>0</v>
      </c>
      <c r="Q25" s="669">
        <f t="shared" ca="1" si="15"/>
        <v>1</v>
      </c>
      <c r="R25" s="669">
        <f t="shared" ca="1" si="15"/>
        <v>0</v>
      </c>
      <c r="S25" s="669">
        <f t="shared" ca="1" si="15"/>
        <v>0</v>
      </c>
      <c r="T25" s="669">
        <f ca="1">(MOD(T24,$F$25)=2)*1</f>
        <v>1</v>
      </c>
      <c r="U25" s="669">
        <f t="shared" ref="U25:BA25" ca="1" si="16">(MOD(U24,$F$25)=2)*1</f>
        <v>0</v>
      </c>
      <c r="V25" s="669">
        <f t="shared" ca="1" si="16"/>
        <v>0</v>
      </c>
      <c r="W25" s="669">
        <f t="shared" ca="1" si="16"/>
        <v>1</v>
      </c>
      <c r="X25" s="669">
        <f t="shared" ca="1" si="16"/>
        <v>0</v>
      </c>
      <c r="Y25" s="669">
        <f t="shared" ca="1" si="16"/>
        <v>0</v>
      </c>
      <c r="Z25" s="669">
        <f t="shared" ca="1" si="16"/>
        <v>1</v>
      </c>
      <c r="AA25" s="669">
        <f t="shared" ca="1" si="16"/>
        <v>0</v>
      </c>
      <c r="AB25" s="669">
        <f t="shared" ca="1" si="16"/>
        <v>0</v>
      </c>
      <c r="AC25" s="669">
        <f t="shared" ca="1" si="16"/>
        <v>1</v>
      </c>
      <c r="AD25" s="669">
        <f t="shared" ca="1" si="16"/>
        <v>0</v>
      </c>
      <c r="AE25" s="669">
        <f t="shared" ca="1" si="16"/>
        <v>0</v>
      </c>
      <c r="AF25" s="669">
        <f t="shared" ca="1" si="16"/>
        <v>1</v>
      </c>
      <c r="AG25" s="669">
        <f t="shared" ca="1" si="16"/>
        <v>0</v>
      </c>
      <c r="AH25" s="669">
        <f t="shared" ca="1" si="16"/>
        <v>0</v>
      </c>
      <c r="AI25" s="669">
        <f t="shared" ca="1" si="16"/>
        <v>1</v>
      </c>
      <c r="AJ25" s="669">
        <f t="shared" ca="1" si="16"/>
        <v>0</v>
      </c>
      <c r="AK25" s="669">
        <f t="shared" ca="1" si="16"/>
        <v>0</v>
      </c>
      <c r="AL25" s="669">
        <f t="shared" ca="1" si="16"/>
        <v>1</v>
      </c>
      <c r="AM25" s="669">
        <f t="shared" ca="1" si="16"/>
        <v>0</v>
      </c>
      <c r="AN25" s="669">
        <f t="shared" ca="1" si="16"/>
        <v>0</v>
      </c>
      <c r="AO25" s="669">
        <f t="shared" ca="1" si="16"/>
        <v>1</v>
      </c>
      <c r="AP25" s="669">
        <f t="shared" ca="1" si="16"/>
        <v>0</v>
      </c>
      <c r="AQ25" s="669">
        <f t="shared" ca="1" si="16"/>
        <v>0</v>
      </c>
      <c r="AR25" s="669">
        <f t="shared" ca="1" si="16"/>
        <v>1</v>
      </c>
      <c r="AS25" s="669">
        <f t="shared" ca="1" si="16"/>
        <v>0</v>
      </c>
      <c r="AT25" s="669">
        <f t="shared" ca="1" si="16"/>
        <v>0</v>
      </c>
      <c r="AU25" s="669">
        <f t="shared" ca="1" si="16"/>
        <v>1</v>
      </c>
      <c r="AV25" s="669">
        <f t="shared" ca="1" si="16"/>
        <v>0</v>
      </c>
      <c r="AW25" s="669">
        <f t="shared" ca="1" si="16"/>
        <v>0</v>
      </c>
      <c r="AX25" s="669">
        <f t="shared" ca="1" si="16"/>
        <v>1</v>
      </c>
      <c r="AY25" s="669">
        <f t="shared" ca="1" si="16"/>
        <v>0</v>
      </c>
      <c r="AZ25" s="669">
        <f t="shared" ca="1" si="16"/>
        <v>0</v>
      </c>
      <c r="BA25" s="669">
        <f t="shared" ca="1" si="16"/>
        <v>1</v>
      </c>
    </row>
    <row r="27" spans="3:53">
      <c r="C27" s="302"/>
      <c r="D27" s="302"/>
      <c r="E27" s="302"/>
      <c r="F27" s="302"/>
      <c r="G27" s="302"/>
      <c r="H27" s="302"/>
      <c r="I27" s="302"/>
      <c r="J27" s="670"/>
      <c r="K27" s="670"/>
      <c r="L27" s="670"/>
      <c r="M27" s="302"/>
      <c r="N27" s="302"/>
      <c r="O27" s="302"/>
      <c r="P27" s="302"/>
      <c r="Q27" s="302"/>
      <c r="R27" s="302"/>
      <c r="S27" s="302"/>
      <c r="T27" s="302"/>
      <c r="U27" s="302"/>
      <c r="V27" s="302"/>
      <c r="W27" s="302"/>
      <c r="X27" s="302"/>
      <c r="Y27" s="302"/>
      <c r="Z27" s="302"/>
      <c r="AA27" s="302"/>
      <c r="AB27" s="302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</row>
    <row r="28" spans="3:53" s="302" customFormat="1" ht="13.5" customHeight="1">
      <c r="C28" s="636"/>
      <c r="D28" s="637" t="s">
        <v>773</v>
      </c>
      <c r="E28" s="638"/>
      <c r="F28" s="639" t="s">
        <v>774</v>
      </c>
      <c r="G28" s="4834">
        <v>2014</v>
      </c>
      <c r="H28" s="4834">
        <v>2015</v>
      </c>
      <c r="I28" s="4834">
        <v>2016</v>
      </c>
      <c r="J28" s="4834">
        <v>2017</v>
      </c>
      <c r="K28" s="4834">
        <v>2018</v>
      </c>
      <c r="L28" s="4834">
        <v>2019</v>
      </c>
      <c r="M28" s="647">
        <v>2020</v>
      </c>
      <c r="N28" s="647">
        <v>2021</v>
      </c>
      <c r="O28" s="647">
        <v>2022</v>
      </c>
      <c r="P28" s="647">
        <v>2023</v>
      </c>
      <c r="Q28" s="647">
        <v>2024</v>
      </c>
      <c r="R28" s="647">
        <v>2025</v>
      </c>
      <c r="S28" s="647">
        <v>2026</v>
      </c>
      <c r="T28" s="647">
        <v>2027</v>
      </c>
      <c r="U28" s="647">
        <v>2028</v>
      </c>
      <c r="V28" s="647">
        <v>2029</v>
      </c>
      <c r="W28" s="647">
        <v>2030</v>
      </c>
      <c r="X28" s="647">
        <v>2031</v>
      </c>
      <c r="Y28" s="647">
        <v>2032</v>
      </c>
      <c r="Z28" s="647">
        <v>2033</v>
      </c>
      <c r="AA28" s="647">
        <v>2034</v>
      </c>
      <c r="AB28" s="647">
        <v>2035</v>
      </c>
      <c r="AC28" s="647">
        <v>2036</v>
      </c>
      <c r="AD28" s="647">
        <v>2037</v>
      </c>
      <c r="AE28" s="647">
        <v>2038</v>
      </c>
      <c r="AF28" s="647">
        <v>2039</v>
      </c>
      <c r="AG28" s="647">
        <v>2040</v>
      </c>
      <c r="AH28" s="647">
        <v>2041</v>
      </c>
      <c r="AI28" s="647">
        <v>2042</v>
      </c>
      <c r="AJ28" s="647">
        <v>2043</v>
      </c>
      <c r="AK28" s="647">
        <v>2044</v>
      </c>
      <c r="AL28" s="647">
        <v>2045</v>
      </c>
      <c r="AM28" s="647">
        <v>2046</v>
      </c>
      <c r="AN28" s="647">
        <v>2047</v>
      </c>
      <c r="AO28" s="647">
        <v>2048</v>
      </c>
      <c r="AP28" s="647">
        <v>2049</v>
      </c>
      <c r="AQ28" s="647">
        <v>2050</v>
      </c>
      <c r="AR28" s="647">
        <v>2051</v>
      </c>
      <c r="AS28" s="647">
        <v>2052</v>
      </c>
      <c r="AT28" s="647">
        <v>2053</v>
      </c>
      <c r="AU28" s="647">
        <v>2054</v>
      </c>
      <c r="AV28" s="647">
        <v>2055</v>
      </c>
      <c r="AW28" s="647">
        <v>2056</v>
      </c>
      <c r="AX28" s="647">
        <v>2057</v>
      </c>
      <c r="AY28" s="647">
        <v>2058</v>
      </c>
      <c r="AZ28" s="647">
        <v>2059</v>
      </c>
      <c r="BA28" s="647">
        <f>AZ28+1</f>
        <v>2060</v>
      </c>
    </row>
    <row r="29" spans="3:53" s="302" customFormat="1" ht="13.5" customHeight="1">
      <c r="C29" s="654" t="s">
        <v>782</v>
      </c>
      <c r="D29" s="655"/>
      <c r="E29" s="656"/>
      <c r="F29" s="657">
        <f>Sensitivity!E31</f>
        <v>0</v>
      </c>
      <c r="G29" s="4835">
        <v>0</v>
      </c>
      <c r="H29" s="4835">
        <v>0</v>
      </c>
      <c r="I29" s="4835">
        <v>0</v>
      </c>
      <c r="J29" s="4841">
        <v>0</v>
      </c>
      <c r="K29" s="4841">
        <v>0</v>
      </c>
      <c r="L29" s="4841">
        <v>0</v>
      </c>
      <c r="M29" s="659">
        <f t="shared" ref="M29:BA29" ca="1" si="17">M30/L30-1</f>
        <v>0</v>
      </c>
      <c r="N29" s="659">
        <f t="shared" ca="1" si="17"/>
        <v>5.0000000000000044E-2</v>
      </c>
      <c r="O29" s="659">
        <f t="shared" ca="1" si="17"/>
        <v>0</v>
      </c>
      <c r="P29" s="659">
        <f t="shared" ca="1" si="17"/>
        <v>0</v>
      </c>
      <c r="Q29" s="659">
        <f t="shared" ca="1" si="17"/>
        <v>5.0000000000000044E-2</v>
      </c>
      <c r="R29" s="659">
        <f t="shared" ca="1" si="17"/>
        <v>0</v>
      </c>
      <c r="S29" s="659">
        <f t="shared" ca="1" si="17"/>
        <v>0</v>
      </c>
      <c r="T29" s="659">
        <f t="shared" ca="1" si="17"/>
        <v>5.0000000000000044E-2</v>
      </c>
      <c r="U29" s="659">
        <f t="shared" ca="1" si="17"/>
        <v>0</v>
      </c>
      <c r="V29" s="659">
        <f t="shared" ca="1" si="17"/>
        <v>0</v>
      </c>
      <c r="W29" s="659">
        <f t="shared" ca="1" si="17"/>
        <v>5.0000000000000044E-2</v>
      </c>
      <c r="X29" s="659">
        <f t="shared" ca="1" si="17"/>
        <v>0</v>
      </c>
      <c r="Y29" s="659">
        <f t="shared" ca="1" si="17"/>
        <v>0</v>
      </c>
      <c r="Z29" s="659">
        <f t="shared" ca="1" si="17"/>
        <v>5.0000000000000044E-2</v>
      </c>
      <c r="AA29" s="659">
        <f t="shared" ca="1" si="17"/>
        <v>0</v>
      </c>
      <c r="AB29" s="659">
        <f t="shared" ca="1" si="17"/>
        <v>0</v>
      </c>
      <c r="AC29" s="659">
        <f t="shared" ca="1" si="17"/>
        <v>5.0000000000000044E-2</v>
      </c>
      <c r="AD29" s="659">
        <f t="shared" ca="1" si="17"/>
        <v>0</v>
      </c>
      <c r="AE29" s="659">
        <f t="shared" ca="1" si="17"/>
        <v>0</v>
      </c>
      <c r="AF29" s="659">
        <f t="shared" ca="1" si="17"/>
        <v>5.0000000000000044E-2</v>
      </c>
      <c r="AG29" s="659">
        <f t="shared" ca="1" si="17"/>
        <v>0</v>
      </c>
      <c r="AH29" s="659">
        <f t="shared" ca="1" si="17"/>
        <v>0</v>
      </c>
      <c r="AI29" s="659">
        <f t="shared" ca="1" si="17"/>
        <v>5.0000000000000044E-2</v>
      </c>
      <c r="AJ29" s="659">
        <f t="shared" ca="1" si="17"/>
        <v>0</v>
      </c>
      <c r="AK29" s="659">
        <f t="shared" ca="1" si="17"/>
        <v>0</v>
      </c>
      <c r="AL29" s="659">
        <f t="shared" ca="1" si="17"/>
        <v>5.0000000000000044E-2</v>
      </c>
      <c r="AM29" s="659">
        <f t="shared" ca="1" si="17"/>
        <v>0</v>
      </c>
      <c r="AN29" s="659">
        <f t="shared" ca="1" si="17"/>
        <v>0</v>
      </c>
      <c r="AO29" s="659">
        <f t="shared" ca="1" si="17"/>
        <v>5.0000000000000044E-2</v>
      </c>
      <c r="AP29" s="659">
        <f t="shared" ca="1" si="17"/>
        <v>0</v>
      </c>
      <c r="AQ29" s="659">
        <f t="shared" ca="1" si="17"/>
        <v>0</v>
      </c>
      <c r="AR29" s="659">
        <f t="shared" ca="1" si="17"/>
        <v>5.0000000000000044E-2</v>
      </c>
      <c r="AS29" s="659">
        <f t="shared" ca="1" si="17"/>
        <v>0</v>
      </c>
      <c r="AT29" s="659">
        <f t="shared" ca="1" si="17"/>
        <v>0</v>
      </c>
      <c r="AU29" s="659">
        <f t="shared" ca="1" si="17"/>
        <v>5.0000000000000044E-2</v>
      </c>
      <c r="AV29" s="659">
        <f t="shared" ca="1" si="17"/>
        <v>0</v>
      </c>
      <c r="AW29" s="659">
        <f t="shared" ca="1" si="17"/>
        <v>0</v>
      </c>
      <c r="AX29" s="659">
        <f t="shared" ca="1" si="17"/>
        <v>5.0000000000000044E-2</v>
      </c>
      <c r="AY29" s="659">
        <f t="shared" ca="1" si="17"/>
        <v>0</v>
      </c>
      <c r="AZ29" s="659">
        <f t="shared" ca="1" si="17"/>
        <v>0</v>
      </c>
      <c r="BA29" s="659">
        <f t="shared" ca="1" si="17"/>
        <v>5.0000000000000044E-2</v>
      </c>
    </row>
    <row r="30" spans="3:53" s="302" customFormat="1" ht="13.5" customHeight="1">
      <c r="C30" s="654" t="s">
        <v>786</v>
      </c>
      <c r="D30" s="655"/>
      <c r="E30" s="656"/>
      <c r="F30" s="657">
        <f ca="1">민감도!E73</f>
        <v>0.05</v>
      </c>
      <c r="G30" s="4835">
        <v>1</v>
      </c>
      <c r="H30" s="4835">
        <f>G30*(1+H29)</f>
        <v>1</v>
      </c>
      <c r="I30" s="4835">
        <f>H30*(1+I29)</f>
        <v>1</v>
      </c>
      <c r="J30" s="4835">
        <f>I30*(1+J29)</f>
        <v>1</v>
      </c>
      <c r="K30" s="4835">
        <f>J30*(1+K29)</f>
        <v>1</v>
      </c>
      <c r="L30" s="4836">
        <f t="shared" ref="L30:BA30" ca="1" si="18">IF(L32=0,K30,K30*(1+$F30)^L32)</f>
        <v>1</v>
      </c>
      <c r="M30" s="659">
        <f t="shared" ca="1" si="18"/>
        <v>1</v>
      </c>
      <c r="N30" s="659">
        <f t="shared" ca="1" si="18"/>
        <v>1.05</v>
      </c>
      <c r="O30" s="659">
        <f t="shared" ca="1" si="18"/>
        <v>1.05</v>
      </c>
      <c r="P30" s="659">
        <f t="shared" ca="1" si="18"/>
        <v>1.05</v>
      </c>
      <c r="Q30" s="659">
        <f t="shared" ca="1" si="18"/>
        <v>1.1025</v>
      </c>
      <c r="R30" s="659">
        <f t="shared" ca="1" si="18"/>
        <v>1.1025</v>
      </c>
      <c r="S30" s="659">
        <f t="shared" ca="1" si="18"/>
        <v>1.1025</v>
      </c>
      <c r="T30" s="659">
        <f t="shared" ca="1" si="18"/>
        <v>1.1576250000000001</v>
      </c>
      <c r="U30" s="659">
        <f t="shared" ca="1" si="18"/>
        <v>1.1576250000000001</v>
      </c>
      <c r="V30" s="659">
        <f t="shared" ca="1" si="18"/>
        <v>1.1576250000000001</v>
      </c>
      <c r="W30" s="659">
        <f t="shared" ca="1" si="18"/>
        <v>1.2155062500000002</v>
      </c>
      <c r="X30" s="659">
        <f t="shared" ca="1" si="18"/>
        <v>1.2155062500000002</v>
      </c>
      <c r="Y30" s="659">
        <f t="shared" ca="1" si="18"/>
        <v>1.2155062500000002</v>
      </c>
      <c r="Z30" s="659">
        <f t="shared" ca="1" si="18"/>
        <v>1.2762815625000004</v>
      </c>
      <c r="AA30" s="659">
        <f t="shared" ca="1" si="18"/>
        <v>1.2762815625000004</v>
      </c>
      <c r="AB30" s="659">
        <f t="shared" ca="1" si="18"/>
        <v>1.2762815625000004</v>
      </c>
      <c r="AC30" s="659">
        <f t="shared" ca="1" si="18"/>
        <v>1.3400956406250004</v>
      </c>
      <c r="AD30" s="659">
        <f t="shared" ca="1" si="18"/>
        <v>1.3400956406250004</v>
      </c>
      <c r="AE30" s="659">
        <f t="shared" ca="1" si="18"/>
        <v>1.3400956406250004</v>
      </c>
      <c r="AF30" s="659">
        <f t="shared" ca="1" si="18"/>
        <v>1.4071004226562505</v>
      </c>
      <c r="AG30" s="659">
        <f t="shared" ca="1" si="18"/>
        <v>1.4071004226562505</v>
      </c>
      <c r="AH30" s="659">
        <f t="shared" ca="1" si="18"/>
        <v>1.4071004226562505</v>
      </c>
      <c r="AI30" s="659">
        <f t="shared" ca="1" si="18"/>
        <v>1.477455443789063</v>
      </c>
      <c r="AJ30" s="659">
        <f t="shared" ca="1" si="18"/>
        <v>1.477455443789063</v>
      </c>
      <c r="AK30" s="659">
        <f t="shared" ca="1" si="18"/>
        <v>1.477455443789063</v>
      </c>
      <c r="AL30" s="659">
        <f t="shared" ca="1" si="18"/>
        <v>1.5513282159785162</v>
      </c>
      <c r="AM30" s="659">
        <f t="shared" ca="1" si="18"/>
        <v>1.5513282159785162</v>
      </c>
      <c r="AN30" s="659">
        <f t="shared" ca="1" si="18"/>
        <v>1.5513282159785162</v>
      </c>
      <c r="AO30" s="659">
        <f t="shared" ca="1" si="18"/>
        <v>1.628894626777442</v>
      </c>
      <c r="AP30" s="659">
        <f t="shared" ca="1" si="18"/>
        <v>1.628894626777442</v>
      </c>
      <c r="AQ30" s="659">
        <f t="shared" ca="1" si="18"/>
        <v>1.628894626777442</v>
      </c>
      <c r="AR30" s="659">
        <f t="shared" ca="1" si="18"/>
        <v>1.7103393581163142</v>
      </c>
      <c r="AS30" s="659">
        <f t="shared" ca="1" si="18"/>
        <v>1.7103393581163142</v>
      </c>
      <c r="AT30" s="659">
        <f t="shared" ca="1" si="18"/>
        <v>1.7103393581163142</v>
      </c>
      <c r="AU30" s="659">
        <f t="shared" ca="1" si="18"/>
        <v>1.7958563260221301</v>
      </c>
      <c r="AV30" s="659">
        <f t="shared" ca="1" si="18"/>
        <v>1.7958563260221301</v>
      </c>
      <c r="AW30" s="659">
        <f t="shared" ca="1" si="18"/>
        <v>1.7958563260221301</v>
      </c>
      <c r="AX30" s="659">
        <f t="shared" ca="1" si="18"/>
        <v>1.8856491423232367</v>
      </c>
      <c r="AY30" s="659">
        <f t="shared" ca="1" si="18"/>
        <v>1.8856491423232367</v>
      </c>
      <c r="AZ30" s="659">
        <f t="shared" ca="1" si="18"/>
        <v>1.8856491423232367</v>
      </c>
      <c r="BA30" s="659">
        <f t="shared" ca="1" si="18"/>
        <v>1.9799315994393987</v>
      </c>
    </row>
    <row r="31" spans="3:53" s="302" customFormat="1" ht="13.5" customHeight="1">
      <c r="C31" s="660" t="s">
        <v>784</v>
      </c>
      <c r="D31" s="661"/>
      <c r="E31" s="662"/>
      <c r="F31" s="663"/>
      <c r="G31" s="4837">
        <v>0</v>
      </c>
      <c r="H31" s="4837">
        <v>0</v>
      </c>
      <c r="I31" s="4837">
        <v>0</v>
      </c>
      <c r="J31" s="4837">
        <v>0</v>
      </c>
      <c r="K31" s="4837">
        <f t="shared" ref="K31:BA31" si="19">J31+1</f>
        <v>1</v>
      </c>
      <c r="L31" s="4837">
        <f t="shared" si="19"/>
        <v>2</v>
      </c>
      <c r="M31" s="664">
        <f t="shared" si="19"/>
        <v>3</v>
      </c>
      <c r="N31" s="664">
        <f t="shared" si="19"/>
        <v>4</v>
      </c>
      <c r="O31" s="664">
        <f t="shared" si="19"/>
        <v>5</v>
      </c>
      <c r="P31" s="664">
        <f t="shared" si="19"/>
        <v>6</v>
      </c>
      <c r="Q31" s="664">
        <f t="shared" si="19"/>
        <v>7</v>
      </c>
      <c r="R31" s="664">
        <f t="shared" si="19"/>
        <v>8</v>
      </c>
      <c r="S31" s="664">
        <f t="shared" si="19"/>
        <v>9</v>
      </c>
      <c r="T31" s="664">
        <f t="shared" si="19"/>
        <v>10</v>
      </c>
      <c r="U31" s="664">
        <f t="shared" si="19"/>
        <v>11</v>
      </c>
      <c r="V31" s="664">
        <f t="shared" si="19"/>
        <v>12</v>
      </c>
      <c r="W31" s="664">
        <f t="shared" si="19"/>
        <v>13</v>
      </c>
      <c r="X31" s="664">
        <f t="shared" si="19"/>
        <v>14</v>
      </c>
      <c r="Y31" s="664">
        <f t="shared" si="19"/>
        <v>15</v>
      </c>
      <c r="Z31" s="664">
        <f t="shared" si="19"/>
        <v>16</v>
      </c>
      <c r="AA31" s="664">
        <f t="shared" si="19"/>
        <v>17</v>
      </c>
      <c r="AB31" s="664">
        <f t="shared" si="19"/>
        <v>18</v>
      </c>
      <c r="AC31" s="664">
        <f t="shared" si="19"/>
        <v>19</v>
      </c>
      <c r="AD31" s="664">
        <f t="shared" si="19"/>
        <v>20</v>
      </c>
      <c r="AE31" s="664">
        <f t="shared" si="19"/>
        <v>21</v>
      </c>
      <c r="AF31" s="664">
        <f t="shared" si="19"/>
        <v>22</v>
      </c>
      <c r="AG31" s="664">
        <f t="shared" si="19"/>
        <v>23</v>
      </c>
      <c r="AH31" s="664">
        <f t="shared" si="19"/>
        <v>24</v>
      </c>
      <c r="AI31" s="664">
        <f t="shared" si="19"/>
        <v>25</v>
      </c>
      <c r="AJ31" s="664">
        <f t="shared" si="19"/>
        <v>26</v>
      </c>
      <c r="AK31" s="664">
        <f t="shared" si="19"/>
        <v>27</v>
      </c>
      <c r="AL31" s="664">
        <f t="shared" si="19"/>
        <v>28</v>
      </c>
      <c r="AM31" s="664">
        <f t="shared" si="19"/>
        <v>29</v>
      </c>
      <c r="AN31" s="664">
        <f t="shared" si="19"/>
        <v>30</v>
      </c>
      <c r="AO31" s="664">
        <f t="shared" si="19"/>
        <v>31</v>
      </c>
      <c r="AP31" s="664">
        <f t="shared" si="19"/>
        <v>32</v>
      </c>
      <c r="AQ31" s="664">
        <f t="shared" si="19"/>
        <v>33</v>
      </c>
      <c r="AR31" s="664">
        <f t="shared" si="19"/>
        <v>34</v>
      </c>
      <c r="AS31" s="664">
        <f t="shared" si="19"/>
        <v>35</v>
      </c>
      <c r="AT31" s="664">
        <f t="shared" si="19"/>
        <v>36</v>
      </c>
      <c r="AU31" s="664">
        <f t="shared" si="19"/>
        <v>37</v>
      </c>
      <c r="AV31" s="664">
        <f t="shared" si="19"/>
        <v>38</v>
      </c>
      <c r="AW31" s="664">
        <f t="shared" si="19"/>
        <v>39</v>
      </c>
      <c r="AX31" s="664">
        <f t="shared" si="19"/>
        <v>40</v>
      </c>
      <c r="AY31" s="664">
        <f t="shared" si="19"/>
        <v>41</v>
      </c>
      <c r="AZ31" s="664">
        <f t="shared" si="19"/>
        <v>42</v>
      </c>
      <c r="BA31" s="664">
        <f t="shared" si="19"/>
        <v>43</v>
      </c>
    </row>
    <row r="32" spans="3:53" s="302" customFormat="1" ht="13.5" customHeight="1">
      <c r="C32" s="665" t="s">
        <v>785</v>
      </c>
      <c r="D32" s="666"/>
      <c r="E32" s="667"/>
      <c r="F32" s="668">
        <f ca="1">민감도!E74</f>
        <v>3</v>
      </c>
      <c r="G32" s="4838">
        <f ca="1">(MOD(G31,$F$32)=1)*1</f>
        <v>0</v>
      </c>
      <c r="H32" s="4838">
        <f t="shared" ref="H32:BA32" ca="1" si="20">(MOD(H31,$F$32)=1)*1</f>
        <v>0</v>
      </c>
      <c r="I32" s="4838">
        <f t="shared" ca="1" si="20"/>
        <v>0</v>
      </c>
      <c r="J32" s="4838">
        <f t="shared" ca="1" si="20"/>
        <v>0</v>
      </c>
      <c r="K32" s="4838">
        <f t="shared" ca="1" si="20"/>
        <v>1</v>
      </c>
      <c r="L32" s="4838">
        <f t="shared" ca="1" si="20"/>
        <v>0</v>
      </c>
      <c r="M32" s="669">
        <f t="shared" ca="1" si="20"/>
        <v>0</v>
      </c>
      <c r="N32" s="669">
        <f t="shared" ca="1" si="20"/>
        <v>1</v>
      </c>
      <c r="O32" s="669">
        <f t="shared" ca="1" si="20"/>
        <v>0</v>
      </c>
      <c r="P32" s="669">
        <f t="shared" ca="1" si="20"/>
        <v>0</v>
      </c>
      <c r="Q32" s="669">
        <f t="shared" ca="1" si="20"/>
        <v>1</v>
      </c>
      <c r="R32" s="669">
        <f t="shared" ca="1" si="20"/>
        <v>0</v>
      </c>
      <c r="S32" s="669">
        <f t="shared" ca="1" si="20"/>
        <v>0</v>
      </c>
      <c r="T32" s="669">
        <f t="shared" ca="1" si="20"/>
        <v>1</v>
      </c>
      <c r="U32" s="669">
        <f t="shared" ca="1" si="20"/>
        <v>0</v>
      </c>
      <c r="V32" s="669">
        <f t="shared" ca="1" si="20"/>
        <v>0</v>
      </c>
      <c r="W32" s="669">
        <f t="shared" ca="1" si="20"/>
        <v>1</v>
      </c>
      <c r="X32" s="669">
        <f t="shared" ca="1" si="20"/>
        <v>0</v>
      </c>
      <c r="Y32" s="669">
        <f t="shared" ca="1" si="20"/>
        <v>0</v>
      </c>
      <c r="Z32" s="669">
        <f t="shared" ca="1" si="20"/>
        <v>1</v>
      </c>
      <c r="AA32" s="669">
        <f t="shared" ca="1" si="20"/>
        <v>0</v>
      </c>
      <c r="AB32" s="669">
        <f t="shared" ca="1" si="20"/>
        <v>0</v>
      </c>
      <c r="AC32" s="669">
        <f t="shared" ca="1" si="20"/>
        <v>1</v>
      </c>
      <c r="AD32" s="669">
        <f t="shared" ca="1" si="20"/>
        <v>0</v>
      </c>
      <c r="AE32" s="669">
        <f t="shared" ca="1" si="20"/>
        <v>0</v>
      </c>
      <c r="AF32" s="669">
        <f t="shared" ca="1" si="20"/>
        <v>1</v>
      </c>
      <c r="AG32" s="669">
        <f t="shared" ca="1" si="20"/>
        <v>0</v>
      </c>
      <c r="AH32" s="669">
        <f t="shared" ca="1" si="20"/>
        <v>0</v>
      </c>
      <c r="AI32" s="669">
        <f t="shared" ca="1" si="20"/>
        <v>1</v>
      </c>
      <c r="AJ32" s="669">
        <f t="shared" ca="1" si="20"/>
        <v>0</v>
      </c>
      <c r="AK32" s="669">
        <f t="shared" ca="1" si="20"/>
        <v>0</v>
      </c>
      <c r="AL32" s="669">
        <f t="shared" ca="1" si="20"/>
        <v>1</v>
      </c>
      <c r="AM32" s="669">
        <f t="shared" ca="1" si="20"/>
        <v>0</v>
      </c>
      <c r="AN32" s="669">
        <f t="shared" ca="1" si="20"/>
        <v>0</v>
      </c>
      <c r="AO32" s="669">
        <f t="shared" ca="1" si="20"/>
        <v>1</v>
      </c>
      <c r="AP32" s="669">
        <f t="shared" ca="1" si="20"/>
        <v>0</v>
      </c>
      <c r="AQ32" s="669">
        <f t="shared" ca="1" si="20"/>
        <v>0</v>
      </c>
      <c r="AR32" s="669">
        <f t="shared" ca="1" si="20"/>
        <v>1</v>
      </c>
      <c r="AS32" s="669">
        <f t="shared" ca="1" si="20"/>
        <v>0</v>
      </c>
      <c r="AT32" s="669">
        <f t="shared" ca="1" si="20"/>
        <v>0</v>
      </c>
      <c r="AU32" s="669">
        <f t="shared" ca="1" si="20"/>
        <v>1</v>
      </c>
      <c r="AV32" s="669">
        <f t="shared" ca="1" si="20"/>
        <v>0</v>
      </c>
      <c r="AW32" s="669">
        <f t="shared" ca="1" si="20"/>
        <v>0</v>
      </c>
      <c r="AX32" s="669">
        <f t="shared" ca="1" si="20"/>
        <v>1</v>
      </c>
      <c r="AY32" s="669">
        <f t="shared" ca="1" si="20"/>
        <v>0</v>
      </c>
      <c r="AZ32" s="669">
        <f t="shared" ca="1" si="20"/>
        <v>0</v>
      </c>
      <c r="BA32" s="669">
        <f t="shared" ca="1" si="20"/>
        <v>1</v>
      </c>
    </row>
    <row r="35" spans="3:16" s="672" customFormat="1" ht="17.25" hidden="1">
      <c r="C35" s="671" t="s">
        <v>787</v>
      </c>
    </row>
    <row r="36" spans="3:16" s="672" customFormat="1" ht="10.5" hidden="1" customHeight="1"/>
    <row r="37" spans="3:16" s="673" customFormat="1" ht="15.75" hidden="1" customHeight="1">
      <c r="D37" s="673" t="s">
        <v>788</v>
      </c>
    </row>
    <row r="38" spans="3:16" s="673" customFormat="1" ht="15.75" hidden="1" customHeight="1" thickBot="1">
      <c r="D38" s="674" t="s">
        <v>789</v>
      </c>
      <c r="E38" s="675" t="s">
        <v>790</v>
      </c>
      <c r="F38" s="676" t="s">
        <v>791</v>
      </c>
      <c r="G38" s="677" t="s">
        <v>792</v>
      </c>
      <c r="H38" s="675" t="s">
        <v>793</v>
      </c>
      <c r="I38" s="676" t="s">
        <v>794</v>
      </c>
      <c r="J38" s="677" t="s">
        <v>795</v>
      </c>
      <c r="K38" s="675" t="s">
        <v>796</v>
      </c>
      <c r="L38" s="676" t="s">
        <v>797</v>
      </c>
      <c r="M38" s="677" t="s">
        <v>798</v>
      </c>
      <c r="N38" s="675" t="s">
        <v>799</v>
      </c>
      <c r="O38" s="676" t="s">
        <v>800</v>
      </c>
      <c r="P38" s="677" t="s">
        <v>801</v>
      </c>
    </row>
    <row r="39" spans="3:16" s="673" customFormat="1" ht="15.75" hidden="1" customHeight="1" thickTop="1">
      <c r="D39" s="678">
        <v>2000</v>
      </c>
      <c r="E39" s="679">
        <v>65.838999999999999</v>
      </c>
      <c r="F39" s="680">
        <v>66.040000000000006</v>
      </c>
      <c r="G39" s="681">
        <v>66.372</v>
      </c>
      <c r="H39" s="679">
        <v>66.105999999999995</v>
      </c>
      <c r="I39" s="680">
        <v>65.772999999999996</v>
      </c>
      <c r="J39" s="681">
        <v>66.105999999999995</v>
      </c>
      <c r="K39" s="679">
        <v>66.372</v>
      </c>
      <c r="L39" s="680">
        <v>66.703999999999994</v>
      </c>
      <c r="M39" s="681">
        <v>67.569999999999993</v>
      </c>
      <c r="N39" s="679">
        <v>67.504000000000005</v>
      </c>
      <c r="O39" s="680">
        <v>67.103999999999999</v>
      </c>
      <c r="P39" s="681">
        <v>67.37</v>
      </c>
    </row>
    <row r="40" spans="3:16" s="673" customFormat="1" ht="15.75" hidden="1" customHeight="1">
      <c r="D40" s="682">
        <v>2001</v>
      </c>
      <c r="E40" s="683">
        <v>68.102999999999994</v>
      </c>
      <c r="F40" s="684">
        <v>68.435000000000002</v>
      </c>
      <c r="G40" s="685">
        <v>69.034999999999997</v>
      </c>
      <c r="H40" s="683">
        <v>69.301000000000002</v>
      </c>
      <c r="I40" s="686">
        <v>69.233999999999995</v>
      </c>
      <c r="J40" s="685">
        <v>69.433999999999997</v>
      </c>
      <c r="K40" s="683">
        <v>69.566999999999993</v>
      </c>
      <c r="L40" s="684">
        <v>69.832999999999998</v>
      </c>
      <c r="M40" s="685">
        <v>69.766999999999996</v>
      </c>
      <c r="N40" s="683">
        <v>69.766999999999996</v>
      </c>
      <c r="O40" s="684">
        <v>69.367999999999995</v>
      </c>
      <c r="P40" s="685">
        <v>69.501000000000005</v>
      </c>
    </row>
    <row r="41" spans="3:16" s="673" customFormat="1" ht="15.75" hidden="1" customHeight="1">
      <c r="D41" s="682">
        <v>2002</v>
      </c>
      <c r="E41" s="683">
        <v>69.900000000000006</v>
      </c>
      <c r="F41" s="684">
        <v>70.233000000000004</v>
      </c>
      <c r="G41" s="685">
        <v>70.632000000000005</v>
      </c>
      <c r="H41" s="683">
        <v>71.031999999999996</v>
      </c>
      <c r="I41" s="684">
        <v>71.298000000000002</v>
      </c>
      <c r="J41" s="685">
        <v>71.230999999999995</v>
      </c>
      <c r="K41" s="683">
        <v>71.031999999999996</v>
      </c>
      <c r="L41" s="684">
        <v>71.498000000000005</v>
      </c>
      <c r="M41" s="685">
        <v>71.897999999999996</v>
      </c>
      <c r="N41" s="683">
        <v>71.697000000000003</v>
      </c>
      <c r="O41" s="684">
        <v>71.763999999999996</v>
      </c>
      <c r="P41" s="685">
        <v>72.096000000000004</v>
      </c>
    </row>
    <row r="42" spans="3:16" s="673" customFormat="1" ht="15.75" hidden="1" customHeight="1">
      <c r="D42" s="682">
        <v>2003</v>
      </c>
      <c r="E42" s="683">
        <v>72.563999999999993</v>
      </c>
      <c r="F42" s="684">
        <v>72.962000000000003</v>
      </c>
      <c r="G42" s="685">
        <v>73.828000000000003</v>
      </c>
      <c r="H42" s="683">
        <v>73.694999999999993</v>
      </c>
      <c r="I42" s="684">
        <v>73.561999999999998</v>
      </c>
      <c r="J42" s="685">
        <v>73.361999999999995</v>
      </c>
      <c r="K42" s="683">
        <v>73.296000000000006</v>
      </c>
      <c r="L42" s="684">
        <v>73.628</v>
      </c>
      <c r="M42" s="685">
        <v>74.293999999999997</v>
      </c>
      <c r="N42" s="683">
        <v>74.36</v>
      </c>
      <c r="O42" s="684">
        <v>74.227000000000004</v>
      </c>
      <c r="P42" s="685">
        <v>74.561000000000007</v>
      </c>
    </row>
    <row r="43" spans="3:16" s="673" customFormat="1" ht="15.75" hidden="1" customHeight="1">
      <c r="D43" s="682">
        <v>2004</v>
      </c>
      <c r="E43" s="683">
        <v>75.027000000000001</v>
      </c>
      <c r="F43" s="684">
        <v>75.358999999999995</v>
      </c>
      <c r="G43" s="685">
        <v>76.090999999999994</v>
      </c>
      <c r="H43" s="683">
        <v>76.090999999999994</v>
      </c>
      <c r="I43" s="684">
        <v>76.025000000000006</v>
      </c>
      <c r="J43" s="685">
        <v>76.025000000000006</v>
      </c>
      <c r="K43" s="683">
        <v>76.491</v>
      </c>
      <c r="L43" s="684">
        <v>77.156000000000006</v>
      </c>
      <c r="M43" s="685">
        <v>77.156000000000006</v>
      </c>
      <c r="N43" s="683">
        <v>77.156000000000006</v>
      </c>
      <c r="O43" s="684">
        <v>76.691000000000003</v>
      </c>
      <c r="P43" s="685">
        <v>76.823999999999998</v>
      </c>
    </row>
    <row r="44" spans="3:16" s="673" customFormat="1" ht="15.75" hidden="1" customHeight="1">
      <c r="D44" s="682">
        <f t="shared" ref="D44:D55" si="21">D43+1</f>
        <v>2005</v>
      </c>
      <c r="E44" s="683">
        <v>77.58</v>
      </c>
      <c r="F44" s="684">
        <v>77.894999999999996</v>
      </c>
      <c r="G44" s="685">
        <v>78.364999999999995</v>
      </c>
      <c r="H44" s="683">
        <v>78.444000000000003</v>
      </c>
      <c r="I44" s="684">
        <v>78.364999999999995</v>
      </c>
      <c r="J44" s="685">
        <v>78.129000000000005</v>
      </c>
      <c r="K44" s="683">
        <v>78.444000000000003</v>
      </c>
      <c r="L44" s="684">
        <v>78.679000000000002</v>
      </c>
      <c r="M44" s="685">
        <v>79.070999999999998</v>
      </c>
      <c r="N44" s="683">
        <v>78.914000000000001</v>
      </c>
      <c r="O44" s="684">
        <v>78.599999999999994</v>
      </c>
      <c r="P44" s="685">
        <v>78.835999999999999</v>
      </c>
    </row>
    <row r="45" spans="3:16" s="673" customFormat="1" ht="15.75" hidden="1" customHeight="1">
      <c r="D45" s="682">
        <f t="shared" si="21"/>
        <v>2006</v>
      </c>
      <c r="E45" s="683">
        <v>79.305999999999997</v>
      </c>
      <c r="F45" s="684">
        <v>79.463999999999999</v>
      </c>
      <c r="G45" s="685">
        <v>79.933999999999997</v>
      </c>
      <c r="H45" s="683">
        <v>80.013000000000005</v>
      </c>
      <c r="I45" s="684">
        <v>80.168999999999997</v>
      </c>
      <c r="J45" s="685">
        <v>80.013000000000005</v>
      </c>
      <c r="K45" s="683">
        <v>80.325999999999993</v>
      </c>
      <c r="L45" s="684">
        <v>80.796999999999997</v>
      </c>
      <c r="M45" s="685">
        <v>81.031999999999996</v>
      </c>
      <c r="N45" s="683">
        <v>80.64</v>
      </c>
      <c r="O45" s="684">
        <v>80.248000000000005</v>
      </c>
      <c r="P45" s="685">
        <v>80.483000000000004</v>
      </c>
    </row>
    <row r="46" spans="3:16" s="673" customFormat="1" ht="15.75" hidden="1" customHeight="1">
      <c r="D46" s="682">
        <f t="shared" si="21"/>
        <v>2007</v>
      </c>
      <c r="E46" s="683">
        <v>80.64</v>
      </c>
      <c r="F46" s="684">
        <v>81.188999999999993</v>
      </c>
      <c r="G46" s="685">
        <v>81.66</v>
      </c>
      <c r="H46" s="683">
        <v>81.972999999999999</v>
      </c>
      <c r="I46" s="684">
        <v>82.052000000000007</v>
      </c>
      <c r="J46" s="685">
        <v>82.052000000000007</v>
      </c>
      <c r="K46" s="683">
        <v>82.366</v>
      </c>
      <c r="L46" s="684">
        <v>82.444000000000003</v>
      </c>
      <c r="M46" s="685">
        <v>82.915000000000006</v>
      </c>
      <c r="N46" s="683">
        <v>83.072000000000003</v>
      </c>
      <c r="O46" s="684">
        <v>83.072000000000003</v>
      </c>
      <c r="P46" s="685">
        <v>83.385999999999996</v>
      </c>
    </row>
    <row r="47" spans="3:16" s="673" customFormat="1" ht="15.75" hidden="1" customHeight="1">
      <c r="D47" s="682">
        <f t="shared" si="21"/>
        <v>2008</v>
      </c>
      <c r="E47" s="683">
        <v>83.777000000000001</v>
      </c>
      <c r="F47" s="684">
        <v>84.091999999999999</v>
      </c>
      <c r="G47" s="685">
        <v>84.876000000000005</v>
      </c>
      <c r="H47" s="683">
        <v>85.346999999999994</v>
      </c>
      <c r="I47" s="684">
        <v>86.052000000000007</v>
      </c>
      <c r="J47" s="685">
        <v>86.600999999999999</v>
      </c>
      <c r="K47" s="683">
        <v>87.228999999999999</v>
      </c>
      <c r="L47" s="684">
        <v>87.072000000000003</v>
      </c>
      <c r="M47" s="685">
        <v>87.150999999999996</v>
      </c>
      <c r="N47" s="683">
        <v>87.072000000000003</v>
      </c>
      <c r="O47" s="684">
        <v>86.837000000000003</v>
      </c>
      <c r="P47" s="685">
        <v>86.837000000000003</v>
      </c>
    </row>
    <row r="48" spans="3:16" s="673" customFormat="1" ht="15.75" hidden="1" customHeight="1">
      <c r="D48" s="682">
        <f t="shared" si="21"/>
        <v>2009</v>
      </c>
      <c r="E48" s="683">
        <v>86.915999999999997</v>
      </c>
      <c r="F48" s="684">
        <v>87.543000000000006</v>
      </c>
      <c r="G48" s="685">
        <v>88.17</v>
      </c>
      <c r="H48" s="683">
        <v>88.405000000000001</v>
      </c>
      <c r="I48" s="684">
        <v>88.405000000000001</v>
      </c>
      <c r="J48" s="685">
        <v>88.326999999999998</v>
      </c>
      <c r="K48" s="683">
        <v>88.641000000000005</v>
      </c>
      <c r="L48" s="684">
        <v>88.954999999999998</v>
      </c>
      <c r="M48" s="685">
        <v>89.034000000000006</v>
      </c>
      <c r="N48" s="683">
        <v>88.798000000000002</v>
      </c>
      <c r="O48" s="684">
        <v>88.954999999999998</v>
      </c>
      <c r="P48" s="685">
        <v>89.269000000000005</v>
      </c>
    </row>
    <row r="49" spans="2:21" s="673" customFormat="1" ht="15.75" hidden="1" customHeight="1">
      <c r="D49" s="682">
        <f t="shared" si="21"/>
        <v>2010</v>
      </c>
      <c r="E49" s="683">
        <v>89.974000000000004</v>
      </c>
      <c r="F49" s="684">
        <v>90.156000000000006</v>
      </c>
      <c r="G49" s="685">
        <v>90.337999999999994</v>
      </c>
      <c r="H49" s="683">
        <v>90.701999999999998</v>
      </c>
      <c r="I49" s="684">
        <v>90.793000000000006</v>
      </c>
      <c r="J49" s="685">
        <v>90.701999999999998</v>
      </c>
      <c r="K49" s="683">
        <v>90.884</v>
      </c>
      <c r="L49" s="684">
        <v>91.34</v>
      </c>
      <c r="M49" s="685">
        <v>92.067999999999998</v>
      </c>
      <c r="N49" s="683">
        <v>92.067999999999998</v>
      </c>
      <c r="O49" s="684">
        <v>91.613</v>
      </c>
      <c r="P49" s="685">
        <v>91.977000000000004</v>
      </c>
    </row>
    <row r="50" spans="2:21" s="673" customFormat="1" ht="15.75" hidden="1" customHeight="1">
      <c r="D50" s="682">
        <f t="shared" si="21"/>
        <v>2011</v>
      </c>
      <c r="E50" s="683">
        <v>93.07</v>
      </c>
      <c r="F50" s="684">
        <v>93.706999999999994</v>
      </c>
      <c r="G50" s="685">
        <v>94.072000000000003</v>
      </c>
      <c r="H50" s="683">
        <v>94.162999999999997</v>
      </c>
      <c r="I50" s="684">
        <v>94.344999999999999</v>
      </c>
      <c r="J50" s="685">
        <v>94.527000000000001</v>
      </c>
      <c r="K50" s="683">
        <v>94.981999999999999</v>
      </c>
      <c r="L50" s="684">
        <v>95.62</v>
      </c>
      <c r="M50" s="685">
        <v>95.528999999999996</v>
      </c>
      <c r="N50" s="683">
        <v>95.346999999999994</v>
      </c>
      <c r="O50" s="684">
        <v>95.438000000000002</v>
      </c>
      <c r="P50" s="685">
        <v>95.802000000000007</v>
      </c>
    </row>
    <row r="51" spans="2:21" s="673" customFormat="1" ht="15.75" hidden="1" customHeight="1">
      <c r="D51" s="682">
        <f t="shared" si="21"/>
        <v>2012</v>
      </c>
      <c r="E51" s="683">
        <v>96.183999999999997</v>
      </c>
      <c r="F51" s="684">
        <v>96.549000000000007</v>
      </c>
      <c r="G51" s="685">
        <v>96.575999999999993</v>
      </c>
      <c r="H51" s="683">
        <v>96.566999999999993</v>
      </c>
      <c r="I51" s="684">
        <v>96.74</v>
      </c>
      <c r="J51" s="685">
        <v>96.602999999999994</v>
      </c>
      <c r="K51" s="683">
        <v>96.385000000000005</v>
      </c>
      <c r="L51" s="684">
        <v>96.831000000000003</v>
      </c>
      <c r="M51" s="685">
        <v>97.522999999999996</v>
      </c>
      <c r="N51" s="683">
        <v>97.340999999999994</v>
      </c>
      <c r="O51" s="684">
        <v>96.995000000000005</v>
      </c>
      <c r="P51" s="685">
        <v>97.168000000000006</v>
      </c>
    </row>
    <row r="52" spans="2:21" s="673" customFormat="1" ht="15.75" hidden="1" customHeight="1">
      <c r="D52" s="682">
        <f t="shared" si="21"/>
        <v>2013</v>
      </c>
      <c r="E52" s="683">
        <v>97.751000000000005</v>
      </c>
      <c r="F52" s="684">
        <v>98.078000000000003</v>
      </c>
      <c r="G52" s="685">
        <v>97.986999999999995</v>
      </c>
      <c r="H52" s="683">
        <v>97.850999999999999</v>
      </c>
      <c r="I52" s="684">
        <v>97.850999999999999</v>
      </c>
      <c r="J52" s="685">
        <v>97.731999999999999</v>
      </c>
      <c r="K52" s="683">
        <v>97.941999999999993</v>
      </c>
      <c r="L52" s="684">
        <v>98.287999999999997</v>
      </c>
      <c r="M52" s="685">
        <v>98.478999999999999</v>
      </c>
      <c r="N52" s="683">
        <v>98.179000000000002</v>
      </c>
      <c r="O52" s="684">
        <v>98.16</v>
      </c>
      <c r="P52" s="685">
        <v>98.278999999999996</v>
      </c>
    </row>
    <row r="53" spans="2:21" s="673" customFormat="1" ht="15.75" hidden="1" customHeight="1">
      <c r="D53" s="682">
        <f t="shared" si="21"/>
        <v>2014</v>
      </c>
      <c r="E53" s="683">
        <v>98.807000000000002</v>
      </c>
      <c r="F53" s="684">
        <v>99.070999999999998</v>
      </c>
      <c r="G53" s="685">
        <v>99.253</v>
      </c>
      <c r="H53" s="683">
        <v>99.316999999999993</v>
      </c>
      <c r="I53" s="684">
        <v>99.480999999999995</v>
      </c>
      <c r="J53" s="685">
        <v>99.352999999999994</v>
      </c>
      <c r="K53" s="683">
        <v>99.498999999999995</v>
      </c>
      <c r="L53" s="684">
        <v>99.671999999999997</v>
      </c>
      <c r="M53" s="685">
        <v>99.608000000000004</v>
      </c>
      <c r="N53" s="683">
        <v>99.308000000000007</v>
      </c>
      <c r="O53" s="684">
        <v>99.108000000000004</v>
      </c>
      <c r="P53" s="685">
        <v>99.097999999999999</v>
      </c>
    </row>
    <row r="54" spans="2:21" s="673" customFormat="1" ht="15.75" hidden="1" customHeight="1">
      <c r="D54" s="682">
        <f t="shared" si="21"/>
        <v>2015</v>
      </c>
      <c r="E54" s="683">
        <v>99.77</v>
      </c>
      <c r="F54" s="684">
        <v>99.71</v>
      </c>
      <c r="G54" s="685">
        <v>99.72</v>
      </c>
      <c r="H54" s="683">
        <v>99.75</v>
      </c>
      <c r="I54" s="684">
        <v>100.03</v>
      </c>
      <c r="J54" s="685">
        <v>100.05</v>
      </c>
      <c r="K54" s="683">
        <v>100.23</v>
      </c>
      <c r="L54" s="684">
        <v>100.37</v>
      </c>
      <c r="M54" s="685">
        <v>100.11</v>
      </c>
      <c r="N54" s="683">
        <v>100.11</v>
      </c>
      <c r="O54" s="684">
        <v>99.92</v>
      </c>
      <c r="P54" s="687">
        <v>100.22</v>
      </c>
    </row>
    <row r="55" spans="2:21" s="673" customFormat="1" ht="15.75" hidden="1" customHeight="1">
      <c r="D55" s="688">
        <f t="shared" si="21"/>
        <v>2016</v>
      </c>
      <c r="E55" s="689">
        <v>100.39</v>
      </c>
      <c r="F55" s="690">
        <v>100.82</v>
      </c>
      <c r="G55" s="691">
        <v>100.56</v>
      </c>
      <c r="H55" s="689">
        <v>100.75</v>
      </c>
      <c r="I55" s="690">
        <v>100.81</v>
      </c>
      <c r="J55" s="691">
        <v>100.79</v>
      </c>
      <c r="K55" s="689">
        <v>100.6</v>
      </c>
      <c r="L55" s="690">
        <v>100.86</v>
      </c>
      <c r="M55" s="691">
        <v>101.46</v>
      </c>
      <c r="N55" s="689">
        <v>101.6</v>
      </c>
      <c r="O55" s="690">
        <v>101.45</v>
      </c>
      <c r="P55" s="687">
        <v>101.56</v>
      </c>
    </row>
    <row r="56" spans="2:21" s="673" customFormat="1" ht="15.75" hidden="1" customHeight="1">
      <c r="D56" s="692">
        <v>2017</v>
      </c>
      <c r="E56" s="693">
        <v>102.43</v>
      </c>
      <c r="F56" s="694">
        <v>102.77</v>
      </c>
      <c r="G56" s="695">
        <v>102.79</v>
      </c>
      <c r="H56" s="693">
        <v>102.66</v>
      </c>
      <c r="I56" s="694">
        <v>102.8</v>
      </c>
      <c r="J56" s="695">
        <v>102.67</v>
      </c>
      <c r="K56" s="693">
        <v>102.86</v>
      </c>
      <c r="L56" s="694">
        <v>103.48</v>
      </c>
      <c r="M56" s="695">
        <v>103.59</v>
      </c>
      <c r="N56" s="693">
        <v>103.4</v>
      </c>
      <c r="O56" s="694">
        <v>102.72</v>
      </c>
      <c r="P56" s="695">
        <v>103.04</v>
      </c>
    </row>
    <row r="57" spans="2:21">
      <c r="B57" s="414" t="s">
        <v>802</v>
      </c>
    </row>
    <row r="58" spans="2:21" ht="14.25" thickBot="1">
      <c r="B58" s="414"/>
    </row>
    <row r="59" spans="2:21" ht="14.25" thickBot="1">
      <c r="B59" s="302"/>
      <c r="C59" s="302"/>
      <c r="D59" s="696" t="s">
        <v>370</v>
      </c>
      <c r="E59" s="696" t="s">
        <v>372</v>
      </c>
      <c r="F59" s="696" t="s">
        <v>374</v>
      </c>
      <c r="G59" s="696" t="s">
        <v>803</v>
      </c>
      <c r="H59" s="696" t="s">
        <v>376</v>
      </c>
      <c r="I59" s="696" t="s">
        <v>804</v>
      </c>
      <c r="J59" s="696" t="s">
        <v>790</v>
      </c>
      <c r="K59" s="696" t="s">
        <v>791</v>
      </c>
      <c r="L59" s="696" t="s">
        <v>792</v>
      </c>
      <c r="M59" s="696" t="s">
        <v>793</v>
      </c>
      <c r="N59" s="696" t="s">
        <v>794</v>
      </c>
      <c r="O59" s="696" t="s">
        <v>795</v>
      </c>
      <c r="P59" s="696" t="s">
        <v>796</v>
      </c>
      <c r="Q59" s="696" t="s">
        <v>797</v>
      </c>
      <c r="R59" s="696" t="s">
        <v>798</v>
      </c>
      <c r="S59" s="696" t="s">
        <v>799</v>
      </c>
      <c r="T59" s="696" t="s">
        <v>800</v>
      </c>
      <c r="U59" s="696" t="s">
        <v>801</v>
      </c>
    </row>
    <row r="60" spans="2:21" ht="24">
      <c r="B60" s="302"/>
      <c r="C60" s="302"/>
      <c r="D60" s="697" t="s">
        <v>805</v>
      </c>
      <c r="E60" s="697" t="s">
        <v>806</v>
      </c>
      <c r="F60" s="697" t="s">
        <v>807</v>
      </c>
      <c r="G60" s="698">
        <v>1000</v>
      </c>
      <c r="H60" s="697" t="s">
        <v>377</v>
      </c>
      <c r="I60" s="697" t="s">
        <v>808</v>
      </c>
      <c r="J60" s="699">
        <v>64.599999999999994</v>
      </c>
      <c r="K60" s="699">
        <v>64.92</v>
      </c>
      <c r="L60" s="699">
        <v>65.489999999999995</v>
      </c>
      <c r="M60" s="699">
        <v>65.739999999999995</v>
      </c>
      <c r="N60" s="700">
        <v>65.680000000000007</v>
      </c>
      <c r="O60" s="699">
        <v>65.87</v>
      </c>
      <c r="P60" s="699">
        <v>65.989999999999995</v>
      </c>
      <c r="Q60" s="699">
        <v>66.25</v>
      </c>
      <c r="R60" s="699">
        <v>66.180000000000007</v>
      </c>
      <c r="S60" s="699">
        <v>66.180000000000007</v>
      </c>
      <c r="T60" s="699">
        <v>65.8</v>
      </c>
      <c r="U60" s="699">
        <v>65.930000000000007</v>
      </c>
    </row>
    <row r="61" spans="2:21" ht="24">
      <c r="B61" s="302"/>
      <c r="C61" s="302"/>
      <c r="D61" s="697" t="s">
        <v>805</v>
      </c>
      <c r="E61" s="697" t="s">
        <v>806</v>
      </c>
      <c r="F61" s="697" t="s">
        <v>807</v>
      </c>
      <c r="G61" s="698">
        <v>1000</v>
      </c>
      <c r="H61" s="697" t="s">
        <v>377</v>
      </c>
      <c r="I61" s="697" t="s">
        <v>809</v>
      </c>
      <c r="J61" s="699">
        <v>66.31</v>
      </c>
      <c r="K61" s="699">
        <v>66.62</v>
      </c>
      <c r="L61" s="699">
        <v>67</v>
      </c>
      <c r="M61" s="699">
        <v>67.38</v>
      </c>
      <c r="N61" s="699">
        <v>67.63</v>
      </c>
      <c r="O61" s="699">
        <v>67.569999999999993</v>
      </c>
      <c r="P61" s="699">
        <v>67.38</v>
      </c>
      <c r="Q61" s="699">
        <v>67.819999999999993</v>
      </c>
      <c r="R61" s="699">
        <v>68.2</v>
      </c>
      <c r="S61" s="699">
        <v>68.010000000000005</v>
      </c>
      <c r="T61" s="699">
        <v>68.08</v>
      </c>
      <c r="U61" s="699">
        <v>68.39</v>
      </c>
    </row>
    <row r="62" spans="2:21" ht="24">
      <c r="B62" s="302"/>
      <c r="C62" s="302"/>
      <c r="D62" s="697" t="s">
        <v>805</v>
      </c>
      <c r="E62" s="697" t="s">
        <v>806</v>
      </c>
      <c r="F62" s="697" t="s">
        <v>807</v>
      </c>
      <c r="G62" s="698">
        <v>1000</v>
      </c>
      <c r="H62" s="697" t="s">
        <v>377</v>
      </c>
      <c r="I62" s="697" t="s">
        <v>810</v>
      </c>
      <c r="J62" s="699">
        <v>68.84</v>
      </c>
      <c r="K62" s="699">
        <v>69.209999999999994</v>
      </c>
      <c r="L62" s="699">
        <v>70.03</v>
      </c>
      <c r="M62" s="699">
        <v>69.91</v>
      </c>
      <c r="N62" s="699">
        <v>69.78</v>
      </c>
      <c r="O62" s="699">
        <v>69.59</v>
      </c>
      <c r="P62" s="699">
        <v>69.53</v>
      </c>
      <c r="Q62" s="699">
        <v>69.849999999999994</v>
      </c>
      <c r="R62" s="699">
        <v>70.48</v>
      </c>
      <c r="S62" s="699">
        <v>70.540000000000006</v>
      </c>
      <c r="T62" s="699">
        <v>70.41</v>
      </c>
      <c r="U62" s="699">
        <v>70.73</v>
      </c>
    </row>
    <row r="63" spans="2:21" ht="24">
      <c r="B63" s="302"/>
      <c r="C63" s="302"/>
      <c r="D63" s="697" t="s">
        <v>805</v>
      </c>
      <c r="E63" s="697" t="s">
        <v>806</v>
      </c>
      <c r="F63" s="697" t="s">
        <v>807</v>
      </c>
      <c r="G63" s="698">
        <v>1000</v>
      </c>
      <c r="H63" s="697" t="s">
        <v>377</v>
      </c>
      <c r="I63" s="697" t="s">
        <v>811</v>
      </c>
      <c r="J63" s="699">
        <v>71.17</v>
      </c>
      <c r="K63" s="699">
        <v>71.489999999999995</v>
      </c>
      <c r="L63" s="699">
        <v>72.180000000000007</v>
      </c>
      <c r="M63" s="699">
        <v>72.180000000000007</v>
      </c>
      <c r="N63" s="699">
        <v>72.12</v>
      </c>
      <c r="O63" s="699">
        <v>72.12</v>
      </c>
      <c r="P63" s="699">
        <v>72.56</v>
      </c>
      <c r="Q63" s="699">
        <v>73.19</v>
      </c>
      <c r="R63" s="699">
        <v>73.19</v>
      </c>
      <c r="S63" s="699">
        <v>73.19</v>
      </c>
      <c r="T63" s="699">
        <v>72.75</v>
      </c>
      <c r="U63" s="699">
        <v>72.88</v>
      </c>
    </row>
    <row r="64" spans="2:21" ht="24">
      <c r="B64" s="302"/>
      <c r="C64" s="302"/>
      <c r="D64" s="697" t="s">
        <v>805</v>
      </c>
      <c r="E64" s="697" t="s">
        <v>806</v>
      </c>
      <c r="F64" s="697" t="s">
        <v>807</v>
      </c>
      <c r="G64" s="698">
        <v>1000</v>
      </c>
      <c r="H64" s="697" t="s">
        <v>377</v>
      </c>
      <c r="I64" s="697" t="s">
        <v>812</v>
      </c>
      <c r="J64" s="699">
        <v>73.59</v>
      </c>
      <c r="K64" s="699">
        <v>73.89</v>
      </c>
      <c r="L64" s="699">
        <v>74.34</v>
      </c>
      <c r="M64" s="699">
        <v>74.41</v>
      </c>
      <c r="N64" s="699">
        <v>74.34</v>
      </c>
      <c r="O64" s="699">
        <v>74.11</v>
      </c>
      <c r="P64" s="699">
        <v>74.41</v>
      </c>
      <c r="Q64" s="699">
        <v>74.64</v>
      </c>
      <c r="R64" s="699">
        <v>75.010000000000005</v>
      </c>
      <c r="S64" s="699">
        <v>74.86</v>
      </c>
      <c r="T64" s="699">
        <v>74.56</v>
      </c>
      <c r="U64" s="699">
        <v>74.790000000000006</v>
      </c>
    </row>
    <row r="65" spans="4:25" ht="24">
      <c r="D65" s="697" t="s">
        <v>805</v>
      </c>
      <c r="E65" s="697" t="s">
        <v>806</v>
      </c>
      <c r="F65" s="697" t="s">
        <v>807</v>
      </c>
      <c r="G65" s="698">
        <v>1000</v>
      </c>
      <c r="H65" s="697" t="s">
        <v>377</v>
      </c>
      <c r="I65" s="697" t="s">
        <v>813</v>
      </c>
      <c r="J65" s="699">
        <v>75.23</v>
      </c>
      <c r="K65" s="699">
        <v>75.38</v>
      </c>
      <c r="L65" s="699">
        <v>75.83</v>
      </c>
      <c r="M65" s="699">
        <v>75.900000000000006</v>
      </c>
      <c r="N65" s="699">
        <v>76.05</v>
      </c>
      <c r="O65" s="699">
        <v>75.900000000000006</v>
      </c>
      <c r="P65" s="699">
        <v>76.2</v>
      </c>
      <c r="Q65" s="699">
        <v>76.650000000000006</v>
      </c>
      <c r="R65" s="699">
        <v>76.87</v>
      </c>
      <c r="S65" s="699">
        <v>76.5</v>
      </c>
      <c r="T65" s="699">
        <v>76.13</v>
      </c>
      <c r="U65" s="699">
        <v>76.349999999999994</v>
      </c>
      <c r="V65" s="302"/>
      <c r="W65" s="302"/>
      <c r="X65" s="302"/>
      <c r="Y65" s="302"/>
    </row>
    <row r="66" spans="4:25" ht="24">
      <c r="D66" s="697" t="s">
        <v>805</v>
      </c>
      <c r="E66" s="697" t="s">
        <v>806</v>
      </c>
      <c r="F66" s="697" t="s">
        <v>807</v>
      </c>
      <c r="G66" s="698">
        <v>1000</v>
      </c>
      <c r="H66" s="697" t="s">
        <v>377</v>
      </c>
      <c r="I66" s="697" t="s">
        <v>814</v>
      </c>
      <c r="J66" s="699">
        <v>76.5</v>
      </c>
      <c r="K66" s="699">
        <v>77.02</v>
      </c>
      <c r="L66" s="699">
        <v>77.459999999999994</v>
      </c>
      <c r="M66" s="699">
        <v>77.760000000000005</v>
      </c>
      <c r="N66" s="699">
        <v>77.84</v>
      </c>
      <c r="O66" s="699">
        <v>77.84</v>
      </c>
      <c r="P66" s="699">
        <v>78.13</v>
      </c>
      <c r="Q66" s="699">
        <v>78.209999999999994</v>
      </c>
      <c r="R66" s="699">
        <v>78.66</v>
      </c>
      <c r="S66" s="699">
        <v>78.8</v>
      </c>
      <c r="T66" s="699">
        <v>78.8</v>
      </c>
      <c r="U66" s="699">
        <v>79.099999999999994</v>
      </c>
      <c r="V66" s="302"/>
      <c r="W66" s="302"/>
      <c r="X66" s="302"/>
      <c r="Y66" s="302"/>
    </row>
    <row r="67" spans="4:25" ht="24">
      <c r="D67" s="697" t="s">
        <v>805</v>
      </c>
      <c r="E67" s="697" t="s">
        <v>806</v>
      </c>
      <c r="F67" s="697" t="s">
        <v>807</v>
      </c>
      <c r="G67" s="698">
        <v>1000</v>
      </c>
      <c r="H67" s="697" t="s">
        <v>377</v>
      </c>
      <c r="I67" s="697" t="s">
        <v>815</v>
      </c>
      <c r="J67" s="699">
        <v>79.47</v>
      </c>
      <c r="K67" s="699">
        <v>79.77</v>
      </c>
      <c r="L67" s="699">
        <v>80.52</v>
      </c>
      <c r="M67" s="699">
        <v>80.959999999999994</v>
      </c>
      <c r="N67" s="699">
        <v>81.63</v>
      </c>
      <c r="O67" s="699">
        <v>82.15</v>
      </c>
      <c r="P67" s="699">
        <v>82.75</v>
      </c>
      <c r="Q67" s="699">
        <v>82.6</v>
      </c>
      <c r="R67" s="699">
        <v>82.67</v>
      </c>
      <c r="S67" s="699">
        <v>82.6</v>
      </c>
      <c r="T67" s="699">
        <v>82.38</v>
      </c>
      <c r="U67" s="699">
        <v>82.38</v>
      </c>
      <c r="V67" s="302"/>
      <c r="W67" s="302"/>
      <c r="X67" s="302"/>
      <c r="Y67" s="302"/>
    </row>
    <row r="68" spans="4:25" ht="24">
      <c r="D68" s="697" t="s">
        <v>805</v>
      </c>
      <c r="E68" s="697" t="s">
        <v>806</v>
      </c>
      <c r="F68" s="697" t="s">
        <v>807</v>
      </c>
      <c r="G68" s="698">
        <v>1000</v>
      </c>
      <c r="H68" s="697" t="s">
        <v>377</v>
      </c>
      <c r="I68" s="697" t="s">
        <v>816</v>
      </c>
      <c r="J68" s="699">
        <v>82.45</v>
      </c>
      <c r="K68" s="699">
        <v>83.05</v>
      </c>
      <c r="L68" s="699">
        <v>83.64</v>
      </c>
      <c r="M68" s="699">
        <v>83.86</v>
      </c>
      <c r="N68" s="699">
        <v>83.86</v>
      </c>
      <c r="O68" s="701">
        <v>83.79</v>
      </c>
      <c r="P68" s="699">
        <v>84.09</v>
      </c>
      <c r="Q68" s="699">
        <v>84.38</v>
      </c>
      <c r="R68" s="699">
        <v>84.46</v>
      </c>
      <c r="S68" s="699">
        <v>84.24</v>
      </c>
      <c r="T68" s="699">
        <v>84.38</v>
      </c>
      <c r="U68" s="702">
        <v>84.68</v>
      </c>
      <c r="V68" s="302"/>
      <c r="W68" s="302"/>
      <c r="X68" s="302"/>
      <c r="Y68" s="302"/>
    </row>
    <row r="69" spans="4:25" ht="24">
      <c r="D69" s="697" t="s">
        <v>805</v>
      </c>
      <c r="E69" s="697" t="s">
        <v>806</v>
      </c>
      <c r="F69" s="697" t="s">
        <v>807</v>
      </c>
      <c r="G69" s="698">
        <v>1000</v>
      </c>
      <c r="H69" s="697" t="s">
        <v>377</v>
      </c>
      <c r="I69" s="697" t="s">
        <v>817</v>
      </c>
      <c r="J69" s="699">
        <v>85.35</v>
      </c>
      <c r="K69" s="699">
        <v>85.52</v>
      </c>
      <c r="L69" s="699">
        <v>85.7</v>
      </c>
      <c r="M69" s="699">
        <v>86.04</v>
      </c>
      <c r="N69" s="699">
        <v>86.13</v>
      </c>
      <c r="O69" s="699">
        <v>86.04</v>
      </c>
      <c r="P69" s="699">
        <v>86.21</v>
      </c>
      <c r="Q69" s="699">
        <v>86.65</v>
      </c>
      <c r="R69" s="699">
        <v>87.34</v>
      </c>
      <c r="S69" s="699">
        <v>87.34</v>
      </c>
      <c r="T69" s="699">
        <v>86.91</v>
      </c>
      <c r="U69" s="699">
        <v>87.25</v>
      </c>
      <c r="V69" s="302"/>
      <c r="W69" s="302"/>
      <c r="X69" s="302"/>
      <c r="Y69" s="302"/>
    </row>
    <row r="70" spans="4:25" ht="24">
      <c r="D70" s="697" t="s">
        <v>805</v>
      </c>
      <c r="E70" s="697" t="s">
        <v>806</v>
      </c>
      <c r="F70" s="697" t="s">
        <v>807</v>
      </c>
      <c r="G70" s="698">
        <v>1000</v>
      </c>
      <c r="H70" s="697" t="s">
        <v>377</v>
      </c>
      <c r="I70" s="697" t="s">
        <v>818</v>
      </c>
      <c r="J70" s="699">
        <v>88.29</v>
      </c>
      <c r="K70" s="699">
        <v>88.89</v>
      </c>
      <c r="L70" s="699">
        <v>89.24</v>
      </c>
      <c r="M70" s="699">
        <v>89.33</v>
      </c>
      <c r="N70" s="699">
        <v>89.5</v>
      </c>
      <c r="O70" s="699">
        <v>89.67</v>
      </c>
      <c r="P70" s="699">
        <v>90.1</v>
      </c>
      <c r="Q70" s="699">
        <v>90.71</v>
      </c>
      <c r="R70" s="699">
        <v>90.62</v>
      </c>
      <c r="S70" s="699">
        <v>90.45</v>
      </c>
      <c r="T70" s="699">
        <v>90.53</v>
      </c>
      <c r="U70" s="699">
        <v>90.88</v>
      </c>
      <c r="V70" s="302"/>
      <c r="W70" s="302"/>
      <c r="X70" s="302"/>
      <c r="Y70" s="302"/>
    </row>
    <row r="71" spans="4:25" ht="24">
      <c r="D71" s="697" t="s">
        <v>805</v>
      </c>
      <c r="E71" s="697" t="s">
        <v>806</v>
      </c>
      <c r="F71" s="697" t="s">
        <v>807</v>
      </c>
      <c r="G71" s="698">
        <v>1000</v>
      </c>
      <c r="H71" s="697" t="s">
        <v>377</v>
      </c>
      <c r="I71" s="697" t="s">
        <v>819</v>
      </c>
      <c r="J71" s="699">
        <v>91.24</v>
      </c>
      <c r="K71" s="699">
        <v>91.59</v>
      </c>
      <c r="L71" s="699">
        <v>91.61</v>
      </c>
      <c r="M71" s="699">
        <v>91.61</v>
      </c>
      <c r="N71" s="699">
        <v>91.77</v>
      </c>
      <c r="O71" s="699">
        <v>91.64</v>
      </c>
      <c r="P71" s="699">
        <v>91.43</v>
      </c>
      <c r="Q71" s="699">
        <v>91.86</v>
      </c>
      <c r="R71" s="699">
        <v>92.51</v>
      </c>
      <c r="S71" s="699">
        <v>92.34</v>
      </c>
      <c r="T71" s="699">
        <v>92.01</v>
      </c>
      <c r="U71" s="699">
        <v>92.18</v>
      </c>
      <c r="V71" s="302"/>
      <c r="W71" s="302"/>
      <c r="X71" s="302"/>
      <c r="Y71" s="302"/>
    </row>
    <row r="72" spans="4:25" ht="24">
      <c r="D72" s="697" t="s">
        <v>805</v>
      </c>
      <c r="E72" s="697" t="s">
        <v>806</v>
      </c>
      <c r="F72" s="697" t="s">
        <v>807</v>
      </c>
      <c r="G72" s="698">
        <v>1000</v>
      </c>
      <c r="H72" s="697" t="s">
        <v>377</v>
      </c>
      <c r="I72" s="697" t="s">
        <v>820</v>
      </c>
      <c r="J72" s="699">
        <v>92.73</v>
      </c>
      <c r="K72" s="699">
        <v>93.04</v>
      </c>
      <c r="L72" s="699">
        <v>92.95</v>
      </c>
      <c r="M72" s="699">
        <v>92.82</v>
      </c>
      <c r="N72" s="699">
        <v>92.82</v>
      </c>
      <c r="O72" s="699">
        <v>92.71</v>
      </c>
      <c r="P72" s="699">
        <v>92.91</v>
      </c>
      <c r="Q72" s="699">
        <v>93.24</v>
      </c>
      <c r="R72" s="699">
        <v>93.42</v>
      </c>
      <c r="S72" s="699">
        <v>93.13</v>
      </c>
      <c r="T72" s="699">
        <v>93.12</v>
      </c>
      <c r="U72" s="699">
        <v>93.23</v>
      </c>
      <c r="V72" s="302"/>
      <c r="W72" s="302"/>
      <c r="X72" s="703"/>
      <c r="Y72" s="302"/>
    </row>
    <row r="73" spans="4:25" ht="24">
      <c r="D73" s="697" t="s">
        <v>805</v>
      </c>
      <c r="E73" s="697" t="s">
        <v>806</v>
      </c>
      <c r="F73" s="697" t="s">
        <v>807</v>
      </c>
      <c r="G73" s="698">
        <v>1000</v>
      </c>
      <c r="H73" s="697" t="s">
        <v>377</v>
      </c>
      <c r="I73" s="697" t="s">
        <v>821</v>
      </c>
      <c r="J73" s="699">
        <v>93.73</v>
      </c>
      <c r="K73" s="699">
        <v>93.98</v>
      </c>
      <c r="L73" s="699">
        <v>94.15</v>
      </c>
      <c r="M73" s="699">
        <v>94.21</v>
      </c>
      <c r="N73" s="699">
        <v>94.37</v>
      </c>
      <c r="O73" s="699">
        <v>94.25</v>
      </c>
      <c r="P73" s="699">
        <v>94.39</v>
      </c>
      <c r="Q73" s="699">
        <v>94.55</v>
      </c>
      <c r="R73" s="699">
        <v>94.49</v>
      </c>
      <c r="S73" s="699">
        <v>94.21</v>
      </c>
      <c r="T73" s="699">
        <v>94.02</v>
      </c>
      <c r="U73" s="699">
        <v>94.01</v>
      </c>
      <c r="V73" s="302" t="s">
        <v>822</v>
      </c>
      <c r="W73" s="302"/>
      <c r="X73" s="703"/>
      <c r="Y73" s="302"/>
    </row>
    <row r="74" spans="4:25" ht="24">
      <c r="D74" s="697" t="s">
        <v>805</v>
      </c>
      <c r="E74" s="697" t="s">
        <v>806</v>
      </c>
      <c r="F74" s="697" t="s">
        <v>807</v>
      </c>
      <c r="G74" s="698">
        <v>1000</v>
      </c>
      <c r="H74" s="697" t="s">
        <v>377</v>
      </c>
      <c r="I74" s="697" t="s">
        <v>823</v>
      </c>
      <c r="J74" s="699">
        <v>94.64</v>
      </c>
      <c r="K74" s="699">
        <v>94.59</v>
      </c>
      <c r="L74" s="699">
        <v>94.6</v>
      </c>
      <c r="M74" s="699">
        <v>94.63</v>
      </c>
      <c r="N74" s="699">
        <v>94.89</v>
      </c>
      <c r="O74" s="699">
        <v>94.91</v>
      </c>
      <c r="P74" s="699">
        <v>95.08</v>
      </c>
      <c r="Q74" s="699">
        <v>95.21</v>
      </c>
      <c r="R74" s="699">
        <v>94.97</v>
      </c>
      <c r="S74" s="699">
        <v>94.97</v>
      </c>
      <c r="T74" s="699">
        <v>94.79</v>
      </c>
      <c r="U74" s="699">
        <v>95.07</v>
      </c>
      <c r="V74" s="704" t="s">
        <v>824</v>
      </c>
      <c r="W74" s="302" t="s">
        <v>825</v>
      </c>
      <c r="X74" s="703">
        <f>예정운영비용!E17</f>
        <v>1.4314</v>
      </c>
      <c r="Y74" s="302"/>
    </row>
    <row r="75" spans="4:25" ht="24">
      <c r="D75" s="697" t="s">
        <v>805</v>
      </c>
      <c r="E75" s="697" t="s">
        <v>806</v>
      </c>
      <c r="F75" s="697" t="s">
        <v>807</v>
      </c>
      <c r="G75" s="698">
        <v>1000</v>
      </c>
      <c r="H75" s="697" t="s">
        <v>377</v>
      </c>
      <c r="I75" s="697" t="s">
        <v>826</v>
      </c>
      <c r="J75" s="699">
        <v>95.23</v>
      </c>
      <c r="K75" s="699">
        <v>95.64</v>
      </c>
      <c r="L75" s="699">
        <v>95.39</v>
      </c>
      <c r="M75" s="699">
        <v>95.57</v>
      </c>
      <c r="N75" s="699">
        <v>95.63</v>
      </c>
      <c r="O75" s="699">
        <v>95.61</v>
      </c>
      <c r="P75" s="699">
        <v>95.43</v>
      </c>
      <c r="Q75" s="699">
        <v>95.68</v>
      </c>
      <c r="R75" s="699">
        <v>96.25</v>
      </c>
      <c r="S75" s="699">
        <v>96.38</v>
      </c>
      <c r="T75" s="699">
        <v>96.24</v>
      </c>
      <c r="U75" s="699">
        <v>96.34</v>
      </c>
      <c r="V75" s="670">
        <f t="shared" ref="V75:V80" si="22">U75/U74-1</f>
        <v>1.3358577889975853E-2</v>
      </c>
      <c r="W75" s="670">
        <f>MAX(V75,2%)</f>
        <v>0.02</v>
      </c>
      <c r="X75" s="703">
        <f>X74*(1+W75)</f>
        <v>1.4600280000000001</v>
      </c>
      <c r="Y75" s="302"/>
    </row>
    <row r="76" spans="4:25" ht="24">
      <c r="D76" s="697" t="s">
        <v>805</v>
      </c>
      <c r="E76" s="697" t="s">
        <v>806</v>
      </c>
      <c r="F76" s="697" t="s">
        <v>807</v>
      </c>
      <c r="G76" s="698">
        <v>1000</v>
      </c>
      <c r="H76" s="697" t="s">
        <v>377</v>
      </c>
      <c r="I76" s="697" t="s">
        <v>827</v>
      </c>
      <c r="J76" s="699">
        <v>97.37</v>
      </c>
      <c r="K76" s="699">
        <v>97.63</v>
      </c>
      <c r="L76" s="699">
        <v>97.57</v>
      </c>
      <c r="M76" s="699">
        <v>97.44</v>
      </c>
      <c r="N76" s="699">
        <v>97.55</v>
      </c>
      <c r="O76" s="699">
        <v>97.34</v>
      </c>
      <c r="P76" s="699">
        <v>97.5</v>
      </c>
      <c r="Q76" s="699">
        <v>98.06</v>
      </c>
      <c r="R76" s="699">
        <v>98.17</v>
      </c>
      <c r="S76" s="699">
        <v>98.08</v>
      </c>
      <c r="T76" s="699">
        <v>97.35</v>
      </c>
      <c r="U76" s="705">
        <v>97.7</v>
      </c>
      <c r="V76" s="670">
        <f t="shared" si="22"/>
        <v>1.4116670126634867E-2</v>
      </c>
      <c r="W76" s="670">
        <f t="shared" ref="W76:W79" si="23">MAX(V76,2%)</f>
        <v>0.02</v>
      </c>
      <c r="X76" s="703">
        <f>X75*(1+W76)</f>
        <v>1.4892285600000001</v>
      </c>
      <c r="Y76" s="302"/>
    </row>
    <row r="77" spans="4:25" ht="24">
      <c r="D77" s="697" t="s">
        <v>805</v>
      </c>
      <c r="E77" s="697" t="s">
        <v>806</v>
      </c>
      <c r="F77" s="697" t="s">
        <v>807</v>
      </c>
      <c r="G77" s="698">
        <v>1000</v>
      </c>
      <c r="H77" s="697" t="s">
        <v>377</v>
      </c>
      <c r="I77" s="697" t="s">
        <v>828</v>
      </c>
      <c r="J77" s="699">
        <v>98.11</v>
      </c>
      <c r="K77" s="699">
        <v>98.86</v>
      </c>
      <c r="L77" s="699">
        <v>98.75</v>
      </c>
      <c r="M77" s="699">
        <v>98.93</v>
      </c>
      <c r="N77" s="699">
        <v>98.98</v>
      </c>
      <c r="O77" s="699">
        <v>98.78</v>
      </c>
      <c r="P77" s="699">
        <v>98.59</v>
      </c>
      <c r="Q77" s="699">
        <v>99.46</v>
      </c>
      <c r="R77" s="699">
        <v>100.22</v>
      </c>
      <c r="S77" s="699">
        <v>100.04</v>
      </c>
      <c r="T77" s="699">
        <v>99.33</v>
      </c>
      <c r="U77" s="705">
        <v>98.99</v>
      </c>
      <c r="V77" s="670">
        <f t="shared" si="22"/>
        <v>1.3203684749232281E-2</v>
      </c>
      <c r="W77" s="670">
        <f t="shared" si="23"/>
        <v>0.02</v>
      </c>
      <c r="X77" s="703">
        <f>X76*(1+W77)</f>
        <v>1.5190131312000001</v>
      </c>
      <c r="Y77" s="302"/>
    </row>
    <row r="78" spans="4:25" ht="24">
      <c r="D78" s="697" t="s">
        <v>805</v>
      </c>
      <c r="E78" s="697" t="s">
        <v>806</v>
      </c>
      <c r="F78" s="697" t="s">
        <v>807</v>
      </c>
      <c r="G78" s="698">
        <v>1000</v>
      </c>
      <c r="H78" s="697" t="s">
        <v>377</v>
      </c>
      <c r="I78" s="697" t="s">
        <v>829</v>
      </c>
      <c r="J78" s="699">
        <v>98.88</v>
      </c>
      <c r="K78" s="699">
        <v>99.31</v>
      </c>
      <c r="L78" s="699">
        <v>99.12</v>
      </c>
      <c r="M78" s="699">
        <v>99.48</v>
      </c>
      <c r="N78" s="699">
        <v>99.65</v>
      </c>
      <c r="O78" s="699">
        <v>99.49</v>
      </c>
      <c r="P78" s="699">
        <v>99.19</v>
      </c>
      <c r="Q78" s="699">
        <v>99.43</v>
      </c>
      <c r="R78" s="699">
        <v>99.79</v>
      </c>
      <c r="S78" s="699">
        <v>100.04</v>
      </c>
      <c r="T78" s="699">
        <v>99.48</v>
      </c>
      <c r="U78" s="705">
        <v>99.72</v>
      </c>
      <c r="V78" s="670">
        <f t="shared" si="22"/>
        <v>7.374482270936511E-3</v>
      </c>
      <c r="W78" s="670">
        <f t="shared" si="23"/>
        <v>0.02</v>
      </c>
      <c r="X78" s="703">
        <f t="shared" ref="X78:X80" si="24">X77*(1+W78)</f>
        <v>1.5493933938240001</v>
      </c>
      <c r="Y78" s="302"/>
    </row>
    <row r="79" spans="4:25" ht="24">
      <c r="D79" s="697" t="s">
        <v>805</v>
      </c>
      <c r="E79" s="697" t="s">
        <v>806</v>
      </c>
      <c r="F79" s="697" t="s">
        <v>807</v>
      </c>
      <c r="G79" s="698">
        <v>1000</v>
      </c>
      <c r="H79" s="697" t="s">
        <v>377</v>
      </c>
      <c r="I79" s="697" t="s">
        <v>830</v>
      </c>
      <c r="J79" s="699">
        <v>100.09</v>
      </c>
      <c r="K79" s="699">
        <v>100.16</v>
      </c>
      <c r="L79" s="699">
        <v>99.94</v>
      </c>
      <c r="M79" s="699">
        <v>99.5</v>
      </c>
      <c r="N79" s="699">
        <v>99.44</v>
      </c>
      <c r="O79" s="699">
        <v>99.71</v>
      </c>
      <c r="P79" s="699">
        <v>99.63</v>
      </c>
      <c r="Q79" s="699">
        <v>100.19</v>
      </c>
      <c r="R79" s="699">
        <v>100.74</v>
      </c>
      <c r="S79" s="699">
        <v>100.18</v>
      </c>
      <c r="T79" s="699">
        <v>100.09</v>
      </c>
      <c r="U79" s="705">
        <v>100.33</v>
      </c>
      <c r="V79" s="670">
        <f t="shared" si="22"/>
        <v>6.1171279582832305E-3</v>
      </c>
      <c r="W79" s="670">
        <f t="shared" si="23"/>
        <v>0.02</v>
      </c>
      <c r="X79" s="703">
        <f t="shared" si="24"/>
        <v>1.5803812617004802</v>
      </c>
      <c r="Y79" s="302"/>
    </row>
    <row r="80" spans="4:25" ht="24">
      <c r="D80" s="697" t="s">
        <v>805</v>
      </c>
      <c r="E80" s="697" t="s">
        <v>806</v>
      </c>
      <c r="F80" s="697" t="s">
        <v>807</v>
      </c>
      <c r="G80" s="698">
        <v>1000</v>
      </c>
      <c r="H80" s="697" t="s">
        <v>377</v>
      </c>
      <c r="I80" s="697" t="s">
        <v>831</v>
      </c>
      <c r="J80" s="699">
        <v>101.04</v>
      </c>
      <c r="K80" s="699">
        <v>101.58</v>
      </c>
      <c r="L80" s="699">
        <v>101.84</v>
      </c>
      <c r="M80" s="699">
        <v>101.98</v>
      </c>
      <c r="N80" s="699">
        <v>102.05</v>
      </c>
      <c r="O80" s="699">
        <v>102.05</v>
      </c>
      <c r="P80" s="699">
        <v>102.26</v>
      </c>
      <c r="Q80" s="699">
        <v>102.75</v>
      </c>
      <c r="R80" s="699">
        <v>103.17</v>
      </c>
      <c r="S80" s="699">
        <v>103.35</v>
      </c>
      <c r="T80" s="699">
        <v>103.87</v>
      </c>
      <c r="U80" s="705">
        <v>104.04</v>
      </c>
      <c r="V80" s="670">
        <f t="shared" si="22"/>
        <v>3.6977972690122707E-2</v>
      </c>
      <c r="W80" s="706">
        <v>0.02</v>
      </c>
      <c r="X80" s="703">
        <f t="shared" si="24"/>
        <v>1.6119888869344898</v>
      </c>
      <c r="Y80" s="346" t="s">
        <v>832</v>
      </c>
    </row>
    <row r="81" spans="2:245">
      <c r="B81" s="302"/>
      <c r="C81" s="302"/>
      <c r="D81" s="302"/>
      <c r="E81" s="302"/>
      <c r="F81" s="302"/>
      <c r="G81" s="302"/>
      <c r="H81" s="302"/>
      <c r="I81" s="302"/>
      <c r="J81" s="302"/>
      <c r="K81" s="302"/>
      <c r="L81" s="302"/>
      <c r="M81" s="302"/>
      <c r="N81" s="302"/>
      <c r="O81" s="302"/>
      <c r="P81" s="302"/>
      <c r="Q81" s="302"/>
      <c r="R81" s="302"/>
      <c r="S81" s="302"/>
      <c r="T81" s="302"/>
      <c r="U81" s="302"/>
      <c r="V81" s="302"/>
      <c r="W81" s="302"/>
      <c r="X81" s="703"/>
      <c r="Y81" s="302"/>
      <c r="Z81" s="302"/>
      <c r="AA81" s="302"/>
      <c r="AB81" s="302"/>
      <c r="AC81" s="302"/>
      <c r="AD81" s="302"/>
      <c r="AE81" s="302"/>
      <c r="AF81" s="302"/>
      <c r="AG81" s="302"/>
      <c r="AH81" s="302"/>
      <c r="AI81" s="302"/>
      <c r="AJ81" s="302"/>
      <c r="AK81" s="302"/>
      <c r="AL81" s="302"/>
      <c r="AM81" s="302"/>
      <c r="AN81" s="302"/>
      <c r="AO81" s="302"/>
      <c r="AP81" s="302"/>
      <c r="AQ81" s="302"/>
      <c r="AR81" s="302"/>
      <c r="AS81" s="302"/>
      <c r="AT81" s="302"/>
      <c r="AU81" s="302"/>
      <c r="AV81" s="302"/>
      <c r="AW81" s="302"/>
      <c r="AX81" s="302"/>
      <c r="AY81" s="302"/>
      <c r="AZ81" s="302"/>
      <c r="BA81" s="302"/>
      <c r="BB81" s="302"/>
      <c r="BC81" s="302"/>
      <c r="BD81" s="302"/>
      <c r="BE81" s="302"/>
      <c r="BF81" s="302"/>
      <c r="BG81" s="302"/>
      <c r="BH81" s="302"/>
      <c r="BI81" s="302"/>
      <c r="BJ81" s="302"/>
      <c r="BK81" s="302"/>
      <c r="BL81" s="302"/>
      <c r="BM81" s="302"/>
      <c r="BN81" s="302"/>
      <c r="BO81" s="302"/>
      <c r="BP81" s="302"/>
      <c r="BQ81" s="302"/>
      <c r="BR81" s="302"/>
      <c r="BS81" s="302"/>
      <c r="BT81" s="302"/>
      <c r="BU81" s="302"/>
      <c r="BV81" s="302"/>
      <c r="BW81" s="302"/>
      <c r="BX81" s="302"/>
      <c r="BY81" s="302"/>
      <c r="BZ81" s="302"/>
      <c r="CA81" s="302"/>
      <c r="CB81" s="302"/>
      <c r="CC81" s="302"/>
      <c r="CD81" s="302"/>
      <c r="CE81" s="302"/>
      <c r="CF81" s="302"/>
      <c r="CG81" s="302"/>
      <c r="CH81" s="302"/>
      <c r="CI81" s="302"/>
      <c r="CJ81" s="302"/>
      <c r="CK81" s="302"/>
      <c r="CL81" s="302"/>
      <c r="CM81" s="302"/>
      <c r="CN81" s="302"/>
      <c r="CO81" s="302"/>
      <c r="CP81" s="302"/>
      <c r="CQ81" s="302"/>
      <c r="CR81" s="302"/>
      <c r="CS81" s="302"/>
      <c r="CT81" s="302"/>
      <c r="CU81" s="302"/>
      <c r="CV81" s="302"/>
      <c r="CW81" s="302"/>
      <c r="CX81" s="302"/>
      <c r="CY81" s="302"/>
      <c r="CZ81" s="302"/>
      <c r="DA81" s="302"/>
      <c r="DB81" s="302"/>
      <c r="DC81" s="302"/>
      <c r="DD81" s="302"/>
      <c r="DE81" s="302"/>
      <c r="DF81" s="302"/>
      <c r="DG81" s="302"/>
      <c r="DH81" s="302"/>
      <c r="DI81" s="302"/>
      <c r="DJ81" s="302"/>
      <c r="DK81" s="302"/>
      <c r="DL81" s="302"/>
      <c r="DM81" s="302"/>
      <c r="DN81" s="302"/>
      <c r="DO81" s="302"/>
      <c r="DP81" s="302"/>
      <c r="DQ81" s="302"/>
      <c r="DR81" s="302"/>
      <c r="DS81" s="302"/>
      <c r="DT81" s="302"/>
      <c r="DU81" s="302"/>
      <c r="DV81" s="302"/>
      <c r="DW81" s="302"/>
      <c r="DX81" s="302"/>
      <c r="DY81" s="302"/>
      <c r="DZ81" s="302"/>
      <c r="EA81" s="302"/>
      <c r="EB81" s="302"/>
      <c r="EC81" s="302"/>
      <c r="ED81" s="302"/>
      <c r="EE81" s="302"/>
      <c r="EF81" s="302"/>
      <c r="EG81" s="302"/>
      <c r="EH81" s="302"/>
      <c r="EI81" s="302"/>
      <c r="EJ81" s="302"/>
      <c r="EK81" s="302"/>
      <c r="EL81" s="302"/>
      <c r="EM81" s="302"/>
      <c r="EN81" s="302"/>
      <c r="EO81" s="302"/>
      <c r="EP81" s="302"/>
      <c r="EQ81" s="302"/>
      <c r="ER81" s="302"/>
      <c r="ES81" s="302"/>
      <c r="ET81" s="302"/>
      <c r="EU81" s="302"/>
      <c r="EV81" s="302"/>
      <c r="EW81" s="302"/>
      <c r="EX81" s="302"/>
      <c r="EY81" s="302"/>
      <c r="EZ81" s="302"/>
      <c r="FA81" s="302"/>
      <c r="FB81" s="302"/>
      <c r="FC81" s="302"/>
      <c r="FD81" s="302"/>
      <c r="FE81" s="302"/>
      <c r="FF81" s="302"/>
      <c r="FG81" s="302"/>
      <c r="FH81" s="302"/>
      <c r="FI81" s="302"/>
      <c r="FJ81" s="302"/>
      <c r="FK81" s="302"/>
      <c r="FL81" s="302"/>
      <c r="FM81" s="302"/>
      <c r="FN81" s="302"/>
      <c r="FO81" s="302"/>
      <c r="FP81" s="302"/>
      <c r="FQ81" s="302"/>
      <c r="FR81" s="302"/>
      <c r="FS81" s="302"/>
      <c r="FT81" s="302"/>
      <c r="FU81" s="302"/>
      <c r="FV81" s="302"/>
      <c r="FW81" s="302"/>
      <c r="FX81" s="302"/>
      <c r="FY81" s="302"/>
      <c r="FZ81" s="302"/>
      <c r="GA81" s="302"/>
      <c r="GB81" s="302"/>
      <c r="GC81" s="302"/>
      <c r="GD81" s="302"/>
      <c r="GE81" s="302"/>
      <c r="GF81" s="302"/>
      <c r="GG81" s="302"/>
      <c r="GH81" s="302"/>
      <c r="GI81" s="302"/>
      <c r="GJ81" s="302"/>
      <c r="GK81" s="302"/>
      <c r="GL81" s="302"/>
      <c r="GM81" s="302"/>
      <c r="GN81" s="302"/>
      <c r="GO81" s="302"/>
      <c r="GP81" s="302"/>
      <c r="GQ81" s="302"/>
      <c r="GR81" s="302"/>
      <c r="GS81" s="302"/>
      <c r="GT81" s="302"/>
      <c r="GU81" s="302"/>
      <c r="GV81" s="302"/>
      <c r="GW81" s="302"/>
      <c r="GX81" s="302"/>
      <c r="GY81" s="302"/>
      <c r="GZ81" s="302"/>
      <c r="HA81" s="302"/>
      <c r="HB81" s="302"/>
      <c r="HC81" s="302"/>
      <c r="HD81" s="302"/>
      <c r="HE81" s="302"/>
      <c r="HF81" s="302"/>
      <c r="HG81" s="302"/>
      <c r="HH81" s="302"/>
      <c r="HI81" s="302"/>
      <c r="HJ81" s="302"/>
      <c r="HK81" s="302"/>
      <c r="HL81" s="302"/>
      <c r="HM81" s="302"/>
      <c r="HN81" s="302"/>
      <c r="HO81" s="302"/>
      <c r="HP81" s="302"/>
      <c r="HQ81" s="302"/>
      <c r="HR81" s="302"/>
      <c r="HS81" s="302"/>
      <c r="HT81" s="302"/>
      <c r="HU81" s="302"/>
      <c r="HV81" s="302"/>
      <c r="HW81" s="302"/>
      <c r="HX81" s="302"/>
      <c r="HY81" s="302"/>
      <c r="HZ81" s="302"/>
      <c r="IA81" s="302"/>
      <c r="IB81" s="302"/>
      <c r="IC81" s="302"/>
      <c r="ID81" s="302"/>
      <c r="IE81" s="302"/>
      <c r="IF81" s="302"/>
      <c r="IG81" s="302"/>
      <c r="IH81" s="302"/>
      <c r="II81" s="302"/>
      <c r="IJ81" s="302"/>
      <c r="IK81" s="302"/>
    </row>
    <row r="83" spans="2:245">
      <c r="B83" s="302"/>
      <c r="C83" s="302"/>
      <c r="D83" s="707" t="s">
        <v>833</v>
      </c>
      <c r="E83" s="707"/>
      <c r="F83" s="707"/>
      <c r="G83" s="707"/>
      <c r="H83" s="708">
        <f t="shared" ref="H83:L83" si="25">I83-1</f>
        <v>2003</v>
      </c>
      <c r="I83" s="708">
        <f t="shared" si="25"/>
        <v>2004</v>
      </c>
      <c r="J83" s="708">
        <f t="shared" si="25"/>
        <v>2005</v>
      </c>
      <c r="K83" s="708">
        <f t="shared" si="25"/>
        <v>2006</v>
      </c>
      <c r="L83" s="708">
        <f t="shared" si="25"/>
        <v>2007</v>
      </c>
      <c r="M83" s="708">
        <f>N83-1</f>
        <v>2008</v>
      </c>
      <c r="N83" s="709">
        <v>2009</v>
      </c>
      <c r="O83" s="710">
        <f>N83+1</f>
        <v>2010</v>
      </c>
      <c r="P83" s="710">
        <f t="shared" ref="P83:Z83" si="26">O83+1</f>
        <v>2011</v>
      </c>
      <c r="Q83" s="710">
        <f t="shared" si="26"/>
        <v>2012</v>
      </c>
      <c r="R83" s="710">
        <f t="shared" si="26"/>
        <v>2013</v>
      </c>
      <c r="S83" s="710">
        <f t="shared" si="26"/>
        <v>2014</v>
      </c>
      <c r="T83" s="710">
        <f t="shared" si="26"/>
        <v>2015</v>
      </c>
      <c r="U83" s="710">
        <f t="shared" si="26"/>
        <v>2016</v>
      </c>
      <c r="V83" s="710">
        <f t="shared" si="26"/>
        <v>2017</v>
      </c>
      <c r="W83" s="710">
        <f t="shared" si="26"/>
        <v>2018</v>
      </c>
      <c r="X83" s="710">
        <f t="shared" si="26"/>
        <v>2019</v>
      </c>
      <c r="Y83" s="710">
        <f t="shared" si="26"/>
        <v>2020</v>
      </c>
      <c r="Z83" s="710">
        <f t="shared" si="26"/>
        <v>2021</v>
      </c>
      <c r="AA83" s="302"/>
      <c r="AB83" s="302"/>
      <c r="AC83" s="302"/>
      <c r="AD83" s="302"/>
      <c r="AE83" s="302"/>
      <c r="AF83" s="302"/>
      <c r="AG83" s="302"/>
      <c r="AH83" s="302"/>
      <c r="AI83" s="302"/>
      <c r="AJ83" s="302"/>
      <c r="AK83" s="302"/>
      <c r="AL83" s="302"/>
      <c r="AM83" s="302"/>
      <c r="AN83" s="302"/>
      <c r="AO83" s="302"/>
      <c r="AP83" s="302"/>
      <c r="AQ83" s="302"/>
      <c r="AR83" s="302"/>
      <c r="AS83" s="302"/>
      <c r="AT83" s="302"/>
      <c r="AU83" s="302"/>
      <c r="AV83" s="302"/>
      <c r="AW83" s="302"/>
      <c r="AX83" s="302"/>
      <c r="AY83" s="302"/>
      <c r="AZ83" s="302"/>
      <c r="BA83" s="302"/>
      <c r="BB83" s="302"/>
      <c r="BC83" s="302"/>
      <c r="BD83" s="302"/>
      <c r="BE83" s="302"/>
      <c r="BF83" s="302"/>
      <c r="BG83" s="302"/>
      <c r="BH83" s="302"/>
      <c r="BI83" s="302"/>
      <c r="BJ83" s="302"/>
      <c r="BK83" s="302"/>
      <c r="BL83" s="302"/>
      <c r="BM83" s="302"/>
      <c r="BN83" s="302"/>
      <c r="BO83" s="302"/>
      <c r="BP83" s="302"/>
      <c r="BQ83" s="302"/>
      <c r="BR83" s="302"/>
      <c r="BS83" s="302"/>
      <c r="BT83" s="302"/>
      <c r="BU83" s="302"/>
      <c r="BV83" s="302"/>
      <c r="BW83" s="302"/>
      <c r="BX83" s="302"/>
      <c r="BY83" s="302"/>
      <c r="BZ83" s="302"/>
      <c r="CA83" s="302"/>
      <c r="CB83" s="302"/>
      <c r="CC83" s="302"/>
      <c r="CD83" s="302"/>
      <c r="CE83" s="302"/>
      <c r="CF83" s="302"/>
      <c r="CG83" s="302"/>
      <c r="CH83" s="302"/>
      <c r="CI83" s="302"/>
      <c r="CJ83" s="302"/>
      <c r="CK83" s="302"/>
      <c r="CL83" s="302"/>
      <c r="CM83" s="302"/>
      <c r="CN83" s="302"/>
      <c r="CO83" s="302"/>
      <c r="CP83" s="302"/>
      <c r="CQ83" s="302"/>
      <c r="CR83" s="302"/>
      <c r="CS83" s="302"/>
      <c r="CT83" s="302"/>
      <c r="CU83" s="302"/>
      <c r="CV83" s="302"/>
      <c r="CW83" s="302"/>
      <c r="CX83" s="302"/>
      <c r="CY83" s="302"/>
      <c r="CZ83" s="302"/>
      <c r="DA83" s="302"/>
      <c r="DB83" s="302"/>
      <c r="DC83" s="302"/>
      <c r="DD83" s="302"/>
      <c r="DE83" s="302"/>
      <c r="DF83" s="302"/>
      <c r="DG83" s="302"/>
      <c r="DH83" s="302"/>
      <c r="DI83" s="302"/>
      <c r="DJ83" s="302"/>
      <c r="DK83" s="302"/>
      <c r="DL83" s="302"/>
      <c r="DM83" s="302"/>
      <c r="DN83" s="302"/>
      <c r="DO83" s="302"/>
      <c r="DP83" s="302"/>
      <c r="DQ83" s="302"/>
      <c r="DR83" s="302"/>
      <c r="DS83" s="302"/>
      <c r="DT83" s="302"/>
      <c r="DU83" s="302"/>
      <c r="DV83" s="302"/>
      <c r="DW83" s="302"/>
      <c r="DX83" s="302"/>
      <c r="DY83" s="302"/>
      <c r="DZ83" s="302"/>
      <c r="EA83" s="302"/>
      <c r="EB83" s="302"/>
      <c r="EC83" s="302"/>
      <c r="ED83" s="302"/>
      <c r="EE83" s="302"/>
      <c r="EF83" s="302"/>
      <c r="EG83" s="302"/>
      <c r="EH83" s="302"/>
      <c r="EI83" s="302"/>
      <c r="EJ83" s="302"/>
      <c r="EK83" s="302"/>
      <c r="EL83" s="302"/>
      <c r="EM83" s="302"/>
      <c r="EN83" s="302"/>
      <c r="EO83" s="302"/>
      <c r="EP83" s="302"/>
      <c r="EQ83" s="302"/>
      <c r="ER83" s="302"/>
      <c r="ES83" s="302"/>
      <c r="ET83" s="302"/>
      <c r="EU83" s="302"/>
      <c r="EV83" s="302"/>
      <c r="EW83" s="302"/>
      <c r="EX83" s="302"/>
      <c r="EY83" s="302"/>
      <c r="EZ83" s="302"/>
      <c r="FA83" s="302"/>
      <c r="FB83" s="302"/>
      <c r="FC83" s="302"/>
      <c r="FD83" s="302"/>
      <c r="FE83" s="302"/>
      <c r="FF83" s="302"/>
      <c r="FG83" s="302"/>
      <c r="FH83" s="302"/>
      <c r="FI83" s="302"/>
      <c r="FJ83" s="302"/>
      <c r="FK83" s="302"/>
      <c r="FL83" s="302"/>
      <c r="FM83" s="302"/>
      <c r="FN83" s="302"/>
      <c r="FO83" s="302"/>
      <c r="FP83" s="302"/>
      <c r="FQ83" s="302"/>
      <c r="FR83" s="302"/>
      <c r="FS83" s="302"/>
      <c r="FT83" s="302"/>
      <c r="FU83" s="302"/>
      <c r="FV83" s="302"/>
      <c r="FW83" s="302"/>
      <c r="FX83" s="302"/>
      <c r="FY83" s="302"/>
      <c r="FZ83" s="302"/>
      <c r="GA83" s="302"/>
      <c r="GB83" s="302"/>
      <c r="GC83" s="302"/>
      <c r="GD83" s="302"/>
      <c r="GE83" s="302"/>
      <c r="GF83" s="302"/>
      <c r="GG83" s="302"/>
      <c r="GH83" s="302"/>
      <c r="GI83" s="302"/>
      <c r="GJ83" s="302"/>
      <c r="GK83" s="302"/>
      <c r="GL83" s="302"/>
      <c r="GM83" s="302"/>
      <c r="GN83" s="302"/>
      <c r="GO83" s="302"/>
      <c r="GP83" s="302"/>
      <c r="GQ83" s="302"/>
      <c r="GR83" s="302"/>
      <c r="GS83" s="302"/>
      <c r="GT83" s="302"/>
      <c r="GU83" s="302"/>
      <c r="GV83" s="302"/>
      <c r="GW83" s="302"/>
      <c r="GX83" s="302"/>
      <c r="GY83" s="302"/>
      <c r="GZ83" s="302"/>
      <c r="HA83" s="302"/>
      <c r="HB83" s="302"/>
      <c r="HC83" s="302"/>
      <c r="HD83" s="302"/>
      <c r="HE83" s="302"/>
      <c r="HF83" s="302"/>
      <c r="HG83" s="302"/>
      <c r="HH83" s="302"/>
      <c r="HI83" s="302"/>
      <c r="HJ83" s="302"/>
      <c r="HK83" s="302"/>
      <c r="HL83" s="302"/>
      <c r="HM83" s="302"/>
      <c r="HN83" s="302"/>
      <c r="HO83" s="302"/>
      <c r="HP83" s="302"/>
      <c r="HQ83" s="302"/>
      <c r="HR83" s="302"/>
      <c r="HS83" s="302"/>
      <c r="HT83" s="302"/>
      <c r="HU83" s="302"/>
      <c r="HV83" s="302"/>
      <c r="HW83" s="302"/>
      <c r="HX83" s="302"/>
      <c r="HY83" s="302"/>
      <c r="HZ83" s="302"/>
      <c r="IA83" s="302"/>
      <c r="IB83" s="302"/>
      <c r="IC83" s="302"/>
      <c r="ID83" s="302"/>
      <c r="IE83" s="302"/>
      <c r="IF83" s="302"/>
      <c r="IG83" s="302"/>
      <c r="IH83" s="302"/>
      <c r="II83" s="302"/>
      <c r="IJ83" s="302"/>
      <c r="IK83" s="302"/>
    </row>
    <row r="84" spans="2:245" s="302" customFormat="1" ht="12">
      <c r="D84" s="302" t="s">
        <v>834</v>
      </c>
      <c r="H84" s="302">
        <f t="shared" ref="H84:L84" si="27">SUMIF($I$60:$I$80,H83,$U$60:$U$80)</f>
        <v>70.73</v>
      </c>
      <c r="I84" s="302">
        <f t="shared" si="27"/>
        <v>72.88</v>
      </c>
      <c r="J84" s="302">
        <f t="shared" si="27"/>
        <v>74.790000000000006</v>
      </c>
      <c r="K84" s="302">
        <f t="shared" si="27"/>
        <v>76.349999999999994</v>
      </c>
      <c r="L84" s="302">
        <f t="shared" si="27"/>
        <v>79.099999999999994</v>
      </c>
      <c r="M84" s="302">
        <f>SUMIF($I$60:$I$80,M83,$U$60:$U$80)</f>
        <v>82.38</v>
      </c>
      <c r="N84" s="302">
        <f>SUMIF($I$60:$I$80,N83,$U$60:$U$80)</f>
        <v>84.68</v>
      </c>
      <c r="O84" s="302">
        <f t="shared" ref="O84:Z84" si="28">SUMIF($I$60:$I$80,O83,$U$60:$U$80)</f>
        <v>87.25</v>
      </c>
      <c r="P84" s="302">
        <f t="shared" si="28"/>
        <v>90.88</v>
      </c>
      <c r="Q84" s="302">
        <f t="shared" si="28"/>
        <v>92.18</v>
      </c>
      <c r="R84" s="302">
        <f t="shared" si="28"/>
        <v>93.23</v>
      </c>
      <c r="S84" s="302">
        <f t="shared" si="28"/>
        <v>94.01</v>
      </c>
      <c r="T84" s="302">
        <f t="shared" si="28"/>
        <v>95.07</v>
      </c>
      <c r="U84" s="302">
        <f t="shared" si="28"/>
        <v>96.34</v>
      </c>
      <c r="V84" s="302">
        <f t="shared" si="28"/>
        <v>97.7</v>
      </c>
      <c r="W84" s="302">
        <f t="shared" si="28"/>
        <v>98.99</v>
      </c>
      <c r="X84" s="302">
        <f t="shared" si="28"/>
        <v>99.72</v>
      </c>
      <c r="Y84" s="302">
        <f t="shared" si="28"/>
        <v>100.33</v>
      </c>
      <c r="Z84" s="302">
        <f t="shared" si="28"/>
        <v>104.04</v>
      </c>
    </row>
    <row r="85" spans="2:245" s="302" customFormat="1" ht="12">
      <c r="D85" s="711">
        <v>39994</v>
      </c>
      <c r="E85" s="302">
        <f>O68</f>
        <v>83.79</v>
      </c>
      <c r="H85" s="302">
        <f t="shared" ref="H85:Z85" si="29">H84/$E$85</f>
        <v>0.84413414488602456</v>
      </c>
      <c r="I85" s="302">
        <f t="shared" si="29"/>
        <v>0.86979353144766669</v>
      </c>
      <c r="J85" s="302">
        <f t="shared" si="29"/>
        <v>0.89258861439312565</v>
      </c>
      <c r="K85" s="302">
        <f t="shared" si="29"/>
        <v>0.9112065878983171</v>
      </c>
      <c r="L85" s="302">
        <f t="shared" si="29"/>
        <v>0.94402673350041755</v>
      </c>
      <c r="M85" s="302">
        <f t="shared" si="29"/>
        <v>0.9831722162549229</v>
      </c>
      <c r="N85" s="302">
        <f t="shared" si="29"/>
        <v>1.0106217925766798</v>
      </c>
      <c r="O85" s="302">
        <f t="shared" si="29"/>
        <v>1.0412937104666427</v>
      </c>
      <c r="P85" s="302">
        <f t="shared" si="29"/>
        <v>1.0846163026614153</v>
      </c>
      <c r="Q85" s="302">
        <f t="shared" si="29"/>
        <v>1.1001312805824084</v>
      </c>
      <c r="R85" s="302">
        <f t="shared" si="29"/>
        <v>1.1126626089032103</v>
      </c>
      <c r="S85" s="302">
        <f t="shared" si="29"/>
        <v>1.1219715956558061</v>
      </c>
      <c r="T85" s="302">
        <f t="shared" si="29"/>
        <v>1.1346222699606157</v>
      </c>
      <c r="U85" s="302">
        <f t="shared" si="29"/>
        <v>1.1497792099295858</v>
      </c>
      <c r="V85" s="302">
        <f t="shared" si="29"/>
        <v>1.1660102637546246</v>
      </c>
      <c r="W85" s="302">
        <f t="shared" si="29"/>
        <v>1.1814058956916098</v>
      </c>
      <c r="X85" s="302">
        <f t="shared" si="29"/>
        <v>1.1901181525241675</v>
      </c>
      <c r="Y85" s="302">
        <f t="shared" si="29"/>
        <v>1.1973982575486333</v>
      </c>
      <c r="Z85" s="302">
        <f t="shared" si="29"/>
        <v>1.2416756176154673</v>
      </c>
    </row>
    <row r="86" spans="2:245" s="302" customFormat="1" ht="12">
      <c r="D86" s="711">
        <v>37042</v>
      </c>
      <c r="E86" s="302">
        <f>N60</f>
        <v>65.680000000000007</v>
      </c>
      <c r="H86" s="712">
        <f t="shared" ref="H86:Z86" si="30">H84/$E$86</f>
        <v>1.0768879415347137</v>
      </c>
      <c r="I86" s="712">
        <f t="shared" si="30"/>
        <v>1.1096224116930571</v>
      </c>
      <c r="J86" s="712">
        <f t="shared" si="30"/>
        <v>1.1387028014616321</v>
      </c>
      <c r="K86" s="712">
        <f t="shared" si="30"/>
        <v>1.1624543239951277</v>
      </c>
      <c r="L86" s="712">
        <f t="shared" si="30"/>
        <v>1.2043239951278926</v>
      </c>
      <c r="M86" s="712">
        <f t="shared" si="30"/>
        <v>1.2542630937880632</v>
      </c>
      <c r="N86" s="712">
        <f t="shared" si="30"/>
        <v>1.289281364190012</v>
      </c>
      <c r="O86" s="712">
        <f t="shared" si="30"/>
        <v>1.3284104750304506</v>
      </c>
      <c r="P86" s="712">
        <f t="shared" si="30"/>
        <v>1.3836784409257001</v>
      </c>
      <c r="Q86" s="712">
        <f t="shared" si="30"/>
        <v>1.4034713763702802</v>
      </c>
      <c r="R86" s="712">
        <f t="shared" si="30"/>
        <v>1.4194579780755177</v>
      </c>
      <c r="S86" s="712">
        <f t="shared" si="30"/>
        <v>1.4313337393422654</v>
      </c>
      <c r="T86" s="712">
        <f t="shared" si="30"/>
        <v>1.4474725943970765</v>
      </c>
      <c r="U86" s="302">
        <f t="shared" si="30"/>
        <v>1.4668087697929353</v>
      </c>
      <c r="V86" s="302">
        <f t="shared" si="30"/>
        <v>1.4875152253349573</v>
      </c>
      <c r="W86" s="302">
        <f t="shared" si="30"/>
        <v>1.5071559074299632</v>
      </c>
      <c r="X86" s="302">
        <f t="shared" si="30"/>
        <v>1.5182704019488427</v>
      </c>
      <c r="Y86" s="302">
        <f t="shared" si="30"/>
        <v>1.5275578562728378</v>
      </c>
      <c r="Z86" s="302">
        <f t="shared" si="30"/>
        <v>1.5840438489646771</v>
      </c>
    </row>
    <row r="87" spans="2:245" s="302" customFormat="1" ht="12"/>
    <row r="88" spans="2:245" s="302" customFormat="1" ht="12">
      <c r="H88" s="5279"/>
      <c r="I88" s="5279">
        <f>I84/H84-1</f>
        <v>3.0397285451717604E-2</v>
      </c>
      <c r="J88" s="5279">
        <f t="shared" ref="J88:Z88" si="31">J84/I84-1</f>
        <v>2.6207464324917717E-2</v>
      </c>
      <c r="K88" s="5279">
        <f t="shared" si="31"/>
        <v>2.0858403529883551E-2</v>
      </c>
      <c r="L88" s="5279">
        <f t="shared" si="31"/>
        <v>3.6018336607727575E-2</v>
      </c>
      <c r="M88" s="5279">
        <f t="shared" si="31"/>
        <v>4.1466498103666316E-2</v>
      </c>
      <c r="N88" s="5279">
        <f t="shared" si="31"/>
        <v>2.7919397912114841E-2</v>
      </c>
      <c r="O88" s="5279">
        <f t="shared" si="31"/>
        <v>3.0349551251771301E-2</v>
      </c>
      <c r="P88" s="5279">
        <f t="shared" si="31"/>
        <v>4.1604584527220601E-2</v>
      </c>
      <c r="Q88" s="5279">
        <f t="shared" si="31"/>
        <v>1.4304577464788748E-2</v>
      </c>
      <c r="R88" s="5279">
        <f t="shared" si="31"/>
        <v>1.1390757214146285E-2</v>
      </c>
      <c r="S88" s="5279">
        <f t="shared" si="31"/>
        <v>8.3664056634131789E-3</v>
      </c>
      <c r="T88" s="5279">
        <f t="shared" si="31"/>
        <v>1.1275396234442958E-2</v>
      </c>
      <c r="U88" s="5279">
        <f t="shared" si="31"/>
        <v>1.3358577889975853E-2</v>
      </c>
      <c r="V88" s="5279">
        <f t="shared" si="31"/>
        <v>1.4116670126634867E-2</v>
      </c>
      <c r="W88" s="5279">
        <f t="shared" si="31"/>
        <v>1.3203684749232281E-2</v>
      </c>
      <c r="X88" s="5279">
        <f t="shared" si="31"/>
        <v>7.374482270936511E-3</v>
      </c>
      <c r="Y88" s="5279">
        <f t="shared" si="31"/>
        <v>6.1171279582832305E-3</v>
      </c>
      <c r="Z88" s="5279">
        <f t="shared" si="31"/>
        <v>3.6977972690122707E-2</v>
      </c>
    </row>
    <row r="89" spans="2:245" s="302" customFormat="1" ht="12" hidden="1">
      <c r="G89" s="302">
        <v>2002</v>
      </c>
      <c r="H89" s="302">
        <v>2002</v>
      </c>
      <c r="I89" s="302">
        <v>2002</v>
      </c>
      <c r="J89" s="302">
        <v>2002</v>
      </c>
      <c r="K89" s="302">
        <v>2002</v>
      </c>
      <c r="L89" s="302">
        <v>2002</v>
      </c>
      <c r="M89" s="302">
        <v>2002</v>
      </c>
      <c r="N89" s="302">
        <v>2002</v>
      </c>
      <c r="O89" s="302">
        <v>2002</v>
      </c>
      <c r="P89" s="302">
        <v>2002</v>
      </c>
      <c r="Q89" s="302">
        <v>2002</v>
      </c>
      <c r="R89" s="302">
        <v>2002</v>
      </c>
      <c r="S89" s="302">
        <v>2003</v>
      </c>
      <c r="T89" s="302">
        <v>2003</v>
      </c>
      <c r="U89" s="302">
        <v>2003</v>
      </c>
      <c r="V89" s="302">
        <v>2003</v>
      </c>
      <c r="W89" s="302">
        <v>2003</v>
      </c>
      <c r="X89" s="302">
        <v>2003</v>
      </c>
      <c r="Y89" s="302">
        <v>2003</v>
      </c>
      <c r="Z89" s="302">
        <v>2003</v>
      </c>
      <c r="AA89" s="302">
        <v>2003</v>
      </c>
      <c r="AB89" s="302">
        <v>2003</v>
      </c>
      <c r="AC89" s="302">
        <v>2003</v>
      </c>
      <c r="AD89" s="302">
        <v>2003</v>
      </c>
      <c r="AE89" s="302">
        <v>2004</v>
      </c>
      <c r="AF89" s="302">
        <v>2004</v>
      </c>
      <c r="AG89" s="302">
        <v>2004</v>
      </c>
      <c r="AH89" s="302">
        <v>2004</v>
      </c>
      <c r="AI89" s="302">
        <v>2004</v>
      </c>
      <c r="AJ89" s="302">
        <v>2004</v>
      </c>
      <c r="AK89" s="302">
        <v>2004</v>
      </c>
      <c r="AL89" s="302">
        <v>2004</v>
      </c>
      <c r="AM89" s="302">
        <v>2004</v>
      </c>
      <c r="AN89" s="302">
        <v>2004</v>
      </c>
      <c r="AO89" s="302">
        <v>2004</v>
      </c>
      <c r="AP89" s="302">
        <v>2004</v>
      </c>
      <c r="AQ89" s="302">
        <v>2005</v>
      </c>
      <c r="AR89" s="302">
        <v>2005</v>
      </c>
      <c r="AS89" s="302">
        <v>2005</v>
      </c>
      <c r="AT89" s="302">
        <v>2005</v>
      </c>
      <c r="AU89" s="302">
        <v>2005</v>
      </c>
      <c r="AV89" s="302">
        <v>2005</v>
      </c>
      <c r="AW89" s="302">
        <v>2005</v>
      </c>
      <c r="AX89" s="302">
        <v>2005</v>
      </c>
      <c r="AY89" s="302">
        <v>2005</v>
      </c>
      <c r="AZ89" s="302">
        <v>2005</v>
      </c>
      <c r="BA89" s="302">
        <v>2005</v>
      </c>
      <c r="BB89" s="302">
        <v>2005</v>
      </c>
      <c r="BC89" s="302">
        <v>2006</v>
      </c>
      <c r="BD89" s="302">
        <v>2006</v>
      </c>
      <c r="BE89" s="302">
        <v>2006</v>
      </c>
      <c r="BF89" s="302">
        <v>2006</v>
      </c>
      <c r="BG89" s="302">
        <v>2006</v>
      </c>
      <c r="BH89" s="302">
        <v>2006</v>
      </c>
      <c r="BI89" s="302">
        <v>2006</v>
      </c>
      <c r="BJ89" s="302">
        <v>2006</v>
      </c>
      <c r="BK89" s="302">
        <v>2006</v>
      </c>
      <c r="BL89" s="302">
        <v>2006</v>
      </c>
      <c r="BM89" s="302">
        <v>2006</v>
      </c>
      <c r="BN89" s="302">
        <v>2006</v>
      </c>
      <c r="BO89" s="302">
        <v>2007</v>
      </c>
      <c r="BP89" s="302">
        <v>2007</v>
      </c>
      <c r="BQ89" s="302">
        <v>2007</v>
      </c>
      <c r="BR89" s="302">
        <v>2007</v>
      </c>
      <c r="BS89" s="302">
        <v>2007</v>
      </c>
      <c r="BT89" s="302">
        <v>2007</v>
      </c>
      <c r="BU89" s="302">
        <v>2007</v>
      </c>
      <c r="BV89" s="302">
        <v>2007</v>
      </c>
      <c r="BW89" s="302">
        <v>2007</v>
      </c>
      <c r="BX89" s="302">
        <v>2007</v>
      </c>
      <c r="BY89" s="302">
        <v>2007</v>
      </c>
      <c r="BZ89" s="302">
        <v>2007</v>
      </c>
      <c r="CA89" s="302">
        <v>2008</v>
      </c>
      <c r="CB89" s="302">
        <v>2008</v>
      </c>
      <c r="CC89" s="302">
        <v>2008</v>
      </c>
      <c r="CD89" s="302">
        <v>2008</v>
      </c>
      <c r="CE89" s="302">
        <v>2008</v>
      </c>
      <c r="CF89" s="302">
        <v>2008</v>
      </c>
      <c r="CG89" s="302">
        <v>2008</v>
      </c>
      <c r="CH89" s="302">
        <v>2008</v>
      </c>
      <c r="CI89" s="302">
        <v>2008</v>
      </c>
      <c r="CJ89" s="302">
        <v>2008</v>
      </c>
      <c r="CK89" s="302">
        <v>2008</v>
      </c>
      <c r="CL89" s="302">
        <v>2008</v>
      </c>
      <c r="CM89" s="302">
        <v>2009</v>
      </c>
      <c r="CN89" s="302">
        <v>2009</v>
      </c>
      <c r="CO89" s="302">
        <v>2009</v>
      </c>
      <c r="CP89" s="302">
        <v>2009</v>
      </c>
      <c r="CQ89" s="302">
        <v>2009</v>
      </c>
      <c r="CR89" s="302">
        <v>2009</v>
      </c>
      <c r="CS89" s="302">
        <v>2009</v>
      </c>
      <c r="CT89" s="302">
        <v>2009</v>
      </c>
      <c r="CU89" s="302">
        <v>2009</v>
      </c>
      <c r="CV89" s="302">
        <v>2009</v>
      </c>
      <c r="CW89" s="302">
        <v>2009</v>
      </c>
      <c r="CX89" s="302">
        <v>2009</v>
      </c>
      <c r="CY89" s="302">
        <v>2010</v>
      </c>
      <c r="CZ89" s="302">
        <v>2010</v>
      </c>
      <c r="DA89" s="302">
        <v>2010</v>
      </c>
      <c r="DB89" s="302">
        <v>2010</v>
      </c>
      <c r="DC89" s="302">
        <v>2010</v>
      </c>
      <c r="DD89" s="302">
        <v>2010</v>
      </c>
      <c r="DE89" s="302">
        <v>2010</v>
      </c>
      <c r="DF89" s="302">
        <v>2010</v>
      </c>
      <c r="DG89" s="302">
        <v>2010</v>
      </c>
      <c r="DH89" s="302">
        <v>2010</v>
      </c>
      <c r="DI89" s="302">
        <v>2010</v>
      </c>
      <c r="DJ89" s="302">
        <v>2010</v>
      </c>
      <c r="DK89" s="302">
        <v>2011</v>
      </c>
      <c r="DL89" s="302">
        <v>2011</v>
      </c>
      <c r="DM89" s="302">
        <v>2011</v>
      </c>
      <c r="DN89" s="302">
        <v>2011</v>
      </c>
      <c r="DO89" s="302">
        <v>2011</v>
      </c>
      <c r="DP89" s="302">
        <v>2011</v>
      </c>
      <c r="DQ89" s="302">
        <v>2011</v>
      </c>
      <c r="DR89" s="302">
        <v>2011</v>
      </c>
      <c r="DS89" s="302">
        <v>2011</v>
      </c>
      <c r="DT89" s="302">
        <v>2011</v>
      </c>
      <c r="DU89" s="302">
        <v>2011</v>
      </c>
      <c r="DV89" s="302">
        <v>2011</v>
      </c>
      <c r="DW89" s="302">
        <v>2012</v>
      </c>
      <c r="DX89" s="302">
        <v>2012</v>
      </c>
      <c r="DY89" s="302">
        <v>2012</v>
      </c>
      <c r="DZ89" s="302">
        <v>2012</v>
      </c>
      <c r="EA89" s="302">
        <v>2012</v>
      </c>
      <c r="EB89" s="302">
        <v>2012</v>
      </c>
      <c r="EC89" s="302">
        <v>2012</v>
      </c>
      <c r="ED89" s="302">
        <v>2012</v>
      </c>
      <c r="EE89" s="302">
        <v>2012</v>
      </c>
      <c r="EF89" s="302">
        <v>2012</v>
      </c>
      <c r="EG89" s="302">
        <v>2012</v>
      </c>
      <c r="EH89" s="302">
        <v>2012</v>
      </c>
      <c r="EI89" s="302">
        <v>2013</v>
      </c>
      <c r="EJ89" s="302">
        <v>2013</v>
      </c>
      <c r="EK89" s="302">
        <v>2013</v>
      </c>
      <c r="EL89" s="302">
        <v>2013</v>
      </c>
      <c r="EM89" s="302">
        <v>2013</v>
      </c>
      <c r="EN89" s="302">
        <v>2013</v>
      </c>
      <c r="EO89" s="302">
        <v>2013</v>
      </c>
      <c r="EP89" s="302">
        <v>2013</v>
      </c>
      <c r="EQ89" s="302">
        <v>2013</v>
      </c>
      <c r="ER89" s="302">
        <v>2013</v>
      </c>
      <c r="ES89" s="302">
        <v>2013</v>
      </c>
      <c r="ET89" s="302">
        <v>2013</v>
      </c>
      <c r="EU89" s="302">
        <v>2014</v>
      </c>
      <c r="EV89" s="302">
        <v>2014</v>
      </c>
      <c r="EW89" s="302">
        <v>2014</v>
      </c>
      <c r="EX89" s="302">
        <v>2014</v>
      </c>
      <c r="EY89" s="302">
        <v>2014</v>
      </c>
      <c r="EZ89" s="302">
        <v>2014</v>
      </c>
      <c r="FA89" s="302">
        <v>2014</v>
      </c>
      <c r="FB89" s="302">
        <v>2014</v>
      </c>
      <c r="FC89" s="302">
        <v>2014</v>
      </c>
      <c r="FD89" s="302">
        <v>2014</v>
      </c>
      <c r="FE89" s="302">
        <v>2014</v>
      </c>
      <c r="FF89" s="302">
        <v>2014</v>
      </c>
      <c r="FG89" s="302">
        <v>2015</v>
      </c>
      <c r="FH89" s="302">
        <v>2015</v>
      </c>
      <c r="FI89" s="302">
        <v>2015</v>
      </c>
      <c r="FJ89" s="302">
        <v>2015</v>
      </c>
      <c r="FK89" s="302">
        <v>2015</v>
      </c>
      <c r="FL89" s="302">
        <v>2015</v>
      </c>
      <c r="FM89" s="302">
        <v>2015</v>
      </c>
      <c r="FN89" s="302">
        <v>2015</v>
      </c>
      <c r="FO89" s="302">
        <v>2015</v>
      </c>
      <c r="FP89" s="302">
        <v>2015</v>
      </c>
      <c r="FQ89" s="302">
        <v>2015</v>
      </c>
      <c r="FR89" s="302">
        <v>2015</v>
      </c>
      <c r="FS89" s="302">
        <v>2016</v>
      </c>
      <c r="FT89" s="302">
        <v>2016</v>
      </c>
      <c r="FU89" s="302">
        <v>2016</v>
      </c>
      <c r="FV89" s="302">
        <v>2016</v>
      </c>
      <c r="FW89" s="302">
        <v>2016</v>
      </c>
      <c r="FX89" s="302">
        <v>2016</v>
      </c>
      <c r="FY89" s="302">
        <v>2016</v>
      </c>
      <c r="FZ89" s="302">
        <v>2016</v>
      </c>
      <c r="GA89" s="302">
        <v>2016</v>
      </c>
      <c r="GB89" s="302">
        <v>2016</v>
      </c>
      <c r="GC89" s="302">
        <v>2016</v>
      </c>
      <c r="GD89" s="302">
        <v>2016</v>
      </c>
      <c r="GE89" s="302">
        <v>2017</v>
      </c>
      <c r="GF89" s="302">
        <v>2017</v>
      </c>
      <c r="GG89" s="302">
        <v>2017</v>
      </c>
      <c r="GH89" s="302">
        <v>2017</v>
      </c>
      <c r="GI89" s="302">
        <v>2017</v>
      </c>
      <c r="GJ89" s="302">
        <v>2017</v>
      </c>
      <c r="GK89" s="302">
        <v>2017</v>
      </c>
      <c r="GL89" s="302">
        <v>2017</v>
      </c>
      <c r="GM89" s="302">
        <v>2017</v>
      </c>
      <c r="GN89" s="302">
        <v>2017</v>
      </c>
      <c r="GO89" s="302">
        <v>2017</v>
      </c>
      <c r="GP89" s="302">
        <v>2017</v>
      </c>
      <c r="GQ89" s="302">
        <v>2018</v>
      </c>
      <c r="GR89" s="302">
        <v>2018</v>
      </c>
      <c r="GS89" s="302">
        <v>2018</v>
      </c>
      <c r="GT89" s="302">
        <v>2018</v>
      </c>
      <c r="GU89" s="302">
        <v>2018</v>
      </c>
      <c r="GV89" s="302">
        <v>2018</v>
      </c>
      <c r="GW89" s="302">
        <v>2018</v>
      </c>
      <c r="GX89" s="302">
        <v>2018</v>
      </c>
      <c r="GY89" s="302">
        <v>2018</v>
      </c>
      <c r="GZ89" s="302">
        <v>2018</v>
      </c>
      <c r="HA89" s="302">
        <v>2018</v>
      </c>
      <c r="HB89" s="302">
        <v>2018</v>
      </c>
      <c r="HC89" s="302">
        <v>2019</v>
      </c>
      <c r="HD89" s="302">
        <v>2019</v>
      </c>
      <c r="HE89" s="302">
        <v>2019</v>
      </c>
      <c r="HF89" s="302">
        <v>2019</v>
      </c>
      <c r="HG89" s="302">
        <v>2019</v>
      </c>
      <c r="HH89" s="302">
        <v>2019</v>
      </c>
      <c r="HI89" s="302">
        <v>2019</v>
      </c>
      <c r="HJ89" s="302">
        <v>2019</v>
      </c>
      <c r="HK89" s="302">
        <v>2019</v>
      </c>
      <c r="HL89" s="302">
        <v>2019</v>
      </c>
      <c r="HM89" s="302">
        <v>2019</v>
      </c>
      <c r="HN89" s="302">
        <v>2019</v>
      </c>
      <c r="HO89" s="302">
        <v>2020</v>
      </c>
      <c r="HP89" s="302">
        <v>2020</v>
      </c>
      <c r="HQ89" s="302">
        <v>2020</v>
      </c>
      <c r="HR89" s="302">
        <v>2020</v>
      </c>
      <c r="HS89" s="302">
        <v>2020</v>
      </c>
      <c r="HT89" s="302">
        <v>2020</v>
      </c>
      <c r="HU89" s="302">
        <v>2020</v>
      </c>
      <c r="HV89" s="302">
        <v>2020</v>
      </c>
      <c r="HW89" s="302">
        <v>2020</v>
      </c>
      <c r="HX89" s="302">
        <v>2020</v>
      </c>
      <c r="HY89" s="302">
        <v>2020</v>
      </c>
      <c r="HZ89" s="302">
        <v>2020</v>
      </c>
      <c r="IA89" s="302">
        <v>2021</v>
      </c>
      <c r="IB89" s="302">
        <v>2021</v>
      </c>
      <c r="IC89" s="302">
        <v>2021</v>
      </c>
      <c r="ID89" s="302">
        <v>2021</v>
      </c>
      <c r="IE89" s="302">
        <v>2021</v>
      </c>
      <c r="IF89" s="302">
        <v>2021</v>
      </c>
      <c r="IG89" s="302">
        <v>2021</v>
      </c>
      <c r="IH89" s="302">
        <v>2021</v>
      </c>
      <c r="II89" s="302">
        <v>2021</v>
      </c>
      <c r="IJ89" s="302">
        <v>2021</v>
      </c>
      <c r="IK89" s="302">
        <v>2021</v>
      </c>
    </row>
    <row r="90" spans="2:245" s="302" customFormat="1" ht="12" hidden="1">
      <c r="G90" s="302">
        <v>1</v>
      </c>
      <c r="H90" s="302">
        <v>2</v>
      </c>
      <c r="I90" s="302">
        <v>3</v>
      </c>
      <c r="J90" s="302">
        <v>4</v>
      </c>
      <c r="K90" s="302">
        <v>5</v>
      </c>
      <c r="L90" s="302">
        <v>6</v>
      </c>
      <c r="M90" s="302">
        <v>7</v>
      </c>
      <c r="N90" s="302">
        <v>8</v>
      </c>
      <c r="O90" s="302">
        <v>9</v>
      </c>
      <c r="P90" s="302">
        <v>10</v>
      </c>
      <c r="Q90" s="302">
        <v>11</v>
      </c>
      <c r="R90" s="302">
        <v>12</v>
      </c>
      <c r="S90" s="302">
        <v>1</v>
      </c>
      <c r="T90" s="302">
        <v>2</v>
      </c>
      <c r="U90" s="302">
        <v>3</v>
      </c>
      <c r="V90" s="302">
        <v>4</v>
      </c>
      <c r="W90" s="302">
        <v>5</v>
      </c>
      <c r="X90" s="302">
        <v>6</v>
      </c>
      <c r="Y90" s="302">
        <v>7</v>
      </c>
      <c r="Z90" s="302">
        <v>8</v>
      </c>
      <c r="AA90" s="302">
        <v>9</v>
      </c>
      <c r="AB90" s="302">
        <v>10</v>
      </c>
      <c r="AC90" s="302">
        <v>11</v>
      </c>
      <c r="AD90" s="302">
        <v>12</v>
      </c>
      <c r="AE90" s="302">
        <v>1</v>
      </c>
      <c r="AF90" s="302">
        <v>2</v>
      </c>
      <c r="AG90" s="302">
        <v>3</v>
      </c>
      <c r="AH90" s="302">
        <v>4</v>
      </c>
      <c r="AI90" s="302">
        <v>5</v>
      </c>
      <c r="AJ90" s="302">
        <v>6</v>
      </c>
      <c r="AK90" s="302">
        <v>7</v>
      </c>
      <c r="AL90" s="302">
        <v>8</v>
      </c>
      <c r="AM90" s="302">
        <v>9</v>
      </c>
      <c r="AN90" s="302">
        <v>10</v>
      </c>
      <c r="AO90" s="302">
        <v>11</v>
      </c>
      <c r="AP90" s="302">
        <v>12</v>
      </c>
      <c r="AQ90" s="302">
        <v>1</v>
      </c>
      <c r="AR90" s="302">
        <v>2</v>
      </c>
      <c r="AS90" s="302">
        <v>3</v>
      </c>
      <c r="AT90" s="302">
        <v>4</v>
      </c>
      <c r="AU90" s="302">
        <v>5</v>
      </c>
      <c r="AV90" s="302">
        <v>6</v>
      </c>
      <c r="AW90" s="302">
        <v>7</v>
      </c>
      <c r="AX90" s="302">
        <v>8</v>
      </c>
      <c r="AY90" s="302">
        <v>9</v>
      </c>
      <c r="AZ90" s="302">
        <v>10</v>
      </c>
      <c r="BA90" s="302">
        <v>11</v>
      </c>
      <c r="BB90" s="302">
        <v>12</v>
      </c>
      <c r="BC90" s="302">
        <v>1</v>
      </c>
      <c r="BD90" s="302">
        <v>2</v>
      </c>
      <c r="BE90" s="302">
        <v>3</v>
      </c>
      <c r="BF90" s="302">
        <v>4</v>
      </c>
      <c r="BG90" s="302">
        <v>5</v>
      </c>
      <c r="BH90" s="302">
        <v>6</v>
      </c>
      <c r="BI90" s="302">
        <v>7</v>
      </c>
      <c r="BJ90" s="302">
        <v>8</v>
      </c>
      <c r="BK90" s="302">
        <v>9</v>
      </c>
      <c r="BL90" s="302">
        <v>10</v>
      </c>
      <c r="BM90" s="302">
        <v>11</v>
      </c>
      <c r="BN90" s="302">
        <v>12</v>
      </c>
      <c r="BO90" s="302">
        <v>1</v>
      </c>
      <c r="BP90" s="302">
        <v>2</v>
      </c>
      <c r="BQ90" s="302">
        <v>3</v>
      </c>
      <c r="BR90" s="302">
        <v>4</v>
      </c>
      <c r="BS90" s="302">
        <v>5</v>
      </c>
      <c r="BT90" s="302">
        <v>6</v>
      </c>
      <c r="BU90" s="302">
        <v>7</v>
      </c>
      <c r="BV90" s="302">
        <v>8</v>
      </c>
      <c r="BW90" s="302">
        <v>9</v>
      </c>
      <c r="BX90" s="302">
        <v>10</v>
      </c>
      <c r="BY90" s="302">
        <v>11</v>
      </c>
      <c r="BZ90" s="302">
        <v>12</v>
      </c>
      <c r="CA90" s="302">
        <v>1</v>
      </c>
      <c r="CB90" s="302">
        <v>2</v>
      </c>
      <c r="CC90" s="302">
        <v>3</v>
      </c>
      <c r="CD90" s="302">
        <v>4</v>
      </c>
      <c r="CE90" s="302">
        <v>5</v>
      </c>
      <c r="CF90" s="302">
        <v>6</v>
      </c>
      <c r="CG90" s="302">
        <v>7</v>
      </c>
      <c r="CH90" s="302">
        <v>8</v>
      </c>
      <c r="CI90" s="302">
        <v>9</v>
      </c>
      <c r="CJ90" s="302">
        <v>10</v>
      </c>
      <c r="CK90" s="302">
        <v>11</v>
      </c>
      <c r="CL90" s="302">
        <v>12</v>
      </c>
      <c r="CM90" s="302">
        <v>1</v>
      </c>
      <c r="CN90" s="302">
        <v>2</v>
      </c>
      <c r="CO90" s="302">
        <v>3</v>
      </c>
      <c r="CP90" s="302">
        <v>4</v>
      </c>
      <c r="CQ90" s="302">
        <v>5</v>
      </c>
      <c r="CR90" s="302">
        <v>6</v>
      </c>
      <c r="CS90" s="302">
        <v>7</v>
      </c>
      <c r="CT90" s="302">
        <v>8</v>
      </c>
      <c r="CU90" s="302">
        <v>9</v>
      </c>
      <c r="CV90" s="302">
        <v>10</v>
      </c>
      <c r="CW90" s="302">
        <v>11</v>
      </c>
      <c r="CX90" s="302">
        <v>12</v>
      </c>
      <c r="CY90" s="302">
        <v>1</v>
      </c>
      <c r="CZ90" s="302">
        <v>2</v>
      </c>
      <c r="DA90" s="302">
        <v>3</v>
      </c>
      <c r="DB90" s="302">
        <v>4</v>
      </c>
      <c r="DC90" s="302">
        <v>5</v>
      </c>
      <c r="DD90" s="302">
        <v>6</v>
      </c>
      <c r="DE90" s="302">
        <v>7</v>
      </c>
      <c r="DF90" s="302">
        <v>8</v>
      </c>
      <c r="DG90" s="302">
        <v>9</v>
      </c>
      <c r="DH90" s="302">
        <v>10</v>
      </c>
      <c r="DI90" s="302">
        <v>11</v>
      </c>
      <c r="DJ90" s="302">
        <v>12</v>
      </c>
      <c r="DK90" s="302">
        <v>1</v>
      </c>
      <c r="DL90" s="302">
        <v>2</v>
      </c>
      <c r="DM90" s="302">
        <v>3</v>
      </c>
      <c r="DN90" s="302">
        <v>4</v>
      </c>
      <c r="DO90" s="302">
        <v>5</v>
      </c>
      <c r="DP90" s="302">
        <v>6</v>
      </c>
      <c r="DQ90" s="302">
        <v>7</v>
      </c>
      <c r="DR90" s="302">
        <v>8</v>
      </c>
      <c r="DS90" s="302">
        <v>9</v>
      </c>
      <c r="DT90" s="302">
        <v>10</v>
      </c>
      <c r="DU90" s="302">
        <v>11</v>
      </c>
      <c r="DV90" s="302">
        <v>12</v>
      </c>
      <c r="DW90" s="302">
        <v>1</v>
      </c>
      <c r="DX90" s="302">
        <v>2</v>
      </c>
      <c r="DY90" s="302">
        <v>3</v>
      </c>
      <c r="DZ90" s="302">
        <v>4</v>
      </c>
      <c r="EA90" s="302">
        <v>5</v>
      </c>
      <c r="EB90" s="302">
        <v>6</v>
      </c>
      <c r="EC90" s="302">
        <v>7</v>
      </c>
      <c r="ED90" s="302">
        <v>8</v>
      </c>
      <c r="EE90" s="302">
        <v>9</v>
      </c>
      <c r="EF90" s="302">
        <v>10</v>
      </c>
      <c r="EG90" s="302">
        <v>11</v>
      </c>
      <c r="EH90" s="302">
        <v>12</v>
      </c>
      <c r="EI90" s="302">
        <v>1</v>
      </c>
      <c r="EJ90" s="302">
        <v>2</v>
      </c>
      <c r="EK90" s="302">
        <v>3</v>
      </c>
      <c r="EL90" s="302">
        <v>4</v>
      </c>
      <c r="EM90" s="302">
        <v>5</v>
      </c>
      <c r="EN90" s="302">
        <v>6</v>
      </c>
      <c r="EO90" s="302">
        <v>7</v>
      </c>
      <c r="EP90" s="302">
        <v>8</v>
      </c>
      <c r="EQ90" s="302">
        <v>9</v>
      </c>
      <c r="ER90" s="302">
        <v>10</v>
      </c>
      <c r="ES90" s="302">
        <v>11</v>
      </c>
      <c r="ET90" s="302">
        <v>12</v>
      </c>
      <c r="EU90" s="302">
        <v>1</v>
      </c>
      <c r="EV90" s="302">
        <v>2</v>
      </c>
      <c r="EW90" s="302">
        <v>3</v>
      </c>
      <c r="EX90" s="302">
        <v>4</v>
      </c>
      <c r="EY90" s="302">
        <v>5</v>
      </c>
      <c r="EZ90" s="302">
        <v>6</v>
      </c>
      <c r="FA90" s="302">
        <v>7</v>
      </c>
      <c r="FB90" s="302">
        <v>8</v>
      </c>
      <c r="FC90" s="302">
        <v>9</v>
      </c>
      <c r="FD90" s="302">
        <v>10</v>
      </c>
      <c r="FE90" s="302">
        <v>11</v>
      </c>
      <c r="FF90" s="302">
        <v>12</v>
      </c>
      <c r="FG90" s="302">
        <v>1</v>
      </c>
      <c r="FH90" s="302">
        <v>2</v>
      </c>
      <c r="FI90" s="302">
        <v>3</v>
      </c>
      <c r="FJ90" s="302">
        <v>4</v>
      </c>
      <c r="FK90" s="302">
        <v>5</v>
      </c>
      <c r="FL90" s="302">
        <v>6</v>
      </c>
      <c r="FM90" s="302">
        <v>7</v>
      </c>
      <c r="FN90" s="302">
        <v>8</v>
      </c>
      <c r="FO90" s="302">
        <v>9</v>
      </c>
      <c r="FP90" s="302">
        <v>10</v>
      </c>
      <c r="FQ90" s="302">
        <v>11</v>
      </c>
      <c r="FR90" s="302">
        <v>12</v>
      </c>
      <c r="FS90" s="302">
        <v>1</v>
      </c>
      <c r="FT90" s="302">
        <v>2</v>
      </c>
      <c r="FU90" s="302">
        <v>3</v>
      </c>
      <c r="FV90" s="302">
        <v>4</v>
      </c>
      <c r="FW90" s="302">
        <v>5</v>
      </c>
      <c r="FX90" s="302">
        <v>6</v>
      </c>
      <c r="FY90" s="302">
        <v>7</v>
      </c>
      <c r="FZ90" s="302">
        <v>8</v>
      </c>
      <c r="GA90" s="302">
        <v>9</v>
      </c>
      <c r="GB90" s="302">
        <v>10</v>
      </c>
      <c r="GC90" s="302">
        <v>11</v>
      </c>
      <c r="GD90" s="302">
        <v>12</v>
      </c>
      <c r="GE90" s="302">
        <v>1</v>
      </c>
      <c r="GF90" s="302">
        <v>2</v>
      </c>
      <c r="GG90" s="302">
        <v>3</v>
      </c>
      <c r="GH90" s="302">
        <v>4</v>
      </c>
      <c r="GI90" s="302">
        <v>5</v>
      </c>
      <c r="GJ90" s="302">
        <v>6</v>
      </c>
      <c r="GK90" s="302">
        <v>7</v>
      </c>
      <c r="GL90" s="302">
        <v>8</v>
      </c>
      <c r="GM90" s="302">
        <v>9</v>
      </c>
      <c r="GN90" s="302">
        <v>10</v>
      </c>
      <c r="GO90" s="302">
        <v>11</v>
      </c>
      <c r="GP90" s="302">
        <v>12</v>
      </c>
      <c r="GQ90" s="302">
        <v>1</v>
      </c>
      <c r="GR90" s="302">
        <v>2</v>
      </c>
      <c r="GS90" s="302">
        <v>3</v>
      </c>
      <c r="GT90" s="302">
        <v>4</v>
      </c>
      <c r="GU90" s="302">
        <v>5</v>
      </c>
      <c r="GV90" s="302">
        <v>6</v>
      </c>
      <c r="GW90" s="302">
        <v>7</v>
      </c>
      <c r="GX90" s="302">
        <v>8</v>
      </c>
      <c r="GY90" s="302">
        <v>9</v>
      </c>
      <c r="GZ90" s="302">
        <v>10</v>
      </c>
      <c r="HA90" s="302">
        <v>11</v>
      </c>
      <c r="HB90" s="302">
        <v>12</v>
      </c>
      <c r="HC90" s="302">
        <v>1</v>
      </c>
      <c r="HD90" s="302">
        <v>2</v>
      </c>
      <c r="HE90" s="302">
        <v>3</v>
      </c>
      <c r="HF90" s="302">
        <v>4</v>
      </c>
      <c r="HG90" s="302">
        <v>5</v>
      </c>
      <c r="HH90" s="302">
        <v>6</v>
      </c>
      <c r="HI90" s="302">
        <v>7</v>
      </c>
      <c r="HJ90" s="302">
        <v>8</v>
      </c>
      <c r="HK90" s="302">
        <v>9</v>
      </c>
      <c r="HL90" s="302">
        <v>10</v>
      </c>
      <c r="HM90" s="302">
        <v>11</v>
      </c>
      <c r="HN90" s="302">
        <v>12</v>
      </c>
      <c r="HO90" s="302">
        <v>1</v>
      </c>
      <c r="HP90" s="302">
        <v>2</v>
      </c>
      <c r="HQ90" s="302">
        <v>3</v>
      </c>
      <c r="HR90" s="302">
        <v>4</v>
      </c>
      <c r="HS90" s="302">
        <v>5</v>
      </c>
      <c r="HT90" s="302">
        <v>6</v>
      </c>
      <c r="HU90" s="302">
        <v>7</v>
      </c>
      <c r="HV90" s="302">
        <v>8</v>
      </c>
      <c r="HW90" s="302">
        <v>9</v>
      </c>
      <c r="HX90" s="302">
        <v>10</v>
      </c>
      <c r="HY90" s="302">
        <v>11</v>
      </c>
      <c r="HZ90" s="302">
        <v>12</v>
      </c>
      <c r="IA90" s="302">
        <v>1</v>
      </c>
      <c r="IB90" s="302">
        <v>2</v>
      </c>
      <c r="IC90" s="302">
        <v>3</v>
      </c>
      <c r="ID90" s="302">
        <v>4</v>
      </c>
      <c r="IE90" s="302">
        <v>5</v>
      </c>
      <c r="IF90" s="302">
        <v>6</v>
      </c>
      <c r="IG90" s="302">
        <v>7</v>
      </c>
      <c r="IH90" s="302">
        <v>8</v>
      </c>
      <c r="II90" s="302">
        <v>9</v>
      </c>
      <c r="IJ90" s="302">
        <v>10</v>
      </c>
      <c r="IK90" s="302">
        <v>11</v>
      </c>
    </row>
    <row r="91" spans="2:245" s="302" customFormat="1" ht="48.75" hidden="1" thickBot="1">
      <c r="B91" s="696" t="s">
        <v>370</v>
      </c>
      <c r="C91" s="696" t="s">
        <v>372</v>
      </c>
      <c r="D91" s="696" t="s">
        <v>374</v>
      </c>
      <c r="E91" s="696" t="s">
        <v>803</v>
      </c>
      <c r="F91" s="696" t="s">
        <v>376</v>
      </c>
      <c r="G91" s="696" t="s">
        <v>835</v>
      </c>
      <c r="H91" s="696" t="s">
        <v>836</v>
      </c>
      <c r="I91" s="696" t="s">
        <v>837</v>
      </c>
      <c r="J91" s="696" t="s">
        <v>838</v>
      </c>
      <c r="K91" s="696" t="s">
        <v>839</v>
      </c>
      <c r="L91" s="696" t="s">
        <v>840</v>
      </c>
      <c r="M91" s="696" t="s">
        <v>841</v>
      </c>
      <c r="N91" s="696" t="s">
        <v>842</v>
      </c>
      <c r="O91" s="696" t="s">
        <v>843</v>
      </c>
      <c r="P91" s="696" t="s">
        <v>844</v>
      </c>
      <c r="Q91" s="696" t="s">
        <v>845</v>
      </c>
      <c r="R91" s="696" t="s">
        <v>846</v>
      </c>
      <c r="S91" s="696" t="s">
        <v>847</v>
      </c>
      <c r="T91" s="696" t="s">
        <v>848</v>
      </c>
      <c r="U91" s="696" t="s">
        <v>849</v>
      </c>
      <c r="V91" s="696" t="s">
        <v>850</v>
      </c>
      <c r="W91" s="696" t="s">
        <v>851</v>
      </c>
      <c r="X91" s="696" t="s">
        <v>852</v>
      </c>
      <c r="Y91" s="696" t="s">
        <v>853</v>
      </c>
      <c r="Z91" s="696" t="s">
        <v>854</v>
      </c>
      <c r="AA91" s="696" t="s">
        <v>855</v>
      </c>
      <c r="AB91" s="696" t="s">
        <v>856</v>
      </c>
      <c r="AC91" s="696" t="s">
        <v>857</v>
      </c>
      <c r="AD91" s="696" t="s">
        <v>858</v>
      </c>
      <c r="AE91" s="696" t="s">
        <v>859</v>
      </c>
      <c r="AF91" s="696" t="s">
        <v>860</v>
      </c>
      <c r="AG91" s="696" t="s">
        <v>861</v>
      </c>
      <c r="AH91" s="696" t="s">
        <v>862</v>
      </c>
      <c r="AI91" s="696" t="s">
        <v>863</v>
      </c>
      <c r="AJ91" s="696" t="s">
        <v>864</v>
      </c>
      <c r="AK91" s="696" t="s">
        <v>865</v>
      </c>
      <c r="AL91" s="696" t="s">
        <v>866</v>
      </c>
      <c r="AM91" s="696" t="s">
        <v>867</v>
      </c>
      <c r="AN91" s="696" t="s">
        <v>868</v>
      </c>
      <c r="AO91" s="696" t="s">
        <v>869</v>
      </c>
      <c r="AP91" s="696" t="s">
        <v>870</v>
      </c>
      <c r="AQ91" s="696" t="s">
        <v>871</v>
      </c>
      <c r="AR91" s="696" t="s">
        <v>872</v>
      </c>
      <c r="AS91" s="696" t="s">
        <v>873</v>
      </c>
      <c r="AT91" s="696" t="s">
        <v>874</v>
      </c>
      <c r="AU91" s="696" t="s">
        <v>875</v>
      </c>
      <c r="AV91" s="696" t="s">
        <v>876</v>
      </c>
      <c r="AW91" s="696" t="s">
        <v>877</v>
      </c>
      <c r="AX91" s="696" t="s">
        <v>878</v>
      </c>
      <c r="AY91" s="696" t="s">
        <v>879</v>
      </c>
      <c r="AZ91" s="696" t="s">
        <v>880</v>
      </c>
      <c r="BA91" s="696" t="s">
        <v>881</v>
      </c>
      <c r="BB91" s="696" t="s">
        <v>882</v>
      </c>
      <c r="BC91" s="696" t="s">
        <v>883</v>
      </c>
      <c r="BD91" s="696" t="s">
        <v>884</v>
      </c>
      <c r="BE91" s="696" t="s">
        <v>885</v>
      </c>
      <c r="BF91" s="696" t="s">
        <v>886</v>
      </c>
      <c r="BG91" s="696" t="s">
        <v>887</v>
      </c>
      <c r="BH91" s="696" t="s">
        <v>888</v>
      </c>
      <c r="BI91" s="696" t="s">
        <v>889</v>
      </c>
      <c r="BJ91" s="696" t="s">
        <v>890</v>
      </c>
      <c r="BK91" s="696" t="s">
        <v>891</v>
      </c>
      <c r="BL91" s="696" t="s">
        <v>892</v>
      </c>
      <c r="BM91" s="696" t="s">
        <v>893</v>
      </c>
      <c r="BN91" s="696" t="s">
        <v>894</v>
      </c>
      <c r="BO91" s="696" t="s">
        <v>895</v>
      </c>
      <c r="BP91" s="696" t="s">
        <v>896</v>
      </c>
      <c r="BQ91" s="696" t="s">
        <v>897</v>
      </c>
      <c r="BR91" s="696" t="s">
        <v>898</v>
      </c>
      <c r="BS91" s="696" t="s">
        <v>899</v>
      </c>
      <c r="BT91" s="696" t="s">
        <v>900</v>
      </c>
      <c r="BU91" s="696" t="s">
        <v>901</v>
      </c>
      <c r="BV91" s="696" t="s">
        <v>902</v>
      </c>
      <c r="BW91" s="696" t="s">
        <v>903</v>
      </c>
      <c r="BX91" s="696" t="s">
        <v>904</v>
      </c>
      <c r="BY91" s="696" t="s">
        <v>905</v>
      </c>
      <c r="BZ91" s="696" t="s">
        <v>906</v>
      </c>
      <c r="CA91" s="696" t="s">
        <v>907</v>
      </c>
      <c r="CB91" s="696" t="s">
        <v>908</v>
      </c>
      <c r="CC91" s="696" t="s">
        <v>909</v>
      </c>
      <c r="CD91" s="696" t="s">
        <v>910</v>
      </c>
      <c r="CE91" s="696" t="s">
        <v>911</v>
      </c>
      <c r="CF91" s="696" t="s">
        <v>912</v>
      </c>
      <c r="CG91" s="696" t="s">
        <v>913</v>
      </c>
      <c r="CH91" s="696" t="s">
        <v>914</v>
      </c>
      <c r="CI91" s="696" t="s">
        <v>915</v>
      </c>
      <c r="CJ91" s="696" t="s">
        <v>916</v>
      </c>
      <c r="CK91" s="696" t="s">
        <v>917</v>
      </c>
      <c r="CL91" s="696" t="s">
        <v>918</v>
      </c>
      <c r="CM91" s="696" t="s">
        <v>919</v>
      </c>
      <c r="CN91" s="696" t="s">
        <v>920</v>
      </c>
      <c r="CO91" s="696" t="s">
        <v>921</v>
      </c>
      <c r="CP91" s="696" t="s">
        <v>922</v>
      </c>
      <c r="CQ91" s="696" t="s">
        <v>923</v>
      </c>
      <c r="CR91" s="696" t="s">
        <v>924</v>
      </c>
      <c r="CS91" s="696" t="s">
        <v>925</v>
      </c>
      <c r="CT91" s="696" t="s">
        <v>926</v>
      </c>
      <c r="CU91" s="696" t="s">
        <v>927</v>
      </c>
      <c r="CV91" s="696" t="s">
        <v>928</v>
      </c>
      <c r="CW91" s="696" t="s">
        <v>929</v>
      </c>
      <c r="CX91" s="696" t="s">
        <v>930</v>
      </c>
      <c r="CY91" s="696" t="s">
        <v>931</v>
      </c>
      <c r="CZ91" s="696" t="s">
        <v>932</v>
      </c>
      <c r="DA91" s="696" t="s">
        <v>933</v>
      </c>
      <c r="DB91" s="696" t="s">
        <v>934</v>
      </c>
      <c r="DC91" s="696" t="s">
        <v>935</v>
      </c>
      <c r="DD91" s="696" t="s">
        <v>936</v>
      </c>
      <c r="DE91" s="696" t="s">
        <v>937</v>
      </c>
      <c r="DF91" s="696" t="s">
        <v>938</v>
      </c>
      <c r="DG91" s="696" t="s">
        <v>939</v>
      </c>
      <c r="DH91" s="696" t="s">
        <v>940</v>
      </c>
      <c r="DI91" s="696" t="s">
        <v>941</v>
      </c>
      <c r="DJ91" s="696" t="s">
        <v>942</v>
      </c>
      <c r="DK91" s="696" t="s">
        <v>943</v>
      </c>
      <c r="DL91" s="696" t="s">
        <v>944</v>
      </c>
      <c r="DM91" s="696" t="s">
        <v>945</v>
      </c>
      <c r="DN91" s="696" t="s">
        <v>946</v>
      </c>
      <c r="DO91" s="696" t="s">
        <v>947</v>
      </c>
      <c r="DP91" s="696" t="s">
        <v>948</v>
      </c>
      <c r="DQ91" s="696" t="s">
        <v>949</v>
      </c>
      <c r="DR91" s="696" t="s">
        <v>950</v>
      </c>
      <c r="DS91" s="696" t="s">
        <v>951</v>
      </c>
      <c r="DT91" s="696" t="s">
        <v>952</v>
      </c>
      <c r="DU91" s="696" t="s">
        <v>953</v>
      </c>
      <c r="DV91" s="696" t="s">
        <v>954</v>
      </c>
      <c r="DW91" s="696" t="s">
        <v>955</v>
      </c>
      <c r="DX91" s="696" t="s">
        <v>956</v>
      </c>
      <c r="DY91" s="696" t="s">
        <v>957</v>
      </c>
      <c r="DZ91" s="696" t="s">
        <v>958</v>
      </c>
      <c r="EA91" s="696" t="s">
        <v>959</v>
      </c>
      <c r="EB91" s="696" t="s">
        <v>960</v>
      </c>
      <c r="EC91" s="696" t="s">
        <v>961</v>
      </c>
      <c r="ED91" s="696" t="s">
        <v>962</v>
      </c>
      <c r="EE91" s="696" t="s">
        <v>963</v>
      </c>
      <c r="EF91" s="696" t="s">
        <v>964</v>
      </c>
      <c r="EG91" s="696" t="s">
        <v>965</v>
      </c>
      <c r="EH91" s="696" t="s">
        <v>966</v>
      </c>
      <c r="EI91" s="696" t="s">
        <v>967</v>
      </c>
      <c r="EJ91" s="696" t="s">
        <v>968</v>
      </c>
      <c r="EK91" s="696" t="s">
        <v>969</v>
      </c>
      <c r="EL91" s="696" t="s">
        <v>970</v>
      </c>
      <c r="EM91" s="696" t="s">
        <v>971</v>
      </c>
      <c r="EN91" s="696" t="s">
        <v>972</v>
      </c>
      <c r="EO91" s="696" t="s">
        <v>973</v>
      </c>
      <c r="EP91" s="696" t="s">
        <v>974</v>
      </c>
      <c r="EQ91" s="696" t="s">
        <v>975</v>
      </c>
      <c r="ER91" s="696" t="s">
        <v>976</v>
      </c>
      <c r="ES91" s="696" t="s">
        <v>977</v>
      </c>
      <c r="ET91" s="696" t="s">
        <v>978</v>
      </c>
      <c r="EU91" s="696" t="s">
        <v>979</v>
      </c>
      <c r="EV91" s="696" t="s">
        <v>980</v>
      </c>
      <c r="EW91" s="696" t="s">
        <v>981</v>
      </c>
      <c r="EX91" s="696" t="s">
        <v>982</v>
      </c>
      <c r="EY91" s="696" t="s">
        <v>983</v>
      </c>
      <c r="EZ91" s="696" t="s">
        <v>984</v>
      </c>
      <c r="FA91" s="696" t="s">
        <v>985</v>
      </c>
      <c r="FB91" s="696" t="s">
        <v>986</v>
      </c>
      <c r="FC91" s="696" t="s">
        <v>987</v>
      </c>
      <c r="FD91" s="696" t="s">
        <v>988</v>
      </c>
      <c r="FE91" s="696" t="s">
        <v>989</v>
      </c>
      <c r="FF91" s="696" t="s">
        <v>990</v>
      </c>
      <c r="FG91" s="696" t="s">
        <v>991</v>
      </c>
      <c r="FH91" s="696" t="s">
        <v>992</v>
      </c>
      <c r="FI91" s="696" t="s">
        <v>993</v>
      </c>
      <c r="FJ91" s="696" t="s">
        <v>994</v>
      </c>
      <c r="FK91" s="696" t="s">
        <v>995</v>
      </c>
      <c r="FL91" s="696" t="s">
        <v>996</v>
      </c>
      <c r="FM91" s="696" t="s">
        <v>997</v>
      </c>
      <c r="FN91" s="696" t="s">
        <v>998</v>
      </c>
      <c r="FO91" s="696" t="s">
        <v>999</v>
      </c>
      <c r="FP91" s="696" t="s">
        <v>1000</v>
      </c>
      <c r="FQ91" s="696" t="s">
        <v>1001</v>
      </c>
      <c r="FR91" s="696" t="s">
        <v>1002</v>
      </c>
      <c r="FS91" s="696" t="s">
        <v>1003</v>
      </c>
      <c r="FT91" s="696" t="s">
        <v>1004</v>
      </c>
      <c r="FU91" s="696" t="s">
        <v>1005</v>
      </c>
      <c r="FV91" s="696" t="s">
        <v>1006</v>
      </c>
      <c r="FW91" s="696" t="s">
        <v>1007</v>
      </c>
      <c r="FX91" s="696" t="s">
        <v>1008</v>
      </c>
      <c r="FY91" s="696" t="s">
        <v>1009</v>
      </c>
      <c r="FZ91" s="696" t="s">
        <v>1010</v>
      </c>
      <c r="GA91" s="696" t="s">
        <v>1011</v>
      </c>
      <c r="GB91" s="696" t="s">
        <v>1012</v>
      </c>
      <c r="GC91" s="696" t="s">
        <v>1013</v>
      </c>
      <c r="GD91" s="696" t="s">
        <v>1014</v>
      </c>
      <c r="GE91" s="696" t="s">
        <v>1015</v>
      </c>
      <c r="GF91" s="696" t="s">
        <v>1016</v>
      </c>
      <c r="GG91" s="696" t="s">
        <v>1017</v>
      </c>
      <c r="GH91" s="696" t="s">
        <v>1018</v>
      </c>
      <c r="GI91" s="696" t="s">
        <v>1019</v>
      </c>
      <c r="GJ91" s="696" t="s">
        <v>1020</v>
      </c>
      <c r="GK91" s="696" t="s">
        <v>1021</v>
      </c>
      <c r="GL91" s="696" t="s">
        <v>1022</v>
      </c>
      <c r="GM91" s="696" t="s">
        <v>1023</v>
      </c>
      <c r="GN91" s="696" t="s">
        <v>1024</v>
      </c>
      <c r="GO91" s="696" t="s">
        <v>1025</v>
      </c>
      <c r="GP91" s="696" t="s">
        <v>1026</v>
      </c>
      <c r="GQ91" s="696" t="s">
        <v>1027</v>
      </c>
      <c r="GR91" s="696" t="s">
        <v>1028</v>
      </c>
      <c r="GS91" s="696" t="s">
        <v>1029</v>
      </c>
      <c r="GT91" s="696" t="s">
        <v>1030</v>
      </c>
      <c r="GU91" s="696" t="s">
        <v>1031</v>
      </c>
      <c r="GV91" s="696" t="s">
        <v>1032</v>
      </c>
      <c r="GW91" s="696" t="s">
        <v>1033</v>
      </c>
      <c r="GX91" s="696" t="s">
        <v>1034</v>
      </c>
      <c r="GY91" s="696" t="s">
        <v>1035</v>
      </c>
      <c r="GZ91" s="696" t="s">
        <v>1036</v>
      </c>
      <c r="HA91" s="696" t="s">
        <v>1037</v>
      </c>
      <c r="HB91" s="696" t="s">
        <v>1038</v>
      </c>
      <c r="HC91" s="696" t="s">
        <v>1039</v>
      </c>
      <c r="HD91" s="696" t="s">
        <v>1040</v>
      </c>
      <c r="HE91" s="696" t="s">
        <v>1041</v>
      </c>
      <c r="HF91" s="696" t="s">
        <v>1042</v>
      </c>
      <c r="HG91" s="696" t="s">
        <v>1043</v>
      </c>
      <c r="HH91" s="696" t="s">
        <v>1044</v>
      </c>
      <c r="HI91" s="696" t="s">
        <v>1045</v>
      </c>
      <c r="HJ91" s="696" t="s">
        <v>1046</v>
      </c>
      <c r="HK91" s="696" t="s">
        <v>1047</v>
      </c>
      <c r="HL91" s="696" t="s">
        <v>1048</v>
      </c>
      <c r="HM91" s="696" t="s">
        <v>1049</v>
      </c>
      <c r="HN91" s="696" t="s">
        <v>1050</v>
      </c>
      <c r="HO91" s="696" t="s">
        <v>1051</v>
      </c>
      <c r="HP91" s="696" t="s">
        <v>1052</v>
      </c>
      <c r="HQ91" s="696" t="s">
        <v>1053</v>
      </c>
      <c r="HR91" s="696" t="s">
        <v>1054</v>
      </c>
      <c r="HS91" s="696" t="s">
        <v>1055</v>
      </c>
      <c r="HT91" s="696" t="s">
        <v>1056</v>
      </c>
      <c r="HU91" s="696" t="s">
        <v>1057</v>
      </c>
      <c r="HV91" s="696" t="s">
        <v>1058</v>
      </c>
      <c r="HW91" s="696" t="s">
        <v>1059</v>
      </c>
      <c r="HX91" s="696" t="s">
        <v>1060</v>
      </c>
      <c r="HY91" s="696" t="s">
        <v>1061</v>
      </c>
      <c r="HZ91" s="696" t="s">
        <v>1062</v>
      </c>
      <c r="IA91" s="696" t="s">
        <v>1063</v>
      </c>
      <c r="IB91" s="696" t="s">
        <v>1064</v>
      </c>
      <c r="IC91" s="696" t="s">
        <v>1065</v>
      </c>
      <c r="ID91" s="696" t="s">
        <v>1066</v>
      </c>
      <c r="IE91" s="696" t="s">
        <v>1067</v>
      </c>
      <c r="IF91" s="696" t="s">
        <v>1068</v>
      </c>
      <c r="IG91" s="696" t="s">
        <v>1069</v>
      </c>
      <c r="IH91" s="696" t="s">
        <v>1070</v>
      </c>
      <c r="II91" s="696" t="s">
        <v>1071</v>
      </c>
      <c r="IJ91" s="696" t="s">
        <v>1072</v>
      </c>
      <c r="IK91" s="696" t="s">
        <v>1073</v>
      </c>
    </row>
    <row r="92" spans="2:245" s="302" customFormat="1" ht="12" hidden="1">
      <c r="B92" s="5280" t="s">
        <v>1074</v>
      </c>
      <c r="C92" s="5280" t="s">
        <v>806</v>
      </c>
      <c r="D92" s="5280" t="s">
        <v>1075</v>
      </c>
      <c r="E92" s="5281">
        <v>1000</v>
      </c>
      <c r="F92" s="5280" t="s">
        <v>377</v>
      </c>
      <c r="G92" s="5282">
        <v>69.900000000000006</v>
      </c>
      <c r="H92" s="5282">
        <v>70.233000000000004</v>
      </c>
      <c r="I92" s="5282">
        <v>70.632000000000005</v>
      </c>
      <c r="J92" s="5282">
        <v>71.031999999999996</v>
      </c>
      <c r="K92" s="5282">
        <v>71.298000000000002</v>
      </c>
      <c r="L92" s="5282">
        <v>71.230999999999995</v>
      </c>
      <c r="M92" s="5282">
        <v>71.031999999999996</v>
      </c>
      <c r="N92" s="5282">
        <v>71.498000000000005</v>
      </c>
      <c r="O92" s="5282">
        <v>71.897999999999996</v>
      </c>
      <c r="P92" s="5282">
        <v>71.697000000000003</v>
      </c>
      <c r="Q92" s="5282">
        <v>71.763999999999996</v>
      </c>
      <c r="R92" s="5282">
        <v>72.096000000000004</v>
      </c>
      <c r="S92" s="5282">
        <v>72.563999999999993</v>
      </c>
      <c r="T92" s="5282">
        <v>72.962000000000003</v>
      </c>
      <c r="U92" s="5282">
        <v>73.828000000000003</v>
      </c>
      <c r="V92" s="5282">
        <v>73.694999999999993</v>
      </c>
      <c r="W92" s="5282">
        <v>73.561999999999998</v>
      </c>
      <c r="X92" s="5282">
        <v>73.361999999999995</v>
      </c>
      <c r="Y92" s="5282">
        <v>73.296000000000006</v>
      </c>
      <c r="Z92" s="5282">
        <v>73.628</v>
      </c>
      <c r="AA92" s="5282">
        <v>74.293999999999997</v>
      </c>
      <c r="AB92" s="5282">
        <v>74.36</v>
      </c>
      <c r="AC92" s="5282">
        <v>74.227000000000004</v>
      </c>
      <c r="AD92" s="5282">
        <v>74.561000000000007</v>
      </c>
      <c r="AE92" s="5282">
        <v>75.027000000000001</v>
      </c>
      <c r="AF92" s="5282">
        <v>75.358999999999995</v>
      </c>
      <c r="AG92" s="5282">
        <v>76.090999999999994</v>
      </c>
      <c r="AH92" s="5282">
        <v>76.090999999999994</v>
      </c>
      <c r="AI92" s="5282">
        <v>76.025000000000006</v>
      </c>
      <c r="AJ92" s="5282">
        <v>76.025000000000006</v>
      </c>
      <c r="AK92" s="5282">
        <v>76.491</v>
      </c>
      <c r="AL92" s="5282">
        <v>77.156000000000006</v>
      </c>
      <c r="AM92" s="5282">
        <v>77.156000000000006</v>
      </c>
      <c r="AN92" s="5282">
        <v>77.156000000000006</v>
      </c>
      <c r="AO92" s="5282">
        <v>76.691000000000003</v>
      </c>
      <c r="AP92" s="5282">
        <v>76.823999999999998</v>
      </c>
      <c r="AQ92" s="5282">
        <v>77.58</v>
      </c>
      <c r="AR92" s="5282">
        <v>77.894999999999996</v>
      </c>
      <c r="AS92" s="5282">
        <v>78.364999999999995</v>
      </c>
      <c r="AT92" s="5282">
        <v>78.444000000000003</v>
      </c>
      <c r="AU92" s="5282">
        <v>78.364999999999995</v>
      </c>
      <c r="AV92" s="5282">
        <v>78.129000000000005</v>
      </c>
      <c r="AW92" s="5282">
        <v>78.444000000000003</v>
      </c>
      <c r="AX92" s="5282">
        <v>78.679000000000002</v>
      </c>
      <c r="AY92" s="5282">
        <v>79.070999999999998</v>
      </c>
      <c r="AZ92" s="5282">
        <v>78.914000000000001</v>
      </c>
      <c r="BA92" s="5282">
        <v>78.599999999999994</v>
      </c>
      <c r="BB92" s="5282">
        <v>78.835999999999999</v>
      </c>
      <c r="BC92" s="5282">
        <v>79.305999999999997</v>
      </c>
      <c r="BD92" s="5282">
        <v>79.463999999999999</v>
      </c>
      <c r="BE92" s="5282">
        <v>79.933999999999997</v>
      </c>
      <c r="BF92" s="5282">
        <v>80.013000000000005</v>
      </c>
      <c r="BG92" s="5282">
        <v>80.168999999999997</v>
      </c>
      <c r="BH92" s="5282">
        <v>80.013000000000005</v>
      </c>
      <c r="BI92" s="5282">
        <v>80.325999999999993</v>
      </c>
      <c r="BJ92" s="5282">
        <v>80.796999999999997</v>
      </c>
      <c r="BK92" s="5282">
        <v>81.031999999999996</v>
      </c>
      <c r="BL92" s="5282">
        <v>80.64</v>
      </c>
      <c r="BM92" s="5282">
        <v>80.248000000000005</v>
      </c>
      <c r="BN92" s="5282">
        <v>80.483000000000004</v>
      </c>
      <c r="BO92" s="5282">
        <v>80.64</v>
      </c>
      <c r="BP92" s="5282">
        <v>81.188999999999993</v>
      </c>
      <c r="BQ92" s="5282">
        <v>81.66</v>
      </c>
      <c r="BR92" s="5282">
        <v>81.972999999999999</v>
      </c>
      <c r="BS92" s="5282">
        <v>82.052000000000007</v>
      </c>
      <c r="BT92" s="5282">
        <v>82.052000000000007</v>
      </c>
      <c r="BU92" s="5282">
        <v>82.366</v>
      </c>
      <c r="BV92" s="5282">
        <v>82.444000000000003</v>
      </c>
      <c r="BW92" s="5282">
        <v>82.915000000000006</v>
      </c>
      <c r="BX92" s="5282">
        <v>83.072000000000003</v>
      </c>
      <c r="BY92" s="5282">
        <v>83.072000000000003</v>
      </c>
      <c r="BZ92" s="5282">
        <v>83.385999999999996</v>
      </c>
      <c r="CA92" s="5282">
        <v>83.777000000000001</v>
      </c>
      <c r="CB92" s="5282">
        <v>84.091999999999999</v>
      </c>
      <c r="CC92" s="5282">
        <v>84.876000000000005</v>
      </c>
      <c r="CD92" s="5282">
        <v>85.346999999999994</v>
      </c>
      <c r="CE92" s="5282">
        <v>86.052000000000007</v>
      </c>
      <c r="CF92" s="5282">
        <v>86.600999999999999</v>
      </c>
      <c r="CG92" s="5282">
        <v>87.228999999999999</v>
      </c>
      <c r="CH92" s="5282">
        <v>87.072000000000003</v>
      </c>
      <c r="CI92" s="5282">
        <v>87.150999999999996</v>
      </c>
      <c r="CJ92" s="5282">
        <v>87.072000000000003</v>
      </c>
      <c r="CK92" s="5282">
        <v>86.837000000000003</v>
      </c>
      <c r="CL92" s="5282">
        <v>86.837000000000003</v>
      </c>
      <c r="CM92" s="5282">
        <v>86.915999999999997</v>
      </c>
      <c r="CN92" s="5282">
        <v>87.543000000000006</v>
      </c>
      <c r="CO92" s="5282">
        <v>88.17</v>
      </c>
      <c r="CP92" s="5282">
        <v>88.405000000000001</v>
      </c>
      <c r="CQ92" s="5282">
        <v>88.405000000000001</v>
      </c>
      <c r="CR92" s="5282">
        <v>88.326999999999998</v>
      </c>
      <c r="CS92" s="5282">
        <v>88.641000000000005</v>
      </c>
      <c r="CT92" s="5282">
        <v>88.954999999999998</v>
      </c>
      <c r="CU92" s="5282">
        <v>89.034000000000006</v>
      </c>
      <c r="CV92" s="5282">
        <v>88.798000000000002</v>
      </c>
      <c r="CW92" s="5282">
        <v>88.954999999999998</v>
      </c>
      <c r="CX92" s="5282">
        <v>89.269000000000005</v>
      </c>
      <c r="CY92" s="5282">
        <v>89.974000000000004</v>
      </c>
      <c r="CZ92" s="5282">
        <v>90.156000000000006</v>
      </c>
      <c r="DA92" s="5282">
        <v>90.337999999999994</v>
      </c>
      <c r="DB92" s="5282">
        <v>90.701999999999998</v>
      </c>
      <c r="DC92" s="5282">
        <v>90.793000000000006</v>
      </c>
      <c r="DD92" s="5282">
        <v>90.701999999999998</v>
      </c>
      <c r="DE92" s="5282">
        <v>90.884</v>
      </c>
      <c r="DF92" s="5282">
        <v>91.34</v>
      </c>
      <c r="DG92" s="5282">
        <v>92.067999999999998</v>
      </c>
      <c r="DH92" s="5282">
        <v>92.067999999999998</v>
      </c>
      <c r="DI92" s="5282">
        <v>91.613</v>
      </c>
      <c r="DJ92" s="5282">
        <v>91.977000000000004</v>
      </c>
      <c r="DK92" s="5282">
        <v>93.07</v>
      </c>
      <c r="DL92" s="5282">
        <v>93.706999999999994</v>
      </c>
      <c r="DM92" s="5282">
        <v>94.072000000000003</v>
      </c>
      <c r="DN92" s="5282">
        <v>94.162999999999997</v>
      </c>
      <c r="DO92" s="5282">
        <v>94.344999999999999</v>
      </c>
      <c r="DP92" s="5282">
        <v>94.527000000000001</v>
      </c>
      <c r="DQ92" s="5282">
        <v>94.981999999999999</v>
      </c>
      <c r="DR92" s="5282">
        <v>95.62</v>
      </c>
      <c r="DS92" s="5282">
        <v>95.528999999999996</v>
      </c>
      <c r="DT92" s="5282">
        <v>95.346999999999994</v>
      </c>
      <c r="DU92" s="5282">
        <v>95.438000000000002</v>
      </c>
      <c r="DV92" s="5282">
        <v>95.802000000000007</v>
      </c>
      <c r="DW92" s="5282">
        <v>96.183999999999997</v>
      </c>
      <c r="DX92" s="5282">
        <v>96.549000000000007</v>
      </c>
      <c r="DY92" s="5282">
        <v>96.575999999999993</v>
      </c>
      <c r="DZ92" s="5282">
        <v>96.566999999999993</v>
      </c>
      <c r="EA92" s="5282">
        <v>96.74</v>
      </c>
      <c r="EB92" s="5282">
        <v>96.602999999999994</v>
      </c>
      <c r="EC92" s="5282">
        <v>96.385000000000005</v>
      </c>
      <c r="ED92" s="5282">
        <v>96.831000000000003</v>
      </c>
      <c r="EE92" s="5282">
        <v>97.522999999999996</v>
      </c>
      <c r="EF92" s="5282">
        <v>97.340999999999994</v>
      </c>
      <c r="EG92" s="5282">
        <v>96.995000000000005</v>
      </c>
      <c r="EH92" s="5282">
        <v>97.168000000000006</v>
      </c>
      <c r="EI92" s="5282">
        <v>97.751000000000005</v>
      </c>
      <c r="EJ92" s="5282">
        <v>98.078000000000003</v>
      </c>
      <c r="EK92" s="5282">
        <v>97.986999999999995</v>
      </c>
      <c r="EL92" s="5282">
        <v>97.850999999999999</v>
      </c>
      <c r="EM92" s="5282">
        <v>97.850999999999999</v>
      </c>
      <c r="EN92" s="5282">
        <v>97.731999999999999</v>
      </c>
      <c r="EO92" s="5282">
        <v>97.941999999999993</v>
      </c>
      <c r="EP92" s="5282">
        <v>98.287999999999997</v>
      </c>
      <c r="EQ92" s="5282">
        <v>98.478999999999999</v>
      </c>
      <c r="ER92" s="5282">
        <v>98.179000000000002</v>
      </c>
      <c r="ES92" s="5282">
        <v>98.16</v>
      </c>
      <c r="ET92" s="5282">
        <v>98.278999999999996</v>
      </c>
      <c r="EU92" s="5282">
        <v>98.807000000000002</v>
      </c>
      <c r="EV92" s="5282">
        <v>99.070999999999998</v>
      </c>
      <c r="EW92" s="5282">
        <v>99.253</v>
      </c>
      <c r="EX92" s="5282">
        <v>99.316999999999993</v>
      </c>
      <c r="EY92" s="5282">
        <v>99.480999999999995</v>
      </c>
      <c r="EZ92" s="5282">
        <v>99.352999999999994</v>
      </c>
      <c r="FA92" s="5282">
        <v>99.498999999999995</v>
      </c>
      <c r="FB92" s="5282">
        <v>99.671999999999997</v>
      </c>
      <c r="FC92" s="5282">
        <v>99.608000000000004</v>
      </c>
      <c r="FD92" s="5282">
        <v>99.308000000000007</v>
      </c>
      <c r="FE92" s="5282">
        <v>99.108000000000004</v>
      </c>
      <c r="FF92" s="5282">
        <v>99.097999999999999</v>
      </c>
      <c r="FG92" s="5282">
        <v>99.77</v>
      </c>
      <c r="FH92" s="5282">
        <v>99.71</v>
      </c>
      <c r="FI92" s="5282">
        <v>99.72</v>
      </c>
      <c r="FJ92" s="5282">
        <v>99.75</v>
      </c>
      <c r="FK92" s="5282">
        <v>100.03</v>
      </c>
      <c r="FL92" s="5282">
        <v>100.05</v>
      </c>
      <c r="FM92" s="5282">
        <v>100.23</v>
      </c>
      <c r="FN92" s="5282">
        <v>100.37</v>
      </c>
      <c r="FO92" s="5282">
        <v>100.11</v>
      </c>
      <c r="FP92" s="5282">
        <v>100.11</v>
      </c>
      <c r="FQ92" s="5282">
        <v>99.92</v>
      </c>
      <c r="FR92" s="5282">
        <v>100.22</v>
      </c>
      <c r="FS92" s="5282">
        <v>100.39</v>
      </c>
      <c r="FT92" s="5282">
        <v>100.82</v>
      </c>
      <c r="FU92" s="5282">
        <v>100.56</v>
      </c>
      <c r="FV92" s="5282">
        <v>100.75</v>
      </c>
      <c r="FW92" s="5282">
        <v>100.81</v>
      </c>
      <c r="FX92" s="5282">
        <v>100.79</v>
      </c>
      <c r="FY92" s="5282">
        <v>100.6</v>
      </c>
      <c r="FZ92" s="5282">
        <v>100.86</v>
      </c>
      <c r="GA92" s="5282">
        <v>101.46</v>
      </c>
      <c r="GB92" s="5282">
        <v>101.6</v>
      </c>
      <c r="GC92" s="5282">
        <v>101.45</v>
      </c>
      <c r="GD92" s="5282">
        <v>101.56</v>
      </c>
      <c r="GE92" s="5282">
        <v>102.64</v>
      </c>
      <c r="GF92" s="5282">
        <v>102.92</v>
      </c>
      <c r="GG92" s="5282">
        <v>102.85</v>
      </c>
      <c r="GH92" s="5282">
        <v>102.72</v>
      </c>
      <c r="GI92" s="5282">
        <v>102.83</v>
      </c>
      <c r="GJ92" s="5282">
        <v>102.61</v>
      </c>
      <c r="GK92" s="5282">
        <v>102.78</v>
      </c>
      <c r="GL92" s="5282">
        <v>103.37</v>
      </c>
      <c r="GM92" s="5282">
        <v>103.49</v>
      </c>
      <c r="GN92" s="5282">
        <v>103.39</v>
      </c>
      <c r="GO92" s="5282">
        <v>102.62</v>
      </c>
      <c r="GP92" s="5282">
        <v>102.99</v>
      </c>
      <c r="GQ92" s="5282">
        <v>103.42</v>
      </c>
      <c r="GR92" s="5282">
        <v>104.21</v>
      </c>
      <c r="GS92" s="5282">
        <v>104.1</v>
      </c>
      <c r="GT92" s="5282">
        <v>104.29</v>
      </c>
      <c r="GU92" s="5282">
        <v>104.34</v>
      </c>
      <c r="GV92" s="5282">
        <v>104.13</v>
      </c>
      <c r="GW92" s="5282">
        <v>103.93</v>
      </c>
      <c r="GX92" s="5282">
        <v>104.85</v>
      </c>
      <c r="GY92" s="5282">
        <v>105.65</v>
      </c>
      <c r="GZ92" s="5282">
        <v>105.46</v>
      </c>
      <c r="HA92" s="5282">
        <v>104.71</v>
      </c>
      <c r="HB92" s="5282">
        <v>104.35</v>
      </c>
      <c r="HC92" s="5282">
        <v>104.24</v>
      </c>
      <c r="HD92" s="5282">
        <v>104.69</v>
      </c>
      <c r="HE92" s="5282">
        <v>104.49</v>
      </c>
      <c r="HF92" s="5282">
        <v>104.87</v>
      </c>
      <c r="HG92" s="5282">
        <v>105.05</v>
      </c>
      <c r="HH92" s="5282">
        <v>104.88</v>
      </c>
      <c r="HI92" s="5282">
        <v>104.56</v>
      </c>
      <c r="HJ92" s="5282">
        <v>104.81</v>
      </c>
      <c r="HK92" s="5282">
        <v>105.2</v>
      </c>
      <c r="HL92" s="5282">
        <v>105.46</v>
      </c>
      <c r="HM92" s="5282">
        <v>104.87</v>
      </c>
      <c r="HN92" s="5282">
        <v>105.12</v>
      </c>
      <c r="HO92" s="5282">
        <v>105.79</v>
      </c>
      <c r="HP92" s="5282">
        <v>105.8</v>
      </c>
      <c r="HQ92" s="5282">
        <v>105.54</v>
      </c>
      <c r="HR92" s="5282">
        <v>104.95</v>
      </c>
      <c r="HS92" s="5282">
        <v>104.71</v>
      </c>
      <c r="HT92" s="5282">
        <v>104.87</v>
      </c>
      <c r="HU92" s="5282">
        <v>104.86</v>
      </c>
      <c r="HV92" s="5282">
        <v>105.5</v>
      </c>
      <c r="HW92" s="5282">
        <v>106.2</v>
      </c>
      <c r="HX92" s="5282">
        <v>105.61</v>
      </c>
      <c r="HY92" s="5282">
        <v>105.5</v>
      </c>
      <c r="HZ92" s="5282">
        <v>105.67</v>
      </c>
      <c r="IA92" s="5282">
        <v>106.47</v>
      </c>
      <c r="IB92" s="5282">
        <v>107</v>
      </c>
      <c r="IC92" s="5282">
        <v>107.16</v>
      </c>
      <c r="ID92" s="5282">
        <v>107.39</v>
      </c>
      <c r="IE92" s="5282">
        <v>107.46</v>
      </c>
      <c r="IF92" s="5282">
        <v>107.39</v>
      </c>
      <c r="IG92" s="5282">
        <v>107.61</v>
      </c>
      <c r="IH92" s="5282">
        <v>108.29</v>
      </c>
      <c r="II92" s="5282">
        <v>108.83</v>
      </c>
      <c r="IJ92" s="5282">
        <v>108.97</v>
      </c>
      <c r="IK92" s="5282">
        <v>109.41</v>
      </c>
    </row>
    <row r="93" spans="2:245" s="302" customFormat="1" ht="12" hidden="1">
      <c r="Z93" s="670"/>
    </row>
    <row r="94" spans="2:245" s="302" customFormat="1" ht="12" hidden="1">
      <c r="H94" s="302">
        <v>2003</v>
      </c>
      <c r="I94" s="302">
        <f>H94+1</f>
        <v>2004</v>
      </c>
      <c r="J94" s="302">
        <f t="shared" ref="J94:Y94" si="32">I94+1</f>
        <v>2005</v>
      </c>
      <c r="K94" s="302">
        <f t="shared" si="32"/>
        <v>2006</v>
      </c>
      <c r="L94" s="302">
        <f t="shared" si="32"/>
        <v>2007</v>
      </c>
      <c r="M94" s="302">
        <f t="shared" si="32"/>
        <v>2008</v>
      </c>
      <c r="N94" s="302">
        <f t="shared" si="32"/>
        <v>2009</v>
      </c>
      <c r="O94" s="302">
        <f t="shared" si="32"/>
        <v>2010</v>
      </c>
      <c r="P94" s="302">
        <f t="shared" si="32"/>
        <v>2011</v>
      </c>
      <c r="Q94" s="302">
        <f t="shared" si="32"/>
        <v>2012</v>
      </c>
      <c r="R94" s="302">
        <f t="shared" si="32"/>
        <v>2013</v>
      </c>
      <c r="S94" s="302">
        <f t="shared" si="32"/>
        <v>2014</v>
      </c>
      <c r="T94" s="302">
        <f t="shared" si="32"/>
        <v>2015</v>
      </c>
      <c r="U94" s="302">
        <f t="shared" si="32"/>
        <v>2016</v>
      </c>
      <c r="V94" s="302">
        <f t="shared" si="32"/>
        <v>2017</v>
      </c>
      <c r="W94" s="302">
        <f t="shared" si="32"/>
        <v>2018</v>
      </c>
      <c r="X94" s="302">
        <f t="shared" si="32"/>
        <v>2019</v>
      </c>
      <c r="Y94" s="302">
        <f t="shared" si="32"/>
        <v>2020</v>
      </c>
      <c r="Z94" s="302">
        <f>Y94+1</f>
        <v>2021</v>
      </c>
    </row>
    <row r="95" spans="2:245" s="302" customFormat="1" ht="12" hidden="1">
      <c r="D95" s="302" t="s">
        <v>1076</v>
      </c>
      <c r="H95" s="302">
        <f>SUMIFS(92:92,89:89,H94,90:90,12)</f>
        <v>74.561000000000007</v>
      </c>
      <c r="I95" s="302">
        <f t="shared" ref="I95:Y95" si="33">SUMIFS(92:92,89:89,I94,90:90,12)</f>
        <v>76.823999999999998</v>
      </c>
      <c r="J95" s="302">
        <f t="shared" si="33"/>
        <v>78.835999999999999</v>
      </c>
      <c r="K95" s="302">
        <f t="shared" si="33"/>
        <v>80.483000000000004</v>
      </c>
      <c r="L95" s="302">
        <f t="shared" si="33"/>
        <v>83.385999999999996</v>
      </c>
      <c r="M95" s="302">
        <f t="shared" si="33"/>
        <v>86.837000000000003</v>
      </c>
      <c r="N95" s="302">
        <f t="shared" si="33"/>
        <v>89.269000000000005</v>
      </c>
      <c r="O95" s="302">
        <f t="shared" si="33"/>
        <v>91.977000000000004</v>
      </c>
      <c r="P95" s="302">
        <f t="shared" si="33"/>
        <v>95.802000000000007</v>
      </c>
      <c r="Q95" s="302">
        <f t="shared" si="33"/>
        <v>97.168000000000006</v>
      </c>
      <c r="R95" s="302">
        <f t="shared" si="33"/>
        <v>98.278999999999996</v>
      </c>
      <c r="S95" s="302">
        <f t="shared" si="33"/>
        <v>99.097999999999999</v>
      </c>
      <c r="T95" s="302">
        <f t="shared" si="33"/>
        <v>100.22</v>
      </c>
      <c r="U95" s="302">
        <f t="shared" si="33"/>
        <v>101.56</v>
      </c>
      <c r="V95" s="302">
        <f t="shared" si="33"/>
        <v>102.99</v>
      </c>
      <c r="W95" s="302">
        <f t="shared" si="33"/>
        <v>104.35</v>
      </c>
      <c r="X95" s="302">
        <f t="shared" si="33"/>
        <v>105.12</v>
      </c>
      <c r="Y95" s="302">
        <f t="shared" si="33"/>
        <v>105.67</v>
      </c>
      <c r="Z95" s="713">
        <f>U80*E96/E85</f>
        <v>109.67348227712138</v>
      </c>
    </row>
    <row r="96" spans="2:245" s="302" customFormat="1" ht="12" hidden="1">
      <c r="D96" s="711">
        <v>39994</v>
      </c>
      <c r="E96" s="714">
        <f>CR92</f>
        <v>88.326999999999998</v>
      </c>
      <c r="H96" s="715">
        <f>H95/$E$96</f>
        <v>0.84414731622267269</v>
      </c>
      <c r="I96" s="715">
        <f t="shared" ref="I96:Y96" si="34">I95/$E$96</f>
        <v>0.8697680211033999</v>
      </c>
      <c r="J96" s="715">
        <f t="shared" si="34"/>
        <v>0.89254701280469162</v>
      </c>
      <c r="K96" s="715">
        <f t="shared" si="34"/>
        <v>0.91119363275102749</v>
      </c>
      <c r="L96" s="715">
        <f t="shared" si="34"/>
        <v>0.9440601401609926</v>
      </c>
      <c r="M96" s="715">
        <f t="shared" si="34"/>
        <v>0.98313086598661792</v>
      </c>
      <c r="N96" s="715">
        <f t="shared" si="34"/>
        <v>1.0106649155977221</v>
      </c>
      <c r="O96" s="715">
        <f t="shared" si="34"/>
        <v>1.0413237175495602</v>
      </c>
      <c r="P96" s="715">
        <f t="shared" si="34"/>
        <v>1.084628709228209</v>
      </c>
      <c r="Q96" s="715">
        <f t="shared" si="34"/>
        <v>1.1000939690015512</v>
      </c>
      <c r="R96" s="715">
        <f t="shared" si="34"/>
        <v>1.11267222932965</v>
      </c>
      <c r="S96" s="715">
        <f t="shared" si="34"/>
        <v>1.1219445922537843</v>
      </c>
      <c r="T96" s="715">
        <f t="shared" si="34"/>
        <v>1.1346473898128546</v>
      </c>
      <c r="U96" s="715">
        <f t="shared" si="34"/>
        <v>1.1498182888584465</v>
      </c>
      <c r="V96" s="715">
        <f t="shared" si="34"/>
        <v>1.1660081288847124</v>
      </c>
      <c r="W96" s="715">
        <f t="shared" si="34"/>
        <v>1.181405459259343</v>
      </c>
      <c r="X96" s="715">
        <f t="shared" si="34"/>
        <v>1.1901230654273327</v>
      </c>
      <c r="Y96" s="715">
        <f t="shared" si="34"/>
        <v>1.1963499269758964</v>
      </c>
      <c r="Z96" s="715">
        <f>Z95/$E$96</f>
        <v>1.2416756176154673</v>
      </c>
    </row>
    <row r="97" spans="4:83" s="302" customFormat="1" ht="12" hidden="1">
      <c r="D97" s="711">
        <v>37042</v>
      </c>
      <c r="E97" s="714">
        <f>I40</f>
        <v>69.233999999999995</v>
      </c>
      <c r="H97" s="715">
        <f>H95/$E$97</f>
        <v>1.0769419649305256</v>
      </c>
      <c r="I97" s="715">
        <f t="shared" ref="I97:Y97" si="35">I95/$E$97</f>
        <v>1.1096282173498571</v>
      </c>
      <c r="J97" s="715">
        <f t="shared" si="35"/>
        <v>1.1386890833983303</v>
      </c>
      <c r="K97" s="715">
        <f t="shared" si="35"/>
        <v>1.1624779732501374</v>
      </c>
      <c r="L97" s="715">
        <f t="shared" si="35"/>
        <v>1.2044082387266373</v>
      </c>
      <c r="M97" s="715">
        <f t="shared" si="35"/>
        <v>1.2542536903833379</v>
      </c>
      <c r="N97" s="715">
        <f t="shared" si="35"/>
        <v>1.289380940000578</v>
      </c>
      <c r="O97" s="715">
        <f t="shared" si="35"/>
        <v>1.3284946702487219</v>
      </c>
      <c r="P97" s="715">
        <f t="shared" si="35"/>
        <v>1.3837420920357053</v>
      </c>
      <c r="Q97" s="715">
        <f t="shared" si="35"/>
        <v>1.4034722824045991</v>
      </c>
      <c r="R97" s="715">
        <f t="shared" si="35"/>
        <v>1.4195193113210274</v>
      </c>
      <c r="S97" s="715">
        <f t="shared" si="35"/>
        <v>1.4313487592801226</v>
      </c>
      <c r="T97" s="715">
        <f t="shared" si="35"/>
        <v>1.4475546696709709</v>
      </c>
      <c r="U97" s="715">
        <f t="shared" si="35"/>
        <v>1.4669093220094176</v>
      </c>
      <c r="V97" s="715">
        <f t="shared" si="35"/>
        <v>1.4875639136840282</v>
      </c>
      <c r="W97" s="715">
        <f t="shared" si="35"/>
        <v>1.507207441430511</v>
      </c>
      <c r="X97" s="715">
        <f t="shared" si="35"/>
        <v>1.518329144639917</v>
      </c>
      <c r="Y97" s="715">
        <f t="shared" si="35"/>
        <v>1.5262732183609211</v>
      </c>
      <c r="Z97" s="715">
        <f>Z95/$E$97</f>
        <v>1.5840985971794406</v>
      </c>
    </row>
    <row r="98" spans="4:83" s="302" customFormat="1" ht="12" hidden="1"/>
    <row r="99" spans="4:83" s="302" customFormat="1" ht="12" hidden="1"/>
    <row r="100" spans="4:83" s="302" customFormat="1" ht="12" hidden="1"/>
    <row r="101" spans="4:83" s="302" customFormat="1" ht="12"/>
    <row r="102" spans="4:83" s="302" customFormat="1" ht="12">
      <c r="Y102" s="302" t="s">
        <v>5024</v>
      </c>
      <c r="Z102" s="481">
        <f>AVERAGE(X88:Z88)</f>
        <v>1.6823194306447482E-2</v>
      </c>
    </row>
    <row r="103" spans="4:83" s="302" customFormat="1" ht="12">
      <c r="Y103" s="302" t="s">
        <v>5081</v>
      </c>
      <c r="Z103" s="481">
        <f>AVERAGE(V88:Z88)</f>
        <v>1.5557987559041919E-2</v>
      </c>
    </row>
    <row r="104" spans="4:83" s="302" customFormat="1" ht="12"/>
    <row r="105" spans="4:83" s="302" customFormat="1" ht="12">
      <c r="H105" s="302">
        <v>2003</v>
      </c>
      <c r="I105" s="302">
        <f>H105</f>
        <v>2003</v>
      </c>
      <c r="J105" s="302">
        <f>I105</f>
        <v>2003</v>
      </c>
      <c r="K105" s="302">
        <f>J105</f>
        <v>2003</v>
      </c>
      <c r="L105" s="302">
        <f>K105+1</f>
        <v>2004</v>
      </c>
      <c r="M105" s="302">
        <f>L105</f>
        <v>2004</v>
      </c>
      <c r="N105" s="302">
        <f>M105</f>
        <v>2004</v>
      </c>
      <c r="O105" s="302">
        <f>N105</f>
        <v>2004</v>
      </c>
      <c r="P105" s="302">
        <f>O105+1</f>
        <v>2005</v>
      </c>
      <c r="Q105" s="302">
        <f>P105</f>
        <v>2005</v>
      </c>
      <c r="R105" s="302">
        <f>Q105</f>
        <v>2005</v>
      </c>
      <c r="S105" s="302">
        <f>R105</f>
        <v>2005</v>
      </c>
      <c r="T105" s="302">
        <f>S105+1</f>
        <v>2006</v>
      </c>
      <c r="U105" s="302">
        <f>T105</f>
        <v>2006</v>
      </c>
      <c r="V105" s="302">
        <f>U105</f>
        <v>2006</v>
      </c>
      <c r="W105" s="302">
        <f>V105</f>
        <v>2006</v>
      </c>
      <c r="X105" s="302">
        <f>W105+1</f>
        <v>2007</v>
      </c>
      <c r="Y105" s="302">
        <f>X105</f>
        <v>2007</v>
      </c>
      <c r="Z105" s="302">
        <f>Y105</f>
        <v>2007</v>
      </c>
      <c r="AA105" s="302">
        <f>Z105</f>
        <v>2007</v>
      </c>
      <c r="AB105" s="302">
        <f>AA105+1</f>
        <v>2008</v>
      </c>
      <c r="AC105" s="302">
        <f>AB105</f>
        <v>2008</v>
      </c>
      <c r="AD105" s="302">
        <f>AC105</f>
        <v>2008</v>
      </c>
      <c r="AE105" s="302">
        <f>AD105</f>
        <v>2008</v>
      </c>
      <c r="AF105" s="302">
        <f>AE105+1</f>
        <v>2009</v>
      </c>
      <c r="AG105" s="302">
        <f>AF105</f>
        <v>2009</v>
      </c>
      <c r="AH105" s="302">
        <f>AG105</f>
        <v>2009</v>
      </c>
      <c r="AI105" s="302">
        <f>AH105</f>
        <v>2009</v>
      </c>
      <c r="AJ105" s="302">
        <f>AI105+1</f>
        <v>2010</v>
      </c>
      <c r="AK105" s="302">
        <f>AJ105</f>
        <v>2010</v>
      </c>
      <c r="AL105" s="302">
        <f>AK105</f>
        <v>2010</v>
      </c>
      <c r="AM105" s="302">
        <f>AL105</f>
        <v>2010</v>
      </c>
      <c r="AN105" s="302">
        <f>AM105+1</f>
        <v>2011</v>
      </c>
      <c r="AO105" s="302">
        <f>AN105</f>
        <v>2011</v>
      </c>
      <c r="AP105" s="302">
        <f>AO105</f>
        <v>2011</v>
      </c>
      <c r="AQ105" s="302">
        <f>AP105</f>
        <v>2011</v>
      </c>
      <c r="AR105" s="302">
        <f>AQ105+1</f>
        <v>2012</v>
      </c>
      <c r="AS105" s="302">
        <f>AR105</f>
        <v>2012</v>
      </c>
      <c r="AT105" s="302">
        <f>AS105</f>
        <v>2012</v>
      </c>
      <c r="AU105" s="302">
        <f>AT105</f>
        <v>2012</v>
      </c>
      <c r="AV105" s="302">
        <f>AU105+1</f>
        <v>2013</v>
      </c>
      <c r="AW105" s="302">
        <f>AV105</f>
        <v>2013</v>
      </c>
      <c r="AX105" s="302">
        <f>AW105</f>
        <v>2013</v>
      </c>
      <c r="AY105" s="302">
        <f>AX105</f>
        <v>2013</v>
      </c>
      <c r="AZ105" s="302">
        <f>AY105+1</f>
        <v>2014</v>
      </c>
      <c r="BA105" s="302">
        <f>AZ105</f>
        <v>2014</v>
      </c>
      <c r="BB105" s="302">
        <f>BA105</f>
        <v>2014</v>
      </c>
      <c r="BC105" s="302">
        <f>BB105</f>
        <v>2014</v>
      </c>
      <c r="BD105" s="302">
        <f>BC105+1</f>
        <v>2015</v>
      </c>
      <c r="BE105" s="302">
        <f>BD105</f>
        <v>2015</v>
      </c>
      <c r="BF105" s="302">
        <f>BE105</f>
        <v>2015</v>
      </c>
      <c r="BG105" s="302">
        <f>BF105</f>
        <v>2015</v>
      </c>
      <c r="BH105" s="302">
        <f>BG105+1</f>
        <v>2016</v>
      </c>
      <c r="BI105" s="302">
        <f>BH105</f>
        <v>2016</v>
      </c>
      <c r="BJ105" s="302">
        <f>BI105</f>
        <v>2016</v>
      </c>
      <c r="BK105" s="302">
        <f>BJ105</f>
        <v>2016</v>
      </c>
      <c r="BL105" s="302">
        <f>BK105+1</f>
        <v>2017</v>
      </c>
      <c r="BM105" s="302">
        <f>BL105</f>
        <v>2017</v>
      </c>
      <c r="BN105" s="302">
        <f>BM105</f>
        <v>2017</v>
      </c>
      <c r="BO105" s="302">
        <f>BN105</f>
        <v>2017</v>
      </c>
      <c r="BP105" s="302">
        <f>BO105+1</f>
        <v>2018</v>
      </c>
      <c r="BQ105" s="302">
        <f>BP105</f>
        <v>2018</v>
      </c>
      <c r="BR105" s="302">
        <f>BQ105</f>
        <v>2018</v>
      </c>
      <c r="BS105" s="302">
        <f>BR105</f>
        <v>2018</v>
      </c>
      <c r="BT105" s="302">
        <f>BS105+1</f>
        <v>2019</v>
      </c>
      <c r="BU105" s="302">
        <f>BT105</f>
        <v>2019</v>
      </c>
      <c r="BV105" s="302">
        <f>BU105</f>
        <v>2019</v>
      </c>
      <c r="BW105" s="302">
        <f>BV105</f>
        <v>2019</v>
      </c>
      <c r="BX105" s="302">
        <f>BW105+1</f>
        <v>2020</v>
      </c>
      <c r="BY105" s="302">
        <f>BX105</f>
        <v>2020</v>
      </c>
      <c r="BZ105" s="302">
        <f>BY105</f>
        <v>2020</v>
      </c>
      <c r="CA105" s="302">
        <f>BZ105</f>
        <v>2020</v>
      </c>
      <c r="CB105" s="302">
        <f>CA105+1</f>
        <v>2021</v>
      </c>
      <c r="CC105" s="302">
        <f>CB105</f>
        <v>2021</v>
      </c>
      <c r="CD105" s="302">
        <f>CC105</f>
        <v>2021</v>
      </c>
      <c r="CE105" s="302">
        <f>CD105</f>
        <v>2021</v>
      </c>
    </row>
    <row r="106" spans="4:83" s="302" customFormat="1" ht="12">
      <c r="D106" s="707" t="s">
        <v>833</v>
      </c>
      <c r="E106" s="707"/>
      <c r="F106" s="707"/>
      <c r="G106" s="707"/>
      <c r="H106" s="707">
        <v>1</v>
      </c>
      <c r="I106" s="707">
        <f>H106+1</f>
        <v>2</v>
      </c>
      <c r="J106" s="707">
        <f t="shared" ref="J106:K106" si="36">I106+1</f>
        <v>3</v>
      </c>
      <c r="K106" s="707">
        <f t="shared" si="36"/>
        <v>4</v>
      </c>
      <c r="L106" s="707">
        <v>1</v>
      </c>
      <c r="M106" s="707">
        <f>L106+1</f>
        <v>2</v>
      </c>
      <c r="N106" s="707">
        <f t="shared" ref="N106:O106" si="37">M106+1</f>
        <v>3</v>
      </c>
      <c r="O106" s="707">
        <f t="shared" si="37"/>
        <v>4</v>
      </c>
      <c r="P106" s="707">
        <v>1</v>
      </c>
      <c r="Q106" s="707">
        <f>P106+1</f>
        <v>2</v>
      </c>
      <c r="R106" s="707">
        <f t="shared" ref="R106:S106" si="38">Q106+1</f>
        <v>3</v>
      </c>
      <c r="S106" s="707">
        <f t="shared" si="38"/>
        <v>4</v>
      </c>
      <c r="T106" s="707">
        <v>1</v>
      </c>
      <c r="U106" s="707">
        <f>T106+1</f>
        <v>2</v>
      </c>
      <c r="V106" s="707">
        <f t="shared" ref="V106:W106" si="39">U106+1</f>
        <v>3</v>
      </c>
      <c r="W106" s="707">
        <f t="shared" si="39"/>
        <v>4</v>
      </c>
      <c r="X106" s="707">
        <v>1</v>
      </c>
      <c r="Y106" s="707">
        <f>X106+1</f>
        <v>2</v>
      </c>
      <c r="Z106" s="707">
        <f t="shared" ref="Z106:AA106" si="40">Y106+1</f>
        <v>3</v>
      </c>
      <c r="AA106" s="707">
        <f t="shared" si="40"/>
        <v>4</v>
      </c>
      <c r="AB106" s="707">
        <v>1</v>
      </c>
      <c r="AC106" s="707">
        <f>AB106+1</f>
        <v>2</v>
      </c>
      <c r="AD106" s="707">
        <f t="shared" ref="AD106:AE106" si="41">AC106+1</f>
        <v>3</v>
      </c>
      <c r="AE106" s="707">
        <f t="shared" si="41"/>
        <v>4</v>
      </c>
      <c r="AF106" s="707">
        <v>1</v>
      </c>
      <c r="AG106" s="707">
        <f>AF106+1</f>
        <v>2</v>
      </c>
      <c r="AH106" s="707">
        <f t="shared" ref="AH106:AI106" si="42">AG106+1</f>
        <v>3</v>
      </c>
      <c r="AI106" s="707">
        <f t="shared" si="42"/>
        <v>4</v>
      </c>
      <c r="AJ106" s="707">
        <v>1</v>
      </c>
      <c r="AK106" s="707">
        <f>AJ106+1</f>
        <v>2</v>
      </c>
      <c r="AL106" s="707">
        <f t="shared" ref="AL106:AM106" si="43">AK106+1</f>
        <v>3</v>
      </c>
      <c r="AM106" s="707">
        <f t="shared" si="43"/>
        <v>4</v>
      </c>
      <c r="AN106" s="707">
        <v>1</v>
      </c>
      <c r="AO106" s="707">
        <f>AN106+1</f>
        <v>2</v>
      </c>
      <c r="AP106" s="707">
        <f t="shared" ref="AP106:AQ106" si="44">AO106+1</f>
        <v>3</v>
      </c>
      <c r="AQ106" s="707">
        <f t="shared" si="44"/>
        <v>4</v>
      </c>
      <c r="AR106" s="707">
        <v>1</v>
      </c>
      <c r="AS106" s="707">
        <f>AR106+1</f>
        <v>2</v>
      </c>
      <c r="AT106" s="707">
        <f t="shared" ref="AT106:AU106" si="45">AS106+1</f>
        <v>3</v>
      </c>
      <c r="AU106" s="707">
        <f t="shared" si="45"/>
        <v>4</v>
      </c>
      <c r="AV106" s="707">
        <v>1</v>
      </c>
      <c r="AW106" s="707">
        <f>AV106+1</f>
        <v>2</v>
      </c>
      <c r="AX106" s="707">
        <f t="shared" ref="AX106:AY106" si="46">AW106+1</f>
        <v>3</v>
      </c>
      <c r="AY106" s="707">
        <f t="shared" si="46"/>
        <v>4</v>
      </c>
      <c r="AZ106" s="707">
        <v>1</v>
      </c>
      <c r="BA106" s="707">
        <f>AZ106+1</f>
        <v>2</v>
      </c>
      <c r="BB106" s="707">
        <f t="shared" ref="BB106:BC106" si="47">BA106+1</f>
        <v>3</v>
      </c>
      <c r="BC106" s="707">
        <f t="shared" si="47"/>
        <v>4</v>
      </c>
      <c r="BD106" s="707">
        <v>1</v>
      </c>
      <c r="BE106" s="707">
        <f>BD106+1</f>
        <v>2</v>
      </c>
      <c r="BF106" s="707">
        <f t="shared" ref="BF106:BG106" si="48">BE106+1</f>
        <v>3</v>
      </c>
      <c r="BG106" s="707">
        <f t="shared" si="48"/>
        <v>4</v>
      </c>
      <c r="BH106" s="707">
        <v>1</v>
      </c>
      <c r="BI106" s="707">
        <f>BH106+1</f>
        <v>2</v>
      </c>
      <c r="BJ106" s="707">
        <f t="shared" ref="BJ106:BK106" si="49">BI106+1</f>
        <v>3</v>
      </c>
      <c r="BK106" s="707">
        <f t="shared" si="49"/>
        <v>4</v>
      </c>
      <c r="BL106" s="707">
        <v>1</v>
      </c>
      <c r="BM106" s="707">
        <f>BL106+1</f>
        <v>2</v>
      </c>
      <c r="BN106" s="707">
        <f t="shared" ref="BN106:BO106" si="50">BM106+1</f>
        <v>3</v>
      </c>
      <c r="BO106" s="707">
        <f t="shared" si="50"/>
        <v>4</v>
      </c>
      <c r="BP106" s="707">
        <v>1</v>
      </c>
      <c r="BQ106" s="707">
        <f>BP106+1</f>
        <v>2</v>
      </c>
      <c r="BR106" s="707">
        <f t="shared" ref="BR106:BS106" si="51">BQ106+1</f>
        <v>3</v>
      </c>
      <c r="BS106" s="707">
        <f t="shared" si="51"/>
        <v>4</v>
      </c>
      <c r="BT106" s="707">
        <v>1</v>
      </c>
      <c r="BU106" s="707">
        <f>BT106+1</f>
        <v>2</v>
      </c>
      <c r="BV106" s="707">
        <f t="shared" ref="BV106:BW106" si="52">BU106+1</f>
        <v>3</v>
      </c>
      <c r="BW106" s="707">
        <f t="shared" si="52"/>
        <v>4</v>
      </c>
      <c r="BX106" s="707">
        <v>1</v>
      </c>
      <c r="BY106" s="707">
        <f>BX106+1</f>
        <v>2</v>
      </c>
      <c r="BZ106" s="707">
        <f t="shared" ref="BZ106:CA106" si="53">BY106+1</f>
        <v>3</v>
      </c>
      <c r="CA106" s="707">
        <f t="shared" si="53"/>
        <v>4</v>
      </c>
      <c r="CB106" s="707">
        <v>1</v>
      </c>
      <c r="CC106" s="707">
        <f>CB106+1</f>
        <v>2</v>
      </c>
      <c r="CD106" s="707">
        <f t="shared" ref="CD106:CE106" si="54">CC106+1</f>
        <v>3</v>
      </c>
      <c r="CE106" s="707">
        <f t="shared" si="54"/>
        <v>4</v>
      </c>
    </row>
    <row r="107" spans="4:83" s="302" customFormat="1" ht="12">
      <c r="D107" s="302" t="s">
        <v>834</v>
      </c>
      <c r="H107" s="302">
        <f>L62</f>
        <v>70.03</v>
      </c>
      <c r="I107" s="302">
        <f>O62</f>
        <v>69.59</v>
      </c>
      <c r="J107" s="302">
        <f>R62</f>
        <v>70.48</v>
      </c>
      <c r="K107" s="302">
        <f>U62</f>
        <v>70.73</v>
      </c>
      <c r="L107" s="302">
        <f>L63</f>
        <v>72.180000000000007</v>
      </c>
      <c r="M107" s="302">
        <f>O63</f>
        <v>72.12</v>
      </c>
      <c r="N107" s="302">
        <f>R63</f>
        <v>73.19</v>
      </c>
      <c r="O107" s="302">
        <f>U63</f>
        <v>72.88</v>
      </c>
      <c r="P107" s="302">
        <f>L64</f>
        <v>74.34</v>
      </c>
      <c r="Q107" s="302">
        <f>O64</f>
        <v>74.11</v>
      </c>
      <c r="R107" s="302">
        <f>R64</f>
        <v>75.010000000000005</v>
      </c>
      <c r="S107" s="302">
        <f>U64</f>
        <v>74.790000000000006</v>
      </c>
      <c r="T107" s="302">
        <f>L65</f>
        <v>75.83</v>
      </c>
      <c r="U107" s="302">
        <f>O65</f>
        <v>75.900000000000006</v>
      </c>
      <c r="V107" s="302">
        <f>R65</f>
        <v>76.87</v>
      </c>
      <c r="W107" s="302">
        <f>U65</f>
        <v>76.349999999999994</v>
      </c>
      <c r="X107" s="302">
        <f>L66</f>
        <v>77.459999999999994</v>
      </c>
      <c r="Y107" s="302">
        <f>O66</f>
        <v>77.84</v>
      </c>
      <c r="Z107" s="302">
        <f>R66</f>
        <v>78.66</v>
      </c>
      <c r="AA107" s="302">
        <f>U66</f>
        <v>79.099999999999994</v>
      </c>
      <c r="AB107" s="302">
        <f>L67</f>
        <v>80.52</v>
      </c>
      <c r="AC107" s="302">
        <f>O67</f>
        <v>82.15</v>
      </c>
      <c r="AD107" s="302">
        <f>R67</f>
        <v>82.67</v>
      </c>
      <c r="AE107" s="302">
        <f>U67</f>
        <v>82.38</v>
      </c>
      <c r="AF107" s="302">
        <f>L68</f>
        <v>83.64</v>
      </c>
      <c r="AG107" s="302">
        <f>O68</f>
        <v>83.79</v>
      </c>
      <c r="AH107" s="302">
        <f>R68</f>
        <v>84.46</v>
      </c>
      <c r="AI107" s="302">
        <f>U68</f>
        <v>84.68</v>
      </c>
      <c r="AJ107" s="302">
        <f>L69</f>
        <v>85.7</v>
      </c>
      <c r="AK107" s="302">
        <f>O69</f>
        <v>86.04</v>
      </c>
      <c r="AL107" s="302">
        <f>R69</f>
        <v>87.34</v>
      </c>
      <c r="AM107" s="302">
        <f>U69</f>
        <v>87.25</v>
      </c>
      <c r="AN107" s="302">
        <f>L70</f>
        <v>89.24</v>
      </c>
      <c r="AO107" s="302">
        <f>O70</f>
        <v>89.67</v>
      </c>
      <c r="AP107" s="302">
        <f>R70</f>
        <v>90.62</v>
      </c>
      <c r="AQ107" s="302">
        <f>U70</f>
        <v>90.88</v>
      </c>
      <c r="AR107" s="302">
        <f>L71</f>
        <v>91.61</v>
      </c>
      <c r="AS107" s="302">
        <f>O71</f>
        <v>91.64</v>
      </c>
      <c r="AT107" s="302">
        <f>R71</f>
        <v>92.51</v>
      </c>
      <c r="AU107" s="302">
        <f>U71</f>
        <v>92.18</v>
      </c>
      <c r="AV107" s="302">
        <f>L72</f>
        <v>92.95</v>
      </c>
      <c r="AW107" s="302">
        <f>O72</f>
        <v>92.71</v>
      </c>
      <c r="AX107" s="302">
        <f>R72</f>
        <v>93.42</v>
      </c>
      <c r="AY107" s="302">
        <f>U72</f>
        <v>93.23</v>
      </c>
      <c r="AZ107" s="302">
        <f>L73</f>
        <v>94.15</v>
      </c>
      <c r="BA107" s="302">
        <f>O73</f>
        <v>94.25</v>
      </c>
      <c r="BB107" s="302">
        <f>R73</f>
        <v>94.49</v>
      </c>
      <c r="BC107" s="302">
        <f>U73</f>
        <v>94.01</v>
      </c>
      <c r="BD107" s="302">
        <f>L74</f>
        <v>94.6</v>
      </c>
      <c r="BE107" s="302">
        <f>O74</f>
        <v>94.91</v>
      </c>
      <c r="BF107" s="302">
        <f>R74</f>
        <v>94.97</v>
      </c>
      <c r="BG107" s="302">
        <f>U74</f>
        <v>95.07</v>
      </c>
      <c r="BH107" s="302">
        <f>L75</f>
        <v>95.39</v>
      </c>
      <c r="BI107" s="302">
        <f>O75</f>
        <v>95.61</v>
      </c>
      <c r="BJ107" s="302">
        <f>R75</f>
        <v>96.25</v>
      </c>
      <c r="BK107" s="302">
        <f>U75</f>
        <v>96.34</v>
      </c>
      <c r="BL107" s="302">
        <f>L76</f>
        <v>97.57</v>
      </c>
      <c r="BM107" s="302">
        <f>O76</f>
        <v>97.34</v>
      </c>
      <c r="BN107" s="302">
        <f>R76</f>
        <v>98.17</v>
      </c>
      <c r="BO107" s="302">
        <f>U76</f>
        <v>97.7</v>
      </c>
      <c r="BP107" s="302">
        <f>L77</f>
        <v>98.75</v>
      </c>
      <c r="BQ107" s="302">
        <f>O77</f>
        <v>98.78</v>
      </c>
      <c r="BR107" s="302">
        <f>R77</f>
        <v>100.22</v>
      </c>
      <c r="BS107" s="302">
        <f>U77</f>
        <v>98.99</v>
      </c>
      <c r="BT107" s="302">
        <f>L78</f>
        <v>99.12</v>
      </c>
      <c r="BU107" s="302">
        <f>O78</f>
        <v>99.49</v>
      </c>
      <c r="BV107" s="302">
        <f>R78</f>
        <v>99.79</v>
      </c>
      <c r="BW107" s="302">
        <f>U78</f>
        <v>99.72</v>
      </c>
      <c r="BX107" s="302">
        <f>L79</f>
        <v>99.94</v>
      </c>
      <c r="BY107" s="302">
        <f>O79</f>
        <v>99.71</v>
      </c>
      <c r="BZ107" s="302">
        <f>R79</f>
        <v>100.74</v>
      </c>
      <c r="CA107" s="302">
        <f>U79</f>
        <v>100.33</v>
      </c>
      <c r="CB107" s="302">
        <f>L80</f>
        <v>101.84</v>
      </c>
      <c r="CC107" s="302">
        <f>O80</f>
        <v>102.05</v>
      </c>
      <c r="CD107" s="302">
        <f>R80</f>
        <v>103.17</v>
      </c>
      <c r="CE107" s="302">
        <f>U80</f>
        <v>104.04</v>
      </c>
    </row>
    <row r="108" spans="4:83" s="302" customFormat="1" ht="12">
      <c r="D108" s="711">
        <v>39994</v>
      </c>
      <c r="E108" s="302">
        <f>E85</f>
        <v>83.79</v>
      </c>
      <c r="H108" s="302">
        <f>H107/$E$108</f>
        <v>0.83577992600548989</v>
      </c>
      <c r="I108" s="302">
        <f t="shared" ref="I108:BT108" si="55">I107/$E$108</f>
        <v>0.8305287027091538</v>
      </c>
      <c r="J108" s="302">
        <f t="shared" si="55"/>
        <v>0.84115049528583363</v>
      </c>
      <c r="K108" s="302">
        <f t="shared" si="55"/>
        <v>0.84413414488602456</v>
      </c>
      <c r="L108" s="302">
        <f t="shared" si="55"/>
        <v>0.86143931256713213</v>
      </c>
      <c r="M108" s="302">
        <f t="shared" si="55"/>
        <v>0.86072323666308626</v>
      </c>
      <c r="N108" s="302">
        <f t="shared" si="55"/>
        <v>0.8734932569519035</v>
      </c>
      <c r="O108" s="302">
        <f t="shared" si="55"/>
        <v>0.86979353144766669</v>
      </c>
      <c r="P108" s="302">
        <f t="shared" si="55"/>
        <v>0.88721804511278191</v>
      </c>
      <c r="Q108" s="302">
        <f t="shared" si="55"/>
        <v>0.88447308748060616</v>
      </c>
      <c r="R108" s="302">
        <f t="shared" si="55"/>
        <v>0.89521422604129375</v>
      </c>
      <c r="S108" s="302">
        <f t="shared" si="55"/>
        <v>0.89258861439312565</v>
      </c>
      <c r="T108" s="302">
        <f t="shared" si="55"/>
        <v>0.90500059672991995</v>
      </c>
      <c r="U108" s="302">
        <f t="shared" si="55"/>
        <v>0.90583601861797347</v>
      </c>
      <c r="V108" s="302">
        <f t="shared" si="55"/>
        <v>0.91741257906671436</v>
      </c>
      <c r="W108" s="302">
        <f t="shared" si="55"/>
        <v>0.9112065878983171</v>
      </c>
      <c r="X108" s="302">
        <f t="shared" si="55"/>
        <v>0.92445399212316492</v>
      </c>
      <c r="Y108" s="302">
        <f t="shared" si="55"/>
        <v>0.92898913951545525</v>
      </c>
      <c r="Z108" s="302">
        <f t="shared" si="55"/>
        <v>0.93877551020408156</v>
      </c>
      <c r="AA108" s="302">
        <f t="shared" si="55"/>
        <v>0.94402673350041755</v>
      </c>
      <c r="AB108" s="302">
        <f t="shared" si="55"/>
        <v>0.96097386322950218</v>
      </c>
      <c r="AC108" s="302">
        <f t="shared" si="55"/>
        <v>0.98042725862274738</v>
      </c>
      <c r="AD108" s="302">
        <f t="shared" si="55"/>
        <v>0.98663324979114453</v>
      </c>
      <c r="AE108" s="302">
        <f t="shared" si="55"/>
        <v>0.9831722162549229</v>
      </c>
      <c r="AF108" s="302">
        <f t="shared" si="55"/>
        <v>0.99820981023988531</v>
      </c>
      <c r="AG108" s="302">
        <f t="shared" si="55"/>
        <v>1</v>
      </c>
      <c r="AH108" s="302">
        <f t="shared" si="55"/>
        <v>1.0079961809285116</v>
      </c>
      <c r="AI108" s="302">
        <f t="shared" si="55"/>
        <v>1.0106217925766798</v>
      </c>
      <c r="AJ108" s="302">
        <f t="shared" si="55"/>
        <v>1.0227950829454588</v>
      </c>
      <c r="AK108" s="302">
        <f t="shared" si="55"/>
        <v>1.0268528464017186</v>
      </c>
      <c r="AL108" s="302">
        <f t="shared" si="55"/>
        <v>1.0423678243227115</v>
      </c>
      <c r="AM108" s="302">
        <f t="shared" si="55"/>
        <v>1.0412937104666427</v>
      </c>
      <c r="AN108" s="302">
        <f t="shared" si="55"/>
        <v>1.0650435612841627</v>
      </c>
      <c r="AO108" s="302">
        <f t="shared" si="55"/>
        <v>1.0701754385964912</v>
      </c>
      <c r="AP108" s="302">
        <f t="shared" si="55"/>
        <v>1.0815133070772169</v>
      </c>
      <c r="AQ108" s="302">
        <f t="shared" si="55"/>
        <v>1.0846163026614153</v>
      </c>
      <c r="AR108" s="302">
        <f t="shared" si="55"/>
        <v>1.093328559493973</v>
      </c>
      <c r="AS108" s="302">
        <f t="shared" si="55"/>
        <v>1.0936865974459959</v>
      </c>
      <c r="AT108" s="302">
        <f t="shared" si="55"/>
        <v>1.1040696980546605</v>
      </c>
      <c r="AU108" s="302">
        <f t="shared" si="55"/>
        <v>1.1001312805824084</v>
      </c>
      <c r="AV108" s="302">
        <f t="shared" si="55"/>
        <v>1.1093209213509965</v>
      </c>
      <c r="AW108" s="302">
        <f t="shared" si="55"/>
        <v>1.106456617734813</v>
      </c>
      <c r="AX108" s="302">
        <f t="shared" si="55"/>
        <v>1.1149301825993554</v>
      </c>
      <c r="AY108" s="302">
        <f t="shared" si="55"/>
        <v>1.1126626089032103</v>
      </c>
      <c r="AZ108" s="302">
        <f t="shared" si="55"/>
        <v>1.1236424394319131</v>
      </c>
      <c r="BA108" s="302">
        <f t="shared" si="55"/>
        <v>1.1248358992719893</v>
      </c>
      <c r="BB108" s="302">
        <f t="shared" si="55"/>
        <v>1.1277002028881726</v>
      </c>
      <c r="BC108" s="302">
        <f t="shared" si="55"/>
        <v>1.1219715956558061</v>
      </c>
      <c r="BD108" s="302">
        <f t="shared" si="55"/>
        <v>1.1290130087122567</v>
      </c>
      <c r="BE108" s="302">
        <f t="shared" si="55"/>
        <v>1.1327127342164935</v>
      </c>
      <c r="BF108" s="302">
        <f t="shared" si="55"/>
        <v>1.1334288101205394</v>
      </c>
      <c r="BG108" s="302">
        <f t="shared" si="55"/>
        <v>1.1346222699606157</v>
      </c>
      <c r="BH108" s="302">
        <f t="shared" si="55"/>
        <v>1.1384413414488601</v>
      </c>
      <c r="BI108" s="302">
        <f t="shared" si="55"/>
        <v>1.1410669530970281</v>
      </c>
      <c r="BJ108" s="302">
        <f t="shared" si="55"/>
        <v>1.148705096073517</v>
      </c>
      <c r="BK108" s="302">
        <f t="shared" si="55"/>
        <v>1.1497792099295858</v>
      </c>
      <c r="BL108" s="302">
        <f t="shared" si="55"/>
        <v>1.1644587659625252</v>
      </c>
      <c r="BM108" s="302">
        <f t="shared" si="55"/>
        <v>1.1617138083303495</v>
      </c>
      <c r="BN108" s="302">
        <f t="shared" si="55"/>
        <v>1.1716195250029835</v>
      </c>
      <c r="BO108" s="302">
        <f t="shared" si="55"/>
        <v>1.1660102637546246</v>
      </c>
      <c r="BP108" s="302">
        <f t="shared" si="55"/>
        <v>1.1785415920754265</v>
      </c>
      <c r="BQ108" s="302">
        <f t="shared" si="55"/>
        <v>1.1788996300274495</v>
      </c>
      <c r="BR108" s="302">
        <f t="shared" si="55"/>
        <v>1.1960854517245494</v>
      </c>
      <c r="BS108" s="302">
        <f t="shared" si="55"/>
        <v>1.1814058956916098</v>
      </c>
      <c r="BT108" s="302">
        <f t="shared" si="55"/>
        <v>1.1829573934837092</v>
      </c>
      <c r="BU108" s="302">
        <f t="shared" ref="BU108:CE108" si="56">BU107/$E$108</f>
        <v>1.1873731948919917</v>
      </c>
      <c r="BV108" s="302">
        <f t="shared" si="56"/>
        <v>1.190953574412221</v>
      </c>
      <c r="BW108" s="302">
        <f t="shared" si="56"/>
        <v>1.1901181525241675</v>
      </c>
      <c r="BX108" s="302">
        <f t="shared" si="56"/>
        <v>1.1927437641723355</v>
      </c>
      <c r="BY108" s="302">
        <f t="shared" si="56"/>
        <v>1.1899988065401597</v>
      </c>
      <c r="BZ108" s="302">
        <f t="shared" si="56"/>
        <v>1.2022914428929465</v>
      </c>
      <c r="CA108" s="302">
        <f t="shared" si="56"/>
        <v>1.1973982575486333</v>
      </c>
      <c r="CB108" s="302">
        <f t="shared" si="56"/>
        <v>1.2154195011337867</v>
      </c>
      <c r="CC108" s="302">
        <f t="shared" si="56"/>
        <v>1.2179257667979471</v>
      </c>
      <c r="CD108" s="302">
        <f t="shared" si="56"/>
        <v>1.2312925170068028</v>
      </c>
      <c r="CE108" s="302">
        <f t="shared" si="56"/>
        <v>1.2416756176154673</v>
      </c>
    </row>
    <row r="109" spans="4:83" s="302" customFormat="1" ht="12">
      <c r="D109" s="711">
        <v>37042</v>
      </c>
      <c r="E109" s="302">
        <f>E86</f>
        <v>65.680000000000007</v>
      </c>
      <c r="H109" s="302">
        <f>H107/$E$109</f>
        <v>1.0662302070645553</v>
      </c>
      <c r="I109" s="302">
        <f t="shared" ref="I109:BT109" si="57">I107/$E$109</f>
        <v>1.059531059683313</v>
      </c>
      <c r="J109" s="302">
        <f t="shared" si="57"/>
        <v>1.0730816077953715</v>
      </c>
      <c r="K109" s="302">
        <f t="shared" si="57"/>
        <v>1.0768879415347137</v>
      </c>
      <c r="L109" s="302">
        <f t="shared" si="57"/>
        <v>1.0989646772228989</v>
      </c>
      <c r="M109" s="302">
        <f t="shared" si="57"/>
        <v>1.0980511571254568</v>
      </c>
      <c r="N109" s="302">
        <f t="shared" si="57"/>
        <v>1.1143422655298416</v>
      </c>
      <c r="O109" s="302">
        <f t="shared" si="57"/>
        <v>1.1096224116930571</v>
      </c>
      <c r="P109" s="302">
        <f t="shared" si="57"/>
        <v>1.131851400730816</v>
      </c>
      <c r="Q109" s="302">
        <f t="shared" si="57"/>
        <v>1.1283495736906211</v>
      </c>
      <c r="R109" s="302">
        <f t="shared" si="57"/>
        <v>1.1420523751522533</v>
      </c>
      <c r="S109" s="302">
        <f t="shared" si="57"/>
        <v>1.1387028014616321</v>
      </c>
      <c r="T109" s="302">
        <f t="shared" si="57"/>
        <v>1.1545371498172958</v>
      </c>
      <c r="U109" s="302">
        <f t="shared" si="57"/>
        <v>1.1556029232643117</v>
      </c>
      <c r="V109" s="302">
        <f t="shared" si="57"/>
        <v>1.1703714981729598</v>
      </c>
      <c r="W109" s="302">
        <f t="shared" si="57"/>
        <v>1.1624543239951277</v>
      </c>
      <c r="X109" s="302">
        <f t="shared" si="57"/>
        <v>1.1793544457978073</v>
      </c>
      <c r="Y109" s="302">
        <f t="shared" si="57"/>
        <v>1.1851400730816077</v>
      </c>
      <c r="Z109" s="302">
        <f t="shared" si="57"/>
        <v>1.1976248477466502</v>
      </c>
      <c r="AA109" s="302">
        <f t="shared" si="57"/>
        <v>1.2043239951278926</v>
      </c>
      <c r="AB109" s="302">
        <f t="shared" si="57"/>
        <v>1.2259439707673567</v>
      </c>
      <c r="AC109" s="302">
        <f t="shared" si="57"/>
        <v>1.2507612667478685</v>
      </c>
      <c r="AD109" s="302">
        <f t="shared" si="57"/>
        <v>1.2586784409257004</v>
      </c>
      <c r="AE109" s="302">
        <f t="shared" si="57"/>
        <v>1.2542630937880632</v>
      </c>
      <c r="AF109" s="302">
        <f t="shared" si="57"/>
        <v>1.2734470158343483</v>
      </c>
      <c r="AG109" s="302">
        <f t="shared" si="57"/>
        <v>1.2757308160779537</v>
      </c>
      <c r="AH109" s="302">
        <f t="shared" si="57"/>
        <v>1.2859317904993908</v>
      </c>
      <c r="AI109" s="302">
        <f t="shared" si="57"/>
        <v>1.289281364190012</v>
      </c>
      <c r="AJ109" s="302">
        <f t="shared" si="57"/>
        <v>1.3048112058465284</v>
      </c>
      <c r="AK109" s="302">
        <f t="shared" si="57"/>
        <v>1.309987819732034</v>
      </c>
      <c r="AL109" s="302">
        <f t="shared" si="57"/>
        <v>1.3297807551766139</v>
      </c>
      <c r="AM109" s="302">
        <f t="shared" si="57"/>
        <v>1.3284104750304506</v>
      </c>
      <c r="AN109" s="302">
        <f t="shared" si="57"/>
        <v>1.3587088915956149</v>
      </c>
      <c r="AO109" s="302">
        <f t="shared" si="57"/>
        <v>1.3652557856272838</v>
      </c>
      <c r="AP109" s="302">
        <f t="shared" si="57"/>
        <v>1.3797198538367843</v>
      </c>
      <c r="AQ109" s="302">
        <f t="shared" si="57"/>
        <v>1.3836784409257001</v>
      </c>
      <c r="AR109" s="302">
        <f t="shared" si="57"/>
        <v>1.3947929354445796</v>
      </c>
      <c r="AS109" s="302">
        <f t="shared" si="57"/>
        <v>1.3952496954933007</v>
      </c>
      <c r="AT109" s="302">
        <f t="shared" si="57"/>
        <v>1.4084957369062119</v>
      </c>
      <c r="AU109" s="302">
        <f t="shared" si="57"/>
        <v>1.4034713763702802</v>
      </c>
      <c r="AV109" s="302">
        <f t="shared" si="57"/>
        <v>1.4151948842874542</v>
      </c>
      <c r="AW109" s="302">
        <f t="shared" si="57"/>
        <v>1.4115408038976855</v>
      </c>
      <c r="AX109" s="302">
        <f t="shared" si="57"/>
        <v>1.4223507917174176</v>
      </c>
      <c r="AY109" s="302">
        <f t="shared" si="57"/>
        <v>1.4194579780755177</v>
      </c>
      <c r="AZ109" s="302">
        <f t="shared" si="57"/>
        <v>1.4334652862362971</v>
      </c>
      <c r="BA109" s="302">
        <f t="shared" si="57"/>
        <v>1.434987819732034</v>
      </c>
      <c r="BB109" s="302">
        <f t="shared" si="57"/>
        <v>1.4386419001218025</v>
      </c>
      <c r="BC109" s="302">
        <f t="shared" si="57"/>
        <v>1.4313337393422654</v>
      </c>
      <c r="BD109" s="302">
        <f t="shared" si="57"/>
        <v>1.4403166869671131</v>
      </c>
      <c r="BE109" s="302">
        <f t="shared" si="57"/>
        <v>1.4450365408038974</v>
      </c>
      <c r="BF109" s="302">
        <f t="shared" si="57"/>
        <v>1.4459500609013396</v>
      </c>
      <c r="BG109" s="302">
        <f t="shared" si="57"/>
        <v>1.4474725943970765</v>
      </c>
      <c r="BH109" s="302">
        <f t="shared" si="57"/>
        <v>1.4523447015834348</v>
      </c>
      <c r="BI109" s="302">
        <f t="shared" si="57"/>
        <v>1.4556942752740558</v>
      </c>
      <c r="BJ109" s="302">
        <f t="shared" si="57"/>
        <v>1.465438489646772</v>
      </c>
      <c r="BK109" s="302">
        <f t="shared" si="57"/>
        <v>1.4668087697929353</v>
      </c>
      <c r="BL109" s="302">
        <f t="shared" si="57"/>
        <v>1.485535931790499</v>
      </c>
      <c r="BM109" s="302">
        <f t="shared" si="57"/>
        <v>1.4820341047503045</v>
      </c>
      <c r="BN109" s="302">
        <f t="shared" si="57"/>
        <v>1.4946711327649207</v>
      </c>
      <c r="BO109" s="302">
        <f t="shared" si="57"/>
        <v>1.4875152253349573</v>
      </c>
      <c r="BP109" s="302">
        <f t="shared" si="57"/>
        <v>1.5035018270401947</v>
      </c>
      <c r="BQ109" s="302">
        <f t="shared" si="57"/>
        <v>1.5039585870889158</v>
      </c>
      <c r="BR109" s="302">
        <f t="shared" si="57"/>
        <v>1.5258830694275272</v>
      </c>
      <c r="BS109" s="302">
        <f t="shared" si="57"/>
        <v>1.5071559074299632</v>
      </c>
      <c r="BT109" s="302">
        <f t="shared" si="57"/>
        <v>1.5091352009744214</v>
      </c>
      <c r="BU109" s="302">
        <f t="shared" ref="BU109:CE109" si="58">BU107/$E$109</f>
        <v>1.5147685749086477</v>
      </c>
      <c r="BV109" s="302">
        <f t="shared" si="58"/>
        <v>1.5193361753958587</v>
      </c>
      <c r="BW109" s="302">
        <f t="shared" si="58"/>
        <v>1.5182704019488427</v>
      </c>
      <c r="BX109" s="302">
        <f t="shared" si="58"/>
        <v>1.5216199756394639</v>
      </c>
      <c r="BY109" s="302">
        <f t="shared" si="58"/>
        <v>1.518118148599269</v>
      </c>
      <c r="BZ109" s="302">
        <f t="shared" si="58"/>
        <v>1.533800243605359</v>
      </c>
      <c r="CA109" s="302">
        <f t="shared" si="58"/>
        <v>1.5275578562728378</v>
      </c>
      <c r="CB109" s="302">
        <f t="shared" si="58"/>
        <v>1.5505481120584652</v>
      </c>
      <c r="CC109" s="302">
        <f t="shared" si="58"/>
        <v>1.5537454323995126</v>
      </c>
      <c r="CD109" s="302">
        <f t="shared" si="58"/>
        <v>1.5707978075517659</v>
      </c>
      <c r="CE109" s="302">
        <f t="shared" si="58"/>
        <v>1.5840438489646771</v>
      </c>
    </row>
    <row r="110" spans="4:83" s="302" customFormat="1" ht="12"/>
    <row r="111" spans="4:83" s="302" customFormat="1" ht="12"/>
    <row r="112" spans="4:83" s="302" customFormat="1" ht="12"/>
    <row r="113" s="302" customFormat="1" ht="12"/>
    <row r="114" s="302" customFormat="1" ht="12"/>
    <row r="115" s="302" customFormat="1" ht="12"/>
    <row r="116" s="302" customFormat="1" ht="12"/>
    <row r="117" s="302" customFormat="1" ht="12"/>
    <row r="118" s="302" customFormat="1" ht="12"/>
    <row r="119" s="302" customFormat="1" ht="12"/>
    <row r="120" s="302" customFormat="1" ht="12"/>
    <row r="121" s="302" customFormat="1" ht="12"/>
    <row r="122" s="302" customFormat="1" ht="12"/>
    <row r="123" s="302" customFormat="1" ht="12"/>
  </sheetData>
  <mergeCells count="2">
    <mergeCell ref="C15:E16"/>
    <mergeCell ref="F15:F16"/>
  </mergeCells>
  <phoneticPr fontId="12" type="noConversion"/>
  <pageMargins left="0.15748031496062992" right="0.15748031496062992" top="0.39370078740157483" bottom="0.39370078740157483" header="0.51181102362204722" footer="0.51181102362204722"/>
  <pageSetup paperSize="9" scale="90" orientation="landscape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8915-B89C-4B9E-9486-8369507B931A}">
  <sheetPr codeName="Sheet20"/>
  <dimension ref="A1:GF69"/>
  <sheetViews>
    <sheetView showGridLines="0" showZeros="0" topLeftCell="A29" zoomScale="110" zoomScaleNormal="110" workbookViewId="0">
      <selection activeCell="O56" sqref="O56"/>
    </sheetView>
  </sheetViews>
  <sheetFormatPr defaultColWidth="7.109375" defaultRowHeight="17.100000000000001" customHeight="1" outlineLevelRow="1"/>
  <cols>
    <col min="1" max="1" width="1.33203125" style="493" customWidth="1"/>
    <col min="2" max="2" width="1.21875" style="493" customWidth="1"/>
    <col min="3" max="3" width="2.6640625" style="493" customWidth="1"/>
    <col min="4" max="4" width="17.6640625" style="493" customWidth="1"/>
    <col min="5" max="5" width="6.6640625" style="493" customWidth="1"/>
    <col min="6" max="6" width="11.21875" style="493" bestFit="1" customWidth="1"/>
    <col min="7" max="7" width="1" style="493" customWidth="1"/>
    <col min="8" max="188" width="7.109375" style="493" customWidth="1"/>
    <col min="189" max="16384" width="7.109375" style="493"/>
  </cols>
  <sheetData>
    <row r="1" spans="1:60" ht="5.45" customHeight="1"/>
    <row r="2" spans="1:60" s="635" customFormat="1" ht="17.100000000000001" customHeight="1">
      <c r="A2" s="633"/>
      <c r="B2" s="635" t="s">
        <v>1100</v>
      </c>
    </row>
    <row r="3" spans="1:60" ht="17.100000000000001" customHeight="1">
      <c r="B3" s="793"/>
      <c r="C3" s="794" t="s">
        <v>5093</v>
      </c>
      <c r="D3" s="795"/>
      <c r="E3" s="796"/>
      <c r="F3" s="797"/>
      <c r="G3" s="897"/>
      <c r="H3" s="4755">
        <v>2009</v>
      </c>
      <c r="I3" s="4755">
        <f t="shared" ref="I3:BF3" si="0">H3+1</f>
        <v>2010</v>
      </c>
      <c r="J3" s="4755">
        <f t="shared" si="0"/>
        <v>2011</v>
      </c>
      <c r="K3" s="4755">
        <f t="shared" si="0"/>
        <v>2012</v>
      </c>
      <c r="L3" s="4755">
        <f t="shared" si="0"/>
        <v>2013</v>
      </c>
      <c r="M3" s="4755">
        <f t="shared" si="0"/>
        <v>2014</v>
      </c>
      <c r="N3" s="4755">
        <f t="shared" si="0"/>
        <v>2015</v>
      </c>
      <c r="O3" s="4755">
        <f t="shared" si="0"/>
        <v>2016</v>
      </c>
      <c r="P3" s="4755">
        <f t="shared" si="0"/>
        <v>2017</v>
      </c>
      <c r="Q3" s="4755">
        <f t="shared" si="0"/>
        <v>2018</v>
      </c>
      <c r="R3" s="4755">
        <f t="shared" si="0"/>
        <v>2019</v>
      </c>
      <c r="S3" s="4755">
        <f t="shared" si="0"/>
        <v>2020</v>
      </c>
      <c r="T3" s="798">
        <f t="shared" si="0"/>
        <v>2021</v>
      </c>
      <c r="U3" s="798">
        <f t="shared" si="0"/>
        <v>2022</v>
      </c>
      <c r="V3" s="798">
        <f t="shared" si="0"/>
        <v>2023</v>
      </c>
      <c r="W3" s="798">
        <f t="shared" si="0"/>
        <v>2024</v>
      </c>
      <c r="X3" s="798">
        <f t="shared" si="0"/>
        <v>2025</v>
      </c>
      <c r="Y3" s="798">
        <f t="shared" si="0"/>
        <v>2026</v>
      </c>
      <c r="Z3" s="798">
        <f t="shared" si="0"/>
        <v>2027</v>
      </c>
      <c r="AA3" s="799">
        <f t="shared" si="0"/>
        <v>2028</v>
      </c>
      <c r="AB3" s="798">
        <f t="shared" si="0"/>
        <v>2029</v>
      </c>
      <c r="AC3" s="799">
        <f t="shared" si="0"/>
        <v>2030</v>
      </c>
      <c r="AD3" s="798">
        <f t="shared" si="0"/>
        <v>2031</v>
      </c>
      <c r="AE3" s="798">
        <f t="shared" si="0"/>
        <v>2032</v>
      </c>
      <c r="AF3" s="798">
        <f t="shared" si="0"/>
        <v>2033</v>
      </c>
      <c r="AG3" s="798">
        <f t="shared" si="0"/>
        <v>2034</v>
      </c>
      <c r="AH3" s="798">
        <f t="shared" si="0"/>
        <v>2035</v>
      </c>
      <c r="AI3" s="798">
        <f t="shared" si="0"/>
        <v>2036</v>
      </c>
      <c r="AJ3" s="798">
        <f t="shared" si="0"/>
        <v>2037</v>
      </c>
      <c r="AK3" s="798">
        <f t="shared" si="0"/>
        <v>2038</v>
      </c>
      <c r="AL3" s="798">
        <f t="shared" si="0"/>
        <v>2039</v>
      </c>
      <c r="AM3" s="798">
        <f t="shared" si="0"/>
        <v>2040</v>
      </c>
      <c r="AN3" s="798">
        <f t="shared" si="0"/>
        <v>2041</v>
      </c>
      <c r="AO3" s="798">
        <f t="shared" si="0"/>
        <v>2042</v>
      </c>
      <c r="AP3" s="798">
        <f t="shared" si="0"/>
        <v>2043</v>
      </c>
      <c r="AQ3" s="798">
        <f t="shared" si="0"/>
        <v>2044</v>
      </c>
      <c r="AR3" s="798">
        <f t="shared" si="0"/>
        <v>2045</v>
      </c>
      <c r="AS3" s="798">
        <f t="shared" si="0"/>
        <v>2046</v>
      </c>
      <c r="AT3" s="798">
        <f t="shared" si="0"/>
        <v>2047</v>
      </c>
      <c r="AU3" s="798">
        <f t="shared" si="0"/>
        <v>2048</v>
      </c>
      <c r="AV3" s="798">
        <f t="shared" si="0"/>
        <v>2049</v>
      </c>
      <c r="AW3" s="798">
        <f t="shared" si="0"/>
        <v>2050</v>
      </c>
      <c r="AX3" s="798">
        <f t="shared" si="0"/>
        <v>2051</v>
      </c>
      <c r="AY3" s="798">
        <f t="shared" si="0"/>
        <v>2052</v>
      </c>
      <c r="AZ3" s="798">
        <f t="shared" si="0"/>
        <v>2053</v>
      </c>
      <c r="BA3" s="798">
        <f t="shared" si="0"/>
        <v>2054</v>
      </c>
      <c r="BB3" s="798">
        <f t="shared" si="0"/>
        <v>2055</v>
      </c>
      <c r="BC3" s="798">
        <f t="shared" si="0"/>
        <v>2056</v>
      </c>
      <c r="BD3" s="798">
        <f t="shared" si="0"/>
        <v>2057</v>
      </c>
      <c r="BE3" s="798">
        <f t="shared" si="0"/>
        <v>2058</v>
      </c>
      <c r="BF3" s="798">
        <f t="shared" si="0"/>
        <v>2059</v>
      </c>
    </row>
    <row r="4" spans="1:60" ht="17.100000000000001" customHeight="1">
      <c r="B4" s="800"/>
      <c r="C4" s="801" t="s">
        <v>1101</v>
      </c>
      <c r="D4" s="802"/>
      <c r="E4" s="802"/>
      <c r="F4" s="803"/>
      <c r="G4" s="897"/>
      <c r="H4" s="804"/>
      <c r="I4" s="804">
        <f t="shared" ref="I4:AD4" si="1">I5/H5-1</f>
        <v>1.9653314960383326</v>
      </c>
      <c r="J4" s="804">
        <f t="shared" si="1"/>
        <v>0.22750987474389039</v>
      </c>
      <c r="K4" s="804">
        <f t="shared" si="1"/>
        <v>2.8228998175998887E-2</v>
      </c>
      <c r="L4" s="804">
        <f t="shared" si="1"/>
        <v>1.9312353044540487E-2</v>
      </c>
      <c r="M4" s="804">
        <f t="shared" si="1"/>
        <v>1.0248980027418142E-2</v>
      </c>
      <c r="N4" s="804">
        <f t="shared" si="1"/>
        <v>2.1041640427252206E-2</v>
      </c>
      <c r="O4" s="804">
        <f t="shared" si="1"/>
        <v>0.21570968127014445</v>
      </c>
      <c r="P4" s="804">
        <f t="shared" si="1"/>
        <v>5.459544383346504E-3</v>
      </c>
      <c r="Q4" s="804">
        <f t="shared" si="1"/>
        <v>-1.3854707866192695E-2</v>
      </c>
      <c r="R4" s="804">
        <f t="shared" si="1"/>
        <v>5.7474944872116573E-2</v>
      </c>
      <c r="S4" s="804">
        <f t="shared" ca="1" si="1"/>
        <v>9.9427800825989676E-2</v>
      </c>
      <c r="T4" s="805">
        <f t="shared" ca="1" si="1"/>
        <v>-0.1072079592497317</v>
      </c>
      <c r="U4" s="805">
        <f t="shared" ca="1" si="1"/>
        <v>-1.4107799361396278E-2</v>
      </c>
      <c r="V4" s="805">
        <f t="shared" ca="1" si="1"/>
        <v>3.2258064516129004E-2</v>
      </c>
      <c r="W4" s="805">
        <f t="shared" ca="1" si="1"/>
        <v>3.125E-2</v>
      </c>
      <c r="X4" s="805">
        <f t="shared" ca="1" si="1"/>
        <v>3.0303030303030276E-2</v>
      </c>
      <c r="Y4" s="805">
        <f t="shared" ca="1" si="1"/>
        <v>2.9411764705882248E-2</v>
      </c>
      <c r="Z4" s="805">
        <f t="shared" ca="1" si="1"/>
        <v>2.857142857142847E-2</v>
      </c>
      <c r="AA4" s="805">
        <f t="shared" ca="1" si="1"/>
        <v>2.7777777777777679E-2</v>
      </c>
      <c r="AB4" s="805">
        <f t="shared" ca="1" si="1"/>
        <v>2.7027027027026973E-2</v>
      </c>
      <c r="AC4" s="805">
        <f t="shared" ca="1" si="1"/>
        <v>2.6315789473684292E-2</v>
      </c>
      <c r="AD4" s="805">
        <f t="shared" ca="1" si="1"/>
        <v>1.025641025641022E-2</v>
      </c>
      <c r="AE4" s="805">
        <f t="shared" ref="AE4:BF4" ca="1" si="2">AE5/AD5-1</f>
        <v>1.0152284263959421E-2</v>
      </c>
      <c r="AF4" s="805">
        <f t="shared" ca="1" si="2"/>
        <v>1.0050251256281451E-2</v>
      </c>
      <c r="AG4" s="805">
        <f t="shared" ca="1" si="2"/>
        <v>9.9502487562188602E-3</v>
      </c>
      <c r="AH4" s="805">
        <f t="shared" ca="1" si="2"/>
        <v>9.8522167487684609E-3</v>
      </c>
      <c r="AI4" s="805">
        <f t="shared" ca="1" si="2"/>
        <v>9.7560975609756184E-3</v>
      </c>
      <c r="AJ4" s="805">
        <f t="shared" ca="1" si="2"/>
        <v>9.6618357487923134E-3</v>
      </c>
      <c r="AK4" s="805">
        <f t="shared" ca="1" si="2"/>
        <v>9.5693779904306719E-3</v>
      </c>
      <c r="AL4" s="805">
        <f t="shared" ca="1" si="2"/>
        <v>9.4786729857820884E-3</v>
      </c>
      <c r="AM4" s="805">
        <f t="shared" ca="1" si="2"/>
        <v>9.3896713615022609E-3</v>
      </c>
      <c r="AN4" s="805">
        <f t="shared" ca="1" si="2"/>
        <v>9.302325581395321E-3</v>
      </c>
      <c r="AO4" s="805">
        <f t="shared" ca="1" si="2"/>
        <v>9.2165898617511122E-3</v>
      </c>
      <c r="AP4" s="805">
        <f t="shared" ca="1" si="2"/>
        <v>9.1324200913243114E-3</v>
      </c>
      <c r="AQ4" s="805">
        <f t="shared" ca="1" si="2"/>
        <v>9.0497737556560764E-3</v>
      </c>
      <c r="AR4" s="805">
        <f t="shared" ca="1" si="2"/>
        <v>8.9686098654708779E-3</v>
      </c>
      <c r="AS4" s="805">
        <f t="shared" ca="1" si="2"/>
        <v>8.8888888888889461E-3</v>
      </c>
      <c r="AT4" s="805">
        <f t="shared" ca="1" si="2"/>
        <v>8.8105726872247381E-3</v>
      </c>
      <c r="AU4" s="805">
        <f t="shared" ca="1" si="2"/>
        <v>8.733624454148492E-3</v>
      </c>
      <c r="AV4" s="805">
        <f t="shared" ca="1" si="2"/>
        <v>8.6580086580085869E-3</v>
      </c>
      <c r="AW4" s="805">
        <f t="shared" ca="1" si="2"/>
        <v>8.5836909871244149E-3</v>
      </c>
      <c r="AX4" s="805">
        <f t="shared" ca="1" si="2"/>
        <v>8.5106382978723527E-3</v>
      </c>
      <c r="AY4" s="805">
        <f t="shared" ca="1" si="2"/>
        <v>8.4388185654007408E-3</v>
      </c>
      <c r="AZ4" s="805">
        <f t="shared" ca="1" si="2"/>
        <v>8.3682008368199945E-3</v>
      </c>
      <c r="BA4" s="805">
        <f t="shared" ca="1" si="2"/>
        <v>8.2987551867219622E-3</v>
      </c>
      <c r="BB4" s="805">
        <f t="shared" ca="1" si="2"/>
        <v>8.2304526748970819E-3</v>
      </c>
      <c r="BC4" s="805">
        <f t="shared" ca="1" si="2"/>
        <v>8.1632653061225469E-3</v>
      </c>
      <c r="BD4" s="805">
        <f t="shared" ca="1" si="2"/>
        <v>8.0971659919029104E-3</v>
      </c>
      <c r="BE4" s="805">
        <f t="shared" ca="1" si="2"/>
        <v>8.0321285140563248E-3</v>
      </c>
      <c r="BF4" s="805">
        <f t="shared" ca="1" si="2"/>
        <v>7.9681274900398336E-3</v>
      </c>
    </row>
    <row r="5" spans="1:60" ht="16.5" customHeight="1">
      <c r="B5" s="806"/>
      <c r="C5" s="807" t="s">
        <v>1102</v>
      </c>
      <c r="D5" s="808"/>
      <c r="E5" s="809"/>
      <c r="F5" s="810">
        <f ca="1">Sensitivity!E22</f>
        <v>1</v>
      </c>
      <c r="G5" s="897"/>
      <c r="H5" s="811">
        <v>63862</v>
      </c>
      <c r="I5" s="811">
        <v>189372</v>
      </c>
      <c r="J5" s="811">
        <v>232456</v>
      </c>
      <c r="K5" s="811">
        <v>239018</v>
      </c>
      <c r="L5" s="811">
        <v>243634</v>
      </c>
      <c r="M5" s="811">
        <v>246131</v>
      </c>
      <c r="N5" s="811">
        <v>251310</v>
      </c>
      <c r="O5" s="811">
        <v>305520</v>
      </c>
      <c r="P5" s="811">
        <v>307188</v>
      </c>
      <c r="Q5" s="811">
        <v>302932</v>
      </c>
      <c r="R5" s="811">
        <v>320343</v>
      </c>
      <c r="S5" s="811">
        <f ca="1">SUMIF(민감도!$D$8:$D$48,S3,민감도!$E$8:$E$48)*1000</f>
        <v>352194</v>
      </c>
      <c r="T5" s="812">
        <f ca="1">SUMIF(민감도!$D$8:$D$48,T3,민감도!$E$8:$E$48)*1000</f>
        <v>314436</v>
      </c>
      <c r="U5" s="5088">
        <f ca="1">SUMIF(민감도!$D$8:$D$48,U3,민감도!$E$8:$E$48)*1000*$F$5</f>
        <v>310000</v>
      </c>
      <c r="V5" s="5089">
        <f ca="1">SUMIF(민감도!$D$8:$D$48,V3,민감도!$E$8:$E$48)*1000*$F$5</f>
        <v>320000</v>
      </c>
      <c r="W5" s="5089">
        <f ca="1">SUMIF(민감도!$D$8:$D$48,W3,민감도!$E$8:$E$48)*1000*$F$5</f>
        <v>330000</v>
      </c>
      <c r="X5" s="5089">
        <f ca="1">SUMIF(민감도!$D$8:$D$48,X3,민감도!$E$8:$E$48)*1000*$F$5</f>
        <v>340000</v>
      </c>
      <c r="Y5" s="5089">
        <f ca="1">SUMIF(민감도!$D$8:$D$48,Y3,민감도!$E$8:$E$48)*1000*$F$5</f>
        <v>350000</v>
      </c>
      <c r="Z5" s="5089">
        <f ca="1">SUMIF(민감도!$D$8:$D$48,Z3,민감도!$E$8:$E$48)*1000*$F$5</f>
        <v>360000</v>
      </c>
      <c r="AA5" s="5089">
        <f ca="1">SUMIF(민감도!$D$8:$D$48,AA3,민감도!$E$8:$E$48)*1000*$F$5</f>
        <v>370000</v>
      </c>
      <c r="AB5" s="5089">
        <f ca="1">SUMIF(민감도!$D$8:$D$48,AB3,민감도!$E$8:$E$48)*1000*$F$5</f>
        <v>380000</v>
      </c>
      <c r="AC5" s="5089">
        <f ca="1">SUMIF(민감도!$D$8:$D$48,AC3,민감도!$E$8:$E$48)*1000*$F$5</f>
        <v>390000</v>
      </c>
      <c r="AD5" s="5089">
        <f ca="1">SUMIF(민감도!$D$8:$D$48,AD3,민감도!$E$8:$E$48)*1000*$F$5</f>
        <v>394000</v>
      </c>
      <c r="AE5" s="5089">
        <f ca="1">SUMIF(민감도!$D$8:$D$48,AE3,민감도!$E$8:$E$48)*1000*$F$5</f>
        <v>398000</v>
      </c>
      <c r="AF5" s="5089">
        <f ca="1">SUMIF(민감도!$D$8:$D$48,AF3,민감도!$E$8:$E$48)*1000*$F$5</f>
        <v>402000</v>
      </c>
      <c r="AG5" s="5089">
        <f ca="1">SUMIF(민감도!$D$8:$D$48,AG3,민감도!$E$8:$E$48)*1000*$F$5</f>
        <v>406000</v>
      </c>
      <c r="AH5" s="5089">
        <f ca="1">SUMIF(민감도!$D$8:$D$48,AH3,민감도!$E$8:$E$48)*1000*$F$5</f>
        <v>410000</v>
      </c>
      <c r="AI5" s="5089">
        <f ca="1">SUMIF(민감도!$D$8:$D$48,AI3,민감도!$E$8:$E$48)*1000*$F$5</f>
        <v>414000</v>
      </c>
      <c r="AJ5" s="5089">
        <f ca="1">SUMIF(민감도!$D$8:$D$48,AJ3,민감도!$E$8:$E$48)*1000*$F$5</f>
        <v>418000</v>
      </c>
      <c r="AK5" s="5089">
        <f ca="1">SUMIF(민감도!$D$8:$D$48,AK3,민감도!$E$8:$E$48)*1000*$F$5</f>
        <v>422000</v>
      </c>
      <c r="AL5" s="5089">
        <f ca="1">SUMIF(민감도!$D$8:$D$48,AL3,민감도!$E$8:$E$48)*1000*$F$5</f>
        <v>426000</v>
      </c>
      <c r="AM5" s="5089">
        <f ca="1">SUMIF(민감도!$D$8:$D$48,AM3,민감도!$E$8:$E$48)*1000*$F$5</f>
        <v>430000</v>
      </c>
      <c r="AN5" s="5089">
        <f ca="1">SUMIF(민감도!$D$8:$D$48,AN3,민감도!$E$8:$E$48)*1000*$F$5</f>
        <v>434000</v>
      </c>
      <c r="AO5" s="5089">
        <f ca="1">SUMIF(민감도!$D$8:$D$48,AO3,민감도!$E$8:$E$48)*1000*$F$5</f>
        <v>438000</v>
      </c>
      <c r="AP5" s="5089">
        <f ca="1">SUMIF(민감도!$D$8:$D$48,AP3,민감도!$E$8:$E$48)*1000*$F$5</f>
        <v>442000</v>
      </c>
      <c r="AQ5" s="5089">
        <f ca="1">SUMIF(민감도!$D$8:$D$48,AQ3,민감도!$E$8:$E$48)*1000*$F$5</f>
        <v>446000</v>
      </c>
      <c r="AR5" s="5089">
        <f ca="1">SUMIF(민감도!$D$8:$D$48,AR3,민감도!$E$8:$E$48)*1000*$F$5</f>
        <v>450000</v>
      </c>
      <c r="AS5" s="5089">
        <f ca="1">SUMIF(민감도!$D$8:$D$48,AS3,민감도!$E$8:$E$48)*1000*$F$5</f>
        <v>454000</v>
      </c>
      <c r="AT5" s="5089">
        <f ca="1">SUMIF(민감도!$D$8:$D$48,AT3,민감도!$E$8:$E$48)*1000*$F$5</f>
        <v>458000</v>
      </c>
      <c r="AU5" s="5089">
        <f ca="1">SUMIF(민감도!$D$8:$D$48,AU3,민감도!$E$8:$E$48)*1000*$F$5</f>
        <v>462000</v>
      </c>
      <c r="AV5" s="5089">
        <f ca="1">SUMIF(민감도!$D$8:$D$48,AV3,민감도!$E$8:$E$48)*1000*$F$5</f>
        <v>466000</v>
      </c>
      <c r="AW5" s="5089">
        <f ca="1">SUMIF(민감도!$D$8:$D$48,AW3,민감도!$E$8:$E$48)*1000*$F$5</f>
        <v>470000</v>
      </c>
      <c r="AX5" s="5089">
        <f ca="1">SUMIF(민감도!$D$8:$D$48,AX3,민감도!$E$8:$E$48)*1000*$F$5</f>
        <v>474000</v>
      </c>
      <c r="AY5" s="5089">
        <f ca="1">SUMIF(민감도!$D$8:$D$48,AY3,민감도!$E$8:$E$48)*1000*$F$5</f>
        <v>478000</v>
      </c>
      <c r="AZ5" s="5089">
        <f ca="1">SUMIF(민감도!$D$8:$D$48,AZ3,민감도!$E$8:$E$48)*1000*$F$5</f>
        <v>482000</v>
      </c>
      <c r="BA5" s="5089">
        <f ca="1">SUMIF(민감도!$D$8:$D$48,BA3,민감도!$E$8:$E$48)*1000*$F$5</f>
        <v>486000</v>
      </c>
      <c r="BB5" s="5089">
        <f ca="1">SUMIF(민감도!$D$8:$D$48,BB3,민감도!$E$8:$E$48)*1000*$F$5</f>
        <v>490000</v>
      </c>
      <c r="BC5" s="5089">
        <f ca="1">SUMIF(민감도!$D$8:$D$48,BC3,민감도!$E$8:$E$48)*1000*$F$5</f>
        <v>494000</v>
      </c>
      <c r="BD5" s="5089">
        <f ca="1">SUMIF(민감도!$D$8:$D$48,BD3,민감도!$E$8:$E$48)*1000*$F$5</f>
        <v>498000</v>
      </c>
      <c r="BE5" s="5089">
        <f ca="1">SUMIF(민감도!$D$8:$D$48,BE3,민감도!$E$8:$E$48)*1000*$F$5</f>
        <v>502000</v>
      </c>
      <c r="BF5" s="5089">
        <f ca="1">SUMIF(민감도!$D$8:$D$48,BF3,민감도!$E$8:$E$48)*1000*$F$5</f>
        <v>506000</v>
      </c>
    </row>
    <row r="6" spans="1:60" ht="17.100000000000001" customHeight="1">
      <c r="B6" s="800"/>
      <c r="C6" s="813" t="s">
        <v>1103</v>
      </c>
      <c r="D6" s="814"/>
      <c r="E6" s="815"/>
      <c r="F6" s="816"/>
      <c r="G6" s="897"/>
      <c r="H6" s="817">
        <f t="shared" ref="H6:N6" si="3">H10*10^6/H5</f>
        <v>52668.475149541198</v>
      </c>
      <c r="I6" s="817">
        <f t="shared" si="3"/>
        <v>54975.947368143126</v>
      </c>
      <c r="J6" s="817">
        <f t="shared" si="3"/>
        <v>56515.332944729314</v>
      </c>
      <c r="K6" s="817">
        <f t="shared" si="3"/>
        <v>56438.818666376581</v>
      </c>
      <c r="L6" s="817">
        <f t="shared" si="3"/>
        <v>56053.313420951097</v>
      </c>
      <c r="M6" s="817">
        <f t="shared" si="3"/>
        <v>54861.886966696598</v>
      </c>
      <c r="N6" s="817">
        <f t="shared" si="3"/>
        <v>55022.012235883965</v>
      </c>
      <c r="O6" s="818">
        <v>56704.340141398272</v>
      </c>
      <c r="P6" s="818">
        <v>59238</v>
      </c>
      <c r="Q6" s="818">
        <v>59871</v>
      </c>
      <c r="R6" s="818">
        <v>63088</v>
      </c>
      <c r="S6" s="818">
        <v>64445.303920825922</v>
      </c>
      <c r="T6" s="819">
        <f>연도별매출!AP6</f>
        <v>66843.558546095228</v>
      </c>
      <c r="U6" s="820">
        <v>71388</v>
      </c>
      <c r="V6" s="820">
        <v>73344.031200000012</v>
      </c>
      <c r="W6" s="820">
        <v>75353.657654880022</v>
      </c>
      <c r="X6" s="821">
        <f t="shared" ref="X6:BF6" si="4">W6*(1+X7)</f>
        <v>75353.657654880022</v>
      </c>
      <c r="Y6" s="821">
        <f t="shared" si="4"/>
        <v>75353.657654880022</v>
      </c>
      <c r="Z6" s="821">
        <f t="shared" ca="1" si="4"/>
        <v>77614.267384526422</v>
      </c>
      <c r="AA6" s="821">
        <f t="shared" ca="1" si="4"/>
        <v>77614.267384526422</v>
      </c>
      <c r="AB6" s="821">
        <f t="shared" ca="1" si="4"/>
        <v>77614.267384526422</v>
      </c>
      <c r="AC6" s="821">
        <f t="shared" ca="1" si="4"/>
        <v>79942.695406062223</v>
      </c>
      <c r="AD6" s="821">
        <f t="shared" ca="1" si="4"/>
        <v>79942.695406062223</v>
      </c>
      <c r="AE6" s="821">
        <f t="shared" ca="1" si="4"/>
        <v>79942.695406062223</v>
      </c>
      <c r="AF6" s="821">
        <f t="shared" ca="1" si="4"/>
        <v>82340.976268244092</v>
      </c>
      <c r="AG6" s="821">
        <f t="shared" ca="1" si="4"/>
        <v>82340.976268244092</v>
      </c>
      <c r="AH6" s="821">
        <f t="shared" ca="1" si="4"/>
        <v>82340.976268244092</v>
      </c>
      <c r="AI6" s="821">
        <f t="shared" ca="1" si="4"/>
        <v>84811.205556291417</v>
      </c>
      <c r="AJ6" s="821">
        <f t="shared" ca="1" si="4"/>
        <v>84811.205556291417</v>
      </c>
      <c r="AK6" s="821">
        <f t="shared" ca="1" si="4"/>
        <v>84811.205556291417</v>
      </c>
      <c r="AL6" s="821">
        <f t="shared" ca="1" si="4"/>
        <v>87355.541722980168</v>
      </c>
      <c r="AM6" s="821">
        <f t="shared" ca="1" si="4"/>
        <v>87355.541722980168</v>
      </c>
      <c r="AN6" s="821">
        <f t="shared" ca="1" si="4"/>
        <v>87355.541722980168</v>
      </c>
      <c r="AO6" s="821">
        <f t="shared" ca="1" si="4"/>
        <v>89976.207974669582</v>
      </c>
      <c r="AP6" s="821">
        <f t="shared" ca="1" si="4"/>
        <v>89976.207974669582</v>
      </c>
      <c r="AQ6" s="821">
        <f t="shared" ca="1" si="4"/>
        <v>89976.207974669582</v>
      </c>
      <c r="AR6" s="821">
        <f t="shared" ca="1" si="4"/>
        <v>92675.494213909667</v>
      </c>
      <c r="AS6" s="821">
        <f t="shared" ca="1" si="4"/>
        <v>92675.494213909667</v>
      </c>
      <c r="AT6" s="821">
        <f t="shared" ca="1" si="4"/>
        <v>92675.494213909667</v>
      </c>
      <c r="AU6" s="821">
        <f t="shared" ca="1" si="4"/>
        <v>95455.759040326957</v>
      </c>
      <c r="AV6" s="821">
        <f t="shared" ca="1" si="4"/>
        <v>95455.759040326957</v>
      </c>
      <c r="AW6" s="821">
        <f t="shared" ca="1" si="4"/>
        <v>95455.759040326957</v>
      </c>
      <c r="AX6" s="821">
        <f t="shared" ca="1" si="4"/>
        <v>98319.431811536764</v>
      </c>
      <c r="AY6" s="821">
        <f t="shared" ca="1" si="4"/>
        <v>98319.431811536764</v>
      </c>
      <c r="AZ6" s="821">
        <f t="shared" ca="1" si="4"/>
        <v>98319.431811536764</v>
      </c>
      <c r="BA6" s="821">
        <f t="shared" ca="1" si="4"/>
        <v>101269.01476588286</v>
      </c>
      <c r="BB6" s="821">
        <f t="shared" ca="1" si="4"/>
        <v>101269.01476588286</v>
      </c>
      <c r="BC6" s="821">
        <f t="shared" ca="1" si="4"/>
        <v>101269.01476588286</v>
      </c>
      <c r="BD6" s="821">
        <f t="shared" ca="1" si="4"/>
        <v>104307.08520885935</v>
      </c>
      <c r="BE6" s="821">
        <f t="shared" ca="1" si="4"/>
        <v>104307.08520885935</v>
      </c>
      <c r="BF6" s="821">
        <f t="shared" ca="1" si="4"/>
        <v>104307.08520885935</v>
      </c>
    </row>
    <row r="7" spans="1:60" ht="17.100000000000001" customHeight="1">
      <c r="B7" s="800"/>
      <c r="C7" s="822" t="s">
        <v>1104</v>
      </c>
      <c r="D7" s="823"/>
      <c r="E7" s="824"/>
      <c r="F7" s="825"/>
      <c r="G7" s="897"/>
      <c r="H7" s="826"/>
      <c r="I7" s="826"/>
      <c r="J7" s="826"/>
      <c r="K7" s="826"/>
      <c r="L7" s="826"/>
      <c r="M7" s="826"/>
      <c r="N7" s="826"/>
      <c r="O7" s="827">
        <f>Index!I22</f>
        <v>0.03</v>
      </c>
      <c r="P7" s="827">
        <f>Index!J22</f>
        <v>1.6592254323830824E-2</v>
      </c>
      <c r="Q7" s="827">
        <f t="shared" ref="Q7:T7" si="5">Q6/P6-1</f>
        <v>1.0685708497923718E-2</v>
      </c>
      <c r="R7" s="827">
        <f t="shared" si="5"/>
        <v>5.3732190877052277E-2</v>
      </c>
      <c r="S7" s="827">
        <f t="shared" si="5"/>
        <v>2.1514454742992628E-2</v>
      </c>
      <c r="T7" s="828">
        <f t="shared" si="5"/>
        <v>3.721379959997817E-2</v>
      </c>
      <c r="U7" s="828">
        <f>U6/T6-1</f>
        <v>6.7986228632201495E-2</v>
      </c>
      <c r="V7" s="828">
        <f>V6/U6-1</f>
        <v>2.7400000000000091E-2</v>
      </c>
      <c r="W7" s="828">
        <f>W6/V6-1</f>
        <v>2.7400000000000091E-2</v>
      </c>
      <c r="X7" s="828">
        <v>0</v>
      </c>
      <c r="Y7" s="828">
        <v>0</v>
      </c>
      <c r="Z7" s="828">
        <f ca="1">Index!T22</f>
        <v>3.0000000000000027E-2</v>
      </c>
      <c r="AA7" s="828">
        <f ca="1">Index!U22</f>
        <v>0</v>
      </c>
      <c r="AB7" s="828">
        <f ca="1">Index!V22</f>
        <v>0</v>
      </c>
      <c r="AC7" s="828">
        <f ca="1">Index!W22</f>
        <v>3.0000000000000027E-2</v>
      </c>
      <c r="AD7" s="828">
        <f ca="1">Index!X22</f>
        <v>0</v>
      </c>
      <c r="AE7" s="828">
        <f ca="1">Index!Y22</f>
        <v>0</v>
      </c>
      <c r="AF7" s="828">
        <f ca="1">Index!Z22</f>
        <v>3.0000000000000027E-2</v>
      </c>
      <c r="AG7" s="828">
        <f ca="1">Index!AA22</f>
        <v>0</v>
      </c>
      <c r="AH7" s="828">
        <f ca="1">Index!AB22</f>
        <v>0</v>
      </c>
      <c r="AI7" s="828">
        <f ca="1">Index!AC22</f>
        <v>3.0000000000000027E-2</v>
      </c>
      <c r="AJ7" s="828">
        <f ca="1">Index!AD22</f>
        <v>0</v>
      </c>
      <c r="AK7" s="828">
        <f ca="1">Index!AE22</f>
        <v>0</v>
      </c>
      <c r="AL7" s="828">
        <f ca="1">Index!AF22</f>
        <v>3.0000000000000027E-2</v>
      </c>
      <c r="AM7" s="828">
        <f ca="1">Index!AG22</f>
        <v>0</v>
      </c>
      <c r="AN7" s="828">
        <f ca="1">Index!AH22</f>
        <v>0</v>
      </c>
      <c r="AO7" s="828">
        <f ca="1">Index!AI22</f>
        <v>3.0000000000000027E-2</v>
      </c>
      <c r="AP7" s="828">
        <f ca="1">Index!AJ22</f>
        <v>0</v>
      </c>
      <c r="AQ7" s="828">
        <f ca="1">Index!AK22</f>
        <v>0</v>
      </c>
      <c r="AR7" s="828">
        <f ca="1">Index!AL22</f>
        <v>3.0000000000000027E-2</v>
      </c>
      <c r="AS7" s="828">
        <f ca="1">Index!AM22</f>
        <v>0</v>
      </c>
      <c r="AT7" s="828">
        <f ca="1">Index!AN22</f>
        <v>0</v>
      </c>
      <c r="AU7" s="828">
        <f ca="1">Index!AO22</f>
        <v>3.0000000000000027E-2</v>
      </c>
      <c r="AV7" s="828">
        <f ca="1">Index!AP22</f>
        <v>0</v>
      </c>
      <c r="AW7" s="828">
        <f ca="1">Index!AQ22</f>
        <v>0</v>
      </c>
      <c r="AX7" s="828">
        <f ca="1">Index!AR22</f>
        <v>3.0000000000000027E-2</v>
      </c>
      <c r="AY7" s="828">
        <f ca="1">Index!AS22</f>
        <v>0</v>
      </c>
      <c r="AZ7" s="828">
        <f ca="1">Index!AT22</f>
        <v>0</v>
      </c>
      <c r="BA7" s="828">
        <f ca="1">Index!AU22</f>
        <v>3.0000000000000027E-2</v>
      </c>
      <c r="BB7" s="828">
        <f ca="1">Index!AV22</f>
        <v>0</v>
      </c>
      <c r="BC7" s="828">
        <f ca="1">Index!AW22</f>
        <v>0</v>
      </c>
      <c r="BD7" s="828">
        <f ca="1">Index!AX22</f>
        <v>3.0000000000000027E-2</v>
      </c>
      <c r="BE7" s="828">
        <f ca="1">Index!AY22</f>
        <v>0</v>
      </c>
      <c r="BF7" s="828">
        <f ca="1">Index!AZ22</f>
        <v>0</v>
      </c>
    </row>
    <row r="8" spans="1:60" ht="17.100000000000001" customHeight="1">
      <c r="B8" s="800"/>
      <c r="C8" s="829" t="s">
        <v>1105</v>
      </c>
      <c r="D8" s="830"/>
      <c r="E8" s="831"/>
      <c r="F8" s="832"/>
      <c r="G8" s="897"/>
      <c r="H8" s="833"/>
      <c r="I8" s="833"/>
      <c r="J8" s="833"/>
      <c r="K8" s="833"/>
      <c r="L8" s="833"/>
      <c r="M8" s="833"/>
      <c r="N8" s="833"/>
      <c r="O8" s="834">
        <v>0.5</v>
      </c>
      <c r="P8" s="834">
        <v>1</v>
      </c>
      <c r="Q8" s="834">
        <v>1</v>
      </c>
      <c r="R8" s="834">
        <v>1</v>
      </c>
      <c r="S8" s="834">
        <v>1</v>
      </c>
      <c r="T8" s="835">
        <v>1</v>
      </c>
      <c r="U8" s="835">
        <v>1</v>
      </c>
      <c r="V8" s="835">
        <v>1</v>
      </c>
      <c r="W8" s="835">
        <v>1</v>
      </c>
      <c r="X8" s="835">
        <v>1</v>
      </c>
      <c r="Y8" s="835">
        <v>1</v>
      </c>
      <c r="Z8" s="835">
        <v>1</v>
      </c>
      <c r="AA8" s="835">
        <v>1</v>
      </c>
      <c r="AB8" s="835">
        <v>1</v>
      </c>
      <c r="AC8" s="835">
        <v>1</v>
      </c>
      <c r="AD8" s="835">
        <v>1</v>
      </c>
      <c r="AE8" s="835">
        <v>1</v>
      </c>
      <c r="AF8" s="835">
        <v>1</v>
      </c>
      <c r="AG8" s="835">
        <v>1</v>
      </c>
      <c r="AH8" s="835">
        <v>1</v>
      </c>
      <c r="AI8" s="835">
        <v>1</v>
      </c>
      <c r="AJ8" s="835">
        <v>1</v>
      </c>
      <c r="AK8" s="835">
        <v>1</v>
      </c>
      <c r="AL8" s="835">
        <v>1</v>
      </c>
      <c r="AM8" s="835">
        <v>1</v>
      </c>
      <c r="AN8" s="835">
        <v>1</v>
      </c>
      <c r="AO8" s="835">
        <v>1</v>
      </c>
      <c r="AP8" s="835">
        <v>1</v>
      </c>
      <c r="AQ8" s="835">
        <v>1</v>
      </c>
      <c r="AR8" s="835">
        <v>1</v>
      </c>
      <c r="AS8" s="835">
        <v>1</v>
      </c>
      <c r="AT8" s="835">
        <v>1</v>
      </c>
      <c r="AU8" s="835">
        <v>1</v>
      </c>
      <c r="AV8" s="835">
        <v>1</v>
      </c>
      <c r="AW8" s="835">
        <v>1</v>
      </c>
      <c r="AX8" s="835">
        <v>1</v>
      </c>
      <c r="AY8" s="835">
        <v>1</v>
      </c>
      <c r="AZ8" s="835">
        <v>1</v>
      </c>
      <c r="BA8" s="835">
        <v>1</v>
      </c>
      <c r="BB8" s="835">
        <v>1</v>
      </c>
      <c r="BC8" s="835">
        <v>1</v>
      </c>
      <c r="BD8" s="835">
        <v>1</v>
      </c>
      <c r="BE8" s="835">
        <v>1</v>
      </c>
      <c r="BF8" s="835">
        <v>1</v>
      </c>
    </row>
    <row r="9" spans="1:60" ht="17.100000000000001" customHeight="1">
      <c r="B9" s="793"/>
      <c r="C9" s="836" t="s">
        <v>1106</v>
      </c>
      <c r="D9" s="837"/>
      <c r="E9" s="837"/>
      <c r="F9" s="838"/>
      <c r="G9" s="897"/>
      <c r="H9" s="839">
        <f t="shared" ref="H9:BF9" si="6">SUM(H10,H13,H14,H20,H15,H16)</f>
        <v>3486.4975079999999</v>
      </c>
      <c r="I9" s="839">
        <f t="shared" si="6"/>
        <v>10977.870141000001</v>
      </c>
      <c r="J9" s="839">
        <f t="shared" si="6"/>
        <v>14240.367364</v>
      </c>
      <c r="K9" s="839">
        <f t="shared" si="6"/>
        <v>14567.393367999997</v>
      </c>
      <c r="L9" s="839">
        <f t="shared" si="6"/>
        <v>14675.078661000001</v>
      </c>
      <c r="M9" s="839">
        <f t="shared" si="6"/>
        <v>14435.569549000002</v>
      </c>
      <c r="N9" s="839">
        <f t="shared" si="6"/>
        <v>24543.196091999998</v>
      </c>
      <c r="O9" s="839">
        <f t="shared" si="6"/>
        <v>27314.491725000003</v>
      </c>
      <c r="P9" s="839">
        <f t="shared" si="6"/>
        <v>27864.730719000003</v>
      </c>
      <c r="Q9" s="839">
        <f t="shared" si="6"/>
        <v>29360.741789600001</v>
      </c>
      <c r="R9" s="839">
        <f t="shared" si="6"/>
        <v>24076.403345400002</v>
      </c>
      <c r="S9" s="839">
        <f t="shared" si="6"/>
        <v>26597.364407000001</v>
      </c>
      <c r="T9" s="840">
        <f t="shared" si="6"/>
        <v>25059.764041999999</v>
      </c>
      <c r="U9" s="840">
        <f t="shared" si="6"/>
        <v>25600.624352692761</v>
      </c>
      <c r="V9" s="840">
        <f t="shared" ca="1" si="6"/>
        <v>26736.758668800001</v>
      </c>
      <c r="W9" s="840">
        <f t="shared" ca="1" si="6"/>
        <v>28070.83171091041</v>
      </c>
      <c r="X9" s="840">
        <f t="shared" ca="1" si="6"/>
        <v>28121.803327459209</v>
      </c>
      <c r="Y9" s="840">
        <f t="shared" ca="1" si="6"/>
        <v>28875.451036008006</v>
      </c>
      <c r="Z9" s="840">
        <f t="shared" ca="1" si="6"/>
        <v>30519.982115229512</v>
      </c>
      <c r="AA9" s="840">
        <f t="shared" ca="1" si="6"/>
        <v>31297.527169074776</v>
      </c>
      <c r="AB9" s="840">
        <f t="shared" ca="1" si="6"/>
        <v>32073.78653152004</v>
      </c>
      <c r="AC9" s="840">
        <f t="shared" ca="1" si="6"/>
        <v>33839.049883764266</v>
      </c>
      <c r="AD9" s="840">
        <f t="shared" ca="1" si="6"/>
        <v>34160.293164388517</v>
      </c>
      <c r="AE9" s="840">
        <f t="shared" ca="1" si="6"/>
        <v>34480.186469042761</v>
      </c>
      <c r="AF9" s="840">
        <f t="shared" ca="1" si="6"/>
        <v>35849.151594764131</v>
      </c>
      <c r="AG9" s="840">
        <f t="shared" ca="1" si="6"/>
        <v>36180.061623787107</v>
      </c>
      <c r="AH9" s="840">
        <f t="shared" ca="1" si="6"/>
        <v>36509.554178041581</v>
      </c>
      <c r="AI9" s="840">
        <f t="shared" ca="1" si="6"/>
        <v>37950.932717741147</v>
      </c>
      <c r="AJ9" s="840">
        <f t="shared" ca="1" si="6"/>
        <v>38291.800970113814</v>
      </c>
      <c r="AK9" s="840">
        <f t="shared" ca="1" si="6"/>
        <v>38631.180873979545</v>
      </c>
      <c r="AL9" s="840">
        <f t="shared" ca="1" si="6"/>
        <v>40148.119598057878</v>
      </c>
      <c r="AM9" s="840">
        <f t="shared" ca="1" si="6"/>
        <v>40499.246366604668</v>
      </c>
      <c r="AN9" s="840">
        <f t="shared" ca="1" si="6"/>
        <v>40848.810369219194</v>
      </c>
      <c r="AO9" s="840">
        <f t="shared" ca="1" si="6"/>
        <v>42444.581383937017</v>
      </c>
      <c r="AP9" s="840">
        <f t="shared" ca="1" si="6"/>
        <v>42806.276047573316</v>
      </c>
      <c r="AQ9" s="840">
        <f t="shared" ca="1" si="6"/>
        <v>43166.329806980728</v>
      </c>
      <c r="AR9" s="840">
        <f t="shared" ca="1" si="6"/>
        <v>44844.335327602683</v>
      </c>
      <c r="AS9" s="840">
        <f t="shared" ca="1" si="6"/>
        <v>45216.916627782819</v>
      </c>
      <c r="AT9" s="840">
        <f t="shared" ca="1" si="6"/>
        <v>45587.774978522626</v>
      </c>
      <c r="AU9" s="840">
        <f t="shared" ca="1" si="6"/>
        <v>47351.552280301556</v>
      </c>
      <c r="AV9" s="840">
        <f t="shared" ca="1" si="6"/>
        <v>47735.348605953579</v>
      </c>
      <c r="AW9" s="840">
        <f t="shared" ca="1" si="6"/>
        <v>48117.335834693265</v>
      </c>
      <c r="AX9" s="840">
        <f t="shared" ca="1" si="6"/>
        <v>49970.562388282451</v>
      </c>
      <c r="AY9" s="840">
        <f t="shared" ca="1" si="6"/>
        <v>50365.912069493854</v>
      </c>
      <c r="AZ9" s="840">
        <f t="shared" ca="1" si="6"/>
        <v>50759.362198947303</v>
      </c>
      <c r="BA9" s="840">
        <f t="shared" ca="1" si="6"/>
        <v>52705.860997073789</v>
      </c>
      <c r="BB9" s="840">
        <f t="shared" ca="1" si="6"/>
        <v>53113.112607800846</v>
      </c>
      <c r="BC9" s="840">
        <f t="shared" ca="1" si="6"/>
        <v>53518.369689182044</v>
      </c>
      <c r="BD9" s="840">
        <f t="shared" ca="1" si="6"/>
        <v>55562.11477166941</v>
      </c>
      <c r="BE9" s="840">
        <f t="shared" ca="1" si="6"/>
        <v>55981.627441751552</v>
      </c>
      <c r="BF9" s="840">
        <f t="shared" ca="1" si="6"/>
        <v>28199.522928010269</v>
      </c>
    </row>
    <row r="10" spans="1:60" ht="17.100000000000001" customHeight="1">
      <c r="B10" s="793"/>
      <c r="C10" s="841" t="s">
        <v>1107</v>
      </c>
      <c r="D10" s="842"/>
      <c r="E10" s="842"/>
      <c r="F10" s="843"/>
      <c r="G10" s="897"/>
      <c r="H10" s="844">
        <f t="shared" ref="H10:BF10" si="7">H11+H12</f>
        <v>3363.5141600000002</v>
      </c>
      <c r="I10" s="844">
        <f t="shared" si="7"/>
        <v>10410.905105</v>
      </c>
      <c r="J10" s="844">
        <f t="shared" si="7"/>
        <v>13137.328234999999</v>
      </c>
      <c r="K10" s="844">
        <f t="shared" si="7"/>
        <v>13489.893559999999</v>
      </c>
      <c r="L10" s="844">
        <f t="shared" si="7"/>
        <v>13656.492962</v>
      </c>
      <c r="M10" s="844">
        <f t="shared" si="7"/>
        <v>13503.211101000001</v>
      </c>
      <c r="N10" s="844">
        <f t="shared" si="7"/>
        <v>13827.581894999999</v>
      </c>
      <c r="O10" s="844">
        <f t="shared" si="7"/>
        <v>17324.312785000002</v>
      </c>
      <c r="P10" s="844">
        <f t="shared" si="7"/>
        <v>18197</v>
      </c>
      <c r="Q10" s="844">
        <f t="shared" si="7"/>
        <v>18136.803079600002</v>
      </c>
      <c r="R10" s="844">
        <f t="shared" si="7"/>
        <v>20193.458812000001</v>
      </c>
      <c r="S10" s="844">
        <f t="shared" si="7"/>
        <v>22867.222892000002</v>
      </c>
      <c r="T10" s="845">
        <f t="shared" si="7"/>
        <v>21458.159648999997</v>
      </c>
      <c r="U10" s="845">
        <f t="shared" si="7"/>
        <v>22043.318867892762</v>
      </c>
      <c r="V10" s="845">
        <f t="shared" ca="1" si="7"/>
        <v>23470.089984000002</v>
      </c>
      <c r="W10" s="845">
        <f t="shared" ca="1" si="7"/>
        <v>24866.707026110409</v>
      </c>
      <c r="X10" s="845">
        <f t="shared" ca="1" si="7"/>
        <v>25620.243602659208</v>
      </c>
      <c r="Y10" s="845">
        <f t="shared" ca="1" si="7"/>
        <v>26373.780179208006</v>
      </c>
      <c r="Z10" s="845">
        <f t="shared" ca="1" si="7"/>
        <v>27941.136258429513</v>
      </c>
      <c r="AA10" s="845">
        <f t="shared" ca="1" si="7"/>
        <v>28717.278932274778</v>
      </c>
      <c r="AB10" s="845">
        <f t="shared" ca="1" si="7"/>
        <v>29493.421606120042</v>
      </c>
      <c r="AC10" s="845">
        <f t="shared" ca="1" si="7"/>
        <v>31177.651208364266</v>
      </c>
      <c r="AD10" s="845">
        <f t="shared" ca="1" si="7"/>
        <v>31497.421989988514</v>
      </c>
      <c r="AE10" s="845">
        <f t="shared" ca="1" si="7"/>
        <v>31817.192771612765</v>
      </c>
      <c r="AF10" s="845">
        <f t="shared" ca="1" si="7"/>
        <v>33101.072459834126</v>
      </c>
      <c r="AG10" s="845">
        <f t="shared" ca="1" si="7"/>
        <v>33430.436364907102</v>
      </c>
      <c r="AH10" s="845">
        <f t="shared" ca="1" si="7"/>
        <v>33759.800269980078</v>
      </c>
      <c r="AI10" s="845">
        <f t="shared" ca="1" si="7"/>
        <v>35111.839100304649</v>
      </c>
      <c r="AJ10" s="845">
        <f t="shared" ca="1" si="7"/>
        <v>35451.083922529819</v>
      </c>
      <c r="AK10" s="845">
        <f t="shared" ca="1" si="7"/>
        <v>35790.328744754974</v>
      </c>
      <c r="AL10" s="845">
        <f t="shared" ca="1" si="7"/>
        <v>37213.460773989551</v>
      </c>
      <c r="AM10" s="845">
        <f t="shared" ca="1" si="7"/>
        <v>37562.882940881471</v>
      </c>
      <c r="AN10" s="845">
        <f t="shared" ca="1" si="7"/>
        <v>37912.305107773391</v>
      </c>
      <c r="AO10" s="845">
        <f t="shared" ca="1" si="7"/>
        <v>39409.579092905275</v>
      </c>
      <c r="AP10" s="845">
        <f t="shared" ca="1" si="7"/>
        <v>39769.483924803957</v>
      </c>
      <c r="AQ10" s="845">
        <f t="shared" ca="1" si="7"/>
        <v>40129.38875670264</v>
      </c>
      <c r="AR10" s="845">
        <f t="shared" ca="1" si="7"/>
        <v>41703.972396259356</v>
      </c>
      <c r="AS10" s="845">
        <f t="shared" ca="1" si="7"/>
        <v>42074.674373114991</v>
      </c>
      <c r="AT10" s="845">
        <f t="shared" ca="1" si="7"/>
        <v>42445.376349970626</v>
      </c>
      <c r="AU10" s="845">
        <f t="shared" ca="1" si="7"/>
        <v>44100.560676631059</v>
      </c>
      <c r="AV10" s="845">
        <f t="shared" ca="1" si="7"/>
        <v>44482.383712792362</v>
      </c>
      <c r="AW10" s="845">
        <f t="shared" ca="1" si="7"/>
        <v>44864.206748953664</v>
      </c>
      <c r="AX10" s="845">
        <f t="shared" ca="1" si="7"/>
        <v>46603.410678668428</v>
      </c>
      <c r="AY10" s="845">
        <f t="shared" ca="1" si="7"/>
        <v>46996.688405914574</v>
      </c>
      <c r="AZ10" s="845">
        <f t="shared" ca="1" si="7"/>
        <v>47389.96613316072</v>
      </c>
      <c r="BA10" s="845">
        <f t="shared" ca="1" si="7"/>
        <v>49216.741176219068</v>
      </c>
      <c r="BB10" s="845">
        <f t="shared" ca="1" si="7"/>
        <v>49621.8172352826</v>
      </c>
      <c r="BC10" s="845">
        <f t="shared" ca="1" si="7"/>
        <v>50026.89329434614</v>
      </c>
      <c r="BD10" s="845">
        <f t="shared" ca="1" si="7"/>
        <v>51944.928434011956</v>
      </c>
      <c r="BE10" s="845">
        <f t="shared" ca="1" si="7"/>
        <v>52362.156774847397</v>
      </c>
      <c r="BF10" s="845">
        <f t="shared" ca="1" si="7"/>
        <v>26389.692557841416</v>
      </c>
    </row>
    <row r="11" spans="1:60" ht="17.100000000000001" customHeight="1">
      <c r="B11" s="793"/>
      <c r="C11" s="846"/>
      <c r="D11" s="793" t="s">
        <v>1108</v>
      </c>
      <c r="E11" s="793"/>
      <c r="F11" s="847"/>
      <c r="G11" s="897"/>
      <c r="H11" s="848">
        <v>3283.31086</v>
      </c>
      <c r="I11" s="848">
        <v>10141.310555</v>
      </c>
      <c r="J11" s="848">
        <v>12726.983894999999</v>
      </c>
      <c r="K11" s="848">
        <v>13031.127909999999</v>
      </c>
      <c r="L11" s="848">
        <v>13210.17333</v>
      </c>
      <c r="M11" s="848">
        <v>13063.14588</v>
      </c>
      <c r="N11" s="848">
        <v>13382.518099999999</v>
      </c>
      <c r="O11" s="848">
        <v>16443.224405000001</v>
      </c>
      <c r="P11" s="849">
        <v>18197</v>
      </c>
      <c r="Q11" s="849">
        <v>18136.803079600002</v>
      </c>
      <c r="R11" s="849">
        <v>18668.362212</v>
      </c>
      <c r="S11" s="849">
        <f>SUM(L36:O36)*100</f>
        <v>21344.696992000001</v>
      </c>
      <c r="T11" s="850">
        <f>SUM(P36:S36)*100</f>
        <v>19801.882571999999</v>
      </c>
      <c r="U11" s="850">
        <f>SUM(T36:W36)*100</f>
        <v>20601.119062033122</v>
      </c>
      <c r="V11" s="851">
        <f t="shared" ref="V11:BE11" ca="1" si="8">V5*V6/10^6</f>
        <v>23470.089984000002</v>
      </c>
      <c r="W11" s="851">
        <f t="shared" ca="1" si="8"/>
        <v>24866.707026110409</v>
      </c>
      <c r="X11" s="851">
        <f t="shared" ca="1" si="8"/>
        <v>25620.243602659208</v>
      </c>
      <c r="Y11" s="851">
        <f t="shared" ca="1" si="8"/>
        <v>26373.780179208006</v>
      </c>
      <c r="Z11" s="851">
        <f t="shared" ca="1" si="8"/>
        <v>27941.136258429513</v>
      </c>
      <c r="AA11" s="851">
        <f t="shared" ca="1" si="8"/>
        <v>28717.278932274778</v>
      </c>
      <c r="AB11" s="851">
        <f t="shared" ca="1" si="8"/>
        <v>29493.421606120042</v>
      </c>
      <c r="AC11" s="851">
        <f t="shared" ca="1" si="8"/>
        <v>31177.651208364266</v>
      </c>
      <c r="AD11" s="851">
        <f t="shared" ca="1" si="8"/>
        <v>31497.421989988514</v>
      </c>
      <c r="AE11" s="851">
        <f t="shared" ca="1" si="8"/>
        <v>31817.192771612765</v>
      </c>
      <c r="AF11" s="851">
        <f t="shared" ca="1" si="8"/>
        <v>33101.072459834126</v>
      </c>
      <c r="AG11" s="851">
        <f t="shared" ca="1" si="8"/>
        <v>33430.436364907102</v>
      </c>
      <c r="AH11" s="851">
        <f t="shared" ca="1" si="8"/>
        <v>33759.800269980078</v>
      </c>
      <c r="AI11" s="851">
        <f t="shared" ca="1" si="8"/>
        <v>35111.839100304649</v>
      </c>
      <c r="AJ11" s="851">
        <f t="shared" ca="1" si="8"/>
        <v>35451.083922529819</v>
      </c>
      <c r="AK11" s="851">
        <f t="shared" ca="1" si="8"/>
        <v>35790.328744754974</v>
      </c>
      <c r="AL11" s="851">
        <f t="shared" ca="1" si="8"/>
        <v>37213.460773989551</v>
      </c>
      <c r="AM11" s="851">
        <f t="shared" ca="1" si="8"/>
        <v>37562.882940881471</v>
      </c>
      <c r="AN11" s="851">
        <f t="shared" ca="1" si="8"/>
        <v>37912.305107773391</v>
      </c>
      <c r="AO11" s="851">
        <f t="shared" ca="1" si="8"/>
        <v>39409.579092905275</v>
      </c>
      <c r="AP11" s="851">
        <f t="shared" ca="1" si="8"/>
        <v>39769.483924803957</v>
      </c>
      <c r="AQ11" s="851">
        <f t="shared" ca="1" si="8"/>
        <v>40129.38875670264</v>
      </c>
      <c r="AR11" s="851">
        <f t="shared" ca="1" si="8"/>
        <v>41703.972396259356</v>
      </c>
      <c r="AS11" s="851">
        <f t="shared" ca="1" si="8"/>
        <v>42074.674373114991</v>
      </c>
      <c r="AT11" s="851">
        <f t="shared" ca="1" si="8"/>
        <v>42445.376349970626</v>
      </c>
      <c r="AU11" s="851">
        <f t="shared" ca="1" si="8"/>
        <v>44100.560676631059</v>
      </c>
      <c r="AV11" s="851">
        <f t="shared" ca="1" si="8"/>
        <v>44482.383712792362</v>
      </c>
      <c r="AW11" s="851">
        <f t="shared" ca="1" si="8"/>
        <v>44864.206748953664</v>
      </c>
      <c r="AX11" s="851">
        <f t="shared" ca="1" si="8"/>
        <v>46603.410678668428</v>
      </c>
      <c r="AY11" s="851">
        <f t="shared" ca="1" si="8"/>
        <v>46996.688405914574</v>
      </c>
      <c r="AZ11" s="851">
        <f t="shared" ca="1" si="8"/>
        <v>47389.96613316072</v>
      </c>
      <c r="BA11" s="851">
        <f t="shared" ca="1" si="8"/>
        <v>49216.741176219068</v>
      </c>
      <c r="BB11" s="851">
        <f t="shared" ca="1" si="8"/>
        <v>49621.8172352826</v>
      </c>
      <c r="BC11" s="851">
        <f t="shared" ca="1" si="8"/>
        <v>50026.89329434614</v>
      </c>
      <c r="BD11" s="851">
        <f t="shared" ca="1" si="8"/>
        <v>51944.928434011956</v>
      </c>
      <c r="BE11" s="851">
        <f t="shared" ca="1" si="8"/>
        <v>52362.156774847397</v>
      </c>
      <c r="BF11" s="852">
        <f ca="1">BF5*BF6/10^6/2</f>
        <v>26389.692557841416</v>
      </c>
    </row>
    <row r="12" spans="1:60" ht="17.100000000000001" customHeight="1">
      <c r="B12" s="793"/>
      <c r="C12" s="846"/>
      <c r="D12" s="793" t="s">
        <v>1109</v>
      </c>
      <c r="E12" s="793"/>
      <c r="F12" s="847"/>
      <c r="G12" s="897"/>
      <c r="H12" s="848">
        <v>80.203299999999999</v>
      </c>
      <c r="I12" s="848">
        <v>269.59455000000003</v>
      </c>
      <c r="J12" s="848">
        <v>410.34433999999999</v>
      </c>
      <c r="K12" s="848">
        <v>458.76564999999999</v>
      </c>
      <c r="L12" s="848">
        <v>446.31963200000001</v>
      </c>
      <c r="M12" s="848">
        <v>440.06522100000001</v>
      </c>
      <c r="N12" s="848">
        <v>445.06379500000003</v>
      </c>
      <c r="O12" s="848">
        <v>881.08837999999992</v>
      </c>
      <c r="P12" s="849"/>
      <c r="Q12" s="853"/>
      <c r="R12" s="849">
        <v>1525.0966000000001</v>
      </c>
      <c r="S12" s="849">
        <f>SUM(L37:O37)*100</f>
        <v>1522.5259000000001</v>
      </c>
      <c r="T12" s="850">
        <f>SUM(P37:S37)*100</f>
        <v>1656.277077</v>
      </c>
      <c r="U12" s="850">
        <f>SUM(T37:W37)*100</f>
        <v>1442.1998058596389</v>
      </c>
      <c r="V12" s="851"/>
      <c r="W12" s="851"/>
      <c r="X12" s="851"/>
      <c r="Y12" s="851"/>
      <c r="Z12" s="851"/>
      <c r="AA12" s="851"/>
      <c r="AB12" s="851"/>
      <c r="AC12" s="851"/>
      <c r="AD12" s="851"/>
      <c r="AE12" s="851"/>
      <c r="AF12" s="851"/>
      <c r="AG12" s="851"/>
      <c r="AH12" s="851"/>
      <c r="AI12" s="851"/>
      <c r="AJ12" s="851"/>
      <c r="AK12" s="851"/>
      <c r="AL12" s="851"/>
      <c r="AM12" s="851"/>
      <c r="AN12" s="851"/>
      <c r="AO12" s="851"/>
      <c r="AP12" s="851"/>
      <c r="AQ12" s="851"/>
      <c r="AR12" s="851"/>
      <c r="AS12" s="851"/>
      <c r="AT12" s="851"/>
      <c r="AU12" s="851"/>
      <c r="AV12" s="851"/>
      <c r="AW12" s="851"/>
      <c r="AX12" s="851"/>
      <c r="AY12" s="851"/>
      <c r="AZ12" s="851"/>
      <c r="BA12" s="851"/>
      <c r="BB12" s="851"/>
      <c r="BC12" s="851"/>
      <c r="BD12" s="851"/>
      <c r="BE12" s="851"/>
      <c r="BF12" s="851"/>
    </row>
    <row r="13" spans="1:60" ht="17.100000000000001" customHeight="1">
      <c r="B13" s="793"/>
      <c r="C13" s="854" t="s">
        <v>1110</v>
      </c>
      <c r="D13" s="855"/>
      <c r="E13" s="855"/>
      <c r="F13" s="856"/>
      <c r="G13" s="897"/>
      <c r="H13" s="857">
        <v>0</v>
      </c>
      <c r="I13" s="857">
        <v>0</v>
      </c>
      <c r="J13" s="857">
        <v>0</v>
      </c>
      <c r="K13" s="857">
        <v>0</v>
      </c>
      <c r="L13" s="857">
        <v>0</v>
      </c>
      <c r="M13" s="857">
        <v>155.65552</v>
      </c>
      <c r="N13" s="857">
        <v>184.63032999999999</v>
      </c>
      <c r="O13" s="857">
        <v>383.20357000000001</v>
      </c>
      <c r="P13" s="857">
        <v>700</v>
      </c>
      <c r="Q13" s="857">
        <v>871.17016999999998</v>
      </c>
      <c r="R13" s="857">
        <v>947.73433999999997</v>
      </c>
      <c r="S13" s="857">
        <f>SUM(L38:O38)*100</f>
        <v>1036.13796</v>
      </c>
      <c r="T13" s="858">
        <f>SUM(P38:S38)*100</f>
        <v>846.53314399999999</v>
      </c>
      <c r="U13" s="858">
        <f>SUM(T38:W38)*100</f>
        <v>833.78948479999997</v>
      </c>
      <c r="V13" s="859">
        <f t="shared" ref="V13:BE13" si="9">U13</f>
        <v>833.78948479999997</v>
      </c>
      <c r="W13" s="859">
        <f t="shared" si="9"/>
        <v>833.78948479999997</v>
      </c>
      <c r="X13" s="859">
        <f t="shared" si="9"/>
        <v>833.78948479999997</v>
      </c>
      <c r="Y13" s="859">
        <f t="shared" si="9"/>
        <v>833.78948479999997</v>
      </c>
      <c r="Z13" s="859">
        <f t="shared" si="9"/>
        <v>833.78948479999997</v>
      </c>
      <c r="AA13" s="859">
        <f t="shared" si="9"/>
        <v>833.78948479999997</v>
      </c>
      <c r="AB13" s="859">
        <f t="shared" si="9"/>
        <v>833.78948479999997</v>
      </c>
      <c r="AC13" s="859">
        <f t="shared" si="9"/>
        <v>833.78948479999997</v>
      </c>
      <c r="AD13" s="859">
        <f t="shared" si="9"/>
        <v>833.78948479999997</v>
      </c>
      <c r="AE13" s="859">
        <f t="shared" si="9"/>
        <v>833.78948479999997</v>
      </c>
      <c r="AF13" s="859">
        <f t="shared" si="9"/>
        <v>833.78948479999997</v>
      </c>
      <c r="AG13" s="859">
        <f t="shared" si="9"/>
        <v>833.78948479999997</v>
      </c>
      <c r="AH13" s="859">
        <f t="shared" si="9"/>
        <v>833.78948479999997</v>
      </c>
      <c r="AI13" s="859">
        <f t="shared" si="9"/>
        <v>833.78948479999997</v>
      </c>
      <c r="AJ13" s="859">
        <f t="shared" si="9"/>
        <v>833.78948479999997</v>
      </c>
      <c r="AK13" s="859">
        <f t="shared" si="9"/>
        <v>833.78948479999997</v>
      </c>
      <c r="AL13" s="859">
        <f t="shared" si="9"/>
        <v>833.78948479999997</v>
      </c>
      <c r="AM13" s="859">
        <f t="shared" si="9"/>
        <v>833.78948479999997</v>
      </c>
      <c r="AN13" s="859">
        <f t="shared" si="9"/>
        <v>833.78948479999997</v>
      </c>
      <c r="AO13" s="859">
        <f t="shared" si="9"/>
        <v>833.78948479999997</v>
      </c>
      <c r="AP13" s="859">
        <f t="shared" si="9"/>
        <v>833.78948479999997</v>
      </c>
      <c r="AQ13" s="859">
        <f t="shared" si="9"/>
        <v>833.78948479999997</v>
      </c>
      <c r="AR13" s="859">
        <f t="shared" si="9"/>
        <v>833.78948479999997</v>
      </c>
      <c r="AS13" s="859">
        <f t="shared" si="9"/>
        <v>833.78948479999997</v>
      </c>
      <c r="AT13" s="859">
        <f t="shared" si="9"/>
        <v>833.78948479999997</v>
      </c>
      <c r="AU13" s="859">
        <f t="shared" si="9"/>
        <v>833.78948479999997</v>
      </c>
      <c r="AV13" s="859">
        <f t="shared" si="9"/>
        <v>833.78948479999997</v>
      </c>
      <c r="AW13" s="859">
        <f t="shared" si="9"/>
        <v>833.78948479999997</v>
      </c>
      <c r="AX13" s="859">
        <f t="shared" si="9"/>
        <v>833.78948479999997</v>
      </c>
      <c r="AY13" s="859">
        <f t="shared" si="9"/>
        <v>833.78948479999997</v>
      </c>
      <c r="AZ13" s="859">
        <f t="shared" si="9"/>
        <v>833.78948479999997</v>
      </c>
      <c r="BA13" s="859">
        <f t="shared" si="9"/>
        <v>833.78948479999997</v>
      </c>
      <c r="BB13" s="859">
        <f t="shared" si="9"/>
        <v>833.78948479999997</v>
      </c>
      <c r="BC13" s="859">
        <f t="shared" si="9"/>
        <v>833.78948479999997</v>
      </c>
      <c r="BD13" s="859">
        <f t="shared" si="9"/>
        <v>833.78948479999997</v>
      </c>
      <c r="BE13" s="859">
        <f t="shared" si="9"/>
        <v>833.78948479999997</v>
      </c>
      <c r="BF13" s="860">
        <f>BE13/2</f>
        <v>416.89474239999998</v>
      </c>
    </row>
    <row r="14" spans="1:60" ht="17.100000000000001" customHeight="1">
      <c r="B14" s="793"/>
      <c r="C14" s="846" t="s">
        <v>1111</v>
      </c>
      <c r="D14" s="793"/>
      <c r="E14" s="793"/>
      <c r="F14" s="861">
        <v>0</v>
      </c>
      <c r="G14" s="897"/>
      <c r="H14" s="849">
        <v>22.921517999999999</v>
      </c>
      <c r="I14" s="849">
        <v>73.819680000000005</v>
      </c>
      <c r="J14" s="849">
        <v>274.07787200000001</v>
      </c>
      <c r="K14" s="849">
        <v>247.66828000000001</v>
      </c>
      <c r="L14" s="849">
        <v>195.788028</v>
      </c>
      <c r="M14" s="849">
        <v>58.38411</v>
      </c>
      <c r="N14" s="849">
        <v>54.232669999999999</v>
      </c>
      <c r="O14" s="849">
        <v>63.751469999999998</v>
      </c>
      <c r="P14" s="849">
        <v>34.232240999999995</v>
      </c>
      <c r="Q14" s="849">
        <v>21.540520000000001</v>
      </c>
      <c r="R14" s="849">
        <v>20.915559999999999</v>
      </c>
      <c r="S14" s="849">
        <f>SUM(L39:O39)*100</f>
        <v>41.002554999999994</v>
      </c>
      <c r="T14" s="850">
        <f>SUM(P39:S39)*100</f>
        <v>27.854049000000003</v>
      </c>
      <c r="U14" s="850">
        <f>SUM(T39:W39)*100</f>
        <v>24</v>
      </c>
      <c r="V14" s="851">
        <f t="shared" ref="V14:BE14" si="10">U14*(1+$F14)</f>
        <v>24</v>
      </c>
      <c r="W14" s="851">
        <f t="shared" si="10"/>
        <v>24</v>
      </c>
      <c r="X14" s="851">
        <f t="shared" si="10"/>
        <v>24</v>
      </c>
      <c r="Y14" s="851">
        <f t="shared" si="10"/>
        <v>24</v>
      </c>
      <c r="Z14" s="851">
        <f t="shared" si="10"/>
        <v>24</v>
      </c>
      <c r="AA14" s="851">
        <f t="shared" si="10"/>
        <v>24</v>
      </c>
      <c r="AB14" s="851">
        <f t="shared" si="10"/>
        <v>24</v>
      </c>
      <c r="AC14" s="851">
        <f t="shared" si="10"/>
        <v>24</v>
      </c>
      <c r="AD14" s="851">
        <f t="shared" si="10"/>
        <v>24</v>
      </c>
      <c r="AE14" s="851">
        <f t="shared" si="10"/>
        <v>24</v>
      </c>
      <c r="AF14" s="851">
        <f t="shared" si="10"/>
        <v>24</v>
      </c>
      <c r="AG14" s="851">
        <f t="shared" si="10"/>
        <v>24</v>
      </c>
      <c r="AH14" s="851">
        <f t="shared" si="10"/>
        <v>24</v>
      </c>
      <c r="AI14" s="851">
        <f t="shared" si="10"/>
        <v>24</v>
      </c>
      <c r="AJ14" s="851">
        <f t="shared" si="10"/>
        <v>24</v>
      </c>
      <c r="AK14" s="851">
        <f t="shared" si="10"/>
        <v>24</v>
      </c>
      <c r="AL14" s="851">
        <f t="shared" si="10"/>
        <v>24</v>
      </c>
      <c r="AM14" s="851">
        <f t="shared" si="10"/>
        <v>24</v>
      </c>
      <c r="AN14" s="851">
        <f t="shared" si="10"/>
        <v>24</v>
      </c>
      <c r="AO14" s="851">
        <f t="shared" si="10"/>
        <v>24</v>
      </c>
      <c r="AP14" s="851">
        <f t="shared" si="10"/>
        <v>24</v>
      </c>
      <c r="AQ14" s="851">
        <f t="shared" si="10"/>
        <v>24</v>
      </c>
      <c r="AR14" s="851">
        <f t="shared" si="10"/>
        <v>24</v>
      </c>
      <c r="AS14" s="851">
        <f t="shared" si="10"/>
        <v>24</v>
      </c>
      <c r="AT14" s="851">
        <f t="shared" si="10"/>
        <v>24</v>
      </c>
      <c r="AU14" s="851">
        <f t="shared" si="10"/>
        <v>24</v>
      </c>
      <c r="AV14" s="851">
        <f t="shared" si="10"/>
        <v>24</v>
      </c>
      <c r="AW14" s="851">
        <f t="shared" si="10"/>
        <v>24</v>
      </c>
      <c r="AX14" s="851">
        <f t="shared" si="10"/>
        <v>24</v>
      </c>
      <c r="AY14" s="851">
        <f t="shared" si="10"/>
        <v>24</v>
      </c>
      <c r="AZ14" s="851">
        <f t="shared" si="10"/>
        <v>24</v>
      </c>
      <c r="BA14" s="851">
        <f t="shared" si="10"/>
        <v>24</v>
      </c>
      <c r="BB14" s="851">
        <f t="shared" si="10"/>
        <v>24</v>
      </c>
      <c r="BC14" s="851">
        <f t="shared" si="10"/>
        <v>24</v>
      </c>
      <c r="BD14" s="851">
        <f t="shared" si="10"/>
        <v>24</v>
      </c>
      <c r="BE14" s="851">
        <f t="shared" si="10"/>
        <v>24</v>
      </c>
      <c r="BF14" s="852">
        <f>BE14*(1+$F14)/2</f>
        <v>12</v>
      </c>
    </row>
    <row r="15" spans="1:60" ht="17.100000000000001" customHeight="1">
      <c r="B15" s="793"/>
      <c r="C15" s="854" t="s">
        <v>1112</v>
      </c>
      <c r="D15" s="855"/>
      <c r="E15" s="862">
        <f ca="1">Sensitivity!D28*100</f>
        <v>2000</v>
      </c>
      <c r="F15" s="863">
        <v>0.7</v>
      </c>
      <c r="G15" s="897"/>
      <c r="H15" s="857">
        <v>51.472225999999999</v>
      </c>
      <c r="I15" s="857">
        <v>76.594982000000002</v>
      </c>
      <c r="J15" s="857">
        <v>84.612965000000003</v>
      </c>
      <c r="K15" s="857">
        <v>85.029754999999994</v>
      </c>
      <c r="L15" s="857">
        <v>82.617473000000004</v>
      </c>
      <c r="M15" s="857">
        <v>94.833590000000001</v>
      </c>
      <c r="N15" s="857">
        <v>1400.669926</v>
      </c>
      <c r="O15" s="857">
        <v>1378.9644800000001</v>
      </c>
      <c r="P15" s="857">
        <v>1895</v>
      </c>
      <c r="Q15" s="857">
        <v>2000</v>
      </c>
      <c r="R15" s="857">
        <v>2001.8</v>
      </c>
      <c r="S15" s="857">
        <f>SUM(L40:O40)*100</f>
        <v>2000</v>
      </c>
      <c r="T15" s="858">
        <f>SUM(P40:S40)*100</f>
        <v>2100</v>
      </c>
      <c r="U15" s="858">
        <f>SUM(T40:W40)*100</f>
        <v>2100</v>
      </c>
      <c r="V15" s="859">
        <f ca="1">$E$15*Index!P30</f>
        <v>2100</v>
      </c>
      <c r="W15" s="859">
        <f ca="1">$E$15*Index!Q30</f>
        <v>2205</v>
      </c>
      <c r="X15" s="864">
        <f ca="1">$E$15*Index!R30*$F$15</f>
        <v>1543.5</v>
      </c>
      <c r="Y15" s="859">
        <f ca="1">$E$15*Index!S30*$F$15</f>
        <v>1543.5</v>
      </c>
      <c r="Z15" s="859">
        <f ca="1">$E$15*Index!T30*$F$15</f>
        <v>1620.6750000000002</v>
      </c>
      <c r="AA15" s="859">
        <f ca="1">$E$15*Index!U30*$F$15</f>
        <v>1620.6750000000002</v>
      </c>
      <c r="AB15" s="859">
        <f ca="1">$E$15*Index!V30*$F$15</f>
        <v>1620.6750000000002</v>
      </c>
      <c r="AC15" s="859">
        <f ca="1">$E$15*Index!W30*$F$15</f>
        <v>1701.70875</v>
      </c>
      <c r="AD15" s="859">
        <f ca="1">$E$15*Index!X30*$F$15</f>
        <v>1701.70875</v>
      </c>
      <c r="AE15" s="859">
        <f ca="1">$E$15*Index!Y30*$F$15</f>
        <v>1701.70875</v>
      </c>
      <c r="AF15" s="859">
        <f ca="1">$E$15*Index!Z30*$F$15</f>
        <v>1786.7941875000004</v>
      </c>
      <c r="AG15" s="859">
        <f ca="1">$E$15*Index!AA30*$F$15</f>
        <v>1786.7941875000004</v>
      </c>
      <c r="AH15" s="859">
        <f ca="1">$E$15*Index!AB30*$F$15</f>
        <v>1786.7941875000004</v>
      </c>
      <c r="AI15" s="859">
        <f ca="1">$E$15*Index!AC30*$F$15</f>
        <v>1876.1338968750006</v>
      </c>
      <c r="AJ15" s="859">
        <f ca="1">$E$15*Index!AD30*$F$15</f>
        <v>1876.1338968750006</v>
      </c>
      <c r="AK15" s="859">
        <f ca="1">$E$15*Index!AE30*$F$15</f>
        <v>1876.1338968750006</v>
      </c>
      <c r="AL15" s="859">
        <f ca="1">$E$15*Index!AF30*$F$15</f>
        <v>1969.9405917187505</v>
      </c>
      <c r="AM15" s="859">
        <f ca="1">$E$15*Index!AG30*$F$15</f>
        <v>1969.9405917187505</v>
      </c>
      <c r="AN15" s="859">
        <f ca="1">$E$15*Index!AH30*$F$15</f>
        <v>1969.9405917187505</v>
      </c>
      <c r="AO15" s="859">
        <f ca="1">$E$15*Index!AI30*$F$15</f>
        <v>2068.437621304688</v>
      </c>
      <c r="AP15" s="859">
        <f ca="1">$E$15*Index!AJ30*$F$15</f>
        <v>2068.437621304688</v>
      </c>
      <c r="AQ15" s="859">
        <f ca="1">$E$15*Index!AK30*$F$15</f>
        <v>2068.437621304688</v>
      </c>
      <c r="AR15" s="859">
        <f ca="1">$E$15*Index!AL30*$F$15</f>
        <v>2171.8595023699227</v>
      </c>
      <c r="AS15" s="859">
        <f ca="1">$E$15*Index!AM30*$F$15</f>
        <v>2171.8595023699227</v>
      </c>
      <c r="AT15" s="859">
        <f ca="1">$E$15*Index!AN30*$F$15</f>
        <v>2171.8595023699227</v>
      </c>
      <c r="AU15" s="859">
        <f ca="1">$E$15*Index!AO30*$F$15</f>
        <v>2280.4524774884185</v>
      </c>
      <c r="AV15" s="859">
        <f ca="1">$E$15*Index!AP30*$F$15</f>
        <v>2280.4524774884185</v>
      </c>
      <c r="AW15" s="859">
        <f ca="1">$E$15*Index!AQ30*$F$15</f>
        <v>2280.4524774884185</v>
      </c>
      <c r="AX15" s="859">
        <f ca="1">$E$15*Index!AR30*$F$15</f>
        <v>2394.4751013628397</v>
      </c>
      <c r="AY15" s="859">
        <f ca="1">$E$15*Index!AS30*$F$15</f>
        <v>2394.4751013628397</v>
      </c>
      <c r="AZ15" s="859">
        <f ca="1">$E$15*Index!AT30*$F$15</f>
        <v>2394.4751013628397</v>
      </c>
      <c r="BA15" s="859">
        <f ca="1">$E$15*Index!AU30*$F$15</f>
        <v>2514.1988564309822</v>
      </c>
      <c r="BB15" s="859">
        <f ca="1">$E$15*Index!AV30*$F$15</f>
        <v>2514.1988564309822</v>
      </c>
      <c r="BC15" s="859">
        <f ca="1">$E$15*Index!AW30*$F$15</f>
        <v>2514.1988564309822</v>
      </c>
      <c r="BD15" s="859">
        <f ca="1">$E$15*Index!AX30*$F$15</f>
        <v>2639.908799252531</v>
      </c>
      <c r="BE15" s="859">
        <f ca="1">$E$15*Index!AY30*$F$15</f>
        <v>2639.908799252531</v>
      </c>
      <c r="BF15" s="860">
        <f ca="1">$E$15*Index!AZ30*$F$15/2</f>
        <v>1319.9543996262655</v>
      </c>
      <c r="BH15" s="792"/>
    </row>
    <row r="16" spans="1:60" ht="17.100000000000001" customHeight="1">
      <c r="B16" s="793"/>
      <c r="C16" s="846" t="s">
        <v>1113</v>
      </c>
      <c r="D16" s="793"/>
      <c r="E16" s="793"/>
      <c r="F16" s="865"/>
      <c r="G16" s="897"/>
      <c r="H16" s="853">
        <f t="shared" ref="H16:AM16" si="11">SUM(H17:H19)</f>
        <v>0</v>
      </c>
      <c r="I16" s="853">
        <f t="shared" si="11"/>
        <v>0</v>
      </c>
      <c r="J16" s="853">
        <f t="shared" si="11"/>
        <v>0</v>
      </c>
      <c r="K16" s="853">
        <f t="shared" si="11"/>
        <v>0</v>
      </c>
      <c r="L16" s="853">
        <f t="shared" si="11"/>
        <v>0</v>
      </c>
      <c r="M16" s="853">
        <f t="shared" si="11"/>
        <v>0</v>
      </c>
      <c r="N16" s="849">
        <f t="shared" si="11"/>
        <v>8286.2272329999996</v>
      </c>
      <c r="O16" s="849">
        <f t="shared" si="11"/>
        <v>7476.2028490000002</v>
      </c>
      <c r="P16" s="849">
        <f t="shared" si="11"/>
        <v>6027.5699180000001</v>
      </c>
      <c r="Q16" s="849">
        <f t="shared" si="11"/>
        <v>7205</v>
      </c>
      <c r="R16" s="849">
        <f t="shared" si="11"/>
        <v>28.570433399999999</v>
      </c>
      <c r="S16" s="849">
        <f t="shared" si="11"/>
        <v>12.2546</v>
      </c>
      <c r="T16" s="866">
        <f t="shared" si="11"/>
        <v>0</v>
      </c>
      <c r="U16" s="866">
        <f t="shared" si="11"/>
        <v>0</v>
      </c>
      <c r="V16" s="851">
        <f t="shared" si="11"/>
        <v>0</v>
      </c>
      <c r="W16" s="851">
        <f t="shared" si="11"/>
        <v>0</v>
      </c>
      <c r="X16" s="851">
        <f t="shared" si="11"/>
        <v>0</v>
      </c>
      <c r="Y16" s="851">
        <f t="shared" si="11"/>
        <v>0</v>
      </c>
      <c r="Z16" s="851">
        <f t="shared" si="11"/>
        <v>0</v>
      </c>
      <c r="AA16" s="851">
        <f t="shared" si="11"/>
        <v>0</v>
      </c>
      <c r="AB16" s="851">
        <f t="shared" si="11"/>
        <v>0</v>
      </c>
      <c r="AC16" s="851">
        <f t="shared" si="11"/>
        <v>0</v>
      </c>
      <c r="AD16" s="851">
        <f t="shared" si="11"/>
        <v>0</v>
      </c>
      <c r="AE16" s="851">
        <f t="shared" si="11"/>
        <v>0</v>
      </c>
      <c r="AF16" s="851">
        <f t="shared" si="11"/>
        <v>0</v>
      </c>
      <c r="AG16" s="851">
        <f t="shared" si="11"/>
        <v>0</v>
      </c>
      <c r="AH16" s="851">
        <f t="shared" si="11"/>
        <v>0</v>
      </c>
      <c r="AI16" s="851">
        <f t="shared" si="11"/>
        <v>0</v>
      </c>
      <c r="AJ16" s="851">
        <f t="shared" si="11"/>
        <v>0</v>
      </c>
      <c r="AK16" s="851">
        <f t="shared" si="11"/>
        <v>0</v>
      </c>
      <c r="AL16" s="851">
        <f t="shared" si="11"/>
        <v>0</v>
      </c>
      <c r="AM16" s="851">
        <f t="shared" si="11"/>
        <v>0</v>
      </c>
      <c r="AN16" s="851">
        <f t="shared" ref="AN16:BF16" si="12">SUM(AN17:AN19)</f>
        <v>0</v>
      </c>
      <c r="AO16" s="851">
        <f t="shared" si="12"/>
        <v>0</v>
      </c>
      <c r="AP16" s="851">
        <f t="shared" si="12"/>
        <v>0</v>
      </c>
      <c r="AQ16" s="851">
        <f t="shared" si="12"/>
        <v>0</v>
      </c>
      <c r="AR16" s="851">
        <f t="shared" si="12"/>
        <v>0</v>
      </c>
      <c r="AS16" s="851">
        <f t="shared" si="12"/>
        <v>0</v>
      </c>
      <c r="AT16" s="851">
        <f t="shared" si="12"/>
        <v>0</v>
      </c>
      <c r="AU16" s="851">
        <f t="shared" si="12"/>
        <v>0</v>
      </c>
      <c r="AV16" s="851">
        <f t="shared" si="12"/>
        <v>0</v>
      </c>
      <c r="AW16" s="851">
        <f t="shared" si="12"/>
        <v>0</v>
      </c>
      <c r="AX16" s="851">
        <f t="shared" si="12"/>
        <v>0</v>
      </c>
      <c r="AY16" s="851">
        <f t="shared" si="12"/>
        <v>0</v>
      </c>
      <c r="AZ16" s="851">
        <f t="shared" si="12"/>
        <v>0</v>
      </c>
      <c r="BA16" s="851">
        <f t="shared" si="12"/>
        <v>0</v>
      </c>
      <c r="BB16" s="851">
        <f t="shared" si="12"/>
        <v>0</v>
      </c>
      <c r="BC16" s="851">
        <f t="shared" si="12"/>
        <v>0</v>
      </c>
      <c r="BD16" s="851">
        <f t="shared" si="12"/>
        <v>0</v>
      </c>
      <c r="BE16" s="851">
        <f t="shared" si="12"/>
        <v>0</v>
      </c>
      <c r="BF16" s="851">
        <f t="shared" si="12"/>
        <v>0</v>
      </c>
    </row>
    <row r="17" spans="2:188" ht="17.100000000000001" customHeight="1">
      <c r="B17" s="793"/>
      <c r="C17" s="867"/>
      <c r="D17" s="868" t="s">
        <v>1114</v>
      </c>
      <c r="E17" s="868"/>
      <c r="F17" s="869"/>
      <c r="G17" s="897"/>
      <c r="H17" s="870"/>
      <c r="I17" s="870"/>
      <c r="J17" s="870"/>
      <c r="K17" s="870"/>
      <c r="L17" s="870"/>
      <c r="M17" s="870"/>
      <c r="N17" s="870"/>
      <c r="O17" s="870"/>
      <c r="P17" s="871"/>
      <c r="Q17" s="871"/>
      <c r="R17" s="871"/>
      <c r="S17" s="871"/>
      <c r="T17" s="872"/>
      <c r="U17" s="872"/>
      <c r="V17" s="873"/>
      <c r="W17" s="873"/>
      <c r="X17" s="873"/>
      <c r="Y17" s="873"/>
      <c r="Z17" s="873"/>
      <c r="AA17" s="873"/>
      <c r="AB17" s="873"/>
      <c r="AC17" s="873"/>
      <c r="AD17" s="873"/>
      <c r="AE17" s="873"/>
      <c r="AF17" s="873"/>
      <c r="AG17" s="873"/>
      <c r="AH17" s="873"/>
      <c r="AI17" s="873"/>
      <c r="AJ17" s="873"/>
      <c r="AK17" s="873"/>
      <c r="AL17" s="873"/>
      <c r="AM17" s="873"/>
      <c r="AN17" s="873"/>
      <c r="AO17" s="873"/>
      <c r="AP17" s="873"/>
      <c r="AQ17" s="873"/>
      <c r="AR17" s="873"/>
      <c r="AS17" s="873"/>
      <c r="AT17" s="873"/>
      <c r="AU17" s="873"/>
      <c r="AV17" s="873"/>
      <c r="AW17" s="873"/>
      <c r="AX17" s="873"/>
      <c r="AY17" s="873"/>
      <c r="AZ17" s="873"/>
      <c r="BA17" s="873"/>
      <c r="BB17" s="873"/>
      <c r="BC17" s="873"/>
      <c r="BD17" s="873"/>
      <c r="BE17" s="873"/>
      <c r="BF17" s="873"/>
    </row>
    <row r="18" spans="2:188" ht="17.100000000000001" customHeight="1">
      <c r="B18" s="793"/>
      <c r="C18" s="846"/>
      <c r="D18" s="793" t="s">
        <v>1115</v>
      </c>
      <c r="E18" s="793"/>
      <c r="F18" s="847"/>
      <c r="G18" s="897"/>
      <c r="H18" s="874"/>
      <c r="I18" s="874"/>
      <c r="J18" s="874"/>
      <c r="K18" s="874"/>
      <c r="L18" s="874"/>
      <c r="M18" s="874"/>
      <c r="N18" s="874"/>
      <c r="O18" s="874"/>
      <c r="P18" s="874"/>
      <c r="Q18" s="875"/>
      <c r="R18" s="875"/>
      <c r="S18" s="875"/>
      <c r="T18" s="876"/>
      <c r="U18" s="876"/>
      <c r="V18" s="876"/>
      <c r="W18" s="876"/>
      <c r="X18" s="876"/>
      <c r="Y18" s="876"/>
      <c r="Z18" s="876"/>
      <c r="AA18" s="876"/>
      <c r="AB18" s="876"/>
      <c r="AC18" s="876"/>
      <c r="AD18" s="876"/>
      <c r="AE18" s="876"/>
      <c r="AF18" s="876"/>
      <c r="AG18" s="876"/>
      <c r="AH18" s="876"/>
      <c r="AI18" s="877">
        <f>SUMIF(33:33,AI3,43:43)*100</f>
        <v>0</v>
      </c>
      <c r="AJ18" s="877">
        <f t="shared" ref="AJ18:BF18" si="13">SUMIF(33:33,AJ3,43:43)*100</f>
        <v>0</v>
      </c>
      <c r="AK18" s="877">
        <f t="shared" si="13"/>
        <v>0</v>
      </c>
      <c r="AL18" s="877">
        <f t="shared" si="13"/>
        <v>0</v>
      </c>
      <c r="AM18" s="877">
        <f t="shared" si="13"/>
        <v>0</v>
      </c>
      <c r="AN18" s="877">
        <f t="shared" si="13"/>
        <v>0</v>
      </c>
      <c r="AO18" s="877">
        <f t="shared" si="13"/>
        <v>0</v>
      </c>
      <c r="AP18" s="877">
        <f t="shared" si="13"/>
        <v>0</v>
      </c>
      <c r="AQ18" s="877">
        <f t="shared" si="13"/>
        <v>0</v>
      </c>
      <c r="AR18" s="877">
        <f t="shared" si="13"/>
        <v>0</v>
      </c>
      <c r="AS18" s="877">
        <f t="shared" si="13"/>
        <v>0</v>
      </c>
      <c r="AT18" s="877">
        <f t="shared" si="13"/>
        <v>0</v>
      </c>
      <c r="AU18" s="877">
        <f t="shared" si="13"/>
        <v>0</v>
      </c>
      <c r="AV18" s="877">
        <f t="shared" si="13"/>
        <v>0</v>
      </c>
      <c r="AW18" s="877">
        <f t="shared" si="13"/>
        <v>0</v>
      </c>
      <c r="AX18" s="877">
        <f t="shared" si="13"/>
        <v>0</v>
      </c>
      <c r="AY18" s="877">
        <f t="shared" si="13"/>
        <v>0</v>
      </c>
      <c r="AZ18" s="877">
        <f t="shared" si="13"/>
        <v>0</v>
      </c>
      <c r="BA18" s="877">
        <f t="shared" si="13"/>
        <v>0</v>
      </c>
      <c r="BB18" s="877">
        <f t="shared" si="13"/>
        <v>0</v>
      </c>
      <c r="BC18" s="877">
        <f t="shared" si="13"/>
        <v>0</v>
      </c>
      <c r="BD18" s="877">
        <f t="shared" si="13"/>
        <v>0</v>
      </c>
      <c r="BE18" s="877">
        <f t="shared" si="13"/>
        <v>0</v>
      </c>
      <c r="BF18" s="877">
        <f t="shared" si="13"/>
        <v>0</v>
      </c>
    </row>
    <row r="19" spans="2:188" ht="17.100000000000001" customHeight="1">
      <c r="B19" s="793"/>
      <c r="C19" s="846"/>
      <c r="D19" s="793" t="s">
        <v>1116</v>
      </c>
      <c r="E19" s="793"/>
      <c r="F19" s="847"/>
      <c r="G19" s="897"/>
      <c r="H19" s="874"/>
      <c r="I19" s="874"/>
      <c r="J19" s="874"/>
      <c r="K19" s="874"/>
      <c r="L19" s="874"/>
      <c r="M19" s="874"/>
      <c r="N19" s="875">
        <v>8286.2272329999996</v>
      </c>
      <c r="O19" s="875">
        <v>7476.2028490000002</v>
      </c>
      <c r="P19" s="875">
        <v>6027.5699180000001</v>
      </c>
      <c r="Q19" s="875">
        <v>7205</v>
      </c>
      <c r="R19" s="875">
        <f>SUM(H44:K44)</f>
        <v>28.570433399999999</v>
      </c>
      <c r="S19" s="875">
        <f>SUM(L44:O44)</f>
        <v>12.2546</v>
      </c>
      <c r="T19" s="878"/>
      <c r="U19" s="879"/>
      <c r="V19" s="879"/>
      <c r="W19" s="879"/>
      <c r="X19" s="879"/>
      <c r="Y19" s="879"/>
      <c r="Z19" s="879"/>
      <c r="AA19" s="879"/>
      <c r="AB19" s="879"/>
      <c r="AC19" s="879"/>
      <c r="AD19" s="879"/>
      <c r="AE19" s="879"/>
      <c r="AF19" s="879"/>
      <c r="AG19" s="879"/>
      <c r="AH19" s="879"/>
      <c r="AI19" s="879"/>
      <c r="AJ19" s="879"/>
      <c r="AK19" s="879"/>
      <c r="AL19" s="879"/>
      <c r="AM19" s="879"/>
      <c r="AN19" s="879"/>
      <c r="AO19" s="879"/>
      <c r="AP19" s="879"/>
      <c r="AQ19" s="879"/>
      <c r="AR19" s="879"/>
      <c r="AS19" s="879"/>
      <c r="AT19" s="879"/>
      <c r="AU19" s="879"/>
      <c r="AV19" s="879"/>
      <c r="AW19" s="879"/>
      <c r="AX19" s="879"/>
      <c r="AY19" s="879"/>
      <c r="AZ19" s="879"/>
      <c r="BA19" s="879"/>
      <c r="BB19" s="879"/>
      <c r="BC19" s="879"/>
      <c r="BD19" s="879"/>
      <c r="BE19" s="879"/>
      <c r="BF19" s="879"/>
    </row>
    <row r="20" spans="2:188" ht="17.100000000000001" customHeight="1">
      <c r="B20" s="793"/>
      <c r="C20" s="854" t="s">
        <v>1117</v>
      </c>
      <c r="D20" s="855"/>
      <c r="E20" s="855"/>
      <c r="F20" s="810">
        <f>F15</f>
        <v>0.7</v>
      </c>
      <c r="G20" s="897"/>
      <c r="H20" s="880">
        <f t="shared" ref="H20:V20" si="14">SUM(H21,H22,H26,H27,H28)</f>
        <v>48.589604000000001</v>
      </c>
      <c r="I20" s="880">
        <f t="shared" si="14"/>
        <v>416.55037400000003</v>
      </c>
      <c r="J20" s="880">
        <f t="shared" si="14"/>
        <v>744.34829200000001</v>
      </c>
      <c r="K20" s="880">
        <f t="shared" si="14"/>
        <v>744.80177300000003</v>
      </c>
      <c r="L20" s="880">
        <f t="shared" si="14"/>
        <v>740.1801979999999</v>
      </c>
      <c r="M20" s="880">
        <f t="shared" si="14"/>
        <v>623.48522800000001</v>
      </c>
      <c r="N20" s="880">
        <f t="shared" si="14"/>
        <v>789.85403799999995</v>
      </c>
      <c r="O20" s="880">
        <f t="shared" si="14"/>
        <v>688.05657099999996</v>
      </c>
      <c r="P20" s="880">
        <f t="shared" si="14"/>
        <v>1010.9285600000001</v>
      </c>
      <c r="Q20" s="880">
        <f t="shared" si="14"/>
        <v>1126.2280200000002</v>
      </c>
      <c r="R20" s="857">
        <f t="shared" si="14"/>
        <v>883.92419999999993</v>
      </c>
      <c r="S20" s="857">
        <f t="shared" si="14"/>
        <v>640.74639999999999</v>
      </c>
      <c r="T20" s="881">
        <f t="shared" si="14"/>
        <v>627.21719999999993</v>
      </c>
      <c r="U20" s="881">
        <f t="shared" si="14"/>
        <v>599.51600000000008</v>
      </c>
      <c r="V20" s="859">
        <f t="shared" si="14"/>
        <v>308.87920000000003</v>
      </c>
      <c r="W20" s="859">
        <f>SUM(W21,W22,W26,W27,W28)</f>
        <v>141.33519999999999</v>
      </c>
      <c r="X20" s="882">
        <f>SUM(X21,X22,X26,X27,X28)*$F$20</f>
        <v>100.27024</v>
      </c>
      <c r="Y20" s="859">
        <f t="shared" ref="Y20:BF20" si="15">SUM(Y21,Y22,Y26,Y27,Y28)*$F$20</f>
        <v>100.381372</v>
      </c>
      <c r="Z20" s="859">
        <f t="shared" si="15"/>
        <v>100.381372</v>
      </c>
      <c r="AA20" s="859">
        <f t="shared" si="15"/>
        <v>101.78375199999999</v>
      </c>
      <c r="AB20" s="859">
        <f t="shared" si="15"/>
        <v>101.9004406</v>
      </c>
      <c r="AC20" s="859">
        <f t="shared" si="15"/>
        <v>101.9004406</v>
      </c>
      <c r="AD20" s="859">
        <f t="shared" si="15"/>
        <v>103.37293960000001</v>
      </c>
      <c r="AE20" s="859">
        <f t="shared" si="15"/>
        <v>103.49546263000001</v>
      </c>
      <c r="AF20" s="859">
        <f t="shared" si="15"/>
        <v>103.49546263000001</v>
      </c>
      <c r="AG20" s="859">
        <f t="shared" si="15"/>
        <v>105.04158657999999</v>
      </c>
      <c r="AH20" s="859">
        <f t="shared" si="15"/>
        <v>105.1702357615</v>
      </c>
      <c r="AI20" s="859">
        <f t="shared" si="15"/>
        <v>105.1702357615</v>
      </c>
      <c r="AJ20" s="859">
        <f t="shared" si="15"/>
        <v>106.793665909</v>
      </c>
      <c r="AK20" s="859">
        <f t="shared" si="15"/>
        <v>106.92874754957498</v>
      </c>
      <c r="AL20" s="859">
        <f t="shared" si="15"/>
        <v>106.92874754957498</v>
      </c>
      <c r="AM20" s="859">
        <f t="shared" si="15"/>
        <v>108.63334920445</v>
      </c>
      <c r="AN20" s="859">
        <f t="shared" si="15"/>
        <v>108.77518492705376</v>
      </c>
      <c r="AO20" s="859">
        <f t="shared" si="15"/>
        <v>108.77518492705376</v>
      </c>
      <c r="AP20" s="859">
        <f t="shared" si="15"/>
        <v>110.5650166646725</v>
      </c>
      <c r="AQ20" s="859">
        <f t="shared" si="15"/>
        <v>110.71394417340643</v>
      </c>
      <c r="AR20" s="859">
        <f t="shared" si="15"/>
        <v>110.71394417340643</v>
      </c>
      <c r="AS20" s="859">
        <f t="shared" si="15"/>
        <v>112.59326749790611</v>
      </c>
      <c r="AT20" s="859">
        <f t="shared" si="15"/>
        <v>112.74964138207676</v>
      </c>
      <c r="AU20" s="859">
        <f t="shared" si="15"/>
        <v>112.74964138207676</v>
      </c>
      <c r="AV20" s="859">
        <f t="shared" si="15"/>
        <v>114.72293087280144</v>
      </c>
      <c r="AW20" s="859">
        <f t="shared" si="15"/>
        <v>114.8871234511806</v>
      </c>
      <c r="AX20" s="859">
        <f t="shared" si="15"/>
        <v>114.8871234511806</v>
      </c>
      <c r="AY20" s="859">
        <f t="shared" si="15"/>
        <v>116.9590774164415</v>
      </c>
      <c r="AZ20" s="859">
        <f t="shared" si="15"/>
        <v>117.13147962373964</v>
      </c>
      <c r="BA20" s="859">
        <f t="shared" si="15"/>
        <v>117.13147962373964</v>
      </c>
      <c r="BB20" s="859">
        <f t="shared" si="15"/>
        <v>119.30703128726358</v>
      </c>
      <c r="BC20" s="859">
        <f t="shared" si="15"/>
        <v>119.48805360492661</v>
      </c>
      <c r="BD20" s="859">
        <f t="shared" si="15"/>
        <v>119.48805360492661</v>
      </c>
      <c r="BE20" s="859">
        <f t="shared" si="15"/>
        <v>121.77238285162676</v>
      </c>
      <c r="BF20" s="859">
        <f t="shared" si="15"/>
        <v>60.981228142586481</v>
      </c>
    </row>
    <row r="21" spans="2:188" ht="17.100000000000001" customHeight="1">
      <c r="B21" s="793"/>
      <c r="C21" s="846"/>
      <c r="D21" s="793" t="s">
        <v>1118</v>
      </c>
      <c r="E21" s="793"/>
      <c r="F21" s="883">
        <v>0</v>
      </c>
      <c r="G21" s="897"/>
      <c r="H21" s="853">
        <v>10.174683999999999</v>
      </c>
      <c r="I21" s="849">
        <v>142.37327400000001</v>
      </c>
      <c r="J21" s="849">
        <v>297.50309399999998</v>
      </c>
      <c r="K21" s="849">
        <v>312.20147300000002</v>
      </c>
      <c r="L21" s="849">
        <v>344.5668</v>
      </c>
      <c r="M21" s="849">
        <v>374.24959999999999</v>
      </c>
      <c r="N21" s="849">
        <v>344.64192800000001</v>
      </c>
      <c r="O21" s="849">
        <v>140.07089099999999</v>
      </c>
      <c r="P21" s="849">
        <v>245</v>
      </c>
      <c r="Q21" s="849">
        <v>290.45788000000005</v>
      </c>
      <c r="R21" s="849">
        <v>359.59620000000001</v>
      </c>
      <c r="S21" s="849">
        <v>346.00639999999999</v>
      </c>
      <c r="T21" s="4747">
        <f>'자금운영(현금)'!BE15/10^6</f>
        <v>324.82920000000001</v>
      </c>
      <c r="U21" s="850">
        <v>315.06799999999998</v>
      </c>
      <c r="V21" s="850">
        <v>100</v>
      </c>
      <c r="W21" s="850">
        <v>100</v>
      </c>
      <c r="X21" s="850">
        <v>100</v>
      </c>
      <c r="Y21" s="850">
        <v>100</v>
      </c>
      <c r="Z21" s="850">
        <v>100</v>
      </c>
      <c r="AA21" s="852">
        <v>100</v>
      </c>
      <c r="AB21" s="852">
        <v>100</v>
      </c>
      <c r="AC21" s="852">
        <v>100</v>
      </c>
      <c r="AD21" s="852">
        <v>100</v>
      </c>
      <c r="AE21" s="852">
        <v>100</v>
      </c>
      <c r="AF21" s="852">
        <v>100</v>
      </c>
      <c r="AG21" s="852">
        <v>100</v>
      </c>
      <c r="AH21" s="852">
        <v>100</v>
      </c>
      <c r="AI21" s="852">
        <v>100</v>
      </c>
      <c r="AJ21" s="852">
        <v>100</v>
      </c>
      <c r="AK21" s="852">
        <v>100</v>
      </c>
      <c r="AL21" s="852">
        <v>100</v>
      </c>
      <c r="AM21" s="852">
        <v>100</v>
      </c>
      <c r="AN21" s="852">
        <v>100</v>
      </c>
      <c r="AO21" s="852">
        <v>100</v>
      </c>
      <c r="AP21" s="852">
        <v>100</v>
      </c>
      <c r="AQ21" s="852">
        <v>100</v>
      </c>
      <c r="AR21" s="852">
        <v>100</v>
      </c>
      <c r="AS21" s="852">
        <v>100</v>
      </c>
      <c r="AT21" s="852">
        <v>100</v>
      </c>
      <c r="AU21" s="852">
        <v>100</v>
      </c>
      <c r="AV21" s="852">
        <v>100</v>
      </c>
      <c r="AW21" s="852">
        <v>100</v>
      </c>
      <c r="AX21" s="852">
        <v>100</v>
      </c>
      <c r="AY21" s="852">
        <v>100</v>
      </c>
      <c r="AZ21" s="852">
        <v>100</v>
      </c>
      <c r="BA21" s="852">
        <v>100</v>
      </c>
      <c r="BB21" s="852">
        <v>100</v>
      </c>
      <c r="BC21" s="852">
        <v>100</v>
      </c>
      <c r="BD21" s="852">
        <v>100</v>
      </c>
      <c r="BE21" s="852">
        <v>100</v>
      </c>
      <c r="BF21" s="852">
        <v>50</v>
      </c>
    </row>
    <row r="22" spans="2:188" ht="17.100000000000001" customHeight="1">
      <c r="B22" s="793"/>
      <c r="C22" s="846"/>
      <c r="D22" s="793" t="s">
        <v>1119</v>
      </c>
      <c r="E22" s="793"/>
      <c r="F22" s="861">
        <v>0.05</v>
      </c>
      <c r="G22" s="897"/>
      <c r="H22" s="853">
        <f t="shared" ref="H22:O22" si="16">H24+H25</f>
        <v>4.8</v>
      </c>
      <c r="I22" s="849">
        <f t="shared" si="16"/>
        <v>159.13433000000001</v>
      </c>
      <c r="J22" s="849">
        <f t="shared" si="16"/>
        <v>305.93924800000002</v>
      </c>
      <c r="K22" s="849">
        <f t="shared" si="16"/>
        <v>282.79554000000002</v>
      </c>
      <c r="L22" s="849">
        <f t="shared" si="16"/>
        <v>335.67962799999998</v>
      </c>
      <c r="M22" s="849">
        <f t="shared" si="16"/>
        <v>198.22058799999999</v>
      </c>
      <c r="N22" s="849">
        <f t="shared" si="16"/>
        <v>390.54804000000001</v>
      </c>
      <c r="O22" s="849">
        <f t="shared" si="16"/>
        <v>449.80403999999999</v>
      </c>
      <c r="P22" s="849">
        <v>599.44412999999997</v>
      </c>
      <c r="Q22" s="849">
        <v>621.28800000000001</v>
      </c>
      <c r="R22" s="849">
        <f t="shared" ref="R22:BF22" si="17">SUM(R23:R25)</f>
        <v>450.40799999999996</v>
      </c>
      <c r="S22" s="849">
        <f t="shared" si="17"/>
        <v>207.54000000000002</v>
      </c>
      <c r="T22" s="4747">
        <f t="shared" si="17"/>
        <v>211.90800000000002</v>
      </c>
      <c r="U22" s="866">
        <f t="shared" si="17"/>
        <v>208.72800000000001</v>
      </c>
      <c r="V22" s="851">
        <f t="shared" si="17"/>
        <v>208.87920000000003</v>
      </c>
      <c r="W22" s="851">
        <f t="shared" si="17"/>
        <v>41.3352</v>
      </c>
      <c r="X22" s="851">
        <f t="shared" si="17"/>
        <v>43.243200000000002</v>
      </c>
      <c r="Y22" s="851">
        <f t="shared" si="17"/>
        <v>43.401959999999995</v>
      </c>
      <c r="Z22" s="851">
        <f t="shared" si="17"/>
        <v>43.401959999999995</v>
      </c>
      <c r="AA22" s="851">
        <f t="shared" si="17"/>
        <v>45.405359999999995</v>
      </c>
      <c r="AB22" s="851">
        <f t="shared" si="17"/>
        <v>45.572057999999998</v>
      </c>
      <c r="AC22" s="851">
        <f t="shared" si="17"/>
        <v>45.572057999999998</v>
      </c>
      <c r="AD22" s="851">
        <f t="shared" si="17"/>
        <v>47.675628000000003</v>
      </c>
      <c r="AE22" s="851">
        <f t="shared" si="17"/>
        <v>47.850660900000001</v>
      </c>
      <c r="AF22" s="851">
        <f t="shared" si="17"/>
        <v>47.850660900000001</v>
      </c>
      <c r="AG22" s="851">
        <f t="shared" si="17"/>
        <v>50.0594094</v>
      </c>
      <c r="AH22" s="851">
        <f t="shared" si="17"/>
        <v>50.243193945000002</v>
      </c>
      <c r="AI22" s="851">
        <f t="shared" si="17"/>
        <v>50.243193945000002</v>
      </c>
      <c r="AJ22" s="851">
        <f t="shared" si="17"/>
        <v>52.562379870000001</v>
      </c>
      <c r="AK22" s="851">
        <f t="shared" si="17"/>
        <v>52.75535364225</v>
      </c>
      <c r="AL22" s="851">
        <f t="shared" si="17"/>
        <v>52.75535364225</v>
      </c>
      <c r="AM22" s="851">
        <f t="shared" si="17"/>
        <v>55.190498863500004</v>
      </c>
      <c r="AN22" s="851">
        <f t="shared" si="17"/>
        <v>55.393121324362504</v>
      </c>
      <c r="AO22" s="851">
        <f t="shared" si="17"/>
        <v>55.393121324362504</v>
      </c>
      <c r="AP22" s="851">
        <f t="shared" si="17"/>
        <v>57.950023806675006</v>
      </c>
      <c r="AQ22" s="851">
        <f t="shared" si="17"/>
        <v>58.162777390580629</v>
      </c>
      <c r="AR22" s="851">
        <f t="shared" si="17"/>
        <v>58.162777390580629</v>
      </c>
      <c r="AS22" s="851">
        <f t="shared" si="17"/>
        <v>60.847524997008755</v>
      </c>
      <c r="AT22" s="851">
        <f t="shared" si="17"/>
        <v>61.070916260109662</v>
      </c>
      <c r="AU22" s="851">
        <f t="shared" si="17"/>
        <v>61.070916260109662</v>
      </c>
      <c r="AV22" s="851">
        <f t="shared" si="17"/>
        <v>63.889901246859196</v>
      </c>
      <c r="AW22" s="851">
        <f t="shared" si="17"/>
        <v>64.124462073115154</v>
      </c>
      <c r="AX22" s="851">
        <f t="shared" si="17"/>
        <v>64.124462073115154</v>
      </c>
      <c r="AY22" s="851">
        <f t="shared" si="17"/>
        <v>67.084396309202162</v>
      </c>
      <c r="AZ22" s="851">
        <f t="shared" si="17"/>
        <v>67.330685176770913</v>
      </c>
      <c r="BA22" s="851">
        <f t="shared" si="17"/>
        <v>67.330685176770913</v>
      </c>
      <c r="BB22" s="851">
        <f t="shared" si="17"/>
        <v>70.438616124662275</v>
      </c>
      <c r="BC22" s="851">
        <f t="shared" si="17"/>
        <v>70.697219435609455</v>
      </c>
      <c r="BD22" s="851">
        <f t="shared" si="17"/>
        <v>70.697219435609455</v>
      </c>
      <c r="BE22" s="851">
        <f t="shared" si="17"/>
        <v>73.96054693089539</v>
      </c>
      <c r="BF22" s="851">
        <f t="shared" si="17"/>
        <v>37.116040203694972</v>
      </c>
    </row>
    <row r="23" spans="2:188" ht="17.100000000000001" customHeight="1">
      <c r="B23" s="793"/>
      <c r="C23" s="846"/>
      <c r="D23" s="885" t="s">
        <v>1120</v>
      </c>
      <c r="E23" s="427">
        <v>4450</v>
      </c>
      <c r="F23" s="406">
        <v>6000</v>
      </c>
      <c r="G23" s="897"/>
      <c r="H23" s="853"/>
      <c r="I23" s="849"/>
      <c r="J23" s="849"/>
      <c r="K23" s="849"/>
      <c r="L23" s="849"/>
      <c r="M23" s="849"/>
      <c r="N23" s="849"/>
      <c r="O23" s="849"/>
      <c r="P23" s="849"/>
      <c r="Q23" s="886"/>
      <c r="R23" s="849">
        <v>1.44</v>
      </c>
      <c r="S23" s="849">
        <v>1.8360000000000001</v>
      </c>
      <c r="T23" s="4748">
        <f>'자금운영(현금)'!BE23/10^6</f>
        <v>3.024</v>
      </c>
      <c r="U23" s="887">
        <v>3.024</v>
      </c>
      <c r="V23" s="851">
        <f>U23*(1+$F$22)</f>
        <v>3.1752000000000002</v>
      </c>
      <c r="W23" s="851">
        <f>V23</f>
        <v>3.1752000000000002</v>
      </c>
      <c r="X23" s="851">
        <f>W23</f>
        <v>3.1752000000000002</v>
      </c>
      <c r="Y23" s="851">
        <f>X23*(1+$F$22)</f>
        <v>3.3339600000000003</v>
      </c>
      <c r="Z23" s="851">
        <f>Y23</f>
        <v>3.3339600000000003</v>
      </c>
      <c r="AA23" s="851">
        <f>Z23</f>
        <v>3.3339600000000003</v>
      </c>
      <c r="AB23" s="852">
        <f>AA23*(1+$F$22)</f>
        <v>3.5006580000000005</v>
      </c>
      <c r="AC23" s="851">
        <f>AB23</f>
        <v>3.5006580000000005</v>
      </c>
      <c r="AD23" s="851">
        <f>AC23</f>
        <v>3.5006580000000005</v>
      </c>
      <c r="AE23" s="851">
        <f>AD23*(1+$F$22)</f>
        <v>3.6756909000000006</v>
      </c>
      <c r="AF23" s="851">
        <f>AE23</f>
        <v>3.6756909000000006</v>
      </c>
      <c r="AG23" s="851">
        <f>AF23</f>
        <v>3.6756909000000006</v>
      </c>
      <c r="AH23" s="851">
        <f>AG23*(1+$F$22)</f>
        <v>3.8594754450000011</v>
      </c>
      <c r="AI23" s="851">
        <f>AH23</f>
        <v>3.8594754450000011</v>
      </c>
      <c r="AJ23" s="851">
        <f>AI23</f>
        <v>3.8594754450000011</v>
      </c>
      <c r="AK23" s="851">
        <f>AJ23*(1+$F$22)</f>
        <v>4.0524492172500013</v>
      </c>
      <c r="AL23" s="851">
        <f>AK23</f>
        <v>4.0524492172500013</v>
      </c>
      <c r="AM23" s="851">
        <f>AL23</f>
        <v>4.0524492172500013</v>
      </c>
      <c r="AN23" s="851">
        <f>AM23*(1+$F$22)</f>
        <v>4.2550716781125013</v>
      </c>
      <c r="AO23" s="851">
        <f>AN23</f>
        <v>4.2550716781125013</v>
      </c>
      <c r="AP23" s="851">
        <f>AO23</f>
        <v>4.2550716781125013</v>
      </c>
      <c r="AQ23" s="851">
        <f>AP23*(1+$F$22)</f>
        <v>4.4678252620181267</v>
      </c>
      <c r="AR23" s="851">
        <f>AQ23</f>
        <v>4.4678252620181267</v>
      </c>
      <c r="AS23" s="851">
        <f>AR23</f>
        <v>4.4678252620181267</v>
      </c>
      <c r="AT23" s="852">
        <f>AS23*(1+$F$22)</f>
        <v>4.6912165251190334</v>
      </c>
      <c r="AU23" s="851">
        <f>AT23</f>
        <v>4.6912165251190334</v>
      </c>
      <c r="AV23" s="851">
        <f>AU23</f>
        <v>4.6912165251190334</v>
      </c>
      <c r="AW23" s="851">
        <f>AV23*(1+$F$22)</f>
        <v>4.9257773513749852</v>
      </c>
      <c r="AX23" s="851">
        <f>AW23</f>
        <v>4.9257773513749852</v>
      </c>
      <c r="AY23" s="851">
        <f>AX23</f>
        <v>4.9257773513749852</v>
      </c>
      <c r="AZ23" s="851">
        <f>AY23*(1+$F$22)</f>
        <v>5.1720662189437343</v>
      </c>
      <c r="BA23" s="851">
        <f>AZ23</f>
        <v>5.1720662189437343</v>
      </c>
      <c r="BB23" s="851">
        <f>BA23</f>
        <v>5.1720662189437343</v>
      </c>
      <c r="BC23" s="851">
        <f>BB23*(1+$F$22)</f>
        <v>5.4306695298909213</v>
      </c>
      <c r="BD23" s="851">
        <f>BC23</f>
        <v>5.4306695298909213</v>
      </c>
      <c r="BE23" s="851">
        <f>BD23</f>
        <v>5.4306695298909213</v>
      </c>
      <c r="BF23" s="852">
        <f>BE23*(1+$F$22)/2</f>
        <v>2.851101503192734</v>
      </c>
    </row>
    <row r="24" spans="2:188" ht="17.100000000000001" customHeight="1">
      <c r="B24" s="793"/>
      <c r="C24" s="846"/>
      <c r="D24" s="885" t="s">
        <v>1121</v>
      </c>
      <c r="E24" s="793"/>
      <c r="F24" s="888">
        <v>0</v>
      </c>
      <c r="G24" s="897"/>
      <c r="H24" s="853">
        <v>4.8</v>
      </c>
      <c r="I24" s="849">
        <v>10</v>
      </c>
      <c r="J24" s="849">
        <v>50.081817999999998</v>
      </c>
      <c r="K24" s="849">
        <v>53.6</v>
      </c>
      <c r="L24" s="849">
        <v>53.53969</v>
      </c>
      <c r="M24" s="849">
        <v>62.388039999999997</v>
      </c>
      <c r="N24" s="849">
        <v>66.54804</v>
      </c>
      <c r="O24" s="849">
        <v>74.03604</v>
      </c>
      <c r="P24" s="849">
        <v>156.68129999999999</v>
      </c>
      <c r="Q24" s="849">
        <v>153.36000000000001</v>
      </c>
      <c r="R24" s="849">
        <v>76.56</v>
      </c>
      <c r="S24" s="849">
        <v>38.159999999999997</v>
      </c>
      <c r="T24" s="4748">
        <f>('자금운영(현금)'!BE21+'자금운영(현금)'!BE22)/10^6</f>
        <v>41.34</v>
      </c>
      <c r="U24" s="887">
        <v>38.159999999999997</v>
      </c>
      <c r="V24" s="866">
        <f>U24</f>
        <v>38.159999999999997</v>
      </c>
      <c r="W24" s="866">
        <f>V24</f>
        <v>38.159999999999997</v>
      </c>
      <c r="X24" s="850">
        <f>W24*(1+$F$22)</f>
        <v>40.067999999999998</v>
      </c>
      <c r="Y24" s="866">
        <f>X24</f>
        <v>40.067999999999998</v>
      </c>
      <c r="Z24" s="866">
        <f>Y24</f>
        <v>40.067999999999998</v>
      </c>
      <c r="AA24" s="850">
        <f>Z24*(1+$F$22)</f>
        <v>42.071399999999997</v>
      </c>
      <c r="AB24" s="866">
        <f>AA24</f>
        <v>42.071399999999997</v>
      </c>
      <c r="AC24" s="866">
        <f>AB24</f>
        <v>42.071399999999997</v>
      </c>
      <c r="AD24" s="850">
        <f>AC24*(1+$F$22)</f>
        <v>44.174970000000002</v>
      </c>
      <c r="AE24" s="866">
        <f>AD24</f>
        <v>44.174970000000002</v>
      </c>
      <c r="AF24" s="866">
        <f>AE24</f>
        <v>44.174970000000002</v>
      </c>
      <c r="AG24" s="850">
        <f>AF24*(1+$F$22)</f>
        <v>46.383718500000001</v>
      </c>
      <c r="AH24" s="866">
        <f>AG24</f>
        <v>46.383718500000001</v>
      </c>
      <c r="AI24" s="866">
        <f>AH24</f>
        <v>46.383718500000001</v>
      </c>
      <c r="AJ24" s="850">
        <f>AI24*(1+$F$22)</f>
        <v>48.702904425</v>
      </c>
      <c r="AK24" s="866">
        <f>AJ24</f>
        <v>48.702904425</v>
      </c>
      <c r="AL24" s="866">
        <f>AK24</f>
        <v>48.702904425</v>
      </c>
      <c r="AM24" s="850">
        <f>AL24*(1+$F$22)</f>
        <v>51.138049646250003</v>
      </c>
      <c r="AN24" s="866">
        <f>AM24</f>
        <v>51.138049646250003</v>
      </c>
      <c r="AO24" s="866">
        <f>AN24</f>
        <v>51.138049646250003</v>
      </c>
      <c r="AP24" s="850">
        <f>AO24*(1+$F$22)</f>
        <v>53.694952128562505</v>
      </c>
      <c r="AQ24" s="866">
        <f>AP24</f>
        <v>53.694952128562505</v>
      </c>
      <c r="AR24" s="866">
        <f>AQ24</f>
        <v>53.694952128562505</v>
      </c>
      <c r="AS24" s="850">
        <f>AR24*(1+$F$22)</f>
        <v>56.379699734990631</v>
      </c>
      <c r="AT24" s="866">
        <f>AS24</f>
        <v>56.379699734990631</v>
      </c>
      <c r="AU24" s="866">
        <f>AT24</f>
        <v>56.379699734990631</v>
      </c>
      <c r="AV24" s="850">
        <f>AU24*(1+$F$22)</f>
        <v>59.198684721740165</v>
      </c>
      <c r="AW24" s="866">
        <f>AV24</f>
        <v>59.198684721740165</v>
      </c>
      <c r="AX24" s="866">
        <f>AW24</f>
        <v>59.198684721740165</v>
      </c>
      <c r="AY24" s="850">
        <f>AX24*(1+$F$22)</f>
        <v>62.158618957827173</v>
      </c>
      <c r="AZ24" s="866">
        <f>AY24</f>
        <v>62.158618957827173</v>
      </c>
      <c r="BA24" s="866">
        <f>AZ24</f>
        <v>62.158618957827173</v>
      </c>
      <c r="BB24" s="850">
        <f>BA24*(1+$F$22)</f>
        <v>65.266549905718534</v>
      </c>
      <c r="BC24" s="866">
        <f>BB24</f>
        <v>65.266549905718534</v>
      </c>
      <c r="BD24" s="866">
        <f>BC24</f>
        <v>65.266549905718534</v>
      </c>
      <c r="BE24" s="850">
        <f>BD24*(1+$F$22)</f>
        <v>68.52987740100447</v>
      </c>
      <c r="BF24" s="850">
        <f>BE24/2</f>
        <v>34.264938700502235</v>
      </c>
      <c r="BG24" s="889"/>
    </row>
    <row r="25" spans="2:188" ht="17.100000000000001" customHeight="1">
      <c r="B25" s="793"/>
      <c r="C25" s="846"/>
      <c r="D25" s="885" t="s">
        <v>1122</v>
      </c>
      <c r="E25" s="793"/>
      <c r="F25" s="847"/>
      <c r="G25" s="897"/>
      <c r="H25" s="853">
        <v>0</v>
      </c>
      <c r="I25" s="849">
        <v>149.13433000000001</v>
      </c>
      <c r="J25" s="849">
        <v>255.85742999999999</v>
      </c>
      <c r="K25" s="849">
        <v>229.19553999999999</v>
      </c>
      <c r="L25" s="849">
        <v>282.13993799999997</v>
      </c>
      <c r="M25" s="849">
        <v>135.832548</v>
      </c>
      <c r="N25" s="849">
        <v>324</v>
      </c>
      <c r="O25" s="849">
        <v>375.76799999999997</v>
      </c>
      <c r="P25" s="849">
        <v>443.80799999999999</v>
      </c>
      <c r="Q25" s="849">
        <v>466.48799999999994</v>
      </c>
      <c r="R25" s="849">
        <v>372.40799999999996</v>
      </c>
      <c r="S25" s="849">
        <v>167.54400000000001</v>
      </c>
      <c r="T25" s="4747">
        <f>'자금운영(현금)'!BE20/10^6</f>
        <v>167.54400000000001</v>
      </c>
      <c r="U25" s="850">
        <v>167.54400000000001</v>
      </c>
      <c r="V25" s="850">
        <f t="shared" ref="V25" si="18">U25</f>
        <v>167.54400000000001</v>
      </c>
      <c r="W25" s="866">
        <v>0</v>
      </c>
      <c r="X25" s="866">
        <f>W25</f>
        <v>0</v>
      </c>
      <c r="Y25" s="866">
        <f>X25</f>
        <v>0</v>
      </c>
      <c r="Z25" s="866">
        <f>Y25*(1+$F$22)</f>
        <v>0</v>
      </c>
      <c r="AA25" s="866">
        <f>Z25</f>
        <v>0</v>
      </c>
      <c r="AB25" s="866">
        <f>AA25</f>
        <v>0</v>
      </c>
      <c r="AC25" s="866">
        <f>AB25*(1+$F$22)</f>
        <v>0</v>
      </c>
      <c r="AD25" s="866">
        <f>AC25</f>
        <v>0</v>
      </c>
      <c r="AE25" s="866">
        <f>AD25</f>
        <v>0</v>
      </c>
      <c r="AF25" s="866">
        <f>AE25*(1+$F$22)</f>
        <v>0</v>
      </c>
      <c r="AG25" s="866">
        <f>AF25</f>
        <v>0</v>
      </c>
      <c r="AH25" s="866">
        <f>AG25</f>
        <v>0</v>
      </c>
      <c r="AI25" s="866">
        <f>AH25*(1+$F$22)</f>
        <v>0</v>
      </c>
      <c r="AJ25" s="866">
        <f>AI25</f>
        <v>0</v>
      </c>
      <c r="AK25" s="866">
        <f>AJ25</f>
        <v>0</v>
      </c>
      <c r="AL25" s="866">
        <f>AK25*(1+$F$22)</f>
        <v>0</v>
      </c>
      <c r="AM25" s="866">
        <f>AL25</f>
        <v>0</v>
      </c>
      <c r="AN25" s="866">
        <f>AM25</f>
        <v>0</v>
      </c>
      <c r="AO25" s="866">
        <f>AN25*(1+$F$22)</f>
        <v>0</v>
      </c>
      <c r="AP25" s="866">
        <f>AO25</f>
        <v>0</v>
      </c>
      <c r="AQ25" s="866">
        <f>AP25</f>
        <v>0</v>
      </c>
      <c r="AR25" s="866">
        <f>AQ25*(1+$F$22)</f>
        <v>0</v>
      </c>
      <c r="AS25" s="866">
        <f>AR25</f>
        <v>0</v>
      </c>
      <c r="AT25" s="866">
        <f>AS25</f>
        <v>0</v>
      </c>
      <c r="AU25" s="866">
        <f>AT25*(1+$F$22)</f>
        <v>0</v>
      </c>
      <c r="AV25" s="866">
        <f>AU25</f>
        <v>0</v>
      </c>
      <c r="AW25" s="866">
        <f>AV25</f>
        <v>0</v>
      </c>
      <c r="AX25" s="866">
        <f>AW25*(1+$F$22)</f>
        <v>0</v>
      </c>
      <c r="AY25" s="866">
        <f>AX25</f>
        <v>0</v>
      </c>
      <c r="AZ25" s="866">
        <f>AY25</f>
        <v>0</v>
      </c>
      <c r="BA25" s="866">
        <f>AZ25*(1+$F$22)</f>
        <v>0</v>
      </c>
      <c r="BB25" s="866">
        <f>BA25</f>
        <v>0</v>
      </c>
      <c r="BC25" s="866">
        <f>BB25</f>
        <v>0</v>
      </c>
      <c r="BD25" s="866">
        <f>BC25*(1+$F$22)</f>
        <v>0</v>
      </c>
      <c r="BE25" s="866">
        <f>BD25</f>
        <v>0</v>
      </c>
      <c r="BF25" s="866">
        <f>BE25/2</f>
        <v>0</v>
      </c>
    </row>
    <row r="26" spans="2:188" ht="17.100000000000001" customHeight="1">
      <c r="B26" s="793"/>
      <c r="C26" s="846"/>
      <c r="D26" s="793" t="s">
        <v>1123</v>
      </c>
      <c r="E26" s="793"/>
      <c r="F26" s="847"/>
      <c r="G26" s="897"/>
      <c r="H26" s="853">
        <v>0</v>
      </c>
      <c r="I26" s="849">
        <v>0</v>
      </c>
      <c r="J26" s="849">
        <v>0</v>
      </c>
      <c r="K26" s="849">
        <v>0</v>
      </c>
      <c r="L26" s="849">
        <v>0</v>
      </c>
      <c r="M26" s="849">
        <v>0</v>
      </c>
      <c r="N26" s="849">
        <v>0</v>
      </c>
      <c r="O26" s="849">
        <v>41.666670000000003</v>
      </c>
      <c r="P26" s="849">
        <v>106.2</v>
      </c>
      <c r="Q26" s="849">
        <v>166.26</v>
      </c>
      <c r="R26" s="849">
        <v>73.92</v>
      </c>
      <c r="S26" s="848">
        <v>87.199999999999989</v>
      </c>
      <c r="T26" s="4749">
        <f>'자금운영(현금)'!BE24/10^6</f>
        <v>84.17</v>
      </c>
      <c r="U26" s="890">
        <v>75.72</v>
      </c>
      <c r="V26" s="866"/>
      <c r="W26" s="866"/>
      <c r="X26" s="866"/>
      <c r="Y26" s="866"/>
      <c r="Z26" s="866"/>
      <c r="AA26" s="851"/>
      <c r="AB26" s="851"/>
      <c r="AC26" s="851"/>
      <c r="AD26" s="851"/>
      <c r="AE26" s="851"/>
      <c r="AF26" s="851"/>
      <c r="AG26" s="851"/>
      <c r="AH26" s="851"/>
      <c r="AI26" s="851"/>
      <c r="AJ26" s="851"/>
      <c r="AK26" s="851"/>
      <c r="AL26" s="851"/>
      <c r="AM26" s="851"/>
      <c r="AN26" s="851"/>
      <c r="AO26" s="851"/>
      <c r="AP26" s="851"/>
      <c r="AQ26" s="851"/>
      <c r="AR26" s="851"/>
      <c r="AS26" s="851"/>
      <c r="AT26" s="851"/>
      <c r="AU26" s="851"/>
      <c r="AV26" s="851"/>
      <c r="AW26" s="851"/>
      <c r="AX26" s="851"/>
      <c r="AY26" s="851"/>
      <c r="AZ26" s="851"/>
      <c r="BA26" s="851"/>
      <c r="BB26" s="851"/>
      <c r="BC26" s="851"/>
      <c r="BD26" s="851"/>
      <c r="BE26" s="851"/>
      <c r="BF26" s="851"/>
    </row>
    <row r="27" spans="2:188" ht="17.100000000000001" customHeight="1">
      <c r="B27" s="793"/>
      <c r="C27" s="846"/>
      <c r="D27" s="793" t="s">
        <v>1124</v>
      </c>
      <c r="E27" s="793"/>
      <c r="F27" s="888">
        <v>0</v>
      </c>
      <c r="G27" s="897"/>
      <c r="H27" s="853">
        <v>9.18</v>
      </c>
      <c r="I27" s="849">
        <v>29.8</v>
      </c>
      <c r="J27" s="849">
        <v>33.049999999999997</v>
      </c>
      <c r="K27" s="849">
        <v>28.033999999999999</v>
      </c>
      <c r="L27" s="849">
        <v>29.87</v>
      </c>
      <c r="M27" s="849">
        <v>28.93</v>
      </c>
      <c r="N27" s="849">
        <v>32.78</v>
      </c>
      <c r="O27" s="849">
        <v>29.344999999999999</v>
      </c>
      <c r="P27" s="849">
        <v>34.744</v>
      </c>
      <c r="Q27" s="849">
        <v>22.157499999999999</v>
      </c>
      <c r="R27" s="849"/>
      <c r="S27" s="848"/>
      <c r="T27" s="884">
        <f>'자금운영(현금)'!BE25/10^6</f>
        <v>0</v>
      </c>
      <c r="U27" s="866"/>
      <c r="V27" s="866"/>
      <c r="W27" s="866"/>
      <c r="X27" s="866"/>
      <c r="Y27" s="866"/>
      <c r="Z27" s="866"/>
      <c r="AA27" s="851"/>
      <c r="AB27" s="851"/>
      <c r="AC27" s="851"/>
      <c r="AD27" s="851"/>
      <c r="AE27" s="851"/>
      <c r="AF27" s="851"/>
      <c r="AG27" s="851"/>
      <c r="AH27" s="851"/>
      <c r="AI27" s="851"/>
      <c r="AJ27" s="851"/>
      <c r="AK27" s="851"/>
      <c r="AL27" s="851"/>
      <c r="AM27" s="851"/>
      <c r="AN27" s="851"/>
      <c r="AO27" s="851"/>
      <c r="AP27" s="851"/>
      <c r="AQ27" s="851"/>
      <c r="AR27" s="851"/>
      <c r="AS27" s="851"/>
      <c r="AT27" s="851"/>
      <c r="AU27" s="851"/>
      <c r="AV27" s="851"/>
      <c r="AW27" s="851"/>
      <c r="AX27" s="851"/>
      <c r="AY27" s="851"/>
      <c r="AZ27" s="851"/>
      <c r="BA27" s="851"/>
      <c r="BB27" s="851"/>
      <c r="BC27" s="851"/>
      <c r="BD27" s="851"/>
      <c r="BE27" s="851"/>
      <c r="BF27" s="851"/>
    </row>
    <row r="28" spans="2:188" ht="17.100000000000001" customHeight="1">
      <c r="B28" s="793"/>
      <c r="C28" s="846"/>
      <c r="D28" s="793" t="s">
        <v>1125</v>
      </c>
      <c r="E28" s="793"/>
      <c r="F28" s="888">
        <v>0</v>
      </c>
      <c r="G28" s="897"/>
      <c r="H28" s="853">
        <v>24.434920000000002</v>
      </c>
      <c r="I28" s="849">
        <v>85.242769999999993</v>
      </c>
      <c r="J28" s="849">
        <v>107.85595000000001</v>
      </c>
      <c r="K28" s="849">
        <v>121.77076</v>
      </c>
      <c r="L28" s="849">
        <v>30.063770000000002</v>
      </c>
      <c r="M28" s="849">
        <v>22.085039999999999</v>
      </c>
      <c r="N28" s="849">
        <v>21.884070000000001</v>
      </c>
      <c r="O28" s="849">
        <v>27.169969999999999</v>
      </c>
      <c r="P28" s="849">
        <v>25.540429999999997</v>
      </c>
      <c r="Q28" s="849">
        <f>24.06464+2</f>
        <v>26.064640000000001</v>
      </c>
      <c r="R28" s="849"/>
      <c r="S28" s="848"/>
      <c r="T28" s="4747">
        <f>'자금운영(현금)'!BE26/10^6</f>
        <v>6.31</v>
      </c>
      <c r="U28" s="866"/>
      <c r="V28" s="866"/>
      <c r="W28" s="866"/>
      <c r="X28" s="866"/>
      <c r="Y28" s="866"/>
      <c r="Z28" s="866"/>
      <c r="AA28" s="851"/>
      <c r="AB28" s="851"/>
      <c r="AC28" s="851"/>
      <c r="AD28" s="851"/>
      <c r="AE28" s="851"/>
      <c r="AF28" s="851"/>
      <c r="AG28" s="851"/>
      <c r="AH28" s="851"/>
      <c r="AI28" s="851"/>
      <c r="AJ28" s="851"/>
      <c r="AK28" s="851"/>
      <c r="AL28" s="851"/>
      <c r="AM28" s="851"/>
      <c r="AN28" s="851"/>
      <c r="AO28" s="851"/>
      <c r="AP28" s="851"/>
      <c r="AQ28" s="851"/>
      <c r="AR28" s="851"/>
      <c r="AS28" s="851"/>
      <c r="AT28" s="851"/>
      <c r="AU28" s="851"/>
      <c r="AV28" s="851"/>
      <c r="AW28" s="851"/>
      <c r="AX28" s="851"/>
      <c r="AY28" s="851"/>
      <c r="AZ28" s="851"/>
      <c r="BA28" s="851"/>
      <c r="BB28" s="851"/>
      <c r="BC28" s="851"/>
      <c r="BD28" s="851"/>
      <c r="BE28" s="851"/>
      <c r="BF28" s="851"/>
    </row>
    <row r="29" spans="2:188" ht="17.100000000000001" customHeight="1">
      <c r="B29" s="793"/>
      <c r="C29" s="891" t="s">
        <v>1126</v>
      </c>
      <c r="D29" s="892"/>
      <c r="E29" s="892"/>
      <c r="F29" s="893"/>
      <c r="G29" s="897"/>
      <c r="H29" s="894">
        <f>SUM(I29:BF29)</f>
        <v>0</v>
      </c>
      <c r="I29" s="895"/>
      <c r="J29" s="895"/>
      <c r="K29" s="895"/>
      <c r="L29" s="895"/>
      <c r="M29" s="895"/>
      <c r="N29" s="895"/>
      <c r="O29" s="895"/>
      <c r="P29" s="895"/>
      <c r="Q29" s="894"/>
      <c r="R29" s="894"/>
      <c r="S29" s="894"/>
      <c r="T29" s="896"/>
      <c r="U29" s="896"/>
      <c r="V29" s="896"/>
      <c r="W29" s="896"/>
      <c r="X29" s="896"/>
      <c r="Y29" s="896"/>
      <c r="Z29" s="896"/>
      <c r="AA29" s="896"/>
      <c r="AB29" s="896"/>
      <c r="AC29" s="896"/>
      <c r="AD29" s="896"/>
      <c r="AE29" s="896"/>
      <c r="AF29" s="896"/>
      <c r="AG29" s="896"/>
      <c r="AH29" s="896"/>
      <c r="AI29" s="896"/>
      <c r="AJ29" s="896"/>
      <c r="AK29" s="896"/>
      <c r="AL29" s="896"/>
      <c r="AM29" s="896"/>
      <c r="AN29" s="896"/>
      <c r="AO29" s="896"/>
      <c r="AP29" s="896"/>
      <c r="AQ29" s="896"/>
      <c r="AR29" s="896"/>
      <c r="AS29" s="896"/>
      <c r="AT29" s="896"/>
      <c r="AU29" s="896"/>
      <c r="AV29" s="896"/>
      <c r="AW29" s="896"/>
      <c r="AX29" s="896"/>
      <c r="AY29" s="896"/>
      <c r="AZ29" s="896"/>
      <c r="BA29" s="896"/>
      <c r="BB29" s="896"/>
      <c r="BC29" s="896"/>
      <c r="BD29" s="896"/>
      <c r="BE29" s="896"/>
      <c r="BF29" s="896"/>
    </row>
    <row r="30" spans="2:188" ht="17.100000000000001" customHeight="1">
      <c r="B30" s="793"/>
      <c r="C30" s="793"/>
      <c r="D30" s="793"/>
      <c r="E30" s="793"/>
      <c r="F30" s="793"/>
      <c r="G30" s="897"/>
      <c r="H30" s="897"/>
      <c r="I30" s="898"/>
      <c r="J30" s="898"/>
      <c r="K30" s="898"/>
      <c r="L30" s="898">
        <f>SUM(L10,L13,L14,L15,L20)</f>
        <v>14675.078661000001</v>
      </c>
      <c r="M30" s="898">
        <f t="shared" ref="M30:U30" si="19">SUM(M10,M13,M14,M15,M20)</f>
        <v>14435.569549000002</v>
      </c>
      <c r="N30" s="898">
        <f t="shared" si="19"/>
        <v>16256.968858999999</v>
      </c>
      <c r="O30" s="898">
        <f t="shared" si="19"/>
        <v>19838.288876000002</v>
      </c>
      <c r="P30" s="898">
        <f t="shared" si="19"/>
        <v>21837.160801000002</v>
      </c>
      <c r="Q30" s="898">
        <f t="shared" si="19"/>
        <v>22155.741789600001</v>
      </c>
      <c r="R30" s="898">
        <f t="shared" si="19"/>
        <v>24047.832912000002</v>
      </c>
      <c r="S30" s="897">
        <f t="shared" si="19"/>
        <v>26585.109807000001</v>
      </c>
      <c r="T30" s="897">
        <f t="shared" si="19"/>
        <v>25059.764041999999</v>
      </c>
      <c r="U30" s="897">
        <f t="shared" si="19"/>
        <v>25600.624352692761</v>
      </c>
      <c r="V30" s="897"/>
      <c r="W30" s="897"/>
      <c r="X30" s="897"/>
      <c r="Y30" s="897"/>
      <c r="Z30" s="897"/>
      <c r="AA30" s="899"/>
      <c r="AB30" s="899"/>
      <c r="AC30" s="899"/>
      <c r="AD30" s="899"/>
      <c r="AE30" s="899"/>
      <c r="AF30" s="899"/>
      <c r="AG30" s="899"/>
      <c r="AH30" s="899"/>
      <c r="AI30" s="899"/>
      <c r="AJ30" s="899"/>
      <c r="AK30" s="899"/>
      <c r="AL30" s="899"/>
      <c r="AM30" s="899"/>
      <c r="AN30" s="899"/>
      <c r="AO30" s="899"/>
      <c r="AP30" s="899"/>
      <c r="AQ30" s="899"/>
      <c r="AR30" s="899"/>
      <c r="AS30" s="899"/>
      <c r="AT30" s="899"/>
      <c r="AU30" s="899"/>
      <c r="AV30" s="899"/>
      <c r="AW30" s="899"/>
      <c r="AX30" s="899"/>
      <c r="AY30" s="899"/>
      <c r="AZ30" s="899"/>
      <c r="BA30" s="899"/>
      <c r="BB30" s="899"/>
      <c r="BC30" s="899"/>
      <c r="BD30" s="899"/>
      <c r="BE30" s="899"/>
      <c r="BF30" s="899"/>
      <c r="BG30" s="900"/>
      <c r="BH30" s="900"/>
      <c r="BI30" s="900"/>
      <c r="BJ30" s="900"/>
      <c r="BK30" s="900"/>
      <c r="BL30" s="900"/>
      <c r="BM30" s="900"/>
      <c r="BN30" s="900"/>
      <c r="BO30" s="900"/>
      <c r="BP30" s="900"/>
      <c r="BQ30" s="900"/>
      <c r="BR30" s="900"/>
      <c r="BS30" s="900"/>
      <c r="BT30" s="900"/>
      <c r="BU30" s="900"/>
      <c r="BV30" s="900"/>
      <c r="BW30" s="900"/>
      <c r="BX30" s="900"/>
      <c r="BY30" s="900"/>
      <c r="BZ30" s="900"/>
      <c r="CA30" s="900"/>
      <c r="CB30" s="900"/>
      <c r="CC30" s="900"/>
      <c r="CD30" s="900"/>
      <c r="CE30" s="900"/>
      <c r="CF30" s="900"/>
      <c r="CG30" s="900"/>
      <c r="CH30" s="900"/>
      <c r="CI30" s="900"/>
      <c r="CJ30" s="900"/>
      <c r="CK30" s="900"/>
      <c r="CL30" s="900"/>
      <c r="CM30" s="900"/>
      <c r="CN30" s="900"/>
      <c r="CO30" s="900"/>
      <c r="CP30" s="900"/>
      <c r="CQ30" s="900"/>
      <c r="CR30" s="900"/>
      <c r="CS30" s="900"/>
      <c r="CT30" s="900"/>
      <c r="CU30" s="900"/>
      <c r="CV30" s="900"/>
      <c r="CW30" s="900"/>
      <c r="CX30" s="900"/>
      <c r="CY30" s="900"/>
      <c r="CZ30" s="900"/>
      <c r="DA30" s="900"/>
      <c r="DB30" s="900"/>
      <c r="DC30" s="900"/>
      <c r="DD30" s="900"/>
      <c r="DE30" s="900"/>
      <c r="DF30" s="900"/>
      <c r="DG30" s="900"/>
      <c r="DH30" s="900"/>
      <c r="DI30" s="900"/>
      <c r="DJ30" s="900"/>
      <c r="DK30" s="900"/>
      <c r="DL30" s="900"/>
      <c r="DM30" s="900"/>
      <c r="DN30" s="900"/>
      <c r="DO30" s="900"/>
      <c r="DP30" s="900"/>
      <c r="DQ30" s="900"/>
      <c r="DR30" s="900"/>
      <c r="DS30" s="900"/>
      <c r="DT30" s="900"/>
      <c r="DU30" s="900"/>
      <c r="DV30" s="900"/>
      <c r="DW30" s="900"/>
      <c r="DX30" s="900"/>
      <c r="DY30" s="900"/>
      <c r="DZ30" s="900"/>
      <c r="EA30" s="900"/>
      <c r="EB30" s="900"/>
      <c r="EC30" s="900"/>
      <c r="ED30" s="900"/>
      <c r="EE30" s="900"/>
      <c r="EF30" s="900"/>
      <c r="EG30" s="900"/>
      <c r="EH30" s="900"/>
      <c r="EI30" s="900"/>
      <c r="EJ30" s="900"/>
      <c r="EK30" s="900"/>
      <c r="EL30" s="900"/>
      <c r="EM30" s="900"/>
      <c r="EN30" s="900"/>
      <c r="EO30" s="900"/>
      <c r="EP30" s="900"/>
      <c r="EQ30" s="900"/>
      <c r="ER30" s="900"/>
      <c r="ES30" s="900"/>
      <c r="ET30" s="900"/>
      <c r="EU30" s="900"/>
      <c r="EV30" s="900"/>
      <c r="EW30" s="900"/>
      <c r="EX30" s="900"/>
      <c r="EY30" s="900"/>
      <c r="EZ30" s="900"/>
      <c r="FA30" s="900"/>
      <c r="FB30" s="900"/>
      <c r="FC30" s="900"/>
      <c r="FD30" s="900"/>
      <c r="FE30" s="900"/>
      <c r="FF30" s="900"/>
      <c r="FG30" s="900"/>
      <c r="FH30" s="900"/>
      <c r="FI30" s="900"/>
      <c r="FJ30" s="900"/>
      <c r="FK30" s="900"/>
      <c r="FL30" s="900"/>
      <c r="FM30" s="900"/>
      <c r="FN30" s="900"/>
      <c r="FO30" s="900"/>
      <c r="FP30" s="900"/>
      <c r="FQ30" s="900"/>
      <c r="FR30" s="900"/>
      <c r="FS30" s="900"/>
      <c r="FT30" s="900"/>
      <c r="FU30" s="900"/>
      <c r="FV30" s="900"/>
      <c r="FW30" s="900"/>
      <c r="FX30" s="900"/>
      <c r="FY30" s="900"/>
      <c r="FZ30" s="900"/>
      <c r="GA30" s="900"/>
      <c r="GB30" s="900"/>
      <c r="GC30" s="900"/>
      <c r="GD30" s="900"/>
      <c r="GE30" s="900"/>
      <c r="GF30" s="900"/>
    </row>
    <row r="31" spans="2:188" ht="17.100000000000001" customHeight="1">
      <c r="B31" s="793"/>
      <c r="C31" s="793"/>
      <c r="D31" s="793"/>
      <c r="E31" s="793"/>
      <c r="F31" s="897"/>
      <c r="G31" s="897"/>
      <c r="H31" s="898"/>
      <c r="I31" s="898"/>
      <c r="J31" s="898"/>
      <c r="K31" s="898"/>
      <c r="L31" s="898"/>
      <c r="M31" s="898"/>
      <c r="N31" s="898"/>
      <c r="O31" s="901"/>
      <c r="P31" s="902"/>
      <c r="Q31" s="902"/>
      <c r="R31" s="903">
        <f>R30/100-J49</f>
        <v>0</v>
      </c>
      <c r="S31" s="903">
        <f>S30/100-N49</f>
        <v>0</v>
      </c>
      <c r="T31" s="903">
        <f>T30/100-R49</f>
        <v>0</v>
      </c>
      <c r="U31" s="903">
        <f>U30/100-V49</f>
        <v>0</v>
      </c>
      <c r="V31" s="904"/>
      <c r="W31" s="904"/>
      <c r="X31" s="904"/>
      <c r="Y31" s="905"/>
      <c r="Z31" s="899"/>
      <c r="AA31" s="899"/>
      <c r="AB31" s="899"/>
      <c r="AC31" s="899"/>
      <c r="AD31" s="899"/>
      <c r="AE31" s="899"/>
      <c r="AF31" s="899"/>
      <c r="AG31" s="899"/>
      <c r="AH31" s="899"/>
      <c r="AI31" s="899"/>
      <c r="AJ31" s="899"/>
      <c r="AK31" s="899"/>
      <c r="AL31" s="899"/>
      <c r="AM31" s="899"/>
      <c r="AN31" s="899"/>
      <c r="AO31" s="899"/>
      <c r="AP31" s="899"/>
      <c r="AQ31" s="899"/>
      <c r="AR31" s="899"/>
      <c r="AS31" s="899"/>
      <c r="AT31" s="899"/>
      <c r="AU31" s="899"/>
      <c r="AV31" s="899"/>
      <c r="AW31" s="899"/>
      <c r="AX31" s="899"/>
      <c r="AY31" s="899"/>
      <c r="AZ31" s="899"/>
      <c r="BA31" s="899"/>
      <c r="BB31" s="899"/>
      <c r="BC31" s="899"/>
      <c r="BD31" s="899"/>
      <c r="BE31" s="899"/>
      <c r="BF31" s="900"/>
      <c r="BG31" s="900"/>
      <c r="BH31" s="900"/>
      <c r="BI31" s="900"/>
      <c r="BJ31" s="900"/>
      <c r="BK31" s="900"/>
      <c r="BL31" s="900"/>
      <c r="BM31" s="900"/>
      <c r="BN31" s="900"/>
      <c r="BO31" s="900"/>
      <c r="BP31" s="900"/>
      <c r="BQ31" s="900"/>
      <c r="BR31" s="900"/>
      <c r="BS31" s="900"/>
      <c r="BT31" s="900"/>
      <c r="BU31" s="900"/>
      <c r="BV31" s="900"/>
      <c r="BW31" s="900"/>
      <c r="BX31" s="900"/>
      <c r="BY31" s="900"/>
      <c r="BZ31" s="900"/>
      <c r="CA31" s="900"/>
      <c r="CB31" s="900"/>
      <c r="CC31" s="900"/>
      <c r="CD31" s="900"/>
      <c r="CE31" s="900"/>
      <c r="CF31" s="900"/>
      <c r="CG31" s="900"/>
      <c r="CH31" s="900"/>
      <c r="CI31" s="900"/>
      <c r="CJ31" s="900"/>
      <c r="CK31" s="900"/>
      <c r="CL31" s="900"/>
      <c r="CM31" s="900"/>
      <c r="CN31" s="900"/>
      <c r="CO31" s="900"/>
      <c r="CP31" s="900"/>
      <c r="CQ31" s="900"/>
      <c r="CR31" s="900"/>
      <c r="CS31" s="900"/>
      <c r="CT31" s="900"/>
      <c r="CU31" s="900"/>
      <c r="CV31" s="900"/>
      <c r="CW31" s="900"/>
      <c r="CX31" s="900"/>
      <c r="CY31" s="900"/>
      <c r="CZ31" s="900"/>
      <c r="DA31" s="900"/>
      <c r="DB31" s="900"/>
      <c r="DC31" s="900"/>
      <c r="DD31" s="900"/>
      <c r="DE31" s="900"/>
      <c r="DF31" s="900"/>
      <c r="DG31" s="900"/>
      <c r="DH31" s="900"/>
      <c r="DI31" s="900"/>
      <c r="DJ31" s="900"/>
      <c r="DK31" s="900"/>
      <c r="DL31" s="900"/>
      <c r="DM31" s="900"/>
      <c r="DN31" s="900"/>
      <c r="DO31" s="900"/>
      <c r="DP31" s="900"/>
      <c r="DQ31" s="900"/>
      <c r="DR31" s="900"/>
      <c r="DS31" s="900"/>
      <c r="DT31" s="900"/>
      <c r="DU31" s="900"/>
      <c r="DV31" s="900"/>
      <c r="DW31" s="900"/>
      <c r="DX31" s="900"/>
      <c r="DY31" s="900"/>
      <c r="DZ31" s="900"/>
      <c r="EA31" s="900"/>
      <c r="EB31" s="900"/>
      <c r="EC31" s="900"/>
      <c r="ED31" s="900"/>
      <c r="EE31" s="900"/>
      <c r="EF31" s="900"/>
      <c r="EG31" s="900"/>
      <c r="EH31" s="900"/>
      <c r="EI31" s="900"/>
      <c r="EJ31" s="900"/>
      <c r="EK31" s="900"/>
      <c r="EL31" s="900"/>
      <c r="EM31" s="900"/>
      <c r="EN31" s="900"/>
      <c r="EO31" s="900"/>
      <c r="EP31" s="900"/>
      <c r="EQ31" s="900"/>
      <c r="ER31" s="900"/>
      <c r="ES31" s="900"/>
      <c r="ET31" s="900"/>
      <c r="EU31" s="900"/>
      <c r="EV31" s="900"/>
      <c r="EW31" s="900"/>
      <c r="EX31" s="900"/>
      <c r="EY31" s="900"/>
      <c r="EZ31" s="900"/>
      <c r="FA31" s="900"/>
      <c r="FB31" s="900"/>
      <c r="FC31" s="900"/>
      <c r="FD31" s="900"/>
      <c r="FE31" s="900"/>
      <c r="FF31" s="900"/>
      <c r="FG31" s="900"/>
      <c r="FH31" s="900"/>
      <c r="FI31" s="900"/>
      <c r="FJ31" s="900"/>
      <c r="FK31" s="900"/>
      <c r="FL31" s="900"/>
      <c r="FM31" s="900"/>
      <c r="FN31" s="900"/>
      <c r="FO31" s="900"/>
      <c r="FP31" s="900"/>
      <c r="FQ31" s="900"/>
      <c r="FR31" s="900"/>
      <c r="FS31" s="900"/>
      <c r="FT31" s="900"/>
      <c r="FU31" s="900"/>
      <c r="FV31" s="900"/>
      <c r="FW31" s="900"/>
      <c r="FX31" s="900"/>
      <c r="FY31" s="900"/>
      <c r="FZ31" s="900"/>
      <c r="GA31" s="900"/>
      <c r="GB31" s="900"/>
      <c r="GC31" s="900"/>
      <c r="GD31" s="900"/>
      <c r="GE31" s="900"/>
    </row>
    <row r="32" spans="2:188" ht="17.100000000000001" customHeight="1" thickBot="1">
      <c r="B32" s="793"/>
      <c r="C32" s="793"/>
      <c r="D32" s="793"/>
      <c r="E32" s="793"/>
      <c r="F32" s="897"/>
      <c r="G32" s="897"/>
      <c r="H32" s="898"/>
      <c r="I32" s="898"/>
      <c r="J32" s="898"/>
      <c r="K32" s="898"/>
      <c r="L32" s="898"/>
      <c r="M32" s="898"/>
      <c r="N32" s="898"/>
      <c r="O32" s="906"/>
      <c r="P32" s="907"/>
      <c r="Q32" s="907"/>
      <c r="R32" s="907"/>
      <c r="S32" s="908"/>
      <c r="T32" s="908"/>
      <c r="U32" s="908"/>
      <c r="V32" s="907"/>
      <c r="W32" s="909"/>
      <c r="X32" s="907"/>
      <c r="Y32" s="907"/>
      <c r="Z32" s="899"/>
      <c r="AA32" s="899"/>
      <c r="AB32" s="899"/>
      <c r="AC32" s="899"/>
      <c r="AD32" s="899"/>
      <c r="AE32" s="899"/>
      <c r="AF32" s="899"/>
      <c r="AG32" s="899"/>
      <c r="AH32" s="899"/>
      <c r="AI32" s="899"/>
      <c r="AJ32" s="899"/>
      <c r="AK32" s="899"/>
      <c r="AL32" s="899"/>
      <c r="AM32" s="899"/>
      <c r="AN32" s="899"/>
      <c r="AO32" s="899"/>
      <c r="AP32" s="899"/>
      <c r="AQ32" s="899"/>
      <c r="AR32" s="899"/>
      <c r="AS32" s="899"/>
      <c r="AT32" s="899"/>
      <c r="AU32" s="899"/>
      <c r="AV32" s="899"/>
      <c r="AW32" s="899"/>
      <c r="AX32" s="899"/>
      <c r="AY32" s="899"/>
      <c r="AZ32" s="899"/>
      <c r="BA32" s="899"/>
      <c r="BB32" s="899"/>
      <c r="BC32" s="899"/>
      <c r="BD32" s="899"/>
      <c r="BE32" s="899"/>
      <c r="BF32" s="900"/>
      <c r="BG32" s="900"/>
      <c r="BH32" s="900"/>
      <c r="BI32" s="900"/>
      <c r="BJ32" s="900"/>
      <c r="BK32" s="900"/>
      <c r="BL32" s="900"/>
      <c r="BM32" s="900"/>
      <c r="BN32" s="900"/>
      <c r="BO32" s="900"/>
      <c r="BP32" s="900"/>
      <c r="BQ32" s="900"/>
      <c r="BR32" s="900"/>
      <c r="BS32" s="900"/>
      <c r="BT32" s="900"/>
      <c r="BU32" s="900"/>
      <c r="BV32" s="900"/>
      <c r="BW32" s="900"/>
      <c r="BX32" s="900"/>
      <c r="BY32" s="900"/>
      <c r="BZ32" s="900"/>
      <c r="CA32" s="900"/>
      <c r="CB32" s="900"/>
      <c r="CC32" s="900"/>
      <c r="CD32" s="900"/>
      <c r="CE32" s="900"/>
      <c r="CF32" s="900"/>
      <c r="CG32" s="900"/>
      <c r="CH32" s="900"/>
      <c r="CI32" s="900"/>
      <c r="CJ32" s="900"/>
      <c r="CK32" s="900"/>
      <c r="CL32" s="900"/>
      <c r="CM32" s="900"/>
      <c r="CN32" s="900"/>
      <c r="CO32" s="900"/>
      <c r="CP32" s="900"/>
      <c r="CQ32" s="900"/>
      <c r="CR32" s="900"/>
      <c r="CS32" s="900"/>
      <c r="CT32" s="900"/>
      <c r="CU32" s="900"/>
      <c r="CV32" s="900"/>
      <c r="CW32" s="900"/>
      <c r="CX32" s="900"/>
      <c r="CY32" s="900"/>
      <c r="CZ32" s="900"/>
      <c r="DA32" s="900"/>
      <c r="DB32" s="900"/>
      <c r="DC32" s="900"/>
      <c r="DD32" s="900"/>
      <c r="DE32" s="900"/>
      <c r="DF32" s="900"/>
      <c r="DG32" s="900"/>
      <c r="DH32" s="900"/>
      <c r="DI32" s="900"/>
      <c r="DJ32" s="900"/>
      <c r="DK32" s="900"/>
      <c r="DL32" s="900"/>
      <c r="DM32" s="900"/>
      <c r="DN32" s="900"/>
      <c r="DO32" s="900"/>
      <c r="DP32" s="900"/>
      <c r="DQ32" s="900"/>
      <c r="DR32" s="900"/>
      <c r="DS32" s="900"/>
      <c r="DT32" s="900"/>
      <c r="DU32" s="900"/>
      <c r="DV32" s="900"/>
      <c r="DW32" s="900"/>
      <c r="DX32" s="900"/>
      <c r="DY32" s="900"/>
      <c r="DZ32" s="900"/>
      <c r="EA32" s="900"/>
      <c r="EB32" s="900"/>
      <c r="EC32" s="900"/>
      <c r="ED32" s="900"/>
      <c r="EE32" s="900"/>
      <c r="EF32" s="900"/>
      <c r="EG32" s="900"/>
      <c r="EH32" s="900"/>
      <c r="EI32" s="900"/>
      <c r="EJ32" s="900"/>
      <c r="EK32" s="900"/>
      <c r="EL32" s="900"/>
      <c r="EM32" s="900"/>
      <c r="EN32" s="900"/>
      <c r="EO32" s="900"/>
      <c r="EP32" s="900"/>
      <c r="EQ32" s="900"/>
      <c r="ER32" s="900"/>
      <c r="ES32" s="900"/>
      <c r="ET32" s="900"/>
      <c r="EU32" s="900"/>
      <c r="EV32" s="900"/>
      <c r="EW32" s="900"/>
      <c r="EX32" s="900"/>
      <c r="EY32" s="900"/>
      <c r="EZ32" s="900"/>
      <c r="FA32" s="900"/>
      <c r="FB32" s="900"/>
      <c r="FC32" s="900"/>
      <c r="FD32" s="900"/>
      <c r="FE32" s="900"/>
      <c r="FF32" s="900"/>
      <c r="FG32" s="900"/>
      <c r="FH32" s="900"/>
      <c r="FI32" s="900"/>
      <c r="FJ32" s="900"/>
      <c r="FK32" s="900"/>
      <c r="FL32" s="900"/>
      <c r="FM32" s="900"/>
      <c r="FN32" s="900"/>
      <c r="FO32" s="900"/>
      <c r="FP32" s="900"/>
      <c r="FQ32" s="900"/>
      <c r="FR32" s="900"/>
      <c r="FS32" s="900"/>
      <c r="FT32" s="900"/>
      <c r="FU32" s="900"/>
      <c r="FV32" s="900"/>
      <c r="FW32" s="900"/>
      <c r="FX32" s="900"/>
      <c r="FY32" s="900"/>
      <c r="FZ32" s="900"/>
      <c r="GA32" s="900"/>
      <c r="GB32" s="900"/>
      <c r="GC32" s="900"/>
      <c r="GD32" s="900"/>
      <c r="GE32" s="900"/>
    </row>
    <row r="33" spans="1:188" ht="17.100000000000001" customHeight="1">
      <c r="C33" s="5567" t="s">
        <v>5091</v>
      </c>
      <c r="D33" s="5568"/>
      <c r="E33" s="5568"/>
      <c r="F33" s="5565" t="s">
        <v>5092</v>
      </c>
      <c r="G33" s="4774"/>
      <c r="H33" s="4775">
        <f>YEAR(H34)</f>
        <v>2019</v>
      </c>
      <c r="I33" s="4775">
        <f t="shared" ref="I33:BT33" si="20">YEAR(I34)</f>
        <v>2019</v>
      </c>
      <c r="J33" s="4775">
        <f t="shared" si="20"/>
        <v>2019</v>
      </c>
      <c r="K33" s="4775">
        <f t="shared" si="20"/>
        <v>2019</v>
      </c>
      <c r="L33" s="4775">
        <f t="shared" si="20"/>
        <v>2020</v>
      </c>
      <c r="M33" s="4775">
        <f t="shared" si="20"/>
        <v>2020</v>
      </c>
      <c r="N33" s="4775">
        <f t="shared" si="20"/>
        <v>2020</v>
      </c>
      <c r="O33" s="4775">
        <f t="shared" si="20"/>
        <v>2020</v>
      </c>
      <c r="P33" s="4775">
        <f t="shared" si="20"/>
        <v>2021</v>
      </c>
      <c r="Q33" s="4775">
        <f t="shared" si="20"/>
        <v>2021</v>
      </c>
      <c r="R33" s="4775">
        <f t="shared" si="20"/>
        <v>2021</v>
      </c>
      <c r="S33" s="4775">
        <f t="shared" si="20"/>
        <v>2021</v>
      </c>
      <c r="T33" s="4775">
        <f t="shared" si="20"/>
        <v>2022</v>
      </c>
      <c r="U33" s="4775">
        <f t="shared" si="20"/>
        <v>2022</v>
      </c>
      <c r="V33" s="4775">
        <f t="shared" si="20"/>
        <v>2022</v>
      </c>
      <c r="W33" s="4775">
        <f t="shared" si="20"/>
        <v>2022</v>
      </c>
      <c r="X33" s="4775">
        <f t="shared" si="20"/>
        <v>2023</v>
      </c>
      <c r="Y33" s="4775">
        <f t="shared" si="20"/>
        <v>2023</v>
      </c>
      <c r="Z33" s="4775">
        <f t="shared" si="20"/>
        <v>2023</v>
      </c>
      <c r="AA33" s="4775">
        <f t="shared" si="20"/>
        <v>2023</v>
      </c>
      <c r="AB33" s="4775">
        <f t="shared" si="20"/>
        <v>2024</v>
      </c>
      <c r="AC33" s="4775">
        <f t="shared" si="20"/>
        <v>2024</v>
      </c>
      <c r="AD33" s="4775">
        <f t="shared" si="20"/>
        <v>2024</v>
      </c>
      <c r="AE33" s="4775">
        <f t="shared" si="20"/>
        <v>2024</v>
      </c>
      <c r="AF33" s="4775">
        <f t="shared" si="20"/>
        <v>2025</v>
      </c>
      <c r="AG33" s="4775">
        <f t="shared" si="20"/>
        <v>2025</v>
      </c>
      <c r="AH33" s="4775">
        <f t="shared" si="20"/>
        <v>2025</v>
      </c>
      <c r="AI33" s="4775">
        <f t="shared" si="20"/>
        <v>2025</v>
      </c>
      <c r="AJ33" s="4775">
        <f t="shared" si="20"/>
        <v>2026</v>
      </c>
      <c r="AK33" s="4775">
        <f t="shared" si="20"/>
        <v>2026</v>
      </c>
      <c r="AL33" s="4775">
        <f t="shared" si="20"/>
        <v>2026</v>
      </c>
      <c r="AM33" s="4775">
        <f t="shared" si="20"/>
        <v>2026</v>
      </c>
      <c r="AN33" s="4775">
        <f t="shared" si="20"/>
        <v>2027</v>
      </c>
      <c r="AO33" s="4775">
        <f t="shared" si="20"/>
        <v>2027</v>
      </c>
      <c r="AP33" s="4775">
        <f t="shared" si="20"/>
        <v>2027</v>
      </c>
      <c r="AQ33" s="4775">
        <f t="shared" si="20"/>
        <v>2027</v>
      </c>
      <c r="AR33" s="4775">
        <f t="shared" si="20"/>
        <v>2028</v>
      </c>
      <c r="AS33" s="4775">
        <f t="shared" si="20"/>
        <v>2028</v>
      </c>
      <c r="AT33" s="4775">
        <f t="shared" si="20"/>
        <v>2028</v>
      </c>
      <c r="AU33" s="4775">
        <f t="shared" si="20"/>
        <v>2028</v>
      </c>
      <c r="AV33" s="4775">
        <f t="shared" si="20"/>
        <v>2029</v>
      </c>
      <c r="AW33" s="4775">
        <f t="shared" si="20"/>
        <v>2029</v>
      </c>
      <c r="AX33" s="4775">
        <f t="shared" si="20"/>
        <v>2029</v>
      </c>
      <c r="AY33" s="4775">
        <f t="shared" si="20"/>
        <v>2029</v>
      </c>
      <c r="AZ33" s="4775">
        <f t="shared" si="20"/>
        <v>2030</v>
      </c>
      <c r="BA33" s="4775">
        <f t="shared" si="20"/>
        <v>2030</v>
      </c>
      <c r="BB33" s="4775">
        <f t="shared" si="20"/>
        <v>2030</v>
      </c>
      <c r="BC33" s="4775">
        <f t="shared" si="20"/>
        <v>2030</v>
      </c>
      <c r="BD33" s="4775">
        <f t="shared" si="20"/>
        <v>2031</v>
      </c>
      <c r="BE33" s="4775">
        <f t="shared" si="20"/>
        <v>2031</v>
      </c>
      <c r="BF33" s="4775">
        <f t="shared" si="20"/>
        <v>2031</v>
      </c>
      <c r="BG33" s="4775">
        <f t="shared" si="20"/>
        <v>2031</v>
      </c>
      <c r="BH33" s="4775">
        <f t="shared" si="20"/>
        <v>2032</v>
      </c>
      <c r="BI33" s="4775">
        <f t="shared" si="20"/>
        <v>2032</v>
      </c>
      <c r="BJ33" s="4775">
        <f t="shared" si="20"/>
        <v>2032</v>
      </c>
      <c r="BK33" s="4775">
        <f t="shared" si="20"/>
        <v>2032</v>
      </c>
      <c r="BL33" s="4775">
        <f t="shared" si="20"/>
        <v>2033</v>
      </c>
      <c r="BM33" s="4775">
        <f t="shared" si="20"/>
        <v>2033</v>
      </c>
      <c r="BN33" s="4775">
        <f t="shared" si="20"/>
        <v>2033</v>
      </c>
      <c r="BO33" s="4775">
        <f t="shared" si="20"/>
        <v>2033</v>
      </c>
      <c r="BP33" s="4775">
        <f t="shared" si="20"/>
        <v>2034</v>
      </c>
      <c r="BQ33" s="4775">
        <f t="shared" si="20"/>
        <v>2034</v>
      </c>
      <c r="BR33" s="4775">
        <f t="shared" si="20"/>
        <v>2034</v>
      </c>
      <c r="BS33" s="4775">
        <f t="shared" si="20"/>
        <v>2034</v>
      </c>
      <c r="BT33" s="4775">
        <f t="shared" si="20"/>
        <v>2035</v>
      </c>
      <c r="BU33" s="4775">
        <f t="shared" ref="BU33:EF33" si="21">YEAR(BU34)</f>
        <v>2035</v>
      </c>
      <c r="BV33" s="4775">
        <f t="shared" si="21"/>
        <v>2035</v>
      </c>
      <c r="BW33" s="4775">
        <f t="shared" si="21"/>
        <v>2035</v>
      </c>
      <c r="BX33" s="4775">
        <f t="shared" si="21"/>
        <v>2036</v>
      </c>
      <c r="BY33" s="4775">
        <f t="shared" si="21"/>
        <v>2036</v>
      </c>
      <c r="BZ33" s="4775">
        <f t="shared" si="21"/>
        <v>2036</v>
      </c>
      <c r="CA33" s="4775">
        <f t="shared" si="21"/>
        <v>2036</v>
      </c>
      <c r="CB33" s="4775">
        <f t="shared" si="21"/>
        <v>2037</v>
      </c>
      <c r="CC33" s="4775">
        <f t="shared" si="21"/>
        <v>2037</v>
      </c>
      <c r="CD33" s="4775">
        <f t="shared" si="21"/>
        <v>2037</v>
      </c>
      <c r="CE33" s="4775">
        <f t="shared" si="21"/>
        <v>2037</v>
      </c>
      <c r="CF33" s="4775">
        <f t="shared" si="21"/>
        <v>2038</v>
      </c>
      <c r="CG33" s="4775">
        <f t="shared" si="21"/>
        <v>2038</v>
      </c>
      <c r="CH33" s="4775">
        <f t="shared" si="21"/>
        <v>2038</v>
      </c>
      <c r="CI33" s="4775">
        <f t="shared" si="21"/>
        <v>2038</v>
      </c>
      <c r="CJ33" s="4775">
        <f t="shared" si="21"/>
        <v>2039</v>
      </c>
      <c r="CK33" s="4775">
        <f t="shared" si="21"/>
        <v>2039</v>
      </c>
      <c r="CL33" s="4775">
        <f t="shared" si="21"/>
        <v>2039</v>
      </c>
      <c r="CM33" s="4775">
        <f t="shared" si="21"/>
        <v>2039</v>
      </c>
      <c r="CN33" s="4775">
        <f t="shared" si="21"/>
        <v>2040</v>
      </c>
      <c r="CO33" s="4775">
        <f t="shared" si="21"/>
        <v>2040</v>
      </c>
      <c r="CP33" s="4775">
        <f t="shared" si="21"/>
        <v>2040</v>
      </c>
      <c r="CQ33" s="4775">
        <f t="shared" si="21"/>
        <v>2040</v>
      </c>
      <c r="CR33" s="4775">
        <f t="shared" si="21"/>
        <v>2041</v>
      </c>
      <c r="CS33" s="4775">
        <f t="shared" si="21"/>
        <v>2041</v>
      </c>
      <c r="CT33" s="4775">
        <f t="shared" si="21"/>
        <v>2041</v>
      </c>
      <c r="CU33" s="4775">
        <f t="shared" si="21"/>
        <v>2041</v>
      </c>
      <c r="CV33" s="4775">
        <f t="shared" si="21"/>
        <v>2042</v>
      </c>
      <c r="CW33" s="4775">
        <f t="shared" si="21"/>
        <v>2042</v>
      </c>
      <c r="CX33" s="4775">
        <f t="shared" si="21"/>
        <v>2042</v>
      </c>
      <c r="CY33" s="4775">
        <f t="shared" si="21"/>
        <v>2042</v>
      </c>
      <c r="CZ33" s="4775">
        <f t="shared" si="21"/>
        <v>2043</v>
      </c>
      <c r="DA33" s="4775">
        <f t="shared" si="21"/>
        <v>2043</v>
      </c>
      <c r="DB33" s="4775">
        <f t="shared" si="21"/>
        <v>2043</v>
      </c>
      <c r="DC33" s="4775">
        <f t="shared" si="21"/>
        <v>2043</v>
      </c>
      <c r="DD33" s="4775">
        <f t="shared" si="21"/>
        <v>2044</v>
      </c>
      <c r="DE33" s="4775">
        <f t="shared" si="21"/>
        <v>2044</v>
      </c>
      <c r="DF33" s="4775">
        <f t="shared" si="21"/>
        <v>2044</v>
      </c>
      <c r="DG33" s="4775">
        <f t="shared" si="21"/>
        <v>2044</v>
      </c>
      <c r="DH33" s="4775">
        <f t="shared" si="21"/>
        <v>2045</v>
      </c>
      <c r="DI33" s="4775">
        <f t="shared" si="21"/>
        <v>2045</v>
      </c>
      <c r="DJ33" s="4775">
        <f t="shared" si="21"/>
        <v>2045</v>
      </c>
      <c r="DK33" s="4775">
        <f t="shared" si="21"/>
        <v>2045</v>
      </c>
      <c r="DL33" s="4775">
        <f t="shared" si="21"/>
        <v>2046</v>
      </c>
      <c r="DM33" s="4775">
        <f t="shared" si="21"/>
        <v>2046</v>
      </c>
      <c r="DN33" s="4775">
        <f t="shared" si="21"/>
        <v>2046</v>
      </c>
      <c r="DO33" s="4775">
        <f t="shared" si="21"/>
        <v>2046</v>
      </c>
      <c r="DP33" s="4775">
        <f t="shared" si="21"/>
        <v>2047</v>
      </c>
      <c r="DQ33" s="4775">
        <f t="shared" si="21"/>
        <v>2047</v>
      </c>
      <c r="DR33" s="4775">
        <f t="shared" si="21"/>
        <v>2047</v>
      </c>
      <c r="DS33" s="4775">
        <f t="shared" si="21"/>
        <v>2047</v>
      </c>
      <c r="DT33" s="4775">
        <f t="shared" si="21"/>
        <v>2048</v>
      </c>
      <c r="DU33" s="4775">
        <f t="shared" si="21"/>
        <v>2048</v>
      </c>
      <c r="DV33" s="4775">
        <f t="shared" si="21"/>
        <v>2048</v>
      </c>
      <c r="DW33" s="4775">
        <f t="shared" si="21"/>
        <v>2048</v>
      </c>
      <c r="DX33" s="4775">
        <f t="shared" si="21"/>
        <v>2049</v>
      </c>
      <c r="DY33" s="4775">
        <f t="shared" si="21"/>
        <v>2049</v>
      </c>
      <c r="DZ33" s="4775">
        <f t="shared" si="21"/>
        <v>2049</v>
      </c>
      <c r="EA33" s="4775">
        <f t="shared" si="21"/>
        <v>2049</v>
      </c>
      <c r="EB33" s="4775">
        <f t="shared" si="21"/>
        <v>2050</v>
      </c>
      <c r="EC33" s="4775">
        <f t="shared" si="21"/>
        <v>2050</v>
      </c>
      <c r="ED33" s="4775">
        <f t="shared" si="21"/>
        <v>2050</v>
      </c>
      <c r="EE33" s="4775">
        <f t="shared" si="21"/>
        <v>2050</v>
      </c>
      <c r="EF33" s="4775">
        <f t="shared" si="21"/>
        <v>2051</v>
      </c>
      <c r="EG33" s="4775">
        <f t="shared" ref="EG33:GE33" si="22">YEAR(EG34)</f>
        <v>2051</v>
      </c>
      <c r="EH33" s="4775">
        <f t="shared" si="22"/>
        <v>2051</v>
      </c>
      <c r="EI33" s="4775">
        <f t="shared" si="22"/>
        <v>2051</v>
      </c>
      <c r="EJ33" s="4775">
        <f t="shared" si="22"/>
        <v>2052</v>
      </c>
      <c r="EK33" s="4775">
        <f t="shared" si="22"/>
        <v>2052</v>
      </c>
      <c r="EL33" s="4775">
        <f t="shared" si="22"/>
        <v>2052</v>
      </c>
      <c r="EM33" s="4775">
        <f t="shared" si="22"/>
        <v>2052</v>
      </c>
      <c r="EN33" s="4775">
        <f t="shared" si="22"/>
        <v>2053</v>
      </c>
      <c r="EO33" s="4775">
        <f t="shared" si="22"/>
        <v>2053</v>
      </c>
      <c r="EP33" s="4775">
        <f t="shared" si="22"/>
        <v>2053</v>
      </c>
      <c r="EQ33" s="4775">
        <f t="shared" si="22"/>
        <v>2053</v>
      </c>
      <c r="ER33" s="4775">
        <f t="shared" si="22"/>
        <v>2054</v>
      </c>
      <c r="ES33" s="4775">
        <f t="shared" si="22"/>
        <v>2054</v>
      </c>
      <c r="ET33" s="4775">
        <f t="shared" si="22"/>
        <v>2054</v>
      </c>
      <c r="EU33" s="4775">
        <f t="shared" si="22"/>
        <v>2054</v>
      </c>
      <c r="EV33" s="4775">
        <f t="shared" si="22"/>
        <v>2055</v>
      </c>
      <c r="EW33" s="4775">
        <f t="shared" si="22"/>
        <v>2055</v>
      </c>
      <c r="EX33" s="4775">
        <f t="shared" si="22"/>
        <v>2055</v>
      </c>
      <c r="EY33" s="4775">
        <f t="shared" si="22"/>
        <v>2055</v>
      </c>
      <c r="EZ33" s="4775">
        <f t="shared" si="22"/>
        <v>2056</v>
      </c>
      <c r="FA33" s="4775">
        <f t="shared" si="22"/>
        <v>2056</v>
      </c>
      <c r="FB33" s="4775">
        <f t="shared" si="22"/>
        <v>2056</v>
      </c>
      <c r="FC33" s="4775">
        <f t="shared" si="22"/>
        <v>2056</v>
      </c>
      <c r="FD33" s="4775">
        <f t="shared" si="22"/>
        <v>2057</v>
      </c>
      <c r="FE33" s="4775">
        <f t="shared" si="22"/>
        <v>2057</v>
      </c>
      <c r="FF33" s="4775">
        <f t="shared" si="22"/>
        <v>2057</v>
      </c>
      <c r="FG33" s="4775">
        <f t="shared" si="22"/>
        <v>2057</v>
      </c>
      <c r="FH33" s="4775">
        <f t="shared" si="22"/>
        <v>2058</v>
      </c>
      <c r="FI33" s="4775">
        <f t="shared" si="22"/>
        <v>2058</v>
      </c>
      <c r="FJ33" s="4775">
        <f t="shared" si="22"/>
        <v>2058</v>
      </c>
      <c r="FK33" s="4775">
        <f t="shared" si="22"/>
        <v>2058</v>
      </c>
      <c r="FL33" s="4775">
        <f t="shared" si="22"/>
        <v>2059</v>
      </c>
      <c r="FM33" s="4775">
        <f t="shared" si="22"/>
        <v>2059</v>
      </c>
      <c r="FN33" s="4775">
        <f t="shared" si="22"/>
        <v>2059</v>
      </c>
      <c r="FO33" s="4775">
        <f t="shared" si="22"/>
        <v>2059</v>
      </c>
      <c r="FP33" s="4775">
        <f t="shared" si="22"/>
        <v>2060</v>
      </c>
      <c r="FQ33" s="4775">
        <f t="shared" si="22"/>
        <v>2060</v>
      </c>
      <c r="FR33" s="4775">
        <f t="shared" si="22"/>
        <v>2060</v>
      </c>
      <c r="FS33" s="4775">
        <f t="shared" si="22"/>
        <v>2060</v>
      </c>
      <c r="FT33" s="4775">
        <f t="shared" si="22"/>
        <v>2061</v>
      </c>
      <c r="FU33" s="4775">
        <f t="shared" si="22"/>
        <v>2061</v>
      </c>
      <c r="FV33" s="4775">
        <f t="shared" si="22"/>
        <v>2061</v>
      </c>
      <c r="FW33" s="4775">
        <f t="shared" si="22"/>
        <v>2061</v>
      </c>
      <c r="FX33" s="4775">
        <f t="shared" si="22"/>
        <v>2062</v>
      </c>
      <c r="FY33" s="4775">
        <f t="shared" si="22"/>
        <v>2062</v>
      </c>
      <c r="FZ33" s="4775">
        <f t="shared" si="22"/>
        <v>2062</v>
      </c>
      <c r="GA33" s="4775">
        <f t="shared" si="22"/>
        <v>2062</v>
      </c>
      <c r="GB33" s="4775">
        <f t="shared" si="22"/>
        <v>2063</v>
      </c>
      <c r="GC33" s="4775">
        <f t="shared" si="22"/>
        <v>2063</v>
      </c>
      <c r="GD33" s="4775">
        <f t="shared" si="22"/>
        <v>2063</v>
      </c>
      <c r="GE33" s="4776">
        <f t="shared" si="22"/>
        <v>2063</v>
      </c>
    </row>
    <row r="34" spans="1:188" s="302" customFormat="1" ht="17.100000000000001" customHeight="1">
      <c r="B34" s="303"/>
      <c r="C34" s="5569"/>
      <c r="D34" s="5570"/>
      <c r="E34" s="5570"/>
      <c r="F34" s="5566"/>
      <c r="G34" s="4777"/>
      <c r="H34" s="4757">
        <f>기준분기</f>
        <v>43555</v>
      </c>
      <c r="I34" s="4757">
        <f t="shared" ref="I34:BT34" si="23">EOMONTH(H34,3)</f>
        <v>43646</v>
      </c>
      <c r="J34" s="4757">
        <f t="shared" si="23"/>
        <v>43738</v>
      </c>
      <c r="K34" s="4757">
        <f t="shared" si="23"/>
        <v>43830</v>
      </c>
      <c r="L34" s="4757">
        <f t="shared" si="23"/>
        <v>43921</v>
      </c>
      <c r="M34" s="4757">
        <f t="shared" si="23"/>
        <v>44012</v>
      </c>
      <c r="N34" s="4757">
        <f t="shared" si="23"/>
        <v>44104</v>
      </c>
      <c r="O34" s="4757">
        <f t="shared" si="23"/>
        <v>44196</v>
      </c>
      <c r="P34" s="4758">
        <f t="shared" si="23"/>
        <v>44286</v>
      </c>
      <c r="Q34" s="4758">
        <f t="shared" si="23"/>
        <v>44377</v>
      </c>
      <c r="R34" s="4758">
        <f t="shared" si="23"/>
        <v>44469</v>
      </c>
      <c r="S34" s="4758">
        <f t="shared" si="23"/>
        <v>44561</v>
      </c>
      <c r="T34" s="4758">
        <f t="shared" si="23"/>
        <v>44651</v>
      </c>
      <c r="U34" s="4758">
        <f t="shared" si="23"/>
        <v>44742</v>
      </c>
      <c r="V34" s="4758">
        <f t="shared" si="23"/>
        <v>44834</v>
      </c>
      <c r="W34" s="4758">
        <f t="shared" si="23"/>
        <v>44926</v>
      </c>
      <c r="X34" s="4758">
        <f t="shared" si="23"/>
        <v>45016</v>
      </c>
      <c r="Y34" s="4758">
        <f t="shared" si="23"/>
        <v>45107</v>
      </c>
      <c r="Z34" s="4758">
        <f t="shared" si="23"/>
        <v>45199</v>
      </c>
      <c r="AA34" s="4758">
        <f t="shared" si="23"/>
        <v>45291</v>
      </c>
      <c r="AB34" s="4758">
        <f t="shared" si="23"/>
        <v>45382</v>
      </c>
      <c r="AC34" s="4758">
        <f t="shared" si="23"/>
        <v>45473</v>
      </c>
      <c r="AD34" s="4758">
        <f t="shared" si="23"/>
        <v>45565</v>
      </c>
      <c r="AE34" s="4758">
        <f t="shared" si="23"/>
        <v>45657</v>
      </c>
      <c r="AF34" s="4758">
        <f t="shared" si="23"/>
        <v>45747</v>
      </c>
      <c r="AG34" s="4758">
        <f t="shared" si="23"/>
        <v>45838</v>
      </c>
      <c r="AH34" s="4758">
        <f t="shared" si="23"/>
        <v>45930</v>
      </c>
      <c r="AI34" s="4758">
        <f t="shared" si="23"/>
        <v>46022</v>
      </c>
      <c r="AJ34" s="4758">
        <f t="shared" si="23"/>
        <v>46112</v>
      </c>
      <c r="AK34" s="4758">
        <f t="shared" si="23"/>
        <v>46203</v>
      </c>
      <c r="AL34" s="4758">
        <f t="shared" si="23"/>
        <v>46295</v>
      </c>
      <c r="AM34" s="4758">
        <f t="shared" si="23"/>
        <v>46387</v>
      </c>
      <c r="AN34" s="4758">
        <f t="shared" si="23"/>
        <v>46477</v>
      </c>
      <c r="AO34" s="4758">
        <f t="shared" si="23"/>
        <v>46568</v>
      </c>
      <c r="AP34" s="4758">
        <f t="shared" si="23"/>
        <v>46660</v>
      </c>
      <c r="AQ34" s="4758">
        <f t="shared" si="23"/>
        <v>46752</v>
      </c>
      <c r="AR34" s="4758">
        <f t="shared" si="23"/>
        <v>46843</v>
      </c>
      <c r="AS34" s="4758">
        <f t="shared" si="23"/>
        <v>46934</v>
      </c>
      <c r="AT34" s="4758">
        <f t="shared" si="23"/>
        <v>47026</v>
      </c>
      <c r="AU34" s="4758">
        <f t="shared" si="23"/>
        <v>47118</v>
      </c>
      <c r="AV34" s="4758">
        <f t="shared" si="23"/>
        <v>47208</v>
      </c>
      <c r="AW34" s="4758">
        <f t="shared" si="23"/>
        <v>47299</v>
      </c>
      <c r="AX34" s="4758">
        <f t="shared" si="23"/>
        <v>47391</v>
      </c>
      <c r="AY34" s="4758">
        <f t="shared" si="23"/>
        <v>47483</v>
      </c>
      <c r="AZ34" s="4758">
        <f t="shared" si="23"/>
        <v>47573</v>
      </c>
      <c r="BA34" s="4758">
        <f t="shared" si="23"/>
        <v>47664</v>
      </c>
      <c r="BB34" s="4758">
        <f t="shared" si="23"/>
        <v>47756</v>
      </c>
      <c r="BC34" s="4758">
        <f t="shared" si="23"/>
        <v>47848</v>
      </c>
      <c r="BD34" s="4758">
        <f t="shared" si="23"/>
        <v>47938</v>
      </c>
      <c r="BE34" s="4758">
        <f t="shared" si="23"/>
        <v>48029</v>
      </c>
      <c r="BF34" s="4758">
        <f t="shared" si="23"/>
        <v>48121</v>
      </c>
      <c r="BG34" s="4758">
        <f t="shared" si="23"/>
        <v>48213</v>
      </c>
      <c r="BH34" s="4758">
        <f t="shared" si="23"/>
        <v>48304</v>
      </c>
      <c r="BI34" s="4758">
        <f t="shared" si="23"/>
        <v>48395</v>
      </c>
      <c r="BJ34" s="4758">
        <f t="shared" si="23"/>
        <v>48487</v>
      </c>
      <c r="BK34" s="4758">
        <f t="shared" si="23"/>
        <v>48579</v>
      </c>
      <c r="BL34" s="4758">
        <f t="shared" si="23"/>
        <v>48669</v>
      </c>
      <c r="BM34" s="4758">
        <f t="shared" si="23"/>
        <v>48760</v>
      </c>
      <c r="BN34" s="4758">
        <f t="shared" si="23"/>
        <v>48852</v>
      </c>
      <c r="BO34" s="4758">
        <f t="shared" si="23"/>
        <v>48944</v>
      </c>
      <c r="BP34" s="4758">
        <f t="shared" si="23"/>
        <v>49034</v>
      </c>
      <c r="BQ34" s="4758">
        <f t="shared" si="23"/>
        <v>49125</v>
      </c>
      <c r="BR34" s="4758">
        <f t="shared" si="23"/>
        <v>49217</v>
      </c>
      <c r="BS34" s="4758">
        <f t="shared" si="23"/>
        <v>49309</v>
      </c>
      <c r="BT34" s="4758">
        <f t="shared" si="23"/>
        <v>49399</v>
      </c>
      <c r="BU34" s="4758">
        <f t="shared" ref="BU34:EF34" si="24">EOMONTH(BT34,3)</f>
        <v>49490</v>
      </c>
      <c r="BV34" s="4758">
        <f t="shared" si="24"/>
        <v>49582</v>
      </c>
      <c r="BW34" s="4758">
        <f t="shared" si="24"/>
        <v>49674</v>
      </c>
      <c r="BX34" s="4758">
        <f t="shared" si="24"/>
        <v>49765</v>
      </c>
      <c r="BY34" s="4758">
        <f t="shared" si="24"/>
        <v>49856</v>
      </c>
      <c r="BZ34" s="4758">
        <f t="shared" si="24"/>
        <v>49948</v>
      </c>
      <c r="CA34" s="4758">
        <f t="shared" si="24"/>
        <v>50040</v>
      </c>
      <c r="CB34" s="4758">
        <f t="shared" si="24"/>
        <v>50130</v>
      </c>
      <c r="CC34" s="4758">
        <f t="shared" si="24"/>
        <v>50221</v>
      </c>
      <c r="CD34" s="4758">
        <f t="shared" si="24"/>
        <v>50313</v>
      </c>
      <c r="CE34" s="4758">
        <f t="shared" si="24"/>
        <v>50405</v>
      </c>
      <c r="CF34" s="4758">
        <f t="shared" si="24"/>
        <v>50495</v>
      </c>
      <c r="CG34" s="4758">
        <f t="shared" si="24"/>
        <v>50586</v>
      </c>
      <c r="CH34" s="4758">
        <f t="shared" si="24"/>
        <v>50678</v>
      </c>
      <c r="CI34" s="4758">
        <f t="shared" si="24"/>
        <v>50770</v>
      </c>
      <c r="CJ34" s="4758">
        <f t="shared" si="24"/>
        <v>50860</v>
      </c>
      <c r="CK34" s="4758">
        <f t="shared" si="24"/>
        <v>50951</v>
      </c>
      <c r="CL34" s="4758">
        <f t="shared" si="24"/>
        <v>51043</v>
      </c>
      <c r="CM34" s="4758">
        <f t="shared" si="24"/>
        <v>51135</v>
      </c>
      <c r="CN34" s="4758">
        <f t="shared" si="24"/>
        <v>51226</v>
      </c>
      <c r="CO34" s="4758">
        <f t="shared" si="24"/>
        <v>51317</v>
      </c>
      <c r="CP34" s="4758">
        <f t="shared" si="24"/>
        <v>51409</v>
      </c>
      <c r="CQ34" s="4758">
        <f t="shared" si="24"/>
        <v>51501</v>
      </c>
      <c r="CR34" s="4758">
        <f t="shared" si="24"/>
        <v>51591</v>
      </c>
      <c r="CS34" s="4758">
        <f t="shared" si="24"/>
        <v>51682</v>
      </c>
      <c r="CT34" s="4758">
        <f t="shared" si="24"/>
        <v>51774</v>
      </c>
      <c r="CU34" s="4758">
        <f t="shared" si="24"/>
        <v>51866</v>
      </c>
      <c r="CV34" s="4758">
        <f t="shared" si="24"/>
        <v>51956</v>
      </c>
      <c r="CW34" s="4758">
        <f t="shared" si="24"/>
        <v>52047</v>
      </c>
      <c r="CX34" s="4758">
        <f t="shared" si="24"/>
        <v>52139</v>
      </c>
      <c r="CY34" s="4758">
        <f t="shared" si="24"/>
        <v>52231</v>
      </c>
      <c r="CZ34" s="4758">
        <f t="shared" si="24"/>
        <v>52321</v>
      </c>
      <c r="DA34" s="4758">
        <f t="shared" si="24"/>
        <v>52412</v>
      </c>
      <c r="DB34" s="4758">
        <f t="shared" si="24"/>
        <v>52504</v>
      </c>
      <c r="DC34" s="4758">
        <f t="shared" si="24"/>
        <v>52596</v>
      </c>
      <c r="DD34" s="4758">
        <f t="shared" si="24"/>
        <v>52687</v>
      </c>
      <c r="DE34" s="4758">
        <f t="shared" si="24"/>
        <v>52778</v>
      </c>
      <c r="DF34" s="4758">
        <f t="shared" si="24"/>
        <v>52870</v>
      </c>
      <c r="DG34" s="4758">
        <f t="shared" si="24"/>
        <v>52962</v>
      </c>
      <c r="DH34" s="4758">
        <f t="shared" si="24"/>
        <v>53052</v>
      </c>
      <c r="DI34" s="4758">
        <f t="shared" si="24"/>
        <v>53143</v>
      </c>
      <c r="DJ34" s="4758">
        <f t="shared" si="24"/>
        <v>53235</v>
      </c>
      <c r="DK34" s="4758">
        <f t="shared" si="24"/>
        <v>53327</v>
      </c>
      <c r="DL34" s="4758">
        <f t="shared" si="24"/>
        <v>53417</v>
      </c>
      <c r="DM34" s="4758">
        <f t="shared" si="24"/>
        <v>53508</v>
      </c>
      <c r="DN34" s="4758">
        <f t="shared" si="24"/>
        <v>53600</v>
      </c>
      <c r="DO34" s="4758">
        <f t="shared" si="24"/>
        <v>53692</v>
      </c>
      <c r="DP34" s="4758">
        <f t="shared" si="24"/>
        <v>53782</v>
      </c>
      <c r="DQ34" s="4758">
        <f t="shared" si="24"/>
        <v>53873</v>
      </c>
      <c r="DR34" s="4758">
        <f t="shared" si="24"/>
        <v>53965</v>
      </c>
      <c r="DS34" s="4758">
        <f t="shared" si="24"/>
        <v>54057</v>
      </c>
      <c r="DT34" s="4758">
        <f t="shared" si="24"/>
        <v>54148</v>
      </c>
      <c r="DU34" s="4758">
        <f t="shared" si="24"/>
        <v>54239</v>
      </c>
      <c r="DV34" s="4758">
        <f t="shared" si="24"/>
        <v>54331</v>
      </c>
      <c r="DW34" s="4758">
        <f t="shared" si="24"/>
        <v>54423</v>
      </c>
      <c r="DX34" s="4758">
        <f t="shared" si="24"/>
        <v>54513</v>
      </c>
      <c r="DY34" s="4758">
        <f t="shared" si="24"/>
        <v>54604</v>
      </c>
      <c r="DZ34" s="4758">
        <f t="shared" si="24"/>
        <v>54696</v>
      </c>
      <c r="EA34" s="4758">
        <f t="shared" si="24"/>
        <v>54788</v>
      </c>
      <c r="EB34" s="4758">
        <f t="shared" si="24"/>
        <v>54878</v>
      </c>
      <c r="EC34" s="4758">
        <f t="shared" si="24"/>
        <v>54969</v>
      </c>
      <c r="ED34" s="4758">
        <f t="shared" si="24"/>
        <v>55061</v>
      </c>
      <c r="EE34" s="4758">
        <f t="shared" si="24"/>
        <v>55153</v>
      </c>
      <c r="EF34" s="4758">
        <f t="shared" si="24"/>
        <v>55243</v>
      </c>
      <c r="EG34" s="4758">
        <f t="shared" ref="EG34:GE34" si="25">EOMONTH(EF34,3)</f>
        <v>55334</v>
      </c>
      <c r="EH34" s="4758">
        <f t="shared" si="25"/>
        <v>55426</v>
      </c>
      <c r="EI34" s="4758">
        <f t="shared" si="25"/>
        <v>55518</v>
      </c>
      <c r="EJ34" s="4758">
        <f t="shared" si="25"/>
        <v>55609</v>
      </c>
      <c r="EK34" s="4758">
        <f t="shared" si="25"/>
        <v>55700</v>
      </c>
      <c r="EL34" s="4758">
        <f t="shared" si="25"/>
        <v>55792</v>
      </c>
      <c r="EM34" s="4758">
        <f t="shared" si="25"/>
        <v>55884</v>
      </c>
      <c r="EN34" s="4758">
        <f t="shared" si="25"/>
        <v>55974</v>
      </c>
      <c r="EO34" s="4758">
        <f t="shared" si="25"/>
        <v>56065</v>
      </c>
      <c r="EP34" s="4758">
        <f t="shared" si="25"/>
        <v>56157</v>
      </c>
      <c r="EQ34" s="4758">
        <f t="shared" si="25"/>
        <v>56249</v>
      </c>
      <c r="ER34" s="4758">
        <f t="shared" si="25"/>
        <v>56339</v>
      </c>
      <c r="ES34" s="4758">
        <f t="shared" si="25"/>
        <v>56430</v>
      </c>
      <c r="ET34" s="4758">
        <f t="shared" si="25"/>
        <v>56522</v>
      </c>
      <c r="EU34" s="4758">
        <f t="shared" si="25"/>
        <v>56614</v>
      </c>
      <c r="EV34" s="4758">
        <f t="shared" si="25"/>
        <v>56704</v>
      </c>
      <c r="EW34" s="4758">
        <f t="shared" si="25"/>
        <v>56795</v>
      </c>
      <c r="EX34" s="4758">
        <f t="shared" si="25"/>
        <v>56887</v>
      </c>
      <c r="EY34" s="4758">
        <f t="shared" si="25"/>
        <v>56979</v>
      </c>
      <c r="EZ34" s="4758">
        <f t="shared" si="25"/>
        <v>57070</v>
      </c>
      <c r="FA34" s="4758">
        <f t="shared" si="25"/>
        <v>57161</v>
      </c>
      <c r="FB34" s="4758">
        <f t="shared" si="25"/>
        <v>57253</v>
      </c>
      <c r="FC34" s="4758">
        <f t="shared" si="25"/>
        <v>57345</v>
      </c>
      <c r="FD34" s="4758">
        <f t="shared" si="25"/>
        <v>57435</v>
      </c>
      <c r="FE34" s="4758">
        <f t="shared" si="25"/>
        <v>57526</v>
      </c>
      <c r="FF34" s="4758">
        <f t="shared" si="25"/>
        <v>57618</v>
      </c>
      <c r="FG34" s="4758">
        <f t="shared" si="25"/>
        <v>57710</v>
      </c>
      <c r="FH34" s="4758">
        <f t="shared" si="25"/>
        <v>57800</v>
      </c>
      <c r="FI34" s="4758">
        <f t="shared" si="25"/>
        <v>57891</v>
      </c>
      <c r="FJ34" s="4758">
        <f t="shared" si="25"/>
        <v>57983</v>
      </c>
      <c r="FK34" s="4758">
        <f t="shared" si="25"/>
        <v>58075</v>
      </c>
      <c r="FL34" s="4758">
        <f t="shared" si="25"/>
        <v>58165</v>
      </c>
      <c r="FM34" s="4758">
        <f t="shared" si="25"/>
        <v>58256</v>
      </c>
      <c r="FN34" s="4758">
        <f t="shared" si="25"/>
        <v>58348</v>
      </c>
      <c r="FO34" s="4758">
        <f t="shared" si="25"/>
        <v>58440</v>
      </c>
      <c r="FP34" s="4758">
        <f t="shared" si="25"/>
        <v>58531</v>
      </c>
      <c r="FQ34" s="4758">
        <f t="shared" si="25"/>
        <v>58622</v>
      </c>
      <c r="FR34" s="4758">
        <f t="shared" si="25"/>
        <v>58714</v>
      </c>
      <c r="FS34" s="4758">
        <f t="shared" si="25"/>
        <v>58806</v>
      </c>
      <c r="FT34" s="4758">
        <f t="shared" si="25"/>
        <v>58896</v>
      </c>
      <c r="FU34" s="4758">
        <f t="shared" si="25"/>
        <v>58987</v>
      </c>
      <c r="FV34" s="4758">
        <f t="shared" si="25"/>
        <v>59079</v>
      </c>
      <c r="FW34" s="4758">
        <f t="shared" si="25"/>
        <v>59171</v>
      </c>
      <c r="FX34" s="4758">
        <f t="shared" si="25"/>
        <v>59261</v>
      </c>
      <c r="FY34" s="4758">
        <f t="shared" si="25"/>
        <v>59352</v>
      </c>
      <c r="FZ34" s="4758">
        <f t="shared" si="25"/>
        <v>59444</v>
      </c>
      <c r="GA34" s="4758">
        <f t="shared" si="25"/>
        <v>59536</v>
      </c>
      <c r="GB34" s="4758">
        <f t="shared" si="25"/>
        <v>59626</v>
      </c>
      <c r="GC34" s="4758">
        <f t="shared" si="25"/>
        <v>59717</v>
      </c>
      <c r="GD34" s="4758">
        <f t="shared" si="25"/>
        <v>59809</v>
      </c>
      <c r="GE34" s="4778">
        <f t="shared" si="25"/>
        <v>59901</v>
      </c>
    </row>
    <row r="35" spans="1:188" s="302" customFormat="1" ht="17.100000000000001" customHeight="1">
      <c r="C35" s="4779" t="s">
        <v>1107</v>
      </c>
      <c r="D35" s="4766"/>
      <c r="E35" s="4769"/>
      <c r="F35" s="4760">
        <f t="shared" ref="F35:F48" ca="1" si="26">SUM(P35:GE35)</f>
        <v>14433.415324830397</v>
      </c>
      <c r="G35" s="4777"/>
      <c r="H35" s="4844">
        <f>SUM(H36:H37)</f>
        <v>46.040464499999999</v>
      </c>
      <c r="I35" s="4844">
        <f t="shared" ref="I35:BT35" si="27">SUM(I36:I37)</f>
        <v>47.389177440000005</v>
      </c>
      <c r="J35" s="4844">
        <f t="shared" si="27"/>
        <v>53.209623180000001</v>
      </c>
      <c r="K35" s="4844">
        <f t="shared" si="27"/>
        <v>55.295323000000003</v>
      </c>
      <c r="L35" s="4844">
        <f t="shared" si="27"/>
        <v>51.881485609999999</v>
      </c>
      <c r="M35" s="4844">
        <f t="shared" si="27"/>
        <v>59.238123010000002</v>
      </c>
      <c r="N35" s="4844">
        <f t="shared" si="27"/>
        <v>60.599483800000002</v>
      </c>
      <c r="O35" s="4844">
        <f t="shared" si="27"/>
        <v>56.953136499999999</v>
      </c>
      <c r="P35" s="4762">
        <f t="shared" si="27"/>
        <v>54.924529559999996</v>
      </c>
      <c r="Q35" s="4762">
        <f t="shared" si="27"/>
        <v>50.99063572</v>
      </c>
      <c r="R35" s="4762">
        <f t="shared" si="27"/>
        <v>56.071415730000005</v>
      </c>
      <c r="S35" s="4762">
        <f t="shared" si="27"/>
        <v>52.595015480000001</v>
      </c>
      <c r="T35" s="4762">
        <f t="shared" si="27"/>
        <v>53.122948723359691</v>
      </c>
      <c r="U35" s="4762">
        <f t="shared" si="27"/>
        <v>54.655289076927417</v>
      </c>
      <c r="V35" s="4762">
        <f t="shared" si="27"/>
        <v>55.768892808973675</v>
      </c>
      <c r="W35" s="4762">
        <f t="shared" si="27"/>
        <v>56.886058069666824</v>
      </c>
      <c r="X35" s="4762">
        <f t="shared" ca="1" si="27"/>
        <v>58.675224960000008</v>
      </c>
      <c r="Y35" s="4762">
        <f t="shared" ca="1" si="27"/>
        <v>58.675224960000008</v>
      </c>
      <c r="Z35" s="4762">
        <f t="shared" ca="1" si="27"/>
        <v>58.675224960000008</v>
      </c>
      <c r="AA35" s="4762">
        <f t="shared" ca="1" si="27"/>
        <v>58.675224960000008</v>
      </c>
      <c r="AB35" s="4762">
        <f t="shared" ca="1" si="27"/>
        <v>62.166767565276025</v>
      </c>
      <c r="AC35" s="4762">
        <f t="shared" ca="1" si="27"/>
        <v>62.166767565276025</v>
      </c>
      <c r="AD35" s="4762">
        <f t="shared" ca="1" si="27"/>
        <v>62.166767565276025</v>
      </c>
      <c r="AE35" s="4762">
        <f t="shared" ca="1" si="27"/>
        <v>62.166767565276025</v>
      </c>
      <c r="AF35" s="4762">
        <f t="shared" ca="1" si="27"/>
        <v>64.050609006648017</v>
      </c>
      <c r="AG35" s="4762">
        <f t="shared" ca="1" si="27"/>
        <v>64.050609006648017</v>
      </c>
      <c r="AH35" s="4762">
        <f t="shared" ca="1" si="27"/>
        <v>64.050609006648017</v>
      </c>
      <c r="AI35" s="4762">
        <f t="shared" ca="1" si="27"/>
        <v>64.050609006648017</v>
      </c>
      <c r="AJ35" s="4762">
        <f t="shared" ca="1" si="27"/>
        <v>65.93445044802003</v>
      </c>
      <c r="AK35" s="4762">
        <f t="shared" ca="1" si="27"/>
        <v>65.93445044802003</v>
      </c>
      <c r="AL35" s="4762">
        <f t="shared" ca="1" si="27"/>
        <v>65.93445044802003</v>
      </c>
      <c r="AM35" s="4762">
        <f t="shared" ca="1" si="27"/>
        <v>65.93445044802003</v>
      </c>
      <c r="AN35" s="4762">
        <f t="shared" ca="1" si="27"/>
        <v>69.852840646073787</v>
      </c>
      <c r="AO35" s="4762">
        <f t="shared" ca="1" si="27"/>
        <v>69.852840646073787</v>
      </c>
      <c r="AP35" s="4762">
        <f t="shared" ca="1" si="27"/>
        <v>69.852840646073787</v>
      </c>
      <c r="AQ35" s="4762">
        <f t="shared" ca="1" si="27"/>
        <v>69.852840646073787</v>
      </c>
      <c r="AR35" s="4762">
        <f t="shared" ca="1" si="27"/>
        <v>71.793197330686937</v>
      </c>
      <c r="AS35" s="4762">
        <f t="shared" ca="1" si="27"/>
        <v>71.793197330686937</v>
      </c>
      <c r="AT35" s="4762">
        <f t="shared" ca="1" si="27"/>
        <v>71.793197330686937</v>
      </c>
      <c r="AU35" s="4762">
        <f t="shared" ca="1" si="27"/>
        <v>71.793197330686937</v>
      </c>
      <c r="AV35" s="4762">
        <f t="shared" ca="1" si="27"/>
        <v>73.733554015300101</v>
      </c>
      <c r="AW35" s="4762">
        <f t="shared" ca="1" si="27"/>
        <v>73.733554015300101</v>
      </c>
      <c r="AX35" s="4762">
        <f t="shared" ca="1" si="27"/>
        <v>73.733554015300101</v>
      </c>
      <c r="AY35" s="4762">
        <f t="shared" ca="1" si="27"/>
        <v>73.733554015300101</v>
      </c>
      <c r="AZ35" s="4762">
        <f t="shared" ca="1" si="27"/>
        <v>77.944128020910682</v>
      </c>
      <c r="BA35" s="4762">
        <f t="shared" ca="1" si="27"/>
        <v>77.944128020910682</v>
      </c>
      <c r="BB35" s="4762">
        <f t="shared" ca="1" si="27"/>
        <v>77.944128020910682</v>
      </c>
      <c r="BC35" s="4762">
        <f t="shared" ca="1" si="27"/>
        <v>77.944128020910682</v>
      </c>
      <c r="BD35" s="4762">
        <f t="shared" ca="1" si="27"/>
        <v>78.743554974971289</v>
      </c>
      <c r="BE35" s="4762">
        <f t="shared" ca="1" si="27"/>
        <v>78.743554974971289</v>
      </c>
      <c r="BF35" s="4762">
        <f t="shared" ca="1" si="27"/>
        <v>78.743554974971289</v>
      </c>
      <c r="BG35" s="4762">
        <f t="shared" ca="1" si="27"/>
        <v>78.743554974971289</v>
      </c>
      <c r="BH35" s="4762">
        <f t="shared" ca="1" si="27"/>
        <v>79.54298192903191</v>
      </c>
      <c r="BI35" s="4762">
        <f t="shared" ca="1" si="27"/>
        <v>79.54298192903191</v>
      </c>
      <c r="BJ35" s="4762">
        <f t="shared" ca="1" si="27"/>
        <v>79.54298192903191</v>
      </c>
      <c r="BK35" s="4762">
        <f t="shared" ca="1" si="27"/>
        <v>79.54298192903191</v>
      </c>
      <c r="BL35" s="4762">
        <f t="shared" ca="1" si="27"/>
        <v>82.752681149585314</v>
      </c>
      <c r="BM35" s="4762">
        <f t="shared" ca="1" si="27"/>
        <v>82.752681149585314</v>
      </c>
      <c r="BN35" s="4762">
        <f t="shared" ca="1" si="27"/>
        <v>82.752681149585314</v>
      </c>
      <c r="BO35" s="4762">
        <f t="shared" ca="1" si="27"/>
        <v>82.752681149585314</v>
      </c>
      <c r="BP35" s="4762">
        <f t="shared" ca="1" si="27"/>
        <v>83.576090912267759</v>
      </c>
      <c r="BQ35" s="4762">
        <f t="shared" ca="1" si="27"/>
        <v>83.576090912267759</v>
      </c>
      <c r="BR35" s="4762">
        <f t="shared" ca="1" si="27"/>
        <v>83.576090912267759</v>
      </c>
      <c r="BS35" s="4762">
        <f t="shared" ca="1" si="27"/>
        <v>83.576090912267759</v>
      </c>
      <c r="BT35" s="4762">
        <f t="shared" ca="1" si="27"/>
        <v>84.39950067495019</v>
      </c>
      <c r="BU35" s="4762">
        <f t="shared" ref="BU35:EF35" ca="1" si="28">SUM(BU36:BU37)</f>
        <v>84.39950067495019</v>
      </c>
      <c r="BV35" s="4762">
        <f t="shared" ca="1" si="28"/>
        <v>84.39950067495019</v>
      </c>
      <c r="BW35" s="4762">
        <f t="shared" ca="1" si="28"/>
        <v>84.39950067495019</v>
      </c>
      <c r="BX35" s="4762">
        <f t="shared" ca="1" si="28"/>
        <v>87.779597750761624</v>
      </c>
      <c r="BY35" s="4762">
        <f t="shared" ca="1" si="28"/>
        <v>87.779597750761624</v>
      </c>
      <c r="BZ35" s="4762">
        <f t="shared" ca="1" si="28"/>
        <v>87.779597750761624</v>
      </c>
      <c r="CA35" s="4762">
        <f t="shared" ca="1" si="28"/>
        <v>87.779597750761624</v>
      </c>
      <c r="CB35" s="4762">
        <f t="shared" ca="1" si="28"/>
        <v>88.627709806324546</v>
      </c>
      <c r="CC35" s="4762">
        <f t="shared" ca="1" si="28"/>
        <v>88.627709806324546</v>
      </c>
      <c r="CD35" s="4762">
        <f t="shared" ca="1" si="28"/>
        <v>88.627709806324546</v>
      </c>
      <c r="CE35" s="4762">
        <f t="shared" ca="1" si="28"/>
        <v>88.627709806324546</v>
      </c>
      <c r="CF35" s="4762">
        <f t="shared" ca="1" si="28"/>
        <v>89.475821861887439</v>
      </c>
      <c r="CG35" s="4762">
        <f t="shared" ca="1" si="28"/>
        <v>89.475821861887439</v>
      </c>
      <c r="CH35" s="4762">
        <f t="shared" ca="1" si="28"/>
        <v>89.475821861887439</v>
      </c>
      <c r="CI35" s="4762">
        <f t="shared" ca="1" si="28"/>
        <v>89.475821861887439</v>
      </c>
      <c r="CJ35" s="4762">
        <f t="shared" ca="1" si="28"/>
        <v>93.033651934973875</v>
      </c>
      <c r="CK35" s="4762">
        <f t="shared" ca="1" si="28"/>
        <v>93.033651934973875</v>
      </c>
      <c r="CL35" s="4762">
        <f t="shared" ca="1" si="28"/>
        <v>93.033651934973875</v>
      </c>
      <c r="CM35" s="4762">
        <f t="shared" ca="1" si="28"/>
        <v>93.033651934973875</v>
      </c>
      <c r="CN35" s="4762">
        <f t="shared" ca="1" si="28"/>
        <v>93.90720735220367</v>
      </c>
      <c r="CO35" s="4762">
        <f t="shared" ca="1" si="28"/>
        <v>93.90720735220367</v>
      </c>
      <c r="CP35" s="4762">
        <f t="shared" ca="1" si="28"/>
        <v>93.90720735220367</v>
      </c>
      <c r="CQ35" s="4762">
        <f t="shared" ca="1" si="28"/>
        <v>93.90720735220367</v>
      </c>
      <c r="CR35" s="4762">
        <f t="shared" ca="1" si="28"/>
        <v>94.78076276943348</v>
      </c>
      <c r="CS35" s="4762">
        <f t="shared" ca="1" si="28"/>
        <v>94.78076276943348</v>
      </c>
      <c r="CT35" s="4762">
        <f t="shared" ca="1" si="28"/>
        <v>94.78076276943348</v>
      </c>
      <c r="CU35" s="4762">
        <f t="shared" ca="1" si="28"/>
        <v>94.78076276943348</v>
      </c>
      <c r="CV35" s="4762">
        <f t="shared" ca="1" si="28"/>
        <v>98.523947732263181</v>
      </c>
      <c r="CW35" s="4762">
        <f t="shared" ca="1" si="28"/>
        <v>98.523947732263181</v>
      </c>
      <c r="CX35" s="4762">
        <f t="shared" ca="1" si="28"/>
        <v>98.523947732263181</v>
      </c>
      <c r="CY35" s="4762">
        <f t="shared" ca="1" si="28"/>
        <v>98.523947732263181</v>
      </c>
      <c r="CZ35" s="4762">
        <f t="shared" ca="1" si="28"/>
        <v>99.423709812009889</v>
      </c>
      <c r="DA35" s="4762">
        <f t="shared" ca="1" si="28"/>
        <v>99.423709812009889</v>
      </c>
      <c r="DB35" s="4762">
        <f t="shared" ca="1" si="28"/>
        <v>99.423709812009889</v>
      </c>
      <c r="DC35" s="4762">
        <f t="shared" ca="1" si="28"/>
        <v>99.423709812009889</v>
      </c>
      <c r="DD35" s="4762">
        <f t="shared" ca="1" si="28"/>
        <v>100.3234718917566</v>
      </c>
      <c r="DE35" s="4762">
        <f t="shared" ca="1" si="28"/>
        <v>100.3234718917566</v>
      </c>
      <c r="DF35" s="4762">
        <f t="shared" ca="1" si="28"/>
        <v>100.3234718917566</v>
      </c>
      <c r="DG35" s="4762">
        <f t="shared" ca="1" si="28"/>
        <v>100.3234718917566</v>
      </c>
      <c r="DH35" s="4762">
        <f t="shared" ca="1" si="28"/>
        <v>104.25993099064839</v>
      </c>
      <c r="DI35" s="4762">
        <f t="shared" ca="1" si="28"/>
        <v>104.25993099064839</v>
      </c>
      <c r="DJ35" s="4762">
        <f t="shared" ca="1" si="28"/>
        <v>104.25993099064839</v>
      </c>
      <c r="DK35" s="4762">
        <f t="shared" ca="1" si="28"/>
        <v>104.25993099064839</v>
      </c>
      <c r="DL35" s="4762">
        <f t="shared" ca="1" si="28"/>
        <v>105.18668593278748</v>
      </c>
      <c r="DM35" s="4762">
        <f t="shared" ca="1" si="28"/>
        <v>105.18668593278748</v>
      </c>
      <c r="DN35" s="4762">
        <f t="shared" ca="1" si="28"/>
        <v>105.18668593278748</v>
      </c>
      <c r="DO35" s="4762">
        <f t="shared" ca="1" si="28"/>
        <v>105.18668593278748</v>
      </c>
      <c r="DP35" s="4762">
        <f t="shared" ca="1" si="28"/>
        <v>106.11344087492657</v>
      </c>
      <c r="DQ35" s="4762">
        <f t="shared" ca="1" si="28"/>
        <v>106.11344087492657</v>
      </c>
      <c r="DR35" s="4762">
        <f t="shared" ca="1" si="28"/>
        <v>106.11344087492657</v>
      </c>
      <c r="DS35" s="4762">
        <f t="shared" ca="1" si="28"/>
        <v>106.11344087492657</v>
      </c>
      <c r="DT35" s="4762">
        <f t="shared" ca="1" si="28"/>
        <v>110.25140169157766</v>
      </c>
      <c r="DU35" s="4762">
        <f t="shared" ca="1" si="28"/>
        <v>110.25140169157766</v>
      </c>
      <c r="DV35" s="4762">
        <f t="shared" ca="1" si="28"/>
        <v>110.25140169157766</v>
      </c>
      <c r="DW35" s="4762">
        <f t="shared" ca="1" si="28"/>
        <v>110.25140169157766</v>
      </c>
      <c r="DX35" s="4762">
        <f t="shared" ca="1" si="28"/>
        <v>111.20595928198091</v>
      </c>
      <c r="DY35" s="4762">
        <f t="shared" ca="1" si="28"/>
        <v>111.20595928198091</v>
      </c>
      <c r="DZ35" s="4762">
        <f t="shared" ca="1" si="28"/>
        <v>111.20595928198091</v>
      </c>
      <c r="EA35" s="4762">
        <f t="shared" ca="1" si="28"/>
        <v>111.20595928198091</v>
      </c>
      <c r="EB35" s="4762">
        <f t="shared" ca="1" si="28"/>
        <v>112.16051687238416</v>
      </c>
      <c r="EC35" s="4762">
        <f t="shared" ca="1" si="28"/>
        <v>112.16051687238416</v>
      </c>
      <c r="ED35" s="4762">
        <f t="shared" ca="1" si="28"/>
        <v>112.16051687238416</v>
      </c>
      <c r="EE35" s="4762">
        <f t="shared" ca="1" si="28"/>
        <v>112.16051687238416</v>
      </c>
      <c r="EF35" s="4762">
        <f t="shared" ca="1" si="28"/>
        <v>116.50852669667108</v>
      </c>
      <c r="EG35" s="4762">
        <f t="shared" ref="EG35:GE35" ca="1" si="29">SUM(EG36:EG37)</f>
        <v>116.50852669667108</v>
      </c>
      <c r="EH35" s="4762">
        <f t="shared" ca="1" si="29"/>
        <v>116.50852669667108</v>
      </c>
      <c r="EI35" s="4762">
        <f t="shared" ca="1" si="29"/>
        <v>116.50852669667108</v>
      </c>
      <c r="EJ35" s="4762">
        <f t="shared" ca="1" si="29"/>
        <v>117.49172101478644</v>
      </c>
      <c r="EK35" s="4762">
        <f t="shared" ca="1" si="29"/>
        <v>117.49172101478644</v>
      </c>
      <c r="EL35" s="4762">
        <f t="shared" ca="1" si="29"/>
        <v>117.49172101478644</v>
      </c>
      <c r="EM35" s="4762">
        <f t="shared" ca="1" si="29"/>
        <v>117.49172101478644</v>
      </c>
      <c r="EN35" s="4762">
        <f t="shared" ca="1" si="29"/>
        <v>118.4749153329018</v>
      </c>
      <c r="EO35" s="4762">
        <f t="shared" ca="1" si="29"/>
        <v>118.4749153329018</v>
      </c>
      <c r="EP35" s="4762">
        <f t="shared" ca="1" si="29"/>
        <v>118.4749153329018</v>
      </c>
      <c r="EQ35" s="4762">
        <f t="shared" ca="1" si="29"/>
        <v>118.4749153329018</v>
      </c>
      <c r="ER35" s="4762">
        <f t="shared" ca="1" si="29"/>
        <v>123.04185294054767</v>
      </c>
      <c r="ES35" s="4762">
        <f t="shared" ca="1" si="29"/>
        <v>123.04185294054767</v>
      </c>
      <c r="ET35" s="4762">
        <f t="shared" ca="1" si="29"/>
        <v>123.04185294054767</v>
      </c>
      <c r="EU35" s="4762">
        <f t="shared" ca="1" si="29"/>
        <v>123.04185294054767</v>
      </c>
      <c r="EV35" s="4762">
        <f t="shared" ca="1" si="29"/>
        <v>124.0545430882065</v>
      </c>
      <c r="EW35" s="4762">
        <f t="shared" ca="1" si="29"/>
        <v>124.0545430882065</v>
      </c>
      <c r="EX35" s="4762">
        <f t="shared" ca="1" si="29"/>
        <v>124.0545430882065</v>
      </c>
      <c r="EY35" s="4762">
        <f t="shared" ca="1" si="29"/>
        <v>124.0545430882065</v>
      </c>
      <c r="EZ35" s="4762">
        <f t="shared" ca="1" si="29"/>
        <v>125.06723323586534</v>
      </c>
      <c r="FA35" s="4762">
        <f t="shared" ca="1" si="29"/>
        <v>125.06723323586534</v>
      </c>
      <c r="FB35" s="4762">
        <f t="shared" ca="1" si="29"/>
        <v>125.06723323586534</v>
      </c>
      <c r="FC35" s="4762">
        <f t="shared" ca="1" si="29"/>
        <v>125.06723323586534</v>
      </c>
      <c r="FD35" s="4762">
        <f t="shared" ca="1" si="29"/>
        <v>129.86232108502989</v>
      </c>
      <c r="FE35" s="4762">
        <f t="shared" ca="1" si="29"/>
        <v>129.86232108502989</v>
      </c>
      <c r="FF35" s="4762">
        <f t="shared" ca="1" si="29"/>
        <v>129.86232108502989</v>
      </c>
      <c r="FG35" s="4762">
        <f t="shared" ca="1" si="29"/>
        <v>129.86232108502989</v>
      </c>
      <c r="FH35" s="4762">
        <f t="shared" ca="1" si="29"/>
        <v>130.90539193711848</v>
      </c>
      <c r="FI35" s="4762">
        <f t="shared" ca="1" si="29"/>
        <v>130.90539193711848</v>
      </c>
      <c r="FJ35" s="4762">
        <f t="shared" ca="1" si="29"/>
        <v>130.90539193711848</v>
      </c>
      <c r="FK35" s="4762">
        <f t="shared" ca="1" si="29"/>
        <v>130.90539193711848</v>
      </c>
      <c r="FL35" s="4762">
        <f t="shared" ca="1" si="29"/>
        <v>131.94846278920707</v>
      </c>
      <c r="FM35" s="4762">
        <f t="shared" ca="1" si="29"/>
        <v>131.94846278920707</v>
      </c>
      <c r="FN35" s="4762">
        <f t="shared" ca="1" si="29"/>
        <v>0</v>
      </c>
      <c r="FO35" s="4762">
        <f t="shared" ca="1" si="29"/>
        <v>0</v>
      </c>
      <c r="FP35" s="4762">
        <f t="shared" si="29"/>
        <v>0</v>
      </c>
      <c r="FQ35" s="4762">
        <f t="shared" si="29"/>
        <v>0</v>
      </c>
      <c r="FR35" s="4762">
        <f t="shared" si="29"/>
        <v>0</v>
      </c>
      <c r="FS35" s="4762">
        <f t="shared" si="29"/>
        <v>0</v>
      </c>
      <c r="FT35" s="4762">
        <f t="shared" si="29"/>
        <v>0</v>
      </c>
      <c r="FU35" s="4762">
        <f t="shared" si="29"/>
        <v>0</v>
      </c>
      <c r="FV35" s="4762">
        <f t="shared" si="29"/>
        <v>0</v>
      </c>
      <c r="FW35" s="4762">
        <f t="shared" si="29"/>
        <v>0</v>
      </c>
      <c r="FX35" s="4762">
        <f t="shared" si="29"/>
        <v>0</v>
      </c>
      <c r="FY35" s="4762">
        <f t="shared" si="29"/>
        <v>0</v>
      </c>
      <c r="FZ35" s="4762">
        <f t="shared" si="29"/>
        <v>0</v>
      </c>
      <c r="GA35" s="4762">
        <f t="shared" si="29"/>
        <v>0</v>
      </c>
      <c r="GB35" s="4762">
        <f t="shared" si="29"/>
        <v>0</v>
      </c>
      <c r="GC35" s="4762">
        <f t="shared" si="29"/>
        <v>0</v>
      </c>
      <c r="GD35" s="4762">
        <f t="shared" si="29"/>
        <v>0</v>
      </c>
      <c r="GE35" s="4845">
        <f t="shared" si="29"/>
        <v>0</v>
      </c>
    </row>
    <row r="36" spans="1:188" s="302" customFormat="1" ht="17.100000000000001" customHeight="1">
      <c r="A36" s="788"/>
      <c r="C36" s="4779"/>
      <c r="D36" s="4766" t="s">
        <v>1108</v>
      </c>
      <c r="E36" s="4770"/>
      <c r="F36" s="4761">
        <f t="shared" ca="1" si="26"/>
        <v>14402.4305560018</v>
      </c>
      <c r="G36" s="4777"/>
      <c r="H36" s="4846">
        <v>43.105567499999999</v>
      </c>
      <c r="I36" s="4846">
        <v>44.060842440000002</v>
      </c>
      <c r="J36" s="4846">
        <v>49.271671179999998</v>
      </c>
      <c r="K36" s="4846">
        <v>50.245541000000003</v>
      </c>
      <c r="L36" s="4846">
        <v>48.215048609999997</v>
      </c>
      <c r="M36" s="4846">
        <v>55.981676010000001</v>
      </c>
      <c r="N36" s="4846">
        <v>56.425491800000003</v>
      </c>
      <c r="O36" s="4846">
        <v>52.8247535</v>
      </c>
      <c r="P36" s="4847">
        <f>'자금운영(현금)'!BF7</f>
        <v>51.162314559999999</v>
      </c>
      <c r="Q36" s="4847">
        <f>'자금운영(현금)'!BG7</f>
        <v>47.607641319999999</v>
      </c>
      <c r="R36" s="4847">
        <f>'자금운영(현금)'!BH7</f>
        <v>52.176589630000002</v>
      </c>
      <c r="S36" s="4847">
        <f>'자금운영(현금)'!BI7</f>
        <v>47.072280210000002</v>
      </c>
      <c r="T36" s="4848">
        <v>49.619304972436247</v>
      </c>
      <c r="U36" s="4848">
        <v>51.073518218769074</v>
      </c>
      <c r="V36" s="4848">
        <v>52.130489543327272</v>
      </c>
      <c r="W36" s="4848">
        <v>53.187877885798628</v>
      </c>
      <c r="X36" s="4762">
        <f t="shared" ref="X36:BC36" ca="1" si="30">SUMIF($3:$3,X$33,11:11)*X$53/X$54/100</f>
        <v>58.675224960000008</v>
      </c>
      <c r="Y36" s="4762">
        <f t="shared" ca="1" si="30"/>
        <v>58.675224960000008</v>
      </c>
      <c r="Z36" s="4762">
        <f t="shared" ca="1" si="30"/>
        <v>58.675224960000008</v>
      </c>
      <c r="AA36" s="4762">
        <f t="shared" ca="1" si="30"/>
        <v>58.675224960000008</v>
      </c>
      <c r="AB36" s="4762">
        <f t="shared" ca="1" si="30"/>
        <v>62.166767565276025</v>
      </c>
      <c r="AC36" s="4762">
        <f t="shared" ca="1" si="30"/>
        <v>62.166767565276025</v>
      </c>
      <c r="AD36" s="4762">
        <f t="shared" ca="1" si="30"/>
        <v>62.166767565276025</v>
      </c>
      <c r="AE36" s="4762">
        <f t="shared" ca="1" si="30"/>
        <v>62.166767565276025</v>
      </c>
      <c r="AF36" s="4762">
        <f t="shared" ca="1" si="30"/>
        <v>64.050609006648017</v>
      </c>
      <c r="AG36" s="4762">
        <f t="shared" ca="1" si="30"/>
        <v>64.050609006648017</v>
      </c>
      <c r="AH36" s="4762">
        <f t="shared" ca="1" si="30"/>
        <v>64.050609006648017</v>
      </c>
      <c r="AI36" s="4762">
        <f t="shared" ca="1" si="30"/>
        <v>64.050609006648017</v>
      </c>
      <c r="AJ36" s="4762">
        <f t="shared" ca="1" si="30"/>
        <v>65.93445044802003</v>
      </c>
      <c r="AK36" s="4762">
        <f t="shared" ca="1" si="30"/>
        <v>65.93445044802003</v>
      </c>
      <c r="AL36" s="4762">
        <f t="shared" ca="1" si="30"/>
        <v>65.93445044802003</v>
      </c>
      <c r="AM36" s="4762">
        <f t="shared" ca="1" si="30"/>
        <v>65.93445044802003</v>
      </c>
      <c r="AN36" s="4762">
        <f t="shared" ca="1" si="30"/>
        <v>69.852840646073787</v>
      </c>
      <c r="AO36" s="4762">
        <f t="shared" ca="1" si="30"/>
        <v>69.852840646073787</v>
      </c>
      <c r="AP36" s="4762">
        <f t="shared" ca="1" si="30"/>
        <v>69.852840646073787</v>
      </c>
      <c r="AQ36" s="4762">
        <f t="shared" ca="1" si="30"/>
        <v>69.852840646073787</v>
      </c>
      <c r="AR36" s="4762">
        <f t="shared" ca="1" si="30"/>
        <v>71.793197330686937</v>
      </c>
      <c r="AS36" s="4762">
        <f t="shared" ca="1" si="30"/>
        <v>71.793197330686937</v>
      </c>
      <c r="AT36" s="4762">
        <f t="shared" ca="1" si="30"/>
        <v>71.793197330686937</v>
      </c>
      <c r="AU36" s="4762">
        <f t="shared" ca="1" si="30"/>
        <v>71.793197330686937</v>
      </c>
      <c r="AV36" s="4762">
        <f t="shared" ca="1" si="30"/>
        <v>73.733554015300101</v>
      </c>
      <c r="AW36" s="4762">
        <f t="shared" ca="1" si="30"/>
        <v>73.733554015300101</v>
      </c>
      <c r="AX36" s="4762">
        <f t="shared" ca="1" si="30"/>
        <v>73.733554015300101</v>
      </c>
      <c r="AY36" s="4762">
        <f t="shared" ca="1" si="30"/>
        <v>73.733554015300101</v>
      </c>
      <c r="AZ36" s="4762">
        <f t="shared" ca="1" si="30"/>
        <v>77.944128020910682</v>
      </c>
      <c r="BA36" s="4762">
        <f t="shared" ca="1" si="30"/>
        <v>77.944128020910682</v>
      </c>
      <c r="BB36" s="4762">
        <f t="shared" ca="1" si="30"/>
        <v>77.944128020910682</v>
      </c>
      <c r="BC36" s="4762">
        <f t="shared" ca="1" si="30"/>
        <v>77.944128020910682</v>
      </c>
      <c r="BD36" s="4762">
        <f t="shared" ref="BD36:CI36" ca="1" si="31">SUMIF($3:$3,BD$33,11:11)*BD$53/BD$54/100</f>
        <v>78.743554974971289</v>
      </c>
      <c r="BE36" s="4762">
        <f t="shared" ca="1" si="31"/>
        <v>78.743554974971289</v>
      </c>
      <c r="BF36" s="4762">
        <f t="shared" ca="1" si="31"/>
        <v>78.743554974971289</v>
      </c>
      <c r="BG36" s="4762">
        <f t="shared" ca="1" si="31"/>
        <v>78.743554974971289</v>
      </c>
      <c r="BH36" s="4762">
        <f t="shared" ca="1" si="31"/>
        <v>79.54298192903191</v>
      </c>
      <c r="BI36" s="4762">
        <f t="shared" ca="1" si="31"/>
        <v>79.54298192903191</v>
      </c>
      <c r="BJ36" s="4762">
        <f t="shared" ca="1" si="31"/>
        <v>79.54298192903191</v>
      </c>
      <c r="BK36" s="4762">
        <f t="shared" ca="1" si="31"/>
        <v>79.54298192903191</v>
      </c>
      <c r="BL36" s="4762">
        <f t="shared" ca="1" si="31"/>
        <v>82.752681149585314</v>
      </c>
      <c r="BM36" s="4762">
        <f t="shared" ca="1" si="31"/>
        <v>82.752681149585314</v>
      </c>
      <c r="BN36" s="4762">
        <f t="shared" ca="1" si="31"/>
        <v>82.752681149585314</v>
      </c>
      <c r="BO36" s="4762">
        <f t="shared" ca="1" si="31"/>
        <v>82.752681149585314</v>
      </c>
      <c r="BP36" s="4762">
        <f t="shared" ca="1" si="31"/>
        <v>83.576090912267759</v>
      </c>
      <c r="BQ36" s="4762">
        <f t="shared" ca="1" si="31"/>
        <v>83.576090912267759</v>
      </c>
      <c r="BR36" s="4762">
        <f t="shared" ca="1" si="31"/>
        <v>83.576090912267759</v>
      </c>
      <c r="BS36" s="4762">
        <f t="shared" ca="1" si="31"/>
        <v>83.576090912267759</v>
      </c>
      <c r="BT36" s="4762">
        <f t="shared" ca="1" si="31"/>
        <v>84.39950067495019</v>
      </c>
      <c r="BU36" s="4762">
        <f t="shared" ca="1" si="31"/>
        <v>84.39950067495019</v>
      </c>
      <c r="BV36" s="4762">
        <f t="shared" ca="1" si="31"/>
        <v>84.39950067495019</v>
      </c>
      <c r="BW36" s="4762">
        <f t="shared" ca="1" si="31"/>
        <v>84.39950067495019</v>
      </c>
      <c r="BX36" s="4762">
        <f t="shared" ca="1" si="31"/>
        <v>87.779597750761624</v>
      </c>
      <c r="BY36" s="4762">
        <f t="shared" ca="1" si="31"/>
        <v>87.779597750761624</v>
      </c>
      <c r="BZ36" s="4762">
        <f t="shared" ca="1" si="31"/>
        <v>87.779597750761624</v>
      </c>
      <c r="CA36" s="4762">
        <f t="shared" ca="1" si="31"/>
        <v>87.779597750761624</v>
      </c>
      <c r="CB36" s="4762">
        <f t="shared" ca="1" si="31"/>
        <v>88.627709806324546</v>
      </c>
      <c r="CC36" s="4762">
        <f t="shared" ca="1" si="31"/>
        <v>88.627709806324546</v>
      </c>
      <c r="CD36" s="4762">
        <f t="shared" ca="1" si="31"/>
        <v>88.627709806324546</v>
      </c>
      <c r="CE36" s="4762">
        <f t="shared" ca="1" si="31"/>
        <v>88.627709806324546</v>
      </c>
      <c r="CF36" s="4762">
        <f t="shared" ca="1" si="31"/>
        <v>89.475821861887439</v>
      </c>
      <c r="CG36" s="4762">
        <f t="shared" ca="1" si="31"/>
        <v>89.475821861887439</v>
      </c>
      <c r="CH36" s="4762">
        <f t="shared" ca="1" si="31"/>
        <v>89.475821861887439</v>
      </c>
      <c r="CI36" s="4762">
        <f t="shared" ca="1" si="31"/>
        <v>89.475821861887439</v>
      </c>
      <c r="CJ36" s="4762">
        <f t="shared" ref="CJ36:DO36" ca="1" si="32">SUMIF($3:$3,CJ$33,11:11)*CJ$53/CJ$54/100</f>
        <v>93.033651934973875</v>
      </c>
      <c r="CK36" s="4762">
        <f t="shared" ca="1" si="32"/>
        <v>93.033651934973875</v>
      </c>
      <c r="CL36" s="4762">
        <f t="shared" ca="1" si="32"/>
        <v>93.033651934973875</v>
      </c>
      <c r="CM36" s="4762">
        <f t="shared" ca="1" si="32"/>
        <v>93.033651934973875</v>
      </c>
      <c r="CN36" s="4762">
        <f t="shared" ca="1" si="32"/>
        <v>93.90720735220367</v>
      </c>
      <c r="CO36" s="4762">
        <f t="shared" ca="1" si="32"/>
        <v>93.90720735220367</v>
      </c>
      <c r="CP36" s="4762">
        <f t="shared" ca="1" si="32"/>
        <v>93.90720735220367</v>
      </c>
      <c r="CQ36" s="4762">
        <f t="shared" ca="1" si="32"/>
        <v>93.90720735220367</v>
      </c>
      <c r="CR36" s="4762">
        <f t="shared" ca="1" si="32"/>
        <v>94.78076276943348</v>
      </c>
      <c r="CS36" s="4762">
        <f t="shared" ca="1" si="32"/>
        <v>94.78076276943348</v>
      </c>
      <c r="CT36" s="4762">
        <f t="shared" ca="1" si="32"/>
        <v>94.78076276943348</v>
      </c>
      <c r="CU36" s="4762">
        <f t="shared" ca="1" si="32"/>
        <v>94.78076276943348</v>
      </c>
      <c r="CV36" s="4762">
        <f t="shared" ca="1" si="32"/>
        <v>98.523947732263181</v>
      </c>
      <c r="CW36" s="4762">
        <f t="shared" ca="1" si="32"/>
        <v>98.523947732263181</v>
      </c>
      <c r="CX36" s="4762">
        <f t="shared" ca="1" si="32"/>
        <v>98.523947732263181</v>
      </c>
      <c r="CY36" s="4762">
        <f t="shared" ca="1" si="32"/>
        <v>98.523947732263181</v>
      </c>
      <c r="CZ36" s="4762">
        <f t="shared" ca="1" si="32"/>
        <v>99.423709812009889</v>
      </c>
      <c r="DA36" s="4762">
        <f t="shared" ca="1" si="32"/>
        <v>99.423709812009889</v>
      </c>
      <c r="DB36" s="4762">
        <f t="shared" ca="1" si="32"/>
        <v>99.423709812009889</v>
      </c>
      <c r="DC36" s="4762">
        <f t="shared" ca="1" si="32"/>
        <v>99.423709812009889</v>
      </c>
      <c r="DD36" s="4762">
        <f t="shared" ca="1" si="32"/>
        <v>100.3234718917566</v>
      </c>
      <c r="DE36" s="4762">
        <f t="shared" ca="1" si="32"/>
        <v>100.3234718917566</v>
      </c>
      <c r="DF36" s="4762">
        <f t="shared" ca="1" si="32"/>
        <v>100.3234718917566</v>
      </c>
      <c r="DG36" s="4762">
        <f t="shared" ca="1" si="32"/>
        <v>100.3234718917566</v>
      </c>
      <c r="DH36" s="4762">
        <f t="shared" ca="1" si="32"/>
        <v>104.25993099064839</v>
      </c>
      <c r="DI36" s="4762">
        <f t="shared" ca="1" si="32"/>
        <v>104.25993099064839</v>
      </c>
      <c r="DJ36" s="4762">
        <f t="shared" ca="1" si="32"/>
        <v>104.25993099064839</v>
      </c>
      <c r="DK36" s="4762">
        <f t="shared" ca="1" si="32"/>
        <v>104.25993099064839</v>
      </c>
      <c r="DL36" s="4762">
        <f t="shared" ca="1" si="32"/>
        <v>105.18668593278748</v>
      </c>
      <c r="DM36" s="4762">
        <f t="shared" ca="1" si="32"/>
        <v>105.18668593278748</v>
      </c>
      <c r="DN36" s="4762">
        <f t="shared" ca="1" si="32"/>
        <v>105.18668593278748</v>
      </c>
      <c r="DO36" s="4762">
        <f t="shared" ca="1" si="32"/>
        <v>105.18668593278748</v>
      </c>
      <c r="DP36" s="4762">
        <f t="shared" ref="DP36:EU36" ca="1" si="33">SUMIF($3:$3,DP$33,11:11)*DP$53/DP$54/100</f>
        <v>106.11344087492657</v>
      </c>
      <c r="DQ36" s="4762">
        <f t="shared" ca="1" si="33"/>
        <v>106.11344087492657</v>
      </c>
      <c r="DR36" s="4762">
        <f t="shared" ca="1" si="33"/>
        <v>106.11344087492657</v>
      </c>
      <c r="DS36" s="4762">
        <f t="shared" ca="1" si="33"/>
        <v>106.11344087492657</v>
      </c>
      <c r="DT36" s="4762">
        <f t="shared" ca="1" si="33"/>
        <v>110.25140169157766</v>
      </c>
      <c r="DU36" s="4762">
        <f t="shared" ca="1" si="33"/>
        <v>110.25140169157766</v>
      </c>
      <c r="DV36" s="4762">
        <f t="shared" ca="1" si="33"/>
        <v>110.25140169157766</v>
      </c>
      <c r="DW36" s="4762">
        <f t="shared" ca="1" si="33"/>
        <v>110.25140169157766</v>
      </c>
      <c r="DX36" s="4762">
        <f t="shared" ca="1" si="33"/>
        <v>111.20595928198091</v>
      </c>
      <c r="DY36" s="4762">
        <f t="shared" ca="1" si="33"/>
        <v>111.20595928198091</v>
      </c>
      <c r="DZ36" s="4762">
        <f t="shared" ca="1" si="33"/>
        <v>111.20595928198091</v>
      </c>
      <c r="EA36" s="4762">
        <f t="shared" ca="1" si="33"/>
        <v>111.20595928198091</v>
      </c>
      <c r="EB36" s="4762">
        <f t="shared" ca="1" si="33"/>
        <v>112.16051687238416</v>
      </c>
      <c r="EC36" s="4762">
        <f t="shared" ca="1" si="33"/>
        <v>112.16051687238416</v>
      </c>
      <c r="ED36" s="4762">
        <f t="shared" ca="1" si="33"/>
        <v>112.16051687238416</v>
      </c>
      <c r="EE36" s="4762">
        <f t="shared" ca="1" si="33"/>
        <v>112.16051687238416</v>
      </c>
      <c r="EF36" s="4762">
        <f t="shared" ca="1" si="33"/>
        <v>116.50852669667108</v>
      </c>
      <c r="EG36" s="4762">
        <f t="shared" ca="1" si="33"/>
        <v>116.50852669667108</v>
      </c>
      <c r="EH36" s="4762">
        <f t="shared" ca="1" si="33"/>
        <v>116.50852669667108</v>
      </c>
      <c r="EI36" s="4762">
        <f t="shared" ca="1" si="33"/>
        <v>116.50852669667108</v>
      </c>
      <c r="EJ36" s="4762">
        <f t="shared" ca="1" si="33"/>
        <v>117.49172101478644</v>
      </c>
      <c r="EK36" s="4762">
        <f t="shared" ca="1" si="33"/>
        <v>117.49172101478644</v>
      </c>
      <c r="EL36" s="4762">
        <f t="shared" ca="1" si="33"/>
        <v>117.49172101478644</v>
      </c>
      <c r="EM36" s="4762">
        <f t="shared" ca="1" si="33"/>
        <v>117.49172101478644</v>
      </c>
      <c r="EN36" s="4762">
        <f t="shared" ca="1" si="33"/>
        <v>118.4749153329018</v>
      </c>
      <c r="EO36" s="4762">
        <f t="shared" ca="1" si="33"/>
        <v>118.4749153329018</v>
      </c>
      <c r="EP36" s="4762">
        <f t="shared" ca="1" si="33"/>
        <v>118.4749153329018</v>
      </c>
      <c r="EQ36" s="4762">
        <f t="shared" ca="1" si="33"/>
        <v>118.4749153329018</v>
      </c>
      <c r="ER36" s="4762">
        <f t="shared" ca="1" si="33"/>
        <v>123.04185294054767</v>
      </c>
      <c r="ES36" s="4762">
        <f t="shared" ca="1" si="33"/>
        <v>123.04185294054767</v>
      </c>
      <c r="ET36" s="4762">
        <f t="shared" ca="1" si="33"/>
        <v>123.04185294054767</v>
      </c>
      <c r="EU36" s="4762">
        <f t="shared" ca="1" si="33"/>
        <v>123.04185294054767</v>
      </c>
      <c r="EV36" s="4762">
        <f t="shared" ref="EV36:GE36" ca="1" si="34">SUMIF($3:$3,EV$33,11:11)*EV$53/EV$54/100</f>
        <v>124.0545430882065</v>
      </c>
      <c r="EW36" s="4762">
        <f t="shared" ca="1" si="34"/>
        <v>124.0545430882065</v>
      </c>
      <c r="EX36" s="4762">
        <f t="shared" ca="1" si="34"/>
        <v>124.0545430882065</v>
      </c>
      <c r="EY36" s="4762">
        <f t="shared" ca="1" si="34"/>
        <v>124.0545430882065</v>
      </c>
      <c r="EZ36" s="4762">
        <f t="shared" ca="1" si="34"/>
        <v>125.06723323586534</v>
      </c>
      <c r="FA36" s="4762">
        <f t="shared" ca="1" si="34"/>
        <v>125.06723323586534</v>
      </c>
      <c r="FB36" s="4762">
        <f t="shared" ca="1" si="34"/>
        <v>125.06723323586534</v>
      </c>
      <c r="FC36" s="4762">
        <f t="shared" ca="1" si="34"/>
        <v>125.06723323586534</v>
      </c>
      <c r="FD36" s="4762">
        <f t="shared" ca="1" si="34"/>
        <v>129.86232108502989</v>
      </c>
      <c r="FE36" s="4762">
        <f t="shared" ca="1" si="34"/>
        <v>129.86232108502989</v>
      </c>
      <c r="FF36" s="4762">
        <f t="shared" ca="1" si="34"/>
        <v>129.86232108502989</v>
      </c>
      <c r="FG36" s="4762">
        <f t="shared" ca="1" si="34"/>
        <v>129.86232108502989</v>
      </c>
      <c r="FH36" s="4762">
        <f t="shared" ca="1" si="34"/>
        <v>130.90539193711848</v>
      </c>
      <c r="FI36" s="4762">
        <f t="shared" ca="1" si="34"/>
        <v>130.90539193711848</v>
      </c>
      <c r="FJ36" s="4762">
        <f t="shared" ca="1" si="34"/>
        <v>130.90539193711848</v>
      </c>
      <c r="FK36" s="4762">
        <f t="shared" ca="1" si="34"/>
        <v>130.90539193711848</v>
      </c>
      <c r="FL36" s="4762">
        <f t="shared" ca="1" si="34"/>
        <v>131.94846278920707</v>
      </c>
      <c r="FM36" s="4762">
        <f t="shared" ca="1" si="34"/>
        <v>131.94846278920707</v>
      </c>
      <c r="FN36" s="4762">
        <f t="shared" ca="1" si="34"/>
        <v>0</v>
      </c>
      <c r="FO36" s="4762">
        <f t="shared" ca="1" si="34"/>
        <v>0</v>
      </c>
      <c r="FP36" s="4762">
        <f t="shared" si="34"/>
        <v>0</v>
      </c>
      <c r="FQ36" s="4762">
        <f t="shared" si="34"/>
        <v>0</v>
      </c>
      <c r="FR36" s="4762">
        <f t="shared" si="34"/>
        <v>0</v>
      </c>
      <c r="FS36" s="4762">
        <f t="shared" si="34"/>
        <v>0</v>
      </c>
      <c r="FT36" s="4762">
        <f t="shared" si="34"/>
        <v>0</v>
      </c>
      <c r="FU36" s="4762">
        <f t="shared" si="34"/>
        <v>0</v>
      </c>
      <c r="FV36" s="4762">
        <f t="shared" si="34"/>
        <v>0</v>
      </c>
      <c r="FW36" s="4762">
        <f t="shared" si="34"/>
        <v>0</v>
      </c>
      <c r="FX36" s="4762">
        <f t="shared" si="34"/>
        <v>0</v>
      </c>
      <c r="FY36" s="4762">
        <f t="shared" si="34"/>
        <v>0</v>
      </c>
      <c r="FZ36" s="4762">
        <f t="shared" si="34"/>
        <v>0</v>
      </c>
      <c r="GA36" s="4762">
        <f t="shared" si="34"/>
        <v>0</v>
      </c>
      <c r="GB36" s="4762">
        <f t="shared" si="34"/>
        <v>0</v>
      </c>
      <c r="GC36" s="4762">
        <f t="shared" si="34"/>
        <v>0</v>
      </c>
      <c r="GD36" s="4762">
        <f t="shared" si="34"/>
        <v>0</v>
      </c>
      <c r="GE36" s="4845">
        <f t="shared" si="34"/>
        <v>0</v>
      </c>
    </row>
    <row r="37" spans="1:188" s="302" customFormat="1" ht="17.100000000000001" customHeight="1">
      <c r="A37" s="788"/>
      <c r="C37" s="4779"/>
      <c r="D37" s="4766" t="s">
        <v>1109</v>
      </c>
      <c r="E37" s="4771"/>
      <c r="F37" s="4761">
        <f t="shared" si="26"/>
        <v>30.98476882859639</v>
      </c>
      <c r="G37" s="4777"/>
      <c r="H37" s="4846">
        <v>2.9348969999999999</v>
      </c>
      <c r="I37" s="4846">
        <v>3.328335</v>
      </c>
      <c r="J37" s="4846">
        <v>3.9379520000000001</v>
      </c>
      <c r="K37" s="4846">
        <v>5.0497820000000004</v>
      </c>
      <c r="L37" s="4846">
        <v>3.6664370000000002</v>
      </c>
      <c r="M37" s="4846">
        <v>3.2564470000000001</v>
      </c>
      <c r="N37" s="4846">
        <v>4.1739920000000001</v>
      </c>
      <c r="O37" s="4846">
        <v>4.1283830000000004</v>
      </c>
      <c r="P37" s="4847">
        <f>'자금운영(현금)'!BF8</f>
        <v>3.7622149999999999</v>
      </c>
      <c r="Q37" s="4847">
        <f>'자금운영(현금)'!BG8</f>
        <v>3.3829943999999998</v>
      </c>
      <c r="R37" s="4847">
        <f>'자금운영(현금)'!BH8</f>
        <v>3.8948261</v>
      </c>
      <c r="S37" s="4847">
        <f>'자금운영(현금)'!BI8</f>
        <v>5.5227352700000001</v>
      </c>
      <c r="T37" s="4848">
        <v>3.5036437509234477</v>
      </c>
      <c r="U37" s="4848">
        <v>3.5817708581583454</v>
      </c>
      <c r="V37" s="4848">
        <v>3.6384032656464012</v>
      </c>
      <c r="W37" s="4848">
        <v>3.6981801838681938</v>
      </c>
      <c r="X37" s="4762">
        <f t="shared" ref="X37:BC37" si="35">SUMIF($3:$3,X$33,12:12)*X$53/X$54/100</f>
        <v>0</v>
      </c>
      <c r="Y37" s="4762">
        <f t="shared" si="35"/>
        <v>0</v>
      </c>
      <c r="Z37" s="4762">
        <f t="shared" si="35"/>
        <v>0</v>
      </c>
      <c r="AA37" s="4762">
        <f t="shared" si="35"/>
        <v>0</v>
      </c>
      <c r="AB37" s="4762">
        <f t="shared" si="35"/>
        <v>0</v>
      </c>
      <c r="AC37" s="4762">
        <f t="shared" si="35"/>
        <v>0</v>
      </c>
      <c r="AD37" s="4762">
        <f t="shared" si="35"/>
        <v>0</v>
      </c>
      <c r="AE37" s="4762">
        <f t="shared" si="35"/>
        <v>0</v>
      </c>
      <c r="AF37" s="4762">
        <f t="shared" si="35"/>
        <v>0</v>
      </c>
      <c r="AG37" s="4762">
        <f t="shared" si="35"/>
        <v>0</v>
      </c>
      <c r="AH37" s="4762">
        <f t="shared" si="35"/>
        <v>0</v>
      </c>
      <c r="AI37" s="4762">
        <f t="shared" si="35"/>
        <v>0</v>
      </c>
      <c r="AJ37" s="4762">
        <f t="shared" si="35"/>
        <v>0</v>
      </c>
      <c r="AK37" s="4762">
        <f t="shared" si="35"/>
        <v>0</v>
      </c>
      <c r="AL37" s="4762">
        <f t="shared" si="35"/>
        <v>0</v>
      </c>
      <c r="AM37" s="4762">
        <f t="shared" si="35"/>
        <v>0</v>
      </c>
      <c r="AN37" s="4762">
        <f t="shared" si="35"/>
        <v>0</v>
      </c>
      <c r="AO37" s="4762">
        <f t="shared" si="35"/>
        <v>0</v>
      </c>
      <c r="AP37" s="4762">
        <f t="shared" si="35"/>
        <v>0</v>
      </c>
      <c r="AQ37" s="4762">
        <f t="shared" si="35"/>
        <v>0</v>
      </c>
      <c r="AR37" s="4762">
        <f t="shared" si="35"/>
        <v>0</v>
      </c>
      <c r="AS37" s="4762">
        <f t="shared" si="35"/>
        <v>0</v>
      </c>
      <c r="AT37" s="4762">
        <f t="shared" si="35"/>
        <v>0</v>
      </c>
      <c r="AU37" s="4762">
        <f t="shared" si="35"/>
        <v>0</v>
      </c>
      <c r="AV37" s="4762">
        <f t="shared" si="35"/>
        <v>0</v>
      </c>
      <c r="AW37" s="4762">
        <f t="shared" si="35"/>
        <v>0</v>
      </c>
      <c r="AX37" s="4762">
        <f t="shared" si="35"/>
        <v>0</v>
      </c>
      <c r="AY37" s="4762">
        <f t="shared" si="35"/>
        <v>0</v>
      </c>
      <c r="AZ37" s="4762">
        <f t="shared" si="35"/>
        <v>0</v>
      </c>
      <c r="BA37" s="4762">
        <f t="shared" si="35"/>
        <v>0</v>
      </c>
      <c r="BB37" s="4762">
        <f t="shared" si="35"/>
        <v>0</v>
      </c>
      <c r="BC37" s="4762">
        <f t="shared" si="35"/>
        <v>0</v>
      </c>
      <c r="BD37" s="4762">
        <f t="shared" ref="BD37:CI37" si="36">SUMIF($3:$3,BD$33,12:12)*BD$53/BD$54/100</f>
        <v>0</v>
      </c>
      <c r="BE37" s="4762">
        <f t="shared" si="36"/>
        <v>0</v>
      </c>
      <c r="BF37" s="4762">
        <f t="shared" si="36"/>
        <v>0</v>
      </c>
      <c r="BG37" s="4762">
        <f t="shared" si="36"/>
        <v>0</v>
      </c>
      <c r="BH37" s="4762">
        <f t="shared" si="36"/>
        <v>0</v>
      </c>
      <c r="BI37" s="4762">
        <f t="shared" si="36"/>
        <v>0</v>
      </c>
      <c r="BJ37" s="4762">
        <f t="shared" si="36"/>
        <v>0</v>
      </c>
      <c r="BK37" s="4762">
        <f t="shared" si="36"/>
        <v>0</v>
      </c>
      <c r="BL37" s="4762">
        <f t="shared" si="36"/>
        <v>0</v>
      </c>
      <c r="BM37" s="4762">
        <f t="shared" si="36"/>
        <v>0</v>
      </c>
      <c r="BN37" s="4762">
        <f t="shared" si="36"/>
        <v>0</v>
      </c>
      <c r="BO37" s="4762">
        <f t="shared" si="36"/>
        <v>0</v>
      </c>
      <c r="BP37" s="4762">
        <f t="shared" si="36"/>
        <v>0</v>
      </c>
      <c r="BQ37" s="4762">
        <f t="shared" si="36"/>
        <v>0</v>
      </c>
      <c r="BR37" s="4762">
        <f t="shared" si="36"/>
        <v>0</v>
      </c>
      <c r="BS37" s="4762">
        <f t="shared" si="36"/>
        <v>0</v>
      </c>
      <c r="BT37" s="4762">
        <f t="shared" si="36"/>
        <v>0</v>
      </c>
      <c r="BU37" s="4762">
        <f t="shared" si="36"/>
        <v>0</v>
      </c>
      <c r="BV37" s="4762">
        <f t="shared" si="36"/>
        <v>0</v>
      </c>
      <c r="BW37" s="4762">
        <f t="shared" si="36"/>
        <v>0</v>
      </c>
      <c r="BX37" s="4762">
        <f t="shared" si="36"/>
        <v>0</v>
      </c>
      <c r="BY37" s="4762">
        <f t="shared" si="36"/>
        <v>0</v>
      </c>
      <c r="BZ37" s="4762">
        <f t="shared" si="36"/>
        <v>0</v>
      </c>
      <c r="CA37" s="4762">
        <f t="shared" si="36"/>
        <v>0</v>
      </c>
      <c r="CB37" s="4762">
        <f t="shared" si="36"/>
        <v>0</v>
      </c>
      <c r="CC37" s="4762">
        <f t="shared" si="36"/>
        <v>0</v>
      </c>
      <c r="CD37" s="4762">
        <f t="shared" si="36"/>
        <v>0</v>
      </c>
      <c r="CE37" s="4762">
        <f t="shared" si="36"/>
        <v>0</v>
      </c>
      <c r="CF37" s="4762">
        <f t="shared" si="36"/>
        <v>0</v>
      </c>
      <c r="CG37" s="4762">
        <f t="shared" si="36"/>
        <v>0</v>
      </c>
      <c r="CH37" s="4762">
        <f t="shared" si="36"/>
        <v>0</v>
      </c>
      <c r="CI37" s="4762">
        <f t="shared" si="36"/>
        <v>0</v>
      </c>
      <c r="CJ37" s="4762">
        <f t="shared" ref="CJ37:DO37" si="37">SUMIF($3:$3,CJ$33,12:12)*CJ$53/CJ$54/100</f>
        <v>0</v>
      </c>
      <c r="CK37" s="4762">
        <f t="shared" si="37"/>
        <v>0</v>
      </c>
      <c r="CL37" s="4762">
        <f t="shared" si="37"/>
        <v>0</v>
      </c>
      <c r="CM37" s="4762">
        <f t="shared" si="37"/>
        <v>0</v>
      </c>
      <c r="CN37" s="4762">
        <f t="shared" si="37"/>
        <v>0</v>
      </c>
      <c r="CO37" s="4762">
        <f t="shared" si="37"/>
        <v>0</v>
      </c>
      <c r="CP37" s="4762">
        <f t="shared" si="37"/>
        <v>0</v>
      </c>
      <c r="CQ37" s="4762">
        <f t="shared" si="37"/>
        <v>0</v>
      </c>
      <c r="CR37" s="4762">
        <f t="shared" si="37"/>
        <v>0</v>
      </c>
      <c r="CS37" s="4762">
        <f t="shared" si="37"/>
        <v>0</v>
      </c>
      <c r="CT37" s="4762">
        <f t="shared" si="37"/>
        <v>0</v>
      </c>
      <c r="CU37" s="4762">
        <f t="shared" si="37"/>
        <v>0</v>
      </c>
      <c r="CV37" s="4762">
        <f t="shared" si="37"/>
        <v>0</v>
      </c>
      <c r="CW37" s="4762">
        <f t="shared" si="37"/>
        <v>0</v>
      </c>
      <c r="CX37" s="4762">
        <f t="shared" si="37"/>
        <v>0</v>
      </c>
      <c r="CY37" s="4762">
        <f t="shared" si="37"/>
        <v>0</v>
      </c>
      <c r="CZ37" s="4762">
        <f t="shared" si="37"/>
        <v>0</v>
      </c>
      <c r="DA37" s="4762">
        <f t="shared" si="37"/>
        <v>0</v>
      </c>
      <c r="DB37" s="4762">
        <f t="shared" si="37"/>
        <v>0</v>
      </c>
      <c r="DC37" s="4762">
        <f t="shared" si="37"/>
        <v>0</v>
      </c>
      <c r="DD37" s="4762">
        <f t="shared" si="37"/>
        <v>0</v>
      </c>
      <c r="DE37" s="4762">
        <f t="shared" si="37"/>
        <v>0</v>
      </c>
      <c r="DF37" s="4762">
        <f t="shared" si="37"/>
        <v>0</v>
      </c>
      <c r="DG37" s="4762">
        <f t="shared" si="37"/>
        <v>0</v>
      </c>
      <c r="DH37" s="4762">
        <f t="shared" si="37"/>
        <v>0</v>
      </c>
      <c r="DI37" s="4762">
        <f t="shared" si="37"/>
        <v>0</v>
      </c>
      <c r="DJ37" s="4762">
        <f t="shared" si="37"/>
        <v>0</v>
      </c>
      <c r="DK37" s="4762">
        <f t="shared" si="37"/>
        <v>0</v>
      </c>
      <c r="DL37" s="4762">
        <f t="shared" si="37"/>
        <v>0</v>
      </c>
      <c r="DM37" s="4762">
        <f t="shared" si="37"/>
        <v>0</v>
      </c>
      <c r="DN37" s="4762">
        <f t="shared" si="37"/>
        <v>0</v>
      </c>
      <c r="DO37" s="4762">
        <f t="shared" si="37"/>
        <v>0</v>
      </c>
      <c r="DP37" s="4762">
        <f t="shared" ref="DP37:EU37" si="38">SUMIF($3:$3,DP$33,12:12)*DP$53/DP$54/100</f>
        <v>0</v>
      </c>
      <c r="DQ37" s="4762">
        <f t="shared" si="38"/>
        <v>0</v>
      </c>
      <c r="DR37" s="4762">
        <f t="shared" si="38"/>
        <v>0</v>
      </c>
      <c r="DS37" s="4762">
        <f t="shared" si="38"/>
        <v>0</v>
      </c>
      <c r="DT37" s="4762">
        <f t="shared" si="38"/>
        <v>0</v>
      </c>
      <c r="DU37" s="4762">
        <f t="shared" si="38"/>
        <v>0</v>
      </c>
      <c r="DV37" s="4762">
        <f t="shared" si="38"/>
        <v>0</v>
      </c>
      <c r="DW37" s="4762">
        <f t="shared" si="38"/>
        <v>0</v>
      </c>
      <c r="DX37" s="4762">
        <f t="shared" si="38"/>
        <v>0</v>
      </c>
      <c r="DY37" s="4762">
        <f t="shared" si="38"/>
        <v>0</v>
      </c>
      <c r="DZ37" s="4762">
        <f t="shared" si="38"/>
        <v>0</v>
      </c>
      <c r="EA37" s="4762">
        <f t="shared" si="38"/>
        <v>0</v>
      </c>
      <c r="EB37" s="4762">
        <f t="shared" si="38"/>
        <v>0</v>
      </c>
      <c r="EC37" s="4762">
        <f t="shared" si="38"/>
        <v>0</v>
      </c>
      <c r="ED37" s="4762">
        <f t="shared" si="38"/>
        <v>0</v>
      </c>
      <c r="EE37" s="4762">
        <f t="shared" si="38"/>
        <v>0</v>
      </c>
      <c r="EF37" s="4762">
        <f t="shared" si="38"/>
        <v>0</v>
      </c>
      <c r="EG37" s="4762">
        <f t="shared" si="38"/>
        <v>0</v>
      </c>
      <c r="EH37" s="4762">
        <f t="shared" si="38"/>
        <v>0</v>
      </c>
      <c r="EI37" s="4762">
        <f t="shared" si="38"/>
        <v>0</v>
      </c>
      <c r="EJ37" s="4762">
        <f t="shared" si="38"/>
        <v>0</v>
      </c>
      <c r="EK37" s="4762">
        <f t="shared" si="38"/>
        <v>0</v>
      </c>
      <c r="EL37" s="4762">
        <f t="shared" si="38"/>
        <v>0</v>
      </c>
      <c r="EM37" s="4762">
        <f t="shared" si="38"/>
        <v>0</v>
      </c>
      <c r="EN37" s="4762">
        <f t="shared" si="38"/>
        <v>0</v>
      </c>
      <c r="EO37" s="4762">
        <f t="shared" si="38"/>
        <v>0</v>
      </c>
      <c r="EP37" s="4762">
        <f t="shared" si="38"/>
        <v>0</v>
      </c>
      <c r="EQ37" s="4762">
        <f t="shared" si="38"/>
        <v>0</v>
      </c>
      <c r="ER37" s="4762">
        <f t="shared" si="38"/>
        <v>0</v>
      </c>
      <c r="ES37" s="4762">
        <f t="shared" si="38"/>
        <v>0</v>
      </c>
      <c r="ET37" s="4762">
        <f t="shared" si="38"/>
        <v>0</v>
      </c>
      <c r="EU37" s="4762">
        <f t="shared" si="38"/>
        <v>0</v>
      </c>
      <c r="EV37" s="4762">
        <f t="shared" ref="EV37:GE37" si="39">SUMIF($3:$3,EV$33,12:12)*EV$53/EV$54/100</f>
        <v>0</v>
      </c>
      <c r="EW37" s="4762">
        <f t="shared" si="39"/>
        <v>0</v>
      </c>
      <c r="EX37" s="4762">
        <f t="shared" si="39"/>
        <v>0</v>
      </c>
      <c r="EY37" s="4762">
        <f t="shared" si="39"/>
        <v>0</v>
      </c>
      <c r="EZ37" s="4762">
        <f t="shared" si="39"/>
        <v>0</v>
      </c>
      <c r="FA37" s="4762">
        <f t="shared" si="39"/>
        <v>0</v>
      </c>
      <c r="FB37" s="4762">
        <f t="shared" si="39"/>
        <v>0</v>
      </c>
      <c r="FC37" s="4762">
        <f t="shared" si="39"/>
        <v>0</v>
      </c>
      <c r="FD37" s="4762">
        <f t="shared" si="39"/>
        <v>0</v>
      </c>
      <c r="FE37" s="4762">
        <f t="shared" si="39"/>
        <v>0</v>
      </c>
      <c r="FF37" s="4762">
        <f t="shared" si="39"/>
        <v>0</v>
      </c>
      <c r="FG37" s="4762">
        <f t="shared" si="39"/>
        <v>0</v>
      </c>
      <c r="FH37" s="4762">
        <f t="shared" si="39"/>
        <v>0</v>
      </c>
      <c r="FI37" s="4762">
        <f t="shared" si="39"/>
        <v>0</v>
      </c>
      <c r="FJ37" s="4762">
        <f t="shared" si="39"/>
        <v>0</v>
      </c>
      <c r="FK37" s="4762">
        <f t="shared" si="39"/>
        <v>0</v>
      </c>
      <c r="FL37" s="4762">
        <f t="shared" si="39"/>
        <v>0</v>
      </c>
      <c r="FM37" s="4762">
        <f t="shared" si="39"/>
        <v>0</v>
      </c>
      <c r="FN37" s="4762">
        <f t="shared" si="39"/>
        <v>0</v>
      </c>
      <c r="FO37" s="4762">
        <f t="shared" si="39"/>
        <v>0</v>
      </c>
      <c r="FP37" s="4762">
        <f t="shared" si="39"/>
        <v>0</v>
      </c>
      <c r="FQ37" s="4762">
        <f t="shared" si="39"/>
        <v>0</v>
      </c>
      <c r="FR37" s="4762">
        <f t="shared" si="39"/>
        <v>0</v>
      </c>
      <c r="FS37" s="4762">
        <f t="shared" si="39"/>
        <v>0</v>
      </c>
      <c r="FT37" s="4762">
        <f t="shared" si="39"/>
        <v>0</v>
      </c>
      <c r="FU37" s="4762">
        <f t="shared" si="39"/>
        <v>0</v>
      </c>
      <c r="FV37" s="4762">
        <f t="shared" si="39"/>
        <v>0</v>
      </c>
      <c r="FW37" s="4762">
        <f t="shared" si="39"/>
        <v>0</v>
      </c>
      <c r="FX37" s="4762">
        <f t="shared" si="39"/>
        <v>0</v>
      </c>
      <c r="FY37" s="4762">
        <f t="shared" si="39"/>
        <v>0</v>
      </c>
      <c r="FZ37" s="4762">
        <f t="shared" si="39"/>
        <v>0</v>
      </c>
      <c r="GA37" s="4762">
        <f t="shared" si="39"/>
        <v>0</v>
      </c>
      <c r="GB37" s="4762">
        <f t="shared" si="39"/>
        <v>0</v>
      </c>
      <c r="GC37" s="4762">
        <f t="shared" si="39"/>
        <v>0</v>
      </c>
      <c r="GD37" s="4762">
        <f t="shared" si="39"/>
        <v>0</v>
      </c>
      <c r="GE37" s="4845">
        <f t="shared" si="39"/>
        <v>0</v>
      </c>
    </row>
    <row r="38" spans="1:188" s="302" customFormat="1" ht="17.100000000000001" customHeight="1">
      <c r="A38" s="787"/>
      <c r="C38" s="4779" t="s">
        <v>1110</v>
      </c>
      <c r="D38" s="4766"/>
      <c r="E38" s="4770"/>
      <c r="F38" s="4761">
        <f t="shared" si="26"/>
        <v>321.13638823999963</v>
      </c>
      <c r="G38" s="4777"/>
      <c r="H38" s="4846">
        <v>2.2596690000000001</v>
      </c>
      <c r="I38" s="4846">
        <v>2.3151991000000001</v>
      </c>
      <c r="J38" s="4846">
        <v>2.4369551</v>
      </c>
      <c r="K38" s="4846">
        <v>2.4655201999999998</v>
      </c>
      <c r="L38" s="4846">
        <v>3.0230809999999999</v>
      </c>
      <c r="M38" s="4846">
        <v>2.4244161000000002</v>
      </c>
      <c r="N38" s="4846">
        <v>2.5753281000000001</v>
      </c>
      <c r="O38" s="4846">
        <v>2.3385544</v>
      </c>
      <c r="P38" s="4847">
        <f>'자금운영(현금)'!BF9</f>
        <v>2.1990848000000001</v>
      </c>
      <c r="Q38" s="4847">
        <f>'자금운영(현금)'!BG9</f>
        <v>1.9978662</v>
      </c>
      <c r="R38" s="4847">
        <f>'자금운영(현금)'!BH9</f>
        <v>2.0989122</v>
      </c>
      <c r="S38" s="4847">
        <f>'자금운영(현금)'!BI9</f>
        <v>2.16946824</v>
      </c>
      <c r="T38" s="4848">
        <v>2.013436478</v>
      </c>
      <c r="U38" s="4848">
        <v>2.0679245879999999</v>
      </c>
      <c r="V38" s="4848">
        <v>2.1073897180000003</v>
      </c>
      <c r="W38" s="4848">
        <v>2.1491440639999997</v>
      </c>
      <c r="X38" s="4762">
        <f t="shared" ref="X38:BC38" si="40">SUMIF($3:$3,X$33,13:13)*X$53/X$54/100</f>
        <v>2.0844737119999999</v>
      </c>
      <c r="Y38" s="4762">
        <f t="shared" si="40"/>
        <v>2.0844737119999999</v>
      </c>
      <c r="Z38" s="4762">
        <f t="shared" si="40"/>
        <v>2.0844737119999999</v>
      </c>
      <c r="AA38" s="4762">
        <f t="shared" si="40"/>
        <v>2.0844737119999999</v>
      </c>
      <c r="AB38" s="4762">
        <f t="shared" si="40"/>
        <v>2.0844737119999999</v>
      </c>
      <c r="AC38" s="4762">
        <f t="shared" si="40"/>
        <v>2.0844737119999999</v>
      </c>
      <c r="AD38" s="4762">
        <f t="shared" si="40"/>
        <v>2.0844737119999999</v>
      </c>
      <c r="AE38" s="4762">
        <f t="shared" si="40"/>
        <v>2.0844737119999999</v>
      </c>
      <c r="AF38" s="4762">
        <f t="shared" si="40"/>
        <v>2.0844737119999999</v>
      </c>
      <c r="AG38" s="4762">
        <f t="shared" si="40"/>
        <v>2.0844737119999999</v>
      </c>
      <c r="AH38" s="4762">
        <f t="shared" si="40"/>
        <v>2.0844737119999999</v>
      </c>
      <c r="AI38" s="4762">
        <f t="shared" si="40"/>
        <v>2.0844737119999999</v>
      </c>
      <c r="AJ38" s="4762">
        <f t="shared" si="40"/>
        <v>2.0844737119999999</v>
      </c>
      <c r="AK38" s="4762">
        <f t="shared" si="40"/>
        <v>2.0844737119999999</v>
      </c>
      <c r="AL38" s="4762">
        <f t="shared" si="40"/>
        <v>2.0844737119999999</v>
      </c>
      <c r="AM38" s="4762">
        <f t="shared" si="40"/>
        <v>2.0844737119999999</v>
      </c>
      <c r="AN38" s="4762">
        <f t="shared" si="40"/>
        <v>2.0844737119999999</v>
      </c>
      <c r="AO38" s="4762">
        <f t="shared" si="40"/>
        <v>2.0844737119999999</v>
      </c>
      <c r="AP38" s="4762">
        <f t="shared" si="40"/>
        <v>2.0844737119999999</v>
      </c>
      <c r="AQ38" s="4762">
        <f t="shared" si="40"/>
        <v>2.0844737119999999</v>
      </c>
      <c r="AR38" s="4762">
        <f t="shared" si="40"/>
        <v>2.0844737119999999</v>
      </c>
      <c r="AS38" s="4762">
        <f t="shared" si="40"/>
        <v>2.0844737119999999</v>
      </c>
      <c r="AT38" s="4762">
        <f t="shared" si="40"/>
        <v>2.0844737119999999</v>
      </c>
      <c r="AU38" s="4762">
        <f t="shared" si="40"/>
        <v>2.0844737119999999</v>
      </c>
      <c r="AV38" s="4762">
        <f t="shared" si="40"/>
        <v>2.0844737119999999</v>
      </c>
      <c r="AW38" s="4762">
        <f t="shared" si="40"/>
        <v>2.0844737119999999</v>
      </c>
      <c r="AX38" s="4762">
        <f t="shared" si="40"/>
        <v>2.0844737119999999</v>
      </c>
      <c r="AY38" s="4762">
        <f t="shared" si="40"/>
        <v>2.0844737119999999</v>
      </c>
      <c r="AZ38" s="4762">
        <f t="shared" si="40"/>
        <v>2.0844737119999999</v>
      </c>
      <c r="BA38" s="4762">
        <f t="shared" si="40"/>
        <v>2.0844737119999999</v>
      </c>
      <c r="BB38" s="4762">
        <f t="shared" si="40"/>
        <v>2.0844737119999999</v>
      </c>
      <c r="BC38" s="4762">
        <f t="shared" si="40"/>
        <v>2.0844737119999999</v>
      </c>
      <c r="BD38" s="4762">
        <f t="shared" ref="BD38:CI38" si="41">SUMIF($3:$3,BD$33,13:13)*BD$53/BD$54/100</f>
        <v>2.0844737119999999</v>
      </c>
      <c r="BE38" s="4762">
        <f t="shared" si="41"/>
        <v>2.0844737119999999</v>
      </c>
      <c r="BF38" s="4762">
        <f t="shared" si="41"/>
        <v>2.0844737119999999</v>
      </c>
      <c r="BG38" s="4762">
        <f t="shared" si="41"/>
        <v>2.0844737119999999</v>
      </c>
      <c r="BH38" s="4762">
        <f t="shared" si="41"/>
        <v>2.0844737119999999</v>
      </c>
      <c r="BI38" s="4762">
        <f t="shared" si="41"/>
        <v>2.0844737119999999</v>
      </c>
      <c r="BJ38" s="4762">
        <f t="shared" si="41"/>
        <v>2.0844737119999999</v>
      </c>
      <c r="BK38" s="4762">
        <f t="shared" si="41"/>
        <v>2.0844737119999999</v>
      </c>
      <c r="BL38" s="4762">
        <f t="shared" si="41"/>
        <v>2.0844737119999999</v>
      </c>
      <c r="BM38" s="4762">
        <f t="shared" si="41"/>
        <v>2.0844737119999999</v>
      </c>
      <c r="BN38" s="4762">
        <f t="shared" si="41"/>
        <v>2.0844737119999999</v>
      </c>
      <c r="BO38" s="4762">
        <f t="shared" si="41"/>
        <v>2.0844737119999999</v>
      </c>
      <c r="BP38" s="4762">
        <f t="shared" si="41"/>
        <v>2.0844737119999999</v>
      </c>
      <c r="BQ38" s="4762">
        <f t="shared" si="41"/>
        <v>2.0844737119999999</v>
      </c>
      <c r="BR38" s="4762">
        <f t="shared" si="41"/>
        <v>2.0844737119999999</v>
      </c>
      <c r="BS38" s="4762">
        <f t="shared" si="41"/>
        <v>2.0844737119999999</v>
      </c>
      <c r="BT38" s="4762">
        <f t="shared" si="41"/>
        <v>2.0844737119999999</v>
      </c>
      <c r="BU38" s="4762">
        <f t="shared" si="41"/>
        <v>2.0844737119999999</v>
      </c>
      <c r="BV38" s="4762">
        <f t="shared" si="41"/>
        <v>2.0844737119999999</v>
      </c>
      <c r="BW38" s="4762">
        <f t="shared" si="41"/>
        <v>2.0844737119999999</v>
      </c>
      <c r="BX38" s="4762">
        <f t="shared" si="41"/>
        <v>2.0844737119999999</v>
      </c>
      <c r="BY38" s="4762">
        <f t="shared" si="41"/>
        <v>2.0844737119999999</v>
      </c>
      <c r="BZ38" s="4762">
        <f t="shared" si="41"/>
        <v>2.0844737119999999</v>
      </c>
      <c r="CA38" s="4762">
        <f t="shared" si="41"/>
        <v>2.0844737119999999</v>
      </c>
      <c r="CB38" s="4762">
        <f t="shared" si="41"/>
        <v>2.0844737119999999</v>
      </c>
      <c r="CC38" s="4762">
        <f t="shared" si="41"/>
        <v>2.0844737119999999</v>
      </c>
      <c r="CD38" s="4762">
        <f t="shared" si="41"/>
        <v>2.0844737119999999</v>
      </c>
      <c r="CE38" s="4762">
        <f t="shared" si="41"/>
        <v>2.0844737119999999</v>
      </c>
      <c r="CF38" s="4762">
        <f t="shared" si="41"/>
        <v>2.0844737119999999</v>
      </c>
      <c r="CG38" s="4762">
        <f t="shared" si="41"/>
        <v>2.0844737119999999</v>
      </c>
      <c r="CH38" s="4762">
        <f t="shared" si="41"/>
        <v>2.0844737119999999</v>
      </c>
      <c r="CI38" s="4762">
        <f t="shared" si="41"/>
        <v>2.0844737119999999</v>
      </c>
      <c r="CJ38" s="4762">
        <f t="shared" ref="CJ38:DO38" si="42">SUMIF($3:$3,CJ$33,13:13)*CJ$53/CJ$54/100</f>
        <v>2.0844737119999999</v>
      </c>
      <c r="CK38" s="4762">
        <f t="shared" si="42"/>
        <v>2.0844737119999999</v>
      </c>
      <c r="CL38" s="4762">
        <f t="shared" si="42"/>
        <v>2.0844737119999999</v>
      </c>
      <c r="CM38" s="4762">
        <f t="shared" si="42"/>
        <v>2.0844737119999999</v>
      </c>
      <c r="CN38" s="4762">
        <f t="shared" si="42"/>
        <v>2.0844737119999999</v>
      </c>
      <c r="CO38" s="4762">
        <f t="shared" si="42"/>
        <v>2.0844737119999999</v>
      </c>
      <c r="CP38" s="4762">
        <f t="shared" si="42"/>
        <v>2.0844737119999999</v>
      </c>
      <c r="CQ38" s="4762">
        <f t="shared" si="42"/>
        <v>2.0844737119999999</v>
      </c>
      <c r="CR38" s="4762">
        <f t="shared" si="42"/>
        <v>2.0844737119999999</v>
      </c>
      <c r="CS38" s="4762">
        <f t="shared" si="42"/>
        <v>2.0844737119999999</v>
      </c>
      <c r="CT38" s="4762">
        <f t="shared" si="42"/>
        <v>2.0844737119999999</v>
      </c>
      <c r="CU38" s="4762">
        <f t="shared" si="42"/>
        <v>2.0844737119999999</v>
      </c>
      <c r="CV38" s="4762">
        <f t="shared" si="42"/>
        <v>2.0844737119999999</v>
      </c>
      <c r="CW38" s="4762">
        <f t="shared" si="42"/>
        <v>2.0844737119999999</v>
      </c>
      <c r="CX38" s="4762">
        <f t="shared" si="42"/>
        <v>2.0844737119999999</v>
      </c>
      <c r="CY38" s="4762">
        <f t="shared" si="42"/>
        <v>2.0844737119999999</v>
      </c>
      <c r="CZ38" s="4762">
        <f t="shared" si="42"/>
        <v>2.0844737119999999</v>
      </c>
      <c r="DA38" s="4762">
        <f t="shared" si="42"/>
        <v>2.0844737119999999</v>
      </c>
      <c r="DB38" s="4762">
        <f t="shared" si="42"/>
        <v>2.0844737119999999</v>
      </c>
      <c r="DC38" s="4762">
        <f t="shared" si="42"/>
        <v>2.0844737119999999</v>
      </c>
      <c r="DD38" s="4762">
        <f t="shared" si="42"/>
        <v>2.0844737119999999</v>
      </c>
      <c r="DE38" s="4762">
        <f t="shared" si="42"/>
        <v>2.0844737119999999</v>
      </c>
      <c r="DF38" s="4762">
        <f t="shared" si="42"/>
        <v>2.0844737119999999</v>
      </c>
      <c r="DG38" s="4762">
        <f t="shared" si="42"/>
        <v>2.0844737119999999</v>
      </c>
      <c r="DH38" s="4762">
        <f t="shared" si="42"/>
        <v>2.0844737119999999</v>
      </c>
      <c r="DI38" s="4762">
        <f t="shared" si="42"/>
        <v>2.0844737119999999</v>
      </c>
      <c r="DJ38" s="4762">
        <f t="shared" si="42"/>
        <v>2.0844737119999999</v>
      </c>
      <c r="DK38" s="4762">
        <f t="shared" si="42"/>
        <v>2.0844737119999999</v>
      </c>
      <c r="DL38" s="4762">
        <f t="shared" si="42"/>
        <v>2.0844737119999999</v>
      </c>
      <c r="DM38" s="4762">
        <f t="shared" si="42"/>
        <v>2.0844737119999999</v>
      </c>
      <c r="DN38" s="4762">
        <f t="shared" si="42"/>
        <v>2.0844737119999999</v>
      </c>
      <c r="DO38" s="4762">
        <f t="shared" si="42"/>
        <v>2.0844737119999999</v>
      </c>
      <c r="DP38" s="4762">
        <f t="shared" ref="DP38:EU38" si="43">SUMIF($3:$3,DP$33,13:13)*DP$53/DP$54/100</f>
        <v>2.0844737119999999</v>
      </c>
      <c r="DQ38" s="4762">
        <f t="shared" si="43"/>
        <v>2.0844737119999999</v>
      </c>
      <c r="DR38" s="4762">
        <f t="shared" si="43"/>
        <v>2.0844737119999999</v>
      </c>
      <c r="DS38" s="4762">
        <f t="shared" si="43"/>
        <v>2.0844737119999999</v>
      </c>
      <c r="DT38" s="4762">
        <f t="shared" si="43"/>
        <v>2.0844737119999999</v>
      </c>
      <c r="DU38" s="4762">
        <f t="shared" si="43"/>
        <v>2.0844737119999999</v>
      </c>
      <c r="DV38" s="4762">
        <f t="shared" si="43"/>
        <v>2.0844737119999999</v>
      </c>
      <c r="DW38" s="4762">
        <f t="shared" si="43"/>
        <v>2.0844737119999999</v>
      </c>
      <c r="DX38" s="4762">
        <f t="shared" si="43"/>
        <v>2.0844737119999999</v>
      </c>
      <c r="DY38" s="4762">
        <f t="shared" si="43"/>
        <v>2.0844737119999999</v>
      </c>
      <c r="DZ38" s="4762">
        <f t="shared" si="43"/>
        <v>2.0844737119999999</v>
      </c>
      <c r="EA38" s="4762">
        <f t="shared" si="43"/>
        <v>2.0844737119999999</v>
      </c>
      <c r="EB38" s="4762">
        <f t="shared" si="43"/>
        <v>2.0844737119999999</v>
      </c>
      <c r="EC38" s="4762">
        <f t="shared" si="43"/>
        <v>2.0844737119999999</v>
      </c>
      <c r="ED38" s="4762">
        <f t="shared" si="43"/>
        <v>2.0844737119999999</v>
      </c>
      <c r="EE38" s="4762">
        <f t="shared" si="43"/>
        <v>2.0844737119999999</v>
      </c>
      <c r="EF38" s="4762">
        <f t="shared" si="43"/>
        <v>2.0844737119999999</v>
      </c>
      <c r="EG38" s="4762">
        <f t="shared" si="43"/>
        <v>2.0844737119999999</v>
      </c>
      <c r="EH38" s="4762">
        <f t="shared" si="43"/>
        <v>2.0844737119999999</v>
      </c>
      <c r="EI38" s="4762">
        <f t="shared" si="43"/>
        <v>2.0844737119999999</v>
      </c>
      <c r="EJ38" s="4762">
        <f t="shared" si="43"/>
        <v>2.0844737119999999</v>
      </c>
      <c r="EK38" s="4762">
        <f t="shared" si="43"/>
        <v>2.0844737119999999</v>
      </c>
      <c r="EL38" s="4762">
        <f t="shared" si="43"/>
        <v>2.0844737119999999</v>
      </c>
      <c r="EM38" s="4762">
        <f t="shared" si="43"/>
        <v>2.0844737119999999</v>
      </c>
      <c r="EN38" s="4762">
        <f t="shared" si="43"/>
        <v>2.0844737119999999</v>
      </c>
      <c r="EO38" s="4762">
        <f t="shared" si="43"/>
        <v>2.0844737119999999</v>
      </c>
      <c r="EP38" s="4762">
        <f t="shared" si="43"/>
        <v>2.0844737119999999</v>
      </c>
      <c r="EQ38" s="4762">
        <f t="shared" si="43"/>
        <v>2.0844737119999999</v>
      </c>
      <c r="ER38" s="4762">
        <f t="shared" si="43"/>
        <v>2.0844737119999999</v>
      </c>
      <c r="ES38" s="4762">
        <f t="shared" si="43"/>
        <v>2.0844737119999999</v>
      </c>
      <c r="ET38" s="4762">
        <f t="shared" si="43"/>
        <v>2.0844737119999999</v>
      </c>
      <c r="EU38" s="4762">
        <f t="shared" si="43"/>
        <v>2.0844737119999999</v>
      </c>
      <c r="EV38" s="4762">
        <f t="shared" ref="EV38:GE38" si="44">SUMIF($3:$3,EV$33,13:13)*EV$53/EV$54/100</f>
        <v>2.0844737119999999</v>
      </c>
      <c r="EW38" s="4762">
        <f t="shared" si="44"/>
        <v>2.0844737119999999</v>
      </c>
      <c r="EX38" s="4762">
        <f t="shared" si="44"/>
        <v>2.0844737119999999</v>
      </c>
      <c r="EY38" s="4762">
        <f t="shared" si="44"/>
        <v>2.0844737119999999</v>
      </c>
      <c r="EZ38" s="4762">
        <f t="shared" si="44"/>
        <v>2.0844737119999999</v>
      </c>
      <c r="FA38" s="4762">
        <f t="shared" si="44"/>
        <v>2.0844737119999999</v>
      </c>
      <c r="FB38" s="4762">
        <f t="shared" si="44"/>
        <v>2.0844737119999999</v>
      </c>
      <c r="FC38" s="4762">
        <f t="shared" si="44"/>
        <v>2.0844737119999999</v>
      </c>
      <c r="FD38" s="4762">
        <f t="shared" si="44"/>
        <v>2.0844737119999999</v>
      </c>
      <c r="FE38" s="4762">
        <f t="shared" si="44"/>
        <v>2.0844737119999999</v>
      </c>
      <c r="FF38" s="4762">
        <f t="shared" si="44"/>
        <v>2.0844737119999999</v>
      </c>
      <c r="FG38" s="4762">
        <f t="shared" si="44"/>
        <v>2.0844737119999999</v>
      </c>
      <c r="FH38" s="4762">
        <f t="shared" si="44"/>
        <v>2.0844737119999999</v>
      </c>
      <c r="FI38" s="4762">
        <f t="shared" si="44"/>
        <v>2.0844737119999999</v>
      </c>
      <c r="FJ38" s="4762">
        <f t="shared" si="44"/>
        <v>2.0844737119999999</v>
      </c>
      <c r="FK38" s="4762">
        <f t="shared" si="44"/>
        <v>2.0844737119999999</v>
      </c>
      <c r="FL38" s="4762">
        <f t="shared" si="44"/>
        <v>2.0844737119999999</v>
      </c>
      <c r="FM38" s="4762">
        <f t="shared" si="44"/>
        <v>2.0844737119999999</v>
      </c>
      <c r="FN38" s="4762">
        <f t="shared" si="44"/>
        <v>0</v>
      </c>
      <c r="FO38" s="4762">
        <f t="shared" si="44"/>
        <v>0</v>
      </c>
      <c r="FP38" s="4762">
        <f t="shared" si="44"/>
        <v>0</v>
      </c>
      <c r="FQ38" s="4762">
        <f t="shared" si="44"/>
        <v>0</v>
      </c>
      <c r="FR38" s="4762">
        <f t="shared" si="44"/>
        <v>0</v>
      </c>
      <c r="FS38" s="4762">
        <f t="shared" si="44"/>
        <v>0</v>
      </c>
      <c r="FT38" s="4762">
        <f t="shared" si="44"/>
        <v>0</v>
      </c>
      <c r="FU38" s="4762">
        <f t="shared" si="44"/>
        <v>0</v>
      </c>
      <c r="FV38" s="4762">
        <f t="shared" si="44"/>
        <v>0</v>
      </c>
      <c r="FW38" s="4762">
        <f t="shared" si="44"/>
        <v>0</v>
      </c>
      <c r="FX38" s="4762">
        <f t="shared" si="44"/>
        <v>0</v>
      </c>
      <c r="FY38" s="4762">
        <f t="shared" si="44"/>
        <v>0</v>
      </c>
      <c r="FZ38" s="4762">
        <f t="shared" si="44"/>
        <v>0</v>
      </c>
      <c r="GA38" s="4762">
        <f t="shared" si="44"/>
        <v>0</v>
      </c>
      <c r="GB38" s="4762">
        <f t="shared" si="44"/>
        <v>0</v>
      </c>
      <c r="GC38" s="4762">
        <f t="shared" si="44"/>
        <v>0</v>
      </c>
      <c r="GD38" s="4762">
        <f t="shared" si="44"/>
        <v>0</v>
      </c>
      <c r="GE38" s="4845">
        <f t="shared" si="44"/>
        <v>0</v>
      </c>
    </row>
    <row r="39" spans="1:188" s="302" customFormat="1" ht="17.100000000000001" customHeight="1">
      <c r="A39" s="787"/>
      <c r="C39" s="4779" t="s">
        <v>1111</v>
      </c>
      <c r="D39" s="4766"/>
      <c r="E39" s="4770"/>
      <c r="F39" s="4761">
        <f t="shared" si="26"/>
        <v>9.2785404899999886</v>
      </c>
      <c r="G39" s="4777"/>
      <c r="H39" s="4846">
        <v>5.7876200000000003E-2</v>
      </c>
      <c r="I39" s="4846">
        <v>5.3461399999999999E-2</v>
      </c>
      <c r="J39" s="4846">
        <v>3.7817999999999997E-2</v>
      </c>
      <c r="K39" s="4846">
        <v>0.06</v>
      </c>
      <c r="L39" s="4846">
        <v>0.14077054999999999</v>
      </c>
      <c r="M39" s="4846">
        <v>0.11409345</v>
      </c>
      <c r="N39" s="4846">
        <v>8.7302299999999999E-2</v>
      </c>
      <c r="O39" s="4846">
        <v>6.7859249999999996E-2</v>
      </c>
      <c r="P39" s="4847">
        <f>'자금운영(현금)'!BF12</f>
        <v>6.3013280000000005E-2</v>
      </c>
      <c r="Q39" s="4847">
        <f>'자금운영(현금)'!BG12</f>
        <v>9.5527210000000001E-2</v>
      </c>
      <c r="R39" s="4847">
        <f>'자금운영(현금)'!BH12</f>
        <v>0.06</v>
      </c>
      <c r="S39" s="4847">
        <f>'자금운영(현금)'!BI12</f>
        <v>0.06</v>
      </c>
      <c r="T39" s="4848">
        <v>0.06</v>
      </c>
      <c r="U39" s="4848">
        <v>0.06</v>
      </c>
      <c r="V39" s="4848">
        <v>0.06</v>
      </c>
      <c r="W39" s="4848">
        <v>0.06</v>
      </c>
      <c r="X39" s="4762">
        <f t="shared" ref="X39:BC39" si="45">SUMIF($3:$3,X$33,14:14)*X$53/X$54/100</f>
        <v>0.06</v>
      </c>
      <c r="Y39" s="4762">
        <f t="shared" si="45"/>
        <v>0.06</v>
      </c>
      <c r="Z39" s="4762">
        <f t="shared" si="45"/>
        <v>0.06</v>
      </c>
      <c r="AA39" s="4762">
        <f t="shared" si="45"/>
        <v>0.06</v>
      </c>
      <c r="AB39" s="4762">
        <f t="shared" si="45"/>
        <v>0.06</v>
      </c>
      <c r="AC39" s="4762">
        <f t="shared" si="45"/>
        <v>0.06</v>
      </c>
      <c r="AD39" s="4762">
        <f t="shared" si="45"/>
        <v>0.06</v>
      </c>
      <c r="AE39" s="4762">
        <f t="shared" si="45"/>
        <v>0.06</v>
      </c>
      <c r="AF39" s="4762">
        <f t="shared" si="45"/>
        <v>0.06</v>
      </c>
      <c r="AG39" s="4762">
        <f t="shared" si="45"/>
        <v>0.06</v>
      </c>
      <c r="AH39" s="4762">
        <f t="shared" si="45"/>
        <v>0.06</v>
      </c>
      <c r="AI39" s="4762">
        <f t="shared" si="45"/>
        <v>0.06</v>
      </c>
      <c r="AJ39" s="4762">
        <f t="shared" si="45"/>
        <v>0.06</v>
      </c>
      <c r="AK39" s="4762">
        <f t="shared" si="45"/>
        <v>0.06</v>
      </c>
      <c r="AL39" s="4762">
        <f t="shared" si="45"/>
        <v>0.06</v>
      </c>
      <c r="AM39" s="4762">
        <f t="shared" si="45"/>
        <v>0.06</v>
      </c>
      <c r="AN39" s="4762">
        <f t="shared" si="45"/>
        <v>0.06</v>
      </c>
      <c r="AO39" s="4762">
        <f t="shared" si="45"/>
        <v>0.06</v>
      </c>
      <c r="AP39" s="4762">
        <f t="shared" si="45"/>
        <v>0.06</v>
      </c>
      <c r="AQ39" s="4762">
        <f t="shared" si="45"/>
        <v>0.06</v>
      </c>
      <c r="AR39" s="4762">
        <f t="shared" si="45"/>
        <v>0.06</v>
      </c>
      <c r="AS39" s="4762">
        <f t="shared" si="45"/>
        <v>0.06</v>
      </c>
      <c r="AT39" s="4762">
        <f t="shared" si="45"/>
        <v>0.06</v>
      </c>
      <c r="AU39" s="4762">
        <f t="shared" si="45"/>
        <v>0.06</v>
      </c>
      <c r="AV39" s="4762">
        <f t="shared" si="45"/>
        <v>0.06</v>
      </c>
      <c r="AW39" s="4762">
        <f t="shared" si="45"/>
        <v>0.06</v>
      </c>
      <c r="AX39" s="4762">
        <f t="shared" si="45"/>
        <v>0.06</v>
      </c>
      <c r="AY39" s="4762">
        <f t="shared" si="45"/>
        <v>0.06</v>
      </c>
      <c r="AZ39" s="4762">
        <f t="shared" si="45"/>
        <v>0.06</v>
      </c>
      <c r="BA39" s="4762">
        <f t="shared" si="45"/>
        <v>0.06</v>
      </c>
      <c r="BB39" s="4762">
        <f t="shared" si="45"/>
        <v>0.06</v>
      </c>
      <c r="BC39" s="4762">
        <f t="shared" si="45"/>
        <v>0.06</v>
      </c>
      <c r="BD39" s="4762">
        <f t="shared" ref="BD39:CI39" si="46">SUMIF($3:$3,BD$33,14:14)*BD$53/BD$54/100</f>
        <v>0.06</v>
      </c>
      <c r="BE39" s="4762">
        <f t="shared" si="46"/>
        <v>0.06</v>
      </c>
      <c r="BF39" s="4762">
        <f t="shared" si="46"/>
        <v>0.06</v>
      </c>
      <c r="BG39" s="4762">
        <f t="shared" si="46"/>
        <v>0.06</v>
      </c>
      <c r="BH39" s="4762">
        <f t="shared" si="46"/>
        <v>0.06</v>
      </c>
      <c r="BI39" s="4762">
        <f t="shared" si="46"/>
        <v>0.06</v>
      </c>
      <c r="BJ39" s="4762">
        <f t="shared" si="46"/>
        <v>0.06</v>
      </c>
      <c r="BK39" s="4762">
        <f t="shared" si="46"/>
        <v>0.06</v>
      </c>
      <c r="BL39" s="4762">
        <f t="shared" si="46"/>
        <v>0.06</v>
      </c>
      <c r="BM39" s="4762">
        <f t="shared" si="46"/>
        <v>0.06</v>
      </c>
      <c r="BN39" s="4762">
        <f t="shared" si="46"/>
        <v>0.06</v>
      </c>
      <c r="BO39" s="4762">
        <f t="shared" si="46"/>
        <v>0.06</v>
      </c>
      <c r="BP39" s="4762">
        <f t="shared" si="46"/>
        <v>0.06</v>
      </c>
      <c r="BQ39" s="4762">
        <f t="shared" si="46"/>
        <v>0.06</v>
      </c>
      <c r="BR39" s="4762">
        <f t="shared" si="46"/>
        <v>0.06</v>
      </c>
      <c r="BS39" s="4762">
        <f t="shared" si="46"/>
        <v>0.06</v>
      </c>
      <c r="BT39" s="4762">
        <f t="shared" si="46"/>
        <v>0.06</v>
      </c>
      <c r="BU39" s="4762">
        <f t="shared" si="46"/>
        <v>0.06</v>
      </c>
      <c r="BV39" s="4762">
        <f t="shared" si="46"/>
        <v>0.06</v>
      </c>
      <c r="BW39" s="4762">
        <f t="shared" si="46"/>
        <v>0.06</v>
      </c>
      <c r="BX39" s="4762">
        <f t="shared" si="46"/>
        <v>0.06</v>
      </c>
      <c r="BY39" s="4762">
        <f t="shared" si="46"/>
        <v>0.06</v>
      </c>
      <c r="BZ39" s="4762">
        <f t="shared" si="46"/>
        <v>0.06</v>
      </c>
      <c r="CA39" s="4762">
        <f t="shared" si="46"/>
        <v>0.06</v>
      </c>
      <c r="CB39" s="4762">
        <f t="shared" si="46"/>
        <v>0.06</v>
      </c>
      <c r="CC39" s="4762">
        <f t="shared" si="46"/>
        <v>0.06</v>
      </c>
      <c r="CD39" s="4762">
        <f t="shared" si="46"/>
        <v>0.06</v>
      </c>
      <c r="CE39" s="4762">
        <f t="shared" si="46"/>
        <v>0.06</v>
      </c>
      <c r="CF39" s="4762">
        <f t="shared" si="46"/>
        <v>0.06</v>
      </c>
      <c r="CG39" s="4762">
        <f t="shared" si="46"/>
        <v>0.06</v>
      </c>
      <c r="CH39" s="4762">
        <f t="shared" si="46"/>
        <v>0.06</v>
      </c>
      <c r="CI39" s="4762">
        <f t="shared" si="46"/>
        <v>0.06</v>
      </c>
      <c r="CJ39" s="4762">
        <f t="shared" ref="CJ39:DO39" si="47">SUMIF($3:$3,CJ$33,14:14)*CJ$53/CJ$54/100</f>
        <v>0.06</v>
      </c>
      <c r="CK39" s="4762">
        <f t="shared" si="47"/>
        <v>0.06</v>
      </c>
      <c r="CL39" s="4762">
        <f t="shared" si="47"/>
        <v>0.06</v>
      </c>
      <c r="CM39" s="4762">
        <f t="shared" si="47"/>
        <v>0.06</v>
      </c>
      <c r="CN39" s="4762">
        <f t="shared" si="47"/>
        <v>0.06</v>
      </c>
      <c r="CO39" s="4762">
        <f t="shared" si="47"/>
        <v>0.06</v>
      </c>
      <c r="CP39" s="4762">
        <f t="shared" si="47"/>
        <v>0.06</v>
      </c>
      <c r="CQ39" s="4762">
        <f t="shared" si="47"/>
        <v>0.06</v>
      </c>
      <c r="CR39" s="4762">
        <f t="shared" si="47"/>
        <v>0.06</v>
      </c>
      <c r="CS39" s="4762">
        <f t="shared" si="47"/>
        <v>0.06</v>
      </c>
      <c r="CT39" s="4762">
        <f t="shared" si="47"/>
        <v>0.06</v>
      </c>
      <c r="CU39" s="4762">
        <f t="shared" si="47"/>
        <v>0.06</v>
      </c>
      <c r="CV39" s="4762">
        <f t="shared" si="47"/>
        <v>0.06</v>
      </c>
      <c r="CW39" s="4762">
        <f t="shared" si="47"/>
        <v>0.06</v>
      </c>
      <c r="CX39" s="4762">
        <f t="shared" si="47"/>
        <v>0.06</v>
      </c>
      <c r="CY39" s="4762">
        <f t="shared" si="47"/>
        <v>0.06</v>
      </c>
      <c r="CZ39" s="4762">
        <f t="shared" si="47"/>
        <v>0.06</v>
      </c>
      <c r="DA39" s="4762">
        <f t="shared" si="47"/>
        <v>0.06</v>
      </c>
      <c r="DB39" s="4762">
        <f t="shared" si="47"/>
        <v>0.06</v>
      </c>
      <c r="DC39" s="4762">
        <f t="shared" si="47"/>
        <v>0.06</v>
      </c>
      <c r="DD39" s="4762">
        <f t="shared" si="47"/>
        <v>0.06</v>
      </c>
      <c r="DE39" s="4762">
        <f t="shared" si="47"/>
        <v>0.06</v>
      </c>
      <c r="DF39" s="4762">
        <f t="shared" si="47"/>
        <v>0.06</v>
      </c>
      <c r="DG39" s="4762">
        <f t="shared" si="47"/>
        <v>0.06</v>
      </c>
      <c r="DH39" s="4762">
        <f t="shared" si="47"/>
        <v>0.06</v>
      </c>
      <c r="DI39" s="4762">
        <f t="shared" si="47"/>
        <v>0.06</v>
      </c>
      <c r="DJ39" s="4762">
        <f t="shared" si="47"/>
        <v>0.06</v>
      </c>
      <c r="DK39" s="4762">
        <f t="shared" si="47"/>
        <v>0.06</v>
      </c>
      <c r="DL39" s="4762">
        <f t="shared" si="47"/>
        <v>0.06</v>
      </c>
      <c r="DM39" s="4762">
        <f t="shared" si="47"/>
        <v>0.06</v>
      </c>
      <c r="DN39" s="4762">
        <f t="shared" si="47"/>
        <v>0.06</v>
      </c>
      <c r="DO39" s="4762">
        <f t="shared" si="47"/>
        <v>0.06</v>
      </c>
      <c r="DP39" s="4762">
        <f t="shared" ref="DP39:EU39" si="48">SUMIF($3:$3,DP$33,14:14)*DP$53/DP$54/100</f>
        <v>0.06</v>
      </c>
      <c r="DQ39" s="4762">
        <f t="shared" si="48"/>
        <v>0.06</v>
      </c>
      <c r="DR39" s="4762">
        <f t="shared" si="48"/>
        <v>0.06</v>
      </c>
      <c r="DS39" s="4762">
        <f t="shared" si="48"/>
        <v>0.06</v>
      </c>
      <c r="DT39" s="4762">
        <f t="shared" si="48"/>
        <v>0.06</v>
      </c>
      <c r="DU39" s="4762">
        <f t="shared" si="48"/>
        <v>0.06</v>
      </c>
      <c r="DV39" s="4762">
        <f t="shared" si="48"/>
        <v>0.06</v>
      </c>
      <c r="DW39" s="4762">
        <f t="shared" si="48"/>
        <v>0.06</v>
      </c>
      <c r="DX39" s="4762">
        <f t="shared" si="48"/>
        <v>0.06</v>
      </c>
      <c r="DY39" s="4762">
        <f t="shared" si="48"/>
        <v>0.06</v>
      </c>
      <c r="DZ39" s="4762">
        <f t="shared" si="48"/>
        <v>0.06</v>
      </c>
      <c r="EA39" s="4762">
        <f t="shared" si="48"/>
        <v>0.06</v>
      </c>
      <c r="EB39" s="4762">
        <f t="shared" si="48"/>
        <v>0.06</v>
      </c>
      <c r="EC39" s="4762">
        <f t="shared" si="48"/>
        <v>0.06</v>
      </c>
      <c r="ED39" s="4762">
        <f t="shared" si="48"/>
        <v>0.06</v>
      </c>
      <c r="EE39" s="4762">
        <f t="shared" si="48"/>
        <v>0.06</v>
      </c>
      <c r="EF39" s="4762">
        <f t="shared" si="48"/>
        <v>0.06</v>
      </c>
      <c r="EG39" s="4762">
        <f t="shared" si="48"/>
        <v>0.06</v>
      </c>
      <c r="EH39" s="4762">
        <f t="shared" si="48"/>
        <v>0.06</v>
      </c>
      <c r="EI39" s="4762">
        <f t="shared" si="48"/>
        <v>0.06</v>
      </c>
      <c r="EJ39" s="4762">
        <f t="shared" si="48"/>
        <v>0.06</v>
      </c>
      <c r="EK39" s="4762">
        <f t="shared" si="48"/>
        <v>0.06</v>
      </c>
      <c r="EL39" s="4762">
        <f t="shared" si="48"/>
        <v>0.06</v>
      </c>
      <c r="EM39" s="4762">
        <f t="shared" si="48"/>
        <v>0.06</v>
      </c>
      <c r="EN39" s="4762">
        <f t="shared" si="48"/>
        <v>0.06</v>
      </c>
      <c r="EO39" s="4762">
        <f t="shared" si="48"/>
        <v>0.06</v>
      </c>
      <c r="EP39" s="4762">
        <f t="shared" si="48"/>
        <v>0.06</v>
      </c>
      <c r="EQ39" s="4762">
        <f t="shared" si="48"/>
        <v>0.06</v>
      </c>
      <c r="ER39" s="4762">
        <f t="shared" si="48"/>
        <v>0.06</v>
      </c>
      <c r="ES39" s="4762">
        <f t="shared" si="48"/>
        <v>0.06</v>
      </c>
      <c r="ET39" s="4762">
        <f t="shared" si="48"/>
        <v>0.06</v>
      </c>
      <c r="EU39" s="4762">
        <f t="shared" si="48"/>
        <v>0.06</v>
      </c>
      <c r="EV39" s="4762">
        <f t="shared" ref="EV39:GE39" si="49">SUMIF($3:$3,EV$33,14:14)*EV$53/EV$54/100</f>
        <v>0.06</v>
      </c>
      <c r="EW39" s="4762">
        <f t="shared" si="49"/>
        <v>0.06</v>
      </c>
      <c r="EX39" s="4762">
        <f t="shared" si="49"/>
        <v>0.06</v>
      </c>
      <c r="EY39" s="4762">
        <f t="shared" si="49"/>
        <v>0.06</v>
      </c>
      <c r="EZ39" s="4762">
        <f t="shared" si="49"/>
        <v>0.06</v>
      </c>
      <c r="FA39" s="4762">
        <f t="shared" si="49"/>
        <v>0.06</v>
      </c>
      <c r="FB39" s="4762">
        <f t="shared" si="49"/>
        <v>0.06</v>
      </c>
      <c r="FC39" s="4762">
        <f t="shared" si="49"/>
        <v>0.06</v>
      </c>
      <c r="FD39" s="4762">
        <f t="shared" si="49"/>
        <v>0.06</v>
      </c>
      <c r="FE39" s="4762">
        <f t="shared" si="49"/>
        <v>0.06</v>
      </c>
      <c r="FF39" s="4762">
        <f t="shared" si="49"/>
        <v>0.06</v>
      </c>
      <c r="FG39" s="4762">
        <f t="shared" si="49"/>
        <v>0.06</v>
      </c>
      <c r="FH39" s="4762">
        <f t="shared" si="49"/>
        <v>0.06</v>
      </c>
      <c r="FI39" s="4762">
        <f t="shared" si="49"/>
        <v>0.06</v>
      </c>
      <c r="FJ39" s="4762">
        <f t="shared" si="49"/>
        <v>0.06</v>
      </c>
      <c r="FK39" s="4762">
        <f t="shared" si="49"/>
        <v>0.06</v>
      </c>
      <c r="FL39" s="4762">
        <f t="shared" si="49"/>
        <v>0.06</v>
      </c>
      <c r="FM39" s="4762">
        <f t="shared" si="49"/>
        <v>0.06</v>
      </c>
      <c r="FN39" s="4762">
        <f t="shared" si="49"/>
        <v>0</v>
      </c>
      <c r="FO39" s="4762">
        <f t="shared" si="49"/>
        <v>0</v>
      </c>
      <c r="FP39" s="4762">
        <f t="shared" si="49"/>
        <v>0</v>
      </c>
      <c r="FQ39" s="4762">
        <f t="shared" si="49"/>
        <v>0</v>
      </c>
      <c r="FR39" s="4762">
        <f t="shared" si="49"/>
        <v>0</v>
      </c>
      <c r="FS39" s="4762">
        <f t="shared" si="49"/>
        <v>0</v>
      </c>
      <c r="FT39" s="4762">
        <f t="shared" si="49"/>
        <v>0</v>
      </c>
      <c r="FU39" s="4762">
        <f t="shared" si="49"/>
        <v>0</v>
      </c>
      <c r="FV39" s="4762">
        <f t="shared" si="49"/>
        <v>0</v>
      </c>
      <c r="FW39" s="4762">
        <f t="shared" si="49"/>
        <v>0</v>
      </c>
      <c r="FX39" s="4762">
        <f t="shared" si="49"/>
        <v>0</v>
      </c>
      <c r="FY39" s="4762">
        <f t="shared" si="49"/>
        <v>0</v>
      </c>
      <c r="FZ39" s="4762">
        <f t="shared" si="49"/>
        <v>0</v>
      </c>
      <c r="GA39" s="4762">
        <f t="shared" si="49"/>
        <v>0</v>
      </c>
      <c r="GB39" s="4762">
        <f t="shared" si="49"/>
        <v>0</v>
      </c>
      <c r="GC39" s="4762">
        <f t="shared" si="49"/>
        <v>0</v>
      </c>
      <c r="GD39" s="4762">
        <f t="shared" si="49"/>
        <v>0</v>
      </c>
      <c r="GE39" s="4845">
        <f t="shared" si="49"/>
        <v>0</v>
      </c>
    </row>
    <row r="40" spans="1:188" s="302" customFormat="1" ht="17.100000000000001" customHeight="1">
      <c r="A40" s="787"/>
      <c r="C40" s="4779" t="s">
        <v>1127</v>
      </c>
      <c r="D40" s="4766"/>
      <c r="E40" s="4770"/>
      <c r="F40" s="4761">
        <f t="shared" ca="1" si="26"/>
        <v>793.45799953283131</v>
      </c>
      <c r="G40" s="4777"/>
      <c r="H40" s="4846">
        <v>5.01</v>
      </c>
      <c r="I40" s="4846">
        <v>5.0190000000000001</v>
      </c>
      <c r="J40" s="4846">
        <v>5.0190000000000001</v>
      </c>
      <c r="K40" s="4846">
        <v>4.97</v>
      </c>
      <c r="L40" s="4846">
        <v>5.01</v>
      </c>
      <c r="M40" s="4846">
        <v>5.01</v>
      </c>
      <c r="N40" s="4846">
        <v>5.01</v>
      </c>
      <c r="O40" s="4846">
        <v>4.97</v>
      </c>
      <c r="P40" s="4847">
        <f>'자금운영(현금)'!BF14</f>
        <v>5.25</v>
      </c>
      <c r="Q40" s="4847">
        <f>'자금운영(현금)'!BG14</f>
        <v>5.25</v>
      </c>
      <c r="R40" s="4847">
        <f>'자금운영(현금)'!BH14</f>
        <v>5.25</v>
      </c>
      <c r="S40" s="4847">
        <f>'자금운영(현금)'!BI14</f>
        <v>5.25</v>
      </c>
      <c r="T40" s="4848">
        <v>5.25</v>
      </c>
      <c r="U40" s="4848">
        <v>5.25</v>
      </c>
      <c r="V40" s="4848">
        <v>5.25</v>
      </c>
      <c r="W40" s="4848">
        <v>5.25</v>
      </c>
      <c r="X40" s="4762">
        <f t="shared" ref="X40:BC40" ca="1" si="50">SUMIF($3:$3,X$33,15:15)*X$53/X$54/100</f>
        <v>5.25</v>
      </c>
      <c r="Y40" s="4762">
        <f t="shared" ca="1" si="50"/>
        <v>5.25</v>
      </c>
      <c r="Z40" s="4762">
        <f t="shared" ca="1" si="50"/>
        <v>5.25</v>
      </c>
      <c r="AA40" s="4762">
        <f t="shared" ca="1" si="50"/>
        <v>5.25</v>
      </c>
      <c r="AB40" s="4762">
        <f t="shared" ca="1" si="50"/>
        <v>5.5125000000000002</v>
      </c>
      <c r="AC40" s="4762">
        <f t="shared" ca="1" si="50"/>
        <v>5.5125000000000002</v>
      </c>
      <c r="AD40" s="4762">
        <f t="shared" ca="1" si="50"/>
        <v>5.5125000000000002</v>
      </c>
      <c r="AE40" s="4762">
        <f t="shared" ca="1" si="50"/>
        <v>5.5125000000000002</v>
      </c>
      <c r="AF40" s="4762">
        <f t="shared" ca="1" si="50"/>
        <v>3.8587500000000001</v>
      </c>
      <c r="AG40" s="4762">
        <f t="shared" ca="1" si="50"/>
        <v>3.8587500000000001</v>
      </c>
      <c r="AH40" s="4762">
        <f t="shared" ca="1" si="50"/>
        <v>3.8587500000000001</v>
      </c>
      <c r="AI40" s="4762">
        <f t="shared" ca="1" si="50"/>
        <v>3.8587500000000001</v>
      </c>
      <c r="AJ40" s="4762">
        <f t="shared" ca="1" si="50"/>
        <v>3.8587500000000001</v>
      </c>
      <c r="AK40" s="4762">
        <f t="shared" ca="1" si="50"/>
        <v>3.8587500000000001</v>
      </c>
      <c r="AL40" s="4762">
        <f t="shared" ca="1" si="50"/>
        <v>3.8587500000000001</v>
      </c>
      <c r="AM40" s="4762">
        <f t="shared" ca="1" si="50"/>
        <v>3.8587500000000001</v>
      </c>
      <c r="AN40" s="4762">
        <f t="shared" ca="1" si="50"/>
        <v>4.0516875000000008</v>
      </c>
      <c r="AO40" s="4762">
        <f t="shared" ca="1" si="50"/>
        <v>4.0516875000000008</v>
      </c>
      <c r="AP40" s="4762">
        <f t="shared" ca="1" si="50"/>
        <v>4.0516875000000008</v>
      </c>
      <c r="AQ40" s="4762">
        <f t="shared" ca="1" si="50"/>
        <v>4.0516875000000008</v>
      </c>
      <c r="AR40" s="4762">
        <f t="shared" ca="1" si="50"/>
        <v>4.0516875000000008</v>
      </c>
      <c r="AS40" s="4762">
        <f t="shared" ca="1" si="50"/>
        <v>4.0516875000000008</v>
      </c>
      <c r="AT40" s="4762">
        <f t="shared" ca="1" si="50"/>
        <v>4.0516875000000008</v>
      </c>
      <c r="AU40" s="4762">
        <f t="shared" ca="1" si="50"/>
        <v>4.0516875000000008</v>
      </c>
      <c r="AV40" s="4762">
        <f t="shared" ca="1" si="50"/>
        <v>4.0516875000000008</v>
      </c>
      <c r="AW40" s="4762">
        <f t="shared" ca="1" si="50"/>
        <v>4.0516875000000008</v>
      </c>
      <c r="AX40" s="4762">
        <f t="shared" ca="1" si="50"/>
        <v>4.0516875000000008</v>
      </c>
      <c r="AY40" s="4762">
        <f t="shared" ca="1" si="50"/>
        <v>4.0516875000000008</v>
      </c>
      <c r="AZ40" s="4762">
        <f t="shared" ca="1" si="50"/>
        <v>4.2542718749999997</v>
      </c>
      <c r="BA40" s="4762">
        <f t="shared" ca="1" si="50"/>
        <v>4.2542718749999997</v>
      </c>
      <c r="BB40" s="4762">
        <f t="shared" ca="1" si="50"/>
        <v>4.2542718749999997</v>
      </c>
      <c r="BC40" s="4762">
        <f t="shared" ca="1" si="50"/>
        <v>4.2542718749999997</v>
      </c>
      <c r="BD40" s="4762">
        <f t="shared" ref="BD40:CI40" ca="1" si="51">SUMIF($3:$3,BD$33,15:15)*BD$53/BD$54/100</f>
        <v>4.2542718749999997</v>
      </c>
      <c r="BE40" s="4762">
        <f t="shared" ca="1" si="51"/>
        <v>4.2542718749999997</v>
      </c>
      <c r="BF40" s="4762">
        <f t="shared" ca="1" si="51"/>
        <v>4.2542718749999997</v>
      </c>
      <c r="BG40" s="4762">
        <f t="shared" ca="1" si="51"/>
        <v>4.2542718749999997</v>
      </c>
      <c r="BH40" s="4762">
        <f t="shared" ca="1" si="51"/>
        <v>4.2542718749999997</v>
      </c>
      <c r="BI40" s="4762">
        <f t="shared" ca="1" si="51"/>
        <v>4.2542718749999997</v>
      </c>
      <c r="BJ40" s="4762">
        <f t="shared" ca="1" si="51"/>
        <v>4.2542718749999997</v>
      </c>
      <c r="BK40" s="4762">
        <f t="shared" ca="1" si="51"/>
        <v>4.2542718749999997</v>
      </c>
      <c r="BL40" s="4762">
        <f t="shared" ca="1" si="51"/>
        <v>4.4669854687500008</v>
      </c>
      <c r="BM40" s="4762">
        <f t="shared" ca="1" si="51"/>
        <v>4.4669854687500008</v>
      </c>
      <c r="BN40" s="4762">
        <f t="shared" ca="1" si="51"/>
        <v>4.4669854687500008</v>
      </c>
      <c r="BO40" s="4762">
        <f t="shared" ca="1" si="51"/>
        <v>4.4669854687500008</v>
      </c>
      <c r="BP40" s="4762">
        <f t="shared" ca="1" si="51"/>
        <v>4.4669854687500008</v>
      </c>
      <c r="BQ40" s="4762">
        <f t="shared" ca="1" si="51"/>
        <v>4.4669854687500008</v>
      </c>
      <c r="BR40" s="4762">
        <f t="shared" ca="1" si="51"/>
        <v>4.4669854687500008</v>
      </c>
      <c r="BS40" s="4762">
        <f t="shared" ca="1" si="51"/>
        <v>4.4669854687500008</v>
      </c>
      <c r="BT40" s="4762">
        <f t="shared" ca="1" si="51"/>
        <v>4.4669854687500008</v>
      </c>
      <c r="BU40" s="4762">
        <f t="shared" ca="1" si="51"/>
        <v>4.4669854687500008</v>
      </c>
      <c r="BV40" s="4762">
        <f t="shared" ca="1" si="51"/>
        <v>4.4669854687500008</v>
      </c>
      <c r="BW40" s="4762">
        <f t="shared" ca="1" si="51"/>
        <v>4.4669854687500008</v>
      </c>
      <c r="BX40" s="4762">
        <f t="shared" ca="1" si="51"/>
        <v>4.6903347421875017</v>
      </c>
      <c r="BY40" s="4762">
        <f t="shared" ca="1" si="51"/>
        <v>4.6903347421875017</v>
      </c>
      <c r="BZ40" s="4762">
        <f t="shared" ca="1" si="51"/>
        <v>4.6903347421875017</v>
      </c>
      <c r="CA40" s="4762">
        <f t="shared" ca="1" si="51"/>
        <v>4.6903347421875017</v>
      </c>
      <c r="CB40" s="4762">
        <f t="shared" ca="1" si="51"/>
        <v>4.6903347421875017</v>
      </c>
      <c r="CC40" s="4762">
        <f t="shared" ca="1" si="51"/>
        <v>4.6903347421875017</v>
      </c>
      <c r="CD40" s="4762">
        <f t="shared" ca="1" si="51"/>
        <v>4.6903347421875017</v>
      </c>
      <c r="CE40" s="4762">
        <f t="shared" ca="1" si="51"/>
        <v>4.6903347421875017</v>
      </c>
      <c r="CF40" s="4762">
        <f t="shared" ca="1" si="51"/>
        <v>4.6903347421875017</v>
      </c>
      <c r="CG40" s="4762">
        <f t="shared" ca="1" si="51"/>
        <v>4.6903347421875017</v>
      </c>
      <c r="CH40" s="4762">
        <f t="shared" ca="1" si="51"/>
        <v>4.6903347421875017</v>
      </c>
      <c r="CI40" s="4762">
        <f t="shared" ca="1" si="51"/>
        <v>4.6903347421875017</v>
      </c>
      <c r="CJ40" s="4762">
        <f t="shared" ref="CJ40:DO40" ca="1" si="52">SUMIF($3:$3,CJ$33,15:15)*CJ$53/CJ$54/100</f>
        <v>4.9248514792968763</v>
      </c>
      <c r="CK40" s="4762">
        <f t="shared" ca="1" si="52"/>
        <v>4.9248514792968763</v>
      </c>
      <c r="CL40" s="4762">
        <f t="shared" ca="1" si="52"/>
        <v>4.9248514792968763</v>
      </c>
      <c r="CM40" s="4762">
        <f t="shared" ca="1" si="52"/>
        <v>4.9248514792968763</v>
      </c>
      <c r="CN40" s="4762">
        <f t="shared" ca="1" si="52"/>
        <v>4.9248514792968763</v>
      </c>
      <c r="CO40" s="4762">
        <f t="shared" ca="1" si="52"/>
        <v>4.9248514792968763</v>
      </c>
      <c r="CP40" s="4762">
        <f t="shared" ca="1" si="52"/>
        <v>4.9248514792968763</v>
      </c>
      <c r="CQ40" s="4762">
        <f t="shared" ca="1" si="52"/>
        <v>4.9248514792968763</v>
      </c>
      <c r="CR40" s="4762">
        <f t="shared" ca="1" si="52"/>
        <v>4.9248514792968763</v>
      </c>
      <c r="CS40" s="4762">
        <f t="shared" ca="1" si="52"/>
        <v>4.9248514792968763</v>
      </c>
      <c r="CT40" s="4762">
        <f t="shared" ca="1" si="52"/>
        <v>4.9248514792968763</v>
      </c>
      <c r="CU40" s="4762">
        <f t="shared" ca="1" si="52"/>
        <v>4.9248514792968763</v>
      </c>
      <c r="CV40" s="4762">
        <f t="shared" ca="1" si="52"/>
        <v>5.1710940532617204</v>
      </c>
      <c r="CW40" s="4762">
        <f t="shared" ca="1" si="52"/>
        <v>5.1710940532617204</v>
      </c>
      <c r="CX40" s="4762">
        <f t="shared" ca="1" si="52"/>
        <v>5.1710940532617204</v>
      </c>
      <c r="CY40" s="4762">
        <f t="shared" ca="1" si="52"/>
        <v>5.1710940532617204</v>
      </c>
      <c r="CZ40" s="4762">
        <f t="shared" ca="1" si="52"/>
        <v>5.1710940532617204</v>
      </c>
      <c r="DA40" s="4762">
        <f t="shared" ca="1" si="52"/>
        <v>5.1710940532617204</v>
      </c>
      <c r="DB40" s="4762">
        <f t="shared" ca="1" si="52"/>
        <v>5.1710940532617204</v>
      </c>
      <c r="DC40" s="4762">
        <f t="shared" ca="1" si="52"/>
        <v>5.1710940532617204</v>
      </c>
      <c r="DD40" s="4762">
        <f t="shared" ca="1" si="52"/>
        <v>5.1710940532617204</v>
      </c>
      <c r="DE40" s="4762">
        <f t="shared" ca="1" si="52"/>
        <v>5.1710940532617204</v>
      </c>
      <c r="DF40" s="4762">
        <f t="shared" ca="1" si="52"/>
        <v>5.1710940532617204</v>
      </c>
      <c r="DG40" s="4762">
        <f t="shared" ca="1" si="52"/>
        <v>5.1710940532617204</v>
      </c>
      <c r="DH40" s="4762">
        <f t="shared" ca="1" si="52"/>
        <v>5.4296487559248066</v>
      </c>
      <c r="DI40" s="4762">
        <f t="shared" ca="1" si="52"/>
        <v>5.4296487559248066</v>
      </c>
      <c r="DJ40" s="4762">
        <f t="shared" ca="1" si="52"/>
        <v>5.4296487559248066</v>
      </c>
      <c r="DK40" s="4762">
        <f t="shared" ca="1" si="52"/>
        <v>5.4296487559248066</v>
      </c>
      <c r="DL40" s="4762">
        <f t="shared" ca="1" si="52"/>
        <v>5.4296487559248066</v>
      </c>
      <c r="DM40" s="4762">
        <f t="shared" ca="1" si="52"/>
        <v>5.4296487559248066</v>
      </c>
      <c r="DN40" s="4762">
        <f t="shared" ca="1" si="52"/>
        <v>5.4296487559248066</v>
      </c>
      <c r="DO40" s="4762">
        <f t="shared" ca="1" si="52"/>
        <v>5.4296487559248066</v>
      </c>
      <c r="DP40" s="4762">
        <f t="shared" ref="DP40:EU40" ca="1" si="53">SUMIF($3:$3,DP$33,15:15)*DP$53/DP$54/100</f>
        <v>5.4296487559248066</v>
      </c>
      <c r="DQ40" s="4762">
        <f t="shared" ca="1" si="53"/>
        <v>5.4296487559248066</v>
      </c>
      <c r="DR40" s="4762">
        <f t="shared" ca="1" si="53"/>
        <v>5.4296487559248066</v>
      </c>
      <c r="DS40" s="4762">
        <f t="shared" ca="1" si="53"/>
        <v>5.4296487559248066</v>
      </c>
      <c r="DT40" s="4762">
        <f t="shared" ca="1" si="53"/>
        <v>5.7011311937210465</v>
      </c>
      <c r="DU40" s="4762">
        <f t="shared" ca="1" si="53"/>
        <v>5.7011311937210465</v>
      </c>
      <c r="DV40" s="4762">
        <f t="shared" ca="1" si="53"/>
        <v>5.7011311937210465</v>
      </c>
      <c r="DW40" s="4762">
        <f t="shared" ca="1" si="53"/>
        <v>5.7011311937210465</v>
      </c>
      <c r="DX40" s="4762">
        <f t="shared" ca="1" si="53"/>
        <v>5.7011311937210465</v>
      </c>
      <c r="DY40" s="4762">
        <f t="shared" ca="1" si="53"/>
        <v>5.7011311937210465</v>
      </c>
      <c r="DZ40" s="4762">
        <f t="shared" ca="1" si="53"/>
        <v>5.7011311937210465</v>
      </c>
      <c r="EA40" s="4762">
        <f t="shared" ca="1" si="53"/>
        <v>5.7011311937210465</v>
      </c>
      <c r="EB40" s="4762">
        <f t="shared" ca="1" si="53"/>
        <v>5.7011311937210465</v>
      </c>
      <c r="EC40" s="4762">
        <f t="shared" ca="1" si="53"/>
        <v>5.7011311937210465</v>
      </c>
      <c r="ED40" s="4762">
        <f t="shared" ca="1" si="53"/>
        <v>5.7011311937210465</v>
      </c>
      <c r="EE40" s="4762">
        <f t="shared" ca="1" si="53"/>
        <v>5.7011311937210465</v>
      </c>
      <c r="EF40" s="4762">
        <f t="shared" ca="1" si="53"/>
        <v>5.9861877534070995</v>
      </c>
      <c r="EG40" s="4762">
        <f t="shared" ca="1" si="53"/>
        <v>5.9861877534070995</v>
      </c>
      <c r="EH40" s="4762">
        <f t="shared" ca="1" si="53"/>
        <v>5.9861877534070995</v>
      </c>
      <c r="EI40" s="4762">
        <f t="shared" ca="1" si="53"/>
        <v>5.9861877534070995</v>
      </c>
      <c r="EJ40" s="4762">
        <f t="shared" ca="1" si="53"/>
        <v>5.9861877534070995</v>
      </c>
      <c r="EK40" s="4762">
        <f t="shared" ca="1" si="53"/>
        <v>5.9861877534070995</v>
      </c>
      <c r="EL40" s="4762">
        <f t="shared" ca="1" si="53"/>
        <v>5.9861877534070995</v>
      </c>
      <c r="EM40" s="4762">
        <f t="shared" ca="1" si="53"/>
        <v>5.9861877534070995</v>
      </c>
      <c r="EN40" s="4762">
        <f t="shared" ca="1" si="53"/>
        <v>5.9861877534070995</v>
      </c>
      <c r="EO40" s="4762">
        <f t="shared" ca="1" si="53"/>
        <v>5.9861877534070995</v>
      </c>
      <c r="EP40" s="4762">
        <f t="shared" ca="1" si="53"/>
        <v>5.9861877534070995</v>
      </c>
      <c r="EQ40" s="4762">
        <f t="shared" ca="1" si="53"/>
        <v>5.9861877534070995</v>
      </c>
      <c r="ER40" s="4762">
        <f t="shared" ca="1" si="53"/>
        <v>6.2854971410774558</v>
      </c>
      <c r="ES40" s="4762">
        <f t="shared" ca="1" si="53"/>
        <v>6.2854971410774558</v>
      </c>
      <c r="ET40" s="4762">
        <f t="shared" ca="1" si="53"/>
        <v>6.2854971410774558</v>
      </c>
      <c r="EU40" s="4762">
        <f t="shared" ca="1" si="53"/>
        <v>6.2854971410774558</v>
      </c>
      <c r="EV40" s="4762">
        <f t="shared" ref="EV40:GE40" ca="1" si="54">SUMIF($3:$3,EV$33,15:15)*EV$53/EV$54/100</f>
        <v>6.2854971410774558</v>
      </c>
      <c r="EW40" s="4762">
        <f t="shared" ca="1" si="54"/>
        <v>6.2854971410774558</v>
      </c>
      <c r="EX40" s="4762">
        <f t="shared" ca="1" si="54"/>
        <v>6.2854971410774558</v>
      </c>
      <c r="EY40" s="4762">
        <f t="shared" ca="1" si="54"/>
        <v>6.2854971410774558</v>
      </c>
      <c r="EZ40" s="4762">
        <f t="shared" ca="1" si="54"/>
        <v>6.2854971410774558</v>
      </c>
      <c r="FA40" s="4762">
        <f t="shared" ca="1" si="54"/>
        <v>6.2854971410774558</v>
      </c>
      <c r="FB40" s="4762">
        <f t="shared" ca="1" si="54"/>
        <v>6.2854971410774558</v>
      </c>
      <c r="FC40" s="4762">
        <f t="shared" ca="1" si="54"/>
        <v>6.2854971410774558</v>
      </c>
      <c r="FD40" s="4762">
        <f t="shared" ca="1" si="54"/>
        <v>6.5997719981313274</v>
      </c>
      <c r="FE40" s="4762">
        <f t="shared" ca="1" si="54"/>
        <v>6.5997719981313274</v>
      </c>
      <c r="FF40" s="4762">
        <f t="shared" ca="1" si="54"/>
        <v>6.5997719981313274</v>
      </c>
      <c r="FG40" s="4762">
        <f t="shared" ca="1" si="54"/>
        <v>6.5997719981313274</v>
      </c>
      <c r="FH40" s="4762">
        <f t="shared" ca="1" si="54"/>
        <v>6.5997719981313274</v>
      </c>
      <c r="FI40" s="4762">
        <f t="shared" ca="1" si="54"/>
        <v>6.5997719981313274</v>
      </c>
      <c r="FJ40" s="4762">
        <f t="shared" ca="1" si="54"/>
        <v>6.5997719981313274</v>
      </c>
      <c r="FK40" s="4762">
        <f t="shared" ca="1" si="54"/>
        <v>6.5997719981313274</v>
      </c>
      <c r="FL40" s="4762">
        <f t="shared" ca="1" si="54"/>
        <v>6.5997719981313274</v>
      </c>
      <c r="FM40" s="4762">
        <f t="shared" ca="1" si="54"/>
        <v>6.5997719981313274</v>
      </c>
      <c r="FN40" s="4762">
        <f t="shared" ca="1" si="54"/>
        <v>0</v>
      </c>
      <c r="FO40" s="4762">
        <f t="shared" ca="1" si="54"/>
        <v>0</v>
      </c>
      <c r="FP40" s="4762">
        <f t="shared" si="54"/>
        <v>0</v>
      </c>
      <c r="FQ40" s="4762">
        <f t="shared" si="54"/>
        <v>0</v>
      </c>
      <c r="FR40" s="4762">
        <f t="shared" si="54"/>
        <v>0</v>
      </c>
      <c r="FS40" s="4762">
        <f t="shared" si="54"/>
        <v>0</v>
      </c>
      <c r="FT40" s="4762">
        <f t="shared" si="54"/>
        <v>0</v>
      </c>
      <c r="FU40" s="4762">
        <f t="shared" si="54"/>
        <v>0</v>
      </c>
      <c r="FV40" s="4762">
        <f t="shared" si="54"/>
        <v>0</v>
      </c>
      <c r="FW40" s="4762">
        <f t="shared" si="54"/>
        <v>0</v>
      </c>
      <c r="FX40" s="4762">
        <f t="shared" si="54"/>
        <v>0</v>
      </c>
      <c r="FY40" s="4762">
        <f t="shared" si="54"/>
        <v>0</v>
      </c>
      <c r="FZ40" s="4762">
        <f t="shared" si="54"/>
        <v>0</v>
      </c>
      <c r="GA40" s="4762">
        <f t="shared" si="54"/>
        <v>0</v>
      </c>
      <c r="GB40" s="4762">
        <f t="shared" si="54"/>
        <v>0</v>
      </c>
      <c r="GC40" s="4762">
        <f t="shared" si="54"/>
        <v>0</v>
      </c>
      <c r="GD40" s="4762">
        <f t="shared" si="54"/>
        <v>0</v>
      </c>
      <c r="GE40" s="4845">
        <f t="shared" si="54"/>
        <v>0</v>
      </c>
      <c r="GF40" s="788"/>
    </row>
    <row r="41" spans="1:188" s="302" customFormat="1" ht="17.100000000000001" customHeight="1">
      <c r="A41" s="787"/>
      <c r="C41" s="4779" t="s">
        <v>1113</v>
      </c>
      <c r="D41" s="4766"/>
      <c r="E41" s="4772"/>
      <c r="F41" s="4761">
        <f t="shared" si="26"/>
        <v>0</v>
      </c>
      <c r="G41" s="4777"/>
      <c r="H41" s="4844">
        <f>SUM(H42:H44)</f>
        <v>27.86771049</v>
      </c>
      <c r="I41" s="4844">
        <f t="shared" ref="I41:BT41" si="55">SUM(I42:I44)</f>
        <v>12.18445157</v>
      </c>
      <c r="J41" s="4844">
        <f t="shared" si="55"/>
        <v>0</v>
      </c>
      <c r="K41" s="4844">
        <f t="shared" si="55"/>
        <v>-11.48172866</v>
      </c>
      <c r="L41" s="4844">
        <f t="shared" si="55"/>
        <v>12.2546</v>
      </c>
      <c r="M41" s="4844">
        <f t="shared" si="55"/>
        <v>0</v>
      </c>
      <c r="N41" s="4844">
        <f t="shared" si="55"/>
        <v>0</v>
      </c>
      <c r="O41" s="4844">
        <f t="shared" si="55"/>
        <v>0</v>
      </c>
      <c r="P41" s="4849">
        <f t="shared" si="55"/>
        <v>0</v>
      </c>
      <c r="Q41" s="4849">
        <f t="shared" si="55"/>
        <v>0</v>
      </c>
      <c r="R41" s="4849">
        <f t="shared" si="55"/>
        <v>0</v>
      </c>
      <c r="S41" s="4849">
        <f t="shared" si="55"/>
        <v>0</v>
      </c>
      <c r="T41" s="4762">
        <f t="shared" si="55"/>
        <v>0</v>
      </c>
      <c r="U41" s="4762">
        <f t="shared" si="55"/>
        <v>0</v>
      </c>
      <c r="V41" s="4762">
        <f t="shared" si="55"/>
        <v>0</v>
      </c>
      <c r="W41" s="4762">
        <f t="shared" si="55"/>
        <v>0</v>
      </c>
      <c r="X41" s="4762">
        <f t="shared" si="55"/>
        <v>0</v>
      </c>
      <c r="Y41" s="4762">
        <f t="shared" si="55"/>
        <v>0</v>
      </c>
      <c r="Z41" s="4762">
        <f t="shared" si="55"/>
        <v>0</v>
      </c>
      <c r="AA41" s="4762">
        <f t="shared" si="55"/>
        <v>0</v>
      </c>
      <c r="AB41" s="4762">
        <f t="shared" si="55"/>
        <v>0</v>
      </c>
      <c r="AC41" s="4762">
        <f t="shared" si="55"/>
        <v>0</v>
      </c>
      <c r="AD41" s="4762">
        <f t="shared" si="55"/>
        <v>0</v>
      </c>
      <c r="AE41" s="4762">
        <f t="shared" si="55"/>
        <v>0</v>
      </c>
      <c r="AF41" s="4762">
        <f t="shared" si="55"/>
        <v>0</v>
      </c>
      <c r="AG41" s="4762">
        <f t="shared" si="55"/>
        <v>0</v>
      </c>
      <c r="AH41" s="4762">
        <f t="shared" si="55"/>
        <v>0</v>
      </c>
      <c r="AI41" s="4762">
        <f t="shared" si="55"/>
        <v>0</v>
      </c>
      <c r="AJ41" s="4762">
        <f t="shared" si="55"/>
        <v>0</v>
      </c>
      <c r="AK41" s="4762">
        <f t="shared" si="55"/>
        <v>0</v>
      </c>
      <c r="AL41" s="4762">
        <f t="shared" si="55"/>
        <v>0</v>
      </c>
      <c r="AM41" s="4762">
        <f t="shared" si="55"/>
        <v>0</v>
      </c>
      <c r="AN41" s="4762">
        <f t="shared" si="55"/>
        <v>0</v>
      </c>
      <c r="AO41" s="4762">
        <f t="shared" si="55"/>
        <v>0</v>
      </c>
      <c r="AP41" s="4762">
        <f t="shared" si="55"/>
        <v>0</v>
      </c>
      <c r="AQ41" s="4762">
        <f t="shared" si="55"/>
        <v>0</v>
      </c>
      <c r="AR41" s="4762">
        <f t="shared" si="55"/>
        <v>0</v>
      </c>
      <c r="AS41" s="4762">
        <f t="shared" si="55"/>
        <v>0</v>
      </c>
      <c r="AT41" s="4762">
        <f t="shared" si="55"/>
        <v>0</v>
      </c>
      <c r="AU41" s="4762">
        <f t="shared" si="55"/>
        <v>0</v>
      </c>
      <c r="AV41" s="4762">
        <f t="shared" si="55"/>
        <v>0</v>
      </c>
      <c r="AW41" s="4762">
        <f t="shared" si="55"/>
        <v>0</v>
      </c>
      <c r="AX41" s="4762">
        <f t="shared" si="55"/>
        <v>0</v>
      </c>
      <c r="AY41" s="4762">
        <f t="shared" si="55"/>
        <v>0</v>
      </c>
      <c r="AZ41" s="4762">
        <f t="shared" si="55"/>
        <v>0</v>
      </c>
      <c r="BA41" s="4762">
        <f t="shared" si="55"/>
        <v>0</v>
      </c>
      <c r="BB41" s="4762">
        <f t="shared" si="55"/>
        <v>0</v>
      </c>
      <c r="BC41" s="4762">
        <f t="shared" si="55"/>
        <v>0</v>
      </c>
      <c r="BD41" s="4762">
        <f t="shared" si="55"/>
        <v>0</v>
      </c>
      <c r="BE41" s="4762">
        <f t="shared" si="55"/>
        <v>0</v>
      </c>
      <c r="BF41" s="4762">
        <f t="shared" si="55"/>
        <v>0</v>
      </c>
      <c r="BG41" s="4762">
        <f t="shared" si="55"/>
        <v>0</v>
      </c>
      <c r="BH41" s="4762">
        <f t="shared" si="55"/>
        <v>0</v>
      </c>
      <c r="BI41" s="4762">
        <f t="shared" si="55"/>
        <v>0</v>
      </c>
      <c r="BJ41" s="4762">
        <f t="shared" si="55"/>
        <v>0</v>
      </c>
      <c r="BK41" s="4762">
        <f t="shared" si="55"/>
        <v>0</v>
      </c>
      <c r="BL41" s="4762">
        <f t="shared" si="55"/>
        <v>0</v>
      </c>
      <c r="BM41" s="4762">
        <f t="shared" si="55"/>
        <v>0</v>
      </c>
      <c r="BN41" s="4762">
        <f t="shared" si="55"/>
        <v>0</v>
      </c>
      <c r="BO41" s="4762">
        <f t="shared" si="55"/>
        <v>0</v>
      </c>
      <c r="BP41" s="4762">
        <f t="shared" si="55"/>
        <v>0</v>
      </c>
      <c r="BQ41" s="4762">
        <f t="shared" si="55"/>
        <v>0</v>
      </c>
      <c r="BR41" s="4762">
        <f t="shared" si="55"/>
        <v>0</v>
      </c>
      <c r="BS41" s="4762">
        <f t="shared" si="55"/>
        <v>0</v>
      </c>
      <c r="BT41" s="4762">
        <f t="shared" si="55"/>
        <v>0</v>
      </c>
      <c r="BU41" s="4762">
        <f t="shared" ref="BU41:EF41" si="56">SUM(BU42:BU44)</f>
        <v>0</v>
      </c>
      <c r="BV41" s="4762">
        <f t="shared" si="56"/>
        <v>0</v>
      </c>
      <c r="BW41" s="4762">
        <f t="shared" si="56"/>
        <v>0</v>
      </c>
      <c r="BX41" s="4762">
        <f t="shared" si="56"/>
        <v>0</v>
      </c>
      <c r="BY41" s="4762">
        <f t="shared" si="56"/>
        <v>0</v>
      </c>
      <c r="BZ41" s="4762">
        <f t="shared" si="56"/>
        <v>0</v>
      </c>
      <c r="CA41" s="4762">
        <f t="shared" si="56"/>
        <v>0</v>
      </c>
      <c r="CB41" s="4762">
        <f t="shared" si="56"/>
        <v>0</v>
      </c>
      <c r="CC41" s="4762">
        <f t="shared" si="56"/>
        <v>0</v>
      </c>
      <c r="CD41" s="4762">
        <f t="shared" si="56"/>
        <v>0</v>
      </c>
      <c r="CE41" s="4762">
        <f t="shared" si="56"/>
        <v>0</v>
      </c>
      <c r="CF41" s="4762">
        <f t="shared" si="56"/>
        <v>0</v>
      </c>
      <c r="CG41" s="4762">
        <f t="shared" si="56"/>
        <v>0</v>
      </c>
      <c r="CH41" s="4762">
        <f t="shared" si="56"/>
        <v>0</v>
      </c>
      <c r="CI41" s="4762">
        <f t="shared" si="56"/>
        <v>0</v>
      </c>
      <c r="CJ41" s="4762">
        <f t="shared" si="56"/>
        <v>0</v>
      </c>
      <c r="CK41" s="4762">
        <f t="shared" si="56"/>
        <v>0</v>
      </c>
      <c r="CL41" s="4762">
        <f t="shared" si="56"/>
        <v>0</v>
      </c>
      <c r="CM41" s="4762">
        <f t="shared" si="56"/>
        <v>0</v>
      </c>
      <c r="CN41" s="4762">
        <f t="shared" si="56"/>
        <v>0</v>
      </c>
      <c r="CO41" s="4762">
        <f t="shared" si="56"/>
        <v>0</v>
      </c>
      <c r="CP41" s="4762">
        <f t="shared" si="56"/>
        <v>0</v>
      </c>
      <c r="CQ41" s="4762">
        <f t="shared" si="56"/>
        <v>0</v>
      </c>
      <c r="CR41" s="4762">
        <f t="shared" si="56"/>
        <v>0</v>
      </c>
      <c r="CS41" s="4762">
        <f t="shared" si="56"/>
        <v>0</v>
      </c>
      <c r="CT41" s="4762">
        <f t="shared" si="56"/>
        <v>0</v>
      </c>
      <c r="CU41" s="4762">
        <f t="shared" si="56"/>
        <v>0</v>
      </c>
      <c r="CV41" s="4762">
        <f t="shared" si="56"/>
        <v>0</v>
      </c>
      <c r="CW41" s="4762">
        <f t="shared" si="56"/>
        <v>0</v>
      </c>
      <c r="CX41" s="4762">
        <f t="shared" si="56"/>
        <v>0</v>
      </c>
      <c r="CY41" s="4762">
        <f t="shared" si="56"/>
        <v>0</v>
      </c>
      <c r="CZ41" s="4762">
        <f t="shared" si="56"/>
        <v>0</v>
      </c>
      <c r="DA41" s="4762">
        <f t="shared" si="56"/>
        <v>0</v>
      </c>
      <c r="DB41" s="4762">
        <f t="shared" si="56"/>
        <v>0</v>
      </c>
      <c r="DC41" s="4762">
        <f t="shared" si="56"/>
        <v>0</v>
      </c>
      <c r="DD41" s="4762">
        <f t="shared" si="56"/>
        <v>0</v>
      </c>
      <c r="DE41" s="4762">
        <f t="shared" si="56"/>
        <v>0</v>
      </c>
      <c r="DF41" s="4762">
        <f t="shared" si="56"/>
        <v>0</v>
      </c>
      <c r="DG41" s="4762">
        <f t="shared" si="56"/>
        <v>0</v>
      </c>
      <c r="DH41" s="4762">
        <f t="shared" si="56"/>
        <v>0</v>
      </c>
      <c r="DI41" s="4762">
        <f t="shared" si="56"/>
        <v>0</v>
      </c>
      <c r="DJ41" s="4762">
        <f t="shared" si="56"/>
        <v>0</v>
      </c>
      <c r="DK41" s="4762">
        <f t="shared" si="56"/>
        <v>0</v>
      </c>
      <c r="DL41" s="4762">
        <f t="shared" si="56"/>
        <v>0</v>
      </c>
      <c r="DM41" s="4762">
        <f t="shared" si="56"/>
        <v>0</v>
      </c>
      <c r="DN41" s="4762">
        <f t="shared" si="56"/>
        <v>0</v>
      </c>
      <c r="DO41" s="4762">
        <f t="shared" si="56"/>
        <v>0</v>
      </c>
      <c r="DP41" s="4762">
        <f t="shared" si="56"/>
        <v>0</v>
      </c>
      <c r="DQ41" s="4762">
        <f t="shared" si="56"/>
        <v>0</v>
      </c>
      <c r="DR41" s="4762">
        <f t="shared" si="56"/>
        <v>0</v>
      </c>
      <c r="DS41" s="4762">
        <f t="shared" si="56"/>
        <v>0</v>
      </c>
      <c r="DT41" s="4762">
        <f t="shared" si="56"/>
        <v>0</v>
      </c>
      <c r="DU41" s="4762">
        <f t="shared" si="56"/>
        <v>0</v>
      </c>
      <c r="DV41" s="4762">
        <f t="shared" si="56"/>
        <v>0</v>
      </c>
      <c r="DW41" s="4762">
        <f t="shared" si="56"/>
        <v>0</v>
      </c>
      <c r="DX41" s="4762">
        <f t="shared" si="56"/>
        <v>0</v>
      </c>
      <c r="DY41" s="4762">
        <f t="shared" si="56"/>
        <v>0</v>
      </c>
      <c r="DZ41" s="4762">
        <f t="shared" si="56"/>
        <v>0</v>
      </c>
      <c r="EA41" s="4762">
        <f t="shared" si="56"/>
        <v>0</v>
      </c>
      <c r="EB41" s="4762">
        <f t="shared" si="56"/>
        <v>0</v>
      </c>
      <c r="EC41" s="4762">
        <f t="shared" si="56"/>
        <v>0</v>
      </c>
      <c r="ED41" s="4762">
        <f t="shared" si="56"/>
        <v>0</v>
      </c>
      <c r="EE41" s="4762">
        <f t="shared" si="56"/>
        <v>0</v>
      </c>
      <c r="EF41" s="4762">
        <f t="shared" si="56"/>
        <v>0</v>
      </c>
      <c r="EG41" s="4762">
        <f t="shared" ref="EG41:GE41" si="57">SUM(EG42:EG44)</f>
        <v>0</v>
      </c>
      <c r="EH41" s="4762">
        <f t="shared" si="57"/>
        <v>0</v>
      </c>
      <c r="EI41" s="4762">
        <f t="shared" si="57"/>
        <v>0</v>
      </c>
      <c r="EJ41" s="4762">
        <f t="shared" si="57"/>
        <v>0</v>
      </c>
      <c r="EK41" s="4762">
        <f t="shared" si="57"/>
        <v>0</v>
      </c>
      <c r="EL41" s="4762">
        <f t="shared" si="57"/>
        <v>0</v>
      </c>
      <c r="EM41" s="4762">
        <f t="shared" si="57"/>
        <v>0</v>
      </c>
      <c r="EN41" s="4762">
        <f t="shared" si="57"/>
        <v>0</v>
      </c>
      <c r="EO41" s="4762">
        <f t="shared" si="57"/>
        <v>0</v>
      </c>
      <c r="EP41" s="4762">
        <f t="shared" si="57"/>
        <v>0</v>
      </c>
      <c r="EQ41" s="4762">
        <f t="shared" si="57"/>
        <v>0</v>
      </c>
      <c r="ER41" s="4762">
        <f t="shared" si="57"/>
        <v>0</v>
      </c>
      <c r="ES41" s="4762">
        <f t="shared" si="57"/>
        <v>0</v>
      </c>
      <c r="ET41" s="4762">
        <f t="shared" si="57"/>
        <v>0</v>
      </c>
      <c r="EU41" s="4762">
        <f t="shared" si="57"/>
        <v>0</v>
      </c>
      <c r="EV41" s="4762">
        <f t="shared" si="57"/>
        <v>0</v>
      </c>
      <c r="EW41" s="4762">
        <f t="shared" si="57"/>
        <v>0</v>
      </c>
      <c r="EX41" s="4762">
        <f t="shared" si="57"/>
        <v>0</v>
      </c>
      <c r="EY41" s="4762">
        <f t="shared" si="57"/>
        <v>0</v>
      </c>
      <c r="EZ41" s="4762">
        <f t="shared" si="57"/>
        <v>0</v>
      </c>
      <c r="FA41" s="4762">
        <f t="shared" si="57"/>
        <v>0</v>
      </c>
      <c r="FB41" s="4762">
        <f t="shared" si="57"/>
        <v>0</v>
      </c>
      <c r="FC41" s="4762">
        <f t="shared" si="57"/>
        <v>0</v>
      </c>
      <c r="FD41" s="4762">
        <f t="shared" si="57"/>
        <v>0</v>
      </c>
      <c r="FE41" s="4762">
        <f t="shared" si="57"/>
        <v>0</v>
      </c>
      <c r="FF41" s="4762">
        <f t="shared" si="57"/>
        <v>0</v>
      </c>
      <c r="FG41" s="4762">
        <f t="shared" si="57"/>
        <v>0</v>
      </c>
      <c r="FH41" s="4762">
        <f t="shared" si="57"/>
        <v>0</v>
      </c>
      <c r="FI41" s="4762">
        <f t="shared" si="57"/>
        <v>0</v>
      </c>
      <c r="FJ41" s="4762">
        <f t="shared" si="57"/>
        <v>0</v>
      </c>
      <c r="FK41" s="4762">
        <f t="shared" si="57"/>
        <v>0</v>
      </c>
      <c r="FL41" s="4762">
        <f t="shared" si="57"/>
        <v>0</v>
      </c>
      <c r="FM41" s="4762">
        <f t="shared" si="57"/>
        <v>0</v>
      </c>
      <c r="FN41" s="4762">
        <f t="shared" si="57"/>
        <v>0</v>
      </c>
      <c r="FO41" s="4762">
        <f t="shared" si="57"/>
        <v>0</v>
      </c>
      <c r="FP41" s="4762">
        <f t="shared" si="57"/>
        <v>0</v>
      </c>
      <c r="FQ41" s="4762">
        <f t="shared" si="57"/>
        <v>0</v>
      </c>
      <c r="FR41" s="4762">
        <f t="shared" si="57"/>
        <v>0</v>
      </c>
      <c r="FS41" s="4762">
        <f t="shared" si="57"/>
        <v>0</v>
      </c>
      <c r="FT41" s="4762">
        <f t="shared" si="57"/>
        <v>0</v>
      </c>
      <c r="FU41" s="4762">
        <f t="shared" si="57"/>
        <v>0</v>
      </c>
      <c r="FV41" s="4762">
        <f t="shared" si="57"/>
        <v>0</v>
      </c>
      <c r="FW41" s="4762">
        <f t="shared" si="57"/>
        <v>0</v>
      </c>
      <c r="FX41" s="4762">
        <f t="shared" si="57"/>
        <v>0</v>
      </c>
      <c r="FY41" s="4762">
        <f t="shared" si="57"/>
        <v>0</v>
      </c>
      <c r="FZ41" s="4762">
        <f t="shared" si="57"/>
        <v>0</v>
      </c>
      <c r="GA41" s="4762">
        <f t="shared" si="57"/>
        <v>0</v>
      </c>
      <c r="GB41" s="4762">
        <f t="shared" si="57"/>
        <v>0</v>
      </c>
      <c r="GC41" s="4762">
        <f t="shared" si="57"/>
        <v>0</v>
      </c>
      <c r="GD41" s="4762">
        <f t="shared" si="57"/>
        <v>0</v>
      </c>
      <c r="GE41" s="4845">
        <f t="shared" si="57"/>
        <v>0</v>
      </c>
    </row>
    <row r="42" spans="1:188" s="302" customFormat="1" ht="17.100000000000001" customHeight="1">
      <c r="C42" s="4779"/>
      <c r="D42" s="4766" t="s">
        <v>1114</v>
      </c>
      <c r="E42" s="4772"/>
      <c r="F42" s="4761">
        <f t="shared" si="26"/>
        <v>0</v>
      </c>
      <c r="G42" s="4777"/>
      <c r="H42" s="4846"/>
      <c r="I42" s="4846"/>
      <c r="J42" s="4846"/>
      <c r="K42" s="4846"/>
      <c r="L42" s="4844"/>
      <c r="M42" s="4844"/>
      <c r="N42" s="4844"/>
      <c r="O42" s="4844"/>
      <c r="P42" s="4850">
        <v>0</v>
      </c>
      <c r="Q42" s="4850">
        <v>0</v>
      </c>
      <c r="R42" s="4850">
        <v>0</v>
      </c>
      <c r="S42" s="4850">
        <v>0</v>
      </c>
      <c r="T42" s="4848">
        <f t="shared" ref="T42:U42" si="58">SUMIF($3:$3,T$33,17:17)/100*(MONTH(T34)=12)</f>
        <v>0</v>
      </c>
      <c r="U42" s="4848">
        <f t="shared" si="58"/>
        <v>0</v>
      </c>
      <c r="V42" s="4848">
        <f>SUMIF($3:$3,V$33,17:17)/100*(MONTH(V34)=12)</f>
        <v>0</v>
      </c>
      <c r="W42" s="4848">
        <f t="shared" ref="W42:CH42" si="59">SUMIF($3:$3,W$33,17:17)/100*(MONTH(W34)=12)</f>
        <v>0</v>
      </c>
      <c r="X42" s="4762">
        <f t="shared" si="59"/>
        <v>0</v>
      </c>
      <c r="Y42" s="4762">
        <f t="shared" si="59"/>
        <v>0</v>
      </c>
      <c r="Z42" s="4762">
        <f t="shared" si="59"/>
        <v>0</v>
      </c>
      <c r="AA42" s="4762">
        <f t="shared" si="59"/>
        <v>0</v>
      </c>
      <c r="AB42" s="4762">
        <f t="shared" si="59"/>
        <v>0</v>
      </c>
      <c r="AC42" s="4762">
        <f t="shared" si="59"/>
        <v>0</v>
      </c>
      <c r="AD42" s="4762">
        <f t="shared" si="59"/>
        <v>0</v>
      </c>
      <c r="AE42" s="4762">
        <f t="shared" si="59"/>
        <v>0</v>
      </c>
      <c r="AF42" s="4762">
        <f t="shared" si="59"/>
        <v>0</v>
      </c>
      <c r="AG42" s="4762">
        <f t="shared" si="59"/>
        <v>0</v>
      </c>
      <c r="AH42" s="4762">
        <f t="shared" si="59"/>
        <v>0</v>
      </c>
      <c r="AI42" s="4762">
        <f t="shared" si="59"/>
        <v>0</v>
      </c>
      <c r="AJ42" s="4762">
        <f t="shared" si="59"/>
        <v>0</v>
      </c>
      <c r="AK42" s="4762">
        <f t="shared" si="59"/>
        <v>0</v>
      </c>
      <c r="AL42" s="4762">
        <f t="shared" si="59"/>
        <v>0</v>
      </c>
      <c r="AM42" s="4762">
        <f t="shared" si="59"/>
        <v>0</v>
      </c>
      <c r="AN42" s="4762">
        <f t="shared" si="59"/>
        <v>0</v>
      </c>
      <c r="AO42" s="4762">
        <f t="shared" si="59"/>
        <v>0</v>
      </c>
      <c r="AP42" s="4762">
        <f t="shared" si="59"/>
        <v>0</v>
      </c>
      <c r="AQ42" s="4762">
        <f t="shared" si="59"/>
        <v>0</v>
      </c>
      <c r="AR42" s="4762">
        <f t="shared" si="59"/>
        <v>0</v>
      </c>
      <c r="AS42" s="4762">
        <f t="shared" si="59"/>
        <v>0</v>
      </c>
      <c r="AT42" s="4762">
        <f t="shared" si="59"/>
        <v>0</v>
      </c>
      <c r="AU42" s="4762">
        <f t="shared" si="59"/>
        <v>0</v>
      </c>
      <c r="AV42" s="4762">
        <f t="shared" si="59"/>
        <v>0</v>
      </c>
      <c r="AW42" s="4762">
        <f t="shared" si="59"/>
        <v>0</v>
      </c>
      <c r="AX42" s="4762">
        <f t="shared" si="59"/>
        <v>0</v>
      </c>
      <c r="AY42" s="4762">
        <f t="shared" si="59"/>
        <v>0</v>
      </c>
      <c r="AZ42" s="4762">
        <f t="shared" si="59"/>
        <v>0</v>
      </c>
      <c r="BA42" s="4762">
        <f t="shared" si="59"/>
        <v>0</v>
      </c>
      <c r="BB42" s="4762">
        <f t="shared" si="59"/>
        <v>0</v>
      </c>
      <c r="BC42" s="4762">
        <f t="shared" si="59"/>
        <v>0</v>
      </c>
      <c r="BD42" s="4762">
        <f t="shared" si="59"/>
        <v>0</v>
      </c>
      <c r="BE42" s="4762">
        <f t="shared" si="59"/>
        <v>0</v>
      </c>
      <c r="BF42" s="4762">
        <f t="shared" si="59"/>
        <v>0</v>
      </c>
      <c r="BG42" s="4762">
        <f t="shared" si="59"/>
        <v>0</v>
      </c>
      <c r="BH42" s="4762">
        <f t="shared" si="59"/>
        <v>0</v>
      </c>
      <c r="BI42" s="4762">
        <f t="shared" si="59"/>
        <v>0</v>
      </c>
      <c r="BJ42" s="4762">
        <f t="shared" si="59"/>
        <v>0</v>
      </c>
      <c r="BK42" s="4762">
        <f t="shared" si="59"/>
        <v>0</v>
      </c>
      <c r="BL42" s="4762">
        <f t="shared" si="59"/>
        <v>0</v>
      </c>
      <c r="BM42" s="4762">
        <f t="shared" si="59"/>
        <v>0</v>
      </c>
      <c r="BN42" s="4762">
        <f t="shared" si="59"/>
        <v>0</v>
      </c>
      <c r="BO42" s="4762">
        <f t="shared" si="59"/>
        <v>0</v>
      </c>
      <c r="BP42" s="4762">
        <f t="shared" si="59"/>
        <v>0</v>
      </c>
      <c r="BQ42" s="4762">
        <f t="shared" si="59"/>
        <v>0</v>
      </c>
      <c r="BR42" s="4762">
        <f t="shared" si="59"/>
        <v>0</v>
      </c>
      <c r="BS42" s="4762">
        <f t="shared" si="59"/>
        <v>0</v>
      </c>
      <c r="BT42" s="4762">
        <f t="shared" si="59"/>
        <v>0</v>
      </c>
      <c r="BU42" s="4762">
        <f t="shared" si="59"/>
        <v>0</v>
      </c>
      <c r="BV42" s="4762">
        <f t="shared" si="59"/>
        <v>0</v>
      </c>
      <c r="BW42" s="4762">
        <f t="shared" si="59"/>
        <v>0</v>
      </c>
      <c r="BX42" s="4762">
        <f t="shared" si="59"/>
        <v>0</v>
      </c>
      <c r="BY42" s="4762">
        <f t="shared" si="59"/>
        <v>0</v>
      </c>
      <c r="BZ42" s="4762">
        <f t="shared" si="59"/>
        <v>0</v>
      </c>
      <c r="CA42" s="4762">
        <f t="shared" si="59"/>
        <v>0</v>
      </c>
      <c r="CB42" s="4762">
        <f t="shared" si="59"/>
        <v>0</v>
      </c>
      <c r="CC42" s="4762">
        <f t="shared" si="59"/>
        <v>0</v>
      </c>
      <c r="CD42" s="4762">
        <f t="shared" si="59"/>
        <v>0</v>
      </c>
      <c r="CE42" s="4762">
        <f t="shared" si="59"/>
        <v>0</v>
      </c>
      <c r="CF42" s="4762">
        <f t="shared" si="59"/>
        <v>0</v>
      </c>
      <c r="CG42" s="4762">
        <f t="shared" si="59"/>
        <v>0</v>
      </c>
      <c r="CH42" s="4762">
        <f t="shared" si="59"/>
        <v>0</v>
      </c>
      <c r="CI42" s="4762">
        <f t="shared" ref="CI42:ET42" si="60">SUMIF($3:$3,CI$33,17:17)/100*(MONTH(CI34)=12)</f>
        <v>0</v>
      </c>
      <c r="CJ42" s="4762">
        <f t="shared" si="60"/>
        <v>0</v>
      </c>
      <c r="CK42" s="4762">
        <f t="shared" si="60"/>
        <v>0</v>
      </c>
      <c r="CL42" s="4762">
        <f t="shared" si="60"/>
        <v>0</v>
      </c>
      <c r="CM42" s="4762">
        <f t="shared" si="60"/>
        <v>0</v>
      </c>
      <c r="CN42" s="4762">
        <f t="shared" si="60"/>
        <v>0</v>
      </c>
      <c r="CO42" s="4762">
        <f t="shared" si="60"/>
        <v>0</v>
      </c>
      <c r="CP42" s="4762">
        <f t="shared" si="60"/>
        <v>0</v>
      </c>
      <c r="CQ42" s="4762">
        <f t="shared" si="60"/>
        <v>0</v>
      </c>
      <c r="CR42" s="4762">
        <f t="shared" si="60"/>
        <v>0</v>
      </c>
      <c r="CS42" s="4762">
        <f t="shared" si="60"/>
        <v>0</v>
      </c>
      <c r="CT42" s="4762">
        <f t="shared" si="60"/>
        <v>0</v>
      </c>
      <c r="CU42" s="4762">
        <f t="shared" si="60"/>
        <v>0</v>
      </c>
      <c r="CV42" s="4762">
        <f t="shared" si="60"/>
        <v>0</v>
      </c>
      <c r="CW42" s="4762">
        <f t="shared" si="60"/>
        <v>0</v>
      </c>
      <c r="CX42" s="4762">
        <f t="shared" si="60"/>
        <v>0</v>
      </c>
      <c r="CY42" s="4762">
        <f t="shared" si="60"/>
        <v>0</v>
      </c>
      <c r="CZ42" s="4762">
        <f t="shared" si="60"/>
        <v>0</v>
      </c>
      <c r="DA42" s="4762">
        <f t="shared" si="60"/>
        <v>0</v>
      </c>
      <c r="DB42" s="4762">
        <f t="shared" si="60"/>
        <v>0</v>
      </c>
      <c r="DC42" s="4762">
        <f t="shared" si="60"/>
        <v>0</v>
      </c>
      <c r="DD42" s="4762">
        <f t="shared" si="60"/>
        <v>0</v>
      </c>
      <c r="DE42" s="4762">
        <f t="shared" si="60"/>
        <v>0</v>
      </c>
      <c r="DF42" s="4762">
        <f t="shared" si="60"/>
        <v>0</v>
      </c>
      <c r="DG42" s="4762">
        <f t="shared" si="60"/>
        <v>0</v>
      </c>
      <c r="DH42" s="4762">
        <f t="shared" si="60"/>
        <v>0</v>
      </c>
      <c r="DI42" s="4762">
        <f t="shared" si="60"/>
        <v>0</v>
      </c>
      <c r="DJ42" s="4762">
        <f t="shared" si="60"/>
        <v>0</v>
      </c>
      <c r="DK42" s="4762">
        <f t="shared" si="60"/>
        <v>0</v>
      </c>
      <c r="DL42" s="4762">
        <f t="shared" si="60"/>
        <v>0</v>
      </c>
      <c r="DM42" s="4762">
        <f t="shared" si="60"/>
        <v>0</v>
      </c>
      <c r="DN42" s="4762">
        <f t="shared" si="60"/>
        <v>0</v>
      </c>
      <c r="DO42" s="4762">
        <f t="shared" si="60"/>
        <v>0</v>
      </c>
      <c r="DP42" s="4762">
        <f t="shared" si="60"/>
        <v>0</v>
      </c>
      <c r="DQ42" s="4762">
        <f t="shared" si="60"/>
        <v>0</v>
      </c>
      <c r="DR42" s="4762">
        <f t="shared" si="60"/>
        <v>0</v>
      </c>
      <c r="DS42" s="4762">
        <f t="shared" si="60"/>
        <v>0</v>
      </c>
      <c r="DT42" s="4762">
        <f t="shared" si="60"/>
        <v>0</v>
      </c>
      <c r="DU42" s="4762">
        <f t="shared" si="60"/>
        <v>0</v>
      </c>
      <c r="DV42" s="4762">
        <f t="shared" si="60"/>
        <v>0</v>
      </c>
      <c r="DW42" s="4762">
        <f t="shared" si="60"/>
        <v>0</v>
      </c>
      <c r="DX42" s="4762">
        <f t="shared" si="60"/>
        <v>0</v>
      </c>
      <c r="DY42" s="4762">
        <f t="shared" si="60"/>
        <v>0</v>
      </c>
      <c r="DZ42" s="4762">
        <f t="shared" si="60"/>
        <v>0</v>
      </c>
      <c r="EA42" s="4762">
        <f t="shared" si="60"/>
        <v>0</v>
      </c>
      <c r="EB42" s="4762">
        <f t="shared" si="60"/>
        <v>0</v>
      </c>
      <c r="EC42" s="4762">
        <f t="shared" si="60"/>
        <v>0</v>
      </c>
      <c r="ED42" s="4762">
        <f t="shared" si="60"/>
        <v>0</v>
      </c>
      <c r="EE42" s="4762">
        <f t="shared" si="60"/>
        <v>0</v>
      </c>
      <c r="EF42" s="4762">
        <f t="shared" si="60"/>
        <v>0</v>
      </c>
      <c r="EG42" s="4762">
        <f t="shared" si="60"/>
        <v>0</v>
      </c>
      <c r="EH42" s="4762">
        <f t="shared" si="60"/>
        <v>0</v>
      </c>
      <c r="EI42" s="4762">
        <f t="shared" si="60"/>
        <v>0</v>
      </c>
      <c r="EJ42" s="4762">
        <f t="shared" si="60"/>
        <v>0</v>
      </c>
      <c r="EK42" s="4762">
        <f t="shared" si="60"/>
        <v>0</v>
      </c>
      <c r="EL42" s="4762">
        <f t="shared" si="60"/>
        <v>0</v>
      </c>
      <c r="EM42" s="4762">
        <f t="shared" si="60"/>
        <v>0</v>
      </c>
      <c r="EN42" s="4762">
        <f t="shared" si="60"/>
        <v>0</v>
      </c>
      <c r="EO42" s="4762">
        <f t="shared" si="60"/>
        <v>0</v>
      </c>
      <c r="EP42" s="4762">
        <f t="shared" si="60"/>
        <v>0</v>
      </c>
      <c r="EQ42" s="4762">
        <f t="shared" si="60"/>
        <v>0</v>
      </c>
      <c r="ER42" s="4762">
        <f t="shared" si="60"/>
        <v>0</v>
      </c>
      <c r="ES42" s="4762">
        <f t="shared" si="60"/>
        <v>0</v>
      </c>
      <c r="ET42" s="4762">
        <f t="shared" si="60"/>
        <v>0</v>
      </c>
      <c r="EU42" s="4762">
        <f t="shared" ref="EU42:GE42" si="61">SUMIF($3:$3,EU$33,17:17)/100*(MONTH(EU34)=12)</f>
        <v>0</v>
      </c>
      <c r="EV42" s="4762">
        <f t="shared" si="61"/>
        <v>0</v>
      </c>
      <c r="EW42" s="4762">
        <f t="shared" si="61"/>
        <v>0</v>
      </c>
      <c r="EX42" s="4762">
        <f t="shared" si="61"/>
        <v>0</v>
      </c>
      <c r="EY42" s="4762">
        <f t="shared" si="61"/>
        <v>0</v>
      </c>
      <c r="EZ42" s="4762">
        <f t="shared" si="61"/>
        <v>0</v>
      </c>
      <c r="FA42" s="4762">
        <f t="shared" si="61"/>
        <v>0</v>
      </c>
      <c r="FB42" s="4762">
        <f t="shared" si="61"/>
        <v>0</v>
      </c>
      <c r="FC42" s="4762">
        <f t="shared" si="61"/>
        <v>0</v>
      </c>
      <c r="FD42" s="4762">
        <f t="shared" si="61"/>
        <v>0</v>
      </c>
      <c r="FE42" s="4762">
        <f t="shared" si="61"/>
        <v>0</v>
      </c>
      <c r="FF42" s="4762">
        <f t="shared" si="61"/>
        <v>0</v>
      </c>
      <c r="FG42" s="4762">
        <f t="shared" si="61"/>
        <v>0</v>
      </c>
      <c r="FH42" s="4762">
        <f t="shared" si="61"/>
        <v>0</v>
      </c>
      <c r="FI42" s="4762">
        <f t="shared" si="61"/>
        <v>0</v>
      </c>
      <c r="FJ42" s="4762">
        <f t="shared" si="61"/>
        <v>0</v>
      </c>
      <c r="FK42" s="4762">
        <f t="shared" si="61"/>
        <v>0</v>
      </c>
      <c r="FL42" s="4762">
        <f t="shared" si="61"/>
        <v>0</v>
      </c>
      <c r="FM42" s="4762">
        <f t="shared" si="61"/>
        <v>0</v>
      </c>
      <c r="FN42" s="4762">
        <f t="shared" si="61"/>
        <v>0</v>
      </c>
      <c r="FO42" s="4762">
        <f t="shared" si="61"/>
        <v>0</v>
      </c>
      <c r="FP42" s="4762">
        <f t="shared" si="61"/>
        <v>0</v>
      </c>
      <c r="FQ42" s="4762">
        <f t="shared" si="61"/>
        <v>0</v>
      </c>
      <c r="FR42" s="4762">
        <f t="shared" si="61"/>
        <v>0</v>
      </c>
      <c r="FS42" s="4762">
        <f t="shared" si="61"/>
        <v>0</v>
      </c>
      <c r="FT42" s="4762">
        <f t="shared" si="61"/>
        <v>0</v>
      </c>
      <c r="FU42" s="4762">
        <f t="shared" si="61"/>
        <v>0</v>
      </c>
      <c r="FV42" s="4762">
        <f t="shared" si="61"/>
        <v>0</v>
      </c>
      <c r="FW42" s="4762">
        <f t="shared" si="61"/>
        <v>0</v>
      </c>
      <c r="FX42" s="4762">
        <f t="shared" si="61"/>
        <v>0</v>
      </c>
      <c r="FY42" s="4762">
        <f t="shared" si="61"/>
        <v>0</v>
      </c>
      <c r="FZ42" s="4762">
        <f t="shared" si="61"/>
        <v>0</v>
      </c>
      <c r="GA42" s="4762">
        <f t="shared" si="61"/>
        <v>0</v>
      </c>
      <c r="GB42" s="4762">
        <f t="shared" si="61"/>
        <v>0</v>
      </c>
      <c r="GC42" s="4762">
        <f t="shared" si="61"/>
        <v>0</v>
      </c>
      <c r="GD42" s="4762">
        <f t="shared" si="61"/>
        <v>0</v>
      </c>
      <c r="GE42" s="4845">
        <f t="shared" si="61"/>
        <v>0</v>
      </c>
    </row>
    <row r="43" spans="1:188" s="302" customFormat="1" ht="17.100000000000001" customHeight="1">
      <c r="C43" s="4779"/>
      <c r="D43" s="4766" t="s">
        <v>1115</v>
      </c>
      <c r="E43" s="4772"/>
      <c r="F43" s="4761">
        <f t="shared" si="26"/>
        <v>0</v>
      </c>
      <c r="G43" s="4777"/>
      <c r="H43" s="4846">
        <v>0</v>
      </c>
      <c r="I43" s="4846">
        <v>0</v>
      </c>
      <c r="J43" s="4846">
        <v>0</v>
      </c>
      <c r="K43" s="4846">
        <v>0</v>
      </c>
      <c r="L43" s="4846"/>
      <c r="M43" s="4846"/>
      <c r="N43" s="4846">
        <v>0</v>
      </c>
      <c r="O43" s="4846">
        <v>0</v>
      </c>
      <c r="P43" s="4850">
        <v>0</v>
      </c>
      <c r="Q43" s="4850">
        <v>0</v>
      </c>
      <c r="R43" s="4850">
        <v>0</v>
      </c>
      <c r="S43" s="4850">
        <v>0</v>
      </c>
      <c r="T43" s="4848">
        <v>0</v>
      </c>
      <c r="U43" s="4848">
        <v>0</v>
      </c>
      <c r="V43" s="4848">
        <v>0</v>
      </c>
      <c r="W43" s="4848">
        <v>0</v>
      </c>
      <c r="X43" s="4848">
        <v>0</v>
      </c>
      <c r="Y43" s="4848">
        <v>0</v>
      </c>
      <c r="Z43" s="4848">
        <v>0</v>
      </c>
      <c r="AA43" s="4848">
        <v>0</v>
      </c>
      <c r="AB43" s="4848">
        <v>0</v>
      </c>
      <c r="AC43" s="4848">
        <v>0</v>
      </c>
      <c r="AD43" s="4848">
        <v>0</v>
      </c>
      <c r="AE43" s="4848">
        <v>0</v>
      </c>
      <c r="AF43" s="4848">
        <v>0</v>
      </c>
      <c r="AG43" s="4848">
        <v>0</v>
      </c>
      <c r="AH43" s="4848">
        <v>0</v>
      </c>
      <c r="AI43" s="4848">
        <v>0</v>
      </c>
      <c r="AJ43" s="4848">
        <v>0</v>
      </c>
      <c r="AK43" s="4848">
        <v>0</v>
      </c>
      <c r="AL43" s="4848">
        <v>0</v>
      </c>
      <c r="AM43" s="4848">
        <v>0</v>
      </c>
      <c r="AN43" s="4848">
        <v>0</v>
      </c>
      <c r="AO43" s="4848">
        <v>0</v>
      </c>
      <c r="AP43" s="4848">
        <v>0</v>
      </c>
      <c r="AQ43" s="4848">
        <v>0</v>
      </c>
      <c r="AR43" s="4848">
        <v>0</v>
      </c>
      <c r="AS43" s="4848">
        <v>0</v>
      </c>
      <c r="AT43" s="4848">
        <v>0</v>
      </c>
      <c r="AU43" s="4848">
        <v>0</v>
      </c>
      <c r="AV43" s="4848">
        <v>0</v>
      </c>
      <c r="AW43" s="4848">
        <v>0</v>
      </c>
      <c r="AX43" s="4848">
        <v>0</v>
      </c>
      <c r="AY43" s="4848">
        <v>0</v>
      </c>
      <c r="AZ43" s="4848">
        <v>0</v>
      </c>
      <c r="BA43" s="4848">
        <v>0</v>
      </c>
      <c r="BB43" s="4848">
        <v>0</v>
      </c>
      <c r="BC43" s="4848">
        <v>0</v>
      </c>
      <c r="BD43" s="4848">
        <v>0</v>
      </c>
      <c r="BE43" s="4848">
        <v>0</v>
      </c>
      <c r="BF43" s="4848">
        <v>0</v>
      </c>
      <c r="BG43" s="4848">
        <v>0</v>
      </c>
      <c r="BH43" s="4848">
        <v>0</v>
      </c>
      <c r="BI43" s="4848">
        <v>0</v>
      </c>
      <c r="BJ43" s="4848">
        <v>0</v>
      </c>
      <c r="BK43" s="4848">
        <v>0</v>
      </c>
      <c r="BL43" s="4848">
        <v>0</v>
      </c>
      <c r="BM43" s="4848">
        <v>0</v>
      </c>
      <c r="BN43" s="4848">
        <v>0</v>
      </c>
      <c r="BO43" s="4848">
        <v>0</v>
      </c>
      <c r="BP43" s="4848">
        <v>0</v>
      </c>
      <c r="BQ43" s="4848">
        <v>0</v>
      </c>
      <c r="BR43" s="4848">
        <v>0</v>
      </c>
      <c r="BS43" s="4848">
        <v>0</v>
      </c>
      <c r="BT43" s="4848">
        <v>0</v>
      </c>
      <c r="BU43" s="4848">
        <v>0</v>
      </c>
      <c r="BV43" s="4848">
        <v>0</v>
      </c>
      <c r="BW43" s="4848">
        <v>0</v>
      </c>
      <c r="BX43" s="4848">
        <v>0</v>
      </c>
      <c r="BY43" s="4848">
        <v>0</v>
      </c>
      <c r="BZ43" s="4848">
        <v>0</v>
      </c>
      <c r="CA43" s="4848">
        <v>0</v>
      </c>
      <c r="CB43" s="4848">
        <v>0</v>
      </c>
      <c r="CC43" s="4848">
        <v>0</v>
      </c>
      <c r="CD43" s="4848"/>
      <c r="CE43" s="4848"/>
      <c r="CF43" s="4848"/>
      <c r="CG43" s="4848"/>
      <c r="CH43" s="4848"/>
      <c r="CI43" s="4848"/>
      <c r="CJ43" s="4848"/>
      <c r="CK43" s="4848"/>
      <c r="CL43" s="4848"/>
      <c r="CM43" s="4848"/>
      <c r="CN43" s="4848"/>
      <c r="CO43" s="4848"/>
      <c r="CP43" s="4848"/>
      <c r="CQ43" s="4848"/>
      <c r="CR43" s="4848"/>
      <c r="CS43" s="4848"/>
      <c r="CT43" s="4848"/>
      <c r="CU43" s="4848"/>
      <c r="CV43" s="4848"/>
      <c r="CW43" s="4848"/>
      <c r="CX43" s="4848"/>
      <c r="CY43" s="4848"/>
      <c r="CZ43" s="4848"/>
      <c r="DA43" s="4848"/>
      <c r="DB43" s="4848"/>
      <c r="DC43" s="4848"/>
      <c r="DD43" s="4848"/>
      <c r="DE43" s="4848"/>
      <c r="DF43" s="4848"/>
      <c r="DG43" s="4848"/>
      <c r="DH43" s="4848"/>
      <c r="DI43" s="4848"/>
      <c r="DJ43" s="4848"/>
      <c r="DK43" s="4848"/>
      <c r="DL43" s="4848"/>
      <c r="DM43" s="4848"/>
      <c r="DN43" s="4848"/>
      <c r="DO43" s="4848"/>
      <c r="DP43" s="4848"/>
      <c r="DQ43" s="4848"/>
      <c r="DR43" s="4848"/>
      <c r="DS43" s="4848"/>
      <c r="DT43" s="4848"/>
      <c r="DU43" s="4848"/>
      <c r="DV43" s="4848"/>
      <c r="DW43" s="4848"/>
      <c r="DX43" s="4848"/>
      <c r="DY43" s="4848"/>
      <c r="DZ43" s="4848"/>
      <c r="EA43" s="4848"/>
      <c r="EB43" s="4848"/>
      <c r="EC43" s="4848"/>
      <c r="ED43" s="4848"/>
      <c r="EE43" s="4848"/>
      <c r="EF43" s="4848"/>
      <c r="EG43" s="4848"/>
      <c r="EH43" s="4848"/>
      <c r="EI43" s="4848"/>
      <c r="EJ43" s="4848"/>
      <c r="EK43" s="4848"/>
      <c r="EL43" s="4848"/>
      <c r="EM43" s="4848"/>
      <c r="EN43" s="4848"/>
      <c r="EO43" s="4848"/>
      <c r="EP43" s="4848"/>
      <c r="EQ43" s="4848"/>
      <c r="ER43" s="4848"/>
      <c r="ES43" s="4848"/>
      <c r="ET43" s="4848"/>
      <c r="EU43" s="4848"/>
      <c r="EV43" s="4848"/>
      <c r="EW43" s="4848"/>
      <c r="EX43" s="4848"/>
      <c r="EY43" s="4848"/>
      <c r="EZ43" s="4848"/>
      <c r="FA43" s="4848"/>
      <c r="FB43" s="4848"/>
      <c r="FC43" s="4848"/>
      <c r="FD43" s="4848"/>
      <c r="FE43" s="4848"/>
      <c r="FF43" s="4848"/>
      <c r="FG43" s="4848"/>
      <c r="FH43" s="4848"/>
      <c r="FI43" s="4848"/>
      <c r="FJ43" s="4848"/>
      <c r="FK43" s="4848"/>
      <c r="FL43" s="4848"/>
      <c r="FM43" s="4848"/>
      <c r="FN43" s="4848"/>
      <c r="FO43" s="4848"/>
      <c r="FP43" s="4848"/>
      <c r="FQ43" s="4848"/>
      <c r="FR43" s="4848"/>
      <c r="FS43" s="4848"/>
      <c r="FT43" s="4848">
        <v>0</v>
      </c>
      <c r="FU43" s="4848">
        <v>0</v>
      </c>
      <c r="FV43" s="4848">
        <v>0</v>
      </c>
      <c r="FW43" s="4848">
        <v>0</v>
      </c>
      <c r="FX43" s="4848">
        <v>0</v>
      </c>
      <c r="FY43" s="4848">
        <v>0</v>
      </c>
      <c r="FZ43" s="4848">
        <v>0</v>
      </c>
      <c r="GA43" s="4848">
        <v>0</v>
      </c>
      <c r="GB43" s="4848">
        <v>0</v>
      </c>
      <c r="GC43" s="4848">
        <v>0</v>
      </c>
      <c r="GD43" s="4848">
        <v>0</v>
      </c>
      <c r="GE43" s="4851">
        <v>0</v>
      </c>
    </row>
    <row r="44" spans="1:188" s="302" customFormat="1" ht="17.100000000000001" customHeight="1">
      <c r="C44" s="4779"/>
      <c r="D44" s="4766" t="s">
        <v>1116</v>
      </c>
      <c r="E44" s="4772"/>
      <c r="F44" s="4761">
        <f t="shared" si="26"/>
        <v>0</v>
      </c>
      <c r="G44" s="4777"/>
      <c r="H44" s="4846">
        <v>27.86771049</v>
      </c>
      <c r="I44" s="4846">
        <v>12.18445157</v>
      </c>
      <c r="J44" s="4846">
        <v>0</v>
      </c>
      <c r="K44" s="4846">
        <v>-11.48172866</v>
      </c>
      <c r="L44" s="4846">
        <v>12.2546</v>
      </c>
      <c r="M44" s="4852">
        <v>0</v>
      </c>
      <c r="N44" s="4846">
        <v>0</v>
      </c>
      <c r="O44" s="4846">
        <v>0</v>
      </c>
      <c r="P44" s="4850">
        <v>0</v>
      </c>
      <c r="Q44" s="4850">
        <v>0</v>
      </c>
      <c r="R44" s="4850">
        <v>0</v>
      </c>
      <c r="S44" s="4850">
        <v>0</v>
      </c>
      <c r="T44" s="4848">
        <f t="shared" ref="T44:AY44" si="62">SUMIF($3:$3,T$33,19:19)*T$53/T$54/100</f>
        <v>0</v>
      </c>
      <c r="U44" s="4848">
        <f t="shared" si="62"/>
        <v>0</v>
      </c>
      <c r="V44" s="4848">
        <f t="shared" si="62"/>
        <v>0</v>
      </c>
      <c r="W44" s="4848">
        <f t="shared" si="62"/>
        <v>0</v>
      </c>
      <c r="X44" s="4762">
        <f t="shared" si="62"/>
        <v>0</v>
      </c>
      <c r="Y44" s="4762">
        <f t="shared" si="62"/>
        <v>0</v>
      </c>
      <c r="Z44" s="4762">
        <f t="shared" si="62"/>
        <v>0</v>
      </c>
      <c r="AA44" s="4762">
        <f t="shared" si="62"/>
        <v>0</v>
      </c>
      <c r="AB44" s="4762">
        <f t="shared" si="62"/>
        <v>0</v>
      </c>
      <c r="AC44" s="4762">
        <f t="shared" si="62"/>
        <v>0</v>
      </c>
      <c r="AD44" s="4762">
        <f t="shared" si="62"/>
        <v>0</v>
      </c>
      <c r="AE44" s="4762">
        <f t="shared" si="62"/>
        <v>0</v>
      </c>
      <c r="AF44" s="4762">
        <f t="shared" si="62"/>
        <v>0</v>
      </c>
      <c r="AG44" s="4762">
        <f t="shared" si="62"/>
        <v>0</v>
      </c>
      <c r="AH44" s="4762">
        <f t="shared" si="62"/>
        <v>0</v>
      </c>
      <c r="AI44" s="4762">
        <f t="shared" si="62"/>
        <v>0</v>
      </c>
      <c r="AJ44" s="4762">
        <f t="shared" si="62"/>
        <v>0</v>
      </c>
      <c r="AK44" s="4762">
        <f t="shared" si="62"/>
        <v>0</v>
      </c>
      <c r="AL44" s="4762">
        <f t="shared" si="62"/>
        <v>0</v>
      </c>
      <c r="AM44" s="4762">
        <f t="shared" si="62"/>
        <v>0</v>
      </c>
      <c r="AN44" s="4762">
        <f t="shared" si="62"/>
        <v>0</v>
      </c>
      <c r="AO44" s="4762">
        <f t="shared" si="62"/>
        <v>0</v>
      </c>
      <c r="AP44" s="4762">
        <f t="shared" si="62"/>
        <v>0</v>
      </c>
      <c r="AQ44" s="4762">
        <f t="shared" si="62"/>
        <v>0</v>
      </c>
      <c r="AR44" s="4762">
        <f t="shared" si="62"/>
        <v>0</v>
      </c>
      <c r="AS44" s="4762">
        <f t="shared" si="62"/>
        <v>0</v>
      </c>
      <c r="AT44" s="4762">
        <f t="shared" si="62"/>
        <v>0</v>
      </c>
      <c r="AU44" s="4762">
        <f t="shared" si="62"/>
        <v>0</v>
      </c>
      <c r="AV44" s="4762">
        <f t="shared" si="62"/>
        <v>0</v>
      </c>
      <c r="AW44" s="4762">
        <f t="shared" si="62"/>
        <v>0</v>
      </c>
      <c r="AX44" s="4762">
        <f t="shared" si="62"/>
        <v>0</v>
      </c>
      <c r="AY44" s="4762">
        <f t="shared" si="62"/>
        <v>0</v>
      </c>
      <c r="AZ44" s="4762">
        <f t="shared" ref="AZ44:CE44" si="63">SUMIF($3:$3,AZ$33,19:19)*AZ$53/AZ$54/100</f>
        <v>0</v>
      </c>
      <c r="BA44" s="4762">
        <f t="shared" si="63"/>
        <v>0</v>
      </c>
      <c r="BB44" s="4762">
        <f t="shared" si="63"/>
        <v>0</v>
      </c>
      <c r="BC44" s="4762">
        <f t="shared" si="63"/>
        <v>0</v>
      </c>
      <c r="BD44" s="4762">
        <f t="shared" si="63"/>
        <v>0</v>
      </c>
      <c r="BE44" s="4762">
        <f t="shared" si="63"/>
        <v>0</v>
      </c>
      <c r="BF44" s="4762">
        <f t="shared" si="63"/>
        <v>0</v>
      </c>
      <c r="BG44" s="4762">
        <f t="shared" si="63"/>
        <v>0</v>
      </c>
      <c r="BH44" s="4762">
        <f t="shared" si="63"/>
        <v>0</v>
      </c>
      <c r="BI44" s="4762">
        <f t="shared" si="63"/>
        <v>0</v>
      </c>
      <c r="BJ44" s="4762">
        <f t="shared" si="63"/>
        <v>0</v>
      </c>
      <c r="BK44" s="4762">
        <f t="shared" si="63"/>
        <v>0</v>
      </c>
      <c r="BL44" s="4762">
        <f t="shared" si="63"/>
        <v>0</v>
      </c>
      <c r="BM44" s="4762">
        <f t="shared" si="63"/>
        <v>0</v>
      </c>
      <c r="BN44" s="4762">
        <f t="shared" si="63"/>
        <v>0</v>
      </c>
      <c r="BO44" s="4762">
        <f t="shared" si="63"/>
        <v>0</v>
      </c>
      <c r="BP44" s="4762">
        <f t="shared" si="63"/>
        <v>0</v>
      </c>
      <c r="BQ44" s="4762">
        <f t="shared" si="63"/>
        <v>0</v>
      </c>
      <c r="BR44" s="4762">
        <f t="shared" si="63"/>
        <v>0</v>
      </c>
      <c r="BS44" s="4762">
        <f t="shared" si="63"/>
        <v>0</v>
      </c>
      <c r="BT44" s="4762">
        <f t="shared" si="63"/>
        <v>0</v>
      </c>
      <c r="BU44" s="4762">
        <f t="shared" si="63"/>
        <v>0</v>
      </c>
      <c r="BV44" s="4762">
        <f t="shared" si="63"/>
        <v>0</v>
      </c>
      <c r="BW44" s="4762">
        <f t="shared" si="63"/>
        <v>0</v>
      </c>
      <c r="BX44" s="4762">
        <f t="shared" si="63"/>
        <v>0</v>
      </c>
      <c r="BY44" s="4762">
        <f t="shared" si="63"/>
        <v>0</v>
      </c>
      <c r="BZ44" s="4762">
        <f t="shared" si="63"/>
        <v>0</v>
      </c>
      <c r="CA44" s="4762">
        <f t="shared" si="63"/>
        <v>0</v>
      </c>
      <c r="CB44" s="4762">
        <f t="shared" si="63"/>
        <v>0</v>
      </c>
      <c r="CC44" s="4762">
        <f t="shared" si="63"/>
        <v>0</v>
      </c>
      <c r="CD44" s="4762">
        <f t="shared" si="63"/>
        <v>0</v>
      </c>
      <c r="CE44" s="4762">
        <f t="shared" si="63"/>
        <v>0</v>
      </c>
      <c r="CF44" s="4762">
        <f t="shared" ref="CF44:DK44" si="64">SUMIF($3:$3,CF$33,19:19)*CF$53/CF$54/100</f>
        <v>0</v>
      </c>
      <c r="CG44" s="4762">
        <f t="shared" si="64"/>
        <v>0</v>
      </c>
      <c r="CH44" s="4762">
        <f t="shared" si="64"/>
        <v>0</v>
      </c>
      <c r="CI44" s="4762">
        <f t="shared" si="64"/>
        <v>0</v>
      </c>
      <c r="CJ44" s="4762">
        <f t="shared" si="64"/>
        <v>0</v>
      </c>
      <c r="CK44" s="4762">
        <f t="shared" si="64"/>
        <v>0</v>
      </c>
      <c r="CL44" s="4762">
        <f t="shared" si="64"/>
        <v>0</v>
      </c>
      <c r="CM44" s="4762">
        <f t="shared" si="64"/>
        <v>0</v>
      </c>
      <c r="CN44" s="4762">
        <f t="shared" si="64"/>
        <v>0</v>
      </c>
      <c r="CO44" s="4762">
        <f t="shared" si="64"/>
        <v>0</v>
      </c>
      <c r="CP44" s="4762">
        <f t="shared" si="64"/>
        <v>0</v>
      </c>
      <c r="CQ44" s="4762">
        <f t="shared" si="64"/>
        <v>0</v>
      </c>
      <c r="CR44" s="4762">
        <f t="shared" si="64"/>
        <v>0</v>
      </c>
      <c r="CS44" s="4762">
        <f t="shared" si="64"/>
        <v>0</v>
      </c>
      <c r="CT44" s="4762">
        <f t="shared" si="64"/>
        <v>0</v>
      </c>
      <c r="CU44" s="4762">
        <f t="shared" si="64"/>
        <v>0</v>
      </c>
      <c r="CV44" s="4762">
        <f t="shared" si="64"/>
        <v>0</v>
      </c>
      <c r="CW44" s="4762">
        <f t="shared" si="64"/>
        <v>0</v>
      </c>
      <c r="CX44" s="4762">
        <f t="shared" si="64"/>
        <v>0</v>
      </c>
      <c r="CY44" s="4762">
        <f t="shared" si="64"/>
        <v>0</v>
      </c>
      <c r="CZ44" s="4762">
        <f t="shared" si="64"/>
        <v>0</v>
      </c>
      <c r="DA44" s="4762">
        <f t="shared" si="64"/>
        <v>0</v>
      </c>
      <c r="DB44" s="4762">
        <f t="shared" si="64"/>
        <v>0</v>
      </c>
      <c r="DC44" s="4762">
        <f t="shared" si="64"/>
        <v>0</v>
      </c>
      <c r="DD44" s="4762">
        <f t="shared" si="64"/>
        <v>0</v>
      </c>
      <c r="DE44" s="4762">
        <f t="shared" si="64"/>
        <v>0</v>
      </c>
      <c r="DF44" s="4762">
        <f t="shared" si="64"/>
        <v>0</v>
      </c>
      <c r="DG44" s="4762">
        <f t="shared" si="64"/>
        <v>0</v>
      </c>
      <c r="DH44" s="4762">
        <f t="shared" si="64"/>
        <v>0</v>
      </c>
      <c r="DI44" s="4762">
        <f t="shared" si="64"/>
        <v>0</v>
      </c>
      <c r="DJ44" s="4762">
        <f t="shared" si="64"/>
        <v>0</v>
      </c>
      <c r="DK44" s="4762">
        <f t="shared" si="64"/>
        <v>0</v>
      </c>
      <c r="DL44" s="4762">
        <f t="shared" ref="DL44:EQ44" si="65">SUMIF($3:$3,DL$33,19:19)*DL$53/DL$54/100</f>
        <v>0</v>
      </c>
      <c r="DM44" s="4762">
        <f t="shared" si="65"/>
        <v>0</v>
      </c>
      <c r="DN44" s="4762">
        <f t="shared" si="65"/>
        <v>0</v>
      </c>
      <c r="DO44" s="4762">
        <f t="shared" si="65"/>
        <v>0</v>
      </c>
      <c r="DP44" s="4762">
        <f t="shared" si="65"/>
        <v>0</v>
      </c>
      <c r="DQ44" s="4762">
        <f t="shared" si="65"/>
        <v>0</v>
      </c>
      <c r="DR44" s="4762">
        <f t="shared" si="65"/>
        <v>0</v>
      </c>
      <c r="DS44" s="4762">
        <f t="shared" si="65"/>
        <v>0</v>
      </c>
      <c r="DT44" s="4762">
        <f t="shared" si="65"/>
        <v>0</v>
      </c>
      <c r="DU44" s="4762">
        <f t="shared" si="65"/>
        <v>0</v>
      </c>
      <c r="DV44" s="4762">
        <f t="shared" si="65"/>
        <v>0</v>
      </c>
      <c r="DW44" s="4762">
        <f t="shared" si="65"/>
        <v>0</v>
      </c>
      <c r="DX44" s="4762">
        <f t="shared" si="65"/>
        <v>0</v>
      </c>
      <c r="DY44" s="4762">
        <f t="shared" si="65"/>
        <v>0</v>
      </c>
      <c r="DZ44" s="4762">
        <f t="shared" si="65"/>
        <v>0</v>
      </c>
      <c r="EA44" s="4762">
        <f t="shared" si="65"/>
        <v>0</v>
      </c>
      <c r="EB44" s="4762">
        <f t="shared" si="65"/>
        <v>0</v>
      </c>
      <c r="EC44" s="4762">
        <f t="shared" si="65"/>
        <v>0</v>
      </c>
      <c r="ED44" s="4762">
        <f t="shared" si="65"/>
        <v>0</v>
      </c>
      <c r="EE44" s="4762">
        <f t="shared" si="65"/>
        <v>0</v>
      </c>
      <c r="EF44" s="4762">
        <f t="shared" si="65"/>
        <v>0</v>
      </c>
      <c r="EG44" s="4762">
        <f t="shared" si="65"/>
        <v>0</v>
      </c>
      <c r="EH44" s="4762">
        <f t="shared" si="65"/>
        <v>0</v>
      </c>
      <c r="EI44" s="4762">
        <f t="shared" si="65"/>
        <v>0</v>
      </c>
      <c r="EJ44" s="4762">
        <f t="shared" si="65"/>
        <v>0</v>
      </c>
      <c r="EK44" s="4762">
        <f t="shared" si="65"/>
        <v>0</v>
      </c>
      <c r="EL44" s="4762">
        <f t="shared" si="65"/>
        <v>0</v>
      </c>
      <c r="EM44" s="4762">
        <f t="shared" si="65"/>
        <v>0</v>
      </c>
      <c r="EN44" s="4762">
        <f t="shared" si="65"/>
        <v>0</v>
      </c>
      <c r="EO44" s="4762">
        <f t="shared" si="65"/>
        <v>0</v>
      </c>
      <c r="EP44" s="4762">
        <f t="shared" si="65"/>
        <v>0</v>
      </c>
      <c r="EQ44" s="4762">
        <f t="shared" si="65"/>
        <v>0</v>
      </c>
      <c r="ER44" s="4762">
        <f t="shared" ref="ER44:FW44" si="66">SUMIF($3:$3,ER$33,19:19)*ER$53/ER$54/100</f>
        <v>0</v>
      </c>
      <c r="ES44" s="4762">
        <f t="shared" si="66"/>
        <v>0</v>
      </c>
      <c r="ET44" s="4762">
        <f t="shared" si="66"/>
        <v>0</v>
      </c>
      <c r="EU44" s="4762">
        <f t="shared" si="66"/>
        <v>0</v>
      </c>
      <c r="EV44" s="4762">
        <f t="shared" si="66"/>
        <v>0</v>
      </c>
      <c r="EW44" s="4762">
        <f t="shared" si="66"/>
        <v>0</v>
      </c>
      <c r="EX44" s="4762">
        <f t="shared" si="66"/>
        <v>0</v>
      </c>
      <c r="EY44" s="4762">
        <f t="shared" si="66"/>
        <v>0</v>
      </c>
      <c r="EZ44" s="4762">
        <f t="shared" si="66"/>
        <v>0</v>
      </c>
      <c r="FA44" s="4762">
        <f t="shared" si="66"/>
        <v>0</v>
      </c>
      <c r="FB44" s="4762">
        <f t="shared" si="66"/>
        <v>0</v>
      </c>
      <c r="FC44" s="4762">
        <f t="shared" si="66"/>
        <v>0</v>
      </c>
      <c r="FD44" s="4762">
        <f t="shared" si="66"/>
        <v>0</v>
      </c>
      <c r="FE44" s="4762">
        <f t="shared" si="66"/>
        <v>0</v>
      </c>
      <c r="FF44" s="4762">
        <f t="shared" si="66"/>
        <v>0</v>
      </c>
      <c r="FG44" s="4762">
        <f t="shared" si="66"/>
        <v>0</v>
      </c>
      <c r="FH44" s="4762">
        <f t="shared" si="66"/>
        <v>0</v>
      </c>
      <c r="FI44" s="4762">
        <f t="shared" si="66"/>
        <v>0</v>
      </c>
      <c r="FJ44" s="4762">
        <f t="shared" si="66"/>
        <v>0</v>
      </c>
      <c r="FK44" s="4762">
        <f t="shared" si="66"/>
        <v>0</v>
      </c>
      <c r="FL44" s="4762">
        <f t="shared" si="66"/>
        <v>0</v>
      </c>
      <c r="FM44" s="4762">
        <f t="shared" si="66"/>
        <v>0</v>
      </c>
      <c r="FN44" s="4762">
        <f t="shared" si="66"/>
        <v>0</v>
      </c>
      <c r="FO44" s="4762">
        <f t="shared" si="66"/>
        <v>0</v>
      </c>
      <c r="FP44" s="4762">
        <f t="shared" si="66"/>
        <v>0</v>
      </c>
      <c r="FQ44" s="4762">
        <f t="shared" si="66"/>
        <v>0</v>
      </c>
      <c r="FR44" s="4762">
        <f t="shared" si="66"/>
        <v>0</v>
      </c>
      <c r="FS44" s="4762">
        <f t="shared" si="66"/>
        <v>0</v>
      </c>
      <c r="FT44" s="4762">
        <f t="shared" si="66"/>
        <v>0</v>
      </c>
      <c r="FU44" s="4762">
        <f t="shared" si="66"/>
        <v>0</v>
      </c>
      <c r="FV44" s="4762">
        <f t="shared" si="66"/>
        <v>0</v>
      </c>
      <c r="FW44" s="4762">
        <f t="shared" si="66"/>
        <v>0</v>
      </c>
      <c r="FX44" s="4762">
        <f t="shared" ref="FX44:GE44" si="67">SUMIF($3:$3,FX$33,19:19)*FX$53/FX$54/100</f>
        <v>0</v>
      </c>
      <c r="FY44" s="4762">
        <f t="shared" si="67"/>
        <v>0</v>
      </c>
      <c r="FZ44" s="4762">
        <f t="shared" si="67"/>
        <v>0</v>
      </c>
      <c r="GA44" s="4762">
        <f t="shared" si="67"/>
        <v>0</v>
      </c>
      <c r="GB44" s="4762">
        <f t="shared" si="67"/>
        <v>0</v>
      </c>
      <c r="GC44" s="4762">
        <f t="shared" si="67"/>
        <v>0</v>
      </c>
      <c r="GD44" s="4762">
        <f t="shared" si="67"/>
        <v>0</v>
      </c>
      <c r="GE44" s="4845">
        <f t="shared" si="67"/>
        <v>0</v>
      </c>
      <c r="GF44" s="923"/>
    </row>
    <row r="45" spans="1:188" s="302" customFormat="1" ht="17.100000000000001" customHeight="1" thickBot="1">
      <c r="A45" s="787"/>
      <c r="C45" s="4882" t="s">
        <v>1117</v>
      </c>
      <c r="D45" s="4883"/>
      <c r="E45" s="4884"/>
      <c r="F45" s="4885">
        <f t="shared" si="26"/>
        <v>35.346337197168317</v>
      </c>
      <c r="G45" s="4886"/>
      <c r="H45" s="4887">
        <v>2.56962</v>
      </c>
      <c r="I45" s="4887">
        <v>2.2547839999999999</v>
      </c>
      <c r="J45" s="4887">
        <v>1.999498</v>
      </c>
      <c r="K45" s="4887">
        <v>2.0153400000000001</v>
      </c>
      <c r="L45" s="4887">
        <v>1.5828800000000003</v>
      </c>
      <c r="M45" s="4887">
        <v>1.656428</v>
      </c>
      <c r="N45" s="4887">
        <v>1.6404800000000002</v>
      </c>
      <c r="O45" s="4887">
        <v>1.5276760000000005</v>
      </c>
      <c r="P45" s="4888">
        <f>'자금운영(현금)'!BF13-'자금운영(현금)'!BF14</f>
        <v>1.614312</v>
      </c>
      <c r="Q45" s="4888">
        <f>'자금운영(현금)'!BG13-'자금운영(현금)'!BG14</f>
        <v>1.5839800000000004</v>
      </c>
      <c r="R45" s="4888">
        <f>'자금운영(현금)'!BH13-'자금운영(현금)'!BH14</f>
        <v>1.54514</v>
      </c>
      <c r="S45" s="4888">
        <f>'자금운영(현금)'!BI13-'자금운영(현금)'!BI14</f>
        <v>1.52874</v>
      </c>
      <c r="T45" s="4889">
        <v>1.5053399999999999</v>
      </c>
      <c r="U45" s="4889">
        <v>1.4789399999999997</v>
      </c>
      <c r="V45" s="4889">
        <v>1.49594</v>
      </c>
      <c r="W45" s="4889">
        <v>1.5149400000000002</v>
      </c>
      <c r="X45" s="4890">
        <f t="shared" ref="X45:AC45" si="68">X46</f>
        <v>0.77219800000000005</v>
      </c>
      <c r="Y45" s="4890">
        <f t="shared" si="68"/>
        <v>0.77219800000000005</v>
      </c>
      <c r="Z45" s="4890">
        <f t="shared" si="68"/>
        <v>0.77219800000000005</v>
      </c>
      <c r="AA45" s="4890">
        <f t="shared" si="68"/>
        <v>0.77219800000000005</v>
      </c>
      <c r="AB45" s="4890">
        <f t="shared" si="68"/>
        <v>0.35333799999999999</v>
      </c>
      <c r="AC45" s="4890">
        <f t="shared" si="68"/>
        <v>0.35333799999999999</v>
      </c>
      <c r="AD45" s="4891">
        <f>AD46/2</f>
        <v>0.17666899999999999</v>
      </c>
      <c r="AE45" s="4891">
        <f t="shared" ref="AE45:CP45" si="69">AE46/2</f>
        <v>0.17666899999999999</v>
      </c>
      <c r="AF45" s="4891">
        <f t="shared" si="69"/>
        <v>0.1253378</v>
      </c>
      <c r="AG45" s="4891">
        <f t="shared" si="69"/>
        <v>0.1253378</v>
      </c>
      <c r="AH45" s="4891">
        <f t="shared" si="69"/>
        <v>0.1253378</v>
      </c>
      <c r="AI45" s="4891">
        <f t="shared" si="69"/>
        <v>0.1253378</v>
      </c>
      <c r="AJ45" s="4891">
        <f t="shared" si="69"/>
        <v>0.12547671499999999</v>
      </c>
      <c r="AK45" s="4891">
        <f t="shared" si="69"/>
        <v>0.12547671499999999</v>
      </c>
      <c r="AL45" s="4891">
        <f t="shared" si="69"/>
        <v>0.12547671499999999</v>
      </c>
      <c r="AM45" s="4891">
        <f t="shared" si="69"/>
        <v>0.12547671499999999</v>
      </c>
      <c r="AN45" s="4891">
        <f t="shared" si="69"/>
        <v>0.12547671499999999</v>
      </c>
      <c r="AO45" s="4891">
        <f t="shared" si="69"/>
        <v>0.12547671499999999</v>
      </c>
      <c r="AP45" s="4891">
        <f t="shared" si="69"/>
        <v>0.12547671499999999</v>
      </c>
      <c r="AQ45" s="4891">
        <f t="shared" si="69"/>
        <v>0.12547671499999999</v>
      </c>
      <c r="AR45" s="4891">
        <f t="shared" si="69"/>
        <v>0.12722968999999998</v>
      </c>
      <c r="AS45" s="4891">
        <f t="shared" si="69"/>
        <v>0.12722968999999998</v>
      </c>
      <c r="AT45" s="4891">
        <f t="shared" si="69"/>
        <v>0.12722968999999998</v>
      </c>
      <c r="AU45" s="4891">
        <f t="shared" si="69"/>
        <v>0.12722968999999998</v>
      </c>
      <c r="AV45" s="4891">
        <f t="shared" si="69"/>
        <v>0.12737555074999998</v>
      </c>
      <c r="AW45" s="4891">
        <f t="shared" si="69"/>
        <v>0.12737555074999998</v>
      </c>
      <c r="AX45" s="4891">
        <f t="shared" si="69"/>
        <v>0.12737555074999998</v>
      </c>
      <c r="AY45" s="4891">
        <f t="shared" si="69"/>
        <v>0.12737555074999998</v>
      </c>
      <c r="AZ45" s="4891">
        <f t="shared" si="69"/>
        <v>0.12737555074999998</v>
      </c>
      <c r="BA45" s="4891">
        <f t="shared" si="69"/>
        <v>0.12737555074999998</v>
      </c>
      <c r="BB45" s="4891">
        <f t="shared" si="69"/>
        <v>0.12737555074999998</v>
      </c>
      <c r="BC45" s="4891">
        <f t="shared" si="69"/>
        <v>0.12737555074999998</v>
      </c>
      <c r="BD45" s="4891">
        <f t="shared" si="69"/>
        <v>0.1292161745</v>
      </c>
      <c r="BE45" s="4891">
        <f t="shared" si="69"/>
        <v>0.1292161745</v>
      </c>
      <c r="BF45" s="4891">
        <f t="shared" si="69"/>
        <v>0.1292161745</v>
      </c>
      <c r="BG45" s="4891">
        <f t="shared" si="69"/>
        <v>0.1292161745</v>
      </c>
      <c r="BH45" s="4891">
        <f t="shared" si="69"/>
        <v>0.1293693282875</v>
      </c>
      <c r="BI45" s="4891">
        <f t="shared" si="69"/>
        <v>0.1293693282875</v>
      </c>
      <c r="BJ45" s="4891">
        <f t="shared" si="69"/>
        <v>0.1293693282875</v>
      </c>
      <c r="BK45" s="4891">
        <f t="shared" si="69"/>
        <v>0.1293693282875</v>
      </c>
      <c r="BL45" s="4891">
        <f t="shared" si="69"/>
        <v>0.1293693282875</v>
      </c>
      <c r="BM45" s="4891">
        <f t="shared" si="69"/>
        <v>0.1293693282875</v>
      </c>
      <c r="BN45" s="4891">
        <f t="shared" si="69"/>
        <v>0.1293693282875</v>
      </c>
      <c r="BO45" s="4891">
        <f t="shared" si="69"/>
        <v>0.1293693282875</v>
      </c>
      <c r="BP45" s="4891">
        <f t="shared" si="69"/>
        <v>0.13130198322499997</v>
      </c>
      <c r="BQ45" s="4891">
        <f t="shared" si="69"/>
        <v>0.13130198322499997</v>
      </c>
      <c r="BR45" s="4891">
        <f t="shared" si="69"/>
        <v>0.13130198322499997</v>
      </c>
      <c r="BS45" s="4891">
        <f t="shared" si="69"/>
        <v>0.13130198322499997</v>
      </c>
      <c r="BT45" s="4891">
        <f t="shared" si="69"/>
        <v>0.131462794701875</v>
      </c>
      <c r="BU45" s="4891">
        <f t="shared" si="69"/>
        <v>0.131462794701875</v>
      </c>
      <c r="BV45" s="4891">
        <f t="shared" si="69"/>
        <v>0.131462794701875</v>
      </c>
      <c r="BW45" s="4891">
        <f t="shared" si="69"/>
        <v>0.131462794701875</v>
      </c>
      <c r="BX45" s="4891">
        <f t="shared" si="69"/>
        <v>0.131462794701875</v>
      </c>
      <c r="BY45" s="4891">
        <f t="shared" si="69"/>
        <v>0.131462794701875</v>
      </c>
      <c r="BZ45" s="4891">
        <f t="shared" si="69"/>
        <v>0.131462794701875</v>
      </c>
      <c r="CA45" s="4891">
        <f t="shared" si="69"/>
        <v>0.131462794701875</v>
      </c>
      <c r="CB45" s="4891">
        <f t="shared" si="69"/>
        <v>0.13349208238625002</v>
      </c>
      <c r="CC45" s="4891">
        <f t="shared" si="69"/>
        <v>0.13349208238625002</v>
      </c>
      <c r="CD45" s="4891">
        <f t="shared" si="69"/>
        <v>0.13349208238625002</v>
      </c>
      <c r="CE45" s="4891">
        <f t="shared" si="69"/>
        <v>0.13349208238625002</v>
      </c>
      <c r="CF45" s="4891">
        <f t="shared" si="69"/>
        <v>0.13366093443696875</v>
      </c>
      <c r="CG45" s="4891">
        <f t="shared" si="69"/>
        <v>0.13366093443696875</v>
      </c>
      <c r="CH45" s="4891">
        <f t="shared" si="69"/>
        <v>0.13366093443696875</v>
      </c>
      <c r="CI45" s="4891">
        <f t="shared" si="69"/>
        <v>0.13366093443696875</v>
      </c>
      <c r="CJ45" s="4891">
        <f t="shared" si="69"/>
        <v>0.13366093443696875</v>
      </c>
      <c r="CK45" s="4891">
        <f t="shared" si="69"/>
        <v>0.13366093443696875</v>
      </c>
      <c r="CL45" s="4891">
        <f t="shared" si="69"/>
        <v>0.13366093443696875</v>
      </c>
      <c r="CM45" s="4891">
        <f t="shared" si="69"/>
        <v>0.13366093443696875</v>
      </c>
      <c r="CN45" s="4891">
        <f t="shared" si="69"/>
        <v>0.1357916865055625</v>
      </c>
      <c r="CO45" s="4891">
        <f t="shared" si="69"/>
        <v>0.1357916865055625</v>
      </c>
      <c r="CP45" s="4891">
        <f t="shared" si="69"/>
        <v>0.1357916865055625</v>
      </c>
      <c r="CQ45" s="4891">
        <f t="shared" ref="CQ45:FB45" si="70">CQ46/2</f>
        <v>0.1357916865055625</v>
      </c>
      <c r="CR45" s="4891">
        <f t="shared" si="70"/>
        <v>0.1359689811588172</v>
      </c>
      <c r="CS45" s="4891">
        <f t="shared" si="70"/>
        <v>0.1359689811588172</v>
      </c>
      <c r="CT45" s="4891">
        <f t="shared" si="70"/>
        <v>0.1359689811588172</v>
      </c>
      <c r="CU45" s="4891">
        <f t="shared" si="70"/>
        <v>0.1359689811588172</v>
      </c>
      <c r="CV45" s="4891">
        <f t="shared" si="70"/>
        <v>0.1359689811588172</v>
      </c>
      <c r="CW45" s="4891">
        <f t="shared" si="70"/>
        <v>0.1359689811588172</v>
      </c>
      <c r="CX45" s="4891">
        <f t="shared" si="70"/>
        <v>0.1359689811588172</v>
      </c>
      <c r="CY45" s="4891">
        <f t="shared" si="70"/>
        <v>0.1359689811588172</v>
      </c>
      <c r="CZ45" s="4891">
        <f t="shared" si="70"/>
        <v>0.13820627083084061</v>
      </c>
      <c r="DA45" s="4891">
        <f t="shared" si="70"/>
        <v>0.13820627083084061</v>
      </c>
      <c r="DB45" s="4891">
        <f t="shared" si="70"/>
        <v>0.13820627083084061</v>
      </c>
      <c r="DC45" s="4891">
        <f t="shared" si="70"/>
        <v>0.13820627083084061</v>
      </c>
      <c r="DD45" s="4891">
        <f t="shared" si="70"/>
        <v>0.13839243021675804</v>
      </c>
      <c r="DE45" s="4891">
        <f t="shared" si="70"/>
        <v>0.13839243021675804</v>
      </c>
      <c r="DF45" s="4891">
        <f t="shared" si="70"/>
        <v>0.13839243021675804</v>
      </c>
      <c r="DG45" s="4891">
        <f t="shared" si="70"/>
        <v>0.13839243021675804</v>
      </c>
      <c r="DH45" s="4891">
        <f t="shared" si="70"/>
        <v>0.13839243021675804</v>
      </c>
      <c r="DI45" s="4891">
        <f t="shared" si="70"/>
        <v>0.13839243021675804</v>
      </c>
      <c r="DJ45" s="4891">
        <f t="shared" si="70"/>
        <v>0.13839243021675804</v>
      </c>
      <c r="DK45" s="4891">
        <f t="shared" si="70"/>
        <v>0.13839243021675804</v>
      </c>
      <c r="DL45" s="4891">
        <f t="shared" si="70"/>
        <v>0.14074158437238263</v>
      </c>
      <c r="DM45" s="4891">
        <f t="shared" si="70"/>
        <v>0.14074158437238263</v>
      </c>
      <c r="DN45" s="4891">
        <f t="shared" si="70"/>
        <v>0.14074158437238263</v>
      </c>
      <c r="DO45" s="4891">
        <f t="shared" si="70"/>
        <v>0.14074158437238263</v>
      </c>
      <c r="DP45" s="4891">
        <f t="shared" si="70"/>
        <v>0.14093705172759594</v>
      </c>
      <c r="DQ45" s="4891">
        <f t="shared" si="70"/>
        <v>0.14093705172759594</v>
      </c>
      <c r="DR45" s="4891">
        <f t="shared" si="70"/>
        <v>0.14093705172759594</v>
      </c>
      <c r="DS45" s="4891">
        <f t="shared" si="70"/>
        <v>0.14093705172759594</v>
      </c>
      <c r="DT45" s="4891">
        <f t="shared" si="70"/>
        <v>0.14093705172759594</v>
      </c>
      <c r="DU45" s="4891">
        <f t="shared" si="70"/>
        <v>0.14093705172759594</v>
      </c>
      <c r="DV45" s="4891">
        <f t="shared" si="70"/>
        <v>0.14093705172759594</v>
      </c>
      <c r="DW45" s="4891">
        <f t="shared" si="70"/>
        <v>0.14093705172759594</v>
      </c>
      <c r="DX45" s="4891">
        <f t="shared" si="70"/>
        <v>0.14340366359100179</v>
      </c>
      <c r="DY45" s="4891">
        <f t="shared" si="70"/>
        <v>0.14340366359100179</v>
      </c>
      <c r="DZ45" s="4891">
        <f t="shared" si="70"/>
        <v>0.14340366359100179</v>
      </c>
      <c r="EA45" s="4891">
        <f t="shared" si="70"/>
        <v>0.14340366359100179</v>
      </c>
      <c r="EB45" s="4891">
        <f t="shared" si="70"/>
        <v>0.14360890431397574</v>
      </c>
      <c r="EC45" s="4891">
        <f t="shared" si="70"/>
        <v>0.14360890431397574</v>
      </c>
      <c r="ED45" s="4891">
        <f t="shared" si="70"/>
        <v>0.14360890431397574</v>
      </c>
      <c r="EE45" s="4891">
        <f t="shared" si="70"/>
        <v>0.14360890431397574</v>
      </c>
      <c r="EF45" s="4891">
        <f t="shared" si="70"/>
        <v>0.14360890431397574</v>
      </c>
      <c r="EG45" s="4891">
        <f t="shared" si="70"/>
        <v>0.14360890431397574</v>
      </c>
      <c r="EH45" s="4891">
        <f t="shared" si="70"/>
        <v>0.14360890431397574</v>
      </c>
      <c r="EI45" s="4891">
        <f t="shared" si="70"/>
        <v>0.14360890431397574</v>
      </c>
      <c r="EJ45" s="4891">
        <f t="shared" si="70"/>
        <v>0.14619884677055187</v>
      </c>
      <c r="EK45" s="4891">
        <f t="shared" si="70"/>
        <v>0.14619884677055187</v>
      </c>
      <c r="EL45" s="4891">
        <f t="shared" si="70"/>
        <v>0.14619884677055187</v>
      </c>
      <c r="EM45" s="4891">
        <f t="shared" si="70"/>
        <v>0.14619884677055187</v>
      </c>
      <c r="EN45" s="4891">
        <f t="shared" si="70"/>
        <v>0.14641434952967453</v>
      </c>
      <c r="EO45" s="4891">
        <f t="shared" si="70"/>
        <v>0.14641434952967453</v>
      </c>
      <c r="EP45" s="4891">
        <f t="shared" si="70"/>
        <v>0.14641434952967453</v>
      </c>
      <c r="EQ45" s="4891">
        <f t="shared" si="70"/>
        <v>0.14641434952967453</v>
      </c>
      <c r="ER45" s="4891">
        <f t="shared" si="70"/>
        <v>0.14641434952967453</v>
      </c>
      <c r="ES45" s="4891">
        <f t="shared" si="70"/>
        <v>0.14641434952967453</v>
      </c>
      <c r="ET45" s="4891">
        <f t="shared" si="70"/>
        <v>0.14641434952967453</v>
      </c>
      <c r="EU45" s="4891">
        <f t="shared" si="70"/>
        <v>0.14641434952967453</v>
      </c>
      <c r="EV45" s="4891">
        <f t="shared" si="70"/>
        <v>0.14913378910907946</v>
      </c>
      <c r="EW45" s="4891">
        <f t="shared" si="70"/>
        <v>0.14913378910907946</v>
      </c>
      <c r="EX45" s="4891">
        <f t="shared" si="70"/>
        <v>0.14913378910907946</v>
      </c>
      <c r="EY45" s="4891">
        <f t="shared" si="70"/>
        <v>0.14913378910907946</v>
      </c>
      <c r="EZ45" s="4891">
        <f t="shared" si="70"/>
        <v>0.14936006700615825</v>
      </c>
      <c r="FA45" s="4891">
        <f t="shared" si="70"/>
        <v>0.14936006700615825</v>
      </c>
      <c r="FB45" s="4891">
        <f t="shared" si="70"/>
        <v>0.14936006700615825</v>
      </c>
      <c r="FC45" s="4891">
        <f t="shared" ref="FC45:GE45" si="71">FC46/2</f>
        <v>0.14936006700615825</v>
      </c>
      <c r="FD45" s="4891">
        <f t="shared" si="71"/>
        <v>0.14936006700615825</v>
      </c>
      <c r="FE45" s="4891">
        <f t="shared" si="71"/>
        <v>0.14936006700615825</v>
      </c>
      <c r="FF45" s="4891">
        <f t="shared" si="71"/>
        <v>0.14936006700615825</v>
      </c>
      <c r="FG45" s="4891">
        <f t="shared" si="71"/>
        <v>0.14936006700615825</v>
      </c>
      <c r="FH45" s="4891">
        <f t="shared" si="71"/>
        <v>0.15221547856453346</v>
      </c>
      <c r="FI45" s="4891">
        <f t="shared" si="71"/>
        <v>0.15221547856453346</v>
      </c>
      <c r="FJ45" s="4891">
        <f t="shared" si="71"/>
        <v>0.15221547856453346</v>
      </c>
      <c r="FK45" s="4891">
        <f t="shared" si="71"/>
        <v>0.15221547856453346</v>
      </c>
      <c r="FL45" s="4891">
        <f t="shared" si="71"/>
        <v>0.15245307035646621</v>
      </c>
      <c r="FM45" s="4891">
        <f t="shared" si="71"/>
        <v>0.15245307035646621</v>
      </c>
      <c r="FN45" s="4891">
        <f t="shared" si="71"/>
        <v>0</v>
      </c>
      <c r="FO45" s="4891">
        <f t="shared" si="71"/>
        <v>0</v>
      </c>
      <c r="FP45" s="4891">
        <f t="shared" si="71"/>
        <v>0</v>
      </c>
      <c r="FQ45" s="4891">
        <f t="shared" si="71"/>
        <v>0</v>
      </c>
      <c r="FR45" s="4891">
        <f t="shared" si="71"/>
        <v>0</v>
      </c>
      <c r="FS45" s="4891">
        <f t="shared" si="71"/>
        <v>0</v>
      </c>
      <c r="FT45" s="4891">
        <f t="shared" si="71"/>
        <v>0</v>
      </c>
      <c r="FU45" s="4891">
        <f t="shared" si="71"/>
        <v>0</v>
      </c>
      <c r="FV45" s="4891">
        <f t="shared" si="71"/>
        <v>0</v>
      </c>
      <c r="FW45" s="4891">
        <f t="shared" si="71"/>
        <v>0</v>
      </c>
      <c r="FX45" s="4891">
        <f t="shared" si="71"/>
        <v>0</v>
      </c>
      <c r="FY45" s="4891">
        <f t="shared" si="71"/>
        <v>0</v>
      </c>
      <c r="FZ45" s="4891">
        <f t="shared" si="71"/>
        <v>0</v>
      </c>
      <c r="GA45" s="4891">
        <f t="shared" si="71"/>
        <v>0</v>
      </c>
      <c r="GB45" s="4891">
        <f t="shared" si="71"/>
        <v>0</v>
      </c>
      <c r="GC45" s="4891">
        <f t="shared" si="71"/>
        <v>0</v>
      </c>
      <c r="GD45" s="4891">
        <f t="shared" si="71"/>
        <v>0</v>
      </c>
      <c r="GE45" s="4892">
        <f t="shared" si="71"/>
        <v>0</v>
      </c>
    </row>
    <row r="46" spans="1:188" s="302" customFormat="1" ht="17.100000000000001" hidden="1" customHeight="1" outlineLevel="1">
      <c r="C46" s="4879"/>
      <c r="D46" s="952" t="s">
        <v>1128</v>
      </c>
      <c r="E46" s="924"/>
      <c r="F46" s="925">
        <f t="shared" si="26"/>
        <v>42.3625423943366</v>
      </c>
      <c r="G46" s="4777"/>
      <c r="H46" s="1879"/>
      <c r="I46" s="1879"/>
      <c r="J46" s="1879"/>
      <c r="K46" s="1879"/>
      <c r="L46" s="1879"/>
      <c r="M46" s="1879"/>
      <c r="N46" s="1879"/>
      <c r="O46" s="1879"/>
      <c r="P46" s="4880"/>
      <c r="Q46" s="4880"/>
      <c r="R46" s="4880"/>
      <c r="S46" s="4880"/>
      <c r="T46" s="1707"/>
      <c r="U46" s="1707"/>
      <c r="V46" s="1707"/>
      <c r="W46" s="1707"/>
      <c r="X46" s="1707">
        <f t="shared" ref="X46:BC46" si="72">SUMIF($3:$3,X$33,20:20)*X$53/X$54/100</f>
        <v>0.77219800000000005</v>
      </c>
      <c r="Y46" s="1707">
        <f t="shared" si="72"/>
        <v>0.77219800000000005</v>
      </c>
      <c r="Z46" s="1707">
        <f t="shared" si="72"/>
        <v>0.77219800000000005</v>
      </c>
      <c r="AA46" s="1707">
        <f t="shared" si="72"/>
        <v>0.77219800000000005</v>
      </c>
      <c r="AB46" s="1707">
        <f t="shared" si="72"/>
        <v>0.35333799999999999</v>
      </c>
      <c r="AC46" s="1707">
        <f t="shared" si="72"/>
        <v>0.35333799999999999</v>
      </c>
      <c r="AD46" s="1707">
        <f t="shared" si="72"/>
        <v>0.35333799999999999</v>
      </c>
      <c r="AE46" s="1707">
        <f t="shared" si="72"/>
        <v>0.35333799999999999</v>
      </c>
      <c r="AF46" s="1707">
        <f t="shared" si="72"/>
        <v>0.2506756</v>
      </c>
      <c r="AG46" s="1707">
        <f t="shared" si="72"/>
        <v>0.2506756</v>
      </c>
      <c r="AH46" s="1707">
        <f t="shared" si="72"/>
        <v>0.2506756</v>
      </c>
      <c r="AI46" s="1707">
        <f t="shared" si="72"/>
        <v>0.2506756</v>
      </c>
      <c r="AJ46" s="1707">
        <f t="shared" si="72"/>
        <v>0.25095342999999998</v>
      </c>
      <c r="AK46" s="1707">
        <f t="shared" si="72"/>
        <v>0.25095342999999998</v>
      </c>
      <c r="AL46" s="1707">
        <f t="shared" si="72"/>
        <v>0.25095342999999998</v>
      </c>
      <c r="AM46" s="1707">
        <f t="shared" si="72"/>
        <v>0.25095342999999998</v>
      </c>
      <c r="AN46" s="1707">
        <f t="shared" si="72"/>
        <v>0.25095342999999998</v>
      </c>
      <c r="AO46" s="1707">
        <f t="shared" si="72"/>
        <v>0.25095342999999998</v>
      </c>
      <c r="AP46" s="1707">
        <f t="shared" si="72"/>
        <v>0.25095342999999998</v>
      </c>
      <c r="AQ46" s="1707">
        <f t="shared" si="72"/>
        <v>0.25095342999999998</v>
      </c>
      <c r="AR46" s="1707">
        <f t="shared" si="72"/>
        <v>0.25445937999999996</v>
      </c>
      <c r="AS46" s="1707">
        <f t="shared" si="72"/>
        <v>0.25445937999999996</v>
      </c>
      <c r="AT46" s="1707">
        <f t="shared" si="72"/>
        <v>0.25445937999999996</v>
      </c>
      <c r="AU46" s="1707">
        <f t="shared" si="72"/>
        <v>0.25445937999999996</v>
      </c>
      <c r="AV46" s="1707">
        <f t="shared" si="72"/>
        <v>0.25475110149999997</v>
      </c>
      <c r="AW46" s="1707">
        <f t="shared" si="72"/>
        <v>0.25475110149999997</v>
      </c>
      <c r="AX46" s="1707">
        <f t="shared" si="72"/>
        <v>0.25475110149999997</v>
      </c>
      <c r="AY46" s="1707">
        <f t="shared" si="72"/>
        <v>0.25475110149999997</v>
      </c>
      <c r="AZ46" s="1707">
        <f t="shared" si="72"/>
        <v>0.25475110149999997</v>
      </c>
      <c r="BA46" s="1707">
        <f t="shared" si="72"/>
        <v>0.25475110149999997</v>
      </c>
      <c r="BB46" s="1707">
        <f t="shared" si="72"/>
        <v>0.25475110149999997</v>
      </c>
      <c r="BC46" s="1707">
        <f t="shared" si="72"/>
        <v>0.25475110149999997</v>
      </c>
      <c r="BD46" s="1707">
        <f t="shared" ref="BD46:CI46" si="73">SUMIF($3:$3,BD$33,20:20)*BD$53/BD$54/100</f>
        <v>0.25843234900000001</v>
      </c>
      <c r="BE46" s="1707">
        <f t="shared" si="73"/>
        <v>0.25843234900000001</v>
      </c>
      <c r="BF46" s="1707">
        <f t="shared" si="73"/>
        <v>0.25843234900000001</v>
      </c>
      <c r="BG46" s="1707">
        <f t="shared" si="73"/>
        <v>0.25843234900000001</v>
      </c>
      <c r="BH46" s="1707">
        <f t="shared" si="73"/>
        <v>0.258738656575</v>
      </c>
      <c r="BI46" s="1707">
        <f t="shared" si="73"/>
        <v>0.258738656575</v>
      </c>
      <c r="BJ46" s="1707">
        <f t="shared" si="73"/>
        <v>0.258738656575</v>
      </c>
      <c r="BK46" s="1707">
        <f t="shared" si="73"/>
        <v>0.258738656575</v>
      </c>
      <c r="BL46" s="1707">
        <f t="shared" si="73"/>
        <v>0.258738656575</v>
      </c>
      <c r="BM46" s="1707">
        <f t="shared" si="73"/>
        <v>0.258738656575</v>
      </c>
      <c r="BN46" s="1707">
        <f t="shared" si="73"/>
        <v>0.258738656575</v>
      </c>
      <c r="BO46" s="1707">
        <f t="shared" si="73"/>
        <v>0.258738656575</v>
      </c>
      <c r="BP46" s="1707">
        <f t="shared" si="73"/>
        <v>0.26260396644999995</v>
      </c>
      <c r="BQ46" s="1707">
        <f t="shared" si="73"/>
        <v>0.26260396644999995</v>
      </c>
      <c r="BR46" s="1707">
        <f t="shared" si="73"/>
        <v>0.26260396644999995</v>
      </c>
      <c r="BS46" s="1707">
        <f t="shared" si="73"/>
        <v>0.26260396644999995</v>
      </c>
      <c r="BT46" s="1707">
        <f t="shared" si="73"/>
        <v>0.26292558940374999</v>
      </c>
      <c r="BU46" s="1707">
        <f t="shared" si="73"/>
        <v>0.26292558940374999</v>
      </c>
      <c r="BV46" s="1707">
        <f t="shared" si="73"/>
        <v>0.26292558940374999</v>
      </c>
      <c r="BW46" s="1707">
        <f t="shared" si="73"/>
        <v>0.26292558940374999</v>
      </c>
      <c r="BX46" s="1707">
        <f t="shared" si="73"/>
        <v>0.26292558940374999</v>
      </c>
      <c r="BY46" s="1707">
        <f t="shared" si="73"/>
        <v>0.26292558940374999</v>
      </c>
      <c r="BZ46" s="1707">
        <f t="shared" si="73"/>
        <v>0.26292558940374999</v>
      </c>
      <c r="CA46" s="1707">
        <f t="shared" si="73"/>
        <v>0.26292558940374999</v>
      </c>
      <c r="CB46" s="1707">
        <f t="shared" si="73"/>
        <v>0.26698416477250003</v>
      </c>
      <c r="CC46" s="1707">
        <f t="shared" si="73"/>
        <v>0.26698416477250003</v>
      </c>
      <c r="CD46" s="1707">
        <f t="shared" si="73"/>
        <v>0.26698416477250003</v>
      </c>
      <c r="CE46" s="1707">
        <f t="shared" si="73"/>
        <v>0.26698416477250003</v>
      </c>
      <c r="CF46" s="1707">
        <f t="shared" si="73"/>
        <v>0.2673218688739375</v>
      </c>
      <c r="CG46" s="1707">
        <f t="shared" si="73"/>
        <v>0.2673218688739375</v>
      </c>
      <c r="CH46" s="1707">
        <f t="shared" si="73"/>
        <v>0.2673218688739375</v>
      </c>
      <c r="CI46" s="1707">
        <f t="shared" si="73"/>
        <v>0.2673218688739375</v>
      </c>
      <c r="CJ46" s="1707">
        <f t="shared" ref="CJ46:DO46" si="74">SUMIF($3:$3,CJ$33,20:20)*CJ$53/CJ$54/100</f>
        <v>0.2673218688739375</v>
      </c>
      <c r="CK46" s="1707">
        <f t="shared" si="74"/>
        <v>0.2673218688739375</v>
      </c>
      <c r="CL46" s="1707">
        <f t="shared" si="74"/>
        <v>0.2673218688739375</v>
      </c>
      <c r="CM46" s="1707">
        <f t="shared" si="74"/>
        <v>0.2673218688739375</v>
      </c>
      <c r="CN46" s="1707">
        <f t="shared" si="74"/>
        <v>0.27158337301112501</v>
      </c>
      <c r="CO46" s="1707">
        <f t="shared" si="74"/>
        <v>0.27158337301112501</v>
      </c>
      <c r="CP46" s="1707">
        <f t="shared" si="74"/>
        <v>0.27158337301112501</v>
      </c>
      <c r="CQ46" s="1707">
        <f t="shared" si="74"/>
        <v>0.27158337301112501</v>
      </c>
      <c r="CR46" s="1707">
        <f t="shared" si="74"/>
        <v>0.2719379623176344</v>
      </c>
      <c r="CS46" s="1707">
        <f t="shared" si="74"/>
        <v>0.2719379623176344</v>
      </c>
      <c r="CT46" s="1707">
        <f t="shared" si="74"/>
        <v>0.2719379623176344</v>
      </c>
      <c r="CU46" s="1707">
        <f t="shared" si="74"/>
        <v>0.2719379623176344</v>
      </c>
      <c r="CV46" s="1707">
        <f t="shared" si="74"/>
        <v>0.2719379623176344</v>
      </c>
      <c r="CW46" s="1707">
        <f t="shared" si="74"/>
        <v>0.2719379623176344</v>
      </c>
      <c r="CX46" s="1707">
        <f t="shared" si="74"/>
        <v>0.2719379623176344</v>
      </c>
      <c r="CY46" s="1707">
        <f t="shared" si="74"/>
        <v>0.2719379623176344</v>
      </c>
      <c r="CZ46" s="1707">
        <f t="shared" si="74"/>
        <v>0.27641254166168122</v>
      </c>
      <c r="DA46" s="1707">
        <f t="shared" si="74"/>
        <v>0.27641254166168122</v>
      </c>
      <c r="DB46" s="1707">
        <f t="shared" si="74"/>
        <v>0.27641254166168122</v>
      </c>
      <c r="DC46" s="1707">
        <f t="shared" si="74"/>
        <v>0.27641254166168122</v>
      </c>
      <c r="DD46" s="1707">
        <f t="shared" si="74"/>
        <v>0.27678486043351608</v>
      </c>
      <c r="DE46" s="1707">
        <f t="shared" si="74"/>
        <v>0.27678486043351608</v>
      </c>
      <c r="DF46" s="1707">
        <f t="shared" si="74"/>
        <v>0.27678486043351608</v>
      </c>
      <c r="DG46" s="1707">
        <f t="shared" si="74"/>
        <v>0.27678486043351608</v>
      </c>
      <c r="DH46" s="1707">
        <f t="shared" si="74"/>
        <v>0.27678486043351608</v>
      </c>
      <c r="DI46" s="1707">
        <f t="shared" si="74"/>
        <v>0.27678486043351608</v>
      </c>
      <c r="DJ46" s="1707">
        <f t="shared" si="74"/>
        <v>0.27678486043351608</v>
      </c>
      <c r="DK46" s="1707">
        <f t="shared" si="74"/>
        <v>0.27678486043351608</v>
      </c>
      <c r="DL46" s="1707">
        <f t="shared" si="74"/>
        <v>0.28148316874476526</v>
      </c>
      <c r="DM46" s="1707">
        <f t="shared" si="74"/>
        <v>0.28148316874476526</v>
      </c>
      <c r="DN46" s="1707">
        <f t="shared" si="74"/>
        <v>0.28148316874476526</v>
      </c>
      <c r="DO46" s="1707">
        <f t="shared" si="74"/>
        <v>0.28148316874476526</v>
      </c>
      <c r="DP46" s="1707">
        <f t="shared" ref="DP46:EU46" si="75">SUMIF($3:$3,DP$33,20:20)*DP$53/DP$54/100</f>
        <v>0.28187410345519187</v>
      </c>
      <c r="DQ46" s="1707">
        <f t="shared" si="75"/>
        <v>0.28187410345519187</v>
      </c>
      <c r="DR46" s="1707">
        <f t="shared" si="75"/>
        <v>0.28187410345519187</v>
      </c>
      <c r="DS46" s="1707">
        <f t="shared" si="75"/>
        <v>0.28187410345519187</v>
      </c>
      <c r="DT46" s="1707">
        <f t="shared" si="75"/>
        <v>0.28187410345519187</v>
      </c>
      <c r="DU46" s="1707">
        <f t="shared" si="75"/>
        <v>0.28187410345519187</v>
      </c>
      <c r="DV46" s="1707">
        <f t="shared" si="75"/>
        <v>0.28187410345519187</v>
      </c>
      <c r="DW46" s="1707">
        <f t="shared" si="75"/>
        <v>0.28187410345519187</v>
      </c>
      <c r="DX46" s="1707">
        <f t="shared" si="75"/>
        <v>0.28680732718200358</v>
      </c>
      <c r="DY46" s="1707">
        <f t="shared" si="75"/>
        <v>0.28680732718200358</v>
      </c>
      <c r="DZ46" s="1707">
        <f t="shared" si="75"/>
        <v>0.28680732718200358</v>
      </c>
      <c r="EA46" s="1707">
        <f t="shared" si="75"/>
        <v>0.28680732718200358</v>
      </c>
      <c r="EB46" s="1707">
        <f t="shared" si="75"/>
        <v>0.28721780862795149</v>
      </c>
      <c r="EC46" s="1707">
        <f t="shared" si="75"/>
        <v>0.28721780862795149</v>
      </c>
      <c r="ED46" s="1707">
        <f t="shared" si="75"/>
        <v>0.28721780862795149</v>
      </c>
      <c r="EE46" s="1707">
        <f t="shared" si="75"/>
        <v>0.28721780862795149</v>
      </c>
      <c r="EF46" s="1707">
        <f t="shared" si="75"/>
        <v>0.28721780862795149</v>
      </c>
      <c r="EG46" s="1707">
        <f t="shared" si="75"/>
        <v>0.28721780862795149</v>
      </c>
      <c r="EH46" s="1707">
        <f t="shared" si="75"/>
        <v>0.28721780862795149</v>
      </c>
      <c r="EI46" s="1707">
        <f t="shared" si="75"/>
        <v>0.28721780862795149</v>
      </c>
      <c r="EJ46" s="1707">
        <f t="shared" si="75"/>
        <v>0.29239769354110373</v>
      </c>
      <c r="EK46" s="1707">
        <f t="shared" si="75"/>
        <v>0.29239769354110373</v>
      </c>
      <c r="EL46" s="1707">
        <f t="shared" si="75"/>
        <v>0.29239769354110373</v>
      </c>
      <c r="EM46" s="1707">
        <f t="shared" si="75"/>
        <v>0.29239769354110373</v>
      </c>
      <c r="EN46" s="1707">
        <f t="shared" si="75"/>
        <v>0.29282869905934905</v>
      </c>
      <c r="EO46" s="1707">
        <f t="shared" si="75"/>
        <v>0.29282869905934905</v>
      </c>
      <c r="EP46" s="1707">
        <f t="shared" si="75"/>
        <v>0.29282869905934905</v>
      </c>
      <c r="EQ46" s="1707">
        <f t="shared" si="75"/>
        <v>0.29282869905934905</v>
      </c>
      <c r="ER46" s="1707">
        <f t="shared" si="75"/>
        <v>0.29282869905934905</v>
      </c>
      <c r="ES46" s="1707">
        <f t="shared" si="75"/>
        <v>0.29282869905934905</v>
      </c>
      <c r="ET46" s="1707">
        <f t="shared" si="75"/>
        <v>0.29282869905934905</v>
      </c>
      <c r="EU46" s="1707">
        <f t="shared" si="75"/>
        <v>0.29282869905934905</v>
      </c>
      <c r="EV46" s="1707">
        <f t="shared" ref="EV46:GE46" si="76">SUMIF($3:$3,EV$33,20:20)*EV$53/EV$54/100</f>
        <v>0.29826757821815891</v>
      </c>
      <c r="EW46" s="1707">
        <f t="shared" si="76"/>
        <v>0.29826757821815891</v>
      </c>
      <c r="EX46" s="1707">
        <f t="shared" si="76"/>
        <v>0.29826757821815891</v>
      </c>
      <c r="EY46" s="1707">
        <f t="shared" si="76"/>
        <v>0.29826757821815891</v>
      </c>
      <c r="EZ46" s="1707">
        <f t="shared" si="76"/>
        <v>0.29872013401231651</v>
      </c>
      <c r="FA46" s="1707">
        <f t="shared" si="76"/>
        <v>0.29872013401231651</v>
      </c>
      <c r="FB46" s="1707">
        <f t="shared" si="76"/>
        <v>0.29872013401231651</v>
      </c>
      <c r="FC46" s="1707">
        <f t="shared" si="76"/>
        <v>0.29872013401231651</v>
      </c>
      <c r="FD46" s="1707">
        <f t="shared" si="76"/>
        <v>0.29872013401231651</v>
      </c>
      <c r="FE46" s="1707">
        <f t="shared" si="76"/>
        <v>0.29872013401231651</v>
      </c>
      <c r="FF46" s="1707">
        <f t="shared" si="76"/>
        <v>0.29872013401231651</v>
      </c>
      <c r="FG46" s="1707">
        <f t="shared" si="76"/>
        <v>0.29872013401231651</v>
      </c>
      <c r="FH46" s="1707">
        <f t="shared" si="76"/>
        <v>0.30443095712906693</v>
      </c>
      <c r="FI46" s="1707">
        <f t="shared" si="76"/>
        <v>0.30443095712906693</v>
      </c>
      <c r="FJ46" s="1707">
        <f t="shared" si="76"/>
        <v>0.30443095712906693</v>
      </c>
      <c r="FK46" s="1707">
        <f t="shared" si="76"/>
        <v>0.30443095712906693</v>
      </c>
      <c r="FL46" s="1707">
        <f t="shared" si="76"/>
        <v>0.30490614071293243</v>
      </c>
      <c r="FM46" s="1707">
        <f t="shared" si="76"/>
        <v>0.30490614071293243</v>
      </c>
      <c r="FN46" s="1707">
        <f t="shared" si="76"/>
        <v>0</v>
      </c>
      <c r="FO46" s="1707">
        <f t="shared" si="76"/>
        <v>0</v>
      </c>
      <c r="FP46" s="1707">
        <f t="shared" si="76"/>
        <v>0</v>
      </c>
      <c r="FQ46" s="1707">
        <f t="shared" si="76"/>
        <v>0</v>
      </c>
      <c r="FR46" s="1707">
        <f t="shared" si="76"/>
        <v>0</v>
      </c>
      <c r="FS46" s="1707">
        <f t="shared" si="76"/>
        <v>0</v>
      </c>
      <c r="FT46" s="1707">
        <f t="shared" si="76"/>
        <v>0</v>
      </c>
      <c r="FU46" s="1707">
        <f t="shared" si="76"/>
        <v>0</v>
      </c>
      <c r="FV46" s="1707">
        <f t="shared" si="76"/>
        <v>0</v>
      </c>
      <c r="FW46" s="1707">
        <f t="shared" si="76"/>
        <v>0</v>
      </c>
      <c r="FX46" s="1707">
        <f t="shared" si="76"/>
        <v>0</v>
      </c>
      <c r="FY46" s="1707">
        <f t="shared" si="76"/>
        <v>0</v>
      </c>
      <c r="FZ46" s="1707">
        <f t="shared" si="76"/>
        <v>0</v>
      </c>
      <c r="GA46" s="1707">
        <f t="shared" si="76"/>
        <v>0</v>
      </c>
      <c r="GB46" s="1707">
        <f t="shared" si="76"/>
        <v>0</v>
      </c>
      <c r="GC46" s="1707">
        <f t="shared" si="76"/>
        <v>0</v>
      </c>
      <c r="GD46" s="1707">
        <f t="shared" si="76"/>
        <v>0</v>
      </c>
      <c r="GE46" s="4881">
        <f t="shared" si="76"/>
        <v>0</v>
      </c>
    </row>
    <row r="47" spans="1:188" s="302" customFormat="1" ht="17.100000000000001" hidden="1" customHeight="1" outlineLevel="1">
      <c r="C47" s="4779" t="s">
        <v>1129</v>
      </c>
      <c r="D47" s="4767"/>
      <c r="E47" s="4772"/>
      <c r="F47" s="4761">
        <f t="shared" si="26"/>
        <v>0</v>
      </c>
      <c r="G47" s="4777"/>
      <c r="H47" s="4844">
        <f t="shared" ref="H47:AH47" si="77">SUMIF($3:$3,H33,29:29)*(MONTH(H34)=12)</f>
        <v>0</v>
      </c>
      <c r="I47" s="4844">
        <f t="shared" si="77"/>
        <v>0</v>
      </c>
      <c r="J47" s="4844">
        <f t="shared" si="77"/>
        <v>0</v>
      </c>
      <c r="K47" s="4844">
        <f t="shared" si="77"/>
        <v>0</v>
      </c>
      <c r="L47" s="4844">
        <f t="shared" si="77"/>
        <v>0</v>
      </c>
      <c r="M47" s="4844">
        <f t="shared" si="77"/>
        <v>0</v>
      </c>
      <c r="N47" s="4844">
        <f t="shared" si="77"/>
        <v>0</v>
      </c>
      <c r="O47" s="4844">
        <f t="shared" si="77"/>
        <v>0</v>
      </c>
      <c r="P47" s="4849">
        <f t="shared" si="77"/>
        <v>0</v>
      </c>
      <c r="Q47" s="4849">
        <f t="shared" si="77"/>
        <v>0</v>
      </c>
      <c r="R47" s="4849">
        <f t="shared" si="77"/>
        <v>0</v>
      </c>
      <c r="S47" s="4849">
        <f t="shared" si="77"/>
        <v>0</v>
      </c>
      <c r="T47" s="4762">
        <f t="shared" si="77"/>
        <v>0</v>
      </c>
      <c r="U47" s="4762">
        <f t="shared" si="77"/>
        <v>0</v>
      </c>
      <c r="V47" s="4762">
        <f t="shared" si="77"/>
        <v>0</v>
      </c>
      <c r="W47" s="4762">
        <f t="shared" si="77"/>
        <v>0</v>
      </c>
      <c r="X47" s="4762">
        <f t="shared" si="77"/>
        <v>0</v>
      </c>
      <c r="Y47" s="4762">
        <f t="shared" si="77"/>
        <v>0</v>
      </c>
      <c r="Z47" s="4762">
        <f t="shared" si="77"/>
        <v>0</v>
      </c>
      <c r="AA47" s="4762">
        <f t="shared" si="77"/>
        <v>0</v>
      </c>
      <c r="AB47" s="4762">
        <f t="shared" si="77"/>
        <v>0</v>
      </c>
      <c r="AC47" s="4762">
        <f t="shared" si="77"/>
        <v>0</v>
      </c>
      <c r="AD47" s="4762">
        <f t="shared" si="77"/>
        <v>0</v>
      </c>
      <c r="AE47" s="4762">
        <f t="shared" si="77"/>
        <v>0</v>
      </c>
      <c r="AF47" s="4762">
        <f t="shared" si="77"/>
        <v>0</v>
      </c>
      <c r="AG47" s="4762">
        <f t="shared" si="77"/>
        <v>0</v>
      </c>
      <c r="AH47" s="4762">
        <f t="shared" si="77"/>
        <v>0</v>
      </c>
      <c r="AI47" s="4762">
        <f>SUMIF($3:$3,AI33,29:29)*(MONTH(AI34)=12)</f>
        <v>0</v>
      </c>
      <c r="AJ47" s="4762">
        <f t="shared" ref="AJ47:CU47" si="78">SUMIF($3:$3,AJ33,29:29)*(MONTH(AJ34)=12)</f>
        <v>0</v>
      </c>
      <c r="AK47" s="4762">
        <f t="shared" si="78"/>
        <v>0</v>
      </c>
      <c r="AL47" s="4762">
        <f t="shared" si="78"/>
        <v>0</v>
      </c>
      <c r="AM47" s="4762">
        <f t="shared" si="78"/>
        <v>0</v>
      </c>
      <c r="AN47" s="4762">
        <f t="shared" si="78"/>
        <v>0</v>
      </c>
      <c r="AO47" s="4762">
        <f t="shared" si="78"/>
        <v>0</v>
      </c>
      <c r="AP47" s="4762">
        <f t="shared" si="78"/>
        <v>0</v>
      </c>
      <c r="AQ47" s="4762">
        <f t="shared" si="78"/>
        <v>0</v>
      </c>
      <c r="AR47" s="4762">
        <f t="shared" si="78"/>
        <v>0</v>
      </c>
      <c r="AS47" s="4762">
        <f t="shared" si="78"/>
        <v>0</v>
      </c>
      <c r="AT47" s="4762">
        <f t="shared" si="78"/>
        <v>0</v>
      </c>
      <c r="AU47" s="4762">
        <f t="shared" si="78"/>
        <v>0</v>
      </c>
      <c r="AV47" s="4762">
        <f t="shared" si="78"/>
        <v>0</v>
      </c>
      <c r="AW47" s="4762">
        <f t="shared" si="78"/>
        <v>0</v>
      </c>
      <c r="AX47" s="4762">
        <f t="shared" si="78"/>
        <v>0</v>
      </c>
      <c r="AY47" s="4762">
        <f t="shared" si="78"/>
        <v>0</v>
      </c>
      <c r="AZ47" s="4762">
        <f t="shared" si="78"/>
        <v>0</v>
      </c>
      <c r="BA47" s="4762">
        <f t="shared" si="78"/>
        <v>0</v>
      </c>
      <c r="BB47" s="4762">
        <f t="shared" si="78"/>
        <v>0</v>
      </c>
      <c r="BC47" s="4762">
        <f t="shared" si="78"/>
        <v>0</v>
      </c>
      <c r="BD47" s="4762">
        <f t="shared" si="78"/>
        <v>0</v>
      </c>
      <c r="BE47" s="4762">
        <f t="shared" si="78"/>
        <v>0</v>
      </c>
      <c r="BF47" s="4762">
        <f t="shared" si="78"/>
        <v>0</v>
      </c>
      <c r="BG47" s="4762">
        <f t="shared" si="78"/>
        <v>0</v>
      </c>
      <c r="BH47" s="4762">
        <f t="shared" si="78"/>
        <v>0</v>
      </c>
      <c r="BI47" s="4762">
        <f t="shared" si="78"/>
        <v>0</v>
      </c>
      <c r="BJ47" s="4762">
        <f t="shared" si="78"/>
        <v>0</v>
      </c>
      <c r="BK47" s="4762">
        <f t="shared" si="78"/>
        <v>0</v>
      </c>
      <c r="BL47" s="4762">
        <f t="shared" si="78"/>
        <v>0</v>
      </c>
      <c r="BM47" s="4762">
        <f t="shared" si="78"/>
        <v>0</v>
      </c>
      <c r="BN47" s="4762">
        <f t="shared" si="78"/>
        <v>0</v>
      </c>
      <c r="BO47" s="4762">
        <f t="shared" si="78"/>
        <v>0</v>
      </c>
      <c r="BP47" s="4762">
        <f t="shared" si="78"/>
        <v>0</v>
      </c>
      <c r="BQ47" s="4762">
        <f t="shared" si="78"/>
        <v>0</v>
      </c>
      <c r="BR47" s="4762">
        <f t="shared" si="78"/>
        <v>0</v>
      </c>
      <c r="BS47" s="4762">
        <f t="shared" si="78"/>
        <v>0</v>
      </c>
      <c r="BT47" s="4762">
        <f t="shared" si="78"/>
        <v>0</v>
      </c>
      <c r="BU47" s="4762">
        <f t="shared" si="78"/>
        <v>0</v>
      </c>
      <c r="BV47" s="4762">
        <f t="shared" si="78"/>
        <v>0</v>
      </c>
      <c r="BW47" s="4762">
        <f t="shared" si="78"/>
        <v>0</v>
      </c>
      <c r="BX47" s="4762">
        <f t="shared" si="78"/>
        <v>0</v>
      </c>
      <c r="BY47" s="4762">
        <f t="shared" si="78"/>
        <v>0</v>
      </c>
      <c r="BZ47" s="4762">
        <f t="shared" si="78"/>
        <v>0</v>
      </c>
      <c r="CA47" s="4762">
        <f t="shared" si="78"/>
        <v>0</v>
      </c>
      <c r="CB47" s="4762">
        <f t="shared" si="78"/>
        <v>0</v>
      </c>
      <c r="CC47" s="4762">
        <f t="shared" si="78"/>
        <v>0</v>
      </c>
      <c r="CD47" s="4762">
        <f t="shared" si="78"/>
        <v>0</v>
      </c>
      <c r="CE47" s="4762">
        <f t="shared" si="78"/>
        <v>0</v>
      </c>
      <c r="CF47" s="4762">
        <f t="shared" si="78"/>
        <v>0</v>
      </c>
      <c r="CG47" s="4762">
        <f t="shared" si="78"/>
        <v>0</v>
      </c>
      <c r="CH47" s="4762">
        <f t="shared" si="78"/>
        <v>0</v>
      </c>
      <c r="CI47" s="4762">
        <f t="shared" si="78"/>
        <v>0</v>
      </c>
      <c r="CJ47" s="4762">
        <f t="shared" si="78"/>
        <v>0</v>
      </c>
      <c r="CK47" s="4762">
        <f t="shared" si="78"/>
        <v>0</v>
      </c>
      <c r="CL47" s="4762">
        <f t="shared" si="78"/>
        <v>0</v>
      </c>
      <c r="CM47" s="4762">
        <f t="shared" si="78"/>
        <v>0</v>
      </c>
      <c r="CN47" s="4762">
        <f t="shared" si="78"/>
        <v>0</v>
      </c>
      <c r="CO47" s="4762">
        <f t="shared" si="78"/>
        <v>0</v>
      </c>
      <c r="CP47" s="4762">
        <f t="shared" si="78"/>
        <v>0</v>
      </c>
      <c r="CQ47" s="4762">
        <f t="shared" si="78"/>
        <v>0</v>
      </c>
      <c r="CR47" s="4762">
        <f t="shared" si="78"/>
        <v>0</v>
      </c>
      <c r="CS47" s="4762">
        <f t="shared" si="78"/>
        <v>0</v>
      </c>
      <c r="CT47" s="4762">
        <f t="shared" si="78"/>
        <v>0</v>
      </c>
      <c r="CU47" s="4762">
        <f t="shared" si="78"/>
        <v>0</v>
      </c>
      <c r="CV47" s="4762">
        <f t="shared" ref="CV47:FG47" si="79">SUMIF($3:$3,CV33,29:29)*(MONTH(CV34)=12)</f>
        <v>0</v>
      </c>
      <c r="CW47" s="4762">
        <f t="shared" si="79"/>
        <v>0</v>
      </c>
      <c r="CX47" s="4762">
        <f t="shared" si="79"/>
        <v>0</v>
      </c>
      <c r="CY47" s="4762">
        <f t="shared" si="79"/>
        <v>0</v>
      </c>
      <c r="CZ47" s="4762">
        <f t="shared" si="79"/>
        <v>0</v>
      </c>
      <c r="DA47" s="4762">
        <f t="shared" si="79"/>
        <v>0</v>
      </c>
      <c r="DB47" s="4762">
        <f t="shared" si="79"/>
        <v>0</v>
      </c>
      <c r="DC47" s="4762">
        <f t="shared" si="79"/>
        <v>0</v>
      </c>
      <c r="DD47" s="4762">
        <f t="shared" si="79"/>
        <v>0</v>
      </c>
      <c r="DE47" s="4762">
        <f t="shared" si="79"/>
        <v>0</v>
      </c>
      <c r="DF47" s="4762">
        <f t="shared" si="79"/>
        <v>0</v>
      </c>
      <c r="DG47" s="4762">
        <f t="shared" si="79"/>
        <v>0</v>
      </c>
      <c r="DH47" s="4762">
        <f t="shared" si="79"/>
        <v>0</v>
      </c>
      <c r="DI47" s="4762">
        <f t="shared" si="79"/>
        <v>0</v>
      </c>
      <c r="DJ47" s="4762">
        <f t="shared" si="79"/>
        <v>0</v>
      </c>
      <c r="DK47" s="4762">
        <f t="shared" si="79"/>
        <v>0</v>
      </c>
      <c r="DL47" s="4762">
        <f t="shared" si="79"/>
        <v>0</v>
      </c>
      <c r="DM47" s="4762">
        <f t="shared" si="79"/>
        <v>0</v>
      </c>
      <c r="DN47" s="4762">
        <f t="shared" si="79"/>
        <v>0</v>
      </c>
      <c r="DO47" s="4762">
        <f t="shared" si="79"/>
        <v>0</v>
      </c>
      <c r="DP47" s="4762">
        <f t="shared" si="79"/>
        <v>0</v>
      </c>
      <c r="DQ47" s="4762">
        <f t="shared" si="79"/>
        <v>0</v>
      </c>
      <c r="DR47" s="4762">
        <f t="shared" si="79"/>
        <v>0</v>
      </c>
      <c r="DS47" s="4762">
        <f t="shared" si="79"/>
        <v>0</v>
      </c>
      <c r="DT47" s="4762">
        <f t="shared" si="79"/>
        <v>0</v>
      </c>
      <c r="DU47" s="4762">
        <f t="shared" si="79"/>
        <v>0</v>
      </c>
      <c r="DV47" s="4762">
        <f t="shared" si="79"/>
        <v>0</v>
      </c>
      <c r="DW47" s="4762">
        <f t="shared" si="79"/>
        <v>0</v>
      </c>
      <c r="DX47" s="4762">
        <f t="shared" si="79"/>
        <v>0</v>
      </c>
      <c r="DY47" s="4762">
        <f t="shared" si="79"/>
        <v>0</v>
      </c>
      <c r="DZ47" s="4762">
        <f t="shared" si="79"/>
        <v>0</v>
      </c>
      <c r="EA47" s="4762">
        <f t="shared" si="79"/>
        <v>0</v>
      </c>
      <c r="EB47" s="4762">
        <f t="shared" si="79"/>
        <v>0</v>
      </c>
      <c r="EC47" s="4762">
        <f t="shared" si="79"/>
        <v>0</v>
      </c>
      <c r="ED47" s="4762">
        <f t="shared" si="79"/>
        <v>0</v>
      </c>
      <c r="EE47" s="4762">
        <f t="shared" si="79"/>
        <v>0</v>
      </c>
      <c r="EF47" s="4762">
        <f t="shared" si="79"/>
        <v>0</v>
      </c>
      <c r="EG47" s="4762">
        <f t="shared" si="79"/>
        <v>0</v>
      </c>
      <c r="EH47" s="4762">
        <f t="shared" si="79"/>
        <v>0</v>
      </c>
      <c r="EI47" s="4762">
        <f t="shared" si="79"/>
        <v>0</v>
      </c>
      <c r="EJ47" s="4762">
        <f t="shared" si="79"/>
        <v>0</v>
      </c>
      <c r="EK47" s="4762">
        <f t="shared" si="79"/>
        <v>0</v>
      </c>
      <c r="EL47" s="4762">
        <f t="shared" si="79"/>
        <v>0</v>
      </c>
      <c r="EM47" s="4762">
        <f t="shared" si="79"/>
        <v>0</v>
      </c>
      <c r="EN47" s="4762">
        <f t="shared" si="79"/>
        <v>0</v>
      </c>
      <c r="EO47" s="4762">
        <f t="shared" si="79"/>
        <v>0</v>
      </c>
      <c r="EP47" s="4762">
        <f t="shared" si="79"/>
        <v>0</v>
      </c>
      <c r="EQ47" s="4762">
        <f t="shared" si="79"/>
        <v>0</v>
      </c>
      <c r="ER47" s="4762">
        <f t="shared" si="79"/>
        <v>0</v>
      </c>
      <c r="ES47" s="4762">
        <f t="shared" si="79"/>
        <v>0</v>
      </c>
      <c r="ET47" s="4762">
        <f t="shared" si="79"/>
        <v>0</v>
      </c>
      <c r="EU47" s="4762">
        <f t="shared" si="79"/>
        <v>0</v>
      </c>
      <c r="EV47" s="4762">
        <f t="shared" si="79"/>
        <v>0</v>
      </c>
      <c r="EW47" s="4762">
        <f t="shared" si="79"/>
        <v>0</v>
      </c>
      <c r="EX47" s="4762">
        <f t="shared" si="79"/>
        <v>0</v>
      </c>
      <c r="EY47" s="4762">
        <f t="shared" si="79"/>
        <v>0</v>
      </c>
      <c r="EZ47" s="4762">
        <f t="shared" si="79"/>
        <v>0</v>
      </c>
      <c r="FA47" s="4762">
        <f t="shared" si="79"/>
        <v>0</v>
      </c>
      <c r="FB47" s="4762">
        <f t="shared" si="79"/>
        <v>0</v>
      </c>
      <c r="FC47" s="4762">
        <f t="shared" si="79"/>
        <v>0</v>
      </c>
      <c r="FD47" s="4762">
        <f t="shared" si="79"/>
        <v>0</v>
      </c>
      <c r="FE47" s="4762">
        <f t="shared" si="79"/>
        <v>0</v>
      </c>
      <c r="FF47" s="4762">
        <f t="shared" si="79"/>
        <v>0</v>
      </c>
      <c r="FG47" s="4762">
        <f t="shared" si="79"/>
        <v>0</v>
      </c>
      <c r="FH47" s="4762">
        <f t="shared" ref="FH47:GE47" si="80">SUMIF($3:$3,FH33,29:29)*(MONTH(FH34)=12)</f>
        <v>0</v>
      </c>
      <c r="FI47" s="4762">
        <f t="shared" si="80"/>
        <v>0</v>
      </c>
      <c r="FJ47" s="4762">
        <f t="shared" si="80"/>
        <v>0</v>
      </c>
      <c r="FK47" s="4762">
        <f t="shared" si="80"/>
        <v>0</v>
      </c>
      <c r="FL47" s="4762">
        <f t="shared" si="80"/>
        <v>0</v>
      </c>
      <c r="FM47" s="4762">
        <f t="shared" si="80"/>
        <v>0</v>
      </c>
      <c r="FN47" s="4762">
        <f t="shared" si="80"/>
        <v>0</v>
      </c>
      <c r="FO47" s="4762">
        <f t="shared" si="80"/>
        <v>0</v>
      </c>
      <c r="FP47" s="4762">
        <f t="shared" si="80"/>
        <v>0</v>
      </c>
      <c r="FQ47" s="4762">
        <f t="shared" si="80"/>
        <v>0</v>
      </c>
      <c r="FR47" s="4762">
        <f t="shared" si="80"/>
        <v>0</v>
      </c>
      <c r="FS47" s="4762">
        <f t="shared" si="80"/>
        <v>0</v>
      </c>
      <c r="FT47" s="4762">
        <f t="shared" si="80"/>
        <v>0</v>
      </c>
      <c r="FU47" s="4762">
        <f t="shared" si="80"/>
        <v>0</v>
      </c>
      <c r="FV47" s="4762">
        <f t="shared" si="80"/>
        <v>0</v>
      </c>
      <c r="FW47" s="4762">
        <f t="shared" si="80"/>
        <v>0</v>
      </c>
      <c r="FX47" s="4762">
        <f t="shared" si="80"/>
        <v>0</v>
      </c>
      <c r="FY47" s="4762">
        <f t="shared" si="80"/>
        <v>0</v>
      </c>
      <c r="FZ47" s="4762">
        <f t="shared" si="80"/>
        <v>0</v>
      </c>
      <c r="GA47" s="4762">
        <f t="shared" si="80"/>
        <v>0</v>
      </c>
      <c r="GB47" s="4762">
        <f t="shared" si="80"/>
        <v>0</v>
      </c>
      <c r="GC47" s="4762">
        <f t="shared" si="80"/>
        <v>0</v>
      </c>
      <c r="GD47" s="4762">
        <f t="shared" si="80"/>
        <v>0</v>
      </c>
      <c r="GE47" s="4845">
        <f t="shared" si="80"/>
        <v>0</v>
      </c>
    </row>
    <row r="48" spans="1:188" s="302" customFormat="1" ht="17.100000000000001" customHeight="1" collapsed="1" thickTop="1">
      <c r="C48" s="4780" t="s">
        <v>1100</v>
      </c>
      <c r="D48" s="4768"/>
      <c r="E48" s="4769"/>
      <c r="F48" s="4760">
        <f t="shared" ca="1" si="26"/>
        <v>15592.634590290432</v>
      </c>
      <c r="G48" s="4777"/>
      <c r="H48" s="4844">
        <f t="shared" ref="H48:BS48" si="81">SUM(H35,H38:H40,H41,H45)</f>
        <v>83.805340189999995</v>
      </c>
      <c r="I48" s="4844">
        <f t="shared" si="81"/>
        <v>69.216073510000001</v>
      </c>
      <c r="J48" s="4844">
        <f t="shared" si="81"/>
        <v>62.702894280000002</v>
      </c>
      <c r="K48" s="4844">
        <f t="shared" si="81"/>
        <v>53.324454540000005</v>
      </c>
      <c r="L48" s="4844">
        <f t="shared" si="81"/>
        <v>73.892817159999993</v>
      </c>
      <c r="M48" s="4844">
        <f t="shared" si="81"/>
        <v>68.443060560000006</v>
      </c>
      <c r="N48" s="4844">
        <f t="shared" si="81"/>
        <v>69.912594200000001</v>
      </c>
      <c r="O48" s="4844">
        <f t="shared" si="81"/>
        <v>65.857226150000002</v>
      </c>
      <c r="P48" s="4762">
        <f t="shared" si="81"/>
        <v>64.050939639999996</v>
      </c>
      <c r="Q48" s="4762">
        <f t="shared" si="81"/>
        <v>59.918009130000002</v>
      </c>
      <c r="R48" s="4762">
        <f t="shared" si="81"/>
        <v>65.025467930000005</v>
      </c>
      <c r="S48" s="4762">
        <f t="shared" si="81"/>
        <v>61.603223720000003</v>
      </c>
      <c r="T48" s="4762">
        <f t="shared" si="81"/>
        <v>61.951725201359693</v>
      </c>
      <c r="U48" s="4762">
        <f t="shared" si="81"/>
        <v>63.512153664927418</v>
      </c>
      <c r="V48" s="4762">
        <f t="shared" si="81"/>
        <v>64.682222526973675</v>
      </c>
      <c r="W48" s="4762">
        <f t="shared" si="81"/>
        <v>65.860142133666812</v>
      </c>
      <c r="X48" s="4762">
        <f t="shared" ca="1" si="81"/>
        <v>66.841896672000018</v>
      </c>
      <c r="Y48" s="4762">
        <f t="shared" ca="1" si="81"/>
        <v>66.841896672000018</v>
      </c>
      <c r="Z48" s="4762">
        <f t="shared" ca="1" si="81"/>
        <v>66.841896672000018</v>
      </c>
      <c r="AA48" s="4762">
        <f t="shared" ca="1" si="81"/>
        <v>66.841896672000018</v>
      </c>
      <c r="AB48" s="4762">
        <f t="shared" ca="1" si="81"/>
        <v>70.177079277276022</v>
      </c>
      <c r="AC48" s="4762">
        <f t="shared" ca="1" si="81"/>
        <v>70.177079277276022</v>
      </c>
      <c r="AD48" s="4762">
        <f t="shared" ca="1" si="81"/>
        <v>70.000410277276032</v>
      </c>
      <c r="AE48" s="4762">
        <f t="shared" ca="1" si="81"/>
        <v>70.000410277276032</v>
      </c>
      <c r="AF48" s="4762">
        <f t="shared" ca="1" si="81"/>
        <v>70.179170518648021</v>
      </c>
      <c r="AG48" s="4762">
        <f t="shared" ca="1" si="81"/>
        <v>70.179170518648021</v>
      </c>
      <c r="AH48" s="4762">
        <f t="shared" ca="1" si="81"/>
        <v>70.179170518648021</v>
      </c>
      <c r="AI48" s="4762">
        <f t="shared" ca="1" si="81"/>
        <v>70.179170518648021</v>
      </c>
      <c r="AJ48" s="4762">
        <f t="shared" ca="1" si="81"/>
        <v>72.063150875020042</v>
      </c>
      <c r="AK48" s="4762">
        <f t="shared" ca="1" si="81"/>
        <v>72.063150875020042</v>
      </c>
      <c r="AL48" s="4762">
        <f t="shared" ca="1" si="81"/>
        <v>72.063150875020042</v>
      </c>
      <c r="AM48" s="4762">
        <f t="shared" ca="1" si="81"/>
        <v>72.063150875020042</v>
      </c>
      <c r="AN48" s="4762">
        <f t="shared" ca="1" si="81"/>
        <v>76.174478573073799</v>
      </c>
      <c r="AO48" s="4762">
        <f t="shared" ca="1" si="81"/>
        <v>76.174478573073799</v>
      </c>
      <c r="AP48" s="4762">
        <f t="shared" ca="1" si="81"/>
        <v>76.174478573073799</v>
      </c>
      <c r="AQ48" s="4762">
        <f t="shared" ca="1" si="81"/>
        <v>76.174478573073799</v>
      </c>
      <c r="AR48" s="4762">
        <f t="shared" ca="1" si="81"/>
        <v>78.116588232686937</v>
      </c>
      <c r="AS48" s="4762">
        <f t="shared" ca="1" si="81"/>
        <v>78.116588232686937</v>
      </c>
      <c r="AT48" s="4762">
        <f t="shared" ca="1" si="81"/>
        <v>78.116588232686937</v>
      </c>
      <c r="AU48" s="4762">
        <f t="shared" ca="1" si="81"/>
        <v>78.116588232686937</v>
      </c>
      <c r="AV48" s="4762">
        <f t="shared" ca="1" si="81"/>
        <v>80.05709077805011</v>
      </c>
      <c r="AW48" s="4762">
        <f t="shared" ca="1" si="81"/>
        <v>80.05709077805011</v>
      </c>
      <c r="AX48" s="4762">
        <f t="shared" ca="1" si="81"/>
        <v>80.05709077805011</v>
      </c>
      <c r="AY48" s="4762">
        <f t="shared" ca="1" si="81"/>
        <v>80.05709077805011</v>
      </c>
      <c r="AZ48" s="4762">
        <f t="shared" ca="1" si="81"/>
        <v>84.470249158660693</v>
      </c>
      <c r="BA48" s="4762">
        <f t="shared" ca="1" si="81"/>
        <v>84.470249158660693</v>
      </c>
      <c r="BB48" s="4762">
        <f t="shared" ca="1" si="81"/>
        <v>84.470249158660693</v>
      </c>
      <c r="BC48" s="4762">
        <f t="shared" ca="1" si="81"/>
        <v>84.470249158660693</v>
      </c>
      <c r="BD48" s="4762">
        <f t="shared" ca="1" si="81"/>
        <v>85.271516736471298</v>
      </c>
      <c r="BE48" s="4762">
        <f t="shared" ca="1" si="81"/>
        <v>85.271516736471298</v>
      </c>
      <c r="BF48" s="4762">
        <f t="shared" ca="1" si="81"/>
        <v>85.271516736471298</v>
      </c>
      <c r="BG48" s="4762">
        <f t="shared" ca="1" si="81"/>
        <v>85.271516736471298</v>
      </c>
      <c r="BH48" s="4762">
        <f t="shared" ca="1" si="81"/>
        <v>86.071096844319413</v>
      </c>
      <c r="BI48" s="4762">
        <f t="shared" ca="1" si="81"/>
        <v>86.071096844319413</v>
      </c>
      <c r="BJ48" s="4762">
        <f t="shared" ca="1" si="81"/>
        <v>86.071096844319413</v>
      </c>
      <c r="BK48" s="4762">
        <f t="shared" ca="1" si="81"/>
        <v>86.071096844319413</v>
      </c>
      <c r="BL48" s="4762">
        <f t="shared" ca="1" si="81"/>
        <v>89.493509658622813</v>
      </c>
      <c r="BM48" s="4762">
        <f t="shared" ca="1" si="81"/>
        <v>89.493509658622813</v>
      </c>
      <c r="BN48" s="4762">
        <f t="shared" ca="1" si="81"/>
        <v>89.493509658622813</v>
      </c>
      <c r="BO48" s="4762">
        <f t="shared" ca="1" si="81"/>
        <v>89.493509658622813</v>
      </c>
      <c r="BP48" s="4762">
        <f t="shared" ca="1" si="81"/>
        <v>90.318852076242763</v>
      </c>
      <c r="BQ48" s="4762">
        <f t="shared" ca="1" si="81"/>
        <v>90.318852076242763</v>
      </c>
      <c r="BR48" s="4762">
        <f t="shared" ca="1" si="81"/>
        <v>90.318852076242763</v>
      </c>
      <c r="BS48" s="4762">
        <f t="shared" ca="1" si="81"/>
        <v>90.318852076242763</v>
      </c>
      <c r="BT48" s="4762">
        <f t="shared" ref="BT48:EE48" ca="1" si="82">SUM(BT35,BT38:BT40,BT41,BT45)</f>
        <v>91.142422650402068</v>
      </c>
      <c r="BU48" s="4762">
        <f t="shared" ca="1" si="82"/>
        <v>91.142422650402068</v>
      </c>
      <c r="BV48" s="4762">
        <f t="shared" ca="1" si="82"/>
        <v>91.142422650402068</v>
      </c>
      <c r="BW48" s="4762">
        <f t="shared" ca="1" si="82"/>
        <v>91.142422650402068</v>
      </c>
      <c r="BX48" s="4762">
        <f t="shared" ca="1" si="82"/>
        <v>94.745868999651009</v>
      </c>
      <c r="BY48" s="4762">
        <f t="shared" ca="1" si="82"/>
        <v>94.745868999651009</v>
      </c>
      <c r="BZ48" s="4762">
        <f t="shared" ca="1" si="82"/>
        <v>94.745868999651009</v>
      </c>
      <c r="CA48" s="4762">
        <f t="shared" ca="1" si="82"/>
        <v>94.745868999651009</v>
      </c>
      <c r="CB48" s="4762">
        <f t="shared" ca="1" si="82"/>
        <v>95.59601034289831</v>
      </c>
      <c r="CC48" s="4762">
        <f t="shared" ca="1" si="82"/>
        <v>95.59601034289831</v>
      </c>
      <c r="CD48" s="4762">
        <f t="shared" ca="1" si="82"/>
        <v>95.59601034289831</v>
      </c>
      <c r="CE48" s="4762">
        <f t="shared" ca="1" si="82"/>
        <v>95.59601034289831</v>
      </c>
      <c r="CF48" s="4762">
        <f t="shared" ca="1" si="82"/>
        <v>96.444291250511924</v>
      </c>
      <c r="CG48" s="4762">
        <f t="shared" ca="1" si="82"/>
        <v>96.444291250511924</v>
      </c>
      <c r="CH48" s="4762">
        <f t="shared" ca="1" si="82"/>
        <v>96.444291250511924</v>
      </c>
      <c r="CI48" s="4762">
        <f t="shared" ca="1" si="82"/>
        <v>96.444291250511924</v>
      </c>
      <c r="CJ48" s="4762">
        <f t="shared" ca="1" si="82"/>
        <v>100.23663806070773</v>
      </c>
      <c r="CK48" s="4762">
        <f t="shared" ca="1" si="82"/>
        <v>100.23663806070773</v>
      </c>
      <c r="CL48" s="4762">
        <f t="shared" ca="1" si="82"/>
        <v>100.23663806070773</v>
      </c>
      <c r="CM48" s="4762">
        <f t="shared" ca="1" si="82"/>
        <v>100.23663806070773</v>
      </c>
      <c r="CN48" s="4762">
        <f t="shared" ca="1" si="82"/>
        <v>101.11232423000611</v>
      </c>
      <c r="CO48" s="4762">
        <f t="shared" ca="1" si="82"/>
        <v>101.11232423000611</v>
      </c>
      <c r="CP48" s="4762">
        <f t="shared" ca="1" si="82"/>
        <v>101.11232423000611</v>
      </c>
      <c r="CQ48" s="4762">
        <f t="shared" ca="1" si="82"/>
        <v>101.11232423000611</v>
      </c>
      <c r="CR48" s="4762">
        <f t="shared" ca="1" si="82"/>
        <v>101.98605694188917</v>
      </c>
      <c r="CS48" s="4762">
        <f t="shared" ca="1" si="82"/>
        <v>101.98605694188917</v>
      </c>
      <c r="CT48" s="4762">
        <f t="shared" ca="1" si="82"/>
        <v>101.98605694188917</v>
      </c>
      <c r="CU48" s="4762">
        <f t="shared" ca="1" si="82"/>
        <v>101.98605694188917</v>
      </c>
      <c r="CV48" s="4762">
        <f t="shared" ca="1" si="82"/>
        <v>105.97548447868373</v>
      </c>
      <c r="CW48" s="4762">
        <f t="shared" ca="1" si="82"/>
        <v>105.97548447868373</v>
      </c>
      <c r="CX48" s="4762">
        <f t="shared" ca="1" si="82"/>
        <v>105.97548447868373</v>
      </c>
      <c r="CY48" s="4762">
        <f t="shared" ca="1" si="82"/>
        <v>105.97548447868373</v>
      </c>
      <c r="CZ48" s="4762">
        <f t="shared" ca="1" si="82"/>
        <v>106.87748384810246</v>
      </c>
      <c r="DA48" s="4762">
        <f t="shared" ca="1" si="82"/>
        <v>106.87748384810246</v>
      </c>
      <c r="DB48" s="4762">
        <f t="shared" ca="1" si="82"/>
        <v>106.87748384810246</v>
      </c>
      <c r="DC48" s="4762">
        <f t="shared" ca="1" si="82"/>
        <v>106.87748384810246</v>
      </c>
      <c r="DD48" s="4762">
        <f t="shared" ca="1" si="82"/>
        <v>107.77743208723508</v>
      </c>
      <c r="DE48" s="4762">
        <f t="shared" ca="1" si="82"/>
        <v>107.77743208723508</v>
      </c>
      <c r="DF48" s="4762">
        <f t="shared" ca="1" si="82"/>
        <v>107.77743208723508</v>
      </c>
      <c r="DG48" s="4762">
        <f t="shared" ca="1" si="82"/>
        <v>107.77743208723508</v>
      </c>
      <c r="DH48" s="4762">
        <f t="shared" ca="1" si="82"/>
        <v>111.97244588878995</v>
      </c>
      <c r="DI48" s="4762">
        <f t="shared" ca="1" si="82"/>
        <v>111.97244588878995</v>
      </c>
      <c r="DJ48" s="4762">
        <f t="shared" ca="1" si="82"/>
        <v>111.97244588878995</v>
      </c>
      <c r="DK48" s="4762">
        <f t="shared" ca="1" si="82"/>
        <v>111.97244588878995</v>
      </c>
      <c r="DL48" s="4762">
        <f t="shared" ca="1" si="82"/>
        <v>112.90154998508467</v>
      </c>
      <c r="DM48" s="4762">
        <f t="shared" ca="1" si="82"/>
        <v>112.90154998508467</v>
      </c>
      <c r="DN48" s="4762">
        <f t="shared" ca="1" si="82"/>
        <v>112.90154998508467</v>
      </c>
      <c r="DO48" s="4762">
        <f t="shared" ca="1" si="82"/>
        <v>112.90154998508467</v>
      </c>
      <c r="DP48" s="4762">
        <f t="shared" ca="1" si="82"/>
        <v>113.82850039457897</v>
      </c>
      <c r="DQ48" s="4762">
        <f t="shared" ca="1" si="82"/>
        <v>113.82850039457897</v>
      </c>
      <c r="DR48" s="4762">
        <f t="shared" ca="1" si="82"/>
        <v>113.82850039457897</v>
      </c>
      <c r="DS48" s="4762">
        <f t="shared" ca="1" si="82"/>
        <v>113.82850039457897</v>
      </c>
      <c r="DT48" s="4762">
        <f t="shared" ca="1" si="82"/>
        <v>118.23794364902629</v>
      </c>
      <c r="DU48" s="4762">
        <f t="shared" ca="1" si="82"/>
        <v>118.23794364902629</v>
      </c>
      <c r="DV48" s="4762">
        <f t="shared" ca="1" si="82"/>
        <v>118.23794364902629</v>
      </c>
      <c r="DW48" s="4762">
        <f t="shared" ca="1" si="82"/>
        <v>118.23794364902629</v>
      </c>
      <c r="DX48" s="4762">
        <f t="shared" ca="1" si="82"/>
        <v>119.19496785129296</v>
      </c>
      <c r="DY48" s="4762">
        <f t="shared" ca="1" si="82"/>
        <v>119.19496785129296</v>
      </c>
      <c r="DZ48" s="4762">
        <f t="shared" ca="1" si="82"/>
        <v>119.19496785129296</v>
      </c>
      <c r="EA48" s="4762">
        <f t="shared" ca="1" si="82"/>
        <v>119.19496785129296</v>
      </c>
      <c r="EB48" s="4762">
        <f t="shared" ca="1" si="82"/>
        <v>120.14973068241919</v>
      </c>
      <c r="EC48" s="4762">
        <f t="shared" ca="1" si="82"/>
        <v>120.14973068241919</v>
      </c>
      <c r="ED48" s="4762">
        <f t="shared" ca="1" si="82"/>
        <v>120.14973068241919</v>
      </c>
      <c r="EE48" s="4762">
        <f t="shared" ca="1" si="82"/>
        <v>120.14973068241919</v>
      </c>
      <c r="EF48" s="4762">
        <f t="shared" ref="EF48:GE48" ca="1" si="83">SUM(EF35,EF38:EF40,EF41,EF45)</f>
        <v>124.78279706639216</v>
      </c>
      <c r="EG48" s="4762">
        <f t="shared" ca="1" si="83"/>
        <v>124.78279706639216</v>
      </c>
      <c r="EH48" s="4762">
        <f t="shared" ca="1" si="83"/>
        <v>124.78279706639216</v>
      </c>
      <c r="EI48" s="4762">
        <f t="shared" ca="1" si="83"/>
        <v>124.78279706639216</v>
      </c>
      <c r="EJ48" s="4762">
        <f t="shared" ca="1" si="83"/>
        <v>125.76858132696408</v>
      </c>
      <c r="EK48" s="4762">
        <f t="shared" ca="1" si="83"/>
        <v>125.76858132696408</v>
      </c>
      <c r="EL48" s="4762">
        <f t="shared" ca="1" si="83"/>
        <v>125.76858132696408</v>
      </c>
      <c r="EM48" s="4762">
        <f t="shared" ca="1" si="83"/>
        <v>125.76858132696408</v>
      </c>
      <c r="EN48" s="4762">
        <f t="shared" ca="1" si="83"/>
        <v>126.75199114783858</v>
      </c>
      <c r="EO48" s="4762">
        <f t="shared" ca="1" si="83"/>
        <v>126.75199114783858</v>
      </c>
      <c r="EP48" s="4762">
        <f t="shared" ca="1" si="83"/>
        <v>126.75199114783858</v>
      </c>
      <c r="EQ48" s="4762">
        <f t="shared" ca="1" si="83"/>
        <v>126.75199114783858</v>
      </c>
      <c r="ER48" s="4762">
        <f t="shared" ca="1" si="83"/>
        <v>131.6182381431548</v>
      </c>
      <c r="ES48" s="4762">
        <f t="shared" ca="1" si="83"/>
        <v>131.6182381431548</v>
      </c>
      <c r="ET48" s="4762">
        <f t="shared" ca="1" si="83"/>
        <v>131.6182381431548</v>
      </c>
      <c r="EU48" s="4762">
        <f t="shared" ca="1" si="83"/>
        <v>131.6182381431548</v>
      </c>
      <c r="EV48" s="4762">
        <f t="shared" ca="1" si="83"/>
        <v>132.63364773039302</v>
      </c>
      <c r="EW48" s="4762">
        <f t="shared" ca="1" si="83"/>
        <v>132.63364773039302</v>
      </c>
      <c r="EX48" s="4762">
        <f t="shared" ca="1" si="83"/>
        <v>132.63364773039302</v>
      </c>
      <c r="EY48" s="4762">
        <f t="shared" ca="1" si="83"/>
        <v>132.63364773039302</v>
      </c>
      <c r="EZ48" s="4762">
        <f t="shared" ca="1" si="83"/>
        <v>133.64656415594897</v>
      </c>
      <c r="FA48" s="4762">
        <f t="shared" ca="1" si="83"/>
        <v>133.64656415594897</v>
      </c>
      <c r="FB48" s="4762">
        <f t="shared" ca="1" si="83"/>
        <v>133.64656415594897</v>
      </c>
      <c r="FC48" s="4762">
        <f t="shared" ca="1" si="83"/>
        <v>133.64656415594897</v>
      </c>
      <c r="FD48" s="4762">
        <f t="shared" ca="1" si="83"/>
        <v>138.7559268621674</v>
      </c>
      <c r="FE48" s="4762">
        <f t="shared" ca="1" si="83"/>
        <v>138.7559268621674</v>
      </c>
      <c r="FF48" s="4762">
        <f t="shared" ca="1" si="83"/>
        <v>138.7559268621674</v>
      </c>
      <c r="FG48" s="4762">
        <f t="shared" ca="1" si="83"/>
        <v>138.7559268621674</v>
      </c>
      <c r="FH48" s="4762">
        <f t="shared" ca="1" si="83"/>
        <v>139.80185312581435</v>
      </c>
      <c r="FI48" s="4762">
        <f t="shared" ca="1" si="83"/>
        <v>139.80185312581435</v>
      </c>
      <c r="FJ48" s="4762">
        <f t="shared" ca="1" si="83"/>
        <v>139.80185312581435</v>
      </c>
      <c r="FK48" s="4762">
        <f t="shared" ca="1" si="83"/>
        <v>139.80185312581435</v>
      </c>
      <c r="FL48" s="4762">
        <f t="shared" ca="1" si="83"/>
        <v>140.84516156969488</v>
      </c>
      <c r="FM48" s="4762">
        <f t="shared" ca="1" si="83"/>
        <v>140.84516156969488</v>
      </c>
      <c r="FN48" s="4762">
        <f t="shared" ca="1" si="83"/>
        <v>0</v>
      </c>
      <c r="FO48" s="4762">
        <f t="shared" ca="1" si="83"/>
        <v>0</v>
      </c>
      <c r="FP48" s="4762">
        <f t="shared" si="83"/>
        <v>0</v>
      </c>
      <c r="FQ48" s="4762">
        <f t="shared" si="83"/>
        <v>0</v>
      </c>
      <c r="FR48" s="4762">
        <f t="shared" si="83"/>
        <v>0</v>
      </c>
      <c r="FS48" s="4762">
        <f t="shared" si="83"/>
        <v>0</v>
      </c>
      <c r="FT48" s="4762">
        <f t="shared" si="83"/>
        <v>0</v>
      </c>
      <c r="FU48" s="4762">
        <f t="shared" si="83"/>
        <v>0</v>
      </c>
      <c r="FV48" s="4762">
        <f t="shared" si="83"/>
        <v>0</v>
      </c>
      <c r="FW48" s="4762">
        <f t="shared" si="83"/>
        <v>0</v>
      </c>
      <c r="FX48" s="4762">
        <f t="shared" si="83"/>
        <v>0</v>
      </c>
      <c r="FY48" s="4762">
        <f t="shared" si="83"/>
        <v>0</v>
      </c>
      <c r="FZ48" s="4762">
        <f t="shared" si="83"/>
        <v>0</v>
      </c>
      <c r="GA48" s="4762">
        <f t="shared" si="83"/>
        <v>0</v>
      </c>
      <c r="GB48" s="4762">
        <f t="shared" si="83"/>
        <v>0</v>
      </c>
      <c r="GC48" s="4762">
        <f t="shared" si="83"/>
        <v>0</v>
      </c>
      <c r="GD48" s="4762">
        <f t="shared" si="83"/>
        <v>0</v>
      </c>
      <c r="GE48" s="4845">
        <f t="shared" si="83"/>
        <v>0</v>
      </c>
    </row>
    <row r="49" spans="2:187" ht="17.100000000000001" customHeight="1">
      <c r="B49" s="302"/>
      <c r="C49" s="4781"/>
      <c r="D49" s="4782"/>
      <c r="E49" s="753"/>
      <c r="F49" s="934"/>
      <c r="G49" s="934"/>
      <c r="H49" s="935"/>
      <c r="I49" s="787"/>
      <c r="J49" s="788">
        <f>SUM(H36:K40,H45:K45)</f>
        <v>240.47832911999998</v>
      </c>
      <c r="K49" s="935">
        <f>SUM(H48:K48)</f>
        <v>269.04876251999997</v>
      </c>
      <c r="L49" s="4783"/>
      <c r="M49" s="935"/>
      <c r="N49" s="936">
        <f>SUM(L36:O40,L45:O45)</f>
        <v>265.85109807000003</v>
      </c>
      <c r="O49" s="935">
        <f>SUM(L48:O48)</f>
        <v>278.10569807000002</v>
      </c>
      <c r="P49" s="4777"/>
      <c r="Q49" s="935"/>
      <c r="R49" s="936">
        <f>SUM(P36:S40,P45:S45)</f>
        <v>250.59764042</v>
      </c>
      <c r="S49" s="935">
        <f>SUM(P48:S48)</f>
        <v>250.59764042</v>
      </c>
      <c r="T49" s="935"/>
      <c r="U49" s="935"/>
      <c r="V49" s="936">
        <f>SUM(T36:W40,T45:W45)</f>
        <v>256.00624352692762</v>
      </c>
      <c r="W49" s="935">
        <f>SUM(T48:W48)</f>
        <v>256.00624352692762</v>
      </c>
      <c r="X49" s="935"/>
      <c r="Y49" s="935"/>
      <c r="Z49" s="935"/>
      <c r="AA49" s="935"/>
      <c r="AB49" s="935"/>
      <c r="AC49" s="935"/>
      <c r="AD49" s="935"/>
      <c r="AE49" s="935"/>
      <c r="AF49" s="935"/>
      <c r="AG49" s="935"/>
      <c r="AH49" s="935"/>
      <c r="AI49" s="935"/>
      <c r="AJ49" s="935"/>
      <c r="AK49" s="935"/>
      <c r="AL49" s="935"/>
      <c r="AM49" s="935"/>
      <c r="AN49" s="935"/>
      <c r="AO49" s="935"/>
      <c r="AP49" s="935"/>
      <c r="AQ49" s="935"/>
      <c r="AR49" s="935"/>
      <c r="AS49" s="935"/>
      <c r="AT49" s="935"/>
      <c r="AU49" s="935"/>
      <c r="AV49" s="935"/>
      <c r="AW49" s="935"/>
      <c r="AX49" s="935"/>
      <c r="AY49" s="935"/>
      <c r="AZ49" s="935"/>
      <c r="BA49" s="935"/>
      <c r="BB49" s="935"/>
      <c r="BC49" s="935"/>
      <c r="BD49" s="935"/>
      <c r="BE49" s="935"/>
      <c r="BF49" s="935"/>
      <c r="BG49" s="935"/>
      <c r="BH49" s="935"/>
      <c r="BI49" s="935"/>
      <c r="BJ49" s="935"/>
      <c r="BK49" s="935"/>
      <c r="BL49" s="935"/>
      <c r="BM49" s="935"/>
      <c r="BN49" s="935"/>
      <c r="BO49" s="935"/>
      <c r="BP49" s="935"/>
      <c r="BQ49" s="935"/>
      <c r="BR49" s="935"/>
      <c r="BS49" s="935"/>
      <c r="BT49" s="935"/>
      <c r="BU49" s="935"/>
      <c r="BV49" s="935"/>
      <c r="BW49" s="935"/>
      <c r="BX49" s="935"/>
      <c r="BY49" s="935"/>
      <c r="BZ49" s="935"/>
      <c r="CA49" s="935"/>
      <c r="CB49" s="935"/>
      <c r="CC49" s="935"/>
      <c r="CD49" s="935"/>
      <c r="CE49" s="935"/>
      <c r="CF49" s="935"/>
      <c r="CG49" s="935"/>
      <c r="CH49" s="935"/>
      <c r="CI49" s="935"/>
      <c r="CJ49" s="935"/>
      <c r="CK49" s="935"/>
      <c r="CL49" s="935"/>
      <c r="CM49" s="935"/>
      <c r="CN49" s="935"/>
      <c r="CO49" s="935"/>
      <c r="CP49" s="935"/>
      <c r="CQ49" s="935"/>
      <c r="CR49" s="935"/>
      <c r="CS49" s="935"/>
      <c r="CT49" s="935"/>
      <c r="CU49" s="935"/>
      <c r="CV49" s="935"/>
      <c r="CW49" s="935"/>
      <c r="CX49" s="935"/>
      <c r="CY49" s="935"/>
      <c r="CZ49" s="935"/>
      <c r="DA49" s="935"/>
      <c r="DB49" s="935"/>
      <c r="DC49" s="935"/>
      <c r="DD49" s="935"/>
      <c r="DE49" s="935"/>
      <c r="DF49" s="935"/>
      <c r="DG49" s="935"/>
      <c r="DH49" s="935"/>
      <c r="DI49" s="935"/>
      <c r="DJ49" s="935"/>
      <c r="DK49" s="935"/>
      <c r="DL49" s="935"/>
      <c r="DM49" s="935"/>
      <c r="DN49" s="935"/>
      <c r="DO49" s="935"/>
      <c r="DP49" s="935"/>
      <c r="DQ49" s="935"/>
      <c r="DR49" s="935"/>
      <c r="DS49" s="935"/>
      <c r="DT49" s="935"/>
      <c r="DU49" s="935"/>
      <c r="DV49" s="935"/>
      <c r="DW49" s="935"/>
      <c r="DX49" s="935"/>
      <c r="DY49" s="935"/>
      <c r="DZ49" s="935"/>
      <c r="EA49" s="935"/>
      <c r="EB49" s="935"/>
      <c r="EC49" s="935"/>
      <c r="ED49" s="935"/>
      <c r="EE49" s="935"/>
      <c r="EF49" s="935"/>
      <c r="EG49" s="935"/>
      <c r="EH49" s="935"/>
      <c r="EI49" s="935"/>
      <c r="EJ49" s="935"/>
      <c r="EK49" s="935"/>
      <c r="EL49" s="935"/>
      <c r="EM49" s="935"/>
      <c r="EN49" s="935"/>
      <c r="EO49" s="935"/>
      <c r="EP49" s="935"/>
      <c r="EQ49" s="935"/>
      <c r="ER49" s="935"/>
      <c r="ES49" s="935"/>
      <c r="ET49" s="935"/>
      <c r="EU49" s="935"/>
      <c r="EV49" s="935"/>
      <c r="EW49" s="935"/>
      <c r="EX49" s="935"/>
      <c r="EY49" s="935"/>
      <c r="EZ49" s="935"/>
      <c r="FA49" s="935"/>
      <c r="FB49" s="935"/>
      <c r="FC49" s="935"/>
      <c r="FD49" s="935"/>
      <c r="FE49" s="935"/>
      <c r="FF49" s="935"/>
      <c r="FG49" s="935"/>
      <c r="FH49" s="935"/>
      <c r="FI49" s="935"/>
      <c r="FJ49" s="935"/>
      <c r="FK49" s="935"/>
      <c r="FL49" s="935"/>
      <c r="FM49" s="935"/>
      <c r="FN49" s="935"/>
      <c r="FO49" s="935"/>
      <c r="FP49" s="935"/>
      <c r="FQ49" s="935"/>
      <c r="FR49" s="935"/>
      <c r="FS49" s="935"/>
      <c r="FT49" s="935"/>
      <c r="FU49" s="935"/>
      <c r="FV49" s="935"/>
      <c r="FW49" s="935"/>
      <c r="FX49" s="935"/>
      <c r="FY49" s="935"/>
      <c r="FZ49" s="935"/>
      <c r="GA49" s="935"/>
      <c r="GB49" s="935"/>
      <c r="GC49" s="935"/>
      <c r="GD49" s="935"/>
      <c r="GE49" s="4784"/>
    </row>
    <row r="50" spans="2:187" s="302" customFormat="1" ht="17.100000000000001" customHeight="1">
      <c r="C50" s="4785" t="s">
        <v>5089</v>
      </c>
      <c r="D50" s="4786"/>
      <c r="E50" s="4787"/>
      <c r="F50" s="4752" t="s">
        <v>774</v>
      </c>
      <c r="G50" s="934"/>
      <c r="H50" s="4788">
        <f>기준분기</f>
        <v>43555</v>
      </c>
      <c r="I50" s="4789">
        <f t="shared" ref="I50:BT50" si="84">EOMONTH(H50,3)</f>
        <v>43646</v>
      </c>
      <c r="J50" s="4789">
        <f t="shared" si="84"/>
        <v>43738</v>
      </c>
      <c r="K50" s="4790">
        <f t="shared" si="84"/>
        <v>43830</v>
      </c>
      <c r="L50" s="4788">
        <f t="shared" si="84"/>
        <v>43921</v>
      </c>
      <c r="M50" s="4789">
        <f t="shared" si="84"/>
        <v>44012</v>
      </c>
      <c r="N50" s="4789">
        <f t="shared" si="84"/>
        <v>44104</v>
      </c>
      <c r="O50" s="4790">
        <f t="shared" si="84"/>
        <v>44196</v>
      </c>
      <c r="P50" s="4791">
        <f t="shared" si="84"/>
        <v>44286</v>
      </c>
      <c r="Q50" s="4792">
        <f t="shared" si="84"/>
        <v>44377</v>
      </c>
      <c r="R50" s="4792">
        <f t="shared" si="84"/>
        <v>44469</v>
      </c>
      <c r="S50" s="4793">
        <f t="shared" si="84"/>
        <v>44561</v>
      </c>
      <c r="T50" s="4791">
        <f t="shared" si="84"/>
        <v>44651</v>
      </c>
      <c r="U50" s="4792">
        <f t="shared" si="84"/>
        <v>44742</v>
      </c>
      <c r="V50" s="4792">
        <f t="shared" si="84"/>
        <v>44834</v>
      </c>
      <c r="W50" s="4793">
        <f t="shared" si="84"/>
        <v>44926</v>
      </c>
      <c r="X50" s="4791">
        <f t="shared" si="84"/>
        <v>45016</v>
      </c>
      <c r="Y50" s="4792">
        <f t="shared" si="84"/>
        <v>45107</v>
      </c>
      <c r="Z50" s="4792">
        <f t="shared" si="84"/>
        <v>45199</v>
      </c>
      <c r="AA50" s="4793">
        <f t="shared" si="84"/>
        <v>45291</v>
      </c>
      <c r="AB50" s="4791">
        <f t="shared" si="84"/>
        <v>45382</v>
      </c>
      <c r="AC50" s="4792">
        <f t="shared" si="84"/>
        <v>45473</v>
      </c>
      <c r="AD50" s="4792">
        <f t="shared" si="84"/>
        <v>45565</v>
      </c>
      <c r="AE50" s="4793">
        <f t="shared" si="84"/>
        <v>45657</v>
      </c>
      <c r="AF50" s="4791">
        <f t="shared" si="84"/>
        <v>45747</v>
      </c>
      <c r="AG50" s="4792">
        <f t="shared" si="84"/>
        <v>45838</v>
      </c>
      <c r="AH50" s="4792">
        <f t="shared" si="84"/>
        <v>45930</v>
      </c>
      <c r="AI50" s="4793">
        <f t="shared" si="84"/>
        <v>46022</v>
      </c>
      <c r="AJ50" s="4791">
        <f t="shared" si="84"/>
        <v>46112</v>
      </c>
      <c r="AK50" s="4792">
        <f t="shared" si="84"/>
        <v>46203</v>
      </c>
      <c r="AL50" s="4792">
        <f t="shared" si="84"/>
        <v>46295</v>
      </c>
      <c r="AM50" s="4793">
        <f t="shared" si="84"/>
        <v>46387</v>
      </c>
      <c r="AN50" s="4791">
        <f t="shared" si="84"/>
        <v>46477</v>
      </c>
      <c r="AO50" s="4792">
        <f t="shared" si="84"/>
        <v>46568</v>
      </c>
      <c r="AP50" s="4792">
        <f t="shared" si="84"/>
        <v>46660</v>
      </c>
      <c r="AQ50" s="4793">
        <f t="shared" si="84"/>
        <v>46752</v>
      </c>
      <c r="AR50" s="4791">
        <f t="shared" si="84"/>
        <v>46843</v>
      </c>
      <c r="AS50" s="4792">
        <f t="shared" si="84"/>
        <v>46934</v>
      </c>
      <c r="AT50" s="4792">
        <f t="shared" si="84"/>
        <v>47026</v>
      </c>
      <c r="AU50" s="4793">
        <f t="shared" si="84"/>
        <v>47118</v>
      </c>
      <c r="AV50" s="4791">
        <f t="shared" si="84"/>
        <v>47208</v>
      </c>
      <c r="AW50" s="4792">
        <f t="shared" si="84"/>
        <v>47299</v>
      </c>
      <c r="AX50" s="4792">
        <f t="shared" si="84"/>
        <v>47391</v>
      </c>
      <c r="AY50" s="4793">
        <f t="shared" si="84"/>
        <v>47483</v>
      </c>
      <c r="AZ50" s="4791">
        <f t="shared" si="84"/>
        <v>47573</v>
      </c>
      <c r="BA50" s="4792">
        <f t="shared" si="84"/>
        <v>47664</v>
      </c>
      <c r="BB50" s="4792">
        <f t="shared" si="84"/>
        <v>47756</v>
      </c>
      <c r="BC50" s="4793">
        <f t="shared" si="84"/>
        <v>47848</v>
      </c>
      <c r="BD50" s="4791">
        <f t="shared" si="84"/>
        <v>47938</v>
      </c>
      <c r="BE50" s="4792">
        <f t="shared" si="84"/>
        <v>48029</v>
      </c>
      <c r="BF50" s="4792">
        <f t="shared" si="84"/>
        <v>48121</v>
      </c>
      <c r="BG50" s="4793">
        <f t="shared" si="84"/>
        <v>48213</v>
      </c>
      <c r="BH50" s="4791">
        <f t="shared" si="84"/>
        <v>48304</v>
      </c>
      <c r="BI50" s="4792">
        <f t="shared" si="84"/>
        <v>48395</v>
      </c>
      <c r="BJ50" s="4792">
        <f t="shared" si="84"/>
        <v>48487</v>
      </c>
      <c r="BK50" s="4793">
        <f t="shared" si="84"/>
        <v>48579</v>
      </c>
      <c r="BL50" s="4791">
        <f t="shared" si="84"/>
        <v>48669</v>
      </c>
      <c r="BM50" s="4792">
        <f t="shared" si="84"/>
        <v>48760</v>
      </c>
      <c r="BN50" s="4792">
        <f t="shared" si="84"/>
        <v>48852</v>
      </c>
      <c r="BO50" s="4793">
        <f t="shared" si="84"/>
        <v>48944</v>
      </c>
      <c r="BP50" s="4791">
        <f t="shared" si="84"/>
        <v>49034</v>
      </c>
      <c r="BQ50" s="4792">
        <f t="shared" si="84"/>
        <v>49125</v>
      </c>
      <c r="BR50" s="4792">
        <f t="shared" si="84"/>
        <v>49217</v>
      </c>
      <c r="BS50" s="4793">
        <f t="shared" si="84"/>
        <v>49309</v>
      </c>
      <c r="BT50" s="4791">
        <f t="shared" si="84"/>
        <v>49399</v>
      </c>
      <c r="BU50" s="4792">
        <f t="shared" ref="BU50:EF50" si="85">EOMONTH(BT50,3)</f>
        <v>49490</v>
      </c>
      <c r="BV50" s="4792">
        <f t="shared" si="85"/>
        <v>49582</v>
      </c>
      <c r="BW50" s="4793">
        <f t="shared" si="85"/>
        <v>49674</v>
      </c>
      <c r="BX50" s="4791">
        <f t="shared" si="85"/>
        <v>49765</v>
      </c>
      <c r="BY50" s="4792">
        <f t="shared" si="85"/>
        <v>49856</v>
      </c>
      <c r="BZ50" s="4792">
        <f t="shared" si="85"/>
        <v>49948</v>
      </c>
      <c r="CA50" s="4793">
        <f t="shared" si="85"/>
        <v>50040</v>
      </c>
      <c r="CB50" s="4791">
        <f t="shared" si="85"/>
        <v>50130</v>
      </c>
      <c r="CC50" s="4792">
        <f t="shared" si="85"/>
        <v>50221</v>
      </c>
      <c r="CD50" s="4792">
        <f t="shared" si="85"/>
        <v>50313</v>
      </c>
      <c r="CE50" s="4793">
        <f t="shared" si="85"/>
        <v>50405</v>
      </c>
      <c r="CF50" s="4791">
        <f t="shared" si="85"/>
        <v>50495</v>
      </c>
      <c r="CG50" s="4792">
        <f t="shared" si="85"/>
        <v>50586</v>
      </c>
      <c r="CH50" s="4792">
        <f t="shared" si="85"/>
        <v>50678</v>
      </c>
      <c r="CI50" s="4793">
        <f t="shared" si="85"/>
        <v>50770</v>
      </c>
      <c r="CJ50" s="4791">
        <f t="shared" si="85"/>
        <v>50860</v>
      </c>
      <c r="CK50" s="4792">
        <f t="shared" si="85"/>
        <v>50951</v>
      </c>
      <c r="CL50" s="4792">
        <f t="shared" si="85"/>
        <v>51043</v>
      </c>
      <c r="CM50" s="4793">
        <f t="shared" si="85"/>
        <v>51135</v>
      </c>
      <c r="CN50" s="4791">
        <f t="shared" si="85"/>
        <v>51226</v>
      </c>
      <c r="CO50" s="4792">
        <f t="shared" si="85"/>
        <v>51317</v>
      </c>
      <c r="CP50" s="4792">
        <f t="shared" si="85"/>
        <v>51409</v>
      </c>
      <c r="CQ50" s="4793">
        <f t="shared" si="85"/>
        <v>51501</v>
      </c>
      <c r="CR50" s="4791">
        <f t="shared" si="85"/>
        <v>51591</v>
      </c>
      <c r="CS50" s="4792">
        <f t="shared" si="85"/>
        <v>51682</v>
      </c>
      <c r="CT50" s="4792">
        <f t="shared" si="85"/>
        <v>51774</v>
      </c>
      <c r="CU50" s="4793">
        <f t="shared" si="85"/>
        <v>51866</v>
      </c>
      <c r="CV50" s="4791">
        <f t="shared" si="85"/>
        <v>51956</v>
      </c>
      <c r="CW50" s="4792">
        <f t="shared" si="85"/>
        <v>52047</v>
      </c>
      <c r="CX50" s="4792">
        <f t="shared" si="85"/>
        <v>52139</v>
      </c>
      <c r="CY50" s="4793">
        <f t="shared" si="85"/>
        <v>52231</v>
      </c>
      <c r="CZ50" s="4791">
        <f t="shared" si="85"/>
        <v>52321</v>
      </c>
      <c r="DA50" s="4792">
        <f t="shared" si="85"/>
        <v>52412</v>
      </c>
      <c r="DB50" s="4792">
        <f t="shared" si="85"/>
        <v>52504</v>
      </c>
      <c r="DC50" s="4793">
        <f t="shared" si="85"/>
        <v>52596</v>
      </c>
      <c r="DD50" s="4791">
        <f t="shared" si="85"/>
        <v>52687</v>
      </c>
      <c r="DE50" s="4792">
        <f t="shared" si="85"/>
        <v>52778</v>
      </c>
      <c r="DF50" s="4792">
        <f t="shared" si="85"/>
        <v>52870</v>
      </c>
      <c r="DG50" s="4793">
        <f t="shared" si="85"/>
        <v>52962</v>
      </c>
      <c r="DH50" s="4791">
        <f t="shared" si="85"/>
        <v>53052</v>
      </c>
      <c r="DI50" s="4792">
        <f t="shared" si="85"/>
        <v>53143</v>
      </c>
      <c r="DJ50" s="4792">
        <f t="shared" si="85"/>
        <v>53235</v>
      </c>
      <c r="DK50" s="4793">
        <f t="shared" si="85"/>
        <v>53327</v>
      </c>
      <c r="DL50" s="4791">
        <f t="shared" si="85"/>
        <v>53417</v>
      </c>
      <c r="DM50" s="4792">
        <f t="shared" si="85"/>
        <v>53508</v>
      </c>
      <c r="DN50" s="4792">
        <f t="shared" si="85"/>
        <v>53600</v>
      </c>
      <c r="DO50" s="4793">
        <f t="shared" si="85"/>
        <v>53692</v>
      </c>
      <c r="DP50" s="4791">
        <f t="shared" si="85"/>
        <v>53782</v>
      </c>
      <c r="DQ50" s="4792">
        <f t="shared" si="85"/>
        <v>53873</v>
      </c>
      <c r="DR50" s="4792">
        <f t="shared" si="85"/>
        <v>53965</v>
      </c>
      <c r="DS50" s="4793">
        <f t="shared" si="85"/>
        <v>54057</v>
      </c>
      <c r="DT50" s="4791">
        <f t="shared" si="85"/>
        <v>54148</v>
      </c>
      <c r="DU50" s="4792">
        <f t="shared" si="85"/>
        <v>54239</v>
      </c>
      <c r="DV50" s="4792">
        <f t="shared" si="85"/>
        <v>54331</v>
      </c>
      <c r="DW50" s="4793">
        <f t="shared" si="85"/>
        <v>54423</v>
      </c>
      <c r="DX50" s="4791">
        <f t="shared" si="85"/>
        <v>54513</v>
      </c>
      <c r="DY50" s="4792">
        <f t="shared" si="85"/>
        <v>54604</v>
      </c>
      <c r="DZ50" s="4792">
        <f t="shared" si="85"/>
        <v>54696</v>
      </c>
      <c r="EA50" s="4793">
        <f t="shared" si="85"/>
        <v>54788</v>
      </c>
      <c r="EB50" s="4791">
        <f t="shared" si="85"/>
        <v>54878</v>
      </c>
      <c r="EC50" s="4792">
        <f t="shared" si="85"/>
        <v>54969</v>
      </c>
      <c r="ED50" s="4792">
        <f t="shared" si="85"/>
        <v>55061</v>
      </c>
      <c r="EE50" s="4793">
        <f t="shared" si="85"/>
        <v>55153</v>
      </c>
      <c r="EF50" s="4791">
        <f t="shared" si="85"/>
        <v>55243</v>
      </c>
      <c r="EG50" s="4792">
        <f t="shared" ref="EG50:GE50" si="86">EOMONTH(EF50,3)</f>
        <v>55334</v>
      </c>
      <c r="EH50" s="4792">
        <f t="shared" si="86"/>
        <v>55426</v>
      </c>
      <c r="EI50" s="4793">
        <f t="shared" si="86"/>
        <v>55518</v>
      </c>
      <c r="EJ50" s="4791">
        <f t="shared" si="86"/>
        <v>55609</v>
      </c>
      <c r="EK50" s="4792">
        <f t="shared" si="86"/>
        <v>55700</v>
      </c>
      <c r="EL50" s="4792">
        <f t="shared" si="86"/>
        <v>55792</v>
      </c>
      <c r="EM50" s="4793">
        <f t="shared" si="86"/>
        <v>55884</v>
      </c>
      <c r="EN50" s="4791">
        <f t="shared" si="86"/>
        <v>55974</v>
      </c>
      <c r="EO50" s="4792">
        <f t="shared" si="86"/>
        <v>56065</v>
      </c>
      <c r="EP50" s="4792">
        <f t="shared" si="86"/>
        <v>56157</v>
      </c>
      <c r="EQ50" s="4793">
        <f t="shared" si="86"/>
        <v>56249</v>
      </c>
      <c r="ER50" s="4791">
        <f t="shared" si="86"/>
        <v>56339</v>
      </c>
      <c r="ES50" s="4792">
        <f t="shared" si="86"/>
        <v>56430</v>
      </c>
      <c r="ET50" s="4792">
        <f t="shared" si="86"/>
        <v>56522</v>
      </c>
      <c r="EU50" s="4793">
        <f t="shared" si="86"/>
        <v>56614</v>
      </c>
      <c r="EV50" s="4791">
        <f t="shared" si="86"/>
        <v>56704</v>
      </c>
      <c r="EW50" s="4792">
        <f t="shared" si="86"/>
        <v>56795</v>
      </c>
      <c r="EX50" s="4792">
        <f t="shared" si="86"/>
        <v>56887</v>
      </c>
      <c r="EY50" s="4793">
        <f t="shared" si="86"/>
        <v>56979</v>
      </c>
      <c r="EZ50" s="4791">
        <f t="shared" si="86"/>
        <v>57070</v>
      </c>
      <c r="FA50" s="4792">
        <f t="shared" si="86"/>
        <v>57161</v>
      </c>
      <c r="FB50" s="4792">
        <f t="shared" si="86"/>
        <v>57253</v>
      </c>
      <c r="FC50" s="4793">
        <f t="shared" si="86"/>
        <v>57345</v>
      </c>
      <c r="FD50" s="4791">
        <f t="shared" si="86"/>
        <v>57435</v>
      </c>
      <c r="FE50" s="4792">
        <f t="shared" si="86"/>
        <v>57526</v>
      </c>
      <c r="FF50" s="4792">
        <f t="shared" si="86"/>
        <v>57618</v>
      </c>
      <c r="FG50" s="4793">
        <f t="shared" si="86"/>
        <v>57710</v>
      </c>
      <c r="FH50" s="4791">
        <f t="shared" si="86"/>
        <v>57800</v>
      </c>
      <c r="FI50" s="4792">
        <f t="shared" si="86"/>
        <v>57891</v>
      </c>
      <c r="FJ50" s="4792">
        <f t="shared" si="86"/>
        <v>57983</v>
      </c>
      <c r="FK50" s="4793">
        <f t="shared" si="86"/>
        <v>58075</v>
      </c>
      <c r="FL50" s="4791">
        <f t="shared" si="86"/>
        <v>58165</v>
      </c>
      <c r="FM50" s="4792">
        <f t="shared" si="86"/>
        <v>58256</v>
      </c>
      <c r="FN50" s="4792">
        <f t="shared" si="86"/>
        <v>58348</v>
      </c>
      <c r="FO50" s="4793">
        <f t="shared" si="86"/>
        <v>58440</v>
      </c>
      <c r="FP50" s="4791">
        <f t="shared" si="86"/>
        <v>58531</v>
      </c>
      <c r="FQ50" s="4792">
        <f t="shared" si="86"/>
        <v>58622</v>
      </c>
      <c r="FR50" s="4792">
        <f t="shared" si="86"/>
        <v>58714</v>
      </c>
      <c r="FS50" s="4793">
        <f t="shared" si="86"/>
        <v>58806</v>
      </c>
      <c r="FT50" s="4791">
        <f t="shared" si="86"/>
        <v>58896</v>
      </c>
      <c r="FU50" s="4792">
        <f t="shared" si="86"/>
        <v>58987</v>
      </c>
      <c r="FV50" s="4792">
        <f t="shared" si="86"/>
        <v>59079</v>
      </c>
      <c r="FW50" s="4793">
        <f t="shared" si="86"/>
        <v>59171</v>
      </c>
      <c r="FX50" s="4791">
        <f t="shared" si="86"/>
        <v>59261</v>
      </c>
      <c r="FY50" s="4792">
        <f t="shared" si="86"/>
        <v>59352</v>
      </c>
      <c r="FZ50" s="4792">
        <f t="shared" si="86"/>
        <v>59444</v>
      </c>
      <c r="GA50" s="4793">
        <f t="shared" si="86"/>
        <v>59536</v>
      </c>
      <c r="GB50" s="4791">
        <f t="shared" si="86"/>
        <v>59626</v>
      </c>
      <c r="GC50" s="4792">
        <f t="shared" si="86"/>
        <v>59717</v>
      </c>
      <c r="GD50" s="4792">
        <f t="shared" si="86"/>
        <v>59809</v>
      </c>
      <c r="GE50" s="4794">
        <f t="shared" si="86"/>
        <v>59901</v>
      </c>
    </row>
    <row r="51" spans="2:187" s="302" customFormat="1" ht="17.100000000000001" customHeight="1">
      <c r="C51" s="4795" t="s">
        <v>1130</v>
      </c>
      <c r="D51" s="4796"/>
      <c r="E51" s="4797" t="s">
        <v>1131</v>
      </c>
      <c r="F51" s="4798">
        <f ca="1">SUM(P51:GE51)</f>
        <v>481.07387750191828</v>
      </c>
      <c r="G51" s="934"/>
      <c r="H51" s="4799">
        <v>2.9639801499999998</v>
      </c>
      <c r="I51" s="4800"/>
      <c r="J51" s="4800"/>
      <c r="K51" s="4801">
        <v>5</v>
      </c>
      <c r="L51" s="4802">
        <v>131.5697447</v>
      </c>
      <c r="M51" s="4803">
        <f>80+35.73391122</f>
        <v>115.73391122000001</v>
      </c>
      <c r="N51" s="4803">
        <v>13.4257302</v>
      </c>
      <c r="O51" s="4804">
        <v>-2.582678</v>
      </c>
      <c r="P51" s="4805">
        <f>'자금운영(현금)'!BF31</f>
        <v>0</v>
      </c>
      <c r="Q51" s="4806">
        <f>'자금운영(현금)'!BG31</f>
        <v>85.72</v>
      </c>
      <c r="R51" s="4807">
        <f>'자금운영(현금)'!BH31</f>
        <v>0</v>
      </c>
      <c r="S51" s="4808">
        <f>'자금운영(현금)'!BI31</f>
        <v>4.9158238000000001</v>
      </c>
      <c r="T51" s="4809"/>
      <c r="U51" s="4810">
        <v>60</v>
      </c>
      <c r="V51" s="4811"/>
      <c r="W51" s="4812"/>
      <c r="X51" s="4813">
        <f ca="1">MRG!Q67/10^8-U51-MRG!Q63/단위</f>
        <v>52.80835386677002</v>
      </c>
      <c r="Y51" s="4814">
        <f ca="1">MRG!R67/10^8-MRG!R63/10^8</f>
        <v>119.27230313059995</v>
      </c>
      <c r="Z51" s="4814"/>
      <c r="AA51" s="4815"/>
      <c r="AB51" s="4816"/>
      <c r="AC51" s="4814">
        <f ca="1">MRG!S67/10^8-MRG!S63/10^8</f>
        <v>114.21101101222435</v>
      </c>
      <c r="AD51" s="4814"/>
      <c r="AE51" s="4815"/>
      <c r="AF51" s="4816"/>
      <c r="AG51" s="4814">
        <f ca="1">MRG!T67/10^8-MRG!T63/10^8</f>
        <v>44.146385692323996</v>
      </c>
      <c r="AH51" s="4814"/>
      <c r="AI51" s="4815"/>
      <c r="AJ51" s="4816"/>
      <c r="AK51" s="4814"/>
      <c r="AL51" s="4814"/>
      <c r="AM51" s="4815"/>
      <c r="AN51" s="4816"/>
      <c r="AO51" s="4814"/>
      <c r="AP51" s="4814"/>
      <c r="AQ51" s="4815"/>
      <c r="AR51" s="4816"/>
      <c r="AS51" s="4814"/>
      <c r="AT51" s="4814"/>
      <c r="AU51" s="4815"/>
      <c r="AV51" s="4816"/>
      <c r="AW51" s="4814"/>
      <c r="AX51" s="4814"/>
      <c r="AY51" s="4815"/>
      <c r="AZ51" s="4816"/>
      <c r="BA51" s="4814"/>
      <c r="BB51" s="4814"/>
      <c r="BC51" s="4815"/>
      <c r="BD51" s="4816"/>
      <c r="BE51" s="4814"/>
      <c r="BF51" s="4814"/>
      <c r="BG51" s="4815"/>
      <c r="BH51" s="4816"/>
      <c r="BI51" s="4814"/>
      <c r="BJ51" s="4814"/>
      <c r="BK51" s="4815"/>
      <c r="BL51" s="4816"/>
      <c r="BM51" s="4814"/>
      <c r="BN51" s="4814"/>
      <c r="BO51" s="4815"/>
      <c r="BP51" s="4816"/>
      <c r="BQ51" s="4814"/>
      <c r="BR51" s="4814"/>
      <c r="BS51" s="4815"/>
      <c r="BT51" s="4816"/>
      <c r="BU51" s="4814"/>
      <c r="BV51" s="4814"/>
      <c r="BW51" s="4815"/>
      <c r="BX51" s="4816"/>
      <c r="BY51" s="4814"/>
      <c r="BZ51" s="4814"/>
      <c r="CA51" s="4815"/>
      <c r="CB51" s="4816"/>
      <c r="CC51" s="4814"/>
      <c r="CD51" s="4814"/>
      <c r="CE51" s="4815"/>
      <c r="CF51" s="4816"/>
      <c r="CG51" s="4814"/>
      <c r="CH51" s="4814"/>
      <c r="CI51" s="4815"/>
      <c r="CJ51" s="4816"/>
      <c r="CK51" s="4814"/>
      <c r="CL51" s="4814"/>
      <c r="CM51" s="4815"/>
      <c r="CN51" s="4816"/>
      <c r="CO51" s="4814"/>
      <c r="CP51" s="4814"/>
      <c r="CQ51" s="4815"/>
      <c r="CR51" s="4816"/>
      <c r="CS51" s="4814"/>
      <c r="CT51" s="4814"/>
      <c r="CU51" s="4815"/>
      <c r="CV51" s="4816"/>
      <c r="CW51" s="4814"/>
      <c r="CX51" s="4814"/>
      <c r="CY51" s="4815"/>
      <c r="CZ51" s="4816"/>
      <c r="DA51" s="4814"/>
      <c r="DB51" s="4814"/>
      <c r="DC51" s="4815"/>
      <c r="DD51" s="4816"/>
      <c r="DE51" s="4814"/>
      <c r="DF51" s="4814"/>
      <c r="DG51" s="4815"/>
      <c r="DH51" s="4816"/>
      <c r="DI51" s="4814"/>
      <c r="DJ51" s="4814"/>
      <c r="DK51" s="4815"/>
      <c r="DL51" s="4816"/>
      <c r="DM51" s="4814"/>
      <c r="DN51" s="4814"/>
      <c r="DO51" s="4815"/>
      <c r="DP51" s="4816"/>
      <c r="DQ51" s="4814"/>
      <c r="DR51" s="4814"/>
      <c r="DS51" s="4815"/>
      <c r="DT51" s="4816"/>
      <c r="DU51" s="4814"/>
      <c r="DV51" s="4814"/>
      <c r="DW51" s="4815"/>
      <c r="DX51" s="4816"/>
      <c r="DY51" s="4814"/>
      <c r="DZ51" s="4814"/>
      <c r="EA51" s="4815"/>
      <c r="EB51" s="4816"/>
      <c r="EC51" s="4814"/>
      <c r="ED51" s="4814"/>
      <c r="EE51" s="4815"/>
      <c r="EF51" s="4816"/>
      <c r="EG51" s="4814"/>
      <c r="EH51" s="4814"/>
      <c r="EI51" s="4815"/>
      <c r="EJ51" s="4816"/>
      <c r="EK51" s="4814"/>
      <c r="EL51" s="4814"/>
      <c r="EM51" s="4815"/>
      <c r="EN51" s="4816"/>
      <c r="EO51" s="4814"/>
      <c r="EP51" s="4814"/>
      <c r="EQ51" s="4815"/>
      <c r="ER51" s="4816"/>
      <c r="ES51" s="4814"/>
      <c r="ET51" s="4814"/>
      <c r="EU51" s="4815"/>
      <c r="EV51" s="4816"/>
      <c r="EW51" s="4814"/>
      <c r="EX51" s="4814"/>
      <c r="EY51" s="4815"/>
      <c r="EZ51" s="4816"/>
      <c r="FA51" s="4814"/>
      <c r="FB51" s="4814"/>
      <c r="FC51" s="4815"/>
      <c r="FD51" s="4816"/>
      <c r="FE51" s="4814"/>
      <c r="FF51" s="4814"/>
      <c r="FG51" s="4815"/>
      <c r="FH51" s="4816"/>
      <c r="FI51" s="4814"/>
      <c r="FJ51" s="4814"/>
      <c r="FK51" s="4815"/>
      <c r="FL51" s="4816"/>
      <c r="FM51" s="4814"/>
      <c r="FN51" s="4814"/>
      <c r="FO51" s="4815"/>
      <c r="FP51" s="4816"/>
      <c r="FQ51" s="4814"/>
      <c r="FR51" s="4814"/>
      <c r="FS51" s="4815"/>
      <c r="FT51" s="4816"/>
      <c r="FU51" s="4814"/>
      <c r="FV51" s="4814"/>
      <c r="FW51" s="4815"/>
      <c r="FX51" s="4816"/>
      <c r="FY51" s="4814"/>
      <c r="FZ51" s="4814"/>
      <c r="GA51" s="4815"/>
      <c r="GB51" s="4816"/>
      <c r="GC51" s="4814"/>
      <c r="GD51" s="4814"/>
      <c r="GE51" s="4817"/>
    </row>
    <row r="52" spans="2:187" s="302" customFormat="1" ht="17.100000000000001" customHeight="1" thickBot="1">
      <c r="C52" s="4818" t="s">
        <v>1130</v>
      </c>
      <c r="D52" s="4819"/>
      <c r="E52" s="4820" t="s">
        <v>1132</v>
      </c>
      <c r="F52" s="4821">
        <f ca="1">SUM(P52:GE52)</f>
        <v>555.56452046385482</v>
      </c>
      <c r="G52" s="934"/>
      <c r="H52" s="4822">
        <v>2.9639801499999998</v>
      </c>
      <c r="I52" s="4823">
        <f>MRG!N65/10^8</f>
        <v>136.56974478239997</v>
      </c>
      <c r="J52" s="4823"/>
      <c r="K52" s="4824">
        <f>MRG!N63/10^8</f>
        <v>0</v>
      </c>
      <c r="L52" s="4825"/>
      <c r="M52" s="4826"/>
      <c r="N52" s="4826">
        <f>MRG!O67/10^8</f>
        <v>129.15964141672885</v>
      </c>
      <c r="O52" s="4824"/>
      <c r="P52" s="4827"/>
      <c r="Q52" s="4828">
        <f>SUM(P51:S51)+MRG!P63/단위</f>
        <v>103.99844322999999</v>
      </c>
      <c r="R52" s="4829"/>
      <c r="S52" s="4830"/>
      <c r="T52" s="4827"/>
      <c r="U52" s="4829">
        <f ca="1">MRG!Q67/단위</f>
        <v>127.40945454205534</v>
      </c>
      <c r="V52" s="4829"/>
      <c r="W52" s="4830"/>
      <c r="X52" s="4827"/>
      <c r="Y52" s="4829">
        <f ca="1">MRG!R67/10^8</f>
        <v>134.56777271582553</v>
      </c>
      <c r="Z52" s="4829"/>
      <c r="AA52" s="4830"/>
      <c r="AB52" s="4827"/>
      <c r="AC52" s="4829">
        <f ca="1">MRG!S67/10^8</f>
        <v>129.73915563145067</v>
      </c>
      <c r="AD52" s="4829"/>
      <c r="AE52" s="4830"/>
      <c r="AF52" s="4827"/>
      <c r="AG52" s="4829">
        <f ca="1">MRG!T67/10^8</f>
        <v>59.849694344523293</v>
      </c>
      <c r="AH52" s="4829"/>
      <c r="AI52" s="4830"/>
      <c r="AJ52" s="4827"/>
      <c r="AK52" s="4829"/>
      <c r="AL52" s="4829"/>
      <c r="AM52" s="4830"/>
      <c r="AN52" s="4827"/>
      <c r="AO52" s="4829"/>
      <c r="AP52" s="4829"/>
      <c r="AQ52" s="4830"/>
      <c r="AR52" s="4827"/>
      <c r="AS52" s="4829"/>
      <c r="AT52" s="4829"/>
      <c r="AU52" s="4830"/>
      <c r="AV52" s="4827"/>
      <c r="AW52" s="4829"/>
      <c r="AX52" s="4829"/>
      <c r="AY52" s="4830"/>
      <c r="AZ52" s="4827"/>
      <c r="BA52" s="4829"/>
      <c r="BB52" s="4829"/>
      <c r="BC52" s="4830"/>
      <c r="BD52" s="4827"/>
      <c r="BE52" s="4829"/>
      <c r="BF52" s="4829"/>
      <c r="BG52" s="4830"/>
      <c r="BH52" s="4827"/>
      <c r="BI52" s="4829"/>
      <c r="BJ52" s="4829"/>
      <c r="BK52" s="4830"/>
      <c r="BL52" s="4827"/>
      <c r="BM52" s="4829"/>
      <c r="BN52" s="4829"/>
      <c r="BO52" s="4830"/>
      <c r="BP52" s="4827"/>
      <c r="BQ52" s="4829"/>
      <c r="BR52" s="4829"/>
      <c r="BS52" s="4830"/>
      <c r="BT52" s="4827"/>
      <c r="BU52" s="4829"/>
      <c r="BV52" s="4829"/>
      <c r="BW52" s="4830"/>
      <c r="BX52" s="4827"/>
      <c r="BY52" s="4829"/>
      <c r="BZ52" s="4829"/>
      <c r="CA52" s="4830"/>
      <c r="CB52" s="4827"/>
      <c r="CC52" s="4829"/>
      <c r="CD52" s="4829"/>
      <c r="CE52" s="4830"/>
      <c r="CF52" s="4827"/>
      <c r="CG52" s="4829"/>
      <c r="CH52" s="4829"/>
      <c r="CI52" s="4830"/>
      <c r="CJ52" s="4827"/>
      <c r="CK52" s="4829"/>
      <c r="CL52" s="4829"/>
      <c r="CM52" s="4830"/>
      <c r="CN52" s="4827"/>
      <c r="CO52" s="4829"/>
      <c r="CP52" s="4829"/>
      <c r="CQ52" s="4830"/>
      <c r="CR52" s="4827"/>
      <c r="CS52" s="4829"/>
      <c r="CT52" s="4829"/>
      <c r="CU52" s="4830"/>
      <c r="CV52" s="4827"/>
      <c r="CW52" s="4829"/>
      <c r="CX52" s="4829"/>
      <c r="CY52" s="4830"/>
      <c r="CZ52" s="4827"/>
      <c r="DA52" s="4829"/>
      <c r="DB52" s="4829"/>
      <c r="DC52" s="4830"/>
      <c r="DD52" s="4827"/>
      <c r="DE52" s="4829"/>
      <c r="DF52" s="4829"/>
      <c r="DG52" s="4830"/>
      <c r="DH52" s="4827"/>
      <c r="DI52" s="4829"/>
      <c r="DJ52" s="4829"/>
      <c r="DK52" s="4830"/>
      <c r="DL52" s="4827"/>
      <c r="DM52" s="4829"/>
      <c r="DN52" s="4829"/>
      <c r="DO52" s="4830"/>
      <c r="DP52" s="4827"/>
      <c r="DQ52" s="4829"/>
      <c r="DR52" s="4829"/>
      <c r="DS52" s="4830"/>
      <c r="DT52" s="4827"/>
      <c r="DU52" s="4829"/>
      <c r="DV52" s="4829"/>
      <c r="DW52" s="4830"/>
      <c r="DX52" s="4827"/>
      <c r="DY52" s="4829"/>
      <c r="DZ52" s="4829"/>
      <c r="EA52" s="4830"/>
      <c r="EB52" s="4827"/>
      <c r="EC52" s="4829"/>
      <c r="ED52" s="4829"/>
      <c r="EE52" s="4830"/>
      <c r="EF52" s="4827"/>
      <c r="EG52" s="4829"/>
      <c r="EH52" s="4829"/>
      <c r="EI52" s="4830"/>
      <c r="EJ52" s="4827"/>
      <c r="EK52" s="4829"/>
      <c r="EL52" s="4829"/>
      <c r="EM52" s="4830"/>
      <c r="EN52" s="4827"/>
      <c r="EO52" s="4829"/>
      <c r="EP52" s="4829"/>
      <c r="EQ52" s="4830"/>
      <c r="ER52" s="4827"/>
      <c r="ES52" s="4829"/>
      <c r="ET52" s="4829"/>
      <c r="EU52" s="4830"/>
      <c r="EV52" s="4827"/>
      <c r="EW52" s="4829"/>
      <c r="EX52" s="4829"/>
      <c r="EY52" s="4830"/>
      <c r="EZ52" s="4827"/>
      <c r="FA52" s="4829"/>
      <c r="FB52" s="4829"/>
      <c r="FC52" s="4830"/>
      <c r="FD52" s="4827"/>
      <c r="FE52" s="4829"/>
      <c r="FF52" s="4829"/>
      <c r="FG52" s="4830"/>
      <c r="FH52" s="4827"/>
      <c r="FI52" s="4829"/>
      <c r="FJ52" s="4829"/>
      <c r="FK52" s="4830"/>
      <c r="FL52" s="4827"/>
      <c r="FM52" s="4829"/>
      <c r="FN52" s="4829"/>
      <c r="FO52" s="4830"/>
      <c r="FP52" s="4827"/>
      <c r="FQ52" s="4829"/>
      <c r="FR52" s="4829"/>
      <c r="FS52" s="4830"/>
      <c r="FT52" s="4827"/>
      <c r="FU52" s="4829"/>
      <c r="FV52" s="4829"/>
      <c r="FW52" s="4830"/>
      <c r="FX52" s="4827"/>
      <c r="FY52" s="4829"/>
      <c r="FZ52" s="4829"/>
      <c r="GA52" s="4830"/>
      <c r="GB52" s="4827"/>
      <c r="GC52" s="4829"/>
      <c r="GD52" s="4829"/>
      <c r="GE52" s="4831"/>
    </row>
    <row r="53" spans="2:187" s="302" customFormat="1" ht="17.100000000000001" hidden="1" customHeight="1" outlineLevel="1">
      <c r="C53" s="4866"/>
      <c r="D53" s="4867"/>
      <c r="E53" s="4868" t="s">
        <v>5094</v>
      </c>
      <c r="F53" s="4869">
        <f>SUM(H53:GE53)</f>
        <v>486</v>
      </c>
      <c r="G53" s="4877"/>
      <c r="H53" s="4869">
        <f>Index!G10</f>
        <v>3</v>
      </c>
      <c r="I53" s="4869">
        <f>Index!H10</f>
        <v>3</v>
      </c>
      <c r="J53" s="4869">
        <f>Index!I10</f>
        <v>3</v>
      </c>
      <c r="K53" s="4869">
        <f>Index!J10</f>
        <v>3</v>
      </c>
      <c r="L53" s="4869">
        <f>Index!K10</f>
        <v>3</v>
      </c>
      <c r="M53" s="4869">
        <f>Index!L10</f>
        <v>3</v>
      </c>
      <c r="N53" s="4869">
        <f>Index!M10</f>
        <v>3</v>
      </c>
      <c r="O53" s="4869">
        <f>Index!N10</f>
        <v>3</v>
      </c>
      <c r="P53" s="4869">
        <f>Index!O10</f>
        <v>3</v>
      </c>
      <c r="Q53" s="4869">
        <f>Index!P10</f>
        <v>3</v>
      </c>
      <c r="R53" s="4869">
        <f>Index!Q10</f>
        <v>3</v>
      </c>
      <c r="S53" s="4869">
        <f>Index!R10</f>
        <v>3</v>
      </c>
      <c r="T53" s="4869">
        <f>Index!S10</f>
        <v>3</v>
      </c>
      <c r="U53" s="4869">
        <f>Index!T10</f>
        <v>3</v>
      </c>
      <c r="V53" s="4869">
        <f>Index!U10</f>
        <v>3</v>
      </c>
      <c r="W53" s="4869">
        <f>Index!V10</f>
        <v>3</v>
      </c>
      <c r="X53" s="4869">
        <f>Index!W10</f>
        <v>3</v>
      </c>
      <c r="Y53" s="4869">
        <f>Index!X10</f>
        <v>3</v>
      </c>
      <c r="Z53" s="4869">
        <f>Index!Y10</f>
        <v>3</v>
      </c>
      <c r="AA53" s="4869">
        <f>Index!Z10</f>
        <v>3</v>
      </c>
      <c r="AB53" s="4869">
        <f>Index!AA10</f>
        <v>3</v>
      </c>
      <c r="AC53" s="4869">
        <f>Index!AB10</f>
        <v>3</v>
      </c>
      <c r="AD53" s="4869">
        <f>Index!AC10</f>
        <v>3</v>
      </c>
      <c r="AE53" s="4869">
        <f>Index!AD10</f>
        <v>3</v>
      </c>
      <c r="AF53" s="4869">
        <f>Index!AE10</f>
        <v>3</v>
      </c>
      <c r="AG53" s="4869">
        <f>Index!AF10</f>
        <v>3</v>
      </c>
      <c r="AH53" s="4869">
        <f>Index!AG10</f>
        <v>3</v>
      </c>
      <c r="AI53" s="4869">
        <f>Index!AH10</f>
        <v>3</v>
      </c>
      <c r="AJ53" s="4869">
        <f>Index!AI10</f>
        <v>3</v>
      </c>
      <c r="AK53" s="4869">
        <f>Index!AJ10</f>
        <v>3</v>
      </c>
      <c r="AL53" s="4869">
        <f>Index!AK10</f>
        <v>3</v>
      </c>
      <c r="AM53" s="4869">
        <f>Index!AL10</f>
        <v>3</v>
      </c>
      <c r="AN53" s="4870">
        <f>Index!AM10</f>
        <v>3</v>
      </c>
      <c r="AO53" s="4870">
        <f>Index!AN10</f>
        <v>3</v>
      </c>
      <c r="AP53" s="4870">
        <f>Index!AO10</f>
        <v>3</v>
      </c>
      <c r="AQ53" s="4870">
        <f>Index!AP10</f>
        <v>3</v>
      </c>
      <c r="AR53" s="4870">
        <f>Index!AQ10</f>
        <v>3</v>
      </c>
      <c r="AS53" s="4870">
        <f>Index!AR10</f>
        <v>3</v>
      </c>
      <c r="AT53" s="4870">
        <f>Index!AS10</f>
        <v>3</v>
      </c>
      <c r="AU53" s="4870">
        <f>Index!AT10</f>
        <v>3</v>
      </c>
      <c r="AV53" s="4870">
        <f>Index!AU10</f>
        <v>3</v>
      </c>
      <c r="AW53" s="4870">
        <f>Index!AV10</f>
        <v>3</v>
      </c>
      <c r="AX53" s="4870">
        <f>Index!AW10</f>
        <v>3</v>
      </c>
      <c r="AY53" s="4870">
        <f>Index!AX10</f>
        <v>3</v>
      </c>
      <c r="AZ53" s="4870">
        <f>Index!AY10</f>
        <v>3</v>
      </c>
      <c r="BA53" s="4870">
        <f>Index!AZ10</f>
        <v>3</v>
      </c>
      <c r="BB53" s="4870">
        <f>Index!BA10</f>
        <v>3</v>
      </c>
      <c r="BC53" s="4870">
        <f>Index!BB10</f>
        <v>3</v>
      </c>
      <c r="BD53" s="4870">
        <f>Index!BC10</f>
        <v>3</v>
      </c>
      <c r="BE53" s="4870">
        <f>Index!BD10</f>
        <v>3</v>
      </c>
      <c r="BF53" s="4870">
        <f>Index!BE10</f>
        <v>3</v>
      </c>
      <c r="BG53" s="4870">
        <f>Index!BF10</f>
        <v>3</v>
      </c>
      <c r="BH53" s="4870">
        <f>Index!BG10</f>
        <v>3</v>
      </c>
      <c r="BI53" s="4870">
        <f>Index!BH10</f>
        <v>3</v>
      </c>
      <c r="BJ53" s="4870">
        <f>Index!BI10</f>
        <v>3</v>
      </c>
      <c r="BK53" s="4870">
        <f>Index!BJ10</f>
        <v>3</v>
      </c>
      <c r="BL53" s="4870">
        <f>Index!BK10</f>
        <v>3</v>
      </c>
      <c r="BM53" s="4870">
        <f>Index!BL10</f>
        <v>3</v>
      </c>
      <c r="BN53" s="4870">
        <f>Index!BM10</f>
        <v>3</v>
      </c>
      <c r="BO53" s="4870">
        <f>Index!BN10</f>
        <v>3</v>
      </c>
      <c r="BP53" s="4870">
        <f>Index!BO10</f>
        <v>3</v>
      </c>
      <c r="BQ53" s="4870">
        <f>Index!BP10</f>
        <v>3</v>
      </c>
      <c r="BR53" s="4870">
        <f>Index!BQ10</f>
        <v>3</v>
      </c>
      <c r="BS53" s="4870">
        <f>Index!BR10</f>
        <v>3</v>
      </c>
      <c r="BT53" s="4870">
        <f>Index!BS10</f>
        <v>3</v>
      </c>
      <c r="BU53" s="4870">
        <f>Index!BT10</f>
        <v>3</v>
      </c>
      <c r="BV53" s="4870">
        <f>Index!BU10</f>
        <v>3</v>
      </c>
      <c r="BW53" s="4870">
        <f>Index!BV10</f>
        <v>3</v>
      </c>
      <c r="BX53" s="4870">
        <f>Index!BW10</f>
        <v>3</v>
      </c>
      <c r="BY53" s="4870">
        <f>Index!BX10</f>
        <v>3</v>
      </c>
      <c r="BZ53" s="4870">
        <f>Index!BY10</f>
        <v>3</v>
      </c>
      <c r="CA53" s="4870">
        <f>Index!BZ10</f>
        <v>3</v>
      </c>
      <c r="CB53" s="4870">
        <f>Index!CA10</f>
        <v>3</v>
      </c>
      <c r="CC53" s="4870">
        <f>Index!CB10</f>
        <v>3</v>
      </c>
      <c r="CD53" s="4870">
        <f>Index!CC10</f>
        <v>3</v>
      </c>
      <c r="CE53" s="4870">
        <f>Index!CD10</f>
        <v>3</v>
      </c>
      <c r="CF53" s="4870">
        <f>Index!CE10</f>
        <v>3</v>
      </c>
      <c r="CG53" s="4870">
        <f>Index!CF10</f>
        <v>3</v>
      </c>
      <c r="CH53" s="4870">
        <f>Index!CG10</f>
        <v>3</v>
      </c>
      <c r="CI53" s="4870">
        <f>Index!CH10</f>
        <v>3</v>
      </c>
      <c r="CJ53" s="4870">
        <f>Index!CI10</f>
        <v>3</v>
      </c>
      <c r="CK53" s="4870">
        <f>Index!CJ10</f>
        <v>3</v>
      </c>
      <c r="CL53" s="4870">
        <f>Index!CK10</f>
        <v>3</v>
      </c>
      <c r="CM53" s="4870">
        <f>Index!CL10</f>
        <v>3</v>
      </c>
      <c r="CN53" s="4870">
        <f>Index!CM10</f>
        <v>3</v>
      </c>
      <c r="CO53" s="4870">
        <f>Index!CN10</f>
        <v>3</v>
      </c>
      <c r="CP53" s="4870">
        <f>Index!CO10</f>
        <v>3</v>
      </c>
      <c r="CQ53" s="4870">
        <f>Index!CP10</f>
        <v>3</v>
      </c>
      <c r="CR53" s="4870">
        <f>Index!CQ10</f>
        <v>3</v>
      </c>
      <c r="CS53" s="4870">
        <f>Index!CR10</f>
        <v>3</v>
      </c>
      <c r="CT53" s="4870">
        <f>Index!CS10</f>
        <v>3</v>
      </c>
      <c r="CU53" s="4870">
        <f>Index!CT10</f>
        <v>3</v>
      </c>
      <c r="CV53" s="4870">
        <f>Index!CU10</f>
        <v>3</v>
      </c>
      <c r="CW53" s="4870">
        <f>Index!CV10</f>
        <v>3</v>
      </c>
      <c r="CX53" s="4870">
        <f>Index!CW10</f>
        <v>3</v>
      </c>
      <c r="CY53" s="4870">
        <f>Index!CX10</f>
        <v>3</v>
      </c>
      <c r="CZ53" s="4870">
        <f>Index!CY10</f>
        <v>3</v>
      </c>
      <c r="DA53" s="4870">
        <f>Index!CZ10</f>
        <v>3</v>
      </c>
      <c r="DB53" s="4870">
        <f>Index!DA10</f>
        <v>3</v>
      </c>
      <c r="DC53" s="4870">
        <f>Index!DB10</f>
        <v>3</v>
      </c>
      <c r="DD53" s="4870">
        <f>Index!DC10</f>
        <v>3</v>
      </c>
      <c r="DE53" s="4870">
        <f>Index!DD10</f>
        <v>3</v>
      </c>
      <c r="DF53" s="4870">
        <f>Index!DE10</f>
        <v>3</v>
      </c>
      <c r="DG53" s="4870">
        <f>Index!DF10</f>
        <v>3</v>
      </c>
      <c r="DH53" s="4870">
        <f>Index!DG10</f>
        <v>3</v>
      </c>
      <c r="DI53" s="4870">
        <f>Index!DH10</f>
        <v>3</v>
      </c>
      <c r="DJ53" s="4870">
        <f>Index!DI10</f>
        <v>3</v>
      </c>
      <c r="DK53" s="4870">
        <f>Index!DJ10</f>
        <v>3</v>
      </c>
      <c r="DL53" s="4870">
        <f>Index!DK10</f>
        <v>3</v>
      </c>
      <c r="DM53" s="4870">
        <f>Index!DL10</f>
        <v>3</v>
      </c>
      <c r="DN53" s="4870">
        <f>Index!DM10</f>
        <v>3</v>
      </c>
      <c r="DO53" s="4870">
        <f>Index!DN10</f>
        <v>3</v>
      </c>
      <c r="DP53" s="4870">
        <f>Index!DO10</f>
        <v>3</v>
      </c>
      <c r="DQ53" s="4870">
        <f>Index!DP10</f>
        <v>3</v>
      </c>
      <c r="DR53" s="4870">
        <f>Index!DQ10</f>
        <v>3</v>
      </c>
      <c r="DS53" s="4870">
        <f>Index!DR10</f>
        <v>3</v>
      </c>
      <c r="DT53" s="4870">
        <f>Index!DS10</f>
        <v>3</v>
      </c>
      <c r="DU53" s="4870">
        <f>Index!DT10</f>
        <v>3</v>
      </c>
      <c r="DV53" s="4870">
        <f>Index!DU10</f>
        <v>3</v>
      </c>
      <c r="DW53" s="4870">
        <f>Index!DV10</f>
        <v>3</v>
      </c>
      <c r="DX53" s="4870">
        <f>Index!DW10</f>
        <v>3</v>
      </c>
      <c r="DY53" s="4870">
        <f>Index!DX10</f>
        <v>3</v>
      </c>
      <c r="DZ53" s="4869">
        <f>Index!DY10</f>
        <v>3</v>
      </c>
      <c r="EA53" s="4869">
        <f>Index!DZ10</f>
        <v>3</v>
      </c>
      <c r="EB53" s="4869">
        <f>Index!EA10</f>
        <v>3</v>
      </c>
      <c r="EC53" s="4869">
        <f>Index!EB10</f>
        <v>3</v>
      </c>
      <c r="ED53" s="4869">
        <f>Index!EC10</f>
        <v>3</v>
      </c>
      <c r="EE53" s="4869">
        <f>Index!ED10</f>
        <v>3</v>
      </c>
      <c r="EF53" s="4869">
        <f>Index!EE10</f>
        <v>3</v>
      </c>
      <c r="EG53" s="4869">
        <f>Index!EF10</f>
        <v>3</v>
      </c>
      <c r="EH53" s="4869">
        <f>Index!EG10</f>
        <v>3</v>
      </c>
      <c r="EI53" s="4869">
        <f>Index!EH10</f>
        <v>3</v>
      </c>
      <c r="EJ53" s="4870">
        <f>Index!EI10</f>
        <v>3</v>
      </c>
      <c r="EK53" s="4870">
        <f>Index!EJ10</f>
        <v>3</v>
      </c>
      <c r="EL53" s="4870">
        <f>Index!EK10</f>
        <v>3</v>
      </c>
      <c r="EM53" s="4870">
        <f>Index!EL10</f>
        <v>3</v>
      </c>
      <c r="EN53" s="4870">
        <f>Index!EM10</f>
        <v>3</v>
      </c>
      <c r="EO53" s="4870">
        <f>Index!EN10</f>
        <v>3</v>
      </c>
      <c r="EP53" s="4870">
        <f>Index!EO10</f>
        <v>3</v>
      </c>
      <c r="EQ53" s="4870">
        <f>Index!EP10</f>
        <v>3</v>
      </c>
      <c r="ER53" s="4870">
        <f>Index!EQ10</f>
        <v>3</v>
      </c>
      <c r="ES53" s="4870">
        <f>Index!ER10</f>
        <v>3</v>
      </c>
      <c r="ET53" s="4869">
        <f>Index!ES10</f>
        <v>3</v>
      </c>
      <c r="EU53" s="4869">
        <f>Index!ET10</f>
        <v>3</v>
      </c>
      <c r="EV53" s="4869">
        <f>Index!EU10</f>
        <v>3</v>
      </c>
      <c r="EW53" s="4869">
        <f>Index!EV10</f>
        <v>3</v>
      </c>
      <c r="EX53" s="4869">
        <f>Index!EW10</f>
        <v>3</v>
      </c>
      <c r="EY53" s="4869">
        <f>Index!EX10</f>
        <v>3</v>
      </c>
      <c r="EZ53" s="4869">
        <f>Index!EY10</f>
        <v>3</v>
      </c>
      <c r="FA53" s="4869">
        <f>Index!EZ10</f>
        <v>3</v>
      </c>
      <c r="FB53" s="4869">
        <f>Index!FA10</f>
        <v>3</v>
      </c>
      <c r="FC53" s="4869">
        <f>Index!FB10</f>
        <v>3</v>
      </c>
      <c r="FD53" s="4870">
        <f>Index!FC10</f>
        <v>3</v>
      </c>
      <c r="FE53" s="4870">
        <f>Index!FD10</f>
        <v>3</v>
      </c>
      <c r="FF53" s="4870">
        <f>Index!FE10</f>
        <v>3</v>
      </c>
      <c r="FG53" s="4870">
        <f>Index!FF10</f>
        <v>3</v>
      </c>
      <c r="FH53" s="4870">
        <f>Index!FG10</f>
        <v>3</v>
      </c>
      <c r="FI53" s="4870">
        <f>Index!FH10</f>
        <v>3</v>
      </c>
      <c r="FJ53" s="4870">
        <f>Index!FI10</f>
        <v>3</v>
      </c>
      <c r="FK53" s="4870">
        <f>Index!FJ10</f>
        <v>3</v>
      </c>
      <c r="FL53" s="4870">
        <f>Index!FK10</f>
        <v>3</v>
      </c>
      <c r="FM53" s="4870">
        <f>Index!FL10</f>
        <v>3</v>
      </c>
      <c r="FN53" s="4869">
        <f>Index!FM10</f>
        <v>0</v>
      </c>
      <c r="FO53" s="4869">
        <f>Index!FN10</f>
        <v>0</v>
      </c>
      <c r="FP53" s="4869">
        <f>Index!FO10</f>
        <v>0</v>
      </c>
      <c r="FQ53" s="4869">
        <f>Index!FP10</f>
        <v>0</v>
      </c>
      <c r="FR53" s="4869">
        <f>Index!FQ10</f>
        <v>0</v>
      </c>
      <c r="FS53" s="4869">
        <f>Index!FR10</f>
        <v>0</v>
      </c>
      <c r="FT53" s="4869">
        <f>Index!FS10</f>
        <v>0</v>
      </c>
      <c r="FU53" s="4869">
        <f>Index!FT10</f>
        <v>0</v>
      </c>
      <c r="FV53" s="4869">
        <f>Index!FU10</f>
        <v>0</v>
      </c>
      <c r="FW53" s="4869">
        <f>Index!FV10</f>
        <v>0</v>
      </c>
      <c r="FX53" s="4869">
        <f>Index!FW10</f>
        <v>0</v>
      </c>
      <c r="FY53" s="4869">
        <f>Index!FX10</f>
        <v>0</v>
      </c>
      <c r="FZ53" s="4869">
        <f>Index!FY10</f>
        <v>0</v>
      </c>
      <c r="GA53" s="4869">
        <f>Index!FZ10</f>
        <v>0</v>
      </c>
      <c r="GB53" s="4869">
        <f>Index!GA10</f>
        <v>0</v>
      </c>
      <c r="GC53" s="4869">
        <f>Index!GB10</f>
        <v>0</v>
      </c>
      <c r="GD53" s="4869">
        <f>Index!GC10</f>
        <v>0</v>
      </c>
      <c r="GE53" s="4871">
        <f>Index!GD10</f>
        <v>0</v>
      </c>
    </row>
    <row r="54" spans="2:187" s="302" customFormat="1" ht="17.100000000000001" hidden="1" customHeight="1" outlineLevel="1" thickBot="1">
      <c r="C54" s="4872"/>
      <c r="D54" s="4873"/>
      <c r="E54" s="4874" t="s">
        <v>5095</v>
      </c>
      <c r="F54" s="4875">
        <f>SUM(H54:GE54)</f>
        <v>1944.0000160000018</v>
      </c>
      <c r="G54" s="4878"/>
      <c r="H54" s="4875">
        <f>Index!G11</f>
        <v>12</v>
      </c>
      <c r="I54" s="4875">
        <f>Index!H11</f>
        <v>12</v>
      </c>
      <c r="J54" s="4875">
        <f>Index!I11</f>
        <v>12</v>
      </c>
      <c r="K54" s="4875">
        <f>Index!J11</f>
        <v>12</v>
      </c>
      <c r="L54" s="4875">
        <f>Index!K11</f>
        <v>12</v>
      </c>
      <c r="M54" s="4875">
        <f>Index!L11</f>
        <v>12</v>
      </c>
      <c r="N54" s="4875">
        <f>Index!M11</f>
        <v>12</v>
      </c>
      <c r="O54" s="4875">
        <f>Index!N11</f>
        <v>12</v>
      </c>
      <c r="P54" s="4875">
        <f>Index!O11</f>
        <v>12</v>
      </c>
      <c r="Q54" s="4875">
        <f>Index!P11</f>
        <v>12</v>
      </c>
      <c r="R54" s="4875">
        <f>Index!Q11</f>
        <v>12</v>
      </c>
      <c r="S54" s="4875">
        <f>Index!R11</f>
        <v>12</v>
      </c>
      <c r="T54" s="4875">
        <f>Index!S11</f>
        <v>12</v>
      </c>
      <c r="U54" s="4875">
        <f>Index!T11</f>
        <v>12</v>
      </c>
      <c r="V54" s="4875">
        <f>Index!U11</f>
        <v>12</v>
      </c>
      <c r="W54" s="4875">
        <f>Index!V11</f>
        <v>12</v>
      </c>
      <c r="X54" s="4875">
        <f>Index!W11</f>
        <v>12</v>
      </c>
      <c r="Y54" s="4875">
        <f>Index!X11</f>
        <v>12</v>
      </c>
      <c r="Z54" s="4875">
        <f>Index!Y11</f>
        <v>12</v>
      </c>
      <c r="AA54" s="4875">
        <f>Index!Z11</f>
        <v>12</v>
      </c>
      <c r="AB54" s="4875">
        <f>Index!AA11</f>
        <v>12</v>
      </c>
      <c r="AC54" s="4875">
        <f>Index!AB11</f>
        <v>12</v>
      </c>
      <c r="AD54" s="4875">
        <f>Index!AC11</f>
        <v>12</v>
      </c>
      <c r="AE54" s="4875">
        <f>Index!AD11</f>
        <v>12</v>
      </c>
      <c r="AF54" s="4875">
        <f>Index!AE11</f>
        <v>12</v>
      </c>
      <c r="AG54" s="4875">
        <f>Index!AF11</f>
        <v>12</v>
      </c>
      <c r="AH54" s="4875">
        <f>Index!AG11</f>
        <v>12</v>
      </c>
      <c r="AI54" s="4875">
        <f>Index!AH11</f>
        <v>12</v>
      </c>
      <c r="AJ54" s="4875">
        <f>Index!AI11</f>
        <v>12</v>
      </c>
      <c r="AK54" s="4875">
        <f>Index!AJ11</f>
        <v>12</v>
      </c>
      <c r="AL54" s="4875">
        <f>Index!AK11</f>
        <v>12</v>
      </c>
      <c r="AM54" s="4875">
        <f>Index!AL11</f>
        <v>12</v>
      </c>
      <c r="AN54" s="4875">
        <f>Index!AM11</f>
        <v>12</v>
      </c>
      <c r="AO54" s="4875">
        <f>Index!AN11</f>
        <v>12</v>
      </c>
      <c r="AP54" s="4875">
        <f>Index!AO11</f>
        <v>12</v>
      </c>
      <c r="AQ54" s="4875">
        <f>Index!AP11</f>
        <v>12</v>
      </c>
      <c r="AR54" s="4875">
        <f>Index!AQ11</f>
        <v>12</v>
      </c>
      <c r="AS54" s="4875">
        <f>Index!AR11</f>
        <v>12</v>
      </c>
      <c r="AT54" s="4875">
        <f>Index!AS11</f>
        <v>12</v>
      </c>
      <c r="AU54" s="4875">
        <f>Index!AT11</f>
        <v>12</v>
      </c>
      <c r="AV54" s="4875">
        <f>Index!AU11</f>
        <v>12</v>
      </c>
      <c r="AW54" s="4875">
        <f>Index!AV11</f>
        <v>12</v>
      </c>
      <c r="AX54" s="4875">
        <f>Index!AW11</f>
        <v>12</v>
      </c>
      <c r="AY54" s="4875">
        <f>Index!AX11</f>
        <v>12</v>
      </c>
      <c r="AZ54" s="4875">
        <f>Index!AY11</f>
        <v>12</v>
      </c>
      <c r="BA54" s="4875">
        <f>Index!AZ11</f>
        <v>12</v>
      </c>
      <c r="BB54" s="4875">
        <f>Index!BA11</f>
        <v>12</v>
      </c>
      <c r="BC54" s="4875">
        <f>Index!BB11</f>
        <v>12</v>
      </c>
      <c r="BD54" s="4875">
        <f>Index!BC11</f>
        <v>12</v>
      </c>
      <c r="BE54" s="4875">
        <f>Index!BD11</f>
        <v>12</v>
      </c>
      <c r="BF54" s="4875">
        <f>Index!BE11</f>
        <v>12</v>
      </c>
      <c r="BG54" s="4875">
        <f>Index!BF11</f>
        <v>12</v>
      </c>
      <c r="BH54" s="4875">
        <f>Index!BG11</f>
        <v>12</v>
      </c>
      <c r="BI54" s="4875">
        <f>Index!BH11</f>
        <v>12</v>
      </c>
      <c r="BJ54" s="4875">
        <f>Index!BI11</f>
        <v>12</v>
      </c>
      <c r="BK54" s="4875">
        <f>Index!BJ11</f>
        <v>12</v>
      </c>
      <c r="BL54" s="4875">
        <f>Index!BK11</f>
        <v>12</v>
      </c>
      <c r="BM54" s="4875">
        <f>Index!BL11</f>
        <v>12</v>
      </c>
      <c r="BN54" s="4875">
        <f>Index!BM11</f>
        <v>12</v>
      </c>
      <c r="BO54" s="4875">
        <f>Index!BN11</f>
        <v>12</v>
      </c>
      <c r="BP54" s="4875">
        <f>Index!BO11</f>
        <v>12</v>
      </c>
      <c r="BQ54" s="4875">
        <f>Index!BP11</f>
        <v>12</v>
      </c>
      <c r="BR54" s="4875">
        <f>Index!BQ11</f>
        <v>12</v>
      </c>
      <c r="BS54" s="4875">
        <f>Index!BR11</f>
        <v>12</v>
      </c>
      <c r="BT54" s="4875">
        <f>Index!BS11</f>
        <v>12</v>
      </c>
      <c r="BU54" s="4875">
        <f>Index!BT11</f>
        <v>12</v>
      </c>
      <c r="BV54" s="4875">
        <f>Index!BU11</f>
        <v>12</v>
      </c>
      <c r="BW54" s="4875">
        <f>Index!BV11</f>
        <v>12</v>
      </c>
      <c r="BX54" s="4875">
        <f>Index!BW11</f>
        <v>12</v>
      </c>
      <c r="BY54" s="4875">
        <f>Index!BX11</f>
        <v>12</v>
      </c>
      <c r="BZ54" s="4875">
        <f>Index!BY11</f>
        <v>12</v>
      </c>
      <c r="CA54" s="4875">
        <f>Index!BZ11</f>
        <v>12</v>
      </c>
      <c r="CB54" s="4875">
        <f>Index!CA11</f>
        <v>12</v>
      </c>
      <c r="CC54" s="4875">
        <f>Index!CB11</f>
        <v>12</v>
      </c>
      <c r="CD54" s="4875">
        <f>Index!CC11</f>
        <v>12</v>
      </c>
      <c r="CE54" s="4875">
        <f>Index!CD11</f>
        <v>12</v>
      </c>
      <c r="CF54" s="4875">
        <f>Index!CE11</f>
        <v>12</v>
      </c>
      <c r="CG54" s="4875">
        <f>Index!CF11</f>
        <v>12</v>
      </c>
      <c r="CH54" s="4875">
        <f>Index!CG11</f>
        <v>12</v>
      </c>
      <c r="CI54" s="4875">
        <f>Index!CH11</f>
        <v>12</v>
      </c>
      <c r="CJ54" s="4875">
        <f>Index!CI11</f>
        <v>12</v>
      </c>
      <c r="CK54" s="4875">
        <f>Index!CJ11</f>
        <v>12</v>
      </c>
      <c r="CL54" s="4875">
        <f>Index!CK11</f>
        <v>12</v>
      </c>
      <c r="CM54" s="4875">
        <f>Index!CL11</f>
        <v>12</v>
      </c>
      <c r="CN54" s="4875">
        <f>Index!CM11</f>
        <v>12</v>
      </c>
      <c r="CO54" s="4875">
        <f>Index!CN11</f>
        <v>12</v>
      </c>
      <c r="CP54" s="4875">
        <f>Index!CO11</f>
        <v>12</v>
      </c>
      <c r="CQ54" s="4875">
        <f>Index!CP11</f>
        <v>12</v>
      </c>
      <c r="CR54" s="4875">
        <f>Index!CQ11</f>
        <v>12</v>
      </c>
      <c r="CS54" s="4875">
        <f>Index!CR11</f>
        <v>12</v>
      </c>
      <c r="CT54" s="4875">
        <f>Index!CS11</f>
        <v>12</v>
      </c>
      <c r="CU54" s="4875">
        <f>Index!CT11</f>
        <v>12</v>
      </c>
      <c r="CV54" s="4875">
        <f>Index!CU11</f>
        <v>12</v>
      </c>
      <c r="CW54" s="4875">
        <f>Index!CV11</f>
        <v>12</v>
      </c>
      <c r="CX54" s="4875">
        <f>Index!CW11</f>
        <v>12</v>
      </c>
      <c r="CY54" s="4875">
        <f>Index!CX11</f>
        <v>12</v>
      </c>
      <c r="CZ54" s="4875">
        <f>Index!CY11</f>
        <v>12</v>
      </c>
      <c r="DA54" s="4875">
        <f>Index!CZ11</f>
        <v>12</v>
      </c>
      <c r="DB54" s="4875">
        <f>Index!DA11</f>
        <v>12</v>
      </c>
      <c r="DC54" s="4875">
        <f>Index!DB11</f>
        <v>12</v>
      </c>
      <c r="DD54" s="4875">
        <f>Index!DC11</f>
        <v>12</v>
      </c>
      <c r="DE54" s="4875">
        <f>Index!DD11</f>
        <v>12</v>
      </c>
      <c r="DF54" s="4875">
        <f>Index!DE11</f>
        <v>12</v>
      </c>
      <c r="DG54" s="4875">
        <f>Index!DF11</f>
        <v>12</v>
      </c>
      <c r="DH54" s="4875">
        <f>Index!DG11</f>
        <v>12</v>
      </c>
      <c r="DI54" s="4875">
        <f>Index!DH11</f>
        <v>12</v>
      </c>
      <c r="DJ54" s="4875">
        <f>Index!DI11</f>
        <v>12</v>
      </c>
      <c r="DK54" s="4875">
        <f>Index!DJ11</f>
        <v>12</v>
      </c>
      <c r="DL54" s="4875">
        <f>Index!DK11</f>
        <v>12</v>
      </c>
      <c r="DM54" s="4875">
        <f>Index!DL11</f>
        <v>12</v>
      </c>
      <c r="DN54" s="4875">
        <f>Index!DM11</f>
        <v>12</v>
      </c>
      <c r="DO54" s="4875">
        <f>Index!DN11</f>
        <v>12</v>
      </c>
      <c r="DP54" s="4875">
        <f>Index!DO11</f>
        <v>12</v>
      </c>
      <c r="DQ54" s="4875">
        <f>Index!DP11</f>
        <v>12</v>
      </c>
      <c r="DR54" s="4875">
        <f>Index!DQ11</f>
        <v>12</v>
      </c>
      <c r="DS54" s="4875">
        <f>Index!DR11</f>
        <v>12</v>
      </c>
      <c r="DT54" s="4875">
        <f>Index!DS11</f>
        <v>12</v>
      </c>
      <c r="DU54" s="4875">
        <f>Index!DT11</f>
        <v>12</v>
      </c>
      <c r="DV54" s="4875">
        <f>Index!DU11</f>
        <v>12</v>
      </c>
      <c r="DW54" s="4875">
        <f>Index!DV11</f>
        <v>12</v>
      </c>
      <c r="DX54" s="4875">
        <f>Index!DW11</f>
        <v>12</v>
      </c>
      <c r="DY54" s="4875">
        <f>Index!DX11</f>
        <v>12</v>
      </c>
      <c r="DZ54" s="4875">
        <f>Index!DY11</f>
        <v>12</v>
      </c>
      <c r="EA54" s="4875">
        <f>Index!DZ11</f>
        <v>12</v>
      </c>
      <c r="EB54" s="4875">
        <f>Index!EA11</f>
        <v>12</v>
      </c>
      <c r="EC54" s="4875">
        <f>Index!EB11</f>
        <v>12</v>
      </c>
      <c r="ED54" s="4875">
        <f>Index!EC11</f>
        <v>12</v>
      </c>
      <c r="EE54" s="4875">
        <f>Index!ED11</f>
        <v>12</v>
      </c>
      <c r="EF54" s="4875">
        <f>Index!EE11</f>
        <v>12</v>
      </c>
      <c r="EG54" s="4875">
        <f>Index!EF11</f>
        <v>12</v>
      </c>
      <c r="EH54" s="4875">
        <f>Index!EG11</f>
        <v>12</v>
      </c>
      <c r="EI54" s="4875">
        <f>Index!EH11</f>
        <v>12</v>
      </c>
      <c r="EJ54" s="4875">
        <f>Index!EI11</f>
        <v>12</v>
      </c>
      <c r="EK54" s="4875">
        <f>Index!EJ11</f>
        <v>12</v>
      </c>
      <c r="EL54" s="4875">
        <f>Index!EK11</f>
        <v>12</v>
      </c>
      <c r="EM54" s="4875">
        <f>Index!EL11</f>
        <v>12</v>
      </c>
      <c r="EN54" s="4875">
        <f>Index!EM11</f>
        <v>12</v>
      </c>
      <c r="EO54" s="4875">
        <f>Index!EN11</f>
        <v>12</v>
      </c>
      <c r="EP54" s="4875">
        <f>Index!EO11</f>
        <v>12</v>
      </c>
      <c r="EQ54" s="4875">
        <f>Index!EP11</f>
        <v>12</v>
      </c>
      <c r="ER54" s="4875">
        <f>Index!EQ11</f>
        <v>12</v>
      </c>
      <c r="ES54" s="4875">
        <f>Index!ER11</f>
        <v>12</v>
      </c>
      <c r="ET54" s="4875">
        <f>Index!ES11</f>
        <v>12</v>
      </c>
      <c r="EU54" s="4875">
        <f>Index!ET11</f>
        <v>12</v>
      </c>
      <c r="EV54" s="4875">
        <f>Index!EU11</f>
        <v>12</v>
      </c>
      <c r="EW54" s="4875">
        <f>Index!EV11</f>
        <v>12</v>
      </c>
      <c r="EX54" s="4875">
        <f>Index!EW11</f>
        <v>12</v>
      </c>
      <c r="EY54" s="4875">
        <f>Index!EX11</f>
        <v>12</v>
      </c>
      <c r="EZ54" s="4875">
        <f>Index!EY11</f>
        <v>12</v>
      </c>
      <c r="FA54" s="4875">
        <f>Index!EZ11</f>
        <v>12</v>
      </c>
      <c r="FB54" s="4875">
        <f>Index!FA11</f>
        <v>12</v>
      </c>
      <c r="FC54" s="4875">
        <f>Index!FB11</f>
        <v>12</v>
      </c>
      <c r="FD54" s="4875">
        <f>Index!FC11</f>
        <v>12</v>
      </c>
      <c r="FE54" s="4875">
        <f>Index!FD11</f>
        <v>12</v>
      </c>
      <c r="FF54" s="4875">
        <f>Index!FE11</f>
        <v>12</v>
      </c>
      <c r="FG54" s="4875">
        <f>Index!FF11</f>
        <v>12</v>
      </c>
      <c r="FH54" s="4875">
        <f>Index!FG11</f>
        <v>12</v>
      </c>
      <c r="FI54" s="4875">
        <f>Index!FH11</f>
        <v>12</v>
      </c>
      <c r="FJ54" s="4875">
        <f>Index!FI11</f>
        <v>12</v>
      </c>
      <c r="FK54" s="4875">
        <f>Index!FJ11</f>
        <v>12</v>
      </c>
      <c r="FL54" s="4875">
        <f>Index!FK11</f>
        <v>6</v>
      </c>
      <c r="FM54" s="4875">
        <f>Index!FL11</f>
        <v>6</v>
      </c>
      <c r="FN54" s="4875">
        <f>Index!FM11</f>
        <v>6</v>
      </c>
      <c r="FO54" s="4875">
        <f>Index!FN11</f>
        <v>6</v>
      </c>
      <c r="FP54" s="4875">
        <f>Index!FO11</f>
        <v>9.9999999999999995E-7</v>
      </c>
      <c r="FQ54" s="4875">
        <f>Index!FP11</f>
        <v>9.9999999999999995E-7</v>
      </c>
      <c r="FR54" s="4875">
        <f>Index!FQ11</f>
        <v>9.9999999999999995E-7</v>
      </c>
      <c r="FS54" s="4875">
        <f>Index!FR11</f>
        <v>9.9999999999999995E-7</v>
      </c>
      <c r="FT54" s="4875">
        <f>Index!FS11</f>
        <v>9.9999999999999995E-7</v>
      </c>
      <c r="FU54" s="4875">
        <f>Index!FT11</f>
        <v>9.9999999999999995E-7</v>
      </c>
      <c r="FV54" s="4875">
        <f>Index!FU11</f>
        <v>9.9999999999999995E-7</v>
      </c>
      <c r="FW54" s="4875">
        <f>Index!FV11</f>
        <v>9.9999999999999995E-7</v>
      </c>
      <c r="FX54" s="4875">
        <f>Index!FW11</f>
        <v>9.9999999999999995E-7</v>
      </c>
      <c r="FY54" s="4875">
        <f>Index!FX11</f>
        <v>9.9999999999999995E-7</v>
      </c>
      <c r="FZ54" s="4875">
        <f>Index!FY11</f>
        <v>9.9999999999999995E-7</v>
      </c>
      <c r="GA54" s="4875">
        <f>Index!FZ11</f>
        <v>9.9999999999999995E-7</v>
      </c>
      <c r="GB54" s="4875">
        <f>Index!GA11</f>
        <v>9.9999999999999995E-7</v>
      </c>
      <c r="GC54" s="4875">
        <f>Index!GB11</f>
        <v>9.9999999999999995E-7</v>
      </c>
      <c r="GD54" s="4875">
        <f>Index!GC11</f>
        <v>9.9999999999999995E-7</v>
      </c>
      <c r="GE54" s="4876">
        <f>Index!GD11</f>
        <v>9.9999999999999995E-7</v>
      </c>
    </row>
    <row r="55" spans="2:187" s="302" customFormat="1" ht="17.100000000000001" customHeight="1" collapsed="1">
      <c r="D55" s="331"/>
      <c r="E55" s="756"/>
      <c r="F55" s="934"/>
      <c r="G55" s="934"/>
      <c r="H55" s="788"/>
      <c r="I55" s="788"/>
      <c r="J55" s="788"/>
      <c r="K55" s="788"/>
      <c r="L55" s="788"/>
      <c r="M55" s="788"/>
      <c r="N55" s="788"/>
      <c r="O55" s="788"/>
      <c r="P55" s="788"/>
      <c r="Q55" s="788"/>
      <c r="R55" s="788"/>
      <c r="S55" s="788"/>
      <c r="T55" s="788"/>
      <c r="U55" s="788"/>
      <c r="V55" s="788"/>
      <c r="W55" s="788"/>
      <c r="X55" s="788"/>
      <c r="Y55" s="788"/>
      <c r="Z55" s="788"/>
      <c r="AA55" s="788"/>
      <c r="AB55" s="788"/>
      <c r="AC55" s="788"/>
      <c r="AD55" s="788"/>
      <c r="AE55" s="788"/>
      <c r="AF55" s="788"/>
      <c r="AG55" s="788"/>
      <c r="AH55" s="788"/>
      <c r="AI55" s="788"/>
      <c r="AJ55" s="788"/>
      <c r="AK55" s="788"/>
      <c r="AL55" s="788"/>
      <c r="AM55" s="788"/>
      <c r="AN55" s="788"/>
      <c r="AO55" s="788"/>
      <c r="AP55" s="788"/>
      <c r="AQ55" s="788"/>
      <c r="AR55" s="788"/>
      <c r="AS55" s="788"/>
      <c r="AT55" s="788"/>
      <c r="AU55" s="788"/>
      <c r="AV55" s="788"/>
      <c r="AW55" s="788"/>
      <c r="AX55" s="788"/>
      <c r="AY55" s="788"/>
      <c r="AZ55" s="788"/>
      <c r="BA55" s="788"/>
      <c r="BB55" s="788"/>
      <c r="BC55" s="788"/>
      <c r="BD55" s="788"/>
      <c r="BE55" s="788"/>
      <c r="BF55" s="788"/>
      <c r="BG55" s="788"/>
      <c r="BH55" s="788"/>
      <c r="BI55" s="788"/>
      <c r="BJ55" s="788"/>
      <c r="BK55" s="788"/>
      <c r="BL55" s="788"/>
      <c r="BM55" s="788"/>
      <c r="BN55" s="788"/>
      <c r="BO55" s="788"/>
      <c r="BP55" s="788"/>
      <c r="BQ55" s="788"/>
      <c r="BR55" s="788"/>
      <c r="BS55" s="788"/>
      <c r="BT55" s="788"/>
      <c r="BU55" s="788"/>
      <c r="BV55" s="788"/>
      <c r="BW55" s="788"/>
      <c r="BX55" s="788"/>
      <c r="BY55" s="788"/>
      <c r="BZ55" s="788"/>
      <c r="CA55" s="788"/>
      <c r="CB55" s="788"/>
      <c r="CC55" s="788"/>
      <c r="CD55" s="788"/>
      <c r="CE55" s="788"/>
      <c r="CF55" s="788"/>
      <c r="CG55" s="788"/>
      <c r="CH55" s="788"/>
      <c r="CI55" s="788"/>
      <c r="CJ55" s="788"/>
      <c r="CK55" s="788"/>
      <c r="CL55" s="788"/>
      <c r="CM55" s="788"/>
      <c r="CN55" s="788"/>
      <c r="CO55" s="788"/>
      <c r="CP55" s="788"/>
      <c r="CQ55" s="788"/>
      <c r="CR55" s="788"/>
      <c r="CS55" s="788"/>
      <c r="CT55" s="788"/>
      <c r="CU55" s="788"/>
      <c r="CV55" s="788"/>
      <c r="CW55" s="788"/>
      <c r="CX55" s="788"/>
      <c r="CY55" s="788"/>
      <c r="CZ55" s="788"/>
      <c r="DA55" s="788"/>
      <c r="DB55" s="788"/>
      <c r="DC55" s="788"/>
      <c r="DD55" s="788"/>
      <c r="DE55" s="788"/>
      <c r="DF55" s="788"/>
      <c r="DG55" s="788"/>
      <c r="DH55" s="788"/>
      <c r="DI55" s="788"/>
      <c r="DJ55" s="788"/>
      <c r="DK55" s="788"/>
      <c r="DL55" s="788"/>
      <c r="DM55" s="788"/>
      <c r="DN55" s="788"/>
      <c r="DO55" s="788"/>
      <c r="DP55" s="788"/>
      <c r="DQ55" s="788"/>
      <c r="DR55" s="788"/>
      <c r="DS55" s="788"/>
      <c r="DT55" s="788"/>
      <c r="DU55" s="788"/>
      <c r="DV55" s="788"/>
      <c r="DW55" s="788"/>
      <c r="DX55" s="788"/>
      <c r="DY55" s="788"/>
      <c r="DZ55" s="788"/>
      <c r="EA55" s="788"/>
      <c r="EB55" s="788"/>
      <c r="EC55" s="788"/>
      <c r="ED55" s="788"/>
      <c r="EE55" s="788"/>
      <c r="EF55" s="788"/>
      <c r="EG55" s="788"/>
      <c r="EH55" s="788"/>
      <c r="EI55" s="788"/>
      <c r="EJ55" s="788"/>
      <c r="EK55" s="788"/>
      <c r="EL55" s="788"/>
      <c r="EM55" s="788"/>
      <c r="EN55" s="788"/>
      <c r="EO55" s="788"/>
      <c r="EP55" s="788"/>
      <c r="EQ55" s="788"/>
      <c r="ER55" s="788"/>
      <c r="ES55" s="788"/>
      <c r="ET55" s="788"/>
      <c r="EU55" s="788"/>
      <c r="EV55" s="788"/>
      <c r="EW55" s="788"/>
      <c r="EX55" s="788"/>
      <c r="EY55" s="788"/>
      <c r="EZ55" s="788"/>
      <c r="FA55" s="788"/>
      <c r="FB55" s="788"/>
      <c r="FC55" s="788"/>
      <c r="FD55" s="788"/>
      <c r="FE55" s="788"/>
      <c r="FF55" s="788"/>
      <c r="FG55" s="788"/>
      <c r="FH55" s="788"/>
      <c r="FI55" s="788"/>
      <c r="FJ55" s="788"/>
      <c r="FK55" s="788"/>
      <c r="FL55" s="788"/>
      <c r="FM55" s="788"/>
      <c r="FN55" s="788"/>
      <c r="FO55" s="788"/>
      <c r="FP55" s="788"/>
      <c r="FQ55" s="788"/>
      <c r="FR55" s="788"/>
      <c r="FS55" s="788"/>
      <c r="FT55" s="788"/>
      <c r="FU55" s="788"/>
      <c r="FV55" s="788"/>
      <c r="FW55" s="788"/>
      <c r="FX55" s="788"/>
      <c r="FY55" s="788"/>
      <c r="FZ55" s="788"/>
      <c r="GA55" s="788"/>
      <c r="GB55" s="788"/>
      <c r="GC55" s="788"/>
      <c r="GD55" s="788"/>
      <c r="GE55" s="788"/>
    </row>
    <row r="56" spans="2:187" s="302" customFormat="1" ht="17.100000000000001" customHeight="1">
      <c r="D56" s="331"/>
      <c r="E56" s="756"/>
      <c r="F56" s="934"/>
      <c r="G56" s="934"/>
      <c r="H56" s="788"/>
      <c r="I56" s="788"/>
      <c r="J56" s="788"/>
      <c r="K56" s="788"/>
      <c r="L56" s="788"/>
      <c r="M56" s="788"/>
      <c r="N56" s="788"/>
      <c r="O56" s="788"/>
      <c r="P56" s="788"/>
      <c r="Q56" s="788"/>
      <c r="R56" s="788"/>
      <c r="S56" s="788"/>
      <c r="T56" s="788"/>
      <c r="U56" s="788"/>
      <c r="V56" s="788"/>
      <c r="W56" s="788"/>
      <c r="X56" s="788"/>
      <c r="Y56" s="788"/>
      <c r="Z56" s="788"/>
      <c r="AA56" s="788"/>
      <c r="AB56" s="788"/>
      <c r="AC56" s="788"/>
      <c r="AD56" s="788"/>
      <c r="AE56" s="788"/>
      <c r="AF56" s="788"/>
      <c r="AG56" s="788"/>
      <c r="AH56" s="788"/>
      <c r="AI56" s="788"/>
      <c r="AJ56" s="788"/>
      <c r="AK56" s="788"/>
      <c r="AL56" s="788"/>
      <c r="AM56" s="788"/>
      <c r="AN56" s="788"/>
      <c r="AO56" s="788"/>
      <c r="AP56" s="788"/>
      <c r="AQ56" s="788"/>
      <c r="AR56" s="788"/>
      <c r="AS56" s="788"/>
      <c r="AT56" s="788"/>
      <c r="AU56" s="788"/>
      <c r="AV56" s="788"/>
      <c r="AW56" s="788"/>
      <c r="AX56" s="788"/>
      <c r="AY56" s="788"/>
      <c r="AZ56" s="788"/>
      <c r="BA56" s="788"/>
      <c r="BB56" s="788"/>
      <c r="BC56" s="788"/>
      <c r="BD56" s="788"/>
      <c r="BE56" s="788"/>
      <c r="BF56" s="788"/>
      <c r="BG56" s="788"/>
      <c r="BH56" s="788"/>
      <c r="BI56" s="788"/>
      <c r="BJ56" s="788"/>
      <c r="BK56" s="788"/>
      <c r="BL56" s="788"/>
      <c r="BM56" s="788"/>
      <c r="BN56" s="788"/>
      <c r="BO56" s="788"/>
      <c r="BP56" s="788"/>
      <c r="BQ56" s="788"/>
      <c r="BR56" s="788"/>
      <c r="BS56" s="788"/>
      <c r="BT56" s="788"/>
      <c r="BU56" s="788"/>
      <c r="BV56" s="788"/>
      <c r="BW56" s="788"/>
      <c r="BX56" s="788"/>
      <c r="BY56" s="788"/>
      <c r="BZ56" s="788"/>
      <c r="CA56" s="788"/>
      <c r="CB56" s="788"/>
      <c r="CC56" s="788"/>
      <c r="CD56" s="788"/>
      <c r="CE56" s="788"/>
      <c r="CF56" s="788"/>
      <c r="CG56" s="788"/>
      <c r="CH56" s="788"/>
      <c r="CI56" s="788"/>
      <c r="CJ56" s="788"/>
      <c r="CK56" s="788"/>
      <c r="CL56" s="788"/>
      <c r="CM56" s="788"/>
      <c r="CN56" s="788"/>
      <c r="CO56" s="788"/>
      <c r="CP56" s="788"/>
      <c r="CQ56" s="788"/>
      <c r="CR56" s="788"/>
      <c r="CS56" s="788"/>
      <c r="CT56" s="788"/>
      <c r="CU56" s="788"/>
      <c r="CV56" s="788"/>
      <c r="CW56" s="788"/>
      <c r="CX56" s="788"/>
      <c r="CY56" s="788"/>
      <c r="CZ56" s="788"/>
      <c r="DA56" s="788"/>
      <c r="DB56" s="788"/>
      <c r="DC56" s="788"/>
      <c r="DD56" s="788"/>
      <c r="DE56" s="788"/>
      <c r="DF56" s="788"/>
      <c r="DG56" s="788"/>
      <c r="DH56" s="788"/>
      <c r="DI56" s="788"/>
      <c r="DJ56" s="788"/>
      <c r="DK56" s="788"/>
      <c r="DL56" s="788"/>
      <c r="DM56" s="788"/>
      <c r="DN56" s="788"/>
      <c r="DO56" s="788"/>
      <c r="DP56" s="788"/>
      <c r="DQ56" s="788"/>
      <c r="DR56" s="788"/>
      <c r="DS56" s="788"/>
      <c r="DT56" s="788"/>
      <c r="DU56" s="788"/>
      <c r="DV56" s="788"/>
      <c r="DW56" s="788"/>
      <c r="DX56" s="788"/>
      <c r="DY56" s="788"/>
      <c r="DZ56" s="788"/>
      <c r="EA56" s="788"/>
      <c r="EB56" s="788"/>
      <c r="EC56" s="788"/>
      <c r="ED56" s="788"/>
      <c r="EE56" s="788"/>
      <c r="EF56" s="788"/>
      <c r="EG56" s="788"/>
      <c r="EH56" s="788"/>
      <c r="EI56" s="788"/>
      <c r="EJ56" s="788"/>
      <c r="EK56" s="788"/>
      <c r="EL56" s="788"/>
      <c r="EM56" s="788"/>
      <c r="EN56" s="788"/>
      <c r="EO56" s="788"/>
      <c r="EP56" s="788"/>
      <c r="EQ56" s="788"/>
      <c r="ER56" s="788"/>
      <c r="ES56" s="788"/>
      <c r="ET56" s="788"/>
      <c r="EU56" s="788"/>
      <c r="EV56" s="788"/>
      <c r="EW56" s="788"/>
      <c r="EX56" s="788"/>
      <c r="EY56" s="788"/>
      <c r="EZ56" s="788"/>
      <c r="FA56" s="788"/>
      <c r="FB56" s="788"/>
      <c r="FC56" s="788"/>
      <c r="FD56" s="788"/>
      <c r="FE56" s="788"/>
      <c r="FF56" s="788"/>
      <c r="FG56" s="788"/>
      <c r="FH56" s="788"/>
      <c r="FI56" s="788"/>
      <c r="FJ56" s="788"/>
      <c r="FK56" s="788"/>
      <c r="FL56" s="788"/>
      <c r="FM56" s="788"/>
      <c r="FN56" s="788"/>
      <c r="FO56" s="788"/>
      <c r="FP56" s="788"/>
      <c r="FQ56" s="788"/>
      <c r="FR56" s="788"/>
      <c r="FS56" s="788"/>
      <c r="FT56" s="788"/>
      <c r="FU56" s="788"/>
      <c r="FV56" s="788"/>
      <c r="FW56" s="788"/>
      <c r="FX56" s="788"/>
      <c r="FY56" s="788"/>
      <c r="FZ56" s="788"/>
      <c r="GA56" s="788"/>
      <c r="GB56" s="788"/>
      <c r="GC56" s="788"/>
      <c r="GD56" s="788"/>
      <c r="GE56" s="788"/>
    </row>
    <row r="57" spans="2:187" ht="17.100000000000001" customHeight="1">
      <c r="B57" s="302"/>
      <c r="C57" s="302"/>
      <c r="D57" s="302"/>
    </row>
    <row r="58" spans="2:187" ht="17.100000000000001" customHeight="1">
      <c r="C58" s="4754" t="s">
        <v>5090</v>
      </c>
      <c r="D58" s="910"/>
      <c r="E58" s="719"/>
      <c r="F58" s="719" t="s">
        <v>40</v>
      </c>
      <c r="H58" s="4750">
        <v>2019</v>
      </c>
      <c r="I58" s="4750">
        <f>H58+1</f>
        <v>2020</v>
      </c>
      <c r="J58" s="766">
        <f t="shared" ref="J58:AZ58" si="87">I58+1</f>
        <v>2021</v>
      </c>
      <c r="K58" s="766">
        <f t="shared" si="87"/>
        <v>2022</v>
      </c>
      <c r="L58" s="766">
        <f t="shared" si="87"/>
        <v>2023</v>
      </c>
      <c r="M58" s="766">
        <f t="shared" si="87"/>
        <v>2024</v>
      </c>
      <c r="N58" s="766">
        <f t="shared" si="87"/>
        <v>2025</v>
      </c>
      <c r="O58" s="766">
        <f t="shared" si="87"/>
        <v>2026</v>
      </c>
      <c r="P58" s="766">
        <f t="shared" si="87"/>
        <v>2027</v>
      </c>
      <c r="Q58" s="766">
        <f t="shared" si="87"/>
        <v>2028</v>
      </c>
      <c r="R58" s="766">
        <f t="shared" si="87"/>
        <v>2029</v>
      </c>
      <c r="S58" s="766">
        <f t="shared" si="87"/>
        <v>2030</v>
      </c>
      <c r="T58" s="766">
        <f t="shared" si="87"/>
        <v>2031</v>
      </c>
      <c r="U58" s="766">
        <f t="shared" si="87"/>
        <v>2032</v>
      </c>
      <c r="V58" s="766">
        <f t="shared" si="87"/>
        <v>2033</v>
      </c>
      <c r="W58" s="766">
        <f t="shared" si="87"/>
        <v>2034</v>
      </c>
      <c r="X58" s="766">
        <f t="shared" si="87"/>
        <v>2035</v>
      </c>
      <c r="Y58" s="766">
        <f t="shared" si="87"/>
        <v>2036</v>
      </c>
      <c r="Z58" s="766">
        <f t="shared" si="87"/>
        <v>2037</v>
      </c>
      <c r="AA58" s="766">
        <f t="shared" si="87"/>
        <v>2038</v>
      </c>
      <c r="AB58" s="766">
        <f t="shared" si="87"/>
        <v>2039</v>
      </c>
      <c r="AC58" s="766">
        <f t="shared" si="87"/>
        <v>2040</v>
      </c>
      <c r="AD58" s="766">
        <f t="shared" si="87"/>
        <v>2041</v>
      </c>
      <c r="AE58" s="766">
        <f t="shared" si="87"/>
        <v>2042</v>
      </c>
      <c r="AF58" s="766">
        <f t="shared" si="87"/>
        <v>2043</v>
      </c>
      <c r="AG58" s="766">
        <f t="shared" si="87"/>
        <v>2044</v>
      </c>
      <c r="AH58" s="766">
        <f t="shared" si="87"/>
        <v>2045</v>
      </c>
      <c r="AI58" s="766">
        <f t="shared" si="87"/>
        <v>2046</v>
      </c>
      <c r="AJ58" s="766">
        <f t="shared" si="87"/>
        <v>2047</v>
      </c>
      <c r="AK58" s="766">
        <f t="shared" si="87"/>
        <v>2048</v>
      </c>
      <c r="AL58" s="766">
        <f t="shared" si="87"/>
        <v>2049</v>
      </c>
      <c r="AM58" s="766">
        <f t="shared" si="87"/>
        <v>2050</v>
      </c>
      <c r="AN58" s="766">
        <f t="shared" si="87"/>
        <v>2051</v>
      </c>
      <c r="AO58" s="766">
        <f t="shared" si="87"/>
        <v>2052</v>
      </c>
      <c r="AP58" s="766">
        <f t="shared" si="87"/>
        <v>2053</v>
      </c>
      <c r="AQ58" s="766">
        <f t="shared" si="87"/>
        <v>2054</v>
      </c>
      <c r="AR58" s="766">
        <f t="shared" si="87"/>
        <v>2055</v>
      </c>
      <c r="AS58" s="766">
        <f t="shared" si="87"/>
        <v>2056</v>
      </c>
      <c r="AT58" s="766">
        <f t="shared" si="87"/>
        <v>2057</v>
      </c>
      <c r="AU58" s="766">
        <f t="shared" si="87"/>
        <v>2058</v>
      </c>
      <c r="AV58" s="766">
        <f t="shared" si="87"/>
        <v>2059</v>
      </c>
      <c r="AW58" s="766">
        <f t="shared" si="87"/>
        <v>2060</v>
      </c>
      <c r="AX58" s="766">
        <f t="shared" si="87"/>
        <v>2061</v>
      </c>
      <c r="AY58" s="766">
        <f t="shared" si="87"/>
        <v>2062</v>
      </c>
      <c r="AZ58" s="766">
        <f t="shared" si="87"/>
        <v>2063</v>
      </c>
    </row>
    <row r="59" spans="2:187" s="302" customFormat="1" ht="17.100000000000001" customHeight="1">
      <c r="C59" s="307" t="s">
        <v>244</v>
      </c>
      <c r="D59" s="942"/>
      <c r="E59" s="943"/>
      <c r="F59" s="944">
        <f t="shared" ref="F59:F65" ca="1" si="88">SUM(J59:AZ59)</f>
        <v>14433.415324830419</v>
      </c>
      <c r="G59" s="493"/>
      <c r="H59" s="945">
        <f>SUMIF($33:$33,H$58,35:35)</f>
        <v>201.93458812</v>
      </c>
      <c r="I59" s="945">
        <f t="shared" ref="I59:AZ59" si="89">SUMIF($33:$33,I$58,35:35)</f>
        <v>228.67222892000001</v>
      </c>
      <c r="J59" s="946">
        <f t="shared" si="89"/>
        <v>214.58159649000001</v>
      </c>
      <c r="K59" s="946">
        <f t="shared" si="89"/>
        <v>220.43318867892762</v>
      </c>
      <c r="L59" s="946">
        <f t="shared" ca="1" si="89"/>
        <v>234.70089984000003</v>
      </c>
      <c r="M59" s="946">
        <f t="shared" ca="1" si="89"/>
        <v>248.6670702611041</v>
      </c>
      <c r="N59" s="946">
        <f t="shared" ca="1" si="89"/>
        <v>256.20243602659207</v>
      </c>
      <c r="O59" s="946">
        <f t="shared" ca="1" si="89"/>
        <v>263.73780179208012</v>
      </c>
      <c r="P59" s="946">
        <f t="shared" ca="1" si="89"/>
        <v>279.41136258429515</v>
      </c>
      <c r="Q59" s="946">
        <f t="shared" ca="1" si="89"/>
        <v>287.17278932274775</v>
      </c>
      <c r="R59" s="946">
        <f t="shared" ca="1" si="89"/>
        <v>294.9342160612004</v>
      </c>
      <c r="S59" s="946">
        <f t="shared" ca="1" si="89"/>
        <v>311.77651208364273</v>
      </c>
      <c r="T59" s="946">
        <f t="shared" ca="1" si="89"/>
        <v>314.97421989988516</v>
      </c>
      <c r="U59" s="946">
        <f t="shared" ca="1" si="89"/>
        <v>318.17192771612764</v>
      </c>
      <c r="V59" s="946">
        <f t="shared" ca="1" si="89"/>
        <v>331.01072459834126</v>
      </c>
      <c r="W59" s="946">
        <f t="shared" ca="1" si="89"/>
        <v>334.30436364907104</v>
      </c>
      <c r="X59" s="946">
        <f t="shared" ca="1" si="89"/>
        <v>337.59800269980076</v>
      </c>
      <c r="Y59" s="946">
        <f t="shared" ca="1" si="89"/>
        <v>351.1183910030465</v>
      </c>
      <c r="Z59" s="946">
        <f t="shared" ca="1" si="89"/>
        <v>354.51083922529818</v>
      </c>
      <c r="AA59" s="946">
        <f t="shared" ca="1" si="89"/>
        <v>357.90328744754976</v>
      </c>
      <c r="AB59" s="946">
        <f t="shared" ca="1" si="89"/>
        <v>372.1346077398955</v>
      </c>
      <c r="AC59" s="946">
        <f t="shared" ca="1" si="89"/>
        <v>375.62882940881468</v>
      </c>
      <c r="AD59" s="946">
        <f t="shared" ca="1" si="89"/>
        <v>379.12305107773392</v>
      </c>
      <c r="AE59" s="946">
        <f t="shared" ca="1" si="89"/>
        <v>394.09579092905273</v>
      </c>
      <c r="AF59" s="946">
        <f t="shared" ca="1" si="89"/>
        <v>397.69483924803956</v>
      </c>
      <c r="AG59" s="946">
        <f t="shared" ca="1" si="89"/>
        <v>401.29388756702639</v>
      </c>
      <c r="AH59" s="946">
        <f t="shared" ca="1" si="89"/>
        <v>417.03972396259354</v>
      </c>
      <c r="AI59" s="946">
        <f t="shared" ca="1" si="89"/>
        <v>420.74674373114993</v>
      </c>
      <c r="AJ59" s="946">
        <f t="shared" ca="1" si="89"/>
        <v>424.45376349970627</v>
      </c>
      <c r="AK59" s="946">
        <f t="shared" ca="1" si="89"/>
        <v>441.00560676631062</v>
      </c>
      <c r="AL59" s="946">
        <f t="shared" ca="1" si="89"/>
        <v>444.82383712792364</v>
      </c>
      <c r="AM59" s="946">
        <f t="shared" ca="1" si="89"/>
        <v>448.64206748953666</v>
      </c>
      <c r="AN59" s="946">
        <f t="shared" ca="1" si="89"/>
        <v>466.03410678668433</v>
      </c>
      <c r="AO59" s="946">
        <f t="shared" ca="1" si="89"/>
        <v>469.96688405914574</v>
      </c>
      <c r="AP59" s="946">
        <f t="shared" ca="1" si="89"/>
        <v>473.89966133160721</v>
      </c>
      <c r="AQ59" s="946">
        <f t="shared" ca="1" si="89"/>
        <v>492.16741176219068</v>
      </c>
      <c r="AR59" s="946">
        <f t="shared" ca="1" si="89"/>
        <v>496.218172352826</v>
      </c>
      <c r="AS59" s="946">
        <f t="shared" ca="1" si="89"/>
        <v>500.26893294346138</v>
      </c>
      <c r="AT59" s="946">
        <f t="shared" ca="1" si="89"/>
        <v>519.44928434011956</v>
      </c>
      <c r="AU59" s="946">
        <f t="shared" ca="1" si="89"/>
        <v>523.62156774847392</v>
      </c>
      <c r="AV59" s="946">
        <f t="shared" ca="1" si="89"/>
        <v>263.89692557841414</v>
      </c>
      <c r="AW59" s="946">
        <f t="shared" si="89"/>
        <v>0</v>
      </c>
      <c r="AX59" s="946">
        <f t="shared" si="89"/>
        <v>0</v>
      </c>
      <c r="AY59" s="946">
        <f t="shared" si="89"/>
        <v>0</v>
      </c>
      <c r="AZ59" s="946">
        <f t="shared" si="89"/>
        <v>0</v>
      </c>
    </row>
    <row r="60" spans="2:187" s="302" customFormat="1" ht="17.100000000000001" customHeight="1">
      <c r="C60" s="307" t="s">
        <v>1133</v>
      </c>
      <c r="D60" s="331"/>
      <c r="E60" s="742"/>
      <c r="F60" s="767">
        <f t="shared" si="88"/>
        <v>321.13638824000003</v>
      </c>
      <c r="G60" s="493"/>
      <c r="H60" s="947">
        <f>SUMIF($33:$33,H$58,38:38)</f>
        <v>9.4773434000000005</v>
      </c>
      <c r="I60" s="947">
        <f t="shared" ref="I60:AZ60" si="90">SUMIF($33:$33,I$58,38:38)</f>
        <v>10.361379599999999</v>
      </c>
      <c r="J60" s="948">
        <f t="shared" si="90"/>
        <v>8.4653314399999999</v>
      </c>
      <c r="K60" s="948">
        <f t="shared" si="90"/>
        <v>8.3378948479999995</v>
      </c>
      <c r="L60" s="948">
        <f t="shared" si="90"/>
        <v>8.3378948479999995</v>
      </c>
      <c r="M60" s="948">
        <f t="shared" si="90"/>
        <v>8.3378948479999995</v>
      </c>
      <c r="N60" s="948">
        <f t="shared" si="90"/>
        <v>8.3378948479999995</v>
      </c>
      <c r="O60" s="948">
        <f t="shared" si="90"/>
        <v>8.3378948479999995</v>
      </c>
      <c r="P60" s="948">
        <f t="shared" si="90"/>
        <v>8.3378948479999995</v>
      </c>
      <c r="Q60" s="948">
        <f t="shared" si="90"/>
        <v>8.3378948479999995</v>
      </c>
      <c r="R60" s="948">
        <f t="shared" si="90"/>
        <v>8.3378948479999995</v>
      </c>
      <c r="S60" s="948">
        <f t="shared" si="90"/>
        <v>8.3378948479999995</v>
      </c>
      <c r="T60" s="948">
        <f t="shared" si="90"/>
        <v>8.3378948479999995</v>
      </c>
      <c r="U60" s="948">
        <f t="shared" si="90"/>
        <v>8.3378948479999995</v>
      </c>
      <c r="V60" s="948">
        <f t="shared" si="90"/>
        <v>8.3378948479999995</v>
      </c>
      <c r="W60" s="948">
        <f t="shared" si="90"/>
        <v>8.3378948479999995</v>
      </c>
      <c r="X60" s="948">
        <f t="shared" si="90"/>
        <v>8.3378948479999995</v>
      </c>
      <c r="Y60" s="948">
        <f t="shared" si="90"/>
        <v>8.3378948479999995</v>
      </c>
      <c r="Z60" s="948">
        <f t="shared" si="90"/>
        <v>8.3378948479999995</v>
      </c>
      <c r="AA60" s="948">
        <f t="shared" si="90"/>
        <v>8.3378948479999995</v>
      </c>
      <c r="AB60" s="948">
        <f t="shared" si="90"/>
        <v>8.3378948479999995</v>
      </c>
      <c r="AC60" s="948">
        <f t="shared" si="90"/>
        <v>8.3378948479999995</v>
      </c>
      <c r="AD60" s="948">
        <f t="shared" si="90"/>
        <v>8.3378948479999995</v>
      </c>
      <c r="AE60" s="948">
        <f t="shared" si="90"/>
        <v>8.3378948479999995</v>
      </c>
      <c r="AF60" s="948">
        <f t="shared" si="90"/>
        <v>8.3378948479999995</v>
      </c>
      <c r="AG60" s="948">
        <f t="shared" si="90"/>
        <v>8.3378948479999995</v>
      </c>
      <c r="AH60" s="948">
        <f t="shared" si="90"/>
        <v>8.3378948479999995</v>
      </c>
      <c r="AI60" s="948">
        <f t="shared" si="90"/>
        <v>8.3378948479999995</v>
      </c>
      <c r="AJ60" s="948">
        <f t="shared" si="90"/>
        <v>8.3378948479999995</v>
      </c>
      <c r="AK60" s="948">
        <f t="shared" si="90"/>
        <v>8.3378948479999995</v>
      </c>
      <c r="AL60" s="948">
        <f t="shared" si="90"/>
        <v>8.3378948479999995</v>
      </c>
      <c r="AM60" s="948">
        <f t="shared" si="90"/>
        <v>8.3378948479999995</v>
      </c>
      <c r="AN60" s="948">
        <f t="shared" si="90"/>
        <v>8.3378948479999995</v>
      </c>
      <c r="AO60" s="948">
        <f t="shared" si="90"/>
        <v>8.3378948479999995</v>
      </c>
      <c r="AP60" s="948">
        <f t="shared" si="90"/>
        <v>8.3378948479999995</v>
      </c>
      <c r="AQ60" s="948">
        <f t="shared" si="90"/>
        <v>8.3378948479999995</v>
      </c>
      <c r="AR60" s="948">
        <f t="shared" si="90"/>
        <v>8.3378948479999995</v>
      </c>
      <c r="AS60" s="948">
        <f t="shared" si="90"/>
        <v>8.3378948479999995</v>
      </c>
      <c r="AT60" s="948">
        <f t="shared" si="90"/>
        <v>8.3378948479999995</v>
      </c>
      <c r="AU60" s="948">
        <f t="shared" si="90"/>
        <v>8.3378948479999995</v>
      </c>
      <c r="AV60" s="948">
        <f t="shared" si="90"/>
        <v>4.1689474239999997</v>
      </c>
      <c r="AW60" s="948">
        <f t="shared" si="90"/>
        <v>0</v>
      </c>
      <c r="AX60" s="948">
        <f t="shared" si="90"/>
        <v>0</v>
      </c>
      <c r="AY60" s="948">
        <f t="shared" si="90"/>
        <v>0</v>
      </c>
      <c r="AZ60" s="948">
        <f t="shared" si="90"/>
        <v>0</v>
      </c>
    </row>
    <row r="61" spans="2:187" s="302" customFormat="1" ht="17.100000000000001" customHeight="1">
      <c r="C61" s="307" t="s">
        <v>1134</v>
      </c>
      <c r="D61" s="331"/>
      <c r="E61" s="742"/>
      <c r="F61" s="767">
        <f t="shared" si="88"/>
        <v>9.2785404900000046</v>
      </c>
      <c r="G61" s="493"/>
      <c r="H61" s="947">
        <f>SUMIF($33:$33,H$58,39:39)</f>
        <v>0.2091556</v>
      </c>
      <c r="I61" s="947">
        <f t="shared" ref="I61:AZ61" si="91">SUMIF($33:$33,I$58,39:39)</f>
        <v>0.41002554999999996</v>
      </c>
      <c r="J61" s="948">
        <f t="shared" si="91"/>
        <v>0.27854049000000003</v>
      </c>
      <c r="K61" s="948">
        <f t="shared" si="91"/>
        <v>0.24</v>
      </c>
      <c r="L61" s="948">
        <f t="shared" si="91"/>
        <v>0.24</v>
      </c>
      <c r="M61" s="948">
        <f t="shared" si="91"/>
        <v>0.24</v>
      </c>
      <c r="N61" s="948">
        <f t="shared" si="91"/>
        <v>0.24</v>
      </c>
      <c r="O61" s="948">
        <f t="shared" si="91"/>
        <v>0.24</v>
      </c>
      <c r="P61" s="948">
        <f t="shared" si="91"/>
        <v>0.24</v>
      </c>
      <c r="Q61" s="948">
        <f t="shared" si="91"/>
        <v>0.24</v>
      </c>
      <c r="R61" s="948">
        <f t="shared" si="91"/>
        <v>0.24</v>
      </c>
      <c r="S61" s="948">
        <f t="shared" si="91"/>
        <v>0.24</v>
      </c>
      <c r="T61" s="948">
        <f t="shared" si="91"/>
        <v>0.24</v>
      </c>
      <c r="U61" s="948">
        <f t="shared" si="91"/>
        <v>0.24</v>
      </c>
      <c r="V61" s="948">
        <f t="shared" si="91"/>
        <v>0.24</v>
      </c>
      <c r="W61" s="948">
        <f t="shared" si="91"/>
        <v>0.24</v>
      </c>
      <c r="X61" s="948">
        <f t="shared" si="91"/>
        <v>0.24</v>
      </c>
      <c r="Y61" s="948">
        <f t="shared" si="91"/>
        <v>0.24</v>
      </c>
      <c r="Z61" s="948">
        <f t="shared" si="91"/>
        <v>0.24</v>
      </c>
      <c r="AA61" s="948">
        <f t="shared" si="91"/>
        <v>0.24</v>
      </c>
      <c r="AB61" s="948">
        <f t="shared" si="91"/>
        <v>0.24</v>
      </c>
      <c r="AC61" s="948">
        <f t="shared" si="91"/>
        <v>0.24</v>
      </c>
      <c r="AD61" s="948">
        <f t="shared" si="91"/>
        <v>0.24</v>
      </c>
      <c r="AE61" s="948">
        <f t="shared" si="91"/>
        <v>0.24</v>
      </c>
      <c r="AF61" s="948">
        <f t="shared" si="91"/>
        <v>0.24</v>
      </c>
      <c r="AG61" s="948">
        <f t="shared" si="91"/>
        <v>0.24</v>
      </c>
      <c r="AH61" s="948">
        <f t="shared" si="91"/>
        <v>0.24</v>
      </c>
      <c r="AI61" s="948">
        <f t="shared" si="91"/>
        <v>0.24</v>
      </c>
      <c r="AJ61" s="948">
        <f t="shared" si="91"/>
        <v>0.24</v>
      </c>
      <c r="AK61" s="948">
        <f t="shared" si="91"/>
        <v>0.24</v>
      </c>
      <c r="AL61" s="948">
        <f t="shared" si="91"/>
        <v>0.24</v>
      </c>
      <c r="AM61" s="948">
        <f t="shared" si="91"/>
        <v>0.24</v>
      </c>
      <c r="AN61" s="948">
        <f t="shared" si="91"/>
        <v>0.24</v>
      </c>
      <c r="AO61" s="948">
        <f t="shared" si="91"/>
        <v>0.24</v>
      </c>
      <c r="AP61" s="948">
        <f t="shared" si="91"/>
        <v>0.24</v>
      </c>
      <c r="AQ61" s="948">
        <f t="shared" si="91"/>
        <v>0.24</v>
      </c>
      <c r="AR61" s="948">
        <f t="shared" si="91"/>
        <v>0.24</v>
      </c>
      <c r="AS61" s="948">
        <f t="shared" si="91"/>
        <v>0.24</v>
      </c>
      <c r="AT61" s="948">
        <f t="shared" si="91"/>
        <v>0.24</v>
      </c>
      <c r="AU61" s="948">
        <f t="shared" si="91"/>
        <v>0.24</v>
      </c>
      <c r="AV61" s="948">
        <f t="shared" si="91"/>
        <v>0.12</v>
      </c>
      <c r="AW61" s="948">
        <f t="shared" si="91"/>
        <v>0</v>
      </c>
      <c r="AX61" s="948">
        <f t="shared" si="91"/>
        <v>0</v>
      </c>
      <c r="AY61" s="948">
        <f t="shared" si="91"/>
        <v>0</v>
      </c>
      <c r="AZ61" s="948">
        <f t="shared" si="91"/>
        <v>0</v>
      </c>
    </row>
    <row r="62" spans="2:187" s="302" customFormat="1" ht="17.100000000000001" customHeight="1">
      <c r="C62" s="307" t="s">
        <v>1135</v>
      </c>
      <c r="D62" s="331"/>
      <c r="E62" s="742"/>
      <c r="F62" s="767">
        <f t="shared" ca="1" si="88"/>
        <v>793.45799953283142</v>
      </c>
      <c r="G62" s="493"/>
      <c r="H62" s="947">
        <f>SUMIF($33:$33,H$58,40:40)</f>
        <v>20.018000000000001</v>
      </c>
      <c r="I62" s="947">
        <f t="shared" ref="I62:AZ62" si="92">SUMIF($33:$33,I$58,40:40)</f>
        <v>20</v>
      </c>
      <c r="J62" s="948">
        <f t="shared" si="92"/>
        <v>21</v>
      </c>
      <c r="K62" s="948">
        <f t="shared" si="92"/>
        <v>21</v>
      </c>
      <c r="L62" s="948">
        <f t="shared" ca="1" si="92"/>
        <v>21</v>
      </c>
      <c r="M62" s="948">
        <f t="shared" ca="1" si="92"/>
        <v>22.05</v>
      </c>
      <c r="N62" s="948">
        <f t="shared" ca="1" si="92"/>
        <v>15.435</v>
      </c>
      <c r="O62" s="948">
        <f t="shared" ca="1" si="92"/>
        <v>15.435</v>
      </c>
      <c r="P62" s="948">
        <f t="shared" ca="1" si="92"/>
        <v>16.206750000000003</v>
      </c>
      <c r="Q62" s="948">
        <f t="shared" ca="1" si="92"/>
        <v>16.206750000000003</v>
      </c>
      <c r="R62" s="948">
        <f t="shared" ca="1" si="92"/>
        <v>16.206750000000003</v>
      </c>
      <c r="S62" s="948">
        <f t="shared" ca="1" si="92"/>
        <v>17.017087499999999</v>
      </c>
      <c r="T62" s="948">
        <f t="shared" ca="1" si="92"/>
        <v>17.017087499999999</v>
      </c>
      <c r="U62" s="948">
        <f t="shared" ca="1" si="92"/>
        <v>17.017087499999999</v>
      </c>
      <c r="V62" s="948">
        <f t="shared" ca="1" si="92"/>
        <v>17.867941875000003</v>
      </c>
      <c r="W62" s="948">
        <f t="shared" ca="1" si="92"/>
        <v>17.867941875000003</v>
      </c>
      <c r="X62" s="948">
        <f t="shared" ca="1" si="92"/>
        <v>17.867941875000003</v>
      </c>
      <c r="Y62" s="948">
        <f t="shared" ca="1" si="92"/>
        <v>18.761338968750007</v>
      </c>
      <c r="Z62" s="948">
        <f t="shared" ca="1" si="92"/>
        <v>18.761338968750007</v>
      </c>
      <c r="AA62" s="948">
        <f t="shared" ca="1" si="92"/>
        <v>18.761338968750007</v>
      </c>
      <c r="AB62" s="948">
        <f t="shared" ca="1" si="92"/>
        <v>19.699405917187505</v>
      </c>
      <c r="AC62" s="948">
        <f t="shared" ca="1" si="92"/>
        <v>19.699405917187505</v>
      </c>
      <c r="AD62" s="948">
        <f t="shared" ca="1" si="92"/>
        <v>19.699405917187505</v>
      </c>
      <c r="AE62" s="948">
        <f t="shared" ca="1" si="92"/>
        <v>20.684376213046882</v>
      </c>
      <c r="AF62" s="948">
        <f t="shared" ca="1" si="92"/>
        <v>20.684376213046882</v>
      </c>
      <c r="AG62" s="948">
        <f t="shared" ca="1" si="92"/>
        <v>20.684376213046882</v>
      </c>
      <c r="AH62" s="948">
        <f t="shared" ca="1" si="92"/>
        <v>21.718595023699226</v>
      </c>
      <c r="AI62" s="948">
        <f t="shared" ca="1" si="92"/>
        <v>21.718595023699226</v>
      </c>
      <c r="AJ62" s="948">
        <f t="shared" ca="1" si="92"/>
        <v>21.718595023699226</v>
      </c>
      <c r="AK62" s="948">
        <f t="shared" ca="1" si="92"/>
        <v>22.804524774884186</v>
      </c>
      <c r="AL62" s="948">
        <f t="shared" ca="1" si="92"/>
        <v>22.804524774884186</v>
      </c>
      <c r="AM62" s="948">
        <f t="shared" ca="1" si="92"/>
        <v>22.804524774884186</v>
      </c>
      <c r="AN62" s="948">
        <f t="shared" ca="1" si="92"/>
        <v>23.944751013628398</v>
      </c>
      <c r="AO62" s="948">
        <f t="shared" ca="1" si="92"/>
        <v>23.944751013628398</v>
      </c>
      <c r="AP62" s="948">
        <f t="shared" ca="1" si="92"/>
        <v>23.944751013628398</v>
      </c>
      <c r="AQ62" s="948">
        <f t="shared" ca="1" si="92"/>
        <v>25.141988564309823</v>
      </c>
      <c r="AR62" s="948">
        <f t="shared" ca="1" si="92"/>
        <v>25.141988564309823</v>
      </c>
      <c r="AS62" s="948">
        <f t="shared" ca="1" si="92"/>
        <v>25.141988564309823</v>
      </c>
      <c r="AT62" s="948">
        <f t="shared" ca="1" si="92"/>
        <v>26.39908799252531</v>
      </c>
      <c r="AU62" s="948">
        <f t="shared" ca="1" si="92"/>
        <v>26.39908799252531</v>
      </c>
      <c r="AV62" s="948">
        <f t="shared" ca="1" si="92"/>
        <v>13.199543996262655</v>
      </c>
      <c r="AW62" s="948">
        <f t="shared" si="92"/>
        <v>0</v>
      </c>
      <c r="AX62" s="948">
        <f t="shared" si="92"/>
        <v>0</v>
      </c>
      <c r="AY62" s="948">
        <f t="shared" si="92"/>
        <v>0</v>
      </c>
      <c r="AZ62" s="948">
        <f t="shared" si="92"/>
        <v>0</v>
      </c>
    </row>
    <row r="63" spans="2:187" s="302" customFormat="1" ht="17.100000000000001" customHeight="1">
      <c r="C63" s="307" t="s">
        <v>629</v>
      </c>
      <c r="D63" s="331"/>
      <c r="E63" s="742"/>
      <c r="F63" s="767">
        <f t="shared" si="88"/>
        <v>0</v>
      </c>
      <c r="G63" s="493"/>
      <c r="H63" s="947">
        <f>SUMIF($33:$33,H$58,41:41)</f>
        <v>28.570433399999999</v>
      </c>
      <c r="I63" s="949">
        <f t="shared" ref="I63:AZ63" si="93">SUMIF($33:$33,I$58,41:41)</f>
        <v>12.2546</v>
      </c>
      <c r="J63" s="948">
        <f t="shared" si="93"/>
        <v>0</v>
      </c>
      <c r="K63" s="948">
        <f t="shared" si="93"/>
        <v>0</v>
      </c>
      <c r="L63" s="948">
        <f t="shared" si="93"/>
        <v>0</v>
      </c>
      <c r="M63" s="948">
        <f t="shared" si="93"/>
        <v>0</v>
      </c>
      <c r="N63" s="948">
        <f t="shared" si="93"/>
        <v>0</v>
      </c>
      <c r="O63" s="948">
        <f t="shared" si="93"/>
        <v>0</v>
      </c>
      <c r="P63" s="948">
        <f t="shared" si="93"/>
        <v>0</v>
      </c>
      <c r="Q63" s="948">
        <f t="shared" si="93"/>
        <v>0</v>
      </c>
      <c r="R63" s="948">
        <f t="shared" si="93"/>
        <v>0</v>
      </c>
      <c r="S63" s="948">
        <f t="shared" si="93"/>
        <v>0</v>
      </c>
      <c r="T63" s="948">
        <f t="shared" si="93"/>
        <v>0</v>
      </c>
      <c r="U63" s="948">
        <f t="shared" si="93"/>
        <v>0</v>
      </c>
      <c r="V63" s="948">
        <f t="shared" si="93"/>
        <v>0</v>
      </c>
      <c r="W63" s="948">
        <f t="shared" si="93"/>
        <v>0</v>
      </c>
      <c r="X63" s="948">
        <f t="shared" si="93"/>
        <v>0</v>
      </c>
      <c r="Y63" s="948">
        <f t="shared" si="93"/>
        <v>0</v>
      </c>
      <c r="Z63" s="948">
        <f t="shared" si="93"/>
        <v>0</v>
      </c>
      <c r="AA63" s="948">
        <f t="shared" si="93"/>
        <v>0</v>
      </c>
      <c r="AB63" s="948">
        <f t="shared" si="93"/>
        <v>0</v>
      </c>
      <c r="AC63" s="948">
        <f t="shared" si="93"/>
        <v>0</v>
      </c>
      <c r="AD63" s="948">
        <f t="shared" si="93"/>
        <v>0</v>
      </c>
      <c r="AE63" s="948">
        <f t="shared" si="93"/>
        <v>0</v>
      </c>
      <c r="AF63" s="948">
        <f t="shared" si="93"/>
        <v>0</v>
      </c>
      <c r="AG63" s="948">
        <f t="shared" si="93"/>
        <v>0</v>
      </c>
      <c r="AH63" s="948">
        <f t="shared" si="93"/>
        <v>0</v>
      </c>
      <c r="AI63" s="948">
        <f t="shared" si="93"/>
        <v>0</v>
      </c>
      <c r="AJ63" s="948">
        <f t="shared" si="93"/>
        <v>0</v>
      </c>
      <c r="AK63" s="948">
        <f t="shared" si="93"/>
        <v>0</v>
      </c>
      <c r="AL63" s="948">
        <f t="shared" si="93"/>
        <v>0</v>
      </c>
      <c r="AM63" s="948">
        <f t="shared" si="93"/>
        <v>0</v>
      </c>
      <c r="AN63" s="948">
        <f t="shared" si="93"/>
        <v>0</v>
      </c>
      <c r="AO63" s="948">
        <f t="shared" si="93"/>
        <v>0</v>
      </c>
      <c r="AP63" s="948">
        <f t="shared" si="93"/>
        <v>0</v>
      </c>
      <c r="AQ63" s="948">
        <f t="shared" si="93"/>
        <v>0</v>
      </c>
      <c r="AR63" s="948">
        <f t="shared" si="93"/>
        <v>0</v>
      </c>
      <c r="AS63" s="948">
        <f t="shared" si="93"/>
        <v>0</v>
      </c>
      <c r="AT63" s="948">
        <f t="shared" si="93"/>
        <v>0</v>
      </c>
      <c r="AU63" s="948">
        <f t="shared" si="93"/>
        <v>0</v>
      </c>
      <c r="AV63" s="948">
        <f t="shared" si="93"/>
        <v>0</v>
      </c>
      <c r="AW63" s="948">
        <f t="shared" si="93"/>
        <v>0</v>
      </c>
      <c r="AX63" s="948">
        <f t="shared" si="93"/>
        <v>0</v>
      </c>
      <c r="AY63" s="948">
        <f t="shared" si="93"/>
        <v>0</v>
      </c>
      <c r="AZ63" s="948">
        <f t="shared" si="93"/>
        <v>0</v>
      </c>
    </row>
    <row r="64" spans="2:187" s="302" customFormat="1" ht="17.100000000000001" customHeight="1">
      <c r="C64" s="307" t="s">
        <v>1128</v>
      </c>
      <c r="D64" s="331"/>
      <c r="E64" s="742"/>
      <c r="F64" s="767">
        <f t="shared" si="88"/>
        <v>35.346337197168324</v>
      </c>
      <c r="G64" s="493"/>
      <c r="H64" s="947">
        <f>SUMIF($33:$33,H$58,45:45)</f>
        <v>8.8392419999999987</v>
      </c>
      <c r="I64" s="947">
        <f t="shared" ref="I64:AZ64" si="94">SUMIF($33:$33,I$58,45:45)</f>
        <v>6.4074640000000009</v>
      </c>
      <c r="J64" s="948">
        <f t="shared" si="94"/>
        <v>6.2721720000000003</v>
      </c>
      <c r="K64" s="948">
        <f t="shared" si="94"/>
        <v>5.9951599999999994</v>
      </c>
      <c r="L64" s="948">
        <f t="shared" si="94"/>
        <v>3.0887920000000002</v>
      </c>
      <c r="M64" s="948">
        <f t="shared" si="94"/>
        <v>1.060014</v>
      </c>
      <c r="N64" s="948">
        <f t="shared" si="94"/>
        <v>0.5013512</v>
      </c>
      <c r="O64" s="948">
        <f t="shared" si="94"/>
        <v>0.50190685999999995</v>
      </c>
      <c r="P64" s="948">
        <f t="shared" si="94"/>
        <v>0.50190685999999995</v>
      </c>
      <c r="Q64" s="948">
        <f t="shared" si="94"/>
        <v>0.50891875999999991</v>
      </c>
      <c r="R64" s="948">
        <f t="shared" si="94"/>
        <v>0.50950220299999993</v>
      </c>
      <c r="S64" s="948">
        <f t="shared" si="94"/>
        <v>0.50950220299999993</v>
      </c>
      <c r="T64" s="948">
        <f t="shared" si="94"/>
        <v>0.51686469800000001</v>
      </c>
      <c r="U64" s="948">
        <f t="shared" si="94"/>
        <v>0.51747731315000001</v>
      </c>
      <c r="V64" s="948">
        <f t="shared" si="94"/>
        <v>0.51747731315000001</v>
      </c>
      <c r="W64" s="948">
        <f t="shared" si="94"/>
        <v>0.5252079328999999</v>
      </c>
      <c r="X64" s="948">
        <f t="shared" si="94"/>
        <v>0.52585117880749999</v>
      </c>
      <c r="Y64" s="948">
        <f t="shared" si="94"/>
        <v>0.52585117880749999</v>
      </c>
      <c r="Z64" s="948">
        <f t="shared" si="94"/>
        <v>0.53396832954500006</v>
      </c>
      <c r="AA64" s="948">
        <f t="shared" si="94"/>
        <v>0.53464373774787499</v>
      </c>
      <c r="AB64" s="948">
        <f t="shared" si="94"/>
        <v>0.53464373774787499</v>
      </c>
      <c r="AC64" s="948">
        <f t="shared" si="94"/>
        <v>0.54316674602225001</v>
      </c>
      <c r="AD64" s="948">
        <f t="shared" si="94"/>
        <v>0.54387592463526879</v>
      </c>
      <c r="AE64" s="948">
        <f t="shared" si="94"/>
        <v>0.54387592463526879</v>
      </c>
      <c r="AF64" s="948">
        <f t="shared" si="94"/>
        <v>0.55282508332336244</v>
      </c>
      <c r="AG64" s="948">
        <f t="shared" si="94"/>
        <v>0.55356972086703216</v>
      </c>
      <c r="AH64" s="948">
        <f t="shared" si="94"/>
        <v>0.55356972086703216</v>
      </c>
      <c r="AI64" s="948">
        <f t="shared" si="94"/>
        <v>0.56296633748953051</v>
      </c>
      <c r="AJ64" s="948">
        <f t="shared" si="94"/>
        <v>0.56374820691038374</v>
      </c>
      <c r="AK64" s="948">
        <f t="shared" si="94"/>
        <v>0.56374820691038374</v>
      </c>
      <c r="AL64" s="948">
        <f t="shared" si="94"/>
        <v>0.57361465436400716</v>
      </c>
      <c r="AM64" s="948">
        <f t="shared" si="94"/>
        <v>0.57443561725590297</v>
      </c>
      <c r="AN64" s="948">
        <f t="shared" si="94"/>
        <v>0.57443561725590297</v>
      </c>
      <c r="AO64" s="948">
        <f t="shared" si="94"/>
        <v>0.58479538708220746</v>
      </c>
      <c r="AP64" s="948">
        <f t="shared" si="94"/>
        <v>0.5856573981186981</v>
      </c>
      <c r="AQ64" s="948">
        <f t="shared" si="94"/>
        <v>0.5856573981186981</v>
      </c>
      <c r="AR64" s="948">
        <f t="shared" si="94"/>
        <v>0.59653515643631783</v>
      </c>
      <c r="AS64" s="948">
        <f t="shared" si="94"/>
        <v>0.59744026802463301</v>
      </c>
      <c r="AT64" s="948">
        <f t="shared" si="94"/>
        <v>0.59744026802463301</v>
      </c>
      <c r="AU64" s="948">
        <f t="shared" si="94"/>
        <v>0.60886191425813385</v>
      </c>
      <c r="AV64" s="948">
        <f t="shared" si="94"/>
        <v>0.30490614071293243</v>
      </c>
      <c r="AW64" s="948">
        <f t="shared" si="94"/>
        <v>0</v>
      </c>
      <c r="AX64" s="948">
        <f t="shared" si="94"/>
        <v>0</v>
      </c>
      <c r="AY64" s="948">
        <f t="shared" si="94"/>
        <v>0</v>
      </c>
      <c r="AZ64" s="948">
        <f t="shared" si="94"/>
        <v>0</v>
      </c>
    </row>
    <row r="65" spans="3:52" s="302" customFormat="1" ht="17.100000000000001" customHeight="1">
      <c r="C65" s="930" t="s">
        <v>774</v>
      </c>
      <c r="D65" s="931"/>
      <c r="E65" s="771"/>
      <c r="F65" s="772">
        <f t="shared" ca="1" si="88"/>
        <v>15592.634590290418</v>
      </c>
      <c r="G65" s="493"/>
      <c r="H65" s="950">
        <f>SUM(H59:H64)</f>
        <v>269.04876252000003</v>
      </c>
      <c r="I65" s="950">
        <f t="shared" ref="I65:AZ65" si="95">SUM(I59:I64)</f>
        <v>278.10569807000002</v>
      </c>
      <c r="J65" s="951">
        <f t="shared" si="95"/>
        <v>250.59764042000003</v>
      </c>
      <c r="K65" s="951">
        <f t="shared" si="95"/>
        <v>256.00624352692762</v>
      </c>
      <c r="L65" s="951">
        <f t="shared" ca="1" si="95"/>
        <v>267.36758668800007</v>
      </c>
      <c r="M65" s="951">
        <f t="shared" ca="1" si="95"/>
        <v>280.35497910910414</v>
      </c>
      <c r="N65" s="951">
        <f t="shared" ca="1" si="95"/>
        <v>280.71668207459209</v>
      </c>
      <c r="O65" s="951">
        <f t="shared" ca="1" si="95"/>
        <v>288.25260350008017</v>
      </c>
      <c r="P65" s="951">
        <f t="shared" ca="1" si="95"/>
        <v>304.6979142922952</v>
      </c>
      <c r="Q65" s="951">
        <f t="shared" ca="1" si="95"/>
        <v>312.46635293074775</v>
      </c>
      <c r="R65" s="951">
        <f t="shared" ca="1" si="95"/>
        <v>320.22836311220044</v>
      </c>
      <c r="S65" s="951">
        <f t="shared" ca="1" si="95"/>
        <v>337.88099663464277</v>
      </c>
      <c r="T65" s="951">
        <f t="shared" ca="1" si="95"/>
        <v>341.08606694588519</v>
      </c>
      <c r="U65" s="951">
        <f t="shared" ca="1" si="95"/>
        <v>344.28438737727765</v>
      </c>
      <c r="V65" s="951">
        <f t="shared" ca="1" si="95"/>
        <v>357.97403863449125</v>
      </c>
      <c r="W65" s="951">
        <f t="shared" ca="1" si="95"/>
        <v>361.27540830497105</v>
      </c>
      <c r="X65" s="951">
        <f t="shared" ca="1" si="95"/>
        <v>364.56969060160827</v>
      </c>
      <c r="Y65" s="951">
        <f t="shared" ca="1" si="95"/>
        <v>378.98347599860404</v>
      </c>
      <c r="Z65" s="951">
        <f t="shared" ca="1" si="95"/>
        <v>382.38404137159324</v>
      </c>
      <c r="AA65" s="951">
        <f t="shared" ca="1" si="95"/>
        <v>385.7771650020477</v>
      </c>
      <c r="AB65" s="951">
        <f t="shared" ca="1" si="95"/>
        <v>400.94655224283093</v>
      </c>
      <c r="AC65" s="951">
        <f t="shared" ca="1" si="95"/>
        <v>404.44929692002444</v>
      </c>
      <c r="AD65" s="951">
        <f t="shared" ca="1" si="95"/>
        <v>407.9442277675567</v>
      </c>
      <c r="AE65" s="951">
        <f t="shared" ca="1" si="95"/>
        <v>423.9019379147349</v>
      </c>
      <c r="AF65" s="951">
        <f t="shared" ca="1" si="95"/>
        <v>427.50993539240983</v>
      </c>
      <c r="AG65" s="951">
        <f t="shared" ca="1" si="95"/>
        <v>431.10972834894034</v>
      </c>
      <c r="AH65" s="951">
        <f t="shared" ca="1" si="95"/>
        <v>447.8897835551598</v>
      </c>
      <c r="AI65" s="951">
        <f t="shared" ca="1" si="95"/>
        <v>451.60619994033868</v>
      </c>
      <c r="AJ65" s="951">
        <f t="shared" ca="1" si="95"/>
        <v>455.31400157831587</v>
      </c>
      <c r="AK65" s="951">
        <f t="shared" ca="1" si="95"/>
        <v>472.95177459610517</v>
      </c>
      <c r="AL65" s="951">
        <f t="shared" ca="1" si="95"/>
        <v>476.77987140517183</v>
      </c>
      <c r="AM65" s="951">
        <f t="shared" ca="1" si="95"/>
        <v>480.59892272967676</v>
      </c>
      <c r="AN65" s="951">
        <f t="shared" ca="1" si="95"/>
        <v>499.13118826556865</v>
      </c>
      <c r="AO65" s="951">
        <f t="shared" ca="1" si="95"/>
        <v>503.07432530785633</v>
      </c>
      <c r="AP65" s="951">
        <f t="shared" ca="1" si="95"/>
        <v>507.00796459135432</v>
      </c>
      <c r="AQ65" s="951">
        <f t="shared" ca="1" si="95"/>
        <v>526.47295257261919</v>
      </c>
      <c r="AR65" s="951">
        <f t="shared" ca="1" si="95"/>
        <v>530.53459092157209</v>
      </c>
      <c r="AS65" s="951">
        <f t="shared" ca="1" si="95"/>
        <v>534.58625662379586</v>
      </c>
      <c r="AT65" s="951">
        <f t="shared" ca="1" si="95"/>
        <v>555.0237074486696</v>
      </c>
      <c r="AU65" s="951">
        <f t="shared" ca="1" si="95"/>
        <v>559.20741250325739</v>
      </c>
      <c r="AV65" s="951">
        <f t="shared" ca="1" si="95"/>
        <v>281.69032313938976</v>
      </c>
      <c r="AW65" s="951">
        <f t="shared" si="95"/>
        <v>0</v>
      </c>
      <c r="AX65" s="951">
        <f t="shared" si="95"/>
        <v>0</v>
      </c>
      <c r="AY65" s="951">
        <f t="shared" si="95"/>
        <v>0</v>
      </c>
      <c r="AZ65" s="951">
        <f t="shared" si="95"/>
        <v>0</v>
      </c>
    </row>
    <row r="67" spans="3:52" ht="17.100000000000001" customHeight="1">
      <c r="C67" s="717" t="s">
        <v>5089</v>
      </c>
      <c r="D67" s="937"/>
      <c r="E67" s="719"/>
      <c r="F67" s="719" t="s">
        <v>40</v>
      </c>
      <c r="H67" s="766">
        <f>H58</f>
        <v>2019</v>
      </c>
      <c r="I67" s="766">
        <f t="shared" ref="I67:AZ67" si="96">H67+1</f>
        <v>2020</v>
      </c>
      <c r="J67" s="766">
        <f t="shared" si="96"/>
        <v>2021</v>
      </c>
      <c r="K67" s="766">
        <f t="shared" si="96"/>
        <v>2022</v>
      </c>
      <c r="L67" s="766">
        <f t="shared" si="96"/>
        <v>2023</v>
      </c>
      <c r="M67" s="766">
        <f t="shared" si="96"/>
        <v>2024</v>
      </c>
      <c r="N67" s="766">
        <f t="shared" si="96"/>
        <v>2025</v>
      </c>
      <c r="O67" s="766">
        <f t="shared" si="96"/>
        <v>2026</v>
      </c>
      <c r="P67" s="766">
        <f t="shared" si="96"/>
        <v>2027</v>
      </c>
      <c r="Q67" s="766">
        <f t="shared" si="96"/>
        <v>2028</v>
      </c>
      <c r="R67" s="766">
        <f t="shared" si="96"/>
        <v>2029</v>
      </c>
      <c r="S67" s="766">
        <f t="shared" si="96"/>
        <v>2030</v>
      </c>
      <c r="T67" s="766">
        <f t="shared" si="96"/>
        <v>2031</v>
      </c>
      <c r="U67" s="766">
        <f t="shared" si="96"/>
        <v>2032</v>
      </c>
      <c r="V67" s="766">
        <f t="shared" si="96"/>
        <v>2033</v>
      </c>
      <c r="W67" s="766">
        <f t="shared" si="96"/>
        <v>2034</v>
      </c>
      <c r="X67" s="766">
        <f t="shared" si="96"/>
        <v>2035</v>
      </c>
      <c r="Y67" s="766">
        <f t="shared" si="96"/>
        <v>2036</v>
      </c>
      <c r="Z67" s="766">
        <f t="shared" si="96"/>
        <v>2037</v>
      </c>
      <c r="AA67" s="766">
        <f t="shared" si="96"/>
        <v>2038</v>
      </c>
      <c r="AB67" s="766">
        <f t="shared" si="96"/>
        <v>2039</v>
      </c>
      <c r="AC67" s="766">
        <f t="shared" si="96"/>
        <v>2040</v>
      </c>
      <c r="AD67" s="766">
        <f t="shared" si="96"/>
        <v>2041</v>
      </c>
      <c r="AE67" s="766">
        <f t="shared" si="96"/>
        <v>2042</v>
      </c>
      <c r="AF67" s="766">
        <f t="shared" si="96"/>
        <v>2043</v>
      </c>
      <c r="AG67" s="766">
        <f t="shared" si="96"/>
        <v>2044</v>
      </c>
      <c r="AH67" s="766">
        <f t="shared" si="96"/>
        <v>2045</v>
      </c>
      <c r="AI67" s="766">
        <f t="shared" si="96"/>
        <v>2046</v>
      </c>
      <c r="AJ67" s="766">
        <f t="shared" si="96"/>
        <v>2047</v>
      </c>
      <c r="AK67" s="766">
        <f t="shared" si="96"/>
        <v>2048</v>
      </c>
      <c r="AL67" s="766">
        <f t="shared" si="96"/>
        <v>2049</v>
      </c>
      <c r="AM67" s="766">
        <f t="shared" si="96"/>
        <v>2050</v>
      </c>
      <c r="AN67" s="766">
        <f t="shared" si="96"/>
        <v>2051</v>
      </c>
      <c r="AO67" s="766">
        <f t="shared" si="96"/>
        <v>2052</v>
      </c>
      <c r="AP67" s="766">
        <f t="shared" si="96"/>
        <v>2053</v>
      </c>
      <c r="AQ67" s="766">
        <f t="shared" si="96"/>
        <v>2054</v>
      </c>
      <c r="AR67" s="766">
        <f t="shared" si="96"/>
        <v>2055</v>
      </c>
      <c r="AS67" s="766">
        <f t="shared" si="96"/>
        <v>2056</v>
      </c>
      <c r="AT67" s="766">
        <f t="shared" si="96"/>
        <v>2057</v>
      </c>
      <c r="AU67" s="766">
        <f t="shared" si="96"/>
        <v>2058</v>
      </c>
      <c r="AV67" s="766">
        <f t="shared" si="96"/>
        <v>2059</v>
      </c>
      <c r="AW67" s="766">
        <f t="shared" si="96"/>
        <v>2060</v>
      </c>
      <c r="AX67" s="766">
        <f t="shared" si="96"/>
        <v>2061</v>
      </c>
      <c r="AY67" s="766">
        <f t="shared" si="96"/>
        <v>2062</v>
      </c>
      <c r="AZ67" s="766">
        <f t="shared" si="96"/>
        <v>2063</v>
      </c>
    </row>
    <row r="68" spans="3:52" s="302" customFormat="1" ht="17.100000000000001" customHeight="1">
      <c r="C68" s="952" t="str">
        <f>C51</f>
        <v>MRG (운영비 정산후)</v>
      </c>
      <c r="D68" s="707"/>
      <c r="E68" s="747" t="s">
        <v>1136</v>
      </c>
      <c r="F68" s="953">
        <f ca="1">SUM(J68:AZ68)</f>
        <v>481.07387750191828</v>
      </c>
      <c r="G68" s="493"/>
      <c r="H68" s="954">
        <f>SUMIF($33:$33,H$58,51:51)</f>
        <v>7.9639801499999994</v>
      </c>
      <c r="I68" s="954">
        <f t="shared" ref="I68:AZ68" si="97">SUMIF($33:$33,I$58,51:51)</f>
        <v>258.14670812000003</v>
      </c>
      <c r="J68" s="954">
        <f t="shared" si="97"/>
        <v>90.635823799999997</v>
      </c>
      <c r="K68" s="954">
        <f t="shared" si="97"/>
        <v>60</v>
      </c>
      <c r="L68" s="954">
        <f t="shared" ca="1" si="97"/>
        <v>172.08065699736997</v>
      </c>
      <c r="M68" s="954">
        <f t="shared" ca="1" si="97"/>
        <v>114.21101101222435</v>
      </c>
      <c r="N68" s="954">
        <f t="shared" ca="1" si="97"/>
        <v>44.146385692323996</v>
      </c>
      <c r="O68" s="954">
        <f t="shared" si="97"/>
        <v>0</v>
      </c>
      <c r="P68" s="954">
        <f t="shared" si="97"/>
        <v>0</v>
      </c>
      <c r="Q68" s="954">
        <f t="shared" si="97"/>
        <v>0</v>
      </c>
      <c r="R68" s="954">
        <f t="shared" si="97"/>
        <v>0</v>
      </c>
      <c r="S68" s="954">
        <f t="shared" si="97"/>
        <v>0</v>
      </c>
      <c r="T68" s="954">
        <f t="shared" si="97"/>
        <v>0</v>
      </c>
      <c r="U68" s="954">
        <f t="shared" si="97"/>
        <v>0</v>
      </c>
      <c r="V68" s="954">
        <f t="shared" si="97"/>
        <v>0</v>
      </c>
      <c r="W68" s="954">
        <f t="shared" si="97"/>
        <v>0</v>
      </c>
      <c r="X68" s="954">
        <f t="shared" si="97"/>
        <v>0</v>
      </c>
      <c r="Y68" s="954">
        <f t="shared" si="97"/>
        <v>0</v>
      </c>
      <c r="Z68" s="954">
        <f t="shared" si="97"/>
        <v>0</v>
      </c>
      <c r="AA68" s="954">
        <f t="shared" si="97"/>
        <v>0</v>
      </c>
      <c r="AB68" s="954">
        <f t="shared" si="97"/>
        <v>0</v>
      </c>
      <c r="AC68" s="954">
        <f t="shared" si="97"/>
        <v>0</v>
      </c>
      <c r="AD68" s="954">
        <f t="shared" si="97"/>
        <v>0</v>
      </c>
      <c r="AE68" s="954">
        <f t="shared" si="97"/>
        <v>0</v>
      </c>
      <c r="AF68" s="954">
        <f t="shared" si="97"/>
        <v>0</v>
      </c>
      <c r="AG68" s="954">
        <f t="shared" si="97"/>
        <v>0</v>
      </c>
      <c r="AH68" s="954">
        <f t="shared" si="97"/>
        <v>0</v>
      </c>
      <c r="AI68" s="954">
        <f t="shared" si="97"/>
        <v>0</v>
      </c>
      <c r="AJ68" s="954">
        <f t="shared" si="97"/>
        <v>0</v>
      </c>
      <c r="AK68" s="954">
        <f t="shared" si="97"/>
        <v>0</v>
      </c>
      <c r="AL68" s="954">
        <f t="shared" si="97"/>
        <v>0</v>
      </c>
      <c r="AM68" s="954">
        <f t="shared" si="97"/>
        <v>0</v>
      </c>
      <c r="AN68" s="954">
        <f t="shared" si="97"/>
        <v>0</v>
      </c>
      <c r="AO68" s="954">
        <f t="shared" si="97"/>
        <v>0</v>
      </c>
      <c r="AP68" s="954">
        <f t="shared" si="97"/>
        <v>0</v>
      </c>
      <c r="AQ68" s="954">
        <f t="shared" si="97"/>
        <v>0</v>
      </c>
      <c r="AR68" s="954">
        <f t="shared" si="97"/>
        <v>0</v>
      </c>
      <c r="AS68" s="954">
        <f t="shared" si="97"/>
        <v>0</v>
      </c>
      <c r="AT68" s="954">
        <f t="shared" si="97"/>
        <v>0</v>
      </c>
      <c r="AU68" s="954">
        <f t="shared" si="97"/>
        <v>0</v>
      </c>
      <c r="AV68" s="954">
        <f t="shared" si="97"/>
        <v>0</v>
      </c>
      <c r="AW68" s="954">
        <f t="shared" si="97"/>
        <v>0</v>
      </c>
      <c r="AX68" s="954">
        <f t="shared" si="97"/>
        <v>0</v>
      </c>
      <c r="AY68" s="954">
        <f t="shared" si="97"/>
        <v>0</v>
      </c>
      <c r="AZ68" s="954">
        <f t="shared" si="97"/>
        <v>0</v>
      </c>
    </row>
    <row r="69" spans="3:52" s="302" customFormat="1" ht="17.100000000000001" customHeight="1">
      <c r="C69" s="952" t="str">
        <f>C52</f>
        <v>MRG (운영비 정산후)</v>
      </c>
      <c r="D69" s="707"/>
      <c r="E69" s="747" t="s">
        <v>1137</v>
      </c>
      <c r="F69" s="953">
        <f ca="1">SUM(J69:AZ69)</f>
        <v>555.56452046385482</v>
      </c>
      <c r="G69" s="493"/>
      <c r="H69" s="954">
        <f>SUMIF($33:$33,H$58,52:52)</f>
        <v>139.53372493239996</v>
      </c>
      <c r="I69" s="954">
        <f t="shared" ref="I69:AZ69" si="98">SUMIF($33:$33,I$58,52:52)</f>
        <v>129.15964141672885</v>
      </c>
      <c r="J69" s="954">
        <f t="shared" si="98"/>
        <v>103.99844322999999</v>
      </c>
      <c r="K69" s="954">
        <f t="shared" ca="1" si="98"/>
        <v>127.40945454205534</v>
      </c>
      <c r="L69" s="954">
        <f t="shared" ca="1" si="98"/>
        <v>134.56777271582553</v>
      </c>
      <c r="M69" s="954">
        <f t="shared" ca="1" si="98"/>
        <v>129.73915563145067</v>
      </c>
      <c r="N69" s="954">
        <f t="shared" ca="1" si="98"/>
        <v>59.849694344523293</v>
      </c>
      <c r="O69" s="954">
        <f t="shared" si="98"/>
        <v>0</v>
      </c>
      <c r="P69" s="954">
        <f t="shared" si="98"/>
        <v>0</v>
      </c>
      <c r="Q69" s="954">
        <f t="shared" si="98"/>
        <v>0</v>
      </c>
      <c r="R69" s="954">
        <f t="shared" si="98"/>
        <v>0</v>
      </c>
      <c r="S69" s="954">
        <f t="shared" si="98"/>
        <v>0</v>
      </c>
      <c r="T69" s="954">
        <f t="shared" si="98"/>
        <v>0</v>
      </c>
      <c r="U69" s="954">
        <f t="shared" si="98"/>
        <v>0</v>
      </c>
      <c r="V69" s="954">
        <f t="shared" si="98"/>
        <v>0</v>
      </c>
      <c r="W69" s="954">
        <f t="shared" si="98"/>
        <v>0</v>
      </c>
      <c r="X69" s="954">
        <f t="shared" si="98"/>
        <v>0</v>
      </c>
      <c r="Y69" s="954">
        <f t="shared" si="98"/>
        <v>0</v>
      </c>
      <c r="Z69" s="954">
        <f t="shared" si="98"/>
        <v>0</v>
      </c>
      <c r="AA69" s="954">
        <f t="shared" si="98"/>
        <v>0</v>
      </c>
      <c r="AB69" s="954">
        <f t="shared" si="98"/>
        <v>0</v>
      </c>
      <c r="AC69" s="954">
        <f t="shared" si="98"/>
        <v>0</v>
      </c>
      <c r="AD69" s="954">
        <f t="shared" si="98"/>
        <v>0</v>
      </c>
      <c r="AE69" s="954">
        <f t="shared" si="98"/>
        <v>0</v>
      </c>
      <c r="AF69" s="954">
        <f t="shared" si="98"/>
        <v>0</v>
      </c>
      <c r="AG69" s="954">
        <f t="shared" si="98"/>
        <v>0</v>
      </c>
      <c r="AH69" s="954">
        <f t="shared" si="98"/>
        <v>0</v>
      </c>
      <c r="AI69" s="954">
        <f t="shared" si="98"/>
        <v>0</v>
      </c>
      <c r="AJ69" s="954">
        <f t="shared" si="98"/>
        <v>0</v>
      </c>
      <c r="AK69" s="954">
        <f t="shared" si="98"/>
        <v>0</v>
      </c>
      <c r="AL69" s="954">
        <f t="shared" si="98"/>
        <v>0</v>
      </c>
      <c r="AM69" s="954">
        <f t="shared" si="98"/>
        <v>0</v>
      </c>
      <c r="AN69" s="954">
        <f t="shared" si="98"/>
        <v>0</v>
      </c>
      <c r="AO69" s="954">
        <f t="shared" si="98"/>
        <v>0</v>
      </c>
      <c r="AP69" s="954">
        <f t="shared" si="98"/>
        <v>0</v>
      </c>
      <c r="AQ69" s="954">
        <f t="shared" si="98"/>
        <v>0</v>
      </c>
      <c r="AR69" s="954">
        <f t="shared" si="98"/>
        <v>0</v>
      </c>
      <c r="AS69" s="954">
        <f t="shared" si="98"/>
        <v>0</v>
      </c>
      <c r="AT69" s="954">
        <f t="shared" si="98"/>
        <v>0</v>
      </c>
      <c r="AU69" s="954">
        <f t="shared" si="98"/>
        <v>0</v>
      </c>
      <c r="AV69" s="954">
        <f t="shared" si="98"/>
        <v>0</v>
      </c>
      <c r="AW69" s="954">
        <f t="shared" si="98"/>
        <v>0</v>
      </c>
      <c r="AX69" s="954">
        <f t="shared" si="98"/>
        <v>0</v>
      </c>
      <c r="AY69" s="954">
        <f t="shared" si="98"/>
        <v>0</v>
      </c>
      <c r="AZ69" s="954">
        <f t="shared" si="98"/>
        <v>0</v>
      </c>
    </row>
  </sheetData>
  <mergeCells count="2">
    <mergeCell ref="F33:F34"/>
    <mergeCell ref="C33:E34"/>
  </mergeCells>
  <phoneticPr fontId="12" type="noConversion"/>
  <conditionalFormatting sqref="D21:D22">
    <cfRule type="duplicateValues" dxfId="6" priority="2"/>
  </conditionalFormatting>
  <conditionalFormatting sqref="D42:D43">
    <cfRule type="duplicateValues" dxfId="5" priority="1"/>
  </conditionalFormatting>
  <conditionalFormatting sqref="D44">
    <cfRule type="duplicateValues" dxfId="4" priority="3"/>
  </conditionalFormatting>
  <conditionalFormatting sqref="D19">
    <cfRule type="duplicateValues" dxfId="3" priority="4"/>
  </conditionalFormatting>
  <pageMargins left="0.75" right="0.75" top="1" bottom="1" header="0.5" footer="0.5"/>
  <pageSetup paperSize="9" orientation="portrait" r:id="rId1"/>
  <headerFooter alignWithMargins="0"/>
  <ignoredErrors>
    <ignoredError sqref="F43" formulaRange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F641B-43C4-4896-83B1-A443626068D4}">
  <sheetPr codeName="Sheet2">
    <pageSetUpPr fitToPage="1"/>
  </sheetPr>
  <dimension ref="A1:XFC110"/>
  <sheetViews>
    <sheetView showGridLines="0" zoomScaleNormal="100" workbookViewId="0">
      <pane xSplit="3" ySplit="3" topLeftCell="E4" activePane="bottomRight" state="frozen"/>
      <selection activeCell="C10" sqref="C10"/>
      <selection pane="topRight" activeCell="C10" sqref="C10"/>
      <selection pane="bottomLeft" activeCell="C10" sqref="C10"/>
      <selection pane="bottomRight" activeCell="E8" sqref="E8:I8"/>
    </sheetView>
  </sheetViews>
  <sheetFormatPr defaultColWidth="0" defaultRowHeight="11.25" outlineLevelRow="1"/>
  <cols>
    <col min="1" max="1" width="8.88671875" style="956" customWidth="1"/>
    <col min="2" max="2" width="43.6640625" style="955" bestFit="1" customWidth="1"/>
    <col min="3" max="3" width="7.77734375" style="955" hidden="1" customWidth="1"/>
    <col min="4" max="4" width="8.109375" style="955" hidden="1" customWidth="1"/>
    <col min="5" max="5" width="11.5546875" style="955" customWidth="1"/>
    <col min="6" max="10" width="13.33203125" style="955" bestFit="1" customWidth="1"/>
    <col min="11" max="14" width="13.5546875" style="955" bestFit="1" customWidth="1"/>
    <col min="15" max="20" width="12.109375" style="955" customWidth="1"/>
    <col min="21" max="21" width="1.44140625" style="955" customWidth="1"/>
    <col min="22" max="16383" width="0" style="955" hidden="1"/>
    <col min="16384" max="16384" width="8" style="955" hidden="1"/>
  </cols>
  <sheetData>
    <row r="1" spans="1:20" ht="21" customHeight="1">
      <c r="A1" s="5571" t="s">
        <v>1138</v>
      </c>
      <c r="B1" s="5572"/>
      <c r="C1" s="5572"/>
      <c r="D1" s="5572"/>
      <c r="E1" s="5572"/>
      <c r="F1" s="5572"/>
      <c r="G1" s="5572"/>
      <c r="H1" s="5572"/>
      <c r="I1" s="5572"/>
      <c r="J1" s="5572"/>
      <c r="K1" s="5572"/>
      <c r="L1" s="5572"/>
      <c r="M1" s="5572"/>
    </row>
    <row r="2" spans="1:20" ht="13.5" customHeight="1" thickBot="1">
      <c r="D2" s="956"/>
      <c r="E2" s="956" t="s">
        <v>1139</v>
      </c>
      <c r="F2" s="956" t="s">
        <v>1140</v>
      </c>
      <c r="G2" s="956" t="s">
        <v>1141</v>
      </c>
      <c r="H2" s="956" t="s">
        <v>1142</v>
      </c>
      <c r="I2" s="956" t="s">
        <v>1143</v>
      </c>
      <c r="J2" s="956" t="s">
        <v>1144</v>
      </c>
      <c r="K2" s="956" t="s">
        <v>1145</v>
      </c>
      <c r="L2" s="956" t="s">
        <v>1146</v>
      </c>
      <c r="M2" s="956" t="s">
        <v>1147</v>
      </c>
      <c r="N2" s="956" t="s">
        <v>1148</v>
      </c>
      <c r="O2" s="956" t="s">
        <v>1149</v>
      </c>
      <c r="P2" s="956" t="s">
        <v>1150</v>
      </c>
      <c r="Q2" s="956" t="s">
        <v>1151</v>
      </c>
      <c r="R2" s="956" t="s">
        <v>1152</v>
      </c>
      <c r="S2" s="956" t="s">
        <v>1153</v>
      </c>
      <c r="T2" s="956" t="s">
        <v>1154</v>
      </c>
    </row>
    <row r="3" spans="1:20" s="959" customFormat="1" ht="20.25" customHeight="1" thickTop="1">
      <c r="A3" s="5573" t="s">
        <v>1155</v>
      </c>
      <c r="B3" s="5574"/>
      <c r="C3" s="957"/>
      <c r="D3" s="958">
        <v>2008</v>
      </c>
      <c r="E3" s="958">
        <v>2009</v>
      </c>
      <c r="F3" s="958">
        <v>2010</v>
      </c>
      <c r="G3" s="958">
        <v>2011</v>
      </c>
      <c r="H3" s="958">
        <v>2012</v>
      </c>
      <c r="I3" s="958">
        <v>2013</v>
      </c>
      <c r="J3" s="958">
        <v>2014</v>
      </c>
      <c r="K3" s="958">
        <v>2015</v>
      </c>
      <c r="L3" s="958">
        <v>2016</v>
      </c>
      <c r="M3" s="958">
        <v>2017</v>
      </c>
      <c r="N3" s="958">
        <v>2018</v>
      </c>
      <c r="O3" s="958">
        <v>2019</v>
      </c>
      <c r="P3" s="958">
        <v>2020</v>
      </c>
      <c r="Q3" s="958">
        <v>2021</v>
      </c>
      <c r="R3" s="958">
        <v>2022</v>
      </c>
      <c r="S3" s="958">
        <v>2023</v>
      </c>
      <c r="T3" s="958">
        <v>2024</v>
      </c>
    </row>
    <row r="4" spans="1:20" ht="15" customHeight="1">
      <c r="A4" s="960">
        <v>1</v>
      </c>
      <c r="B4" s="961" t="s">
        <v>1156</v>
      </c>
      <c r="C4" s="962"/>
      <c r="D4" s="963">
        <v>1.2758</v>
      </c>
      <c r="E4" s="964">
        <v>1.2894000000000001</v>
      </c>
      <c r="F4" s="964">
        <v>1.3285</v>
      </c>
      <c r="G4" s="964">
        <v>1.3836999999999999</v>
      </c>
      <c r="H4" s="964">
        <v>1.4035</v>
      </c>
      <c r="I4" s="964">
        <v>1.4195</v>
      </c>
      <c r="J4" s="964">
        <v>1.4313</v>
      </c>
      <c r="K4" s="964">
        <v>1.4475</v>
      </c>
      <c r="L4" s="964">
        <v>1.4668000000000001</v>
      </c>
      <c r="M4" s="964">
        <v>1.4875</v>
      </c>
      <c r="N4" s="964">
        <v>1.5072000000000001</v>
      </c>
      <c r="O4" s="964">
        <v>1.5183</v>
      </c>
      <c r="P4" s="964">
        <v>1.5262</v>
      </c>
      <c r="Q4" s="965">
        <f ca="1">P4*(Sensitivity!$E$34+1)</f>
        <v>1.5490929999999998</v>
      </c>
      <c r="R4" s="965">
        <f ca="1">Q4*(Sensitivity!$E$34+1)</f>
        <v>1.5723293949999997</v>
      </c>
      <c r="S4" s="965">
        <f ca="1">R4*(Sensitivity!$E$34+1)</f>
        <v>1.5959143359249994</v>
      </c>
      <c r="T4" s="965">
        <f ca="1">S4*(Sensitivity!$E$34+1)</f>
        <v>1.6198530509638742</v>
      </c>
    </row>
    <row r="5" spans="1:20" ht="15" customHeight="1">
      <c r="A5" s="966"/>
      <c r="B5" s="967" t="s">
        <v>1157</v>
      </c>
      <c r="C5" s="968"/>
      <c r="D5" s="969"/>
      <c r="E5" s="970">
        <v>15535</v>
      </c>
      <c r="F5" s="970">
        <v>17550</v>
      </c>
      <c r="G5" s="970">
        <v>19825</v>
      </c>
      <c r="H5" s="970">
        <v>24112</v>
      </c>
      <c r="I5" s="970">
        <v>30960</v>
      </c>
      <c r="J5" s="970">
        <v>37070.5</v>
      </c>
      <c r="K5" s="970">
        <v>40685</v>
      </c>
      <c r="L5" s="970">
        <v>40685</v>
      </c>
      <c r="M5" s="970">
        <v>40685</v>
      </c>
      <c r="N5" s="971">
        <f t="shared" ref="N5:S5" si="0">M5</f>
        <v>40685</v>
      </c>
      <c r="O5" s="971">
        <f t="shared" si="0"/>
        <v>40685</v>
      </c>
      <c r="P5" s="971">
        <f t="shared" si="0"/>
        <v>40685</v>
      </c>
      <c r="Q5" s="971">
        <f t="shared" si="0"/>
        <v>40685</v>
      </c>
      <c r="R5" s="971">
        <f t="shared" si="0"/>
        <v>40685</v>
      </c>
      <c r="S5" s="971">
        <f t="shared" si="0"/>
        <v>40685</v>
      </c>
      <c r="T5" s="972"/>
    </row>
    <row r="6" spans="1:20" ht="15" customHeight="1">
      <c r="A6" s="966">
        <v>2</v>
      </c>
      <c r="B6" s="969" t="s">
        <v>1158</v>
      </c>
      <c r="C6" s="968"/>
      <c r="D6" s="969"/>
      <c r="E6" s="973">
        <f>(D5*E25/D27)+(E5*E26/E27)</f>
        <v>7831.3424657534242</v>
      </c>
      <c r="F6" s="973">
        <f>(E5*F25/E27)+(F5*F26/F27)</f>
        <v>16550.780821917808</v>
      </c>
      <c r="G6" s="973">
        <f t="shared" ref="G6:J6" si="1">ROUND((F5*G25/F27)+(G5*G26/G27),0)</f>
        <v>18697</v>
      </c>
      <c r="H6" s="973">
        <f>ROUND((G5*G25/G27)+(H5*(H27-G25)/H27),6)</f>
        <v>22018.786960000001</v>
      </c>
      <c r="I6" s="973">
        <f t="shared" si="1"/>
        <v>27531</v>
      </c>
      <c r="J6" s="973">
        <f t="shared" si="1"/>
        <v>34040</v>
      </c>
      <c r="K6" s="973">
        <f>((J5*K25/J27)+(K5*K26/K27))</f>
        <v>38892.60410958904</v>
      </c>
      <c r="L6" s="974">
        <f>((K5*L25/K27)+(L5*L26/L27))</f>
        <v>40740.428325473462</v>
      </c>
      <c r="M6" s="975">
        <f t="shared" ref="M6:T6" si="2">((L5*M25/L27)+(M5*M26/M27))</f>
        <v>40629.876225765402</v>
      </c>
      <c r="N6" s="974">
        <f t="shared" si="2"/>
        <v>40685</v>
      </c>
      <c r="O6" s="974">
        <f t="shared" si="2"/>
        <v>40685</v>
      </c>
      <c r="P6" s="974">
        <f>((O5*P25/P27)+(P5*P26/P27))</f>
        <v>40685</v>
      </c>
      <c r="Q6" s="974">
        <f>((P5*Q25/P27)+(Q5*Q26/Q27))</f>
        <v>40629.876225765402</v>
      </c>
      <c r="R6" s="974">
        <f t="shared" si="2"/>
        <v>40685</v>
      </c>
      <c r="S6" s="974">
        <f t="shared" si="2"/>
        <v>40685</v>
      </c>
      <c r="T6" s="974">
        <f t="shared" si="2"/>
        <v>20286.767123287671</v>
      </c>
    </row>
    <row r="7" spans="1:20" ht="15" customHeight="1">
      <c r="A7" s="960"/>
      <c r="B7" s="969" t="s">
        <v>1159</v>
      </c>
      <c r="C7" s="968"/>
      <c r="D7" s="969"/>
      <c r="E7" s="976">
        <f>D4*E6</f>
        <v>9991.2267178082184</v>
      </c>
      <c r="F7" s="976">
        <f>E4*F6</f>
        <v>21340.576791780823</v>
      </c>
      <c r="G7" s="976">
        <f t="shared" ref="G7:T7" si="3">F4*G6</f>
        <v>24838.964500000002</v>
      </c>
      <c r="H7" s="972">
        <f>H6*G4</f>
        <v>30467.395516552002</v>
      </c>
      <c r="I7" s="976">
        <f>H4*I6</f>
        <v>38639.758499999996</v>
      </c>
      <c r="J7" s="976">
        <f t="shared" si="3"/>
        <v>48319.78</v>
      </c>
      <c r="K7" s="976">
        <f t="shared" si="3"/>
        <v>55666.984262054793</v>
      </c>
      <c r="L7" s="976">
        <f t="shared" si="3"/>
        <v>58971.770001122837</v>
      </c>
      <c r="M7" s="976">
        <f t="shared" si="3"/>
        <v>59595.902447952692</v>
      </c>
      <c r="N7" s="976">
        <f t="shared" si="3"/>
        <v>60518.9375</v>
      </c>
      <c r="O7" s="976">
        <f t="shared" si="3"/>
        <v>61320.432000000001</v>
      </c>
      <c r="P7" s="976">
        <f t="shared" si="3"/>
        <v>61772.035499999998</v>
      </c>
      <c r="Q7" s="976">
        <f t="shared" si="3"/>
        <v>62009.317095763159</v>
      </c>
      <c r="R7" s="976">
        <f t="shared" ca="1" si="3"/>
        <v>63024.848704999997</v>
      </c>
      <c r="S7" s="976">
        <f t="shared" ca="1" si="3"/>
        <v>63970.221435574989</v>
      </c>
      <c r="T7" s="976">
        <f t="shared" ca="1" si="3"/>
        <v>32375.942481626753</v>
      </c>
    </row>
    <row r="8" spans="1:20" ht="15" customHeight="1" thickBot="1">
      <c r="A8" s="977">
        <v>3</v>
      </c>
      <c r="B8" s="978" t="s">
        <v>1160</v>
      </c>
      <c r="C8" s="979"/>
      <c r="D8" s="978"/>
      <c r="E8" s="980">
        <v>0.9</v>
      </c>
      <c r="F8" s="980">
        <f>E8</f>
        <v>0.9</v>
      </c>
      <c r="G8" s="980">
        <f>F8</f>
        <v>0.9</v>
      </c>
      <c r="H8" s="980">
        <f>G8</f>
        <v>0.9</v>
      </c>
      <c r="I8" s="980">
        <f>H8</f>
        <v>0.9</v>
      </c>
      <c r="J8" s="981">
        <v>0.85</v>
      </c>
      <c r="K8" s="980">
        <v>0.85</v>
      </c>
      <c r="L8" s="980">
        <v>0.85</v>
      </c>
      <c r="M8" s="980">
        <v>0.85</v>
      </c>
      <c r="N8" s="982">
        <f>85%</f>
        <v>0.85</v>
      </c>
      <c r="O8" s="983">
        <f>80%</f>
        <v>0.8</v>
      </c>
      <c r="P8" s="982">
        <f>80%</f>
        <v>0.8</v>
      </c>
      <c r="Q8" s="982">
        <f>80%</f>
        <v>0.8</v>
      </c>
      <c r="R8" s="982">
        <f>80%</f>
        <v>0.8</v>
      </c>
      <c r="S8" s="982">
        <f>80%</f>
        <v>0.8</v>
      </c>
      <c r="T8" s="982">
        <f>80%</f>
        <v>0.8</v>
      </c>
    </row>
    <row r="9" spans="1:20" ht="15" customHeight="1" thickBot="1">
      <c r="A9" s="984">
        <v>4</v>
      </c>
      <c r="B9" s="985" t="s">
        <v>1161</v>
      </c>
      <c r="C9" s="986"/>
      <c r="D9" s="985"/>
      <c r="E9" s="987">
        <f>E7*E8</f>
        <v>8992.1040460273962</v>
      </c>
      <c r="F9" s="987">
        <f>F7*F8</f>
        <v>19206.519112602742</v>
      </c>
      <c r="G9" s="987">
        <f>G7*G8</f>
        <v>22355.068050000002</v>
      </c>
      <c r="H9" s="987">
        <f>H7*H8</f>
        <v>27420.655964896803</v>
      </c>
      <c r="I9" s="987">
        <f>I7*I8</f>
        <v>34775.782650000001</v>
      </c>
      <c r="J9" s="988">
        <f>((I5*181/365)*I8+(J5*184/365)*J8)*I4</f>
        <v>42161.911996986295</v>
      </c>
      <c r="K9" s="988">
        <f>K7*K8</f>
        <v>47316.936622746573</v>
      </c>
      <c r="L9" s="988">
        <f>L7*L8</f>
        <v>50126.004500954412</v>
      </c>
      <c r="M9" s="988">
        <f t="shared" ref="M9:T9" si="4">M7*M8</f>
        <v>50656.51708075979</v>
      </c>
      <c r="N9" s="988">
        <f t="shared" si="4"/>
        <v>51441.096874999996</v>
      </c>
      <c r="O9" s="988">
        <f>O7*(N8*N25+O8*O26)/365</f>
        <v>50576.756311232879</v>
      </c>
      <c r="P9" s="988">
        <f t="shared" si="4"/>
        <v>49417.628400000001</v>
      </c>
      <c r="Q9" s="988">
        <f t="shared" si="4"/>
        <v>49607.45367661053</v>
      </c>
      <c r="R9" s="988">
        <f t="shared" ca="1" si="4"/>
        <v>50419.878964000003</v>
      </c>
      <c r="S9" s="988">
        <f t="shared" ca="1" si="4"/>
        <v>51176.177148459996</v>
      </c>
      <c r="T9" s="988">
        <f t="shared" ca="1" si="4"/>
        <v>25900.753985301402</v>
      </c>
    </row>
    <row r="10" spans="1:20" s="995" customFormat="1" ht="15" customHeight="1">
      <c r="A10" s="989"/>
      <c r="B10" s="990" t="s">
        <v>1162</v>
      </c>
      <c r="C10" s="991"/>
      <c r="D10" s="990"/>
      <c r="E10" s="992">
        <v>239</v>
      </c>
      <c r="F10" s="992">
        <v>270</v>
      </c>
      <c r="G10" s="992">
        <v>305</v>
      </c>
      <c r="H10" s="992">
        <f>352</f>
        <v>352</v>
      </c>
      <c r="I10" s="992">
        <v>430</v>
      </c>
      <c r="J10" s="992">
        <v>491</v>
      </c>
      <c r="K10" s="993">
        <v>515</v>
      </c>
      <c r="L10" s="994">
        <f t="shared" ref="L10:T10" si="5">K10</f>
        <v>515</v>
      </c>
      <c r="M10" s="994">
        <f t="shared" si="5"/>
        <v>515</v>
      </c>
      <c r="N10" s="994">
        <f t="shared" si="5"/>
        <v>515</v>
      </c>
      <c r="O10" s="994">
        <f t="shared" si="5"/>
        <v>515</v>
      </c>
      <c r="P10" s="994">
        <f t="shared" si="5"/>
        <v>515</v>
      </c>
      <c r="Q10" s="994">
        <f t="shared" si="5"/>
        <v>515</v>
      </c>
      <c r="R10" s="994">
        <f t="shared" si="5"/>
        <v>515</v>
      </c>
      <c r="S10" s="994">
        <f t="shared" si="5"/>
        <v>515</v>
      </c>
      <c r="T10" s="994">
        <f t="shared" si="5"/>
        <v>515</v>
      </c>
    </row>
    <row r="11" spans="1:20" s="997" customFormat="1" ht="15" customHeight="1">
      <c r="A11" s="996"/>
      <c r="B11" s="997" t="s">
        <v>1163</v>
      </c>
      <c r="C11" s="998"/>
      <c r="E11" s="999">
        <f>매출!H5/1000</f>
        <v>63.862000000000002</v>
      </c>
      <c r="F11" s="999">
        <f>매출!I5/1000</f>
        <v>189.37200000000001</v>
      </c>
      <c r="G11" s="1000">
        <f>매출!J5/1000</f>
        <v>232.45599999999999</v>
      </c>
      <c r="H11" s="1000">
        <f>매출!K5/1000</f>
        <v>239.018</v>
      </c>
      <c r="I11" s="1000">
        <f>매출!L5/1000</f>
        <v>243.63399999999999</v>
      </c>
      <c r="J11" s="1001">
        <f>매출!M5/1000</f>
        <v>246.131</v>
      </c>
      <c r="K11" s="1001">
        <f>매출!N5/1000</f>
        <v>251.31</v>
      </c>
      <c r="L11" s="1001">
        <f>매출!O5/1000</f>
        <v>305.52</v>
      </c>
      <c r="M11" s="1002">
        <f>매출!P5/1000</f>
        <v>307.18799999999999</v>
      </c>
      <c r="N11" s="1003">
        <f>매출!Q5/1000</f>
        <v>302.93200000000002</v>
      </c>
      <c r="O11" s="1003">
        <f>매출!R5/1000</f>
        <v>320.34300000000002</v>
      </c>
      <c r="P11" s="1003">
        <f ca="1">매출!S5/1000</f>
        <v>352.19400000000002</v>
      </c>
      <c r="Q11" s="1003">
        <f ca="1">매출!T5/1000</f>
        <v>314.43599999999998</v>
      </c>
      <c r="R11" s="1003">
        <f ca="1">매출!U5/1000</f>
        <v>310</v>
      </c>
      <c r="S11" s="1003">
        <f ca="1">매출!V5/1000</f>
        <v>320</v>
      </c>
      <c r="T11" s="1003">
        <f ca="1">매출!W5/1000</f>
        <v>330</v>
      </c>
    </row>
    <row r="12" spans="1:20" ht="15" customHeight="1">
      <c r="A12" s="1004"/>
      <c r="B12" s="1005" t="s">
        <v>1164</v>
      </c>
      <c r="C12" s="1006" t="s">
        <v>1165</v>
      </c>
      <c r="E12" s="1007">
        <v>65000</v>
      </c>
      <c r="F12" s="1008">
        <f>E12</f>
        <v>65000</v>
      </c>
      <c r="G12" s="1008">
        <f>F12</f>
        <v>65000</v>
      </c>
      <c r="H12" s="1007">
        <v>68500</v>
      </c>
      <c r="I12" s="1007">
        <v>72000</v>
      </c>
      <c r="J12" s="1009">
        <v>75500</v>
      </c>
      <c r="K12" s="1009">
        <v>79000</v>
      </c>
      <c r="L12" s="1010">
        <f>K12</f>
        <v>79000</v>
      </c>
      <c r="M12" s="1010">
        <f t="shared" ref="M12:T13" si="6">L12</f>
        <v>79000</v>
      </c>
      <c r="N12" s="1010">
        <f t="shared" si="6"/>
        <v>79000</v>
      </c>
      <c r="O12" s="1010">
        <f t="shared" si="6"/>
        <v>79000</v>
      </c>
      <c r="P12" s="1010">
        <f t="shared" si="6"/>
        <v>79000</v>
      </c>
      <c r="Q12" s="1010">
        <f t="shared" si="6"/>
        <v>79000</v>
      </c>
      <c r="R12" s="1010">
        <f t="shared" si="6"/>
        <v>79000</v>
      </c>
      <c r="S12" s="1010">
        <f t="shared" si="6"/>
        <v>79000</v>
      </c>
      <c r="T12" s="1010">
        <f t="shared" si="6"/>
        <v>79000</v>
      </c>
    </row>
    <row r="13" spans="1:20" ht="15" customHeight="1">
      <c r="A13" s="1004"/>
      <c r="B13" s="955" t="s">
        <v>1166</v>
      </c>
      <c r="C13" s="1006" t="s">
        <v>1165</v>
      </c>
      <c r="E13" s="1011">
        <f>E12</f>
        <v>65000</v>
      </c>
      <c r="F13" s="1011">
        <f t="shared" ref="F13:L13" si="7">((E12*E25)+(F12*F26))/365</f>
        <v>65000</v>
      </c>
      <c r="G13" s="1011">
        <f t="shared" si="7"/>
        <v>65000</v>
      </c>
      <c r="H13" s="1011">
        <f t="shared" si="7"/>
        <v>66764.38356164383</v>
      </c>
      <c r="I13" s="1011">
        <f t="shared" si="7"/>
        <v>70452.054794520547</v>
      </c>
      <c r="J13" s="1011">
        <f t="shared" si="7"/>
        <v>73764.38356164383</v>
      </c>
      <c r="K13" s="1011">
        <f t="shared" si="7"/>
        <v>77264.38356164383</v>
      </c>
      <c r="L13" s="1011">
        <f t="shared" si="7"/>
        <v>79000</v>
      </c>
      <c r="M13" s="1011">
        <f>L13</f>
        <v>79000</v>
      </c>
      <c r="N13" s="1011">
        <f t="shared" si="6"/>
        <v>79000</v>
      </c>
      <c r="O13" s="1011">
        <f t="shared" si="6"/>
        <v>79000</v>
      </c>
      <c r="P13" s="1011">
        <f t="shared" si="6"/>
        <v>79000</v>
      </c>
      <c r="Q13" s="1011">
        <f t="shared" si="6"/>
        <v>79000</v>
      </c>
      <c r="R13" s="1011">
        <f t="shared" si="6"/>
        <v>79000</v>
      </c>
      <c r="S13" s="1011">
        <f t="shared" si="6"/>
        <v>79000</v>
      </c>
      <c r="T13" s="1011">
        <f t="shared" si="6"/>
        <v>79000</v>
      </c>
    </row>
    <row r="14" spans="1:20" ht="15" customHeight="1">
      <c r="A14" s="1004"/>
      <c r="B14" s="1005" t="s">
        <v>1167</v>
      </c>
      <c r="C14" s="1006" t="s">
        <v>1165</v>
      </c>
      <c r="E14" s="1011">
        <f>E13*D4</f>
        <v>82927</v>
      </c>
      <c r="F14" s="1011">
        <f t="shared" ref="F14:T14" si="8">F13*E4</f>
        <v>83811</v>
      </c>
      <c r="G14" s="1011">
        <f t="shared" si="8"/>
        <v>86352.5</v>
      </c>
      <c r="H14" s="1011">
        <f t="shared" si="8"/>
        <v>92381.877534246567</v>
      </c>
      <c r="I14" s="1011">
        <f t="shared" si="8"/>
        <v>98879.45890410959</v>
      </c>
      <c r="J14" s="1011">
        <f t="shared" si="8"/>
        <v>104708.54246575342</v>
      </c>
      <c r="K14" s="1011">
        <f t="shared" si="8"/>
        <v>110588.51219178081</v>
      </c>
      <c r="L14" s="1011">
        <f t="shared" si="8"/>
        <v>114352.5</v>
      </c>
      <c r="M14" s="1011">
        <f t="shared" si="8"/>
        <v>115877.20000000001</v>
      </c>
      <c r="N14" s="1011">
        <f t="shared" si="8"/>
        <v>117512.5</v>
      </c>
      <c r="O14" s="1011">
        <f t="shared" si="8"/>
        <v>119068.8</v>
      </c>
      <c r="P14" s="1011">
        <f t="shared" si="8"/>
        <v>119945.7</v>
      </c>
      <c r="Q14" s="1011">
        <f t="shared" si="8"/>
        <v>120569.8</v>
      </c>
      <c r="R14" s="1011">
        <f t="shared" ca="1" si="8"/>
        <v>122378.34699999998</v>
      </c>
      <c r="S14" s="1011">
        <f t="shared" ca="1" si="8"/>
        <v>124214.02220499997</v>
      </c>
      <c r="T14" s="1011">
        <f t="shared" ca="1" si="8"/>
        <v>126077.23253807495</v>
      </c>
    </row>
    <row r="15" spans="1:20" ht="15" customHeight="1">
      <c r="A15" s="1004"/>
      <c r="B15" s="955" t="s">
        <v>1168</v>
      </c>
      <c r="C15" s="1006" t="s">
        <v>1165</v>
      </c>
      <c r="E15" s="1011">
        <f>E14*90%</f>
        <v>74634.3</v>
      </c>
      <c r="F15" s="1011">
        <f t="shared" ref="F15:T15" si="9">F14*90%</f>
        <v>75429.900000000009</v>
      </c>
      <c r="G15" s="1011">
        <f t="shared" si="9"/>
        <v>77717.25</v>
      </c>
      <c r="H15" s="1011">
        <f t="shared" si="9"/>
        <v>83143.689780821907</v>
      </c>
      <c r="I15" s="1011">
        <f t="shared" si="9"/>
        <v>88991.513013698626</v>
      </c>
      <c r="J15" s="1011">
        <f t="shared" si="9"/>
        <v>94237.688219178075</v>
      </c>
      <c r="K15" s="1011">
        <f t="shared" si="9"/>
        <v>99529.660972602738</v>
      </c>
      <c r="L15" s="1011">
        <f t="shared" si="9"/>
        <v>102917.25</v>
      </c>
      <c r="M15" s="1011">
        <f t="shared" si="9"/>
        <v>104289.48000000001</v>
      </c>
      <c r="N15" s="4734">
        <f>ROUNDUP(N14*90%,0)</f>
        <v>105762</v>
      </c>
      <c r="O15" s="1011">
        <f t="shared" si="9"/>
        <v>107161.92</v>
      </c>
      <c r="P15" s="1011">
        <f t="shared" si="9"/>
        <v>107951.13</v>
      </c>
      <c r="Q15" s="1011">
        <f t="shared" si="9"/>
        <v>108512.82</v>
      </c>
      <c r="R15" s="1011">
        <f t="shared" ca="1" si="9"/>
        <v>110140.51229999999</v>
      </c>
      <c r="S15" s="1011">
        <f t="shared" ca="1" si="9"/>
        <v>111792.61998449998</v>
      </c>
      <c r="T15" s="1011">
        <f t="shared" ca="1" si="9"/>
        <v>113469.50928426746</v>
      </c>
    </row>
    <row r="16" spans="1:20" s="1017" customFormat="1" ht="15" customHeight="1">
      <c r="A16" s="1012">
        <v>5</v>
      </c>
      <c r="B16" s="1013" t="s">
        <v>1169</v>
      </c>
      <c r="C16" s="1014" t="s">
        <v>1170</v>
      </c>
      <c r="D16" s="1013"/>
      <c r="E16" s="1015">
        <f>E12*D4*90%*E11/10^3</f>
        <v>4766.2956666</v>
      </c>
      <c r="F16" s="1016">
        <f t="shared" ref="F16:K16" si="10">((E12*F25/E27)+(F12*F26/F27))*E4*90%*F11/10^3</f>
        <v>14284.311022800002</v>
      </c>
      <c r="G16" s="1016">
        <f t="shared" si="10"/>
        <v>18065.841066000001</v>
      </c>
      <c r="H16" s="4735">
        <v>19880.730831000001</v>
      </c>
      <c r="I16" s="4735">
        <v>21630.733228000001</v>
      </c>
      <c r="J16" s="1016">
        <f t="shared" si="10"/>
        <v>23194.816439074519</v>
      </c>
      <c r="K16" s="1016">
        <f t="shared" si="10"/>
        <v>25012.799099024796</v>
      </c>
      <c r="L16" s="4735">
        <v>31443.27822</v>
      </c>
      <c r="M16" s="1016">
        <f>((L12*M25/M27)+(M12*M26/M27))*L4*90%*M11/10^3</f>
        <v>32036.476782240003</v>
      </c>
      <c r="N16" s="1016">
        <f>N15*N11/1000</f>
        <v>32038.694184</v>
      </c>
      <c r="O16" s="1016">
        <f>O15*O11/1000</f>
        <v>34328.570938559998</v>
      </c>
      <c r="P16" s="1016">
        <f ca="1">P11*P15/1000</f>
        <v>38019.740279220001</v>
      </c>
      <c r="Q16" s="1016">
        <f ca="1">Q11*Q15/1000</f>
        <v>34120.337069519999</v>
      </c>
      <c r="R16" s="1016">
        <f t="shared" ref="R16:S16" ca="1" si="11">R11*R15/1000</f>
        <v>34143.558812999996</v>
      </c>
      <c r="S16" s="1016">
        <f t="shared" ca="1" si="11"/>
        <v>35773.63839503999</v>
      </c>
      <c r="T16" s="1016">
        <f ca="1">T11*T15/1000/2</f>
        <v>18722.469031904133</v>
      </c>
    </row>
    <row r="17" spans="1:16383" ht="15" customHeight="1">
      <c r="A17" s="966">
        <v>6</v>
      </c>
      <c r="B17" s="969" t="s">
        <v>1171</v>
      </c>
      <c r="C17" s="1018" t="s">
        <v>1170</v>
      </c>
      <c r="D17" s="969"/>
      <c r="E17" s="975">
        <v>100.06183</v>
      </c>
      <c r="F17" s="1019">
        <v>493.21035599999999</v>
      </c>
      <c r="G17" s="975">
        <v>828.83625700000005</v>
      </c>
      <c r="H17" s="975">
        <v>829.83152800000005</v>
      </c>
      <c r="I17" s="975">
        <v>822.79767100000004</v>
      </c>
      <c r="J17" s="975">
        <v>718.31881799999996</v>
      </c>
      <c r="K17" s="975">
        <v>2194.5539640000002</v>
      </c>
      <c r="L17" s="975">
        <v>2072.6860510000001</v>
      </c>
      <c r="M17" s="975">
        <v>2788.3523019999998</v>
      </c>
      <c r="N17" s="975">
        <v>3126.3270200000002</v>
      </c>
      <c r="O17" s="975">
        <v>2885.7242000000001</v>
      </c>
      <c r="P17" s="975">
        <v>2640.7464</v>
      </c>
      <c r="Q17" s="971">
        <f>매출!T20+매출!T15</f>
        <v>2727.2172</v>
      </c>
      <c r="R17" s="971">
        <f>매출!U20+매출!U15</f>
        <v>2699.5160000000001</v>
      </c>
      <c r="S17" s="971">
        <f ca="1">매출!V20+매출!V15</f>
        <v>2408.8791999999999</v>
      </c>
      <c r="T17" s="971">
        <f ca="1">(매출!W20+매출!W15)/2</f>
        <v>1173.1676</v>
      </c>
    </row>
    <row r="18" spans="1:16383" ht="15" customHeight="1">
      <c r="A18" s="960">
        <v>7</v>
      </c>
      <c r="B18" s="961" t="s">
        <v>1172</v>
      </c>
      <c r="C18" s="968" t="s">
        <v>1173</v>
      </c>
      <c r="D18" s="961"/>
      <c r="E18" s="976">
        <f>E16+E17</f>
        <v>4866.3574965999996</v>
      </c>
      <c r="F18" s="976">
        <f t="shared" ref="F18:T18" si="12">F16+F17</f>
        <v>14777.521378800002</v>
      </c>
      <c r="G18" s="976">
        <f t="shared" si="12"/>
        <v>18894.677323</v>
      </c>
      <c r="H18" s="976">
        <f t="shared" si="12"/>
        <v>20710.562359</v>
      </c>
      <c r="I18" s="976">
        <f t="shared" si="12"/>
        <v>22453.530899000001</v>
      </c>
      <c r="J18" s="1020">
        <f t="shared" si="12"/>
        <v>23913.135257074518</v>
      </c>
      <c r="K18" s="1020">
        <f t="shared" si="12"/>
        <v>27207.353063024795</v>
      </c>
      <c r="L18" s="1020">
        <f t="shared" si="12"/>
        <v>33515.964270999997</v>
      </c>
      <c r="M18" s="1020">
        <f t="shared" si="12"/>
        <v>34824.829084240002</v>
      </c>
      <c r="N18" s="1020">
        <f t="shared" si="12"/>
        <v>35165.021203999997</v>
      </c>
      <c r="O18" s="1020">
        <f>O16+O17</f>
        <v>37214.295138559995</v>
      </c>
      <c r="P18" s="1020">
        <f t="shared" ca="1" si="12"/>
        <v>40660.486679220005</v>
      </c>
      <c r="Q18" s="1020">
        <f t="shared" ca="1" si="12"/>
        <v>36847.554269519998</v>
      </c>
      <c r="R18" s="1020">
        <f t="shared" ca="1" si="12"/>
        <v>36843.074812999999</v>
      </c>
      <c r="S18" s="1020">
        <f t="shared" ca="1" si="12"/>
        <v>38182.517595039993</v>
      </c>
      <c r="T18" s="1020">
        <f t="shared" ca="1" si="12"/>
        <v>19895.636631904134</v>
      </c>
    </row>
    <row r="19" spans="1:16383" ht="15" customHeight="1" thickBot="1">
      <c r="A19" s="977">
        <v>8</v>
      </c>
      <c r="B19" s="978" t="s">
        <v>1174</v>
      </c>
      <c r="C19" s="979" t="s">
        <v>1173</v>
      </c>
      <c r="D19" s="978"/>
      <c r="E19" s="1021">
        <f>E7*50%</f>
        <v>4995.6133589041092</v>
      </c>
      <c r="F19" s="1022">
        <f t="shared" ref="F19:T19" si="13">F7*50%</f>
        <v>10670.288395890411</v>
      </c>
      <c r="G19" s="1022">
        <f t="shared" si="13"/>
        <v>12419.482250000001</v>
      </c>
      <c r="H19" s="1022">
        <f t="shared" si="13"/>
        <v>15233.697758276001</v>
      </c>
      <c r="I19" s="1022">
        <f t="shared" si="13"/>
        <v>19319.879249999998</v>
      </c>
      <c r="J19" s="1022">
        <f t="shared" si="13"/>
        <v>24159.89</v>
      </c>
      <c r="K19" s="1022">
        <f t="shared" si="13"/>
        <v>27833.492131027397</v>
      </c>
      <c r="L19" s="1022">
        <f t="shared" si="13"/>
        <v>29485.885000561419</v>
      </c>
      <c r="M19" s="1022">
        <f t="shared" si="13"/>
        <v>29797.951223976346</v>
      </c>
      <c r="N19" s="1022">
        <f t="shared" si="13"/>
        <v>30259.46875</v>
      </c>
      <c r="O19" s="1022">
        <f t="shared" si="13"/>
        <v>30660.216</v>
      </c>
      <c r="P19" s="1022">
        <f t="shared" si="13"/>
        <v>30886.017749999999</v>
      </c>
      <c r="Q19" s="1022">
        <f t="shared" si="13"/>
        <v>31004.65854788158</v>
      </c>
      <c r="R19" s="1022">
        <f t="shared" ca="1" si="13"/>
        <v>31512.424352499998</v>
      </c>
      <c r="S19" s="1022">
        <f t="shared" ca="1" si="13"/>
        <v>31985.110717787495</v>
      </c>
      <c r="T19" s="1022">
        <f t="shared" ca="1" si="13"/>
        <v>16187.971240813376</v>
      </c>
    </row>
    <row r="20" spans="1:16383" ht="15" customHeight="1" thickBot="1">
      <c r="A20" s="984">
        <v>9</v>
      </c>
      <c r="B20" s="985" t="s">
        <v>1175</v>
      </c>
      <c r="C20" s="986" t="s">
        <v>1173</v>
      </c>
      <c r="D20" s="985"/>
      <c r="E20" s="1023">
        <f>MAX(E18,E19)</f>
        <v>4995.6133589041092</v>
      </c>
      <c r="F20" s="1023">
        <f>MAX(F18,F19)</f>
        <v>14777.521378800002</v>
      </c>
      <c r="G20" s="1023">
        <f>MAX(G18,G19)</f>
        <v>18894.677323</v>
      </c>
      <c r="H20" s="1023">
        <f>MAX(H18,H19)</f>
        <v>20710.562359</v>
      </c>
      <c r="I20" s="1023">
        <f>MAX(I18,I19)</f>
        <v>22453.530899000001</v>
      </c>
      <c r="J20" s="988">
        <f>IF(J18-J19&gt;0,J18,J19)</f>
        <v>24159.89</v>
      </c>
      <c r="K20" s="988">
        <f>IF(K18-K19&gt;0,K18,K19)</f>
        <v>27833.492131027397</v>
      </c>
      <c r="L20" s="988">
        <f>IF(L18-L19&gt;0,L18,L19)</f>
        <v>33515.964270999997</v>
      </c>
      <c r="M20" s="988">
        <f>IF(M18-M19&gt;0,M18,M19)</f>
        <v>34824.829084240002</v>
      </c>
      <c r="N20" s="988">
        <f t="shared" ref="N20:T20" si="14">IF(N18-N19&gt;0,N18,N19)</f>
        <v>35165.021203999997</v>
      </c>
      <c r="O20" s="4736">
        <f t="shared" si="14"/>
        <v>37214.295138559995</v>
      </c>
      <c r="P20" s="988">
        <f t="shared" ca="1" si="14"/>
        <v>40660.486679220005</v>
      </c>
      <c r="Q20" s="988">
        <f t="shared" ca="1" si="14"/>
        <v>36847.554269519998</v>
      </c>
      <c r="R20" s="988">
        <f t="shared" ca="1" si="14"/>
        <v>36843.074812999999</v>
      </c>
      <c r="S20" s="988">
        <f t="shared" ca="1" si="14"/>
        <v>38182.517595039993</v>
      </c>
      <c r="T20" s="988">
        <f t="shared" ca="1" si="14"/>
        <v>19895.636631904134</v>
      </c>
    </row>
    <row r="21" spans="1:16383" ht="15" customHeight="1" thickBot="1">
      <c r="A21" s="1024">
        <v>10</v>
      </c>
      <c r="B21" s="1025" t="s">
        <v>1176</v>
      </c>
      <c r="C21" s="1026" t="s">
        <v>1173</v>
      </c>
      <c r="D21" s="1025"/>
      <c r="E21" s="1027">
        <f>E9-E20</f>
        <v>3996.490687123287</v>
      </c>
      <c r="F21" s="1027">
        <f>F9-F20</f>
        <v>4428.9977338027402</v>
      </c>
      <c r="G21" s="1027">
        <f>G9-G20</f>
        <v>3460.3907270000018</v>
      </c>
      <c r="H21" s="1027">
        <f>H9-H20</f>
        <v>6710.0936058968036</v>
      </c>
      <c r="I21" s="1027">
        <f>I9-I20</f>
        <v>12322.251751</v>
      </c>
      <c r="J21" s="1028">
        <f t="shared" ref="J21:T21" si="15">J9-J20</f>
        <v>18002.021996986296</v>
      </c>
      <c r="K21" s="1028">
        <f t="shared" si="15"/>
        <v>19483.444491719176</v>
      </c>
      <c r="L21" s="1028">
        <f t="shared" si="15"/>
        <v>16610.040229954415</v>
      </c>
      <c r="M21" s="1028">
        <f t="shared" si="15"/>
        <v>15831.687996519788</v>
      </c>
      <c r="N21" s="1028">
        <f t="shared" si="15"/>
        <v>16276.075670999999</v>
      </c>
      <c r="O21" s="1028">
        <f t="shared" si="15"/>
        <v>13362.461172672884</v>
      </c>
      <c r="P21" s="1028">
        <f t="shared" ca="1" si="15"/>
        <v>8757.1417207799968</v>
      </c>
      <c r="Q21" s="1028">
        <f t="shared" ca="1" si="15"/>
        <v>12759.899407090532</v>
      </c>
      <c r="R21" s="1028">
        <f t="shared" ca="1" si="15"/>
        <v>13576.804151000004</v>
      </c>
      <c r="S21" s="1028">
        <f t="shared" ca="1" si="15"/>
        <v>12993.659553420002</v>
      </c>
      <c r="T21" s="1028">
        <f t="shared" ca="1" si="15"/>
        <v>6005.1173533972687</v>
      </c>
    </row>
    <row r="22" spans="1:16383" ht="15" hidden="1" customHeight="1" thickTop="1" thickBot="1">
      <c r="A22" s="1030">
        <v>1</v>
      </c>
      <c r="B22" s="1025" t="s">
        <v>1177</v>
      </c>
      <c r="C22" s="1026" t="s">
        <v>1173</v>
      </c>
      <c r="D22" s="1025"/>
      <c r="E22" s="1031">
        <f t="shared" ref="E22:J22" si="16">E21</f>
        <v>3996.490687123287</v>
      </c>
      <c r="F22" s="1031">
        <f t="shared" si="16"/>
        <v>4428.9977338027402</v>
      </c>
      <c r="G22" s="1031">
        <f t="shared" si="16"/>
        <v>3460.3907270000018</v>
      </c>
      <c r="H22" s="1031">
        <f>H21</f>
        <v>6710.0936058968036</v>
      </c>
      <c r="I22" s="1031">
        <f t="shared" si="16"/>
        <v>12322.251751</v>
      </c>
      <c r="J22" s="1031">
        <f t="shared" si="16"/>
        <v>18002.021996986296</v>
      </c>
      <c r="K22" s="1028">
        <f>K21*$A$22</f>
        <v>19483.444491719176</v>
      </c>
      <c r="L22" s="1028">
        <f>L21*$A$22</f>
        <v>16610.040229954415</v>
      </c>
      <c r="M22" s="1028">
        <f t="shared" ref="M22:T22" si="17">M21*$A$22</f>
        <v>15831.687996519788</v>
      </c>
      <c r="N22" s="1028">
        <f t="shared" si="17"/>
        <v>16276.075670999999</v>
      </c>
      <c r="O22" s="1029">
        <f>O21*$A$22</f>
        <v>13362.461172672884</v>
      </c>
      <c r="P22" s="1029">
        <v>8757.1417207800005</v>
      </c>
      <c r="Q22" s="1029">
        <f t="shared" ca="1" si="17"/>
        <v>12759.899407090532</v>
      </c>
      <c r="R22" s="1029">
        <f t="shared" ca="1" si="17"/>
        <v>13576.804151000004</v>
      </c>
      <c r="S22" s="1029">
        <f t="shared" ca="1" si="17"/>
        <v>12993.659553420002</v>
      </c>
      <c r="T22" s="1029">
        <f t="shared" ca="1" si="17"/>
        <v>6005.1173533972687</v>
      </c>
    </row>
    <row r="23" spans="1:16383" ht="13.5" customHeight="1" thickTop="1">
      <c r="A23" s="959"/>
      <c r="B23" s="1032" t="s">
        <v>1178</v>
      </c>
      <c r="C23" s="1032"/>
      <c r="D23" s="1032"/>
      <c r="E23" s="1033">
        <v>3996490687</v>
      </c>
      <c r="F23" s="1033">
        <v>4428978797</v>
      </c>
      <c r="G23" s="1033">
        <v>3460268675</v>
      </c>
      <c r="H23" s="1033">
        <v>6710093606</v>
      </c>
      <c r="I23" s="1033">
        <v>12322849617</v>
      </c>
      <c r="J23" s="1033">
        <v>18001765320</v>
      </c>
      <c r="K23" s="1033">
        <v>19483444491</v>
      </c>
      <c r="L23" s="1033">
        <v>16609528034</v>
      </c>
      <c r="M23" s="1033">
        <v>15831687997</v>
      </c>
      <c r="N23" s="1033">
        <v>16273694113</v>
      </c>
      <c r="O23" s="1033">
        <v>13362461173</v>
      </c>
      <c r="P23" s="1033">
        <v>8757141721</v>
      </c>
      <c r="Q23" s="1034"/>
      <c r="R23" s="1034"/>
      <c r="S23" s="1034"/>
      <c r="T23" s="1034"/>
    </row>
    <row r="24" spans="1:16383" outlineLevel="1">
      <c r="B24" s="955" t="s">
        <v>1179</v>
      </c>
      <c r="E24" s="1035"/>
      <c r="J24" s="1035"/>
      <c r="K24" s="1036"/>
      <c r="L24" s="1036"/>
      <c r="M24" s="1036"/>
      <c r="N24" s="1036"/>
      <c r="O24" s="1037"/>
      <c r="P24" s="1038"/>
      <c r="Q24" s="1035"/>
      <c r="R24" s="1035"/>
      <c r="S24" s="1035"/>
      <c r="T24" s="1039"/>
    </row>
    <row r="25" spans="1:16383" outlineLevel="1">
      <c r="B25" s="1040" t="s">
        <v>1180</v>
      </c>
      <c r="C25" s="1040"/>
      <c r="D25" s="1041">
        <f t="shared" ref="D25:T25" si="18">DATE(D3,7,1)-DATE(D3,1,1)</f>
        <v>182</v>
      </c>
      <c r="E25" s="1041">
        <f t="shared" si="18"/>
        <v>181</v>
      </c>
      <c r="F25" s="1041">
        <f t="shared" si="18"/>
        <v>181</v>
      </c>
      <c r="G25" s="1041">
        <f t="shared" si="18"/>
        <v>181</v>
      </c>
      <c r="H25" s="1041">
        <f t="shared" si="18"/>
        <v>182</v>
      </c>
      <c r="I25" s="1041">
        <f t="shared" si="18"/>
        <v>181</v>
      </c>
      <c r="J25" s="1041">
        <f t="shared" si="18"/>
        <v>181</v>
      </c>
      <c r="K25" s="1041">
        <f t="shared" si="18"/>
        <v>181</v>
      </c>
      <c r="L25" s="1041">
        <f t="shared" si="18"/>
        <v>182</v>
      </c>
      <c r="M25" s="1041">
        <f t="shared" si="18"/>
        <v>181</v>
      </c>
      <c r="N25" s="1041">
        <f t="shared" si="18"/>
        <v>181</v>
      </c>
      <c r="O25" s="1041">
        <f t="shared" si="18"/>
        <v>181</v>
      </c>
      <c r="P25" s="1041">
        <f t="shared" si="18"/>
        <v>182</v>
      </c>
      <c r="Q25" s="1041">
        <f t="shared" si="18"/>
        <v>181</v>
      </c>
      <c r="R25" s="1041">
        <f t="shared" si="18"/>
        <v>181</v>
      </c>
      <c r="S25" s="1041">
        <f t="shared" si="18"/>
        <v>181</v>
      </c>
      <c r="T25" s="1041">
        <f t="shared" si="18"/>
        <v>182</v>
      </c>
    </row>
    <row r="26" spans="1:16383" outlineLevel="1">
      <c r="B26" s="1040" t="s">
        <v>1181</v>
      </c>
      <c r="C26" s="1040"/>
      <c r="D26" s="1041">
        <f t="shared" ref="D26:S26" si="19">(DATE(D3,12,31)-DATE(D3,7,1))+1</f>
        <v>184</v>
      </c>
      <c r="E26" s="1041">
        <f t="shared" si="19"/>
        <v>184</v>
      </c>
      <c r="F26" s="1041">
        <f t="shared" si="19"/>
        <v>184</v>
      </c>
      <c r="G26" s="1041">
        <f t="shared" si="19"/>
        <v>184</v>
      </c>
      <c r="H26" s="1041">
        <f t="shared" si="19"/>
        <v>184</v>
      </c>
      <c r="I26" s="1041">
        <f t="shared" si="19"/>
        <v>184</v>
      </c>
      <c r="J26" s="1041">
        <f t="shared" si="19"/>
        <v>184</v>
      </c>
      <c r="K26" s="1041">
        <f t="shared" si="19"/>
        <v>184</v>
      </c>
      <c r="L26" s="1041">
        <f t="shared" si="19"/>
        <v>184</v>
      </c>
      <c r="M26" s="1041">
        <f t="shared" si="19"/>
        <v>184</v>
      </c>
      <c r="N26" s="1041">
        <f t="shared" si="19"/>
        <v>184</v>
      </c>
      <c r="O26" s="1041">
        <f t="shared" si="19"/>
        <v>184</v>
      </c>
      <c r="P26" s="1041">
        <f t="shared" si="19"/>
        <v>184</v>
      </c>
      <c r="Q26" s="1041">
        <f t="shared" si="19"/>
        <v>184</v>
      </c>
      <c r="R26" s="1041">
        <f t="shared" si="19"/>
        <v>184</v>
      </c>
      <c r="S26" s="1041">
        <f t="shared" si="19"/>
        <v>184</v>
      </c>
      <c r="T26" s="1041">
        <f>(DATE(T3,7,1)-DATE(T3,7,1))</f>
        <v>0</v>
      </c>
    </row>
    <row r="27" spans="1:16383" outlineLevel="1">
      <c r="B27" s="1040" t="s">
        <v>1182</v>
      </c>
      <c r="C27" s="1040"/>
      <c r="D27" s="1041">
        <f t="shared" ref="D27:S27" si="20">(DATE(D3,12,31)-DATE(D3,1,1))+1</f>
        <v>366</v>
      </c>
      <c r="E27" s="1041">
        <f t="shared" si="20"/>
        <v>365</v>
      </c>
      <c r="F27" s="1041">
        <f t="shared" si="20"/>
        <v>365</v>
      </c>
      <c r="G27" s="1041">
        <f t="shared" si="20"/>
        <v>365</v>
      </c>
      <c r="H27" s="1041">
        <f t="shared" si="20"/>
        <v>366</v>
      </c>
      <c r="I27" s="1041">
        <f t="shared" si="20"/>
        <v>365</v>
      </c>
      <c r="J27" s="1041">
        <f t="shared" si="20"/>
        <v>365</v>
      </c>
      <c r="K27" s="1041">
        <f t="shared" si="20"/>
        <v>365</v>
      </c>
      <c r="L27" s="1041">
        <f t="shared" si="20"/>
        <v>366</v>
      </c>
      <c r="M27" s="1041">
        <f t="shared" si="20"/>
        <v>365</v>
      </c>
      <c r="N27" s="1041">
        <f t="shared" si="20"/>
        <v>365</v>
      </c>
      <c r="O27" s="1041">
        <f t="shared" si="20"/>
        <v>365</v>
      </c>
      <c r="P27" s="1041">
        <f t="shared" si="20"/>
        <v>366</v>
      </c>
      <c r="Q27" s="1041">
        <f t="shared" si="20"/>
        <v>365</v>
      </c>
      <c r="R27" s="1041">
        <f t="shared" si="20"/>
        <v>365</v>
      </c>
      <c r="S27" s="1041">
        <f t="shared" si="20"/>
        <v>365</v>
      </c>
      <c r="T27" s="1041">
        <f>(DATE(T3,12,31)-DATE(T3,1,1))</f>
        <v>365</v>
      </c>
    </row>
    <row r="28" spans="1:16383" outlineLevel="1">
      <c r="B28" s="1040" t="s">
        <v>1183</v>
      </c>
      <c r="C28" s="1040"/>
      <c r="D28" s="1042">
        <f>SUM(D25:D26)</f>
        <v>366</v>
      </c>
      <c r="E28" s="1042">
        <f t="shared" ref="E28:T28" si="21">SUM(E25:E26)</f>
        <v>365</v>
      </c>
      <c r="F28" s="1042">
        <f t="shared" si="21"/>
        <v>365</v>
      </c>
      <c r="G28" s="1042">
        <f t="shared" si="21"/>
        <v>365</v>
      </c>
      <c r="H28" s="1042">
        <f t="shared" si="21"/>
        <v>366</v>
      </c>
      <c r="I28" s="1042">
        <f t="shared" si="21"/>
        <v>365</v>
      </c>
      <c r="J28" s="1042">
        <f t="shared" si="21"/>
        <v>365</v>
      </c>
      <c r="K28" s="1042">
        <f t="shared" si="21"/>
        <v>365</v>
      </c>
      <c r="L28" s="1042">
        <f t="shared" si="21"/>
        <v>366</v>
      </c>
      <c r="M28" s="1042">
        <f t="shared" si="21"/>
        <v>365</v>
      </c>
      <c r="N28" s="1042">
        <f t="shared" si="21"/>
        <v>365</v>
      </c>
      <c r="O28" s="1042">
        <f t="shared" si="21"/>
        <v>365</v>
      </c>
      <c r="P28" s="1042">
        <f t="shared" si="21"/>
        <v>366</v>
      </c>
      <c r="Q28" s="1042">
        <f t="shared" si="21"/>
        <v>365</v>
      </c>
      <c r="R28" s="1042">
        <f t="shared" si="21"/>
        <v>365</v>
      </c>
      <c r="S28" s="1042">
        <f t="shared" si="21"/>
        <v>365</v>
      </c>
      <c r="T28" s="1042">
        <f t="shared" si="21"/>
        <v>182</v>
      </c>
      <c r="U28" s="1040"/>
      <c r="V28" s="1040"/>
      <c r="W28" s="1040"/>
      <c r="X28" s="1040"/>
      <c r="Y28" s="1040"/>
      <c r="Z28" s="1040"/>
      <c r="AA28" s="1040"/>
      <c r="AB28" s="1040"/>
      <c r="AC28" s="1040"/>
      <c r="AD28" s="1040"/>
      <c r="AE28" s="1040"/>
      <c r="AF28" s="1040"/>
      <c r="AG28" s="1040"/>
      <c r="AH28" s="1040"/>
      <c r="AI28" s="1040"/>
      <c r="AJ28" s="1040"/>
      <c r="AK28" s="1040"/>
      <c r="AL28" s="1040"/>
      <c r="AM28" s="1040"/>
      <c r="AN28" s="1040"/>
      <c r="AO28" s="1040"/>
      <c r="AP28" s="1040"/>
      <c r="AQ28" s="1040"/>
      <c r="AR28" s="1040"/>
      <c r="AS28" s="1040"/>
      <c r="AT28" s="1040"/>
      <c r="AU28" s="1040"/>
      <c r="AV28" s="1040"/>
      <c r="AW28" s="1040"/>
      <c r="AX28" s="1040"/>
      <c r="AY28" s="1040"/>
      <c r="AZ28" s="1040"/>
      <c r="BA28" s="1040"/>
      <c r="BB28" s="1040"/>
      <c r="BC28" s="1040"/>
      <c r="BD28" s="1040"/>
      <c r="BE28" s="1040"/>
      <c r="BF28" s="1040"/>
      <c r="BG28" s="1040"/>
      <c r="BH28" s="1040"/>
      <c r="BI28" s="1040"/>
      <c r="BJ28" s="1040"/>
      <c r="BK28" s="1040"/>
      <c r="BL28" s="1040"/>
      <c r="BM28" s="1040"/>
      <c r="BN28" s="1040"/>
      <c r="BO28" s="1040"/>
      <c r="BP28" s="1040"/>
      <c r="BQ28" s="1040"/>
      <c r="BR28" s="1040"/>
      <c r="BS28" s="1040"/>
      <c r="BT28" s="1040"/>
      <c r="BU28" s="1040"/>
      <c r="BV28" s="1040"/>
      <c r="BW28" s="1040"/>
      <c r="BX28" s="1040"/>
      <c r="BY28" s="1040"/>
      <c r="BZ28" s="1040"/>
      <c r="CA28" s="1040"/>
      <c r="CB28" s="1040"/>
      <c r="CC28" s="1040"/>
      <c r="CD28" s="1040"/>
      <c r="CE28" s="1040"/>
      <c r="CF28" s="1040"/>
      <c r="CG28" s="1040"/>
      <c r="CH28" s="1040"/>
      <c r="CI28" s="1040"/>
      <c r="CJ28" s="1040"/>
      <c r="CK28" s="1040"/>
      <c r="CL28" s="1040"/>
      <c r="CM28" s="1040"/>
      <c r="CN28" s="1040"/>
      <c r="CO28" s="1040"/>
      <c r="CP28" s="1040"/>
      <c r="CQ28" s="1040"/>
      <c r="CR28" s="1040"/>
      <c r="CS28" s="1040"/>
      <c r="CT28" s="1040"/>
      <c r="CU28" s="1040"/>
      <c r="CV28" s="1040"/>
      <c r="CW28" s="1040"/>
      <c r="CX28" s="1040"/>
      <c r="CY28" s="1040"/>
      <c r="CZ28" s="1040"/>
      <c r="DA28" s="1040"/>
      <c r="DB28" s="1040"/>
      <c r="DC28" s="1040"/>
      <c r="DD28" s="1040"/>
      <c r="DE28" s="1040"/>
      <c r="DF28" s="1040"/>
      <c r="DG28" s="1040"/>
      <c r="DH28" s="1040"/>
      <c r="DI28" s="1040"/>
      <c r="DJ28" s="1040"/>
      <c r="DK28" s="1040"/>
      <c r="DL28" s="1040"/>
      <c r="DM28" s="1040"/>
      <c r="DN28" s="1040"/>
      <c r="DO28" s="1040"/>
      <c r="DP28" s="1040"/>
      <c r="DQ28" s="1040"/>
      <c r="DR28" s="1040"/>
      <c r="DS28" s="1040"/>
      <c r="DT28" s="1040"/>
      <c r="DU28" s="1040"/>
      <c r="DV28" s="1040"/>
      <c r="DW28" s="1040"/>
      <c r="DX28" s="1040"/>
      <c r="DY28" s="1040"/>
      <c r="DZ28" s="1040"/>
      <c r="EA28" s="1040"/>
      <c r="EB28" s="1040"/>
      <c r="EC28" s="1040"/>
      <c r="ED28" s="1040"/>
      <c r="EE28" s="1040"/>
      <c r="EF28" s="1040"/>
      <c r="EG28" s="1040"/>
      <c r="EH28" s="1040"/>
      <c r="EI28" s="1040"/>
      <c r="EJ28" s="1040"/>
      <c r="EK28" s="1040"/>
      <c r="EL28" s="1040"/>
      <c r="EM28" s="1040"/>
      <c r="EN28" s="1040"/>
      <c r="EO28" s="1040"/>
      <c r="EP28" s="1040"/>
      <c r="EQ28" s="1040"/>
      <c r="ER28" s="1040"/>
      <c r="ES28" s="1040"/>
      <c r="ET28" s="1040"/>
      <c r="EU28" s="1040"/>
      <c r="EV28" s="1040"/>
      <c r="EW28" s="1040"/>
      <c r="EX28" s="1040"/>
      <c r="EY28" s="1040"/>
      <c r="EZ28" s="1040"/>
      <c r="FA28" s="1040"/>
      <c r="FB28" s="1040"/>
      <c r="FC28" s="1040"/>
      <c r="FD28" s="1040"/>
      <c r="FE28" s="1040"/>
      <c r="FF28" s="1040"/>
      <c r="FG28" s="1040"/>
      <c r="FH28" s="1040"/>
      <c r="FI28" s="1040"/>
      <c r="FJ28" s="1040"/>
      <c r="FK28" s="1040"/>
      <c r="FL28" s="1040"/>
      <c r="FM28" s="1040"/>
      <c r="FN28" s="1040"/>
      <c r="FO28" s="1040"/>
      <c r="FP28" s="1040"/>
      <c r="FQ28" s="1040"/>
      <c r="FR28" s="1040"/>
      <c r="FS28" s="1040"/>
      <c r="FT28" s="1040"/>
      <c r="FU28" s="1040"/>
      <c r="FV28" s="1040"/>
      <c r="FW28" s="1040"/>
      <c r="FX28" s="1040"/>
      <c r="FY28" s="1040"/>
      <c r="FZ28" s="1040"/>
      <c r="GA28" s="1040"/>
      <c r="GB28" s="1040"/>
      <c r="GC28" s="1040"/>
      <c r="GD28" s="1040"/>
      <c r="GE28" s="1040"/>
      <c r="GF28" s="1040"/>
      <c r="GG28" s="1040"/>
      <c r="GH28" s="1040"/>
      <c r="GI28" s="1040"/>
      <c r="GJ28" s="1040"/>
      <c r="GK28" s="1040"/>
      <c r="GL28" s="1040"/>
      <c r="GM28" s="1040"/>
      <c r="GN28" s="1040"/>
      <c r="GO28" s="1040"/>
      <c r="GP28" s="1040"/>
      <c r="GQ28" s="1040"/>
      <c r="GR28" s="1040"/>
      <c r="GS28" s="1040"/>
      <c r="GT28" s="1040"/>
      <c r="GU28" s="1040"/>
      <c r="GV28" s="1040"/>
      <c r="GW28" s="1040"/>
      <c r="GX28" s="1040"/>
      <c r="GY28" s="1040"/>
      <c r="GZ28" s="1040"/>
      <c r="HA28" s="1040"/>
      <c r="HB28" s="1040"/>
      <c r="HC28" s="1040"/>
      <c r="HD28" s="1040"/>
      <c r="HE28" s="1040"/>
      <c r="HF28" s="1040"/>
      <c r="HG28" s="1040"/>
      <c r="HH28" s="1040"/>
      <c r="HI28" s="1040"/>
      <c r="HJ28" s="1040"/>
      <c r="HK28" s="1040"/>
      <c r="HL28" s="1040"/>
      <c r="HM28" s="1040"/>
      <c r="HN28" s="1040"/>
      <c r="HO28" s="1040"/>
      <c r="HP28" s="1040"/>
      <c r="HQ28" s="1040"/>
      <c r="HR28" s="1040"/>
      <c r="HS28" s="1040"/>
      <c r="HT28" s="1040"/>
      <c r="HU28" s="1040"/>
      <c r="HV28" s="1040"/>
      <c r="HW28" s="1040"/>
      <c r="HX28" s="1040"/>
      <c r="HY28" s="1040"/>
      <c r="HZ28" s="1040"/>
      <c r="IA28" s="1040"/>
      <c r="IB28" s="1040"/>
      <c r="IC28" s="1040"/>
      <c r="ID28" s="1040"/>
      <c r="IE28" s="1040"/>
      <c r="IF28" s="1040"/>
      <c r="IG28" s="1040"/>
      <c r="IH28" s="1040"/>
      <c r="II28" s="1040"/>
      <c r="IJ28" s="1040"/>
      <c r="IK28" s="1040"/>
      <c r="IL28" s="1040"/>
      <c r="IM28" s="1040"/>
      <c r="IN28" s="1040"/>
      <c r="IO28" s="1040"/>
      <c r="IP28" s="1040"/>
      <c r="IQ28" s="1040"/>
      <c r="IR28" s="1040"/>
      <c r="IS28" s="1040"/>
      <c r="IT28" s="1040"/>
      <c r="IU28" s="1040"/>
      <c r="IV28" s="1040"/>
      <c r="IW28" s="1040"/>
      <c r="IX28" s="1040"/>
      <c r="IY28" s="1040"/>
      <c r="IZ28" s="1040"/>
      <c r="JA28" s="1040"/>
      <c r="JB28" s="1040"/>
      <c r="JC28" s="1040"/>
      <c r="JD28" s="1040"/>
      <c r="JE28" s="1040"/>
      <c r="JF28" s="1040"/>
      <c r="JG28" s="1040"/>
      <c r="JH28" s="1040"/>
      <c r="JI28" s="1040"/>
      <c r="JJ28" s="1040"/>
      <c r="JK28" s="1040"/>
      <c r="JL28" s="1040"/>
      <c r="JM28" s="1040"/>
      <c r="JN28" s="1040"/>
      <c r="JO28" s="1040"/>
      <c r="JP28" s="1040"/>
      <c r="JQ28" s="1040"/>
      <c r="JR28" s="1040"/>
      <c r="JS28" s="1040"/>
      <c r="JT28" s="1040"/>
      <c r="JU28" s="1040"/>
      <c r="JV28" s="1040"/>
      <c r="JW28" s="1040"/>
      <c r="JX28" s="1040"/>
      <c r="JY28" s="1040"/>
      <c r="JZ28" s="1040"/>
      <c r="KA28" s="1040"/>
      <c r="KB28" s="1040"/>
      <c r="KC28" s="1040"/>
      <c r="KD28" s="1040"/>
      <c r="KE28" s="1040"/>
      <c r="KF28" s="1040"/>
      <c r="KG28" s="1040"/>
      <c r="KH28" s="1040"/>
      <c r="KI28" s="1040"/>
      <c r="KJ28" s="1040"/>
      <c r="KK28" s="1040"/>
      <c r="KL28" s="1040"/>
      <c r="KM28" s="1040"/>
      <c r="KN28" s="1040"/>
      <c r="KO28" s="1040"/>
      <c r="KP28" s="1040"/>
      <c r="KQ28" s="1040"/>
      <c r="KR28" s="1040"/>
      <c r="KS28" s="1040"/>
      <c r="KT28" s="1040"/>
      <c r="KU28" s="1040"/>
      <c r="KV28" s="1040"/>
      <c r="KW28" s="1040"/>
      <c r="KX28" s="1040"/>
      <c r="KY28" s="1040"/>
      <c r="KZ28" s="1040"/>
      <c r="LA28" s="1040"/>
      <c r="LB28" s="1040"/>
      <c r="LC28" s="1040"/>
      <c r="LD28" s="1040"/>
      <c r="LE28" s="1040"/>
      <c r="LF28" s="1040"/>
      <c r="LG28" s="1040"/>
      <c r="LH28" s="1040"/>
      <c r="LI28" s="1040"/>
      <c r="LJ28" s="1040"/>
      <c r="LK28" s="1040"/>
      <c r="LL28" s="1040"/>
      <c r="LM28" s="1040"/>
      <c r="LN28" s="1040"/>
      <c r="LO28" s="1040"/>
      <c r="LP28" s="1040"/>
      <c r="LQ28" s="1040"/>
      <c r="LR28" s="1040"/>
      <c r="LS28" s="1040"/>
      <c r="LT28" s="1040"/>
      <c r="LU28" s="1040"/>
      <c r="LV28" s="1040"/>
      <c r="LW28" s="1040"/>
      <c r="LX28" s="1040"/>
      <c r="LY28" s="1040"/>
      <c r="LZ28" s="1040"/>
      <c r="MA28" s="1040"/>
      <c r="MB28" s="1040"/>
      <c r="MC28" s="1040"/>
      <c r="MD28" s="1040"/>
      <c r="ME28" s="1040"/>
      <c r="MF28" s="1040"/>
      <c r="MG28" s="1040"/>
      <c r="MH28" s="1040"/>
      <c r="MI28" s="1040"/>
      <c r="MJ28" s="1040"/>
      <c r="MK28" s="1040"/>
      <c r="ML28" s="1040"/>
      <c r="MM28" s="1040"/>
      <c r="MN28" s="1040"/>
      <c r="MO28" s="1040"/>
      <c r="MP28" s="1040"/>
      <c r="MQ28" s="1040"/>
      <c r="MR28" s="1040"/>
      <c r="MS28" s="1040"/>
      <c r="MT28" s="1040"/>
      <c r="MU28" s="1040"/>
      <c r="MV28" s="1040"/>
      <c r="MW28" s="1040"/>
      <c r="MX28" s="1040"/>
      <c r="MY28" s="1040"/>
      <c r="MZ28" s="1040"/>
      <c r="NA28" s="1040"/>
      <c r="NB28" s="1040"/>
      <c r="NC28" s="1040"/>
      <c r="ND28" s="1040"/>
      <c r="NE28" s="1040"/>
      <c r="NF28" s="1040"/>
      <c r="NG28" s="1040"/>
      <c r="NH28" s="1040"/>
      <c r="NI28" s="1040"/>
      <c r="NJ28" s="1040"/>
      <c r="NK28" s="1040"/>
      <c r="NL28" s="1040"/>
      <c r="NM28" s="1040"/>
      <c r="NN28" s="1040"/>
      <c r="NO28" s="1040"/>
      <c r="NP28" s="1040"/>
      <c r="NQ28" s="1040"/>
      <c r="NR28" s="1040"/>
      <c r="NS28" s="1040"/>
      <c r="NT28" s="1040"/>
      <c r="NU28" s="1040"/>
      <c r="NV28" s="1040"/>
      <c r="NW28" s="1040"/>
      <c r="NX28" s="1040"/>
      <c r="NY28" s="1040"/>
      <c r="NZ28" s="1040"/>
      <c r="OA28" s="1040"/>
      <c r="OB28" s="1040"/>
      <c r="OC28" s="1040"/>
      <c r="OD28" s="1040"/>
      <c r="OE28" s="1040"/>
      <c r="OF28" s="1040"/>
      <c r="OG28" s="1040"/>
      <c r="OH28" s="1040"/>
      <c r="OI28" s="1040"/>
      <c r="OJ28" s="1040"/>
      <c r="OK28" s="1040"/>
      <c r="OL28" s="1040"/>
      <c r="OM28" s="1040"/>
      <c r="ON28" s="1040"/>
      <c r="OO28" s="1040"/>
      <c r="OP28" s="1040"/>
      <c r="OQ28" s="1040"/>
      <c r="OR28" s="1040"/>
      <c r="OS28" s="1040"/>
      <c r="OT28" s="1040"/>
      <c r="OU28" s="1040"/>
      <c r="OV28" s="1040"/>
      <c r="OW28" s="1040"/>
      <c r="OX28" s="1040"/>
      <c r="OY28" s="1040"/>
      <c r="OZ28" s="1040"/>
      <c r="PA28" s="1040"/>
      <c r="PB28" s="1040"/>
      <c r="PC28" s="1040"/>
      <c r="PD28" s="1040"/>
      <c r="PE28" s="1040"/>
      <c r="PF28" s="1040"/>
      <c r="PG28" s="1040"/>
      <c r="PH28" s="1040"/>
      <c r="PI28" s="1040"/>
      <c r="PJ28" s="1040"/>
      <c r="PK28" s="1040"/>
      <c r="PL28" s="1040"/>
      <c r="PM28" s="1040"/>
      <c r="PN28" s="1040"/>
      <c r="PO28" s="1040"/>
      <c r="PP28" s="1040"/>
      <c r="PQ28" s="1040"/>
      <c r="PR28" s="1040"/>
      <c r="PS28" s="1040"/>
      <c r="PT28" s="1040"/>
      <c r="PU28" s="1040"/>
      <c r="PV28" s="1040"/>
      <c r="PW28" s="1040"/>
      <c r="PX28" s="1040"/>
      <c r="PY28" s="1040"/>
      <c r="PZ28" s="1040"/>
      <c r="QA28" s="1040"/>
      <c r="QB28" s="1040"/>
      <c r="QC28" s="1040"/>
      <c r="QD28" s="1040"/>
      <c r="QE28" s="1040"/>
      <c r="QF28" s="1040"/>
      <c r="QG28" s="1040"/>
      <c r="QH28" s="1040"/>
      <c r="QI28" s="1040"/>
      <c r="QJ28" s="1040"/>
      <c r="QK28" s="1040"/>
      <c r="QL28" s="1040"/>
      <c r="QM28" s="1040"/>
      <c r="QN28" s="1040"/>
      <c r="QO28" s="1040"/>
      <c r="QP28" s="1040"/>
      <c r="QQ28" s="1040"/>
      <c r="QR28" s="1040"/>
      <c r="QS28" s="1040"/>
      <c r="QT28" s="1040"/>
      <c r="QU28" s="1040"/>
      <c r="QV28" s="1040"/>
      <c r="QW28" s="1040"/>
      <c r="QX28" s="1040"/>
      <c r="QY28" s="1040"/>
      <c r="QZ28" s="1040"/>
      <c r="RA28" s="1040"/>
      <c r="RB28" s="1040"/>
      <c r="RC28" s="1040"/>
      <c r="RD28" s="1040"/>
      <c r="RE28" s="1040"/>
      <c r="RF28" s="1040"/>
      <c r="RG28" s="1040"/>
      <c r="RH28" s="1040"/>
      <c r="RI28" s="1040"/>
      <c r="RJ28" s="1040"/>
      <c r="RK28" s="1040"/>
      <c r="RL28" s="1040"/>
      <c r="RM28" s="1040"/>
      <c r="RN28" s="1040"/>
      <c r="RO28" s="1040"/>
      <c r="RP28" s="1040"/>
      <c r="RQ28" s="1040"/>
      <c r="RR28" s="1040"/>
      <c r="RS28" s="1040"/>
      <c r="RT28" s="1040"/>
      <c r="RU28" s="1040"/>
      <c r="RV28" s="1040"/>
      <c r="RW28" s="1040"/>
      <c r="RX28" s="1040"/>
      <c r="RY28" s="1040"/>
      <c r="RZ28" s="1040"/>
      <c r="SA28" s="1040"/>
      <c r="SB28" s="1040"/>
      <c r="SC28" s="1040"/>
      <c r="SD28" s="1040"/>
      <c r="SE28" s="1040"/>
      <c r="SF28" s="1040"/>
      <c r="SG28" s="1040"/>
      <c r="SH28" s="1040"/>
      <c r="SI28" s="1040"/>
      <c r="SJ28" s="1040"/>
      <c r="SK28" s="1040"/>
      <c r="SL28" s="1040"/>
      <c r="SM28" s="1040"/>
      <c r="SN28" s="1040"/>
      <c r="SO28" s="1040"/>
      <c r="SP28" s="1040"/>
      <c r="SQ28" s="1040"/>
      <c r="SR28" s="1040"/>
      <c r="SS28" s="1040"/>
      <c r="ST28" s="1040"/>
      <c r="SU28" s="1040"/>
      <c r="SV28" s="1040"/>
      <c r="SW28" s="1040"/>
      <c r="SX28" s="1040"/>
      <c r="SY28" s="1040"/>
      <c r="SZ28" s="1040"/>
      <c r="TA28" s="1040"/>
      <c r="TB28" s="1040"/>
      <c r="TC28" s="1040"/>
      <c r="TD28" s="1040"/>
      <c r="TE28" s="1040"/>
      <c r="TF28" s="1040"/>
      <c r="TG28" s="1040"/>
      <c r="TH28" s="1040"/>
      <c r="TI28" s="1040"/>
      <c r="TJ28" s="1040"/>
      <c r="TK28" s="1040"/>
      <c r="TL28" s="1040"/>
      <c r="TM28" s="1040"/>
      <c r="TN28" s="1040"/>
      <c r="TO28" s="1040"/>
      <c r="TP28" s="1040"/>
      <c r="TQ28" s="1040"/>
      <c r="TR28" s="1040"/>
      <c r="TS28" s="1040"/>
      <c r="TT28" s="1040"/>
      <c r="TU28" s="1040"/>
      <c r="TV28" s="1040"/>
      <c r="TW28" s="1040"/>
      <c r="TX28" s="1040"/>
      <c r="TY28" s="1040"/>
      <c r="TZ28" s="1040"/>
      <c r="UA28" s="1040"/>
      <c r="UB28" s="1040"/>
      <c r="UC28" s="1040"/>
      <c r="UD28" s="1040"/>
      <c r="UE28" s="1040"/>
      <c r="UF28" s="1040"/>
      <c r="UG28" s="1040"/>
      <c r="UH28" s="1040"/>
      <c r="UI28" s="1040"/>
      <c r="UJ28" s="1040"/>
      <c r="UK28" s="1040"/>
      <c r="UL28" s="1040"/>
      <c r="UM28" s="1040"/>
      <c r="UN28" s="1040"/>
      <c r="UO28" s="1040"/>
      <c r="UP28" s="1040"/>
      <c r="UQ28" s="1040"/>
      <c r="UR28" s="1040"/>
      <c r="US28" s="1040"/>
      <c r="UT28" s="1040"/>
      <c r="UU28" s="1040"/>
      <c r="UV28" s="1040"/>
      <c r="UW28" s="1040"/>
      <c r="UX28" s="1040"/>
      <c r="UY28" s="1040"/>
      <c r="UZ28" s="1040"/>
      <c r="VA28" s="1040"/>
      <c r="VB28" s="1040"/>
      <c r="VC28" s="1040"/>
      <c r="VD28" s="1040"/>
      <c r="VE28" s="1040"/>
      <c r="VF28" s="1040"/>
      <c r="VG28" s="1040"/>
      <c r="VH28" s="1040"/>
      <c r="VI28" s="1040"/>
      <c r="VJ28" s="1040"/>
      <c r="VK28" s="1040"/>
      <c r="VL28" s="1040"/>
      <c r="VM28" s="1040"/>
      <c r="VN28" s="1040"/>
      <c r="VO28" s="1040"/>
      <c r="VP28" s="1040"/>
      <c r="VQ28" s="1040"/>
      <c r="VR28" s="1040"/>
      <c r="VS28" s="1040"/>
      <c r="VT28" s="1040"/>
      <c r="VU28" s="1040"/>
      <c r="VV28" s="1040"/>
      <c r="VW28" s="1040"/>
      <c r="VX28" s="1040"/>
      <c r="VY28" s="1040"/>
      <c r="VZ28" s="1040"/>
      <c r="WA28" s="1040"/>
      <c r="WB28" s="1040"/>
      <c r="WC28" s="1040"/>
      <c r="WD28" s="1040"/>
      <c r="WE28" s="1040"/>
      <c r="WF28" s="1040"/>
      <c r="WG28" s="1040"/>
      <c r="WH28" s="1040"/>
      <c r="WI28" s="1040"/>
      <c r="WJ28" s="1040"/>
      <c r="WK28" s="1040"/>
      <c r="WL28" s="1040"/>
      <c r="WM28" s="1040"/>
      <c r="WN28" s="1040"/>
      <c r="WO28" s="1040"/>
      <c r="WP28" s="1040"/>
      <c r="WQ28" s="1040"/>
      <c r="WR28" s="1040"/>
      <c r="WS28" s="1040"/>
      <c r="WT28" s="1040"/>
      <c r="WU28" s="1040"/>
      <c r="WV28" s="1040"/>
      <c r="WW28" s="1040"/>
      <c r="WX28" s="1040"/>
      <c r="WY28" s="1040"/>
      <c r="WZ28" s="1040"/>
      <c r="XA28" s="1040"/>
      <c r="XB28" s="1040"/>
      <c r="XC28" s="1040"/>
      <c r="XD28" s="1040"/>
      <c r="XE28" s="1040"/>
      <c r="XF28" s="1040"/>
      <c r="XG28" s="1040"/>
      <c r="XH28" s="1040"/>
      <c r="XI28" s="1040"/>
      <c r="XJ28" s="1040"/>
      <c r="XK28" s="1040"/>
      <c r="XL28" s="1040"/>
      <c r="XM28" s="1040"/>
      <c r="XN28" s="1040"/>
      <c r="XO28" s="1040"/>
      <c r="XP28" s="1040"/>
      <c r="XQ28" s="1040"/>
      <c r="XR28" s="1040"/>
      <c r="XS28" s="1040"/>
      <c r="XT28" s="1040"/>
      <c r="XU28" s="1040"/>
      <c r="XV28" s="1040"/>
      <c r="XW28" s="1040"/>
      <c r="XX28" s="1040"/>
      <c r="XY28" s="1040"/>
      <c r="XZ28" s="1040"/>
      <c r="YA28" s="1040"/>
      <c r="YB28" s="1040"/>
      <c r="YC28" s="1040"/>
      <c r="YD28" s="1040"/>
      <c r="YE28" s="1040"/>
      <c r="YF28" s="1040"/>
      <c r="YG28" s="1040"/>
      <c r="YH28" s="1040"/>
      <c r="YI28" s="1040"/>
      <c r="YJ28" s="1040"/>
      <c r="YK28" s="1040"/>
      <c r="YL28" s="1040"/>
      <c r="YM28" s="1040"/>
      <c r="YN28" s="1040"/>
      <c r="YO28" s="1040"/>
      <c r="YP28" s="1040"/>
      <c r="YQ28" s="1040"/>
      <c r="YR28" s="1040"/>
      <c r="YS28" s="1040"/>
      <c r="YT28" s="1040"/>
      <c r="YU28" s="1040"/>
      <c r="YV28" s="1040"/>
      <c r="YW28" s="1040"/>
      <c r="YX28" s="1040"/>
      <c r="YY28" s="1040"/>
      <c r="YZ28" s="1040"/>
      <c r="ZA28" s="1040"/>
      <c r="ZB28" s="1040"/>
      <c r="ZC28" s="1040"/>
      <c r="ZD28" s="1040"/>
      <c r="ZE28" s="1040"/>
      <c r="ZF28" s="1040"/>
      <c r="ZG28" s="1040"/>
      <c r="ZH28" s="1040"/>
      <c r="ZI28" s="1040"/>
      <c r="ZJ28" s="1040"/>
      <c r="ZK28" s="1040"/>
      <c r="ZL28" s="1040"/>
      <c r="ZM28" s="1040"/>
      <c r="ZN28" s="1040"/>
      <c r="ZO28" s="1040"/>
      <c r="ZP28" s="1040"/>
      <c r="ZQ28" s="1040"/>
      <c r="ZR28" s="1040"/>
      <c r="ZS28" s="1040"/>
      <c r="ZT28" s="1040"/>
      <c r="ZU28" s="1040"/>
      <c r="ZV28" s="1040"/>
      <c r="ZW28" s="1040"/>
      <c r="ZX28" s="1040"/>
      <c r="ZY28" s="1040"/>
      <c r="ZZ28" s="1040"/>
      <c r="AAA28" s="1040"/>
      <c r="AAB28" s="1040"/>
      <c r="AAC28" s="1040"/>
      <c r="AAD28" s="1040"/>
      <c r="AAE28" s="1040"/>
      <c r="AAF28" s="1040"/>
      <c r="AAG28" s="1040"/>
      <c r="AAH28" s="1040"/>
      <c r="AAI28" s="1040"/>
      <c r="AAJ28" s="1040"/>
      <c r="AAK28" s="1040"/>
      <c r="AAL28" s="1040"/>
      <c r="AAM28" s="1040"/>
      <c r="AAN28" s="1040"/>
      <c r="AAO28" s="1040"/>
      <c r="AAP28" s="1040"/>
      <c r="AAQ28" s="1040"/>
      <c r="AAR28" s="1040"/>
      <c r="AAS28" s="1040"/>
      <c r="AAT28" s="1040"/>
      <c r="AAU28" s="1040"/>
      <c r="AAV28" s="1040"/>
      <c r="AAW28" s="1040"/>
      <c r="AAX28" s="1040"/>
      <c r="AAY28" s="1040"/>
      <c r="AAZ28" s="1040"/>
      <c r="ABA28" s="1040"/>
      <c r="ABB28" s="1040"/>
      <c r="ABC28" s="1040"/>
      <c r="ABD28" s="1040"/>
      <c r="ABE28" s="1040"/>
      <c r="ABF28" s="1040"/>
      <c r="ABG28" s="1040"/>
      <c r="ABH28" s="1040"/>
      <c r="ABI28" s="1040"/>
      <c r="ABJ28" s="1040"/>
      <c r="ABK28" s="1040"/>
      <c r="ABL28" s="1040"/>
      <c r="ABM28" s="1040"/>
      <c r="ABN28" s="1040"/>
      <c r="ABO28" s="1040"/>
      <c r="ABP28" s="1040"/>
      <c r="ABQ28" s="1040"/>
      <c r="ABR28" s="1040"/>
      <c r="ABS28" s="1040"/>
      <c r="ABT28" s="1040"/>
      <c r="ABU28" s="1040"/>
      <c r="ABV28" s="1040"/>
      <c r="ABW28" s="1040"/>
      <c r="ABX28" s="1040"/>
      <c r="ABY28" s="1040"/>
      <c r="ABZ28" s="1040"/>
      <c r="ACA28" s="1040"/>
      <c r="ACB28" s="1040"/>
      <c r="ACC28" s="1040"/>
      <c r="ACD28" s="1040"/>
      <c r="ACE28" s="1040"/>
      <c r="ACF28" s="1040"/>
      <c r="ACG28" s="1040"/>
      <c r="ACH28" s="1040"/>
      <c r="ACI28" s="1040"/>
      <c r="ACJ28" s="1040"/>
      <c r="ACK28" s="1040"/>
      <c r="ACL28" s="1040"/>
      <c r="ACM28" s="1040"/>
      <c r="ACN28" s="1040"/>
      <c r="ACO28" s="1040"/>
      <c r="ACP28" s="1040"/>
      <c r="ACQ28" s="1040"/>
      <c r="ACR28" s="1040"/>
      <c r="ACS28" s="1040"/>
      <c r="ACT28" s="1040"/>
      <c r="ACU28" s="1040"/>
      <c r="ACV28" s="1040"/>
      <c r="ACW28" s="1040"/>
      <c r="ACX28" s="1040"/>
      <c r="ACY28" s="1040"/>
      <c r="ACZ28" s="1040"/>
      <c r="ADA28" s="1040"/>
      <c r="ADB28" s="1040"/>
      <c r="ADC28" s="1040"/>
      <c r="ADD28" s="1040"/>
      <c r="ADE28" s="1040"/>
      <c r="ADF28" s="1040"/>
      <c r="ADG28" s="1040"/>
      <c r="ADH28" s="1040"/>
      <c r="ADI28" s="1040"/>
      <c r="ADJ28" s="1040"/>
      <c r="ADK28" s="1040"/>
      <c r="ADL28" s="1040"/>
      <c r="ADM28" s="1040"/>
      <c r="ADN28" s="1040"/>
      <c r="ADO28" s="1040"/>
      <c r="ADP28" s="1040"/>
      <c r="ADQ28" s="1040"/>
      <c r="ADR28" s="1040"/>
      <c r="ADS28" s="1040"/>
      <c r="ADT28" s="1040"/>
      <c r="ADU28" s="1040"/>
      <c r="ADV28" s="1040"/>
      <c r="ADW28" s="1040"/>
      <c r="ADX28" s="1040"/>
      <c r="ADY28" s="1040"/>
      <c r="ADZ28" s="1040"/>
      <c r="AEA28" s="1040"/>
      <c r="AEB28" s="1040"/>
      <c r="AEC28" s="1040"/>
      <c r="AED28" s="1040"/>
      <c r="AEE28" s="1040"/>
      <c r="AEF28" s="1040"/>
      <c r="AEG28" s="1040"/>
      <c r="AEH28" s="1040"/>
      <c r="AEI28" s="1040"/>
      <c r="AEJ28" s="1040"/>
      <c r="AEK28" s="1040"/>
      <c r="AEL28" s="1040"/>
      <c r="AEM28" s="1040"/>
      <c r="AEN28" s="1040"/>
      <c r="AEO28" s="1040"/>
      <c r="AEP28" s="1040"/>
      <c r="AEQ28" s="1040"/>
      <c r="AER28" s="1040"/>
      <c r="AES28" s="1040"/>
      <c r="AET28" s="1040"/>
      <c r="AEU28" s="1040"/>
      <c r="AEV28" s="1040"/>
      <c r="AEW28" s="1040"/>
      <c r="AEX28" s="1040"/>
      <c r="AEY28" s="1040"/>
      <c r="AEZ28" s="1040"/>
      <c r="AFA28" s="1040"/>
      <c r="AFB28" s="1040"/>
      <c r="AFC28" s="1040"/>
      <c r="AFD28" s="1040"/>
      <c r="AFE28" s="1040"/>
      <c r="AFF28" s="1040"/>
      <c r="AFG28" s="1040"/>
      <c r="AFH28" s="1040"/>
      <c r="AFI28" s="1040"/>
      <c r="AFJ28" s="1040"/>
      <c r="AFK28" s="1040"/>
      <c r="AFL28" s="1040"/>
      <c r="AFM28" s="1040"/>
      <c r="AFN28" s="1040"/>
      <c r="AFO28" s="1040"/>
      <c r="AFP28" s="1040"/>
      <c r="AFQ28" s="1040"/>
      <c r="AFR28" s="1040"/>
      <c r="AFS28" s="1040"/>
      <c r="AFT28" s="1040"/>
      <c r="AFU28" s="1040"/>
      <c r="AFV28" s="1040"/>
      <c r="AFW28" s="1040"/>
      <c r="AFX28" s="1040"/>
      <c r="AFY28" s="1040"/>
      <c r="AFZ28" s="1040"/>
      <c r="AGA28" s="1040"/>
      <c r="AGB28" s="1040"/>
      <c r="AGC28" s="1040"/>
      <c r="AGD28" s="1040"/>
      <c r="AGE28" s="1040"/>
      <c r="AGF28" s="1040"/>
      <c r="AGG28" s="1040"/>
      <c r="AGH28" s="1040"/>
      <c r="AGI28" s="1040"/>
      <c r="AGJ28" s="1040"/>
      <c r="AGK28" s="1040"/>
      <c r="AGL28" s="1040"/>
      <c r="AGM28" s="1040"/>
      <c r="AGN28" s="1040"/>
      <c r="AGO28" s="1040"/>
      <c r="AGP28" s="1040"/>
      <c r="AGQ28" s="1040"/>
      <c r="AGR28" s="1040"/>
      <c r="AGS28" s="1040"/>
      <c r="AGT28" s="1040"/>
      <c r="AGU28" s="1040"/>
      <c r="AGV28" s="1040"/>
      <c r="AGW28" s="1040"/>
      <c r="AGX28" s="1040"/>
      <c r="AGY28" s="1040"/>
      <c r="AGZ28" s="1040"/>
      <c r="AHA28" s="1040"/>
      <c r="AHB28" s="1040"/>
      <c r="AHC28" s="1040"/>
      <c r="AHD28" s="1040"/>
      <c r="AHE28" s="1040"/>
      <c r="AHF28" s="1040"/>
      <c r="AHG28" s="1040"/>
      <c r="AHH28" s="1040"/>
      <c r="AHI28" s="1040"/>
      <c r="AHJ28" s="1040"/>
      <c r="AHK28" s="1040"/>
      <c r="AHL28" s="1040"/>
      <c r="AHM28" s="1040"/>
      <c r="AHN28" s="1040"/>
      <c r="AHO28" s="1040"/>
      <c r="AHP28" s="1040"/>
      <c r="AHQ28" s="1040"/>
      <c r="AHR28" s="1040"/>
      <c r="AHS28" s="1040"/>
      <c r="AHT28" s="1040"/>
      <c r="AHU28" s="1040"/>
      <c r="AHV28" s="1040"/>
      <c r="AHW28" s="1040"/>
      <c r="AHX28" s="1040"/>
      <c r="AHY28" s="1040"/>
      <c r="AHZ28" s="1040"/>
      <c r="AIA28" s="1040"/>
      <c r="AIB28" s="1040"/>
      <c r="AIC28" s="1040"/>
      <c r="AID28" s="1040"/>
      <c r="AIE28" s="1040"/>
      <c r="AIF28" s="1040"/>
      <c r="AIG28" s="1040"/>
      <c r="AIH28" s="1040"/>
      <c r="AII28" s="1040"/>
      <c r="AIJ28" s="1040"/>
      <c r="AIK28" s="1040"/>
      <c r="AIL28" s="1040"/>
      <c r="AIM28" s="1040"/>
      <c r="AIN28" s="1040"/>
      <c r="AIO28" s="1040"/>
      <c r="AIP28" s="1040"/>
      <c r="AIQ28" s="1040"/>
      <c r="AIR28" s="1040"/>
      <c r="AIS28" s="1040"/>
      <c r="AIT28" s="1040"/>
      <c r="AIU28" s="1040"/>
      <c r="AIV28" s="1040"/>
      <c r="AIW28" s="1040"/>
      <c r="AIX28" s="1040"/>
      <c r="AIY28" s="1040"/>
      <c r="AIZ28" s="1040"/>
      <c r="AJA28" s="1040"/>
      <c r="AJB28" s="1040"/>
      <c r="AJC28" s="1040"/>
      <c r="AJD28" s="1040"/>
      <c r="AJE28" s="1040"/>
      <c r="AJF28" s="1040"/>
      <c r="AJG28" s="1040"/>
      <c r="AJH28" s="1040"/>
      <c r="AJI28" s="1040"/>
      <c r="AJJ28" s="1040"/>
      <c r="AJK28" s="1040"/>
      <c r="AJL28" s="1040"/>
      <c r="AJM28" s="1040"/>
      <c r="AJN28" s="1040"/>
      <c r="AJO28" s="1040"/>
      <c r="AJP28" s="1040"/>
      <c r="AJQ28" s="1040"/>
      <c r="AJR28" s="1040"/>
      <c r="AJS28" s="1040"/>
      <c r="AJT28" s="1040"/>
      <c r="AJU28" s="1040"/>
      <c r="AJV28" s="1040"/>
      <c r="AJW28" s="1040"/>
      <c r="AJX28" s="1040"/>
      <c r="AJY28" s="1040"/>
      <c r="AJZ28" s="1040"/>
      <c r="AKA28" s="1040"/>
      <c r="AKB28" s="1040"/>
      <c r="AKC28" s="1040"/>
      <c r="AKD28" s="1040"/>
      <c r="AKE28" s="1040"/>
      <c r="AKF28" s="1040"/>
      <c r="AKG28" s="1040"/>
      <c r="AKH28" s="1040"/>
      <c r="AKI28" s="1040"/>
      <c r="AKJ28" s="1040"/>
      <c r="AKK28" s="1040"/>
      <c r="AKL28" s="1040"/>
      <c r="AKM28" s="1040"/>
      <c r="AKN28" s="1040"/>
      <c r="AKO28" s="1040"/>
      <c r="AKP28" s="1040"/>
      <c r="AKQ28" s="1040"/>
      <c r="AKR28" s="1040"/>
      <c r="AKS28" s="1040"/>
      <c r="AKT28" s="1040"/>
      <c r="AKU28" s="1040"/>
      <c r="AKV28" s="1040"/>
      <c r="AKW28" s="1040"/>
      <c r="AKX28" s="1040"/>
      <c r="AKY28" s="1040"/>
      <c r="AKZ28" s="1040"/>
      <c r="ALA28" s="1040"/>
      <c r="ALB28" s="1040"/>
      <c r="ALC28" s="1040"/>
      <c r="ALD28" s="1040"/>
      <c r="ALE28" s="1040"/>
      <c r="ALF28" s="1040"/>
      <c r="ALG28" s="1040"/>
      <c r="ALH28" s="1040"/>
      <c r="ALI28" s="1040"/>
      <c r="ALJ28" s="1040"/>
      <c r="ALK28" s="1040"/>
      <c r="ALL28" s="1040"/>
      <c r="ALM28" s="1040"/>
      <c r="ALN28" s="1040"/>
      <c r="ALO28" s="1040"/>
      <c r="ALP28" s="1040"/>
      <c r="ALQ28" s="1040"/>
      <c r="ALR28" s="1040"/>
      <c r="ALS28" s="1040"/>
      <c r="ALT28" s="1040"/>
      <c r="ALU28" s="1040"/>
      <c r="ALV28" s="1040"/>
      <c r="ALW28" s="1040"/>
      <c r="ALX28" s="1040"/>
      <c r="ALY28" s="1040"/>
      <c r="ALZ28" s="1040"/>
      <c r="AMA28" s="1040"/>
      <c r="AMB28" s="1040"/>
      <c r="AMC28" s="1040"/>
      <c r="AMD28" s="1040"/>
      <c r="AME28" s="1040"/>
      <c r="AMF28" s="1040"/>
      <c r="AMG28" s="1040"/>
      <c r="AMH28" s="1040"/>
      <c r="AMI28" s="1040"/>
      <c r="AMJ28" s="1040"/>
      <c r="AMK28" s="1040"/>
      <c r="AML28" s="1040"/>
      <c r="AMM28" s="1040"/>
      <c r="AMN28" s="1040"/>
      <c r="AMO28" s="1040"/>
      <c r="AMP28" s="1040"/>
      <c r="AMQ28" s="1040"/>
      <c r="AMR28" s="1040"/>
      <c r="AMS28" s="1040"/>
      <c r="AMT28" s="1040"/>
      <c r="AMU28" s="1040"/>
      <c r="AMV28" s="1040"/>
      <c r="AMW28" s="1040"/>
      <c r="AMX28" s="1040"/>
      <c r="AMY28" s="1040"/>
      <c r="AMZ28" s="1040"/>
      <c r="ANA28" s="1040"/>
      <c r="ANB28" s="1040"/>
      <c r="ANC28" s="1040"/>
      <c r="AND28" s="1040"/>
      <c r="ANE28" s="1040"/>
      <c r="ANF28" s="1040"/>
      <c r="ANG28" s="1040"/>
      <c r="ANH28" s="1040"/>
      <c r="ANI28" s="1040"/>
      <c r="ANJ28" s="1040"/>
      <c r="ANK28" s="1040"/>
      <c r="ANL28" s="1040"/>
      <c r="ANM28" s="1040"/>
      <c r="ANN28" s="1040"/>
      <c r="ANO28" s="1040"/>
      <c r="ANP28" s="1040"/>
      <c r="ANQ28" s="1040"/>
      <c r="ANR28" s="1040"/>
      <c r="ANS28" s="1040"/>
      <c r="ANT28" s="1040"/>
      <c r="ANU28" s="1040"/>
      <c r="ANV28" s="1040"/>
      <c r="ANW28" s="1040"/>
      <c r="ANX28" s="1040"/>
      <c r="ANY28" s="1040"/>
      <c r="ANZ28" s="1040"/>
      <c r="AOA28" s="1040"/>
      <c r="AOB28" s="1040"/>
      <c r="AOC28" s="1040"/>
      <c r="AOD28" s="1040"/>
      <c r="AOE28" s="1040"/>
      <c r="AOF28" s="1040"/>
      <c r="AOG28" s="1040"/>
      <c r="AOH28" s="1040"/>
      <c r="AOI28" s="1040"/>
      <c r="AOJ28" s="1040"/>
      <c r="AOK28" s="1040"/>
      <c r="AOL28" s="1040"/>
      <c r="AOM28" s="1040"/>
      <c r="AON28" s="1040"/>
      <c r="AOO28" s="1040"/>
      <c r="AOP28" s="1040"/>
      <c r="AOQ28" s="1040"/>
      <c r="AOR28" s="1040"/>
      <c r="AOS28" s="1040"/>
      <c r="AOT28" s="1040"/>
      <c r="AOU28" s="1040"/>
      <c r="AOV28" s="1040"/>
      <c r="AOW28" s="1040"/>
      <c r="AOX28" s="1040"/>
      <c r="AOY28" s="1040"/>
      <c r="AOZ28" s="1040"/>
      <c r="APA28" s="1040"/>
      <c r="APB28" s="1040"/>
      <c r="APC28" s="1040"/>
      <c r="APD28" s="1040"/>
      <c r="APE28" s="1040"/>
      <c r="APF28" s="1040"/>
      <c r="APG28" s="1040"/>
      <c r="APH28" s="1040"/>
      <c r="API28" s="1040"/>
      <c r="APJ28" s="1040"/>
      <c r="APK28" s="1040"/>
      <c r="APL28" s="1040"/>
      <c r="APM28" s="1040"/>
      <c r="APN28" s="1040"/>
      <c r="APO28" s="1040"/>
      <c r="APP28" s="1040"/>
      <c r="APQ28" s="1040"/>
      <c r="APR28" s="1040"/>
      <c r="APS28" s="1040"/>
      <c r="APT28" s="1040"/>
      <c r="APU28" s="1040"/>
      <c r="APV28" s="1040"/>
      <c r="APW28" s="1040"/>
      <c r="APX28" s="1040"/>
      <c r="APY28" s="1040"/>
      <c r="APZ28" s="1040"/>
      <c r="AQA28" s="1040"/>
      <c r="AQB28" s="1040"/>
      <c r="AQC28" s="1040"/>
      <c r="AQD28" s="1040"/>
      <c r="AQE28" s="1040"/>
      <c r="AQF28" s="1040"/>
      <c r="AQG28" s="1040"/>
      <c r="AQH28" s="1040"/>
      <c r="AQI28" s="1040"/>
      <c r="AQJ28" s="1040"/>
      <c r="AQK28" s="1040"/>
      <c r="AQL28" s="1040"/>
      <c r="AQM28" s="1040"/>
      <c r="AQN28" s="1040"/>
      <c r="AQO28" s="1040"/>
      <c r="AQP28" s="1040"/>
      <c r="AQQ28" s="1040"/>
      <c r="AQR28" s="1040"/>
      <c r="AQS28" s="1040"/>
      <c r="AQT28" s="1040"/>
      <c r="AQU28" s="1040"/>
      <c r="AQV28" s="1040"/>
      <c r="AQW28" s="1040"/>
      <c r="AQX28" s="1040"/>
      <c r="AQY28" s="1040"/>
      <c r="AQZ28" s="1040"/>
      <c r="ARA28" s="1040"/>
      <c r="ARB28" s="1040"/>
      <c r="ARC28" s="1040"/>
      <c r="ARD28" s="1040"/>
      <c r="ARE28" s="1040"/>
      <c r="ARF28" s="1040"/>
      <c r="ARG28" s="1040"/>
      <c r="ARH28" s="1040"/>
      <c r="ARI28" s="1040"/>
      <c r="ARJ28" s="1040"/>
      <c r="ARK28" s="1040"/>
      <c r="ARL28" s="1040"/>
      <c r="ARM28" s="1040"/>
      <c r="ARN28" s="1040"/>
      <c r="ARO28" s="1040"/>
      <c r="ARP28" s="1040"/>
      <c r="ARQ28" s="1040"/>
      <c r="ARR28" s="1040"/>
      <c r="ARS28" s="1040"/>
      <c r="ART28" s="1040"/>
      <c r="ARU28" s="1040"/>
      <c r="ARV28" s="1040"/>
      <c r="ARW28" s="1040"/>
      <c r="ARX28" s="1040"/>
      <c r="ARY28" s="1040"/>
      <c r="ARZ28" s="1040"/>
      <c r="ASA28" s="1040"/>
      <c r="ASB28" s="1040"/>
      <c r="ASC28" s="1040"/>
      <c r="ASD28" s="1040"/>
      <c r="ASE28" s="1040"/>
      <c r="ASF28" s="1040"/>
      <c r="ASG28" s="1040"/>
      <c r="ASH28" s="1040"/>
      <c r="ASI28" s="1040"/>
      <c r="ASJ28" s="1040"/>
      <c r="ASK28" s="1040"/>
      <c r="ASL28" s="1040"/>
      <c r="ASM28" s="1040"/>
      <c r="ASN28" s="1040"/>
      <c r="ASO28" s="1040"/>
      <c r="ASP28" s="1040"/>
      <c r="ASQ28" s="1040"/>
      <c r="ASR28" s="1040"/>
      <c r="ASS28" s="1040"/>
      <c r="AST28" s="1040"/>
      <c r="ASU28" s="1040"/>
      <c r="ASV28" s="1040"/>
      <c r="ASW28" s="1040"/>
      <c r="ASX28" s="1040"/>
      <c r="ASY28" s="1040"/>
      <c r="ASZ28" s="1040"/>
      <c r="ATA28" s="1040"/>
      <c r="ATB28" s="1040"/>
      <c r="ATC28" s="1040"/>
      <c r="ATD28" s="1040"/>
      <c r="ATE28" s="1040"/>
      <c r="ATF28" s="1040"/>
      <c r="ATG28" s="1040"/>
      <c r="ATH28" s="1040"/>
      <c r="ATI28" s="1040"/>
      <c r="ATJ28" s="1040"/>
      <c r="ATK28" s="1040"/>
      <c r="ATL28" s="1040"/>
      <c r="ATM28" s="1040"/>
      <c r="ATN28" s="1040"/>
      <c r="ATO28" s="1040"/>
      <c r="ATP28" s="1040"/>
      <c r="ATQ28" s="1040"/>
      <c r="ATR28" s="1040"/>
      <c r="ATS28" s="1040"/>
      <c r="ATT28" s="1040"/>
      <c r="ATU28" s="1040"/>
      <c r="ATV28" s="1040"/>
      <c r="ATW28" s="1040"/>
      <c r="ATX28" s="1040"/>
      <c r="ATY28" s="1040"/>
      <c r="ATZ28" s="1040"/>
      <c r="AUA28" s="1040"/>
      <c r="AUB28" s="1040"/>
      <c r="AUC28" s="1040"/>
      <c r="AUD28" s="1040"/>
      <c r="AUE28" s="1040"/>
      <c r="AUF28" s="1040"/>
      <c r="AUG28" s="1040"/>
      <c r="AUH28" s="1040"/>
      <c r="AUI28" s="1040"/>
      <c r="AUJ28" s="1040"/>
      <c r="AUK28" s="1040"/>
      <c r="AUL28" s="1040"/>
      <c r="AUM28" s="1040"/>
      <c r="AUN28" s="1040"/>
      <c r="AUO28" s="1040"/>
      <c r="AUP28" s="1040"/>
      <c r="AUQ28" s="1040"/>
      <c r="AUR28" s="1040"/>
      <c r="AUS28" s="1040"/>
      <c r="AUT28" s="1040"/>
      <c r="AUU28" s="1040"/>
      <c r="AUV28" s="1040"/>
      <c r="AUW28" s="1040"/>
      <c r="AUX28" s="1040"/>
      <c r="AUY28" s="1040"/>
      <c r="AUZ28" s="1040"/>
      <c r="AVA28" s="1040"/>
      <c r="AVB28" s="1040"/>
      <c r="AVC28" s="1040"/>
      <c r="AVD28" s="1040"/>
      <c r="AVE28" s="1040"/>
      <c r="AVF28" s="1040"/>
      <c r="AVG28" s="1040"/>
      <c r="AVH28" s="1040"/>
      <c r="AVI28" s="1040"/>
      <c r="AVJ28" s="1040"/>
      <c r="AVK28" s="1040"/>
      <c r="AVL28" s="1040"/>
      <c r="AVM28" s="1040"/>
      <c r="AVN28" s="1040"/>
      <c r="AVO28" s="1040"/>
      <c r="AVP28" s="1040"/>
      <c r="AVQ28" s="1040"/>
      <c r="AVR28" s="1040"/>
      <c r="AVS28" s="1040"/>
      <c r="AVT28" s="1040"/>
      <c r="AVU28" s="1040"/>
      <c r="AVV28" s="1040"/>
      <c r="AVW28" s="1040"/>
      <c r="AVX28" s="1040"/>
      <c r="AVY28" s="1040"/>
      <c r="AVZ28" s="1040"/>
      <c r="AWA28" s="1040"/>
      <c r="AWB28" s="1040"/>
      <c r="AWC28" s="1040"/>
      <c r="AWD28" s="1040"/>
      <c r="AWE28" s="1040"/>
      <c r="AWF28" s="1040"/>
      <c r="AWG28" s="1040"/>
      <c r="AWH28" s="1040"/>
      <c r="AWI28" s="1040"/>
      <c r="AWJ28" s="1040"/>
      <c r="AWK28" s="1040"/>
      <c r="AWL28" s="1040"/>
      <c r="AWM28" s="1040"/>
      <c r="AWN28" s="1040"/>
      <c r="AWO28" s="1040"/>
      <c r="AWP28" s="1040"/>
      <c r="AWQ28" s="1040"/>
      <c r="AWR28" s="1040"/>
      <c r="AWS28" s="1040"/>
      <c r="AWT28" s="1040"/>
      <c r="AWU28" s="1040"/>
      <c r="AWV28" s="1040"/>
      <c r="AWW28" s="1040"/>
      <c r="AWX28" s="1040"/>
      <c r="AWY28" s="1040"/>
      <c r="AWZ28" s="1040"/>
      <c r="AXA28" s="1040"/>
      <c r="AXB28" s="1040"/>
      <c r="AXC28" s="1040"/>
      <c r="AXD28" s="1040"/>
      <c r="AXE28" s="1040"/>
      <c r="AXF28" s="1040"/>
      <c r="AXG28" s="1040"/>
      <c r="AXH28" s="1040"/>
      <c r="AXI28" s="1040"/>
      <c r="AXJ28" s="1040"/>
      <c r="AXK28" s="1040"/>
      <c r="AXL28" s="1040"/>
      <c r="AXM28" s="1040"/>
      <c r="AXN28" s="1040"/>
      <c r="AXO28" s="1040"/>
      <c r="AXP28" s="1040"/>
      <c r="AXQ28" s="1040"/>
      <c r="AXR28" s="1040"/>
      <c r="AXS28" s="1040"/>
      <c r="AXT28" s="1040"/>
      <c r="AXU28" s="1040"/>
      <c r="AXV28" s="1040"/>
      <c r="AXW28" s="1040"/>
      <c r="AXX28" s="1040"/>
      <c r="AXY28" s="1040"/>
      <c r="AXZ28" s="1040"/>
      <c r="AYA28" s="1040"/>
      <c r="AYB28" s="1040"/>
      <c r="AYC28" s="1040"/>
      <c r="AYD28" s="1040"/>
      <c r="AYE28" s="1040"/>
      <c r="AYF28" s="1040"/>
      <c r="AYG28" s="1040"/>
      <c r="AYH28" s="1040"/>
      <c r="AYI28" s="1040"/>
      <c r="AYJ28" s="1040"/>
      <c r="AYK28" s="1040"/>
      <c r="AYL28" s="1040"/>
      <c r="AYM28" s="1040"/>
      <c r="AYN28" s="1040"/>
      <c r="AYO28" s="1040"/>
      <c r="AYP28" s="1040"/>
      <c r="AYQ28" s="1040"/>
      <c r="AYR28" s="1040"/>
      <c r="AYS28" s="1040"/>
      <c r="AYT28" s="1040"/>
      <c r="AYU28" s="1040"/>
      <c r="AYV28" s="1040"/>
      <c r="AYW28" s="1040"/>
      <c r="AYX28" s="1040"/>
      <c r="AYY28" s="1040"/>
      <c r="AYZ28" s="1040"/>
      <c r="AZA28" s="1040"/>
      <c r="AZB28" s="1040"/>
      <c r="AZC28" s="1040"/>
      <c r="AZD28" s="1040"/>
      <c r="AZE28" s="1040"/>
      <c r="AZF28" s="1040"/>
      <c r="AZG28" s="1040"/>
      <c r="AZH28" s="1040"/>
      <c r="AZI28" s="1040"/>
      <c r="AZJ28" s="1040"/>
      <c r="AZK28" s="1040"/>
      <c r="AZL28" s="1040"/>
      <c r="AZM28" s="1040"/>
      <c r="AZN28" s="1040"/>
      <c r="AZO28" s="1040"/>
      <c r="AZP28" s="1040"/>
      <c r="AZQ28" s="1040"/>
      <c r="AZR28" s="1040"/>
      <c r="AZS28" s="1040"/>
      <c r="AZT28" s="1040"/>
      <c r="AZU28" s="1040"/>
      <c r="AZV28" s="1040"/>
      <c r="AZW28" s="1040"/>
      <c r="AZX28" s="1040"/>
      <c r="AZY28" s="1040"/>
      <c r="AZZ28" s="1040"/>
      <c r="BAA28" s="1040"/>
      <c r="BAB28" s="1040"/>
      <c r="BAC28" s="1040"/>
      <c r="BAD28" s="1040"/>
      <c r="BAE28" s="1040"/>
      <c r="BAF28" s="1040"/>
      <c r="BAG28" s="1040"/>
      <c r="BAH28" s="1040"/>
      <c r="BAI28" s="1040"/>
      <c r="BAJ28" s="1040"/>
      <c r="BAK28" s="1040"/>
      <c r="BAL28" s="1040"/>
      <c r="BAM28" s="1040"/>
      <c r="BAN28" s="1040"/>
      <c r="BAO28" s="1040"/>
      <c r="BAP28" s="1040"/>
      <c r="BAQ28" s="1040"/>
      <c r="BAR28" s="1040"/>
      <c r="BAS28" s="1040"/>
      <c r="BAT28" s="1040"/>
      <c r="BAU28" s="1040"/>
      <c r="BAV28" s="1040"/>
      <c r="BAW28" s="1040"/>
      <c r="BAX28" s="1040"/>
      <c r="BAY28" s="1040"/>
      <c r="BAZ28" s="1040"/>
      <c r="BBA28" s="1040"/>
      <c r="BBB28" s="1040"/>
      <c r="BBC28" s="1040"/>
      <c r="BBD28" s="1040"/>
      <c r="BBE28" s="1040"/>
      <c r="BBF28" s="1040"/>
      <c r="BBG28" s="1040"/>
      <c r="BBH28" s="1040"/>
      <c r="BBI28" s="1040"/>
      <c r="BBJ28" s="1040"/>
      <c r="BBK28" s="1040"/>
      <c r="BBL28" s="1040"/>
      <c r="BBM28" s="1040"/>
      <c r="BBN28" s="1040"/>
      <c r="BBO28" s="1040"/>
      <c r="BBP28" s="1040"/>
      <c r="BBQ28" s="1040"/>
      <c r="BBR28" s="1040"/>
      <c r="BBS28" s="1040"/>
      <c r="BBT28" s="1040"/>
      <c r="BBU28" s="1040"/>
      <c r="BBV28" s="1040"/>
      <c r="BBW28" s="1040"/>
      <c r="BBX28" s="1040"/>
      <c r="BBY28" s="1040"/>
      <c r="BBZ28" s="1040"/>
      <c r="BCA28" s="1040"/>
      <c r="BCB28" s="1040"/>
      <c r="BCC28" s="1040"/>
      <c r="BCD28" s="1040"/>
      <c r="BCE28" s="1040"/>
      <c r="BCF28" s="1040"/>
      <c r="BCG28" s="1040"/>
      <c r="BCH28" s="1040"/>
      <c r="BCI28" s="1040"/>
      <c r="BCJ28" s="1040"/>
      <c r="BCK28" s="1040"/>
      <c r="BCL28" s="1040"/>
      <c r="BCM28" s="1040"/>
      <c r="BCN28" s="1040"/>
      <c r="BCO28" s="1040"/>
      <c r="BCP28" s="1040"/>
      <c r="BCQ28" s="1040"/>
      <c r="BCR28" s="1040"/>
      <c r="BCS28" s="1040"/>
      <c r="BCT28" s="1040"/>
      <c r="BCU28" s="1040"/>
      <c r="BCV28" s="1040"/>
      <c r="BCW28" s="1040"/>
      <c r="BCX28" s="1040"/>
      <c r="BCY28" s="1040"/>
      <c r="BCZ28" s="1040"/>
      <c r="BDA28" s="1040"/>
      <c r="BDB28" s="1040"/>
      <c r="BDC28" s="1040"/>
      <c r="BDD28" s="1040"/>
      <c r="BDE28" s="1040"/>
      <c r="BDF28" s="1040"/>
      <c r="BDG28" s="1040"/>
      <c r="BDH28" s="1040"/>
      <c r="BDI28" s="1040"/>
      <c r="BDJ28" s="1040"/>
      <c r="BDK28" s="1040"/>
      <c r="BDL28" s="1040"/>
      <c r="BDM28" s="1040"/>
      <c r="BDN28" s="1040"/>
      <c r="BDO28" s="1040"/>
      <c r="BDP28" s="1040"/>
      <c r="BDQ28" s="1040"/>
      <c r="BDR28" s="1040"/>
      <c r="BDS28" s="1040"/>
      <c r="BDT28" s="1040"/>
      <c r="BDU28" s="1040"/>
      <c r="BDV28" s="1040"/>
      <c r="BDW28" s="1040"/>
      <c r="BDX28" s="1040"/>
      <c r="BDY28" s="1040"/>
      <c r="BDZ28" s="1040"/>
      <c r="BEA28" s="1040"/>
      <c r="BEB28" s="1040"/>
      <c r="BEC28" s="1040"/>
      <c r="BED28" s="1040"/>
      <c r="BEE28" s="1040"/>
      <c r="BEF28" s="1040"/>
      <c r="BEG28" s="1040"/>
      <c r="BEH28" s="1040"/>
      <c r="BEI28" s="1040"/>
      <c r="BEJ28" s="1040"/>
      <c r="BEK28" s="1040"/>
      <c r="BEL28" s="1040"/>
      <c r="BEM28" s="1040"/>
      <c r="BEN28" s="1040"/>
      <c r="BEO28" s="1040"/>
      <c r="BEP28" s="1040"/>
      <c r="BEQ28" s="1040"/>
      <c r="BER28" s="1040"/>
      <c r="BES28" s="1040"/>
      <c r="BET28" s="1040"/>
      <c r="BEU28" s="1040"/>
      <c r="BEV28" s="1040"/>
      <c r="BEW28" s="1040"/>
      <c r="BEX28" s="1040"/>
      <c r="BEY28" s="1040"/>
      <c r="BEZ28" s="1040"/>
      <c r="BFA28" s="1040"/>
      <c r="BFB28" s="1040"/>
      <c r="BFC28" s="1040"/>
      <c r="BFD28" s="1040"/>
      <c r="BFE28" s="1040"/>
      <c r="BFF28" s="1040"/>
      <c r="BFG28" s="1040"/>
      <c r="BFH28" s="1040"/>
      <c r="BFI28" s="1040"/>
      <c r="BFJ28" s="1040"/>
      <c r="BFK28" s="1040"/>
      <c r="BFL28" s="1040"/>
      <c r="BFM28" s="1040"/>
      <c r="BFN28" s="1040"/>
      <c r="BFO28" s="1040"/>
      <c r="BFP28" s="1040"/>
      <c r="BFQ28" s="1040"/>
      <c r="BFR28" s="1040"/>
      <c r="BFS28" s="1040"/>
      <c r="BFT28" s="1040"/>
      <c r="BFU28" s="1040"/>
      <c r="BFV28" s="1040"/>
      <c r="BFW28" s="1040"/>
      <c r="BFX28" s="1040"/>
      <c r="BFY28" s="1040"/>
      <c r="BFZ28" s="1040"/>
      <c r="BGA28" s="1040"/>
      <c r="BGB28" s="1040"/>
      <c r="BGC28" s="1040"/>
      <c r="BGD28" s="1040"/>
      <c r="BGE28" s="1040"/>
      <c r="BGF28" s="1040"/>
      <c r="BGG28" s="1040"/>
      <c r="BGH28" s="1040"/>
      <c r="BGI28" s="1040"/>
      <c r="BGJ28" s="1040"/>
      <c r="BGK28" s="1040"/>
      <c r="BGL28" s="1040"/>
      <c r="BGM28" s="1040"/>
      <c r="BGN28" s="1040"/>
      <c r="BGO28" s="1040"/>
      <c r="BGP28" s="1040"/>
      <c r="BGQ28" s="1040"/>
      <c r="BGR28" s="1040"/>
      <c r="BGS28" s="1040"/>
      <c r="BGT28" s="1040"/>
      <c r="BGU28" s="1040"/>
      <c r="BGV28" s="1040"/>
      <c r="BGW28" s="1040"/>
      <c r="BGX28" s="1040"/>
      <c r="BGY28" s="1040"/>
      <c r="BGZ28" s="1040"/>
      <c r="BHA28" s="1040"/>
      <c r="BHB28" s="1040"/>
      <c r="BHC28" s="1040"/>
      <c r="BHD28" s="1040"/>
      <c r="BHE28" s="1040"/>
      <c r="BHF28" s="1040"/>
      <c r="BHG28" s="1040"/>
      <c r="BHH28" s="1040"/>
      <c r="BHI28" s="1040"/>
      <c r="BHJ28" s="1040"/>
      <c r="BHK28" s="1040"/>
      <c r="BHL28" s="1040"/>
      <c r="BHM28" s="1040"/>
      <c r="BHN28" s="1040"/>
      <c r="BHO28" s="1040"/>
      <c r="BHP28" s="1040"/>
      <c r="BHQ28" s="1040"/>
      <c r="BHR28" s="1040"/>
      <c r="BHS28" s="1040"/>
      <c r="BHT28" s="1040"/>
      <c r="BHU28" s="1040"/>
      <c r="BHV28" s="1040"/>
      <c r="BHW28" s="1040"/>
      <c r="BHX28" s="1040"/>
      <c r="BHY28" s="1040"/>
      <c r="BHZ28" s="1040"/>
      <c r="BIA28" s="1040"/>
      <c r="BIB28" s="1040"/>
      <c r="BIC28" s="1040"/>
      <c r="BID28" s="1040"/>
      <c r="BIE28" s="1040"/>
      <c r="BIF28" s="1040"/>
      <c r="BIG28" s="1040"/>
      <c r="BIH28" s="1040"/>
      <c r="BII28" s="1040"/>
      <c r="BIJ28" s="1040"/>
      <c r="BIK28" s="1040"/>
      <c r="BIL28" s="1040"/>
      <c r="BIM28" s="1040"/>
      <c r="BIN28" s="1040"/>
      <c r="BIO28" s="1040"/>
      <c r="BIP28" s="1040"/>
      <c r="BIQ28" s="1040"/>
      <c r="BIR28" s="1040"/>
      <c r="BIS28" s="1040"/>
      <c r="BIT28" s="1040"/>
      <c r="BIU28" s="1040"/>
      <c r="BIV28" s="1040"/>
      <c r="BIW28" s="1040"/>
      <c r="BIX28" s="1040"/>
      <c r="BIY28" s="1040"/>
      <c r="BIZ28" s="1040"/>
      <c r="BJA28" s="1040"/>
      <c r="BJB28" s="1040"/>
      <c r="BJC28" s="1040"/>
      <c r="BJD28" s="1040"/>
      <c r="BJE28" s="1040"/>
      <c r="BJF28" s="1040"/>
      <c r="BJG28" s="1040"/>
      <c r="BJH28" s="1040"/>
      <c r="BJI28" s="1040"/>
      <c r="BJJ28" s="1040"/>
      <c r="BJK28" s="1040"/>
      <c r="BJL28" s="1040"/>
      <c r="BJM28" s="1040"/>
      <c r="BJN28" s="1040"/>
      <c r="BJO28" s="1040"/>
      <c r="BJP28" s="1040"/>
      <c r="BJQ28" s="1040"/>
      <c r="BJR28" s="1040"/>
      <c r="BJS28" s="1040"/>
      <c r="BJT28" s="1040"/>
      <c r="BJU28" s="1040"/>
      <c r="BJV28" s="1040"/>
      <c r="BJW28" s="1040"/>
      <c r="BJX28" s="1040"/>
      <c r="BJY28" s="1040"/>
      <c r="BJZ28" s="1040"/>
      <c r="BKA28" s="1040"/>
      <c r="BKB28" s="1040"/>
      <c r="BKC28" s="1040"/>
      <c r="BKD28" s="1040"/>
      <c r="BKE28" s="1040"/>
      <c r="BKF28" s="1040"/>
      <c r="BKG28" s="1040"/>
      <c r="BKH28" s="1040"/>
      <c r="BKI28" s="1040"/>
      <c r="BKJ28" s="1040"/>
      <c r="BKK28" s="1040"/>
      <c r="BKL28" s="1040"/>
      <c r="BKM28" s="1040"/>
      <c r="BKN28" s="1040"/>
      <c r="BKO28" s="1040"/>
      <c r="BKP28" s="1040"/>
      <c r="BKQ28" s="1040"/>
      <c r="BKR28" s="1040"/>
      <c r="BKS28" s="1040"/>
      <c r="BKT28" s="1040"/>
      <c r="BKU28" s="1040"/>
      <c r="BKV28" s="1040"/>
      <c r="BKW28" s="1040"/>
      <c r="BKX28" s="1040"/>
      <c r="BKY28" s="1040"/>
      <c r="BKZ28" s="1040"/>
      <c r="BLA28" s="1040"/>
      <c r="BLB28" s="1040"/>
      <c r="BLC28" s="1040"/>
      <c r="BLD28" s="1040"/>
      <c r="BLE28" s="1040"/>
      <c r="BLF28" s="1040"/>
      <c r="BLG28" s="1040"/>
      <c r="BLH28" s="1040"/>
      <c r="BLI28" s="1040"/>
      <c r="BLJ28" s="1040"/>
      <c r="BLK28" s="1040"/>
      <c r="BLL28" s="1040"/>
      <c r="BLM28" s="1040"/>
      <c r="BLN28" s="1040"/>
      <c r="BLO28" s="1040"/>
      <c r="BLP28" s="1040"/>
      <c r="BLQ28" s="1040"/>
      <c r="BLR28" s="1040"/>
      <c r="BLS28" s="1040"/>
      <c r="BLT28" s="1040"/>
      <c r="BLU28" s="1040"/>
      <c r="BLV28" s="1040"/>
      <c r="BLW28" s="1040"/>
      <c r="BLX28" s="1040"/>
      <c r="BLY28" s="1040"/>
      <c r="BLZ28" s="1040"/>
      <c r="BMA28" s="1040"/>
      <c r="BMB28" s="1040"/>
      <c r="BMC28" s="1040"/>
      <c r="BMD28" s="1040"/>
      <c r="BME28" s="1040"/>
      <c r="BMF28" s="1040"/>
      <c r="BMG28" s="1040"/>
      <c r="BMH28" s="1040"/>
      <c r="BMI28" s="1040"/>
      <c r="BMJ28" s="1040"/>
      <c r="BMK28" s="1040"/>
      <c r="BML28" s="1040"/>
      <c r="BMM28" s="1040"/>
      <c r="BMN28" s="1040"/>
      <c r="BMO28" s="1040"/>
      <c r="BMP28" s="1040"/>
      <c r="BMQ28" s="1040"/>
      <c r="BMR28" s="1040"/>
      <c r="BMS28" s="1040"/>
      <c r="BMT28" s="1040"/>
      <c r="BMU28" s="1040"/>
      <c r="BMV28" s="1040"/>
      <c r="BMW28" s="1040"/>
      <c r="BMX28" s="1040"/>
      <c r="BMY28" s="1040"/>
      <c r="BMZ28" s="1040"/>
      <c r="BNA28" s="1040"/>
      <c r="BNB28" s="1040"/>
      <c r="BNC28" s="1040"/>
      <c r="BND28" s="1040"/>
      <c r="BNE28" s="1040"/>
      <c r="BNF28" s="1040"/>
      <c r="BNG28" s="1040"/>
      <c r="BNH28" s="1040"/>
      <c r="BNI28" s="1040"/>
      <c r="BNJ28" s="1040"/>
      <c r="BNK28" s="1040"/>
      <c r="BNL28" s="1040"/>
      <c r="BNM28" s="1040"/>
      <c r="BNN28" s="1040"/>
      <c r="BNO28" s="1040"/>
      <c r="BNP28" s="1040"/>
      <c r="BNQ28" s="1040"/>
      <c r="BNR28" s="1040"/>
      <c r="BNS28" s="1040"/>
      <c r="BNT28" s="1040"/>
      <c r="BNU28" s="1040"/>
      <c r="BNV28" s="1040"/>
      <c r="BNW28" s="1040"/>
      <c r="BNX28" s="1040"/>
      <c r="BNY28" s="1040"/>
      <c r="BNZ28" s="1040"/>
      <c r="BOA28" s="1040"/>
      <c r="BOB28" s="1040"/>
      <c r="BOC28" s="1040"/>
      <c r="BOD28" s="1040"/>
      <c r="BOE28" s="1040"/>
      <c r="BOF28" s="1040"/>
      <c r="BOG28" s="1040"/>
      <c r="BOH28" s="1040"/>
      <c r="BOI28" s="1040"/>
      <c r="BOJ28" s="1040"/>
      <c r="BOK28" s="1040"/>
      <c r="BOL28" s="1040"/>
      <c r="BOM28" s="1040"/>
      <c r="BON28" s="1040"/>
      <c r="BOO28" s="1040"/>
      <c r="BOP28" s="1040"/>
      <c r="BOQ28" s="1040"/>
      <c r="BOR28" s="1040"/>
      <c r="BOS28" s="1040"/>
      <c r="BOT28" s="1040"/>
      <c r="BOU28" s="1040"/>
      <c r="BOV28" s="1040"/>
      <c r="BOW28" s="1040"/>
      <c r="BOX28" s="1040"/>
      <c r="BOY28" s="1040"/>
      <c r="BOZ28" s="1040"/>
      <c r="BPA28" s="1040"/>
      <c r="BPB28" s="1040"/>
      <c r="BPC28" s="1040"/>
      <c r="BPD28" s="1040"/>
      <c r="BPE28" s="1040"/>
      <c r="BPF28" s="1040"/>
      <c r="BPG28" s="1040"/>
      <c r="BPH28" s="1040"/>
      <c r="BPI28" s="1040"/>
      <c r="BPJ28" s="1040"/>
      <c r="BPK28" s="1040"/>
      <c r="BPL28" s="1040"/>
      <c r="BPM28" s="1040"/>
      <c r="BPN28" s="1040"/>
      <c r="BPO28" s="1040"/>
      <c r="BPP28" s="1040"/>
      <c r="BPQ28" s="1040"/>
      <c r="BPR28" s="1040"/>
      <c r="BPS28" s="1040"/>
      <c r="BPT28" s="1040"/>
      <c r="BPU28" s="1040"/>
      <c r="BPV28" s="1040"/>
      <c r="BPW28" s="1040"/>
      <c r="BPX28" s="1040"/>
      <c r="BPY28" s="1040"/>
      <c r="BPZ28" s="1040"/>
      <c r="BQA28" s="1040"/>
      <c r="BQB28" s="1040"/>
      <c r="BQC28" s="1040"/>
      <c r="BQD28" s="1040"/>
      <c r="BQE28" s="1040"/>
      <c r="BQF28" s="1040"/>
      <c r="BQG28" s="1040"/>
      <c r="BQH28" s="1040"/>
      <c r="BQI28" s="1040"/>
      <c r="BQJ28" s="1040"/>
      <c r="BQK28" s="1040"/>
      <c r="BQL28" s="1040"/>
      <c r="BQM28" s="1040"/>
      <c r="BQN28" s="1040"/>
      <c r="BQO28" s="1040"/>
      <c r="BQP28" s="1040"/>
      <c r="BQQ28" s="1040"/>
      <c r="BQR28" s="1040"/>
      <c r="BQS28" s="1040"/>
      <c r="BQT28" s="1040"/>
      <c r="BQU28" s="1040"/>
      <c r="BQV28" s="1040"/>
      <c r="BQW28" s="1040"/>
      <c r="BQX28" s="1040"/>
      <c r="BQY28" s="1040"/>
      <c r="BQZ28" s="1040"/>
      <c r="BRA28" s="1040"/>
      <c r="BRB28" s="1040"/>
      <c r="BRC28" s="1040"/>
      <c r="BRD28" s="1040"/>
      <c r="BRE28" s="1040"/>
      <c r="BRF28" s="1040"/>
      <c r="BRG28" s="1040"/>
      <c r="BRH28" s="1040"/>
      <c r="BRI28" s="1040"/>
      <c r="BRJ28" s="1040"/>
      <c r="BRK28" s="1040"/>
      <c r="BRL28" s="1040"/>
      <c r="BRM28" s="1040"/>
      <c r="BRN28" s="1040"/>
      <c r="BRO28" s="1040"/>
      <c r="BRP28" s="1040"/>
      <c r="BRQ28" s="1040"/>
      <c r="BRR28" s="1040"/>
      <c r="BRS28" s="1040"/>
      <c r="BRT28" s="1040"/>
      <c r="BRU28" s="1040"/>
      <c r="BRV28" s="1040"/>
      <c r="BRW28" s="1040"/>
      <c r="BRX28" s="1040"/>
      <c r="BRY28" s="1040"/>
      <c r="BRZ28" s="1040"/>
      <c r="BSA28" s="1040"/>
      <c r="BSB28" s="1040"/>
      <c r="BSC28" s="1040"/>
      <c r="BSD28" s="1040"/>
      <c r="BSE28" s="1040"/>
      <c r="BSF28" s="1040"/>
      <c r="BSG28" s="1040"/>
      <c r="BSH28" s="1040"/>
      <c r="BSI28" s="1040"/>
      <c r="BSJ28" s="1040"/>
      <c r="BSK28" s="1040"/>
      <c r="BSL28" s="1040"/>
      <c r="BSM28" s="1040"/>
      <c r="BSN28" s="1040"/>
      <c r="BSO28" s="1040"/>
      <c r="BSP28" s="1040"/>
      <c r="BSQ28" s="1040"/>
      <c r="BSR28" s="1040"/>
      <c r="BSS28" s="1040"/>
      <c r="BST28" s="1040"/>
      <c r="BSU28" s="1040"/>
      <c r="BSV28" s="1040"/>
      <c r="BSW28" s="1040"/>
      <c r="BSX28" s="1040"/>
      <c r="BSY28" s="1040"/>
      <c r="BSZ28" s="1040"/>
      <c r="BTA28" s="1040"/>
      <c r="BTB28" s="1040"/>
      <c r="BTC28" s="1040"/>
      <c r="BTD28" s="1040"/>
      <c r="BTE28" s="1040"/>
      <c r="BTF28" s="1040"/>
      <c r="BTG28" s="1040"/>
      <c r="BTH28" s="1040"/>
      <c r="BTI28" s="1040"/>
      <c r="BTJ28" s="1040"/>
      <c r="BTK28" s="1040"/>
      <c r="BTL28" s="1040"/>
      <c r="BTM28" s="1040"/>
      <c r="BTN28" s="1040"/>
      <c r="BTO28" s="1040"/>
      <c r="BTP28" s="1040"/>
      <c r="BTQ28" s="1040"/>
      <c r="BTR28" s="1040"/>
      <c r="BTS28" s="1040"/>
      <c r="BTT28" s="1040"/>
      <c r="BTU28" s="1040"/>
      <c r="BTV28" s="1040"/>
      <c r="BTW28" s="1040"/>
      <c r="BTX28" s="1040"/>
      <c r="BTY28" s="1040"/>
      <c r="BTZ28" s="1040"/>
      <c r="BUA28" s="1040"/>
      <c r="BUB28" s="1040"/>
      <c r="BUC28" s="1040"/>
      <c r="BUD28" s="1040"/>
      <c r="BUE28" s="1040"/>
      <c r="BUF28" s="1040"/>
      <c r="BUG28" s="1040"/>
      <c r="BUH28" s="1040"/>
      <c r="BUI28" s="1040"/>
      <c r="BUJ28" s="1040"/>
      <c r="BUK28" s="1040"/>
      <c r="BUL28" s="1040"/>
      <c r="BUM28" s="1040"/>
      <c r="BUN28" s="1040"/>
      <c r="BUO28" s="1040"/>
      <c r="BUP28" s="1040"/>
      <c r="BUQ28" s="1040"/>
      <c r="BUR28" s="1040"/>
      <c r="BUS28" s="1040"/>
      <c r="BUT28" s="1040"/>
      <c r="BUU28" s="1040"/>
      <c r="BUV28" s="1040"/>
      <c r="BUW28" s="1040"/>
      <c r="BUX28" s="1040"/>
      <c r="BUY28" s="1040"/>
      <c r="BUZ28" s="1040"/>
      <c r="BVA28" s="1040"/>
      <c r="BVB28" s="1040"/>
      <c r="BVC28" s="1040"/>
      <c r="BVD28" s="1040"/>
      <c r="BVE28" s="1040"/>
      <c r="BVF28" s="1040"/>
      <c r="BVG28" s="1040"/>
      <c r="BVH28" s="1040"/>
      <c r="BVI28" s="1040"/>
      <c r="BVJ28" s="1040"/>
      <c r="BVK28" s="1040"/>
      <c r="BVL28" s="1040"/>
      <c r="BVM28" s="1040"/>
      <c r="BVN28" s="1040"/>
      <c r="BVO28" s="1040"/>
      <c r="BVP28" s="1040"/>
      <c r="BVQ28" s="1040"/>
      <c r="BVR28" s="1040"/>
      <c r="BVS28" s="1040"/>
      <c r="BVT28" s="1040"/>
      <c r="BVU28" s="1040"/>
      <c r="BVV28" s="1040"/>
      <c r="BVW28" s="1040"/>
      <c r="BVX28" s="1040"/>
      <c r="BVY28" s="1040"/>
      <c r="BVZ28" s="1040"/>
      <c r="BWA28" s="1040"/>
      <c r="BWB28" s="1040"/>
      <c r="BWC28" s="1040"/>
      <c r="BWD28" s="1040"/>
      <c r="BWE28" s="1040"/>
      <c r="BWF28" s="1040"/>
      <c r="BWG28" s="1040"/>
      <c r="BWH28" s="1040"/>
      <c r="BWI28" s="1040"/>
      <c r="BWJ28" s="1040"/>
      <c r="BWK28" s="1040"/>
      <c r="BWL28" s="1040"/>
      <c r="BWM28" s="1040"/>
      <c r="BWN28" s="1040"/>
      <c r="BWO28" s="1040"/>
      <c r="BWP28" s="1040"/>
      <c r="BWQ28" s="1040"/>
      <c r="BWR28" s="1040"/>
      <c r="BWS28" s="1040"/>
      <c r="BWT28" s="1040"/>
      <c r="BWU28" s="1040"/>
      <c r="BWV28" s="1040"/>
      <c r="BWW28" s="1040"/>
      <c r="BWX28" s="1040"/>
      <c r="BWY28" s="1040"/>
      <c r="BWZ28" s="1040"/>
      <c r="BXA28" s="1040"/>
      <c r="BXB28" s="1040"/>
      <c r="BXC28" s="1040"/>
      <c r="BXD28" s="1040"/>
      <c r="BXE28" s="1040"/>
      <c r="BXF28" s="1040"/>
      <c r="BXG28" s="1040"/>
      <c r="BXH28" s="1040"/>
      <c r="BXI28" s="1040"/>
      <c r="BXJ28" s="1040"/>
      <c r="BXK28" s="1040"/>
      <c r="BXL28" s="1040"/>
      <c r="BXM28" s="1040"/>
      <c r="BXN28" s="1040"/>
      <c r="BXO28" s="1040"/>
      <c r="BXP28" s="1040"/>
      <c r="BXQ28" s="1040"/>
      <c r="BXR28" s="1040"/>
      <c r="BXS28" s="1040"/>
      <c r="BXT28" s="1040"/>
      <c r="BXU28" s="1040"/>
      <c r="BXV28" s="1040"/>
      <c r="BXW28" s="1040"/>
      <c r="BXX28" s="1040"/>
      <c r="BXY28" s="1040"/>
      <c r="BXZ28" s="1040"/>
      <c r="BYA28" s="1040"/>
      <c r="BYB28" s="1040"/>
      <c r="BYC28" s="1040"/>
      <c r="BYD28" s="1040"/>
      <c r="BYE28" s="1040"/>
      <c r="BYF28" s="1040"/>
      <c r="BYG28" s="1040"/>
      <c r="BYH28" s="1040"/>
      <c r="BYI28" s="1040"/>
      <c r="BYJ28" s="1040"/>
      <c r="BYK28" s="1040"/>
      <c r="BYL28" s="1040"/>
      <c r="BYM28" s="1040"/>
      <c r="BYN28" s="1040"/>
      <c r="BYO28" s="1040"/>
      <c r="BYP28" s="1040"/>
      <c r="BYQ28" s="1040"/>
      <c r="BYR28" s="1040"/>
      <c r="BYS28" s="1040"/>
      <c r="BYT28" s="1040"/>
      <c r="BYU28" s="1040"/>
      <c r="BYV28" s="1040"/>
      <c r="BYW28" s="1040"/>
      <c r="BYX28" s="1040"/>
      <c r="BYY28" s="1040"/>
      <c r="BYZ28" s="1040"/>
      <c r="BZA28" s="1040"/>
      <c r="BZB28" s="1040"/>
      <c r="BZC28" s="1040"/>
      <c r="BZD28" s="1040"/>
      <c r="BZE28" s="1040"/>
      <c r="BZF28" s="1040"/>
      <c r="BZG28" s="1040"/>
      <c r="BZH28" s="1040"/>
      <c r="BZI28" s="1040"/>
      <c r="BZJ28" s="1040"/>
      <c r="BZK28" s="1040"/>
      <c r="BZL28" s="1040"/>
      <c r="BZM28" s="1040"/>
      <c r="BZN28" s="1040"/>
      <c r="BZO28" s="1040"/>
      <c r="BZP28" s="1040"/>
      <c r="BZQ28" s="1040"/>
      <c r="BZR28" s="1040"/>
      <c r="BZS28" s="1040"/>
      <c r="BZT28" s="1040"/>
      <c r="BZU28" s="1040"/>
      <c r="BZV28" s="1040"/>
      <c r="BZW28" s="1040"/>
      <c r="BZX28" s="1040"/>
      <c r="BZY28" s="1040"/>
      <c r="BZZ28" s="1040"/>
      <c r="CAA28" s="1040"/>
      <c r="CAB28" s="1040"/>
      <c r="CAC28" s="1040"/>
      <c r="CAD28" s="1040"/>
      <c r="CAE28" s="1040"/>
      <c r="CAF28" s="1040"/>
      <c r="CAG28" s="1040"/>
      <c r="CAH28" s="1040"/>
      <c r="CAI28" s="1040"/>
      <c r="CAJ28" s="1040"/>
      <c r="CAK28" s="1040"/>
      <c r="CAL28" s="1040"/>
      <c r="CAM28" s="1040"/>
      <c r="CAN28" s="1040"/>
      <c r="CAO28" s="1040"/>
      <c r="CAP28" s="1040"/>
      <c r="CAQ28" s="1040"/>
      <c r="CAR28" s="1040"/>
      <c r="CAS28" s="1040"/>
      <c r="CAT28" s="1040"/>
      <c r="CAU28" s="1040"/>
      <c r="CAV28" s="1040"/>
      <c r="CAW28" s="1040"/>
      <c r="CAX28" s="1040"/>
      <c r="CAY28" s="1040"/>
      <c r="CAZ28" s="1040"/>
      <c r="CBA28" s="1040"/>
      <c r="CBB28" s="1040"/>
      <c r="CBC28" s="1040"/>
      <c r="CBD28" s="1040"/>
      <c r="CBE28" s="1040"/>
      <c r="CBF28" s="1040"/>
      <c r="CBG28" s="1040"/>
      <c r="CBH28" s="1040"/>
      <c r="CBI28" s="1040"/>
      <c r="CBJ28" s="1040"/>
      <c r="CBK28" s="1040"/>
      <c r="CBL28" s="1040"/>
      <c r="CBM28" s="1040"/>
      <c r="CBN28" s="1040"/>
      <c r="CBO28" s="1040"/>
      <c r="CBP28" s="1040"/>
      <c r="CBQ28" s="1040"/>
      <c r="CBR28" s="1040"/>
      <c r="CBS28" s="1040"/>
      <c r="CBT28" s="1040"/>
      <c r="CBU28" s="1040"/>
      <c r="CBV28" s="1040"/>
      <c r="CBW28" s="1040"/>
      <c r="CBX28" s="1040"/>
      <c r="CBY28" s="1040"/>
      <c r="CBZ28" s="1040"/>
      <c r="CCA28" s="1040"/>
      <c r="CCB28" s="1040"/>
      <c r="CCC28" s="1040"/>
      <c r="CCD28" s="1040"/>
      <c r="CCE28" s="1040"/>
      <c r="CCF28" s="1040"/>
      <c r="CCG28" s="1040"/>
      <c r="CCH28" s="1040"/>
      <c r="CCI28" s="1040"/>
      <c r="CCJ28" s="1040"/>
      <c r="CCK28" s="1040"/>
      <c r="CCL28" s="1040"/>
      <c r="CCM28" s="1040"/>
      <c r="CCN28" s="1040"/>
      <c r="CCO28" s="1040"/>
      <c r="CCP28" s="1040"/>
      <c r="CCQ28" s="1040"/>
      <c r="CCR28" s="1040"/>
      <c r="CCS28" s="1040"/>
      <c r="CCT28" s="1040"/>
      <c r="CCU28" s="1040"/>
      <c r="CCV28" s="1040"/>
      <c r="CCW28" s="1040"/>
      <c r="CCX28" s="1040"/>
      <c r="CCY28" s="1040"/>
      <c r="CCZ28" s="1040"/>
      <c r="CDA28" s="1040"/>
      <c r="CDB28" s="1040"/>
      <c r="CDC28" s="1040"/>
      <c r="CDD28" s="1040"/>
      <c r="CDE28" s="1040"/>
      <c r="CDF28" s="1040"/>
      <c r="CDG28" s="1040"/>
      <c r="CDH28" s="1040"/>
      <c r="CDI28" s="1040"/>
      <c r="CDJ28" s="1040"/>
      <c r="CDK28" s="1040"/>
      <c r="CDL28" s="1040"/>
      <c r="CDM28" s="1040"/>
      <c r="CDN28" s="1040"/>
      <c r="CDO28" s="1040"/>
      <c r="CDP28" s="1040"/>
      <c r="CDQ28" s="1040"/>
      <c r="CDR28" s="1040"/>
      <c r="CDS28" s="1040"/>
      <c r="CDT28" s="1040"/>
      <c r="CDU28" s="1040"/>
      <c r="CDV28" s="1040"/>
      <c r="CDW28" s="1040"/>
      <c r="CDX28" s="1040"/>
      <c r="CDY28" s="1040"/>
      <c r="CDZ28" s="1040"/>
      <c r="CEA28" s="1040"/>
      <c r="CEB28" s="1040"/>
      <c r="CEC28" s="1040"/>
      <c r="CED28" s="1040"/>
      <c r="CEE28" s="1040"/>
      <c r="CEF28" s="1040"/>
      <c r="CEG28" s="1040"/>
      <c r="CEH28" s="1040"/>
      <c r="CEI28" s="1040"/>
      <c r="CEJ28" s="1040"/>
      <c r="CEK28" s="1040"/>
      <c r="CEL28" s="1040"/>
      <c r="CEM28" s="1040"/>
      <c r="CEN28" s="1040"/>
      <c r="CEO28" s="1040"/>
      <c r="CEP28" s="1040"/>
      <c r="CEQ28" s="1040"/>
      <c r="CER28" s="1040"/>
      <c r="CES28" s="1040"/>
      <c r="CET28" s="1040"/>
      <c r="CEU28" s="1040"/>
      <c r="CEV28" s="1040"/>
      <c r="CEW28" s="1040"/>
      <c r="CEX28" s="1040"/>
      <c r="CEY28" s="1040"/>
      <c r="CEZ28" s="1040"/>
      <c r="CFA28" s="1040"/>
      <c r="CFB28" s="1040"/>
      <c r="CFC28" s="1040"/>
      <c r="CFD28" s="1040"/>
      <c r="CFE28" s="1040"/>
      <c r="CFF28" s="1040"/>
      <c r="CFG28" s="1040"/>
      <c r="CFH28" s="1040"/>
      <c r="CFI28" s="1040"/>
      <c r="CFJ28" s="1040"/>
      <c r="CFK28" s="1040"/>
      <c r="CFL28" s="1040"/>
      <c r="CFM28" s="1040"/>
      <c r="CFN28" s="1040"/>
      <c r="CFO28" s="1040"/>
      <c r="CFP28" s="1040"/>
      <c r="CFQ28" s="1040"/>
      <c r="CFR28" s="1040"/>
      <c r="CFS28" s="1040"/>
      <c r="CFT28" s="1040"/>
      <c r="CFU28" s="1040"/>
      <c r="CFV28" s="1040"/>
      <c r="CFW28" s="1040"/>
      <c r="CFX28" s="1040"/>
      <c r="CFY28" s="1040"/>
      <c r="CFZ28" s="1040"/>
      <c r="CGA28" s="1040"/>
      <c r="CGB28" s="1040"/>
      <c r="CGC28" s="1040"/>
      <c r="CGD28" s="1040"/>
      <c r="CGE28" s="1040"/>
      <c r="CGF28" s="1040"/>
      <c r="CGG28" s="1040"/>
      <c r="CGH28" s="1040"/>
      <c r="CGI28" s="1040"/>
      <c r="CGJ28" s="1040"/>
      <c r="CGK28" s="1040"/>
      <c r="CGL28" s="1040"/>
      <c r="CGM28" s="1040"/>
      <c r="CGN28" s="1040"/>
      <c r="CGO28" s="1040"/>
      <c r="CGP28" s="1040"/>
      <c r="CGQ28" s="1040"/>
      <c r="CGR28" s="1040"/>
      <c r="CGS28" s="1040"/>
      <c r="CGT28" s="1040"/>
      <c r="CGU28" s="1040"/>
      <c r="CGV28" s="1040"/>
      <c r="CGW28" s="1040"/>
      <c r="CGX28" s="1040"/>
      <c r="CGY28" s="1040"/>
      <c r="CGZ28" s="1040"/>
      <c r="CHA28" s="1040"/>
      <c r="CHB28" s="1040"/>
      <c r="CHC28" s="1040"/>
      <c r="CHD28" s="1040"/>
      <c r="CHE28" s="1040"/>
      <c r="CHF28" s="1040"/>
      <c r="CHG28" s="1040"/>
      <c r="CHH28" s="1040"/>
      <c r="CHI28" s="1040"/>
      <c r="CHJ28" s="1040"/>
      <c r="CHK28" s="1040"/>
      <c r="CHL28" s="1040"/>
      <c r="CHM28" s="1040"/>
      <c r="CHN28" s="1040"/>
      <c r="CHO28" s="1040"/>
      <c r="CHP28" s="1040"/>
      <c r="CHQ28" s="1040"/>
      <c r="CHR28" s="1040"/>
      <c r="CHS28" s="1040"/>
      <c r="CHT28" s="1040"/>
      <c r="CHU28" s="1040"/>
      <c r="CHV28" s="1040"/>
      <c r="CHW28" s="1040"/>
      <c r="CHX28" s="1040"/>
      <c r="CHY28" s="1040"/>
      <c r="CHZ28" s="1040"/>
      <c r="CIA28" s="1040"/>
      <c r="CIB28" s="1040"/>
      <c r="CIC28" s="1040"/>
      <c r="CID28" s="1040"/>
      <c r="CIE28" s="1040"/>
      <c r="CIF28" s="1040"/>
      <c r="CIG28" s="1040"/>
      <c r="CIH28" s="1040"/>
      <c r="CII28" s="1040"/>
      <c r="CIJ28" s="1040"/>
      <c r="CIK28" s="1040"/>
      <c r="CIL28" s="1040"/>
      <c r="CIM28" s="1040"/>
      <c r="CIN28" s="1040"/>
      <c r="CIO28" s="1040"/>
      <c r="CIP28" s="1040"/>
      <c r="CIQ28" s="1040"/>
      <c r="CIR28" s="1040"/>
      <c r="CIS28" s="1040"/>
      <c r="CIT28" s="1040"/>
      <c r="CIU28" s="1040"/>
      <c r="CIV28" s="1040"/>
      <c r="CIW28" s="1040"/>
      <c r="CIX28" s="1040"/>
      <c r="CIY28" s="1040"/>
      <c r="CIZ28" s="1040"/>
      <c r="CJA28" s="1040"/>
      <c r="CJB28" s="1040"/>
      <c r="CJC28" s="1040"/>
      <c r="CJD28" s="1040"/>
      <c r="CJE28" s="1040"/>
      <c r="CJF28" s="1040"/>
      <c r="CJG28" s="1040"/>
      <c r="CJH28" s="1040"/>
      <c r="CJI28" s="1040"/>
      <c r="CJJ28" s="1040"/>
      <c r="CJK28" s="1040"/>
      <c r="CJL28" s="1040"/>
      <c r="CJM28" s="1040"/>
      <c r="CJN28" s="1040"/>
      <c r="CJO28" s="1040"/>
      <c r="CJP28" s="1040"/>
      <c r="CJQ28" s="1040"/>
      <c r="CJR28" s="1040"/>
      <c r="CJS28" s="1040"/>
      <c r="CJT28" s="1040"/>
      <c r="CJU28" s="1040"/>
      <c r="CJV28" s="1040"/>
      <c r="CJW28" s="1040"/>
      <c r="CJX28" s="1040"/>
      <c r="CJY28" s="1040"/>
      <c r="CJZ28" s="1040"/>
      <c r="CKA28" s="1040"/>
      <c r="CKB28" s="1040"/>
      <c r="CKC28" s="1040"/>
      <c r="CKD28" s="1040"/>
      <c r="CKE28" s="1040"/>
      <c r="CKF28" s="1040"/>
      <c r="CKG28" s="1040"/>
      <c r="CKH28" s="1040"/>
      <c r="CKI28" s="1040"/>
      <c r="CKJ28" s="1040"/>
      <c r="CKK28" s="1040"/>
      <c r="CKL28" s="1040"/>
      <c r="CKM28" s="1040"/>
      <c r="CKN28" s="1040"/>
      <c r="CKO28" s="1040"/>
      <c r="CKP28" s="1040"/>
      <c r="CKQ28" s="1040"/>
      <c r="CKR28" s="1040"/>
      <c r="CKS28" s="1040"/>
      <c r="CKT28" s="1040"/>
      <c r="CKU28" s="1040"/>
      <c r="CKV28" s="1040"/>
      <c r="CKW28" s="1040"/>
      <c r="CKX28" s="1040"/>
      <c r="CKY28" s="1040"/>
      <c r="CKZ28" s="1040"/>
      <c r="CLA28" s="1040"/>
      <c r="CLB28" s="1040"/>
      <c r="CLC28" s="1040"/>
      <c r="CLD28" s="1040"/>
      <c r="CLE28" s="1040"/>
      <c r="CLF28" s="1040"/>
      <c r="CLG28" s="1040"/>
      <c r="CLH28" s="1040"/>
      <c r="CLI28" s="1040"/>
      <c r="CLJ28" s="1040"/>
      <c r="CLK28" s="1040"/>
      <c r="CLL28" s="1040"/>
      <c r="CLM28" s="1040"/>
      <c r="CLN28" s="1040"/>
      <c r="CLO28" s="1040"/>
      <c r="CLP28" s="1040"/>
      <c r="CLQ28" s="1040"/>
      <c r="CLR28" s="1040"/>
      <c r="CLS28" s="1040"/>
      <c r="CLT28" s="1040"/>
      <c r="CLU28" s="1040"/>
      <c r="CLV28" s="1040"/>
      <c r="CLW28" s="1040"/>
      <c r="CLX28" s="1040"/>
      <c r="CLY28" s="1040"/>
      <c r="CLZ28" s="1040"/>
      <c r="CMA28" s="1040"/>
      <c r="CMB28" s="1040"/>
      <c r="CMC28" s="1040"/>
      <c r="CMD28" s="1040"/>
      <c r="CME28" s="1040"/>
      <c r="CMF28" s="1040"/>
      <c r="CMG28" s="1040"/>
      <c r="CMH28" s="1040"/>
      <c r="CMI28" s="1040"/>
      <c r="CMJ28" s="1040"/>
      <c r="CMK28" s="1040"/>
      <c r="CML28" s="1040"/>
      <c r="CMM28" s="1040"/>
      <c r="CMN28" s="1040"/>
      <c r="CMO28" s="1040"/>
      <c r="CMP28" s="1040"/>
      <c r="CMQ28" s="1040"/>
      <c r="CMR28" s="1040"/>
      <c r="CMS28" s="1040"/>
      <c r="CMT28" s="1040"/>
      <c r="CMU28" s="1040"/>
      <c r="CMV28" s="1040"/>
      <c r="CMW28" s="1040"/>
      <c r="CMX28" s="1040"/>
      <c r="CMY28" s="1040"/>
      <c r="CMZ28" s="1040"/>
      <c r="CNA28" s="1040"/>
      <c r="CNB28" s="1040"/>
      <c r="CNC28" s="1040"/>
      <c r="CND28" s="1040"/>
      <c r="CNE28" s="1040"/>
      <c r="CNF28" s="1040"/>
      <c r="CNG28" s="1040"/>
      <c r="CNH28" s="1040"/>
      <c r="CNI28" s="1040"/>
      <c r="CNJ28" s="1040"/>
      <c r="CNK28" s="1040"/>
      <c r="CNL28" s="1040"/>
      <c r="CNM28" s="1040"/>
      <c r="CNN28" s="1040"/>
      <c r="CNO28" s="1040"/>
      <c r="CNP28" s="1040"/>
      <c r="CNQ28" s="1040"/>
      <c r="CNR28" s="1040"/>
      <c r="CNS28" s="1040"/>
      <c r="CNT28" s="1040"/>
      <c r="CNU28" s="1040"/>
      <c r="CNV28" s="1040"/>
      <c r="CNW28" s="1040"/>
      <c r="CNX28" s="1040"/>
      <c r="CNY28" s="1040"/>
      <c r="CNZ28" s="1040"/>
      <c r="COA28" s="1040"/>
      <c r="COB28" s="1040"/>
      <c r="COC28" s="1040"/>
      <c r="COD28" s="1040"/>
      <c r="COE28" s="1040"/>
      <c r="COF28" s="1040"/>
      <c r="COG28" s="1040"/>
      <c r="COH28" s="1040"/>
      <c r="COI28" s="1040"/>
      <c r="COJ28" s="1040"/>
      <c r="COK28" s="1040"/>
      <c r="COL28" s="1040"/>
      <c r="COM28" s="1040"/>
      <c r="CON28" s="1040"/>
      <c r="COO28" s="1040"/>
      <c r="COP28" s="1040"/>
      <c r="COQ28" s="1040"/>
      <c r="COR28" s="1040"/>
      <c r="COS28" s="1040"/>
      <c r="COT28" s="1040"/>
      <c r="COU28" s="1040"/>
      <c r="COV28" s="1040"/>
      <c r="COW28" s="1040"/>
      <c r="COX28" s="1040"/>
      <c r="COY28" s="1040"/>
      <c r="COZ28" s="1040"/>
      <c r="CPA28" s="1040"/>
      <c r="CPB28" s="1040"/>
      <c r="CPC28" s="1040"/>
      <c r="CPD28" s="1040"/>
      <c r="CPE28" s="1040"/>
      <c r="CPF28" s="1040"/>
      <c r="CPG28" s="1040"/>
      <c r="CPH28" s="1040"/>
      <c r="CPI28" s="1040"/>
      <c r="CPJ28" s="1040"/>
      <c r="CPK28" s="1040"/>
      <c r="CPL28" s="1040"/>
      <c r="CPM28" s="1040"/>
      <c r="CPN28" s="1040"/>
      <c r="CPO28" s="1040"/>
      <c r="CPP28" s="1040"/>
      <c r="CPQ28" s="1040"/>
      <c r="CPR28" s="1040"/>
      <c r="CPS28" s="1040"/>
      <c r="CPT28" s="1040"/>
      <c r="CPU28" s="1040"/>
      <c r="CPV28" s="1040"/>
      <c r="CPW28" s="1040"/>
      <c r="CPX28" s="1040"/>
      <c r="CPY28" s="1040"/>
      <c r="CPZ28" s="1040"/>
      <c r="CQA28" s="1040"/>
      <c r="CQB28" s="1040"/>
      <c r="CQC28" s="1040"/>
      <c r="CQD28" s="1040"/>
      <c r="CQE28" s="1040"/>
      <c r="CQF28" s="1040"/>
      <c r="CQG28" s="1040"/>
      <c r="CQH28" s="1040"/>
      <c r="CQI28" s="1040"/>
      <c r="CQJ28" s="1040"/>
      <c r="CQK28" s="1040"/>
      <c r="CQL28" s="1040"/>
      <c r="CQM28" s="1040"/>
      <c r="CQN28" s="1040"/>
      <c r="CQO28" s="1040"/>
      <c r="CQP28" s="1040"/>
      <c r="CQQ28" s="1040"/>
      <c r="CQR28" s="1040"/>
      <c r="CQS28" s="1040"/>
      <c r="CQT28" s="1040"/>
      <c r="CQU28" s="1040"/>
      <c r="CQV28" s="1040"/>
      <c r="CQW28" s="1040"/>
      <c r="CQX28" s="1040"/>
      <c r="CQY28" s="1040"/>
      <c r="CQZ28" s="1040"/>
      <c r="CRA28" s="1040"/>
      <c r="CRB28" s="1040"/>
      <c r="CRC28" s="1040"/>
      <c r="CRD28" s="1040"/>
      <c r="CRE28" s="1040"/>
      <c r="CRF28" s="1040"/>
      <c r="CRG28" s="1040"/>
      <c r="CRH28" s="1040"/>
      <c r="CRI28" s="1040"/>
      <c r="CRJ28" s="1040"/>
      <c r="CRK28" s="1040"/>
      <c r="CRL28" s="1040"/>
      <c r="CRM28" s="1040"/>
      <c r="CRN28" s="1040"/>
      <c r="CRO28" s="1040"/>
      <c r="CRP28" s="1040"/>
      <c r="CRQ28" s="1040"/>
      <c r="CRR28" s="1040"/>
      <c r="CRS28" s="1040"/>
      <c r="CRT28" s="1040"/>
      <c r="CRU28" s="1040"/>
      <c r="CRV28" s="1040"/>
      <c r="CRW28" s="1040"/>
      <c r="CRX28" s="1040"/>
      <c r="CRY28" s="1040"/>
      <c r="CRZ28" s="1040"/>
      <c r="CSA28" s="1040"/>
      <c r="CSB28" s="1040"/>
      <c r="CSC28" s="1040"/>
      <c r="CSD28" s="1040"/>
      <c r="CSE28" s="1040"/>
      <c r="CSF28" s="1040"/>
      <c r="CSG28" s="1040"/>
      <c r="CSH28" s="1040"/>
      <c r="CSI28" s="1040"/>
      <c r="CSJ28" s="1040"/>
      <c r="CSK28" s="1040"/>
      <c r="CSL28" s="1040"/>
      <c r="CSM28" s="1040"/>
      <c r="CSN28" s="1040"/>
      <c r="CSO28" s="1040"/>
      <c r="CSP28" s="1040"/>
      <c r="CSQ28" s="1040"/>
      <c r="CSR28" s="1040"/>
      <c r="CSS28" s="1040"/>
      <c r="CST28" s="1040"/>
      <c r="CSU28" s="1040"/>
      <c r="CSV28" s="1040"/>
      <c r="CSW28" s="1040"/>
      <c r="CSX28" s="1040"/>
      <c r="CSY28" s="1040"/>
      <c r="CSZ28" s="1040"/>
      <c r="CTA28" s="1040"/>
      <c r="CTB28" s="1040"/>
      <c r="CTC28" s="1040"/>
      <c r="CTD28" s="1040"/>
      <c r="CTE28" s="1040"/>
      <c r="CTF28" s="1040"/>
      <c r="CTG28" s="1040"/>
      <c r="CTH28" s="1040"/>
      <c r="CTI28" s="1040"/>
      <c r="CTJ28" s="1040"/>
      <c r="CTK28" s="1040"/>
      <c r="CTL28" s="1040"/>
      <c r="CTM28" s="1040"/>
      <c r="CTN28" s="1040"/>
      <c r="CTO28" s="1040"/>
      <c r="CTP28" s="1040"/>
      <c r="CTQ28" s="1040"/>
      <c r="CTR28" s="1040"/>
      <c r="CTS28" s="1040"/>
      <c r="CTT28" s="1040"/>
      <c r="CTU28" s="1040"/>
      <c r="CTV28" s="1040"/>
      <c r="CTW28" s="1040"/>
      <c r="CTX28" s="1040"/>
      <c r="CTY28" s="1040"/>
      <c r="CTZ28" s="1040"/>
      <c r="CUA28" s="1040"/>
      <c r="CUB28" s="1040"/>
      <c r="CUC28" s="1040"/>
      <c r="CUD28" s="1040"/>
      <c r="CUE28" s="1040"/>
      <c r="CUF28" s="1040"/>
      <c r="CUG28" s="1040"/>
      <c r="CUH28" s="1040"/>
      <c r="CUI28" s="1040"/>
      <c r="CUJ28" s="1040"/>
      <c r="CUK28" s="1040"/>
      <c r="CUL28" s="1040"/>
      <c r="CUM28" s="1040"/>
      <c r="CUN28" s="1040"/>
      <c r="CUO28" s="1040"/>
      <c r="CUP28" s="1040"/>
      <c r="CUQ28" s="1040"/>
      <c r="CUR28" s="1040"/>
      <c r="CUS28" s="1040"/>
      <c r="CUT28" s="1040"/>
      <c r="CUU28" s="1040"/>
      <c r="CUV28" s="1040"/>
      <c r="CUW28" s="1040"/>
      <c r="CUX28" s="1040"/>
      <c r="CUY28" s="1040"/>
      <c r="CUZ28" s="1040"/>
      <c r="CVA28" s="1040"/>
      <c r="CVB28" s="1040"/>
      <c r="CVC28" s="1040"/>
      <c r="CVD28" s="1040"/>
      <c r="CVE28" s="1040"/>
      <c r="CVF28" s="1040"/>
      <c r="CVG28" s="1040"/>
      <c r="CVH28" s="1040"/>
      <c r="CVI28" s="1040"/>
      <c r="CVJ28" s="1040"/>
      <c r="CVK28" s="1040"/>
      <c r="CVL28" s="1040"/>
      <c r="CVM28" s="1040"/>
      <c r="CVN28" s="1040"/>
      <c r="CVO28" s="1040"/>
      <c r="CVP28" s="1040"/>
      <c r="CVQ28" s="1040"/>
      <c r="CVR28" s="1040"/>
      <c r="CVS28" s="1040"/>
      <c r="CVT28" s="1040"/>
      <c r="CVU28" s="1040"/>
      <c r="CVV28" s="1040"/>
      <c r="CVW28" s="1040"/>
      <c r="CVX28" s="1040"/>
      <c r="CVY28" s="1040"/>
      <c r="CVZ28" s="1040"/>
      <c r="CWA28" s="1040"/>
      <c r="CWB28" s="1040"/>
      <c r="CWC28" s="1040"/>
      <c r="CWD28" s="1040"/>
      <c r="CWE28" s="1040"/>
      <c r="CWF28" s="1040"/>
      <c r="CWG28" s="1040"/>
      <c r="CWH28" s="1040"/>
      <c r="CWI28" s="1040"/>
      <c r="CWJ28" s="1040"/>
      <c r="CWK28" s="1040"/>
      <c r="CWL28" s="1040"/>
      <c r="CWM28" s="1040"/>
      <c r="CWN28" s="1040"/>
      <c r="CWO28" s="1040"/>
      <c r="CWP28" s="1040"/>
      <c r="CWQ28" s="1040"/>
      <c r="CWR28" s="1040"/>
      <c r="CWS28" s="1040"/>
      <c r="CWT28" s="1040"/>
      <c r="CWU28" s="1040"/>
      <c r="CWV28" s="1040"/>
      <c r="CWW28" s="1040"/>
      <c r="CWX28" s="1040"/>
      <c r="CWY28" s="1040"/>
      <c r="CWZ28" s="1040"/>
      <c r="CXA28" s="1040"/>
      <c r="CXB28" s="1040"/>
      <c r="CXC28" s="1040"/>
      <c r="CXD28" s="1040"/>
      <c r="CXE28" s="1040"/>
      <c r="CXF28" s="1040"/>
      <c r="CXG28" s="1040"/>
      <c r="CXH28" s="1040"/>
      <c r="CXI28" s="1040"/>
      <c r="CXJ28" s="1040"/>
      <c r="CXK28" s="1040"/>
      <c r="CXL28" s="1040"/>
      <c r="CXM28" s="1040"/>
      <c r="CXN28" s="1040"/>
      <c r="CXO28" s="1040"/>
      <c r="CXP28" s="1040"/>
      <c r="CXQ28" s="1040"/>
      <c r="CXR28" s="1040"/>
      <c r="CXS28" s="1040"/>
      <c r="CXT28" s="1040"/>
      <c r="CXU28" s="1040"/>
      <c r="CXV28" s="1040"/>
      <c r="CXW28" s="1040"/>
      <c r="CXX28" s="1040"/>
      <c r="CXY28" s="1040"/>
      <c r="CXZ28" s="1040"/>
      <c r="CYA28" s="1040"/>
      <c r="CYB28" s="1040"/>
      <c r="CYC28" s="1040"/>
      <c r="CYD28" s="1040"/>
      <c r="CYE28" s="1040"/>
      <c r="CYF28" s="1040"/>
      <c r="CYG28" s="1040"/>
      <c r="CYH28" s="1040"/>
      <c r="CYI28" s="1040"/>
      <c r="CYJ28" s="1040"/>
      <c r="CYK28" s="1040"/>
      <c r="CYL28" s="1040"/>
      <c r="CYM28" s="1040"/>
      <c r="CYN28" s="1040"/>
      <c r="CYO28" s="1040"/>
      <c r="CYP28" s="1040"/>
      <c r="CYQ28" s="1040"/>
      <c r="CYR28" s="1040"/>
      <c r="CYS28" s="1040"/>
      <c r="CYT28" s="1040"/>
      <c r="CYU28" s="1040"/>
      <c r="CYV28" s="1040"/>
      <c r="CYW28" s="1040"/>
      <c r="CYX28" s="1040"/>
      <c r="CYY28" s="1040"/>
      <c r="CYZ28" s="1040"/>
      <c r="CZA28" s="1040"/>
      <c r="CZB28" s="1040"/>
      <c r="CZC28" s="1040"/>
      <c r="CZD28" s="1040"/>
      <c r="CZE28" s="1040"/>
      <c r="CZF28" s="1040"/>
      <c r="CZG28" s="1040"/>
      <c r="CZH28" s="1040"/>
      <c r="CZI28" s="1040"/>
      <c r="CZJ28" s="1040"/>
      <c r="CZK28" s="1040"/>
      <c r="CZL28" s="1040"/>
      <c r="CZM28" s="1040"/>
      <c r="CZN28" s="1040"/>
      <c r="CZO28" s="1040"/>
      <c r="CZP28" s="1040"/>
      <c r="CZQ28" s="1040"/>
      <c r="CZR28" s="1040"/>
      <c r="CZS28" s="1040"/>
      <c r="CZT28" s="1040"/>
      <c r="CZU28" s="1040"/>
      <c r="CZV28" s="1040"/>
      <c r="CZW28" s="1040"/>
      <c r="CZX28" s="1040"/>
      <c r="CZY28" s="1040"/>
      <c r="CZZ28" s="1040"/>
      <c r="DAA28" s="1040"/>
      <c r="DAB28" s="1040"/>
      <c r="DAC28" s="1040"/>
      <c r="DAD28" s="1040"/>
      <c r="DAE28" s="1040"/>
      <c r="DAF28" s="1040"/>
      <c r="DAG28" s="1040"/>
      <c r="DAH28" s="1040"/>
      <c r="DAI28" s="1040"/>
      <c r="DAJ28" s="1040"/>
      <c r="DAK28" s="1040"/>
      <c r="DAL28" s="1040"/>
      <c r="DAM28" s="1040"/>
      <c r="DAN28" s="1040"/>
      <c r="DAO28" s="1040"/>
      <c r="DAP28" s="1040"/>
      <c r="DAQ28" s="1040"/>
      <c r="DAR28" s="1040"/>
      <c r="DAS28" s="1040"/>
      <c r="DAT28" s="1040"/>
      <c r="DAU28" s="1040"/>
      <c r="DAV28" s="1040"/>
      <c r="DAW28" s="1040"/>
      <c r="DAX28" s="1040"/>
      <c r="DAY28" s="1040"/>
      <c r="DAZ28" s="1040"/>
      <c r="DBA28" s="1040"/>
      <c r="DBB28" s="1040"/>
      <c r="DBC28" s="1040"/>
      <c r="DBD28" s="1040"/>
      <c r="DBE28" s="1040"/>
      <c r="DBF28" s="1040"/>
      <c r="DBG28" s="1040"/>
      <c r="DBH28" s="1040"/>
      <c r="DBI28" s="1040"/>
      <c r="DBJ28" s="1040"/>
      <c r="DBK28" s="1040"/>
      <c r="DBL28" s="1040"/>
      <c r="DBM28" s="1040"/>
      <c r="DBN28" s="1040"/>
      <c r="DBO28" s="1040"/>
      <c r="DBP28" s="1040"/>
      <c r="DBQ28" s="1040"/>
      <c r="DBR28" s="1040"/>
      <c r="DBS28" s="1040"/>
      <c r="DBT28" s="1040"/>
      <c r="DBU28" s="1040"/>
      <c r="DBV28" s="1040"/>
      <c r="DBW28" s="1040"/>
      <c r="DBX28" s="1040"/>
      <c r="DBY28" s="1040"/>
      <c r="DBZ28" s="1040"/>
      <c r="DCA28" s="1040"/>
      <c r="DCB28" s="1040"/>
      <c r="DCC28" s="1040"/>
      <c r="DCD28" s="1040"/>
      <c r="DCE28" s="1040"/>
      <c r="DCF28" s="1040"/>
      <c r="DCG28" s="1040"/>
      <c r="DCH28" s="1040"/>
      <c r="DCI28" s="1040"/>
      <c r="DCJ28" s="1040"/>
      <c r="DCK28" s="1040"/>
      <c r="DCL28" s="1040"/>
      <c r="DCM28" s="1040"/>
      <c r="DCN28" s="1040"/>
      <c r="DCO28" s="1040"/>
      <c r="DCP28" s="1040"/>
      <c r="DCQ28" s="1040"/>
      <c r="DCR28" s="1040"/>
      <c r="DCS28" s="1040"/>
      <c r="DCT28" s="1040"/>
      <c r="DCU28" s="1040"/>
      <c r="DCV28" s="1040"/>
      <c r="DCW28" s="1040"/>
      <c r="DCX28" s="1040"/>
      <c r="DCY28" s="1040"/>
      <c r="DCZ28" s="1040"/>
      <c r="DDA28" s="1040"/>
      <c r="DDB28" s="1040"/>
      <c r="DDC28" s="1040"/>
      <c r="DDD28" s="1040"/>
      <c r="DDE28" s="1040"/>
      <c r="DDF28" s="1040"/>
      <c r="DDG28" s="1040"/>
      <c r="DDH28" s="1040"/>
      <c r="DDI28" s="1040"/>
      <c r="DDJ28" s="1040"/>
      <c r="DDK28" s="1040"/>
      <c r="DDL28" s="1040"/>
      <c r="DDM28" s="1040"/>
      <c r="DDN28" s="1040"/>
      <c r="DDO28" s="1040"/>
      <c r="DDP28" s="1040"/>
      <c r="DDQ28" s="1040"/>
      <c r="DDR28" s="1040"/>
      <c r="DDS28" s="1040"/>
      <c r="DDT28" s="1040"/>
      <c r="DDU28" s="1040"/>
      <c r="DDV28" s="1040"/>
      <c r="DDW28" s="1040"/>
      <c r="DDX28" s="1040"/>
      <c r="DDY28" s="1040"/>
      <c r="DDZ28" s="1040"/>
      <c r="DEA28" s="1040"/>
      <c r="DEB28" s="1040"/>
      <c r="DEC28" s="1040"/>
      <c r="DED28" s="1040"/>
      <c r="DEE28" s="1040"/>
      <c r="DEF28" s="1040"/>
      <c r="DEG28" s="1040"/>
      <c r="DEH28" s="1040"/>
      <c r="DEI28" s="1040"/>
      <c r="DEJ28" s="1040"/>
      <c r="DEK28" s="1040"/>
      <c r="DEL28" s="1040"/>
      <c r="DEM28" s="1040"/>
      <c r="DEN28" s="1040"/>
      <c r="DEO28" s="1040"/>
      <c r="DEP28" s="1040"/>
      <c r="DEQ28" s="1040"/>
      <c r="DER28" s="1040"/>
      <c r="DES28" s="1040"/>
      <c r="DET28" s="1040"/>
      <c r="DEU28" s="1040"/>
      <c r="DEV28" s="1040"/>
      <c r="DEW28" s="1040"/>
      <c r="DEX28" s="1040"/>
      <c r="DEY28" s="1040"/>
      <c r="DEZ28" s="1040"/>
      <c r="DFA28" s="1040"/>
      <c r="DFB28" s="1040"/>
      <c r="DFC28" s="1040"/>
      <c r="DFD28" s="1040"/>
      <c r="DFE28" s="1040"/>
      <c r="DFF28" s="1040"/>
      <c r="DFG28" s="1040"/>
      <c r="DFH28" s="1040"/>
      <c r="DFI28" s="1040"/>
      <c r="DFJ28" s="1040"/>
      <c r="DFK28" s="1040"/>
      <c r="DFL28" s="1040"/>
      <c r="DFM28" s="1040"/>
      <c r="DFN28" s="1040"/>
      <c r="DFO28" s="1040"/>
      <c r="DFP28" s="1040"/>
      <c r="DFQ28" s="1040"/>
      <c r="DFR28" s="1040"/>
      <c r="DFS28" s="1040"/>
      <c r="DFT28" s="1040"/>
      <c r="DFU28" s="1040"/>
      <c r="DFV28" s="1040"/>
      <c r="DFW28" s="1040"/>
      <c r="DFX28" s="1040"/>
      <c r="DFY28" s="1040"/>
      <c r="DFZ28" s="1040"/>
      <c r="DGA28" s="1040"/>
      <c r="DGB28" s="1040"/>
      <c r="DGC28" s="1040"/>
      <c r="DGD28" s="1040"/>
      <c r="DGE28" s="1040"/>
      <c r="DGF28" s="1040"/>
      <c r="DGG28" s="1040"/>
      <c r="DGH28" s="1040"/>
      <c r="DGI28" s="1040"/>
      <c r="DGJ28" s="1040"/>
      <c r="DGK28" s="1040"/>
      <c r="DGL28" s="1040"/>
      <c r="DGM28" s="1040"/>
      <c r="DGN28" s="1040"/>
      <c r="DGO28" s="1040"/>
      <c r="DGP28" s="1040"/>
      <c r="DGQ28" s="1040"/>
      <c r="DGR28" s="1040"/>
      <c r="DGS28" s="1040"/>
      <c r="DGT28" s="1040"/>
      <c r="DGU28" s="1040"/>
      <c r="DGV28" s="1040"/>
      <c r="DGW28" s="1040"/>
      <c r="DGX28" s="1040"/>
      <c r="DGY28" s="1040"/>
      <c r="DGZ28" s="1040"/>
      <c r="DHA28" s="1040"/>
      <c r="DHB28" s="1040"/>
      <c r="DHC28" s="1040"/>
      <c r="DHD28" s="1040"/>
      <c r="DHE28" s="1040"/>
      <c r="DHF28" s="1040"/>
      <c r="DHG28" s="1040"/>
      <c r="DHH28" s="1040"/>
      <c r="DHI28" s="1040"/>
      <c r="DHJ28" s="1040"/>
      <c r="DHK28" s="1040"/>
      <c r="DHL28" s="1040"/>
      <c r="DHM28" s="1040"/>
      <c r="DHN28" s="1040"/>
      <c r="DHO28" s="1040"/>
      <c r="DHP28" s="1040"/>
      <c r="DHQ28" s="1040"/>
      <c r="DHR28" s="1040"/>
      <c r="DHS28" s="1040"/>
      <c r="DHT28" s="1040"/>
      <c r="DHU28" s="1040"/>
      <c r="DHV28" s="1040"/>
      <c r="DHW28" s="1040"/>
      <c r="DHX28" s="1040"/>
      <c r="DHY28" s="1040"/>
      <c r="DHZ28" s="1040"/>
      <c r="DIA28" s="1040"/>
      <c r="DIB28" s="1040"/>
      <c r="DIC28" s="1040"/>
      <c r="DID28" s="1040"/>
      <c r="DIE28" s="1040"/>
      <c r="DIF28" s="1040"/>
      <c r="DIG28" s="1040"/>
      <c r="DIH28" s="1040"/>
      <c r="DII28" s="1040"/>
      <c r="DIJ28" s="1040"/>
      <c r="DIK28" s="1040"/>
      <c r="DIL28" s="1040"/>
      <c r="DIM28" s="1040"/>
      <c r="DIN28" s="1040"/>
      <c r="DIO28" s="1040"/>
      <c r="DIP28" s="1040"/>
      <c r="DIQ28" s="1040"/>
      <c r="DIR28" s="1040"/>
      <c r="DIS28" s="1040"/>
      <c r="DIT28" s="1040"/>
      <c r="DIU28" s="1040"/>
      <c r="DIV28" s="1040"/>
      <c r="DIW28" s="1040"/>
      <c r="DIX28" s="1040"/>
      <c r="DIY28" s="1040"/>
      <c r="DIZ28" s="1040"/>
      <c r="DJA28" s="1040"/>
      <c r="DJB28" s="1040"/>
      <c r="DJC28" s="1040"/>
      <c r="DJD28" s="1040"/>
      <c r="DJE28" s="1040"/>
      <c r="DJF28" s="1040"/>
      <c r="DJG28" s="1040"/>
      <c r="DJH28" s="1040"/>
      <c r="DJI28" s="1040"/>
      <c r="DJJ28" s="1040"/>
      <c r="DJK28" s="1040"/>
      <c r="DJL28" s="1040"/>
      <c r="DJM28" s="1040"/>
      <c r="DJN28" s="1040"/>
      <c r="DJO28" s="1040"/>
      <c r="DJP28" s="1040"/>
      <c r="DJQ28" s="1040"/>
      <c r="DJR28" s="1040"/>
      <c r="DJS28" s="1040"/>
      <c r="DJT28" s="1040"/>
      <c r="DJU28" s="1040"/>
      <c r="DJV28" s="1040"/>
      <c r="DJW28" s="1040"/>
      <c r="DJX28" s="1040"/>
      <c r="DJY28" s="1040"/>
      <c r="DJZ28" s="1040"/>
      <c r="DKA28" s="1040"/>
      <c r="DKB28" s="1040"/>
      <c r="DKC28" s="1040"/>
      <c r="DKD28" s="1040"/>
      <c r="DKE28" s="1040"/>
      <c r="DKF28" s="1040"/>
      <c r="DKG28" s="1040"/>
      <c r="DKH28" s="1040"/>
      <c r="DKI28" s="1040"/>
      <c r="DKJ28" s="1040"/>
      <c r="DKK28" s="1040"/>
      <c r="DKL28" s="1040"/>
      <c r="DKM28" s="1040"/>
      <c r="DKN28" s="1040"/>
      <c r="DKO28" s="1040"/>
      <c r="DKP28" s="1040"/>
      <c r="DKQ28" s="1040"/>
      <c r="DKR28" s="1040"/>
      <c r="DKS28" s="1040"/>
      <c r="DKT28" s="1040"/>
      <c r="DKU28" s="1040"/>
      <c r="DKV28" s="1040"/>
      <c r="DKW28" s="1040"/>
      <c r="DKX28" s="1040"/>
      <c r="DKY28" s="1040"/>
      <c r="DKZ28" s="1040"/>
      <c r="DLA28" s="1040"/>
      <c r="DLB28" s="1040"/>
      <c r="DLC28" s="1040"/>
      <c r="DLD28" s="1040"/>
      <c r="DLE28" s="1040"/>
      <c r="DLF28" s="1040"/>
      <c r="DLG28" s="1040"/>
      <c r="DLH28" s="1040"/>
      <c r="DLI28" s="1040"/>
      <c r="DLJ28" s="1040"/>
      <c r="DLK28" s="1040"/>
      <c r="DLL28" s="1040"/>
      <c r="DLM28" s="1040"/>
      <c r="DLN28" s="1040"/>
      <c r="DLO28" s="1040"/>
      <c r="DLP28" s="1040"/>
      <c r="DLQ28" s="1040"/>
      <c r="DLR28" s="1040"/>
      <c r="DLS28" s="1040"/>
      <c r="DLT28" s="1040"/>
      <c r="DLU28" s="1040"/>
      <c r="DLV28" s="1040"/>
      <c r="DLW28" s="1040"/>
      <c r="DLX28" s="1040"/>
      <c r="DLY28" s="1040"/>
      <c r="DLZ28" s="1040"/>
      <c r="DMA28" s="1040"/>
      <c r="DMB28" s="1040"/>
      <c r="DMC28" s="1040"/>
      <c r="DMD28" s="1040"/>
      <c r="DME28" s="1040"/>
      <c r="DMF28" s="1040"/>
      <c r="DMG28" s="1040"/>
      <c r="DMH28" s="1040"/>
      <c r="DMI28" s="1040"/>
      <c r="DMJ28" s="1040"/>
      <c r="DMK28" s="1040"/>
      <c r="DML28" s="1040"/>
      <c r="DMM28" s="1040"/>
      <c r="DMN28" s="1040"/>
      <c r="DMO28" s="1040"/>
      <c r="DMP28" s="1040"/>
      <c r="DMQ28" s="1040"/>
      <c r="DMR28" s="1040"/>
      <c r="DMS28" s="1040"/>
      <c r="DMT28" s="1040"/>
      <c r="DMU28" s="1040"/>
      <c r="DMV28" s="1040"/>
      <c r="DMW28" s="1040"/>
      <c r="DMX28" s="1040"/>
      <c r="DMY28" s="1040"/>
      <c r="DMZ28" s="1040"/>
      <c r="DNA28" s="1040"/>
      <c r="DNB28" s="1040"/>
      <c r="DNC28" s="1040"/>
      <c r="DND28" s="1040"/>
      <c r="DNE28" s="1040"/>
      <c r="DNF28" s="1040"/>
      <c r="DNG28" s="1040"/>
      <c r="DNH28" s="1040"/>
      <c r="DNI28" s="1040"/>
      <c r="DNJ28" s="1040"/>
      <c r="DNK28" s="1040"/>
      <c r="DNL28" s="1040"/>
      <c r="DNM28" s="1040"/>
      <c r="DNN28" s="1040"/>
      <c r="DNO28" s="1040"/>
      <c r="DNP28" s="1040"/>
      <c r="DNQ28" s="1040"/>
      <c r="DNR28" s="1040"/>
      <c r="DNS28" s="1040"/>
      <c r="DNT28" s="1040"/>
      <c r="DNU28" s="1040"/>
      <c r="DNV28" s="1040"/>
      <c r="DNW28" s="1040"/>
      <c r="DNX28" s="1040"/>
      <c r="DNY28" s="1040"/>
      <c r="DNZ28" s="1040"/>
      <c r="DOA28" s="1040"/>
      <c r="DOB28" s="1040"/>
      <c r="DOC28" s="1040"/>
      <c r="DOD28" s="1040"/>
      <c r="DOE28" s="1040"/>
      <c r="DOF28" s="1040"/>
      <c r="DOG28" s="1040"/>
      <c r="DOH28" s="1040"/>
      <c r="DOI28" s="1040"/>
      <c r="DOJ28" s="1040"/>
      <c r="DOK28" s="1040"/>
      <c r="DOL28" s="1040"/>
      <c r="DOM28" s="1040"/>
      <c r="DON28" s="1040"/>
      <c r="DOO28" s="1040"/>
      <c r="DOP28" s="1040"/>
      <c r="DOQ28" s="1040"/>
      <c r="DOR28" s="1040"/>
      <c r="DOS28" s="1040"/>
      <c r="DOT28" s="1040"/>
      <c r="DOU28" s="1040"/>
      <c r="DOV28" s="1040"/>
      <c r="DOW28" s="1040"/>
      <c r="DOX28" s="1040"/>
      <c r="DOY28" s="1040"/>
      <c r="DOZ28" s="1040"/>
      <c r="DPA28" s="1040"/>
      <c r="DPB28" s="1040"/>
      <c r="DPC28" s="1040"/>
      <c r="DPD28" s="1040"/>
      <c r="DPE28" s="1040"/>
      <c r="DPF28" s="1040"/>
      <c r="DPG28" s="1040"/>
      <c r="DPH28" s="1040"/>
      <c r="DPI28" s="1040"/>
      <c r="DPJ28" s="1040"/>
      <c r="DPK28" s="1040"/>
      <c r="DPL28" s="1040"/>
      <c r="DPM28" s="1040"/>
      <c r="DPN28" s="1040"/>
      <c r="DPO28" s="1040"/>
      <c r="DPP28" s="1040"/>
      <c r="DPQ28" s="1040"/>
      <c r="DPR28" s="1040"/>
      <c r="DPS28" s="1040"/>
      <c r="DPT28" s="1040"/>
      <c r="DPU28" s="1040"/>
      <c r="DPV28" s="1040"/>
      <c r="DPW28" s="1040"/>
      <c r="DPX28" s="1040"/>
      <c r="DPY28" s="1040"/>
      <c r="DPZ28" s="1040"/>
      <c r="DQA28" s="1040"/>
      <c r="DQB28" s="1040"/>
      <c r="DQC28" s="1040"/>
      <c r="DQD28" s="1040"/>
      <c r="DQE28" s="1040"/>
      <c r="DQF28" s="1040"/>
      <c r="DQG28" s="1040"/>
      <c r="DQH28" s="1040"/>
      <c r="DQI28" s="1040"/>
      <c r="DQJ28" s="1040"/>
      <c r="DQK28" s="1040"/>
      <c r="DQL28" s="1040"/>
      <c r="DQM28" s="1040"/>
      <c r="DQN28" s="1040"/>
      <c r="DQO28" s="1040"/>
      <c r="DQP28" s="1040"/>
      <c r="DQQ28" s="1040"/>
      <c r="DQR28" s="1040"/>
      <c r="DQS28" s="1040"/>
      <c r="DQT28" s="1040"/>
      <c r="DQU28" s="1040"/>
      <c r="DQV28" s="1040"/>
      <c r="DQW28" s="1040"/>
      <c r="DQX28" s="1040"/>
      <c r="DQY28" s="1040"/>
      <c r="DQZ28" s="1040"/>
      <c r="DRA28" s="1040"/>
      <c r="DRB28" s="1040"/>
      <c r="DRC28" s="1040"/>
      <c r="DRD28" s="1040"/>
      <c r="DRE28" s="1040"/>
      <c r="DRF28" s="1040"/>
      <c r="DRG28" s="1040"/>
      <c r="DRH28" s="1040"/>
      <c r="DRI28" s="1040"/>
      <c r="DRJ28" s="1040"/>
      <c r="DRK28" s="1040"/>
      <c r="DRL28" s="1040"/>
      <c r="DRM28" s="1040"/>
      <c r="DRN28" s="1040"/>
      <c r="DRO28" s="1040"/>
      <c r="DRP28" s="1040"/>
      <c r="DRQ28" s="1040"/>
      <c r="DRR28" s="1040"/>
      <c r="DRS28" s="1040"/>
      <c r="DRT28" s="1040"/>
      <c r="DRU28" s="1040"/>
      <c r="DRV28" s="1040"/>
      <c r="DRW28" s="1040"/>
      <c r="DRX28" s="1040"/>
      <c r="DRY28" s="1040"/>
      <c r="DRZ28" s="1040"/>
      <c r="DSA28" s="1040"/>
      <c r="DSB28" s="1040"/>
      <c r="DSC28" s="1040"/>
      <c r="DSD28" s="1040"/>
      <c r="DSE28" s="1040"/>
      <c r="DSF28" s="1040"/>
      <c r="DSG28" s="1040"/>
      <c r="DSH28" s="1040"/>
      <c r="DSI28" s="1040"/>
      <c r="DSJ28" s="1040"/>
      <c r="DSK28" s="1040"/>
      <c r="DSL28" s="1040"/>
      <c r="DSM28" s="1040"/>
      <c r="DSN28" s="1040"/>
      <c r="DSO28" s="1040"/>
      <c r="DSP28" s="1040"/>
      <c r="DSQ28" s="1040"/>
      <c r="DSR28" s="1040"/>
      <c r="DSS28" s="1040"/>
      <c r="DST28" s="1040"/>
      <c r="DSU28" s="1040"/>
      <c r="DSV28" s="1040"/>
      <c r="DSW28" s="1040"/>
      <c r="DSX28" s="1040"/>
      <c r="DSY28" s="1040"/>
      <c r="DSZ28" s="1040"/>
      <c r="DTA28" s="1040"/>
      <c r="DTB28" s="1040"/>
      <c r="DTC28" s="1040"/>
      <c r="DTD28" s="1040"/>
      <c r="DTE28" s="1040"/>
      <c r="DTF28" s="1040"/>
      <c r="DTG28" s="1040"/>
      <c r="DTH28" s="1040"/>
      <c r="DTI28" s="1040"/>
      <c r="DTJ28" s="1040"/>
      <c r="DTK28" s="1040"/>
      <c r="DTL28" s="1040"/>
      <c r="DTM28" s="1040"/>
      <c r="DTN28" s="1040"/>
      <c r="DTO28" s="1040"/>
      <c r="DTP28" s="1040"/>
      <c r="DTQ28" s="1040"/>
      <c r="DTR28" s="1040"/>
      <c r="DTS28" s="1040"/>
      <c r="DTT28" s="1040"/>
      <c r="DTU28" s="1040"/>
      <c r="DTV28" s="1040"/>
      <c r="DTW28" s="1040"/>
      <c r="DTX28" s="1040"/>
      <c r="DTY28" s="1040"/>
      <c r="DTZ28" s="1040"/>
      <c r="DUA28" s="1040"/>
      <c r="DUB28" s="1040"/>
      <c r="DUC28" s="1040"/>
      <c r="DUD28" s="1040"/>
      <c r="DUE28" s="1040"/>
      <c r="DUF28" s="1040"/>
      <c r="DUG28" s="1040"/>
      <c r="DUH28" s="1040"/>
      <c r="DUI28" s="1040"/>
      <c r="DUJ28" s="1040"/>
      <c r="DUK28" s="1040"/>
      <c r="DUL28" s="1040"/>
      <c r="DUM28" s="1040"/>
      <c r="DUN28" s="1040"/>
      <c r="DUO28" s="1040"/>
      <c r="DUP28" s="1040"/>
      <c r="DUQ28" s="1040"/>
      <c r="DUR28" s="1040"/>
      <c r="DUS28" s="1040"/>
      <c r="DUT28" s="1040"/>
      <c r="DUU28" s="1040"/>
      <c r="DUV28" s="1040"/>
      <c r="DUW28" s="1040"/>
      <c r="DUX28" s="1040"/>
      <c r="DUY28" s="1040"/>
      <c r="DUZ28" s="1040"/>
      <c r="DVA28" s="1040"/>
      <c r="DVB28" s="1040"/>
      <c r="DVC28" s="1040"/>
      <c r="DVD28" s="1040"/>
      <c r="DVE28" s="1040"/>
      <c r="DVF28" s="1040"/>
      <c r="DVG28" s="1040"/>
      <c r="DVH28" s="1040"/>
      <c r="DVI28" s="1040"/>
      <c r="DVJ28" s="1040"/>
      <c r="DVK28" s="1040"/>
      <c r="DVL28" s="1040"/>
      <c r="DVM28" s="1040"/>
      <c r="DVN28" s="1040"/>
      <c r="DVO28" s="1040"/>
      <c r="DVP28" s="1040"/>
      <c r="DVQ28" s="1040"/>
      <c r="DVR28" s="1040"/>
      <c r="DVS28" s="1040"/>
      <c r="DVT28" s="1040"/>
      <c r="DVU28" s="1040"/>
      <c r="DVV28" s="1040"/>
      <c r="DVW28" s="1040"/>
      <c r="DVX28" s="1040"/>
      <c r="DVY28" s="1040"/>
      <c r="DVZ28" s="1040"/>
      <c r="DWA28" s="1040"/>
      <c r="DWB28" s="1040"/>
      <c r="DWC28" s="1040"/>
      <c r="DWD28" s="1040"/>
      <c r="DWE28" s="1040"/>
      <c r="DWF28" s="1040"/>
      <c r="DWG28" s="1040"/>
      <c r="DWH28" s="1040"/>
      <c r="DWI28" s="1040"/>
      <c r="DWJ28" s="1040"/>
      <c r="DWK28" s="1040"/>
      <c r="DWL28" s="1040"/>
      <c r="DWM28" s="1040"/>
      <c r="DWN28" s="1040"/>
      <c r="DWO28" s="1040"/>
      <c r="DWP28" s="1040"/>
      <c r="DWQ28" s="1040"/>
      <c r="DWR28" s="1040"/>
      <c r="DWS28" s="1040"/>
      <c r="DWT28" s="1040"/>
      <c r="DWU28" s="1040"/>
      <c r="DWV28" s="1040"/>
      <c r="DWW28" s="1040"/>
      <c r="DWX28" s="1040"/>
      <c r="DWY28" s="1040"/>
      <c r="DWZ28" s="1040"/>
      <c r="DXA28" s="1040"/>
      <c r="DXB28" s="1040"/>
      <c r="DXC28" s="1040"/>
      <c r="DXD28" s="1040"/>
      <c r="DXE28" s="1040"/>
      <c r="DXF28" s="1040"/>
      <c r="DXG28" s="1040"/>
      <c r="DXH28" s="1040"/>
      <c r="DXI28" s="1040"/>
      <c r="DXJ28" s="1040"/>
      <c r="DXK28" s="1040"/>
      <c r="DXL28" s="1040"/>
      <c r="DXM28" s="1040"/>
      <c r="DXN28" s="1040"/>
      <c r="DXO28" s="1040"/>
      <c r="DXP28" s="1040"/>
      <c r="DXQ28" s="1040"/>
      <c r="DXR28" s="1040"/>
      <c r="DXS28" s="1040"/>
      <c r="DXT28" s="1040"/>
      <c r="DXU28" s="1040"/>
      <c r="DXV28" s="1040"/>
      <c r="DXW28" s="1040"/>
      <c r="DXX28" s="1040"/>
      <c r="DXY28" s="1040"/>
      <c r="DXZ28" s="1040"/>
      <c r="DYA28" s="1040"/>
      <c r="DYB28" s="1040"/>
      <c r="DYC28" s="1040"/>
      <c r="DYD28" s="1040"/>
      <c r="DYE28" s="1040"/>
      <c r="DYF28" s="1040"/>
      <c r="DYG28" s="1040"/>
      <c r="DYH28" s="1040"/>
      <c r="DYI28" s="1040"/>
      <c r="DYJ28" s="1040"/>
      <c r="DYK28" s="1040"/>
      <c r="DYL28" s="1040"/>
      <c r="DYM28" s="1040"/>
      <c r="DYN28" s="1040"/>
      <c r="DYO28" s="1040"/>
      <c r="DYP28" s="1040"/>
      <c r="DYQ28" s="1040"/>
      <c r="DYR28" s="1040"/>
      <c r="DYS28" s="1040"/>
      <c r="DYT28" s="1040"/>
      <c r="DYU28" s="1040"/>
      <c r="DYV28" s="1040"/>
      <c r="DYW28" s="1040"/>
      <c r="DYX28" s="1040"/>
      <c r="DYY28" s="1040"/>
      <c r="DYZ28" s="1040"/>
      <c r="DZA28" s="1040"/>
      <c r="DZB28" s="1040"/>
      <c r="DZC28" s="1040"/>
      <c r="DZD28" s="1040"/>
      <c r="DZE28" s="1040"/>
      <c r="DZF28" s="1040"/>
      <c r="DZG28" s="1040"/>
      <c r="DZH28" s="1040"/>
      <c r="DZI28" s="1040"/>
      <c r="DZJ28" s="1040"/>
      <c r="DZK28" s="1040"/>
      <c r="DZL28" s="1040"/>
      <c r="DZM28" s="1040"/>
      <c r="DZN28" s="1040"/>
      <c r="DZO28" s="1040"/>
      <c r="DZP28" s="1040"/>
      <c r="DZQ28" s="1040"/>
      <c r="DZR28" s="1040"/>
      <c r="DZS28" s="1040"/>
      <c r="DZT28" s="1040"/>
      <c r="DZU28" s="1040"/>
      <c r="DZV28" s="1040"/>
      <c r="DZW28" s="1040"/>
      <c r="DZX28" s="1040"/>
      <c r="DZY28" s="1040"/>
      <c r="DZZ28" s="1040"/>
      <c r="EAA28" s="1040"/>
      <c r="EAB28" s="1040"/>
      <c r="EAC28" s="1040"/>
      <c r="EAD28" s="1040"/>
      <c r="EAE28" s="1040"/>
      <c r="EAF28" s="1040"/>
      <c r="EAG28" s="1040"/>
      <c r="EAH28" s="1040"/>
      <c r="EAI28" s="1040"/>
      <c r="EAJ28" s="1040"/>
      <c r="EAK28" s="1040"/>
      <c r="EAL28" s="1040"/>
      <c r="EAM28" s="1040"/>
      <c r="EAN28" s="1040"/>
      <c r="EAO28" s="1040"/>
      <c r="EAP28" s="1040"/>
      <c r="EAQ28" s="1040"/>
      <c r="EAR28" s="1040"/>
      <c r="EAS28" s="1040"/>
      <c r="EAT28" s="1040"/>
      <c r="EAU28" s="1040"/>
      <c r="EAV28" s="1040"/>
      <c r="EAW28" s="1040"/>
      <c r="EAX28" s="1040"/>
      <c r="EAY28" s="1040"/>
      <c r="EAZ28" s="1040"/>
      <c r="EBA28" s="1040"/>
      <c r="EBB28" s="1040"/>
      <c r="EBC28" s="1040"/>
      <c r="EBD28" s="1040"/>
      <c r="EBE28" s="1040"/>
      <c r="EBF28" s="1040"/>
      <c r="EBG28" s="1040"/>
      <c r="EBH28" s="1040"/>
      <c r="EBI28" s="1040"/>
      <c r="EBJ28" s="1040"/>
      <c r="EBK28" s="1040"/>
      <c r="EBL28" s="1040"/>
      <c r="EBM28" s="1040"/>
      <c r="EBN28" s="1040"/>
      <c r="EBO28" s="1040"/>
      <c r="EBP28" s="1040"/>
      <c r="EBQ28" s="1040"/>
      <c r="EBR28" s="1040"/>
      <c r="EBS28" s="1040"/>
      <c r="EBT28" s="1040"/>
      <c r="EBU28" s="1040"/>
      <c r="EBV28" s="1040"/>
      <c r="EBW28" s="1040"/>
      <c r="EBX28" s="1040"/>
      <c r="EBY28" s="1040"/>
      <c r="EBZ28" s="1040"/>
      <c r="ECA28" s="1040"/>
      <c r="ECB28" s="1040"/>
      <c r="ECC28" s="1040"/>
      <c r="ECD28" s="1040"/>
      <c r="ECE28" s="1040"/>
      <c r="ECF28" s="1040"/>
      <c r="ECG28" s="1040"/>
      <c r="ECH28" s="1040"/>
      <c r="ECI28" s="1040"/>
      <c r="ECJ28" s="1040"/>
      <c r="ECK28" s="1040"/>
      <c r="ECL28" s="1040"/>
      <c r="ECM28" s="1040"/>
      <c r="ECN28" s="1040"/>
      <c r="ECO28" s="1040"/>
      <c r="ECP28" s="1040"/>
      <c r="ECQ28" s="1040"/>
      <c r="ECR28" s="1040"/>
      <c r="ECS28" s="1040"/>
      <c r="ECT28" s="1040"/>
      <c r="ECU28" s="1040"/>
      <c r="ECV28" s="1040"/>
      <c r="ECW28" s="1040"/>
      <c r="ECX28" s="1040"/>
      <c r="ECY28" s="1040"/>
      <c r="ECZ28" s="1040"/>
      <c r="EDA28" s="1040"/>
      <c r="EDB28" s="1040"/>
      <c r="EDC28" s="1040"/>
      <c r="EDD28" s="1040"/>
      <c r="EDE28" s="1040"/>
      <c r="EDF28" s="1040"/>
      <c r="EDG28" s="1040"/>
      <c r="EDH28" s="1040"/>
      <c r="EDI28" s="1040"/>
      <c r="EDJ28" s="1040"/>
      <c r="EDK28" s="1040"/>
      <c r="EDL28" s="1040"/>
      <c r="EDM28" s="1040"/>
      <c r="EDN28" s="1040"/>
      <c r="EDO28" s="1040"/>
      <c r="EDP28" s="1040"/>
      <c r="EDQ28" s="1040"/>
      <c r="EDR28" s="1040"/>
      <c r="EDS28" s="1040"/>
      <c r="EDT28" s="1040"/>
      <c r="EDU28" s="1040"/>
      <c r="EDV28" s="1040"/>
      <c r="EDW28" s="1040"/>
      <c r="EDX28" s="1040"/>
      <c r="EDY28" s="1040"/>
      <c r="EDZ28" s="1040"/>
      <c r="EEA28" s="1040"/>
      <c r="EEB28" s="1040"/>
      <c r="EEC28" s="1040"/>
      <c r="EED28" s="1040"/>
      <c r="EEE28" s="1040"/>
      <c r="EEF28" s="1040"/>
      <c r="EEG28" s="1040"/>
      <c r="EEH28" s="1040"/>
      <c r="EEI28" s="1040"/>
      <c r="EEJ28" s="1040"/>
      <c r="EEK28" s="1040"/>
      <c r="EEL28" s="1040"/>
      <c r="EEM28" s="1040"/>
      <c r="EEN28" s="1040"/>
      <c r="EEO28" s="1040"/>
      <c r="EEP28" s="1040"/>
      <c r="EEQ28" s="1040"/>
      <c r="EER28" s="1040"/>
      <c r="EES28" s="1040"/>
      <c r="EET28" s="1040"/>
      <c r="EEU28" s="1040"/>
      <c r="EEV28" s="1040"/>
      <c r="EEW28" s="1040"/>
      <c r="EEX28" s="1040"/>
      <c r="EEY28" s="1040"/>
      <c r="EEZ28" s="1040"/>
      <c r="EFA28" s="1040"/>
      <c r="EFB28" s="1040"/>
      <c r="EFC28" s="1040"/>
      <c r="EFD28" s="1040"/>
      <c r="EFE28" s="1040"/>
      <c r="EFF28" s="1040"/>
      <c r="EFG28" s="1040"/>
      <c r="EFH28" s="1040"/>
      <c r="EFI28" s="1040"/>
      <c r="EFJ28" s="1040"/>
      <c r="EFK28" s="1040"/>
      <c r="EFL28" s="1040"/>
      <c r="EFM28" s="1040"/>
      <c r="EFN28" s="1040"/>
      <c r="EFO28" s="1040"/>
      <c r="EFP28" s="1040"/>
      <c r="EFQ28" s="1040"/>
      <c r="EFR28" s="1040"/>
      <c r="EFS28" s="1040"/>
      <c r="EFT28" s="1040"/>
      <c r="EFU28" s="1040"/>
      <c r="EFV28" s="1040"/>
      <c r="EFW28" s="1040"/>
      <c r="EFX28" s="1040"/>
      <c r="EFY28" s="1040"/>
      <c r="EFZ28" s="1040"/>
      <c r="EGA28" s="1040"/>
      <c r="EGB28" s="1040"/>
      <c r="EGC28" s="1040"/>
      <c r="EGD28" s="1040"/>
      <c r="EGE28" s="1040"/>
      <c r="EGF28" s="1040"/>
      <c r="EGG28" s="1040"/>
      <c r="EGH28" s="1040"/>
      <c r="EGI28" s="1040"/>
      <c r="EGJ28" s="1040"/>
      <c r="EGK28" s="1040"/>
      <c r="EGL28" s="1040"/>
      <c r="EGM28" s="1040"/>
      <c r="EGN28" s="1040"/>
      <c r="EGO28" s="1040"/>
      <c r="EGP28" s="1040"/>
      <c r="EGQ28" s="1040"/>
      <c r="EGR28" s="1040"/>
      <c r="EGS28" s="1040"/>
      <c r="EGT28" s="1040"/>
      <c r="EGU28" s="1040"/>
      <c r="EGV28" s="1040"/>
      <c r="EGW28" s="1040"/>
      <c r="EGX28" s="1040"/>
      <c r="EGY28" s="1040"/>
      <c r="EGZ28" s="1040"/>
      <c r="EHA28" s="1040"/>
      <c r="EHB28" s="1040"/>
      <c r="EHC28" s="1040"/>
      <c r="EHD28" s="1040"/>
      <c r="EHE28" s="1040"/>
      <c r="EHF28" s="1040"/>
      <c r="EHG28" s="1040"/>
      <c r="EHH28" s="1040"/>
      <c r="EHI28" s="1040"/>
      <c r="EHJ28" s="1040"/>
      <c r="EHK28" s="1040"/>
      <c r="EHL28" s="1040"/>
      <c r="EHM28" s="1040"/>
      <c r="EHN28" s="1040"/>
      <c r="EHO28" s="1040"/>
      <c r="EHP28" s="1040"/>
      <c r="EHQ28" s="1040"/>
      <c r="EHR28" s="1040"/>
      <c r="EHS28" s="1040"/>
      <c r="EHT28" s="1040"/>
      <c r="EHU28" s="1040"/>
      <c r="EHV28" s="1040"/>
      <c r="EHW28" s="1040"/>
      <c r="EHX28" s="1040"/>
      <c r="EHY28" s="1040"/>
      <c r="EHZ28" s="1040"/>
      <c r="EIA28" s="1040"/>
      <c r="EIB28" s="1040"/>
      <c r="EIC28" s="1040"/>
      <c r="EID28" s="1040"/>
      <c r="EIE28" s="1040"/>
      <c r="EIF28" s="1040"/>
      <c r="EIG28" s="1040"/>
      <c r="EIH28" s="1040"/>
      <c r="EII28" s="1040"/>
      <c r="EIJ28" s="1040"/>
      <c r="EIK28" s="1040"/>
      <c r="EIL28" s="1040"/>
      <c r="EIM28" s="1040"/>
      <c r="EIN28" s="1040"/>
      <c r="EIO28" s="1040"/>
      <c r="EIP28" s="1040"/>
      <c r="EIQ28" s="1040"/>
      <c r="EIR28" s="1040"/>
      <c r="EIS28" s="1040"/>
      <c r="EIT28" s="1040"/>
      <c r="EIU28" s="1040"/>
      <c r="EIV28" s="1040"/>
      <c r="EIW28" s="1040"/>
      <c r="EIX28" s="1040"/>
      <c r="EIY28" s="1040"/>
      <c r="EIZ28" s="1040"/>
      <c r="EJA28" s="1040"/>
      <c r="EJB28" s="1040"/>
      <c r="EJC28" s="1040"/>
      <c r="EJD28" s="1040"/>
      <c r="EJE28" s="1040"/>
      <c r="EJF28" s="1040"/>
      <c r="EJG28" s="1040"/>
      <c r="EJH28" s="1040"/>
      <c r="EJI28" s="1040"/>
      <c r="EJJ28" s="1040"/>
      <c r="EJK28" s="1040"/>
      <c r="EJL28" s="1040"/>
      <c r="EJM28" s="1040"/>
      <c r="EJN28" s="1040"/>
      <c r="EJO28" s="1040"/>
      <c r="EJP28" s="1040"/>
      <c r="EJQ28" s="1040"/>
      <c r="EJR28" s="1040"/>
      <c r="EJS28" s="1040"/>
      <c r="EJT28" s="1040"/>
      <c r="EJU28" s="1040"/>
      <c r="EJV28" s="1040"/>
      <c r="EJW28" s="1040"/>
      <c r="EJX28" s="1040"/>
      <c r="EJY28" s="1040"/>
      <c r="EJZ28" s="1040"/>
      <c r="EKA28" s="1040"/>
      <c r="EKB28" s="1040"/>
      <c r="EKC28" s="1040"/>
      <c r="EKD28" s="1040"/>
      <c r="EKE28" s="1040"/>
      <c r="EKF28" s="1040"/>
      <c r="EKG28" s="1040"/>
      <c r="EKH28" s="1040"/>
      <c r="EKI28" s="1040"/>
      <c r="EKJ28" s="1040"/>
      <c r="EKK28" s="1040"/>
      <c r="EKL28" s="1040"/>
      <c r="EKM28" s="1040"/>
      <c r="EKN28" s="1040"/>
      <c r="EKO28" s="1040"/>
      <c r="EKP28" s="1040"/>
      <c r="EKQ28" s="1040"/>
      <c r="EKR28" s="1040"/>
      <c r="EKS28" s="1040"/>
      <c r="EKT28" s="1040"/>
      <c r="EKU28" s="1040"/>
      <c r="EKV28" s="1040"/>
      <c r="EKW28" s="1040"/>
      <c r="EKX28" s="1040"/>
      <c r="EKY28" s="1040"/>
      <c r="EKZ28" s="1040"/>
      <c r="ELA28" s="1040"/>
      <c r="ELB28" s="1040"/>
      <c r="ELC28" s="1040"/>
      <c r="ELD28" s="1040"/>
      <c r="ELE28" s="1040"/>
      <c r="ELF28" s="1040"/>
      <c r="ELG28" s="1040"/>
      <c r="ELH28" s="1040"/>
      <c r="ELI28" s="1040"/>
      <c r="ELJ28" s="1040"/>
      <c r="ELK28" s="1040"/>
      <c r="ELL28" s="1040"/>
      <c r="ELM28" s="1040"/>
      <c r="ELN28" s="1040"/>
      <c r="ELO28" s="1040"/>
      <c r="ELP28" s="1040"/>
      <c r="ELQ28" s="1040"/>
      <c r="ELR28" s="1040"/>
      <c r="ELS28" s="1040"/>
      <c r="ELT28" s="1040"/>
      <c r="ELU28" s="1040"/>
      <c r="ELV28" s="1040"/>
      <c r="ELW28" s="1040"/>
      <c r="ELX28" s="1040"/>
      <c r="ELY28" s="1040"/>
      <c r="ELZ28" s="1040"/>
      <c r="EMA28" s="1040"/>
      <c r="EMB28" s="1040"/>
      <c r="EMC28" s="1040"/>
      <c r="EMD28" s="1040"/>
      <c r="EME28" s="1040"/>
      <c r="EMF28" s="1040"/>
      <c r="EMG28" s="1040"/>
      <c r="EMH28" s="1040"/>
      <c r="EMI28" s="1040"/>
      <c r="EMJ28" s="1040"/>
      <c r="EMK28" s="1040"/>
      <c r="EML28" s="1040"/>
      <c r="EMM28" s="1040"/>
      <c r="EMN28" s="1040"/>
      <c r="EMO28" s="1040"/>
      <c r="EMP28" s="1040"/>
      <c r="EMQ28" s="1040"/>
      <c r="EMR28" s="1040"/>
      <c r="EMS28" s="1040"/>
      <c r="EMT28" s="1040"/>
      <c r="EMU28" s="1040"/>
      <c r="EMV28" s="1040"/>
      <c r="EMW28" s="1040"/>
      <c r="EMX28" s="1040"/>
      <c r="EMY28" s="1040"/>
      <c r="EMZ28" s="1040"/>
      <c r="ENA28" s="1040"/>
      <c r="ENB28" s="1040"/>
      <c r="ENC28" s="1040"/>
      <c r="END28" s="1040"/>
      <c r="ENE28" s="1040"/>
      <c r="ENF28" s="1040"/>
      <c r="ENG28" s="1040"/>
      <c r="ENH28" s="1040"/>
      <c r="ENI28" s="1040"/>
      <c r="ENJ28" s="1040"/>
      <c r="ENK28" s="1040"/>
      <c r="ENL28" s="1040"/>
      <c r="ENM28" s="1040"/>
      <c r="ENN28" s="1040"/>
      <c r="ENO28" s="1040"/>
      <c r="ENP28" s="1040"/>
      <c r="ENQ28" s="1040"/>
      <c r="ENR28" s="1040"/>
      <c r="ENS28" s="1040"/>
      <c r="ENT28" s="1040"/>
      <c r="ENU28" s="1040"/>
      <c r="ENV28" s="1040"/>
      <c r="ENW28" s="1040"/>
      <c r="ENX28" s="1040"/>
      <c r="ENY28" s="1040"/>
      <c r="ENZ28" s="1040"/>
      <c r="EOA28" s="1040"/>
      <c r="EOB28" s="1040"/>
      <c r="EOC28" s="1040"/>
      <c r="EOD28" s="1040"/>
      <c r="EOE28" s="1040"/>
      <c r="EOF28" s="1040"/>
      <c r="EOG28" s="1040"/>
      <c r="EOH28" s="1040"/>
      <c r="EOI28" s="1040"/>
      <c r="EOJ28" s="1040"/>
      <c r="EOK28" s="1040"/>
      <c r="EOL28" s="1040"/>
      <c r="EOM28" s="1040"/>
      <c r="EON28" s="1040"/>
      <c r="EOO28" s="1040"/>
      <c r="EOP28" s="1040"/>
      <c r="EOQ28" s="1040"/>
      <c r="EOR28" s="1040"/>
      <c r="EOS28" s="1040"/>
      <c r="EOT28" s="1040"/>
      <c r="EOU28" s="1040"/>
      <c r="EOV28" s="1040"/>
      <c r="EOW28" s="1040"/>
      <c r="EOX28" s="1040"/>
      <c r="EOY28" s="1040"/>
      <c r="EOZ28" s="1040"/>
      <c r="EPA28" s="1040"/>
      <c r="EPB28" s="1040"/>
      <c r="EPC28" s="1040"/>
      <c r="EPD28" s="1040"/>
      <c r="EPE28" s="1040"/>
      <c r="EPF28" s="1040"/>
      <c r="EPG28" s="1040"/>
      <c r="EPH28" s="1040"/>
      <c r="EPI28" s="1040"/>
      <c r="EPJ28" s="1040"/>
      <c r="EPK28" s="1040"/>
      <c r="EPL28" s="1040"/>
      <c r="EPM28" s="1040"/>
      <c r="EPN28" s="1040"/>
      <c r="EPO28" s="1040"/>
      <c r="EPP28" s="1040"/>
      <c r="EPQ28" s="1040"/>
      <c r="EPR28" s="1040"/>
      <c r="EPS28" s="1040"/>
      <c r="EPT28" s="1040"/>
      <c r="EPU28" s="1040"/>
      <c r="EPV28" s="1040"/>
      <c r="EPW28" s="1040"/>
      <c r="EPX28" s="1040"/>
      <c r="EPY28" s="1040"/>
      <c r="EPZ28" s="1040"/>
      <c r="EQA28" s="1040"/>
      <c r="EQB28" s="1040"/>
      <c r="EQC28" s="1040"/>
      <c r="EQD28" s="1040"/>
      <c r="EQE28" s="1040"/>
      <c r="EQF28" s="1040"/>
      <c r="EQG28" s="1040"/>
      <c r="EQH28" s="1040"/>
      <c r="EQI28" s="1040"/>
      <c r="EQJ28" s="1040"/>
      <c r="EQK28" s="1040"/>
      <c r="EQL28" s="1040"/>
      <c r="EQM28" s="1040"/>
      <c r="EQN28" s="1040"/>
      <c r="EQO28" s="1040"/>
      <c r="EQP28" s="1040"/>
      <c r="EQQ28" s="1040"/>
      <c r="EQR28" s="1040"/>
      <c r="EQS28" s="1040"/>
      <c r="EQT28" s="1040"/>
      <c r="EQU28" s="1040"/>
      <c r="EQV28" s="1040"/>
      <c r="EQW28" s="1040"/>
      <c r="EQX28" s="1040"/>
      <c r="EQY28" s="1040"/>
      <c r="EQZ28" s="1040"/>
      <c r="ERA28" s="1040"/>
      <c r="ERB28" s="1040"/>
      <c r="ERC28" s="1040"/>
      <c r="ERD28" s="1040"/>
      <c r="ERE28" s="1040"/>
      <c r="ERF28" s="1040"/>
      <c r="ERG28" s="1040"/>
      <c r="ERH28" s="1040"/>
      <c r="ERI28" s="1040"/>
      <c r="ERJ28" s="1040"/>
      <c r="ERK28" s="1040"/>
      <c r="ERL28" s="1040"/>
      <c r="ERM28" s="1040"/>
      <c r="ERN28" s="1040"/>
      <c r="ERO28" s="1040"/>
      <c r="ERP28" s="1040"/>
      <c r="ERQ28" s="1040"/>
      <c r="ERR28" s="1040"/>
      <c r="ERS28" s="1040"/>
      <c r="ERT28" s="1040"/>
      <c r="ERU28" s="1040"/>
      <c r="ERV28" s="1040"/>
      <c r="ERW28" s="1040"/>
      <c r="ERX28" s="1040"/>
      <c r="ERY28" s="1040"/>
      <c r="ERZ28" s="1040"/>
      <c r="ESA28" s="1040"/>
      <c r="ESB28" s="1040"/>
      <c r="ESC28" s="1040"/>
      <c r="ESD28" s="1040"/>
      <c r="ESE28" s="1040"/>
      <c r="ESF28" s="1040"/>
      <c r="ESG28" s="1040"/>
      <c r="ESH28" s="1040"/>
      <c r="ESI28" s="1040"/>
      <c r="ESJ28" s="1040"/>
      <c r="ESK28" s="1040"/>
      <c r="ESL28" s="1040"/>
      <c r="ESM28" s="1040"/>
      <c r="ESN28" s="1040"/>
      <c r="ESO28" s="1040"/>
      <c r="ESP28" s="1040"/>
      <c r="ESQ28" s="1040"/>
      <c r="ESR28" s="1040"/>
      <c r="ESS28" s="1040"/>
      <c r="EST28" s="1040"/>
      <c r="ESU28" s="1040"/>
      <c r="ESV28" s="1040"/>
      <c r="ESW28" s="1040"/>
      <c r="ESX28" s="1040"/>
      <c r="ESY28" s="1040"/>
      <c r="ESZ28" s="1040"/>
      <c r="ETA28" s="1040"/>
      <c r="ETB28" s="1040"/>
      <c r="ETC28" s="1040"/>
      <c r="ETD28" s="1040"/>
      <c r="ETE28" s="1040"/>
      <c r="ETF28" s="1040"/>
      <c r="ETG28" s="1040"/>
      <c r="ETH28" s="1040"/>
      <c r="ETI28" s="1040"/>
      <c r="ETJ28" s="1040"/>
      <c r="ETK28" s="1040"/>
      <c r="ETL28" s="1040"/>
      <c r="ETM28" s="1040"/>
      <c r="ETN28" s="1040"/>
      <c r="ETO28" s="1040"/>
      <c r="ETP28" s="1040"/>
      <c r="ETQ28" s="1040"/>
      <c r="ETR28" s="1040"/>
      <c r="ETS28" s="1040"/>
      <c r="ETT28" s="1040"/>
      <c r="ETU28" s="1040"/>
      <c r="ETV28" s="1040"/>
      <c r="ETW28" s="1040"/>
      <c r="ETX28" s="1040"/>
      <c r="ETY28" s="1040"/>
      <c r="ETZ28" s="1040"/>
      <c r="EUA28" s="1040"/>
      <c r="EUB28" s="1040"/>
      <c r="EUC28" s="1040"/>
      <c r="EUD28" s="1040"/>
      <c r="EUE28" s="1040"/>
      <c r="EUF28" s="1040"/>
      <c r="EUG28" s="1040"/>
      <c r="EUH28" s="1040"/>
      <c r="EUI28" s="1040"/>
      <c r="EUJ28" s="1040"/>
      <c r="EUK28" s="1040"/>
      <c r="EUL28" s="1040"/>
      <c r="EUM28" s="1040"/>
      <c r="EUN28" s="1040"/>
      <c r="EUO28" s="1040"/>
      <c r="EUP28" s="1040"/>
      <c r="EUQ28" s="1040"/>
      <c r="EUR28" s="1040"/>
      <c r="EUS28" s="1040"/>
      <c r="EUT28" s="1040"/>
      <c r="EUU28" s="1040"/>
      <c r="EUV28" s="1040"/>
      <c r="EUW28" s="1040"/>
      <c r="EUX28" s="1040"/>
      <c r="EUY28" s="1040"/>
      <c r="EUZ28" s="1040"/>
      <c r="EVA28" s="1040"/>
      <c r="EVB28" s="1040"/>
      <c r="EVC28" s="1040"/>
      <c r="EVD28" s="1040"/>
      <c r="EVE28" s="1040"/>
      <c r="EVF28" s="1040"/>
      <c r="EVG28" s="1040"/>
      <c r="EVH28" s="1040"/>
      <c r="EVI28" s="1040"/>
      <c r="EVJ28" s="1040"/>
      <c r="EVK28" s="1040"/>
      <c r="EVL28" s="1040"/>
      <c r="EVM28" s="1040"/>
      <c r="EVN28" s="1040"/>
      <c r="EVO28" s="1040"/>
      <c r="EVP28" s="1040"/>
      <c r="EVQ28" s="1040"/>
      <c r="EVR28" s="1040"/>
      <c r="EVS28" s="1040"/>
      <c r="EVT28" s="1040"/>
      <c r="EVU28" s="1040"/>
      <c r="EVV28" s="1040"/>
      <c r="EVW28" s="1040"/>
      <c r="EVX28" s="1040"/>
      <c r="EVY28" s="1040"/>
      <c r="EVZ28" s="1040"/>
      <c r="EWA28" s="1040"/>
      <c r="EWB28" s="1040"/>
      <c r="EWC28" s="1040"/>
      <c r="EWD28" s="1040"/>
      <c r="EWE28" s="1040"/>
      <c r="EWF28" s="1040"/>
      <c r="EWG28" s="1040"/>
      <c r="EWH28" s="1040"/>
      <c r="EWI28" s="1040"/>
      <c r="EWJ28" s="1040"/>
      <c r="EWK28" s="1040"/>
      <c r="EWL28" s="1040"/>
      <c r="EWM28" s="1040"/>
      <c r="EWN28" s="1040"/>
      <c r="EWO28" s="1040"/>
      <c r="EWP28" s="1040"/>
      <c r="EWQ28" s="1040"/>
      <c r="EWR28" s="1040"/>
      <c r="EWS28" s="1040"/>
      <c r="EWT28" s="1040"/>
      <c r="EWU28" s="1040"/>
      <c r="EWV28" s="1040"/>
      <c r="EWW28" s="1040"/>
      <c r="EWX28" s="1040"/>
      <c r="EWY28" s="1040"/>
      <c r="EWZ28" s="1040"/>
      <c r="EXA28" s="1040"/>
      <c r="EXB28" s="1040"/>
      <c r="EXC28" s="1040"/>
      <c r="EXD28" s="1040"/>
      <c r="EXE28" s="1040"/>
      <c r="EXF28" s="1040"/>
      <c r="EXG28" s="1040"/>
      <c r="EXH28" s="1040"/>
      <c r="EXI28" s="1040"/>
      <c r="EXJ28" s="1040"/>
      <c r="EXK28" s="1040"/>
      <c r="EXL28" s="1040"/>
      <c r="EXM28" s="1040"/>
      <c r="EXN28" s="1040"/>
      <c r="EXO28" s="1040"/>
      <c r="EXP28" s="1040"/>
      <c r="EXQ28" s="1040"/>
      <c r="EXR28" s="1040"/>
      <c r="EXS28" s="1040"/>
      <c r="EXT28" s="1040"/>
      <c r="EXU28" s="1040"/>
      <c r="EXV28" s="1040"/>
      <c r="EXW28" s="1040"/>
      <c r="EXX28" s="1040"/>
      <c r="EXY28" s="1040"/>
      <c r="EXZ28" s="1040"/>
      <c r="EYA28" s="1040"/>
      <c r="EYB28" s="1040"/>
      <c r="EYC28" s="1040"/>
      <c r="EYD28" s="1040"/>
      <c r="EYE28" s="1040"/>
      <c r="EYF28" s="1040"/>
      <c r="EYG28" s="1040"/>
      <c r="EYH28" s="1040"/>
      <c r="EYI28" s="1040"/>
      <c r="EYJ28" s="1040"/>
      <c r="EYK28" s="1040"/>
      <c r="EYL28" s="1040"/>
      <c r="EYM28" s="1040"/>
      <c r="EYN28" s="1040"/>
      <c r="EYO28" s="1040"/>
      <c r="EYP28" s="1040"/>
      <c r="EYQ28" s="1040"/>
      <c r="EYR28" s="1040"/>
      <c r="EYS28" s="1040"/>
      <c r="EYT28" s="1040"/>
      <c r="EYU28" s="1040"/>
      <c r="EYV28" s="1040"/>
      <c r="EYW28" s="1040"/>
      <c r="EYX28" s="1040"/>
      <c r="EYY28" s="1040"/>
      <c r="EYZ28" s="1040"/>
      <c r="EZA28" s="1040"/>
      <c r="EZB28" s="1040"/>
      <c r="EZC28" s="1040"/>
      <c r="EZD28" s="1040"/>
      <c r="EZE28" s="1040"/>
      <c r="EZF28" s="1040"/>
      <c r="EZG28" s="1040"/>
      <c r="EZH28" s="1040"/>
      <c r="EZI28" s="1040"/>
      <c r="EZJ28" s="1040"/>
      <c r="EZK28" s="1040"/>
      <c r="EZL28" s="1040"/>
      <c r="EZM28" s="1040"/>
      <c r="EZN28" s="1040"/>
      <c r="EZO28" s="1040"/>
      <c r="EZP28" s="1040"/>
      <c r="EZQ28" s="1040"/>
      <c r="EZR28" s="1040"/>
      <c r="EZS28" s="1040"/>
      <c r="EZT28" s="1040"/>
      <c r="EZU28" s="1040"/>
      <c r="EZV28" s="1040"/>
      <c r="EZW28" s="1040"/>
      <c r="EZX28" s="1040"/>
      <c r="EZY28" s="1040"/>
      <c r="EZZ28" s="1040"/>
      <c r="FAA28" s="1040"/>
      <c r="FAB28" s="1040"/>
      <c r="FAC28" s="1040"/>
      <c r="FAD28" s="1040"/>
      <c r="FAE28" s="1040"/>
      <c r="FAF28" s="1040"/>
      <c r="FAG28" s="1040"/>
      <c r="FAH28" s="1040"/>
      <c r="FAI28" s="1040"/>
      <c r="FAJ28" s="1040"/>
      <c r="FAK28" s="1040"/>
      <c r="FAL28" s="1040"/>
      <c r="FAM28" s="1040"/>
      <c r="FAN28" s="1040"/>
      <c r="FAO28" s="1040"/>
      <c r="FAP28" s="1040"/>
      <c r="FAQ28" s="1040"/>
      <c r="FAR28" s="1040"/>
      <c r="FAS28" s="1040"/>
      <c r="FAT28" s="1040"/>
      <c r="FAU28" s="1040"/>
      <c r="FAV28" s="1040"/>
      <c r="FAW28" s="1040"/>
      <c r="FAX28" s="1040"/>
      <c r="FAY28" s="1040"/>
      <c r="FAZ28" s="1040"/>
      <c r="FBA28" s="1040"/>
      <c r="FBB28" s="1040"/>
      <c r="FBC28" s="1040"/>
      <c r="FBD28" s="1040"/>
      <c r="FBE28" s="1040"/>
      <c r="FBF28" s="1040"/>
      <c r="FBG28" s="1040"/>
      <c r="FBH28" s="1040"/>
      <c r="FBI28" s="1040"/>
      <c r="FBJ28" s="1040"/>
      <c r="FBK28" s="1040"/>
      <c r="FBL28" s="1040"/>
      <c r="FBM28" s="1040"/>
      <c r="FBN28" s="1040"/>
      <c r="FBO28" s="1040"/>
      <c r="FBP28" s="1040"/>
      <c r="FBQ28" s="1040"/>
      <c r="FBR28" s="1040"/>
      <c r="FBS28" s="1040"/>
      <c r="FBT28" s="1040"/>
      <c r="FBU28" s="1040"/>
      <c r="FBV28" s="1040"/>
      <c r="FBW28" s="1040"/>
      <c r="FBX28" s="1040"/>
      <c r="FBY28" s="1040"/>
      <c r="FBZ28" s="1040"/>
      <c r="FCA28" s="1040"/>
      <c r="FCB28" s="1040"/>
      <c r="FCC28" s="1040"/>
      <c r="FCD28" s="1040"/>
      <c r="FCE28" s="1040"/>
      <c r="FCF28" s="1040"/>
      <c r="FCG28" s="1040"/>
      <c r="FCH28" s="1040"/>
      <c r="FCI28" s="1040"/>
      <c r="FCJ28" s="1040"/>
      <c r="FCK28" s="1040"/>
      <c r="FCL28" s="1040"/>
      <c r="FCM28" s="1040"/>
      <c r="FCN28" s="1040"/>
      <c r="FCO28" s="1040"/>
      <c r="FCP28" s="1040"/>
      <c r="FCQ28" s="1040"/>
      <c r="FCR28" s="1040"/>
      <c r="FCS28" s="1040"/>
      <c r="FCT28" s="1040"/>
      <c r="FCU28" s="1040"/>
      <c r="FCV28" s="1040"/>
      <c r="FCW28" s="1040"/>
      <c r="FCX28" s="1040"/>
      <c r="FCY28" s="1040"/>
      <c r="FCZ28" s="1040"/>
      <c r="FDA28" s="1040"/>
      <c r="FDB28" s="1040"/>
      <c r="FDC28" s="1040"/>
      <c r="FDD28" s="1040"/>
      <c r="FDE28" s="1040"/>
      <c r="FDF28" s="1040"/>
      <c r="FDG28" s="1040"/>
      <c r="FDH28" s="1040"/>
      <c r="FDI28" s="1040"/>
      <c r="FDJ28" s="1040"/>
      <c r="FDK28" s="1040"/>
      <c r="FDL28" s="1040"/>
      <c r="FDM28" s="1040"/>
      <c r="FDN28" s="1040"/>
      <c r="FDO28" s="1040"/>
      <c r="FDP28" s="1040"/>
      <c r="FDQ28" s="1040"/>
      <c r="FDR28" s="1040"/>
      <c r="FDS28" s="1040"/>
      <c r="FDT28" s="1040"/>
      <c r="FDU28" s="1040"/>
      <c r="FDV28" s="1040"/>
      <c r="FDW28" s="1040"/>
      <c r="FDX28" s="1040"/>
      <c r="FDY28" s="1040"/>
      <c r="FDZ28" s="1040"/>
      <c r="FEA28" s="1040"/>
      <c r="FEB28" s="1040"/>
      <c r="FEC28" s="1040"/>
      <c r="FED28" s="1040"/>
      <c r="FEE28" s="1040"/>
      <c r="FEF28" s="1040"/>
      <c r="FEG28" s="1040"/>
      <c r="FEH28" s="1040"/>
      <c r="FEI28" s="1040"/>
      <c r="FEJ28" s="1040"/>
      <c r="FEK28" s="1040"/>
      <c r="FEL28" s="1040"/>
      <c r="FEM28" s="1040"/>
      <c r="FEN28" s="1040"/>
      <c r="FEO28" s="1040"/>
      <c r="FEP28" s="1040"/>
      <c r="FEQ28" s="1040"/>
      <c r="FER28" s="1040"/>
      <c r="FES28" s="1040"/>
      <c r="FET28" s="1040"/>
      <c r="FEU28" s="1040"/>
      <c r="FEV28" s="1040"/>
      <c r="FEW28" s="1040"/>
      <c r="FEX28" s="1040"/>
      <c r="FEY28" s="1040"/>
      <c r="FEZ28" s="1040"/>
      <c r="FFA28" s="1040"/>
      <c r="FFB28" s="1040"/>
      <c r="FFC28" s="1040"/>
      <c r="FFD28" s="1040"/>
      <c r="FFE28" s="1040"/>
      <c r="FFF28" s="1040"/>
      <c r="FFG28" s="1040"/>
      <c r="FFH28" s="1040"/>
      <c r="FFI28" s="1040"/>
      <c r="FFJ28" s="1040"/>
      <c r="FFK28" s="1040"/>
      <c r="FFL28" s="1040"/>
      <c r="FFM28" s="1040"/>
      <c r="FFN28" s="1040"/>
      <c r="FFO28" s="1040"/>
      <c r="FFP28" s="1040"/>
      <c r="FFQ28" s="1040"/>
      <c r="FFR28" s="1040"/>
      <c r="FFS28" s="1040"/>
      <c r="FFT28" s="1040"/>
      <c r="FFU28" s="1040"/>
      <c r="FFV28" s="1040"/>
      <c r="FFW28" s="1040"/>
      <c r="FFX28" s="1040"/>
      <c r="FFY28" s="1040"/>
      <c r="FFZ28" s="1040"/>
      <c r="FGA28" s="1040"/>
      <c r="FGB28" s="1040"/>
      <c r="FGC28" s="1040"/>
      <c r="FGD28" s="1040"/>
      <c r="FGE28" s="1040"/>
      <c r="FGF28" s="1040"/>
      <c r="FGG28" s="1040"/>
      <c r="FGH28" s="1040"/>
      <c r="FGI28" s="1040"/>
      <c r="FGJ28" s="1040"/>
      <c r="FGK28" s="1040"/>
      <c r="FGL28" s="1040"/>
      <c r="FGM28" s="1040"/>
      <c r="FGN28" s="1040"/>
      <c r="FGO28" s="1040"/>
      <c r="FGP28" s="1040"/>
      <c r="FGQ28" s="1040"/>
      <c r="FGR28" s="1040"/>
      <c r="FGS28" s="1040"/>
      <c r="FGT28" s="1040"/>
      <c r="FGU28" s="1040"/>
      <c r="FGV28" s="1040"/>
      <c r="FGW28" s="1040"/>
      <c r="FGX28" s="1040"/>
      <c r="FGY28" s="1040"/>
      <c r="FGZ28" s="1040"/>
      <c r="FHA28" s="1040"/>
      <c r="FHB28" s="1040"/>
      <c r="FHC28" s="1040"/>
      <c r="FHD28" s="1040"/>
      <c r="FHE28" s="1040"/>
      <c r="FHF28" s="1040"/>
      <c r="FHG28" s="1040"/>
      <c r="FHH28" s="1040"/>
      <c r="FHI28" s="1040"/>
      <c r="FHJ28" s="1040"/>
      <c r="FHK28" s="1040"/>
      <c r="FHL28" s="1040"/>
      <c r="FHM28" s="1040"/>
      <c r="FHN28" s="1040"/>
      <c r="FHO28" s="1040"/>
      <c r="FHP28" s="1040"/>
      <c r="FHQ28" s="1040"/>
      <c r="FHR28" s="1040"/>
      <c r="FHS28" s="1040"/>
      <c r="FHT28" s="1040"/>
      <c r="FHU28" s="1040"/>
      <c r="FHV28" s="1040"/>
      <c r="FHW28" s="1040"/>
      <c r="FHX28" s="1040"/>
      <c r="FHY28" s="1040"/>
      <c r="FHZ28" s="1040"/>
      <c r="FIA28" s="1040"/>
      <c r="FIB28" s="1040"/>
      <c r="FIC28" s="1040"/>
      <c r="FID28" s="1040"/>
      <c r="FIE28" s="1040"/>
      <c r="FIF28" s="1040"/>
      <c r="FIG28" s="1040"/>
      <c r="FIH28" s="1040"/>
      <c r="FII28" s="1040"/>
      <c r="FIJ28" s="1040"/>
      <c r="FIK28" s="1040"/>
      <c r="FIL28" s="1040"/>
      <c r="FIM28" s="1040"/>
      <c r="FIN28" s="1040"/>
      <c r="FIO28" s="1040"/>
      <c r="FIP28" s="1040"/>
      <c r="FIQ28" s="1040"/>
      <c r="FIR28" s="1040"/>
      <c r="FIS28" s="1040"/>
      <c r="FIT28" s="1040"/>
      <c r="FIU28" s="1040"/>
      <c r="FIV28" s="1040"/>
      <c r="FIW28" s="1040"/>
      <c r="FIX28" s="1040"/>
      <c r="FIY28" s="1040"/>
      <c r="FIZ28" s="1040"/>
      <c r="FJA28" s="1040"/>
      <c r="FJB28" s="1040"/>
      <c r="FJC28" s="1040"/>
      <c r="FJD28" s="1040"/>
      <c r="FJE28" s="1040"/>
      <c r="FJF28" s="1040"/>
      <c r="FJG28" s="1040"/>
      <c r="FJH28" s="1040"/>
      <c r="FJI28" s="1040"/>
      <c r="FJJ28" s="1040"/>
      <c r="FJK28" s="1040"/>
      <c r="FJL28" s="1040"/>
      <c r="FJM28" s="1040"/>
      <c r="FJN28" s="1040"/>
      <c r="FJO28" s="1040"/>
      <c r="FJP28" s="1040"/>
      <c r="FJQ28" s="1040"/>
      <c r="FJR28" s="1040"/>
      <c r="FJS28" s="1040"/>
      <c r="FJT28" s="1040"/>
      <c r="FJU28" s="1040"/>
      <c r="FJV28" s="1040"/>
      <c r="FJW28" s="1040"/>
      <c r="FJX28" s="1040"/>
      <c r="FJY28" s="1040"/>
      <c r="FJZ28" s="1040"/>
      <c r="FKA28" s="1040"/>
      <c r="FKB28" s="1040"/>
      <c r="FKC28" s="1040"/>
      <c r="FKD28" s="1040"/>
      <c r="FKE28" s="1040"/>
      <c r="FKF28" s="1040"/>
      <c r="FKG28" s="1040"/>
      <c r="FKH28" s="1040"/>
      <c r="FKI28" s="1040"/>
      <c r="FKJ28" s="1040"/>
      <c r="FKK28" s="1040"/>
      <c r="FKL28" s="1040"/>
      <c r="FKM28" s="1040"/>
      <c r="FKN28" s="1040"/>
      <c r="FKO28" s="1040"/>
      <c r="FKP28" s="1040"/>
      <c r="FKQ28" s="1040"/>
      <c r="FKR28" s="1040"/>
      <c r="FKS28" s="1040"/>
      <c r="FKT28" s="1040"/>
      <c r="FKU28" s="1040"/>
      <c r="FKV28" s="1040"/>
      <c r="FKW28" s="1040"/>
      <c r="FKX28" s="1040"/>
      <c r="FKY28" s="1040"/>
      <c r="FKZ28" s="1040"/>
      <c r="FLA28" s="1040"/>
      <c r="FLB28" s="1040"/>
      <c r="FLC28" s="1040"/>
      <c r="FLD28" s="1040"/>
      <c r="FLE28" s="1040"/>
      <c r="FLF28" s="1040"/>
      <c r="FLG28" s="1040"/>
      <c r="FLH28" s="1040"/>
      <c r="FLI28" s="1040"/>
      <c r="FLJ28" s="1040"/>
      <c r="FLK28" s="1040"/>
      <c r="FLL28" s="1040"/>
      <c r="FLM28" s="1040"/>
      <c r="FLN28" s="1040"/>
      <c r="FLO28" s="1040"/>
      <c r="FLP28" s="1040"/>
      <c r="FLQ28" s="1040"/>
      <c r="FLR28" s="1040"/>
      <c r="FLS28" s="1040"/>
      <c r="FLT28" s="1040"/>
      <c r="FLU28" s="1040"/>
      <c r="FLV28" s="1040"/>
      <c r="FLW28" s="1040"/>
      <c r="FLX28" s="1040"/>
      <c r="FLY28" s="1040"/>
      <c r="FLZ28" s="1040"/>
      <c r="FMA28" s="1040"/>
      <c r="FMB28" s="1040"/>
      <c r="FMC28" s="1040"/>
      <c r="FMD28" s="1040"/>
      <c r="FME28" s="1040"/>
      <c r="FMF28" s="1040"/>
      <c r="FMG28" s="1040"/>
      <c r="FMH28" s="1040"/>
      <c r="FMI28" s="1040"/>
      <c r="FMJ28" s="1040"/>
      <c r="FMK28" s="1040"/>
      <c r="FML28" s="1040"/>
      <c r="FMM28" s="1040"/>
      <c r="FMN28" s="1040"/>
      <c r="FMO28" s="1040"/>
      <c r="FMP28" s="1040"/>
      <c r="FMQ28" s="1040"/>
      <c r="FMR28" s="1040"/>
      <c r="FMS28" s="1040"/>
      <c r="FMT28" s="1040"/>
      <c r="FMU28" s="1040"/>
      <c r="FMV28" s="1040"/>
      <c r="FMW28" s="1040"/>
      <c r="FMX28" s="1040"/>
      <c r="FMY28" s="1040"/>
      <c r="FMZ28" s="1040"/>
      <c r="FNA28" s="1040"/>
      <c r="FNB28" s="1040"/>
      <c r="FNC28" s="1040"/>
      <c r="FND28" s="1040"/>
      <c r="FNE28" s="1040"/>
      <c r="FNF28" s="1040"/>
      <c r="FNG28" s="1040"/>
      <c r="FNH28" s="1040"/>
      <c r="FNI28" s="1040"/>
      <c r="FNJ28" s="1040"/>
      <c r="FNK28" s="1040"/>
      <c r="FNL28" s="1040"/>
      <c r="FNM28" s="1040"/>
      <c r="FNN28" s="1040"/>
      <c r="FNO28" s="1040"/>
      <c r="FNP28" s="1040"/>
      <c r="FNQ28" s="1040"/>
      <c r="FNR28" s="1040"/>
      <c r="FNS28" s="1040"/>
      <c r="FNT28" s="1040"/>
      <c r="FNU28" s="1040"/>
      <c r="FNV28" s="1040"/>
      <c r="FNW28" s="1040"/>
      <c r="FNX28" s="1040"/>
      <c r="FNY28" s="1040"/>
      <c r="FNZ28" s="1040"/>
      <c r="FOA28" s="1040"/>
      <c r="FOB28" s="1040"/>
      <c r="FOC28" s="1040"/>
      <c r="FOD28" s="1040"/>
      <c r="FOE28" s="1040"/>
      <c r="FOF28" s="1040"/>
      <c r="FOG28" s="1040"/>
      <c r="FOH28" s="1040"/>
      <c r="FOI28" s="1040"/>
      <c r="FOJ28" s="1040"/>
      <c r="FOK28" s="1040"/>
      <c r="FOL28" s="1040"/>
      <c r="FOM28" s="1040"/>
      <c r="FON28" s="1040"/>
      <c r="FOO28" s="1040"/>
      <c r="FOP28" s="1040"/>
      <c r="FOQ28" s="1040"/>
      <c r="FOR28" s="1040"/>
      <c r="FOS28" s="1040"/>
      <c r="FOT28" s="1040"/>
      <c r="FOU28" s="1040"/>
      <c r="FOV28" s="1040"/>
      <c r="FOW28" s="1040"/>
      <c r="FOX28" s="1040"/>
      <c r="FOY28" s="1040"/>
      <c r="FOZ28" s="1040"/>
      <c r="FPA28" s="1040"/>
      <c r="FPB28" s="1040"/>
      <c r="FPC28" s="1040"/>
      <c r="FPD28" s="1040"/>
      <c r="FPE28" s="1040"/>
      <c r="FPF28" s="1040"/>
      <c r="FPG28" s="1040"/>
      <c r="FPH28" s="1040"/>
      <c r="FPI28" s="1040"/>
      <c r="FPJ28" s="1040"/>
      <c r="FPK28" s="1040"/>
      <c r="FPL28" s="1040"/>
      <c r="FPM28" s="1040"/>
      <c r="FPN28" s="1040"/>
      <c r="FPO28" s="1040"/>
      <c r="FPP28" s="1040"/>
      <c r="FPQ28" s="1040"/>
      <c r="FPR28" s="1040"/>
      <c r="FPS28" s="1040"/>
      <c r="FPT28" s="1040"/>
      <c r="FPU28" s="1040"/>
      <c r="FPV28" s="1040"/>
      <c r="FPW28" s="1040"/>
      <c r="FPX28" s="1040"/>
      <c r="FPY28" s="1040"/>
      <c r="FPZ28" s="1040"/>
      <c r="FQA28" s="1040"/>
      <c r="FQB28" s="1040"/>
      <c r="FQC28" s="1040"/>
      <c r="FQD28" s="1040"/>
      <c r="FQE28" s="1040"/>
      <c r="FQF28" s="1040"/>
      <c r="FQG28" s="1040"/>
      <c r="FQH28" s="1040"/>
      <c r="FQI28" s="1040"/>
      <c r="FQJ28" s="1040"/>
      <c r="FQK28" s="1040"/>
      <c r="FQL28" s="1040"/>
      <c r="FQM28" s="1040"/>
      <c r="FQN28" s="1040"/>
      <c r="FQO28" s="1040"/>
      <c r="FQP28" s="1040"/>
      <c r="FQQ28" s="1040"/>
      <c r="FQR28" s="1040"/>
      <c r="FQS28" s="1040"/>
      <c r="FQT28" s="1040"/>
      <c r="FQU28" s="1040"/>
      <c r="FQV28" s="1040"/>
      <c r="FQW28" s="1040"/>
      <c r="FQX28" s="1040"/>
      <c r="FQY28" s="1040"/>
      <c r="FQZ28" s="1040"/>
      <c r="FRA28" s="1040"/>
      <c r="FRB28" s="1040"/>
      <c r="FRC28" s="1040"/>
      <c r="FRD28" s="1040"/>
      <c r="FRE28" s="1040"/>
      <c r="FRF28" s="1040"/>
      <c r="FRG28" s="1040"/>
      <c r="FRH28" s="1040"/>
      <c r="FRI28" s="1040"/>
      <c r="FRJ28" s="1040"/>
      <c r="FRK28" s="1040"/>
      <c r="FRL28" s="1040"/>
      <c r="FRM28" s="1040"/>
      <c r="FRN28" s="1040"/>
      <c r="FRO28" s="1040"/>
      <c r="FRP28" s="1040"/>
      <c r="FRQ28" s="1040"/>
      <c r="FRR28" s="1040"/>
      <c r="FRS28" s="1040"/>
      <c r="FRT28" s="1040"/>
      <c r="FRU28" s="1040"/>
      <c r="FRV28" s="1040"/>
      <c r="FRW28" s="1040"/>
      <c r="FRX28" s="1040"/>
      <c r="FRY28" s="1040"/>
      <c r="FRZ28" s="1040"/>
      <c r="FSA28" s="1040"/>
      <c r="FSB28" s="1040"/>
      <c r="FSC28" s="1040"/>
      <c r="FSD28" s="1040"/>
      <c r="FSE28" s="1040"/>
      <c r="FSF28" s="1040"/>
      <c r="FSG28" s="1040"/>
      <c r="FSH28" s="1040"/>
      <c r="FSI28" s="1040"/>
      <c r="FSJ28" s="1040"/>
      <c r="FSK28" s="1040"/>
      <c r="FSL28" s="1040"/>
      <c r="FSM28" s="1040"/>
      <c r="FSN28" s="1040"/>
      <c r="FSO28" s="1040"/>
      <c r="FSP28" s="1040"/>
      <c r="FSQ28" s="1040"/>
      <c r="FSR28" s="1040"/>
      <c r="FSS28" s="1040"/>
      <c r="FST28" s="1040"/>
      <c r="FSU28" s="1040"/>
      <c r="FSV28" s="1040"/>
      <c r="FSW28" s="1040"/>
      <c r="FSX28" s="1040"/>
      <c r="FSY28" s="1040"/>
      <c r="FSZ28" s="1040"/>
      <c r="FTA28" s="1040"/>
      <c r="FTB28" s="1040"/>
      <c r="FTC28" s="1040"/>
      <c r="FTD28" s="1040"/>
      <c r="FTE28" s="1040"/>
      <c r="FTF28" s="1040"/>
      <c r="FTG28" s="1040"/>
      <c r="FTH28" s="1040"/>
      <c r="FTI28" s="1040"/>
      <c r="FTJ28" s="1040"/>
      <c r="FTK28" s="1040"/>
      <c r="FTL28" s="1040"/>
      <c r="FTM28" s="1040"/>
      <c r="FTN28" s="1040"/>
      <c r="FTO28" s="1040"/>
      <c r="FTP28" s="1040"/>
      <c r="FTQ28" s="1040"/>
      <c r="FTR28" s="1040"/>
      <c r="FTS28" s="1040"/>
      <c r="FTT28" s="1040"/>
      <c r="FTU28" s="1040"/>
      <c r="FTV28" s="1040"/>
      <c r="FTW28" s="1040"/>
      <c r="FTX28" s="1040"/>
      <c r="FTY28" s="1040"/>
      <c r="FTZ28" s="1040"/>
      <c r="FUA28" s="1040"/>
      <c r="FUB28" s="1040"/>
      <c r="FUC28" s="1040"/>
      <c r="FUD28" s="1040"/>
      <c r="FUE28" s="1040"/>
      <c r="FUF28" s="1040"/>
      <c r="FUG28" s="1040"/>
      <c r="FUH28" s="1040"/>
      <c r="FUI28" s="1040"/>
      <c r="FUJ28" s="1040"/>
      <c r="FUK28" s="1040"/>
      <c r="FUL28" s="1040"/>
      <c r="FUM28" s="1040"/>
      <c r="FUN28" s="1040"/>
      <c r="FUO28" s="1040"/>
      <c r="FUP28" s="1040"/>
      <c r="FUQ28" s="1040"/>
      <c r="FUR28" s="1040"/>
      <c r="FUS28" s="1040"/>
      <c r="FUT28" s="1040"/>
      <c r="FUU28" s="1040"/>
      <c r="FUV28" s="1040"/>
      <c r="FUW28" s="1040"/>
      <c r="FUX28" s="1040"/>
      <c r="FUY28" s="1040"/>
      <c r="FUZ28" s="1040"/>
      <c r="FVA28" s="1040"/>
      <c r="FVB28" s="1040"/>
      <c r="FVC28" s="1040"/>
      <c r="FVD28" s="1040"/>
      <c r="FVE28" s="1040"/>
      <c r="FVF28" s="1040"/>
      <c r="FVG28" s="1040"/>
      <c r="FVH28" s="1040"/>
      <c r="FVI28" s="1040"/>
      <c r="FVJ28" s="1040"/>
      <c r="FVK28" s="1040"/>
      <c r="FVL28" s="1040"/>
      <c r="FVM28" s="1040"/>
      <c r="FVN28" s="1040"/>
      <c r="FVO28" s="1040"/>
      <c r="FVP28" s="1040"/>
      <c r="FVQ28" s="1040"/>
      <c r="FVR28" s="1040"/>
      <c r="FVS28" s="1040"/>
      <c r="FVT28" s="1040"/>
      <c r="FVU28" s="1040"/>
      <c r="FVV28" s="1040"/>
      <c r="FVW28" s="1040"/>
      <c r="FVX28" s="1040"/>
      <c r="FVY28" s="1040"/>
      <c r="FVZ28" s="1040"/>
      <c r="FWA28" s="1040"/>
      <c r="FWB28" s="1040"/>
      <c r="FWC28" s="1040"/>
      <c r="FWD28" s="1040"/>
      <c r="FWE28" s="1040"/>
      <c r="FWF28" s="1040"/>
      <c r="FWG28" s="1040"/>
      <c r="FWH28" s="1040"/>
      <c r="FWI28" s="1040"/>
      <c r="FWJ28" s="1040"/>
      <c r="FWK28" s="1040"/>
      <c r="FWL28" s="1040"/>
      <c r="FWM28" s="1040"/>
      <c r="FWN28" s="1040"/>
      <c r="FWO28" s="1040"/>
      <c r="FWP28" s="1040"/>
      <c r="FWQ28" s="1040"/>
      <c r="FWR28" s="1040"/>
      <c r="FWS28" s="1040"/>
      <c r="FWT28" s="1040"/>
      <c r="FWU28" s="1040"/>
      <c r="FWV28" s="1040"/>
      <c r="FWW28" s="1040"/>
      <c r="FWX28" s="1040"/>
      <c r="FWY28" s="1040"/>
      <c r="FWZ28" s="1040"/>
      <c r="FXA28" s="1040"/>
      <c r="FXB28" s="1040"/>
      <c r="FXC28" s="1040"/>
      <c r="FXD28" s="1040"/>
      <c r="FXE28" s="1040"/>
      <c r="FXF28" s="1040"/>
      <c r="FXG28" s="1040"/>
      <c r="FXH28" s="1040"/>
      <c r="FXI28" s="1040"/>
      <c r="FXJ28" s="1040"/>
      <c r="FXK28" s="1040"/>
      <c r="FXL28" s="1040"/>
      <c r="FXM28" s="1040"/>
      <c r="FXN28" s="1040"/>
      <c r="FXO28" s="1040"/>
      <c r="FXP28" s="1040"/>
      <c r="FXQ28" s="1040"/>
      <c r="FXR28" s="1040"/>
      <c r="FXS28" s="1040"/>
      <c r="FXT28" s="1040"/>
      <c r="FXU28" s="1040"/>
      <c r="FXV28" s="1040"/>
      <c r="FXW28" s="1040"/>
      <c r="FXX28" s="1040"/>
      <c r="FXY28" s="1040"/>
      <c r="FXZ28" s="1040"/>
      <c r="FYA28" s="1040"/>
      <c r="FYB28" s="1040"/>
      <c r="FYC28" s="1040"/>
      <c r="FYD28" s="1040"/>
      <c r="FYE28" s="1040"/>
      <c r="FYF28" s="1040"/>
      <c r="FYG28" s="1040"/>
      <c r="FYH28" s="1040"/>
      <c r="FYI28" s="1040"/>
      <c r="FYJ28" s="1040"/>
      <c r="FYK28" s="1040"/>
      <c r="FYL28" s="1040"/>
      <c r="FYM28" s="1040"/>
      <c r="FYN28" s="1040"/>
      <c r="FYO28" s="1040"/>
      <c r="FYP28" s="1040"/>
      <c r="FYQ28" s="1040"/>
      <c r="FYR28" s="1040"/>
      <c r="FYS28" s="1040"/>
      <c r="FYT28" s="1040"/>
      <c r="FYU28" s="1040"/>
      <c r="FYV28" s="1040"/>
      <c r="FYW28" s="1040"/>
      <c r="FYX28" s="1040"/>
      <c r="FYY28" s="1040"/>
      <c r="FYZ28" s="1040"/>
      <c r="FZA28" s="1040"/>
      <c r="FZB28" s="1040"/>
      <c r="FZC28" s="1040"/>
      <c r="FZD28" s="1040"/>
      <c r="FZE28" s="1040"/>
      <c r="FZF28" s="1040"/>
      <c r="FZG28" s="1040"/>
      <c r="FZH28" s="1040"/>
      <c r="FZI28" s="1040"/>
      <c r="FZJ28" s="1040"/>
      <c r="FZK28" s="1040"/>
      <c r="FZL28" s="1040"/>
      <c r="FZM28" s="1040"/>
      <c r="FZN28" s="1040"/>
      <c r="FZO28" s="1040"/>
      <c r="FZP28" s="1040"/>
      <c r="FZQ28" s="1040"/>
      <c r="FZR28" s="1040"/>
      <c r="FZS28" s="1040"/>
      <c r="FZT28" s="1040"/>
      <c r="FZU28" s="1040"/>
      <c r="FZV28" s="1040"/>
      <c r="FZW28" s="1040"/>
      <c r="FZX28" s="1040"/>
      <c r="FZY28" s="1040"/>
      <c r="FZZ28" s="1040"/>
      <c r="GAA28" s="1040"/>
      <c r="GAB28" s="1040"/>
      <c r="GAC28" s="1040"/>
      <c r="GAD28" s="1040"/>
      <c r="GAE28" s="1040"/>
      <c r="GAF28" s="1040"/>
      <c r="GAG28" s="1040"/>
      <c r="GAH28" s="1040"/>
      <c r="GAI28" s="1040"/>
      <c r="GAJ28" s="1040"/>
      <c r="GAK28" s="1040"/>
      <c r="GAL28" s="1040"/>
      <c r="GAM28" s="1040"/>
      <c r="GAN28" s="1040"/>
      <c r="GAO28" s="1040"/>
      <c r="GAP28" s="1040"/>
      <c r="GAQ28" s="1040"/>
      <c r="GAR28" s="1040"/>
      <c r="GAS28" s="1040"/>
      <c r="GAT28" s="1040"/>
      <c r="GAU28" s="1040"/>
      <c r="GAV28" s="1040"/>
      <c r="GAW28" s="1040"/>
      <c r="GAX28" s="1040"/>
      <c r="GAY28" s="1040"/>
      <c r="GAZ28" s="1040"/>
      <c r="GBA28" s="1040"/>
      <c r="GBB28" s="1040"/>
      <c r="GBC28" s="1040"/>
      <c r="GBD28" s="1040"/>
      <c r="GBE28" s="1040"/>
      <c r="GBF28" s="1040"/>
      <c r="GBG28" s="1040"/>
      <c r="GBH28" s="1040"/>
      <c r="GBI28" s="1040"/>
      <c r="GBJ28" s="1040"/>
      <c r="GBK28" s="1040"/>
      <c r="GBL28" s="1040"/>
      <c r="GBM28" s="1040"/>
      <c r="GBN28" s="1040"/>
      <c r="GBO28" s="1040"/>
      <c r="GBP28" s="1040"/>
      <c r="GBQ28" s="1040"/>
      <c r="GBR28" s="1040"/>
      <c r="GBS28" s="1040"/>
      <c r="GBT28" s="1040"/>
      <c r="GBU28" s="1040"/>
      <c r="GBV28" s="1040"/>
      <c r="GBW28" s="1040"/>
      <c r="GBX28" s="1040"/>
      <c r="GBY28" s="1040"/>
      <c r="GBZ28" s="1040"/>
      <c r="GCA28" s="1040"/>
      <c r="GCB28" s="1040"/>
      <c r="GCC28" s="1040"/>
      <c r="GCD28" s="1040"/>
      <c r="GCE28" s="1040"/>
      <c r="GCF28" s="1040"/>
      <c r="GCG28" s="1040"/>
      <c r="GCH28" s="1040"/>
      <c r="GCI28" s="1040"/>
      <c r="GCJ28" s="1040"/>
      <c r="GCK28" s="1040"/>
      <c r="GCL28" s="1040"/>
      <c r="GCM28" s="1040"/>
      <c r="GCN28" s="1040"/>
      <c r="GCO28" s="1040"/>
      <c r="GCP28" s="1040"/>
      <c r="GCQ28" s="1040"/>
      <c r="GCR28" s="1040"/>
      <c r="GCS28" s="1040"/>
      <c r="GCT28" s="1040"/>
      <c r="GCU28" s="1040"/>
      <c r="GCV28" s="1040"/>
      <c r="GCW28" s="1040"/>
      <c r="GCX28" s="1040"/>
      <c r="GCY28" s="1040"/>
      <c r="GCZ28" s="1040"/>
      <c r="GDA28" s="1040"/>
      <c r="GDB28" s="1040"/>
      <c r="GDC28" s="1040"/>
      <c r="GDD28" s="1040"/>
      <c r="GDE28" s="1040"/>
      <c r="GDF28" s="1040"/>
      <c r="GDG28" s="1040"/>
      <c r="GDH28" s="1040"/>
      <c r="GDI28" s="1040"/>
      <c r="GDJ28" s="1040"/>
      <c r="GDK28" s="1040"/>
      <c r="GDL28" s="1040"/>
      <c r="GDM28" s="1040"/>
      <c r="GDN28" s="1040"/>
      <c r="GDO28" s="1040"/>
      <c r="GDP28" s="1040"/>
      <c r="GDQ28" s="1040"/>
      <c r="GDR28" s="1040"/>
      <c r="GDS28" s="1040"/>
      <c r="GDT28" s="1040"/>
      <c r="GDU28" s="1040"/>
      <c r="GDV28" s="1040"/>
      <c r="GDW28" s="1040"/>
      <c r="GDX28" s="1040"/>
      <c r="GDY28" s="1040"/>
      <c r="GDZ28" s="1040"/>
      <c r="GEA28" s="1040"/>
      <c r="GEB28" s="1040"/>
      <c r="GEC28" s="1040"/>
      <c r="GED28" s="1040"/>
      <c r="GEE28" s="1040"/>
      <c r="GEF28" s="1040"/>
      <c r="GEG28" s="1040"/>
      <c r="GEH28" s="1040"/>
      <c r="GEI28" s="1040"/>
      <c r="GEJ28" s="1040"/>
      <c r="GEK28" s="1040"/>
      <c r="GEL28" s="1040"/>
      <c r="GEM28" s="1040"/>
      <c r="GEN28" s="1040"/>
      <c r="GEO28" s="1040"/>
      <c r="GEP28" s="1040"/>
      <c r="GEQ28" s="1040"/>
      <c r="GER28" s="1040"/>
      <c r="GES28" s="1040"/>
      <c r="GET28" s="1040"/>
      <c r="GEU28" s="1040"/>
      <c r="GEV28" s="1040"/>
      <c r="GEW28" s="1040"/>
      <c r="GEX28" s="1040"/>
      <c r="GEY28" s="1040"/>
      <c r="GEZ28" s="1040"/>
      <c r="GFA28" s="1040"/>
      <c r="GFB28" s="1040"/>
      <c r="GFC28" s="1040"/>
      <c r="GFD28" s="1040"/>
      <c r="GFE28" s="1040"/>
      <c r="GFF28" s="1040"/>
      <c r="GFG28" s="1040"/>
      <c r="GFH28" s="1040"/>
      <c r="GFI28" s="1040"/>
      <c r="GFJ28" s="1040"/>
      <c r="GFK28" s="1040"/>
      <c r="GFL28" s="1040"/>
      <c r="GFM28" s="1040"/>
      <c r="GFN28" s="1040"/>
      <c r="GFO28" s="1040"/>
      <c r="GFP28" s="1040"/>
      <c r="GFQ28" s="1040"/>
      <c r="GFR28" s="1040"/>
      <c r="GFS28" s="1040"/>
      <c r="GFT28" s="1040"/>
      <c r="GFU28" s="1040"/>
      <c r="GFV28" s="1040"/>
      <c r="GFW28" s="1040"/>
      <c r="GFX28" s="1040"/>
      <c r="GFY28" s="1040"/>
      <c r="GFZ28" s="1040"/>
      <c r="GGA28" s="1040"/>
      <c r="GGB28" s="1040"/>
      <c r="GGC28" s="1040"/>
      <c r="GGD28" s="1040"/>
      <c r="GGE28" s="1040"/>
      <c r="GGF28" s="1040"/>
      <c r="GGG28" s="1040"/>
      <c r="GGH28" s="1040"/>
      <c r="GGI28" s="1040"/>
      <c r="GGJ28" s="1040"/>
      <c r="GGK28" s="1040"/>
      <c r="GGL28" s="1040"/>
      <c r="GGM28" s="1040"/>
      <c r="GGN28" s="1040"/>
      <c r="GGO28" s="1040"/>
      <c r="GGP28" s="1040"/>
      <c r="GGQ28" s="1040"/>
      <c r="GGR28" s="1040"/>
      <c r="GGS28" s="1040"/>
      <c r="GGT28" s="1040"/>
      <c r="GGU28" s="1040"/>
      <c r="GGV28" s="1040"/>
      <c r="GGW28" s="1040"/>
      <c r="GGX28" s="1040"/>
      <c r="GGY28" s="1040"/>
      <c r="GGZ28" s="1040"/>
      <c r="GHA28" s="1040"/>
      <c r="GHB28" s="1040"/>
      <c r="GHC28" s="1040"/>
      <c r="GHD28" s="1040"/>
      <c r="GHE28" s="1040"/>
      <c r="GHF28" s="1040"/>
      <c r="GHG28" s="1040"/>
      <c r="GHH28" s="1040"/>
      <c r="GHI28" s="1040"/>
      <c r="GHJ28" s="1040"/>
      <c r="GHK28" s="1040"/>
      <c r="GHL28" s="1040"/>
      <c r="GHM28" s="1040"/>
      <c r="GHN28" s="1040"/>
      <c r="GHO28" s="1040"/>
      <c r="GHP28" s="1040"/>
      <c r="GHQ28" s="1040"/>
      <c r="GHR28" s="1040"/>
      <c r="GHS28" s="1040"/>
      <c r="GHT28" s="1040"/>
      <c r="GHU28" s="1040"/>
      <c r="GHV28" s="1040"/>
      <c r="GHW28" s="1040"/>
      <c r="GHX28" s="1040"/>
      <c r="GHY28" s="1040"/>
      <c r="GHZ28" s="1040"/>
      <c r="GIA28" s="1040"/>
      <c r="GIB28" s="1040"/>
      <c r="GIC28" s="1040"/>
      <c r="GID28" s="1040"/>
      <c r="GIE28" s="1040"/>
      <c r="GIF28" s="1040"/>
      <c r="GIG28" s="1040"/>
      <c r="GIH28" s="1040"/>
      <c r="GII28" s="1040"/>
      <c r="GIJ28" s="1040"/>
      <c r="GIK28" s="1040"/>
      <c r="GIL28" s="1040"/>
      <c r="GIM28" s="1040"/>
      <c r="GIN28" s="1040"/>
      <c r="GIO28" s="1040"/>
      <c r="GIP28" s="1040"/>
      <c r="GIQ28" s="1040"/>
      <c r="GIR28" s="1040"/>
      <c r="GIS28" s="1040"/>
      <c r="GIT28" s="1040"/>
      <c r="GIU28" s="1040"/>
      <c r="GIV28" s="1040"/>
      <c r="GIW28" s="1040"/>
      <c r="GIX28" s="1040"/>
      <c r="GIY28" s="1040"/>
      <c r="GIZ28" s="1040"/>
      <c r="GJA28" s="1040"/>
      <c r="GJB28" s="1040"/>
      <c r="GJC28" s="1040"/>
      <c r="GJD28" s="1040"/>
      <c r="GJE28" s="1040"/>
      <c r="GJF28" s="1040"/>
      <c r="GJG28" s="1040"/>
      <c r="GJH28" s="1040"/>
      <c r="GJI28" s="1040"/>
      <c r="GJJ28" s="1040"/>
      <c r="GJK28" s="1040"/>
      <c r="GJL28" s="1040"/>
      <c r="GJM28" s="1040"/>
      <c r="GJN28" s="1040"/>
      <c r="GJO28" s="1040"/>
      <c r="GJP28" s="1040"/>
      <c r="GJQ28" s="1040"/>
      <c r="GJR28" s="1040"/>
      <c r="GJS28" s="1040"/>
      <c r="GJT28" s="1040"/>
      <c r="GJU28" s="1040"/>
      <c r="GJV28" s="1040"/>
      <c r="GJW28" s="1040"/>
      <c r="GJX28" s="1040"/>
      <c r="GJY28" s="1040"/>
      <c r="GJZ28" s="1040"/>
      <c r="GKA28" s="1040"/>
      <c r="GKB28" s="1040"/>
      <c r="GKC28" s="1040"/>
      <c r="GKD28" s="1040"/>
      <c r="GKE28" s="1040"/>
      <c r="GKF28" s="1040"/>
      <c r="GKG28" s="1040"/>
      <c r="GKH28" s="1040"/>
      <c r="GKI28" s="1040"/>
      <c r="GKJ28" s="1040"/>
      <c r="GKK28" s="1040"/>
      <c r="GKL28" s="1040"/>
      <c r="GKM28" s="1040"/>
      <c r="GKN28" s="1040"/>
      <c r="GKO28" s="1040"/>
      <c r="GKP28" s="1040"/>
      <c r="GKQ28" s="1040"/>
      <c r="GKR28" s="1040"/>
      <c r="GKS28" s="1040"/>
      <c r="GKT28" s="1040"/>
      <c r="GKU28" s="1040"/>
      <c r="GKV28" s="1040"/>
      <c r="GKW28" s="1040"/>
      <c r="GKX28" s="1040"/>
      <c r="GKY28" s="1040"/>
      <c r="GKZ28" s="1040"/>
      <c r="GLA28" s="1040"/>
      <c r="GLB28" s="1040"/>
      <c r="GLC28" s="1040"/>
      <c r="GLD28" s="1040"/>
      <c r="GLE28" s="1040"/>
      <c r="GLF28" s="1040"/>
      <c r="GLG28" s="1040"/>
      <c r="GLH28" s="1040"/>
      <c r="GLI28" s="1040"/>
      <c r="GLJ28" s="1040"/>
      <c r="GLK28" s="1040"/>
      <c r="GLL28" s="1040"/>
      <c r="GLM28" s="1040"/>
      <c r="GLN28" s="1040"/>
      <c r="GLO28" s="1040"/>
      <c r="GLP28" s="1040"/>
      <c r="GLQ28" s="1040"/>
      <c r="GLR28" s="1040"/>
      <c r="GLS28" s="1040"/>
      <c r="GLT28" s="1040"/>
      <c r="GLU28" s="1040"/>
      <c r="GLV28" s="1040"/>
      <c r="GLW28" s="1040"/>
      <c r="GLX28" s="1040"/>
      <c r="GLY28" s="1040"/>
      <c r="GLZ28" s="1040"/>
      <c r="GMA28" s="1040"/>
      <c r="GMB28" s="1040"/>
      <c r="GMC28" s="1040"/>
      <c r="GMD28" s="1040"/>
      <c r="GME28" s="1040"/>
      <c r="GMF28" s="1040"/>
      <c r="GMG28" s="1040"/>
      <c r="GMH28" s="1040"/>
      <c r="GMI28" s="1040"/>
      <c r="GMJ28" s="1040"/>
      <c r="GMK28" s="1040"/>
      <c r="GML28" s="1040"/>
      <c r="GMM28" s="1040"/>
      <c r="GMN28" s="1040"/>
      <c r="GMO28" s="1040"/>
      <c r="GMP28" s="1040"/>
      <c r="GMQ28" s="1040"/>
      <c r="GMR28" s="1040"/>
      <c r="GMS28" s="1040"/>
      <c r="GMT28" s="1040"/>
      <c r="GMU28" s="1040"/>
      <c r="GMV28" s="1040"/>
      <c r="GMW28" s="1040"/>
      <c r="GMX28" s="1040"/>
      <c r="GMY28" s="1040"/>
      <c r="GMZ28" s="1040"/>
      <c r="GNA28" s="1040"/>
      <c r="GNB28" s="1040"/>
      <c r="GNC28" s="1040"/>
      <c r="GND28" s="1040"/>
      <c r="GNE28" s="1040"/>
      <c r="GNF28" s="1040"/>
      <c r="GNG28" s="1040"/>
      <c r="GNH28" s="1040"/>
      <c r="GNI28" s="1040"/>
      <c r="GNJ28" s="1040"/>
      <c r="GNK28" s="1040"/>
      <c r="GNL28" s="1040"/>
      <c r="GNM28" s="1040"/>
      <c r="GNN28" s="1040"/>
      <c r="GNO28" s="1040"/>
      <c r="GNP28" s="1040"/>
      <c r="GNQ28" s="1040"/>
      <c r="GNR28" s="1040"/>
      <c r="GNS28" s="1040"/>
      <c r="GNT28" s="1040"/>
      <c r="GNU28" s="1040"/>
      <c r="GNV28" s="1040"/>
      <c r="GNW28" s="1040"/>
      <c r="GNX28" s="1040"/>
      <c r="GNY28" s="1040"/>
      <c r="GNZ28" s="1040"/>
      <c r="GOA28" s="1040"/>
      <c r="GOB28" s="1040"/>
      <c r="GOC28" s="1040"/>
      <c r="GOD28" s="1040"/>
      <c r="GOE28" s="1040"/>
      <c r="GOF28" s="1040"/>
      <c r="GOG28" s="1040"/>
      <c r="GOH28" s="1040"/>
      <c r="GOI28" s="1040"/>
      <c r="GOJ28" s="1040"/>
      <c r="GOK28" s="1040"/>
      <c r="GOL28" s="1040"/>
      <c r="GOM28" s="1040"/>
      <c r="GON28" s="1040"/>
      <c r="GOO28" s="1040"/>
      <c r="GOP28" s="1040"/>
      <c r="GOQ28" s="1040"/>
      <c r="GOR28" s="1040"/>
      <c r="GOS28" s="1040"/>
      <c r="GOT28" s="1040"/>
      <c r="GOU28" s="1040"/>
      <c r="GOV28" s="1040"/>
      <c r="GOW28" s="1040"/>
      <c r="GOX28" s="1040"/>
      <c r="GOY28" s="1040"/>
      <c r="GOZ28" s="1040"/>
      <c r="GPA28" s="1040"/>
      <c r="GPB28" s="1040"/>
      <c r="GPC28" s="1040"/>
      <c r="GPD28" s="1040"/>
      <c r="GPE28" s="1040"/>
      <c r="GPF28" s="1040"/>
      <c r="GPG28" s="1040"/>
      <c r="GPH28" s="1040"/>
      <c r="GPI28" s="1040"/>
      <c r="GPJ28" s="1040"/>
      <c r="GPK28" s="1040"/>
      <c r="GPL28" s="1040"/>
      <c r="GPM28" s="1040"/>
      <c r="GPN28" s="1040"/>
      <c r="GPO28" s="1040"/>
      <c r="GPP28" s="1040"/>
      <c r="GPQ28" s="1040"/>
      <c r="GPR28" s="1040"/>
      <c r="GPS28" s="1040"/>
      <c r="GPT28" s="1040"/>
      <c r="GPU28" s="1040"/>
      <c r="GPV28" s="1040"/>
      <c r="GPW28" s="1040"/>
      <c r="GPX28" s="1040"/>
      <c r="GPY28" s="1040"/>
      <c r="GPZ28" s="1040"/>
      <c r="GQA28" s="1040"/>
      <c r="GQB28" s="1040"/>
      <c r="GQC28" s="1040"/>
      <c r="GQD28" s="1040"/>
      <c r="GQE28" s="1040"/>
      <c r="GQF28" s="1040"/>
      <c r="GQG28" s="1040"/>
      <c r="GQH28" s="1040"/>
      <c r="GQI28" s="1040"/>
      <c r="GQJ28" s="1040"/>
      <c r="GQK28" s="1040"/>
      <c r="GQL28" s="1040"/>
      <c r="GQM28" s="1040"/>
      <c r="GQN28" s="1040"/>
      <c r="GQO28" s="1040"/>
      <c r="GQP28" s="1040"/>
      <c r="GQQ28" s="1040"/>
      <c r="GQR28" s="1040"/>
      <c r="GQS28" s="1040"/>
      <c r="GQT28" s="1040"/>
      <c r="GQU28" s="1040"/>
      <c r="GQV28" s="1040"/>
      <c r="GQW28" s="1040"/>
      <c r="GQX28" s="1040"/>
      <c r="GQY28" s="1040"/>
      <c r="GQZ28" s="1040"/>
      <c r="GRA28" s="1040"/>
      <c r="GRB28" s="1040"/>
      <c r="GRC28" s="1040"/>
      <c r="GRD28" s="1040"/>
      <c r="GRE28" s="1040"/>
      <c r="GRF28" s="1040"/>
      <c r="GRG28" s="1040"/>
      <c r="GRH28" s="1040"/>
      <c r="GRI28" s="1040"/>
      <c r="GRJ28" s="1040"/>
      <c r="GRK28" s="1040"/>
      <c r="GRL28" s="1040"/>
      <c r="GRM28" s="1040"/>
      <c r="GRN28" s="1040"/>
      <c r="GRO28" s="1040"/>
      <c r="GRP28" s="1040"/>
      <c r="GRQ28" s="1040"/>
      <c r="GRR28" s="1040"/>
      <c r="GRS28" s="1040"/>
      <c r="GRT28" s="1040"/>
      <c r="GRU28" s="1040"/>
      <c r="GRV28" s="1040"/>
      <c r="GRW28" s="1040"/>
      <c r="GRX28" s="1040"/>
      <c r="GRY28" s="1040"/>
      <c r="GRZ28" s="1040"/>
      <c r="GSA28" s="1040"/>
      <c r="GSB28" s="1040"/>
      <c r="GSC28" s="1040"/>
      <c r="GSD28" s="1040"/>
      <c r="GSE28" s="1040"/>
      <c r="GSF28" s="1040"/>
      <c r="GSG28" s="1040"/>
      <c r="GSH28" s="1040"/>
      <c r="GSI28" s="1040"/>
      <c r="GSJ28" s="1040"/>
      <c r="GSK28" s="1040"/>
      <c r="GSL28" s="1040"/>
      <c r="GSM28" s="1040"/>
      <c r="GSN28" s="1040"/>
      <c r="GSO28" s="1040"/>
      <c r="GSP28" s="1040"/>
      <c r="GSQ28" s="1040"/>
      <c r="GSR28" s="1040"/>
      <c r="GSS28" s="1040"/>
      <c r="GST28" s="1040"/>
      <c r="GSU28" s="1040"/>
      <c r="GSV28" s="1040"/>
      <c r="GSW28" s="1040"/>
      <c r="GSX28" s="1040"/>
      <c r="GSY28" s="1040"/>
      <c r="GSZ28" s="1040"/>
      <c r="GTA28" s="1040"/>
      <c r="GTB28" s="1040"/>
      <c r="GTC28" s="1040"/>
      <c r="GTD28" s="1040"/>
      <c r="GTE28" s="1040"/>
      <c r="GTF28" s="1040"/>
      <c r="GTG28" s="1040"/>
      <c r="GTH28" s="1040"/>
      <c r="GTI28" s="1040"/>
      <c r="GTJ28" s="1040"/>
      <c r="GTK28" s="1040"/>
      <c r="GTL28" s="1040"/>
      <c r="GTM28" s="1040"/>
      <c r="GTN28" s="1040"/>
      <c r="GTO28" s="1040"/>
      <c r="GTP28" s="1040"/>
      <c r="GTQ28" s="1040"/>
      <c r="GTR28" s="1040"/>
      <c r="GTS28" s="1040"/>
      <c r="GTT28" s="1040"/>
      <c r="GTU28" s="1040"/>
      <c r="GTV28" s="1040"/>
      <c r="GTW28" s="1040"/>
      <c r="GTX28" s="1040"/>
      <c r="GTY28" s="1040"/>
      <c r="GTZ28" s="1040"/>
      <c r="GUA28" s="1040"/>
      <c r="GUB28" s="1040"/>
      <c r="GUC28" s="1040"/>
      <c r="GUD28" s="1040"/>
      <c r="GUE28" s="1040"/>
      <c r="GUF28" s="1040"/>
      <c r="GUG28" s="1040"/>
      <c r="GUH28" s="1040"/>
      <c r="GUI28" s="1040"/>
      <c r="GUJ28" s="1040"/>
      <c r="GUK28" s="1040"/>
      <c r="GUL28" s="1040"/>
      <c r="GUM28" s="1040"/>
      <c r="GUN28" s="1040"/>
      <c r="GUO28" s="1040"/>
      <c r="GUP28" s="1040"/>
      <c r="GUQ28" s="1040"/>
      <c r="GUR28" s="1040"/>
      <c r="GUS28" s="1040"/>
      <c r="GUT28" s="1040"/>
      <c r="GUU28" s="1040"/>
      <c r="GUV28" s="1040"/>
      <c r="GUW28" s="1040"/>
      <c r="GUX28" s="1040"/>
      <c r="GUY28" s="1040"/>
      <c r="GUZ28" s="1040"/>
      <c r="GVA28" s="1040"/>
      <c r="GVB28" s="1040"/>
      <c r="GVC28" s="1040"/>
      <c r="GVD28" s="1040"/>
      <c r="GVE28" s="1040"/>
      <c r="GVF28" s="1040"/>
      <c r="GVG28" s="1040"/>
      <c r="GVH28" s="1040"/>
      <c r="GVI28" s="1040"/>
      <c r="GVJ28" s="1040"/>
      <c r="GVK28" s="1040"/>
      <c r="GVL28" s="1040"/>
      <c r="GVM28" s="1040"/>
      <c r="GVN28" s="1040"/>
      <c r="GVO28" s="1040"/>
      <c r="GVP28" s="1040"/>
      <c r="GVQ28" s="1040"/>
      <c r="GVR28" s="1040"/>
      <c r="GVS28" s="1040"/>
      <c r="GVT28" s="1040"/>
      <c r="GVU28" s="1040"/>
      <c r="GVV28" s="1040"/>
      <c r="GVW28" s="1040"/>
      <c r="GVX28" s="1040"/>
      <c r="GVY28" s="1040"/>
      <c r="GVZ28" s="1040"/>
      <c r="GWA28" s="1040"/>
      <c r="GWB28" s="1040"/>
      <c r="GWC28" s="1040"/>
      <c r="GWD28" s="1040"/>
      <c r="GWE28" s="1040"/>
      <c r="GWF28" s="1040"/>
      <c r="GWG28" s="1040"/>
      <c r="GWH28" s="1040"/>
      <c r="GWI28" s="1040"/>
      <c r="GWJ28" s="1040"/>
      <c r="GWK28" s="1040"/>
      <c r="GWL28" s="1040"/>
      <c r="GWM28" s="1040"/>
      <c r="GWN28" s="1040"/>
      <c r="GWO28" s="1040"/>
      <c r="GWP28" s="1040"/>
      <c r="GWQ28" s="1040"/>
      <c r="GWR28" s="1040"/>
      <c r="GWS28" s="1040"/>
      <c r="GWT28" s="1040"/>
      <c r="GWU28" s="1040"/>
      <c r="GWV28" s="1040"/>
      <c r="GWW28" s="1040"/>
      <c r="GWX28" s="1040"/>
      <c r="GWY28" s="1040"/>
      <c r="GWZ28" s="1040"/>
      <c r="GXA28" s="1040"/>
      <c r="GXB28" s="1040"/>
      <c r="GXC28" s="1040"/>
      <c r="GXD28" s="1040"/>
      <c r="GXE28" s="1040"/>
      <c r="GXF28" s="1040"/>
      <c r="GXG28" s="1040"/>
      <c r="GXH28" s="1040"/>
      <c r="GXI28" s="1040"/>
      <c r="GXJ28" s="1040"/>
      <c r="GXK28" s="1040"/>
      <c r="GXL28" s="1040"/>
      <c r="GXM28" s="1040"/>
      <c r="GXN28" s="1040"/>
      <c r="GXO28" s="1040"/>
      <c r="GXP28" s="1040"/>
      <c r="GXQ28" s="1040"/>
      <c r="GXR28" s="1040"/>
      <c r="GXS28" s="1040"/>
      <c r="GXT28" s="1040"/>
      <c r="GXU28" s="1040"/>
      <c r="GXV28" s="1040"/>
      <c r="GXW28" s="1040"/>
      <c r="GXX28" s="1040"/>
      <c r="GXY28" s="1040"/>
      <c r="GXZ28" s="1040"/>
      <c r="GYA28" s="1040"/>
      <c r="GYB28" s="1040"/>
      <c r="GYC28" s="1040"/>
      <c r="GYD28" s="1040"/>
      <c r="GYE28" s="1040"/>
      <c r="GYF28" s="1040"/>
      <c r="GYG28" s="1040"/>
      <c r="GYH28" s="1040"/>
      <c r="GYI28" s="1040"/>
      <c r="GYJ28" s="1040"/>
      <c r="GYK28" s="1040"/>
      <c r="GYL28" s="1040"/>
      <c r="GYM28" s="1040"/>
      <c r="GYN28" s="1040"/>
      <c r="GYO28" s="1040"/>
      <c r="GYP28" s="1040"/>
      <c r="GYQ28" s="1040"/>
      <c r="GYR28" s="1040"/>
      <c r="GYS28" s="1040"/>
      <c r="GYT28" s="1040"/>
      <c r="GYU28" s="1040"/>
      <c r="GYV28" s="1040"/>
      <c r="GYW28" s="1040"/>
      <c r="GYX28" s="1040"/>
      <c r="GYY28" s="1040"/>
      <c r="GYZ28" s="1040"/>
      <c r="GZA28" s="1040"/>
      <c r="GZB28" s="1040"/>
      <c r="GZC28" s="1040"/>
      <c r="GZD28" s="1040"/>
      <c r="GZE28" s="1040"/>
      <c r="GZF28" s="1040"/>
      <c r="GZG28" s="1040"/>
      <c r="GZH28" s="1040"/>
      <c r="GZI28" s="1040"/>
      <c r="GZJ28" s="1040"/>
      <c r="GZK28" s="1040"/>
      <c r="GZL28" s="1040"/>
      <c r="GZM28" s="1040"/>
      <c r="GZN28" s="1040"/>
      <c r="GZO28" s="1040"/>
      <c r="GZP28" s="1040"/>
      <c r="GZQ28" s="1040"/>
      <c r="GZR28" s="1040"/>
      <c r="GZS28" s="1040"/>
      <c r="GZT28" s="1040"/>
      <c r="GZU28" s="1040"/>
      <c r="GZV28" s="1040"/>
      <c r="GZW28" s="1040"/>
      <c r="GZX28" s="1040"/>
      <c r="GZY28" s="1040"/>
      <c r="GZZ28" s="1040"/>
      <c r="HAA28" s="1040"/>
      <c r="HAB28" s="1040"/>
      <c r="HAC28" s="1040"/>
      <c r="HAD28" s="1040"/>
      <c r="HAE28" s="1040"/>
      <c r="HAF28" s="1040"/>
      <c r="HAG28" s="1040"/>
      <c r="HAH28" s="1040"/>
      <c r="HAI28" s="1040"/>
      <c r="HAJ28" s="1040"/>
      <c r="HAK28" s="1040"/>
      <c r="HAL28" s="1040"/>
      <c r="HAM28" s="1040"/>
      <c r="HAN28" s="1040"/>
      <c r="HAO28" s="1040"/>
      <c r="HAP28" s="1040"/>
      <c r="HAQ28" s="1040"/>
      <c r="HAR28" s="1040"/>
      <c r="HAS28" s="1040"/>
      <c r="HAT28" s="1040"/>
      <c r="HAU28" s="1040"/>
      <c r="HAV28" s="1040"/>
      <c r="HAW28" s="1040"/>
      <c r="HAX28" s="1040"/>
      <c r="HAY28" s="1040"/>
      <c r="HAZ28" s="1040"/>
      <c r="HBA28" s="1040"/>
      <c r="HBB28" s="1040"/>
      <c r="HBC28" s="1040"/>
      <c r="HBD28" s="1040"/>
      <c r="HBE28" s="1040"/>
      <c r="HBF28" s="1040"/>
      <c r="HBG28" s="1040"/>
      <c r="HBH28" s="1040"/>
      <c r="HBI28" s="1040"/>
      <c r="HBJ28" s="1040"/>
      <c r="HBK28" s="1040"/>
      <c r="HBL28" s="1040"/>
      <c r="HBM28" s="1040"/>
      <c r="HBN28" s="1040"/>
      <c r="HBO28" s="1040"/>
      <c r="HBP28" s="1040"/>
      <c r="HBQ28" s="1040"/>
      <c r="HBR28" s="1040"/>
      <c r="HBS28" s="1040"/>
      <c r="HBT28" s="1040"/>
      <c r="HBU28" s="1040"/>
      <c r="HBV28" s="1040"/>
      <c r="HBW28" s="1040"/>
      <c r="HBX28" s="1040"/>
      <c r="HBY28" s="1040"/>
      <c r="HBZ28" s="1040"/>
      <c r="HCA28" s="1040"/>
      <c r="HCB28" s="1040"/>
      <c r="HCC28" s="1040"/>
      <c r="HCD28" s="1040"/>
      <c r="HCE28" s="1040"/>
      <c r="HCF28" s="1040"/>
      <c r="HCG28" s="1040"/>
      <c r="HCH28" s="1040"/>
      <c r="HCI28" s="1040"/>
      <c r="HCJ28" s="1040"/>
      <c r="HCK28" s="1040"/>
      <c r="HCL28" s="1040"/>
      <c r="HCM28" s="1040"/>
      <c r="HCN28" s="1040"/>
      <c r="HCO28" s="1040"/>
      <c r="HCP28" s="1040"/>
      <c r="HCQ28" s="1040"/>
      <c r="HCR28" s="1040"/>
      <c r="HCS28" s="1040"/>
      <c r="HCT28" s="1040"/>
      <c r="HCU28" s="1040"/>
      <c r="HCV28" s="1040"/>
      <c r="HCW28" s="1040"/>
      <c r="HCX28" s="1040"/>
      <c r="HCY28" s="1040"/>
      <c r="HCZ28" s="1040"/>
      <c r="HDA28" s="1040"/>
      <c r="HDB28" s="1040"/>
      <c r="HDC28" s="1040"/>
      <c r="HDD28" s="1040"/>
      <c r="HDE28" s="1040"/>
      <c r="HDF28" s="1040"/>
      <c r="HDG28" s="1040"/>
      <c r="HDH28" s="1040"/>
      <c r="HDI28" s="1040"/>
      <c r="HDJ28" s="1040"/>
      <c r="HDK28" s="1040"/>
      <c r="HDL28" s="1040"/>
      <c r="HDM28" s="1040"/>
      <c r="HDN28" s="1040"/>
      <c r="HDO28" s="1040"/>
      <c r="HDP28" s="1040"/>
      <c r="HDQ28" s="1040"/>
      <c r="HDR28" s="1040"/>
      <c r="HDS28" s="1040"/>
      <c r="HDT28" s="1040"/>
      <c r="HDU28" s="1040"/>
      <c r="HDV28" s="1040"/>
      <c r="HDW28" s="1040"/>
      <c r="HDX28" s="1040"/>
      <c r="HDY28" s="1040"/>
      <c r="HDZ28" s="1040"/>
      <c r="HEA28" s="1040"/>
      <c r="HEB28" s="1040"/>
      <c r="HEC28" s="1040"/>
      <c r="HED28" s="1040"/>
      <c r="HEE28" s="1040"/>
      <c r="HEF28" s="1040"/>
      <c r="HEG28" s="1040"/>
      <c r="HEH28" s="1040"/>
      <c r="HEI28" s="1040"/>
      <c r="HEJ28" s="1040"/>
      <c r="HEK28" s="1040"/>
      <c r="HEL28" s="1040"/>
      <c r="HEM28" s="1040"/>
      <c r="HEN28" s="1040"/>
      <c r="HEO28" s="1040"/>
      <c r="HEP28" s="1040"/>
      <c r="HEQ28" s="1040"/>
      <c r="HER28" s="1040"/>
      <c r="HES28" s="1040"/>
      <c r="HET28" s="1040"/>
      <c r="HEU28" s="1040"/>
      <c r="HEV28" s="1040"/>
      <c r="HEW28" s="1040"/>
      <c r="HEX28" s="1040"/>
      <c r="HEY28" s="1040"/>
      <c r="HEZ28" s="1040"/>
      <c r="HFA28" s="1040"/>
      <c r="HFB28" s="1040"/>
      <c r="HFC28" s="1040"/>
      <c r="HFD28" s="1040"/>
      <c r="HFE28" s="1040"/>
      <c r="HFF28" s="1040"/>
      <c r="HFG28" s="1040"/>
      <c r="HFH28" s="1040"/>
      <c r="HFI28" s="1040"/>
      <c r="HFJ28" s="1040"/>
      <c r="HFK28" s="1040"/>
      <c r="HFL28" s="1040"/>
      <c r="HFM28" s="1040"/>
      <c r="HFN28" s="1040"/>
      <c r="HFO28" s="1040"/>
      <c r="HFP28" s="1040"/>
      <c r="HFQ28" s="1040"/>
      <c r="HFR28" s="1040"/>
      <c r="HFS28" s="1040"/>
      <c r="HFT28" s="1040"/>
      <c r="HFU28" s="1040"/>
      <c r="HFV28" s="1040"/>
      <c r="HFW28" s="1040"/>
      <c r="HFX28" s="1040"/>
      <c r="HFY28" s="1040"/>
      <c r="HFZ28" s="1040"/>
      <c r="HGA28" s="1040"/>
      <c r="HGB28" s="1040"/>
      <c r="HGC28" s="1040"/>
      <c r="HGD28" s="1040"/>
      <c r="HGE28" s="1040"/>
      <c r="HGF28" s="1040"/>
      <c r="HGG28" s="1040"/>
      <c r="HGH28" s="1040"/>
      <c r="HGI28" s="1040"/>
      <c r="HGJ28" s="1040"/>
      <c r="HGK28" s="1040"/>
      <c r="HGL28" s="1040"/>
      <c r="HGM28" s="1040"/>
      <c r="HGN28" s="1040"/>
      <c r="HGO28" s="1040"/>
      <c r="HGP28" s="1040"/>
      <c r="HGQ28" s="1040"/>
      <c r="HGR28" s="1040"/>
      <c r="HGS28" s="1040"/>
      <c r="HGT28" s="1040"/>
      <c r="HGU28" s="1040"/>
      <c r="HGV28" s="1040"/>
      <c r="HGW28" s="1040"/>
      <c r="HGX28" s="1040"/>
      <c r="HGY28" s="1040"/>
      <c r="HGZ28" s="1040"/>
      <c r="HHA28" s="1040"/>
      <c r="HHB28" s="1040"/>
      <c r="HHC28" s="1040"/>
      <c r="HHD28" s="1040"/>
      <c r="HHE28" s="1040"/>
      <c r="HHF28" s="1040"/>
      <c r="HHG28" s="1040"/>
      <c r="HHH28" s="1040"/>
      <c r="HHI28" s="1040"/>
      <c r="HHJ28" s="1040"/>
      <c r="HHK28" s="1040"/>
      <c r="HHL28" s="1040"/>
      <c r="HHM28" s="1040"/>
      <c r="HHN28" s="1040"/>
      <c r="HHO28" s="1040"/>
      <c r="HHP28" s="1040"/>
      <c r="HHQ28" s="1040"/>
      <c r="HHR28" s="1040"/>
      <c r="HHS28" s="1040"/>
      <c r="HHT28" s="1040"/>
      <c r="HHU28" s="1040"/>
      <c r="HHV28" s="1040"/>
      <c r="HHW28" s="1040"/>
      <c r="HHX28" s="1040"/>
      <c r="HHY28" s="1040"/>
      <c r="HHZ28" s="1040"/>
      <c r="HIA28" s="1040"/>
      <c r="HIB28" s="1040"/>
      <c r="HIC28" s="1040"/>
      <c r="HID28" s="1040"/>
      <c r="HIE28" s="1040"/>
      <c r="HIF28" s="1040"/>
      <c r="HIG28" s="1040"/>
      <c r="HIH28" s="1040"/>
      <c r="HII28" s="1040"/>
      <c r="HIJ28" s="1040"/>
      <c r="HIK28" s="1040"/>
      <c r="HIL28" s="1040"/>
      <c r="HIM28" s="1040"/>
      <c r="HIN28" s="1040"/>
      <c r="HIO28" s="1040"/>
      <c r="HIP28" s="1040"/>
      <c r="HIQ28" s="1040"/>
      <c r="HIR28" s="1040"/>
      <c r="HIS28" s="1040"/>
      <c r="HIT28" s="1040"/>
      <c r="HIU28" s="1040"/>
      <c r="HIV28" s="1040"/>
      <c r="HIW28" s="1040"/>
      <c r="HIX28" s="1040"/>
      <c r="HIY28" s="1040"/>
      <c r="HIZ28" s="1040"/>
      <c r="HJA28" s="1040"/>
      <c r="HJB28" s="1040"/>
      <c r="HJC28" s="1040"/>
      <c r="HJD28" s="1040"/>
      <c r="HJE28" s="1040"/>
      <c r="HJF28" s="1040"/>
      <c r="HJG28" s="1040"/>
      <c r="HJH28" s="1040"/>
      <c r="HJI28" s="1040"/>
      <c r="HJJ28" s="1040"/>
      <c r="HJK28" s="1040"/>
      <c r="HJL28" s="1040"/>
      <c r="HJM28" s="1040"/>
      <c r="HJN28" s="1040"/>
      <c r="HJO28" s="1040"/>
      <c r="HJP28" s="1040"/>
      <c r="HJQ28" s="1040"/>
      <c r="HJR28" s="1040"/>
      <c r="HJS28" s="1040"/>
      <c r="HJT28" s="1040"/>
      <c r="HJU28" s="1040"/>
      <c r="HJV28" s="1040"/>
      <c r="HJW28" s="1040"/>
      <c r="HJX28" s="1040"/>
      <c r="HJY28" s="1040"/>
      <c r="HJZ28" s="1040"/>
      <c r="HKA28" s="1040"/>
      <c r="HKB28" s="1040"/>
      <c r="HKC28" s="1040"/>
      <c r="HKD28" s="1040"/>
      <c r="HKE28" s="1040"/>
      <c r="HKF28" s="1040"/>
      <c r="HKG28" s="1040"/>
      <c r="HKH28" s="1040"/>
      <c r="HKI28" s="1040"/>
      <c r="HKJ28" s="1040"/>
      <c r="HKK28" s="1040"/>
      <c r="HKL28" s="1040"/>
      <c r="HKM28" s="1040"/>
      <c r="HKN28" s="1040"/>
      <c r="HKO28" s="1040"/>
      <c r="HKP28" s="1040"/>
      <c r="HKQ28" s="1040"/>
      <c r="HKR28" s="1040"/>
      <c r="HKS28" s="1040"/>
      <c r="HKT28" s="1040"/>
      <c r="HKU28" s="1040"/>
      <c r="HKV28" s="1040"/>
      <c r="HKW28" s="1040"/>
      <c r="HKX28" s="1040"/>
      <c r="HKY28" s="1040"/>
      <c r="HKZ28" s="1040"/>
      <c r="HLA28" s="1040"/>
      <c r="HLB28" s="1040"/>
      <c r="HLC28" s="1040"/>
      <c r="HLD28" s="1040"/>
      <c r="HLE28" s="1040"/>
      <c r="HLF28" s="1040"/>
      <c r="HLG28" s="1040"/>
      <c r="HLH28" s="1040"/>
      <c r="HLI28" s="1040"/>
      <c r="HLJ28" s="1040"/>
      <c r="HLK28" s="1040"/>
      <c r="HLL28" s="1040"/>
      <c r="HLM28" s="1040"/>
      <c r="HLN28" s="1040"/>
      <c r="HLO28" s="1040"/>
      <c r="HLP28" s="1040"/>
      <c r="HLQ28" s="1040"/>
      <c r="HLR28" s="1040"/>
      <c r="HLS28" s="1040"/>
      <c r="HLT28" s="1040"/>
      <c r="HLU28" s="1040"/>
      <c r="HLV28" s="1040"/>
      <c r="HLW28" s="1040"/>
      <c r="HLX28" s="1040"/>
      <c r="HLY28" s="1040"/>
      <c r="HLZ28" s="1040"/>
      <c r="HMA28" s="1040"/>
      <c r="HMB28" s="1040"/>
      <c r="HMC28" s="1040"/>
      <c r="HMD28" s="1040"/>
      <c r="HME28" s="1040"/>
      <c r="HMF28" s="1040"/>
      <c r="HMG28" s="1040"/>
      <c r="HMH28" s="1040"/>
      <c r="HMI28" s="1040"/>
      <c r="HMJ28" s="1040"/>
      <c r="HMK28" s="1040"/>
      <c r="HML28" s="1040"/>
      <c r="HMM28" s="1040"/>
      <c r="HMN28" s="1040"/>
      <c r="HMO28" s="1040"/>
      <c r="HMP28" s="1040"/>
      <c r="HMQ28" s="1040"/>
      <c r="HMR28" s="1040"/>
      <c r="HMS28" s="1040"/>
      <c r="HMT28" s="1040"/>
      <c r="HMU28" s="1040"/>
      <c r="HMV28" s="1040"/>
      <c r="HMW28" s="1040"/>
      <c r="HMX28" s="1040"/>
      <c r="HMY28" s="1040"/>
      <c r="HMZ28" s="1040"/>
      <c r="HNA28" s="1040"/>
      <c r="HNB28" s="1040"/>
      <c r="HNC28" s="1040"/>
      <c r="HND28" s="1040"/>
      <c r="HNE28" s="1040"/>
      <c r="HNF28" s="1040"/>
      <c r="HNG28" s="1040"/>
      <c r="HNH28" s="1040"/>
      <c r="HNI28" s="1040"/>
      <c r="HNJ28" s="1040"/>
      <c r="HNK28" s="1040"/>
      <c r="HNL28" s="1040"/>
      <c r="HNM28" s="1040"/>
      <c r="HNN28" s="1040"/>
      <c r="HNO28" s="1040"/>
      <c r="HNP28" s="1040"/>
      <c r="HNQ28" s="1040"/>
      <c r="HNR28" s="1040"/>
      <c r="HNS28" s="1040"/>
      <c r="HNT28" s="1040"/>
      <c r="HNU28" s="1040"/>
      <c r="HNV28" s="1040"/>
      <c r="HNW28" s="1040"/>
      <c r="HNX28" s="1040"/>
      <c r="HNY28" s="1040"/>
      <c r="HNZ28" s="1040"/>
      <c r="HOA28" s="1040"/>
      <c r="HOB28" s="1040"/>
      <c r="HOC28" s="1040"/>
      <c r="HOD28" s="1040"/>
      <c r="HOE28" s="1040"/>
      <c r="HOF28" s="1040"/>
      <c r="HOG28" s="1040"/>
      <c r="HOH28" s="1040"/>
      <c r="HOI28" s="1040"/>
      <c r="HOJ28" s="1040"/>
      <c r="HOK28" s="1040"/>
      <c r="HOL28" s="1040"/>
      <c r="HOM28" s="1040"/>
      <c r="HON28" s="1040"/>
      <c r="HOO28" s="1040"/>
      <c r="HOP28" s="1040"/>
      <c r="HOQ28" s="1040"/>
      <c r="HOR28" s="1040"/>
      <c r="HOS28" s="1040"/>
      <c r="HOT28" s="1040"/>
      <c r="HOU28" s="1040"/>
      <c r="HOV28" s="1040"/>
      <c r="HOW28" s="1040"/>
      <c r="HOX28" s="1040"/>
      <c r="HOY28" s="1040"/>
      <c r="HOZ28" s="1040"/>
      <c r="HPA28" s="1040"/>
      <c r="HPB28" s="1040"/>
      <c r="HPC28" s="1040"/>
      <c r="HPD28" s="1040"/>
      <c r="HPE28" s="1040"/>
      <c r="HPF28" s="1040"/>
      <c r="HPG28" s="1040"/>
      <c r="HPH28" s="1040"/>
      <c r="HPI28" s="1040"/>
      <c r="HPJ28" s="1040"/>
      <c r="HPK28" s="1040"/>
      <c r="HPL28" s="1040"/>
      <c r="HPM28" s="1040"/>
      <c r="HPN28" s="1040"/>
      <c r="HPO28" s="1040"/>
      <c r="HPP28" s="1040"/>
      <c r="HPQ28" s="1040"/>
      <c r="HPR28" s="1040"/>
      <c r="HPS28" s="1040"/>
      <c r="HPT28" s="1040"/>
      <c r="HPU28" s="1040"/>
      <c r="HPV28" s="1040"/>
      <c r="HPW28" s="1040"/>
      <c r="HPX28" s="1040"/>
      <c r="HPY28" s="1040"/>
      <c r="HPZ28" s="1040"/>
      <c r="HQA28" s="1040"/>
      <c r="HQB28" s="1040"/>
      <c r="HQC28" s="1040"/>
      <c r="HQD28" s="1040"/>
      <c r="HQE28" s="1040"/>
      <c r="HQF28" s="1040"/>
      <c r="HQG28" s="1040"/>
      <c r="HQH28" s="1040"/>
      <c r="HQI28" s="1040"/>
      <c r="HQJ28" s="1040"/>
      <c r="HQK28" s="1040"/>
      <c r="HQL28" s="1040"/>
      <c r="HQM28" s="1040"/>
      <c r="HQN28" s="1040"/>
      <c r="HQO28" s="1040"/>
      <c r="HQP28" s="1040"/>
      <c r="HQQ28" s="1040"/>
      <c r="HQR28" s="1040"/>
      <c r="HQS28" s="1040"/>
      <c r="HQT28" s="1040"/>
      <c r="HQU28" s="1040"/>
      <c r="HQV28" s="1040"/>
      <c r="HQW28" s="1040"/>
      <c r="HQX28" s="1040"/>
      <c r="HQY28" s="1040"/>
      <c r="HQZ28" s="1040"/>
      <c r="HRA28" s="1040"/>
      <c r="HRB28" s="1040"/>
      <c r="HRC28" s="1040"/>
      <c r="HRD28" s="1040"/>
      <c r="HRE28" s="1040"/>
      <c r="HRF28" s="1040"/>
      <c r="HRG28" s="1040"/>
      <c r="HRH28" s="1040"/>
      <c r="HRI28" s="1040"/>
      <c r="HRJ28" s="1040"/>
      <c r="HRK28" s="1040"/>
      <c r="HRL28" s="1040"/>
      <c r="HRM28" s="1040"/>
      <c r="HRN28" s="1040"/>
      <c r="HRO28" s="1040"/>
      <c r="HRP28" s="1040"/>
      <c r="HRQ28" s="1040"/>
      <c r="HRR28" s="1040"/>
      <c r="HRS28" s="1040"/>
      <c r="HRT28" s="1040"/>
      <c r="HRU28" s="1040"/>
      <c r="HRV28" s="1040"/>
      <c r="HRW28" s="1040"/>
      <c r="HRX28" s="1040"/>
      <c r="HRY28" s="1040"/>
      <c r="HRZ28" s="1040"/>
      <c r="HSA28" s="1040"/>
      <c r="HSB28" s="1040"/>
      <c r="HSC28" s="1040"/>
      <c r="HSD28" s="1040"/>
      <c r="HSE28" s="1040"/>
      <c r="HSF28" s="1040"/>
      <c r="HSG28" s="1040"/>
      <c r="HSH28" s="1040"/>
      <c r="HSI28" s="1040"/>
      <c r="HSJ28" s="1040"/>
      <c r="HSK28" s="1040"/>
      <c r="HSL28" s="1040"/>
      <c r="HSM28" s="1040"/>
      <c r="HSN28" s="1040"/>
      <c r="HSO28" s="1040"/>
      <c r="HSP28" s="1040"/>
      <c r="HSQ28" s="1040"/>
      <c r="HSR28" s="1040"/>
      <c r="HSS28" s="1040"/>
      <c r="HST28" s="1040"/>
      <c r="HSU28" s="1040"/>
      <c r="HSV28" s="1040"/>
      <c r="HSW28" s="1040"/>
      <c r="HSX28" s="1040"/>
      <c r="HSY28" s="1040"/>
      <c r="HSZ28" s="1040"/>
      <c r="HTA28" s="1040"/>
      <c r="HTB28" s="1040"/>
      <c r="HTC28" s="1040"/>
      <c r="HTD28" s="1040"/>
      <c r="HTE28" s="1040"/>
      <c r="HTF28" s="1040"/>
      <c r="HTG28" s="1040"/>
      <c r="HTH28" s="1040"/>
      <c r="HTI28" s="1040"/>
      <c r="HTJ28" s="1040"/>
      <c r="HTK28" s="1040"/>
      <c r="HTL28" s="1040"/>
      <c r="HTM28" s="1040"/>
      <c r="HTN28" s="1040"/>
      <c r="HTO28" s="1040"/>
      <c r="HTP28" s="1040"/>
      <c r="HTQ28" s="1040"/>
      <c r="HTR28" s="1040"/>
      <c r="HTS28" s="1040"/>
      <c r="HTT28" s="1040"/>
      <c r="HTU28" s="1040"/>
      <c r="HTV28" s="1040"/>
      <c r="HTW28" s="1040"/>
      <c r="HTX28" s="1040"/>
      <c r="HTY28" s="1040"/>
      <c r="HTZ28" s="1040"/>
      <c r="HUA28" s="1040"/>
      <c r="HUB28" s="1040"/>
      <c r="HUC28" s="1040"/>
      <c r="HUD28" s="1040"/>
      <c r="HUE28" s="1040"/>
      <c r="HUF28" s="1040"/>
      <c r="HUG28" s="1040"/>
      <c r="HUH28" s="1040"/>
      <c r="HUI28" s="1040"/>
      <c r="HUJ28" s="1040"/>
      <c r="HUK28" s="1040"/>
      <c r="HUL28" s="1040"/>
      <c r="HUM28" s="1040"/>
      <c r="HUN28" s="1040"/>
      <c r="HUO28" s="1040"/>
      <c r="HUP28" s="1040"/>
      <c r="HUQ28" s="1040"/>
      <c r="HUR28" s="1040"/>
      <c r="HUS28" s="1040"/>
      <c r="HUT28" s="1040"/>
      <c r="HUU28" s="1040"/>
      <c r="HUV28" s="1040"/>
      <c r="HUW28" s="1040"/>
      <c r="HUX28" s="1040"/>
      <c r="HUY28" s="1040"/>
      <c r="HUZ28" s="1040"/>
      <c r="HVA28" s="1040"/>
      <c r="HVB28" s="1040"/>
      <c r="HVC28" s="1040"/>
      <c r="HVD28" s="1040"/>
      <c r="HVE28" s="1040"/>
      <c r="HVF28" s="1040"/>
      <c r="HVG28" s="1040"/>
      <c r="HVH28" s="1040"/>
      <c r="HVI28" s="1040"/>
      <c r="HVJ28" s="1040"/>
      <c r="HVK28" s="1040"/>
      <c r="HVL28" s="1040"/>
      <c r="HVM28" s="1040"/>
      <c r="HVN28" s="1040"/>
      <c r="HVO28" s="1040"/>
      <c r="HVP28" s="1040"/>
      <c r="HVQ28" s="1040"/>
      <c r="HVR28" s="1040"/>
      <c r="HVS28" s="1040"/>
      <c r="HVT28" s="1040"/>
      <c r="HVU28" s="1040"/>
      <c r="HVV28" s="1040"/>
      <c r="HVW28" s="1040"/>
      <c r="HVX28" s="1040"/>
      <c r="HVY28" s="1040"/>
      <c r="HVZ28" s="1040"/>
      <c r="HWA28" s="1040"/>
      <c r="HWB28" s="1040"/>
      <c r="HWC28" s="1040"/>
      <c r="HWD28" s="1040"/>
      <c r="HWE28" s="1040"/>
      <c r="HWF28" s="1040"/>
      <c r="HWG28" s="1040"/>
      <c r="HWH28" s="1040"/>
      <c r="HWI28" s="1040"/>
      <c r="HWJ28" s="1040"/>
      <c r="HWK28" s="1040"/>
      <c r="HWL28" s="1040"/>
      <c r="HWM28" s="1040"/>
      <c r="HWN28" s="1040"/>
      <c r="HWO28" s="1040"/>
      <c r="HWP28" s="1040"/>
      <c r="HWQ28" s="1040"/>
      <c r="HWR28" s="1040"/>
      <c r="HWS28" s="1040"/>
      <c r="HWT28" s="1040"/>
      <c r="HWU28" s="1040"/>
      <c r="HWV28" s="1040"/>
      <c r="HWW28" s="1040"/>
      <c r="HWX28" s="1040"/>
      <c r="HWY28" s="1040"/>
      <c r="HWZ28" s="1040"/>
      <c r="HXA28" s="1040"/>
      <c r="HXB28" s="1040"/>
      <c r="HXC28" s="1040"/>
      <c r="HXD28" s="1040"/>
      <c r="HXE28" s="1040"/>
      <c r="HXF28" s="1040"/>
      <c r="HXG28" s="1040"/>
      <c r="HXH28" s="1040"/>
      <c r="HXI28" s="1040"/>
      <c r="HXJ28" s="1040"/>
      <c r="HXK28" s="1040"/>
      <c r="HXL28" s="1040"/>
      <c r="HXM28" s="1040"/>
      <c r="HXN28" s="1040"/>
      <c r="HXO28" s="1040"/>
      <c r="HXP28" s="1040"/>
      <c r="HXQ28" s="1040"/>
      <c r="HXR28" s="1040"/>
      <c r="HXS28" s="1040"/>
      <c r="HXT28" s="1040"/>
      <c r="HXU28" s="1040"/>
      <c r="HXV28" s="1040"/>
      <c r="HXW28" s="1040"/>
      <c r="HXX28" s="1040"/>
      <c r="HXY28" s="1040"/>
      <c r="HXZ28" s="1040"/>
      <c r="HYA28" s="1040"/>
      <c r="HYB28" s="1040"/>
      <c r="HYC28" s="1040"/>
      <c r="HYD28" s="1040"/>
      <c r="HYE28" s="1040"/>
      <c r="HYF28" s="1040"/>
      <c r="HYG28" s="1040"/>
      <c r="HYH28" s="1040"/>
      <c r="HYI28" s="1040"/>
      <c r="HYJ28" s="1040"/>
      <c r="HYK28" s="1040"/>
      <c r="HYL28" s="1040"/>
      <c r="HYM28" s="1040"/>
      <c r="HYN28" s="1040"/>
      <c r="HYO28" s="1040"/>
      <c r="HYP28" s="1040"/>
      <c r="HYQ28" s="1040"/>
      <c r="HYR28" s="1040"/>
      <c r="HYS28" s="1040"/>
      <c r="HYT28" s="1040"/>
      <c r="HYU28" s="1040"/>
      <c r="HYV28" s="1040"/>
      <c r="HYW28" s="1040"/>
      <c r="HYX28" s="1040"/>
      <c r="HYY28" s="1040"/>
      <c r="HYZ28" s="1040"/>
      <c r="HZA28" s="1040"/>
      <c r="HZB28" s="1040"/>
      <c r="HZC28" s="1040"/>
      <c r="HZD28" s="1040"/>
      <c r="HZE28" s="1040"/>
      <c r="HZF28" s="1040"/>
      <c r="HZG28" s="1040"/>
      <c r="HZH28" s="1040"/>
      <c r="HZI28" s="1040"/>
      <c r="HZJ28" s="1040"/>
      <c r="HZK28" s="1040"/>
      <c r="HZL28" s="1040"/>
      <c r="HZM28" s="1040"/>
      <c r="HZN28" s="1040"/>
      <c r="HZO28" s="1040"/>
      <c r="HZP28" s="1040"/>
      <c r="HZQ28" s="1040"/>
      <c r="HZR28" s="1040"/>
      <c r="HZS28" s="1040"/>
      <c r="HZT28" s="1040"/>
      <c r="HZU28" s="1040"/>
      <c r="HZV28" s="1040"/>
      <c r="HZW28" s="1040"/>
      <c r="HZX28" s="1040"/>
      <c r="HZY28" s="1040"/>
      <c r="HZZ28" s="1040"/>
      <c r="IAA28" s="1040"/>
      <c r="IAB28" s="1040"/>
      <c r="IAC28" s="1040"/>
      <c r="IAD28" s="1040"/>
      <c r="IAE28" s="1040"/>
      <c r="IAF28" s="1040"/>
      <c r="IAG28" s="1040"/>
      <c r="IAH28" s="1040"/>
      <c r="IAI28" s="1040"/>
      <c r="IAJ28" s="1040"/>
      <c r="IAK28" s="1040"/>
      <c r="IAL28" s="1040"/>
      <c r="IAM28" s="1040"/>
      <c r="IAN28" s="1040"/>
      <c r="IAO28" s="1040"/>
      <c r="IAP28" s="1040"/>
      <c r="IAQ28" s="1040"/>
      <c r="IAR28" s="1040"/>
      <c r="IAS28" s="1040"/>
      <c r="IAT28" s="1040"/>
      <c r="IAU28" s="1040"/>
      <c r="IAV28" s="1040"/>
      <c r="IAW28" s="1040"/>
      <c r="IAX28" s="1040"/>
      <c r="IAY28" s="1040"/>
      <c r="IAZ28" s="1040"/>
      <c r="IBA28" s="1040"/>
      <c r="IBB28" s="1040"/>
      <c r="IBC28" s="1040"/>
      <c r="IBD28" s="1040"/>
      <c r="IBE28" s="1040"/>
      <c r="IBF28" s="1040"/>
      <c r="IBG28" s="1040"/>
      <c r="IBH28" s="1040"/>
      <c r="IBI28" s="1040"/>
      <c r="IBJ28" s="1040"/>
      <c r="IBK28" s="1040"/>
      <c r="IBL28" s="1040"/>
      <c r="IBM28" s="1040"/>
      <c r="IBN28" s="1040"/>
      <c r="IBO28" s="1040"/>
      <c r="IBP28" s="1040"/>
      <c r="IBQ28" s="1040"/>
      <c r="IBR28" s="1040"/>
      <c r="IBS28" s="1040"/>
      <c r="IBT28" s="1040"/>
      <c r="IBU28" s="1040"/>
      <c r="IBV28" s="1040"/>
      <c r="IBW28" s="1040"/>
      <c r="IBX28" s="1040"/>
      <c r="IBY28" s="1040"/>
      <c r="IBZ28" s="1040"/>
      <c r="ICA28" s="1040"/>
      <c r="ICB28" s="1040"/>
      <c r="ICC28" s="1040"/>
      <c r="ICD28" s="1040"/>
      <c r="ICE28" s="1040"/>
      <c r="ICF28" s="1040"/>
      <c r="ICG28" s="1040"/>
      <c r="ICH28" s="1040"/>
      <c r="ICI28" s="1040"/>
      <c r="ICJ28" s="1040"/>
      <c r="ICK28" s="1040"/>
      <c r="ICL28" s="1040"/>
      <c r="ICM28" s="1040"/>
      <c r="ICN28" s="1040"/>
      <c r="ICO28" s="1040"/>
      <c r="ICP28" s="1040"/>
      <c r="ICQ28" s="1040"/>
      <c r="ICR28" s="1040"/>
      <c r="ICS28" s="1040"/>
      <c r="ICT28" s="1040"/>
      <c r="ICU28" s="1040"/>
      <c r="ICV28" s="1040"/>
      <c r="ICW28" s="1040"/>
      <c r="ICX28" s="1040"/>
      <c r="ICY28" s="1040"/>
      <c r="ICZ28" s="1040"/>
      <c r="IDA28" s="1040"/>
      <c r="IDB28" s="1040"/>
      <c r="IDC28" s="1040"/>
      <c r="IDD28" s="1040"/>
      <c r="IDE28" s="1040"/>
      <c r="IDF28" s="1040"/>
      <c r="IDG28" s="1040"/>
      <c r="IDH28" s="1040"/>
      <c r="IDI28" s="1040"/>
      <c r="IDJ28" s="1040"/>
      <c r="IDK28" s="1040"/>
      <c r="IDL28" s="1040"/>
      <c r="IDM28" s="1040"/>
      <c r="IDN28" s="1040"/>
      <c r="IDO28" s="1040"/>
      <c r="IDP28" s="1040"/>
      <c r="IDQ28" s="1040"/>
      <c r="IDR28" s="1040"/>
      <c r="IDS28" s="1040"/>
      <c r="IDT28" s="1040"/>
      <c r="IDU28" s="1040"/>
      <c r="IDV28" s="1040"/>
      <c r="IDW28" s="1040"/>
      <c r="IDX28" s="1040"/>
      <c r="IDY28" s="1040"/>
      <c r="IDZ28" s="1040"/>
      <c r="IEA28" s="1040"/>
      <c r="IEB28" s="1040"/>
      <c r="IEC28" s="1040"/>
      <c r="IED28" s="1040"/>
      <c r="IEE28" s="1040"/>
      <c r="IEF28" s="1040"/>
      <c r="IEG28" s="1040"/>
      <c r="IEH28" s="1040"/>
      <c r="IEI28" s="1040"/>
      <c r="IEJ28" s="1040"/>
      <c r="IEK28" s="1040"/>
      <c r="IEL28" s="1040"/>
      <c r="IEM28" s="1040"/>
      <c r="IEN28" s="1040"/>
      <c r="IEO28" s="1040"/>
      <c r="IEP28" s="1040"/>
      <c r="IEQ28" s="1040"/>
      <c r="IER28" s="1040"/>
      <c r="IES28" s="1040"/>
      <c r="IET28" s="1040"/>
      <c r="IEU28" s="1040"/>
      <c r="IEV28" s="1040"/>
      <c r="IEW28" s="1040"/>
      <c r="IEX28" s="1040"/>
      <c r="IEY28" s="1040"/>
      <c r="IEZ28" s="1040"/>
      <c r="IFA28" s="1040"/>
      <c r="IFB28" s="1040"/>
      <c r="IFC28" s="1040"/>
      <c r="IFD28" s="1040"/>
      <c r="IFE28" s="1040"/>
      <c r="IFF28" s="1040"/>
      <c r="IFG28" s="1040"/>
      <c r="IFH28" s="1040"/>
      <c r="IFI28" s="1040"/>
      <c r="IFJ28" s="1040"/>
      <c r="IFK28" s="1040"/>
      <c r="IFL28" s="1040"/>
      <c r="IFM28" s="1040"/>
      <c r="IFN28" s="1040"/>
      <c r="IFO28" s="1040"/>
      <c r="IFP28" s="1040"/>
      <c r="IFQ28" s="1040"/>
      <c r="IFR28" s="1040"/>
      <c r="IFS28" s="1040"/>
      <c r="IFT28" s="1040"/>
      <c r="IFU28" s="1040"/>
      <c r="IFV28" s="1040"/>
      <c r="IFW28" s="1040"/>
      <c r="IFX28" s="1040"/>
      <c r="IFY28" s="1040"/>
      <c r="IFZ28" s="1040"/>
      <c r="IGA28" s="1040"/>
      <c r="IGB28" s="1040"/>
      <c r="IGC28" s="1040"/>
      <c r="IGD28" s="1040"/>
      <c r="IGE28" s="1040"/>
      <c r="IGF28" s="1040"/>
      <c r="IGG28" s="1040"/>
      <c r="IGH28" s="1040"/>
      <c r="IGI28" s="1040"/>
      <c r="IGJ28" s="1040"/>
      <c r="IGK28" s="1040"/>
      <c r="IGL28" s="1040"/>
      <c r="IGM28" s="1040"/>
      <c r="IGN28" s="1040"/>
      <c r="IGO28" s="1040"/>
      <c r="IGP28" s="1040"/>
      <c r="IGQ28" s="1040"/>
      <c r="IGR28" s="1040"/>
      <c r="IGS28" s="1040"/>
      <c r="IGT28" s="1040"/>
      <c r="IGU28" s="1040"/>
      <c r="IGV28" s="1040"/>
      <c r="IGW28" s="1040"/>
      <c r="IGX28" s="1040"/>
      <c r="IGY28" s="1040"/>
      <c r="IGZ28" s="1040"/>
      <c r="IHA28" s="1040"/>
      <c r="IHB28" s="1040"/>
      <c r="IHC28" s="1040"/>
      <c r="IHD28" s="1040"/>
      <c r="IHE28" s="1040"/>
      <c r="IHF28" s="1040"/>
      <c r="IHG28" s="1040"/>
      <c r="IHH28" s="1040"/>
      <c r="IHI28" s="1040"/>
      <c r="IHJ28" s="1040"/>
      <c r="IHK28" s="1040"/>
      <c r="IHL28" s="1040"/>
      <c r="IHM28" s="1040"/>
      <c r="IHN28" s="1040"/>
      <c r="IHO28" s="1040"/>
      <c r="IHP28" s="1040"/>
      <c r="IHQ28" s="1040"/>
      <c r="IHR28" s="1040"/>
      <c r="IHS28" s="1040"/>
      <c r="IHT28" s="1040"/>
      <c r="IHU28" s="1040"/>
      <c r="IHV28" s="1040"/>
      <c r="IHW28" s="1040"/>
      <c r="IHX28" s="1040"/>
      <c r="IHY28" s="1040"/>
      <c r="IHZ28" s="1040"/>
      <c r="IIA28" s="1040"/>
      <c r="IIB28" s="1040"/>
      <c r="IIC28" s="1040"/>
      <c r="IID28" s="1040"/>
      <c r="IIE28" s="1040"/>
      <c r="IIF28" s="1040"/>
      <c r="IIG28" s="1040"/>
      <c r="IIH28" s="1040"/>
      <c r="III28" s="1040"/>
      <c r="IIJ28" s="1040"/>
      <c r="IIK28" s="1040"/>
      <c r="IIL28" s="1040"/>
      <c r="IIM28" s="1040"/>
      <c r="IIN28" s="1040"/>
      <c r="IIO28" s="1040"/>
      <c r="IIP28" s="1040"/>
      <c r="IIQ28" s="1040"/>
      <c r="IIR28" s="1040"/>
      <c r="IIS28" s="1040"/>
      <c r="IIT28" s="1040"/>
      <c r="IIU28" s="1040"/>
      <c r="IIV28" s="1040"/>
      <c r="IIW28" s="1040"/>
      <c r="IIX28" s="1040"/>
      <c r="IIY28" s="1040"/>
      <c r="IIZ28" s="1040"/>
      <c r="IJA28" s="1040"/>
      <c r="IJB28" s="1040"/>
      <c r="IJC28" s="1040"/>
      <c r="IJD28" s="1040"/>
      <c r="IJE28" s="1040"/>
      <c r="IJF28" s="1040"/>
      <c r="IJG28" s="1040"/>
      <c r="IJH28" s="1040"/>
      <c r="IJI28" s="1040"/>
      <c r="IJJ28" s="1040"/>
      <c r="IJK28" s="1040"/>
      <c r="IJL28" s="1040"/>
      <c r="IJM28" s="1040"/>
      <c r="IJN28" s="1040"/>
      <c r="IJO28" s="1040"/>
      <c r="IJP28" s="1040"/>
      <c r="IJQ28" s="1040"/>
      <c r="IJR28" s="1040"/>
      <c r="IJS28" s="1040"/>
      <c r="IJT28" s="1040"/>
      <c r="IJU28" s="1040"/>
      <c r="IJV28" s="1040"/>
      <c r="IJW28" s="1040"/>
      <c r="IJX28" s="1040"/>
      <c r="IJY28" s="1040"/>
      <c r="IJZ28" s="1040"/>
      <c r="IKA28" s="1040"/>
      <c r="IKB28" s="1040"/>
      <c r="IKC28" s="1040"/>
      <c r="IKD28" s="1040"/>
      <c r="IKE28" s="1040"/>
      <c r="IKF28" s="1040"/>
      <c r="IKG28" s="1040"/>
      <c r="IKH28" s="1040"/>
      <c r="IKI28" s="1040"/>
      <c r="IKJ28" s="1040"/>
      <c r="IKK28" s="1040"/>
      <c r="IKL28" s="1040"/>
      <c r="IKM28" s="1040"/>
      <c r="IKN28" s="1040"/>
      <c r="IKO28" s="1040"/>
      <c r="IKP28" s="1040"/>
      <c r="IKQ28" s="1040"/>
      <c r="IKR28" s="1040"/>
      <c r="IKS28" s="1040"/>
      <c r="IKT28" s="1040"/>
      <c r="IKU28" s="1040"/>
      <c r="IKV28" s="1040"/>
      <c r="IKW28" s="1040"/>
      <c r="IKX28" s="1040"/>
      <c r="IKY28" s="1040"/>
      <c r="IKZ28" s="1040"/>
      <c r="ILA28" s="1040"/>
      <c r="ILB28" s="1040"/>
      <c r="ILC28" s="1040"/>
      <c r="ILD28" s="1040"/>
      <c r="ILE28" s="1040"/>
      <c r="ILF28" s="1040"/>
      <c r="ILG28" s="1040"/>
      <c r="ILH28" s="1040"/>
      <c r="ILI28" s="1040"/>
      <c r="ILJ28" s="1040"/>
      <c r="ILK28" s="1040"/>
      <c r="ILL28" s="1040"/>
      <c r="ILM28" s="1040"/>
      <c r="ILN28" s="1040"/>
      <c r="ILO28" s="1040"/>
      <c r="ILP28" s="1040"/>
      <c r="ILQ28" s="1040"/>
      <c r="ILR28" s="1040"/>
      <c r="ILS28" s="1040"/>
      <c r="ILT28" s="1040"/>
      <c r="ILU28" s="1040"/>
      <c r="ILV28" s="1040"/>
      <c r="ILW28" s="1040"/>
      <c r="ILX28" s="1040"/>
      <c r="ILY28" s="1040"/>
      <c r="ILZ28" s="1040"/>
      <c r="IMA28" s="1040"/>
      <c r="IMB28" s="1040"/>
      <c r="IMC28" s="1040"/>
      <c r="IMD28" s="1040"/>
      <c r="IME28" s="1040"/>
      <c r="IMF28" s="1040"/>
      <c r="IMG28" s="1040"/>
      <c r="IMH28" s="1040"/>
      <c r="IMI28" s="1040"/>
      <c r="IMJ28" s="1040"/>
      <c r="IMK28" s="1040"/>
      <c r="IML28" s="1040"/>
      <c r="IMM28" s="1040"/>
      <c r="IMN28" s="1040"/>
      <c r="IMO28" s="1040"/>
      <c r="IMP28" s="1040"/>
      <c r="IMQ28" s="1040"/>
      <c r="IMR28" s="1040"/>
      <c r="IMS28" s="1040"/>
      <c r="IMT28" s="1040"/>
      <c r="IMU28" s="1040"/>
      <c r="IMV28" s="1040"/>
      <c r="IMW28" s="1040"/>
      <c r="IMX28" s="1040"/>
      <c r="IMY28" s="1040"/>
      <c r="IMZ28" s="1040"/>
      <c r="INA28" s="1040"/>
      <c r="INB28" s="1040"/>
      <c r="INC28" s="1040"/>
      <c r="IND28" s="1040"/>
      <c r="INE28" s="1040"/>
      <c r="INF28" s="1040"/>
      <c r="ING28" s="1040"/>
      <c r="INH28" s="1040"/>
      <c r="INI28" s="1040"/>
      <c r="INJ28" s="1040"/>
      <c r="INK28" s="1040"/>
      <c r="INL28" s="1040"/>
      <c r="INM28" s="1040"/>
      <c r="INN28" s="1040"/>
      <c r="INO28" s="1040"/>
      <c r="INP28" s="1040"/>
      <c r="INQ28" s="1040"/>
      <c r="INR28" s="1040"/>
      <c r="INS28" s="1040"/>
      <c r="INT28" s="1040"/>
      <c r="INU28" s="1040"/>
      <c r="INV28" s="1040"/>
      <c r="INW28" s="1040"/>
      <c r="INX28" s="1040"/>
      <c r="INY28" s="1040"/>
      <c r="INZ28" s="1040"/>
      <c r="IOA28" s="1040"/>
      <c r="IOB28" s="1040"/>
      <c r="IOC28" s="1040"/>
      <c r="IOD28" s="1040"/>
      <c r="IOE28" s="1040"/>
      <c r="IOF28" s="1040"/>
      <c r="IOG28" s="1040"/>
      <c r="IOH28" s="1040"/>
      <c r="IOI28" s="1040"/>
      <c r="IOJ28" s="1040"/>
      <c r="IOK28" s="1040"/>
      <c r="IOL28" s="1040"/>
      <c r="IOM28" s="1040"/>
      <c r="ION28" s="1040"/>
      <c r="IOO28" s="1040"/>
      <c r="IOP28" s="1040"/>
      <c r="IOQ28" s="1040"/>
      <c r="IOR28" s="1040"/>
      <c r="IOS28" s="1040"/>
      <c r="IOT28" s="1040"/>
      <c r="IOU28" s="1040"/>
      <c r="IOV28" s="1040"/>
      <c r="IOW28" s="1040"/>
      <c r="IOX28" s="1040"/>
      <c r="IOY28" s="1040"/>
      <c r="IOZ28" s="1040"/>
      <c r="IPA28" s="1040"/>
      <c r="IPB28" s="1040"/>
      <c r="IPC28" s="1040"/>
      <c r="IPD28" s="1040"/>
      <c r="IPE28" s="1040"/>
      <c r="IPF28" s="1040"/>
      <c r="IPG28" s="1040"/>
      <c r="IPH28" s="1040"/>
      <c r="IPI28" s="1040"/>
      <c r="IPJ28" s="1040"/>
      <c r="IPK28" s="1040"/>
      <c r="IPL28" s="1040"/>
      <c r="IPM28" s="1040"/>
      <c r="IPN28" s="1040"/>
      <c r="IPO28" s="1040"/>
      <c r="IPP28" s="1040"/>
      <c r="IPQ28" s="1040"/>
      <c r="IPR28" s="1040"/>
      <c r="IPS28" s="1040"/>
      <c r="IPT28" s="1040"/>
      <c r="IPU28" s="1040"/>
      <c r="IPV28" s="1040"/>
      <c r="IPW28" s="1040"/>
      <c r="IPX28" s="1040"/>
      <c r="IPY28" s="1040"/>
      <c r="IPZ28" s="1040"/>
      <c r="IQA28" s="1040"/>
      <c r="IQB28" s="1040"/>
      <c r="IQC28" s="1040"/>
      <c r="IQD28" s="1040"/>
      <c r="IQE28" s="1040"/>
      <c r="IQF28" s="1040"/>
      <c r="IQG28" s="1040"/>
      <c r="IQH28" s="1040"/>
      <c r="IQI28" s="1040"/>
      <c r="IQJ28" s="1040"/>
      <c r="IQK28" s="1040"/>
      <c r="IQL28" s="1040"/>
      <c r="IQM28" s="1040"/>
      <c r="IQN28" s="1040"/>
      <c r="IQO28" s="1040"/>
      <c r="IQP28" s="1040"/>
      <c r="IQQ28" s="1040"/>
      <c r="IQR28" s="1040"/>
      <c r="IQS28" s="1040"/>
      <c r="IQT28" s="1040"/>
      <c r="IQU28" s="1040"/>
      <c r="IQV28" s="1040"/>
      <c r="IQW28" s="1040"/>
      <c r="IQX28" s="1040"/>
      <c r="IQY28" s="1040"/>
      <c r="IQZ28" s="1040"/>
      <c r="IRA28" s="1040"/>
      <c r="IRB28" s="1040"/>
      <c r="IRC28" s="1040"/>
      <c r="IRD28" s="1040"/>
      <c r="IRE28" s="1040"/>
      <c r="IRF28" s="1040"/>
      <c r="IRG28" s="1040"/>
      <c r="IRH28" s="1040"/>
      <c r="IRI28" s="1040"/>
      <c r="IRJ28" s="1040"/>
      <c r="IRK28" s="1040"/>
      <c r="IRL28" s="1040"/>
      <c r="IRM28" s="1040"/>
      <c r="IRN28" s="1040"/>
      <c r="IRO28" s="1040"/>
      <c r="IRP28" s="1040"/>
      <c r="IRQ28" s="1040"/>
      <c r="IRR28" s="1040"/>
      <c r="IRS28" s="1040"/>
      <c r="IRT28" s="1040"/>
      <c r="IRU28" s="1040"/>
      <c r="IRV28" s="1040"/>
      <c r="IRW28" s="1040"/>
      <c r="IRX28" s="1040"/>
      <c r="IRY28" s="1040"/>
      <c r="IRZ28" s="1040"/>
      <c r="ISA28" s="1040"/>
      <c r="ISB28" s="1040"/>
      <c r="ISC28" s="1040"/>
      <c r="ISD28" s="1040"/>
      <c r="ISE28" s="1040"/>
      <c r="ISF28" s="1040"/>
      <c r="ISG28" s="1040"/>
      <c r="ISH28" s="1040"/>
      <c r="ISI28" s="1040"/>
      <c r="ISJ28" s="1040"/>
      <c r="ISK28" s="1040"/>
      <c r="ISL28" s="1040"/>
      <c r="ISM28" s="1040"/>
      <c r="ISN28" s="1040"/>
      <c r="ISO28" s="1040"/>
      <c r="ISP28" s="1040"/>
      <c r="ISQ28" s="1040"/>
      <c r="ISR28" s="1040"/>
      <c r="ISS28" s="1040"/>
      <c r="IST28" s="1040"/>
      <c r="ISU28" s="1040"/>
      <c r="ISV28" s="1040"/>
      <c r="ISW28" s="1040"/>
      <c r="ISX28" s="1040"/>
      <c r="ISY28" s="1040"/>
      <c r="ISZ28" s="1040"/>
      <c r="ITA28" s="1040"/>
      <c r="ITB28" s="1040"/>
      <c r="ITC28" s="1040"/>
      <c r="ITD28" s="1040"/>
      <c r="ITE28" s="1040"/>
      <c r="ITF28" s="1040"/>
      <c r="ITG28" s="1040"/>
      <c r="ITH28" s="1040"/>
      <c r="ITI28" s="1040"/>
      <c r="ITJ28" s="1040"/>
      <c r="ITK28" s="1040"/>
      <c r="ITL28" s="1040"/>
      <c r="ITM28" s="1040"/>
      <c r="ITN28" s="1040"/>
      <c r="ITO28" s="1040"/>
      <c r="ITP28" s="1040"/>
      <c r="ITQ28" s="1040"/>
      <c r="ITR28" s="1040"/>
      <c r="ITS28" s="1040"/>
      <c r="ITT28" s="1040"/>
      <c r="ITU28" s="1040"/>
      <c r="ITV28" s="1040"/>
      <c r="ITW28" s="1040"/>
      <c r="ITX28" s="1040"/>
      <c r="ITY28" s="1040"/>
      <c r="ITZ28" s="1040"/>
      <c r="IUA28" s="1040"/>
      <c r="IUB28" s="1040"/>
      <c r="IUC28" s="1040"/>
      <c r="IUD28" s="1040"/>
      <c r="IUE28" s="1040"/>
      <c r="IUF28" s="1040"/>
      <c r="IUG28" s="1040"/>
      <c r="IUH28" s="1040"/>
      <c r="IUI28" s="1040"/>
      <c r="IUJ28" s="1040"/>
      <c r="IUK28" s="1040"/>
      <c r="IUL28" s="1040"/>
      <c r="IUM28" s="1040"/>
      <c r="IUN28" s="1040"/>
      <c r="IUO28" s="1040"/>
      <c r="IUP28" s="1040"/>
      <c r="IUQ28" s="1040"/>
      <c r="IUR28" s="1040"/>
      <c r="IUS28" s="1040"/>
      <c r="IUT28" s="1040"/>
      <c r="IUU28" s="1040"/>
      <c r="IUV28" s="1040"/>
      <c r="IUW28" s="1040"/>
      <c r="IUX28" s="1040"/>
      <c r="IUY28" s="1040"/>
      <c r="IUZ28" s="1040"/>
      <c r="IVA28" s="1040"/>
      <c r="IVB28" s="1040"/>
      <c r="IVC28" s="1040"/>
      <c r="IVD28" s="1040"/>
      <c r="IVE28" s="1040"/>
      <c r="IVF28" s="1040"/>
      <c r="IVG28" s="1040"/>
      <c r="IVH28" s="1040"/>
      <c r="IVI28" s="1040"/>
      <c r="IVJ28" s="1040"/>
      <c r="IVK28" s="1040"/>
      <c r="IVL28" s="1040"/>
      <c r="IVM28" s="1040"/>
      <c r="IVN28" s="1040"/>
      <c r="IVO28" s="1040"/>
      <c r="IVP28" s="1040"/>
      <c r="IVQ28" s="1040"/>
      <c r="IVR28" s="1040"/>
      <c r="IVS28" s="1040"/>
      <c r="IVT28" s="1040"/>
      <c r="IVU28" s="1040"/>
      <c r="IVV28" s="1040"/>
      <c r="IVW28" s="1040"/>
      <c r="IVX28" s="1040"/>
      <c r="IVY28" s="1040"/>
      <c r="IVZ28" s="1040"/>
      <c r="IWA28" s="1040"/>
      <c r="IWB28" s="1040"/>
      <c r="IWC28" s="1040"/>
      <c r="IWD28" s="1040"/>
      <c r="IWE28" s="1040"/>
      <c r="IWF28" s="1040"/>
      <c r="IWG28" s="1040"/>
      <c r="IWH28" s="1040"/>
      <c r="IWI28" s="1040"/>
      <c r="IWJ28" s="1040"/>
      <c r="IWK28" s="1040"/>
      <c r="IWL28" s="1040"/>
      <c r="IWM28" s="1040"/>
      <c r="IWN28" s="1040"/>
      <c r="IWO28" s="1040"/>
      <c r="IWP28" s="1040"/>
      <c r="IWQ28" s="1040"/>
      <c r="IWR28" s="1040"/>
      <c r="IWS28" s="1040"/>
      <c r="IWT28" s="1040"/>
      <c r="IWU28" s="1040"/>
      <c r="IWV28" s="1040"/>
      <c r="IWW28" s="1040"/>
      <c r="IWX28" s="1040"/>
      <c r="IWY28" s="1040"/>
      <c r="IWZ28" s="1040"/>
      <c r="IXA28" s="1040"/>
      <c r="IXB28" s="1040"/>
      <c r="IXC28" s="1040"/>
      <c r="IXD28" s="1040"/>
      <c r="IXE28" s="1040"/>
      <c r="IXF28" s="1040"/>
      <c r="IXG28" s="1040"/>
      <c r="IXH28" s="1040"/>
      <c r="IXI28" s="1040"/>
      <c r="IXJ28" s="1040"/>
      <c r="IXK28" s="1040"/>
      <c r="IXL28" s="1040"/>
      <c r="IXM28" s="1040"/>
      <c r="IXN28" s="1040"/>
      <c r="IXO28" s="1040"/>
      <c r="IXP28" s="1040"/>
      <c r="IXQ28" s="1040"/>
      <c r="IXR28" s="1040"/>
      <c r="IXS28" s="1040"/>
      <c r="IXT28" s="1040"/>
      <c r="IXU28" s="1040"/>
      <c r="IXV28" s="1040"/>
      <c r="IXW28" s="1040"/>
      <c r="IXX28" s="1040"/>
      <c r="IXY28" s="1040"/>
      <c r="IXZ28" s="1040"/>
      <c r="IYA28" s="1040"/>
      <c r="IYB28" s="1040"/>
      <c r="IYC28" s="1040"/>
      <c r="IYD28" s="1040"/>
      <c r="IYE28" s="1040"/>
      <c r="IYF28" s="1040"/>
      <c r="IYG28" s="1040"/>
      <c r="IYH28" s="1040"/>
      <c r="IYI28" s="1040"/>
      <c r="IYJ28" s="1040"/>
      <c r="IYK28" s="1040"/>
      <c r="IYL28" s="1040"/>
      <c r="IYM28" s="1040"/>
      <c r="IYN28" s="1040"/>
      <c r="IYO28" s="1040"/>
      <c r="IYP28" s="1040"/>
      <c r="IYQ28" s="1040"/>
      <c r="IYR28" s="1040"/>
      <c r="IYS28" s="1040"/>
      <c r="IYT28" s="1040"/>
      <c r="IYU28" s="1040"/>
      <c r="IYV28" s="1040"/>
      <c r="IYW28" s="1040"/>
      <c r="IYX28" s="1040"/>
      <c r="IYY28" s="1040"/>
      <c r="IYZ28" s="1040"/>
      <c r="IZA28" s="1040"/>
      <c r="IZB28" s="1040"/>
      <c r="IZC28" s="1040"/>
      <c r="IZD28" s="1040"/>
      <c r="IZE28" s="1040"/>
      <c r="IZF28" s="1040"/>
      <c r="IZG28" s="1040"/>
      <c r="IZH28" s="1040"/>
      <c r="IZI28" s="1040"/>
      <c r="IZJ28" s="1040"/>
      <c r="IZK28" s="1040"/>
      <c r="IZL28" s="1040"/>
      <c r="IZM28" s="1040"/>
      <c r="IZN28" s="1040"/>
      <c r="IZO28" s="1040"/>
      <c r="IZP28" s="1040"/>
      <c r="IZQ28" s="1040"/>
      <c r="IZR28" s="1040"/>
      <c r="IZS28" s="1040"/>
      <c r="IZT28" s="1040"/>
      <c r="IZU28" s="1040"/>
      <c r="IZV28" s="1040"/>
      <c r="IZW28" s="1040"/>
      <c r="IZX28" s="1040"/>
      <c r="IZY28" s="1040"/>
      <c r="IZZ28" s="1040"/>
      <c r="JAA28" s="1040"/>
      <c r="JAB28" s="1040"/>
      <c r="JAC28" s="1040"/>
      <c r="JAD28" s="1040"/>
      <c r="JAE28" s="1040"/>
      <c r="JAF28" s="1040"/>
      <c r="JAG28" s="1040"/>
      <c r="JAH28" s="1040"/>
      <c r="JAI28" s="1040"/>
      <c r="JAJ28" s="1040"/>
      <c r="JAK28" s="1040"/>
      <c r="JAL28" s="1040"/>
      <c r="JAM28" s="1040"/>
      <c r="JAN28" s="1040"/>
      <c r="JAO28" s="1040"/>
      <c r="JAP28" s="1040"/>
      <c r="JAQ28" s="1040"/>
      <c r="JAR28" s="1040"/>
      <c r="JAS28" s="1040"/>
      <c r="JAT28" s="1040"/>
      <c r="JAU28" s="1040"/>
      <c r="JAV28" s="1040"/>
      <c r="JAW28" s="1040"/>
      <c r="JAX28" s="1040"/>
      <c r="JAY28" s="1040"/>
      <c r="JAZ28" s="1040"/>
      <c r="JBA28" s="1040"/>
      <c r="JBB28" s="1040"/>
      <c r="JBC28" s="1040"/>
      <c r="JBD28" s="1040"/>
      <c r="JBE28" s="1040"/>
      <c r="JBF28" s="1040"/>
      <c r="JBG28" s="1040"/>
      <c r="JBH28" s="1040"/>
      <c r="JBI28" s="1040"/>
      <c r="JBJ28" s="1040"/>
      <c r="JBK28" s="1040"/>
      <c r="JBL28" s="1040"/>
      <c r="JBM28" s="1040"/>
      <c r="JBN28" s="1040"/>
      <c r="JBO28" s="1040"/>
      <c r="JBP28" s="1040"/>
      <c r="JBQ28" s="1040"/>
      <c r="JBR28" s="1040"/>
      <c r="JBS28" s="1040"/>
      <c r="JBT28" s="1040"/>
      <c r="JBU28" s="1040"/>
      <c r="JBV28" s="1040"/>
      <c r="JBW28" s="1040"/>
      <c r="JBX28" s="1040"/>
      <c r="JBY28" s="1040"/>
      <c r="JBZ28" s="1040"/>
      <c r="JCA28" s="1040"/>
      <c r="JCB28" s="1040"/>
      <c r="JCC28" s="1040"/>
      <c r="JCD28" s="1040"/>
      <c r="JCE28" s="1040"/>
      <c r="JCF28" s="1040"/>
      <c r="JCG28" s="1040"/>
      <c r="JCH28" s="1040"/>
      <c r="JCI28" s="1040"/>
      <c r="JCJ28" s="1040"/>
      <c r="JCK28" s="1040"/>
      <c r="JCL28" s="1040"/>
      <c r="JCM28" s="1040"/>
      <c r="JCN28" s="1040"/>
      <c r="JCO28" s="1040"/>
      <c r="JCP28" s="1040"/>
      <c r="JCQ28" s="1040"/>
      <c r="JCR28" s="1040"/>
      <c r="JCS28" s="1040"/>
      <c r="JCT28" s="1040"/>
      <c r="JCU28" s="1040"/>
      <c r="JCV28" s="1040"/>
      <c r="JCW28" s="1040"/>
      <c r="JCX28" s="1040"/>
      <c r="JCY28" s="1040"/>
      <c r="JCZ28" s="1040"/>
      <c r="JDA28" s="1040"/>
      <c r="JDB28" s="1040"/>
      <c r="JDC28" s="1040"/>
      <c r="JDD28" s="1040"/>
      <c r="JDE28" s="1040"/>
      <c r="JDF28" s="1040"/>
      <c r="JDG28" s="1040"/>
      <c r="JDH28" s="1040"/>
      <c r="JDI28" s="1040"/>
      <c r="JDJ28" s="1040"/>
      <c r="JDK28" s="1040"/>
      <c r="JDL28" s="1040"/>
      <c r="JDM28" s="1040"/>
      <c r="JDN28" s="1040"/>
      <c r="JDO28" s="1040"/>
      <c r="JDP28" s="1040"/>
      <c r="JDQ28" s="1040"/>
      <c r="JDR28" s="1040"/>
      <c r="JDS28" s="1040"/>
      <c r="JDT28" s="1040"/>
      <c r="JDU28" s="1040"/>
      <c r="JDV28" s="1040"/>
      <c r="JDW28" s="1040"/>
      <c r="JDX28" s="1040"/>
      <c r="JDY28" s="1040"/>
      <c r="JDZ28" s="1040"/>
      <c r="JEA28" s="1040"/>
      <c r="JEB28" s="1040"/>
      <c r="JEC28" s="1040"/>
      <c r="JED28" s="1040"/>
      <c r="JEE28" s="1040"/>
      <c r="JEF28" s="1040"/>
      <c r="JEG28" s="1040"/>
      <c r="JEH28" s="1040"/>
      <c r="JEI28" s="1040"/>
      <c r="JEJ28" s="1040"/>
      <c r="JEK28" s="1040"/>
      <c r="JEL28" s="1040"/>
      <c r="JEM28" s="1040"/>
      <c r="JEN28" s="1040"/>
      <c r="JEO28" s="1040"/>
      <c r="JEP28" s="1040"/>
      <c r="JEQ28" s="1040"/>
      <c r="JER28" s="1040"/>
      <c r="JES28" s="1040"/>
      <c r="JET28" s="1040"/>
      <c r="JEU28" s="1040"/>
      <c r="JEV28" s="1040"/>
      <c r="JEW28" s="1040"/>
      <c r="JEX28" s="1040"/>
      <c r="JEY28" s="1040"/>
      <c r="JEZ28" s="1040"/>
      <c r="JFA28" s="1040"/>
      <c r="JFB28" s="1040"/>
      <c r="JFC28" s="1040"/>
      <c r="JFD28" s="1040"/>
      <c r="JFE28" s="1040"/>
      <c r="JFF28" s="1040"/>
      <c r="JFG28" s="1040"/>
      <c r="JFH28" s="1040"/>
      <c r="JFI28" s="1040"/>
      <c r="JFJ28" s="1040"/>
      <c r="JFK28" s="1040"/>
      <c r="JFL28" s="1040"/>
      <c r="JFM28" s="1040"/>
      <c r="JFN28" s="1040"/>
      <c r="JFO28" s="1040"/>
      <c r="JFP28" s="1040"/>
      <c r="JFQ28" s="1040"/>
      <c r="JFR28" s="1040"/>
      <c r="JFS28" s="1040"/>
      <c r="JFT28" s="1040"/>
      <c r="JFU28" s="1040"/>
      <c r="JFV28" s="1040"/>
      <c r="JFW28" s="1040"/>
      <c r="JFX28" s="1040"/>
      <c r="JFY28" s="1040"/>
      <c r="JFZ28" s="1040"/>
      <c r="JGA28" s="1040"/>
      <c r="JGB28" s="1040"/>
      <c r="JGC28" s="1040"/>
      <c r="JGD28" s="1040"/>
      <c r="JGE28" s="1040"/>
      <c r="JGF28" s="1040"/>
      <c r="JGG28" s="1040"/>
      <c r="JGH28" s="1040"/>
      <c r="JGI28" s="1040"/>
      <c r="JGJ28" s="1040"/>
      <c r="JGK28" s="1040"/>
      <c r="JGL28" s="1040"/>
      <c r="JGM28" s="1040"/>
      <c r="JGN28" s="1040"/>
      <c r="JGO28" s="1040"/>
      <c r="JGP28" s="1040"/>
      <c r="JGQ28" s="1040"/>
      <c r="JGR28" s="1040"/>
      <c r="JGS28" s="1040"/>
      <c r="JGT28" s="1040"/>
      <c r="JGU28" s="1040"/>
      <c r="JGV28" s="1040"/>
      <c r="JGW28" s="1040"/>
      <c r="JGX28" s="1040"/>
      <c r="JGY28" s="1040"/>
      <c r="JGZ28" s="1040"/>
      <c r="JHA28" s="1040"/>
      <c r="JHB28" s="1040"/>
      <c r="JHC28" s="1040"/>
      <c r="JHD28" s="1040"/>
      <c r="JHE28" s="1040"/>
      <c r="JHF28" s="1040"/>
      <c r="JHG28" s="1040"/>
      <c r="JHH28" s="1040"/>
      <c r="JHI28" s="1040"/>
      <c r="JHJ28" s="1040"/>
      <c r="JHK28" s="1040"/>
      <c r="JHL28" s="1040"/>
      <c r="JHM28" s="1040"/>
      <c r="JHN28" s="1040"/>
      <c r="JHO28" s="1040"/>
      <c r="JHP28" s="1040"/>
      <c r="JHQ28" s="1040"/>
      <c r="JHR28" s="1040"/>
      <c r="JHS28" s="1040"/>
      <c r="JHT28" s="1040"/>
      <c r="JHU28" s="1040"/>
      <c r="JHV28" s="1040"/>
      <c r="JHW28" s="1040"/>
      <c r="JHX28" s="1040"/>
      <c r="JHY28" s="1040"/>
      <c r="JHZ28" s="1040"/>
      <c r="JIA28" s="1040"/>
      <c r="JIB28" s="1040"/>
      <c r="JIC28" s="1040"/>
      <c r="JID28" s="1040"/>
      <c r="JIE28" s="1040"/>
      <c r="JIF28" s="1040"/>
      <c r="JIG28" s="1040"/>
      <c r="JIH28" s="1040"/>
      <c r="JII28" s="1040"/>
      <c r="JIJ28" s="1040"/>
      <c r="JIK28" s="1040"/>
      <c r="JIL28" s="1040"/>
      <c r="JIM28" s="1040"/>
      <c r="JIN28" s="1040"/>
      <c r="JIO28" s="1040"/>
      <c r="JIP28" s="1040"/>
      <c r="JIQ28" s="1040"/>
      <c r="JIR28" s="1040"/>
      <c r="JIS28" s="1040"/>
      <c r="JIT28" s="1040"/>
      <c r="JIU28" s="1040"/>
      <c r="JIV28" s="1040"/>
      <c r="JIW28" s="1040"/>
      <c r="JIX28" s="1040"/>
      <c r="JIY28" s="1040"/>
      <c r="JIZ28" s="1040"/>
      <c r="JJA28" s="1040"/>
      <c r="JJB28" s="1040"/>
      <c r="JJC28" s="1040"/>
      <c r="JJD28" s="1040"/>
      <c r="JJE28" s="1040"/>
      <c r="JJF28" s="1040"/>
      <c r="JJG28" s="1040"/>
      <c r="JJH28" s="1040"/>
      <c r="JJI28" s="1040"/>
      <c r="JJJ28" s="1040"/>
      <c r="JJK28" s="1040"/>
      <c r="JJL28" s="1040"/>
      <c r="JJM28" s="1040"/>
      <c r="JJN28" s="1040"/>
      <c r="JJO28" s="1040"/>
      <c r="JJP28" s="1040"/>
      <c r="JJQ28" s="1040"/>
      <c r="JJR28" s="1040"/>
      <c r="JJS28" s="1040"/>
      <c r="JJT28" s="1040"/>
      <c r="JJU28" s="1040"/>
      <c r="JJV28" s="1040"/>
      <c r="JJW28" s="1040"/>
      <c r="JJX28" s="1040"/>
      <c r="JJY28" s="1040"/>
      <c r="JJZ28" s="1040"/>
      <c r="JKA28" s="1040"/>
      <c r="JKB28" s="1040"/>
      <c r="JKC28" s="1040"/>
      <c r="JKD28" s="1040"/>
      <c r="JKE28" s="1040"/>
      <c r="JKF28" s="1040"/>
      <c r="JKG28" s="1040"/>
      <c r="JKH28" s="1040"/>
      <c r="JKI28" s="1040"/>
      <c r="JKJ28" s="1040"/>
      <c r="JKK28" s="1040"/>
      <c r="JKL28" s="1040"/>
      <c r="JKM28" s="1040"/>
      <c r="JKN28" s="1040"/>
      <c r="JKO28" s="1040"/>
      <c r="JKP28" s="1040"/>
      <c r="JKQ28" s="1040"/>
      <c r="JKR28" s="1040"/>
      <c r="JKS28" s="1040"/>
      <c r="JKT28" s="1040"/>
      <c r="JKU28" s="1040"/>
      <c r="JKV28" s="1040"/>
      <c r="JKW28" s="1040"/>
      <c r="JKX28" s="1040"/>
      <c r="JKY28" s="1040"/>
      <c r="JKZ28" s="1040"/>
      <c r="JLA28" s="1040"/>
      <c r="JLB28" s="1040"/>
      <c r="JLC28" s="1040"/>
      <c r="JLD28" s="1040"/>
      <c r="JLE28" s="1040"/>
      <c r="JLF28" s="1040"/>
      <c r="JLG28" s="1040"/>
      <c r="JLH28" s="1040"/>
      <c r="JLI28" s="1040"/>
      <c r="JLJ28" s="1040"/>
      <c r="JLK28" s="1040"/>
      <c r="JLL28" s="1040"/>
      <c r="JLM28" s="1040"/>
      <c r="JLN28" s="1040"/>
      <c r="JLO28" s="1040"/>
      <c r="JLP28" s="1040"/>
      <c r="JLQ28" s="1040"/>
      <c r="JLR28" s="1040"/>
      <c r="JLS28" s="1040"/>
      <c r="JLT28" s="1040"/>
      <c r="JLU28" s="1040"/>
      <c r="JLV28" s="1040"/>
      <c r="JLW28" s="1040"/>
      <c r="JLX28" s="1040"/>
      <c r="JLY28" s="1040"/>
      <c r="JLZ28" s="1040"/>
      <c r="JMA28" s="1040"/>
      <c r="JMB28" s="1040"/>
      <c r="JMC28" s="1040"/>
      <c r="JMD28" s="1040"/>
      <c r="JME28" s="1040"/>
      <c r="JMF28" s="1040"/>
      <c r="JMG28" s="1040"/>
      <c r="JMH28" s="1040"/>
      <c r="JMI28" s="1040"/>
      <c r="JMJ28" s="1040"/>
      <c r="JMK28" s="1040"/>
      <c r="JML28" s="1040"/>
      <c r="JMM28" s="1040"/>
      <c r="JMN28" s="1040"/>
      <c r="JMO28" s="1040"/>
      <c r="JMP28" s="1040"/>
      <c r="JMQ28" s="1040"/>
      <c r="JMR28" s="1040"/>
      <c r="JMS28" s="1040"/>
      <c r="JMT28" s="1040"/>
      <c r="JMU28" s="1040"/>
      <c r="JMV28" s="1040"/>
      <c r="JMW28" s="1040"/>
      <c r="JMX28" s="1040"/>
      <c r="JMY28" s="1040"/>
      <c r="JMZ28" s="1040"/>
      <c r="JNA28" s="1040"/>
      <c r="JNB28" s="1040"/>
      <c r="JNC28" s="1040"/>
      <c r="JND28" s="1040"/>
      <c r="JNE28" s="1040"/>
      <c r="JNF28" s="1040"/>
      <c r="JNG28" s="1040"/>
      <c r="JNH28" s="1040"/>
      <c r="JNI28" s="1040"/>
      <c r="JNJ28" s="1040"/>
      <c r="JNK28" s="1040"/>
      <c r="JNL28" s="1040"/>
      <c r="JNM28" s="1040"/>
      <c r="JNN28" s="1040"/>
      <c r="JNO28" s="1040"/>
      <c r="JNP28" s="1040"/>
      <c r="JNQ28" s="1040"/>
      <c r="JNR28" s="1040"/>
      <c r="JNS28" s="1040"/>
      <c r="JNT28" s="1040"/>
      <c r="JNU28" s="1040"/>
      <c r="JNV28" s="1040"/>
      <c r="JNW28" s="1040"/>
      <c r="JNX28" s="1040"/>
      <c r="JNY28" s="1040"/>
      <c r="JNZ28" s="1040"/>
      <c r="JOA28" s="1040"/>
      <c r="JOB28" s="1040"/>
      <c r="JOC28" s="1040"/>
      <c r="JOD28" s="1040"/>
      <c r="JOE28" s="1040"/>
      <c r="JOF28" s="1040"/>
      <c r="JOG28" s="1040"/>
      <c r="JOH28" s="1040"/>
      <c r="JOI28" s="1040"/>
      <c r="JOJ28" s="1040"/>
      <c r="JOK28" s="1040"/>
      <c r="JOL28" s="1040"/>
      <c r="JOM28" s="1040"/>
      <c r="JON28" s="1040"/>
      <c r="JOO28" s="1040"/>
      <c r="JOP28" s="1040"/>
      <c r="JOQ28" s="1040"/>
      <c r="JOR28" s="1040"/>
      <c r="JOS28" s="1040"/>
      <c r="JOT28" s="1040"/>
      <c r="JOU28" s="1040"/>
      <c r="JOV28" s="1040"/>
      <c r="JOW28" s="1040"/>
      <c r="JOX28" s="1040"/>
      <c r="JOY28" s="1040"/>
      <c r="JOZ28" s="1040"/>
      <c r="JPA28" s="1040"/>
      <c r="JPB28" s="1040"/>
      <c r="JPC28" s="1040"/>
      <c r="JPD28" s="1040"/>
      <c r="JPE28" s="1040"/>
      <c r="JPF28" s="1040"/>
      <c r="JPG28" s="1040"/>
      <c r="JPH28" s="1040"/>
      <c r="JPI28" s="1040"/>
      <c r="JPJ28" s="1040"/>
      <c r="JPK28" s="1040"/>
      <c r="JPL28" s="1040"/>
      <c r="JPM28" s="1040"/>
      <c r="JPN28" s="1040"/>
      <c r="JPO28" s="1040"/>
      <c r="JPP28" s="1040"/>
      <c r="JPQ28" s="1040"/>
      <c r="JPR28" s="1040"/>
      <c r="JPS28" s="1040"/>
      <c r="JPT28" s="1040"/>
      <c r="JPU28" s="1040"/>
      <c r="JPV28" s="1040"/>
      <c r="JPW28" s="1040"/>
      <c r="JPX28" s="1040"/>
      <c r="JPY28" s="1040"/>
      <c r="JPZ28" s="1040"/>
      <c r="JQA28" s="1040"/>
      <c r="JQB28" s="1040"/>
      <c r="JQC28" s="1040"/>
      <c r="JQD28" s="1040"/>
      <c r="JQE28" s="1040"/>
      <c r="JQF28" s="1040"/>
      <c r="JQG28" s="1040"/>
      <c r="JQH28" s="1040"/>
      <c r="JQI28" s="1040"/>
      <c r="JQJ28" s="1040"/>
      <c r="JQK28" s="1040"/>
      <c r="JQL28" s="1040"/>
      <c r="JQM28" s="1040"/>
      <c r="JQN28" s="1040"/>
      <c r="JQO28" s="1040"/>
      <c r="JQP28" s="1040"/>
      <c r="JQQ28" s="1040"/>
      <c r="JQR28" s="1040"/>
      <c r="JQS28" s="1040"/>
      <c r="JQT28" s="1040"/>
      <c r="JQU28" s="1040"/>
      <c r="JQV28" s="1040"/>
      <c r="JQW28" s="1040"/>
      <c r="JQX28" s="1040"/>
      <c r="JQY28" s="1040"/>
      <c r="JQZ28" s="1040"/>
      <c r="JRA28" s="1040"/>
      <c r="JRB28" s="1040"/>
      <c r="JRC28" s="1040"/>
      <c r="JRD28" s="1040"/>
      <c r="JRE28" s="1040"/>
      <c r="JRF28" s="1040"/>
      <c r="JRG28" s="1040"/>
      <c r="JRH28" s="1040"/>
      <c r="JRI28" s="1040"/>
      <c r="JRJ28" s="1040"/>
      <c r="JRK28" s="1040"/>
      <c r="JRL28" s="1040"/>
      <c r="JRM28" s="1040"/>
      <c r="JRN28" s="1040"/>
      <c r="JRO28" s="1040"/>
      <c r="JRP28" s="1040"/>
      <c r="JRQ28" s="1040"/>
      <c r="JRR28" s="1040"/>
      <c r="JRS28" s="1040"/>
      <c r="JRT28" s="1040"/>
      <c r="JRU28" s="1040"/>
      <c r="JRV28" s="1040"/>
      <c r="JRW28" s="1040"/>
      <c r="JRX28" s="1040"/>
      <c r="JRY28" s="1040"/>
      <c r="JRZ28" s="1040"/>
      <c r="JSA28" s="1040"/>
      <c r="JSB28" s="1040"/>
      <c r="JSC28" s="1040"/>
      <c r="JSD28" s="1040"/>
      <c r="JSE28" s="1040"/>
      <c r="JSF28" s="1040"/>
      <c r="JSG28" s="1040"/>
      <c r="JSH28" s="1040"/>
      <c r="JSI28" s="1040"/>
      <c r="JSJ28" s="1040"/>
      <c r="JSK28" s="1040"/>
      <c r="JSL28" s="1040"/>
      <c r="JSM28" s="1040"/>
      <c r="JSN28" s="1040"/>
      <c r="JSO28" s="1040"/>
      <c r="JSP28" s="1040"/>
      <c r="JSQ28" s="1040"/>
      <c r="JSR28" s="1040"/>
      <c r="JSS28" s="1040"/>
      <c r="JST28" s="1040"/>
      <c r="JSU28" s="1040"/>
      <c r="JSV28" s="1040"/>
      <c r="JSW28" s="1040"/>
      <c r="JSX28" s="1040"/>
      <c r="JSY28" s="1040"/>
      <c r="JSZ28" s="1040"/>
      <c r="JTA28" s="1040"/>
      <c r="JTB28" s="1040"/>
      <c r="JTC28" s="1040"/>
      <c r="JTD28" s="1040"/>
      <c r="JTE28" s="1040"/>
      <c r="JTF28" s="1040"/>
      <c r="JTG28" s="1040"/>
      <c r="JTH28" s="1040"/>
      <c r="JTI28" s="1040"/>
      <c r="JTJ28" s="1040"/>
      <c r="JTK28" s="1040"/>
      <c r="JTL28" s="1040"/>
      <c r="JTM28" s="1040"/>
      <c r="JTN28" s="1040"/>
      <c r="JTO28" s="1040"/>
      <c r="JTP28" s="1040"/>
      <c r="JTQ28" s="1040"/>
      <c r="JTR28" s="1040"/>
      <c r="JTS28" s="1040"/>
      <c r="JTT28" s="1040"/>
      <c r="JTU28" s="1040"/>
      <c r="JTV28" s="1040"/>
      <c r="JTW28" s="1040"/>
      <c r="JTX28" s="1040"/>
      <c r="JTY28" s="1040"/>
      <c r="JTZ28" s="1040"/>
      <c r="JUA28" s="1040"/>
      <c r="JUB28" s="1040"/>
      <c r="JUC28" s="1040"/>
      <c r="JUD28" s="1040"/>
      <c r="JUE28" s="1040"/>
      <c r="JUF28" s="1040"/>
      <c r="JUG28" s="1040"/>
      <c r="JUH28" s="1040"/>
      <c r="JUI28" s="1040"/>
      <c r="JUJ28" s="1040"/>
      <c r="JUK28" s="1040"/>
      <c r="JUL28" s="1040"/>
      <c r="JUM28" s="1040"/>
      <c r="JUN28" s="1040"/>
      <c r="JUO28" s="1040"/>
      <c r="JUP28" s="1040"/>
      <c r="JUQ28" s="1040"/>
      <c r="JUR28" s="1040"/>
      <c r="JUS28" s="1040"/>
      <c r="JUT28" s="1040"/>
      <c r="JUU28" s="1040"/>
      <c r="JUV28" s="1040"/>
      <c r="JUW28" s="1040"/>
      <c r="JUX28" s="1040"/>
      <c r="JUY28" s="1040"/>
      <c r="JUZ28" s="1040"/>
      <c r="JVA28" s="1040"/>
      <c r="JVB28" s="1040"/>
      <c r="JVC28" s="1040"/>
      <c r="JVD28" s="1040"/>
      <c r="JVE28" s="1040"/>
      <c r="JVF28" s="1040"/>
      <c r="JVG28" s="1040"/>
      <c r="JVH28" s="1040"/>
      <c r="JVI28" s="1040"/>
      <c r="JVJ28" s="1040"/>
      <c r="JVK28" s="1040"/>
      <c r="JVL28" s="1040"/>
      <c r="JVM28" s="1040"/>
      <c r="JVN28" s="1040"/>
      <c r="JVO28" s="1040"/>
      <c r="JVP28" s="1040"/>
      <c r="JVQ28" s="1040"/>
      <c r="JVR28" s="1040"/>
      <c r="JVS28" s="1040"/>
      <c r="JVT28" s="1040"/>
      <c r="JVU28" s="1040"/>
      <c r="JVV28" s="1040"/>
      <c r="JVW28" s="1040"/>
      <c r="JVX28" s="1040"/>
      <c r="JVY28" s="1040"/>
      <c r="JVZ28" s="1040"/>
      <c r="JWA28" s="1040"/>
      <c r="JWB28" s="1040"/>
      <c r="JWC28" s="1040"/>
      <c r="JWD28" s="1040"/>
      <c r="JWE28" s="1040"/>
      <c r="JWF28" s="1040"/>
      <c r="JWG28" s="1040"/>
      <c r="JWH28" s="1040"/>
      <c r="JWI28" s="1040"/>
      <c r="JWJ28" s="1040"/>
      <c r="JWK28" s="1040"/>
      <c r="JWL28" s="1040"/>
      <c r="JWM28" s="1040"/>
      <c r="JWN28" s="1040"/>
      <c r="JWO28" s="1040"/>
      <c r="JWP28" s="1040"/>
      <c r="JWQ28" s="1040"/>
      <c r="JWR28" s="1040"/>
      <c r="JWS28" s="1040"/>
      <c r="JWT28" s="1040"/>
      <c r="JWU28" s="1040"/>
      <c r="JWV28" s="1040"/>
      <c r="JWW28" s="1040"/>
      <c r="JWX28" s="1040"/>
      <c r="JWY28" s="1040"/>
      <c r="JWZ28" s="1040"/>
      <c r="JXA28" s="1040"/>
      <c r="JXB28" s="1040"/>
      <c r="JXC28" s="1040"/>
      <c r="JXD28" s="1040"/>
      <c r="JXE28" s="1040"/>
      <c r="JXF28" s="1040"/>
      <c r="JXG28" s="1040"/>
      <c r="JXH28" s="1040"/>
      <c r="JXI28" s="1040"/>
      <c r="JXJ28" s="1040"/>
      <c r="JXK28" s="1040"/>
      <c r="JXL28" s="1040"/>
      <c r="JXM28" s="1040"/>
      <c r="JXN28" s="1040"/>
      <c r="JXO28" s="1040"/>
      <c r="JXP28" s="1040"/>
      <c r="JXQ28" s="1040"/>
      <c r="JXR28" s="1040"/>
      <c r="JXS28" s="1040"/>
      <c r="JXT28" s="1040"/>
      <c r="JXU28" s="1040"/>
      <c r="JXV28" s="1040"/>
      <c r="JXW28" s="1040"/>
      <c r="JXX28" s="1040"/>
      <c r="JXY28" s="1040"/>
      <c r="JXZ28" s="1040"/>
      <c r="JYA28" s="1040"/>
      <c r="JYB28" s="1040"/>
      <c r="JYC28" s="1040"/>
      <c r="JYD28" s="1040"/>
      <c r="JYE28" s="1040"/>
      <c r="JYF28" s="1040"/>
      <c r="JYG28" s="1040"/>
      <c r="JYH28" s="1040"/>
      <c r="JYI28" s="1040"/>
      <c r="JYJ28" s="1040"/>
      <c r="JYK28" s="1040"/>
      <c r="JYL28" s="1040"/>
      <c r="JYM28" s="1040"/>
      <c r="JYN28" s="1040"/>
      <c r="JYO28" s="1040"/>
      <c r="JYP28" s="1040"/>
      <c r="JYQ28" s="1040"/>
      <c r="JYR28" s="1040"/>
      <c r="JYS28" s="1040"/>
      <c r="JYT28" s="1040"/>
      <c r="JYU28" s="1040"/>
      <c r="JYV28" s="1040"/>
      <c r="JYW28" s="1040"/>
      <c r="JYX28" s="1040"/>
      <c r="JYY28" s="1040"/>
      <c r="JYZ28" s="1040"/>
      <c r="JZA28" s="1040"/>
      <c r="JZB28" s="1040"/>
      <c r="JZC28" s="1040"/>
      <c r="JZD28" s="1040"/>
      <c r="JZE28" s="1040"/>
      <c r="JZF28" s="1040"/>
      <c r="JZG28" s="1040"/>
      <c r="JZH28" s="1040"/>
      <c r="JZI28" s="1040"/>
      <c r="JZJ28" s="1040"/>
      <c r="JZK28" s="1040"/>
      <c r="JZL28" s="1040"/>
      <c r="JZM28" s="1040"/>
      <c r="JZN28" s="1040"/>
      <c r="JZO28" s="1040"/>
      <c r="JZP28" s="1040"/>
      <c r="JZQ28" s="1040"/>
      <c r="JZR28" s="1040"/>
      <c r="JZS28" s="1040"/>
      <c r="JZT28" s="1040"/>
      <c r="JZU28" s="1040"/>
      <c r="JZV28" s="1040"/>
      <c r="JZW28" s="1040"/>
      <c r="JZX28" s="1040"/>
      <c r="JZY28" s="1040"/>
      <c r="JZZ28" s="1040"/>
      <c r="KAA28" s="1040"/>
      <c r="KAB28" s="1040"/>
      <c r="KAC28" s="1040"/>
      <c r="KAD28" s="1040"/>
      <c r="KAE28" s="1040"/>
      <c r="KAF28" s="1040"/>
      <c r="KAG28" s="1040"/>
      <c r="KAH28" s="1040"/>
      <c r="KAI28" s="1040"/>
      <c r="KAJ28" s="1040"/>
      <c r="KAK28" s="1040"/>
      <c r="KAL28" s="1040"/>
      <c r="KAM28" s="1040"/>
      <c r="KAN28" s="1040"/>
      <c r="KAO28" s="1040"/>
      <c r="KAP28" s="1040"/>
      <c r="KAQ28" s="1040"/>
      <c r="KAR28" s="1040"/>
      <c r="KAS28" s="1040"/>
      <c r="KAT28" s="1040"/>
      <c r="KAU28" s="1040"/>
      <c r="KAV28" s="1040"/>
      <c r="KAW28" s="1040"/>
      <c r="KAX28" s="1040"/>
      <c r="KAY28" s="1040"/>
      <c r="KAZ28" s="1040"/>
      <c r="KBA28" s="1040"/>
      <c r="KBB28" s="1040"/>
      <c r="KBC28" s="1040"/>
      <c r="KBD28" s="1040"/>
      <c r="KBE28" s="1040"/>
      <c r="KBF28" s="1040"/>
      <c r="KBG28" s="1040"/>
      <c r="KBH28" s="1040"/>
      <c r="KBI28" s="1040"/>
      <c r="KBJ28" s="1040"/>
      <c r="KBK28" s="1040"/>
      <c r="KBL28" s="1040"/>
      <c r="KBM28" s="1040"/>
      <c r="KBN28" s="1040"/>
      <c r="KBO28" s="1040"/>
      <c r="KBP28" s="1040"/>
      <c r="KBQ28" s="1040"/>
      <c r="KBR28" s="1040"/>
      <c r="KBS28" s="1040"/>
      <c r="KBT28" s="1040"/>
      <c r="KBU28" s="1040"/>
      <c r="KBV28" s="1040"/>
      <c r="KBW28" s="1040"/>
      <c r="KBX28" s="1040"/>
      <c r="KBY28" s="1040"/>
      <c r="KBZ28" s="1040"/>
      <c r="KCA28" s="1040"/>
      <c r="KCB28" s="1040"/>
      <c r="KCC28" s="1040"/>
      <c r="KCD28" s="1040"/>
      <c r="KCE28" s="1040"/>
      <c r="KCF28" s="1040"/>
      <c r="KCG28" s="1040"/>
      <c r="KCH28" s="1040"/>
      <c r="KCI28" s="1040"/>
      <c r="KCJ28" s="1040"/>
      <c r="KCK28" s="1040"/>
      <c r="KCL28" s="1040"/>
      <c r="KCM28" s="1040"/>
      <c r="KCN28" s="1040"/>
      <c r="KCO28" s="1040"/>
      <c r="KCP28" s="1040"/>
      <c r="KCQ28" s="1040"/>
      <c r="KCR28" s="1040"/>
      <c r="KCS28" s="1040"/>
      <c r="KCT28" s="1040"/>
      <c r="KCU28" s="1040"/>
      <c r="KCV28" s="1040"/>
      <c r="KCW28" s="1040"/>
      <c r="KCX28" s="1040"/>
      <c r="KCY28" s="1040"/>
      <c r="KCZ28" s="1040"/>
      <c r="KDA28" s="1040"/>
      <c r="KDB28" s="1040"/>
      <c r="KDC28" s="1040"/>
      <c r="KDD28" s="1040"/>
      <c r="KDE28" s="1040"/>
      <c r="KDF28" s="1040"/>
      <c r="KDG28" s="1040"/>
      <c r="KDH28" s="1040"/>
      <c r="KDI28" s="1040"/>
      <c r="KDJ28" s="1040"/>
      <c r="KDK28" s="1040"/>
      <c r="KDL28" s="1040"/>
      <c r="KDM28" s="1040"/>
      <c r="KDN28" s="1040"/>
      <c r="KDO28" s="1040"/>
      <c r="KDP28" s="1040"/>
      <c r="KDQ28" s="1040"/>
      <c r="KDR28" s="1040"/>
      <c r="KDS28" s="1040"/>
      <c r="KDT28" s="1040"/>
      <c r="KDU28" s="1040"/>
      <c r="KDV28" s="1040"/>
      <c r="KDW28" s="1040"/>
      <c r="KDX28" s="1040"/>
      <c r="KDY28" s="1040"/>
      <c r="KDZ28" s="1040"/>
      <c r="KEA28" s="1040"/>
      <c r="KEB28" s="1040"/>
      <c r="KEC28" s="1040"/>
      <c r="KED28" s="1040"/>
      <c r="KEE28" s="1040"/>
      <c r="KEF28" s="1040"/>
      <c r="KEG28" s="1040"/>
      <c r="KEH28" s="1040"/>
      <c r="KEI28" s="1040"/>
      <c r="KEJ28" s="1040"/>
      <c r="KEK28" s="1040"/>
      <c r="KEL28" s="1040"/>
      <c r="KEM28" s="1040"/>
      <c r="KEN28" s="1040"/>
      <c r="KEO28" s="1040"/>
      <c r="KEP28" s="1040"/>
      <c r="KEQ28" s="1040"/>
      <c r="KER28" s="1040"/>
      <c r="KES28" s="1040"/>
      <c r="KET28" s="1040"/>
      <c r="KEU28" s="1040"/>
      <c r="KEV28" s="1040"/>
      <c r="KEW28" s="1040"/>
      <c r="KEX28" s="1040"/>
      <c r="KEY28" s="1040"/>
      <c r="KEZ28" s="1040"/>
      <c r="KFA28" s="1040"/>
      <c r="KFB28" s="1040"/>
      <c r="KFC28" s="1040"/>
      <c r="KFD28" s="1040"/>
      <c r="KFE28" s="1040"/>
      <c r="KFF28" s="1040"/>
      <c r="KFG28" s="1040"/>
      <c r="KFH28" s="1040"/>
      <c r="KFI28" s="1040"/>
      <c r="KFJ28" s="1040"/>
      <c r="KFK28" s="1040"/>
      <c r="KFL28" s="1040"/>
      <c r="KFM28" s="1040"/>
      <c r="KFN28" s="1040"/>
      <c r="KFO28" s="1040"/>
      <c r="KFP28" s="1040"/>
      <c r="KFQ28" s="1040"/>
      <c r="KFR28" s="1040"/>
      <c r="KFS28" s="1040"/>
      <c r="KFT28" s="1040"/>
      <c r="KFU28" s="1040"/>
      <c r="KFV28" s="1040"/>
      <c r="KFW28" s="1040"/>
      <c r="KFX28" s="1040"/>
      <c r="KFY28" s="1040"/>
      <c r="KFZ28" s="1040"/>
      <c r="KGA28" s="1040"/>
      <c r="KGB28" s="1040"/>
      <c r="KGC28" s="1040"/>
      <c r="KGD28" s="1040"/>
      <c r="KGE28" s="1040"/>
      <c r="KGF28" s="1040"/>
      <c r="KGG28" s="1040"/>
      <c r="KGH28" s="1040"/>
      <c r="KGI28" s="1040"/>
      <c r="KGJ28" s="1040"/>
      <c r="KGK28" s="1040"/>
      <c r="KGL28" s="1040"/>
      <c r="KGM28" s="1040"/>
      <c r="KGN28" s="1040"/>
      <c r="KGO28" s="1040"/>
      <c r="KGP28" s="1040"/>
      <c r="KGQ28" s="1040"/>
      <c r="KGR28" s="1040"/>
      <c r="KGS28" s="1040"/>
      <c r="KGT28" s="1040"/>
      <c r="KGU28" s="1040"/>
      <c r="KGV28" s="1040"/>
      <c r="KGW28" s="1040"/>
      <c r="KGX28" s="1040"/>
      <c r="KGY28" s="1040"/>
      <c r="KGZ28" s="1040"/>
      <c r="KHA28" s="1040"/>
      <c r="KHB28" s="1040"/>
      <c r="KHC28" s="1040"/>
      <c r="KHD28" s="1040"/>
      <c r="KHE28" s="1040"/>
      <c r="KHF28" s="1040"/>
      <c r="KHG28" s="1040"/>
      <c r="KHH28" s="1040"/>
      <c r="KHI28" s="1040"/>
      <c r="KHJ28" s="1040"/>
      <c r="KHK28" s="1040"/>
      <c r="KHL28" s="1040"/>
      <c r="KHM28" s="1040"/>
      <c r="KHN28" s="1040"/>
      <c r="KHO28" s="1040"/>
      <c r="KHP28" s="1040"/>
      <c r="KHQ28" s="1040"/>
      <c r="KHR28" s="1040"/>
      <c r="KHS28" s="1040"/>
      <c r="KHT28" s="1040"/>
      <c r="KHU28" s="1040"/>
      <c r="KHV28" s="1040"/>
      <c r="KHW28" s="1040"/>
      <c r="KHX28" s="1040"/>
      <c r="KHY28" s="1040"/>
      <c r="KHZ28" s="1040"/>
      <c r="KIA28" s="1040"/>
      <c r="KIB28" s="1040"/>
      <c r="KIC28" s="1040"/>
      <c r="KID28" s="1040"/>
      <c r="KIE28" s="1040"/>
      <c r="KIF28" s="1040"/>
      <c r="KIG28" s="1040"/>
      <c r="KIH28" s="1040"/>
      <c r="KII28" s="1040"/>
      <c r="KIJ28" s="1040"/>
      <c r="KIK28" s="1040"/>
      <c r="KIL28" s="1040"/>
      <c r="KIM28" s="1040"/>
      <c r="KIN28" s="1040"/>
      <c r="KIO28" s="1040"/>
      <c r="KIP28" s="1040"/>
      <c r="KIQ28" s="1040"/>
      <c r="KIR28" s="1040"/>
      <c r="KIS28" s="1040"/>
      <c r="KIT28" s="1040"/>
      <c r="KIU28" s="1040"/>
      <c r="KIV28" s="1040"/>
      <c r="KIW28" s="1040"/>
      <c r="KIX28" s="1040"/>
      <c r="KIY28" s="1040"/>
      <c r="KIZ28" s="1040"/>
      <c r="KJA28" s="1040"/>
      <c r="KJB28" s="1040"/>
      <c r="KJC28" s="1040"/>
      <c r="KJD28" s="1040"/>
      <c r="KJE28" s="1040"/>
      <c r="KJF28" s="1040"/>
      <c r="KJG28" s="1040"/>
      <c r="KJH28" s="1040"/>
      <c r="KJI28" s="1040"/>
      <c r="KJJ28" s="1040"/>
      <c r="KJK28" s="1040"/>
      <c r="KJL28" s="1040"/>
      <c r="KJM28" s="1040"/>
      <c r="KJN28" s="1040"/>
      <c r="KJO28" s="1040"/>
      <c r="KJP28" s="1040"/>
      <c r="KJQ28" s="1040"/>
      <c r="KJR28" s="1040"/>
      <c r="KJS28" s="1040"/>
      <c r="KJT28" s="1040"/>
      <c r="KJU28" s="1040"/>
      <c r="KJV28" s="1040"/>
      <c r="KJW28" s="1040"/>
      <c r="KJX28" s="1040"/>
      <c r="KJY28" s="1040"/>
      <c r="KJZ28" s="1040"/>
      <c r="KKA28" s="1040"/>
      <c r="KKB28" s="1040"/>
      <c r="KKC28" s="1040"/>
      <c r="KKD28" s="1040"/>
      <c r="KKE28" s="1040"/>
      <c r="KKF28" s="1040"/>
      <c r="KKG28" s="1040"/>
      <c r="KKH28" s="1040"/>
      <c r="KKI28" s="1040"/>
      <c r="KKJ28" s="1040"/>
      <c r="KKK28" s="1040"/>
      <c r="KKL28" s="1040"/>
      <c r="KKM28" s="1040"/>
      <c r="KKN28" s="1040"/>
      <c r="KKO28" s="1040"/>
      <c r="KKP28" s="1040"/>
      <c r="KKQ28" s="1040"/>
      <c r="KKR28" s="1040"/>
      <c r="KKS28" s="1040"/>
      <c r="KKT28" s="1040"/>
      <c r="KKU28" s="1040"/>
      <c r="KKV28" s="1040"/>
      <c r="KKW28" s="1040"/>
      <c r="KKX28" s="1040"/>
      <c r="KKY28" s="1040"/>
      <c r="KKZ28" s="1040"/>
      <c r="KLA28" s="1040"/>
      <c r="KLB28" s="1040"/>
      <c r="KLC28" s="1040"/>
      <c r="KLD28" s="1040"/>
      <c r="KLE28" s="1040"/>
      <c r="KLF28" s="1040"/>
      <c r="KLG28" s="1040"/>
      <c r="KLH28" s="1040"/>
      <c r="KLI28" s="1040"/>
      <c r="KLJ28" s="1040"/>
      <c r="KLK28" s="1040"/>
      <c r="KLL28" s="1040"/>
      <c r="KLM28" s="1040"/>
      <c r="KLN28" s="1040"/>
      <c r="KLO28" s="1040"/>
      <c r="KLP28" s="1040"/>
      <c r="KLQ28" s="1040"/>
      <c r="KLR28" s="1040"/>
      <c r="KLS28" s="1040"/>
      <c r="KLT28" s="1040"/>
      <c r="KLU28" s="1040"/>
      <c r="KLV28" s="1040"/>
      <c r="KLW28" s="1040"/>
      <c r="KLX28" s="1040"/>
      <c r="KLY28" s="1040"/>
      <c r="KLZ28" s="1040"/>
      <c r="KMA28" s="1040"/>
      <c r="KMB28" s="1040"/>
      <c r="KMC28" s="1040"/>
      <c r="KMD28" s="1040"/>
      <c r="KME28" s="1040"/>
      <c r="KMF28" s="1040"/>
      <c r="KMG28" s="1040"/>
      <c r="KMH28" s="1040"/>
      <c r="KMI28" s="1040"/>
      <c r="KMJ28" s="1040"/>
      <c r="KMK28" s="1040"/>
      <c r="KML28" s="1040"/>
      <c r="KMM28" s="1040"/>
      <c r="KMN28" s="1040"/>
      <c r="KMO28" s="1040"/>
      <c r="KMP28" s="1040"/>
      <c r="KMQ28" s="1040"/>
      <c r="KMR28" s="1040"/>
      <c r="KMS28" s="1040"/>
      <c r="KMT28" s="1040"/>
      <c r="KMU28" s="1040"/>
      <c r="KMV28" s="1040"/>
      <c r="KMW28" s="1040"/>
      <c r="KMX28" s="1040"/>
      <c r="KMY28" s="1040"/>
      <c r="KMZ28" s="1040"/>
      <c r="KNA28" s="1040"/>
      <c r="KNB28" s="1040"/>
      <c r="KNC28" s="1040"/>
      <c r="KND28" s="1040"/>
      <c r="KNE28" s="1040"/>
      <c r="KNF28" s="1040"/>
      <c r="KNG28" s="1040"/>
      <c r="KNH28" s="1040"/>
      <c r="KNI28" s="1040"/>
      <c r="KNJ28" s="1040"/>
      <c r="KNK28" s="1040"/>
      <c r="KNL28" s="1040"/>
      <c r="KNM28" s="1040"/>
      <c r="KNN28" s="1040"/>
      <c r="KNO28" s="1040"/>
      <c r="KNP28" s="1040"/>
      <c r="KNQ28" s="1040"/>
      <c r="KNR28" s="1040"/>
      <c r="KNS28" s="1040"/>
      <c r="KNT28" s="1040"/>
      <c r="KNU28" s="1040"/>
      <c r="KNV28" s="1040"/>
      <c r="KNW28" s="1040"/>
      <c r="KNX28" s="1040"/>
      <c r="KNY28" s="1040"/>
      <c r="KNZ28" s="1040"/>
      <c r="KOA28" s="1040"/>
      <c r="KOB28" s="1040"/>
      <c r="KOC28" s="1040"/>
      <c r="KOD28" s="1040"/>
      <c r="KOE28" s="1040"/>
      <c r="KOF28" s="1040"/>
      <c r="KOG28" s="1040"/>
      <c r="KOH28" s="1040"/>
      <c r="KOI28" s="1040"/>
      <c r="KOJ28" s="1040"/>
      <c r="KOK28" s="1040"/>
      <c r="KOL28" s="1040"/>
      <c r="KOM28" s="1040"/>
      <c r="KON28" s="1040"/>
      <c r="KOO28" s="1040"/>
      <c r="KOP28" s="1040"/>
      <c r="KOQ28" s="1040"/>
      <c r="KOR28" s="1040"/>
      <c r="KOS28" s="1040"/>
      <c r="KOT28" s="1040"/>
      <c r="KOU28" s="1040"/>
      <c r="KOV28" s="1040"/>
      <c r="KOW28" s="1040"/>
      <c r="KOX28" s="1040"/>
      <c r="KOY28" s="1040"/>
      <c r="KOZ28" s="1040"/>
      <c r="KPA28" s="1040"/>
      <c r="KPB28" s="1040"/>
      <c r="KPC28" s="1040"/>
      <c r="KPD28" s="1040"/>
      <c r="KPE28" s="1040"/>
      <c r="KPF28" s="1040"/>
      <c r="KPG28" s="1040"/>
      <c r="KPH28" s="1040"/>
      <c r="KPI28" s="1040"/>
      <c r="KPJ28" s="1040"/>
      <c r="KPK28" s="1040"/>
      <c r="KPL28" s="1040"/>
      <c r="KPM28" s="1040"/>
      <c r="KPN28" s="1040"/>
      <c r="KPO28" s="1040"/>
      <c r="KPP28" s="1040"/>
      <c r="KPQ28" s="1040"/>
      <c r="KPR28" s="1040"/>
      <c r="KPS28" s="1040"/>
      <c r="KPT28" s="1040"/>
      <c r="KPU28" s="1040"/>
      <c r="KPV28" s="1040"/>
      <c r="KPW28" s="1040"/>
      <c r="KPX28" s="1040"/>
      <c r="KPY28" s="1040"/>
      <c r="KPZ28" s="1040"/>
      <c r="KQA28" s="1040"/>
      <c r="KQB28" s="1040"/>
      <c r="KQC28" s="1040"/>
      <c r="KQD28" s="1040"/>
      <c r="KQE28" s="1040"/>
      <c r="KQF28" s="1040"/>
      <c r="KQG28" s="1040"/>
      <c r="KQH28" s="1040"/>
      <c r="KQI28" s="1040"/>
      <c r="KQJ28" s="1040"/>
      <c r="KQK28" s="1040"/>
      <c r="KQL28" s="1040"/>
      <c r="KQM28" s="1040"/>
      <c r="KQN28" s="1040"/>
      <c r="KQO28" s="1040"/>
      <c r="KQP28" s="1040"/>
      <c r="KQQ28" s="1040"/>
      <c r="KQR28" s="1040"/>
      <c r="KQS28" s="1040"/>
      <c r="KQT28" s="1040"/>
      <c r="KQU28" s="1040"/>
      <c r="KQV28" s="1040"/>
      <c r="KQW28" s="1040"/>
      <c r="KQX28" s="1040"/>
      <c r="KQY28" s="1040"/>
      <c r="KQZ28" s="1040"/>
      <c r="KRA28" s="1040"/>
      <c r="KRB28" s="1040"/>
      <c r="KRC28" s="1040"/>
      <c r="KRD28" s="1040"/>
      <c r="KRE28" s="1040"/>
      <c r="KRF28" s="1040"/>
      <c r="KRG28" s="1040"/>
      <c r="KRH28" s="1040"/>
      <c r="KRI28" s="1040"/>
      <c r="KRJ28" s="1040"/>
      <c r="KRK28" s="1040"/>
      <c r="KRL28" s="1040"/>
      <c r="KRM28" s="1040"/>
      <c r="KRN28" s="1040"/>
      <c r="KRO28" s="1040"/>
      <c r="KRP28" s="1040"/>
      <c r="KRQ28" s="1040"/>
      <c r="KRR28" s="1040"/>
      <c r="KRS28" s="1040"/>
      <c r="KRT28" s="1040"/>
      <c r="KRU28" s="1040"/>
      <c r="KRV28" s="1040"/>
      <c r="KRW28" s="1040"/>
      <c r="KRX28" s="1040"/>
      <c r="KRY28" s="1040"/>
      <c r="KRZ28" s="1040"/>
      <c r="KSA28" s="1040"/>
      <c r="KSB28" s="1040"/>
      <c r="KSC28" s="1040"/>
      <c r="KSD28" s="1040"/>
      <c r="KSE28" s="1040"/>
      <c r="KSF28" s="1040"/>
      <c r="KSG28" s="1040"/>
      <c r="KSH28" s="1040"/>
      <c r="KSI28" s="1040"/>
      <c r="KSJ28" s="1040"/>
      <c r="KSK28" s="1040"/>
      <c r="KSL28" s="1040"/>
      <c r="KSM28" s="1040"/>
      <c r="KSN28" s="1040"/>
      <c r="KSO28" s="1040"/>
      <c r="KSP28" s="1040"/>
      <c r="KSQ28" s="1040"/>
      <c r="KSR28" s="1040"/>
      <c r="KSS28" s="1040"/>
      <c r="KST28" s="1040"/>
      <c r="KSU28" s="1040"/>
      <c r="KSV28" s="1040"/>
      <c r="KSW28" s="1040"/>
      <c r="KSX28" s="1040"/>
      <c r="KSY28" s="1040"/>
      <c r="KSZ28" s="1040"/>
      <c r="KTA28" s="1040"/>
      <c r="KTB28" s="1040"/>
      <c r="KTC28" s="1040"/>
      <c r="KTD28" s="1040"/>
      <c r="KTE28" s="1040"/>
      <c r="KTF28" s="1040"/>
      <c r="KTG28" s="1040"/>
      <c r="KTH28" s="1040"/>
      <c r="KTI28" s="1040"/>
      <c r="KTJ28" s="1040"/>
      <c r="KTK28" s="1040"/>
      <c r="KTL28" s="1040"/>
      <c r="KTM28" s="1040"/>
      <c r="KTN28" s="1040"/>
      <c r="KTO28" s="1040"/>
      <c r="KTP28" s="1040"/>
      <c r="KTQ28" s="1040"/>
      <c r="KTR28" s="1040"/>
      <c r="KTS28" s="1040"/>
      <c r="KTT28" s="1040"/>
      <c r="KTU28" s="1040"/>
      <c r="KTV28" s="1040"/>
      <c r="KTW28" s="1040"/>
      <c r="KTX28" s="1040"/>
      <c r="KTY28" s="1040"/>
      <c r="KTZ28" s="1040"/>
      <c r="KUA28" s="1040"/>
      <c r="KUB28" s="1040"/>
      <c r="KUC28" s="1040"/>
      <c r="KUD28" s="1040"/>
      <c r="KUE28" s="1040"/>
      <c r="KUF28" s="1040"/>
      <c r="KUG28" s="1040"/>
      <c r="KUH28" s="1040"/>
      <c r="KUI28" s="1040"/>
      <c r="KUJ28" s="1040"/>
      <c r="KUK28" s="1040"/>
      <c r="KUL28" s="1040"/>
      <c r="KUM28" s="1040"/>
      <c r="KUN28" s="1040"/>
      <c r="KUO28" s="1040"/>
      <c r="KUP28" s="1040"/>
      <c r="KUQ28" s="1040"/>
      <c r="KUR28" s="1040"/>
      <c r="KUS28" s="1040"/>
      <c r="KUT28" s="1040"/>
      <c r="KUU28" s="1040"/>
      <c r="KUV28" s="1040"/>
      <c r="KUW28" s="1040"/>
      <c r="KUX28" s="1040"/>
      <c r="KUY28" s="1040"/>
      <c r="KUZ28" s="1040"/>
      <c r="KVA28" s="1040"/>
      <c r="KVB28" s="1040"/>
      <c r="KVC28" s="1040"/>
      <c r="KVD28" s="1040"/>
      <c r="KVE28" s="1040"/>
      <c r="KVF28" s="1040"/>
      <c r="KVG28" s="1040"/>
      <c r="KVH28" s="1040"/>
      <c r="KVI28" s="1040"/>
      <c r="KVJ28" s="1040"/>
      <c r="KVK28" s="1040"/>
      <c r="KVL28" s="1040"/>
      <c r="KVM28" s="1040"/>
      <c r="KVN28" s="1040"/>
      <c r="KVO28" s="1040"/>
      <c r="KVP28" s="1040"/>
      <c r="KVQ28" s="1040"/>
      <c r="KVR28" s="1040"/>
      <c r="KVS28" s="1040"/>
      <c r="KVT28" s="1040"/>
      <c r="KVU28" s="1040"/>
      <c r="KVV28" s="1040"/>
      <c r="KVW28" s="1040"/>
      <c r="KVX28" s="1040"/>
      <c r="KVY28" s="1040"/>
      <c r="KVZ28" s="1040"/>
      <c r="KWA28" s="1040"/>
      <c r="KWB28" s="1040"/>
      <c r="KWC28" s="1040"/>
      <c r="KWD28" s="1040"/>
      <c r="KWE28" s="1040"/>
      <c r="KWF28" s="1040"/>
      <c r="KWG28" s="1040"/>
      <c r="KWH28" s="1040"/>
      <c r="KWI28" s="1040"/>
      <c r="KWJ28" s="1040"/>
      <c r="KWK28" s="1040"/>
      <c r="KWL28" s="1040"/>
      <c r="KWM28" s="1040"/>
      <c r="KWN28" s="1040"/>
      <c r="KWO28" s="1040"/>
      <c r="KWP28" s="1040"/>
      <c r="KWQ28" s="1040"/>
      <c r="KWR28" s="1040"/>
      <c r="KWS28" s="1040"/>
      <c r="KWT28" s="1040"/>
      <c r="KWU28" s="1040"/>
      <c r="KWV28" s="1040"/>
      <c r="KWW28" s="1040"/>
      <c r="KWX28" s="1040"/>
      <c r="KWY28" s="1040"/>
      <c r="KWZ28" s="1040"/>
      <c r="KXA28" s="1040"/>
      <c r="KXB28" s="1040"/>
      <c r="KXC28" s="1040"/>
      <c r="KXD28" s="1040"/>
      <c r="KXE28" s="1040"/>
      <c r="KXF28" s="1040"/>
      <c r="KXG28" s="1040"/>
      <c r="KXH28" s="1040"/>
      <c r="KXI28" s="1040"/>
      <c r="KXJ28" s="1040"/>
      <c r="KXK28" s="1040"/>
      <c r="KXL28" s="1040"/>
      <c r="KXM28" s="1040"/>
      <c r="KXN28" s="1040"/>
      <c r="KXO28" s="1040"/>
      <c r="KXP28" s="1040"/>
      <c r="KXQ28" s="1040"/>
      <c r="KXR28" s="1040"/>
      <c r="KXS28" s="1040"/>
      <c r="KXT28" s="1040"/>
      <c r="KXU28" s="1040"/>
      <c r="KXV28" s="1040"/>
      <c r="KXW28" s="1040"/>
      <c r="KXX28" s="1040"/>
      <c r="KXY28" s="1040"/>
      <c r="KXZ28" s="1040"/>
      <c r="KYA28" s="1040"/>
      <c r="KYB28" s="1040"/>
      <c r="KYC28" s="1040"/>
      <c r="KYD28" s="1040"/>
      <c r="KYE28" s="1040"/>
      <c r="KYF28" s="1040"/>
      <c r="KYG28" s="1040"/>
      <c r="KYH28" s="1040"/>
      <c r="KYI28" s="1040"/>
      <c r="KYJ28" s="1040"/>
      <c r="KYK28" s="1040"/>
      <c r="KYL28" s="1040"/>
      <c r="KYM28" s="1040"/>
      <c r="KYN28" s="1040"/>
      <c r="KYO28" s="1040"/>
      <c r="KYP28" s="1040"/>
      <c r="KYQ28" s="1040"/>
      <c r="KYR28" s="1040"/>
      <c r="KYS28" s="1040"/>
      <c r="KYT28" s="1040"/>
      <c r="KYU28" s="1040"/>
      <c r="KYV28" s="1040"/>
      <c r="KYW28" s="1040"/>
      <c r="KYX28" s="1040"/>
      <c r="KYY28" s="1040"/>
      <c r="KYZ28" s="1040"/>
      <c r="KZA28" s="1040"/>
      <c r="KZB28" s="1040"/>
      <c r="KZC28" s="1040"/>
      <c r="KZD28" s="1040"/>
      <c r="KZE28" s="1040"/>
      <c r="KZF28" s="1040"/>
      <c r="KZG28" s="1040"/>
      <c r="KZH28" s="1040"/>
      <c r="KZI28" s="1040"/>
      <c r="KZJ28" s="1040"/>
      <c r="KZK28" s="1040"/>
      <c r="KZL28" s="1040"/>
      <c r="KZM28" s="1040"/>
      <c r="KZN28" s="1040"/>
      <c r="KZO28" s="1040"/>
      <c r="KZP28" s="1040"/>
      <c r="KZQ28" s="1040"/>
      <c r="KZR28" s="1040"/>
      <c r="KZS28" s="1040"/>
      <c r="KZT28" s="1040"/>
      <c r="KZU28" s="1040"/>
      <c r="KZV28" s="1040"/>
      <c r="KZW28" s="1040"/>
      <c r="KZX28" s="1040"/>
      <c r="KZY28" s="1040"/>
      <c r="KZZ28" s="1040"/>
      <c r="LAA28" s="1040"/>
      <c r="LAB28" s="1040"/>
      <c r="LAC28" s="1040"/>
      <c r="LAD28" s="1040"/>
      <c r="LAE28" s="1040"/>
      <c r="LAF28" s="1040"/>
      <c r="LAG28" s="1040"/>
      <c r="LAH28" s="1040"/>
      <c r="LAI28" s="1040"/>
      <c r="LAJ28" s="1040"/>
      <c r="LAK28" s="1040"/>
      <c r="LAL28" s="1040"/>
      <c r="LAM28" s="1040"/>
      <c r="LAN28" s="1040"/>
      <c r="LAO28" s="1040"/>
      <c r="LAP28" s="1040"/>
      <c r="LAQ28" s="1040"/>
      <c r="LAR28" s="1040"/>
      <c r="LAS28" s="1040"/>
      <c r="LAT28" s="1040"/>
      <c r="LAU28" s="1040"/>
      <c r="LAV28" s="1040"/>
      <c r="LAW28" s="1040"/>
      <c r="LAX28" s="1040"/>
      <c r="LAY28" s="1040"/>
      <c r="LAZ28" s="1040"/>
      <c r="LBA28" s="1040"/>
      <c r="LBB28" s="1040"/>
      <c r="LBC28" s="1040"/>
      <c r="LBD28" s="1040"/>
      <c r="LBE28" s="1040"/>
      <c r="LBF28" s="1040"/>
      <c r="LBG28" s="1040"/>
      <c r="LBH28" s="1040"/>
      <c r="LBI28" s="1040"/>
      <c r="LBJ28" s="1040"/>
      <c r="LBK28" s="1040"/>
      <c r="LBL28" s="1040"/>
      <c r="LBM28" s="1040"/>
      <c r="LBN28" s="1040"/>
      <c r="LBO28" s="1040"/>
      <c r="LBP28" s="1040"/>
      <c r="LBQ28" s="1040"/>
      <c r="LBR28" s="1040"/>
      <c r="LBS28" s="1040"/>
      <c r="LBT28" s="1040"/>
      <c r="LBU28" s="1040"/>
      <c r="LBV28" s="1040"/>
      <c r="LBW28" s="1040"/>
      <c r="LBX28" s="1040"/>
      <c r="LBY28" s="1040"/>
      <c r="LBZ28" s="1040"/>
      <c r="LCA28" s="1040"/>
      <c r="LCB28" s="1040"/>
      <c r="LCC28" s="1040"/>
      <c r="LCD28" s="1040"/>
      <c r="LCE28" s="1040"/>
      <c r="LCF28" s="1040"/>
      <c r="LCG28" s="1040"/>
      <c r="LCH28" s="1040"/>
      <c r="LCI28" s="1040"/>
      <c r="LCJ28" s="1040"/>
      <c r="LCK28" s="1040"/>
      <c r="LCL28" s="1040"/>
      <c r="LCM28" s="1040"/>
      <c r="LCN28" s="1040"/>
      <c r="LCO28" s="1040"/>
      <c r="LCP28" s="1040"/>
      <c r="LCQ28" s="1040"/>
      <c r="LCR28" s="1040"/>
      <c r="LCS28" s="1040"/>
      <c r="LCT28" s="1040"/>
      <c r="LCU28" s="1040"/>
      <c r="LCV28" s="1040"/>
      <c r="LCW28" s="1040"/>
      <c r="LCX28" s="1040"/>
      <c r="LCY28" s="1040"/>
      <c r="LCZ28" s="1040"/>
      <c r="LDA28" s="1040"/>
      <c r="LDB28" s="1040"/>
      <c r="LDC28" s="1040"/>
      <c r="LDD28" s="1040"/>
      <c r="LDE28" s="1040"/>
      <c r="LDF28" s="1040"/>
      <c r="LDG28" s="1040"/>
      <c r="LDH28" s="1040"/>
      <c r="LDI28" s="1040"/>
      <c r="LDJ28" s="1040"/>
      <c r="LDK28" s="1040"/>
      <c r="LDL28" s="1040"/>
      <c r="LDM28" s="1040"/>
      <c r="LDN28" s="1040"/>
      <c r="LDO28" s="1040"/>
      <c r="LDP28" s="1040"/>
      <c r="LDQ28" s="1040"/>
      <c r="LDR28" s="1040"/>
      <c r="LDS28" s="1040"/>
      <c r="LDT28" s="1040"/>
      <c r="LDU28" s="1040"/>
      <c r="LDV28" s="1040"/>
      <c r="LDW28" s="1040"/>
      <c r="LDX28" s="1040"/>
      <c r="LDY28" s="1040"/>
      <c r="LDZ28" s="1040"/>
      <c r="LEA28" s="1040"/>
      <c r="LEB28" s="1040"/>
      <c r="LEC28" s="1040"/>
      <c r="LED28" s="1040"/>
      <c r="LEE28" s="1040"/>
      <c r="LEF28" s="1040"/>
      <c r="LEG28" s="1040"/>
      <c r="LEH28" s="1040"/>
      <c r="LEI28" s="1040"/>
      <c r="LEJ28" s="1040"/>
      <c r="LEK28" s="1040"/>
      <c r="LEL28" s="1040"/>
      <c r="LEM28" s="1040"/>
      <c r="LEN28" s="1040"/>
      <c r="LEO28" s="1040"/>
      <c r="LEP28" s="1040"/>
      <c r="LEQ28" s="1040"/>
      <c r="LER28" s="1040"/>
      <c r="LES28" s="1040"/>
      <c r="LET28" s="1040"/>
      <c r="LEU28" s="1040"/>
      <c r="LEV28" s="1040"/>
      <c r="LEW28" s="1040"/>
      <c r="LEX28" s="1040"/>
      <c r="LEY28" s="1040"/>
      <c r="LEZ28" s="1040"/>
      <c r="LFA28" s="1040"/>
      <c r="LFB28" s="1040"/>
      <c r="LFC28" s="1040"/>
      <c r="LFD28" s="1040"/>
      <c r="LFE28" s="1040"/>
      <c r="LFF28" s="1040"/>
      <c r="LFG28" s="1040"/>
      <c r="LFH28" s="1040"/>
      <c r="LFI28" s="1040"/>
      <c r="LFJ28" s="1040"/>
      <c r="LFK28" s="1040"/>
      <c r="LFL28" s="1040"/>
      <c r="LFM28" s="1040"/>
      <c r="LFN28" s="1040"/>
      <c r="LFO28" s="1040"/>
      <c r="LFP28" s="1040"/>
      <c r="LFQ28" s="1040"/>
      <c r="LFR28" s="1040"/>
      <c r="LFS28" s="1040"/>
      <c r="LFT28" s="1040"/>
      <c r="LFU28" s="1040"/>
      <c r="LFV28" s="1040"/>
      <c r="LFW28" s="1040"/>
      <c r="LFX28" s="1040"/>
      <c r="LFY28" s="1040"/>
      <c r="LFZ28" s="1040"/>
      <c r="LGA28" s="1040"/>
      <c r="LGB28" s="1040"/>
      <c r="LGC28" s="1040"/>
      <c r="LGD28" s="1040"/>
      <c r="LGE28" s="1040"/>
      <c r="LGF28" s="1040"/>
      <c r="LGG28" s="1040"/>
      <c r="LGH28" s="1040"/>
      <c r="LGI28" s="1040"/>
      <c r="LGJ28" s="1040"/>
      <c r="LGK28" s="1040"/>
      <c r="LGL28" s="1040"/>
      <c r="LGM28" s="1040"/>
      <c r="LGN28" s="1040"/>
      <c r="LGO28" s="1040"/>
      <c r="LGP28" s="1040"/>
      <c r="LGQ28" s="1040"/>
      <c r="LGR28" s="1040"/>
      <c r="LGS28" s="1040"/>
      <c r="LGT28" s="1040"/>
      <c r="LGU28" s="1040"/>
      <c r="LGV28" s="1040"/>
      <c r="LGW28" s="1040"/>
      <c r="LGX28" s="1040"/>
      <c r="LGY28" s="1040"/>
      <c r="LGZ28" s="1040"/>
      <c r="LHA28" s="1040"/>
      <c r="LHB28" s="1040"/>
      <c r="LHC28" s="1040"/>
      <c r="LHD28" s="1040"/>
      <c r="LHE28" s="1040"/>
      <c r="LHF28" s="1040"/>
      <c r="LHG28" s="1040"/>
      <c r="LHH28" s="1040"/>
      <c r="LHI28" s="1040"/>
      <c r="LHJ28" s="1040"/>
      <c r="LHK28" s="1040"/>
      <c r="LHL28" s="1040"/>
      <c r="LHM28" s="1040"/>
      <c r="LHN28" s="1040"/>
      <c r="LHO28" s="1040"/>
      <c r="LHP28" s="1040"/>
      <c r="LHQ28" s="1040"/>
      <c r="LHR28" s="1040"/>
      <c r="LHS28" s="1040"/>
      <c r="LHT28" s="1040"/>
      <c r="LHU28" s="1040"/>
      <c r="LHV28" s="1040"/>
      <c r="LHW28" s="1040"/>
      <c r="LHX28" s="1040"/>
      <c r="LHY28" s="1040"/>
      <c r="LHZ28" s="1040"/>
      <c r="LIA28" s="1040"/>
      <c r="LIB28" s="1040"/>
      <c r="LIC28" s="1040"/>
      <c r="LID28" s="1040"/>
      <c r="LIE28" s="1040"/>
      <c r="LIF28" s="1040"/>
      <c r="LIG28" s="1040"/>
      <c r="LIH28" s="1040"/>
      <c r="LII28" s="1040"/>
      <c r="LIJ28" s="1040"/>
      <c r="LIK28" s="1040"/>
      <c r="LIL28" s="1040"/>
      <c r="LIM28" s="1040"/>
      <c r="LIN28" s="1040"/>
      <c r="LIO28" s="1040"/>
      <c r="LIP28" s="1040"/>
      <c r="LIQ28" s="1040"/>
      <c r="LIR28" s="1040"/>
      <c r="LIS28" s="1040"/>
      <c r="LIT28" s="1040"/>
      <c r="LIU28" s="1040"/>
      <c r="LIV28" s="1040"/>
      <c r="LIW28" s="1040"/>
      <c r="LIX28" s="1040"/>
      <c r="LIY28" s="1040"/>
      <c r="LIZ28" s="1040"/>
      <c r="LJA28" s="1040"/>
      <c r="LJB28" s="1040"/>
      <c r="LJC28" s="1040"/>
      <c r="LJD28" s="1040"/>
      <c r="LJE28" s="1040"/>
      <c r="LJF28" s="1040"/>
      <c r="LJG28" s="1040"/>
      <c r="LJH28" s="1040"/>
      <c r="LJI28" s="1040"/>
      <c r="LJJ28" s="1040"/>
      <c r="LJK28" s="1040"/>
      <c r="LJL28" s="1040"/>
      <c r="LJM28" s="1040"/>
      <c r="LJN28" s="1040"/>
      <c r="LJO28" s="1040"/>
      <c r="LJP28" s="1040"/>
      <c r="LJQ28" s="1040"/>
      <c r="LJR28" s="1040"/>
      <c r="LJS28" s="1040"/>
      <c r="LJT28" s="1040"/>
      <c r="LJU28" s="1040"/>
      <c r="LJV28" s="1040"/>
      <c r="LJW28" s="1040"/>
      <c r="LJX28" s="1040"/>
      <c r="LJY28" s="1040"/>
      <c r="LJZ28" s="1040"/>
      <c r="LKA28" s="1040"/>
      <c r="LKB28" s="1040"/>
      <c r="LKC28" s="1040"/>
      <c r="LKD28" s="1040"/>
      <c r="LKE28" s="1040"/>
      <c r="LKF28" s="1040"/>
      <c r="LKG28" s="1040"/>
      <c r="LKH28" s="1040"/>
      <c r="LKI28" s="1040"/>
      <c r="LKJ28" s="1040"/>
      <c r="LKK28" s="1040"/>
      <c r="LKL28" s="1040"/>
      <c r="LKM28" s="1040"/>
      <c r="LKN28" s="1040"/>
      <c r="LKO28" s="1040"/>
      <c r="LKP28" s="1040"/>
      <c r="LKQ28" s="1040"/>
      <c r="LKR28" s="1040"/>
      <c r="LKS28" s="1040"/>
      <c r="LKT28" s="1040"/>
      <c r="LKU28" s="1040"/>
      <c r="LKV28" s="1040"/>
      <c r="LKW28" s="1040"/>
      <c r="LKX28" s="1040"/>
      <c r="LKY28" s="1040"/>
      <c r="LKZ28" s="1040"/>
      <c r="LLA28" s="1040"/>
      <c r="LLB28" s="1040"/>
      <c r="LLC28" s="1040"/>
      <c r="LLD28" s="1040"/>
      <c r="LLE28" s="1040"/>
      <c r="LLF28" s="1040"/>
      <c r="LLG28" s="1040"/>
      <c r="LLH28" s="1040"/>
      <c r="LLI28" s="1040"/>
      <c r="LLJ28" s="1040"/>
      <c r="LLK28" s="1040"/>
      <c r="LLL28" s="1040"/>
      <c r="LLM28" s="1040"/>
      <c r="LLN28" s="1040"/>
      <c r="LLO28" s="1040"/>
      <c r="LLP28" s="1040"/>
      <c r="LLQ28" s="1040"/>
      <c r="LLR28" s="1040"/>
      <c r="LLS28" s="1040"/>
      <c r="LLT28" s="1040"/>
      <c r="LLU28" s="1040"/>
      <c r="LLV28" s="1040"/>
      <c r="LLW28" s="1040"/>
      <c r="LLX28" s="1040"/>
      <c r="LLY28" s="1040"/>
      <c r="LLZ28" s="1040"/>
      <c r="LMA28" s="1040"/>
      <c r="LMB28" s="1040"/>
      <c r="LMC28" s="1040"/>
      <c r="LMD28" s="1040"/>
      <c r="LME28" s="1040"/>
      <c r="LMF28" s="1040"/>
      <c r="LMG28" s="1040"/>
      <c r="LMH28" s="1040"/>
      <c r="LMI28" s="1040"/>
      <c r="LMJ28" s="1040"/>
      <c r="LMK28" s="1040"/>
      <c r="LML28" s="1040"/>
      <c r="LMM28" s="1040"/>
      <c r="LMN28" s="1040"/>
      <c r="LMO28" s="1040"/>
      <c r="LMP28" s="1040"/>
      <c r="LMQ28" s="1040"/>
      <c r="LMR28" s="1040"/>
      <c r="LMS28" s="1040"/>
      <c r="LMT28" s="1040"/>
      <c r="LMU28" s="1040"/>
      <c r="LMV28" s="1040"/>
      <c r="LMW28" s="1040"/>
      <c r="LMX28" s="1040"/>
      <c r="LMY28" s="1040"/>
      <c r="LMZ28" s="1040"/>
      <c r="LNA28" s="1040"/>
      <c r="LNB28" s="1040"/>
      <c r="LNC28" s="1040"/>
      <c r="LND28" s="1040"/>
      <c r="LNE28" s="1040"/>
      <c r="LNF28" s="1040"/>
      <c r="LNG28" s="1040"/>
      <c r="LNH28" s="1040"/>
      <c r="LNI28" s="1040"/>
      <c r="LNJ28" s="1040"/>
      <c r="LNK28" s="1040"/>
      <c r="LNL28" s="1040"/>
      <c r="LNM28" s="1040"/>
      <c r="LNN28" s="1040"/>
      <c r="LNO28" s="1040"/>
      <c r="LNP28" s="1040"/>
      <c r="LNQ28" s="1040"/>
      <c r="LNR28" s="1040"/>
      <c r="LNS28" s="1040"/>
      <c r="LNT28" s="1040"/>
      <c r="LNU28" s="1040"/>
      <c r="LNV28" s="1040"/>
      <c r="LNW28" s="1040"/>
      <c r="LNX28" s="1040"/>
      <c r="LNY28" s="1040"/>
      <c r="LNZ28" s="1040"/>
      <c r="LOA28" s="1040"/>
      <c r="LOB28" s="1040"/>
      <c r="LOC28" s="1040"/>
      <c r="LOD28" s="1040"/>
      <c r="LOE28" s="1040"/>
      <c r="LOF28" s="1040"/>
      <c r="LOG28" s="1040"/>
      <c r="LOH28" s="1040"/>
      <c r="LOI28" s="1040"/>
      <c r="LOJ28" s="1040"/>
      <c r="LOK28" s="1040"/>
      <c r="LOL28" s="1040"/>
      <c r="LOM28" s="1040"/>
      <c r="LON28" s="1040"/>
      <c r="LOO28" s="1040"/>
      <c r="LOP28" s="1040"/>
      <c r="LOQ28" s="1040"/>
      <c r="LOR28" s="1040"/>
      <c r="LOS28" s="1040"/>
      <c r="LOT28" s="1040"/>
      <c r="LOU28" s="1040"/>
      <c r="LOV28" s="1040"/>
      <c r="LOW28" s="1040"/>
      <c r="LOX28" s="1040"/>
      <c r="LOY28" s="1040"/>
      <c r="LOZ28" s="1040"/>
      <c r="LPA28" s="1040"/>
      <c r="LPB28" s="1040"/>
      <c r="LPC28" s="1040"/>
      <c r="LPD28" s="1040"/>
      <c r="LPE28" s="1040"/>
      <c r="LPF28" s="1040"/>
      <c r="LPG28" s="1040"/>
      <c r="LPH28" s="1040"/>
      <c r="LPI28" s="1040"/>
      <c r="LPJ28" s="1040"/>
      <c r="LPK28" s="1040"/>
      <c r="LPL28" s="1040"/>
      <c r="LPM28" s="1040"/>
      <c r="LPN28" s="1040"/>
      <c r="LPO28" s="1040"/>
      <c r="LPP28" s="1040"/>
      <c r="LPQ28" s="1040"/>
      <c r="LPR28" s="1040"/>
      <c r="LPS28" s="1040"/>
      <c r="LPT28" s="1040"/>
      <c r="LPU28" s="1040"/>
      <c r="LPV28" s="1040"/>
      <c r="LPW28" s="1040"/>
      <c r="LPX28" s="1040"/>
      <c r="LPY28" s="1040"/>
      <c r="LPZ28" s="1040"/>
      <c r="LQA28" s="1040"/>
      <c r="LQB28" s="1040"/>
      <c r="LQC28" s="1040"/>
      <c r="LQD28" s="1040"/>
      <c r="LQE28" s="1040"/>
      <c r="LQF28" s="1040"/>
      <c r="LQG28" s="1040"/>
      <c r="LQH28" s="1040"/>
      <c r="LQI28" s="1040"/>
      <c r="LQJ28" s="1040"/>
      <c r="LQK28" s="1040"/>
      <c r="LQL28" s="1040"/>
      <c r="LQM28" s="1040"/>
      <c r="LQN28" s="1040"/>
      <c r="LQO28" s="1040"/>
      <c r="LQP28" s="1040"/>
      <c r="LQQ28" s="1040"/>
      <c r="LQR28" s="1040"/>
      <c r="LQS28" s="1040"/>
      <c r="LQT28" s="1040"/>
      <c r="LQU28" s="1040"/>
      <c r="LQV28" s="1040"/>
      <c r="LQW28" s="1040"/>
      <c r="LQX28" s="1040"/>
      <c r="LQY28" s="1040"/>
      <c r="LQZ28" s="1040"/>
      <c r="LRA28" s="1040"/>
      <c r="LRB28" s="1040"/>
      <c r="LRC28" s="1040"/>
      <c r="LRD28" s="1040"/>
      <c r="LRE28" s="1040"/>
      <c r="LRF28" s="1040"/>
      <c r="LRG28" s="1040"/>
      <c r="LRH28" s="1040"/>
      <c r="LRI28" s="1040"/>
      <c r="LRJ28" s="1040"/>
      <c r="LRK28" s="1040"/>
      <c r="LRL28" s="1040"/>
      <c r="LRM28" s="1040"/>
      <c r="LRN28" s="1040"/>
      <c r="LRO28" s="1040"/>
      <c r="LRP28" s="1040"/>
      <c r="LRQ28" s="1040"/>
      <c r="LRR28" s="1040"/>
      <c r="LRS28" s="1040"/>
      <c r="LRT28" s="1040"/>
      <c r="LRU28" s="1040"/>
      <c r="LRV28" s="1040"/>
      <c r="LRW28" s="1040"/>
      <c r="LRX28" s="1040"/>
      <c r="LRY28" s="1040"/>
      <c r="LRZ28" s="1040"/>
      <c r="LSA28" s="1040"/>
      <c r="LSB28" s="1040"/>
      <c r="LSC28" s="1040"/>
      <c r="LSD28" s="1040"/>
      <c r="LSE28" s="1040"/>
      <c r="LSF28" s="1040"/>
      <c r="LSG28" s="1040"/>
      <c r="LSH28" s="1040"/>
      <c r="LSI28" s="1040"/>
      <c r="LSJ28" s="1040"/>
      <c r="LSK28" s="1040"/>
      <c r="LSL28" s="1040"/>
      <c r="LSM28" s="1040"/>
      <c r="LSN28" s="1040"/>
      <c r="LSO28" s="1040"/>
      <c r="LSP28" s="1040"/>
      <c r="LSQ28" s="1040"/>
      <c r="LSR28" s="1040"/>
      <c r="LSS28" s="1040"/>
      <c r="LST28" s="1040"/>
      <c r="LSU28" s="1040"/>
      <c r="LSV28" s="1040"/>
      <c r="LSW28" s="1040"/>
      <c r="LSX28" s="1040"/>
      <c r="LSY28" s="1040"/>
      <c r="LSZ28" s="1040"/>
      <c r="LTA28" s="1040"/>
      <c r="LTB28" s="1040"/>
      <c r="LTC28" s="1040"/>
      <c r="LTD28" s="1040"/>
      <c r="LTE28" s="1040"/>
      <c r="LTF28" s="1040"/>
      <c r="LTG28" s="1040"/>
      <c r="LTH28" s="1040"/>
      <c r="LTI28" s="1040"/>
      <c r="LTJ28" s="1040"/>
      <c r="LTK28" s="1040"/>
      <c r="LTL28" s="1040"/>
      <c r="LTM28" s="1040"/>
      <c r="LTN28" s="1040"/>
      <c r="LTO28" s="1040"/>
      <c r="LTP28" s="1040"/>
      <c r="LTQ28" s="1040"/>
      <c r="LTR28" s="1040"/>
      <c r="LTS28" s="1040"/>
      <c r="LTT28" s="1040"/>
      <c r="LTU28" s="1040"/>
      <c r="LTV28" s="1040"/>
      <c r="LTW28" s="1040"/>
      <c r="LTX28" s="1040"/>
      <c r="LTY28" s="1040"/>
      <c r="LTZ28" s="1040"/>
      <c r="LUA28" s="1040"/>
      <c r="LUB28" s="1040"/>
      <c r="LUC28" s="1040"/>
      <c r="LUD28" s="1040"/>
      <c r="LUE28" s="1040"/>
      <c r="LUF28" s="1040"/>
      <c r="LUG28" s="1040"/>
      <c r="LUH28" s="1040"/>
      <c r="LUI28" s="1040"/>
      <c r="LUJ28" s="1040"/>
      <c r="LUK28" s="1040"/>
      <c r="LUL28" s="1040"/>
      <c r="LUM28" s="1040"/>
      <c r="LUN28" s="1040"/>
      <c r="LUO28" s="1040"/>
      <c r="LUP28" s="1040"/>
      <c r="LUQ28" s="1040"/>
      <c r="LUR28" s="1040"/>
      <c r="LUS28" s="1040"/>
      <c r="LUT28" s="1040"/>
      <c r="LUU28" s="1040"/>
      <c r="LUV28" s="1040"/>
      <c r="LUW28" s="1040"/>
      <c r="LUX28" s="1040"/>
      <c r="LUY28" s="1040"/>
      <c r="LUZ28" s="1040"/>
      <c r="LVA28" s="1040"/>
      <c r="LVB28" s="1040"/>
      <c r="LVC28" s="1040"/>
      <c r="LVD28" s="1040"/>
      <c r="LVE28" s="1040"/>
      <c r="LVF28" s="1040"/>
      <c r="LVG28" s="1040"/>
      <c r="LVH28" s="1040"/>
      <c r="LVI28" s="1040"/>
      <c r="LVJ28" s="1040"/>
      <c r="LVK28" s="1040"/>
      <c r="LVL28" s="1040"/>
      <c r="LVM28" s="1040"/>
      <c r="LVN28" s="1040"/>
      <c r="LVO28" s="1040"/>
      <c r="LVP28" s="1040"/>
      <c r="LVQ28" s="1040"/>
      <c r="LVR28" s="1040"/>
      <c r="LVS28" s="1040"/>
      <c r="LVT28" s="1040"/>
      <c r="LVU28" s="1040"/>
      <c r="LVV28" s="1040"/>
      <c r="LVW28" s="1040"/>
      <c r="LVX28" s="1040"/>
      <c r="LVY28" s="1040"/>
      <c r="LVZ28" s="1040"/>
      <c r="LWA28" s="1040"/>
      <c r="LWB28" s="1040"/>
      <c r="LWC28" s="1040"/>
      <c r="LWD28" s="1040"/>
      <c r="LWE28" s="1040"/>
      <c r="LWF28" s="1040"/>
      <c r="LWG28" s="1040"/>
      <c r="LWH28" s="1040"/>
      <c r="LWI28" s="1040"/>
      <c r="LWJ28" s="1040"/>
      <c r="LWK28" s="1040"/>
      <c r="LWL28" s="1040"/>
      <c r="LWM28" s="1040"/>
      <c r="LWN28" s="1040"/>
      <c r="LWO28" s="1040"/>
      <c r="LWP28" s="1040"/>
      <c r="LWQ28" s="1040"/>
      <c r="LWR28" s="1040"/>
      <c r="LWS28" s="1040"/>
      <c r="LWT28" s="1040"/>
      <c r="LWU28" s="1040"/>
      <c r="LWV28" s="1040"/>
      <c r="LWW28" s="1040"/>
      <c r="LWX28" s="1040"/>
      <c r="LWY28" s="1040"/>
      <c r="LWZ28" s="1040"/>
      <c r="LXA28" s="1040"/>
      <c r="LXB28" s="1040"/>
      <c r="LXC28" s="1040"/>
      <c r="LXD28" s="1040"/>
      <c r="LXE28" s="1040"/>
      <c r="LXF28" s="1040"/>
      <c r="LXG28" s="1040"/>
      <c r="LXH28" s="1040"/>
      <c r="LXI28" s="1040"/>
      <c r="LXJ28" s="1040"/>
      <c r="LXK28" s="1040"/>
      <c r="LXL28" s="1040"/>
      <c r="LXM28" s="1040"/>
      <c r="LXN28" s="1040"/>
      <c r="LXO28" s="1040"/>
      <c r="LXP28" s="1040"/>
      <c r="LXQ28" s="1040"/>
      <c r="LXR28" s="1040"/>
      <c r="LXS28" s="1040"/>
      <c r="LXT28" s="1040"/>
      <c r="LXU28" s="1040"/>
      <c r="LXV28" s="1040"/>
      <c r="LXW28" s="1040"/>
      <c r="LXX28" s="1040"/>
      <c r="LXY28" s="1040"/>
      <c r="LXZ28" s="1040"/>
      <c r="LYA28" s="1040"/>
      <c r="LYB28" s="1040"/>
      <c r="LYC28" s="1040"/>
      <c r="LYD28" s="1040"/>
      <c r="LYE28" s="1040"/>
      <c r="LYF28" s="1040"/>
      <c r="LYG28" s="1040"/>
      <c r="LYH28" s="1040"/>
      <c r="LYI28" s="1040"/>
      <c r="LYJ28" s="1040"/>
      <c r="LYK28" s="1040"/>
      <c r="LYL28" s="1040"/>
      <c r="LYM28" s="1040"/>
      <c r="LYN28" s="1040"/>
      <c r="LYO28" s="1040"/>
      <c r="LYP28" s="1040"/>
      <c r="LYQ28" s="1040"/>
      <c r="LYR28" s="1040"/>
      <c r="LYS28" s="1040"/>
      <c r="LYT28" s="1040"/>
      <c r="LYU28" s="1040"/>
      <c r="LYV28" s="1040"/>
      <c r="LYW28" s="1040"/>
      <c r="LYX28" s="1040"/>
      <c r="LYY28" s="1040"/>
      <c r="LYZ28" s="1040"/>
      <c r="LZA28" s="1040"/>
      <c r="LZB28" s="1040"/>
      <c r="LZC28" s="1040"/>
      <c r="LZD28" s="1040"/>
      <c r="LZE28" s="1040"/>
      <c r="LZF28" s="1040"/>
      <c r="LZG28" s="1040"/>
      <c r="LZH28" s="1040"/>
      <c r="LZI28" s="1040"/>
      <c r="LZJ28" s="1040"/>
      <c r="LZK28" s="1040"/>
      <c r="LZL28" s="1040"/>
      <c r="LZM28" s="1040"/>
      <c r="LZN28" s="1040"/>
      <c r="LZO28" s="1040"/>
      <c r="LZP28" s="1040"/>
      <c r="LZQ28" s="1040"/>
      <c r="LZR28" s="1040"/>
      <c r="LZS28" s="1040"/>
      <c r="LZT28" s="1040"/>
      <c r="LZU28" s="1040"/>
      <c r="LZV28" s="1040"/>
      <c r="LZW28" s="1040"/>
      <c r="LZX28" s="1040"/>
      <c r="LZY28" s="1040"/>
      <c r="LZZ28" s="1040"/>
      <c r="MAA28" s="1040"/>
      <c r="MAB28" s="1040"/>
      <c r="MAC28" s="1040"/>
      <c r="MAD28" s="1040"/>
      <c r="MAE28" s="1040"/>
      <c r="MAF28" s="1040"/>
      <c r="MAG28" s="1040"/>
      <c r="MAH28" s="1040"/>
      <c r="MAI28" s="1040"/>
      <c r="MAJ28" s="1040"/>
      <c r="MAK28" s="1040"/>
      <c r="MAL28" s="1040"/>
      <c r="MAM28" s="1040"/>
      <c r="MAN28" s="1040"/>
      <c r="MAO28" s="1040"/>
      <c r="MAP28" s="1040"/>
      <c r="MAQ28" s="1040"/>
      <c r="MAR28" s="1040"/>
      <c r="MAS28" s="1040"/>
      <c r="MAT28" s="1040"/>
      <c r="MAU28" s="1040"/>
      <c r="MAV28" s="1040"/>
      <c r="MAW28" s="1040"/>
      <c r="MAX28" s="1040"/>
      <c r="MAY28" s="1040"/>
      <c r="MAZ28" s="1040"/>
      <c r="MBA28" s="1040"/>
      <c r="MBB28" s="1040"/>
      <c r="MBC28" s="1040"/>
      <c r="MBD28" s="1040"/>
      <c r="MBE28" s="1040"/>
      <c r="MBF28" s="1040"/>
      <c r="MBG28" s="1040"/>
      <c r="MBH28" s="1040"/>
      <c r="MBI28" s="1040"/>
      <c r="MBJ28" s="1040"/>
      <c r="MBK28" s="1040"/>
      <c r="MBL28" s="1040"/>
      <c r="MBM28" s="1040"/>
      <c r="MBN28" s="1040"/>
      <c r="MBO28" s="1040"/>
      <c r="MBP28" s="1040"/>
      <c r="MBQ28" s="1040"/>
      <c r="MBR28" s="1040"/>
      <c r="MBS28" s="1040"/>
      <c r="MBT28" s="1040"/>
      <c r="MBU28" s="1040"/>
      <c r="MBV28" s="1040"/>
      <c r="MBW28" s="1040"/>
      <c r="MBX28" s="1040"/>
      <c r="MBY28" s="1040"/>
      <c r="MBZ28" s="1040"/>
      <c r="MCA28" s="1040"/>
      <c r="MCB28" s="1040"/>
      <c r="MCC28" s="1040"/>
      <c r="MCD28" s="1040"/>
      <c r="MCE28" s="1040"/>
      <c r="MCF28" s="1040"/>
      <c r="MCG28" s="1040"/>
      <c r="MCH28" s="1040"/>
      <c r="MCI28" s="1040"/>
      <c r="MCJ28" s="1040"/>
      <c r="MCK28" s="1040"/>
      <c r="MCL28" s="1040"/>
      <c r="MCM28" s="1040"/>
      <c r="MCN28" s="1040"/>
      <c r="MCO28" s="1040"/>
      <c r="MCP28" s="1040"/>
      <c r="MCQ28" s="1040"/>
      <c r="MCR28" s="1040"/>
      <c r="MCS28" s="1040"/>
      <c r="MCT28" s="1040"/>
      <c r="MCU28" s="1040"/>
      <c r="MCV28" s="1040"/>
      <c r="MCW28" s="1040"/>
      <c r="MCX28" s="1040"/>
      <c r="MCY28" s="1040"/>
      <c r="MCZ28" s="1040"/>
      <c r="MDA28" s="1040"/>
      <c r="MDB28" s="1040"/>
      <c r="MDC28" s="1040"/>
      <c r="MDD28" s="1040"/>
      <c r="MDE28" s="1040"/>
      <c r="MDF28" s="1040"/>
      <c r="MDG28" s="1040"/>
      <c r="MDH28" s="1040"/>
      <c r="MDI28" s="1040"/>
      <c r="MDJ28" s="1040"/>
      <c r="MDK28" s="1040"/>
      <c r="MDL28" s="1040"/>
      <c r="MDM28" s="1040"/>
      <c r="MDN28" s="1040"/>
      <c r="MDO28" s="1040"/>
      <c r="MDP28" s="1040"/>
      <c r="MDQ28" s="1040"/>
      <c r="MDR28" s="1040"/>
      <c r="MDS28" s="1040"/>
      <c r="MDT28" s="1040"/>
      <c r="MDU28" s="1040"/>
      <c r="MDV28" s="1040"/>
      <c r="MDW28" s="1040"/>
      <c r="MDX28" s="1040"/>
      <c r="MDY28" s="1040"/>
      <c r="MDZ28" s="1040"/>
      <c r="MEA28" s="1040"/>
      <c r="MEB28" s="1040"/>
      <c r="MEC28" s="1040"/>
      <c r="MED28" s="1040"/>
      <c r="MEE28" s="1040"/>
      <c r="MEF28" s="1040"/>
      <c r="MEG28" s="1040"/>
      <c r="MEH28" s="1040"/>
      <c r="MEI28" s="1040"/>
      <c r="MEJ28" s="1040"/>
      <c r="MEK28" s="1040"/>
      <c r="MEL28" s="1040"/>
      <c r="MEM28" s="1040"/>
      <c r="MEN28" s="1040"/>
      <c r="MEO28" s="1040"/>
      <c r="MEP28" s="1040"/>
      <c r="MEQ28" s="1040"/>
      <c r="MER28" s="1040"/>
      <c r="MES28" s="1040"/>
      <c r="MET28" s="1040"/>
      <c r="MEU28" s="1040"/>
      <c r="MEV28" s="1040"/>
      <c r="MEW28" s="1040"/>
      <c r="MEX28" s="1040"/>
      <c r="MEY28" s="1040"/>
      <c r="MEZ28" s="1040"/>
      <c r="MFA28" s="1040"/>
      <c r="MFB28" s="1040"/>
      <c r="MFC28" s="1040"/>
      <c r="MFD28" s="1040"/>
      <c r="MFE28" s="1040"/>
      <c r="MFF28" s="1040"/>
      <c r="MFG28" s="1040"/>
      <c r="MFH28" s="1040"/>
      <c r="MFI28" s="1040"/>
      <c r="MFJ28" s="1040"/>
      <c r="MFK28" s="1040"/>
      <c r="MFL28" s="1040"/>
      <c r="MFM28" s="1040"/>
      <c r="MFN28" s="1040"/>
      <c r="MFO28" s="1040"/>
      <c r="MFP28" s="1040"/>
      <c r="MFQ28" s="1040"/>
      <c r="MFR28" s="1040"/>
      <c r="MFS28" s="1040"/>
      <c r="MFT28" s="1040"/>
      <c r="MFU28" s="1040"/>
      <c r="MFV28" s="1040"/>
      <c r="MFW28" s="1040"/>
      <c r="MFX28" s="1040"/>
      <c r="MFY28" s="1040"/>
      <c r="MFZ28" s="1040"/>
      <c r="MGA28" s="1040"/>
      <c r="MGB28" s="1040"/>
      <c r="MGC28" s="1040"/>
      <c r="MGD28" s="1040"/>
      <c r="MGE28" s="1040"/>
      <c r="MGF28" s="1040"/>
      <c r="MGG28" s="1040"/>
      <c r="MGH28" s="1040"/>
      <c r="MGI28" s="1040"/>
      <c r="MGJ28" s="1040"/>
      <c r="MGK28" s="1040"/>
      <c r="MGL28" s="1040"/>
      <c r="MGM28" s="1040"/>
      <c r="MGN28" s="1040"/>
      <c r="MGO28" s="1040"/>
      <c r="MGP28" s="1040"/>
      <c r="MGQ28" s="1040"/>
      <c r="MGR28" s="1040"/>
      <c r="MGS28" s="1040"/>
      <c r="MGT28" s="1040"/>
      <c r="MGU28" s="1040"/>
      <c r="MGV28" s="1040"/>
      <c r="MGW28" s="1040"/>
      <c r="MGX28" s="1040"/>
      <c r="MGY28" s="1040"/>
      <c r="MGZ28" s="1040"/>
      <c r="MHA28" s="1040"/>
      <c r="MHB28" s="1040"/>
      <c r="MHC28" s="1040"/>
      <c r="MHD28" s="1040"/>
      <c r="MHE28" s="1040"/>
      <c r="MHF28" s="1040"/>
      <c r="MHG28" s="1040"/>
      <c r="MHH28" s="1040"/>
      <c r="MHI28" s="1040"/>
      <c r="MHJ28" s="1040"/>
      <c r="MHK28" s="1040"/>
      <c r="MHL28" s="1040"/>
      <c r="MHM28" s="1040"/>
      <c r="MHN28" s="1040"/>
      <c r="MHO28" s="1040"/>
      <c r="MHP28" s="1040"/>
      <c r="MHQ28" s="1040"/>
      <c r="MHR28" s="1040"/>
      <c r="MHS28" s="1040"/>
      <c r="MHT28" s="1040"/>
      <c r="MHU28" s="1040"/>
      <c r="MHV28" s="1040"/>
      <c r="MHW28" s="1040"/>
      <c r="MHX28" s="1040"/>
      <c r="MHY28" s="1040"/>
      <c r="MHZ28" s="1040"/>
      <c r="MIA28" s="1040"/>
      <c r="MIB28" s="1040"/>
      <c r="MIC28" s="1040"/>
      <c r="MID28" s="1040"/>
      <c r="MIE28" s="1040"/>
      <c r="MIF28" s="1040"/>
      <c r="MIG28" s="1040"/>
      <c r="MIH28" s="1040"/>
      <c r="MII28" s="1040"/>
      <c r="MIJ28" s="1040"/>
      <c r="MIK28" s="1040"/>
      <c r="MIL28" s="1040"/>
      <c r="MIM28" s="1040"/>
      <c r="MIN28" s="1040"/>
      <c r="MIO28" s="1040"/>
      <c r="MIP28" s="1040"/>
      <c r="MIQ28" s="1040"/>
      <c r="MIR28" s="1040"/>
      <c r="MIS28" s="1040"/>
      <c r="MIT28" s="1040"/>
      <c r="MIU28" s="1040"/>
      <c r="MIV28" s="1040"/>
      <c r="MIW28" s="1040"/>
      <c r="MIX28" s="1040"/>
      <c r="MIY28" s="1040"/>
      <c r="MIZ28" s="1040"/>
      <c r="MJA28" s="1040"/>
      <c r="MJB28" s="1040"/>
      <c r="MJC28" s="1040"/>
      <c r="MJD28" s="1040"/>
      <c r="MJE28" s="1040"/>
      <c r="MJF28" s="1040"/>
      <c r="MJG28" s="1040"/>
      <c r="MJH28" s="1040"/>
      <c r="MJI28" s="1040"/>
      <c r="MJJ28" s="1040"/>
      <c r="MJK28" s="1040"/>
      <c r="MJL28" s="1040"/>
      <c r="MJM28" s="1040"/>
      <c r="MJN28" s="1040"/>
      <c r="MJO28" s="1040"/>
      <c r="MJP28" s="1040"/>
      <c r="MJQ28" s="1040"/>
      <c r="MJR28" s="1040"/>
      <c r="MJS28" s="1040"/>
      <c r="MJT28" s="1040"/>
      <c r="MJU28" s="1040"/>
      <c r="MJV28" s="1040"/>
      <c r="MJW28" s="1040"/>
      <c r="MJX28" s="1040"/>
      <c r="MJY28" s="1040"/>
      <c r="MJZ28" s="1040"/>
      <c r="MKA28" s="1040"/>
      <c r="MKB28" s="1040"/>
      <c r="MKC28" s="1040"/>
      <c r="MKD28" s="1040"/>
      <c r="MKE28" s="1040"/>
      <c r="MKF28" s="1040"/>
      <c r="MKG28" s="1040"/>
      <c r="MKH28" s="1040"/>
      <c r="MKI28" s="1040"/>
      <c r="MKJ28" s="1040"/>
      <c r="MKK28" s="1040"/>
      <c r="MKL28" s="1040"/>
      <c r="MKM28" s="1040"/>
      <c r="MKN28" s="1040"/>
      <c r="MKO28" s="1040"/>
      <c r="MKP28" s="1040"/>
      <c r="MKQ28" s="1040"/>
      <c r="MKR28" s="1040"/>
      <c r="MKS28" s="1040"/>
      <c r="MKT28" s="1040"/>
      <c r="MKU28" s="1040"/>
      <c r="MKV28" s="1040"/>
      <c r="MKW28" s="1040"/>
      <c r="MKX28" s="1040"/>
      <c r="MKY28" s="1040"/>
      <c r="MKZ28" s="1040"/>
      <c r="MLA28" s="1040"/>
      <c r="MLB28" s="1040"/>
      <c r="MLC28" s="1040"/>
      <c r="MLD28" s="1040"/>
      <c r="MLE28" s="1040"/>
      <c r="MLF28" s="1040"/>
      <c r="MLG28" s="1040"/>
      <c r="MLH28" s="1040"/>
      <c r="MLI28" s="1040"/>
      <c r="MLJ28" s="1040"/>
      <c r="MLK28" s="1040"/>
      <c r="MLL28" s="1040"/>
      <c r="MLM28" s="1040"/>
      <c r="MLN28" s="1040"/>
      <c r="MLO28" s="1040"/>
      <c r="MLP28" s="1040"/>
      <c r="MLQ28" s="1040"/>
      <c r="MLR28" s="1040"/>
      <c r="MLS28" s="1040"/>
      <c r="MLT28" s="1040"/>
      <c r="MLU28" s="1040"/>
      <c r="MLV28" s="1040"/>
      <c r="MLW28" s="1040"/>
      <c r="MLX28" s="1040"/>
      <c r="MLY28" s="1040"/>
      <c r="MLZ28" s="1040"/>
      <c r="MMA28" s="1040"/>
      <c r="MMB28" s="1040"/>
      <c r="MMC28" s="1040"/>
      <c r="MMD28" s="1040"/>
      <c r="MME28" s="1040"/>
      <c r="MMF28" s="1040"/>
      <c r="MMG28" s="1040"/>
      <c r="MMH28" s="1040"/>
      <c r="MMI28" s="1040"/>
      <c r="MMJ28" s="1040"/>
      <c r="MMK28" s="1040"/>
      <c r="MML28" s="1040"/>
      <c r="MMM28" s="1040"/>
      <c r="MMN28" s="1040"/>
      <c r="MMO28" s="1040"/>
      <c r="MMP28" s="1040"/>
      <c r="MMQ28" s="1040"/>
      <c r="MMR28" s="1040"/>
      <c r="MMS28" s="1040"/>
      <c r="MMT28" s="1040"/>
      <c r="MMU28" s="1040"/>
      <c r="MMV28" s="1040"/>
      <c r="MMW28" s="1040"/>
      <c r="MMX28" s="1040"/>
      <c r="MMY28" s="1040"/>
      <c r="MMZ28" s="1040"/>
      <c r="MNA28" s="1040"/>
      <c r="MNB28" s="1040"/>
      <c r="MNC28" s="1040"/>
      <c r="MND28" s="1040"/>
      <c r="MNE28" s="1040"/>
      <c r="MNF28" s="1040"/>
      <c r="MNG28" s="1040"/>
      <c r="MNH28" s="1040"/>
      <c r="MNI28" s="1040"/>
      <c r="MNJ28" s="1040"/>
      <c r="MNK28" s="1040"/>
      <c r="MNL28" s="1040"/>
      <c r="MNM28" s="1040"/>
      <c r="MNN28" s="1040"/>
      <c r="MNO28" s="1040"/>
      <c r="MNP28" s="1040"/>
      <c r="MNQ28" s="1040"/>
      <c r="MNR28" s="1040"/>
      <c r="MNS28" s="1040"/>
      <c r="MNT28" s="1040"/>
      <c r="MNU28" s="1040"/>
      <c r="MNV28" s="1040"/>
      <c r="MNW28" s="1040"/>
      <c r="MNX28" s="1040"/>
      <c r="MNY28" s="1040"/>
      <c r="MNZ28" s="1040"/>
      <c r="MOA28" s="1040"/>
      <c r="MOB28" s="1040"/>
      <c r="MOC28" s="1040"/>
      <c r="MOD28" s="1040"/>
      <c r="MOE28" s="1040"/>
      <c r="MOF28" s="1040"/>
      <c r="MOG28" s="1040"/>
      <c r="MOH28" s="1040"/>
      <c r="MOI28" s="1040"/>
      <c r="MOJ28" s="1040"/>
      <c r="MOK28" s="1040"/>
      <c r="MOL28" s="1040"/>
      <c r="MOM28" s="1040"/>
      <c r="MON28" s="1040"/>
      <c r="MOO28" s="1040"/>
      <c r="MOP28" s="1040"/>
      <c r="MOQ28" s="1040"/>
      <c r="MOR28" s="1040"/>
      <c r="MOS28" s="1040"/>
      <c r="MOT28" s="1040"/>
      <c r="MOU28" s="1040"/>
      <c r="MOV28" s="1040"/>
      <c r="MOW28" s="1040"/>
      <c r="MOX28" s="1040"/>
      <c r="MOY28" s="1040"/>
      <c r="MOZ28" s="1040"/>
      <c r="MPA28" s="1040"/>
      <c r="MPB28" s="1040"/>
      <c r="MPC28" s="1040"/>
      <c r="MPD28" s="1040"/>
      <c r="MPE28" s="1040"/>
      <c r="MPF28" s="1040"/>
      <c r="MPG28" s="1040"/>
      <c r="MPH28" s="1040"/>
      <c r="MPI28" s="1040"/>
      <c r="MPJ28" s="1040"/>
      <c r="MPK28" s="1040"/>
      <c r="MPL28" s="1040"/>
      <c r="MPM28" s="1040"/>
      <c r="MPN28" s="1040"/>
      <c r="MPO28" s="1040"/>
      <c r="MPP28" s="1040"/>
      <c r="MPQ28" s="1040"/>
      <c r="MPR28" s="1040"/>
      <c r="MPS28" s="1040"/>
      <c r="MPT28" s="1040"/>
      <c r="MPU28" s="1040"/>
      <c r="MPV28" s="1040"/>
      <c r="MPW28" s="1040"/>
      <c r="MPX28" s="1040"/>
      <c r="MPY28" s="1040"/>
      <c r="MPZ28" s="1040"/>
      <c r="MQA28" s="1040"/>
      <c r="MQB28" s="1040"/>
      <c r="MQC28" s="1040"/>
      <c r="MQD28" s="1040"/>
      <c r="MQE28" s="1040"/>
      <c r="MQF28" s="1040"/>
      <c r="MQG28" s="1040"/>
      <c r="MQH28" s="1040"/>
      <c r="MQI28" s="1040"/>
      <c r="MQJ28" s="1040"/>
      <c r="MQK28" s="1040"/>
      <c r="MQL28" s="1040"/>
      <c r="MQM28" s="1040"/>
      <c r="MQN28" s="1040"/>
      <c r="MQO28" s="1040"/>
      <c r="MQP28" s="1040"/>
      <c r="MQQ28" s="1040"/>
      <c r="MQR28" s="1040"/>
      <c r="MQS28" s="1040"/>
      <c r="MQT28" s="1040"/>
      <c r="MQU28" s="1040"/>
      <c r="MQV28" s="1040"/>
      <c r="MQW28" s="1040"/>
      <c r="MQX28" s="1040"/>
      <c r="MQY28" s="1040"/>
      <c r="MQZ28" s="1040"/>
      <c r="MRA28" s="1040"/>
      <c r="MRB28" s="1040"/>
      <c r="MRC28" s="1040"/>
      <c r="MRD28" s="1040"/>
      <c r="MRE28" s="1040"/>
      <c r="MRF28" s="1040"/>
      <c r="MRG28" s="1040"/>
      <c r="MRH28" s="1040"/>
      <c r="MRI28" s="1040"/>
      <c r="MRJ28" s="1040"/>
      <c r="MRK28" s="1040"/>
      <c r="MRL28" s="1040"/>
      <c r="MRM28" s="1040"/>
      <c r="MRN28" s="1040"/>
      <c r="MRO28" s="1040"/>
      <c r="MRP28" s="1040"/>
      <c r="MRQ28" s="1040"/>
      <c r="MRR28" s="1040"/>
      <c r="MRS28" s="1040"/>
      <c r="MRT28" s="1040"/>
      <c r="MRU28" s="1040"/>
      <c r="MRV28" s="1040"/>
      <c r="MRW28" s="1040"/>
      <c r="MRX28" s="1040"/>
      <c r="MRY28" s="1040"/>
      <c r="MRZ28" s="1040"/>
      <c r="MSA28" s="1040"/>
      <c r="MSB28" s="1040"/>
      <c r="MSC28" s="1040"/>
      <c r="MSD28" s="1040"/>
      <c r="MSE28" s="1040"/>
      <c r="MSF28" s="1040"/>
      <c r="MSG28" s="1040"/>
      <c r="MSH28" s="1040"/>
      <c r="MSI28" s="1040"/>
      <c r="MSJ28" s="1040"/>
      <c r="MSK28" s="1040"/>
      <c r="MSL28" s="1040"/>
      <c r="MSM28" s="1040"/>
      <c r="MSN28" s="1040"/>
      <c r="MSO28" s="1040"/>
      <c r="MSP28" s="1040"/>
      <c r="MSQ28" s="1040"/>
      <c r="MSR28" s="1040"/>
      <c r="MSS28" s="1040"/>
      <c r="MST28" s="1040"/>
      <c r="MSU28" s="1040"/>
      <c r="MSV28" s="1040"/>
      <c r="MSW28" s="1040"/>
      <c r="MSX28" s="1040"/>
      <c r="MSY28" s="1040"/>
      <c r="MSZ28" s="1040"/>
      <c r="MTA28" s="1040"/>
      <c r="MTB28" s="1040"/>
      <c r="MTC28" s="1040"/>
      <c r="MTD28" s="1040"/>
      <c r="MTE28" s="1040"/>
      <c r="MTF28" s="1040"/>
      <c r="MTG28" s="1040"/>
      <c r="MTH28" s="1040"/>
      <c r="MTI28" s="1040"/>
      <c r="MTJ28" s="1040"/>
      <c r="MTK28" s="1040"/>
      <c r="MTL28" s="1040"/>
      <c r="MTM28" s="1040"/>
      <c r="MTN28" s="1040"/>
      <c r="MTO28" s="1040"/>
      <c r="MTP28" s="1040"/>
      <c r="MTQ28" s="1040"/>
      <c r="MTR28" s="1040"/>
      <c r="MTS28" s="1040"/>
      <c r="MTT28" s="1040"/>
      <c r="MTU28" s="1040"/>
      <c r="MTV28" s="1040"/>
      <c r="MTW28" s="1040"/>
      <c r="MTX28" s="1040"/>
      <c r="MTY28" s="1040"/>
      <c r="MTZ28" s="1040"/>
      <c r="MUA28" s="1040"/>
      <c r="MUB28" s="1040"/>
      <c r="MUC28" s="1040"/>
      <c r="MUD28" s="1040"/>
      <c r="MUE28" s="1040"/>
      <c r="MUF28" s="1040"/>
      <c r="MUG28" s="1040"/>
      <c r="MUH28" s="1040"/>
      <c r="MUI28" s="1040"/>
      <c r="MUJ28" s="1040"/>
      <c r="MUK28" s="1040"/>
      <c r="MUL28" s="1040"/>
      <c r="MUM28" s="1040"/>
      <c r="MUN28" s="1040"/>
      <c r="MUO28" s="1040"/>
      <c r="MUP28" s="1040"/>
      <c r="MUQ28" s="1040"/>
      <c r="MUR28" s="1040"/>
      <c r="MUS28" s="1040"/>
      <c r="MUT28" s="1040"/>
      <c r="MUU28" s="1040"/>
      <c r="MUV28" s="1040"/>
      <c r="MUW28" s="1040"/>
      <c r="MUX28" s="1040"/>
      <c r="MUY28" s="1040"/>
      <c r="MUZ28" s="1040"/>
      <c r="MVA28" s="1040"/>
      <c r="MVB28" s="1040"/>
      <c r="MVC28" s="1040"/>
      <c r="MVD28" s="1040"/>
      <c r="MVE28" s="1040"/>
      <c r="MVF28" s="1040"/>
      <c r="MVG28" s="1040"/>
      <c r="MVH28" s="1040"/>
      <c r="MVI28" s="1040"/>
      <c r="MVJ28" s="1040"/>
      <c r="MVK28" s="1040"/>
      <c r="MVL28" s="1040"/>
      <c r="MVM28" s="1040"/>
      <c r="MVN28" s="1040"/>
      <c r="MVO28" s="1040"/>
      <c r="MVP28" s="1040"/>
      <c r="MVQ28" s="1040"/>
      <c r="MVR28" s="1040"/>
      <c r="MVS28" s="1040"/>
      <c r="MVT28" s="1040"/>
      <c r="MVU28" s="1040"/>
      <c r="MVV28" s="1040"/>
      <c r="MVW28" s="1040"/>
      <c r="MVX28" s="1040"/>
      <c r="MVY28" s="1040"/>
      <c r="MVZ28" s="1040"/>
      <c r="MWA28" s="1040"/>
      <c r="MWB28" s="1040"/>
      <c r="MWC28" s="1040"/>
      <c r="MWD28" s="1040"/>
      <c r="MWE28" s="1040"/>
      <c r="MWF28" s="1040"/>
      <c r="MWG28" s="1040"/>
      <c r="MWH28" s="1040"/>
      <c r="MWI28" s="1040"/>
      <c r="MWJ28" s="1040"/>
      <c r="MWK28" s="1040"/>
      <c r="MWL28" s="1040"/>
      <c r="MWM28" s="1040"/>
      <c r="MWN28" s="1040"/>
      <c r="MWO28" s="1040"/>
      <c r="MWP28" s="1040"/>
      <c r="MWQ28" s="1040"/>
      <c r="MWR28" s="1040"/>
      <c r="MWS28" s="1040"/>
      <c r="MWT28" s="1040"/>
      <c r="MWU28" s="1040"/>
      <c r="MWV28" s="1040"/>
      <c r="MWW28" s="1040"/>
      <c r="MWX28" s="1040"/>
      <c r="MWY28" s="1040"/>
      <c r="MWZ28" s="1040"/>
      <c r="MXA28" s="1040"/>
      <c r="MXB28" s="1040"/>
      <c r="MXC28" s="1040"/>
      <c r="MXD28" s="1040"/>
      <c r="MXE28" s="1040"/>
      <c r="MXF28" s="1040"/>
      <c r="MXG28" s="1040"/>
      <c r="MXH28" s="1040"/>
      <c r="MXI28" s="1040"/>
      <c r="MXJ28" s="1040"/>
      <c r="MXK28" s="1040"/>
      <c r="MXL28" s="1040"/>
      <c r="MXM28" s="1040"/>
      <c r="MXN28" s="1040"/>
      <c r="MXO28" s="1040"/>
      <c r="MXP28" s="1040"/>
      <c r="MXQ28" s="1040"/>
      <c r="MXR28" s="1040"/>
      <c r="MXS28" s="1040"/>
      <c r="MXT28" s="1040"/>
      <c r="MXU28" s="1040"/>
      <c r="MXV28" s="1040"/>
      <c r="MXW28" s="1040"/>
      <c r="MXX28" s="1040"/>
      <c r="MXY28" s="1040"/>
      <c r="MXZ28" s="1040"/>
      <c r="MYA28" s="1040"/>
      <c r="MYB28" s="1040"/>
      <c r="MYC28" s="1040"/>
      <c r="MYD28" s="1040"/>
      <c r="MYE28" s="1040"/>
      <c r="MYF28" s="1040"/>
      <c r="MYG28" s="1040"/>
      <c r="MYH28" s="1040"/>
      <c r="MYI28" s="1040"/>
      <c r="MYJ28" s="1040"/>
      <c r="MYK28" s="1040"/>
      <c r="MYL28" s="1040"/>
      <c r="MYM28" s="1040"/>
      <c r="MYN28" s="1040"/>
      <c r="MYO28" s="1040"/>
      <c r="MYP28" s="1040"/>
      <c r="MYQ28" s="1040"/>
      <c r="MYR28" s="1040"/>
      <c r="MYS28" s="1040"/>
      <c r="MYT28" s="1040"/>
      <c r="MYU28" s="1040"/>
      <c r="MYV28" s="1040"/>
      <c r="MYW28" s="1040"/>
      <c r="MYX28" s="1040"/>
      <c r="MYY28" s="1040"/>
      <c r="MYZ28" s="1040"/>
      <c r="MZA28" s="1040"/>
      <c r="MZB28" s="1040"/>
      <c r="MZC28" s="1040"/>
      <c r="MZD28" s="1040"/>
      <c r="MZE28" s="1040"/>
      <c r="MZF28" s="1040"/>
      <c r="MZG28" s="1040"/>
      <c r="MZH28" s="1040"/>
      <c r="MZI28" s="1040"/>
      <c r="MZJ28" s="1040"/>
      <c r="MZK28" s="1040"/>
      <c r="MZL28" s="1040"/>
      <c r="MZM28" s="1040"/>
      <c r="MZN28" s="1040"/>
      <c r="MZO28" s="1040"/>
      <c r="MZP28" s="1040"/>
      <c r="MZQ28" s="1040"/>
      <c r="MZR28" s="1040"/>
      <c r="MZS28" s="1040"/>
      <c r="MZT28" s="1040"/>
      <c r="MZU28" s="1040"/>
      <c r="MZV28" s="1040"/>
      <c r="MZW28" s="1040"/>
      <c r="MZX28" s="1040"/>
      <c r="MZY28" s="1040"/>
      <c r="MZZ28" s="1040"/>
      <c r="NAA28" s="1040"/>
      <c r="NAB28" s="1040"/>
      <c r="NAC28" s="1040"/>
      <c r="NAD28" s="1040"/>
      <c r="NAE28" s="1040"/>
      <c r="NAF28" s="1040"/>
      <c r="NAG28" s="1040"/>
      <c r="NAH28" s="1040"/>
      <c r="NAI28" s="1040"/>
      <c r="NAJ28" s="1040"/>
      <c r="NAK28" s="1040"/>
      <c r="NAL28" s="1040"/>
      <c r="NAM28" s="1040"/>
      <c r="NAN28" s="1040"/>
      <c r="NAO28" s="1040"/>
      <c r="NAP28" s="1040"/>
      <c r="NAQ28" s="1040"/>
      <c r="NAR28" s="1040"/>
      <c r="NAS28" s="1040"/>
      <c r="NAT28" s="1040"/>
      <c r="NAU28" s="1040"/>
      <c r="NAV28" s="1040"/>
      <c r="NAW28" s="1040"/>
      <c r="NAX28" s="1040"/>
      <c r="NAY28" s="1040"/>
      <c r="NAZ28" s="1040"/>
      <c r="NBA28" s="1040"/>
      <c r="NBB28" s="1040"/>
      <c r="NBC28" s="1040"/>
      <c r="NBD28" s="1040"/>
      <c r="NBE28" s="1040"/>
      <c r="NBF28" s="1040"/>
      <c r="NBG28" s="1040"/>
      <c r="NBH28" s="1040"/>
      <c r="NBI28" s="1040"/>
      <c r="NBJ28" s="1040"/>
      <c r="NBK28" s="1040"/>
      <c r="NBL28" s="1040"/>
      <c r="NBM28" s="1040"/>
      <c r="NBN28" s="1040"/>
      <c r="NBO28" s="1040"/>
      <c r="NBP28" s="1040"/>
      <c r="NBQ28" s="1040"/>
      <c r="NBR28" s="1040"/>
      <c r="NBS28" s="1040"/>
      <c r="NBT28" s="1040"/>
      <c r="NBU28" s="1040"/>
      <c r="NBV28" s="1040"/>
      <c r="NBW28" s="1040"/>
      <c r="NBX28" s="1040"/>
      <c r="NBY28" s="1040"/>
      <c r="NBZ28" s="1040"/>
      <c r="NCA28" s="1040"/>
      <c r="NCB28" s="1040"/>
      <c r="NCC28" s="1040"/>
      <c r="NCD28" s="1040"/>
      <c r="NCE28" s="1040"/>
      <c r="NCF28" s="1040"/>
      <c r="NCG28" s="1040"/>
      <c r="NCH28" s="1040"/>
      <c r="NCI28" s="1040"/>
      <c r="NCJ28" s="1040"/>
      <c r="NCK28" s="1040"/>
      <c r="NCL28" s="1040"/>
      <c r="NCM28" s="1040"/>
      <c r="NCN28" s="1040"/>
      <c r="NCO28" s="1040"/>
      <c r="NCP28" s="1040"/>
      <c r="NCQ28" s="1040"/>
      <c r="NCR28" s="1040"/>
      <c r="NCS28" s="1040"/>
      <c r="NCT28" s="1040"/>
      <c r="NCU28" s="1040"/>
      <c r="NCV28" s="1040"/>
      <c r="NCW28" s="1040"/>
      <c r="NCX28" s="1040"/>
      <c r="NCY28" s="1040"/>
      <c r="NCZ28" s="1040"/>
      <c r="NDA28" s="1040"/>
      <c r="NDB28" s="1040"/>
      <c r="NDC28" s="1040"/>
      <c r="NDD28" s="1040"/>
      <c r="NDE28" s="1040"/>
      <c r="NDF28" s="1040"/>
      <c r="NDG28" s="1040"/>
      <c r="NDH28" s="1040"/>
      <c r="NDI28" s="1040"/>
      <c r="NDJ28" s="1040"/>
      <c r="NDK28" s="1040"/>
      <c r="NDL28" s="1040"/>
      <c r="NDM28" s="1040"/>
      <c r="NDN28" s="1040"/>
      <c r="NDO28" s="1040"/>
      <c r="NDP28" s="1040"/>
      <c r="NDQ28" s="1040"/>
      <c r="NDR28" s="1040"/>
      <c r="NDS28" s="1040"/>
      <c r="NDT28" s="1040"/>
      <c r="NDU28" s="1040"/>
      <c r="NDV28" s="1040"/>
      <c r="NDW28" s="1040"/>
      <c r="NDX28" s="1040"/>
      <c r="NDY28" s="1040"/>
      <c r="NDZ28" s="1040"/>
      <c r="NEA28" s="1040"/>
      <c r="NEB28" s="1040"/>
      <c r="NEC28" s="1040"/>
      <c r="NED28" s="1040"/>
      <c r="NEE28" s="1040"/>
      <c r="NEF28" s="1040"/>
      <c r="NEG28" s="1040"/>
      <c r="NEH28" s="1040"/>
      <c r="NEI28" s="1040"/>
      <c r="NEJ28" s="1040"/>
      <c r="NEK28" s="1040"/>
      <c r="NEL28" s="1040"/>
      <c r="NEM28" s="1040"/>
      <c r="NEN28" s="1040"/>
      <c r="NEO28" s="1040"/>
      <c r="NEP28" s="1040"/>
      <c r="NEQ28" s="1040"/>
      <c r="NER28" s="1040"/>
      <c r="NES28" s="1040"/>
      <c r="NET28" s="1040"/>
      <c r="NEU28" s="1040"/>
      <c r="NEV28" s="1040"/>
      <c r="NEW28" s="1040"/>
      <c r="NEX28" s="1040"/>
      <c r="NEY28" s="1040"/>
      <c r="NEZ28" s="1040"/>
      <c r="NFA28" s="1040"/>
      <c r="NFB28" s="1040"/>
      <c r="NFC28" s="1040"/>
      <c r="NFD28" s="1040"/>
      <c r="NFE28" s="1040"/>
      <c r="NFF28" s="1040"/>
      <c r="NFG28" s="1040"/>
      <c r="NFH28" s="1040"/>
      <c r="NFI28" s="1040"/>
      <c r="NFJ28" s="1040"/>
      <c r="NFK28" s="1040"/>
      <c r="NFL28" s="1040"/>
      <c r="NFM28" s="1040"/>
      <c r="NFN28" s="1040"/>
      <c r="NFO28" s="1040"/>
      <c r="NFP28" s="1040"/>
      <c r="NFQ28" s="1040"/>
      <c r="NFR28" s="1040"/>
      <c r="NFS28" s="1040"/>
      <c r="NFT28" s="1040"/>
      <c r="NFU28" s="1040"/>
      <c r="NFV28" s="1040"/>
      <c r="NFW28" s="1040"/>
      <c r="NFX28" s="1040"/>
      <c r="NFY28" s="1040"/>
      <c r="NFZ28" s="1040"/>
      <c r="NGA28" s="1040"/>
      <c r="NGB28" s="1040"/>
      <c r="NGC28" s="1040"/>
      <c r="NGD28" s="1040"/>
      <c r="NGE28" s="1040"/>
      <c r="NGF28" s="1040"/>
      <c r="NGG28" s="1040"/>
      <c r="NGH28" s="1040"/>
      <c r="NGI28" s="1040"/>
      <c r="NGJ28" s="1040"/>
      <c r="NGK28" s="1040"/>
      <c r="NGL28" s="1040"/>
      <c r="NGM28" s="1040"/>
      <c r="NGN28" s="1040"/>
      <c r="NGO28" s="1040"/>
      <c r="NGP28" s="1040"/>
      <c r="NGQ28" s="1040"/>
      <c r="NGR28" s="1040"/>
      <c r="NGS28" s="1040"/>
      <c r="NGT28" s="1040"/>
      <c r="NGU28" s="1040"/>
      <c r="NGV28" s="1040"/>
      <c r="NGW28" s="1040"/>
      <c r="NGX28" s="1040"/>
      <c r="NGY28" s="1040"/>
      <c r="NGZ28" s="1040"/>
      <c r="NHA28" s="1040"/>
      <c r="NHB28" s="1040"/>
      <c r="NHC28" s="1040"/>
      <c r="NHD28" s="1040"/>
      <c r="NHE28" s="1040"/>
      <c r="NHF28" s="1040"/>
      <c r="NHG28" s="1040"/>
      <c r="NHH28" s="1040"/>
      <c r="NHI28" s="1040"/>
      <c r="NHJ28" s="1040"/>
      <c r="NHK28" s="1040"/>
      <c r="NHL28" s="1040"/>
      <c r="NHM28" s="1040"/>
      <c r="NHN28" s="1040"/>
      <c r="NHO28" s="1040"/>
      <c r="NHP28" s="1040"/>
      <c r="NHQ28" s="1040"/>
      <c r="NHR28" s="1040"/>
      <c r="NHS28" s="1040"/>
      <c r="NHT28" s="1040"/>
      <c r="NHU28" s="1040"/>
      <c r="NHV28" s="1040"/>
      <c r="NHW28" s="1040"/>
      <c r="NHX28" s="1040"/>
      <c r="NHY28" s="1040"/>
      <c r="NHZ28" s="1040"/>
      <c r="NIA28" s="1040"/>
      <c r="NIB28" s="1040"/>
      <c r="NIC28" s="1040"/>
      <c r="NID28" s="1040"/>
      <c r="NIE28" s="1040"/>
      <c r="NIF28" s="1040"/>
      <c r="NIG28" s="1040"/>
      <c r="NIH28" s="1040"/>
      <c r="NII28" s="1040"/>
      <c r="NIJ28" s="1040"/>
      <c r="NIK28" s="1040"/>
      <c r="NIL28" s="1040"/>
      <c r="NIM28" s="1040"/>
      <c r="NIN28" s="1040"/>
      <c r="NIO28" s="1040"/>
      <c r="NIP28" s="1040"/>
      <c r="NIQ28" s="1040"/>
      <c r="NIR28" s="1040"/>
      <c r="NIS28" s="1040"/>
      <c r="NIT28" s="1040"/>
      <c r="NIU28" s="1040"/>
      <c r="NIV28" s="1040"/>
      <c r="NIW28" s="1040"/>
      <c r="NIX28" s="1040"/>
      <c r="NIY28" s="1040"/>
      <c r="NIZ28" s="1040"/>
      <c r="NJA28" s="1040"/>
      <c r="NJB28" s="1040"/>
      <c r="NJC28" s="1040"/>
      <c r="NJD28" s="1040"/>
      <c r="NJE28" s="1040"/>
      <c r="NJF28" s="1040"/>
      <c r="NJG28" s="1040"/>
      <c r="NJH28" s="1040"/>
      <c r="NJI28" s="1040"/>
      <c r="NJJ28" s="1040"/>
      <c r="NJK28" s="1040"/>
      <c r="NJL28" s="1040"/>
      <c r="NJM28" s="1040"/>
      <c r="NJN28" s="1040"/>
      <c r="NJO28" s="1040"/>
      <c r="NJP28" s="1040"/>
      <c r="NJQ28" s="1040"/>
      <c r="NJR28" s="1040"/>
      <c r="NJS28" s="1040"/>
      <c r="NJT28" s="1040"/>
      <c r="NJU28" s="1040"/>
      <c r="NJV28" s="1040"/>
      <c r="NJW28" s="1040"/>
      <c r="NJX28" s="1040"/>
      <c r="NJY28" s="1040"/>
      <c r="NJZ28" s="1040"/>
      <c r="NKA28" s="1040"/>
      <c r="NKB28" s="1040"/>
      <c r="NKC28" s="1040"/>
      <c r="NKD28" s="1040"/>
      <c r="NKE28" s="1040"/>
      <c r="NKF28" s="1040"/>
      <c r="NKG28" s="1040"/>
      <c r="NKH28" s="1040"/>
      <c r="NKI28" s="1040"/>
      <c r="NKJ28" s="1040"/>
      <c r="NKK28" s="1040"/>
      <c r="NKL28" s="1040"/>
      <c r="NKM28" s="1040"/>
      <c r="NKN28" s="1040"/>
      <c r="NKO28" s="1040"/>
      <c r="NKP28" s="1040"/>
      <c r="NKQ28" s="1040"/>
      <c r="NKR28" s="1040"/>
      <c r="NKS28" s="1040"/>
      <c r="NKT28" s="1040"/>
      <c r="NKU28" s="1040"/>
      <c r="NKV28" s="1040"/>
      <c r="NKW28" s="1040"/>
      <c r="NKX28" s="1040"/>
      <c r="NKY28" s="1040"/>
      <c r="NKZ28" s="1040"/>
      <c r="NLA28" s="1040"/>
      <c r="NLB28" s="1040"/>
      <c r="NLC28" s="1040"/>
      <c r="NLD28" s="1040"/>
      <c r="NLE28" s="1040"/>
      <c r="NLF28" s="1040"/>
      <c r="NLG28" s="1040"/>
      <c r="NLH28" s="1040"/>
      <c r="NLI28" s="1040"/>
      <c r="NLJ28" s="1040"/>
      <c r="NLK28" s="1040"/>
      <c r="NLL28" s="1040"/>
      <c r="NLM28" s="1040"/>
      <c r="NLN28" s="1040"/>
      <c r="NLO28" s="1040"/>
      <c r="NLP28" s="1040"/>
      <c r="NLQ28" s="1040"/>
      <c r="NLR28" s="1040"/>
      <c r="NLS28" s="1040"/>
      <c r="NLT28" s="1040"/>
      <c r="NLU28" s="1040"/>
      <c r="NLV28" s="1040"/>
      <c r="NLW28" s="1040"/>
      <c r="NLX28" s="1040"/>
      <c r="NLY28" s="1040"/>
      <c r="NLZ28" s="1040"/>
      <c r="NMA28" s="1040"/>
      <c r="NMB28" s="1040"/>
      <c r="NMC28" s="1040"/>
      <c r="NMD28" s="1040"/>
      <c r="NME28" s="1040"/>
      <c r="NMF28" s="1040"/>
      <c r="NMG28" s="1040"/>
      <c r="NMH28" s="1040"/>
      <c r="NMI28" s="1040"/>
      <c r="NMJ28" s="1040"/>
      <c r="NMK28" s="1040"/>
      <c r="NML28" s="1040"/>
      <c r="NMM28" s="1040"/>
      <c r="NMN28" s="1040"/>
      <c r="NMO28" s="1040"/>
      <c r="NMP28" s="1040"/>
      <c r="NMQ28" s="1040"/>
      <c r="NMR28" s="1040"/>
      <c r="NMS28" s="1040"/>
      <c r="NMT28" s="1040"/>
      <c r="NMU28" s="1040"/>
      <c r="NMV28" s="1040"/>
      <c r="NMW28" s="1040"/>
      <c r="NMX28" s="1040"/>
      <c r="NMY28" s="1040"/>
      <c r="NMZ28" s="1040"/>
      <c r="NNA28" s="1040"/>
      <c r="NNB28" s="1040"/>
      <c r="NNC28" s="1040"/>
      <c r="NND28" s="1040"/>
      <c r="NNE28" s="1040"/>
      <c r="NNF28" s="1040"/>
      <c r="NNG28" s="1040"/>
      <c r="NNH28" s="1040"/>
      <c r="NNI28" s="1040"/>
      <c r="NNJ28" s="1040"/>
      <c r="NNK28" s="1040"/>
      <c r="NNL28" s="1040"/>
      <c r="NNM28" s="1040"/>
      <c r="NNN28" s="1040"/>
      <c r="NNO28" s="1040"/>
      <c r="NNP28" s="1040"/>
      <c r="NNQ28" s="1040"/>
      <c r="NNR28" s="1040"/>
      <c r="NNS28" s="1040"/>
      <c r="NNT28" s="1040"/>
      <c r="NNU28" s="1040"/>
      <c r="NNV28" s="1040"/>
      <c r="NNW28" s="1040"/>
      <c r="NNX28" s="1040"/>
      <c r="NNY28" s="1040"/>
      <c r="NNZ28" s="1040"/>
      <c r="NOA28" s="1040"/>
      <c r="NOB28" s="1040"/>
      <c r="NOC28" s="1040"/>
      <c r="NOD28" s="1040"/>
      <c r="NOE28" s="1040"/>
      <c r="NOF28" s="1040"/>
      <c r="NOG28" s="1040"/>
      <c r="NOH28" s="1040"/>
      <c r="NOI28" s="1040"/>
      <c r="NOJ28" s="1040"/>
      <c r="NOK28" s="1040"/>
      <c r="NOL28" s="1040"/>
      <c r="NOM28" s="1040"/>
      <c r="NON28" s="1040"/>
      <c r="NOO28" s="1040"/>
      <c r="NOP28" s="1040"/>
      <c r="NOQ28" s="1040"/>
      <c r="NOR28" s="1040"/>
      <c r="NOS28" s="1040"/>
      <c r="NOT28" s="1040"/>
      <c r="NOU28" s="1040"/>
      <c r="NOV28" s="1040"/>
      <c r="NOW28" s="1040"/>
      <c r="NOX28" s="1040"/>
      <c r="NOY28" s="1040"/>
      <c r="NOZ28" s="1040"/>
      <c r="NPA28" s="1040"/>
      <c r="NPB28" s="1040"/>
      <c r="NPC28" s="1040"/>
      <c r="NPD28" s="1040"/>
      <c r="NPE28" s="1040"/>
      <c r="NPF28" s="1040"/>
      <c r="NPG28" s="1040"/>
      <c r="NPH28" s="1040"/>
      <c r="NPI28" s="1040"/>
      <c r="NPJ28" s="1040"/>
      <c r="NPK28" s="1040"/>
      <c r="NPL28" s="1040"/>
      <c r="NPM28" s="1040"/>
      <c r="NPN28" s="1040"/>
      <c r="NPO28" s="1040"/>
      <c r="NPP28" s="1040"/>
      <c r="NPQ28" s="1040"/>
      <c r="NPR28" s="1040"/>
      <c r="NPS28" s="1040"/>
      <c r="NPT28" s="1040"/>
      <c r="NPU28" s="1040"/>
      <c r="NPV28" s="1040"/>
      <c r="NPW28" s="1040"/>
      <c r="NPX28" s="1040"/>
      <c r="NPY28" s="1040"/>
      <c r="NPZ28" s="1040"/>
      <c r="NQA28" s="1040"/>
      <c r="NQB28" s="1040"/>
      <c r="NQC28" s="1040"/>
      <c r="NQD28" s="1040"/>
      <c r="NQE28" s="1040"/>
      <c r="NQF28" s="1040"/>
      <c r="NQG28" s="1040"/>
      <c r="NQH28" s="1040"/>
      <c r="NQI28" s="1040"/>
      <c r="NQJ28" s="1040"/>
      <c r="NQK28" s="1040"/>
      <c r="NQL28" s="1040"/>
      <c r="NQM28" s="1040"/>
      <c r="NQN28" s="1040"/>
      <c r="NQO28" s="1040"/>
      <c r="NQP28" s="1040"/>
      <c r="NQQ28" s="1040"/>
      <c r="NQR28" s="1040"/>
      <c r="NQS28" s="1040"/>
      <c r="NQT28" s="1040"/>
      <c r="NQU28" s="1040"/>
      <c r="NQV28" s="1040"/>
      <c r="NQW28" s="1040"/>
      <c r="NQX28" s="1040"/>
      <c r="NQY28" s="1040"/>
      <c r="NQZ28" s="1040"/>
      <c r="NRA28" s="1040"/>
      <c r="NRB28" s="1040"/>
      <c r="NRC28" s="1040"/>
      <c r="NRD28" s="1040"/>
      <c r="NRE28" s="1040"/>
      <c r="NRF28" s="1040"/>
      <c r="NRG28" s="1040"/>
      <c r="NRH28" s="1040"/>
      <c r="NRI28" s="1040"/>
      <c r="NRJ28" s="1040"/>
      <c r="NRK28" s="1040"/>
      <c r="NRL28" s="1040"/>
      <c r="NRM28" s="1040"/>
      <c r="NRN28" s="1040"/>
      <c r="NRO28" s="1040"/>
      <c r="NRP28" s="1040"/>
      <c r="NRQ28" s="1040"/>
      <c r="NRR28" s="1040"/>
      <c r="NRS28" s="1040"/>
      <c r="NRT28" s="1040"/>
      <c r="NRU28" s="1040"/>
      <c r="NRV28" s="1040"/>
      <c r="NRW28" s="1040"/>
      <c r="NRX28" s="1040"/>
      <c r="NRY28" s="1040"/>
      <c r="NRZ28" s="1040"/>
      <c r="NSA28" s="1040"/>
      <c r="NSB28" s="1040"/>
      <c r="NSC28" s="1040"/>
      <c r="NSD28" s="1040"/>
      <c r="NSE28" s="1040"/>
      <c r="NSF28" s="1040"/>
      <c r="NSG28" s="1040"/>
      <c r="NSH28" s="1040"/>
      <c r="NSI28" s="1040"/>
      <c r="NSJ28" s="1040"/>
      <c r="NSK28" s="1040"/>
      <c r="NSL28" s="1040"/>
      <c r="NSM28" s="1040"/>
      <c r="NSN28" s="1040"/>
      <c r="NSO28" s="1040"/>
      <c r="NSP28" s="1040"/>
      <c r="NSQ28" s="1040"/>
      <c r="NSR28" s="1040"/>
      <c r="NSS28" s="1040"/>
      <c r="NST28" s="1040"/>
      <c r="NSU28" s="1040"/>
      <c r="NSV28" s="1040"/>
      <c r="NSW28" s="1040"/>
      <c r="NSX28" s="1040"/>
      <c r="NSY28" s="1040"/>
      <c r="NSZ28" s="1040"/>
      <c r="NTA28" s="1040"/>
      <c r="NTB28" s="1040"/>
      <c r="NTC28" s="1040"/>
      <c r="NTD28" s="1040"/>
      <c r="NTE28" s="1040"/>
      <c r="NTF28" s="1040"/>
      <c r="NTG28" s="1040"/>
      <c r="NTH28" s="1040"/>
      <c r="NTI28" s="1040"/>
      <c r="NTJ28" s="1040"/>
      <c r="NTK28" s="1040"/>
      <c r="NTL28" s="1040"/>
      <c r="NTM28" s="1040"/>
      <c r="NTN28" s="1040"/>
      <c r="NTO28" s="1040"/>
      <c r="NTP28" s="1040"/>
      <c r="NTQ28" s="1040"/>
      <c r="NTR28" s="1040"/>
      <c r="NTS28" s="1040"/>
      <c r="NTT28" s="1040"/>
      <c r="NTU28" s="1040"/>
      <c r="NTV28" s="1040"/>
      <c r="NTW28" s="1040"/>
      <c r="NTX28" s="1040"/>
      <c r="NTY28" s="1040"/>
      <c r="NTZ28" s="1040"/>
      <c r="NUA28" s="1040"/>
      <c r="NUB28" s="1040"/>
      <c r="NUC28" s="1040"/>
      <c r="NUD28" s="1040"/>
      <c r="NUE28" s="1040"/>
      <c r="NUF28" s="1040"/>
      <c r="NUG28" s="1040"/>
      <c r="NUH28" s="1040"/>
      <c r="NUI28" s="1040"/>
      <c r="NUJ28" s="1040"/>
      <c r="NUK28" s="1040"/>
      <c r="NUL28" s="1040"/>
      <c r="NUM28" s="1040"/>
      <c r="NUN28" s="1040"/>
      <c r="NUO28" s="1040"/>
      <c r="NUP28" s="1040"/>
      <c r="NUQ28" s="1040"/>
      <c r="NUR28" s="1040"/>
      <c r="NUS28" s="1040"/>
      <c r="NUT28" s="1040"/>
      <c r="NUU28" s="1040"/>
      <c r="NUV28" s="1040"/>
      <c r="NUW28" s="1040"/>
      <c r="NUX28" s="1040"/>
      <c r="NUY28" s="1040"/>
      <c r="NUZ28" s="1040"/>
      <c r="NVA28" s="1040"/>
      <c r="NVB28" s="1040"/>
      <c r="NVC28" s="1040"/>
      <c r="NVD28" s="1040"/>
      <c r="NVE28" s="1040"/>
      <c r="NVF28" s="1040"/>
      <c r="NVG28" s="1040"/>
      <c r="NVH28" s="1040"/>
      <c r="NVI28" s="1040"/>
      <c r="NVJ28" s="1040"/>
      <c r="NVK28" s="1040"/>
      <c r="NVL28" s="1040"/>
      <c r="NVM28" s="1040"/>
      <c r="NVN28" s="1040"/>
      <c r="NVO28" s="1040"/>
      <c r="NVP28" s="1040"/>
      <c r="NVQ28" s="1040"/>
      <c r="NVR28" s="1040"/>
      <c r="NVS28" s="1040"/>
      <c r="NVT28" s="1040"/>
      <c r="NVU28" s="1040"/>
      <c r="NVV28" s="1040"/>
      <c r="NVW28" s="1040"/>
      <c r="NVX28" s="1040"/>
      <c r="NVY28" s="1040"/>
      <c r="NVZ28" s="1040"/>
      <c r="NWA28" s="1040"/>
      <c r="NWB28" s="1040"/>
      <c r="NWC28" s="1040"/>
      <c r="NWD28" s="1040"/>
      <c r="NWE28" s="1040"/>
      <c r="NWF28" s="1040"/>
      <c r="NWG28" s="1040"/>
      <c r="NWH28" s="1040"/>
      <c r="NWI28" s="1040"/>
      <c r="NWJ28" s="1040"/>
      <c r="NWK28" s="1040"/>
      <c r="NWL28" s="1040"/>
      <c r="NWM28" s="1040"/>
      <c r="NWN28" s="1040"/>
      <c r="NWO28" s="1040"/>
      <c r="NWP28" s="1040"/>
      <c r="NWQ28" s="1040"/>
      <c r="NWR28" s="1040"/>
      <c r="NWS28" s="1040"/>
      <c r="NWT28" s="1040"/>
      <c r="NWU28" s="1040"/>
      <c r="NWV28" s="1040"/>
      <c r="NWW28" s="1040"/>
      <c r="NWX28" s="1040"/>
      <c r="NWY28" s="1040"/>
      <c r="NWZ28" s="1040"/>
      <c r="NXA28" s="1040"/>
      <c r="NXB28" s="1040"/>
      <c r="NXC28" s="1040"/>
      <c r="NXD28" s="1040"/>
      <c r="NXE28" s="1040"/>
      <c r="NXF28" s="1040"/>
      <c r="NXG28" s="1040"/>
      <c r="NXH28" s="1040"/>
      <c r="NXI28" s="1040"/>
      <c r="NXJ28" s="1040"/>
      <c r="NXK28" s="1040"/>
      <c r="NXL28" s="1040"/>
      <c r="NXM28" s="1040"/>
      <c r="NXN28" s="1040"/>
      <c r="NXO28" s="1040"/>
      <c r="NXP28" s="1040"/>
      <c r="NXQ28" s="1040"/>
      <c r="NXR28" s="1040"/>
      <c r="NXS28" s="1040"/>
      <c r="NXT28" s="1040"/>
      <c r="NXU28" s="1040"/>
      <c r="NXV28" s="1040"/>
      <c r="NXW28" s="1040"/>
      <c r="NXX28" s="1040"/>
      <c r="NXY28" s="1040"/>
      <c r="NXZ28" s="1040"/>
      <c r="NYA28" s="1040"/>
      <c r="NYB28" s="1040"/>
      <c r="NYC28" s="1040"/>
      <c r="NYD28" s="1040"/>
      <c r="NYE28" s="1040"/>
      <c r="NYF28" s="1040"/>
      <c r="NYG28" s="1040"/>
      <c r="NYH28" s="1040"/>
      <c r="NYI28" s="1040"/>
      <c r="NYJ28" s="1040"/>
      <c r="NYK28" s="1040"/>
      <c r="NYL28" s="1040"/>
      <c r="NYM28" s="1040"/>
      <c r="NYN28" s="1040"/>
      <c r="NYO28" s="1040"/>
      <c r="NYP28" s="1040"/>
      <c r="NYQ28" s="1040"/>
      <c r="NYR28" s="1040"/>
      <c r="NYS28" s="1040"/>
      <c r="NYT28" s="1040"/>
      <c r="NYU28" s="1040"/>
      <c r="NYV28" s="1040"/>
      <c r="NYW28" s="1040"/>
      <c r="NYX28" s="1040"/>
      <c r="NYY28" s="1040"/>
      <c r="NYZ28" s="1040"/>
      <c r="NZA28" s="1040"/>
      <c r="NZB28" s="1040"/>
      <c r="NZC28" s="1040"/>
      <c r="NZD28" s="1040"/>
      <c r="NZE28" s="1040"/>
      <c r="NZF28" s="1040"/>
      <c r="NZG28" s="1040"/>
      <c r="NZH28" s="1040"/>
      <c r="NZI28" s="1040"/>
      <c r="NZJ28" s="1040"/>
      <c r="NZK28" s="1040"/>
      <c r="NZL28" s="1040"/>
      <c r="NZM28" s="1040"/>
      <c r="NZN28" s="1040"/>
      <c r="NZO28" s="1040"/>
      <c r="NZP28" s="1040"/>
      <c r="NZQ28" s="1040"/>
      <c r="NZR28" s="1040"/>
      <c r="NZS28" s="1040"/>
      <c r="NZT28" s="1040"/>
      <c r="NZU28" s="1040"/>
      <c r="NZV28" s="1040"/>
      <c r="NZW28" s="1040"/>
      <c r="NZX28" s="1040"/>
      <c r="NZY28" s="1040"/>
      <c r="NZZ28" s="1040"/>
      <c r="OAA28" s="1040"/>
      <c r="OAB28" s="1040"/>
      <c r="OAC28" s="1040"/>
      <c r="OAD28" s="1040"/>
      <c r="OAE28" s="1040"/>
      <c r="OAF28" s="1040"/>
      <c r="OAG28" s="1040"/>
      <c r="OAH28" s="1040"/>
      <c r="OAI28" s="1040"/>
      <c r="OAJ28" s="1040"/>
      <c r="OAK28" s="1040"/>
      <c r="OAL28" s="1040"/>
      <c r="OAM28" s="1040"/>
      <c r="OAN28" s="1040"/>
      <c r="OAO28" s="1040"/>
      <c r="OAP28" s="1040"/>
      <c r="OAQ28" s="1040"/>
      <c r="OAR28" s="1040"/>
      <c r="OAS28" s="1040"/>
      <c r="OAT28" s="1040"/>
      <c r="OAU28" s="1040"/>
      <c r="OAV28" s="1040"/>
      <c r="OAW28" s="1040"/>
      <c r="OAX28" s="1040"/>
      <c r="OAY28" s="1040"/>
      <c r="OAZ28" s="1040"/>
      <c r="OBA28" s="1040"/>
      <c r="OBB28" s="1040"/>
      <c r="OBC28" s="1040"/>
      <c r="OBD28" s="1040"/>
      <c r="OBE28" s="1040"/>
      <c r="OBF28" s="1040"/>
      <c r="OBG28" s="1040"/>
      <c r="OBH28" s="1040"/>
      <c r="OBI28" s="1040"/>
      <c r="OBJ28" s="1040"/>
      <c r="OBK28" s="1040"/>
      <c r="OBL28" s="1040"/>
      <c r="OBM28" s="1040"/>
      <c r="OBN28" s="1040"/>
      <c r="OBO28" s="1040"/>
      <c r="OBP28" s="1040"/>
      <c r="OBQ28" s="1040"/>
      <c r="OBR28" s="1040"/>
      <c r="OBS28" s="1040"/>
      <c r="OBT28" s="1040"/>
      <c r="OBU28" s="1040"/>
      <c r="OBV28" s="1040"/>
      <c r="OBW28" s="1040"/>
      <c r="OBX28" s="1040"/>
      <c r="OBY28" s="1040"/>
      <c r="OBZ28" s="1040"/>
      <c r="OCA28" s="1040"/>
      <c r="OCB28" s="1040"/>
      <c r="OCC28" s="1040"/>
      <c r="OCD28" s="1040"/>
      <c r="OCE28" s="1040"/>
      <c r="OCF28" s="1040"/>
      <c r="OCG28" s="1040"/>
      <c r="OCH28" s="1040"/>
      <c r="OCI28" s="1040"/>
      <c r="OCJ28" s="1040"/>
      <c r="OCK28" s="1040"/>
      <c r="OCL28" s="1040"/>
      <c r="OCM28" s="1040"/>
      <c r="OCN28" s="1040"/>
      <c r="OCO28" s="1040"/>
      <c r="OCP28" s="1040"/>
      <c r="OCQ28" s="1040"/>
      <c r="OCR28" s="1040"/>
      <c r="OCS28" s="1040"/>
      <c r="OCT28" s="1040"/>
      <c r="OCU28" s="1040"/>
      <c r="OCV28" s="1040"/>
      <c r="OCW28" s="1040"/>
      <c r="OCX28" s="1040"/>
      <c r="OCY28" s="1040"/>
      <c r="OCZ28" s="1040"/>
      <c r="ODA28" s="1040"/>
      <c r="ODB28" s="1040"/>
      <c r="ODC28" s="1040"/>
      <c r="ODD28" s="1040"/>
      <c r="ODE28" s="1040"/>
      <c r="ODF28" s="1040"/>
      <c r="ODG28" s="1040"/>
      <c r="ODH28" s="1040"/>
      <c r="ODI28" s="1040"/>
      <c r="ODJ28" s="1040"/>
      <c r="ODK28" s="1040"/>
      <c r="ODL28" s="1040"/>
      <c r="ODM28" s="1040"/>
      <c r="ODN28" s="1040"/>
      <c r="ODO28" s="1040"/>
      <c r="ODP28" s="1040"/>
      <c r="ODQ28" s="1040"/>
      <c r="ODR28" s="1040"/>
      <c r="ODS28" s="1040"/>
      <c r="ODT28" s="1040"/>
      <c r="ODU28" s="1040"/>
      <c r="ODV28" s="1040"/>
      <c r="ODW28" s="1040"/>
      <c r="ODX28" s="1040"/>
      <c r="ODY28" s="1040"/>
      <c r="ODZ28" s="1040"/>
      <c r="OEA28" s="1040"/>
      <c r="OEB28" s="1040"/>
      <c r="OEC28" s="1040"/>
      <c r="OED28" s="1040"/>
      <c r="OEE28" s="1040"/>
      <c r="OEF28" s="1040"/>
      <c r="OEG28" s="1040"/>
      <c r="OEH28" s="1040"/>
      <c r="OEI28" s="1040"/>
      <c r="OEJ28" s="1040"/>
      <c r="OEK28" s="1040"/>
      <c r="OEL28" s="1040"/>
      <c r="OEM28" s="1040"/>
      <c r="OEN28" s="1040"/>
      <c r="OEO28" s="1040"/>
      <c r="OEP28" s="1040"/>
      <c r="OEQ28" s="1040"/>
      <c r="OER28" s="1040"/>
      <c r="OES28" s="1040"/>
      <c r="OET28" s="1040"/>
      <c r="OEU28" s="1040"/>
      <c r="OEV28" s="1040"/>
      <c r="OEW28" s="1040"/>
      <c r="OEX28" s="1040"/>
      <c r="OEY28" s="1040"/>
      <c r="OEZ28" s="1040"/>
      <c r="OFA28" s="1040"/>
      <c r="OFB28" s="1040"/>
      <c r="OFC28" s="1040"/>
      <c r="OFD28" s="1040"/>
      <c r="OFE28" s="1040"/>
      <c r="OFF28" s="1040"/>
      <c r="OFG28" s="1040"/>
      <c r="OFH28" s="1040"/>
      <c r="OFI28" s="1040"/>
      <c r="OFJ28" s="1040"/>
      <c r="OFK28" s="1040"/>
      <c r="OFL28" s="1040"/>
      <c r="OFM28" s="1040"/>
      <c r="OFN28" s="1040"/>
      <c r="OFO28" s="1040"/>
      <c r="OFP28" s="1040"/>
      <c r="OFQ28" s="1040"/>
      <c r="OFR28" s="1040"/>
      <c r="OFS28" s="1040"/>
      <c r="OFT28" s="1040"/>
      <c r="OFU28" s="1040"/>
      <c r="OFV28" s="1040"/>
      <c r="OFW28" s="1040"/>
      <c r="OFX28" s="1040"/>
      <c r="OFY28" s="1040"/>
      <c r="OFZ28" s="1040"/>
      <c r="OGA28" s="1040"/>
      <c r="OGB28" s="1040"/>
      <c r="OGC28" s="1040"/>
      <c r="OGD28" s="1040"/>
      <c r="OGE28" s="1040"/>
      <c r="OGF28" s="1040"/>
      <c r="OGG28" s="1040"/>
      <c r="OGH28" s="1040"/>
      <c r="OGI28" s="1040"/>
      <c r="OGJ28" s="1040"/>
      <c r="OGK28" s="1040"/>
      <c r="OGL28" s="1040"/>
      <c r="OGM28" s="1040"/>
      <c r="OGN28" s="1040"/>
      <c r="OGO28" s="1040"/>
      <c r="OGP28" s="1040"/>
      <c r="OGQ28" s="1040"/>
      <c r="OGR28" s="1040"/>
      <c r="OGS28" s="1040"/>
      <c r="OGT28" s="1040"/>
      <c r="OGU28" s="1040"/>
      <c r="OGV28" s="1040"/>
      <c r="OGW28" s="1040"/>
      <c r="OGX28" s="1040"/>
      <c r="OGY28" s="1040"/>
      <c r="OGZ28" s="1040"/>
      <c r="OHA28" s="1040"/>
      <c r="OHB28" s="1040"/>
      <c r="OHC28" s="1040"/>
      <c r="OHD28" s="1040"/>
      <c r="OHE28" s="1040"/>
      <c r="OHF28" s="1040"/>
      <c r="OHG28" s="1040"/>
      <c r="OHH28" s="1040"/>
      <c r="OHI28" s="1040"/>
      <c r="OHJ28" s="1040"/>
      <c r="OHK28" s="1040"/>
      <c r="OHL28" s="1040"/>
      <c r="OHM28" s="1040"/>
      <c r="OHN28" s="1040"/>
      <c r="OHO28" s="1040"/>
      <c r="OHP28" s="1040"/>
      <c r="OHQ28" s="1040"/>
      <c r="OHR28" s="1040"/>
      <c r="OHS28" s="1040"/>
      <c r="OHT28" s="1040"/>
      <c r="OHU28" s="1040"/>
      <c r="OHV28" s="1040"/>
      <c r="OHW28" s="1040"/>
      <c r="OHX28" s="1040"/>
      <c r="OHY28" s="1040"/>
      <c r="OHZ28" s="1040"/>
      <c r="OIA28" s="1040"/>
      <c r="OIB28" s="1040"/>
      <c r="OIC28" s="1040"/>
      <c r="OID28" s="1040"/>
      <c r="OIE28" s="1040"/>
      <c r="OIF28" s="1040"/>
      <c r="OIG28" s="1040"/>
      <c r="OIH28" s="1040"/>
      <c r="OII28" s="1040"/>
      <c r="OIJ28" s="1040"/>
      <c r="OIK28" s="1040"/>
      <c r="OIL28" s="1040"/>
      <c r="OIM28" s="1040"/>
      <c r="OIN28" s="1040"/>
      <c r="OIO28" s="1040"/>
      <c r="OIP28" s="1040"/>
      <c r="OIQ28" s="1040"/>
      <c r="OIR28" s="1040"/>
      <c r="OIS28" s="1040"/>
      <c r="OIT28" s="1040"/>
      <c r="OIU28" s="1040"/>
      <c r="OIV28" s="1040"/>
      <c r="OIW28" s="1040"/>
      <c r="OIX28" s="1040"/>
      <c r="OIY28" s="1040"/>
      <c r="OIZ28" s="1040"/>
      <c r="OJA28" s="1040"/>
      <c r="OJB28" s="1040"/>
      <c r="OJC28" s="1040"/>
      <c r="OJD28" s="1040"/>
      <c r="OJE28" s="1040"/>
      <c r="OJF28" s="1040"/>
      <c r="OJG28" s="1040"/>
      <c r="OJH28" s="1040"/>
      <c r="OJI28" s="1040"/>
      <c r="OJJ28" s="1040"/>
      <c r="OJK28" s="1040"/>
      <c r="OJL28" s="1040"/>
      <c r="OJM28" s="1040"/>
      <c r="OJN28" s="1040"/>
      <c r="OJO28" s="1040"/>
      <c r="OJP28" s="1040"/>
      <c r="OJQ28" s="1040"/>
      <c r="OJR28" s="1040"/>
      <c r="OJS28" s="1040"/>
      <c r="OJT28" s="1040"/>
      <c r="OJU28" s="1040"/>
      <c r="OJV28" s="1040"/>
      <c r="OJW28" s="1040"/>
      <c r="OJX28" s="1040"/>
      <c r="OJY28" s="1040"/>
      <c r="OJZ28" s="1040"/>
      <c r="OKA28" s="1040"/>
      <c r="OKB28" s="1040"/>
      <c r="OKC28" s="1040"/>
      <c r="OKD28" s="1040"/>
      <c r="OKE28" s="1040"/>
      <c r="OKF28" s="1040"/>
      <c r="OKG28" s="1040"/>
      <c r="OKH28" s="1040"/>
      <c r="OKI28" s="1040"/>
      <c r="OKJ28" s="1040"/>
      <c r="OKK28" s="1040"/>
      <c r="OKL28" s="1040"/>
      <c r="OKM28" s="1040"/>
      <c r="OKN28" s="1040"/>
      <c r="OKO28" s="1040"/>
      <c r="OKP28" s="1040"/>
      <c r="OKQ28" s="1040"/>
      <c r="OKR28" s="1040"/>
      <c r="OKS28" s="1040"/>
      <c r="OKT28" s="1040"/>
      <c r="OKU28" s="1040"/>
      <c r="OKV28" s="1040"/>
      <c r="OKW28" s="1040"/>
      <c r="OKX28" s="1040"/>
      <c r="OKY28" s="1040"/>
      <c r="OKZ28" s="1040"/>
      <c r="OLA28" s="1040"/>
      <c r="OLB28" s="1040"/>
      <c r="OLC28" s="1040"/>
      <c r="OLD28" s="1040"/>
      <c r="OLE28" s="1040"/>
      <c r="OLF28" s="1040"/>
      <c r="OLG28" s="1040"/>
      <c r="OLH28" s="1040"/>
      <c r="OLI28" s="1040"/>
      <c r="OLJ28" s="1040"/>
      <c r="OLK28" s="1040"/>
      <c r="OLL28" s="1040"/>
      <c r="OLM28" s="1040"/>
      <c r="OLN28" s="1040"/>
      <c r="OLO28" s="1040"/>
      <c r="OLP28" s="1040"/>
      <c r="OLQ28" s="1040"/>
      <c r="OLR28" s="1040"/>
      <c r="OLS28" s="1040"/>
      <c r="OLT28" s="1040"/>
      <c r="OLU28" s="1040"/>
      <c r="OLV28" s="1040"/>
      <c r="OLW28" s="1040"/>
      <c r="OLX28" s="1040"/>
      <c r="OLY28" s="1040"/>
      <c r="OLZ28" s="1040"/>
      <c r="OMA28" s="1040"/>
      <c r="OMB28" s="1040"/>
      <c r="OMC28" s="1040"/>
      <c r="OMD28" s="1040"/>
      <c r="OME28" s="1040"/>
      <c r="OMF28" s="1040"/>
      <c r="OMG28" s="1040"/>
      <c r="OMH28" s="1040"/>
      <c r="OMI28" s="1040"/>
      <c r="OMJ28" s="1040"/>
      <c r="OMK28" s="1040"/>
      <c r="OML28" s="1040"/>
      <c r="OMM28" s="1040"/>
      <c r="OMN28" s="1040"/>
      <c r="OMO28" s="1040"/>
      <c r="OMP28" s="1040"/>
      <c r="OMQ28" s="1040"/>
      <c r="OMR28" s="1040"/>
      <c r="OMS28" s="1040"/>
      <c r="OMT28" s="1040"/>
      <c r="OMU28" s="1040"/>
      <c r="OMV28" s="1040"/>
      <c r="OMW28" s="1040"/>
      <c r="OMX28" s="1040"/>
      <c r="OMY28" s="1040"/>
      <c r="OMZ28" s="1040"/>
      <c r="ONA28" s="1040"/>
      <c r="ONB28" s="1040"/>
      <c r="ONC28" s="1040"/>
      <c r="OND28" s="1040"/>
      <c r="ONE28" s="1040"/>
      <c r="ONF28" s="1040"/>
      <c r="ONG28" s="1040"/>
      <c r="ONH28" s="1040"/>
      <c r="ONI28" s="1040"/>
      <c r="ONJ28" s="1040"/>
      <c r="ONK28" s="1040"/>
      <c r="ONL28" s="1040"/>
      <c r="ONM28" s="1040"/>
      <c r="ONN28" s="1040"/>
      <c r="ONO28" s="1040"/>
      <c r="ONP28" s="1040"/>
      <c r="ONQ28" s="1040"/>
      <c r="ONR28" s="1040"/>
      <c r="ONS28" s="1040"/>
      <c r="ONT28" s="1040"/>
      <c r="ONU28" s="1040"/>
      <c r="ONV28" s="1040"/>
      <c r="ONW28" s="1040"/>
      <c r="ONX28" s="1040"/>
      <c r="ONY28" s="1040"/>
      <c r="ONZ28" s="1040"/>
      <c r="OOA28" s="1040"/>
      <c r="OOB28" s="1040"/>
      <c r="OOC28" s="1040"/>
      <c r="OOD28" s="1040"/>
      <c r="OOE28" s="1040"/>
      <c r="OOF28" s="1040"/>
      <c r="OOG28" s="1040"/>
      <c r="OOH28" s="1040"/>
      <c r="OOI28" s="1040"/>
      <c r="OOJ28" s="1040"/>
      <c r="OOK28" s="1040"/>
      <c r="OOL28" s="1040"/>
      <c r="OOM28" s="1040"/>
      <c r="OON28" s="1040"/>
      <c r="OOO28" s="1040"/>
      <c r="OOP28" s="1040"/>
      <c r="OOQ28" s="1040"/>
      <c r="OOR28" s="1040"/>
      <c r="OOS28" s="1040"/>
      <c r="OOT28" s="1040"/>
      <c r="OOU28" s="1040"/>
      <c r="OOV28" s="1040"/>
      <c r="OOW28" s="1040"/>
      <c r="OOX28" s="1040"/>
      <c r="OOY28" s="1040"/>
      <c r="OOZ28" s="1040"/>
      <c r="OPA28" s="1040"/>
      <c r="OPB28" s="1040"/>
      <c r="OPC28" s="1040"/>
      <c r="OPD28" s="1040"/>
      <c r="OPE28" s="1040"/>
      <c r="OPF28" s="1040"/>
      <c r="OPG28" s="1040"/>
      <c r="OPH28" s="1040"/>
      <c r="OPI28" s="1040"/>
      <c r="OPJ28" s="1040"/>
      <c r="OPK28" s="1040"/>
      <c r="OPL28" s="1040"/>
      <c r="OPM28" s="1040"/>
      <c r="OPN28" s="1040"/>
      <c r="OPO28" s="1040"/>
      <c r="OPP28" s="1040"/>
      <c r="OPQ28" s="1040"/>
      <c r="OPR28" s="1040"/>
      <c r="OPS28" s="1040"/>
      <c r="OPT28" s="1040"/>
      <c r="OPU28" s="1040"/>
      <c r="OPV28" s="1040"/>
      <c r="OPW28" s="1040"/>
      <c r="OPX28" s="1040"/>
      <c r="OPY28" s="1040"/>
      <c r="OPZ28" s="1040"/>
      <c r="OQA28" s="1040"/>
      <c r="OQB28" s="1040"/>
      <c r="OQC28" s="1040"/>
      <c r="OQD28" s="1040"/>
      <c r="OQE28" s="1040"/>
      <c r="OQF28" s="1040"/>
      <c r="OQG28" s="1040"/>
      <c r="OQH28" s="1040"/>
      <c r="OQI28" s="1040"/>
      <c r="OQJ28" s="1040"/>
      <c r="OQK28" s="1040"/>
      <c r="OQL28" s="1040"/>
      <c r="OQM28" s="1040"/>
      <c r="OQN28" s="1040"/>
      <c r="OQO28" s="1040"/>
      <c r="OQP28" s="1040"/>
      <c r="OQQ28" s="1040"/>
      <c r="OQR28" s="1040"/>
      <c r="OQS28" s="1040"/>
      <c r="OQT28" s="1040"/>
      <c r="OQU28" s="1040"/>
      <c r="OQV28" s="1040"/>
      <c r="OQW28" s="1040"/>
      <c r="OQX28" s="1040"/>
      <c r="OQY28" s="1040"/>
      <c r="OQZ28" s="1040"/>
      <c r="ORA28" s="1040"/>
      <c r="ORB28" s="1040"/>
      <c r="ORC28" s="1040"/>
      <c r="ORD28" s="1040"/>
      <c r="ORE28" s="1040"/>
      <c r="ORF28" s="1040"/>
      <c r="ORG28" s="1040"/>
      <c r="ORH28" s="1040"/>
      <c r="ORI28" s="1040"/>
      <c r="ORJ28" s="1040"/>
      <c r="ORK28" s="1040"/>
      <c r="ORL28" s="1040"/>
      <c r="ORM28" s="1040"/>
      <c r="ORN28" s="1040"/>
      <c r="ORO28" s="1040"/>
      <c r="ORP28" s="1040"/>
      <c r="ORQ28" s="1040"/>
      <c r="ORR28" s="1040"/>
      <c r="ORS28" s="1040"/>
      <c r="ORT28" s="1040"/>
      <c r="ORU28" s="1040"/>
      <c r="ORV28" s="1040"/>
      <c r="ORW28" s="1040"/>
      <c r="ORX28" s="1040"/>
      <c r="ORY28" s="1040"/>
      <c r="ORZ28" s="1040"/>
      <c r="OSA28" s="1040"/>
      <c r="OSB28" s="1040"/>
      <c r="OSC28" s="1040"/>
      <c r="OSD28" s="1040"/>
      <c r="OSE28" s="1040"/>
      <c r="OSF28" s="1040"/>
      <c r="OSG28" s="1040"/>
      <c r="OSH28" s="1040"/>
      <c r="OSI28" s="1040"/>
      <c r="OSJ28" s="1040"/>
      <c r="OSK28" s="1040"/>
      <c r="OSL28" s="1040"/>
      <c r="OSM28" s="1040"/>
      <c r="OSN28" s="1040"/>
      <c r="OSO28" s="1040"/>
      <c r="OSP28" s="1040"/>
      <c r="OSQ28" s="1040"/>
      <c r="OSR28" s="1040"/>
      <c r="OSS28" s="1040"/>
      <c r="OST28" s="1040"/>
      <c r="OSU28" s="1040"/>
      <c r="OSV28" s="1040"/>
      <c r="OSW28" s="1040"/>
      <c r="OSX28" s="1040"/>
      <c r="OSY28" s="1040"/>
      <c r="OSZ28" s="1040"/>
      <c r="OTA28" s="1040"/>
      <c r="OTB28" s="1040"/>
      <c r="OTC28" s="1040"/>
      <c r="OTD28" s="1040"/>
      <c r="OTE28" s="1040"/>
      <c r="OTF28" s="1040"/>
      <c r="OTG28" s="1040"/>
      <c r="OTH28" s="1040"/>
      <c r="OTI28" s="1040"/>
      <c r="OTJ28" s="1040"/>
      <c r="OTK28" s="1040"/>
      <c r="OTL28" s="1040"/>
      <c r="OTM28" s="1040"/>
      <c r="OTN28" s="1040"/>
      <c r="OTO28" s="1040"/>
      <c r="OTP28" s="1040"/>
      <c r="OTQ28" s="1040"/>
      <c r="OTR28" s="1040"/>
      <c r="OTS28" s="1040"/>
      <c r="OTT28" s="1040"/>
      <c r="OTU28" s="1040"/>
      <c r="OTV28" s="1040"/>
      <c r="OTW28" s="1040"/>
      <c r="OTX28" s="1040"/>
      <c r="OTY28" s="1040"/>
      <c r="OTZ28" s="1040"/>
      <c r="OUA28" s="1040"/>
      <c r="OUB28" s="1040"/>
      <c r="OUC28" s="1040"/>
      <c r="OUD28" s="1040"/>
      <c r="OUE28" s="1040"/>
      <c r="OUF28" s="1040"/>
      <c r="OUG28" s="1040"/>
      <c r="OUH28" s="1040"/>
      <c r="OUI28" s="1040"/>
      <c r="OUJ28" s="1040"/>
      <c r="OUK28" s="1040"/>
      <c r="OUL28" s="1040"/>
      <c r="OUM28" s="1040"/>
      <c r="OUN28" s="1040"/>
      <c r="OUO28" s="1040"/>
      <c r="OUP28" s="1040"/>
      <c r="OUQ28" s="1040"/>
      <c r="OUR28" s="1040"/>
      <c r="OUS28" s="1040"/>
      <c r="OUT28" s="1040"/>
      <c r="OUU28" s="1040"/>
      <c r="OUV28" s="1040"/>
      <c r="OUW28" s="1040"/>
      <c r="OUX28" s="1040"/>
      <c r="OUY28" s="1040"/>
      <c r="OUZ28" s="1040"/>
      <c r="OVA28" s="1040"/>
      <c r="OVB28" s="1040"/>
      <c r="OVC28" s="1040"/>
      <c r="OVD28" s="1040"/>
      <c r="OVE28" s="1040"/>
      <c r="OVF28" s="1040"/>
      <c r="OVG28" s="1040"/>
      <c r="OVH28" s="1040"/>
      <c r="OVI28" s="1040"/>
      <c r="OVJ28" s="1040"/>
      <c r="OVK28" s="1040"/>
      <c r="OVL28" s="1040"/>
      <c r="OVM28" s="1040"/>
      <c r="OVN28" s="1040"/>
      <c r="OVO28" s="1040"/>
      <c r="OVP28" s="1040"/>
      <c r="OVQ28" s="1040"/>
      <c r="OVR28" s="1040"/>
      <c r="OVS28" s="1040"/>
      <c r="OVT28" s="1040"/>
      <c r="OVU28" s="1040"/>
      <c r="OVV28" s="1040"/>
      <c r="OVW28" s="1040"/>
      <c r="OVX28" s="1040"/>
      <c r="OVY28" s="1040"/>
      <c r="OVZ28" s="1040"/>
      <c r="OWA28" s="1040"/>
      <c r="OWB28" s="1040"/>
      <c r="OWC28" s="1040"/>
      <c r="OWD28" s="1040"/>
      <c r="OWE28" s="1040"/>
      <c r="OWF28" s="1040"/>
      <c r="OWG28" s="1040"/>
      <c r="OWH28" s="1040"/>
      <c r="OWI28" s="1040"/>
      <c r="OWJ28" s="1040"/>
      <c r="OWK28" s="1040"/>
      <c r="OWL28" s="1040"/>
      <c r="OWM28" s="1040"/>
      <c r="OWN28" s="1040"/>
      <c r="OWO28" s="1040"/>
      <c r="OWP28" s="1040"/>
      <c r="OWQ28" s="1040"/>
      <c r="OWR28" s="1040"/>
      <c r="OWS28" s="1040"/>
      <c r="OWT28" s="1040"/>
      <c r="OWU28" s="1040"/>
      <c r="OWV28" s="1040"/>
      <c r="OWW28" s="1040"/>
      <c r="OWX28" s="1040"/>
      <c r="OWY28" s="1040"/>
      <c r="OWZ28" s="1040"/>
      <c r="OXA28" s="1040"/>
      <c r="OXB28" s="1040"/>
      <c r="OXC28" s="1040"/>
      <c r="OXD28" s="1040"/>
      <c r="OXE28" s="1040"/>
      <c r="OXF28" s="1040"/>
      <c r="OXG28" s="1040"/>
      <c r="OXH28" s="1040"/>
      <c r="OXI28" s="1040"/>
      <c r="OXJ28" s="1040"/>
      <c r="OXK28" s="1040"/>
      <c r="OXL28" s="1040"/>
      <c r="OXM28" s="1040"/>
      <c r="OXN28" s="1040"/>
      <c r="OXO28" s="1040"/>
      <c r="OXP28" s="1040"/>
      <c r="OXQ28" s="1040"/>
      <c r="OXR28" s="1040"/>
      <c r="OXS28" s="1040"/>
      <c r="OXT28" s="1040"/>
      <c r="OXU28" s="1040"/>
      <c r="OXV28" s="1040"/>
      <c r="OXW28" s="1040"/>
      <c r="OXX28" s="1040"/>
      <c r="OXY28" s="1040"/>
      <c r="OXZ28" s="1040"/>
      <c r="OYA28" s="1040"/>
      <c r="OYB28" s="1040"/>
      <c r="OYC28" s="1040"/>
      <c r="OYD28" s="1040"/>
      <c r="OYE28" s="1040"/>
      <c r="OYF28" s="1040"/>
      <c r="OYG28" s="1040"/>
      <c r="OYH28" s="1040"/>
      <c r="OYI28" s="1040"/>
      <c r="OYJ28" s="1040"/>
      <c r="OYK28" s="1040"/>
      <c r="OYL28" s="1040"/>
      <c r="OYM28" s="1040"/>
      <c r="OYN28" s="1040"/>
      <c r="OYO28" s="1040"/>
      <c r="OYP28" s="1040"/>
      <c r="OYQ28" s="1040"/>
      <c r="OYR28" s="1040"/>
      <c r="OYS28" s="1040"/>
      <c r="OYT28" s="1040"/>
      <c r="OYU28" s="1040"/>
      <c r="OYV28" s="1040"/>
      <c r="OYW28" s="1040"/>
      <c r="OYX28" s="1040"/>
      <c r="OYY28" s="1040"/>
      <c r="OYZ28" s="1040"/>
      <c r="OZA28" s="1040"/>
      <c r="OZB28" s="1040"/>
      <c r="OZC28" s="1040"/>
      <c r="OZD28" s="1040"/>
      <c r="OZE28" s="1040"/>
      <c r="OZF28" s="1040"/>
      <c r="OZG28" s="1040"/>
      <c r="OZH28" s="1040"/>
      <c r="OZI28" s="1040"/>
      <c r="OZJ28" s="1040"/>
      <c r="OZK28" s="1040"/>
      <c r="OZL28" s="1040"/>
      <c r="OZM28" s="1040"/>
      <c r="OZN28" s="1040"/>
      <c r="OZO28" s="1040"/>
      <c r="OZP28" s="1040"/>
      <c r="OZQ28" s="1040"/>
      <c r="OZR28" s="1040"/>
      <c r="OZS28" s="1040"/>
      <c r="OZT28" s="1040"/>
      <c r="OZU28" s="1040"/>
      <c r="OZV28" s="1040"/>
      <c r="OZW28" s="1040"/>
      <c r="OZX28" s="1040"/>
      <c r="OZY28" s="1040"/>
      <c r="OZZ28" s="1040"/>
      <c r="PAA28" s="1040"/>
      <c r="PAB28" s="1040"/>
      <c r="PAC28" s="1040"/>
      <c r="PAD28" s="1040"/>
      <c r="PAE28" s="1040"/>
      <c r="PAF28" s="1040"/>
      <c r="PAG28" s="1040"/>
      <c r="PAH28" s="1040"/>
      <c r="PAI28" s="1040"/>
      <c r="PAJ28" s="1040"/>
      <c r="PAK28" s="1040"/>
      <c r="PAL28" s="1040"/>
      <c r="PAM28" s="1040"/>
      <c r="PAN28" s="1040"/>
      <c r="PAO28" s="1040"/>
      <c r="PAP28" s="1040"/>
      <c r="PAQ28" s="1040"/>
      <c r="PAR28" s="1040"/>
      <c r="PAS28" s="1040"/>
      <c r="PAT28" s="1040"/>
      <c r="PAU28" s="1040"/>
      <c r="PAV28" s="1040"/>
      <c r="PAW28" s="1040"/>
      <c r="PAX28" s="1040"/>
      <c r="PAY28" s="1040"/>
      <c r="PAZ28" s="1040"/>
      <c r="PBA28" s="1040"/>
      <c r="PBB28" s="1040"/>
      <c r="PBC28" s="1040"/>
      <c r="PBD28" s="1040"/>
      <c r="PBE28" s="1040"/>
      <c r="PBF28" s="1040"/>
      <c r="PBG28" s="1040"/>
      <c r="PBH28" s="1040"/>
      <c r="PBI28" s="1040"/>
      <c r="PBJ28" s="1040"/>
      <c r="PBK28" s="1040"/>
      <c r="PBL28" s="1040"/>
      <c r="PBM28" s="1040"/>
      <c r="PBN28" s="1040"/>
      <c r="PBO28" s="1040"/>
      <c r="PBP28" s="1040"/>
      <c r="PBQ28" s="1040"/>
      <c r="PBR28" s="1040"/>
      <c r="PBS28" s="1040"/>
      <c r="PBT28" s="1040"/>
      <c r="PBU28" s="1040"/>
      <c r="PBV28" s="1040"/>
      <c r="PBW28" s="1040"/>
      <c r="PBX28" s="1040"/>
      <c r="PBY28" s="1040"/>
      <c r="PBZ28" s="1040"/>
      <c r="PCA28" s="1040"/>
      <c r="PCB28" s="1040"/>
      <c r="PCC28" s="1040"/>
      <c r="PCD28" s="1040"/>
      <c r="PCE28" s="1040"/>
      <c r="PCF28" s="1040"/>
      <c r="PCG28" s="1040"/>
      <c r="PCH28" s="1040"/>
      <c r="PCI28" s="1040"/>
      <c r="PCJ28" s="1040"/>
      <c r="PCK28" s="1040"/>
      <c r="PCL28" s="1040"/>
      <c r="PCM28" s="1040"/>
      <c r="PCN28" s="1040"/>
      <c r="PCO28" s="1040"/>
      <c r="PCP28" s="1040"/>
      <c r="PCQ28" s="1040"/>
      <c r="PCR28" s="1040"/>
      <c r="PCS28" s="1040"/>
      <c r="PCT28" s="1040"/>
      <c r="PCU28" s="1040"/>
      <c r="PCV28" s="1040"/>
      <c r="PCW28" s="1040"/>
      <c r="PCX28" s="1040"/>
      <c r="PCY28" s="1040"/>
      <c r="PCZ28" s="1040"/>
      <c r="PDA28" s="1040"/>
      <c r="PDB28" s="1040"/>
      <c r="PDC28" s="1040"/>
      <c r="PDD28" s="1040"/>
      <c r="PDE28" s="1040"/>
      <c r="PDF28" s="1040"/>
      <c r="PDG28" s="1040"/>
      <c r="PDH28" s="1040"/>
      <c r="PDI28" s="1040"/>
      <c r="PDJ28" s="1040"/>
      <c r="PDK28" s="1040"/>
      <c r="PDL28" s="1040"/>
      <c r="PDM28" s="1040"/>
      <c r="PDN28" s="1040"/>
      <c r="PDO28" s="1040"/>
      <c r="PDP28" s="1040"/>
      <c r="PDQ28" s="1040"/>
      <c r="PDR28" s="1040"/>
      <c r="PDS28" s="1040"/>
      <c r="PDT28" s="1040"/>
      <c r="PDU28" s="1040"/>
      <c r="PDV28" s="1040"/>
      <c r="PDW28" s="1040"/>
      <c r="PDX28" s="1040"/>
      <c r="PDY28" s="1040"/>
      <c r="PDZ28" s="1040"/>
      <c r="PEA28" s="1040"/>
      <c r="PEB28" s="1040"/>
      <c r="PEC28" s="1040"/>
      <c r="PED28" s="1040"/>
      <c r="PEE28" s="1040"/>
      <c r="PEF28" s="1040"/>
      <c r="PEG28" s="1040"/>
      <c r="PEH28" s="1040"/>
      <c r="PEI28" s="1040"/>
      <c r="PEJ28" s="1040"/>
      <c r="PEK28" s="1040"/>
      <c r="PEL28" s="1040"/>
      <c r="PEM28" s="1040"/>
      <c r="PEN28" s="1040"/>
      <c r="PEO28" s="1040"/>
      <c r="PEP28" s="1040"/>
      <c r="PEQ28" s="1040"/>
      <c r="PER28" s="1040"/>
      <c r="PES28" s="1040"/>
      <c r="PET28" s="1040"/>
      <c r="PEU28" s="1040"/>
      <c r="PEV28" s="1040"/>
      <c r="PEW28" s="1040"/>
      <c r="PEX28" s="1040"/>
      <c r="PEY28" s="1040"/>
      <c r="PEZ28" s="1040"/>
      <c r="PFA28" s="1040"/>
      <c r="PFB28" s="1040"/>
      <c r="PFC28" s="1040"/>
      <c r="PFD28" s="1040"/>
      <c r="PFE28" s="1040"/>
      <c r="PFF28" s="1040"/>
      <c r="PFG28" s="1040"/>
      <c r="PFH28" s="1040"/>
      <c r="PFI28" s="1040"/>
      <c r="PFJ28" s="1040"/>
      <c r="PFK28" s="1040"/>
      <c r="PFL28" s="1040"/>
      <c r="PFM28" s="1040"/>
      <c r="PFN28" s="1040"/>
      <c r="PFO28" s="1040"/>
      <c r="PFP28" s="1040"/>
      <c r="PFQ28" s="1040"/>
      <c r="PFR28" s="1040"/>
      <c r="PFS28" s="1040"/>
      <c r="PFT28" s="1040"/>
      <c r="PFU28" s="1040"/>
      <c r="PFV28" s="1040"/>
      <c r="PFW28" s="1040"/>
      <c r="PFX28" s="1040"/>
      <c r="PFY28" s="1040"/>
      <c r="PFZ28" s="1040"/>
      <c r="PGA28" s="1040"/>
      <c r="PGB28" s="1040"/>
      <c r="PGC28" s="1040"/>
      <c r="PGD28" s="1040"/>
      <c r="PGE28" s="1040"/>
      <c r="PGF28" s="1040"/>
      <c r="PGG28" s="1040"/>
      <c r="PGH28" s="1040"/>
      <c r="PGI28" s="1040"/>
      <c r="PGJ28" s="1040"/>
      <c r="PGK28" s="1040"/>
      <c r="PGL28" s="1040"/>
      <c r="PGM28" s="1040"/>
      <c r="PGN28" s="1040"/>
      <c r="PGO28" s="1040"/>
      <c r="PGP28" s="1040"/>
      <c r="PGQ28" s="1040"/>
      <c r="PGR28" s="1040"/>
      <c r="PGS28" s="1040"/>
      <c r="PGT28" s="1040"/>
      <c r="PGU28" s="1040"/>
      <c r="PGV28" s="1040"/>
      <c r="PGW28" s="1040"/>
      <c r="PGX28" s="1040"/>
      <c r="PGY28" s="1040"/>
      <c r="PGZ28" s="1040"/>
      <c r="PHA28" s="1040"/>
      <c r="PHB28" s="1040"/>
      <c r="PHC28" s="1040"/>
      <c r="PHD28" s="1040"/>
      <c r="PHE28" s="1040"/>
      <c r="PHF28" s="1040"/>
      <c r="PHG28" s="1040"/>
      <c r="PHH28" s="1040"/>
      <c r="PHI28" s="1040"/>
      <c r="PHJ28" s="1040"/>
      <c r="PHK28" s="1040"/>
      <c r="PHL28" s="1040"/>
      <c r="PHM28" s="1040"/>
      <c r="PHN28" s="1040"/>
      <c r="PHO28" s="1040"/>
      <c r="PHP28" s="1040"/>
      <c r="PHQ28" s="1040"/>
      <c r="PHR28" s="1040"/>
      <c r="PHS28" s="1040"/>
      <c r="PHT28" s="1040"/>
      <c r="PHU28" s="1040"/>
      <c r="PHV28" s="1040"/>
      <c r="PHW28" s="1040"/>
      <c r="PHX28" s="1040"/>
      <c r="PHY28" s="1040"/>
      <c r="PHZ28" s="1040"/>
      <c r="PIA28" s="1040"/>
      <c r="PIB28" s="1040"/>
      <c r="PIC28" s="1040"/>
      <c r="PID28" s="1040"/>
      <c r="PIE28" s="1040"/>
      <c r="PIF28" s="1040"/>
      <c r="PIG28" s="1040"/>
      <c r="PIH28" s="1040"/>
      <c r="PII28" s="1040"/>
      <c r="PIJ28" s="1040"/>
      <c r="PIK28" s="1040"/>
      <c r="PIL28" s="1040"/>
      <c r="PIM28" s="1040"/>
      <c r="PIN28" s="1040"/>
      <c r="PIO28" s="1040"/>
      <c r="PIP28" s="1040"/>
      <c r="PIQ28" s="1040"/>
      <c r="PIR28" s="1040"/>
      <c r="PIS28" s="1040"/>
      <c r="PIT28" s="1040"/>
      <c r="PIU28" s="1040"/>
      <c r="PIV28" s="1040"/>
      <c r="PIW28" s="1040"/>
      <c r="PIX28" s="1040"/>
      <c r="PIY28" s="1040"/>
      <c r="PIZ28" s="1040"/>
      <c r="PJA28" s="1040"/>
      <c r="PJB28" s="1040"/>
      <c r="PJC28" s="1040"/>
      <c r="PJD28" s="1040"/>
      <c r="PJE28" s="1040"/>
      <c r="PJF28" s="1040"/>
      <c r="PJG28" s="1040"/>
      <c r="PJH28" s="1040"/>
      <c r="PJI28" s="1040"/>
      <c r="PJJ28" s="1040"/>
      <c r="PJK28" s="1040"/>
      <c r="PJL28" s="1040"/>
      <c r="PJM28" s="1040"/>
      <c r="PJN28" s="1040"/>
      <c r="PJO28" s="1040"/>
      <c r="PJP28" s="1040"/>
      <c r="PJQ28" s="1040"/>
      <c r="PJR28" s="1040"/>
      <c r="PJS28" s="1040"/>
      <c r="PJT28" s="1040"/>
      <c r="PJU28" s="1040"/>
      <c r="PJV28" s="1040"/>
      <c r="PJW28" s="1040"/>
      <c r="PJX28" s="1040"/>
      <c r="PJY28" s="1040"/>
      <c r="PJZ28" s="1040"/>
      <c r="PKA28" s="1040"/>
      <c r="PKB28" s="1040"/>
      <c r="PKC28" s="1040"/>
      <c r="PKD28" s="1040"/>
      <c r="PKE28" s="1040"/>
      <c r="PKF28" s="1040"/>
      <c r="PKG28" s="1040"/>
      <c r="PKH28" s="1040"/>
      <c r="PKI28" s="1040"/>
      <c r="PKJ28" s="1040"/>
      <c r="PKK28" s="1040"/>
      <c r="PKL28" s="1040"/>
      <c r="PKM28" s="1040"/>
      <c r="PKN28" s="1040"/>
      <c r="PKO28" s="1040"/>
      <c r="PKP28" s="1040"/>
      <c r="PKQ28" s="1040"/>
      <c r="PKR28" s="1040"/>
      <c r="PKS28" s="1040"/>
      <c r="PKT28" s="1040"/>
      <c r="PKU28" s="1040"/>
      <c r="PKV28" s="1040"/>
      <c r="PKW28" s="1040"/>
      <c r="PKX28" s="1040"/>
      <c r="PKY28" s="1040"/>
      <c r="PKZ28" s="1040"/>
      <c r="PLA28" s="1040"/>
      <c r="PLB28" s="1040"/>
      <c r="PLC28" s="1040"/>
      <c r="PLD28" s="1040"/>
      <c r="PLE28" s="1040"/>
      <c r="PLF28" s="1040"/>
      <c r="PLG28" s="1040"/>
      <c r="PLH28" s="1040"/>
      <c r="PLI28" s="1040"/>
      <c r="PLJ28" s="1040"/>
      <c r="PLK28" s="1040"/>
      <c r="PLL28" s="1040"/>
      <c r="PLM28" s="1040"/>
      <c r="PLN28" s="1040"/>
      <c r="PLO28" s="1040"/>
      <c r="PLP28" s="1040"/>
      <c r="PLQ28" s="1040"/>
      <c r="PLR28" s="1040"/>
      <c r="PLS28" s="1040"/>
      <c r="PLT28" s="1040"/>
      <c r="PLU28" s="1040"/>
      <c r="PLV28" s="1040"/>
      <c r="PLW28" s="1040"/>
      <c r="PLX28" s="1040"/>
      <c r="PLY28" s="1040"/>
      <c r="PLZ28" s="1040"/>
      <c r="PMA28" s="1040"/>
      <c r="PMB28" s="1040"/>
      <c r="PMC28" s="1040"/>
      <c r="PMD28" s="1040"/>
      <c r="PME28" s="1040"/>
      <c r="PMF28" s="1040"/>
      <c r="PMG28" s="1040"/>
      <c r="PMH28" s="1040"/>
      <c r="PMI28" s="1040"/>
      <c r="PMJ28" s="1040"/>
      <c r="PMK28" s="1040"/>
      <c r="PML28" s="1040"/>
      <c r="PMM28" s="1040"/>
      <c r="PMN28" s="1040"/>
      <c r="PMO28" s="1040"/>
      <c r="PMP28" s="1040"/>
      <c r="PMQ28" s="1040"/>
      <c r="PMR28" s="1040"/>
      <c r="PMS28" s="1040"/>
      <c r="PMT28" s="1040"/>
      <c r="PMU28" s="1040"/>
      <c r="PMV28" s="1040"/>
      <c r="PMW28" s="1040"/>
      <c r="PMX28" s="1040"/>
      <c r="PMY28" s="1040"/>
      <c r="PMZ28" s="1040"/>
      <c r="PNA28" s="1040"/>
      <c r="PNB28" s="1040"/>
      <c r="PNC28" s="1040"/>
      <c r="PND28" s="1040"/>
      <c r="PNE28" s="1040"/>
      <c r="PNF28" s="1040"/>
      <c r="PNG28" s="1040"/>
      <c r="PNH28" s="1040"/>
      <c r="PNI28" s="1040"/>
      <c r="PNJ28" s="1040"/>
      <c r="PNK28" s="1040"/>
      <c r="PNL28" s="1040"/>
      <c r="PNM28" s="1040"/>
      <c r="PNN28" s="1040"/>
      <c r="PNO28" s="1040"/>
      <c r="PNP28" s="1040"/>
      <c r="PNQ28" s="1040"/>
      <c r="PNR28" s="1040"/>
      <c r="PNS28" s="1040"/>
      <c r="PNT28" s="1040"/>
      <c r="PNU28" s="1040"/>
      <c r="PNV28" s="1040"/>
      <c r="PNW28" s="1040"/>
      <c r="PNX28" s="1040"/>
      <c r="PNY28" s="1040"/>
      <c r="PNZ28" s="1040"/>
      <c r="POA28" s="1040"/>
      <c r="POB28" s="1040"/>
      <c r="POC28" s="1040"/>
      <c r="POD28" s="1040"/>
      <c r="POE28" s="1040"/>
      <c r="POF28" s="1040"/>
      <c r="POG28" s="1040"/>
      <c r="POH28" s="1040"/>
      <c r="POI28" s="1040"/>
      <c r="POJ28" s="1040"/>
      <c r="POK28" s="1040"/>
      <c r="POL28" s="1040"/>
      <c r="POM28" s="1040"/>
      <c r="PON28" s="1040"/>
      <c r="POO28" s="1040"/>
      <c r="POP28" s="1040"/>
      <c r="POQ28" s="1040"/>
      <c r="POR28" s="1040"/>
      <c r="POS28" s="1040"/>
      <c r="POT28" s="1040"/>
      <c r="POU28" s="1040"/>
      <c r="POV28" s="1040"/>
      <c r="POW28" s="1040"/>
      <c r="POX28" s="1040"/>
      <c r="POY28" s="1040"/>
      <c r="POZ28" s="1040"/>
      <c r="PPA28" s="1040"/>
      <c r="PPB28" s="1040"/>
      <c r="PPC28" s="1040"/>
      <c r="PPD28" s="1040"/>
      <c r="PPE28" s="1040"/>
      <c r="PPF28" s="1040"/>
      <c r="PPG28" s="1040"/>
      <c r="PPH28" s="1040"/>
      <c r="PPI28" s="1040"/>
      <c r="PPJ28" s="1040"/>
      <c r="PPK28" s="1040"/>
      <c r="PPL28" s="1040"/>
      <c r="PPM28" s="1040"/>
      <c r="PPN28" s="1040"/>
      <c r="PPO28" s="1040"/>
      <c r="PPP28" s="1040"/>
      <c r="PPQ28" s="1040"/>
      <c r="PPR28" s="1040"/>
      <c r="PPS28" s="1040"/>
      <c r="PPT28" s="1040"/>
      <c r="PPU28" s="1040"/>
      <c r="PPV28" s="1040"/>
      <c r="PPW28" s="1040"/>
      <c r="PPX28" s="1040"/>
      <c r="PPY28" s="1040"/>
      <c r="PPZ28" s="1040"/>
      <c r="PQA28" s="1040"/>
      <c r="PQB28" s="1040"/>
      <c r="PQC28" s="1040"/>
      <c r="PQD28" s="1040"/>
      <c r="PQE28" s="1040"/>
      <c r="PQF28" s="1040"/>
      <c r="PQG28" s="1040"/>
      <c r="PQH28" s="1040"/>
      <c r="PQI28" s="1040"/>
      <c r="PQJ28" s="1040"/>
      <c r="PQK28" s="1040"/>
      <c r="PQL28" s="1040"/>
      <c r="PQM28" s="1040"/>
      <c r="PQN28" s="1040"/>
      <c r="PQO28" s="1040"/>
      <c r="PQP28" s="1040"/>
      <c r="PQQ28" s="1040"/>
      <c r="PQR28" s="1040"/>
      <c r="PQS28" s="1040"/>
      <c r="PQT28" s="1040"/>
      <c r="PQU28" s="1040"/>
      <c r="PQV28" s="1040"/>
      <c r="PQW28" s="1040"/>
      <c r="PQX28" s="1040"/>
      <c r="PQY28" s="1040"/>
      <c r="PQZ28" s="1040"/>
      <c r="PRA28" s="1040"/>
      <c r="PRB28" s="1040"/>
      <c r="PRC28" s="1040"/>
      <c r="PRD28" s="1040"/>
      <c r="PRE28" s="1040"/>
      <c r="PRF28" s="1040"/>
      <c r="PRG28" s="1040"/>
      <c r="PRH28" s="1040"/>
      <c r="PRI28" s="1040"/>
      <c r="PRJ28" s="1040"/>
      <c r="PRK28" s="1040"/>
      <c r="PRL28" s="1040"/>
      <c r="PRM28" s="1040"/>
      <c r="PRN28" s="1040"/>
      <c r="PRO28" s="1040"/>
      <c r="PRP28" s="1040"/>
      <c r="PRQ28" s="1040"/>
      <c r="PRR28" s="1040"/>
      <c r="PRS28" s="1040"/>
      <c r="PRT28" s="1040"/>
      <c r="PRU28" s="1040"/>
      <c r="PRV28" s="1040"/>
      <c r="PRW28" s="1040"/>
      <c r="PRX28" s="1040"/>
      <c r="PRY28" s="1040"/>
      <c r="PRZ28" s="1040"/>
      <c r="PSA28" s="1040"/>
      <c r="PSB28" s="1040"/>
      <c r="PSC28" s="1040"/>
      <c r="PSD28" s="1040"/>
      <c r="PSE28" s="1040"/>
      <c r="PSF28" s="1040"/>
      <c r="PSG28" s="1040"/>
      <c r="PSH28" s="1040"/>
      <c r="PSI28" s="1040"/>
      <c r="PSJ28" s="1040"/>
      <c r="PSK28" s="1040"/>
      <c r="PSL28" s="1040"/>
      <c r="PSM28" s="1040"/>
      <c r="PSN28" s="1040"/>
      <c r="PSO28" s="1040"/>
      <c r="PSP28" s="1040"/>
      <c r="PSQ28" s="1040"/>
      <c r="PSR28" s="1040"/>
      <c r="PSS28" s="1040"/>
      <c r="PST28" s="1040"/>
      <c r="PSU28" s="1040"/>
      <c r="PSV28" s="1040"/>
      <c r="PSW28" s="1040"/>
      <c r="PSX28" s="1040"/>
      <c r="PSY28" s="1040"/>
      <c r="PSZ28" s="1040"/>
      <c r="PTA28" s="1040"/>
      <c r="PTB28" s="1040"/>
      <c r="PTC28" s="1040"/>
      <c r="PTD28" s="1040"/>
      <c r="PTE28" s="1040"/>
      <c r="PTF28" s="1040"/>
      <c r="PTG28" s="1040"/>
      <c r="PTH28" s="1040"/>
      <c r="PTI28" s="1040"/>
      <c r="PTJ28" s="1040"/>
      <c r="PTK28" s="1040"/>
      <c r="PTL28" s="1040"/>
      <c r="PTM28" s="1040"/>
      <c r="PTN28" s="1040"/>
      <c r="PTO28" s="1040"/>
      <c r="PTP28" s="1040"/>
      <c r="PTQ28" s="1040"/>
      <c r="PTR28" s="1040"/>
      <c r="PTS28" s="1040"/>
      <c r="PTT28" s="1040"/>
      <c r="PTU28" s="1040"/>
      <c r="PTV28" s="1040"/>
      <c r="PTW28" s="1040"/>
      <c r="PTX28" s="1040"/>
      <c r="PTY28" s="1040"/>
      <c r="PTZ28" s="1040"/>
      <c r="PUA28" s="1040"/>
      <c r="PUB28" s="1040"/>
      <c r="PUC28" s="1040"/>
      <c r="PUD28" s="1040"/>
      <c r="PUE28" s="1040"/>
      <c r="PUF28" s="1040"/>
      <c r="PUG28" s="1040"/>
      <c r="PUH28" s="1040"/>
      <c r="PUI28" s="1040"/>
      <c r="PUJ28" s="1040"/>
      <c r="PUK28" s="1040"/>
      <c r="PUL28" s="1040"/>
      <c r="PUM28" s="1040"/>
      <c r="PUN28" s="1040"/>
      <c r="PUO28" s="1040"/>
      <c r="PUP28" s="1040"/>
      <c r="PUQ28" s="1040"/>
      <c r="PUR28" s="1040"/>
      <c r="PUS28" s="1040"/>
      <c r="PUT28" s="1040"/>
      <c r="PUU28" s="1040"/>
      <c r="PUV28" s="1040"/>
      <c r="PUW28" s="1040"/>
      <c r="PUX28" s="1040"/>
      <c r="PUY28" s="1040"/>
      <c r="PUZ28" s="1040"/>
      <c r="PVA28" s="1040"/>
      <c r="PVB28" s="1040"/>
      <c r="PVC28" s="1040"/>
      <c r="PVD28" s="1040"/>
      <c r="PVE28" s="1040"/>
      <c r="PVF28" s="1040"/>
      <c r="PVG28" s="1040"/>
      <c r="PVH28" s="1040"/>
      <c r="PVI28" s="1040"/>
      <c r="PVJ28" s="1040"/>
      <c r="PVK28" s="1040"/>
      <c r="PVL28" s="1040"/>
      <c r="PVM28" s="1040"/>
      <c r="PVN28" s="1040"/>
      <c r="PVO28" s="1040"/>
      <c r="PVP28" s="1040"/>
      <c r="PVQ28" s="1040"/>
      <c r="PVR28" s="1040"/>
      <c r="PVS28" s="1040"/>
      <c r="PVT28" s="1040"/>
      <c r="PVU28" s="1040"/>
      <c r="PVV28" s="1040"/>
      <c r="PVW28" s="1040"/>
      <c r="PVX28" s="1040"/>
      <c r="PVY28" s="1040"/>
      <c r="PVZ28" s="1040"/>
      <c r="PWA28" s="1040"/>
      <c r="PWB28" s="1040"/>
      <c r="PWC28" s="1040"/>
      <c r="PWD28" s="1040"/>
      <c r="PWE28" s="1040"/>
      <c r="PWF28" s="1040"/>
      <c r="PWG28" s="1040"/>
      <c r="PWH28" s="1040"/>
      <c r="PWI28" s="1040"/>
      <c r="PWJ28" s="1040"/>
      <c r="PWK28" s="1040"/>
      <c r="PWL28" s="1040"/>
      <c r="PWM28" s="1040"/>
      <c r="PWN28" s="1040"/>
      <c r="PWO28" s="1040"/>
      <c r="PWP28" s="1040"/>
      <c r="PWQ28" s="1040"/>
      <c r="PWR28" s="1040"/>
      <c r="PWS28" s="1040"/>
      <c r="PWT28" s="1040"/>
      <c r="PWU28" s="1040"/>
      <c r="PWV28" s="1040"/>
      <c r="PWW28" s="1040"/>
      <c r="PWX28" s="1040"/>
      <c r="PWY28" s="1040"/>
      <c r="PWZ28" s="1040"/>
      <c r="PXA28" s="1040"/>
      <c r="PXB28" s="1040"/>
      <c r="PXC28" s="1040"/>
      <c r="PXD28" s="1040"/>
      <c r="PXE28" s="1040"/>
      <c r="PXF28" s="1040"/>
      <c r="PXG28" s="1040"/>
      <c r="PXH28" s="1040"/>
      <c r="PXI28" s="1040"/>
      <c r="PXJ28" s="1040"/>
      <c r="PXK28" s="1040"/>
      <c r="PXL28" s="1040"/>
      <c r="PXM28" s="1040"/>
      <c r="PXN28" s="1040"/>
      <c r="PXO28" s="1040"/>
      <c r="PXP28" s="1040"/>
      <c r="PXQ28" s="1040"/>
      <c r="PXR28" s="1040"/>
      <c r="PXS28" s="1040"/>
      <c r="PXT28" s="1040"/>
      <c r="PXU28" s="1040"/>
      <c r="PXV28" s="1040"/>
      <c r="PXW28" s="1040"/>
      <c r="PXX28" s="1040"/>
      <c r="PXY28" s="1040"/>
      <c r="PXZ28" s="1040"/>
      <c r="PYA28" s="1040"/>
      <c r="PYB28" s="1040"/>
      <c r="PYC28" s="1040"/>
      <c r="PYD28" s="1040"/>
      <c r="PYE28" s="1040"/>
      <c r="PYF28" s="1040"/>
      <c r="PYG28" s="1040"/>
      <c r="PYH28" s="1040"/>
      <c r="PYI28" s="1040"/>
      <c r="PYJ28" s="1040"/>
      <c r="PYK28" s="1040"/>
      <c r="PYL28" s="1040"/>
      <c r="PYM28" s="1040"/>
      <c r="PYN28" s="1040"/>
      <c r="PYO28" s="1040"/>
      <c r="PYP28" s="1040"/>
      <c r="PYQ28" s="1040"/>
      <c r="PYR28" s="1040"/>
      <c r="PYS28" s="1040"/>
      <c r="PYT28" s="1040"/>
      <c r="PYU28" s="1040"/>
      <c r="PYV28" s="1040"/>
      <c r="PYW28" s="1040"/>
      <c r="PYX28" s="1040"/>
      <c r="PYY28" s="1040"/>
      <c r="PYZ28" s="1040"/>
      <c r="PZA28" s="1040"/>
      <c r="PZB28" s="1040"/>
      <c r="PZC28" s="1040"/>
      <c r="PZD28" s="1040"/>
      <c r="PZE28" s="1040"/>
      <c r="PZF28" s="1040"/>
      <c r="PZG28" s="1040"/>
      <c r="PZH28" s="1040"/>
      <c r="PZI28" s="1040"/>
      <c r="PZJ28" s="1040"/>
      <c r="PZK28" s="1040"/>
      <c r="PZL28" s="1040"/>
      <c r="PZM28" s="1040"/>
      <c r="PZN28" s="1040"/>
      <c r="PZO28" s="1040"/>
      <c r="PZP28" s="1040"/>
      <c r="PZQ28" s="1040"/>
      <c r="PZR28" s="1040"/>
      <c r="PZS28" s="1040"/>
      <c r="PZT28" s="1040"/>
      <c r="PZU28" s="1040"/>
      <c r="PZV28" s="1040"/>
      <c r="PZW28" s="1040"/>
      <c r="PZX28" s="1040"/>
      <c r="PZY28" s="1040"/>
      <c r="PZZ28" s="1040"/>
      <c r="QAA28" s="1040"/>
      <c r="QAB28" s="1040"/>
      <c r="QAC28" s="1040"/>
      <c r="QAD28" s="1040"/>
      <c r="QAE28" s="1040"/>
      <c r="QAF28" s="1040"/>
      <c r="QAG28" s="1040"/>
      <c r="QAH28" s="1040"/>
      <c r="QAI28" s="1040"/>
      <c r="QAJ28" s="1040"/>
      <c r="QAK28" s="1040"/>
      <c r="QAL28" s="1040"/>
      <c r="QAM28" s="1040"/>
      <c r="QAN28" s="1040"/>
      <c r="QAO28" s="1040"/>
      <c r="QAP28" s="1040"/>
      <c r="QAQ28" s="1040"/>
      <c r="QAR28" s="1040"/>
      <c r="QAS28" s="1040"/>
      <c r="QAT28" s="1040"/>
      <c r="QAU28" s="1040"/>
      <c r="QAV28" s="1040"/>
      <c r="QAW28" s="1040"/>
      <c r="QAX28" s="1040"/>
      <c r="QAY28" s="1040"/>
      <c r="QAZ28" s="1040"/>
      <c r="QBA28" s="1040"/>
      <c r="QBB28" s="1040"/>
      <c r="QBC28" s="1040"/>
      <c r="QBD28" s="1040"/>
      <c r="QBE28" s="1040"/>
      <c r="QBF28" s="1040"/>
      <c r="QBG28" s="1040"/>
      <c r="QBH28" s="1040"/>
      <c r="QBI28" s="1040"/>
      <c r="QBJ28" s="1040"/>
      <c r="QBK28" s="1040"/>
      <c r="QBL28" s="1040"/>
      <c r="QBM28" s="1040"/>
      <c r="QBN28" s="1040"/>
      <c r="QBO28" s="1040"/>
      <c r="QBP28" s="1040"/>
      <c r="QBQ28" s="1040"/>
      <c r="QBR28" s="1040"/>
      <c r="QBS28" s="1040"/>
      <c r="QBT28" s="1040"/>
      <c r="QBU28" s="1040"/>
      <c r="QBV28" s="1040"/>
      <c r="QBW28" s="1040"/>
      <c r="QBX28" s="1040"/>
      <c r="QBY28" s="1040"/>
      <c r="QBZ28" s="1040"/>
      <c r="QCA28" s="1040"/>
      <c r="QCB28" s="1040"/>
      <c r="QCC28" s="1040"/>
      <c r="QCD28" s="1040"/>
      <c r="QCE28" s="1040"/>
      <c r="QCF28" s="1040"/>
      <c r="QCG28" s="1040"/>
      <c r="QCH28" s="1040"/>
      <c r="QCI28" s="1040"/>
      <c r="QCJ28" s="1040"/>
      <c r="QCK28" s="1040"/>
      <c r="QCL28" s="1040"/>
      <c r="QCM28" s="1040"/>
      <c r="QCN28" s="1040"/>
      <c r="QCO28" s="1040"/>
      <c r="QCP28" s="1040"/>
      <c r="QCQ28" s="1040"/>
      <c r="QCR28" s="1040"/>
      <c r="QCS28" s="1040"/>
      <c r="QCT28" s="1040"/>
      <c r="QCU28" s="1040"/>
      <c r="QCV28" s="1040"/>
      <c r="QCW28" s="1040"/>
      <c r="QCX28" s="1040"/>
      <c r="QCY28" s="1040"/>
      <c r="QCZ28" s="1040"/>
      <c r="QDA28" s="1040"/>
      <c r="QDB28" s="1040"/>
      <c r="QDC28" s="1040"/>
      <c r="QDD28" s="1040"/>
      <c r="QDE28" s="1040"/>
      <c r="QDF28" s="1040"/>
      <c r="QDG28" s="1040"/>
      <c r="QDH28" s="1040"/>
      <c r="QDI28" s="1040"/>
      <c r="QDJ28" s="1040"/>
      <c r="QDK28" s="1040"/>
      <c r="QDL28" s="1040"/>
      <c r="QDM28" s="1040"/>
      <c r="QDN28" s="1040"/>
      <c r="QDO28" s="1040"/>
      <c r="QDP28" s="1040"/>
      <c r="QDQ28" s="1040"/>
      <c r="QDR28" s="1040"/>
      <c r="QDS28" s="1040"/>
      <c r="QDT28" s="1040"/>
      <c r="QDU28" s="1040"/>
      <c r="QDV28" s="1040"/>
      <c r="QDW28" s="1040"/>
      <c r="QDX28" s="1040"/>
      <c r="QDY28" s="1040"/>
      <c r="QDZ28" s="1040"/>
      <c r="QEA28" s="1040"/>
      <c r="QEB28" s="1040"/>
      <c r="QEC28" s="1040"/>
      <c r="QED28" s="1040"/>
      <c r="QEE28" s="1040"/>
      <c r="QEF28" s="1040"/>
      <c r="QEG28" s="1040"/>
      <c r="QEH28" s="1040"/>
      <c r="QEI28" s="1040"/>
      <c r="QEJ28" s="1040"/>
      <c r="QEK28" s="1040"/>
      <c r="QEL28" s="1040"/>
      <c r="QEM28" s="1040"/>
      <c r="QEN28" s="1040"/>
      <c r="QEO28" s="1040"/>
      <c r="QEP28" s="1040"/>
      <c r="QEQ28" s="1040"/>
      <c r="QER28" s="1040"/>
      <c r="QES28" s="1040"/>
      <c r="QET28" s="1040"/>
      <c r="QEU28" s="1040"/>
      <c r="QEV28" s="1040"/>
      <c r="QEW28" s="1040"/>
      <c r="QEX28" s="1040"/>
      <c r="QEY28" s="1040"/>
      <c r="QEZ28" s="1040"/>
      <c r="QFA28" s="1040"/>
      <c r="QFB28" s="1040"/>
      <c r="QFC28" s="1040"/>
      <c r="QFD28" s="1040"/>
      <c r="QFE28" s="1040"/>
      <c r="QFF28" s="1040"/>
      <c r="QFG28" s="1040"/>
      <c r="QFH28" s="1040"/>
      <c r="QFI28" s="1040"/>
      <c r="QFJ28" s="1040"/>
      <c r="QFK28" s="1040"/>
      <c r="QFL28" s="1040"/>
      <c r="QFM28" s="1040"/>
      <c r="QFN28" s="1040"/>
      <c r="QFO28" s="1040"/>
      <c r="QFP28" s="1040"/>
      <c r="QFQ28" s="1040"/>
      <c r="QFR28" s="1040"/>
      <c r="QFS28" s="1040"/>
      <c r="QFT28" s="1040"/>
      <c r="QFU28" s="1040"/>
      <c r="QFV28" s="1040"/>
      <c r="QFW28" s="1040"/>
      <c r="QFX28" s="1040"/>
      <c r="QFY28" s="1040"/>
      <c r="QFZ28" s="1040"/>
      <c r="QGA28" s="1040"/>
      <c r="QGB28" s="1040"/>
      <c r="QGC28" s="1040"/>
      <c r="QGD28" s="1040"/>
      <c r="QGE28" s="1040"/>
      <c r="QGF28" s="1040"/>
      <c r="QGG28" s="1040"/>
      <c r="QGH28" s="1040"/>
      <c r="QGI28" s="1040"/>
      <c r="QGJ28" s="1040"/>
      <c r="QGK28" s="1040"/>
      <c r="QGL28" s="1040"/>
      <c r="QGM28" s="1040"/>
      <c r="QGN28" s="1040"/>
      <c r="QGO28" s="1040"/>
      <c r="QGP28" s="1040"/>
      <c r="QGQ28" s="1040"/>
      <c r="QGR28" s="1040"/>
      <c r="QGS28" s="1040"/>
      <c r="QGT28" s="1040"/>
      <c r="QGU28" s="1040"/>
      <c r="QGV28" s="1040"/>
      <c r="QGW28" s="1040"/>
      <c r="QGX28" s="1040"/>
      <c r="QGY28" s="1040"/>
      <c r="QGZ28" s="1040"/>
      <c r="QHA28" s="1040"/>
      <c r="QHB28" s="1040"/>
      <c r="QHC28" s="1040"/>
      <c r="QHD28" s="1040"/>
      <c r="QHE28" s="1040"/>
      <c r="QHF28" s="1040"/>
      <c r="QHG28" s="1040"/>
      <c r="QHH28" s="1040"/>
      <c r="QHI28" s="1040"/>
      <c r="QHJ28" s="1040"/>
      <c r="QHK28" s="1040"/>
      <c r="QHL28" s="1040"/>
      <c r="QHM28" s="1040"/>
      <c r="QHN28" s="1040"/>
      <c r="QHO28" s="1040"/>
      <c r="QHP28" s="1040"/>
      <c r="QHQ28" s="1040"/>
      <c r="QHR28" s="1040"/>
      <c r="QHS28" s="1040"/>
      <c r="QHT28" s="1040"/>
      <c r="QHU28" s="1040"/>
      <c r="QHV28" s="1040"/>
      <c r="QHW28" s="1040"/>
      <c r="QHX28" s="1040"/>
      <c r="QHY28" s="1040"/>
      <c r="QHZ28" s="1040"/>
      <c r="QIA28" s="1040"/>
      <c r="QIB28" s="1040"/>
      <c r="QIC28" s="1040"/>
      <c r="QID28" s="1040"/>
      <c r="QIE28" s="1040"/>
      <c r="QIF28" s="1040"/>
      <c r="QIG28" s="1040"/>
      <c r="QIH28" s="1040"/>
      <c r="QII28" s="1040"/>
      <c r="QIJ28" s="1040"/>
      <c r="QIK28" s="1040"/>
      <c r="QIL28" s="1040"/>
      <c r="QIM28" s="1040"/>
      <c r="QIN28" s="1040"/>
      <c r="QIO28" s="1040"/>
      <c r="QIP28" s="1040"/>
      <c r="QIQ28" s="1040"/>
      <c r="QIR28" s="1040"/>
      <c r="QIS28" s="1040"/>
      <c r="QIT28" s="1040"/>
      <c r="QIU28" s="1040"/>
      <c r="QIV28" s="1040"/>
      <c r="QIW28" s="1040"/>
      <c r="QIX28" s="1040"/>
      <c r="QIY28" s="1040"/>
      <c r="QIZ28" s="1040"/>
      <c r="QJA28" s="1040"/>
      <c r="QJB28" s="1040"/>
      <c r="QJC28" s="1040"/>
      <c r="QJD28" s="1040"/>
      <c r="QJE28" s="1040"/>
      <c r="QJF28" s="1040"/>
      <c r="QJG28" s="1040"/>
      <c r="QJH28" s="1040"/>
      <c r="QJI28" s="1040"/>
      <c r="QJJ28" s="1040"/>
      <c r="QJK28" s="1040"/>
      <c r="QJL28" s="1040"/>
      <c r="QJM28" s="1040"/>
      <c r="QJN28" s="1040"/>
      <c r="QJO28" s="1040"/>
      <c r="QJP28" s="1040"/>
      <c r="QJQ28" s="1040"/>
      <c r="QJR28" s="1040"/>
      <c r="QJS28" s="1040"/>
      <c r="QJT28" s="1040"/>
      <c r="QJU28" s="1040"/>
      <c r="QJV28" s="1040"/>
      <c r="QJW28" s="1040"/>
      <c r="QJX28" s="1040"/>
      <c r="QJY28" s="1040"/>
      <c r="QJZ28" s="1040"/>
      <c r="QKA28" s="1040"/>
      <c r="QKB28" s="1040"/>
      <c r="QKC28" s="1040"/>
      <c r="QKD28" s="1040"/>
      <c r="QKE28" s="1040"/>
      <c r="QKF28" s="1040"/>
      <c r="QKG28" s="1040"/>
      <c r="QKH28" s="1040"/>
      <c r="QKI28" s="1040"/>
      <c r="QKJ28" s="1040"/>
      <c r="QKK28" s="1040"/>
      <c r="QKL28" s="1040"/>
      <c r="QKM28" s="1040"/>
      <c r="QKN28" s="1040"/>
      <c r="QKO28" s="1040"/>
      <c r="QKP28" s="1040"/>
      <c r="QKQ28" s="1040"/>
      <c r="QKR28" s="1040"/>
      <c r="QKS28" s="1040"/>
      <c r="QKT28" s="1040"/>
      <c r="QKU28" s="1040"/>
      <c r="QKV28" s="1040"/>
      <c r="QKW28" s="1040"/>
      <c r="QKX28" s="1040"/>
      <c r="QKY28" s="1040"/>
      <c r="QKZ28" s="1040"/>
      <c r="QLA28" s="1040"/>
      <c r="QLB28" s="1040"/>
      <c r="QLC28" s="1040"/>
      <c r="QLD28" s="1040"/>
      <c r="QLE28" s="1040"/>
      <c r="QLF28" s="1040"/>
      <c r="QLG28" s="1040"/>
      <c r="QLH28" s="1040"/>
      <c r="QLI28" s="1040"/>
      <c r="QLJ28" s="1040"/>
      <c r="QLK28" s="1040"/>
      <c r="QLL28" s="1040"/>
      <c r="QLM28" s="1040"/>
      <c r="QLN28" s="1040"/>
      <c r="QLO28" s="1040"/>
      <c r="QLP28" s="1040"/>
      <c r="QLQ28" s="1040"/>
      <c r="QLR28" s="1040"/>
      <c r="QLS28" s="1040"/>
      <c r="QLT28" s="1040"/>
      <c r="QLU28" s="1040"/>
      <c r="QLV28" s="1040"/>
      <c r="QLW28" s="1040"/>
      <c r="QLX28" s="1040"/>
      <c r="QLY28" s="1040"/>
      <c r="QLZ28" s="1040"/>
      <c r="QMA28" s="1040"/>
      <c r="QMB28" s="1040"/>
      <c r="QMC28" s="1040"/>
      <c r="QMD28" s="1040"/>
      <c r="QME28" s="1040"/>
      <c r="QMF28" s="1040"/>
      <c r="QMG28" s="1040"/>
      <c r="QMH28" s="1040"/>
      <c r="QMI28" s="1040"/>
      <c r="QMJ28" s="1040"/>
      <c r="QMK28" s="1040"/>
      <c r="QML28" s="1040"/>
      <c r="QMM28" s="1040"/>
      <c r="QMN28" s="1040"/>
      <c r="QMO28" s="1040"/>
      <c r="QMP28" s="1040"/>
      <c r="QMQ28" s="1040"/>
      <c r="QMR28" s="1040"/>
      <c r="QMS28" s="1040"/>
      <c r="QMT28" s="1040"/>
      <c r="QMU28" s="1040"/>
      <c r="QMV28" s="1040"/>
      <c r="QMW28" s="1040"/>
      <c r="QMX28" s="1040"/>
      <c r="QMY28" s="1040"/>
      <c r="QMZ28" s="1040"/>
      <c r="QNA28" s="1040"/>
      <c r="QNB28" s="1040"/>
      <c r="QNC28" s="1040"/>
      <c r="QND28" s="1040"/>
      <c r="QNE28" s="1040"/>
      <c r="QNF28" s="1040"/>
      <c r="QNG28" s="1040"/>
      <c r="QNH28" s="1040"/>
      <c r="QNI28" s="1040"/>
      <c r="QNJ28" s="1040"/>
      <c r="QNK28" s="1040"/>
      <c r="QNL28" s="1040"/>
      <c r="QNM28" s="1040"/>
      <c r="QNN28" s="1040"/>
      <c r="QNO28" s="1040"/>
      <c r="QNP28" s="1040"/>
      <c r="QNQ28" s="1040"/>
      <c r="QNR28" s="1040"/>
      <c r="QNS28" s="1040"/>
      <c r="QNT28" s="1040"/>
      <c r="QNU28" s="1040"/>
      <c r="QNV28" s="1040"/>
      <c r="QNW28" s="1040"/>
      <c r="QNX28" s="1040"/>
      <c r="QNY28" s="1040"/>
      <c r="QNZ28" s="1040"/>
      <c r="QOA28" s="1040"/>
      <c r="QOB28" s="1040"/>
      <c r="QOC28" s="1040"/>
      <c r="QOD28" s="1040"/>
      <c r="QOE28" s="1040"/>
      <c r="QOF28" s="1040"/>
      <c r="QOG28" s="1040"/>
      <c r="QOH28" s="1040"/>
      <c r="QOI28" s="1040"/>
      <c r="QOJ28" s="1040"/>
      <c r="QOK28" s="1040"/>
      <c r="QOL28" s="1040"/>
      <c r="QOM28" s="1040"/>
      <c r="QON28" s="1040"/>
      <c r="QOO28" s="1040"/>
      <c r="QOP28" s="1040"/>
      <c r="QOQ28" s="1040"/>
      <c r="QOR28" s="1040"/>
      <c r="QOS28" s="1040"/>
      <c r="QOT28" s="1040"/>
      <c r="QOU28" s="1040"/>
      <c r="QOV28" s="1040"/>
      <c r="QOW28" s="1040"/>
      <c r="QOX28" s="1040"/>
      <c r="QOY28" s="1040"/>
      <c r="QOZ28" s="1040"/>
      <c r="QPA28" s="1040"/>
      <c r="QPB28" s="1040"/>
      <c r="QPC28" s="1040"/>
      <c r="QPD28" s="1040"/>
      <c r="QPE28" s="1040"/>
      <c r="QPF28" s="1040"/>
      <c r="QPG28" s="1040"/>
      <c r="QPH28" s="1040"/>
      <c r="QPI28" s="1040"/>
      <c r="QPJ28" s="1040"/>
      <c r="QPK28" s="1040"/>
      <c r="QPL28" s="1040"/>
      <c r="QPM28" s="1040"/>
      <c r="QPN28" s="1040"/>
      <c r="QPO28" s="1040"/>
      <c r="QPP28" s="1040"/>
      <c r="QPQ28" s="1040"/>
      <c r="QPR28" s="1040"/>
      <c r="QPS28" s="1040"/>
      <c r="QPT28" s="1040"/>
      <c r="QPU28" s="1040"/>
      <c r="QPV28" s="1040"/>
      <c r="QPW28" s="1040"/>
      <c r="QPX28" s="1040"/>
      <c r="QPY28" s="1040"/>
      <c r="QPZ28" s="1040"/>
      <c r="QQA28" s="1040"/>
      <c r="QQB28" s="1040"/>
      <c r="QQC28" s="1040"/>
      <c r="QQD28" s="1040"/>
      <c r="QQE28" s="1040"/>
      <c r="QQF28" s="1040"/>
      <c r="QQG28" s="1040"/>
      <c r="QQH28" s="1040"/>
      <c r="QQI28" s="1040"/>
      <c r="QQJ28" s="1040"/>
      <c r="QQK28" s="1040"/>
      <c r="QQL28" s="1040"/>
      <c r="QQM28" s="1040"/>
      <c r="QQN28" s="1040"/>
      <c r="QQO28" s="1040"/>
      <c r="QQP28" s="1040"/>
      <c r="QQQ28" s="1040"/>
      <c r="QQR28" s="1040"/>
      <c r="QQS28" s="1040"/>
      <c r="QQT28" s="1040"/>
      <c r="QQU28" s="1040"/>
      <c r="QQV28" s="1040"/>
      <c r="QQW28" s="1040"/>
      <c r="QQX28" s="1040"/>
      <c r="QQY28" s="1040"/>
      <c r="QQZ28" s="1040"/>
      <c r="QRA28" s="1040"/>
      <c r="QRB28" s="1040"/>
      <c r="QRC28" s="1040"/>
      <c r="QRD28" s="1040"/>
      <c r="QRE28" s="1040"/>
      <c r="QRF28" s="1040"/>
      <c r="QRG28" s="1040"/>
      <c r="QRH28" s="1040"/>
      <c r="QRI28" s="1040"/>
      <c r="QRJ28" s="1040"/>
      <c r="QRK28" s="1040"/>
      <c r="QRL28" s="1040"/>
      <c r="QRM28" s="1040"/>
      <c r="QRN28" s="1040"/>
      <c r="QRO28" s="1040"/>
      <c r="QRP28" s="1040"/>
      <c r="QRQ28" s="1040"/>
      <c r="QRR28" s="1040"/>
      <c r="QRS28" s="1040"/>
      <c r="QRT28" s="1040"/>
      <c r="QRU28" s="1040"/>
      <c r="QRV28" s="1040"/>
      <c r="QRW28" s="1040"/>
      <c r="QRX28" s="1040"/>
      <c r="QRY28" s="1040"/>
      <c r="QRZ28" s="1040"/>
      <c r="QSA28" s="1040"/>
      <c r="QSB28" s="1040"/>
      <c r="QSC28" s="1040"/>
      <c r="QSD28" s="1040"/>
      <c r="QSE28" s="1040"/>
      <c r="QSF28" s="1040"/>
      <c r="QSG28" s="1040"/>
      <c r="QSH28" s="1040"/>
      <c r="QSI28" s="1040"/>
      <c r="QSJ28" s="1040"/>
      <c r="QSK28" s="1040"/>
      <c r="QSL28" s="1040"/>
      <c r="QSM28" s="1040"/>
      <c r="QSN28" s="1040"/>
      <c r="QSO28" s="1040"/>
      <c r="QSP28" s="1040"/>
      <c r="QSQ28" s="1040"/>
      <c r="QSR28" s="1040"/>
      <c r="QSS28" s="1040"/>
      <c r="QST28" s="1040"/>
      <c r="QSU28" s="1040"/>
      <c r="QSV28" s="1040"/>
      <c r="QSW28" s="1040"/>
      <c r="QSX28" s="1040"/>
      <c r="QSY28" s="1040"/>
      <c r="QSZ28" s="1040"/>
      <c r="QTA28" s="1040"/>
      <c r="QTB28" s="1040"/>
      <c r="QTC28" s="1040"/>
      <c r="QTD28" s="1040"/>
      <c r="QTE28" s="1040"/>
      <c r="QTF28" s="1040"/>
      <c r="QTG28" s="1040"/>
      <c r="QTH28" s="1040"/>
      <c r="QTI28" s="1040"/>
      <c r="QTJ28" s="1040"/>
      <c r="QTK28" s="1040"/>
      <c r="QTL28" s="1040"/>
      <c r="QTM28" s="1040"/>
      <c r="QTN28" s="1040"/>
      <c r="QTO28" s="1040"/>
      <c r="QTP28" s="1040"/>
      <c r="QTQ28" s="1040"/>
      <c r="QTR28" s="1040"/>
      <c r="QTS28" s="1040"/>
      <c r="QTT28" s="1040"/>
      <c r="QTU28" s="1040"/>
      <c r="QTV28" s="1040"/>
      <c r="QTW28" s="1040"/>
      <c r="QTX28" s="1040"/>
      <c r="QTY28" s="1040"/>
      <c r="QTZ28" s="1040"/>
      <c r="QUA28" s="1040"/>
      <c r="QUB28" s="1040"/>
      <c r="QUC28" s="1040"/>
      <c r="QUD28" s="1040"/>
      <c r="QUE28" s="1040"/>
      <c r="QUF28" s="1040"/>
      <c r="QUG28" s="1040"/>
      <c r="QUH28" s="1040"/>
      <c r="QUI28" s="1040"/>
      <c r="QUJ28" s="1040"/>
      <c r="QUK28" s="1040"/>
      <c r="QUL28" s="1040"/>
      <c r="QUM28" s="1040"/>
      <c r="QUN28" s="1040"/>
      <c r="QUO28" s="1040"/>
      <c r="QUP28" s="1040"/>
      <c r="QUQ28" s="1040"/>
      <c r="QUR28" s="1040"/>
      <c r="QUS28" s="1040"/>
      <c r="QUT28" s="1040"/>
      <c r="QUU28" s="1040"/>
      <c r="QUV28" s="1040"/>
      <c r="QUW28" s="1040"/>
      <c r="QUX28" s="1040"/>
      <c r="QUY28" s="1040"/>
      <c r="QUZ28" s="1040"/>
      <c r="QVA28" s="1040"/>
      <c r="QVB28" s="1040"/>
      <c r="QVC28" s="1040"/>
      <c r="QVD28" s="1040"/>
      <c r="QVE28" s="1040"/>
      <c r="QVF28" s="1040"/>
      <c r="QVG28" s="1040"/>
      <c r="QVH28" s="1040"/>
      <c r="QVI28" s="1040"/>
      <c r="QVJ28" s="1040"/>
      <c r="QVK28" s="1040"/>
      <c r="QVL28" s="1040"/>
      <c r="QVM28" s="1040"/>
      <c r="QVN28" s="1040"/>
      <c r="QVO28" s="1040"/>
      <c r="QVP28" s="1040"/>
      <c r="QVQ28" s="1040"/>
      <c r="QVR28" s="1040"/>
      <c r="QVS28" s="1040"/>
      <c r="QVT28" s="1040"/>
      <c r="QVU28" s="1040"/>
      <c r="QVV28" s="1040"/>
      <c r="QVW28" s="1040"/>
      <c r="QVX28" s="1040"/>
      <c r="QVY28" s="1040"/>
      <c r="QVZ28" s="1040"/>
      <c r="QWA28" s="1040"/>
      <c r="QWB28" s="1040"/>
      <c r="QWC28" s="1040"/>
      <c r="QWD28" s="1040"/>
      <c r="QWE28" s="1040"/>
      <c r="QWF28" s="1040"/>
      <c r="QWG28" s="1040"/>
      <c r="QWH28" s="1040"/>
      <c r="QWI28" s="1040"/>
      <c r="QWJ28" s="1040"/>
      <c r="QWK28" s="1040"/>
      <c r="QWL28" s="1040"/>
      <c r="QWM28" s="1040"/>
      <c r="QWN28" s="1040"/>
      <c r="QWO28" s="1040"/>
      <c r="QWP28" s="1040"/>
      <c r="QWQ28" s="1040"/>
      <c r="QWR28" s="1040"/>
      <c r="QWS28" s="1040"/>
      <c r="QWT28" s="1040"/>
      <c r="QWU28" s="1040"/>
      <c r="QWV28" s="1040"/>
      <c r="QWW28" s="1040"/>
      <c r="QWX28" s="1040"/>
      <c r="QWY28" s="1040"/>
      <c r="QWZ28" s="1040"/>
      <c r="QXA28" s="1040"/>
      <c r="QXB28" s="1040"/>
      <c r="QXC28" s="1040"/>
      <c r="QXD28" s="1040"/>
      <c r="QXE28" s="1040"/>
      <c r="QXF28" s="1040"/>
      <c r="QXG28" s="1040"/>
      <c r="QXH28" s="1040"/>
      <c r="QXI28" s="1040"/>
      <c r="QXJ28" s="1040"/>
      <c r="QXK28" s="1040"/>
      <c r="QXL28" s="1040"/>
      <c r="QXM28" s="1040"/>
      <c r="QXN28" s="1040"/>
      <c r="QXO28" s="1040"/>
      <c r="QXP28" s="1040"/>
      <c r="QXQ28" s="1040"/>
      <c r="QXR28" s="1040"/>
      <c r="QXS28" s="1040"/>
      <c r="QXT28" s="1040"/>
      <c r="QXU28" s="1040"/>
      <c r="QXV28" s="1040"/>
      <c r="QXW28" s="1040"/>
      <c r="QXX28" s="1040"/>
      <c r="QXY28" s="1040"/>
      <c r="QXZ28" s="1040"/>
      <c r="QYA28" s="1040"/>
      <c r="QYB28" s="1040"/>
      <c r="QYC28" s="1040"/>
      <c r="QYD28" s="1040"/>
      <c r="QYE28" s="1040"/>
      <c r="QYF28" s="1040"/>
      <c r="QYG28" s="1040"/>
      <c r="QYH28" s="1040"/>
      <c r="QYI28" s="1040"/>
      <c r="QYJ28" s="1040"/>
      <c r="QYK28" s="1040"/>
      <c r="QYL28" s="1040"/>
      <c r="QYM28" s="1040"/>
      <c r="QYN28" s="1040"/>
      <c r="QYO28" s="1040"/>
      <c r="QYP28" s="1040"/>
      <c r="QYQ28" s="1040"/>
      <c r="QYR28" s="1040"/>
      <c r="QYS28" s="1040"/>
      <c r="QYT28" s="1040"/>
      <c r="QYU28" s="1040"/>
      <c r="QYV28" s="1040"/>
      <c r="QYW28" s="1040"/>
      <c r="QYX28" s="1040"/>
      <c r="QYY28" s="1040"/>
      <c r="QYZ28" s="1040"/>
      <c r="QZA28" s="1040"/>
      <c r="QZB28" s="1040"/>
      <c r="QZC28" s="1040"/>
      <c r="QZD28" s="1040"/>
      <c r="QZE28" s="1040"/>
      <c r="QZF28" s="1040"/>
      <c r="QZG28" s="1040"/>
      <c r="QZH28" s="1040"/>
      <c r="QZI28" s="1040"/>
      <c r="QZJ28" s="1040"/>
      <c r="QZK28" s="1040"/>
      <c r="QZL28" s="1040"/>
      <c r="QZM28" s="1040"/>
      <c r="QZN28" s="1040"/>
      <c r="QZO28" s="1040"/>
      <c r="QZP28" s="1040"/>
      <c r="QZQ28" s="1040"/>
      <c r="QZR28" s="1040"/>
      <c r="QZS28" s="1040"/>
      <c r="QZT28" s="1040"/>
      <c r="QZU28" s="1040"/>
      <c r="QZV28" s="1040"/>
      <c r="QZW28" s="1040"/>
      <c r="QZX28" s="1040"/>
      <c r="QZY28" s="1040"/>
      <c r="QZZ28" s="1040"/>
      <c r="RAA28" s="1040"/>
      <c r="RAB28" s="1040"/>
      <c r="RAC28" s="1040"/>
      <c r="RAD28" s="1040"/>
      <c r="RAE28" s="1040"/>
      <c r="RAF28" s="1040"/>
      <c r="RAG28" s="1040"/>
      <c r="RAH28" s="1040"/>
      <c r="RAI28" s="1040"/>
      <c r="RAJ28" s="1040"/>
      <c r="RAK28" s="1040"/>
      <c r="RAL28" s="1040"/>
      <c r="RAM28" s="1040"/>
      <c r="RAN28" s="1040"/>
      <c r="RAO28" s="1040"/>
      <c r="RAP28" s="1040"/>
      <c r="RAQ28" s="1040"/>
      <c r="RAR28" s="1040"/>
      <c r="RAS28" s="1040"/>
      <c r="RAT28" s="1040"/>
      <c r="RAU28" s="1040"/>
      <c r="RAV28" s="1040"/>
      <c r="RAW28" s="1040"/>
      <c r="RAX28" s="1040"/>
      <c r="RAY28" s="1040"/>
      <c r="RAZ28" s="1040"/>
      <c r="RBA28" s="1040"/>
      <c r="RBB28" s="1040"/>
      <c r="RBC28" s="1040"/>
      <c r="RBD28" s="1040"/>
      <c r="RBE28" s="1040"/>
      <c r="RBF28" s="1040"/>
      <c r="RBG28" s="1040"/>
      <c r="RBH28" s="1040"/>
      <c r="RBI28" s="1040"/>
      <c r="RBJ28" s="1040"/>
      <c r="RBK28" s="1040"/>
      <c r="RBL28" s="1040"/>
      <c r="RBM28" s="1040"/>
      <c r="RBN28" s="1040"/>
      <c r="RBO28" s="1040"/>
      <c r="RBP28" s="1040"/>
      <c r="RBQ28" s="1040"/>
      <c r="RBR28" s="1040"/>
      <c r="RBS28" s="1040"/>
      <c r="RBT28" s="1040"/>
      <c r="RBU28" s="1040"/>
      <c r="RBV28" s="1040"/>
      <c r="RBW28" s="1040"/>
      <c r="RBX28" s="1040"/>
      <c r="RBY28" s="1040"/>
      <c r="RBZ28" s="1040"/>
      <c r="RCA28" s="1040"/>
      <c r="RCB28" s="1040"/>
      <c r="RCC28" s="1040"/>
      <c r="RCD28" s="1040"/>
      <c r="RCE28" s="1040"/>
      <c r="RCF28" s="1040"/>
      <c r="RCG28" s="1040"/>
      <c r="RCH28" s="1040"/>
      <c r="RCI28" s="1040"/>
      <c r="RCJ28" s="1040"/>
      <c r="RCK28" s="1040"/>
      <c r="RCL28" s="1040"/>
      <c r="RCM28" s="1040"/>
      <c r="RCN28" s="1040"/>
      <c r="RCO28" s="1040"/>
      <c r="RCP28" s="1040"/>
      <c r="RCQ28" s="1040"/>
      <c r="RCR28" s="1040"/>
      <c r="RCS28" s="1040"/>
      <c r="RCT28" s="1040"/>
      <c r="RCU28" s="1040"/>
      <c r="RCV28" s="1040"/>
      <c r="RCW28" s="1040"/>
      <c r="RCX28" s="1040"/>
      <c r="RCY28" s="1040"/>
      <c r="RCZ28" s="1040"/>
      <c r="RDA28" s="1040"/>
      <c r="RDB28" s="1040"/>
      <c r="RDC28" s="1040"/>
      <c r="RDD28" s="1040"/>
      <c r="RDE28" s="1040"/>
      <c r="RDF28" s="1040"/>
      <c r="RDG28" s="1040"/>
      <c r="RDH28" s="1040"/>
      <c r="RDI28" s="1040"/>
      <c r="RDJ28" s="1040"/>
      <c r="RDK28" s="1040"/>
      <c r="RDL28" s="1040"/>
      <c r="RDM28" s="1040"/>
      <c r="RDN28" s="1040"/>
      <c r="RDO28" s="1040"/>
      <c r="RDP28" s="1040"/>
      <c r="RDQ28" s="1040"/>
      <c r="RDR28" s="1040"/>
      <c r="RDS28" s="1040"/>
      <c r="RDT28" s="1040"/>
      <c r="RDU28" s="1040"/>
      <c r="RDV28" s="1040"/>
      <c r="RDW28" s="1040"/>
      <c r="RDX28" s="1040"/>
      <c r="RDY28" s="1040"/>
      <c r="RDZ28" s="1040"/>
      <c r="REA28" s="1040"/>
      <c r="REB28" s="1040"/>
      <c r="REC28" s="1040"/>
      <c r="RED28" s="1040"/>
      <c r="REE28" s="1040"/>
      <c r="REF28" s="1040"/>
      <c r="REG28" s="1040"/>
      <c r="REH28" s="1040"/>
      <c r="REI28" s="1040"/>
      <c r="REJ28" s="1040"/>
      <c r="REK28" s="1040"/>
      <c r="REL28" s="1040"/>
      <c r="REM28" s="1040"/>
      <c r="REN28" s="1040"/>
      <c r="REO28" s="1040"/>
      <c r="REP28" s="1040"/>
      <c r="REQ28" s="1040"/>
      <c r="RER28" s="1040"/>
      <c r="RES28" s="1040"/>
      <c r="RET28" s="1040"/>
      <c r="REU28" s="1040"/>
      <c r="REV28" s="1040"/>
      <c r="REW28" s="1040"/>
      <c r="REX28" s="1040"/>
      <c r="REY28" s="1040"/>
      <c r="REZ28" s="1040"/>
      <c r="RFA28" s="1040"/>
      <c r="RFB28" s="1040"/>
      <c r="RFC28" s="1040"/>
      <c r="RFD28" s="1040"/>
      <c r="RFE28" s="1040"/>
      <c r="RFF28" s="1040"/>
      <c r="RFG28" s="1040"/>
      <c r="RFH28" s="1040"/>
      <c r="RFI28" s="1040"/>
      <c r="RFJ28" s="1040"/>
      <c r="RFK28" s="1040"/>
      <c r="RFL28" s="1040"/>
      <c r="RFM28" s="1040"/>
      <c r="RFN28" s="1040"/>
      <c r="RFO28" s="1040"/>
      <c r="RFP28" s="1040"/>
      <c r="RFQ28" s="1040"/>
      <c r="RFR28" s="1040"/>
      <c r="RFS28" s="1040"/>
      <c r="RFT28" s="1040"/>
      <c r="RFU28" s="1040"/>
      <c r="RFV28" s="1040"/>
      <c r="RFW28" s="1040"/>
      <c r="RFX28" s="1040"/>
      <c r="RFY28" s="1040"/>
      <c r="RFZ28" s="1040"/>
      <c r="RGA28" s="1040"/>
      <c r="RGB28" s="1040"/>
      <c r="RGC28" s="1040"/>
      <c r="RGD28" s="1040"/>
      <c r="RGE28" s="1040"/>
      <c r="RGF28" s="1040"/>
      <c r="RGG28" s="1040"/>
      <c r="RGH28" s="1040"/>
      <c r="RGI28" s="1040"/>
      <c r="RGJ28" s="1040"/>
      <c r="RGK28" s="1040"/>
      <c r="RGL28" s="1040"/>
      <c r="RGM28" s="1040"/>
      <c r="RGN28" s="1040"/>
      <c r="RGO28" s="1040"/>
      <c r="RGP28" s="1040"/>
      <c r="RGQ28" s="1040"/>
      <c r="RGR28" s="1040"/>
      <c r="RGS28" s="1040"/>
      <c r="RGT28" s="1040"/>
      <c r="RGU28" s="1040"/>
      <c r="RGV28" s="1040"/>
      <c r="RGW28" s="1040"/>
      <c r="RGX28" s="1040"/>
      <c r="RGY28" s="1040"/>
      <c r="RGZ28" s="1040"/>
      <c r="RHA28" s="1040"/>
      <c r="RHB28" s="1040"/>
      <c r="RHC28" s="1040"/>
      <c r="RHD28" s="1040"/>
      <c r="RHE28" s="1040"/>
      <c r="RHF28" s="1040"/>
      <c r="RHG28" s="1040"/>
      <c r="RHH28" s="1040"/>
      <c r="RHI28" s="1040"/>
      <c r="RHJ28" s="1040"/>
      <c r="RHK28" s="1040"/>
      <c r="RHL28" s="1040"/>
      <c r="RHM28" s="1040"/>
      <c r="RHN28" s="1040"/>
      <c r="RHO28" s="1040"/>
      <c r="RHP28" s="1040"/>
      <c r="RHQ28" s="1040"/>
      <c r="RHR28" s="1040"/>
      <c r="RHS28" s="1040"/>
      <c r="RHT28" s="1040"/>
      <c r="RHU28" s="1040"/>
      <c r="RHV28" s="1040"/>
      <c r="RHW28" s="1040"/>
      <c r="RHX28" s="1040"/>
      <c r="RHY28" s="1040"/>
      <c r="RHZ28" s="1040"/>
      <c r="RIA28" s="1040"/>
      <c r="RIB28" s="1040"/>
      <c r="RIC28" s="1040"/>
      <c r="RID28" s="1040"/>
      <c r="RIE28" s="1040"/>
      <c r="RIF28" s="1040"/>
      <c r="RIG28" s="1040"/>
      <c r="RIH28" s="1040"/>
      <c r="RII28" s="1040"/>
      <c r="RIJ28" s="1040"/>
      <c r="RIK28" s="1040"/>
      <c r="RIL28" s="1040"/>
      <c r="RIM28" s="1040"/>
      <c r="RIN28" s="1040"/>
      <c r="RIO28" s="1040"/>
      <c r="RIP28" s="1040"/>
      <c r="RIQ28" s="1040"/>
      <c r="RIR28" s="1040"/>
      <c r="RIS28" s="1040"/>
      <c r="RIT28" s="1040"/>
      <c r="RIU28" s="1040"/>
      <c r="RIV28" s="1040"/>
      <c r="RIW28" s="1040"/>
      <c r="RIX28" s="1040"/>
      <c r="RIY28" s="1040"/>
      <c r="RIZ28" s="1040"/>
      <c r="RJA28" s="1040"/>
      <c r="RJB28" s="1040"/>
      <c r="RJC28" s="1040"/>
      <c r="RJD28" s="1040"/>
      <c r="RJE28" s="1040"/>
      <c r="RJF28" s="1040"/>
      <c r="RJG28" s="1040"/>
      <c r="RJH28" s="1040"/>
      <c r="RJI28" s="1040"/>
      <c r="RJJ28" s="1040"/>
      <c r="RJK28" s="1040"/>
      <c r="RJL28" s="1040"/>
      <c r="RJM28" s="1040"/>
      <c r="RJN28" s="1040"/>
      <c r="RJO28" s="1040"/>
      <c r="RJP28" s="1040"/>
      <c r="RJQ28" s="1040"/>
      <c r="RJR28" s="1040"/>
      <c r="RJS28" s="1040"/>
      <c r="RJT28" s="1040"/>
      <c r="RJU28" s="1040"/>
      <c r="RJV28" s="1040"/>
      <c r="RJW28" s="1040"/>
      <c r="RJX28" s="1040"/>
      <c r="RJY28" s="1040"/>
      <c r="RJZ28" s="1040"/>
      <c r="RKA28" s="1040"/>
      <c r="RKB28" s="1040"/>
      <c r="RKC28" s="1040"/>
      <c r="RKD28" s="1040"/>
      <c r="RKE28" s="1040"/>
      <c r="RKF28" s="1040"/>
      <c r="RKG28" s="1040"/>
      <c r="RKH28" s="1040"/>
      <c r="RKI28" s="1040"/>
      <c r="RKJ28" s="1040"/>
      <c r="RKK28" s="1040"/>
      <c r="RKL28" s="1040"/>
      <c r="RKM28" s="1040"/>
      <c r="RKN28" s="1040"/>
      <c r="RKO28" s="1040"/>
      <c r="RKP28" s="1040"/>
      <c r="RKQ28" s="1040"/>
      <c r="RKR28" s="1040"/>
      <c r="RKS28" s="1040"/>
      <c r="RKT28" s="1040"/>
      <c r="RKU28" s="1040"/>
      <c r="RKV28" s="1040"/>
      <c r="RKW28" s="1040"/>
      <c r="RKX28" s="1040"/>
      <c r="RKY28" s="1040"/>
      <c r="RKZ28" s="1040"/>
      <c r="RLA28" s="1040"/>
      <c r="RLB28" s="1040"/>
      <c r="RLC28" s="1040"/>
      <c r="RLD28" s="1040"/>
      <c r="RLE28" s="1040"/>
      <c r="RLF28" s="1040"/>
      <c r="RLG28" s="1040"/>
      <c r="RLH28" s="1040"/>
      <c r="RLI28" s="1040"/>
      <c r="RLJ28" s="1040"/>
      <c r="RLK28" s="1040"/>
      <c r="RLL28" s="1040"/>
      <c r="RLM28" s="1040"/>
      <c r="RLN28" s="1040"/>
      <c r="RLO28" s="1040"/>
      <c r="RLP28" s="1040"/>
      <c r="RLQ28" s="1040"/>
      <c r="RLR28" s="1040"/>
      <c r="RLS28" s="1040"/>
      <c r="RLT28" s="1040"/>
      <c r="RLU28" s="1040"/>
      <c r="RLV28" s="1040"/>
      <c r="RLW28" s="1040"/>
      <c r="RLX28" s="1040"/>
      <c r="RLY28" s="1040"/>
      <c r="RLZ28" s="1040"/>
      <c r="RMA28" s="1040"/>
      <c r="RMB28" s="1040"/>
      <c r="RMC28" s="1040"/>
      <c r="RMD28" s="1040"/>
      <c r="RME28" s="1040"/>
      <c r="RMF28" s="1040"/>
      <c r="RMG28" s="1040"/>
      <c r="RMH28" s="1040"/>
      <c r="RMI28" s="1040"/>
      <c r="RMJ28" s="1040"/>
      <c r="RMK28" s="1040"/>
      <c r="RML28" s="1040"/>
      <c r="RMM28" s="1040"/>
      <c r="RMN28" s="1040"/>
      <c r="RMO28" s="1040"/>
      <c r="RMP28" s="1040"/>
      <c r="RMQ28" s="1040"/>
      <c r="RMR28" s="1040"/>
      <c r="RMS28" s="1040"/>
      <c r="RMT28" s="1040"/>
      <c r="RMU28" s="1040"/>
      <c r="RMV28" s="1040"/>
      <c r="RMW28" s="1040"/>
      <c r="RMX28" s="1040"/>
      <c r="RMY28" s="1040"/>
      <c r="RMZ28" s="1040"/>
      <c r="RNA28" s="1040"/>
      <c r="RNB28" s="1040"/>
      <c r="RNC28" s="1040"/>
      <c r="RND28" s="1040"/>
      <c r="RNE28" s="1040"/>
      <c r="RNF28" s="1040"/>
      <c r="RNG28" s="1040"/>
      <c r="RNH28" s="1040"/>
      <c r="RNI28" s="1040"/>
      <c r="RNJ28" s="1040"/>
      <c r="RNK28" s="1040"/>
      <c r="RNL28" s="1040"/>
      <c r="RNM28" s="1040"/>
      <c r="RNN28" s="1040"/>
      <c r="RNO28" s="1040"/>
      <c r="RNP28" s="1040"/>
      <c r="RNQ28" s="1040"/>
      <c r="RNR28" s="1040"/>
      <c r="RNS28" s="1040"/>
      <c r="RNT28" s="1040"/>
      <c r="RNU28" s="1040"/>
      <c r="RNV28" s="1040"/>
      <c r="RNW28" s="1040"/>
      <c r="RNX28" s="1040"/>
      <c r="RNY28" s="1040"/>
      <c r="RNZ28" s="1040"/>
      <c r="ROA28" s="1040"/>
      <c r="ROB28" s="1040"/>
      <c r="ROC28" s="1040"/>
      <c r="ROD28" s="1040"/>
      <c r="ROE28" s="1040"/>
      <c r="ROF28" s="1040"/>
      <c r="ROG28" s="1040"/>
      <c r="ROH28" s="1040"/>
      <c r="ROI28" s="1040"/>
      <c r="ROJ28" s="1040"/>
      <c r="ROK28" s="1040"/>
      <c r="ROL28" s="1040"/>
      <c r="ROM28" s="1040"/>
      <c r="RON28" s="1040"/>
      <c r="ROO28" s="1040"/>
      <c r="ROP28" s="1040"/>
      <c r="ROQ28" s="1040"/>
      <c r="ROR28" s="1040"/>
      <c r="ROS28" s="1040"/>
      <c r="ROT28" s="1040"/>
      <c r="ROU28" s="1040"/>
      <c r="ROV28" s="1040"/>
      <c r="ROW28" s="1040"/>
      <c r="ROX28" s="1040"/>
      <c r="ROY28" s="1040"/>
      <c r="ROZ28" s="1040"/>
      <c r="RPA28" s="1040"/>
      <c r="RPB28" s="1040"/>
      <c r="RPC28" s="1040"/>
      <c r="RPD28" s="1040"/>
      <c r="RPE28" s="1040"/>
      <c r="RPF28" s="1040"/>
      <c r="RPG28" s="1040"/>
      <c r="RPH28" s="1040"/>
      <c r="RPI28" s="1040"/>
      <c r="RPJ28" s="1040"/>
      <c r="RPK28" s="1040"/>
      <c r="RPL28" s="1040"/>
      <c r="RPM28" s="1040"/>
      <c r="RPN28" s="1040"/>
      <c r="RPO28" s="1040"/>
      <c r="RPP28" s="1040"/>
      <c r="RPQ28" s="1040"/>
      <c r="RPR28" s="1040"/>
      <c r="RPS28" s="1040"/>
      <c r="RPT28" s="1040"/>
      <c r="RPU28" s="1040"/>
      <c r="RPV28" s="1040"/>
      <c r="RPW28" s="1040"/>
      <c r="RPX28" s="1040"/>
      <c r="RPY28" s="1040"/>
      <c r="RPZ28" s="1040"/>
      <c r="RQA28" s="1040"/>
      <c r="RQB28" s="1040"/>
      <c r="RQC28" s="1040"/>
      <c r="RQD28" s="1040"/>
      <c r="RQE28" s="1040"/>
      <c r="RQF28" s="1040"/>
      <c r="RQG28" s="1040"/>
      <c r="RQH28" s="1040"/>
      <c r="RQI28" s="1040"/>
      <c r="RQJ28" s="1040"/>
      <c r="RQK28" s="1040"/>
      <c r="RQL28" s="1040"/>
      <c r="RQM28" s="1040"/>
      <c r="RQN28" s="1040"/>
      <c r="RQO28" s="1040"/>
      <c r="RQP28" s="1040"/>
      <c r="RQQ28" s="1040"/>
      <c r="RQR28" s="1040"/>
      <c r="RQS28" s="1040"/>
      <c r="RQT28" s="1040"/>
      <c r="RQU28" s="1040"/>
      <c r="RQV28" s="1040"/>
      <c r="RQW28" s="1040"/>
      <c r="RQX28" s="1040"/>
      <c r="RQY28" s="1040"/>
      <c r="RQZ28" s="1040"/>
      <c r="RRA28" s="1040"/>
      <c r="RRB28" s="1040"/>
      <c r="RRC28" s="1040"/>
      <c r="RRD28" s="1040"/>
      <c r="RRE28" s="1040"/>
      <c r="RRF28" s="1040"/>
      <c r="RRG28" s="1040"/>
      <c r="RRH28" s="1040"/>
      <c r="RRI28" s="1040"/>
      <c r="RRJ28" s="1040"/>
      <c r="RRK28" s="1040"/>
      <c r="RRL28" s="1040"/>
      <c r="RRM28" s="1040"/>
      <c r="RRN28" s="1040"/>
      <c r="RRO28" s="1040"/>
      <c r="RRP28" s="1040"/>
      <c r="RRQ28" s="1040"/>
      <c r="RRR28" s="1040"/>
      <c r="RRS28" s="1040"/>
      <c r="RRT28" s="1040"/>
      <c r="RRU28" s="1040"/>
      <c r="RRV28" s="1040"/>
      <c r="RRW28" s="1040"/>
      <c r="RRX28" s="1040"/>
      <c r="RRY28" s="1040"/>
      <c r="RRZ28" s="1040"/>
      <c r="RSA28" s="1040"/>
      <c r="RSB28" s="1040"/>
      <c r="RSC28" s="1040"/>
      <c r="RSD28" s="1040"/>
      <c r="RSE28" s="1040"/>
      <c r="RSF28" s="1040"/>
      <c r="RSG28" s="1040"/>
      <c r="RSH28" s="1040"/>
      <c r="RSI28" s="1040"/>
      <c r="RSJ28" s="1040"/>
      <c r="RSK28" s="1040"/>
      <c r="RSL28" s="1040"/>
      <c r="RSM28" s="1040"/>
      <c r="RSN28" s="1040"/>
      <c r="RSO28" s="1040"/>
      <c r="RSP28" s="1040"/>
      <c r="RSQ28" s="1040"/>
      <c r="RSR28" s="1040"/>
      <c r="RSS28" s="1040"/>
      <c r="RST28" s="1040"/>
      <c r="RSU28" s="1040"/>
      <c r="RSV28" s="1040"/>
      <c r="RSW28" s="1040"/>
      <c r="RSX28" s="1040"/>
      <c r="RSY28" s="1040"/>
      <c r="RSZ28" s="1040"/>
      <c r="RTA28" s="1040"/>
      <c r="RTB28" s="1040"/>
      <c r="RTC28" s="1040"/>
      <c r="RTD28" s="1040"/>
      <c r="RTE28" s="1040"/>
      <c r="RTF28" s="1040"/>
      <c r="RTG28" s="1040"/>
      <c r="RTH28" s="1040"/>
      <c r="RTI28" s="1040"/>
      <c r="RTJ28" s="1040"/>
      <c r="RTK28" s="1040"/>
      <c r="RTL28" s="1040"/>
      <c r="RTM28" s="1040"/>
      <c r="RTN28" s="1040"/>
      <c r="RTO28" s="1040"/>
      <c r="RTP28" s="1040"/>
      <c r="RTQ28" s="1040"/>
      <c r="RTR28" s="1040"/>
      <c r="RTS28" s="1040"/>
      <c r="RTT28" s="1040"/>
      <c r="RTU28" s="1040"/>
      <c r="RTV28" s="1040"/>
      <c r="RTW28" s="1040"/>
      <c r="RTX28" s="1040"/>
      <c r="RTY28" s="1040"/>
      <c r="RTZ28" s="1040"/>
      <c r="RUA28" s="1040"/>
      <c r="RUB28" s="1040"/>
      <c r="RUC28" s="1040"/>
      <c r="RUD28" s="1040"/>
      <c r="RUE28" s="1040"/>
      <c r="RUF28" s="1040"/>
      <c r="RUG28" s="1040"/>
      <c r="RUH28" s="1040"/>
      <c r="RUI28" s="1040"/>
      <c r="RUJ28" s="1040"/>
      <c r="RUK28" s="1040"/>
      <c r="RUL28" s="1040"/>
      <c r="RUM28" s="1040"/>
      <c r="RUN28" s="1040"/>
      <c r="RUO28" s="1040"/>
      <c r="RUP28" s="1040"/>
      <c r="RUQ28" s="1040"/>
      <c r="RUR28" s="1040"/>
      <c r="RUS28" s="1040"/>
      <c r="RUT28" s="1040"/>
      <c r="RUU28" s="1040"/>
      <c r="RUV28" s="1040"/>
      <c r="RUW28" s="1040"/>
      <c r="RUX28" s="1040"/>
      <c r="RUY28" s="1040"/>
      <c r="RUZ28" s="1040"/>
      <c r="RVA28" s="1040"/>
      <c r="RVB28" s="1040"/>
      <c r="RVC28" s="1040"/>
      <c r="RVD28" s="1040"/>
      <c r="RVE28" s="1040"/>
      <c r="RVF28" s="1040"/>
      <c r="RVG28" s="1040"/>
      <c r="RVH28" s="1040"/>
      <c r="RVI28" s="1040"/>
      <c r="RVJ28" s="1040"/>
      <c r="RVK28" s="1040"/>
      <c r="RVL28" s="1040"/>
      <c r="RVM28" s="1040"/>
      <c r="RVN28" s="1040"/>
      <c r="RVO28" s="1040"/>
      <c r="RVP28" s="1040"/>
      <c r="RVQ28" s="1040"/>
      <c r="RVR28" s="1040"/>
      <c r="RVS28" s="1040"/>
      <c r="RVT28" s="1040"/>
      <c r="RVU28" s="1040"/>
      <c r="RVV28" s="1040"/>
      <c r="RVW28" s="1040"/>
      <c r="RVX28" s="1040"/>
      <c r="RVY28" s="1040"/>
      <c r="RVZ28" s="1040"/>
      <c r="RWA28" s="1040"/>
      <c r="RWB28" s="1040"/>
      <c r="RWC28" s="1040"/>
      <c r="RWD28" s="1040"/>
      <c r="RWE28" s="1040"/>
      <c r="RWF28" s="1040"/>
      <c r="RWG28" s="1040"/>
      <c r="RWH28" s="1040"/>
      <c r="RWI28" s="1040"/>
      <c r="RWJ28" s="1040"/>
      <c r="RWK28" s="1040"/>
      <c r="RWL28" s="1040"/>
      <c r="RWM28" s="1040"/>
      <c r="RWN28" s="1040"/>
      <c r="RWO28" s="1040"/>
      <c r="RWP28" s="1040"/>
      <c r="RWQ28" s="1040"/>
      <c r="RWR28" s="1040"/>
      <c r="RWS28" s="1040"/>
      <c r="RWT28" s="1040"/>
      <c r="RWU28" s="1040"/>
      <c r="RWV28" s="1040"/>
      <c r="RWW28" s="1040"/>
      <c r="RWX28" s="1040"/>
      <c r="RWY28" s="1040"/>
      <c r="RWZ28" s="1040"/>
      <c r="RXA28" s="1040"/>
      <c r="RXB28" s="1040"/>
      <c r="RXC28" s="1040"/>
      <c r="RXD28" s="1040"/>
      <c r="RXE28" s="1040"/>
      <c r="RXF28" s="1040"/>
      <c r="RXG28" s="1040"/>
      <c r="RXH28" s="1040"/>
      <c r="RXI28" s="1040"/>
      <c r="RXJ28" s="1040"/>
      <c r="RXK28" s="1040"/>
      <c r="RXL28" s="1040"/>
      <c r="RXM28" s="1040"/>
      <c r="RXN28" s="1040"/>
      <c r="RXO28" s="1040"/>
      <c r="RXP28" s="1040"/>
      <c r="RXQ28" s="1040"/>
      <c r="RXR28" s="1040"/>
      <c r="RXS28" s="1040"/>
      <c r="RXT28" s="1040"/>
      <c r="RXU28" s="1040"/>
      <c r="RXV28" s="1040"/>
      <c r="RXW28" s="1040"/>
      <c r="RXX28" s="1040"/>
      <c r="RXY28" s="1040"/>
      <c r="RXZ28" s="1040"/>
      <c r="RYA28" s="1040"/>
      <c r="RYB28" s="1040"/>
      <c r="RYC28" s="1040"/>
      <c r="RYD28" s="1040"/>
      <c r="RYE28" s="1040"/>
      <c r="RYF28" s="1040"/>
      <c r="RYG28" s="1040"/>
      <c r="RYH28" s="1040"/>
      <c r="RYI28" s="1040"/>
      <c r="RYJ28" s="1040"/>
      <c r="RYK28" s="1040"/>
      <c r="RYL28" s="1040"/>
      <c r="RYM28" s="1040"/>
      <c r="RYN28" s="1040"/>
      <c r="RYO28" s="1040"/>
      <c r="RYP28" s="1040"/>
      <c r="RYQ28" s="1040"/>
      <c r="RYR28" s="1040"/>
      <c r="RYS28" s="1040"/>
      <c r="RYT28" s="1040"/>
      <c r="RYU28" s="1040"/>
      <c r="RYV28" s="1040"/>
      <c r="RYW28" s="1040"/>
      <c r="RYX28" s="1040"/>
      <c r="RYY28" s="1040"/>
      <c r="RYZ28" s="1040"/>
      <c r="RZA28" s="1040"/>
      <c r="RZB28" s="1040"/>
      <c r="RZC28" s="1040"/>
      <c r="RZD28" s="1040"/>
      <c r="RZE28" s="1040"/>
      <c r="RZF28" s="1040"/>
      <c r="RZG28" s="1040"/>
      <c r="RZH28" s="1040"/>
      <c r="RZI28" s="1040"/>
      <c r="RZJ28" s="1040"/>
      <c r="RZK28" s="1040"/>
      <c r="RZL28" s="1040"/>
      <c r="RZM28" s="1040"/>
      <c r="RZN28" s="1040"/>
      <c r="RZO28" s="1040"/>
      <c r="RZP28" s="1040"/>
      <c r="RZQ28" s="1040"/>
      <c r="RZR28" s="1040"/>
      <c r="RZS28" s="1040"/>
      <c r="RZT28" s="1040"/>
      <c r="RZU28" s="1040"/>
      <c r="RZV28" s="1040"/>
      <c r="RZW28" s="1040"/>
      <c r="RZX28" s="1040"/>
      <c r="RZY28" s="1040"/>
      <c r="RZZ28" s="1040"/>
      <c r="SAA28" s="1040"/>
      <c r="SAB28" s="1040"/>
      <c r="SAC28" s="1040"/>
      <c r="SAD28" s="1040"/>
      <c r="SAE28" s="1040"/>
      <c r="SAF28" s="1040"/>
      <c r="SAG28" s="1040"/>
      <c r="SAH28" s="1040"/>
      <c r="SAI28" s="1040"/>
      <c r="SAJ28" s="1040"/>
      <c r="SAK28" s="1040"/>
      <c r="SAL28" s="1040"/>
      <c r="SAM28" s="1040"/>
      <c r="SAN28" s="1040"/>
      <c r="SAO28" s="1040"/>
      <c r="SAP28" s="1040"/>
      <c r="SAQ28" s="1040"/>
      <c r="SAR28" s="1040"/>
      <c r="SAS28" s="1040"/>
      <c r="SAT28" s="1040"/>
      <c r="SAU28" s="1040"/>
      <c r="SAV28" s="1040"/>
      <c r="SAW28" s="1040"/>
      <c r="SAX28" s="1040"/>
      <c r="SAY28" s="1040"/>
      <c r="SAZ28" s="1040"/>
      <c r="SBA28" s="1040"/>
      <c r="SBB28" s="1040"/>
      <c r="SBC28" s="1040"/>
      <c r="SBD28" s="1040"/>
      <c r="SBE28" s="1040"/>
      <c r="SBF28" s="1040"/>
      <c r="SBG28" s="1040"/>
      <c r="SBH28" s="1040"/>
      <c r="SBI28" s="1040"/>
      <c r="SBJ28" s="1040"/>
      <c r="SBK28" s="1040"/>
      <c r="SBL28" s="1040"/>
      <c r="SBM28" s="1040"/>
      <c r="SBN28" s="1040"/>
      <c r="SBO28" s="1040"/>
      <c r="SBP28" s="1040"/>
      <c r="SBQ28" s="1040"/>
      <c r="SBR28" s="1040"/>
      <c r="SBS28" s="1040"/>
      <c r="SBT28" s="1040"/>
      <c r="SBU28" s="1040"/>
      <c r="SBV28" s="1040"/>
      <c r="SBW28" s="1040"/>
      <c r="SBX28" s="1040"/>
      <c r="SBY28" s="1040"/>
      <c r="SBZ28" s="1040"/>
      <c r="SCA28" s="1040"/>
      <c r="SCB28" s="1040"/>
      <c r="SCC28" s="1040"/>
      <c r="SCD28" s="1040"/>
      <c r="SCE28" s="1040"/>
      <c r="SCF28" s="1040"/>
      <c r="SCG28" s="1040"/>
      <c r="SCH28" s="1040"/>
      <c r="SCI28" s="1040"/>
      <c r="SCJ28" s="1040"/>
      <c r="SCK28" s="1040"/>
      <c r="SCL28" s="1040"/>
      <c r="SCM28" s="1040"/>
      <c r="SCN28" s="1040"/>
      <c r="SCO28" s="1040"/>
      <c r="SCP28" s="1040"/>
      <c r="SCQ28" s="1040"/>
      <c r="SCR28" s="1040"/>
      <c r="SCS28" s="1040"/>
      <c r="SCT28" s="1040"/>
      <c r="SCU28" s="1040"/>
      <c r="SCV28" s="1040"/>
      <c r="SCW28" s="1040"/>
      <c r="SCX28" s="1040"/>
      <c r="SCY28" s="1040"/>
      <c r="SCZ28" s="1040"/>
      <c r="SDA28" s="1040"/>
      <c r="SDB28" s="1040"/>
      <c r="SDC28" s="1040"/>
      <c r="SDD28" s="1040"/>
      <c r="SDE28" s="1040"/>
      <c r="SDF28" s="1040"/>
      <c r="SDG28" s="1040"/>
      <c r="SDH28" s="1040"/>
      <c r="SDI28" s="1040"/>
      <c r="SDJ28" s="1040"/>
      <c r="SDK28" s="1040"/>
      <c r="SDL28" s="1040"/>
      <c r="SDM28" s="1040"/>
      <c r="SDN28" s="1040"/>
      <c r="SDO28" s="1040"/>
      <c r="SDP28" s="1040"/>
      <c r="SDQ28" s="1040"/>
      <c r="SDR28" s="1040"/>
      <c r="SDS28" s="1040"/>
      <c r="SDT28" s="1040"/>
      <c r="SDU28" s="1040"/>
      <c r="SDV28" s="1040"/>
      <c r="SDW28" s="1040"/>
      <c r="SDX28" s="1040"/>
      <c r="SDY28" s="1040"/>
      <c r="SDZ28" s="1040"/>
      <c r="SEA28" s="1040"/>
      <c r="SEB28" s="1040"/>
      <c r="SEC28" s="1040"/>
      <c r="SED28" s="1040"/>
      <c r="SEE28" s="1040"/>
      <c r="SEF28" s="1040"/>
      <c r="SEG28" s="1040"/>
      <c r="SEH28" s="1040"/>
      <c r="SEI28" s="1040"/>
      <c r="SEJ28" s="1040"/>
      <c r="SEK28" s="1040"/>
      <c r="SEL28" s="1040"/>
      <c r="SEM28" s="1040"/>
      <c r="SEN28" s="1040"/>
      <c r="SEO28" s="1040"/>
      <c r="SEP28" s="1040"/>
      <c r="SEQ28" s="1040"/>
      <c r="SER28" s="1040"/>
      <c r="SES28" s="1040"/>
      <c r="SET28" s="1040"/>
      <c r="SEU28" s="1040"/>
      <c r="SEV28" s="1040"/>
      <c r="SEW28" s="1040"/>
      <c r="SEX28" s="1040"/>
      <c r="SEY28" s="1040"/>
      <c r="SEZ28" s="1040"/>
      <c r="SFA28" s="1040"/>
      <c r="SFB28" s="1040"/>
      <c r="SFC28" s="1040"/>
      <c r="SFD28" s="1040"/>
      <c r="SFE28" s="1040"/>
      <c r="SFF28" s="1040"/>
      <c r="SFG28" s="1040"/>
      <c r="SFH28" s="1040"/>
      <c r="SFI28" s="1040"/>
      <c r="SFJ28" s="1040"/>
      <c r="SFK28" s="1040"/>
      <c r="SFL28" s="1040"/>
      <c r="SFM28" s="1040"/>
      <c r="SFN28" s="1040"/>
      <c r="SFO28" s="1040"/>
      <c r="SFP28" s="1040"/>
      <c r="SFQ28" s="1040"/>
      <c r="SFR28" s="1040"/>
      <c r="SFS28" s="1040"/>
      <c r="SFT28" s="1040"/>
      <c r="SFU28" s="1040"/>
      <c r="SFV28" s="1040"/>
      <c r="SFW28" s="1040"/>
      <c r="SFX28" s="1040"/>
      <c r="SFY28" s="1040"/>
      <c r="SFZ28" s="1040"/>
      <c r="SGA28" s="1040"/>
      <c r="SGB28" s="1040"/>
      <c r="SGC28" s="1040"/>
      <c r="SGD28" s="1040"/>
      <c r="SGE28" s="1040"/>
      <c r="SGF28" s="1040"/>
      <c r="SGG28" s="1040"/>
      <c r="SGH28" s="1040"/>
      <c r="SGI28" s="1040"/>
      <c r="SGJ28" s="1040"/>
      <c r="SGK28" s="1040"/>
      <c r="SGL28" s="1040"/>
      <c r="SGM28" s="1040"/>
      <c r="SGN28" s="1040"/>
      <c r="SGO28" s="1040"/>
      <c r="SGP28" s="1040"/>
      <c r="SGQ28" s="1040"/>
      <c r="SGR28" s="1040"/>
      <c r="SGS28" s="1040"/>
      <c r="SGT28" s="1040"/>
      <c r="SGU28" s="1040"/>
      <c r="SGV28" s="1040"/>
      <c r="SGW28" s="1040"/>
      <c r="SGX28" s="1040"/>
      <c r="SGY28" s="1040"/>
      <c r="SGZ28" s="1040"/>
      <c r="SHA28" s="1040"/>
      <c r="SHB28" s="1040"/>
      <c r="SHC28" s="1040"/>
      <c r="SHD28" s="1040"/>
      <c r="SHE28" s="1040"/>
      <c r="SHF28" s="1040"/>
      <c r="SHG28" s="1040"/>
      <c r="SHH28" s="1040"/>
      <c r="SHI28" s="1040"/>
      <c r="SHJ28" s="1040"/>
      <c r="SHK28" s="1040"/>
      <c r="SHL28" s="1040"/>
      <c r="SHM28" s="1040"/>
      <c r="SHN28" s="1040"/>
      <c r="SHO28" s="1040"/>
      <c r="SHP28" s="1040"/>
      <c r="SHQ28" s="1040"/>
      <c r="SHR28" s="1040"/>
      <c r="SHS28" s="1040"/>
      <c r="SHT28" s="1040"/>
      <c r="SHU28" s="1040"/>
      <c r="SHV28" s="1040"/>
      <c r="SHW28" s="1040"/>
      <c r="SHX28" s="1040"/>
      <c r="SHY28" s="1040"/>
      <c r="SHZ28" s="1040"/>
      <c r="SIA28" s="1040"/>
      <c r="SIB28" s="1040"/>
      <c r="SIC28" s="1040"/>
      <c r="SID28" s="1040"/>
      <c r="SIE28" s="1040"/>
      <c r="SIF28" s="1040"/>
      <c r="SIG28" s="1040"/>
      <c r="SIH28" s="1040"/>
      <c r="SII28" s="1040"/>
      <c r="SIJ28" s="1040"/>
      <c r="SIK28" s="1040"/>
      <c r="SIL28" s="1040"/>
      <c r="SIM28" s="1040"/>
      <c r="SIN28" s="1040"/>
      <c r="SIO28" s="1040"/>
      <c r="SIP28" s="1040"/>
      <c r="SIQ28" s="1040"/>
      <c r="SIR28" s="1040"/>
      <c r="SIS28" s="1040"/>
      <c r="SIT28" s="1040"/>
      <c r="SIU28" s="1040"/>
      <c r="SIV28" s="1040"/>
      <c r="SIW28" s="1040"/>
      <c r="SIX28" s="1040"/>
      <c r="SIY28" s="1040"/>
      <c r="SIZ28" s="1040"/>
      <c r="SJA28" s="1040"/>
      <c r="SJB28" s="1040"/>
      <c r="SJC28" s="1040"/>
      <c r="SJD28" s="1040"/>
      <c r="SJE28" s="1040"/>
      <c r="SJF28" s="1040"/>
      <c r="SJG28" s="1040"/>
      <c r="SJH28" s="1040"/>
      <c r="SJI28" s="1040"/>
      <c r="SJJ28" s="1040"/>
      <c r="SJK28" s="1040"/>
      <c r="SJL28" s="1040"/>
      <c r="SJM28" s="1040"/>
      <c r="SJN28" s="1040"/>
      <c r="SJO28" s="1040"/>
      <c r="SJP28" s="1040"/>
      <c r="SJQ28" s="1040"/>
      <c r="SJR28" s="1040"/>
      <c r="SJS28" s="1040"/>
      <c r="SJT28" s="1040"/>
      <c r="SJU28" s="1040"/>
      <c r="SJV28" s="1040"/>
      <c r="SJW28" s="1040"/>
      <c r="SJX28" s="1040"/>
      <c r="SJY28" s="1040"/>
      <c r="SJZ28" s="1040"/>
      <c r="SKA28" s="1040"/>
      <c r="SKB28" s="1040"/>
      <c r="SKC28" s="1040"/>
      <c r="SKD28" s="1040"/>
      <c r="SKE28" s="1040"/>
      <c r="SKF28" s="1040"/>
      <c r="SKG28" s="1040"/>
      <c r="SKH28" s="1040"/>
      <c r="SKI28" s="1040"/>
      <c r="SKJ28" s="1040"/>
      <c r="SKK28" s="1040"/>
      <c r="SKL28" s="1040"/>
      <c r="SKM28" s="1040"/>
      <c r="SKN28" s="1040"/>
      <c r="SKO28" s="1040"/>
      <c r="SKP28" s="1040"/>
      <c r="SKQ28" s="1040"/>
      <c r="SKR28" s="1040"/>
      <c r="SKS28" s="1040"/>
      <c r="SKT28" s="1040"/>
      <c r="SKU28" s="1040"/>
      <c r="SKV28" s="1040"/>
      <c r="SKW28" s="1040"/>
      <c r="SKX28" s="1040"/>
      <c r="SKY28" s="1040"/>
      <c r="SKZ28" s="1040"/>
      <c r="SLA28" s="1040"/>
      <c r="SLB28" s="1040"/>
      <c r="SLC28" s="1040"/>
      <c r="SLD28" s="1040"/>
      <c r="SLE28" s="1040"/>
      <c r="SLF28" s="1040"/>
      <c r="SLG28" s="1040"/>
      <c r="SLH28" s="1040"/>
      <c r="SLI28" s="1040"/>
      <c r="SLJ28" s="1040"/>
      <c r="SLK28" s="1040"/>
      <c r="SLL28" s="1040"/>
      <c r="SLM28" s="1040"/>
      <c r="SLN28" s="1040"/>
      <c r="SLO28" s="1040"/>
      <c r="SLP28" s="1040"/>
      <c r="SLQ28" s="1040"/>
      <c r="SLR28" s="1040"/>
      <c r="SLS28" s="1040"/>
      <c r="SLT28" s="1040"/>
      <c r="SLU28" s="1040"/>
      <c r="SLV28" s="1040"/>
      <c r="SLW28" s="1040"/>
      <c r="SLX28" s="1040"/>
      <c r="SLY28" s="1040"/>
      <c r="SLZ28" s="1040"/>
      <c r="SMA28" s="1040"/>
      <c r="SMB28" s="1040"/>
      <c r="SMC28" s="1040"/>
      <c r="SMD28" s="1040"/>
      <c r="SME28" s="1040"/>
      <c r="SMF28" s="1040"/>
      <c r="SMG28" s="1040"/>
      <c r="SMH28" s="1040"/>
      <c r="SMI28" s="1040"/>
      <c r="SMJ28" s="1040"/>
      <c r="SMK28" s="1040"/>
      <c r="SML28" s="1040"/>
      <c r="SMM28" s="1040"/>
      <c r="SMN28" s="1040"/>
      <c r="SMO28" s="1040"/>
      <c r="SMP28" s="1040"/>
      <c r="SMQ28" s="1040"/>
      <c r="SMR28" s="1040"/>
      <c r="SMS28" s="1040"/>
      <c r="SMT28" s="1040"/>
      <c r="SMU28" s="1040"/>
      <c r="SMV28" s="1040"/>
      <c r="SMW28" s="1040"/>
      <c r="SMX28" s="1040"/>
      <c r="SMY28" s="1040"/>
      <c r="SMZ28" s="1040"/>
      <c r="SNA28" s="1040"/>
      <c r="SNB28" s="1040"/>
      <c r="SNC28" s="1040"/>
      <c r="SND28" s="1040"/>
      <c r="SNE28" s="1040"/>
      <c r="SNF28" s="1040"/>
      <c r="SNG28" s="1040"/>
      <c r="SNH28" s="1040"/>
      <c r="SNI28" s="1040"/>
      <c r="SNJ28" s="1040"/>
      <c r="SNK28" s="1040"/>
      <c r="SNL28" s="1040"/>
      <c r="SNM28" s="1040"/>
      <c r="SNN28" s="1040"/>
      <c r="SNO28" s="1040"/>
      <c r="SNP28" s="1040"/>
      <c r="SNQ28" s="1040"/>
      <c r="SNR28" s="1040"/>
      <c r="SNS28" s="1040"/>
      <c r="SNT28" s="1040"/>
      <c r="SNU28" s="1040"/>
      <c r="SNV28" s="1040"/>
      <c r="SNW28" s="1040"/>
      <c r="SNX28" s="1040"/>
      <c r="SNY28" s="1040"/>
      <c r="SNZ28" s="1040"/>
      <c r="SOA28" s="1040"/>
      <c r="SOB28" s="1040"/>
      <c r="SOC28" s="1040"/>
      <c r="SOD28" s="1040"/>
      <c r="SOE28" s="1040"/>
      <c r="SOF28" s="1040"/>
      <c r="SOG28" s="1040"/>
      <c r="SOH28" s="1040"/>
      <c r="SOI28" s="1040"/>
      <c r="SOJ28" s="1040"/>
      <c r="SOK28" s="1040"/>
      <c r="SOL28" s="1040"/>
      <c r="SOM28" s="1040"/>
      <c r="SON28" s="1040"/>
      <c r="SOO28" s="1040"/>
      <c r="SOP28" s="1040"/>
      <c r="SOQ28" s="1040"/>
      <c r="SOR28" s="1040"/>
      <c r="SOS28" s="1040"/>
      <c r="SOT28" s="1040"/>
      <c r="SOU28" s="1040"/>
      <c r="SOV28" s="1040"/>
      <c r="SOW28" s="1040"/>
      <c r="SOX28" s="1040"/>
      <c r="SOY28" s="1040"/>
      <c r="SOZ28" s="1040"/>
      <c r="SPA28" s="1040"/>
      <c r="SPB28" s="1040"/>
      <c r="SPC28" s="1040"/>
      <c r="SPD28" s="1040"/>
      <c r="SPE28" s="1040"/>
      <c r="SPF28" s="1040"/>
      <c r="SPG28" s="1040"/>
      <c r="SPH28" s="1040"/>
      <c r="SPI28" s="1040"/>
      <c r="SPJ28" s="1040"/>
      <c r="SPK28" s="1040"/>
      <c r="SPL28" s="1040"/>
      <c r="SPM28" s="1040"/>
      <c r="SPN28" s="1040"/>
      <c r="SPO28" s="1040"/>
      <c r="SPP28" s="1040"/>
      <c r="SPQ28" s="1040"/>
      <c r="SPR28" s="1040"/>
      <c r="SPS28" s="1040"/>
      <c r="SPT28" s="1040"/>
      <c r="SPU28" s="1040"/>
      <c r="SPV28" s="1040"/>
      <c r="SPW28" s="1040"/>
      <c r="SPX28" s="1040"/>
      <c r="SPY28" s="1040"/>
      <c r="SPZ28" s="1040"/>
      <c r="SQA28" s="1040"/>
      <c r="SQB28" s="1040"/>
      <c r="SQC28" s="1040"/>
      <c r="SQD28" s="1040"/>
      <c r="SQE28" s="1040"/>
      <c r="SQF28" s="1040"/>
      <c r="SQG28" s="1040"/>
      <c r="SQH28" s="1040"/>
      <c r="SQI28" s="1040"/>
      <c r="SQJ28" s="1040"/>
      <c r="SQK28" s="1040"/>
      <c r="SQL28" s="1040"/>
      <c r="SQM28" s="1040"/>
      <c r="SQN28" s="1040"/>
      <c r="SQO28" s="1040"/>
      <c r="SQP28" s="1040"/>
      <c r="SQQ28" s="1040"/>
      <c r="SQR28" s="1040"/>
      <c r="SQS28" s="1040"/>
      <c r="SQT28" s="1040"/>
      <c r="SQU28" s="1040"/>
      <c r="SQV28" s="1040"/>
      <c r="SQW28" s="1040"/>
      <c r="SQX28" s="1040"/>
      <c r="SQY28" s="1040"/>
      <c r="SQZ28" s="1040"/>
      <c r="SRA28" s="1040"/>
      <c r="SRB28" s="1040"/>
      <c r="SRC28" s="1040"/>
      <c r="SRD28" s="1040"/>
      <c r="SRE28" s="1040"/>
      <c r="SRF28" s="1040"/>
      <c r="SRG28" s="1040"/>
      <c r="SRH28" s="1040"/>
      <c r="SRI28" s="1040"/>
      <c r="SRJ28" s="1040"/>
      <c r="SRK28" s="1040"/>
      <c r="SRL28" s="1040"/>
      <c r="SRM28" s="1040"/>
      <c r="SRN28" s="1040"/>
      <c r="SRO28" s="1040"/>
      <c r="SRP28" s="1040"/>
      <c r="SRQ28" s="1040"/>
      <c r="SRR28" s="1040"/>
      <c r="SRS28" s="1040"/>
      <c r="SRT28" s="1040"/>
      <c r="SRU28" s="1040"/>
      <c r="SRV28" s="1040"/>
      <c r="SRW28" s="1040"/>
      <c r="SRX28" s="1040"/>
      <c r="SRY28" s="1040"/>
      <c r="SRZ28" s="1040"/>
      <c r="SSA28" s="1040"/>
      <c r="SSB28" s="1040"/>
      <c r="SSC28" s="1040"/>
      <c r="SSD28" s="1040"/>
      <c r="SSE28" s="1040"/>
      <c r="SSF28" s="1040"/>
      <c r="SSG28" s="1040"/>
      <c r="SSH28" s="1040"/>
      <c r="SSI28" s="1040"/>
      <c r="SSJ28" s="1040"/>
      <c r="SSK28" s="1040"/>
      <c r="SSL28" s="1040"/>
      <c r="SSM28" s="1040"/>
      <c r="SSN28" s="1040"/>
      <c r="SSO28" s="1040"/>
      <c r="SSP28" s="1040"/>
      <c r="SSQ28" s="1040"/>
      <c r="SSR28" s="1040"/>
      <c r="SSS28" s="1040"/>
      <c r="SST28" s="1040"/>
      <c r="SSU28" s="1040"/>
      <c r="SSV28" s="1040"/>
      <c r="SSW28" s="1040"/>
      <c r="SSX28" s="1040"/>
      <c r="SSY28" s="1040"/>
      <c r="SSZ28" s="1040"/>
      <c r="STA28" s="1040"/>
      <c r="STB28" s="1040"/>
      <c r="STC28" s="1040"/>
      <c r="STD28" s="1040"/>
      <c r="STE28" s="1040"/>
      <c r="STF28" s="1040"/>
      <c r="STG28" s="1040"/>
      <c r="STH28" s="1040"/>
      <c r="STI28" s="1040"/>
      <c r="STJ28" s="1040"/>
      <c r="STK28" s="1040"/>
      <c r="STL28" s="1040"/>
      <c r="STM28" s="1040"/>
      <c r="STN28" s="1040"/>
      <c r="STO28" s="1040"/>
      <c r="STP28" s="1040"/>
      <c r="STQ28" s="1040"/>
      <c r="STR28" s="1040"/>
      <c r="STS28" s="1040"/>
      <c r="STT28" s="1040"/>
      <c r="STU28" s="1040"/>
      <c r="STV28" s="1040"/>
      <c r="STW28" s="1040"/>
      <c r="STX28" s="1040"/>
      <c r="STY28" s="1040"/>
      <c r="STZ28" s="1040"/>
      <c r="SUA28" s="1040"/>
      <c r="SUB28" s="1040"/>
      <c r="SUC28" s="1040"/>
      <c r="SUD28" s="1040"/>
      <c r="SUE28" s="1040"/>
      <c r="SUF28" s="1040"/>
      <c r="SUG28" s="1040"/>
      <c r="SUH28" s="1040"/>
      <c r="SUI28" s="1040"/>
      <c r="SUJ28" s="1040"/>
      <c r="SUK28" s="1040"/>
      <c r="SUL28" s="1040"/>
      <c r="SUM28" s="1040"/>
      <c r="SUN28" s="1040"/>
      <c r="SUO28" s="1040"/>
      <c r="SUP28" s="1040"/>
      <c r="SUQ28" s="1040"/>
      <c r="SUR28" s="1040"/>
      <c r="SUS28" s="1040"/>
      <c r="SUT28" s="1040"/>
      <c r="SUU28" s="1040"/>
      <c r="SUV28" s="1040"/>
      <c r="SUW28" s="1040"/>
      <c r="SUX28" s="1040"/>
      <c r="SUY28" s="1040"/>
      <c r="SUZ28" s="1040"/>
      <c r="SVA28" s="1040"/>
      <c r="SVB28" s="1040"/>
      <c r="SVC28" s="1040"/>
      <c r="SVD28" s="1040"/>
      <c r="SVE28" s="1040"/>
      <c r="SVF28" s="1040"/>
      <c r="SVG28" s="1040"/>
      <c r="SVH28" s="1040"/>
      <c r="SVI28" s="1040"/>
      <c r="SVJ28" s="1040"/>
      <c r="SVK28" s="1040"/>
      <c r="SVL28" s="1040"/>
      <c r="SVM28" s="1040"/>
      <c r="SVN28" s="1040"/>
      <c r="SVO28" s="1040"/>
      <c r="SVP28" s="1040"/>
      <c r="SVQ28" s="1040"/>
      <c r="SVR28" s="1040"/>
      <c r="SVS28" s="1040"/>
      <c r="SVT28" s="1040"/>
      <c r="SVU28" s="1040"/>
      <c r="SVV28" s="1040"/>
      <c r="SVW28" s="1040"/>
      <c r="SVX28" s="1040"/>
      <c r="SVY28" s="1040"/>
      <c r="SVZ28" s="1040"/>
      <c r="SWA28" s="1040"/>
      <c r="SWB28" s="1040"/>
      <c r="SWC28" s="1040"/>
      <c r="SWD28" s="1040"/>
      <c r="SWE28" s="1040"/>
      <c r="SWF28" s="1040"/>
      <c r="SWG28" s="1040"/>
      <c r="SWH28" s="1040"/>
      <c r="SWI28" s="1040"/>
      <c r="SWJ28" s="1040"/>
      <c r="SWK28" s="1040"/>
      <c r="SWL28" s="1040"/>
      <c r="SWM28" s="1040"/>
      <c r="SWN28" s="1040"/>
      <c r="SWO28" s="1040"/>
      <c r="SWP28" s="1040"/>
      <c r="SWQ28" s="1040"/>
      <c r="SWR28" s="1040"/>
      <c r="SWS28" s="1040"/>
      <c r="SWT28" s="1040"/>
      <c r="SWU28" s="1040"/>
      <c r="SWV28" s="1040"/>
      <c r="SWW28" s="1040"/>
      <c r="SWX28" s="1040"/>
      <c r="SWY28" s="1040"/>
      <c r="SWZ28" s="1040"/>
      <c r="SXA28" s="1040"/>
      <c r="SXB28" s="1040"/>
      <c r="SXC28" s="1040"/>
      <c r="SXD28" s="1040"/>
      <c r="SXE28" s="1040"/>
      <c r="SXF28" s="1040"/>
      <c r="SXG28" s="1040"/>
      <c r="SXH28" s="1040"/>
      <c r="SXI28" s="1040"/>
      <c r="SXJ28" s="1040"/>
      <c r="SXK28" s="1040"/>
      <c r="SXL28" s="1040"/>
      <c r="SXM28" s="1040"/>
      <c r="SXN28" s="1040"/>
      <c r="SXO28" s="1040"/>
      <c r="SXP28" s="1040"/>
      <c r="SXQ28" s="1040"/>
      <c r="SXR28" s="1040"/>
      <c r="SXS28" s="1040"/>
      <c r="SXT28" s="1040"/>
      <c r="SXU28" s="1040"/>
      <c r="SXV28" s="1040"/>
      <c r="SXW28" s="1040"/>
      <c r="SXX28" s="1040"/>
      <c r="SXY28" s="1040"/>
      <c r="SXZ28" s="1040"/>
      <c r="SYA28" s="1040"/>
      <c r="SYB28" s="1040"/>
      <c r="SYC28" s="1040"/>
      <c r="SYD28" s="1040"/>
      <c r="SYE28" s="1040"/>
      <c r="SYF28" s="1040"/>
      <c r="SYG28" s="1040"/>
      <c r="SYH28" s="1040"/>
      <c r="SYI28" s="1040"/>
      <c r="SYJ28" s="1040"/>
      <c r="SYK28" s="1040"/>
      <c r="SYL28" s="1040"/>
      <c r="SYM28" s="1040"/>
      <c r="SYN28" s="1040"/>
      <c r="SYO28" s="1040"/>
      <c r="SYP28" s="1040"/>
      <c r="SYQ28" s="1040"/>
      <c r="SYR28" s="1040"/>
      <c r="SYS28" s="1040"/>
      <c r="SYT28" s="1040"/>
      <c r="SYU28" s="1040"/>
      <c r="SYV28" s="1040"/>
      <c r="SYW28" s="1040"/>
      <c r="SYX28" s="1040"/>
      <c r="SYY28" s="1040"/>
      <c r="SYZ28" s="1040"/>
      <c r="SZA28" s="1040"/>
      <c r="SZB28" s="1040"/>
      <c r="SZC28" s="1040"/>
      <c r="SZD28" s="1040"/>
      <c r="SZE28" s="1040"/>
      <c r="SZF28" s="1040"/>
      <c r="SZG28" s="1040"/>
      <c r="SZH28" s="1040"/>
      <c r="SZI28" s="1040"/>
      <c r="SZJ28" s="1040"/>
      <c r="SZK28" s="1040"/>
      <c r="SZL28" s="1040"/>
      <c r="SZM28" s="1040"/>
      <c r="SZN28" s="1040"/>
      <c r="SZO28" s="1040"/>
      <c r="SZP28" s="1040"/>
      <c r="SZQ28" s="1040"/>
      <c r="SZR28" s="1040"/>
      <c r="SZS28" s="1040"/>
      <c r="SZT28" s="1040"/>
      <c r="SZU28" s="1040"/>
      <c r="SZV28" s="1040"/>
      <c r="SZW28" s="1040"/>
      <c r="SZX28" s="1040"/>
      <c r="SZY28" s="1040"/>
      <c r="SZZ28" s="1040"/>
      <c r="TAA28" s="1040"/>
      <c r="TAB28" s="1040"/>
      <c r="TAC28" s="1040"/>
      <c r="TAD28" s="1040"/>
      <c r="TAE28" s="1040"/>
      <c r="TAF28" s="1040"/>
      <c r="TAG28" s="1040"/>
      <c r="TAH28" s="1040"/>
      <c r="TAI28" s="1040"/>
      <c r="TAJ28" s="1040"/>
      <c r="TAK28" s="1040"/>
      <c r="TAL28" s="1040"/>
      <c r="TAM28" s="1040"/>
      <c r="TAN28" s="1040"/>
      <c r="TAO28" s="1040"/>
      <c r="TAP28" s="1040"/>
      <c r="TAQ28" s="1040"/>
      <c r="TAR28" s="1040"/>
      <c r="TAS28" s="1040"/>
      <c r="TAT28" s="1040"/>
      <c r="TAU28" s="1040"/>
      <c r="TAV28" s="1040"/>
      <c r="TAW28" s="1040"/>
      <c r="TAX28" s="1040"/>
      <c r="TAY28" s="1040"/>
      <c r="TAZ28" s="1040"/>
      <c r="TBA28" s="1040"/>
      <c r="TBB28" s="1040"/>
      <c r="TBC28" s="1040"/>
      <c r="TBD28" s="1040"/>
      <c r="TBE28" s="1040"/>
      <c r="TBF28" s="1040"/>
      <c r="TBG28" s="1040"/>
      <c r="TBH28" s="1040"/>
      <c r="TBI28" s="1040"/>
      <c r="TBJ28" s="1040"/>
      <c r="TBK28" s="1040"/>
      <c r="TBL28" s="1040"/>
      <c r="TBM28" s="1040"/>
      <c r="TBN28" s="1040"/>
      <c r="TBO28" s="1040"/>
      <c r="TBP28" s="1040"/>
      <c r="TBQ28" s="1040"/>
      <c r="TBR28" s="1040"/>
      <c r="TBS28" s="1040"/>
      <c r="TBT28" s="1040"/>
      <c r="TBU28" s="1040"/>
      <c r="TBV28" s="1040"/>
      <c r="TBW28" s="1040"/>
      <c r="TBX28" s="1040"/>
      <c r="TBY28" s="1040"/>
      <c r="TBZ28" s="1040"/>
      <c r="TCA28" s="1040"/>
      <c r="TCB28" s="1040"/>
      <c r="TCC28" s="1040"/>
      <c r="TCD28" s="1040"/>
      <c r="TCE28" s="1040"/>
      <c r="TCF28" s="1040"/>
      <c r="TCG28" s="1040"/>
      <c r="TCH28" s="1040"/>
      <c r="TCI28" s="1040"/>
      <c r="TCJ28" s="1040"/>
      <c r="TCK28" s="1040"/>
      <c r="TCL28" s="1040"/>
      <c r="TCM28" s="1040"/>
      <c r="TCN28" s="1040"/>
      <c r="TCO28" s="1040"/>
      <c r="TCP28" s="1040"/>
      <c r="TCQ28" s="1040"/>
      <c r="TCR28" s="1040"/>
      <c r="TCS28" s="1040"/>
      <c r="TCT28" s="1040"/>
      <c r="TCU28" s="1040"/>
      <c r="TCV28" s="1040"/>
      <c r="TCW28" s="1040"/>
      <c r="TCX28" s="1040"/>
      <c r="TCY28" s="1040"/>
      <c r="TCZ28" s="1040"/>
      <c r="TDA28" s="1040"/>
      <c r="TDB28" s="1040"/>
      <c r="TDC28" s="1040"/>
      <c r="TDD28" s="1040"/>
      <c r="TDE28" s="1040"/>
      <c r="TDF28" s="1040"/>
      <c r="TDG28" s="1040"/>
      <c r="TDH28" s="1040"/>
      <c r="TDI28" s="1040"/>
      <c r="TDJ28" s="1040"/>
      <c r="TDK28" s="1040"/>
      <c r="TDL28" s="1040"/>
      <c r="TDM28" s="1040"/>
      <c r="TDN28" s="1040"/>
      <c r="TDO28" s="1040"/>
      <c r="TDP28" s="1040"/>
      <c r="TDQ28" s="1040"/>
      <c r="TDR28" s="1040"/>
      <c r="TDS28" s="1040"/>
      <c r="TDT28" s="1040"/>
      <c r="TDU28" s="1040"/>
      <c r="TDV28" s="1040"/>
      <c r="TDW28" s="1040"/>
      <c r="TDX28" s="1040"/>
      <c r="TDY28" s="1040"/>
      <c r="TDZ28" s="1040"/>
      <c r="TEA28" s="1040"/>
      <c r="TEB28" s="1040"/>
      <c r="TEC28" s="1040"/>
      <c r="TED28" s="1040"/>
      <c r="TEE28" s="1040"/>
      <c r="TEF28" s="1040"/>
      <c r="TEG28" s="1040"/>
      <c r="TEH28" s="1040"/>
      <c r="TEI28" s="1040"/>
      <c r="TEJ28" s="1040"/>
      <c r="TEK28" s="1040"/>
      <c r="TEL28" s="1040"/>
      <c r="TEM28" s="1040"/>
      <c r="TEN28" s="1040"/>
      <c r="TEO28" s="1040"/>
      <c r="TEP28" s="1040"/>
      <c r="TEQ28" s="1040"/>
      <c r="TER28" s="1040"/>
      <c r="TES28" s="1040"/>
      <c r="TET28" s="1040"/>
      <c r="TEU28" s="1040"/>
      <c r="TEV28" s="1040"/>
      <c r="TEW28" s="1040"/>
      <c r="TEX28" s="1040"/>
      <c r="TEY28" s="1040"/>
      <c r="TEZ28" s="1040"/>
      <c r="TFA28" s="1040"/>
      <c r="TFB28" s="1040"/>
      <c r="TFC28" s="1040"/>
      <c r="TFD28" s="1040"/>
      <c r="TFE28" s="1040"/>
      <c r="TFF28" s="1040"/>
      <c r="TFG28" s="1040"/>
      <c r="TFH28" s="1040"/>
      <c r="TFI28" s="1040"/>
      <c r="TFJ28" s="1040"/>
      <c r="TFK28" s="1040"/>
      <c r="TFL28" s="1040"/>
      <c r="TFM28" s="1040"/>
      <c r="TFN28" s="1040"/>
      <c r="TFO28" s="1040"/>
      <c r="TFP28" s="1040"/>
      <c r="TFQ28" s="1040"/>
      <c r="TFR28" s="1040"/>
      <c r="TFS28" s="1040"/>
      <c r="TFT28" s="1040"/>
      <c r="TFU28" s="1040"/>
      <c r="TFV28" s="1040"/>
      <c r="TFW28" s="1040"/>
      <c r="TFX28" s="1040"/>
      <c r="TFY28" s="1040"/>
      <c r="TFZ28" s="1040"/>
      <c r="TGA28" s="1040"/>
      <c r="TGB28" s="1040"/>
      <c r="TGC28" s="1040"/>
      <c r="TGD28" s="1040"/>
      <c r="TGE28" s="1040"/>
      <c r="TGF28" s="1040"/>
      <c r="TGG28" s="1040"/>
      <c r="TGH28" s="1040"/>
      <c r="TGI28" s="1040"/>
      <c r="TGJ28" s="1040"/>
      <c r="TGK28" s="1040"/>
      <c r="TGL28" s="1040"/>
      <c r="TGM28" s="1040"/>
      <c r="TGN28" s="1040"/>
      <c r="TGO28" s="1040"/>
      <c r="TGP28" s="1040"/>
      <c r="TGQ28" s="1040"/>
      <c r="TGR28" s="1040"/>
      <c r="TGS28" s="1040"/>
      <c r="TGT28" s="1040"/>
      <c r="TGU28" s="1040"/>
      <c r="TGV28" s="1040"/>
      <c r="TGW28" s="1040"/>
      <c r="TGX28" s="1040"/>
      <c r="TGY28" s="1040"/>
      <c r="TGZ28" s="1040"/>
      <c r="THA28" s="1040"/>
      <c r="THB28" s="1040"/>
      <c r="THC28" s="1040"/>
      <c r="THD28" s="1040"/>
      <c r="THE28" s="1040"/>
      <c r="THF28" s="1040"/>
      <c r="THG28" s="1040"/>
      <c r="THH28" s="1040"/>
      <c r="THI28" s="1040"/>
      <c r="THJ28" s="1040"/>
      <c r="THK28" s="1040"/>
      <c r="THL28" s="1040"/>
      <c r="THM28" s="1040"/>
      <c r="THN28" s="1040"/>
      <c r="THO28" s="1040"/>
      <c r="THP28" s="1040"/>
      <c r="THQ28" s="1040"/>
      <c r="THR28" s="1040"/>
      <c r="THS28" s="1040"/>
      <c r="THT28" s="1040"/>
      <c r="THU28" s="1040"/>
      <c r="THV28" s="1040"/>
      <c r="THW28" s="1040"/>
      <c r="THX28" s="1040"/>
      <c r="THY28" s="1040"/>
      <c r="THZ28" s="1040"/>
      <c r="TIA28" s="1040"/>
      <c r="TIB28" s="1040"/>
      <c r="TIC28" s="1040"/>
      <c r="TID28" s="1040"/>
      <c r="TIE28" s="1040"/>
      <c r="TIF28" s="1040"/>
      <c r="TIG28" s="1040"/>
      <c r="TIH28" s="1040"/>
      <c r="TII28" s="1040"/>
      <c r="TIJ28" s="1040"/>
      <c r="TIK28" s="1040"/>
      <c r="TIL28" s="1040"/>
      <c r="TIM28" s="1040"/>
      <c r="TIN28" s="1040"/>
      <c r="TIO28" s="1040"/>
      <c r="TIP28" s="1040"/>
      <c r="TIQ28" s="1040"/>
      <c r="TIR28" s="1040"/>
      <c r="TIS28" s="1040"/>
      <c r="TIT28" s="1040"/>
      <c r="TIU28" s="1040"/>
      <c r="TIV28" s="1040"/>
      <c r="TIW28" s="1040"/>
      <c r="TIX28" s="1040"/>
      <c r="TIY28" s="1040"/>
      <c r="TIZ28" s="1040"/>
      <c r="TJA28" s="1040"/>
      <c r="TJB28" s="1040"/>
      <c r="TJC28" s="1040"/>
      <c r="TJD28" s="1040"/>
      <c r="TJE28" s="1040"/>
      <c r="TJF28" s="1040"/>
      <c r="TJG28" s="1040"/>
      <c r="TJH28" s="1040"/>
      <c r="TJI28" s="1040"/>
      <c r="TJJ28" s="1040"/>
      <c r="TJK28" s="1040"/>
      <c r="TJL28" s="1040"/>
      <c r="TJM28" s="1040"/>
      <c r="TJN28" s="1040"/>
      <c r="TJO28" s="1040"/>
      <c r="TJP28" s="1040"/>
      <c r="TJQ28" s="1040"/>
      <c r="TJR28" s="1040"/>
      <c r="TJS28" s="1040"/>
      <c r="TJT28" s="1040"/>
      <c r="TJU28" s="1040"/>
      <c r="TJV28" s="1040"/>
      <c r="TJW28" s="1040"/>
      <c r="TJX28" s="1040"/>
      <c r="TJY28" s="1040"/>
      <c r="TJZ28" s="1040"/>
      <c r="TKA28" s="1040"/>
      <c r="TKB28" s="1040"/>
      <c r="TKC28" s="1040"/>
      <c r="TKD28" s="1040"/>
      <c r="TKE28" s="1040"/>
      <c r="TKF28" s="1040"/>
      <c r="TKG28" s="1040"/>
      <c r="TKH28" s="1040"/>
      <c r="TKI28" s="1040"/>
      <c r="TKJ28" s="1040"/>
      <c r="TKK28" s="1040"/>
      <c r="TKL28" s="1040"/>
      <c r="TKM28" s="1040"/>
      <c r="TKN28" s="1040"/>
      <c r="TKO28" s="1040"/>
      <c r="TKP28" s="1040"/>
      <c r="TKQ28" s="1040"/>
      <c r="TKR28" s="1040"/>
      <c r="TKS28" s="1040"/>
      <c r="TKT28" s="1040"/>
      <c r="TKU28" s="1040"/>
      <c r="TKV28" s="1040"/>
      <c r="TKW28" s="1040"/>
      <c r="TKX28" s="1040"/>
      <c r="TKY28" s="1040"/>
      <c r="TKZ28" s="1040"/>
      <c r="TLA28" s="1040"/>
      <c r="TLB28" s="1040"/>
      <c r="TLC28" s="1040"/>
      <c r="TLD28" s="1040"/>
      <c r="TLE28" s="1040"/>
      <c r="TLF28" s="1040"/>
      <c r="TLG28" s="1040"/>
      <c r="TLH28" s="1040"/>
      <c r="TLI28" s="1040"/>
      <c r="TLJ28" s="1040"/>
      <c r="TLK28" s="1040"/>
      <c r="TLL28" s="1040"/>
      <c r="TLM28" s="1040"/>
      <c r="TLN28" s="1040"/>
      <c r="TLO28" s="1040"/>
      <c r="TLP28" s="1040"/>
      <c r="TLQ28" s="1040"/>
      <c r="TLR28" s="1040"/>
      <c r="TLS28" s="1040"/>
      <c r="TLT28" s="1040"/>
      <c r="TLU28" s="1040"/>
      <c r="TLV28" s="1040"/>
      <c r="TLW28" s="1040"/>
      <c r="TLX28" s="1040"/>
      <c r="TLY28" s="1040"/>
      <c r="TLZ28" s="1040"/>
      <c r="TMA28" s="1040"/>
      <c r="TMB28" s="1040"/>
      <c r="TMC28" s="1040"/>
      <c r="TMD28" s="1040"/>
      <c r="TME28" s="1040"/>
      <c r="TMF28" s="1040"/>
      <c r="TMG28" s="1040"/>
      <c r="TMH28" s="1040"/>
      <c r="TMI28" s="1040"/>
      <c r="TMJ28" s="1040"/>
      <c r="TMK28" s="1040"/>
      <c r="TML28" s="1040"/>
      <c r="TMM28" s="1040"/>
      <c r="TMN28" s="1040"/>
      <c r="TMO28" s="1040"/>
      <c r="TMP28" s="1040"/>
      <c r="TMQ28" s="1040"/>
      <c r="TMR28" s="1040"/>
      <c r="TMS28" s="1040"/>
      <c r="TMT28" s="1040"/>
      <c r="TMU28" s="1040"/>
      <c r="TMV28" s="1040"/>
      <c r="TMW28" s="1040"/>
      <c r="TMX28" s="1040"/>
      <c r="TMY28" s="1040"/>
      <c r="TMZ28" s="1040"/>
      <c r="TNA28" s="1040"/>
      <c r="TNB28" s="1040"/>
      <c r="TNC28" s="1040"/>
      <c r="TND28" s="1040"/>
      <c r="TNE28" s="1040"/>
      <c r="TNF28" s="1040"/>
      <c r="TNG28" s="1040"/>
      <c r="TNH28" s="1040"/>
      <c r="TNI28" s="1040"/>
      <c r="TNJ28" s="1040"/>
      <c r="TNK28" s="1040"/>
      <c r="TNL28" s="1040"/>
      <c r="TNM28" s="1040"/>
      <c r="TNN28" s="1040"/>
      <c r="TNO28" s="1040"/>
      <c r="TNP28" s="1040"/>
      <c r="TNQ28" s="1040"/>
      <c r="TNR28" s="1040"/>
      <c r="TNS28" s="1040"/>
      <c r="TNT28" s="1040"/>
      <c r="TNU28" s="1040"/>
      <c r="TNV28" s="1040"/>
      <c r="TNW28" s="1040"/>
      <c r="TNX28" s="1040"/>
      <c r="TNY28" s="1040"/>
      <c r="TNZ28" s="1040"/>
      <c r="TOA28" s="1040"/>
      <c r="TOB28" s="1040"/>
      <c r="TOC28" s="1040"/>
      <c r="TOD28" s="1040"/>
      <c r="TOE28" s="1040"/>
      <c r="TOF28" s="1040"/>
      <c r="TOG28" s="1040"/>
      <c r="TOH28" s="1040"/>
      <c r="TOI28" s="1040"/>
      <c r="TOJ28" s="1040"/>
      <c r="TOK28" s="1040"/>
      <c r="TOL28" s="1040"/>
      <c r="TOM28" s="1040"/>
      <c r="TON28" s="1040"/>
      <c r="TOO28" s="1040"/>
      <c r="TOP28" s="1040"/>
      <c r="TOQ28" s="1040"/>
      <c r="TOR28" s="1040"/>
      <c r="TOS28" s="1040"/>
      <c r="TOT28" s="1040"/>
      <c r="TOU28" s="1040"/>
      <c r="TOV28" s="1040"/>
      <c r="TOW28" s="1040"/>
      <c r="TOX28" s="1040"/>
      <c r="TOY28" s="1040"/>
      <c r="TOZ28" s="1040"/>
      <c r="TPA28" s="1040"/>
      <c r="TPB28" s="1040"/>
      <c r="TPC28" s="1040"/>
      <c r="TPD28" s="1040"/>
      <c r="TPE28" s="1040"/>
      <c r="TPF28" s="1040"/>
      <c r="TPG28" s="1040"/>
      <c r="TPH28" s="1040"/>
      <c r="TPI28" s="1040"/>
      <c r="TPJ28" s="1040"/>
      <c r="TPK28" s="1040"/>
      <c r="TPL28" s="1040"/>
      <c r="TPM28" s="1040"/>
      <c r="TPN28" s="1040"/>
      <c r="TPO28" s="1040"/>
      <c r="TPP28" s="1040"/>
      <c r="TPQ28" s="1040"/>
      <c r="TPR28" s="1040"/>
      <c r="TPS28" s="1040"/>
      <c r="TPT28" s="1040"/>
      <c r="TPU28" s="1040"/>
      <c r="TPV28" s="1040"/>
      <c r="TPW28" s="1040"/>
      <c r="TPX28" s="1040"/>
      <c r="TPY28" s="1040"/>
      <c r="TPZ28" s="1040"/>
      <c r="TQA28" s="1040"/>
      <c r="TQB28" s="1040"/>
      <c r="TQC28" s="1040"/>
      <c r="TQD28" s="1040"/>
      <c r="TQE28" s="1040"/>
      <c r="TQF28" s="1040"/>
      <c r="TQG28" s="1040"/>
      <c r="TQH28" s="1040"/>
      <c r="TQI28" s="1040"/>
      <c r="TQJ28" s="1040"/>
      <c r="TQK28" s="1040"/>
      <c r="TQL28" s="1040"/>
      <c r="TQM28" s="1040"/>
      <c r="TQN28" s="1040"/>
      <c r="TQO28" s="1040"/>
      <c r="TQP28" s="1040"/>
      <c r="TQQ28" s="1040"/>
      <c r="TQR28" s="1040"/>
      <c r="TQS28" s="1040"/>
      <c r="TQT28" s="1040"/>
      <c r="TQU28" s="1040"/>
      <c r="TQV28" s="1040"/>
      <c r="TQW28" s="1040"/>
      <c r="TQX28" s="1040"/>
      <c r="TQY28" s="1040"/>
      <c r="TQZ28" s="1040"/>
      <c r="TRA28" s="1040"/>
      <c r="TRB28" s="1040"/>
      <c r="TRC28" s="1040"/>
      <c r="TRD28" s="1040"/>
      <c r="TRE28" s="1040"/>
      <c r="TRF28" s="1040"/>
      <c r="TRG28" s="1040"/>
      <c r="TRH28" s="1040"/>
      <c r="TRI28" s="1040"/>
      <c r="TRJ28" s="1040"/>
      <c r="TRK28" s="1040"/>
      <c r="TRL28" s="1040"/>
      <c r="TRM28" s="1040"/>
      <c r="TRN28" s="1040"/>
      <c r="TRO28" s="1040"/>
      <c r="TRP28" s="1040"/>
      <c r="TRQ28" s="1040"/>
      <c r="TRR28" s="1040"/>
      <c r="TRS28" s="1040"/>
      <c r="TRT28" s="1040"/>
      <c r="TRU28" s="1040"/>
      <c r="TRV28" s="1040"/>
      <c r="TRW28" s="1040"/>
      <c r="TRX28" s="1040"/>
      <c r="TRY28" s="1040"/>
      <c r="TRZ28" s="1040"/>
      <c r="TSA28" s="1040"/>
      <c r="TSB28" s="1040"/>
      <c r="TSC28" s="1040"/>
      <c r="TSD28" s="1040"/>
      <c r="TSE28" s="1040"/>
      <c r="TSF28" s="1040"/>
      <c r="TSG28" s="1040"/>
      <c r="TSH28" s="1040"/>
      <c r="TSI28" s="1040"/>
      <c r="TSJ28" s="1040"/>
      <c r="TSK28" s="1040"/>
      <c r="TSL28" s="1040"/>
      <c r="TSM28" s="1040"/>
      <c r="TSN28" s="1040"/>
      <c r="TSO28" s="1040"/>
      <c r="TSP28" s="1040"/>
      <c r="TSQ28" s="1040"/>
      <c r="TSR28" s="1040"/>
      <c r="TSS28" s="1040"/>
      <c r="TST28" s="1040"/>
      <c r="TSU28" s="1040"/>
      <c r="TSV28" s="1040"/>
      <c r="TSW28" s="1040"/>
      <c r="TSX28" s="1040"/>
      <c r="TSY28" s="1040"/>
      <c r="TSZ28" s="1040"/>
      <c r="TTA28" s="1040"/>
      <c r="TTB28" s="1040"/>
      <c r="TTC28" s="1040"/>
      <c r="TTD28" s="1040"/>
      <c r="TTE28" s="1040"/>
      <c r="TTF28" s="1040"/>
      <c r="TTG28" s="1040"/>
      <c r="TTH28" s="1040"/>
      <c r="TTI28" s="1040"/>
      <c r="TTJ28" s="1040"/>
      <c r="TTK28" s="1040"/>
      <c r="TTL28" s="1040"/>
      <c r="TTM28" s="1040"/>
      <c r="TTN28" s="1040"/>
      <c r="TTO28" s="1040"/>
      <c r="TTP28" s="1040"/>
      <c r="TTQ28" s="1040"/>
      <c r="TTR28" s="1040"/>
      <c r="TTS28" s="1040"/>
      <c r="TTT28" s="1040"/>
      <c r="TTU28" s="1040"/>
      <c r="TTV28" s="1040"/>
      <c r="TTW28" s="1040"/>
      <c r="TTX28" s="1040"/>
      <c r="TTY28" s="1040"/>
      <c r="TTZ28" s="1040"/>
      <c r="TUA28" s="1040"/>
      <c r="TUB28" s="1040"/>
      <c r="TUC28" s="1040"/>
      <c r="TUD28" s="1040"/>
      <c r="TUE28" s="1040"/>
      <c r="TUF28" s="1040"/>
      <c r="TUG28" s="1040"/>
      <c r="TUH28" s="1040"/>
      <c r="TUI28" s="1040"/>
      <c r="TUJ28" s="1040"/>
      <c r="TUK28" s="1040"/>
      <c r="TUL28" s="1040"/>
      <c r="TUM28" s="1040"/>
      <c r="TUN28" s="1040"/>
      <c r="TUO28" s="1040"/>
      <c r="TUP28" s="1040"/>
      <c r="TUQ28" s="1040"/>
      <c r="TUR28" s="1040"/>
      <c r="TUS28" s="1040"/>
      <c r="TUT28" s="1040"/>
      <c r="TUU28" s="1040"/>
      <c r="TUV28" s="1040"/>
      <c r="TUW28" s="1040"/>
      <c r="TUX28" s="1040"/>
      <c r="TUY28" s="1040"/>
      <c r="TUZ28" s="1040"/>
      <c r="TVA28" s="1040"/>
      <c r="TVB28" s="1040"/>
      <c r="TVC28" s="1040"/>
      <c r="TVD28" s="1040"/>
      <c r="TVE28" s="1040"/>
      <c r="TVF28" s="1040"/>
      <c r="TVG28" s="1040"/>
      <c r="TVH28" s="1040"/>
      <c r="TVI28" s="1040"/>
      <c r="TVJ28" s="1040"/>
      <c r="TVK28" s="1040"/>
      <c r="TVL28" s="1040"/>
      <c r="TVM28" s="1040"/>
      <c r="TVN28" s="1040"/>
      <c r="TVO28" s="1040"/>
      <c r="TVP28" s="1040"/>
      <c r="TVQ28" s="1040"/>
      <c r="TVR28" s="1040"/>
      <c r="TVS28" s="1040"/>
      <c r="TVT28" s="1040"/>
      <c r="TVU28" s="1040"/>
      <c r="TVV28" s="1040"/>
      <c r="TVW28" s="1040"/>
      <c r="TVX28" s="1040"/>
      <c r="TVY28" s="1040"/>
      <c r="TVZ28" s="1040"/>
      <c r="TWA28" s="1040"/>
      <c r="TWB28" s="1040"/>
      <c r="TWC28" s="1040"/>
      <c r="TWD28" s="1040"/>
      <c r="TWE28" s="1040"/>
      <c r="TWF28" s="1040"/>
      <c r="TWG28" s="1040"/>
      <c r="TWH28" s="1040"/>
      <c r="TWI28" s="1040"/>
      <c r="TWJ28" s="1040"/>
      <c r="TWK28" s="1040"/>
      <c r="TWL28" s="1040"/>
      <c r="TWM28" s="1040"/>
      <c r="TWN28" s="1040"/>
      <c r="TWO28" s="1040"/>
      <c r="TWP28" s="1040"/>
      <c r="TWQ28" s="1040"/>
      <c r="TWR28" s="1040"/>
      <c r="TWS28" s="1040"/>
      <c r="TWT28" s="1040"/>
      <c r="TWU28" s="1040"/>
      <c r="TWV28" s="1040"/>
      <c r="TWW28" s="1040"/>
      <c r="TWX28" s="1040"/>
      <c r="TWY28" s="1040"/>
      <c r="TWZ28" s="1040"/>
      <c r="TXA28" s="1040"/>
      <c r="TXB28" s="1040"/>
      <c r="TXC28" s="1040"/>
      <c r="TXD28" s="1040"/>
      <c r="TXE28" s="1040"/>
      <c r="TXF28" s="1040"/>
      <c r="TXG28" s="1040"/>
      <c r="TXH28" s="1040"/>
      <c r="TXI28" s="1040"/>
      <c r="TXJ28" s="1040"/>
      <c r="TXK28" s="1040"/>
      <c r="TXL28" s="1040"/>
      <c r="TXM28" s="1040"/>
      <c r="TXN28" s="1040"/>
      <c r="TXO28" s="1040"/>
      <c r="TXP28" s="1040"/>
      <c r="TXQ28" s="1040"/>
      <c r="TXR28" s="1040"/>
      <c r="TXS28" s="1040"/>
      <c r="TXT28" s="1040"/>
      <c r="TXU28" s="1040"/>
      <c r="TXV28" s="1040"/>
      <c r="TXW28" s="1040"/>
      <c r="TXX28" s="1040"/>
      <c r="TXY28" s="1040"/>
      <c r="TXZ28" s="1040"/>
      <c r="TYA28" s="1040"/>
      <c r="TYB28" s="1040"/>
      <c r="TYC28" s="1040"/>
      <c r="TYD28" s="1040"/>
      <c r="TYE28" s="1040"/>
      <c r="TYF28" s="1040"/>
      <c r="TYG28" s="1040"/>
      <c r="TYH28" s="1040"/>
      <c r="TYI28" s="1040"/>
      <c r="TYJ28" s="1040"/>
      <c r="TYK28" s="1040"/>
      <c r="TYL28" s="1040"/>
      <c r="TYM28" s="1040"/>
      <c r="TYN28" s="1040"/>
      <c r="TYO28" s="1040"/>
      <c r="TYP28" s="1040"/>
      <c r="TYQ28" s="1040"/>
      <c r="TYR28" s="1040"/>
      <c r="TYS28" s="1040"/>
      <c r="TYT28" s="1040"/>
      <c r="TYU28" s="1040"/>
      <c r="TYV28" s="1040"/>
      <c r="TYW28" s="1040"/>
      <c r="TYX28" s="1040"/>
      <c r="TYY28" s="1040"/>
      <c r="TYZ28" s="1040"/>
      <c r="TZA28" s="1040"/>
      <c r="TZB28" s="1040"/>
      <c r="TZC28" s="1040"/>
      <c r="TZD28" s="1040"/>
      <c r="TZE28" s="1040"/>
      <c r="TZF28" s="1040"/>
      <c r="TZG28" s="1040"/>
      <c r="TZH28" s="1040"/>
      <c r="TZI28" s="1040"/>
      <c r="TZJ28" s="1040"/>
      <c r="TZK28" s="1040"/>
      <c r="TZL28" s="1040"/>
      <c r="TZM28" s="1040"/>
      <c r="TZN28" s="1040"/>
      <c r="TZO28" s="1040"/>
      <c r="TZP28" s="1040"/>
      <c r="TZQ28" s="1040"/>
      <c r="TZR28" s="1040"/>
      <c r="TZS28" s="1040"/>
      <c r="TZT28" s="1040"/>
      <c r="TZU28" s="1040"/>
      <c r="TZV28" s="1040"/>
      <c r="TZW28" s="1040"/>
      <c r="TZX28" s="1040"/>
      <c r="TZY28" s="1040"/>
      <c r="TZZ28" s="1040"/>
      <c r="UAA28" s="1040"/>
      <c r="UAB28" s="1040"/>
      <c r="UAC28" s="1040"/>
      <c r="UAD28" s="1040"/>
      <c r="UAE28" s="1040"/>
      <c r="UAF28" s="1040"/>
      <c r="UAG28" s="1040"/>
      <c r="UAH28" s="1040"/>
      <c r="UAI28" s="1040"/>
      <c r="UAJ28" s="1040"/>
      <c r="UAK28" s="1040"/>
      <c r="UAL28" s="1040"/>
      <c r="UAM28" s="1040"/>
      <c r="UAN28" s="1040"/>
      <c r="UAO28" s="1040"/>
      <c r="UAP28" s="1040"/>
      <c r="UAQ28" s="1040"/>
      <c r="UAR28" s="1040"/>
      <c r="UAS28" s="1040"/>
      <c r="UAT28" s="1040"/>
      <c r="UAU28" s="1040"/>
      <c r="UAV28" s="1040"/>
      <c r="UAW28" s="1040"/>
      <c r="UAX28" s="1040"/>
      <c r="UAY28" s="1040"/>
      <c r="UAZ28" s="1040"/>
      <c r="UBA28" s="1040"/>
      <c r="UBB28" s="1040"/>
      <c r="UBC28" s="1040"/>
      <c r="UBD28" s="1040"/>
      <c r="UBE28" s="1040"/>
      <c r="UBF28" s="1040"/>
      <c r="UBG28" s="1040"/>
      <c r="UBH28" s="1040"/>
      <c r="UBI28" s="1040"/>
      <c r="UBJ28" s="1040"/>
      <c r="UBK28" s="1040"/>
      <c r="UBL28" s="1040"/>
      <c r="UBM28" s="1040"/>
      <c r="UBN28" s="1040"/>
      <c r="UBO28" s="1040"/>
      <c r="UBP28" s="1040"/>
      <c r="UBQ28" s="1040"/>
      <c r="UBR28" s="1040"/>
      <c r="UBS28" s="1040"/>
      <c r="UBT28" s="1040"/>
      <c r="UBU28" s="1040"/>
      <c r="UBV28" s="1040"/>
      <c r="UBW28" s="1040"/>
      <c r="UBX28" s="1040"/>
      <c r="UBY28" s="1040"/>
      <c r="UBZ28" s="1040"/>
      <c r="UCA28" s="1040"/>
      <c r="UCB28" s="1040"/>
      <c r="UCC28" s="1040"/>
      <c r="UCD28" s="1040"/>
      <c r="UCE28" s="1040"/>
      <c r="UCF28" s="1040"/>
      <c r="UCG28" s="1040"/>
      <c r="UCH28" s="1040"/>
      <c r="UCI28" s="1040"/>
      <c r="UCJ28" s="1040"/>
      <c r="UCK28" s="1040"/>
      <c r="UCL28" s="1040"/>
      <c r="UCM28" s="1040"/>
      <c r="UCN28" s="1040"/>
      <c r="UCO28" s="1040"/>
      <c r="UCP28" s="1040"/>
      <c r="UCQ28" s="1040"/>
      <c r="UCR28" s="1040"/>
      <c r="UCS28" s="1040"/>
      <c r="UCT28" s="1040"/>
      <c r="UCU28" s="1040"/>
      <c r="UCV28" s="1040"/>
      <c r="UCW28" s="1040"/>
      <c r="UCX28" s="1040"/>
      <c r="UCY28" s="1040"/>
      <c r="UCZ28" s="1040"/>
      <c r="UDA28" s="1040"/>
      <c r="UDB28" s="1040"/>
      <c r="UDC28" s="1040"/>
      <c r="UDD28" s="1040"/>
      <c r="UDE28" s="1040"/>
      <c r="UDF28" s="1040"/>
      <c r="UDG28" s="1040"/>
      <c r="UDH28" s="1040"/>
      <c r="UDI28" s="1040"/>
      <c r="UDJ28" s="1040"/>
      <c r="UDK28" s="1040"/>
      <c r="UDL28" s="1040"/>
      <c r="UDM28" s="1040"/>
      <c r="UDN28" s="1040"/>
      <c r="UDO28" s="1040"/>
      <c r="UDP28" s="1040"/>
      <c r="UDQ28" s="1040"/>
      <c r="UDR28" s="1040"/>
      <c r="UDS28" s="1040"/>
      <c r="UDT28" s="1040"/>
      <c r="UDU28" s="1040"/>
      <c r="UDV28" s="1040"/>
      <c r="UDW28" s="1040"/>
      <c r="UDX28" s="1040"/>
      <c r="UDY28" s="1040"/>
      <c r="UDZ28" s="1040"/>
      <c r="UEA28" s="1040"/>
      <c r="UEB28" s="1040"/>
      <c r="UEC28" s="1040"/>
      <c r="UED28" s="1040"/>
      <c r="UEE28" s="1040"/>
      <c r="UEF28" s="1040"/>
      <c r="UEG28" s="1040"/>
      <c r="UEH28" s="1040"/>
      <c r="UEI28" s="1040"/>
      <c r="UEJ28" s="1040"/>
      <c r="UEK28" s="1040"/>
      <c r="UEL28" s="1040"/>
      <c r="UEM28" s="1040"/>
      <c r="UEN28" s="1040"/>
      <c r="UEO28" s="1040"/>
      <c r="UEP28" s="1040"/>
      <c r="UEQ28" s="1040"/>
      <c r="UER28" s="1040"/>
      <c r="UES28" s="1040"/>
      <c r="UET28" s="1040"/>
      <c r="UEU28" s="1040"/>
      <c r="UEV28" s="1040"/>
      <c r="UEW28" s="1040"/>
      <c r="UEX28" s="1040"/>
      <c r="UEY28" s="1040"/>
      <c r="UEZ28" s="1040"/>
      <c r="UFA28" s="1040"/>
      <c r="UFB28" s="1040"/>
      <c r="UFC28" s="1040"/>
      <c r="UFD28" s="1040"/>
      <c r="UFE28" s="1040"/>
      <c r="UFF28" s="1040"/>
      <c r="UFG28" s="1040"/>
      <c r="UFH28" s="1040"/>
      <c r="UFI28" s="1040"/>
      <c r="UFJ28" s="1040"/>
      <c r="UFK28" s="1040"/>
      <c r="UFL28" s="1040"/>
      <c r="UFM28" s="1040"/>
      <c r="UFN28" s="1040"/>
      <c r="UFO28" s="1040"/>
      <c r="UFP28" s="1040"/>
      <c r="UFQ28" s="1040"/>
      <c r="UFR28" s="1040"/>
      <c r="UFS28" s="1040"/>
      <c r="UFT28" s="1040"/>
      <c r="UFU28" s="1040"/>
      <c r="UFV28" s="1040"/>
      <c r="UFW28" s="1040"/>
      <c r="UFX28" s="1040"/>
      <c r="UFY28" s="1040"/>
      <c r="UFZ28" s="1040"/>
      <c r="UGA28" s="1040"/>
      <c r="UGB28" s="1040"/>
      <c r="UGC28" s="1040"/>
      <c r="UGD28" s="1040"/>
      <c r="UGE28" s="1040"/>
      <c r="UGF28" s="1040"/>
      <c r="UGG28" s="1040"/>
      <c r="UGH28" s="1040"/>
      <c r="UGI28" s="1040"/>
      <c r="UGJ28" s="1040"/>
      <c r="UGK28" s="1040"/>
      <c r="UGL28" s="1040"/>
      <c r="UGM28" s="1040"/>
      <c r="UGN28" s="1040"/>
      <c r="UGO28" s="1040"/>
      <c r="UGP28" s="1040"/>
      <c r="UGQ28" s="1040"/>
      <c r="UGR28" s="1040"/>
      <c r="UGS28" s="1040"/>
      <c r="UGT28" s="1040"/>
      <c r="UGU28" s="1040"/>
      <c r="UGV28" s="1040"/>
      <c r="UGW28" s="1040"/>
      <c r="UGX28" s="1040"/>
      <c r="UGY28" s="1040"/>
      <c r="UGZ28" s="1040"/>
      <c r="UHA28" s="1040"/>
      <c r="UHB28" s="1040"/>
      <c r="UHC28" s="1040"/>
      <c r="UHD28" s="1040"/>
      <c r="UHE28" s="1040"/>
      <c r="UHF28" s="1040"/>
      <c r="UHG28" s="1040"/>
      <c r="UHH28" s="1040"/>
      <c r="UHI28" s="1040"/>
      <c r="UHJ28" s="1040"/>
      <c r="UHK28" s="1040"/>
      <c r="UHL28" s="1040"/>
      <c r="UHM28" s="1040"/>
      <c r="UHN28" s="1040"/>
      <c r="UHO28" s="1040"/>
      <c r="UHP28" s="1040"/>
      <c r="UHQ28" s="1040"/>
      <c r="UHR28" s="1040"/>
      <c r="UHS28" s="1040"/>
      <c r="UHT28" s="1040"/>
      <c r="UHU28" s="1040"/>
      <c r="UHV28" s="1040"/>
      <c r="UHW28" s="1040"/>
      <c r="UHX28" s="1040"/>
      <c r="UHY28" s="1040"/>
      <c r="UHZ28" s="1040"/>
      <c r="UIA28" s="1040"/>
      <c r="UIB28" s="1040"/>
      <c r="UIC28" s="1040"/>
      <c r="UID28" s="1040"/>
      <c r="UIE28" s="1040"/>
      <c r="UIF28" s="1040"/>
      <c r="UIG28" s="1040"/>
      <c r="UIH28" s="1040"/>
      <c r="UII28" s="1040"/>
      <c r="UIJ28" s="1040"/>
      <c r="UIK28" s="1040"/>
      <c r="UIL28" s="1040"/>
      <c r="UIM28" s="1040"/>
      <c r="UIN28" s="1040"/>
      <c r="UIO28" s="1040"/>
      <c r="UIP28" s="1040"/>
      <c r="UIQ28" s="1040"/>
      <c r="UIR28" s="1040"/>
      <c r="UIS28" s="1040"/>
      <c r="UIT28" s="1040"/>
      <c r="UIU28" s="1040"/>
      <c r="UIV28" s="1040"/>
      <c r="UIW28" s="1040"/>
      <c r="UIX28" s="1040"/>
      <c r="UIY28" s="1040"/>
      <c r="UIZ28" s="1040"/>
      <c r="UJA28" s="1040"/>
      <c r="UJB28" s="1040"/>
      <c r="UJC28" s="1040"/>
      <c r="UJD28" s="1040"/>
      <c r="UJE28" s="1040"/>
      <c r="UJF28" s="1040"/>
      <c r="UJG28" s="1040"/>
      <c r="UJH28" s="1040"/>
      <c r="UJI28" s="1040"/>
      <c r="UJJ28" s="1040"/>
      <c r="UJK28" s="1040"/>
      <c r="UJL28" s="1040"/>
      <c r="UJM28" s="1040"/>
      <c r="UJN28" s="1040"/>
      <c r="UJO28" s="1040"/>
      <c r="UJP28" s="1040"/>
      <c r="UJQ28" s="1040"/>
      <c r="UJR28" s="1040"/>
      <c r="UJS28" s="1040"/>
      <c r="UJT28" s="1040"/>
      <c r="UJU28" s="1040"/>
      <c r="UJV28" s="1040"/>
      <c r="UJW28" s="1040"/>
      <c r="UJX28" s="1040"/>
      <c r="UJY28" s="1040"/>
      <c r="UJZ28" s="1040"/>
      <c r="UKA28" s="1040"/>
      <c r="UKB28" s="1040"/>
      <c r="UKC28" s="1040"/>
      <c r="UKD28" s="1040"/>
      <c r="UKE28" s="1040"/>
      <c r="UKF28" s="1040"/>
      <c r="UKG28" s="1040"/>
      <c r="UKH28" s="1040"/>
      <c r="UKI28" s="1040"/>
      <c r="UKJ28" s="1040"/>
      <c r="UKK28" s="1040"/>
      <c r="UKL28" s="1040"/>
      <c r="UKM28" s="1040"/>
      <c r="UKN28" s="1040"/>
      <c r="UKO28" s="1040"/>
      <c r="UKP28" s="1040"/>
      <c r="UKQ28" s="1040"/>
      <c r="UKR28" s="1040"/>
      <c r="UKS28" s="1040"/>
      <c r="UKT28" s="1040"/>
      <c r="UKU28" s="1040"/>
      <c r="UKV28" s="1040"/>
      <c r="UKW28" s="1040"/>
      <c r="UKX28" s="1040"/>
      <c r="UKY28" s="1040"/>
      <c r="UKZ28" s="1040"/>
      <c r="ULA28" s="1040"/>
      <c r="ULB28" s="1040"/>
      <c r="ULC28" s="1040"/>
      <c r="ULD28" s="1040"/>
      <c r="ULE28" s="1040"/>
      <c r="ULF28" s="1040"/>
      <c r="ULG28" s="1040"/>
      <c r="ULH28" s="1040"/>
      <c r="ULI28" s="1040"/>
      <c r="ULJ28" s="1040"/>
      <c r="ULK28" s="1040"/>
      <c r="ULL28" s="1040"/>
      <c r="ULM28" s="1040"/>
      <c r="ULN28" s="1040"/>
      <c r="ULO28" s="1040"/>
      <c r="ULP28" s="1040"/>
      <c r="ULQ28" s="1040"/>
      <c r="ULR28" s="1040"/>
      <c r="ULS28" s="1040"/>
      <c r="ULT28" s="1040"/>
      <c r="ULU28" s="1040"/>
      <c r="ULV28" s="1040"/>
      <c r="ULW28" s="1040"/>
      <c r="ULX28" s="1040"/>
      <c r="ULY28" s="1040"/>
      <c r="ULZ28" s="1040"/>
      <c r="UMA28" s="1040"/>
      <c r="UMB28" s="1040"/>
      <c r="UMC28" s="1040"/>
      <c r="UMD28" s="1040"/>
      <c r="UME28" s="1040"/>
      <c r="UMF28" s="1040"/>
      <c r="UMG28" s="1040"/>
      <c r="UMH28" s="1040"/>
      <c r="UMI28" s="1040"/>
      <c r="UMJ28" s="1040"/>
      <c r="UMK28" s="1040"/>
      <c r="UML28" s="1040"/>
      <c r="UMM28" s="1040"/>
      <c r="UMN28" s="1040"/>
      <c r="UMO28" s="1040"/>
      <c r="UMP28" s="1040"/>
      <c r="UMQ28" s="1040"/>
      <c r="UMR28" s="1040"/>
      <c r="UMS28" s="1040"/>
      <c r="UMT28" s="1040"/>
      <c r="UMU28" s="1040"/>
      <c r="UMV28" s="1040"/>
      <c r="UMW28" s="1040"/>
      <c r="UMX28" s="1040"/>
      <c r="UMY28" s="1040"/>
      <c r="UMZ28" s="1040"/>
      <c r="UNA28" s="1040"/>
      <c r="UNB28" s="1040"/>
      <c r="UNC28" s="1040"/>
      <c r="UND28" s="1040"/>
      <c r="UNE28" s="1040"/>
      <c r="UNF28" s="1040"/>
      <c r="UNG28" s="1040"/>
      <c r="UNH28" s="1040"/>
      <c r="UNI28" s="1040"/>
      <c r="UNJ28" s="1040"/>
      <c r="UNK28" s="1040"/>
      <c r="UNL28" s="1040"/>
      <c r="UNM28" s="1040"/>
      <c r="UNN28" s="1040"/>
      <c r="UNO28" s="1040"/>
      <c r="UNP28" s="1040"/>
      <c r="UNQ28" s="1040"/>
      <c r="UNR28" s="1040"/>
      <c r="UNS28" s="1040"/>
      <c r="UNT28" s="1040"/>
      <c r="UNU28" s="1040"/>
      <c r="UNV28" s="1040"/>
      <c r="UNW28" s="1040"/>
      <c r="UNX28" s="1040"/>
      <c r="UNY28" s="1040"/>
      <c r="UNZ28" s="1040"/>
      <c r="UOA28" s="1040"/>
      <c r="UOB28" s="1040"/>
      <c r="UOC28" s="1040"/>
      <c r="UOD28" s="1040"/>
      <c r="UOE28" s="1040"/>
      <c r="UOF28" s="1040"/>
      <c r="UOG28" s="1040"/>
      <c r="UOH28" s="1040"/>
      <c r="UOI28" s="1040"/>
      <c r="UOJ28" s="1040"/>
      <c r="UOK28" s="1040"/>
      <c r="UOL28" s="1040"/>
      <c r="UOM28" s="1040"/>
      <c r="UON28" s="1040"/>
      <c r="UOO28" s="1040"/>
      <c r="UOP28" s="1040"/>
      <c r="UOQ28" s="1040"/>
      <c r="UOR28" s="1040"/>
      <c r="UOS28" s="1040"/>
      <c r="UOT28" s="1040"/>
      <c r="UOU28" s="1040"/>
      <c r="UOV28" s="1040"/>
      <c r="UOW28" s="1040"/>
      <c r="UOX28" s="1040"/>
      <c r="UOY28" s="1040"/>
      <c r="UOZ28" s="1040"/>
      <c r="UPA28" s="1040"/>
      <c r="UPB28" s="1040"/>
      <c r="UPC28" s="1040"/>
      <c r="UPD28" s="1040"/>
      <c r="UPE28" s="1040"/>
      <c r="UPF28" s="1040"/>
      <c r="UPG28" s="1040"/>
      <c r="UPH28" s="1040"/>
      <c r="UPI28" s="1040"/>
      <c r="UPJ28" s="1040"/>
      <c r="UPK28" s="1040"/>
      <c r="UPL28" s="1040"/>
      <c r="UPM28" s="1040"/>
      <c r="UPN28" s="1040"/>
      <c r="UPO28" s="1040"/>
      <c r="UPP28" s="1040"/>
      <c r="UPQ28" s="1040"/>
      <c r="UPR28" s="1040"/>
      <c r="UPS28" s="1040"/>
      <c r="UPT28" s="1040"/>
      <c r="UPU28" s="1040"/>
      <c r="UPV28" s="1040"/>
      <c r="UPW28" s="1040"/>
      <c r="UPX28" s="1040"/>
      <c r="UPY28" s="1040"/>
      <c r="UPZ28" s="1040"/>
      <c r="UQA28" s="1040"/>
      <c r="UQB28" s="1040"/>
      <c r="UQC28" s="1040"/>
      <c r="UQD28" s="1040"/>
      <c r="UQE28" s="1040"/>
      <c r="UQF28" s="1040"/>
      <c r="UQG28" s="1040"/>
      <c r="UQH28" s="1040"/>
      <c r="UQI28" s="1040"/>
      <c r="UQJ28" s="1040"/>
      <c r="UQK28" s="1040"/>
      <c r="UQL28" s="1040"/>
      <c r="UQM28" s="1040"/>
      <c r="UQN28" s="1040"/>
      <c r="UQO28" s="1040"/>
      <c r="UQP28" s="1040"/>
      <c r="UQQ28" s="1040"/>
      <c r="UQR28" s="1040"/>
      <c r="UQS28" s="1040"/>
      <c r="UQT28" s="1040"/>
      <c r="UQU28" s="1040"/>
      <c r="UQV28" s="1040"/>
      <c r="UQW28" s="1040"/>
      <c r="UQX28" s="1040"/>
      <c r="UQY28" s="1040"/>
      <c r="UQZ28" s="1040"/>
      <c r="URA28" s="1040"/>
      <c r="URB28" s="1040"/>
      <c r="URC28" s="1040"/>
      <c r="URD28" s="1040"/>
      <c r="URE28" s="1040"/>
      <c r="URF28" s="1040"/>
      <c r="URG28" s="1040"/>
      <c r="URH28" s="1040"/>
      <c r="URI28" s="1040"/>
      <c r="URJ28" s="1040"/>
      <c r="URK28" s="1040"/>
      <c r="URL28" s="1040"/>
      <c r="URM28" s="1040"/>
      <c r="URN28" s="1040"/>
      <c r="URO28" s="1040"/>
      <c r="URP28" s="1040"/>
      <c r="URQ28" s="1040"/>
      <c r="URR28" s="1040"/>
      <c r="URS28" s="1040"/>
      <c r="URT28" s="1040"/>
      <c r="URU28" s="1040"/>
      <c r="URV28" s="1040"/>
      <c r="URW28" s="1040"/>
      <c r="URX28" s="1040"/>
      <c r="URY28" s="1040"/>
      <c r="URZ28" s="1040"/>
      <c r="USA28" s="1040"/>
      <c r="USB28" s="1040"/>
      <c r="USC28" s="1040"/>
      <c r="USD28" s="1040"/>
      <c r="USE28" s="1040"/>
      <c r="USF28" s="1040"/>
      <c r="USG28" s="1040"/>
      <c r="USH28" s="1040"/>
      <c r="USI28" s="1040"/>
      <c r="USJ28" s="1040"/>
      <c r="USK28" s="1040"/>
      <c r="USL28" s="1040"/>
      <c r="USM28" s="1040"/>
      <c r="USN28" s="1040"/>
      <c r="USO28" s="1040"/>
      <c r="USP28" s="1040"/>
      <c r="USQ28" s="1040"/>
      <c r="USR28" s="1040"/>
      <c r="USS28" s="1040"/>
      <c r="UST28" s="1040"/>
      <c r="USU28" s="1040"/>
      <c r="USV28" s="1040"/>
      <c r="USW28" s="1040"/>
      <c r="USX28" s="1040"/>
      <c r="USY28" s="1040"/>
      <c r="USZ28" s="1040"/>
      <c r="UTA28" s="1040"/>
      <c r="UTB28" s="1040"/>
      <c r="UTC28" s="1040"/>
      <c r="UTD28" s="1040"/>
      <c r="UTE28" s="1040"/>
      <c r="UTF28" s="1040"/>
      <c r="UTG28" s="1040"/>
      <c r="UTH28" s="1040"/>
      <c r="UTI28" s="1040"/>
      <c r="UTJ28" s="1040"/>
      <c r="UTK28" s="1040"/>
      <c r="UTL28" s="1040"/>
      <c r="UTM28" s="1040"/>
      <c r="UTN28" s="1040"/>
      <c r="UTO28" s="1040"/>
      <c r="UTP28" s="1040"/>
      <c r="UTQ28" s="1040"/>
      <c r="UTR28" s="1040"/>
      <c r="UTS28" s="1040"/>
      <c r="UTT28" s="1040"/>
      <c r="UTU28" s="1040"/>
      <c r="UTV28" s="1040"/>
      <c r="UTW28" s="1040"/>
      <c r="UTX28" s="1040"/>
      <c r="UTY28" s="1040"/>
      <c r="UTZ28" s="1040"/>
      <c r="UUA28" s="1040"/>
      <c r="UUB28" s="1040"/>
      <c r="UUC28" s="1040"/>
      <c r="UUD28" s="1040"/>
      <c r="UUE28" s="1040"/>
      <c r="UUF28" s="1040"/>
      <c r="UUG28" s="1040"/>
      <c r="UUH28" s="1040"/>
      <c r="UUI28" s="1040"/>
      <c r="UUJ28" s="1040"/>
      <c r="UUK28" s="1040"/>
      <c r="UUL28" s="1040"/>
      <c r="UUM28" s="1040"/>
      <c r="UUN28" s="1040"/>
      <c r="UUO28" s="1040"/>
      <c r="UUP28" s="1040"/>
      <c r="UUQ28" s="1040"/>
      <c r="UUR28" s="1040"/>
      <c r="UUS28" s="1040"/>
      <c r="UUT28" s="1040"/>
      <c r="UUU28" s="1040"/>
      <c r="UUV28" s="1040"/>
      <c r="UUW28" s="1040"/>
      <c r="UUX28" s="1040"/>
      <c r="UUY28" s="1040"/>
      <c r="UUZ28" s="1040"/>
      <c r="UVA28" s="1040"/>
      <c r="UVB28" s="1040"/>
      <c r="UVC28" s="1040"/>
      <c r="UVD28" s="1040"/>
      <c r="UVE28" s="1040"/>
      <c r="UVF28" s="1040"/>
      <c r="UVG28" s="1040"/>
      <c r="UVH28" s="1040"/>
      <c r="UVI28" s="1040"/>
      <c r="UVJ28" s="1040"/>
      <c r="UVK28" s="1040"/>
      <c r="UVL28" s="1040"/>
      <c r="UVM28" s="1040"/>
      <c r="UVN28" s="1040"/>
      <c r="UVO28" s="1040"/>
      <c r="UVP28" s="1040"/>
      <c r="UVQ28" s="1040"/>
      <c r="UVR28" s="1040"/>
      <c r="UVS28" s="1040"/>
      <c r="UVT28" s="1040"/>
      <c r="UVU28" s="1040"/>
      <c r="UVV28" s="1040"/>
      <c r="UVW28" s="1040"/>
      <c r="UVX28" s="1040"/>
      <c r="UVY28" s="1040"/>
      <c r="UVZ28" s="1040"/>
      <c r="UWA28" s="1040"/>
      <c r="UWB28" s="1040"/>
      <c r="UWC28" s="1040"/>
      <c r="UWD28" s="1040"/>
      <c r="UWE28" s="1040"/>
      <c r="UWF28" s="1040"/>
      <c r="UWG28" s="1040"/>
      <c r="UWH28" s="1040"/>
      <c r="UWI28" s="1040"/>
      <c r="UWJ28" s="1040"/>
      <c r="UWK28" s="1040"/>
      <c r="UWL28" s="1040"/>
      <c r="UWM28" s="1040"/>
      <c r="UWN28" s="1040"/>
      <c r="UWO28" s="1040"/>
      <c r="UWP28" s="1040"/>
      <c r="UWQ28" s="1040"/>
      <c r="UWR28" s="1040"/>
      <c r="UWS28" s="1040"/>
      <c r="UWT28" s="1040"/>
      <c r="UWU28" s="1040"/>
      <c r="UWV28" s="1040"/>
      <c r="UWW28" s="1040"/>
      <c r="UWX28" s="1040"/>
      <c r="UWY28" s="1040"/>
      <c r="UWZ28" s="1040"/>
      <c r="UXA28" s="1040"/>
      <c r="UXB28" s="1040"/>
      <c r="UXC28" s="1040"/>
      <c r="UXD28" s="1040"/>
      <c r="UXE28" s="1040"/>
      <c r="UXF28" s="1040"/>
      <c r="UXG28" s="1040"/>
      <c r="UXH28" s="1040"/>
      <c r="UXI28" s="1040"/>
      <c r="UXJ28" s="1040"/>
      <c r="UXK28" s="1040"/>
      <c r="UXL28" s="1040"/>
      <c r="UXM28" s="1040"/>
      <c r="UXN28" s="1040"/>
      <c r="UXO28" s="1040"/>
      <c r="UXP28" s="1040"/>
      <c r="UXQ28" s="1040"/>
      <c r="UXR28" s="1040"/>
      <c r="UXS28" s="1040"/>
      <c r="UXT28" s="1040"/>
      <c r="UXU28" s="1040"/>
      <c r="UXV28" s="1040"/>
      <c r="UXW28" s="1040"/>
      <c r="UXX28" s="1040"/>
      <c r="UXY28" s="1040"/>
      <c r="UXZ28" s="1040"/>
      <c r="UYA28" s="1040"/>
      <c r="UYB28" s="1040"/>
      <c r="UYC28" s="1040"/>
      <c r="UYD28" s="1040"/>
      <c r="UYE28" s="1040"/>
      <c r="UYF28" s="1040"/>
      <c r="UYG28" s="1040"/>
      <c r="UYH28" s="1040"/>
      <c r="UYI28" s="1040"/>
      <c r="UYJ28" s="1040"/>
      <c r="UYK28" s="1040"/>
      <c r="UYL28" s="1040"/>
      <c r="UYM28" s="1040"/>
      <c r="UYN28" s="1040"/>
      <c r="UYO28" s="1040"/>
      <c r="UYP28" s="1040"/>
      <c r="UYQ28" s="1040"/>
      <c r="UYR28" s="1040"/>
      <c r="UYS28" s="1040"/>
      <c r="UYT28" s="1040"/>
      <c r="UYU28" s="1040"/>
      <c r="UYV28" s="1040"/>
      <c r="UYW28" s="1040"/>
      <c r="UYX28" s="1040"/>
      <c r="UYY28" s="1040"/>
      <c r="UYZ28" s="1040"/>
      <c r="UZA28" s="1040"/>
      <c r="UZB28" s="1040"/>
      <c r="UZC28" s="1040"/>
      <c r="UZD28" s="1040"/>
      <c r="UZE28" s="1040"/>
      <c r="UZF28" s="1040"/>
      <c r="UZG28" s="1040"/>
      <c r="UZH28" s="1040"/>
      <c r="UZI28" s="1040"/>
      <c r="UZJ28" s="1040"/>
      <c r="UZK28" s="1040"/>
      <c r="UZL28" s="1040"/>
      <c r="UZM28" s="1040"/>
      <c r="UZN28" s="1040"/>
      <c r="UZO28" s="1040"/>
      <c r="UZP28" s="1040"/>
      <c r="UZQ28" s="1040"/>
      <c r="UZR28" s="1040"/>
      <c r="UZS28" s="1040"/>
      <c r="UZT28" s="1040"/>
      <c r="UZU28" s="1040"/>
      <c r="UZV28" s="1040"/>
      <c r="UZW28" s="1040"/>
      <c r="UZX28" s="1040"/>
      <c r="UZY28" s="1040"/>
      <c r="UZZ28" s="1040"/>
      <c r="VAA28" s="1040"/>
      <c r="VAB28" s="1040"/>
      <c r="VAC28" s="1040"/>
      <c r="VAD28" s="1040"/>
      <c r="VAE28" s="1040"/>
      <c r="VAF28" s="1040"/>
      <c r="VAG28" s="1040"/>
      <c r="VAH28" s="1040"/>
      <c r="VAI28" s="1040"/>
      <c r="VAJ28" s="1040"/>
      <c r="VAK28" s="1040"/>
      <c r="VAL28" s="1040"/>
      <c r="VAM28" s="1040"/>
      <c r="VAN28" s="1040"/>
      <c r="VAO28" s="1040"/>
      <c r="VAP28" s="1040"/>
      <c r="VAQ28" s="1040"/>
      <c r="VAR28" s="1040"/>
      <c r="VAS28" s="1040"/>
      <c r="VAT28" s="1040"/>
      <c r="VAU28" s="1040"/>
      <c r="VAV28" s="1040"/>
      <c r="VAW28" s="1040"/>
      <c r="VAX28" s="1040"/>
      <c r="VAY28" s="1040"/>
      <c r="VAZ28" s="1040"/>
      <c r="VBA28" s="1040"/>
      <c r="VBB28" s="1040"/>
      <c r="VBC28" s="1040"/>
      <c r="VBD28" s="1040"/>
      <c r="VBE28" s="1040"/>
      <c r="VBF28" s="1040"/>
      <c r="VBG28" s="1040"/>
      <c r="VBH28" s="1040"/>
      <c r="VBI28" s="1040"/>
      <c r="VBJ28" s="1040"/>
      <c r="VBK28" s="1040"/>
      <c r="VBL28" s="1040"/>
      <c r="VBM28" s="1040"/>
      <c r="VBN28" s="1040"/>
      <c r="VBO28" s="1040"/>
      <c r="VBP28" s="1040"/>
      <c r="VBQ28" s="1040"/>
      <c r="VBR28" s="1040"/>
      <c r="VBS28" s="1040"/>
      <c r="VBT28" s="1040"/>
      <c r="VBU28" s="1040"/>
      <c r="VBV28" s="1040"/>
      <c r="VBW28" s="1040"/>
      <c r="VBX28" s="1040"/>
      <c r="VBY28" s="1040"/>
      <c r="VBZ28" s="1040"/>
      <c r="VCA28" s="1040"/>
      <c r="VCB28" s="1040"/>
      <c r="VCC28" s="1040"/>
      <c r="VCD28" s="1040"/>
      <c r="VCE28" s="1040"/>
      <c r="VCF28" s="1040"/>
      <c r="VCG28" s="1040"/>
      <c r="VCH28" s="1040"/>
      <c r="VCI28" s="1040"/>
      <c r="VCJ28" s="1040"/>
      <c r="VCK28" s="1040"/>
      <c r="VCL28" s="1040"/>
      <c r="VCM28" s="1040"/>
      <c r="VCN28" s="1040"/>
      <c r="VCO28" s="1040"/>
      <c r="VCP28" s="1040"/>
      <c r="VCQ28" s="1040"/>
      <c r="VCR28" s="1040"/>
      <c r="VCS28" s="1040"/>
      <c r="VCT28" s="1040"/>
      <c r="VCU28" s="1040"/>
      <c r="VCV28" s="1040"/>
      <c r="VCW28" s="1040"/>
      <c r="VCX28" s="1040"/>
      <c r="VCY28" s="1040"/>
      <c r="VCZ28" s="1040"/>
      <c r="VDA28" s="1040"/>
      <c r="VDB28" s="1040"/>
      <c r="VDC28" s="1040"/>
      <c r="VDD28" s="1040"/>
      <c r="VDE28" s="1040"/>
      <c r="VDF28" s="1040"/>
      <c r="VDG28" s="1040"/>
      <c r="VDH28" s="1040"/>
      <c r="VDI28" s="1040"/>
      <c r="VDJ28" s="1040"/>
      <c r="VDK28" s="1040"/>
      <c r="VDL28" s="1040"/>
      <c r="VDM28" s="1040"/>
      <c r="VDN28" s="1040"/>
      <c r="VDO28" s="1040"/>
      <c r="VDP28" s="1040"/>
      <c r="VDQ28" s="1040"/>
      <c r="VDR28" s="1040"/>
      <c r="VDS28" s="1040"/>
      <c r="VDT28" s="1040"/>
      <c r="VDU28" s="1040"/>
      <c r="VDV28" s="1040"/>
      <c r="VDW28" s="1040"/>
      <c r="VDX28" s="1040"/>
      <c r="VDY28" s="1040"/>
      <c r="VDZ28" s="1040"/>
      <c r="VEA28" s="1040"/>
      <c r="VEB28" s="1040"/>
      <c r="VEC28" s="1040"/>
      <c r="VED28" s="1040"/>
      <c r="VEE28" s="1040"/>
      <c r="VEF28" s="1040"/>
      <c r="VEG28" s="1040"/>
      <c r="VEH28" s="1040"/>
      <c r="VEI28" s="1040"/>
      <c r="VEJ28" s="1040"/>
      <c r="VEK28" s="1040"/>
      <c r="VEL28" s="1040"/>
      <c r="VEM28" s="1040"/>
      <c r="VEN28" s="1040"/>
      <c r="VEO28" s="1040"/>
      <c r="VEP28" s="1040"/>
      <c r="VEQ28" s="1040"/>
      <c r="VER28" s="1040"/>
      <c r="VES28" s="1040"/>
      <c r="VET28" s="1040"/>
      <c r="VEU28" s="1040"/>
      <c r="VEV28" s="1040"/>
      <c r="VEW28" s="1040"/>
      <c r="VEX28" s="1040"/>
      <c r="VEY28" s="1040"/>
      <c r="VEZ28" s="1040"/>
      <c r="VFA28" s="1040"/>
      <c r="VFB28" s="1040"/>
      <c r="VFC28" s="1040"/>
      <c r="VFD28" s="1040"/>
      <c r="VFE28" s="1040"/>
      <c r="VFF28" s="1040"/>
      <c r="VFG28" s="1040"/>
      <c r="VFH28" s="1040"/>
      <c r="VFI28" s="1040"/>
      <c r="VFJ28" s="1040"/>
      <c r="VFK28" s="1040"/>
      <c r="VFL28" s="1040"/>
      <c r="VFM28" s="1040"/>
      <c r="VFN28" s="1040"/>
      <c r="VFO28" s="1040"/>
      <c r="VFP28" s="1040"/>
      <c r="VFQ28" s="1040"/>
      <c r="VFR28" s="1040"/>
      <c r="VFS28" s="1040"/>
      <c r="VFT28" s="1040"/>
      <c r="VFU28" s="1040"/>
      <c r="VFV28" s="1040"/>
      <c r="VFW28" s="1040"/>
      <c r="VFX28" s="1040"/>
      <c r="VFY28" s="1040"/>
      <c r="VFZ28" s="1040"/>
      <c r="VGA28" s="1040"/>
      <c r="VGB28" s="1040"/>
      <c r="VGC28" s="1040"/>
      <c r="VGD28" s="1040"/>
      <c r="VGE28" s="1040"/>
      <c r="VGF28" s="1040"/>
      <c r="VGG28" s="1040"/>
      <c r="VGH28" s="1040"/>
      <c r="VGI28" s="1040"/>
      <c r="VGJ28" s="1040"/>
      <c r="VGK28" s="1040"/>
      <c r="VGL28" s="1040"/>
      <c r="VGM28" s="1040"/>
      <c r="VGN28" s="1040"/>
      <c r="VGO28" s="1040"/>
      <c r="VGP28" s="1040"/>
      <c r="VGQ28" s="1040"/>
      <c r="VGR28" s="1040"/>
      <c r="VGS28" s="1040"/>
      <c r="VGT28" s="1040"/>
      <c r="VGU28" s="1040"/>
      <c r="VGV28" s="1040"/>
      <c r="VGW28" s="1040"/>
      <c r="VGX28" s="1040"/>
      <c r="VGY28" s="1040"/>
      <c r="VGZ28" s="1040"/>
      <c r="VHA28" s="1040"/>
      <c r="VHB28" s="1040"/>
      <c r="VHC28" s="1040"/>
      <c r="VHD28" s="1040"/>
      <c r="VHE28" s="1040"/>
      <c r="VHF28" s="1040"/>
      <c r="VHG28" s="1040"/>
      <c r="VHH28" s="1040"/>
      <c r="VHI28" s="1040"/>
      <c r="VHJ28" s="1040"/>
      <c r="VHK28" s="1040"/>
      <c r="VHL28" s="1040"/>
      <c r="VHM28" s="1040"/>
      <c r="VHN28" s="1040"/>
      <c r="VHO28" s="1040"/>
      <c r="VHP28" s="1040"/>
      <c r="VHQ28" s="1040"/>
      <c r="VHR28" s="1040"/>
      <c r="VHS28" s="1040"/>
      <c r="VHT28" s="1040"/>
      <c r="VHU28" s="1040"/>
      <c r="VHV28" s="1040"/>
      <c r="VHW28" s="1040"/>
      <c r="VHX28" s="1040"/>
      <c r="VHY28" s="1040"/>
      <c r="VHZ28" s="1040"/>
      <c r="VIA28" s="1040"/>
      <c r="VIB28" s="1040"/>
      <c r="VIC28" s="1040"/>
      <c r="VID28" s="1040"/>
      <c r="VIE28" s="1040"/>
      <c r="VIF28" s="1040"/>
      <c r="VIG28" s="1040"/>
      <c r="VIH28" s="1040"/>
      <c r="VII28" s="1040"/>
      <c r="VIJ28" s="1040"/>
      <c r="VIK28" s="1040"/>
      <c r="VIL28" s="1040"/>
      <c r="VIM28" s="1040"/>
      <c r="VIN28" s="1040"/>
      <c r="VIO28" s="1040"/>
      <c r="VIP28" s="1040"/>
      <c r="VIQ28" s="1040"/>
      <c r="VIR28" s="1040"/>
      <c r="VIS28" s="1040"/>
      <c r="VIT28" s="1040"/>
      <c r="VIU28" s="1040"/>
      <c r="VIV28" s="1040"/>
      <c r="VIW28" s="1040"/>
      <c r="VIX28" s="1040"/>
      <c r="VIY28" s="1040"/>
      <c r="VIZ28" s="1040"/>
      <c r="VJA28" s="1040"/>
      <c r="VJB28" s="1040"/>
      <c r="VJC28" s="1040"/>
      <c r="VJD28" s="1040"/>
      <c r="VJE28" s="1040"/>
      <c r="VJF28" s="1040"/>
      <c r="VJG28" s="1040"/>
      <c r="VJH28" s="1040"/>
      <c r="VJI28" s="1040"/>
      <c r="VJJ28" s="1040"/>
      <c r="VJK28" s="1040"/>
      <c r="VJL28" s="1040"/>
      <c r="VJM28" s="1040"/>
      <c r="VJN28" s="1040"/>
      <c r="VJO28" s="1040"/>
      <c r="VJP28" s="1040"/>
      <c r="VJQ28" s="1040"/>
      <c r="VJR28" s="1040"/>
      <c r="VJS28" s="1040"/>
      <c r="VJT28" s="1040"/>
      <c r="VJU28" s="1040"/>
      <c r="VJV28" s="1040"/>
      <c r="VJW28" s="1040"/>
      <c r="VJX28" s="1040"/>
      <c r="VJY28" s="1040"/>
      <c r="VJZ28" s="1040"/>
      <c r="VKA28" s="1040"/>
      <c r="VKB28" s="1040"/>
      <c r="VKC28" s="1040"/>
      <c r="VKD28" s="1040"/>
      <c r="VKE28" s="1040"/>
      <c r="VKF28" s="1040"/>
      <c r="VKG28" s="1040"/>
      <c r="VKH28" s="1040"/>
      <c r="VKI28" s="1040"/>
      <c r="VKJ28" s="1040"/>
      <c r="VKK28" s="1040"/>
      <c r="VKL28" s="1040"/>
      <c r="VKM28" s="1040"/>
      <c r="VKN28" s="1040"/>
      <c r="VKO28" s="1040"/>
      <c r="VKP28" s="1040"/>
      <c r="VKQ28" s="1040"/>
      <c r="VKR28" s="1040"/>
      <c r="VKS28" s="1040"/>
      <c r="VKT28" s="1040"/>
      <c r="VKU28" s="1040"/>
      <c r="VKV28" s="1040"/>
      <c r="VKW28" s="1040"/>
      <c r="VKX28" s="1040"/>
      <c r="VKY28" s="1040"/>
      <c r="VKZ28" s="1040"/>
      <c r="VLA28" s="1040"/>
      <c r="VLB28" s="1040"/>
      <c r="VLC28" s="1040"/>
      <c r="VLD28" s="1040"/>
      <c r="VLE28" s="1040"/>
      <c r="VLF28" s="1040"/>
      <c r="VLG28" s="1040"/>
      <c r="VLH28" s="1040"/>
      <c r="VLI28" s="1040"/>
      <c r="VLJ28" s="1040"/>
      <c r="VLK28" s="1040"/>
      <c r="VLL28" s="1040"/>
      <c r="VLM28" s="1040"/>
      <c r="VLN28" s="1040"/>
      <c r="VLO28" s="1040"/>
      <c r="VLP28" s="1040"/>
      <c r="VLQ28" s="1040"/>
      <c r="VLR28" s="1040"/>
      <c r="VLS28" s="1040"/>
      <c r="VLT28" s="1040"/>
      <c r="VLU28" s="1040"/>
      <c r="VLV28" s="1040"/>
      <c r="VLW28" s="1040"/>
      <c r="VLX28" s="1040"/>
      <c r="VLY28" s="1040"/>
      <c r="VLZ28" s="1040"/>
      <c r="VMA28" s="1040"/>
      <c r="VMB28" s="1040"/>
      <c r="VMC28" s="1040"/>
      <c r="VMD28" s="1040"/>
      <c r="VME28" s="1040"/>
      <c r="VMF28" s="1040"/>
      <c r="VMG28" s="1040"/>
      <c r="VMH28" s="1040"/>
      <c r="VMI28" s="1040"/>
      <c r="VMJ28" s="1040"/>
      <c r="VMK28" s="1040"/>
      <c r="VML28" s="1040"/>
      <c r="VMM28" s="1040"/>
      <c r="VMN28" s="1040"/>
      <c r="VMO28" s="1040"/>
      <c r="VMP28" s="1040"/>
      <c r="VMQ28" s="1040"/>
      <c r="VMR28" s="1040"/>
      <c r="VMS28" s="1040"/>
      <c r="VMT28" s="1040"/>
      <c r="VMU28" s="1040"/>
      <c r="VMV28" s="1040"/>
      <c r="VMW28" s="1040"/>
      <c r="VMX28" s="1040"/>
      <c r="VMY28" s="1040"/>
      <c r="VMZ28" s="1040"/>
      <c r="VNA28" s="1040"/>
      <c r="VNB28" s="1040"/>
      <c r="VNC28" s="1040"/>
      <c r="VND28" s="1040"/>
      <c r="VNE28" s="1040"/>
      <c r="VNF28" s="1040"/>
      <c r="VNG28" s="1040"/>
      <c r="VNH28" s="1040"/>
      <c r="VNI28" s="1040"/>
      <c r="VNJ28" s="1040"/>
      <c r="VNK28" s="1040"/>
      <c r="VNL28" s="1040"/>
      <c r="VNM28" s="1040"/>
      <c r="VNN28" s="1040"/>
      <c r="VNO28" s="1040"/>
      <c r="VNP28" s="1040"/>
      <c r="VNQ28" s="1040"/>
      <c r="VNR28" s="1040"/>
      <c r="VNS28" s="1040"/>
      <c r="VNT28" s="1040"/>
      <c r="VNU28" s="1040"/>
      <c r="VNV28" s="1040"/>
      <c r="VNW28" s="1040"/>
      <c r="VNX28" s="1040"/>
      <c r="VNY28" s="1040"/>
      <c r="VNZ28" s="1040"/>
      <c r="VOA28" s="1040"/>
      <c r="VOB28" s="1040"/>
      <c r="VOC28" s="1040"/>
      <c r="VOD28" s="1040"/>
      <c r="VOE28" s="1040"/>
      <c r="VOF28" s="1040"/>
      <c r="VOG28" s="1040"/>
      <c r="VOH28" s="1040"/>
      <c r="VOI28" s="1040"/>
      <c r="VOJ28" s="1040"/>
      <c r="VOK28" s="1040"/>
      <c r="VOL28" s="1040"/>
      <c r="VOM28" s="1040"/>
      <c r="VON28" s="1040"/>
      <c r="VOO28" s="1040"/>
      <c r="VOP28" s="1040"/>
      <c r="VOQ28" s="1040"/>
      <c r="VOR28" s="1040"/>
      <c r="VOS28" s="1040"/>
      <c r="VOT28" s="1040"/>
      <c r="VOU28" s="1040"/>
      <c r="VOV28" s="1040"/>
      <c r="VOW28" s="1040"/>
      <c r="VOX28" s="1040"/>
      <c r="VOY28" s="1040"/>
      <c r="VOZ28" s="1040"/>
      <c r="VPA28" s="1040"/>
      <c r="VPB28" s="1040"/>
      <c r="VPC28" s="1040"/>
      <c r="VPD28" s="1040"/>
      <c r="VPE28" s="1040"/>
      <c r="VPF28" s="1040"/>
      <c r="VPG28" s="1040"/>
      <c r="VPH28" s="1040"/>
      <c r="VPI28" s="1040"/>
      <c r="VPJ28" s="1040"/>
      <c r="VPK28" s="1040"/>
      <c r="VPL28" s="1040"/>
      <c r="VPM28" s="1040"/>
      <c r="VPN28" s="1040"/>
      <c r="VPO28" s="1040"/>
      <c r="VPP28" s="1040"/>
      <c r="VPQ28" s="1040"/>
      <c r="VPR28" s="1040"/>
      <c r="VPS28" s="1040"/>
      <c r="VPT28" s="1040"/>
      <c r="VPU28" s="1040"/>
      <c r="VPV28" s="1040"/>
      <c r="VPW28" s="1040"/>
      <c r="VPX28" s="1040"/>
      <c r="VPY28" s="1040"/>
      <c r="VPZ28" s="1040"/>
      <c r="VQA28" s="1040"/>
      <c r="VQB28" s="1040"/>
      <c r="VQC28" s="1040"/>
      <c r="VQD28" s="1040"/>
      <c r="VQE28" s="1040"/>
      <c r="VQF28" s="1040"/>
      <c r="VQG28" s="1040"/>
      <c r="VQH28" s="1040"/>
      <c r="VQI28" s="1040"/>
      <c r="VQJ28" s="1040"/>
      <c r="VQK28" s="1040"/>
      <c r="VQL28" s="1040"/>
      <c r="VQM28" s="1040"/>
      <c r="VQN28" s="1040"/>
      <c r="VQO28" s="1040"/>
      <c r="VQP28" s="1040"/>
      <c r="VQQ28" s="1040"/>
      <c r="VQR28" s="1040"/>
      <c r="VQS28" s="1040"/>
      <c r="VQT28" s="1040"/>
      <c r="VQU28" s="1040"/>
      <c r="VQV28" s="1040"/>
      <c r="VQW28" s="1040"/>
      <c r="VQX28" s="1040"/>
      <c r="VQY28" s="1040"/>
      <c r="VQZ28" s="1040"/>
      <c r="VRA28" s="1040"/>
      <c r="VRB28" s="1040"/>
      <c r="VRC28" s="1040"/>
      <c r="VRD28" s="1040"/>
      <c r="VRE28" s="1040"/>
      <c r="VRF28" s="1040"/>
      <c r="VRG28" s="1040"/>
      <c r="VRH28" s="1040"/>
      <c r="VRI28" s="1040"/>
      <c r="VRJ28" s="1040"/>
      <c r="VRK28" s="1040"/>
      <c r="VRL28" s="1040"/>
      <c r="VRM28" s="1040"/>
      <c r="VRN28" s="1040"/>
      <c r="VRO28" s="1040"/>
      <c r="VRP28" s="1040"/>
      <c r="VRQ28" s="1040"/>
      <c r="VRR28" s="1040"/>
      <c r="VRS28" s="1040"/>
      <c r="VRT28" s="1040"/>
      <c r="VRU28" s="1040"/>
      <c r="VRV28" s="1040"/>
      <c r="VRW28" s="1040"/>
      <c r="VRX28" s="1040"/>
      <c r="VRY28" s="1040"/>
      <c r="VRZ28" s="1040"/>
      <c r="VSA28" s="1040"/>
      <c r="VSB28" s="1040"/>
      <c r="VSC28" s="1040"/>
      <c r="VSD28" s="1040"/>
      <c r="VSE28" s="1040"/>
      <c r="VSF28" s="1040"/>
      <c r="VSG28" s="1040"/>
      <c r="VSH28" s="1040"/>
      <c r="VSI28" s="1040"/>
      <c r="VSJ28" s="1040"/>
      <c r="VSK28" s="1040"/>
      <c r="VSL28" s="1040"/>
      <c r="VSM28" s="1040"/>
      <c r="VSN28" s="1040"/>
      <c r="VSO28" s="1040"/>
      <c r="VSP28" s="1040"/>
      <c r="VSQ28" s="1040"/>
      <c r="VSR28" s="1040"/>
      <c r="VSS28" s="1040"/>
      <c r="VST28" s="1040"/>
      <c r="VSU28" s="1040"/>
      <c r="VSV28" s="1040"/>
      <c r="VSW28" s="1040"/>
      <c r="VSX28" s="1040"/>
      <c r="VSY28" s="1040"/>
      <c r="VSZ28" s="1040"/>
      <c r="VTA28" s="1040"/>
      <c r="VTB28" s="1040"/>
      <c r="VTC28" s="1040"/>
      <c r="VTD28" s="1040"/>
      <c r="VTE28" s="1040"/>
      <c r="VTF28" s="1040"/>
      <c r="VTG28" s="1040"/>
      <c r="VTH28" s="1040"/>
      <c r="VTI28" s="1040"/>
      <c r="VTJ28" s="1040"/>
      <c r="VTK28" s="1040"/>
      <c r="VTL28" s="1040"/>
      <c r="VTM28" s="1040"/>
      <c r="VTN28" s="1040"/>
      <c r="VTO28" s="1040"/>
      <c r="VTP28" s="1040"/>
      <c r="VTQ28" s="1040"/>
      <c r="VTR28" s="1040"/>
      <c r="VTS28" s="1040"/>
      <c r="VTT28" s="1040"/>
      <c r="VTU28" s="1040"/>
      <c r="VTV28" s="1040"/>
      <c r="VTW28" s="1040"/>
      <c r="VTX28" s="1040"/>
      <c r="VTY28" s="1040"/>
      <c r="VTZ28" s="1040"/>
      <c r="VUA28" s="1040"/>
      <c r="VUB28" s="1040"/>
      <c r="VUC28" s="1040"/>
      <c r="VUD28" s="1040"/>
      <c r="VUE28" s="1040"/>
      <c r="VUF28" s="1040"/>
      <c r="VUG28" s="1040"/>
      <c r="VUH28" s="1040"/>
      <c r="VUI28" s="1040"/>
      <c r="VUJ28" s="1040"/>
      <c r="VUK28" s="1040"/>
      <c r="VUL28" s="1040"/>
      <c r="VUM28" s="1040"/>
      <c r="VUN28" s="1040"/>
      <c r="VUO28" s="1040"/>
      <c r="VUP28" s="1040"/>
      <c r="VUQ28" s="1040"/>
      <c r="VUR28" s="1040"/>
      <c r="VUS28" s="1040"/>
      <c r="VUT28" s="1040"/>
      <c r="VUU28" s="1040"/>
      <c r="VUV28" s="1040"/>
      <c r="VUW28" s="1040"/>
      <c r="VUX28" s="1040"/>
      <c r="VUY28" s="1040"/>
      <c r="VUZ28" s="1040"/>
      <c r="VVA28" s="1040"/>
      <c r="VVB28" s="1040"/>
      <c r="VVC28" s="1040"/>
      <c r="VVD28" s="1040"/>
      <c r="VVE28" s="1040"/>
      <c r="VVF28" s="1040"/>
      <c r="VVG28" s="1040"/>
      <c r="VVH28" s="1040"/>
      <c r="VVI28" s="1040"/>
      <c r="VVJ28" s="1040"/>
      <c r="VVK28" s="1040"/>
      <c r="VVL28" s="1040"/>
      <c r="VVM28" s="1040"/>
      <c r="VVN28" s="1040"/>
      <c r="VVO28" s="1040"/>
      <c r="VVP28" s="1040"/>
      <c r="VVQ28" s="1040"/>
      <c r="VVR28" s="1040"/>
      <c r="VVS28" s="1040"/>
      <c r="VVT28" s="1040"/>
      <c r="VVU28" s="1040"/>
      <c r="VVV28" s="1040"/>
      <c r="VVW28" s="1040"/>
      <c r="VVX28" s="1040"/>
      <c r="VVY28" s="1040"/>
      <c r="VVZ28" s="1040"/>
      <c r="VWA28" s="1040"/>
      <c r="VWB28" s="1040"/>
      <c r="VWC28" s="1040"/>
      <c r="VWD28" s="1040"/>
      <c r="VWE28" s="1040"/>
      <c r="VWF28" s="1040"/>
      <c r="VWG28" s="1040"/>
      <c r="VWH28" s="1040"/>
      <c r="VWI28" s="1040"/>
      <c r="VWJ28" s="1040"/>
      <c r="VWK28" s="1040"/>
      <c r="VWL28" s="1040"/>
      <c r="VWM28" s="1040"/>
      <c r="VWN28" s="1040"/>
      <c r="VWO28" s="1040"/>
      <c r="VWP28" s="1040"/>
      <c r="VWQ28" s="1040"/>
      <c r="VWR28" s="1040"/>
      <c r="VWS28" s="1040"/>
      <c r="VWT28" s="1040"/>
      <c r="VWU28" s="1040"/>
      <c r="VWV28" s="1040"/>
      <c r="VWW28" s="1040"/>
      <c r="VWX28" s="1040"/>
      <c r="VWY28" s="1040"/>
      <c r="VWZ28" s="1040"/>
      <c r="VXA28" s="1040"/>
      <c r="VXB28" s="1040"/>
      <c r="VXC28" s="1040"/>
      <c r="VXD28" s="1040"/>
      <c r="VXE28" s="1040"/>
      <c r="VXF28" s="1040"/>
      <c r="VXG28" s="1040"/>
      <c r="VXH28" s="1040"/>
      <c r="VXI28" s="1040"/>
      <c r="VXJ28" s="1040"/>
      <c r="VXK28" s="1040"/>
      <c r="VXL28" s="1040"/>
      <c r="VXM28" s="1040"/>
      <c r="VXN28" s="1040"/>
      <c r="VXO28" s="1040"/>
      <c r="VXP28" s="1040"/>
      <c r="VXQ28" s="1040"/>
      <c r="VXR28" s="1040"/>
      <c r="VXS28" s="1040"/>
      <c r="VXT28" s="1040"/>
      <c r="VXU28" s="1040"/>
      <c r="VXV28" s="1040"/>
      <c r="VXW28" s="1040"/>
      <c r="VXX28" s="1040"/>
      <c r="VXY28" s="1040"/>
      <c r="VXZ28" s="1040"/>
      <c r="VYA28" s="1040"/>
      <c r="VYB28" s="1040"/>
      <c r="VYC28" s="1040"/>
      <c r="VYD28" s="1040"/>
      <c r="VYE28" s="1040"/>
      <c r="VYF28" s="1040"/>
      <c r="VYG28" s="1040"/>
      <c r="VYH28" s="1040"/>
      <c r="VYI28" s="1040"/>
      <c r="VYJ28" s="1040"/>
      <c r="VYK28" s="1040"/>
      <c r="VYL28" s="1040"/>
      <c r="VYM28" s="1040"/>
      <c r="VYN28" s="1040"/>
      <c r="VYO28" s="1040"/>
      <c r="VYP28" s="1040"/>
      <c r="VYQ28" s="1040"/>
      <c r="VYR28" s="1040"/>
      <c r="VYS28" s="1040"/>
      <c r="VYT28" s="1040"/>
      <c r="VYU28" s="1040"/>
      <c r="VYV28" s="1040"/>
      <c r="VYW28" s="1040"/>
      <c r="VYX28" s="1040"/>
      <c r="VYY28" s="1040"/>
      <c r="VYZ28" s="1040"/>
      <c r="VZA28" s="1040"/>
      <c r="VZB28" s="1040"/>
      <c r="VZC28" s="1040"/>
      <c r="VZD28" s="1040"/>
      <c r="VZE28" s="1040"/>
      <c r="VZF28" s="1040"/>
      <c r="VZG28" s="1040"/>
      <c r="VZH28" s="1040"/>
      <c r="VZI28" s="1040"/>
      <c r="VZJ28" s="1040"/>
      <c r="VZK28" s="1040"/>
      <c r="VZL28" s="1040"/>
      <c r="VZM28" s="1040"/>
      <c r="VZN28" s="1040"/>
      <c r="VZO28" s="1040"/>
      <c r="VZP28" s="1040"/>
      <c r="VZQ28" s="1040"/>
      <c r="VZR28" s="1040"/>
      <c r="VZS28" s="1040"/>
      <c r="VZT28" s="1040"/>
      <c r="VZU28" s="1040"/>
      <c r="VZV28" s="1040"/>
      <c r="VZW28" s="1040"/>
      <c r="VZX28" s="1040"/>
      <c r="VZY28" s="1040"/>
      <c r="VZZ28" s="1040"/>
      <c r="WAA28" s="1040"/>
      <c r="WAB28" s="1040"/>
      <c r="WAC28" s="1040"/>
      <c r="WAD28" s="1040"/>
      <c r="WAE28" s="1040"/>
      <c r="WAF28" s="1040"/>
      <c r="WAG28" s="1040"/>
      <c r="WAH28" s="1040"/>
      <c r="WAI28" s="1040"/>
      <c r="WAJ28" s="1040"/>
      <c r="WAK28" s="1040"/>
      <c r="WAL28" s="1040"/>
      <c r="WAM28" s="1040"/>
      <c r="WAN28" s="1040"/>
      <c r="WAO28" s="1040"/>
      <c r="WAP28" s="1040"/>
      <c r="WAQ28" s="1040"/>
      <c r="WAR28" s="1040"/>
      <c r="WAS28" s="1040"/>
      <c r="WAT28" s="1040"/>
      <c r="WAU28" s="1040"/>
      <c r="WAV28" s="1040"/>
      <c r="WAW28" s="1040"/>
      <c r="WAX28" s="1040"/>
      <c r="WAY28" s="1040"/>
      <c r="WAZ28" s="1040"/>
      <c r="WBA28" s="1040"/>
      <c r="WBB28" s="1040"/>
      <c r="WBC28" s="1040"/>
      <c r="WBD28" s="1040"/>
      <c r="WBE28" s="1040"/>
      <c r="WBF28" s="1040"/>
      <c r="WBG28" s="1040"/>
      <c r="WBH28" s="1040"/>
      <c r="WBI28" s="1040"/>
      <c r="WBJ28" s="1040"/>
      <c r="WBK28" s="1040"/>
      <c r="WBL28" s="1040"/>
      <c r="WBM28" s="1040"/>
      <c r="WBN28" s="1040"/>
      <c r="WBO28" s="1040"/>
      <c r="WBP28" s="1040"/>
      <c r="WBQ28" s="1040"/>
      <c r="WBR28" s="1040"/>
      <c r="WBS28" s="1040"/>
      <c r="WBT28" s="1040"/>
      <c r="WBU28" s="1040"/>
      <c r="WBV28" s="1040"/>
      <c r="WBW28" s="1040"/>
      <c r="WBX28" s="1040"/>
      <c r="WBY28" s="1040"/>
      <c r="WBZ28" s="1040"/>
      <c r="WCA28" s="1040"/>
      <c r="WCB28" s="1040"/>
      <c r="WCC28" s="1040"/>
      <c r="WCD28" s="1040"/>
      <c r="WCE28" s="1040"/>
      <c r="WCF28" s="1040"/>
      <c r="WCG28" s="1040"/>
      <c r="WCH28" s="1040"/>
      <c r="WCI28" s="1040"/>
      <c r="WCJ28" s="1040"/>
      <c r="WCK28" s="1040"/>
      <c r="WCL28" s="1040"/>
      <c r="WCM28" s="1040"/>
      <c r="WCN28" s="1040"/>
      <c r="WCO28" s="1040"/>
      <c r="WCP28" s="1040"/>
      <c r="WCQ28" s="1040"/>
      <c r="WCR28" s="1040"/>
      <c r="WCS28" s="1040"/>
      <c r="WCT28" s="1040"/>
      <c r="WCU28" s="1040"/>
      <c r="WCV28" s="1040"/>
      <c r="WCW28" s="1040"/>
      <c r="WCX28" s="1040"/>
      <c r="WCY28" s="1040"/>
      <c r="WCZ28" s="1040"/>
      <c r="WDA28" s="1040"/>
      <c r="WDB28" s="1040"/>
      <c r="WDC28" s="1040"/>
      <c r="WDD28" s="1040"/>
      <c r="WDE28" s="1040"/>
      <c r="WDF28" s="1040"/>
      <c r="WDG28" s="1040"/>
      <c r="WDH28" s="1040"/>
      <c r="WDI28" s="1040"/>
      <c r="WDJ28" s="1040"/>
      <c r="WDK28" s="1040"/>
      <c r="WDL28" s="1040"/>
      <c r="WDM28" s="1040"/>
      <c r="WDN28" s="1040"/>
      <c r="WDO28" s="1040"/>
      <c r="WDP28" s="1040"/>
      <c r="WDQ28" s="1040"/>
      <c r="WDR28" s="1040"/>
      <c r="WDS28" s="1040"/>
      <c r="WDT28" s="1040"/>
      <c r="WDU28" s="1040"/>
      <c r="WDV28" s="1040"/>
      <c r="WDW28" s="1040"/>
      <c r="WDX28" s="1040"/>
      <c r="WDY28" s="1040"/>
      <c r="WDZ28" s="1040"/>
      <c r="WEA28" s="1040"/>
      <c r="WEB28" s="1040"/>
      <c r="WEC28" s="1040"/>
      <c r="WED28" s="1040"/>
      <c r="WEE28" s="1040"/>
      <c r="WEF28" s="1040"/>
      <c r="WEG28" s="1040"/>
      <c r="WEH28" s="1040"/>
      <c r="WEI28" s="1040"/>
      <c r="WEJ28" s="1040"/>
      <c r="WEK28" s="1040"/>
      <c r="WEL28" s="1040"/>
      <c r="WEM28" s="1040"/>
      <c r="WEN28" s="1040"/>
      <c r="WEO28" s="1040"/>
      <c r="WEP28" s="1040"/>
      <c r="WEQ28" s="1040"/>
      <c r="WER28" s="1040"/>
      <c r="WES28" s="1040"/>
      <c r="WET28" s="1040"/>
      <c r="WEU28" s="1040"/>
      <c r="WEV28" s="1040"/>
      <c r="WEW28" s="1040"/>
      <c r="WEX28" s="1040"/>
      <c r="WEY28" s="1040"/>
      <c r="WEZ28" s="1040"/>
      <c r="WFA28" s="1040"/>
      <c r="WFB28" s="1040"/>
      <c r="WFC28" s="1040"/>
      <c r="WFD28" s="1040"/>
      <c r="WFE28" s="1040"/>
      <c r="WFF28" s="1040"/>
      <c r="WFG28" s="1040"/>
      <c r="WFH28" s="1040"/>
      <c r="WFI28" s="1040"/>
      <c r="WFJ28" s="1040"/>
      <c r="WFK28" s="1040"/>
      <c r="WFL28" s="1040"/>
      <c r="WFM28" s="1040"/>
      <c r="WFN28" s="1040"/>
      <c r="WFO28" s="1040"/>
      <c r="WFP28" s="1040"/>
      <c r="WFQ28" s="1040"/>
      <c r="WFR28" s="1040"/>
      <c r="WFS28" s="1040"/>
      <c r="WFT28" s="1040"/>
      <c r="WFU28" s="1040"/>
      <c r="WFV28" s="1040"/>
      <c r="WFW28" s="1040"/>
      <c r="WFX28" s="1040"/>
      <c r="WFY28" s="1040"/>
      <c r="WFZ28" s="1040"/>
      <c r="WGA28" s="1040"/>
      <c r="WGB28" s="1040"/>
      <c r="WGC28" s="1040"/>
      <c r="WGD28" s="1040"/>
      <c r="WGE28" s="1040"/>
      <c r="WGF28" s="1040"/>
      <c r="WGG28" s="1040"/>
      <c r="WGH28" s="1040"/>
      <c r="WGI28" s="1040"/>
      <c r="WGJ28" s="1040"/>
      <c r="WGK28" s="1040"/>
      <c r="WGL28" s="1040"/>
      <c r="WGM28" s="1040"/>
      <c r="WGN28" s="1040"/>
      <c r="WGO28" s="1040"/>
      <c r="WGP28" s="1040"/>
      <c r="WGQ28" s="1040"/>
      <c r="WGR28" s="1040"/>
      <c r="WGS28" s="1040"/>
      <c r="WGT28" s="1040"/>
      <c r="WGU28" s="1040"/>
      <c r="WGV28" s="1040"/>
      <c r="WGW28" s="1040"/>
      <c r="WGX28" s="1040"/>
      <c r="WGY28" s="1040"/>
      <c r="WGZ28" s="1040"/>
      <c r="WHA28" s="1040"/>
      <c r="WHB28" s="1040"/>
      <c r="WHC28" s="1040"/>
      <c r="WHD28" s="1040"/>
      <c r="WHE28" s="1040"/>
      <c r="WHF28" s="1040"/>
      <c r="WHG28" s="1040"/>
      <c r="WHH28" s="1040"/>
      <c r="WHI28" s="1040"/>
      <c r="WHJ28" s="1040"/>
      <c r="WHK28" s="1040"/>
      <c r="WHL28" s="1040"/>
      <c r="WHM28" s="1040"/>
      <c r="WHN28" s="1040"/>
      <c r="WHO28" s="1040"/>
      <c r="WHP28" s="1040"/>
      <c r="WHQ28" s="1040"/>
      <c r="WHR28" s="1040"/>
      <c r="WHS28" s="1040"/>
      <c r="WHT28" s="1040"/>
      <c r="WHU28" s="1040"/>
      <c r="WHV28" s="1040"/>
      <c r="WHW28" s="1040"/>
      <c r="WHX28" s="1040"/>
      <c r="WHY28" s="1040"/>
      <c r="WHZ28" s="1040"/>
      <c r="WIA28" s="1040"/>
      <c r="WIB28" s="1040"/>
      <c r="WIC28" s="1040"/>
      <c r="WID28" s="1040"/>
      <c r="WIE28" s="1040"/>
      <c r="WIF28" s="1040"/>
      <c r="WIG28" s="1040"/>
      <c r="WIH28" s="1040"/>
      <c r="WII28" s="1040"/>
      <c r="WIJ28" s="1040"/>
      <c r="WIK28" s="1040"/>
      <c r="WIL28" s="1040"/>
      <c r="WIM28" s="1040"/>
      <c r="WIN28" s="1040"/>
      <c r="WIO28" s="1040"/>
      <c r="WIP28" s="1040"/>
      <c r="WIQ28" s="1040"/>
      <c r="WIR28" s="1040"/>
      <c r="WIS28" s="1040"/>
      <c r="WIT28" s="1040"/>
      <c r="WIU28" s="1040"/>
      <c r="WIV28" s="1040"/>
      <c r="WIW28" s="1040"/>
      <c r="WIX28" s="1040"/>
      <c r="WIY28" s="1040"/>
      <c r="WIZ28" s="1040"/>
      <c r="WJA28" s="1040"/>
      <c r="WJB28" s="1040"/>
      <c r="WJC28" s="1040"/>
      <c r="WJD28" s="1040"/>
      <c r="WJE28" s="1040"/>
      <c r="WJF28" s="1040"/>
      <c r="WJG28" s="1040"/>
      <c r="WJH28" s="1040"/>
      <c r="WJI28" s="1040"/>
      <c r="WJJ28" s="1040"/>
      <c r="WJK28" s="1040"/>
      <c r="WJL28" s="1040"/>
      <c r="WJM28" s="1040"/>
      <c r="WJN28" s="1040"/>
      <c r="WJO28" s="1040"/>
      <c r="WJP28" s="1040"/>
      <c r="WJQ28" s="1040"/>
      <c r="WJR28" s="1040"/>
      <c r="WJS28" s="1040"/>
      <c r="WJT28" s="1040"/>
      <c r="WJU28" s="1040"/>
      <c r="WJV28" s="1040"/>
      <c r="WJW28" s="1040"/>
      <c r="WJX28" s="1040"/>
      <c r="WJY28" s="1040"/>
      <c r="WJZ28" s="1040"/>
      <c r="WKA28" s="1040"/>
      <c r="WKB28" s="1040"/>
      <c r="WKC28" s="1040"/>
      <c r="WKD28" s="1040"/>
      <c r="WKE28" s="1040"/>
      <c r="WKF28" s="1040"/>
      <c r="WKG28" s="1040"/>
      <c r="WKH28" s="1040"/>
      <c r="WKI28" s="1040"/>
      <c r="WKJ28" s="1040"/>
      <c r="WKK28" s="1040"/>
      <c r="WKL28" s="1040"/>
      <c r="WKM28" s="1040"/>
      <c r="WKN28" s="1040"/>
      <c r="WKO28" s="1040"/>
      <c r="WKP28" s="1040"/>
      <c r="WKQ28" s="1040"/>
      <c r="WKR28" s="1040"/>
      <c r="WKS28" s="1040"/>
      <c r="WKT28" s="1040"/>
      <c r="WKU28" s="1040"/>
      <c r="WKV28" s="1040"/>
      <c r="WKW28" s="1040"/>
      <c r="WKX28" s="1040"/>
      <c r="WKY28" s="1040"/>
      <c r="WKZ28" s="1040"/>
      <c r="WLA28" s="1040"/>
      <c r="WLB28" s="1040"/>
      <c r="WLC28" s="1040"/>
      <c r="WLD28" s="1040"/>
      <c r="WLE28" s="1040"/>
      <c r="WLF28" s="1040"/>
      <c r="WLG28" s="1040"/>
      <c r="WLH28" s="1040"/>
      <c r="WLI28" s="1040"/>
      <c r="WLJ28" s="1040"/>
      <c r="WLK28" s="1040"/>
      <c r="WLL28" s="1040"/>
      <c r="WLM28" s="1040"/>
      <c r="WLN28" s="1040"/>
      <c r="WLO28" s="1040"/>
      <c r="WLP28" s="1040"/>
      <c r="WLQ28" s="1040"/>
      <c r="WLR28" s="1040"/>
      <c r="WLS28" s="1040"/>
      <c r="WLT28" s="1040"/>
      <c r="WLU28" s="1040"/>
      <c r="WLV28" s="1040"/>
      <c r="WLW28" s="1040"/>
      <c r="WLX28" s="1040"/>
      <c r="WLY28" s="1040"/>
      <c r="WLZ28" s="1040"/>
      <c r="WMA28" s="1040"/>
      <c r="WMB28" s="1040"/>
      <c r="WMC28" s="1040"/>
      <c r="WMD28" s="1040"/>
      <c r="WME28" s="1040"/>
      <c r="WMF28" s="1040"/>
      <c r="WMG28" s="1040"/>
      <c r="WMH28" s="1040"/>
      <c r="WMI28" s="1040"/>
      <c r="WMJ28" s="1040"/>
      <c r="WMK28" s="1040"/>
      <c r="WML28" s="1040"/>
      <c r="WMM28" s="1040"/>
      <c r="WMN28" s="1040"/>
      <c r="WMO28" s="1040"/>
      <c r="WMP28" s="1040"/>
      <c r="WMQ28" s="1040"/>
      <c r="WMR28" s="1040"/>
      <c r="WMS28" s="1040"/>
      <c r="WMT28" s="1040"/>
      <c r="WMU28" s="1040"/>
      <c r="WMV28" s="1040"/>
      <c r="WMW28" s="1040"/>
      <c r="WMX28" s="1040"/>
      <c r="WMY28" s="1040"/>
      <c r="WMZ28" s="1040"/>
      <c r="WNA28" s="1040"/>
      <c r="WNB28" s="1040"/>
      <c r="WNC28" s="1040"/>
      <c r="WND28" s="1040"/>
      <c r="WNE28" s="1040"/>
      <c r="WNF28" s="1040"/>
      <c r="WNG28" s="1040"/>
      <c r="WNH28" s="1040"/>
      <c r="WNI28" s="1040"/>
      <c r="WNJ28" s="1040"/>
      <c r="WNK28" s="1040"/>
      <c r="WNL28" s="1040"/>
      <c r="WNM28" s="1040"/>
      <c r="WNN28" s="1040"/>
      <c r="WNO28" s="1040"/>
      <c r="WNP28" s="1040"/>
      <c r="WNQ28" s="1040"/>
      <c r="WNR28" s="1040"/>
      <c r="WNS28" s="1040"/>
      <c r="WNT28" s="1040"/>
      <c r="WNU28" s="1040"/>
      <c r="WNV28" s="1040"/>
      <c r="WNW28" s="1040"/>
      <c r="WNX28" s="1040"/>
      <c r="WNY28" s="1040"/>
      <c r="WNZ28" s="1040"/>
      <c r="WOA28" s="1040"/>
      <c r="WOB28" s="1040"/>
      <c r="WOC28" s="1040"/>
      <c r="WOD28" s="1040"/>
      <c r="WOE28" s="1040"/>
      <c r="WOF28" s="1040"/>
      <c r="WOG28" s="1040"/>
      <c r="WOH28" s="1040"/>
      <c r="WOI28" s="1040"/>
      <c r="WOJ28" s="1040"/>
      <c r="WOK28" s="1040"/>
      <c r="WOL28" s="1040"/>
      <c r="WOM28" s="1040"/>
      <c r="WON28" s="1040"/>
      <c r="WOO28" s="1040"/>
      <c r="WOP28" s="1040"/>
      <c r="WOQ28" s="1040"/>
      <c r="WOR28" s="1040"/>
      <c r="WOS28" s="1040"/>
      <c r="WOT28" s="1040"/>
      <c r="WOU28" s="1040"/>
      <c r="WOV28" s="1040"/>
      <c r="WOW28" s="1040"/>
      <c r="WOX28" s="1040"/>
      <c r="WOY28" s="1040"/>
      <c r="WOZ28" s="1040"/>
      <c r="WPA28" s="1040"/>
      <c r="WPB28" s="1040"/>
      <c r="WPC28" s="1040"/>
      <c r="WPD28" s="1040"/>
      <c r="WPE28" s="1040"/>
      <c r="WPF28" s="1040"/>
      <c r="WPG28" s="1040"/>
      <c r="WPH28" s="1040"/>
      <c r="WPI28" s="1040"/>
      <c r="WPJ28" s="1040"/>
      <c r="WPK28" s="1040"/>
      <c r="WPL28" s="1040"/>
      <c r="WPM28" s="1040"/>
      <c r="WPN28" s="1040"/>
      <c r="WPO28" s="1040"/>
      <c r="WPP28" s="1040"/>
      <c r="WPQ28" s="1040"/>
      <c r="WPR28" s="1040"/>
      <c r="WPS28" s="1040"/>
      <c r="WPT28" s="1040"/>
      <c r="WPU28" s="1040"/>
      <c r="WPV28" s="1040"/>
      <c r="WPW28" s="1040"/>
      <c r="WPX28" s="1040"/>
      <c r="WPY28" s="1040"/>
      <c r="WPZ28" s="1040"/>
      <c r="WQA28" s="1040"/>
      <c r="WQB28" s="1040"/>
      <c r="WQC28" s="1040"/>
      <c r="WQD28" s="1040"/>
      <c r="WQE28" s="1040"/>
      <c r="WQF28" s="1040"/>
      <c r="WQG28" s="1040"/>
      <c r="WQH28" s="1040"/>
      <c r="WQI28" s="1040"/>
      <c r="WQJ28" s="1040"/>
      <c r="WQK28" s="1040"/>
      <c r="WQL28" s="1040"/>
      <c r="WQM28" s="1040"/>
      <c r="WQN28" s="1040"/>
      <c r="WQO28" s="1040"/>
      <c r="WQP28" s="1040"/>
      <c r="WQQ28" s="1040"/>
      <c r="WQR28" s="1040"/>
      <c r="WQS28" s="1040"/>
      <c r="WQT28" s="1040"/>
      <c r="WQU28" s="1040"/>
      <c r="WQV28" s="1040"/>
      <c r="WQW28" s="1040"/>
      <c r="WQX28" s="1040"/>
      <c r="WQY28" s="1040"/>
      <c r="WQZ28" s="1040"/>
      <c r="WRA28" s="1040"/>
      <c r="WRB28" s="1040"/>
      <c r="WRC28" s="1040"/>
      <c r="WRD28" s="1040"/>
      <c r="WRE28" s="1040"/>
      <c r="WRF28" s="1040"/>
      <c r="WRG28" s="1040"/>
      <c r="WRH28" s="1040"/>
      <c r="WRI28" s="1040"/>
      <c r="WRJ28" s="1040"/>
      <c r="WRK28" s="1040"/>
      <c r="WRL28" s="1040"/>
      <c r="WRM28" s="1040"/>
      <c r="WRN28" s="1040"/>
      <c r="WRO28" s="1040"/>
      <c r="WRP28" s="1040"/>
      <c r="WRQ28" s="1040"/>
      <c r="WRR28" s="1040"/>
      <c r="WRS28" s="1040"/>
      <c r="WRT28" s="1040"/>
      <c r="WRU28" s="1040"/>
      <c r="WRV28" s="1040"/>
      <c r="WRW28" s="1040"/>
      <c r="WRX28" s="1040"/>
      <c r="WRY28" s="1040"/>
      <c r="WRZ28" s="1040"/>
      <c r="WSA28" s="1040"/>
      <c r="WSB28" s="1040"/>
      <c r="WSC28" s="1040"/>
      <c r="WSD28" s="1040"/>
      <c r="WSE28" s="1040"/>
      <c r="WSF28" s="1040"/>
      <c r="WSG28" s="1040"/>
      <c r="WSH28" s="1040"/>
      <c r="WSI28" s="1040"/>
      <c r="WSJ28" s="1040"/>
      <c r="WSK28" s="1040"/>
      <c r="WSL28" s="1040"/>
      <c r="WSM28" s="1040"/>
      <c r="WSN28" s="1040"/>
      <c r="WSO28" s="1040"/>
      <c r="WSP28" s="1040"/>
      <c r="WSQ28" s="1040"/>
      <c r="WSR28" s="1040"/>
      <c r="WSS28" s="1040"/>
      <c r="WST28" s="1040"/>
      <c r="WSU28" s="1040"/>
      <c r="WSV28" s="1040"/>
      <c r="WSW28" s="1040"/>
      <c r="WSX28" s="1040"/>
      <c r="WSY28" s="1040"/>
      <c r="WSZ28" s="1040"/>
      <c r="WTA28" s="1040"/>
      <c r="WTB28" s="1040"/>
      <c r="WTC28" s="1040"/>
      <c r="WTD28" s="1040"/>
      <c r="WTE28" s="1040"/>
      <c r="WTF28" s="1040"/>
      <c r="WTG28" s="1040"/>
      <c r="WTH28" s="1040"/>
      <c r="WTI28" s="1040"/>
      <c r="WTJ28" s="1040"/>
      <c r="WTK28" s="1040"/>
      <c r="WTL28" s="1040"/>
      <c r="WTM28" s="1040"/>
      <c r="WTN28" s="1040"/>
      <c r="WTO28" s="1040"/>
      <c r="WTP28" s="1040"/>
      <c r="WTQ28" s="1040"/>
      <c r="WTR28" s="1040"/>
      <c r="WTS28" s="1040"/>
      <c r="WTT28" s="1040"/>
      <c r="WTU28" s="1040"/>
      <c r="WTV28" s="1040"/>
      <c r="WTW28" s="1040"/>
      <c r="WTX28" s="1040"/>
      <c r="WTY28" s="1040"/>
      <c r="WTZ28" s="1040"/>
      <c r="WUA28" s="1040"/>
      <c r="WUB28" s="1040"/>
      <c r="WUC28" s="1040"/>
      <c r="WUD28" s="1040"/>
      <c r="WUE28" s="1040"/>
      <c r="WUF28" s="1040"/>
      <c r="WUG28" s="1040"/>
      <c r="WUH28" s="1040"/>
      <c r="WUI28" s="1040"/>
      <c r="WUJ28" s="1040"/>
      <c r="WUK28" s="1040"/>
      <c r="WUL28" s="1040"/>
      <c r="WUM28" s="1040"/>
      <c r="WUN28" s="1040"/>
      <c r="WUO28" s="1040"/>
      <c r="WUP28" s="1040"/>
      <c r="WUQ28" s="1040"/>
      <c r="WUR28" s="1040"/>
      <c r="WUS28" s="1040"/>
      <c r="WUT28" s="1040"/>
      <c r="WUU28" s="1040"/>
      <c r="WUV28" s="1040"/>
      <c r="WUW28" s="1040"/>
      <c r="WUX28" s="1040"/>
      <c r="WUY28" s="1040"/>
      <c r="WUZ28" s="1040"/>
      <c r="WVA28" s="1040"/>
      <c r="WVB28" s="1040"/>
      <c r="WVC28" s="1040"/>
      <c r="WVD28" s="1040"/>
      <c r="WVE28" s="1040"/>
      <c r="WVF28" s="1040"/>
      <c r="WVG28" s="1040"/>
      <c r="WVH28" s="1040"/>
      <c r="WVI28" s="1040"/>
      <c r="WVJ28" s="1040"/>
      <c r="WVK28" s="1040"/>
      <c r="WVL28" s="1040"/>
      <c r="WVM28" s="1040"/>
      <c r="WVN28" s="1040"/>
      <c r="WVO28" s="1040"/>
      <c r="WVP28" s="1040"/>
      <c r="WVQ28" s="1040"/>
      <c r="WVR28" s="1040"/>
      <c r="WVS28" s="1040"/>
      <c r="WVT28" s="1040"/>
      <c r="WVU28" s="1040"/>
      <c r="WVV28" s="1040"/>
      <c r="WVW28" s="1040"/>
      <c r="WVX28" s="1040"/>
      <c r="WVY28" s="1040"/>
      <c r="WVZ28" s="1040"/>
      <c r="WWA28" s="1040"/>
      <c r="WWB28" s="1040"/>
      <c r="WWC28" s="1040"/>
      <c r="WWD28" s="1040"/>
      <c r="WWE28" s="1040"/>
      <c r="WWF28" s="1040"/>
      <c r="WWG28" s="1040"/>
      <c r="WWH28" s="1040"/>
      <c r="WWI28" s="1040"/>
      <c r="WWJ28" s="1040"/>
      <c r="WWK28" s="1040"/>
      <c r="WWL28" s="1040"/>
      <c r="WWM28" s="1040"/>
      <c r="WWN28" s="1040"/>
      <c r="WWO28" s="1040"/>
      <c r="WWP28" s="1040"/>
      <c r="WWQ28" s="1040"/>
      <c r="WWR28" s="1040"/>
      <c r="WWS28" s="1040"/>
      <c r="WWT28" s="1040"/>
      <c r="WWU28" s="1040"/>
      <c r="WWV28" s="1040"/>
      <c r="WWW28" s="1040"/>
      <c r="WWX28" s="1040"/>
      <c r="WWY28" s="1040"/>
      <c r="WWZ28" s="1040"/>
      <c r="WXA28" s="1040"/>
      <c r="WXB28" s="1040"/>
      <c r="WXC28" s="1040"/>
      <c r="WXD28" s="1040"/>
      <c r="WXE28" s="1040"/>
      <c r="WXF28" s="1040"/>
      <c r="WXG28" s="1040"/>
      <c r="WXH28" s="1040"/>
      <c r="WXI28" s="1040"/>
      <c r="WXJ28" s="1040"/>
      <c r="WXK28" s="1040"/>
      <c r="WXL28" s="1040"/>
      <c r="WXM28" s="1040"/>
      <c r="WXN28" s="1040"/>
      <c r="WXO28" s="1040"/>
      <c r="WXP28" s="1040"/>
      <c r="WXQ28" s="1040"/>
      <c r="WXR28" s="1040"/>
      <c r="WXS28" s="1040"/>
      <c r="WXT28" s="1040"/>
      <c r="WXU28" s="1040"/>
      <c r="WXV28" s="1040"/>
      <c r="WXW28" s="1040"/>
      <c r="WXX28" s="1040"/>
      <c r="WXY28" s="1040"/>
      <c r="WXZ28" s="1040"/>
      <c r="WYA28" s="1040"/>
      <c r="WYB28" s="1040"/>
      <c r="WYC28" s="1040"/>
      <c r="WYD28" s="1040"/>
      <c r="WYE28" s="1040"/>
      <c r="WYF28" s="1040"/>
      <c r="WYG28" s="1040"/>
      <c r="WYH28" s="1040"/>
      <c r="WYI28" s="1040"/>
      <c r="WYJ28" s="1040"/>
      <c r="WYK28" s="1040"/>
      <c r="WYL28" s="1040"/>
      <c r="WYM28" s="1040"/>
      <c r="WYN28" s="1040"/>
      <c r="WYO28" s="1040"/>
      <c r="WYP28" s="1040"/>
      <c r="WYQ28" s="1040"/>
      <c r="WYR28" s="1040"/>
      <c r="WYS28" s="1040"/>
      <c r="WYT28" s="1040"/>
      <c r="WYU28" s="1040"/>
      <c r="WYV28" s="1040"/>
      <c r="WYW28" s="1040"/>
      <c r="WYX28" s="1040"/>
      <c r="WYY28" s="1040"/>
      <c r="WYZ28" s="1040"/>
      <c r="WZA28" s="1040"/>
      <c r="WZB28" s="1040"/>
      <c r="WZC28" s="1040"/>
      <c r="WZD28" s="1040"/>
      <c r="WZE28" s="1040"/>
      <c r="WZF28" s="1040"/>
      <c r="WZG28" s="1040"/>
      <c r="WZH28" s="1040"/>
      <c r="WZI28" s="1040"/>
      <c r="WZJ28" s="1040"/>
      <c r="WZK28" s="1040"/>
      <c r="WZL28" s="1040"/>
      <c r="WZM28" s="1040"/>
      <c r="WZN28" s="1040"/>
      <c r="WZO28" s="1040"/>
      <c r="WZP28" s="1040"/>
      <c r="WZQ28" s="1040"/>
      <c r="WZR28" s="1040"/>
      <c r="WZS28" s="1040"/>
      <c r="WZT28" s="1040"/>
      <c r="WZU28" s="1040"/>
      <c r="WZV28" s="1040"/>
      <c r="WZW28" s="1040"/>
      <c r="WZX28" s="1040"/>
      <c r="WZY28" s="1040"/>
      <c r="WZZ28" s="1040"/>
      <c r="XAA28" s="1040"/>
      <c r="XAB28" s="1040"/>
      <c r="XAC28" s="1040"/>
      <c r="XAD28" s="1040"/>
      <c r="XAE28" s="1040"/>
      <c r="XAF28" s="1040"/>
      <c r="XAG28" s="1040"/>
      <c r="XAH28" s="1040"/>
      <c r="XAI28" s="1040"/>
      <c r="XAJ28" s="1040"/>
      <c r="XAK28" s="1040"/>
      <c r="XAL28" s="1040"/>
      <c r="XAM28" s="1040"/>
      <c r="XAN28" s="1040"/>
      <c r="XAO28" s="1040"/>
      <c r="XAP28" s="1040"/>
      <c r="XAQ28" s="1040"/>
      <c r="XAR28" s="1040"/>
      <c r="XAS28" s="1040"/>
      <c r="XAT28" s="1040"/>
      <c r="XAU28" s="1040"/>
      <c r="XAV28" s="1040"/>
      <c r="XAW28" s="1040"/>
      <c r="XAX28" s="1040"/>
      <c r="XAY28" s="1040"/>
      <c r="XAZ28" s="1040"/>
      <c r="XBA28" s="1040"/>
      <c r="XBB28" s="1040"/>
      <c r="XBC28" s="1040"/>
      <c r="XBD28" s="1040"/>
      <c r="XBE28" s="1040"/>
      <c r="XBF28" s="1040"/>
      <c r="XBG28" s="1040"/>
      <c r="XBH28" s="1040"/>
      <c r="XBI28" s="1040"/>
      <c r="XBJ28" s="1040"/>
      <c r="XBK28" s="1040"/>
      <c r="XBL28" s="1040"/>
      <c r="XBM28" s="1040"/>
      <c r="XBN28" s="1040"/>
      <c r="XBO28" s="1040"/>
      <c r="XBP28" s="1040"/>
      <c r="XBQ28" s="1040"/>
      <c r="XBR28" s="1040"/>
      <c r="XBS28" s="1040"/>
      <c r="XBT28" s="1040"/>
      <c r="XBU28" s="1040"/>
      <c r="XBV28" s="1040"/>
      <c r="XBW28" s="1040"/>
      <c r="XBX28" s="1040"/>
      <c r="XBY28" s="1040"/>
      <c r="XBZ28" s="1040"/>
      <c r="XCA28" s="1040"/>
      <c r="XCB28" s="1040"/>
      <c r="XCC28" s="1040"/>
      <c r="XCD28" s="1040"/>
      <c r="XCE28" s="1040"/>
      <c r="XCF28" s="1040"/>
      <c r="XCG28" s="1040"/>
      <c r="XCH28" s="1040"/>
      <c r="XCI28" s="1040"/>
      <c r="XCJ28" s="1040"/>
      <c r="XCK28" s="1040"/>
      <c r="XCL28" s="1040"/>
      <c r="XCM28" s="1040"/>
      <c r="XCN28" s="1040"/>
      <c r="XCO28" s="1040"/>
      <c r="XCP28" s="1040"/>
      <c r="XCQ28" s="1040"/>
      <c r="XCR28" s="1040"/>
      <c r="XCS28" s="1040"/>
      <c r="XCT28" s="1040"/>
      <c r="XCU28" s="1040"/>
      <c r="XCV28" s="1040"/>
      <c r="XCW28" s="1040"/>
      <c r="XCX28" s="1040"/>
      <c r="XCY28" s="1040"/>
      <c r="XCZ28" s="1040"/>
      <c r="XDA28" s="1040"/>
      <c r="XDB28" s="1040"/>
      <c r="XDC28" s="1040"/>
      <c r="XDD28" s="1040"/>
      <c r="XDE28" s="1040"/>
      <c r="XDF28" s="1040"/>
      <c r="XDG28" s="1040"/>
      <c r="XDH28" s="1040"/>
      <c r="XDI28" s="1040"/>
      <c r="XDJ28" s="1040"/>
      <c r="XDK28" s="1040"/>
      <c r="XDL28" s="1040"/>
      <c r="XDM28" s="1040"/>
      <c r="XDN28" s="1040"/>
      <c r="XDO28" s="1040"/>
      <c r="XDP28" s="1040"/>
      <c r="XDQ28" s="1040"/>
      <c r="XDR28" s="1040"/>
      <c r="XDS28" s="1040"/>
      <c r="XDT28" s="1040"/>
      <c r="XDU28" s="1040"/>
      <c r="XDV28" s="1040"/>
      <c r="XDW28" s="1040"/>
      <c r="XDX28" s="1040"/>
      <c r="XDY28" s="1040"/>
      <c r="XDZ28" s="1040"/>
      <c r="XEA28" s="1040"/>
      <c r="XEB28" s="1040"/>
      <c r="XEC28" s="1040"/>
      <c r="XED28" s="1040"/>
      <c r="XEE28" s="1040"/>
      <c r="XEF28" s="1040"/>
      <c r="XEG28" s="1040"/>
      <c r="XEH28" s="1040"/>
      <c r="XEI28" s="1040"/>
      <c r="XEJ28" s="1040"/>
      <c r="XEK28" s="1040"/>
      <c r="XEL28" s="1040"/>
      <c r="XEM28" s="1040"/>
      <c r="XEN28" s="1040"/>
      <c r="XEO28" s="1040"/>
      <c r="XEP28" s="1040"/>
      <c r="XEQ28" s="1040"/>
      <c r="XER28" s="1040"/>
      <c r="XES28" s="1040"/>
      <c r="XET28" s="1040"/>
      <c r="XEU28" s="1040"/>
      <c r="XEV28" s="1040"/>
      <c r="XEW28" s="1040"/>
      <c r="XEX28" s="1040"/>
      <c r="XEY28" s="1040"/>
      <c r="XEZ28" s="1040"/>
      <c r="XFA28" s="1040"/>
      <c r="XFB28" s="1040"/>
      <c r="XFC28" s="1040"/>
    </row>
    <row r="29" spans="1:16383" outlineLevel="1">
      <c r="F29" s="1043"/>
      <c r="H29" s="956"/>
      <c r="I29" s="956"/>
    </row>
    <row r="30" spans="1:16383" ht="16.5" customHeight="1" thickBot="1">
      <c r="A30" s="1044" t="s">
        <v>1184</v>
      </c>
      <c r="B30" s="1045"/>
      <c r="C30" s="1045"/>
      <c r="D30" s="1045"/>
      <c r="E30" s="1045"/>
      <c r="F30" s="1045"/>
      <c r="G30" s="1045"/>
      <c r="H30" s="1045"/>
      <c r="I30" s="1045"/>
    </row>
    <row r="31" spans="1:16383" ht="13.35" customHeight="1" thickBot="1">
      <c r="A31" s="1046" t="s">
        <v>1185</v>
      </c>
      <c r="B31" s="1047"/>
      <c r="C31" s="1048" t="s">
        <v>1186</v>
      </c>
      <c r="D31" s="1049"/>
      <c r="E31" s="1050">
        <v>2009</v>
      </c>
      <c r="F31" s="1050">
        <f>E31+1</f>
        <v>2010</v>
      </c>
      <c r="G31" s="1050">
        <f t="shared" ref="G31:T31" si="22">F31+1</f>
        <v>2011</v>
      </c>
      <c r="H31" s="1050">
        <f t="shared" si="22"/>
        <v>2012</v>
      </c>
      <c r="I31" s="1051">
        <f t="shared" si="22"/>
        <v>2013</v>
      </c>
      <c r="J31" s="1051">
        <f t="shared" si="22"/>
        <v>2014</v>
      </c>
      <c r="K31" s="1051">
        <f t="shared" si="22"/>
        <v>2015</v>
      </c>
      <c r="L31" s="1051">
        <f t="shared" si="22"/>
        <v>2016</v>
      </c>
      <c r="M31" s="1051">
        <f t="shared" si="22"/>
        <v>2017</v>
      </c>
      <c r="N31" s="1051">
        <f t="shared" si="22"/>
        <v>2018</v>
      </c>
      <c r="O31" s="1051">
        <f t="shared" si="22"/>
        <v>2019</v>
      </c>
      <c r="P31" s="1051">
        <f t="shared" si="22"/>
        <v>2020</v>
      </c>
      <c r="Q31" s="1051">
        <f t="shared" si="22"/>
        <v>2021</v>
      </c>
      <c r="R31" s="1051">
        <f t="shared" si="22"/>
        <v>2022</v>
      </c>
      <c r="S31" s="1051">
        <f t="shared" si="22"/>
        <v>2023</v>
      </c>
      <c r="T31" s="1052">
        <f t="shared" si="22"/>
        <v>2024</v>
      </c>
    </row>
    <row r="32" spans="1:16383" s="1058" customFormat="1" ht="13.35" customHeight="1">
      <c r="A32" s="1053" t="s">
        <v>1187</v>
      </c>
      <c r="B32" s="1054"/>
      <c r="C32" s="1055"/>
      <c r="D32" s="1056"/>
      <c r="E32" s="1057">
        <f t="shared" ref="E32:T32" si="23">SUM(E33:E35)</f>
        <v>4754880259</v>
      </c>
      <c r="F32" s="1057">
        <f t="shared" si="23"/>
        <v>10084067938</v>
      </c>
      <c r="G32" s="1057">
        <f t="shared" si="23"/>
        <v>11498923156</v>
      </c>
      <c r="H32" s="1057">
        <f t="shared" si="23"/>
        <v>13000394758</v>
      </c>
      <c r="I32" s="1057">
        <f t="shared" si="23"/>
        <v>14533145540</v>
      </c>
      <c r="J32" s="1057">
        <f t="shared" si="23"/>
        <v>15675993379</v>
      </c>
      <c r="K32" s="1057">
        <f t="shared" si="23"/>
        <v>15995731120</v>
      </c>
      <c r="L32" s="1057">
        <f t="shared" si="23"/>
        <v>17718981983</v>
      </c>
      <c r="M32" s="1057">
        <f t="shared" si="23"/>
        <v>19394271997</v>
      </c>
      <c r="N32" s="1057">
        <f t="shared" si="23"/>
        <v>19775155257</v>
      </c>
      <c r="O32" s="1057">
        <f>SUM(O33:O35)</f>
        <v>20303083616</v>
      </c>
      <c r="P32" s="1057">
        <f t="shared" si="23"/>
        <v>20457677444.093811</v>
      </c>
      <c r="Q32" s="1057">
        <f>SUM(Q33:Q35)</f>
        <v>20371624465.295647</v>
      </c>
      <c r="R32" s="1057">
        <f t="shared" ca="1" si="23"/>
        <v>20574846995.444996</v>
      </c>
      <c r="S32" s="1057">
        <f t="shared" ca="1" si="23"/>
        <v>20762106335.212261</v>
      </c>
      <c r="T32" s="1057">
        <f t="shared" ca="1" si="23"/>
        <v>10452438392.250315</v>
      </c>
    </row>
    <row r="33" spans="1:20" s="1067" customFormat="1" ht="13.35" customHeight="1">
      <c r="A33" s="1059" t="s">
        <v>1188</v>
      </c>
      <c r="B33" s="1060"/>
      <c r="C33" s="1061"/>
      <c r="D33" s="1062"/>
      <c r="E33" s="1063">
        <v>2615019494</v>
      </c>
      <c r="F33" s="1063">
        <v>5655661042</v>
      </c>
      <c r="G33" s="1063">
        <v>6504625242</v>
      </c>
      <c r="H33" s="1063">
        <v>7223957786</v>
      </c>
      <c r="I33" s="1064">
        <v>7984929454</v>
      </c>
      <c r="J33" s="1064">
        <v>8680273611</v>
      </c>
      <c r="K33" s="1064">
        <v>8883698726</v>
      </c>
      <c r="L33" s="1064">
        <v>9037390618</v>
      </c>
      <c r="M33" s="1064">
        <v>9133729493</v>
      </c>
      <c r="N33" s="1064">
        <v>9274562500</v>
      </c>
      <c r="O33" s="1064">
        <v>9397392000</v>
      </c>
      <c r="P33" s="1064">
        <v>9453561691.017292</v>
      </c>
      <c r="Q33" s="1065">
        <f>Q85*10^6*P$4</f>
        <v>9528963652.3542175</v>
      </c>
      <c r="R33" s="1065">
        <f t="shared" ref="R33:T33" ca="1" si="24">R85*10^6*Q$4</f>
        <v>9658594854.9999981</v>
      </c>
      <c r="S33" s="1065">
        <f t="shared" ca="1" si="24"/>
        <v>9803473777.8249989</v>
      </c>
      <c r="T33" s="1066">
        <f t="shared" ca="1" si="24"/>
        <v>4934370370.1181355</v>
      </c>
    </row>
    <row r="34" spans="1:20" s="1067" customFormat="1" ht="13.35" customHeight="1">
      <c r="A34" s="1068" t="s">
        <v>1189</v>
      </c>
      <c r="B34" s="1069"/>
      <c r="C34" s="1070"/>
      <c r="D34" s="1071"/>
      <c r="E34" s="1072">
        <v>1127243442</v>
      </c>
      <c r="F34" s="1072">
        <v>2336495530</v>
      </c>
      <c r="G34" s="1072">
        <v>2544697068</v>
      </c>
      <c r="H34" s="1072">
        <v>2746932834</v>
      </c>
      <c r="I34" s="1073">
        <v>2928091677</v>
      </c>
      <c r="J34" s="1073">
        <v>2913592689</v>
      </c>
      <c r="K34" s="1073">
        <v>2787470905</v>
      </c>
      <c r="L34" s="1073">
        <v>2833339132</v>
      </c>
      <c r="M34" s="1073">
        <v>2863682784</v>
      </c>
      <c r="N34" s="1073">
        <v>2907705575</v>
      </c>
      <c r="O34" s="1073">
        <v>2946338227</v>
      </c>
      <c r="P34" s="1073">
        <v>2963938584.0760384</v>
      </c>
      <c r="Q34" s="1074">
        <f t="shared" ref="Q34:T35" si="25">Q86*10^6*P$4</f>
        <v>2987578924.9669671</v>
      </c>
      <c r="R34" s="1074">
        <f t="shared" ca="1" si="25"/>
        <v>3028105110.3044128</v>
      </c>
      <c r="S34" s="1074">
        <f t="shared" ca="1" si="25"/>
        <v>3073655919.5119934</v>
      </c>
      <c r="T34" s="1075">
        <f t="shared" ca="1" si="25"/>
        <v>1550983914.3778613</v>
      </c>
    </row>
    <row r="35" spans="1:20" s="1067" customFormat="1">
      <c r="A35" s="1068" t="s">
        <v>1190</v>
      </c>
      <c r="B35" s="1069"/>
      <c r="C35" s="1070"/>
      <c r="D35" s="1071"/>
      <c r="E35" s="1072">
        <v>1012617323</v>
      </c>
      <c r="F35" s="1072">
        <v>2091911366</v>
      </c>
      <c r="G35" s="1072">
        <v>2449600846</v>
      </c>
      <c r="H35" s="1072">
        <v>3029504138</v>
      </c>
      <c r="I35" s="1073">
        <v>3620124409</v>
      </c>
      <c r="J35" s="1073">
        <v>4082127079</v>
      </c>
      <c r="K35" s="1073">
        <v>4324561489</v>
      </c>
      <c r="L35" s="1073">
        <v>5848252233</v>
      </c>
      <c r="M35" s="1073">
        <v>7396859720</v>
      </c>
      <c r="N35" s="1073">
        <v>7592887182</v>
      </c>
      <c r="O35" s="1073">
        <v>7959353389</v>
      </c>
      <c r="P35" s="1073">
        <v>8040177169.0004807</v>
      </c>
      <c r="Q35" s="1074">
        <f t="shared" si="25"/>
        <v>7855081887.9744625</v>
      </c>
      <c r="R35" s="1074">
        <f t="shared" ca="1" si="25"/>
        <v>7888147030.140584</v>
      </c>
      <c r="S35" s="1074">
        <f t="shared" ca="1" si="25"/>
        <v>7884976637.875268</v>
      </c>
      <c r="T35" s="1075">
        <f t="shared" ca="1" si="25"/>
        <v>3967084107.7543178</v>
      </c>
    </row>
    <row r="36" spans="1:20" s="1058" customFormat="1">
      <c r="A36" s="1076" t="s">
        <v>1191</v>
      </c>
      <c r="B36" s="1077"/>
      <c r="C36" s="1078"/>
      <c r="D36" s="1079"/>
      <c r="E36" s="1080">
        <f t="shared" ref="E36:M36" si="26">SUM(E37:E39)</f>
        <v>4719399216</v>
      </c>
      <c r="F36" s="1080">
        <f t="shared" si="26"/>
        <v>9926926913</v>
      </c>
      <c r="G36" s="1080">
        <f t="shared" si="26"/>
        <v>11316308897</v>
      </c>
      <c r="H36" s="1080">
        <f t="shared" si="26"/>
        <v>12590988532</v>
      </c>
      <c r="I36" s="1080">
        <f t="shared" si="26"/>
        <v>11881930856</v>
      </c>
      <c r="J36" s="1080">
        <f t="shared" si="26"/>
        <v>9855180515</v>
      </c>
      <c r="K36" s="1080">
        <f t="shared" si="26"/>
        <v>15890753662</v>
      </c>
      <c r="L36" s="1080">
        <f t="shared" si="26"/>
        <v>17454817762</v>
      </c>
      <c r="M36" s="1080">
        <f t="shared" si="26"/>
        <v>19340701253</v>
      </c>
      <c r="N36" s="1080">
        <f>SUM(N37:N39)</f>
        <v>18839677088</v>
      </c>
      <c r="O36" s="1081">
        <v>20464516648</v>
      </c>
      <c r="P36" s="1081">
        <f>SUM(P37:P39)</f>
        <v>21068168283</v>
      </c>
      <c r="Q36" s="1082">
        <f>예정운영비용!J21</f>
        <v>20729752065.319099</v>
      </c>
      <c r="R36" s="1082">
        <f ca="1">예정운영비용!K21</f>
        <v>20474169147.021694</v>
      </c>
      <c r="S36" s="1082">
        <f ca="1">예정운영비용!L21</f>
        <v>20879578871.252701</v>
      </c>
      <c r="T36" s="1083">
        <f ca="1">예정운영비용!M21</f>
        <v>21182016455.904076</v>
      </c>
    </row>
    <row r="37" spans="1:20" s="1067" customFormat="1">
      <c r="A37" s="1059" t="s">
        <v>1188</v>
      </c>
      <c r="B37" s="1060"/>
      <c r="C37" s="1061"/>
      <c r="D37" s="1062"/>
      <c r="E37" s="1084">
        <v>2504616503</v>
      </c>
      <c r="F37" s="1084">
        <v>5455467437</v>
      </c>
      <c r="G37" s="1084">
        <v>6456051027</v>
      </c>
      <c r="H37" s="1084">
        <v>6977580748</v>
      </c>
      <c r="I37" s="1085">
        <v>7290657006</v>
      </c>
      <c r="J37" s="1085">
        <v>4707948896</v>
      </c>
      <c r="K37" s="1085">
        <v>1764121190</v>
      </c>
      <c r="L37" s="1085">
        <v>1858689442</v>
      </c>
      <c r="M37" s="1085">
        <v>1872462280</v>
      </c>
      <c r="N37" s="1085">
        <v>1899578688</v>
      </c>
      <c r="O37" s="1085">
        <v>1997752768</v>
      </c>
      <c r="P37" s="1085">
        <v>2825037594</v>
      </c>
      <c r="Q37" s="1086"/>
      <c r="R37" s="1086"/>
      <c r="S37" s="1086"/>
      <c r="T37" s="1087"/>
    </row>
    <row r="38" spans="1:20" s="1067" customFormat="1">
      <c r="A38" s="1068" t="s">
        <v>1189</v>
      </c>
      <c r="B38" s="1069"/>
      <c r="C38" s="1070"/>
      <c r="D38" s="1071"/>
      <c r="E38" s="1088">
        <v>1226570773</v>
      </c>
      <c r="F38" s="1088">
        <v>2502032418</v>
      </c>
      <c r="G38" s="1088">
        <v>2478678556</v>
      </c>
      <c r="H38" s="1088">
        <v>2662331464</v>
      </c>
      <c r="I38" s="1089">
        <v>1814542817</v>
      </c>
      <c r="J38" s="1089">
        <v>2021588706</v>
      </c>
      <c r="K38" s="1089">
        <v>14126632472</v>
      </c>
      <c r="L38" s="1089">
        <v>14605209243</v>
      </c>
      <c r="M38" s="1089">
        <v>16098868621</v>
      </c>
      <c r="N38" s="1089">
        <v>16029415138</v>
      </c>
      <c r="O38" s="1089">
        <v>17338873147</v>
      </c>
      <c r="P38" s="1089">
        <v>17358888962</v>
      </c>
      <c r="Q38" s="1090"/>
      <c r="R38" s="1090"/>
      <c r="S38" s="1090"/>
      <c r="T38" s="1091"/>
    </row>
    <row r="39" spans="1:20" s="1067" customFormat="1">
      <c r="A39" s="1068" t="s">
        <v>1190</v>
      </c>
      <c r="B39" s="1069"/>
      <c r="C39" s="1070"/>
      <c r="D39" s="1071"/>
      <c r="E39" s="1088">
        <v>988211940</v>
      </c>
      <c r="F39" s="1088">
        <v>1969427058</v>
      </c>
      <c r="G39" s="1088">
        <v>2381579314</v>
      </c>
      <c r="H39" s="1088">
        <v>2951076320</v>
      </c>
      <c r="I39" s="1089">
        <v>2776731033</v>
      </c>
      <c r="J39" s="1089">
        <v>3125642913</v>
      </c>
      <c r="K39" s="1089"/>
      <c r="L39" s="1089">
        <v>990919077</v>
      </c>
      <c r="M39" s="1089">
        <v>1369370352</v>
      </c>
      <c r="N39" s="1089">
        <v>910683262</v>
      </c>
      <c r="O39" s="1089">
        <v>1132890733</v>
      </c>
      <c r="P39" s="1089">
        <v>884241727</v>
      </c>
      <c r="Q39" s="1090"/>
      <c r="R39" s="1090"/>
      <c r="S39" s="1090"/>
      <c r="T39" s="1091"/>
    </row>
    <row r="40" spans="1:20" s="1058" customFormat="1">
      <c r="A40" s="1076" t="s">
        <v>1192</v>
      </c>
      <c r="B40" s="1077"/>
      <c r="C40" s="1078"/>
      <c r="D40" s="1079"/>
      <c r="E40" s="1080">
        <f>MAX(0,SUM(E41:E43))</f>
        <v>35481043</v>
      </c>
      <c r="F40" s="1080">
        <f t="shared" ref="F40:N40" si="27">MAX(0,SUM(F41:F43))</f>
        <v>157141025</v>
      </c>
      <c r="G40" s="1080">
        <f t="shared" si="27"/>
        <v>182614259</v>
      </c>
      <c r="H40" s="1080">
        <f t="shared" si="27"/>
        <v>409406226</v>
      </c>
      <c r="I40" s="1080">
        <f t="shared" si="27"/>
        <v>2651214684</v>
      </c>
      <c r="J40" s="1080">
        <f t="shared" si="27"/>
        <v>5820812864</v>
      </c>
      <c r="K40" s="1080">
        <f t="shared" si="27"/>
        <v>104977458</v>
      </c>
      <c r="L40" s="1080">
        <f t="shared" si="27"/>
        <v>264164221</v>
      </c>
      <c r="M40" s="1080">
        <f t="shared" si="27"/>
        <v>53570744</v>
      </c>
      <c r="N40" s="1080">
        <f t="shared" si="27"/>
        <v>935478169</v>
      </c>
      <c r="O40" s="1082">
        <f>MAX(0,O32-O36)</f>
        <v>0</v>
      </c>
      <c r="P40" s="1082">
        <f t="shared" ref="P40:T40" si="28">MAX(0,P32-P36)</f>
        <v>0</v>
      </c>
      <c r="Q40" s="1082">
        <f>MAX(0,Q32-Q36)</f>
        <v>0</v>
      </c>
      <c r="R40" s="1082">
        <f t="shared" ca="1" si="28"/>
        <v>100677848.4233017</v>
      </c>
      <c r="S40" s="1082">
        <f t="shared" ca="1" si="28"/>
        <v>0</v>
      </c>
      <c r="T40" s="1080">
        <f t="shared" ca="1" si="28"/>
        <v>0</v>
      </c>
    </row>
    <row r="41" spans="1:20" s="1058" customFormat="1">
      <c r="A41" s="1092" t="s">
        <v>1188</v>
      </c>
      <c r="B41" s="1093"/>
      <c r="C41" s="1094"/>
      <c r="D41" s="1095"/>
      <c r="E41" s="1096">
        <f t="shared" ref="E41:P43" si="29">E33-E37</f>
        <v>110402991</v>
      </c>
      <c r="F41" s="1096">
        <f t="shared" si="29"/>
        <v>200193605</v>
      </c>
      <c r="G41" s="1096">
        <f t="shared" si="29"/>
        <v>48574215</v>
      </c>
      <c r="H41" s="1096">
        <f t="shared" si="29"/>
        <v>246377038</v>
      </c>
      <c r="I41" s="1097">
        <f t="shared" si="29"/>
        <v>694272448</v>
      </c>
      <c r="J41" s="1097">
        <f t="shared" si="29"/>
        <v>3972324715</v>
      </c>
      <c r="K41" s="1097">
        <f t="shared" si="29"/>
        <v>7119577536</v>
      </c>
      <c r="L41" s="1097">
        <f t="shared" si="29"/>
        <v>7178701176</v>
      </c>
      <c r="M41" s="1097">
        <f t="shared" si="29"/>
        <v>7261267213</v>
      </c>
      <c r="N41" s="1097">
        <f t="shared" si="29"/>
        <v>7374983812</v>
      </c>
      <c r="O41" s="1097">
        <f t="shared" si="29"/>
        <v>7399639232</v>
      </c>
      <c r="P41" s="1097">
        <f t="shared" si="29"/>
        <v>6628524097.017292</v>
      </c>
      <c r="Q41" s="1097"/>
      <c r="R41" s="1097"/>
      <c r="S41" s="1097"/>
      <c r="T41" s="1096"/>
    </row>
    <row r="42" spans="1:20" s="1058" customFormat="1">
      <c r="A42" s="1098" t="s">
        <v>1189</v>
      </c>
      <c r="B42" s="1099"/>
      <c r="C42" s="1100"/>
      <c r="D42" s="1101"/>
      <c r="E42" s="1102">
        <f t="shared" si="29"/>
        <v>-99327331</v>
      </c>
      <c r="F42" s="1102">
        <f t="shared" si="29"/>
        <v>-165536888</v>
      </c>
      <c r="G42" s="1102">
        <f t="shared" si="29"/>
        <v>66018512</v>
      </c>
      <c r="H42" s="1102">
        <f t="shared" si="29"/>
        <v>84601370</v>
      </c>
      <c r="I42" s="1103">
        <f t="shared" si="29"/>
        <v>1113548860</v>
      </c>
      <c r="J42" s="1103">
        <f t="shared" si="29"/>
        <v>892003983</v>
      </c>
      <c r="K42" s="1103">
        <f>K34-K38</f>
        <v>-11339161567</v>
      </c>
      <c r="L42" s="1103">
        <f t="shared" si="29"/>
        <v>-11771870111</v>
      </c>
      <c r="M42" s="1103">
        <f t="shared" si="29"/>
        <v>-13235185837</v>
      </c>
      <c r="N42" s="1103">
        <f t="shared" si="29"/>
        <v>-13121709563</v>
      </c>
      <c r="O42" s="1103">
        <f t="shared" si="29"/>
        <v>-14392534920</v>
      </c>
      <c r="P42" s="1103">
        <f t="shared" si="29"/>
        <v>-14394950377.923962</v>
      </c>
      <c r="Q42" s="1103"/>
      <c r="R42" s="1103"/>
      <c r="S42" s="1103"/>
      <c r="T42" s="1102"/>
    </row>
    <row r="43" spans="1:20" s="1058" customFormat="1" ht="12" thickBot="1">
      <c r="A43" s="1098" t="s">
        <v>1190</v>
      </c>
      <c r="B43" s="1099"/>
      <c r="C43" s="1100"/>
      <c r="D43" s="1101"/>
      <c r="E43" s="1102">
        <f t="shared" si="29"/>
        <v>24405383</v>
      </c>
      <c r="F43" s="1102">
        <f t="shared" si="29"/>
        <v>122484308</v>
      </c>
      <c r="G43" s="1102">
        <f t="shared" si="29"/>
        <v>68021532</v>
      </c>
      <c r="H43" s="1102">
        <f t="shared" si="29"/>
        <v>78427818</v>
      </c>
      <c r="I43" s="1103">
        <f t="shared" si="29"/>
        <v>843393376</v>
      </c>
      <c r="J43" s="1103">
        <f t="shared" si="29"/>
        <v>956484166</v>
      </c>
      <c r="K43" s="1103">
        <f t="shared" si="29"/>
        <v>4324561489</v>
      </c>
      <c r="L43" s="1103">
        <f t="shared" si="29"/>
        <v>4857333156</v>
      </c>
      <c r="M43" s="1103">
        <f t="shared" si="29"/>
        <v>6027489368</v>
      </c>
      <c r="N43" s="1103">
        <f t="shared" si="29"/>
        <v>6682203920</v>
      </c>
      <c r="O43" s="1103">
        <f t="shared" si="29"/>
        <v>6826462656</v>
      </c>
      <c r="P43" s="1103">
        <f t="shared" si="29"/>
        <v>7155935442.0004807</v>
      </c>
      <c r="Q43" s="1103"/>
      <c r="R43" s="1103"/>
      <c r="S43" s="1103"/>
      <c r="T43" s="1102"/>
    </row>
    <row r="44" spans="1:20" ht="12" thickBot="1">
      <c r="A44" s="1104" t="s">
        <v>1193</v>
      </c>
      <c r="B44" s="1105"/>
      <c r="C44" s="1106"/>
      <c r="D44" s="1107"/>
      <c r="E44" s="1108">
        <v>2009</v>
      </c>
      <c r="F44" s="1108">
        <f>E44+1</f>
        <v>2010</v>
      </c>
      <c r="G44" s="1108">
        <f>F44+1</f>
        <v>2011</v>
      </c>
      <c r="H44" s="1108">
        <f>G44+1</f>
        <v>2012</v>
      </c>
      <c r="I44" s="1109">
        <f>H44+1</f>
        <v>2013</v>
      </c>
      <c r="J44" s="1109">
        <f t="shared" ref="J44:T44" si="30">I44+1</f>
        <v>2014</v>
      </c>
      <c r="K44" s="1109">
        <f t="shared" si="30"/>
        <v>2015</v>
      </c>
      <c r="L44" s="1109">
        <f t="shared" si="30"/>
        <v>2016</v>
      </c>
      <c r="M44" s="1109">
        <f t="shared" si="30"/>
        <v>2017</v>
      </c>
      <c r="N44" s="1109">
        <f t="shared" si="30"/>
        <v>2018</v>
      </c>
      <c r="O44" s="1109">
        <f t="shared" si="30"/>
        <v>2019</v>
      </c>
      <c r="P44" s="1109">
        <f t="shared" si="30"/>
        <v>2020</v>
      </c>
      <c r="Q44" s="1109">
        <f>P44+1</f>
        <v>2021</v>
      </c>
      <c r="R44" s="1109">
        <f>Q44+1</f>
        <v>2022</v>
      </c>
      <c r="S44" s="1109">
        <f t="shared" si="30"/>
        <v>2023</v>
      </c>
      <c r="T44" s="1108">
        <f t="shared" si="30"/>
        <v>2024</v>
      </c>
    </row>
    <row r="45" spans="1:20" s="1116" customFormat="1" ht="12" thickTop="1">
      <c r="A45" s="1110" t="s">
        <v>1194</v>
      </c>
      <c r="B45" s="1111"/>
      <c r="C45" s="1112"/>
      <c r="D45" s="1113"/>
      <c r="E45" s="1114">
        <f>E46</f>
        <v>3631878743</v>
      </c>
      <c r="F45" s="1114">
        <f>SUM($E$46:F46)</f>
        <v>9486609346</v>
      </c>
      <c r="G45" s="1114">
        <f>SUM($E$46:G46)</f>
        <v>13217997247</v>
      </c>
      <c r="H45" s="1114">
        <f>SUM($E$46:H46)</f>
        <v>19105094264</v>
      </c>
      <c r="I45" s="1115">
        <f>SUM($E$46:I46)</f>
        <v>24688638503</v>
      </c>
      <c r="J45" s="1115">
        <f>SUM($E$46:J46)</f>
        <v>25996020383</v>
      </c>
      <c r="K45" s="1115">
        <f>SUM($E$46:K46)</f>
        <v>26085597250</v>
      </c>
      <c r="L45" s="1115">
        <f>SUM($E$46:L46)</f>
        <v>27167503238</v>
      </c>
      <c r="M45" s="1115">
        <f>SUM($E$46:M46)</f>
        <v>28336310875</v>
      </c>
      <c r="N45" s="1115">
        <f>SUM($E$46:N46)</f>
        <v>30230241865</v>
      </c>
      <c r="O45" s="1115">
        <f>SUM($E$46:O46)</f>
        <v>32140576712</v>
      </c>
      <c r="P45" s="1115">
        <f>SUM($E$46:P46)</f>
        <v>32970947482</v>
      </c>
      <c r="Q45" s="1115">
        <f>SUM($E$46:Q46)</f>
        <v>33771923387.689281</v>
      </c>
      <c r="R45" s="1115">
        <f ca="1">SUM($E$46:R46)</f>
        <v>34027347258.377476</v>
      </c>
      <c r="S45" s="1115">
        <f ca="1">SUM($E$46:S46)</f>
        <v>34305149722.468658</v>
      </c>
      <c r="T45" s="1114">
        <f ca="1">SUM($E$46:T46)</f>
        <v>34425197028.11367</v>
      </c>
    </row>
    <row r="46" spans="1:20" s="1067" customFormat="1">
      <c r="A46" s="1068" t="s">
        <v>1195</v>
      </c>
      <c r="B46" s="1117"/>
      <c r="C46" s="1118"/>
      <c r="D46" s="1119"/>
      <c r="E46" s="1120">
        <f>SUM(E47:E48)</f>
        <v>3631878743</v>
      </c>
      <c r="F46" s="1120">
        <f t="shared" ref="F46:T46" si="31">SUM(F47:F48)</f>
        <v>5854730603</v>
      </c>
      <c r="G46" s="1120">
        <f t="shared" si="31"/>
        <v>3731387901</v>
      </c>
      <c r="H46" s="1120">
        <f t="shared" si="31"/>
        <v>5887097017</v>
      </c>
      <c r="I46" s="1121">
        <f t="shared" si="31"/>
        <v>5583544239</v>
      </c>
      <c r="J46" s="1121">
        <f t="shared" si="31"/>
        <v>1307381880</v>
      </c>
      <c r="K46" s="1121">
        <f t="shared" si="31"/>
        <v>89576867</v>
      </c>
      <c r="L46" s="1121">
        <f t="shared" si="31"/>
        <v>1081905988</v>
      </c>
      <c r="M46" s="1121">
        <f t="shared" si="31"/>
        <v>1168807637</v>
      </c>
      <c r="N46" s="1121">
        <f t="shared" si="31"/>
        <v>1893930990</v>
      </c>
      <c r="O46" s="1121">
        <f t="shared" si="31"/>
        <v>1910334847</v>
      </c>
      <c r="P46" s="1121">
        <f t="shared" si="31"/>
        <v>830370770</v>
      </c>
      <c r="Q46" s="1121">
        <f t="shared" si="31"/>
        <v>800975905.68927991</v>
      </c>
      <c r="R46" s="1121">
        <f t="shared" ca="1" si="31"/>
        <v>255423870.68819407</v>
      </c>
      <c r="S46" s="1121">
        <f t="shared" ca="1" si="31"/>
        <v>277802464.09118164</v>
      </c>
      <c r="T46" s="1120">
        <f t="shared" ca="1" si="31"/>
        <v>120047305.64501427</v>
      </c>
    </row>
    <row r="47" spans="1:20" s="1067" customFormat="1">
      <c r="A47" s="1122"/>
      <c r="B47" s="1123" t="s">
        <v>1196</v>
      </c>
      <c r="C47" s="1070"/>
      <c r="D47" s="1071"/>
      <c r="E47" s="1072">
        <v>3631878743</v>
      </c>
      <c r="F47" s="1072">
        <v>5854730603</v>
      </c>
      <c r="G47" s="1072">
        <v>3731387901</v>
      </c>
      <c r="H47" s="1072">
        <v>5887097017</v>
      </c>
      <c r="I47" s="1073">
        <v>5353992292</v>
      </c>
      <c r="J47" s="1073">
        <v>1078982114</v>
      </c>
      <c r="K47" s="1073">
        <v>89576867</v>
      </c>
      <c r="L47" s="1073">
        <v>1081905988</v>
      </c>
      <c r="M47" s="1073">
        <v>1168807637</v>
      </c>
      <c r="N47" s="1073">
        <v>1650622938</v>
      </c>
      <c r="O47" s="1073">
        <v>1667824013</v>
      </c>
      <c r="P47" s="1073">
        <v>830370770</v>
      </c>
      <c r="Q47" s="1124">
        <f>Q94*10^6</f>
        <v>800975905.68927991</v>
      </c>
      <c r="R47" s="1124">
        <f t="shared" ref="R47:T47" ca="1" si="32">R94*10^6</f>
        <v>255423870.68819407</v>
      </c>
      <c r="S47" s="1124">
        <f t="shared" ca="1" si="32"/>
        <v>277802464.09118164</v>
      </c>
      <c r="T47" s="1125">
        <f t="shared" ca="1" si="32"/>
        <v>120047305.64501427</v>
      </c>
    </row>
    <row r="48" spans="1:20" s="1067" customFormat="1">
      <c r="A48" s="1122"/>
      <c r="B48" s="1126" t="s">
        <v>1197</v>
      </c>
      <c r="C48" s="1070"/>
      <c r="D48" s="1071"/>
      <c r="E48" s="1127"/>
      <c r="F48" s="1127"/>
      <c r="G48" s="1127"/>
      <c r="H48" s="1127"/>
      <c r="I48" s="1073">
        <v>229551947</v>
      </c>
      <c r="J48" s="1073">
        <v>228399766</v>
      </c>
      <c r="K48" s="1128"/>
      <c r="L48" s="1128"/>
      <c r="M48" s="1073"/>
      <c r="N48" s="1073">
        <v>243308052</v>
      </c>
      <c r="O48" s="1073">
        <v>242510834</v>
      </c>
      <c r="P48" s="1128"/>
      <c r="Q48" s="1124"/>
      <c r="R48" s="1124"/>
      <c r="S48" s="1124"/>
      <c r="T48" s="1125"/>
    </row>
    <row r="49" spans="1:20" s="1116" customFormat="1">
      <c r="A49" s="1129" t="s">
        <v>1198</v>
      </c>
      <c r="B49" s="1130"/>
      <c r="C49" s="1131"/>
      <c r="D49" s="1132"/>
      <c r="E49" s="1133">
        <f>E50</f>
        <v>0</v>
      </c>
      <c r="F49" s="1133">
        <f>SUM($E$50:F50)</f>
        <v>4689185297</v>
      </c>
      <c r="G49" s="1133">
        <f>SUM($E$50:G50)</f>
        <v>7215262677</v>
      </c>
      <c r="H49" s="1133">
        <f>SUM($E$50:H50)</f>
        <v>13057621418</v>
      </c>
      <c r="I49" s="1134">
        <f>SUM($E$50:I50)</f>
        <v>14396250938</v>
      </c>
      <c r="J49" s="1134">
        <f>SUM($E$50:J50)</f>
        <v>18121395954</v>
      </c>
      <c r="K49" s="1134">
        <f>SUM($E$50:K50)</f>
        <v>19674994154</v>
      </c>
      <c r="L49" s="1134">
        <f>SUM($E$50:L50)</f>
        <v>26066361634</v>
      </c>
      <c r="M49" s="1134">
        <f>SUM($E$50:M50)</f>
        <v>28769731887</v>
      </c>
      <c r="N49" s="1134">
        <f>SUM($E$50:N50)</f>
        <v>28997837764</v>
      </c>
      <c r="O49" s="1134">
        <f>SUM($E$50:O50)</f>
        <v>30479709804</v>
      </c>
      <c r="P49" s="1134">
        <f>SUM($E$50:P50)</f>
        <v>33181442004</v>
      </c>
      <c r="Q49" s="1134">
        <f>SUM($E$50:Q50)</f>
        <v>33771923387.689281</v>
      </c>
      <c r="R49" s="1134">
        <f ca="1">SUM($E$50:R50)</f>
        <v>34027347258.377476</v>
      </c>
      <c r="S49" s="1134">
        <f ca="1">SUM($E$50:S50)</f>
        <v>34305149722.468658</v>
      </c>
      <c r="T49" s="1133">
        <f ca="1">SUM($E$50:T50)</f>
        <v>34425197028.11367</v>
      </c>
    </row>
    <row r="50" spans="1:20" s="1067" customFormat="1">
      <c r="A50" s="1068" t="s">
        <v>1195</v>
      </c>
      <c r="B50" s="1117"/>
      <c r="C50" s="1118"/>
      <c r="D50" s="1119"/>
      <c r="E50" s="1120">
        <f t="shared" ref="E50:T50" si="33">SUM(E51:E52)</f>
        <v>0</v>
      </c>
      <c r="F50" s="1120">
        <f t="shared" si="33"/>
        <v>4689185297</v>
      </c>
      <c r="G50" s="1120">
        <f t="shared" si="33"/>
        <v>2526077380</v>
      </c>
      <c r="H50" s="1120">
        <f t="shared" si="33"/>
        <v>5842358741</v>
      </c>
      <c r="I50" s="1121">
        <f t="shared" si="33"/>
        <v>1338629520</v>
      </c>
      <c r="J50" s="1121">
        <f t="shared" si="33"/>
        <v>3725145016</v>
      </c>
      <c r="K50" s="1121">
        <f t="shared" si="33"/>
        <v>1553598200</v>
      </c>
      <c r="L50" s="1121">
        <f t="shared" si="33"/>
        <v>6391367480</v>
      </c>
      <c r="M50" s="1121">
        <f t="shared" si="33"/>
        <v>2703370253</v>
      </c>
      <c r="N50" s="1121">
        <f t="shared" si="33"/>
        <v>228105877</v>
      </c>
      <c r="O50" s="1121">
        <f t="shared" si="33"/>
        <v>1481872040</v>
      </c>
      <c r="P50" s="1121">
        <f t="shared" si="33"/>
        <v>2701732200</v>
      </c>
      <c r="Q50" s="1121">
        <f t="shared" si="33"/>
        <v>590481383.68928146</v>
      </c>
      <c r="R50" s="1121">
        <f t="shared" ca="1" si="33"/>
        <v>255423870.68819427</v>
      </c>
      <c r="S50" s="1121">
        <f t="shared" ca="1" si="33"/>
        <v>277802464.09118271</v>
      </c>
      <c r="T50" s="1120">
        <f t="shared" ca="1" si="33"/>
        <v>120047305.6450119</v>
      </c>
    </row>
    <row r="51" spans="1:20" s="1067" customFormat="1">
      <c r="A51" s="1122"/>
      <c r="B51" s="1123" t="s">
        <v>1196</v>
      </c>
      <c r="C51" s="1070"/>
      <c r="D51" s="1071"/>
      <c r="E51" s="1127"/>
      <c r="F51" s="1072">
        <v>4689185297</v>
      </c>
      <c r="G51" s="1072">
        <v>2526077380</v>
      </c>
      <c r="H51" s="1072">
        <v>5842358741</v>
      </c>
      <c r="I51" s="1073">
        <v>1109077573</v>
      </c>
      <c r="J51" s="1073">
        <v>3496745250</v>
      </c>
      <c r="K51" s="1073">
        <v>1553598200</v>
      </c>
      <c r="L51" s="1073">
        <v>6164211050</v>
      </c>
      <c r="M51" s="1073">
        <v>2218272727</v>
      </c>
      <c r="N51" s="1073"/>
      <c r="O51" s="1073">
        <v>1399000000</v>
      </c>
      <c r="P51" s="1064">
        <v>2539732200</v>
      </c>
      <c r="Q51" s="1086">
        <f>Q45-P49</f>
        <v>590481383.68928146</v>
      </c>
      <c r="R51" s="1086">
        <f ca="1">R45-Q49</f>
        <v>255423870.68819427</v>
      </c>
      <c r="S51" s="1086">
        <f ca="1">S45-R49</f>
        <v>277802464.09118271</v>
      </c>
      <c r="T51" s="1087">
        <f ca="1">T45-S49</f>
        <v>120047305.6450119</v>
      </c>
    </row>
    <row r="52" spans="1:20" s="1067" customFormat="1">
      <c r="A52" s="1122"/>
      <c r="B52" s="1126" t="s">
        <v>1197</v>
      </c>
      <c r="C52" s="1070"/>
      <c r="D52" s="1071"/>
      <c r="E52" s="1127"/>
      <c r="F52" s="1072"/>
      <c r="G52" s="1072"/>
      <c r="H52" s="1072"/>
      <c r="I52" s="1073">
        <v>229551947</v>
      </c>
      <c r="J52" s="1073">
        <v>228399766</v>
      </c>
      <c r="K52" s="1073">
        <v>0</v>
      </c>
      <c r="L52" s="1073">
        <v>227156430</v>
      </c>
      <c r="M52" s="1073">
        <v>485097526</v>
      </c>
      <c r="N52" s="1073">
        <v>228105877</v>
      </c>
      <c r="O52" s="1073">
        <v>82872040</v>
      </c>
      <c r="P52" s="1073">
        <v>162000000</v>
      </c>
      <c r="Q52" s="1124"/>
      <c r="R52" s="1124"/>
      <c r="S52" s="1124"/>
      <c r="T52" s="1125"/>
    </row>
    <row r="53" spans="1:20" s="1116" customFormat="1">
      <c r="A53" s="1129" t="s">
        <v>1199</v>
      </c>
      <c r="B53" s="1130"/>
      <c r="C53" s="1131"/>
      <c r="D53" s="1132"/>
      <c r="E53" s="1133">
        <f>E54</f>
        <v>3631878743</v>
      </c>
      <c r="F53" s="1133">
        <f>SUM($E$54:F54)</f>
        <v>4797424049</v>
      </c>
      <c r="G53" s="1133">
        <f>SUM($E$54:G54)</f>
        <v>6002734570</v>
      </c>
      <c r="H53" s="1133">
        <f>SUM($E$54:H54)</f>
        <v>6047472846</v>
      </c>
      <c r="I53" s="1134">
        <f>SUM($E$54:I54)</f>
        <v>10292387565</v>
      </c>
      <c r="J53" s="1134">
        <f>SUM($E$54:J54)</f>
        <v>7874624429</v>
      </c>
      <c r="K53" s="1134">
        <f>SUM($E$54:K54)</f>
        <v>6410603096</v>
      </c>
      <c r="L53" s="1134">
        <f>SUM($E$54:L54)</f>
        <v>1101141604</v>
      </c>
      <c r="M53" s="1134">
        <f>SUM($E$54:M54)</f>
        <v>-433421012</v>
      </c>
      <c r="N53" s="1134">
        <f>SUM($E$54:N54)</f>
        <v>1232404101</v>
      </c>
      <c r="O53" s="1134">
        <f>SUM($E$54:O54)</f>
        <v>1660866908</v>
      </c>
      <c r="P53" s="1134">
        <f>SUM($E$54:P54)</f>
        <v>-210494522</v>
      </c>
      <c r="Q53" s="1134">
        <f>SUM($E$54:Q54)</f>
        <v>-1.5497207641601563E-6</v>
      </c>
      <c r="R53" s="1134">
        <f ca="1">SUM($E$54:R54)</f>
        <v>-1.5497207641601563E-6</v>
      </c>
      <c r="S53" s="1134">
        <f ca="1">SUM($E$54:S54)</f>
        <v>-2.6226043701171875E-6</v>
      </c>
      <c r="T53" s="1133">
        <f ca="1">SUM($E$54:T54)</f>
        <v>-2.5331974029541016E-7</v>
      </c>
    </row>
    <row r="54" spans="1:20" s="1067" customFormat="1">
      <c r="A54" s="1135" t="s">
        <v>1195</v>
      </c>
      <c r="B54" s="1069"/>
      <c r="C54" s="1070"/>
      <c r="D54" s="1071"/>
      <c r="E54" s="1125">
        <f t="shared" ref="E54:T54" si="34">SUM(E55:E56)</f>
        <v>3631878743</v>
      </c>
      <c r="F54" s="1125">
        <f t="shared" si="34"/>
        <v>1165545306</v>
      </c>
      <c r="G54" s="1125">
        <f t="shared" si="34"/>
        <v>1205310521</v>
      </c>
      <c r="H54" s="1125">
        <f t="shared" si="34"/>
        <v>44738276</v>
      </c>
      <c r="I54" s="1124">
        <f t="shared" si="34"/>
        <v>4244914719</v>
      </c>
      <c r="J54" s="1124">
        <f t="shared" si="34"/>
        <v>-2417763136</v>
      </c>
      <c r="K54" s="1124">
        <f t="shared" si="34"/>
        <v>-1464021333</v>
      </c>
      <c r="L54" s="1124">
        <f t="shared" si="34"/>
        <v>-5309461492</v>
      </c>
      <c r="M54" s="1124">
        <f t="shared" si="34"/>
        <v>-1534562616</v>
      </c>
      <c r="N54" s="1124">
        <f t="shared" si="34"/>
        <v>1665825113</v>
      </c>
      <c r="O54" s="1124">
        <f t="shared" si="34"/>
        <v>428462807</v>
      </c>
      <c r="P54" s="1124">
        <f t="shared" si="34"/>
        <v>-1871361430</v>
      </c>
      <c r="Q54" s="1124">
        <f t="shared" si="34"/>
        <v>210494521.99999845</v>
      </c>
      <c r="R54" s="1124">
        <f t="shared" ca="1" si="34"/>
        <v>0</v>
      </c>
      <c r="S54" s="1124">
        <f t="shared" ca="1" si="34"/>
        <v>-1.0728836059570313E-6</v>
      </c>
      <c r="T54" s="1125">
        <f t="shared" ca="1" si="34"/>
        <v>2.3692846298217773E-6</v>
      </c>
    </row>
    <row r="55" spans="1:20" s="1067" customFormat="1">
      <c r="A55" s="1122"/>
      <c r="B55" s="1123" t="s">
        <v>1196</v>
      </c>
      <c r="C55" s="1061"/>
      <c r="D55" s="1061"/>
      <c r="E55" s="1087">
        <f>E47-E51</f>
        <v>3631878743</v>
      </c>
      <c r="F55" s="1087">
        <f t="shared" ref="F55:T56" si="35">F47-F51</f>
        <v>1165545306</v>
      </c>
      <c r="G55" s="1087">
        <f t="shared" si="35"/>
        <v>1205310521</v>
      </c>
      <c r="H55" s="1087">
        <f t="shared" si="35"/>
        <v>44738276</v>
      </c>
      <c r="I55" s="1087">
        <f t="shared" si="35"/>
        <v>4244914719</v>
      </c>
      <c r="J55" s="1087">
        <f t="shared" si="35"/>
        <v>-2417763136</v>
      </c>
      <c r="K55" s="1087">
        <f t="shared" si="35"/>
        <v>-1464021333</v>
      </c>
      <c r="L55" s="1087">
        <f t="shared" si="35"/>
        <v>-5082305062</v>
      </c>
      <c r="M55" s="1087">
        <f t="shared" si="35"/>
        <v>-1049465090</v>
      </c>
      <c r="N55" s="1087">
        <f t="shared" si="35"/>
        <v>1650622938</v>
      </c>
      <c r="O55" s="1087">
        <f t="shared" si="35"/>
        <v>268824013</v>
      </c>
      <c r="P55" s="1087">
        <f t="shared" si="35"/>
        <v>-1709361430</v>
      </c>
      <c r="Q55" s="1087">
        <f t="shared" si="35"/>
        <v>210494521.99999845</v>
      </c>
      <c r="R55" s="1087">
        <f t="shared" ca="1" si="35"/>
        <v>0</v>
      </c>
      <c r="S55" s="1087">
        <f t="shared" ca="1" si="35"/>
        <v>-1.0728836059570313E-6</v>
      </c>
      <c r="T55" s="1087">
        <f t="shared" ca="1" si="35"/>
        <v>2.3692846298217773E-6</v>
      </c>
    </row>
    <row r="56" spans="1:20" s="1067" customFormat="1" ht="12" thickBot="1">
      <c r="A56" s="1122"/>
      <c r="B56" s="1126" t="s">
        <v>1197</v>
      </c>
      <c r="C56" s="1136"/>
      <c r="D56" s="1136"/>
      <c r="E56" s="1137">
        <f t="shared" ref="E56:O56" si="36">E48-E52</f>
        <v>0</v>
      </c>
      <c r="F56" s="1137">
        <f t="shared" si="36"/>
        <v>0</v>
      </c>
      <c r="G56" s="1137">
        <f t="shared" si="36"/>
        <v>0</v>
      </c>
      <c r="H56" s="1137">
        <f t="shared" si="36"/>
        <v>0</v>
      </c>
      <c r="I56" s="1137">
        <f t="shared" si="36"/>
        <v>0</v>
      </c>
      <c r="J56" s="1137">
        <f t="shared" si="36"/>
        <v>0</v>
      </c>
      <c r="K56" s="1137">
        <f t="shared" si="36"/>
        <v>0</v>
      </c>
      <c r="L56" s="1137">
        <f t="shared" si="36"/>
        <v>-227156430</v>
      </c>
      <c r="M56" s="1137">
        <f t="shared" si="36"/>
        <v>-485097526</v>
      </c>
      <c r="N56" s="1137">
        <f t="shared" si="35"/>
        <v>15202175</v>
      </c>
      <c r="O56" s="1137">
        <f t="shared" si="36"/>
        <v>159638794</v>
      </c>
      <c r="P56" s="1137">
        <f>P48-P52</f>
        <v>-162000000</v>
      </c>
      <c r="Q56" s="1137"/>
      <c r="R56" s="1137"/>
      <c r="S56" s="1137"/>
      <c r="T56" s="1137"/>
    </row>
    <row r="57" spans="1:20" s="1067" customFormat="1" ht="12" thickTop="1">
      <c r="A57" s="1138" t="s">
        <v>1200</v>
      </c>
      <c r="B57" s="1139"/>
      <c r="C57" s="1140"/>
      <c r="D57" s="1141"/>
      <c r="E57" s="1142">
        <v>3996490687</v>
      </c>
      <c r="F57" s="1142">
        <v>4428501087</v>
      </c>
      <c r="G57" s="1142">
        <v>3459980694</v>
      </c>
      <c r="H57" s="1142">
        <v>6710093606</v>
      </c>
      <c r="I57" s="1143">
        <v>12321912984</v>
      </c>
      <c r="J57" s="1143">
        <v>18001765320</v>
      </c>
      <c r="K57" s="1143">
        <v>19483444491</v>
      </c>
      <c r="L57" s="1143">
        <v>16609665518</v>
      </c>
      <c r="M57" s="1143">
        <v>15832957431.080002</v>
      </c>
      <c r="N57" s="4741">
        <f>N21*10^6</f>
        <v>16276075670.999998</v>
      </c>
      <c r="O57" s="1144">
        <f>O21*10^6</f>
        <v>13362461172.672884</v>
      </c>
      <c r="P57" s="1144">
        <f t="shared" ref="P57:T57" ca="1" si="37">P21*10^6</f>
        <v>8757141720.7799969</v>
      </c>
      <c r="Q57" s="1144">
        <f t="shared" ca="1" si="37"/>
        <v>12759899407.090532</v>
      </c>
      <c r="R57" s="1144">
        <f t="shared" ca="1" si="37"/>
        <v>13576804151.000004</v>
      </c>
      <c r="S57" s="1144">
        <f t="shared" ca="1" si="37"/>
        <v>12993659553.420002</v>
      </c>
      <c r="T57" s="1145">
        <f t="shared" ca="1" si="37"/>
        <v>6005117353.3972683</v>
      </c>
    </row>
    <row r="58" spans="1:20" s="1067" customFormat="1">
      <c r="A58" s="1146" t="s">
        <v>1201</v>
      </c>
      <c r="B58" s="1147"/>
      <c r="C58" s="1148"/>
      <c r="D58" s="1149"/>
      <c r="E58" s="1150">
        <f>MAX(0,E40)</f>
        <v>35481043</v>
      </c>
      <c r="F58" s="1150">
        <f>F40</f>
        <v>157141025</v>
      </c>
      <c r="G58" s="1150">
        <f>G40</f>
        <v>182614259</v>
      </c>
      <c r="H58" s="1150">
        <f>H40</f>
        <v>409406226</v>
      </c>
      <c r="I58" s="1151">
        <f>I40</f>
        <v>2651214684</v>
      </c>
      <c r="J58" s="1151">
        <f t="shared" ref="J58:T58" si="38">J40</f>
        <v>5820812864</v>
      </c>
      <c r="K58" s="1151">
        <f t="shared" si="38"/>
        <v>104977458</v>
      </c>
      <c r="L58" s="1151">
        <f t="shared" si="38"/>
        <v>264164221</v>
      </c>
      <c r="M58" s="1151">
        <f t="shared" si="38"/>
        <v>53570744</v>
      </c>
      <c r="N58" s="1151">
        <f t="shared" si="38"/>
        <v>935478169</v>
      </c>
      <c r="O58" s="1151">
        <f t="shared" si="38"/>
        <v>0</v>
      </c>
      <c r="P58" s="1151">
        <f t="shared" si="38"/>
        <v>0</v>
      </c>
      <c r="Q58" s="1151">
        <f t="shared" si="38"/>
        <v>0</v>
      </c>
      <c r="R58" s="1151">
        <f t="shared" ca="1" si="38"/>
        <v>100677848.4233017</v>
      </c>
      <c r="S58" s="1151">
        <f t="shared" ca="1" si="38"/>
        <v>0</v>
      </c>
      <c r="T58" s="1150">
        <f t="shared" ca="1" si="38"/>
        <v>0</v>
      </c>
    </row>
    <row r="59" spans="1:20" s="1067" customFormat="1">
      <c r="A59" s="1152" t="s">
        <v>1202</v>
      </c>
      <c r="B59" s="1153"/>
      <c r="C59" s="1154"/>
      <c r="D59" s="1155"/>
      <c r="E59" s="1156">
        <f>E54-SUM(C$59:$C59)</f>
        <v>3631878743</v>
      </c>
      <c r="F59" s="1156">
        <f>F53-SUM($C$59:E59)</f>
        <v>1165545306</v>
      </c>
      <c r="G59" s="1156">
        <f>G53-SUM($C$59:F59)</f>
        <v>1205310521</v>
      </c>
      <c r="H59" s="1156">
        <f>H53-SUM($C$59:G59)</f>
        <v>44738276</v>
      </c>
      <c r="I59" s="1157">
        <f>I53-SUM($C$59:H59)</f>
        <v>4244914719</v>
      </c>
      <c r="J59" s="1157">
        <f>J53-SUM($C$59:I59)</f>
        <v>-2417763136</v>
      </c>
      <c r="K59" s="1157">
        <f>K53-SUM($C$59:J59)</f>
        <v>-1464021333</v>
      </c>
      <c r="L59" s="1157">
        <f>L53-SUM($C$59:K59)</f>
        <v>-5309461492</v>
      </c>
      <c r="M59" s="1157">
        <f>M53-SUM($C$59:L59)</f>
        <v>-1534562616</v>
      </c>
      <c r="N59" s="1157">
        <f>N53-SUM($C$59:M59)</f>
        <v>1665825113</v>
      </c>
      <c r="O59" s="1157">
        <f>O53-SUM($C$59:N59)</f>
        <v>428462807</v>
      </c>
      <c r="P59" s="1158">
        <f>P53-SUM($C$59:O59)+210494522-3000</f>
        <v>-1660869908</v>
      </c>
      <c r="Q59" s="4739">
        <f>Q53-SUM($C$59:P59)-3000</f>
        <v>-1.5497207641601563E-6</v>
      </c>
      <c r="R59" s="4739">
        <f ca="1">R53-SUM($C$59:Q59)</f>
        <v>3000</v>
      </c>
      <c r="S59" s="1157">
        <f ca="1">S53-SUM($C$59:R59)</f>
        <v>-1.0728836059570313E-6</v>
      </c>
      <c r="T59" s="1156">
        <f ca="1">T53-SUM($C$59:S59)</f>
        <v>2.3692846298217773E-6</v>
      </c>
    </row>
    <row r="60" spans="1:20" s="1067" customFormat="1">
      <c r="A60" s="1146" t="s">
        <v>1203</v>
      </c>
      <c r="B60" s="1147"/>
      <c r="C60" s="1148"/>
      <c r="D60" s="1149"/>
      <c r="E60" s="1150"/>
      <c r="F60" s="1159">
        <v>2053491370</v>
      </c>
      <c r="G60" s="1150"/>
      <c r="H60" s="1159">
        <v>3891652489</v>
      </c>
      <c r="I60" s="1160">
        <v>4742985320</v>
      </c>
      <c r="J60" s="1160">
        <v>8000000000</v>
      </c>
      <c r="K60" s="1151"/>
      <c r="L60" s="1151"/>
      <c r="M60" s="1151"/>
      <c r="N60" s="1151"/>
      <c r="O60" s="1151"/>
      <c r="P60" s="1151"/>
      <c r="Q60" s="1151"/>
      <c r="R60" s="1151"/>
      <c r="S60" s="1151"/>
      <c r="T60" s="1150"/>
    </row>
    <row r="61" spans="1:20" s="1067" customFormat="1">
      <c r="A61" s="1147" t="s">
        <v>627</v>
      </c>
      <c r="B61" s="1148"/>
      <c r="C61" s="1148"/>
      <c r="D61" s="1149"/>
      <c r="E61" s="1150"/>
      <c r="F61" s="1150"/>
      <c r="G61" s="1150"/>
      <c r="H61" s="1150"/>
      <c r="I61" s="1151"/>
      <c r="J61" s="1151"/>
      <c r="K61" s="1151"/>
      <c r="L61" s="1160">
        <v>121410000</v>
      </c>
      <c r="M61" s="1160">
        <v>17551288</v>
      </c>
      <c r="N61" s="1160">
        <v>17797910.759999998</v>
      </c>
      <c r="O61" s="1160">
        <v>18034224</v>
      </c>
      <c r="P61" s="4740">
        <v>18167298.391491253</v>
      </c>
      <c r="Q61" s="1161">
        <f>17126550*(1+(P4-$I$4))</f>
        <v>18953952.885000002</v>
      </c>
      <c r="R61" s="1161">
        <f t="shared" ref="R61:T61" ca="1" si="39">17126550*(1+(Q4-$I$4))</f>
        <v>19346030.994149998</v>
      </c>
      <c r="S61" s="1161">
        <f t="shared" ca="1" si="39"/>
        <v>19743990.274937246</v>
      </c>
      <c r="T61" s="1162">
        <f t="shared" ca="1" si="39"/>
        <v>20147918.944936298</v>
      </c>
    </row>
    <row r="62" spans="1:20" s="1067" customFormat="1">
      <c r="A62" s="1147" t="s">
        <v>628</v>
      </c>
      <c r="B62" s="1148"/>
      <c r="C62" s="1148"/>
      <c r="D62" s="1149"/>
      <c r="E62" s="1150"/>
      <c r="F62" s="1150"/>
      <c r="G62" s="1150"/>
      <c r="H62" s="1150"/>
      <c r="I62" s="1151"/>
      <c r="J62" s="1151"/>
      <c r="K62" s="1151"/>
      <c r="L62" s="1151"/>
      <c r="M62" s="1151"/>
      <c r="N62" s="1151"/>
      <c r="O62" s="1151"/>
      <c r="P62" s="1151"/>
      <c r="Q62" s="1151"/>
      <c r="R62" s="1151"/>
      <c r="S62" s="1151"/>
      <c r="T62" s="1150"/>
    </row>
    <row r="63" spans="1:20" s="1067" customFormat="1">
      <c r="A63" s="1147" t="s">
        <v>1204</v>
      </c>
      <c r="B63" s="1148"/>
      <c r="C63" s="1148"/>
      <c r="D63" s="1149"/>
      <c r="E63" s="1150"/>
      <c r="F63" s="1150"/>
      <c r="G63" s="1150"/>
      <c r="H63" s="1150"/>
      <c r="I63" s="1151"/>
      <c r="J63" s="1151"/>
      <c r="K63" s="1151"/>
      <c r="L63" s="1151"/>
      <c r="M63" s="1151"/>
      <c r="N63" s="1151"/>
      <c r="O63" s="1160">
        <v>3573391122</v>
      </c>
      <c r="P63" s="4740">
        <v>1336261943</v>
      </c>
      <c r="Q63" s="1163">
        <f>비용!J34*단위</f>
        <v>1460110067.5285327</v>
      </c>
      <c r="R63" s="1163">
        <f>비용!K34*단위</f>
        <v>1529546958.522558</v>
      </c>
      <c r="S63" s="1163">
        <f ca="1">비용!L34*단위</f>
        <v>1552814461.9226322</v>
      </c>
      <c r="T63" s="1164">
        <f ca="1">비용!M34*단위</f>
        <v>1570330865.2199295</v>
      </c>
    </row>
    <row r="64" spans="1:20" s="1067" customFormat="1" ht="12" thickBot="1">
      <c r="A64" s="1165" t="s">
        <v>1205</v>
      </c>
      <c r="B64" s="1166"/>
      <c r="C64" s="1166"/>
      <c r="D64" s="1167"/>
      <c r="E64" s="1168"/>
      <c r="F64" s="1168"/>
      <c r="G64" s="1168"/>
      <c r="H64" s="1168"/>
      <c r="I64" s="1169"/>
      <c r="J64" s="1169"/>
      <c r="K64" s="1169"/>
      <c r="L64" s="1170">
        <v>1766659815</v>
      </c>
      <c r="M64" s="1169"/>
      <c r="N64" s="1169"/>
      <c r="O64" s="1169"/>
      <c r="P64" s="1169"/>
      <c r="Q64" s="1169"/>
      <c r="R64" s="1169"/>
      <c r="S64" s="1169"/>
      <c r="T64" s="1168"/>
    </row>
    <row r="65" spans="1:20" s="1067" customFormat="1" ht="12" thickBot="1">
      <c r="A65" s="1171" t="s">
        <v>1206</v>
      </c>
      <c r="B65" s="1172"/>
      <c r="C65" s="1173"/>
      <c r="D65" s="1174"/>
      <c r="E65" s="1175">
        <f>E57-E58-E59-E60-E61+E62-E63-E64</f>
        <v>329130901</v>
      </c>
      <c r="F65" s="1175">
        <f t="shared" ref="F65:T65" si="40">F57-F58-F59-F60-F61+F62-F63-F64</f>
        <v>1052323386</v>
      </c>
      <c r="G65" s="1175">
        <f t="shared" si="40"/>
        <v>2072055914</v>
      </c>
      <c r="H65" s="1175">
        <f t="shared" si="40"/>
        <v>2364296615</v>
      </c>
      <c r="I65" s="1176">
        <f t="shared" si="40"/>
        <v>682798261</v>
      </c>
      <c r="J65" s="1176">
        <f t="shared" si="40"/>
        <v>6598715592</v>
      </c>
      <c r="K65" s="1176">
        <f t="shared" si="40"/>
        <v>20842488366</v>
      </c>
      <c r="L65" s="1176">
        <f t="shared" si="40"/>
        <v>19766892974</v>
      </c>
      <c r="M65" s="1176">
        <f t="shared" si="40"/>
        <v>17296398015.080002</v>
      </c>
      <c r="N65" s="1176">
        <f t="shared" si="40"/>
        <v>13656974478.239998</v>
      </c>
      <c r="O65" s="1176">
        <f t="shared" si="40"/>
        <v>9342573019.672884</v>
      </c>
      <c r="P65" s="1176">
        <f ca="1">P57-P58-P59-P60-P61+P62-P63-P64</f>
        <v>9063582387.3885059</v>
      </c>
      <c r="Q65" s="1176">
        <f t="shared" ca="1" si="40"/>
        <v>11280835386.677002</v>
      </c>
      <c r="R65" s="1176">
        <f t="shared" ca="1" si="40"/>
        <v>11927230313.059994</v>
      </c>
      <c r="S65" s="1176">
        <f t="shared" ca="1" si="40"/>
        <v>11421101101.222435</v>
      </c>
      <c r="T65" s="1177">
        <f t="shared" ca="1" si="40"/>
        <v>4414638569.2323999</v>
      </c>
    </row>
    <row r="66" spans="1:20" s="1067" customFormat="1">
      <c r="A66" s="1178"/>
      <c r="B66" s="1178"/>
      <c r="C66" s="1179"/>
      <c r="D66" s="1179"/>
      <c r="E66" s="1178"/>
      <c r="F66" s="1178"/>
      <c r="G66" s="1178"/>
      <c r="H66" s="1178"/>
      <c r="I66" s="1178"/>
      <c r="J66" s="1179"/>
      <c r="K66" s="1179"/>
      <c r="L66" s="1179"/>
      <c r="M66" s="1179"/>
      <c r="N66" s="1179"/>
      <c r="O66" s="1179">
        <f>O65-N63</f>
        <v>9342573019.672884</v>
      </c>
      <c r="P66" s="1179"/>
      <c r="Q66" s="1179"/>
      <c r="R66" s="1179"/>
      <c r="S66" s="1179"/>
      <c r="T66" s="1179"/>
    </row>
    <row r="67" spans="1:20" s="1058" customFormat="1">
      <c r="A67" s="1180"/>
      <c r="E67" s="1181"/>
      <c r="F67" s="1181"/>
      <c r="G67" s="1181"/>
      <c r="H67" s="1181"/>
      <c r="I67" s="1181"/>
      <c r="J67" s="1182"/>
      <c r="K67" s="1182"/>
      <c r="L67" s="1183"/>
      <c r="N67" s="1058">
        <f t="shared" ref="N67:T67" si="41">SUM(N63,N65)</f>
        <v>13656974478.239998</v>
      </c>
      <c r="O67" s="1058">
        <f t="shared" si="41"/>
        <v>12915964141.672884</v>
      </c>
      <c r="P67" s="1058">
        <f t="shared" ca="1" si="41"/>
        <v>10399844330.388506</v>
      </c>
      <c r="Q67" s="1058">
        <f t="shared" ca="1" si="41"/>
        <v>12740945454.205534</v>
      </c>
      <c r="R67" s="1058">
        <f t="shared" ca="1" si="41"/>
        <v>13456777271.582552</v>
      </c>
      <c r="S67" s="1058">
        <f t="shared" ca="1" si="41"/>
        <v>12973915563.145067</v>
      </c>
      <c r="T67" s="1058">
        <f t="shared" ca="1" si="41"/>
        <v>5984969434.4523296</v>
      </c>
    </row>
    <row r="68" spans="1:20">
      <c r="A68" s="1184" t="s">
        <v>1207</v>
      </c>
      <c r="B68" s="1185" t="s">
        <v>1208</v>
      </c>
      <c r="C68" s="1185"/>
      <c r="D68" s="1185"/>
      <c r="E68" s="1186">
        <f>E65</f>
        <v>329130901</v>
      </c>
      <c r="F68" s="1186">
        <f>E68+F65</f>
        <v>1381454287</v>
      </c>
      <c r="G68" s="1186">
        <f t="shared" ref="G68:T68" si="42">F68+G65</f>
        <v>3453510201</v>
      </c>
      <c r="H68" s="1186">
        <f t="shared" si="42"/>
        <v>5817806816</v>
      </c>
      <c r="I68" s="1186">
        <f t="shared" si="42"/>
        <v>6500605077</v>
      </c>
      <c r="J68" s="1186">
        <f t="shared" si="42"/>
        <v>13099320669</v>
      </c>
      <c r="K68" s="1186">
        <f t="shared" si="42"/>
        <v>33941809035</v>
      </c>
      <c r="L68" s="1186">
        <f t="shared" si="42"/>
        <v>53708702009</v>
      </c>
      <c r="M68" s="1186">
        <f t="shared" si="42"/>
        <v>71005100024.080002</v>
      </c>
      <c r="N68" s="1186">
        <f t="shared" si="42"/>
        <v>84662074502.320007</v>
      </c>
      <c r="O68" s="1186">
        <f t="shared" si="42"/>
        <v>94004647521.992889</v>
      </c>
      <c r="P68" s="1186">
        <f t="shared" ca="1" si="42"/>
        <v>103068229909.38139</v>
      </c>
      <c r="Q68" s="1186">
        <f ca="1">P68+Q65</f>
        <v>114349065296.0584</v>
      </c>
      <c r="R68" s="1186">
        <f ca="1">Q68+R65</f>
        <v>126276295609.11839</v>
      </c>
      <c r="S68" s="1186">
        <f t="shared" ca="1" si="42"/>
        <v>137697396710.34082</v>
      </c>
      <c r="T68" s="1187">
        <f t="shared" ca="1" si="42"/>
        <v>142112035279.57321</v>
      </c>
    </row>
    <row r="69" spans="1:20">
      <c r="L69" s="1058"/>
      <c r="M69" s="1058"/>
      <c r="P69" s="955">
        <v>-2393775111</v>
      </c>
    </row>
    <row r="70" spans="1:20">
      <c r="E70" s="1188"/>
      <c r="F70" s="1188"/>
      <c r="G70" s="1188"/>
      <c r="H70" s="1188"/>
      <c r="I70" s="1188"/>
      <c r="J70" s="1188"/>
      <c r="K70" s="1188"/>
      <c r="L70" s="1188"/>
      <c r="M70" s="1188"/>
      <c r="N70" s="1188"/>
    </row>
    <row r="71" spans="1:20">
      <c r="E71" s="1188"/>
      <c r="F71" s="1188"/>
      <c r="G71" s="1188"/>
      <c r="H71" s="1188"/>
      <c r="I71" s="1188"/>
      <c r="J71" s="1188"/>
      <c r="K71" s="1188"/>
      <c r="L71" s="1188"/>
      <c r="M71" s="1188"/>
      <c r="N71" s="1188"/>
      <c r="Q71" s="1181">
        <f>Q63/10^6</f>
        <v>1460.1100675285327</v>
      </c>
      <c r="R71" s="1181">
        <f t="shared" ref="R71:T71" si="43">R63/10^6</f>
        <v>1529.546958522558</v>
      </c>
      <c r="S71" s="1181">
        <f t="shared" ca="1" si="43"/>
        <v>1552.8144619226323</v>
      </c>
      <c r="T71" s="1181">
        <f t="shared" ca="1" si="43"/>
        <v>1570.3308652199294</v>
      </c>
    </row>
    <row r="72" spans="1:20">
      <c r="E72" s="1188"/>
      <c r="F72" s="1188"/>
      <c r="G72" s="1188"/>
      <c r="H72" s="1188"/>
      <c r="I72" s="1188"/>
      <c r="J72" s="1188"/>
      <c r="K72" s="1188"/>
      <c r="L72" s="1188"/>
      <c r="M72" s="1188"/>
      <c r="N72" s="1188"/>
      <c r="Q72" s="1181">
        <f ca="1">Q65/10^6</f>
        <v>11280.835386677001</v>
      </c>
      <c r="R72" s="1181">
        <f t="shared" ref="R72:T72" ca="1" si="44">R65/10^6</f>
        <v>11927.230313059994</v>
      </c>
      <c r="S72" s="1181">
        <f t="shared" ca="1" si="44"/>
        <v>11421.101101222435</v>
      </c>
      <c r="T72" s="1181">
        <f t="shared" ca="1" si="44"/>
        <v>4414.6385692324002</v>
      </c>
    </row>
    <row r="73" spans="1:20">
      <c r="E73" s="1188"/>
      <c r="F73" s="1188"/>
      <c r="G73" s="1188"/>
      <c r="H73" s="1188"/>
      <c r="I73" s="1188"/>
      <c r="J73" s="1188"/>
      <c r="K73" s="1188"/>
      <c r="L73" s="1188"/>
      <c r="M73" s="1188"/>
      <c r="N73" s="1188"/>
      <c r="P73" s="1058"/>
    </row>
    <row r="74" spans="1:20">
      <c r="E74" s="1188"/>
      <c r="F74" s="1188"/>
      <c r="G74" s="1188"/>
      <c r="H74" s="1188"/>
      <c r="I74" s="1188"/>
      <c r="J74" s="1188"/>
      <c r="K74" s="1188"/>
      <c r="L74" s="1188"/>
      <c r="M74" s="1188"/>
      <c r="N74" s="1188"/>
    </row>
    <row r="75" spans="1:20">
      <c r="E75" s="1188"/>
      <c r="F75" s="1188"/>
      <c r="G75" s="1188"/>
      <c r="H75" s="1188"/>
      <c r="I75" s="1188"/>
      <c r="J75" s="1188"/>
      <c r="K75" s="1188"/>
      <c r="L75" s="1188"/>
      <c r="M75" s="1188"/>
      <c r="N75" s="1188"/>
    </row>
    <row r="76" spans="1:20">
      <c r="E76" s="1188"/>
      <c r="F76" s="1188"/>
      <c r="G76" s="1188"/>
      <c r="H76" s="1188"/>
      <c r="I76" s="1188"/>
      <c r="J76" s="1188"/>
      <c r="K76" s="1188"/>
      <c r="L76" s="1188"/>
      <c r="M76" s="1188"/>
      <c r="N76" s="1188"/>
    </row>
    <row r="77" spans="1:20">
      <c r="E77" s="1188"/>
      <c r="F77" s="1188"/>
      <c r="G77" s="1188"/>
      <c r="H77" s="1188"/>
      <c r="I77" s="1188"/>
      <c r="J77" s="1188"/>
      <c r="K77" s="1188"/>
      <c r="L77" s="1188"/>
      <c r="M77" s="1188"/>
      <c r="N77" s="1188"/>
    </row>
    <row r="78" spans="1:20">
      <c r="A78" s="1189" t="s">
        <v>1209</v>
      </c>
      <c r="B78" s="995"/>
      <c r="C78" s="995"/>
      <c r="D78" s="995"/>
      <c r="E78" s="995">
        <v>2009</v>
      </c>
      <c r="F78" s="995">
        <f>E78+1</f>
        <v>2010</v>
      </c>
      <c r="G78" s="995">
        <f t="shared" ref="G78:T78" si="45">F78+1</f>
        <v>2011</v>
      </c>
      <c r="H78" s="995">
        <f t="shared" si="45"/>
        <v>2012</v>
      </c>
      <c r="I78" s="995">
        <f t="shared" si="45"/>
        <v>2013</v>
      </c>
      <c r="J78" s="995">
        <f t="shared" si="45"/>
        <v>2014</v>
      </c>
      <c r="K78" s="995">
        <f t="shared" si="45"/>
        <v>2015</v>
      </c>
      <c r="L78" s="995">
        <f t="shared" si="45"/>
        <v>2016</v>
      </c>
      <c r="M78" s="995">
        <f t="shared" si="45"/>
        <v>2017</v>
      </c>
      <c r="N78" s="995">
        <f t="shared" si="45"/>
        <v>2018</v>
      </c>
      <c r="O78" s="995">
        <f t="shared" si="45"/>
        <v>2019</v>
      </c>
      <c r="P78" s="995">
        <f t="shared" si="45"/>
        <v>2020</v>
      </c>
      <c r="Q78" s="995">
        <f>P78+1</f>
        <v>2021</v>
      </c>
      <c r="R78" s="995">
        <f>Q78+1</f>
        <v>2022</v>
      </c>
      <c r="S78" s="995">
        <f t="shared" si="45"/>
        <v>2023</v>
      </c>
      <c r="T78" s="995">
        <f t="shared" si="45"/>
        <v>2024</v>
      </c>
    </row>
    <row r="79" spans="1:20">
      <c r="A79" s="1190" t="s">
        <v>1210</v>
      </c>
      <c r="B79" s="955" t="s">
        <v>1211</v>
      </c>
      <c r="E79" s="1181">
        <v>4066</v>
      </c>
      <c r="F79" s="1181">
        <v>4702</v>
      </c>
      <c r="G79" s="1181">
        <v>5088</v>
      </c>
      <c r="H79" s="1181">
        <v>5337</v>
      </c>
      <c r="I79" s="1181">
        <v>6051</v>
      </c>
      <c r="J79" s="1181">
        <v>6178</v>
      </c>
      <c r="K79" s="1181">
        <v>6235</v>
      </c>
      <c r="L79" s="1181">
        <v>6235</v>
      </c>
      <c r="M79" s="1181">
        <v>6235</v>
      </c>
      <c r="N79" s="1181">
        <v>6235</v>
      </c>
      <c r="O79" s="1181">
        <v>6235</v>
      </c>
      <c r="P79" s="1181">
        <v>6235</v>
      </c>
      <c r="Q79" s="1181">
        <v>6235</v>
      </c>
      <c r="R79" s="1181">
        <v>6235</v>
      </c>
      <c r="S79" s="1181">
        <v>6235</v>
      </c>
      <c r="T79" s="1181">
        <v>6235</v>
      </c>
    </row>
    <row r="80" spans="1:20">
      <c r="A80" s="1190"/>
      <c r="B80" s="955" t="s">
        <v>1212</v>
      </c>
      <c r="E80" s="1181">
        <v>1752.7103899999997</v>
      </c>
      <c r="F80" s="1181">
        <v>1870.7597819999996</v>
      </c>
      <c r="G80" s="1181">
        <v>1959.730094</v>
      </c>
      <c r="H80" s="1181">
        <v>2004.8828660000001</v>
      </c>
      <c r="I80" s="1181">
        <v>2172.0302980000001</v>
      </c>
      <c r="J80" s="1181">
        <v>1935.0150300000003</v>
      </c>
      <c r="K80" s="1181">
        <v>1959.801146</v>
      </c>
      <c r="L80" s="1181">
        <v>1949.801146</v>
      </c>
      <c r="M80" s="1181">
        <v>1959.801146</v>
      </c>
      <c r="N80" s="1181">
        <v>1949.801146</v>
      </c>
      <c r="O80" s="1181">
        <v>1959.801146</v>
      </c>
      <c r="P80" s="1181">
        <v>1949.801146</v>
      </c>
      <c r="Q80" s="1181">
        <v>1959.801146</v>
      </c>
      <c r="R80" s="1181">
        <v>1949.801146</v>
      </c>
      <c r="S80" s="1181">
        <v>1959.801146</v>
      </c>
      <c r="T80" s="1181">
        <v>1949.801146</v>
      </c>
    </row>
    <row r="81" spans="1:20">
      <c r="A81" s="1189"/>
      <c r="B81" s="995" t="s">
        <v>1213</v>
      </c>
      <c r="C81" s="995"/>
      <c r="D81" s="995"/>
      <c r="E81" s="1191">
        <v>1574.4823487743802</v>
      </c>
      <c r="F81" s="1191">
        <v>1669.7687817420144</v>
      </c>
      <c r="G81" s="1191">
        <v>2015.4371555375935</v>
      </c>
      <c r="H81" s="1191">
        <v>2354.2439765465715</v>
      </c>
      <c r="I81" s="1191">
        <v>2807.4873499358223</v>
      </c>
      <c r="J81" s="1191">
        <v>2942.8996210897117</v>
      </c>
      <c r="K81" s="1191">
        <v>3098.6643832035129</v>
      </c>
      <c r="L81" s="1191">
        <v>4953.1578957134716</v>
      </c>
      <c r="M81" s="1191">
        <v>5143.7202927530643</v>
      </c>
      <c r="N81" s="1191">
        <v>5065.8437310273976</v>
      </c>
      <c r="O81" s="1191">
        <v>5492.4247897902605</v>
      </c>
      <c r="P81" s="1191">
        <v>5110.5925418511242</v>
      </c>
      <c r="Q81" s="1191">
        <v>5168.500189394138</v>
      </c>
      <c r="R81" s="1191">
        <v>5016.9589947057802</v>
      </c>
      <c r="S81" s="1191">
        <v>5012.750879349981</v>
      </c>
      <c r="T81" s="1191">
        <v>4963.12387179694</v>
      </c>
    </row>
    <row r="82" spans="1:20">
      <c r="A82" s="1190" t="s">
        <v>1214</v>
      </c>
      <c r="B82" s="955" t="s">
        <v>1215</v>
      </c>
      <c r="E82" s="1181">
        <v>5647.5206324110677</v>
      </c>
      <c r="F82" s="1181">
        <v>3452.5501637312254</v>
      </c>
      <c r="G82" s="1181">
        <v>2175.8115415019765</v>
      </c>
      <c r="H82" s="1192">
        <v>6282.6194466403167</v>
      </c>
      <c r="I82" s="1192">
        <v>1404.5293280632413</v>
      </c>
      <c r="J82" s="1192">
        <v>126.20584980237155</v>
      </c>
      <c r="K82" s="1192">
        <v>0</v>
      </c>
      <c r="L82" s="1192">
        <v>1478.7008055652173</v>
      </c>
      <c r="M82" s="1192">
        <v>129.26418972332016</v>
      </c>
      <c r="N82" s="1192">
        <v>2074.0760135335968</v>
      </c>
      <c r="O82" s="1192">
        <v>154.84079051383401</v>
      </c>
      <c r="P82" s="1192">
        <v>932.58327120948616</v>
      </c>
      <c r="Q82" s="1181">
        <v>126.20584980237155</v>
      </c>
      <c r="R82" s="1181">
        <v>202.93565217391307</v>
      </c>
      <c r="S82" s="1181">
        <v>150.85660079051385</v>
      </c>
      <c r="T82" s="1181">
        <v>1504.2774063557313</v>
      </c>
    </row>
    <row r="83" spans="1:20">
      <c r="A83" s="1189"/>
      <c r="B83" s="995" t="s">
        <v>1197</v>
      </c>
      <c r="C83" s="995"/>
      <c r="D83" s="995"/>
      <c r="E83" s="1191">
        <v>0</v>
      </c>
      <c r="F83" s="1191">
        <v>0</v>
      </c>
      <c r="G83" s="1191">
        <v>0</v>
      </c>
      <c r="H83" s="1193">
        <v>0</v>
      </c>
      <c r="I83" s="1193">
        <v>324.47000000000003</v>
      </c>
      <c r="J83" s="1193">
        <v>0</v>
      </c>
      <c r="K83" s="1193">
        <v>0</v>
      </c>
      <c r="L83" s="1193">
        <v>0</v>
      </c>
      <c r="M83" s="1193">
        <v>0</v>
      </c>
      <c r="N83" s="1193">
        <v>324.47000000000003</v>
      </c>
      <c r="O83" s="1193">
        <v>0</v>
      </c>
      <c r="P83" s="1193">
        <v>0</v>
      </c>
      <c r="Q83" s="1191">
        <v>0</v>
      </c>
      <c r="R83" s="1191">
        <v>0</v>
      </c>
      <c r="S83" s="1191">
        <v>324.47000000000003</v>
      </c>
      <c r="T83" s="1191">
        <v>0</v>
      </c>
    </row>
    <row r="84" spans="1:20">
      <c r="A84" s="1194" t="s">
        <v>1216</v>
      </c>
      <c r="B84" s="995"/>
      <c r="E84" s="997"/>
      <c r="F84" s="997"/>
      <c r="G84" s="997"/>
      <c r="H84" s="1195"/>
      <c r="I84" s="1195"/>
      <c r="J84" s="1195"/>
      <c r="K84" s="1195"/>
      <c r="L84" s="1195"/>
      <c r="M84" s="1195"/>
      <c r="N84" s="1195"/>
      <c r="O84" s="1195"/>
      <c r="P84" s="1195"/>
      <c r="Q84" s="997"/>
      <c r="R84" s="997"/>
      <c r="S84" s="997"/>
      <c r="T84" s="997"/>
    </row>
    <row r="85" spans="1:20">
      <c r="A85" s="1190" t="s">
        <v>1210</v>
      </c>
      <c r="B85" s="955" t="s">
        <v>1211</v>
      </c>
      <c r="C85" s="1181"/>
      <c r="D85" s="1181"/>
      <c r="E85" s="1181">
        <f t="shared" ref="E85:P87" si="46">(D79*D$25/D$27)+(E79*E$26/E$27)</f>
        <v>2049.709589041096</v>
      </c>
      <c r="F85" s="1181">
        <f t="shared" si="46"/>
        <v>4386.6136986301372</v>
      </c>
      <c r="G85" s="1181">
        <f t="shared" si="46"/>
        <v>4896.5863013698636</v>
      </c>
      <c r="H85" s="1192">
        <f t="shared" si="46"/>
        <v>5206.1723781720193</v>
      </c>
      <c r="I85" s="1192">
        <f t="shared" si="46"/>
        <v>5704.2851560745567</v>
      </c>
      <c r="J85" s="1192">
        <f t="shared" si="46"/>
        <v>6115.0219178082189</v>
      </c>
      <c r="K85" s="1192">
        <f t="shared" si="46"/>
        <v>6206.7342465753427</v>
      </c>
      <c r="L85" s="1192">
        <f t="shared" si="46"/>
        <v>6226.4122314544502</v>
      </c>
      <c r="M85" s="1192">
        <f t="shared" si="46"/>
        <v>6243.5877685455498</v>
      </c>
      <c r="N85" s="1192">
        <f t="shared" si="46"/>
        <v>6235</v>
      </c>
      <c r="O85" s="1192">
        <f t="shared" si="46"/>
        <v>6235</v>
      </c>
      <c r="P85" s="1192">
        <f t="shared" si="46"/>
        <v>6226.4122314544502</v>
      </c>
      <c r="Q85" s="1181">
        <f>(P79*P$25/P$27)+(Q79*Q$26/Q$27)</f>
        <v>6243.5877685455498</v>
      </c>
      <c r="R85" s="1181">
        <f t="shared" ref="R85:T87" si="47">(Q79*Q$25/Q$27)+(R79*R$26/R$27)</f>
        <v>6235</v>
      </c>
      <c r="S85" s="1181">
        <f t="shared" si="47"/>
        <v>6235</v>
      </c>
      <c r="T85" s="1181">
        <f t="shared" si="47"/>
        <v>3091.8767123287671</v>
      </c>
    </row>
    <row r="86" spans="1:20">
      <c r="A86" s="1190"/>
      <c r="B86" s="955" t="s">
        <v>1212</v>
      </c>
      <c r="E86" s="1181">
        <f t="shared" si="46"/>
        <v>883.55811441095886</v>
      </c>
      <c r="F86" s="1181">
        <f t="shared" si="46"/>
        <v>1812.220220487671</v>
      </c>
      <c r="G86" s="1181">
        <f t="shared" si="46"/>
        <v>1915.6105694191779</v>
      </c>
      <c r="H86" s="1192">
        <f t="shared" si="46"/>
        <v>1979.7306167204433</v>
      </c>
      <c r="I86" s="1192">
        <f t="shared" si="46"/>
        <v>2091.9049118713378</v>
      </c>
      <c r="J86" s="1192">
        <f t="shared" si="46"/>
        <v>2052.5486286520554</v>
      </c>
      <c r="K86" s="1192">
        <f t="shared" si="46"/>
        <v>1947.509948750685</v>
      </c>
      <c r="L86" s="1192">
        <f t="shared" si="46"/>
        <v>1952.0744942231904</v>
      </c>
      <c r="M86" s="1192">
        <f t="shared" si="46"/>
        <v>1957.5277977768096</v>
      </c>
      <c r="N86" s="1192">
        <f t="shared" si="46"/>
        <v>1954.760050109589</v>
      </c>
      <c r="O86" s="1192">
        <f t="shared" si="46"/>
        <v>1954.8422418904111</v>
      </c>
      <c r="P86" s="1192">
        <f t="shared" si="46"/>
        <v>1952.0744942231904</v>
      </c>
      <c r="Q86" s="1181">
        <f>(P80*P$25/P$27)+(Q80*Q$26/Q$27)</f>
        <v>1957.5277977768096</v>
      </c>
      <c r="R86" s="1181">
        <f t="shared" si="47"/>
        <v>1954.760050109589</v>
      </c>
      <c r="S86" s="1181">
        <f t="shared" si="47"/>
        <v>1954.8422418904111</v>
      </c>
      <c r="T86" s="1181">
        <f t="shared" si="47"/>
        <v>971.84659568767131</v>
      </c>
    </row>
    <row r="87" spans="1:20">
      <c r="A87" s="1189"/>
      <c r="B87" s="995" t="s">
        <v>1213</v>
      </c>
      <c r="E87" s="1191">
        <f t="shared" si="46"/>
        <v>793.7116497931122</v>
      </c>
      <c r="F87" s="1191">
        <f t="shared" si="46"/>
        <v>1622.5171533388861</v>
      </c>
      <c r="G87" s="1191">
        <f t="shared" si="46"/>
        <v>1844.0235236006079</v>
      </c>
      <c r="H87" s="1193">
        <f t="shared" si="46"/>
        <v>2182.9903081863249</v>
      </c>
      <c r="I87" s="1193">
        <f t="shared" si="46"/>
        <v>2585.970921895851</v>
      </c>
      <c r="J87" s="1193">
        <f t="shared" si="46"/>
        <v>2875.7499742983309</v>
      </c>
      <c r="K87" s="1193">
        <f t="shared" si="46"/>
        <v>3021.4221313059843</v>
      </c>
      <c r="L87" s="1193">
        <f t="shared" si="46"/>
        <v>4026.7101205615436</v>
      </c>
      <c r="M87" s="1193">
        <f t="shared" si="46"/>
        <v>5056.0444524845298</v>
      </c>
      <c r="N87" s="1193">
        <f t="shared" si="46"/>
        <v>5104.4619712256044</v>
      </c>
      <c r="O87" s="1193">
        <f t="shared" si="46"/>
        <v>5280.8873332530602</v>
      </c>
      <c r="P87" s="1193">
        <f t="shared" si="46"/>
        <v>5292.9004246962122</v>
      </c>
      <c r="Q87" s="1191">
        <f>(P81*P$25/P$27)+(Q81*Q$26/Q$27)</f>
        <v>5146.8234097591812</v>
      </c>
      <c r="R87" s="1191">
        <f t="shared" si="47"/>
        <v>5092.1068200169939</v>
      </c>
      <c r="S87" s="1191">
        <f t="shared" si="47"/>
        <v>5014.8376434031306</v>
      </c>
      <c r="T87" s="1191">
        <f t="shared" si="47"/>
        <v>2485.77509359547</v>
      </c>
    </row>
    <row r="88" spans="1:20">
      <c r="A88" s="1190" t="s">
        <v>1214</v>
      </c>
      <c r="B88" s="955" t="s">
        <v>1215</v>
      </c>
      <c r="E88" s="1181">
        <f>(D82*E$25/D$27)+(E82*E$26/E$27)</f>
        <v>2846.9693051058534</v>
      </c>
      <c r="F88" s="1181">
        <f t="shared" ref="F88:T89" si="48">(E82*F$25/E$27)+(F82*F$26/F$27)</f>
        <v>4541.0149714875306</v>
      </c>
      <c r="G88" s="1181">
        <f t="shared" si="48"/>
        <v>2808.9339815663434</v>
      </c>
      <c r="H88" s="1192">
        <f t="shared" si="48"/>
        <v>4243.4005572190536</v>
      </c>
      <c r="I88" s="1192">
        <f t="shared" si="48"/>
        <v>3815.0151718795078</v>
      </c>
      <c r="J88" s="1192">
        <f t="shared" si="48"/>
        <v>760.11420477556999</v>
      </c>
      <c r="K88" s="1192">
        <f t="shared" si="48"/>
        <v>62.584270723915758</v>
      </c>
      <c r="L88" s="1192">
        <f t="shared" si="48"/>
        <v>743.39056891803273</v>
      </c>
      <c r="M88" s="1192">
        <f t="shared" si="48"/>
        <v>796.43338807091357</v>
      </c>
      <c r="N88" s="1192">
        <f t="shared" si="48"/>
        <v>1109.662478986583</v>
      </c>
      <c r="O88" s="1192">
        <f t="shared" si="48"/>
        <v>1106.5711339839083</v>
      </c>
      <c r="P88" s="1192">
        <f t="shared" si="48"/>
        <v>546.04796191433945</v>
      </c>
      <c r="Q88" s="1181">
        <f t="shared" si="48"/>
        <v>524.81713123396662</v>
      </c>
      <c r="R88" s="1181">
        <f t="shared" si="48"/>
        <v>164.88607894309385</v>
      </c>
      <c r="S88" s="1181">
        <f t="shared" si="48"/>
        <v>176.68210298337755</v>
      </c>
      <c r="T88" s="1181">
        <f t="shared" si="48"/>
        <v>75.221647517461705</v>
      </c>
    </row>
    <row r="89" spans="1:20">
      <c r="A89" s="1189"/>
      <c r="B89" s="995" t="s">
        <v>1197</v>
      </c>
      <c r="E89" s="1191">
        <f>(D83*E$25/D$27)+(E83*E$26/E$27)</f>
        <v>0</v>
      </c>
      <c r="F89" s="1191">
        <f t="shared" si="48"/>
        <v>0</v>
      </c>
      <c r="G89" s="1191">
        <f t="shared" si="48"/>
        <v>0</v>
      </c>
      <c r="H89" s="1193">
        <f t="shared" si="48"/>
        <v>0</v>
      </c>
      <c r="I89" s="1193">
        <f t="shared" si="48"/>
        <v>163.56843835616439</v>
      </c>
      <c r="J89" s="1193">
        <f t="shared" si="48"/>
        <v>160.90156164383563</v>
      </c>
      <c r="K89" s="1193">
        <f t="shared" si="48"/>
        <v>0</v>
      </c>
      <c r="L89" s="1193">
        <f t="shared" si="48"/>
        <v>0</v>
      </c>
      <c r="M89" s="1193">
        <f t="shared" si="48"/>
        <v>0</v>
      </c>
      <c r="N89" s="1193">
        <f t="shared" si="48"/>
        <v>163.56843835616439</v>
      </c>
      <c r="O89" s="1193">
        <f t="shared" si="48"/>
        <v>160.90156164383563</v>
      </c>
      <c r="P89" s="1193">
        <f t="shared" si="48"/>
        <v>0</v>
      </c>
      <c r="Q89" s="1191">
        <f t="shared" si="48"/>
        <v>0</v>
      </c>
      <c r="R89" s="1191">
        <f t="shared" si="48"/>
        <v>0</v>
      </c>
      <c r="S89" s="1191">
        <f t="shared" si="48"/>
        <v>163.56843835616439</v>
      </c>
      <c r="T89" s="1191">
        <f t="shared" si="48"/>
        <v>161.79052054794522</v>
      </c>
    </row>
    <row r="90" spans="1:20">
      <c r="A90" s="1194" t="s">
        <v>1217</v>
      </c>
      <c r="B90" s="995"/>
      <c r="E90" s="997"/>
      <c r="F90" s="997"/>
      <c r="G90" s="997"/>
      <c r="H90" s="1195"/>
      <c r="I90" s="1195"/>
      <c r="J90" s="1195"/>
      <c r="K90" s="1195"/>
      <c r="L90" s="1195"/>
      <c r="M90" s="1195"/>
      <c r="N90" s="1195"/>
      <c r="O90" s="1195"/>
      <c r="P90" s="1195"/>
      <c r="Q90" s="997"/>
      <c r="R90" s="997"/>
      <c r="S90" s="997"/>
      <c r="T90" s="997"/>
    </row>
    <row r="91" spans="1:20">
      <c r="A91" s="1190" t="s">
        <v>1210</v>
      </c>
      <c r="B91" s="955" t="s">
        <v>1211</v>
      </c>
      <c r="C91" s="1181"/>
      <c r="D91" s="1181"/>
      <c r="E91" s="1181">
        <f>E85*D$4</f>
        <v>2615.0194936986304</v>
      </c>
      <c r="F91" s="1181">
        <f t="shared" ref="F91:T91" si="49">F85*E$4</f>
        <v>5656.0997030136996</v>
      </c>
      <c r="G91" s="1181">
        <f t="shared" si="49"/>
        <v>6505.1149013698641</v>
      </c>
      <c r="H91" s="1192">
        <f t="shared" si="49"/>
        <v>7203.7807196766225</v>
      </c>
      <c r="I91" s="1192">
        <f t="shared" si="49"/>
        <v>8005.9642165506402</v>
      </c>
      <c r="J91" s="1192">
        <f t="shared" si="49"/>
        <v>8680.2736123287668</v>
      </c>
      <c r="K91" s="1192">
        <f t="shared" si="49"/>
        <v>8883.6987271232883</v>
      </c>
      <c r="L91" s="1192">
        <f t="shared" si="49"/>
        <v>9012.7317050303172</v>
      </c>
      <c r="M91" s="1192">
        <f t="shared" si="49"/>
        <v>9158.0945389026128</v>
      </c>
      <c r="N91" s="1192">
        <f t="shared" si="49"/>
        <v>9274.5625</v>
      </c>
      <c r="O91" s="1192">
        <f t="shared" si="49"/>
        <v>9397.3919999999998</v>
      </c>
      <c r="P91" s="1192">
        <f t="shared" si="49"/>
        <v>9453.5616910172921</v>
      </c>
      <c r="Q91" s="1181">
        <f t="shared" si="49"/>
        <v>9528.9636523542176</v>
      </c>
      <c r="R91" s="1181">
        <f t="shared" ca="1" si="49"/>
        <v>9658.5948549999994</v>
      </c>
      <c r="S91" s="1181">
        <f t="shared" ca="1" si="49"/>
        <v>9803.4737778249983</v>
      </c>
      <c r="T91" s="1181">
        <f t="shared" ca="1" si="49"/>
        <v>4934.3703701181348</v>
      </c>
    </row>
    <row r="92" spans="1:20">
      <c r="A92" s="1190"/>
      <c r="B92" s="955" t="s">
        <v>1212</v>
      </c>
      <c r="E92" s="1181">
        <f t="shared" ref="E92:T95" si="50">E86*D$4</f>
        <v>1127.2434423655013</v>
      </c>
      <c r="F92" s="1181">
        <f t="shared" si="50"/>
        <v>2336.676752296803</v>
      </c>
      <c r="G92" s="1181">
        <f t="shared" si="50"/>
        <v>2544.8886414733779</v>
      </c>
      <c r="H92" s="1192">
        <f t="shared" si="50"/>
        <v>2739.3532543560773</v>
      </c>
      <c r="I92" s="1192">
        <f t="shared" si="50"/>
        <v>2935.9885438114225</v>
      </c>
      <c r="J92" s="1192">
        <f t="shared" si="50"/>
        <v>2913.5927783715924</v>
      </c>
      <c r="K92" s="1192">
        <f t="shared" si="50"/>
        <v>2787.4709896468553</v>
      </c>
      <c r="L92" s="1192">
        <f t="shared" si="50"/>
        <v>2825.6278303880681</v>
      </c>
      <c r="M92" s="1192">
        <f t="shared" si="50"/>
        <v>2871.3017737790246</v>
      </c>
      <c r="N92" s="1192">
        <f t="shared" si="50"/>
        <v>2907.7055745380135</v>
      </c>
      <c r="O92" s="1192">
        <f t="shared" si="50"/>
        <v>2946.3382269772278</v>
      </c>
      <c r="P92" s="1192">
        <f t="shared" si="50"/>
        <v>2963.8347045790701</v>
      </c>
      <c r="Q92" s="1181">
        <f t="shared" si="50"/>
        <v>2987.578924966967</v>
      </c>
      <c r="R92" s="1181">
        <f t="shared" ca="1" si="50"/>
        <v>3028.1051103044133</v>
      </c>
      <c r="S92" s="1181">
        <f t="shared" ca="1" si="50"/>
        <v>3073.655919511993</v>
      </c>
      <c r="T92" s="1181">
        <f t="shared" ca="1" si="50"/>
        <v>1550.9839143778613</v>
      </c>
    </row>
    <row r="93" spans="1:20">
      <c r="A93" s="1189"/>
      <c r="B93" s="995" t="s">
        <v>1213</v>
      </c>
      <c r="E93" s="1191">
        <f t="shared" si="50"/>
        <v>1012.6173228060526</v>
      </c>
      <c r="F93" s="1191">
        <f t="shared" si="50"/>
        <v>2092.0736175151601</v>
      </c>
      <c r="G93" s="1191">
        <f t="shared" si="50"/>
        <v>2449.7852511034075</v>
      </c>
      <c r="H93" s="1193">
        <f t="shared" si="50"/>
        <v>3020.6036894374174</v>
      </c>
      <c r="I93" s="1193">
        <f t="shared" si="50"/>
        <v>3629.4101888808268</v>
      </c>
      <c r="J93" s="1193">
        <f t="shared" si="50"/>
        <v>4082.1270885164809</v>
      </c>
      <c r="K93" s="1193">
        <f t="shared" si="50"/>
        <v>4324.5614965382556</v>
      </c>
      <c r="L93" s="1193">
        <f t="shared" si="50"/>
        <v>5828.662899512834</v>
      </c>
      <c r="M93" s="1193">
        <f t="shared" si="50"/>
        <v>7416.2060029043087</v>
      </c>
      <c r="N93" s="1193">
        <f t="shared" si="50"/>
        <v>7592.8871821980865</v>
      </c>
      <c r="O93" s="1193">
        <f t="shared" si="50"/>
        <v>7959.3533886790128</v>
      </c>
      <c r="P93" s="1193">
        <f t="shared" si="50"/>
        <v>8036.2107148162586</v>
      </c>
      <c r="Q93" s="1191">
        <f t="shared" si="50"/>
        <v>7855.081887974462</v>
      </c>
      <c r="R93" s="1191">
        <f t="shared" ca="1" si="50"/>
        <v>7888.1470301405843</v>
      </c>
      <c r="S93" s="1191">
        <f t="shared" ca="1" si="50"/>
        <v>7884.9766378752684</v>
      </c>
      <c r="T93" s="1191">
        <f t="shared" ca="1" si="50"/>
        <v>3967.0841077543178</v>
      </c>
    </row>
    <row r="94" spans="1:20">
      <c r="A94" s="1190" t="s">
        <v>1214</v>
      </c>
      <c r="B94" s="955" t="s">
        <v>1215</v>
      </c>
      <c r="E94" s="1181">
        <f t="shared" si="50"/>
        <v>3632.1634394540479</v>
      </c>
      <c r="F94" s="1181">
        <f t="shared" si="50"/>
        <v>5855.1847042360223</v>
      </c>
      <c r="G94" s="1181">
        <f t="shared" si="50"/>
        <v>3731.6687945108874</v>
      </c>
      <c r="H94" s="1181">
        <f t="shared" si="50"/>
        <v>5871.5933510240038</v>
      </c>
      <c r="I94" s="1181">
        <f t="shared" si="50"/>
        <v>5354.3737937328888</v>
      </c>
      <c r="J94" s="1181">
        <f t="shared" si="50"/>
        <v>1078.9821136789217</v>
      </c>
      <c r="K94" s="1181">
        <f t="shared" si="50"/>
        <v>89.576866687140623</v>
      </c>
      <c r="L94" s="1181">
        <f t="shared" si="50"/>
        <v>1076.0578485088524</v>
      </c>
      <c r="M94" s="1181">
        <f t="shared" si="50"/>
        <v>1168.2084936224162</v>
      </c>
      <c r="N94" s="1181">
        <f t="shared" si="50"/>
        <v>1650.6229374925422</v>
      </c>
      <c r="O94" s="1181">
        <f t="shared" si="50"/>
        <v>1667.8240131405469</v>
      </c>
      <c r="P94" s="1181">
        <f t="shared" si="50"/>
        <v>829.06462057454155</v>
      </c>
      <c r="Q94" s="1181">
        <f t="shared" si="50"/>
        <v>800.9759056892799</v>
      </c>
      <c r="R94" s="1181">
        <f t="shared" ca="1" si="50"/>
        <v>255.42387068819406</v>
      </c>
      <c r="S94" s="1181">
        <f t="shared" ca="1" si="50"/>
        <v>277.80246409118166</v>
      </c>
      <c r="T94" s="1181">
        <f t="shared" ca="1" si="50"/>
        <v>120.04730564501428</v>
      </c>
    </row>
    <row r="95" spans="1:20">
      <c r="A95" s="1189"/>
      <c r="B95" s="995" t="s">
        <v>1197</v>
      </c>
      <c r="E95" s="1191">
        <f t="shared" si="50"/>
        <v>0</v>
      </c>
      <c r="F95" s="1191">
        <f t="shared" si="50"/>
        <v>0</v>
      </c>
      <c r="G95" s="1191">
        <f t="shared" si="50"/>
        <v>0</v>
      </c>
      <c r="H95" s="1191">
        <f t="shared" si="50"/>
        <v>0</v>
      </c>
      <c r="I95" s="1191">
        <f t="shared" si="50"/>
        <v>229.56830323287673</v>
      </c>
      <c r="J95" s="1191">
        <f t="shared" si="50"/>
        <v>228.39976675342467</v>
      </c>
      <c r="K95" s="1191">
        <f t="shared" si="50"/>
        <v>0</v>
      </c>
      <c r="L95" s="1191">
        <f t="shared" si="50"/>
        <v>0</v>
      </c>
      <c r="M95" s="1191">
        <f t="shared" si="50"/>
        <v>0</v>
      </c>
      <c r="N95" s="1191">
        <f t="shared" si="50"/>
        <v>243.30805205479453</v>
      </c>
      <c r="O95" s="1191">
        <f t="shared" si="50"/>
        <v>242.51083370958909</v>
      </c>
      <c r="P95" s="1191">
        <f t="shared" si="50"/>
        <v>0</v>
      </c>
      <c r="Q95" s="1191">
        <f t="shared" si="50"/>
        <v>0</v>
      </c>
      <c r="R95" s="1191">
        <f t="shared" ca="1" si="50"/>
        <v>0</v>
      </c>
      <c r="S95" s="1191">
        <f t="shared" ca="1" si="50"/>
        <v>257.18346372164268</v>
      </c>
      <c r="T95" s="1191">
        <f t="shared" ca="1" si="50"/>
        <v>258.20381115923396</v>
      </c>
    </row>
    <row r="98" spans="5:6">
      <c r="E98" s="1181">
        <v>329130901</v>
      </c>
      <c r="F98" s="1181">
        <f>E98/1000000</f>
        <v>329.13090099999999</v>
      </c>
    </row>
    <row r="99" spans="5:6">
      <c r="E99" s="1181">
        <v>1052323386</v>
      </c>
      <c r="F99" s="1181">
        <f t="shared" ref="F99:F109" si="51">E99/1000000</f>
        <v>1052.323386</v>
      </c>
    </row>
    <row r="100" spans="5:6">
      <c r="E100" s="1181">
        <v>2072055914</v>
      </c>
      <c r="F100" s="1181">
        <f t="shared" si="51"/>
        <v>2072.055914</v>
      </c>
    </row>
    <row r="101" spans="5:6">
      <c r="E101" s="1181">
        <v>2364296615</v>
      </c>
      <c r="F101" s="1181">
        <f t="shared" si="51"/>
        <v>2364.2966150000002</v>
      </c>
    </row>
    <row r="102" spans="5:6">
      <c r="E102" s="1181">
        <v>682798261</v>
      </c>
      <c r="F102" s="1181">
        <f t="shared" si="51"/>
        <v>682.79826100000002</v>
      </c>
    </row>
    <row r="103" spans="5:6">
      <c r="E103" s="1181">
        <v>6598715592</v>
      </c>
      <c r="F103" s="1181">
        <f t="shared" si="51"/>
        <v>6598.7155919999996</v>
      </c>
    </row>
    <row r="104" spans="5:6">
      <c r="E104" s="1181">
        <v>20842488366</v>
      </c>
      <c r="F104" s="1181">
        <f t="shared" si="51"/>
        <v>20842.488366000001</v>
      </c>
    </row>
    <row r="105" spans="5:6">
      <c r="E105" s="1181">
        <v>19766892974</v>
      </c>
      <c r="F105" s="1181">
        <f t="shared" si="51"/>
        <v>19766.892973999999</v>
      </c>
    </row>
    <row r="106" spans="5:6">
      <c r="E106" s="1181">
        <v>17296398015.080002</v>
      </c>
      <c r="F106" s="1181">
        <f t="shared" si="51"/>
        <v>17296.398015080002</v>
      </c>
    </row>
    <row r="107" spans="5:6">
      <c r="E107" s="1181">
        <v>13656974478.239998</v>
      </c>
      <c r="F107" s="1181">
        <f t="shared" si="51"/>
        <v>13656.974478239998</v>
      </c>
    </row>
    <row r="108" spans="5:6">
      <c r="E108" s="1181">
        <v>9342573019.672884</v>
      </c>
      <c r="F108" s="1181">
        <f t="shared" si="51"/>
        <v>9342.5730196728837</v>
      </c>
    </row>
    <row r="109" spans="5:6">
      <c r="E109" s="1181">
        <v>9063582387.3885059</v>
      </c>
      <c r="F109" s="1181">
        <f t="shared" si="51"/>
        <v>9063.5823873885056</v>
      </c>
    </row>
    <row r="110" spans="5:6">
      <c r="E110" s="1188">
        <f>SUM(E98:E109)</f>
        <v>103068229909.38139</v>
      </c>
      <c r="F110" s="1181">
        <f>SUM(F98:F109)</f>
        <v>103068.22990938139</v>
      </c>
    </row>
  </sheetData>
  <mergeCells count="2">
    <mergeCell ref="A1:M1"/>
    <mergeCell ref="A3:B3"/>
  </mergeCells>
  <phoneticPr fontId="12" type="noConversion"/>
  <pageMargins left="0.31496062992125984" right="0.31496062992125984" top="0.74803149606299213" bottom="0.74803149606299213" header="0.31496062992125984" footer="0.31496062992125984"/>
  <pageSetup paperSize="9" scale="53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9FF5A-A3F2-4935-AEAE-0C2B5CAE266E}">
  <sheetPr codeName="Sheet3"/>
  <dimension ref="A1:XBG41"/>
  <sheetViews>
    <sheetView showGridLines="0" zoomScaleNormal="100" workbookViewId="0">
      <selection activeCell="P9" sqref="P9"/>
    </sheetView>
  </sheetViews>
  <sheetFormatPr defaultColWidth="0" defaultRowHeight="17.100000000000001" customHeight="1" outlineLevelRow="1"/>
  <cols>
    <col min="1" max="2" width="2" style="302" customWidth="1"/>
    <col min="3" max="3" width="17.33203125" style="302" customWidth="1"/>
    <col min="4" max="4" width="8.33203125" style="302" customWidth="1"/>
    <col min="5" max="6" width="7.6640625" style="302" customWidth="1"/>
    <col min="7" max="7" width="0.6640625" style="302" customWidth="1"/>
    <col min="8" max="171" width="7.109375" style="302" customWidth="1"/>
    <col min="172" max="187" width="7.109375" style="302" hidden="1" customWidth="1"/>
    <col min="188" max="275" width="9.33203125" hidden="1"/>
    <col min="276" max="277" width="2" hidden="1"/>
    <col min="278" max="278" width="26.5546875" hidden="1"/>
    <col min="279" max="279" width="8.88671875" hidden="1"/>
    <col min="280" max="411" width="7.109375" hidden="1"/>
    <col min="412" max="531" width="9.33203125" hidden="1"/>
    <col min="532" max="533" width="2" hidden="1"/>
    <col min="534" max="534" width="26.5546875" hidden="1"/>
    <col min="535" max="535" width="8.88671875" hidden="1"/>
    <col min="536" max="667" width="7.109375" hidden="1"/>
    <col min="668" max="787" width="9.33203125" hidden="1"/>
    <col min="788" max="789" width="2" hidden="1"/>
    <col min="790" max="790" width="26.5546875" hidden="1"/>
    <col min="791" max="791" width="8.88671875" hidden="1"/>
    <col min="792" max="923" width="7.109375" hidden="1"/>
    <col min="924" max="1043" width="9.33203125" hidden="1"/>
    <col min="1044" max="1045" width="2" hidden="1"/>
    <col min="1046" max="1046" width="26.5546875" hidden="1"/>
    <col min="1047" max="1047" width="8.88671875" hidden="1"/>
    <col min="1048" max="1179" width="7.109375" hidden="1"/>
    <col min="1180" max="1299" width="9.33203125" hidden="1"/>
    <col min="1300" max="1301" width="2" hidden="1"/>
    <col min="1302" max="1302" width="26.5546875" hidden="1"/>
    <col min="1303" max="1303" width="8.88671875" hidden="1"/>
    <col min="1304" max="1435" width="7.109375" hidden="1"/>
    <col min="1436" max="1555" width="9.33203125" hidden="1"/>
    <col min="1556" max="1557" width="2" hidden="1"/>
    <col min="1558" max="1558" width="26.5546875" hidden="1"/>
    <col min="1559" max="1559" width="8.88671875" hidden="1"/>
    <col min="1560" max="1691" width="7.109375" hidden="1"/>
    <col min="1692" max="1811" width="9.33203125" hidden="1"/>
    <col min="1812" max="1813" width="2" hidden="1"/>
    <col min="1814" max="1814" width="26.5546875" hidden="1"/>
    <col min="1815" max="1815" width="8.88671875" hidden="1"/>
    <col min="1816" max="1947" width="7.109375" hidden="1"/>
    <col min="1948" max="2067" width="9.33203125" hidden="1"/>
    <col min="2068" max="2069" width="2" hidden="1"/>
    <col min="2070" max="2070" width="26.5546875" hidden="1"/>
    <col min="2071" max="2071" width="8.88671875" hidden="1"/>
    <col min="2072" max="2203" width="7.109375" hidden="1"/>
    <col min="2204" max="2323" width="9.33203125" hidden="1"/>
    <col min="2324" max="2325" width="2" hidden="1"/>
    <col min="2326" max="2326" width="26.5546875" hidden="1"/>
    <col min="2327" max="2327" width="8.88671875" hidden="1"/>
    <col min="2328" max="2459" width="7.109375" hidden="1"/>
    <col min="2460" max="2579" width="9.33203125" hidden="1"/>
    <col min="2580" max="2581" width="2" hidden="1"/>
    <col min="2582" max="2582" width="26.5546875" hidden="1"/>
    <col min="2583" max="2583" width="8.88671875" hidden="1"/>
    <col min="2584" max="2715" width="7.109375" hidden="1"/>
    <col min="2716" max="2835" width="9.33203125" hidden="1"/>
    <col min="2836" max="2837" width="2" hidden="1"/>
    <col min="2838" max="2838" width="26.5546875" hidden="1"/>
    <col min="2839" max="2839" width="8.88671875" hidden="1"/>
    <col min="2840" max="2971" width="7.109375" hidden="1"/>
    <col min="2972" max="3091" width="9.33203125" hidden="1"/>
    <col min="3092" max="3093" width="2" hidden="1"/>
    <col min="3094" max="3094" width="26.5546875" hidden="1"/>
    <col min="3095" max="3095" width="8.88671875" hidden="1"/>
    <col min="3096" max="3227" width="7.109375" hidden="1"/>
    <col min="3228" max="3347" width="9.33203125" hidden="1"/>
    <col min="3348" max="3349" width="2" hidden="1"/>
    <col min="3350" max="3350" width="26.5546875" hidden="1"/>
    <col min="3351" max="3351" width="8.88671875" hidden="1"/>
    <col min="3352" max="3483" width="7.109375" hidden="1"/>
    <col min="3484" max="3603" width="9.33203125" hidden="1"/>
    <col min="3604" max="3605" width="2" hidden="1"/>
    <col min="3606" max="3606" width="26.5546875" hidden="1"/>
    <col min="3607" max="3607" width="8.88671875" hidden="1"/>
    <col min="3608" max="3739" width="7.109375" hidden="1"/>
    <col min="3740" max="3859" width="9.33203125" hidden="1"/>
    <col min="3860" max="3861" width="2" hidden="1"/>
    <col min="3862" max="3862" width="26.5546875" hidden="1"/>
    <col min="3863" max="3863" width="8.88671875" hidden="1"/>
    <col min="3864" max="3995" width="7.109375" hidden="1"/>
    <col min="3996" max="4115" width="9.33203125" hidden="1"/>
    <col min="4116" max="4117" width="2" hidden="1"/>
    <col min="4118" max="4118" width="26.5546875" hidden="1"/>
    <col min="4119" max="4119" width="8.88671875" hidden="1"/>
    <col min="4120" max="4251" width="7.109375" hidden="1"/>
    <col min="4252" max="4371" width="9.33203125" hidden="1"/>
    <col min="4372" max="4373" width="2" hidden="1"/>
    <col min="4374" max="4374" width="26.5546875" hidden="1"/>
    <col min="4375" max="4375" width="8.88671875" hidden="1"/>
    <col min="4376" max="4507" width="7.109375" hidden="1"/>
    <col min="4508" max="4627" width="9.33203125" hidden="1"/>
    <col min="4628" max="4629" width="2" hidden="1"/>
    <col min="4630" max="4630" width="26.5546875" hidden="1"/>
    <col min="4631" max="4631" width="8.88671875" hidden="1"/>
    <col min="4632" max="4763" width="7.109375" hidden="1"/>
    <col min="4764" max="4883" width="9.33203125" hidden="1"/>
    <col min="4884" max="4885" width="2" hidden="1"/>
    <col min="4886" max="4886" width="26.5546875" hidden="1"/>
    <col min="4887" max="4887" width="8.88671875" hidden="1"/>
    <col min="4888" max="5019" width="7.109375" hidden="1"/>
    <col min="5020" max="5139" width="9.33203125" hidden="1"/>
    <col min="5140" max="5141" width="2" hidden="1"/>
    <col min="5142" max="5142" width="26.5546875" hidden="1"/>
    <col min="5143" max="5143" width="8.88671875" hidden="1"/>
    <col min="5144" max="5275" width="7.109375" hidden="1"/>
    <col min="5276" max="5395" width="9.33203125" hidden="1"/>
    <col min="5396" max="5397" width="2" hidden="1"/>
    <col min="5398" max="5398" width="26.5546875" hidden="1"/>
    <col min="5399" max="5399" width="8.88671875" hidden="1"/>
    <col min="5400" max="5531" width="7.109375" hidden="1"/>
    <col min="5532" max="5651" width="9.33203125" hidden="1"/>
    <col min="5652" max="5653" width="2" hidden="1"/>
    <col min="5654" max="5654" width="26.5546875" hidden="1"/>
    <col min="5655" max="5655" width="8.88671875" hidden="1"/>
    <col min="5656" max="5787" width="7.109375" hidden="1"/>
    <col min="5788" max="5907" width="9.33203125" hidden="1"/>
    <col min="5908" max="5909" width="2" hidden="1"/>
    <col min="5910" max="5910" width="26.5546875" hidden="1"/>
    <col min="5911" max="5911" width="8.88671875" hidden="1"/>
    <col min="5912" max="6043" width="7.109375" hidden="1"/>
    <col min="6044" max="6163" width="9.33203125" hidden="1"/>
    <col min="6164" max="6165" width="2" hidden="1"/>
    <col min="6166" max="6166" width="26.5546875" hidden="1"/>
    <col min="6167" max="6167" width="8.88671875" hidden="1"/>
    <col min="6168" max="6299" width="7.109375" hidden="1"/>
    <col min="6300" max="6419" width="9.33203125" hidden="1"/>
    <col min="6420" max="6421" width="2" hidden="1"/>
    <col min="6422" max="6422" width="26.5546875" hidden="1"/>
    <col min="6423" max="6423" width="8.88671875" hidden="1"/>
    <col min="6424" max="6555" width="7.109375" hidden="1"/>
    <col min="6556" max="6675" width="9.33203125" hidden="1"/>
    <col min="6676" max="6677" width="2" hidden="1"/>
    <col min="6678" max="6678" width="26.5546875" hidden="1"/>
    <col min="6679" max="6679" width="8.88671875" hidden="1"/>
    <col min="6680" max="6811" width="7.109375" hidden="1"/>
    <col min="6812" max="6931" width="9.33203125" hidden="1"/>
    <col min="6932" max="6933" width="2" hidden="1"/>
    <col min="6934" max="6934" width="26.5546875" hidden="1"/>
    <col min="6935" max="6935" width="8.88671875" hidden="1"/>
    <col min="6936" max="7067" width="7.109375" hidden="1"/>
    <col min="7068" max="7187" width="9.33203125" hidden="1"/>
    <col min="7188" max="7189" width="2" hidden="1"/>
    <col min="7190" max="7190" width="26.5546875" hidden="1"/>
    <col min="7191" max="7191" width="8.88671875" hidden="1"/>
    <col min="7192" max="7323" width="7.109375" hidden="1"/>
    <col min="7324" max="7443" width="9.33203125" hidden="1"/>
    <col min="7444" max="7445" width="2" hidden="1"/>
    <col min="7446" max="7446" width="26.5546875" hidden="1"/>
    <col min="7447" max="7447" width="8.88671875" hidden="1"/>
    <col min="7448" max="7579" width="7.109375" hidden="1"/>
    <col min="7580" max="7699" width="9.33203125" hidden="1"/>
    <col min="7700" max="7701" width="2" hidden="1"/>
    <col min="7702" max="7702" width="26.5546875" hidden="1"/>
    <col min="7703" max="7703" width="8.88671875" hidden="1"/>
    <col min="7704" max="7835" width="7.109375" hidden="1"/>
    <col min="7836" max="7955" width="9.33203125" hidden="1"/>
    <col min="7956" max="7957" width="2" hidden="1"/>
    <col min="7958" max="7958" width="26.5546875" hidden="1"/>
    <col min="7959" max="7959" width="8.88671875" hidden="1"/>
    <col min="7960" max="8091" width="7.109375" hidden="1"/>
    <col min="8092" max="8211" width="9.33203125" hidden="1"/>
    <col min="8212" max="8213" width="2" hidden="1"/>
    <col min="8214" max="8214" width="26.5546875" hidden="1"/>
    <col min="8215" max="8215" width="8.88671875" hidden="1"/>
    <col min="8216" max="8347" width="7.109375" hidden="1"/>
    <col min="8348" max="8467" width="9.33203125" hidden="1"/>
    <col min="8468" max="8469" width="2" hidden="1"/>
    <col min="8470" max="8470" width="26.5546875" hidden="1"/>
    <col min="8471" max="8471" width="8.88671875" hidden="1"/>
    <col min="8472" max="8603" width="7.109375" hidden="1"/>
    <col min="8604" max="8723" width="9.33203125" hidden="1"/>
    <col min="8724" max="8725" width="2" hidden="1"/>
    <col min="8726" max="8726" width="26.5546875" hidden="1"/>
    <col min="8727" max="8727" width="8.88671875" hidden="1"/>
    <col min="8728" max="8859" width="7.109375" hidden="1"/>
    <col min="8860" max="8979" width="9.33203125" hidden="1"/>
    <col min="8980" max="8981" width="2" hidden="1"/>
    <col min="8982" max="8982" width="26.5546875" hidden="1"/>
    <col min="8983" max="8983" width="8.88671875" hidden="1"/>
    <col min="8984" max="9115" width="7.109375" hidden="1"/>
    <col min="9116" max="9235" width="9.33203125" hidden="1"/>
    <col min="9236" max="9237" width="2" hidden="1"/>
    <col min="9238" max="9238" width="26.5546875" hidden="1"/>
    <col min="9239" max="9239" width="8.88671875" hidden="1"/>
    <col min="9240" max="9371" width="7.109375" hidden="1"/>
    <col min="9372" max="9491" width="9.33203125" hidden="1"/>
    <col min="9492" max="9493" width="2" hidden="1"/>
    <col min="9494" max="9494" width="26.5546875" hidden="1"/>
    <col min="9495" max="9495" width="8.88671875" hidden="1"/>
    <col min="9496" max="9627" width="7.109375" hidden="1"/>
    <col min="9628" max="9747" width="9.33203125" hidden="1"/>
    <col min="9748" max="9749" width="2" hidden="1"/>
    <col min="9750" max="9750" width="26.5546875" hidden="1"/>
    <col min="9751" max="9751" width="8.88671875" hidden="1"/>
    <col min="9752" max="9883" width="7.109375" hidden="1"/>
    <col min="9884" max="10003" width="9.33203125" hidden="1"/>
    <col min="10004" max="10005" width="2" hidden="1"/>
    <col min="10006" max="10006" width="26.5546875" hidden="1"/>
    <col min="10007" max="10007" width="8.88671875" hidden="1"/>
    <col min="10008" max="10139" width="7.109375" hidden="1"/>
    <col min="10140" max="10259" width="9.33203125" hidden="1"/>
    <col min="10260" max="10261" width="2" hidden="1"/>
    <col min="10262" max="10262" width="26.5546875" hidden="1"/>
    <col min="10263" max="10263" width="8.88671875" hidden="1"/>
    <col min="10264" max="10395" width="7.109375" hidden="1"/>
    <col min="10396" max="10515" width="9.33203125" hidden="1"/>
    <col min="10516" max="10517" width="2" hidden="1"/>
    <col min="10518" max="10518" width="26.5546875" hidden="1"/>
    <col min="10519" max="10519" width="8.88671875" hidden="1"/>
    <col min="10520" max="10651" width="7.109375" hidden="1"/>
    <col min="10652" max="10771" width="9.33203125" hidden="1"/>
    <col min="10772" max="10773" width="2" hidden="1"/>
    <col min="10774" max="10774" width="26.5546875" hidden="1"/>
    <col min="10775" max="10775" width="8.88671875" hidden="1"/>
    <col min="10776" max="10907" width="7.109375" hidden="1"/>
    <col min="10908" max="11027" width="9.33203125" hidden="1"/>
    <col min="11028" max="11029" width="2" hidden="1"/>
    <col min="11030" max="11030" width="26.5546875" hidden="1"/>
    <col min="11031" max="11031" width="8.88671875" hidden="1"/>
    <col min="11032" max="11163" width="7.109375" hidden="1"/>
    <col min="11164" max="11283" width="9.33203125" hidden="1"/>
    <col min="11284" max="11285" width="2" hidden="1"/>
    <col min="11286" max="11286" width="26.5546875" hidden="1"/>
    <col min="11287" max="11287" width="8.88671875" hidden="1"/>
    <col min="11288" max="11419" width="7.109375" hidden="1"/>
    <col min="11420" max="11539" width="9.33203125" hidden="1"/>
    <col min="11540" max="11541" width="2" hidden="1"/>
    <col min="11542" max="11542" width="26.5546875" hidden="1"/>
    <col min="11543" max="11543" width="8.88671875" hidden="1"/>
    <col min="11544" max="11675" width="7.109375" hidden="1"/>
    <col min="11676" max="11795" width="9.33203125" hidden="1"/>
    <col min="11796" max="11797" width="2" hidden="1"/>
    <col min="11798" max="11798" width="26.5546875" hidden="1"/>
    <col min="11799" max="11799" width="8.88671875" hidden="1"/>
    <col min="11800" max="11931" width="7.109375" hidden="1"/>
    <col min="11932" max="12051" width="9.33203125" hidden="1"/>
    <col min="12052" max="12053" width="2" hidden="1"/>
    <col min="12054" max="12054" width="26.5546875" hidden="1"/>
    <col min="12055" max="12055" width="8.88671875" hidden="1"/>
    <col min="12056" max="12187" width="7.109375" hidden="1"/>
    <col min="12188" max="12307" width="9.33203125" hidden="1"/>
    <col min="12308" max="12309" width="2" hidden="1"/>
    <col min="12310" max="12310" width="26.5546875" hidden="1"/>
    <col min="12311" max="12311" width="8.88671875" hidden="1"/>
    <col min="12312" max="12443" width="7.109375" hidden="1"/>
    <col min="12444" max="12563" width="9.33203125" hidden="1"/>
    <col min="12564" max="12565" width="2" hidden="1"/>
    <col min="12566" max="12566" width="26.5546875" hidden="1"/>
    <col min="12567" max="12567" width="8.88671875" hidden="1"/>
    <col min="12568" max="12699" width="7.109375" hidden="1"/>
    <col min="12700" max="12819" width="9.33203125" hidden="1"/>
    <col min="12820" max="12821" width="2" hidden="1"/>
    <col min="12822" max="12822" width="26.5546875" hidden="1"/>
    <col min="12823" max="12823" width="8.88671875" hidden="1"/>
    <col min="12824" max="12955" width="7.109375" hidden="1"/>
    <col min="12956" max="13075" width="9.33203125" hidden="1"/>
    <col min="13076" max="13077" width="2" hidden="1"/>
    <col min="13078" max="13078" width="26.5546875" hidden="1"/>
    <col min="13079" max="13079" width="8.88671875" hidden="1"/>
    <col min="13080" max="13211" width="7.109375" hidden="1"/>
    <col min="13212" max="13331" width="9.33203125" hidden="1"/>
    <col min="13332" max="13333" width="2" hidden="1"/>
    <col min="13334" max="13334" width="26.5546875" hidden="1"/>
    <col min="13335" max="13335" width="8.88671875" hidden="1"/>
    <col min="13336" max="13467" width="7.109375" hidden="1"/>
    <col min="13468" max="13587" width="9.33203125" hidden="1"/>
    <col min="13588" max="13589" width="2" hidden="1"/>
    <col min="13590" max="13590" width="26.5546875" hidden="1"/>
    <col min="13591" max="13591" width="8.88671875" hidden="1"/>
    <col min="13592" max="13723" width="7.109375" hidden="1"/>
    <col min="13724" max="13843" width="9.33203125" hidden="1"/>
    <col min="13844" max="13845" width="2" hidden="1"/>
    <col min="13846" max="13846" width="26.5546875" hidden="1"/>
    <col min="13847" max="13847" width="8.88671875" hidden="1"/>
    <col min="13848" max="13979" width="7.109375" hidden="1"/>
    <col min="13980" max="14099" width="9.33203125" hidden="1"/>
    <col min="14100" max="14101" width="2" hidden="1"/>
    <col min="14102" max="14102" width="26.5546875" hidden="1"/>
    <col min="14103" max="14103" width="8.88671875" hidden="1"/>
    <col min="14104" max="14235" width="7.109375" hidden="1"/>
    <col min="14236" max="14355" width="9.33203125" hidden="1"/>
    <col min="14356" max="14357" width="2" hidden="1"/>
    <col min="14358" max="14358" width="26.5546875" hidden="1"/>
    <col min="14359" max="14359" width="8.88671875" hidden="1"/>
    <col min="14360" max="14491" width="7.109375" hidden="1"/>
    <col min="14492" max="14611" width="9.33203125" hidden="1"/>
    <col min="14612" max="14613" width="2" hidden="1"/>
    <col min="14614" max="14614" width="26.5546875" hidden="1"/>
    <col min="14615" max="14615" width="8.88671875" hidden="1"/>
    <col min="14616" max="14747" width="7.109375" hidden="1"/>
    <col min="14748" max="14867" width="9.33203125" hidden="1"/>
    <col min="14868" max="14869" width="2" hidden="1"/>
    <col min="14870" max="14870" width="26.5546875" hidden="1"/>
    <col min="14871" max="14871" width="8.88671875" hidden="1"/>
    <col min="14872" max="15003" width="7.109375" hidden="1"/>
    <col min="15004" max="15123" width="9.33203125" hidden="1"/>
    <col min="15124" max="15125" width="2" hidden="1"/>
    <col min="15126" max="15126" width="26.5546875" hidden="1"/>
    <col min="15127" max="15127" width="8.88671875" hidden="1"/>
    <col min="15128" max="15259" width="7.109375" hidden="1"/>
    <col min="15260" max="15379" width="9.33203125" hidden="1"/>
    <col min="15380" max="15381" width="2" hidden="1"/>
    <col min="15382" max="15382" width="26.5546875" hidden="1"/>
    <col min="15383" max="15383" width="8.88671875" hidden="1"/>
    <col min="15384" max="15515" width="7.109375" hidden="1"/>
    <col min="15516" max="15635" width="9.33203125" hidden="1"/>
    <col min="15636" max="15637" width="2" hidden="1"/>
    <col min="15638" max="15638" width="26.5546875" hidden="1"/>
    <col min="15639" max="15639" width="8.88671875" hidden="1"/>
    <col min="15640" max="15771" width="7.109375" hidden="1"/>
    <col min="15772" max="15891" width="9.33203125" hidden="1"/>
    <col min="15892" max="15893" width="2" hidden="1"/>
    <col min="15894" max="15894" width="26.5546875" hidden="1"/>
    <col min="15895" max="15895" width="8.88671875" hidden="1"/>
    <col min="15896" max="16027" width="7.109375" hidden="1"/>
    <col min="16028" max="16147" width="9.33203125" hidden="1"/>
    <col min="16148" max="16149" width="2" hidden="1"/>
    <col min="16150" max="16150" width="26.5546875" hidden="1"/>
    <col min="16151" max="16151" width="8.88671875" hidden="1"/>
    <col min="16152" max="16283" width="7.109375" hidden="1"/>
    <col min="16284" max="16384" width="9.33203125" hidden="1"/>
  </cols>
  <sheetData>
    <row r="1" spans="1:187" ht="10.9" customHeight="1"/>
    <row r="2" spans="1:187" ht="17.100000000000001" customHeight="1">
      <c r="A2" s="633"/>
      <c r="B2" s="634" t="s">
        <v>1218</v>
      </c>
      <c r="C2" s="635"/>
      <c r="D2" s="635"/>
      <c r="E2" s="635"/>
      <c r="F2" s="635"/>
      <c r="G2" s="635"/>
      <c r="H2" s="635"/>
      <c r="I2" s="635"/>
      <c r="J2" s="635"/>
      <c r="K2" s="635"/>
      <c r="L2" s="635"/>
      <c r="M2" s="635"/>
      <c r="N2" s="635"/>
      <c r="O2" s="635"/>
      <c r="P2" s="635"/>
      <c r="Q2" s="635"/>
      <c r="R2" s="635"/>
      <c r="S2" s="635"/>
      <c r="T2" s="635"/>
      <c r="U2" s="635"/>
      <c r="V2" s="635"/>
      <c r="W2" s="635"/>
      <c r="X2" s="635"/>
      <c r="Y2" s="635"/>
      <c r="Z2" s="635"/>
      <c r="AA2" s="635"/>
      <c r="AB2" s="635"/>
      <c r="AC2" s="635"/>
      <c r="AD2" s="635"/>
      <c r="AE2" s="635"/>
      <c r="AF2" s="635"/>
      <c r="AG2" s="635"/>
      <c r="AH2" s="635"/>
      <c r="AI2" s="635"/>
      <c r="AJ2" s="635"/>
      <c r="AK2" s="635"/>
      <c r="AL2" s="635"/>
      <c r="AM2" s="635"/>
      <c r="AN2" s="635"/>
      <c r="AO2" s="635"/>
      <c r="AP2" s="635"/>
      <c r="AQ2" s="635"/>
      <c r="AR2" s="635"/>
      <c r="AS2" s="635"/>
      <c r="AT2" s="635"/>
      <c r="AU2" s="635"/>
      <c r="AV2" s="635"/>
      <c r="AW2" s="635"/>
      <c r="AX2" s="635"/>
      <c r="AY2" s="635"/>
      <c r="AZ2" s="635"/>
      <c r="BA2" s="635"/>
      <c r="BB2" s="635"/>
      <c r="BC2" s="635"/>
      <c r="BD2" s="635"/>
      <c r="BE2" s="635"/>
      <c r="BF2" s="635"/>
      <c r="BG2" s="635"/>
      <c r="BH2" s="635"/>
      <c r="BI2" s="635"/>
      <c r="BJ2" s="635"/>
      <c r="BK2" s="635"/>
      <c r="BL2" s="635"/>
      <c r="BM2" s="635"/>
      <c r="BN2" s="635"/>
      <c r="BO2" s="635"/>
      <c r="BP2" s="635"/>
      <c r="BQ2" s="635"/>
      <c r="BR2" s="635"/>
      <c r="BS2" s="635"/>
      <c r="BT2" s="635"/>
      <c r="BU2" s="635"/>
      <c r="BV2" s="635"/>
      <c r="BW2" s="635"/>
      <c r="BX2" s="635"/>
      <c r="BY2" s="635"/>
      <c r="BZ2" s="635"/>
      <c r="CA2" s="635"/>
      <c r="CB2" s="635"/>
      <c r="CC2" s="635"/>
      <c r="CD2" s="635"/>
      <c r="CE2" s="635"/>
      <c r="CF2" s="635"/>
      <c r="CG2" s="635"/>
      <c r="CH2" s="635"/>
      <c r="CI2" s="635"/>
      <c r="CJ2" s="635"/>
      <c r="CK2" s="635"/>
      <c r="CL2" s="635"/>
      <c r="CM2" s="635"/>
      <c r="CN2" s="635"/>
      <c r="CO2" s="635"/>
      <c r="CP2" s="635"/>
      <c r="CQ2" s="635"/>
      <c r="CR2" s="635"/>
      <c r="CS2" s="635"/>
      <c r="CT2" s="635"/>
      <c r="CU2" s="635"/>
      <c r="CV2" s="635"/>
      <c r="CW2" s="635"/>
      <c r="CX2" s="635"/>
      <c r="CY2" s="635"/>
      <c r="CZ2" s="635"/>
      <c r="DA2" s="635"/>
      <c r="DB2" s="635"/>
      <c r="DC2" s="635"/>
      <c r="DD2" s="635"/>
      <c r="DE2" s="635"/>
      <c r="DF2" s="635"/>
      <c r="DG2" s="635"/>
      <c r="DH2" s="635"/>
      <c r="DI2" s="635"/>
      <c r="DJ2" s="635"/>
      <c r="DK2" s="635"/>
      <c r="DL2" s="635"/>
      <c r="DM2" s="635"/>
      <c r="DN2" s="635"/>
      <c r="DO2" s="635"/>
      <c r="DP2" s="635"/>
      <c r="DQ2" s="635"/>
      <c r="DR2" s="635"/>
      <c r="DS2" s="635"/>
      <c r="DT2" s="635"/>
      <c r="DU2" s="635"/>
      <c r="DV2" s="635"/>
      <c r="DW2" s="635"/>
      <c r="DX2" s="635"/>
      <c r="DY2" s="635"/>
      <c r="DZ2" s="635"/>
      <c r="EA2" s="635"/>
      <c r="EB2" s="635"/>
      <c r="EC2" s="635"/>
      <c r="ED2" s="635"/>
      <c r="EE2" s="635"/>
      <c r="EF2" s="635"/>
      <c r="EG2" s="635"/>
      <c r="EH2" s="635"/>
      <c r="EI2" s="635"/>
      <c r="EJ2" s="635"/>
      <c r="EK2" s="635"/>
      <c r="EL2" s="635"/>
      <c r="EM2" s="635"/>
      <c r="EN2" s="635"/>
      <c r="EO2" s="635"/>
      <c r="EP2" s="635"/>
      <c r="EQ2" s="635"/>
      <c r="ER2" s="635"/>
      <c r="ES2" s="635"/>
      <c r="ET2" s="635"/>
      <c r="EU2" s="635"/>
      <c r="EV2" s="635"/>
      <c r="EW2" s="635"/>
      <c r="EX2" s="635"/>
      <c r="EY2" s="635"/>
      <c r="EZ2" s="635"/>
      <c r="FA2" s="635"/>
      <c r="FB2" s="635"/>
      <c r="FC2" s="635"/>
      <c r="FD2" s="635"/>
      <c r="FE2" s="635"/>
      <c r="FF2" s="635"/>
      <c r="FG2" s="635"/>
      <c r="FH2" s="635"/>
      <c r="FI2" s="635"/>
      <c r="FJ2" s="635"/>
      <c r="FK2" s="635"/>
      <c r="FL2" s="635"/>
      <c r="FM2" s="635"/>
      <c r="FN2" s="635"/>
      <c r="FO2" s="635"/>
      <c r="FP2" s="635"/>
      <c r="FQ2" s="635"/>
      <c r="FR2" s="635"/>
      <c r="FS2" s="635"/>
      <c r="FT2" s="635"/>
      <c r="FU2" s="635"/>
      <c r="FV2" s="635"/>
      <c r="FW2" s="635"/>
      <c r="FX2" s="635"/>
      <c r="FY2" s="635"/>
      <c r="FZ2" s="635"/>
      <c r="GA2" s="635"/>
      <c r="GB2" s="635"/>
      <c r="GC2" s="635"/>
      <c r="GD2" s="635"/>
      <c r="GE2" s="635"/>
    </row>
    <row r="3" spans="1:187" ht="17.100000000000001" customHeight="1" outlineLevel="1">
      <c r="B3" s="5575" t="s">
        <v>1219</v>
      </c>
      <c r="C3" s="5576"/>
      <c r="D3" s="5577"/>
      <c r="E3" s="5581" t="s">
        <v>208</v>
      </c>
      <c r="F3" s="5583" t="s">
        <v>5100</v>
      </c>
      <c r="H3" s="4933">
        <f>YEAR(H4)</f>
        <v>2019</v>
      </c>
      <c r="I3" s="4933">
        <f t="shared" ref="I3:BT3" si="0">YEAR(I4)</f>
        <v>2019</v>
      </c>
      <c r="J3" s="4933">
        <f t="shared" si="0"/>
        <v>2019</v>
      </c>
      <c r="K3" s="4933">
        <f t="shared" si="0"/>
        <v>2019</v>
      </c>
      <c r="L3" s="4933">
        <f t="shared" si="0"/>
        <v>2020</v>
      </c>
      <c r="M3" s="4933">
        <f t="shared" si="0"/>
        <v>2020</v>
      </c>
      <c r="N3" s="4933">
        <f t="shared" si="0"/>
        <v>2020</v>
      </c>
      <c r="O3" s="4933">
        <f t="shared" si="0"/>
        <v>2020</v>
      </c>
      <c r="P3" s="4933">
        <f t="shared" si="0"/>
        <v>2021</v>
      </c>
      <c r="Q3" s="4933">
        <f t="shared" si="0"/>
        <v>2021</v>
      </c>
      <c r="R3" s="4933">
        <f t="shared" si="0"/>
        <v>2021</v>
      </c>
      <c r="S3" s="4933">
        <f t="shared" si="0"/>
        <v>2021</v>
      </c>
      <c r="T3" s="4933">
        <f t="shared" si="0"/>
        <v>2022</v>
      </c>
      <c r="U3" s="4933">
        <f t="shared" si="0"/>
        <v>2022</v>
      </c>
      <c r="V3" s="4933">
        <f t="shared" si="0"/>
        <v>2022</v>
      </c>
      <c r="W3" s="4933">
        <f t="shared" si="0"/>
        <v>2022</v>
      </c>
      <c r="X3" s="4933">
        <f t="shared" si="0"/>
        <v>2023</v>
      </c>
      <c r="Y3" s="4933">
        <f t="shared" si="0"/>
        <v>2023</v>
      </c>
      <c r="Z3" s="4933">
        <f t="shared" si="0"/>
        <v>2023</v>
      </c>
      <c r="AA3" s="4933">
        <f t="shared" si="0"/>
        <v>2023</v>
      </c>
      <c r="AB3" s="4933">
        <f t="shared" si="0"/>
        <v>2024</v>
      </c>
      <c r="AC3" s="4933">
        <f t="shared" si="0"/>
        <v>2024</v>
      </c>
      <c r="AD3" s="4933">
        <f t="shared" si="0"/>
        <v>2024</v>
      </c>
      <c r="AE3" s="4933">
        <f t="shared" si="0"/>
        <v>2024</v>
      </c>
      <c r="AF3" s="4933">
        <f t="shared" si="0"/>
        <v>2025</v>
      </c>
      <c r="AG3" s="4933">
        <f t="shared" si="0"/>
        <v>2025</v>
      </c>
      <c r="AH3" s="4933">
        <f t="shared" si="0"/>
        <v>2025</v>
      </c>
      <c r="AI3" s="4933">
        <f t="shared" si="0"/>
        <v>2025</v>
      </c>
      <c r="AJ3" s="4933">
        <f t="shared" si="0"/>
        <v>2026</v>
      </c>
      <c r="AK3" s="4933">
        <f t="shared" si="0"/>
        <v>2026</v>
      </c>
      <c r="AL3" s="4933">
        <f t="shared" si="0"/>
        <v>2026</v>
      </c>
      <c r="AM3" s="4933">
        <f t="shared" si="0"/>
        <v>2026</v>
      </c>
      <c r="AN3" s="4933">
        <f t="shared" si="0"/>
        <v>2027</v>
      </c>
      <c r="AO3" s="4933">
        <f t="shared" si="0"/>
        <v>2027</v>
      </c>
      <c r="AP3" s="4933">
        <f t="shared" si="0"/>
        <v>2027</v>
      </c>
      <c r="AQ3" s="4933">
        <f t="shared" si="0"/>
        <v>2027</v>
      </c>
      <c r="AR3" s="4933">
        <f t="shared" si="0"/>
        <v>2028</v>
      </c>
      <c r="AS3" s="4933">
        <f t="shared" si="0"/>
        <v>2028</v>
      </c>
      <c r="AT3" s="4933">
        <f t="shared" si="0"/>
        <v>2028</v>
      </c>
      <c r="AU3" s="4933">
        <f t="shared" si="0"/>
        <v>2028</v>
      </c>
      <c r="AV3" s="4933">
        <f t="shared" si="0"/>
        <v>2029</v>
      </c>
      <c r="AW3" s="4933">
        <f t="shared" si="0"/>
        <v>2029</v>
      </c>
      <c r="AX3" s="4933">
        <f t="shared" si="0"/>
        <v>2029</v>
      </c>
      <c r="AY3" s="4933">
        <f t="shared" si="0"/>
        <v>2029</v>
      </c>
      <c r="AZ3" s="4933">
        <f t="shared" si="0"/>
        <v>2030</v>
      </c>
      <c r="BA3" s="4933">
        <f t="shared" si="0"/>
        <v>2030</v>
      </c>
      <c r="BB3" s="4933">
        <f t="shared" si="0"/>
        <v>2030</v>
      </c>
      <c r="BC3" s="4933">
        <f t="shared" si="0"/>
        <v>2030</v>
      </c>
      <c r="BD3" s="4933">
        <f t="shared" si="0"/>
        <v>2031</v>
      </c>
      <c r="BE3" s="4933">
        <f t="shared" si="0"/>
        <v>2031</v>
      </c>
      <c r="BF3" s="4933">
        <f t="shared" si="0"/>
        <v>2031</v>
      </c>
      <c r="BG3" s="4933">
        <f t="shared" si="0"/>
        <v>2031</v>
      </c>
      <c r="BH3" s="4933">
        <f t="shared" si="0"/>
        <v>2032</v>
      </c>
      <c r="BI3" s="4933">
        <f t="shared" si="0"/>
        <v>2032</v>
      </c>
      <c r="BJ3" s="4933">
        <f t="shared" si="0"/>
        <v>2032</v>
      </c>
      <c r="BK3" s="4933">
        <f t="shared" si="0"/>
        <v>2032</v>
      </c>
      <c r="BL3" s="4933">
        <f t="shared" si="0"/>
        <v>2033</v>
      </c>
      <c r="BM3" s="4933">
        <f t="shared" si="0"/>
        <v>2033</v>
      </c>
      <c r="BN3" s="4933">
        <f t="shared" si="0"/>
        <v>2033</v>
      </c>
      <c r="BO3" s="4933">
        <f t="shared" si="0"/>
        <v>2033</v>
      </c>
      <c r="BP3" s="4933">
        <f t="shared" si="0"/>
        <v>2034</v>
      </c>
      <c r="BQ3" s="4933">
        <f t="shared" si="0"/>
        <v>2034</v>
      </c>
      <c r="BR3" s="4933">
        <f t="shared" si="0"/>
        <v>2034</v>
      </c>
      <c r="BS3" s="4933">
        <f t="shared" si="0"/>
        <v>2034</v>
      </c>
      <c r="BT3" s="4933">
        <f t="shared" si="0"/>
        <v>2035</v>
      </c>
      <c r="BU3" s="4933">
        <f t="shared" ref="BU3:EF3" si="1">YEAR(BU4)</f>
        <v>2035</v>
      </c>
      <c r="BV3" s="4933">
        <f t="shared" si="1"/>
        <v>2035</v>
      </c>
      <c r="BW3" s="4933">
        <f t="shared" si="1"/>
        <v>2035</v>
      </c>
      <c r="BX3" s="4933">
        <f t="shared" si="1"/>
        <v>2036</v>
      </c>
      <c r="BY3" s="4933">
        <f t="shared" si="1"/>
        <v>2036</v>
      </c>
      <c r="BZ3" s="4933">
        <f t="shared" si="1"/>
        <v>2036</v>
      </c>
      <c r="CA3" s="4933">
        <f t="shared" si="1"/>
        <v>2036</v>
      </c>
      <c r="CB3" s="4933">
        <f t="shared" si="1"/>
        <v>2037</v>
      </c>
      <c r="CC3" s="4933">
        <f t="shared" si="1"/>
        <v>2037</v>
      </c>
      <c r="CD3" s="4933">
        <f t="shared" si="1"/>
        <v>2037</v>
      </c>
      <c r="CE3" s="4933">
        <f t="shared" si="1"/>
        <v>2037</v>
      </c>
      <c r="CF3" s="4933">
        <f t="shared" si="1"/>
        <v>2038</v>
      </c>
      <c r="CG3" s="4933">
        <f t="shared" si="1"/>
        <v>2038</v>
      </c>
      <c r="CH3" s="4933">
        <f t="shared" si="1"/>
        <v>2038</v>
      </c>
      <c r="CI3" s="4933">
        <f t="shared" si="1"/>
        <v>2038</v>
      </c>
      <c r="CJ3" s="4933">
        <f t="shared" si="1"/>
        <v>2039</v>
      </c>
      <c r="CK3" s="4933">
        <f t="shared" si="1"/>
        <v>2039</v>
      </c>
      <c r="CL3" s="4933">
        <f t="shared" si="1"/>
        <v>2039</v>
      </c>
      <c r="CM3" s="4933">
        <f t="shared" si="1"/>
        <v>2039</v>
      </c>
      <c r="CN3" s="4933">
        <f t="shared" si="1"/>
        <v>2040</v>
      </c>
      <c r="CO3" s="4933">
        <f t="shared" si="1"/>
        <v>2040</v>
      </c>
      <c r="CP3" s="4933">
        <f t="shared" si="1"/>
        <v>2040</v>
      </c>
      <c r="CQ3" s="4933">
        <f t="shared" si="1"/>
        <v>2040</v>
      </c>
      <c r="CR3" s="4933">
        <f t="shared" si="1"/>
        <v>2041</v>
      </c>
      <c r="CS3" s="4933">
        <f t="shared" si="1"/>
        <v>2041</v>
      </c>
      <c r="CT3" s="4933">
        <f t="shared" si="1"/>
        <v>2041</v>
      </c>
      <c r="CU3" s="4933">
        <f t="shared" si="1"/>
        <v>2041</v>
      </c>
      <c r="CV3" s="4933">
        <f t="shared" si="1"/>
        <v>2042</v>
      </c>
      <c r="CW3" s="4933">
        <f t="shared" si="1"/>
        <v>2042</v>
      </c>
      <c r="CX3" s="4933">
        <f t="shared" si="1"/>
        <v>2042</v>
      </c>
      <c r="CY3" s="4933">
        <f t="shared" si="1"/>
        <v>2042</v>
      </c>
      <c r="CZ3" s="4933">
        <f t="shared" si="1"/>
        <v>2043</v>
      </c>
      <c r="DA3" s="4933">
        <f t="shared" si="1"/>
        <v>2043</v>
      </c>
      <c r="DB3" s="4933">
        <f t="shared" si="1"/>
        <v>2043</v>
      </c>
      <c r="DC3" s="4933">
        <f t="shared" si="1"/>
        <v>2043</v>
      </c>
      <c r="DD3" s="4933">
        <f t="shared" si="1"/>
        <v>2044</v>
      </c>
      <c r="DE3" s="4933">
        <f t="shared" si="1"/>
        <v>2044</v>
      </c>
      <c r="DF3" s="4933">
        <f t="shared" si="1"/>
        <v>2044</v>
      </c>
      <c r="DG3" s="4933">
        <f t="shared" si="1"/>
        <v>2044</v>
      </c>
      <c r="DH3" s="4933">
        <f t="shared" si="1"/>
        <v>2045</v>
      </c>
      <c r="DI3" s="4933">
        <f t="shared" si="1"/>
        <v>2045</v>
      </c>
      <c r="DJ3" s="4933">
        <f t="shared" si="1"/>
        <v>2045</v>
      </c>
      <c r="DK3" s="4933">
        <f t="shared" si="1"/>
        <v>2045</v>
      </c>
      <c r="DL3" s="4933">
        <f t="shared" si="1"/>
        <v>2046</v>
      </c>
      <c r="DM3" s="4933">
        <f t="shared" si="1"/>
        <v>2046</v>
      </c>
      <c r="DN3" s="4933">
        <f t="shared" si="1"/>
        <v>2046</v>
      </c>
      <c r="DO3" s="4933">
        <f t="shared" si="1"/>
        <v>2046</v>
      </c>
      <c r="DP3" s="4933">
        <f t="shared" si="1"/>
        <v>2047</v>
      </c>
      <c r="DQ3" s="4933">
        <f t="shared" si="1"/>
        <v>2047</v>
      </c>
      <c r="DR3" s="4933">
        <f t="shared" si="1"/>
        <v>2047</v>
      </c>
      <c r="DS3" s="4933">
        <f t="shared" si="1"/>
        <v>2047</v>
      </c>
      <c r="DT3" s="4933">
        <f t="shared" si="1"/>
        <v>2048</v>
      </c>
      <c r="DU3" s="4933">
        <f t="shared" si="1"/>
        <v>2048</v>
      </c>
      <c r="DV3" s="4933">
        <f t="shared" si="1"/>
        <v>2048</v>
      </c>
      <c r="DW3" s="4933">
        <f t="shared" si="1"/>
        <v>2048</v>
      </c>
      <c r="DX3" s="4933">
        <f t="shared" si="1"/>
        <v>2049</v>
      </c>
      <c r="DY3" s="4933">
        <f t="shared" si="1"/>
        <v>2049</v>
      </c>
      <c r="DZ3" s="4933">
        <f t="shared" si="1"/>
        <v>2049</v>
      </c>
      <c r="EA3" s="4933">
        <f t="shared" si="1"/>
        <v>2049</v>
      </c>
      <c r="EB3" s="4933">
        <f t="shared" si="1"/>
        <v>2050</v>
      </c>
      <c r="EC3" s="4933">
        <f t="shared" si="1"/>
        <v>2050</v>
      </c>
      <c r="ED3" s="4933">
        <f t="shared" si="1"/>
        <v>2050</v>
      </c>
      <c r="EE3" s="4933">
        <f t="shared" si="1"/>
        <v>2050</v>
      </c>
      <c r="EF3" s="4933">
        <f t="shared" si="1"/>
        <v>2051</v>
      </c>
      <c r="EG3" s="4933">
        <f t="shared" ref="EG3:GE3" si="2">YEAR(EG4)</f>
        <v>2051</v>
      </c>
      <c r="EH3" s="4933">
        <f t="shared" si="2"/>
        <v>2051</v>
      </c>
      <c r="EI3" s="4933">
        <f t="shared" si="2"/>
        <v>2051</v>
      </c>
      <c r="EJ3" s="4933">
        <f t="shared" si="2"/>
        <v>2052</v>
      </c>
      <c r="EK3" s="4933">
        <f t="shared" si="2"/>
        <v>2052</v>
      </c>
      <c r="EL3" s="4933">
        <f t="shared" si="2"/>
        <v>2052</v>
      </c>
      <c r="EM3" s="4933">
        <f t="shared" si="2"/>
        <v>2052</v>
      </c>
      <c r="EN3" s="4933">
        <f t="shared" si="2"/>
        <v>2053</v>
      </c>
      <c r="EO3" s="4933">
        <f t="shared" si="2"/>
        <v>2053</v>
      </c>
      <c r="EP3" s="4933">
        <f t="shared" si="2"/>
        <v>2053</v>
      </c>
      <c r="EQ3" s="4933">
        <f t="shared" si="2"/>
        <v>2053</v>
      </c>
      <c r="ER3" s="4933">
        <f t="shared" si="2"/>
        <v>2054</v>
      </c>
      <c r="ES3" s="4933">
        <f t="shared" si="2"/>
        <v>2054</v>
      </c>
      <c r="ET3" s="4933">
        <f t="shared" si="2"/>
        <v>2054</v>
      </c>
      <c r="EU3" s="4933">
        <f t="shared" si="2"/>
        <v>2054</v>
      </c>
      <c r="EV3" s="4933">
        <f t="shared" si="2"/>
        <v>2055</v>
      </c>
      <c r="EW3" s="4933">
        <f t="shared" si="2"/>
        <v>2055</v>
      </c>
      <c r="EX3" s="4933">
        <f t="shared" si="2"/>
        <v>2055</v>
      </c>
      <c r="EY3" s="4933">
        <f t="shared" si="2"/>
        <v>2055</v>
      </c>
      <c r="EZ3" s="4933">
        <f t="shared" si="2"/>
        <v>2056</v>
      </c>
      <c r="FA3" s="4933">
        <f t="shared" si="2"/>
        <v>2056</v>
      </c>
      <c r="FB3" s="4933">
        <f t="shared" si="2"/>
        <v>2056</v>
      </c>
      <c r="FC3" s="4933">
        <f t="shared" si="2"/>
        <v>2056</v>
      </c>
      <c r="FD3" s="4933">
        <f t="shared" si="2"/>
        <v>2057</v>
      </c>
      <c r="FE3" s="4933">
        <f t="shared" si="2"/>
        <v>2057</v>
      </c>
      <c r="FF3" s="4933">
        <f t="shared" si="2"/>
        <v>2057</v>
      </c>
      <c r="FG3" s="4933">
        <f t="shared" si="2"/>
        <v>2057</v>
      </c>
      <c r="FH3" s="4933">
        <f t="shared" si="2"/>
        <v>2058</v>
      </c>
      <c r="FI3" s="4933">
        <f t="shared" si="2"/>
        <v>2058</v>
      </c>
      <c r="FJ3" s="4933">
        <f t="shared" si="2"/>
        <v>2058</v>
      </c>
      <c r="FK3" s="4933">
        <f t="shared" si="2"/>
        <v>2058</v>
      </c>
      <c r="FL3" s="4933">
        <f t="shared" si="2"/>
        <v>2059</v>
      </c>
      <c r="FM3" s="4933">
        <f t="shared" si="2"/>
        <v>2059</v>
      </c>
      <c r="FN3" s="4933">
        <f t="shared" si="2"/>
        <v>2059</v>
      </c>
      <c r="FO3" s="4933">
        <f t="shared" si="2"/>
        <v>2059</v>
      </c>
      <c r="FP3" s="401">
        <f t="shared" si="2"/>
        <v>2060</v>
      </c>
      <c r="FQ3" s="401">
        <f t="shared" si="2"/>
        <v>2060</v>
      </c>
      <c r="FR3" s="401">
        <f t="shared" si="2"/>
        <v>2060</v>
      </c>
      <c r="FS3" s="401">
        <f t="shared" si="2"/>
        <v>2060</v>
      </c>
      <c r="FT3" s="401">
        <f t="shared" si="2"/>
        <v>2061</v>
      </c>
      <c r="FU3" s="401">
        <f t="shared" si="2"/>
        <v>2061</v>
      </c>
      <c r="FV3" s="401">
        <f t="shared" si="2"/>
        <v>2061</v>
      </c>
      <c r="FW3" s="401">
        <f t="shared" si="2"/>
        <v>2061</v>
      </c>
      <c r="FX3" s="401">
        <f t="shared" si="2"/>
        <v>2062</v>
      </c>
      <c r="FY3" s="401">
        <f t="shared" si="2"/>
        <v>2062</v>
      </c>
      <c r="FZ3" s="401">
        <f t="shared" si="2"/>
        <v>2062</v>
      </c>
      <c r="GA3" s="401">
        <f t="shared" si="2"/>
        <v>2062</v>
      </c>
      <c r="GB3" s="401">
        <f t="shared" si="2"/>
        <v>2063</v>
      </c>
      <c r="GC3" s="401">
        <f t="shared" si="2"/>
        <v>2063</v>
      </c>
      <c r="GD3" s="401">
        <f t="shared" si="2"/>
        <v>2063</v>
      </c>
      <c r="GE3" s="401">
        <f t="shared" si="2"/>
        <v>2063</v>
      </c>
    </row>
    <row r="4" spans="1:187" ht="17.100000000000001" customHeight="1">
      <c r="B4" s="5578"/>
      <c r="C4" s="5579"/>
      <c r="D4" s="5580"/>
      <c r="E4" s="5582"/>
      <c r="F4" s="5584"/>
      <c r="H4" s="4758">
        <f>매출!H34</f>
        <v>43555</v>
      </c>
      <c r="I4" s="4758">
        <f>매출!I34</f>
        <v>43646</v>
      </c>
      <c r="J4" s="4758">
        <f>매출!J34</f>
        <v>43738</v>
      </c>
      <c r="K4" s="4758">
        <f>매출!K34</f>
        <v>43830</v>
      </c>
      <c r="L4" s="4758">
        <f t="shared" ref="L4:BW4" si="3">EOMONTH(K4,3)</f>
        <v>43921</v>
      </c>
      <c r="M4" s="4758">
        <f t="shared" si="3"/>
        <v>44012</v>
      </c>
      <c r="N4" s="4758">
        <f t="shared" si="3"/>
        <v>44104</v>
      </c>
      <c r="O4" s="4758">
        <f t="shared" si="3"/>
        <v>44196</v>
      </c>
      <c r="P4" s="4758">
        <f t="shared" si="3"/>
        <v>44286</v>
      </c>
      <c r="Q4" s="4758">
        <f t="shared" si="3"/>
        <v>44377</v>
      </c>
      <c r="R4" s="4758">
        <f t="shared" si="3"/>
        <v>44469</v>
      </c>
      <c r="S4" s="4758">
        <f t="shared" si="3"/>
        <v>44561</v>
      </c>
      <c r="T4" s="4758">
        <f t="shared" si="3"/>
        <v>44651</v>
      </c>
      <c r="U4" s="4758">
        <f t="shared" si="3"/>
        <v>44742</v>
      </c>
      <c r="V4" s="4758">
        <f t="shared" si="3"/>
        <v>44834</v>
      </c>
      <c r="W4" s="4758">
        <f t="shared" si="3"/>
        <v>44926</v>
      </c>
      <c r="X4" s="4758">
        <f t="shared" si="3"/>
        <v>45016</v>
      </c>
      <c r="Y4" s="4758">
        <f t="shared" si="3"/>
        <v>45107</v>
      </c>
      <c r="Z4" s="4758">
        <f t="shared" si="3"/>
        <v>45199</v>
      </c>
      <c r="AA4" s="4758">
        <f t="shared" si="3"/>
        <v>45291</v>
      </c>
      <c r="AB4" s="4758">
        <f t="shared" si="3"/>
        <v>45382</v>
      </c>
      <c r="AC4" s="4758">
        <f t="shared" si="3"/>
        <v>45473</v>
      </c>
      <c r="AD4" s="4758">
        <f t="shared" si="3"/>
        <v>45565</v>
      </c>
      <c r="AE4" s="4758">
        <f t="shared" si="3"/>
        <v>45657</v>
      </c>
      <c r="AF4" s="4758">
        <f t="shared" si="3"/>
        <v>45747</v>
      </c>
      <c r="AG4" s="4758">
        <f t="shared" si="3"/>
        <v>45838</v>
      </c>
      <c r="AH4" s="4758">
        <f t="shared" si="3"/>
        <v>45930</v>
      </c>
      <c r="AI4" s="4758">
        <f t="shared" si="3"/>
        <v>46022</v>
      </c>
      <c r="AJ4" s="4758">
        <f t="shared" si="3"/>
        <v>46112</v>
      </c>
      <c r="AK4" s="4758">
        <f t="shared" si="3"/>
        <v>46203</v>
      </c>
      <c r="AL4" s="4758">
        <f t="shared" si="3"/>
        <v>46295</v>
      </c>
      <c r="AM4" s="4758">
        <f t="shared" si="3"/>
        <v>46387</v>
      </c>
      <c r="AN4" s="4758">
        <f t="shared" si="3"/>
        <v>46477</v>
      </c>
      <c r="AO4" s="4758">
        <f t="shared" si="3"/>
        <v>46568</v>
      </c>
      <c r="AP4" s="4758">
        <f t="shared" si="3"/>
        <v>46660</v>
      </c>
      <c r="AQ4" s="4758">
        <f t="shared" si="3"/>
        <v>46752</v>
      </c>
      <c r="AR4" s="4758">
        <f t="shared" si="3"/>
        <v>46843</v>
      </c>
      <c r="AS4" s="4758">
        <f t="shared" si="3"/>
        <v>46934</v>
      </c>
      <c r="AT4" s="4758">
        <f t="shared" si="3"/>
        <v>47026</v>
      </c>
      <c r="AU4" s="4758">
        <f t="shared" si="3"/>
        <v>47118</v>
      </c>
      <c r="AV4" s="4758">
        <f t="shared" si="3"/>
        <v>47208</v>
      </c>
      <c r="AW4" s="4758">
        <f t="shared" si="3"/>
        <v>47299</v>
      </c>
      <c r="AX4" s="4758">
        <f t="shared" si="3"/>
        <v>47391</v>
      </c>
      <c r="AY4" s="4758">
        <f t="shared" si="3"/>
        <v>47483</v>
      </c>
      <c r="AZ4" s="4758">
        <f t="shared" si="3"/>
        <v>47573</v>
      </c>
      <c r="BA4" s="4758">
        <f t="shared" si="3"/>
        <v>47664</v>
      </c>
      <c r="BB4" s="4758">
        <f t="shared" si="3"/>
        <v>47756</v>
      </c>
      <c r="BC4" s="4758">
        <f t="shared" si="3"/>
        <v>47848</v>
      </c>
      <c r="BD4" s="4758">
        <f t="shared" si="3"/>
        <v>47938</v>
      </c>
      <c r="BE4" s="4758">
        <f t="shared" si="3"/>
        <v>48029</v>
      </c>
      <c r="BF4" s="4758">
        <f t="shared" si="3"/>
        <v>48121</v>
      </c>
      <c r="BG4" s="4758">
        <f t="shared" si="3"/>
        <v>48213</v>
      </c>
      <c r="BH4" s="4758">
        <f t="shared" si="3"/>
        <v>48304</v>
      </c>
      <c r="BI4" s="4758">
        <f t="shared" si="3"/>
        <v>48395</v>
      </c>
      <c r="BJ4" s="4758">
        <f t="shared" si="3"/>
        <v>48487</v>
      </c>
      <c r="BK4" s="4758">
        <f t="shared" si="3"/>
        <v>48579</v>
      </c>
      <c r="BL4" s="4758">
        <f t="shared" si="3"/>
        <v>48669</v>
      </c>
      <c r="BM4" s="4758">
        <f t="shared" si="3"/>
        <v>48760</v>
      </c>
      <c r="BN4" s="4758">
        <f t="shared" si="3"/>
        <v>48852</v>
      </c>
      <c r="BO4" s="4758">
        <f t="shared" si="3"/>
        <v>48944</v>
      </c>
      <c r="BP4" s="4758">
        <f t="shared" si="3"/>
        <v>49034</v>
      </c>
      <c r="BQ4" s="4758">
        <f t="shared" si="3"/>
        <v>49125</v>
      </c>
      <c r="BR4" s="4758">
        <f t="shared" si="3"/>
        <v>49217</v>
      </c>
      <c r="BS4" s="4758">
        <f t="shared" si="3"/>
        <v>49309</v>
      </c>
      <c r="BT4" s="4758">
        <f t="shared" si="3"/>
        <v>49399</v>
      </c>
      <c r="BU4" s="4758">
        <f t="shared" si="3"/>
        <v>49490</v>
      </c>
      <c r="BV4" s="4758">
        <f t="shared" si="3"/>
        <v>49582</v>
      </c>
      <c r="BW4" s="4758">
        <f t="shared" si="3"/>
        <v>49674</v>
      </c>
      <c r="BX4" s="4758">
        <f t="shared" ref="BX4:EI4" si="4">EOMONTH(BW4,3)</f>
        <v>49765</v>
      </c>
      <c r="BY4" s="4758">
        <f t="shared" si="4"/>
        <v>49856</v>
      </c>
      <c r="BZ4" s="4758">
        <f t="shared" si="4"/>
        <v>49948</v>
      </c>
      <c r="CA4" s="4758">
        <f t="shared" si="4"/>
        <v>50040</v>
      </c>
      <c r="CB4" s="4758">
        <f t="shared" si="4"/>
        <v>50130</v>
      </c>
      <c r="CC4" s="4758">
        <f t="shared" si="4"/>
        <v>50221</v>
      </c>
      <c r="CD4" s="4758">
        <f t="shared" si="4"/>
        <v>50313</v>
      </c>
      <c r="CE4" s="4758">
        <f t="shared" si="4"/>
        <v>50405</v>
      </c>
      <c r="CF4" s="4758">
        <f t="shared" si="4"/>
        <v>50495</v>
      </c>
      <c r="CG4" s="4758">
        <f t="shared" si="4"/>
        <v>50586</v>
      </c>
      <c r="CH4" s="4758">
        <f t="shared" si="4"/>
        <v>50678</v>
      </c>
      <c r="CI4" s="4758">
        <f t="shared" si="4"/>
        <v>50770</v>
      </c>
      <c r="CJ4" s="4758">
        <f t="shared" si="4"/>
        <v>50860</v>
      </c>
      <c r="CK4" s="4758">
        <f t="shared" si="4"/>
        <v>50951</v>
      </c>
      <c r="CL4" s="4758">
        <f t="shared" si="4"/>
        <v>51043</v>
      </c>
      <c r="CM4" s="4758">
        <f t="shared" si="4"/>
        <v>51135</v>
      </c>
      <c r="CN4" s="4758">
        <f t="shared" si="4"/>
        <v>51226</v>
      </c>
      <c r="CO4" s="4758">
        <f t="shared" si="4"/>
        <v>51317</v>
      </c>
      <c r="CP4" s="4758">
        <f t="shared" si="4"/>
        <v>51409</v>
      </c>
      <c r="CQ4" s="4758">
        <f t="shared" si="4"/>
        <v>51501</v>
      </c>
      <c r="CR4" s="4758">
        <f t="shared" si="4"/>
        <v>51591</v>
      </c>
      <c r="CS4" s="4758">
        <f t="shared" si="4"/>
        <v>51682</v>
      </c>
      <c r="CT4" s="4758">
        <f t="shared" si="4"/>
        <v>51774</v>
      </c>
      <c r="CU4" s="4758">
        <f t="shared" si="4"/>
        <v>51866</v>
      </c>
      <c r="CV4" s="4758">
        <f t="shared" si="4"/>
        <v>51956</v>
      </c>
      <c r="CW4" s="4758">
        <f t="shared" si="4"/>
        <v>52047</v>
      </c>
      <c r="CX4" s="4758">
        <f t="shared" si="4"/>
        <v>52139</v>
      </c>
      <c r="CY4" s="4758">
        <f t="shared" si="4"/>
        <v>52231</v>
      </c>
      <c r="CZ4" s="4758">
        <f t="shared" si="4"/>
        <v>52321</v>
      </c>
      <c r="DA4" s="4758">
        <f t="shared" si="4"/>
        <v>52412</v>
      </c>
      <c r="DB4" s="4758">
        <f t="shared" si="4"/>
        <v>52504</v>
      </c>
      <c r="DC4" s="4758">
        <f t="shared" si="4"/>
        <v>52596</v>
      </c>
      <c r="DD4" s="4758">
        <f t="shared" si="4"/>
        <v>52687</v>
      </c>
      <c r="DE4" s="4758">
        <f t="shared" si="4"/>
        <v>52778</v>
      </c>
      <c r="DF4" s="4758">
        <f t="shared" si="4"/>
        <v>52870</v>
      </c>
      <c r="DG4" s="4758">
        <f t="shared" si="4"/>
        <v>52962</v>
      </c>
      <c r="DH4" s="4758">
        <f t="shared" si="4"/>
        <v>53052</v>
      </c>
      <c r="DI4" s="4758">
        <f t="shared" si="4"/>
        <v>53143</v>
      </c>
      <c r="DJ4" s="4758">
        <f t="shared" si="4"/>
        <v>53235</v>
      </c>
      <c r="DK4" s="4758">
        <f t="shared" si="4"/>
        <v>53327</v>
      </c>
      <c r="DL4" s="4758">
        <f t="shared" si="4"/>
        <v>53417</v>
      </c>
      <c r="DM4" s="4758">
        <f t="shared" si="4"/>
        <v>53508</v>
      </c>
      <c r="DN4" s="4758">
        <f t="shared" si="4"/>
        <v>53600</v>
      </c>
      <c r="DO4" s="4758">
        <f t="shared" si="4"/>
        <v>53692</v>
      </c>
      <c r="DP4" s="4758">
        <f t="shared" si="4"/>
        <v>53782</v>
      </c>
      <c r="DQ4" s="4758">
        <f t="shared" si="4"/>
        <v>53873</v>
      </c>
      <c r="DR4" s="4758">
        <f t="shared" si="4"/>
        <v>53965</v>
      </c>
      <c r="DS4" s="4758">
        <f t="shared" si="4"/>
        <v>54057</v>
      </c>
      <c r="DT4" s="4758">
        <f t="shared" si="4"/>
        <v>54148</v>
      </c>
      <c r="DU4" s="4758">
        <f t="shared" si="4"/>
        <v>54239</v>
      </c>
      <c r="DV4" s="4758">
        <f t="shared" si="4"/>
        <v>54331</v>
      </c>
      <c r="DW4" s="4758">
        <f t="shared" si="4"/>
        <v>54423</v>
      </c>
      <c r="DX4" s="4758">
        <f t="shared" si="4"/>
        <v>54513</v>
      </c>
      <c r="DY4" s="4758">
        <f t="shared" si="4"/>
        <v>54604</v>
      </c>
      <c r="DZ4" s="4758">
        <f t="shared" si="4"/>
        <v>54696</v>
      </c>
      <c r="EA4" s="4758">
        <f t="shared" si="4"/>
        <v>54788</v>
      </c>
      <c r="EB4" s="4758">
        <f t="shared" si="4"/>
        <v>54878</v>
      </c>
      <c r="EC4" s="4758">
        <f t="shared" si="4"/>
        <v>54969</v>
      </c>
      <c r="ED4" s="4758">
        <f t="shared" si="4"/>
        <v>55061</v>
      </c>
      <c r="EE4" s="4758">
        <f t="shared" si="4"/>
        <v>55153</v>
      </c>
      <c r="EF4" s="4758">
        <f t="shared" si="4"/>
        <v>55243</v>
      </c>
      <c r="EG4" s="4758">
        <f t="shared" si="4"/>
        <v>55334</v>
      </c>
      <c r="EH4" s="4758">
        <f t="shared" si="4"/>
        <v>55426</v>
      </c>
      <c r="EI4" s="4758">
        <f t="shared" si="4"/>
        <v>55518</v>
      </c>
      <c r="EJ4" s="4758">
        <f t="shared" ref="EJ4:GE4" si="5">EOMONTH(EI4,3)</f>
        <v>55609</v>
      </c>
      <c r="EK4" s="4758">
        <f t="shared" si="5"/>
        <v>55700</v>
      </c>
      <c r="EL4" s="4758">
        <f t="shared" si="5"/>
        <v>55792</v>
      </c>
      <c r="EM4" s="4758">
        <f t="shared" si="5"/>
        <v>55884</v>
      </c>
      <c r="EN4" s="4758">
        <f t="shared" si="5"/>
        <v>55974</v>
      </c>
      <c r="EO4" s="4758">
        <f t="shared" si="5"/>
        <v>56065</v>
      </c>
      <c r="EP4" s="4758">
        <f t="shared" si="5"/>
        <v>56157</v>
      </c>
      <c r="EQ4" s="4758">
        <f t="shared" si="5"/>
        <v>56249</v>
      </c>
      <c r="ER4" s="4758">
        <f t="shared" si="5"/>
        <v>56339</v>
      </c>
      <c r="ES4" s="4758">
        <f t="shared" si="5"/>
        <v>56430</v>
      </c>
      <c r="ET4" s="4758">
        <f t="shared" si="5"/>
        <v>56522</v>
      </c>
      <c r="EU4" s="4758">
        <f t="shared" si="5"/>
        <v>56614</v>
      </c>
      <c r="EV4" s="4758">
        <f t="shared" si="5"/>
        <v>56704</v>
      </c>
      <c r="EW4" s="4758">
        <f t="shared" si="5"/>
        <v>56795</v>
      </c>
      <c r="EX4" s="4758">
        <f t="shared" si="5"/>
        <v>56887</v>
      </c>
      <c r="EY4" s="4758">
        <f t="shared" si="5"/>
        <v>56979</v>
      </c>
      <c r="EZ4" s="4758">
        <f t="shared" si="5"/>
        <v>57070</v>
      </c>
      <c r="FA4" s="4758">
        <f t="shared" si="5"/>
        <v>57161</v>
      </c>
      <c r="FB4" s="4758">
        <f t="shared" si="5"/>
        <v>57253</v>
      </c>
      <c r="FC4" s="4758">
        <f t="shared" si="5"/>
        <v>57345</v>
      </c>
      <c r="FD4" s="4758">
        <f t="shared" si="5"/>
        <v>57435</v>
      </c>
      <c r="FE4" s="4758">
        <f t="shared" si="5"/>
        <v>57526</v>
      </c>
      <c r="FF4" s="4758">
        <f t="shared" si="5"/>
        <v>57618</v>
      </c>
      <c r="FG4" s="4758">
        <f t="shared" si="5"/>
        <v>57710</v>
      </c>
      <c r="FH4" s="4758">
        <f t="shared" si="5"/>
        <v>57800</v>
      </c>
      <c r="FI4" s="4758">
        <f t="shared" si="5"/>
        <v>57891</v>
      </c>
      <c r="FJ4" s="4758">
        <f t="shared" si="5"/>
        <v>57983</v>
      </c>
      <c r="FK4" s="4758">
        <f t="shared" si="5"/>
        <v>58075</v>
      </c>
      <c r="FL4" s="4758">
        <f t="shared" si="5"/>
        <v>58165</v>
      </c>
      <c r="FM4" s="4758">
        <f t="shared" si="5"/>
        <v>58256</v>
      </c>
      <c r="FN4" s="4758">
        <f t="shared" si="5"/>
        <v>58348</v>
      </c>
      <c r="FO4" s="4758">
        <f t="shared" si="5"/>
        <v>58440</v>
      </c>
      <c r="FP4" s="1199">
        <f t="shared" si="5"/>
        <v>58531</v>
      </c>
      <c r="FQ4" s="1200">
        <f t="shared" si="5"/>
        <v>58622</v>
      </c>
      <c r="FR4" s="1200">
        <f t="shared" si="5"/>
        <v>58714</v>
      </c>
      <c r="FS4" s="1201">
        <f t="shared" si="5"/>
        <v>58806</v>
      </c>
      <c r="FT4" s="1199">
        <f t="shared" si="5"/>
        <v>58896</v>
      </c>
      <c r="FU4" s="1200">
        <f t="shared" si="5"/>
        <v>58987</v>
      </c>
      <c r="FV4" s="1200">
        <f t="shared" si="5"/>
        <v>59079</v>
      </c>
      <c r="FW4" s="1201">
        <f t="shared" si="5"/>
        <v>59171</v>
      </c>
      <c r="FX4" s="1199">
        <f t="shared" si="5"/>
        <v>59261</v>
      </c>
      <c r="FY4" s="1200">
        <f t="shared" si="5"/>
        <v>59352</v>
      </c>
      <c r="FZ4" s="1200">
        <f t="shared" si="5"/>
        <v>59444</v>
      </c>
      <c r="GA4" s="1201">
        <f t="shared" si="5"/>
        <v>59536</v>
      </c>
      <c r="GB4" s="1199">
        <f t="shared" si="5"/>
        <v>59626</v>
      </c>
      <c r="GC4" s="1200">
        <f t="shared" si="5"/>
        <v>59717</v>
      </c>
      <c r="GD4" s="1200">
        <f t="shared" si="5"/>
        <v>59809</v>
      </c>
      <c r="GE4" s="1201">
        <f t="shared" si="5"/>
        <v>59901</v>
      </c>
    </row>
    <row r="5" spans="1:187" ht="17.100000000000001" customHeight="1">
      <c r="B5" s="341" t="s">
        <v>1220</v>
      </c>
      <c r="C5" s="489"/>
      <c r="D5" s="1202">
        <f ca="1">민감도!E84</f>
        <v>2</v>
      </c>
      <c r="E5" s="4983">
        <v>1</v>
      </c>
      <c r="F5" s="1204">
        <f ca="1">SUM(P5:GE5)</f>
        <v>10773.891587725027</v>
      </c>
      <c r="G5" s="4975"/>
      <c r="H5" s="4846">
        <f>H6</f>
        <v>47.994098360000002</v>
      </c>
      <c r="I5" s="4846">
        <f t="shared" ref="I5:U5" si="6">I6</f>
        <v>47.085413379999999</v>
      </c>
      <c r="J5" s="4846">
        <f t="shared" si="6"/>
        <v>50.83348505</v>
      </c>
      <c r="K5" s="4846">
        <f t="shared" si="6"/>
        <v>50.151050779999998</v>
      </c>
      <c r="L5" s="4846">
        <f t="shared" si="6"/>
        <v>50.116796770000001</v>
      </c>
      <c r="M5" s="4846">
        <f t="shared" si="6"/>
        <v>53.117793570000003</v>
      </c>
      <c r="N5" s="4846">
        <f t="shared" si="6"/>
        <v>50.837996130000001</v>
      </c>
      <c r="O5" s="4846">
        <f t="shared" si="6"/>
        <v>53.375981959999997</v>
      </c>
      <c r="P5" s="4984">
        <f t="shared" si="6"/>
        <v>48.616757</v>
      </c>
      <c r="Q5" s="4984">
        <f t="shared" si="6"/>
        <v>51.592557050000003</v>
      </c>
      <c r="R5" s="4984">
        <f t="shared" si="6"/>
        <v>49.699656840000003</v>
      </c>
      <c r="S5" s="4984">
        <f t="shared" si="6"/>
        <v>51.920616719219481</v>
      </c>
      <c r="T5" s="4762">
        <f t="shared" ca="1" si="6"/>
        <v>51.185422867554244</v>
      </c>
      <c r="U5" s="4762">
        <f t="shared" ca="1" si="6"/>
        <v>51.185422867554244</v>
      </c>
      <c r="V5" s="4762">
        <f ca="1">V6</f>
        <v>51.185422867554244</v>
      </c>
      <c r="W5" s="4762">
        <f t="shared" ref="W5:AC5" ca="1" si="7">W6</f>
        <v>51.185422867554244</v>
      </c>
      <c r="X5" s="4762">
        <f t="shared" ca="1" si="7"/>
        <v>52.198947178131753</v>
      </c>
      <c r="Y5" s="4762">
        <f t="shared" ca="1" si="7"/>
        <v>52.198947178131753</v>
      </c>
      <c r="Z5" s="4762">
        <f t="shared" ca="1" si="7"/>
        <v>52.198947178131753</v>
      </c>
      <c r="AA5" s="4762">
        <f t="shared" ca="1" si="7"/>
        <v>52.198947178131753</v>
      </c>
      <c r="AB5" s="4762">
        <f t="shared" ca="1" si="7"/>
        <v>52.955041139760191</v>
      </c>
      <c r="AC5" s="4762">
        <f t="shared" ca="1" si="7"/>
        <v>52.955041139760191</v>
      </c>
      <c r="AD5" s="4985">
        <f t="shared" ref="AD5:AX5" ca="1" si="8">IF($D$5=1,AD7,AD6)</f>
        <v>52.955041139760191</v>
      </c>
      <c r="AE5" s="4985">
        <f ca="1">IF($D$5=1,AE7,AE6)</f>
        <v>52.955041139760191</v>
      </c>
      <c r="AF5" s="4853">
        <f t="shared" ca="1" si="8"/>
        <v>53.941952959078712</v>
      </c>
      <c r="AG5" s="4853">
        <f t="shared" ca="1" si="8"/>
        <v>53.941952959078712</v>
      </c>
      <c r="AH5" s="4853">
        <f t="shared" ca="1" si="8"/>
        <v>53.941952959078712</v>
      </c>
      <c r="AI5" s="4853">
        <f t="shared" ca="1" si="8"/>
        <v>53.941952959078712</v>
      </c>
      <c r="AJ5" s="4853">
        <f t="shared" ca="1" si="8"/>
        <v>54.551028064605383</v>
      </c>
      <c r="AK5" s="4853">
        <f t="shared" ca="1" si="8"/>
        <v>54.551028064605383</v>
      </c>
      <c r="AL5" s="4853">
        <f t="shared" ca="1" si="8"/>
        <v>54.551028064605383</v>
      </c>
      <c r="AM5" s="4853">
        <f t="shared" ca="1" si="8"/>
        <v>54.551028064605383</v>
      </c>
      <c r="AN5" s="4853">
        <f t="shared" ca="1" si="8"/>
        <v>55.647329735854434</v>
      </c>
      <c r="AO5" s="4853">
        <f t="shared" ca="1" si="8"/>
        <v>55.647329735854434</v>
      </c>
      <c r="AP5" s="4853">
        <f t="shared" ca="1" si="8"/>
        <v>55.647329735854434</v>
      </c>
      <c r="AQ5" s="4853">
        <f t="shared" ca="1" si="8"/>
        <v>55.647329735854434</v>
      </c>
      <c r="AR5" s="4853">
        <f t="shared" ca="1" si="8"/>
        <v>57.292651928915262</v>
      </c>
      <c r="AS5" s="4853">
        <f t="shared" ca="1" si="8"/>
        <v>57.292651928915262</v>
      </c>
      <c r="AT5" s="4853">
        <f t="shared" ca="1" si="8"/>
        <v>57.292651928915262</v>
      </c>
      <c r="AU5" s="4853">
        <f t="shared" ca="1" si="8"/>
        <v>57.292651928915262</v>
      </c>
      <c r="AV5" s="4853">
        <f t="shared" ca="1" si="8"/>
        <v>58.709104473413383</v>
      </c>
      <c r="AW5" s="4853">
        <f t="shared" ca="1" si="8"/>
        <v>58.709104473413383</v>
      </c>
      <c r="AX5" s="4853">
        <f t="shared" ca="1" si="8"/>
        <v>58.709104473413383</v>
      </c>
      <c r="AY5" s="4986">
        <f ca="1">AY6</f>
        <v>58.709104473413383</v>
      </c>
      <c r="AZ5" s="4762">
        <f t="shared" ref="AZ5:DK5" ca="1" si="9">AZ6</f>
        <v>59.515459654326541</v>
      </c>
      <c r="BA5" s="4762">
        <f t="shared" ca="1" si="9"/>
        <v>59.515459654326541</v>
      </c>
      <c r="BB5" s="4762">
        <f t="shared" ca="1" si="9"/>
        <v>59.515459654326541</v>
      </c>
      <c r="BC5" s="4762">
        <f t="shared" ca="1" si="9"/>
        <v>59.515459654326541</v>
      </c>
      <c r="BD5" s="4762">
        <f t="shared" ca="1" si="9"/>
        <v>60.569830699742219</v>
      </c>
      <c r="BE5" s="4762">
        <f t="shared" ca="1" si="9"/>
        <v>60.569830699742219</v>
      </c>
      <c r="BF5" s="4762">
        <f t="shared" ca="1" si="9"/>
        <v>60.569830699742219</v>
      </c>
      <c r="BG5" s="4762">
        <f t="shared" ca="1" si="9"/>
        <v>60.569830699742219</v>
      </c>
      <c r="BH5" s="4762">
        <f t="shared" ca="1" si="9"/>
        <v>61.614873021461818</v>
      </c>
      <c r="BI5" s="4762">
        <f t="shared" ca="1" si="9"/>
        <v>61.614873021461818</v>
      </c>
      <c r="BJ5" s="4762">
        <f t="shared" ca="1" si="9"/>
        <v>61.614873021461818</v>
      </c>
      <c r="BK5" s="4762">
        <f t="shared" ca="1" si="9"/>
        <v>61.614873021461818</v>
      </c>
      <c r="BL5" s="4762">
        <f t="shared" ca="1" si="9"/>
        <v>62.806854280379554</v>
      </c>
      <c r="BM5" s="4762">
        <f t="shared" ca="1" si="9"/>
        <v>62.806854280379554</v>
      </c>
      <c r="BN5" s="4762">
        <f t="shared" ca="1" si="9"/>
        <v>62.806854280379554</v>
      </c>
      <c r="BO5" s="4762">
        <f t="shared" ca="1" si="9"/>
        <v>62.806854280379554</v>
      </c>
      <c r="BP5" s="4762">
        <f t="shared" ca="1" si="9"/>
        <v>63.354756348140796</v>
      </c>
      <c r="BQ5" s="4762">
        <f t="shared" ca="1" si="9"/>
        <v>63.354756348140796</v>
      </c>
      <c r="BR5" s="4762">
        <f t="shared" ca="1" si="9"/>
        <v>63.354756348140796</v>
      </c>
      <c r="BS5" s="4762">
        <f t="shared" ca="1" si="9"/>
        <v>63.354756348140796</v>
      </c>
      <c r="BT5" s="4762">
        <f t="shared" ca="1" si="9"/>
        <v>64.447166328265624</v>
      </c>
      <c r="BU5" s="4762">
        <f t="shared" ca="1" si="9"/>
        <v>64.447166328265624</v>
      </c>
      <c r="BV5" s="4762">
        <f t="shared" ca="1" si="9"/>
        <v>64.447166328265624</v>
      </c>
      <c r="BW5" s="4762">
        <f t="shared" ca="1" si="9"/>
        <v>64.447166328265624</v>
      </c>
      <c r="BX5" s="4762">
        <f t="shared" ca="1" si="9"/>
        <v>65.095757092070926</v>
      </c>
      <c r="BY5" s="4762">
        <f t="shared" ca="1" si="9"/>
        <v>65.095757092070926</v>
      </c>
      <c r="BZ5" s="4762">
        <f t="shared" ca="1" si="9"/>
        <v>65.095757092070926</v>
      </c>
      <c r="CA5" s="4762">
        <f t="shared" ca="1" si="9"/>
        <v>65.095757092070926</v>
      </c>
      <c r="CB5" s="4762">
        <f t="shared" ca="1" si="9"/>
        <v>66.233600729782083</v>
      </c>
      <c r="CC5" s="4762">
        <f t="shared" ca="1" si="9"/>
        <v>66.233600729782083</v>
      </c>
      <c r="CD5" s="4762">
        <f t="shared" ca="1" si="9"/>
        <v>66.233600729782083</v>
      </c>
      <c r="CE5" s="4762">
        <f t="shared" ca="1" si="9"/>
        <v>66.233600729782083</v>
      </c>
      <c r="CF5" s="4762">
        <f t="shared" ca="1" si="9"/>
        <v>66.92029374241595</v>
      </c>
      <c r="CG5" s="4762">
        <f t="shared" ca="1" si="9"/>
        <v>66.92029374241595</v>
      </c>
      <c r="CH5" s="4762">
        <f t="shared" ca="1" si="9"/>
        <v>66.92029374241595</v>
      </c>
      <c r="CI5" s="4762">
        <f t="shared" ca="1" si="9"/>
        <v>66.92029374241595</v>
      </c>
      <c r="CJ5" s="4762">
        <f t="shared" ca="1" si="9"/>
        <v>68.118284990189679</v>
      </c>
      <c r="CK5" s="4762">
        <f t="shared" ca="1" si="9"/>
        <v>68.118284990189679</v>
      </c>
      <c r="CL5" s="4762">
        <f t="shared" ca="1" si="9"/>
        <v>68.118284990189679</v>
      </c>
      <c r="CM5" s="4762">
        <f t="shared" ca="1" si="9"/>
        <v>68.118284990189679</v>
      </c>
      <c r="CN5" s="4762">
        <f t="shared" ca="1" si="9"/>
        <v>68.904028601183214</v>
      </c>
      <c r="CO5" s="4762">
        <f t="shared" ca="1" si="9"/>
        <v>68.904028601183214</v>
      </c>
      <c r="CP5" s="4762">
        <f t="shared" ca="1" si="9"/>
        <v>68.904028601183214</v>
      </c>
      <c r="CQ5" s="4762">
        <f t="shared" ca="1" si="9"/>
        <v>68.904028601183214</v>
      </c>
      <c r="CR5" s="4762">
        <f t="shared" ca="1" si="9"/>
        <v>70.16095031184841</v>
      </c>
      <c r="CS5" s="4762">
        <f t="shared" ca="1" si="9"/>
        <v>70.16095031184841</v>
      </c>
      <c r="CT5" s="4762">
        <f t="shared" ca="1" si="9"/>
        <v>70.16095031184841</v>
      </c>
      <c r="CU5" s="4762">
        <f t="shared" ca="1" si="9"/>
        <v>70.16095031184841</v>
      </c>
      <c r="CV5" s="4762">
        <f t="shared" ca="1" si="9"/>
        <v>70.879373765838892</v>
      </c>
      <c r="CW5" s="4762">
        <f t="shared" ca="1" si="9"/>
        <v>70.879373765838892</v>
      </c>
      <c r="CX5" s="4762">
        <f t="shared" ca="1" si="9"/>
        <v>70.879373765838892</v>
      </c>
      <c r="CY5" s="4762">
        <f t="shared" ca="1" si="9"/>
        <v>70.879373765838892</v>
      </c>
      <c r="CZ5" s="4762">
        <f t="shared" ca="1" si="9"/>
        <v>72.117746591574587</v>
      </c>
      <c r="DA5" s="4762">
        <f t="shared" ca="1" si="9"/>
        <v>72.117746591574587</v>
      </c>
      <c r="DB5" s="4762">
        <f t="shared" ca="1" si="9"/>
        <v>72.117746591574587</v>
      </c>
      <c r="DC5" s="4762">
        <f t="shared" ca="1" si="9"/>
        <v>72.117746591574587</v>
      </c>
      <c r="DD5" s="4762">
        <f t="shared" ca="1" si="9"/>
        <v>72.847417165369507</v>
      </c>
      <c r="DE5" s="4762">
        <f t="shared" ca="1" si="9"/>
        <v>72.847417165369507</v>
      </c>
      <c r="DF5" s="4762">
        <f t="shared" ca="1" si="9"/>
        <v>72.847417165369507</v>
      </c>
      <c r="DG5" s="4762">
        <f t="shared" ca="1" si="9"/>
        <v>72.847417165369507</v>
      </c>
      <c r="DH5" s="4762">
        <f t="shared" ca="1" si="9"/>
        <v>74.22971795133742</v>
      </c>
      <c r="DI5" s="4762">
        <f t="shared" ca="1" si="9"/>
        <v>74.22971795133742</v>
      </c>
      <c r="DJ5" s="4762">
        <f t="shared" ca="1" si="9"/>
        <v>74.22971795133742</v>
      </c>
      <c r="DK5" s="4762">
        <f t="shared" ca="1" si="9"/>
        <v>74.22971795133742</v>
      </c>
      <c r="DL5" s="4762">
        <f t="shared" ref="DL5:FO5" ca="1" si="10">DL6</f>
        <v>74.886263084347561</v>
      </c>
      <c r="DM5" s="4762">
        <f t="shared" ca="1" si="10"/>
        <v>74.886263084347561</v>
      </c>
      <c r="DN5" s="4762">
        <f t="shared" ca="1" si="10"/>
        <v>74.886263084347561</v>
      </c>
      <c r="DO5" s="4762">
        <f t="shared" ca="1" si="10"/>
        <v>74.886263084347561</v>
      </c>
      <c r="DP5" s="4762">
        <f t="shared" ca="1" si="10"/>
        <v>76.23284155904534</v>
      </c>
      <c r="DQ5" s="4762">
        <f t="shared" ca="1" si="10"/>
        <v>76.23284155904534</v>
      </c>
      <c r="DR5" s="4762">
        <f t="shared" ca="1" si="10"/>
        <v>76.23284155904534</v>
      </c>
      <c r="DS5" s="4762">
        <f t="shared" ca="1" si="10"/>
        <v>76.23284155904534</v>
      </c>
      <c r="DT5" s="4762">
        <f t="shared" ca="1" si="10"/>
        <v>78.518417254811666</v>
      </c>
      <c r="DU5" s="4762">
        <f t="shared" ca="1" si="10"/>
        <v>78.518417254811666</v>
      </c>
      <c r="DV5" s="4762">
        <f t="shared" ca="1" si="10"/>
        <v>78.518417254811666</v>
      </c>
      <c r="DW5" s="4762">
        <f t="shared" ca="1" si="10"/>
        <v>78.518417254811666</v>
      </c>
      <c r="DX5" s="4762">
        <f t="shared" ca="1" si="10"/>
        <v>80.312681857776639</v>
      </c>
      <c r="DY5" s="4762">
        <f t="shared" ca="1" si="10"/>
        <v>80.312681857776639</v>
      </c>
      <c r="DZ5" s="4762">
        <f t="shared" ca="1" si="10"/>
        <v>80.312681857776639</v>
      </c>
      <c r="EA5" s="4762">
        <f t="shared" ca="1" si="10"/>
        <v>80.312681857776639</v>
      </c>
      <c r="EB5" s="4762">
        <f t="shared" ca="1" si="10"/>
        <v>81.318726014444749</v>
      </c>
      <c r="EC5" s="4762">
        <f t="shared" ca="1" si="10"/>
        <v>81.318726014444749</v>
      </c>
      <c r="ED5" s="4762">
        <f t="shared" ca="1" si="10"/>
        <v>81.318726014444749</v>
      </c>
      <c r="EE5" s="4762">
        <f t="shared" ca="1" si="10"/>
        <v>81.318726014444749</v>
      </c>
      <c r="EF5" s="4762">
        <f t="shared" ca="1" si="10"/>
        <v>82.867089059702195</v>
      </c>
      <c r="EG5" s="4762">
        <f t="shared" ca="1" si="10"/>
        <v>82.867089059702195</v>
      </c>
      <c r="EH5" s="4762">
        <f t="shared" ca="1" si="10"/>
        <v>82.867089059702195</v>
      </c>
      <c r="EI5" s="4762">
        <f t="shared" ca="1" si="10"/>
        <v>82.867089059702195</v>
      </c>
      <c r="EJ5" s="4762">
        <f t="shared" ca="1" si="10"/>
        <v>84.166086545133723</v>
      </c>
      <c r="EK5" s="4762">
        <f t="shared" ca="1" si="10"/>
        <v>84.166086545133723</v>
      </c>
      <c r="EL5" s="4762">
        <f t="shared" ca="1" si="10"/>
        <v>84.166086545133723</v>
      </c>
      <c r="EM5" s="4762">
        <f t="shared" ca="1" si="10"/>
        <v>84.166086545133723</v>
      </c>
      <c r="EN5" s="4762">
        <f t="shared" ca="1" si="10"/>
        <v>85.772376035140368</v>
      </c>
      <c r="EO5" s="4762">
        <f t="shared" ca="1" si="10"/>
        <v>85.772376035140368</v>
      </c>
      <c r="EP5" s="4762">
        <f t="shared" ca="1" si="10"/>
        <v>85.772376035140368</v>
      </c>
      <c r="EQ5" s="4762">
        <f t="shared" ca="1" si="10"/>
        <v>85.772376035140368</v>
      </c>
      <c r="ER5" s="4762">
        <f t="shared" ca="1" si="10"/>
        <v>86.575675506175159</v>
      </c>
      <c r="ES5" s="4762">
        <f t="shared" ca="1" si="10"/>
        <v>86.575675506175159</v>
      </c>
      <c r="ET5" s="4762">
        <f t="shared" ca="1" si="10"/>
        <v>86.575675506175159</v>
      </c>
      <c r="EU5" s="4762">
        <f t="shared" ca="1" si="10"/>
        <v>86.575675506175159</v>
      </c>
      <c r="EV5" s="4762">
        <f t="shared" ca="1" si="10"/>
        <v>88.037966093050613</v>
      </c>
      <c r="EW5" s="4762">
        <f t="shared" ca="1" si="10"/>
        <v>88.037966093050613</v>
      </c>
      <c r="EX5" s="4762">
        <f t="shared" ca="1" si="10"/>
        <v>88.037966093050613</v>
      </c>
      <c r="EY5" s="4762">
        <f t="shared" ca="1" si="10"/>
        <v>88.037966093050613</v>
      </c>
      <c r="EZ5" s="4762">
        <f t="shared" ca="1" si="10"/>
        <v>89.033225984340291</v>
      </c>
      <c r="FA5" s="4762">
        <f t="shared" ca="1" si="10"/>
        <v>89.033225984340291</v>
      </c>
      <c r="FB5" s="4762">
        <f t="shared" ca="1" si="10"/>
        <v>89.033225984340291</v>
      </c>
      <c r="FC5" s="4762">
        <f t="shared" ca="1" si="10"/>
        <v>89.033225984340291</v>
      </c>
      <c r="FD5" s="4762">
        <f t="shared" ca="1" si="10"/>
        <v>90.693251425606448</v>
      </c>
      <c r="FE5" s="4762">
        <f t="shared" ca="1" si="10"/>
        <v>90.693251425606448</v>
      </c>
      <c r="FF5" s="4762">
        <f t="shared" ca="1" si="10"/>
        <v>90.693251425606448</v>
      </c>
      <c r="FG5" s="4762">
        <f t="shared" ca="1" si="10"/>
        <v>90.693251425606448</v>
      </c>
      <c r="FH5" s="4762">
        <f t="shared" ca="1" si="10"/>
        <v>93.035087387094961</v>
      </c>
      <c r="FI5" s="4762">
        <f t="shared" ca="1" si="10"/>
        <v>93.035087387094961</v>
      </c>
      <c r="FJ5" s="4762">
        <f t="shared" ca="1" si="10"/>
        <v>93.035087387094961</v>
      </c>
      <c r="FK5" s="4762">
        <f t="shared" ca="1" si="10"/>
        <v>93.035087387094961</v>
      </c>
      <c r="FL5" s="4762">
        <f t="shared" ca="1" si="10"/>
        <v>94.536445202082476</v>
      </c>
      <c r="FM5" s="4762">
        <f t="shared" ca="1" si="10"/>
        <v>94.536445202082476</v>
      </c>
      <c r="FN5" s="4762">
        <f t="shared" ca="1" si="10"/>
        <v>0</v>
      </c>
      <c r="FO5" s="4762">
        <f t="shared" ca="1" si="10"/>
        <v>0</v>
      </c>
      <c r="FP5" s="731">
        <f>SUMIF(예정운영비용!12:12,FP$3,예정운영비용!21:21)/100000000*FP$17/12</f>
        <v>0</v>
      </c>
      <c r="FQ5" s="1205">
        <f>SUMIF(예정운영비용!12:12,FQ$3,예정운영비용!21:21)/100000000*FQ$17/12</f>
        <v>0</v>
      </c>
      <c r="FR5" s="1205">
        <f>SUMIF(예정운영비용!12:12,FR$3,예정운영비용!21:21)/100000000*FR$17/12</f>
        <v>0</v>
      </c>
      <c r="FS5" s="1206">
        <f>SUMIF(예정운영비용!12:12,FS$3,예정운영비용!21:21)/100000000*FS$17/12</f>
        <v>0</v>
      </c>
      <c r="FT5" s="731">
        <f>SUMIF(예정운영비용!12:12,FT$3,예정운영비용!21:21)/100000000*FT$17/12</f>
        <v>0</v>
      </c>
      <c r="FU5" s="1205">
        <f>SUMIF(예정운영비용!12:12,FU$3,예정운영비용!21:21)/100000000*FU$17/12</f>
        <v>0</v>
      </c>
      <c r="FV5" s="1205">
        <f>SUMIF(예정운영비용!12:12,FV$3,예정운영비용!21:21)/100000000*FV$17/12</f>
        <v>0</v>
      </c>
      <c r="FW5" s="1206">
        <f>SUMIF(예정운영비용!12:12,FW$3,예정운영비용!21:21)/100000000*FW$17/12</f>
        <v>0</v>
      </c>
      <c r="FX5" s="731">
        <f>SUMIF(예정운영비용!12:12,FX$3,예정운영비용!21:21)/100000000*FX$17/12</f>
        <v>0</v>
      </c>
      <c r="FY5" s="1205">
        <f>SUMIF(예정운영비용!12:12,FY$3,예정운영비용!21:21)/100000000*FY$17/12</f>
        <v>0</v>
      </c>
      <c r="FZ5" s="1205">
        <f>SUMIF(예정운영비용!12:12,FZ$3,예정운영비용!21:21)/100000000*FZ$17/12</f>
        <v>0</v>
      </c>
      <c r="GA5" s="1206">
        <f>SUMIF(예정운영비용!12:12,GA$3,예정운영비용!21:21)/100000000*GA$17/12</f>
        <v>0</v>
      </c>
      <c r="GB5" s="731">
        <f>SUMIF(예정운영비용!12:12,GB$3,예정운영비용!21:21)/100000000*GB$17/12</f>
        <v>0</v>
      </c>
      <c r="GC5" s="1205">
        <f>SUMIF(예정운영비용!12:12,GC$3,예정운영비용!21:21)/100000000*GC$17/12</f>
        <v>0</v>
      </c>
      <c r="GD5" s="1205">
        <f>SUMIF(예정운영비용!12:12,GD$3,예정운영비용!21:21)/100000000*GD$17/12</f>
        <v>0</v>
      </c>
      <c r="GE5" s="1206">
        <f>SUMIF(예정운영비용!12:12,GE$3,예정운영비용!21:21)/100000000*GE$17/12</f>
        <v>0</v>
      </c>
    </row>
    <row r="6" spans="1:187" ht="17.100000000000001" customHeight="1">
      <c r="B6" s="317" t="s">
        <v>1221</v>
      </c>
      <c r="C6" s="4768" t="s">
        <v>5105</v>
      </c>
      <c r="D6" s="4996"/>
      <c r="E6" s="4997"/>
      <c r="F6" s="4994">
        <f t="shared" ref="F6:F16" ca="1" si="11">SUM(P6:GE6)</f>
        <v>10773.891587725027</v>
      </c>
      <c r="G6" s="4976"/>
      <c r="H6" s="4846">
        <v>47.994098360000002</v>
      </c>
      <c r="I6" s="4846">
        <v>47.085413379999999</v>
      </c>
      <c r="J6" s="4846">
        <v>50.83348505</v>
      </c>
      <c r="K6" s="4846">
        <v>50.151050779999998</v>
      </c>
      <c r="L6" s="4846">
        <v>50.116796770000001</v>
      </c>
      <c r="M6" s="4846">
        <v>53.117793570000003</v>
      </c>
      <c r="N6" s="4846">
        <v>50.837996130000001</v>
      </c>
      <c r="O6" s="4846">
        <v>53.375981959999997</v>
      </c>
      <c r="P6" s="4984">
        <f>'자금운영(현금)'!BF46-'자금운영(현금)'!BF50</f>
        <v>48.616757</v>
      </c>
      <c r="Q6" s="4984">
        <f>'자금운영(현금)'!BG46-'자금운영(현금)'!BG50</f>
        <v>51.592557050000003</v>
      </c>
      <c r="R6" s="4984">
        <f>'자금운영(현금)'!BH46-'자금운영(현금)'!BH50</f>
        <v>49.699656840000003</v>
      </c>
      <c r="S6" s="4984">
        <f>'자금운영(현금)'!BI46-'자금운영(현금)'!BI50</f>
        <v>51.920616719219481</v>
      </c>
      <c r="T6" s="4762">
        <f ca="1">SUMIF(예정운영비용!12:12,T$3,예정운영비용!21:21)/100000000*T$17/12</f>
        <v>51.185422867554244</v>
      </c>
      <c r="U6" s="4762">
        <f ca="1">SUMIF(예정운영비용!12:12,U$3,예정운영비용!21:21)/100000000*U$17/12</f>
        <v>51.185422867554244</v>
      </c>
      <c r="V6" s="4762">
        <f ca="1">SUMIF(예정운영비용!12:12,V$3,예정운영비용!21:21)/100000000*V$17/12</f>
        <v>51.185422867554244</v>
      </c>
      <c r="W6" s="4762">
        <f ca="1">SUMIF(예정운영비용!12:12,W$3,예정운영비용!21:21)/100000000*W$17/12</f>
        <v>51.185422867554244</v>
      </c>
      <c r="X6" s="4762">
        <f ca="1">SUMIF(예정운영비용!12:12,X$3,예정운영비용!21:21)/100000000*X$17/12</f>
        <v>52.198947178131753</v>
      </c>
      <c r="Y6" s="4762">
        <f ca="1">SUMIF(예정운영비용!12:12,Y$3,예정운영비용!21:21)/100000000*Y$17/12</f>
        <v>52.198947178131753</v>
      </c>
      <c r="Z6" s="4762">
        <f ca="1">SUMIF(예정운영비용!12:12,Z$3,예정운영비용!21:21)/100000000*Z$17/12</f>
        <v>52.198947178131753</v>
      </c>
      <c r="AA6" s="4762">
        <f ca="1">SUMIF(예정운영비용!12:12,AA$3,예정운영비용!21:21)/100000000*AA$17/12</f>
        <v>52.198947178131753</v>
      </c>
      <c r="AB6" s="4762">
        <f ca="1">SUMIF(예정운영비용!12:12,AB$3,예정운영비용!21:21)/100000000*AB$17/12</f>
        <v>52.955041139760191</v>
      </c>
      <c r="AC6" s="4762">
        <f ca="1">SUMIF(예정운영비용!12:12,AC$3,예정운영비용!21:21)/100000000*AC$17/12</f>
        <v>52.955041139760191</v>
      </c>
      <c r="AD6" s="4762">
        <f ca="1">SUMIF(예정운영비용!12:12,AD$3,예정운영비용!21:21)/100000000*AD$17/12</f>
        <v>52.955041139760191</v>
      </c>
      <c r="AE6" s="4762">
        <f ca="1">SUMIF(예정운영비용!12:12,AE$3,예정운영비용!21:21)/100000000*AE$17/12</f>
        <v>52.955041139760191</v>
      </c>
      <c r="AF6" s="4762">
        <f ca="1">SUMIF(예정운영비용!12:12,AF$3,예정운영비용!21:21)/100000000*AF$17/12</f>
        <v>53.941952959078712</v>
      </c>
      <c r="AG6" s="4762">
        <f ca="1">SUMIF(예정운영비용!12:12,AG$3,예정운영비용!21:21)/100000000*AG$17/12</f>
        <v>53.941952959078712</v>
      </c>
      <c r="AH6" s="4762">
        <f ca="1">SUMIF(예정운영비용!12:12,AH$3,예정운영비용!21:21)/100000000*AH$17/12</f>
        <v>53.941952959078712</v>
      </c>
      <c r="AI6" s="4762">
        <f ca="1">SUMIF(예정운영비용!12:12,AI$3,예정운영비용!21:21)/100000000*AI$17/12</f>
        <v>53.941952959078712</v>
      </c>
      <c r="AJ6" s="4762">
        <f ca="1">SUMIF(예정운영비용!12:12,AJ$3,예정운영비용!21:21)/100000000*AJ$17/12</f>
        <v>54.551028064605383</v>
      </c>
      <c r="AK6" s="4762">
        <f ca="1">SUMIF(예정운영비용!12:12,AK$3,예정운영비용!21:21)/100000000*AK$17/12</f>
        <v>54.551028064605383</v>
      </c>
      <c r="AL6" s="4762">
        <f ca="1">SUMIF(예정운영비용!12:12,AL$3,예정운영비용!21:21)/100000000*AL$17/12</f>
        <v>54.551028064605383</v>
      </c>
      <c r="AM6" s="4762">
        <f ca="1">SUMIF(예정운영비용!12:12,AM$3,예정운영비용!21:21)/100000000*AM$17/12</f>
        <v>54.551028064605383</v>
      </c>
      <c r="AN6" s="4762">
        <f ca="1">SUMIF(예정운영비용!12:12,AN$3,예정운영비용!21:21)/100000000*AN$17/12</f>
        <v>55.647329735854434</v>
      </c>
      <c r="AO6" s="4762">
        <f ca="1">SUMIF(예정운영비용!12:12,AO$3,예정운영비용!21:21)/100000000*AO$17/12</f>
        <v>55.647329735854434</v>
      </c>
      <c r="AP6" s="4762">
        <f ca="1">SUMIF(예정운영비용!12:12,AP$3,예정운영비용!21:21)/100000000*AP$17/12</f>
        <v>55.647329735854434</v>
      </c>
      <c r="AQ6" s="4762">
        <f ca="1">SUMIF(예정운영비용!12:12,AQ$3,예정운영비용!21:21)/100000000*AQ$17/12</f>
        <v>55.647329735854434</v>
      </c>
      <c r="AR6" s="4762">
        <f ca="1">SUMIF(예정운영비용!12:12,AR$3,예정운영비용!21:21)/100000000*AR$17/12</f>
        <v>57.292651928915262</v>
      </c>
      <c r="AS6" s="4762">
        <f ca="1">SUMIF(예정운영비용!12:12,AS$3,예정운영비용!21:21)/100000000*AS$17/12</f>
        <v>57.292651928915262</v>
      </c>
      <c r="AT6" s="4762">
        <f ca="1">SUMIF(예정운영비용!12:12,AT$3,예정운영비용!21:21)/100000000*AT$17/12</f>
        <v>57.292651928915262</v>
      </c>
      <c r="AU6" s="4762">
        <f ca="1">SUMIF(예정운영비용!12:12,AU$3,예정운영비용!21:21)/100000000*AU$17/12</f>
        <v>57.292651928915262</v>
      </c>
      <c r="AV6" s="4762">
        <f ca="1">SUMIF(예정운영비용!12:12,AV$3,예정운영비용!21:21)/100000000*AV$17/12</f>
        <v>58.709104473413383</v>
      </c>
      <c r="AW6" s="4762">
        <f ca="1">SUMIF(예정운영비용!12:12,AW$3,예정운영비용!21:21)/100000000*AW$17/12</f>
        <v>58.709104473413383</v>
      </c>
      <c r="AX6" s="4762">
        <f ca="1">SUMIF(예정운영비용!12:12,AX$3,예정운영비용!21:21)/100000000*AX$17/12</f>
        <v>58.709104473413383</v>
      </c>
      <c r="AY6" s="4762">
        <f ca="1">SUMIF(예정운영비용!12:12,AY$3,예정운영비용!21:21)/100000000*AY$17/12</f>
        <v>58.709104473413383</v>
      </c>
      <c r="AZ6" s="4762">
        <f ca="1">SUMIF(예정운영비용!12:12,AZ$3,예정운영비용!21:21)/100000000*AZ$17/12</f>
        <v>59.515459654326541</v>
      </c>
      <c r="BA6" s="4762">
        <f ca="1">SUMIF(예정운영비용!12:12,BA$3,예정운영비용!21:21)/100000000*BA$17/12</f>
        <v>59.515459654326541</v>
      </c>
      <c r="BB6" s="4762">
        <f ca="1">SUMIF(예정운영비용!12:12,BB$3,예정운영비용!21:21)/100000000*BB$17/12</f>
        <v>59.515459654326541</v>
      </c>
      <c r="BC6" s="4762">
        <f ca="1">SUMIF(예정운영비용!12:12,BC$3,예정운영비용!21:21)/100000000*BC$17/12</f>
        <v>59.515459654326541</v>
      </c>
      <c r="BD6" s="4762">
        <f ca="1">SUMIF(예정운영비용!12:12,BD$3,예정운영비용!21:21)/100000000*BD$17/12</f>
        <v>60.569830699742219</v>
      </c>
      <c r="BE6" s="4762">
        <f ca="1">SUMIF(예정운영비용!12:12,BE$3,예정운영비용!21:21)/100000000*BE$17/12</f>
        <v>60.569830699742219</v>
      </c>
      <c r="BF6" s="4762">
        <f ca="1">SUMIF(예정운영비용!12:12,BF$3,예정운영비용!21:21)/100000000*BF$17/12</f>
        <v>60.569830699742219</v>
      </c>
      <c r="BG6" s="4762">
        <f ca="1">SUMIF(예정운영비용!12:12,BG$3,예정운영비용!21:21)/100000000*BG$17/12</f>
        <v>60.569830699742219</v>
      </c>
      <c r="BH6" s="4762">
        <f ca="1">SUMIF(예정운영비용!12:12,BH$3,예정운영비용!21:21)/100000000*BH$17/12</f>
        <v>61.614873021461818</v>
      </c>
      <c r="BI6" s="4762">
        <f ca="1">SUMIF(예정운영비용!12:12,BI$3,예정운영비용!21:21)/100000000*BI$17/12</f>
        <v>61.614873021461818</v>
      </c>
      <c r="BJ6" s="4762">
        <f ca="1">SUMIF(예정운영비용!12:12,BJ$3,예정운영비용!21:21)/100000000*BJ$17/12</f>
        <v>61.614873021461818</v>
      </c>
      <c r="BK6" s="4762">
        <f ca="1">SUMIF(예정운영비용!12:12,BK$3,예정운영비용!21:21)/100000000*BK$17/12</f>
        <v>61.614873021461818</v>
      </c>
      <c r="BL6" s="4762">
        <f ca="1">SUMIF(예정운영비용!12:12,BL$3,예정운영비용!21:21)/100000000*BL$17/12</f>
        <v>62.806854280379554</v>
      </c>
      <c r="BM6" s="4762">
        <f ca="1">SUMIF(예정운영비용!12:12,BM$3,예정운영비용!21:21)/100000000*BM$17/12</f>
        <v>62.806854280379554</v>
      </c>
      <c r="BN6" s="4762">
        <f ca="1">SUMIF(예정운영비용!12:12,BN$3,예정운영비용!21:21)/100000000*BN$17/12</f>
        <v>62.806854280379554</v>
      </c>
      <c r="BO6" s="4762">
        <f ca="1">SUMIF(예정운영비용!12:12,BO$3,예정운영비용!21:21)/100000000*BO$17/12</f>
        <v>62.806854280379554</v>
      </c>
      <c r="BP6" s="4762">
        <f ca="1">SUMIF(예정운영비용!12:12,BP$3,예정운영비용!21:21)/100000000*BP$17/12</f>
        <v>63.354756348140796</v>
      </c>
      <c r="BQ6" s="4762">
        <f ca="1">SUMIF(예정운영비용!12:12,BQ$3,예정운영비용!21:21)/100000000*BQ$17/12</f>
        <v>63.354756348140796</v>
      </c>
      <c r="BR6" s="4762">
        <f ca="1">SUMIF(예정운영비용!12:12,BR$3,예정운영비용!21:21)/100000000*BR$17/12</f>
        <v>63.354756348140796</v>
      </c>
      <c r="BS6" s="4762">
        <f ca="1">SUMIF(예정운영비용!12:12,BS$3,예정운영비용!21:21)/100000000*BS$17/12</f>
        <v>63.354756348140796</v>
      </c>
      <c r="BT6" s="4762">
        <f ca="1">SUMIF(예정운영비용!12:12,BT$3,예정운영비용!21:21)/100000000*BT$17/12</f>
        <v>64.447166328265624</v>
      </c>
      <c r="BU6" s="4762">
        <f ca="1">SUMIF(예정운영비용!12:12,BU$3,예정운영비용!21:21)/100000000*BU$17/12</f>
        <v>64.447166328265624</v>
      </c>
      <c r="BV6" s="4762">
        <f ca="1">SUMIF(예정운영비용!12:12,BV$3,예정운영비용!21:21)/100000000*BV$17/12</f>
        <v>64.447166328265624</v>
      </c>
      <c r="BW6" s="4762">
        <f ca="1">SUMIF(예정운영비용!12:12,BW$3,예정운영비용!21:21)/100000000*BW$17/12</f>
        <v>64.447166328265624</v>
      </c>
      <c r="BX6" s="4762">
        <f ca="1">SUMIF(예정운영비용!12:12,BX$3,예정운영비용!21:21)/100000000*BX$17/12</f>
        <v>65.095757092070926</v>
      </c>
      <c r="BY6" s="4762">
        <f ca="1">SUMIF(예정운영비용!12:12,BY$3,예정운영비용!21:21)/100000000*BY$17/12</f>
        <v>65.095757092070926</v>
      </c>
      <c r="BZ6" s="4762">
        <f ca="1">SUMIF(예정운영비용!12:12,BZ$3,예정운영비용!21:21)/100000000*BZ$17/12</f>
        <v>65.095757092070926</v>
      </c>
      <c r="CA6" s="4762">
        <f ca="1">SUMIF(예정운영비용!12:12,CA$3,예정운영비용!21:21)/100000000*CA$17/12</f>
        <v>65.095757092070926</v>
      </c>
      <c r="CB6" s="4762">
        <f ca="1">SUMIF(예정운영비용!12:12,CB$3,예정운영비용!21:21)/100000000*CB$17/12</f>
        <v>66.233600729782083</v>
      </c>
      <c r="CC6" s="4762">
        <f ca="1">SUMIF(예정운영비용!12:12,CC$3,예정운영비용!21:21)/100000000*CC$17/12</f>
        <v>66.233600729782083</v>
      </c>
      <c r="CD6" s="4762">
        <f ca="1">SUMIF(예정운영비용!12:12,CD$3,예정운영비용!21:21)/100000000*CD$17/12</f>
        <v>66.233600729782083</v>
      </c>
      <c r="CE6" s="4762">
        <f ca="1">SUMIF(예정운영비용!12:12,CE$3,예정운영비용!21:21)/100000000*CE$17/12</f>
        <v>66.233600729782083</v>
      </c>
      <c r="CF6" s="4762">
        <f ca="1">SUMIF(예정운영비용!12:12,CF$3,예정운영비용!21:21)/100000000*CF$17/12</f>
        <v>66.92029374241595</v>
      </c>
      <c r="CG6" s="4762">
        <f ca="1">SUMIF(예정운영비용!12:12,CG$3,예정운영비용!21:21)/100000000*CG$17/12</f>
        <v>66.92029374241595</v>
      </c>
      <c r="CH6" s="4762">
        <f ca="1">SUMIF(예정운영비용!12:12,CH$3,예정운영비용!21:21)/100000000*CH$17/12</f>
        <v>66.92029374241595</v>
      </c>
      <c r="CI6" s="4762">
        <f ca="1">SUMIF(예정운영비용!12:12,CI$3,예정운영비용!21:21)/100000000*CI$17/12</f>
        <v>66.92029374241595</v>
      </c>
      <c r="CJ6" s="4762">
        <f ca="1">SUMIF(예정운영비용!12:12,CJ$3,예정운영비용!21:21)/100000000*CJ$17/12</f>
        <v>68.118284990189679</v>
      </c>
      <c r="CK6" s="4762">
        <f ca="1">SUMIF(예정운영비용!12:12,CK$3,예정운영비용!21:21)/100000000*CK$17/12</f>
        <v>68.118284990189679</v>
      </c>
      <c r="CL6" s="4762">
        <f ca="1">SUMIF(예정운영비용!12:12,CL$3,예정운영비용!21:21)/100000000*CL$17/12</f>
        <v>68.118284990189679</v>
      </c>
      <c r="CM6" s="4762">
        <f ca="1">SUMIF(예정운영비용!12:12,CM$3,예정운영비용!21:21)/100000000*CM$17/12</f>
        <v>68.118284990189679</v>
      </c>
      <c r="CN6" s="4762">
        <f ca="1">SUMIF(예정운영비용!12:12,CN$3,예정운영비용!21:21)/100000000*CN$17/12</f>
        <v>68.904028601183214</v>
      </c>
      <c r="CO6" s="4762">
        <f ca="1">SUMIF(예정운영비용!12:12,CO$3,예정운영비용!21:21)/100000000*CO$17/12</f>
        <v>68.904028601183214</v>
      </c>
      <c r="CP6" s="4762">
        <f ca="1">SUMIF(예정운영비용!12:12,CP$3,예정운영비용!21:21)/100000000*CP$17/12</f>
        <v>68.904028601183214</v>
      </c>
      <c r="CQ6" s="4762">
        <f ca="1">SUMIF(예정운영비용!12:12,CQ$3,예정운영비용!21:21)/100000000*CQ$17/12</f>
        <v>68.904028601183214</v>
      </c>
      <c r="CR6" s="4762">
        <f ca="1">SUMIF(예정운영비용!12:12,CR$3,예정운영비용!21:21)/100000000*CR$17/12</f>
        <v>70.16095031184841</v>
      </c>
      <c r="CS6" s="4762">
        <f ca="1">SUMIF(예정운영비용!12:12,CS$3,예정운영비용!21:21)/100000000*CS$17/12</f>
        <v>70.16095031184841</v>
      </c>
      <c r="CT6" s="4762">
        <f ca="1">SUMIF(예정운영비용!12:12,CT$3,예정운영비용!21:21)/100000000*CT$17/12</f>
        <v>70.16095031184841</v>
      </c>
      <c r="CU6" s="4762">
        <f ca="1">SUMIF(예정운영비용!12:12,CU$3,예정운영비용!21:21)/100000000*CU$17/12</f>
        <v>70.16095031184841</v>
      </c>
      <c r="CV6" s="4762">
        <f ca="1">SUMIF(예정운영비용!12:12,CV$3,예정운영비용!21:21)/100000000*CV$17/12</f>
        <v>70.879373765838892</v>
      </c>
      <c r="CW6" s="4762">
        <f ca="1">SUMIF(예정운영비용!12:12,CW$3,예정운영비용!21:21)/100000000*CW$17/12</f>
        <v>70.879373765838892</v>
      </c>
      <c r="CX6" s="4762">
        <f ca="1">SUMIF(예정운영비용!12:12,CX$3,예정운영비용!21:21)/100000000*CX$17/12</f>
        <v>70.879373765838892</v>
      </c>
      <c r="CY6" s="4762">
        <f ca="1">SUMIF(예정운영비용!12:12,CY$3,예정운영비용!21:21)/100000000*CY$17/12</f>
        <v>70.879373765838892</v>
      </c>
      <c r="CZ6" s="4762">
        <f ca="1">SUMIF(예정운영비용!12:12,CZ$3,예정운영비용!21:21)/100000000*CZ$17/12</f>
        <v>72.117746591574587</v>
      </c>
      <c r="DA6" s="4762">
        <f ca="1">SUMIF(예정운영비용!12:12,DA$3,예정운영비용!21:21)/100000000*DA$17/12</f>
        <v>72.117746591574587</v>
      </c>
      <c r="DB6" s="4762">
        <f ca="1">SUMIF(예정운영비용!12:12,DB$3,예정운영비용!21:21)/100000000*DB$17/12</f>
        <v>72.117746591574587</v>
      </c>
      <c r="DC6" s="4762">
        <f ca="1">SUMIF(예정운영비용!12:12,DC$3,예정운영비용!21:21)/100000000*DC$17/12</f>
        <v>72.117746591574587</v>
      </c>
      <c r="DD6" s="4762">
        <f ca="1">SUMIF(예정운영비용!12:12,DD$3,예정운영비용!21:21)/100000000*DD$17/12</f>
        <v>72.847417165369507</v>
      </c>
      <c r="DE6" s="4762">
        <f ca="1">SUMIF(예정운영비용!12:12,DE$3,예정운영비용!21:21)/100000000*DE$17/12</f>
        <v>72.847417165369507</v>
      </c>
      <c r="DF6" s="4762">
        <f ca="1">SUMIF(예정운영비용!12:12,DF$3,예정운영비용!21:21)/100000000*DF$17/12</f>
        <v>72.847417165369507</v>
      </c>
      <c r="DG6" s="4762">
        <f ca="1">SUMIF(예정운영비용!12:12,DG$3,예정운영비용!21:21)/100000000*DG$17/12</f>
        <v>72.847417165369507</v>
      </c>
      <c r="DH6" s="4762">
        <f ca="1">SUMIF(예정운영비용!12:12,DH$3,예정운영비용!21:21)/100000000*DH$17/12</f>
        <v>74.22971795133742</v>
      </c>
      <c r="DI6" s="4762">
        <f ca="1">SUMIF(예정운영비용!12:12,DI$3,예정운영비용!21:21)/100000000*DI$17/12</f>
        <v>74.22971795133742</v>
      </c>
      <c r="DJ6" s="4762">
        <f ca="1">SUMIF(예정운영비용!12:12,DJ$3,예정운영비용!21:21)/100000000*DJ$17/12</f>
        <v>74.22971795133742</v>
      </c>
      <c r="DK6" s="4762">
        <f ca="1">SUMIF(예정운영비용!12:12,DK$3,예정운영비용!21:21)/100000000*DK$17/12</f>
        <v>74.22971795133742</v>
      </c>
      <c r="DL6" s="4762">
        <f ca="1">SUMIF(예정운영비용!12:12,DL$3,예정운영비용!21:21)/100000000*DL$17/12</f>
        <v>74.886263084347561</v>
      </c>
      <c r="DM6" s="4762">
        <f ca="1">SUMIF(예정운영비용!12:12,DM$3,예정운영비용!21:21)/100000000*DM$17/12</f>
        <v>74.886263084347561</v>
      </c>
      <c r="DN6" s="4762">
        <f ca="1">SUMIF(예정운영비용!12:12,DN$3,예정운영비용!21:21)/100000000*DN$17/12</f>
        <v>74.886263084347561</v>
      </c>
      <c r="DO6" s="4762">
        <f ca="1">SUMIF(예정운영비용!12:12,DO$3,예정운영비용!21:21)/100000000*DO$17/12</f>
        <v>74.886263084347561</v>
      </c>
      <c r="DP6" s="4762">
        <f ca="1">SUMIF(예정운영비용!12:12,DP$3,예정운영비용!21:21)/100000000*DP$17/12</f>
        <v>76.23284155904534</v>
      </c>
      <c r="DQ6" s="4762">
        <f ca="1">SUMIF(예정운영비용!12:12,DQ$3,예정운영비용!21:21)/100000000*DQ$17/12</f>
        <v>76.23284155904534</v>
      </c>
      <c r="DR6" s="4762">
        <f ca="1">SUMIF(예정운영비용!12:12,DR$3,예정운영비용!21:21)/100000000*DR$17/12</f>
        <v>76.23284155904534</v>
      </c>
      <c r="DS6" s="4762">
        <f ca="1">SUMIF(예정운영비용!12:12,DS$3,예정운영비용!21:21)/100000000*DS$17/12</f>
        <v>76.23284155904534</v>
      </c>
      <c r="DT6" s="4762">
        <f ca="1">SUMIF(예정운영비용!12:12,DT$3,예정운영비용!21:21)/100000000*DT$17/12</f>
        <v>78.518417254811666</v>
      </c>
      <c r="DU6" s="4762">
        <f ca="1">SUMIF(예정운영비용!12:12,DU$3,예정운영비용!21:21)/100000000*DU$17/12</f>
        <v>78.518417254811666</v>
      </c>
      <c r="DV6" s="4762">
        <f ca="1">SUMIF(예정운영비용!12:12,DV$3,예정운영비용!21:21)/100000000*DV$17/12</f>
        <v>78.518417254811666</v>
      </c>
      <c r="DW6" s="4762">
        <f ca="1">SUMIF(예정운영비용!12:12,DW$3,예정운영비용!21:21)/100000000*DW$17/12</f>
        <v>78.518417254811666</v>
      </c>
      <c r="DX6" s="4762">
        <f ca="1">SUMIF(예정운영비용!12:12,DX$3,예정운영비용!21:21)/100000000*DX$17/12</f>
        <v>80.312681857776639</v>
      </c>
      <c r="DY6" s="4762">
        <f ca="1">SUMIF(예정운영비용!12:12,DY$3,예정운영비용!21:21)/100000000*DY$17/12</f>
        <v>80.312681857776639</v>
      </c>
      <c r="DZ6" s="4762">
        <f ca="1">SUMIF(예정운영비용!12:12,DZ$3,예정운영비용!21:21)/100000000*DZ$17/12</f>
        <v>80.312681857776639</v>
      </c>
      <c r="EA6" s="4762">
        <f ca="1">SUMIF(예정운영비용!12:12,EA$3,예정운영비용!21:21)/100000000*EA$17/12</f>
        <v>80.312681857776639</v>
      </c>
      <c r="EB6" s="4762">
        <f ca="1">SUMIF(예정운영비용!12:12,EB$3,예정운영비용!21:21)/100000000*EB$17/12</f>
        <v>81.318726014444749</v>
      </c>
      <c r="EC6" s="4762">
        <f ca="1">SUMIF(예정운영비용!12:12,EC$3,예정운영비용!21:21)/100000000*EC$17/12</f>
        <v>81.318726014444749</v>
      </c>
      <c r="ED6" s="4762">
        <f ca="1">SUMIF(예정운영비용!12:12,ED$3,예정운영비용!21:21)/100000000*ED$17/12</f>
        <v>81.318726014444749</v>
      </c>
      <c r="EE6" s="4762">
        <f ca="1">SUMIF(예정운영비용!12:12,EE$3,예정운영비용!21:21)/100000000*EE$17/12</f>
        <v>81.318726014444749</v>
      </c>
      <c r="EF6" s="4762">
        <f ca="1">SUMIF(예정운영비용!12:12,EF$3,예정운영비용!21:21)/100000000*EF$17/12</f>
        <v>82.867089059702195</v>
      </c>
      <c r="EG6" s="4762">
        <f ca="1">SUMIF(예정운영비용!12:12,EG$3,예정운영비용!21:21)/100000000*EG$17/12</f>
        <v>82.867089059702195</v>
      </c>
      <c r="EH6" s="4762">
        <f ca="1">SUMIF(예정운영비용!12:12,EH$3,예정운영비용!21:21)/100000000*EH$17/12</f>
        <v>82.867089059702195</v>
      </c>
      <c r="EI6" s="4762">
        <f ca="1">SUMIF(예정운영비용!12:12,EI$3,예정운영비용!21:21)/100000000*EI$17/12</f>
        <v>82.867089059702195</v>
      </c>
      <c r="EJ6" s="4762">
        <f ca="1">SUMIF(예정운영비용!12:12,EJ$3,예정운영비용!21:21)/100000000*EJ$17/12</f>
        <v>84.166086545133723</v>
      </c>
      <c r="EK6" s="4762">
        <f ca="1">SUMIF(예정운영비용!12:12,EK$3,예정운영비용!21:21)/100000000*EK$17/12</f>
        <v>84.166086545133723</v>
      </c>
      <c r="EL6" s="4762">
        <f ca="1">SUMIF(예정운영비용!12:12,EL$3,예정운영비용!21:21)/100000000*EL$17/12</f>
        <v>84.166086545133723</v>
      </c>
      <c r="EM6" s="4762">
        <f ca="1">SUMIF(예정운영비용!12:12,EM$3,예정운영비용!21:21)/100000000*EM$17/12</f>
        <v>84.166086545133723</v>
      </c>
      <c r="EN6" s="4762">
        <f ca="1">SUMIF(예정운영비용!12:12,EN$3,예정운영비용!21:21)/100000000*EN$17/12</f>
        <v>85.772376035140368</v>
      </c>
      <c r="EO6" s="4762">
        <f ca="1">SUMIF(예정운영비용!12:12,EO$3,예정운영비용!21:21)/100000000*EO$17/12</f>
        <v>85.772376035140368</v>
      </c>
      <c r="EP6" s="4762">
        <f ca="1">SUMIF(예정운영비용!12:12,EP$3,예정운영비용!21:21)/100000000*EP$17/12</f>
        <v>85.772376035140368</v>
      </c>
      <c r="EQ6" s="4762">
        <f ca="1">SUMIF(예정운영비용!12:12,EQ$3,예정운영비용!21:21)/100000000*EQ$17/12</f>
        <v>85.772376035140368</v>
      </c>
      <c r="ER6" s="4762">
        <f ca="1">SUMIF(예정운영비용!12:12,ER$3,예정운영비용!21:21)/100000000*ER$17/12</f>
        <v>86.575675506175159</v>
      </c>
      <c r="ES6" s="4762">
        <f ca="1">SUMIF(예정운영비용!12:12,ES$3,예정운영비용!21:21)/100000000*ES$17/12</f>
        <v>86.575675506175159</v>
      </c>
      <c r="ET6" s="4762">
        <f ca="1">SUMIF(예정운영비용!12:12,ET$3,예정운영비용!21:21)/100000000*ET$17/12</f>
        <v>86.575675506175159</v>
      </c>
      <c r="EU6" s="4762">
        <f ca="1">SUMIF(예정운영비용!12:12,EU$3,예정운영비용!21:21)/100000000*EU$17/12</f>
        <v>86.575675506175159</v>
      </c>
      <c r="EV6" s="4762">
        <f ca="1">SUMIF(예정운영비용!12:12,EV$3,예정운영비용!21:21)/100000000*EV$17/12</f>
        <v>88.037966093050613</v>
      </c>
      <c r="EW6" s="4762">
        <f ca="1">SUMIF(예정운영비용!12:12,EW$3,예정운영비용!21:21)/100000000*EW$17/12</f>
        <v>88.037966093050613</v>
      </c>
      <c r="EX6" s="4762">
        <f ca="1">SUMIF(예정운영비용!12:12,EX$3,예정운영비용!21:21)/100000000*EX$17/12</f>
        <v>88.037966093050613</v>
      </c>
      <c r="EY6" s="4762">
        <f ca="1">SUMIF(예정운영비용!12:12,EY$3,예정운영비용!21:21)/100000000*EY$17/12</f>
        <v>88.037966093050613</v>
      </c>
      <c r="EZ6" s="4762">
        <f ca="1">SUMIF(예정운영비용!12:12,EZ$3,예정운영비용!21:21)/100000000*EZ$17/12</f>
        <v>89.033225984340291</v>
      </c>
      <c r="FA6" s="4762">
        <f ca="1">SUMIF(예정운영비용!12:12,FA$3,예정운영비용!21:21)/100000000*FA$17/12</f>
        <v>89.033225984340291</v>
      </c>
      <c r="FB6" s="4762">
        <f ca="1">SUMIF(예정운영비용!12:12,FB$3,예정운영비용!21:21)/100000000*FB$17/12</f>
        <v>89.033225984340291</v>
      </c>
      <c r="FC6" s="4762">
        <f ca="1">SUMIF(예정운영비용!12:12,FC$3,예정운영비용!21:21)/100000000*FC$17/12</f>
        <v>89.033225984340291</v>
      </c>
      <c r="FD6" s="4762">
        <f ca="1">SUMIF(예정운영비용!12:12,FD$3,예정운영비용!21:21)/100000000*FD$17/12</f>
        <v>90.693251425606448</v>
      </c>
      <c r="FE6" s="4762">
        <f ca="1">SUMIF(예정운영비용!12:12,FE$3,예정운영비용!21:21)/100000000*FE$17/12</f>
        <v>90.693251425606448</v>
      </c>
      <c r="FF6" s="4762">
        <f ca="1">SUMIF(예정운영비용!12:12,FF$3,예정운영비용!21:21)/100000000*FF$17/12</f>
        <v>90.693251425606448</v>
      </c>
      <c r="FG6" s="4762">
        <f ca="1">SUMIF(예정운영비용!12:12,FG$3,예정운영비용!21:21)/100000000*FG$17/12</f>
        <v>90.693251425606448</v>
      </c>
      <c r="FH6" s="4762">
        <f ca="1">SUMIF(예정운영비용!12:12,FH$3,예정운영비용!21:21)/100000000*FH$17/12</f>
        <v>93.035087387094961</v>
      </c>
      <c r="FI6" s="4762">
        <f ca="1">SUMIF(예정운영비용!12:12,FI$3,예정운영비용!21:21)/100000000*FI$17/12</f>
        <v>93.035087387094961</v>
      </c>
      <c r="FJ6" s="4762">
        <f ca="1">SUMIF(예정운영비용!12:12,FJ$3,예정운영비용!21:21)/100000000*FJ$17/12</f>
        <v>93.035087387094961</v>
      </c>
      <c r="FK6" s="4762">
        <f ca="1">SUMIF(예정운영비용!12:12,FK$3,예정운영비용!21:21)/100000000*FK$17/12</f>
        <v>93.035087387094961</v>
      </c>
      <c r="FL6" s="4762">
        <f ca="1">SUMIF(예정운영비용!12:12,FL$3,예정운영비용!21:21)/100000000*FL$17/비용!FL18</f>
        <v>94.536445202082476</v>
      </c>
      <c r="FM6" s="4762">
        <f ca="1">SUMIF(예정운영비용!12:12,FM$3,예정운영비용!21:21)/100000000*FM$17/비용!FM18</f>
        <v>94.536445202082476</v>
      </c>
      <c r="FN6" s="4762">
        <f ca="1">SUMIF(예정운영비용!12:12,FN$3,예정운영비용!21:21)/100000000*FN$17/12</f>
        <v>0</v>
      </c>
      <c r="FO6" s="4762">
        <f ca="1">SUMIF(예정운영비용!12:12,FO$3,예정운영비용!21:21)/100000000*FO$17/12</f>
        <v>0</v>
      </c>
      <c r="FP6" s="731"/>
      <c r="FQ6" s="1205"/>
      <c r="FR6" s="1205"/>
      <c r="FS6" s="1206"/>
      <c r="FT6" s="731"/>
      <c r="FU6" s="1205"/>
      <c r="FV6" s="1205"/>
      <c r="FW6" s="1206"/>
      <c r="FX6" s="731"/>
      <c r="FY6" s="1205"/>
      <c r="FZ6" s="1205"/>
      <c r="GA6" s="1206"/>
      <c r="GB6" s="731"/>
      <c r="GC6" s="1205"/>
      <c r="GD6" s="1205"/>
      <c r="GE6" s="1206"/>
    </row>
    <row r="7" spans="1:187" ht="17.100000000000001" customHeight="1">
      <c r="B7" s="317" t="s">
        <v>1222</v>
      </c>
      <c r="C7" s="760" t="s">
        <v>5106</v>
      </c>
      <c r="D7" s="4998"/>
      <c r="E7" s="4999"/>
      <c r="F7" s="1260">
        <f t="shared" ca="1" si="11"/>
        <v>9736.6723186777308</v>
      </c>
      <c r="G7" s="4976"/>
      <c r="H7" s="4844"/>
      <c r="I7" s="4844"/>
      <c r="J7" s="4844"/>
      <c r="K7" s="4844"/>
      <c r="L7" s="4844"/>
      <c r="M7" s="4844"/>
      <c r="N7" s="4844"/>
      <c r="O7" s="4844"/>
      <c r="P7" s="4984"/>
      <c r="Q7" s="4984"/>
      <c r="R7" s="4984"/>
      <c r="S7" s="4984"/>
      <c r="T7" s="4762"/>
      <c r="U7" s="4762"/>
      <c r="V7" s="4762"/>
      <c r="W7" s="4762"/>
      <c r="X7" s="4762"/>
      <c r="Y7" s="4762"/>
      <c r="Z7" s="4762"/>
      <c r="AA7" s="4762"/>
      <c r="AB7" s="4762"/>
      <c r="AC7" s="4762"/>
      <c r="AD7" s="4762">
        <f>SUMIF(예정운영비용!12:12,AD$3,예정운영비용!25:25)/100000000*AD$17/12</f>
        <v>44.918387158845007</v>
      </c>
      <c r="AE7" s="4762">
        <f>SUMIF(예정운영비용!12:12,AE$3,예정운영비용!25:25)/100000000*AE$17/12</f>
        <v>44.918387158845007</v>
      </c>
      <c r="AF7" s="4762">
        <f>SUMIF(예정운영비용!12:12,AF$3,예정운영비용!25:25)/100000000*AF$17/12</f>
        <v>39.678707309047226</v>
      </c>
      <c r="AG7" s="4762">
        <f>SUMIF(예정운영비용!12:12,AG$3,예정운영비용!25:25)/100000000*AG$17/12</f>
        <v>39.678707309047226</v>
      </c>
      <c r="AH7" s="4762">
        <f>SUMIF(예정운영비용!12:12,AH$3,예정운영비용!25:25)/100000000*AH$17/12</f>
        <v>39.678707309047226</v>
      </c>
      <c r="AI7" s="4762">
        <f>SUMIF(예정운영비용!12:12,AI$3,예정운영비용!25:25)/100000000*AI$17/12</f>
        <v>39.678707309047226</v>
      </c>
      <c r="AJ7" s="4762">
        <f>SUMIF(예정운영비용!12:12,AJ$3,예정운영비용!25:25)/100000000*AJ$17/12</f>
        <v>39.00770848522447</v>
      </c>
      <c r="AK7" s="4762">
        <f>SUMIF(예정운영비용!12:12,AK$3,예정운영비용!25:25)/100000000*AK$17/12</f>
        <v>39.00770848522447</v>
      </c>
      <c r="AL7" s="4762">
        <f>SUMIF(예정운영비용!12:12,AL$3,예정운영비용!25:25)/100000000*AL$17/12</f>
        <v>39.00770848522447</v>
      </c>
      <c r="AM7" s="4762">
        <f>SUMIF(예정운영비용!12:12,AM$3,예정운영비용!25:25)/100000000*AM$17/12</f>
        <v>39.00770848522447</v>
      </c>
      <c r="AN7" s="4762">
        <f>SUMIF(예정운영비용!12:12,AN$3,예정운영비용!25:25)/100000000*AN$17/12</f>
        <v>38.879328907347116</v>
      </c>
      <c r="AO7" s="4762">
        <f>SUMIF(예정운영비용!12:12,AO$3,예정운영비용!25:25)/100000000*AO$17/12</f>
        <v>38.879328907347116</v>
      </c>
      <c r="AP7" s="4762">
        <f>SUMIF(예정운영비용!12:12,AP$3,예정운영비용!25:25)/100000000*AP$17/12</f>
        <v>38.879328907347116</v>
      </c>
      <c r="AQ7" s="4762">
        <f>SUMIF(예정운영비용!12:12,AQ$3,예정운영비용!25:25)/100000000*AQ$17/12</f>
        <v>38.879328907347116</v>
      </c>
      <c r="AR7" s="4762">
        <f>SUMIF(예정운영비용!12:12,AR$3,예정운영비용!25:25)/100000000*AR$17/12</f>
        <v>39.650837620751766</v>
      </c>
      <c r="AS7" s="4762">
        <f>SUMIF(예정운영비용!12:12,AS$3,예정운영비용!25:25)/100000000*AS$17/12</f>
        <v>39.650837620751766</v>
      </c>
      <c r="AT7" s="4762">
        <f>SUMIF(예정운영비용!12:12,AT$3,예정운영비용!25:25)/100000000*AT$17/12</f>
        <v>39.650837620751766</v>
      </c>
      <c r="AU7" s="4762">
        <f>SUMIF(예정운영비용!12:12,AU$3,예정운영비용!25:25)/100000000*AU$17/12</f>
        <v>39.650837620751766</v>
      </c>
      <c r="AV7" s="4762">
        <f>SUMIF(예정운영비용!12:12,AV$3,예정운영비용!25:25)/100000000*AV$17/12</f>
        <v>44.374674623531199</v>
      </c>
      <c r="AW7" s="4762">
        <f>SUMIF(예정운영비용!12:12,AW$3,예정운영비용!25:25)/100000000*AW$17/12</f>
        <v>44.374674623531199</v>
      </c>
      <c r="AX7" s="4762">
        <f>SUMIF(예정운영비용!12:12,AX$3,예정운영비용!25:25)/100000000*AX$17/12</f>
        <v>44.374674623531199</v>
      </c>
      <c r="AY7" s="4762">
        <f ca="1">SUMIF(예정운영비용!12:12,AY$3,예정운영비용!21:21)/100000000*AY$17/12</f>
        <v>58.709104473413383</v>
      </c>
      <c r="AZ7" s="4762">
        <f ca="1">SUMIF(예정운영비용!12:12,AZ$3,예정운영비용!21:21)/100000000*AZ$17/12</f>
        <v>59.515459654326541</v>
      </c>
      <c r="BA7" s="4762">
        <f ca="1">SUMIF(예정운영비용!12:12,BA$3,예정운영비용!21:21)/100000000*BA$17/12</f>
        <v>59.515459654326541</v>
      </c>
      <c r="BB7" s="4762">
        <f ca="1">SUMIF(예정운영비용!12:12,BB$3,예정운영비용!21:21)/100000000*BB$17/12</f>
        <v>59.515459654326541</v>
      </c>
      <c r="BC7" s="4762">
        <f ca="1">SUMIF(예정운영비용!12:12,BC$3,예정운영비용!21:21)/100000000*BC$17/12</f>
        <v>59.515459654326541</v>
      </c>
      <c r="BD7" s="4762">
        <f ca="1">SUMIF(예정운영비용!12:12,BD$3,예정운영비용!21:21)/100000000*BD$17/12</f>
        <v>60.569830699742219</v>
      </c>
      <c r="BE7" s="4762">
        <f ca="1">SUMIF(예정운영비용!12:12,BE$3,예정운영비용!21:21)/100000000*BE$17/12</f>
        <v>60.569830699742219</v>
      </c>
      <c r="BF7" s="4762">
        <f ca="1">SUMIF(예정운영비용!12:12,BF$3,예정운영비용!21:21)/100000000*BF$17/12</f>
        <v>60.569830699742219</v>
      </c>
      <c r="BG7" s="4762">
        <f ca="1">SUMIF(예정운영비용!12:12,BG$3,예정운영비용!21:21)/100000000*BG$17/12</f>
        <v>60.569830699742219</v>
      </c>
      <c r="BH7" s="4762">
        <f ca="1">SUMIF(예정운영비용!12:12,BH$3,예정운영비용!21:21)/100000000*BH$17/12</f>
        <v>61.614873021461818</v>
      </c>
      <c r="BI7" s="4762">
        <f ca="1">SUMIF(예정운영비용!12:12,BI$3,예정운영비용!21:21)/100000000*BI$17/12</f>
        <v>61.614873021461818</v>
      </c>
      <c r="BJ7" s="4762">
        <f ca="1">SUMIF(예정운영비용!12:12,BJ$3,예정운영비용!21:21)/100000000*BJ$17/12</f>
        <v>61.614873021461818</v>
      </c>
      <c r="BK7" s="4762">
        <f ca="1">SUMIF(예정운영비용!12:12,BK$3,예정운영비용!21:21)/100000000*BK$17/12</f>
        <v>61.614873021461818</v>
      </c>
      <c r="BL7" s="4762">
        <f ca="1">SUMIF(예정운영비용!12:12,BL$3,예정운영비용!21:21)/100000000*BL$17/12</f>
        <v>62.806854280379554</v>
      </c>
      <c r="BM7" s="4762">
        <f ca="1">SUMIF(예정운영비용!12:12,BM$3,예정운영비용!21:21)/100000000*BM$17/12</f>
        <v>62.806854280379554</v>
      </c>
      <c r="BN7" s="4762">
        <f ca="1">SUMIF(예정운영비용!12:12,BN$3,예정운영비용!21:21)/100000000*BN$17/12</f>
        <v>62.806854280379554</v>
      </c>
      <c r="BO7" s="4762">
        <f ca="1">SUMIF(예정운영비용!12:12,BO$3,예정운영비용!21:21)/100000000*BO$17/12</f>
        <v>62.806854280379554</v>
      </c>
      <c r="BP7" s="4762">
        <f ca="1">SUMIF(예정운영비용!12:12,BP$3,예정운영비용!21:21)/100000000*BP$17/12</f>
        <v>63.354756348140796</v>
      </c>
      <c r="BQ7" s="4762">
        <f ca="1">SUMIF(예정운영비용!12:12,BQ$3,예정운영비용!21:21)/100000000*BQ$17/12</f>
        <v>63.354756348140796</v>
      </c>
      <c r="BR7" s="4762">
        <f ca="1">SUMIF(예정운영비용!12:12,BR$3,예정운영비용!21:21)/100000000*BR$17/12</f>
        <v>63.354756348140796</v>
      </c>
      <c r="BS7" s="4762">
        <f ca="1">SUMIF(예정운영비용!12:12,BS$3,예정운영비용!21:21)/100000000*BS$17/12</f>
        <v>63.354756348140796</v>
      </c>
      <c r="BT7" s="4762">
        <f ca="1">SUMIF(예정운영비용!12:12,BT$3,예정운영비용!21:21)/100000000*BT$17/12</f>
        <v>64.447166328265624</v>
      </c>
      <c r="BU7" s="4762">
        <f ca="1">SUMIF(예정운영비용!12:12,BU$3,예정운영비용!21:21)/100000000*BU$17/12</f>
        <v>64.447166328265624</v>
      </c>
      <c r="BV7" s="4762">
        <f ca="1">SUMIF(예정운영비용!12:12,BV$3,예정운영비용!21:21)/100000000*BV$17/12</f>
        <v>64.447166328265624</v>
      </c>
      <c r="BW7" s="4762">
        <f ca="1">SUMIF(예정운영비용!12:12,BW$3,예정운영비용!21:21)/100000000*BW$17/12</f>
        <v>64.447166328265624</v>
      </c>
      <c r="BX7" s="4762">
        <f ca="1">SUMIF(예정운영비용!12:12,BX$3,예정운영비용!21:21)/100000000*BX$17/12</f>
        <v>65.095757092070926</v>
      </c>
      <c r="BY7" s="4762">
        <f ca="1">SUMIF(예정운영비용!12:12,BY$3,예정운영비용!21:21)/100000000*BY$17/12</f>
        <v>65.095757092070926</v>
      </c>
      <c r="BZ7" s="4762">
        <f ca="1">SUMIF(예정운영비용!12:12,BZ$3,예정운영비용!21:21)/100000000*BZ$17/12</f>
        <v>65.095757092070926</v>
      </c>
      <c r="CA7" s="4762">
        <f ca="1">SUMIF(예정운영비용!12:12,CA$3,예정운영비용!21:21)/100000000*CA$17/12</f>
        <v>65.095757092070926</v>
      </c>
      <c r="CB7" s="4762">
        <f ca="1">SUMIF(예정운영비용!12:12,CB$3,예정운영비용!21:21)/100000000*CB$17/12</f>
        <v>66.233600729782083</v>
      </c>
      <c r="CC7" s="4762">
        <f ca="1">SUMIF(예정운영비용!12:12,CC$3,예정운영비용!21:21)/100000000*CC$17/12</f>
        <v>66.233600729782083</v>
      </c>
      <c r="CD7" s="4762">
        <f ca="1">SUMIF(예정운영비용!12:12,CD$3,예정운영비용!21:21)/100000000*CD$17/12</f>
        <v>66.233600729782083</v>
      </c>
      <c r="CE7" s="4762">
        <f ca="1">SUMIF(예정운영비용!12:12,CE$3,예정운영비용!21:21)/100000000*CE$17/12</f>
        <v>66.233600729782083</v>
      </c>
      <c r="CF7" s="4762">
        <f ca="1">SUMIF(예정운영비용!12:12,CF$3,예정운영비용!21:21)/100000000*CF$17/12</f>
        <v>66.92029374241595</v>
      </c>
      <c r="CG7" s="4762">
        <f ca="1">SUMIF(예정운영비용!12:12,CG$3,예정운영비용!21:21)/100000000*CG$17/12</f>
        <v>66.92029374241595</v>
      </c>
      <c r="CH7" s="4762">
        <f ca="1">SUMIF(예정운영비용!12:12,CH$3,예정운영비용!21:21)/100000000*CH$17/12</f>
        <v>66.92029374241595</v>
      </c>
      <c r="CI7" s="4762">
        <f ca="1">SUMIF(예정운영비용!12:12,CI$3,예정운영비용!21:21)/100000000*CI$17/12</f>
        <v>66.92029374241595</v>
      </c>
      <c r="CJ7" s="4762">
        <f ca="1">SUMIF(예정운영비용!12:12,CJ$3,예정운영비용!21:21)/100000000*CJ$17/12</f>
        <v>68.118284990189679</v>
      </c>
      <c r="CK7" s="4762">
        <f ca="1">SUMIF(예정운영비용!12:12,CK$3,예정운영비용!21:21)/100000000*CK$17/12</f>
        <v>68.118284990189679</v>
      </c>
      <c r="CL7" s="4762">
        <f ca="1">SUMIF(예정운영비용!12:12,CL$3,예정운영비용!21:21)/100000000*CL$17/12</f>
        <v>68.118284990189679</v>
      </c>
      <c r="CM7" s="4762">
        <f ca="1">SUMIF(예정운영비용!12:12,CM$3,예정운영비용!21:21)/100000000*CM$17/12</f>
        <v>68.118284990189679</v>
      </c>
      <c r="CN7" s="4762">
        <f ca="1">SUMIF(예정운영비용!12:12,CN$3,예정운영비용!21:21)/100000000*CN$17/12</f>
        <v>68.904028601183214</v>
      </c>
      <c r="CO7" s="4762">
        <f ca="1">SUMIF(예정운영비용!12:12,CO$3,예정운영비용!21:21)/100000000*CO$17/12</f>
        <v>68.904028601183214</v>
      </c>
      <c r="CP7" s="4762">
        <f ca="1">SUMIF(예정운영비용!12:12,CP$3,예정운영비용!21:21)/100000000*CP$17/12</f>
        <v>68.904028601183214</v>
      </c>
      <c r="CQ7" s="4762">
        <f ca="1">SUMIF(예정운영비용!12:12,CQ$3,예정운영비용!21:21)/100000000*CQ$17/12</f>
        <v>68.904028601183214</v>
      </c>
      <c r="CR7" s="4762">
        <f ca="1">SUMIF(예정운영비용!12:12,CR$3,예정운영비용!21:21)/100000000*CR$17/12</f>
        <v>70.16095031184841</v>
      </c>
      <c r="CS7" s="4762">
        <f ca="1">SUMIF(예정운영비용!12:12,CS$3,예정운영비용!21:21)/100000000*CS$17/12</f>
        <v>70.16095031184841</v>
      </c>
      <c r="CT7" s="4762">
        <f ca="1">SUMIF(예정운영비용!12:12,CT$3,예정운영비용!21:21)/100000000*CT$17/12</f>
        <v>70.16095031184841</v>
      </c>
      <c r="CU7" s="4762">
        <f ca="1">SUMIF(예정운영비용!12:12,CU$3,예정운영비용!21:21)/100000000*CU$17/12</f>
        <v>70.16095031184841</v>
      </c>
      <c r="CV7" s="4762">
        <f ca="1">SUMIF(예정운영비용!12:12,CV$3,예정운영비용!21:21)/100000000*CV$17/12</f>
        <v>70.879373765838892</v>
      </c>
      <c r="CW7" s="4762">
        <f ca="1">SUMIF(예정운영비용!12:12,CW$3,예정운영비용!21:21)/100000000*CW$17/12</f>
        <v>70.879373765838892</v>
      </c>
      <c r="CX7" s="4762">
        <f ca="1">SUMIF(예정운영비용!12:12,CX$3,예정운영비용!21:21)/100000000*CX$17/12</f>
        <v>70.879373765838892</v>
      </c>
      <c r="CY7" s="4762">
        <f ca="1">SUMIF(예정운영비용!12:12,CY$3,예정운영비용!21:21)/100000000*CY$17/12</f>
        <v>70.879373765838892</v>
      </c>
      <c r="CZ7" s="4762">
        <f ca="1">SUMIF(예정운영비용!12:12,CZ$3,예정운영비용!21:21)/100000000*CZ$17/12</f>
        <v>72.117746591574587</v>
      </c>
      <c r="DA7" s="4762">
        <f ca="1">SUMIF(예정운영비용!12:12,DA$3,예정운영비용!21:21)/100000000*DA$17/12</f>
        <v>72.117746591574587</v>
      </c>
      <c r="DB7" s="4762">
        <f ca="1">SUMIF(예정운영비용!12:12,DB$3,예정운영비용!21:21)/100000000*DB$17/12</f>
        <v>72.117746591574587</v>
      </c>
      <c r="DC7" s="4762">
        <f ca="1">SUMIF(예정운영비용!12:12,DC$3,예정운영비용!21:21)/100000000*DC$17/12</f>
        <v>72.117746591574587</v>
      </c>
      <c r="DD7" s="4762">
        <f ca="1">SUMIF(예정운영비용!12:12,DD$3,예정운영비용!21:21)/100000000*DD$17/12</f>
        <v>72.847417165369507</v>
      </c>
      <c r="DE7" s="4762">
        <f ca="1">SUMIF(예정운영비용!12:12,DE$3,예정운영비용!21:21)/100000000*DE$17/12</f>
        <v>72.847417165369507</v>
      </c>
      <c r="DF7" s="4762">
        <f ca="1">SUMIF(예정운영비용!12:12,DF$3,예정운영비용!21:21)/100000000*DF$17/12</f>
        <v>72.847417165369507</v>
      </c>
      <c r="DG7" s="4762">
        <f ca="1">SUMIF(예정운영비용!12:12,DG$3,예정운영비용!21:21)/100000000*DG$17/12</f>
        <v>72.847417165369507</v>
      </c>
      <c r="DH7" s="4762">
        <f ca="1">SUMIF(예정운영비용!12:12,DH$3,예정운영비용!21:21)/100000000*DH$17/12</f>
        <v>74.22971795133742</v>
      </c>
      <c r="DI7" s="4762">
        <f ca="1">SUMIF(예정운영비용!12:12,DI$3,예정운영비용!21:21)/100000000*DI$17/12</f>
        <v>74.22971795133742</v>
      </c>
      <c r="DJ7" s="4762">
        <f ca="1">SUMIF(예정운영비용!12:12,DJ$3,예정운영비용!21:21)/100000000*DJ$17/12</f>
        <v>74.22971795133742</v>
      </c>
      <c r="DK7" s="4762">
        <f ca="1">SUMIF(예정운영비용!12:12,DK$3,예정운영비용!21:21)/100000000*DK$17/12</f>
        <v>74.22971795133742</v>
      </c>
      <c r="DL7" s="4762">
        <f ca="1">SUMIF(예정운영비용!12:12,DL$3,예정운영비용!21:21)/100000000*DL$17/12</f>
        <v>74.886263084347561</v>
      </c>
      <c r="DM7" s="4762">
        <f ca="1">SUMIF(예정운영비용!12:12,DM$3,예정운영비용!21:21)/100000000*DM$17/12</f>
        <v>74.886263084347561</v>
      </c>
      <c r="DN7" s="4762">
        <f ca="1">SUMIF(예정운영비용!12:12,DN$3,예정운영비용!21:21)/100000000*DN$17/12</f>
        <v>74.886263084347561</v>
      </c>
      <c r="DO7" s="4762">
        <f ca="1">SUMIF(예정운영비용!12:12,DO$3,예정운영비용!21:21)/100000000*DO$17/12</f>
        <v>74.886263084347561</v>
      </c>
      <c r="DP7" s="4762">
        <f ca="1">SUMIF(예정운영비용!12:12,DP$3,예정운영비용!21:21)/100000000*DP$17/12</f>
        <v>76.23284155904534</v>
      </c>
      <c r="DQ7" s="4762">
        <f ca="1">SUMIF(예정운영비용!12:12,DQ$3,예정운영비용!21:21)/100000000*DQ$17/12</f>
        <v>76.23284155904534</v>
      </c>
      <c r="DR7" s="4762">
        <f ca="1">SUMIF(예정운영비용!12:12,DR$3,예정운영비용!21:21)/100000000*DR$17/12</f>
        <v>76.23284155904534</v>
      </c>
      <c r="DS7" s="4762">
        <f ca="1">SUMIF(예정운영비용!12:12,DS$3,예정운영비용!21:21)/100000000*DS$17/12</f>
        <v>76.23284155904534</v>
      </c>
      <c r="DT7" s="4762">
        <f ca="1">SUMIF(예정운영비용!12:12,DT$3,예정운영비용!21:21)/100000000*DT$17/12</f>
        <v>78.518417254811666</v>
      </c>
      <c r="DU7" s="4762">
        <f ca="1">SUMIF(예정운영비용!12:12,DU$3,예정운영비용!21:21)/100000000*DU$17/12</f>
        <v>78.518417254811666</v>
      </c>
      <c r="DV7" s="4762">
        <f ca="1">SUMIF(예정운영비용!12:12,DV$3,예정운영비용!21:21)/100000000*DV$17/12</f>
        <v>78.518417254811666</v>
      </c>
      <c r="DW7" s="4762">
        <f ca="1">SUMIF(예정운영비용!12:12,DW$3,예정운영비용!21:21)/100000000*DW$17/12</f>
        <v>78.518417254811666</v>
      </c>
      <c r="DX7" s="4762">
        <f ca="1">SUMIF(예정운영비용!12:12,DX$3,예정운영비용!21:21)/100000000*DX$17/12</f>
        <v>80.312681857776639</v>
      </c>
      <c r="DY7" s="4762">
        <f ca="1">SUMIF(예정운영비용!12:12,DY$3,예정운영비용!21:21)/100000000*DY$17/12</f>
        <v>80.312681857776639</v>
      </c>
      <c r="DZ7" s="4762">
        <f ca="1">SUMIF(예정운영비용!12:12,DZ$3,예정운영비용!21:21)/100000000*DZ$17/12</f>
        <v>80.312681857776639</v>
      </c>
      <c r="EA7" s="4762">
        <f ca="1">SUMIF(예정운영비용!12:12,EA$3,예정운영비용!21:21)/100000000*EA$17/12</f>
        <v>80.312681857776639</v>
      </c>
      <c r="EB7" s="4762">
        <f ca="1">SUMIF(예정운영비용!12:12,EB$3,예정운영비용!21:21)/100000000*EB$17/12</f>
        <v>81.318726014444749</v>
      </c>
      <c r="EC7" s="4762">
        <f ca="1">SUMIF(예정운영비용!12:12,EC$3,예정운영비용!21:21)/100000000*EC$17/12</f>
        <v>81.318726014444749</v>
      </c>
      <c r="ED7" s="4762">
        <f ca="1">SUMIF(예정운영비용!12:12,ED$3,예정운영비용!21:21)/100000000*ED$17/12</f>
        <v>81.318726014444749</v>
      </c>
      <c r="EE7" s="4762">
        <f ca="1">SUMIF(예정운영비용!12:12,EE$3,예정운영비용!21:21)/100000000*EE$17/12</f>
        <v>81.318726014444749</v>
      </c>
      <c r="EF7" s="4762">
        <f ca="1">SUMIF(예정운영비용!12:12,EF$3,예정운영비용!21:21)/100000000*EF$17/12</f>
        <v>82.867089059702195</v>
      </c>
      <c r="EG7" s="4762">
        <f ca="1">SUMIF(예정운영비용!12:12,EG$3,예정운영비용!21:21)/100000000*EG$17/12</f>
        <v>82.867089059702195</v>
      </c>
      <c r="EH7" s="4762">
        <f ca="1">SUMIF(예정운영비용!12:12,EH$3,예정운영비용!21:21)/100000000*EH$17/12</f>
        <v>82.867089059702195</v>
      </c>
      <c r="EI7" s="4762">
        <f ca="1">SUMIF(예정운영비용!12:12,EI$3,예정운영비용!21:21)/100000000*EI$17/12</f>
        <v>82.867089059702195</v>
      </c>
      <c r="EJ7" s="4762">
        <f ca="1">SUMIF(예정운영비용!12:12,EJ$3,예정운영비용!21:21)/100000000*EJ$17/12</f>
        <v>84.166086545133723</v>
      </c>
      <c r="EK7" s="4762">
        <f ca="1">SUMIF(예정운영비용!12:12,EK$3,예정운영비용!21:21)/100000000*EK$17/12</f>
        <v>84.166086545133723</v>
      </c>
      <c r="EL7" s="4762">
        <f ca="1">SUMIF(예정운영비용!12:12,EL$3,예정운영비용!21:21)/100000000*EL$17/12</f>
        <v>84.166086545133723</v>
      </c>
      <c r="EM7" s="4762">
        <f ca="1">SUMIF(예정운영비용!12:12,EM$3,예정운영비용!21:21)/100000000*EM$17/12</f>
        <v>84.166086545133723</v>
      </c>
      <c r="EN7" s="4762">
        <f ca="1">SUMIF(예정운영비용!12:12,EN$3,예정운영비용!21:21)/100000000*EN$17/12</f>
        <v>85.772376035140368</v>
      </c>
      <c r="EO7" s="4762">
        <f ca="1">SUMIF(예정운영비용!12:12,EO$3,예정운영비용!21:21)/100000000*EO$17/12</f>
        <v>85.772376035140368</v>
      </c>
      <c r="EP7" s="4762">
        <f ca="1">SUMIF(예정운영비용!12:12,EP$3,예정운영비용!21:21)/100000000*EP$17/12</f>
        <v>85.772376035140368</v>
      </c>
      <c r="EQ7" s="4762">
        <f ca="1">SUMIF(예정운영비용!12:12,EQ$3,예정운영비용!21:21)/100000000*EQ$17/12</f>
        <v>85.772376035140368</v>
      </c>
      <c r="ER7" s="4762">
        <f ca="1">SUMIF(예정운영비용!12:12,ER$3,예정운영비용!21:21)/100000000*ER$17/12</f>
        <v>86.575675506175159</v>
      </c>
      <c r="ES7" s="4762">
        <f ca="1">SUMIF(예정운영비용!12:12,ES$3,예정운영비용!21:21)/100000000*ES$17/12</f>
        <v>86.575675506175159</v>
      </c>
      <c r="ET7" s="4762">
        <f ca="1">SUMIF(예정운영비용!12:12,ET$3,예정운영비용!21:21)/100000000*ET$17/12</f>
        <v>86.575675506175159</v>
      </c>
      <c r="EU7" s="4762">
        <f ca="1">SUMIF(예정운영비용!12:12,EU$3,예정운영비용!21:21)/100000000*EU$17/12</f>
        <v>86.575675506175159</v>
      </c>
      <c r="EV7" s="4762">
        <f ca="1">SUMIF(예정운영비용!12:12,EV$3,예정운영비용!21:21)/100000000*EV$17/12</f>
        <v>88.037966093050613</v>
      </c>
      <c r="EW7" s="4762">
        <f ca="1">SUMIF(예정운영비용!12:12,EW$3,예정운영비용!21:21)/100000000*EW$17/12</f>
        <v>88.037966093050613</v>
      </c>
      <c r="EX7" s="4762">
        <f ca="1">SUMIF(예정운영비용!12:12,EX$3,예정운영비용!21:21)/100000000*EX$17/12</f>
        <v>88.037966093050613</v>
      </c>
      <c r="EY7" s="4762">
        <f ca="1">SUMIF(예정운영비용!12:12,EY$3,예정운영비용!21:21)/100000000*EY$17/12</f>
        <v>88.037966093050613</v>
      </c>
      <c r="EZ7" s="4762">
        <f ca="1">SUMIF(예정운영비용!12:12,EZ$3,예정운영비용!21:21)/100000000*EZ$17/12</f>
        <v>89.033225984340291</v>
      </c>
      <c r="FA7" s="4762">
        <f ca="1">SUMIF(예정운영비용!12:12,FA$3,예정운영비용!21:21)/100000000*FA$17/12</f>
        <v>89.033225984340291</v>
      </c>
      <c r="FB7" s="4762">
        <f ca="1">SUMIF(예정운영비용!12:12,FB$3,예정운영비용!21:21)/100000000*FB$17/12</f>
        <v>89.033225984340291</v>
      </c>
      <c r="FC7" s="4762">
        <f ca="1">SUMIF(예정운영비용!12:12,FC$3,예정운영비용!21:21)/100000000*FC$17/12</f>
        <v>89.033225984340291</v>
      </c>
      <c r="FD7" s="4762">
        <f ca="1">SUMIF(예정운영비용!12:12,FD$3,예정운영비용!21:21)/100000000*FD$17/12</f>
        <v>90.693251425606448</v>
      </c>
      <c r="FE7" s="4762">
        <f ca="1">SUMIF(예정운영비용!12:12,FE$3,예정운영비용!21:21)/100000000*FE$17/12</f>
        <v>90.693251425606448</v>
      </c>
      <c r="FF7" s="4762">
        <f ca="1">SUMIF(예정운영비용!12:12,FF$3,예정운영비용!21:21)/100000000*FF$17/12</f>
        <v>90.693251425606448</v>
      </c>
      <c r="FG7" s="4762">
        <f ca="1">SUMIF(예정운영비용!12:12,FG$3,예정운영비용!21:21)/100000000*FG$17/12</f>
        <v>90.693251425606448</v>
      </c>
      <c r="FH7" s="4762">
        <f ca="1">SUMIF(예정운영비용!12:12,FH$3,예정운영비용!21:21)/100000000*FH$17/12</f>
        <v>93.035087387094961</v>
      </c>
      <c r="FI7" s="4762">
        <f ca="1">SUMIF(예정운영비용!12:12,FI$3,예정운영비용!21:21)/100000000*FI$17/12</f>
        <v>93.035087387094961</v>
      </c>
      <c r="FJ7" s="4762">
        <f ca="1">SUMIF(예정운영비용!12:12,FJ$3,예정운영비용!21:21)/100000000*FJ$17/12</f>
        <v>93.035087387094961</v>
      </c>
      <c r="FK7" s="4762">
        <f ca="1">SUMIF(예정운영비용!12:12,FK$3,예정운영비용!21:21)/100000000*FK$17/12</f>
        <v>93.035087387094961</v>
      </c>
      <c r="FL7" s="4762">
        <f ca="1">SUMIF(예정운영비용!12:12,FL$3,예정운영비용!21:21)/100000000*FL$17/비용!FL18</f>
        <v>94.536445202082476</v>
      </c>
      <c r="FM7" s="4762">
        <f ca="1">SUMIF(예정운영비용!12:12,FM$3,예정운영비용!21:21)/100000000*FM$17/비용!FM18</f>
        <v>94.536445202082476</v>
      </c>
      <c r="FN7" s="4762">
        <f>SUMIF(예정운영비용!12:12,FN$3,예정운영비용!25:25)/100000000*FN$17/12</f>
        <v>0</v>
      </c>
      <c r="FO7" s="4762">
        <f>SUMIF(예정운영비용!12:12,FO$3,예정운영비용!25:25)/100000000*FO$17/12</f>
        <v>0</v>
      </c>
      <c r="FP7" s="731">
        <f>SUMIF(운영비용!2:2,FP$3,운영비용!5:5)/100000000*FP$17/비용!FP$18*$E7</f>
        <v>0</v>
      </c>
      <c r="FQ7" s="1205">
        <f>SUMIF(운영비용!2:2,FQ$3,운영비용!5:5)/100000000*FQ$17/비용!FQ$18*$E7</f>
        <v>0</v>
      </c>
      <c r="FR7" s="1205">
        <f>SUMIF(운영비용!2:2,FR$3,운영비용!5:5)/100000000*FR$17/비용!FR$18*$E7</f>
        <v>0</v>
      </c>
      <c r="FS7" s="1206">
        <f>SUMIF(운영비용!2:2,FS$3,운영비용!5:5)/100000000*FS$17/비용!FS$18*$E7</f>
        <v>0</v>
      </c>
      <c r="FT7" s="731">
        <f>SUMIF(운영비용!2:2,FT$3,운영비용!5:5)/100000000*FT$17/비용!FT$18*$E7</f>
        <v>0</v>
      </c>
      <c r="FU7" s="1205">
        <f>SUMIF(운영비용!2:2,FU$3,운영비용!5:5)/100000000*FU$17/비용!FU$18*$E7</f>
        <v>0</v>
      </c>
      <c r="FV7" s="1205">
        <f>SUMIF(운영비용!2:2,FV$3,운영비용!5:5)/100000000*FV$17/비용!FV$18*$E7</f>
        <v>0</v>
      </c>
      <c r="FW7" s="1206">
        <f>SUMIF(운영비용!2:2,FW$3,운영비용!5:5)/100000000*FW$17/비용!FW$18*$E7</f>
        <v>0</v>
      </c>
      <c r="FX7" s="731">
        <f>SUMIF(운영비용!2:2,FX$3,운영비용!5:5)/100000000*FX$17/비용!FX$18*$E7</f>
        <v>0</v>
      </c>
      <c r="FY7" s="1205">
        <f>SUMIF(운영비용!2:2,FY$3,운영비용!5:5)/100000000*FY$17/비용!FY$18*$E7</f>
        <v>0</v>
      </c>
      <c r="FZ7" s="1205">
        <f>SUMIF(운영비용!2:2,FZ$3,운영비용!5:5)/100000000*FZ$17/비용!FZ$18*$E7</f>
        <v>0</v>
      </c>
      <c r="GA7" s="1206">
        <f>SUMIF(운영비용!2:2,GA$3,운영비용!5:5)/100000000*GA$17/비용!GA$18*$E7</f>
        <v>0</v>
      </c>
      <c r="GB7" s="731">
        <f>SUMIF(운영비용!2:2,GB$3,운영비용!5:5)/100000000*GB$17/비용!GB$18*$E7</f>
        <v>0</v>
      </c>
      <c r="GC7" s="1205">
        <f>SUMIF(운영비용!2:2,GC$3,운영비용!5:5)/100000000*GC$17/비용!GC$18*$E7</f>
        <v>0</v>
      </c>
      <c r="GD7" s="1205">
        <f>SUMIF(운영비용!2:2,GD$3,운영비용!5:5)/100000000*GD$17/비용!GD$18*$E7</f>
        <v>0</v>
      </c>
      <c r="GE7" s="1206">
        <f>SUMIF(운영비용!2:2,GE$3,운영비용!5:5)/100000000*GE$17/비용!GE$18*$E7</f>
        <v>0</v>
      </c>
    </row>
    <row r="8" spans="1:187" ht="17.100000000000001" customHeight="1">
      <c r="B8" s="4768" t="s">
        <v>1223</v>
      </c>
      <c r="C8" s="5000"/>
      <c r="D8" s="5001">
        <f ca="1">SUM(AD6:FM6)-SUM(AD7:FM7)</f>
        <v>315.94211897581044</v>
      </c>
      <c r="E8" s="5002">
        <f ca="1">민감도!E79</f>
        <v>1</v>
      </c>
      <c r="F8" s="4995">
        <f t="shared" ca="1" si="11"/>
        <v>41.97485677596859</v>
      </c>
      <c r="G8" s="4977"/>
      <c r="H8" s="4987">
        <f ca="1">SUMIF('대체비,유지보수비'!9:9,H$3,'대체비,유지보수비'!62:62)/100*H$17/12*$E8</f>
        <v>0</v>
      </c>
      <c r="I8" s="4987">
        <f ca="1">SUMIF('대체비,유지보수비'!9:9,I$3,'대체비,유지보수비'!62:62)/100*I$17/12*$E8</f>
        <v>0</v>
      </c>
      <c r="J8" s="4987">
        <f ca="1">SUMIF('대체비,유지보수비'!9:9,J$3,'대체비,유지보수비'!62:62)/100*J$17/12*$E8</f>
        <v>0</v>
      </c>
      <c r="K8" s="4987">
        <f ca="1">SUMIF('대체비,유지보수비'!9:9,K$3,'대체비,유지보수비'!62:62)/100*K$17/12*$E8</f>
        <v>0</v>
      </c>
      <c r="L8" s="4844">
        <f ca="1">SUMIF('대체비,유지보수비'!9:9,L$3,'대체비,유지보수비'!62:62)/100*L$17/12*$E8</f>
        <v>0</v>
      </c>
      <c r="M8" s="4844">
        <f ca="1">SUMIF('대체비,유지보수비'!9:9,M$3,'대체비,유지보수비'!62:62)/100*M$17/12*$E8</f>
        <v>0</v>
      </c>
      <c r="N8" s="4844">
        <f ca="1">SUMIF('대체비,유지보수비'!9:9,N$3,'대체비,유지보수비'!62:62)/100*N$17/12*$E8</f>
        <v>0</v>
      </c>
      <c r="O8" s="4844">
        <f ca="1">SUMIF('대체비,유지보수비'!9:9,O$3,'대체비,유지보수비'!62:62)/100*O$17/12*$E8</f>
        <v>0</v>
      </c>
      <c r="P8" s="4984">
        <f ca="1">SUMIF('대체비,유지보수비'!9:9,P$3,'대체비,유지보수비'!62:62)/100*P$17/12*$E8</f>
        <v>0</v>
      </c>
      <c r="Q8" s="4984">
        <f ca="1">SUMIF('대체비,유지보수비'!9:9,Q$3,'대체비,유지보수비'!62:62)/100*Q$17/12*$E8</f>
        <v>0</v>
      </c>
      <c r="R8" s="4984">
        <f ca="1">SUMIF('대체비,유지보수비'!9:9,R$3,'대체비,유지보수비'!62:62)/100*R$17/12*$E8</f>
        <v>0</v>
      </c>
      <c r="S8" s="4984">
        <f ca="1">SUMIF('대체비,유지보수비'!9:9,S$3,'대체비,유지보수비'!62:62)/100*S$17/12*$E8</f>
        <v>0</v>
      </c>
      <c r="T8" s="4762">
        <f ca="1">SUMIF('대체비,유지보수비'!9:9,T$3,'대체비,유지보수비'!62:62)/100*T$17/12*$E8</f>
        <v>0</v>
      </c>
      <c r="U8" s="4762">
        <f ca="1">SUMIF('대체비,유지보수비'!9:9,U$3,'대체비,유지보수비'!62:62)/100*U$17/12*$E8</f>
        <v>0</v>
      </c>
      <c r="V8" s="4762">
        <f ca="1">SUMIF('대체비,유지보수비'!9:9,V$3,'대체비,유지보수비'!62:62)/100*V$17/12*$E8</f>
        <v>0</v>
      </c>
      <c r="W8" s="4762">
        <f ca="1">SUMIF('대체비,유지보수비'!9:9,W$3,'대체비,유지보수비'!62:62)/100*W$17/12*$E8</f>
        <v>0</v>
      </c>
      <c r="X8" s="4762">
        <f ca="1">SUMIF('대체비,유지보수비'!9:9,X$3,'대체비,유지보수비'!62:62)/100*X$17/12*$E8</f>
        <v>0</v>
      </c>
      <c r="Y8" s="4762">
        <f ca="1">SUMIF('대체비,유지보수비'!9:9,Y$3,'대체비,유지보수비'!62:62)/100*Y$17/12*$E8</f>
        <v>0</v>
      </c>
      <c r="Z8" s="4762">
        <f ca="1">SUMIF('대체비,유지보수비'!9:9,Z$3,'대체비,유지보수비'!62:62)/100*Z$17/12*$E8</f>
        <v>0</v>
      </c>
      <c r="AA8" s="4762">
        <f ca="1">SUMIF('대체비,유지보수비'!9:9,AA$3,'대체비,유지보수비'!62:62)/100*AA$17/12*$E8</f>
        <v>0</v>
      </c>
      <c r="AB8" s="4762">
        <f ca="1">SUMIF('대체비,유지보수비'!9:9,AB$3,'대체비,유지보수비'!62:62)/100*AB$17/12*$E8</f>
        <v>0</v>
      </c>
      <c r="AC8" s="4762">
        <f ca="1">SUMIF('대체비,유지보수비'!9:9,AC$3,'대체비,유지보수비'!62:62)/100*AC$17/12*$E8</f>
        <v>0</v>
      </c>
      <c r="AD8" s="4762">
        <f ca="1">SUMIF('대체비,유지보수비'!9:9,AD$3,'대체비,유지보수비'!62:62)/100*AD$17/12*$E8</f>
        <v>0</v>
      </c>
      <c r="AE8" s="4762">
        <f ca="1">SUMIF('대체비,유지보수비'!9:9,AE$3,'대체비,유지보수비'!62:62)/100*AE$17/12*$E8</f>
        <v>0</v>
      </c>
      <c r="AF8" s="4762">
        <f ca="1">SUMIF('대체비,유지보수비'!9:9,AF$3,'대체비,유지보수비'!62:62)/100*AF$17/12*$E8</f>
        <v>0</v>
      </c>
      <c r="AG8" s="4762">
        <f ca="1">SUMIF('대체비,유지보수비'!9:9,AG$3,'대체비,유지보수비'!62:62)/100*AG$17/12*$E8</f>
        <v>0</v>
      </c>
      <c r="AH8" s="4762">
        <f ca="1">SUMIF('대체비,유지보수비'!9:9,AH$3,'대체비,유지보수비'!62:62)/100*AH$17/12*$E8</f>
        <v>0</v>
      </c>
      <c r="AI8" s="4762">
        <f ca="1">SUMIF('대체비,유지보수비'!9:9,AI$3,'대체비,유지보수비'!62:62)/100*AI$17/12*$E8</f>
        <v>0</v>
      </c>
      <c r="AJ8" s="4762">
        <f ca="1">SUMIF('대체비,유지보수비'!9:9,AJ$3,'대체비,유지보수비'!62:62)/100*AJ$17/12*$E8</f>
        <v>0</v>
      </c>
      <c r="AK8" s="4762">
        <f ca="1">SUMIF('대체비,유지보수비'!9:9,AK$3,'대체비,유지보수비'!62:62)/100*AK$17/12*$E8</f>
        <v>0</v>
      </c>
      <c r="AL8" s="4762">
        <f ca="1">SUMIF('대체비,유지보수비'!9:9,AL$3,'대체비,유지보수비'!62:62)/100*AL$17/12*$E8</f>
        <v>0</v>
      </c>
      <c r="AM8" s="4762">
        <f ca="1">SUMIF('대체비,유지보수비'!9:9,AM$3,'대체비,유지보수비'!62:62)/100*AM$17/12*$E8</f>
        <v>0</v>
      </c>
      <c r="AN8" s="4762">
        <f ca="1">SUMIF('대체비,유지보수비'!9:9,AN$3,'대체비,유지보수비'!62:62)/100*AN$17/12*$E8</f>
        <v>0.53076007530049996</v>
      </c>
      <c r="AO8" s="4762">
        <f ca="1">SUMIF('대체비,유지보수비'!9:9,AO$3,'대체비,유지보수비'!62:62)/100*AO$17/12*$E8</f>
        <v>0.53076007530049996</v>
      </c>
      <c r="AP8" s="4762">
        <f ca="1">SUMIF('대체비,유지보수비'!9:9,AP$3,'대체비,유지보수비'!62:62)/100*AP$17/12*$E8</f>
        <v>0.53076007530049996</v>
      </c>
      <c r="AQ8" s="4762">
        <f ca="1">SUMIF('대체비,유지보수비'!9:9,AQ$3,'대체비,유지보수비'!62:62)/100*AQ$17/12*$E8</f>
        <v>0.53076007530049996</v>
      </c>
      <c r="AR8" s="4762">
        <f ca="1">SUMIF('대체비,유지보수비'!9:9,AR$3,'대체비,유지보수비'!62:62)/100*AR$17/12*$E8</f>
        <v>0</v>
      </c>
      <c r="AS8" s="4762">
        <f ca="1">SUMIF('대체비,유지보수비'!9:9,AS$3,'대체비,유지보수비'!62:62)/100*AS$17/12*$E8</f>
        <v>0</v>
      </c>
      <c r="AT8" s="4762">
        <f ca="1">SUMIF('대체비,유지보수비'!9:9,AT$3,'대체비,유지보수비'!62:62)/100*AT$17/12*$E8</f>
        <v>0</v>
      </c>
      <c r="AU8" s="4762">
        <f ca="1">SUMIF('대체비,유지보수비'!9:9,AU$3,'대체비,유지보수비'!62:62)/100*AU$17/12*$E8</f>
        <v>0</v>
      </c>
      <c r="AV8" s="4762">
        <f ca="1">SUMIF('대체비,유지보수비'!9:9,AV$3,'대체비,유지보수비'!62:62)/100*AV$17/12*$E8</f>
        <v>1.2344566444160108</v>
      </c>
      <c r="AW8" s="4762">
        <f ca="1">SUMIF('대체비,유지보수비'!9:9,AW$3,'대체비,유지보수비'!62:62)/100*AW$17/12*$E8</f>
        <v>1.2344566444160108</v>
      </c>
      <c r="AX8" s="4762">
        <f ca="1">SUMIF('대체비,유지보수비'!9:9,AX$3,'대체비,유지보수비'!62:62)/100*AX$17/12*$E8</f>
        <v>1.2344566444160108</v>
      </c>
      <c r="AY8" s="4762">
        <f ca="1">SUMIF('대체비,유지보수비'!9:9,AY$3,'대체비,유지보수비'!62:62)/100*AY$17/12*$E8</f>
        <v>1.2344566444160108</v>
      </c>
      <c r="AZ8" s="4762">
        <f ca="1">SUMIF('대체비,유지보수비'!9:9,AZ$3,'대체비,유지보수비'!62:62)/100*AZ$17/12*$E8</f>
        <v>0</v>
      </c>
      <c r="BA8" s="4762">
        <f ca="1">SUMIF('대체비,유지보수비'!9:9,BA$3,'대체비,유지보수비'!62:62)/100*BA$17/12*$E8</f>
        <v>0</v>
      </c>
      <c r="BB8" s="4762">
        <f ca="1">SUMIF('대체비,유지보수비'!9:9,BB$3,'대체비,유지보수비'!62:62)/100*BB$17/12*$E8</f>
        <v>0</v>
      </c>
      <c r="BC8" s="4762">
        <f ca="1">SUMIF('대체비,유지보수비'!9:9,BC$3,'대체비,유지보수비'!62:62)/100*BC$17/12*$E8</f>
        <v>0</v>
      </c>
      <c r="BD8" s="4762">
        <f ca="1">SUMIF('대체비,유지보수비'!9:9,BD$3,'대체비,유지보수비'!62:62)/100*BD$17/12*$E8</f>
        <v>0.66277327524672269</v>
      </c>
      <c r="BE8" s="4762">
        <f ca="1">SUMIF('대체비,유지보수비'!9:9,BE$3,'대체비,유지보수비'!62:62)/100*BE$17/12*$E8</f>
        <v>0.66277327524672269</v>
      </c>
      <c r="BF8" s="4762">
        <f ca="1">SUMIF('대체비,유지보수비'!9:9,BF$3,'대체비,유지보수비'!62:62)/100*BF$17/12*$E8</f>
        <v>0.66277327524672269</v>
      </c>
      <c r="BG8" s="4762">
        <f ca="1">SUMIF('대체비,유지보수비'!9:9,BG$3,'대체비,유지보수비'!62:62)/100*BG$17/12*$E8</f>
        <v>0.66277327524672269</v>
      </c>
      <c r="BH8" s="4762">
        <f ca="1">SUMIF('대체비,유지보수비'!9:9,BH$3,'대체비,유지보수비'!62:62)/100*BH$17/12*$E8</f>
        <v>0</v>
      </c>
      <c r="BI8" s="4762">
        <f ca="1">SUMIF('대체비,유지보수비'!9:9,BI$3,'대체비,유지보수비'!62:62)/100*BI$17/12*$E8</f>
        <v>0</v>
      </c>
      <c r="BJ8" s="4762">
        <f ca="1">SUMIF('대체비,유지보수비'!9:9,BJ$3,'대체비,유지보수비'!62:62)/100*BJ$17/12*$E8</f>
        <v>0</v>
      </c>
      <c r="BK8" s="4762">
        <f ca="1">SUMIF('대체비,유지보수비'!9:9,BK$3,'대체비,유지보수비'!62:62)/100*BK$17/12*$E8</f>
        <v>0</v>
      </c>
      <c r="BL8" s="4762">
        <f ca="1">SUMIF('대체비,유지보수비'!9:9,BL$3,'대체비,유지보수비'!62:62)/100*BL$17/12*$E8</f>
        <v>0</v>
      </c>
      <c r="BM8" s="4762">
        <f ca="1">SUMIF('대체비,유지보수비'!9:9,BM$3,'대체비,유지보수비'!62:62)/100*BM$17/12*$E8</f>
        <v>0</v>
      </c>
      <c r="BN8" s="4762">
        <f ca="1">SUMIF('대체비,유지보수비'!9:9,BN$3,'대체비,유지보수비'!62:62)/100*BN$17/12*$E8</f>
        <v>0</v>
      </c>
      <c r="BO8" s="4762">
        <f ca="1">SUMIF('대체비,유지보수비'!9:9,BO$3,'대체비,유지보수비'!62:62)/100*BO$17/12*$E8</f>
        <v>0</v>
      </c>
      <c r="BP8" s="4762">
        <f ca="1">SUMIF('대체비,유지보수비'!9:9,BP$3,'대체비,유지보수비'!62:62)/100*BP$17/12*$E8</f>
        <v>0</v>
      </c>
      <c r="BQ8" s="4762">
        <f ca="1">SUMIF('대체비,유지보수비'!9:9,BQ$3,'대체비,유지보수비'!62:62)/100*BQ$17/12*$E8</f>
        <v>0</v>
      </c>
      <c r="BR8" s="4762">
        <f ca="1">SUMIF('대체비,유지보수비'!9:9,BR$3,'대체비,유지보수비'!62:62)/100*BR$17/12*$E8</f>
        <v>0</v>
      </c>
      <c r="BS8" s="4762">
        <f ca="1">SUMIF('대체비,유지보수비'!9:9,BS$3,'대체비,유지보수비'!62:62)/100*BS$17/12*$E8</f>
        <v>0</v>
      </c>
      <c r="BT8" s="4762">
        <f ca="1">SUMIF('대체비,유지보수비'!9:9,BT$3,'대체비,유지보수비'!62:62)/100*BT$17/12*$E8</f>
        <v>0.86210565992821786</v>
      </c>
      <c r="BU8" s="4762">
        <f ca="1">SUMIF('대체비,유지보수비'!9:9,BU$3,'대체비,유지보수비'!62:62)/100*BU$17/12*$E8</f>
        <v>0.86210565992821786</v>
      </c>
      <c r="BV8" s="4762">
        <f ca="1">SUMIF('대체비,유지보수비'!9:9,BV$3,'대체비,유지보수비'!62:62)/100*BV$17/12*$E8</f>
        <v>0.86210565992821786</v>
      </c>
      <c r="BW8" s="4762">
        <f ca="1">SUMIF('대체비,유지보수비'!9:9,BW$3,'대체비,유지보수비'!62:62)/100*BW$17/12*$E8</f>
        <v>0.86210565992821786</v>
      </c>
      <c r="BX8" s="4762">
        <f ca="1">SUMIF('대체비,유지보수비'!9:9,BX$3,'대체비,유지보수비'!62:62)/100*BX$17/12*$E8</f>
        <v>0</v>
      </c>
      <c r="BY8" s="4762">
        <f ca="1">SUMIF('대체비,유지보수비'!9:9,BY$3,'대체비,유지보수비'!62:62)/100*BY$17/12*$E8</f>
        <v>0</v>
      </c>
      <c r="BZ8" s="4762">
        <f ca="1">SUMIF('대체비,유지보수비'!9:9,BZ$3,'대체비,유지보수비'!62:62)/100*BZ$17/12*$E8</f>
        <v>0</v>
      </c>
      <c r="CA8" s="4762">
        <f ca="1">SUMIF('대체비,유지보수비'!9:9,CA$3,'대체비,유지보수비'!62:62)/100*CA$17/12*$E8</f>
        <v>0</v>
      </c>
      <c r="CB8" s="4762">
        <f ca="1">SUMIF('대체비,유지보수비'!9:9,CB$3,'대체비,유지보수비'!62:62)/100*CB$17/12*$E8</f>
        <v>0</v>
      </c>
      <c r="CC8" s="4762">
        <f ca="1">SUMIF('대체비,유지보수비'!9:9,CC$3,'대체비,유지보수비'!62:62)/100*CC$17/12*$E8</f>
        <v>0</v>
      </c>
      <c r="CD8" s="4762">
        <f ca="1">SUMIF('대체비,유지보수비'!9:9,CD$3,'대체비,유지보수비'!62:62)/100*CD$17/12*$E8</f>
        <v>0</v>
      </c>
      <c r="CE8" s="4762">
        <f ca="1">SUMIF('대체비,유지보수비'!9:9,CE$3,'대체비,유지보수비'!62:62)/100*CE$17/12*$E8</f>
        <v>0</v>
      </c>
      <c r="CF8" s="4762">
        <f ca="1">SUMIF('대체비,유지보수비'!9:9,CF$3,'대체비,유지보수비'!62:62)/100*CF$17/12*$E8</f>
        <v>0.71058265882376137</v>
      </c>
      <c r="CG8" s="4762">
        <f ca="1">SUMIF('대체비,유지보수비'!9:9,CG$3,'대체비,유지보수비'!62:62)/100*CG$17/12*$E8</f>
        <v>0.71058265882376137</v>
      </c>
      <c r="CH8" s="4762">
        <f ca="1">SUMIF('대체비,유지보수비'!9:9,CH$3,'대체비,유지보수비'!62:62)/100*CH$17/12*$E8</f>
        <v>0.71058265882376137</v>
      </c>
      <c r="CI8" s="4762">
        <f ca="1">SUMIF('대체비,유지보수비'!9:9,CI$3,'대체비,유지보수비'!62:62)/100*CI$17/12*$E8</f>
        <v>0.71058265882376137</v>
      </c>
      <c r="CJ8" s="4762">
        <f ca="1">SUMIF('대체비,유지보수비'!9:9,CJ$3,'대체비,유지보수비'!62:62)/100*CJ$17/12*$E8</f>
        <v>1.3636081222827976</v>
      </c>
      <c r="CK8" s="4762">
        <f ca="1">SUMIF('대체비,유지보수비'!9:9,CK$3,'대체비,유지보수비'!62:62)/100*CK$17/12*$E8</f>
        <v>1.3636081222827976</v>
      </c>
      <c r="CL8" s="4762">
        <f ca="1">SUMIF('대체비,유지보수비'!9:9,CL$3,'대체비,유지보수비'!62:62)/100*CL$17/12*$E8</f>
        <v>1.3636081222827976</v>
      </c>
      <c r="CM8" s="4762">
        <f ca="1">SUMIF('대체비,유지보수비'!9:9,CM$3,'대체비,유지보수비'!62:62)/100*CM$17/12*$E8</f>
        <v>1.3636081222827976</v>
      </c>
      <c r="CN8" s="4762">
        <f ca="1">SUMIF('대체비,유지보수비'!9:9,CN$3,'대체비,유지보수비'!62:62)/100*CN$17/12*$E8</f>
        <v>0</v>
      </c>
      <c r="CO8" s="4762">
        <f ca="1">SUMIF('대체비,유지보수비'!9:9,CO$3,'대체비,유지보수비'!62:62)/100*CO$17/12*$E8</f>
        <v>0</v>
      </c>
      <c r="CP8" s="4762">
        <f ca="1">SUMIF('대체비,유지보수비'!9:9,CP$3,'대체비,유지보수비'!62:62)/100*CP$17/12*$E8</f>
        <v>0</v>
      </c>
      <c r="CQ8" s="4762">
        <f ca="1">SUMIF('대체비,유지보수비'!9:9,CQ$3,'대체비,유지보수비'!62:62)/100*CQ$17/12*$E8</f>
        <v>0</v>
      </c>
      <c r="CR8" s="4762">
        <f ca="1">SUMIF('대체비,유지보수비'!9:9,CR$3,'대체비,유지보수비'!62:62)/100*CR$17/12*$E8</f>
        <v>0</v>
      </c>
      <c r="CS8" s="4762">
        <f ca="1">SUMIF('대체비,유지보수비'!9:9,CS$3,'대체비,유지보수비'!62:62)/100*CS$17/12*$E8</f>
        <v>0</v>
      </c>
      <c r="CT8" s="4762">
        <f ca="1">SUMIF('대체비,유지보수비'!9:9,CT$3,'대체비,유지보수비'!62:62)/100*CT$17/12*$E8</f>
        <v>0</v>
      </c>
      <c r="CU8" s="4762">
        <f ca="1">SUMIF('대체비,유지보수비'!9:9,CU$3,'대체비,유지보수비'!62:62)/100*CU$17/12*$E8</f>
        <v>0</v>
      </c>
      <c r="CV8" s="4762">
        <f ca="1">SUMIF('대체비,유지보수비'!9:9,CV$3,'대체비,유지보수비'!62:62)/100*CV$17/12*$E8</f>
        <v>0</v>
      </c>
      <c r="CW8" s="4762">
        <f ca="1">SUMIF('대체비,유지보수비'!9:9,CW$3,'대체비,유지보수비'!62:62)/100*CW$17/12*$E8</f>
        <v>0</v>
      </c>
      <c r="CX8" s="4762">
        <f ca="1">SUMIF('대체비,유지보수비'!9:9,CX$3,'대체비,유지보수비'!62:62)/100*CX$17/12*$E8</f>
        <v>0</v>
      </c>
      <c r="CY8" s="4762">
        <f ca="1">SUMIF('대체비,유지보수비'!9:9,CY$3,'대체비,유지보수비'!62:62)/100*CY$17/12*$E8</f>
        <v>0</v>
      </c>
      <c r="CZ8" s="4762">
        <f ca="1">SUMIF('대체비,유지보수비'!9:9,CZ$3,'대체비,유지보수비'!62:62)/100*CZ$17/12*$E8</f>
        <v>0</v>
      </c>
      <c r="DA8" s="4762">
        <f ca="1">SUMIF('대체비,유지보수비'!9:9,DA$3,'대체비,유지보수비'!62:62)/100*DA$17/12*$E8</f>
        <v>0</v>
      </c>
      <c r="DB8" s="4762">
        <f ca="1">SUMIF('대체비,유지보수비'!9:9,DB$3,'대체비,유지보수비'!62:62)/100*DB$17/12*$E8</f>
        <v>0</v>
      </c>
      <c r="DC8" s="4762">
        <f ca="1">SUMIF('대체비,유지보수비'!9:9,DC$3,'대체비,유지보수비'!62:62)/100*DC$17/12*$E8</f>
        <v>0</v>
      </c>
      <c r="DD8" s="4762">
        <f ca="1">SUMIF('대체비,유지보수비'!9:9,DD$3,'대체비,유지보수비'!62:62)/100*DD$17/12*$E8</f>
        <v>0</v>
      </c>
      <c r="DE8" s="4762">
        <f ca="1">SUMIF('대체비,유지보수비'!9:9,DE$3,'대체비,유지보수비'!62:62)/100*DE$17/12*$E8</f>
        <v>0</v>
      </c>
      <c r="DF8" s="4762">
        <f ca="1">SUMIF('대체비,유지보수비'!9:9,DF$3,'대체비,유지보수비'!62:62)/100*DF$17/12*$E8</f>
        <v>0</v>
      </c>
      <c r="DG8" s="4762">
        <f ca="1">SUMIF('대체비,유지보수비'!9:9,DG$3,'대체비,유지보수비'!62:62)/100*DG$17/12*$E8</f>
        <v>0</v>
      </c>
      <c r="DH8" s="4762">
        <f ca="1">SUMIF('대체비,유지보수비'!9:9,DH$3,'대체비,유지보수비'!62:62)/100*DH$17/12*$E8</f>
        <v>0.76184078911914899</v>
      </c>
      <c r="DI8" s="4762">
        <f ca="1">SUMIF('대체비,유지보수비'!9:9,DI$3,'대체비,유지보수비'!62:62)/100*DI$17/12*$E8</f>
        <v>0.76184078911914899</v>
      </c>
      <c r="DJ8" s="4762">
        <f ca="1">SUMIF('대체비,유지보수비'!9:9,DJ$3,'대체비,유지보수비'!62:62)/100*DJ$17/12*$E8</f>
        <v>0.76184078911914899</v>
      </c>
      <c r="DK8" s="4762">
        <f ca="1">SUMIF('대체비,유지보수비'!9:9,DK$3,'대체비,유지보수비'!62:62)/100*DK$17/12*$E8</f>
        <v>0.76184078911914899</v>
      </c>
      <c r="DL8" s="4762">
        <f ca="1">SUMIF('대체비,유지보수비'!9:9,DL$3,'대체비,유지보수비'!62:62)/100*DL$17/12*$E8</f>
        <v>0</v>
      </c>
      <c r="DM8" s="4762">
        <f ca="1">SUMIF('대체비,유지보수비'!9:9,DM$3,'대체비,유지보수비'!62:62)/100*DM$17/12*$E8</f>
        <v>0</v>
      </c>
      <c r="DN8" s="4762">
        <f ca="1">SUMIF('대체비,유지보수비'!9:9,DN$3,'대체비,유지보수비'!62:62)/100*DN$17/12*$E8</f>
        <v>0</v>
      </c>
      <c r="DO8" s="4762">
        <f ca="1">SUMIF('대체비,유지보수비'!9:9,DO$3,'대체비,유지보수비'!62:62)/100*DO$17/12*$E8</f>
        <v>0</v>
      </c>
      <c r="DP8" s="4762">
        <f ca="1">SUMIF('대체비,유지보수비'!9:9,DP$3,'대체비,유지보수비'!62:62)/100*DP$17/12*$E8</f>
        <v>0.97144223622555481</v>
      </c>
      <c r="DQ8" s="4762">
        <f ca="1">SUMIF('대체비,유지보수비'!9:9,DQ$3,'대체비,유지보수비'!62:62)/100*DQ$17/12*$E8</f>
        <v>0.97144223622555481</v>
      </c>
      <c r="DR8" s="4762">
        <f ca="1">SUMIF('대체비,유지보수비'!9:9,DR$3,'대체비,유지보수비'!62:62)/100*DR$17/12*$E8</f>
        <v>0.97144223622555481</v>
      </c>
      <c r="DS8" s="4762">
        <f ca="1">SUMIF('대체비,유지보수비'!9:9,DS$3,'대체비,유지보수비'!62:62)/100*DS$17/12*$E8</f>
        <v>0.97144223622555481</v>
      </c>
      <c r="DT8" s="4762">
        <f ca="1">SUMIF('대체비,유지보수비'!9:9,DT$3,'대체비,유지보수비'!62:62)/100*DT$17/12*$E8</f>
        <v>0</v>
      </c>
      <c r="DU8" s="4762">
        <f ca="1">SUMIF('대체비,유지보수비'!9:9,DU$3,'대체비,유지보수비'!62:62)/100*DU$17/12*$E8</f>
        <v>0</v>
      </c>
      <c r="DV8" s="4762">
        <f ca="1">SUMIF('대체비,유지보수비'!9:9,DV$3,'대체비,유지보수비'!62:62)/100*DV$17/12*$E8</f>
        <v>0</v>
      </c>
      <c r="DW8" s="4762">
        <f ca="1">SUMIF('대체비,유지보수비'!9:9,DW$3,'대체비,유지보수비'!62:62)/100*DW$17/12*$E8</f>
        <v>0</v>
      </c>
      <c r="DX8" s="4762">
        <f ca="1">SUMIF('대체비,유지보수비'!9:9,DX$3,'대체비,유지보수비'!62:62)/100*DX$17/12*$E8</f>
        <v>1.5062717022640075</v>
      </c>
      <c r="DY8" s="4762">
        <f ca="1">SUMIF('대체비,유지보수비'!9:9,DY$3,'대체비,유지보수비'!62:62)/100*DY$17/12*$E8</f>
        <v>1.5062717022640075</v>
      </c>
      <c r="DZ8" s="4762">
        <f ca="1">SUMIF('대체비,유지보수비'!9:9,DZ$3,'대체비,유지보수비'!62:62)/100*DZ$17/12*$E8</f>
        <v>1.5062717022640075</v>
      </c>
      <c r="EA8" s="4762">
        <f ca="1">SUMIF('대체비,유지보수비'!9:9,EA$3,'대체비,유지보수비'!62:62)/100*EA$17/12*$E8</f>
        <v>1.5062717022640075</v>
      </c>
      <c r="EB8" s="4762">
        <f ca="1">SUMIF('대체비,유지보수비'!9:9,EB$3,'대체비,유지보수비'!62:62)/100*EB$17/12*$E8</f>
        <v>0</v>
      </c>
      <c r="EC8" s="4762">
        <f ca="1">SUMIF('대체비,유지보수비'!9:9,EC$3,'대체비,유지보수비'!62:62)/100*EC$17/12*$E8</f>
        <v>0</v>
      </c>
      <c r="ED8" s="4762">
        <f ca="1">SUMIF('대체비,유지보수비'!9:9,ED$3,'대체비,유지보수비'!62:62)/100*ED$17/12*$E8</f>
        <v>0</v>
      </c>
      <c r="EE8" s="4762">
        <f ca="1">SUMIF('대체비,유지보수비'!9:9,EE$3,'대체비,유지보수비'!62:62)/100*EE$17/12*$E8</f>
        <v>0</v>
      </c>
      <c r="EF8" s="4762">
        <f ca="1">SUMIF('대체비,유지보수비'!9:9,EF$3,'대체비,유지보수비'!62:62)/100*EF$17/12*$E8</f>
        <v>0</v>
      </c>
      <c r="EG8" s="4762">
        <f ca="1">SUMIF('대체비,유지보수비'!9:9,EG$3,'대체비,유지보수비'!62:62)/100*EG$17/12*$E8</f>
        <v>0</v>
      </c>
      <c r="EH8" s="4762">
        <f ca="1">SUMIF('대체비,유지보수비'!9:9,EH$3,'대체비,유지보수비'!62:62)/100*EH$17/12*$E8</f>
        <v>0</v>
      </c>
      <c r="EI8" s="4762">
        <f ca="1">SUMIF('대체비,유지보수비'!9:9,EI$3,'대체비,유지보수비'!62:62)/100*EI$17/12*$E8</f>
        <v>0</v>
      </c>
      <c r="EJ8" s="4762">
        <f ca="1">SUMIF('대체비,유지보수비'!9:9,EJ$3,'대체비,유지보수비'!62:62)/100*EJ$17/12*$E8</f>
        <v>0.81679644269174145</v>
      </c>
      <c r="EK8" s="4762">
        <f ca="1">SUMIF('대체비,유지보수비'!9:9,EK$3,'대체비,유지보수비'!62:62)/100*EK$17/12*$E8</f>
        <v>0.81679644269174145</v>
      </c>
      <c r="EL8" s="4762">
        <f ca="1">SUMIF('대체비,유지보수비'!9:9,EL$3,'대체비,유지보수비'!62:62)/100*EL$17/12*$E8</f>
        <v>0.81679644269174145</v>
      </c>
      <c r="EM8" s="4762">
        <f ca="1">SUMIF('대체비,유지보수비'!9:9,EM$3,'대체비,유지보수비'!62:62)/100*EM$17/12*$E8</f>
        <v>0.81679644269174145</v>
      </c>
      <c r="EN8" s="4762">
        <f ca="1">SUMIF('대체비,유지보수비'!9:9,EN$3,'대체비,유지보수비'!62:62)/100*EN$17/12*$E8</f>
        <v>0</v>
      </c>
      <c r="EO8" s="4762">
        <f ca="1">SUMIF('대체비,유지보수비'!9:9,EO$3,'대체비,유지보수비'!62:62)/100*EO$17/12*$E8</f>
        <v>0</v>
      </c>
      <c r="EP8" s="4762">
        <f ca="1">SUMIF('대체비,유지보수비'!9:9,EP$3,'대체비,유지보수비'!62:62)/100*EP$17/12*$E8</f>
        <v>0</v>
      </c>
      <c r="EQ8" s="4762">
        <f ca="1">SUMIF('대체비,유지보수비'!9:9,EQ$3,'대체비,유지보수비'!62:62)/100*EQ$17/12*$E8</f>
        <v>0</v>
      </c>
      <c r="ER8" s="4762">
        <f ca="1">SUMIF('대체비,유지보수비'!9:9,ER$3,'대체비,유지보수비'!62:62)/100*ER$17/12*$E8</f>
        <v>0</v>
      </c>
      <c r="ES8" s="4762">
        <f ca="1">SUMIF('대체비,유지보수비'!9:9,ES$3,'대체비,유지보수비'!62:62)/100*ES$17/12*$E8</f>
        <v>0</v>
      </c>
      <c r="ET8" s="4762">
        <f ca="1">SUMIF('대체비,유지보수비'!9:9,ET$3,'대체비,유지보수비'!62:62)/100*ET$17/12*$E8</f>
        <v>0</v>
      </c>
      <c r="EU8" s="4762">
        <f ca="1">SUMIF('대체비,유지보수비'!9:9,EU$3,'대체비,유지보수비'!62:62)/100*EU$17/12*$E8</f>
        <v>0</v>
      </c>
      <c r="EV8" s="4762">
        <f ca="1">SUMIF('대체비,유지보수비'!9:9,EV$3,'대체비,유지보수비'!62:62)/100*EV$17/12*$E8</f>
        <v>0</v>
      </c>
      <c r="EW8" s="4762">
        <f ca="1">SUMIF('대체비,유지보수비'!9:9,EW$3,'대체비,유지보수비'!62:62)/100*EW$17/12*$E8</f>
        <v>0</v>
      </c>
      <c r="EX8" s="4762">
        <f ca="1">SUMIF('대체비,유지보수비'!9:9,EX$3,'대체비,유지보수비'!62:62)/100*EX$17/12*$E8</f>
        <v>0</v>
      </c>
      <c r="EY8" s="4762">
        <f ca="1">SUMIF('대체비,유지보수비'!9:9,EY$3,'대체비,유지보수비'!62:62)/100*EY$17/12*$E8</f>
        <v>0</v>
      </c>
      <c r="EZ8" s="4762">
        <f ca="1">SUMIF('대체비,유지보수비'!9:9,EZ$3,'대체비,유지보수비'!62:62)/100*EZ$17/12*$E8</f>
        <v>0</v>
      </c>
      <c r="FA8" s="4762">
        <f ca="1">SUMIF('대체비,유지보수비'!9:9,FA$3,'대체비,유지보수비'!62:62)/100*FA$17/12*$E8</f>
        <v>0</v>
      </c>
      <c r="FB8" s="4762">
        <f ca="1">SUMIF('대체비,유지보수비'!9:9,FB$3,'대체비,유지보수비'!62:62)/100*FB$17/12*$E8</f>
        <v>0</v>
      </c>
      <c r="FC8" s="4762">
        <f ca="1">SUMIF('대체비,유지보수비'!9:9,FC$3,'대체비,유지보수비'!62:62)/100*FC$17/12*$E8</f>
        <v>0</v>
      </c>
      <c r="FD8" s="4762">
        <f ca="1">SUMIF('대체비,유지보수비'!9:9,FD$3,'대체비,유지보수비'!62:62)/100*FD$17/12*$E8</f>
        <v>1.0730765876936859</v>
      </c>
      <c r="FE8" s="4762">
        <f ca="1">SUMIF('대체비,유지보수비'!9:9,FE$3,'대체비,유지보수비'!62:62)/100*FE$17/12*$E8</f>
        <v>1.0730765876936859</v>
      </c>
      <c r="FF8" s="4762">
        <f ca="1">SUMIF('대체비,유지보수비'!9:9,FF$3,'대체비,유지보수비'!62:62)/100*FF$17/12*$E8</f>
        <v>1.0730765876936859</v>
      </c>
      <c r="FG8" s="4762">
        <f ca="1">SUMIF('대체비,유지보수비'!9:9,FG$3,'대체비,유지보수비'!62:62)/100*FG$17/12*$E8</f>
        <v>1.0730765876936859</v>
      </c>
      <c r="FH8" s="4762">
        <f ca="1">SUMIF('대체비,유지보수비'!9:9,FH$3,'대체비,유지보수비'!62:62)/100*FH$17/비용!FH$18*$E8</f>
        <v>0</v>
      </c>
      <c r="FI8" s="4762">
        <f ca="1">SUMIF('대체비,유지보수비'!9:9,FI$3,'대체비,유지보수비'!62:62)/100*FI$17/비용!FI$18*$E8</f>
        <v>0</v>
      </c>
      <c r="FJ8" s="4762">
        <f ca="1">SUMIF('대체비,유지보수비'!9:9,FJ$3,'대체비,유지보수비'!62:62)/100*FJ$17/비용!FJ$18*$E8</f>
        <v>0</v>
      </c>
      <c r="FK8" s="4762">
        <f ca="1">SUMIF('대체비,유지보수비'!9:9,FK$3,'대체비,유지보수비'!62:62)/100*FK$17/비용!FK$18*$E8</f>
        <v>0</v>
      </c>
      <c r="FL8" s="4762">
        <f ca="1">SUMIF('대체비,유지보수비'!9:9,FL$3,'대체비,유지보수비'!62:62)/100*FL$17/비용!FL$18*$E8</f>
        <v>0</v>
      </c>
      <c r="FM8" s="4762">
        <f ca="1">SUMIF('대체비,유지보수비'!9:9,FM$3,'대체비,유지보수비'!62:62)/100*FM$17/비용!FM$18*$E8</f>
        <v>0</v>
      </c>
      <c r="FN8" s="4762">
        <f ca="1">SUMIF('대체비,유지보수비'!9:9,FN$3,'대체비,유지보수비'!62:62)/100*FN$17/비용!FN$18*$E8</f>
        <v>0</v>
      </c>
      <c r="FO8" s="4762">
        <f ca="1">SUMIF('대체비,유지보수비'!9:9,FO$3,'대체비,유지보수비'!62:62)/100*FO$17/비용!FO$18*$E8</f>
        <v>0</v>
      </c>
      <c r="FP8" s="731">
        <f ca="1">SUMIF('대체비,유지보수비'!9:9,FP$3,'대체비,유지보수비'!62:62)/100*FP$17/비용!FP$18*$E8</f>
        <v>0</v>
      </c>
      <c r="FQ8" s="1205">
        <f ca="1">SUMIF('대체비,유지보수비'!9:9,FQ$3,'대체비,유지보수비'!62:62)/100*FQ$17/비용!FQ$18*$E8</f>
        <v>0</v>
      </c>
      <c r="FR8" s="1205">
        <f ca="1">SUMIF('대체비,유지보수비'!9:9,FR$3,'대체비,유지보수비'!62:62)/100*FR$17/비용!FR$18*$E8</f>
        <v>0</v>
      </c>
      <c r="FS8" s="1206">
        <f ca="1">SUMIF('대체비,유지보수비'!9:9,FS$3,'대체비,유지보수비'!62:62)/100*FS$17/비용!FS$18*$E8</f>
        <v>0</v>
      </c>
      <c r="FT8" s="731">
        <f ca="1">SUMIF('대체비,유지보수비'!9:9,FT$3,'대체비,유지보수비'!62:62)/100*FT$17/비용!FT$18*$E8</f>
        <v>0</v>
      </c>
      <c r="FU8" s="1205">
        <f ca="1">SUMIF('대체비,유지보수비'!9:9,FU$3,'대체비,유지보수비'!62:62)/100*FU$17/비용!FU$18*$E8</f>
        <v>0</v>
      </c>
      <c r="FV8" s="1205">
        <f ca="1">SUMIF('대체비,유지보수비'!9:9,FV$3,'대체비,유지보수비'!62:62)/100*FV$17/비용!FV$18*$E8</f>
        <v>0</v>
      </c>
      <c r="FW8" s="1206">
        <f ca="1">SUMIF('대체비,유지보수비'!9:9,FW$3,'대체비,유지보수비'!62:62)/100*FW$17/비용!FW$18*$E8</f>
        <v>0</v>
      </c>
      <c r="FX8" s="731">
        <f ca="1">SUMIF('대체비,유지보수비'!9:9,FX$3,'대체비,유지보수비'!62:62)/100*FX$17/비용!FX$18*$E8</f>
        <v>0</v>
      </c>
      <c r="FY8" s="1205">
        <f ca="1">SUMIF('대체비,유지보수비'!9:9,FY$3,'대체비,유지보수비'!62:62)/100*FY$17/비용!FY$18*$E8</f>
        <v>0</v>
      </c>
      <c r="FZ8" s="1205">
        <f ca="1">SUMIF('대체비,유지보수비'!9:9,FZ$3,'대체비,유지보수비'!62:62)/100*FZ$17/비용!FZ$18*$E8</f>
        <v>0</v>
      </c>
      <c r="GA8" s="1206">
        <f ca="1">SUMIF('대체비,유지보수비'!9:9,GA$3,'대체비,유지보수비'!62:62)/100*GA$17/비용!GA$18*$E8</f>
        <v>0</v>
      </c>
      <c r="GB8" s="731">
        <f ca="1">SUMIF('대체비,유지보수비'!9:9,GB$3,'대체비,유지보수비'!62:62)/100*GB$17/비용!GB$18*$E8</f>
        <v>0</v>
      </c>
      <c r="GC8" s="1205">
        <f ca="1">SUMIF('대체비,유지보수비'!9:9,GC$3,'대체비,유지보수비'!62:62)/100*GC$17/비용!GC$18*$E8</f>
        <v>0</v>
      </c>
      <c r="GD8" s="1205">
        <f ca="1">SUMIF('대체비,유지보수비'!9:9,GD$3,'대체비,유지보수비'!62:62)/100*GD$17/비용!GD$18*$E8</f>
        <v>0</v>
      </c>
      <c r="GE8" s="1206">
        <f ca="1">SUMIF('대체비,유지보수비'!9:9,GE$3,'대체비,유지보수비'!62:62)/100*GE$17/비용!GE$18*$E8</f>
        <v>0</v>
      </c>
    </row>
    <row r="9" spans="1:187" ht="17.100000000000001" customHeight="1">
      <c r="B9" s="341" t="s">
        <v>1224</v>
      </c>
      <c r="C9" s="1209"/>
      <c r="D9" s="1210"/>
      <c r="E9" s="1211">
        <f>E10</f>
        <v>1</v>
      </c>
      <c r="F9" s="1207">
        <f t="shared" si="11"/>
        <v>-4.4091627181285329</v>
      </c>
      <c r="G9" s="4976"/>
      <c r="H9" s="4988">
        <v>6.5781054799098362</v>
      </c>
      <c r="I9" s="4988">
        <v>-1.983510009999975</v>
      </c>
      <c r="J9" s="4988">
        <v>11.623241019999995</v>
      </c>
      <c r="K9" s="4988">
        <v>-18.24182858999999</v>
      </c>
      <c r="L9" s="4988">
        <v>0.35176742922082799</v>
      </c>
      <c r="M9" s="4988">
        <v>4.5076751536211903</v>
      </c>
      <c r="N9" s="4988">
        <v>0.16153716000000884</v>
      </c>
      <c r="O9" s="4988">
        <v>-0.80964394999999456</v>
      </c>
      <c r="P9" s="4984">
        <v>1.83883767000001</v>
      </c>
      <c r="Q9" s="4984">
        <v>5.2081854417939439</v>
      </c>
      <c r="R9" s="4984">
        <f>-7-0.605185376666663</f>
        <v>-7.6051853766666628</v>
      </c>
      <c r="S9" s="4984">
        <v>-4.2510004532558243</v>
      </c>
      <c r="T9" s="4762"/>
      <c r="U9" s="4762">
        <v>0.4</v>
      </c>
      <c r="V9" s="4762"/>
      <c r="W9" s="4762"/>
      <c r="X9" s="4762"/>
      <c r="Y9" s="4762"/>
      <c r="Z9" s="4762"/>
      <c r="AA9" s="4762"/>
      <c r="AB9" s="4762"/>
      <c r="AC9" s="4762"/>
      <c r="AD9" s="4762"/>
      <c r="AE9" s="4762"/>
      <c r="AF9" s="4762"/>
      <c r="AG9" s="4762"/>
      <c r="AH9" s="4762"/>
      <c r="AI9" s="4762"/>
      <c r="AJ9" s="4762"/>
      <c r="AK9" s="4762"/>
      <c r="AL9" s="4762"/>
      <c r="AM9" s="4762"/>
      <c r="AN9" s="4762"/>
      <c r="AO9" s="4762"/>
      <c r="AP9" s="4762"/>
      <c r="AQ9" s="4762"/>
      <c r="AR9" s="4762"/>
      <c r="AS9" s="4762"/>
      <c r="AT9" s="4762"/>
      <c r="AU9" s="4762"/>
      <c r="AV9" s="4762"/>
      <c r="AW9" s="4762"/>
      <c r="AX9" s="4762"/>
      <c r="AY9" s="4762"/>
      <c r="AZ9" s="4762"/>
      <c r="BA9" s="4762"/>
      <c r="BB9" s="4762"/>
      <c r="BC9" s="4762"/>
      <c r="BD9" s="4762"/>
      <c r="BE9" s="4762"/>
      <c r="BF9" s="4762"/>
      <c r="BG9" s="4762"/>
      <c r="BH9" s="4762"/>
      <c r="BI9" s="4762"/>
      <c r="BJ9" s="4762"/>
      <c r="BK9" s="4762"/>
      <c r="BL9" s="4762"/>
      <c r="BM9" s="4762"/>
      <c r="BN9" s="4762"/>
      <c r="BO9" s="4762"/>
      <c r="BP9" s="4762"/>
      <c r="BQ9" s="4762"/>
      <c r="BR9" s="4762"/>
      <c r="BS9" s="4762"/>
      <c r="BT9" s="4762"/>
      <c r="BU9" s="4762"/>
      <c r="BV9" s="4762"/>
      <c r="BW9" s="4762"/>
      <c r="BX9" s="4762"/>
      <c r="BY9" s="4762"/>
      <c r="BZ9" s="4762"/>
      <c r="CA9" s="4762"/>
      <c r="CB9" s="4762"/>
      <c r="CC9" s="4762"/>
      <c r="CD9" s="4762"/>
      <c r="CE9" s="4762"/>
      <c r="CF9" s="4762"/>
      <c r="CG9" s="4762"/>
      <c r="CH9" s="4762"/>
      <c r="CI9" s="4762"/>
      <c r="CJ9" s="4762"/>
      <c r="CK9" s="4762"/>
      <c r="CL9" s="4762"/>
      <c r="CM9" s="4762"/>
      <c r="CN9" s="4762"/>
      <c r="CO9" s="4762"/>
      <c r="CP9" s="4762"/>
      <c r="CQ9" s="4762"/>
      <c r="CR9" s="4762"/>
      <c r="CS9" s="4762"/>
      <c r="CT9" s="4762"/>
      <c r="CU9" s="4762"/>
      <c r="CV9" s="4762"/>
      <c r="CW9" s="4762"/>
      <c r="CX9" s="4762"/>
      <c r="CY9" s="4762"/>
      <c r="CZ9" s="4762"/>
      <c r="DA9" s="4762"/>
      <c r="DB9" s="4762"/>
      <c r="DC9" s="4762"/>
      <c r="DD9" s="4762"/>
      <c r="DE9" s="4762"/>
      <c r="DF9" s="4762"/>
      <c r="DG9" s="4762"/>
      <c r="DH9" s="4762"/>
      <c r="DI9" s="4762"/>
      <c r="DJ9" s="4762"/>
      <c r="DK9" s="4762"/>
      <c r="DL9" s="4762"/>
      <c r="DM9" s="4762"/>
      <c r="DN9" s="4762"/>
      <c r="DO9" s="4762"/>
      <c r="DP9" s="4762"/>
      <c r="DQ9" s="4762"/>
      <c r="DR9" s="4762"/>
      <c r="DS9" s="4762"/>
      <c r="DT9" s="4762"/>
      <c r="DU9" s="4762"/>
      <c r="DV9" s="4762"/>
      <c r="DW9" s="4762"/>
      <c r="DX9" s="4762"/>
      <c r="DY9" s="4762"/>
      <c r="DZ9" s="4762"/>
      <c r="EA9" s="4762"/>
      <c r="EB9" s="4762"/>
      <c r="EC9" s="4762"/>
      <c r="ED9" s="4762"/>
      <c r="EE9" s="4762"/>
      <c r="EF9" s="4762"/>
      <c r="EG9" s="4762"/>
      <c r="EH9" s="4762"/>
      <c r="EI9" s="4762"/>
      <c r="EJ9" s="4762"/>
      <c r="EK9" s="4762"/>
      <c r="EL9" s="4762"/>
      <c r="EM9" s="4762"/>
      <c r="EN9" s="4762"/>
      <c r="EO9" s="4762"/>
      <c r="EP9" s="4762"/>
      <c r="EQ9" s="4762"/>
      <c r="ER9" s="4762"/>
      <c r="ES9" s="4762"/>
      <c r="ET9" s="4762"/>
      <c r="EU9" s="4762"/>
      <c r="EV9" s="4762"/>
      <c r="EW9" s="4762"/>
      <c r="EX9" s="4762"/>
      <c r="EY9" s="4762"/>
      <c r="EZ9" s="4762"/>
      <c r="FA9" s="4762"/>
      <c r="FB9" s="4762"/>
      <c r="FC9" s="4762"/>
      <c r="FD9" s="4762"/>
      <c r="FE9" s="4762"/>
      <c r="FF9" s="4762"/>
      <c r="FG9" s="4762"/>
      <c r="FH9" s="4762"/>
      <c r="FI9" s="4762"/>
      <c r="FJ9" s="4762"/>
      <c r="FK9" s="4762"/>
      <c r="FL9" s="4762"/>
      <c r="FM9" s="4762"/>
      <c r="FN9" s="4762"/>
      <c r="FO9" s="4762"/>
      <c r="FP9" s="731"/>
      <c r="FQ9" s="1205"/>
      <c r="FR9" s="1205"/>
      <c r="FS9" s="1206"/>
      <c r="FT9" s="731"/>
      <c r="FU9" s="1205"/>
      <c r="FV9" s="1205"/>
      <c r="FW9" s="1206"/>
      <c r="FX9" s="731"/>
      <c r="FY9" s="1205"/>
      <c r="FZ9" s="1205"/>
      <c r="GA9" s="1206"/>
      <c r="GB9" s="731"/>
      <c r="GC9" s="1205"/>
      <c r="GD9" s="1205"/>
      <c r="GE9" s="1206"/>
    </row>
    <row r="10" spans="1:187" ht="17.100000000000001" customHeight="1">
      <c r="B10" s="4768" t="s">
        <v>1225</v>
      </c>
      <c r="C10" s="5005"/>
      <c r="D10" s="4953"/>
      <c r="E10" s="5006">
        <f>Sensitivity!E32</f>
        <v>1</v>
      </c>
      <c r="F10" s="4798">
        <f t="shared" ca="1" si="11"/>
        <v>950.29425242390755</v>
      </c>
      <c r="G10" s="4975"/>
      <c r="H10" s="4846">
        <f>SUM(H11:H12)</f>
        <v>0</v>
      </c>
      <c r="I10" s="4846">
        <f t="shared" ref="I10:BT10" si="12">SUM(I11:I12)</f>
        <v>4.306</v>
      </c>
      <c r="J10" s="4846">
        <f t="shared" si="12"/>
        <v>2.11</v>
      </c>
      <c r="K10" s="4846">
        <f t="shared" si="12"/>
        <v>19.554720400000001</v>
      </c>
      <c r="L10" s="4846">
        <f t="shared" si="12"/>
        <v>17.225999999999999</v>
      </c>
      <c r="M10" s="4846">
        <f t="shared" si="12"/>
        <v>4.8540000000000001</v>
      </c>
      <c r="N10" s="4846">
        <f t="shared" si="12"/>
        <v>11.39641291</v>
      </c>
      <c r="O10" s="4846">
        <f t="shared" si="12"/>
        <v>4.2877999999999998</v>
      </c>
      <c r="P10" s="4984">
        <f t="shared" si="12"/>
        <v>14.787831500000001</v>
      </c>
      <c r="Q10" s="4984">
        <f t="shared" si="12"/>
        <v>4.0979999999999999</v>
      </c>
      <c r="R10" s="4984">
        <f t="shared" si="12"/>
        <v>17.68</v>
      </c>
      <c r="S10" s="4984">
        <f t="shared" si="12"/>
        <v>7.7063800000000002</v>
      </c>
      <c r="T10" s="4762">
        <f t="shared" si="12"/>
        <v>7.4950000000000001</v>
      </c>
      <c r="U10" s="4762">
        <f t="shared" si="12"/>
        <v>10</v>
      </c>
      <c r="V10" s="4762">
        <f t="shared" si="12"/>
        <v>0.3</v>
      </c>
      <c r="W10" s="4762">
        <f t="shared" si="12"/>
        <v>1.5</v>
      </c>
      <c r="X10" s="4762">
        <f t="shared" ca="1" si="12"/>
        <v>0</v>
      </c>
      <c r="Y10" s="4762">
        <f t="shared" ca="1" si="12"/>
        <v>0</v>
      </c>
      <c r="Z10" s="4762">
        <f t="shared" ca="1" si="12"/>
        <v>0</v>
      </c>
      <c r="AA10" s="4762">
        <f t="shared" ca="1" si="12"/>
        <v>0</v>
      </c>
      <c r="AB10" s="4762">
        <f t="shared" ca="1" si="12"/>
        <v>0</v>
      </c>
      <c r="AC10" s="4762">
        <f t="shared" ca="1" si="12"/>
        <v>0</v>
      </c>
      <c r="AD10" s="4762">
        <f t="shared" ca="1" si="12"/>
        <v>0</v>
      </c>
      <c r="AE10" s="4762">
        <f t="shared" ca="1" si="12"/>
        <v>0</v>
      </c>
      <c r="AF10" s="4762">
        <f t="shared" ca="1" si="12"/>
        <v>0.78045300749999991</v>
      </c>
      <c r="AG10" s="4762">
        <f t="shared" ca="1" si="12"/>
        <v>0.78045300749999991</v>
      </c>
      <c r="AH10" s="4762">
        <f t="shared" ca="1" si="12"/>
        <v>0.78045300749999991</v>
      </c>
      <c r="AI10" s="4762">
        <f t="shared" ca="1" si="12"/>
        <v>0.78045300749999991</v>
      </c>
      <c r="AJ10" s="4762">
        <f t="shared" ca="1" si="12"/>
        <v>1.23756433399275</v>
      </c>
      <c r="AK10" s="4762">
        <f t="shared" ca="1" si="12"/>
        <v>1.23756433399275</v>
      </c>
      <c r="AL10" s="4762">
        <f t="shared" ca="1" si="12"/>
        <v>1.23756433399275</v>
      </c>
      <c r="AM10" s="4762">
        <f t="shared" ca="1" si="12"/>
        <v>1.23756433399275</v>
      </c>
      <c r="AN10" s="4762">
        <f t="shared" ca="1" si="12"/>
        <v>2.2822683237921497</v>
      </c>
      <c r="AO10" s="4762">
        <f t="shared" ca="1" si="12"/>
        <v>2.2822683237921497</v>
      </c>
      <c r="AP10" s="4762">
        <f t="shared" ca="1" si="12"/>
        <v>2.2822683237921497</v>
      </c>
      <c r="AQ10" s="4762">
        <f t="shared" ca="1" si="12"/>
        <v>2.2822683237921497</v>
      </c>
      <c r="AR10" s="4762">
        <f t="shared" ca="1" si="12"/>
        <v>0.10721353521070098</v>
      </c>
      <c r="AS10" s="4762">
        <f t="shared" ca="1" si="12"/>
        <v>0.10721353521070098</v>
      </c>
      <c r="AT10" s="4762">
        <f t="shared" ca="1" si="12"/>
        <v>0.10721353521070098</v>
      </c>
      <c r="AU10" s="4762">
        <f t="shared" ca="1" si="12"/>
        <v>0.10721353521070098</v>
      </c>
      <c r="AV10" s="4762">
        <f t="shared" ca="1" si="12"/>
        <v>4.4667839107158303</v>
      </c>
      <c r="AW10" s="4762">
        <f t="shared" ca="1" si="12"/>
        <v>4.4667839107158303</v>
      </c>
      <c r="AX10" s="4762">
        <f t="shared" ca="1" si="12"/>
        <v>4.4667839107158303</v>
      </c>
      <c r="AY10" s="4762">
        <f t="shared" ca="1" si="12"/>
        <v>4.4667839107158303</v>
      </c>
      <c r="AZ10" s="4762">
        <f t="shared" ca="1" si="12"/>
        <v>6.562111636106164</v>
      </c>
      <c r="BA10" s="4762">
        <f t="shared" ca="1" si="12"/>
        <v>6.562111636106164</v>
      </c>
      <c r="BB10" s="4762">
        <f t="shared" ca="1" si="12"/>
        <v>6.562111636106164</v>
      </c>
      <c r="BC10" s="4762">
        <f t="shared" ca="1" si="12"/>
        <v>6.562111636106164</v>
      </c>
      <c r="BD10" s="4762">
        <f t="shared" ca="1" si="12"/>
        <v>10.578855632850566</v>
      </c>
      <c r="BE10" s="4762">
        <f t="shared" ca="1" si="12"/>
        <v>10.578855632850566</v>
      </c>
      <c r="BF10" s="4762">
        <f t="shared" ca="1" si="12"/>
        <v>10.578855632850566</v>
      </c>
      <c r="BG10" s="4762">
        <f t="shared" ca="1" si="12"/>
        <v>10.578855632850566</v>
      </c>
      <c r="BH10" s="4762">
        <f t="shared" ca="1" si="12"/>
        <v>7.7929434014572374</v>
      </c>
      <c r="BI10" s="4762">
        <f t="shared" ca="1" si="12"/>
        <v>7.7929434014572374</v>
      </c>
      <c r="BJ10" s="4762">
        <f t="shared" ca="1" si="12"/>
        <v>7.7929434014572374</v>
      </c>
      <c r="BK10" s="4762">
        <f t="shared" ca="1" si="12"/>
        <v>7.7929434014572374</v>
      </c>
      <c r="BL10" s="4762">
        <f t="shared" ca="1" si="12"/>
        <v>0.22536500602639398</v>
      </c>
      <c r="BM10" s="4762">
        <f t="shared" ca="1" si="12"/>
        <v>0.22536500602639398</v>
      </c>
      <c r="BN10" s="4762">
        <f t="shared" ca="1" si="12"/>
        <v>0.22536500602639398</v>
      </c>
      <c r="BO10" s="4762">
        <f t="shared" ca="1" si="12"/>
        <v>0.22536500602639398</v>
      </c>
      <c r="BP10" s="4762">
        <f t="shared" ca="1" si="12"/>
        <v>8.5356996032496717</v>
      </c>
      <c r="BQ10" s="4762">
        <f t="shared" ca="1" si="12"/>
        <v>8.5356996032496717</v>
      </c>
      <c r="BR10" s="4762">
        <f t="shared" ca="1" si="12"/>
        <v>8.5356996032496717</v>
      </c>
      <c r="BS10" s="4762">
        <f t="shared" ca="1" si="12"/>
        <v>8.5356996032496717</v>
      </c>
      <c r="BT10" s="4762">
        <f t="shared" ca="1" si="12"/>
        <v>10.920005025757412</v>
      </c>
      <c r="BU10" s="4762">
        <f t="shared" ref="BU10:EF10" ca="1" si="13">SUM(BU11:BU12)</f>
        <v>10.920005025757412</v>
      </c>
      <c r="BV10" s="4762">
        <f t="shared" ca="1" si="13"/>
        <v>10.920005025757412</v>
      </c>
      <c r="BW10" s="4762">
        <f t="shared" ca="1" si="13"/>
        <v>10.920005025757412</v>
      </c>
      <c r="BX10" s="4762">
        <f t="shared" ca="1" si="13"/>
        <v>15.059973192164085</v>
      </c>
      <c r="BY10" s="4762">
        <f t="shared" ca="1" si="13"/>
        <v>15.059973192164085</v>
      </c>
      <c r="BZ10" s="4762">
        <f t="shared" ca="1" si="13"/>
        <v>15.059973192164085</v>
      </c>
      <c r="CA10" s="4762">
        <f t="shared" ca="1" si="13"/>
        <v>15.059973192164085</v>
      </c>
      <c r="CB10" s="4762">
        <f t="shared" ca="1" si="13"/>
        <v>5.9742881958862446</v>
      </c>
      <c r="CC10" s="4762">
        <f t="shared" ca="1" si="13"/>
        <v>5.9742881958862446</v>
      </c>
      <c r="CD10" s="4762">
        <f t="shared" ca="1" si="13"/>
        <v>5.9742881958862446</v>
      </c>
      <c r="CE10" s="4762">
        <f t="shared" ca="1" si="13"/>
        <v>5.9742881958862446</v>
      </c>
      <c r="CF10" s="4762">
        <f t="shared" ca="1" si="13"/>
        <v>14.922235835298986</v>
      </c>
      <c r="CG10" s="4762">
        <f t="shared" ca="1" si="13"/>
        <v>14.922235835298986</v>
      </c>
      <c r="CH10" s="4762">
        <f t="shared" ca="1" si="13"/>
        <v>14.922235835298986</v>
      </c>
      <c r="CI10" s="4762">
        <f t="shared" ca="1" si="13"/>
        <v>14.922235835298986</v>
      </c>
      <c r="CJ10" s="4762">
        <f t="shared" ca="1" si="13"/>
        <v>34.854242257164813</v>
      </c>
      <c r="CK10" s="4762">
        <f t="shared" ca="1" si="13"/>
        <v>34.854242257164813</v>
      </c>
      <c r="CL10" s="4762">
        <f t="shared" ca="1" si="13"/>
        <v>34.854242257164813</v>
      </c>
      <c r="CM10" s="4762">
        <f t="shared" ca="1" si="13"/>
        <v>34.854242257164813</v>
      </c>
      <c r="CN10" s="4762">
        <f t="shared" ca="1" si="13"/>
        <v>13.728648085602682</v>
      </c>
      <c r="CO10" s="4762">
        <f t="shared" ca="1" si="13"/>
        <v>13.728648085602682</v>
      </c>
      <c r="CP10" s="4762">
        <f t="shared" ca="1" si="13"/>
        <v>13.728648085602682</v>
      </c>
      <c r="CQ10" s="4762">
        <f t="shared" ca="1" si="13"/>
        <v>13.728648085602682</v>
      </c>
      <c r="CR10" s="4762">
        <f t="shared" ca="1" si="13"/>
        <v>7.5369918577545976</v>
      </c>
      <c r="CS10" s="4762">
        <f t="shared" ca="1" si="13"/>
        <v>7.5369918577545976</v>
      </c>
      <c r="CT10" s="4762">
        <f t="shared" ca="1" si="13"/>
        <v>7.5369918577545976</v>
      </c>
      <c r="CU10" s="4762">
        <f t="shared" ca="1" si="13"/>
        <v>7.5369918577545976</v>
      </c>
      <c r="CV10" s="4762">
        <f t="shared" ca="1" si="13"/>
        <v>10.660190284005415</v>
      </c>
      <c r="CW10" s="4762">
        <f t="shared" ca="1" si="13"/>
        <v>10.660190284005415</v>
      </c>
      <c r="CX10" s="4762">
        <f t="shared" ca="1" si="13"/>
        <v>10.660190284005415</v>
      </c>
      <c r="CY10" s="4762">
        <f t="shared" ca="1" si="13"/>
        <v>10.660190284005415</v>
      </c>
      <c r="CZ10" s="4762">
        <f t="shared" ca="1" si="13"/>
        <v>4.2942697161406791</v>
      </c>
      <c r="DA10" s="4762">
        <f t="shared" ca="1" si="13"/>
        <v>4.2942697161406791</v>
      </c>
      <c r="DB10" s="4762">
        <f t="shared" ca="1" si="13"/>
        <v>4.2942697161406791</v>
      </c>
      <c r="DC10" s="4762">
        <f t="shared" ca="1" si="13"/>
        <v>4.2942697161406791</v>
      </c>
      <c r="DD10" s="4762">
        <f t="shared" ca="1" si="13"/>
        <v>0</v>
      </c>
      <c r="DE10" s="4762">
        <f t="shared" ca="1" si="13"/>
        <v>0</v>
      </c>
      <c r="DF10" s="4762">
        <f t="shared" ca="1" si="13"/>
        <v>0</v>
      </c>
      <c r="DG10" s="4762">
        <f t="shared" ca="1" si="13"/>
        <v>0</v>
      </c>
      <c r="DH10" s="4762">
        <f t="shared" ca="1" si="13"/>
        <v>0.253946929706383</v>
      </c>
      <c r="DI10" s="4762">
        <f t="shared" ca="1" si="13"/>
        <v>0.253946929706383</v>
      </c>
      <c r="DJ10" s="4762">
        <f t="shared" ca="1" si="13"/>
        <v>0.253946929706383</v>
      </c>
      <c r="DK10" s="4762">
        <f t="shared" ca="1" si="13"/>
        <v>0.253946929706383</v>
      </c>
      <c r="DL10" s="4762">
        <f t="shared" ca="1" si="13"/>
        <v>4.1382798047211127</v>
      </c>
      <c r="DM10" s="4762">
        <f t="shared" ca="1" si="13"/>
        <v>4.1382798047211127</v>
      </c>
      <c r="DN10" s="4762">
        <f t="shared" ca="1" si="13"/>
        <v>4.1382798047211127</v>
      </c>
      <c r="DO10" s="4762">
        <f t="shared" ca="1" si="13"/>
        <v>4.1382798047211127</v>
      </c>
      <c r="DP10" s="4762">
        <f t="shared" ca="1" si="13"/>
        <v>2.8495638929282943</v>
      </c>
      <c r="DQ10" s="4762">
        <f t="shared" ca="1" si="13"/>
        <v>2.8495638929282943</v>
      </c>
      <c r="DR10" s="4762">
        <f t="shared" ca="1" si="13"/>
        <v>2.8495638929282943</v>
      </c>
      <c r="DS10" s="4762">
        <f t="shared" ca="1" si="13"/>
        <v>2.8495638929282943</v>
      </c>
      <c r="DT10" s="4762">
        <f t="shared" ca="1" si="13"/>
        <v>3.9638729006947533</v>
      </c>
      <c r="DU10" s="4762">
        <f t="shared" ca="1" si="13"/>
        <v>3.9638729006947533</v>
      </c>
      <c r="DV10" s="4762">
        <f t="shared" ca="1" si="13"/>
        <v>3.9638729006947533</v>
      </c>
      <c r="DW10" s="4762">
        <f t="shared" ca="1" si="13"/>
        <v>3.9638729006947533</v>
      </c>
      <c r="DX10" s="4762">
        <f t="shared" ca="1" si="13"/>
        <v>7.1019389470781</v>
      </c>
      <c r="DY10" s="4762">
        <f t="shared" ca="1" si="13"/>
        <v>7.1019389470781</v>
      </c>
      <c r="DZ10" s="4762">
        <f t="shared" ca="1" si="13"/>
        <v>7.1019389470781</v>
      </c>
      <c r="EA10" s="4762">
        <f t="shared" ca="1" si="13"/>
        <v>7.1019389470781</v>
      </c>
      <c r="EB10" s="4762">
        <f t="shared" ca="1" si="13"/>
        <v>0</v>
      </c>
      <c r="EC10" s="4762">
        <f t="shared" ca="1" si="13"/>
        <v>0</v>
      </c>
      <c r="ED10" s="4762">
        <f t="shared" ca="1" si="13"/>
        <v>0</v>
      </c>
      <c r="EE10" s="4762">
        <f t="shared" ca="1" si="13"/>
        <v>0</v>
      </c>
      <c r="EF10" s="4762">
        <f t="shared" ca="1" si="13"/>
        <v>11.829935144985386</v>
      </c>
      <c r="EG10" s="4762">
        <f t="shared" ref="EG10:GE10" ca="1" si="14">SUM(EG11:EG12)</f>
        <v>11.829935144985386</v>
      </c>
      <c r="EH10" s="4762">
        <f t="shared" ca="1" si="14"/>
        <v>11.829935144985386</v>
      </c>
      <c r="EI10" s="4762">
        <f t="shared" ca="1" si="14"/>
        <v>11.829935144985386</v>
      </c>
      <c r="EJ10" s="4762">
        <f t="shared" ca="1" si="14"/>
        <v>2.2461902174022885</v>
      </c>
      <c r="EK10" s="4762">
        <f t="shared" ca="1" si="14"/>
        <v>2.2461902174022885</v>
      </c>
      <c r="EL10" s="4762">
        <f t="shared" ca="1" si="14"/>
        <v>2.2461902174022885</v>
      </c>
      <c r="EM10" s="4762">
        <f t="shared" ca="1" si="14"/>
        <v>2.2461902174022885</v>
      </c>
      <c r="EN10" s="4762">
        <f t="shared" ca="1" si="14"/>
        <v>0</v>
      </c>
      <c r="EO10" s="4762">
        <f t="shared" ca="1" si="14"/>
        <v>0</v>
      </c>
      <c r="EP10" s="4762">
        <f t="shared" ca="1" si="14"/>
        <v>0</v>
      </c>
      <c r="EQ10" s="4762">
        <f t="shared" ca="1" si="14"/>
        <v>0</v>
      </c>
      <c r="ER10" s="4762">
        <f t="shared" ca="1" si="14"/>
        <v>5.4158913327339944</v>
      </c>
      <c r="ES10" s="4762">
        <f t="shared" ca="1" si="14"/>
        <v>5.4158913327339944</v>
      </c>
      <c r="ET10" s="4762">
        <f t="shared" ca="1" si="14"/>
        <v>5.4158913327339944</v>
      </c>
      <c r="EU10" s="4762">
        <f t="shared" ca="1" si="14"/>
        <v>5.4158913327339944</v>
      </c>
      <c r="EV10" s="4762">
        <f t="shared" ca="1" si="14"/>
        <v>0</v>
      </c>
      <c r="EW10" s="4762">
        <f t="shared" ca="1" si="14"/>
        <v>0</v>
      </c>
      <c r="EX10" s="4762">
        <f t="shared" ca="1" si="14"/>
        <v>0</v>
      </c>
      <c r="EY10" s="4762">
        <f t="shared" ca="1" si="14"/>
        <v>0</v>
      </c>
      <c r="EZ10" s="4762">
        <f t="shared" ca="1" si="14"/>
        <v>1.9513702964330726</v>
      </c>
      <c r="FA10" s="4762">
        <f t="shared" ca="1" si="14"/>
        <v>1.9513702964330726</v>
      </c>
      <c r="FB10" s="4762">
        <f t="shared" ca="1" si="14"/>
        <v>1.9513702964330726</v>
      </c>
      <c r="FC10" s="4762">
        <f t="shared" ca="1" si="14"/>
        <v>1.9513702964330726</v>
      </c>
      <c r="FD10" s="4762">
        <f t="shared" ca="1" si="14"/>
        <v>0.53653829384684293</v>
      </c>
      <c r="FE10" s="4762">
        <f t="shared" ca="1" si="14"/>
        <v>0.53653829384684293</v>
      </c>
      <c r="FF10" s="4762">
        <f t="shared" ca="1" si="14"/>
        <v>0.53653829384684293</v>
      </c>
      <c r="FG10" s="4762">
        <f t="shared" ca="1" si="14"/>
        <v>0.53653829384684293</v>
      </c>
      <c r="FH10" s="4762">
        <f t="shared" ca="1" si="14"/>
        <v>3.3598027960689301</v>
      </c>
      <c r="FI10" s="4762">
        <f t="shared" ca="1" si="14"/>
        <v>3.3598027960689301</v>
      </c>
      <c r="FJ10" s="4762">
        <f t="shared" ca="1" si="14"/>
        <v>3.3598027960689301</v>
      </c>
      <c r="FK10" s="4762">
        <f t="shared" ca="1" si="14"/>
        <v>3.3598027960689301</v>
      </c>
      <c r="FL10" s="4762">
        <f t="shared" ca="1" si="14"/>
        <v>35.02865366740253</v>
      </c>
      <c r="FM10" s="4762">
        <f t="shared" ca="1" si="14"/>
        <v>35.02865366740253</v>
      </c>
      <c r="FN10" s="4762">
        <f t="shared" ca="1" si="14"/>
        <v>0</v>
      </c>
      <c r="FO10" s="4762">
        <f t="shared" ca="1" si="14"/>
        <v>0</v>
      </c>
      <c r="FP10" s="731">
        <f t="shared" si="14"/>
        <v>0</v>
      </c>
      <c r="FQ10" s="1205">
        <f t="shared" si="14"/>
        <v>0</v>
      </c>
      <c r="FR10" s="1205">
        <f t="shared" si="14"/>
        <v>0</v>
      </c>
      <c r="FS10" s="1206">
        <f t="shared" si="14"/>
        <v>0</v>
      </c>
      <c r="FT10" s="731">
        <f t="shared" si="14"/>
        <v>0</v>
      </c>
      <c r="FU10" s="1205">
        <f t="shared" si="14"/>
        <v>0</v>
      </c>
      <c r="FV10" s="1205">
        <f t="shared" si="14"/>
        <v>0</v>
      </c>
      <c r="FW10" s="1206">
        <f t="shared" si="14"/>
        <v>0</v>
      </c>
      <c r="FX10" s="731">
        <f t="shared" si="14"/>
        <v>0</v>
      </c>
      <c r="FY10" s="1205">
        <f t="shared" si="14"/>
        <v>0</v>
      </c>
      <c r="FZ10" s="1205">
        <f t="shared" si="14"/>
        <v>0</v>
      </c>
      <c r="GA10" s="1206">
        <f t="shared" si="14"/>
        <v>0</v>
      </c>
      <c r="GB10" s="731">
        <f t="shared" si="14"/>
        <v>0</v>
      </c>
      <c r="GC10" s="1205">
        <f t="shared" si="14"/>
        <v>0</v>
      </c>
      <c r="GD10" s="1205">
        <f t="shared" si="14"/>
        <v>0</v>
      </c>
      <c r="GE10" s="1206">
        <f t="shared" si="14"/>
        <v>0</v>
      </c>
    </row>
    <row r="11" spans="1:187" ht="17.100000000000001" customHeight="1">
      <c r="B11" s="341"/>
      <c r="C11" s="4991" t="s">
        <v>1226</v>
      </c>
      <c r="D11" s="5003"/>
      <c r="E11" s="5004"/>
      <c r="F11" s="1283">
        <f t="shared" ca="1" si="11"/>
        <v>447.87645158995696</v>
      </c>
      <c r="G11" s="4978"/>
      <c r="H11" s="4846">
        <v>0</v>
      </c>
      <c r="I11" s="4846">
        <v>0</v>
      </c>
      <c r="J11" s="4846">
        <v>0</v>
      </c>
      <c r="K11" s="4846">
        <v>13.99</v>
      </c>
      <c r="L11" s="4846">
        <v>13.99</v>
      </c>
      <c r="M11" s="4846">
        <v>0</v>
      </c>
      <c r="N11" s="4846">
        <v>11.39641291</v>
      </c>
      <c r="O11" s="4846">
        <v>0.24179999999999999</v>
      </c>
      <c r="P11" s="4984">
        <f>'자금운영(현금)'!BF67</f>
        <v>13.977831500000001</v>
      </c>
      <c r="Q11" s="4984">
        <f>'자금운영(현금)'!BG67</f>
        <v>0</v>
      </c>
      <c r="R11" s="4984">
        <f>'자금운영(현금)'!BH67</f>
        <v>16.46</v>
      </c>
      <c r="S11" s="4984">
        <f>'자금운영(현금)'!BI67</f>
        <v>6.9950000000000001</v>
      </c>
      <c r="T11" s="4853">
        <f>13.99/2</f>
        <v>6.9950000000000001</v>
      </c>
      <c r="U11" s="4762"/>
      <c r="V11" s="4762"/>
      <c r="W11" s="4762"/>
      <c r="X11" s="4762">
        <f ca="1">SUMIF('대체비,유지보수비'!9:9,X3,'대체비,유지보수비'!11:11)/100*X17/비용!X18*$E10</f>
        <v>0</v>
      </c>
      <c r="Y11" s="4762">
        <f ca="1">SUMIF('대체비,유지보수비'!9:9,Y3,'대체비,유지보수비'!11:11)/100*Y17/비용!Y18*$E10</f>
        <v>0</v>
      </c>
      <c r="Z11" s="4762">
        <f ca="1">SUMIF('대체비,유지보수비'!9:9,Z3,'대체비,유지보수비'!11:11)/100*Z17/비용!Z18*$E10</f>
        <v>0</v>
      </c>
      <c r="AA11" s="4762">
        <f ca="1">SUMIF('대체비,유지보수비'!9:9,AA3,'대체비,유지보수비'!11:11)/100*AA17/비용!AA18*$E10</f>
        <v>0</v>
      </c>
      <c r="AB11" s="4762">
        <f ca="1">SUMIF('대체비,유지보수비'!9:9,AB3,'대체비,유지보수비'!11:11)/100*AB17/비용!AB18*$E10</f>
        <v>0</v>
      </c>
      <c r="AC11" s="4762">
        <f ca="1">SUMIF('대체비,유지보수비'!9:9,AC3,'대체비,유지보수비'!11:11)/100*AC17/비용!AC18*$E10</f>
        <v>0</v>
      </c>
      <c r="AD11" s="4762">
        <f ca="1">SUMIF('대체비,유지보수비'!9:9,AD3,'대체비,유지보수비'!11:11)/100*AD17/비용!AD18*$E10</f>
        <v>0</v>
      </c>
      <c r="AE11" s="4762">
        <f ca="1">SUMIF('대체비,유지보수비'!9:9,AE3,'대체비,유지보수비'!11:11)/100*AE17/비용!AE18*$E10</f>
        <v>0</v>
      </c>
      <c r="AF11" s="4762">
        <f ca="1">SUMIF('대체비,유지보수비'!9:9,AF3,'대체비,유지보수비'!11:11)/100*AF17/비용!AF18*$E10</f>
        <v>0.78045300749999991</v>
      </c>
      <c r="AG11" s="4762">
        <f ca="1">SUMIF('대체비,유지보수비'!9:9,AG3,'대체비,유지보수비'!11:11)/100*AG17/비용!AG18*$E10</f>
        <v>0.78045300749999991</v>
      </c>
      <c r="AH11" s="4762">
        <f ca="1">SUMIF('대체비,유지보수비'!9:9,AH3,'대체비,유지보수비'!11:11)/100*AH17/비용!AH18*$E10</f>
        <v>0.78045300749999991</v>
      </c>
      <c r="AI11" s="4762">
        <f ca="1">SUMIF('대체비,유지보수비'!9:9,AI3,'대체비,유지보수비'!11:11)/100*AI17/비용!AI18*$E10</f>
        <v>0.78045300749999991</v>
      </c>
      <c r="AJ11" s="4762">
        <f ca="1">SUMIF('대체비,유지보수비'!9:9,AJ3,'대체비,유지보수비'!11:11)/100*AJ17/비용!AJ18*$E10</f>
        <v>0</v>
      </c>
      <c r="AK11" s="4762">
        <f ca="1">SUMIF('대체비,유지보수비'!9:9,AK3,'대체비,유지보수비'!11:11)/100*AK17/비용!AK18*$E10</f>
        <v>0</v>
      </c>
      <c r="AL11" s="4762">
        <f ca="1">SUMIF('대체비,유지보수비'!9:9,AL3,'대체비,유지보수비'!11:11)/100*AL17/비용!AL18*$E10</f>
        <v>0</v>
      </c>
      <c r="AM11" s="4762">
        <f ca="1">SUMIF('대체비,유지보수비'!9:9,AM3,'대체비,유지보수비'!11:11)/100*AM17/비용!AM18*$E10</f>
        <v>0</v>
      </c>
      <c r="AN11" s="4762">
        <f ca="1">SUMIF('대체비,유지보수비'!9:9,AN3,'대체비,유지보수비'!11:11)/100*AN17/비용!AN18*$E10</f>
        <v>1.671894237196575</v>
      </c>
      <c r="AO11" s="4762">
        <f ca="1">SUMIF('대체비,유지보수비'!9:9,AO3,'대체비,유지보수비'!11:11)/100*AO17/비용!AO18*$E10</f>
        <v>1.671894237196575</v>
      </c>
      <c r="AP11" s="4762">
        <f ca="1">SUMIF('대체비,유지보수비'!9:9,AP3,'대체비,유지보수비'!11:11)/100*AP17/비용!AP18*$E10</f>
        <v>1.671894237196575</v>
      </c>
      <c r="AQ11" s="4762">
        <f ca="1">SUMIF('대체비,유지보수비'!9:9,AQ3,'대체비,유지보수비'!11:11)/100*AQ17/비용!AQ18*$E10</f>
        <v>1.671894237196575</v>
      </c>
      <c r="AR11" s="4762">
        <f ca="1">SUMIF('대체비,유지보수비'!9:9,AR3,'대체비,유지보수비'!11:11)/100*AR17/비용!AR18*$E10</f>
        <v>0.10721353521070098</v>
      </c>
      <c r="AS11" s="4762">
        <f ca="1">SUMIF('대체비,유지보수비'!9:9,AS3,'대체비,유지보수비'!11:11)/100*AS17/비용!AS18*$E10</f>
        <v>0.10721353521070098</v>
      </c>
      <c r="AT11" s="4762">
        <f ca="1">SUMIF('대체비,유지보수비'!9:9,AT3,'대체비,유지보수비'!11:11)/100*AT17/비용!AT18*$E10</f>
        <v>0.10721353521070098</v>
      </c>
      <c r="AU11" s="4762">
        <f ca="1">SUMIF('대체비,유지보수비'!9:9,AU3,'대체비,유지보수비'!11:11)/100*AU17/비용!AU18*$E10</f>
        <v>0.10721353521070098</v>
      </c>
      <c r="AV11" s="4762">
        <f ca="1">SUMIF('대체비,유지보수비'!9:9,AV3,'대체비,유지보수비'!11:11)/100*AV17/비용!AV18*$E10</f>
        <v>0</v>
      </c>
      <c r="AW11" s="4762">
        <f ca="1">SUMIF('대체비,유지보수비'!9:9,AW3,'대체비,유지보수비'!11:11)/100*AW17/비용!AW18*$E10</f>
        <v>0</v>
      </c>
      <c r="AX11" s="4762">
        <f ca="1">SUMIF('대체비,유지보수비'!9:9,AX3,'대체비,유지보수비'!11:11)/100*AX17/비용!AX18*$E10</f>
        <v>0</v>
      </c>
      <c r="AY11" s="4762">
        <f ca="1">SUMIF('대체비,유지보수비'!9:9,AY3,'대체비,유지보수비'!11:11)/100*AY17/비용!AY18*$E10</f>
        <v>0</v>
      </c>
      <c r="AZ11" s="4762">
        <f ca="1">SUMIF('대체비,유지보수비'!9:9,AZ3,'대체비,유지보수비'!11:11)/100*AZ17/비용!AZ18*$E10</f>
        <v>0</v>
      </c>
      <c r="BA11" s="4762">
        <f ca="1">SUMIF('대체비,유지보수비'!9:9,BA3,'대체비,유지보수비'!11:11)/100*BA17/비용!BA18*$E10</f>
        <v>0</v>
      </c>
      <c r="BB11" s="4762">
        <f ca="1">SUMIF('대체비,유지보수비'!9:9,BB3,'대체비,유지보수비'!11:11)/100*BB17/비용!BB18*$E10</f>
        <v>0</v>
      </c>
      <c r="BC11" s="4762">
        <f ca="1">SUMIF('대체비,유지보수비'!9:9,BC3,'대체비,유지보수비'!11:11)/100*BC17/비용!BC18*$E10</f>
        <v>0</v>
      </c>
      <c r="BD11" s="4762">
        <f ca="1">SUMIF('대체비,유지보수비'!9:9,BD3,'대체비,유지보수비'!11:11)/100*BD17/비용!BD18*$E10</f>
        <v>6.2411150085733063</v>
      </c>
      <c r="BE11" s="4762">
        <f ca="1">SUMIF('대체비,유지보수비'!9:9,BE3,'대체비,유지보수비'!11:11)/100*BE17/비용!BE18*$E10</f>
        <v>6.2411150085733063</v>
      </c>
      <c r="BF11" s="4762">
        <f ca="1">SUMIF('대체비,유지보수비'!9:9,BF3,'대체비,유지보수비'!11:11)/100*BF17/비용!BF18*$E10</f>
        <v>6.2411150085733063</v>
      </c>
      <c r="BG11" s="4762">
        <f ca="1">SUMIF('대체비,유지보수비'!9:9,BG3,'대체비,유지보수비'!11:11)/100*BG17/비용!BG18*$E10</f>
        <v>6.2411150085733063</v>
      </c>
      <c r="BH11" s="4762">
        <f ca="1">SUMIF('대체비,유지보수비'!9:9,BH3,'대체비,유지보수비'!11:11)/100*BH17/비용!BH18*$E10</f>
        <v>0.41837562999949368</v>
      </c>
      <c r="BI11" s="4762">
        <f ca="1">SUMIF('대체비,유지보수비'!9:9,BI3,'대체비,유지보수비'!11:11)/100*BI17/비용!BI18*$E10</f>
        <v>0.41837562999949368</v>
      </c>
      <c r="BJ11" s="4762">
        <f ca="1">SUMIF('대체비,유지보수비'!9:9,BJ3,'대체비,유지보수비'!11:11)/100*BJ17/비용!BJ18*$E10</f>
        <v>0.41837562999949368</v>
      </c>
      <c r="BK11" s="4762">
        <f ca="1">SUMIF('대체비,유지보수비'!9:9,BK3,'대체비,유지보수비'!11:11)/100*BK17/비용!BK18*$E10</f>
        <v>0.41837562999949368</v>
      </c>
      <c r="BL11" s="4762">
        <f ca="1">SUMIF('대체비,유지보수비'!9:9,BL3,'대체비,유지보수비'!11:11)/100*BL17/비용!BL18*$E10</f>
        <v>0</v>
      </c>
      <c r="BM11" s="4762">
        <f ca="1">SUMIF('대체비,유지보수비'!9:9,BM3,'대체비,유지보수비'!11:11)/100*BM17/비용!BM18*$E10</f>
        <v>0</v>
      </c>
      <c r="BN11" s="4762">
        <f ca="1">SUMIF('대체비,유지보수비'!9:9,BN3,'대체비,유지보수비'!11:11)/100*BN17/비용!BN18*$E10</f>
        <v>0</v>
      </c>
      <c r="BO11" s="4762">
        <f ca="1">SUMIF('대체비,유지보수비'!9:9,BO3,'대체비,유지보수비'!11:11)/100*BO17/비용!BO18*$E10</f>
        <v>0</v>
      </c>
      <c r="BP11" s="4762">
        <f ca="1">SUMIF('대체비,유지보수비'!9:9,BP3,'대체비,유지보수비'!11:11)/100*BP17/비용!BP18*$E10</f>
        <v>0</v>
      </c>
      <c r="BQ11" s="4762">
        <f ca="1">SUMIF('대체비,유지보수비'!9:9,BQ3,'대체비,유지보수비'!11:11)/100*BQ17/비용!BQ18*$E10</f>
        <v>0</v>
      </c>
      <c r="BR11" s="4762">
        <f ca="1">SUMIF('대체비,유지보수비'!9:9,BR3,'대체비,유지보수비'!11:11)/100*BR17/비용!BR18*$E10</f>
        <v>0</v>
      </c>
      <c r="BS11" s="4762">
        <f ca="1">SUMIF('대체비,유지보수비'!9:9,BS3,'대체비,유지보수비'!11:11)/100*BS17/비용!BS18*$E10</f>
        <v>0</v>
      </c>
      <c r="BT11" s="4762">
        <f ca="1">SUMIF('대체비,유지보수비'!9:9,BT3,'대체비,유지보수비'!11:11)/100*BT17/비용!BT18*$E10</f>
        <v>0</v>
      </c>
      <c r="BU11" s="4762">
        <f ca="1">SUMIF('대체비,유지보수비'!9:9,BU3,'대체비,유지보수비'!11:11)/100*BU17/비용!BU18*$E10</f>
        <v>0</v>
      </c>
      <c r="BV11" s="4762">
        <f ca="1">SUMIF('대체비,유지보수비'!9:9,BV3,'대체비,유지보수비'!11:11)/100*BV17/비용!BV18*$E10</f>
        <v>0</v>
      </c>
      <c r="BW11" s="4762">
        <f ca="1">SUMIF('대체비,유지보수비'!9:9,BW3,'대체비,유지보수비'!11:11)/100*BW17/비용!BW18*$E10</f>
        <v>0</v>
      </c>
      <c r="BX11" s="4762">
        <f ca="1">SUMIF('대체비,유지보수비'!9:9,BX3,'대체비,유지보수비'!11:11)/100*BX17/비용!BX18*$E10</f>
        <v>0.23219379107399973</v>
      </c>
      <c r="BY11" s="4762">
        <f ca="1">SUMIF('대체비,유지보수비'!9:9,BY3,'대체비,유지보수비'!11:11)/100*BY17/비용!BY18*$E10</f>
        <v>0.23219379107399973</v>
      </c>
      <c r="BZ11" s="4762">
        <f ca="1">SUMIF('대체비,유지보수비'!9:9,BZ3,'대체비,유지보수비'!11:11)/100*BZ17/비용!BZ18*$E10</f>
        <v>0.23219379107399973</v>
      </c>
      <c r="CA11" s="4762">
        <f ca="1">SUMIF('대체비,유지보수비'!9:9,CA3,'대체비,유지보수비'!11:11)/100*CA17/비용!CA18*$E10</f>
        <v>0.23219379107399973</v>
      </c>
      <c r="CB11" s="4762">
        <f ca="1">SUMIF('대체비,유지보수비'!9:9,CB3,'대체비,유지보수비'!11:11)/100*CB17/비용!CB18*$E10</f>
        <v>0.43971699184638696</v>
      </c>
      <c r="CC11" s="4762">
        <f ca="1">SUMIF('대체비,유지보수비'!9:9,CC3,'대체비,유지보수비'!11:11)/100*CC17/비용!CC18*$E10</f>
        <v>0.43971699184638696</v>
      </c>
      <c r="CD11" s="4762">
        <f ca="1">SUMIF('대체비,유지보수비'!9:9,CD3,'대체비,유지보수비'!11:11)/100*CD17/비용!CD18*$E10</f>
        <v>0.43971699184638696</v>
      </c>
      <c r="CE11" s="4762">
        <f ca="1">SUMIF('대체비,유지보수비'!9:9,CE3,'대체비,유지보수비'!11:11)/100*CE17/비용!CE18*$E10</f>
        <v>0.43971699184638696</v>
      </c>
      <c r="CF11" s="4762">
        <f ca="1">SUMIF('대체비,유지보수비'!9:9,CF3,'대체비,유지보수비'!11:11)/100*CF17/비용!CF18*$E10</f>
        <v>14.922235835298986</v>
      </c>
      <c r="CG11" s="4762">
        <f ca="1">SUMIF('대체비,유지보수비'!9:9,CG3,'대체비,유지보수비'!11:11)/100*CG17/비용!CG18*$E10</f>
        <v>14.922235835298986</v>
      </c>
      <c r="CH11" s="4762">
        <f ca="1">SUMIF('대체비,유지보수비'!9:9,CH3,'대체비,유지보수비'!11:11)/100*CH17/비용!CH18*$E10</f>
        <v>14.922235835298986</v>
      </c>
      <c r="CI11" s="4762">
        <f ca="1">SUMIF('대체비,유지보수비'!9:9,CI3,'대체비,유지보수비'!11:11)/100*CI17/비용!CI18*$E10</f>
        <v>14.922235835298986</v>
      </c>
      <c r="CJ11" s="4762">
        <f ca="1">SUMIF('대체비,유지보수비'!9:9,CJ3,'대체비,유지보수비'!11:11)/100*CJ17/비용!CJ18*$E10</f>
        <v>25.896592848616297</v>
      </c>
      <c r="CK11" s="4762">
        <f ca="1">SUMIF('대체비,유지보수비'!9:9,CK3,'대체비,유지보수비'!11:11)/100*CK17/비용!CK18*$E10</f>
        <v>25.896592848616297</v>
      </c>
      <c r="CL11" s="4762">
        <f ca="1">SUMIF('대체비,유지보수비'!9:9,CL3,'대체비,유지보수비'!11:11)/100*CL17/비용!CL18*$E10</f>
        <v>25.896592848616297</v>
      </c>
      <c r="CM11" s="4762">
        <f ca="1">SUMIF('대체비,유지보수비'!9:9,CM3,'대체비,유지보수비'!11:11)/100*CM17/비용!CM18*$E10</f>
        <v>25.896592848616297</v>
      </c>
      <c r="CN11" s="4762">
        <f ca="1">SUMIF('대체비,유지보수비'!9:9,CN3,'대체비,유지보수비'!11:11)/100*CN17/비용!CN18*$E10</f>
        <v>9.6648716035482529</v>
      </c>
      <c r="CO11" s="4762">
        <f ca="1">SUMIF('대체비,유지보수비'!9:9,CO3,'대체비,유지보수비'!11:11)/100*CO17/비용!CO18*$E10</f>
        <v>9.6648716035482529</v>
      </c>
      <c r="CP11" s="4762">
        <f ca="1">SUMIF('대체비,유지보수비'!9:9,CP3,'대체비,유지보수비'!11:11)/100*CP17/비용!CP18*$E10</f>
        <v>9.6648716035482529</v>
      </c>
      <c r="CQ11" s="4762">
        <f ca="1">SUMIF('대체비,유지보수비'!9:9,CQ3,'대체비,유지보수비'!11:11)/100*CQ17/비용!CQ18*$E10</f>
        <v>9.6648716035482529</v>
      </c>
      <c r="CR11" s="4762">
        <f ca="1">SUMIF('대체비,유지보수비'!9:9,CR3,'대체비,유지보수비'!11:11)/100*CR17/비용!CR18*$E10</f>
        <v>0</v>
      </c>
      <c r="CS11" s="4762">
        <f ca="1">SUMIF('대체비,유지보수비'!9:9,CS3,'대체비,유지보수비'!11:11)/100*CS17/비용!CS18*$E10</f>
        <v>0</v>
      </c>
      <c r="CT11" s="4762">
        <f ca="1">SUMIF('대체비,유지보수비'!9:9,CT3,'대체비,유지보수비'!11:11)/100*CT17/비용!CT18*$E10</f>
        <v>0</v>
      </c>
      <c r="CU11" s="4762">
        <f ca="1">SUMIF('대체비,유지보수비'!9:9,CU3,'대체비,유지보수비'!11:11)/100*CU17/비용!CU18*$E10</f>
        <v>0</v>
      </c>
      <c r="CV11" s="4762">
        <f ca="1">SUMIF('대체비,유지보수비'!9:9,CV3,'대체비,유지보수비'!11:11)/100*CV17/비용!CV18*$E10</f>
        <v>2.9269308583251861</v>
      </c>
      <c r="CW11" s="4762">
        <f ca="1">SUMIF('대체비,유지보수비'!9:9,CW3,'대체비,유지보수비'!11:11)/100*CW17/비용!CW18*$E10</f>
        <v>2.9269308583251861</v>
      </c>
      <c r="CX11" s="4762">
        <f ca="1">SUMIF('대체비,유지보수비'!9:9,CX3,'대체비,유지보수비'!11:11)/100*CX17/비용!CX18*$E10</f>
        <v>2.9269308583251861</v>
      </c>
      <c r="CY11" s="4762">
        <f ca="1">SUMIF('대체비,유지보수비'!9:9,CY3,'대체비,유지보수비'!11:11)/100*CY17/비용!CY18*$E10</f>
        <v>2.9269308583251861</v>
      </c>
      <c r="CZ11" s="4762">
        <f ca="1">SUMIF('대체비,유지보수비'!9:9,CZ3,'대체비,유지보수비'!11:11)/100*CZ17/비용!CZ18*$E10</f>
        <v>2.4271959265142966</v>
      </c>
      <c r="DA11" s="4762">
        <f ca="1">SUMIF('대체비,유지보수비'!9:9,DA3,'대체비,유지보수비'!11:11)/100*DA17/비용!DA18*$E10</f>
        <v>2.4271959265142966</v>
      </c>
      <c r="DB11" s="4762">
        <f ca="1">SUMIF('대체비,유지보수비'!9:9,DB3,'대체비,유지보수비'!11:11)/100*DB17/비용!DB18*$E10</f>
        <v>2.4271959265142966</v>
      </c>
      <c r="DC11" s="4762">
        <f ca="1">SUMIF('대체비,유지보수비'!9:9,DC3,'대체비,유지보수비'!11:11)/100*DC17/비용!DC18*$E10</f>
        <v>2.4271959265142966</v>
      </c>
      <c r="DD11" s="4762">
        <f ca="1">SUMIF('대체비,유지보수비'!9:9,DD3,'대체비,유지보수비'!11:11)/100*DD17/비용!DD18*$E10</f>
        <v>0</v>
      </c>
      <c r="DE11" s="4762">
        <f ca="1">SUMIF('대체비,유지보수비'!9:9,DE3,'대체비,유지보수비'!11:11)/100*DE17/비용!DE18*$E10</f>
        <v>0</v>
      </c>
      <c r="DF11" s="4762">
        <f ca="1">SUMIF('대체비,유지보수비'!9:9,DF3,'대체비,유지보수비'!11:11)/100*DF17/비용!DF18*$E10</f>
        <v>0</v>
      </c>
      <c r="DG11" s="4762">
        <f ca="1">SUMIF('대체비,유지보수비'!9:9,DG3,'대체비,유지보수비'!11:11)/100*DG17/비용!DG18*$E10</f>
        <v>0</v>
      </c>
      <c r="DH11" s="4762">
        <f ca="1">SUMIF('대체비,유지보수비'!9:9,DH3,'대체비,유지보수비'!11:11)/100*DH17/비용!DH18*$E10</f>
        <v>0</v>
      </c>
      <c r="DI11" s="4762">
        <f ca="1">SUMIF('대체비,유지보수비'!9:9,DI3,'대체비,유지보수비'!11:11)/100*DI17/비용!DI18*$E10</f>
        <v>0</v>
      </c>
      <c r="DJ11" s="4762">
        <f ca="1">SUMIF('대체비,유지보수비'!9:9,DJ3,'대체비,유지보수비'!11:11)/100*DJ17/비용!DJ18*$E10</f>
        <v>0</v>
      </c>
      <c r="DK11" s="4762">
        <f ca="1">SUMIF('대체비,유지보수비'!9:9,DK3,'대체비,유지보수비'!11:11)/100*DK17/비용!DK18*$E10</f>
        <v>0</v>
      </c>
      <c r="DL11" s="4762">
        <f ca="1">SUMIF('대체비,유지보수비'!9:9,DL3,'대체비,유지보수비'!11:11)/100*DL17/비용!DL18*$E10</f>
        <v>1.9236479925258509</v>
      </c>
      <c r="DM11" s="4762">
        <f ca="1">SUMIF('대체비,유지보수비'!9:9,DM3,'대체비,유지보수비'!11:11)/100*DM17/비용!DM18*$E10</f>
        <v>1.9236479925258509</v>
      </c>
      <c r="DN11" s="4762">
        <f ca="1">SUMIF('대체비,유지보수비'!9:9,DN3,'대체비,유지보수비'!11:11)/100*DN17/비용!DN18*$E10</f>
        <v>1.9236479925258509</v>
      </c>
      <c r="DO11" s="4762">
        <f ca="1">SUMIF('대체비,유지보수비'!9:9,DO3,'대체비,유지보수비'!11:11)/100*DO17/비용!DO18*$E10</f>
        <v>1.9236479925258509</v>
      </c>
      <c r="DP11" s="4762">
        <f ca="1">SUMIF('대체비,유지보수비'!9:9,DP3,'대체비,유지보수비'!11:11)/100*DP17/비용!DP18*$E10</f>
        <v>2.1047915118220355</v>
      </c>
      <c r="DQ11" s="4762">
        <f ca="1">SUMIF('대체비,유지보수비'!9:9,DQ3,'대체비,유지보수비'!11:11)/100*DQ17/비용!DQ18*$E10</f>
        <v>2.1047915118220355</v>
      </c>
      <c r="DR11" s="4762">
        <f ca="1">SUMIF('대체비,유지보수비'!9:9,DR3,'대체비,유지보수비'!11:11)/100*DR17/비용!DR18*$E10</f>
        <v>2.1047915118220355</v>
      </c>
      <c r="DS11" s="4762">
        <f ca="1">SUMIF('대체비,유지보수비'!9:9,DS3,'대체비,유지보수비'!11:11)/100*DS17/비용!DS18*$E10</f>
        <v>2.1047915118220355</v>
      </c>
      <c r="DT11" s="4762">
        <f ca="1">SUMIF('대체비,유지보수비'!9:9,DT3,'대체비,유지보수비'!11:11)/100*DT17/비용!DT18*$E10</f>
        <v>3.9638729006947533</v>
      </c>
      <c r="DU11" s="4762">
        <f ca="1">SUMIF('대체비,유지보수비'!9:9,DU3,'대체비,유지보수비'!11:11)/100*DU17/비용!DU18*$E10</f>
        <v>3.9638729006947533</v>
      </c>
      <c r="DV11" s="4762">
        <f ca="1">SUMIF('대체비,유지보수비'!9:9,DV3,'대체비,유지보수비'!11:11)/100*DV17/비용!DV18*$E10</f>
        <v>3.9638729006947533</v>
      </c>
      <c r="DW11" s="4762">
        <f ca="1">SUMIF('대체비,유지보수비'!9:9,DW3,'대체비,유지보수비'!11:11)/100*DW17/비용!DW18*$E10</f>
        <v>3.9638729006947533</v>
      </c>
      <c r="DX11" s="4762">
        <f ca="1">SUMIF('대체비,유지보수비'!9:9,DX3,'대체비,유지보수비'!11:11)/100*DX17/비용!DX18*$E10</f>
        <v>0</v>
      </c>
      <c r="DY11" s="4762">
        <f ca="1">SUMIF('대체비,유지보수비'!9:9,DY3,'대체비,유지보수비'!11:11)/100*DY17/비용!DY18*$E10</f>
        <v>0</v>
      </c>
      <c r="DZ11" s="4762">
        <f ca="1">SUMIF('대체비,유지보수비'!9:9,DZ3,'대체비,유지보수비'!11:11)/100*DZ17/비용!DZ18*$E10</f>
        <v>0</v>
      </c>
      <c r="EA11" s="4762">
        <f ca="1">SUMIF('대체비,유지보수비'!9:9,EA3,'대체비,유지보수비'!11:11)/100*EA17/비용!EA18*$E10</f>
        <v>0</v>
      </c>
      <c r="EB11" s="4762">
        <f ca="1">SUMIF('대체비,유지보수비'!9:9,EB3,'대체비,유지보수비'!11:11)/100*EB17/비용!EB18*$E10</f>
        <v>0</v>
      </c>
      <c r="EC11" s="4762">
        <f ca="1">SUMIF('대체비,유지보수비'!9:9,EC3,'대체비,유지보수비'!11:11)/100*EC17/비용!EC18*$E10</f>
        <v>0</v>
      </c>
      <c r="ED11" s="4762">
        <f ca="1">SUMIF('대체비,유지보수비'!9:9,ED3,'대체비,유지보수비'!11:11)/100*ED17/비용!ED18*$E10</f>
        <v>0</v>
      </c>
      <c r="EE11" s="4762">
        <f ca="1">SUMIF('대체비,유지보수비'!9:9,EE3,'대체비,유지보수비'!11:11)/100*EE17/비용!EE18*$E10</f>
        <v>0</v>
      </c>
      <c r="EF11" s="4762">
        <f ca="1">SUMIF('대체비,유지보수비'!9:9,EF3,'대체비,유지보수비'!11:11)/100*EF17/비용!EF18*$E10</f>
        <v>1.8869884814660687</v>
      </c>
      <c r="EG11" s="4762">
        <f ca="1">SUMIF('대체비,유지보수비'!9:9,EG3,'대체비,유지보수비'!11:11)/100*EG17/비용!EG18*$E10</f>
        <v>1.8869884814660687</v>
      </c>
      <c r="EH11" s="4762">
        <f ca="1">SUMIF('대체비,유지보수비'!9:9,EH3,'대체비,유지보수비'!11:11)/100*EH17/비용!EH18*$E10</f>
        <v>1.8869884814660687</v>
      </c>
      <c r="EI11" s="4762">
        <f ca="1">SUMIF('대체비,유지보수비'!9:9,EI3,'대체비,유지보수비'!11:11)/100*EI17/비용!EI18*$E10</f>
        <v>1.8869884814660687</v>
      </c>
      <c r="EJ11" s="4762">
        <f ca="1">SUMIF('대체비,유지보수비'!9:9,EJ3,'대체비,유지보수비'!11:11)/100*EJ17/비용!EJ18*$E10</f>
        <v>0.5104977766823382</v>
      </c>
      <c r="EK11" s="4762">
        <f ca="1">SUMIF('대체비,유지보수비'!9:9,EK3,'대체비,유지보수비'!11:11)/100*EK17/비용!EK18*$E10</f>
        <v>0.5104977766823382</v>
      </c>
      <c r="EL11" s="4762">
        <f ca="1">SUMIF('대체비,유지보수비'!9:9,EL3,'대체비,유지보수비'!11:11)/100*EL17/비용!EL18*$E10</f>
        <v>0.5104977766823382</v>
      </c>
      <c r="EM11" s="4762">
        <f ca="1">SUMIF('대체비,유지보수비'!9:9,EM3,'대체비,유지보수비'!11:11)/100*EM17/비용!EM18*$E10</f>
        <v>0.5104977766823382</v>
      </c>
      <c r="EN11" s="4762">
        <f ca="1">SUMIF('대체비,유지보수비'!9:9,EN3,'대체비,유지보수비'!11:11)/100*EN17/비용!EN18*$E10</f>
        <v>0</v>
      </c>
      <c r="EO11" s="4762">
        <f ca="1">SUMIF('대체비,유지보수비'!9:9,EO3,'대체비,유지보수비'!11:11)/100*EO17/비용!EO18*$E10</f>
        <v>0</v>
      </c>
      <c r="EP11" s="4762">
        <f ca="1">SUMIF('대체비,유지보수비'!9:9,EP3,'대체비,유지보수비'!11:11)/100*EP17/비용!EP18*$E10</f>
        <v>0</v>
      </c>
      <c r="EQ11" s="4762">
        <f ca="1">SUMIF('대체비,유지보수비'!9:9,EQ3,'대체비,유지보수비'!11:11)/100*EQ17/비용!EQ18*$E10</f>
        <v>0</v>
      </c>
      <c r="ER11" s="4762">
        <f ca="1">SUMIF('대체비,유지보수비'!9:9,ER3,'대체비,유지보수비'!11:11)/100*ER17/비용!ER18*$E10</f>
        <v>5.4158913327339944</v>
      </c>
      <c r="ES11" s="4762">
        <f ca="1">SUMIF('대체비,유지보수비'!9:9,ES3,'대체비,유지보수비'!11:11)/100*ES17/비용!ES18*$E10</f>
        <v>5.4158913327339944</v>
      </c>
      <c r="ET11" s="4762">
        <f ca="1">SUMIF('대체비,유지보수비'!9:9,ET3,'대체비,유지보수비'!11:11)/100*ET17/비용!ET18*$E10</f>
        <v>5.4158913327339944</v>
      </c>
      <c r="EU11" s="4762">
        <f ca="1">SUMIF('대체비,유지보수비'!9:9,EU3,'대체비,유지보수비'!11:11)/100*EU17/비용!EU18*$E10</f>
        <v>5.4158913327339944</v>
      </c>
      <c r="EV11" s="4762">
        <f ca="1">SUMIF('대체비,유지보수비'!9:9,EV3,'대체비,유지보수비'!11:11)/100*EV17/비용!EV18*$E10</f>
        <v>0</v>
      </c>
      <c r="EW11" s="4762">
        <f ca="1">SUMIF('대체비,유지보수비'!9:9,EW3,'대체비,유지보수비'!11:11)/100*EW17/비용!EW18*$E10</f>
        <v>0</v>
      </c>
      <c r="EX11" s="4762">
        <f ca="1">SUMIF('대체비,유지보수비'!9:9,EX3,'대체비,유지보수비'!11:11)/100*EX17/비용!EX18*$E10</f>
        <v>0</v>
      </c>
      <c r="EY11" s="4762">
        <f ca="1">SUMIF('대체비,유지보수비'!9:9,EY3,'대체비,유지보수비'!11:11)/100*EY17/비용!EY18*$E10</f>
        <v>0</v>
      </c>
      <c r="EZ11" s="4762">
        <f ca="1">SUMIF('대체비,유지보수비'!9:9,EZ3,'대체비,유지보수비'!11:11)/100*EZ17/비용!EZ18*$E10</f>
        <v>0.28332055120625371</v>
      </c>
      <c r="FA11" s="4762">
        <f ca="1">SUMIF('대체비,유지보수비'!9:9,FA3,'대체비,유지보수비'!11:11)/100*FA17/비용!FA18*$E10</f>
        <v>0.28332055120625371</v>
      </c>
      <c r="FB11" s="4762">
        <f ca="1">SUMIF('대체비,유지보수비'!9:9,FB3,'대체비,유지보수비'!11:11)/100*FB17/비용!FB18*$E10</f>
        <v>0.28332055120625371</v>
      </c>
      <c r="FC11" s="4762">
        <f ca="1">SUMIF('대체비,유지보수비'!9:9,FC3,'대체비,유지보수비'!11:11)/100*FC17/비용!FC18*$E10</f>
        <v>0.28332055120625371</v>
      </c>
      <c r="FD11" s="4762">
        <f ca="1">SUMIF('대체비,유지보수비'!9:9,FD3,'대체비,유지보수비'!11:11)/100*FD17/비용!FD18*$E10</f>
        <v>0.53653829384684293</v>
      </c>
      <c r="FE11" s="4762">
        <f ca="1">SUMIF('대체비,유지보수비'!9:9,FE3,'대체비,유지보수비'!11:11)/100*FE17/비용!FE18*$E10</f>
        <v>0.53653829384684293</v>
      </c>
      <c r="FF11" s="4762">
        <f ca="1">SUMIF('대체비,유지보수비'!9:9,FF3,'대체비,유지보수비'!11:11)/100*FF17/비용!FF18*$E10</f>
        <v>0.53653829384684293</v>
      </c>
      <c r="FG11" s="4762">
        <f ca="1">SUMIF('대체비,유지보수비'!9:9,FG3,'대체비,유지보수비'!11:11)/100*FG17/비용!FG18*$E10</f>
        <v>0.53653829384684293</v>
      </c>
      <c r="FH11" s="4762">
        <f ca="1">SUMIF('대체비,유지보수비'!9:9,FH3,'대체비,유지보수비'!11:11)/100*FH17/비용!FH18*$E10</f>
        <v>2.8178991192836187</v>
      </c>
      <c r="FI11" s="4762">
        <f ca="1">SUMIF('대체비,유지보수비'!9:9,FI3,'대체비,유지보수비'!11:11)/100*FI17/비용!FI18*$E10</f>
        <v>2.8178991192836187</v>
      </c>
      <c r="FJ11" s="4762">
        <f ca="1">SUMIF('대체비,유지보수비'!9:9,FJ3,'대체비,유지보수비'!11:11)/100*FJ17/비용!FJ18*$E10</f>
        <v>2.8178991192836187</v>
      </c>
      <c r="FK11" s="4762">
        <f ca="1">SUMIF('대체비,유지보수비'!9:9,FK3,'대체비,유지보수비'!11:11)/100*FK17/비용!FK18*$E10</f>
        <v>2.8178991192836187</v>
      </c>
      <c r="FL11" s="4762">
        <f ca="1">SUMIF('대체비,유지보수비'!9:9,FL3,'대체비,유지보수비'!11:11)/100*FL17/비용!FL18*$E10</f>
        <v>31.379835577048102</v>
      </c>
      <c r="FM11" s="4762">
        <f ca="1">SUMIF('대체비,유지보수비'!9:9,FM3,'대체비,유지보수비'!11:11)/100*FM17/비용!FM18*$E10</f>
        <v>31.379835577048102</v>
      </c>
      <c r="FN11" s="4762">
        <f ca="1">SUMIF('대체비,유지보수비'!9:9,FN3,'대체비,유지보수비'!11:11)/100*FN17/비용!FN18*$E10</f>
        <v>0</v>
      </c>
      <c r="FO11" s="4762">
        <f ca="1">SUMIF('대체비,유지보수비'!9:9,FO3,'대체비,유지보수비'!11:11)/100*FO17/비용!FO18*$E10</f>
        <v>0</v>
      </c>
      <c r="FP11" s="1215">
        <f>SUMIF('대체비,유지보수비'!9:9,FP3,'대체비,유지보수비'!11:11)/100*FP17/6*$E10</f>
        <v>0</v>
      </c>
      <c r="FQ11" s="1213">
        <f>SUMIF('대체비,유지보수비'!9:9,FQ3,'대체비,유지보수비'!11:11)/100*FQ17/6*$E10</f>
        <v>0</v>
      </c>
      <c r="FR11" s="1213">
        <f>SUMIF('대체비,유지보수비'!9:9,FR3,'대체비,유지보수비'!11:11)/100*FR17/6*$E10</f>
        <v>0</v>
      </c>
      <c r="FS11" s="1214">
        <f>SUMIF('대체비,유지보수비'!9:9,FS3,'대체비,유지보수비'!11:11)/100*FS17/6*$E10</f>
        <v>0</v>
      </c>
      <c r="FT11" s="1215">
        <f>SUMIF('대체비,유지보수비'!9:9,FT3,'대체비,유지보수비'!11:11)/100*FT17/비용!FT18*$E10</f>
        <v>0</v>
      </c>
      <c r="FU11" s="1213">
        <f>SUMIF('대체비,유지보수비'!9:9,FU3,'대체비,유지보수비'!11:11)/100*FU17/비용!FU18*$E10</f>
        <v>0</v>
      </c>
      <c r="FV11" s="1213">
        <f>SUMIF('대체비,유지보수비'!9:9,FV3,'대체비,유지보수비'!11:11)/100*FV17/비용!FV18*$E10</f>
        <v>0</v>
      </c>
      <c r="FW11" s="1214">
        <f>SUMIF('대체비,유지보수비'!9:9,FW3,'대체비,유지보수비'!11:11)/100*FW17/비용!FW18*$E10</f>
        <v>0</v>
      </c>
      <c r="FX11" s="1215">
        <f>SUMIF('대체비,유지보수비'!9:9,FX3,'대체비,유지보수비'!11:11)/100*FX17/비용!FX18*$E10</f>
        <v>0</v>
      </c>
      <c r="FY11" s="1213">
        <f>SUMIF('대체비,유지보수비'!9:9,FY3,'대체비,유지보수비'!11:11)/100*FY17/비용!FY18*$E10</f>
        <v>0</v>
      </c>
      <c r="FZ11" s="1213">
        <f>SUMIF('대체비,유지보수비'!9:9,FZ3,'대체비,유지보수비'!11:11)/100*FZ17/비용!FZ18*$E10</f>
        <v>0</v>
      </c>
      <c r="GA11" s="1214">
        <f>SUMIF('대체비,유지보수비'!9:9,GA3,'대체비,유지보수비'!11:11)/100*GA17/비용!GA18*$E10</f>
        <v>0</v>
      </c>
      <c r="GB11" s="1215">
        <f>SUMIF('대체비,유지보수비'!9:9,GB3,'대체비,유지보수비'!11:11)/100*GB17/비용!GB18*$E10</f>
        <v>0</v>
      </c>
      <c r="GC11" s="1213">
        <f>SUMIF('대체비,유지보수비'!9:9,GC3,'대체비,유지보수비'!11:11)/100*GC17/비용!GC18*$E10</f>
        <v>0</v>
      </c>
      <c r="GD11" s="1213">
        <f>SUMIF('대체비,유지보수비'!9:9,GD3,'대체비,유지보수비'!11:11)/100*GD17/비용!GD18*$E10</f>
        <v>0</v>
      </c>
      <c r="GE11" s="1214">
        <f>SUMIF('대체비,유지보수비'!9:9,GE3,'대체비,유지보수비'!11:11)/100*GE17/비용!GE18*$E10</f>
        <v>0</v>
      </c>
    </row>
    <row r="12" spans="1:187" ht="17.100000000000001" customHeight="1">
      <c r="B12" s="341"/>
      <c r="C12" s="4990" t="s">
        <v>1227</v>
      </c>
      <c r="D12" s="5007"/>
      <c r="E12" s="5008">
        <v>1</v>
      </c>
      <c r="F12" s="5009">
        <f t="shared" ca="1" si="11"/>
        <v>502.41780083394985</v>
      </c>
      <c r="G12" s="4979"/>
      <c r="H12" s="4846">
        <v>0</v>
      </c>
      <c r="I12" s="4846">
        <v>4.306</v>
      </c>
      <c r="J12" s="4846">
        <v>2.11</v>
      </c>
      <c r="K12" s="4846">
        <v>5.5647203999999997</v>
      </c>
      <c r="L12" s="4846">
        <v>3.2360000000000002</v>
      </c>
      <c r="M12" s="4846">
        <v>4.8540000000000001</v>
      </c>
      <c r="N12" s="4846">
        <v>0</v>
      </c>
      <c r="O12" s="4846">
        <v>4.0460000000000003</v>
      </c>
      <c r="P12" s="4984">
        <f>'자금운영(현금)'!BF77</f>
        <v>0.81</v>
      </c>
      <c r="Q12" s="4984">
        <f>'자금운영(현금)'!BG77</f>
        <v>4.0979999999999999</v>
      </c>
      <c r="R12" s="4984">
        <f>'자금운영(현금)'!BH77</f>
        <v>1.22</v>
      </c>
      <c r="S12" s="4984">
        <f>'자금운영(현금)'!BI77</f>
        <v>0.71138000000000001</v>
      </c>
      <c r="T12" s="4762">
        <v>0.5</v>
      </c>
      <c r="U12" s="4762">
        <v>10</v>
      </c>
      <c r="V12" s="4762">
        <v>0.3</v>
      </c>
      <c r="W12" s="4762">
        <v>1.5</v>
      </c>
      <c r="X12" s="4762">
        <f ca="1">SUMIF('대체비,유지보수비'!9:9,X$3,'대체비,유지보수비'!63:63)/100*X$17/12*$E12</f>
        <v>0</v>
      </c>
      <c r="Y12" s="4762">
        <f ca="1">SUMIF('대체비,유지보수비'!9:9,Y$3,'대체비,유지보수비'!63:63)/100*Y$17/12*$E12</f>
        <v>0</v>
      </c>
      <c r="Z12" s="4762">
        <f ca="1">SUMIF('대체비,유지보수비'!9:9,Z$3,'대체비,유지보수비'!63:63)/100*Z$17/12*$E12</f>
        <v>0</v>
      </c>
      <c r="AA12" s="4762">
        <f ca="1">SUMIF('대체비,유지보수비'!9:9,AA$3,'대체비,유지보수비'!63:63)/100*AA$17/12*$E12</f>
        <v>0</v>
      </c>
      <c r="AB12" s="4762">
        <f ca="1">SUMIF('대체비,유지보수비'!9:9,AB$3,'대체비,유지보수비'!63:63)/100*AB$17/12*$E12</f>
        <v>0</v>
      </c>
      <c r="AC12" s="4762">
        <f ca="1">SUMIF('대체비,유지보수비'!9:9,AC$3,'대체비,유지보수비'!63:63)/100*AC$17/12*$E12</f>
        <v>0</v>
      </c>
      <c r="AD12" s="4762">
        <f ca="1">SUMIF('대체비,유지보수비'!9:9,AD$3,'대체비,유지보수비'!63:63)/100*AD$17/12*$E12</f>
        <v>0</v>
      </c>
      <c r="AE12" s="4762">
        <f ca="1">SUMIF('대체비,유지보수비'!9:9,AE$3,'대체비,유지보수비'!63:63)/100*AE$17/12*$E12</f>
        <v>0</v>
      </c>
      <c r="AF12" s="4762">
        <f ca="1">SUMIF('대체비,유지보수비'!9:9,AF$3,'대체비,유지보수비'!63:63)/100*AF$17/12*$E12</f>
        <v>0</v>
      </c>
      <c r="AG12" s="4762">
        <f ca="1">SUMIF('대체비,유지보수비'!9:9,AG$3,'대체비,유지보수비'!63:63)/100*AG$17/12*$E12</f>
        <v>0</v>
      </c>
      <c r="AH12" s="4762">
        <f ca="1">SUMIF('대체비,유지보수비'!9:9,AH$3,'대체비,유지보수비'!63:63)/100*AH$17/12*$E12</f>
        <v>0</v>
      </c>
      <c r="AI12" s="4762">
        <f ca="1">SUMIF('대체비,유지보수비'!9:9,AI$3,'대체비,유지보수비'!63:63)/100*AI$17/12*$E12</f>
        <v>0</v>
      </c>
      <c r="AJ12" s="4762">
        <f ca="1">SUMIF('대체비,유지보수비'!9:9,AJ$3,'대체비,유지보수비'!63:63)/100*AJ$17/12*$E12</f>
        <v>1.23756433399275</v>
      </c>
      <c r="AK12" s="4762">
        <f ca="1">SUMIF('대체비,유지보수비'!9:9,AK$3,'대체비,유지보수비'!63:63)/100*AK$17/12*$E12</f>
        <v>1.23756433399275</v>
      </c>
      <c r="AL12" s="4762">
        <f ca="1">SUMIF('대체비,유지보수비'!9:9,AL$3,'대체비,유지보수비'!63:63)/100*AL$17/12*$E12</f>
        <v>1.23756433399275</v>
      </c>
      <c r="AM12" s="4762">
        <f ca="1">SUMIF('대체비,유지보수비'!9:9,AM$3,'대체비,유지보수비'!63:63)/100*AM$17/12*$E12</f>
        <v>1.23756433399275</v>
      </c>
      <c r="AN12" s="4762">
        <f ca="1">SUMIF('대체비,유지보수비'!9:9,AN$3,'대체비,유지보수비'!63:63)/100*AN$17/12*$E12</f>
        <v>0.61037408659557491</v>
      </c>
      <c r="AO12" s="4762">
        <f ca="1">SUMIF('대체비,유지보수비'!9:9,AO$3,'대체비,유지보수비'!63:63)/100*AO$17/12*$E12</f>
        <v>0.61037408659557491</v>
      </c>
      <c r="AP12" s="4762">
        <f ca="1">SUMIF('대체비,유지보수비'!9:9,AP$3,'대체비,유지보수비'!63:63)/100*AP$17/12*$E12</f>
        <v>0.61037408659557491</v>
      </c>
      <c r="AQ12" s="4762">
        <f ca="1">SUMIF('대체비,유지보수비'!9:9,AQ$3,'대체비,유지보수비'!63:63)/100*AQ$17/12*$E12</f>
        <v>0.61037408659557491</v>
      </c>
      <c r="AR12" s="4762">
        <f ca="1">SUMIF('대체비,유지보수비'!9:9,AR$3,'대체비,유지보수비'!63:63)/100*AR$17/12*$E12</f>
        <v>0</v>
      </c>
      <c r="AS12" s="4762">
        <f ca="1">SUMIF('대체비,유지보수비'!9:9,AS$3,'대체비,유지보수비'!63:63)/100*AS$17/12*$E12</f>
        <v>0</v>
      </c>
      <c r="AT12" s="4762">
        <f ca="1">SUMIF('대체비,유지보수비'!9:9,AT$3,'대체비,유지보수비'!63:63)/100*AT$17/12*$E12</f>
        <v>0</v>
      </c>
      <c r="AU12" s="4762">
        <f ca="1">SUMIF('대체비,유지보수비'!9:9,AU$3,'대체비,유지보수비'!63:63)/100*AU$17/12*$E12</f>
        <v>0</v>
      </c>
      <c r="AV12" s="4762">
        <f ca="1">SUMIF('대체비,유지보수비'!9:9,AV$3,'대체비,유지보수비'!63:63)/100*AV$17/12*$E12</f>
        <v>4.4667839107158303</v>
      </c>
      <c r="AW12" s="4762">
        <f ca="1">SUMIF('대체비,유지보수비'!9:9,AW$3,'대체비,유지보수비'!63:63)/100*AW$17/12*$E12</f>
        <v>4.4667839107158303</v>
      </c>
      <c r="AX12" s="4762">
        <f ca="1">SUMIF('대체비,유지보수비'!9:9,AX$3,'대체비,유지보수비'!63:63)/100*AX$17/12*$E12</f>
        <v>4.4667839107158303</v>
      </c>
      <c r="AY12" s="4762">
        <f ca="1">SUMIF('대체비,유지보수비'!9:9,AY$3,'대체비,유지보수비'!63:63)/100*AY$17/12*$E12</f>
        <v>4.4667839107158303</v>
      </c>
      <c r="AZ12" s="4762">
        <f ca="1">SUMIF('대체비,유지보수비'!9:9,AZ$3,'대체비,유지보수비'!63:63)/100*AZ$17/12*$E12</f>
        <v>6.562111636106164</v>
      </c>
      <c r="BA12" s="4762">
        <f ca="1">SUMIF('대체비,유지보수비'!9:9,BA$3,'대체비,유지보수비'!63:63)/100*BA$17/12*$E12</f>
        <v>6.562111636106164</v>
      </c>
      <c r="BB12" s="4762">
        <f ca="1">SUMIF('대체비,유지보수비'!9:9,BB$3,'대체비,유지보수비'!63:63)/100*BB$17/12*$E12</f>
        <v>6.562111636106164</v>
      </c>
      <c r="BC12" s="4762">
        <f ca="1">SUMIF('대체비,유지보수비'!9:9,BC$3,'대체비,유지보수비'!63:63)/100*BC$17/12*$E12</f>
        <v>6.562111636106164</v>
      </c>
      <c r="BD12" s="4762">
        <f ca="1">SUMIF('대체비,유지보수비'!9:9,BD$3,'대체비,유지보수비'!63:63)/100*BD$17/12*$E12</f>
        <v>4.3377406242772585</v>
      </c>
      <c r="BE12" s="4762">
        <f ca="1">SUMIF('대체비,유지보수비'!9:9,BE$3,'대체비,유지보수비'!63:63)/100*BE$17/12*$E12</f>
        <v>4.3377406242772585</v>
      </c>
      <c r="BF12" s="4762">
        <f ca="1">SUMIF('대체비,유지보수비'!9:9,BF$3,'대체비,유지보수비'!63:63)/100*BF$17/12*$E12</f>
        <v>4.3377406242772585</v>
      </c>
      <c r="BG12" s="4762">
        <f ca="1">SUMIF('대체비,유지보수비'!9:9,BG$3,'대체비,유지보수비'!63:63)/100*BG$17/12*$E12</f>
        <v>4.3377406242772585</v>
      </c>
      <c r="BH12" s="4762">
        <f ca="1">SUMIF('대체비,유지보수비'!9:9,BH$3,'대체비,유지보수비'!63:63)/100*BH$17/12*$E12</f>
        <v>7.3745677714577438</v>
      </c>
      <c r="BI12" s="4762">
        <f ca="1">SUMIF('대체비,유지보수비'!9:9,BI$3,'대체비,유지보수비'!63:63)/100*BI$17/12*$E12</f>
        <v>7.3745677714577438</v>
      </c>
      <c r="BJ12" s="4762">
        <f ca="1">SUMIF('대체비,유지보수비'!9:9,BJ$3,'대체비,유지보수비'!63:63)/100*BJ$17/12*$E12</f>
        <v>7.3745677714577438</v>
      </c>
      <c r="BK12" s="4762">
        <f ca="1">SUMIF('대체비,유지보수비'!9:9,BK$3,'대체비,유지보수비'!63:63)/100*BK$17/12*$E12</f>
        <v>7.3745677714577438</v>
      </c>
      <c r="BL12" s="4762">
        <f ca="1">SUMIF('대체비,유지보수비'!9:9,BL$3,'대체비,유지보수비'!63:63)/100*BL$17/12*$E12</f>
        <v>0.22536500602639398</v>
      </c>
      <c r="BM12" s="4762">
        <f ca="1">SUMIF('대체비,유지보수비'!9:9,BM$3,'대체비,유지보수비'!63:63)/100*BM$17/12*$E12</f>
        <v>0.22536500602639398</v>
      </c>
      <c r="BN12" s="4762">
        <f ca="1">SUMIF('대체비,유지보수비'!9:9,BN$3,'대체비,유지보수비'!63:63)/100*BN$17/12*$E12</f>
        <v>0.22536500602639398</v>
      </c>
      <c r="BO12" s="4762">
        <f ca="1">SUMIF('대체비,유지보수비'!9:9,BO$3,'대체비,유지보수비'!63:63)/100*BO$17/12*$E12</f>
        <v>0.22536500602639398</v>
      </c>
      <c r="BP12" s="4762">
        <f ca="1">SUMIF('대체비,유지보수비'!9:9,BP$3,'대체비,유지보수비'!63:63)/100*BP$17/12*$E12</f>
        <v>8.5356996032496717</v>
      </c>
      <c r="BQ12" s="4762">
        <f ca="1">SUMIF('대체비,유지보수비'!9:9,BQ$3,'대체비,유지보수비'!63:63)/100*BQ$17/12*$E12</f>
        <v>8.5356996032496717</v>
      </c>
      <c r="BR12" s="4762">
        <f ca="1">SUMIF('대체비,유지보수비'!9:9,BR$3,'대체비,유지보수비'!63:63)/100*BR$17/12*$E12</f>
        <v>8.5356996032496717</v>
      </c>
      <c r="BS12" s="4762">
        <f ca="1">SUMIF('대체비,유지보수비'!9:9,BS$3,'대체비,유지보수비'!63:63)/100*BS$17/12*$E12</f>
        <v>8.5356996032496717</v>
      </c>
      <c r="BT12" s="4762">
        <f ca="1">SUMIF('대체비,유지보수비'!9:9,BT$3,'대체비,유지보수비'!63:63)/100*BT$17/12*$E12</f>
        <v>10.920005025757412</v>
      </c>
      <c r="BU12" s="4762">
        <f ca="1">SUMIF('대체비,유지보수비'!9:9,BU$3,'대체비,유지보수비'!63:63)/100*BU$17/12*$E12</f>
        <v>10.920005025757412</v>
      </c>
      <c r="BV12" s="4762">
        <f ca="1">SUMIF('대체비,유지보수비'!9:9,BV$3,'대체비,유지보수비'!63:63)/100*BV$17/12*$E12</f>
        <v>10.920005025757412</v>
      </c>
      <c r="BW12" s="4762">
        <f ca="1">SUMIF('대체비,유지보수비'!9:9,BW$3,'대체비,유지보수비'!63:63)/100*BW$17/12*$E12</f>
        <v>10.920005025757412</v>
      </c>
      <c r="BX12" s="4762">
        <f ca="1">SUMIF('대체비,유지보수비'!9:9,BX$3,'대체비,유지보수비'!63:63)/100*BX$17/12*$E12</f>
        <v>14.827779401090085</v>
      </c>
      <c r="BY12" s="4762">
        <f ca="1">SUMIF('대체비,유지보수비'!9:9,BY$3,'대체비,유지보수비'!63:63)/100*BY$17/12*$E12</f>
        <v>14.827779401090085</v>
      </c>
      <c r="BZ12" s="4762">
        <f ca="1">SUMIF('대체비,유지보수비'!9:9,BZ$3,'대체비,유지보수비'!63:63)/100*BZ$17/12*$E12</f>
        <v>14.827779401090085</v>
      </c>
      <c r="CA12" s="4762">
        <f ca="1">SUMIF('대체비,유지보수비'!9:9,CA$3,'대체비,유지보수비'!63:63)/100*CA$17/12*$E12</f>
        <v>14.827779401090085</v>
      </c>
      <c r="CB12" s="4762">
        <f ca="1">SUMIF('대체비,유지보수비'!9:9,CB$3,'대체비,유지보수비'!63:63)/100*CB$17/12*$E12</f>
        <v>5.5345712040398576</v>
      </c>
      <c r="CC12" s="4762">
        <f ca="1">SUMIF('대체비,유지보수비'!9:9,CC$3,'대체비,유지보수비'!63:63)/100*CC$17/12*$E12</f>
        <v>5.5345712040398576</v>
      </c>
      <c r="CD12" s="4762">
        <f ca="1">SUMIF('대체비,유지보수비'!9:9,CD$3,'대체비,유지보수비'!63:63)/100*CD$17/12*$E12</f>
        <v>5.5345712040398576</v>
      </c>
      <c r="CE12" s="4762">
        <f ca="1">SUMIF('대체비,유지보수비'!9:9,CE$3,'대체비,유지보수비'!63:63)/100*CE$17/12*$E12</f>
        <v>5.5345712040398576</v>
      </c>
      <c r="CF12" s="4762">
        <f ca="1">SUMIF('대체비,유지보수비'!9:9,CF$3,'대체비,유지보수비'!63:63)/100*CF$17/12*$E12</f>
        <v>0</v>
      </c>
      <c r="CG12" s="4762">
        <f ca="1">SUMIF('대체비,유지보수비'!9:9,CG$3,'대체비,유지보수비'!63:63)/100*CG$17/12*$E12</f>
        <v>0</v>
      </c>
      <c r="CH12" s="4762">
        <f ca="1">SUMIF('대체비,유지보수비'!9:9,CH$3,'대체비,유지보수비'!63:63)/100*CH$17/12*$E12</f>
        <v>0</v>
      </c>
      <c r="CI12" s="4762">
        <f ca="1">SUMIF('대체비,유지보수비'!9:9,CI$3,'대체비,유지보수비'!63:63)/100*CI$17/12*$E12</f>
        <v>0</v>
      </c>
      <c r="CJ12" s="4762">
        <f ca="1">SUMIF('대체비,유지보수비'!9:9,CJ$3,'대체비,유지보수비'!63:63)/100*CJ$17/12*$E12</f>
        <v>8.9576494085485123</v>
      </c>
      <c r="CK12" s="4762">
        <f ca="1">SUMIF('대체비,유지보수비'!9:9,CK$3,'대체비,유지보수비'!63:63)/100*CK$17/12*$E12</f>
        <v>8.9576494085485123</v>
      </c>
      <c r="CL12" s="4762">
        <f ca="1">SUMIF('대체비,유지보수비'!9:9,CL$3,'대체비,유지보수비'!63:63)/100*CL$17/12*$E12</f>
        <v>8.9576494085485123</v>
      </c>
      <c r="CM12" s="4762">
        <f ca="1">SUMIF('대체비,유지보수비'!9:9,CM$3,'대체비,유지보수비'!63:63)/100*CM$17/12*$E12</f>
        <v>8.9576494085485123</v>
      </c>
      <c r="CN12" s="4762">
        <f ca="1">SUMIF('대체비,유지보수비'!9:9,CN$3,'대체비,유지보수비'!63:63)/100*CN$17/12*$E12</f>
        <v>4.0637764820544291</v>
      </c>
      <c r="CO12" s="4762">
        <f ca="1">SUMIF('대체비,유지보수비'!9:9,CO$3,'대체비,유지보수비'!63:63)/100*CO$17/12*$E12</f>
        <v>4.0637764820544291</v>
      </c>
      <c r="CP12" s="4762">
        <f ca="1">SUMIF('대체비,유지보수비'!9:9,CP$3,'대체비,유지보수비'!63:63)/100*CP$17/12*$E12</f>
        <v>4.0637764820544291</v>
      </c>
      <c r="CQ12" s="4762">
        <f ca="1">SUMIF('대체비,유지보수비'!9:9,CQ$3,'대체비,유지보수비'!63:63)/100*CQ$17/12*$E12</f>
        <v>4.0637764820544291</v>
      </c>
      <c r="CR12" s="4762">
        <f ca="1">SUMIF('대체비,유지보수비'!9:9,CR$3,'대체비,유지보수비'!63:63)/100*CR$17/12*$E12</f>
        <v>7.5369918577545976</v>
      </c>
      <c r="CS12" s="4762">
        <f ca="1">SUMIF('대체비,유지보수비'!9:9,CS$3,'대체비,유지보수비'!63:63)/100*CS$17/12*$E12</f>
        <v>7.5369918577545976</v>
      </c>
      <c r="CT12" s="4762">
        <f ca="1">SUMIF('대체비,유지보수비'!9:9,CT$3,'대체비,유지보수비'!63:63)/100*CT$17/12*$E12</f>
        <v>7.5369918577545976</v>
      </c>
      <c r="CU12" s="4762">
        <f ca="1">SUMIF('대체비,유지보수비'!9:9,CU$3,'대체비,유지보수비'!63:63)/100*CU$17/12*$E12</f>
        <v>7.5369918577545976</v>
      </c>
      <c r="CV12" s="4762">
        <f ca="1">SUMIF('대체비,유지보수비'!9:9,CV$3,'대체비,유지보수비'!63:63)/100*CV$17/12*$E12</f>
        <v>7.7332594256802283</v>
      </c>
      <c r="CW12" s="4762">
        <f ca="1">SUMIF('대체비,유지보수비'!9:9,CW$3,'대체비,유지보수비'!63:63)/100*CW$17/12*$E12</f>
        <v>7.7332594256802283</v>
      </c>
      <c r="CX12" s="4762">
        <f ca="1">SUMIF('대체비,유지보수비'!9:9,CX$3,'대체비,유지보수비'!63:63)/100*CX$17/12*$E12</f>
        <v>7.7332594256802283</v>
      </c>
      <c r="CY12" s="4762">
        <f ca="1">SUMIF('대체비,유지보수비'!9:9,CY$3,'대체비,유지보수비'!63:63)/100*CY$17/12*$E12</f>
        <v>7.7332594256802283</v>
      </c>
      <c r="CZ12" s="4762">
        <f ca="1">SUMIF('대체비,유지보수비'!9:9,CZ$3,'대체비,유지보수비'!63:63)/100*CZ$17/12*$E12</f>
        <v>1.8670737896263823</v>
      </c>
      <c r="DA12" s="4762">
        <f ca="1">SUMIF('대체비,유지보수비'!9:9,DA$3,'대체비,유지보수비'!63:63)/100*DA$17/12*$E12</f>
        <v>1.8670737896263823</v>
      </c>
      <c r="DB12" s="4762">
        <f ca="1">SUMIF('대체비,유지보수비'!9:9,DB$3,'대체비,유지보수비'!63:63)/100*DB$17/12*$E12</f>
        <v>1.8670737896263823</v>
      </c>
      <c r="DC12" s="4762">
        <f ca="1">SUMIF('대체비,유지보수비'!9:9,DC$3,'대체비,유지보수비'!63:63)/100*DC$17/12*$E12</f>
        <v>1.8670737896263823</v>
      </c>
      <c r="DD12" s="4762">
        <f ca="1">SUMIF('대체비,유지보수비'!9:9,DD$3,'대체비,유지보수비'!63:63)/100*DD$17/12*$E12</f>
        <v>0</v>
      </c>
      <c r="DE12" s="4762">
        <f ca="1">SUMIF('대체비,유지보수비'!9:9,DE$3,'대체비,유지보수비'!63:63)/100*DE$17/12*$E12</f>
        <v>0</v>
      </c>
      <c r="DF12" s="4762">
        <f ca="1">SUMIF('대체비,유지보수비'!9:9,DF$3,'대체비,유지보수비'!63:63)/100*DF$17/12*$E12</f>
        <v>0</v>
      </c>
      <c r="DG12" s="4762">
        <f ca="1">SUMIF('대체비,유지보수비'!9:9,DG$3,'대체비,유지보수비'!63:63)/100*DG$17/12*$E12</f>
        <v>0</v>
      </c>
      <c r="DH12" s="4762">
        <f ca="1">SUMIF('대체비,유지보수비'!9:9,DH$3,'대체비,유지보수비'!63:63)/100*DH$17/12*$E12</f>
        <v>0.253946929706383</v>
      </c>
      <c r="DI12" s="4762">
        <f ca="1">SUMIF('대체비,유지보수비'!9:9,DI$3,'대체비,유지보수비'!63:63)/100*DI$17/12*$E12</f>
        <v>0.253946929706383</v>
      </c>
      <c r="DJ12" s="4762">
        <f ca="1">SUMIF('대체비,유지보수비'!9:9,DJ$3,'대체비,유지보수비'!63:63)/100*DJ$17/12*$E12</f>
        <v>0.253946929706383</v>
      </c>
      <c r="DK12" s="4762">
        <f ca="1">SUMIF('대체비,유지보수비'!9:9,DK$3,'대체비,유지보수비'!63:63)/100*DK$17/12*$E12</f>
        <v>0.253946929706383</v>
      </c>
      <c r="DL12" s="4762">
        <f ca="1">SUMIF('대체비,유지보수비'!9:9,DL$3,'대체비,유지보수비'!63:63)/100*DL$17/12*$E12</f>
        <v>2.2146318121952615</v>
      </c>
      <c r="DM12" s="4762">
        <f ca="1">SUMIF('대체비,유지보수비'!9:9,DM$3,'대체비,유지보수비'!63:63)/100*DM$17/12*$E12</f>
        <v>2.2146318121952615</v>
      </c>
      <c r="DN12" s="4762">
        <f ca="1">SUMIF('대체비,유지보수비'!9:9,DN$3,'대체비,유지보수비'!63:63)/100*DN$17/12*$E12</f>
        <v>2.2146318121952615</v>
      </c>
      <c r="DO12" s="4762">
        <f ca="1">SUMIF('대체비,유지보수비'!9:9,DO$3,'대체비,유지보수비'!63:63)/100*DO$17/12*$E12</f>
        <v>2.2146318121952615</v>
      </c>
      <c r="DP12" s="4762">
        <f ca="1">SUMIF('대체비,유지보수비'!9:9,DP$3,'대체비,유지보수비'!63:63)/100*DP$17/12*$E12</f>
        <v>0.74477238110625865</v>
      </c>
      <c r="DQ12" s="4762">
        <f ca="1">SUMIF('대체비,유지보수비'!9:9,DQ$3,'대체비,유지보수비'!63:63)/100*DQ$17/12*$E12</f>
        <v>0.74477238110625865</v>
      </c>
      <c r="DR12" s="4762">
        <f ca="1">SUMIF('대체비,유지보수비'!9:9,DR$3,'대체비,유지보수비'!63:63)/100*DR$17/12*$E12</f>
        <v>0.74477238110625865</v>
      </c>
      <c r="DS12" s="4762">
        <f ca="1">SUMIF('대체비,유지보수비'!9:9,DS$3,'대체비,유지보수비'!63:63)/100*DS$17/12*$E12</f>
        <v>0.74477238110625865</v>
      </c>
      <c r="DT12" s="4762">
        <f ca="1">SUMIF('대체비,유지보수비'!9:9,DT$3,'대체비,유지보수비'!63:63)/100*DT$17/12*$E12</f>
        <v>0</v>
      </c>
      <c r="DU12" s="4762">
        <f ca="1">SUMIF('대체비,유지보수비'!9:9,DU$3,'대체비,유지보수비'!63:63)/100*DU$17/12*$E12</f>
        <v>0</v>
      </c>
      <c r="DV12" s="4762">
        <f ca="1">SUMIF('대체비,유지보수비'!9:9,DV$3,'대체비,유지보수비'!63:63)/100*DV$17/12*$E12</f>
        <v>0</v>
      </c>
      <c r="DW12" s="4762">
        <f ca="1">SUMIF('대체비,유지보수비'!9:9,DW$3,'대체비,유지보수비'!63:63)/100*DW$17/12*$E12</f>
        <v>0</v>
      </c>
      <c r="DX12" s="4762">
        <f ca="1">SUMIF('대체비,유지보수비'!9:9,DX$3,'대체비,유지보수비'!63:63)/100*DX$17/12*$E12</f>
        <v>7.1019389470781</v>
      </c>
      <c r="DY12" s="4762">
        <f ca="1">SUMIF('대체비,유지보수비'!9:9,DY$3,'대체비,유지보수비'!63:63)/100*DY$17/12*$E12</f>
        <v>7.1019389470781</v>
      </c>
      <c r="DZ12" s="4762">
        <f ca="1">SUMIF('대체비,유지보수비'!9:9,DZ$3,'대체비,유지보수비'!63:63)/100*DZ$17/12*$E12</f>
        <v>7.1019389470781</v>
      </c>
      <c r="EA12" s="4762">
        <f ca="1">SUMIF('대체비,유지보수비'!9:9,EA$3,'대체비,유지보수비'!63:63)/100*EA$17/12*$E12</f>
        <v>7.1019389470781</v>
      </c>
      <c r="EB12" s="4762">
        <f ca="1">SUMIF('대체비,유지보수비'!9:9,EB$3,'대체비,유지보수비'!63:63)/100*EB$17/12*$E12</f>
        <v>0</v>
      </c>
      <c r="EC12" s="4762">
        <f ca="1">SUMIF('대체비,유지보수비'!9:9,EC$3,'대체비,유지보수비'!63:63)/100*EC$17/12*$E12</f>
        <v>0</v>
      </c>
      <c r="ED12" s="4762">
        <f ca="1">SUMIF('대체비,유지보수비'!9:9,ED$3,'대체비,유지보수비'!63:63)/100*ED$17/12*$E12</f>
        <v>0</v>
      </c>
      <c r="EE12" s="4762">
        <f ca="1">SUMIF('대체비,유지보수비'!9:9,EE$3,'대체비,유지보수비'!63:63)/100*EE$17/12*$E12</f>
        <v>0</v>
      </c>
      <c r="EF12" s="4762">
        <f ca="1">SUMIF('대체비,유지보수비'!9:9,EF$3,'대체비,유지보수비'!63:63)/100*EF$17/12*$E12</f>
        <v>9.9429466635193169</v>
      </c>
      <c r="EG12" s="4762">
        <f ca="1">SUMIF('대체비,유지보수비'!9:9,EG$3,'대체비,유지보수비'!63:63)/100*EG$17/12*$E12</f>
        <v>9.9429466635193169</v>
      </c>
      <c r="EH12" s="4762">
        <f ca="1">SUMIF('대체비,유지보수비'!9:9,EH$3,'대체비,유지보수비'!63:63)/100*EH$17/12*$E12</f>
        <v>9.9429466635193169</v>
      </c>
      <c r="EI12" s="4762">
        <f ca="1">SUMIF('대체비,유지보수비'!9:9,EI$3,'대체비,유지보수비'!63:63)/100*EI$17/12*$E12</f>
        <v>9.9429466635193169</v>
      </c>
      <c r="EJ12" s="4762">
        <f ca="1">SUMIF('대체비,유지보수비'!9:9,EJ$3,'대체비,유지보수비'!63:63)/100*EJ$17/12*$E12</f>
        <v>1.7356924407199503</v>
      </c>
      <c r="EK12" s="4762">
        <f ca="1">SUMIF('대체비,유지보수비'!9:9,EK$3,'대체비,유지보수비'!63:63)/100*EK$17/12*$E12</f>
        <v>1.7356924407199503</v>
      </c>
      <c r="EL12" s="4762">
        <f ca="1">SUMIF('대체비,유지보수비'!9:9,EL$3,'대체비,유지보수비'!63:63)/100*EL$17/12*$E12</f>
        <v>1.7356924407199503</v>
      </c>
      <c r="EM12" s="4762">
        <f ca="1">SUMIF('대체비,유지보수비'!9:9,EM$3,'대체비,유지보수비'!63:63)/100*EM$17/12*$E12</f>
        <v>1.7356924407199503</v>
      </c>
      <c r="EN12" s="4762">
        <f ca="1">SUMIF('대체비,유지보수비'!9:9,EN$3,'대체비,유지보수비'!63:63)/100*EN$17/12*$E12</f>
        <v>0</v>
      </c>
      <c r="EO12" s="4762">
        <f ca="1">SUMIF('대체비,유지보수비'!9:9,EO$3,'대체비,유지보수비'!63:63)/100*EO$17/12*$E12</f>
        <v>0</v>
      </c>
      <c r="EP12" s="4762">
        <f ca="1">SUMIF('대체비,유지보수비'!9:9,EP$3,'대체비,유지보수비'!63:63)/100*EP$17/12*$E12</f>
        <v>0</v>
      </c>
      <c r="EQ12" s="4762">
        <f ca="1">SUMIF('대체비,유지보수비'!9:9,EQ$3,'대체비,유지보수비'!63:63)/100*EQ$17/12*$E12</f>
        <v>0</v>
      </c>
      <c r="ER12" s="4762">
        <f ca="1">SUMIF('대체비,유지보수비'!9:9,ER$3,'대체비,유지보수비'!63:63)/100*ER$17/12*$E12</f>
        <v>0</v>
      </c>
      <c r="ES12" s="4762">
        <f ca="1">SUMIF('대체비,유지보수비'!9:9,ES$3,'대체비,유지보수비'!63:63)/100*ES$17/12*$E12</f>
        <v>0</v>
      </c>
      <c r="ET12" s="4762">
        <f ca="1">SUMIF('대체비,유지보수비'!9:9,ET$3,'대체비,유지보수비'!63:63)/100*ET$17/12*$E12</f>
        <v>0</v>
      </c>
      <c r="EU12" s="4762">
        <f ca="1">SUMIF('대체비,유지보수비'!9:9,EU$3,'대체비,유지보수비'!63:63)/100*EU$17/12*$E12</f>
        <v>0</v>
      </c>
      <c r="EV12" s="4762">
        <f ca="1">SUMIF('대체비,유지보수비'!9:9,EV$3,'대체비,유지보수비'!63:63)/100*EV$17/12*$E12</f>
        <v>0</v>
      </c>
      <c r="EW12" s="4762">
        <f ca="1">SUMIF('대체비,유지보수비'!9:9,EW$3,'대체비,유지보수비'!63:63)/100*EW$17/12*$E12</f>
        <v>0</v>
      </c>
      <c r="EX12" s="4762">
        <f ca="1">SUMIF('대체비,유지보수비'!9:9,EX$3,'대체비,유지보수비'!63:63)/100*EX$17/12*$E12</f>
        <v>0</v>
      </c>
      <c r="EY12" s="4762">
        <f ca="1">SUMIF('대체비,유지보수비'!9:9,EY$3,'대체비,유지보수비'!63:63)/100*EY$17/12*$E12</f>
        <v>0</v>
      </c>
      <c r="EZ12" s="4762">
        <f ca="1">SUMIF('대체비,유지보수비'!9:9,EZ$3,'대체비,유지보수비'!63:63)/100*EZ$17/12*$E12</f>
        <v>1.6680497452268188</v>
      </c>
      <c r="FA12" s="4762">
        <f ca="1">SUMIF('대체비,유지보수비'!9:9,FA$3,'대체비,유지보수비'!63:63)/100*FA$17/12*$E12</f>
        <v>1.6680497452268188</v>
      </c>
      <c r="FB12" s="4762">
        <f ca="1">SUMIF('대체비,유지보수비'!9:9,FB$3,'대체비,유지보수비'!63:63)/100*FB$17/12*$E12</f>
        <v>1.6680497452268188</v>
      </c>
      <c r="FC12" s="4762">
        <f ca="1">SUMIF('대체비,유지보수비'!9:9,FC$3,'대체비,유지보수비'!63:63)/100*FC$17/12*$E12</f>
        <v>1.6680497452268188</v>
      </c>
      <c r="FD12" s="4762">
        <f ca="1">SUMIF('대체비,유지보수비'!9:9,FD$3,'대체비,유지보수비'!63:63)/100*FD$17/12*$E12</f>
        <v>0</v>
      </c>
      <c r="FE12" s="4762">
        <f ca="1">SUMIF('대체비,유지보수비'!9:9,FE$3,'대체비,유지보수비'!63:63)/100*FE$17/12*$E12</f>
        <v>0</v>
      </c>
      <c r="FF12" s="4762">
        <f ca="1">SUMIF('대체비,유지보수비'!9:9,FF$3,'대체비,유지보수비'!63:63)/100*FF$17/12*$E12</f>
        <v>0</v>
      </c>
      <c r="FG12" s="4762">
        <f ca="1">SUMIF('대체비,유지보수비'!9:9,FG$3,'대체비,유지보수비'!63:63)/100*FG$17/12*$E12</f>
        <v>0</v>
      </c>
      <c r="FH12" s="4762">
        <f ca="1">SUMIF('대체비,유지보수비'!9:9,FH$3,'대체비,유지보수비'!63:63)/100*FH$17/12*$E12</f>
        <v>0.54190367678531137</v>
      </c>
      <c r="FI12" s="4762">
        <f ca="1">SUMIF('대체비,유지보수비'!9:9,FI$3,'대체비,유지보수비'!63:63)/100*FI$17/12*$E12</f>
        <v>0.54190367678531137</v>
      </c>
      <c r="FJ12" s="4762">
        <f ca="1">SUMIF('대체비,유지보수비'!9:9,FJ$3,'대체비,유지보수비'!63:63)/100*FJ$17/12*$E12</f>
        <v>0.54190367678531137</v>
      </c>
      <c r="FK12" s="4762">
        <f ca="1">SUMIF('대체비,유지보수비'!9:9,FK$3,'대체비,유지보수비'!63:63)/100*FK$17/12*$E12</f>
        <v>0.54190367678531137</v>
      </c>
      <c r="FL12" s="4762">
        <f ca="1">SUMIF('대체비,유지보수비'!9:9,FL$3,'대체비,유지보수비'!63:63)/100*FL$17/6*$E12</f>
        <v>3.6488180903544305</v>
      </c>
      <c r="FM12" s="4762">
        <f ca="1">SUMIF('대체비,유지보수비'!9:9,FM$3,'대체비,유지보수비'!63:63)/100*FM$17/6*$E12</f>
        <v>3.6488180903544305</v>
      </c>
      <c r="FN12" s="4762">
        <f ca="1">SUMIF('대체비,유지보수비'!9:9,FN$3,'대체비,유지보수비'!63:63)/100*FN$17/12*$E12</f>
        <v>0</v>
      </c>
      <c r="FO12" s="4762">
        <f ca="1">SUMIF('대체비,유지보수비'!9:9,FO$3,'대체비,유지보수비'!63:63)/100*FO$17/12*$E12</f>
        <v>0</v>
      </c>
      <c r="FP12" s="731">
        <f>SUMIF('대체비,유지보수비'!9:9,FP$3,'대체비,유지보수비'!63:63)/100*FP$17/12*$E12</f>
        <v>0</v>
      </c>
      <c r="FQ12" s="1205">
        <f>SUMIF('대체비,유지보수비'!9:9,FQ$3,'대체비,유지보수비'!63:63)/100*FQ$17/12*$E12</f>
        <v>0</v>
      </c>
      <c r="FR12" s="1205">
        <f>SUMIF('대체비,유지보수비'!9:9,FR$3,'대체비,유지보수비'!63:63)/100*FR$17/12*$E12</f>
        <v>0</v>
      </c>
      <c r="FS12" s="1206">
        <f>SUMIF('대체비,유지보수비'!9:9,FS$3,'대체비,유지보수비'!63:63)/100*FS$17/12*$E12</f>
        <v>0</v>
      </c>
      <c r="FT12" s="731">
        <f>SUMIF('대체비,유지보수비'!9:9,FT$3,'대체비,유지보수비'!63:63)/100*FT$17/12*$E12</f>
        <v>0</v>
      </c>
      <c r="FU12" s="1205">
        <f>SUMIF('대체비,유지보수비'!9:9,FU$3,'대체비,유지보수비'!63:63)/100*FU$17/12*$E12</f>
        <v>0</v>
      </c>
      <c r="FV12" s="1205">
        <f>SUMIF('대체비,유지보수비'!9:9,FV$3,'대체비,유지보수비'!63:63)/100*FV$17/12*$E12</f>
        <v>0</v>
      </c>
      <c r="FW12" s="1206">
        <f>SUMIF('대체비,유지보수비'!9:9,FW$3,'대체비,유지보수비'!63:63)/100*FW$17/12*$E12</f>
        <v>0</v>
      </c>
      <c r="FX12" s="731">
        <f>SUMIF('대체비,유지보수비'!9:9,FX$3,'대체비,유지보수비'!63:63)/100*FX$17/12*$E12</f>
        <v>0</v>
      </c>
      <c r="FY12" s="1205">
        <f>SUMIF('대체비,유지보수비'!9:9,FY$3,'대체비,유지보수비'!63:63)/100*FY$17/12*$E12</f>
        <v>0</v>
      </c>
      <c r="FZ12" s="1205">
        <f>SUMIF('대체비,유지보수비'!9:9,FZ$3,'대체비,유지보수비'!63:63)/100*FZ$17/12*$E12</f>
        <v>0</v>
      </c>
      <c r="GA12" s="1206">
        <f>SUMIF('대체비,유지보수비'!9:9,GA$3,'대체비,유지보수비'!63:63)/100*GA$17/12*$E12</f>
        <v>0</v>
      </c>
      <c r="GB12" s="731">
        <f>SUMIF('대체비,유지보수비'!9:9,GB$3,'대체비,유지보수비'!63:63)/100*GB$17/12*$E12</f>
        <v>0</v>
      </c>
      <c r="GC12" s="1205">
        <f>SUMIF('대체비,유지보수비'!9:9,GC$3,'대체비,유지보수비'!63:63)/100*GC$17/12*$E12</f>
        <v>0</v>
      </c>
      <c r="GD12" s="1205">
        <f>SUMIF('대체비,유지보수비'!9:9,GD$3,'대체비,유지보수비'!63:63)/100*GD$17/12*$E12</f>
        <v>0</v>
      </c>
      <c r="GE12" s="1206">
        <f>SUMIF('대체비,유지보수비'!9:9,GE$3,'대체비,유지보수비'!63:63)/100*GE$17/12*$E12</f>
        <v>0</v>
      </c>
    </row>
    <row r="13" spans="1:187" ht="17.100000000000001" customHeight="1">
      <c r="B13" s="4768" t="s">
        <v>1228</v>
      </c>
      <c r="C13" s="5010"/>
      <c r="D13" s="4992"/>
      <c r="E13" s="4993"/>
      <c r="F13" s="4995">
        <f t="shared" si="11"/>
        <v>165.99999999999986</v>
      </c>
      <c r="G13" s="4977"/>
      <c r="H13" s="4846"/>
      <c r="I13" s="4846"/>
      <c r="J13" s="4846"/>
      <c r="K13" s="4846"/>
      <c r="L13" s="4846"/>
      <c r="M13" s="4846"/>
      <c r="N13" s="4846"/>
      <c r="O13" s="4846"/>
      <c r="P13" s="4984"/>
      <c r="Q13" s="4984"/>
      <c r="R13" s="4984"/>
      <c r="S13" s="4984">
        <v>2.5</v>
      </c>
      <c r="T13" s="4762">
        <v>2.5</v>
      </c>
      <c r="U13" s="4762">
        <v>2.5</v>
      </c>
      <c r="V13" s="4762">
        <v>2.5</v>
      </c>
      <c r="W13" s="4762">
        <v>2.5</v>
      </c>
      <c r="X13" s="4762">
        <v>2.5</v>
      </c>
      <c r="Y13" s="4762">
        <v>2.5</v>
      </c>
      <c r="Z13" s="4762">
        <v>2.5</v>
      </c>
      <c r="AA13" s="4762">
        <v>2.5</v>
      </c>
      <c r="AB13" s="4762">
        <v>2.5</v>
      </c>
      <c r="AC13" s="4762">
        <v>2.5</v>
      </c>
      <c r="AD13" s="4762">
        <v>2.5</v>
      </c>
      <c r="AE13" s="4762">
        <v>2.5</v>
      </c>
      <c r="AF13" s="4762">
        <v>2.5</v>
      </c>
      <c r="AG13" s="4762">
        <v>2.5</v>
      </c>
      <c r="AH13" s="4762">
        <v>2.5</v>
      </c>
      <c r="AI13" s="4762">
        <v>2.5</v>
      </c>
      <c r="AJ13" s="4762">
        <v>2.5</v>
      </c>
      <c r="AK13" s="4762">
        <v>2.5</v>
      </c>
      <c r="AL13" s="4762">
        <v>2.5</v>
      </c>
      <c r="AM13" s="4762">
        <v>2.4</v>
      </c>
      <c r="AN13" s="4762">
        <v>2.4</v>
      </c>
      <c r="AO13" s="4762">
        <v>2.4</v>
      </c>
      <c r="AP13" s="4762">
        <v>2.4</v>
      </c>
      <c r="AQ13" s="4762">
        <v>2.4</v>
      </c>
      <c r="AR13" s="4762">
        <v>2.4</v>
      </c>
      <c r="AS13" s="4762">
        <v>2.4</v>
      </c>
      <c r="AT13" s="4762">
        <v>2.4</v>
      </c>
      <c r="AU13" s="4762">
        <v>2.4</v>
      </c>
      <c r="AV13" s="4762">
        <v>2.4</v>
      </c>
      <c r="AW13" s="4762">
        <v>2.4</v>
      </c>
      <c r="AX13" s="4762">
        <v>2.4</v>
      </c>
      <c r="AY13" s="4762">
        <v>2.4</v>
      </c>
      <c r="AZ13" s="4762">
        <v>2.4</v>
      </c>
      <c r="BA13" s="4762">
        <v>2.4</v>
      </c>
      <c r="BB13" s="4762">
        <v>2.4</v>
      </c>
      <c r="BC13" s="4762">
        <v>2.4</v>
      </c>
      <c r="BD13" s="4762">
        <v>2.4</v>
      </c>
      <c r="BE13" s="4762">
        <v>2.4</v>
      </c>
      <c r="BF13" s="4762">
        <v>2.4</v>
      </c>
      <c r="BG13" s="4762">
        <v>1.7</v>
      </c>
      <c r="BH13" s="4762">
        <v>1.7</v>
      </c>
      <c r="BI13" s="4762">
        <v>1.7</v>
      </c>
      <c r="BJ13" s="4762">
        <v>1.7</v>
      </c>
      <c r="BK13" s="4762">
        <v>1.7</v>
      </c>
      <c r="BL13" s="4762">
        <v>1.7</v>
      </c>
      <c r="BM13" s="4762">
        <v>1.7</v>
      </c>
      <c r="BN13" s="4762">
        <v>1.7</v>
      </c>
      <c r="BO13" s="4762">
        <v>1.7</v>
      </c>
      <c r="BP13" s="4762">
        <v>1.7</v>
      </c>
      <c r="BQ13" s="4762">
        <v>1.7</v>
      </c>
      <c r="BR13" s="4762">
        <v>1.7</v>
      </c>
      <c r="BS13" s="4762">
        <v>1.7</v>
      </c>
      <c r="BT13" s="4762">
        <v>1.7</v>
      </c>
      <c r="BU13" s="4762">
        <v>1.7</v>
      </c>
      <c r="BV13" s="4762">
        <v>1.7</v>
      </c>
      <c r="BW13" s="4762">
        <v>1.7</v>
      </c>
      <c r="BX13" s="4762">
        <v>1.7</v>
      </c>
      <c r="BY13" s="4762">
        <v>1.7</v>
      </c>
      <c r="BZ13" s="4762">
        <v>1.7</v>
      </c>
      <c r="CA13" s="4762">
        <v>1.7</v>
      </c>
      <c r="CB13" s="4762">
        <v>1.7</v>
      </c>
      <c r="CC13" s="4762">
        <v>1.7</v>
      </c>
      <c r="CD13" s="4762">
        <v>1.7</v>
      </c>
      <c r="CE13" s="4762">
        <v>1.7</v>
      </c>
      <c r="CF13" s="4762">
        <v>1.7</v>
      </c>
      <c r="CG13" s="4762">
        <v>1.7</v>
      </c>
      <c r="CH13" s="4762">
        <v>1.7</v>
      </c>
      <c r="CI13" s="4762">
        <v>1.7</v>
      </c>
      <c r="CJ13" s="4762">
        <v>1.7</v>
      </c>
      <c r="CK13" s="4762">
        <v>1.7</v>
      </c>
      <c r="CL13" s="4762">
        <v>1.7</v>
      </c>
      <c r="CM13" s="4762">
        <v>1.7</v>
      </c>
      <c r="CN13" s="4762">
        <v>1.7</v>
      </c>
      <c r="CO13" s="4762">
        <v>1.7</v>
      </c>
      <c r="CP13" s="4762">
        <v>1.7</v>
      </c>
      <c r="CQ13" s="4762">
        <v>1.7</v>
      </c>
      <c r="CR13" s="4762">
        <v>1.7</v>
      </c>
      <c r="CS13" s="4762">
        <v>1.7</v>
      </c>
      <c r="CT13" s="4762">
        <v>1.7</v>
      </c>
      <c r="CU13" s="4762">
        <v>0</v>
      </c>
      <c r="CV13" s="4762">
        <v>0</v>
      </c>
      <c r="CW13" s="4762">
        <v>0</v>
      </c>
      <c r="CX13" s="4762">
        <v>0</v>
      </c>
      <c r="CY13" s="4762">
        <v>0</v>
      </c>
      <c r="CZ13" s="4762">
        <v>0</v>
      </c>
      <c r="DA13" s="4762">
        <v>0</v>
      </c>
      <c r="DB13" s="4762">
        <v>0</v>
      </c>
      <c r="DC13" s="4762">
        <v>0</v>
      </c>
      <c r="DD13" s="4762">
        <v>0</v>
      </c>
      <c r="DE13" s="4762">
        <v>0</v>
      </c>
      <c r="DF13" s="4762">
        <v>0</v>
      </c>
      <c r="DG13" s="4762">
        <v>0</v>
      </c>
      <c r="DH13" s="4762">
        <v>0</v>
      </c>
      <c r="DI13" s="4762">
        <v>0</v>
      </c>
      <c r="DJ13" s="4762">
        <v>0</v>
      </c>
      <c r="DK13" s="4762">
        <v>0</v>
      </c>
      <c r="DL13" s="4762">
        <v>0</v>
      </c>
      <c r="DM13" s="4762">
        <v>0</v>
      </c>
      <c r="DN13" s="4762">
        <v>0</v>
      </c>
      <c r="DO13" s="4762">
        <v>0</v>
      </c>
      <c r="DP13" s="4762">
        <v>0</v>
      </c>
      <c r="DQ13" s="4762">
        <v>0</v>
      </c>
      <c r="DR13" s="4762">
        <v>0</v>
      </c>
      <c r="DS13" s="4762">
        <v>0</v>
      </c>
      <c r="DT13" s="4762">
        <v>0</v>
      </c>
      <c r="DU13" s="4762">
        <v>0</v>
      </c>
      <c r="DV13" s="4762">
        <v>0</v>
      </c>
      <c r="DW13" s="4762">
        <v>0</v>
      </c>
      <c r="DX13" s="4762">
        <v>0</v>
      </c>
      <c r="DY13" s="4762">
        <v>0</v>
      </c>
      <c r="DZ13" s="4762">
        <v>0</v>
      </c>
      <c r="EA13" s="4762">
        <v>0</v>
      </c>
      <c r="EB13" s="4762">
        <v>0</v>
      </c>
      <c r="EC13" s="4762">
        <v>0</v>
      </c>
      <c r="ED13" s="4762">
        <v>0</v>
      </c>
      <c r="EE13" s="4762">
        <v>0</v>
      </c>
      <c r="EF13" s="4762">
        <v>0</v>
      </c>
      <c r="EG13" s="4762">
        <v>0</v>
      </c>
      <c r="EH13" s="4762">
        <v>0</v>
      </c>
      <c r="EI13" s="4762">
        <v>0</v>
      </c>
      <c r="EJ13" s="4762">
        <v>0</v>
      </c>
      <c r="EK13" s="4762">
        <v>0</v>
      </c>
      <c r="EL13" s="4762">
        <v>0</v>
      </c>
      <c r="EM13" s="4762">
        <v>0</v>
      </c>
      <c r="EN13" s="4762">
        <v>0</v>
      </c>
      <c r="EO13" s="4762">
        <v>0</v>
      </c>
      <c r="EP13" s="4762">
        <v>0</v>
      </c>
      <c r="EQ13" s="4762">
        <v>0</v>
      </c>
      <c r="ER13" s="4762">
        <v>0</v>
      </c>
      <c r="ES13" s="4762">
        <v>0</v>
      </c>
      <c r="ET13" s="4762">
        <v>0</v>
      </c>
      <c r="EU13" s="4762">
        <v>0</v>
      </c>
      <c r="EV13" s="4762">
        <v>0</v>
      </c>
      <c r="EW13" s="4762">
        <v>0</v>
      </c>
      <c r="EX13" s="4762">
        <v>0</v>
      </c>
      <c r="EY13" s="4762">
        <v>0</v>
      </c>
      <c r="EZ13" s="4762">
        <v>0</v>
      </c>
      <c r="FA13" s="4762">
        <v>0</v>
      </c>
      <c r="FB13" s="4762">
        <v>0</v>
      </c>
      <c r="FC13" s="4762">
        <v>0</v>
      </c>
      <c r="FD13" s="4762">
        <v>0</v>
      </c>
      <c r="FE13" s="4762">
        <v>0</v>
      </c>
      <c r="FF13" s="4762">
        <v>0</v>
      </c>
      <c r="FG13" s="4762">
        <v>0</v>
      </c>
      <c r="FH13" s="4762">
        <v>0</v>
      </c>
      <c r="FI13" s="4762">
        <v>0</v>
      </c>
      <c r="FJ13" s="4762">
        <v>0</v>
      </c>
      <c r="FK13" s="4762">
        <v>0</v>
      </c>
      <c r="FL13" s="4762">
        <v>0</v>
      </c>
      <c r="FM13" s="4762">
        <v>0</v>
      </c>
      <c r="FN13" s="4762">
        <v>0</v>
      </c>
      <c r="FO13" s="4762">
        <v>0</v>
      </c>
      <c r="FP13" s="731"/>
      <c r="FQ13" s="1205"/>
      <c r="FR13" s="1205"/>
      <c r="FS13" s="1206"/>
      <c r="FT13" s="731"/>
      <c r="FU13" s="1205"/>
      <c r="FV13" s="1205"/>
      <c r="FW13" s="1206"/>
      <c r="FX13" s="731"/>
      <c r="FY13" s="1205"/>
      <c r="FZ13" s="1205"/>
      <c r="GA13" s="1206"/>
      <c r="GB13" s="731"/>
      <c r="GC13" s="1205"/>
      <c r="GD13" s="1205"/>
      <c r="GE13" s="1206"/>
    </row>
    <row r="14" spans="1:187" ht="17.100000000000001" hidden="1" customHeight="1">
      <c r="B14" s="4768"/>
      <c r="C14" s="5010"/>
      <c r="D14" s="4992"/>
      <c r="E14" s="4993"/>
      <c r="F14" s="4995">
        <f t="shared" si="11"/>
        <v>0</v>
      </c>
      <c r="G14" s="4977"/>
      <c r="H14" s="4846"/>
      <c r="I14" s="4846"/>
      <c r="J14" s="4846"/>
      <c r="K14" s="4846"/>
      <c r="L14" s="4846"/>
      <c r="M14" s="4846"/>
      <c r="N14" s="4846"/>
      <c r="O14" s="4846"/>
      <c r="P14" s="4984"/>
      <c r="Q14" s="4984"/>
      <c r="R14" s="4984"/>
      <c r="S14" s="4989"/>
      <c r="T14" s="4759"/>
      <c r="U14" s="4759"/>
      <c r="V14" s="4759"/>
      <c r="W14" s="4759"/>
      <c r="X14" s="4759"/>
      <c r="Y14" s="4759"/>
      <c r="Z14" s="4759"/>
      <c r="AA14" s="4759"/>
      <c r="AB14" s="4759"/>
      <c r="AC14" s="4759"/>
      <c r="AD14" s="4759"/>
      <c r="AE14" s="4759"/>
      <c r="AF14" s="4759"/>
      <c r="AG14" s="4759"/>
      <c r="AH14" s="4759"/>
      <c r="AI14" s="4759"/>
      <c r="AJ14" s="4759"/>
      <c r="AK14" s="4759"/>
      <c r="AL14" s="4759"/>
      <c r="AM14" s="4759"/>
      <c r="AN14" s="4759"/>
      <c r="AO14" s="4759"/>
      <c r="AP14" s="4759"/>
      <c r="AQ14" s="4759"/>
      <c r="AR14" s="4759"/>
      <c r="AS14" s="4759"/>
      <c r="AT14" s="4759"/>
      <c r="AU14" s="4759"/>
      <c r="AV14" s="4759"/>
      <c r="AW14" s="4759"/>
      <c r="AX14" s="4759"/>
      <c r="AY14" s="4759"/>
      <c r="AZ14" s="4759"/>
      <c r="BA14" s="4759"/>
      <c r="BB14" s="4759"/>
      <c r="BC14" s="4759"/>
      <c r="BD14" s="4759"/>
      <c r="BE14" s="4759"/>
      <c r="BF14" s="4759"/>
      <c r="BG14" s="4759"/>
      <c r="BH14" s="4759"/>
      <c r="BI14" s="4759"/>
      <c r="BJ14" s="4759"/>
      <c r="BK14" s="4759"/>
      <c r="BL14" s="4759"/>
      <c r="BM14" s="4759"/>
      <c r="BN14" s="4759"/>
      <c r="BO14" s="4759"/>
      <c r="BP14" s="4759"/>
      <c r="BQ14" s="4759"/>
      <c r="BR14" s="4759"/>
      <c r="BS14" s="4759"/>
      <c r="BT14" s="4759"/>
      <c r="BU14" s="4759"/>
      <c r="BV14" s="4759"/>
      <c r="BW14" s="4759"/>
      <c r="BX14" s="4759"/>
      <c r="BY14" s="4759"/>
      <c r="BZ14" s="4759"/>
      <c r="CA14" s="4759"/>
      <c r="CB14" s="4759"/>
      <c r="CC14" s="4759"/>
      <c r="CD14" s="4759"/>
      <c r="CE14" s="4759"/>
      <c r="CF14" s="4759"/>
      <c r="CG14" s="4759"/>
      <c r="CH14" s="4759"/>
      <c r="CI14" s="4759"/>
      <c r="CJ14" s="4759"/>
      <c r="CK14" s="4759"/>
      <c r="CL14" s="4759"/>
      <c r="CM14" s="4759"/>
      <c r="CN14" s="4759"/>
      <c r="CO14" s="4759"/>
      <c r="CP14" s="4759"/>
      <c r="CQ14" s="4759"/>
      <c r="CR14" s="4759"/>
      <c r="CS14" s="4759"/>
      <c r="CT14" s="4759"/>
      <c r="CU14" s="4762"/>
      <c r="CV14" s="4762"/>
      <c r="CW14" s="4762"/>
      <c r="CX14" s="4762"/>
      <c r="CY14" s="4762"/>
      <c r="CZ14" s="4762"/>
      <c r="DA14" s="4762"/>
      <c r="DB14" s="4762"/>
      <c r="DC14" s="4762"/>
      <c r="DD14" s="4762"/>
      <c r="DE14" s="4762"/>
      <c r="DF14" s="4762"/>
      <c r="DG14" s="4762"/>
      <c r="DH14" s="4762"/>
      <c r="DI14" s="4762"/>
      <c r="DJ14" s="4762"/>
      <c r="DK14" s="4762"/>
      <c r="DL14" s="4762"/>
      <c r="DM14" s="4762"/>
      <c r="DN14" s="4762"/>
      <c r="DO14" s="4762"/>
      <c r="DP14" s="4762"/>
      <c r="DQ14" s="4762"/>
      <c r="DR14" s="4762"/>
      <c r="DS14" s="4762"/>
      <c r="DT14" s="4762"/>
      <c r="DU14" s="4762"/>
      <c r="DV14" s="4762"/>
      <c r="DW14" s="4762"/>
      <c r="DX14" s="4762"/>
      <c r="DY14" s="4762"/>
      <c r="DZ14" s="4762"/>
      <c r="EA14" s="4762"/>
      <c r="EB14" s="4762"/>
      <c r="EC14" s="4762"/>
      <c r="ED14" s="4762"/>
      <c r="EE14" s="4762"/>
      <c r="EF14" s="4762"/>
      <c r="EG14" s="4762"/>
      <c r="EH14" s="4762"/>
      <c r="EI14" s="4762"/>
      <c r="EJ14" s="4762"/>
      <c r="EK14" s="4762"/>
      <c r="EL14" s="4762"/>
      <c r="EM14" s="4762"/>
      <c r="EN14" s="4762"/>
      <c r="EO14" s="4762"/>
      <c r="EP14" s="4762"/>
      <c r="EQ14" s="4762"/>
      <c r="ER14" s="4762"/>
      <c r="ES14" s="4762"/>
      <c r="ET14" s="4762"/>
      <c r="EU14" s="4762"/>
      <c r="EV14" s="4762"/>
      <c r="EW14" s="4762"/>
      <c r="EX14" s="4762"/>
      <c r="EY14" s="4762"/>
      <c r="EZ14" s="4762"/>
      <c r="FA14" s="4762"/>
      <c r="FB14" s="4762"/>
      <c r="FC14" s="4762"/>
      <c r="FD14" s="4762"/>
      <c r="FE14" s="4762"/>
      <c r="FF14" s="4762"/>
      <c r="FG14" s="4762"/>
      <c r="FH14" s="4762"/>
      <c r="FI14" s="4762"/>
      <c r="FJ14" s="4762"/>
      <c r="FK14" s="4762"/>
      <c r="FL14" s="4762"/>
      <c r="FM14" s="4762"/>
      <c r="FN14" s="4762"/>
      <c r="FO14" s="4762"/>
      <c r="FP14" s="731"/>
      <c r="FQ14" s="1205"/>
      <c r="FR14" s="1205"/>
      <c r="FS14" s="1206"/>
      <c r="FT14" s="731"/>
      <c r="FU14" s="1205"/>
      <c r="FV14" s="1205"/>
      <c r="FW14" s="1206"/>
      <c r="FX14" s="731"/>
      <c r="FY14" s="1205"/>
      <c r="FZ14" s="1205"/>
      <c r="GA14" s="1206"/>
      <c r="GB14" s="731"/>
      <c r="GC14" s="1205"/>
      <c r="GD14" s="1205"/>
      <c r="GE14" s="1206"/>
    </row>
    <row r="15" spans="1:187" ht="17.100000000000001" customHeight="1">
      <c r="B15" s="341" t="s">
        <v>1229</v>
      </c>
      <c r="C15" s="1217"/>
      <c r="D15" s="1216"/>
      <c r="E15" s="1203"/>
      <c r="F15" s="1218">
        <f t="shared" ca="1" si="11"/>
        <v>701.91865001285919</v>
      </c>
      <c r="G15" s="4980"/>
      <c r="H15" s="4846"/>
      <c r="I15" s="4846"/>
      <c r="J15" s="4846"/>
      <c r="K15" s="4846"/>
      <c r="L15" s="4846"/>
      <c r="M15" s="4846">
        <f>SUMIF(20:20,L3,27:27)</f>
        <v>35.732977541058595</v>
      </c>
      <c r="N15" s="4846"/>
      <c r="O15" s="4846"/>
      <c r="P15" s="4984"/>
      <c r="Q15" s="4984">
        <f>SUMIF(20:20,Q3,27:27)</f>
        <v>13.362358930552039</v>
      </c>
      <c r="R15" s="4984"/>
      <c r="S15" s="4984"/>
      <c r="T15" s="4762"/>
      <c r="U15" s="4762">
        <f>SUMIF(20:20,U3,27:27)</f>
        <v>14.601100675285327</v>
      </c>
      <c r="V15" s="4762"/>
      <c r="W15" s="4848"/>
      <c r="X15" s="4762"/>
      <c r="Y15" s="4762">
        <f>SUMIF(20:20,Y3,27:27)</f>
        <v>15.295469585225579</v>
      </c>
      <c r="Z15" s="4762"/>
      <c r="AA15" s="4848"/>
      <c r="AB15" s="4762"/>
      <c r="AC15" s="4762">
        <f ca="1">SUMIF(20:20,AC3,27:27)</f>
        <v>15.528144619226323</v>
      </c>
      <c r="AD15" s="4762"/>
      <c r="AE15" s="4848"/>
      <c r="AF15" s="4762"/>
      <c r="AG15" s="4762">
        <f ca="1">SUMIF(20:20,AG3,27:27)</f>
        <v>15.703308652199295</v>
      </c>
      <c r="AH15" s="4762"/>
      <c r="AI15" s="4848"/>
      <c r="AJ15" s="4762">
        <f ca="1">SUMIF(20:20,AJ3,27:27)</f>
        <v>15.921753555969422</v>
      </c>
      <c r="AK15" s="4762"/>
      <c r="AL15" s="4762"/>
      <c r="AM15" s="4848"/>
      <c r="AN15" s="4762">
        <f ca="1">SUMIF(20:20,AN3,27:27)</f>
        <v>15.978284903639548</v>
      </c>
      <c r="AO15" s="4762"/>
      <c r="AP15" s="4762"/>
      <c r="AQ15" s="4848"/>
      <c r="AR15" s="4762">
        <f ca="1">SUMIF(20:20,AR3,27:27)</f>
        <v>16.300767896826162</v>
      </c>
      <c r="AS15" s="4762"/>
      <c r="AT15" s="4762"/>
      <c r="AU15" s="4762"/>
      <c r="AV15" s="4762">
        <f ca="1">SUMIF(20:20,AV3,27:27)</f>
        <v>16.429875330513038</v>
      </c>
      <c r="AW15" s="4762"/>
      <c r="AX15" s="4762"/>
      <c r="AY15" s="4762"/>
      <c r="AZ15" s="4762">
        <f ca="1">SUMIF(20:20,AZ3,27:27)</f>
        <v>16.581650677756219</v>
      </c>
      <c r="BA15" s="4762"/>
      <c r="BB15" s="4762"/>
      <c r="BC15" s="4762"/>
      <c r="BD15" s="4762">
        <f ca="1">SUMIF(20:20,BD3,27:27)</f>
        <v>15.224512640251127</v>
      </c>
      <c r="BE15" s="4762"/>
      <c r="BF15" s="4762"/>
      <c r="BG15" s="4762"/>
      <c r="BH15" s="4762">
        <f ca="1">SUMIF(20:20,BH3,27:27)</f>
        <v>15.076750768921869</v>
      </c>
      <c r="BI15" s="4762"/>
      <c r="BJ15" s="4762"/>
      <c r="BK15" s="4762"/>
      <c r="BL15" s="4762">
        <f ca="1">SUMIF(20:20,BL3,27:27)</f>
        <v>15.10561268549953</v>
      </c>
      <c r="BM15" s="4762"/>
      <c r="BN15" s="4762"/>
      <c r="BO15" s="4762"/>
      <c r="BP15" s="4762">
        <f ca="1">SUMIF(20:20,BP3,27:27)</f>
        <v>15.354327528995602</v>
      </c>
      <c r="BQ15" s="4762"/>
      <c r="BR15" s="4762"/>
      <c r="BS15" s="4762"/>
      <c r="BT15" s="4762">
        <f ca="1">SUMIF(20:20,BT3,27:27)</f>
        <v>14.982209303879818</v>
      </c>
      <c r="BU15" s="4762"/>
      <c r="BV15" s="4762"/>
      <c r="BW15" s="4762"/>
      <c r="BX15" s="4762">
        <f ca="1">SUMIF(20:20,BX3,27:27)</f>
        <v>15.219779019930705</v>
      </c>
      <c r="BY15" s="4762"/>
      <c r="BZ15" s="4762"/>
      <c r="CA15" s="4762"/>
      <c r="CB15" s="4762">
        <f ca="1">SUMIF(20:20,CB3,27:27)</f>
        <v>15.485047714084235</v>
      </c>
      <c r="CC15" s="4762"/>
      <c r="CD15" s="4762"/>
      <c r="CE15" s="4762"/>
      <c r="CF15" s="4762">
        <f ca="1">SUMIF(20:20,CF3,27:27)</f>
        <v>16.943041414840433</v>
      </c>
      <c r="CG15" s="4762"/>
      <c r="CH15" s="4762"/>
      <c r="CI15" s="4762"/>
      <c r="CJ15" s="4762">
        <f ca="1">SUMIF(20:20,CJ3,27:27)</f>
        <v>17.509750555716398</v>
      </c>
      <c r="CK15" s="4762"/>
      <c r="CL15" s="4762"/>
      <c r="CM15" s="4762"/>
      <c r="CN15" s="4762">
        <f ca="1">SUMIF(20:20,CN3,27:27)</f>
        <v>18.040241922587594</v>
      </c>
      <c r="CO15" s="4762"/>
      <c r="CP15" s="4762"/>
      <c r="CQ15" s="4762"/>
      <c r="CR15" s="4762">
        <f ca="1">SUMIF(20:20,CR3,27:27)</f>
        <v>18.175161159787006</v>
      </c>
      <c r="CS15" s="4762"/>
      <c r="CT15" s="4762"/>
      <c r="CU15" s="4762"/>
      <c r="CV15" s="4762">
        <f ca="1">SUMIF(20:20,CV3,27:27)</f>
        <v>18.994049427873502</v>
      </c>
      <c r="CW15" s="4762"/>
      <c r="CX15" s="4762"/>
      <c r="CY15" s="4762"/>
      <c r="CZ15" s="4762">
        <f ca="1">SUMIF(20:20,CZ3,27:27)</f>
        <v>19.138834641074784</v>
      </c>
      <c r="DA15" s="4762"/>
      <c r="DB15" s="4762"/>
      <c r="DC15" s="4762"/>
      <c r="DD15" s="4762">
        <f ca="1">SUMIF(20:20,DD3,27:27)</f>
        <v>19.484645639139178</v>
      </c>
      <c r="DE15" s="4762"/>
      <c r="DF15" s="4762"/>
      <c r="DG15" s="4762"/>
      <c r="DH15" s="4762">
        <f ca="1">SUMIF(20:20,DH3,27:27)</f>
        <v>19.728012721946079</v>
      </c>
      <c r="DI15" s="4762"/>
      <c r="DJ15" s="4762"/>
      <c r="DK15" s="4762"/>
      <c r="DL15" s="4762">
        <f ca="1">SUMIF(20:20,DL3,27:27)</f>
        <v>20.004425003740845</v>
      </c>
      <c r="DM15" s="4762"/>
      <c r="DN15" s="4762"/>
      <c r="DO15" s="4762"/>
      <c r="DP15" s="4762">
        <f ca="1">SUMIF(20:20,DP3,27:27)</f>
        <v>20.228359218090926</v>
      </c>
      <c r="DQ15" s="4762"/>
      <c r="DR15" s="4762"/>
      <c r="DS15" s="4762"/>
      <c r="DT15" s="4762">
        <f ca="1">SUMIF(20:20,DT3,27:27)</f>
        <v>20.685023100485065</v>
      </c>
      <c r="DU15" s="4762"/>
      <c r="DV15" s="4762"/>
      <c r="DW15" s="4762"/>
      <c r="DX15" s="4762">
        <f ca="1">SUMIF(20:20,DX3,27:27)</f>
        <v>20.952496649821484</v>
      </c>
      <c r="DY15" s="4762"/>
      <c r="DZ15" s="4762"/>
      <c r="EA15" s="4762"/>
      <c r="EB15" s="4762">
        <f ca="1">SUMIF(20:20,EB3,27:27)</f>
        <v>21.263809908171549</v>
      </c>
      <c r="EC15" s="4762"/>
      <c r="ED15" s="4762"/>
      <c r="EE15" s="4762"/>
      <c r="EF15" s="4762">
        <f ca="1">SUMIF(20:20,EF3,27:27)</f>
        <v>19.359658222118338</v>
      </c>
      <c r="EG15" s="4762"/>
      <c r="EH15" s="4762"/>
      <c r="EI15" s="4762"/>
      <c r="EJ15" s="4762">
        <f ca="1">SUMIF(20:20,EJ3,27:27)</f>
        <v>19.229826410440889</v>
      </c>
      <c r="EK15" s="4762"/>
      <c r="EL15" s="4762"/>
      <c r="EM15" s="4762"/>
      <c r="EN15" s="4762">
        <f ca="1">SUMIF(20:20,EN3,27:27)</f>
        <v>19.245726480053165</v>
      </c>
      <c r="EO15" s="4762"/>
      <c r="EP15" s="4762"/>
      <c r="EQ15" s="4762"/>
      <c r="ER15" s="4762">
        <f ca="1">SUMIF(20:20,ER3,27:27)</f>
        <v>19.543677092921207</v>
      </c>
      <c r="ES15" s="4762"/>
      <c r="ET15" s="4762"/>
      <c r="EU15" s="4762"/>
      <c r="EV15" s="4762">
        <f ca="1">SUMIF(20:20,EV3,27:27)</f>
        <v>19.994135401050368</v>
      </c>
      <c r="EW15" s="4762"/>
      <c r="EX15" s="4762"/>
      <c r="EY15" s="4762"/>
      <c r="EZ15" s="4762">
        <f ca="1">SUMIF(20:20,EZ3,27:27)</f>
        <v>19.38244764267094</v>
      </c>
      <c r="FA15" s="4762"/>
      <c r="FB15" s="4762"/>
      <c r="FC15" s="4762"/>
      <c r="FD15" s="4762">
        <f ca="1">SUMIF(20:20,FD3,27:27)</f>
        <v>18.736366054581868</v>
      </c>
      <c r="FE15" s="4762"/>
      <c r="FF15" s="4762"/>
      <c r="FG15" s="4762"/>
      <c r="FH15" s="4762">
        <f ca="1">SUMIF(20:20,FH3,27:27)</f>
        <v>18.111820519429127</v>
      </c>
      <c r="FI15" s="4762"/>
      <c r="FJ15" s="4762"/>
      <c r="FK15" s="4762"/>
      <c r="FL15" s="4762">
        <f ca="1">SUMIF(20:20,FL3,27:27)</f>
        <v>35.016186337562701</v>
      </c>
      <c r="FM15" s="4762"/>
      <c r="FN15" s="4762"/>
      <c r="FO15" s="4762"/>
      <c r="FP15" s="731"/>
      <c r="FQ15" s="1205"/>
      <c r="FR15" s="1205"/>
      <c r="FS15" s="1206"/>
      <c r="FT15" s="731"/>
      <c r="FU15" s="1205"/>
      <c r="FV15" s="1205"/>
      <c r="FW15" s="1206"/>
      <c r="FX15" s="731"/>
      <c r="FY15" s="1205"/>
      <c r="FZ15" s="1205"/>
      <c r="GA15" s="1206"/>
      <c r="GB15" s="731"/>
      <c r="GC15" s="1205"/>
      <c r="GD15" s="1205"/>
      <c r="GE15" s="1206"/>
    </row>
    <row r="16" spans="1:187" ht="17.100000000000001" customHeight="1">
      <c r="B16" s="1219" t="s">
        <v>1230</v>
      </c>
      <c r="C16" s="1220"/>
      <c r="D16" s="1221"/>
      <c r="E16" s="1222"/>
      <c r="F16" s="1223">
        <f t="shared" ca="1" si="11"/>
        <v>12629.67018421964</v>
      </c>
      <c r="G16" s="4981"/>
      <c r="H16" s="4762">
        <f ca="1">SUM(H5,H8:H10,H13,H15)</f>
        <v>54.572203839909839</v>
      </c>
      <c r="I16" s="4762">
        <f t="shared" ref="I16:BT16" ca="1" si="15">SUM(I5,I8:I10,I13,I15)</f>
        <v>49.407903370000021</v>
      </c>
      <c r="J16" s="4762">
        <f t="shared" ca="1" si="15"/>
        <v>64.566726070000001</v>
      </c>
      <c r="K16" s="4762">
        <f t="shared" ca="1" si="15"/>
        <v>51.463942590000009</v>
      </c>
      <c r="L16" s="4762">
        <f t="shared" ca="1" si="15"/>
        <v>67.694564199220821</v>
      </c>
      <c r="M16" s="4762">
        <f t="shared" ca="1" si="15"/>
        <v>98.212446264679784</v>
      </c>
      <c r="N16" s="4762">
        <f t="shared" ca="1" si="15"/>
        <v>62.395946200000012</v>
      </c>
      <c r="O16" s="4762">
        <f t="shared" ca="1" si="15"/>
        <v>56.85413801</v>
      </c>
      <c r="P16" s="4762">
        <f t="shared" ca="1" si="15"/>
        <v>65.243426170000006</v>
      </c>
      <c r="Q16" s="4762">
        <f t="shared" ca="1" si="15"/>
        <v>74.261101422345988</v>
      </c>
      <c r="R16" s="4762">
        <f t="shared" ca="1" si="15"/>
        <v>59.774471463333342</v>
      </c>
      <c r="S16" s="4762">
        <f t="shared" ca="1" si="15"/>
        <v>57.875996265963657</v>
      </c>
      <c r="T16" s="4762">
        <f t="shared" ca="1" si="15"/>
        <v>61.180422867554242</v>
      </c>
      <c r="U16" s="4762">
        <f t="shared" ca="1" si="15"/>
        <v>78.686523542839566</v>
      </c>
      <c r="V16" s="4762">
        <f t="shared" ca="1" si="15"/>
        <v>53.985422867554242</v>
      </c>
      <c r="W16" s="4762">
        <f t="shared" ca="1" si="15"/>
        <v>55.185422867554244</v>
      </c>
      <c r="X16" s="4762">
        <f t="shared" ca="1" si="15"/>
        <v>54.698947178131753</v>
      </c>
      <c r="Y16" s="4762">
        <f t="shared" ca="1" si="15"/>
        <v>69.994416763357336</v>
      </c>
      <c r="Z16" s="4762">
        <f t="shared" ca="1" si="15"/>
        <v>54.698947178131753</v>
      </c>
      <c r="AA16" s="4762">
        <f t="shared" ca="1" si="15"/>
        <v>54.698947178131753</v>
      </c>
      <c r="AB16" s="4762">
        <f t="shared" ca="1" si="15"/>
        <v>55.455041139760191</v>
      </c>
      <c r="AC16" s="4762">
        <f t="shared" ca="1" si="15"/>
        <v>70.983185758986508</v>
      </c>
      <c r="AD16" s="4762">
        <f t="shared" ca="1" si="15"/>
        <v>55.455041139760191</v>
      </c>
      <c r="AE16" s="4762">
        <f t="shared" ca="1" si="15"/>
        <v>55.455041139760191</v>
      </c>
      <c r="AF16" s="4762">
        <f t="shared" ca="1" si="15"/>
        <v>57.222405966578712</v>
      </c>
      <c r="AG16" s="4762">
        <f t="shared" ca="1" si="15"/>
        <v>72.925714618778002</v>
      </c>
      <c r="AH16" s="4762">
        <f t="shared" ca="1" si="15"/>
        <v>57.222405966578712</v>
      </c>
      <c r="AI16" s="4762">
        <f t="shared" ca="1" si="15"/>
        <v>57.222405966578712</v>
      </c>
      <c r="AJ16" s="4762">
        <f t="shared" ca="1" si="15"/>
        <v>74.210345954567558</v>
      </c>
      <c r="AK16" s="4762">
        <f t="shared" ca="1" si="15"/>
        <v>58.288592398598134</v>
      </c>
      <c r="AL16" s="4762">
        <f t="shared" ca="1" si="15"/>
        <v>58.288592398598134</v>
      </c>
      <c r="AM16" s="4762">
        <f t="shared" ca="1" si="15"/>
        <v>58.188592398598132</v>
      </c>
      <c r="AN16" s="4762">
        <f t="shared" ca="1" si="15"/>
        <v>76.838643038586639</v>
      </c>
      <c r="AO16" s="4762">
        <f t="shared" ca="1" si="15"/>
        <v>60.860358134947084</v>
      </c>
      <c r="AP16" s="4762">
        <f t="shared" ca="1" si="15"/>
        <v>60.860358134947084</v>
      </c>
      <c r="AQ16" s="4762">
        <f t="shared" ca="1" si="15"/>
        <v>60.860358134947084</v>
      </c>
      <c r="AR16" s="4762">
        <f t="shared" ca="1" si="15"/>
        <v>76.100633360952131</v>
      </c>
      <c r="AS16" s="4762">
        <f t="shared" ca="1" si="15"/>
        <v>59.799865464125965</v>
      </c>
      <c r="AT16" s="4762">
        <f t="shared" ca="1" si="15"/>
        <v>59.799865464125965</v>
      </c>
      <c r="AU16" s="4762">
        <f t="shared" ca="1" si="15"/>
        <v>59.799865464125965</v>
      </c>
      <c r="AV16" s="4762">
        <f t="shared" ca="1" si="15"/>
        <v>83.24022035905827</v>
      </c>
      <c r="AW16" s="4762">
        <f t="shared" ca="1" si="15"/>
        <v>66.810345028545228</v>
      </c>
      <c r="AX16" s="4762">
        <f t="shared" ca="1" si="15"/>
        <v>66.810345028545228</v>
      </c>
      <c r="AY16" s="4762">
        <f t="shared" ca="1" si="15"/>
        <v>66.810345028545228</v>
      </c>
      <c r="AZ16" s="4762">
        <f t="shared" ca="1" si="15"/>
        <v>85.059221968188922</v>
      </c>
      <c r="BA16" s="4762">
        <f t="shared" ca="1" si="15"/>
        <v>68.477571290432707</v>
      </c>
      <c r="BB16" s="4762">
        <f t="shared" ca="1" si="15"/>
        <v>68.477571290432707</v>
      </c>
      <c r="BC16" s="4762">
        <f t="shared" ca="1" si="15"/>
        <v>68.477571290432707</v>
      </c>
      <c r="BD16" s="4762">
        <f t="shared" ca="1" si="15"/>
        <v>89.43597224809065</v>
      </c>
      <c r="BE16" s="4762">
        <f t="shared" ca="1" si="15"/>
        <v>74.211459607839515</v>
      </c>
      <c r="BF16" s="4762">
        <f t="shared" ca="1" si="15"/>
        <v>74.211459607839515</v>
      </c>
      <c r="BG16" s="4762">
        <f t="shared" ca="1" si="15"/>
        <v>73.511459607839512</v>
      </c>
      <c r="BH16" s="4762">
        <f t="shared" ca="1" si="15"/>
        <v>86.184567191840927</v>
      </c>
      <c r="BI16" s="4762">
        <f t="shared" ca="1" si="15"/>
        <v>71.107816422919058</v>
      </c>
      <c r="BJ16" s="4762">
        <f t="shared" ca="1" si="15"/>
        <v>71.107816422919058</v>
      </c>
      <c r="BK16" s="4762">
        <f t="shared" ca="1" si="15"/>
        <v>71.107816422919058</v>
      </c>
      <c r="BL16" s="4762">
        <f t="shared" ca="1" si="15"/>
        <v>79.837831971905473</v>
      </c>
      <c r="BM16" s="4762">
        <f t="shared" ca="1" si="15"/>
        <v>64.73221928640595</v>
      </c>
      <c r="BN16" s="4762">
        <f t="shared" ca="1" si="15"/>
        <v>64.73221928640595</v>
      </c>
      <c r="BO16" s="4762">
        <f t="shared" ca="1" si="15"/>
        <v>64.73221928640595</v>
      </c>
      <c r="BP16" s="4762">
        <f t="shared" ca="1" si="15"/>
        <v>88.944783480386064</v>
      </c>
      <c r="BQ16" s="4762">
        <f t="shared" ca="1" si="15"/>
        <v>73.590455951390467</v>
      </c>
      <c r="BR16" s="4762">
        <f t="shared" ca="1" si="15"/>
        <v>73.590455951390467</v>
      </c>
      <c r="BS16" s="4762">
        <f t="shared" ca="1" si="15"/>
        <v>73.590455951390467</v>
      </c>
      <c r="BT16" s="4762">
        <f t="shared" ca="1" si="15"/>
        <v>92.911486317831063</v>
      </c>
      <c r="BU16" s="4762">
        <f t="shared" ref="BU16:EF16" ca="1" si="16">SUM(BU5,BU8:BU10,BU13,BU15)</f>
        <v>77.92927701395125</v>
      </c>
      <c r="BV16" s="4762">
        <f t="shared" ca="1" si="16"/>
        <v>77.92927701395125</v>
      </c>
      <c r="BW16" s="4762">
        <f t="shared" ca="1" si="16"/>
        <v>77.92927701395125</v>
      </c>
      <c r="BX16" s="4762">
        <f t="shared" ca="1" si="16"/>
        <v>97.075509304165706</v>
      </c>
      <c r="BY16" s="4762">
        <f t="shared" ca="1" si="16"/>
        <v>81.855730284235008</v>
      </c>
      <c r="BZ16" s="4762">
        <f t="shared" ca="1" si="16"/>
        <v>81.855730284235008</v>
      </c>
      <c r="CA16" s="4762">
        <f t="shared" ca="1" si="16"/>
        <v>81.855730284235008</v>
      </c>
      <c r="CB16" s="4762">
        <f t="shared" ca="1" si="16"/>
        <v>89.392936639752563</v>
      </c>
      <c r="CC16" s="4762">
        <f t="shared" ca="1" si="16"/>
        <v>73.907888925668331</v>
      </c>
      <c r="CD16" s="4762">
        <f t="shared" ca="1" si="16"/>
        <v>73.907888925668331</v>
      </c>
      <c r="CE16" s="4762">
        <f t="shared" ca="1" si="16"/>
        <v>73.907888925668331</v>
      </c>
      <c r="CF16" s="4762">
        <f t="shared" ca="1" si="16"/>
        <v>101.19615365137915</v>
      </c>
      <c r="CG16" s="4762">
        <f t="shared" ca="1" si="16"/>
        <v>84.253112236538712</v>
      </c>
      <c r="CH16" s="4762">
        <f t="shared" ca="1" si="16"/>
        <v>84.253112236538712</v>
      </c>
      <c r="CI16" s="4762">
        <f t="shared" ca="1" si="16"/>
        <v>84.253112236538712</v>
      </c>
      <c r="CJ16" s="4762">
        <f t="shared" ca="1" si="16"/>
        <v>123.54588592535369</v>
      </c>
      <c r="CK16" s="4762">
        <f t="shared" ca="1" si="16"/>
        <v>106.03613536963729</v>
      </c>
      <c r="CL16" s="4762">
        <f t="shared" ca="1" si="16"/>
        <v>106.03613536963729</v>
      </c>
      <c r="CM16" s="4762">
        <f t="shared" ca="1" si="16"/>
        <v>106.03613536963729</v>
      </c>
      <c r="CN16" s="4762">
        <f t="shared" ca="1" si="16"/>
        <v>102.3729186093735</v>
      </c>
      <c r="CO16" s="4762">
        <f t="shared" ca="1" si="16"/>
        <v>84.332676686785902</v>
      </c>
      <c r="CP16" s="4762">
        <f t="shared" ca="1" si="16"/>
        <v>84.332676686785902</v>
      </c>
      <c r="CQ16" s="4762">
        <f t="shared" ca="1" si="16"/>
        <v>84.332676686785902</v>
      </c>
      <c r="CR16" s="4762">
        <f t="shared" ca="1" si="16"/>
        <v>97.573103329390023</v>
      </c>
      <c r="CS16" s="4762">
        <f t="shared" ca="1" si="16"/>
        <v>79.397942169603013</v>
      </c>
      <c r="CT16" s="4762">
        <f t="shared" ca="1" si="16"/>
        <v>79.397942169603013</v>
      </c>
      <c r="CU16" s="4762">
        <f t="shared" ca="1" si="16"/>
        <v>77.69794216960301</v>
      </c>
      <c r="CV16" s="4762">
        <f t="shared" ca="1" si="16"/>
        <v>100.53361347771781</v>
      </c>
      <c r="CW16" s="4762">
        <f t="shared" ca="1" si="16"/>
        <v>81.539564049844302</v>
      </c>
      <c r="CX16" s="4762">
        <f t="shared" ca="1" si="16"/>
        <v>81.539564049844302</v>
      </c>
      <c r="CY16" s="4762">
        <f t="shared" ca="1" si="16"/>
        <v>81.539564049844302</v>
      </c>
      <c r="CZ16" s="4762">
        <f t="shared" ca="1" si="16"/>
        <v>95.550850948790043</v>
      </c>
      <c r="DA16" s="4762">
        <f t="shared" ca="1" si="16"/>
        <v>76.412016307715263</v>
      </c>
      <c r="DB16" s="4762">
        <f t="shared" ca="1" si="16"/>
        <v>76.412016307715263</v>
      </c>
      <c r="DC16" s="4762">
        <f t="shared" ca="1" si="16"/>
        <v>76.412016307715263</v>
      </c>
      <c r="DD16" s="4762">
        <f t="shared" ca="1" si="16"/>
        <v>92.332062804508681</v>
      </c>
      <c r="DE16" s="4762">
        <f t="shared" ca="1" si="16"/>
        <v>72.847417165369507</v>
      </c>
      <c r="DF16" s="4762">
        <f t="shared" ca="1" si="16"/>
        <v>72.847417165369507</v>
      </c>
      <c r="DG16" s="4762">
        <f t="shared" ca="1" si="16"/>
        <v>72.847417165369507</v>
      </c>
      <c r="DH16" s="4762">
        <f t="shared" ca="1" si="16"/>
        <v>94.973518392109042</v>
      </c>
      <c r="DI16" s="4762">
        <f t="shared" ca="1" si="16"/>
        <v>75.245505670162956</v>
      </c>
      <c r="DJ16" s="4762">
        <f t="shared" ca="1" si="16"/>
        <v>75.245505670162956</v>
      </c>
      <c r="DK16" s="4762">
        <f t="shared" ca="1" si="16"/>
        <v>75.245505670162956</v>
      </c>
      <c r="DL16" s="4762">
        <f t="shared" ca="1" si="16"/>
        <v>99.028967892809519</v>
      </c>
      <c r="DM16" s="4762">
        <f t="shared" ca="1" si="16"/>
        <v>79.02454288906867</v>
      </c>
      <c r="DN16" s="4762">
        <f t="shared" ca="1" si="16"/>
        <v>79.02454288906867</v>
      </c>
      <c r="DO16" s="4762">
        <f t="shared" ca="1" si="16"/>
        <v>79.02454288906867</v>
      </c>
      <c r="DP16" s="4762">
        <f t="shared" ca="1" si="16"/>
        <v>100.28220690629011</v>
      </c>
      <c r="DQ16" s="4762">
        <f t="shared" ca="1" si="16"/>
        <v>80.053847688199184</v>
      </c>
      <c r="DR16" s="4762">
        <f t="shared" ca="1" si="16"/>
        <v>80.053847688199184</v>
      </c>
      <c r="DS16" s="4762">
        <f t="shared" ca="1" si="16"/>
        <v>80.053847688199184</v>
      </c>
      <c r="DT16" s="4762">
        <f t="shared" ca="1" si="16"/>
        <v>103.16731325599149</v>
      </c>
      <c r="DU16" s="4762">
        <f t="shared" ca="1" si="16"/>
        <v>82.482290155506419</v>
      </c>
      <c r="DV16" s="4762">
        <f t="shared" ca="1" si="16"/>
        <v>82.482290155506419</v>
      </c>
      <c r="DW16" s="4762">
        <f t="shared" ca="1" si="16"/>
        <v>82.482290155506419</v>
      </c>
      <c r="DX16" s="4762">
        <f t="shared" ca="1" si="16"/>
        <v>109.87338915694022</v>
      </c>
      <c r="DY16" s="4762">
        <f t="shared" ca="1" si="16"/>
        <v>88.920892507118737</v>
      </c>
      <c r="DZ16" s="4762">
        <f t="shared" ca="1" si="16"/>
        <v>88.920892507118737</v>
      </c>
      <c r="EA16" s="4762">
        <f t="shared" ca="1" si="16"/>
        <v>88.920892507118737</v>
      </c>
      <c r="EB16" s="4762">
        <f t="shared" ca="1" si="16"/>
        <v>102.5825359226163</v>
      </c>
      <c r="EC16" s="4762">
        <f t="shared" ca="1" si="16"/>
        <v>81.318726014444749</v>
      </c>
      <c r="ED16" s="4762">
        <f t="shared" ca="1" si="16"/>
        <v>81.318726014444749</v>
      </c>
      <c r="EE16" s="4762">
        <f t="shared" ca="1" si="16"/>
        <v>81.318726014444749</v>
      </c>
      <c r="EF16" s="4762">
        <f t="shared" ca="1" si="16"/>
        <v>114.05668242680592</v>
      </c>
      <c r="EG16" s="4762">
        <f t="shared" ref="EG16:FO16" ca="1" si="17">SUM(EG5,EG8:EG10,EG13,EG15)</f>
        <v>94.69702420468758</v>
      </c>
      <c r="EH16" s="4762">
        <f t="shared" ca="1" si="17"/>
        <v>94.69702420468758</v>
      </c>
      <c r="EI16" s="4762">
        <f t="shared" ca="1" si="17"/>
        <v>94.69702420468758</v>
      </c>
      <c r="EJ16" s="4762">
        <f t="shared" ca="1" si="17"/>
        <v>106.45889961566864</v>
      </c>
      <c r="EK16" s="4762">
        <f t="shared" ca="1" si="17"/>
        <v>87.229073205227749</v>
      </c>
      <c r="EL16" s="4762">
        <f t="shared" ca="1" si="17"/>
        <v>87.229073205227749</v>
      </c>
      <c r="EM16" s="4762">
        <f t="shared" ca="1" si="17"/>
        <v>87.229073205227749</v>
      </c>
      <c r="EN16" s="4762">
        <f t="shared" ca="1" si="17"/>
        <v>105.01810251519353</v>
      </c>
      <c r="EO16" s="4762">
        <f t="shared" ca="1" si="17"/>
        <v>85.772376035140368</v>
      </c>
      <c r="EP16" s="4762">
        <f t="shared" ca="1" si="17"/>
        <v>85.772376035140368</v>
      </c>
      <c r="EQ16" s="4762">
        <f t="shared" ca="1" si="17"/>
        <v>85.772376035140368</v>
      </c>
      <c r="ER16" s="4762">
        <f t="shared" ca="1" si="17"/>
        <v>111.53524393183037</v>
      </c>
      <c r="ES16" s="4762">
        <f t="shared" ca="1" si="17"/>
        <v>91.991566838909151</v>
      </c>
      <c r="ET16" s="4762">
        <f t="shared" ca="1" si="17"/>
        <v>91.991566838909151</v>
      </c>
      <c r="EU16" s="4762">
        <f t="shared" ca="1" si="17"/>
        <v>91.991566838909151</v>
      </c>
      <c r="EV16" s="4762">
        <f t="shared" ca="1" si="17"/>
        <v>108.03210149410098</v>
      </c>
      <c r="EW16" s="4762">
        <f t="shared" ca="1" si="17"/>
        <v>88.037966093050613</v>
      </c>
      <c r="EX16" s="4762">
        <f t="shared" ca="1" si="17"/>
        <v>88.037966093050613</v>
      </c>
      <c r="EY16" s="4762">
        <f t="shared" ca="1" si="17"/>
        <v>88.037966093050613</v>
      </c>
      <c r="EZ16" s="4762">
        <f t="shared" ca="1" si="17"/>
        <v>110.3670439234443</v>
      </c>
      <c r="FA16" s="4762">
        <f t="shared" ca="1" si="17"/>
        <v>90.98459628077336</v>
      </c>
      <c r="FB16" s="4762">
        <f t="shared" ca="1" si="17"/>
        <v>90.98459628077336</v>
      </c>
      <c r="FC16" s="4762">
        <f t="shared" ca="1" si="17"/>
        <v>90.98459628077336</v>
      </c>
      <c r="FD16" s="4762">
        <f t="shared" ca="1" si="17"/>
        <v>111.03923236172885</v>
      </c>
      <c r="FE16" s="4762">
        <f t="shared" ca="1" si="17"/>
        <v>92.302866307146985</v>
      </c>
      <c r="FF16" s="4762">
        <f t="shared" ca="1" si="17"/>
        <v>92.302866307146985</v>
      </c>
      <c r="FG16" s="4762">
        <f t="shared" ca="1" si="17"/>
        <v>92.302866307146985</v>
      </c>
      <c r="FH16" s="4762">
        <f t="shared" ca="1" si="17"/>
        <v>114.50671070259303</v>
      </c>
      <c r="FI16" s="4762">
        <f t="shared" ca="1" si="17"/>
        <v>96.394890183163895</v>
      </c>
      <c r="FJ16" s="4762">
        <f t="shared" ca="1" si="17"/>
        <v>96.394890183163895</v>
      </c>
      <c r="FK16" s="4762">
        <f t="shared" ca="1" si="17"/>
        <v>96.394890183163895</v>
      </c>
      <c r="FL16" s="4762">
        <f t="shared" ca="1" si="17"/>
        <v>164.5812852070477</v>
      </c>
      <c r="FM16" s="4762">
        <f t="shared" ca="1" si="17"/>
        <v>129.56509886948501</v>
      </c>
      <c r="FN16" s="4762">
        <f t="shared" ca="1" si="17"/>
        <v>0</v>
      </c>
      <c r="FO16" s="4762">
        <f t="shared" ca="1" si="17"/>
        <v>0</v>
      </c>
      <c r="FP16" s="1224">
        <f t="shared" ref="FP16:GE16" ca="1" si="18">SUM(FP5:FP10)</f>
        <v>0</v>
      </c>
      <c r="FQ16" s="1225">
        <f t="shared" ca="1" si="18"/>
        <v>0</v>
      </c>
      <c r="FR16" s="1225">
        <f t="shared" ca="1" si="18"/>
        <v>0</v>
      </c>
      <c r="FS16" s="1226">
        <f t="shared" ca="1" si="18"/>
        <v>0</v>
      </c>
      <c r="FT16" s="1224">
        <f t="shared" ca="1" si="18"/>
        <v>0</v>
      </c>
      <c r="FU16" s="1225">
        <f t="shared" ca="1" si="18"/>
        <v>0</v>
      </c>
      <c r="FV16" s="1225">
        <f t="shared" ca="1" si="18"/>
        <v>0</v>
      </c>
      <c r="FW16" s="1226">
        <f t="shared" ca="1" si="18"/>
        <v>0</v>
      </c>
      <c r="FX16" s="1224">
        <f t="shared" ca="1" si="18"/>
        <v>0</v>
      </c>
      <c r="FY16" s="1225">
        <f t="shared" ca="1" si="18"/>
        <v>0</v>
      </c>
      <c r="FZ16" s="1225">
        <f t="shared" ca="1" si="18"/>
        <v>0</v>
      </c>
      <c r="GA16" s="1226">
        <f t="shared" ca="1" si="18"/>
        <v>0</v>
      </c>
      <c r="GB16" s="1224">
        <f t="shared" ca="1" si="18"/>
        <v>0</v>
      </c>
      <c r="GC16" s="1225">
        <f t="shared" ca="1" si="18"/>
        <v>0</v>
      </c>
      <c r="GD16" s="1225">
        <f t="shared" ca="1" si="18"/>
        <v>0</v>
      </c>
      <c r="GE16" s="1226">
        <f t="shared" ca="1" si="18"/>
        <v>0</v>
      </c>
    </row>
    <row r="17" spans="1:187" s="4964" customFormat="1" ht="17.100000000000001" customHeight="1" outlineLevel="1">
      <c r="A17" s="4893"/>
      <c r="B17" s="4971"/>
      <c r="C17" s="4972"/>
      <c r="D17" s="4973" t="s">
        <v>5097</v>
      </c>
      <c r="E17" s="4973"/>
      <c r="F17" s="4974"/>
      <c r="G17" s="4974"/>
      <c r="H17" s="4969">
        <f>Index!G10</f>
        <v>3</v>
      </c>
      <c r="I17" s="4970">
        <f>Index!H10</f>
        <v>3</v>
      </c>
      <c r="J17" s="4970">
        <f>Index!I10</f>
        <v>3</v>
      </c>
      <c r="K17" s="4970">
        <f>Index!J10</f>
        <v>3</v>
      </c>
      <c r="L17" s="4970">
        <f>Index!K10</f>
        <v>3</v>
      </c>
      <c r="M17" s="4970">
        <f>Index!L10</f>
        <v>3</v>
      </c>
      <c r="N17" s="4970">
        <f>Index!M10</f>
        <v>3</v>
      </c>
      <c r="O17" s="4970">
        <f>Index!N10</f>
        <v>3</v>
      </c>
      <c r="P17" s="4970">
        <f>Index!O10</f>
        <v>3</v>
      </c>
      <c r="Q17" s="4970">
        <f>Index!P10</f>
        <v>3</v>
      </c>
      <c r="R17" s="4970">
        <f>Index!Q10</f>
        <v>3</v>
      </c>
      <c r="S17" s="4970">
        <f>Index!R10</f>
        <v>3</v>
      </c>
      <c r="T17" s="4970">
        <f>Index!S10</f>
        <v>3</v>
      </c>
      <c r="U17" s="4970">
        <f>Index!T10</f>
        <v>3</v>
      </c>
      <c r="V17" s="4970">
        <f>Index!U10</f>
        <v>3</v>
      </c>
      <c r="W17" s="4970">
        <f>Index!V10</f>
        <v>3</v>
      </c>
      <c r="X17" s="4970">
        <f>Index!W10</f>
        <v>3</v>
      </c>
      <c r="Y17" s="4970">
        <f>Index!X10</f>
        <v>3</v>
      </c>
      <c r="Z17" s="4970">
        <f>Index!Y10</f>
        <v>3</v>
      </c>
      <c r="AA17" s="4970">
        <f>Index!Z10</f>
        <v>3</v>
      </c>
      <c r="AB17" s="4970">
        <f>Index!AA10</f>
        <v>3</v>
      </c>
      <c r="AC17" s="4970">
        <f>Index!AB10</f>
        <v>3</v>
      </c>
      <c r="AD17" s="4970">
        <f>Index!AC10</f>
        <v>3</v>
      </c>
      <c r="AE17" s="4970">
        <f>Index!AD10</f>
        <v>3</v>
      </c>
      <c r="AF17" s="4970">
        <f>Index!AE10</f>
        <v>3</v>
      </c>
      <c r="AG17" s="4970">
        <f>Index!AF10</f>
        <v>3</v>
      </c>
      <c r="AH17" s="4970">
        <f>Index!AG10</f>
        <v>3</v>
      </c>
      <c r="AI17" s="4970">
        <f>Index!AH10</f>
        <v>3</v>
      </c>
      <c r="AJ17" s="4970">
        <f>Index!AI10</f>
        <v>3</v>
      </c>
      <c r="AK17" s="4970">
        <f>Index!AJ10</f>
        <v>3</v>
      </c>
      <c r="AL17" s="4970">
        <f>Index!AK10</f>
        <v>3</v>
      </c>
      <c r="AM17" s="4970">
        <f>Index!AL10</f>
        <v>3</v>
      </c>
      <c r="AN17" s="4970">
        <f>Index!AM10</f>
        <v>3</v>
      </c>
      <c r="AO17" s="4970">
        <f>Index!AN10</f>
        <v>3</v>
      </c>
      <c r="AP17" s="4970">
        <f>Index!AO10</f>
        <v>3</v>
      </c>
      <c r="AQ17" s="4970">
        <f>Index!AP10</f>
        <v>3</v>
      </c>
      <c r="AR17" s="4970">
        <f>Index!AQ10</f>
        <v>3</v>
      </c>
      <c r="AS17" s="4970">
        <f>Index!AR10</f>
        <v>3</v>
      </c>
      <c r="AT17" s="4970">
        <f>Index!AS10</f>
        <v>3</v>
      </c>
      <c r="AU17" s="4970">
        <f>Index!AT10</f>
        <v>3</v>
      </c>
      <c r="AV17" s="4970">
        <f>Index!AU10</f>
        <v>3</v>
      </c>
      <c r="AW17" s="4970">
        <f>Index!AV10</f>
        <v>3</v>
      </c>
      <c r="AX17" s="4970">
        <f>Index!AW10</f>
        <v>3</v>
      </c>
      <c r="AY17" s="4970">
        <f>Index!AX10</f>
        <v>3</v>
      </c>
      <c r="AZ17" s="4970">
        <f>Index!AY10</f>
        <v>3</v>
      </c>
      <c r="BA17" s="4970">
        <f>Index!AZ10</f>
        <v>3</v>
      </c>
      <c r="BB17" s="4970">
        <f>Index!BA10</f>
        <v>3</v>
      </c>
      <c r="BC17" s="4970">
        <f>Index!BB10</f>
        <v>3</v>
      </c>
      <c r="BD17" s="4970">
        <f>Index!BC10</f>
        <v>3</v>
      </c>
      <c r="BE17" s="4970">
        <f>Index!BD10</f>
        <v>3</v>
      </c>
      <c r="BF17" s="4970">
        <f>Index!BE10</f>
        <v>3</v>
      </c>
      <c r="BG17" s="4970">
        <f>Index!BF10</f>
        <v>3</v>
      </c>
      <c r="BH17" s="4970">
        <f>Index!BG10</f>
        <v>3</v>
      </c>
      <c r="BI17" s="4970">
        <f>Index!BH10</f>
        <v>3</v>
      </c>
      <c r="BJ17" s="4970">
        <f>Index!BI10</f>
        <v>3</v>
      </c>
      <c r="BK17" s="4970">
        <f>Index!BJ10</f>
        <v>3</v>
      </c>
      <c r="BL17" s="4970">
        <f>Index!BK10</f>
        <v>3</v>
      </c>
      <c r="BM17" s="4970">
        <f>Index!BL10</f>
        <v>3</v>
      </c>
      <c r="BN17" s="4970">
        <f>Index!BM10</f>
        <v>3</v>
      </c>
      <c r="BO17" s="4970">
        <f>Index!BN10</f>
        <v>3</v>
      </c>
      <c r="BP17" s="4970">
        <f>Index!BO10</f>
        <v>3</v>
      </c>
      <c r="BQ17" s="4970">
        <f>Index!BP10</f>
        <v>3</v>
      </c>
      <c r="BR17" s="4970">
        <f>Index!BQ10</f>
        <v>3</v>
      </c>
      <c r="BS17" s="4970">
        <f>Index!BR10</f>
        <v>3</v>
      </c>
      <c r="BT17" s="4970">
        <f>Index!BS10</f>
        <v>3</v>
      </c>
      <c r="BU17" s="4970">
        <f>Index!BT10</f>
        <v>3</v>
      </c>
      <c r="BV17" s="4970">
        <f>Index!BU10</f>
        <v>3</v>
      </c>
      <c r="BW17" s="4970">
        <f>Index!BV10</f>
        <v>3</v>
      </c>
      <c r="BX17" s="4970">
        <f>Index!BW10</f>
        <v>3</v>
      </c>
      <c r="BY17" s="4970">
        <f>Index!BX10</f>
        <v>3</v>
      </c>
      <c r="BZ17" s="4970">
        <f>Index!BY10</f>
        <v>3</v>
      </c>
      <c r="CA17" s="4970">
        <f>Index!BZ10</f>
        <v>3</v>
      </c>
      <c r="CB17" s="4970">
        <f>Index!CA10</f>
        <v>3</v>
      </c>
      <c r="CC17" s="4970">
        <f>Index!CB10</f>
        <v>3</v>
      </c>
      <c r="CD17" s="4970">
        <f>Index!CC10</f>
        <v>3</v>
      </c>
      <c r="CE17" s="4970">
        <f>Index!CD10</f>
        <v>3</v>
      </c>
      <c r="CF17" s="4970">
        <f>Index!CE10</f>
        <v>3</v>
      </c>
      <c r="CG17" s="4970">
        <f>Index!CF10</f>
        <v>3</v>
      </c>
      <c r="CH17" s="4970">
        <f>Index!CG10</f>
        <v>3</v>
      </c>
      <c r="CI17" s="4970">
        <f>Index!CH10</f>
        <v>3</v>
      </c>
      <c r="CJ17" s="4970">
        <f>Index!CI10</f>
        <v>3</v>
      </c>
      <c r="CK17" s="4970">
        <f>Index!CJ10</f>
        <v>3</v>
      </c>
      <c r="CL17" s="4970">
        <f>Index!CK10</f>
        <v>3</v>
      </c>
      <c r="CM17" s="4970">
        <f>Index!CL10</f>
        <v>3</v>
      </c>
      <c r="CN17" s="4970">
        <f>Index!CM10</f>
        <v>3</v>
      </c>
      <c r="CO17" s="4970">
        <f>Index!CN10</f>
        <v>3</v>
      </c>
      <c r="CP17" s="4970">
        <f>Index!CO10</f>
        <v>3</v>
      </c>
      <c r="CQ17" s="4970">
        <f>Index!CP10</f>
        <v>3</v>
      </c>
      <c r="CR17" s="4970">
        <f>Index!CQ10</f>
        <v>3</v>
      </c>
      <c r="CS17" s="4970">
        <f>Index!CR10</f>
        <v>3</v>
      </c>
      <c r="CT17" s="4970">
        <f>Index!CS10</f>
        <v>3</v>
      </c>
      <c r="CU17" s="4970">
        <f>Index!CT10</f>
        <v>3</v>
      </c>
      <c r="CV17" s="4970">
        <f>Index!CU10</f>
        <v>3</v>
      </c>
      <c r="CW17" s="4970">
        <f>Index!CV10</f>
        <v>3</v>
      </c>
      <c r="CX17" s="4970">
        <f>Index!CW10</f>
        <v>3</v>
      </c>
      <c r="CY17" s="4970">
        <f>Index!CX10</f>
        <v>3</v>
      </c>
      <c r="CZ17" s="4970">
        <f>Index!CY10</f>
        <v>3</v>
      </c>
      <c r="DA17" s="4970">
        <f>Index!CZ10</f>
        <v>3</v>
      </c>
      <c r="DB17" s="4970">
        <f>Index!DA10</f>
        <v>3</v>
      </c>
      <c r="DC17" s="4970">
        <f>Index!DB10</f>
        <v>3</v>
      </c>
      <c r="DD17" s="4970">
        <f>Index!DC10</f>
        <v>3</v>
      </c>
      <c r="DE17" s="4970">
        <f>Index!DD10</f>
        <v>3</v>
      </c>
      <c r="DF17" s="4970">
        <f>Index!DE10</f>
        <v>3</v>
      </c>
      <c r="DG17" s="4970">
        <f>Index!DF10</f>
        <v>3</v>
      </c>
      <c r="DH17" s="4970">
        <f>Index!DG10</f>
        <v>3</v>
      </c>
      <c r="DI17" s="4970">
        <f>Index!DH10</f>
        <v>3</v>
      </c>
      <c r="DJ17" s="4970">
        <f>Index!DI10</f>
        <v>3</v>
      </c>
      <c r="DK17" s="4970">
        <f>Index!DJ10</f>
        <v>3</v>
      </c>
      <c r="DL17" s="4970">
        <f>Index!DK10</f>
        <v>3</v>
      </c>
      <c r="DM17" s="4970">
        <f>Index!DL10</f>
        <v>3</v>
      </c>
      <c r="DN17" s="4970">
        <f>Index!DM10</f>
        <v>3</v>
      </c>
      <c r="DO17" s="4970">
        <f>Index!DN10</f>
        <v>3</v>
      </c>
      <c r="DP17" s="4970">
        <f>Index!DO10</f>
        <v>3</v>
      </c>
      <c r="DQ17" s="4970">
        <f>Index!DP10</f>
        <v>3</v>
      </c>
      <c r="DR17" s="4970">
        <f>Index!DQ10</f>
        <v>3</v>
      </c>
      <c r="DS17" s="4970">
        <f>Index!DR10</f>
        <v>3</v>
      </c>
      <c r="DT17" s="4970">
        <f>Index!DS10</f>
        <v>3</v>
      </c>
      <c r="DU17" s="4970">
        <f>Index!DT10</f>
        <v>3</v>
      </c>
      <c r="DV17" s="4970">
        <f>Index!DU10</f>
        <v>3</v>
      </c>
      <c r="DW17" s="4970">
        <f>Index!DV10</f>
        <v>3</v>
      </c>
      <c r="DX17" s="4970">
        <f>Index!DW10</f>
        <v>3</v>
      </c>
      <c r="DY17" s="4970">
        <f>Index!DX10</f>
        <v>3</v>
      </c>
      <c r="DZ17" s="4970">
        <f>Index!DY10</f>
        <v>3</v>
      </c>
      <c r="EA17" s="4970">
        <f>Index!DZ10</f>
        <v>3</v>
      </c>
      <c r="EB17" s="4970">
        <f>Index!EA10</f>
        <v>3</v>
      </c>
      <c r="EC17" s="4970">
        <f>Index!EB10</f>
        <v>3</v>
      </c>
      <c r="ED17" s="4970">
        <f>Index!EC10</f>
        <v>3</v>
      </c>
      <c r="EE17" s="4970">
        <f>Index!ED10</f>
        <v>3</v>
      </c>
      <c r="EF17" s="4970">
        <f>Index!EE10</f>
        <v>3</v>
      </c>
      <c r="EG17" s="4970">
        <f>Index!EF10</f>
        <v>3</v>
      </c>
      <c r="EH17" s="4970">
        <f>Index!EG10</f>
        <v>3</v>
      </c>
      <c r="EI17" s="4970">
        <f>Index!EH10</f>
        <v>3</v>
      </c>
      <c r="EJ17" s="4970">
        <f>Index!EI10</f>
        <v>3</v>
      </c>
      <c r="EK17" s="4970">
        <f>Index!EJ10</f>
        <v>3</v>
      </c>
      <c r="EL17" s="4970">
        <f>Index!EK10</f>
        <v>3</v>
      </c>
      <c r="EM17" s="4970">
        <f>Index!EL10</f>
        <v>3</v>
      </c>
      <c r="EN17" s="4970">
        <f>Index!EM10</f>
        <v>3</v>
      </c>
      <c r="EO17" s="4970">
        <f>Index!EN10</f>
        <v>3</v>
      </c>
      <c r="EP17" s="4970">
        <f>Index!EO10</f>
        <v>3</v>
      </c>
      <c r="EQ17" s="4970">
        <f>Index!EP10</f>
        <v>3</v>
      </c>
      <c r="ER17" s="4970">
        <f>Index!EQ10</f>
        <v>3</v>
      </c>
      <c r="ES17" s="4970">
        <f>Index!ER10</f>
        <v>3</v>
      </c>
      <c r="ET17" s="4970">
        <f>Index!ES10</f>
        <v>3</v>
      </c>
      <c r="EU17" s="4970">
        <f>Index!ET10</f>
        <v>3</v>
      </c>
      <c r="EV17" s="4970">
        <f>Index!EU10</f>
        <v>3</v>
      </c>
      <c r="EW17" s="4970">
        <f>Index!EV10</f>
        <v>3</v>
      </c>
      <c r="EX17" s="4970">
        <f>Index!EW10</f>
        <v>3</v>
      </c>
      <c r="EY17" s="4970">
        <f>Index!EX10</f>
        <v>3</v>
      </c>
      <c r="EZ17" s="4970">
        <f>Index!EY10</f>
        <v>3</v>
      </c>
      <c r="FA17" s="4970">
        <f>Index!EZ10</f>
        <v>3</v>
      </c>
      <c r="FB17" s="4970">
        <f>Index!FA10</f>
        <v>3</v>
      </c>
      <c r="FC17" s="4970">
        <f>Index!FB10</f>
        <v>3</v>
      </c>
      <c r="FD17" s="4970">
        <f>Index!FC10</f>
        <v>3</v>
      </c>
      <c r="FE17" s="4970">
        <f>Index!FD10</f>
        <v>3</v>
      </c>
      <c r="FF17" s="4970">
        <f>Index!FE10</f>
        <v>3</v>
      </c>
      <c r="FG17" s="4970">
        <f>Index!FF10</f>
        <v>3</v>
      </c>
      <c r="FH17" s="4970">
        <f>Index!FG10</f>
        <v>3</v>
      </c>
      <c r="FI17" s="4970">
        <f>Index!FH10</f>
        <v>3</v>
      </c>
      <c r="FJ17" s="4970">
        <f>Index!FI10</f>
        <v>3</v>
      </c>
      <c r="FK17" s="4970">
        <f>Index!FJ10</f>
        <v>3</v>
      </c>
      <c r="FL17" s="4970">
        <f>Index!FK10</f>
        <v>3</v>
      </c>
      <c r="FM17" s="4970">
        <f>Index!FL10</f>
        <v>3</v>
      </c>
      <c r="FN17" s="4970">
        <f>Index!FM10</f>
        <v>0</v>
      </c>
      <c r="FO17" s="4970">
        <f>Index!FN10</f>
        <v>0</v>
      </c>
      <c r="FP17" s="4962">
        <f>매출!FP53</f>
        <v>0</v>
      </c>
      <c r="FQ17" s="4962">
        <f>매출!FQ53</f>
        <v>0</v>
      </c>
      <c r="FR17" s="4962">
        <f>매출!FR53</f>
        <v>0</v>
      </c>
      <c r="FS17" s="4962">
        <f>매출!FS53</f>
        <v>0</v>
      </c>
      <c r="FT17" s="4962">
        <f>매출!FT53</f>
        <v>0</v>
      </c>
      <c r="FU17" s="4962">
        <f>매출!FU53</f>
        <v>0</v>
      </c>
      <c r="FV17" s="4962">
        <f>매출!FV53</f>
        <v>0</v>
      </c>
      <c r="FW17" s="4962">
        <f>매출!FW53</f>
        <v>0</v>
      </c>
      <c r="FX17" s="4962">
        <f>매출!FX53</f>
        <v>0</v>
      </c>
      <c r="FY17" s="4962">
        <f>매출!FY53</f>
        <v>0</v>
      </c>
      <c r="FZ17" s="4962">
        <f>매출!FZ53</f>
        <v>0</v>
      </c>
      <c r="GA17" s="4962">
        <f>매출!GA53</f>
        <v>0</v>
      </c>
      <c r="GB17" s="4962">
        <f>매출!GB53</f>
        <v>0</v>
      </c>
      <c r="GC17" s="4962">
        <f>매출!GC53</f>
        <v>0</v>
      </c>
      <c r="GD17" s="4962">
        <f>매출!GD53</f>
        <v>0</v>
      </c>
      <c r="GE17" s="4962">
        <f>매출!GE53</f>
        <v>0</v>
      </c>
    </row>
    <row r="18" spans="1:187" s="4964" customFormat="1" ht="17.100000000000001" customHeight="1" outlineLevel="1">
      <c r="A18" s="4893"/>
      <c r="B18" s="4965"/>
      <c r="C18" s="4966"/>
      <c r="D18" s="4967" t="s">
        <v>5104</v>
      </c>
      <c r="E18" s="4967"/>
      <c r="F18" s="4968"/>
      <c r="G18" s="4968"/>
      <c r="H18" s="4969">
        <f>Index!G11</f>
        <v>12</v>
      </c>
      <c r="I18" s="4969">
        <f>Index!H11</f>
        <v>12</v>
      </c>
      <c r="J18" s="4969">
        <f>Index!I11</f>
        <v>12</v>
      </c>
      <c r="K18" s="4969">
        <f>Index!J11</f>
        <v>12</v>
      </c>
      <c r="L18" s="4969">
        <f>Index!K11</f>
        <v>12</v>
      </c>
      <c r="M18" s="4969">
        <f>Index!L11</f>
        <v>12</v>
      </c>
      <c r="N18" s="4969">
        <f>Index!M11</f>
        <v>12</v>
      </c>
      <c r="O18" s="4969">
        <f>Index!N11</f>
        <v>12</v>
      </c>
      <c r="P18" s="4969">
        <f>Index!O11</f>
        <v>12</v>
      </c>
      <c r="Q18" s="4969">
        <f>Index!P11</f>
        <v>12</v>
      </c>
      <c r="R18" s="4969">
        <f>Index!Q11</f>
        <v>12</v>
      </c>
      <c r="S18" s="4969">
        <f>Index!R11</f>
        <v>12</v>
      </c>
      <c r="T18" s="4969">
        <f>Index!S11</f>
        <v>12</v>
      </c>
      <c r="U18" s="4969">
        <f>Index!T11</f>
        <v>12</v>
      </c>
      <c r="V18" s="4969">
        <f>Index!U11</f>
        <v>12</v>
      </c>
      <c r="W18" s="4969">
        <f>Index!V11</f>
        <v>12</v>
      </c>
      <c r="X18" s="4969">
        <f>Index!W11</f>
        <v>12</v>
      </c>
      <c r="Y18" s="4969">
        <f>Index!X11</f>
        <v>12</v>
      </c>
      <c r="Z18" s="4969">
        <f>Index!Y11</f>
        <v>12</v>
      </c>
      <c r="AA18" s="4969">
        <f>Index!Z11</f>
        <v>12</v>
      </c>
      <c r="AB18" s="4969">
        <f>Index!AA11</f>
        <v>12</v>
      </c>
      <c r="AC18" s="4969">
        <f>Index!AB11</f>
        <v>12</v>
      </c>
      <c r="AD18" s="4969">
        <f>Index!AC11</f>
        <v>12</v>
      </c>
      <c r="AE18" s="4969">
        <f>Index!AD11</f>
        <v>12</v>
      </c>
      <c r="AF18" s="4969">
        <f>Index!AE11</f>
        <v>12</v>
      </c>
      <c r="AG18" s="4969">
        <f>Index!AF11</f>
        <v>12</v>
      </c>
      <c r="AH18" s="4969">
        <f>Index!AG11</f>
        <v>12</v>
      </c>
      <c r="AI18" s="4969">
        <f>Index!AH11</f>
        <v>12</v>
      </c>
      <c r="AJ18" s="4969">
        <f>Index!AI11</f>
        <v>12</v>
      </c>
      <c r="AK18" s="4969">
        <f>Index!AJ11</f>
        <v>12</v>
      </c>
      <c r="AL18" s="4969">
        <f>Index!AK11</f>
        <v>12</v>
      </c>
      <c r="AM18" s="4969">
        <f>Index!AL11</f>
        <v>12</v>
      </c>
      <c r="AN18" s="4969">
        <f>Index!AM11</f>
        <v>12</v>
      </c>
      <c r="AO18" s="4969">
        <f>Index!AN11</f>
        <v>12</v>
      </c>
      <c r="AP18" s="4969">
        <f>Index!AO11</f>
        <v>12</v>
      </c>
      <c r="AQ18" s="4969">
        <f>Index!AP11</f>
        <v>12</v>
      </c>
      <c r="AR18" s="4969">
        <f>Index!AQ11</f>
        <v>12</v>
      </c>
      <c r="AS18" s="4969">
        <f>Index!AR11</f>
        <v>12</v>
      </c>
      <c r="AT18" s="4969">
        <f>Index!AS11</f>
        <v>12</v>
      </c>
      <c r="AU18" s="4969">
        <f>Index!AT11</f>
        <v>12</v>
      </c>
      <c r="AV18" s="4969">
        <f>Index!AU11</f>
        <v>12</v>
      </c>
      <c r="AW18" s="4969">
        <f>Index!AV11</f>
        <v>12</v>
      </c>
      <c r="AX18" s="4969">
        <f>Index!AW11</f>
        <v>12</v>
      </c>
      <c r="AY18" s="4969">
        <f>Index!AX11</f>
        <v>12</v>
      </c>
      <c r="AZ18" s="4969">
        <f>Index!AY11</f>
        <v>12</v>
      </c>
      <c r="BA18" s="4969">
        <f>Index!AZ11</f>
        <v>12</v>
      </c>
      <c r="BB18" s="4969">
        <f>Index!BA11</f>
        <v>12</v>
      </c>
      <c r="BC18" s="4969">
        <f>Index!BB11</f>
        <v>12</v>
      </c>
      <c r="BD18" s="4969">
        <f>Index!BC11</f>
        <v>12</v>
      </c>
      <c r="BE18" s="4969">
        <f>Index!BD11</f>
        <v>12</v>
      </c>
      <c r="BF18" s="4969">
        <f>Index!BE11</f>
        <v>12</v>
      </c>
      <c r="BG18" s="4969">
        <f>Index!BF11</f>
        <v>12</v>
      </c>
      <c r="BH18" s="4969">
        <f>Index!BG11</f>
        <v>12</v>
      </c>
      <c r="BI18" s="4969">
        <f>Index!BH11</f>
        <v>12</v>
      </c>
      <c r="BJ18" s="4969">
        <f>Index!BI11</f>
        <v>12</v>
      </c>
      <c r="BK18" s="4969">
        <f>Index!BJ11</f>
        <v>12</v>
      </c>
      <c r="BL18" s="4969">
        <f>Index!BK11</f>
        <v>12</v>
      </c>
      <c r="BM18" s="4969">
        <f>Index!BL11</f>
        <v>12</v>
      </c>
      <c r="BN18" s="4969">
        <f>Index!BM11</f>
        <v>12</v>
      </c>
      <c r="BO18" s="4969">
        <f>Index!BN11</f>
        <v>12</v>
      </c>
      <c r="BP18" s="4969">
        <f>Index!BO11</f>
        <v>12</v>
      </c>
      <c r="BQ18" s="4969">
        <f>Index!BP11</f>
        <v>12</v>
      </c>
      <c r="BR18" s="4969">
        <f>Index!BQ11</f>
        <v>12</v>
      </c>
      <c r="BS18" s="4969">
        <f>Index!BR11</f>
        <v>12</v>
      </c>
      <c r="BT18" s="4969">
        <f>Index!BS11</f>
        <v>12</v>
      </c>
      <c r="BU18" s="4969">
        <f>Index!BT11</f>
        <v>12</v>
      </c>
      <c r="BV18" s="4969">
        <f>Index!BU11</f>
        <v>12</v>
      </c>
      <c r="BW18" s="4969">
        <f>Index!BV11</f>
        <v>12</v>
      </c>
      <c r="BX18" s="4969">
        <f>Index!BW11</f>
        <v>12</v>
      </c>
      <c r="BY18" s="4969">
        <f>Index!BX11</f>
        <v>12</v>
      </c>
      <c r="BZ18" s="4969">
        <f>Index!BY11</f>
        <v>12</v>
      </c>
      <c r="CA18" s="4969">
        <f>Index!BZ11</f>
        <v>12</v>
      </c>
      <c r="CB18" s="4969">
        <f>Index!CA11</f>
        <v>12</v>
      </c>
      <c r="CC18" s="4969">
        <f>Index!CB11</f>
        <v>12</v>
      </c>
      <c r="CD18" s="4969">
        <f>Index!CC11</f>
        <v>12</v>
      </c>
      <c r="CE18" s="4969">
        <f>Index!CD11</f>
        <v>12</v>
      </c>
      <c r="CF18" s="4969">
        <f>Index!CE11</f>
        <v>12</v>
      </c>
      <c r="CG18" s="4969">
        <f>Index!CF11</f>
        <v>12</v>
      </c>
      <c r="CH18" s="4969">
        <f>Index!CG11</f>
        <v>12</v>
      </c>
      <c r="CI18" s="4969">
        <f>Index!CH11</f>
        <v>12</v>
      </c>
      <c r="CJ18" s="4969">
        <f>Index!CI11</f>
        <v>12</v>
      </c>
      <c r="CK18" s="4969">
        <f>Index!CJ11</f>
        <v>12</v>
      </c>
      <c r="CL18" s="4969">
        <f>Index!CK11</f>
        <v>12</v>
      </c>
      <c r="CM18" s="4969">
        <f>Index!CL11</f>
        <v>12</v>
      </c>
      <c r="CN18" s="4969">
        <f>Index!CM11</f>
        <v>12</v>
      </c>
      <c r="CO18" s="4969">
        <f>Index!CN11</f>
        <v>12</v>
      </c>
      <c r="CP18" s="4969">
        <f>Index!CO11</f>
        <v>12</v>
      </c>
      <c r="CQ18" s="4969">
        <f>Index!CP11</f>
        <v>12</v>
      </c>
      <c r="CR18" s="4969">
        <f>Index!CQ11</f>
        <v>12</v>
      </c>
      <c r="CS18" s="4969">
        <f>Index!CR11</f>
        <v>12</v>
      </c>
      <c r="CT18" s="4969">
        <f>Index!CS11</f>
        <v>12</v>
      </c>
      <c r="CU18" s="4969">
        <f>Index!CT11</f>
        <v>12</v>
      </c>
      <c r="CV18" s="4969">
        <f>Index!CU11</f>
        <v>12</v>
      </c>
      <c r="CW18" s="4969">
        <f>Index!CV11</f>
        <v>12</v>
      </c>
      <c r="CX18" s="4969">
        <f>Index!CW11</f>
        <v>12</v>
      </c>
      <c r="CY18" s="4969">
        <f>Index!CX11</f>
        <v>12</v>
      </c>
      <c r="CZ18" s="4969">
        <f>Index!CY11</f>
        <v>12</v>
      </c>
      <c r="DA18" s="4969">
        <f>Index!CZ11</f>
        <v>12</v>
      </c>
      <c r="DB18" s="4969">
        <f>Index!DA11</f>
        <v>12</v>
      </c>
      <c r="DC18" s="4969">
        <f>Index!DB11</f>
        <v>12</v>
      </c>
      <c r="DD18" s="4969">
        <f>Index!DC11</f>
        <v>12</v>
      </c>
      <c r="DE18" s="4969">
        <f>Index!DD11</f>
        <v>12</v>
      </c>
      <c r="DF18" s="4969">
        <f>Index!DE11</f>
        <v>12</v>
      </c>
      <c r="DG18" s="4969">
        <f>Index!DF11</f>
        <v>12</v>
      </c>
      <c r="DH18" s="4969">
        <f>Index!DG11</f>
        <v>12</v>
      </c>
      <c r="DI18" s="4969">
        <f>Index!DH11</f>
        <v>12</v>
      </c>
      <c r="DJ18" s="4969">
        <f>Index!DI11</f>
        <v>12</v>
      </c>
      <c r="DK18" s="4969">
        <f>Index!DJ11</f>
        <v>12</v>
      </c>
      <c r="DL18" s="4969">
        <f>Index!DK11</f>
        <v>12</v>
      </c>
      <c r="DM18" s="4969">
        <f>Index!DL11</f>
        <v>12</v>
      </c>
      <c r="DN18" s="4969">
        <f>Index!DM11</f>
        <v>12</v>
      </c>
      <c r="DO18" s="4969">
        <f>Index!DN11</f>
        <v>12</v>
      </c>
      <c r="DP18" s="4969">
        <f>Index!DO11</f>
        <v>12</v>
      </c>
      <c r="DQ18" s="4969">
        <f>Index!DP11</f>
        <v>12</v>
      </c>
      <c r="DR18" s="4969">
        <f>Index!DQ11</f>
        <v>12</v>
      </c>
      <c r="DS18" s="4969">
        <f>Index!DR11</f>
        <v>12</v>
      </c>
      <c r="DT18" s="4969">
        <f>Index!DS11</f>
        <v>12</v>
      </c>
      <c r="DU18" s="4969">
        <f>Index!DT11</f>
        <v>12</v>
      </c>
      <c r="DV18" s="4969">
        <f>Index!DU11</f>
        <v>12</v>
      </c>
      <c r="DW18" s="4969">
        <f>Index!DV11</f>
        <v>12</v>
      </c>
      <c r="DX18" s="4969">
        <f>Index!DW11</f>
        <v>12</v>
      </c>
      <c r="DY18" s="4969">
        <f>Index!DX11</f>
        <v>12</v>
      </c>
      <c r="DZ18" s="4969">
        <f>Index!DY11</f>
        <v>12</v>
      </c>
      <c r="EA18" s="4969">
        <f>Index!DZ11</f>
        <v>12</v>
      </c>
      <c r="EB18" s="4969">
        <f>Index!EA11</f>
        <v>12</v>
      </c>
      <c r="EC18" s="4969">
        <f>Index!EB11</f>
        <v>12</v>
      </c>
      <c r="ED18" s="4969">
        <f>Index!EC11</f>
        <v>12</v>
      </c>
      <c r="EE18" s="4969">
        <f>Index!ED11</f>
        <v>12</v>
      </c>
      <c r="EF18" s="4969">
        <f>Index!EE11</f>
        <v>12</v>
      </c>
      <c r="EG18" s="4969">
        <f>Index!EF11</f>
        <v>12</v>
      </c>
      <c r="EH18" s="4969">
        <f>Index!EG11</f>
        <v>12</v>
      </c>
      <c r="EI18" s="4969">
        <f>Index!EH11</f>
        <v>12</v>
      </c>
      <c r="EJ18" s="4969">
        <f>Index!EI11</f>
        <v>12</v>
      </c>
      <c r="EK18" s="4969">
        <f>Index!EJ11</f>
        <v>12</v>
      </c>
      <c r="EL18" s="4969">
        <f>Index!EK11</f>
        <v>12</v>
      </c>
      <c r="EM18" s="4969">
        <f>Index!EL11</f>
        <v>12</v>
      </c>
      <c r="EN18" s="4969">
        <f>Index!EM11</f>
        <v>12</v>
      </c>
      <c r="EO18" s="4969">
        <f>Index!EN11</f>
        <v>12</v>
      </c>
      <c r="EP18" s="4969">
        <f>Index!EO11</f>
        <v>12</v>
      </c>
      <c r="EQ18" s="4969">
        <f>Index!EP11</f>
        <v>12</v>
      </c>
      <c r="ER18" s="4969">
        <f>Index!EQ11</f>
        <v>12</v>
      </c>
      <c r="ES18" s="4969">
        <f>Index!ER11</f>
        <v>12</v>
      </c>
      <c r="ET18" s="4969">
        <f>Index!ES11</f>
        <v>12</v>
      </c>
      <c r="EU18" s="4969">
        <f>Index!ET11</f>
        <v>12</v>
      </c>
      <c r="EV18" s="4969">
        <f>Index!EU11</f>
        <v>12</v>
      </c>
      <c r="EW18" s="4969">
        <f>Index!EV11</f>
        <v>12</v>
      </c>
      <c r="EX18" s="4969">
        <f>Index!EW11</f>
        <v>12</v>
      </c>
      <c r="EY18" s="4969">
        <f>Index!EX11</f>
        <v>12</v>
      </c>
      <c r="EZ18" s="4969">
        <f>Index!EY11</f>
        <v>12</v>
      </c>
      <c r="FA18" s="4969">
        <f>Index!EZ11</f>
        <v>12</v>
      </c>
      <c r="FB18" s="4969">
        <f>Index!FA11</f>
        <v>12</v>
      </c>
      <c r="FC18" s="4969">
        <f>Index!FB11</f>
        <v>12</v>
      </c>
      <c r="FD18" s="4969">
        <f>Index!FC11</f>
        <v>12</v>
      </c>
      <c r="FE18" s="4969">
        <f>Index!FD11</f>
        <v>12</v>
      </c>
      <c r="FF18" s="4969">
        <f>Index!FE11</f>
        <v>12</v>
      </c>
      <c r="FG18" s="4969">
        <f>Index!FF11</f>
        <v>12</v>
      </c>
      <c r="FH18" s="4969">
        <f>Index!FG11</f>
        <v>12</v>
      </c>
      <c r="FI18" s="4969">
        <f>Index!FH11</f>
        <v>12</v>
      </c>
      <c r="FJ18" s="4969">
        <f>Index!FI11</f>
        <v>12</v>
      </c>
      <c r="FK18" s="4969">
        <f>Index!FJ11</f>
        <v>12</v>
      </c>
      <c r="FL18" s="4969">
        <f>Index!FK11</f>
        <v>6</v>
      </c>
      <c r="FM18" s="4969">
        <f>Index!FL11</f>
        <v>6</v>
      </c>
      <c r="FN18" s="4969">
        <f>Index!FM11</f>
        <v>6</v>
      </c>
      <c r="FO18" s="4969">
        <f>Index!FN11</f>
        <v>6</v>
      </c>
      <c r="FP18" s="4963">
        <f>FO18</f>
        <v>6</v>
      </c>
      <c r="FQ18" s="4963">
        <f>FP18</f>
        <v>6</v>
      </c>
      <c r="FR18" s="4963">
        <f>FQ18</f>
        <v>6</v>
      </c>
      <c r="FS18" s="4963">
        <f>FR18</f>
        <v>6</v>
      </c>
      <c r="FT18" s="4963">
        <f>MAX(SUM(비용!FT17:FW17),0.00001)</f>
        <v>1.0000000000000001E-5</v>
      </c>
      <c r="FU18" s="4963">
        <f>FT18</f>
        <v>1.0000000000000001E-5</v>
      </c>
      <c r="FV18" s="4963">
        <f>FU18</f>
        <v>1.0000000000000001E-5</v>
      </c>
      <c r="FW18" s="4963">
        <f>FV18</f>
        <v>1.0000000000000001E-5</v>
      </c>
      <c r="FX18" s="4963">
        <f>MAX(SUM(비용!FX17:GA17),0.00001)</f>
        <v>1.0000000000000001E-5</v>
      </c>
      <c r="FY18" s="4963">
        <f>FX18</f>
        <v>1.0000000000000001E-5</v>
      </c>
      <c r="FZ18" s="4963">
        <f>FY18</f>
        <v>1.0000000000000001E-5</v>
      </c>
      <c r="GA18" s="4963">
        <f>FZ18</f>
        <v>1.0000000000000001E-5</v>
      </c>
      <c r="GB18" s="4963">
        <f>MAX(SUM(비용!GB17:GE17),0.00001)</f>
        <v>1.0000000000000001E-5</v>
      </c>
      <c r="GC18" s="4963">
        <f>GB18</f>
        <v>1.0000000000000001E-5</v>
      </c>
      <c r="GD18" s="4963">
        <f>GC18</f>
        <v>1.0000000000000001E-5</v>
      </c>
      <c r="GE18" s="4963">
        <f>GD18</f>
        <v>1.0000000000000001E-5</v>
      </c>
    </row>
    <row r="19" spans="1:187" ht="17.100000000000001" customHeight="1">
      <c r="B19" s="331"/>
      <c r="C19" s="1209"/>
      <c r="D19" s="1209"/>
      <c r="E19" s="1209"/>
      <c r="F19" s="934"/>
      <c r="G19" s="934"/>
      <c r="H19" s="644"/>
      <c r="I19" s="644"/>
      <c r="J19" s="644"/>
      <c r="K19" s="644"/>
      <c r="L19" s="644"/>
      <c r="M19" s="644"/>
      <c r="N19" s="644"/>
      <c r="O19" s="644"/>
      <c r="P19" s="644"/>
      <c r="Q19" s="644"/>
      <c r="R19" s="644"/>
      <c r="S19" s="644"/>
      <c r="T19" s="644">
        <f ca="1">운영비용!J7/10^8</f>
        <v>25.805264812250943</v>
      </c>
      <c r="U19" s="644"/>
      <c r="V19" s="644"/>
      <c r="W19" s="644">
        <f ca="1">SUM(T6:W6)</f>
        <v>204.74169147021698</v>
      </c>
      <c r="X19" s="644">
        <f ca="1">운영비용!K7/10^8</f>
        <v>25.952445912458085</v>
      </c>
      <c r="Y19" s="644"/>
      <c r="Z19" s="644"/>
      <c r="AA19" s="644">
        <f ca="1">SUM(X6:AA6)</f>
        <v>208.79578871252701</v>
      </c>
      <c r="AB19" s="644">
        <f ca="1">운영비용!L7/10^8</f>
        <v>27.302976320907362</v>
      </c>
      <c r="AC19" s="644">
        <f ca="1">SUM(AB6:AC6)</f>
        <v>105.91008227952038</v>
      </c>
      <c r="AE19" s="644">
        <f ca="1">SUM(AB6:AC6,AD7:AE7)</f>
        <v>195.74685659721041</v>
      </c>
      <c r="AF19" s="644"/>
      <c r="AG19" s="644"/>
      <c r="AH19" s="644"/>
      <c r="AI19" s="644"/>
      <c r="AJ19" s="644"/>
      <c r="AK19" s="644"/>
      <c r="AL19" s="644"/>
      <c r="AM19" s="644"/>
      <c r="AN19" s="644"/>
      <c r="AO19" s="644"/>
      <c r="AP19" s="644"/>
      <c r="AQ19" s="644"/>
      <c r="AR19" s="644"/>
      <c r="AS19" s="644"/>
      <c r="AT19" s="644"/>
      <c r="AU19" s="644"/>
      <c r="AV19" s="644"/>
      <c r="AW19" s="644"/>
      <c r="AX19" s="644"/>
      <c r="AY19" s="644"/>
      <c r="AZ19" s="644"/>
      <c r="BA19" s="644"/>
      <c r="BB19" s="644"/>
      <c r="BC19" s="644"/>
      <c r="BD19" s="644"/>
      <c r="BE19" s="644"/>
      <c r="BF19" s="644"/>
      <c r="BG19" s="644"/>
      <c r="BH19" s="644"/>
      <c r="BI19" s="644"/>
      <c r="BJ19" s="644"/>
      <c r="BK19" s="644"/>
      <c r="BL19" s="644"/>
      <c r="BM19" s="644"/>
      <c r="BN19" s="644"/>
      <c r="BO19" s="644"/>
      <c r="BP19" s="644"/>
      <c r="BQ19" s="644"/>
      <c r="BR19" s="644"/>
      <c r="BS19" s="644"/>
      <c r="BT19" s="644"/>
      <c r="BU19" s="644"/>
      <c r="BV19" s="644"/>
      <c r="BW19" s="644"/>
      <c r="BX19" s="644"/>
      <c r="BY19" s="644"/>
      <c r="BZ19" s="644"/>
      <c r="CA19" s="644"/>
      <c r="CB19" s="644"/>
      <c r="CC19" s="644"/>
      <c r="CD19" s="644"/>
      <c r="CE19" s="644"/>
      <c r="CF19" s="644"/>
      <c r="CG19" s="644"/>
      <c r="CH19" s="644"/>
      <c r="CI19" s="644"/>
      <c r="CJ19" s="644"/>
      <c r="CK19" s="644"/>
      <c r="CL19" s="644"/>
      <c r="CM19" s="644"/>
      <c r="CN19" s="644"/>
      <c r="CO19" s="644"/>
      <c r="CP19" s="644"/>
      <c r="CQ19" s="644"/>
      <c r="CR19" s="644"/>
      <c r="CS19" s="644"/>
      <c r="CT19" s="644"/>
      <c r="CU19" s="644"/>
      <c r="CV19" s="644"/>
      <c r="CW19" s="644"/>
      <c r="CX19" s="644"/>
      <c r="CY19" s="644"/>
      <c r="CZ19" s="644"/>
      <c r="DA19" s="644"/>
      <c r="DB19" s="644"/>
      <c r="DC19" s="644"/>
      <c r="DD19" s="644"/>
      <c r="DE19" s="644"/>
      <c r="DF19" s="644"/>
      <c r="DG19" s="644"/>
      <c r="DH19" s="644"/>
      <c r="DI19" s="644"/>
      <c r="DJ19" s="644"/>
      <c r="DK19" s="644"/>
      <c r="DL19" s="644"/>
      <c r="DM19" s="644"/>
      <c r="DN19" s="644"/>
      <c r="DO19" s="644"/>
      <c r="DP19" s="644"/>
      <c r="DQ19" s="644"/>
      <c r="DR19" s="644"/>
      <c r="DS19" s="644"/>
      <c r="DT19" s="644"/>
      <c r="DU19" s="644"/>
      <c r="DV19" s="644"/>
      <c r="DW19" s="644"/>
      <c r="DX19" s="644"/>
      <c r="DY19" s="644"/>
      <c r="DZ19" s="644"/>
      <c r="EA19" s="644"/>
      <c r="EB19" s="644"/>
      <c r="EC19" s="644"/>
      <c r="ED19" s="644"/>
      <c r="EE19" s="644"/>
      <c r="EF19" s="644"/>
      <c r="EG19" s="644"/>
      <c r="EH19" s="644"/>
      <c r="EI19" s="644"/>
      <c r="EJ19" s="644"/>
      <c r="EK19" s="644"/>
      <c r="EL19" s="644"/>
      <c r="EM19" s="644"/>
      <c r="EN19" s="644"/>
      <c r="EO19" s="644"/>
      <c r="EP19" s="644"/>
      <c r="EQ19" s="644"/>
      <c r="ER19" s="644"/>
      <c r="ES19" s="644"/>
      <c r="ET19" s="644"/>
      <c r="EU19" s="644"/>
      <c r="EV19" s="644"/>
      <c r="EW19" s="644"/>
      <c r="EX19" s="644"/>
      <c r="EY19" s="644"/>
      <c r="EZ19" s="644"/>
      <c r="FA19" s="644"/>
      <c r="FB19" s="644"/>
      <c r="FC19" s="644"/>
      <c r="FD19" s="644"/>
      <c r="FE19" s="644"/>
      <c r="FF19" s="644"/>
      <c r="FG19" s="644"/>
      <c r="FH19" s="644"/>
      <c r="FI19" s="644"/>
      <c r="FJ19" s="644"/>
      <c r="FK19" s="644"/>
      <c r="FL19" s="644"/>
      <c r="FM19" s="644"/>
      <c r="FN19" s="644"/>
      <c r="FO19" s="644"/>
      <c r="FP19" s="644"/>
      <c r="FQ19" s="644"/>
      <c r="FR19" s="644"/>
      <c r="FS19" s="644"/>
      <c r="FT19" s="644"/>
      <c r="FU19" s="644"/>
      <c r="FV19" s="644"/>
      <c r="FW19" s="644"/>
      <c r="FX19" s="644"/>
      <c r="FY19" s="644"/>
      <c r="FZ19" s="644"/>
      <c r="GA19" s="644"/>
      <c r="GB19" s="644"/>
      <c r="GC19" s="644"/>
      <c r="GD19" s="644"/>
      <c r="GE19" s="644"/>
    </row>
    <row r="20" spans="1:187" ht="17.100000000000001" customHeight="1">
      <c r="A20" s="493"/>
      <c r="B20" s="1227" t="s">
        <v>1231</v>
      </c>
      <c r="C20" s="937"/>
      <c r="D20" s="718"/>
      <c r="E20" s="718"/>
      <c r="F20" s="766" t="str">
        <f>F3</f>
        <v>sum</v>
      </c>
      <c r="G20" s="4756"/>
      <c r="H20" s="766">
        <f>매출!H58</f>
        <v>2019</v>
      </c>
      <c r="I20" s="766">
        <f>H20+1</f>
        <v>2020</v>
      </c>
      <c r="J20" s="766">
        <f t="shared" ref="J20:AZ20" si="19">I20+1</f>
        <v>2021</v>
      </c>
      <c r="K20" s="766">
        <f t="shared" si="19"/>
        <v>2022</v>
      </c>
      <c r="L20" s="766">
        <f t="shared" si="19"/>
        <v>2023</v>
      </c>
      <c r="M20" s="766">
        <f t="shared" si="19"/>
        <v>2024</v>
      </c>
      <c r="N20" s="766">
        <f t="shared" si="19"/>
        <v>2025</v>
      </c>
      <c r="O20" s="766">
        <f t="shared" si="19"/>
        <v>2026</v>
      </c>
      <c r="P20" s="766">
        <f t="shared" si="19"/>
        <v>2027</v>
      </c>
      <c r="Q20" s="766">
        <f t="shared" si="19"/>
        <v>2028</v>
      </c>
      <c r="R20" s="766">
        <f t="shared" si="19"/>
        <v>2029</v>
      </c>
      <c r="S20" s="766">
        <f t="shared" si="19"/>
        <v>2030</v>
      </c>
      <c r="T20" s="766">
        <f t="shared" si="19"/>
        <v>2031</v>
      </c>
      <c r="U20" s="766">
        <f t="shared" si="19"/>
        <v>2032</v>
      </c>
      <c r="V20" s="766">
        <f t="shared" si="19"/>
        <v>2033</v>
      </c>
      <c r="W20" s="766">
        <f t="shared" si="19"/>
        <v>2034</v>
      </c>
      <c r="X20" s="766">
        <f t="shared" si="19"/>
        <v>2035</v>
      </c>
      <c r="Y20" s="766">
        <f t="shared" si="19"/>
        <v>2036</v>
      </c>
      <c r="Z20" s="766">
        <f t="shared" si="19"/>
        <v>2037</v>
      </c>
      <c r="AA20" s="766">
        <f t="shared" si="19"/>
        <v>2038</v>
      </c>
      <c r="AB20" s="766">
        <f t="shared" si="19"/>
        <v>2039</v>
      </c>
      <c r="AC20" s="766">
        <f t="shared" si="19"/>
        <v>2040</v>
      </c>
      <c r="AD20" s="766">
        <f t="shared" si="19"/>
        <v>2041</v>
      </c>
      <c r="AE20" s="766">
        <f t="shared" si="19"/>
        <v>2042</v>
      </c>
      <c r="AF20" s="766">
        <f t="shared" si="19"/>
        <v>2043</v>
      </c>
      <c r="AG20" s="766">
        <f t="shared" si="19"/>
        <v>2044</v>
      </c>
      <c r="AH20" s="766">
        <f t="shared" si="19"/>
        <v>2045</v>
      </c>
      <c r="AI20" s="766">
        <f t="shared" si="19"/>
        <v>2046</v>
      </c>
      <c r="AJ20" s="766">
        <f t="shared" si="19"/>
        <v>2047</v>
      </c>
      <c r="AK20" s="766">
        <f t="shared" si="19"/>
        <v>2048</v>
      </c>
      <c r="AL20" s="766">
        <f t="shared" si="19"/>
        <v>2049</v>
      </c>
      <c r="AM20" s="766">
        <f t="shared" si="19"/>
        <v>2050</v>
      </c>
      <c r="AN20" s="766">
        <f t="shared" si="19"/>
        <v>2051</v>
      </c>
      <c r="AO20" s="766">
        <f t="shared" si="19"/>
        <v>2052</v>
      </c>
      <c r="AP20" s="766">
        <f t="shared" si="19"/>
        <v>2053</v>
      </c>
      <c r="AQ20" s="766">
        <f t="shared" si="19"/>
        <v>2054</v>
      </c>
      <c r="AR20" s="766">
        <f t="shared" si="19"/>
        <v>2055</v>
      </c>
      <c r="AS20" s="766">
        <f t="shared" si="19"/>
        <v>2056</v>
      </c>
      <c r="AT20" s="766">
        <f t="shared" si="19"/>
        <v>2057</v>
      </c>
      <c r="AU20" s="766">
        <f t="shared" si="19"/>
        <v>2058</v>
      </c>
      <c r="AV20" s="766">
        <f t="shared" si="19"/>
        <v>2059</v>
      </c>
      <c r="AW20" s="766">
        <f t="shared" si="19"/>
        <v>2060</v>
      </c>
      <c r="AX20" s="766">
        <f t="shared" si="19"/>
        <v>2061</v>
      </c>
      <c r="AY20" s="766">
        <f t="shared" si="19"/>
        <v>2062</v>
      </c>
      <c r="AZ20" s="766">
        <f t="shared" si="19"/>
        <v>2063</v>
      </c>
      <c r="BA20" s="493"/>
      <c r="BB20" s="493"/>
      <c r="BC20" s="493"/>
      <c r="BD20" s="493"/>
      <c r="BE20" s="493"/>
      <c r="BF20" s="493"/>
      <c r="BG20" s="493"/>
      <c r="BH20" s="493"/>
      <c r="BI20" s="493"/>
      <c r="BJ20" s="493"/>
      <c r="BK20" s="493"/>
      <c r="BL20" s="493"/>
      <c r="BM20" s="493"/>
      <c r="BN20" s="493"/>
      <c r="BO20" s="493"/>
      <c r="BP20" s="493"/>
      <c r="BQ20" s="493"/>
      <c r="BR20" s="493"/>
      <c r="BS20" s="493"/>
      <c r="BT20" s="493"/>
      <c r="BU20" s="493"/>
      <c r="BV20" s="493"/>
      <c r="BW20" s="493"/>
      <c r="BX20" s="493"/>
      <c r="BY20" s="493"/>
      <c r="BZ20" s="493"/>
      <c r="CA20" s="493"/>
      <c r="CB20" s="493"/>
      <c r="CC20" s="493"/>
      <c r="CD20" s="493"/>
      <c r="CE20" s="493"/>
      <c r="CF20" s="493"/>
      <c r="CG20" s="493"/>
      <c r="CH20" s="493"/>
      <c r="CI20" s="493"/>
      <c r="CJ20" s="493"/>
      <c r="CK20" s="493"/>
      <c r="CL20" s="493"/>
      <c r="CM20" s="493"/>
      <c r="CN20" s="493"/>
      <c r="CO20" s="493"/>
      <c r="CP20" s="493"/>
      <c r="CQ20" s="493"/>
      <c r="CR20" s="493"/>
      <c r="CS20" s="493"/>
      <c r="CT20" s="493"/>
      <c r="CU20" s="493"/>
      <c r="CV20" s="493"/>
      <c r="CW20" s="493"/>
      <c r="CX20" s="493"/>
      <c r="CY20" s="493"/>
      <c r="CZ20" s="493"/>
      <c r="DA20" s="493"/>
      <c r="DB20" s="493"/>
      <c r="DC20" s="493"/>
      <c r="DD20" s="493"/>
      <c r="DE20" s="493"/>
      <c r="DF20" s="493"/>
      <c r="DG20" s="493"/>
      <c r="DH20" s="493"/>
      <c r="DI20" s="493"/>
      <c r="DJ20" s="493"/>
      <c r="DK20" s="493"/>
      <c r="DL20" s="493"/>
      <c r="DM20" s="493"/>
      <c r="DN20" s="493"/>
      <c r="DO20" s="493"/>
      <c r="DP20" s="493"/>
      <c r="DQ20" s="493"/>
      <c r="DR20" s="493"/>
      <c r="DS20" s="493"/>
      <c r="DT20" s="493"/>
      <c r="DU20" s="493"/>
      <c r="DV20" s="493"/>
      <c r="DW20" s="493"/>
      <c r="DX20" s="493"/>
      <c r="DY20" s="493"/>
      <c r="DZ20" s="493"/>
      <c r="EA20" s="493"/>
      <c r="EB20" s="493"/>
      <c r="EC20" s="493"/>
      <c r="ED20" s="493"/>
      <c r="EE20" s="493"/>
      <c r="EF20" s="493"/>
      <c r="EG20" s="493"/>
      <c r="EH20" s="493"/>
      <c r="EI20" s="493"/>
      <c r="EJ20" s="493"/>
      <c r="EK20" s="493"/>
      <c r="EL20" s="493"/>
      <c r="EM20" s="493"/>
      <c r="EN20" s="493"/>
      <c r="EO20" s="493"/>
      <c r="EP20" s="493"/>
      <c r="EQ20" s="493"/>
      <c r="ER20" s="493"/>
      <c r="ES20" s="493"/>
      <c r="ET20" s="493"/>
      <c r="EU20" s="493"/>
      <c r="EV20" s="493"/>
      <c r="EW20" s="493"/>
      <c r="EX20" s="493"/>
      <c r="EY20" s="493"/>
      <c r="EZ20" s="493"/>
      <c r="FA20" s="493"/>
      <c r="FB20" s="493"/>
      <c r="FC20" s="493"/>
      <c r="FD20" s="493"/>
      <c r="FE20" s="493"/>
      <c r="FF20" s="493"/>
      <c r="FG20" s="493"/>
      <c r="FH20" s="493"/>
      <c r="FI20" s="493"/>
      <c r="FJ20" s="493"/>
      <c r="FK20" s="493"/>
      <c r="FL20" s="493"/>
      <c r="FM20" s="493"/>
      <c r="FN20" s="493"/>
      <c r="FO20" s="493"/>
      <c r="FP20" s="493"/>
      <c r="FQ20" s="493"/>
      <c r="FR20" s="493"/>
      <c r="FS20" s="493"/>
      <c r="FT20" s="493"/>
      <c r="FU20" s="493"/>
      <c r="FV20" s="493"/>
      <c r="FW20" s="493"/>
      <c r="FX20" s="493"/>
      <c r="FY20" s="493"/>
      <c r="FZ20" s="493"/>
      <c r="GA20" s="493"/>
      <c r="GB20" s="493"/>
      <c r="GC20" s="493"/>
      <c r="GD20" s="493"/>
      <c r="GE20" s="493"/>
    </row>
    <row r="21" spans="1:187" ht="17.100000000000001" customHeight="1">
      <c r="B21" s="760" t="str">
        <f>B5</f>
        <v>1) 운영비용</v>
      </c>
      <c r="C21" s="1228"/>
      <c r="D21" s="1229"/>
      <c r="E21" s="1230"/>
      <c r="F21" s="944">
        <f ca="1">SUM(J21:AZ21)</f>
        <v>10773.891587725026</v>
      </c>
      <c r="G21" s="944"/>
      <c r="H21" s="1231">
        <f t="shared" ref="H21:AZ21" si="20">SUMIF($3:$3,H$20,5:5)</f>
        <v>196.06404756999999</v>
      </c>
      <c r="I21" s="945">
        <f t="shared" si="20"/>
        <v>207.44856842999999</v>
      </c>
      <c r="J21" s="946">
        <f t="shared" si="20"/>
        <v>201.82958760921949</v>
      </c>
      <c r="K21" s="946">
        <f t="shared" ca="1" si="20"/>
        <v>204.74169147021698</v>
      </c>
      <c r="L21" s="946">
        <f t="shared" ca="1" si="20"/>
        <v>208.79578871252701</v>
      </c>
      <c r="M21" s="946">
        <f t="shared" ca="1" si="20"/>
        <v>211.82016455904076</v>
      </c>
      <c r="N21" s="946">
        <f t="shared" ca="1" si="20"/>
        <v>215.76781183631485</v>
      </c>
      <c r="O21" s="946">
        <f t="shared" ca="1" si="20"/>
        <v>218.20411225842153</v>
      </c>
      <c r="P21" s="946">
        <f t="shared" ca="1" si="20"/>
        <v>222.58931894341774</v>
      </c>
      <c r="Q21" s="946">
        <f t="shared" ca="1" si="20"/>
        <v>229.17060771566105</v>
      </c>
      <c r="R21" s="946">
        <f t="shared" ca="1" si="20"/>
        <v>234.83641789365353</v>
      </c>
      <c r="S21" s="946">
        <f t="shared" ca="1" si="20"/>
        <v>238.06183861730617</v>
      </c>
      <c r="T21" s="946">
        <f t="shared" ca="1" si="20"/>
        <v>242.27932279896888</v>
      </c>
      <c r="U21" s="946">
        <f t="shared" ca="1" si="20"/>
        <v>246.45949208584727</v>
      </c>
      <c r="V21" s="946">
        <f t="shared" ca="1" si="20"/>
        <v>251.22741712151822</v>
      </c>
      <c r="W21" s="946">
        <f t="shared" ca="1" si="20"/>
        <v>253.41902539256319</v>
      </c>
      <c r="X21" s="946">
        <f t="shared" ca="1" si="20"/>
        <v>257.78866531306249</v>
      </c>
      <c r="Y21" s="946">
        <f t="shared" ca="1" si="20"/>
        <v>260.3830283682837</v>
      </c>
      <c r="Z21" s="946">
        <f t="shared" ca="1" si="20"/>
        <v>264.93440291912833</v>
      </c>
      <c r="AA21" s="946">
        <f t="shared" ca="1" si="20"/>
        <v>267.6811749696638</v>
      </c>
      <c r="AB21" s="946">
        <f t="shared" ca="1" si="20"/>
        <v>272.47313996075872</v>
      </c>
      <c r="AC21" s="946">
        <f t="shared" ca="1" si="20"/>
        <v>275.61611440473285</v>
      </c>
      <c r="AD21" s="946">
        <f t="shared" ca="1" si="20"/>
        <v>280.64380124739364</v>
      </c>
      <c r="AE21" s="946">
        <f t="shared" ca="1" si="20"/>
        <v>283.51749506335557</v>
      </c>
      <c r="AF21" s="946">
        <f t="shared" ca="1" si="20"/>
        <v>288.47098636629835</v>
      </c>
      <c r="AG21" s="946">
        <f t="shared" ca="1" si="20"/>
        <v>291.38966866147803</v>
      </c>
      <c r="AH21" s="946">
        <f t="shared" ca="1" si="20"/>
        <v>296.91887180534968</v>
      </c>
      <c r="AI21" s="946">
        <f t="shared" ca="1" si="20"/>
        <v>299.54505233739025</v>
      </c>
      <c r="AJ21" s="946">
        <f t="shared" ca="1" si="20"/>
        <v>304.93136623618136</v>
      </c>
      <c r="AK21" s="946">
        <f t="shared" ca="1" si="20"/>
        <v>314.07366901924667</v>
      </c>
      <c r="AL21" s="946">
        <f t="shared" ca="1" si="20"/>
        <v>321.25072743110655</v>
      </c>
      <c r="AM21" s="946">
        <f t="shared" ca="1" si="20"/>
        <v>325.274904057779</v>
      </c>
      <c r="AN21" s="946">
        <f t="shared" ca="1" si="20"/>
        <v>331.46835623880878</v>
      </c>
      <c r="AO21" s="946">
        <f t="shared" ca="1" si="20"/>
        <v>336.66434618053489</v>
      </c>
      <c r="AP21" s="946">
        <f t="shared" ca="1" si="20"/>
        <v>343.08950414056147</v>
      </c>
      <c r="AQ21" s="946">
        <f t="shared" ca="1" si="20"/>
        <v>346.30270202470064</v>
      </c>
      <c r="AR21" s="946">
        <f t="shared" ca="1" si="20"/>
        <v>352.15186437220245</v>
      </c>
      <c r="AS21" s="946">
        <f t="shared" ca="1" si="20"/>
        <v>356.13290393736116</v>
      </c>
      <c r="AT21" s="946">
        <f t="shared" ca="1" si="20"/>
        <v>362.77300570242579</v>
      </c>
      <c r="AU21" s="946">
        <f t="shared" ca="1" si="20"/>
        <v>372.14034954837985</v>
      </c>
      <c r="AV21" s="946">
        <f t="shared" ca="1" si="20"/>
        <v>189.07289040416495</v>
      </c>
      <c r="AW21" s="946">
        <f t="shared" si="20"/>
        <v>0</v>
      </c>
      <c r="AX21" s="946">
        <f t="shared" si="20"/>
        <v>0</v>
      </c>
      <c r="AY21" s="946">
        <f t="shared" si="20"/>
        <v>0</v>
      </c>
      <c r="AZ21" s="946">
        <f t="shared" si="20"/>
        <v>0</v>
      </c>
    </row>
    <row r="22" spans="1:187" ht="17.100000000000001" customHeight="1">
      <c r="B22" s="317" t="str">
        <f>B7</f>
        <v>운영비용(최소운영위탁수수료125%)</v>
      </c>
      <c r="C22" s="489"/>
      <c r="D22" s="1232"/>
      <c r="E22" s="1233"/>
      <c r="F22" s="948">
        <f t="shared" ref="F22:F29" ca="1" si="21">SUM(J22:AZ22)</f>
        <v>9736.6723186777326</v>
      </c>
      <c r="G22" s="948"/>
      <c r="H22" s="947">
        <f t="shared" ref="H22:AZ22" si="22">SUMIF($3:$3,H$20,7:7)</f>
        <v>0</v>
      </c>
      <c r="I22" s="947">
        <f t="shared" si="22"/>
        <v>0</v>
      </c>
      <c r="J22" s="948">
        <f t="shared" si="22"/>
        <v>0</v>
      </c>
      <c r="K22" s="948">
        <f t="shared" si="22"/>
        <v>0</v>
      </c>
      <c r="L22" s="948">
        <f t="shared" si="22"/>
        <v>0</v>
      </c>
      <c r="M22" s="948">
        <f t="shared" si="22"/>
        <v>89.836774317690015</v>
      </c>
      <c r="N22" s="948">
        <f t="shared" si="22"/>
        <v>158.7148292361889</v>
      </c>
      <c r="O22" s="948">
        <f t="shared" si="22"/>
        <v>156.03083394089788</v>
      </c>
      <c r="P22" s="948">
        <f t="shared" si="22"/>
        <v>155.51731562938846</v>
      </c>
      <c r="Q22" s="948">
        <f t="shared" si="22"/>
        <v>158.60335048300706</v>
      </c>
      <c r="R22" s="948">
        <f t="shared" ca="1" si="22"/>
        <v>191.83312834400698</v>
      </c>
      <c r="S22" s="948">
        <f t="shared" ca="1" si="22"/>
        <v>238.06183861730617</v>
      </c>
      <c r="T22" s="948">
        <f t="shared" ca="1" si="22"/>
        <v>242.27932279896888</v>
      </c>
      <c r="U22" s="948">
        <f t="shared" ca="1" si="22"/>
        <v>246.45949208584727</v>
      </c>
      <c r="V22" s="948">
        <f t="shared" ca="1" si="22"/>
        <v>251.22741712151822</v>
      </c>
      <c r="W22" s="948">
        <f t="shared" ca="1" si="22"/>
        <v>253.41902539256319</v>
      </c>
      <c r="X22" s="948">
        <f t="shared" ca="1" si="22"/>
        <v>257.78866531306249</v>
      </c>
      <c r="Y22" s="948">
        <f t="shared" ca="1" si="22"/>
        <v>260.3830283682837</v>
      </c>
      <c r="Z22" s="948">
        <f t="shared" ca="1" si="22"/>
        <v>264.93440291912833</v>
      </c>
      <c r="AA22" s="948">
        <f t="shared" ca="1" si="22"/>
        <v>267.6811749696638</v>
      </c>
      <c r="AB22" s="948">
        <f t="shared" ca="1" si="22"/>
        <v>272.47313996075872</v>
      </c>
      <c r="AC22" s="948">
        <f t="shared" ca="1" si="22"/>
        <v>275.61611440473285</v>
      </c>
      <c r="AD22" s="948">
        <f t="shared" ca="1" si="22"/>
        <v>280.64380124739364</v>
      </c>
      <c r="AE22" s="948">
        <f t="shared" ca="1" si="22"/>
        <v>283.51749506335557</v>
      </c>
      <c r="AF22" s="948">
        <f t="shared" ca="1" si="22"/>
        <v>288.47098636629835</v>
      </c>
      <c r="AG22" s="948">
        <f t="shared" ca="1" si="22"/>
        <v>291.38966866147803</v>
      </c>
      <c r="AH22" s="948">
        <f t="shared" ca="1" si="22"/>
        <v>296.91887180534968</v>
      </c>
      <c r="AI22" s="948">
        <f t="shared" ca="1" si="22"/>
        <v>299.54505233739025</v>
      </c>
      <c r="AJ22" s="948">
        <f t="shared" ca="1" si="22"/>
        <v>304.93136623618136</v>
      </c>
      <c r="AK22" s="948">
        <f t="shared" ca="1" si="22"/>
        <v>314.07366901924667</v>
      </c>
      <c r="AL22" s="948">
        <f t="shared" ca="1" si="22"/>
        <v>321.25072743110655</v>
      </c>
      <c r="AM22" s="948">
        <f t="shared" ca="1" si="22"/>
        <v>325.274904057779</v>
      </c>
      <c r="AN22" s="948">
        <f t="shared" ca="1" si="22"/>
        <v>331.46835623880878</v>
      </c>
      <c r="AO22" s="948">
        <f t="shared" ca="1" si="22"/>
        <v>336.66434618053489</v>
      </c>
      <c r="AP22" s="948">
        <f t="shared" ca="1" si="22"/>
        <v>343.08950414056147</v>
      </c>
      <c r="AQ22" s="948">
        <f t="shared" ca="1" si="22"/>
        <v>346.30270202470064</v>
      </c>
      <c r="AR22" s="948">
        <f t="shared" ca="1" si="22"/>
        <v>352.15186437220245</v>
      </c>
      <c r="AS22" s="948">
        <f t="shared" ca="1" si="22"/>
        <v>356.13290393736116</v>
      </c>
      <c r="AT22" s="948">
        <f t="shared" ca="1" si="22"/>
        <v>362.77300570242579</v>
      </c>
      <c r="AU22" s="948">
        <f t="shared" ca="1" si="22"/>
        <v>372.14034954837985</v>
      </c>
      <c r="AV22" s="948">
        <f t="shared" ca="1" si="22"/>
        <v>189.07289040416495</v>
      </c>
      <c r="AW22" s="948">
        <f t="shared" si="22"/>
        <v>0</v>
      </c>
      <c r="AX22" s="948">
        <f t="shared" si="22"/>
        <v>0</v>
      </c>
      <c r="AY22" s="948">
        <f t="shared" si="22"/>
        <v>0</v>
      </c>
      <c r="AZ22" s="948">
        <f t="shared" si="22"/>
        <v>0</v>
      </c>
    </row>
    <row r="23" spans="1:187" ht="17.100000000000001" customHeight="1">
      <c r="B23" s="341" t="str">
        <f>B8</f>
        <v>3) 유지비</v>
      </c>
      <c r="C23" s="1212"/>
      <c r="D23" s="489"/>
      <c r="E23" s="1233"/>
      <c r="F23" s="767">
        <f t="shared" ca="1" si="21"/>
        <v>41.97485677596859</v>
      </c>
      <c r="G23" s="767"/>
      <c r="H23" s="947">
        <f t="shared" ref="H23:AZ23" ca="1" si="23">SUMIF($3:$3,H$20,8:8)</f>
        <v>0</v>
      </c>
      <c r="I23" s="947">
        <f t="shared" ca="1" si="23"/>
        <v>0</v>
      </c>
      <c r="J23" s="948">
        <f t="shared" ca="1" si="23"/>
        <v>0</v>
      </c>
      <c r="K23" s="948">
        <f t="shared" ca="1" si="23"/>
        <v>0</v>
      </c>
      <c r="L23" s="948">
        <f t="shared" ca="1" si="23"/>
        <v>0</v>
      </c>
      <c r="M23" s="948">
        <f t="shared" ca="1" si="23"/>
        <v>0</v>
      </c>
      <c r="N23" s="948">
        <f t="shared" ca="1" si="23"/>
        <v>0</v>
      </c>
      <c r="O23" s="948">
        <f t="shared" ca="1" si="23"/>
        <v>0</v>
      </c>
      <c r="P23" s="948">
        <f t="shared" ca="1" si="23"/>
        <v>2.1230403012019998</v>
      </c>
      <c r="Q23" s="948">
        <f t="shared" ca="1" si="23"/>
        <v>0</v>
      </c>
      <c r="R23" s="948">
        <f t="shared" ca="1" si="23"/>
        <v>4.9378265776640431</v>
      </c>
      <c r="S23" s="948">
        <f t="shared" ca="1" si="23"/>
        <v>0</v>
      </c>
      <c r="T23" s="948">
        <f t="shared" ca="1" si="23"/>
        <v>2.6510931009868908</v>
      </c>
      <c r="U23" s="948">
        <f t="shared" ca="1" si="23"/>
        <v>0</v>
      </c>
      <c r="V23" s="948">
        <f t="shared" ca="1" si="23"/>
        <v>0</v>
      </c>
      <c r="W23" s="948">
        <f t="shared" ca="1" si="23"/>
        <v>0</v>
      </c>
      <c r="X23" s="948">
        <f t="shared" ca="1" si="23"/>
        <v>3.4484226397128714</v>
      </c>
      <c r="Y23" s="948">
        <f t="shared" ca="1" si="23"/>
        <v>0</v>
      </c>
      <c r="Z23" s="948">
        <f t="shared" ca="1" si="23"/>
        <v>0</v>
      </c>
      <c r="AA23" s="948">
        <f t="shared" ca="1" si="23"/>
        <v>2.8423306352950455</v>
      </c>
      <c r="AB23" s="948">
        <f t="shared" ca="1" si="23"/>
        <v>5.4544324891311904</v>
      </c>
      <c r="AC23" s="948">
        <f t="shared" ca="1" si="23"/>
        <v>0</v>
      </c>
      <c r="AD23" s="948">
        <f t="shared" ca="1" si="23"/>
        <v>0</v>
      </c>
      <c r="AE23" s="948">
        <f t="shared" ca="1" si="23"/>
        <v>0</v>
      </c>
      <c r="AF23" s="948">
        <f t="shared" ca="1" si="23"/>
        <v>0</v>
      </c>
      <c r="AG23" s="948">
        <f t="shared" ca="1" si="23"/>
        <v>0</v>
      </c>
      <c r="AH23" s="948">
        <f t="shared" ca="1" si="23"/>
        <v>3.0473631564765959</v>
      </c>
      <c r="AI23" s="948">
        <f t="shared" ca="1" si="23"/>
        <v>0</v>
      </c>
      <c r="AJ23" s="948">
        <f t="shared" ca="1" si="23"/>
        <v>3.8857689449022192</v>
      </c>
      <c r="AK23" s="948">
        <f t="shared" ca="1" si="23"/>
        <v>0</v>
      </c>
      <c r="AL23" s="948">
        <f t="shared" ca="1" si="23"/>
        <v>6.0250868090560301</v>
      </c>
      <c r="AM23" s="948">
        <f t="shared" ca="1" si="23"/>
        <v>0</v>
      </c>
      <c r="AN23" s="948">
        <f t="shared" ca="1" si="23"/>
        <v>0</v>
      </c>
      <c r="AO23" s="948">
        <f t="shared" ca="1" si="23"/>
        <v>3.2671857707669658</v>
      </c>
      <c r="AP23" s="948">
        <f t="shared" ca="1" si="23"/>
        <v>0</v>
      </c>
      <c r="AQ23" s="948">
        <f t="shared" ca="1" si="23"/>
        <v>0</v>
      </c>
      <c r="AR23" s="948">
        <f t="shared" ca="1" si="23"/>
        <v>0</v>
      </c>
      <c r="AS23" s="948">
        <f t="shared" ca="1" si="23"/>
        <v>0</v>
      </c>
      <c r="AT23" s="948">
        <f t="shared" ca="1" si="23"/>
        <v>4.2923063507747434</v>
      </c>
      <c r="AU23" s="948">
        <f t="shared" ca="1" si="23"/>
        <v>0</v>
      </c>
      <c r="AV23" s="948">
        <f t="shared" ca="1" si="23"/>
        <v>0</v>
      </c>
      <c r="AW23" s="948">
        <f t="shared" ca="1" si="23"/>
        <v>0</v>
      </c>
      <c r="AX23" s="948">
        <f t="shared" ca="1" si="23"/>
        <v>0</v>
      </c>
      <c r="AY23" s="948">
        <f t="shared" ca="1" si="23"/>
        <v>0</v>
      </c>
      <c r="AZ23" s="948">
        <f t="shared" ca="1" si="23"/>
        <v>0</v>
      </c>
    </row>
    <row r="24" spans="1:187" ht="17.100000000000001" customHeight="1">
      <c r="B24" s="341" t="str">
        <f>B9</f>
        <v>4) 기타 (사업비 정산 등)</v>
      </c>
      <c r="C24" s="1212"/>
      <c r="D24" s="489"/>
      <c r="E24" s="1233"/>
      <c r="F24" s="767">
        <f t="shared" si="21"/>
        <v>-4.4091627181285329</v>
      </c>
      <c r="G24" s="767"/>
      <c r="H24" s="947">
        <f t="shared" ref="H24:AZ24" si="24">SUMIF($3:$3,H$20,9:9)</f>
        <v>-2.0239921000901333</v>
      </c>
      <c r="I24" s="947">
        <f t="shared" si="24"/>
        <v>4.211335792842033</v>
      </c>
      <c r="J24" s="948">
        <f t="shared" si="24"/>
        <v>-4.8091627181285332</v>
      </c>
      <c r="K24" s="1675">
        <f t="shared" si="24"/>
        <v>0.4</v>
      </c>
      <c r="L24" s="948">
        <f t="shared" si="24"/>
        <v>0</v>
      </c>
      <c r="M24" s="948">
        <f t="shared" si="24"/>
        <v>0</v>
      </c>
      <c r="N24" s="948">
        <f t="shared" si="24"/>
        <v>0</v>
      </c>
      <c r="O24" s="948">
        <f t="shared" si="24"/>
        <v>0</v>
      </c>
      <c r="P24" s="948">
        <f t="shared" si="24"/>
        <v>0</v>
      </c>
      <c r="Q24" s="948">
        <f t="shared" si="24"/>
        <v>0</v>
      </c>
      <c r="R24" s="948">
        <f t="shared" si="24"/>
        <v>0</v>
      </c>
      <c r="S24" s="948">
        <f t="shared" si="24"/>
        <v>0</v>
      </c>
      <c r="T24" s="948">
        <f t="shared" si="24"/>
        <v>0</v>
      </c>
      <c r="U24" s="948">
        <f t="shared" si="24"/>
        <v>0</v>
      </c>
      <c r="V24" s="948">
        <f t="shared" si="24"/>
        <v>0</v>
      </c>
      <c r="W24" s="948">
        <f t="shared" si="24"/>
        <v>0</v>
      </c>
      <c r="X24" s="948">
        <f t="shared" si="24"/>
        <v>0</v>
      </c>
      <c r="Y24" s="948">
        <f t="shared" si="24"/>
        <v>0</v>
      </c>
      <c r="Z24" s="948">
        <f t="shared" si="24"/>
        <v>0</v>
      </c>
      <c r="AA24" s="948">
        <f t="shared" si="24"/>
        <v>0</v>
      </c>
      <c r="AB24" s="948">
        <f t="shared" si="24"/>
        <v>0</v>
      </c>
      <c r="AC24" s="948">
        <f t="shared" si="24"/>
        <v>0</v>
      </c>
      <c r="AD24" s="948">
        <f t="shared" si="24"/>
        <v>0</v>
      </c>
      <c r="AE24" s="948">
        <f t="shared" si="24"/>
        <v>0</v>
      </c>
      <c r="AF24" s="948">
        <f t="shared" si="24"/>
        <v>0</v>
      </c>
      <c r="AG24" s="948">
        <f t="shared" si="24"/>
        <v>0</v>
      </c>
      <c r="AH24" s="948">
        <f t="shared" si="24"/>
        <v>0</v>
      </c>
      <c r="AI24" s="948">
        <f t="shared" si="24"/>
        <v>0</v>
      </c>
      <c r="AJ24" s="948">
        <f t="shared" si="24"/>
        <v>0</v>
      </c>
      <c r="AK24" s="948">
        <f t="shared" si="24"/>
        <v>0</v>
      </c>
      <c r="AL24" s="948">
        <f t="shared" si="24"/>
        <v>0</v>
      </c>
      <c r="AM24" s="948">
        <f t="shared" si="24"/>
        <v>0</v>
      </c>
      <c r="AN24" s="948">
        <f t="shared" si="24"/>
        <v>0</v>
      </c>
      <c r="AO24" s="948">
        <f t="shared" si="24"/>
        <v>0</v>
      </c>
      <c r="AP24" s="948">
        <f t="shared" si="24"/>
        <v>0</v>
      </c>
      <c r="AQ24" s="948">
        <f t="shared" si="24"/>
        <v>0</v>
      </c>
      <c r="AR24" s="948">
        <f t="shared" si="24"/>
        <v>0</v>
      </c>
      <c r="AS24" s="948">
        <f t="shared" si="24"/>
        <v>0</v>
      </c>
      <c r="AT24" s="948">
        <f t="shared" si="24"/>
        <v>0</v>
      </c>
      <c r="AU24" s="948">
        <f t="shared" si="24"/>
        <v>0</v>
      </c>
      <c r="AV24" s="948">
        <f t="shared" si="24"/>
        <v>0</v>
      </c>
      <c r="AW24" s="948">
        <f t="shared" si="24"/>
        <v>0</v>
      </c>
      <c r="AX24" s="948">
        <f t="shared" si="24"/>
        <v>0</v>
      </c>
      <c r="AY24" s="948">
        <f t="shared" si="24"/>
        <v>0</v>
      </c>
      <c r="AZ24" s="948">
        <f t="shared" si="24"/>
        <v>0</v>
      </c>
    </row>
    <row r="25" spans="1:187" ht="17.100000000000001" customHeight="1">
      <c r="B25" s="341" t="str">
        <f>B10</f>
        <v>5) 대체비+보수비</v>
      </c>
      <c r="C25" s="1209"/>
      <c r="D25" s="1209"/>
      <c r="E25" s="1233"/>
      <c r="F25" s="767">
        <f t="shared" ca="1" si="21"/>
        <v>950.29425242390732</v>
      </c>
      <c r="G25" s="767"/>
      <c r="H25" s="947">
        <f t="shared" ref="H25:AZ25" si="25">SUMIF($3:$3,H$20,10:10)</f>
        <v>25.970720400000001</v>
      </c>
      <c r="I25" s="947">
        <f t="shared" si="25"/>
        <v>37.764212909999998</v>
      </c>
      <c r="J25" s="948">
        <f t="shared" si="25"/>
        <v>44.272211500000004</v>
      </c>
      <c r="K25" s="948">
        <f t="shared" si="25"/>
        <v>19.295000000000002</v>
      </c>
      <c r="L25" s="948">
        <f t="shared" ca="1" si="25"/>
        <v>0</v>
      </c>
      <c r="M25" s="948">
        <f t="shared" ca="1" si="25"/>
        <v>0</v>
      </c>
      <c r="N25" s="948">
        <f t="shared" ca="1" si="25"/>
        <v>3.1218120299999996</v>
      </c>
      <c r="O25" s="948">
        <f t="shared" ca="1" si="25"/>
        <v>4.950257335971</v>
      </c>
      <c r="P25" s="948">
        <f t="shared" ca="1" si="25"/>
        <v>9.1290732951685989</v>
      </c>
      <c r="Q25" s="948">
        <f t="shared" ca="1" si="25"/>
        <v>0.42885414084280393</v>
      </c>
      <c r="R25" s="948">
        <f t="shared" ca="1" si="25"/>
        <v>17.867135642863321</v>
      </c>
      <c r="S25" s="948">
        <f t="shared" ca="1" si="25"/>
        <v>26.248446544424656</v>
      </c>
      <c r="T25" s="948">
        <f t="shared" ca="1" si="25"/>
        <v>42.315422531402263</v>
      </c>
      <c r="U25" s="948">
        <f t="shared" ca="1" si="25"/>
        <v>31.17177360582895</v>
      </c>
      <c r="V25" s="948">
        <f t="shared" ca="1" si="25"/>
        <v>0.90146002410557591</v>
      </c>
      <c r="W25" s="948">
        <f t="shared" ca="1" si="25"/>
        <v>34.142798412998687</v>
      </c>
      <c r="X25" s="948">
        <f t="shared" ca="1" si="25"/>
        <v>43.680020103029648</v>
      </c>
      <c r="Y25" s="948">
        <f t="shared" ca="1" si="25"/>
        <v>60.23989276865634</v>
      </c>
      <c r="Z25" s="948">
        <f t="shared" ca="1" si="25"/>
        <v>23.897152783544978</v>
      </c>
      <c r="AA25" s="948">
        <f t="shared" ca="1" si="25"/>
        <v>59.688943341195944</v>
      </c>
      <c r="AB25" s="948">
        <f t="shared" ca="1" si="25"/>
        <v>139.41696902865925</v>
      </c>
      <c r="AC25" s="948">
        <f t="shared" ca="1" si="25"/>
        <v>54.914592342410728</v>
      </c>
      <c r="AD25" s="948">
        <f t="shared" ca="1" si="25"/>
        <v>30.14796743101839</v>
      </c>
      <c r="AE25" s="948">
        <f t="shared" ca="1" si="25"/>
        <v>42.640761136021659</v>
      </c>
      <c r="AF25" s="948">
        <f t="shared" ca="1" si="25"/>
        <v>17.177078864562716</v>
      </c>
      <c r="AG25" s="948">
        <f t="shared" ca="1" si="25"/>
        <v>0</v>
      </c>
      <c r="AH25" s="948">
        <f t="shared" ca="1" si="25"/>
        <v>1.015787718825532</v>
      </c>
      <c r="AI25" s="948">
        <f t="shared" ca="1" si="25"/>
        <v>16.553119218884451</v>
      </c>
      <c r="AJ25" s="948">
        <f t="shared" ca="1" si="25"/>
        <v>11.398255571713177</v>
      </c>
      <c r="AK25" s="948">
        <f t="shared" ca="1" si="25"/>
        <v>15.855491602779013</v>
      </c>
      <c r="AL25" s="948">
        <f t="shared" ca="1" si="25"/>
        <v>28.4077557883124</v>
      </c>
      <c r="AM25" s="948">
        <f t="shared" ca="1" si="25"/>
        <v>0</v>
      </c>
      <c r="AN25" s="948">
        <f t="shared" ca="1" si="25"/>
        <v>47.319740579941545</v>
      </c>
      <c r="AO25" s="948">
        <f t="shared" ca="1" si="25"/>
        <v>8.9847608696091541</v>
      </c>
      <c r="AP25" s="948">
        <f t="shared" ca="1" si="25"/>
        <v>0</v>
      </c>
      <c r="AQ25" s="948">
        <f t="shared" ca="1" si="25"/>
        <v>21.663565330935977</v>
      </c>
      <c r="AR25" s="948">
        <f t="shared" ca="1" si="25"/>
        <v>0</v>
      </c>
      <c r="AS25" s="948">
        <f t="shared" ca="1" si="25"/>
        <v>7.8054811857322903</v>
      </c>
      <c r="AT25" s="948">
        <f t="shared" ca="1" si="25"/>
        <v>2.1461531753873717</v>
      </c>
      <c r="AU25" s="948">
        <f t="shared" ca="1" si="25"/>
        <v>13.43921118427572</v>
      </c>
      <c r="AV25" s="948">
        <f t="shared" ca="1" si="25"/>
        <v>70.05730733480506</v>
      </c>
      <c r="AW25" s="948">
        <f t="shared" si="25"/>
        <v>0</v>
      </c>
      <c r="AX25" s="948">
        <f t="shared" si="25"/>
        <v>0</v>
      </c>
      <c r="AY25" s="948">
        <f t="shared" si="25"/>
        <v>0</v>
      </c>
      <c r="AZ25" s="948">
        <f t="shared" si="25"/>
        <v>0</v>
      </c>
    </row>
    <row r="26" spans="1:187" ht="17.100000000000001" customHeight="1">
      <c r="B26" s="341" t="s">
        <v>1232</v>
      </c>
      <c r="C26" s="1209"/>
      <c r="D26" s="1209"/>
      <c r="E26" s="1233"/>
      <c r="F26" s="767">
        <f t="shared" si="21"/>
        <v>166.00000000000003</v>
      </c>
      <c r="G26" s="767"/>
      <c r="H26" s="947"/>
      <c r="I26" s="947"/>
      <c r="J26" s="948">
        <f t="shared" ref="J26:AZ26" si="26">SUMIF(3:3,J20,13:13)</f>
        <v>2.5</v>
      </c>
      <c r="K26" s="948">
        <f t="shared" si="26"/>
        <v>10</v>
      </c>
      <c r="L26" s="948">
        <f t="shared" si="26"/>
        <v>10</v>
      </c>
      <c r="M26" s="948">
        <f t="shared" si="26"/>
        <v>10</v>
      </c>
      <c r="N26" s="948">
        <f t="shared" si="26"/>
        <v>10</v>
      </c>
      <c r="O26" s="948">
        <f t="shared" si="26"/>
        <v>9.9</v>
      </c>
      <c r="P26" s="948">
        <f t="shared" si="26"/>
        <v>9.6</v>
      </c>
      <c r="Q26" s="948">
        <f t="shared" si="26"/>
        <v>9.6</v>
      </c>
      <c r="R26" s="948">
        <f t="shared" si="26"/>
        <v>9.6</v>
      </c>
      <c r="S26" s="948">
        <f t="shared" si="26"/>
        <v>9.6</v>
      </c>
      <c r="T26" s="948">
        <f t="shared" si="26"/>
        <v>8.8999999999999986</v>
      </c>
      <c r="U26" s="948">
        <f t="shared" si="26"/>
        <v>6.8</v>
      </c>
      <c r="V26" s="948">
        <f t="shared" si="26"/>
        <v>6.8</v>
      </c>
      <c r="W26" s="948">
        <f t="shared" si="26"/>
        <v>6.8</v>
      </c>
      <c r="X26" s="948">
        <f t="shared" si="26"/>
        <v>6.8</v>
      </c>
      <c r="Y26" s="948">
        <f t="shared" si="26"/>
        <v>6.8</v>
      </c>
      <c r="Z26" s="948">
        <f t="shared" si="26"/>
        <v>6.8</v>
      </c>
      <c r="AA26" s="948">
        <f t="shared" si="26"/>
        <v>6.8</v>
      </c>
      <c r="AB26" s="948">
        <f t="shared" si="26"/>
        <v>6.8</v>
      </c>
      <c r="AC26" s="948">
        <f t="shared" si="26"/>
        <v>6.8</v>
      </c>
      <c r="AD26" s="948">
        <f t="shared" si="26"/>
        <v>5.0999999999999996</v>
      </c>
      <c r="AE26" s="948">
        <f t="shared" si="26"/>
        <v>0</v>
      </c>
      <c r="AF26" s="948">
        <f t="shared" si="26"/>
        <v>0</v>
      </c>
      <c r="AG26" s="948">
        <f t="shared" si="26"/>
        <v>0</v>
      </c>
      <c r="AH26" s="948">
        <f t="shared" si="26"/>
        <v>0</v>
      </c>
      <c r="AI26" s="948">
        <f t="shared" si="26"/>
        <v>0</v>
      </c>
      <c r="AJ26" s="948">
        <f t="shared" si="26"/>
        <v>0</v>
      </c>
      <c r="AK26" s="948">
        <f t="shared" si="26"/>
        <v>0</v>
      </c>
      <c r="AL26" s="948">
        <f t="shared" si="26"/>
        <v>0</v>
      </c>
      <c r="AM26" s="948">
        <f t="shared" si="26"/>
        <v>0</v>
      </c>
      <c r="AN26" s="948">
        <f t="shared" si="26"/>
        <v>0</v>
      </c>
      <c r="AO26" s="948">
        <f t="shared" si="26"/>
        <v>0</v>
      </c>
      <c r="AP26" s="948">
        <f t="shared" si="26"/>
        <v>0</v>
      </c>
      <c r="AQ26" s="948">
        <f t="shared" si="26"/>
        <v>0</v>
      </c>
      <c r="AR26" s="948">
        <f t="shared" si="26"/>
        <v>0</v>
      </c>
      <c r="AS26" s="948">
        <f t="shared" si="26"/>
        <v>0</v>
      </c>
      <c r="AT26" s="948">
        <f t="shared" si="26"/>
        <v>0</v>
      </c>
      <c r="AU26" s="948">
        <f t="shared" si="26"/>
        <v>0</v>
      </c>
      <c r="AV26" s="948">
        <f t="shared" si="26"/>
        <v>0</v>
      </c>
      <c r="AW26" s="948">
        <f t="shared" si="26"/>
        <v>0</v>
      </c>
      <c r="AX26" s="948">
        <f t="shared" si="26"/>
        <v>0</v>
      </c>
      <c r="AY26" s="948">
        <f t="shared" si="26"/>
        <v>0</v>
      </c>
      <c r="AZ26" s="948">
        <f t="shared" si="26"/>
        <v>0</v>
      </c>
    </row>
    <row r="27" spans="1:187" ht="17.100000000000001" customHeight="1">
      <c r="B27" s="341" t="str">
        <f>B15</f>
        <v>7) 법인세 정산금</v>
      </c>
      <c r="C27" s="1209"/>
      <c r="D27" s="1209"/>
      <c r="E27" s="1234">
        <v>1</v>
      </c>
      <c r="F27" s="767">
        <f t="shared" ca="1" si="21"/>
        <v>701.91865001285919</v>
      </c>
      <c r="G27" s="767"/>
      <c r="H27" s="947"/>
      <c r="I27" s="947">
        <f>IF($E$27=1,I28,0)</f>
        <v>35.732977541058595</v>
      </c>
      <c r="J27" s="948">
        <f t="shared" ref="J27:AZ27" si="27">IF($E$27=1,J28,0)</f>
        <v>13.362358930552039</v>
      </c>
      <c r="K27" s="948">
        <f t="shared" si="27"/>
        <v>14.601100675285327</v>
      </c>
      <c r="L27" s="948">
        <f t="shared" si="27"/>
        <v>15.295469585225579</v>
      </c>
      <c r="M27" s="948">
        <f t="shared" ca="1" si="27"/>
        <v>15.528144619226323</v>
      </c>
      <c r="N27" s="948">
        <f t="shared" ca="1" si="27"/>
        <v>15.703308652199295</v>
      </c>
      <c r="O27" s="948">
        <f ca="1">IF($E$27=1,O28,0)</f>
        <v>15.921753555969422</v>
      </c>
      <c r="P27" s="948">
        <f t="shared" ca="1" si="27"/>
        <v>15.978284903639548</v>
      </c>
      <c r="Q27" s="948">
        <f t="shared" ca="1" si="27"/>
        <v>16.300767896826162</v>
      </c>
      <c r="R27" s="948">
        <f t="shared" ca="1" si="27"/>
        <v>16.429875330513038</v>
      </c>
      <c r="S27" s="948">
        <f t="shared" ca="1" si="27"/>
        <v>16.581650677756219</v>
      </c>
      <c r="T27" s="948">
        <f t="shared" ca="1" si="27"/>
        <v>15.224512640251127</v>
      </c>
      <c r="U27" s="948">
        <f t="shared" ca="1" si="27"/>
        <v>15.076750768921869</v>
      </c>
      <c r="V27" s="948">
        <f t="shared" ca="1" si="27"/>
        <v>15.10561268549953</v>
      </c>
      <c r="W27" s="948">
        <f t="shared" ca="1" si="27"/>
        <v>15.354327528995602</v>
      </c>
      <c r="X27" s="948">
        <f t="shared" ca="1" si="27"/>
        <v>14.982209303879818</v>
      </c>
      <c r="Y27" s="948">
        <f t="shared" ca="1" si="27"/>
        <v>15.219779019930705</v>
      </c>
      <c r="Z27" s="948">
        <f t="shared" ca="1" si="27"/>
        <v>15.485047714084235</v>
      </c>
      <c r="AA27" s="948">
        <f t="shared" ca="1" si="27"/>
        <v>16.943041414840433</v>
      </c>
      <c r="AB27" s="948">
        <f t="shared" ca="1" si="27"/>
        <v>17.509750555716398</v>
      </c>
      <c r="AC27" s="948">
        <f t="shared" ca="1" si="27"/>
        <v>18.040241922587594</v>
      </c>
      <c r="AD27" s="948">
        <f t="shared" ca="1" si="27"/>
        <v>18.175161159787006</v>
      </c>
      <c r="AE27" s="948">
        <f t="shared" ca="1" si="27"/>
        <v>18.994049427873502</v>
      </c>
      <c r="AF27" s="948">
        <f t="shared" ca="1" si="27"/>
        <v>19.138834641074784</v>
      </c>
      <c r="AG27" s="948">
        <f t="shared" ca="1" si="27"/>
        <v>19.484645639139178</v>
      </c>
      <c r="AH27" s="948">
        <f t="shared" ca="1" si="27"/>
        <v>19.728012721946079</v>
      </c>
      <c r="AI27" s="948">
        <f t="shared" ca="1" si="27"/>
        <v>20.004425003740845</v>
      </c>
      <c r="AJ27" s="948">
        <f t="shared" ca="1" si="27"/>
        <v>20.228359218090926</v>
      </c>
      <c r="AK27" s="948">
        <f t="shared" ca="1" si="27"/>
        <v>20.685023100485065</v>
      </c>
      <c r="AL27" s="948">
        <f t="shared" ca="1" si="27"/>
        <v>20.952496649821484</v>
      </c>
      <c r="AM27" s="948">
        <f t="shared" ca="1" si="27"/>
        <v>21.263809908171549</v>
      </c>
      <c r="AN27" s="948">
        <f t="shared" ca="1" si="27"/>
        <v>19.359658222118338</v>
      </c>
      <c r="AO27" s="948">
        <f t="shared" ca="1" si="27"/>
        <v>19.229826410440889</v>
      </c>
      <c r="AP27" s="948">
        <f t="shared" ca="1" si="27"/>
        <v>19.245726480053165</v>
      </c>
      <c r="AQ27" s="948">
        <f t="shared" ca="1" si="27"/>
        <v>19.543677092921207</v>
      </c>
      <c r="AR27" s="948">
        <f t="shared" ca="1" si="27"/>
        <v>19.994135401050368</v>
      </c>
      <c r="AS27" s="948">
        <f t="shared" ca="1" si="27"/>
        <v>19.38244764267094</v>
      </c>
      <c r="AT27" s="948">
        <f t="shared" ca="1" si="27"/>
        <v>18.736366054581868</v>
      </c>
      <c r="AU27" s="948">
        <f t="shared" ca="1" si="27"/>
        <v>18.111820519429127</v>
      </c>
      <c r="AV27" s="948">
        <f t="shared" ca="1" si="27"/>
        <v>35.016186337562701</v>
      </c>
      <c r="AW27" s="948">
        <f t="shared" si="27"/>
        <v>0</v>
      </c>
      <c r="AX27" s="948">
        <f t="shared" si="27"/>
        <v>0</v>
      </c>
      <c r="AY27" s="948">
        <f t="shared" si="27"/>
        <v>0</v>
      </c>
      <c r="AZ27" s="948">
        <f t="shared" si="27"/>
        <v>0</v>
      </c>
    </row>
    <row r="28" spans="1:187" ht="17.100000000000001" customHeight="1">
      <c r="B28" s="764"/>
      <c r="C28" s="1235"/>
      <c r="D28" s="1235"/>
      <c r="E28" s="1236"/>
      <c r="F28" s="767">
        <f t="shared" ca="1" si="21"/>
        <v>701.91865001285919</v>
      </c>
      <c r="G28" s="767"/>
      <c r="H28" s="947"/>
      <c r="I28" s="947">
        <f>E34+F34+H34</f>
        <v>35.732977541058595</v>
      </c>
      <c r="J28" s="948">
        <f>I34</f>
        <v>13.362358930552039</v>
      </c>
      <c r="K28" s="948">
        <f t="shared" ref="K28:AZ28" si="28">J34</f>
        <v>14.601100675285327</v>
      </c>
      <c r="L28" s="948">
        <f t="shared" si="28"/>
        <v>15.295469585225579</v>
      </c>
      <c r="M28" s="948">
        <f t="shared" ca="1" si="28"/>
        <v>15.528144619226323</v>
      </c>
      <c r="N28" s="948">
        <f t="shared" ca="1" si="28"/>
        <v>15.703308652199295</v>
      </c>
      <c r="O28" s="948">
        <f t="shared" ca="1" si="28"/>
        <v>15.921753555969422</v>
      </c>
      <c r="P28" s="948">
        <f t="shared" ca="1" si="28"/>
        <v>15.978284903639548</v>
      </c>
      <c r="Q28" s="948">
        <f ca="1">P34</f>
        <v>16.300767896826162</v>
      </c>
      <c r="R28" s="948">
        <f t="shared" ca="1" si="28"/>
        <v>16.429875330513038</v>
      </c>
      <c r="S28" s="948">
        <f t="shared" ca="1" si="28"/>
        <v>16.581650677756219</v>
      </c>
      <c r="T28" s="948">
        <f t="shared" ca="1" si="28"/>
        <v>15.224512640251127</v>
      </c>
      <c r="U28" s="948">
        <f t="shared" ca="1" si="28"/>
        <v>15.076750768921869</v>
      </c>
      <c r="V28" s="948">
        <f t="shared" ca="1" si="28"/>
        <v>15.10561268549953</v>
      </c>
      <c r="W28" s="948">
        <f t="shared" ca="1" si="28"/>
        <v>15.354327528995602</v>
      </c>
      <c r="X28" s="948">
        <f t="shared" ca="1" si="28"/>
        <v>14.982209303879818</v>
      </c>
      <c r="Y28" s="948">
        <f t="shared" ca="1" si="28"/>
        <v>15.219779019930705</v>
      </c>
      <c r="Z28" s="948">
        <f t="shared" ca="1" si="28"/>
        <v>15.485047714084235</v>
      </c>
      <c r="AA28" s="948">
        <f t="shared" ca="1" si="28"/>
        <v>16.943041414840433</v>
      </c>
      <c r="AB28" s="948">
        <f t="shared" ca="1" si="28"/>
        <v>17.509750555716398</v>
      </c>
      <c r="AC28" s="948">
        <f t="shared" ca="1" si="28"/>
        <v>18.040241922587594</v>
      </c>
      <c r="AD28" s="948">
        <f t="shared" ca="1" si="28"/>
        <v>18.175161159787006</v>
      </c>
      <c r="AE28" s="948">
        <f t="shared" ca="1" si="28"/>
        <v>18.994049427873502</v>
      </c>
      <c r="AF28" s="948">
        <f t="shared" ca="1" si="28"/>
        <v>19.138834641074784</v>
      </c>
      <c r="AG28" s="948">
        <f t="shared" ca="1" si="28"/>
        <v>19.484645639139178</v>
      </c>
      <c r="AH28" s="948">
        <f t="shared" ca="1" si="28"/>
        <v>19.728012721946079</v>
      </c>
      <c r="AI28" s="948">
        <f t="shared" ca="1" si="28"/>
        <v>20.004425003740845</v>
      </c>
      <c r="AJ28" s="948">
        <f t="shared" ca="1" si="28"/>
        <v>20.228359218090926</v>
      </c>
      <c r="AK28" s="948">
        <f t="shared" ca="1" si="28"/>
        <v>20.685023100485065</v>
      </c>
      <c r="AL28" s="948">
        <f t="shared" ca="1" si="28"/>
        <v>20.952496649821484</v>
      </c>
      <c r="AM28" s="948">
        <f t="shared" ca="1" si="28"/>
        <v>21.263809908171549</v>
      </c>
      <c r="AN28" s="948">
        <f t="shared" ca="1" si="28"/>
        <v>19.359658222118338</v>
      </c>
      <c r="AO28" s="948">
        <f t="shared" ca="1" si="28"/>
        <v>19.229826410440889</v>
      </c>
      <c r="AP28" s="948">
        <f t="shared" ca="1" si="28"/>
        <v>19.245726480053165</v>
      </c>
      <c r="AQ28" s="948">
        <f t="shared" ca="1" si="28"/>
        <v>19.543677092921207</v>
      </c>
      <c r="AR28" s="948">
        <f t="shared" ca="1" si="28"/>
        <v>19.994135401050368</v>
      </c>
      <c r="AS28" s="948">
        <f t="shared" ca="1" si="28"/>
        <v>19.38244764267094</v>
      </c>
      <c r="AT28" s="948">
        <f t="shared" ca="1" si="28"/>
        <v>18.736366054581868</v>
      </c>
      <c r="AU28" s="948">
        <f t="shared" ca="1" si="28"/>
        <v>18.111820519429127</v>
      </c>
      <c r="AV28" s="948">
        <f t="shared" ca="1" si="28"/>
        <v>35.016186337562701</v>
      </c>
      <c r="AW28" s="948">
        <f t="shared" si="28"/>
        <v>0</v>
      </c>
      <c r="AX28" s="948">
        <f t="shared" si="28"/>
        <v>0</v>
      </c>
      <c r="AY28" s="948">
        <f t="shared" si="28"/>
        <v>0</v>
      </c>
      <c r="AZ28" s="948">
        <f t="shared" si="28"/>
        <v>0</v>
      </c>
    </row>
    <row r="29" spans="1:187" ht="17.100000000000001" customHeight="1">
      <c r="B29" s="764" t="s">
        <v>1230</v>
      </c>
      <c r="C29" s="1235"/>
      <c r="D29" s="1235"/>
      <c r="E29" s="1237"/>
      <c r="F29" s="772">
        <f t="shared" ca="1" si="21"/>
        <v>22366.342502897362</v>
      </c>
      <c r="G29" s="4753"/>
      <c r="H29" s="950">
        <f ca="1">SUM(H21:H27)</f>
        <v>220.01077586990985</v>
      </c>
      <c r="I29" s="950">
        <f t="shared" ref="I29:AZ29" ca="1" si="29">SUM(I21:I27)</f>
        <v>285.15709467390059</v>
      </c>
      <c r="J29" s="951">
        <f t="shared" ca="1" si="29"/>
        <v>257.15499532164301</v>
      </c>
      <c r="K29" s="951">
        <f t="shared" ca="1" si="29"/>
        <v>249.03779214550232</v>
      </c>
      <c r="L29" s="951">
        <f t="shared" ca="1" si="29"/>
        <v>234.0912582977526</v>
      </c>
      <c r="M29" s="951">
        <f t="shared" ca="1" si="29"/>
        <v>327.18508349595714</v>
      </c>
      <c r="N29" s="951">
        <f t="shared" ca="1" si="29"/>
        <v>403.30776175470299</v>
      </c>
      <c r="O29" s="951">
        <f t="shared" ca="1" si="29"/>
        <v>405.00695709125984</v>
      </c>
      <c r="P29" s="951">
        <f t="shared" ca="1" si="29"/>
        <v>414.93703307281646</v>
      </c>
      <c r="Q29" s="951">
        <f t="shared" ca="1" si="29"/>
        <v>414.10358023633711</v>
      </c>
      <c r="R29" s="951">
        <f t="shared" ca="1" si="29"/>
        <v>475.50438378870092</v>
      </c>
      <c r="S29" s="951">
        <f t="shared" ca="1" si="29"/>
        <v>528.55377445679324</v>
      </c>
      <c r="T29" s="951">
        <f t="shared" ca="1" si="29"/>
        <v>553.649673870578</v>
      </c>
      <c r="U29" s="951">
        <f t="shared" ca="1" si="29"/>
        <v>545.9675085464454</v>
      </c>
      <c r="V29" s="951">
        <f t="shared" ca="1" si="29"/>
        <v>525.26190695264154</v>
      </c>
      <c r="W29" s="951">
        <f t="shared" ca="1" si="29"/>
        <v>563.13517672712055</v>
      </c>
      <c r="X29" s="951">
        <f t="shared" ca="1" si="29"/>
        <v>584.48798267274719</v>
      </c>
      <c r="Y29" s="951">
        <f t="shared" ca="1" si="29"/>
        <v>603.02572852515436</v>
      </c>
      <c r="Z29" s="951">
        <f t="shared" ca="1" si="29"/>
        <v>576.05100633588575</v>
      </c>
      <c r="AA29" s="951">
        <f t="shared" ca="1" si="29"/>
        <v>621.63666533065896</v>
      </c>
      <c r="AB29" s="951">
        <f t="shared" ca="1" si="29"/>
        <v>714.12743199502415</v>
      </c>
      <c r="AC29" s="951">
        <f t="shared" ca="1" si="29"/>
        <v>630.987063074464</v>
      </c>
      <c r="AD29" s="951">
        <f t="shared" ca="1" si="29"/>
        <v>614.71073108559267</v>
      </c>
      <c r="AE29" s="951">
        <f t="shared" ca="1" si="29"/>
        <v>628.66980069060628</v>
      </c>
      <c r="AF29" s="951">
        <f t="shared" ca="1" si="29"/>
        <v>613.25788623823428</v>
      </c>
      <c r="AG29" s="951">
        <f t="shared" ca="1" si="29"/>
        <v>602.26398296209527</v>
      </c>
      <c r="AH29" s="951">
        <f t="shared" ca="1" si="29"/>
        <v>617.62890720794769</v>
      </c>
      <c r="AI29" s="951">
        <f t="shared" ca="1" si="29"/>
        <v>635.64764889740582</v>
      </c>
      <c r="AJ29" s="951">
        <f t="shared" ca="1" si="29"/>
        <v>645.37511620706903</v>
      </c>
      <c r="AK29" s="951">
        <f t="shared" ca="1" si="29"/>
        <v>664.68785274175741</v>
      </c>
      <c r="AL29" s="951">
        <f t="shared" ca="1" si="29"/>
        <v>697.88679410940301</v>
      </c>
      <c r="AM29" s="951">
        <f t="shared" ca="1" si="29"/>
        <v>671.81361802372953</v>
      </c>
      <c r="AN29" s="951">
        <f t="shared" ca="1" si="29"/>
        <v>729.61611127967751</v>
      </c>
      <c r="AO29" s="951">
        <f t="shared" ca="1" si="29"/>
        <v>704.81046541188687</v>
      </c>
      <c r="AP29" s="951">
        <f t="shared" ca="1" si="29"/>
        <v>705.42473476117607</v>
      </c>
      <c r="AQ29" s="951">
        <f t="shared" ca="1" si="29"/>
        <v>733.8126464732585</v>
      </c>
      <c r="AR29" s="951">
        <f t="shared" ca="1" si="29"/>
        <v>724.29786414545526</v>
      </c>
      <c r="AS29" s="951">
        <f t="shared" ca="1" si="29"/>
        <v>739.45373670312563</v>
      </c>
      <c r="AT29" s="951">
        <f t="shared" ca="1" si="29"/>
        <v>750.7208369855955</v>
      </c>
      <c r="AU29" s="951">
        <f t="shared" ca="1" si="29"/>
        <v>775.83173080046447</v>
      </c>
      <c r="AV29" s="951">
        <f t="shared" ca="1" si="29"/>
        <v>483.21927448069766</v>
      </c>
      <c r="AW29" s="951">
        <f t="shared" ca="1" si="29"/>
        <v>0</v>
      </c>
      <c r="AX29" s="951">
        <f t="shared" ca="1" si="29"/>
        <v>0</v>
      </c>
      <c r="AY29" s="951">
        <f t="shared" ca="1" si="29"/>
        <v>0</v>
      </c>
      <c r="AZ29" s="951">
        <f t="shared" ca="1" si="29"/>
        <v>0</v>
      </c>
    </row>
    <row r="30" spans="1:187" ht="17.100000000000001" customHeight="1">
      <c r="B30" s="1238"/>
      <c r="C30" s="1235"/>
      <c r="D30" s="1235"/>
      <c r="E30" s="1239"/>
      <c r="F30" s="759"/>
      <c r="G30" s="4982"/>
      <c r="H30" s="1240"/>
      <c r="I30" s="1240"/>
      <c r="J30" s="1240"/>
      <c r="K30" s="1240"/>
      <c r="L30" s="1240"/>
      <c r="M30" s="1240"/>
      <c r="N30" s="1240"/>
      <c r="O30" s="1240"/>
      <c r="P30" s="1240"/>
      <c r="Q30" s="1240"/>
      <c r="R30" s="1240"/>
      <c r="S30" s="1240"/>
      <c r="T30" s="1240"/>
      <c r="U30" s="1240"/>
      <c r="V30" s="1240"/>
      <c r="W30" s="1240"/>
      <c r="X30" s="1240"/>
      <c r="Y30" s="1240"/>
      <c r="Z30" s="1240"/>
      <c r="AA30" s="1240"/>
      <c r="AB30" s="1240"/>
      <c r="AC30" s="1240"/>
      <c r="AD30" s="1240"/>
      <c r="AE30" s="1240"/>
      <c r="AF30" s="1240"/>
      <c r="AG30" s="1240"/>
      <c r="AH30" s="1240"/>
      <c r="AI30" s="1240"/>
      <c r="AJ30" s="1240"/>
      <c r="AK30" s="1240"/>
      <c r="AL30" s="1240"/>
      <c r="AM30" s="1240"/>
      <c r="AN30" s="1240"/>
      <c r="AO30" s="1240"/>
      <c r="AP30" s="1240"/>
      <c r="AQ30" s="1240"/>
      <c r="AR30" s="1240"/>
      <c r="AS30" s="1240"/>
      <c r="AT30" s="1240"/>
      <c r="AU30" s="1240"/>
      <c r="AV30" s="1240"/>
      <c r="AW30" s="1240"/>
      <c r="AX30" s="1240"/>
      <c r="AY30" s="1240"/>
      <c r="AZ30" s="1240"/>
    </row>
    <row r="31" spans="1:187" ht="17.100000000000001" customHeight="1">
      <c r="A31" s="493"/>
      <c r="B31" s="717" t="s">
        <v>248</v>
      </c>
      <c r="C31" s="937"/>
      <c r="D31" s="718" t="s">
        <v>40</v>
      </c>
      <c r="E31" s="766">
        <v>2017</v>
      </c>
      <c r="F31" s="766">
        <v>2018</v>
      </c>
      <c r="G31" s="4756"/>
      <c r="H31" s="766">
        <v>2019</v>
      </c>
      <c r="I31" s="766">
        <f t="shared" ref="I31:AZ31" si="30">H31+1</f>
        <v>2020</v>
      </c>
      <c r="J31" s="766">
        <f t="shared" si="30"/>
        <v>2021</v>
      </c>
      <c r="K31" s="766">
        <f t="shared" si="30"/>
        <v>2022</v>
      </c>
      <c r="L31" s="766">
        <f t="shared" si="30"/>
        <v>2023</v>
      </c>
      <c r="M31" s="766">
        <f t="shared" si="30"/>
        <v>2024</v>
      </c>
      <c r="N31" s="766">
        <f t="shared" si="30"/>
        <v>2025</v>
      </c>
      <c r="O31" s="766">
        <f t="shared" si="30"/>
        <v>2026</v>
      </c>
      <c r="P31" s="766">
        <f t="shared" si="30"/>
        <v>2027</v>
      </c>
      <c r="Q31" s="766">
        <f t="shared" si="30"/>
        <v>2028</v>
      </c>
      <c r="R31" s="766">
        <f t="shared" si="30"/>
        <v>2029</v>
      </c>
      <c r="S31" s="766">
        <f t="shared" si="30"/>
        <v>2030</v>
      </c>
      <c r="T31" s="766">
        <f t="shared" si="30"/>
        <v>2031</v>
      </c>
      <c r="U31" s="766">
        <f t="shared" si="30"/>
        <v>2032</v>
      </c>
      <c r="V31" s="766">
        <f t="shared" si="30"/>
        <v>2033</v>
      </c>
      <c r="W31" s="766">
        <f t="shared" si="30"/>
        <v>2034</v>
      </c>
      <c r="X31" s="766">
        <f t="shared" si="30"/>
        <v>2035</v>
      </c>
      <c r="Y31" s="766">
        <f t="shared" si="30"/>
        <v>2036</v>
      </c>
      <c r="Z31" s="766">
        <f t="shared" si="30"/>
        <v>2037</v>
      </c>
      <c r="AA31" s="766">
        <f t="shared" si="30"/>
        <v>2038</v>
      </c>
      <c r="AB31" s="766">
        <f t="shared" si="30"/>
        <v>2039</v>
      </c>
      <c r="AC31" s="766">
        <f t="shared" si="30"/>
        <v>2040</v>
      </c>
      <c r="AD31" s="766">
        <f t="shared" si="30"/>
        <v>2041</v>
      </c>
      <c r="AE31" s="766">
        <f t="shared" si="30"/>
        <v>2042</v>
      </c>
      <c r="AF31" s="766">
        <f t="shared" si="30"/>
        <v>2043</v>
      </c>
      <c r="AG31" s="766">
        <f t="shared" si="30"/>
        <v>2044</v>
      </c>
      <c r="AH31" s="766">
        <f t="shared" si="30"/>
        <v>2045</v>
      </c>
      <c r="AI31" s="766">
        <f t="shared" si="30"/>
        <v>2046</v>
      </c>
      <c r="AJ31" s="766">
        <f t="shared" si="30"/>
        <v>2047</v>
      </c>
      <c r="AK31" s="766">
        <f t="shared" si="30"/>
        <v>2048</v>
      </c>
      <c r="AL31" s="766">
        <f t="shared" si="30"/>
        <v>2049</v>
      </c>
      <c r="AM31" s="766">
        <f t="shared" si="30"/>
        <v>2050</v>
      </c>
      <c r="AN31" s="766">
        <f t="shared" si="30"/>
        <v>2051</v>
      </c>
      <c r="AO31" s="766">
        <f t="shared" si="30"/>
        <v>2052</v>
      </c>
      <c r="AP31" s="766">
        <f t="shared" si="30"/>
        <v>2053</v>
      </c>
      <c r="AQ31" s="766">
        <f t="shared" si="30"/>
        <v>2054</v>
      </c>
      <c r="AR31" s="766">
        <f t="shared" si="30"/>
        <v>2055</v>
      </c>
      <c r="AS31" s="766">
        <f t="shared" si="30"/>
        <v>2056</v>
      </c>
      <c r="AT31" s="766">
        <f t="shared" si="30"/>
        <v>2057</v>
      </c>
      <c r="AU31" s="766">
        <f t="shared" si="30"/>
        <v>2058</v>
      </c>
      <c r="AV31" s="766">
        <f t="shared" si="30"/>
        <v>2059</v>
      </c>
      <c r="AW31" s="766">
        <f t="shared" si="30"/>
        <v>2060</v>
      </c>
      <c r="AX31" s="766">
        <f t="shared" si="30"/>
        <v>2061</v>
      </c>
      <c r="AY31" s="766">
        <f t="shared" si="30"/>
        <v>2062</v>
      </c>
      <c r="AZ31" s="766">
        <f t="shared" si="30"/>
        <v>2063</v>
      </c>
      <c r="BA31" s="493"/>
      <c r="BB31" s="493"/>
      <c r="BC31" s="493"/>
      <c r="BD31" s="493"/>
      <c r="BE31" s="493"/>
      <c r="BF31" s="493"/>
      <c r="BG31" s="493"/>
      <c r="BH31" s="493"/>
      <c r="BI31" s="493"/>
      <c r="BJ31" s="493"/>
      <c r="BK31" s="493"/>
      <c r="BL31" s="493"/>
      <c r="BM31" s="493"/>
      <c r="BN31" s="493"/>
      <c r="BO31" s="493"/>
      <c r="BP31" s="493"/>
      <c r="BQ31" s="493"/>
      <c r="BR31" s="493"/>
      <c r="BS31" s="493"/>
      <c r="BT31" s="493"/>
      <c r="BU31" s="493"/>
      <c r="BV31" s="493"/>
      <c r="BW31" s="493"/>
      <c r="BX31" s="493"/>
      <c r="BY31" s="493"/>
      <c r="BZ31" s="493"/>
      <c r="CA31" s="493"/>
      <c r="CB31" s="493"/>
      <c r="CC31" s="493"/>
      <c r="CD31" s="493"/>
      <c r="CE31" s="493"/>
      <c r="CF31" s="493"/>
      <c r="CG31" s="493"/>
      <c r="CH31" s="493"/>
      <c r="CI31" s="493"/>
      <c r="CJ31" s="493"/>
      <c r="CK31" s="493"/>
      <c r="CL31" s="493"/>
      <c r="CM31" s="493"/>
      <c r="CN31" s="493"/>
      <c r="CO31" s="493"/>
      <c r="CP31" s="493"/>
      <c r="CQ31" s="493"/>
      <c r="CR31" s="493"/>
      <c r="CS31" s="493"/>
      <c r="CT31" s="493"/>
      <c r="CU31" s="493"/>
      <c r="CV31" s="493"/>
      <c r="CW31" s="493"/>
      <c r="CX31" s="493"/>
      <c r="CY31" s="493"/>
      <c r="CZ31" s="493"/>
      <c r="DA31" s="493"/>
      <c r="DB31" s="493"/>
      <c r="DC31" s="493"/>
      <c r="DD31" s="493"/>
      <c r="DE31" s="493"/>
      <c r="DF31" s="493"/>
      <c r="DG31" s="493"/>
      <c r="DH31" s="493"/>
      <c r="DI31" s="493"/>
      <c r="DJ31" s="493"/>
      <c r="DK31" s="493"/>
      <c r="DL31" s="493"/>
      <c r="DM31" s="493"/>
      <c r="DN31" s="493"/>
      <c r="DO31" s="493"/>
      <c r="DP31" s="493"/>
      <c r="DQ31" s="493"/>
      <c r="DR31" s="493"/>
      <c r="DS31" s="493"/>
      <c r="DT31" s="493"/>
      <c r="DU31" s="493"/>
      <c r="DV31" s="493"/>
      <c r="DW31" s="493"/>
      <c r="DX31" s="493"/>
      <c r="DY31" s="493"/>
      <c r="DZ31" s="493"/>
      <c r="EA31" s="493"/>
      <c r="EB31" s="493"/>
      <c r="EC31" s="493"/>
      <c r="ED31" s="493"/>
      <c r="EE31" s="493"/>
      <c r="EF31" s="493"/>
      <c r="EG31" s="493"/>
      <c r="EH31" s="493"/>
      <c r="EI31" s="493"/>
      <c r="EJ31" s="493"/>
      <c r="EK31" s="493"/>
      <c r="EL31" s="493"/>
      <c r="EM31" s="493"/>
      <c r="EN31" s="493"/>
      <c r="EO31" s="493"/>
      <c r="EP31" s="493"/>
      <c r="EQ31" s="493"/>
      <c r="ER31" s="493"/>
      <c r="ES31" s="493"/>
      <c r="ET31" s="493"/>
      <c r="EU31" s="493"/>
      <c r="EV31" s="493"/>
      <c r="EW31" s="493"/>
      <c r="EX31" s="493"/>
      <c r="EY31" s="493"/>
      <c r="EZ31" s="493"/>
      <c r="FA31" s="493"/>
      <c r="FB31" s="493"/>
      <c r="FC31" s="493"/>
      <c r="FD31" s="493"/>
      <c r="FE31" s="493"/>
      <c r="FF31" s="493"/>
      <c r="FG31" s="493"/>
      <c r="FH31" s="493"/>
      <c r="FI31" s="493"/>
      <c r="FJ31" s="493"/>
      <c r="FK31" s="493"/>
      <c r="FL31" s="493"/>
      <c r="FM31" s="493"/>
      <c r="FN31" s="493"/>
      <c r="FO31" s="493"/>
      <c r="FP31" s="493"/>
      <c r="FQ31" s="493"/>
      <c r="FR31" s="493"/>
      <c r="FS31" s="493"/>
      <c r="FT31" s="493"/>
      <c r="FU31" s="493"/>
      <c r="FV31" s="493"/>
      <c r="FW31" s="493"/>
      <c r="FX31" s="493"/>
      <c r="FY31" s="493"/>
      <c r="FZ31" s="493"/>
      <c r="GA31" s="493"/>
      <c r="GB31" s="493"/>
      <c r="GC31" s="493"/>
      <c r="GD31" s="493"/>
      <c r="GE31" s="493"/>
    </row>
    <row r="32" spans="1:187" ht="17.100000000000001" customHeight="1">
      <c r="A32" s="493"/>
      <c r="B32" s="720"/>
      <c r="C32" s="315" t="s">
        <v>1233</v>
      </c>
      <c r="D32" s="1241">
        <f>Index!U86</f>
        <v>1.4668087697929353</v>
      </c>
      <c r="E32" s="1242">
        <f>Index!V86</f>
        <v>1.4875152253349573</v>
      </c>
      <c r="F32" s="1242">
        <f>Index!W86</f>
        <v>1.5071559074299632</v>
      </c>
      <c r="G32" s="1242"/>
      <c r="H32" s="1242">
        <f>Index!X86</f>
        <v>1.5182704019488427</v>
      </c>
      <c r="I32" s="1242">
        <f>Index!Y86</f>
        <v>1.5275578562728378</v>
      </c>
      <c r="J32" s="1242">
        <f>Index!Z86</f>
        <v>1.5840438489646771</v>
      </c>
      <c r="K32" s="1243">
        <f ca="1">J32*(1+민감도!$E$88)</f>
        <v>1.6078045066991471</v>
      </c>
      <c r="L32" s="1243">
        <f ca="1">K32*(1+민감도!$E$88)</f>
        <v>1.6319215742996342</v>
      </c>
      <c r="M32" s="1243">
        <f ca="1">L32*(1+민감도!$E$88)</f>
        <v>1.6564003979141286</v>
      </c>
      <c r="N32" s="1243">
        <f ca="1">M32*(1+민감도!$E$88)</f>
        <v>1.6812464038828403</v>
      </c>
      <c r="O32" s="1243">
        <f ca="1">N32*(1+민감도!$E$88)</f>
        <v>1.7064650999410826</v>
      </c>
      <c r="P32" s="1243">
        <f ca="1">O32*(1+민감도!$E$88)</f>
        <v>1.7320620764401986</v>
      </c>
      <c r="Q32" s="1243">
        <f ca="1">P32*(1+민감도!$E$88)</f>
        <v>1.7580430075868014</v>
      </c>
      <c r="R32" s="1243">
        <f ca="1">Q32*(1+민감도!$E$88)</f>
        <v>1.7844136527006034</v>
      </c>
      <c r="S32" s="1243">
        <f ca="1">R32*(1+민감도!$E$88)</f>
        <v>1.8111798574911122</v>
      </c>
      <c r="T32" s="1243">
        <f ca="1">S32*(1+민감도!$E$88)</f>
        <v>1.8383475553534787</v>
      </c>
      <c r="U32" s="1243">
        <f ca="1">T32*(1+민감도!$E$88)</f>
        <v>1.8659227686837807</v>
      </c>
      <c r="V32" s="1243">
        <f ca="1">U32*(1+민감도!$E$88)</f>
        <v>1.8939116102140372</v>
      </c>
      <c r="W32" s="1243">
        <f ca="1">V32*(1+민감도!$E$88)</f>
        <v>1.9223202843672476</v>
      </c>
      <c r="X32" s="1243">
        <f ca="1">W32*(1+민감도!$E$88)</f>
        <v>1.951155088632756</v>
      </c>
      <c r="Y32" s="1243">
        <f ca="1">X32*(1+민감도!$E$88)</f>
        <v>1.9804224149622471</v>
      </c>
      <c r="Z32" s="1243">
        <f ca="1">Y32*(1+민감도!$E$88)</f>
        <v>2.0101287511866808</v>
      </c>
      <c r="AA32" s="1243">
        <f ca="1">Z32*(1+민감도!$E$88)</f>
        <v>2.0402806824544806</v>
      </c>
      <c r="AB32" s="1243">
        <f ca="1">AA32*(1+민감도!$E$88)</f>
        <v>2.0708848926912977</v>
      </c>
      <c r="AC32" s="1243">
        <f ca="1">AB32*(1+민감도!$E$88)</f>
        <v>2.1019481660816668</v>
      </c>
      <c r="AD32" s="1243">
        <f ca="1">AC32*(1+민감도!$E$88)</f>
        <v>2.1334773885728917</v>
      </c>
      <c r="AE32" s="1243">
        <f ca="1">AD32*(1+민감도!$E$88)</f>
        <v>2.1654795494014847</v>
      </c>
      <c r="AF32" s="1243">
        <f ca="1">AE32*(1+민감도!$E$88)</f>
        <v>2.1979617426425069</v>
      </c>
      <c r="AG32" s="1243">
        <f ca="1">AF32*(1+민감도!$E$88)</f>
        <v>2.2309311687821443</v>
      </c>
      <c r="AH32" s="1243">
        <f ca="1">AG32*(1+민감도!$E$88)</f>
        <v>2.2643951363138761</v>
      </c>
      <c r="AI32" s="1243">
        <f ca="1">AH32*(1+민감도!$E$88)</f>
        <v>2.298361063358584</v>
      </c>
      <c r="AJ32" s="1243">
        <f ca="1">AI32*(1+민감도!$E$88)</f>
        <v>2.3328364793089627</v>
      </c>
      <c r="AK32" s="1243">
        <f ca="1">AJ32*(1+민감도!$E$88)</f>
        <v>2.3678290264985971</v>
      </c>
      <c r="AL32" s="1243">
        <f ca="1">AK32*(1+민감도!$E$88)</f>
        <v>2.4033464618960756</v>
      </c>
      <c r="AM32" s="1243">
        <f ca="1">AL32*(1+민감도!$E$88)</f>
        <v>2.4393966588245166</v>
      </c>
      <c r="AN32" s="1243">
        <f ca="1">AM32*(1+민감도!$E$88)</f>
        <v>2.4759876087068839</v>
      </c>
      <c r="AO32" s="1243">
        <f ca="1">AN32*(1+민감도!$E$88)</f>
        <v>2.5131274228374871</v>
      </c>
      <c r="AP32" s="1243">
        <f ca="1">AO32*(1+민감도!$E$88)</f>
        <v>2.5508243341800494</v>
      </c>
      <c r="AQ32" s="1243">
        <f ca="1">AP32*(1+민감도!$E$88)</f>
        <v>2.5890866991927499</v>
      </c>
      <c r="AR32" s="1243">
        <f ca="1">AQ32*(1+민감도!$E$88)</f>
        <v>2.6279229996806408</v>
      </c>
      <c r="AS32" s="1243">
        <f ca="1">AR32*(1+민감도!$E$88)</f>
        <v>2.6673418446758501</v>
      </c>
      <c r="AT32" s="1243">
        <f ca="1">AS32*(1+민감도!$E$88)</f>
        <v>2.7073519723459878</v>
      </c>
      <c r="AU32" s="1243">
        <f ca="1">AT32*(1+민감도!$E$88)</f>
        <v>2.7479622519311775</v>
      </c>
      <c r="AV32" s="1243">
        <f ca="1">AU32*(1+민감도!$E$88)</f>
        <v>2.7891816857101448</v>
      </c>
      <c r="AW32" s="1244"/>
      <c r="AX32" s="1244"/>
      <c r="AY32" s="1244"/>
      <c r="AZ32" s="1244"/>
      <c r="BA32" s="493"/>
      <c r="BB32" s="493"/>
      <c r="BC32" s="493"/>
      <c r="BD32" s="493"/>
      <c r="BE32" s="493"/>
      <c r="BF32" s="493"/>
      <c r="BG32" s="493"/>
      <c r="BH32" s="493"/>
      <c r="BI32" s="493"/>
      <c r="BJ32" s="493"/>
      <c r="BK32" s="493"/>
      <c r="BL32" s="493"/>
      <c r="BM32" s="493"/>
      <c r="BN32" s="493"/>
      <c r="BO32" s="493"/>
      <c r="BP32" s="493"/>
      <c r="BQ32" s="493"/>
      <c r="BR32" s="493"/>
      <c r="BS32" s="493"/>
      <c r="BT32" s="493"/>
      <c r="BU32" s="493"/>
      <c r="BV32" s="493"/>
      <c r="BW32" s="493"/>
      <c r="BX32" s="493"/>
      <c r="BY32" s="493"/>
      <c r="BZ32" s="493"/>
      <c r="CA32" s="493"/>
      <c r="CB32" s="493"/>
      <c r="CC32" s="493"/>
      <c r="CD32" s="493"/>
      <c r="CE32" s="493"/>
      <c r="CF32" s="493"/>
      <c r="CG32" s="493"/>
      <c r="CH32" s="493"/>
      <c r="CI32" s="493"/>
      <c r="CJ32" s="493"/>
      <c r="CK32" s="493"/>
      <c r="CL32" s="493"/>
      <c r="CM32" s="493"/>
      <c r="CN32" s="493"/>
      <c r="CO32" s="493"/>
      <c r="CP32" s="493"/>
      <c r="CQ32" s="493"/>
      <c r="CR32" s="493"/>
      <c r="CS32" s="493"/>
      <c r="CT32" s="493"/>
      <c r="CU32" s="493"/>
      <c r="CV32" s="493"/>
      <c r="CW32" s="493"/>
      <c r="CX32" s="493"/>
      <c r="CY32" s="493"/>
      <c r="CZ32" s="493"/>
      <c r="DA32" s="493"/>
      <c r="DB32" s="493"/>
      <c r="DC32" s="493"/>
      <c r="DD32" s="493"/>
      <c r="DE32" s="493"/>
      <c r="DF32" s="493"/>
      <c r="DG32" s="493"/>
      <c r="DH32" s="493"/>
      <c r="DI32" s="493"/>
      <c r="DJ32" s="493"/>
      <c r="DK32" s="493"/>
      <c r="DL32" s="493"/>
      <c r="DM32" s="493"/>
      <c r="DN32" s="493"/>
      <c r="DO32" s="493"/>
      <c r="DP32" s="493"/>
      <c r="DQ32" s="493"/>
      <c r="DR32" s="493"/>
      <c r="DS32" s="493"/>
      <c r="DT32" s="493"/>
      <c r="DU32" s="493"/>
      <c r="DV32" s="493"/>
      <c r="DW32" s="493"/>
      <c r="DX32" s="493"/>
      <c r="DY32" s="493"/>
      <c r="DZ32" s="493"/>
      <c r="EA32" s="493"/>
      <c r="EB32" s="493"/>
      <c r="EC32" s="493"/>
      <c r="ED32" s="493"/>
      <c r="EE32" s="493"/>
      <c r="EF32" s="493"/>
      <c r="EG32" s="493"/>
      <c r="EH32" s="493"/>
      <c r="EI32" s="493"/>
      <c r="EJ32" s="493"/>
      <c r="EK32" s="493"/>
      <c r="EL32" s="493"/>
      <c r="EM32" s="493"/>
      <c r="EN32" s="493"/>
      <c r="EO32" s="493"/>
      <c r="EP32" s="493"/>
      <c r="EQ32" s="493"/>
      <c r="ER32" s="493"/>
      <c r="ES32" s="493"/>
      <c r="ET32" s="493"/>
      <c r="EU32" s="493"/>
      <c r="EV32" s="493"/>
      <c r="EW32" s="493"/>
      <c r="EX32" s="493"/>
      <c r="EY32" s="493"/>
      <c r="EZ32" s="493"/>
      <c r="FA32" s="493"/>
      <c r="FB32" s="493"/>
      <c r="FC32" s="493"/>
      <c r="FD32" s="493"/>
      <c r="FE32" s="493"/>
      <c r="FF32" s="493"/>
      <c r="FG32" s="493"/>
      <c r="FH32" s="493"/>
      <c r="FI32" s="493"/>
      <c r="FJ32" s="493"/>
      <c r="FK32" s="493"/>
      <c r="FL32" s="493"/>
      <c r="FM32" s="493"/>
      <c r="FN32" s="493"/>
      <c r="FO32" s="493"/>
      <c r="FP32" s="493"/>
      <c r="FQ32" s="493"/>
      <c r="FR32" s="493"/>
      <c r="FS32" s="493"/>
      <c r="FT32" s="493"/>
      <c r="FU32" s="493"/>
      <c r="FV32" s="493"/>
      <c r="FW32" s="493"/>
      <c r="FX32" s="493"/>
      <c r="FY32" s="493"/>
      <c r="FZ32" s="493"/>
      <c r="GA32" s="493"/>
      <c r="GB32" s="493"/>
      <c r="GC32" s="493"/>
      <c r="GD32" s="493"/>
      <c r="GE32" s="493"/>
    </row>
    <row r="33" spans="2:52" ht="17.100000000000001" customHeight="1">
      <c r="B33" s="307"/>
      <c r="C33" s="302" t="s">
        <v>249</v>
      </c>
      <c r="D33" s="1245">
        <f>SUM(E33:AU33)</f>
        <v>365.35346693931967</v>
      </c>
      <c r="E33" s="5011">
        <v>7.4204349786463855</v>
      </c>
      <c r="F33" s="5012">
        <v>8.0052097141142351</v>
      </c>
      <c r="G33" s="5012"/>
      <c r="H33" s="5011">
        <v>8.5862033537223486</v>
      </c>
      <c r="I33" s="5011">
        <v>8.8010402583098486</v>
      </c>
      <c r="J33" s="5011">
        <v>9.5584600055092235</v>
      </c>
      <c r="K33" s="5011">
        <v>9.6559634982469831</v>
      </c>
      <c r="L33" s="5011">
        <v>9.6579805284324625</v>
      </c>
      <c r="M33" s="5011">
        <v>9.6225878127376472</v>
      </c>
      <c r="N33" s="5013">
        <v>9.6122613687000822</v>
      </c>
      <c r="O33" s="1247">
        <v>9.5038329103560795</v>
      </c>
      <c r="P33" s="1247">
        <v>9.5523593757580869</v>
      </c>
      <c r="Q33" s="5011">
        <v>9.4857312298415764</v>
      </c>
      <c r="R33" s="5011">
        <v>9.4318799973598022</v>
      </c>
      <c r="S33" s="5011">
        <v>8.5319413563159738</v>
      </c>
      <c r="T33" s="5011">
        <v>8.324270340443455</v>
      </c>
      <c r="U33" s="5011">
        <v>8.2169514907615024</v>
      </c>
      <c r="V33" s="5011">
        <v>8.228811924421997</v>
      </c>
      <c r="W33" s="5011">
        <v>7.9107225612216556</v>
      </c>
      <c r="X33" s="5011">
        <v>7.917400208332328</v>
      </c>
      <c r="Y33" s="5011">
        <v>7.9363489885036049</v>
      </c>
      <c r="Z33" s="5011">
        <v>8.5552664355010446</v>
      </c>
      <c r="AA33" s="5011">
        <v>8.7107607138992993</v>
      </c>
      <c r="AB33" s="5011">
        <v>8.8420392731871473</v>
      </c>
      <c r="AC33" s="5011">
        <v>8.7765192666825538</v>
      </c>
      <c r="AD33" s="5011">
        <v>9.0364023882097619</v>
      </c>
      <c r="AE33" s="5011">
        <v>8.9707229819187244</v>
      </c>
      <c r="AF33" s="5011">
        <v>8.9978432927360252</v>
      </c>
      <c r="AG33" s="5011">
        <v>8.9755942240505107</v>
      </c>
      <c r="AH33" s="5011">
        <v>8.9668499340843297</v>
      </c>
      <c r="AI33" s="5011">
        <v>8.9332285225713353</v>
      </c>
      <c r="AJ33" s="5011">
        <v>8.9999014646802884</v>
      </c>
      <c r="AK33" s="5011">
        <v>8.981553930444397</v>
      </c>
      <c r="AL33" s="5011">
        <v>8.9802978467643797</v>
      </c>
      <c r="AM33" s="5011">
        <v>8.0552922889215459</v>
      </c>
      <c r="AN33" s="5011">
        <v>7.8830256411465509</v>
      </c>
      <c r="AO33" s="5011">
        <v>7.772949433339245</v>
      </c>
      <c r="AP33" s="5011">
        <v>7.7766359617591938</v>
      </c>
      <c r="AQ33" s="5011">
        <v>7.8383035370710425</v>
      </c>
      <c r="AR33" s="5011">
        <v>7.486210349276516</v>
      </c>
      <c r="AS33" s="5011">
        <v>7.1297241421680972</v>
      </c>
      <c r="AT33" s="5011">
        <v>6.7902134687315172</v>
      </c>
      <c r="AU33" s="5011">
        <v>12.933739940440882</v>
      </c>
      <c r="AV33" s="1246"/>
      <c r="AW33" s="1246"/>
      <c r="AX33" s="1246"/>
      <c r="AY33" s="1246"/>
      <c r="AZ33" s="1246"/>
    </row>
    <row r="34" spans="2:52" ht="17.100000000000001" customHeight="1">
      <c r="B34" s="952"/>
      <c r="C34" s="707" t="s">
        <v>250</v>
      </c>
      <c r="D34" s="1248">
        <f ca="1">SUM(E34:AU34)</f>
        <v>737.65162755391771</v>
      </c>
      <c r="E34" s="1249">
        <f t="shared" ref="E34:AU34" si="31">D32*E33</f>
        <v>10.88435910235677</v>
      </c>
      <c r="F34" s="1249">
        <f t="shared" si="31"/>
        <v>11.907871331744225</v>
      </c>
      <c r="G34" s="1249"/>
      <c r="H34" s="1249">
        <f>F32*H33</f>
        <v>12.9407471069576</v>
      </c>
      <c r="I34" s="1249">
        <f t="shared" si="31"/>
        <v>13.362358930552039</v>
      </c>
      <c r="J34" s="1250">
        <f t="shared" si="31"/>
        <v>14.601100675285327</v>
      </c>
      <c r="K34" s="1251">
        <f t="shared" si="31"/>
        <v>15.295469585225579</v>
      </c>
      <c r="L34" s="1251">
        <f t="shared" ca="1" si="31"/>
        <v>15.528144619226323</v>
      </c>
      <c r="M34" s="1251">
        <f t="shared" ca="1" si="31"/>
        <v>15.703308652199295</v>
      </c>
      <c r="N34" s="1252">
        <f t="shared" ca="1" si="31"/>
        <v>15.921753555969422</v>
      </c>
      <c r="O34" s="1253">
        <f t="shared" ca="1" si="31"/>
        <v>15.978284903639548</v>
      </c>
      <c r="P34" s="1254">
        <f t="shared" ca="1" si="31"/>
        <v>16.300767896826162</v>
      </c>
      <c r="Q34" s="1254">
        <f t="shared" ca="1" si="31"/>
        <v>16.429875330513038</v>
      </c>
      <c r="R34" s="1254">
        <f t="shared" ca="1" si="31"/>
        <v>16.581650677756219</v>
      </c>
      <c r="S34" s="1254">
        <f t="shared" ca="1" si="31"/>
        <v>15.224512640251127</v>
      </c>
      <c r="T34" s="1254">
        <f t="shared" ca="1" si="31"/>
        <v>15.076750768921869</v>
      </c>
      <c r="U34" s="1254">
        <f t="shared" ca="1" si="31"/>
        <v>15.10561268549953</v>
      </c>
      <c r="V34" s="1254">
        <f t="shared" ca="1" si="31"/>
        <v>15.354327528995602</v>
      </c>
      <c r="W34" s="1254">
        <f t="shared" ca="1" si="31"/>
        <v>14.982209303879818</v>
      </c>
      <c r="X34" s="1254">
        <f t="shared" ca="1" si="31"/>
        <v>15.219779019930705</v>
      </c>
      <c r="Y34" s="1254">
        <f t="shared" ca="1" si="31"/>
        <v>15.485047714084235</v>
      </c>
      <c r="Z34" s="1254">
        <f t="shared" ca="1" si="31"/>
        <v>16.943041414840433</v>
      </c>
      <c r="AA34" s="1254">
        <f t="shared" ca="1" si="31"/>
        <v>17.509750555716398</v>
      </c>
      <c r="AB34" s="1254">
        <f t="shared" ca="1" si="31"/>
        <v>18.040241922587594</v>
      </c>
      <c r="AC34" s="1254">
        <f t="shared" ca="1" si="31"/>
        <v>18.175161159787006</v>
      </c>
      <c r="AD34" s="1254">
        <f t="shared" ca="1" si="31"/>
        <v>18.994049427873502</v>
      </c>
      <c r="AE34" s="1254">
        <f t="shared" ca="1" si="31"/>
        <v>19.138834641074784</v>
      </c>
      <c r="AF34" s="1254">
        <f t="shared" ca="1" si="31"/>
        <v>19.484645639139178</v>
      </c>
      <c r="AG34" s="1254">
        <f t="shared" ca="1" si="31"/>
        <v>19.728012721946079</v>
      </c>
      <c r="AH34" s="1254">
        <f t="shared" ca="1" si="31"/>
        <v>20.004425003740845</v>
      </c>
      <c r="AI34" s="1254">
        <f t="shared" ca="1" si="31"/>
        <v>20.228359218090926</v>
      </c>
      <c r="AJ34" s="1254">
        <f t="shared" ca="1" si="31"/>
        <v>20.685023100485065</v>
      </c>
      <c r="AK34" s="1254">
        <f t="shared" ca="1" si="31"/>
        <v>20.952496649821484</v>
      </c>
      <c r="AL34" s="1254">
        <f t="shared" ca="1" si="31"/>
        <v>21.263809908171549</v>
      </c>
      <c r="AM34" s="1254">
        <f t="shared" ca="1" si="31"/>
        <v>19.359658222118338</v>
      </c>
      <c r="AN34" s="1254">
        <f t="shared" ca="1" si="31"/>
        <v>19.229826410440889</v>
      </c>
      <c r="AO34" s="1254">
        <f t="shared" ca="1" si="31"/>
        <v>19.245726480053165</v>
      </c>
      <c r="AP34" s="1254">
        <f t="shared" ca="1" si="31"/>
        <v>19.543677092921207</v>
      </c>
      <c r="AQ34" s="1254">
        <f t="shared" ca="1" si="31"/>
        <v>19.994135401050368</v>
      </c>
      <c r="AR34" s="1254">
        <f t="shared" ca="1" si="31"/>
        <v>19.38244764267094</v>
      </c>
      <c r="AS34" s="1254">
        <f t="shared" ca="1" si="31"/>
        <v>18.736366054581868</v>
      </c>
      <c r="AT34" s="1254">
        <f t="shared" ca="1" si="31"/>
        <v>18.111820519429127</v>
      </c>
      <c r="AU34" s="1254">
        <f t="shared" ca="1" si="31"/>
        <v>35.016186337562701</v>
      </c>
      <c r="AV34" s="1254"/>
      <c r="AW34" s="1254"/>
      <c r="AX34" s="1254"/>
      <c r="AY34" s="1254"/>
      <c r="AZ34" s="1249"/>
    </row>
    <row r="35" spans="2:52" ht="17.100000000000001" customHeight="1">
      <c r="D35" s="1255"/>
      <c r="E35" s="1255"/>
      <c r="F35" s="1255"/>
      <c r="G35" s="1255"/>
      <c r="H35" s="1198"/>
      <c r="J35" s="461"/>
      <c r="N35" s="461"/>
      <c r="O35" s="1256"/>
      <c r="T35" s="461"/>
      <c r="Y35" s="461"/>
      <c r="AD35" s="461"/>
      <c r="AI35" s="461"/>
      <c r="AN35" s="461"/>
      <c r="AS35" s="461"/>
      <c r="AX35" s="461"/>
    </row>
    <row r="36" spans="2:52" ht="17.100000000000001" customHeight="1">
      <c r="J36" s="461"/>
      <c r="O36" s="1196"/>
      <c r="P36" s="1198"/>
      <c r="T36" s="461"/>
      <c r="Y36" s="461"/>
      <c r="AD36" s="461"/>
      <c r="AI36" s="461"/>
      <c r="AN36" s="461"/>
      <c r="AS36" s="461"/>
      <c r="AX36" s="461"/>
    </row>
    <row r="37" spans="2:52" ht="17.100000000000001" customHeight="1">
      <c r="J37" s="461"/>
      <c r="O37" s="461"/>
      <c r="P37" s="1198"/>
      <c r="T37" s="461"/>
      <c r="Y37" s="461"/>
      <c r="AD37" s="461"/>
      <c r="AI37" s="461"/>
      <c r="AN37" s="461"/>
      <c r="AS37" s="461"/>
      <c r="AX37" s="461"/>
    </row>
    <row r="38" spans="2:52" ht="17.100000000000001" customHeight="1">
      <c r="J38" s="461"/>
      <c r="O38" s="461"/>
      <c r="T38" s="461"/>
      <c r="Y38" s="461"/>
      <c r="AD38" s="461"/>
      <c r="AI38" s="461"/>
      <c r="AN38" s="461"/>
      <c r="AS38" s="461"/>
      <c r="AX38" s="461"/>
    </row>
    <row r="39" spans="2:52" ht="17.100000000000001" customHeight="1">
      <c r="J39" s="1198"/>
      <c r="K39" s="1198"/>
      <c r="L39" s="1198"/>
      <c r="M39" s="1198"/>
      <c r="N39" s="1198"/>
      <c r="O39" s="1198"/>
      <c r="P39" s="1198"/>
      <c r="Q39" s="1198"/>
      <c r="R39" s="1198"/>
      <c r="S39" s="1198"/>
      <c r="T39" s="1198"/>
      <c r="U39" s="1198"/>
      <c r="V39" s="1198"/>
      <c r="W39" s="1198"/>
      <c r="X39" s="1198"/>
      <c r="Y39" s="1198"/>
      <c r="Z39" s="1198"/>
      <c r="AA39" s="1198"/>
      <c r="AB39" s="1198"/>
      <c r="AC39" s="1198"/>
      <c r="AD39" s="1198"/>
      <c r="AE39" s="1198"/>
      <c r="AF39" s="1198"/>
      <c r="AG39" s="1198"/>
      <c r="AH39" s="1198"/>
      <c r="AI39" s="1198"/>
      <c r="AJ39" s="1198"/>
      <c r="AK39" s="1198"/>
      <c r="AL39" s="1198"/>
      <c r="AM39" s="1198"/>
      <c r="AN39" s="1198"/>
      <c r="AO39" s="1198"/>
      <c r="AP39" s="1198"/>
      <c r="AQ39" s="1198"/>
      <c r="AR39" s="1198"/>
      <c r="AS39" s="1198"/>
      <c r="AT39" s="1198"/>
      <c r="AU39" s="1198"/>
      <c r="AV39" s="1198"/>
      <c r="AW39" s="1198"/>
      <c r="AX39" s="1198"/>
      <c r="AY39" s="1198"/>
    </row>
    <row r="40" spans="2:52" ht="17.100000000000001" customHeight="1">
      <c r="J40" s="1198"/>
      <c r="O40" s="1198"/>
      <c r="T40" s="1198"/>
      <c r="Y40" s="1198"/>
      <c r="AD40" s="1198"/>
      <c r="AI40" s="1198"/>
      <c r="AN40" s="1198"/>
      <c r="AS40" s="1198"/>
      <c r="AX40" s="1198"/>
    </row>
    <row r="41" spans="2:52" ht="17.100000000000001" customHeight="1">
      <c r="J41" s="1198"/>
      <c r="O41" s="1198"/>
      <c r="T41" s="1198"/>
      <c r="Y41" s="1198"/>
      <c r="AD41" s="1198"/>
      <c r="AI41" s="1198"/>
      <c r="AN41" s="1198"/>
      <c r="AS41" s="1198"/>
      <c r="AX41" s="1198"/>
    </row>
  </sheetData>
  <mergeCells count="3">
    <mergeCell ref="B3:D4"/>
    <mergeCell ref="E3:E4"/>
    <mergeCell ref="F3:F4"/>
  </mergeCells>
  <phoneticPr fontId="12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629C9-4C07-4FCB-9DF1-6C529C4FA7E6}">
  <sheetPr codeName="Sheet13"/>
  <dimension ref="A1:GF138"/>
  <sheetViews>
    <sheetView showGridLines="0" zoomScaleNormal="100" zoomScaleSheetLayoutView="85" workbookViewId="0">
      <pane xSplit="7" ySplit="4" topLeftCell="AV84" activePane="bottomRight" state="frozen"/>
      <selection pane="topRight" activeCell="H1" sqref="H1"/>
      <selection pane="bottomLeft" activeCell="A5" sqref="A5"/>
      <selection pane="bottomRight" activeCell="S111" sqref="S111:AX111"/>
    </sheetView>
  </sheetViews>
  <sheetFormatPr defaultColWidth="0" defaultRowHeight="17.100000000000001" customHeight="1" outlineLevelRow="2"/>
  <cols>
    <col min="1" max="1" width="1" style="302" customWidth="1"/>
    <col min="2" max="2" width="2" style="302" customWidth="1"/>
    <col min="3" max="3" width="1.88671875" style="302" customWidth="1"/>
    <col min="4" max="4" width="13.109375" style="302" customWidth="1"/>
    <col min="5" max="5" width="1.88671875" style="302" customWidth="1"/>
    <col min="6" max="6" width="9.109375" style="302" customWidth="1"/>
    <col min="7" max="7" width="0.44140625" style="302" customWidth="1"/>
    <col min="8" max="8" width="9.77734375" style="302" customWidth="1"/>
    <col min="9" max="20" width="9.6640625" style="302" bestFit="1" customWidth="1"/>
    <col min="21" max="21" width="11.33203125" style="302" bestFit="1" customWidth="1"/>
    <col min="22" max="50" width="16.88671875" style="302" customWidth="1"/>
    <col min="51" max="187" width="9.6640625" style="302" bestFit="1" customWidth="1"/>
    <col min="188" max="188" width="8.88671875" style="302" customWidth="1"/>
    <col min="189" max="16384" width="8.88671875" style="302" hidden="1"/>
  </cols>
  <sheetData>
    <row r="1" spans="1:188" ht="8.4499999999999993" customHeight="1"/>
    <row r="2" spans="1:188" s="635" customFormat="1" ht="17.100000000000001" customHeight="1">
      <c r="A2" s="633"/>
      <c r="B2" s="634" t="s">
        <v>1077</v>
      </c>
    </row>
    <row r="3" spans="1:188" ht="12">
      <c r="C3" s="5586" t="s">
        <v>11</v>
      </c>
      <c r="D3" s="5587"/>
      <c r="E3" s="5588"/>
      <c r="F3" s="5585" t="s">
        <v>5100</v>
      </c>
      <c r="G3" s="4764"/>
      <c r="H3" s="4933">
        <f>YEAR(H4)</f>
        <v>2019</v>
      </c>
      <c r="I3" s="4933">
        <f t="shared" ref="I3:BT3" si="0">YEAR(I4)</f>
        <v>2019</v>
      </c>
      <c r="J3" s="4933">
        <f t="shared" si="0"/>
        <v>2019</v>
      </c>
      <c r="K3" s="4933">
        <f t="shared" si="0"/>
        <v>2019</v>
      </c>
      <c r="L3" s="4933">
        <f t="shared" si="0"/>
        <v>2020</v>
      </c>
      <c r="M3" s="4933">
        <f t="shared" si="0"/>
        <v>2020</v>
      </c>
      <c r="N3" s="4933">
        <f t="shared" si="0"/>
        <v>2020</v>
      </c>
      <c r="O3" s="4933">
        <f t="shared" si="0"/>
        <v>2020</v>
      </c>
      <c r="P3" s="4933">
        <f t="shared" si="0"/>
        <v>2021</v>
      </c>
      <c r="Q3" s="4933">
        <f t="shared" si="0"/>
        <v>2021</v>
      </c>
      <c r="R3" s="4933">
        <f t="shared" si="0"/>
        <v>2021</v>
      </c>
      <c r="S3" s="4933">
        <f t="shared" si="0"/>
        <v>2021</v>
      </c>
      <c r="T3" s="4933">
        <f t="shared" si="0"/>
        <v>2022</v>
      </c>
      <c r="U3" s="4933">
        <f t="shared" si="0"/>
        <v>2022</v>
      </c>
      <c r="V3" s="4933">
        <f t="shared" si="0"/>
        <v>2022</v>
      </c>
      <c r="W3" s="4933">
        <f t="shared" si="0"/>
        <v>2022</v>
      </c>
      <c r="X3" s="4933">
        <f t="shared" si="0"/>
        <v>2023</v>
      </c>
      <c r="Y3" s="4933">
        <f t="shared" si="0"/>
        <v>2023</v>
      </c>
      <c r="Z3" s="4933">
        <f t="shared" si="0"/>
        <v>2023</v>
      </c>
      <c r="AA3" s="4933">
        <f t="shared" si="0"/>
        <v>2023</v>
      </c>
      <c r="AB3" s="4933">
        <f t="shared" si="0"/>
        <v>2024</v>
      </c>
      <c r="AC3" s="4933">
        <f t="shared" si="0"/>
        <v>2024</v>
      </c>
      <c r="AD3" s="4933">
        <f t="shared" si="0"/>
        <v>2024</v>
      </c>
      <c r="AE3" s="4933">
        <f t="shared" si="0"/>
        <v>2024</v>
      </c>
      <c r="AF3" s="4933">
        <f t="shared" si="0"/>
        <v>2025</v>
      </c>
      <c r="AG3" s="4933">
        <f t="shared" si="0"/>
        <v>2025</v>
      </c>
      <c r="AH3" s="4933">
        <f t="shared" si="0"/>
        <v>2025</v>
      </c>
      <c r="AI3" s="4933">
        <f t="shared" si="0"/>
        <v>2025</v>
      </c>
      <c r="AJ3" s="4933">
        <f t="shared" si="0"/>
        <v>2026</v>
      </c>
      <c r="AK3" s="4933">
        <f t="shared" si="0"/>
        <v>2026</v>
      </c>
      <c r="AL3" s="4933">
        <f t="shared" si="0"/>
        <v>2026</v>
      </c>
      <c r="AM3" s="4933">
        <f t="shared" si="0"/>
        <v>2026</v>
      </c>
      <c r="AN3" s="4933">
        <f t="shared" si="0"/>
        <v>2027</v>
      </c>
      <c r="AO3" s="4933">
        <f t="shared" si="0"/>
        <v>2027</v>
      </c>
      <c r="AP3" s="4933">
        <f t="shared" si="0"/>
        <v>2027</v>
      </c>
      <c r="AQ3" s="4933">
        <f t="shared" si="0"/>
        <v>2027</v>
      </c>
      <c r="AR3" s="4933">
        <f t="shared" si="0"/>
        <v>2028</v>
      </c>
      <c r="AS3" s="4933">
        <f t="shared" si="0"/>
        <v>2028</v>
      </c>
      <c r="AT3" s="4933">
        <f t="shared" si="0"/>
        <v>2028</v>
      </c>
      <c r="AU3" s="4933">
        <f t="shared" si="0"/>
        <v>2028</v>
      </c>
      <c r="AV3" s="4933">
        <f t="shared" si="0"/>
        <v>2029</v>
      </c>
      <c r="AW3" s="4933">
        <f t="shared" si="0"/>
        <v>2029</v>
      </c>
      <c r="AX3" s="4933">
        <f t="shared" si="0"/>
        <v>2029</v>
      </c>
      <c r="AY3" s="4933">
        <f t="shared" si="0"/>
        <v>2029</v>
      </c>
      <c r="AZ3" s="4933">
        <f t="shared" si="0"/>
        <v>2030</v>
      </c>
      <c r="BA3" s="4933">
        <f t="shared" si="0"/>
        <v>2030</v>
      </c>
      <c r="BB3" s="4933">
        <f t="shared" si="0"/>
        <v>2030</v>
      </c>
      <c r="BC3" s="4933">
        <f t="shared" si="0"/>
        <v>2030</v>
      </c>
      <c r="BD3" s="4933">
        <f t="shared" si="0"/>
        <v>2031</v>
      </c>
      <c r="BE3" s="4933">
        <f t="shared" si="0"/>
        <v>2031</v>
      </c>
      <c r="BF3" s="4933">
        <f t="shared" si="0"/>
        <v>2031</v>
      </c>
      <c r="BG3" s="4933">
        <f t="shared" si="0"/>
        <v>2031</v>
      </c>
      <c r="BH3" s="4933">
        <f t="shared" si="0"/>
        <v>2032</v>
      </c>
      <c r="BI3" s="4933">
        <f t="shared" si="0"/>
        <v>2032</v>
      </c>
      <c r="BJ3" s="4933">
        <f t="shared" si="0"/>
        <v>2032</v>
      </c>
      <c r="BK3" s="4933">
        <f t="shared" si="0"/>
        <v>2032</v>
      </c>
      <c r="BL3" s="4933">
        <f t="shared" si="0"/>
        <v>2033</v>
      </c>
      <c r="BM3" s="4933">
        <f t="shared" si="0"/>
        <v>2033</v>
      </c>
      <c r="BN3" s="4933">
        <f t="shared" si="0"/>
        <v>2033</v>
      </c>
      <c r="BO3" s="4933">
        <f t="shared" si="0"/>
        <v>2033</v>
      </c>
      <c r="BP3" s="4933">
        <f t="shared" si="0"/>
        <v>2034</v>
      </c>
      <c r="BQ3" s="4933">
        <f t="shared" si="0"/>
        <v>2034</v>
      </c>
      <c r="BR3" s="4933">
        <f t="shared" si="0"/>
        <v>2034</v>
      </c>
      <c r="BS3" s="4933">
        <f t="shared" si="0"/>
        <v>2034</v>
      </c>
      <c r="BT3" s="4933">
        <f t="shared" si="0"/>
        <v>2035</v>
      </c>
      <c r="BU3" s="4933">
        <f t="shared" ref="BU3:EF3" si="1">YEAR(BU4)</f>
        <v>2035</v>
      </c>
      <c r="BV3" s="4933">
        <f t="shared" si="1"/>
        <v>2035</v>
      </c>
      <c r="BW3" s="4933">
        <f t="shared" si="1"/>
        <v>2035</v>
      </c>
      <c r="BX3" s="4933">
        <f t="shared" si="1"/>
        <v>2036</v>
      </c>
      <c r="BY3" s="4933">
        <f t="shared" si="1"/>
        <v>2036</v>
      </c>
      <c r="BZ3" s="4933">
        <f t="shared" si="1"/>
        <v>2036</v>
      </c>
      <c r="CA3" s="4933">
        <f t="shared" si="1"/>
        <v>2036</v>
      </c>
      <c r="CB3" s="4933">
        <f t="shared" si="1"/>
        <v>2037</v>
      </c>
      <c r="CC3" s="4933">
        <f t="shared" si="1"/>
        <v>2037</v>
      </c>
      <c r="CD3" s="4933">
        <f t="shared" si="1"/>
        <v>2037</v>
      </c>
      <c r="CE3" s="4933">
        <f t="shared" si="1"/>
        <v>2037</v>
      </c>
      <c r="CF3" s="4933">
        <f t="shared" si="1"/>
        <v>2038</v>
      </c>
      <c r="CG3" s="4933">
        <f t="shared" si="1"/>
        <v>2038</v>
      </c>
      <c r="CH3" s="4933">
        <f t="shared" si="1"/>
        <v>2038</v>
      </c>
      <c r="CI3" s="4933">
        <f t="shared" si="1"/>
        <v>2038</v>
      </c>
      <c r="CJ3" s="4933">
        <f t="shared" si="1"/>
        <v>2039</v>
      </c>
      <c r="CK3" s="4933">
        <f t="shared" si="1"/>
        <v>2039</v>
      </c>
      <c r="CL3" s="4933">
        <f t="shared" si="1"/>
        <v>2039</v>
      </c>
      <c r="CM3" s="4933">
        <f t="shared" si="1"/>
        <v>2039</v>
      </c>
      <c r="CN3" s="4933">
        <f t="shared" si="1"/>
        <v>2040</v>
      </c>
      <c r="CO3" s="4933">
        <f t="shared" si="1"/>
        <v>2040</v>
      </c>
      <c r="CP3" s="4933">
        <f t="shared" si="1"/>
        <v>2040</v>
      </c>
      <c r="CQ3" s="4933">
        <f t="shared" si="1"/>
        <v>2040</v>
      </c>
      <c r="CR3" s="4933">
        <f t="shared" si="1"/>
        <v>2041</v>
      </c>
      <c r="CS3" s="4933">
        <f t="shared" si="1"/>
        <v>2041</v>
      </c>
      <c r="CT3" s="4933">
        <f t="shared" si="1"/>
        <v>2041</v>
      </c>
      <c r="CU3" s="4933">
        <f t="shared" si="1"/>
        <v>2041</v>
      </c>
      <c r="CV3" s="4933">
        <f t="shared" si="1"/>
        <v>2042</v>
      </c>
      <c r="CW3" s="4933">
        <f t="shared" si="1"/>
        <v>2042</v>
      </c>
      <c r="CX3" s="4933">
        <f t="shared" si="1"/>
        <v>2042</v>
      </c>
      <c r="CY3" s="4933">
        <f t="shared" si="1"/>
        <v>2042</v>
      </c>
      <c r="CZ3" s="4933">
        <f t="shared" si="1"/>
        <v>2043</v>
      </c>
      <c r="DA3" s="4933">
        <f t="shared" si="1"/>
        <v>2043</v>
      </c>
      <c r="DB3" s="4933">
        <f t="shared" si="1"/>
        <v>2043</v>
      </c>
      <c r="DC3" s="4933">
        <f t="shared" si="1"/>
        <v>2043</v>
      </c>
      <c r="DD3" s="4933">
        <f t="shared" si="1"/>
        <v>2044</v>
      </c>
      <c r="DE3" s="4933">
        <f t="shared" si="1"/>
        <v>2044</v>
      </c>
      <c r="DF3" s="4933">
        <f t="shared" si="1"/>
        <v>2044</v>
      </c>
      <c r="DG3" s="4933">
        <f t="shared" si="1"/>
        <v>2044</v>
      </c>
      <c r="DH3" s="4933">
        <f t="shared" si="1"/>
        <v>2045</v>
      </c>
      <c r="DI3" s="4933">
        <f t="shared" si="1"/>
        <v>2045</v>
      </c>
      <c r="DJ3" s="4933">
        <f t="shared" si="1"/>
        <v>2045</v>
      </c>
      <c r="DK3" s="4933">
        <f t="shared" si="1"/>
        <v>2045</v>
      </c>
      <c r="DL3" s="4933">
        <f t="shared" si="1"/>
        <v>2046</v>
      </c>
      <c r="DM3" s="4933">
        <f t="shared" si="1"/>
        <v>2046</v>
      </c>
      <c r="DN3" s="4933">
        <f t="shared" si="1"/>
        <v>2046</v>
      </c>
      <c r="DO3" s="4933">
        <f t="shared" si="1"/>
        <v>2046</v>
      </c>
      <c r="DP3" s="4933">
        <f t="shared" si="1"/>
        <v>2047</v>
      </c>
      <c r="DQ3" s="4933">
        <f t="shared" si="1"/>
        <v>2047</v>
      </c>
      <c r="DR3" s="4933">
        <f t="shared" si="1"/>
        <v>2047</v>
      </c>
      <c r="DS3" s="4933">
        <f t="shared" si="1"/>
        <v>2047</v>
      </c>
      <c r="DT3" s="4933">
        <f t="shared" si="1"/>
        <v>2048</v>
      </c>
      <c r="DU3" s="4933">
        <f t="shared" si="1"/>
        <v>2048</v>
      </c>
      <c r="DV3" s="4933">
        <f t="shared" si="1"/>
        <v>2048</v>
      </c>
      <c r="DW3" s="4933">
        <f t="shared" si="1"/>
        <v>2048</v>
      </c>
      <c r="DX3" s="4933">
        <f t="shared" si="1"/>
        <v>2049</v>
      </c>
      <c r="DY3" s="4933">
        <f t="shared" si="1"/>
        <v>2049</v>
      </c>
      <c r="DZ3" s="4933">
        <f t="shared" si="1"/>
        <v>2049</v>
      </c>
      <c r="EA3" s="4933">
        <f t="shared" si="1"/>
        <v>2049</v>
      </c>
      <c r="EB3" s="4933">
        <f t="shared" si="1"/>
        <v>2050</v>
      </c>
      <c r="EC3" s="4933">
        <f t="shared" si="1"/>
        <v>2050</v>
      </c>
      <c r="ED3" s="4933">
        <f t="shared" si="1"/>
        <v>2050</v>
      </c>
      <c r="EE3" s="4933">
        <f t="shared" si="1"/>
        <v>2050</v>
      </c>
      <c r="EF3" s="4933">
        <f t="shared" si="1"/>
        <v>2051</v>
      </c>
      <c r="EG3" s="4933">
        <f t="shared" ref="EG3:GA3" si="2">YEAR(EG4)</f>
        <v>2051</v>
      </c>
      <c r="EH3" s="4933">
        <f t="shared" si="2"/>
        <v>2051</v>
      </c>
      <c r="EI3" s="4933">
        <f t="shared" si="2"/>
        <v>2051</v>
      </c>
      <c r="EJ3" s="4933">
        <f t="shared" si="2"/>
        <v>2052</v>
      </c>
      <c r="EK3" s="4933">
        <f t="shared" si="2"/>
        <v>2052</v>
      </c>
      <c r="EL3" s="4933">
        <f t="shared" si="2"/>
        <v>2052</v>
      </c>
      <c r="EM3" s="4933">
        <f t="shared" si="2"/>
        <v>2052</v>
      </c>
      <c r="EN3" s="4933">
        <f t="shared" si="2"/>
        <v>2053</v>
      </c>
      <c r="EO3" s="4933">
        <f t="shared" si="2"/>
        <v>2053</v>
      </c>
      <c r="EP3" s="4933">
        <f t="shared" si="2"/>
        <v>2053</v>
      </c>
      <c r="EQ3" s="4933">
        <f t="shared" si="2"/>
        <v>2053</v>
      </c>
      <c r="ER3" s="4933">
        <f t="shared" si="2"/>
        <v>2054</v>
      </c>
      <c r="ES3" s="4933">
        <f t="shared" si="2"/>
        <v>2054</v>
      </c>
      <c r="ET3" s="4933">
        <f t="shared" si="2"/>
        <v>2054</v>
      </c>
      <c r="EU3" s="4933">
        <f t="shared" si="2"/>
        <v>2054</v>
      </c>
      <c r="EV3" s="4933">
        <f t="shared" si="2"/>
        <v>2055</v>
      </c>
      <c r="EW3" s="4933">
        <f t="shared" si="2"/>
        <v>2055</v>
      </c>
      <c r="EX3" s="4933">
        <f t="shared" si="2"/>
        <v>2055</v>
      </c>
      <c r="EY3" s="4933">
        <f t="shared" si="2"/>
        <v>2055</v>
      </c>
      <c r="EZ3" s="4933">
        <f t="shared" si="2"/>
        <v>2056</v>
      </c>
      <c r="FA3" s="4933">
        <f t="shared" si="2"/>
        <v>2056</v>
      </c>
      <c r="FB3" s="4933">
        <f t="shared" si="2"/>
        <v>2056</v>
      </c>
      <c r="FC3" s="4933">
        <f t="shared" si="2"/>
        <v>2056</v>
      </c>
      <c r="FD3" s="4933">
        <f t="shared" si="2"/>
        <v>2057</v>
      </c>
      <c r="FE3" s="4933">
        <f t="shared" si="2"/>
        <v>2057</v>
      </c>
      <c r="FF3" s="4933">
        <f t="shared" si="2"/>
        <v>2057</v>
      </c>
      <c r="FG3" s="4933">
        <f t="shared" si="2"/>
        <v>2057</v>
      </c>
      <c r="FH3" s="4933">
        <f t="shared" si="2"/>
        <v>2058</v>
      </c>
      <c r="FI3" s="4933">
        <f t="shared" si="2"/>
        <v>2058</v>
      </c>
      <c r="FJ3" s="4933">
        <f t="shared" si="2"/>
        <v>2058</v>
      </c>
      <c r="FK3" s="4933">
        <f t="shared" si="2"/>
        <v>2058</v>
      </c>
      <c r="FL3" s="4933">
        <f t="shared" si="2"/>
        <v>2059</v>
      </c>
      <c r="FM3" s="4933">
        <f t="shared" si="2"/>
        <v>2059</v>
      </c>
      <c r="FN3" s="4933">
        <f t="shared" si="2"/>
        <v>2059</v>
      </c>
      <c r="FO3" s="4933">
        <f t="shared" si="2"/>
        <v>2059</v>
      </c>
      <c r="FP3" s="4933">
        <f t="shared" si="2"/>
        <v>2060</v>
      </c>
      <c r="FQ3" s="4933">
        <f t="shared" si="2"/>
        <v>2060</v>
      </c>
      <c r="FR3" s="4933">
        <f t="shared" si="2"/>
        <v>2060</v>
      </c>
      <c r="FS3" s="4933">
        <f t="shared" si="2"/>
        <v>2060</v>
      </c>
      <c r="FT3" s="4933">
        <f t="shared" si="2"/>
        <v>2061</v>
      </c>
      <c r="FU3" s="4933">
        <f t="shared" si="2"/>
        <v>2061</v>
      </c>
      <c r="FV3" s="4933">
        <f t="shared" si="2"/>
        <v>2061</v>
      </c>
      <c r="FW3" s="4933">
        <f t="shared" si="2"/>
        <v>2061</v>
      </c>
      <c r="FX3" s="4933">
        <f t="shared" si="2"/>
        <v>2062</v>
      </c>
      <c r="FY3" s="4933">
        <f t="shared" si="2"/>
        <v>2062</v>
      </c>
      <c r="FZ3" s="4933">
        <f t="shared" si="2"/>
        <v>2062</v>
      </c>
      <c r="GA3" s="4933">
        <f t="shared" si="2"/>
        <v>2062</v>
      </c>
      <c r="GB3" s="4933">
        <f>YEAR(GB4)</f>
        <v>2063</v>
      </c>
      <c r="GC3" s="4933">
        <f>YEAR(GC4)</f>
        <v>2063</v>
      </c>
      <c r="GD3" s="4933">
        <f>YEAR(GD4)</f>
        <v>2063</v>
      </c>
      <c r="GE3" s="4933">
        <f>YEAR(GE4)</f>
        <v>2063</v>
      </c>
    </row>
    <row r="4" spans="1:188" ht="13.5" customHeight="1">
      <c r="C4" s="5589"/>
      <c r="D4" s="5590"/>
      <c r="E4" s="5591"/>
      <c r="F4" s="5585"/>
      <c r="G4" s="4764"/>
      <c r="H4" s="4934">
        <f>기준분기</f>
        <v>43555</v>
      </c>
      <c r="I4" s="4934">
        <f t="shared" ref="I4:BT4" si="3">EOMONTH(H4,3)</f>
        <v>43646</v>
      </c>
      <c r="J4" s="4934">
        <f t="shared" si="3"/>
        <v>43738</v>
      </c>
      <c r="K4" s="4934">
        <f t="shared" si="3"/>
        <v>43830</v>
      </c>
      <c r="L4" s="4934">
        <f t="shared" si="3"/>
        <v>43921</v>
      </c>
      <c r="M4" s="4934">
        <f t="shared" si="3"/>
        <v>44012</v>
      </c>
      <c r="N4" s="4934">
        <f t="shared" si="3"/>
        <v>44104</v>
      </c>
      <c r="O4" s="4934">
        <f t="shared" si="3"/>
        <v>44196</v>
      </c>
      <c r="P4" s="4934">
        <f t="shared" si="3"/>
        <v>44286</v>
      </c>
      <c r="Q4" s="4934">
        <f t="shared" si="3"/>
        <v>44377</v>
      </c>
      <c r="R4" s="4934">
        <f t="shared" si="3"/>
        <v>44469</v>
      </c>
      <c r="S4" s="4934">
        <f t="shared" si="3"/>
        <v>44561</v>
      </c>
      <c r="T4" s="4934">
        <f t="shared" si="3"/>
        <v>44651</v>
      </c>
      <c r="U4" s="4934">
        <f t="shared" si="3"/>
        <v>44742</v>
      </c>
      <c r="V4" s="4934">
        <f t="shared" si="3"/>
        <v>44834</v>
      </c>
      <c r="W4" s="4934">
        <f t="shared" si="3"/>
        <v>44926</v>
      </c>
      <c r="X4" s="4934">
        <f t="shared" si="3"/>
        <v>45016</v>
      </c>
      <c r="Y4" s="4934">
        <f t="shared" si="3"/>
        <v>45107</v>
      </c>
      <c r="Z4" s="4934">
        <f t="shared" si="3"/>
        <v>45199</v>
      </c>
      <c r="AA4" s="4934">
        <f t="shared" si="3"/>
        <v>45291</v>
      </c>
      <c r="AB4" s="4934">
        <f t="shared" si="3"/>
        <v>45382</v>
      </c>
      <c r="AC4" s="4934">
        <f t="shared" si="3"/>
        <v>45473</v>
      </c>
      <c r="AD4" s="4934">
        <f t="shared" si="3"/>
        <v>45565</v>
      </c>
      <c r="AE4" s="4934">
        <f t="shared" si="3"/>
        <v>45657</v>
      </c>
      <c r="AF4" s="4934">
        <f t="shared" si="3"/>
        <v>45747</v>
      </c>
      <c r="AG4" s="4934">
        <f t="shared" si="3"/>
        <v>45838</v>
      </c>
      <c r="AH4" s="4934">
        <f t="shared" si="3"/>
        <v>45930</v>
      </c>
      <c r="AI4" s="4934">
        <f t="shared" si="3"/>
        <v>46022</v>
      </c>
      <c r="AJ4" s="4934">
        <f t="shared" si="3"/>
        <v>46112</v>
      </c>
      <c r="AK4" s="4934">
        <f t="shared" si="3"/>
        <v>46203</v>
      </c>
      <c r="AL4" s="4934">
        <f t="shared" si="3"/>
        <v>46295</v>
      </c>
      <c r="AM4" s="4934">
        <f t="shared" si="3"/>
        <v>46387</v>
      </c>
      <c r="AN4" s="4934">
        <f t="shared" si="3"/>
        <v>46477</v>
      </c>
      <c r="AO4" s="4934">
        <f t="shared" si="3"/>
        <v>46568</v>
      </c>
      <c r="AP4" s="4934">
        <f t="shared" si="3"/>
        <v>46660</v>
      </c>
      <c r="AQ4" s="4934">
        <f t="shared" si="3"/>
        <v>46752</v>
      </c>
      <c r="AR4" s="4934">
        <f t="shared" si="3"/>
        <v>46843</v>
      </c>
      <c r="AS4" s="4934">
        <f t="shared" si="3"/>
        <v>46934</v>
      </c>
      <c r="AT4" s="4934">
        <f t="shared" si="3"/>
        <v>47026</v>
      </c>
      <c r="AU4" s="4934">
        <f t="shared" si="3"/>
        <v>47118</v>
      </c>
      <c r="AV4" s="4934">
        <f t="shared" si="3"/>
        <v>47208</v>
      </c>
      <c r="AW4" s="4934">
        <f t="shared" si="3"/>
        <v>47299</v>
      </c>
      <c r="AX4" s="4934">
        <f t="shared" si="3"/>
        <v>47391</v>
      </c>
      <c r="AY4" s="4934">
        <f t="shared" si="3"/>
        <v>47483</v>
      </c>
      <c r="AZ4" s="4934">
        <f t="shared" si="3"/>
        <v>47573</v>
      </c>
      <c r="BA4" s="4934">
        <f t="shared" si="3"/>
        <v>47664</v>
      </c>
      <c r="BB4" s="4934">
        <f t="shared" si="3"/>
        <v>47756</v>
      </c>
      <c r="BC4" s="4934">
        <f t="shared" si="3"/>
        <v>47848</v>
      </c>
      <c r="BD4" s="4934">
        <f t="shared" si="3"/>
        <v>47938</v>
      </c>
      <c r="BE4" s="4934">
        <f t="shared" si="3"/>
        <v>48029</v>
      </c>
      <c r="BF4" s="4934">
        <f t="shared" si="3"/>
        <v>48121</v>
      </c>
      <c r="BG4" s="4934">
        <f t="shared" si="3"/>
        <v>48213</v>
      </c>
      <c r="BH4" s="4934">
        <f t="shared" si="3"/>
        <v>48304</v>
      </c>
      <c r="BI4" s="4934">
        <f t="shared" si="3"/>
        <v>48395</v>
      </c>
      <c r="BJ4" s="4934">
        <f t="shared" si="3"/>
        <v>48487</v>
      </c>
      <c r="BK4" s="4934">
        <f t="shared" si="3"/>
        <v>48579</v>
      </c>
      <c r="BL4" s="4934">
        <f t="shared" si="3"/>
        <v>48669</v>
      </c>
      <c r="BM4" s="4934">
        <f t="shared" si="3"/>
        <v>48760</v>
      </c>
      <c r="BN4" s="4934">
        <f t="shared" si="3"/>
        <v>48852</v>
      </c>
      <c r="BO4" s="4934">
        <f t="shared" si="3"/>
        <v>48944</v>
      </c>
      <c r="BP4" s="4934">
        <f t="shared" si="3"/>
        <v>49034</v>
      </c>
      <c r="BQ4" s="4934">
        <f t="shared" si="3"/>
        <v>49125</v>
      </c>
      <c r="BR4" s="4934">
        <f t="shared" si="3"/>
        <v>49217</v>
      </c>
      <c r="BS4" s="4934">
        <f t="shared" si="3"/>
        <v>49309</v>
      </c>
      <c r="BT4" s="4934">
        <f t="shared" si="3"/>
        <v>49399</v>
      </c>
      <c r="BU4" s="4934">
        <f t="shared" ref="BU4:EF4" si="4">EOMONTH(BT4,3)</f>
        <v>49490</v>
      </c>
      <c r="BV4" s="4934">
        <f t="shared" si="4"/>
        <v>49582</v>
      </c>
      <c r="BW4" s="4934">
        <f t="shared" si="4"/>
        <v>49674</v>
      </c>
      <c r="BX4" s="4934">
        <f t="shared" si="4"/>
        <v>49765</v>
      </c>
      <c r="BY4" s="4934">
        <f t="shared" si="4"/>
        <v>49856</v>
      </c>
      <c r="BZ4" s="4934">
        <f t="shared" si="4"/>
        <v>49948</v>
      </c>
      <c r="CA4" s="4934">
        <f t="shared" si="4"/>
        <v>50040</v>
      </c>
      <c r="CB4" s="4934">
        <f t="shared" si="4"/>
        <v>50130</v>
      </c>
      <c r="CC4" s="4934">
        <f t="shared" si="4"/>
        <v>50221</v>
      </c>
      <c r="CD4" s="4934">
        <f t="shared" si="4"/>
        <v>50313</v>
      </c>
      <c r="CE4" s="4934">
        <f t="shared" si="4"/>
        <v>50405</v>
      </c>
      <c r="CF4" s="4934">
        <f t="shared" si="4"/>
        <v>50495</v>
      </c>
      <c r="CG4" s="4934">
        <f t="shared" si="4"/>
        <v>50586</v>
      </c>
      <c r="CH4" s="4934">
        <f t="shared" si="4"/>
        <v>50678</v>
      </c>
      <c r="CI4" s="4934">
        <f t="shared" si="4"/>
        <v>50770</v>
      </c>
      <c r="CJ4" s="4934">
        <f t="shared" si="4"/>
        <v>50860</v>
      </c>
      <c r="CK4" s="4934">
        <f t="shared" si="4"/>
        <v>50951</v>
      </c>
      <c r="CL4" s="4934">
        <f t="shared" si="4"/>
        <v>51043</v>
      </c>
      <c r="CM4" s="4934">
        <f t="shared" si="4"/>
        <v>51135</v>
      </c>
      <c r="CN4" s="4934">
        <f t="shared" si="4"/>
        <v>51226</v>
      </c>
      <c r="CO4" s="4934">
        <f t="shared" si="4"/>
        <v>51317</v>
      </c>
      <c r="CP4" s="4934">
        <f t="shared" si="4"/>
        <v>51409</v>
      </c>
      <c r="CQ4" s="4934">
        <f t="shared" si="4"/>
        <v>51501</v>
      </c>
      <c r="CR4" s="4934">
        <f t="shared" si="4"/>
        <v>51591</v>
      </c>
      <c r="CS4" s="4934">
        <f t="shared" si="4"/>
        <v>51682</v>
      </c>
      <c r="CT4" s="4934">
        <f t="shared" si="4"/>
        <v>51774</v>
      </c>
      <c r="CU4" s="4934">
        <f t="shared" si="4"/>
        <v>51866</v>
      </c>
      <c r="CV4" s="4934">
        <f t="shared" si="4"/>
        <v>51956</v>
      </c>
      <c r="CW4" s="4934">
        <f t="shared" si="4"/>
        <v>52047</v>
      </c>
      <c r="CX4" s="4934">
        <f t="shared" si="4"/>
        <v>52139</v>
      </c>
      <c r="CY4" s="4934">
        <f t="shared" si="4"/>
        <v>52231</v>
      </c>
      <c r="CZ4" s="4934">
        <f t="shared" si="4"/>
        <v>52321</v>
      </c>
      <c r="DA4" s="4934">
        <f t="shared" si="4"/>
        <v>52412</v>
      </c>
      <c r="DB4" s="4934">
        <f t="shared" si="4"/>
        <v>52504</v>
      </c>
      <c r="DC4" s="4934">
        <f t="shared" si="4"/>
        <v>52596</v>
      </c>
      <c r="DD4" s="4934">
        <f t="shared" si="4"/>
        <v>52687</v>
      </c>
      <c r="DE4" s="4934">
        <f t="shared" si="4"/>
        <v>52778</v>
      </c>
      <c r="DF4" s="4934">
        <f t="shared" si="4"/>
        <v>52870</v>
      </c>
      <c r="DG4" s="4934">
        <f t="shared" si="4"/>
        <v>52962</v>
      </c>
      <c r="DH4" s="4934">
        <f t="shared" si="4"/>
        <v>53052</v>
      </c>
      <c r="DI4" s="4934">
        <f t="shared" si="4"/>
        <v>53143</v>
      </c>
      <c r="DJ4" s="4934">
        <f t="shared" si="4"/>
        <v>53235</v>
      </c>
      <c r="DK4" s="4934">
        <f t="shared" si="4"/>
        <v>53327</v>
      </c>
      <c r="DL4" s="4934">
        <f t="shared" si="4"/>
        <v>53417</v>
      </c>
      <c r="DM4" s="4934">
        <f t="shared" si="4"/>
        <v>53508</v>
      </c>
      <c r="DN4" s="4934">
        <f t="shared" si="4"/>
        <v>53600</v>
      </c>
      <c r="DO4" s="4934">
        <f t="shared" si="4"/>
        <v>53692</v>
      </c>
      <c r="DP4" s="4934">
        <f t="shared" si="4"/>
        <v>53782</v>
      </c>
      <c r="DQ4" s="4934">
        <f t="shared" si="4"/>
        <v>53873</v>
      </c>
      <c r="DR4" s="4934">
        <f t="shared" si="4"/>
        <v>53965</v>
      </c>
      <c r="DS4" s="4934">
        <f t="shared" si="4"/>
        <v>54057</v>
      </c>
      <c r="DT4" s="4934">
        <f t="shared" si="4"/>
        <v>54148</v>
      </c>
      <c r="DU4" s="4934">
        <f t="shared" si="4"/>
        <v>54239</v>
      </c>
      <c r="DV4" s="4934">
        <f t="shared" si="4"/>
        <v>54331</v>
      </c>
      <c r="DW4" s="4934">
        <f t="shared" si="4"/>
        <v>54423</v>
      </c>
      <c r="DX4" s="4934">
        <f t="shared" si="4"/>
        <v>54513</v>
      </c>
      <c r="DY4" s="4934">
        <f t="shared" si="4"/>
        <v>54604</v>
      </c>
      <c r="DZ4" s="4934">
        <f t="shared" si="4"/>
        <v>54696</v>
      </c>
      <c r="EA4" s="4934">
        <f t="shared" si="4"/>
        <v>54788</v>
      </c>
      <c r="EB4" s="4934">
        <f t="shared" si="4"/>
        <v>54878</v>
      </c>
      <c r="EC4" s="4934">
        <f t="shared" si="4"/>
        <v>54969</v>
      </c>
      <c r="ED4" s="4934">
        <f t="shared" si="4"/>
        <v>55061</v>
      </c>
      <c r="EE4" s="4934">
        <f t="shared" si="4"/>
        <v>55153</v>
      </c>
      <c r="EF4" s="4934">
        <f t="shared" si="4"/>
        <v>55243</v>
      </c>
      <c r="EG4" s="4934">
        <f t="shared" ref="EG4:GE4" si="5">EOMONTH(EF4,3)</f>
        <v>55334</v>
      </c>
      <c r="EH4" s="4934">
        <f t="shared" si="5"/>
        <v>55426</v>
      </c>
      <c r="EI4" s="4934">
        <f t="shared" si="5"/>
        <v>55518</v>
      </c>
      <c r="EJ4" s="4934">
        <f t="shared" si="5"/>
        <v>55609</v>
      </c>
      <c r="EK4" s="4934">
        <f t="shared" si="5"/>
        <v>55700</v>
      </c>
      <c r="EL4" s="4934">
        <f t="shared" si="5"/>
        <v>55792</v>
      </c>
      <c r="EM4" s="4934">
        <f t="shared" si="5"/>
        <v>55884</v>
      </c>
      <c r="EN4" s="4934">
        <f t="shared" si="5"/>
        <v>55974</v>
      </c>
      <c r="EO4" s="4934">
        <f t="shared" si="5"/>
        <v>56065</v>
      </c>
      <c r="EP4" s="4934">
        <f t="shared" si="5"/>
        <v>56157</v>
      </c>
      <c r="EQ4" s="4934">
        <f t="shared" si="5"/>
        <v>56249</v>
      </c>
      <c r="ER4" s="4934">
        <f t="shared" si="5"/>
        <v>56339</v>
      </c>
      <c r="ES4" s="4934">
        <f t="shared" si="5"/>
        <v>56430</v>
      </c>
      <c r="ET4" s="4934">
        <f t="shared" si="5"/>
        <v>56522</v>
      </c>
      <c r="EU4" s="4934">
        <f t="shared" si="5"/>
        <v>56614</v>
      </c>
      <c r="EV4" s="4934">
        <f t="shared" si="5"/>
        <v>56704</v>
      </c>
      <c r="EW4" s="4934">
        <f t="shared" si="5"/>
        <v>56795</v>
      </c>
      <c r="EX4" s="4934">
        <f t="shared" si="5"/>
        <v>56887</v>
      </c>
      <c r="EY4" s="4934">
        <f t="shared" si="5"/>
        <v>56979</v>
      </c>
      <c r="EZ4" s="4934">
        <f t="shared" si="5"/>
        <v>57070</v>
      </c>
      <c r="FA4" s="4934">
        <f t="shared" si="5"/>
        <v>57161</v>
      </c>
      <c r="FB4" s="4934">
        <f t="shared" si="5"/>
        <v>57253</v>
      </c>
      <c r="FC4" s="4934">
        <f t="shared" si="5"/>
        <v>57345</v>
      </c>
      <c r="FD4" s="4934">
        <f t="shared" si="5"/>
        <v>57435</v>
      </c>
      <c r="FE4" s="4934">
        <f t="shared" si="5"/>
        <v>57526</v>
      </c>
      <c r="FF4" s="4934">
        <f t="shared" si="5"/>
        <v>57618</v>
      </c>
      <c r="FG4" s="4934">
        <f t="shared" si="5"/>
        <v>57710</v>
      </c>
      <c r="FH4" s="4934">
        <f t="shared" si="5"/>
        <v>57800</v>
      </c>
      <c r="FI4" s="4934">
        <f t="shared" si="5"/>
        <v>57891</v>
      </c>
      <c r="FJ4" s="4934">
        <f t="shared" si="5"/>
        <v>57983</v>
      </c>
      <c r="FK4" s="4934">
        <f t="shared" si="5"/>
        <v>58075</v>
      </c>
      <c r="FL4" s="4934">
        <f t="shared" si="5"/>
        <v>58165</v>
      </c>
      <c r="FM4" s="4934">
        <f t="shared" si="5"/>
        <v>58256</v>
      </c>
      <c r="FN4" s="4934">
        <f t="shared" si="5"/>
        <v>58348</v>
      </c>
      <c r="FO4" s="4934">
        <f t="shared" si="5"/>
        <v>58440</v>
      </c>
      <c r="FP4" s="4934">
        <f t="shared" si="5"/>
        <v>58531</v>
      </c>
      <c r="FQ4" s="4934">
        <f t="shared" si="5"/>
        <v>58622</v>
      </c>
      <c r="FR4" s="4934">
        <f t="shared" si="5"/>
        <v>58714</v>
      </c>
      <c r="FS4" s="4934">
        <f t="shared" si="5"/>
        <v>58806</v>
      </c>
      <c r="FT4" s="4934">
        <f t="shared" si="5"/>
        <v>58896</v>
      </c>
      <c r="FU4" s="4934">
        <f t="shared" si="5"/>
        <v>58987</v>
      </c>
      <c r="FV4" s="4934">
        <f t="shared" si="5"/>
        <v>59079</v>
      </c>
      <c r="FW4" s="4934">
        <f t="shared" si="5"/>
        <v>59171</v>
      </c>
      <c r="FX4" s="4934">
        <f t="shared" si="5"/>
        <v>59261</v>
      </c>
      <c r="FY4" s="4934">
        <f t="shared" si="5"/>
        <v>59352</v>
      </c>
      <c r="FZ4" s="4934">
        <f t="shared" si="5"/>
        <v>59444</v>
      </c>
      <c r="GA4" s="4934">
        <f t="shared" si="5"/>
        <v>59536</v>
      </c>
      <c r="GB4" s="4934">
        <f t="shared" si="5"/>
        <v>59626</v>
      </c>
      <c r="GC4" s="4934">
        <f t="shared" si="5"/>
        <v>59717</v>
      </c>
      <c r="GD4" s="4934">
        <f t="shared" si="5"/>
        <v>59809</v>
      </c>
      <c r="GE4" s="4934">
        <f t="shared" si="5"/>
        <v>59901</v>
      </c>
    </row>
    <row r="5" spans="1:188" s="4924" customFormat="1" ht="13.5" customHeight="1">
      <c r="C5" s="4956"/>
      <c r="D5" s="4958">
        <f ca="1">펀드차입금!F72</f>
        <v>45107</v>
      </c>
      <c r="E5" s="4953" t="s">
        <v>1078</v>
      </c>
      <c r="F5" s="4935"/>
      <c r="G5" s="4935"/>
      <c r="H5" s="4936"/>
      <c r="I5" s="4936"/>
      <c r="J5" s="4936"/>
      <c r="K5" s="4936"/>
      <c r="L5" s="4936"/>
      <c r="M5" s="4936"/>
      <c r="N5" s="4936"/>
      <c r="O5" s="4936"/>
      <c r="P5" s="4936"/>
      <c r="Q5" s="4936"/>
      <c r="R5" s="4936"/>
      <c r="S5" s="4936"/>
      <c r="T5" s="4936"/>
      <c r="U5" s="4936"/>
      <c r="V5" s="4936"/>
      <c r="W5" s="4936"/>
      <c r="X5" s="4936"/>
      <c r="Y5" s="4936"/>
      <c r="Z5" s="4936"/>
      <c r="AA5" s="4936"/>
      <c r="AB5" s="4936"/>
      <c r="AC5" s="4936"/>
      <c r="AD5" s="4936"/>
      <c r="AE5" s="4936"/>
      <c r="AF5" s="4936"/>
      <c r="AG5" s="4936"/>
      <c r="AH5" s="4936"/>
      <c r="AI5" s="4936"/>
      <c r="AJ5" s="4936"/>
      <c r="AK5" s="4936"/>
      <c r="AL5" s="4936"/>
      <c r="AM5" s="4936"/>
      <c r="AN5" s="4936"/>
      <c r="AO5" s="4936"/>
      <c r="AP5" s="4936"/>
      <c r="AQ5" s="4936"/>
      <c r="AR5" s="4936"/>
      <c r="AS5" s="4936"/>
      <c r="AT5" s="4936"/>
      <c r="AU5" s="4936"/>
      <c r="AV5" s="4936"/>
      <c r="AW5" s="4936"/>
      <c r="AX5" s="4936"/>
      <c r="AY5" s="4936"/>
      <c r="AZ5" s="4936"/>
      <c r="BA5" s="4936"/>
      <c r="BB5" s="4936"/>
      <c r="BC5" s="4936"/>
      <c r="BD5" s="4936"/>
      <c r="BE5" s="4936"/>
      <c r="BF5" s="4936"/>
      <c r="BG5" s="4936"/>
      <c r="BH5" s="4936"/>
      <c r="BI5" s="4936"/>
      <c r="BJ5" s="4936"/>
      <c r="BK5" s="4936"/>
      <c r="BL5" s="4936"/>
      <c r="BM5" s="4936"/>
      <c r="BN5" s="4936"/>
      <c r="BO5" s="4936"/>
      <c r="BP5" s="4936"/>
      <c r="BQ5" s="4936"/>
      <c r="BR5" s="4936"/>
      <c r="BS5" s="4936"/>
      <c r="BT5" s="4936"/>
      <c r="BU5" s="4936"/>
      <c r="BV5" s="4936"/>
      <c r="BW5" s="4936"/>
      <c r="BX5" s="4936"/>
      <c r="BY5" s="4936"/>
      <c r="BZ5" s="4936"/>
      <c r="CA5" s="4936"/>
      <c r="CB5" s="4936"/>
      <c r="CC5" s="4936"/>
      <c r="CD5" s="4936"/>
      <c r="CE5" s="4936"/>
      <c r="CF5" s="4936"/>
      <c r="CG5" s="4936"/>
      <c r="CH5" s="4936"/>
      <c r="CI5" s="4936"/>
      <c r="CJ5" s="4936"/>
      <c r="CK5" s="4936"/>
      <c r="CL5" s="4936"/>
      <c r="CM5" s="4936"/>
      <c r="CN5" s="4936"/>
      <c r="CO5" s="4936"/>
      <c r="CP5" s="4936"/>
      <c r="CQ5" s="4936"/>
      <c r="CR5" s="4936"/>
      <c r="CS5" s="4936"/>
      <c r="CT5" s="4936"/>
      <c r="CU5" s="4936"/>
      <c r="CV5" s="4936"/>
      <c r="CW5" s="4936"/>
      <c r="CX5" s="4936"/>
      <c r="CY5" s="4936"/>
      <c r="CZ5" s="4936"/>
      <c r="DA5" s="4936"/>
      <c r="DB5" s="4936"/>
      <c r="DC5" s="4936"/>
      <c r="DD5" s="4936"/>
      <c r="DE5" s="4936"/>
      <c r="DF5" s="4936"/>
      <c r="DG5" s="4936"/>
      <c r="DH5" s="4936"/>
      <c r="DI5" s="4936"/>
      <c r="DJ5" s="4936"/>
      <c r="DK5" s="4936"/>
      <c r="DL5" s="4936"/>
      <c r="DM5" s="4936"/>
      <c r="DN5" s="4936"/>
      <c r="DO5" s="4936"/>
      <c r="DP5" s="4936"/>
      <c r="DQ5" s="4936"/>
      <c r="DR5" s="4936"/>
      <c r="DS5" s="4936"/>
      <c r="DT5" s="4936"/>
      <c r="DU5" s="4936"/>
      <c r="DV5" s="4936"/>
      <c r="DW5" s="4936"/>
      <c r="DX5" s="4936"/>
      <c r="DY5" s="4936"/>
      <c r="DZ5" s="4936"/>
      <c r="EA5" s="4936"/>
      <c r="EB5" s="4936"/>
      <c r="EC5" s="4936"/>
      <c r="ED5" s="4936"/>
      <c r="EE5" s="4936"/>
      <c r="EF5" s="4936"/>
      <c r="EG5" s="4936"/>
      <c r="EH5" s="4936"/>
      <c r="EI5" s="4936"/>
      <c r="EJ5" s="4936"/>
      <c r="EK5" s="4936"/>
      <c r="EL5" s="4936"/>
      <c r="EM5" s="4936"/>
      <c r="EN5" s="4936"/>
      <c r="EO5" s="4936"/>
      <c r="EP5" s="4936"/>
      <c r="EQ5" s="4936"/>
      <c r="ER5" s="4936"/>
      <c r="ES5" s="4936"/>
      <c r="ET5" s="4936"/>
      <c r="EU5" s="4936"/>
      <c r="EV5" s="4936"/>
      <c r="EW5" s="4936"/>
      <c r="EX5" s="4936"/>
      <c r="EY5" s="4936"/>
      <c r="EZ5" s="4936"/>
      <c r="FA5" s="4936"/>
      <c r="FB5" s="4936"/>
      <c r="FC5" s="4936"/>
      <c r="FD5" s="4936"/>
      <c r="FE5" s="4936"/>
      <c r="FF5" s="4936"/>
      <c r="FG5" s="4936"/>
      <c r="FH5" s="4936"/>
      <c r="FI5" s="4936"/>
      <c r="FJ5" s="4936"/>
      <c r="FK5" s="4936"/>
      <c r="FL5" s="4936"/>
      <c r="FM5" s="4936"/>
      <c r="FN5" s="4936"/>
      <c r="FO5" s="4936"/>
      <c r="FP5" s="4936"/>
      <c r="FQ5" s="4936"/>
      <c r="FR5" s="4936"/>
      <c r="FS5" s="4936"/>
      <c r="FT5" s="4936"/>
      <c r="FU5" s="4936"/>
      <c r="FV5" s="4936"/>
      <c r="FW5" s="4936"/>
      <c r="FX5" s="4936"/>
      <c r="FY5" s="4936"/>
      <c r="FZ5" s="4936"/>
      <c r="GA5" s="4936"/>
      <c r="GB5" s="4936"/>
      <c r="GC5" s="4936"/>
      <c r="GD5" s="4936"/>
      <c r="GE5" s="4936"/>
      <c r="GF5" s="4665"/>
    </row>
    <row r="6" spans="1:188" s="4924" customFormat="1" ht="13.5" customHeight="1">
      <c r="C6" s="4957"/>
      <c r="D6" s="4958">
        <f>Sensitivity!$J$21</f>
        <v>47391</v>
      </c>
      <c r="E6" s="4953" t="s">
        <v>1079</v>
      </c>
      <c r="F6" s="4935"/>
      <c r="G6" s="4935"/>
      <c r="H6" s="4936"/>
      <c r="I6" s="4936"/>
      <c r="J6" s="4936"/>
      <c r="K6" s="4936"/>
      <c r="L6" s="4936"/>
      <c r="M6" s="4936"/>
      <c r="N6" s="4936"/>
      <c r="O6" s="4936"/>
      <c r="P6" s="4936"/>
      <c r="Q6" s="4936"/>
      <c r="R6" s="4936"/>
      <c r="S6" s="4936"/>
      <c r="T6" s="4936"/>
      <c r="U6" s="4936"/>
      <c r="V6" s="4936"/>
      <c r="W6" s="4936"/>
      <c r="X6" s="4936"/>
      <c r="Y6" s="4936"/>
      <c r="Z6" s="4936"/>
      <c r="AA6" s="4936"/>
      <c r="AB6" s="4936"/>
      <c r="AC6" s="4936"/>
      <c r="AD6" s="4936"/>
      <c r="AE6" s="4936"/>
      <c r="AF6" s="4936"/>
      <c r="AG6" s="4936"/>
      <c r="AH6" s="4936"/>
      <c r="AI6" s="4936"/>
      <c r="AJ6" s="4936"/>
      <c r="AK6" s="4936"/>
      <c r="AL6" s="4936"/>
      <c r="AM6" s="4936"/>
      <c r="AN6" s="4936"/>
      <c r="AO6" s="4936"/>
      <c r="AP6" s="4936"/>
      <c r="AQ6" s="4936"/>
      <c r="AR6" s="4936"/>
      <c r="AS6" s="4936"/>
      <c r="AT6" s="4936"/>
      <c r="AU6" s="4936"/>
      <c r="AV6" s="4936"/>
      <c r="AW6" s="4936"/>
      <c r="AX6" s="4936"/>
      <c r="AY6" s="4936"/>
      <c r="AZ6" s="4936"/>
      <c r="BA6" s="4936"/>
      <c r="BB6" s="4936"/>
      <c r="BC6" s="4936"/>
      <c r="BD6" s="4936"/>
      <c r="BE6" s="4936"/>
      <c r="BF6" s="4936"/>
      <c r="BG6" s="4936"/>
      <c r="BH6" s="4936"/>
      <c r="BI6" s="4936"/>
      <c r="BJ6" s="4936"/>
      <c r="BK6" s="4936"/>
      <c r="BL6" s="4936"/>
      <c r="BM6" s="4936"/>
      <c r="BN6" s="4936"/>
      <c r="BO6" s="4936"/>
      <c r="BP6" s="4936"/>
      <c r="BQ6" s="4936"/>
      <c r="BR6" s="4936"/>
      <c r="BS6" s="4936"/>
      <c r="BT6" s="4936"/>
      <c r="BU6" s="4936"/>
      <c r="BV6" s="4936"/>
      <c r="BW6" s="4936"/>
      <c r="BX6" s="4936"/>
      <c r="BY6" s="4936"/>
      <c r="BZ6" s="4936"/>
      <c r="CA6" s="4936"/>
      <c r="CB6" s="4936"/>
      <c r="CC6" s="4936"/>
      <c r="CD6" s="4936"/>
      <c r="CE6" s="4936"/>
      <c r="CF6" s="4936"/>
      <c r="CG6" s="4936"/>
      <c r="CH6" s="4936"/>
      <c r="CI6" s="4936"/>
      <c r="CJ6" s="4936"/>
      <c r="CK6" s="4936"/>
      <c r="CL6" s="4936"/>
      <c r="CM6" s="4936"/>
      <c r="CN6" s="4936"/>
      <c r="CO6" s="4936"/>
      <c r="CP6" s="4936"/>
      <c r="CQ6" s="4936"/>
      <c r="CR6" s="4936"/>
      <c r="CS6" s="4936"/>
      <c r="CT6" s="4936"/>
      <c r="CU6" s="4936"/>
      <c r="CV6" s="4936"/>
      <c r="CW6" s="4936"/>
      <c r="CX6" s="4936"/>
      <c r="CY6" s="4936"/>
      <c r="CZ6" s="4936"/>
      <c r="DA6" s="4936"/>
      <c r="DB6" s="4936"/>
      <c r="DC6" s="4936"/>
      <c r="DD6" s="4936"/>
      <c r="DE6" s="4936"/>
      <c r="DF6" s="4936"/>
      <c r="DG6" s="4936"/>
      <c r="DH6" s="4936"/>
      <c r="DI6" s="4936"/>
      <c r="DJ6" s="4936"/>
      <c r="DK6" s="4936"/>
      <c r="DL6" s="4936"/>
      <c r="DM6" s="4936"/>
      <c r="DN6" s="4936"/>
      <c r="DO6" s="4936"/>
      <c r="DP6" s="4936"/>
      <c r="DQ6" s="4936"/>
      <c r="DR6" s="4936"/>
      <c r="DS6" s="4936"/>
      <c r="DT6" s="4936"/>
      <c r="DU6" s="4936"/>
      <c r="DV6" s="4936"/>
      <c r="DW6" s="4936"/>
      <c r="DX6" s="4936"/>
      <c r="DY6" s="4936"/>
      <c r="DZ6" s="4936"/>
      <c r="EA6" s="4936"/>
      <c r="EB6" s="4936"/>
      <c r="EC6" s="4936"/>
      <c r="ED6" s="4936"/>
      <c r="EE6" s="4936"/>
      <c r="EF6" s="4936"/>
      <c r="EG6" s="4936"/>
      <c r="EH6" s="4936"/>
      <c r="EI6" s="4936"/>
      <c r="EJ6" s="4936"/>
      <c r="EK6" s="4936"/>
      <c r="EL6" s="4936"/>
      <c r="EM6" s="4936"/>
      <c r="EN6" s="4936"/>
      <c r="EO6" s="4936"/>
      <c r="EP6" s="4936"/>
      <c r="EQ6" s="4936"/>
      <c r="ER6" s="4936"/>
      <c r="ES6" s="4936"/>
      <c r="ET6" s="4936"/>
      <c r="EU6" s="4936"/>
      <c r="EV6" s="4936"/>
      <c r="EW6" s="4936"/>
      <c r="EX6" s="4936"/>
      <c r="EY6" s="4936"/>
      <c r="EZ6" s="4936"/>
      <c r="FA6" s="4936"/>
      <c r="FB6" s="4936"/>
      <c r="FC6" s="4936"/>
      <c r="FD6" s="4936"/>
      <c r="FE6" s="4936"/>
      <c r="FF6" s="4936"/>
      <c r="FG6" s="4936"/>
      <c r="FH6" s="4936"/>
      <c r="FI6" s="4936"/>
      <c r="FJ6" s="4936"/>
      <c r="FK6" s="4936"/>
      <c r="FL6" s="4936"/>
      <c r="FM6" s="4936"/>
      <c r="FN6" s="4936"/>
      <c r="FO6" s="4936"/>
      <c r="FP6" s="4936"/>
      <c r="FQ6" s="4936"/>
      <c r="FR6" s="4936"/>
      <c r="FS6" s="4936"/>
      <c r="FT6" s="4936"/>
      <c r="FU6" s="4936"/>
      <c r="FV6" s="4936"/>
      <c r="FW6" s="4936"/>
      <c r="FX6" s="4936"/>
      <c r="FY6" s="4936"/>
      <c r="FZ6" s="4936"/>
      <c r="GA6" s="4936"/>
      <c r="GB6" s="4936"/>
      <c r="GC6" s="4936"/>
      <c r="GD6" s="4936"/>
      <c r="GE6" s="4936"/>
      <c r="GF6" s="4665"/>
    </row>
    <row r="7" spans="1:188" ht="13.5" customHeight="1">
      <c r="C7" s="4764" t="str">
        <f>Sensitivity!I12</f>
        <v>장기A</v>
      </c>
      <c r="D7" s="4767"/>
      <c r="E7" s="4953"/>
      <c r="F7" s="4937">
        <f>H8+F9-F10</f>
        <v>0</v>
      </c>
      <c r="G7" s="4937"/>
      <c r="H7" s="4764"/>
      <c r="I7" s="4764"/>
      <c r="J7" s="4764"/>
      <c r="K7" s="4764"/>
      <c r="L7" s="4764"/>
      <c r="M7" s="4764"/>
      <c r="N7" s="4764"/>
      <c r="O7" s="4764"/>
      <c r="P7" s="4764"/>
      <c r="Q7" s="4764"/>
      <c r="R7" s="4764"/>
      <c r="S7" s="4764"/>
      <c r="T7" s="4764"/>
      <c r="U7" s="4764"/>
      <c r="V7" s="4764"/>
      <c r="W7" s="4764"/>
      <c r="X7" s="4764"/>
      <c r="Y7" s="4764"/>
      <c r="Z7" s="4764"/>
      <c r="AA7" s="4764"/>
      <c r="AB7" s="4764"/>
      <c r="AC7" s="4764"/>
      <c r="AD7" s="4764"/>
      <c r="AE7" s="4764"/>
      <c r="AF7" s="4764"/>
      <c r="AG7" s="4764"/>
      <c r="AH7" s="4764"/>
      <c r="AI7" s="4764"/>
      <c r="AJ7" s="4764"/>
      <c r="AK7" s="4764"/>
      <c r="AL7" s="4764"/>
      <c r="AM7" s="4764"/>
      <c r="AN7" s="4764"/>
      <c r="AO7" s="4764"/>
      <c r="AP7" s="4764"/>
      <c r="AQ7" s="4764"/>
      <c r="AR7" s="4764"/>
      <c r="AS7" s="4764"/>
      <c r="AT7" s="4764"/>
      <c r="AU7" s="4764"/>
      <c r="AV7" s="4764"/>
      <c r="AW7" s="4764"/>
      <c r="AX7" s="4764"/>
      <c r="AY7" s="4764"/>
      <c r="AZ7" s="4764"/>
      <c r="BA7" s="4764"/>
      <c r="BB7" s="4764"/>
      <c r="BC7" s="4764"/>
      <c r="BD7" s="4764"/>
      <c r="BE7" s="4764"/>
      <c r="BF7" s="4764"/>
      <c r="BG7" s="4764"/>
      <c r="BH7" s="4764"/>
      <c r="BI7" s="4764"/>
      <c r="BJ7" s="4764"/>
      <c r="BK7" s="4764"/>
      <c r="BL7" s="4764"/>
      <c r="BM7" s="4764"/>
      <c r="BN7" s="4764"/>
      <c r="BO7" s="4764"/>
      <c r="BP7" s="4764"/>
      <c r="BQ7" s="4764"/>
      <c r="BR7" s="4764"/>
      <c r="BS7" s="4764"/>
      <c r="BT7" s="4764"/>
      <c r="BU7" s="4764"/>
      <c r="BV7" s="4764"/>
      <c r="BW7" s="4764"/>
      <c r="BX7" s="4764"/>
      <c r="BY7" s="4764"/>
      <c r="BZ7" s="4764"/>
      <c r="CA7" s="4764"/>
      <c r="CB7" s="4764"/>
      <c r="CC7" s="4764"/>
      <c r="CD7" s="4764"/>
      <c r="CE7" s="4764"/>
      <c r="CF7" s="4764"/>
      <c r="CG7" s="4764"/>
      <c r="CH7" s="4764"/>
      <c r="CI7" s="4764"/>
      <c r="CJ7" s="4764"/>
      <c r="CK7" s="4764"/>
      <c r="CL7" s="4764"/>
      <c r="CM7" s="4764"/>
      <c r="CN7" s="4764"/>
      <c r="CO7" s="4764"/>
      <c r="CP7" s="4764"/>
      <c r="CQ7" s="4764"/>
      <c r="CR7" s="4764"/>
      <c r="CS7" s="4764"/>
      <c r="CT7" s="4764"/>
      <c r="CU7" s="4764"/>
      <c r="CV7" s="4764"/>
      <c r="CW7" s="4764"/>
      <c r="CX7" s="4764"/>
      <c r="CY7" s="4764"/>
      <c r="CZ7" s="4764"/>
      <c r="DA7" s="4764"/>
      <c r="DB7" s="4764"/>
      <c r="DC7" s="4764"/>
      <c r="DD7" s="4764"/>
      <c r="DE7" s="4764"/>
      <c r="DF7" s="4764"/>
      <c r="DG7" s="4764"/>
      <c r="DH7" s="4764"/>
      <c r="DI7" s="4764"/>
      <c r="DJ7" s="4764"/>
      <c r="DK7" s="4764"/>
      <c r="DL7" s="4764"/>
      <c r="DM7" s="4764"/>
      <c r="DN7" s="4764"/>
      <c r="DO7" s="4764"/>
      <c r="DP7" s="4764"/>
      <c r="DQ7" s="4764"/>
      <c r="DR7" s="4764"/>
      <c r="DS7" s="4764"/>
      <c r="DT7" s="4764"/>
      <c r="DU7" s="4764"/>
      <c r="DV7" s="4764"/>
      <c r="DW7" s="4764"/>
      <c r="DX7" s="4764"/>
      <c r="DY7" s="4764"/>
      <c r="DZ7" s="4764"/>
      <c r="EA7" s="4764"/>
      <c r="EB7" s="4764"/>
      <c r="EC7" s="4764"/>
      <c r="ED7" s="4764"/>
      <c r="EE7" s="4764"/>
      <c r="EF7" s="4764"/>
      <c r="EG7" s="4764"/>
      <c r="EH7" s="4764"/>
      <c r="EI7" s="4764"/>
      <c r="EJ7" s="4764"/>
      <c r="EK7" s="4764"/>
      <c r="EL7" s="4764"/>
      <c r="EM7" s="4764"/>
      <c r="EN7" s="4764"/>
      <c r="EO7" s="4764"/>
      <c r="EP7" s="4764"/>
      <c r="EQ7" s="4764"/>
      <c r="ER7" s="4764"/>
      <c r="ES7" s="4764"/>
      <c r="ET7" s="4764"/>
      <c r="EU7" s="4764"/>
      <c r="EV7" s="4764"/>
      <c r="EW7" s="4764"/>
      <c r="EX7" s="4764"/>
      <c r="EY7" s="4764"/>
      <c r="EZ7" s="4764"/>
      <c r="FA7" s="4764"/>
      <c r="FB7" s="4764"/>
      <c r="FC7" s="4764"/>
      <c r="FD7" s="4764"/>
      <c r="FE7" s="4764"/>
      <c r="FF7" s="4764"/>
      <c r="FG7" s="4764"/>
      <c r="FH7" s="4764"/>
      <c r="FI7" s="4764"/>
      <c r="FJ7" s="4764"/>
      <c r="FK7" s="4764"/>
      <c r="FL7" s="4764"/>
      <c r="FM7" s="4764"/>
      <c r="FN7" s="4764"/>
      <c r="FO7" s="4764"/>
      <c r="FP7" s="4764"/>
      <c r="FQ7" s="4764"/>
      <c r="FR7" s="4764"/>
      <c r="FS7" s="4764"/>
      <c r="FT7" s="4764"/>
      <c r="FU7" s="4764"/>
      <c r="FV7" s="4764"/>
      <c r="FW7" s="4764"/>
      <c r="FX7" s="4764"/>
      <c r="FY7" s="4764"/>
      <c r="FZ7" s="4764"/>
      <c r="GA7" s="4764"/>
      <c r="GB7" s="4764"/>
      <c r="GC7" s="4764"/>
      <c r="GD7" s="4764"/>
      <c r="GE7" s="4764"/>
    </row>
    <row r="8" spans="1:188" ht="13.5" customHeight="1">
      <c r="C8" s="4954"/>
      <c r="D8" s="4959" t="s">
        <v>5101</v>
      </c>
      <c r="E8" s="4913"/>
      <c r="F8" s="4753"/>
      <c r="G8" s="4753"/>
      <c r="H8" s="4753">
        <f>H72</f>
        <v>1139.8099999999997</v>
      </c>
      <c r="I8" s="4753">
        <f>H8+H9-H10</f>
        <v>1113.2099999999998</v>
      </c>
      <c r="J8" s="4753">
        <f t="shared" ref="J8:BU8" si="6">I8+I9-I10</f>
        <v>1086.6099999999999</v>
      </c>
      <c r="K8" s="4753">
        <f t="shared" si="6"/>
        <v>1060.01</v>
      </c>
      <c r="L8" s="4753">
        <f t="shared" si="6"/>
        <v>1032.08</v>
      </c>
      <c r="M8" s="4753">
        <f t="shared" si="6"/>
        <v>1000.8249999999999</v>
      </c>
      <c r="N8" s="4753">
        <f t="shared" si="6"/>
        <v>968.90499999999997</v>
      </c>
      <c r="O8" s="4753">
        <f t="shared" si="6"/>
        <v>936.31999999999994</v>
      </c>
      <c r="P8" s="4753">
        <f t="shared" si="6"/>
        <v>903.06999999999994</v>
      </c>
      <c r="Q8" s="4753">
        <f t="shared" si="6"/>
        <v>869.15499999999997</v>
      </c>
      <c r="R8" s="4753">
        <f t="shared" si="6"/>
        <v>834.57499999999993</v>
      </c>
      <c r="S8" s="4753">
        <f t="shared" si="6"/>
        <v>799.99499999999989</v>
      </c>
      <c r="T8" s="4753">
        <f t="shared" si="6"/>
        <v>764.74999999999989</v>
      </c>
      <c r="U8" s="4753">
        <f t="shared" si="6"/>
        <v>733.49499999999989</v>
      </c>
      <c r="V8" s="4753">
        <f t="shared" si="6"/>
        <v>702.2399999999999</v>
      </c>
      <c r="W8" s="4753">
        <f t="shared" si="6"/>
        <v>670.31999999999994</v>
      </c>
      <c r="X8" s="4753">
        <f t="shared" si="6"/>
        <v>637.7349999999999</v>
      </c>
      <c r="Y8" s="4753">
        <f t="shared" si="6"/>
        <v>605.14999999999986</v>
      </c>
      <c r="Z8" s="4753">
        <f t="shared" si="6"/>
        <v>572.56499999999983</v>
      </c>
      <c r="AA8" s="4753">
        <f t="shared" si="6"/>
        <v>539.31499999999983</v>
      </c>
      <c r="AB8" s="4753">
        <f t="shared" si="6"/>
        <v>505.39999999999981</v>
      </c>
      <c r="AC8" s="4753">
        <f t="shared" si="6"/>
        <v>474.80999999999983</v>
      </c>
      <c r="AD8" s="4753">
        <f t="shared" si="6"/>
        <v>443.55499999999984</v>
      </c>
      <c r="AE8" s="4753">
        <f t="shared" si="6"/>
        <v>408.30999999999983</v>
      </c>
      <c r="AF8" s="4753">
        <f t="shared" si="6"/>
        <v>372.39999999999986</v>
      </c>
      <c r="AG8" s="4753">
        <f t="shared" si="6"/>
        <v>330.50499999999988</v>
      </c>
      <c r="AH8" s="4753">
        <f t="shared" si="6"/>
        <v>288.6099999999999</v>
      </c>
      <c r="AI8" s="4753">
        <f t="shared" si="6"/>
        <v>246.0499999999999</v>
      </c>
      <c r="AJ8" s="4753">
        <f t="shared" si="6"/>
        <v>202.8249999999999</v>
      </c>
      <c r="AK8" s="4753">
        <f t="shared" si="6"/>
        <v>176.22499999999991</v>
      </c>
      <c r="AL8" s="4753">
        <f t="shared" si="6"/>
        <v>145.63499999999991</v>
      </c>
      <c r="AM8" s="4753">
        <f t="shared" si="6"/>
        <v>114.37999999999991</v>
      </c>
      <c r="AN8" s="4753">
        <f t="shared" si="6"/>
        <v>87.779999999999916</v>
      </c>
      <c r="AO8" s="4753">
        <f t="shared" si="6"/>
        <v>79.799999999999912</v>
      </c>
      <c r="AP8" s="4753">
        <f t="shared" si="6"/>
        <v>71.819999999999908</v>
      </c>
      <c r="AQ8" s="4753">
        <f t="shared" si="6"/>
        <v>63.839999999999904</v>
      </c>
      <c r="AR8" s="4753">
        <f t="shared" si="6"/>
        <v>55.8599999999999</v>
      </c>
      <c r="AS8" s="4753">
        <f t="shared" si="6"/>
        <v>47.879999999999896</v>
      </c>
      <c r="AT8" s="4753">
        <f t="shared" si="6"/>
        <v>39.899999999999892</v>
      </c>
      <c r="AU8" s="4753">
        <f t="shared" si="6"/>
        <v>31.919999999999892</v>
      </c>
      <c r="AV8" s="4753">
        <f t="shared" si="6"/>
        <v>23.939999999999891</v>
      </c>
      <c r="AW8" s="4753">
        <f t="shared" si="6"/>
        <v>15.959999999999891</v>
      </c>
      <c r="AX8" s="4753">
        <f t="shared" si="6"/>
        <v>7.9799999999998903</v>
      </c>
      <c r="AY8" s="4753">
        <f t="shared" si="6"/>
        <v>0</v>
      </c>
      <c r="AZ8" s="4753">
        <f t="shared" si="6"/>
        <v>0</v>
      </c>
      <c r="BA8" s="4753">
        <f t="shared" si="6"/>
        <v>0</v>
      </c>
      <c r="BB8" s="4753">
        <f t="shared" si="6"/>
        <v>0</v>
      </c>
      <c r="BC8" s="4753">
        <f t="shared" si="6"/>
        <v>0</v>
      </c>
      <c r="BD8" s="4753">
        <f t="shared" si="6"/>
        <v>0</v>
      </c>
      <c r="BE8" s="4753">
        <f t="shared" si="6"/>
        <v>0</v>
      </c>
      <c r="BF8" s="4753">
        <f t="shared" si="6"/>
        <v>0</v>
      </c>
      <c r="BG8" s="4753">
        <f t="shared" si="6"/>
        <v>0</v>
      </c>
      <c r="BH8" s="4753">
        <f t="shared" si="6"/>
        <v>0</v>
      </c>
      <c r="BI8" s="4753">
        <f t="shared" si="6"/>
        <v>0</v>
      </c>
      <c r="BJ8" s="4753">
        <f t="shared" si="6"/>
        <v>0</v>
      </c>
      <c r="BK8" s="4753">
        <f t="shared" si="6"/>
        <v>0</v>
      </c>
      <c r="BL8" s="4753">
        <f t="shared" si="6"/>
        <v>0</v>
      </c>
      <c r="BM8" s="4753">
        <f t="shared" si="6"/>
        <v>0</v>
      </c>
      <c r="BN8" s="4753">
        <f t="shared" si="6"/>
        <v>0</v>
      </c>
      <c r="BO8" s="4753">
        <f t="shared" si="6"/>
        <v>0</v>
      </c>
      <c r="BP8" s="4753">
        <f t="shared" si="6"/>
        <v>0</v>
      </c>
      <c r="BQ8" s="4753">
        <f t="shared" si="6"/>
        <v>0</v>
      </c>
      <c r="BR8" s="4753">
        <f t="shared" si="6"/>
        <v>0</v>
      </c>
      <c r="BS8" s="4753">
        <f t="shared" si="6"/>
        <v>0</v>
      </c>
      <c r="BT8" s="4753">
        <f t="shared" si="6"/>
        <v>0</v>
      </c>
      <c r="BU8" s="4753">
        <f t="shared" si="6"/>
        <v>0</v>
      </c>
      <c r="BV8" s="4753">
        <f t="shared" ref="BV8:EG8" si="7">BU8+BU9-BU10</f>
        <v>0</v>
      </c>
      <c r="BW8" s="4753">
        <f t="shared" si="7"/>
        <v>0</v>
      </c>
      <c r="BX8" s="4753">
        <f t="shared" si="7"/>
        <v>0</v>
      </c>
      <c r="BY8" s="4753">
        <f t="shared" si="7"/>
        <v>0</v>
      </c>
      <c r="BZ8" s="4753">
        <f t="shared" si="7"/>
        <v>0</v>
      </c>
      <c r="CA8" s="4753">
        <f t="shared" si="7"/>
        <v>0</v>
      </c>
      <c r="CB8" s="4753">
        <f t="shared" si="7"/>
        <v>0</v>
      </c>
      <c r="CC8" s="4753">
        <f t="shared" si="7"/>
        <v>0</v>
      </c>
      <c r="CD8" s="4753">
        <f t="shared" si="7"/>
        <v>0</v>
      </c>
      <c r="CE8" s="4753">
        <f t="shared" si="7"/>
        <v>0</v>
      </c>
      <c r="CF8" s="4753">
        <f t="shared" si="7"/>
        <v>0</v>
      </c>
      <c r="CG8" s="4753">
        <f t="shared" si="7"/>
        <v>0</v>
      </c>
      <c r="CH8" s="4753">
        <f t="shared" si="7"/>
        <v>0</v>
      </c>
      <c r="CI8" s="4753">
        <f t="shared" si="7"/>
        <v>0</v>
      </c>
      <c r="CJ8" s="4753">
        <f t="shared" si="7"/>
        <v>0</v>
      </c>
      <c r="CK8" s="4753">
        <f t="shared" si="7"/>
        <v>0</v>
      </c>
      <c r="CL8" s="4753">
        <f t="shared" si="7"/>
        <v>0</v>
      </c>
      <c r="CM8" s="4753">
        <f t="shared" si="7"/>
        <v>0</v>
      </c>
      <c r="CN8" s="4753">
        <f t="shared" si="7"/>
        <v>0</v>
      </c>
      <c r="CO8" s="4753">
        <f t="shared" si="7"/>
        <v>0</v>
      </c>
      <c r="CP8" s="4753">
        <f t="shared" si="7"/>
        <v>0</v>
      </c>
      <c r="CQ8" s="4753">
        <f t="shared" si="7"/>
        <v>0</v>
      </c>
      <c r="CR8" s="4753">
        <f t="shared" si="7"/>
        <v>0</v>
      </c>
      <c r="CS8" s="4753">
        <f t="shared" si="7"/>
        <v>0</v>
      </c>
      <c r="CT8" s="4753">
        <f t="shared" si="7"/>
        <v>0</v>
      </c>
      <c r="CU8" s="4753">
        <f t="shared" si="7"/>
        <v>0</v>
      </c>
      <c r="CV8" s="4753">
        <f t="shared" si="7"/>
        <v>0</v>
      </c>
      <c r="CW8" s="4753">
        <f t="shared" si="7"/>
        <v>0</v>
      </c>
      <c r="CX8" s="4753">
        <f t="shared" si="7"/>
        <v>0</v>
      </c>
      <c r="CY8" s="4753">
        <f t="shared" si="7"/>
        <v>0</v>
      </c>
      <c r="CZ8" s="4753">
        <f t="shared" si="7"/>
        <v>0</v>
      </c>
      <c r="DA8" s="4753">
        <f t="shared" si="7"/>
        <v>0</v>
      </c>
      <c r="DB8" s="4753">
        <f t="shared" si="7"/>
        <v>0</v>
      </c>
      <c r="DC8" s="4753">
        <f t="shared" si="7"/>
        <v>0</v>
      </c>
      <c r="DD8" s="4753">
        <f t="shared" si="7"/>
        <v>0</v>
      </c>
      <c r="DE8" s="4753">
        <f t="shared" si="7"/>
        <v>0</v>
      </c>
      <c r="DF8" s="4753">
        <f t="shared" si="7"/>
        <v>0</v>
      </c>
      <c r="DG8" s="4753">
        <f t="shared" si="7"/>
        <v>0</v>
      </c>
      <c r="DH8" s="4753">
        <f t="shared" si="7"/>
        <v>0</v>
      </c>
      <c r="DI8" s="4753">
        <f t="shared" si="7"/>
        <v>0</v>
      </c>
      <c r="DJ8" s="4753">
        <f t="shared" si="7"/>
        <v>0</v>
      </c>
      <c r="DK8" s="4753">
        <f t="shared" si="7"/>
        <v>0</v>
      </c>
      <c r="DL8" s="4753">
        <f t="shared" si="7"/>
        <v>0</v>
      </c>
      <c r="DM8" s="4753">
        <f t="shared" si="7"/>
        <v>0</v>
      </c>
      <c r="DN8" s="4753">
        <f t="shared" si="7"/>
        <v>0</v>
      </c>
      <c r="DO8" s="4753">
        <f t="shared" si="7"/>
        <v>0</v>
      </c>
      <c r="DP8" s="4753">
        <f t="shared" si="7"/>
        <v>0</v>
      </c>
      <c r="DQ8" s="4753">
        <f t="shared" si="7"/>
        <v>0</v>
      </c>
      <c r="DR8" s="4753">
        <f t="shared" si="7"/>
        <v>0</v>
      </c>
      <c r="DS8" s="4753">
        <f t="shared" si="7"/>
        <v>0</v>
      </c>
      <c r="DT8" s="4753">
        <f t="shared" si="7"/>
        <v>0</v>
      </c>
      <c r="DU8" s="4753">
        <f t="shared" si="7"/>
        <v>0</v>
      </c>
      <c r="DV8" s="4753">
        <f t="shared" si="7"/>
        <v>0</v>
      </c>
      <c r="DW8" s="4753">
        <f t="shared" si="7"/>
        <v>0</v>
      </c>
      <c r="DX8" s="4753">
        <f t="shared" si="7"/>
        <v>0</v>
      </c>
      <c r="DY8" s="4753">
        <f t="shared" si="7"/>
        <v>0</v>
      </c>
      <c r="DZ8" s="4753">
        <f t="shared" si="7"/>
        <v>0</v>
      </c>
      <c r="EA8" s="4753">
        <f t="shared" si="7"/>
        <v>0</v>
      </c>
      <c r="EB8" s="4753">
        <f t="shared" si="7"/>
        <v>0</v>
      </c>
      <c r="EC8" s="4753">
        <f t="shared" si="7"/>
        <v>0</v>
      </c>
      <c r="ED8" s="4753">
        <f t="shared" si="7"/>
        <v>0</v>
      </c>
      <c r="EE8" s="4753">
        <f t="shared" si="7"/>
        <v>0</v>
      </c>
      <c r="EF8" s="4753">
        <f t="shared" si="7"/>
        <v>0</v>
      </c>
      <c r="EG8" s="4753">
        <f t="shared" si="7"/>
        <v>0</v>
      </c>
      <c r="EH8" s="4753">
        <f t="shared" ref="EH8:GE8" si="8">EG8+EG9-EG10</f>
        <v>0</v>
      </c>
      <c r="EI8" s="4753">
        <f t="shared" si="8"/>
        <v>0</v>
      </c>
      <c r="EJ8" s="4753">
        <f t="shared" si="8"/>
        <v>0</v>
      </c>
      <c r="EK8" s="4753">
        <f t="shared" si="8"/>
        <v>0</v>
      </c>
      <c r="EL8" s="4753">
        <f t="shared" si="8"/>
        <v>0</v>
      </c>
      <c r="EM8" s="4753">
        <f t="shared" si="8"/>
        <v>0</v>
      </c>
      <c r="EN8" s="4753">
        <f t="shared" si="8"/>
        <v>0</v>
      </c>
      <c r="EO8" s="4753">
        <f t="shared" si="8"/>
        <v>0</v>
      </c>
      <c r="EP8" s="4753">
        <f t="shared" si="8"/>
        <v>0</v>
      </c>
      <c r="EQ8" s="4753">
        <f t="shared" si="8"/>
        <v>0</v>
      </c>
      <c r="ER8" s="4753">
        <f t="shared" si="8"/>
        <v>0</v>
      </c>
      <c r="ES8" s="4753">
        <f t="shared" si="8"/>
        <v>0</v>
      </c>
      <c r="ET8" s="4753">
        <f t="shared" si="8"/>
        <v>0</v>
      </c>
      <c r="EU8" s="4753">
        <f t="shared" si="8"/>
        <v>0</v>
      </c>
      <c r="EV8" s="4753">
        <f t="shared" si="8"/>
        <v>0</v>
      </c>
      <c r="EW8" s="4753">
        <f t="shared" si="8"/>
        <v>0</v>
      </c>
      <c r="EX8" s="4753">
        <f t="shared" si="8"/>
        <v>0</v>
      </c>
      <c r="EY8" s="4753">
        <f t="shared" si="8"/>
        <v>0</v>
      </c>
      <c r="EZ8" s="4753">
        <f t="shared" si="8"/>
        <v>0</v>
      </c>
      <c r="FA8" s="4753">
        <f t="shared" si="8"/>
        <v>0</v>
      </c>
      <c r="FB8" s="4753">
        <f t="shared" si="8"/>
        <v>0</v>
      </c>
      <c r="FC8" s="4753">
        <f t="shared" si="8"/>
        <v>0</v>
      </c>
      <c r="FD8" s="4753">
        <f t="shared" si="8"/>
        <v>0</v>
      </c>
      <c r="FE8" s="4753">
        <f t="shared" si="8"/>
        <v>0</v>
      </c>
      <c r="FF8" s="4753">
        <f t="shared" si="8"/>
        <v>0</v>
      </c>
      <c r="FG8" s="4753">
        <f t="shared" si="8"/>
        <v>0</v>
      </c>
      <c r="FH8" s="4753">
        <f t="shared" si="8"/>
        <v>0</v>
      </c>
      <c r="FI8" s="4753">
        <f t="shared" si="8"/>
        <v>0</v>
      </c>
      <c r="FJ8" s="4753">
        <f t="shared" si="8"/>
        <v>0</v>
      </c>
      <c r="FK8" s="4753">
        <f t="shared" si="8"/>
        <v>0</v>
      </c>
      <c r="FL8" s="4753">
        <f t="shared" si="8"/>
        <v>0</v>
      </c>
      <c r="FM8" s="4753">
        <f t="shared" si="8"/>
        <v>0</v>
      </c>
      <c r="FN8" s="4753">
        <f t="shared" si="8"/>
        <v>0</v>
      </c>
      <c r="FO8" s="4753">
        <f t="shared" si="8"/>
        <v>0</v>
      </c>
      <c r="FP8" s="4753">
        <f t="shared" si="8"/>
        <v>0</v>
      </c>
      <c r="FQ8" s="4753">
        <f t="shared" si="8"/>
        <v>0</v>
      </c>
      <c r="FR8" s="4753">
        <f t="shared" si="8"/>
        <v>0</v>
      </c>
      <c r="FS8" s="4753">
        <f t="shared" si="8"/>
        <v>0</v>
      </c>
      <c r="FT8" s="4753">
        <f t="shared" si="8"/>
        <v>0</v>
      </c>
      <c r="FU8" s="4753">
        <f t="shared" si="8"/>
        <v>0</v>
      </c>
      <c r="FV8" s="4753">
        <f t="shared" si="8"/>
        <v>0</v>
      </c>
      <c r="FW8" s="4753">
        <f t="shared" si="8"/>
        <v>0</v>
      </c>
      <c r="FX8" s="4753">
        <f t="shared" si="8"/>
        <v>0</v>
      </c>
      <c r="FY8" s="4753">
        <f t="shared" si="8"/>
        <v>0</v>
      </c>
      <c r="FZ8" s="4753">
        <f t="shared" si="8"/>
        <v>0</v>
      </c>
      <c r="GA8" s="4753">
        <f t="shared" si="8"/>
        <v>0</v>
      </c>
      <c r="GB8" s="4753">
        <f t="shared" si="8"/>
        <v>0</v>
      </c>
      <c r="GC8" s="4753">
        <f t="shared" si="8"/>
        <v>0</v>
      </c>
      <c r="GD8" s="4753">
        <f t="shared" si="8"/>
        <v>0</v>
      </c>
      <c r="GE8" s="4753">
        <f t="shared" si="8"/>
        <v>0</v>
      </c>
    </row>
    <row r="9" spans="1:188" ht="13.5" customHeight="1">
      <c r="C9" s="4955"/>
      <c r="D9" s="4959" t="s">
        <v>5103</v>
      </c>
      <c r="E9" s="4773"/>
      <c r="F9" s="4762">
        <f>SUM(H9:FO9)</f>
        <v>0</v>
      </c>
      <c r="G9" s="4762"/>
      <c r="H9" s="4763"/>
      <c r="I9" s="4763"/>
      <c r="J9" s="4763"/>
      <c r="K9" s="4763"/>
      <c r="L9" s="4763"/>
      <c r="M9" s="4763"/>
      <c r="N9" s="4763"/>
      <c r="O9" s="4763"/>
      <c r="P9" s="4763"/>
      <c r="Q9" s="4763"/>
      <c r="R9" s="4763"/>
      <c r="S9" s="4763"/>
      <c r="T9" s="4762"/>
      <c r="U9" s="4763"/>
      <c r="V9" s="4763"/>
      <c r="W9" s="4763"/>
      <c r="X9" s="4763"/>
      <c r="Y9" s="4763"/>
      <c r="Z9" s="4763"/>
      <c r="AA9" s="4763"/>
      <c r="AB9" s="4763"/>
      <c r="AC9" s="4763"/>
      <c r="AD9" s="4763"/>
      <c r="AE9" s="4763"/>
      <c r="AF9" s="4763"/>
      <c r="AG9" s="4763"/>
      <c r="AH9" s="4763"/>
      <c r="AI9" s="4763"/>
      <c r="AJ9" s="4763"/>
      <c r="AK9" s="4763"/>
      <c r="AL9" s="4763"/>
      <c r="AM9" s="4763"/>
      <c r="AN9" s="4763"/>
      <c r="AO9" s="4763"/>
      <c r="AP9" s="4763"/>
      <c r="AQ9" s="4763"/>
      <c r="AR9" s="4763"/>
      <c r="AS9" s="4763"/>
      <c r="AT9" s="4763"/>
      <c r="AU9" s="4763"/>
      <c r="AV9" s="4763"/>
      <c r="AW9" s="4763"/>
      <c r="AX9" s="4763"/>
      <c r="AY9" s="4763"/>
      <c r="AZ9" s="4763"/>
      <c r="BA9" s="4763"/>
      <c r="BB9" s="4763"/>
      <c r="BC9" s="4763"/>
      <c r="BD9" s="4763"/>
      <c r="BE9" s="4763"/>
      <c r="BF9" s="4763"/>
      <c r="BG9" s="4763"/>
      <c r="BH9" s="4763"/>
      <c r="BI9" s="4763"/>
      <c r="BJ9" s="4763"/>
      <c r="BK9" s="4763"/>
      <c r="BL9" s="4763"/>
      <c r="BM9" s="4763"/>
      <c r="BN9" s="4763"/>
      <c r="BO9" s="4763"/>
      <c r="BP9" s="4763"/>
      <c r="BQ9" s="4763"/>
      <c r="BR9" s="4763"/>
      <c r="BS9" s="4763"/>
      <c r="BT9" s="4763"/>
      <c r="BU9" s="4763"/>
      <c r="BV9" s="4763"/>
      <c r="BW9" s="4763"/>
      <c r="BX9" s="4763"/>
      <c r="BY9" s="4763"/>
      <c r="BZ9" s="4763"/>
      <c r="CA9" s="4763"/>
      <c r="CB9" s="4763"/>
      <c r="CC9" s="4763"/>
      <c r="CD9" s="4763"/>
      <c r="CE9" s="4763"/>
      <c r="CF9" s="4763"/>
      <c r="CG9" s="4763"/>
      <c r="CH9" s="4763"/>
      <c r="CI9" s="4763"/>
      <c r="CJ9" s="4763"/>
      <c r="CK9" s="4763"/>
      <c r="CL9" s="4763"/>
      <c r="CM9" s="4763"/>
      <c r="CN9" s="4763"/>
      <c r="CO9" s="4763"/>
      <c r="CP9" s="4763"/>
      <c r="CQ9" s="4763"/>
      <c r="CR9" s="4763"/>
      <c r="CS9" s="4763"/>
      <c r="CT9" s="4763"/>
      <c r="CU9" s="4763"/>
      <c r="CV9" s="4763"/>
      <c r="CW9" s="4763"/>
      <c r="CX9" s="4763"/>
      <c r="CY9" s="4763"/>
      <c r="CZ9" s="4763"/>
      <c r="DA9" s="4763"/>
      <c r="DB9" s="4763"/>
      <c r="DC9" s="4763"/>
      <c r="DD9" s="4763"/>
      <c r="DE9" s="4763"/>
      <c r="DF9" s="4763"/>
      <c r="DG9" s="4763"/>
      <c r="DH9" s="4763"/>
      <c r="DI9" s="4763"/>
      <c r="DJ9" s="4763"/>
      <c r="DK9" s="4763"/>
      <c r="DL9" s="4763"/>
      <c r="DM9" s="4763"/>
      <c r="DN9" s="4763"/>
      <c r="DO9" s="4763"/>
      <c r="DP9" s="4763"/>
      <c r="DQ9" s="4763"/>
      <c r="DR9" s="4763"/>
      <c r="DS9" s="4763"/>
      <c r="DT9" s="4763"/>
      <c r="DU9" s="4763"/>
      <c r="DV9" s="4763"/>
      <c r="DW9" s="4763"/>
      <c r="DX9" s="4763"/>
      <c r="DY9" s="4763"/>
      <c r="DZ9" s="4763"/>
      <c r="EA9" s="4763"/>
      <c r="EB9" s="4763"/>
      <c r="EC9" s="4763"/>
      <c r="ED9" s="4763"/>
      <c r="EE9" s="4763"/>
      <c r="EF9" s="4763"/>
      <c r="EG9" s="4763"/>
      <c r="EH9" s="4763"/>
      <c r="EI9" s="4763"/>
      <c r="EJ9" s="4763"/>
      <c r="EK9" s="4763"/>
      <c r="EL9" s="4763"/>
      <c r="EM9" s="4763"/>
      <c r="EN9" s="4763"/>
      <c r="EO9" s="4763"/>
      <c r="EP9" s="4763"/>
      <c r="EQ9" s="4763"/>
      <c r="ER9" s="4763"/>
      <c r="ES9" s="4763"/>
      <c r="ET9" s="4763"/>
      <c r="EU9" s="4763"/>
      <c r="EV9" s="4763"/>
      <c r="EW9" s="4763"/>
      <c r="EX9" s="4763"/>
      <c r="EY9" s="4763"/>
      <c r="EZ9" s="4763"/>
      <c r="FA9" s="4763"/>
      <c r="FB9" s="4763"/>
      <c r="FC9" s="4763"/>
      <c r="FD9" s="4763"/>
      <c r="FE9" s="4763"/>
      <c r="FF9" s="4763"/>
      <c r="FG9" s="4763"/>
      <c r="FH9" s="4763"/>
      <c r="FI9" s="4763"/>
      <c r="FJ9" s="4763"/>
      <c r="FK9" s="4763"/>
      <c r="FL9" s="4763"/>
      <c r="FM9" s="4763"/>
      <c r="FN9" s="4763"/>
      <c r="FO9" s="4763"/>
      <c r="FP9" s="4763"/>
      <c r="FQ9" s="4763"/>
      <c r="FR9" s="4763"/>
      <c r="FS9" s="4763"/>
      <c r="FT9" s="4763"/>
      <c r="FU9" s="4763"/>
      <c r="FV9" s="4763"/>
      <c r="FW9" s="4763"/>
      <c r="FX9" s="4763"/>
      <c r="FY9" s="4763"/>
      <c r="FZ9" s="4763"/>
      <c r="GA9" s="4763"/>
      <c r="GB9" s="4763"/>
      <c r="GC9" s="4763"/>
      <c r="GD9" s="4763"/>
      <c r="GE9" s="4763"/>
    </row>
    <row r="10" spans="1:188" ht="13.5" customHeight="1">
      <c r="C10" s="4955"/>
      <c r="D10" s="4959" t="s">
        <v>5102</v>
      </c>
      <c r="E10" s="4773"/>
      <c r="F10" s="4763">
        <f>SUM(H10:FO10)</f>
        <v>1139.81</v>
      </c>
      <c r="G10" s="4763"/>
      <c r="H10" s="4763">
        <f t="shared" ref="H10:AM10" si="9">H73*(H$4&lt;$D$6)+(H8+H9)*(H$4=$D$6)</f>
        <v>26.6</v>
      </c>
      <c r="I10" s="4763">
        <f t="shared" si="9"/>
        <v>26.6</v>
      </c>
      <c r="J10" s="4763">
        <f t="shared" si="9"/>
        <v>26.6</v>
      </c>
      <c r="K10" s="4763">
        <f t="shared" si="9"/>
        <v>27.93</v>
      </c>
      <c r="L10" s="4763">
        <f t="shared" si="9"/>
        <v>31.254999999999999</v>
      </c>
      <c r="M10" s="4763">
        <f t="shared" si="9"/>
        <v>31.92</v>
      </c>
      <c r="N10" s="4763">
        <f t="shared" si="9"/>
        <v>32.585000000000001</v>
      </c>
      <c r="O10" s="4763">
        <f t="shared" si="9"/>
        <v>33.25</v>
      </c>
      <c r="P10" s="4763">
        <f t="shared" si="9"/>
        <v>33.914999999999999</v>
      </c>
      <c r="Q10" s="4763">
        <f t="shared" si="9"/>
        <v>34.58</v>
      </c>
      <c r="R10" s="4763">
        <f t="shared" si="9"/>
        <v>34.58</v>
      </c>
      <c r="S10" s="4763">
        <f t="shared" si="9"/>
        <v>35.244999999999997</v>
      </c>
      <c r="T10" s="4763">
        <f t="shared" si="9"/>
        <v>31.254999999999999</v>
      </c>
      <c r="U10" s="4763">
        <f t="shared" si="9"/>
        <v>31.254999999999999</v>
      </c>
      <c r="V10" s="4763">
        <f t="shared" si="9"/>
        <v>31.92</v>
      </c>
      <c r="W10" s="4763">
        <f t="shared" si="9"/>
        <v>32.585000000000001</v>
      </c>
      <c r="X10" s="4763">
        <f t="shared" si="9"/>
        <v>32.585000000000001</v>
      </c>
      <c r="Y10" s="4763">
        <f t="shared" si="9"/>
        <v>32.585000000000001</v>
      </c>
      <c r="Z10" s="4763">
        <f t="shared" si="9"/>
        <v>33.25</v>
      </c>
      <c r="AA10" s="4763">
        <f t="shared" si="9"/>
        <v>33.914999999999999</v>
      </c>
      <c r="AB10" s="4763">
        <f t="shared" si="9"/>
        <v>30.59</v>
      </c>
      <c r="AC10" s="4763">
        <f t="shared" si="9"/>
        <v>31.254999999999999</v>
      </c>
      <c r="AD10" s="4763">
        <f t="shared" si="9"/>
        <v>35.244999999999997</v>
      </c>
      <c r="AE10" s="4763">
        <f t="shared" si="9"/>
        <v>35.909999999999997</v>
      </c>
      <c r="AF10" s="4763">
        <f t="shared" si="9"/>
        <v>41.895000000000003</v>
      </c>
      <c r="AG10" s="4763">
        <f t="shared" si="9"/>
        <v>41.895000000000003</v>
      </c>
      <c r="AH10" s="4763">
        <f t="shared" si="9"/>
        <v>42.56</v>
      </c>
      <c r="AI10" s="4763">
        <f t="shared" si="9"/>
        <v>43.225000000000001</v>
      </c>
      <c r="AJ10" s="4763">
        <f t="shared" si="9"/>
        <v>26.6</v>
      </c>
      <c r="AK10" s="4763">
        <f t="shared" si="9"/>
        <v>30.59</v>
      </c>
      <c r="AL10" s="4763">
        <f t="shared" si="9"/>
        <v>31.254999999999999</v>
      </c>
      <c r="AM10" s="4763">
        <f t="shared" si="9"/>
        <v>26.6</v>
      </c>
      <c r="AN10" s="4763">
        <f t="shared" ref="AN10:BS10" si="10">AN73*(AN$4&lt;$D$6)+(AN8+AN9)*(AN$4=$D$6)</f>
        <v>7.98</v>
      </c>
      <c r="AO10" s="4763">
        <f t="shared" si="10"/>
        <v>7.98</v>
      </c>
      <c r="AP10" s="4763">
        <f t="shared" si="10"/>
        <v>7.98</v>
      </c>
      <c r="AQ10" s="4763">
        <f t="shared" si="10"/>
        <v>7.98</v>
      </c>
      <c r="AR10" s="4763">
        <f t="shared" si="10"/>
        <v>7.98</v>
      </c>
      <c r="AS10" s="4763">
        <f t="shared" si="10"/>
        <v>7.98</v>
      </c>
      <c r="AT10" s="4763">
        <f t="shared" si="10"/>
        <v>7.98</v>
      </c>
      <c r="AU10" s="4763">
        <f t="shared" si="10"/>
        <v>7.98</v>
      </c>
      <c r="AV10" s="4763">
        <f t="shared" si="10"/>
        <v>7.98</v>
      </c>
      <c r="AW10" s="4763">
        <f t="shared" si="10"/>
        <v>7.98</v>
      </c>
      <c r="AX10" s="4763">
        <f t="shared" si="10"/>
        <v>7.9799999999998903</v>
      </c>
      <c r="AY10" s="4763">
        <f t="shared" si="10"/>
        <v>0</v>
      </c>
      <c r="AZ10" s="4763">
        <f t="shared" si="10"/>
        <v>0</v>
      </c>
      <c r="BA10" s="4763">
        <f t="shared" si="10"/>
        <v>0</v>
      </c>
      <c r="BB10" s="4763">
        <f t="shared" si="10"/>
        <v>0</v>
      </c>
      <c r="BC10" s="4763">
        <f t="shared" si="10"/>
        <v>0</v>
      </c>
      <c r="BD10" s="4763">
        <f t="shared" si="10"/>
        <v>0</v>
      </c>
      <c r="BE10" s="4763">
        <f t="shared" si="10"/>
        <v>0</v>
      </c>
      <c r="BF10" s="4763">
        <f t="shared" si="10"/>
        <v>0</v>
      </c>
      <c r="BG10" s="4763">
        <f t="shared" si="10"/>
        <v>0</v>
      </c>
      <c r="BH10" s="4763">
        <f t="shared" si="10"/>
        <v>0</v>
      </c>
      <c r="BI10" s="4763">
        <f t="shared" si="10"/>
        <v>0</v>
      </c>
      <c r="BJ10" s="4763">
        <f t="shared" si="10"/>
        <v>0</v>
      </c>
      <c r="BK10" s="4763">
        <f t="shared" si="10"/>
        <v>0</v>
      </c>
      <c r="BL10" s="4763">
        <f t="shared" si="10"/>
        <v>0</v>
      </c>
      <c r="BM10" s="4763">
        <f t="shared" si="10"/>
        <v>0</v>
      </c>
      <c r="BN10" s="4763">
        <f t="shared" si="10"/>
        <v>0</v>
      </c>
      <c r="BO10" s="4763">
        <f t="shared" si="10"/>
        <v>0</v>
      </c>
      <c r="BP10" s="4763">
        <f t="shared" si="10"/>
        <v>0</v>
      </c>
      <c r="BQ10" s="4763">
        <f t="shared" si="10"/>
        <v>0</v>
      </c>
      <c r="BR10" s="4763">
        <f t="shared" si="10"/>
        <v>0</v>
      </c>
      <c r="BS10" s="4763">
        <f t="shared" si="10"/>
        <v>0</v>
      </c>
      <c r="BT10" s="4763">
        <f t="shared" ref="BT10:CY10" si="11">BT73*(BT$4&lt;$D$6)+(BT8+BT9)*(BT$4=$D$6)</f>
        <v>0</v>
      </c>
      <c r="BU10" s="4763">
        <f t="shared" si="11"/>
        <v>0</v>
      </c>
      <c r="BV10" s="4763">
        <f t="shared" si="11"/>
        <v>0</v>
      </c>
      <c r="BW10" s="4763">
        <f t="shared" si="11"/>
        <v>0</v>
      </c>
      <c r="BX10" s="4763">
        <f t="shared" si="11"/>
        <v>0</v>
      </c>
      <c r="BY10" s="4763">
        <f t="shared" si="11"/>
        <v>0</v>
      </c>
      <c r="BZ10" s="4763">
        <f t="shared" si="11"/>
        <v>0</v>
      </c>
      <c r="CA10" s="4763">
        <f t="shared" si="11"/>
        <v>0</v>
      </c>
      <c r="CB10" s="4763">
        <f t="shared" si="11"/>
        <v>0</v>
      </c>
      <c r="CC10" s="4763">
        <f t="shared" si="11"/>
        <v>0</v>
      </c>
      <c r="CD10" s="4763">
        <f t="shared" si="11"/>
        <v>0</v>
      </c>
      <c r="CE10" s="4763">
        <f t="shared" si="11"/>
        <v>0</v>
      </c>
      <c r="CF10" s="4763">
        <f t="shared" si="11"/>
        <v>0</v>
      </c>
      <c r="CG10" s="4763">
        <f t="shared" si="11"/>
        <v>0</v>
      </c>
      <c r="CH10" s="4763">
        <f t="shared" si="11"/>
        <v>0</v>
      </c>
      <c r="CI10" s="4763">
        <f t="shared" si="11"/>
        <v>0</v>
      </c>
      <c r="CJ10" s="4763">
        <f t="shared" si="11"/>
        <v>0</v>
      </c>
      <c r="CK10" s="4763">
        <f t="shared" si="11"/>
        <v>0</v>
      </c>
      <c r="CL10" s="4763">
        <f t="shared" si="11"/>
        <v>0</v>
      </c>
      <c r="CM10" s="4763">
        <f t="shared" si="11"/>
        <v>0</v>
      </c>
      <c r="CN10" s="4763">
        <f t="shared" si="11"/>
        <v>0</v>
      </c>
      <c r="CO10" s="4763">
        <f t="shared" si="11"/>
        <v>0</v>
      </c>
      <c r="CP10" s="4763">
        <f t="shared" si="11"/>
        <v>0</v>
      </c>
      <c r="CQ10" s="4763">
        <f t="shared" si="11"/>
        <v>0</v>
      </c>
      <c r="CR10" s="4763">
        <f t="shared" si="11"/>
        <v>0</v>
      </c>
      <c r="CS10" s="4763">
        <f t="shared" si="11"/>
        <v>0</v>
      </c>
      <c r="CT10" s="4763">
        <f t="shared" si="11"/>
        <v>0</v>
      </c>
      <c r="CU10" s="4763">
        <f t="shared" si="11"/>
        <v>0</v>
      </c>
      <c r="CV10" s="4763">
        <f t="shared" si="11"/>
        <v>0</v>
      </c>
      <c r="CW10" s="4763">
        <f t="shared" si="11"/>
        <v>0</v>
      </c>
      <c r="CX10" s="4763">
        <f t="shared" si="11"/>
        <v>0</v>
      </c>
      <c r="CY10" s="4763">
        <f t="shared" si="11"/>
        <v>0</v>
      </c>
      <c r="CZ10" s="4763">
        <f t="shared" ref="CZ10:EE10" si="12">CZ73*(CZ$4&lt;$D$6)+(CZ8+CZ9)*(CZ$4=$D$6)</f>
        <v>0</v>
      </c>
      <c r="DA10" s="4763">
        <f t="shared" si="12"/>
        <v>0</v>
      </c>
      <c r="DB10" s="4763">
        <f t="shared" si="12"/>
        <v>0</v>
      </c>
      <c r="DC10" s="4763">
        <f t="shared" si="12"/>
        <v>0</v>
      </c>
      <c r="DD10" s="4763">
        <f t="shared" si="12"/>
        <v>0</v>
      </c>
      <c r="DE10" s="4763">
        <f t="shared" si="12"/>
        <v>0</v>
      </c>
      <c r="DF10" s="4763">
        <f t="shared" si="12"/>
        <v>0</v>
      </c>
      <c r="DG10" s="4763">
        <f t="shared" si="12"/>
        <v>0</v>
      </c>
      <c r="DH10" s="4763">
        <f t="shared" si="12"/>
        <v>0</v>
      </c>
      <c r="DI10" s="4763">
        <f t="shared" si="12"/>
        <v>0</v>
      </c>
      <c r="DJ10" s="4763">
        <f t="shared" si="12"/>
        <v>0</v>
      </c>
      <c r="DK10" s="4763">
        <f t="shared" si="12"/>
        <v>0</v>
      </c>
      <c r="DL10" s="4763">
        <f t="shared" si="12"/>
        <v>0</v>
      </c>
      <c r="DM10" s="4763">
        <f t="shared" si="12"/>
        <v>0</v>
      </c>
      <c r="DN10" s="4763">
        <f t="shared" si="12"/>
        <v>0</v>
      </c>
      <c r="DO10" s="4763">
        <f t="shared" si="12"/>
        <v>0</v>
      </c>
      <c r="DP10" s="4763">
        <f t="shared" si="12"/>
        <v>0</v>
      </c>
      <c r="DQ10" s="4763">
        <f t="shared" si="12"/>
        <v>0</v>
      </c>
      <c r="DR10" s="4763">
        <f t="shared" si="12"/>
        <v>0</v>
      </c>
      <c r="DS10" s="4763">
        <f t="shared" si="12"/>
        <v>0</v>
      </c>
      <c r="DT10" s="4763">
        <f t="shared" si="12"/>
        <v>0</v>
      </c>
      <c r="DU10" s="4763">
        <f t="shared" si="12"/>
        <v>0</v>
      </c>
      <c r="DV10" s="4763">
        <f t="shared" si="12"/>
        <v>0</v>
      </c>
      <c r="DW10" s="4763">
        <f t="shared" si="12"/>
        <v>0</v>
      </c>
      <c r="DX10" s="4763">
        <f t="shared" si="12"/>
        <v>0</v>
      </c>
      <c r="DY10" s="4763">
        <f t="shared" si="12"/>
        <v>0</v>
      </c>
      <c r="DZ10" s="4763">
        <f t="shared" si="12"/>
        <v>0</v>
      </c>
      <c r="EA10" s="4763">
        <f t="shared" si="12"/>
        <v>0</v>
      </c>
      <c r="EB10" s="4763">
        <f t="shared" si="12"/>
        <v>0</v>
      </c>
      <c r="EC10" s="4763">
        <f t="shared" si="12"/>
        <v>0</v>
      </c>
      <c r="ED10" s="4763">
        <f t="shared" si="12"/>
        <v>0</v>
      </c>
      <c r="EE10" s="4763">
        <f t="shared" si="12"/>
        <v>0</v>
      </c>
      <c r="EF10" s="4763">
        <f t="shared" ref="EF10:FK10" si="13">EF73*(EF$4&lt;$D$6)+(EF8+EF9)*(EF$4=$D$6)</f>
        <v>0</v>
      </c>
      <c r="EG10" s="4763">
        <f t="shared" si="13"/>
        <v>0</v>
      </c>
      <c r="EH10" s="4763">
        <f t="shared" si="13"/>
        <v>0</v>
      </c>
      <c r="EI10" s="4763">
        <f t="shared" si="13"/>
        <v>0</v>
      </c>
      <c r="EJ10" s="4763">
        <f t="shared" si="13"/>
        <v>0</v>
      </c>
      <c r="EK10" s="4763">
        <f t="shared" si="13"/>
        <v>0</v>
      </c>
      <c r="EL10" s="4763">
        <f t="shared" si="13"/>
        <v>0</v>
      </c>
      <c r="EM10" s="4763">
        <f t="shared" si="13"/>
        <v>0</v>
      </c>
      <c r="EN10" s="4763">
        <f t="shared" si="13"/>
        <v>0</v>
      </c>
      <c r="EO10" s="4763">
        <f t="shared" si="13"/>
        <v>0</v>
      </c>
      <c r="EP10" s="4763">
        <f t="shared" si="13"/>
        <v>0</v>
      </c>
      <c r="EQ10" s="4763">
        <f t="shared" si="13"/>
        <v>0</v>
      </c>
      <c r="ER10" s="4763">
        <f t="shared" si="13"/>
        <v>0</v>
      </c>
      <c r="ES10" s="4763">
        <f t="shared" si="13"/>
        <v>0</v>
      </c>
      <c r="ET10" s="4763">
        <f t="shared" si="13"/>
        <v>0</v>
      </c>
      <c r="EU10" s="4763">
        <f t="shared" si="13"/>
        <v>0</v>
      </c>
      <c r="EV10" s="4763">
        <f t="shared" si="13"/>
        <v>0</v>
      </c>
      <c r="EW10" s="4763">
        <f t="shared" si="13"/>
        <v>0</v>
      </c>
      <c r="EX10" s="4763">
        <f t="shared" si="13"/>
        <v>0</v>
      </c>
      <c r="EY10" s="4763">
        <f t="shared" si="13"/>
        <v>0</v>
      </c>
      <c r="EZ10" s="4763">
        <f t="shared" si="13"/>
        <v>0</v>
      </c>
      <c r="FA10" s="4763">
        <f t="shared" si="13"/>
        <v>0</v>
      </c>
      <c r="FB10" s="4763">
        <f t="shared" si="13"/>
        <v>0</v>
      </c>
      <c r="FC10" s="4763">
        <f t="shared" si="13"/>
        <v>0</v>
      </c>
      <c r="FD10" s="4763">
        <f t="shared" si="13"/>
        <v>0</v>
      </c>
      <c r="FE10" s="4763">
        <f t="shared" si="13"/>
        <v>0</v>
      </c>
      <c r="FF10" s="4763">
        <f t="shared" si="13"/>
        <v>0</v>
      </c>
      <c r="FG10" s="4763">
        <f t="shared" si="13"/>
        <v>0</v>
      </c>
      <c r="FH10" s="4763">
        <f t="shared" si="13"/>
        <v>0</v>
      </c>
      <c r="FI10" s="4763">
        <f t="shared" si="13"/>
        <v>0</v>
      </c>
      <c r="FJ10" s="4763">
        <f t="shared" si="13"/>
        <v>0</v>
      </c>
      <c r="FK10" s="4763">
        <f t="shared" si="13"/>
        <v>0</v>
      </c>
      <c r="FL10" s="4763">
        <f t="shared" ref="FL10:GE10" si="14">FL73*(FL$4&lt;$D$6)+(FL8+FL9)*(FL$4=$D$6)</f>
        <v>0</v>
      </c>
      <c r="FM10" s="4763">
        <f t="shared" si="14"/>
        <v>0</v>
      </c>
      <c r="FN10" s="4763">
        <f t="shared" si="14"/>
        <v>0</v>
      </c>
      <c r="FO10" s="4763">
        <f t="shared" si="14"/>
        <v>0</v>
      </c>
      <c r="FP10" s="4763">
        <f t="shared" si="14"/>
        <v>0</v>
      </c>
      <c r="FQ10" s="4763">
        <f t="shared" si="14"/>
        <v>0</v>
      </c>
      <c r="FR10" s="4763">
        <f t="shared" si="14"/>
        <v>0</v>
      </c>
      <c r="FS10" s="4763">
        <f t="shared" si="14"/>
        <v>0</v>
      </c>
      <c r="FT10" s="4763">
        <f t="shared" si="14"/>
        <v>0</v>
      </c>
      <c r="FU10" s="4763">
        <f t="shared" si="14"/>
        <v>0</v>
      </c>
      <c r="FV10" s="4763">
        <f t="shared" si="14"/>
        <v>0</v>
      </c>
      <c r="FW10" s="4763">
        <f t="shared" si="14"/>
        <v>0</v>
      </c>
      <c r="FX10" s="4763">
        <f t="shared" si="14"/>
        <v>0</v>
      </c>
      <c r="FY10" s="4763">
        <f t="shared" si="14"/>
        <v>0</v>
      </c>
      <c r="FZ10" s="4763">
        <f t="shared" si="14"/>
        <v>0</v>
      </c>
      <c r="GA10" s="4763">
        <f t="shared" si="14"/>
        <v>0</v>
      </c>
      <c r="GB10" s="4763">
        <f t="shared" si="14"/>
        <v>0</v>
      </c>
      <c r="GC10" s="4763">
        <f t="shared" si="14"/>
        <v>0</v>
      </c>
      <c r="GD10" s="4763">
        <f t="shared" si="14"/>
        <v>0</v>
      </c>
      <c r="GE10" s="4763">
        <f t="shared" si="14"/>
        <v>0</v>
      </c>
    </row>
    <row r="11" spans="1:188" ht="13.5" customHeight="1" thickBot="1">
      <c r="C11" s="733"/>
      <c r="D11" s="4960" t="s">
        <v>238</v>
      </c>
      <c r="E11" s="4884"/>
      <c r="F11" s="4940">
        <f ca="1">SUM(H11:FO11)</f>
        <v>217.35657999999995</v>
      </c>
      <c r="G11" s="4940"/>
      <c r="H11" s="4940">
        <f ca="1">H8*IF(H4&lt;=$D$5,Sensitivity!$M$12+민감도!$E$61,Sensitivity!$L$12)*H$44/12</f>
        <v>11.683052499999997</v>
      </c>
      <c r="I11" s="4940">
        <f ca="1">I8*IF(I4&lt;=$D$5,Sensitivity!$M$12+민감도!$E$61,Sensitivity!$L$12)*I$44/12</f>
        <v>11.410402499999998</v>
      </c>
      <c r="J11" s="4940">
        <f ca="1">J8*IF(J4&lt;=$D$5,Sensitivity!$M$12+민감도!$E$61,Sensitivity!$L$12)*J$44/12</f>
        <v>11.1377525</v>
      </c>
      <c r="K11" s="4940">
        <f ca="1">K8*IF(K4&lt;=$D$5,Sensitivity!$M$12+민감도!$E$61,Sensitivity!$L$12)*K$44/12</f>
        <v>10.865102500000001</v>
      </c>
      <c r="L11" s="4940">
        <f ca="1">L8*IF(L4&lt;=$D$5,Sensitivity!$M$12+민감도!$E$61,Sensitivity!$L$12)*L$44/12</f>
        <v>10.57882</v>
      </c>
      <c r="M11" s="4940">
        <f ca="1">M8*IF(M4&lt;=$D$5,Sensitivity!$M$12+민감도!$E$61,Sensitivity!$L$12)*M$44/12</f>
        <v>10.25845625</v>
      </c>
      <c r="N11" s="4940">
        <f ca="1">N8*IF(N4&lt;=$D$5,Sensitivity!$M$12+민감도!$E$61,Sensitivity!$L$12)*N$44/12</f>
        <v>9.9312762499999998</v>
      </c>
      <c r="O11" s="4940">
        <f ca="1">O8*IF(O4&lt;=$D$5,Sensitivity!$M$12+민감도!$E$61,Sensitivity!$L$12)*O$44/12</f>
        <v>9.5972799999999996</v>
      </c>
      <c r="P11" s="4940">
        <f ca="1">P8*IF(P4&lt;=$D$5,Sensitivity!$M$12+민감도!$E$61,Sensitivity!$L$12)*P$44/12</f>
        <v>9.2564674999999994</v>
      </c>
      <c r="Q11" s="4940">
        <f ca="1">Q8*IF(Q4&lt;=$D$5,Sensitivity!$M$12+민감도!$E$61,Sensitivity!$L$12)*Q$44/12</f>
        <v>8.9088387499999993</v>
      </c>
      <c r="R11" s="4940">
        <f ca="1">R8*IF(R4&lt;=$D$5,Sensitivity!$M$12+민감도!$E$61,Sensitivity!$L$12)*R$44/12</f>
        <v>8.5543937499999991</v>
      </c>
      <c r="S11" s="4940">
        <f ca="1">S8*IF(S4&lt;=$D$5,Sensitivity!$M$12+민감도!$E$61,Sensitivity!$L$12)*S$44/12</f>
        <v>8.199948749999999</v>
      </c>
      <c r="T11" s="4940">
        <f ca="1">T8*IF(T4&lt;=$D$5,Sensitivity!$M$12+민감도!$E$61,Sensitivity!$L$12)*T$44/12</f>
        <v>7.8386874999999989</v>
      </c>
      <c r="U11" s="4940">
        <f ca="1">U8*IF(U4&lt;=$D$5,Sensitivity!$M$12+민감도!$E$61,Sensitivity!$L$12)*U$44/12</f>
        <v>7.5183237499999995</v>
      </c>
      <c r="V11" s="4940">
        <f ca="1">V8*IF(V4&lt;=$D$5,Sensitivity!$M$12+민감도!$E$61,Sensitivity!$L$12)*V$44/12</f>
        <v>7.1979599999999992</v>
      </c>
      <c r="W11" s="4940">
        <f ca="1">W8*IF(W4&lt;=$D$5,Sensitivity!$M$12+민감도!$E$61,Sensitivity!$L$12)*W$44/12</f>
        <v>6.8707799999999999</v>
      </c>
      <c r="X11" s="4940">
        <f ca="1">X8*IF(X4&lt;=$D$5,Sensitivity!$M$12+민감도!$E$61,Sensitivity!$L$12)*X$44/12</f>
        <v>6.5367837500000006</v>
      </c>
      <c r="Y11" s="4940">
        <f ca="1">Y8*IF(Y4&lt;=$D$5,Sensitivity!$M$12+민감도!$E$61,Sensitivity!$L$12)*Y$44/12</f>
        <v>6.2027874999999986</v>
      </c>
      <c r="Z11" s="4940">
        <f ca="1">Z8*IF(Z4&lt;=$D$5,Sensitivity!$M$12+민감도!$E$61,Sensitivity!$L$12)*Z$44/12</f>
        <v>5.8687912499999983</v>
      </c>
      <c r="AA11" s="4940">
        <f ca="1">AA8*IF(AA4&lt;=$D$5,Sensitivity!$M$12+민감도!$E$61,Sensitivity!$L$12)*AA$44/12</f>
        <v>5.5279787499999982</v>
      </c>
      <c r="AB11" s="4940">
        <f ca="1">AB8*IF(AB4&lt;=$D$5,Sensitivity!$M$12+민감도!$E$61,Sensitivity!$L$12)*AB$44/12</f>
        <v>5.180349999999998</v>
      </c>
      <c r="AC11" s="4940">
        <f ca="1">AC8*IF(AC4&lt;=$D$5,Sensitivity!$M$12+민감도!$E$61,Sensitivity!$L$12)*AC$44/12</f>
        <v>4.8668024999999986</v>
      </c>
      <c r="AD11" s="4940">
        <f ca="1">AD8*IF(AD4&lt;=$D$5,Sensitivity!$M$12+민감도!$E$61,Sensitivity!$L$12)*AD$44/12</f>
        <v>4.5464387499999983</v>
      </c>
      <c r="AE11" s="4940">
        <f ca="1">AE8*IF(AE4&lt;=$D$5,Sensitivity!$M$12+민감도!$E$61,Sensitivity!$L$12)*AE$44/12</f>
        <v>4.1851774999999982</v>
      </c>
      <c r="AF11" s="4940">
        <f ca="1">AF8*IF(AF4&lt;=$D$5,Sensitivity!$M$12+민감도!$E$61,Sensitivity!$L$12)*AF$44/12</f>
        <v>3.8170999999999986</v>
      </c>
      <c r="AG11" s="4940">
        <f ca="1">AG8*IF(AG4&lt;=$D$5,Sensitivity!$M$12+민감도!$E$61,Sensitivity!$L$12)*AG$44/12</f>
        <v>3.3876762499999988</v>
      </c>
      <c r="AH11" s="4940">
        <f ca="1">AH8*IF(AH4&lt;=$D$5,Sensitivity!$M$12+민감도!$E$61,Sensitivity!$L$12)*AH$44/12</f>
        <v>2.9582524999999991</v>
      </c>
      <c r="AI11" s="4940">
        <f ca="1">AI8*IF(AI4&lt;=$D$5,Sensitivity!$M$12+민감도!$E$61,Sensitivity!$L$12)*AI$44/12</f>
        <v>2.5220124999999989</v>
      </c>
      <c r="AJ11" s="4940">
        <f ca="1">AJ8*IF(AJ4&lt;=$D$5,Sensitivity!$M$12+민감도!$E$61,Sensitivity!$L$12)*AJ$44/12</f>
        <v>2.0789562499999992</v>
      </c>
      <c r="AK11" s="4940">
        <f ca="1">AK8*IF(AK4&lt;=$D$5,Sensitivity!$M$12+민감도!$E$61,Sensitivity!$L$12)*AK$44/12</f>
        <v>1.8063062499999993</v>
      </c>
      <c r="AL11" s="4940">
        <f ca="1">AL8*IF(AL4&lt;=$D$5,Sensitivity!$M$12+민감도!$E$61,Sensitivity!$L$12)*AL$44/12</f>
        <v>1.492758749999999</v>
      </c>
      <c r="AM11" s="4940">
        <f ca="1">AM8*IF(AM4&lt;=$D$5,Sensitivity!$M$12+민감도!$E$61,Sensitivity!$L$12)*AM$44/12</f>
        <v>1.1723949999999992</v>
      </c>
      <c r="AN11" s="4940">
        <f ca="1">AN8*IF(AN4&lt;=$D$5,Sensitivity!$M$12+민감도!$E$61,Sensitivity!$L$12)*AN$44/12</f>
        <v>0.89974499999999902</v>
      </c>
      <c r="AO11" s="4940">
        <f ca="1">AO8*IF(AO4&lt;=$D$5,Sensitivity!$M$12+민감도!$E$61,Sensitivity!$L$12)*AO$44/12</f>
        <v>0.81794999999999918</v>
      </c>
      <c r="AP11" s="4940">
        <f ca="1">AP8*IF(AP4&lt;=$D$5,Sensitivity!$M$12+민감도!$E$61,Sensitivity!$L$12)*AP$44/12</f>
        <v>0.73615499999999912</v>
      </c>
      <c r="AQ11" s="4940">
        <f ca="1">AQ8*IF(AQ4&lt;=$D$5,Sensitivity!$M$12+민감도!$E$61,Sensitivity!$L$12)*AQ$44/12</f>
        <v>0.65435999999999905</v>
      </c>
      <c r="AR11" s="4940">
        <f ca="1">AR8*IF(AR4&lt;=$D$5,Sensitivity!$M$12+민감도!$E$61,Sensitivity!$L$12)*AR$44/12</f>
        <v>0.57256499999999899</v>
      </c>
      <c r="AS11" s="4940">
        <f ca="1">AS8*IF(AS4&lt;=$D$5,Sensitivity!$M$12+민감도!$E$61,Sensitivity!$L$12)*AS$44/12</f>
        <v>0.49076999999999887</v>
      </c>
      <c r="AT11" s="4940">
        <f ca="1">AT8*IF(AT4&lt;=$D$5,Sensitivity!$M$12+민감도!$E$61,Sensitivity!$L$12)*AT$44/12</f>
        <v>0.40897499999999892</v>
      </c>
      <c r="AU11" s="4940">
        <f ca="1">AU8*IF(AU4&lt;=$D$5,Sensitivity!$M$12+민감도!$E$61,Sensitivity!$L$12)*AU$44/12</f>
        <v>0.32717999999999892</v>
      </c>
      <c r="AV11" s="4940">
        <f ca="1">AV8*IF(AV4&lt;=$D$5,Sensitivity!$M$12+민감도!$E$61,Sensitivity!$L$12)*AV$44/12</f>
        <v>0.24538499999999888</v>
      </c>
      <c r="AW11" s="4940">
        <f ca="1">AW8*IF(AW4&lt;=$D$5,Sensitivity!$M$12+민감도!$E$61,Sensitivity!$L$12)*AW$44/12</f>
        <v>0.16358999999999888</v>
      </c>
      <c r="AX11" s="4940">
        <f ca="1">AX8*IF(AX4&lt;=$D$5,Sensitivity!$M$12+민감도!$E$61,Sensitivity!$L$12)*AX$44/12</f>
        <v>8.1794999999998882E-2</v>
      </c>
      <c r="AY11" s="4940">
        <f ca="1">AY8*IF(AY4&lt;=$D$5,Sensitivity!$M$12+민감도!$E$61,Sensitivity!$L$12)*AY$44/12</f>
        <v>0</v>
      </c>
      <c r="AZ11" s="4940">
        <f ca="1">AZ8*IF(AZ4&lt;=$D$5,Sensitivity!$M$12+민감도!$E$61,Sensitivity!$L$12)*AZ$44/12</f>
        <v>0</v>
      </c>
      <c r="BA11" s="4940">
        <f ca="1">BA8*IF(BA4&lt;=$D$5,Sensitivity!$M$12+민감도!$E$61,Sensitivity!$L$12)*BA$44/12</f>
        <v>0</v>
      </c>
      <c r="BB11" s="4940">
        <f ca="1">BB8*IF(BB4&lt;=$D$5,Sensitivity!$M$12+민감도!$E$61,Sensitivity!$L$12)*BB$44/12</f>
        <v>0</v>
      </c>
      <c r="BC11" s="4940">
        <f ca="1">BC8*IF(BC4&lt;=$D$5,Sensitivity!$M$12+민감도!$E$61,Sensitivity!$L$12)*BC$44/12</f>
        <v>0</v>
      </c>
      <c r="BD11" s="4940">
        <f ca="1">BD8*IF(BD4&lt;=$D$5,Sensitivity!$M$12+민감도!$E$61,Sensitivity!$L$12)*BD$44/12</f>
        <v>0</v>
      </c>
      <c r="BE11" s="4940">
        <f ca="1">BE8*IF(BE4&lt;=$D$5,Sensitivity!$M$12+민감도!$E$61,Sensitivity!$L$12)*BE$44/12</f>
        <v>0</v>
      </c>
      <c r="BF11" s="4940">
        <f ca="1">BF8*IF(BF4&lt;=$D$5,Sensitivity!$M$12+민감도!$E$61,Sensitivity!$L$12)*BF$44/12</f>
        <v>0</v>
      </c>
      <c r="BG11" s="4940">
        <f ca="1">BG8*IF(BG4&lt;=$D$5,Sensitivity!$M$12+민감도!$E$61,Sensitivity!$L$12)*BG$44/12</f>
        <v>0</v>
      </c>
      <c r="BH11" s="4940">
        <f ca="1">BH8*IF(BH4&lt;=$D$5,Sensitivity!$M$12+민감도!$E$61,Sensitivity!$L$12)*BH$44/12</f>
        <v>0</v>
      </c>
      <c r="BI11" s="4940">
        <f ca="1">BI8*IF(BI4&lt;=$D$5,Sensitivity!$M$12+민감도!$E$61,Sensitivity!$L$12)*BI$44/12</f>
        <v>0</v>
      </c>
      <c r="BJ11" s="4940">
        <f ca="1">BJ8*IF(BJ4&lt;=$D$5,Sensitivity!$M$12+민감도!$E$61,Sensitivity!$L$12)*BJ$44/12</f>
        <v>0</v>
      </c>
      <c r="BK11" s="4940">
        <f ca="1">BK8*IF(BK4&lt;=$D$5,Sensitivity!$M$12+민감도!$E$61,Sensitivity!$L$12)*BK$44/12</f>
        <v>0</v>
      </c>
      <c r="BL11" s="4940">
        <f ca="1">BL8*IF(BL4&lt;=$D$5,Sensitivity!$M$12+민감도!$E$61,Sensitivity!$L$12)*BL$44/12</f>
        <v>0</v>
      </c>
      <c r="BM11" s="4940">
        <f ca="1">BM8*IF(BM4&lt;=$D$5,Sensitivity!$M$12+민감도!$E$61,Sensitivity!$L$12)*BM$44/12</f>
        <v>0</v>
      </c>
      <c r="BN11" s="4940">
        <f ca="1">BN8*IF(BN4&lt;=$D$5,Sensitivity!$M$12+민감도!$E$61,Sensitivity!$L$12)*BN$44/12</f>
        <v>0</v>
      </c>
      <c r="BO11" s="4940">
        <f ca="1">BO8*IF(BO4&lt;=$D$5,Sensitivity!$M$12+민감도!$E$61,Sensitivity!$L$12)*BO$44/12</f>
        <v>0</v>
      </c>
      <c r="BP11" s="4940">
        <f ca="1">BP8*IF(BP4&lt;=$D$5,Sensitivity!$M$12+민감도!$E$61,Sensitivity!$L$12)*BP$44/12</f>
        <v>0</v>
      </c>
      <c r="BQ11" s="4940">
        <f ca="1">BQ8*IF(BQ4&lt;=$D$5,Sensitivity!$M$12+민감도!$E$61,Sensitivity!$L$12)*BQ$44/12</f>
        <v>0</v>
      </c>
      <c r="BR11" s="4940">
        <f ca="1">BR8*IF(BR4&lt;=$D$5,Sensitivity!$M$12+민감도!$E$61,Sensitivity!$L$12)*BR$44/12</f>
        <v>0</v>
      </c>
      <c r="BS11" s="4940">
        <f ca="1">BS8*IF(BS4&lt;=$D$5,Sensitivity!$M$12+민감도!$E$61,Sensitivity!$L$12)*BS$44/12</f>
        <v>0</v>
      </c>
      <c r="BT11" s="4940">
        <f ca="1">BT8*IF(BT4&lt;=$D$5,Sensitivity!$M$12+민감도!$E$61,Sensitivity!$L$12)*BT$44/12</f>
        <v>0</v>
      </c>
      <c r="BU11" s="4940">
        <f ca="1">BU8*IF(BU4&lt;=$D$5,Sensitivity!$M$12+민감도!$E$61,Sensitivity!$L$12)*BU$44/12</f>
        <v>0</v>
      </c>
      <c r="BV11" s="4940">
        <f ca="1">BV8*IF(BV4&lt;=$D$5,Sensitivity!$M$12+민감도!$E$61,Sensitivity!$L$12)*BV$44/12</f>
        <v>0</v>
      </c>
      <c r="BW11" s="4940">
        <f ca="1">BW8*IF(BW4&lt;=$D$5,Sensitivity!$M$12+민감도!$E$61,Sensitivity!$L$12)*BW$44/12</f>
        <v>0</v>
      </c>
      <c r="BX11" s="4940">
        <f ca="1">BX8*IF(BX4&lt;=$D$5,Sensitivity!$M$12+민감도!$E$61,Sensitivity!$L$12)*BX$44/12</f>
        <v>0</v>
      </c>
      <c r="BY11" s="4940">
        <f ca="1">BY8*IF(BY4&lt;=$D$5,Sensitivity!$M$12+민감도!$E$61,Sensitivity!$L$12)*BY$44/12</f>
        <v>0</v>
      </c>
      <c r="BZ11" s="4940">
        <f ca="1">BZ8*IF(BZ4&lt;=$D$5,Sensitivity!$M$12+민감도!$E$61,Sensitivity!$L$12)*BZ$44/12</f>
        <v>0</v>
      </c>
      <c r="CA11" s="4940">
        <f ca="1">CA8*IF(CA4&lt;=$D$5,Sensitivity!$M$12+민감도!$E$61,Sensitivity!$L$12)*CA$44/12</f>
        <v>0</v>
      </c>
      <c r="CB11" s="4940">
        <f ca="1">CB8*IF(CB4&lt;=$D$5,Sensitivity!$M$12+민감도!$E$61,Sensitivity!$L$12)*CB$44/12</f>
        <v>0</v>
      </c>
      <c r="CC11" s="4940">
        <f ca="1">CC8*IF(CC4&lt;=$D$5,Sensitivity!$M$12+민감도!$E$61,Sensitivity!$L$12)*CC$44/12</f>
        <v>0</v>
      </c>
      <c r="CD11" s="4940">
        <f ca="1">CD8*IF(CD4&lt;=$D$5,Sensitivity!$M$12+민감도!$E$61,Sensitivity!$L$12)*CD$44/12</f>
        <v>0</v>
      </c>
      <c r="CE11" s="4940">
        <f ca="1">CE8*IF(CE4&lt;=$D$5,Sensitivity!$M$12+민감도!$E$61,Sensitivity!$L$12)*CE$44/12</f>
        <v>0</v>
      </c>
      <c r="CF11" s="4940">
        <f ca="1">CF8*IF(CF4&lt;=$D$5,Sensitivity!$M$12+민감도!$E$61,Sensitivity!$L$12)*CF$44/12</f>
        <v>0</v>
      </c>
      <c r="CG11" s="4940">
        <f ca="1">CG8*IF(CG4&lt;=$D$5,Sensitivity!$M$12+민감도!$E$61,Sensitivity!$L$12)*CG$44/12</f>
        <v>0</v>
      </c>
      <c r="CH11" s="4940">
        <f ca="1">CH8*IF(CH4&lt;=$D$5,Sensitivity!$M$12+민감도!$E$61,Sensitivity!$L$12)*CH$44/12</f>
        <v>0</v>
      </c>
      <c r="CI11" s="4940">
        <f ca="1">CI8*IF(CI4&lt;=$D$5,Sensitivity!$M$12+민감도!$E$61,Sensitivity!$L$12)*CI$44/12</f>
        <v>0</v>
      </c>
      <c r="CJ11" s="4940">
        <f ca="1">CJ8*IF(CJ4&lt;=$D$5,Sensitivity!$M$12+민감도!$E$61,Sensitivity!$L$12)*CJ$44/12</f>
        <v>0</v>
      </c>
      <c r="CK11" s="4940">
        <f ca="1">CK8*IF(CK4&lt;=$D$5,Sensitivity!$M$12+민감도!$E$61,Sensitivity!$L$12)*CK$44/12</f>
        <v>0</v>
      </c>
      <c r="CL11" s="4940">
        <f ca="1">CL8*IF(CL4&lt;=$D$5,Sensitivity!$M$12+민감도!$E$61,Sensitivity!$L$12)*CL$44/12</f>
        <v>0</v>
      </c>
      <c r="CM11" s="4940">
        <f ca="1">CM8*IF(CM4&lt;=$D$5,Sensitivity!$M$12+민감도!$E$61,Sensitivity!$L$12)*CM$44/12</f>
        <v>0</v>
      </c>
      <c r="CN11" s="4940">
        <f ca="1">CN8*IF(CN4&lt;=$D$5,Sensitivity!$M$12+민감도!$E$61,Sensitivity!$L$12)*CN$44/12</f>
        <v>0</v>
      </c>
      <c r="CO11" s="4940">
        <f ca="1">CO8*IF(CO4&lt;=$D$5,Sensitivity!$M$12+민감도!$E$61,Sensitivity!$L$12)*CO$44/12</f>
        <v>0</v>
      </c>
      <c r="CP11" s="4940">
        <f ca="1">CP8*IF(CP4&lt;=$D$5,Sensitivity!$M$12+민감도!$E$61,Sensitivity!$L$12)*CP$44/12</f>
        <v>0</v>
      </c>
      <c r="CQ11" s="4940">
        <f ca="1">CQ8*IF(CQ4&lt;=$D$5,Sensitivity!$M$12+민감도!$E$61,Sensitivity!$L$12)*CQ$44/12</f>
        <v>0</v>
      </c>
      <c r="CR11" s="4940">
        <f ca="1">CR8*IF(CR4&lt;=$D$5,Sensitivity!$M$12+민감도!$E$61,Sensitivity!$L$12)*CR$44/12</f>
        <v>0</v>
      </c>
      <c r="CS11" s="4940">
        <f ca="1">CS8*IF(CS4&lt;=$D$5,Sensitivity!$M$12+민감도!$E$61,Sensitivity!$L$12)*CS$44/12</f>
        <v>0</v>
      </c>
      <c r="CT11" s="4940">
        <f ca="1">CT8*IF(CT4&lt;=$D$5,Sensitivity!$M$12+민감도!$E$61,Sensitivity!$L$12)*CT$44/12</f>
        <v>0</v>
      </c>
      <c r="CU11" s="4940">
        <f ca="1">CU8*IF(CU4&lt;=$D$5,Sensitivity!$M$12+민감도!$E$61,Sensitivity!$L$12)*CU$44/12</f>
        <v>0</v>
      </c>
      <c r="CV11" s="4940">
        <f ca="1">CV8*IF(CV4&lt;=$D$5,Sensitivity!$M$12+민감도!$E$61,Sensitivity!$L$12)*CV$44/12</f>
        <v>0</v>
      </c>
      <c r="CW11" s="4940">
        <f ca="1">CW8*IF(CW4&lt;=$D$5,Sensitivity!$M$12+민감도!$E$61,Sensitivity!$L$12)*CW$44/12</f>
        <v>0</v>
      </c>
      <c r="CX11" s="4940">
        <f ca="1">CX8*IF(CX4&lt;=$D$5,Sensitivity!$M$12+민감도!$E$61,Sensitivity!$L$12)*CX$44/12</f>
        <v>0</v>
      </c>
      <c r="CY11" s="4940">
        <f ca="1">CY8*IF(CY4&lt;=$D$5,Sensitivity!$M$12+민감도!$E$61,Sensitivity!$L$12)*CY$44/12</f>
        <v>0</v>
      </c>
      <c r="CZ11" s="4940">
        <f ca="1">CZ8*IF(CZ4&lt;=$D$5,Sensitivity!$M$12+민감도!$E$61,Sensitivity!$L$12)*CZ$44/12</f>
        <v>0</v>
      </c>
      <c r="DA11" s="4940">
        <f ca="1">DA8*IF(DA4&lt;=$D$5,Sensitivity!$M$12+민감도!$E$61,Sensitivity!$L$12)*DA$44/12</f>
        <v>0</v>
      </c>
      <c r="DB11" s="4940">
        <f ca="1">DB8*IF(DB4&lt;=$D$5,Sensitivity!$M$12+민감도!$E$61,Sensitivity!$L$12)*DB$44/12</f>
        <v>0</v>
      </c>
      <c r="DC11" s="4940">
        <f ca="1">DC8*IF(DC4&lt;=$D$5,Sensitivity!$M$12+민감도!$E$61,Sensitivity!$L$12)*DC$44/12</f>
        <v>0</v>
      </c>
      <c r="DD11" s="4940">
        <f ca="1">DD8*IF(DD4&lt;=$D$5,Sensitivity!$M$12+민감도!$E$61,Sensitivity!$L$12)*DD$44/12</f>
        <v>0</v>
      </c>
      <c r="DE11" s="4940">
        <f ca="1">DE8*IF(DE4&lt;=$D$5,Sensitivity!$M$12+민감도!$E$61,Sensitivity!$L$12)*DE$44/12</f>
        <v>0</v>
      </c>
      <c r="DF11" s="4940">
        <f ca="1">DF8*IF(DF4&lt;=$D$5,Sensitivity!$M$12+민감도!$E$61,Sensitivity!$L$12)*DF$44/12</f>
        <v>0</v>
      </c>
      <c r="DG11" s="4940">
        <f ca="1">DG8*IF(DG4&lt;=$D$5,Sensitivity!$M$12+민감도!$E$61,Sensitivity!$L$12)*DG$44/12</f>
        <v>0</v>
      </c>
      <c r="DH11" s="4940">
        <f ca="1">DH8*IF(DH4&lt;=$D$5,Sensitivity!$M$12+민감도!$E$61,Sensitivity!$L$12)*DH$44/12</f>
        <v>0</v>
      </c>
      <c r="DI11" s="4940">
        <f ca="1">DI8*IF(DI4&lt;=$D$5,Sensitivity!$M$12+민감도!$E$61,Sensitivity!$L$12)*DI$44/12</f>
        <v>0</v>
      </c>
      <c r="DJ11" s="4940">
        <f ca="1">DJ8*IF(DJ4&lt;=$D$5,Sensitivity!$M$12+민감도!$E$61,Sensitivity!$L$12)*DJ$44/12</f>
        <v>0</v>
      </c>
      <c r="DK11" s="4940">
        <f ca="1">DK8*IF(DK4&lt;=$D$5,Sensitivity!$M$12+민감도!$E$61,Sensitivity!$L$12)*DK$44/12</f>
        <v>0</v>
      </c>
      <c r="DL11" s="4940">
        <f ca="1">DL8*IF(DL4&lt;=$D$5,Sensitivity!$M$12+민감도!$E$61,Sensitivity!$L$12)*DL$44/12</f>
        <v>0</v>
      </c>
      <c r="DM11" s="4940">
        <f ca="1">DM8*IF(DM4&lt;=$D$5,Sensitivity!$M$12+민감도!$E$61,Sensitivity!$L$12)*DM$44/12</f>
        <v>0</v>
      </c>
      <c r="DN11" s="4940">
        <f ca="1">DN8*IF(DN4&lt;=$D$5,Sensitivity!$M$12+민감도!$E$61,Sensitivity!$L$12)*DN$44/12</f>
        <v>0</v>
      </c>
      <c r="DO11" s="4940">
        <f ca="1">DO8*IF(DO4&lt;=$D$5,Sensitivity!$M$12+민감도!$E$61,Sensitivity!$L$12)*DO$44/12</f>
        <v>0</v>
      </c>
      <c r="DP11" s="4940">
        <f ca="1">DP8*IF(DP4&lt;=$D$5,Sensitivity!$M$12+민감도!$E$61,Sensitivity!$L$12)*DP$44/12</f>
        <v>0</v>
      </c>
      <c r="DQ11" s="4940">
        <f ca="1">DQ8*IF(DQ4&lt;=$D$5,Sensitivity!$M$12+민감도!$E$61,Sensitivity!$L$12)*DQ$44/12</f>
        <v>0</v>
      </c>
      <c r="DR11" s="4940">
        <f ca="1">DR8*IF(DR4&lt;=$D$5,Sensitivity!$M$12+민감도!$E$61,Sensitivity!$L$12)*DR$44/12</f>
        <v>0</v>
      </c>
      <c r="DS11" s="4940">
        <f ca="1">DS8*IF(DS4&lt;=$D$5,Sensitivity!$M$12+민감도!$E$61,Sensitivity!$L$12)*DS$44/12</f>
        <v>0</v>
      </c>
      <c r="DT11" s="4940">
        <f ca="1">DT8*IF(DT4&lt;=$D$5,Sensitivity!$M$12+민감도!$E$61,Sensitivity!$L$12)*DT$44/12</f>
        <v>0</v>
      </c>
      <c r="DU11" s="4940">
        <f ca="1">DU8*IF(DU4&lt;=$D$5,Sensitivity!$M$12+민감도!$E$61,Sensitivity!$L$12)*DU$44/12</f>
        <v>0</v>
      </c>
      <c r="DV11" s="4940">
        <f ca="1">DV8*IF(DV4&lt;=$D$5,Sensitivity!$M$12+민감도!$E$61,Sensitivity!$L$12)*DV$44/12</f>
        <v>0</v>
      </c>
      <c r="DW11" s="4940">
        <f ca="1">DW8*IF(DW4&lt;=$D$5,Sensitivity!$M$12+민감도!$E$61,Sensitivity!$L$12)*DW$44/12</f>
        <v>0</v>
      </c>
      <c r="DX11" s="4940">
        <f ca="1">DX8*IF(DX4&lt;=$D$5,Sensitivity!$M$12+민감도!$E$61,Sensitivity!$L$12)*DX$44/12</f>
        <v>0</v>
      </c>
      <c r="DY11" s="4940">
        <f ca="1">DY8*IF(DY4&lt;=$D$5,Sensitivity!$M$12+민감도!$E$61,Sensitivity!$L$12)*DY$44/12</f>
        <v>0</v>
      </c>
      <c r="DZ11" s="4940">
        <f ca="1">DZ8*IF(DZ4&lt;=$D$5,Sensitivity!$M$12+민감도!$E$61,Sensitivity!$L$12)*DZ$44/12</f>
        <v>0</v>
      </c>
      <c r="EA11" s="4940">
        <f ca="1">EA8*IF(EA4&lt;=$D$5,Sensitivity!$M$12+민감도!$E$61,Sensitivity!$L$12)*EA$44/12</f>
        <v>0</v>
      </c>
      <c r="EB11" s="4940">
        <f ca="1">EB8*IF(EB4&lt;=$D$5,Sensitivity!$M$12+민감도!$E$61,Sensitivity!$L$12)*EB$44/12</f>
        <v>0</v>
      </c>
      <c r="EC11" s="4940">
        <f ca="1">EC8*IF(EC4&lt;=$D$5,Sensitivity!$M$12+민감도!$E$61,Sensitivity!$L$12)*EC$44/12</f>
        <v>0</v>
      </c>
      <c r="ED11" s="4940">
        <f ca="1">ED8*IF(ED4&lt;=$D$5,Sensitivity!$M$12+민감도!$E$61,Sensitivity!$L$12)*ED$44/12</f>
        <v>0</v>
      </c>
      <c r="EE11" s="4940">
        <f ca="1">EE8*IF(EE4&lt;=$D$5,Sensitivity!$M$12+민감도!$E$61,Sensitivity!$L$12)*EE$44/12</f>
        <v>0</v>
      </c>
      <c r="EF11" s="4940">
        <f ca="1">EF8*IF(EF4&lt;=$D$5,Sensitivity!$M$12+민감도!$E$61,Sensitivity!$L$12)*EF$44/12</f>
        <v>0</v>
      </c>
      <c r="EG11" s="4940">
        <f ca="1">EG8*IF(EG4&lt;=$D$5,Sensitivity!$M$12+민감도!$E$61,Sensitivity!$L$12)*EG$44/12</f>
        <v>0</v>
      </c>
      <c r="EH11" s="4940">
        <f ca="1">EH8*IF(EH4&lt;=$D$5,Sensitivity!$M$12+민감도!$E$61,Sensitivity!$L$12)*EH$44/12</f>
        <v>0</v>
      </c>
      <c r="EI11" s="4940">
        <f ca="1">EI8*IF(EI4&lt;=$D$5,Sensitivity!$M$12+민감도!$E$61,Sensitivity!$L$12)*EI$44/12</f>
        <v>0</v>
      </c>
      <c r="EJ11" s="4940">
        <f ca="1">EJ8*IF(EJ4&lt;=$D$5,Sensitivity!$M$12+민감도!$E$61,Sensitivity!$L$12)*EJ$44/12</f>
        <v>0</v>
      </c>
      <c r="EK11" s="4940">
        <f ca="1">EK8*IF(EK4&lt;=$D$5,Sensitivity!$M$12+민감도!$E$61,Sensitivity!$L$12)*EK$44/12</f>
        <v>0</v>
      </c>
      <c r="EL11" s="4940">
        <f ca="1">EL8*IF(EL4&lt;=$D$5,Sensitivity!$M$12+민감도!$E$61,Sensitivity!$L$12)*EL$44/12</f>
        <v>0</v>
      </c>
      <c r="EM11" s="4940">
        <f ca="1">EM8*IF(EM4&lt;=$D$5,Sensitivity!$M$12+민감도!$E$61,Sensitivity!$L$12)*EM$44/12</f>
        <v>0</v>
      </c>
      <c r="EN11" s="4940">
        <f ca="1">EN8*IF(EN4&lt;=$D$5,Sensitivity!$M$12+민감도!$E$61,Sensitivity!$L$12)*EN$44/12</f>
        <v>0</v>
      </c>
      <c r="EO11" s="4940">
        <f ca="1">EO8*IF(EO4&lt;=$D$5,Sensitivity!$M$12+민감도!$E$61,Sensitivity!$L$12)*EO$44/12</f>
        <v>0</v>
      </c>
      <c r="EP11" s="4940">
        <f ca="1">EP8*IF(EP4&lt;=$D$5,Sensitivity!$M$12+민감도!$E$61,Sensitivity!$L$12)*EP$44/12</f>
        <v>0</v>
      </c>
      <c r="EQ11" s="4940">
        <f ca="1">EQ8*IF(EQ4&lt;=$D$5,Sensitivity!$M$12+민감도!$E$61,Sensitivity!$L$12)*EQ$44/12</f>
        <v>0</v>
      </c>
      <c r="ER11" s="4940">
        <f ca="1">ER8*IF(ER4&lt;=$D$5,Sensitivity!$M$12+민감도!$E$61,Sensitivity!$L$12)*ER$44/12</f>
        <v>0</v>
      </c>
      <c r="ES11" s="4940">
        <f ca="1">ES8*IF(ES4&lt;=$D$5,Sensitivity!$M$12+민감도!$E$61,Sensitivity!$L$12)*ES$44/12</f>
        <v>0</v>
      </c>
      <c r="ET11" s="4940">
        <f ca="1">ET8*IF(ET4&lt;=$D$5,Sensitivity!$M$12+민감도!$E$61,Sensitivity!$L$12)*ET$44/12</f>
        <v>0</v>
      </c>
      <c r="EU11" s="4940">
        <f ca="1">EU8*IF(EU4&lt;=$D$5,Sensitivity!$M$12+민감도!$E$61,Sensitivity!$L$12)*EU$44/12</f>
        <v>0</v>
      </c>
      <c r="EV11" s="4940">
        <f ca="1">EV8*IF(EV4&lt;=$D$5,Sensitivity!$M$12+민감도!$E$61,Sensitivity!$L$12)*EV$44/12</f>
        <v>0</v>
      </c>
      <c r="EW11" s="4940">
        <f ca="1">EW8*IF(EW4&lt;=$D$5,Sensitivity!$M$12+민감도!$E$61,Sensitivity!$L$12)*EW$44/12</f>
        <v>0</v>
      </c>
      <c r="EX11" s="4940">
        <f ca="1">EX8*IF(EX4&lt;=$D$5,Sensitivity!$M$12+민감도!$E$61,Sensitivity!$L$12)*EX$44/12</f>
        <v>0</v>
      </c>
      <c r="EY11" s="4940">
        <f ca="1">EY8*IF(EY4&lt;=$D$5,Sensitivity!$M$12+민감도!$E$61,Sensitivity!$L$12)*EY$44/12</f>
        <v>0</v>
      </c>
      <c r="EZ11" s="4940">
        <f ca="1">EZ8*IF(EZ4&lt;=$D$5,Sensitivity!$M$12+민감도!$E$61,Sensitivity!$L$12)*EZ$44/12</f>
        <v>0</v>
      </c>
      <c r="FA11" s="4940">
        <f ca="1">FA8*IF(FA4&lt;=$D$5,Sensitivity!$M$12+민감도!$E$61,Sensitivity!$L$12)*FA$44/12</f>
        <v>0</v>
      </c>
      <c r="FB11" s="4940">
        <f ca="1">FB8*IF(FB4&lt;=$D$5,Sensitivity!$M$12+민감도!$E$61,Sensitivity!$L$12)*FB$44/12</f>
        <v>0</v>
      </c>
      <c r="FC11" s="4940">
        <f ca="1">FC8*IF(FC4&lt;=$D$5,Sensitivity!$M$12+민감도!$E$61,Sensitivity!$L$12)*FC$44/12</f>
        <v>0</v>
      </c>
      <c r="FD11" s="4940">
        <f ca="1">FD8*IF(FD4&lt;=$D$5,Sensitivity!$M$12+민감도!$E$61,Sensitivity!$L$12)*FD$44/12</f>
        <v>0</v>
      </c>
      <c r="FE11" s="4940">
        <f ca="1">FE8*IF(FE4&lt;=$D$5,Sensitivity!$M$12+민감도!$E$61,Sensitivity!$L$12)*FE$44/12</f>
        <v>0</v>
      </c>
      <c r="FF11" s="4940">
        <f ca="1">FF8*IF(FF4&lt;=$D$5,Sensitivity!$M$12+민감도!$E$61,Sensitivity!$L$12)*FF$44/12</f>
        <v>0</v>
      </c>
      <c r="FG11" s="4940">
        <f ca="1">FG8*IF(FG4&lt;=$D$5,Sensitivity!$M$12+민감도!$E$61,Sensitivity!$L$12)*FG$44/12</f>
        <v>0</v>
      </c>
      <c r="FH11" s="4940">
        <f ca="1">FH8*IF(FH4&lt;=$D$5,Sensitivity!$M$12+민감도!$E$61,Sensitivity!$L$12)*FH$44/12</f>
        <v>0</v>
      </c>
      <c r="FI11" s="4940">
        <f ca="1">FI8*IF(FI4&lt;=$D$5,Sensitivity!$M$12+민감도!$E$61,Sensitivity!$L$12)*FI$44/12</f>
        <v>0</v>
      </c>
      <c r="FJ11" s="4940">
        <f ca="1">FJ8*IF(FJ4&lt;=$D$5,Sensitivity!$M$12+민감도!$E$61,Sensitivity!$L$12)*FJ$44/12</f>
        <v>0</v>
      </c>
      <c r="FK11" s="4940">
        <f ca="1">FK8*IF(FK4&lt;=$D$5,Sensitivity!$M$12+민감도!$E$61,Sensitivity!$L$12)*FK$44/12</f>
        <v>0</v>
      </c>
      <c r="FL11" s="4940">
        <f ca="1">FL8*IF(FL4&lt;=$D$5,Sensitivity!$M$12+민감도!$E$61,Sensitivity!$L$12)*FL$44/12</f>
        <v>0</v>
      </c>
      <c r="FM11" s="4940">
        <f ca="1">FM8*IF(FM4&lt;=$D$5,Sensitivity!$M$12+민감도!$E$61,Sensitivity!$L$12)*FM$44/12</f>
        <v>0</v>
      </c>
      <c r="FN11" s="4940">
        <f ca="1">FN8*IF(FN4&lt;=$D$5,Sensitivity!$M$12+민감도!$E$61,Sensitivity!$L$12)*FN$44/12</f>
        <v>0</v>
      </c>
      <c r="FO11" s="4940">
        <f ca="1">FO8*IF(FO4&lt;=$D$5,Sensitivity!$M$12+민감도!$E$61,Sensitivity!$L$12)*FO$44/12</f>
        <v>0</v>
      </c>
      <c r="FP11" s="4940">
        <f ca="1">FP8*IF(FP4&lt;=$D$5,Sensitivity!$M$12+민감도!$E$61,Sensitivity!$L$12)*FP$44/12</f>
        <v>0</v>
      </c>
      <c r="FQ11" s="4940">
        <f ca="1">FQ8*IF(FQ4&lt;=$D$5,Sensitivity!$M$12+민감도!$E$61,Sensitivity!$L$12)*FQ$44/12</f>
        <v>0</v>
      </c>
      <c r="FR11" s="4940">
        <f ca="1">FR8*IF(FR4&lt;=$D$5,Sensitivity!$M$12+민감도!$E$61,Sensitivity!$L$12)*FR$44/12</f>
        <v>0</v>
      </c>
      <c r="FS11" s="4940">
        <f ca="1">FS8*IF(FS4&lt;=$D$5,Sensitivity!$M$12+민감도!$E$61,Sensitivity!$L$12)*FS$44/12</f>
        <v>0</v>
      </c>
      <c r="FT11" s="4940">
        <f ca="1">FT8*IF(FT4&lt;=$D$5,Sensitivity!$M$12+민감도!$E$61,Sensitivity!$L$12)*FT$44/12</f>
        <v>0</v>
      </c>
      <c r="FU11" s="4940">
        <f ca="1">FU8*IF(FU4&lt;=$D$5,Sensitivity!$M$12+민감도!$E$61,Sensitivity!$L$12)*FU$44/12</f>
        <v>0</v>
      </c>
      <c r="FV11" s="4940">
        <f ca="1">FV8*IF(FV4&lt;=$D$5,Sensitivity!$M$12+민감도!$E$61,Sensitivity!$L$12)*FV$44/12</f>
        <v>0</v>
      </c>
      <c r="FW11" s="4940">
        <f ca="1">FW8*IF(FW4&lt;=$D$5,Sensitivity!$M$12+민감도!$E$61,Sensitivity!$L$12)*FW$44/12</f>
        <v>0</v>
      </c>
      <c r="FX11" s="4940">
        <f ca="1">FX8*IF(FX4&lt;=$D$5,Sensitivity!$M$12+민감도!$E$61,Sensitivity!$L$12)*FX$44/12</f>
        <v>0</v>
      </c>
      <c r="FY11" s="4940">
        <f ca="1">FY8*IF(FY4&lt;=$D$5,Sensitivity!$M$12+민감도!$E$61,Sensitivity!$L$12)*FY$44/12</f>
        <v>0</v>
      </c>
      <c r="FZ11" s="4940">
        <f ca="1">FZ8*IF(FZ4&lt;=$D$5,Sensitivity!$M$12+민감도!$E$61,Sensitivity!$L$12)*FZ$44/12</f>
        <v>0</v>
      </c>
      <c r="GA11" s="4940">
        <f ca="1">GA8*IF(GA4&lt;=$D$5,Sensitivity!$M$12+민감도!$E$61,Sensitivity!$L$12)*GA$44/12</f>
        <v>0</v>
      </c>
      <c r="GB11" s="4940">
        <f ca="1">GB8*IF(GB4&lt;=$D$5,Sensitivity!$M$12+민감도!$E$61,Sensitivity!$L$12)*GB$44/12</f>
        <v>0</v>
      </c>
      <c r="GC11" s="4940">
        <f ca="1">GC8*IF(GC4&lt;=$D$5,Sensitivity!$M$12+민감도!$E$61,Sensitivity!$L$12)*GC$44/12</f>
        <v>0</v>
      </c>
      <c r="GD11" s="4940">
        <f ca="1">GD8*IF(GD4&lt;=$D$5,Sensitivity!$M$12+민감도!$E$61,Sensitivity!$L$12)*GD$44/12</f>
        <v>0</v>
      </c>
      <c r="GE11" s="4940">
        <f ca="1">GE8*IF(GE4&lt;=$D$5,Sensitivity!$M$12+민감도!$E$61,Sensitivity!$L$12)*GE$44/12</f>
        <v>0</v>
      </c>
    </row>
    <row r="12" spans="1:188" ht="13.5" customHeight="1" thickTop="1">
      <c r="C12" s="4938" t="str">
        <f>Sensitivity!I13</f>
        <v>장기B-1</v>
      </c>
      <c r="D12" s="952"/>
      <c r="E12" s="4931"/>
      <c r="F12" s="4939">
        <f>H13+F14-F15</f>
        <v>0</v>
      </c>
      <c r="G12" s="4939"/>
      <c r="H12" s="4938"/>
      <c r="I12" s="4938"/>
      <c r="J12" s="4938"/>
      <c r="K12" s="4938"/>
      <c r="L12" s="4938"/>
      <c r="M12" s="4938"/>
      <c r="N12" s="4938"/>
      <c r="O12" s="4938"/>
      <c r="P12" s="4938"/>
      <c r="Q12" s="4938"/>
      <c r="R12" s="4938"/>
      <c r="S12" s="4938"/>
      <c r="T12" s="4938"/>
      <c r="U12" s="4938"/>
      <c r="V12" s="4938"/>
      <c r="W12" s="4938"/>
      <c r="X12" s="4938"/>
      <c r="Y12" s="4938"/>
      <c r="Z12" s="4938"/>
      <c r="AA12" s="4938"/>
      <c r="AB12" s="4938"/>
      <c r="AC12" s="4938"/>
      <c r="AD12" s="4938"/>
      <c r="AE12" s="4938"/>
      <c r="AF12" s="4938"/>
      <c r="AG12" s="4938"/>
      <c r="AH12" s="4938"/>
      <c r="AI12" s="4938"/>
      <c r="AJ12" s="4938"/>
      <c r="AK12" s="4938"/>
      <c r="AL12" s="4938"/>
      <c r="AM12" s="4938"/>
      <c r="AN12" s="4938"/>
      <c r="AO12" s="4938"/>
      <c r="AP12" s="4938"/>
      <c r="AQ12" s="4938"/>
      <c r="AR12" s="4938"/>
      <c r="AS12" s="4938"/>
      <c r="AT12" s="4938"/>
      <c r="AU12" s="4938"/>
      <c r="AV12" s="4938"/>
      <c r="AW12" s="4938"/>
      <c r="AX12" s="4938"/>
      <c r="AY12" s="4938"/>
      <c r="AZ12" s="4938"/>
      <c r="BA12" s="4938"/>
      <c r="BB12" s="4938"/>
      <c r="BC12" s="4938"/>
      <c r="BD12" s="4938"/>
      <c r="BE12" s="4938"/>
      <c r="BF12" s="4938"/>
      <c r="BG12" s="4938"/>
      <c r="BH12" s="4938"/>
      <c r="BI12" s="4938"/>
      <c r="BJ12" s="4938"/>
      <c r="BK12" s="4938"/>
      <c r="BL12" s="4938"/>
      <c r="BM12" s="4938"/>
      <c r="BN12" s="4938"/>
      <c r="BO12" s="4938"/>
      <c r="BP12" s="4938"/>
      <c r="BQ12" s="4938"/>
      <c r="BR12" s="4938"/>
      <c r="BS12" s="4938"/>
      <c r="BT12" s="4938"/>
      <c r="BU12" s="4938"/>
      <c r="BV12" s="4938"/>
      <c r="BW12" s="4938"/>
      <c r="BX12" s="4938"/>
      <c r="BY12" s="4938"/>
      <c r="BZ12" s="4938"/>
      <c r="CA12" s="4938"/>
      <c r="CB12" s="4938"/>
      <c r="CC12" s="4938"/>
      <c r="CD12" s="4938"/>
      <c r="CE12" s="4938"/>
      <c r="CF12" s="4938"/>
      <c r="CG12" s="4938"/>
      <c r="CH12" s="4938"/>
      <c r="CI12" s="4938"/>
      <c r="CJ12" s="4938"/>
      <c r="CK12" s="4938"/>
      <c r="CL12" s="4938"/>
      <c r="CM12" s="4938"/>
      <c r="CN12" s="4938"/>
      <c r="CO12" s="4938"/>
      <c r="CP12" s="4938"/>
      <c r="CQ12" s="4938"/>
      <c r="CR12" s="4938"/>
      <c r="CS12" s="4938"/>
      <c r="CT12" s="4938"/>
      <c r="CU12" s="4938"/>
      <c r="CV12" s="4938"/>
      <c r="CW12" s="4938"/>
      <c r="CX12" s="4938"/>
      <c r="CY12" s="4938"/>
      <c r="CZ12" s="4938"/>
      <c r="DA12" s="4938"/>
      <c r="DB12" s="4938"/>
      <c r="DC12" s="4938"/>
      <c r="DD12" s="4938"/>
      <c r="DE12" s="4938"/>
      <c r="DF12" s="4938"/>
      <c r="DG12" s="4938"/>
      <c r="DH12" s="4938"/>
      <c r="DI12" s="4938"/>
      <c r="DJ12" s="4938"/>
      <c r="DK12" s="4938"/>
      <c r="DL12" s="4938"/>
      <c r="DM12" s="4938"/>
      <c r="DN12" s="4938"/>
      <c r="DO12" s="4938"/>
      <c r="DP12" s="4938"/>
      <c r="DQ12" s="4938"/>
      <c r="DR12" s="4938"/>
      <c r="DS12" s="4938"/>
      <c r="DT12" s="4938"/>
      <c r="DU12" s="4938"/>
      <c r="DV12" s="4938"/>
      <c r="DW12" s="4938"/>
      <c r="DX12" s="4938"/>
      <c r="DY12" s="4938"/>
      <c r="DZ12" s="4938"/>
      <c r="EA12" s="4938"/>
      <c r="EB12" s="4938"/>
      <c r="EC12" s="4938"/>
      <c r="ED12" s="4938"/>
      <c r="EE12" s="4938"/>
      <c r="EF12" s="4938"/>
      <c r="EG12" s="4938"/>
      <c r="EH12" s="4938"/>
      <c r="EI12" s="4938"/>
      <c r="EJ12" s="4938"/>
      <c r="EK12" s="4938"/>
      <c r="EL12" s="4938"/>
      <c r="EM12" s="4938"/>
      <c r="EN12" s="4938"/>
      <c r="EO12" s="4938"/>
      <c r="EP12" s="4938"/>
      <c r="EQ12" s="4938"/>
      <c r="ER12" s="4938"/>
      <c r="ES12" s="4938"/>
      <c r="ET12" s="4938"/>
      <c r="EU12" s="4938"/>
      <c r="EV12" s="4938"/>
      <c r="EW12" s="4938"/>
      <c r="EX12" s="4938"/>
      <c r="EY12" s="4938"/>
      <c r="EZ12" s="4938"/>
      <c r="FA12" s="4938"/>
      <c r="FB12" s="4938"/>
      <c r="FC12" s="4938"/>
      <c r="FD12" s="4938"/>
      <c r="FE12" s="4938"/>
      <c r="FF12" s="4938"/>
      <c r="FG12" s="4938"/>
      <c r="FH12" s="4938"/>
      <c r="FI12" s="4938"/>
      <c r="FJ12" s="4938"/>
      <c r="FK12" s="4938"/>
      <c r="FL12" s="4938"/>
      <c r="FM12" s="4938"/>
      <c r="FN12" s="4938"/>
      <c r="FO12" s="4938"/>
      <c r="FP12" s="4938"/>
      <c r="FQ12" s="4938"/>
      <c r="FR12" s="4938"/>
      <c r="FS12" s="4938"/>
      <c r="FT12" s="4938"/>
      <c r="FU12" s="4938"/>
      <c r="FV12" s="4938"/>
      <c r="FW12" s="4938"/>
      <c r="FX12" s="4938"/>
      <c r="FY12" s="4938"/>
      <c r="FZ12" s="4938"/>
      <c r="GA12" s="4938"/>
      <c r="GB12" s="4938"/>
      <c r="GC12" s="4938"/>
      <c r="GD12" s="4938"/>
      <c r="GE12" s="4938"/>
    </row>
    <row r="13" spans="1:188" ht="13.5" customHeight="1">
      <c r="C13" s="4954"/>
      <c r="D13" s="4959" t="s">
        <v>5101</v>
      </c>
      <c r="E13" s="4773"/>
      <c r="F13" s="4763"/>
      <c r="G13" s="4763"/>
      <c r="H13" s="4763">
        <f>H76</f>
        <v>64.275000000000006</v>
      </c>
      <c r="I13" s="4763">
        <f>H13+H14-H15</f>
        <v>62.775000000000006</v>
      </c>
      <c r="J13" s="4763">
        <f t="shared" ref="J13:BU13" si="15">I13+I14-I15</f>
        <v>61.275000000000006</v>
      </c>
      <c r="K13" s="4763">
        <f t="shared" si="15"/>
        <v>59.775000000000006</v>
      </c>
      <c r="L13" s="4763">
        <f t="shared" si="15"/>
        <v>58.2</v>
      </c>
      <c r="M13" s="4763">
        <f t="shared" si="15"/>
        <v>56.4375</v>
      </c>
      <c r="N13" s="4763">
        <f t="shared" si="15"/>
        <v>54.637500000000003</v>
      </c>
      <c r="O13" s="4763">
        <f t="shared" si="15"/>
        <v>52.800000000000004</v>
      </c>
      <c r="P13" s="4763">
        <f t="shared" si="15"/>
        <v>50.925000000000004</v>
      </c>
      <c r="Q13" s="4763">
        <f t="shared" si="15"/>
        <v>49.012500000000003</v>
      </c>
      <c r="R13" s="4763">
        <f t="shared" si="15"/>
        <v>47.0625</v>
      </c>
      <c r="S13" s="4763">
        <f t="shared" si="15"/>
        <v>45.112499999999997</v>
      </c>
      <c r="T13" s="4763">
        <f t="shared" si="15"/>
        <v>43.125</v>
      </c>
      <c r="U13" s="4763">
        <f t="shared" si="15"/>
        <v>41.362499999999997</v>
      </c>
      <c r="V13" s="4763">
        <f t="shared" si="15"/>
        <v>39.599999999999994</v>
      </c>
      <c r="W13" s="4763">
        <f t="shared" si="15"/>
        <v>37.799999999999997</v>
      </c>
      <c r="X13" s="4763">
        <f t="shared" si="15"/>
        <v>35.962499999999999</v>
      </c>
      <c r="Y13" s="4763">
        <f t="shared" si="15"/>
        <v>34.125</v>
      </c>
      <c r="Z13" s="4763">
        <f t="shared" si="15"/>
        <v>32.287500000000001</v>
      </c>
      <c r="AA13" s="4763">
        <f t="shared" si="15"/>
        <v>30.412500000000001</v>
      </c>
      <c r="AB13" s="4763">
        <f t="shared" si="15"/>
        <v>28.5</v>
      </c>
      <c r="AC13" s="4763">
        <f t="shared" si="15"/>
        <v>26.774999999999999</v>
      </c>
      <c r="AD13" s="4763">
        <f t="shared" si="15"/>
        <v>25.012499999999999</v>
      </c>
      <c r="AE13" s="4763">
        <f t="shared" si="15"/>
        <v>23.024999999999999</v>
      </c>
      <c r="AF13" s="4763">
        <f t="shared" si="15"/>
        <v>21</v>
      </c>
      <c r="AG13" s="4763">
        <f t="shared" si="15"/>
        <v>18.637499999999999</v>
      </c>
      <c r="AH13" s="4763">
        <f t="shared" si="15"/>
        <v>16.274999999999999</v>
      </c>
      <c r="AI13" s="4763">
        <f t="shared" si="15"/>
        <v>13.874999999999998</v>
      </c>
      <c r="AJ13" s="4763">
        <f t="shared" si="15"/>
        <v>11.437499999999998</v>
      </c>
      <c r="AK13" s="4763">
        <f t="shared" si="15"/>
        <v>9.9374999999999982</v>
      </c>
      <c r="AL13" s="4763">
        <f t="shared" si="15"/>
        <v>8.2124999999999986</v>
      </c>
      <c r="AM13" s="4763">
        <f t="shared" si="15"/>
        <v>6.4499999999999984</v>
      </c>
      <c r="AN13" s="4763">
        <f t="shared" si="15"/>
        <v>4.9499999999999984</v>
      </c>
      <c r="AO13" s="4763">
        <f t="shared" si="15"/>
        <v>4.4999999999999982</v>
      </c>
      <c r="AP13" s="4763">
        <f t="shared" si="15"/>
        <v>4.049999999999998</v>
      </c>
      <c r="AQ13" s="4763">
        <f t="shared" si="15"/>
        <v>3.5999999999999979</v>
      </c>
      <c r="AR13" s="4763">
        <f t="shared" si="15"/>
        <v>3.1499999999999977</v>
      </c>
      <c r="AS13" s="4763">
        <f t="shared" si="15"/>
        <v>2.6999999999999975</v>
      </c>
      <c r="AT13" s="4763">
        <f t="shared" si="15"/>
        <v>2.2499999999999973</v>
      </c>
      <c r="AU13" s="4763">
        <f t="shared" si="15"/>
        <v>1.7999999999999974</v>
      </c>
      <c r="AV13" s="4763">
        <f t="shared" si="15"/>
        <v>1.3499999999999974</v>
      </c>
      <c r="AW13" s="4763">
        <f t="shared" si="15"/>
        <v>0.89999999999999747</v>
      </c>
      <c r="AX13" s="4763">
        <f t="shared" si="15"/>
        <v>0.44999999999999746</v>
      </c>
      <c r="AY13" s="4763">
        <f t="shared" si="15"/>
        <v>0</v>
      </c>
      <c r="AZ13" s="4763">
        <f t="shared" si="15"/>
        <v>0</v>
      </c>
      <c r="BA13" s="4763">
        <f t="shared" si="15"/>
        <v>0</v>
      </c>
      <c r="BB13" s="4763">
        <f t="shared" si="15"/>
        <v>0</v>
      </c>
      <c r="BC13" s="4763">
        <f t="shared" si="15"/>
        <v>0</v>
      </c>
      <c r="BD13" s="4763">
        <f t="shared" si="15"/>
        <v>0</v>
      </c>
      <c r="BE13" s="4763">
        <f t="shared" si="15"/>
        <v>0</v>
      </c>
      <c r="BF13" s="4763">
        <f t="shared" si="15"/>
        <v>0</v>
      </c>
      <c r="BG13" s="4763">
        <f t="shared" si="15"/>
        <v>0</v>
      </c>
      <c r="BH13" s="4763">
        <f t="shared" si="15"/>
        <v>0</v>
      </c>
      <c r="BI13" s="4763">
        <f t="shared" si="15"/>
        <v>0</v>
      </c>
      <c r="BJ13" s="4763">
        <f t="shared" si="15"/>
        <v>0</v>
      </c>
      <c r="BK13" s="4763">
        <f t="shared" si="15"/>
        <v>0</v>
      </c>
      <c r="BL13" s="4763">
        <f t="shared" si="15"/>
        <v>0</v>
      </c>
      <c r="BM13" s="4763">
        <f t="shared" si="15"/>
        <v>0</v>
      </c>
      <c r="BN13" s="4763">
        <f t="shared" si="15"/>
        <v>0</v>
      </c>
      <c r="BO13" s="4763">
        <f t="shared" si="15"/>
        <v>0</v>
      </c>
      <c r="BP13" s="4763">
        <f t="shared" si="15"/>
        <v>0</v>
      </c>
      <c r="BQ13" s="4763">
        <f t="shared" si="15"/>
        <v>0</v>
      </c>
      <c r="BR13" s="4763">
        <f t="shared" si="15"/>
        <v>0</v>
      </c>
      <c r="BS13" s="4763">
        <f t="shared" si="15"/>
        <v>0</v>
      </c>
      <c r="BT13" s="4763">
        <f t="shared" si="15"/>
        <v>0</v>
      </c>
      <c r="BU13" s="4763">
        <f t="shared" si="15"/>
        <v>0</v>
      </c>
      <c r="BV13" s="4763">
        <f t="shared" ref="BV13:EG13" si="16">BU13+BU14-BU15</f>
        <v>0</v>
      </c>
      <c r="BW13" s="4763">
        <f t="shared" si="16"/>
        <v>0</v>
      </c>
      <c r="BX13" s="4763">
        <f t="shared" si="16"/>
        <v>0</v>
      </c>
      <c r="BY13" s="4763">
        <f t="shared" si="16"/>
        <v>0</v>
      </c>
      <c r="BZ13" s="4763">
        <f t="shared" si="16"/>
        <v>0</v>
      </c>
      <c r="CA13" s="4763">
        <f t="shared" si="16"/>
        <v>0</v>
      </c>
      <c r="CB13" s="4763">
        <f t="shared" si="16"/>
        <v>0</v>
      </c>
      <c r="CC13" s="4763">
        <f t="shared" si="16"/>
        <v>0</v>
      </c>
      <c r="CD13" s="4763">
        <f t="shared" si="16"/>
        <v>0</v>
      </c>
      <c r="CE13" s="4763">
        <f t="shared" si="16"/>
        <v>0</v>
      </c>
      <c r="CF13" s="4763">
        <f t="shared" si="16"/>
        <v>0</v>
      </c>
      <c r="CG13" s="4763">
        <f t="shared" si="16"/>
        <v>0</v>
      </c>
      <c r="CH13" s="4763">
        <f t="shared" si="16"/>
        <v>0</v>
      </c>
      <c r="CI13" s="4763">
        <f t="shared" si="16"/>
        <v>0</v>
      </c>
      <c r="CJ13" s="4763">
        <f t="shared" si="16"/>
        <v>0</v>
      </c>
      <c r="CK13" s="4763">
        <f t="shared" si="16"/>
        <v>0</v>
      </c>
      <c r="CL13" s="4763">
        <f t="shared" si="16"/>
        <v>0</v>
      </c>
      <c r="CM13" s="4763">
        <f t="shared" si="16"/>
        <v>0</v>
      </c>
      <c r="CN13" s="4763">
        <f t="shared" si="16"/>
        <v>0</v>
      </c>
      <c r="CO13" s="4763">
        <f t="shared" si="16"/>
        <v>0</v>
      </c>
      <c r="CP13" s="4763">
        <f t="shared" si="16"/>
        <v>0</v>
      </c>
      <c r="CQ13" s="4763">
        <f t="shared" si="16"/>
        <v>0</v>
      </c>
      <c r="CR13" s="4763">
        <f t="shared" si="16"/>
        <v>0</v>
      </c>
      <c r="CS13" s="4763">
        <f t="shared" si="16"/>
        <v>0</v>
      </c>
      <c r="CT13" s="4763">
        <f t="shared" si="16"/>
        <v>0</v>
      </c>
      <c r="CU13" s="4763">
        <f t="shared" si="16"/>
        <v>0</v>
      </c>
      <c r="CV13" s="4763">
        <f t="shared" si="16"/>
        <v>0</v>
      </c>
      <c r="CW13" s="4763">
        <f t="shared" si="16"/>
        <v>0</v>
      </c>
      <c r="CX13" s="4763">
        <f t="shared" si="16"/>
        <v>0</v>
      </c>
      <c r="CY13" s="4763">
        <f t="shared" si="16"/>
        <v>0</v>
      </c>
      <c r="CZ13" s="4763">
        <f t="shared" si="16"/>
        <v>0</v>
      </c>
      <c r="DA13" s="4763">
        <f t="shared" si="16"/>
        <v>0</v>
      </c>
      <c r="DB13" s="4763">
        <f t="shared" si="16"/>
        <v>0</v>
      </c>
      <c r="DC13" s="4763">
        <f t="shared" si="16"/>
        <v>0</v>
      </c>
      <c r="DD13" s="4763">
        <f t="shared" si="16"/>
        <v>0</v>
      </c>
      <c r="DE13" s="4763">
        <f t="shared" si="16"/>
        <v>0</v>
      </c>
      <c r="DF13" s="4763">
        <f t="shared" si="16"/>
        <v>0</v>
      </c>
      <c r="DG13" s="4763">
        <f t="shared" si="16"/>
        <v>0</v>
      </c>
      <c r="DH13" s="4763">
        <f t="shared" si="16"/>
        <v>0</v>
      </c>
      <c r="DI13" s="4763">
        <f t="shared" si="16"/>
        <v>0</v>
      </c>
      <c r="DJ13" s="4763">
        <f t="shared" si="16"/>
        <v>0</v>
      </c>
      <c r="DK13" s="4763">
        <f t="shared" si="16"/>
        <v>0</v>
      </c>
      <c r="DL13" s="4763">
        <f t="shared" si="16"/>
        <v>0</v>
      </c>
      <c r="DM13" s="4763">
        <f t="shared" si="16"/>
        <v>0</v>
      </c>
      <c r="DN13" s="4763">
        <f t="shared" si="16"/>
        <v>0</v>
      </c>
      <c r="DO13" s="4763">
        <f t="shared" si="16"/>
        <v>0</v>
      </c>
      <c r="DP13" s="4763">
        <f t="shared" si="16"/>
        <v>0</v>
      </c>
      <c r="DQ13" s="4763">
        <f t="shared" si="16"/>
        <v>0</v>
      </c>
      <c r="DR13" s="4763">
        <f t="shared" si="16"/>
        <v>0</v>
      </c>
      <c r="DS13" s="4763">
        <f t="shared" si="16"/>
        <v>0</v>
      </c>
      <c r="DT13" s="4763">
        <f t="shared" si="16"/>
        <v>0</v>
      </c>
      <c r="DU13" s="4763">
        <f t="shared" si="16"/>
        <v>0</v>
      </c>
      <c r="DV13" s="4763">
        <f t="shared" si="16"/>
        <v>0</v>
      </c>
      <c r="DW13" s="4763">
        <f t="shared" si="16"/>
        <v>0</v>
      </c>
      <c r="DX13" s="4763">
        <f t="shared" si="16"/>
        <v>0</v>
      </c>
      <c r="DY13" s="4763">
        <f t="shared" si="16"/>
        <v>0</v>
      </c>
      <c r="DZ13" s="4763">
        <f t="shared" si="16"/>
        <v>0</v>
      </c>
      <c r="EA13" s="4763">
        <f t="shared" si="16"/>
        <v>0</v>
      </c>
      <c r="EB13" s="4763">
        <f t="shared" si="16"/>
        <v>0</v>
      </c>
      <c r="EC13" s="4763">
        <f t="shared" si="16"/>
        <v>0</v>
      </c>
      <c r="ED13" s="4763">
        <f t="shared" si="16"/>
        <v>0</v>
      </c>
      <c r="EE13" s="4763">
        <f t="shared" si="16"/>
        <v>0</v>
      </c>
      <c r="EF13" s="4763">
        <f t="shared" si="16"/>
        <v>0</v>
      </c>
      <c r="EG13" s="4763">
        <f t="shared" si="16"/>
        <v>0</v>
      </c>
      <c r="EH13" s="4763">
        <f t="shared" ref="EH13:GE13" si="17">EG13+EG14-EG15</f>
        <v>0</v>
      </c>
      <c r="EI13" s="4763">
        <f t="shared" si="17"/>
        <v>0</v>
      </c>
      <c r="EJ13" s="4763">
        <f t="shared" si="17"/>
        <v>0</v>
      </c>
      <c r="EK13" s="4763">
        <f t="shared" si="17"/>
        <v>0</v>
      </c>
      <c r="EL13" s="4763">
        <f t="shared" si="17"/>
        <v>0</v>
      </c>
      <c r="EM13" s="4763">
        <f t="shared" si="17"/>
        <v>0</v>
      </c>
      <c r="EN13" s="4763">
        <f t="shared" si="17"/>
        <v>0</v>
      </c>
      <c r="EO13" s="4763">
        <f t="shared" si="17"/>
        <v>0</v>
      </c>
      <c r="EP13" s="4763">
        <f t="shared" si="17"/>
        <v>0</v>
      </c>
      <c r="EQ13" s="4763">
        <f t="shared" si="17"/>
        <v>0</v>
      </c>
      <c r="ER13" s="4763">
        <f t="shared" si="17"/>
        <v>0</v>
      </c>
      <c r="ES13" s="4763">
        <f t="shared" si="17"/>
        <v>0</v>
      </c>
      <c r="ET13" s="4763">
        <f t="shared" si="17"/>
        <v>0</v>
      </c>
      <c r="EU13" s="4763">
        <f t="shared" si="17"/>
        <v>0</v>
      </c>
      <c r="EV13" s="4763">
        <f t="shared" si="17"/>
        <v>0</v>
      </c>
      <c r="EW13" s="4763">
        <f t="shared" si="17"/>
        <v>0</v>
      </c>
      <c r="EX13" s="4763">
        <f t="shared" si="17"/>
        <v>0</v>
      </c>
      <c r="EY13" s="4763">
        <f t="shared" si="17"/>
        <v>0</v>
      </c>
      <c r="EZ13" s="4763">
        <f t="shared" si="17"/>
        <v>0</v>
      </c>
      <c r="FA13" s="4763">
        <f t="shared" si="17"/>
        <v>0</v>
      </c>
      <c r="FB13" s="4763">
        <f t="shared" si="17"/>
        <v>0</v>
      </c>
      <c r="FC13" s="4763">
        <f t="shared" si="17"/>
        <v>0</v>
      </c>
      <c r="FD13" s="4763">
        <f t="shared" si="17"/>
        <v>0</v>
      </c>
      <c r="FE13" s="4763">
        <f t="shared" si="17"/>
        <v>0</v>
      </c>
      <c r="FF13" s="4763">
        <f t="shared" si="17"/>
        <v>0</v>
      </c>
      <c r="FG13" s="4763">
        <f t="shared" si="17"/>
        <v>0</v>
      </c>
      <c r="FH13" s="4763">
        <f t="shared" si="17"/>
        <v>0</v>
      </c>
      <c r="FI13" s="4763">
        <f t="shared" si="17"/>
        <v>0</v>
      </c>
      <c r="FJ13" s="4763">
        <f t="shared" si="17"/>
        <v>0</v>
      </c>
      <c r="FK13" s="4763">
        <f t="shared" si="17"/>
        <v>0</v>
      </c>
      <c r="FL13" s="4763">
        <f t="shared" si="17"/>
        <v>0</v>
      </c>
      <c r="FM13" s="4763">
        <f t="shared" si="17"/>
        <v>0</v>
      </c>
      <c r="FN13" s="4763">
        <f t="shared" si="17"/>
        <v>0</v>
      </c>
      <c r="FO13" s="4763">
        <f t="shared" si="17"/>
        <v>0</v>
      </c>
      <c r="FP13" s="4763">
        <f t="shared" si="17"/>
        <v>0</v>
      </c>
      <c r="FQ13" s="4763">
        <f t="shared" si="17"/>
        <v>0</v>
      </c>
      <c r="FR13" s="4763">
        <f t="shared" si="17"/>
        <v>0</v>
      </c>
      <c r="FS13" s="4763">
        <f t="shared" si="17"/>
        <v>0</v>
      </c>
      <c r="FT13" s="4763">
        <f t="shared" si="17"/>
        <v>0</v>
      </c>
      <c r="FU13" s="4763">
        <f t="shared" si="17"/>
        <v>0</v>
      </c>
      <c r="FV13" s="4763">
        <f t="shared" si="17"/>
        <v>0</v>
      </c>
      <c r="FW13" s="4763">
        <f t="shared" si="17"/>
        <v>0</v>
      </c>
      <c r="FX13" s="4763">
        <f t="shared" si="17"/>
        <v>0</v>
      </c>
      <c r="FY13" s="4763">
        <f t="shared" si="17"/>
        <v>0</v>
      </c>
      <c r="FZ13" s="4763">
        <f t="shared" si="17"/>
        <v>0</v>
      </c>
      <c r="GA13" s="4763">
        <f t="shared" si="17"/>
        <v>0</v>
      </c>
      <c r="GB13" s="4763">
        <f t="shared" si="17"/>
        <v>0</v>
      </c>
      <c r="GC13" s="4763">
        <f t="shared" si="17"/>
        <v>0</v>
      </c>
      <c r="GD13" s="4763">
        <f t="shared" si="17"/>
        <v>0</v>
      </c>
      <c r="GE13" s="4763">
        <f t="shared" si="17"/>
        <v>0</v>
      </c>
    </row>
    <row r="14" spans="1:188" ht="13.5" customHeight="1">
      <c r="C14" s="4955"/>
      <c r="D14" s="4959" t="s">
        <v>5103</v>
      </c>
      <c r="E14" s="4773"/>
      <c r="F14" s="4762">
        <f>SUM(H14:FO14)</f>
        <v>0</v>
      </c>
      <c r="G14" s="4762"/>
      <c r="H14" s="4763"/>
      <c r="I14" s="4763"/>
      <c r="J14" s="4763"/>
      <c r="K14" s="4763"/>
      <c r="L14" s="4763"/>
      <c r="M14" s="4763"/>
      <c r="N14" s="4763"/>
      <c r="O14" s="4763"/>
      <c r="P14" s="4763"/>
      <c r="Q14" s="4763"/>
      <c r="R14" s="4763"/>
      <c r="S14" s="4763"/>
      <c r="T14" s="4762"/>
      <c r="U14" s="4763"/>
      <c r="V14" s="4763"/>
      <c r="W14" s="4763"/>
      <c r="X14" s="4763"/>
      <c r="Y14" s="4763"/>
      <c r="Z14" s="4763"/>
      <c r="AA14" s="4763"/>
      <c r="AB14" s="4763"/>
      <c r="AC14" s="4763"/>
      <c r="AD14" s="4763"/>
      <c r="AE14" s="4763"/>
      <c r="AF14" s="4763"/>
      <c r="AG14" s="4763"/>
      <c r="AH14" s="4763"/>
      <c r="AI14" s="4763"/>
      <c r="AJ14" s="4763"/>
      <c r="AK14" s="4763"/>
      <c r="AL14" s="4763"/>
      <c r="AM14" s="4763"/>
      <c r="AN14" s="4763"/>
      <c r="AO14" s="4763"/>
      <c r="AP14" s="4763"/>
      <c r="AQ14" s="4763"/>
      <c r="AR14" s="4763"/>
      <c r="AS14" s="4763"/>
      <c r="AT14" s="4763"/>
      <c r="AU14" s="4763"/>
      <c r="AV14" s="4763"/>
      <c r="AW14" s="4763"/>
      <c r="AX14" s="4763"/>
      <c r="AY14" s="4763"/>
      <c r="AZ14" s="4763"/>
      <c r="BA14" s="4763"/>
      <c r="BB14" s="4763"/>
      <c r="BC14" s="4763"/>
      <c r="BD14" s="4763"/>
      <c r="BE14" s="4763"/>
      <c r="BF14" s="4763"/>
      <c r="BG14" s="4763"/>
      <c r="BH14" s="4763"/>
      <c r="BI14" s="4763"/>
      <c r="BJ14" s="4763"/>
      <c r="BK14" s="4763"/>
      <c r="BL14" s="4763"/>
      <c r="BM14" s="4763"/>
      <c r="BN14" s="4763"/>
      <c r="BO14" s="4763"/>
      <c r="BP14" s="4763"/>
      <c r="BQ14" s="4763"/>
      <c r="BR14" s="4763"/>
      <c r="BS14" s="4763"/>
      <c r="BT14" s="4763"/>
      <c r="BU14" s="4763"/>
      <c r="BV14" s="4763"/>
      <c r="BW14" s="4763"/>
      <c r="BX14" s="4763"/>
      <c r="BY14" s="4763"/>
      <c r="BZ14" s="4763"/>
      <c r="CA14" s="4763"/>
      <c r="CB14" s="4763"/>
      <c r="CC14" s="4763"/>
      <c r="CD14" s="4763"/>
      <c r="CE14" s="4763"/>
      <c r="CF14" s="4763"/>
      <c r="CG14" s="4763"/>
      <c r="CH14" s="4763"/>
      <c r="CI14" s="4763"/>
      <c r="CJ14" s="4763"/>
      <c r="CK14" s="4763"/>
      <c r="CL14" s="4763"/>
      <c r="CM14" s="4763"/>
      <c r="CN14" s="4763"/>
      <c r="CO14" s="4763"/>
      <c r="CP14" s="4763"/>
      <c r="CQ14" s="4763"/>
      <c r="CR14" s="4763"/>
      <c r="CS14" s="4763"/>
      <c r="CT14" s="4763"/>
      <c r="CU14" s="4763"/>
      <c r="CV14" s="4763"/>
      <c r="CW14" s="4763"/>
      <c r="CX14" s="4763"/>
      <c r="CY14" s="4763"/>
      <c r="CZ14" s="4763"/>
      <c r="DA14" s="4763"/>
      <c r="DB14" s="4763"/>
      <c r="DC14" s="4763"/>
      <c r="DD14" s="4763"/>
      <c r="DE14" s="4763"/>
      <c r="DF14" s="4763"/>
      <c r="DG14" s="4763"/>
      <c r="DH14" s="4763"/>
      <c r="DI14" s="4763"/>
      <c r="DJ14" s="4763"/>
      <c r="DK14" s="4763"/>
      <c r="DL14" s="4763"/>
      <c r="DM14" s="4763"/>
      <c r="DN14" s="4763"/>
      <c r="DO14" s="4763"/>
      <c r="DP14" s="4763"/>
      <c r="DQ14" s="4763"/>
      <c r="DR14" s="4763"/>
      <c r="DS14" s="4763"/>
      <c r="DT14" s="4763"/>
      <c r="DU14" s="4763"/>
      <c r="DV14" s="4763"/>
      <c r="DW14" s="4763"/>
      <c r="DX14" s="4763"/>
      <c r="DY14" s="4763"/>
      <c r="DZ14" s="4763"/>
      <c r="EA14" s="4763"/>
      <c r="EB14" s="4763"/>
      <c r="EC14" s="4763"/>
      <c r="ED14" s="4763"/>
      <c r="EE14" s="4763"/>
      <c r="EF14" s="4763"/>
      <c r="EG14" s="4763"/>
      <c r="EH14" s="4763"/>
      <c r="EI14" s="4763"/>
      <c r="EJ14" s="4763"/>
      <c r="EK14" s="4763"/>
      <c r="EL14" s="4763"/>
      <c r="EM14" s="4763"/>
      <c r="EN14" s="4763"/>
      <c r="EO14" s="4763"/>
      <c r="EP14" s="4763"/>
      <c r="EQ14" s="4763"/>
      <c r="ER14" s="4763"/>
      <c r="ES14" s="4763"/>
      <c r="ET14" s="4763"/>
      <c r="EU14" s="4763"/>
      <c r="EV14" s="4763"/>
      <c r="EW14" s="4763"/>
      <c r="EX14" s="4763"/>
      <c r="EY14" s="4763"/>
      <c r="EZ14" s="4763"/>
      <c r="FA14" s="4763"/>
      <c r="FB14" s="4763"/>
      <c r="FC14" s="4763"/>
      <c r="FD14" s="4763"/>
      <c r="FE14" s="4763"/>
      <c r="FF14" s="4763"/>
      <c r="FG14" s="4763"/>
      <c r="FH14" s="4763"/>
      <c r="FI14" s="4763"/>
      <c r="FJ14" s="4763"/>
      <c r="FK14" s="4763"/>
      <c r="FL14" s="4763"/>
      <c r="FM14" s="4763"/>
      <c r="FN14" s="4763"/>
      <c r="FO14" s="4763"/>
      <c r="FP14" s="4763"/>
      <c r="FQ14" s="4763"/>
      <c r="FR14" s="4763"/>
      <c r="FS14" s="4763"/>
      <c r="FT14" s="4763"/>
      <c r="FU14" s="4763"/>
      <c r="FV14" s="4763"/>
      <c r="FW14" s="4763"/>
      <c r="FX14" s="4763"/>
      <c r="FY14" s="4763"/>
      <c r="FZ14" s="4763"/>
      <c r="GA14" s="4763"/>
      <c r="GB14" s="4763"/>
      <c r="GC14" s="4763"/>
      <c r="GD14" s="4763"/>
      <c r="GE14" s="4763"/>
    </row>
    <row r="15" spans="1:188" ht="13.5" customHeight="1">
      <c r="C15" s="4955"/>
      <c r="D15" s="4959" t="s">
        <v>5102</v>
      </c>
      <c r="E15" s="4773"/>
      <c r="F15" s="4763">
        <f>SUM(H15:FO15)</f>
        <v>64.27500000000002</v>
      </c>
      <c r="G15" s="4763"/>
      <c r="H15" s="4763">
        <f t="shared" ref="H15:AM15" si="18">H77*(H$4&lt;$D$6)+(H13+H14)*(H$4=$D$6)</f>
        <v>1.5</v>
      </c>
      <c r="I15" s="4763">
        <f t="shared" si="18"/>
        <v>1.5</v>
      </c>
      <c r="J15" s="4763">
        <f t="shared" si="18"/>
        <v>1.5</v>
      </c>
      <c r="K15" s="4763">
        <f t="shared" si="18"/>
        <v>1.575</v>
      </c>
      <c r="L15" s="4763">
        <f t="shared" si="18"/>
        <v>1.7625</v>
      </c>
      <c r="M15" s="4763">
        <f t="shared" si="18"/>
        <v>1.8</v>
      </c>
      <c r="N15" s="4763">
        <f t="shared" si="18"/>
        <v>1.8374999999999999</v>
      </c>
      <c r="O15" s="4763">
        <f t="shared" si="18"/>
        <v>1.875</v>
      </c>
      <c r="P15" s="4763">
        <f t="shared" si="18"/>
        <v>1.9125000000000001</v>
      </c>
      <c r="Q15" s="4763">
        <f t="shared" si="18"/>
        <v>1.95</v>
      </c>
      <c r="R15" s="4763">
        <f t="shared" si="18"/>
        <v>1.95</v>
      </c>
      <c r="S15" s="4763">
        <f t="shared" si="18"/>
        <v>1.9875</v>
      </c>
      <c r="T15" s="4763">
        <f t="shared" si="18"/>
        <v>1.7625</v>
      </c>
      <c r="U15" s="4763">
        <f t="shared" si="18"/>
        <v>1.7625</v>
      </c>
      <c r="V15" s="4763">
        <f t="shared" si="18"/>
        <v>1.8</v>
      </c>
      <c r="W15" s="4763">
        <f t="shared" si="18"/>
        <v>1.8374999999999999</v>
      </c>
      <c r="X15" s="4763">
        <f t="shared" si="18"/>
        <v>1.8374999999999999</v>
      </c>
      <c r="Y15" s="4763">
        <f t="shared" si="18"/>
        <v>1.8374999999999999</v>
      </c>
      <c r="Z15" s="4763">
        <f t="shared" si="18"/>
        <v>1.875</v>
      </c>
      <c r="AA15" s="4763">
        <f t="shared" si="18"/>
        <v>1.9125000000000001</v>
      </c>
      <c r="AB15" s="4763">
        <f t="shared" si="18"/>
        <v>1.7250000000000001</v>
      </c>
      <c r="AC15" s="4763">
        <f t="shared" si="18"/>
        <v>1.7625</v>
      </c>
      <c r="AD15" s="4763">
        <f t="shared" si="18"/>
        <v>1.9875</v>
      </c>
      <c r="AE15" s="4763">
        <f t="shared" si="18"/>
        <v>2.0249999999999999</v>
      </c>
      <c r="AF15" s="4763">
        <f t="shared" si="18"/>
        <v>2.3624999999999998</v>
      </c>
      <c r="AG15" s="4763">
        <f t="shared" si="18"/>
        <v>2.3624999999999998</v>
      </c>
      <c r="AH15" s="4763">
        <f t="shared" si="18"/>
        <v>2.4</v>
      </c>
      <c r="AI15" s="4763">
        <f t="shared" si="18"/>
        <v>2.4375</v>
      </c>
      <c r="AJ15" s="4763">
        <f t="shared" si="18"/>
        <v>1.5</v>
      </c>
      <c r="AK15" s="4763">
        <f t="shared" si="18"/>
        <v>1.7250000000000001</v>
      </c>
      <c r="AL15" s="4763">
        <f t="shared" si="18"/>
        <v>1.7625</v>
      </c>
      <c r="AM15" s="4763">
        <f t="shared" si="18"/>
        <v>1.5</v>
      </c>
      <c r="AN15" s="4763">
        <f t="shared" ref="AN15:BS15" si="19">AN77*(AN$4&lt;$D$6)+(AN13+AN14)*(AN$4=$D$6)</f>
        <v>0.45</v>
      </c>
      <c r="AO15" s="4763">
        <f t="shared" si="19"/>
        <v>0.45</v>
      </c>
      <c r="AP15" s="4763">
        <f t="shared" si="19"/>
        <v>0.45</v>
      </c>
      <c r="AQ15" s="4763">
        <f t="shared" si="19"/>
        <v>0.45</v>
      </c>
      <c r="AR15" s="4763">
        <f t="shared" si="19"/>
        <v>0.45</v>
      </c>
      <c r="AS15" s="4763">
        <f t="shared" si="19"/>
        <v>0.45</v>
      </c>
      <c r="AT15" s="4763">
        <f t="shared" si="19"/>
        <v>0.45</v>
      </c>
      <c r="AU15" s="4763">
        <f t="shared" si="19"/>
        <v>0.45</v>
      </c>
      <c r="AV15" s="4763">
        <f t="shared" si="19"/>
        <v>0.45</v>
      </c>
      <c r="AW15" s="4763">
        <f t="shared" si="19"/>
        <v>0.45</v>
      </c>
      <c r="AX15" s="4763">
        <f t="shared" si="19"/>
        <v>0.44999999999999746</v>
      </c>
      <c r="AY15" s="4763">
        <f t="shared" si="19"/>
        <v>0</v>
      </c>
      <c r="AZ15" s="4763">
        <f t="shared" si="19"/>
        <v>0</v>
      </c>
      <c r="BA15" s="4763">
        <f t="shared" si="19"/>
        <v>0</v>
      </c>
      <c r="BB15" s="4763">
        <f t="shared" si="19"/>
        <v>0</v>
      </c>
      <c r="BC15" s="4763">
        <f t="shared" si="19"/>
        <v>0</v>
      </c>
      <c r="BD15" s="4763">
        <f t="shared" si="19"/>
        <v>0</v>
      </c>
      <c r="BE15" s="4763">
        <f t="shared" si="19"/>
        <v>0</v>
      </c>
      <c r="BF15" s="4763">
        <f t="shared" si="19"/>
        <v>0</v>
      </c>
      <c r="BG15" s="4763">
        <f t="shared" si="19"/>
        <v>0</v>
      </c>
      <c r="BH15" s="4763">
        <f t="shared" si="19"/>
        <v>0</v>
      </c>
      <c r="BI15" s="4763">
        <f t="shared" si="19"/>
        <v>0</v>
      </c>
      <c r="BJ15" s="4763">
        <f t="shared" si="19"/>
        <v>0</v>
      </c>
      <c r="BK15" s="4763">
        <f t="shared" si="19"/>
        <v>0</v>
      </c>
      <c r="BL15" s="4763">
        <f t="shared" si="19"/>
        <v>0</v>
      </c>
      <c r="BM15" s="4763">
        <f t="shared" si="19"/>
        <v>0</v>
      </c>
      <c r="BN15" s="4763">
        <f t="shared" si="19"/>
        <v>0</v>
      </c>
      <c r="BO15" s="4763">
        <f t="shared" si="19"/>
        <v>0</v>
      </c>
      <c r="BP15" s="4763">
        <f t="shared" si="19"/>
        <v>0</v>
      </c>
      <c r="BQ15" s="4763">
        <f t="shared" si="19"/>
        <v>0</v>
      </c>
      <c r="BR15" s="4763">
        <f t="shared" si="19"/>
        <v>0</v>
      </c>
      <c r="BS15" s="4763">
        <f t="shared" si="19"/>
        <v>0</v>
      </c>
      <c r="BT15" s="4763">
        <f t="shared" ref="BT15:CY15" si="20">BT77*(BT$4&lt;$D$6)+(BT13+BT14)*(BT$4=$D$6)</f>
        <v>0</v>
      </c>
      <c r="BU15" s="4763">
        <f t="shared" si="20"/>
        <v>0</v>
      </c>
      <c r="BV15" s="4763">
        <f t="shared" si="20"/>
        <v>0</v>
      </c>
      <c r="BW15" s="4763">
        <f t="shared" si="20"/>
        <v>0</v>
      </c>
      <c r="BX15" s="4763">
        <f t="shared" si="20"/>
        <v>0</v>
      </c>
      <c r="BY15" s="4763">
        <f t="shared" si="20"/>
        <v>0</v>
      </c>
      <c r="BZ15" s="4763">
        <f t="shared" si="20"/>
        <v>0</v>
      </c>
      <c r="CA15" s="4763">
        <f t="shared" si="20"/>
        <v>0</v>
      </c>
      <c r="CB15" s="4763">
        <f t="shared" si="20"/>
        <v>0</v>
      </c>
      <c r="CC15" s="4763">
        <f t="shared" si="20"/>
        <v>0</v>
      </c>
      <c r="CD15" s="4763">
        <f t="shared" si="20"/>
        <v>0</v>
      </c>
      <c r="CE15" s="4763">
        <f t="shared" si="20"/>
        <v>0</v>
      </c>
      <c r="CF15" s="4763">
        <f t="shared" si="20"/>
        <v>0</v>
      </c>
      <c r="CG15" s="4763">
        <f t="shared" si="20"/>
        <v>0</v>
      </c>
      <c r="CH15" s="4763">
        <f t="shared" si="20"/>
        <v>0</v>
      </c>
      <c r="CI15" s="4763">
        <f t="shared" si="20"/>
        <v>0</v>
      </c>
      <c r="CJ15" s="4763">
        <f t="shared" si="20"/>
        <v>0</v>
      </c>
      <c r="CK15" s="4763">
        <f t="shared" si="20"/>
        <v>0</v>
      </c>
      <c r="CL15" s="4763">
        <f t="shared" si="20"/>
        <v>0</v>
      </c>
      <c r="CM15" s="4763">
        <f t="shared" si="20"/>
        <v>0</v>
      </c>
      <c r="CN15" s="4763">
        <f t="shared" si="20"/>
        <v>0</v>
      </c>
      <c r="CO15" s="4763">
        <f t="shared" si="20"/>
        <v>0</v>
      </c>
      <c r="CP15" s="4763">
        <f t="shared" si="20"/>
        <v>0</v>
      </c>
      <c r="CQ15" s="4763">
        <f t="shared" si="20"/>
        <v>0</v>
      </c>
      <c r="CR15" s="4763">
        <f t="shared" si="20"/>
        <v>0</v>
      </c>
      <c r="CS15" s="4763">
        <f t="shared" si="20"/>
        <v>0</v>
      </c>
      <c r="CT15" s="4763">
        <f t="shared" si="20"/>
        <v>0</v>
      </c>
      <c r="CU15" s="4763">
        <f t="shared" si="20"/>
        <v>0</v>
      </c>
      <c r="CV15" s="4763">
        <f t="shared" si="20"/>
        <v>0</v>
      </c>
      <c r="CW15" s="4763">
        <f t="shared" si="20"/>
        <v>0</v>
      </c>
      <c r="CX15" s="4763">
        <f t="shared" si="20"/>
        <v>0</v>
      </c>
      <c r="CY15" s="4763">
        <f t="shared" si="20"/>
        <v>0</v>
      </c>
      <c r="CZ15" s="4763">
        <f t="shared" ref="CZ15:EE15" si="21">CZ77*(CZ$4&lt;$D$6)+(CZ13+CZ14)*(CZ$4=$D$6)</f>
        <v>0</v>
      </c>
      <c r="DA15" s="4763">
        <f t="shared" si="21"/>
        <v>0</v>
      </c>
      <c r="DB15" s="4763">
        <f t="shared" si="21"/>
        <v>0</v>
      </c>
      <c r="DC15" s="4763">
        <f t="shared" si="21"/>
        <v>0</v>
      </c>
      <c r="DD15" s="4763">
        <f t="shared" si="21"/>
        <v>0</v>
      </c>
      <c r="DE15" s="4763">
        <f t="shared" si="21"/>
        <v>0</v>
      </c>
      <c r="DF15" s="4763">
        <f t="shared" si="21"/>
        <v>0</v>
      </c>
      <c r="DG15" s="4763">
        <f t="shared" si="21"/>
        <v>0</v>
      </c>
      <c r="DH15" s="4763">
        <f t="shared" si="21"/>
        <v>0</v>
      </c>
      <c r="DI15" s="4763">
        <f t="shared" si="21"/>
        <v>0</v>
      </c>
      <c r="DJ15" s="4763">
        <f t="shared" si="21"/>
        <v>0</v>
      </c>
      <c r="DK15" s="4763">
        <f t="shared" si="21"/>
        <v>0</v>
      </c>
      <c r="DL15" s="4763">
        <f t="shared" si="21"/>
        <v>0</v>
      </c>
      <c r="DM15" s="4763">
        <f t="shared" si="21"/>
        <v>0</v>
      </c>
      <c r="DN15" s="4763">
        <f t="shared" si="21"/>
        <v>0</v>
      </c>
      <c r="DO15" s="4763">
        <f t="shared" si="21"/>
        <v>0</v>
      </c>
      <c r="DP15" s="4763">
        <f t="shared" si="21"/>
        <v>0</v>
      </c>
      <c r="DQ15" s="4763">
        <f t="shared" si="21"/>
        <v>0</v>
      </c>
      <c r="DR15" s="4763">
        <f t="shared" si="21"/>
        <v>0</v>
      </c>
      <c r="DS15" s="4763">
        <f t="shared" si="21"/>
        <v>0</v>
      </c>
      <c r="DT15" s="4763">
        <f t="shared" si="21"/>
        <v>0</v>
      </c>
      <c r="DU15" s="4763">
        <f t="shared" si="21"/>
        <v>0</v>
      </c>
      <c r="DV15" s="4763">
        <f t="shared" si="21"/>
        <v>0</v>
      </c>
      <c r="DW15" s="4763">
        <f t="shared" si="21"/>
        <v>0</v>
      </c>
      <c r="DX15" s="4763">
        <f t="shared" si="21"/>
        <v>0</v>
      </c>
      <c r="DY15" s="4763">
        <f t="shared" si="21"/>
        <v>0</v>
      </c>
      <c r="DZ15" s="4763">
        <f t="shared" si="21"/>
        <v>0</v>
      </c>
      <c r="EA15" s="4763">
        <f t="shared" si="21"/>
        <v>0</v>
      </c>
      <c r="EB15" s="4763">
        <f t="shared" si="21"/>
        <v>0</v>
      </c>
      <c r="EC15" s="4763">
        <f t="shared" si="21"/>
        <v>0</v>
      </c>
      <c r="ED15" s="4763">
        <f t="shared" si="21"/>
        <v>0</v>
      </c>
      <c r="EE15" s="4763">
        <f t="shared" si="21"/>
        <v>0</v>
      </c>
      <c r="EF15" s="4763">
        <f t="shared" ref="EF15:FK15" si="22">EF77*(EF$4&lt;$D$6)+(EF13+EF14)*(EF$4=$D$6)</f>
        <v>0</v>
      </c>
      <c r="EG15" s="4763">
        <f t="shared" si="22"/>
        <v>0</v>
      </c>
      <c r="EH15" s="4763">
        <f t="shared" si="22"/>
        <v>0</v>
      </c>
      <c r="EI15" s="4763">
        <f t="shared" si="22"/>
        <v>0</v>
      </c>
      <c r="EJ15" s="4763">
        <f t="shared" si="22"/>
        <v>0</v>
      </c>
      <c r="EK15" s="4763">
        <f t="shared" si="22"/>
        <v>0</v>
      </c>
      <c r="EL15" s="4763">
        <f t="shared" si="22"/>
        <v>0</v>
      </c>
      <c r="EM15" s="4763">
        <f t="shared" si="22"/>
        <v>0</v>
      </c>
      <c r="EN15" s="4763">
        <f t="shared" si="22"/>
        <v>0</v>
      </c>
      <c r="EO15" s="4763">
        <f t="shared" si="22"/>
        <v>0</v>
      </c>
      <c r="EP15" s="4763">
        <f t="shared" si="22"/>
        <v>0</v>
      </c>
      <c r="EQ15" s="4763">
        <f t="shared" si="22"/>
        <v>0</v>
      </c>
      <c r="ER15" s="4763">
        <f t="shared" si="22"/>
        <v>0</v>
      </c>
      <c r="ES15" s="4763">
        <f t="shared" si="22"/>
        <v>0</v>
      </c>
      <c r="ET15" s="4763">
        <f t="shared" si="22"/>
        <v>0</v>
      </c>
      <c r="EU15" s="4763">
        <f t="shared" si="22"/>
        <v>0</v>
      </c>
      <c r="EV15" s="4763">
        <f t="shared" si="22"/>
        <v>0</v>
      </c>
      <c r="EW15" s="4763">
        <f t="shared" si="22"/>
        <v>0</v>
      </c>
      <c r="EX15" s="4763">
        <f t="shared" si="22"/>
        <v>0</v>
      </c>
      <c r="EY15" s="4763">
        <f t="shared" si="22"/>
        <v>0</v>
      </c>
      <c r="EZ15" s="4763">
        <f t="shared" si="22"/>
        <v>0</v>
      </c>
      <c r="FA15" s="4763">
        <f t="shared" si="22"/>
        <v>0</v>
      </c>
      <c r="FB15" s="4763">
        <f t="shared" si="22"/>
        <v>0</v>
      </c>
      <c r="FC15" s="4763">
        <f t="shared" si="22"/>
        <v>0</v>
      </c>
      <c r="FD15" s="4763">
        <f t="shared" si="22"/>
        <v>0</v>
      </c>
      <c r="FE15" s="4763">
        <f t="shared" si="22"/>
        <v>0</v>
      </c>
      <c r="FF15" s="4763">
        <f t="shared" si="22"/>
        <v>0</v>
      </c>
      <c r="FG15" s="4763">
        <f t="shared" si="22"/>
        <v>0</v>
      </c>
      <c r="FH15" s="4763">
        <f t="shared" si="22"/>
        <v>0</v>
      </c>
      <c r="FI15" s="4763">
        <f t="shared" si="22"/>
        <v>0</v>
      </c>
      <c r="FJ15" s="4763">
        <f t="shared" si="22"/>
        <v>0</v>
      </c>
      <c r="FK15" s="4763">
        <f t="shared" si="22"/>
        <v>0</v>
      </c>
      <c r="FL15" s="4763">
        <f t="shared" ref="FL15:GE15" si="23">FL77*(FL$4&lt;$D$6)+(FL13+FL14)*(FL$4=$D$6)</f>
        <v>0</v>
      </c>
      <c r="FM15" s="4763">
        <f t="shared" si="23"/>
        <v>0</v>
      </c>
      <c r="FN15" s="4763">
        <f t="shared" si="23"/>
        <v>0</v>
      </c>
      <c r="FO15" s="4763">
        <f t="shared" si="23"/>
        <v>0</v>
      </c>
      <c r="FP15" s="4763">
        <f t="shared" si="23"/>
        <v>0</v>
      </c>
      <c r="FQ15" s="4763">
        <f t="shared" si="23"/>
        <v>0</v>
      </c>
      <c r="FR15" s="4763">
        <f t="shared" si="23"/>
        <v>0</v>
      </c>
      <c r="FS15" s="4763">
        <f t="shared" si="23"/>
        <v>0</v>
      </c>
      <c r="FT15" s="4763">
        <f t="shared" si="23"/>
        <v>0</v>
      </c>
      <c r="FU15" s="4763">
        <f t="shared" si="23"/>
        <v>0</v>
      </c>
      <c r="FV15" s="4763">
        <f t="shared" si="23"/>
        <v>0</v>
      </c>
      <c r="FW15" s="4763">
        <f t="shared" si="23"/>
        <v>0</v>
      </c>
      <c r="FX15" s="4763">
        <f t="shared" si="23"/>
        <v>0</v>
      </c>
      <c r="FY15" s="4763">
        <f t="shared" si="23"/>
        <v>0</v>
      </c>
      <c r="FZ15" s="4763">
        <f t="shared" si="23"/>
        <v>0</v>
      </c>
      <c r="GA15" s="4763">
        <f t="shared" si="23"/>
        <v>0</v>
      </c>
      <c r="GB15" s="4763">
        <f t="shared" si="23"/>
        <v>0</v>
      </c>
      <c r="GC15" s="4763">
        <f t="shared" si="23"/>
        <v>0</v>
      </c>
      <c r="GD15" s="4763">
        <f t="shared" si="23"/>
        <v>0</v>
      </c>
      <c r="GE15" s="4763">
        <f t="shared" si="23"/>
        <v>0</v>
      </c>
    </row>
    <row r="16" spans="1:188" ht="13.5" customHeight="1" thickBot="1">
      <c r="C16" s="733"/>
      <c r="D16" s="4960" t="s">
        <v>238</v>
      </c>
      <c r="E16" s="4884"/>
      <c r="F16" s="4940">
        <f>SUM(H16:FO16)</f>
        <v>21.5244</v>
      </c>
      <c r="G16" s="4940"/>
      <c r="H16" s="4940">
        <f>H13*Sensitivity!$L$13*H$44/12</f>
        <v>1.1569499999999999</v>
      </c>
      <c r="I16" s="4940">
        <f>I13*Sensitivity!$L$13*I$44/12</f>
        <v>1.12995</v>
      </c>
      <c r="J16" s="4940">
        <f>J13*Sensitivity!$L$13*J$44/12</f>
        <v>1.1029500000000001</v>
      </c>
      <c r="K16" s="4940">
        <f>K13*Sensitivity!$L$13*K$44/12</f>
        <v>1.07595</v>
      </c>
      <c r="L16" s="4940">
        <f>L13*Sensitivity!$L$13*L$44/12</f>
        <v>1.0475999999999999</v>
      </c>
      <c r="M16" s="4940">
        <f>M13*Sensitivity!$L$13*M$44/12</f>
        <v>1.0158749999999999</v>
      </c>
      <c r="N16" s="4940">
        <f>N13*Sensitivity!$L$13*N$44/12</f>
        <v>0.98347499999999999</v>
      </c>
      <c r="O16" s="4940">
        <f>O13*Sensitivity!$L$13*O$44/12</f>
        <v>0.95040000000000002</v>
      </c>
      <c r="P16" s="4940">
        <f>P13*Sensitivity!$L$13*P$44/12</f>
        <v>0.91665000000000008</v>
      </c>
      <c r="Q16" s="4940">
        <f>Q13*Sensitivity!$L$13*Q$44/12</f>
        <v>0.88222500000000004</v>
      </c>
      <c r="R16" s="4940">
        <f>R13*Sensitivity!$L$13*R$44/12</f>
        <v>0.84712499999999979</v>
      </c>
      <c r="S16" s="4940">
        <f>S13*Sensitivity!$L$13*S$44/12</f>
        <v>0.81202499999999989</v>
      </c>
      <c r="T16" s="4940">
        <f>T13*Sensitivity!$L$13*T$44/12</f>
        <v>0.77625</v>
      </c>
      <c r="U16" s="4940">
        <f>U13*Sensitivity!$L$13*U$44/12</f>
        <v>0.74452499999999988</v>
      </c>
      <c r="V16" s="4940">
        <f>V13*Sensitivity!$L$13*V$44/12</f>
        <v>0.71279999999999999</v>
      </c>
      <c r="W16" s="4940">
        <f>W13*Sensitivity!$L$13*W$44/12</f>
        <v>0.6804</v>
      </c>
      <c r="X16" s="4940">
        <f>X13*Sensitivity!$L$13*X$44/12</f>
        <v>0.64732499999999993</v>
      </c>
      <c r="Y16" s="4940">
        <f>Y13*Sensitivity!$L$13*Y$44/12</f>
        <v>0.61424999999999996</v>
      </c>
      <c r="Z16" s="4940">
        <f>Z13*Sensitivity!$L$13*Z$44/12</f>
        <v>0.581175</v>
      </c>
      <c r="AA16" s="4940">
        <f>AA13*Sensitivity!$L$13*AA$44/12</f>
        <v>0.54742499999999994</v>
      </c>
      <c r="AB16" s="4940">
        <f>AB13*Sensitivity!$L$13*AB$44/12</f>
        <v>0.51300000000000001</v>
      </c>
      <c r="AC16" s="4940">
        <f>AC13*Sensitivity!$L$13*AC$44/12</f>
        <v>0.48194999999999993</v>
      </c>
      <c r="AD16" s="4940">
        <f>AD13*Sensitivity!$L$13*AD$44/12</f>
        <v>0.45022499999999993</v>
      </c>
      <c r="AE16" s="4940">
        <f>AE13*Sensitivity!$L$13*AE$44/12</f>
        <v>0.41444999999999993</v>
      </c>
      <c r="AF16" s="4940">
        <f>AF13*Sensitivity!$L$13*AF$44/12</f>
        <v>0.37799999999999995</v>
      </c>
      <c r="AG16" s="4940">
        <f>AG13*Sensitivity!$L$13*AG$44/12</f>
        <v>0.33547499999999997</v>
      </c>
      <c r="AH16" s="4940">
        <f>AH13*Sensitivity!$L$13*AH$44/12</f>
        <v>0.29294999999999993</v>
      </c>
      <c r="AI16" s="4940">
        <f>AI13*Sensitivity!$L$13*AI$44/12</f>
        <v>0.24974999999999994</v>
      </c>
      <c r="AJ16" s="4940">
        <f>AJ13*Sensitivity!$L$13*AJ$44/12</f>
        <v>0.20587499999999995</v>
      </c>
      <c r="AK16" s="4940">
        <f>AK13*Sensitivity!$L$13*AK$44/12</f>
        <v>0.17887499999999998</v>
      </c>
      <c r="AL16" s="4940">
        <f>AL13*Sensitivity!$L$13*AL$44/12</f>
        <v>0.14782499999999996</v>
      </c>
      <c r="AM16" s="4940">
        <f>AM13*Sensitivity!$L$13*AM$44/12</f>
        <v>0.11609999999999997</v>
      </c>
      <c r="AN16" s="4940">
        <f>AN13*Sensitivity!$L$13*AN$44/12</f>
        <v>8.9099999999999971E-2</v>
      </c>
      <c r="AO16" s="4940">
        <f>AO13*Sensitivity!$L$13*AO$44/12</f>
        <v>8.0999999999999961E-2</v>
      </c>
      <c r="AP16" s="4940">
        <f>AP13*Sensitivity!$L$13*AP$44/12</f>
        <v>7.2899999999999965E-2</v>
      </c>
      <c r="AQ16" s="4940">
        <f>AQ13*Sensitivity!$L$13*AQ$44/12</f>
        <v>6.4799999999999955E-2</v>
      </c>
      <c r="AR16" s="4940">
        <f>AR13*Sensitivity!$L$13*AR$44/12</f>
        <v>5.6699999999999952E-2</v>
      </c>
      <c r="AS16" s="4940">
        <f>AS13*Sensitivity!$L$13*AS$44/12</f>
        <v>4.8599999999999949E-2</v>
      </c>
      <c r="AT16" s="4940">
        <f>AT13*Sensitivity!$L$13*AT$44/12</f>
        <v>4.0499999999999946E-2</v>
      </c>
      <c r="AU16" s="4940">
        <f>AU13*Sensitivity!$L$13*AU$44/12</f>
        <v>3.239999999999995E-2</v>
      </c>
      <c r="AV16" s="4940">
        <f>AV13*Sensitivity!$L$13*AV$44/12</f>
        <v>2.429999999999995E-2</v>
      </c>
      <c r="AW16" s="4940">
        <f>AW13*Sensitivity!$L$13*AW$44/12</f>
        <v>1.6199999999999954E-2</v>
      </c>
      <c r="AX16" s="4940">
        <f>AX13*Sensitivity!$L$13*AX$44/12</f>
        <v>8.0999999999999545E-3</v>
      </c>
      <c r="AY16" s="4940">
        <f>AY13*Sensitivity!$L$13*AY$44/12</f>
        <v>0</v>
      </c>
      <c r="AZ16" s="4940">
        <f>AZ13*Sensitivity!$L$13*AZ$44/12</f>
        <v>0</v>
      </c>
      <c r="BA16" s="4940">
        <f>BA13*Sensitivity!$L$13*BA$44/12</f>
        <v>0</v>
      </c>
      <c r="BB16" s="4940">
        <f>BB13*Sensitivity!$L$13*BB$44/12</f>
        <v>0</v>
      </c>
      <c r="BC16" s="4940">
        <f>BC13*Sensitivity!$L$13*BC$44/12</f>
        <v>0</v>
      </c>
      <c r="BD16" s="4940">
        <f>BD13*Sensitivity!$L$13*BD$44/12</f>
        <v>0</v>
      </c>
      <c r="BE16" s="4940">
        <f>BE13*Sensitivity!$L$13*BE$44/12</f>
        <v>0</v>
      </c>
      <c r="BF16" s="4940">
        <f>BF13*Sensitivity!$L$13*BF$44/12</f>
        <v>0</v>
      </c>
      <c r="BG16" s="4940">
        <f>BG13*Sensitivity!$L$13*BG$44/12</f>
        <v>0</v>
      </c>
      <c r="BH16" s="4940">
        <f>BH13*Sensitivity!$L$13*BH$44/12</f>
        <v>0</v>
      </c>
      <c r="BI16" s="4940">
        <f>BI13*Sensitivity!$L$13*BI$44/12</f>
        <v>0</v>
      </c>
      <c r="BJ16" s="4940">
        <f>BJ13*Sensitivity!$L$13*BJ$44/12</f>
        <v>0</v>
      </c>
      <c r="BK16" s="4940">
        <f>BK13*Sensitivity!$L$13*BK$44/12</f>
        <v>0</v>
      </c>
      <c r="BL16" s="4940">
        <f>BL13*Sensitivity!$L$13*BL$44/12</f>
        <v>0</v>
      </c>
      <c r="BM16" s="4940">
        <f>BM13*Sensitivity!$L$13*BM$44/12</f>
        <v>0</v>
      </c>
      <c r="BN16" s="4940">
        <f>BN13*Sensitivity!$L$13*BN$44/12</f>
        <v>0</v>
      </c>
      <c r="BO16" s="4940">
        <f>BO13*Sensitivity!$L$13*BO$44/12</f>
        <v>0</v>
      </c>
      <c r="BP16" s="4940">
        <f>BP13*Sensitivity!$L$13*BP$44/12</f>
        <v>0</v>
      </c>
      <c r="BQ16" s="4940">
        <f>BQ13*Sensitivity!$L$13*BQ$44/12</f>
        <v>0</v>
      </c>
      <c r="BR16" s="4940">
        <f>BR13*Sensitivity!$L$13*BR$44/12</f>
        <v>0</v>
      </c>
      <c r="BS16" s="4940">
        <f>BS13*Sensitivity!$L$13*BS$44/12</f>
        <v>0</v>
      </c>
      <c r="BT16" s="4940">
        <f>BT13*Sensitivity!$L$13*BT$44/12</f>
        <v>0</v>
      </c>
      <c r="BU16" s="4940">
        <f>BU13*Sensitivity!$L$13*BU$44/12</f>
        <v>0</v>
      </c>
      <c r="BV16" s="4940">
        <f>BV13*Sensitivity!$L$13*BV$44/12</f>
        <v>0</v>
      </c>
      <c r="BW16" s="4940">
        <f>BW13*Sensitivity!$L$13*BW$44/12</f>
        <v>0</v>
      </c>
      <c r="BX16" s="4940">
        <f>BX13*Sensitivity!$L$13*BX$44/12</f>
        <v>0</v>
      </c>
      <c r="BY16" s="4940">
        <f>BY13*Sensitivity!$L$13*BY$44/12</f>
        <v>0</v>
      </c>
      <c r="BZ16" s="4940">
        <f>BZ13*Sensitivity!$L$13*BZ$44/12</f>
        <v>0</v>
      </c>
      <c r="CA16" s="4940">
        <f>CA13*Sensitivity!$L$13*CA$44/12</f>
        <v>0</v>
      </c>
      <c r="CB16" s="4940">
        <f>CB13*Sensitivity!$L$13*CB$44/12</f>
        <v>0</v>
      </c>
      <c r="CC16" s="4940">
        <f>CC13*Sensitivity!$L$13*CC$44/12</f>
        <v>0</v>
      </c>
      <c r="CD16" s="4940">
        <f>CD13*Sensitivity!$L$13*CD$44/12</f>
        <v>0</v>
      </c>
      <c r="CE16" s="4940">
        <f>CE13*Sensitivity!$L$13*CE$44/12</f>
        <v>0</v>
      </c>
      <c r="CF16" s="4940">
        <f>CF13*Sensitivity!$L$13*CF$44/12</f>
        <v>0</v>
      </c>
      <c r="CG16" s="4940">
        <f>CG13*Sensitivity!$L$13*CG$44/12</f>
        <v>0</v>
      </c>
      <c r="CH16" s="4940">
        <f>CH13*Sensitivity!$L$13*CH$44/12</f>
        <v>0</v>
      </c>
      <c r="CI16" s="4940">
        <f>CI13*Sensitivity!$L$13*CI$44/12</f>
        <v>0</v>
      </c>
      <c r="CJ16" s="4940">
        <f>CJ13*Sensitivity!$L$13*CJ$44/12</f>
        <v>0</v>
      </c>
      <c r="CK16" s="4940">
        <f>CK13*Sensitivity!$L$13*CK$44/12</f>
        <v>0</v>
      </c>
      <c r="CL16" s="4940">
        <f>CL13*Sensitivity!$L$13*CL$44/12</f>
        <v>0</v>
      </c>
      <c r="CM16" s="4940">
        <f>CM13*Sensitivity!$L$13*CM$44/12</f>
        <v>0</v>
      </c>
      <c r="CN16" s="4940">
        <f>CN13*Sensitivity!$L$13*CN$44/12</f>
        <v>0</v>
      </c>
      <c r="CO16" s="4940">
        <f>CO13*Sensitivity!$L$13*CO$44/12</f>
        <v>0</v>
      </c>
      <c r="CP16" s="4940">
        <f>CP13*Sensitivity!$L$13*CP$44/12</f>
        <v>0</v>
      </c>
      <c r="CQ16" s="4940">
        <f>CQ13*Sensitivity!$L$13*CQ$44/12</f>
        <v>0</v>
      </c>
      <c r="CR16" s="4940">
        <f>CR13*Sensitivity!$L$13*CR$44/12</f>
        <v>0</v>
      </c>
      <c r="CS16" s="4940">
        <f>CS13*Sensitivity!$L$13*CS$44/12</f>
        <v>0</v>
      </c>
      <c r="CT16" s="4940">
        <f>CT13*Sensitivity!$L$13*CT$44/12</f>
        <v>0</v>
      </c>
      <c r="CU16" s="4940">
        <f>CU13*Sensitivity!$L$13*CU$44/12</f>
        <v>0</v>
      </c>
      <c r="CV16" s="4940">
        <f>CV13*Sensitivity!$L$13*CV$44/12</f>
        <v>0</v>
      </c>
      <c r="CW16" s="4940">
        <f>CW13*Sensitivity!$L$13*CW$44/12</f>
        <v>0</v>
      </c>
      <c r="CX16" s="4940">
        <f>CX13*Sensitivity!$L$13*CX$44/12</f>
        <v>0</v>
      </c>
      <c r="CY16" s="4940">
        <f>CY13*Sensitivity!$L$13*CY$44/12</f>
        <v>0</v>
      </c>
      <c r="CZ16" s="4940">
        <f>CZ13*Sensitivity!$L$13*CZ$44/12</f>
        <v>0</v>
      </c>
      <c r="DA16" s="4940">
        <f>DA13*Sensitivity!$L$13*DA$44/12</f>
        <v>0</v>
      </c>
      <c r="DB16" s="4940">
        <f>DB13*Sensitivity!$L$13*DB$44/12</f>
        <v>0</v>
      </c>
      <c r="DC16" s="4940">
        <f>DC13*Sensitivity!$L$13*DC$44/12</f>
        <v>0</v>
      </c>
      <c r="DD16" s="4940">
        <f>DD13*Sensitivity!$L$13*DD$44/12</f>
        <v>0</v>
      </c>
      <c r="DE16" s="4940">
        <f>DE13*Sensitivity!$L$13*DE$44/12</f>
        <v>0</v>
      </c>
      <c r="DF16" s="4940">
        <f>DF13*Sensitivity!$L$13*DF$44/12</f>
        <v>0</v>
      </c>
      <c r="DG16" s="4940">
        <f>DG13*Sensitivity!$L$13*DG$44/12</f>
        <v>0</v>
      </c>
      <c r="DH16" s="4940">
        <f>DH13*Sensitivity!$L$13*DH$44/12</f>
        <v>0</v>
      </c>
      <c r="DI16" s="4940">
        <f>DI13*Sensitivity!$L$13*DI$44/12</f>
        <v>0</v>
      </c>
      <c r="DJ16" s="4940">
        <f>DJ13*Sensitivity!$L$13*DJ$44/12</f>
        <v>0</v>
      </c>
      <c r="DK16" s="4940">
        <f>DK13*Sensitivity!$L$13*DK$44/12</f>
        <v>0</v>
      </c>
      <c r="DL16" s="4940">
        <f>DL13*Sensitivity!$L$13*DL$44/12</f>
        <v>0</v>
      </c>
      <c r="DM16" s="4940">
        <f>DM13*Sensitivity!$L$13*DM$44/12</f>
        <v>0</v>
      </c>
      <c r="DN16" s="4940">
        <f>DN13*Sensitivity!$L$13*DN$44/12</f>
        <v>0</v>
      </c>
      <c r="DO16" s="4940">
        <f>DO13*Sensitivity!$L$13*DO$44/12</f>
        <v>0</v>
      </c>
      <c r="DP16" s="4940">
        <f>DP13*Sensitivity!$L$13*DP$44/12</f>
        <v>0</v>
      </c>
      <c r="DQ16" s="4940">
        <f>DQ13*Sensitivity!$L$13*DQ$44/12</f>
        <v>0</v>
      </c>
      <c r="DR16" s="4940">
        <f>DR13*Sensitivity!$L$13*DR$44/12</f>
        <v>0</v>
      </c>
      <c r="DS16" s="4940">
        <f>DS13*Sensitivity!$L$13*DS$44/12</f>
        <v>0</v>
      </c>
      <c r="DT16" s="4940">
        <f>DT13*Sensitivity!$L$13*DT$44/12</f>
        <v>0</v>
      </c>
      <c r="DU16" s="4940">
        <f>DU13*Sensitivity!$L$13*DU$44/12</f>
        <v>0</v>
      </c>
      <c r="DV16" s="4940">
        <f>DV13*Sensitivity!$L$13*DV$44/12</f>
        <v>0</v>
      </c>
      <c r="DW16" s="4940">
        <f>DW13*Sensitivity!$L$13*DW$44/12</f>
        <v>0</v>
      </c>
      <c r="DX16" s="4940">
        <f>DX13*Sensitivity!$L$13*DX$44/12</f>
        <v>0</v>
      </c>
      <c r="DY16" s="4940">
        <f>DY13*Sensitivity!$L$13*DY$44/12</f>
        <v>0</v>
      </c>
      <c r="DZ16" s="4940">
        <f>DZ13*Sensitivity!$L$13*DZ$44/12</f>
        <v>0</v>
      </c>
      <c r="EA16" s="4940">
        <f>EA13*Sensitivity!$L$13*EA$44/12</f>
        <v>0</v>
      </c>
      <c r="EB16" s="4940">
        <f>EB13*Sensitivity!$L$13*EB$44/12</f>
        <v>0</v>
      </c>
      <c r="EC16" s="4940">
        <f>EC13*Sensitivity!$L$13*EC$44/12</f>
        <v>0</v>
      </c>
      <c r="ED16" s="4940">
        <f>ED13*Sensitivity!$L$13*ED$44/12</f>
        <v>0</v>
      </c>
      <c r="EE16" s="4940">
        <f>EE13*Sensitivity!$L$13*EE$44/12</f>
        <v>0</v>
      </c>
      <c r="EF16" s="4940">
        <f>EF13*Sensitivity!$L$13*EF$44/12</f>
        <v>0</v>
      </c>
      <c r="EG16" s="4940">
        <f>EG13*Sensitivity!$L$13*EG$44/12</f>
        <v>0</v>
      </c>
      <c r="EH16" s="4940">
        <f>EH13*Sensitivity!$L$13*EH$44/12</f>
        <v>0</v>
      </c>
      <c r="EI16" s="4940">
        <f>EI13*Sensitivity!$L$13*EI$44/12</f>
        <v>0</v>
      </c>
      <c r="EJ16" s="4940">
        <f>EJ13*Sensitivity!$L$13*EJ$44/12</f>
        <v>0</v>
      </c>
      <c r="EK16" s="4940">
        <f>EK13*Sensitivity!$L$13*EK$44/12</f>
        <v>0</v>
      </c>
      <c r="EL16" s="4940">
        <f>EL13*Sensitivity!$L$13*EL$44/12</f>
        <v>0</v>
      </c>
      <c r="EM16" s="4940">
        <f>EM13*Sensitivity!$L$13*EM$44/12</f>
        <v>0</v>
      </c>
      <c r="EN16" s="4940">
        <f>EN13*Sensitivity!$L$13*EN$44/12</f>
        <v>0</v>
      </c>
      <c r="EO16" s="4940">
        <f>EO13*Sensitivity!$L$13*EO$44/12</f>
        <v>0</v>
      </c>
      <c r="EP16" s="4940">
        <f>EP13*Sensitivity!$L$13*EP$44/12</f>
        <v>0</v>
      </c>
      <c r="EQ16" s="4940">
        <f>EQ13*Sensitivity!$L$13*EQ$44/12</f>
        <v>0</v>
      </c>
      <c r="ER16" s="4940">
        <f>ER13*Sensitivity!$L$13*ER$44/12</f>
        <v>0</v>
      </c>
      <c r="ES16" s="4940">
        <f>ES13*Sensitivity!$L$13*ES$44/12</f>
        <v>0</v>
      </c>
      <c r="ET16" s="4940">
        <f>ET13*Sensitivity!$L$13*ET$44/12</f>
        <v>0</v>
      </c>
      <c r="EU16" s="4940">
        <f>EU13*Sensitivity!$L$13*EU$44/12</f>
        <v>0</v>
      </c>
      <c r="EV16" s="4940">
        <f>EV13*Sensitivity!$L$13*EV$44/12</f>
        <v>0</v>
      </c>
      <c r="EW16" s="4940">
        <f>EW13*Sensitivity!$L$13*EW$44/12</f>
        <v>0</v>
      </c>
      <c r="EX16" s="4940">
        <f>EX13*Sensitivity!$L$13*EX$44/12</f>
        <v>0</v>
      </c>
      <c r="EY16" s="4940">
        <f>EY13*Sensitivity!$L$13*EY$44/12</f>
        <v>0</v>
      </c>
      <c r="EZ16" s="4940">
        <f>EZ13*Sensitivity!$L$13*EZ$44/12</f>
        <v>0</v>
      </c>
      <c r="FA16" s="4940">
        <f>FA13*Sensitivity!$L$13*FA$44/12</f>
        <v>0</v>
      </c>
      <c r="FB16" s="4940">
        <f>FB13*Sensitivity!$L$13*FB$44/12</f>
        <v>0</v>
      </c>
      <c r="FC16" s="4940">
        <f>FC13*Sensitivity!$L$13*FC$44/12</f>
        <v>0</v>
      </c>
      <c r="FD16" s="4940">
        <f>FD13*Sensitivity!$L$13*FD$44/12</f>
        <v>0</v>
      </c>
      <c r="FE16" s="4940">
        <f>FE13*Sensitivity!$L$13*FE$44/12</f>
        <v>0</v>
      </c>
      <c r="FF16" s="4940">
        <f>FF13*Sensitivity!$L$13*FF$44/12</f>
        <v>0</v>
      </c>
      <c r="FG16" s="4940">
        <f>FG13*Sensitivity!$L$13*FG$44/12</f>
        <v>0</v>
      </c>
      <c r="FH16" s="4940">
        <f>FH13*Sensitivity!$L$13*FH$44/12</f>
        <v>0</v>
      </c>
      <c r="FI16" s="4940">
        <f>FI13*Sensitivity!$L$13*FI$44/12</f>
        <v>0</v>
      </c>
      <c r="FJ16" s="4940">
        <f>FJ13*Sensitivity!$L$13*FJ$44/12</f>
        <v>0</v>
      </c>
      <c r="FK16" s="4940">
        <f>FK13*Sensitivity!$L$13*FK$44/12</f>
        <v>0</v>
      </c>
      <c r="FL16" s="4940">
        <f>FL13*Sensitivity!$L$13*FL$44/12</f>
        <v>0</v>
      </c>
      <c r="FM16" s="4940">
        <f>FM13*Sensitivity!$L$13*FM$44/12</f>
        <v>0</v>
      </c>
      <c r="FN16" s="4940">
        <f>FN13*Sensitivity!$L$13*FN$44/12</f>
        <v>0</v>
      </c>
      <c r="FO16" s="4940">
        <f>FO13*Sensitivity!$L$13*FO$44/12</f>
        <v>0</v>
      </c>
      <c r="FP16" s="4940">
        <f>FP13*Sensitivity!$L$13*FP$44/12</f>
        <v>0</v>
      </c>
      <c r="FQ16" s="4940">
        <f>FQ13*Sensitivity!$L$13*FQ$44/12</f>
        <v>0</v>
      </c>
      <c r="FR16" s="4940">
        <f>FR13*Sensitivity!$L$13*FR$44/12</f>
        <v>0</v>
      </c>
      <c r="FS16" s="4940">
        <f>FS13*Sensitivity!$L$13*FS$44/12</f>
        <v>0</v>
      </c>
      <c r="FT16" s="4940">
        <f>FT13*Sensitivity!$L$13*FT$44/12</f>
        <v>0</v>
      </c>
      <c r="FU16" s="4940">
        <f>FU13*Sensitivity!$L$13*FU$44/12</f>
        <v>0</v>
      </c>
      <c r="FV16" s="4940">
        <f>FV13*Sensitivity!$L$13*FV$44/12</f>
        <v>0</v>
      </c>
      <c r="FW16" s="4940">
        <f>FW13*Sensitivity!$L$13*FW$44/12</f>
        <v>0</v>
      </c>
      <c r="FX16" s="4940">
        <f>FX13*Sensitivity!$L$13*FX$44/12</f>
        <v>0</v>
      </c>
      <c r="FY16" s="4940">
        <f>FY13*Sensitivity!$L$13*FY$44/12</f>
        <v>0</v>
      </c>
      <c r="FZ16" s="4940">
        <f>FZ13*Sensitivity!$L$13*FZ$44/12</f>
        <v>0</v>
      </c>
      <c r="GA16" s="4940">
        <f>GA13*Sensitivity!$L$13*GA$44/12</f>
        <v>0</v>
      </c>
      <c r="GB16" s="4940">
        <f>GB13*Sensitivity!$L$13*GB$44/12</f>
        <v>0</v>
      </c>
      <c r="GC16" s="4940">
        <f>GC13*Sensitivity!$L$13*GC$44/12</f>
        <v>0</v>
      </c>
      <c r="GD16" s="4940">
        <f>GD13*Sensitivity!$L$13*GD$44/12</f>
        <v>0</v>
      </c>
      <c r="GE16" s="4940">
        <f>GE13*Sensitivity!$L$13*GE$44/12</f>
        <v>0</v>
      </c>
    </row>
    <row r="17" spans="3:187" ht="13.5" customHeight="1" thickTop="1">
      <c r="C17" s="4938" t="str">
        <f>Sensitivity!I14</f>
        <v>장기B-2</v>
      </c>
      <c r="D17" s="952"/>
      <c r="E17" s="4931"/>
      <c r="F17" s="4939">
        <f>H18+F19-F20</f>
        <v>0</v>
      </c>
      <c r="G17" s="4939"/>
      <c r="H17" s="4938"/>
      <c r="I17" s="4938"/>
      <c r="J17" s="4938"/>
      <c r="K17" s="4938"/>
      <c r="L17" s="4938"/>
      <c r="M17" s="4938"/>
      <c r="N17" s="4938"/>
      <c r="O17" s="4938"/>
      <c r="P17" s="4938"/>
      <c r="Q17" s="4938"/>
      <c r="R17" s="4938"/>
      <c r="S17" s="4938"/>
      <c r="T17" s="4938"/>
      <c r="U17" s="4938"/>
      <c r="V17" s="4938"/>
      <c r="W17" s="4938"/>
      <c r="X17" s="4938"/>
      <c r="Y17" s="4938"/>
      <c r="Z17" s="4938"/>
      <c r="AA17" s="4938"/>
      <c r="AB17" s="4938"/>
      <c r="AC17" s="4938"/>
      <c r="AD17" s="4938"/>
      <c r="AE17" s="4938"/>
      <c r="AF17" s="4941"/>
      <c r="AG17" s="4938"/>
      <c r="AH17" s="4938"/>
      <c r="AI17" s="4938"/>
      <c r="AJ17" s="4938"/>
      <c r="AK17" s="4938"/>
      <c r="AL17" s="4938"/>
      <c r="AM17" s="4938"/>
      <c r="AN17" s="4938"/>
      <c r="AO17" s="4938"/>
      <c r="AP17" s="4938"/>
      <c r="AQ17" s="4938"/>
      <c r="AR17" s="4938"/>
      <c r="AS17" s="4938"/>
      <c r="AT17" s="4938"/>
      <c r="AU17" s="4938"/>
      <c r="AV17" s="4938"/>
      <c r="AW17" s="4938"/>
      <c r="AX17" s="4938"/>
      <c r="AY17" s="4938"/>
      <c r="AZ17" s="4938"/>
      <c r="BA17" s="4938"/>
      <c r="BB17" s="4938"/>
      <c r="BC17" s="4938"/>
      <c r="BD17" s="4938"/>
      <c r="BE17" s="4938"/>
      <c r="BF17" s="4938"/>
      <c r="BG17" s="4938"/>
      <c r="BH17" s="4938"/>
      <c r="BI17" s="4938"/>
      <c r="BJ17" s="4938"/>
      <c r="BK17" s="4938"/>
      <c r="BL17" s="4938"/>
      <c r="BM17" s="4938"/>
      <c r="BN17" s="4938"/>
      <c r="BO17" s="4938"/>
      <c r="BP17" s="4938"/>
      <c r="BQ17" s="4938"/>
      <c r="BR17" s="4938"/>
      <c r="BS17" s="4938"/>
      <c r="BT17" s="4938"/>
      <c r="BU17" s="4938"/>
      <c r="BV17" s="4938"/>
      <c r="BW17" s="4938"/>
      <c r="BX17" s="4938"/>
      <c r="BY17" s="4938"/>
      <c r="BZ17" s="4938"/>
      <c r="CA17" s="4938"/>
      <c r="CB17" s="4938"/>
      <c r="CC17" s="4938"/>
      <c r="CD17" s="4938"/>
      <c r="CE17" s="4938"/>
      <c r="CF17" s="4938"/>
      <c r="CG17" s="4938"/>
      <c r="CH17" s="4938"/>
      <c r="CI17" s="4938"/>
      <c r="CJ17" s="4938"/>
      <c r="CK17" s="4938"/>
      <c r="CL17" s="4938"/>
      <c r="CM17" s="4938"/>
      <c r="CN17" s="4938"/>
      <c r="CO17" s="4938"/>
      <c r="CP17" s="4938"/>
      <c r="CQ17" s="4938"/>
      <c r="CR17" s="4938"/>
      <c r="CS17" s="4938"/>
      <c r="CT17" s="4938"/>
      <c r="CU17" s="4938"/>
      <c r="CV17" s="4938"/>
      <c r="CW17" s="4938"/>
      <c r="CX17" s="4938"/>
      <c r="CY17" s="4938"/>
      <c r="CZ17" s="4938"/>
      <c r="DA17" s="4938"/>
      <c r="DB17" s="4938"/>
      <c r="DC17" s="4938"/>
      <c r="DD17" s="4938"/>
      <c r="DE17" s="4938"/>
      <c r="DF17" s="4938"/>
      <c r="DG17" s="4938"/>
      <c r="DH17" s="4938"/>
      <c r="DI17" s="4938"/>
      <c r="DJ17" s="4938"/>
      <c r="DK17" s="4938"/>
      <c r="DL17" s="4938"/>
      <c r="DM17" s="4938"/>
      <c r="DN17" s="4938"/>
      <c r="DO17" s="4938"/>
      <c r="DP17" s="4938"/>
      <c r="DQ17" s="4938"/>
      <c r="DR17" s="4938"/>
      <c r="DS17" s="4938"/>
      <c r="DT17" s="4938"/>
      <c r="DU17" s="4938"/>
      <c r="DV17" s="4938"/>
      <c r="DW17" s="4938"/>
      <c r="DX17" s="4938"/>
      <c r="DY17" s="4938"/>
      <c r="DZ17" s="4938"/>
      <c r="EA17" s="4938"/>
      <c r="EB17" s="4938"/>
      <c r="EC17" s="4938"/>
      <c r="ED17" s="4938"/>
      <c r="EE17" s="4938"/>
      <c r="EF17" s="4938"/>
      <c r="EG17" s="4938"/>
      <c r="EH17" s="4938"/>
      <c r="EI17" s="4938"/>
      <c r="EJ17" s="4938"/>
      <c r="EK17" s="4938"/>
      <c r="EL17" s="4938"/>
      <c r="EM17" s="4938"/>
      <c r="EN17" s="4938"/>
      <c r="EO17" s="4938"/>
      <c r="EP17" s="4938"/>
      <c r="EQ17" s="4938"/>
      <c r="ER17" s="4938"/>
      <c r="ES17" s="4938"/>
      <c r="ET17" s="4938"/>
      <c r="EU17" s="4938"/>
      <c r="EV17" s="4938"/>
      <c r="EW17" s="4938"/>
      <c r="EX17" s="4938"/>
      <c r="EY17" s="4938"/>
      <c r="EZ17" s="4938"/>
      <c r="FA17" s="4938"/>
      <c r="FB17" s="4938"/>
      <c r="FC17" s="4938"/>
      <c r="FD17" s="4938"/>
      <c r="FE17" s="4938"/>
      <c r="FF17" s="4938"/>
      <c r="FG17" s="4938"/>
      <c r="FH17" s="4938"/>
      <c r="FI17" s="4938"/>
      <c r="FJ17" s="4938"/>
      <c r="FK17" s="4938"/>
      <c r="FL17" s="4938"/>
      <c r="FM17" s="4938"/>
      <c r="FN17" s="4938"/>
      <c r="FO17" s="4938"/>
      <c r="FP17" s="4938"/>
      <c r="FQ17" s="4938"/>
      <c r="FR17" s="4938"/>
      <c r="FS17" s="4938"/>
      <c r="FT17" s="4938"/>
      <c r="FU17" s="4938"/>
      <c r="FV17" s="4938"/>
      <c r="FW17" s="4938"/>
      <c r="FX17" s="4938"/>
      <c r="FY17" s="4938"/>
      <c r="FZ17" s="4938"/>
      <c r="GA17" s="4938"/>
      <c r="GB17" s="4938"/>
      <c r="GC17" s="4938"/>
      <c r="GD17" s="4938"/>
      <c r="GE17" s="4938"/>
    </row>
    <row r="18" spans="3:187" ht="13.5" customHeight="1">
      <c r="C18" s="4954"/>
      <c r="D18" s="4959" t="s">
        <v>5101</v>
      </c>
      <c r="E18" s="4773"/>
      <c r="F18" s="4763"/>
      <c r="G18" s="4763"/>
      <c r="H18" s="4763">
        <f>H80</f>
        <v>107.125</v>
      </c>
      <c r="I18" s="4763">
        <f>H18+H19-H20</f>
        <v>104.625</v>
      </c>
      <c r="J18" s="4763">
        <f t="shared" ref="J18:BU18" si="24">I18+I19-I20</f>
        <v>102.125</v>
      </c>
      <c r="K18" s="4763">
        <f t="shared" si="24"/>
        <v>99.625</v>
      </c>
      <c r="L18" s="4763">
        <f t="shared" si="24"/>
        <v>97</v>
      </c>
      <c r="M18" s="4763">
        <f t="shared" si="24"/>
        <v>94.0625</v>
      </c>
      <c r="N18" s="4763">
        <f t="shared" si="24"/>
        <v>91.0625</v>
      </c>
      <c r="O18" s="4763">
        <f t="shared" si="24"/>
        <v>88</v>
      </c>
      <c r="P18" s="4763">
        <f t="shared" si="24"/>
        <v>84.875</v>
      </c>
      <c r="Q18" s="4763">
        <f t="shared" si="24"/>
        <v>81.6875</v>
      </c>
      <c r="R18" s="4763">
        <f t="shared" si="24"/>
        <v>78.4375</v>
      </c>
      <c r="S18" s="4763">
        <f t="shared" si="24"/>
        <v>75.1875</v>
      </c>
      <c r="T18" s="4763">
        <f t="shared" si="24"/>
        <v>71.875</v>
      </c>
      <c r="U18" s="4763">
        <f t="shared" si="24"/>
        <v>68.9375</v>
      </c>
      <c r="V18" s="4763">
        <f t="shared" si="24"/>
        <v>66</v>
      </c>
      <c r="W18" s="4763">
        <f t="shared" si="24"/>
        <v>63</v>
      </c>
      <c r="X18" s="4763">
        <f t="shared" si="24"/>
        <v>59.9375</v>
      </c>
      <c r="Y18" s="4763">
        <f t="shared" si="24"/>
        <v>56.875</v>
      </c>
      <c r="Z18" s="4763">
        <f t="shared" si="24"/>
        <v>53.8125</v>
      </c>
      <c r="AA18" s="4763">
        <f t="shared" si="24"/>
        <v>50.6875</v>
      </c>
      <c r="AB18" s="4763">
        <f t="shared" si="24"/>
        <v>47.5</v>
      </c>
      <c r="AC18" s="4763">
        <f t="shared" si="24"/>
        <v>44.625</v>
      </c>
      <c r="AD18" s="4763">
        <f t="shared" si="24"/>
        <v>41.6875</v>
      </c>
      <c r="AE18" s="4763">
        <f t="shared" si="24"/>
        <v>38.375</v>
      </c>
      <c r="AF18" s="4763">
        <f t="shared" si="24"/>
        <v>35</v>
      </c>
      <c r="AG18" s="4763">
        <f t="shared" si="24"/>
        <v>31.0625</v>
      </c>
      <c r="AH18" s="4763">
        <f t="shared" si="24"/>
        <v>27.125</v>
      </c>
      <c r="AI18" s="4763">
        <f t="shared" si="24"/>
        <v>23.125</v>
      </c>
      <c r="AJ18" s="4763">
        <f t="shared" si="24"/>
        <v>19.0625</v>
      </c>
      <c r="AK18" s="4763">
        <f t="shared" si="24"/>
        <v>16.5625</v>
      </c>
      <c r="AL18" s="4763">
        <f t="shared" si="24"/>
        <v>13.6875</v>
      </c>
      <c r="AM18" s="4763">
        <f t="shared" si="24"/>
        <v>10.75</v>
      </c>
      <c r="AN18" s="4763">
        <f t="shared" si="24"/>
        <v>8.25</v>
      </c>
      <c r="AO18" s="4763">
        <f t="shared" si="24"/>
        <v>7.5</v>
      </c>
      <c r="AP18" s="4763">
        <f t="shared" si="24"/>
        <v>6.75</v>
      </c>
      <c r="AQ18" s="4763">
        <f t="shared" si="24"/>
        <v>6</v>
      </c>
      <c r="AR18" s="4763">
        <f t="shared" si="24"/>
        <v>5.25</v>
      </c>
      <c r="AS18" s="4763">
        <f t="shared" si="24"/>
        <v>4.5</v>
      </c>
      <c r="AT18" s="4763">
        <f t="shared" si="24"/>
        <v>3.75</v>
      </c>
      <c r="AU18" s="4763">
        <f t="shared" si="24"/>
        <v>3</v>
      </c>
      <c r="AV18" s="4763">
        <f t="shared" si="24"/>
        <v>2.25</v>
      </c>
      <c r="AW18" s="4763">
        <f t="shared" si="24"/>
        <v>1.5</v>
      </c>
      <c r="AX18" s="4763">
        <f t="shared" si="24"/>
        <v>0.75</v>
      </c>
      <c r="AY18" s="4763">
        <f t="shared" si="24"/>
        <v>0</v>
      </c>
      <c r="AZ18" s="4763">
        <f t="shared" si="24"/>
        <v>0</v>
      </c>
      <c r="BA18" s="4763">
        <f t="shared" si="24"/>
        <v>0</v>
      </c>
      <c r="BB18" s="4763">
        <f t="shared" si="24"/>
        <v>0</v>
      </c>
      <c r="BC18" s="4763">
        <f t="shared" si="24"/>
        <v>0</v>
      </c>
      <c r="BD18" s="4763">
        <f t="shared" si="24"/>
        <v>0</v>
      </c>
      <c r="BE18" s="4763">
        <f t="shared" si="24"/>
        <v>0</v>
      </c>
      <c r="BF18" s="4763">
        <f t="shared" si="24"/>
        <v>0</v>
      </c>
      <c r="BG18" s="4763">
        <f t="shared" si="24"/>
        <v>0</v>
      </c>
      <c r="BH18" s="4763">
        <f t="shared" si="24"/>
        <v>0</v>
      </c>
      <c r="BI18" s="4763">
        <f t="shared" si="24"/>
        <v>0</v>
      </c>
      <c r="BJ18" s="4763">
        <f t="shared" si="24"/>
        <v>0</v>
      </c>
      <c r="BK18" s="4763">
        <f t="shared" si="24"/>
        <v>0</v>
      </c>
      <c r="BL18" s="4763">
        <f t="shared" si="24"/>
        <v>0</v>
      </c>
      <c r="BM18" s="4763">
        <f t="shared" si="24"/>
        <v>0</v>
      </c>
      <c r="BN18" s="4763">
        <f t="shared" si="24"/>
        <v>0</v>
      </c>
      <c r="BO18" s="4763">
        <f t="shared" si="24"/>
        <v>0</v>
      </c>
      <c r="BP18" s="4763">
        <f t="shared" si="24"/>
        <v>0</v>
      </c>
      <c r="BQ18" s="4763">
        <f t="shared" si="24"/>
        <v>0</v>
      </c>
      <c r="BR18" s="4763">
        <f t="shared" si="24"/>
        <v>0</v>
      </c>
      <c r="BS18" s="4763">
        <f t="shared" si="24"/>
        <v>0</v>
      </c>
      <c r="BT18" s="4763">
        <f t="shared" si="24"/>
        <v>0</v>
      </c>
      <c r="BU18" s="4763">
        <f t="shared" si="24"/>
        <v>0</v>
      </c>
      <c r="BV18" s="4763">
        <f t="shared" ref="BV18:EG18" si="25">BU18+BU19-BU20</f>
        <v>0</v>
      </c>
      <c r="BW18" s="4763">
        <f t="shared" si="25"/>
        <v>0</v>
      </c>
      <c r="BX18" s="4763">
        <f t="shared" si="25"/>
        <v>0</v>
      </c>
      <c r="BY18" s="4763">
        <f t="shared" si="25"/>
        <v>0</v>
      </c>
      <c r="BZ18" s="4763">
        <f t="shared" si="25"/>
        <v>0</v>
      </c>
      <c r="CA18" s="4763">
        <f t="shared" si="25"/>
        <v>0</v>
      </c>
      <c r="CB18" s="4763">
        <f t="shared" si="25"/>
        <v>0</v>
      </c>
      <c r="CC18" s="4763">
        <f t="shared" si="25"/>
        <v>0</v>
      </c>
      <c r="CD18" s="4763">
        <f t="shared" si="25"/>
        <v>0</v>
      </c>
      <c r="CE18" s="4763">
        <f t="shared" si="25"/>
        <v>0</v>
      </c>
      <c r="CF18" s="4763">
        <f t="shared" si="25"/>
        <v>0</v>
      </c>
      <c r="CG18" s="4763">
        <f t="shared" si="25"/>
        <v>0</v>
      </c>
      <c r="CH18" s="4763">
        <f t="shared" si="25"/>
        <v>0</v>
      </c>
      <c r="CI18" s="4763">
        <f t="shared" si="25"/>
        <v>0</v>
      </c>
      <c r="CJ18" s="4763">
        <f t="shared" si="25"/>
        <v>0</v>
      </c>
      <c r="CK18" s="4763">
        <f t="shared" si="25"/>
        <v>0</v>
      </c>
      <c r="CL18" s="4763">
        <f t="shared" si="25"/>
        <v>0</v>
      </c>
      <c r="CM18" s="4763">
        <f t="shared" si="25"/>
        <v>0</v>
      </c>
      <c r="CN18" s="4763">
        <f t="shared" si="25"/>
        <v>0</v>
      </c>
      <c r="CO18" s="4763">
        <f t="shared" si="25"/>
        <v>0</v>
      </c>
      <c r="CP18" s="4763">
        <f t="shared" si="25"/>
        <v>0</v>
      </c>
      <c r="CQ18" s="4763">
        <f t="shared" si="25"/>
        <v>0</v>
      </c>
      <c r="CR18" s="4763">
        <f t="shared" si="25"/>
        <v>0</v>
      </c>
      <c r="CS18" s="4763">
        <f t="shared" si="25"/>
        <v>0</v>
      </c>
      <c r="CT18" s="4763">
        <f t="shared" si="25"/>
        <v>0</v>
      </c>
      <c r="CU18" s="4763">
        <f t="shared" si="25"/>
        <v>0</v>
      </c>
      <c r="CV18" s="4763">
        <f t="shared" si="25"/>
        <v>0</v>
      </c>
      <c r="CW18" s="4763">
        <f t="shared" si="25"/>
        <v>0</v>
      </c>
      <c r="CX18" s="4763">
        <f t="shared" si="25"/>
        <v>0</v>
      </c>
      <c r="CY18" s="4763">
        <f t="shared" si="25"/>
        <v>0</v>
      </c>
      <c r="CZ18" s="4763">
        <f t="shared" si="25"/>
        <v>0</v>
      </c>
      <c r="DA18" s="4763">
        <f t="shared" si="25"/>
        <v>0</v>
      </c>
      <c r="DB18" s="4763">
        <f t="shared" si="25"/>
        <v>0</v>
      </c>
      <c r="DC18" s="4763">
        <f t="shared" si="25"/>
        <v>0</v>
      </c>
      <c r="DD18" s="4763">
        <f t="shared" si="25"/>
        <v>0</v>
      </c>
      <c r="DE18" s="4763">
        <f t="shared" si="25"/>
        <v>0</v>
      </c>
      <c r="DF18" s="4763">
        <f t="shared" si="25"/>
        <v>0</v>
      </c>
      <c r="DG18" s="4763">
        <f t="shared" si="25"/>
        <v>0</v>
      </c>
      <c r="DH18" s="4763">
        <f t="shared" si="25"/>
        <v>0</v>
      </c>
      <c r="DI18" s="4763">
        <f t="shared" si="25"/>
        <v>0</v>
      </c>
      <c r="DJ18" s="4763">
        <f t="shared" si="25"/>
        <v>0</v>
      </c>
      <c r="DK18" s="4763">
        <f t="shared" si="25"/>
        <v>0</v>
      </c>
      <c r="DL18" s="4763">
        <f t="shared" si="25"/>
        <v>0</v>
      </c>
      <c r="DM18" s="4763">
        <f t="shared" si="25"/>
        <v>0</v>
      </c>
      <c r="DN18" s="4763">
        <f t="shared" si="25"/>
        <v>0</v>
      </c>
      <c r="DO18" s="4763">
        <f t="shared" si="25"/>
        <v>0</v>
      </c>
      <c r="DP18" s="4763">
        <f t="shared" si="25"/>
        <v>0</v>
      </c>
      <c r="DQ18" s="4763">
        <f t="shared" si="25"/>
        <v>0</v>
      </c>
      <c r="DR18" s="4763">
        <f t="shared" si="25"/>
        <v>0</v>
      </c>
      <c r="DS18" s="4763">
        <f t="shared" si="25"/>
        <v>0</v>
      </c>
      <c r="DT18" s="4763">
        <f t="shared" si="25"/>
        <v>0</v>
      </c>
      <c r="DU18" s="4763">
        <f t="shared" si="25"/>
        <v>0</v>
      </c>
      <c r="DV18" s="4763">
        <f t="shared" si="25"/>
        <v>0</v>
      </c>
      <c r="DW18" s="4763">
        <f t="shared" si="25"/>
        <v>0</v>
      </c>
      <c r="DX18" s="4763">
        <f t="shared" si="25"/>
        <v>0</v>
      </c>
      <c r="DY18" s="4763">
        <f t="shared" si="25"/>
        <v>0</v>
      </c>
      <c r="DZ18" s="4763">
        <f t="shared" si="25"/>
        <v>0</v>
      </c>
      <c r="EA18" s="4763">
        <f t="shared" si="25"/>
        <v>0</v>
      </c>
      <c r="EB18" s="4763">
        <f t="shared" si="25"/>
        <v>0</v>
      </c>
      <c r="EC18" s="4763">
        <f t="shared" si="25"/>
        <v>0</v>
      </c>
      <c r="ED18" s="4763">
        <f t="shared" si="25"/>
        <v>0</v>
      </c>
      <c r="EE18" s="4763">
        <f t="shared" si="25"/>
        <v>0</v>
      </c>
      <c r="EF18" s="4763">
        <f t="shared" si="25"/>
        <v>0</v>
      </c>
      <c r="EG18" s="4763">
        <f t="shared" si="25"/>
        <v>0</v>
      </c>
      <c r="EH18" s="4763">
        <f t="shared" ref="EH18:GE18" si="26">EG18+EG19-EG20</f>
        <v>0</v>
      </c>
      <c r="EI18" s="4763">
        <f t="shared" si="26"/>
        <v>0</v>
      </c>
      <c r="EJ18" s="4763">
        <f t="shared" si="26"/>
        <v>0</v>
      </c>
      <c r="EK18" s="4763">
        <f t="shared" si="26"/>
        <v>0</v>
      </c>
      <c r="EL18" s="4763">
        <f t="shared" si="26"/>
        <v>0</v>
      </c>
      <c r="EM18" s="4763">
        <f t="shared" si="26"/>
        <v>0</v>
      </c>
      <c r="EN18" s="4763">
        <f t="shared" si="26"/>
        <v>0</v>
      </c>
      <c r="EO18" s="4763">
        <f t="shared" si="26"/>
        <v>0</v>
      </c>
      <c r="EP18" s="4763">
        <f t="shared" si="26"/>
        <v>0</v>
      </c>
      <c r="EQ18" s="4763">
        <f t="shared" si="26"/>
        <v>0</v>
      </c>
      <c r="ER18" s="4763">
        <f t="shared" si="26"/>
        <v>0</v>
      </c>
      <c r="ES18" s="4763">
        <f t="shared" si="26"/>
        <v>0</v>
      </c>
      <c r="ET18" s="4763">
        <f t="shared" si="26"/>
        <v>0</v>
      </c>
      <c r="EU18" s="4763">
        <f t="shared" si="26"/>
        <v>0</v>
      </c>
      <c r="EV18" s="4763">
        <f t="shared" si="26"/>
        <v>0</v>
      </c>
      <c r="EW18" s="4763">
        <f t="shared" si="26"/>
        <v>0</v>
      </c>
      <c r="EX18" s="4763">
        <f t="shared" si="26"/>
        <v>0</v>
      </c>
      <c r="EY18" s="4763">
        <f t="shared" si="26"/>
        <v>0</v>
      </c>
      <c r="EZ18" s="4763">
        <f t="shared" si="26"/>
        <v>0</v>
      </c>
      <c r="FA18" s="4763">
        <f t="shared" si="26"/>
        <v>0</v>
      </c>
      <c r="FB18" s="4763">
        <f t="shared" si="26"/>
        <v>0</v>
      </c>
      <c r="FC18" s="4763">
        <f t="shared" si="26"/>
        <v>0</v>
      </c>
      <c r="FD18" s="4763">
        <f t="shared" si="26"/>
        <v>0</v>
      </c>
      <c r="FE18" s="4763">
        <f t="shared" si="26"/>
        <v>0</v>
      </c>
      <c r="FF18" s="4763">
        <f t="shared" si="26"/>
        <v>0</v>
      </c>
      <c r="FG18" s="4763">
        <f t="shared" si="26"/>
        <v>0</v>
      </c>
      <c r="FH18" s="4763">
        <f t="shared" si="26"/>
        <v>0</v>
      </c>
      <c r="FI18" s="4763">
        <f t="shared" si="26"/>
        <v>0</v>
      </c>
      <c r="FJ18" s="4763">
        <f t="shared" si="26"/>
        <v>0</v>
      </c>
      <c r="FK18" s="4763">
        <f t="shared" si="26"/>
        <v>0</v>
      </c>
      <c r="FL18" s="4763">
        <f t="shared" si="26"/>
        <v>0</v>
      </c>
      <c r="FM18" s="4763">
        <f t="shared" si="26"/>
        <v>0</v>
      </c>
      <c r="FN18" s="4763">
        <f t="shared" si="26"/>
        <v>0</v>
      </c>
      <c r="FO18" s="4763">
        <f t="shared" si="26"/>
        <v>0</v>
      </c>
      <c r="FP18" s="4763">
        <f t="shared" si="26"/>
        <v>0</v>
      </c>
      <c r="FQ18" s="4763">
        <f t="shared" si="26"/>
        <v>0</v>
      </c>
      <c r="FR18" s="4763">
        <f t="shared" si="26"/>
        <v>0</v>
      </c>
      <c r="FS18" s="4763">
        <f t="shared" si="26"/>
        <v>0</v>
      </c>
      <c r="FT18" s="4763">
        <f t="shared" si="26"/>
        <v>0</v>
      </c>
      <c r="FU18" s="4763">
        <f t="shared" si="26"/>
        <v>0</v>
      </c>
      <c r="FV18" s="4763">
        <f t="shared" si="26"/>
        <v>0</v>
      </c>
      <c r="FW18" s="4763">
        <f t="shared" si="26"/>
        <v>0</v>
      </c>
      <c r="FX18" s="4763">
        <f t="shared" si="26"/>
        <v>0</v>
      </c>
      <c r="FY18" s="4763">
        <f t="shared" si="26"/>
        <v>0</v>
      </c>
      <c r="FZ18" s="4763">
        <f t="shared" si="26"/>
        <v>0</v>
      </c>
      <c r="GA18" s="4763">
        <f t="shared" si="26"/>
        <v>0</v>
      </c>
      <c r="GB18" s="4763">
        <f t="shared" si="26"/>
        <v>0</v>
      </c>
      <c r="GC18" s="4763">
        <f t="shared" si="26"/>
        <v>0</v>
      </c>
      <c r="GD18" s="4763">
        <f t="shared" si="26"/>
        <v>0</v>
      </c>
      <c r="GE18" s="4763">
        <f t="shared" si="26"/>
        <v>0</v>
      </c>
    </row>
    <row r="19" spans="3:187" ht="13.5" customHeight="1">
      <c r="C19" s="4955"/>
      <c r="D19" s="4959" t="s">
        <v>5103</v>
      </c>
      <c r="E19" s="4773"/>
      <c r="F19" s="4762">
        <f>SUM(H19:FO19)</f>
        <v>0</v>
      </c>
      <c r="G19" s="4762"/>
      <c r="H19" s="4763"/>
      <c r="I19" s="4763"/>
      <c r="J19" s="4763"/>
      <c r="K19" s="4763"/>
      <c r="L19" s="4763"/>
      <c r="M19" s="4763"/>
      <c r="N19" s="4763"/>
      <c r="O19" s="4763"/>
      <c r="P19" s="4763"/>
      <c r="Q19" s="4763"/>
      <c r="R19" s="4763"/>
      <c r="S19" s="4763"/>
      <c r="T19" s="4762"/>
      <c r="U19" s="4763"/>
      <c r="V19" s="4763"/>
      <c r="W19" s="4763"/>
      <c r="X19" s="4763"/>
      <c r="Y19" s="4763"/>
      <c r="Z19" s="4763"/>
      <c r="AA19" s="4763"/>
      <c r="AB19" s="4763"/>
      <c r="AC19" s="4763"/>
      <c r="AD19" s="4763"/>
      <c r="AE19" s="4763"/>
      <c r="AF19" s="4763"/>
      <c r="AG19" s="4763"/>
      <c r="AH19" s="4763"/>
      <c r="AI19" s="4763"/>
      <c r="AJ19" s="4763"/>
      <c r="AK19" s="4763"/>
      <c r="AL19" s="4763"/>
      <c r="AM19" s="4763"/>
      <c r="AN19" s="4763"/>
      <c r="AO19" s="4763"/>
      <c r="AP19" s="4763"/>
      <c r="AQ19" s="4763"/>
      <c r="AR19" s="4763"/>
      <c r="AS19" s="4763"/>
      <c r="AT19" s="4763"/>
      <c r="AU19" s="4763"/>
      <c r="AV19" s="4763"/>
      <c r="AW19" s="4763"/>
      <c r="AX19" s="4763"/>
      <c r="AY19" s="4763"/>
      <c r="AZ19" s="4763"/>
      <c r="BA19" s="4763"/>
      <c r="BB19" s="4763"/>
      <c r="BC19" s="4763"/>
      <c r="BD19" s="4763"/>
      <c r="BE19" s="4763"/>
      <c r="BF19" s="4763"/>
      <c r="BG19" s="4763"/>
      <c r="BH19" s="4763"/>
      <c r="BI19" s="4763"/>
      <c r="BJ19" s="4763"/>
      <c r="BK19" s="4763"/>
      <c r="BL19" s="4763"/>
      <c r="BM19" s="4763"/>
      <c r="BN19" s="4763"/>
      <c r="BO19" s="4763"/>
      <c r="BP19" s="4763"/>
      <c r="BQ19" s="4763"/>
      <c r="BR19" s="4763"/>
      <c r="BS19" s="4763"/>
      <c r="BT19" s="4763"/>
      <c r="BU19" s="4763"/>
      <c r="BV19" s="4763"/>
      <c r="BW19" s="4763"/>
      <c r="BX19" s="4763"/>
      <c r="BY19" s="4763"/>
      <c r="BZ19" s="4763"/>
      <c r="CA19" s="4763"/>
      <c r="CB19" s="4763"/>
      <c r="CC19" s="4763"/>
      <c r="CD19" s="4763"/>
      <c r="CE19" s="4763"/>
      <c r="CF19" s="4763"/>
      <c r="CG19" s="4763"/>
      <c r="CH19" s="4763"/>
      <c r="CI19" s="4763"/>
      <c r="CJ19" s="4763"/>
      <c r="CK19" s="4763"/>
      <c r="CL19" s="4763"/>
      <c r="CM19" s="4763"/>
      <c r="CN19" s="4763"/>
      <c r="CO19" s="4763"/>
      <c r="CP19" s="4763"/>
      <c r="CQ19" s="4763"/>
      <c r="CR19" s="4763"/>
      <c r="CS19" s="4763"/>
      <c r="CT19" s="4763"/>
      <c r="CU19" s="4763"/>
      <c r="CV19" s="4763"/>
      <c r="CW19" s="4763"/>
      <c r="CX19" s="4763"/>
      <c r="CY19" s="4763"/>
      <c r="CZ19" s="4763"/>
      <c r="DA19" s="4763"/>
      <c r="DB19" s="4763"/>
      <c r="DC19" s="4763"/>
      <c r="DD19" s="4763"/>
      <c r="DE19" s="4763"/>
      <c r="DF19" s="4763"/>
      <c r="DG19" s="4763"/>
      <c r="DH19" s="4763"/>
      <c r="DI19" s="4763"/>
      <c r="DJ19" s="4763"/>
      <c r="DK19" s="4763"/>
      <c r="DL19" s="4763"/>
      <c r="DM19" s="4763"/>
      <c r="DN19" s="4763"/>
      <c r="DO19" s="4763"/>
      <c r="DP19" s="4763"/>
      <c r="DQ19" s="4763"/>
      <c r="DR19" s="4763"/>
      <c r="DS19" s="4763"/>
      <c r="DT19" s="4763"/>
      <c r="DU19" s="4763"/>
      <c r="DV19" s="4763"/>
      <c r="DW19" s="4763"/>
      <c r="DX19" s="4763"/>
      <c r="DY19" s="4763"/>
      <c r="DZ19" s="4763"/>
      <c r="EA19" s="4763"/>
      <c r="EB19" s="4763"/>
      <c r="EC19" s="4763"/>
      <c r="ED19" s="4763"/>
      <c r="EE19" s="4763"/>
      <c r="EF19" s="4763"/>
      <c r="EG19" s="4763"/>
      <c r="EH19" s="4763"/>
      <c r="EI19" s="4763"/>
      <c r="EJ19" s="4763"/>
      <c r="EK19" s="4763"/>
      <c r="EL19" s="4763"/>
      <c r="EM19" s="4763"/>
      <c r="EN19" s="4763"/>
      <c r="EO19" s="4763"/>
      <c r="EP19" s="4763"/>
      <c r="EQ19" s="4763"/>
      <c r="ER19" s="4763"/>
      <c r="ES19" s="4763"/>
      <c r="ET19" s="4763"/>
      <c r="EU19" s="4763"/>
      <c r="EV19" s="4763"/>
      <c r="EW19" s="4763"/>
      <c r="EX19" s="4763"/>
      <c r="EY19" s="4763"/>
      <c r="EZ19" s="4763"/>
      <c r="FA19" s="4763"/>
      <c r="FB19" s="4763"/>
      <c r="FC19" s="4763"/>
      <c r="FD19" s="4763"/>
      <c r="FE19" s="4763"/>
      <c r="FF19" s="4763"/>
      <c r="FG19" s="4763"/>
      <c r="FH19" s="4763"/>
      <c r="FI19" s="4763"/>
      <c r="FJ19" s="4763"/>
      <c r="FK19" s="4763"/>
      <c r="FL19" s="4763"/>
      <c r="FM19" s="4763"/>
      <c r="FN19" s="4763"/>
      <c r="FO19" s="4763"/>
      <c r="FP19" s="4763"/>
      <c r="FQ19" s="4763"/>
      <c r="FR19" s="4763"/>
      <c r="FS19" s="4763"/>
      <c r="FT19" s="4763"/>
      <c r="FU19" s="4763"/>
      <c r="FV19" s="4763"/>
      <c r="FW19" s="4763"/>
      <c r="FX19" s="4763"/>
      <c r="FY19" s="4763"/>
      <c r="FZ19" s="4763"/>
      <c r="GA19" s="4763"/>
      <c r="GB19" s="4763"/>
      <c r="GC19" s="4763"/>
      <c r="GD19" s="4763"/>
      <c r="GE19" s="4763"/>
    </row>
    <row r="20" spans="3:187" ht="13.5" customHeight="1">
      <c r="C20" s="4955"/>
      <c r="D20" s="4959" t="s">
        <v>5102</v>
      </c>
      <c r="E20" s="4773"/>
      <c r="F20" s="4763">
        <f>SUM(H20:FO20)</f>
        <v>107.125</v>
      </c>
      <c r="G20" s="4763"/>
      <c r="H20" s="4763">
        <f t="shared" ref="H20:AM20" si="27">H81*(H$4&lt;$D$6)+(H18+H19)*(H$4=$D$6)</f>
        <v>2.5</v>
      </c>
      <c r="I20" s="4763">
        <f t="shared" si="27"/>
        <v>2.5</v>
      </c>
      <c r="J20" s="4763">
        <f t="shared" si="27"/>
        <v>2.5</v>
      </c>
      <c r="K20" s="4763">
        <f t="shared" si="27"/>
        <v>2.625</v>
      </c>
      <c r="L20" s="4763">
        <f t="shared" si="27"/>
        <v>2.9375</v>
      </c>
      <c r="M20" s="4763">
        <f t="shared" si="27"/>
        <v>3</v>
      </c>
      <c r="N20" s="4763">
        <f t="shared" si="27"/>
        <v>3.0625</v>
      </c>
      <c r="O20" s="4763">
        <f t="shared" si="27"/>
        <v>3.125</v>
      </c>
      <c r="P20" s="4763">
        <f t="shared" si="27"/>
        <v>3.1875</v>
      </c>
      <c r="Q20" s="4763">
        <f t="shared" si="27"/>
        <v>3.25</v>
      </c>
      <c r="R20" s="4763">
        <f t="shared" si="27"/>
        <v>3.25</v>
      </c>
      <c r="S20" s="4763">
        <f t="shared" si="27"/>
        <v>3.3125</v>
      </c>
      <c r="T20" s="4763">
        <f t="shared" si="27"/>
        <v>2.9375</v>
      </c>
      <c r="U20" s="4763">
        <f t="shared" si="27"/>
        <v>2.9375</v>
      </c>
      <c r="V20" s="4763">
        <f t="shared" si="27"/>
        <v>3</v>
      </c>
      <c r="W20" s="4763">
        <f t="shared" si="27"/>
        <v>3.0625</v>
      </c>
      <c r="X20" s="4763">
        <f t="shared" si="27"/>
        <v>3.0625</v>
      </c>
      <c r="Y20" s="4763">
        <f t="shared" si="27"/>
        <v>3.0625</v>
      </c>
      <c r="Z20" s="4763">
        <f t="shared" si="27"/>
        <v>3.125</v>
      </c>
      <c r="AA20" s="4763">
        <f t="shared" si="27"/>
        <v>3.1875</v>
      </c>
      <c r="AB20" s="4763">
        <f t="shared" si="27"/>
        <v>2.875</v>
      </c>
      <c r="AC20" s="4763">
        <f t="shared" si="27"/>
        <v>2.9375</v>
      </c>
      <c r="AD20" s="4763">
        <f t="shared" si="27"/>
        <v>3.3125</v>
      </c>
      <c r="AE20" s="4763">
        <f t="shared" si="27"/>
        <v>3.375</v>
      </c>
      <c r="AF20" s="4763">
        <f t="shared" si="27"/>
        <v>3.9375</v>
      </c>
      <c r="AG20" s="4763">
        <f t="shared" si="27"/>
        <v>3.9375</v>
      </c>
      <c r="AH20" s="4763">
        <f t="shared" si="27"/>
        <v>4</v>
      </c>
      <c r="AI20" s="4763">
        <f t="shared" si="27"/>
        <v>4.0625</v>
      </c>
      <c r="AJ20" s="4763">
        <f t="shared" si="27"/>
        <v>2.5</v>
      </c>
      <c r="AK20" s="4763">
        <f t="shared" si="27"/>
        <v>2.875</v>
      </c>
      <c r="AL20" s="4763">
        <f t="shared" si="27"/>
        <v>2.9375</v>
      </c>
      <c r="AM20" s="4763">
        <f t="shared" si="27"/>
        <v>2.5</v>
      </c>
      <c r="AN20" s="4763">
        <f t="shared" ref="AN20:BS20" si="28">AN81*(AN$4&lt;$D$6)+(AN18+AN19)*(AN$4=$D$6)</f>
        <v>0.75</v>
      </c>
      <c r="AO20" s="4763">
        <f t="shared" si="28"/>
        <v>0.75</v>
      </c>
      <c r="AP20" s="4763">
        <f t="shared" si="28"/>
        <v>0.75</v>
      </c>
      <c r="AQ20" s="4763">
        <f t="shared" si="28"/>
        <v>0.75</v>
      </c>
      <c r="AR20" s="4763">
        <f t="shared" si="28"/>
        <v>0.75</v>
      </c>
      <c r="AS20" s="4763">
        <f t="shared" si="28"/>
        <v>0.75</v>
      </c>
      <c r="AT20" s="4763">
        <f t="shared" si="28"/>
        <v>0.75</v>
      </c>
      <c r="AU20" s="4763">
        <f t="shared" si="28"/>
        <v>0.75</v>
      </c>
      <c r="AV20" s="4763">
        <f t="shared" si="28"/>
        <v>0.75</v>
      </c>
      <c r="AW20" s="4763">
        <f t="shared" si="28"/>
        <v>0.75</v>
      </c>
      <c r="AX20" s="4763">
        <f t="shared" si="28"/>
        <v>0.75</v>
      </c>
      <c r="AY20" s="4763">
        <f t="shared" si="28"/>
        <v>0</v>
      </c>
      <c r="AZ20" s="4763">
        <f t="shared" si="28"/>
        <v>0</v>
      </c>
      <c r="BA20" s="4763">
        <f t="shared" si="28"/>
        <v>0</v>
      </c>
      <c r="BB20" s="4763">
        <f t="shared" si="28"/>
        <v>0</v>
      </c>
      <c r="BC20" s="4763">
        <f t="shared" si="28"/>
        <v>0</v>
      </c>
      <c r="BD20" s="4763">
        <f t="shared" si="28"/>
        <v>0</v>
      </c>
      <c r="BE20" s="4763">
        <f t="shared" si="28"/>
        <v>0</v>
      </c>
      <c r="BF20" s="4763">
        <f t="shared" si="28"/>
        <v>0</v>
      </c>
      <c r="BG20" s="4763">
        <f t="shared" si="28"/>
        <v>0</v>
      </c>
      <c r="BH20" s="4763">
        <f t="shared" si="28"/>
        <v>0</v>
      </c>
      <c r="BI20" s="4763">
        <f t="shared" si="28"/>
        <v>0</v>
      </c>
      <c r="BJ20" s="4763">
        <f t="shared" si="28"/>
        <v>0</v>
      </c>
      <c r="BK20" s="4763">
        <f t="shared" si="28"/>
        <v>0</v>
      </c>
      <c r="BL20" s="4763">
        <f t="shared" si="28"/>
        <v>0</v>
      </c>
      <c r="BM20" s="4763">
        <f t="shared" si="28"/>
        <v>0</v>
      </c>
      <c r="BN20" s="4763">
        <f t="shared" si="28"/>
        <v>0</v>
      </c>
      <c r="BO20" s="4763">
        <f t="shared" si="28"/>
        <v>0</v>
      </c>
      <c r="BP20" s="4763">
        <f t="shared" si="28"/>
        <v>0</v>
      </c>
      <c r="BQ20" s="4763">
        <f t="shared" si="28"/>
        <v>0</v>
      </c>
      <c r="BR20" s="4763">
        <f t="shared" si="28"/>
        <v>0</v>
      </c>
      <c r="BS20" s="4763">
        <f t="shared" si="28"/>
        <v>0</v>
      </c>
      <c r="BT20" s="4763">
        <f t="shared" ref="BT20:CY20" si="29">BT81*(BT$4&lt;$D$6)+(BT18+BT19)*(BT$4=$D$6)</f>
        <v>0</v>
      </c>
      <c r="BU20" s="4763">
        <f t="shared" si="29"/>
        <v>0</v>
      </c>
      <c r="BV20" s="4763">
        <f t="shared" si="29"/>
        <v>0</v>
      </c>
      <c r="BW20" s="4763">
        <f t="shared" si="29"/>
        <v>0</v>
      </c>
      <c r="BX20" s="4763">
        <f t="shared" si="29"/>
        <v>0</v>
      </c>
      <c r="BY20" s="4763">
        <f t="shared" si="29"/>
        <v>0</v>
      </c>
      <c r="BZ20" s="4763">
        <f t="shared" si="29"/>
        <v>0</v>
      </c>
      <c r="CA20" s="4763">
        <f t="shared" si="29"/>
        <v>0</v>
      </c>
      <c r="CB20" s="4763">
        <f t="shared" si="29"/>
        <v>0</v>
      </c>
      <c r="CC20" s="4763">
        <f t="shared" si="29"/>
        <v>0</v>
      </c>
      <c r="CD20" s="4763">
        <f t="shared" si="29"/>
        <v>0</v>
      </c>
      <c r="CE20" s="4763">
        <f t="shared" si="29"/>
        <v>0</v>
      </c>
      <c r="CF20" s="4763">
        <f t="shared" si="29"/>
        <v>0</v>
      </c>
      <c r="CG20" s="4763">
        <f t="shared" si="29"/>
        <v>0</v>
      </c>
      <c r="CH20" s="4763">
        <f t="shared" si="29"/>
        <v>0</v>
      </c>
      <c r="CI20" s="4763">
        <f t="shared" si="29"/>
        <v>0</v>
      </c>
      <c r="CJ20" s="4763">
        <f t="shared" si="29"/>
        <v>0</v>
      </c>
      <c r="CK20" s="4763">
        <f t="shared" si="29"/>
        <v>0</v>
      </c>
      <c r="CL20" s="4763">
        <f t="shared" si="29"/>
        <v>0</v>
      </c>
      <c r="CM20" s="4763">
        <f t="shared" si="29"/>
        <v>0</v>
      </c>
      <c r="CN20" s="4763">
        <f t="shared" si="29"/>
        <v>0</v>
      </c>
      <c r="CO20" s="4763">
        <f t="shared" si="29"/>
        <v>0</v>
      </c>
      <c r="CP20" s="4763">
        <f t="shared" si="29"/>
        <v>0</v>
      </c>
      <c r="CQ20" s="4763">
        <f t="shared" si="29"/>
        <v>0</v>
      </c>
      <c r="CR20" s="4763">
        <f t="shared" si="29"/>
        <v>0</v>
      </c>
      <c r="CS20" s="4763">
        <f t="shared" si="29"/>
        <v>0</v>
      </c>
      <c r="CT20" s="4763">
        <f t="shared" si="29"/>
        <v>0</v>
      </c>
      <c r="CU20" s="4763">
        <f t="shared" si="29"/>
        <v>0</v>
      </c>
      <c r="CV20" s="4763">
        <f t="shared" si="29"/>
        <v>0</v>
      </c>
      <c r="CW20" s="4763">
        <f t="shared" si="29"/>
        <v>0</v>
      </c>
      <c r="CX20" s="4763">
        <f t="shared" si="29"/>
        <v>0</v>
      </c>
      <c r="CY20" s="4763">
        <f t="shared" si="29"/>
        <v>0</v>
      </c>
      <c r="CZ20" s="4763">
        <f t="shared" ref="CZ20:EE20" si="30">CZ81*(CZ$4&lt;$D$6)+(CZ18+CZ19)*(CZ$4=$D$6)</f>
        <v>0</v>
      </c>
      <c r="DA20" s="4763">
        <f t="shared" si="30"/>
        <v>0</v>
      </c>
      <c r="DB20" s="4763">
        <f t="shared" si="30"/>
        <v>0</v>
      </c>
      <c r="DC20" s="4763">
        <f t="shared" si="30"/>
        <v>0</v>
      </c>
      <c r="DD20" s="4763">
        <f t="shared" si="30"/>
        <v>0</v>
      </c>
      <c r="DE20" s="4763">
        <f t="shared" si="30"/>
        <v>0</v>
      </c>
      <c r="DF20" s="4763">
        <f t="shared" si="30"/>
        <v>0</v>
      </c>
      <c r="DG20" s="4763">
        <f t="shared" si="30"/>
        <v>0</v>
      </c>
      <c r="DH20" s="4763">
        <f t="shared" si="30"/>
        <v>0</v>
      </c>
      <c r="DI20" s="4763">
        <f t="shared" si="30"/>
        <v>0</v>
      </c>
      <c r="DJ20" s="4763">
        <f t="shared" si="30"/>
        <v>0</v>
      </c>
      <c r="DK20" s="4763">
        <f t="shared" si="30"/>
        <v>0</v>
      </c>
      <c r="DL20" s="4763">
        <f t="shared" si="30"/>
        <v>0</v>
      </c>
      <c r="DM20" s="4763">
        <f t="shared" si="30"/>
        <v>0</v>
      </c>
      <c r="DN20" s="4763">
        <f t="shared" si="30"/>
        <v>0</v>
      </c>
      <c r="DO20" s="4763">
        <f t="shared" si="30"/>
        <v>0</v>
      </c>
      <c r="DP20" s="4763">
        <f t="shared" si="30"/>
        <v>0</v>
      </c>
      <c r="DQ20" s="4763">
        <f t="shared" si="30"/>
        <v>0</v>
      </c>
      <c r="DR20" s="4763">
        <f t="shared" si="30"/>
        <v>0</v>
      </c>
      <c r="DS20" s="4763">
        <f t="shared" si="30"/>
        <v>0</v>
      </c>
      <c r="DT20" s="4763">
        <f t="shared" si="30"/>
        <v>0</v>
      </c>
      <c r="DU20" s="4763">
        <f t="shared" si="30"/>
        <v>0</v>
      </c>
      <c r="DV20" s="4763">
        <f t="shared" si="30"/>
        <v>0</v>
      </c>
      <c r="DW20" s="4763">
        <f t="shared" si="30"/>
        <v>0</v>
      </c>
      <c r="DX20" s="4763">
        <f t="shared" si="30"/>
        <v>0</v>
      </c>
      <c r="DY20" s="4763">
        <f t="shared" si="30"/>
        <v>0</v>
      </c>
      <c r="DZ20" s="4763">
        <f t="shared" si="30"/>
        <v>0</v>
      </c>
      <c r="EA20" s="4763">
        <f t="shared" si="30"/>
        <v>0</v>
      </c>
      <c r="EB20" s="4763">
        <f t="shared" si="30"/>
        <v>0</v>
      </c>
      <c r="EC20" s="4763">
        <f t="shared" si="30"/>
        <v>0</v>
      </c>
      <c r="ED20" s="4763">
        <f t="shared" si="30"/>
        <v>0</v>
      </c>
      <c r="EE20" s="4763">
        <f t="shared" si="30"/>
        <v>0</v>
      </c>
      <c r="EF20" s="4763">
        <f t="shared" ref="EF20:FK20" si="31">EF81*(EF$4&lt;$D$6)+(EF18+EF19)*(EF$4=$D$6)</f>
        <v>0</v>
      </c>
      <c r="EG20" s="4763">
        <f t="shared" si="31"/>
        <v>0</v>
      </c>
      <c r="EH20" s="4763">
        <f t="shared" si="31"/>
        <v>0</v>
      </c>
      <c r="EI20" s="4763">
        <f t="shared" si="31"/>
        <v>0</v>
      </c>
      <c r="EJ20" s="4763">
        <f t="shared" si="31"/>
        <v>0</v>
      </c>
      <c r="EK20" s="4763">
        <f t="shared" si="31"/>
        <v>0</v>
      </c>
      <c r="EL20" s="4763">
        <f t="shared" si="31"/>
        <v>0</v>
      </c>
      <c r="EM20" s="4763">
        <f t="shared" si="31"/>
        <v>0</v>
      </c>
      <c r="EN20" s="4763">
        <f t="shared" si="31"/>
        <v>0</v>
      </c>
      <c r="EO20" s="4763">
        <f t="shared" si="31"/>
        <v>0</v>
      </c>
      <c r="EP20" s="4763">
        <f t="shared" si="31"/>
        <v>0</v>
      </c>
      <c r="EQ20" s="4763">
        <f t="shared" si="31"/>
        <v>0</v>
      </c>
      <c r="ER20" s="4763">
        <f t="shared" si="31"/>
        <v>0</v>
      </c>
      <c r="ES20" s="4763">
        <f t="shared" si="31"/>
        <v>0</v>
      </c>
      <c r="ET20" s="4763">
        <f t="shared" si="31"/>
        <v>0</v>
      </c>
      <c r="EU20" s="4763">
        <f t="shared" si="31"/>
        <v>0</v>
      </c>
      <c r="EV20" s="4763">
        <f t="shared" si="31"/>
        <v>0</v>
      </c>
      <c r="EW20" s="4763">
        <f t="shared" si="31"/>
        <v>0</v>
      </c>
      <c r="EX20" s="4763">
        <f t="shared" si="31"/>
        <v>0</v>
      </c>
      <c r="EY20" s="4763">
        <f t="shared" si="31"/>
        <v>0</v>
      </c>
      <c r="EZ20" s="4763">
        <f t="shared" si="31"/>
        <v>0</v>
      </c>
      <c r="FA20" s="4763">
        <f t="shared" si="31"/>
        <v>0</v>
      </c>
      <c r="FB20" s="4763">
        <f t="shared" si="31"/>
        <v>0</v>
      </c>
      <c r="FC20" s="4763">
        <f t="shared" si="31"/>
        <v>0</v>
      </c>
      <c r="FD20" s="4763">
        <f t="shared" si="31"/>
        <v>0</v>
      </c>
      <c r="FE20" s="4763">
        <f t="shared" si="31"/>
        <v>0</v>
      </c>
      <c r="FF20" s="4763">
        <f t="shared" si="31"/>
        <v>0</v>
      </c>
      <c r="FG20" s="4763">
        <f t="shared" si="31"/>
        <v>0</v>
      </c>
      <c r="FH20" s="4763">
        <f t="shared" si="31"/>
        <v>0</v>
      </c>
      <c r="FI20" s="4763">
        <f t="shared" si="31"/>
        <v>0</v>
      </c>
      <c r="FJ20" s="4763">
        <f t="shared" si="31"/>
        <v>0</v>
      </c>
      <c r="FK20" s="4763">
        <f t="shared" si="31"/>
        <v>0</v>
      </c>
      <c r="FL20" s="4763">
        <f t="shared" ref="FL20:GE20" si="32">FL81*(FL$4&lt;$D$6)+(FL18+FL19)*(FL$4=$D$6)</f>
        <v>0</v>
      </c>
      <c r="FM20" s="4763">
        <f t="shared" si="32"/>
        <v>0</v>
      </c>
      <c r="FN20" s="4763">
        <f t="shared" si="32"/>
        <v>0</v>
      </c>
      <c r="FO20" s="4763">
        <f t="shared" si="32"/>
        <v>0</v>
      </c>
      <c r="FP20" s="4763">
        <f t="shared" si="32"/>
        <v>0</v>
      </c>
      <c r="FQ20" s="4763">
        <f t="shared" si="32"/>
        <v>0</v>
      </c>
      <c r="FR20" s="4763">
        <f t="shared" si="32"/>
        <v>0</v>
      </c>
      <c r="FS20" s="4763">
        <f t="shared" si="32"/>
        <v>0</v>
      </c>
      <c r="FT20" s="4763">
        <f t="shared" si="32"/>
        <v>0</v>
      </c>
      <c r="FU20" s="4763">
        <f t="shared" si="32"/>
        <v>0</v>
      </c>
      <c r="FV20" s="4763">
        <f t="shared" si="32"/>
        <v>0</v>
      </c>
      <c r="FW20" s="4763">
        <f t="shared" si="32"/>
        <v>0</v>
      </c>
      <c r="FX20" s="4763">
        <f t="shared" si="32"/>
        <v>0</v>
      </c>
      <c r="FY20" s="4763">
        <f t="shared" si="32"/>
        <v>0</v>
      </c>
      <c r="FZ20" s="4763">
        <f t="shared" si="32"/>
        <v>0</v>
      </c>
      <c r="GA20" s="4763">
        <f t="shared" si="32"/>
        <v>0</v>
      </c>
      <c r="GB20" s="4763">
        <f t="shared" si="32"/>
        <v>0</v>
      </c>
      <c r="GC20" s="4763">
        <f t="shared" si="32"/>
        <v>0</v>
      </c>
      <c r="GD20" s="4763">
        <f t="shared" si="32"/>
        <v>0</v>
      </c>
      <c r="GE20" s="4763">
        <f t="shared" si="32"/>
        <v>0</v>
      </c>
    </row>
    <row r="21" spans="3:187" ht="13.5" customHeight="1" thickBot="1">
      <c r="C21" s="733"/>
      <c r="D21" s="4960" t="s">
        <v>238</v>
      </c>
      <c r="E21" s="4884"/>
      <c r="F21" s="4940">
        <f>SUM(H21:FO21)</f>
        <v>35.873999999999988</v>
      </c>
      <c r="G21" s="4940"/>
      <c r="H21" s="4940">
        <f>H18*Sensitivity!$L$14*H$44/12</f>
        <v>1.9282499999999996</v>
      </c>
      <c r="I21" s="4940">
        <f>I18*Sensitivity!$L$14*I$44/12</f>
        <v>1.8832499999999996</v>
      </c>
      <c r="J21" s="4940">
        <f>J18*Sensitivity!$L$14*J$44/12</f>
        <v>1.8382499999999997</v>
      </c>
      <c r="K21" s="4940">
        <f>K18*Sensitivity!$L$14*K$44/12</f>
        <v>1.7932499999999998</v>
      </c>
      <c r="L21" s="4940">
        <f>L18*Sensitivity!$L$14*L$44/12</f>
        <v>1.7459999999999998</v>
      </c>
      <c r="M21" s="4940">
        <f>M18*Sensitivity!$L$14*M$44/12</f>
        <v>1.6931249999999995</v>
      </c>
      <c r="N21" s="4940">
        <f>N18*Sensitivity!$L$14*N$44/12</f>
        <v>1.6391249999999999</v>
      </c>
      <c r="O21" s="4940">
        <f>O18*Sensitivity!$L$14*O$44/12</f>
        <v>1.5839999999999999</v>
      </c>
      <c r="P21" s="4940">
        <f>P18*Sensitivity!$L$14*P$44/12</f>
        <v>1.5277499999999999</v>
      </c>
      <c r="Q21" s="4940">
        <f>Q18*Sensitivity!$L$14*Q$44/12</f>
        <v>1.470375</v>
      </c>
      <c r="R21" s="4940">
        <f>R18*Sensitivity!$L$14*R$44/12</f>
        <v>1.411875</v>
      </c>
      <c r="S21" s="4940">
        <f>S18*Sensitivity!$L$14*S$44/12</f>
        <v>1.353375</v>
      </c>
      <c r="T21" s="4940">
        <f>T18*Sensitivity!$L$14*T$44/12</f>
        <v>1.29375</v>
      </c>
      <c r="U21" s="4940">
        <f>U18*Sensitivity!$L$14*U$44/12</f>
        <v>1.240875</v>
      </c>
      <c r="V21" s="4940">
        <f>V18*Sensitivity!$L$14*V$44/12</f>
        <v>1.1879999999999999</v>
      </c>
      <c r="W21" s="4940">
        <f>W18*Sensitivity!$L$14*W$44/12</f>
        <v>1.1339999999999999</v>
      </c>
      <c r="X21" s="4940">
        <f>X18*Sensitivity!$L$14*X$44/12</f>
        <v>1.078875</v>
      </c>
      <c r="Y21" s="4940">
        <f>Y18*Sensitivity!$L$14*Y$44/12</f>
        <v>1.0237499999999999</v>
      </c>
      <c r="Z21" s="4940">
        <f>Z18*Sensitivity!$L$14*Z$44/12</f>
        <v>0.96862499999999996</v>
      </c>
      <c r="AA21" s="4940">
        <f>AA18*Sensitivity!$L$14*AA$44/12</f>
        <v>0.91237499999999994</v>
      </c>
      <c r="AB21" s="4940">
        <f>AB18*Sensitivity!$L$14*AB$44/12</f>
        <v>0.85499999999999998</v>
      </c>
      <c r="AC21" s="4940">
        <f>AC18*Sensitivity!$L$14*AC$44/12</f>
        <v>0.80324999999999991</v>
      </c>
      <c r="AD21" s="4940">
        <f>AD18*Sensitivity!$L$14*AD$44/12</f>
        <v>0.7503749999999999</v>
      </c>
      <c r="AE21" s="4940">
        <f>AE18*Sensitivity!$L$14*AE$44/12</f>
        <v>0.69074999999999998</v>
      </c>
      <c r="AF21" s="4940">
        <f>AF18*Sensitivity!$L$14*AF$44/12</f>
        <v>0.63</v>
      </c>
      <c r="AG21" s="4940">
        <f>AG18*Sensitivity!$L$14*AG$44/12</f>
        <v>0.55912499999999998</v>
      </c>
      <c r="AH21" s="4940">
        <f>AH18*Sensitivity!$L$14*AH$44/12</f>
        <v>0.48825000000000002</v>
      </c>
      <c r="AI21" s="4940">
        <f>AI18*Sensitivity!$L$14*AI$44/12</f>
        <v>0.41624999999999995</v>
      </c>
      <c r="AJ21" s="4940">
        <f>AJ18*Sensitivity!$L$14*AJ$44/12</f>
        <v>0.34312499999999996</v>
      </c>
      <c r="AK21" s="4940">
        <f>AK18*Sensitivity!$L$14*AK$44/12</f>
        <v>0.29812499999999997</v>
      </c>
      <c r="AL21" s="4940">
        <f>AL18*Sensitivity!$L$14*AL$44/12</f>
        <v>0.24637499999999998</v>
      </c>
      <c r="AM21" s="4940">
        <f>AM18*Sensitivity!$L$14*AM$44/12</f>
        <v>0.19349999999999998</v>
      </c>
      <c r="AN21" s="4940">
        <f>AN18*Sensitivity!$L$14*AN$44/12</f>
        <v>0.14849999999999999</v>
      </c>
      <c r="AO21" s="4940">
        <f>AO18*Sensitivity!$L$14*AO$44/12</f>
        <v>0.13499999999999998</v>
      </c>
      <c r="AP21" s="4940">
        <f>AP18*Sensitivity!$L$14*AP$44/12</f>
        <v>0.1215</v>
      </c>
      <c r="AQ21" s="4940">
        <f>AQ18*Sensitivity!$L$14*AQ$44/12</f>
        <v>0.10799999999999998</v>
      </c>
      <c r="AR21" s="4940">
        <f>AR18*Sensitivity!$L$14*AR$44/12</f>
        <v>9.4499999999999987E-2</v>
      </c>
      <c r="AS21" s="4940">
        <f>AS18*Sensitivity!$L$14*AS$44/12</f>
        <v>8.0999999999999989E-2</v>
      </c>
      <c r="AT21" s="4940">
        <f>AT18*Sensitivity!$L$14*AT$44/12</f>
        <v>6.7499999999999991E-2</v>
      </c>
      <c r="AU21" s="4940">
        <f>AU18*Sensitivity!$L$14*AU$44/12</f>
        <v>5.3999999999999992E-2</v>
      </c>
      <c r="AV21" s="4940">
        <f>AV18*Sensitivity!$L$14*AV$44/12</f>
        <v>4.0499999999999994E-2</v>
      </c>
      <c r="AW21" s="4940">
        <f>AW18*Sensitivity!$L$14*AW$44/12</f>
        <v>2.6999999999999996E-2</v>
      </c>
      <c r="AX21" s="4940">
        <f>AX18*Sensitivity!$L$14*AX$44/12</f>
        <v>1.3499999999999998E-2</v>
      </c>
      <c r="AY21" s="4940">
        <f>AY18*Sensitivity!$L$14*AY$44/12</f>
        <v>0</v>
      </c>
      <c r="AZ21" s="4940">
        <f>AZ18*Sensitivity!$L$14*AZ$44/12</f>
        <v>0</v>
      </c>
      <c r="BA21" s="4940">
        <f>BA18*Sensitivity!$L$14*BA$44/12</f>
        <v>0</v>
      </c>
      <c r="BB21" s="4940">
        <f>BB18*Sensitivity!$L$14*BB$44/12</f>
        <v>0</v>
      </c>
      <c r="BC21" s="4940">
        <f>BC18*Sensitivity!$L$14*BC$44/12</f>
        <v>0</v>
      </c>
      <c r="BD21" s="4940">
        <f>BD18*Sensitivity!$L$14*BD$44/12</f>
        <v>0</v>
      </c>
      <c r="BE21" s="4940">
        <f>BE18*Sensitivity!$L$14*BE$44/12</f>
        <v>0</v>
      </c>
      <c r="BF21" s="4940">
        <f>BF18*Sensitivity!$L$14*BF$44/12</f>
        <v>0</v>
      </c>
      <c r="BG21" s="4940">
        <f>BG18*Sensitivity!$L$14*BG$44/12</f>
        <v>0</v>
      </c>
      <c r="BH21" s="4940">
        <f>BH18*Sensitivity!$L$14*BH$44/12</f>
        <v>0</v>
      </c>
      <c r="BI21" s="4940">
        <f>BI18*Sensitivity!$L$14*BI$44/12</f>
        <v>0</v>
      </c>
      <c r="BJ21" s="4940">
        <f>BJ18*Sensitivity!$L$14*BJ$44/12</f>
        <v>0</v>
      </c>
      <c r="BK21" s="4940">
        <f>BK18*Sensitivity!$L$14*BK$44/12</f>
        <v>0</v>
      </c>
      <c r="BL21" s="4940">
        <f>BL18*Sensitivity!$L$14*BL$44/12</f>
        <v>0</v>
      </c>
      <c r="BM21" s="4940">
        <f>BM18*Sensitivity!$L$14*BM$44/12</f>
        <v>0</v>
      </c>
      <c r="BN21" s="4940">
        <f>BN18*Sensitivity!$L$14*BN$44/12</f>
        <v>0</v>
      </c>
      <c r="BO21" s="4940">
        <f>BO18*Sensitivity!$L$14*BO$44/12</f>
        <v>0</v>
      </c>
      <c r="BP21" s="4940">
        <f>BP18*Sensitivity!$L$14*BP$44/12</f>
        <v>0</v>
      </c>
      <c r="BQ21" s="4940">
        <f>BQ18*Sensitivity!$L$14*BQ$44/12</f>
        <v>0</v>
      </c>
      <c r="BR21" s="4940">
        <f>BR18*Sensitivity!$L$14*BR$44/12</f>
        <v>0</v>
      </c>
      <c r="BS21" s="4940">
        <f>BS18*Sensitivity!$L$14*BS$44/12</f>
        <v>0</v>
      </c>
      <c r="BT21" s="4940">
        <f>BT18*Sensitivity!$L$14*BT$44/12</f>
        <v>0</v>
      </c>
      <c r="BU21" s="4940">
        <f>BU18*Sensitivity!$L$14*BU$44/12</f>
        <v>0</v>
      </c>
      <c r="BV21" s="4940">
        <f>BV18*Sensitivity!$L$14*BV$44/12</f>
        <v>0</v>
      </c>
      <c r="BW21" s="4940">
        <f>BW18*Sensitivity!$L$14*BW$44/12</f>
        <v>0</v>
      </c>
      <c r="BX21" s="4940">
        <f>BX18*Sensitivity!$L$14*BX$44/12</f>
        <v>0</v>
      </c>
      <c r="BY21" s="4940">
        <f>BY18*Sensitivity!$L$14*BY$44/12</f>
        <v>0</v>
      </c>
      <c r="BZ21" s="4940">
        <f>BZ18*Sensitivity!$L$14*BZ$44/12</f>
        <v>0</v>
      </c>
      <c r="CA21" s="4940">
        <f>CA18*Sensitivity!$L$14*CA$44/12</f>
        <v>0</v>
      </c>
      <c r="CB21" s="4940">
        <f>CB18*Sensitivity!$L$14*CB$44/12</f>
        <v>0</v>
      </c>
      <c r="CC21" s="4940">
        <f>CC18*Sensitivity!$L$14*CC$44/12</f>
        <v>0</v>
      </c>
      <c r="CD21" s="4940">
        <f>CD18*Sensitivity!$L$14*CD$44/12</f>
        <v>0</v>
      </c>
      <c r="CE21" s="4940">
        <f>CE18*Sensitivity!$L$14*CE$44/12</f>
        <v>0</v>
      </c>
      <c r="CF21" s="4940">
        <f>CF18*Sensitivity!$L$14*CF$44/12</f>
        <v>0</v>
      </c>
      <c r="CG21" s="4940">
        <f>CG18*Sensitivity!$L$14*CG$44/12</f>
        <v>0</v>
      </c>
      <c r="CH21" s="4940">
        <f>CH18*Sensitivity!$L$14*CH$44/12</f>
        <v>0</v>
      </c>
      <c r="CI21" s="4940">
        <f>CI18*Sensitivity!$L$14*CI$44/12</f>
        <v>0</v>
      </c>
      <c r="CJ21" s="4940">
        <f>CJ18*Sensitivity!$L$14*CJ$44/12</f>
        <v>0</v>
      </c>
      <c r="CK21" s="4940">
        <f>CK18*Sensitivity!$L$14*CK$44/12</f>
        <v>0</v>
      </c>
      <c r="CL21" s="4940">
        <f>CL18*Sensitivity!$L$14*CL$44/12</f>
        <v>0</v>
      </c>
      <c r="CM21" s="4940">
        <f>CM18*Sensitivity!$L$14*CM$44/12</f>
        <v>0</v>
      </c>
      <c r="CN21" s="4940">
        <f>CN18*Sensitivity!$L$14*CN$44/12</f>
        <v>0</v>
      </c>
      <c r="CO21" s="4940">
        <f>CO18*Sensitivity!$L$14*CO$44/12</f>
        <v>0</v>
      </c>
      <c r="CP21" s="4940">
        <f>CP18*Sensitivity!$L$14*CP$44/12</f>
        <v>0</v>
      </c>
      <c r="CQ21" s="4940">
        <f>CQ18*Sensitivity!$L$14*CQ$44/12</f>
        <v>0</v>
      </c>
      <c r="CR21" s="4940">
        <f>CR18*Sensitivity!$L$14*CR$44/12</f>
        <v>0</v>
      </c>
      <c r="CS21" s="4940">
        <f>CS18*Sensitivity!$L$14*CS$44/12</f>
        <v>0</v>
      </c>
      <c r="CT21" s="4940">
        <f>CT18*Sensitivity!$L$14*CT$44/12</f>
        <v>0</v>
      </c>
      <c r="CU21" s="4940">
        <f>CU18*Sensitivity!$L$14*CU$44/12</f>
        <v>0</v>
      </c>
      <c r="CV21" s="4940">
        <f>CV18*Sensitivity!$L$14*CV$44/12</f>
        <v>0</v>
      </c>
      <c r="CW21" s="4940">
        <f>CW18*Sensitivity!$L$14*CW$44/12</f>
        <v>0</v>
      </c>
      <c r="CX21" s="4940">
        <f>CX18*Sensitivity!$L$14*CX$44/12</f>
        <v>0</v>
      </c>
      <c r="CY21" s="4940">
        <f>CY18*Sensitivity!$L$14*CY$44/12</f>
        <v>0</v>
      </c>
      <c r="CZ21" s="4940">
        <f>CZ18*Sensitivity!$L$14*CZ$44/12</f>
        <v>0</v>
      </c>
      <c r="DA21" s="4940">
        <f>DA18*Sensitivity!$L$14*DA$44/12</f>
        <v>0</v>
      </c>
      <c r="DB21" s="4940">
        <f>DB18*Sensitivity!$L$14*DB$44/12</f>
        <v>0</v>
      </c>
      <c r="DC21" s="4940">
        <f>DC18*Sensitivity!$L$14*DC$44/12</f>
        <v>0</v>
      </c>
      <c r="DD21" s="4940">
        <f>DD18*Sensitivity!$L$14*DD$44/12</f>
        <v>0</v>
      </c>
      <c r="DE21" s="4940">
        <f>DE18*Sensitivity!$L$14*DE$44/12</f>
        <v>0</v>
      </c>
      <c r="DF21" s="4940">
        <f>DF18*Sensitivity!$L$14*DF$44/12</f>
        <v>0</v>
      </c>
      <c r="DG21" s="4940">
        <f>DG18*Sensitivity!$L$14*DG$44/12</f>
        <v>0</v>
      </c>
      <c r="DH21" s="4940">
        <f>DH18*Sensitivity!$L$14*DH$44/12</f>
        <v>0</v>
      </c>
      <c r="DI21" s="4940">
        <f>DI18*Sensitivity!$L$14*DI$44/12</f>
        <v>0</v>
      </c>
      <c r="DJ21" s="4940">
        <f>DJ18*Sensitivity!$L$14*DJ$44/12</f>
        <v>0</v>
      </c>
      <c r="DK21" s="4940">
        <f>DK18*Sensitivity!$L$14*DK$44/12</f>
        <v>0</v>
      </c>
      <c r="DL21" s="4940">
        <f>DL18*Sensitivity!$L$14*DL$44/12</f>
        <v>0</v>
      </c>
      <c r="DM21" s="4940">
        <f>DM18*Sensitivity!$L$14*DM$44/12</f>
        <v>0</v>
      </c>
      <c r="DN21" s="4940">
        <f>DN18*Sensitivity!$L$14*DN$44/12</f>
        <v>0</v>
      </c>
      <c r="DO21" s="4940">
        <f>DO18*Sensitivity!$L$14*DO$44/12</f>
        <v>0</v>
      </c>
      <c r="DP21" s="4940">
        <f>DP18*Sensitivity!$L$14*DP$44/12</f>
        <v>0</v>
      </c>
      <c r="DQ21" s="4940">
        <f>DQ18*Sensitivity!$L$14*DQ$44/12</f>
        <v>0</v>
      </c>
      <c r="DR21" s="4940">
        <f>DR18*Sensitivity!$L$14*DR$44/12</f>
        <v>0</v>
      </c>
      <c r="DS21" s="4940">
        <f>DS18*Sensitivity!$L$14*DS$44/12</f>
        <v>0</v>
      </c>
      <c r="DT21" s="4940">
        <f>DT18*Sensitivity!$L$14*DT$44/12</f>
        <v>0</v>
      </c>
      <c r="DU21" s="4940">
        <f>DU18*Sensitivity!$L$14*DU$44/12</f>
        <v>0</v>
      </c>
      <c r="DV21" s="4940">
        <f>DV18*Sensitivity!$L$14*DV$44/12</f>
        <v>0</v>
      </c>
      <c r="DW21" s="4940">
        <f>DW18*Sensitivity!$L$14*DW$44/12</f>
        <v>0</v>
      </c>
      <c r="DX21" s="4940">
        <f>DX18*Sensitivity!$L$14*DX$44/12</f>
        <v>0</v>
      </c>
      <c r="DY21" s="4940">
        <f>DY18*Sensitivity!$L$14*DY$44/12</f>
        <v>0</v>
      </c>
      <c r="DZ21" s="4940">
        <f>DZ18*Sensitivity!$L$14*DZ$44/12</f>
        <v>0</v>
      </c>
      <c r="EA21" s="4940">
        <f>EA18*Sensitivity!$L$14*EA$44/12</f>
        <v>0</v>
      </c>
      <c r="EB21" s="4940">
        <f>EB18*Sensitivity!$L$14*EB$44/12</f>
        <v>0</v>
      </c>
      <c r="EC21" s="4940">
        <f>EC18*Sensitivity!$L$14*EC$44/12</f>
        <v>0</v>
      </c>
      <c r="ED21" s="4940">
        <f>ED18*Sensitivity!$L$14*ED$44/12</f>
        <v>0</v>
      </c>
      <c r="EE21" s="4940">
        <f>EE18*Sensitivity!$L$14*EE$44/12</f>
        <v>0</v>
      </c>
      <c r="EF21" s="4940">
        <f>EF18*Sensitivity!$L$14*EF$44/12</f>
        <v>0</v>
      </c>
      <c r="EG21" s="4940">
        <f>EG18*Sensitivity!$L$14*EG$44/12</f>
        <v>0</v>
      </c>
      <c r="EH21" s="4940">
        <f>EH18*Sensitivity!$L$14*EH$44/12</f>
        <v>0</v>
      </c>
      <c r="EI21" s="4940">
        <f>EI18*Sensitivity!$L$14*EI$44/12</f>
        <v>0</v>
      </c>
      <c r="EJ21" s="4940">
        <f>EJ18*Sensitivity!$L$14*EJ$44/12</f>
        <v>0</v>
      </c>
      <c r="EK21" s="4940">
        <f>EK18*Sensitivity!$L$14*EK$44/12</f>
        <v>0</v>
      </c>
      <c r="EL21" s="4940">
        <f>EL18*Sensitivity!$L$14*EL$44/12</f>
        <v>0</v>
      </c>
      <c r="EM21" s="4940">
        <f>EM18*Sensitivity!$L$14*EM$44/12</f>
        <v>0</v>
      </c>
      <c r="EN21" s="4940">
        <f>EN18*Sensitivity!$L$14*EN$44/12</f>
        <v>0</v>
      </c>
      <c r="EO21" s="4940">
        <f>EO18*Sensitivity!$L$14*EO$44/12</f>
        <v>0</v>
      </c>
      <c r="EP21" s="4940">
        <f>EP18*Sensitivity!$L$14*EP$44/12</f>
        <v>0</v>
      </c>
      <c r="EQ21" s="4940">
        <f>EQ18*Sensitivity!$L$14*EQ$44/12</f>
        <v>0</v>
      </c>
      <c r="ER21" s="4940">
        <f>ER18*Sensitivity!$L$14*ER$44/12</f>
        <v>0</v>
      </c>
      <c r="ES21" s="4940">
        <f>ES18*Sensitivity!$L$14*ES$44/12</f>
        <v>0</v>
      </c>
      <c r="ET21" s="4940">
        <f>ET18*Sensitivity!$L$14*ET$44/12</f>
        <v>0</v>
      </c>
      <c r="EU21" s="4940">
        <f>EU18*Sensitivity!$L$14*EU$44/12</f>
        <v>0</v>
      </c>
      <c r="EV21" s="4940">
        <f>EV18*Sensitivity!$L$14*EV$44/12</f>
        <v>0</v>
      </c>
      <c r="EW21" s="4940">
        <f>EW18*Sensitivity!$L$14*EW$44/12</f>
        <v>0</v>
      </c>
      <c r="EX21" s="4940">
        <f>EX18*Sensitivity!$L$14*EX$44/12</f>
        <v>0</v>
      </c>
      <c r="EY21" s="4940">
        <f>EY18*Sensitivity!$L$14*EY$44/12</f>
        <v>0</v>
      </c>
      <c r="EZ21" s="4940">
        <f>EZ18*Sensitivity!$L$14*EZ$44/12</f>
        <v>0</v>
      </c>
      <c r="FA21" s="4940">
        <f>FA18*Sensitivity!$L$14*FA$44/12</f>
        <v>0</v>
      </c>
      <c r="FB21" s="4940">
        <f>FB18*Sensitivity!$L$14*FB$44/12</f>
        <v>0</v>
      </c>
      <c r="FC21" s="4940">
        <f>FC18*Sensitivity!$L$14*FC$44/12</f>
        <v>0</v>
      </c>
      <c r="FD21" s="4940">
        <f>FD18*Sensitivity!$L$14*FD$44/12</f>
        <v>0</v>
      </c>
      <c r="FE21" s="4940">
        <f>FE18*Sensitivity!$L$14*FE$44/12</f>
        <v>0</v>
      </c>
      <c r="FF21" s="4940">
        <f>FF18*Sensitivity!$L$14*FF$44/12</f>
        <v>0</v>
      </c>
      <c r="FG21" s="4940">
        <f>FG18*Sensitivity!$L$14*FG$44/12</f>
        <v>0</v>
      </c>
      <c r="FH21" s="4940">
        <f>FH18*Sensitivity!$L$14*FH$44/12</f>
        <v>0</v>
      </c>
      <c r="FI21" s="4940">
        <f>FI18*Sensitivity!$L$14*FI$44/12</f>
        <v>0</v>
      </c>
      <c r="FJ21" s="4940">
        <f>FJ18*Sensitivity!$L$14*FJ$44/12</f>
        <v>0</v>
      </c>
      <c r="FK21" s="4940">
        <f>FK18*Sensitivity!$L$14*FK$44/12</f>
        <v>0</v>
      </c>
      <c r="FL21" s="4940">
        <f>FL18*Sensitivity!$L$14*FL$44/12</f>
        <v>0</v>
      </c>
      <c r="FM21" s="4940">
        <f>FM18*Sensitivity!$L$14*FM$44/12</f>
        <v>0</v>
      </c>
      <c r="FN21" s="4940">
        <f>FN18*Sensitivity!$L$14*FN$44/12</f>
        <v>0</v>
      </c>
      <c r="FO21" s="4940">
        <f>FO18*Sensitivity!$L$14*FO$44/12</f>
        <v>0</v>
      </c>
      <c r="FP21" s="4940">
        <f>FP18*Sensitivity!$L$14*FP$44/12</f>
        <v>0</v>
      </c>
      <c r="FQ21" s="4940">
        <f>FQ18*Sensitivity!$L$14*FQ$44/12</f>
        <v>0</v>
      </c>
      <c r="FR21" s="4940">
        <f>FR18*Sensitivity!$L$14*FR$44/12</f>
        <v>0</v>
      </c>
      <c r="FS21" s="4940">
        <f>FS18*Sensitivity!$L$14*FS$44/12</f>
        <v>0</v>
      </c>
      <c r="FT21" s="4940">
        <f>FT18*Sensitivity!$L$14*FT$44/12</f>
        <v>0</v>
      </c>
      <c r="FU21" s="4940">
        <f>FU18*Sensitivity!$L$14*FU$44/12</f>
        <v>0</v>
      </c>
      <c r="FV21" s="4940">
        <f>FV18*Sensitivity!$L$14*FV$44/12</f>
        <v>0</v>
      </c>
      <c r="FW21" s="4940">
        <f>FW18*Sensitivity!$L$14*FW$44/12</f>
        <v>0</v>
      </c>
      <c r="FX21" s="4940">
        <f>FX18*Sensitivity!$L$14*FX$44/12</f>
        <v>0</v>
      </c>
      <c r="FY21" s="4940">
        <f>FY18*Sensitivity!$L$14*FY$44/12</f>
        <v>0</v>
      </c>
      <c r="FZ21" s="4940">
        <f>FZ18*Sensitivity!$L$14*FZ$44/12</f>
        <v>0</v>
      </c>
      <c r="GA21" s="4940">
        <f>GA18*Sensitivity!$L$14*GA$44/12</f>
        <v>0</v>
      </c>
      <c r="GB21" s="4940">
        <f>GB18*Sensitivity!$L$14*GB$44/12</f>
        <v>0</v>
      </c>
      <c r="GC21" s="4940">
        <f>GC18*Sensitivity!$L$14*GC$44/12</f>
        <v>0</v>
      </c>
      <c r="GD21" s="4940">
        <f>GD18*Sensitivity!$L$14*GD$44/12</f>
        <v>0</v>
      </c>
      <c r="GE21" s="4940">
        <f>GE18*Sensitivity!$L$14*GE$44/12</f>
        <v>0</v>
      </c>
    </row>
    <row r="22" spans="3:187" ht="13.5" customHeight="1" thickTop="1">
      <c r="C22" s="4938" t="str">
        <f>Sensitivity!I15</f>
        <v>장기C</v>
      </c>
      <c r="D22" s="952"/>
      <c r="E22" s="4931"/>
      <c r="F22" s="4939">
        <f>H23+F24-F25</f>
        <v>0</v>
      </c>
      <c r="G22" s="4939"/>
      <c r="H22" s="4938"/>
      <c r="I22" s="4938"/>
      <c r="J22" s="4938"/>
      <c r="K22" s="4938"/>
      <c r="L22" s="4938"/>
      <c r="M22" s="4938"/>
      <c r="N22" s="4938"/>
      <c r="O22" s="4938"/>
      <c r="P22" s="4938"/>
      <c r="Q22" s="4938"/>
      <c r="R22" s="4938"/>
      <c r="S22" s="4938"/>
      <c r="T22" s="4941"/>
      <c r="U22" s="4938"/>
      <c r="V22" s="4938"/>
      <c r="W22" s="4938"/>
      <c r="X22" s="4938"/>
      <c r="Y22" s="4938"/>
      <c r="Z22" s="4938"/>
      <c r="AA22" s="4938"/>
      <c r="AB22" s="4938"/>
      <c r="AC22" s="4938"/>
      <c r="AD22" s="4938"/>
      <c r="AE22" s="4938"/>
      <c r="AF22" s="4941"/>
      <c r="AG22" s="4938"/>
      <c r="AH22" s="4938"/>
      <c r="AI22" s="4938"/>
      <c r="AJ22" s="4938"/>
      <c r="AK22" s="4938"/>
      <c r="AL22" s="4938"/>
      <c r="AM22" s="4938"/>
      <c r="AN22" s="4938"/>
      <c r="AO22" s="4938"/>
      <c r="AP22" s="4938"/>
      <c r="AQ22" s="4938"/>
      <c r="AR22" s="4938"/>
      <c r="AS22" s="4938"/>
      <c r="AT22" s="4938"/>
      <c r="AU22" s="4938"/>
      <c r="AV22" s="4938"/>
      <c r="AW22" s="4938"/>
      <c r="AX22" s="4938"/>
      <c r="AY22" s="4938"/>
      <c r="AZ22" s="4938"/>
      <c r="BA22" s="4938"/>
      <c r="BB22" s="4938"/>
      <c r="BC22" s="4938"/>
      <c r="BD22" s="4938"/>
      <c r="BE22" s="4938"/>
      <c r="BF22" s="4938"/>
      <c r="BG22" s="4938"/>
      <c r="BH22" s="4938"/>
      <c r="BI22" s="4938"/>
      <c r="BJ22" s="4938"/>
      <c r="BK22" s="4938"/>
      <c r="BL22" s="4938"/>
      <c r="BM22" s="4938"/>
      <c r="BN22" s="4938"/>
      <c r="BO22" s="4938"/>
      <c r="BP22" s="4938"/>
      <c r="BQ22" s="4938"/>
      <c r="BR22" s="4938"/>
      <c r="BS22" s="4938"/>
      <c r="BT22" s="4938"/>
      <c r="BU22" s="4938"/>
      <c r="BV22" s="4938"/>
      <c r="BW22" s="4938"/>
      <c r="BX22" s="4938"/>
      <c r="BY22" s="4938"/>
      <c r="BZ22" s="4938"/>
      <c r="CA22" s="4938"/>
      <c r="CB22" s="4938"/>
      <c r="CC22" s="4938"/>
      <c r="CD22" s="4938"/>
      <c r="CE22" s="4938"/>
      <c r="CF22" s="4938"/>
      <c r="CG22" s="4938"/>
      <c r="CH22" s="4938"/>
      <c r="CI22" s="4938"/>
      <c r="CJ22" s="4938"/>
      <c r="CK22" s="4938"/>
      <c r="CL22" s="4938"/>
      <c r="CM22" s="4938"/>
      <c r="CN22" s="4938"/>
      <c r="CO22" s="4938"/>
      <c r="CP22" s="4938"/>
      <c r="CQ22" s="4938"/>
      <c r="CR22" s="4938"/>
      <c r="CS22" s="4938"/>
      <c r="CT22" s="4938"/>
      <c r="CU22" s="4938"/>
      <c r="CV22" s="4938"/>
      <c r="CW22" s="4938"/>
      <c r="CX22" s="4938"/>
      <c r="CY22" s="4938"/>
      <c r="CZ22" s="4938"/>
      <c r="DA22" s="4938"/>
      <c r="DB22" s="4938"/>
      <c r="DC22" s="4938"/>
      <c r="DD22" s="4938"/>
      <c r="DE22" s="4938"/>
      <c r="DF22" s="4938"/>
      <c r="DG22" s="4938"/>
      <c r="DH22" s="4938"/>
      <c r="DI22" s="4938"/>
      <c r="DJ22" s="4938"/>
      <c r="DK22" s="4938"/>
      <c r="DL22" s="4938"/>
      <c r="DM22" s="4938"/>
      <c r="DN22" s="4938"/>
      <c r="DO22" s="4938"/>
      <c r="DP22" s="4938"/>
      <c r="DQ22" s="4938"/>
      <c r="DR22" s="4938"/>
      <c r="DS22" s="4938"/>
      <c r="DT22" s="4938"/>
      <c r="DU22" s="4938"/>
      <c r="DV22" s="4938"/>
      <c r="DW22" s="4938"/>
      <c r="DX22" s="4938"/>
      <c r="DY22" s="4938"/>
      <c r="DZ22" s="4938"/>
      <c r="EA22" s="4938"/>
      <c r="EB22" s="4938"/>
      <c r="EC22" s="4938"/>
      <c r="ED22" s="4938"/>
      <c r="EE22" s="4938"/>
      <c r="EF22" s="4938"/>
      <c r="EG22" s="4938"/>
      <c r="EH22" s="4938"/>
      <c r="EI22" s="4938"/>
      <c r="EJ22" s="4938"/>
      <c r="EK22" s="4938"/>
      <c r="EL22" s="4938"/>
      <c r="EM22" s="4938"/>
      <c r="EN22" s="4938"/>
      <c r="EO22" s="4938"/>
      <c r="EP22" s="4938"/>
      <c r="EQ22" s="4938"/>
      <c r="ER22" s="4938"/>
      <c r="ES22" s="4938"/>
      <c r="ET22" s="4938"/>
      <c r="EU22" s="4938"/>
      <c r="EV22" s="4938"/>
      <c r="EW22" s="4938"/>
      <c r="EX22" s="4938"/>
      <c r="EY22" s="4938"/>
      <c r="EZ22" s="4938"/>
      <c r="FA22" s="4938"/>
      <c r="FB22" s="4938"/>
      <c r="FC22" s="4938"/>
      <c r="FD22" s="4938"/>
      <c r="FE22" s="4938"/>
      <c r="FF22" s="4938"/>
      <c r="FG22" s="4938"/>
      <c r="FH22" s="4938"/>
      <c r="FI22" s="4938"/>
      <c r="FJ22" s="4938"/>
      <c r="FK22" s="4938"/>
      <c r="FL22" s="4938"/>
      <c r="FM22" s="4938"/>
      <c r="FN22" s="4938"/>
      <c r="FO22" s="4938"/>
      <c r="FP22" s="4938"/>
      <c r="FQ22" s="4938"/>
      <c r="FR22" s="4938"/>
      <c r="FS22" s="4938"/>
      <c r="FT22" s="4938"/>
      <c r="FU22" s="4938"/>
      <c r="FV22" s="4938"/>
      <c r="FW22" s="4938"/>
      <c r="FX22" s="4938"/>
      <c r="FY22" s="4938"/>
      <c r="FZ22" s="4938"/>
      <c r="GA22" s="4938"/>
      <c r="GB22" s="4938"/>
      <c r="GC22" s="4938"/>
      <c r="GD22" s="4938"/>
      <c r="GE22" s="4938"/>
    </row>
    <row r="23" spans="3:187" ht="13.5" customHeight="1">
      <c r="C23" s="4954"/>
      <c r="D23" s="4959" t="s">
        <v>5101</v>
      </c>
      <c r="E23" s="4773"/>
      <c r="F23" s="4763"/>
      <c r="G23" s="4763"/>
      <c r="H23" s="4763">
        <f>H84</f>
        <v>112.24985999999998</v>
      </c>
      <c r="I23" s="4763">
        <f>H23+H24-H25</f>
        <v>109.63025999999998</v>
      </c>
      <c r="J23" s="4763">
        <f t="shared" ref="J23:BU23" si="33">I23+I24-I25</f>
        <v>107.01065999999997</v>
      </c>
      <c r="K23" s="4763">
        <f t="shared" si="33"/>
        <v>104.39105999999997</v>
      </c>
      <c r="L23" s="4763">
        <f t="shared" si="33"/>
        <v>101.64047999999997</v>
      </c>
      <c r="M23" s="4763">
        <f t="shared" si="33"/>
        <v>98.56244999999997</v>
      </c>
      <c r="N23" s="4763">
        <f t="shared" si="33"/>
        <v>95.418929999999975</v>
      </c>
      <c r="O23" s="4763">
        <f t="shared" si="33"/>
        <v>92.209919999999968</v>
      </c>
      <c r="P23" s="4763">
        <f t="shared" si="33"/>
        <v>88.935419999999965</v>
      </c>
      <c r="Q23" s="4763">
        <f t="shared" si="33"/>
        <v>85.595429999999965</v>
      </c>
      <c r="R23" s="4763">
        <f t="shared" si="33"/>
        <v>82.189949999999968</v>
      </c>
      <c r="S23" s="4763">
        <f t="shared" si="33"/>
        <v>78.78446999999997</v>
      </c>
      <c r="T23" s="4763">
        <f t="shared" si="33"/>
        <v>75.313499999999976</v>
      </c>
      <c r="U23" s="4763">
        <f t="shared" si="33"/>
        <v>72.235469999999978</v>
      </c>
      <c r="V23" s="4763">
        <f t="shared" si="33"/>
        <v>69.15743999999998</v>
      </c>
      <c r="W23" s="4763">
        <f t="shared" si="33"/>
        <v>66.013919999999985</v>
      </c>
      <c r="X23" s="4763">
        <f t="shared" si="33"/>
        <v>62.804909999999985</v>
      </c>
      <c r="Y23" s="4763">
        <f t="shared" si="33"/>
        <v>59.595899999999986</v>
      </c>
      <c r="Z23" s="4763">
        <f t="shared" si="33"/>
        <v>56.386889999999987</v>
      </c>
      <c r="AA23" s="4763">
        <f t="shared" si="33"/>
        <v>53.112389999999991</v>
      </c>
      <c r="AB23" s="4763">
        <f t="shared" si="33"/>
        <v>49.77239999999999</v>
      </c>
      <c r="AC23" s="4763">
        <f t="shared" si="33"/>
        <v>46.759859999999989</v>
      </c>
      <c r="AD23" s="4763">
        <f t="shared" si="33"/>
        <v>43.681829999999991</v>
      </c>
      <c r="AE23" s="4763">
        <f t="shared" si="33"/>
        <v>40.21085999999999</v>
      </c>
      <c r="AF23" s="4763">
        <f t="shared" si="33"/>
        <v>36.674399999999991</v>
      </c>
      <c r="AG23" s="4763">
        <f t="shared" si="33"/>
        <v>32.548529999999992</v>
      </c>
      <c r="AH23" s="4763">
        <f t="shared" si="33"/>
        <v>28.422659999999993</v>
      </c>
      <c r="AI23" s="4763">
        <f t="shared" si="33"/>
        <v>24.231299999999994</v>
      </c>
      <c r="AJ23" s="4763">
        <f t="shared" si="33"/>
        <v>19.974449999999994</v>
      </c>
      <c r="AK23" s="4763">
        <f t="shared" si="33"/>
        <v>17.354849999999995</v>
      </c>
      <c r="AL23" s="4763">
        <f t="shared" si="33"/>
        <v>14.342309999999996</v>
      </c>
      <c r="AM23" s="4763">
        <f t="shared" si="33"/>
        <v>11.264279999999996</v>
      </c>
      <c r="AN23" s="4763">
        <f t="shared" si="33"/>
        <v>8.6446799999999957</v>
      </c>
      <c r="AO23" s="4763">
        <f t="shared" si="33"/>
        <v>7.858799999999996</v>
      </c>
      <c r="AP23" s="4763">
        <f t="shared" si="33"/>
        <v>7.0729199999999963</v>
      </c>
      <c r="AQ23" s="4763">
        <f t="shared" si="33"/>
        <v>6.2870399999999966</v>
      </c>
      <c r="AR23" s="4763">
        <f t="shared" si="33"/>
        <v>5.5011599999999969</v>
      </c>
      <c r="AS23" s="4763">
        <f t="shared" si="33"/>
        <v>4.7152799999999973</v>
      </c>
      <c r="AT23" s="4763">
        <f t="shared" si="33"/>
        <v>3.9293999999999976</v>
      </c>
      <c r="AU23" s="4763">
        <f t="shared" si="33"/>
        <v>3.1435199999999979</v>
      </c>
      <c r="AV23" s="4763">
        <f t="shared" si="33"/>
        <v>2.3576399999999982</v>
      </c>
      <c r="AW23" s="4763">
        <f t="shared" si="33"/>
        <v>1.5717599999999983</v>
      </c>
      <c r="AX23" s="4763">
        <f t="shared" si="33"/>
        <v>0.78587999999999836</v>
      </c>
      <c r="AY23" s="4763">
        <f t="shared" si="33"/>
        <v>0</v>
      </c>
      <c r="AZ23" s="4763">
        <f t="shared" si="33"/>
        <v>0</v>
      </c>
      <c r="BA23" s="4763">
        <f t="shared" si="33"/>
        <v>0</v>
      </c>
      <c r="BB23" s="4763">
        <f t="shared" si="33"/>
        <v>0</v>
      </c>
      <c r="BC23" s="4763">
        <f t="shared" si="33"/>
        <v>0</v>
      </c>
      <c r="BD23" s="4763">
        <f t="shared" si="33"/>
        <v>0</v>
      </c>
      <c r="BE23" s="4763">
        <f t="shared" si="33"/>
        <v>0</v>
      </c>
      <c r="BF23" s="4763">
        <f t="shared" si="33"/>
        <v>0</v>
      </c>
      <c r="BG23" s="4763">
        <f t="shared" si="33"/>
        <v>0</v>
      </c>
      <c r="BH23" s="4763">
        <f t="shared" si="33"/>
        <v>0</v>
      </c>
      <c r="BI23" s="4763">
        <f t="shared" si="33"/>
        <v>0</v>
      </c>
      <c r="BJ23" s="4763">
        <f t="shared" si="33"/>
        <v>0</v>
      </c>
      <c r="BK23" s="4763">
        <f t="shared" si="33"/>
        <v>0</v>
      </c>
      <c r="BL23" s="4763">
        <f t="shared" si="33"/>
        <v>0</v>
      </c>
      <c r="BM23" s="4763">
        <f t="shared" si="33"/>
        <v>0</v>
      </c>
      <c r="BN23" s="4763">
        <f t="shared" si="33"/>
        <v>0</v>
      </c>
      <c r="BO23" s="4763">
        <f t="shared" si="33"/>
        <v>0</v>
      </c>
      <c r="BP23" s="4763">
        <f t="shared" si="33"/>
        <v>0</v>
      </c>
      <c r="BQ23" s="4763">
        <f t="shared" si="33"/>
        <v>0</v>
      </c>
      <c r="BR23" s="4763">
        <f t="shared" si="33"/>
        <v>0</v>
      </c>
      <c r="BS23" s="4763">
        <f t="shared" si="33"/>
        <v>0</v>
      </c>
      <c r="BT23" s="4763">
        <f t="shared" si="33"/>
        <v>0</v>
      </c>
      <c r="BU23" s="4763">
        <f t="shared" si="33"/>
        <v>0</v>
      </c>
      <c r="BV23" s="4763">
        <f t="shared" ref="BV23:EG23" si="34">BU23+BU24-BU25</f>
        <v>0</v>
      </c>
      <c r="BW23" s="4763">
        <f t="shared" si="34"/>
        <v>0</v>
      </c>
      <c r="BX23" s="4763">
        <f t="shared" si="34"/>
        <v>0</v>
      </c>
      <c r="BY23" s="4763">
        <f t="shared" si="34"/>
        <v>0</v>
      </c>
      <c r="BZ23" s="4763">
        <f t="shared" si="34"/>
        <v>0</v>
      </c>
      <c r="CA23" s="4763">
        <f t="shared" si="34"/>
        <v>0</v>
      </c>
      <c r="CB23" s="4763">
        <f t="shared" si="34"/>
        <v>0</v>
      </c>
      <c r="CC23" s="4763">
        <f t="shared" si="34"/>
        <v>0</v>
      </c>
      <c r="CD23" s="4763">
        <f t="shared" si="34"/>
        <v>0</v>
      </c>
      <c r="CE23" s="4763">
        <f t="shared" si="34"/>
        <v>0</v>
      </c>
      <c r="CF23" s="4763">
        <f t="shared" si="34"/>
        <v>0</v>
      </c>
      <c r="CG23" s="4763">
        <f t="shared" si="34"/>
        <v>0</v>
      </c>
      <c r="CH23" s="4763">
        <f t="shared" si="34"/>
        <v>0</v>
      </c>
      <c r="CI23" s="4763">
        <f t="shared" si="34"/>
        <v>0</v>
      </c>
      <c r="CJ23" s="4763">
        <f t="shared" si="34"/>
        <v>0</v>
      </c>
      <c r="CK23" s="4763">
        <f t="shared" si="34"/>
        <v>0</v>
      </c>
      <c r="CL23" s="4763">
        <f t="shared" si="34"/>
        <v>0</v>
      </c>
      <c r="CM23" s="4763">
        <f t="shared" si="34"/>
        <v>0</v>
      </c>
      <c r="CN23" s="4763">
        <f t="shared" si="34"/>
        <v>0</v>
      </c>
      <c r="CO23" s="4763">
        <f t="shared" si="34"/>
        <v>0</v>
      </c>
      <c r="CP23" s="4763">
        <f t="shared" si="34"/>
        <v>0</v>
      </c>
      <c r="CQ23" s="4763">
        <f t="shared" si="34"/>
        <v>0</v>
      </c>
      <c r="CR23" s="4763">
        <f t="shared" si="34"/>
        <v>0</v>
      </c>
      <c r="CS23" s="4763">
        <f t="shared" si="34"/>
        <v>0</v>
      </c>
      <c r="CT23" s="4763">
        <f t="shared" si="34"/>
        <v>0</v>
      </c>
      <c r="CU23" s="4763">
        <f t="shared" si="34"/>
        <v>0</v>
      </c>
      <c r="CV23" s="4763">
        <f t="shared" si="34"/>
        <v>0</v>
      </c>
      <c r="CW23" s="4763">
        <f t="shared" si="34"/>
        <v>0</v>
      </c>
      <c r="CX23" s="4763">
        <f t="shared" si="34"/>
        <v>0</v>
      </c>
      <c r="CY23" s="4763">
        <f t="shared" si="34"/>
        <v>0</v>
      </c>
      <c r="CZ23" s="4763">
        <f t="shared" si="34"/>
        <v>0</v>
      </c>
      <c r="DA23" s="4763">
        <f t="shared" si="34"/>
        <v>0</v>
      </c>
      <c r="DB23" s="4763">
        <f t="shared" si="34"/>
        <v>0</v>
      </c>
      <c r="DC23" s="4763">
        <f t="shared" si="34"/>
        <v>0</v>
      </c>
      <c r="DD23" s="4763">
        <f t="shared" si="34"/>
        <v>0</v>
      </c>
      <c r="DE23" s="4763">
        <f t="shared" si="34"/>
        <v>0</v>
      </c>
      <c r="DF23" s="4763">
        <f t="shared" si="34"/>
        <v>0</v>
      </c>
      <c r="DG23" s="4763">
        <f t="shared" si="34"/>
        <v>0</v>
      </c>
      <c r="DH23" s="4763">
        <f t="shared" si="34"/>
        <v>0</v>
      </c>
      <c r="DI23" s="4763">
        <f t="shared" si="34"/>
        <v>0</v>
      </c>
      <c r="DJ23" s="4763">
        <f t="shared" si="34"/>
        <v>0</v>
      </c>
      <c r="DK23" s="4763">
        <f t="shared" si="34"/>
        <v>0</v>
      </c>
      <c r="DL23" s="4763">
        <f t="shared" si="34"/>
        <v>0</v>
      </c>
      <c r="DM23" s="4763">
        <f t="shared" si="34"/>
        <v>0</v>
      </c>
      <c r="DN23" s="4763">
        <f t="shared" si="34"/>
        <v>0</v>
      </c>
      <c r="DO23" s="4763">
        <f t="shared" si="34"/>
        <v>0</v>
      </c>
      <c r="DP23" s="4763">
        <f t="shared" si="34"/>
        <v>0</v>
      </c>
      <c r="DQ23" s="4763">
        <f t="shared" si="34"/>
        <v>0</v>
      </c>
      <c r="DR23" s="4763">
        <f t="shared" si="34"/>
        <v>0</v>
      </c>
      <c r="DS23" s="4763">
        <f t="shared" si="34"/>
        <v>0</v>
      </c>
      <c r="DT23" s="4763">
        <f t="shared" si="34"/>
        <v>0</v>
      </c>
      <c r="DU23" s="4763">
        <f t="shared" si="34"/>
        <v>0</v>
      </c>
      <c r="DV23" s="4763">
        <f t="shared" si="34"/>
        <v>0</v>
      </c>
      <c r="DW23" s="4763">
        <f t="shared" si="34"/>
        <v>0</v>
      </c>
      <c r="DX23" s="4763">
        <f t="shared" si="34"/>
        <v>0</v>
      </c>
      <c r="DY23" s="4763">
        <f t="shared" si="34"/>
        <v>0</v>
      </c>
      <c r="DZ23" s="4763">
        <f t="shared" si="34"/>
        <v>0</v>
      </c>
      <c r="EA23" s="4763">
        <f t="shared" si="34"/>
        <v>0</v>
      </c>
      <c r="EB23" s="4763">
        <f t="shared" si="34"/>
        <v>0</v>
      </c>
      <c r="EC23" s="4763">
        <f t="shared" si="34"/>
        <v>0</v>
      </c>
      <c r="ED23" s="4763">
        <f t="shared" si="34"/>
        <v>0</v>
      </c>
      <c r="EE23" s="4763">
        <f t="shared" si="34"/>
        <v>0</v>
      </c>
      <c r="EF23" s="4763">
        <f t="shared" si="34"/>
        <v>0</v>
      </c>
      <c r="EG23" s="4763">
        <f t="shared" si="34"/>
        <v>0</v>
      </c>
      <c r="EH23" s="4763">
        <f t="shared" ref="EH23:GE23" si="35">EG23+EG24-EG25</f>
        <v>0</v>
      </c>
      <c r="EI23" s="4763">
        <f t="shared" si="35"/>
        <v>0</v>
      </c>
      <c r="EJ23" s="4763">
        <f t="shared" si="35"/>
        <v>0</v>
      </c>
      <c r="EK23" s="4763">
        <f t="shared" si="35"/>
        <v>0</v>
      </c>
      <c r="EL23" s="4763">
        <f t="shared" si="35"/>
        <v>0</v>
      </c>
      <c r="EM23" s="4763">
        <f t="shared" si="35"/>
        <v>0</v>
      </c>
      <c r="EN23" s="4763">
        <f t="shared" si="35"/>
        <v>0</v>
      </c>
      <c r="EO23" s="4763">
        <f t="shared" si="35"/>
        <v>0</v>
      </c>
      <c r="EP23" s="4763">
        <f t="shared" si="35"/>
        <v>0</v>
      </c>
      <c r="EQ23" s="4763">
        <f t="shared" si="35"/>
        <v>0</v>
      </c>
      <c r="ER23" s="4763">
        <f t="shared" si="35"/>
        <v>0</v>
      </c>
      <c r="ES23" s="4763">
        <f t="shared" si="35"/>
        <v>0</v>
      </c>
      <c r="ET23" s="4763">
        <f t="shared" si="35"/>
        <v>0</v>
      </c>
      <c r="EU23" s="4763">
        <f t="shared" si="35"/>
        <v>0</v>
      </c>
      <c r="EV23" s="4763">
        <f t="shared" si="35"/>
        <v>0</v>
      </c>
      <c r="EW23" s="4763">
        <f t="shared" si="35"/>
        <v>0</v>
      </c>
      <c r="EX23" s="4763">
        <f t="shared" si="35"/>
        <v>0</v>
      </c>
      <c r="EY23" s="4763">
        <f t="shared" si="35"/>
        <v>0</v>
      </c>
      <c r="EZ23" s="4763">
        <f t="shared" si="35"/>
        <v>0</v>
      </c>
      <c r="FA23" s="4763">
        <f t="shared" si="35"/>
        <v>0</v>
      </c>
      <c r="FB23" s="4763">
        <f t="shared" si="35"/>
        <v>0</v>
      </c>
      <c r="FC23" s="4763">
        <f t="shared" si="35"/>
        <v>0</v>
      </c>
      <c r="FD23" s="4763">
        <f t="shared" si="35"/>
        <v>0</v>
      </c>
      <c r="FE23" s="4763">
        <f t="shared" si="35"/>
        <v>0</v>
      </c>
      <c r="FF23" s="4763">
        <f t="shared" si="35"/>
        <v>0</v>
      </c>
      <c r="FG23" s="4763">
        <f t="shared" si="35"/>
        <v>0</v>
      </c>
      <c r="FH23" s="4763">
        <f t="shared" si="35"/>
        <v>0</v>
      </c>
      <c r="FI23" s="4763">
        <f t="shared" si="35"/>
        <v>0</v>
      </c>
      <c r="FJ23" s="4763">
        <f t="shared" si="35"/>
        <v>0</v>
      </c>
      <c r="FK23" s="4763">
        <f t="shared" si="35"/>
        <v>0</v>
      </c>
      <c r="FL23" s="4763">
        <f t="shared" si="35"/>
        <v>0</v>
      </c>
      <c r="FM23" s="4763">
        <f t="shared" si="35"/>
        <v>0</v>
      </c>
      <c r="FN23" s="4763">
        <f t="shared" si="35"/>
        <v>0</v>
      </c>
      <c r="FO23" s="4763">
        <f t="shared" si="35"/>
        <v>0</v>
      </c>
      <c r="FP23" s="4763">
        <f t="shared" si="35"/>
        <v>0</v>
      </c>
      <c r="FQ23" s="4763">
        <f t="shared" si="35"/>
        <v>0</v>
      </c>
      <c r="FR23" s="4763">
        <f t="shared" si="35"/>
        <v>0</v>
      </c>
      <c r="FS23" s="4763">
        <f t="shared" si="35"/>
        <v>0</v>
      </c>
      <c r="FT23" s="4763">
        <f t="shared" si="35"/>
        <v>0</v>
      </c>
      <c r="FU23" s="4763">
        <f t="shared" si="35"/>
        <v>0</v>
      </c>
      <c r="FV23" s="4763">
        <f t="shared" si="35"/>
        <v>0</v>
      </c>
      <c r="FW23" s="4763">
        <f t="shared" si="35"/>
        <v>0</v>
      </c>
      <c r="FX23" s="4763">
        <f t="shared" si="35"/>
        <v>0</v>
      </c>
      <c r="FY23" s="4763">
        <f t="shared" si="35"/>
        <v>0</v>
      </c>
      <c r="FZ23" s="4763">
        <f t="shared" si="35"/>
        <v>0</v>
      </c>
      <c r="GA23" s="4763">
        <f t="shared" si="35"/>
        <v>0</v>
      </c>
      <c r="GB23" s="4763">
        <f t="shared" si="35"/>
        <v>0</v>
      </c>
      <c r="GC23" s="4763">
        <f t="shared" si="35"/>
        <v>0</v>
      </c>
      <c r="GD23" s="4763">
        <f t="shared" si="35"/>
        <v>0</v>
      </c>
      <c r="GE23" s="4763">
        <f t="shared" si="35"/>
        <v>0</v>
      </c>
    </row>
    <row r="24" spans="3:187" ht="13.5" customHeight="1">
      <c r="C24" s="4955"/>
      <c r="D24" s="4959" t="s">
        <v>5103</v>
      </c>
      <c r="E24" s="4773"/>
      <c r="F24" s="4762">
        <f>SUM(H24:FO24)</f>
        <v>0</v>
      </c>
      <c r="G24" s="4762"/>
      <c r="H24" s="4763"/>
      <c r="I24" s="4763"/>
      <c r="J24" s="4763"/>
      <c r="K24" s="4763"/>
      <c r="L24" s="4763"/>
      <c r="M24" s="4763"/>
      <c r="N24" s="4763"/>
      <c r="O24" s="4763"/>
      <c r="P24" s="4763"/>
      <c r="Q24" s="4763"/>
      <c r="R24" s="4763"/>
      <c r="S24" s="4763"/>
      <c r="T24" s="4762"/>
      <c r="U24" s="4763"/>
      <c r="V24" s="4763"/>
      <c r="W24" s="4763"/>
      <c r="X24" s="4763"/>
      <c r="Y24" s="4763"/>
      <c r="Z24" s="4763"/>
      <c r="AA24" s="4763"/>
      <c r="AB24" s="4763"/>
      <c r="AC24" s="4763"/>
      <c r="AD24" s="4763"/>
      <c r="AE24" s="4763"/>
      <c r="AF24" s="4763"/>
      <c r="AG24" s="4763"/>
      <c r="AH24" s="4763"/>
      <c r="AI24" s="4763"/>
      <c r="AJ24" s="4763"/>
      <c r="AK24" s="4763"/>
      <c r="AL24" s="4763"/>
      <c r="AM24" s="4763"/>
      <c r="AN24" s="4763"/>
      <c r="AO24" s="4763"/>
      <c r="AP24" s="4763"/>
      <c r="AQ24" s="4763"/>
      <c r="AR24" s="4763"/>
      <c r="AS24" s="4763"/>
      <c r="AT24" s="4763"/>
      <c r="AU24" s="4763"/>
      <c r="AV24" s="4763"/>
      <c r="AW24" s="4763"/>
      <c r="AX24" s="4763"/>
      <c r="AY24" s="4763"/>
      <c r="AZ24" s="4763"/>
      <c r="BA24" s="4763"/>
      <c r="BB24" s="4763"/>
      <c r="BC24" s="4763"/>
      <c r="BD24" s="4763"/>
      <c r="BE24" s="4763"/>
      <c r="BF24" s="4763"/>
      <c r="BG24" s="4763"/>
      <c r="BH24" s="4763"/>
      <c r="BI24" s="4763"/>
      <c r="BJ24" s="4763"/>
      <c r="BK24" s="4763"/>
      <c r="BL24" s="4763"/>
      <c r="BM24" s="4763"/>
      <c r="BN24" s="4763"/>
      <c r="BO24" s="4763"/>
      <c r="BP24" s="4763"/>
      <c r="BQ24" s="4763"/>
      <c r="BR24" s="4763"/>
      <c r="BS24" s="4763"/>
      <c r="BT24" s="4763"/>
      <c r="BU24" s="4763"/>
      <c r="BV24" s="4763"/>
      <c r="BW24" s="4763"/>
      <c r="BX24" s="4763"/>
      <c r="BY24" s="4763"/>
      <c r="BZ24" s="4763"/>
      <c r="CA24" s="4763"/>
      <c r="CB24" s="4763"/>
      <c r="CC24" s="4763"/>
      <c r="CD24" s="4763"/>
      <c r="CE24" s="4763"/>
      <c r="CF24" s="4763"/>
      <c r="CG24" s="4763"/>
      <c r="CH24" s="4763"/>
      <c r="CI24" s="4763"/>
      <c r="CJ24" s="4763"/>
      <c r="CK24" s="4763"/>
      <c r="CL24" s="4763"/>
      <c r="CM24" s="4763"/>
      <c r="CN24" s="4763"/>
      <c r="CO24" s="4763"/>
      <c r="CP24" s="4763"/>
      <c r="CQ24" s="4763"/>
      <c r="CR24" s="4763"/>
      <c r="CS24" s="4763"/>
      <c r="CT24" s="4763"/>
      <c r="CU24" s="4763"/>
      <c r="CV24" s="4763"/>
      <c r="CW24" s="4763"/>
      <c r="CX24" s="4763"/>
      <c r="CY24" s="4763"/>
      <c r="CZ24" s="4763"/>
      <c r="DA24" s="4763"/>
      <c r="DB24" s="4763"/>
      <c r="DC24" s="4763"/>
      <c r="DD24" s="4763"/>
      <c r="DE24" s="4763"/>
      <c r="DF24" s="4763"/>
      <c r="DG24" s="4763"/>
      <c r="DH24" s="4763"/>
      <c r="DI24" s="4763"/>
      <c r="DJ24" s="4763"/>
      <c r="DK24" s="4763"/>
      <c r="DL24" s="4763"/>
      <c r="DM24" s="4763"/>
      <c r="DN24" s="4763"/>
      <c r="DO24" s="4763"/>
      <c r="DP24" s="4763"/>
      <c r="DQ24" s="4763"/>
      <c r="DR24" s="4763"/>
      <c r="DS24" s="4763"/>
      <c r="DT24" s="4763"/>
      <c r="DU24" s="4763"/>
      <c r="DV24" s="4763"/>
      <c r="DW24" s="4763"/>
      <c r="DX24" s="4763"/>
      <c r="DY24" s="4763"/>
      <c r="DZ24" s="4763"/>
      <c r="EA24" s="4763"/>
      <c r="EB24" s="4763"/>
      <c r="EC24" s="4763"/>
      <c r="ED24" s="4763"/>
      <c r="EE24" s="4763"/>
      <c r="EF24" s="4763"/>
      <c r="EG24" s="4763"/>
      <c r="EH24" s="4763"/>
      <c r="EI24" s="4763"/>
      <c r="EJ24" s="4763"/>
      <c r="EK24" s="4763"/>
      <c r="EL24" s="4763"/>
      <c r="EM24" s="4763"/>
      <c r="EN24" s="4763"/>
      <c r="EO24" s="4763"/>
      <c r="EP24" s="4763"/>
      <c r="EQ24" s="4763"/>
      <c r="ER24" s="4763"/>
      <c r="ES24" s="4763"/>
      <c r="ET24" s="4763"/>
      <c r="EU24" s="4763"/>
      <c r="EV24" s="4763"/>
      <c r="EW24" s="4763"/>
      <c r="EX24" s="4763"/>
      <c r="EY24" s="4763"/>
      <c r="EZ24" s="4763"/>
      <c r="FA24" s="4763"/>
      <c r="FB24" s="4763"/>
      <c r="FC24" s="4763"/>
      <c r="FD24" s="4763"/>
      <c r="FE24" s="4763"/>
      <c r="FF24" s="4763"/>
      <c r="FG24" s="4763"/>
      <c r="FH24" s="4763"/>
      <c r="FI24" s="4763"/>
      <c r="FJ24" s="4763"/>
      <c r="FK24" s="4763"/>
      <c r="FL24" s="4763"/>
      <c r="FM24" s="4763"/>
      <c r="FN24" s="4763"/>
      <c r="FO24" s="4763"/>
      <c r="FP24" s="4763"/>
      <c r="FQ24" s="4763"/>
      <c r="FR24" s="4763"/>
      <c r="FS24" s="4763"/>
      <c r="FT24" s="4763"/>
      <c r="FU24" s="4763"/>
      <c r="FV24" s="4763"/>
      <c r="FW24" s="4763"/>
      <c r="FX24" s="4763"/>
      <c r="FY24" s="4763"/>
      <c r="FZ24" s="4763"/>
      <c r="GA24" s="4763"/>
      <c r="GB24" s="4763"/>
      <c r="GC24" s="4763"/>
      <c r="GD24" s="4763"/>
      <c r="GE24" s="4763"/>
    </row>
    <row r="25" spans="3:187" ht="13.5" customHeight="1">
      <c r="C25" s="4955"/>
      <c r="D25" s="4959" t="s">
        <v>5102</v>
      </c>
      <c r="E25" s="4913"/>
      <c r="F25" s="4753">
        <f>SUM(H25:FO25)</f>
        <v>112.24986000000007</v>
      </c>
      <c r="G25" s="4753"/>
      <c r="H25" s="4763">
        <f t="shared" ref="H25:AM25" si="36">H85*(H$4&lt;$D$6)+(H23+H24)*(H$4=$D$6)</f>
        <v>2.6195999999999997</v>
      </c>
      <c r="I25" s="4753">
        <f t="shared" si="36"/>
        <v>2.6195999999999997</v>
      </c>
      <c r="J25" s="4753">
        <f t="shared" si="36"/>
        <v>2.6195999999999997</v>
      </c>
      <c r="K25" s="4753">
        <f t="shared" si="36"/>
        <v>2.7505799999999998</v>
      </c>
      <c r="L25" s="4753">
        <f t="shared" si="36"/>
        <v>3.07803</v>
      </c>
      <c r="M25" s="4753">
        <f t="shared" si="36"/>
        <v>3.1435199999999996</v>
      </c>
      <c r="N25" s="4753">
        <f t="shared" si="36"/>
        <v>3.2090100000000001</v>
      </c>
      <c r="O25" s="4753">
        <f t="shared" si="36"/>
        <v>3.2744999999999997</v>
      </c>
      <c r="P25" s="4753">
        <f t="shared" si="36"/>
        <v>3.3399899999999998</v>
      </c>
      <c r="Q25" s="4753">
        <f t="shared" si="36"/>
        <v>3.4054799999999998</v>
      </c>
      <c r="R25" s="4753">
        <f t="shared" si="36"/>
        <v>3.4054799999999998</v>
      </c>
      <c r="S25" s="4753">
        <f t="shared" si="36"/>
        <v>3.4709699999999999</v>
      </c>
      <c r="T25" s="4753">
        <f t="shared" si="36"/>
        <v>3.07803</v>
      </c>
      <c r="U25" s="4753">
        <f t="shared" si="36"/>
        <v>3.07803</v>
      </c>
      <c r="V25" s="4753">
        <f t="shared" si="36"/>
        <v>3.1435199999999996</v>
      </c>
      <c r="W25" s="4753">
        <f t="shared" si="36"/>
        <v>3.2090100000000001</v>
      </c>
      <c r="X25" s="4753">
        <f t="shared" si="36"/>
        <v>3.2090100000000001</v>
      </c>
      <c r="Y25" s="4753">
        <f t="shared" si="36"/>
        <v>3.2090100000000001</v>
      </c>
      <c r="Z25" s="4753">
        <f t="shared" si="36"/>
        <v>3.2744999999999997</v>
      </c>
      <c r="AA25" s="4753">
        <f t="shared" si="36"/>
        <v>3.3399899999999998</v>
      </c>
      <c r="AB25" s="4753">
        <f t="shared" si="36"/>
        <v>3.0125399999999996</v>
      </c>
      <c r="AC25" s="4753">
        <f t="shared" si="36"/>
        <v>3.07803</v>
      </c>
      <c r="AD25" s="4753">
        <f t="shared" si="36"/>
        <v>3.4709699999999999</v>
      </c>
      <c r="AE25" s="4753">
        <f t="shared" si="36"/>
        <v>3.5364599999999995</v>
      </c>
      <c r="AF25" s="4753">
        <f t="shared" si="36"/>
        <v>4.1258699999999999</v>
      </c>
      <c r="AG25" s="4753">
        <f t="shared" si="36"/>
        <v>4.1258699999999999</v>
      </c>
      <c r="AH25" s="4753">
        <f t="shared" si="36"/>
        <v>4.1913599999999995</v>
      </c>
      <c r="AI25" s="4753">
        <f t="shared" si="36"/>
        <v>4.25685</v>
      </c>
      <c r="AJ25" s="4753">
        <f t="shared" si="36"/>
        <v>2.6195999999999997</v>
      </c>
      <c r="AK25" s="4753">
        <f t="shared" si="36"/>
        <v>3.0125399999999996</v>
      </c>
      <c r="AL25" s="4753">
        <f t="shared" si="36"/>
        <v>3.07803</v>
      </c>
      <c r="AM25" s="4753">
        <f t="shared" si="36"/>
        <v>2.6195999999999997</v>
      </c>
      <c r="AN25" s="4753">
        <f t="shared" ref="AN25:BS25" si="37">AN85*(AN$4&lt;$D$6)+(AN23+AN24)*(AN$4=$D$6)</f>
        <v>0.78587999999999991</v>
      </c>
      <c r="AO25" s="4753">
        <f t="shared" si="37"/>
        <v>0.78587999999999991</v>
      </c>
      <c r="AP25" s="4753">
        <f t="shared" si="37"/>
        <v>0.78587999999999991</v>
      </c>
      <c r="AQ25" s="4753">
        <f t="shared" si="37"/>
        <v>0.78587999999999991</v>
      </c>
      <c r="AR25" s="4753">
        <f t="shared" si="37"/>
        <v>0.78587999999999991</v>
      </c>
      <c r="AS25" s="4753">
        <f t="shared" si="37"/>
        <v>0.78587999999999991</v>
      </c>
      <c r="AT25" s="4753">
        <f t="shared" si="37"/>
        <v>0.78587999999999991</v>
      </c>
      <c r="AU25" s="4753">
        <f t="shared" si="37"/>
        <v>0.78587999999999991</v>
      </c>
      <c r="AV25" s="4753">
        <f t="shared" si="37"/>
        <v>0.78587999999999991</v>
      </c>
      <c r="AW25" s="4753">
        <f t="shared" si="37"/>
        <v>0.78587999999999991</v>
      </c>
      <c r="AX25" s="4753">
        <f t="shared" si="37"/>
        <v>0.78587999999999836</v>
      </c>
      <c r="AY25" s="4753">
        <f t="shared" si="37"/>
        <v>0</v>
      </c>
      <c r="AZ25" s="4753">
        <f t="shared" si="37"/>
        <v>0</v>
      </c>
      <c r="BA25" s="4753">
        <f t="shared" si="37"/>
        <v>0</v>
      </c>
      <c r="BB25" s="4753">
        <f t="shared" si="37"/>
        <v>0</v>
      </c>
      <c r="BC25" s="4753">
        <f t="shared" si="37"/>
        <v>0</v>
      </c>
      <c r="BD25" s="4753">
        <f t="shared" si="37"/>
        <v>0</v>
      </c>
      <c r="BE25" s="4753">
        <f t="shared" si="37"/>
        <v>0</v>
      </c>
      <c r="BF25" s="4753">
        <f t="shared" si="37"/>
        <v>0</v>
      </c>
      <c r="BG25" s="4753">
        <f t="shared" si="37"/>
        <v>0</v>
      </c>
      <c r="BH25" s="4753">
        <f t="shared" si="37"/>
        <v>0</v>
      </c>
      <c r="BI25" s="4753">
        <f t="shared" si="37"/>
        <v>0</v>
      </c>
      <c r="BJ25" s="4753">
        <f t="shared" si="37"/>
        <v>0</v>
      </c>
      <c r="BK25" s="4753">
        <f t="shared" si="37"/>
        <v>0</v>
      </c>
      <c r="BL25" s="4753">
        <f t="shared" si="37"/>
        <v>0</v>
      </c>
      <c r="BM25" s="4753">
        <f t="shared" si="37"/>
        <v>0</v>
      </c>
      <c r="BN25" s="4753">
        <f t="shared" si="37"/>
        <v>0</v>
      </c>
      <c r="BO25" s="4753">
        <f t="shared" si="37"/>
        <v>0</v>
      </c>
      <c r="BP25" s="4753">
        <f t="shared" si="37"/>
        <v>0</v>
      </c>
      <c r="BQ25" s="4753">
        <f t="shared" si="37"/>
        <v>0</v>
      </c>
      <c r="BR25" s="4753">
        <f t="shared" si="37"/>
        <v>0</v>
      </c>
      <c r="BS25" s="4753">
        <f t="shared" si="37"/>
        <v>0</v>
      </c>
      <c r="BT25" s="4753">
        <f t="shared" ref="BT25:CY25" si="38">BT85*(BT$4&lt;$D$6)+(BT23+BT24)*(BT$4=$D$6)</f>
        <v>0</v>
      </c>
      <c r="BU25" s="4753">
        <f t="shared" si="38"/>
        <v>0</v>
      </c>
      <c r="BV25" s="4753">
        <f t="shared" si="38"/>
        <v>0</v>
      </c>
      <c r="BW25" s="4753">
        <f t="shared" si="38"/>
        <v>0</v>
      </c>
      <c r="BX25" s="4753">
        <f t="shared" si="38"/>
        <v>0</v>
      </c>
      <c r="BY25" s="4753">
        <f t="shared" si="38"/>
        <v>0</v>
      </c>
      <c r="BZ25" s="4753">
        <f t="shared" si="38"/>
        <v>0</v>
      </c>
      <c r="CA25" s="4753">
        <f t="shared" si="38"/>
        <v>0</v>
      </c>
      <c r="CB25" s="4753">
        <f t="shared" si="38"/>
        <v>0</v>
      </c>
      <c r="CC25" s="4753">
        <f t="shared" si="38"/>
        <v>0</v>
      </c>
      <c r="CD25" s="4753">
        <f t="shared" si="38"/>
        <v>0</v>
      </c>
      <c r="CE25" s="4753">
        <f t="shared" si="38"/>
        <v>0</v>
      </c>
      <c r="CF25" s="4753">
        <f t="shared" si="38"/>
        <v>0</v>
      </c>
      <c r="CG25" s="4753">
        <f t="shared" si="38"/>
        <v>0</v>
      </c>
      <c r="CH25" s="4753">
        <f t="shared" si="38"/>
        <v>0</v>
      </c>
      <c r="CI25" s="4753">
        <f t="shared" si="38"/>
        <v>0</v>
      </c>
      <c r="CJ25" s="4753">
        <f t="shared" si="38"/>
        <v>0</v>
      </c>
      <c r="CK25" s="4753">
        <f t="shared" si="38"/>
        <v>0</v>
      </c>
      <c r="CL25" s="4753">
        <f t="shared" si="38"/>
        <v>0</v>
      </c>
      <c r="CM25" s="4753">
        <f t="shared" si="38"/>
        <v>0</v>
      </c>
      <c r="CN25" s="4753">
        <f t="shared" si="38"/>
        <v>0</v>
      </c>
      <c r="CO25" s="4753">
        <f t="shared" si="38"/>
        <v>0</v>
      </c>
      <c r="CP25" s="4753">
        <f t="shared" si="38"/>
        <v>0</v>
      </c>
      <c r="CQ25" s="4753">
        <f t="shared" si="38"/>
        <v>0</v>
      </c>
      <c r="CR25" s="4753">
        <f t="shared" si="38"/>
        <v>0</v>
      </c>
      <c r="CS25" s="4753">
        <f t="shared" si="38"/>
        <v>0</v>
      </c>
      <c r="CT25" s="4753">
        <f t="shared" si="38"/>
        <v>0</v>
      </c>
      <c r="CU25" s="4753">
        <f t="shared" si="38"/>
        <v>0</v>
      </c>
      <c r="CV25" s="4753">
        <f t="shared" si="38"/>
        <v>0</v>
      </c>
      <c r="CW25" s="4753">
        <f t="shared" si="38"/>
        <v>0</v>
      </c>
      <c r="CX25" s="4753">
        <f t="shared" si="38"/>
        <v>0</v>
      </c>
      <c r="CY25" s="4753">
        <f t="shared" si="38"/>
        <v>0</v>
      </c>
      <c r="CZ25" s="4753">
        <f t="shared" ref="CZ25:EE25" si="39">CZ85*(CZ$4&lt;$D$6)+(CZ23+CZ24)*(CZ$4=$D$6)</f>
        <v>0</v>
      </c>
      <c r="DA25" s="4753">
        <f t="shared" si="39"/>
        <v>0</v>
      </c>
      <c r="DB25" s="4753">
        <f t="shared" si="39"/>
        <v>0</v>
      </c>
      <c r="DC25" s="4753">
        <f t="shared" si="39"/>
        <v>0</v>
      </c>
      <c r="DD25" s="4753">
        <f t="shared" si="39"/>
        <v>0</v>
      </c>
      <c r="DE25" s="4753">
        <f t="shared" si="39"/>
        <v>0</v>
      </c>
      <c r="DF25" s="4753">
        <f t="shared" si="39"/>
        <v>0</v>
      </c>
      <c r="DG25" s="4753">
        <f t="shared" si="39"/>
        <v>0</v>
      </c>
      <c r="DH25" s="4753">
        <f t="shared" si="39"/>
        <v>0</v>
      </c>
      <c r="DI25" s="4753">
        <f t="shared" si="39"/>
        <v>0</v>
      </c>
      <c r="DJ25" s="4753">
        <f t="shared" si="39"/>
        <v>0</v>
      </c>
      <c r="DK25" s="4753">
        <f t="shared" si="39"/>
        <v>0</v>
      </c>
      <c r="DL25" s="4753">
        <f t="shared" si="39"/>
        <v>0</v>
      </c>
      <c r="DM25" s="4753">
        <f t="shared" si="39"/>
        <v>0</v>
      </c>
      <c r="DN25" s="4753">
        <f t="shared" si="39"/>
        <v>0</v>
      </c>
      <c r="DO25" s="4753">
        <f t="shared" si="39"/>
        <v>0</v>
      </c>
      <c r="DP25" s="4753">
        <f t="shared" si="39"/>
        <v>0</v>
      </c>
      <c r="DQ25" s="4753">
        <f t="shared" si="39"/>
        <v>0</v>
      </c>
      <c r="DR25" s="4753">
        <f t="shared" si="39"/>
        <v>0</v>
      </c>
      <c r="DS25" s="4753">
        <f t="shared" si="39"/>
        <v>0</v>
      </c>
      <c r="DT25" s="4753">
        <f t="shared" si="39"/>
        <v>0</v>
      </c>
      <c r="DU25" s="4753">
        <f t="shared" si="39"/>
        <v>0</v>
      </c>
      <c r="DV25" s="4753">
        <f t="shared" si="39"/>
        <v>0</v>
      </c>
      <c r="DW25" s="4753">
        <f t="shared" si="39"/>
        <v>0</v>
      </c>
      <c r="DX25" s="4753">
        <f t="shared" si="39"/>
        <v>0</v>
      </c>
      <c r="DY25" s="4753">
        <f t="shared" si="39"/>
        <v>0</v>
      </c>
      <c r="DZ25" s="4753">
        <f t="shared" si="39"/>
        <v>0</v>
      </c>
      <c r="EA25" s="4753">
        <f t="shared" si="39"/>
        <v>0</v>
      </c>
      <c r="EB25" s="4753">
        <f t="shared" si="39"/>
        <v>0</v>
      </c>
      <c r="EC25" s="4753">
        <f t="shared" si="39"/>
        <v>0</v>
      </c>
      <c r="ED25" s="4753">
        <f t="shared" si="39"/>
        <v>0</v>
      </c>
      <c r="EE25" s="4753">
        <f t="shared" si="39"/>
        <v>0</v>
      </c>
      <c r="EF25" s="4753">
        <f t="shared" ref="EF25:FK25" si="40">EF85*(EF$4&lt;$D$6)+(EF23+EF24)*(EF$4=$D$6)</f>
        <v>0</v>
      </c>
      <c r="EG25" s="4753">
        <f t="shared" si="40"/>
        <v>0</v>
      </c>
      <c r="EH25" s="4753">
        <f t="shared" si="40"/>
        <v>0</v>
      </c>
      <c r="EI25" s="4753">
        <f t="shared" si="40"/>
        <v>0</v>
      </c>
      <c r="EJ25" s="4753">
        <f t="shared" si="40"/>
        <v>0</v>
      </c>
      <c r="EK25" s="4753">
        <f t="shared" si="40"/>
        <v>0</v>
      </c>
      <c r="EL25" s="4753">
        <f t="shared" si="40"/>
        <v>0</v>
      </c>
      <c r="EM25" s="4753">
        <f t="shared" si="40"/>
        <v>0</v>
      </c>
      <c r="EN25" s="4753">
        <f t="shared" si="40"/>
        <v>0</v>
      </c>
      <c r="EO25" s="4753">
        <f t="shared" si="40"/>
        <v>0</v>
      </c>
      <c r="EP25" s="4753">
        <f t="shared" si="40"/>
        <v>0</v>
      </c>
      <c r="EQ25" s="4753">
        <f t="shared" si="40"/>
        <v>0</v>
      </c>
      <c r="ER25" s="4753">
        <f t="shared" si="40"/>
        <v>0</v>
      </c>
      <c r="ES25" s="4753">
        <f t="shared" si="40"/>
        <v>0</v>
      </c>
      <c r="ET25" s="4753">
        <f t="shared" si="40"/>
        <v>0</v>
      </c>
      <c r="EU25" s="4753">
        <f t="shared" si="40"/>
        <v>0</v>
      </c>
      <c r="EV25" s="4753">
        <f t="shared" si="40"/>
        <v>0</v>
      </c>
      <c r="EW25" s="4753">
        <f t="shared" si="40"/>
        <v>0</v>
      </c>
      <c r="EX25" s="4753">
        <f t="shared" si="40"/>
        <v>0</v>
      </c>
      <c r="EY25" s="4753">
        <f t="shared" si="40"/>
        <v>0</v>
      </c>
      <c r="EZ25" s="4753">
        <f t="shared" si="40"/>
        <v>0</v>
      </c>
      <c r="FA25" s="4753">
        <f t="shared" si="40"/>
        <v>0</v>
      </c>
      <c r="FB25" s="4753">
        <f t="shared" si="40"/>
        <v>0</v>
      </c>
      <c r="FC25" s="4753">
        <f t="shared" si="40"/>
        <v>0</v>
      </c>
      <c r="FD25" s="4753">
        <f t="shared" si="40"/>
        <v>0</v>
      </c>
      <c r="FE25" s="4753">
        <f t="shared" si="40"/>
        <v>0</v>
      </c>
      <c r="FF25" s="4753">
        <f t="shared" si="40"/>
        <v>0</v>
      </c>
      <c r="FG25" s="4753">
        <f t="shared" si="40"/>
        <v>0</v>
      </c>
      <c r="FH25" s="4753">
        <f t="shared" si="40"/>
        <v>0</v>
      </c>
      <c r="FI25" s="4753">
        <f t="shared" si="40"/>
        <v>0</v>
      </c>
      <c r="FJ25" s="4753">
        <f t="shared" si="40"/>
        <v>0</v>
      </c>
      <c r="FK25" s="4753">
        <f t="shared" si="40"/>
        <v>0</v>
      </c>
      <c r="FL25" s="4753">
        <f t="shared" ref="FL25:GE25" si="41">FL85*(FL$4&lt;$D$6)+(FL23+FL24)*(FL$4=$D$6)</f>
        <v>0</v>
      </c>
      <c r="FM25" s="4753">
        <f t="shared" si="41"/>
        <v>0</v>
      </c>
      <c r="FN25" s="4753">
        <f t="shared" si="41"/>
        <v>0</v>
      </c>
      <c r="FO25" s="4753">
        <f t="shared" si="41"/>
        <v>0</v>
      </c>
      <c r="FP25" s="4753">
        <f t="shared" si="41"/>
        <v>0</v>
      </c>
      <c r="FQ25" s="4753">
        <f t="shared" si="41"/>
        <v>0</v>
      </c>
      <c r="FR25" s="4753">
        <f t="shared" si="41"/>
        <v>0</v>
      </c>
      <c r="FS25" s="4753">
        <f t="shared" si="41"/>
        <v>0</v>
      </c>
      <c r="FT25" s="4753">
        <f t="shared" si="41"/>
        <v>0</v>
      </c>
      <c r="FU25" s="4753">
        <f t="shared" si="41"/>
        <v>0</v>
      </c>
      <c r="FV25" s="4753">
        <f t="shared" si="41"/>
        <v>0</v>
      </c>
      <c r="FW25" s="4753">
        <f t="shared" si="41"/>
        <v>0</v>
      </c>
      <c r="FX25" s="4753">
        <f t="shared" si="41"/>
        <v>0</v>
      </c>
      <c r="FY25" s="4753">
        <f t="shared" si="41"/>
        <v>0</v>
      </c>
      <c r="FZ25" s="4753">
        <f t="shared" si="41"/>
        <v>0</v>
      </c>
      <c r="GA25" s="4753">
        <f t="shared" si="41"/>
        <v>0</v>
      </c>
      <c r="GB25" s="4753">
        <f t="shared" si="41"/>
        <v>0</v>
      </c>
      <c r="GC25" s="4753">
        <f t="shared" si="41"/>
        <v>0</v>
      </c>
      <c r="GD25" s="4753">
        <f t="shared" si="41"/>
        <v>0</v>
      </c>
      <c r="GE25" s="4753">
        <f t="shared" si="41"/>
        <v>0</v>
      </c>
    </row>
    <row r="26" spans="3:187" ht="13.5" customHeight="1" thickBot="1">
      <c r="C26" s="733"/>
      <c r="D26" s="4960" t="s">
        <v>238</v>
      </c>
      <c r="E26" s="4961"/>
      <c r="F26" s="4942">
        <f ca="1">SUM(H26:FO26)</f>
        <v>19.839278639999996</v>
      </c>
      <c r="G26" s="4942"/>
      <c r="H26" s="4942">
        <f ca="1">H23*IF(H4&lt;=$D$5,Sensitivity!$M$15+민감도!$E$61,Sensitivity!$L$15)*H$44/12</f>
        <v>1.0663736699999997</v>
      </c>
      <c r="I26" s="4942">
        <f ca="1">I23*IF(I4&lt;=$D$5,Sensitivity!$M$15+민감도!$E$61,Sensitivity!$L$15)*I$44/12</f>
        <v>1.0414874699999999</v>
      </c>
      <c r="J26" s="4942">
        <f ca="1">J23*IF(J4&lt;=$D$5,Sensitivity!$M$15+민감도!$E$61,Sensitivity!$L$15)*J$44/12</f>
        <v>1.0166012699999998</v>
      </c>
      <c r="K26" s="4942">
        <f ca="1">K23*IF(K4&lt;=$D$5,Sensitivity!$M$15+민감도!$E$61,Sensitivity!$L$15)*K$44/12</f>
        <v>0.9917150699999997</v>
      </c>
      <c r="L26" s="4942">
        <f ca="1">L23*IF(L4&lt;=$D$5,Sensitivity!$M$15+민감도!$E$61,Sensitivity!$L$15)*L$44/12</f>
        <v>0.96558455999999959</v>
      </c>
      <c r="M26" s="4942">
        <f ca="1">M23*IF(M4&lt;=$D$5,Sensitivity!$M$15+민감도!$E$61,Sensitivity!$L$15)*M$44/12</f>
        <v>0.9363432749999997</v>
      </c>
      <c r="N26" s="4942">
        <f ca="1">N23*IF(N4&lt;=$D$5,Sensitivity!$M$15+민감도!$E$61,Sensitivity!$L$15)*N$44/12</f>
        <v>0.90647983499999973</v>
      </c>
      <c r="O26" s="4942">
        <f ca="1">O23*IF(O4&lt;=$D$5,Sensitivity!$M$15+민감도!$E$61,Sensitivity!$L$15)*O$44/12</f>
        <v>0.8759942399999997</v>
      </c>
      <c r="P26" s="4942">
        <f ca="1">P23*IF(P4&lt;=$D$5,Sensitivity!$M$15+민감도!$E$61,Sensitivity!$L$15)*P$44/12</f>
        <v>0.8448864899999996</v>
      </c>
      <c r="Q26" s="4942">
        <f ca="1">Q23*IF(Q4&lt;=$D$5,Sensitivity!$M$15+민감도!$E$61,Sensitivity!$L$15)*Q$44/12</f>
        <v>0.81315658499999965</v>
      </c>
      <c r="R26" s="4942">
        <f ca="1">R23*IF(R4&lt;=$D$5,Sensitivity!$M$15+민감도!$E$61,Sensitivity!$L$15)*R$44/12</f>
        <v>0.78080452499999964</v>
      </c>
      <c r="S26" s="4942">
        <f ca="1">S23*IF(S4&lt;=$D$5,Sensitivity!$M$15+민감도!$E$61,Sensitivity!$L$15)*S$44/12</f>
        <v>0.74845246499999973</v>
      </c>
      <c r="T26" s="4942">
        <f ca="1">T23*IF(T4&lt;=$D$5,Sensitivity!$M$15+민감도!$E$61,Sensitivity!$L$15)*T$44/12</f>
        <v>0.71547824999999976</v>
      </c>
      <c r="U26" s="4942">
        <f ca="1">U23*IF(U4&lt;=$D$5,Sensitivity!$M$15+민감도!$E$61,Sensitivity!$L$15)*U$44/12</f>
        <v>0.68623696499999964</v>
      </c>
      <c r="V26" s="4942">
        <f ca="1">V23*IF(V4&lt;=$D$5,Sensitivity!$M$15+민감도!$E$61,Sensitivity!$L$15)*V$44/12</f>
        <v>0.65699567999999975</v>
      </c>
      <c r="W26" s="4942">
        <f ca="1">W23*IF(W4&lt;=$D$5,Sensitivity!$M$15+민감도!$E$61,Sensitivity!$L$15)*W$44/12</f>
        <v>0.62713223999999979</v>
      </c>
      <c r="X26" s="4942">
        <f ca="1">X23*IF(X4&lt;=$D$5,Sensitivity!$M$15+민감도!$E$61,Sensitivity!$L$15)*X$44/12</f>
        <v>0.59664664499999986</v>
      </c>
      <c r="Y26" s="4942">
        <f ca="1">Y23*IF(Y4&lt;=$D$5,Sensitivity!$M$15+민감도!$E$61,Sensitivity!$L$15)*Y$44/12</f>
        <v>0.56616104999999983</v>
      </c>
      <c r="Z26" s="4942">
        <f ca="1">Z23*IF(Z4&lt;=$D$5,Sensitivity!$M$15+민감도!$E$61,Sensitivity!$L$15)*Z$44/12</f>
        <v>0.53567545499999991</v>
      </c>
      <c r="AA26" s="4942">
        <f ca="1">AA23*IF(AA4&lt;=$D$5,Sensitivity!$M$15+민감도!$E$61,Sensitivity!$L$15)*AA$44/12</f>
        <v>0.50456770499999992</v>
      </c>
      <c r="AB26" s="4942">
        <f ca="1">AB23*IF(AB4&lt;=$D$5,Sensitivity!$M$15+민감도!$E$61,Sensitivity!$L$15)*AB$44/12</f>
        <v>0.47283779999999992</v>
      </c>
      <c r="AC26" s="4942">
        <f ca="1">AC23*IF(AC4&lt;=$D$5,Sensitivity!$M$15+민감도!$E$61,Sensitivity!$L$15)*AC$44/12</f>
        <v>0.44421866999999987</v>
      </c>
      <c r="AD26" s="4942">
        <f ca="1">AD23*IF(AD4&lt;=$D$5,Sensitivity!$M$15+민감도!$E$61,Sensitivity!$L$15)*AD$44/12</f>
        <v>0.41497738499999998</v>
      </c>
      <c r="AE26" s="4942">
        <f ca="1">AE23*IF(AE4&lt;=$D$5,Sensitivity!$M$15+민감도!$E$61,Sensitivity!$L$15)*AE$44/12</f>
        <v>0.38200316999999989</v>
      </c>
      <c r="AF26" s="4942">
        <f ca="1">AF23*IF(AF4&lt;=$D$5,Sensitivity!$M$15+민감도!$E$61,Sensitivity!$L$15)*AF$44/12</f>
        <v>0.34840679999999996</v>
      </c>
      <c r="AG26" s="4942">
        <f ca="1">AG23*IF(AG4&lt;=$D$5,Sensitivity!$M$15+민감도!$E$61,Sensitivity!$L$15)*AG$44/12</f>
        <v>0.30921103499999991</v>
      </c>
      <c r="AH26" s="4942">
        <f ca="1">AH23*IF(AH4&lt;=$D$5,Sensitivity!$M$15+민감도!$E$61,Sensitivity!$L$15)*AH$44/12</f>
        <v>0.27001526999999992</v>
      </c>
      <c r="AI26" s="4942">
        <f ca="1">AI23*IF(AI4&lt;=$D$5,Sensitivity!$M$15+민감도!$E$61,Sensitivity!$L$15)*AI$44/12</f>
        <v>0.23019734999999994</v>
      </c>
      <c r="AJ26" s="4942">
        <f ca="1">AJ23*IF(AJ4&lt;=$D$5,Sensitivity!$M$15+민감도!$E$61,Sensitivity!$L$15)*AJ$44/12</f>
        <v>0.18975727499999995</v>
      </c>
      <c r="AK26" s="4942">
        <f ca="1">AK23*IF(AK4&lt;=$D$5,Sensitivity!$M$15+민감도!$E$61,Sensitivity!$L$15)*AK$44/12</f>
        <v>0.16487107499999995</v>
      </c>
      <c r="AL26" s="4942">
        <f ca="1">AL23*IF(AL4&lt;=$D$5,Sensitivity!$M$15+민감도!$E$61,Sensitivity!$L$15)*AL$44/12</f>
        <v>0.13625194499999996</v>
      </c>
      <c r="AM26" s="4942">
        <f ca="1">AM23*IF(AM4&lt;=$D$5,Sensitivity!$M$15+민감도!$E$61,Sensitivity!$L$15)*AM$44/12</f>
        <v>0.10701065999999997</v>
      </c>
      <c r="AN26" s="4942">
        <f ca="1">AN23*IF(AN4&lt;=$D$5,Sensitivity!$M$15+민감도!$E$61,Sensitivity!$L$15)*AN$44/12</f>
        <v>8.2124459999999955E-2</v>
      </c>
      <c r="AO26" s="4942">
        <f ca="1">AO23*IF(AO4&lt;=$D$5,Sensitivity!$M$15+민감도!$E$61,Sensitivity!$L$15)*AO$44/12</f>
        <v>7.4658599999999964E-2</v>
      </c>
      <c r="AP26" s="4942">
        <f ca="1">AP23*IF(AP4&lt;=$D$5,Sensitivity!$M$15+민감도!$E$61,Sensitivity!$L$15)*AP$44/12</f>
        <v>6.7192739999999959E-2</v>
      </c>
      <c r="AQ26" s="4942">
        <f ca="1">AQ23*IF(AQ4&lt;=$D$5,Sensitivity!$M$15+민감도!$E$61,Sensitivity!$L$15)*AQ$44/12</f>
        <v>5.9726879999999961E-2</v>
      </c>
      <c r="AR26" s="4942">
        <f ca="1">AR23*IF(AR4&lt;=$D$5,Sensitivity!$M$15+민감도!$E$61,Sensitivity!$L$15)*AR$44/12</f>
        <v>5.2261019999999971E-2</v>
      </c>
      <c r="AS26" s="4942">
        <f ca="1">AS23*IF(AS4&lt;=$D$5,Sensitivity!$M$15+민감도!$E$61,Sensitivity!$L$15)*AS$44/12</f>
        <v>4.4795159999999973E-2</v>
      </c>
      <c r="AT26" s="4942">
        <f ca="1">AT23*IF(AT4&lt;=$D$5,Sensitivity!$M$15+민감도!$E$61,Sensitivity!$L$15)*AT$44/12</f>
        <v>3.7329299999999975E-2</v>
      </c>
      <c r="AU26" s="4942">
        <f ca="1">AU23*IF(AU4&lt;=$D$5,Sensitivity!$M$15+민감도!$E$61,Sensitivity!$L$15)*AU$44/12</f>
        <v>2.9863439999999981E-2</v>
      </c>
      <c r="AV26" s="4942">
        <f ca="1">AV23*IF(AV4&lt;=$D$5,Sensitivity!$M$15+민감도!$E$61,Sensitivity!$L$15)*AV$44/12</f>
        <v>2.2397579999999983E-2</v>
      </c>
      <c r="AW26" s="4942">
        <f ca="1">AW23*IF(AW4&lt;=$D$5,Sensitivity!$M$15+민감도!$E$61,Sensitivity!$L$15)*AW$44/12</f>
        <v>1.4931719999999983E-2</v>
      </c>
      <c r="AX26" s="4942">
        <f ca="1">AX23*IF(AX4&lt;=$D$5,Sensitivity!$M$15+민감도!$E$61,Sensitivity!$L$15)*AX$44/12</f>
        <v>7.4658599999999839E-3</v>
      </c>
      <c r="AY26" s="4942">
        <f ca="1">AY23*IF(AY4&lt;=$D$5,Sensitivity!$M$15+민감도!$E$61,Sensitivity!$L$15)*AY$44/12</f>
        <v>0</v>
      </c>
      <c r="AZ26" s="4942">
        <f ca="1">AZ23*IF(AZ4&lt;=$D$5,Sensitivity!$M$15+민감도!$E$61,Sensitivity!$L$15)*AZ$44/12</f>
        <v>0</v>
      </c>
      <c r="BA26" s="4942">
        <f ca="1">BA23*IF(BA4&lt;=$D$5,Sensitivity!$M$15+민감도!$E$61,Sensitivity!$L$15)*BA$44/12</f>
        <v>0</v>
      </c>
      <c r="BB26" s="4942">
        <f ca="1">BB23*IF(BB4&lt;=$D$5,Sensitivity!$M$15+민감도!$E$61,Sensitivity!$L$15)*BB$44/12</f>
        <v>0</v>
      </c>
      <c r="BC26" s="4942">
        <f ca="1">BC23*IF(BC4&lt;=$D$5,Sensitivity!$M$15+민감도!$E$61,Sensitivity!$L$15)*BC$44/12</f>
        <v>0</v>
      </c>
      <c r="BD26" s="4942">
        <f ca="1">BD23*IF(BD4&lt;=$D$5,Sensitivity!$M$15+민감도!$E$61,Sensitivity!$L$15)*BD$44/12</f>
        <v>0</v>
      </c>
      <c r="BE26" s="4942">
        <f ca="1">BE23*IF(BE4&lt;=$D$5,Sensitivity!$M$15+민감도!$E$61,Sensitivity!$L$15)*BE$44/12</f>
        <v>0</v>
      </c>
      <c r="BF26" s="4942">
        <f ca="1">BF23*IF(BF4&lt;=$D$5,Sensitivity!$M$15+민감도!$E$61,Sensitivity!$L$15)*BF$44/12</f>
        <v>0</v>
      </c>
      <c r="BG26" s="4942">
        <f ca="1">BG23*IF(BG4&lt;=$D$5,Sensitivity!$M$15+민감도!$E$61,Sensitivity!$L$15)*BG$44/12</f>
        <v>0</v>
      </c>
      <c r="BH26" s="4942">
        <f ca="1">BH23*IF(BH4&lt;=$D$5,Sensitivity!$M$15+민감도!$E$61,Sensitivity!$L$15)*BH$44/12</f>
        <v>0</v>
      </c>
      <c r="BI26" s="4942">
        <f ca="1">BI23*IF(BI4&lt;=$D$5,Sensitivity!$M$15+민감도!$E$61,Sensitivity!$L$15)*BI$44/12</f>
        <v>0</v>
      </c>
      <c r="BJ26" s="4942">
        <f ca="1">BJ23*IF(BJ4&lt;=$D$5,Sensitivity!$M$15+민감도!$E$61,Sensitivity!$L$15)*BJ$44/12</f>
        <v>0</v>
      </c>
      <c r="BK26" s="4942">
        <f ca="1">BK23*IF(BK4&lt;=$D$5,Sensitivity!$M$15+민감도!$E$61,Sensitivity!$L$15)*BK$44/12</f>
        <v>0</v>
      </c>
      <c r="BL26" s="4942">
        <f ca="1">BL23*IF(BL4&lt;=$D$5,Sensitivity!$M$15+민감도!$E$61,Sensitivity!$L$15)*BL$44/12</f>
        <v>0</v>
      </c>
      <c r="BM26" s="4942">
        <f ca="1">BM23*IF(BM4&lt;=$D$5,Sensitivity!$M$15+민감도!$E$61,Sensitivity!$L$15)*BM$44/12</f>
        <v>0</v>
      </c>
      <c r="BN26" s="4942">
        <f ca="1">BN23*IF(BN4&lt;=$D$5,Sensitivity!$M$15+민감도!$E$61,Sensitivity!$L$15)*BN$44/12</f>
        <v>0</v>
      </c>
      <c r="BO26" s="4942">
        <f ca="1">BO23*IF(BO4&lt;=$D$5,Sensitivity!$M$15+민감도!$E$61,Sensitivity!$L$15)*BO$44/12</f>
        <v>0</v>
      </c>
      <c r="BP26" s="4942">
        <f ca="1">BP23*IF(BP4&lt;=$D$5,Sensitivity!$M$15+민감도!$E$61,Sensitivity!$L$15)*BP$44/12</f>
        <v>0</v>
      </c>
      <c r="BQ26" s="4942">
        <f ca="1">BQ23*IF(BQ4&lt;=$D$5,Sensitivity!$M$15+민감도!$E$61,Sensitivity!$L$15)*BQ$44/12</f>
        <v>0</v>
      </c>
      <c r="BR26" s="4942">
        <f ca="1">BR23*IF(BR4&lt;=$D$5,Sensitivity!$M$15+민감도!$E$61,Sensitivity!$L$15)*BR$44/12</f>
        <v>0</v>
      </c>
      <c r="BS26" s="4942">
        <f ca="1">BS23*IF(BS4&lt;=$D$5,Sensitivity!$M$15+민감도!$E$61,Sensitivity!$L$15)*BS$44/12</f>
        <v>0</v>
      </c>
      <c r="BT26" s="4942">
        <f ca="1">BT23*IF(BT4&lt;=$D$5,Sensitivity!$M$15+민감도!$E$61,Sensitivity!$L$15)*BT$44/12</f>
        <v>0</v>
      </c>
      <c r="BU26" s="4942">
        <f ca="1">BU23*IF(BU4&lt;=$D$5,Sensitivity!$M$15+민감도!$E$61,Sensitivity!$L$15)*BU$44/12</f>
        <v>0</v>
      </c>
      <c r="BV26" s="4942">
        <f ca="1">BV23*IF(BV4&lt;=$D$5,Sensitivity!$M$15+민감도!$E$61,Sensitivity!$L$15)*BV$44/12</f>
        <v>0</v>
      </c>
      <c r="BW26" s="4942">
        <f ca="1">BW23*IF(BW4&lt;=$D$5,Sensitivity!$M$15+민감도!$E$61,Sensitivity!$L$15)*BW$44/12</f>
        <v>0</v>
      </c>
      <c r="BX26" s="4942">
        <f ca="1">BX23*IF(BX4&lt;=$D$5,Sensitivity!$M$15+민감도!$E$61,Sensitivity!$L$15)*BX$44/12</f>
        <v>0</v>
      </c>
      <c r="BY26" s="4942">
        <f ca="1">BY23*IF(BY4&lt;=$D$5,Sensitivity!$M$15+민감도!$E$61,Sensitivity!$L$15)*BY$44/12</f>
        <v>0</v>
      </c>
      <c r="BZ26" s="4942">
        <f ca="1">BZ23*IF(BZ4&lt;=$D$5,Sensitivity!$M$15+민감도!$E$61,Sensitivity!$L$15)*BZ$44/12</f>
        <v>0</v>
      </c>
      <c r="CA26" s="4942">
        <f ca="1">CA23*IF(CA4&lt;=$D$5,Sensitivity!$M$15+민감도!$E$61,Sensitivity!$L$15)*CA$44/12</f>
        <v>0</v>
      </c>
      <c r="CB26" s="4942">
        <f ca="1">CB23*IF(CB4&lt;=$D$5,Sensitivity!$M$15+민감도!$E$61,Sensitivity!$L$15)*CB$44/12</f>
        <v>0</v>
      </c>
      <c r="CC26" s="4942">
        <f ca="1">CC23*IF(CC4&lt;=$D$5,Sensitivity!$M$15+민감도!$E$61,Sensitivity!$L$15)*CC$44/12</f>
        <v>0</v>
      </c>
      <c r="CD26" s="4942">
        <f ca="1">CD23*IF(CD4&lt;=$D$5,Sensitivity!$M$15+민감도!$E$61,Sensitivity!$L$15)*CD$44/12</f>
        <v>0</v>
      </c>
      <c r="CE26" s="4942">
        <f ca="1">CE23*IF(CE4&lt;=$D$5,Sensitivity!$M$15+민감도!$E$61,Sensitivity!$L$15)*CE$44/12</f>
        <v>0</v>
      </c>
      <c r="CF26" s="4942">
        <f ca="1">CF23*IF(CF4&lt;=$D$5,Sensitivity!$M$15+민감도!$E$61,Sensitivity!$L$15)*CF$44/12</f>
        <v>0</v>
      </c>
      <c r="CG26" s="4942">
        <f ca="1">CG23*IF(CG4&lt;=$D$5,Sensitivity!$M$15+민감도!$E$61,Sensitivity!$L$15)*CG$44/12</f>
        <v>0</v>
      </c>
      <c r="CH26" s="4942">
        <f ca="1">CH23*IF(CH4&lt;=$D$5,Sensitivity!$M$15+민감도!$E$61,Sensitivity!$L$15)*CH$44/12</f>
        <v>0</v>
      </c>
      <c r="CI26" s="4942">
        <f ca="1">CI23*IF(CI4&lt;=$D$5,Sensitivity!$M$15+민감도!$E$61,Sensitivity!$L$15)*CI$44/12</f>
        <v>0</v>
      </c>
      <c r="CJ26" s="4942">
        <f ca="1">CJ23*IF(CJ4&lt;=$D$5,Sensitivity!$M$15+민감도!$E$61,Sensitivity!$L$15)*CJ$44/12</f>
        <v>0</v>
      </c>
      <c r="CK26" s="4942">
        <f ca="1">CK23*IF(CK4&lt;=$D$5,Sensitivity!$M$15+민감도!$E$61,Sensitivity!$L$15)*CK$44/12</f>
        <v>0</v>
      </c>
      <c r="CL26" s="4942">
        <f ca="1">CL23*IF(CL4&lt;=$D$5,Sensitivity!$M$15+민감도!$E$61,Sensitivity!$L$15)*CL$44/12</f>
        <v>0</v>
      </c>
      <c r="CM26" s="4942">
        <f ca="1">CM23*IF(CM4&lt;=$D$5,Sensitivity!$M$15+민감도!$E$61,Sensitivity!$L$15)*CM$44/12</f>
        <v>0</v>
      </c>
      <c r="CN26" s="4942">
        <f ca="1">CN23*IF(CN4&lt;=$D$5,Sensitivity!$M$15+민감도!$E$61,Sensitivity!$L$15)*CN$44/12</f>
        <v>0</v>
      </c>
      <c r="CO26" s="4942">
        <f ca="1">CO23*IF(CO4&lt;=$D$5,Sensitivity!$M$15+민감도!$E$61,Sensitivity!$L$15)*CO$44/12</f>
        <v>0</v>
      </c>
      <c r="CP26" s="4942">
        <f ca="1">CP23*IF(CP4&lt;=$D$5,Sensitivity!$M$15+민감도!$E$61,Sensitivity!$L$15)*CP$44/12</f>
        <v>0</v>
      </c>
      <c r="CQ26" s="4942">
        <f ca="1">CQ23*IF(CQ4&lt;=$D$5,Sensitivity!$M$15+민감도!$E$61,Sensitivity!$L$15)*CQ$44/12</f>
        <v>0</v>
      </c>
      <c r="CR26" s="4942">
        <f ca="1">CR23*IF(CR4&lt;=$D$5,Sensitivity!$M$15+민감도!$E$61,Sensitivity!$L$15)*CR$44/12</f>
        <v>0</v>
      </c>
      <c r="CS26" s="4942">
        <f ca="1">CS23*IF(CS4&lt;=$D$5,Sensitivity!$M$15+민감도!$E$61,Sensitivity!$L$15)*CS$44/12</f>
        <v>0</v>
      </c>
      <c r="CT26" s="4942">
        <f ca="1">CT23*IF(CT4&lt;=$D$5,Sensitivity!$M$15+민감도!$E$61,Sensitivity!$L$15)*CT$44/12</f>
        <v>0</v>
      </c>
      <c r="CU26" s="4942">
        <f ca="1">CU23*IF(CU4&lt;=$D$5,Sensitivity!$M$15+민감도!$E$61,Sensitivity!$L$15)*CU$44/12</f>
        <v>0</v>
      </c>
      <c r="CV26" s="4942">
        <f ca="1">CV23*IF(CV4&lt;=$D$5,Sensitivity!$M$15+민감도!$E$61,Sensitivity!$L$15)*CV$44/12</f>
        <v>0</v>
      </c>
      <c r="CW26" s="4942">
        <f ca="1">CW23*IF(CW4&lt;=$D$5,Sensitivity!$M$15+민감도!$E$61,Sensitivity!$L$15)*CW$44/12</f>
        <v>0</v>
      </c>
      <c r="CX26" s="4942">
        <f ca="1">CX23*IF(CX4&lt;=$D$5,Sensitivity!$M$15+민감도!$E$61,Sensitivity!$L$15)*CX$44/12</f>
        <v>0</v>
      </c>
      <c r="CY26" s="4942">
        <f ca="1">CY23*IF(CY4&lt;=$D$5,Sensitivity!$M$15+민감도!$E$61,Sensitivity!$L$15)*CY$44/12</f>
        <v>0</v>
      </c>
      <c r="CZ26" s="4942">
        <f ca="1">CZ23*IF(CZ4&lt;=$D$5,Sensitivity!$M$15+민감도!$E$61,Sensitivity!$L$15)*CZ$44/12</f>
        <v>0</v>
      </c>
      <c r="DA26" s="4942">
        <f ca="1">DA23*IF(DA4&lt;=$D$5,Sensitivity!$M$15+민감도!$E$61,Sensitivity!$L$15)*DA$44/12</f>
        <v>0</v>
      </c>
      <c r="DB26" s="4942">
        <f ca="1">DB23*IF(DB4&lt;=$D$5,Sensitivity!$M$15+민감도!$E$61,Sensitivity!$L$15)*DB$44/12</f>
        <v>0</v>
      </c>
      <c r="DC26" s="4942">
        <f ca="1">DC23*IF(DC4&lt;=$D$5,Sensitivity!$M$15+민감도!$E$61,Sensitivity!$L$15)*DC$44/12</f>
        <v>0</v>
      </c>
      <c r="DD26" s="4942">
        <f ca="1">DD23*IF(DD4&lt;=$D$5,Sensitivity!$M$15+민감도!$E$61,Sensitivity!$L$15)*DD$44/12</f>
        <v>0</v>
      </c>
      <c r="DE26" s="4942">
        <f ca="1">DE23*IF(DE4&lt;=$D$5,Sensitivity!$M$15+민감도!$E$61,Sensitivity!$L$15)*DE$44/12</f>
        <v>0</v>
      </c>
      <c r="DF26" s="4942">
        <f ca="1">DF23*IF(DF4&lt;=$D$5,Sensitivity!$M$15+민감도!$E$61,Sensitivity!$L$15)*DF$44/12</f>
        <v>0</v>
      </c>
      <c r="DG26" s="4942">
        <f ca="1">DG23*IF(DG4&lt;=$D$5,Sensitivity!$M$15+민감도!$E$61,Sensitivity!$L$15)*DG$44/12</f>
        <v>0</v>
      </c>
      <c r="DH26" s="4942">
        <f ca="1">DH23*IF(DH4&lt;=$D$5,Sensitivity!$M$15+민감도!$E$61,Sensitivity!$L$15)*DH$44/12</f>
        <v>0</v>
      </c>
      <c r="DI26" s="4942">
        <f ca="1">DI23*IF(DI4&lt;=$D$5,Sensitivity!$M$15+민감도!$E$61,Sensitivity!$L$15)*DI$44/12</f>
        <v>0</v>
      </c>
      <c r="DJ26" s="4942">
        <f ca="1">DJ23*IF(DJ4&lt;=$D$5,Sensitivity!$M$15+민감도!$E$61,Sensitivity!$L$15)*DJ$44/12</f>
        <v>0</v>
      </c>
      <c r="DK26" s="4942">
        <f ca="1">DK23*IF(DK4&lt;=$D$5,Sensitivity!$M$15+민감도!$E$61,Sensitivity!$L$15)*DK$44/12</f>
        <v>0</v>
      </c>
      <c r="DL26" s="4942">
        <f ca="1">DL23*IF(DL4&lt;=$D$5,Sensitivity!$M$15+민감도!$E$61,Sensitivity!$L$15)*DL$44/12</f>
        <v>0</v>
      </c>
      <c r="DM26" s="4942">
        <f ca="1">DM23*IF(DM4&lt;=$D$5,Sensitivity!$M$15+민감도!$E$61,Sensitivity!$L$15)*DM$44/12</f>
        <v>0</v>
      </c>
      <c r="DN26" s="4942">
        <f ca="1">DN23*IF(DN4&lt;=$D$5,Sensitivity!$M$15+민감도!$E$61,Sensitivity!$L$15)*DN$44/12</f>
        <v>0</v>
      </c>
      <c r="DO26" s="4942">
        <f ca="1">DO23*IF(DO4&lt;=$D$5,Sensitivity!$M$15+민감도!$E$61,Sensitivity!$L$15)*DO$44/12</f>
        <v>0</v>
      </c>
      <c r="DP26" s="4942">
        <f ca="1">DP23*IF(DP4&lt;=$D$5,Sensitivity!$M$15+민감도!$E$61,Sensitivity!$L$15)*DP$44/12</f>
        <v>0</v>
      </c>
      <c r="DQ26" s="4942">
        <f ca="1">DQ23*IF(DQ4&lt;=$D$5,Sensitivity!$M$15+민감도!$E$61,Sensitivity!$L$15)*DQ$44/12</f>
        <v>0</v>
      </c>
      <c r="DR26" s="4942">
        <f ca="1">DR23*IF(DR4&lt;=$D$5,Sensitivity!$M$15+민감도!$E$61,Sensitivity!$L$15)*DR$44/12</f>
        <v>0</v>
      </c>
      <c r="DS26" s="4942">
        <f ca="1">DS23*IF(DS4&lt;=$D$5,Sensitivity!$M$15+민감도!$E$61,Sensitivity!$L$15)*DS$44/12</f>
        <v>0</v>
      </c>
      <c r="DT26" s="4942">
        <f ca="1">DT23*IF(DT4&lt;=$D$5,Sensitivity!$M$15+민감도!$E$61,Sensitivity!$L$15)*DT$44/12</f>
        <v>0</v>
      </c>
      <c r="DU26" s="4942">
        <f ca="1">DU23*IF(DU4&lt;=$D$5,Sensitivity!$M$15+민감도!$E$61,Sensitivity!$L$15)*DU$44/12</f>
        <v>0</v>
      </c>
      <c r="DV26" s="4942">
        <f ca="1">DV23*IF(DV4&lt;=$D$5,Sensitivity!$M$15+민감도!$E$61,Sensitivity!$L$15)*DV$44/12</f>
        <v>0</v>
      </c>
      <c r="DW26" s="4942">
        <f ca="1">DW23*IF(DW4&lt;=$D$5,Sensitivity!$M$15+민감도!$E$61,Sensitivity!$L$15)*DW$44/12</f>
        <v>0</v>
      </c>
      <c r="DX26" s="4942">
        <f ca="1">DX23*IF(DX4&lt;=$D$5,Sensitivity!$M$15+민감도!$E$61,Sensitivity!$L$15)*DX$44/12</f>
        <v>0</v>
      </c>
      <c r="DY26" s="4942">
        <f ca="1">DY23*IF(DY4&lt;=$D$5,Sensitivity!$M$15+민감도!$E$61,Sensitivity!$L$15)*DY$44/12</f>
        <v>0</v>
      </c>
      <c r="DZ26" s="4942">
        <f ca="1">DZ23*IF(DZ4&lt;=$D$5,Sensitivity!$M$15+민감도!$E$61,Sensitivity!$L$15)*DZ$44/12</f>
        <v>0</v>
      </c>
      <c r="EA26" s="4942">
        <f ca="1">EA23*IF(EA4&lt;=$D$5,Sensitivity!$M$15+민감도!$E$61,Sensitivity!$L$15)*EA$44/12</f>
        <v>0</v>
      </c>
      <c r="EB26" s="4942">
        <f ca="1">EB23*IF(EB4&lt;=$D$5,Sensitivity!$M$15+민감도!$E$61,Sensitivity!$L$15)*EB$44/12</f>
        <v>0</v>
      </c>
      <c r="EC26" s="4942">
        <f ca="1">EC23*IF(EC4&lt;=$D$5,Sensitivity!$M$15+민감도!$E$61,Sensitivity!$L$15)*EC$44/12</f>
        <v>0</v>
      </c>
      <c r="ED26" s="4942">
        <f ca="1">ED23*IF(ED4&lt;=$D$5,Sensitivity!$M$15+민감도!$E$61,Sensitivity!$L$15)*ED$44/12</f>
        <v>0</v>
      </c>
      <c r="EE26" s="4942">
        <f ca="1">EE23*IF(EE4&lt;=$D$5,Sensitivity!$M$15+민감도!$E$61,Sensitivity!$L$15)*EE$44/12</f>
        <v>0</v>
      </c>
      <c r="EF26" s="4942">
        <f ca="1">EF23*IF(EF4&lt;=$D$5,Sensitivity!$M$15+민감도!$E$61,Sensitivity!$L$15)*EF$44/12</f>
        <v>0</v>
      </c>
      <c r="EG26" s="4942">
        <f ca="1">EG23*IF(EG4&lt;=$D$5,Sensitivity!$M$15+민감도!$E$61,Sensitivity!$L$15)*EG$44/12</f>
        <v>0</v>
      </c>
      <c r="EH26" s="4942">
        <f ca="1">EH23*IF(EH4&lt;=$D$5,Sensitivity!$M$15+민감도!$E$61,Sensitivity!$L$15)*EH$44/12</f>
        <v>0</v>
      </c>
      <c r="EI26" s="4942">
        <f ca="1">EI23*IF(EI4&lt;=$D$5,Sensitivity!$M$15+민감도!$E$61,Sensitivity!$L$15)*EI$44/12</f>
        <v>0</v>
      </c>
      <c r="EJ26" s="4942">
        <f ca="1">EJ23*IF(EJ4&lt;=$D$5,Sensitivity!$M$15+민감도!$E$61,Sensitivity!$L$15)*EJ$44/12</f>
        <v>0</v>
      </c>
      <c r="EK26" s="4942">
        <f ca="1">EK23*IF(EK4&lt;=$D$5,Sensitivity!$M$15+민감도!$E$61,Sensitivity!$L$15)*EK$44/12</f>
        <v>0</v>
      </c>
      <c r="EL26" s="4942">
        <f ca="1">EL23*IF(EL4&lt;=$D$5,Sensitivity!$M$15+민감도!$E$61,Sensitivity!$L$15)*EL$44/12</f>
        <v>0</v>
      </c>
      <c r="EM26" s="4942">
        <f ca="1">EM23*IF(EM4&lt;=$D$5,Sensitivity!$M$15+민감도!$E$61,Sensitivity!$L$15)*EM$44/12</f>
        <v>0</v>
      </c>
      <c r="EN26" s="4942">
        <f ca="1">EN23*IF(EN4&lt;=$D$5,Sensitivity!$M$15+민감도!$E$61,Sensitivity!$L$15)*EN$44/12</f>
        <v>0</v>
      </c>
      <c r="EO26" s="4942">
        <f ca="1">EO23*IF(EO4&lt;=$D$5,Sensitivity!$M$15+민감도!$E$61,Sensitivity!$L$15)*EO$44/12</f>
        <v>0</v>
      </c>
      <c r="EP26" s="4942">
        <f ca="1">EP23*IF(EP4&lt;=$D$5,Sensitivity!$M$15+민감도!$E$61,Sensitivity!$L$15)*EP$44/12</f>
        <v>0</v>
      </c>
      <c r="EQ26" s="4942">
        <f ca="1">EQ23*IF(EQ4&lt;=$D$5,Sensitivity!$M$15+민감도!$E$61,Sensitivity!$L$15)*EQ$44/12</f>
        <v>0</v>
      </c>
      <c r="ER26" s="4942">
        <f ca="1">ER23*IF(ER4&lt;=$D$5,Sensitivity!$M$15+민감도!$E$61,Sensitivity!$L$15)*ER$44/12</f>
        <v>0</v>
      </c>
      <c r="ES26" s="4942">
        <f ca="1">ES23*IF(ES4&lt;=$D$5,Sensitivity!$M$15+민감도!$E$61,Sensitivity!$L$15)*ES$44/12</f>
        <v>0</v>
      </c>
      <c r="ET26" s="4942">
        <f ca="1">ET23*IF(ET4&lt;=$D$5,Sensitivity!$M$15+민감도!$E$61,Sensitivity!$L$15)*ET$44/12</f>
        <v>0</v>
      </c>
      <c r="EU26" s="4942">
        <f ca="1">EU23*IF(EU4&lt;=$D$5,Sensitivity!$M$15+민감도!$E$61,Sensitivity!$L$15)*EU$44/12</f>
        <v>0</v>
      </c>
      <c r="EV26" s="4942">
        <f ca="1">EV23*IF(EV4&lt;=$D$5,Sensitivity!$M$15+민감도!$E$61,Sensitivity!$L$15)*EV$44/12</f>
        <v>0</v>
      </c>
      <c r="EW26" s="4942">
        <f ca="1">EW23*IF(EW4&lt;=$D$5,Sensitivity!$M$15+민감도!$E$61,Sensitivity!$L$15)*EW$44/12</f>
        <v>0</v>
      </c>
      <c r="EX26" s="4942">
        <f ca="1">EX23*IF(EX4&lt;=$D$5,Sensitivity!$M$15+민감도!$E$61,Sensitivity!$L$15)*EX$44/12</f>
        <v>0</v>
      </c>
      <c r="EY26" s="4942">
        <f ca="1">EY23*IF(EY4&lt;=$D$5,Sensitivity!$M$15+민감도!$E$61,Sensitivity!$L$15)*EY$44/12</f>
        <v>0</v>
      </c>
      <c r="EZ26" s="4942">
        <f ca="1">EZ23*IF(EZ4&lt;=$D$5,Sensitivity!$M$15+민감도!$E$61,Sensitivity!$L$15)*EZ$44/12</f>
        <v>0</v>
      </c>
      <c r="FA26" s="4942">
        <f ca="1">FA23*IF(FA4&lt;=$D$5,Sensitivity!$M$15+민감도!$E$61,Sensitivity!$L$15)*FA$44/12</f>
        <v>0</v>
      </c>
      <c r="FB26" s="4942">
        <f ca="1">FB23*IF(FB4&lt;=$D$5,Sensitivity!$M$15+민감도!$E$61,Sensitivity!$L$15)*FB$44/12</f>
        <v>0</v>
      </c>
      <c r="FC26" s="4942">
        <f ca="1">FC23*IF(FC4&lt;=$D$5,Sensitivity!$M$15+민감도!$E$61,Sensitivity!$L$15)*FC$44/12</f>
        <v>0</v>
      </c>
      <c r="FD26" s="4942">
        <f ca="1">FD23*IF(FD4&lt;=$D$5,Sensitivity!$M$15+민감도!$E$61,Sensitivity!$L$15)*FD$44/12</f>
        <v>0</v>
      </c>
      <c r="FE26" s="4942">
        <f ca="1">FE23*IF(FE4&lt;=$D$5,Sensitivity!$M$15+민감도!$E$61,Sensitivity!$L$15)*FE$44/12</f>
        <v>0</v>
      </c>
      <c r="FF26" s="4942">
        <f ca="1">FF23*IF(FF4&lt;=$D$5,Sensitivity!$M$15+민감도!$E$61,Sensitivity!$L$15)*FF$44/12</f>
        <v>0</v>
      </c>
      <c r="FG26" s="4942">
        <f ca="1">FG23*IF(FG4&lt;=$D$5,Sensitivity!$M$15+민감도!$E$61,Sensitivity!$L$15)*FG$44/12</f>
        <v>0</v>
      </c>
      <c r="FH26" s="4942">
        <f ca="1">FH23*IF(FH4&lt;=$D$5,Sensitivity!$M$15+민감도!$E$61,Sensitivity!$L$15)*FH$44/12</f>
        <v>0</v>
      </c>
      <c r="FI26" s="4942">
        <f ca="1">FI23*IF(FI4&lt;=$D$5,Sensitivity!$M$15+민감도!$E$61,Sensitivity!$L$15)*FI$44/12</f>
        <v>0</v>
      </c>
      <c r="FJ26" s="4942">
        <f ca="1">FJ23*IF(FJ4&lt;=$D$5,Sensitivity!$M$15+민감도!$E$61,Sensitivity!$L$15)*FJ$44/12</f>
        <v>0</v>
      </c>
      <c r="FK26" s="4942">
        <f ca="1">FK23*IF(FK4&lt;=$D$5,Sensitivity!$M$15+민감도!$E$61,Sensitivity!$L$15)*FK$44/12</f>
        <v>0</v>
      </c>
      <c r="FL26" s="4942">
        <f ca="1">FL23*IF(FL4&lt;=$D$5,Sensitivity!$M$15+민감도!$E$61,Sensitivity!$L$15)*FL$44/12</f>
        <v>0</v>
      </c>
      <c r="FM26" s="4942">
        <f ca="1">FM23*IF(FM4&lt;=$D$5,Sensitivity!$M$15+민감도!$E$61,Sensitivity!$L$15)*FM$44/12</f>
        <v>0</v>
      </c>
      <c r="FN26" s="4942">
        <f ca="1">FN23*IF(FN4&lt;=$D$5,Sensitivity!$M$15+민감도!$E$61,Sensitivity!$L$15)*FN$44/12</f>
        <v>0</v>
      </c>
      <c r="FO26" s="4942">
        <f ca="1">FO23*IF(FO4&lt;=$D$5,Sensitivity!$M$15+민감도!$E$61,Sensitivity!$L$15)*FO$44/12</f>
        <v>0</v>
      </c>
      <c r="FP26" s="4942">
        <f ca="1">FP23*IF(FP4&lt;=$D$5,Sensitivity!$M$15+민감도!$E$61,Sensitivity!$L$15)*FP$44/12</f>
        <v>0</v>
      </c>
      <c r="FQ26" s="4942">
        <f ca="1">FQ23*IF(FQ4&lt;=$D$5,Sensitivity!$M$15+민감도!$E$61,Sensitivity!$L$15)*FQ$44/12</f>
        <v>0</v>
      </c>
      <c r="FR26" s="4942">
        <f ca="1">FR23*IF(FR4&lt;=$D$5,Sensitivity!$M$15+민감도!$E$61,Sensitivity!$L$15)*FR$44/12</f>
        <v>0</v>
      </c>
      <c r="FS26" s="4942">
        <f ca="1">FS23*IF(FS4&lt;=$D$5,Sensitivity!$M$15+민감도!$E$61,Sensitivity!$L$15)*FS$44/12</f>
        <v>0</v>
      </c>
      <c r="FT26" s="4942">
        <f ca="1">FT23*IF(FT4&lt;=$D$5,Sensitivity!$M$15+민감도!$E$61,Sensitivity!$L$15)*FT$44/12</f>
        <v>0</v>
      </c>
      <c r="FU26" s="4942">
        <f ca="1">FU23*IF(FU4&lt;=$D$5,Sensitivity!$M$15+민감도!$E$61,Sensitivity!$L$15)*FU$44/12</f>
        <v>0</v>
      </c>
      <c r="FV26" s="4942">
        <f ca="1">FV23*IF(FV4&lt;=$D$5,Sensitivity!$M$15+민감도!$E$61,Sensitivity!$L$15)*FV$44/12</f>
        <v>0</v>
      </c>
      <c r="FW26" s="4942">
        <f ca="1">FW23*IF(FW4&lt;=$D$5,Sensitivity!$M$15+민감도!$E$61,Sensitivity!$L$15)*FW$44/12</f>
        <v>0</v>
      </c>
      <c r="FX26" s="4942">
        <f ca="1">FX23*IF(FX4&lt;=$D$5,Sensitivity!$M$15+민감도!$E$61,Sensitivity!$L$15)*FX$44/12</f>
        <v>0</v>
      </c>
      <c r="FY26" s="4942">
        <f ca="1">FY23*IF(FY4&lt;=$D$5,Sensitivity!$M$15+민감도!$E$61,Sensitivity!$L$15)*FY$44/12</f>
        <v>0</v>
      </c>
      <c r="FZ26" s="4942">
        <f ca="1">FZ23*IF(FZ4&lt;=$D$5,Sensitivity!$M$15+민감도!$E$61,Sensitivity!$L$15)*FZ$44/12</f>
        <v>0</v>
      </c>
      <c r="GA26" s="4942">
        <f ca="1">GA23*IF(GA4&lt;=$D$5,Sensitivity!$M$15+민감도!$E$61,Sensitivity!$L$15)*GA$44/12</f>
        <v>0</v>
      </c>
      <c r="GB26" s="4942">
        <f ca="1">GB23*IF(GB4&lt;=$D$5,Sensitivity!$M$15+민감도!$E$61,Sensitivity!$L$15)*GB$44/12</f>
        <v>0</v>
      </c>
      <c r="GC26" s="4942">
        <f ca="1">GC23*IF(GC4&lt;=$D$5,Sensitivity!$M$15+민감도!$E$61,Sensitivity!$L$15)*GC$44/12</f>
        <v>0</v>
      </c>
      <c r="GD26" s="4942">
        <f ca="1">GD23*IF(GD4&lt;=$D$5,Sensitivity!$M$15+민감도!$E$61,Sensitivity!$L$15)*GD$44/12</f>
        <v>0</v>
      </c>
      <c r="GE26" s="4942">
        <f ca="1">GE23*IF(GE4&lt;=$D$5,Sensitivity!$M$15+민감도!$E$61,Sensitivity!$L$15)*GE$44/12</f>
        <v>0</v>
      </c>
    </row>
    <row r="27" spans="3:187" ht="13.5" customHeight="1" outlineLevel="1" thickTop="1">
      <c r="C27" s="4938" t="s">
        <v>1084</v>
      </c>
      <c r="D27" s="952"/>
      <c r="E27" s="4931"/>
      <c r="F27" s="4938"/>
      <c r="G27" s="4938"/>
      <c r="H27" s="4938"/>
      <c r="I27" s="4938"/>
      <c r="J27" s="4938"/>
      <c r="K27" s="4938"/>
      <c r="L27" s="4938"/>
      <c r="M27" s="4938"/>
      <c r="N27" s="4938"/>
      <c r="O27" s="4938"/>
      <c r="P27" s="4938"/>
      <c r="Q27" s="4938"/>
      <c r="R27" s="4938"/>
      <c r="S27" s="4938"/>
      <c r="T27" s="4938"/>
      <c r="U27" s="4938"/>
      <c r="V27" s="4938"/>
      <c r="W27" s="4938"/>
      <c r="X27" s="4938"/>
      <c r="Y27" s="4938"/>
      <c r="Z27" s="4938"/>
      <c r="AA27" s="4938"/>
      <c r="AB27" s="4938"/>
      <c r="AC27" s="4938"/>
      <c r="AD27" s="4938"/>
      <c r="AE27" s="4938"/>
      <c r="AF27" s="4938"/>
      <c r="AG27" s="4938"/>
      <c r="AH27" s="4938"/>
      <c r="AI27" s="4938"/>
      <c r="AJ27" s="4938"/>
      <c r="AK27" s="4938"/>
      <c r="AL27" s="4938"/>
      <c r="AM27" s="4938"/>
      <c r="AN27" s="4938"/>
      <c r="AO27" s="4938"/>
      <c r="AP27" s="4938"/>
      <c r="AQ27" s="4938"/>
      <c r="AR27" s="4938"/>
      <c r="AS27" s="4938"/>
      <c r="AT27" s="4938"/>
      <c r="AU27" s="4938"/>
      <c r="AV27" s="4938"/>
      <c r="AW27" s="4938"/>
      <c r="AX27" s="4938"/>
      <c r="AY27" s="4938"/>
      <c r="AZ27" s="4938"/>
      <c r="BA27" s="4938"/>
      <c r="BB27" s="4938"/>
      <c r="BC27" s="4938"/>
      <c r="BD27" s="4938"/>
      <c r="BE27" s="4938"/>
      <c r="BF27" s="4938"/>
      <c r="BG27" s="4938"/>
      <c r="BH27" s="4938"/>
      <c r="BI27" s="4938"/>
      <c r="BJ27" s="4938"/>
      <c r="BK27" s="4938"/>
      <c r="BL27" s="4938"/>
      <c r="BM27" s="4938"/>
      <c r="BN27" s="4938"/>
      <c r="BO27" s="4938"/>
      <c r="BP27" s="4938"/>
      <c r="BQ27" s="4938"/>
      <c r="BR27" s="4938"/>
      <c r="BS27" s="4938"/>
      <c r="BT27" s="4938"/>
      <c r="BU27" s="4938"/>
      <c r="BV27" s="4938"/>
      <c r="BW27" s="4938"/>
      <c r="BX27" s="4938"/>
      <c r="BY27" s="4938"/>
      <c r="BZ27" s="4938"/>
      <c r="CA27" s="4938"/>
      <c r="CB27" s="4938"/>
      <c r="CC27" s="4938"/>
      <c r="CD27" s="4938"/>
      <c r="CE27" s="4938"/>
      <c r="CF27" s="4938"/>
      <c r="CG27" s="4938"/>
      <c r="CH27" s="4938"/>
      <c r="CI27" s="4938"/>
      <c r="CJ27" s="4938"/>
      <c r="CK27" s="4938"/>
      <c r="CL27" s="4938"/>
      <c r="CM27" s="4938"/>
      <c r="CN27" s="4938"/>
      <c r="CO27" s="4938"/>
      <c r="CP27" s="4938"/>
      <c r="CQ27" s="4938"/>
      <c r="CR27" s="4938"/>
      <c r="CS27" s="4938"/>
      <c r="CT27" s="4938"/>
      <c r="CU27" s="4938"/>
      <c r="CV27" s="4938"/>
      <c r="CW27" s="4938"/>
      <c r="CX27" s="4938"/>
      <c r="CY27" s="4938"/>
      <c r="CZ27" s="4938"/>
      <c r="DA27" s="4938"/>
      <c r="DB27" s="4938"/>
      <c r="DC27" s="4938"/>
      <c r="DD27" s="4938"/>
      <c r="DE27" s="4938"/>
      <c r="DF27" s="4938"/>
      <c r="DG27" s="4938"/>
      <c r="DH27" s="4938"/>
      <c r="DI27" s="4938"/>
      <c r="DJ27" s="4938"/>
      <c r="DK27" s="4938"/>
      <c r="DL27" s="4938"/>
      <c r="DM27" s="4938"/>
      <c r="DN27" s="4938"/>
      <c r="DO27" s="4938"/>
      <c r="DP27" s="4938"/>
      <c r="DQ27" s="4938"/>
      <c r="DR27" s="4938"/>
      <c r="DS27" s="4938"/>
      <c r="DT27" s="4938"/>
      <c r="DU27" s="4938"/>
      <c r="DV27" s="4938"/>
      <c r="DW27" s="4938"/>
      <c r="DX27" s="4938"/>
      <c r="DY27" s="4938"/>
      <c r="DZ27" s="4938"/>
      <c r="EA27" s="4938"/>
      <c r="EB27" s="4938"/>
      <c r="EC27" s="4938"/>
      <c r="ED27" s="4938"/>
      <c r="EE27" s="4938"/>
      <c r="EF27" s="4938"/>
      <c r="EG27" s="4938"/>
      <c r="EH27" s="4938"/>
      <c r="EI27" s="4938"/>
      <c r="EJ27" s="4938"/>
      <c r="EK27" s="4938"/>
      <c r="EL27" s="4938"/>
      <c r="EM27" s="4938"/>
      <c r="EN27" s="4938"/>
      <c r="EO27" s="4938"/>
      <c r="EP27" s="4938"/>
      <c r="EQ27" s="4938"/>
      <c r="ER27" s="4938"/>
      <c r="ES27" s="4938"/>
      <c r="ET27" s="4938"/>
      <c r="EU27" s="4938"/>
      <c r="EV27" s="4938"/>
      <c r="EW27" s="4938"/>
      <c r="EX27" s="4938"/>
      <c r="EY27" s="4938"/>
      <c r="EZ27" s="4938"/>
      <c r="FA27" s="4938"/>
      <c r="FB27" s="4938"/>
      <c r="FC27" s="4938"/>
      <c r="FD27" s="4938"/>
      <c r="FE27" s="4938"/>
      <c r="FF27" s="4938"/>
      <c r="FG27" s="4938"/>
      <c r="FH27" s="4938"/>
      <c r="FI27" s="4938"/>
      <c r="FJ27" s="4938"/>
      <c r="FK27" s="4938"/>
      <c r="FL27" s="4938"/>
      <c r="FM27" s="4938"/>
      <c r="FN27" s="4938"/>
      <c r="FO27" s="4938"/>
      <c r="FP27" s="4938"/>
      <c r="FQ27" s="4938"/>
      <c r="FR27" s="4938"/>
      <c r="FS27" s="4938"/>
      <c r="FT27" s="4938"/>
      <c r="FU27" s="4938"/>
      <c r="FV27" s="4938"/>
      <c r="FW27" s="4938"/>
      <c r="FX27" s="4938"/>
      <c r="FY27" s="4938"/>
      <c r="FZ27" s="4938"/>
      <c r="GA27" s="4938"/>
      <c r="GB27" s="4938"/>
      <c r="GC27" s="4938"/>
      <c r="GD27" s="4938"/>
      <c r="GE27" s="4938"/>
    </row>
    <row r="28" spans="3:187" ht="13.5" customHeight="1" outlineLevel="1">
      <c r="C28" s="4954"/>
      <c r="D28" s="4959" t="s">
        <v>5101</v>
      </c>
      <c r="E28" s="4913"/>
      <c r="F28" s="4753"/>
      <c r="G28" s="4753"/>
      <c r="H28" s="4753">
        <f>H88</f>
        <v>0</v>
      </c>
      <c r="I28" s="4753">
        <f>H28+H29-H30</f>
        <v>0</v>
      </c>
      <c r="J28" s="4753">
        <f t="shared" ref="J28:BU28" si="42">I28+I29-I30</f>
        <v>0</v>
      </c>
      <c r="K28" s="4753">
        <f t="shared" si="42"/>
        <v>0</v>
      </c>
      <c r="L28" s="4753">
        <f t="shared" si="42"/>
        <v>0</v>
      </c>
      <c r="M28" s="4753">
        <f t="shared" si="42"/>
        <v>0</v>
      </c>
      <c r="N28" s="4753">
        <f t="shared" si="42"/>
        <v>0</v>
      </c>
      <c r="O28" s="4753">
        <f t="shared" si="42"/>
        <v>0</v>
      </c>
      <c r="P28" s="4753">
        <f t="shared" si="42"/>
        <v>0</v>
      </c>
      <c r="Q28" s="4753">
        <f t="shared" si="42"/>
        <v>0</v>
      </c>
      <c r="R28" s="4753">
        <f t="shared" si="42"/>
        <v>0</v>
      </c>
      <c r="S28" s="4753">
        <f t="shared" si="42"/>
        <v>0</v>
      </c>
      <c r="T28" s="4753">
        <f t="shared" si="42"/>
        <v>0</v>
      </c>
      <c r="U28" s="4753">
        <f t="shared" si="42"/>
        <v>0</v>
      </c>
      <c r="V28" s="4753">
        <f t="shared" si="42"/>
        <v>0</v>
      </c>
      <c r="W28" s="4753">
        <f t="shared" si="42"/>
        <v>0</v>
      </c>
      <c r="X28" s="4753">
        <f t="shared" si="42"/>
        <v>0</v>
      </c>
      <c r="Y28" s="4753">
        <f t="shared" si="42"/>
        <v>0</v>
      </c>
      <c r="Z28" s="4753">
        <f t="shared" si="42"/>
        <v>0</v>
      </c>
      <c r="AA28" s="4753">
        <f t="shared" si="42"/>
        <v>0</v>
      </c>
      <c r="AB28" s="4753">
        <f t="shared" si="42"/>
        <v>0</v>
      </c>
      <c r="AC28" s="4753">
        <f t="shared" si="42"/>
        <v>0</v>
      </c>
      <c r="AD28" s="4753">
        <f t="shared" si="42"/>
        <v>0</v>
      </c>
      <c r="AE28" s="4753">
        <f t="shared" si="42"/>
        <v>0</v>
      </c>
      <c r="AF28" s="4753">
        <f t="shared" si="42"/>
        <v>0</v>
      </c>
      <c r="AG28" s="4753">
        <f t="shared" si="42"/>
        <v>0</v>
      </c>
      <c r="AH28" s="4753">
        <f t="shared" si="42"/>
        <v>0</v>
      </c>
      <c r="AI28" s="4753">
        <f t="shared" si="42"/>
        <v>0</v>
      </c>
      <c r="AJ28" s="4753">
        <f t="shared" si="42"/>
        <v>0</v>
      </c>
      <c r="AK28" s="4753">
        <f t="shared" si="42"/>
        <v>0</v>
      </c>
      <c r="AL28" s="4753">
        <f t="shared" si="42"/>
        <v>0</v>
      </c>
      <c r="AM28" s="4753">
        <f t="shared" si="42"/>
        <v>0</v>
      </c>
      <c r="AN28" s="4753">
        <f t="shared" si="42"/>
        <v>0</v>
      </c>
      <c r="AO28" s="4753">
        <f t="shared" si="42"/>
        <v>0</v>
      </c>
      <c r="AP28" s="4753">
        <f t="shared" si="42"/>
        <v>0</v>
      </c>
      <c r="AQ28" s="4753">
        <f t="shared" si="42"/>
        <v>0</v>
      </c>
      <c r="AR28" s="4753">
        <f t="shared" si="42"/>
        <v>0</v>
      </c>
      <c r="AS28" s="4753">
        <f t="shared" si="42"/>
        <v>0</v>
      </c>
      <c r="AT28" s="4753">
        <f t="shared" si="42"/>
        <v>0</v>
      </c>
      <c r="AU28" s="4753">
        <f t="shared" si="42"/>
        <v>0</v>
      </c>
      <c r="AV28" s="4753">
        <f t="shared" si="42"/>
        <v>0</v>
      </c>
      <c r="AW28" s="4753">
        <f t="shared" si="42"/>
        <v>0</v>
      </c>
      <c r="AX28" s="4753">
        <f t="shared" si="42"/>
        <v>0</v>
      </c>
      <c r="AY28" s="4753">
        <f t="shared" si="42"/>
        <v>0</v>
      </c>
      <c r="AZ28" s="4753">
        <f t="shared" si="42"/>
        <v>0</v>
      </c>
      <c r="BA28" s="4753">
        <f t="shared" si="42"/>
        <v>0</v>
      </c>
      <c r="BB28" s="4753">
        <f t="shared" si="42"/>
        <v>0</v>
      </c>
      <c r="BC28" s="4753">
        <f t="shared" si="42"/>
        <v>0</v>
      </c>
      <c r="BD28" s="4753">
        <f t="shared" si="42"/>
        <v>0</v>
      </c>
      <c r="BE28" s="4753">
        <f t="shared" si="42"/>
        <v>0</v>
      </c>
      <c r="BF28" s="4753">
        <f t="shared" si="42"/>
        <v>0</v>
      </c>
      <c r="BG28" s="4753">
        <f t="shared" si="42"/>
        <v>0</v>
      </c>
      <c r="BH28" s="4753">
        <f t="shared" si="42"/>
        <v>0</v>
      </c>
      <c r="BI28" s="4753">
        <f t="shared" si="42"/>
        <v>0</v>
      </c>
      <c r="BJ28" s="4753">
        <f t="shared" si="42"/>
        <v>0</v>
      </c>
      <c r="BK28" s="4753">
        <f t="shared" si="42"/>
        <v>0</v>
      </c>
      <c r="BL28" s="4753">
        <f t="shared" si="42"/>
        <v>0</v>
      </c>
      <c r="BM28" s="4753">
        <f t="shared" si="42"/>
        <v>0</v>
      </c>
      <c r="BN28" s="4753">
        <f t="shared" si="42"/>
        <v>0</v>
      </c>
      <c r="BO28" s="4753">
        <f t="shared" si="42"/>
        <v>0</v>
      </c>
      <c r="BP28" s="4753">
        <f t="shared" si="42"/>
        <v>0</v>
      </c>
      <c r="BQ28" s="4753">
        <f t="shared" si="42"/>
        <v>0</v>
      </c>
      <c r="BR28" s="4753">
        <f t="shared" si="42"/>
        <v>0</v>
      </c>
      <c r="BS28" s="4753">
        <f t="shared" si="42"/>
        <v>0</v>
      </c>
      <c r="BT28" s="4753">
        <f t="shared" si="42"/>
        <v>0</v>
      </c>
      <c r="BU28" s="4753">
        <f t="shared" si="42"/>
        <v>0</v>
      </c>
      <c r="BV28" s="4753">
        <f t="shared" ref="BV28:EG28" si="43">BU28+BU29-BU30</f>
        <v>0</v>
      </c>
      <c r="BW28" s="4753">
        <f t="shared" si="43"/>
        <v>0</v>
      </c>
      <c r="BX28" s="4753">
        <f t="shared" si="43"/>
        <v>0</v>
      </c>
      <c r="BY28" s="4753">
        <f t="shared" si="43"/>
        <v>0</v>
      </c>
      <c r="BZ28" s="4753">
        <f t="shared" si="43"/>
        <v>0</v>
      </c>
      <c r="CA28" s="4753">
        <f t="shared" si="43"/>
        <v>0</v>
      </c>
      <c r="CB28" s="4753">
        <f t="shared" si="43"/>
        <v>0</v>
      </c>
      <c r="CC28" s="4753">
        <f t="shared" si="43"/>
        <v>0</v>
      </c>
      <c r="CD28" s="4753">
        <f t="shared" si="43"/>
        <v>0</v>
      </c>
      <c r="CE28" s="4753">
        <f t="shared" si="43"/>
        <v>0</v>
      </c>
      <c r="CF28" s="4753">
        <f t="shared" si="43"/>
        <v>0</v>
      </c>
      <c r="CG28" s="4753">
        <f t="shared" si="43"/>
        <v>0</v>
      </c>
      <c r="CH28" s="4753">
        <f t="shared" si="43"/>
        <v>0</v>
      </c>
      <c r="CI28" s="4753">
        <f t="shared" si="43"/>
        <v>0</v>
      </c>
      <c r="CJ28" s="4753">
        <f t="shared" si="43"/>
        <v>0</v>
      </c>
      <c r="CK28" s="4753">
        <f t="shared" si="43"/>
        <v>0</v>
      </c>
      <c r="CL28" s="4753">
        <f t="shared" si="43"/>
        <v>0</v>
      </c>
      <c r="CM28" s="4753">
        <f t="shared" si="43"/>
        <v>0</v>
      </c>
      <c r="CN28" s="4753">
        <f t="shared" si="43"/>
        <v>0</v>
      </c>
      <c r="CO28" s="4753">
        <f t="shared" si="43"/>
        <v>0</v>
      </c>
      <c r="CP28" s="4753">
        <f t="shared" si="43"/>
        <v>0</v>
      </c>
      <c r="CQ28" s="4753">
        <f t="shared" si="43"/>
        <v>0</v>
      </c>
      <c r="CR28" s="4753">
        <f t="shared" si="43"/>
        <v>0</v>
      </c>
      <c r="CS28" s="4753">
        <f t="shared" si="43"/>
        <v>0</v>
      </c>
      <c r="CT28" s="4753">
        <f t="shared" si="43"/>
        <v>0</v>
      </c>
      <c r="CU28" s="4753">
        <f t="shared" si="43"/>
        <v>0</v>
      </c>
      <c r="CV28" s="4753">
        <f t="shared" si="43"/>
        <v>0</v>
      </c>
      <c r="CW28" s="4753">
        <f t="shared" si="43"/>
        <v>0</v>
      </c>
      <c r="CX28" s="4753">
        <f t="shared" si="43"/>
        <v>0</v>
      </c>
      <c r="CY28" s="4753">
        <f t="shared" si="43"/>
        <v>0</v>
      </c>
      <c r="CZ28" s="4753">
        <f t="shared" si="43"/>
        <v>0</v>
      </c>
      <c r="DA28" s="4753">
        <f t="shared" si="43"/>
        <v>0</v>
      </c>
      <c r="DB28" s="4753">
        <f t="shared" si="43"/>
        <v>0</v>
      </c>
      <c r="DC28" s="4753">
        <f t="shared" si="43"/>
        <v>0</v>
      </c>
      <c r="DD28" s="4753">
        <f t="shared" si="43"/>
        <v>0</v>
      </c>
      <c r="DE28" s="4753">
        <f t="shared" si="43"/>
        <v>0</v>
      </c>
      <c r="DF28" s="4753">
        <f t="shared" si="43"/>
        <v>0</v>
      </c>
      <c r="DG28" s="4753">
        <f t="shared" si="43"/>
        <v>0</v>
      </c>
      <c r="DH28" s="4753">
        <f t="shared" si="43"/>
        <v>0</v>
      </c>
      <c r="DI28" s="4753">
        <f t="shared" si="43"/>
        <v>0</v>
      </c>
      <c r="DJ28" s="4753">
        <f t="shared" si="43"/>
        <v>0</v>
      </c>
      <c r="DK28" s="4753">
        <f t="shared" si="43"/>
        <v>0</v>
      </c>
      <c r="DL28" s="4753">
        <f t="shared" si="43"/>
        <v>0</v>
      </c>
      <c r="DM28" s="4753">
        <f t="shared" si="43"/>
        <v>0</v>
      </c>
      <c r="DN28" s="4753">
        <f t="shared" si="43"/>
        <v>0</v>
      </c>
      <c r="DO28" s="4753">
        <f t="shared" si="43"/>
        <v>0</v>
      </c>
      <c r="DP28" s="4753">
        <f t="shared" si="43"/>
        <v>0</v>
      </c>
      <c r="DQ28" s="4753">
        <f t="shared" si="43"/>
        <v>0</v>
      </c>
      <c r="DR28" s="4753">
        <f t="shared" si="43"/>
        <v>0</v>
      </c>
      <c r="DS28" s="4753">
        <f t="shared" si="43"/>
        <v>0</v>
      </c>
      <c r="DT28" s="4753">
        <f t="shared" si="43"/>
        <v>0</v>
      </c>
      <c r="DU28" s="4753">
        <f t="shared" si="43"/>
        <v>0</v>
      </c>
      <c r="DV28" s="4753">
        <f t="shared" si="43"/>
        <v>0</v>
      </c>
      <c r="DW28" s="4753">
        <f t="shared" si="43"/>
        <v>0</v>
      </c>
      <c r="DX28" s="4753">
        <f t="shared" si="43"/>
        <v>0</v>
      </c>
      <c r="DY28" s="4753">
        <f t="shared" si="43"/>
        <v>0</v>
      </c>
      <c r="DZ28" s="4753">
        <f t="shared" si="43"/>
        <v>0</v>
      </c>
      <c r="EA28" s="4753">
        <f t="shared" si="43"/>
        <v>0</v>
      </c>
      <c r="EB28" s="4753">
        <f t="shared" si="43"/>
        <v>0</v>
      </c>
      <c r="EC28" s="4753">
        <f t="shared" si="43"/>
        <v>0</v>
      </c>
      <c r="ED28" s="4753">
        <f t="shared" si="43"/>
        <v>0</v>
      </c>
      <c r="EE28" s="4753">
        <f t="shared" si="43"/>
        <v>0</v>
      </c>
      <c r="EF28" s="4753">
        <f t="shared" si="43"/>
        <v>0</v>
      </c>
      <c r="EG28" s="4753">
        <f t="shared" si="43"/>
        <v>0</v>
      </c>
      <c r="EH28" s="4753">
        <f t="shared" ref="EH28:GE28" si="44">EG28+EG29-EG30</f>
        <v>0</v>
      </c>
      <c r="EI28" s="4753">
        <f t="shared" si="44"/>
        <v>0</v>
      </c>
      <c r="EJ28" s="4753">
        <f t="shared" si="44"/>
        <v>0</v>
      </c>
      <c r="EK28" s="4753">
        <f t="shared" si="44"/>
        <v>0</v>
      </c>
      <c r="EL28" s="4753">
        <f t="shared" si="44"/>
        <v>0</v>
      </c>
      <c r="EM28" s="4753">
        <f t="shared" si="44"/>
        <v>0</v>
      </c>
      <c r="EN28" s="4753">
        <f t="shared" si="44"/>
        <v>0</v>
      </c>
      <c r="EO28" s="4753">
        <f t="shared" si="44"/>
        <v>0</v>
      </c>
      <c r="EP28" s="4753">
        <f t="shared" si="44"/>
        <v>0</v>
      </c>
      <c r="EQ28" s="4753">
        <f t="shared" si="44"/>
        <v>0</v>
      </c>
      <c r="ER28" s="4753">
        <f t="shared" si="44"/>
        <v>0</v>
      </c>
      <c r="ES28" s="4753">
        <f t="shared" si="44"/>
        <v>0</v>
      </c>
      <c r="ET28" s="4753">
        <f t="shared" si="44"/>
        <v>0</v>
      </c>
      <c r="EU28" s="4753">
        <f t="shared" si="44"/>
        <v>0</v>
      </c>
      <c r="EV28" s="4753">
        <f t="shared" si="44"/>
        <v>0</v>
      </c>
      <c r="EW28" s="4753">
        <f t="shared" si="44"/>
        <v>0</v>
      </c>
      <c r="EX28" s="4753">
        <f t="shared" si="44"/>
        <v>0</v>
      </c>
      <c r="EY28" s="4753">
        <f t="shared" si="44"/>
        <v>0</v>
      </c>
      <c r="EZ28" s="4753">
        <f t="shared" si="44"/>
        <v>0</v>
      </c>
      <c r="FA28" s="4753">
        <f t="shared" si="44"/>
        <v>0</v>
      </c>
      <c r="FB28" s="4753">
        <f t="shared" si="44"/>
        <v>0</v>
      </c>
      <c r="FC28" s="4753">
        <f t="shared" si="44"/>
        <v>0</v>
      </c>
      <c r="FD28" s="4753">
        <f t="shared" si="44"/>
        <v>0</v>
      </c>
      <c r="FE28" s="4753">
        <f t="shared" si="44"/>
        <v>0</v>
      </c>
      <c r="FF28" s="4753">
        <f t="shared" si="44"/>
        <v>0</v>
      </c>
      <c r="FG28" s="4753">
        <f t="shared" si="44"/>
        <v>0</v>
      </c>
      <c r="FH28" s="4753">
        <f t="shared" si="44"/>
        <v>0</v>
      </c>
      <c r="FI28" s="4753">
        <f t="shared" si="44"/>
        <v>0</v>
      </c>
      <c r="FJ28" s="4753">
        <f t="shared" si="44"/>
        <v>0</v>
      </c>
      <c r="FK28" s="4753">
        <f t="shared" si="44"/>
        <v>0</v>
      </c>
      <c r="FL28" s="4753">
        <f t="shared" si="44"/>
        <v>0</v>
      </c>
      <c r="FM28" s="4753">
        <f t="shared" si="44"/>
        <v>0</v>
      </c>
      <c r="FN28" s="4753">
        <f t="shared" si="44"/>
        <v>0</v>
      </c>
      <c r="FO28" s="4753">
        <f t="shared" si="44"/>
        <v>0</v>
      </c>
      <c r="FP28" s="4753">
        <f t="shared" si="44"/>
        <v>0</v>
      </c>
      <c r="FQ28" s="4753">
        <f t="shared" si="44"/>
        <v>0</v>
      </c>
      <c r="FR28" s="4753">
        <f t="shared" si="44"/>
        <v>0</v>
      </c>
      <c r="FS28" s="4753">
        <f t="shared" si="44"/>
        <v>0</v>
      </c>
      <c r="FT28" s="4753">
        <f t="shared" si="44"/>
        <v>0</v>
      </c>
      <c r="FU28" s="4753">
        <f t="shared" si="44"/>
        <v>0</v>
      </c>
      <c r="FV28" s="4753">
        <f t="shared" si="44"/>
        <v>0</v>
      </c>
      <c r="FW28" s="4753">
        <f t="shared" si="44"/>
        <v>0</v>
      </c>
      <c r="FX28" s="4753">
        <f t="shared" si="44"/>
        <v>0</v>
      </c>
      <c r="FY28" s="4753">
        <f t="shared" si="44"/>
        <v>0</v>
      </c>
      <c r="FZ28" s="4753">
        <f t="shared" si="44"/>
        <v>0</v>
      </c>
      <c r="GA28" s="4753">
        <f t="shared" si="44"/>
        <v>0</v>
      </c>
      <c r="GB28" s="4753">
        <f t="shared" si="44"/>
        <v>0</v>
      </c>
      <c r="GC28" s="4753">
        <f t="shared" si="44"/>
        <v>0</v>
      </c>
      <c r="GD28" s="4753">
        <f t="shared" si="44"/>
        <v>0</v>
      </c>
      <c r="GE28" s="4753">
        <f t="shared" si="44"/>
        <v>0</v>
      </c>
    </row>
    <row r="29" spans="3:187" ht="13.5" customHeight="1" outlineLevel="1">
      <c r="C29" s="4955"/>
      <c r="D29" s="4959" t="s">
        <v>5103</v>
      </c>
      <c r="E29" s="4913"/>
      <c r="F29" s="4753"/>
      <c r="G29" s="4753"/>
      <c r="H29" s="4753"/>
      <c r="I29" s="4753"/>
      <c r="J29" s="4753"/>
      <c r="K29" s="4753"/>
      <c r="L29" s="4753"/>
      <c r="M29" s="4753"/>
      <c r="N29" s="4753"/>
      <c r="O29" s="4753"/>
      <c r="P29" s="4753"/>
      <c r="Q29" s="4753"/>
      <c r="R29" s="4753"/>
      <c r="S29" s="4753"/>
      <c r="T29" s="4753"/>
      <c r="U29" s="4753"/>
      <c r="V29" s="4753"/>
      <c r="W29" s="4753"/>
      <c r="X29" s="4753"/>
      <c r="Y29" s="4753"/>
      <c r="Z29" s="4753"/>
      <c r="AA29" s="4753"/>
      <c r="AB29" s="4753"/>
      <c r="AC29" s="4753"/>
      <c r="AD29" s="4753"/>
      <c r="AE29" s="4753"/>
      <c r="AF29" s="4753"/>
      <c r="AG29" s="4753"/>
      <c r="AH29" s="4753"/>
      <c r="AI29" s="4753"/>
      <c r="AJ29" s="4753"/>
      <c r="AK29" s="4753"/>
      <c r="AL29" s="4753"/>
      <c r="AM29" s="4753"/>
      <c r="AN29" s="4753"/>
      <c r="AO29" s="4753"/>
      <c r="AP29" s="4753"/>
      <c r="AQ29" s="4753"/>
      <c r="AR29" s="4753"/>
      <c r="AS29" s="4753"/>
      <c r="AT29" s="4753"/>
      <c r="AU29" s="4753"/>
      <c r="AV29" s="4753"/>
      <c r="AW29" s="4753"/>
      <c r="AX29" s="4753"/>
      <c r="AY29" s="4753"/>
      <c r="AZ29" s="4753"/>
      <c r="BA29" s="4753"/>
      <c r="BB29" s="4753"/>
      <c r="BC29" s="4753"/>
      <c r="BD29" s="4753"/>
      <c r="BE29" s="4753"/>
      <c r="BF29" s="4753"/>
      <c r="BG29" s="4753"/>
      <c r="BH29" s="4753"/>
      <c r="BI29" s="4753"/>
      <c r="BJ29" s="4753"/>
      <c r="BK29" s="4753"/>
      <c r="BL29" s="4753"/>
      <c r="BM29" s="4753"/>
      <c r="BN29" s="4753"/>
      <c r="BO29" s="4753"/>
      <c r="BP29" s="4753"/>
      <c r="BQ29" s="4753"/>
      <c r="BR29" s="4753"/>
      <c r="BS29" s="4753"/>
      <c r="BT29" s="4753"/>
      <c r="BU29" s="4753"/>
      <c r="BV29" s="4753"/>
      <c r="BW29" s="4753"/>
      <c r="BX29" s="4753"/>
      <c r="BY29" s="4753"/>
      <c r="BZ29" s="4753"/>
      <c r="CA29" s="4753"/>
      <c r="CB29" s="4753"/>
      <c r="CC29" s="4753"/>
      <c r="CD29" s="4753"/>
      <c r="CE29" s="4753"/>
      <c r="CF29" s="4753"/>
      <c r="CG29" s="4753"/>
      <c r="CH29" s="4753"/>
      <c r="CI29" s="4753"/>
      <c r="CJ29" s="4753"/>
      <c r="CK29" s="4753"/>
      <c r="CL29" s="4753"/>
      <c r="CM29" s="4753"/>
      <c r="CN29" s="4753"/>
      <c r="CO29" s="4753"/>
      <c r="CP29" s="4753"/>
      <c r="CQ29" s="4753"/>
      <c r="CR29" s="4753"/>
      <c r="CS29" s="4753"/>
      <c r="CT29" s="4753"/>
      <c r="CU29" s="4753"/>
      <c r="CV29" s="4753"/>
      <c r="CW29" s="4753"/>
      <c r="CX29" s="4753"/>
      <c r="CY29" s="4753"/>
      <c r="CZ29" s="4753"/>
      <c r="DA29" s="4753"/>
      <c r="DB29" s="4753"/>
      <c r="DC29" s="4753"/>
      <c r="DD29" s="4753"/>
      <c r="DE29" s="4753"/>
      <c r="DF29" s="4753"/>
      <c r="DG29" s="4753"/>
      <c r="DH29" s="4753"/>
      <c r="DI29" s="4753"/>
      <c r="DJ29" s="4753"/>
      <c r="DK29" s="4753"/>
      <c r="DL29" s="4753"/>
      <c r="DM29" s="4753"/>
      <c r="DN29" s="4753"/>
      <c r="DO29" s="4753"/>
      <c r="DP29" s="4753"/>
      <c r="DQ29" s="4753"/>
      <c r="DR29" s="4753"/>
      <c r="DS29" s="4753"/>
      <c r="DT29" s="4753"/>
      <c r="DU29" s="4753"/>
      <c r="DV29" s="4753"/>
      <c r="DW29" s="4753"/>
      <c r="DX29" s="4753"/>
      <c r="DY29" s="4753"/>
      <c r="DZ29" s="4753"/>
      <c r="EA29" s="4753"/>
      <c r="EB29" s="4753"/>
      <c r="EC29" s="4753"/>
      <c r="ED29" s="4753"/>
      <c r="EE29" s="4753"/>
      <c r="EF29" s="4753"/>
      <c r="EG29" s="4753"/>
      <c r="EH29" s="4753"/>
      <c r="EI29" s="4753"/>
      <c r="EJ29" s="4753"/>
      <c r="EK29" s="4753"/>
      <c r="EL29" s="4753"/>
      <c r="EM29" s="4753"/>
      <c r="EN29" s="4753"/>
      <c r="EO29" s="4753"/>
      <c r="EP29" s="4753"/>
      <c r="EQ29" s="4753"/>
      <c r="ER29" s="4753"/>
      <c r="ES29" s="4753"/>
      <c r="ET29" s="4753"/>
      <c r="EU29" s="4753"/>
      <c r="EV29" s="4753"/>
      <c r="EW29" s="4753"/>
      <c r="EX29" s="4753"/>
      <c r="EY29" s="4753"/>
      <c r="EZ29" s="4753"/>
      <c r="FA29" s="4753"/>
      <c r="FB29" s="4753"/>
      <c r="FC29" s="4753"/>
      <c r="FD29" s="4753"/>
      <c r="FE29" s="4753"/>
      <c r="FF29" s="4753"/>
      <c r="FG29" s="4753"/>
      <c r="FH29" s="4753"/>
      <c r="FI29" s="4753"/>
      <c r="FJ29" s="4753"/>
      <c r="FK29" s="4753"/>
      <c r="FL29" s="4753"/>
      <c r="FM29" s="4753"/>
      <c r="FN29" s="4753"/>
      <c r="FO29" s="4753"/>
      <c r="FP29" s="4753"/>
      <c r="FQ29" s="4753"/>
      <c r="FR29" s="4753"/>
      <c r="FS29" s="4753"/>
      <c r="FT29" s="4753"/>
      <c r="FU29" s="4753"/>
      <c r="FV29" s="4753"/>
      <c r="FW29" s="4753"/>
      <c r="FX29" s="4753"/>
      <c r="FY29" s="4753"/>
      <c r="FZ29" s="4753"/>
      <c r="GA29" s="4753"/>
      <c r="GB29" s="4753"/>
      <c r="GC29" s="4753"/>
      <c r="GD29" s="4753"/>
      <c r="GE29" s="4753"/>
    </row>
    <row r="30" spans="3:187" ht="13.5" customHeight="1" outlineLevel="1">
      <c r="C30" s="4955"/>
      <c r="D30" s="4959" t="s">
        <v>5102</v>
      </c>
      <c r="E30" s="4913"/>
      <c r="F30" s="4753">
        <f>SUM(H30:FO30)</f>
        <v>0</v>
      </c>
      <c r="G30" s="4753"/>
      <c r="H30" s="4753">
        <f>H89*(H$4&lt;Sensitivity!$E$9)+H28*(H$4=Sensitivity!$E$9)</f>
        <v>0</v>
      </c>
      <c r="I30" s="4753">
        <f>I89*(I$4&lt;Sensitivity!$E$9)+I28*(I$4=Sensitivity!$E$9)</f>
        <v>0</v>
      </c>
      <c r="J30" s="4753">
        <f>J89*(J$4&lt;Sensitivity!$E$9)+J28*(J$4=Sensitivity!$E$9)</f>
        <v>0</v>
      </c>
      <c r="K30" s="4753">
        <f>K89*(K$4&lt;Sensitivity!$E$9)+K28*(K$4=Sensitivity!$E$9)</f>
        <v>0</v>
      </c>
      <c r="L30" s="4753">
        <f>L89*(L$4&lt;Sensitivity!$E$9)+L28*(L$4=Sensitivity!$E$9)</f>
        <v>0</v>
      </c>
      <c r="M30" s="4753">
        <f>M89*(M$4&lt;Sensitivity!$E$9)+M28*(M$4=Sensitivity!$E$9)</f>
        <v>0</v>
      </c>
      <c r="N30" s="4753">
        <f>N89*(N$4&lt;Sensitivity!$E$9)+N28*(N$4=Sensitivity!$E$9)</f>
        <v>0</v>
      </c>
      <c r="O30" s="4753">
        <f>O89*(O$4&lt;Sensitivity!$E$9)+O28*(O$4=Sensitivity!$E$9)</f>
        <v>0</v>
      </c>
      <c r="P30" s="4753">
        <f>P89*(P$4&lt;Sensitivity!$E$9)+P28*(P$4=Sensitivity!$E$9)</f>
        <v>0</v>
      </c>
      <c r="Q30" s="4753">
        <f>Q89*(Q$4&lt;Sensitivity!$E$9)+Q28*(Q$4=Sensitivity!$E$9)</f>
        <v>0</v>
      </c>
      <c r="R30" s="4753">
        <f>R89*(R$4&lt;Sensitivity!$E$9)+R28*(R$4=Sensitivity!$E$9)</f>
        <v>0</v>
      </c>
      <c r="S30" s="4753">
        <f>S89*(S$4&lt;Sensitivity!$E$9)+S28*(S$4=Sensitivity!$E$9)</f>
        <v>0</v>
      </c>
      <c r="T30" s="4753">
        <f>T89*(T$4&lt;Sensitivity!$E$9)+T28*(T$4=Sensitivity!$E$9)</f>
        <v>0</v>
      </c>
      <c r="U30" s="4753">
        <f>U89*(U$4&lt;Sensitivity!$E$9)+U28*(U$4=Sensitivity!$E$9)</f>
        <v>0</v>
      </c>
      <c r="V30" s="4753">
        <f>V89*(V$4&lt;Sensitivity!$E$9)+V28*(V$4=Sensitivity!$E$9)</f>
        <v>0</v>
      </c>
      <c r="W30" s="4753">
        <f>W89*(W$4&lt;Sensitivity!$E$9)+W28*(W$4=Sensitivity!$E$9)</f>
        <v>0</v>
      </c>
      <c r="X30" s="4753">
        <f>X89*(X$4&lt;Sensitivity!$E$9)+X28*(X$4=Sensitivity!$E$9)</f>
        <v>0</v>
      </c>
      <c r="Y30" s="4753">
        <f>Y89*(Y$4&lt;Sensitivity!$E$9)+Y28*(Y$4=Sensitivity!$E$9)</f>
        <v>0</v>
      </c>
      <c r="Z30" s="4753">
        <f>Z89*(Z$4&lt;Sensitivity!$E$9)+Z28*(Z$4=Sensitivity!$E$9)</f>
        <v>0</v>
      </c>
      <c r="AA30" s="4753">
        <f>AA89*(AA$4&lt;Sensitivity!$E$9)+AA28*(AA$4=Sensitivity!$E$9)</f>
        <v>0</v>
      </c>
      <c r="AB30" s="4753">
        <f>AB89*(AB$4&lt;Sensitivity!$E$9)+AB28*(AB$4=Sensitivity!$E$9)</f>
        <v>0</v>
      </c>
      <c r="AC30" s="4753">
        <f>AC89*(AC$4&lt;Sensitivity!$E$9)+AC28*(AC$4=Sensitivity!$E$9)</f>
        <v>0</v>
      </c>
      <c r="AD30" s="4753">
        <f>AD89*(AD$4&lt;Sensitivity!$E$9)+AD28*(AD$4=Sensitivity!$E$9)</f>
        <v>0</v>
      </c>
      <c r="AE30" s="4753">
        <f>AE89*(AE$4&lt;Sensitivity!$E$9)+AE28*(AE$4=Sensitivity!$E$9)</f>
        <v>0</v>
      </c>
      <c r="AF30" s="4753">
        <f>AF89*(AF$4&lt;Sensitivity!$E$9)+AF28*(AF$4=Sensitivity!$E$9)</f>
        <v>0</v>
      </c>
      <c r="AG30" s="4753">
        <f>AG89*(AG$4&lt;Sensitivity!$E$9)+AG28*(AG$4=Sensitivity!$E$9)</f>
        <v>0</v>
      </c>
      <c r="AH30" s="4753">
        <f>AH89*(AH$4&lt;Sensitivity!$E$9)+AH28*(AH$4=Sensitivity!$E$9)</f>
        <v>0</v>
      </c>
      <c r="AI30" s="4753">
        <f>AI89*(AI$4&lt;Sensitivity!$E$9)+AI28*(AI$4=Sensitivity!$E$9)</f>
        <v>0</v>
      </c>
      <c r="AJ30" s="4753">
        <f>AJ89*(AJ$4&lt;Sensitivity!$E$9)+AJ28*(AJ$4=Sensitivity!$E$9)</f>
        <v>0</v>
      </c>
      <c r="AK30" s="4753">
        <f>AK89*(AK$4&lt;Sensitivity!$E$9)+AK28*(AK$4=Sensitivity!$E$9)</f>
        <v>0</v>
      </c>
      <c r="AL30" s="4753">
        <f>AL89*(AL$4&lt;Sensitivity!$E$9)+AL28*(AL$4=Sensitivity!$E$9)</f>
        <v>0</v>
      </c>
      <c r="AM30" s="4753">
        <f>AM89*(AM$4&lt;Sensitivity!$E$9)+AM28*(AM$4=Sensitivity!$E$9)</f>
        <v>0</v>
      </c>
      <c r="AN30" s="4753">
        <f>AN89*(AN$4&lt;Sensitivity!$E$9)+AN28*(AN$4=Sensitivity!$E$9)</f>
        <v>0</v>
      </c>
      <c r="AO30" s="4753">
        <f>AO89*(AO$4&lt;Sensitivity!$E$9)+AO28*(AO$4=Sensitivity!$E$9)</f>
        <v>0</v>
      </c>
      <c r="AP30" s="4753">
        <f>AP89*(AP$4&lt;Sensitivity!$E$9)+AP28*(AP$4=Sensitivity!$E$9)</f>
        <v>0</v>
      </c>
      <c r="AQ30" s="4753">
        <f>AQ89*(AQ$4&lt;Sensitivity!$E$9)+AQ28*(AQ$4=Sensitivity!$E$9)</f>
        <v>0</v>
      </c>
      <c r="AR30" s="4753">
        <f>AR89*(AR$4&lt;Sensitivity!$E$9)+AR28*(AR$4=Sensitivity!$E$9)</f>
        <v>0</v>
      </c>
      <c r="AS30" s="4753">
        <f>AS89*(AS$4&lt;Sensitivity!$E$9)+AS28*(AS$4=Sensitivity!$E$9)</f>
        <v>0</v>
      </c>
      <c r="AT30" s="4753">
        <f>AT89*(AT$4&lt;Sensitivity!$E$9)+AT28*(AT$4=Sensitivity!$E$9)</f>
        <v>0</v>
      </c>
      <c r="AU30" s="4753">
        <f>AU89*(AU$4&lt;Sensitivity!$E$9)+AU28*(AU$4=Sensitivity!$E$9)</f>
        <v>0</v>
      </c>
      <c r="AV30" s="4753">
        <f>AV89*(AV$4&lt;Sensitivity!$E$9)+AV28*(AV$4=Sensitivity!$E$9)</f>
        <v>0</v>
      </c>
      <c r="AW30" s="4753">
        <f>AW89*(AW$4&lt;Sensitivity!$E$9)+AW28*(AW$4=Sensitivity!$E$9)</f>
        <v>0</v>
      </c>
      <c r="AX30" s="4753">
        <f>AX89*(AX$4&lt;Sensitivity!$E$9)+AX28*(AX$4=Sensitivity!$E$9)</f>
        <v>0</v>
      </c>
      <c r="AY30" s="4753">
        <f>AY89*(AY$4&lt;Sensitivity!$E$9)+AY28*(AY$4=Sensitivity!$E$9)</f>
        <v>0</v>
      </c>
      <c r="AZ30" s="4753">
        <f>AZ89*(AZ$4&lt;Sensitivity!$E$9)+AZ28*(AZ$4=Sensitivity!$E$9)</f>
        <v>0</v>
      </c>
      <c r="BA30" s="4753">
        <f>BA89*(BA$4&lt;Sensitivity!$E$9)+BA28*(BA$4=Sensitivity!$E$9)</f>
        <v>0</v>
      </c>
      <c r="BB30" s="4753">
        <f>BB89*(BB$4&lt;Sensitivity!$E$9)+BB28*(BB$4=Sensitivity!$E$9)</f>
        <v>0</v>
      </c>
      <c r="BC30" s="4753">
        <f>BC89*(BC$4&lt;Sensitivity!$E$9)+BC28*(BC$4=Sensitivity!$E$9)</f>
        <v>0</v>
      </c>
      <c r="BD30" s="4753">
        <f>BD89*(BD$4&lt;Sensitivity!$E$9)+BD28*(BD$4=Sensitivity!$E$9)</f>
        <v>0</v>
      </c>
      <c r="BE30" s="4753">
        <f>BE89*(BE$4&lt;Sensitivity!$E$9)+BE28*(BE$4=Sensitivity!$E$9)</f>
        <v>0</v>
      </c>
      <c r="BF30" s="4753">
        <f>BF89*(BF$4&lt;Sensitivity!$E$9)+BF28*(BF$4=Sensitivity!$E$9)</f>
        <v>0</v>
      </c>
      <c r="BG30" s="4753">
        <f>BG89*(BG$4&lt;Sensitivity!$E$9)+BG28*(BG$4=Sensitivity!$E$9)</f>
        <v>0</v>
      </c>
      <c r="BH30" s="4753">
        <f>BH89*(BH$4&lt;Sensitivity!$E$9)+BH28*(BH$4=Sensitivity!$E$9)</f>
        <v>0</v>
      </c>
      <c r="BI30" s="4753">
        <f>BI89*(BI$4&lt;Sensitivity!$E$9)+BI28*(BI$4=Sensitivity!$E$9)</f>
        <v>0</v>
      </c>
      <c r="BJ30" s="4753">
        <f>BJ89*(BJ$4&lt;Sensitivity!$E$9)+BJ28*(BJ$4=Sensitivity!$E$9)</f>
        <v>0</v>
      </c>
      <c r="BK30" s="4753">
        <f>BK89*(BK$4&lt;Sensitivity!$E$9)+BK28*(BK$4=Sensitivity!$E$9)</f>
        <v>0</v>
      </c>
      <c r="BL30" s="4753">
        <f>BL89*(BL$4&lt;Sensitivity!$E$9)+BL28*(BL$4=Sensitivity!$E$9)</f>
        <v>0</v>
      </c>
      <c r="BM30" s="4753">
        <f>BM89*(BM$4&lt;Sensitivity!$E$9)+BM28*(BM$4=Sensitivity!$E$9)</f>
        <v>0</v>
      </c>
      <c r="BN30" s="4753">
        <f>BN89*(BN$4&lt;Sensitivity!$E$9)+BN28*(BN$4=Sensitivity!$E$9)</f>
        <v>0</v>
      </c>
      <c r="BO30" s="4753">
        <f>BO89*(BO$4&lt;Sensitivity!$E$9)+BO28*(BO$4=Sensitivity!$E$9)</f>
        <v>0</v>
      </c>
      <c r="BP30" s="4753">
        <f>BP89*(BP$4&lt;Sensitivity!$E$9)+BP28*(BP$4=Sensitivity!$E$9)</f>
        <v>0</v>
      </c>
      <c r="BQ30" s="4753">
        <f>BQ89*(BQ$4&lt;Sensitivity!$E$9)+BQ28*(BQ$4=Sensitivity!$E$9)</f>
        <v>0</v>
      </c>
      <c r="BR30" s="4753">
        <f>BR89*(BR$4&lt;Sensitivity!$E$9)+BR28*(BR$4=Sensitivity!$E$9)</f>
        <v>0</v>
      </c>
      <c r="BS30" s="4753">
        <f>BS89*(BS$4&lt;Sensitivity!$E$9)+BS28*(BS$4=Sensitivity!$E$9)</f>
        <v>0</v>
      </c>
      <c r="BT30" s="4753">
        <f>BT89*(BT$4&lt;Sensitivity!$E$9)+BT28*(BT$4=Sensitivity!$E$9)</f>
        <v>0</v>
      </c>
      <c r="BU30" s="4753">
        <f>BU89*(BU$4&lt;Sensitivity!$E$9)+BU28*(BU$4=Sensitivity!$E$9)</f>
        <v>0</v>
      </c>
      <c r="BV30" s="4753">
        <f>BV89*(BV$4&lt;Sensitivity!$E$9)+BV28*(BV$4=Sensitivity!$E$9)</f>
        <v>0</v>
      </c>
      <c r="BW30" s="4753">
        <f>BW89*(BW$4&lt;Sensitivity!$E$9)+BW28*(BW$4=Sensitivity!$E$9)</f>
        <v>0</v>
      </c>
      <c r="BX30" s="4753">
        <f>BX89*(BX$4&lt;Sensitivity!$E$9)+BX28*(BX$4=Sensitivity!$E$9)</f>
        <v>0</v>
      </c>
      <c r="BY30" s="4753">
        <f>BY89*(BY$4&lt;Sensitivity!$E$9)+BY28*(BY$4=Sensitivity!$E$9)</f>
        <v>0</v>
      </c>
      <c r="BZ30" s="4753">
        <f>BZ89*(BZ$4&lt;Sensitivity!$E$9)+BZ28*(BZ$4=Sensitivity!$E$9)</f>
        <v>0</v>
      </c>
      <c r="CA30" s="4753">
        <f>CA89*(CA$4&lt;Sensitivity!$E$9)+CA28*(CA$4=Sensitivity!$E$9)</f>
        <v>0</v>
      </c>
      <c r="CB30" s="4753">
        <f>CB89*(CB$4&lt;Sensitivity!$E$9)+CB28*(CB$4=Sensitivity!$E$9)</f>
        <v>0</v>
      </c>
      <c r="CC30" s="4753">
        <f>CC89*(CC$4&lt;Sensitivity!$E$9)+CC28*(CC$4=Sensitivity!$E$9)</f>
        <v>0</v>
      </c>
      <c r="CD30" s="4753">
        <f>CD89*(CD$4&lt;Sensitivity!$E$9)+CD28*(CD$4=Sensitivity!$E$9)</f>
        <v>0</v>
      </c>
      <c r="CE30" s="4753">
        <f>CE89*(CE$4&lt;Sensitivity!$E$9)+CE28*(CE$4=Sensitivity!$E$9)</f>
        <v>0</v>
      </c>
      <c r="CF30" s="4753">
        <f>CF89*(CF$4&lt;Sensitivity!$E$9)+CF28*(CF$4=Sensitivity!$E$9)</f>
        <v>0</v>
      </c>
      <c r="CG30" s="4753">
        <f>CG89*(CG$4&lt;Sensitivity!$E$9)+CG28*(CG$4=Sensitivity!$E$9)</f>
        <v>0</v>
      </c>
      <c r="CH30" s="4753">
        <f>CH89*(CH$4&lt;Sensitivity!$E$9)+CH28*(CH$4=Sensitivity!$E$9)</f>
        <v>0</v>
      </c>
      <c r="CI30" s="4753">
        <f>CI89*(CI$4&lt;Sensitivity!$E$9)+CI28*(CI$4=Sensitivity!$E$9)</f>
        <v>0</v>
      </c>
      <c r="CJ30" s="4753">
        <f>CJ89*(CJ$4&lt;Sensitivity!$E$9)+CJ28*(CJ$4=Sensitivity!$E$9)</f>
        <v>0</v>
      </c>
      <c r="CK30" s="4753">
        <f>CK89*(CK$4&lt;Sensitivity!$E$9)+CK28*(CK$4=Sensitivity!$E$9)</f>
        <v>0</v>
      </c>
      <c r="CL30" s="4753">
        <f>CL89*(CL$4&lt;Sensitivity!$E$9)+CL28*(CL$4=Sensitivity!$E$9)</f>
        <v>0</v>
      </c>
      <c r="CM30" s="4753">
        <f>CM89*(CM$4&lt;Sensitivity!$E$9)+CM28*(CM$4=Sensitivity!$E$9)</f>
        <v>0</v>
      </c>
      <c r="CN30" s="4753">
        <f>CN89*(CN$4&lt;Sensitivity!$E$9)+CN28*(CN$4=Sensitivity!$E$9)</f>
        <v>0</v>
      </c>
      <c r="CO30" s="4753">
        <f>CO89*(CO$4&lt;Sensitivity!$E$9)+CO28*(CO$4=Sensitivity!$E$9)</f>
        <v>0</v>
      </c>
      <c r="CP30" s="4753">
        <f>CP89*(CP$4&lt;Sensitivity!$E$9)+CP28*(CP$4=Sensitivity!$E$9)</f>
        <v>0</v>
      </c>
      <c r="CQ30" s="4753">
        <f>CQ89*(CQ$4&lt;Sensitivity!$E$9)+CQ28*(CQ$4=Sensitivity!$E$9)</f>
        <v>0</v>
      </c>
      <c r="CR30" s="4753">
        <f>CR89*(CR$4&lt;Sensitivity!$E$9)+CR28*(CR$4=Sensitivity!$E$9)</f>
        <v>0</v>
      </c>
      <c r="CS30" s="4753">
        <f>CS89*(CS$4&lt;Sensitivity!$E$9)+CS28*(CS$4=Sensitivity!$E$9)</f>
        <v>0</v>
      </c>
      <c r="CT30" s="4753">
        <f>CT89*(CT$4&lt;Sensitivity!$E$9)+CT28*(CT$4=Sensitivity!$E$9)</f>
        <v>0</v>
      </c>
      <c r="CU30" s="4753">
        <f>CU89*(CU$4&lt;Sensitivity!$E$9)+CU28*(CU$4=Sensitivity!$E$9)</f>
        <v>0</v>
      </c>
      <c r="CV30" s="4753">
        <f>CV89*(CV$4&lt;Sensitivity!$E$9)+CV28*(CV$4=Sensitivity!$E$9)</f>
        <v>0</v>
      </c>
      <c r="CW30" s="4753">
        <f>CW89*(CW$4&lt;Sensitivity!$E$9)+CW28*(CW$4=Sensitivity!$E$9)</f>
        <v>0</v>
      </c>
      <c r="CX30" s="4753">
        <f>CX89*(CX$4&lt;Sensitivity!$E$9)+CX28*(CX$4=Sensitivity!$E$9)</f>
        <v>0</v>
      </c>
      <c r="CY30" s="4753">
        <f>CY89*(CY$4&lt;Sensitivity!$E$9)+CY28*(CY$4=Sensitivity!$E$9)</f>
        <v>0</v>
      </c>
      <c r="CZ30" s="4753">
        <f>CZ89*(CZ$4&lt;Sensitivity!$E$9)+CZ28*(CZ$4=Sensitivity!$E$9)</f>
        <v>0</v>
      </c>
      <c r="DA30" s="4753">
        <f>DA89*(DA$4&lt;Sensitivity!$E$9)+DA28*(DA$4=Sensitivity!$E$9)</f>
        <v>0</v>
      </c>
      <c r="DB30" s="4753">
        <f>DB89*(DB$4&lt;Sensitivity!$E$9)+DB28*(DB$4=Sensitivity!$E$9)</f>
        <v>0</v>
      </c>
      <c r="DC30" s="4753">
        <f>DC89*(DC$4&lt;Sensitivity!$E$9)+DC28*(DC$4=Sensitivity!$E$9)</f>
        <v>0</v>
      </c>
      <c r="DD30" s="4753">
        <f>DD89*(DD$4&lt;Sensitivity!$E$9)+DD28*(DD$4=Sensitivity!$E$9)</f>
        <v>0</v>
      </c>
      <c r="DE30" s="4753">
        <f>DE89*(DE$4&lt;Sensitivity!$E$9)+DE28*(DE$4=Sensitivity!$E$9)</f>
        <v>0</v>
      </c>
      <c r="DF30" s="4753">
        <f>DF89*(DF$4&lt;Sensitivity!$E$9)+DF28*(DF$4=Sensitivity!$E$9)</f>
        <v>0</v>
      </c>
      <c r="DG30" s="4753">
        <f>DG89*(DG$4&lt;Sensitivity!$E$9)+DG28*(DG$4=Sensitivity!$E$9)</f>
        <v>0</v>
      </c>
      <c r="DH30" s="4753">
        <f>DH89*(DH$4&lt;Sensitivity!$E$9)+DH28*(DH$4=Sensitivity!$E$9)</f>
        <v>0</v>
      </c>
      <c r="DI30" s="4753">
        <f>DI89*(DI$4&lt;Sensitivity!$E$9)+DI28*(DI$4=Sensitivity!$E$9)</f>
        <v>0</v>
      </c>
      <c r="DJ30" s="4753">
        <f>DJ89*(DJ$4&lt;Sensitivity!$E$9)+DJ28*(DJ$4=Sensitivity!$E$9)</f>
        <v>0</v>
      </c>
      <c r="DK30" s="4753">
        <f>DK89*(DK$4&lt;Sensitivity!$E$9)+DK28*(DK$4=Sensitivity!$E$9)</f>
        <v>0</v>
      </c>
      <c r="DL30" s="4753">
        <f>DL89*(DL$4&lt;Sensitivity!$E$9)+DL28*(DL$4=Sensitivity!$E$9)</f>
        <v>0</v>
      </c>
      <c r="DM30" s="4753">
        <f>DM89*(DM$4&lt;Sensitivity!$E$9)+DM28*(DM$4=Sensitivity!$E$9)</f>
        <v>0</v>
      </c>
      <c r="DN30" s="4753">
        <f>DN89*(DN$4&lt;Sensitivity!$E$9)+DN28*(DN$4=Sensitivity!$E$9)</f>
        <v>0</v>
      </c>
      <c r="DO30" s="4753">
        <f>DO89*(DO$4&lt;Sensitivity!$E$9)+DO28*(DO$4=Sensitivity!$E$9)</f>
        <v>0</v>
      </c>
      <c r="DP30" s="4753">
        <f>DP89*(DP$4&lt;Sensitivity!$E$9)+DP28*(DP$4=Sensitivity!$E$9)</f>
        <v>0</v>
      </c>
      <c r="DQ30" s="4753">
        <f>DQ89*(DQ$4&lt;Sensitivity!$E$9)+DQ28*(DQ$4=Sensitivity!$E$9)</f>
        <v>0</v>
      </c>
      <c r="DR30" s="4753">
        <f>DR89*(DR$4&lt;Sensitivity!$E$9)+DR28*(DR$4=Sensitivity!$E$9)</f>
        <v>0</v>
      </c>
      <c r="DS30" s="4753">
        <f>DS89*(DS$4&lt;Sensitivity!$E$9)+DS28*(DS$4=Sensitivity!$E$9)</f>
        <v>0</v>
      </c>
      <c r="DT30" s="4753">
        <f>DT89*(DT$4&lt;Sensitivity!$E$9)+DT28*(DT$4=Sensitivity!$E$9)</f>
        <v>0</v>
      </c>
      <c r="DU30" s="4753">
        <f>DU89*(DU$4&lt;Sensitivity!$E$9)+DU28*(DU$4=Sensitivity!$E$9)</f>
        <v>0</v>
      </c>
      <c r="DV30" s="4753">
        <f>DV89*(DV$4&lt;Sensitivity!$E$9)+DV28*(DV$4=Sensitivity!$E$9)</f>
        <v>0</v>
      </c>
      <c r="DW30" s="4753">
        <f>DW89*(DW$4&lt;Sensitivity!$E$9)+DW28*(DW$4=Sensitivity!$E$9)</f>
        <v>0</v>
      </c>
      <c r="DX30" s="4753">
        <f>DX89*(DX$4&lt;Sensitivity!$E$9)+DX28*(DX$4=Sensitivity!$E$9)</f>
        <v>0</v>
      </c>
      <c r="DY30" s="4753">
        <f>DY89*(DY$4&lt;Sensitivity!$E$9)+DY28*(DY$4=Sensitivity!$E$9)</f>
        <v>0</v>
      </c>
      <c r="DZ30" s="4753">
        <f>DZ89*(DZ$4&lt;Sensitivity!$E$9)+DZ28*(DZ$4=Sensitivity!$E$9)</f>
        <v>0</v>
      </c>
      <c r="EA30" s="4753">
        <f>EA89*(EA$4&lt;Sensitivity!$E$9)+EA28*(EA$4=Sensitivity!$E$9)</f>
        <v>0</v>
      </c>
      <c r="EB30" s="4753">
        <f>EB89*(EB$4&lt;Sensitivity!$E$9)+EB28*(EB$4=Sensitivity!$E$9)</f>
        <v>0</v>
      </c>
      <c r="EC30" s="4753">
        <f>EC89*(EC$4&lt;Sensitivity!$E$9)+EC28*(EC$4=Sensitivity!$E$9)</f>
        <v>0</v>
      </c>
      <c r="ED30" s="4753">
        <f>ED89*(ED$4&lt;Sensitivity!$E$9)+ED28*(ED$4=Sensitivity!$E$9)</f>
        <v>0</v>
      </c>
      <c r="EE30" s="4753">
        <f>EE89*(EE$4&lt;Sensitivity!$E$9)+EE28*(EE$4=Sensitivity!$E$9)</f>
        <v>0</v>
      </c>
      <c r="EF30" s="4753">
        <f>EF89*(EF$4&lt;Sensitivity!$E$9)+EF28*(EF$4=Sensitivity!$E$9)</f>
        <v>0</v>
      </c>
      <c r="EG30" s="4753">
        <f>EG89*(EG$4&lt;Sensitivity!$E$9)+EG28*(EG$4=Sensitivity!$E$9)</f>
        <v>0</v>
      </c>
      <c r="EH30" s="4753">
        <f>EH89*(EH$4&lt;Sensitivity!$E$9)+EH28*(EH$4=Sensitivity!$E$9)</f>
        <v>0</v>
      </c>
      <c r="EI30" s="4753">
        <f>EI89*(EI$4&lt;Sensitivity!$E$9)+EI28*(EI$4=Sensitivity!$E$9)</f>
        <v>0</v>
      </c>
      <c r="EJ30" s="4753">
        <f>EJ89*(EJ$4&lt;Sensitivity!$E$9)+EJ28*(EJ$4=Sensitivity!$E$9)</f>
        <v>0</v>
      </c>
      <c r="EK30" s="4753">
        <f>EK89*(EK$4&lt;Sensitivity!$E$9)+EK28*(EK$4=Sensitivity!$E$9)</f>
        <v>0</v>
      </c>
      <c r="EL30" s="4753">
        <f>EL89*(EL$4&lt;Sensitivity!$E$9)+EL28*(EL$4=Sensitivity!$E$9)</f>
        <v>0</v>
      </c>
      <c r="EM30" s="4753">
        <f>EM89*(EM$4&lt;Sensitivity!$E$9)+EM28*(EM$4=Sensitivity!$E$9)</f>
        <v>0</v>
      </c>
      <c r="EN30" s="4753">
        <f>EN89*(EN$4&lt;Sensitivity!$E$9)+EN28*(EN$4=Sensitivity!$E$9)</f>
        <v>0</v>
      </c>
      <c r="EO30" s="4753">
        <f>EO89*(EO$4&lt;Sensitivity!$E$9)+EO28*(EO$4=Sensitivity!$E$9)</f>
        <v>0</v>
      </c>
      <c r="EP30" s="4753">
        <f>EP89*(EP$4&lt;Sensitivity!$E$9)+EP28*(EP$4=Sensitivity!$E$9)</f>
        <v>0</v>
      </c>
      <c r="EQ30" s="4753">
        <f>EQ89*(EQ$4&lt;Sensitivity!$E$9)+EQ28*(EQ$4=Sensitivity!$E$9)</f>
        <v>0</v>
      </c>
      <c r="ER30" s="4753">
        <f>ER89*(ER$4&lt;Sensitivity!$E$9)+ER28*(ER$4=Sensitivity!$E$9)</f>
        <v>0</v>
      </c>
      <c r="ES30" s="4753">
        <f>ES89*(ES$4&lt;Sensitivity!$E$9)+ES28*(ES$4=Sensitivity!$E$9)</f>
        <v>0</v>
      </c>
      <c r="ET30" s="4753">
        <f>ET89*(ET$4&lt;Sensitivity!$E$9)+ET28*(ET$4=Sensitivity!$E$9)</f>
        <v>0</v>
      </c>
      <c r="EU30" s="4753">
        <f>EU89*(EU$4&lt;Sensitivity!$E$9)+EU28*(EU$4=Sensitivity!$E$9)</f>
        <v>0</v>
      </c>
      <c r="EV30" s="4753">
        <f>EV89*(EV$4&lt;Sensitivity!$E$9)+EV28*(EV$4=Sensitivity!$E$9)</f>
        <v>0</v>
      </c>
      <c r="EW30" s="4753">
        <f>EW89*(EW$4&lt;Sensitivity!$E$9)+EW28*(EW$4=Sensitivity!$E$9)</f>
        <v>0</v>
      </c>
      <c r="EX30" s="4753">
        <f>EX89*(EX$4&lt;Sensitivity!$E$9)+EX28*(EX$4=Sensitivity!$E$9)</f>
        <v>0</v>
      </c>
      <c r="EY30" s="4753">
        <f>EY89*(EY$4&lt;Sensitivity!$E$9)+EY28*(EY$4=Sensitivity!$E$9)</f>
        <v>0</v>
      </c>
      <c r="EZ30" s="4753">
        <f>EZ89*(EZ$4&lt;Sensitivity!$E$9)+EZ28*(EZ$4=Sensitivity!$E$9)</f>
        <v>0</v>
      </c>
      <c r="FA30" s="4753">
        <f>FA89*(FA$4&lt;Sensitivity!$E$9)+FA28*(FA$4=Sensitivity!$E$9)</f>
        <v>0</v>
      </c>
      <c r="FB30" s="4753">
        <f>FB89*(FB$4&lt;Sensitivity!$E$9)+FB28*(FB$4=Sensitivity!$E$9)</f>
        <v>0</v>
      </c>
      <c r="FC30" s="4753">
        <f>FC89*(FC$4&lt;Sensitivity!$E$9)+FC28*(FC$4=Sensitivity!$E$9)</f>
        <v>0</v>
      </c>
      <c r="FD30" s="4753">
        <f>FD89*(FD$4&lt;Sensitivity!$E$9)+FD28*(FD$4=Sensitivity!$E$9)</f>
        <v>0</v>
      </c>
      <c r="FE30" s="4753">
        <f>FE89*(FE$4&lt;Sensitivity!$E$9)+FE28*(FE$4=Sensitivity!$E$9)</f>
        <v>0</v>
      </c>
      <c r="FF30" s="4753">
        <f>FF89*(FF$4&lt;Sensitivity!$E$9)+FF28*(FF$4=Sensitivity!$E$9)</f>
        <v>0</v>
      </c>
      <c r="FG30" s="4753">
        <f>FG89*(FG$4&lt;Sensitivity!$E$9)+FG28*(FG$4=Sensitivity!$E$9)</f>
        <v>0</v>
      </c>
      <c r="FH30" s="4753">
        <f>FH89*(FH$4&lt;Sensitivity!$E$9)+FH28*(FH$4=Sensitivity!$E$9)</f>
        <v>0</v>
      </c>
      <c r="FI30" s="4753">
        <f>FI89*(FI$4&lt;Sensitivity!$E$9)+FI28*(FI$4=Sensitivity!$E$9)</f>
        <v>0</v>
      </c>
      <c r="FJ30" s="4753">
        <f>FJ89*(FJ$4&lt;Sensitivity!$E$9)+FJ28*(FJ$4=Sensitivity!$E$9)</f>
        <v>0</v>
      </c>
      <c r="FK30" s="4753">
        <f>FK89*(FK$4&lt;Sensitivity!$E$9)+FK28*(FK$4=Sensitivity!$E$9)</f>
        <v>0</v>
      </c>
      <c r="FL30" s="4753">
        <f>FL89*(FL$4&lt;Sensitivity!$E$9)+FL28*(FL$4=Sensitivity!$E$9)</f>
        <v>0</v>
      </c>
      <c r="FM30" s="4753">
        <f>FM89*(FM$4&lt;Sensitivity!$E$9)+FM28*(FM$4=Sensitivity!$E$9)</f>
        <v>0</v>
      </c>
      <c r="FN30" s="4753">
        <f>FN89*(FN$4&lt;Sensitivity!$E$9)+FN28*(FN$4=Sensitivity!$E$9)</f>
        <v>0</v>
      </c>
      <c r="FO30" s="4753">
        <f>FO89*(FO$4&lt;Sensitivity!$E$9)+FO28*(FO$4=Sensitivity!$E$9)</f>
        <v>0</v>
      </c>
      <c r="FP30" s="4753">
        <f>FP89*(FP$4&lt;Sensitivity!$E$9)+FP28*(FP$4=Sensitivity!$E$9)</f>
        <v>0</v>
      </c>
      <c r="FQ30" s="4753">
        <f>FQ89*(FQ$4&lt;Sensitivity!$E$9)+FQ28*(FQ$4=Sensitivity!$E$9)</f>
        <v>0</v>
      </c>
      <c r="FR30" s="4753">
        <f>FR89*(FR$4&lt;Sensitivity!$E$9)+FR28*(FR$4=Sensitivity!$E$9)</f>
        <v>0</v>
      </c>
      <c r="FS30" s="4753">
        <f>FS89*(FS$4&lt;Sensitivity!$E$9)+FS28*(FS$4=Sensitivity!$E$9)</f>
        <v>0</v>
      </c>
      <c r="FT30" s="4753">
        <f>FT89*(FT$4&lt;Sensitivity!$E$9)+FT28*(FT$4=Sensitivity!$E$9)</f>
        <v>0</v>
      </c>
      <c r="FU30" s="4753">
        <f>FU89*(FU$4&lt;Sensitivity!$E$9)+FU28*(FU$4=Sensitivity!$E$9)</f>
        <v>0</v>
      </c>
      <c r="FV30" s="4753">
        <f>FV89*(FV$4&lt;Sensitivity!$E$9)+FV28*(FV$4=Sensitivity!$E$9)</f>
        <v>0</v>
      </c>
      <c r="FW30" s="4753">
        <f>FW89*(FW$4&lt;Sensitivity!$E$9)+FW28*(FW$4=Sensitivity!$E$9)</f>
        <v>0</v>
      </c>
      <c r="FX30" s="4753">
        <f>FX89*(FX$4&lt;Sensitivity!$E$9)+FX28*(FX$4=Sensitivity!$E$9)</f>
        <v>0</v>
      </c>
      <c r="FY30" s="4753">
        <f>FY89*(FY$4&lt;Sensitivity!$E$9)+FY28*(FY$4=Sensitivity!$E$9)</f>
        <v>0</v>
      </c>
      <c r="FZ30" s="4753">
        <f>FZ89*(FZ$4&lt;Sensitivity!$E$9)+FZ28*(FZ$4=Sensitivity!$E$9)</f>
        <v>0</v>
      </c>
      <c r="GA30" s="4753">
        <f>GA89*(GA$4&lt;Sensitivity!$E$9)+GA28*(GA$4=Sensitivity!$E$9)</f>
        <v>0</v>
      </c>
      <c r="GB30" s="4753">
        <f>GB89*(GB$4&lt;Sensitivity!$E$9)+GB28*(GB$4=Sensitivity!$E$9)</f>
        <v>0</v>
      </c>
      <c r="GC30" s="4753">
        <f>GC89*(GC$4&lt;Sensitivity!$E$9)+GC28*(GC$4=Sensitivity!$E$9)</f>
        <v>0</v>
      </c>
      <c r="GD30" s="4753">
        <f>GD89*(GD$4&lt;Sensitivity!$E$9)+GD28*(GD$4=Sensitivity!$E$9)</f>
        <v>0</v>
      </c>
      <c r="GE30" s="4753">
        <f>GE89*(GE$4&lt;Sensitivity!$E$9)+GE28*(GE$4=Sensitivity!$E$9)</f>
        <v>0</v>
      </c>
    </row>
    <row r="31" spans="3:187" ht="13.5" customHeight="1" outlineLevel="1" thickBot="1">
      <c r="C31" s="733"/>
      <c r="D31" s="4960" t="s">
        <v>238</v>
      </c>
      <c r="E31" s="4961"/>
      <c r="F31" s="4942">
        <f>SUM(H31:FO31)</f>
        <v>0</v>
      </c>
      <c r="G31" s="4942"/>
      <c r="H31" s="4942">
        <f>H28*Sensitivity!$L$18*H$44/12</f>
        <v>0</v>
      </c>
      <c r="I31" s="4942">
        <f>I28*Sensitivity!$L$18*I$44/12</f>
        <v>0</v>
      </c>
      <c r="J31" s="4942">
        <f>J28*Sensitivity!$L$18*J$44/12</f>
        <v>0</v>
      </c>
      <c r="K31" s="4942">
        <f>K28*Sensitivity!$L$18*K$44/12</f>
        <v>0</v>
      </c>
      <c r="L31" s="4942">
        <f>L28*Sensitivity!$L$18*L$44/12</f>
        <v>0</v>
      </c>
      <c r="M31" s="4942">
        <f>M28*Sensitivity!$L$18*M$44/12</f>
        <v>0</v>
      </c>
      <c r="N31" s="4942">
        <f>N28*Sensitivity!$L$18*N$44/12</f>
        <v>0</v>
      </c>
      <c r="O31" s="4942">
        <f>O28*Sensitivity!$L$18*O$44/12</f>
        <v>0</v>
      </c>
      <c r="P31" s="4942">
        <f>P28*Sensitivity!$L$18*P$44/12</f>
        <v>0</v>
      </c>
      <c r="Q31" s="4942">
        <f>Q28*Sensitivity!$L$18*Q$44/12</f>
        <v>0</v>
      </c>
      <c r="R31" s="4942">
        <f>R28*Sensitivity!$L$18*R$44/12</f>
        <v>0</v>
      </c>
      <c r="S31" s="4942">
        <f>S28*Sensitivity!$L$18*S$44/12</f>
        <v>0</v>
      </c>
      <c r="T31" s="4942">
        <f>T28*Sensitivity!$L$18*T$44/12</f>
        <v>0</v>
      </c>
      <c r="U31" s="4942">
        <f>U28*Sensitivity!$L$18*U$44/12</f>
        <v>0</v>
      </c>
      <c r="V31" s="4942">
        <f>V28*Sensitivity!$L$18*V$44/12</f>
        <v>0</v>
      </c>
      <c r="W31" s="4942">
        <f>W28*Sensitivity!$L$18*W$44/12</f>
        <v>0</v>
      </c>
      <c r="X31" s="4942">
        <f>X28*Sensitivity!$L$18*X$44/12</f>
        <v>0</v>
      </c>
      <c r="Y31" s="4942">
        <f>Y28*Sensitivity!$L$18*Y$44/12</f>
        <v>0</v>
      </c>
      <c r="Z31" s="4942">
        <f>Z28*Sensitivity!$L$18*Z$44/12</f>
        <v>0</v>
      </c>
      <c r="AA31" s="4942">
        <f>AA28*Sensitivity!$L$18*AA$44/12</f>
        <v>0</v>
      </c>
      <c r="AB31" s="4942">
        <f>AB28*Sensitivity!$L$18*AB$44/12</f>
        <v>0</v>
      </c>
      <c r="AC31" s="4942">
        <f>AC28*Sensitivity!$L$18*AC$44/12</f>
        <v>0</v>
      </c>
      <c r="AD31" s="4942">
        <f>AD28*Sensitivity!$L$18*AD$44/12</f>
        <v>0</v>
      </c>
      <c r="AE31" s="4942">
        <f>AE28*Sensitivity!$L$18*AE$44/12</f>
        <v>0</v>
      </c>
      <c r="AF31" s="4942">
        <f>AF28*Sensitivity!$L$18*AF$44/12</f>
        <v>0</v>
      </c>
      <c r="AG31" s="4942">
        <f>AG28*Sensitivity!$L$18*AG$44/12</f>
        <v>0</v>
      </c>
      <c r="AH31" s="4942">
        <f>AH28*Sensitivity!$L$18*AH$44/12</f>
        <v>0</v>
      </c>
      <c r="AI31" s="4942">
        <f>AI28*Sensitivity!$L$18*AI$44/12</f>
        <v>0</v>
      </c>
      <c r="AJ31" s="4942">
        <f>AJ28*Sensitivity!$L$18*AJ$44/12</f>
        <v>0</v>
      </c>
      <c r="AK31" s="4942">
        <f>AK28*Sensitivity!$L$18*AK$44/12</f>
        <v>0</v>
      </c>
      <c r="AL31" s="4942">
        <f>AL28*Sensitivity!$L$18*AL$44/12</f>
        <v>0</v>
      </c>
      <c r="AM31" s="4942">
        <f>AM28*Sensitivity!$L$18*AM$44/12</f>
        <v>0</v>
      </c>
      <c r="AN31" s="4942">
        <f>AN28*Sensitivity!$L$18*AN$44/12</f>
        <v>0</v>
      </c>
      <c r="AO31" s="4942">
        <f>AO28*Sensitivity!$L$18*AO$44/12</f>
        <v>0</v>
      </c>
      <c r="AP31" s="4942">
        <f>AP28*Sensitivity!$L$18*AP$44/12</f>
        <v>0</v>
      </c>
      <c r="AQ31" s="4942">
        <f>AQ28*Sensitivity!$L$18*AQ$44/12</f>
        <v>0</v>
      </c>
      <c r="AR31" s="4942">
        <f>AR28*Sensitivity!$L$18*AR$44/12</f>
        <v>0</v>
      </c>
      <c r="AS31" s="4942">
        <f>AS28*Sensitivity!$L$18*AS$44/12</f>
        <v>0</v>
      </c>
      <c r="AT31" s="4942">
        <f>AT28*Sensitivity!$L$18*AT$44/12</f>
        <v>0</v>
      </c>
      <c r="AU31" s="4942">
        <f>AU28*Sensitivity!$L$18*AU$44/12</f>
        <v>0</v>
      </c>
      <c r="AV31" s="4942">
        <f>AV28*Sensitivity!$L$18*AV$44/12</f>
        <v>0</v>
      </c>
      <c r="AW31" s="4942">
        <f>AW28*Sensitivity!$L$18*AW$44/12</f>
        <v>0</v>
      </c>
      <c r="AX31" s="4942">
        <f>AX28*Sensitivity!$L$18*AX$44/12</f>
        <v>0</v>
      </c>
      <c r="AY31" s="4942">
        <f>AY28*Sensitivity!$L$18*AY$44/12</f>
        <v>0</v>
      </c>
      <c r="AZ31" s="4942">
        <f>AZ28*Sensitivity!$L$18*AZ$44/12</f>
        <v>0</v>
      </c>
      <c r="BA31" s="4942">
        <f>BA28*Sensitivity!$L$18*BA$44/12</f>
        <v>0</v>
      </c>
      <c r="BB31" s="4942">
        <f>BB28*Sensitivity!$L$18*BB$44/12</f>
        <v>0</v>
      </c>
      <c r="BC31" s="4942">
        <f>BC28*Sensitivity!$L$18*BC$44/12</f>
        <v>0</v>
      </c>
      <c r="BD31" s="4942">
        <f>BD28*Sensitivity!$L$18*BD$44/12</f>
        <v>0</v>
      </c>
      <c r="BE31" s="4942">
        <f>BE28*Sensitivity!$L$18*BE$44/12</f>
        <v>0</v>
      </c>
      <c r="BF31" s="4942">
        <f>BF28*Sensitivity!$L$18*BF$44/12</f>
        <v>0</v>
      </c>
      <c r="BG31" s="4942">
        <f>BG28*Sensitivity!$L$18*BG$44/12</f>
        <v>0</v>
      </c>
      <c r="BH31" s="4942">
        <f>BH28*Sensitivity!$L$18*BH$44/12</f>
        <v>0</v>
      </c>
      <c r="BI31" s="4942">
        <f>BI28*Sensitivity!$L$18*BI$44/12</f>
        <v>0</v>
      </c>
      <c r="BJ31" s="4942">
        <f>BJ28*Sensitivity!$L$18*BJ$44/12</f>
        <v>0</v>
      </c>
      <c r="BK31" s="4942">
        <f>BK28*Sensitivity!$L$18*BK$44/12</f>
        <v>0</v>
      </c>
      <c r="BL31" s="4942">
        <f>BL28*Sensitivity!$L$18*BL$44/12</f>
        <v>0</v>
      </c>
      <c r="BM31" s="4942">
        <f>BM28*Sensitivity!$L$18*BM$44/12</f>
        <v>0</v>
      </c>
      <c r="BN31" s="4942">
        <f>BN28*Sensitivity!$L$18*BN$44/12</f>
        <v>0</v>
      </c>
      <c r="BO31" s="4942">
        <f>BO28*Sensitivity!$L$18*BO$44/12</f>
        <v>0</v>
      </c>
      <c r="BP31" s="4942">
        <f>BP28*Sensitivity!$L$18*BP$44/12</f>
        <v>0</v>
      </c>
      <c r="BQ31" s="4942">
        <f>BQ28*Sensitivity!$L$18*BQ$44/12</f>
        <v>0</v>
      </c>
      <c r="BR31" s="4942">
        <f>BR28*Sensitivity!$L$18*BR$44/12</f>
        <v>0</v>
      </c>
      <c r="BS31" s="4942">
        <f>BS28*Sensitivity!$L$18*BS$44/12</f>
        <v>0</v>
      </c>
      <c r="BT31" s="4942">
        <f>BT28*Sensitivity!$L$18*BT$44/12</f>
        <v>0</v>
      </c>
      <c r="BU31" s="4942">
        <f>BU28*Sensitivity!$L$18*BU$44/12</f>
        <v>0</v>
      </c>
      <c r="BV31" s="4942">
        <f>BV28*Sensitivity!$L$18*BV$44/12</f>
        <v>0</v>
      </c>
      <c r="BW31" s="4942">
        <f>BW28*Sensitivity!$L$18*BW$44/12</f>
        <v>0</v>
      </c>
      <c r="BX31" s="4942">
        <f>BX28*Sensitivity!$L$18*BX$44/12</f>
        <v>0</v>
      </c>
      <c r="BY31" s="4942">
        <f>BY28*Sensitivity!$L$18*BY$44/12</f>
        <v>0</v>
      </c>
      <c r="BZ31" s="4942">
        <f>BZ28*Sensitivity!$L$18*BZ$44/12</f>
        <v>0</v>
      </c>
      <c r="CA31" s="4942">
        <f>CA28*Sensitivity!$L$18*CA$44/12</f>
        <v>0</v>
      </c>
      <c r="CB31" s="4942">
        <f>CB28*Sensitivity!$L$18*CB$44/12</f>
        <v>0</v>
      </c>
      <c r="CC31" s="4942">
        <f>CC28*Sensitivity!$L$18*CC$44/12</f>
        <v>0</v>
      </c>
      <c r="CD31" s="4942">
        <f>CD28*Sensitivity!$L$18*CD$44/12</f>
        <v>0</v>
      </c>
      <c r="CE31" s="4942">
        <f>CE28*Sensitivity!$L$18*CE$44/12</f>
        <v>0</v>
      </c>
      <c r="CF31" s="4942">
        <f>CF28*Sensitivity!$L$18*CF$44/12</f>
        <v>0</v>
      </c>
      <c r="CG31" s="4942">
        <f>CG28*Sensitivity!$L$18*CG$44/12</f>
        <v>0</v>
      </c>
      <c r="CH31" s="4942">
        <f>CH28*Sensitivity!$L$18*CH$44/12</f>
        <v>0</v>
      </c>
      <c r="CI31" s="4942">
        <f>CI28*Sensitivity!$L$18*CI$44/12</f>
        <v>0</v>
      </c>
      <c r="CJ31" s="4942">
        <f>CJ28*Sensitivity!$L$18*CJ$44/12</f>
        <v>0</v>
      </c>
      <c r="CK31" s="4942">
        <f>CK28*Sensitivity!$L$18*CK$44/12</f>
        <v>0</v>
      </c>
      <c r="CL31" s="4942">
        <f>CL28*Sensitivity!$L$18*CL$44/12</f>
        <v>0</v>
      </c>
      <c r="CM31" s="4942">
        <f>CM28*Sensitivity!$L$18*CM$44/12</f>
        <v>0</v>
      </c>
      <c r="CN31" s="4942">
        <f>CN28*Sensitivity!$L$18*CN$44/12</f>
        <v>0</v>
      </c>
      <c r="CO31" s="4942">
        <f>CO28*Sensitivity!$L$18*CO$44/12</f>
        <v>0</v>
      </c>
      <c r="CP31" s="4942">
        <f>CP28*Sensitivity!$L$18*CP$44/12</f>
        <v>0</v>
      </c>
      <c r="CQ31" s="4942">
        <f>CQ28*Sensitivity!$L$18*CQ$44/12</f>
        <v>0</v>
      </c>
      <c r="CR31" s="4942">
        <f>CR28*Sensitivity!$L$18*CR$44/12</f>
        <v>0</v>
      </c>
      <c r="CS31" s="4942">
        <f>CS28*Sensitivity!$L$18*CS$44/12</f>
        <v>0</v>
      </c>
      <c r="CT31" s="4942">
        <f>CT28*Sensitivity!$L$18*CT$44/12</f>
        <v>0</v>
      </c>
      <c r="CU31" s="4942">
        <f>CU28*Sensitivity!$L$18*CU$44/12</f>
        <v>0</v>
      </c>
      <c r="CV31" s="4942">
        <f>CV28*Sensitivity!$L$18*CV$44/12</f>
        <v>0</v>
      </c>
      <c r="CW31" s="4942">
        <f>CW28*Sensitivity!$L$18*CW$44/12</f>
        <v>0</v>
      </c>
      <c r="CX31" s="4942">
        <f>CX28*Sensitivity!$L$18*CX$44/12</f>
        <v>0</v>
      </c>
      <c r="CY31" s="4942">
        <f>CY28*Sensitivity!$L$18*CY$44/12</f>
        <v>0</v>
      </c>
      <c r="CZ31" s="4942">
        <f>CZ28*Sensitivity!$L$18*CZ$44/12</f>
        <v>0</v>
      </c>
      <c r="DA31" s="4942">
        <f>DA28*Sensitivity!$L$18*DA$44/12</f>
        <v>0</v>
      </c>
      <c r="DB31" s="4942">
        <f>DB28*Sensitivity!$L$18*DB$44/12</f>
        <v>0</v>
      </c>
      <c r="DC31" s="4942">
        <f>DC28*Sensitivity!$L$18*DC$44/12</f>
        <v>0</v>
      </c>
      <c r="DD31" s="4942">
        <f>DD28*Sensitivity!$L$18*DD$44/12</f>
        <v>0</v>
      </c>
      <c r="DE31" s="4942">
        <f>DE28*Sensitivity!$L$18*DE$44/12</f>
        <v>0</v>
      </c>
      <c r="DF31" s="4942">
        <f>DF28*Sensitivity!$L$18*DF$44/12</f>
        <v>0</v>
      </c>
      <c r="DG31" s="4942">
        <f>DG28*Sensitivity!$L$18*DG$44/12</f>
        <v>0</v>
      </c>
      <c r="DH31" s="4942">
        <f>DH28*Sensitivity!$L$18*DH$44/12</f>
        <v>0</v>
      </c>
      <c r="DI31" s="4942">
        <f>DI28*Sensitivity!$L$18*DI$44/12</f>
        <v>0</v>
      </c>
      <c r="DJ31" s="4942">
        <f>DJ28*Sensitivity!$L$18*DJ$44/12</f>
        <v>0</v>
      </c>
      <c r="DK31" s="4942">
        <f>DK28*Sensitivity!$L$18*DK$44/12</f>
        <v>0</v>
      </c>
      <c r="DL31" s="4942">
        <f>DL28*Sensitivity!$L$18*DL$44/12</f>
        <v>0</v>
      </c>
      <c r="DM31" s="4942">
        <f>DM28*Sensitivity!$L$18*DM$44/12</f>
        <v>0</v>
      </c>
      <c r="DN31" s="4942">
        <f>DN28*Sensitivity!$L$18*DN$44/12</f>
        <v>0</v>
      </c>
      <c r="DO31" s="4942">
        <f>DO28*Sensitivity!$L$18*DO$44/12</f>
        <v>0</v>
      </c>
      <c r="DP31" s="4942">
        <f>DP28*Sensitivity!$L$18*DP$44/12</f>
        <v>0</v>
      </c>
      <c r="DQ31" s="4942">
        <f>DQ28*Sensitivity!$L$18*DQ$44/12</f>
        <v>0</v>
      </c>
      <c r="DR31" s="4942">
        <f>DR28*Sensitivity!$L$18*DR$44/12</f>
        <v>0</v>
      </c>
      <c r="DS31" s="4942">
        <f>DS28*Sensitivity!$L$18*DS$44/12</f>
        <v>0</v>
      </c>
      <c r="DT31" s="4942">
        <f>DT28*Sensitivity!$L$18*DT$44/12</f>
        <v>0</v>
      </c>
      <c r="DU31" s="4942">
        <f>DU28*Sensitivity!$L$18*DU$44/12</f>
        <v>0</v>
      </c>
      <c r="DV31" s="4942">
        <f>DV28*Sensitivity!$L$18*DV$44/12</f>
        <v>0</v>
      </c>
      <c r="DW31" s="4942">
        <f>DW28*Sensitivity!$L$18*DW$44/12</f>
        <v>0</v>
      </c>
      <c r="DX31" s="4942">
        <f>DX28*Sensitivity!$L$18*DX$44/12</f>
        <v>0</v>
      </c>
      <c r="DY31" s="4942">
        <f>DY28*Sensitivity!$L$18*DY$44/12</f>
        <v>0</v>
      </c>
      <c r="DZ31" s="4942">
        <f>DZ28*Sensitivity!$L$18*DZ$44/12</f>
        <v>0</v>
      </c>
      <c r="EA31" s="4942">
        <f>EA28*Sensitivity!$L$18*EA$44/12</f>
        <v>0</v>
      </c>
      <c r="EB31" s="4942">
        <f>EB28*Sensitivity!$L$18*EB$44/12</f>
        <v>0</v>
      </c>
      <c r="EC31" s="4942">
        <f>EC28*Sensitivity!$L$18*EC$44/12</f>
        <v>0</v>
      </c>
      <c r="ED31" s="4942">
        <f>ED28*Sensitivity!$L$18*ED$44/12</f>
        <v>0</v>
      </c>
      <c r="EE31" s="4942">
        <f>EE28*Sensitivity!$L$18*EE$44/12</f>
        <v>0</v>
      </c>
      <c r="EF31" s="4942">
        <f>EF28*Sensitivity!$L$18*EF$44/12</f>
        <v>0</v>
      </c>
      <c r="EG31" s="4942">
        <f>EG28*Sensitivity!$L$18*EG$44/12</f>
        <v>0</v>
      </c>
      <c r="EH31" s="4942">
        <f>EH28*Sensitivity!$L$18*EH$44/12</f>
        <v>0</v>
      </c>
      <c r="EI31" s="4942">
        <f>EI28*Sensitivity!$L$18*EI$44/12</f>
        <v>0</v>
      </c>
      <c r="EJ31" s="4942">
        <f>EJ28*Sensitivity!$L$18*EJ$44/12</f>
        <v>0</v>
      </c>
      <c r="EK31" s="4942">
        <f>EK28*Sensitivity!$L$18*EK$44/12</f>
        <v>0</v>
      </c>
      <c r="EL31" s="4942">
        <f>EL28*Sensitivity!$L$18*EL$44/12</f>
        <v>0</v>
      </c>
      <c r="EM31" s="4942">
        <f>EM28*Sensitivity!$L$18*EM$44/12</f>
        <v>0</v>
      </c>
      <c r="EN31" s="4942">
        <f>EN28*Sensitivity!$L$18*EN$44/12</f>
        <v>0</v>
      </c>
      <c r="EO31" s="4942">
        <f>EO28*Sensitivity!$L$18*EO$44/12</f>
        <v>0</v>
      </c>
      <c r="EP31" s="4942">
        <f>EP28*Sensitivity!$L$18*EP$44/12</f>
        <v>0</v>
      </c>
      <c r="EQ31" s="4942">
        <f>EQ28*Sensitivity!$L$18*EQ$44/12</f>
        <v>0</v>
      </c>
      <c r="ER31" s="4942">
        <f>ER28*Sensitivity!$L$18*ER$44/12</f>
        <v>0</v>
      </c>
      <c r="ES31" s="4942">
        <f>ES28*Sensitivity!$L$18*ES$44/12</f>
        <v>0</v>
      </c>
      <c r="ET31" s="4942">
        <f>ET28*Sensitivity!$L$18*ET$44/12</f>
        <v>0</v>
      </c>
      <c r="EU31" s="4942">
        <f>EU28*Sensitivity!$L$18*EU$44/12</f>
        <v>0</v>
      </c>
      <c r="EV31" s="4942">
        <f>EV28*Sensitivity!$L$18*EV$44/12</f>
        <v>0</v>
      </c>
      <c r="EW31" s="4942">
        <f>EW28*Sensitivity!$L$18*EW$44/12</f>
        <v>0</v>
      </c>
      <c r="EX31" s="4942">
        <f>EX28*Sensitivity!$L$18*EX$44/12</f>
        <v>0</v>
      </c>
      <c r="EY31" s="4942">
        <f>EY28*Sensitivity!$L$18*EY$44/12</f>
        <v>0</v>
      </c>
      <c r="EZ31" s="4942">
        <f>EZ28*Sensitivity!$L$18*EZ$44/12</f>
        <v>0</v>
      </c>
      <c r="FA31" s="4942">
        <f>FA28*Sensitivity!$L$18*FA$44/12</f>
        <v>0</v>
      </c>
      <c r="FB31" s="4942">
        <f>FB28*Sensitivity!$L$18*FB$44/12</f>
        <v>0</v>
      </c>
      <c r="FC31" s="4942">
        <f>FC28*Sensitivity!$L$18*FC$44/12</f>
        <v>0</v>
      </c>
      <c r="FD31" s="4942">
        <f>FD28*Sensitivity!$L$18*FD$44/12</f>
        <v>0</v>
      </c>
      <c r="FE31" s="4942">
        <f>FE28*Sensitivity!$L$18*FE$44/12</f>
        <v>0</v>
      </c>
      <c r="FF31" s="4942">
        <f>FF28*Sensitivity!$L$18*FF$44/12</f>
        <v>0</v>
      </c>
      <c r="FG31" s="4942">
        <f>FG28*Sensitivity!$L$18*FG$44/12</f>
        <v>0</v>
      </c>
      <c r="FH31" s="4942">
        <f>FH28*Sensitivity!$L$18*FH$44/12</f>
        <v>0</v>
      </c>
      <c r="FI31" s="4942">
        <f>FI28*Sensitivity!$L$18*FI$44/12</f>
        <v>0</v>
      </c>
      <c r="FJ31" s="4942">
        <f>FJ28*Sensitivity!$L$18*FJ$44/12</f>
        <v>0</v>
      </c>
      <c r="FK31" s="4942">
        <f>FK28*Sensitivity!$L$18*FK$44/12</f>
        <v>0</v>
      </c>
      <c r="FL31" s="4942">
        <f>FL28*Sensitivity!$L$18*FL$44/12</f>
        <v>0</v>
      </c>
      <c r="FM31" s="4942">
        <f>FM28*Sensitivity!$L$18*FM$44/12</f>
        <v>0</v>
      </c>
      <c r="FN31" s="4942">
        <f>FN28*Sensitivity!$L$18*FN$44/12</f>
        <v>0</v>
      </c>
      <c r="FO31" s="4942">
        <f>FO28*Sensitivity!$L$18*FO$44/12</f>
        <v>0</v>
      </c>
      <c r="FP31" s="4942">
        <f>FP28*Sensitivity!$L$18*FP$44/12</f>
        <v>0</v>
      </c>
      <c r="FQ31" s="4942">
        <f>FQ28*Sensitivity!$L$18*FQ$44/12</f>
        <v>0</v>
      </c>
      <c r="FR31" s="4942">
        <f>FR28*Sensitivity!$L$18*FR$44/12</f>
        <v>0</v>
      </c>
      <c r="FS31" s="4942">
        <f>FS28*Sensitivity!$L$18*FS$44/12</f>
        <v>0</v>
      </c>
      <c r="FT31" s="4942">
        <f>FT28*Sensitivity!$L$18*FT$44/12</f>
        <v>0</v>
      </c>
      <c r="FU31" s="4942">
        <f>FU28*Sensitivity!$L$18*FU$44/12</f>
        <v>0</v>
      </c>
      <c r="FV31" s="4942">
        <f>FV28*Sensitivity!$L$18*FV$44/12</f>
        <v>0</v>
      </c>
      <c r="FW31" s="4942">
        <f>FW28*Sensitivity!$L$18*FW$44/12</f>
        <v>0</v>
      </c>
      <c r="FX31" s="4942">
        <f>FX28*Sensitivity!$L$18*FX$44/12</f>
        <v>0</v>
      </c>
      <c r="FY31" s="4942">
        <f>FY28*Sensitivity!$L$18*FY$44/12</f>
        <v>0</v>
      </c>
      <c r="FZ31" s="4942">
        <f>FZ28*Sensitivity!$L$18*FZ$44/12</f>
        <v>0</v>
      </c>
      <c r="GA31" s="4942">
        <f>GA28*Sensitivity!$L$18*GA$44/12</f>
        <v>0</v>
      </c>
      <c r="GB31" s="4942">
        <f>GB28*Sensitivity!$L$18*GB$44/12</f>
        <v>0</v>
      </c>
      <c r="GC31" s="4942">
        <f>GC28*Sensitivity!$L$18*GC$44/12</f>
        <v>0</v>
      </c>
      <c r="GD31" s="4942">
        <f>GD28*Sensitivity!$L$18*GD$44/12</f>
        <v>0</v>
      </c>
      <c r="GE31" s="4942">
        <f>GE28*Sensitivity!$L$18*GE$44/12</f>
        <v>0</v>
      </c>
    </row>
    <row r="32" spans="3:187" ht="13.5" customHeight="1" outlineLevel="1" thickTop="1">
      <c r="C32" s="4938" t="s">
        <v>1085</v>
      </c>
      <c r="D32" s="952"/>
      <c r="E32" s="4931"/>
      <c r="F32" s="4938"/>
      <c r="G32" s="4938"/>
      <c r="H32" s="4938"/>
      <c r="I32" s="4938"/>
      <c r="J32" s="4938"/>
      <c r="K32" s="4938"/>
      <c r="L32" s="4938"/>
      <c r="M32" s="4938"/>
      <c r="N32" s="4938"/>
      <c r="O32" s="4938"/>
      <c r="P32" s="4938"/>
      <c r="Q32" s="4938"/>
      <c r="R32" s="4938"/>
      <c r="S32" s="4938"/>
      <c r="T32" s="4938"/>
      <c r="U32" s="4938"/>
      <c r="V32" s="4938"/>
      <c r="W32" s="4938"/>
      <c r="X32" s="4938"/>
      <c r="Y32" s="4938"/>
      <c r="Z32" s="4938"/>
      <c r="AA32" s="4938"/>
      <c r="AB32" s="4938"/>
      <c r="AC32" s="4938"/>
      <c r="AD32" s="4938"/>
      <c r="AE32" s="4938"/>
      <c r="AF32" s="4938"/>
      <c r="AG32" s="4938"/>
      <c r="AH32" s="4938"/>
      <c r="AI32" s="4938"/>
      <c r="AJ32" s="4938"/>
      <c r="AK32" s="4938"/>
      <c r="AL32" s="4938"/>
      <c r="AM32" s="4938"/>
      <c r="AN32" s="4938"/>
      <c r="AO32" s="4938"/>
      <c r="AP32" s="4938"/>
      <c r="AQ32" s="4938"/>
      <c r="AR32" s="4938"/>
      <c r="AS32" s="4938"/>
      <c r="AT32" s="4938"/>
      <c r="AU32" s="4938"/>
      <c r="AV32" s="4938"/>
      <c r="AW32" s="4938"/>
      <c r="AX32" s="4938"/>
      <c r="AY32" s="4938"/>
      <c r="AZ32" s="4938"/>
      <c r="BA32" s="4938"/>
      <c r="BB32" s="4938"/>
      <c r="BC32" s="4938"/>
      <c r="BD32" s="4938"/>
      <c r="BE32" s="4938"/>
      <c r="BF32" s="4938"/>
      <c r="BG32" s="4938"/>
      <c r="BH32" s="4938"/>
      <c r="BI32" s="4938"/>
      <c r="BJ32" s="4938"/>
      <c r="BK32" s="4938"/>
      <c r="BL32" s="4938"/>
      <c r="BM32" s="4938"/>
      <c r="BN32" s="4938"/>
      <c r="BO32" s="4938"/>
      <c r="BP32" s="4938"/>
      <c r="BQ32" s="4938"/>
      <c r="BR32" s="4938"/>
      <c r="BS32" s="4938"/>
      <c r="BT32" s="4938"/>
      <c r="BU32" s="4938"/>
      <c r="BV32" s="4938"/>
      <c r="BW32" s="4938"/>
      <c r="BX32" s="4938"/>
      <c r="BY32" s="4938"/>
      <c r="BZ32" s="4938"/>
      <c r="CA32" s="4938"/>
      <c r="CB32" s="4938"/>
      <c r="CC32" s="4938"/>
      <c r="CD32" s="4938"/>
      <c r="CE32" s="4938"/>
      <c r="CF32" s="4938"/>
      <c r="CG32" s="4938"/>
      <c r="CH32" s="4938"/>
      <c r="CI32" s="4938"/>
      <c r="CJ32" s="4938"/>
      <c r="CK32" s="4938"/>
      <c r="CL32" s="4938"/>
      <c r="CM32" s="4938"/>
      <c r="CN32" s="4938"/>
      <c r="CO32" s="4938"/>
      <c r="CP32" s="4938"/>
      <c r="CQ32" s="4938"/>
      <c r="CR32" s="4938"/>
      <c r="CS32" s="4938"/>
      <c r="CT32" s="4938"/>
      <c r="CU32" s="4938"/>
      <c r="CV32" s="4938"/>
      <c r="CW32" s="4938"/>
      <c r="CX32" s="4938"/>
      <c r="CY32" s="4938"/>
      <c r="CZ32" s="4938"/>
      <c r="DA32" s="4938"/>
      <c r="DB32" s="4938"/>
      <c r="DC32" s="4938"/>
      <c r="DD32" s="4938"/>
      <c r="DE32" s="4938"/>
      <c r="DF32" s="4938"/>
      <c r="DG32" s="4938"/>
      <c r="DH32" s="4938"/>
      <c r="DI32" s="4938"/>
      <c r="DJ32" s="4938"/>
      <c r="DK32" s="4938"/>
      <c r="DL32" s="4938"/>
      <c r="DM32" s="4938"/>
      <c r="DN32" s="4938"/>
      <c r="DO32" s="4938"/>
      <c r="DP32" s="4938"/>
      <c r="DQ32" s="4938"/>
      <c r="DR32" s="4938"/>
      <c r="DS32" s="4938"/>
      <c r="DT32" s="4938"/>
      <c r="DU32" s="4938"/>
      <c r="DV32" s="4938"/>
      <c r="DW32" s="4938"/>
      <c r="DX32" s="4938"/>
      <c r="DY32" s="4938"/>
      <c r="DZ32" s="4938"/>
      <c r="EA32" s="4938"/>
      <c r="EB32" s="4938"/>
      <c r="EC32" s="4938"/>
      <c r="ED32" s="4938"/>
      <c r="EE32" s="4938"/>
      <c r="EF32" s="4938"/>
      <c r="EG32" s="4938"/>
      <c r="EH32" s="4938"/>
      <c r="EI32" s="4938"/>
      <c r="EJ32" s="4938"/>
      <c r="EK32" s="4938"/>
      <c r="EL32" s="4938"/>
      <c r="EM32" s="4938"/>
      <c r="EN32" s="4938"/>
      <c r="EO32" s="4938"/>
      <c r="EP32" s="4938"/>
      <c r="EQ32" s="4938"/>
      <c r="ER32" s="4938"/>
      <c r="ES32" s="4938"/>
      <c r="ET32" s="4938"/>
      <c r="EU32" s="4938"/>
      <c r="EV32" s="4938"/>
      <c r="EW32" s="4938"/>
      <c r="EX32" s="4938"/>
      <c r="EY32" s="4938"/>
      <c r="EZ32" s="4938"/>
      <c r="FA32" s="4938"/>
      <c r="FB32" s="4938"/>
      <c r="FC32" s="4938"/>
      <c r="FD32" s="4938"/>
      <c r="FE32" s="4938"/>
      <c r="FF32" s="4938"/>
      <c r="FG32" s="4938"/>
      <c r="FH32" s="4938"/>
      <c r="FI32" s="4938"/>
      <c r="FJ32" s="4938"/>
      <c r="FK32" s="4938"/>
      <c r="FL32" s="4938"/>
      <c r="FM32" s="4938"/>
      <c r="FN32" s="4938"/>
      <c r="FO32" s="4938"/>
      <c r="FP32" s="4938"/>
      <c r="FQ32" s="4938"/>
      <c r="FR32" s="4938"/>
      <c r="FS32" s="4938"/>
      <c r="FT32" s="4938"/>
      <c r="FU32" s="4938"/>
      <c r="FV32" s="4938"/>
      <c r="FW32" s="4938"/>
      <c r="FX32" s="4938"/>
      <c r="FY32" s="4938"/>
      <c r="FZ32" s="4938"/>
      <c r="GA32" s="4938"/>
      <c r="GB32" s="4938"/>
      <c r="GC32" s="4938"/>
      <c r="GD32" s="4938"/>
      <c r="GE32" s="4938"/>
    </row>
    <row r="33" spans="3:187" ht="13.5" customHeight="1" outlineLevel="1">
      <c r="C33" s="4954"/>
      <c r="D33" s="4959" t="s">
        <v>5101</v>
      </c>
      <c r="E33" s="4913"/>
      <c r="F33" s="4753"/>
      <c r="G33" s="4753"/>
      <c r="H33" s="4753">
        <f>H92</f>
        <v>0</v>
      </c>
      <c r="I33" s="4753">
        <f>H33+H34-H35</f>
        <v>0</v>
      </c>
      <c r="J33" s="4753">
        <f t="shared" ref="J33:BU33" si="45">I33+I34-I35</f>
        <v>0</v>
      </c>
      <c r="K33" s="4753">
        <f t="shared" si="45"/>
        <v>0</v>
      </c>
      <c r="L33" s="4753">
        <f t="shared" si="45"/>
        <v>0</v>
      </c>
      <c r="M33" s="4753">
        <f t="shared" si="45"/>
        <v>0</v>
      </c>
      <c r="N33" s="4753">
        <f t="shared" si="45"/>
        <v>0</v>
      </c>
      <c r="O33" s="4753">
        <f t="shared" si="45"/>
        <v>0</v>
      </c>
      <c r="P33" s="4753">
        <f t="shared" si="45"/>
        <v>0</v>
      </c>
      <c r="Q33" s="4753">
        <f t="shared" si="45"/>
        <v>0</v>
      </c>
      <c r="R33" s="4753">
        <f t="shared" si="45"/>
        <v>0</v>
      </c>
      <c r="S33" s="4753">
        <f t="shared" si="45"/>
        <v>0</v>
      </c>
      <c r="T33" s="4753">
        <f t="shared" si="45"/>
        <v>0</v>
      </c>
      <c r="U33" s="4753">
        <f t="shared" si="45"/>
        <v>0</v>
      </c>
      <c r="V33" s="4753">
        <f t="shared" si="45"/>
        <v>0</v>
      </c>
      <c r="W33" s="4753">
        <f t="shared" si="45"/>
        <v>0</v>
      </c>
      <c r="X33" s="4753">
        <f t="shared" si="45"/>
        <v>0</v>
      </c>
      <c r="Y33" s="4753">
        <f t="shared" si="45"/>
        <v>0</v>
      </c>
      <c r="Z33" s="4753">
        <f t="shared" si="45"/>
        <v>0</v>
      </c>
      <c r="AA33" s="4753">
        <f t="shared" si="45"/>
        <v>0</v>
      </c>
      <c r="AB33" s="4753">
        <f t="shared" si="45"/>
        <v>0</v>
      </c>
      <c r="AC33" s="4753">
        <f t="shared" si="45"/>
        <v>0</v>
      </c>
      <c r="AD33" s="4753">
        <f t="shared" si="45"/>
        <v>0</v>
      </c>
      <c r="AE33" s="4753">
        <f t="shared" si="45"/>
        <v>0</v>
      </c>
      <c r="AF33" s="4753">
        <f t="shared" si="45"/>
        <v>0</v>
      </c>
      <c r="AG33" s="4753">
        <f t="shared" si="45"/>
        <v>0</v>
      </c>
      <c r="AH33" s="4753">
        <f t="shared" si="45"/>
        <v>0</v>
      </c>
      <c r="AI33" s="4753">
        <f t="shared" si="45"/>
        <v>0</v>
      </c>
      <c r="AJ33" s="4753">
        <f t="shared" si="45"/>
        <v>0</v>
      </c>
      <c r="AK33" s="4753">
        <f t="shared" si="45"/>
        <v>0</v>
      </c>
      <c r="AL33" s="4753">
        <f t="shared" si="45"/>
        <v>0</v>
      </c>
      <c r="AM33" s="4753">
        <f t="shared" si="45"/>
        <v>0</v>
      </c>
      <c r="AN33" s="4753">
        <f t="shared" si="45"/>
        <v>0</v>
      </c>
      <c r="AO33" s="4753">
        <f t="shared" si="45"/>
        <v>0</v>
      </c>
      <c r="AP33" s="4753">
        <f t="shared" si="45"/>
        <v>0</v>
      </c>
      <c r="AQ33" s="4753">
        <f t="shared" si="45"/>
        <v>0</v>
      </c>
      <c r="AR33" s="4753">
        <f t="shared" si="45"/>
        <v>0</v>
      </c>
      <c r="AS33" s="4753">
        <f t="shared" si="45"/>
        <v>0</v>
      </c>
      <c r="AT33" s="4753">
        <f t="shared" si="45"/>
        <v>0</v>
      </c>
      <c r="AU33" s="4753">
        <f t="shared" si="45"/>
        <v>0</v>
      </c>
      <c r="AV33" s="4753">
        <f t="shared" si="45"/>
        <v>0</v>
      </c>
      <c r="AW33" s="4753">
        <f t="shared" si="45"/>
        <v>0</v>
      </c>
      <c r="AX33" s="4753">
        <f t="shared" si="45"/>
        <v>0</v>
      </c>
      <c r="AY33" s="4753">
        <f t="shared" si="45"/>
        <v>0</v>
      </c>
      <c r="AZ33" s="4753">
        <f t="shared" si="45"/>
        <v>0</v>
      </c>
      <c r="BA33" s="4753">
        <f t="shared" si="45"/>
        <v>0</v>
      </c>
      <c r="BB33" s="4753">
        <f t="shared" si="45"/>
        <v>0</v>
      </c>
      <c r="BC33" s="4753">
        <f t="shared" si="45"/>
        <v>0</v>
      </c>
      <c r="BD33" s="4753">
        <f t="shared" si="45"/>
        <v>0</v>
      </c>
      <c r="BE33" s="4753">
        <f t="shared" si="45"/>
        <v>0</v>
      </c>
      <c r="BF33" s="4753">
        <f t="shared" si="45"/>
        <v>0</v>
      </c>
      <c r="BG33" s="4753">
        <f t="shared" si="45"/>
        <v>0</v>
      </c>
      <c r="BH33" s="4753">
        <f t="shared" si="45"/>
        <v>0</v>
      </c>
      <c r="BI33" s="4753">
        <f t="shared" si="45"/>
        <v>0</v>
      </c>
      <c r="BJ33" s="4753">
        <f t="shared" si="45"/>
        <v>0</v>
      </c>
      <c r="BK33" s="4753">
        <f t="shared" si="45"/>
        <v>0</v>
      </c>
      <c r="BL33" s="4753">
        <f t="shared" si="45"/>
        <v>0</v>
      </c>
      <c r="BM33" s="4753">
        <f t="shared" si="45"/>
        <v>0</v>
      </c>
      <c r="BN33" s="4753">
        <f t="shared" si="45"/>
        <v>0</v>
      </c>
      <c r="BO33" s="4753">
        <f t="shared" si="45"/>
        <v>0</v>
      </c>
      <c r="BP33" s="4753">
        <f t="shared" si="45"/>
        <v>0</v>
      </c>
      <c r="BQ33" s="4753">
        <f t="shared" si="45"/>
        <v>0</v>
      </c>
      <c r="BR33" s="4753">
        <f t="shared" si="45"/>
        <v>0</v>
      </c>
      <c r="BS33" s="4753">
        <f t="shared" si="45"/>
        <v>0</v>
      </c>
      <c r="BT33" s="4753">
        <f t="shared" si="45"/>
        <v>0</v>
      </c>
      <c r="BU33" s="4753">
        <f t="shared" si="45"/>
        <v>0</v>
      </c>
      <c r="BV33" s="4753">
        <f t="shared" ref="BV33:EG33" si="46">BU33+BU34-BU35</f>
        <v>0</v>
      </c>
      <c r="BW33" s="4753">
        <f t="shared" si="46"/>
        <v>0</v>
      </c>
      <c r="BX33" s="4753">
        <f t="shared" si="46"/>
        <v>0</v>
      </c>
      <c r="BY33" s="4753">
        <f t="shared" si="46"/>
        <v>0</v>
      </c>
      <c r="BZ33" s="4753">
        <f t="shared" si="46"/>
        <v>0</v>
      </c>
      <c r="CA33" s="4753">
        <f t="shared" si="46"/>
        <v>0</v>
      </c>
      <c r="CB33" s="4753">
        <f t="shared" si="46"/>
        <v>0</v>
      </c>
      <c r="CC33" s="4753">
        <f t="shared" si="46"/>
        <v>0</v>
      </c>
      <c r="CD33" s="4753">
        <f t="shared" si="46"/>
        <v>0</v>
      </c>
      <c r="CE33" s="4753">
        <f t="shared" si="46"/>
        <v>0</v>
      </c>
      <c r="CF33" s="4753">
        <f t="shared" si="46"/>
        <v>0</v>
      </c>
      <c r="CG33" s="4753">
        <f t="shared" si="46"/>
        <v>0</v>
      </c>
      <c r="CH33" s="4753">
        <f t="shared" si="46"/>
        <v>0</v>
      </c>
      <c r="CI33" s="4753">
        <f t="shared" si="46"/>
        <v>0</v>
      </c>
      <c r="CJ33" s="4753">
        <f t="shared" si="46"/>
        <v>0</v>
      </c>
      <c r="CK33" s="4753">
        <f t="shared" si="46"/>
        <v>0</v>
      </c>
      <c r="CL33" s="4753">
        <f t="shared" si="46"/>
        <v>0</v>
      </c>
      <c r="CM33" s="4753">
        <f t="shared" si="46"/>
        <v>0</v>
      </c>
      <c r="CN33" s="4753">
        <f t="shared" si="46"/>
        <v>0</v>
      </c>
      <c r="CO33" s="4753">
        <f t="shared" si="46"/>
        <v>0</v>
      </c>
      <c r="CP33" s="4753">
        <f t="shared" si="46"/>
        <v>0</v>
      </c>
      <c r="CQ33" s="4753">
        <f t="shared" si="46"/>
        <v>0</v>
      </c>
      <c r="CR33" s="4753">
        <f t="shared" si="46"/>
        <v>0</v>
      </c>
      <c r="CS33" s="4753">
        <f t="shared" si="46"/>
        <v>0</v>
      </c>
      <c r="CT33" s="4753">
        <f t="shared" si="46"/>
        <v>0</v>
      </c>
      <c r="CU33" s="4753">
        <f t="shared" si="46"/>
        <v>0</v>
      </c>
      <c r="CV33" s="4753">
        <f t="shared" si="46"/>
        <v>0</v>
      </c>
      <c r="CW33" s="4753">
        <f t="shared" si="46"/>
        <v>0</v>
      </c>
      <c r="CX33" s="4753">
        <f t="shared" si="46"/>
        <v>0</v>
      </c>
      <c r="CY33" s="4753">
        <f t="shared" si="46"/>
        <v>0</v>
      </c>
      <c r="CZ33" s="4753">
        <f t="shared" si="46"/>
        <v>0</v>
      </c>
      <c r="DA33" s="4753">
        <f t="shared" si="46"/>
        <v>0</v>
      </c>
      <c r="DB33" s="4753">
        <f t="shared" si="46"/>
        <v>0</v>
      </c>
      <c r="DC33" s="4753">
        <f t="shared" si="46"/>
        <v>0</v>
      </c>
      <c r="DD33" s="4753">
        <f t="shared" si="46"/>
        <v>0</v>
      </c>
      <c r="DE33" s="4753">
        <f t="shared" si="46"/>
        <v>0</v>
      </c>
      <c r="DF33" s="4753">
        <f t="shared" si="46"/>
        <v>0</v>
      </c>
      <c r="DG33" s="4753">
        <f t="shared" si="46"/>
        <v>0</v>
      </c>
      <c r="DH33" s="4753">
        <f t="shared" si="46"/>
        <v>0</v>
      </c>
      <c r="DI33" s="4753">
        <f t="shared" si="46"/>
        <v>0</v>
      </c>
      <c r="DJ33" s="4753">
        <f t="shared" si="46"/>
        <v>0</v>
      </c>
      <c r="DK33" s="4753">
        <f t="shared" si="46"/>
        <v>0</v>
      </c>
      <c r="DL33" s="4753">
        <f t="shared" si="46"/>
        <v>0</v>
      </c>
      <c r="DM33" s="4753">
        <f t="shared" si="46"/>
        <v>0</v>
      </c>
      <c r="DN33" s="4753">
        <f t="shared" si="46"/>
        <v>0</v>
      </c>
      <c r="DO33" s="4753">
        <f t="shared" si="46"/>
        <v>0</v>
      </c>
      <c r="DP33" s="4753">
        <f t="shared" si="46"/>
        <v>0</v>
      </c>
      <c r="DQ33" s="4753">
        <f t="shared" si="46"/>
        <v>0</v>
      </c>
      <c r="DR33" s="4753">
        <f t="shared" si="46"/>
        <v>0</v>
      </c>
      <c r="DS33" s="4753">
        <f t="shared" si="46"/>
        <v>0</v>
      </c>
      <c r="DT33" s="4753">
        <f t="shared" si="46"/>
        <v>0</v>
      </c>
      <c r="DU33" s="4753">
        <f t="shared" si="46"/>
        <v>0</v>
      </c>
      <c r="DV33" s="4753">
        <f t="shared" si="46"/>
        <v>0</v>
      </c>
      <c r="DW33" s="4753">
        <f t="shared" si="46"/>
        <v>0</v>
      </c>
      <c r="DX33" s="4753">
        <f t="shared" si="46"/>
        <v>0</v>
      </c>
      <c r="DY33" s="4753">
        <f t="shared" si="46"/>
        <v>0</v>
      </c>
      <c r="DZ33" s="4753">
        <f t="shared" si="46"/>
        <v>0</v>
      </c>
      <c r="EA33" s="4753">
        <f t="shared" si="46"/>
        <v>0</v>
      </c>
      <c r="EB33" s="4753">
        <f t="shared" si="46"/>
        <v>0</v>
      </c>
      <c r="EC33" s="4753">
        <f t="shared" si="46"/>
        <v>0</v>
      </c>
      <c r="ED33" s="4753">
        <f t="shared" si="46"/>
        <v>0</v>
      </c>
      <c r="EE33" s="4753">
        <f t="shared" si="46"/>
        <v>0</v>
      </c>
      <c r="EF33" s="4753">
        <f t="shared" si="46"/>
        <v>0</v>
      </c>
      <c r="EG33" s="4753">
        <f t="shared" si="46"/>
        <v>0</v>
      </c>
      <c r="EH33" s="4753">
        <f t="shared" ref="EH33:GE33" si="47">EG33+EG34-EG35</f>
        <v>0</v>
      </c>
      <c r="EI33" s="4753">
        <f t="shared" si="47"/>
        <v>0</v>
      </c>
      <c r="EJ33" s="4753">
        <f t="shared" si="47"/>
        <v>0</v>
      </c>
      <c r="EK33" s="4753">
        <f t="shared" si="47"/>
        <v>0</v>
      </c>
      <c r="EL33" s="4753">
        <f t="shared" si="47"/>
        <v>0</v>
      </c>
      <c r="EM33" s="4753">
        <f t="shared" si="47"/>
        <v>0</v>
      </c>
      <c r="EN33" s="4753">
        <f t="shared" si="47"/>
        <v>0</v>
      </c>
      <c r="EO33" s="4753">
        <f t="shared" si="47"/>
        <v>0</v>
      </c>
      <c r="EP33" s="4753">
        <f t="shared" si="47"/>
        <v>0</v>
      </c>
      <c r="EQ33" s="4753">
        <f t="shared" si="47"/>
        <v>0</v>
      </c>
      <c r="ER33" s="4753">
        <f t="shared" si="47"/>
        <v>0</v>
      </c>
      <c r="ES33" s="4753">
        <f t="shared" si="47"/>
        <v>0</v>
      </c>
      <c r="ET33" s="4753">
        <f t="shared" si="47"/>
        <v>0</v>
      </c>
      <c r="EU33" s="4753">
        <f t="shared" si="47"/>
        <v>0</v>
      </c>
      <c r="EV33" s="4753">
        <f t="shared" si="47"/>
        <v>0</v>
      </c>
      <c r="EW33" s="4753">
        <f t="shared" si="47"/>
        <v>0</v>
      </c>
      <c r="EX33" s="4753">
        <f t="shared" si="47"/>
        <v>0</v>
      </c>
      <c r="EY33" s="4753">
        <f t="shared" si="47"/>
        <v>0</v>
      </c>
      <c r="EZ33" s="4753">
        <f t="shared" si="47"/>
        <v>0</v>
      </c>
      <c r="FA33" s="4753">
        <f t="shared" si="47"/>
        <v>0</v>
      </c>
      <c r="FB33" s="4753">
        <f t="shared" si="47"/>
        <v>0</v>
      </c>
      <c r="FC33" s="4753">
        <f t="shared" si="47"/>
        <v>0</v>
      </c>
      <c r="FD33" s="4753">
        <f t="shared" si="47"/>
        <v>0</v>
      </c>
      <c r="FE33" s="4753">
        <f t="shared" si="47"/>
        <v>0</v>
      </c>
      <c r="FF33" s="4753">
        <f t="shared" si="47"/>
        <v>0</v>
      </c>
      <c r="FG33" s="4753">
        <f t="shared" si="47"/>
        <v>0</v>
      </c>
      <c r="FH33" s="4753">
        <f t="shared" si="47"/>
        <v>0</v>
      </c>
      <c r="FI33" s="4753">
        <f t="shared" si="47"/>
        <v>0</v>
      </c>
      <c r="FJ33" s="4753">
        <f t="shared" si="47"/>
        <v>0</v>
      </c>
      <c r="FK33" s="4753">
        <f t="shared" si="47"/>
        <v>0</v>
      </c>
      <c r="FL33" s="4753">
        <f t="shared" si="47"/>
        <v>0</v>
      </c>
      <c r="FM33" s="4753">
        <f t="shared" si="47"/>
        <v>0</v>
      </c>
      <c r="FN33" s="4753">
        <f t="shared" si="47"/>
        <v>0</v>
      </c>
      <c r="FO33" s="4753">
        <f t="shared" si="47"/>
        <v>0</v>
      </c>
      <c r="FP33" s="4753">
        <f t="shared" si="47"/>
        <v>0</v>
      </c>
      <c r="FQ33" s="4753">
        <f t="shared" si="47"/>
        <v>0</v>
      </c>
      <c r="FR33" s="4753">
        <f t="shared" si="47"/>
        <v>0</v>
      </c>
      <c r="FS33" s="4753">
        <f t="shared" si="47"/>
        <v>0</v>
      </c>
      <c r="FT33" s="4753">
        <f t="shared" si="47"/>
        <v>0</v>
      </c>
      <c r="FU33" s="4753">
        <f t="shared" si="47"/>
        <v>0</v>
      </c>
      <c r="FV33" s="4753">
        <f t="shared" si="47"/>
        <v>0</v>
      </c>
      <c r="FW33" s="4753">
        <f t="shared" si="47"/>
        <v>0</v>
      </c>
      <c r="FX33" s="4753">
        <f t="shared" si="47"/>
        <v>0</v>
      </c>
      <c r="FY33" s="4753">
        <f t="shared" si="47"/>
        <v>0</v>
      </c>
      <c r="FZ33" s="4753">
        <f t="shared" si="47"/>
        <v>0</v>
      </c>
      <c r="GA33" s="4753">
        <f t="shared" si="47"/>
        <v>0</v>
      </c>
      <c r="GB33" s="4753">
        <f t="shared" si="47"/>
        <v>0</v>
      </c>
      <c r="GC33" s="4753">
        <f t="shared" si="47"/>
        <v>0</v>
      </c>
      <c r="GD33" s="4753">
        <f t="shared" si="47"/>
        <v>0</v>
      </c>
      <c r="GE33" s="4753">
        <f t="shared" si="47"/>
        <v>0</v>
      </c>
    </row>
    <row r="34" spans="3:187" ht="13.5" customHeight="1" outlineLevel="1">
      <c r="C34" s="4955"/>
      <c r="D34" s="4959" t="s">
        <v>5103</v>
      </c>
      <c r="E34" s="4913"/>
      <c r="F34" s="4753"/>
      <c r="G34" s="4753"/>
      <c r="H34" s="4753"/>
      <c r="I34" s="4753"/>
      <c r="J34" s="4753"/>
      <c r="K34" s="4753"/>
      <c r="L34" s="4753"/>
      <c r="M34" s="4753"/>
      <c r="N34" s="4753"/>
      <c r="O34" s="4753"/>
      <c r="P34" s="4753"/>
      <c r="Q34" s="4753"/>
      <c r="R34" s="4753"/>
      <c r="S34" s="4753"/>
      <c r="T34" s="4753"/>
      <c r="U34" s="4753"/>
      <c r="V34" s="4753"/>
      <c r="W34" s="4753"/>
      <c r="X34" s="4753"/>
      <c r="Y34" s="4753"/>
      <c r="Z34" s="4753"/>
      <c r="AA34" s="4753"/>
      <c r="AB34" s="4753"/>
      <c r="AC34" s="4753"/>
      <c r="AD34" s="4753"/>
      <c r="AE34" s="4753"/>
      <c r="AF34" s="4753"/>
      <c r="AG34" s="4753"/>
      <c r="AH34" s="4753"/>
      <c r="AI34" s="4753"/>
      <c r="AJ34" s="4753"/>
      <c r="AK34" s="4753"/>
      <c r="AL34" s="4753"/>
      <c r="AM34" s="4753"/>
      <c r="AN34" s="4753"/>
      <c r="AO34" s="4753"/>
      <c r="AP34" s="4753"/>
      <c r="AQ34" s="4753"/>
      <c r="AR34" s="4753"/>
      <c r="AS34" s="4753"/>
      <c r="AT34" s="4753"/>
      <c r="AU34" s="4753"/>
      <c r="AV34" s="4753"/>
      <c r="AW34" s="4753"/>
      <c r="AX34" s="4753"/>
      <c r="AY34" s="4753"/>
      <c r="AZ34" s="4753"/>
      <c r="BA34" s="4753"/>
      <c r="BB34" s="4753"/>
      <c r="BC34" s="4753"/>
      <c r="BD34" s="4753"/>
      <c r="BE34" s="4753"/>
      <c r="BF34" s="4753"/>
      <c r="BG34" s="4753"/>
      <c r="BH34" s="4753"/>
      <c r="BI34" s="4753"/>
      <c r="BJ34" s="4753"/>
      <c r="BK34" s="4753"/>
      <c r="BL34" s="4753"/>
      <c r="BM34" s="4753"/>
      <c r="BN34" s="4753"/>
      <c r="BO34" s="4753"/>
      <c r="BP34" s="4753"/>
      <c r="BQ34" s="4753"/>
      <c r="BR34" s="4753"/>
      <c r="BS34" s="4753"/>
      <c r="BT34" s="4753"/>
      <c r="BU34" s="4753"/>
      <c r="BV34" s="4753"/>
      <c r="BW34" s="4753"/>
      <c r="BX34" s="4753"/>
      <c r="BY34" s="4753"/>
      <c r="BZ34" s="4753"/>
      <c r="CA34" s="4753"/>
      <c r="CB34" s="4753"/>
      <c r="CC34" s="4753"/>
      <c r="CD34" s="4753"/>
      <c r="CE34" s="4753"/>
      <c r="CF34" s="4753"/>
      <c r="CG34" s="4753"/>
      <c r="CH34" s="4753"/>
      <c r="CI34" s="4753"/>
      <c r="CJ34" s="4753"/>
      <c r="CK34" s="4753"/>
      <c r="CL34" s="4753"/>
      <c r="CM34" s="4753"/>
      <c r="CN34" s="4753"/>
      <c r="CO34" s="4753"/>
      <c r="CP34" s="4753"/>
      <c r="CQ34" s="4753"/>
      <c r="CR34" s="4753"/>
      <c r="CS34" s="4753"/>
      <c r="CT34" s="4753"/>
      <c r="CU34" s="4753"/>
      <c r="CV34" s="4753"/>
      <c r="CW34" s="4753"/>
      <c r="CX34" s="4753"/>
      <c r="CY34" s="4753"/>
      <c r="CZ34" s="4753"/>
      <c r="DA34" s="4753"/>
      <c r="DB34" s="4753"/>
      <c r="DC34" s="4753"/>
      <c r="DD34" s="4753"/>
      <c r="DE34" s="4753"/>
      <c r="DF34" s="4753"/>
      <c r="DG34" s="4753"/>
      <c r="DH34" s="4753"/>
      <c r="DI34" s="4753"/>
      <c r="DJ34" s="4753"/>
      <c r="DK34" s="4753"/>
      <c r="DL34" s="4753"/>
      <c r="DM34" s="4753"/>
      <c r="DN34" s="4753"/>
      <c r="DO34" s="4753"/>
      <c r="DP34" s="4753"/>
      <c r="DQ34" s="4753"/>
      <c r="DR34" s="4753"/>
      <c r="DS34" s="4753"/>
      <c r="DT34" s="4753"/>
      <c r="DU34" s="4753"/>
      <c r="DV34" s="4753"/>
      <c r="DW34" s="4753"/>
      <c r="DX34" s="4753"/>
      <c r="DY34" s="4753"/>
      <c r="DZ34" s="4753"/>
      <c r="EA34" s="4753"/>
      <c r="EB34" s="4753"/>
      <c r="EC34" s="4753"/>
      <c r="ED34" s="4753"/>
      <c r="EE34" s="4753"/>
      <c r="EF34" s="4753"/>
      <c r="EG34" s="4753"/>
      <c r="EH34" s="4753"/>
      <c r="EI34" s="4753"/>
      <c r="EJ34" s="4753"/>
      <c r="EK34" s="4753"/>
      <c r="EL34" s="4753"/>
      <c r="EM34" s="4753"/>
      <c r="EN34" s="4753"/>
      <c r="EO34" s="4753"/>
      <c r="EP34" s="4753"/>
      <c r="EQ34" s="4753"/>
      <c r="ER34" s="4753"/>
      <c r="ES34" s="4753"/>
      <c r="ET34" s="4753"/>
      <c r="EU34" s="4753"/>
      <c r="EV34" s="4753"/>
      <c r="EW34" s="4753"/>
      <c r="EX34" s="4753"/>
      <c r="EY34" s="4753"/>
      <c r="EZ34" s="4753"/>
      <c r="FA34" s="4753"/>
      <c r="FB34" s="4753"/>
      <c r="FC34" s="4753"/>
      <c r="FD34" s="4753"/>
      <c r="FE34" s="4753"/>
      <c r="FF34" s="4753"/>
      <c r="FG34" s="4753"/>
      <c r="FH34" s="4753"/>
      <c r="FI34" s="4753"/>
      <c r="FJ34" s="4753"/>
      <c r="FK34" s="4753"/>
      <c r="FL34" s="4753"/>
      <c r="FM34" s="4753"/>
      <c r="FN34" s="4753"/>
      <c r="FO34" s="4753"/>
      <c r="FP34" s="4753"/>
      <c r="FQ34" s="4753"/>
      <c r="FR34" s="4753"/>
      <c r="FS34" s="4753"/>
      <c r="FT34" s="4753"/>
      <c r="FU34" s="4753"/>
      <c r="FV34" s="4753"/>
      <c r="FW34" s="4753"/>
      <c r="FX34" s="4753"/>
      <c r="FY34" s="4753"/>
      <c r="FZ34" s="4753"/>
      <c r="GA34" s="4753"/>
      <c r="GB34" s="4753"/>
      <c r="GC34" s="4753"/>
      <c r="GD34" s="4753"/>
      <c r="GE34" s="4753"/>
    </row>
    <row r="35" spans="3:187" ht="13.5" customHeight="1" outlineLevel="1">
      <c r="C35" s="4955"/>
      <c r="D35" s="4959" t="s">
        <v>5102</v>
      </c>
      <c r="E35" s="4913"/>
      <c r="F35" s="4753">
        <f>SUM(H35:FO35)</f>
        <v>0</v>
      </c>
      <c r="G35" s="4753"/>
      <c r="H35" s="4753">
        <f>H93*(H$4&lt;Sensitivity!$E$9)+H33*(H$4=Sensitivity!$E$9)</f>
        <v>0</v>
      </c>
      <c r="I35" s="4753">
        <f>I93*(I$4&lt;Sensitivity!$E$9)+I33*(I$4=Sensitivity!$E$9)</f>
        <v>0</v>
      </c>
      <c r="J35" s="4753">
        <f>J93*(J$4&lt;Sensitivity!$E$9)+J33*(J$4=Sensitivity!$E$9)</f>
        <v>0</v>
      </c>
      <c r="K35" s="4753">
        <f>K93*(K$4&lt;Sensitivity!$E$9)+K33*(K$4=Sensitivity!$E$9)</f>
        <v>0</v>
      </c>
      <c r="L35" s="4753">
        <f>L93*(L$4&lt;Sensitivity!$E$9)+L33*(L$4=Sensitivity!$E$9)</f>
        <v>0</v>
      </c>
      <c r="M35" s="4753">
        <f>M93*(M$4&lt;Sensitivity!$E$9)+M33*(M$4=Sensitivity!$E$9)</f>
        <v>0</v>
      </c>
      <c r="N35" s="4753">
        <f>N93*(N$4&lt;Sensitivity!$E$9)+N33*(N$4=Sensitivity!$E$9)</f>
        <v>0</v>
      </c>
      <c r="O35" s="4753">
        <f>O93*(O$4&lt;Sensitivity!$E$9)+O33*(O$4=Sensitivity!$E$9)</f>
        <v>0</v>
      </c>
      <c r="P35" s="4753">
        <f>P93*(P$4&lt;Sensitivity!$E$9)+P33*(P$4=Sensitivity!$E$9)</f>
        <v>0</v>
      </c>
      <c r="Q35" s="4753">
        <f>Q93*(Q$4&lt;Sensitivity!$E$9)+Q33*(Q$4=Sensitivity!$E$9)</f>
        <v>0</v>
      </c>
      <c r="R35" s="4753">
        <f>R93*(R$4&lt;Sensitivity!$E$9)+R33*(R$4=Sensitivity!$E$9)</f>
        <v>0</v>
      </c>
      <c r="S35" s="4753">
        <f>S93*(S$4&lt;Sensitivity!$E$9)+S33*(S$4=Sensitivity!$E$9)</f>
        <v>0</v>
      </c>
      <c r="T35" s="4753">
        <f>T93*(T$4&lt;Sensitivity!$E$9)+T33*(T$4=Sensitivity!$E$9)</f>
        <v>0</v>
      </c>
      <c r="U35" s="4753">
        <f>U93*(U$4&lt;Sensitivity!$E$9)+U33*(U$4=Sensitivity!$E$9)</f>
        <v>0</v>
      </c>
      <c r="V35" s="4753">
        <f>V93*(V$4&lt;Sensitivity!$E$9)+V33*(V$4=Sensitivity!$E$9)</f>
        <v>0</v>
      </c>
      <c r="W35" s="4753">
        <f>W93*(W$4&lt;Sensitivity!$E$9)+W33*(W$4=Sensitivity!$E$9)</f>
        <v>0</v>
      </c>
      <c r="X35" s="4753">
        <f>X93*(X$4&lt;Sensitivity!$E$9)+X33*(X$4=Sensitivity!$E$9)</f>
        <v>0</v>
      </c>
      <c r="Y35" s="4753">
        <f>Y93*(Y$4&lt;Sensitivity!$E$9)+Y33*(Y$4=Sensitivity!$E$9)</f>
        <v>0</v>
      </c>
      <c r="Z35" s="4753">
        <f>Z93*(Z$4&lt;Sensitivity!$E$9)+Z33*(Z$4=Sensitivity!$E$9)</f>
        <v>0</v>
      </c>
      <c r="AA35" s="4753">
        <f>AA93*(AA$4&lt;Sensitivity!$E$9)+AA33*(AA$4=Sensitivity!$E$9)</f>
        <v>0</v>
      </c>
      <c r="AB35" s="4753">
        <f>AB93*(AB$4&lt;Sensitivity!$E$9)+AB33*(AB$4=Sensitivity!$E$9)</f>
        <v>0</v>
      </c>
      <c r="AC35" s="4753">
        <f>AC93*(AC$4&lt;Sensitivity!$E$9)+AC33*(AC$4=Sensitivity!$E$9)</f>
        <v>0</v>
      </c>
      <c r="AD35" s="4753">
        <f>AD93*(AD$4&lt;Sensitivity!$E$9)+AD33*(AD$4=Sensitivity!$E$9)</f>
        <v>0</v>
      </c>
      <c r="AE35" s="4753">
        <f>AE93*(AE$4&lt;Sensitivity!$E$9)+AE33*(AE$4=Sensitivity!$E$9)</f>
        <v>0</v>
      </c>
      <c r="AF35" s="4753">
        <f>AF93*(AF$4&lt;Sensitivity!$E$9)+AF33*(AF$4=Sensitivity!$E$9)</f>
        <v>0</v>
      </c>
      <c r="AG35" s="4753">
        <f>AG93*(AG$4&lt;Sensitivity!$E$9)+AG33*(AG$4=Sensitivity!$E$9)</f>
        <v>0</v>
      </c>
      <c r="AH35" s="4753">
        <f>AH93*(AH$4&lt;Sensitivity!$E$9)+AH33*(AH$4=Sensitivity!$E$9)</f>
        <v>0</v>
      </c>
      <c r="AI35" s="4753">
        <f>AI93*(AI$4&lt;Sensitivity!$E$9)+AI33*(AI$4=Sensitivity!$E$9)</f>
        <v>0</v>
      </c>
      <c r="AJ35" s="4753">
        <f>AJ93*(AJ$4&lt;Sensitivity!$E$9)+AJ33*(AJ$4=Sensitivity!$E$9)</f>
        <v>0</v>
      </c>
      <c r="AK35" s="4753">
        <f>AK93*(AK$4&lt;Sensitivity!$E$9)+AK33*(AK$4=Sensitivity!$E$9)</f>
        <v>0</v>
      </c>
      <c r="AL35" s="4753">
        <f>AL93*(AL$4&lt;Sensitivity!$E$9)+AL33*(AL$4=Sensitivity!$E$9)</f>
        <v>0</v>
      </c>
      <c r="AM35" s="4753">
        <f>AM93*(AM$4&lt;Sensitivity!$E$9)+AM33*(AM$4=Sensitivity!$E$9)</f>
        <v>0</v>
      </c>
      <c r="AN35" s="4753">
        <f>AN93*(AN$4&lt;Sensitivity!$E$9)+AN33*(AN$4=Sensitivity!$E$9)</f>
        <v>0</v>
      </c>
      <c r="AO35" s="4753">
        <f>AO93*(AO$4&lt;Sensitivity!$E$9)+AO33*(AO$4=Sensitivity!$E$9)</f>
        <v>0</v>
      </c>
      <c r="AP35" s="4753">
        <f>AP93*(AP$4&lt;Sensitivity!$E$9)+AP33*(AP$4=Sensitivity!$E$9)</f>
        <v>0</v>
      </c>
      <c r="AQ35" s="4753">
        <f>AQ93*(AQ$4&lt;Sensitivity!$E$9)+AQ33*(AQ$4=Sensitivity!$E$9)</f>
        <v>0</v>
      </c>
      <c r="AR35" s="4753">
        <f>AR93*(AR$4&lt;Sensitivity!$E$9)+AR33*(AR$4=Sensitivity!$E$9)</f>
        <v>0</v>
      </c>
      <c r="AS35" s="4753">
        <f>AS93*(AS$4&lt;Sensitivity!$E$9)+AS33*(AS$4=Sensitivity!$E$9)</f>
        <v>0</v>
      </c>
      <c r="AT35" s="4753">
        <f>AT93*(AT$4&lt;Sensitivity!$E$9)+AT33*(AT$4=Sensitivity!$E$9)</f>
        <v>0</v>
      </c>
      <c r="AU35" s="4753">
        <f>AU93*(AU$4&lt;Sensitivity!$E$9)+AU33*(AU$4=Sensitivity!$E$9)</f>
        <v>0</v>
      </c>
      <c r="AV35" s="4753">
        <f>AV93*(AV$4&lt;Sensitivity!$E$9)+AV33*(AV$4=Sensitivity!$E$9)</f>
        <v>0</v>
      </c>
      <c r="AW35" s="4753">
        <f>AW93*(AW$4&lt;Sensitivity!$E$9)+AW33*(AW$4=Sensitivity!$E$9)</f>
        <v>0</v>
      </c>
      <c r="AX35" s="4753">
        <f>AX93*(AX$4&lt;Sensitivity!$E$9)+AX33*(AX$4=Sensitivity!$E$9)</f>
        <v>0</v>
      </c>
      <c r="AY35" s="4753">
        <f>AY93*(AY$4&lt;Sensitivity!$E$9)+AY33*(AY$4=Sensitivity!$E$9)</f>
        <v>0</v>
      </c>
      <c r="AZ35" s="4753">
        <f>AZ93*(AZ$4&lt;Sensitivity!$E$9)+AZ33*(AZ$4=Sensitivity!$E$9)</f>
        <v>0</v>
      </c>
      <c r="BA35" s="4753">
        <f>BA93*(BA$4&lt;Sensitivity!$E$9)+BA33*(BA$4=Sensitivity!$E$9)</f>
        <v>0</v>
      </c>
      <c r="BB35" s="4753">
        <f>BB93*(BB$4&lt;Sensitivity!$E$9)+BB33*(BB$4=Sensitivity!$E$9)</f>
        <v>0</v>
      </c>
      <c r="BC35" s="4753">
        <f>BC93*(BC$4&lt;Sensitivity!$E$9)+BC33*(BC$4=Sensitivity!$E$9)</f>
        <v>0</v>
      </c>
      <c r="BD35" s="4753">
        <f>BD93*(BD$4&lt;Sensitivity!$E$9)+BD33*(BD$4=Sensitivity!$E$9)</f>
        <v>0</v>
      </c>
      <c r="BE35" s="4753">
        <f>BE93*(BE$4&lt;Sensitivity!$E$9)+BE33*(BE$4=Sensitivity!$E$9)</f>
        <v>0</v>
      </c>
      <c r="BF35" s="4753">
        <f>BF93*(BF$4&lt;Sensitivity!$E$9)+BF33*(BF$4=Sensitivity!$E$9)</f>
        <v>0</v>
      </c>
      <c r="BG35" s="4753">
        <f>BG93*(BG$4&lt;Sensitivity!$E$9)+BG33*(BG$4=Sensitivity!$E$9)</f>
        <v>0</v>
      </c>
      <c r="BH35" s="4753">
        <f>BH93*(BH$4&lt;Sensitivity!$E$9)+BH33*(BH$4=Sensitivity!$E$9)</f>
        <v>0</v>
      </c>
      <c r="BI35" s="4753">
        <f>BI93*(BI$4&lt;Sensitivity!$E$9)+BI33*(BI$4=Sensitivity!$E$9)</f>
        <v>0</v>
      </c>
      <c r="BJ35" s="4753">
        <f>BJ93*(BJ$4&lt;Sensitivity!$E$9)+BJ33*(BJ$4=Sensitivity!$E$9)</f>
        <v>0</v>
      </c>
      <c r="BK35" s="4753">
        <f>BK93*(BK$4&lt;Sensitivity!$E$9)+BK33*(BK$4=Sensitivity!$E$9)</f>
        <v>0</v>
      </c>
      <c r="BL35" s="4753">
        <f>BL93*(BL$4&lt;Sensitivity!$E$9)+BL33*(BL$4=Sensitivity!$E$9)</f>
        <v>0</v>
      </c>
      <c r="BM35" s="4753">
        <f>BM93*(BM$4&lt;Sensitivity!$E$9)+BM33*(BM$4=Sensitivity!$E$9)</f>
        <v>0</v>
      </c>
      <c r="BN35" s="4753">
        <f>BN93*(BN$4&lt;Sensitivity!$E$9)+BN33*(BN$4=Sensitivity!$E$9)</f>
        <v>0</v>
      </c>
      <c r="BO35" s="4753">
        <f>BO93*(BO$4&lt;Sensitivity!$E$9)+BO33*(BO$4=Sensitivity!$E$9)</f>
        <v>0</v>
      </c>
      <c r="BP35" s="4753">
        <f>BP93*(BP$4&lt;Sensitivity!$E$9)+BP33*(BP$4=Sensitivity!$E$9)</f>
        <v>0</v>
      </c>
      <c r="BQ35" s="4753">
        <f>BQ93*(BQ$4&lt;Sensitivity!$E$9)+BQ33*(BQ$4=Sensitivity!$E$9)</f>
        <v>0</v>
      </c>
      <c r="BR35" s="4753">
        <f>BR93*(BR$4&lt;Sensitivity!$E$9)+BR33*(BR$4=Sensitivity!$E$9)</f>
        <v>0</v>
      </c>
      <c r="BS35" s="4753">
        <f>BS93*(BS$4&lt;Sensitivity!$E$9)+BS33*(BS$4=Sensitivity!$E$9)</f>
        <v>0</v>
      </c>
      <c r="BT35" s="4753">
        <f>BT93*(BT$4&lt;Sensitivity!$E$9)+BT33*(BT$4=Sensitivity!$E$9)</f>
        <v>0</v>
      </c>
      <c r="BU35" s="4753">
        <f>BU93*(BU$4&lt;Sensitivity!$E$9)+BU33*(BU$4=Sensitivity!$E$9)</f>
        <v>0</v>
      </c>
      <c r="BV35" s="4753">
        <f>BV93*(BV$4&lt;Sensitivity!$E$9)+BV33*(BV$4=Sensitivity!$E$9)</f>
        <v>0</v>
      </c>
      <c r="BW35" s="4753">
        <f>BW93*(BW$4&lt;Sensitivity!$E$9)+BW33*(BW$4=Sensitivity!$E$9)</f>
        <v>0</v>
      </c>
      <c r="BX35" s="4753">
        <f>BX93*(BX$4&lt;Sensitivity!$E$9)+BX33*(BX$4=Sensitivity!$E$9)</f>
        <v>0</v>
      </c>
      <c r="BY35" s="4753">
        <f>BY93*(BY$4&lt;Sensitivity!$E$9)+BY33*(BY$4=Sensitivity!$E$9)</f>
        <v>0</v>
      </c>
      <c r="BZ35" s="4753">
        <f>BZ93*(BZ$4&lt;Sensitivity!$E$9)+BZ33*(BZ$4=Sensitivity!$E$9)</f>
        <v>0</v>
      </c>
      <c r="CA35" s="4753">
        <f>CA93*(CA$4&lt;Sensitivity!$E$9)+CA33*(CA$4=Sensitivity!$E$9)</f>
        <v>0</v>
      </c>
      <c r="CB35" s="4753">
        <f>CB93*(CB$4&lt;Sensitivity!$E$9)+CB33*(CB$4=Sensitivity!$E$9)</f>
        <v>0</v>
      </c>
      <c r="CC35" s="4753">
        <f>CC93*(CC$4&lt;Sensitivity!$E$9)+CC33*(CC$4=Sensitivity!$E$9)</f>
        <v>0</v>
      </c>
      <c r="CD35" s="4753">
        <f>CD93*(CD$4&lt;Sensitivity!$E$9)+CD33*(CD$4=Sensitivity!$E$9)</f>
        <v>0</v>
      </c>
      <c r="CE35" s="4753">
        <f>CE93*(CE$4&lt;Sensitivity!$E$9)+CE33*(CE$4=Sensitivity!$E$9)</f>
        <v>0</v>
      </c>
      <c r="CF35" s="4753">
        <f>CF93*(CF$4&lt;Sensitivity!$E$9)+CF33*(CF$4=Sensitivity!$E$9)</f>
        <v>0</v>
      </c>
      <c r="CG35" s="4753">
        <f>CG93*(CG$4&lt;Sensitivity!$E$9)+CG33*(CG$4=Sensitivity!$E$9)</f>
        <v>0</v>
      </c>
      <c r="CH35" s="4753">
        <f>CH93*(CH$4&lt;Sensitivity!$E$9)+CH33*(CH$4=Sensitivity!$E$9)</f>
        <v>0</v>
      </c>
      <c r="CI35" s="4753">
        <f>CI93*(CI$4&lt;Sensitivity!$E$9)+CI33*(CI$4=Sensitivity!$E$9)</f>
        <v>0</v>
      </c>
      <c r="CJ35" s="4753">
        <f>CJ93*(CJ$4&lt;Sensitivity!$E$9)+CJ33*(CJ$4=Sensitivity!$E$9)</f>
        <v>0</v>
      </c>
      <c r="CK35" s="4753">
        <f>CK93*(CK$4&lt;Sensitivity!$E$9)+CK33*(CK$4=Sensitivity!$E$9)</f>
        <v>0</v>
      </c>
      <c r="CL35" s="4753">
        <f>CL93*(CL$4&lt;Sensitivity!$E$9)+CL33*(CL$4=Sensitivity!$E$9)</f>
        <v>0</v>
      </c>
      <c r="CM35" s="4753">
        <f>CM93*(CM$4&lt;Sensitivity!$E$9)+CM33*(CM$4=Sensitivity!$E$9)</f>
        <v>0</v>
      </c>
      <c r="CN35" s="4753">
        <f>CN93*(CN$4&lt;Sensitivity!$E$9)+CN33*(CN$4=Sensitivity!$E$9)</f>
        <v>0</v>
      </c>
      <c r="CO35" s="4753">
        <f>CO93*(CO$4&lt;Sensitivity!$E$9)+CO33*(CO$4=Sensitivity!$E$9)</f>
        <v>0</v>
      </c>
      <c r="CP35" s="4753">
        <f>CP93*(CP$4&lt;Sensitivity!$E$9)+CP33*(CP$4=Sensitivity!$E$9)</f>
        <v>0</v>
      </c>
      <c r="CQ35" s="4753">
        <f>CQ93*(CQ$4&lt;Sensitivity!$E$9)+CQ33*(CQ$4=Sensitivity!$E$9)</f>
        <v>0</v>
      </c>
      <c r="CR35" s="4753">
        <f>CR93*(CR$4&lt;Sensitivity!$E$9)+CR33*(CR$4=Sensitivity!$E$9)</f>
        <v>0</v>
      </c>
      <c r="CS35" s="4753">
        <f>CS93*(CS$4&lt;Sensitivity!$E$9)+CS33*(CS$4=Sensitivity!$E$9)</f>
        <v>0</v>
      </c>
      <c r="CT35" s="4753">
        <f>CT93*(CT$4&lt;Sensitivity!$E$9)+CT33*(CT$4=Sensitivity!$E$9)</f>
        <v>0</v>
      </c>
      <c r="CU35" s="4753">
        <f>CU93*(CU$4&lt;Sensitivity!$E$9)+CU33*(CU$4=Sensitivity!$E$9)</f>
        <v>0</v>
      </c>
      <c r="CV35" s="4753">
        <f>CV93*(CV$4&lt;Sensitivity!$E$9)+CV33*(CV$4=Sensitivity!$E$9)</f>
        <v>0</v>
      </c>
      <c r="CW35" s="4753">
        <f>CW93*(CW$4&lt;Sensitivity!$E$9)+CW33*(CW$4=Sensitivity!$E$9)</f>
        <v>0</v>
      </c>
      <c r="CX35" s="4753">
        <f>CX93*(CX$4&lt;Sensitivity!$E$9)+CX33*(CX$4=Sensitivity!$E$9)</f>
        <v>0</v>
      </c>
      <c r="CY35" s="4753">
        <f>CY93*(CY$4&lt;Sensitivity!$E$9)+CY33*(CY$4=Sensitivity!$E$9)</f>
        <v>0</v>
      </c>
      <c r="CZ35" s="4753">
        <f>CZ93*(CZ$4&lt;Sensitivity!$E$9)+CZ33*(CZ$4=Sensitivity!$E$9)</f>
        <v>0</v>
      </c>
      <c r="DA35" s="4753">
        <f>DA93*(DA$4&lt;Sensitivity!$E$9)+DA33*(DA$4=Sensitivity!$E$9)</f>
        <v>0</v>
      </c>
      <c r="DB35" s="4753">
        <f>DB93*(DB$4&lt;Sensitivity!$E$9)+DB33*(DB$4=Sensitivity!$E$9)</f>
        <v>0</v>
      </c>
      <c r="DC35" s="4753">
        <f>DC93*(DC$4&lt;Sensitivity!$E$9)+DC33*(DC$4=Sensitivity!$E$9)</f>
        <v>0</v>
      </c>
      <c r="DD35" s="4753">
        <f>DD93*(DD$4&lt;Sensitivity!$E$9)+DD33*(DD$4=Sensitivity!$E$9)</f>
        <v>0</v>
      </c>
      <c r="DE35" s="4753">
        <f>DE93*(DE$4&lt;Sensitivity!$E$9)+DE33*(DE$4=Sensitivity!$E$9)</f>
        <v>0</v>
      </c>
      <c r="DF35" s="4753">
        <f>DF93*(DF$4&lt;Sensitivity!$E$9)+DF33*(DF$4=Sensitivity!$E$9)</f>
        <v>0</v>
      </c>
      <c r="DG35" s="4753">
        <f>DG93*(DG$4&lt;Sensitivity!$E$9)+DG33*(DG$4=Sensitivity!$E$9)</f>
        <v>0</v>
      </c>
      <c r="DH35" s="4753">
        <f>DH93*(DH$4&lt;Sensitivity!$E$9)+DH33*(DH$4=Sensitivity!$E$9)</f>
        <v>0</v>
      </c>
      <c r="DI35" s="4753">
        <f>DI93*(DI$4&lt;Sensitivity!$E$9)+DI33*(DI$4=Sensitivity!$E$9)</f>
        <v>0</v>
      </c>
      <c r="DJ35" s="4753">
        <f>DJ93*(DJ$4&lt;Sensitivity!$E$9)+DJ33*(DJ$4=Sensitivity!$E$9)</f>
        <v>0</v>
      </c>
      <c r="DK35" s="4753">
        <f>DK93*(DK$4&lt;Sensitivity!$E$9)+DK33*(DK$4=Sensitivity!$E$9)</f>
        <v>0</v>
      </c>
      <c r="DL35" s="4753">
        <f>DL93*(DL$4&lt;Sensitivity!$E$9)+DL33*(DL$4=Sensitivity!$E$9)</f>
        <v>0</v>
      </c>
      <c r="DM35" s="4753">
        <f>DM93*(DM$4&lt;Sensitivity!$E$9)+DM33*(DM$4=Sensitivity!$E$9)</f>
        <v>0</v>
      </c>
      <c r="DN35" s="4753">
        <f>DN93*(DN$4&lt;Sensitivity!$E$9)+DN33*(DN$4=Sensitivity!$E$9)</f>
        <v>0</v>
      </c>
      <c r="DO35" s="4753">
        <f>DO93*(DO$4&lt;Sensitivity!$E$9)+DO33*(DO$4=Sensitivity!$E$9)</f>
        <v>0</v>
      </c>
      <c r="DP35" s="4753">
        <f>DP93*(DP$4&lt;Sensitivity!$E$9)+DP33*(DP$4=Sensitivity!$E$9)</f>
        <v>0</v>
      </c>
      <c r="DQ35" s="4753">
        <f>DQ93*(DQ$4&lt;Sensitivity!$E$9)+DQ33*(DQ$4=Sensitivity!$E$9)</f>
        <v>0</v>
      </c>
      <c r="DR35" s="4753">
        <f>DR93*(DR$4&lt;Sensitivity!$E$9)+DR33*(DR$4=Sensitivity!$E$9)</f>
        <v>0</v>
      </c>
      <c r="DS35" s="4753">
        <f>DS93*(DS$4&lt;Sensitivity!$E$9)+DS33*(DS$4=Sensitivity!$E$9)</f>
        <v>0</v>
      </c>
      <c r="DT35" s="4753">
        <f>DT93*(DT$4&lt;Sensitivity!$E$9)+DT33*(DT$4=Sensitivity!$E$9)</f>
        <v>0</v>
      </c>
      <c r="DU35" s="4753">
        <f>DU93*(DU$4&lt;Sensitivity!$E$9)+DU33*(DU$4=Sensitivity!$E$9)</f>
        <v>0</v>
      </c>
      <c r="DV35" s="4753">
        <f>DV93*(DV$4&lt;Sensitivity!$E$9)+DV33*(DV$4=Sensitivity!$E$9)</f>
        <v>0</v>
      </c>
      <c r="DW35" s="4753">
        <f>DW93*(DW$4&lt;Sensitivity!$E$9)+DW33*(DW$4=Sensitivity!$E$9)</f>
        <v>0</v>
      </c>
      <c r="DX35" s="4753">
        <f>DX93*(DX$4&lt;Sensitivity!$E$9)+DX33*(DX$4=Sensitivity!$E$9)</f>
        <v>0</v>
      </c>
      <c r="DY35" s="4753">
        <f>DY93*(DY$4&lt;Sensitivity!$E$9)+DY33*(DY$4=Sensitivity!$E$9)</f>
        <v>0</v>
      </c>
      <c r="DZ35" s="4753">
        <f>DZ93*(DZ$4&lt;Sensitivity!$E$9)+DZ33*(DZ$4=Sensitivity!$E$9)</f>
        <v>0</v>
      </c>
      <c r="EA35" s="4753">
        <f>EA93*(EA$4&lt;Sensitivity!$E$9)+EA33*(EA$4=Sensitivity!$E$9)</f>
        <v>0</v>
      </c>
      <c r="EB35" s="4753">
        <f>EB93*(EB$4&lt;Sensitivity!$E$9)+EB33*(EB$4=Sensitivity!$E$9)</f>
        <v>0</v>
      </c>
      <c r="EC35" s="4753">
        <f>EC93*(EC$4&lt;Sensitivity!$E$9)+EC33*(EC$4=Sensitivity!$E$9)</f>
        <v>0</v>
      </c>
      <c r="ED35" s="4753">
        <f>ED93*(ED$4&lt;Sensitivity!$E$9)+ED33*(ED$4=Sensitivity!$E$9)</f>
        <v>0</v>
      </c>
      <c r="EE35" s="4753">
        <f>EE93*(EE$4&lt;Sensitivity!$E$9)+EE33*(EE$4=Sensitivity!$E$9)</f>
        <v>0</v>
      </c>
      <c r="EF35" s="4753">
        <f>EF93*(EF$4&lt;Sensitivity!$E$9)+EF33*(EF$4=Sensitivity!$E$9)</f>
        <v>0</v>
      </c>
      <c r="EG35" s="4753">
        <f>EG93*(EG$4&lt;Sensitivity!$E$9)+EG33*(EG$4=Sensitivity!$E$9)</f>
        <v>0</v>
      </c>
      <c r="EH35" s="4753">
        <f>EH93*(EH$4&lt;Sensitivity!$E$9)+EH33*(EH$4=Sensitivity!$E$9)</f>
        <v>0</v>
      </c>
      <c r="EI35" s="4753">
        <f>EI93*(EI$4&lt;Sensitivity!$E$9)+EI33*(EI$4=Sensitivity!$E$9)</f>
        <v>0</v>
      </c>
      <c r="EJ35" s="4753">
        <f>EJ93*(EJ$4&lt;Sensitivity!$E$9)+EJ33*(EJ$4=Sensitivity!$E$9)</f>
        <v>0</v>
      </c>
      <c r="EK35" s="4753">
        <f>EK93*(EK$4&lt;Sensitivity!$E$9)+EK33*(EK$4=Sensitivity!$E$9)</f>
        <v>0</v>
      </c>
      <c r="EL35" s="4753">
        <f>EL93*(EL$4&lt;Sensitivity!$E$9)+EL33*(EL$4=Sensitivity!$E$9)</f>
        <v>0</v>
      </c>
      <c r="EM35" s="4753">
        <f>EM93*(EM$4&lt;Sensitivity!$E$9)+EM33*(EM$4=Sensitivity!$E$9)</f>
        <v>0</v>
      </c>
      <c r="EN35" s="4753">
        <f>EN93*(EN$4&lt;Sensitivity!$E$9)+EN33*(EN$4=Sensitivity!$E$9)</f>
        <v>0</v>
      </c>
      <c r="EO35" s="4753">
        <f>EO93*(EO$4&lt;Sensitivity!$E$9)+EO33*(EO$4=Sensitivity!$E$9)</f>
        <v>0</v>
      </c>
      <c r="EP35" s="4753">
        <f>EP93*(EP$4&lt;Sensitivity!$E$9)+EP33*(EP$4=Sensitivity!$E$9)</f>
        <v>0</v>
      </c>
      <c r="EQ35" s="4753">
        <f>EQ93*(EQ$4&lt;Sensitivity!$E$9)+EQ33*(EQ$4=Sensitivity!$E$9)</f>
        <v>0</v>
      </c>
      <c r="ER35" s="4753">
        <f>ER93*(ER$4&lt;Sensitivity!$E$9)+ER33*(ER$4=Sensitivity!$E$9)</f>
        <v>0</v>
      </c>
      <c r="ES35" s="4753">
        <f>ES93*(ES$4&lt;Sensitivity!$E$9)+ES33*(ES$4=Sensitivity!$E$9)</f>
        <v>0</v>
      </c>
      <c r="ET35" s="4753">
        <f>ET93*(ET$4&lt;Sensitivity!$E$9)+ET33*(ET$4=Sensitivity!$E$9)</f>
        <v>0</v>
      </c>
      <c r="EU35" s="4753">
        <f>EU93*(EU$4&lt;Sensitivity!$E$9)+EU33*(EU$4=Sensitivity!$E$9)</f>
        <v>0</v>
      </c>
      <c r="EV35" s="4753">
        <f>EV93*(EV$4&lt;Sensitivity!$E$9)+EV33*(EV$4=Sensitivity!$E$9)</f>
        <v>0</v>
      </c>
      <c r="EW35" s="4753">
        <f>EW93*(EW$4&lt;Sensitivity!$E$9)+EW33*(EW$4=Sensitivity!$E$9)</f>
        <v>0</v>
      </c>
      <c r="EX35" s="4753">
        <f>EX93*(EX$4&lt;Sensitivity!$E$9)+EX33*(EX$4=Sensitivity!$E$9)</f>
        <v>0</v>
      </c>
      <c r="EY35" s="4753">
        <f>EY93*(EY$4&lt;Sensitivity!$E$9)+EY33*(EY$4=Sensitivity!$E$9)</f>
        <v>0</v>
      </c>
      <c r="EZ35" s="4753">
        <f>EZ93*(EZ$4&lt;Sensitivity!$E$9)+EZ33*(EZ$4=Sensitivity!$E$9)</f>
        <v>0</v>
      </c>
      <c r="FA35" s="4753">
        <f>FA93*(FA$4&lt;Sensitivity!$E$9)+FA33*(FA$4=Sensitivity!$E$9)</f>
        <v>0</v>
      </c>
      <c r="FB35" s="4753">
        <f>FB93*(FB$4&lt;Sensitivity!$E$9)+FB33*(FB$4=Sensitivity!$E$9)</f>
        <v>0</v>
      </c>
      <c r="FC35" s="4753">
        <f>FC93*(FC$4&lt;Sensitivity!$E$9)+FC33*(FC$4=Sensitivity!$E$9)</f>
        <v>0</v>
      </c>
      <c r="FD35" s="4753">
        <f>FD93*(FD$4&lt;Sensitivity!$E$9)+FD33*(FD$4=Sensitivity!$E$9)</f>
        <v>0</v>
      </c>
      <c r="FE35" s="4753">
        <f>FE93*(FE$4&lt;Sensitivity!$E$9)+FE33*(FE$4=Sensitivity!$E$9)</f>
        <v>0</v>
      </c>
      <c r="FF35" s="4753">
        <f>FF93*(FF$4&lt;Sensitivity!$E$9)+FF33*(FF$4=Sensitivity!$E$9)</f>
        <v>0</v>
      </c>
      <c r="FG35" s="4753">
        <f>FG93*(FG$4&lt;Sensitivity!$E$9)+FG33*(FG$4=Sensitivity!$E$9)</f>
        <v>0</v>
      </c>
      <c r="FH35" s="4753">
        <f>FH93*(FH$4&lt;Sensitivity!$E$9)+FH33*(FH$4=Sensitivity!$E$9)</f>
        <v>0</v>
      </c>
      <c r="FI35" s="4753">
        <f>FI93*(FI$4&lt;Sensitivity!$E$9)+FI33*(FI$4=Sensitivity!$E$9)</f>
        <v>0</v>
      </c>
      <c r="FJ35" s="4753">
        <f>FJ93*(FJ$4&lt;Sensitivity!$E$9)+FJ33*(FJ$4=Sensitivity!$E$9)</f>
        <v>0</v>
      </c>
      <c r="FK35" s="4753">
        <f>FK93*(FK$4&lt;Sensitivity!$E$9)+FK33*(FK$4=Sensitivity!$E$9)</f>
        <v>0</v>
      </c>
      <c r="FL35" s="4753">
        <f>FL93*(FL$4&lt;Sensitivity!$E$9)+FL33*(FL$4=Sensitivity!$E$9)</f>
        <v>0</v>
      </c>
      <c r="FM35" s="4753">
        <f>FM93*(FM$4&lt;Sensitivity!$E$9)+FM33*(FM$4=Sensitivity!$E$9)</f>
        <v>0</v>
      </c>
      <c r="FN35" s="4753">
        <f>FN93*(FN$4&lt;Sensitivity!$E$9)+FN33*(FN$4=Sensitivity!$E$9)</f>
        <v>0</v>
      </c>
      <c r="FO35" s="4753">
        <f>FO93*(FO$4&lt;Sensitivity!$E$9)+FO33*(FO$4=Sensitivity!$E$9)</f>
        <v>0</v>
      </c>
      <c r="FP35" s="4753">
        <f>FP93*(FP$4&lt;Sensitivity!$E$9)+FP33*(FP$4=Sensitivity!$E$9)</f>
        <v>0</v>
      </c>
      <c r="FQ35" s="4753">
        <f>FQ93*(FQ$4&lt;Sensitivity!$E$9)+FQ33*(FQ$4=Sensitivity!$E$9)</f>
        <v>0</v>
      </c>
      <c r="FR35" s="4753">
        <f>FR93*(FR$4&lt;Sensitivity!$E$9)+FR33*(FR$4=Sensitivity!$E$9)</f>
        <v>0</v>
      </c>
      <c r="FS35" s="4753">
        <f>FS93*(FS$4&lt;Sensitivity!$E$9)+FS33*(FS$4=Sensitivity!$E$9)</f>
        <v>0</v>
      </c>
      <c r="FT35" s="4753">
        <f>FT93*(FT$4&lt;Sensitivity!$E$9)+FT33*(FT$4=Sensitivity!$E$9)</f>
        <v>0</v>
      </c>
      <c r="FU35" s="4753">
        <f>FU93*(FU$4&lt;Sensitivity!$E$9)+FU33*(FU$4=Sensitivity!$E$9)</f>
        <v>0</v>
      </c>
      <c r="FV35" s="4753">
        <f>FV93*(FV$4&lt;Sensitivity!$E$9)+FV33*(FV$4=Sensitivity!$E$9)</f>
        <v>0</v>
      </c>
      <c r="FW35" s="4753">
        <f>FW93*(FW$4&lt;Sensitivity!$E$9)+FW33*(FW$4=Sensitivity!$E$9)</f>
        <v>0</v>
      </c>
      <c r="FX35" s="4753">
        <f>FX93*(FX$4&lt;Sensitivity!$E$9)+FX33*(FX$4=Sensitivity!$E$9)</f>
        <v>0</v>
      </c>
      <c r="FY35" s="4753">
        <f>FY93*(FY$4&lt;Sensitivity!$E$9)+FY33*(FY$4=Sensitivity!$E$9)</f>
        <v>0</v>
      </c>
      <c r="FZ35" s="4753">
        <f>FZ93*(FZ$4&lt;Sensitivity!$E$9)+FZ33*(FZ$4=Sensitivity!$E$9)</f>
        <v>0</v>
      </c>
      <c r="GA35" s="4753">
        <f>GA93*(GA$4&lt;Sensitivity!$E$9)+GA33*(GA$4=Sensitivity!$E$9)</f>
        <v>0</v>
      </c>
      <c r="GB35" s="4753">
        <f>GB93*(GB$4&lt;Sensitivity!$E$9)+GB33*(GB$4=Sensitivity!$E$9)</f>
        <v>0</v>
      </c>
      <c r="GC35" s="4753">
        <f>GC93*(GC$4&lt;Sensitivity!$E$9)+GC33*(GC$4=Sensitivity!$E$9)</f>
        <v>0</v>
      </c>
      <c r="GD35" s="4753">
        <f>GD93*(GD$4&lt;Sensitivity!$E$9)+GD33*(GD$4=Sensitivity!$E$9)</f>
        <v>0</v>
      </c>
      <c r="GE35" s="4753">
        <f>GE93*(GE$4&lt;Sensitivity!$E$9)+GE33*(GE$4=Sensitivity!$E$9)</f>
        <v>0</v>
      </c>
    </row>
    <row r="36" spans="3:187" ht="13.5" customHeight="1" outlineLevel="1" thickBot="1">
      <c r="C36" s="733"/>
      <c r="D36" s="4960" t="s">
        <v>238</v>
      </c>
      <c r="E36" s="4961"/>
      <c r="F36" s="4942">
        <f>SUM(H36:FO36)</f>
        <v>0</v>
      </c>
      <c r="G36" s="4942"/>
      <c r="H36" s="4942">
        <f>H33*Sensitivity!$L$19*H$44/12</f>
        <v>0</v>
      </c>
      <c r="I36" s="4942">
        <f>I33*Sensitivity!$L$19*I$44/12</f>
        <v>0</v>
      </c>
      <c r="J36" s="4942">
        <f>J33*Sensitivity!$L$19*J$44/12</f>
        <v>0</v>
      </c>
      <c r="K36" s="4942">
        <f>K33*Sensitivity!$L$19*K$44/12</f>
        <v>0</v>
      </c>
      <c r="L36" s="4942">
        <f>L33*Sensitivity!$L$19*L$44/12</f>
        <v>0</v>
      </c>
      <c r="M36" s="4942">
        <f>M33*Sensitivity!$L$19*M$44/12</f>
        <v>0</v>
      </c>
      <c r="N36" s="4942">
        <f>N33*Sensitivity!$L$19*N$44/12</f>
        <v>0</v>
      </c>
      <c r="O36" s="4942">
        <f>O33*Sensitivity!$L$19*O$44/12</f>
        <v>0</v>
      </c>
      <c r="P36" s="4942">
        <f>P33*Sensitivity!$L$19*P$44/12</f>
        <v>0</v>
      </c>
      <c r="Q36" s="4942">
        <f>Q33*Sensitivity!$L$19*Q$44/12</f>
        <v>0</v>
      </c>
      <c r="R36" s="4942">
        <f>R33*Sensitivity!$L$19*R$44/12</f>
        <v>0</v>
      </c>
      <c r="S36" s="4942">
        <f>S33*Sensitivity!$L$19*S$44/12</f>
        <v>0</v>
      </c>
      <c r="T36" s="4942">
        <f>T33*Sensitivity!$L$19*T$44/12</f>
        <v>0</v>
      </c>
      <c r="U36" s="4942">
        <f>U33*Sensitivity!$L$19*U$44/12</f>
        <v>0</v>
      </c>
      <c r="V36" s="4942">
        <f>V33*Sensitivity!$L$19*V$44/12</f>
        <v>0</v>
      </c>
      <c r="W36" s="4942">
        <f>W33*Sensitivity!$L$19*W$44/12</f>
        <v>0</v>
      </c>
      <c r="X36" s="4942">
        <f>X33*Sensitivity!$L$19*X$44/12</f>
        <v>0</v>
      </c>
      <c r="Y36" s="4942">
        <f>Y33*Sensitivity!$L$19*Y$44/12</f>
        <v>0</v>
      </c>
      <c r="Z36" s="4942">
        <f>Z33*Sensitivity!$L$19*Z$44/12</f>
        <v>0</v>
      </c>
      <c r="AA36" s="4942">
        <f>AA33*Sensitivity!$L$19*AA$44/12</f>
        <v>0</v>
      </c>
      <c r="AB36" s="4942">
        <f>AB33*Sensitivity!$L$19*AB$44/12</f>
        <v>0</v>
      </c>
      <c r="AC36" s="4942">
        <f>AC33*Sensitivity!$L$19*AC$44/12</f>
        <v>0</v>
      </c>
      <c r="AD36" s="4942">
        <f>AD33*Sensitivity!$L$19*AD$44/12</f>
        <v>0</v>
      </c>
      <c r="AE36" s="4942">
        <f>AE33*Sensitivity!$L$19*AE$44/12</f>
        <v>0</v>
      </c>
      <c r="AF36" s="4942">
        <f>AF33*Sensitivity!$L$19*AF$44/12</f>
        <v>0</v>
      </c>
      <c r="AG36" s="4942">
        <f>AG33*Sensitivity!$L$19*AG$44/12</f>
        <v>0</v>
      </c>
      <c r="AH36" s="4942">
        <f>AH33*Sensitivity!$L$19*AH$44/12</f>
        <v>0</v>
      </c>
      <c r="AI36" s="4942">
        <f>AI33*Sensitivity!$L$19*AI$44/12</f>
        <v>0</v>
      </c>
      <c r="AJ36" s="4942">
        <f>AJ33*Sensitivity!$L$19*AJ$44/12</f>
        <v>0</v>
      </c>
      <c r="AK36" s="4942">
        <f>AK33*Sensitivity!$L$19*AK$44/12</f>
        <v>0</v>
      </c>
      <c r="AL36" s="4942">
        <f>AL33*Sensitivity!$L$19*AL$44/12</f>
        <v>0</v>
      </c>
      <c r="AM36" s="4942">
        <f>AM33*Sensitivity!$L$19*AM$44/12</f>
        <v>0</v>
      </c>
      <c r="AN36" s="4942">
        <f>AN33*Sensitivity!$L$19*AN$44/12</f>
        <v>0</v>
      </c>
      <c r="AO36" s="4942">
        <f>AO33*Sensitivity!$L$19*AO$44/12</f>
        <v>0</v>
      </c>
      <c r="AP36" s="4942">
        <f>AP33*Sensitivity!$L$19*AP$44/12</f>
        <v>0</v>
      </c>
      <c r="AQ36" s="4942">
        <f>AQ33*Sensitivity!$L$19*AQ$44/12</f>
        <v>0</v>
      </c>
      <c r="AR36" s="4942">
        <f>AR33*Sensitivity!$L$19*AR$44/12</f>
        <v>0</v>
      </c>
      <c r="AS36" s="4942">
        <f>AS33*Sensitivity!$L$19*AS$44/12</f>
        <v>0</v>
      </c>
      <c r="AT36" s="4942">
        <f>AT33*Sensitivity!$L$19*AT$44/12</f>
        <v>0</v>
      </c>
      <c r="AU36" s="4942">
        <f>AU33*Sensitivity!$L$19*AU$44/12</f>
        <v>0</v>
      </c>
      <c r="AV36" s="4942">
        <f>AV33*Sensitivity!$L$19*AV$44/12</f>
        <v>0</v>
      </c>
      <c r="AW36" s="4942">
        <f>AW33*Sensitivity!$L$19*AW$44/12</f>
        <v>0</v>
      </c>
      <c r="AX36" s="4942">
        <f>AX33*Sensitivity!$L$19*AX$44/12</f>
        <v>0</v>
      </c>
      <c r="AY36" s="4942">
        <f>AY33*Sensitivity!$L$19*AY$44/12</f>
        <v>0</v>
      </c>
      <c r="AZ36" s="4942">
        <f>AZ33*Sensitivity!$L$19*AZ$44/12</f>
        <v>0</v>
      </c>
      <c r="BA36" s="4942">
        <f>BA33*Sensitivity!$L$19*BA$44/12</f>
        <v>0</v>
      </c>
      <c r="BB36" s="4942">
        <f>BB33*Sensitivity!$L$19*BB$44/12</f>
        <v>0</v>
      </c>
      <c r="BC36" s="4942">
        <f>BC33*Sensitivity!$L$19*BC$44/12</f>
        <v>0</v>
      </c>
      <c r="BD36" s="4942">
        <f>BD33*Sensitivity!$L$19*BD$44/12</f>
        <v>0</v>
      </c>
      <c r="BE36" s="4942">
        <f>BE33*Sensitivity!$L$19*BE$44/12</f>
        <v>0</v>
      </c>
      <c r="BF36" s="4942">
        <f>BF33*Sensitivity!$L$19*BF$44/12</f>
        <v>0</v>
      </c>
      <c r="BG36" s="4942">
        <f>BG33*Sensitivity!$L$19*BG$44/12</f>
        <v>0</v>
      </c>
      <c r="BH36" s="4942">
        <f>BH33*Sensitivity!$L$19*BH$44/12</f>
        <v>0</v>
      </c>
      <c r="BI36" s="4942">
        <f>BI33*Sensitivity!$L$19*BI$44/12</f>
        <v>0</v>
      </c>
      <c r="BJ36" s="4942">
        <f>BJ33*Sensitivity!$L$19*BJ$44/12</f>
        <v>0</v>
      </c>
      <c r="BK36" s="4942">
        <f>BK33*Sensitivity!$L$19*BK$44/12</f>
        <v>0</v>
      </c>
      <c r="BL36" s="4942">
        <f>BL33*Sensitivity!$L$19*BL$44/12</f>
        <v>0</v>
      </c>
      <c r="BM36" s="4942">
        <f>BM33*Sensitivity!$L$19*BM$44/12</f>
        <v>0</v>
      </c>
      <c r="BN36" s="4942">
        <f>BN33*Sensitivity!$L$19*BN$44/12</f>
        <v>0</v>
      </c>
      <c r="BO36" s="4942">
        <f>BO33*Sensitivity!$L$19*BO$44/12</f>
        <v>0</v>
      </c>
      <c r="BP36" s="4942">
        <f>BP33*Sensitivity!$L$19*BP$44/12</f>
        <v>0</v>
      </c>
      <c r="BQ36" s="4942">
        <f>BQ33*Sensitivity!$L$19*BQ$44/12</f>
        <v>0</v>
      </c>
      <c r="BR36" s="4942">
        <f>BR33*Sensitivity!$L$19*BR$44/12</f>
        <v>0</v>
      </c>
      <c r="BS36" s="4942">
        <f>BS33*Sensitivity!$L$19*BS$44/12</f>
        <v>0</v>
      </c>
      <c r="BT36" s="4942">
        <f>BT33*Sensitivity!$L$19*BT$44/12</f>
        <v>0</v>
      </c>
      <c r="BU36" s="4942">
        <f>BU33*Sensitivity!$L$19*BU$44/12</f>
        <v>0</v>
      </c>
      <c r="BV36" s="4942">
        <f>BV33*Sensitivity!$L$19*BV$44/12</f>
        <v>0</v>
      </c>
      <c r="BW36" s="4942">
        <f>BW33*Sensitivity!$L$19*BW$44/12</f>
        <v>0</v>
      </c>
      <c r="BX36" s="4942">
        <f>BX33*Sensitivity!$L$19*BX$44/12</f>
        <v>0</v>
      </c>
      <c r="BY36" s="4942">
        <f>BY33*Sensitivity!$L$19*BY$44/12</f>
        <v>0</v>
      </c>
      <c r="BZ36" s="4942">
        <f>BZ33*Sensitivity!$L$19*BZ$44/12</f>
        <v>0</v>
      </c>
      <c r="CA36" s="4942">
        <f>CA33*Sensitivity!$L$19*CA$44/12</f>
        <v>0</v>
      </c>
      <c r="CB36" s="4942">
        <f>CB33*Sensitivity!$L$19*CB$44/12</f>
        <v>0</v>
      </c>
      <c r="CC36" s="4942">
        <f>CC33*Sensitivity!$L$19*CC$44/12</f>
        <v>0</v>
      </c>
      <c r="CD36" s="4942">
        <f>CD33*Sensitivity!$L$19*CD$44/12</f>
        <v>0</v>
      </c>
      <c r="CE36" s="4942">
        <f>CE33*Sensitivity!$L$19*CE$44/12</f>
        <v>0</v>
      </c>
      <c r="CF36" s="4942">
        <f>CF33*Sensitivity!$L$19*CF$44/12</f>
        <v>0</v>
      </c>
      <c r="CG36" s="4942">
        <f>CG33*Sensitivity!$L$19*CG$44/12</f>
        <v>0</v>
      </c>
      <c r="CH36" s="4942">
        <f>CH33*Sensitivity!$L$19*CH$44/12</f>
        <v>0</v>
      </c>
      <c r="CI36" s="4942">
        <f>CI33*Sensitivity!$L$19*CI$44/12</f>
        <v>0</v>
      </c>
      <c r="CJ36" s="4942">
        <f>CJ33*Sensitivity!$L$19*CJ$44/12</f>
        <v>0</v>
      </c>
      <c r="CK36" s="4942">
        <f>CK33*Sensitivity!$L$19*CK$44/12</f>
        <v>0</v>
      </c>
      <c r="CL36" s="4942">
        <f>CL33*Sensitivity!$L$19*CL$44/12</f>
        <v>0</v>
      </c>
      <c r="CM36" s="4942">
        <f>CM33*Sensitivity!$L$19*CM$44/12</f>
        <v>0</v>
      </c>
      <c r="CN36" s="4942">
        <f>CN33*Sensitivity!$L$19*CN$44/12</f>
        <v>0</v>
      </c>
      <c r="CO36" s="4942">
        <f>CO33*Sensitivity!$L$19*CO$44/12</f>
        <v>0</v>
      </c>
      <c r="CP36" s="4942">
        <f>CP33*Sensitivity!$L$19*CP$44/12</f>
        <v>0</v>
      </c>
      <c r="CQ36" s="4942">
        <f>CQ33*Sensitivity!$L$19*CQ$44/12</f>
        <v>0</v>
      </c>
      <c r="CR36" s="4942">
        <f>CR33*Sensitivity!$L$19*CR$44/12</f>
        <v>0</v>
      </c>
      <c r="CS36" s="4942">
        <f>CS33*Sensitivity!$L$19*CS$44/12</f>
        <v>0</v>
      </c>
      <c r="CT36" s="4942">
        <f>CT33*Sensitivity!$L$19*CT$44/12</f>
        <v>0</v>
      </c>
      <c r="CU36" s="4942">
        <f>CU33*Sensitivity!$L$19*CU$44/12</f>
        <v>0</v>
      </c>
      <c r="CV36" s="4942">
        <f>CV33*Sensitivity!$L$19*CV$44/12</f>
        <v>0</v>
      </c>
      <c r="CW36" s="4942">
        <f>CW33*Sensitivity!$L$19*CW$44/12</f>
        <v>0</v>
      </c>
      <c r="CX36" s="4942">
        <f>CX33*Sensitivity!$L$19*CX$44/12</f>
        <v>0</v>
      </c>
      <c r="CY36" s="4942">
        <f>CY33*Sensitivity!$L$19*CY$44/12</f>
        <v>0</v>
      </c>
      <c r="CZ36" s="4942">
        <f>CZ33*Sensitivity!$L$19*CZ$44/12</f>
        <v>0</v>
      </c>
      <c r="DA36" s="4942">
        <f>DA33*Sensitivity!$L$19*DA$44/12</f>
        <v>0</v>
      </c>
      <c r="DB36" s="4942">
        <f>DB33*Sensitivity!$L$19*DB$44/12</f>
        <v>0</v>
      </c>
      <c r="DC36" s="4942">
        <f>DC33*Sensitivity!$L$19*DC$44/12</f>
        <v>0</v>
      </c>
      <c r="DD36" s="4942">
        <f>DD33*Sensitivity!$L$19*DD$44/12</f>
        <v>0</v>
      </c>
      <c r="DE36" s="4942">
        <f>DE33*Sensitivity!$L$19*DE$44/12</f>
        <v>0</v>
      </c>
      <c r="DF36" s="4942">
        <f>DF33*Sensitivity!$L$19*DF$44/12</f>
        <v>0</v>
      </c>
      <c r="DG36" s="4942">
        <f>DG33*Sensitivity!$L$19*DG$44/12</f>
        <v>0</v>
      </c>
      <c r="DH36" s="4942">
        <f>DH33*Sensitivity!$L$19*DH$44/12</f>
        <v>0</v>
      </c>
      <c r="DI36" s="4942">
        <f>DI33*Sensitivity!$L$19*DI$44/12</f>
        <v>0</v>
      </c>
      <c r="DJ36" s="4942">
        <f>DJ33*Sensitivity!$L$19*DJ$44/12</f>
        <v>0</v>
      </c>
      <c r="DK36" s="4942">
        <f>DK33*Sensitivity!$L$19*DK$44/12</f>
        <v>0</v>
      </c>
      <c r="DL36" s="4942">
        <f>DL33*Sensitivity!$L$19*DL$44/12</f>
        <v>0</v>
      </c>
      <c r="DM36" s="4942">
        <f>DM33*Sensitivity!$L$19*DM$44/12</f>
        <v>0</v>
      </c>
      <c r="DN36" s="4942">
        <f>DN33*Sensitivity!$L$19*DN$44/12</f>
        <v>0</v>
      </c>
      <c r="DO36" s="4942">
        <f>DO33*Sensitivity!$L$19*DO$44/12</f>
        <v>0</v>
      </c>
      <c r="DP36" s="4942">
        <f>DP33*Sensitivity!$L$19*DP$44/12</f>
        <v>0</v>
      </c>
      <c r="DQ36" s="4942">
        <f>DQ33*Sensitivity!$L$19*DQ$44/12</f>
        <v>0</v>
      </c>
      <c r="DR36" s="4942">
        <f>DR33*Sensitivity!$L$19*DR$44/12</f>
        <v>0</v>
      </c>
      <c r="DS36" s="4942">
        <f>DS33*Sensitivity!$L$19*DS$44/12</f>
        <v>0</v>
      </c>
      <c r="DT36" s="4942">
        <f>DT33*Sensitivity!$L$19*DT$44/12</f>
        <v>0</v>
      </c>
      <c r="DU36" s="4942">
        <f>DU33*Sensitivity!$L$19*DU$44/12</f>
        <v>0</v>
      </c>
      <c r="DV36" s="4942">
        <f>DV33*Sensitivity!$L$19*DV$44/12</f>
        <v>0</v>
      </c>
      <c r="DW36" s="4942">
        <f>DW33*Sensitivity!$L$19*DW$44/12</f>
        <v>0</v>
      </c>
      <c r="DX36" s="4942">
        <f>DX33*Sensitivity!$L$19*DX$44/12</f>
        <v>0</v>
      </c>
      <c r="DY36" s="4942">
        <f>DY33*Sensitivity!$L$19*DY$44/12</f>
        <v>0</v>
      </c>
      <c r="DZ36" s="4942">
        <f>DZ33*Sensitivity!$L$19*DZ$44/12</f>
        <v>0</v>
      </c>
      <c r="EA36" s="4942">
        <f>EA33*Sensitivity!$L$19*EA$44/12</f>
        <v>0</v>
      </c>
      <c r="EB36" s="4942">
        <f>EB33*Sensitivity!$L$19*EB$44/12</f>
        <v>0</v>
      </c>
      <c r="EC36" s="4942">
        <f>EC33*Sensitivity!$L$19*EC$44/12</f>
        <v>0</v>
      </c>
      <c r="ED36" s="4942">
        <f>ED33*Sensitivity!$L$19*ED$44/12</f>
        <v>0</v>
      </c>
      <c r="EE36" s="4942">
        <f>EE33*Sensitivity!$L$19*EE$44/12</f>
        <v>0</v>
      </c>
      <c r="EF36" s="4942">
        <f>EF33*Sensitivity!$L$19*EF$44/12</f>
        <v>0</v>
      </c>
      <c r="EG36" s="4942">
        <f>EG33*Sensitivity!$L$19*EG$44/12</f>
        <v>0</v>
      </c>
      <c r="EH36" s="4942">
        <f>EH33*Sensitivity!$L$19*EH$44/12</f>
        <v>0</v>
      </c>
      <c r="EI36" s="4942">
        <f>EI33*Sensitivity!$L$19*EI$44/12</f>
        <v>0</v>
      </c>
      <c r="EJ36" s="4942">
        <f>EJ33*Sensitivity!$L$19*EJ$44/12</f>
        <v>0</v>
      </c>
      <c r="EK36" s="4942">
        <f>EK33*Sensitivity!$L$19*EK$44/12</f>
        <v>0</v>
      </c>
      <c r="EL36" s="4942">
        <f>EL33*Sensitivity!$L$19*EL$44/12</f>
        <v>0</v>
      </c>
      <c r="EM36" s="4942">
        <f>EM33*Sensitivity!$L$19*EM$44/12</f>
        <v>0</v>
      </c>
      <c r="EN36" s="4942">
        <f>EN33*Sensitivity!$L$19*EN$44/12</f>
        <v>0</v>
      </c>
      <c r="EO36" s="4942">
        <f>EO33*Sensitivity!$L$19*EO$44/12</f>
        <v>0</v>
      </c>
      <c r="EP36" s="4942">
        <f>EP33*Sensitivity!$L$19*EP$44/12</f>
        <v>0</v>
      </c>
      <c r="EQ36" s="4942">
        <f>EQ33*Sensitivity!$L$19*EQ$44/12</f>
        <v>0</v>
      </c>
      <c r="ER36" s="4942">
        <f>ER33*Sensitivity!$L$19*ER$44/12</f>
        <v>0</v>
      </c>
      <c r="ES36" s="4942">
        <f>ES33*Sensitivity!$L$19*ES$44/12</f>
        <v>0</v>
      </c>
      <c r="ET36" s="4942">
        <f>ET33*Sensitivity!$L$19*ET$44/12</f>
        <v>0</v>
      </c>
      <c r="EU36" s="4942">
        <f>EU33*Sensitivity!$L$19*EU$44/12</f>
        <v>0</v>
      </c>
      <c r="EV36" s="4942">
        <f>EV33*Sensitivity!$L$19*EV$44/12</f>
        <v>0</v>
      </c>
      <c r="EW36" s="4942">
        <f>EW33*Sensitivity!$L$19*EW$44/12</f>
        <v>0</v>
      </c>
      <c r="EX36" s="4942">
        <f>EX33*Sensitivity!$L$19*EX$44/12</f>
        <v>0</v>
      </c>
      <c r="EY36" s="4942">
        <f>EY33*Sensitivity!$L$19*EY$44/12</f>
        <v>0</v>
      </c>
      <c r="EZ36" s="4942">
        <f>EZ33*Sensitivity!$L$19*EZ$44/12</f>
        <v>0</v>
      </c>
      <c r="FA36" s="4942">
        <f>FA33*Sensitivity!$L$19*FA$44/12</f>
        <v>0</v>
      </c>
      <c r="FB36" s="4942">
        <f>FB33*Sensitivity!$L$19*FB$44/12</f>
        <v>0</v>
      </c>
      <c r="FC36" s="4942">
        <f>FC33*Sensitivity!$L$19*FC$44/12</f>
        <v>0</v>
      </c>
      <c r="FD36" s="4942">
        <f>FD33*Sensitivity!$L$19*FD$44/12</f>
        <v>0</v>
      </c>
      <c r="FE36" s="4942">
        <f>FE33*Sensitivity!$L$19*FE$44/12</f>
        <v>0</v>
      </c>
      <c r="FF36" s="4942">
        <f>FF33*Sensitivity!$L$19*FF$44/12</f>
        <v>0</v>
      </c>
      <c r="FG36" s="4942">
        <f>FG33*Sensitivity!$L$19*FG$44/12</f>
        <v>0</v>
      </c>
      <c r="FH36" s="4942">
        <f>FH33*Sensitivity!$L$19*FH$44/12</f>
        <v>0</v>
      </c>
      <c r="FI36" s="4942">
        <f>FI33*Sensitivity!$L$19*FI$44/12</f>
        <v>0</v>
      </c>
      <c r="FJ36" s="4942">
        <f>FJ33*Sensitivity!$L$19*FJ$44/12</f>
        <v>0</v>
      </c>
      <c r="FK36" s="4942">
        <f>FK33*Sensitivity!$L$19*FK$44/12</f>
        <v>0</v>
      </c>
      <c r="FL36" s="4942">
        <f>FL33*Sensitivity!$L$19*FL$44/12</f>
        <v>0</v>
      </c>
      <c r="FM36" s="4942">
        <f>FM33*Sensitivity!$L$19*FM$44/12</f>
        <v>0</v>
      </c>
      <c r="FN36" s="4942">
        <f>FN33*Sensitivity!$L$19*FN$44/12</f>
        <v>0</v>
      </c>
      <c r="FO36" s="4942">
        <f>FO33*Sensitivity!$L$19*FO$44/12</f>
        <v>0</v>
      </c>
      <c r="FP36" s="4942">
        <f>FP33*Sensitivity!$L$19*FP$44/12</f>
        <v>0</v>
      </c>
      <c r="FQ36" s="4942">
        <f>FQ33*Sensitivity!$L$19*FQ$44/12</f>
        <v>0</v>
      </c>
      <c r="FR36" s="4942">
        <f>FR33*Sensitivity!$L$19*FR$44/12</f>
        <v>0</v>
      </c>
      <c r="FS36" s="4942">
        <f>FS33*Sensitivity!$L$19*FS$44/12</f>
        <v>0</v>
      </c>
      <c r="FT36" s="4942">
        <f>FT33*Sensitivity!$L$19*FT$44/12</f>
        <v>0</v>
      </c>
      <c r="FU36" s="4942">
        <f>FU33*Sensitivity!$L$19*FU$44/12</f>
        <v>0</v>
      </c>
      <c r="FV36" s="4942">
        <f>FV33*Sensitivity!$L$19*FV$44/12</f>
        <v>0</v>
      </c>
      <c r="FW36" s="4942">
        <f>FW33*Sensitivity!$L$19*FW$44/12</f>
        <v>0</v>
      </c>
      <c r="FX36" s="4942">
        <f>FX33*Sensitivity!$L$19*FX$44/12</f>
        <v>0</v>
      </c>
      <c r="FY36" s="4942">
        <f>FY33*Sensitivity!$L$19*FY$44/12</f>
        <v>0</v>
      </c>
      <c r="FZ36" s="4942">
        <f>FZ33*Sensitivity!$L$19*FZ$44/12</f>
        <v>0</v>
      </c>
      <c r="GA36" s="4942">
        <f>GA33*Sensitivity!$L$19*GA$44/12</f>
        <v>0</v>
      </c>
      <c r="GB36" s="4942">
        <f>GB33*Sensitivity!$L$19*GB$44/12</f>
        <v>0</v>
      </c>
      <c r="GC36" s="4942">
        <f>GC33*Sensitivity!$L$19*GC$44/12</f>
        <v>0</v>
      </c>
      <c r="GD36" s="4942">
        <f>GD33*Sensitivity!$L$19*GD$44/12</f>
        <v>0</v>
      </c>
      <c r="GE36" s="4942">
        <f>GE33*Sensitivity!$L$19*GE$44/12</f>
        <v>0</v>
      </c>
    </row>
    <row r="37" spans="3:187" ht="13.5" customHeight="1" outlineLevel="1" thickTop="1">
      <c r="C37" s="4943" t="s">
        <v>194</v>
      </c>
      <c r="D37" s="952"/>
      <c r="E37" s="4931"/>
      <c r="F37" s="4938"/>
      <c r="G37" s="4938"/>
      <c r="H37" s="4938"/>
      <c r="I37" s="4938"/>
      <c r="J37" s="4938"/>
      <c r="K37" s="4938"/>
      <c r="L37" s="4938"/>
      <c r="M37" s="4938"/>
      <c r="N37" s="4938"/>
      <c r="O37" s="4938"/>
      <c r="P37" s="4938"/>
      <c r="Q37" s="4938"/>
      <c r="R37" s="4938"/>
      <c r="S37" s="4938"/>
      <c r="T37" s="4938"/>
      <c r="U37" s="4938"/>
      <c r="V37" s="4938"/>
      <c r="W37" s="4938"/>
      <c r="X37" s="4938"/>
      <c r="Y37" s="4938"/>
      <c r="Z37" s="4938"/>
      <c r="AA37" s="4938"/>
      <c r="AB37" s="4938"/>
      <c r="AC37" s="4938"/>
      <c r="AD37" s="4938"/>
      <c r="AE37" s="4938"/>
      <c r="AF37" s="4938"/>
      <c r="AG37" s="4938"/>
      <c r="AH37" s="4938"/>
      <c r="AI37" s="4938"/>
      <c r="AJ37" s="4938"/>
      <c r="AK37" s="4938"/>
      <c r="AL37" s="4938"/>
      <c r="AM37" s="4938"/>
      <c r="AN37" s="4938"/>
      <c r="AO37" s="4938"/>
      <c r="AP37" s="4938"/>
      <c r="AQ37" s="4938"/>
      <c r="AR37" s="4938"/>
      <c r="AS37" s="4938"/>
      <c r="AT37" s="4938"/>
      <c r="AU37" s="4938"/>
      <c r="AV37" s="4938"/>
      <c r="AW37" s="4938"/>
      <c r="AX37" s="4938"/>
      <c r="AY37" s="4938"/>
      <c r="AZ37" s="4938"/>
      <c r="BA37" s="4938"/>
      <c r="BB37" s="4938"/>
      <c r="BC37" s="4938"/>
      <c r="BD37" s="4938"/>
      <c r="BE37" s="4938"/>
      <c r="BF37" s="4938"/>
      <c r="BG37" s="4938"/>
      <c r="BH37" s="4938"/>
      <c r="BI37" s="4938"/>
      <c r="BJ37" s="4938"/>
      <c r="BK37" s="4938"/>
      <c r="BL37" s="4938"/>
      <c r="BM37" s="4938"/>
      <c r="BN37" s="4938"/>
      <c r="BO37" s="4938"/>
      <c r="BP37" s="4938"/>
      <c r="BQ37" s="4938"/>
      <c r="BR37" s="4938"/>
      <c r="BS37" s="4938"/>
      <c r="BT37" s="4938"/>
      <c r="BU37" s="4938"/>
      <c r="BV37" s="4938"/>
      <c r="BW37" s="4938"/>
      <c r="BX37" s="4938"/>
      <c r="BY37" s="4938"/>
      <c r="BZ37" s="4938"/>
      <c r="CA37" s="4938"/>
      <c r="CB37" s="4938"/>
      <c r="CC37" s="4938"/>
      <c r="CD37" s="4938"/>
      <c r="CE37" s="4938"/>
      <c r="CF37" s="4938"/>
      <c r="CG37" s="4938"/>
      <c r="CH37" s="4938"/>
      <c r="CI37" s="4938"/>
      <c r="CJ37" s="4938"/>
      <c r="CK37" s="4938"/>
      <c r="CL37" s="4938"/>
      <c r="CM37" s="4938"/>
      <c r="CN37" s="4938"/>
      <c r="CO37" s="4938"/>
      <c r="CP37" s="4938"/>
      <c r="CQ37" s="4938"/>
      <c r="CR37" s="4938"/>
      <c r="CS37" s="4938"/>
      <c r="CT37" s="4938"/>
      <c r="CU37" s="4938"/>
      <c r="CV37" s="4938"/>
      <c r="CW37" s="4938"/>
      <c r="CX37" s="4938"/>
      <c r="CY37" s="4938"/>
      <c r="CZ37" s="4938"/>
      <c r="DA37" s="4938"/>
      <c r="DB37" s="4938"/>
      <c r="DC37" s="4938"/>
      <c r="DD37" s="4938"/>
      <c r="DE37" s="4938"/>
      <c r="DF37" s="4938"/>
      <c r="DG37" s="4938"/>
      <c r="DH37" s="4938"/>
      <c r="DI37" s="4938"/>
      <c r="DJ37" s="4938"/>
      <c r="DK37" s="4938"/>
      <c r="DL37" s="4938"/>
      <c r="DM37" s="4938"/>
      <c r="DN37" s="4938"/>
      <c r="DO37" s="4938"/>
      <c r="DP37" s="4938"/>
      <c r="DQ37" s="4938"/>
      <c r="DR37" s="4938"/>
      <c r="DS37" s="4938"/>
      <c r="DT37" s="4938"/>
      <c r="DU37" s="4938"/>
      <c r="DV37" s="4938"/>
      <c r="DW37" s="4938"/>
      <c r="DX37" s="4938"/>
      <c r="DY37" s="4938"/>
      <c r="DZ37" s="4938"/>
      <c r="EA37" s="4938"/>
      <c r="EB37" s="4938"/>
      <c r="EC37" s="4938"/>
      <c r="ED37" s="4938"/>
      <c r="EE37" s="4938"/>
      <c r="EF37" s="4938"/>
      <c r="EG37" s="4938"/>
      <c r="EH37" s="4938"/>
      <c r="EI37" s="4938"/>
      <c r="EJ37" s="4938"/>
      <c r="EK37" s="4938"/>
      <c r="EL37" s="4938"/>
      <c r="EM37" s="4938"/>
      <c r="EN37" s="4938"/>
      <c r="EO37" s="4938"/>
      <c r="EP37" s="4938"/>
      <c r="EQ37" s="4938"/>
      <c r="ER37" s="4938"/>
      <c r="ES37" s="4938"/>
      <c r="ET37" s="4938"/>
      <c r="EU37" s="4938"/>
      <c r="EV37" s="4938"/>
      <c r="EW37" s="4938"/>
      <c r="EX37" s="4938"/>
      <c r="EY37" s="4938"/>
      <c r="EZ37" s="4938"/>
      <c r="FA37" s="4938"/>
      <c r="FB37" s="4938"/>
      <c r="FC37" s="4938"/>
      <c r="FD37" s="4938"/>
      <c r="FE37" s="4938"/>
      <c r="FF37" s="4938"/>
      <c r="FG37" s="4938"/>
      <c r="FH37" s="4938"/>
      <c r="FI37" s="4938"/>
      <c r="FJ37" s="4938"/>
      <c r="FK37" s="4938"/>
      <c r="FL37" s="4938"/>
      <c r="FM37" s="4938"/>
      <c r="FN37" s="4938"/>
      <c r="FO37" s="4938"/>
      <c r="FP37" s="4938"/>
      <c r="FQ37" s="4938"/>
      <c r="FR37" s="4938"/>
      <c r="FS37" s="4938"/>
      <c r="FT37" s="4938"/>
      <c r="FU37" s="4938"/>
      <c r="FV37" s="4938"/>
      <c r="FW37" s="4938"/>
      <c r="FX37" s="4938"/>
      <c r="FY37" s="4938"/>
      <c r="FZ37" s="4938"/>
      <c r="GA37" s="4938"/>
      <c r="GB37" s="4938"/>
      <c r="GC37" s="4938"/>
      <c r="GD37" s="4938"/>
      <c r="GE37" s="4938"/>
    </row>
    <row r="38" spans="3:187" ht="13.5" customHeight="1">
      <c r="C38" s="4954"/>
      <c r="D38" s="4959" t="s">
        <v>5101</v>
      </c>
      <c r="E38" s="4913"/>
      <c r="F38" s="4753"/>
      <c r="G38" s="4753"/>
      <c r="H38" s="4753">
        <f>SUM(H8,H13,H18,H23,H28,H33)</f>
        <v>1423.4598599999997</v>
      </c>
      <c r="I38" s="4753">
        <f t="shared" ref="I38:BT41" si="48">SUM(I8,I13,I18,I23,I28,I33)</f>
        <v>1390.2402599999998</v>
      </c>
      <c r="J38" s="4753">
        <f t="shared" si="48"/>
        <v>1357.0206599999999</v>
      </c>
      <c r="K38" s="4753">
        <f t="shared" si="48"/>
        <v>1323.80106</v>
      </c>
      <c r="L38" s="4753">
        <f t="shared" si="48"/>
        <v>1288.92048</v>
      </c>
      <c r="M38" s="4753">
        <f t="shared" si="48"/>
        <v>1249.8874499999997</v>
      </c>
      <c r="N38" s="4753">
        <f t="shared" si="48"/>
        <v>1210.0239300000001</v>
      </c>
      <c r="O38" s="4753">
        <f t="shared" si="48"/>
        <v>1169.3299199999999</v>
      </c>
      <c r="P38" s="4753">
        <f t="shared" si="48"/>
        <v>1127.8054199999999</v>
      </c>
      <c r="Q38" s="4753">
        <f t="shared" si="48"/>
        <v>1085.4504299999999</v>
      </c>
      <c r="R38" s="4753">
        <f t="shared" si="48"/>
        <v>1042.26495</v>
      </c>
      <c r="S38" s="4753">
        <f t="shared" si="48"/>
        <v>999.07946999999979</v>
      </c>
      <c r="T38" s="4753">
        <f t="shared" si="48"/>
        <v>955.06349999999986</v>
      </c>
      <c r="U38" s="4753">
        <f t="shared" si="48"/>
        <v>916.03046999999981</v>
      </c>
      <c r="V38" s="4753">
        <f t="shared" si="48"/>
        <v>876.99743999999987</v>
      </c>
      <c r="W38" s="4753">
        <f t="shared" si="48"/>
        <v>837.13391999999988</v>
      </c>
      <c r="X38" s="4753">
        <f t="shared" si="48"/>
        <v>796.43990999999983</v>
      </c>
      <c r="Y38" s="4753">
        <f t="shared" si="48"/>
        <v>755.74589999999989</v>
      </c>
      <c r="Z38" s="4753">
        <f t="shared" si="48"/>
        <v>715.05188999999984</v>
      </c>
      <c r="AA38" s="4753">
        <f t="shared" si="48"/>
        <v>673.52738999999985</v>
      </c>
      <c r="AB38" s="4753">
        <f t="shared" si="48"/>
        <v>631.17239999999981</v>
      </c>
      <c r="AC38" s="4753">
        <f t="shared" si="48"/>
        <v>592.96985999999981</v>
      </c>
      <c r="AD38" s="4753">
        <f t="shared" si="48"/>
        <v>553.93682999999987</v>
      </c>
      <c r="AE38" s="4753">
        <f t="shared" si="48"/>
        <v>509.92085999999978</v>
      </c>
      <c r="AF38" s="4753">
        <f t="shared" si="48"/>
        <v>465.07439999999986</v>
      </c>
      <c r="AG38" s="4753">
        <f t="shared" si="48"/>
        <v>412.75352999999984</v>
      </c>
      <c r="AH38" s="4753">
        <f t="shared" si="48"/>
        <v>360.43265999999988</v>
      </c>
      <c r="AI38" s="4753">
        <f t="shared" si="48"/>
        <v>307.28129999999987</v>
      </c>
      <c r="AJ38" s="4753">
        <f t="shared" si="48"/>
        <v>253.29944999999989</v>
      </c>
      <c r="AK38" s="4753">
        <f t="shared" si="48"/>
        <v>220.07984999999991</v>
      </c>
      <c r="AL38" s="4753">
        <f t="shared" si="48"/>
        <v>181.87730999999991</v>
      </c>
      <c r="AM38" s="4753">
        <f t="shared" si="48"/>
        <v>142.84427999999991</v>
      </c>
      <c r="AN38" s="4753">
        <f t="shared" si="48"/>
        <v>109.62467999999991</v>
      </c>
      <c r="AO38" s="4753">
        <f t="shared" si="48"/>
        <v>99.658799999999914</v>
      </c>
      <c r="AP38" s="4753">
        <f t="shared" si="48"/>
        <v>89.692919999999901</v>
      </c>
      <c r="AQ38" s="4753">
        <f t="shared" si="48"/>
        <v>79.727039999999889</v>
      </c>
      <c r="AR38" s="4753">
        <f t="shared" si="48"/>
        <v>69.761159999999904</v>
      </c>
      <c r="AS38" s="4753">
        <f t="shared" si="48"/>
        <v>59.795279999999892</v>
      </c>
      <c r="AT38" s="4753">
        <f t="shared" si="48"/>
        <v>49.829399999999893</v>
      </c>
      <c r="AU38" s="4753">
        <f t="shared" si="48"/>
        <v>39.863519999999887</v>
      </c>
      <c r="AV38" s="4753">
        <f t="shared" si="48"/>
        <v>29.897639999999889</v>
      </c>
      <c r="AW38" s="4753">
        <f t="shared" si="48"/>
        <v>19.931759999999887</v>
      </c>
      <c r="AX38" s="4753">
        <f t="shared" si="48"/>
        <v>9.9658799999998866</v>
      </c>
      <c r="AY38" s="4753">
        <f t="shared" si="48"/>
        <v>0</v>
      </c>
      <c r="AZ38" s="4753">
        <f t="shared" si="48"/>
        <v>0</v>
      </c>
      <c r="BA38" s="4753">
        <f t="shared" si="48"/>
        <v>0</v>
      </c>
      <c r="BB38" s="4753">
        <f t="shared" si="48"/>
        <v>0</v>
      </c>
      <c r="BC38" s="4753">
        <f t="shared" si="48"/>
        <v>0</v>
      </c>
      <c r="BD38" s="4753">
        <f t="shared" si="48"/>
        <v>0</v>
      </c>
      <c r="BE38" s="4753">
        <f t="shared" si="48"/>
        <v>0</v>
      </c>
      <c r="BF38" s="4753">
        <f t="shared" si="48"/>
        <v>0</v>
      </c>
      <c r="BG38" s="4753">
        <f t="shared" si="48"/>
        <v>0</v>
      </c>
      <c r="BH38" s="4753">
        <f t="shared" si="48"/>
        <v>0</v>
      </c>
      <c r="BI38" s="4753">
        <f t="shared" si="48"/>
        <v>0</v>
      </c>
      <c r="BJ38" s="4753">
        <f t="shared" si="48"/>
        <v>0</v>
      </c>
      <c r="BK38" s="4753">
        <f t="shared" si="48"/>
        <v>0</v>
      </c>
      <c r="BL38" s="4753">
        <f t="shared" si="48"/>
        <v>0</v>
      </c>
      <c r="BM38" s="4753">
        <f t="shared" si="48"/>
        <v>0</v>
      </c>
      <c r="BN38" s="4753">
        <f t="shared" si="48"/>
        <v>0</v>
      </c>
      <c r="BO38" s="4753">
        <f t="shared" si="48"/>
        <v>0</v>
      </c>
      <c r="BP38" s="4753">
        <f t="shared" si="48"/>
        <v>0</v>
      </c>
      <c r="BQ38" s="4753">
        <f t="shared" si="48"/>
        <v>0</v>
      </c>
      <c r="BR38" s="4753">
        <f t="shared" si="48"/>
        <v>0</v>
      </c>
      <c r="BS38" s="4753">
        <f t="shared" si="48"/>
        <v>0</v>
      </c>
      <c r="BT38" s="4753">
        <f t="shared" si="48"/>
        <v>0</v>
      </c>
      <c r="BU38" s="4753">
        <f t="shared" ref="BU38:EF41" si="49">SUM(BU8,BU13,BU18,BU23,BU28,BU33)</f>
        <v>0</v>
      </c>
      <c r="BV38" s="4753">
        <f t="shared" si="49"/>
        <v>0</v>
      </c>
      <c r="BW38" s="4753">
        <f t="shared" si="49"/>
        <v>0</v>
      </c>
      <c r="BX38" s="4753">
        <f t="shared" si="49"/>
        <v>0</v>
      </c>
      <c r="BY38" s="4753">
        <f t="shared" si="49"/>
        <v>0</v>
      </c>
      <c r="BZ38" s="4753">
        <f t="shared" si="49"/>
        <v>0</v>
      </c>
      <c r="CA38" s="4753">
        <f t="shared" si="49"/>
        <v>0</v>
      </c>
      <c r="CB38" s="4753">
        <f t="shared" si="49"/>
        <v>0</v>
      </c>
      <c r="CC38" s="4753">
        <f t="shared" si="49"/>
        <v>0</v>
      </c>
      <c r="CD38" s="4753">
        <f t="shared" si="49"/>
        <v>0</v>
      </c>
      <c r="CE38" s="4753">
        <f t="shared" si="49"/>
        <v>0</v>
      </c>
      <c r="CF38" s="4753">
        <f t="shared" si="49"/>
        <v>0</v>
      </c>
      <c r="CG38" s="4753">
        <f t="shared" si="49"/>
        <v>0</v>
      </c>
      <c r="CH38" s="4753">
        <f t="shared" si="49"/>
        <v>0</v>
      </c>
      <c r="CI38" s="4753">
        <f t="shared" si="49"/>
        <v>0</v>
      </c>
      <c r="CJ38" s="4753">
        <f t="shared" si="49"/>
        <v>0</v>
      </c>
      <c r="CK38" s="4753">
        <f t="shared" si="49"/>
        <v>0</v>
      </c>
      <c r="CL38" s="4753">
        <f t="shared" si="49"/>
        <v>0</v>
      </c>
      <c r="CM38" s="4753">
        <f t="shared" si="49"/>
        <v>0</v>
      </c>
      <c r="CN38" s="4753">
        <f t="shared" si="49"/>
        <v>0</v>
      </c>
      <c r="CO38" s="4753">
        <f t="shared" si="49"/>
        <v>0</v>
      </c>
      <c r="CP38" s="4753">
        <f t="shared" si="49"/>
        <v>0</v>
      </c>
      <c r="CQ38" s="4753">
        <f t="shared" si="49"/>
        <v>0</v>
      </c>
      <c r="CR38" s="4753">
        <f t="shared" si="49"/>
        <v>0</v>
      </c>
      <c r="CS38" s="4753">
        <f t="shared" si="49"/>
        <v>0</v>
      </c>
      <c r="CT38" s="4753">
        <f t="shared" si="49"/>
        <v>0</v>
      </c>
      <c r="CU38" s="4753">
        <f t="shared" si="49"/>
        <v>0</v>
      </c>
      <c r="CV38" s="4753">
        <f t="shared" si="49"/>
        <v>0</v>
      </c>
      <c r="CW38" s="4753">
        <f t="shared" si="49"/>
        <v>0</v>
      </c>
      <c r="CX38" s="4753">
        <f t="shared" si="49"/>
        <v>0</v>
      </c>
      <c r="CY38" s="4753">
        <f t="shared" si="49"/>
        <v>0</v>
      </c>
      <c r="CZ38" s="4753">
        <f t="shared" si="49"/>
        <v>0</v>
      </c>
      <c r="DA38" s="4753">
        <f t="shared" si="49"/>
        <v>0</v>
      </c>
      <c r="DB38" s="4753">
        <f t="shared" si="49"/>
        <v>0</v>
      </c>
      <c r="DC38" s="4753">
        <f t="shared" si="49"/>
        <v>0</v>
      </c>
      <c r="DD38" s="4753">
        <f t="shared" si="49"/>
        <v>0</v>
      </c>
      <c r="DE38" s="4753">
        <f t="shared" si="49"/>
        <v>0</v>
      </c>
      <c r="DF38" s="4753">
        <f t="shared" si="49"/>
        <v>0</v>
      </c>
      <c r="DG38" s="4753">
        <f t="shared" si="49"/>
        <v>0</v>
      </c>
      <c r="DH38" s="4753">
        <f t="shared" si="49"/>
        <v>0</v>
      </c>
      <c r="DI38" s="4753">
        <f t="shared" si="49"/>
        <v>0</v>
      </c>
      <c r="DJ38" s="4753">
        <f t="shared" si="49"/>
        <v>0</v>
      </c>
      <c r="DK38" s="4753">
        <f t="shared" si="49"/>
        <v>0</v>
      </c>
      <c r="DL38" s="4753">
        <f t="shared" si="49"/>
        <v>0</v>
      </c>
      <c r="DM38" s="4753">
        <f t="shared" si="49"/>
        <v>0</v>
      </c>
      <c r="DN38" s="4753">
        <f t="shared" si="49"/>
        <v>0</v>
      </c>
      <c r="DO38" s="4753">
        <f t="shared" si="49"/>
        <v>0</v>
      </c>
      <c r="DP38" s="4753">
        <f t="shared" si="49"/>
        <v>0</v>
      </c>
      <c r="DQ38" s="4753">
        <f t="shared" si="49"/>
        <v>0</v>
      </c>
      <c r="DR38" s="4753">
        <f t="shared" si="49"/>
        <v>0</v>
      </c>
      <c r="DS38" s="4753">
        <f t="shared" si="49"/>
        <v>0</v>
      </c>
      <c r="DT38" s="4753">
        <f t="shared" si="49"/>
        <v>0</v>
      </c>
      <c r="DU38" s="4753">
        <f t="shared" si="49"/>
        <v>0</v>
      </c>
      <c r="DV38" s="4753">
        <f t="shared" si="49"/>
        <v>0</v>
      </c>
      <c r="DW38" s="4753">
        <f t="shared" si="49"/>
        <v>0</v>
      </c>
      <c r="DX38" s="4753">
        <f t="shared" si="49"/>
        <v>0</v>
      </c>
      <c r="DY38" s="4753">
        <f t="shared" si="49"/>
        <v>0</v>
      </c>
      <c r="DZ38" s="4753">
        <f t="shared" si="49"/>
        <v>0</v>
      </c>
      <c r="EA38" s="4753">
        <f t="shared" si="49"/>
        <v>0</v>
      </c>
      <c r="EB38" s="4753">
        <f t="shared" si="49"/>
        <v>0</v>
      </c>
      <c r="EC38" s="4753">
        <f t="shared" si="49"/>
        <v>0</v>
      </c>
      <c r="ED38" s="4753">
        <f t="shared" si="49"/>
        <v>0</v>
      </c>
      <c r="EE38" s="4753">
        <f t="shared" si="49"/>
        <v>0</v>
      </c>
      <c r="EF38" s="4753">
        <f t="shared" si="49"/>
        <v>0</v>
      </c>
      <c r="EG38" s="4753">
        <f t="shared" ref="EG38:GE41" si="50">SUM(EG8,EG13,EG18,EG23,EG28,EG33)</f>
        <v>0</v>
      </c>
      <c r="EH38" s="4753">
        <f t="shared" si="50"/>
        <v>0</v>
      </c>
      <c r="EI38" s="4753">
        <f t="shared" si="50"/>
        <v>0</v>
      </c>
      <c r="EJ38" s="4753">
        <f t="shared" si="50"/>
        <v>0</v>
      </c>
      <c r="EK38" s="4753">
        <f t="shared" si="50"/>
        <v>0</v>
      </c>
      <c r="EL38" s="4753">
        <f t="shared" si="50"/>
        <v>0</v>
      </c>
      <c r="EM38" s="4753">
        <f t="shared" si="50"/>
        <v>0</v>
      </c>
      <c r="EN38" s="4753">
        <f t="shared" si="50"/>
        <v>0</v>
      </c>
      <c r="EO38" s="4753">
        <f t="shared" si="50"/>
        <v>0</v>
      </c>
      <c r="EP38" s="4753">
        <f t="shared" si="50"/>
        <v>0</v>
      </c>
      <c r="EQ38" s="4753">
        <f t="shared" si="50"/>
        <v>0</v>
      </c>
      <c r="ER38" s="4753">
        <f t="shared" si="50"/>
        <v>0</v>
      </c>
      <c r="ES38" s="4753">
        <f t="shared" si="50"/>
        <v>0</v>
      </c>
      <c r="ET38" s="4753">
        <f t="shared" si="50"/>
        <v>0</v>
      </c>
      <c r="EU38" s="4753">
        <f t="shared" si="50"/>
        <v>0</v>
      </c>
      <c r="EV38" s="4753">
        <f t="shared" si="50"/>
        <v>0</v>
      </c>
      <c r="EW38" s="4753">
        <f t="shared" si="50"/>
        <v>0</v>
      </c>
      <c r="EX38" s="4753">
        <f t="shared" si="50"/>
        <v>0</v>
      </c>
      <c r="EY38" s="4753">
        <f t="shared" si="50"/>
        <v>0</v>
      </c>
      <c r="EZ38" s="4753">
        <f t="shared" si="50"/>
        <v>0</v>
      </c>
      <c r="FA38" s="4753">
        <f t="shared" si="50"/>
        <v>0</v>
      </c>
      <c r="FB38" s="4753">
        <f t="shared" si="50"/>
        <v>0</v>
      </c>
      <c r="FC38" s="4753">
        <f t="shared" si="50"/>
        <v>0</v>
      </c>
      <c r="FD38" s="4753">
        <f t="shared" si="50"/>
        <v>0</v>
      </c>
      <c r="FE38" s="4753">
        <f t="shared" si="50"/>
        <v>0</v>
      </c>
      <c r="FF38" s="4753">
        <f t="shared" si="50"/>
        <v>0</v>
      </c>
      <c r="FG38" s="4753">
        <f t="shared" si="50"/>
        <v>0</v>
      </c>
      <c r="FH38" s="4753">
        <f t="shared" si="50"/>
        <v>0</v>
      </c>
      <c r="FI38" s="4753">
        <f t="shared" si="50"/>
        <v>0</v>
      </c>
      <c r="FJ38" s="4753">
        <f t="shared" si="50"/>
        <v>0</v>
      </c>
      <c r="FK38" s="4753">
        <f t="shared" si="50"/>
        <v>0</v>
      </c>
      <c r="FL38" s="4753">
        <f t="shared" si="50"/>
        <v>0</v>
      </c>
      <c r="FM38" s="4753">
        <f t="shared" si="50"/>
        <v>0</v>
      </c>
      <c r="FN38" s="4753">
        <f t="shared" si="50"/>
        <v>0</v>
      </c>
      <c r="FO38" s="4753">
        <f t="shared" si="50"/>
        <v>0</v>
      </c>
      <c r="FP38" s="4753">
        <f t="shared" si="50"/>
        <v>0</v>
      </c>
      <c r="FQ38" s="4753">
        <f t="shared" si="50"/>
        <v>0</v>
      </c>
      <c r="FR38" s="4753">
        <f t="shared" si="50"/>
        <v>0</v>
      </c>
      <c r="FS38" s="4753">
        <f t="shared" si="50"/>
        <v>0</v>
      </c>
      <c r="FT38" s="4753">
        <f t="shared" si="50"/>
        <v>0</v>
      </c>
      <c r="FU38" s="4753">
        <f t="shared" si="50"/>
        <v>0</v>
      </c>
      <c r="FV38" s="4753">
        <f t="shared" si="50"/>
        <v>0</v>
      </c>
      <c r="FW38" s="4753">
        <f t="shared" si="50"/>
        <v>0</v>
      </c>
      <c r="FX38" s="4753">
        <f t="shared" si="50"/>
        <v>0</v>
      </c>
      <c r="FY38" s="4753">
        <f t="shared" si="50"/>
        <v>0</v>
      </c>
      <c r="FZ38" s="4753">
        <f t="shared" si="50"/>
        <v>0</v>
      </c>
      <c r="GA38" s="4753">
        <f t="shared" si="50"/>
        <v>0</v>
      </c>
      <c r="GB38" s="4753">
        <f t="shared" si="50"/>
        <v>0</v>
      </c>
      <c r="GC38" s="4753">
        <f t="shared" si="50"/>
        <v>0</v>
      </c>
      <c r="GD38" s="4753">
        <f t="shared" si="50"/>
        <v>0</v>
      </c>
      <c r="GE38" s="4753">
        <f t="shared" si="50"/>
        <v>0</v>
      </c>
    </row>
    <row r="39" spans="3:187" ht="13.5" customHeight="1">
      <c r="C39" s="4955"/>
      <c r="D39" s="4959" t="s">
        <v>5103</v>
      </c>
      <c r="E39" s="4773"/>
      <c r="F39" s="4762">
        <f>SUM(H39:FO39)</f>
        <v>0</v>
      </c>
      <c r="G39" s="4762"/>
      <c r="H39" s="4763">
        <f>SUM(H9,H14,H19,H24,H29,H34)</f>
        <v>0</v>
      </c>
      <c r="I39" s="4763">
        <f t="shared" si="48"/>
        <v>0</v>
      </c>
      <c r="J39" s="4763">
        <f t="shared" si="48"/>
        <v>0</v>
      </c>
      <c r="K39" s="4763">
        <f t="shared" si="48"/>
        <v>0</v>
      </c>
      <c r="L39" s="4763">
        <f t="shared" si="48"/>
        <v>0</v>
      </c>
      <c r="M39" s="4763">
        <f t="shared" si="48"/>
        <v>0</v>
      </c>
      <c r="N39" s="4763">
        <f t="shared" si="48"/>
        <v>0</v>
      </c>
      <c r="O39" s="4763">
        <f t="shared" si="48"/>
        <v>0</v>
      </c>
      <c r="P39" s="4763">
        <f t="shared" si="48"/>
        <v>0</v>
      </c>
      <c r="Q39" s="4763">
        <f t="shared" si="48"/>
        <v>0</v>
      </c>
      <c r="R39" s="4763">
        <f t="shared" si="48"/>
        <v>0</v>
      </c>
      <c r="S39" s="4763">
        <f t="shared" si="48"/>
        <v>0</v>
      </c>
      <c r="T39" s="4763">
        <f t="shared" si="48"/>
        <v>0</v>
      </c>
      <c r="U39" s="4763">
        <f t="shared" si="48"/>
        <v>0</v>
      </c>
      <c r="V39" s="4763">
        <f t="shared" si="48"/>
        <v>0</v>
      </c>
      <c r="W39" s="4763">
        <f t="shared" si="48"/>
        <v>0</v>
      </c>
      <c r="X39" s="4763">
        <f t="shared" si="48"/>
        <v>0</v>
      </c>
      <c r="Y39" s="4763">
        <f t="shared" si="48"/>
        <v>0</v>
      </c>
      <c r="Z39" s="4763">
        <f t="shared" si="48"/>
        <v>0</v>
      </c>
      <c r="AA39" s="4763">
        <f t="shared" si="48"/>
        <v>0</v>
      </c>
      <c r="AB39" s="4763">
        <f t="shared" si="48"/>
        <v>0</v>
      </c>
      <c r="AC39" s="4763">
        <f t="shared" si="48"/>
        <v>0</v>
      </c>
      <c r="AD39" s="4763">
        <f t="shared" si="48"/>
        <v>0</v>
      </c>
      <c r="AE39" s="4763">
        <f t="shared" si="48"/>
        <v>0</v>
      </c>
      <c r="AF39" s="4763">
        <f t="shared" si="48"/>
        <v>0</v>
      </c>
      <c r="AG39" s="4763">
        <f t="shared" si="48"/>
        <v>0</v>
      </c>
      <c r="AH39" s="4763">
        <f t="shared" si="48"/>
        <v>0</v>
      </c>
      <c r="AI39" s="4763">
        <f t="shared" si="48"/>
        <v>0</v>
      </c>
      <c r="AJ39" s="4763">
        <f t="shared" si="48"/>
        <v>0</v>
      </c>
      <c r="AK39" s="4763">
        <f t="shared" si="48"/>
        <v>0</v>
      </c>
      <c r="AL39" s="4763">
        <f t="shared" si="48"/>
        <v>0</v>
      </c>
      <c r="AM39" s="4763">
        <f t="shared" si="48"/>
        <v>0</v>
      </c>
      <c r="AN39" s="4763">
        <f t="shared" si="48"/>
        <v>0</v>
      </c>
      <c r="AO39" s="4763">
        <f t="shared" si="48"/>
        <v>0</v>
      </c>
      <c r="AP39" s="4763">
        <f t="shared" si="48"/>
        <v>0</v>
      </c>
      <c r="AQ39" s="4763">
        <f t="shared" si="48"/>
        <v>0</v>
      </c>
      <c r="AR39" s="4763">
        <f t="shared" si="48"/>
        <v>0</v>
      </c>
      <c r="AS39" s="4763">
        <f t="shared" si="48"/>
        <v>0</v>
      </c>
      <c r="AT39" s="4763">
        <f t="shared" si="48"/>
        <v>0</v>
      </c>
      <c r="AU39" s="4763">
        <f t="shared" si="48"/>
        <v>0</v>
      </c>
      <c r="AV39" s="4763">
        <f t="shared" si="48"/>
        <v>0</v>
      </c>
      <c r="AW39" s="4763">
        <f t="shared" si="48"/>
        <v>0</v>
      </c>
      <c r="AX39" s="4763">
        <f t="shared" si="48"/>
        <v>0</v>
      </c>
      <c r="AY39" s="4763">
        <f t="shared" si="48"/>
        <v>0</v>
      </c>
      <c r="AZ39" s="4763">
        <f t="shared" si="48"/>
        <v>0</v>
      </c>
      <c r="BA39" s="4763">
        <f t="shared" si="48"/>
        <v>0</v>
      </c>
      <c r="BB39" s="4763">
        <f t="shared" si="48"/>
        <v>0</v>
      </c>
      <c r="BC39" s="4763">
        <f t="shared" si="48"/>
        <v>0</v>
      </c>
      <c r="BD39" s="4763">
        <f t="shared" si="48"/>
        <v>0</v>
      </c>
      <c r="BE39" s="4763">
        <f t="shared" si="48"/>
        <v>0</v>
      </c>
      <c r="BF39" s="4763">
        <f t="shared" si="48"/>
        <v>0</v>
      </c>
      <c r="BG39" s="4763">
        <f t="shared" si="48"/>
        <v>0</v>
      </c>
      <c r="BH39" s="4763">
        <f t="shared" si="48"/>
        <v>0</v>
      </c>
      <c r="BI39" s="4763">
        <f t="shared" si="48"/>
        <v>0</v>
      </c>
      <c r="BJ39" s="4763">
        <f t="shared" si="48"/>
        <v>0</v>
      </c>
      <c r="BK39" s="4763">
        <f t="shared" si="48"/>
        <v>0</v>
      </c>
      <c r="BL39" s="4763">
        <f t="shared" si="48"/>
        <v>0</v>
      </c>
      <c r="BM39" s="4763">
        <f t="shared" si="48"/>
        <v>0</v>
      </c>
      <c r="BN39" s="4763">
        <f t="shared" si="48"/>
        <v>0</v>
      </c>
      <c r="BO39" s="4763">
        <f t="shared" si="48"/>
        <v>0</v>
      </c>
      <c r="BP39" s="4763">
        <f t="shared" si="48"/>
        <v>0</v>
      </c>
      <c r="BQ39" s="4763">
        <f t="shared" si="48"/>
        <v>0</v>
      </c>
      <c r="BR39" s="4763">
        <f t="shared" si="48"/>
        <v>0</v>
      </c>
      <c r="BS39" s="4763">
        <f t="shared" si="48"/>
        <v>0</v>
      </c>
      <c r="BT39" s="4763">
        <f t="shared" si="48"/>
        <v>0</v>
      </c>
      <c r="BU39" s="4763">
        <f t="shared" si="49"/>
        <v>0</v>
      </c>
      <c r="BV39" s="4763">
        <f t="shared" si="49"/>
        <v>0</v>
      </c>
      <c r="BW39" s="4763">
        <f t="shared" si="49"/>
        <v>0</v>
      </c>
      <c r="BX39" s="4763">
        <f t="shared" si="49"/>
        <v>0</v>
      </c>
      <c r="BY39" s="4763">
        <f t="shared" si="49"/>
        <v>0</v>
      </c>
      <c r="BZ39" s="4763">
        <f t="shared" si="49"/>
        <v>0</v>
      </c>
      <c r="CA39" s="4763">
        <f t="shared" si="49"/>
        <v>0</v>
      </c>
      <c r="CB39" s="4763">
        <f t="shared" si="49"/>
        <v>0</v>
      </c>
      <c r="CC39" s="4763">
        <f t="shared" si="49"/>
        <v>0</v>
      </c>
      <c r="CD39" s="4763">
        <f t="shared" si="49"/>
        <v>0</v>
      </c>
      <c r="CE39" s="4763">
        <f t="shared" si="49"/>
        <v>0</v>
      </c>
      <c r="CF39" s="4763">
        <f t="shared" si="49"/>
        <v>0</v>
      </c>
      <c r="CG39" s="4763">
        <f t="shared" si="49"/>
        <v>0</v>
      </c>
      <c r="CH39" s="4763">
        <f t="shared" si="49"/>
        <v>0</v>
      </c>
      <c r="CI39" s="4763">
        <f t="shared" si="49"/>
        <v>0</v>
      </c>
      <c r="CJ39" s="4763">
        <f t="shared" si="49"/>
        <v>0</v>
      </c>
      <c r="CK39" s="4763">
        <f t="shared" si="49"/>
        <v>0</v>
      </c>
      <c r="CL39" s="4763">
        <f t="shared" si="49"/>
        <v>0</v>
      </c>
      <c r="CM39" s="4763">
        <f t="shared" si="49"/>
        <v>0</v>
      </c>
      <c r="CN39" s="4763">
        <f t="shared" si="49"/>
        <v>0</v>
      </c>
      <c r="CO39" s="4763">
        <f t="shared" si="49"/>
        <v>0</v>
      </c>
      <c r="CP39" s="4763">
        <f t="shared" si="49"/>
        <v>0</v>
      </c>
      <c r="CQ39" s="4763">
        <f t="shared" si="49"/>
        <v>0</v>
      </c>
      <c r="CR39" s="4763">
        <f t="shared" si="49"/>
        <v>0</v>
      </c>
      <c r="CS39" s="4763">
        <f t="shared" si="49"/>
        <v>0</v>
      </c>
      <c r="CT39" s="4763">
        <f t="shared" si="49"/>
        <v>0</v>
      </c>
      <c r="CU39" s="4763">
        <f t="shared" si="49"/>
        <v>0</v>
      </c>
      <c r="CV39" s="4763">
        <f t="shared" si="49"/>
        <v>0</v>
      </c>
      <c r="CW39" s="4763">
        <f t="shared" si="49"/>
        <v>0</v>
      </c>
      <c r="CX39" s="4763">
        <f t="shared" si="49"/>
        <v>0</v>
      </c>
      <c r="CY39" s="4763">
        <f t="shared" si="49"/>
        <v>0</v>
      </c>
      <c r="CZ39" s="4763">
        <f t="shared" si="49"/>
        <v>0</v>
      </c>
      <c r="DA39" s="4763">
        <f t="shared" si="49"/>
        <v>0</v>
      </c>
      <c r="DB39" s="4763">
        <f t="shared" si="49"/>
        <v>0</v>
      </c>
      <c r="DC39" s="4763">
        <f t="shared" si="49"/>
        <v>0</v>
      </c>
      <c r="DD39" s="4763">
        <f t="shared" si="49"/>
        <v>0</v>
      </c>
      <c r="DE39" s="4763">
        <f t="shared" si="49"/>
        <v>0</v>
      </c>
      <c r="DF39" s="4763">
        <f t="shared" si="49"/>
        <v>0</v>
      </c>
      <c r="DG39" s="4763">
        <f t="shared" si="49"/>
        <v>0</v>
      </c>
      <c r="DH39" s="4763">
        <f t="shared" si="49"/>
        <v>0</v>
      </c>
      <c r="DI39" s="4763">
        <f t="shared" si="49"/>
        <v>0</v>
      </c>
      <c r="DJ39" s="4763">
        <f t="shared" si="49"/>
        <v>0</v>
      </c>
      <c r="DK39" s="4763">
        <f t="shared" si="49"/>
        <v>0</v>
      </c>
      <c r="DL39" s="4763">
        <f t="shared" si="49"/>
        <v>0</v>
      </c>
      <c r="DM39" s="4763">
        <f t="shared" si="49"/>
        <v>0</v>
      </c>
      <c r="DN39" s="4763">
        <f t="shared" si="49"/>
        <v>0</v>
      </c>
      <c r="DO39" s="4763">
        <f t="shared" si="49"/>
        <v>0</v>
      </c>
      <c r="DP39" s="4763">
        <f t="shared" si="49"/>
        <v>0</v>
      </c>
      <c r="DQ39" s="4763">
        <f t="shared" si="49"/>
        <v>0</v>
      </c>
      <c r="DR39" s="4763">
        <f t="shared" si="49"/>
        <v>0</v>
      </c>
      <c r="DS39" s="4763">
        <f t="shared" si="49"/>
        <v>0</v>
      </c>
      <c r="DT39" s="4763">
        <f t="shared" si="49"/>
        <v>0</v>
      </c>
      <c r="DU39" s="4763">
        <f t="shared" si="49"/>
        <v>0</v>
      </c>
      <c r="DV39" s="4763">
        <f t="shared" si="49"/>
        <v>0</v>
      </c>
      <c r="DW39" s="4763">
        <f t="shared" si="49"/>
        <v>0</v>
      </c>
      <c r="DX39" s="4763">
        <f t="shared" si="49"/>
        <v>0</v>
      </c>
      <c r="DY39" s="4763">
        <f t="shared" si="49"/>
        <v>0</v>
      </c>
      <c r="DZ39" s="4763">
        <f t="shared" si="49"/>
        <v>0</v>
      </c>
      <c r="EA39" s="4763">
        <f t="shared" si="49"/>
        <v>0</v>
      </c>
      <c r="EB39" s="4763">
        <f t="shared" si="49"/>
        <v>0</v>
      </c>
      <c r="EC39" s="4763">
        <f t="shared" si="49"/>
        <v>0</v>
      </c>
      <c r="ED39" s="4763">
        <f t="shared" si="49"/>
        <v>0</v>
      </c>
      <c r="EE39" s="4763">
        <f t="shared" si="49"/>
        <v>0</v>
      </c>
      <c r="EF39" s="4763">
        <f t="shared" si="49"/>
        <v>0</v>
      </c>
      <c r="EG39" s="4763">
        <f t="shared" si="50"/>
        <v>0</v>
      </c>
      <c r="EH39" s="4763">
        <f t="shared" si="50"/>
        <v>0</v>
      </c>
      <c r="EI39" s="4763">
        <f t="shared" si="50"/>
        <v>0</v>
      </c>
      <c r="EJ39" s="4763">
        <f t="shared" si="50"/>
        <v>0</v>
      </c>
      <c r="EK39" s="4763">
        <f t="shared" si="50"/>
        <v>0</v>
      </c>
      <c r="EL39" s="4763">
        <f t="shared" si="50"/>
        <v>0</v>
      </c>
      <c r="EM39" s="4763">
        <f t="shared" si="50"/>
        <v>0</v>
      </c>
      <c r="EN39" s="4763">
        <f t="shared" si="50"/>
        <v>0</v>
      </c>
      <c r="EO39" s="4763">
        <f t="shared" si="50"/>
        <v>0</v>
      </c>
      <c r="EP39" s="4763">
        <f t="shared" si="50"/>
        <v>0</v>
      </c>
      <c r="EQ39" s="4763">
        <f t="shared" si="50"/>
        <v>0</v>
      </c>
      <c r="ER39" s="4763">
        <f t="shared" si="50"/>
        <v>0</v>
      </c>
      <c r="ES39" s="4763">
        <f t="shared" si="50"/>
        <v>0</v>
      </c>
      <c r="ET39" s="4763">
        <f t="shared" si="50"/>
        <v>0</v>
      </c>
      <c r="EU39" s="4763">
        <f t="shared" si="50"/>
        <v>0</v>
      </c>
      <c r="EV39" s="4763">
        <f t="shared" si="50"/>
        <v>0</v>
      </c>
      <c r="EW39" s="4763">
        <f t="shared" si="50"/>
        <v>0</v>
      </c>
      <c r="EX39" s="4763">
        <f t="shared" si="50"/>
        <v>0</v>
      </c>
      <c r="EY39" s="4763">
        <f t="shared" si="50"/>
        <v>0</v>
      </c>
      <c r="EZ39" s="4763">
        <f t="shared" si="50"/>
        <v>0</v>
      </c>
      <c r="FA39" s="4763">
        <f t="shared" si="50"/>
        <v>0</v>
      </c>
      <c r="FB39" s="4763">
        <f t="shared" si="50"/>
        <v>0</v>
      </c>
      <c r="FC39" s="4763">
        <f t="shared" si="50"/>
        <v>0</v>
      </c>
      <c r="FD39" s="4763">
        <f t="shared" si="50"/>
        <v>0</v>
      </c>
      <c r="FE39" s="4763">
        <f t="shared" si="50"/>
        <v>0</v>
      </c>
      <c r="FF39" s="4763">
        <f t="shared" si="50"/>
        <v>0</v>
      </c>
      <c r="FG39" s="4763">
        <f t="shared" si="50"/>
        <v>0</v>
      </c>
      <c r="FH39" s="4763">
        <f t="shared" si="50"/>
        <v>0</v>
      </c>
      <c r="FI39" s="4763">
        <f t="shared" si="50"/>
        <v>0</v>
      </c>
      <c r="FJ39" s="4763">
        <f t="shared" si="50"/>
        <v>0</v>
      </c>
      <c r="FK39" s="4763">
        <f t="shared" si="50"/>
        <v>0</v>
      </c>
      <c r="FL39" s="4763">
        <f t="shared" si="50"/>
        <v>0</v>
      </c>
      <c r="FM39" s="4763">
        <f t="shared" si="50"/>
        <v>0</v>
      </c>
      <c r="FN39" s="4763">
        <f t="shared" si="50"/>
        <v>0</v>
      </c>
      <c r="FO39" s="4763">
        <f t="shared" si="50"/>
        <v>0</v>
      </c>
      <c r="FP39" s="4763">
        <f t="shared" si="50"/>
        <v>0</v>
      </c>
      <c r="FQ39" s="4763">
        <f t="shared" si="50"/>
        <v>0</v>
      </c>
      <c r="FR39" s="4763">
        <f t="shared" si="50"/>
        <v>0</v>
      </c>
      <c r="FS39" s="4763">
        <f t="shared" si="50"/>
        <v>0</v>
      </c>
      <c r="FT39" s="4763">
        <f t="shared" si="50"/>
        <v>0</v>
      </c>
      <c r="FU39" s="4763">
        <f t="shared" si="50"/>
        <v>0</v>
      </c>
      <c r="FV39" s="4763">
        <f t="shared" si="50"/>
        <v>0</v>
      </c>
      <c r="FW39" s="4763">
        <f t="shared" si="50"/>
        <v>0</v>
      </c>
      <c r="FX39" s="4763">
        <f t="shared" si="50"/>
        <v>0</v>
      </c>
      <c r="FY39" s="4763">
        <f t="shared" si="50"/>
        <v>0</v>
      </c>
      <c r="FZ39" s="4763">
        <f t="shared" si="50"/>
        <v>0</v>
      </c>
      <c r="GA39" s="4763">
        <f t="shared" si="50"/>
        <v>0</v>
      </c>
      <c r="GB39" s="4763">
        <f t="shared" si="50"/>
        <v>0</v>
      </c>
      <c r="GC39" s="4763">
        <f t="shared" si="50"/>
        <v>0</v>
      </c>
      <c r="GD39" s="4763">
        <f t="shared" si="50"/>
        <v>0</v>
      </c>
      <c r="GE39" s="4763">
        <f t="shared" si="50"/>
        <v>0</v>
      </c>
    </row>
    <row r="40" spans="3:187" ht="13.5" customHeight="1">
      <c r="C40" s="4955"/>
      <c r="D40" s="4959" t="s">
        <v>5102</v>
      </c>
      <c r="E40" s="4913"/>
      <c r="F40" s="4753">
        <f>SUM(H40:FO40)</f>
        <v>1423.4598599999995</v>
      </c>
      <c r="G40" s="4753"/>
      <c r="H40" s="4753">
        <f t="shared" ref="H40:BS41" si="51">SUM(H10,H15,H20,H25,H30,H35)</f>
        <v>33.2196</v>
      </c>
      <c r="I40" s="4753">
        <f t="shared" si="51"/>
        <v>33.2196</v>
      </c>
      <c r="J40" s="4753">
        <f t="shared" si="51"/>
        <v>33.2196</v>
      </c>
      <c r="K40" s="4753">
        <f t="shared" si="51"/>
        <v>34.880579999999995</v>
      </c>
      <c r="L40" s="4753">
        <f t="shared" si="51"/>
        <v>39.033029999999997</v>
      </c>
      <c r="M40" s="4753">
        <f t="shared" si="51"/>
        <v>39.863520000000001</v>
      </c>
      <c r="N40" s="4753">
        <f t="shared" si="51"/>
        <v>40.694009999999999</v>
      </c>
      <c r="O40" s="4753">
        <f t="shared" si="51"/>
        <v>41.524500000000003</v>
      </c>
      <c r="P40" s="4753">
        <f t="shared" si="51"/>
        <v>42.354990000000001</v>
      </c>
      <c r="Q40" s="4753">
        <f t="shared" si="51"/>
        <v>43.185479999999998</v>
      </c>
      <c r="R40" s="4753">
        <f t="shared" si="51"/>
        <v>43.185479999999998</v>
      </c>
      <c r="S40" s="4753">
        <f t="shared" si="51"/>
        <v>44.015969999999996</v>
      </c>
      <c r="T40" s="4753">
        <f t="shared" si="51"/>
        <v>39.033029999999997</v>
      </c>
      <c r="U40" s="4753">
        <f t="shared" si="51"/>
        <v>39.033029999999997</v>
      </c>
      <c r="V40" s="4753">
        <f t="shared" si="51"/>
        <v>39.863520000000001</v>
      </c>
      <c r="W40" s="4753">
        <f t="shared" si="51"/>
        <v>40.694009999999999</v>
      </c>
      <c r="X40" s="4753">
        <f t="shared" si="51"/>
        <v>40.694009999999999</v>
      </c>
      <c r="Y40" s="4753">
        <f t="shared" si="51"/>
        <v>40.694009999999999</v>
      </c>
      <c r="Z40" s="4753">
        <f t="shared" si="51"/>
        <v>41.524500000000003</v>
      </c>
      <c r="AA40" s="4753">
        <f t="shared" si="51"/>
        <v>42.354990000000001</v>
      </c>
      <c r="AB40" s="4753">
        <f t="shared" si="51"/>
        <v>38.202539999999999</v>
      </c>
      <c r="AC40" s="4753">
        <f t="shared" si="51"/>
        <v>39.033029999999997</v>
      </c>
      <c r="AD40" s="4753">
        <f t="shared" si="51"/>
        <v>44.015969999999996</v>
      </c>
      <c r="AE40" s="4753">
        <f t="shared" si="51"/>
        <v>44.846459999999993</v>
      </c>
      <c r="AF40" s="4753">
        <f t="shared" si="51"/>
        <v>52.320869999999999</v>
      </c>
      <c r="AG40" s="4753">
        <f t="shared" si="51"/>
        <v>52.320869999999999</v>
      </c>
      <c r="AH40" s="4753">
        <f t="shared" si="51"/>
        <v>53.151359999999997</v>
      </c>
      <c r="AI40" s="4753">
        <f t="shared" si="51"/>
        <v>53.981850000000001</v>
      </c>
      <c r="AJ40" s="4753">
        <f t="shared" si="51"/>
        <v>33.2196</v>
      </c>
      <c r="AK40" s="4753">
        <f t="shared" si="51"/>
        <v>38.202539999999999</v>
      </c>
      <c r="AL40" s="4753">
        <f t="shared" si="51"/>
        <v>39.033029999999997</v>
      </c>
      <c r="AM40" s="4753">
        <f t="shared" si="51"/>
        <v>33.2196</v>
      </c>
      <c r="AN40" s="4753">
        <f t="shared" si="51"/>
        <v>9.9658800000000003</v>
      </c>
      <c r="AO40" s="4753">
        <f t="shared" si="51"/>
        <v>9.9658800000000003</v>
      </c>
      <c r="AP40" s="4753">
        <f t="shared" si="51"/>
        <v>9.9658800000000003</v>
      </c>
      <c r="AQ40" s="4753">
        <f t="shared" si="51"/>
        <v>9.9658800000000003</v>
      </c>
      <c r="AR40" s="4753">
        <f t="shared" si="51"/>
        <v>9.9658800000000003</v>
      </c>
      <c r="AS40" s="4753">
        <f t="shared" si="51"/>
        <v>9.9658800000000003</v>
      </c>
      <c r="AT40" s="4753">
        <f t="shared" si="51"/>
        <v>9.9658800000000003</v>
      </c>
      <c r="AU40" s="4753">
        <f t="shared" si="51"/>
        <v>9.9658800000000003</v>
      </c>
      <c r="AV40" s="4753">
        <f t="shared" si="51"/>
        <v>9.9658800000000003</v>
      </c>
      <c r="AW40" s="4753">
        <f t="shared" si="51"/>
        <v>9.9658800000000003</v>
      </c>
      <c r="AX40" s="4753">
        <f t="shared" si="51"/>
        <v>9.9658799999998866</v>
      </c>
      <c r="AY40" s="4753">
        <f t="shared" si="51"/>
        <v>0</v>
      </c>
      <c r="AZ40" s="4753">
        <f t="shared" si="51"/>
        <v>0</v>
      </c>
      <c r="BA40" s="4753">
        <f t="shared" si="51"/>
        <v>0</v>
      </c>
      <c r="BB40" s="4753">
        <f t="shared" si="51"/>
        <v>0</v>
      </c>
      <c r="BC40" s="4753">
        <f t="shared" si="51"/>
        <v>0</v>
      </c>
      <c r="BD40" s="4753">
        <f t="shared" si="51"/>
        <v>0</v>
      </c>
      <c r="BE40" s="4753">
        <f t="shared" si="51"/>
        <v>0</v>
      </c>
      <c r="BF40" s="4753">
        <f t="shared" si="51"/>
        <v>0</v>
      </c>
      <c r="BG40" s="4753">
        <f t="shared" si="51"/>
        <v>0</v>
      </c>
      <c r="BH40" s="4753">
        <f t="shared" si="51"/>
        <v>0</v>
      </c>
      <c r="BI40" s="4753">
        <f t="shared" si="51"/>
        <v>0</v>
      </c>
      <c r="BJ40" s="4753">
        <f t="shared" si="51"/>
        <v>0</v>
      </c>
      <c r="BK40" s="4753">
        <f t="shared" si="51"/>
        <v>0</v>
      </c>
      <c r="BL40" s="4753">
        <f t="shared" si="51"/>
        <v>0</v>
      </c>
      <c r="BM40" s="4753">
        <f t="shared" si="51"/>
        <v>0</v>
      </c>
      <c r="BN40" s="4753">
        <f t="shared" si="51"/>
        <v>0</v>
      </c>
      <c r="BO40" s="4753">
        <f t="shared" si="51"/>
        <v>0</v>
      </c>
      <c r="BP40" s="4753">
        <f t="shared" si="51"/>
        <v>0</v>
      </c>
      <c r="BQ40" s="4753">
        <f t="shared" si="51"/>
        <v>0</v>
      </c>
      <c r="BR40" s="4753">
        <f t="shared" si="51"/>
        <v>0</v>
      </c>
      <c r="BS40" s="4753">
        <f t="shared" si="51"/>
        <v>0</v>
      </c>
      <c r="BT40" s="4753">
        <f t="shared" si="48"/>
        <v>0</v>
      </c>
      <c r="BU40" s="4753">
        <f t="shared" si="49"/>
        <v>0</v>
      </c>
      <c r="BV40" s="4753">
        <f t="shared" si="49"/>
        <v>0</v>
      </c>
      <c r="BW40" s="4753">
        <f t="shared" si="49"/>
        <v>0</v>
      </c>
      <c r="BX40" s="4753">
        <f t="shared" si="49"/>
        <v>0</v>
      </c>
      <c r="BY40" s="4753">
        <f t="shared" si="49"/>
        <v>0</v>
      </c>
      <c r="BZ40" s="4753">
        <f t="shared" si="49"/>
        <v>0</v>
      </c>
      <c r="CA40" s="4753">
        <f t="shared" si="49"/>
        <v>0</v>
      </c>
      <c r="CB40" s="4753">
        <f t="shared" si="49"/>
        <v>0</v>
      </c>
      <c r="CC40" s="4753">
        <f t="shared" si="49"/>
        <v>0</v>
      </c>
      <c r="CD40" s="4753">
        <f t="shared" si="49"/>
        <v>0</v>
      </c>
      <c r="CE40" s="4753">
        <f t="shared" si="49"/>
        <v>0</v>
      </c>
      <c r="CF40" s="4753">
        <f t="shared" si="49"/>
        <v>0</v>
      </c>
      <c r="CG40" s="4753">
        <f t="shared" si="49"/>
        <v>0</v>
      </c>
      <c r="CH40" s="4753">
        <f t="shared" si="49"/>
        <v>0</v>
      </c>
      <c r="CI40" s="4753">
        <f t="shared" si="49"/>
        <v>0</v>
      </c>
      <c r="CJ40" s="4753">
        <f t="shared" si="49"/>
        <v>0</v>
      </c>
      <c r="CK40" s="4753">
        <f t="shared" si="49"/>
        <v>0</v>
      </c>
      <c r="CL40" s="4753">
        <f t="shared" si="49"/>
        <v>0</v>
      </c>
      <c r="CM40" s="4753">
        <f t="shared" si="49"/>
        <v>0</v>
      </c>
      <c r="CN40" s="4753">
        <f t="shared" si="49"/>
        <v>0</v>
      </c>
      <c r="CO40" s="4753">
        <f t="shared" si="49"/>
        <v>0</v>
      </c>
      <c r="CP40" s="4753">
        <f t="shared" si="49"/>
        <v>0</v>
      </c>
      <c r="CQ40" s="4753">
        <f t="shared" si="49"/>
        <v>0</v>
      </c>
      <c r="CR40" s="4753">
        <f t="shared" si="49"/>
        <v>0</v>
      </c>
      <c r="CS40" s="4753">
        <f t="shared" si="49"/>
        <v>0</v>
      </c>
      <c r="CT40" s="4753">
        <f t="shared" si="49"/>
        <v>0</v>
      </c>
      <c r="CU40" s="4753">
        <f t="shared" si="49"/>
        <v>0</v>
      </c>
      <c r="CV40" s="4753">
        <f t="shared" si="49"/>
        <v>0</v>
      </c>
      <c r="CW40" s="4753">
        <f t="shared" si="49"/>
        <v>0</v>
      </c>
      <c r="CX40" s="4753">
        <f t="shared" si="49"/>
        <v>0</v>
      </c>
      <c r="CY40" s="4753">
        <f t="shared" si="49"/>
        <v>0</v>
      </c>
      <c r="CZ40" s="4753">
        <f t="shared" si="49"/>
        <v>0</v>
      </c>
      <c r="DA40" s="4753">
        <f t="shared" si="49"/>
        <v>0</v>
      </c>
      <c r="DB40" s="4753">
        <f t="shared" si="49"/>
        <v>0</v>
      </c>
      <c r="DC40" s="4753">
        <f t="shared" si="49"/>
        <v>0</v>
      </c>
      <c r="DD40" s="4753">
        <f t="shared" si="49"/>
        <v>0</v>
      </c>
      <c r="DE40" s="4753">
        <f t="shared" si="49"/>
        <v>0</v>
      </c>
      <c r="DF40" s="4753">
        <f t="shared" si="49"/>
        <v>0</v>
      </c>
      <c r="DG40" s="4753">
        <f t="shared" si="49"/>
        <v>0</v>
      </c>
      <c r="DH40" s="4753">
        <f t="shared" si="49"/>
        <v>0</v>
      </c>
      <c r="DI40" s="4753">
        <f t="shared" si="49"/>
        <v>0</v>
      </c>
      <c r="DJ40" s="4753">
        <f t="shared" si="49"/>
        <v>0</v>
      </c>
      <c r="DK40" s="4753">
        <f t="shared" si="49"/>
        <v>0</v>
      </c>
      <c r="DL40" s="4753">
        <f t="shared" si="49"/>
        <v>0</v>
      </c>
      <c r="DM40" s="4753">
        <f t="shared" si="49"/>
        <v>0</v>
      </c>
      <c r="DN40" s="4753">
        <f t="shared" si="49"/>
        <v>0</v>
      </c>
      <c r="DO40" s="4753">
        <f t="shared" si="49"/>
        <v>0</v>
      </c>
      <c r="DP40" s="4753">
        <f t="shared" si="49"/>
        <v>0</v>
      </c>
      <c r="DQ40" s="4753">
        <f t="shared" si="49"/>
        <v>0</v>
      </c>
      <c r="DR40" s="4753">
        <f t="shared" si="49"/>
        <v>0</v>
      </c>
      <c r="DS40" s="4753">
        <f t="shared" si="49"/>
        <v>0</v>
      </c>
      <c r="DT40" s="4753">
        <f t="shared" si="49"/>
        <v>0</v>
      </c>
      <c r="DU40" s="4753">
        <f t="shared" si="49"/>
        <v>0</v>
      </c>
      <c r="DV40" s="4753">
        <f t="shared" si="49"/>
        <v>0</v>
      </c>
      <c r="DW40" s="4753">
        <f t="shared" si="49"/>
        <v>0</v>
      </c>
      <c r="DX40" s="4753">
        <f t="shared" si="49"/>
        <v>0</v>
      </c>
      <c r="DY40" s="4753">
        <f t="shared" si="49"/>
        <v>0</v>
      </c>
      <c r="DZ40" s="4753">
        <f t="shared" si="49"/>
        <v>0</v>
      </c>
      <c r="EA40" s="4753">
        <f t="shared" si="49"/>
        <v>0</v>
      </c>
      <c r="EB40" s="4753">
        <f t="shared" si="49"/>
        <v>0</v>
      </c>
      <c r="EC40" s="4753">
        <f t="shared" si="49"/>
        <v>0</v>
      </c>
      <c r="ED40" s="4753">
        <f t="shared" si="49"/>
        <v>0</v>
      </c>
      <c r="EE40" s="4753">
        <f t="shared" si="49"/>
        <v>0</v>
      </c>
      <c r="EF40" s="4753">
        <f t="shared" si="49"/>
        <v>0</v>
      </c>
      <c r="EG40" s="4753">
        <f t="shared" si="50"/>
        <v>0</v>
      </c>
      <c r="EH40" s="4753">
        <f t="shared" si="50"/>
        <v>0</v>
      </c>
      <c r="EI40" s="4753">
        <f t="shared" si="50"/>
        <v>0</v>
      </c>
      <c r="EJ40" s="4753">
        <f t="shared" si="50"/>
        <v>0</v>
      </c>
      <c r="EK40" s="4753">
        <f t="shared" si="50"/>
        <v>0</v>
      </c>
      <c r="EL40" s="4753">
        <f t="shared" si="50"/>
        <v>0</v>
      </c>
      <c r="EM40" s="4753">
        <f t="shared" si="50"/>
        <v>0</v>
      </c>
      <c r="EN40" s="4753">
        <f t="shared" si="50"/>
        <v>0</v>
      </c>
      <c r="EO40" s="4753">
        <f t="shared" si="50"/>
        <v>0</v>
      </c>
      <c r="EP40" s="4753">
        <f t="shared" si="50"/>
        <v>0</v>
      </c>
      <c r="EQ40" s="4753">
        <f t="shared" si="50"/>
        <v>0</v>
      </c>
      <c r="ER40" s="4753">
        <f t="shared" si="50"/>
        <v>0</v>
      </c>
      <c r="ES40" s="4753">
        <f t="shared" si="50"/>
        <v>0</v>
      </c>
      <c r="ET40" s="4753">
        <f t="shared" si="50"/>
        <v>0</v>
      </c>
      <c r="EU40" s="4753">
        <f t="shared" si="50"/>
        <v>0</v>
      </c>
      <c r="EV40" s="4753">
        <f t="shared" si="50"/>
        <v>0</v>
      </c>
      <c r="EW40" s="4753">
        <f t="shared" si="50"/>
        <v>0</v>
      </c>
      <c r="EX40" s="4753">
        <f t="shared" si="50"/>
        <v>0</v>
      </c>
      <c r="EY40" s="4753">
        <f t="shared" si="50"/>
        <v>0</v>
      </c>
      <c r="EZ40" s="4753">
        <f t="shared" si="50"/>
        <v>0</v>
      </c>
      <c r="FA40" s="4753">
        <f t="shared" si="50"/>
        <v>0</v>
      </c>
      <c r="FB40" s="4753">
        <f t="shared" si="50"/>
        <v>0</v>
      </c>
      <c r="FC40" s="4753">
        <f t="shared" si="50"/>
        <v>0</v>
      </c>
      <c r="FD40" s="4753">
        <f t="shared" si="50"/>
        <v>0</v>
      </c>
      <c r="FE40" s="4753">
        <f t="shared" si="50"/>
        <v>0</v>
      </c>
      <c r="FF40" s="4753">
        <f t="shared" si="50"/>
        <v>0</v>
      </c>
      <c r="FG40" s="4753">
        <f t="shared" si="50"/>
        <v>0</v>
      </c>
      <c r="FH40" s="4753">
        <f t="shared" si="50"/>
        <v>0</v>
      </c>
      <c r="FI40" s="4753">
        <f t="shared" si="50"/>
        <v>0</v>
      </c>
      <c r="FJ40" s="4753">
        <f t="shared" si="50"/>
        <v>0</v>
      </c>
      <c r="FK40" s="4753">
        <f t="shared" si="50"/>
        <v>0</v>
      </c>
      <c r="FL40" s="4753">
        <f t="shared" si="50"/>
        <v>0</v>
      </c>
      <c r="FM40" s="4753">
        <f t="shared" si="50"/>
        <v>0</v>
      </c>
      <c r="FN40" s="4753">
        <f t="shared" si="50"/>
        <v>0</v>
      </c>
      <c r="FO40" s="4753">
        <f t="shared" si="50"/>
        <v>0</v>
      </c>
      <c r="FP40" s="4753">
        <f t="shared" si="50"/>
        <v>0</v>
      </c>
      <c r="FQ40" s="4753">
        <f t="shared" si="50"/>
        <v>0</v>
      </c>
      <c r="FR40" s="4753">
        <f t="shared" si="50"/>
        <v>0</v>
      </c>
      <c r="FS40" s="4753">
        <f t="shared" si="50"/>
        <v>0</v>
      </c>
      <c r="FT40" s="4753">
        <f t="shared" si="50"/>
        <v>0</v>
      </c>
      <c r="FU40" s="4753">
        <f t="shared" si="50"/>
        <v>0</v>
      </c>
      <c r="FV40" s="4753">
        <f t="shared" si="50"/>
        <v>0</v>
      </c>
      <c r="FW40" s="4753">
        <f t="shared" si="50"/>
        <v>0</v>
      </c>
      <c r="FX40" s="4753">
        <f t="shared" si="50"/>
        <v>0</v>
      </c>
      <c r="FY40" s="4753">
        <f t="shared" si="50"/>
        <v>0</v>
      </c>
      <c r="FZ40" s="4753">
        <f t="shared" si="50"/>
        <v>0</v>
      </c>
      <c r="GA40" s="4753">
        <f t="shared" si="50"/>
        <v>0</v>
      </c>
      <c r="GB40" s="4753">
        <f t="shared" si="50"/>
        <v>0</v>
      </c>
      <c r="GC40" s="4753">
        <f t="shared" si="50"/>
        <v>0</v>
      </c>
      <c r="GD40" s="4753">
        <f t="shared" si="50"/>
        <v>0</v>
      </c>
      <c r="GE40" s="4753">
        <f t="shared" si="50"/>
        <v>0</v>
      </c>
    </row>
    <row r="41" spans="3:187" ht="13.5" customHeight="1" thickBot="1">
      <c r="C41" s="733"/>
      <c r="D41" s="4960" t="s">
        <v>238</v>
      </c>
      <c r="E41" s="4884"/>
      <c r="F41" s="4940">
        <f ca="1">SUM(H41:FO41)</f>
        <v>284.44079647500007</v>
      </c>
      <c r="G41" s="4940"/>
      <c r="H41" s="4946">
        <v>15.923049670000001</v>
      </c>
      <c r="I41" s="4946">
        <v>15.385170599999999</v>
      </c>
      <c r="J41" s="4946">
        <v>14.6190088</v>
      </c>
      <c r="K41" s="4946">
        <v>13.628099779999999</v>
      </c>
      <c r="L41" s="4946">
        <v>12.946565509999999</v>
      </c>
      <c r="M41" s="4946">
        <v>12.369336519999999</v>
      </c>
      <c r="N41" s="4946">
        <v>12.17841821</v>
      </c>
      <c r="O41" s="4946">
        <v>11.870227999999999</v>
      </c>
      <c r="P41" s="4947">
        <f>'자금운영(현금)'!BF65</f>
        <v>11.65615873</v>
      </c>
      <c r="Q41" s="4947">
        <f>'자금운영(현금)'!BG65</f>
        <v>11.599185670000001</v>
      </c>
      <c r="R41" s="4946">
        <f>'자금운영(현금)'!BH65</f>
        <v>10.719295369999999</v>
      </c>
      <c r="S41" s="4946">
        <f>'자금운영(현금)'!BI65</f>
        <v>10.11149168</v>
      </c>
      <c r="T41" s="4940">
        <f t="shared" ca="1" si="51"/>
        <v>10.624165749999998</v>
      </c>
      <c r="U41" s="4940">
        <f t="shared" ca="1" si="51"/>
        <v>10.189960714999998</v>
      </c>
      <c r="V41" s="4940">
        <f t="shared" ca="1" si="51"/>
        <v>9.7557556799999983</v>
      </c>
      <c r="W41" s="4940">
        <f t="shared" ca="1" si="51"/>
        <v>9.3123122399999989</v>
      </c>
      <c r="X41" s="4940">
        <f t="shared" ca="1" si="51"/>
        <v>8.8596303949999999</v>
      </c>
      <c r="Y41" s="4940">
        <f t="shared" ca="1" si="51"/>
        <v>8.4069485499999992</v>
      </c>
      <c r="Z41" s="4940">
        <f t="shared" ca="1" si="51"/>
        <v>7.9542667049999984</v>
      </c>
      <c r="AA41" s="4940">
        <f t="shared" ca="1" si="51"/>
        <v>7.4923464549999981</v>
      </c>
      <c r="AB41" s="4940">
        <f t="shared" ca="1" si="51"/>
        <v>7.0211877999999972</v>
      </c>
      <c r="AC41" s="4940">
        <f t="shared" ca="1" si="51"/>
        <v>6.5962211699999989</v>
      </c>
      <c r="AD41" s="4940">
        <f t="shared" ca="1" si="51"/>
        <v>6.1620161349999982</v>
      </c>
      <c r="AE41" s="4940">
        <f t="shared" ca="1" si="51"/>
        <v>5.6723806699999981</v>
      </c>
      <c r="AF41" s="4940">
        <f t="shared" ca="1" si="51"/>
        <v>5.1735067999999984</v>
      </c>
      <c r="AG41" s="4940">
        <f t="shared" ca="1" si="51"/>
        <v>4.5914872849999986</v>
      </c>
      <c r="AH41" s="4940">
        <f t="shared" ca="1" si="51"/>
        <v>4.0094677699999988</v>
      </c>
      <c r="AI41" s="4940">
        <f t="shared" ca="1" si="51"/>
        <v>3.4182098499999989</v>
      </c>
      <c r="AJ41" s="4940">
        <f t="shared" ca="1" si="51"/>
        <v>2.8177135249999989</v>
      </c>
      <c r="AK41" s="4940">
        <f t="shared" ca="1" si="51"/>
        <v>2.4481773249999987</v>
      </c>
      <c r="AL41" s="4940">
        <f t="shared" ca="1" si="51"/>
        <v>2.0232106949999991</v>
      </c>
      <c r="AM41" s="4940">
        <f t="shared" ca="1" si="51"/>
        <v>1.5890056599999991</v>
      </c>
      <c r="AN41" s="4940">
        <f t="shared" ca="1" si="51"/>
        <v>1.2194694599999989</v>
      </c>
      <c r="AO41" s="4940">
        <f t="shared" ca="1" si="51"/>
        <v>1.1086085999999991</v>
      </c>
      <c r="AP41" s="4940">
        <f t="shared" ca="1" si="51"/>
        <v>0.99774773999999911</v>
      </c>
      <c r="AQ41" s="4940">
        <f t="shared" ca="1" si="51"/>
        <v>0.88688687999999893</v>
      </c>
      <c r="AR41" s="4940">
        <f t="shared" ca="1" si="51"/>
        <v>0.77602601999999898</v>
      </c>
      <c r="AS41" s="4940">
        <f t="shared" ca="1" si="51"/>
        <v>0.6651651599999987</v>
      </c>
      <c r="AT41" s="4940">
        <f t="shared" ca="1" si="51"/>
        <v>0.55430429999999886</v>
      </c>
      <c r="AU41" s="4940">
        <f t="shared" ca="1" si="51"/>
        <v>0.4434434399999988</v>
      </c>
      <c r="AV41" s="4940">
        <f t="shared" ca="1" si="51"/>
        <v>0.3325825799999988</v>
      </c>
      <c r="AW41" s="4940">
        <f t="shared" ca="1" si="51"/>
        <v>0.22172171999999882</v>
      </c>
      <c r="AX41" s="4940">
        <f t="shared" ca="1" si="51"/>
        <v>0.11086085999999881</v>
      </c>
      <c r="AY41" s="4940">
        <f t="shared" ca="1" si="51"/>
        <v>0</v>
      </c>
      <c r="AZ41" s="4940">
        <f t="shared" ca="1" si="51"/>
        <v>0</v>
      </c>
      <c r="BA41" s="4940">
        <f t="shared" ca="1" si="51"/>
        <v>0</v>
      </c>
      <c r="BB41" s="4940">
        <f t="shared" ca="1" si="51"/>
        <v>0</v>
      </c>
      <c r="BC41" s="4940">
        <f t="shared" ca="1" si="51"/>
        <v>0</v>
      </c>
      <c r="BD41" s="4940">
        <f t="shared" ca="1" si="51"/>
        <v>0</v>
      </c>
      <c r="BE41" s="4940">
        <f t="shared" ca="1" si="51"/>
        <v>0</v>
      </c>
      <c r="BF41" s="4940">
        <f t="shared" ca="1" si="51"/>
        <v>0</v>
      </c>
      <c r="BG41" s="4940">
        <f t="shared" ca="1" si="51"/>
        <v>0</v>
      </c>
      <c r="BH41" s="4940">
        <f t="shared" ca="1" si="51"/>
        <v>0</v>
      </c>
      <c r="BI41" s="4940">
        <f t="shared" ca="1" si="51"/>
        <v>0</v>
      </c>
      <c r="BJ41" s="4940">
        <f t="shared" ca="1" si="51"/>
        <v>0</v>
      </c>
      <c r="BK41" s="4940">
        <f t="shared" ca="1" si="51"/>
        <v>0</v>
      </c>
      <c r="BL41" s="4940">
        <f t="shared" ca="1" si="51"/>
        <v>0</v>
      </c>
      <c r="BM41" s="4940">
        <f t="shared" ca="1" si="51"/>
        <v>0</v>
      </c>
      <c r="BN41" s="4940">
        <f t="shared" ca="1" si="51"/>
        <v>0</v>
      </c>
      <c r="BO41" s="4940">
        <f t="shared" ca="1" si="51"/>
        <v>0</v>
      </c>
      <c r="BP41" s="4940">
        <f t="shared" ca="1" si="51"/>
        <v>0</v>
      </c>
      <c r="BQ41" s="4940">
        <f t="shared" ca="1" si="51"/>
        <v>0</v>
      </c>
      <c r="BR41" s="4940">
        <f t="shared" ca="1" si="51"/>
        <v>0</v>
      </c>
      <c r="BS41" s="4940">
        <f t="shared" ca="1" si="51"/>
        <v>0</v>
      </c>
      <c r="BT41" s="4940">
        <f t="shared" ca="1" si="48"/>
        <v>0</v>
      </c>
      <c r="BU41" s="4940">
        <f t="shared" ca="1" si="49"/>
        <v>0</v>
      </c>
      <c r="BV41" s="4940">
        <f t="shared" ca="1" si="49"/>
        <v>0</v>
      </c>
      <c r="BW41" s="4940">
        <f t="shared" ca="1" si="49"/>
        <v>0</v>
      </c>
      <c r="BX41" s="4940">
        <f t="shared" ca="1" si="49"/>
        <v>0</v>
      </c>
      <c r="BY41" s="4940">
        <f t="shared" ca="1" si="49"/>
        <v>0</v>
      </c>
      <c r="BZ41" s="4940">
        <f t="shared" ca="1" si="49"/>
        <v>0</v>
      </c>
      <c r="CA41" s="4940">
        <f t="shared" ca="1" si="49"/>
        <v>0</v>
      </c>
      <c r="CB41" s="4940">
        <f t="shared" ca="1" si="49"/>
        <v>0</v>
      </c>
      <c r="CC41" s="4940">
        <f t="shared" ca="1" si="49"/>
        <v>0</v>
      </c>
      <c r="CD41" s="4940">
        <f t="shared" ca="1" si="49"/>
        <v>0</v>
      </c>
      <c r="CE41" s="4940">
        <f t="shared" ca="1" si="49"/>
        <v>0</v>
      </c>
      <c r="CF41" s="4940">
        <f t="shared" ca="1" si="49"/>
        <v>0</v>
      </c>
      <c r="CG41" s="4940">
        <f t="shared" ca="1" si="49"/>
        <v>0</v>
      </c>
      <c r="CH41" s="4940">
        <f t="shared" ca="1" si="49"/>
        <v>0</v>
      </c>
      <c r="CI41" s="4940">
        <f t="shared" ca="1" si="49"/>
        <v>0</v>
      </c>
      <c r="CJ41" s="4940">
        <f t="shared" ca="1" si="49"/>
        <v>0</v>
      </c>
      <c r="CK41" s="4940">
        <f t="shared" ca="1" si="49"/>
        <v>0</v>
      </c>
      <c r="CL41" s="4940">
        <f t="shared" ca="1" si="49"/>
        <v>0</v>
      </c>
      <c r="CM41" s="4940">
        <f t="shared" ca="1" si="49"/>
        <v>0</v>
      </c>
      <c r="CN41" s="4940">
        <f t="shared" ca="1" si="49"/>
        <v>0</v>
      </c>
      <c r="CO41" s="4940">
        <f t="shared" ca="1" si="49"/>
        <v>0</v>
      </c>
      <c r="CP41" s="4940">
        <f t="shared" ca="1" si="49"/>
        <v>0</v>
      </c>
      <c r="CQ41" s="4940">
        <f t="shared" ca="1" si="49"/>
        <v>0</v>
      </c>
      <c r="CR41" s="4940">
        <f t="shared" ca="1" si="49"/>
        <v>0</v>
      </c>
      <c r="CS41" s="4940">
        <f t="shared" ca="1" si="49"/>
        <v>0</v>
      </c>
      <c r="CT41" s="4940">
        <f t="shared" ca="1" si="49"/>
        <v>0</v>
      </c>
      <c r="CU41" s="4940">
        <f t="shared" ca="1" si="49"/>
        <v>0</v>
      </c>
      <c r="CV41" s="4940">
        <f t="shared" ca="1" si="49"/>
        <v>0</v>
      </c>
      <c r="CW41" s="4940">
        <f t="shared" ca="1" si="49"/>
        <v>0</v>
      </c>
      <c r="CX41" s="4940">
        <f t="shared" ca="1" si="49"/>
        <v>0</v>
      </c>
      <c r="CY41" s="4940">
        <f t="shared" ca="1" si="49"/>
        <v>0</v>
      </c>
      <c r="CZ41" s="4940">
        <f t="shared" ca="1" si="49"/>
        <v>0</v>
      </c>
      <c r="DA41" s="4940">
        <f t="shared" ca="1" si="49"/>
        <v>0</v>
      </c>
      <c r="DB41" s="4940">
        <f t="shared" ca="1" si="49"/>
        <v>0</v>
      </c>
      <c r="DC41" s="4940">
        <f t="shared" ca="1" si="49"/>
        <v>0</v>
      </c>
      <c r="DD41" s="4940">
        <f t="shared" ca="1" si="49"/>
        <v>0</v>
      </c>
      <c r="DE41" s="4940">
        <f t="shared" ca="1" si="49"/>
        <v>0</v>
      </c>
      <c r="DF41" s="4940">
        <f t="shared" ca="1" si="49"/>
        <v>0</v>
      </c>
      <c r="DG41" s="4940">
        <f t="shared" ca="1" si="49"/>
        <v>0</v>
      </c>
      <c r="DH41" s="4940">
        <f t="shared" ca="1" si="49"/>
        <v>0</v>
      </c>
      <c r="DI41" s="4940">
        <f t="shared" ca="1" si="49"/>
        <v>0</v>
      </c>
      <c r="DJ41" s="4940">
        <f t="shared" ca="1" si="49"/>
        <v>0</v>
      </c>
      <c r="DK41" s="4940">
        <f t="shared" ca="1" si="49"/>
        <v>0</v>
      </c>
      <c r="DL41" s="4940">
        <f t="shared" ca="1" si="49"/>
        <v>0</v>
      </c>
      <c r="DM41" s="4940">
        <f t="shared" ca="1" si="49"/>
        <v>0</v>
      </c>
      <c r="DN41" s="4940">
        <f t="shared" ca="1" si="49"/>
        <v>0</v>
      </c>
      <c r="DO41" s="4940">
        <f t="shared" ca="1" si="49"/>
        <v>0</v>
      </c>
      <c r="DP41" s="4940">
        <f t="shared" ca="1" si="49"/>
        <v>0</v>
      </c>
      <c r="DQ41" s="4940">
        <f t="shared" ca="1" si="49"/>
        <v>0</v>
      </c>
      <c r="DR41" s="4940">
        <f t="shared" ca="1" si="49"/>
        <v>0</v>
      </c>
      <c r="DS41" s="4940">
        <f t="shared" ca="1" si="49"/>
        <v>0</v>
      </c>
      <c r="DT41" s="4940">
        <f t="shared" ca="1" si="49"/>
        <v>0</v>
      </c>
      <c r="DU41" s="4940">
        <f t="shared" ca="1" si="49"/>
        <v>0</v>
      </c>
      <c r="DV41" s="4940">
        <f t="shared" ca="1" si="49"/>
        <v>0</v>
      </c>
      <c r="DW41" s="4940">
        <f t="shared" ca="1" si="49"/>
        <v>0</v>
      </c>
      <c r="DX41" s="4940">
        <f t="shared" ca="1" si="49"/>
        <v>0</v>
      </c>
      <c r="DY41" s="4940">
        <f t="shared" ca="1" si="49"/>
        <v>0</v>
      </c>
      <c r="DZ41" s="4940">
        <f t="shared" ca="1" si="49"/>
        <v>0</v>
      </c>
      <c r="EA41" s="4940">
        <f t="shared" ca="1" si="49"/>
        <v>0</v>
      </c>
      <c r="EB41" s="4940">
        <f t="shared" ca="1" si="49"/>
        <v>0</v>
      </c>
      <c r="EC41" s="4940">
        <f t="shared" ca="1" si="49"/>
        <v>0</v>
      </c>
      <c r="ED41" s="4940">
        <f t="shared" ca="1" si="49"/>
        <v>0</v>
      </c>
      <c r="EE41" s="4940">
        <f t="shared" ca="1" si="49"/>
        <v>0</v>
      </c>
      <c r="EF41" s="4940">
        <f t="shared" ref="EF41:EJ41" ca="1" si="52">SUM(EF11,EF16,EF21,EF26,EF31,EF36)</f>
        <v>0</v>
      </c>
      <c r="EG41" s="4940">
        <f t="shared" ca="1" si="52"/>
        <v>0</v>
      </c>
      <c r="EH41" s="4940">
        <f t="shared" ca="1" si="52"/>
        <v>0</v>
      </c>
      <c r="EI41" s="4940">
        <f t="shared" ca="1" si="52"/>
        <v>0</v>
      </c>
      <c r="EJ41" s="4940">
        <f t="shared" ca="1" si="52"/>
        <v>0</v>
      </c>
      <c r="EK41" s="4940">
        <f t="shared" ca="1" si="50"/>
        <v>0</v>
      </c>
      <c r="EL41" s="4940">
        <f t="shared" ca="1" si="50"/>
        <v>0</v>
      </c>
      <c r="EM41" s="4940">
        <f t="shared" ca="1" si="50"/>
        <v>0</v>
      </c>
      <c r="EN41" s="4940">
        <f t="shared" ca="1" si="50"/>
        <v>0</v>
      </c>
      <c r="EO41" s="4940">
        <f t="shared" ca="1" si="50"/>
        <v>0</v>
      </c>
      <c r="EP41" s="4940">
        <f t="shared" ca="1" si="50"/>
        <v>0</v>
      </c>
      <c r="EQ41" s="4940">
        <f t="shared" ca="1" si="50"/>
        <v>0</v>
      </c>
      <c r="ER41" s="4940">
        <f t="shared" ca="1" si="50"/>
        <v>0</v>
      </c>
      <c r="ES41" s="4940">
        <f t="shared" ca="1" si="50"/>
        <v>0</v>
      </c>
      <c r="ET41" s="4940">
        <f t="shared" ca="1" si="50"/>
        <v>0</v>
      </c>
      <c r="EU41" s="4940">
        <f t="shared" ca="1" si="50"/>
        <v>0</v>
      </c>
      <c r="EV41" s="4940">
        <f t="shared" ca="1" si="50"/>
        <v>0</v>
      </c>
      <c r="EW41" s="4940">
        <f t="shared" ca="1" si="50"/>
        <v>0</v>
      </c>
      <c r="EX41" s="4940">
        <f t="shared" ca="1" si="50"/>
        <v>0</v>
      </c>
      <c r="EY41" s="4940">
        <f t="shared" ca="1" si="50"/>
        <v>0</v>
      </c>
      <c r="EZ41" s="4940">
        <f t="shared" ca="1" si="50"/>
        <v>0</v>
      </c>
      <c r="FA41" s="4940">
        <f t="shared" ca="1" si="50"/>
        <v>0</v>
      </c>
      <c r="FB41" s="4940">
        <f t="shared" ca="1" si="50"/>
        <v>0</v>
      </c>
      <c r="FC41" s="4940">
        <f t="shared" ca="1" si="50"/>
        <v>0</v>
      </c>
      <c r="FD41" s="4940">
        <f t="shared" ca="1" si="50"/>
        <v>0</v>
      </c>
      <c r="FE41" s="4940">
        <f t="shared" ca="1" si="50"/>
        <v>0</v>
      </c>
      <c r="FF41" s="4940">
        <f t="shared" ca="1" si="50"/>
        <v>0</v>
      </c>
      <c r="FG41" s="4940">
        <f t="shared" ca="1" si="50"/>
        <v>0</v>
      </c>
      <c r="FH41" s="4940">
        <f t="shared" ca="1" si="50"/>
        <v>0</v>
      </c>
      <c r="FI41" s="4940">
        <f t="shared" ca="1" si="50"/>
        <v>0</v>
      </c>
      <c r="FJ41" s="4940">
        <f t="shared" ca="1" si="50"/>
        <v>0</v>
      </c>
      <c r="FK41" s="4940">
        <f t="shared" ca="1" si="50"/>
        <v>0</v>
      </c>
      <c r="FL41" s="4940">
        <f t="shared" ca="1" si="50"/>
        <v>0</v>
      </c>
      <c r="FM41" s="4940">
        <f t="shared" ca="1" si="50"/>
        <v>0</v>
      </c>
      <c r="FN41" s="4940">
        <f t="shared" ca="1" si="50"/>
        <v>0</v>
      </c>
      <c r="FO41" s="4940">
        <f t="shared" ca="1" si="50"/>
        <v>0</v>
      </c>
      <c r="FP41" s="4940">
        <f t="shared" ca="1" si="50"/>
        <v>0</v>
      </c>
      <c r="FQ41" s="4940">
        <f t="shared" ca="1" si="50"/>
        <v>0</v>
      </c>
      <c r="FR41" s="4940">
        <f t="shared" ca="1" si="50"/>
        <v>0</v>
      </c>
      <c r="FS41" s="4940">
        <f t="shared" ca="1" si="50"/>
        <v>0</v>
      </c>
      <c r="FT41" s="4940">
        <f t="shared" ca="1" si="50"/>
        <v>0</v>
      </c>
      <c r="FU41" s="4940">
        <f t="shared" ca="1" si="50"/>
        <v>0</v>
      </c>
      <c r="FV41" s="4940">
        <f t="shared" ca="1" si="50"/>
        <v>0</v>
      </c>
      <c r="FW41" s="4940">
        <f t="shared" ca="1" si="50"/>
        <v>0</v>
      </c>
      <c r="FX41" s="4940">
        <f t="shared" ca="1" si="50"/>
        <v>0</v>
      </c>
      <c r="FY41" s="4940">
        <f t="shared" ca="1" si="50"/>
        <v>0</v>
      </c>
      <c r="FZ41" s="4940">
        <f t="shared" ca="1" si="50"/>
        <v>0</v>
      </c>
      <c r="GA41" s="4940">
        <f t="shared" ca="1" si="50"/>
        <v>0</v>
      </c>
      <c r="GB41" s="4940">
        <f t="shared" ca="1" si="50"/>
        <v>0</v>
      </c>
      <c r="GC41" s="4940">
        <f t="shared" ca="1" si="50"/>
        <v>0</v>
      </c>
      <c r="GD41" s="4940">
        <f t="shared" ca="1" si="50"/>
        <v>0</v>
      </c>
      <c r="GE41" s="4940">
        <f t="shared" ca="1" si="50"/>
        <v>0</v>
      </c>
    </row>
    <row r="42" spans="3:187" ht="13.5" hidden="1" customHeight="1" thickTop="1">
      <c r="C42" s="733"/>
      <c r="D42" s="4944" t="s">
        <v>1086</v>
      </c>
      <c r="E42" s="4932"/>
      <c r="F42" s="953"/>
      <c r="G42" s="953"/>
      <c r="H42" s="4945">
        <v>0</v>
      </c>
      <c r="I42" s="4945">
        <v>0</v>
      </c>
      <c r="J42" s="4945">
        <v>0</v>
      </c>
      <c r="K42" s="4945">
        <v>0</v>
      </c>
      <c r="L42" s="953"/>
      <c r="M42" s="953"/>
      <c r="N42" s="953"/>
      <c r="O42" s="953"/>
      <c r="P42" s="953">
        <f>P40-'자금운영(현금)'!BF92</f>
        <v>0</v>
      </c>
      <c r="Q42" s="953">
        <f>Q40-'자금운영(현금)'!BG92</f>
        <v>0</v>
      </c>
      <c r="R42" s="953">
        <f>R40-'자금운영(현금)'!BH92</f>
        <v>0</v>
      </c>
      <c r="S42" s="953">
        <f>S40-'자금운영(현금)'!BI92</f>
        <v>0</v>
      </c>
      <c r="T42" s="953"/>
      <c r="U42" s="953"/>
      <c r="V42" s="953"/>
      <c r="W42" s="953"/>
      <c r="X42" s="953"/>
      <c r="Y42" s="953"/>
      <c r="Z42" s="953"/>
      <c r="AA42" s="953"/>
      <c r="AB42" s="953"/>
      <c r="AC42" s="953"/>
      <c r="AD42" s="953"/>
      <c r="AE42" s="953"/>
      <c r="AF42" s="953"/>
      <c r="AG42" s="953"/>
      <c r="AH42" s="953"/>
      <c r="AI42" s="953"/>
      <c r="AJ42" s="953"/>
      <c r="AK42" s="953"/>
      <c r="AL42" s="953"/>
      <c r="AM42" s="953"/>
      <c r="AN42" s="953"/>
      <c r="AO42" s="953"/>
      <c r="AP42" s="953"/>
      <c r="AQ42" s="953"/>
      <c r="AR42" s="953"/>
      <c r="AS42" s="953"/>
      <c r="AT42" s="953"/>
      <c r="AU42" s="953"/>
      <c r="AV42" s="953"/>
      <c r="AW42" s="953"/>
      <c r="AX42" s="953"/>
      <c r="AY42" s="953"/>
      <c r="AZ42" s="953"/>
      <c r="BA42" s="953"/>
      <c r="BB42" s="953"/>
      <c r="BC42" s="953"/>
      <c r="BD42" s="953"/>
      <c r="BE42" s="953"/>
      <c r="BF42" s="953"/>
      <c r="BG42" s="953"/>
      <c r="BH42" s="953"/>
      <c r="BI42" s="953"/>
      <c r="BJ42" s="953"/>
      <c r="BK42" s="953"/>
      <c r="BL42" s="953"/>
      <c r="BM42" s="953"/>
      <c r="BN42" s="953"/>
      <c r="BO42" s="953"/>
      <c r="BP42" s="953"/>
      <c r="BQ42" s="953"/>
      <c r="BR42" s="953"/>
      <c r="BS42" s="953"/>
      <c r="BT42" s="953"/>
      <c r="BU42" s="953"/>
      <c r="BV42" s="953"/>
      <c r="BW42" s="953"/>
      <c r="BX42" s="953"/>
      <c r="BY42" s="953"/>
      <c r="BZ42" s="953"/>
      <c r="CA42" s="953"/>
      <c r="CB42" s="953"/>
      <c r="CC42" s="953"/>
      <c r="CD42" s="953"/>
      <c r="CE42" s="953"/>
      <c r="CF42" s="953"/>
      <c r="CG42" s="953"/>
      <c r="CH42" s="953"/>
      <c r="CI42" s="953"/>
      <c r="CJ42" s="953"/>
      <c r="CK42" s="953"/>
      <c r="CL42" s="953"/>
      <c r="CM42" s="953"/>
      <c r="CN42" s="953"/>
      <c r="CO42" s="953"/>
      <c r="CP42" s="953"/>
      <c r="CQ42" s="953"/>
      <c r="CR42" s="953"/>
      <c r="CS42" s="953"/>
      <c r="CT42" s="953"/>
      <c r="CU42" s="953"/>
      <c r="CV42" s="953"/>
      <c r="CW42" s="953"/>
      <c r="CX42" s="953"/>
      <c r="CY42" s="953"/>
      <c r="CZ42" s="953"/>
      <c r="DA42" s="953"/>
      <c r="DB42" s="953"/>
      <c r="DC42" s="953"/>
      <c r="DD42" s="953"/>
      <c r="DE42" s="953"/>
      <c r="DF42" s="953"/>
      <c r="DG42" s="953"/>
      <c r="DH42" s="953"/>
      <c r="DI42" s="953"/>
      <c r="DJ42" s="953"/>
      <c r="DK42" s="953"/>
      <c r="DL42" s="953"/>
      <c r="DM42" s="953"/>
      <c r="DN42" s="953"/>
      <c r="DO42" s="953"/>
      <c r="DP42" s="953"/>
      <c r="DQ42" s="953"/>
      <c r="DR42" s="953"/>
      <c r="DS42" s="953"/>
      <c r="DT42" s="953"/>
      <c r="DU42" s="953"/>
      <c r="DV42" s="953"/>
      <c r="DW42" s="953"/>
      <c r="DX42" s="953"/>
      <c r="DY42" s="953"/>
      <c r="DZ42" s="953"/>
      <c r="EA42" s="953"/>
      <c r="EB42" s="953"/>
      <c r="EC42" s="953"/>
      <c r="ED42" s="953"/>
      <c r="EE42" s="953"/>
      <c r="EF42" s="953"/>
      <c r="EG42" s="953"/>
      <c r="EH42" s="953"/>
      <c r="EI42" s="953"/>
      <c r="EJ42" s="953"/>
      <c r="EK42" s="953"/>
      <c r="EL42" s="953"/>
      <c r="EM42" s="953"/>
      <c r="EN42" s="953"/>
      <c r="EO42" s="953"/>
      <c r="EP42" s="953"/>
      <c r="EQ42" s="953"/>
      <c r="ER42" s="953"/>
      <c r="ES42" s="953"/>
      <c r="ET42" s="953"/>
      <c r="EU42" s="953"/>
      <c r="EV42" s="953"/>
      <c r="EW42" s="953"/>
      <c r="EX42" s="953"/>
      <c r="EY42" s="953"/>
      <c r="EZ42" s="953"/>
      <c r="FA42" s="953"/>
      <c r="FB42" s="953"/>
      <c r="FC42" s="953"/>
      <c r="FD42" s="953"/>
      <c r="FE42" s="953"/>
      <c r="FF42" s="953"/>
      <c r="FG42" s="953"/>
      <c r="FH42" s="953"/>
      <c r="FI42" s="953"/>
      <c r="FJ42" s="953"/>
      <c r="FK42" s="953"/>
      <c r="FL42" s="953"/>
      <c r="FM42" s="953"/>
      <c r="FN42" s="953"/>
      <c r="FO42" s="953"/>
      <c r="FP42" s="953"/>
      <c r="FQ42" s="953"/>
      <c r="FR42" s="953"/>
      <c r="FS42" s="953"/>
      <c r="FT42" s="953"/>
      <c r="FU42" s="953"/>
      <c r="FV42" s="953"/>
      <c r="FW42" s="953"/>
      <c r="FX42" s="953"/>
      <c r="FY42" s="953"/>
      <c r="FZ42" s="953"/>
      <c r="GA42" s="953"/>
      <c r="GB42" s="953"/>
      <c r="GC42" s="953"/>
      <c r="GD42" s="953"/>
      <c r="GE42" s="953"/>
    </row>
    <row r="43" spans="3:187" ht="13.5" customHeight="1" thickTop="1">
      <c r="C43" s="733"/>
      <c r="D43" s="4959" t="s">
        <v>3757</v>
      </c>
      <c r="E43" s="4913"/>
      <c r="F43" s="953"/>
      <c r="G43" s="953"/>
      <c r="H43" s="954">
        <f>H38+H39-H40</f>
        <v>1390.2402599999998</v>
      </c>
      <c r="I43" s="954">
        <f t="shared" ref="I43:BT43" si="53">I38+I39-I40</f>
        <v>1357.0206599999999</v>
      </c>
      <c r="J43" s="954">
        <f t="shared" si="53"/>
        <v>1323.80106</v>
      </c>
      <c r="K43" s="954">
        <f t="shared" si="53"/>
        <v>1288.92048</v>
      </c>
      <c r="L43" s="953">
        <f t="shared" si="53"/>
        <v>1249.8874499999999</v>
      </c>
      <c r="M43" s="953">
        <f t="shared" si="53"/>
        <v>1210.0239299999996</v>
      </c>
      <c r="N43" s="953">
        <f t="shared" si="53"/>
        <v>1169.3299200000001</v>
      </c>
      <c r="O43" s="953">
        <f t="shared" si="53"/>
        <v>1127.8054199999999</v>
      </c>
      <c r="P43" s="953">
        <f t="shared" si="53"/>
        <v>1085.4504299999999</v>
      </c>
      <c r="Q43" s="953">
        <f t="shared" si="53"/>
        <v>1042.2649499999998</v>
      </c>
      <c r="R43" s="953">
        <f t="shared" si="53"/>
        <v>999.07947000000001</v>
      </c>
      <c r="S43" s="953">
        <f t="shared" si="53"/>
        <v>955.06349999999975</v>
      </c>
      <c r="T43" s="953">
        <f t="shared" si="53"/>
        <v>916.03046999999992</v>
      </c>
      <c r="U43" s="5694">
        <f t="shared" si="53"/>
        <v>876.99743999999987</v>
      </c>
      <c r="V43" s="953">
        <f t="shared" si="53"/>
        <v>837.13391999999988</v>
      </c>
      <c r="W43" s="953">
        <f t="shared" si="53"/>
        <v>796.43990999999983</v>
      </c>
      <c r="X43" s="953">
        <f t="shared" si="53"/>
        <v>755.74589999999978</v>
      </c>
      <c r="Y43" s="953">
        <f t="shared" si="53"/>
        <v>715.05188999999984</v>
      </c>
      <c r="Z43" s="953">
        <f t="shared" si="53"/>
        <v>673.52738999999985</v>
      </c>
      <c r="AA43" s="953">
        <f t="shared" si="53"/>
        <v>631.17239999999981</v>
      </c>
      <c r="AB43" s="953">
        <f t="shared" si="53"/>
        <v>592.96985999999981</v>
      </c>
      <c r="AC43" s="953">
        <f t="shared" si="53"/>
        <v>553.93682999999987</v>
      </c>
      <c r="AD43" s="953">
        <f t="shared" si="53"/>
        <v>509.92085999999989</v>
      </c>
      <c r="AE43" s="953">
        <f t="shared" si="53"/>
        <v>465.0743999999998</v>
      </c>
      <c r="AF43" s="953">
        <f t="shared" si="53"/>
        <v>412.75352999999984</v>
      </c>
      <c r="AG43" s="953">
        <f t="shared" si="53"/>
        <v>360.43265999999983</v>
      </c>
      <c r="AH43" s="953">
        <f t="shared" si="53"/>
        <v>307.28129999999987</v>
      </c>
      <c r="AI43" s="953">
        <f t="shared" si="53"/>
        <v>253.29944999999987</v>
      </c>
      <c r="AJ43" s="953">
        <f t="shared" si="53"/>
        <v>220.07984999999991</v>
      </c>
      <c r="AK43" s="953">
        <f t="shared" si="53"/>
        <v>181.87730999999991</v>
      </c>
      <c r="AL43" s="953">
        <f t="shared" si="53"/>
        <v>142.84427999999991</v>
      </c>
      <c r="AM43" s="953">
        <f t="shared" si="53"/>
        <v>109.62467999999991</v>
      </c>
      <c r="AN43" s="953">
        <f t="shared" si="53"/>
        <v>99.658799999999914</v>
      </c>
      <c r="AO43" s="953">
        <f t="shared" si="53"/>
        <v>89.692919999999916</v>
      </c>
      <c r="AP43" s="953">
        <f t="shared" si="53"/>
        <v>79.727039999999903</v>
      </c>
      <c r="AQ43" s="953">
        <f t="shared" si="53"/>
        <v>69.76115999999989</v>
      </c>
      <c r="AR43" s="953">
        <f t="shared" si="53"/>
        <v>59.795279999999906</v>
      </c>
      <c r="AS43" s="953">
        <f t="shared" si="53"/>
        <v>49.829399999999893</v>
      </c>
      <c r="AT43" s="953">
        <f t="shared" si="53"/>
        <v>39.863519999999895</v>
      </c>
      <c r="AU43" s="953">
        <f t="shared" si="53"/>
        <v>29.897639999999889</v>
      </c>
      <c r="AV43" s="953">
        <f t="shared" si="53"/>
        <v>19.93175999999989</v>
      </c>
      <c r="AW43" s="953">
        <f t="shared" si="53"/>
        <v>9.9658799999998866</v>
      </c>
      <c r="AX43" s="953">
        <f t="shared" si="53"/>
        <v>0</v>
      </c>
      <c r="AY43" s="953">
        <f t="shared" si="53"/>
        <v>0</v>
      </c>
      <c r="AZ43" s="953">
        <f t="shared" si="53"/>
        <v>0</v>
      </c>
      <c r="BA43" s="953">
        <f t="shared" si="53"/>
        <v>0</v>
      </c>
      <c r="BB43" s="953">
        <f t="shared" si="53"/>
        <v>0</v>
      </c>
      <c r="BC43" s="953">
        <f t="shared" si="53"/>
        <v>0</v>
      </c>
      <c r="BD43" s="953">
        <f t="shared" si="53"/>
        <v>0</v>
      </c>
      <c r="BE43" s="953">
        <f t="shared" si="53"/>
        <v>0</v>
      </c>
      <c r="BF43" s="953">
        <f t="shared" si="53"/>
        <v>0</v>
      </c>
      <c r="BG43" s="953">
        <f t="shared" si="53"/>
        <v>0</v>
      </c>
      <c r="BH43" s="953">
        <f t="shared" si="53"/>
        <v>0</v>
      </c>
      <c r="BI43" s="953">
        <f t="shared" si="53"/>
        <v>0</v>
      </c>
      <c r="BJ43" s="953">
        <f t="shared" si="53"/>
        <v>0</v>
      </c>
      <c r="BK43" s="953">
        <f t="shared" si="53"/>
        <v>0</v>
      </c>
      <c r="BL43" s="953">
        <f t="shared" si="53"/>
        <v>0</v>
      </c>
      <c r="BM43" s="953">
        <f t="shared" si="53"/>
        <v>0</v>
      </c>
      <c r="BN43" s="953">
        <f t="shared" si="53"/>
        <v>0</v>
      </c>
      <c r="BO43" s="953">
        <f t="shared" si="53"/>
        <v>0</v>
      </c>
      <c r="BP43" s="953">
        <f t="shared" si="53"/>
        <v>0</v>
      </c>
      <c r="BQ43" s="953">
        <f t="shared" si="53"/>
        <v>0</v>
      </c>
      <c r="BR43" s="953">
        <f t="shared" si="53"/>
        <v>0</v>
      </c>
      <c r="BS43" s="953">
        <f t="shared" si="53"/>
        <v>0</v>
      </c>
      <c r="BT43" s="953">
        <f t="shared" si="53"/>
        <v>0</v>
      </c>
      <c r="BU43" s="953">
        <f t="shared" ref="BU43:EF43" si="54">BU38+BU39-BU40</f>
        <v>0</v>
      </c>
      <c r="BV43" s="953">
        <f t="shared" si="54"/>
        <v>0</v>
      </c>
      <c r="BW43" s="953">
        <f t="shared" si="54"/>
        <v>0</v>
      </c>
      <c r="BX43" s="953">
        <f t="shared" si="54"/>
        <v>0</v>
      </c>
      <c r="BY43" s="953">
        <f t="shared" si="54"/>
        <v>0</v>
      </c>
      <c r="BZ43" s="953">
        <f t="shared" si="54"/>
        <v>0</v>
      </c>
      <c r="CA43" s="953">
        <f t="shared" si="54"/>
        <v>0</v>
      </c>
      <c r="CB43" s="953">
        <f t="shared" si="54"/>
        <v>0</v>
      </c>
      <c r="CC43" s="953">
        <f t="shared" si="54"/>
        <v>0</v>
      </c>
      <c r="CD43" s="953">
        <f t="shared" si="54"/>
        <v>0</v>
      </c>
      <c r="CE43" s="953">
        <f t="shared" si="54"/>
        <v>0</v>
      </c>
      <c r="CF43" s="953">
        <f t="shared" si="54"/>
        <v>0</v>
      </c>
      <c r="CG43" s="953">
        <f t="shared" si="54"/>
        <v>0</v>
      </c>
      <c r="CH43" s="953">
        <f t="shared" si="54"/>
        <v>0</v>
      </c>
      <c r="CI43" s="953">
        <f t="shared" si="54"/>
        <v>0</v>
      </c>
      <c r="CJ43" s="953">
        <f t="shared" si="54"/>
        <v>0</v>
      </c>
      <c r="CK43" s="953">
        <f t="shared" si="54"/>
        <v>0</v>
      </c>
      <c r="CL43" s="953">
        <f t="shared" si="54"/>
        <v>0</v>
      </c>
      <c r="CM43" s="953">
        <f t="shared" si="54"/>
        <v>0</v>
      </c>
      <c r="CN43" s="953">
        <f t="shared" si="54"/>
        <v>0</v>
      </c>
      <c r="CO43" s="953">
        <f t="shared" si="54"/>
        <v>0</v>
      </c>
      <c r="CP43" s="953">
        <f t="shared" si="54"/>
        <v>0</v>
      </c>
      <c r="CQ43" s="953">
        <f t="shared" si="54"/>
        <v>0</v>
      </c>
      <c r="CR43" s="953">
        <f t="shared" si="54"/>
        <v>0</v>
      </c>
      <c r="CS43" s="953">
        <f t="shared" si="54"/>
        <v>0</v>
      </c>
      <c r="CT43" s="953">
        <f t="shared" si="54"/>
        <v>0</v>
      </c>
      <c r="CU43" s="953">
        <f t="shared" si="54"/>
        <v>0</v>
      </c>
      <c r="CV43" s="953">
        <f t="shared" si="54"/>
        <v>0</v>
      </c>
      <c r="CW43" s="953">
        <f t="shared" si="54"/>
        <v>0</v>
      </c>
      <c r="CX43" s="953">
        <f t="shared" si="54"/>
        <v>0</v>
      </c>
      <c r="CY43" s="953">
        <f t="shared" si="54"/>
        <v>0</v>
      </c>
      <c r="CZ43" s="953">
        <f t="shared" si="54"/>
        <v>0</v>
      </c>
      <c r="DA43" s="953">
        <f t="shared" si="54"/>
        <v>0</v>
      </c>
      <c r="DB43" s="953">
        <f t="shared" si="54"/>
        <v>0</v>
      </c>
      <c r="DC43" s="953">
        <f t="shared" si="54"/>
        <v>0</v>
      </c>
      <c r="DD43" s="953">
        <f t="shared" si="54"/>
        <v>0</v>
      </c>
      <c r="DE43" s="953">
        <f t="shared" si="54"/>
        <v>0</v>
      </c>
      <c r="DF43" s="953">
        <f t="shared" si="54"/>
        <v>0</v>
      </c>
      <c r="DG43" s="953">
        <f t="shared" si="54"/>
        <v>0</v>
      </c>
      <c r="DH43" s="953">
        <f t="shared" si="54"/>
        <v>0</v>
      </c>
      <c r="DI43" s="953">
        <f t="shared" si="54"/>
        <v>0</v>
      </c>
      <c r="DJ43" s="953">
        <f t="shared" si="54"/>
        <v>0</v>
      </c>
      <c r="DK43" s="953">
        <f t="shared" si="54"/>
        <v>0</v>
      </c>
      <c r="DL43" s="953">
        <f t="shared" si="54"/>
        <v>0</v>
      </c>
      <c r="DM43" s="953">
        <f t="shared" si="54"/>
        <v>0</v>
      </c>
      <c r="DN43" s="953">
        <f t="shared" si="54"/>
        <v>0</v>
      </c>
      <c r="DO43" s="953">
        <f t="shared" si="54"/>
        <v>0</v>
      </c>
      <c r="DP43" s="953">
        <f t="shared" si="54"/>
        <v>0</v>
      </c>
      <c r="DQ43" s="953">
        <f t="shared" si="54"/>
        <v>0</v>
      </c>
      <c r="DR43" s="953">
        <f t="shared" si="54"/>
        <v>0</v>
      </c>
      <c r="DS43" s="953">
        <f t="shared" si="54"/>
        <v>0</v>
      </c>
      <c r="DT43" s="953">
        <f t="shared" si="54"/>
        <v>0</v>
      </c>
      <c r="DU43" s="953">
        <f t="shared" si="54"/>
        <v>0</v>
      </c>
      <c r="DV43" s="953">
        <f t="shared" si="54"/>
        <v>0</v>
      </c>
      <c r="DW43" s="953">
        <f t="shared" si="54"/>
        <v>0</v>
      </c>
      <c r="DX43" s="953">
        <f t="shared" si="54"/>
        <v>0</v>
      </c>
      <c r="DY43" s="953">
        <f t="shared" si="54"/>
        <v>0</v>
      </c>
      <c r="DZ43" s="953">
        <f t="shared" si="54"/>
        <v>0</v>
      </c>
      <c r="EA43" s="953">
        <f t="shared" si="54"/>
        <v>0</v>
      </c>
      <c r="EB43" s="953">
        <f t="shared" si="54"/>
        <v>0</v>
      </c>
      <c r="EC43" s="953">
        <f t="shared" si="54"/>
        <v>0</v>
      </c>
      <c r="ED43" s="953">
        <f t="shared" si="54"/>
        <v>0</v>
      </c>
      <c r="EE43" s="953">
        <f t="shared" si="54"/>
        <v>0</v>
      </c>
      <c r="EF43" s="953">
        <f t="shared" si="54"/>
        <v>0</v>
      </c>
      <c r="EG43" s="953">
        <f t="shared" ref="EG43:GE43" si="55">EG38+EG39-EG40</f>
        <v>0</v>
      </c>
      <c r="EH43" s="953">
        <f t="shared" si="55"/>
        <v>0</v>
      </c>
      <c r="EI43" s="953">
        <f t="shared" si="55"/>
        <v>0</v>
      </c>
      <c r="EJ43" s="953">
        <f t="shared" si="55"/>
        <v>0</v>
      </c>
      <c r="EK43" s="953">
        <f t="shared" si="55"/>
        <v>0</v>
      </c>
      <c r="EL43" s="953">
        <f t="shared" si="55"/>
        <v>0</v>
      </c>
      <c r="EM43" s="953">
        <f t="shared" si="55"/>
        <v>0</v>
      </c>
      <c r="EN43" s="953">
        <f t="shared" si="55"/>
        <v>0</v>
      </c>
      <c r="EO43" s="953">
        <f t="shared" si="55"/>
        <v>0</v>
      </c>
      <c r="EP43" s="953">
        <f t="shared" si="55"/>
        <v>0</v>
      </c>
      <c r="EQ43" s="953">
        <f t="shared" si="55"/>
        <v>0</v>
      </c>
      <c r="ER43" s="953">
        <f t="shared" si="55"/>
        <v>0</v>
      </c>
      <c r="ES43" s="953">
        <f t="shared" si="55"/>
        <v>0</v>
      </c>
      <c r="ET43" s="953">
        <f t="shared" si="55"/>
        <v>0</v>
      </c>
      <c r="EU43" s="953">
        <f t="shared" si="55"/>
        <v>0</v>
      </c>
      <c r="EV43" s="953">
        <f t="shared" si="55"/>
        <v>0</v>
      </c>
      <c r="EW43" s="953">
        <f t="shared" si="55"/>
        <v>0</v>
      </c>
      <c r="EX43" s="953">
        <f t="shared" si="55"/>
        <v>0</v>
      </c>
      <c r="EY43" s="953">
        <f t="shared" si="55"/>
        <v>0</v>
      </c>
      <c r="EZ43" s="953">
        <f t="shared" si="55"/>
        <v>0</v>
      </c>
      <c r="FA43" s="953">
        <f t="shared" si="55"/>
        <v>0</v>
      </c>
      <c r="FB43" s="953">
        <f t="shared" si="55"/>
        <v>0</v>
      </c>
      <c r="FC43" s="953">
        <f t="shared" si="55"/>
        <v>0</v>
      </c>
      <c r="FD43" s="953">
        <f t="shared" si="55"/>
        <v>0</v>
      </c>
      <c r="FE43" s="953">
        <f t="shared" si="55"/>
        <v>0</v>
      </c>
      <c r="FF43" s="953">
        <f t="shared" si="55"/>
        <v>0</v>
      </c>
      <c r="FG43" s="953">
        <f t="shared" si="55"/>
        <v>0</v>
      </c>
      <c r="FH43" s="953">
        <f t="shared" si="55"/>
        <v>0</v>
      </c>
      <c r="FI43" s="953">
        <f t="shared" si="55"/>
        <v>0</v>
      </c>
      <c r="FJ43" s="953">
        <f t="shared" si="55"/>
        <v>0</v>
      </c>
      <c r="FK43" s="953">
        <f t="shared" si="55"/>
        <v>0</v>
      </c>
      <c r="FL43" s="953">
        <f t="shared" si="55"/>
        <v>0</v>
      </c>
      <c r="FM43" s="953">
        <f t="shared" si="55"/>
        <v>0</v>
      </c>
      <c r="FN43" s="953">
        <f t="shared" si="55"/>
        <v>0</v>
      </c>
      <c r="FO43" s="953">
        <f t="shared" si="55"/>
        <v>0</v>
      </c>
      <c r="FP43" s="953">
        <f t="shared" si="55"/>
        <v>0</v>
      </c>
      <c r="FQ43" s="953">
        <f t="shared" si="55"/>
        <v>0</v>
      </c>
      <c r="FR43" s="953">
        <f t="shared" si="55"/>
        <v>0</v>
      </c>
      <c r="FS43" s="953">
        <f t="shared" si="55"/>
        <v>0</v>
      </c>
      <c r="FT43" s="953">
        <f t="shared" si="55"/>
        <v>0</v>
      </c>
      <c r="FU43" s="953">
        <f t="shared" si="55"/>
        <v>0</v>
      </c>
      <c r="FV43" s="953">
        <f t="shared" si="55"/>
        <v>0</v>
      </c>
      <c r="FW43" s="953">
        <f t="shared" si="55"/>
        <v>0</v>
      </c>
      <c r="FX43" s="953">
        <f t="shared" si="55"/>
        <v>0</v>
      </c>
      <c r="FY43" s="953">
        <f t="shared" si="55"/>
        <v>0</v>
      </c>
      <c r="FZ43" s="953">
        <f t="shared" si="55"/>
        <v>0</v>
      </c>
      <c r="GA43" s="953">
        <f t="shared" si="55"/>
        <v>0</v>
      </c>
      <c r="GB43" s="953">
        <f t="shared" si="55"/>
        <v>0</v>
      </c>
      <c r="GC43" s="953">
        <f t="shared" si="55"/>
        <v>0</v>
      </c>
      <c r="GD43" s="953">
        <f t="shared" si="55"/>
        <v>0</v>
      </c>
      <c r="GE43" s="953">
        <f t="shared" si="55"/>
        <v>0</v>
      </c>
    </row>
    <row r="44" spans="3:187" ht="12">
      <c r="C44" s="4764" t="s">
        <v>5096</v>
      </c>
      <c r="D44" s="4926"/>
      <c r="E44" s="4764"/>
      <c r="F44" s="4764"/>
      <c r="G44" s="4764"/>
      <c r="H44" s="4927">
        <f>Index!G10</f>
        <v>3</v>
      </c>
      <c r="I44" s="4927">
        <f>Index!H10</f>
        <v>3</v>
      </c>
      <c r="J44" s="4927">
        <f>Index!I10</f>
        <v>3</v>
      </c>
      <c r="K44" s="4927">
        <f>Index!J10</f>
        <v>3</v>
      </c>
      <c r="L44" s="4927">
        <f>Index!K10</f>
        <v>3</v>
      </c>
      <c r="M44" s="4927">
        <f>Index!L10</f>
        <v>3</v>
      </c>
      <c r="N44" s="4927">
        <f>Index!M10</f>
        <v>3</v>
      </c>
      <c r="O44" s="4927">
        <f>Index!N10</f>
        <v>3</v>
      </c>
      <c r="P44" s="4927">
        <f>Index!O10</f>
        <v>3</v>
      </c>
      <c r="Q44" s="4927">
        <f>Index!P10</f>
        <v>3</v>
      </c>
      <c r="R44" s="4927">
        <f>Index!Q10</f>
        <v>3</v>
      </c>
      <c r="S44" s="4927">
        <f>Index!R10</f>
        <v>3</v>
      </c>
      <c r="T44" s="4927">
        <f>Index!S10</f>
        <v>3</v>
      </c>
      <c r="U44" s="4927">
        <f>Index!T10</f>
        <v>3</v>
      </c>
      <c r="V44" s="4927">
        <f>Index!U10</f>
        <v>3</v>
      </c>
      <c r="W44" s="4927">
        <f>Index!V10</f>
        <v>3</v>
      </c>
      <c r="X44" s="4927">
        <f>Index!W10</f>
        <v>3</v>
      </c>
      <c r="Y44" s="4927">
        <f>Index!X10</f>
        <v>3</v>
      </c>
      <c r="Z44" s="4927">
        <f>Index!Y10</f>
        <v>3</v>
      </c>
      <c r="AA44" s="4927">
        <f>Index!Z10</f>
        <v>3</v>
      </c>
      <c r="AB44" s="4927">
        <f>Index!AA10</f>
        <v>3</v>
      </c>
      <c r="AC44" s="4927">
        <f>Index!AB10</f>
        <v>3</v>
      </c>
      <c r="AD44" s="4927">
        <f>Index!AC10</f>
        <v>3</v>
      </c>
      <c r="AE44" s="4927">
        <f>Index!AD10</f>
        <v>3</v>
      </c>
      <c r="AF44" s="4927">
        <f>Index!AE10</f>
        <v>3</v>
      </c>
      <c r="AG44" s="4927">
        <f>Index!AF10</f>
        <v>3</v>
      </c>
      <c r="AH44" s="4927">
        <f>Index!AG10</f>
        <v>3</v>
      </c>
      <c r="AI44" s="4927">
        <f>Index!AH10</f>
        <v>3</v>
      </c>
      <c r="AJ44" s="4927">
        <f>Index!AI10</f>
        <v>3</v>
      </c>
      <c r="AK44" s="4927">
        <f>Index!AJ10</f>
        <v>3</v>
      </c>
      <c r="AL44" s="4927">
        <f>Index!AK10</f>
        <v>3</v>
      </c>
      <c r="AM44" s="4927">
        <f>Index!AL10</f>
        <v>3</v>
      </c>
      <c r="AN44" s="4927">
        <f>Index!AM10</f>
        <v>3</v>
      </c>
      <c r="AO44" s="4927">
        <f>Index!AN10</f>
        <v>3</v>
      </c>
      <c r="AP44" s="4927">
        <f>Index!AO10</f>
        <v>3</v>
      </c>
      <c r="AQ44" s="4927">
        <f>Index!AP10</f>
        <v>3</v>
      </c>
      <c r="AR44" s="4927">
        <f>Index!AQ10</f>
        <v>3</v>
      </c>
      <c r="AS44" s="4927">
        <f>Index!AR10</f>
        <v>3</v>
      </c>
      <c r="AT44" s="4927">
        <f>Index!AS10</f>
        <v>3</v>
      </c>
      <c r="AU44" s="4927">
        <f>Index!AT10</f>
        <v>3</v>
      </c>
      <c r="AV44" s="4927">
        <f>Index!AU10</f>
        <v>3</v>
      </c>
      <c r="AW44" s="4927">
        <f>Index!AV10</f>
        <v>3</v>
      </c>
      <c r="AX44" s="4927">
        <f>Index!AW10</f>
        <v>3</v>
      </c>
      <c r="AY44" s="4927">
        <f>Index!AX10</f>
        <v>3</v>
      </c>
      <c r="AZ44" s="4927">
        <f>Index!AY10</f>
        <v>3</v>
      </c>
      <c r="BA44" s="4927">
        <f>Index!AZ10</f>
        <v>3</v>
      </c>
      <c r="BB44" s="4927">
        <f>Index!BA10</f>
        <v>3</v>
      </c>
      <c r="BC44" s="4927">
        <f>Index!BB10</f>
        <v>3</v>
      </c>
      <c r="BD44" s="4927">
        <f>Index!BC10</f>
        <v>3</v>
      </c>
      <c r="BE44" s="4927">
        <f>Index!BD10</f>
        <v>3</v>
      </c>
      <c r="BF44" s="4927">
        <f>Index!BE10</f>
        <v>3</v>
      </c>
      <c r="BG44" s="4927">
        <f>Index!BF10</f>
        <v>3</v>
      </c>
      <c r="BH44" s="4927">
        <f>Index!BG10</f>
        <v>3</v>
      </c>
      <c r="BI44" s="4927">
        <f>Index!BH10</f>
        <v>3</v>
      </c>
      <c r="BJ44" s="4927">
        <f>Index!BI10</f>
        <v>3</v>
      </c>
      <c r="BK44" s="4927">
        <f>Index!BJ10</f>
        <v>3</v>
      </c>
      <c r="BL44" s="4927">
        <f>Index!BK10</f>
        <v>3</v>
      </c>
      <c r="BM44" s="4927">
        <f>Index!BL10</f>
        <v>3</v>
      </c>
      <c r="BN44" s="4927">
        <f>Index!BM10</f>
        <v>3</v>
      </c>
      <c r="BO44" s="4927">
        <f>Index!BN10</f>
        <v>3</v>
      </c>
      <c r="BP44" s="4927">
        <f>Index!BO10</f>
        <v>3</v>
      </c>
      <c r="BQ44" s="4927">
        <f>Index!BP10</f>
        <v>3</v>
      </c>
      <c r="BR44" s="4927">
        <f>Index!BQ10</f>
        <v>3</v>
      </c>
      <c r="BS44" s="4927">
        <f>Index!BR10</f>
        <v>3</v>
      </c>
      <c r="BT44" s="4927">
        <f>Index!BS10</f>
        <v>3</v>
      </c>
      <c r="BU44" s="4927">
        <f>Index!BT10</f>
        <v>3</v>
      </c>
      <c r="BV44" s="4927">
        <f>Index!BU10</f>
        <v>3</v>
      </c>
      <c r="BW44" s="4927">
        <f>Index!BV10</f>
        <v>3</v>
      </c>
      <c r="BX44" s="4927">
        <f>Index!BW10</f>
        <v>3</v>
      </c>
      <c r="BY44" s="4927">
        <f>Index!BX10</f>
        <v>3</v>
      </c>
      <c r="BZ44" s="4927">
        <f>Index!BY10</f>
        <v>3</v>
      </c>
      <c r="CA44" s="4927">
        <f>Index!BZ10</f>
        <v>3</v>
      </c>
      <c r="CB44" s="4927">
        <f>Index!CA10</f>
        <v>3</v>
      </c>
      <c r="CC44" s="4927">
        <f>Index!CB10</f>
        <v>3</v>
      </c>
      <c r="CD44" s="4927">
        <f>Index!CC10</f>
        <v>3</v>
      </c>
      <c r="CE44" s="4927">
        <f>Index!CD10</f>
        <v>3</v>
      </c>
      <c r="CF44" s="4927">
        <f>Index!CE10</f>
        <v>3</v>
      </c>
      <c r="CG44" s="4927">
        <f>Index!CF10</f>
        <v>3</v>
      </c>
      <c r="CH44" s="4927">
        <f>Index!CG10</f>
        <v>3</v>
      </c>
      <c r="CI44" s="4927">
        <f>Index!CH10</f>
        <v>3</v>
      </c>
      <c r="CJ44" s="4927">
        <f>Index!CI10</f>
        <v>3</v>
      </c>
      <c r="CK44" s="4927">
        <f>Index!CJ10</f>
        <v>3</v>
      </c>
      <c r="CL44" s="4927">
        <f>Index!CK10</f>
        <v>3</v>
      </c>
      <c r="CM44" s="4927">
        <f>Index!CL10</f>
        <v>3</v>
      </c>
      <c r="CN44" s="4927">
        <f>Index!CM10</f>
        <v>3</v>
      </c>
      <c r="CO44" s="4927">
        <f>Index!CN10</f>
        <v>3</v>
      </c>
      <c r="CP44" s="4927">
        <f>Index!CO10</f>
        <v>3</v>
      </c>
      <c r="CQ44" s="4927">
        <f>Index!CP10</f>
        <v>3</v>
      </c>
      <c r="CR44" s="4927">
        <f>Index!CQ10</f>
        <v>3</v>
      </c>
      <c r="CS44" s="4927">
        <f>Index!CR10</f>
        <v>3</v>
      </c>
      <c r="CT44" s="4927">
        <f>Index!CS10</f>
        <v>3</v>
      </c>
      <c r="CU44" s="4927">
        <f>Index!CT10</f>
        <v>3</v>
      </c>
      <c r="CV44" s="4927">
        <f>Index!CU10</f>
        <v>3</v>
      </c>
      <c r="CW44" s="4927">
        <f>Index!CV10</f>
        <v>3</v>
      </c>
      <c r="CX44" s="4927">
        <f>Index!CW10</f>
        <v>3</v>
      </c>
      <c r="CY44" s="4927">
        <f>Index!CX10</f>
        <v>3</v>
      </c>
      <c r="CZ44" s="4927">
        <f>Index!CY10</f>
        <v>3</v>
      </c>
      <c r="DA44" s="4927">
        <f>Index!CZ10</f>
        <v>3</v>
      </c>
      <c r="DB44" s="4927">
        <f>Index!DA10</f>
        <v>3</v>
      </c>
      <c r="DC44" s="4927">
        <f>Index!DB10</f>
        <v>3</v>
      </c>
      <c r="DD44" s="4927">
        <f>Index!DC10</f>
        <v>3</v>
      </c>
      <c r="DE44" s="4927">
        <f>Index!DD10</f>
        <v>3</v>
      </c>
      <c r="DF44" s="4927">
        <f>Index!DE10</f>
        <v>3</v>
      </c>
      <c r="DG44" s="4927">
        <f>Index!DF10</f>
        <v>3</v>
      </c>
      <c r="DH44" s="4927">
        <f>Index!DG10</f>
        <v>3</v>
      </c>
      <c r="DI44" s="4927">
        <f>Index!DH10</f>
        <v>3</v>
      </c>
      <c r="DJ44" s="4927">
        <f>Index!DI10</f>
        <v>3</v>
      </c>
      <c r="DK44" s="4927">
        <f>Index!DJ10</f>
        <v>3</v>
      </c>
      <c r="DL44" s="4927">
        <f>Index!DK10</f>
        <v>3</v>
      </c>
      <c r="DM44" s="4927">
        <f>Index!DL10</f>
        <v>3</v>
      </c>
      <c r="DN44" s="4927">
        <f>Index!DM10</f>
        <v>3</v>
      </c>
      <c r="DO44" s="4927">
        <f>Index!DN10</f>
        <v>3</v>
      </c>
      <c r="DP44" s="4927">
        <f>Index!DO10</f>
        <v>3</v>
      </c>
      <c r="DQ44" s="4927">
        <f>Index!DP10</f>
        <v>3</v>
      </c>
      <c r="DR44" s="4927">
        <f>Index!DQ10</f>
        <v>3</v>
      </c>
      <c r="DS44" s="4927">
        <f>Index!DR10</f>
        <v>3</v>
      </c>
      <c r="DT44" s="4927">
        <f>Index!DS10</f>
        <v>3</v>
      </c>
      <c r="DU44" s="4927">
        <f>Index!DT10</f>
        <v>3</v>
      </c>
      <c r="DV44" s="4927">
        <f>Index!DU10</f>
        <v>3</v>
      </c>
      <c r="DW44" s="4927">
        <f>Index!DV10</f>
        <v>3</v>
      </c>
      <c r="DX44" s="4927">
        <f>Index!DW10</f>
        <v>3</v>
      </c>
      <c r="DY44" s="4927">
        <f>Index!DX10</f>
        <v>3</v>
      </c>
      <c r="DZ44" s="4927">
        <f>Index!DY10</f>
        <v>3</v>
      </c>
      <c r="EA44" s="4927">
        <f>Index!DZ10</f>
        <v>3</v>
      </c>
      <c r="EB44" s="4927">
        <f>Index!EA10</f>
        <v>3</v>
      </c>
      <c r="EC44" s="4927">
        <f>Index!EB10</f>
        <v>3</v>
      </c>
      <c r="ED44" s="4927">
        <f>Index!EC10</f>
        <v>3</v>
      </c>
      <c r="EE44" s="4927">
        <f>Index!ED10</f>
        <v>3</v>
      </c>
      <c r="EF44" s="4927">
        <f>Index!EE10</f>
        <v>3</v>
      </c>
      <c r="EG44" s="4927">
        <f>Index!EF10</f>
        <v>3</v>
      </c>
      <c r="EH44" s="4927">
        <f>Index!EG10</f>
        <v>3</v>
      </c>
      <c r="EI44" s="4927">
        <f>Index!EH10</f>
        <v>3</v>
      </c>
      <c r="EJ44" s="4927">
        <f>Index!EI10</f>
        <v>3</v>
      </c>
      <c r="EK44" s="4927">
        <f>Index!EJ10</f>
        <v>3</v>
      </c>
      <c r="EL44" s="4927">
        <f>Index!EK10</f>
        <v>3</v>
      </c>
      <c r="EM44" s="4927">
        <f>Index!EL10</f>
        <v>3</v>
      </c>
      <c r="EN44" s="4927">
        <f>Index!EM10</f>
        <v>3</v>
      </c>
      <c r="EO44" s="4927">
        <f>Index!EN10</f>
        <v>3</v>
      </c>
      <c r="EP44" s="4927">
        <f>Index!EO10</f>
        <v>3</v>
      </c>
      <c r="EQ44" s="4927">
        <f>Index!EP10</f>
        <v>3</v>
      </c>
      <c r="ER44" s="4927">
        <f>Index!EQ10</f>
        <v>3</v>
      </c>
      <c r="ES44" s="4927">
        <f>Index!ER10</f>
        <v>3</v>
      </c>
      <c r="ET44" s="4927">
        <f>Index!ES10</f>
        <v>3</v>
      </c>
      <c r="EU44" s="4927">
        <f>Index!ET10</f>
        <v>3</v>
      </c>
      <c r="EV44" s="4927">
        <f>Index!EU10</f>
        <v>3</v>
      </c>
      <c r="EW44" s="4927">
        <f>Index!EV10</f>
        <v>3</v>
      </c>
      <c r="EX44" s="4927">
        <f>Index!EW10</f>
        <v>3</v>
      </c>
      <c r="EY44" s="4927">
        <f>Index!EX10</f>
        <v>3</v>
      </c>
      <c r="EZ44" s="4927">
        <f>Index!EY10</f>
        <v>3</v>
      </c>
      <c r="FA44" s="4927">
        <f>Index!EZ10</f>
        <v>3</v>
      </c>
      <c r="FB44" s="4927">
        <f>Index!FA10</f>
        <v>3</v>
      </c>
      <c r="FC44" s="4927">
        <f>Index!FB10</f>
        <v>3</v>
      </c>
      <c r="FD44" s="4927">
        <f>Index!FC10</f>
        <v>3</v>
      </c>
      <c r="FE44" s="4927">
        <f>Index!FD10</f>
        <v>3</v>
      </c>
      <c r="FF44" s="4927">
        <f>Index!FE10</f>
        <v>3</v>
      </c>
      <c r="FG44" s="4927">
        <f>Index!FF10</f>
        <v>3</v>
      </c>
      <c r="FH44" s="4927">
        <f>Index!FG10</f>
        <v>3</v>
      </c>
      <c r="FI44" s="4927">
        <f>Index!FH10</f>
        <v>3</v>
      </c>
      <c r="FJ44" s="4927">
        <f>Index!FI10</f>
        <v>3</v>
      </c>
      <c r="FK44" s="4927">
        <f>Index!FJ10</f>
        <v>3</v>
      </c>
      <c r="FL44" s="4927">
        <f>Index!FK10</f>
        <v>3</v>
      </c>
      <c r="FM44" s="4927">
        <f>Index!FL10</f>
        <v>3</v>
      </c>
      <c r="FN44" s="4927">
        <f>Index!FM10</f>
        <v>0</v>
      </c>
      <c r="FO44" s="4927">
        <f>Index!FN10</f>
        <v>0</v>
      </c>
      <c r="FP44" s="4927">
        <f>Index!FO10</f>
        <v>0</v>
      </c>
      <c r="FQ44" s="4927">
        <f>Index!FP10</f>
        <v>0</v>
      </c>
      <c r="FR44" s="4927">
        <f>Index!FQ10</f>
        <v>0</v>
      </c>
      <c r="FS44" s="4927">
        <f>Index!FR10</f>
        <v>0</v>
      </c>
      <c r="FT44" s="4927">
        <f>Index!FS10</f>
        <v>0</v>
      </c>
      <c r="FU44" s="4927">
        <f>Index!FT10</f>
        <v>0</v>
      </c>
      <c r="FV44" s="4927">
        <f>Index!FU10</f>
        <v>0</v>
      </c>
      <c r="FW44" s="4927">
        <f>Index!FV10</f>
        <v>0</v>
      </c>
      <c r="FX44" s="4927">
        <f>Index!FW10</f>
        <v>0</v>
      </c>
      <c r="FY44" s="4927">
        <f>Index!FX10</f>
        <v>0</v>
      </c>
      <c r="FZ44" s="4927">
        <f>Index!FY10</f>
        <v>0</v>
      </c>
      <c r="GA44" s="4927">
        <f>Index!FZ10</f>
        <v>0</v>
      </c>
      <c r="GB44" s="4927">
        <f>Index!GA10</f>
        <v>0</v>
      </c>
      <c r="GC44" s="4927">
        <f>Index!GB10</f>
        <v>0</v>
      </c>
      <c r="GD44" s="4927">
        <f>Index!GC10</f>
        <v>0</v>
      </c>
      <c r="GE44" s="4927">
        <f>Index!GD10</f>
        <v>0</v>
      </c>
    </row>
    <row r="45" spans="3:187" ht="13.5" customHeight="1">
      <c r="C45" s="396"/>
      <c r="D45" s="754"/>
      <c r="E45" s="755"/>
      <c r="F45" s="753"/>
      <c r="G45" s="753"/>
      <c r="H45" s="753"/>
      <c r="I45" s="753"/>
      <c r="J45" s="753"/>
      <c r="K45" s="753"/>
      <c r="L45" s="753"/>
      <c r="M45" s="753"/>
      <c r="N45" s="753"/>
      <c r="O45" s="753"/>
      <c r="P45" s="753"/>
      <c r="Q45" s="753"/>
      <c r="R45" s="753"/>
      <c r="S45" s="753"/>
      <c r="T45" s="753"/>
      <c r="U45" s="753"/>
      <c r="V45" s="753"/>
      <c r="W45" s="753"/>
      <c r="X45" s="753"/>
      <c r="Y45" s="753"/>
      <c r="Z45" s="753"/>
      <c r="AA45" s="753"/>
      <c r="AB45" s="753"/>
      <c r="AC45" s="753"/>
      <c r="AD45" s="753"/>
      <c r="AE45" s="753"/>
      <c r="AF45" s="753"/>
      <c r="AG45" s="753"/>
      <c r="AH45" s="753"/>
      <c r="AI45" s="753"/>
      <c r="AJ45" s="753"/>
      <c r="AK45" s="753"/>
      <c r="AL45" s="753"/>
      <c r="AM45" s="753"/>
      <c r="AN45" s="753"/>
      <c r="AO45" s="753"/>
      <c r="AP45" s="753"/>
      <c r="AQ45" s="753"/>
      <c r="AR45" s="753"/>
      <c r="AS45" s="753"/>
      <c r="AT45" s="753"/>
      <c r="AU45" s="753"/>
      <c r="AV45" s="753"/>
      <c r="AW45" s="753"/>
      <c r="AX45" s="753"/>
      <c r="AY45" s="753"/>
      <c r="AZ45" s="753"/>
      <c r="BA45" s="753"/>
      <c r="BB45" s="753"/>
      <c r="BC45" s="753"/>
      <c r="BD45" s="753"/>
      <c r="BE45" s="753"/>
      <c r="BF45" s="753"/>
      <c r="BG45" s="753"/>
      <c r="BH45" s="753"/>
      <c r="BI45" s="753"/>
      <c r="BJ45" s="753"/>
      <c r="BK45" s="753"/>
      <c r="BL45" s="753"/>
      <c r="BM45" s="753"/>
      <c r="BN45" s="753"/>
      <c r="BO45" s="753"/>
      <c r="BP45" s="753"/>
      <c r="BQ45" s="753"/>
      <c r="BR45" s="753"/>
      <c r="BS45" s="753"/>
      <c r="BT45" s="753"/>
      <c r="BU45" s="753"/>
      <c r="BV45" s="753"/>
      <c r="BW45" s="753"/>
      <c r="BX45" s="753"/>
      <c r="BY45" s="753"/>
      <c r="BZ45" s="753"/>
      <c r="CA45" s="753"/>
      <c r="CB45" s="753"/>
      <c r="CC45" s="753"/>
      <c r="CD45" s="753"/>
      <c r="CE45" s="753"/>
      <c r="CF45" s="753"/>
      <c r="CG45" s="753"/>
      <c r="CH45" s="753"/>
      <c r="CI45" s="753"/>
      <c r="CJ45" s="753"/>
      <c r="CK45" s="753"/>
      <c r="CL45" s="753"/>
      <c r="CM45" s="753"/>
      <c r="CN45" s="753"/>
      <c r="CO45" s="753"/>
      <c r="CP45" s="753"/>
      <c r="CQ45" s="753"/>
      <c r="CR45" s="753"/>
      <c r="CS45" s="753"/>
      <c r="CT45" s="753"/>
      <c r="CU45" s="753"/>
      <c r="CV45" s="753"/>
      <c r="CW45" s="753"/>
      <c r="CX45" s="753"/>
      <c r="CY45" s="753"/>
      <c r="CZ45" s="753"/>
      <c r="DA45" s="753"/>
      <c r="DB45" s="753"/>
      <c r="DC45" s="753"/>
      <c r="DD45" s="753"/>
      <c r="DE45" s="753"/>
      <c r="DF45" s="753"/>
      <c r="DG45" s="753"/>
      <c r="DH45" s="753"/>
      <c r="DI45" s="753"/>
      <c r="DJ45" s="753"/>
      <c r="DK45" s="753"/>
      <c r="DL45" s="753"/>
      <c r="DM45" s="753"/>
      <c r="DN45" s="753"/>
      <c r="DO45" s="753"/>
      <c r="DP45" s="753"/>
      <c r="DQ45" s="753"/>
      <c r="DR45" s="753"/>
      <c r="DS45" s="753"/>
      <c r="DT45" s="753"/>
      <c r="DU45" s="753"/>
      <c r="DV45" s="753"/>
      <c r="DW45" s="753"/>
      <c r="DX45" s="753"/>
      <c r="DY45" s="753"/>
      <c r="DZ45" s="753"/>
      <c r="EA45" s="753"/>
      <c r="EB45" s="753"/>
      <c r="EC45" s="753"/>
      <c r="ED45" s="753"/>
      <c r="EE45" s="753"/>
      <c r="EF45" s="753"/>
      <c r="EG45" s="753"/>
      <c r="EH45" s="753"/>
      <c r="EI45" s="753"/>
      <c r="EJ45" s="753"/>
      <c r="EK45" s="753"/>
      <c r="EL45" s="753"/>
      <c r="EM45" s="753"/>
      <c r="EN45" s="753"/>
      <c r="EO45" s="753"/>
      <c r="EP45" s="753"/>
      <c r="EQ45" s="753"/>
      <c r="ER45" s="753"/>
      <c r="ES45" s="753"/>
      <c r="ET45" s="753"/>
      <c r="EU45" s="753"/>
      <c r="EV45" s="753"/>
      <c r="EW45" s="753"/>
      <c r="EX45" s="753"/>
      <c r="EY45" s="753"/>
      <c r="EZ45" s="753"/>
      <c r="FA45" s="753"/>
      <c r="FB45" s="753"/>
      <c r="FC45" s="753"/>
      <c r="FD45" s="753"/>
      <c r="FE45" s="753"/>
      <c r="FF45" s="753"/>
      <c r="FG45" s="753"/>
      <c r="FH45" s="753"/>
      <c r="FI45" s="753"/>
      <c r="FJ45" s="753"/>
      <c r="FK45" s="753"/>
      <c r="FL45" s="753"/>
      <c r="FM45" s="753"/>
      <c r="FN45" s="753"/>
      <c r="FO45" s="753"/>
      <c r="FP45" s="753"/>
      <c r="FQ45" s="753"/>
      <c r="FR45" s="753"/>
      <c r="FS45" s="753"/>
      <c r="FT45" s="753"/>
      <c r="FU45" s="753"/>
      <c r="FV45" s="753"/>
      <c r="FW45" s="753"/>
      <c r="FX45" s="753"/>
      <c r="FY45" s="753"/>
      <c r="FZ45" s="753"/>
      <c r="GA45" s="753"/>
      <c r="GB45" s="753"/>
      <c r="GC45" s="753"/>
      <c r="GD45" s="753"/>
      <c r="GE45" s="753"/>
    </row>
    <row r="46" spans="3:187" ht="13.5" customHeight="1">
      <c r="C46" s="396"/>
      <c r="D46" s="331" t="s">
        <v>1087</v>
      </c>
      <c r="E46" s="755"/>
      <c r="F46" s="757">
        <v>0.12</v>
      </c>
      <c r="G46" s="757"/>
      <c r="H46" s="753"/>
      <c r="I46" s="753"/>
      <c r="J46" s="753"/>
      <c r="K46" s="753"/>
      <c r="L46" s="753"/>
      <c r="M46" s="753"/>
      <c r="N46" s="753"/>
      <c r="O46" s="753">
        <v>4</v>
      </c>
      <c r="P46" s="753">
        <v>1</v>
      </c>
      <c r="Q46" s="753">
        <v>2</v>
      </c>
      <c r="R46" s="753">
        <v>3</v>
      </c>
      <c r="S46" s="753">
        <v>4</v>
      </c>
      <c r="T46" s="753">
        <v>1</v>
      </c>
      <c r="U46" s="753">
        <v>2</v>
      </c>
      <c r="V46" s="753">
        <v>3</v>
      </c>
      <c r="W46" s="753">
        <v>4</v>
      </c>
      <c r="X46" s="753">
        <v>1</v>
      </c>
      <c r="Y46" s="753">
        <v>2</v>
      </c>
      <c r="Z46" s="753">
        <v>3</v>
      </c>
      <c r="AA46" s="753">
        <v>4</v>
      </c>
      <c r="AB46" s="753">
        <v>1</v>
      </c>
      <c r="AC46" s="753">
        <v>2</v>
      </c>
      <c r="AD46" s="753">
        <v>3</v>
      </c>
      <c r="AE46" s="753">
        <v>4</v>
      </c>
      <c r="AF46" s="753">
        <v>1</v>
      </c>
      <c r="AG46" s="753">
        <v>2</v>
      </c>
      <c r="AH46" s="753">
        <v>3</v>
      </c>
      <c r="AI46" s="753">
        <v>4</v>
      </c>
      <c r="AJ46" s="753">
        <v>1</v>
      </c>
      <c r="AK46" s="753">
        <v>2</v>
      </c>
      <c r="AL46" s="753">
        <v>3</v>
      </c>
      <c r="AM46" s="753">
        <v>4</v>
      </c>
      <c r="AN46" s="753">
        <v>1</v>
      </c>
      <c r="AO46" s="753">
        <v>2</v>
      </c>
      <c r="AP46" s="753">
        <v>3</v>
      </c>
      <c r="AQ46" s="753">
        <v>4</v>
      </c>
      <c r="AR46" s="753">
        <v>1</v>
      </c>
      <c r="AS46" s="753">
        <v>2</v>
      </c>
      <c r="AT46" s="753">
        <v>3</v>
      </c>
      <c r="AU46" s="753">
        <v>4</v>
      </c>
      <c r="AV46" s="753">
        <v>1</v>
      </c>
      <c r="AW46" s="753">
        <v>2</v>
      </c>
      <c r="AX46" s="753">
        <v>3</v>
      </c>
      <c r="AY46" s="753">
        <v>4</v>
      </c>
      <c r="AZ46" s="753">
        <v>1</v>
      </c>
      <c r="BA46" s="753">
        <v>2</v>
      </c>
      <c r="BB46" s="753">
        <v>3</v>
      </c>
      <c r="BC46" s="753">
        <v>4</v>
      </c>
      <c r="BD46" s="753">
        <v>1</v>
      </c>
      <c r="BE46" s="753">
        <v>2</v>
      </c>
      <c r="BF46" s="753">
        <v>3</v>
      </c>
      <c r="BG46" s="753">
        <v>4</v>
      </c>
      <c r="BH46" s="753">
        <v>1</v>
      </c>
      <c r="BI46" s="753">
        <v>2</v>
      </c>
      <c r="BJ46" s="753">
        <v>3</v>
      </c>
      <c r="BK46" s="753">
        <v>4</v>
      </c>
      <c r="BL46" s="753">
        <v>1</v>
      </c>
      <c r="BM46" s="753">
        <v>2</v>
      </c>
      <c r="BN46" s="753">
        <v>3</v>
      </c>
      <c r="BO46" s="753">
        <v>4</v>
      </c>
      <c r="BP46" s="753">
        <v>1</v>
      </c>
      <c r="BQ46" s="753">
        <v>2</v>
      </c>
      <c r="BR46" s="753">
        <v>3</v>
      </c>
      <c r="BS46" s="753">
        <v>4</v>
      </c>
      <c r="BT46" s="753">
        <v>1</v>
      </c>
      <c r="BU46" s="753">
        <v>2</v>
      </c>
      <c r="BV46" s="753">
        <v>3</v>
      </c>
      <c r="BW46" s="753">
        <v>4</v>
      </c>
      <c r="BX46" s="753">
        <v>1</v>
      </c>
      <c r="BY46" s="753">
        <v>2</v>
      </c>
      <c r="BZ46" s="753">
        <v>3</v>
      </c>
      <c r="CA46" s="753">
        <v>4</v>
      </c>
      <c r="CB46" s="753">
        <v>1</v>
      </c>
      <c r="CC46" s="753">
        <v>2</v>
      </c>
      <c r="CD46" s="753">
        <v>3</v>
      </c>
      <c r="CE46" s="753">
        <v>4</v>
      </c>
      <c r="CF46" s="753">
        <v>1</v>
      </c>
      <c r="CG46" s="753">
        <v>2</v>
      </c>
      <c r="CH46" s="753">
        <v>3</v>
      </c>
      <c r="CI46" s="753">
        <v>4</v>
      </c>
      <c r="CJ46" s="753">
        <v>1</v>
      </c>
      <c r="CK46" s="753">
        <v>2</v>
      </c>
      <c r="CL46" s="753">
        <v>3</v>
      </c>
      <c r="CM46" s="753">
        <v>4</v>
      </c>
      <c r="CN46" s="753">
        <v>1</v>
      </c>
      <c r="CO46" s="753">
        <v>2</v>
      </c>
      <c r="CP46" s="753">
        <v>3</v>
      </c>
      <c r="CQ46" s="753">
        <v>4</v>
      </c>
      <c r="CR46" s="753">
        <v>1</v>
      </c>
      <c r="CS46" s="753">
        <v>2</v>
      </c>
      <c r="CT46" s="753">
        <v>3</v>
      </c>
      <c r="CU46" s="753">
        <v>4</v>
      </c>
      <c r="CV46" s="753">
        <v>1</v>
      </c>
      <c r="CW46" s="753">
        <v>2</v>
      </c>
      <c r="CX46" s="753">
        <v>3</v>
      </c>
      <c r="CY46" s="753">
        <v>4</v>
      </c>
      <c r="CZ46" s="753">
        <v>1</v>
      </c>
      <c r="DA46" s="753">
        <v>2</v>
      </c>
      <c r="DB46" s="753">
        <v>3</v>
      </c>
      <c r="DC46" s="753">
        <v>4</v>
      </c>
      <c r="DD46" s="753">
        <v>1</v>
      </c>
      <c r="DE46" s="753">
        <v>2</v>
      </c>
      <c r="DF46" s="753">
        <v>3</v>
      </c>
      <c r="DG46" s="753">
        <v>4</v>
      </c>
      <c r="DH46" s="753">
        <v>1</v>
      </c>
      <c r="DI46" s="753">
        <v>2</v>
      </c>
      <c r="DJ46" s="753">
        <v>3</v>
      </c>
      <c r="DK46" s="753">
        <v>4</v>
      </c>
      <c r="DL46" s="753">
        <v>1</v>
      </c>
      <c r="DM46" s="753">
        <v>2</v>
      </c>
      <c r="DN46" s="753">
        <v>3</v>
      </c>
      <c r="DO46" s="753">
        <v>4</v>
      </c>
      <c r="DP46" s="753">
        <v>1</v>
      </c>
      <c r="DQ46" s="753">
        <v>2</v>
      </c>
      <c r="DR46" s="753">
        <v>3</v>
      </c>
      <c r="DS46" s="753">
        <v>4</v>
      </c>
      <c r="DT46" s="753">
        <v>1</v>
      </c>
      <c r="DU46" s="753">
        <v>2</v>
      </c>
      <c r="DV46" s="753">
        <v>3</v>
      </c>
      <c r="DW46" s="753">
        <v>4</v>
      </c>
      <c r="DX46" s="753">
        <v>1</v>
      </c>
      <c r="DY46" s="753">
        <v>2</v>
      </c>
      <c r="DZ46" s="753">
        <v>3</v>
      </c>
      <c r="EA46" s="753">
        <v>4</v>
      </c>
      <c r="EB46" s="753">
        <v>1</v>
      </c>
      <c r="EC46" s="753">
        <v>2</v>
      </c>
      <c r="ED46" s="753">
        <v>3</v>
      </c>
      <c r="EE46" s="753">
        <v>4</v>
      </c>
      <c r="EF46" s="753">
        <v>1</v>
      </c>
      <c r="EG46" s="753">
        <v>2</v>
      </c>
      <c r="EH46" s="753">
        <v>3</v>
      </c>
      <c r="EI46" s="753">
        <v>4</v>
      </c>
      <c r="EJ46" s="753">
        <v>1</v>
      </c>
      <c r="EK46" s="753">
        <v>2</v>
      </c>
      <c r="EL46" s="753">
        <v>3</v>
      </c>
      <c r="EM46" s="753">
        <v>4</v>
      </c>
      <c r="EN46" s="753">
        <v>1</v>
      </c>
      <c r="EO46" s="753">
        <v>2</v>
      </c>
      <c r="EP46" s="753">
        <v>3</v>
      </c>
      <c r="EQ46" s="753">
        <v>4</v>
      </c>
      <c r="ER46" s="753">
        <v>1</v>
      </c>
      <c r="ES46" s="753">
        <v>2</v>
      </c>
      <c r="ET46" s="753">
        <v>3</v>
      </c>
      <c r="EU46" s="753">
        <v>4</v>
      </c>
      <c r="EV46" s="753">
        <v>1</v>
      </c>
      <c r="EW46" s="753">
        <v>2</v>
      </c>
      <c r="EX46" s="753">
        <v>3</v>
      </c>
      <c r="EY46" s="753">
        <v>4</v>
      </c>
      <c r="EZ46" s="753">
        <v>1</v>
      </c>
      <c r="FA46" s="753">
        <v>2</v>
      </c>
      <c r="FB46" s="753">
        <v>3</v>
      </c>
      <c r="FC46" s="753">
        <v>4</v>
      </c>
      <c r="FD46" s="753">
        <v>1</v>
      </c>
      <c r="FE46" s="753">
        <v>2</v>
      </c>
      <c r="FF46" s="753">
        <v>3</v>
      </c>
      <c r="FG46" s="753">
        <v>4</v>
      </c>
      <c r="FH46" s="753">
        <v>1</v>
      </c>
      <c r="FI46" s="753">
        <v>2</v>
      </c>
      <c r="FJ46" s="753">
        <v>3</v>
      </c>
      <c r="FK46" s="753">
        <v>4</v>
      </c>
      <c r="FL46" s="753">
        <v>1</v>
      </c>
      <c r="FM46" s="753">
        <v>2</v>
      </c>
      <c r="FN46" s="753">
        <v>3</v>
      </c>
      <c r="FO46" s="753">
        <v>4</v>
      </c>
      <c r="FP46" s="753">
        <v>1</v>
      </c>
      <c r="FQ46" s="753">
        <v>2</v>
      </c>
      <c r="FR46" s="753">
        <v>3</v>
      </c>
      <c r="FS46" s="753">
        <v>4</v>
      </c>
      <c r="FT46" s="753">
        <v>1</v>
      </c>
      <c r="FU46" s="753">
        <v>2</v>
      </c>
      <c r="FV46" s="753">
        <v>3</v>
      </c>
      <c r="FW46" s="753">
        <v>4</v>
      </c>
      <c r="FX46" s="753">
        <v>1</v>
      </c>
      <c r="FY46" s="753">
        <v>2</v>
      </c>
      <c r="FZ46" s="753">
        <v>3</v>
      </c>
      <c r="GA46" s="753">
        <v>4</v>
      </c>
      <c r="GB46" s="753">
        <v>1</v>
      </c>
      <c r="GC46" s="753">
        <v>2</v>
      </c>
      <c r="GD46" s="753">
        <v>3</v>
      </c>
      <c r="GE46" s="753">
        <v>4</v>
      </c>
    </row>
    <row r="47" spans="3:187" ht="13.5" customHeight="1">
      <c r="C47" s="4948"/>
      <c r="D47" s="4832" t="s">
        <v>780</v>
      </c>
      <c r="E47" s="4752"/>
      <c r="F47" s="4756" t="s">
        <v>774</v>
      </c>
      <c r="G47" s="4756"/>
      <c r="H47" s="4856">
        <f>기준분기</f>
        <v>43555</v>
      </c>
      <c r="I47" s="4856">
        <f t="shared" ref="I47:BT47" si="56">EOMONTH(H47,3)</f>
        <v>43646</v>
      </c>
      <c r="J47" s="4856">
        <f t="shared" si="56"/>
        <v>43738</v>
      </c>
      <c r="K47" s="4856">
        <f t="shared" si="56"/>
        <v>43830</v>
      </c>
      <c r="L47" s="4856">
        <f t="shared" si="56"/>
        <v>43921</v>
      </c>
      <c r="M47" s="4856">
        <f t="shared" si="56"/>
        <v>44012</v>
      </c>
      <c r="N47" s="4856">
        <f t="shared" si="56"/>
        <v>44104</v>
      </c>
      <c r="O47" s="4856">
        <f t="shared" si="56"/>
        <v>44196</v>
      </c>
      <c r="P47" s="4856">
        <f t="shared" si="56"/>
        <v>44286</v>
      </c>
      <c r="Q47" s="4856">
        <f t="shared" si="56"/>
        <v>44377</v>
      </c>
      <c r="R47" s="4856">
        <f t="shared" si="56"/>
        <v>44469</v>
      </c>
      <c r="S47" s="4856">
        <f t="shared" si="56"/>
        <v>44561</v>
      </c>
      <c r="T47" s="4856">
        <f t="shared" si="56"/>
        <v>44651</v>
      </c>
      <c r="U47" s="4856">
        <f t="shared" si="56"/>
        <v>44742</v>
      </c>
      <c r="V47" s="4856">
        <f t="shared" si="56"/>
        <v>44834</v>
      </c>
      <c r="W47" s="4856">
        <f t="shared" si="56"/>
        <v>44926</v>
      </c>
      <c r="X47" s="4856">
        <f t="shared" si="56"/>
        <v>45016</v>
      </c>
      <c r="Y47" s="4856">
        <f t="shared" si="56"/>
        <v>45107</v>
      </c>
      <c r="Z47" s="4856">
        <f t="shared" si="56"/>
        <v>45199</v>
      </c>
      <c r="AA47" s="4856">
        <f t="shared" si="56"/>
        <v>45291</v>
      </c>
      <c r="AB47" s="4856">
        <f t="shared" si="56"/>
        <v>45382</v>
      </c>
      <c r="AC47" s="4856">
        <f t="shared" si="56"/>
        <v>45473</v>
      </c>
      <c r="AD47" s="4856">
        <f t="shared" si="56"/>
        <v>45565</v>
      </c>
      <c r="AE47" s="4856">
        <f t="shared" si="56"/>
        <v>45657</v>
      </c>
      <c r="AF47" s="4856">
        <f t="shared" si="56"/>
        <v>45747</v>
      </c>
      <c r="AG47" s="4856">
        <f t="shared" si="56"/>
        <v>45838</v>
      </c>
      <c r="AH47" s="4856">
        <f t="shared" si="56"/>
        <v>45930</v>
      </c>
      <c r="AI47" s="4856">
        <f t="shared" si="56"/>
        <v>46022</v>
      </c>
      <c r="AJ47" s="4856">
        <f t="shared" si="56"/>
        <v>46112</v>
      </c>
      <c r="AK47" s="4856">
        <f t="shared" si="56"/>
        <v>46203</v>
      </c>
      <c r="AL47" s="4856">
        <f t="shared" si="56"/>
        <v>46295</v>
      </c>
      <c r="AM47" s="4856">
        <f t="shared" si="56"/>
        <v>46387</v>
      </c>
      <c r="AN47" s="4856">
        <f t="shared" si="56"/>
        <v>46477</v>
      </c>
      <c r="AO47" s="4856">
        <f t="shared" si="56"/>
        <v>46568</v>
      </c>
      <c r="AP47" s="4856">
        <f t="shared" si="56"/>
        <v>46660</v>
      </c>
      <c r="AQ47" s="4856">
        <f t="shared" si="56"/>
        <v>46752</v>
      </c>
      <c r="AR47" s="4856">
        <f t="shared" si="56"/>
        <v>46843</v>
      </c>
      <c r="AS47" s="4856">
        <f t="shared" si="56"/>
        <v>46934</v>
      </c>
      <c r="AT47" s="4856">
        <f t="shared" si="56"/>
        <v>47026</v>
      </c>
      <c r="AU47" s="4856">
        <f t="shared" si="56"/>
        <v>47118</v>
      </c>
      <c r="AV47" s="4856">
        <f t="shared" si="56"/>
        <v>47208</v>
      </c>
      <c r="AW47" s="4856">
        <f t="shared" si="56"/>
        <v>47299</v>
      </c>
      <c r="AX47" s="4856">
        <f t="shared" si="56"/>
        <v>47391</v>
      </c>
      <c r="AY47" s="4856">
        <f t="shared" si="56"/>
        <v>47483</v>
      </c>
      <c r="AZ47" s="4856">
        <f t="shared" si="56"/>
        <v>47573</v>
      </c>
      <c r="BA47" s="4856">
        <f t="shared" si="56"/>
        <v>47664</v>
      </c>
      <c r="BB47" s="4856">
        <f t="shared" si="56"/>
        <v>47756</v>
      </c>
      <c r="BC47" s="4856">
        <f t="shared" si="56"/>
        <v>47848</v>
      </c>
      <c r="BD47" s="4856">
        <f t="shared" si="56"/>
        <v>47938</v>
      </c>
      <c r="BE47" s="4856">
        <f t="shared" si="56"/>
        <v>48029</v>
      </c>
      <c r="BF47" s="4856">
        <f t="shared" si="56"/>
        <v>48121</v>
      </c>
      <c r="BG47" s="4856">
        <f t="shared" si="56"/>
        <v>48213</v>
      </c>
      <c r="BH47" s="4856">
        <f t="shared" si="56"/>
        <v>48304</v>
      </c>
      <c r="BI47" s="4856">
        <f t="shared" si="56"/>
        <v>48395</v>
      </c>
      <c r="BJ47" s="4856">
        <f t="shared" si="56"/>
        <v>48487</v>
      </c>
      <c r="BK47" s="4856">
        <f t="shared" si="56"/>
        <v>48579</v>
      </c>
      <c r="BL47" s="4856">
        <f t="shared" si="56"/>
        <v>48669</v>
      </c>
      <c r="BM47" s="4856">
        <f t="shared" si="56"/>
        <v>48760</v>
      </c>
      <c r="BN47" s="4856">
        <f t="shared" si="56"/>
        <v>48852</v>
      </c>
      <c r="BO47" s="4856">
        <f t="shared" si="56"/>
        <v>48944</v>
      </c>
      <c r="BP47" s="4856">
        <f t="shared" si="56"/>
        <v>49034</v>
      </c>
      <c r="BQ47" s="4856">
        <f t="shared" si="56"/>
        <v>49125</v>
      </c>
      <c r="BR47" s="4856">
        <f t="shared" si="56"/>
        <v>49217</v>
      </c>
      <c r="BS47" s="4856">
        <f t="shared" si="56"/>
        <v>49309</v>
      </c>
      <c r="BT47" s="4856">
        <f t="shared" si="56"/>
        <v>49399</v>
      </c>
      <c r="BU47" s="4856">
        <f t="shared" ref="BU47:EF47" si="57">EOMONTH(BT47,3)</f>
        <v>49490</v>
      </c>
      <c r="BV47" s="4856">
        <f t="shared" si="57"/>
        <v>49582</v>
      </c>
      <c r="BW47" s="4856">
        <f t="shared" si="57"/>
        <v>49674</v>
      </c>
      <c r="BX47" s="4856">
        <f t="shared" si="57"/>
        <v>49765</v>
      </c>
      <c r="BY47" s="4856">
        <f t="shared" si="57"/>
        <v>49856</v>
      </c>
      <c r="BZ47" s="4856">
        <f t="shared" si="57"/>
        <v>49948</v>
      </c>
      <c r="CA47" s="4856">
        <f t="shared" si="57"/>
        <v>50040</v>
      </c>
      <c r="CB47" s="4856">
        <f t="shared" si="57"/>
        <v>50130</v>
      </c>
      <c r="CC47" s="4856">
        <f t="shared" si="57"/>
        <v>50221</v>
      </c>
      <c r="CD47" s="4856">
        <f t="shared" si="57"/>
        <v>50313</v>
      </c>
      <c r="CE47" s="4856">
        <f t="shared" si="57"/>
        <v>50405</v>
      </c>
      <c r="CF47" s="4856">
        <f t="shared" si="57"/>
        <v>50495</v>
      </c>
      <c r="CG47" s="4856">
        <f t="shared" si="57"/>
        <v>50586</v>
      </c>
      <c r="CH47" s="4856">
        <f t="shared" si="57"/>
        <v>50678</v>
      </c>
      <c r="CI47" s="4856">
        <f t="shared" si="57"/>
        <v>50770</v>
      </c>
      <c r="CJ47" s="4856">
        <f t="shared" si="57"/>
        <v>50860</v>
      </c>
      <c r="CK47" s="4856">
        <f t="shared" si="57"/>
        <v>50951</v>
      </c>
      <c r="CL47" s="4856">
        <f t="shared" si="57"/>
        <v>51043</v>
      </c>
      <c r="CM47" s="4856">
        <f t="shared" si="57"/>
        <v>51135</v>
      </c>
      <c r="CN47" s="4856">
        <f t="shared" si="57"/>
        <v>51226</v>
      </c>
      <c r="CO47" s="4856">
        <f t="shared" si="57"/>
        <v>51317</v>
      </c>
      <c r="CP47" s="4856">
        <f t="shared" si="57"/>
        <v>51409</v>
      </c>
      <c r="CQ47" s="4856">
        <f t="shared" si="57"/>
        <v>51501</v>
      </c>
      <c r="CR47" s="4856">
        <f t="shared" si="57"/>
        <v>51591</v>
      </c>
      <c r="CS47" s="4856">
        <f t="shared" si="57"/>
        <v>51682</v>
      </c>
      <c r="CT47" s="4856">
        <f t="shared" si="57"/>
        <v>51774</v>
      </c>
      <c r="CU47" s="4856">
        <f t="shared" si="57"/>
        <v>51866</v>
      </c>
      <c r="CV47" s="4856">
        <f t="shared" si="57"/>
        <v>51956</v>
      </c>
      <c r="CW47" s="4856">
        <f t="shared" si="57"/>
        <v>52047</v>
      </c>
      <c r="CX47" s="4856">
        <f t="shared" si="57"/>
        <v>52139</v>
      </c>
      <c r="CY47" s="4856">
        <f t="shared" si="57"/>
        <v>52231</v>
      </c>
      <c r="CZ47" s="4856">
        <f t="shared" si="57"/>
        <v>52321</v>
      </c>
      <c r="DA47" s="4856">
        <f t="shared" si="57"/>
        <v>52412</v>
      </c>
      <c r="DB47" s="4856">
        <f t="shared" si="57"/>
        <v>52504</v>
      </c>
      <c r="DC47" s="4856">
        <f t="shared" si="57"/>
        <v>52596</v>
      </c>
      <c r="DD47" s="4856">
        <f t="shared" si="57"/>
        <v>52687</v>
      </c>
      <c r="DE47" s="4856">
        <f t="shared" si="57"/>
        <v>52778</v>
      </c>
      <c r="DF47" s="4856">
        <f t="shared" si="57"/>
        <v>52870</v>
      </c>
      <c r="DG47" s="4856">
        <f t="shared" si="57"/>
        <v>52962</v>
      </c>
      <c r="DH47" s="4856">
        <f t="shared" si="57"/>
        <v>53052</v>
      </c>
      <c r="DI47" s="4856">
        <f t="shared" si="57"/>
        <v>53143</v>
      </c>
      <c r="DJ47" s="4856">
        <f t="shared" si="57"/>
        <v>53235</v>
      </c>
      <c r="DK47" s="4856">
        <f t="shared" si="57"/>
        <v>53327</v>
      </c>
      <c r="DL47" s="4856">
        <f t="shared" si="57"/>
        <v>53417</v>
      </c>
      <c r="DM47" s="4856">
        <f t="shared" si="57"/>
        <v>53508</v>
      </c>
      <c r="DN47" s="4856">
        <f t="shared" si="57"/>
        <v>53600</v>
      </c>
      <c r="DO47" s="4856">
        <f t="shared" si="57"/>
        <v>53692</v>
      </c>
      <c r="DP47" s="4856">
        <f t="shared" si="57"/>
        <v>53782</v>
      </c>
      <c r="DQ47" s="4856">
        <f t="shared" si="57"/>
        <v>53873</v>
      </c>
      <c r="DR47" s="4856">
        <f t="shared" si="57"/>
        <v>53965</v>
      </c>
      <c r="DS47" s="4856">
        <f t="shared" si="57"/>
        <v>54057</v>
      </c>
      <c r="DT47" s="4856">
        <f t="shared" si="57"/>
        <v>54148</v>
      </c>
      <c r="DU47" s="4856">
        <f t="shared" si="57"/>
        <v>54239</v>
      </c>
      <c r="DV47" s="4856">
        <f t="shared" si="57"/>
        <v>54331</v>
      </c>
      <c r="DW47" s="4856">
        <f t="shared" si="57"/>
        <v>54423</v>
      </c>
      <c r="DX47" s="4856">
        <f t="shared" si="57"/>
        <v>54513</v>
      </c>
      <c r="DY47" s="4856">
        <f t="shared" si="57"/>
        <v>54604</v>
      </c>
      <c r="DZ47" s="4856">
        <f t="shared" si="57"/>
        <v>54696</v>
      </c>
      <c r="EA47" s="4856">
        <f t="shared" si="57"/>
        <v>54788</v>
      </c>
      <c r="EB47" s="4856">
        <f t="shared" si="57"/>
        <v>54878</v>
      </c>
      <c r="EC47" s="4856">
        <f t="shared" si="57"/>
        <v>54969</v>
      </c>
      <c r="ED47" s="4856">
        <f t="shared" si="57"/>
        <v>55061</v>
      </c>
      <c r="EE47" s="4856">
        <f t="shared" si="57"/>
        <v>55153</v>
      </c>
      <c r="EF47" s="4856">
        <f t="shared" si="57"/>
        <v>55243</v>
      </c>
      <c r="EG47" s="4856">
        <f t="shared" ref="EG47:GE47" si="58">EOMONTH(EF47,3)</f>
        <v>55334</v>
      </c>
      <c r="EH47" s="4856">
        <f t="shared" si="58"/>
        <v>55426</v>
      </c>
      <c r="EI47" s="4856">
        <f t="shared" si="58"/>
        <v>55518</v>
      </c>
      <c r="EJ47" s="4856">
        <f t="shared" si="58"/>
        <v>55609</v>
      </c>
      <c r="EK47" s="4856">
        <f t="shared" si="58"/>
        <v>55700</v>
      </c>
      <c r="EL47" s="4856">
        <f t="shared" si="58"/>
        <v>55792</v>
      </c>
      <c r="EM47" s="4856">
        <f t="shared" si="58"/>
        <v>55884</v>
      </c>
      <c r="EN47" s="4856">
        <f t="shared" si="58"/>
        <v>55974</v>
      </c>
      <c r="EO47" s="4856">
        <f t="shared" si="58"/>
        <v>56065</v>
      </c>
      <c r="EP47" s="4856">
        <f t="shared" si="58"/>
        <v>56157</v>
      </c>
      <c r="EQ47" s="4856">
        <f t="shared" si="58"/>
        <v>56249</v>
      </c>
      <c r="ER47" s="4856">
        <f t="shared" si="58"/>
        <v>56339</v>
      </c>
      <c r="ES47" s="4856">
        <f t="shared" si="58"/>
        <v>56430</v>
      </c>
      <c r="ET47" s="4856">
        <f t="shared" si="58"/>
        <v>56522</v>
      </c>
      <c r="EU47" s="4856">
        <f t="shared" si="58"/>
        <v>56614</v>
      </c>
      <c r="EV47" s="4856">
        <f t="shared" si="58"/>
        <v>56704</v>
      </c>
      <c r="EW47" s="4856">
        <f t="shared" si="58"/>
        <v>56795</v>
      </c>
      <c r="EX47" s="4856">
        <f t="shared" si="58"/>
        <v>56887</v>
      </c>
      <c r="EY47" s="4856">
        <f t="shared" si="58"/>
        <v>56979</v>
      </c>
      <c r="EZ47" s="4856">
        <f t="shared" si="58"/>
        <v>57070</v>
      </c>
      <c r="FA47" s="4856">
        <f t="shared" si="58"/>
        <v>57161</v>
      </c>
      <c r="FB47" s="4856">
        <f t="shared" si="58"/>
        <v>57253</v>
      </c>
      <c r="FC47" s="4856">
        <f t="shared" si="58"/>
        <v>57345</v>
      </c>
      <c r="FD47" s="4856">
        <f t="shared" si="58"/>
        <v>57435</v>
      </c>
      <c r="FE47" s="4856">
        <f t="shared" si="58"/>
        <v>57526</v>
      </c>
      <c r="FF47" s="4856">
        <f t="shared" si="58"/>
        <v>57618</v>
      </c>
      <c r="FG47" s="4856">
        <f t="shared" si="58"/>
        <v>57710</v>
      </c>
      <c r="FH47" s="4856">
        <f t="shared" si="58"/>
        <v>57800</v>
      </c>
      <c r="FI47" s="4856">
        <f t="shared" si="58"/>
        <v>57891</v>
      </c>
      <c r="FJ47" s="4856">
        <f t="shared" si="58"/>
        <v>57983</v>
      </c>
      <c r="FK47" s="4856">
        <f t="shared" si="58"/>
        <v>58075</v>
      </c>
      <c r="FL47" s="4856">
        <f t="shared" si="58"/>
        <v>58165</v>
      </c>
      <c r="FM47" s="4856">
        <f t="shared" si="58"/>
        <v>58256</v>
      </c>
      <c r="FN47" s="4856">
        <f t="shared" si="58"/>
        <v>58348</v>
      </c>
      <c r="FO47" s="4856">
        <f t="shared" si="58"/>
        <v>58440</v>
      </c>
      <c r="FP47" s="4856">
        <f t="shared" si="58"/>
        <v>58531</v>
      </c>
      <c r="FQ47" s="4856">
        <f t="shared" si="58"/>
        <v>58622</v>
      </c>
      <c r="FR47" s="4856">
        <f t="shared" si="58"/>
        <v>58714</v>
      </c>
      <c r="FS47" s="4856">
        <f t="shared" si="58"/>
        <v>58806</v>
      </c>
      <c r="FT47" s="4856">
        <f t="shared" si="58"/>
        <v>58896</v>
      </c>
      <c r="FU47" s="4856">
        <f t="shared" si="58"/>
        <v>58987</v>
      </c>
      <c r="FV47" s="4856">
        <f t="shared" si="58"/>
        <v>59079</v>
      </c>
      <c r="FW47" s="4856">
        <f t="shared" si="58"/>
        <v>59171</v>
      </c>
      <c r="FX47" s="4856">
        <f t="shared" si="58"/>
        <v>59261</v>
      </c>
      <c r="FY47" s="4856">
        <f t="shared" si="58"/>
        <v>59352</v>
      </c>
      <c r="FZ47" s="4856">
        <f t="shared" si="58"/>
        <v>59444</v>
      </c>
      <c r="GA47" s="4856">
        <f t="shared" si="58"/>
        <v>59536</v>
      </c>
      <c r="GB47" s="4856">
        <f t="shared" si="58"/>
        <v>59626</v>
      </c>
      <c r="GC47" s="4856">
        <f t="shared" si="58"/>
        <v>59717</v>
      </c>
      <c r="GD47" s="4856">
        <f t="shared" si="58"/>
        <v>59809</v>
      </c>
      <c r="GE47" s="4856">
        <f t="shared" si="58"/>
        <v>59901</v>
      </c>
    </row>
    <row r="48" spans="3:187" ht="13.5" customHeight="1">
      <c r="C48" s="4764" t="s">
        <v>1088</v>
      </c>
      <c r="D48" s="4767"/>
      <c r="E48" s="4953"/>
      <c r="F48" s="4764"/>
      <c r="G48" s="4764"/>
      <c r="H48" s="4753"/>
      <c r="I48" s="4753"/>
      <c r="J48" s="4753"/>
      <c r="K48" s="4753"/>
      <c r="L48" s="4753"/>
      <c r="M48" s="4753"/>
      <c r="N48" s="4753"/>
      <c r="O48" s="4753"/>
      <c r="P48" s="4753"/>
      <c r="Q48" s="4753"/>
      <c r="R48" s="4753"/>
      <c r="S48" s="4753"/>
      <c r="T48" s="4753"/>
      <c r="U48" s="4753"/>
      <c r="V48" s="4753"/>
      <c r="W48" s="4753"/>
      <c r="X48" s="4753"/>
      <c r="Y48" s="4753"/>
      <c r="Z48" s="4753"/>
      <c r="AA48" s="4753"/>
      <c r="AB48" s="4753"/>
      <c r="AC48" s="4753"/>
      <c r="AD48" s="4753"/>
      <c r="AE48" s="4753"/>
      <c r="AF48" s="4753"/>
      <c r="AG48" s="4753"/>
      <c r="AH48" s="4753"/>
      <c r="AI48" s="4753"/>
      <c r="AJ48" s="4753"/>
      <c r="AK48" s="4753"/>
      <c r="AL48" s="4753"/>
      <c r="AM48" s="4753"/>
      <c r="AN48" s="4753"/>
      <c r="AO48" s="4753"/>
      <c r="AP48" s="4753"/>
      <c r="AQ48" s="4753"/>
      <c r="AR48" s="4753"/>
      <c r="AS48" s="4753"/>
      <c r="AT48" s="4753"/>
      <c r="AU48" s="4753"/>
      <c r="AV48" s="4753"/>
      <c r="AW48" s="4753"/>
      <c r="AX48" s="4753"/>
      <c r="AY48" s="4753"/>
      <c r="AZ48" s="4753"/>
      <c r="BA48" s="4753"/>
      <c r="BB48" s="4753"/>
      <c r="BC48" s="4753"/>
      <c r="BD48" s="4753"/>
      <c r="BE48" s="4753"/>
      <c r="BF48" s="4753"/>
      <c r="BG48" s="4753"/>
      <c r="BH48" s="4753"/>
      <c r="BI48" s="4753"/>
      <c r="BJ48" s="4753"/>
      <c r="BK48" s="4753"/>
      <c r="BL48" s="4753"/>
      <c r="BM48" s="4753"/>
      <c r="BN48" s="4753"/>
      <c r="BO48" s="4753"/>
      <c r="BP48" s="4753"/>
      <c r="BQ48" s="4753"/>
      <c r="BR48" s="4753"/>
      <c r="BS48" s="4753"/>
      <c r="BT48" s="4753"/>
      <c r="BU48" s="4753"/>
      <c r="BV48" s="4753"/>
      <c r="BW48" s="4753"/>
      <c r="BX48" s="4753"/>
      <c r="BY48" s="4753"/>
      <c r="BZ48" s="4753"/>
      <c r="CA48" s="4753"/>
      <c r="CB48" s="4753"/>
      <c r="CC48" s="4753"/>
      <c r="CD48" s="4753"/>
      <c r="CE48" s="4753"/>
      <c r="CF48" s="4753"/>
      <c r="CG48" s="4753"/>
      <c r="CH48" s="4753"/>
      <c r="CI48" s="4753"/>
      <c r="CJ48" s="4753"/>
      <c r="CK48" s="4753"/>
      <c r="CL48" s="4753"/>
      <c r="CM48" s="4753"/>
      <c r="CN48" s="4753"/>
      <c r="CO48" s="4753"/>
      <c r="CP48" s="4753"/>
      <c r="CQ48" s="4753"/>
      <c r="CR48" s="4753"/>
      <c r="CS48" s="4753"/>
      <c r="CT48" s="4753"/>
      <c r="CU48" s="4753"/>
      <c r="CV48" s="4753"/>
      <c r="CW48" s="4753"/>
      <c r="CX48" s="4753"/>
      <c r="CY48" s="4753"/>
      <c r="CZ48" s="4753"/>
      <c r="DA48" s="4753"/>
      <c r="DB48" s="4753"/>
      <c r="DC48" s="4753"/>
      <c r="DD48" s="4753"/>
      <c r="DE48" s="4753"/>
      <c r="DF48" s="4753"/>
      <c r="DG48" s="4753"/>
      <c r="DH48" s="4753"/>
      <c r="DI48" s="4753"/>
      <c r="DJ48" s="4753"/>
      <c r="DK48" s="4753"/>
      <c r="DL48" s="4753"/>
      <c r="DM48" s="4753"/>
      <c r="DN48" s="4753"/>
      <c r="DO48" s="4753"/>
      <c r="DP48" s="4753"/>
      <c r="DQ48" s="4753"/>
      <c r="DR48" s="4753"/>
      <c r="DS48" s="4753"/>
      <c r="DT48" s="4753"/>
      <c r="DU48" s="4753"/>
      <c r="DV48" s="4753"/>
      <c r="DW48" s="4753"/>
      <c r="DX48" s="4753"/>
      <c r="DY48" s="4753"/>
      <c r="DZ48" s="4753"/>
      <c r="EA48" s="4753"/>
      <c r="EB48" s="4753"/>
      <c r="EC48" s="4753"/>
      <c r="ED48" s="4753"/>
      <c r="EE48" s="4753"/>
      <c r="EF48" s="4753"/>
      <c r="EG48" s="4753"/>
      <c r="EH48" s="4753"/>
      <c r="EI48" s="4753"/>
      <c r="EJ48" s="4753"/>
      <c r="EK48" s="4753"/>
      <c r="EL48" s="4753"/>
      <c r="EM48" s="4753"/>
      <c r="EN48" s="4753"/>
      <c r="EO48" s="4753"/>
      <c r="EP48" s="4753"/>
      <c r="EQ48" s="4753"/>
      <c r="ER48" s="4753"/>
      <c r="ES48" s="4753"/>
      <c r="ET48" s="4753"/>
      <c r="EU48" s="4753"/>
      <c r="EV48" s="4753"/>
      <c r="EW48" s="4753"/>
      <c r="EX48" s="4753"/>
      <c r="EY48" s="4753"/>
      <c r="EZ48" s="4753"/>
      <c r="FA48" s="4753"/>
      <c r="FB48" s="4753"/>
      <c r="FC48" s="4753"/>
      <c r="FD48" s="4753"/>
      <c r="FE48" s="4753"/>
      <c r="FF48" s="4753"/>
      <c r="FG48" s="4753"/>
      <c r="FH48" s="4753"/>
      <c r="FI48" s="4753"/>
      <c r="FJ48" s="4753"/>
      <c r="FK48" s="4753"/>
      <c r="FL48" s="4753"/>
      <c r="FM48" s="4753"/>
      <c r="FN48" s="4753"/>
      <c r="FO48" s="4753"/>
      <c r="FP48" s="4753"/>
      <c r="FQ48" s="4753"/>
      <c r="FR48" s="4753"/>
      <c r="FS48" s="4753"/>
      <c r="FT48" s="4753"/>
      <c r="FU48" s="4753"/>
      <c r="FV48" s="4753"/>
      <c r="FW48" s="4753"/>
      <c r="FX48" s="4753"/>
      <c r="FY48" s="4753"/>
      <c r="FZ48" s="4753"/>
      <c r="GA48" s="4753"/>
      <c r="GB48" s="4753"/>
      <c r="GC48" s="4753"/>
      <c r="GD48" s="4753"/>
      <c r="GE48" s="4753"/>
    </row>
    <row r="49" spans="3:187" ht="13.5" customHeight="1">
      <c r="C49" s="4954"/>
      <c r="D49" s="4768" t="s">
        <v>1089</v>
      </c>
      <c r="E49" s="4913"/>
      <c r="F49" s="4753"/>
      <c r="G49" s="4753"/>
      <c r="H49" s="4842"/>
      <c r="I49" s="4842"/>
      <c r="J49" s="4842"/>
      <c r="K49" s="4842"/>
      <c r="L49" s="4842"/>
      <c r="M49" s="4842"/>
      <c r="N49" s="4842"/>
      <c r="O49" s="4842"/>
      <c r="P49" s="4763">
        <f>P18+P19</f>
        <v>84.875</v>
      </c>
      <c r="Q49" s="4763">
        <f t="shared" ref="Q49:BJ49" si="59">Q18+Q19</f>
        <v>81.6875</v>
      </c>
      <c r="R49" s="4763">
        <f t="shared" si="59"/>
        <v>78.4375</v>
      </c>
      <c r="S49" s="4763">
        <f t="shared" si="59"/>
        <v>75.1875</v>
      </c>
      <c r="T49" s="4763">
        <f t="shared" si="59"/>
        <v>71.875</v>
      </c>
      <c r="U49" s="4753">
        <f t="shared" si="59"/>
        <v>68.9375</v>
      </c>
      <c r="V49" s="4753">
        <f t="shared" si="59"/>
        <v>66</v>
      </c>
      <c r="W49" s="4753">
        <f t="shared" si="59"/>
        <v>63</v>
      </c>
      <c r="X49" s="4753">
        <f t="shared" si="59"/>
        <v>59.9375</v>
      </c>
      <c r="Y49" s="4753">
        <f t="shared" si="59"/>
        <v>56.875</v>
      </c>
      <c r="Z49" s="4753">
        <f t="shared" si="59"/>
        <v>53.8125</v>
      </c>
      <c r="AA49" s="4753">
        <f t="shared" si="59"/>
        <v>50.6875</v>
      </c>
      <c r="AB49" s="4753">
        <f t="shared" si="59"/>
        <v>47.5</v>
      </c>
      <c r="AC49" s="4753">
        <f t="shared" si="59"/>
        <v>44.625</v>
      </c>
      <c r="AD49" s="4753">
        <f t="shared" si="59"/>
        <v>41.6875</v>
      </c>
      <c r="AE49" s="4753">
        <f t="shared" si="59"/>
        <v>38.375</v>
      </c>
      <c r="AF49" s="4753">
        <f t="shared" si="59"/>
        <v>35</v>
      </c>
      <c r="AG49" s="4753">
        <f t="shared" si="59"/>
        <v>31.0625</v>
      </c>
      <c r="AH49" s="4753">
        <f t="shared" si="59"/>
        <v>27.125</v>
      </c>
      <c r="AI49" s="4753">
        <f t="shared" si="59"/>
        <v>23.125</v>
      </c>
      <c r="AJ49" s="4753">
        <f t="shared" si="59"/>
        <v>19.0625</v>
      </c>
      <c r="AK49" s="4753">
        <f t="shared" si="59"/>
        <v>16.5625</v>
      </c>
      <c r="AL49" s="4753">
        <f t="shared" si="59"/>
        <v>13.6875</v>
      </c>
      <c r="AM49" s="4753">
        <f t="shared" si="59"/>
        <v>10.75</v>
      </c>
      <c r="AN49" s="4753">
        <f t="shared" si="59"/>
        <v>8.25</v>
      </c>
      <c r="AO49" s="4753">
        <f t="shared" si="59"/>
        <v>7.5</v>
      </c>
      <c r="AP49" s="4753">
        <f t="shared" si="59"/>
        <v>6.75</v>
      </c>
      <c r="AQ49" s="4753">
        <f t="shared" si="59"/>
        <v>6</v>
      </c>
      <c r="AR49" s="4753">
        <f t="shared" si="59"/>
        <v>5.25</v>
      </c>
      <c r="AS49" s="4753">
        <f t="shared" si="59"/>
        <v>4.5</v>
      </c>
      <c r="AT49" s="4753">
        <f t="shared" si="59"/>
        <v>3.75</v>
      </c>
      <c r="AU49" s="4753">
        <f t="shared" si="59"/>
        <v>3</v>
      </c>
      <c r="AV49" s="4753">
        <f t="shared" si="59"/>
        <v>2.25</v>
      </c>
      <c r="AW49" s="4753">
        <f t="shared" si="59"/>
        <v>1.5</v>
      </c>
      <c r="AX49" s="4753">
        <f t="shared" si="59"/>
        <v>0.75</v>
      </c>
      <c r="AY49" s="4753">
        <f t="shared" si="59"/>
        <v>0</v>
      </c>
      <c r="AZ49" s="4753">
        <f t="shared" si="59"/>
        <v>0</v>
      </c>
      <c r="BA49" s="4753">
        <f t="shared" si="59"/>
        <v>0</v>
      </c>
      <c r="BB49" s="4753">
        <f t="shared" si="59"/>
        <v>0</v>
      </c>
      <c r="BC49" s="4753">
        <f t="shared" si="59"/>
        <v>0</v>
      </c>
      <c r="BD49" s="4753">
        <f t="shared" si="59"/>
        <v>0</v>
      </c>
      <c r="BE49" s="4753">
        <f t="shared" si="59"/>
        <v>0</v>
      </c>
      <c r="BF49" s="4753">
        <f t="shared" si="59"/>
        <v>0</v>
      </c>
      <c r="BG49" s="4753">
        <f t="shared" si="59"/>
        <v>0</v>
      </c>
      <c r="BH49" s="4753">
        <f t="shared" si="59"/>
        <v>0</v>
      </c>
      <c r="BI49" s="4753">
        <f t="shared" si="59"/>
        <v>0</v>
      </c>
      <c r="BJ49" s="4753">
        <f t="shared" si="59"/>
        <v>0</v>
      </c>
      <c r="BK49" s="4753"/>
      <c r="BL49" s="4753"/>
      <c r="BM49" s="4753"/>
      <c r="BN49" s="4753"/>
      <c r="BO49" s="4753"/>
      <c r="BP49" s="4753"/>
      <c r="BQ49" s="4753"/>
      <c r="BR49" s="4753"/>
      <c r="BS49" s="4753"/>
      <c r="BT49" s="4753"/>
      <c r="BU49" s="4753"/>
      <c r="BV49" s="4753"/>
      <c r="BW49" s="4753"/>
      <c r="BX49" s="4753"/>
      <c r="BY49" s="4753"/>
      <c r="BZ49" s="4753"/>
      <c r="CA49" s="4753"/>
      <c r="CB49" s="4753"/>
      <c r="CC49" s="4753"/>
      <c r="CD49" s="4753"/>
      <c r="CE49" s="4753"/>
      <c r="CF49" s="4753"/>
      <c r="CG49" s="4753"/>
      <c r="CH49" s="4753"/>
      <c r="CI49" s="4753"/>
      <c r="CJ49" s="4753"/>
      <c r="CK49" s="4753"/>
      <c r="CL49" s="4753"/>
      <c r="CM49" s="4753"/>
      <c r="CN49" s="4753"/>
      <c r="CO49" s="4753"/>
      <c r="CP49" s="4753"/>
      <c r="CQ49" s="4753"/>
      <c r="CR49" s="4753"/>
      <c r="CS49" s="4753"/>
      <c r="CT49" s="4753"/>
      <c r="CU49" s="4753"/>
      <c r="CV49" s="4753"/>
      <c r="CW49" s="4753"/>
      <c r="CX49" s="4753"/>
      <c r="CY49" s="4753"/>
      <c r="CZ49" s="4753"/>
      <c r="DA49" s="4753"/>
      <c r="DB49" s="4753"/>
      <c r="DC49" s="4753"/>
      <c r="DD49" s="4753"/>
      <c r="DE49" s="4753"/>
      <c r="DF49" s="4753"/>
      <c r="DG49" s="4753"/>
      <c r="DH49" s="4753"/>
      <c r="DI49" s="4753"/>
      <c r="DJ49" s="4753"/>
      <c r="DK49" s="4753"/>
      <c r="DL49" s="4753"/>
      <c r="DM49" s="4753"/>
      <c r="DN49" s="4753"/>
      <c r="DO49" s="4753"/>
      <c r="DP49" s="4753"/>
      <c r="DQ49" s="4753"/>
      <c r="DR49" s="4753"/>
      <c r="DS49" s="4753"/>
      <c r="DT49" s="4753"/>
      <c r="DU49" s="4753"/>
      <c r="DV49" s="4753"/>
      <c r="DW49" s="4753"/>
      <c r="DX49" s="4753"/>
      <c r="DY49" s="4753"/>
      <c r="DZ49" s="4753"/>
      <c r="EA49" s="4753"/>
      <c r="EB49" s="4753"/>
      <c r="EC49" s="4753"/>
      <c r="ED49" s="4753"/>
      <c r="EE49" s="4753"/>
      <c r="EF49" s="4753"/>
      <c r="EG49" s="4753"/>
      <c r="EH49" s="4753"/>
      <c r="EI49" s="4753"/>
      <c r="EJ49" s="4753"/>
      <c r="EK49" s="4753"/>
      <c r="EL49" s="4753"/>
      <c r="EM49" s="4753"/>
      <c r="EN49" s="4753"/>
      <c r="EO49" s="4753"/>
      <c r="EP49" s="4753"/>
      <c r="EQ49" s="4753"/>
      <c r="ER49" s="4753"/>
      <c r="ES49" s="4753"/>
      <c r="ET49" s="4753"/>
      <c r="EU49" s="4753"/>
      <c r="EV49" s="4753"/>
      <c r="EW49" s="4753"/>
      <c r="EX49" s="4753"/>
      <c r="EY49" s="4753"/>
      <c r="EZ49" s="4753"/>
      <c r="FA49" s="4753"/>
      <c r="FB49" s="4753"/>
      <c r="FC49" s="4753"/>
      <c r="FD49" s="4753"/>
      <c r="FE49" s="4753"/>
      <c r="FF49" s="4753"/>
      <c r="FG49" s="4753"/>
      <c r="FH49" s="4753"/>
      <c r="FI49" s="4753"/>
      <c r="FJ49" s="4753"/>
      <c r="FK49" s="4753"/>
      <c r="FL49" s="4753"/>
      <c r="FM49" s="4753"/>
      <c r="FN49" s="4753"/>
      <c r="FO49" s="4753"/>
      <c r="FP49" s="4753"/>
      <c r="FQ49" s="4753"/>
      <c r="FR49" s="4753"/>
      <c r="FS49" s="4753"/>
      <c r="FT49" s="4753"/>
      <c r="FU49" s="4753"/>
      <c r="FV49" s="4753"/>
      <c r="FW49" s="4753"/>
      <c r="FX49" s="4753"/>
      <c r="FY49" s="4753"/>
      <c r="FZ49" s="4753"/>
      <c r="GA49" s="4753"/>
      <c r="GB49" s="4753"/>
      <c r="GC49" s="4753"/>
      <c r="GD49" s="4753"/>
      <c r="GE49" s="4753"/>
    </row>
    <row r="50" spans="3:187" ht="13.5" customHeight="1">
      <c r="C50" s="4955"/>
      <c r="D50" s="4768" t="s">
        <v>1082</v>
      </c>
      <c r="E50" s="4773"/>
      <c r="F50" s="4763"/>
      <c r="G50" s="4763"/>
      <c r="H50" s="4842"/>
      <c r="I50" s="4842"/>
      <c r="J50" s="4842"/>
      <c r="K50" s="4842"/>
      <c r="L50" s="4842"/>
      <c r="M50" s="4842"/>
      <c r="N50" s="4842"/>
      <c r="O50" s="4842"/>
      <c r="P50" s="4763">
        <f>P20</f>
        <v>3.1875</v>
      </c>
      <c r="Q50" s="4763">
        <f t="shared" ref="Q50:BJ50" si="60">Q20</f>
        <v>3.25</v>
      </c>
      <c r="R50" s="4763">
        <f t="shared" si="60"/>
        <v>3.25</v>
      </c>
      <c r="S50" s="4763">
        <f t="shared" si="60"/>
        <v>3.3125</v>
      </c>
      <c r="T50" s="4763">
        <f t="shared" si="60"/>
        <v>2.9375</v>
      </c>
      <c r="U50" s="4763">
        <f t="shared" si="60"/>
        <v>2.9375</v>
      </c>
      <c r="V50" s="4763">
        <f t="shared" si="60"/>
        <v>3</v>
      </c>
      <c r="W50" s="4763">
        <f t="shared" si="60"/>
        <v>3.0625</v>
      </c>
      <c r="X50" s="4763">
        <f t="shared" si="60"/>
        <v>3.0625</v>
      </c>
      <c r="Y50" s="4763">
        <f t="shared" si="60"/>
        <v>3.0625</v>
      </c>
      <c r="Z50" s="4763">
        <f t="shared" si="60"/>
        <v>3.125</v>
      </c>
      <c r="AA50" s="4763">
        <f t="shared" si="60"/>
        <v>3.1875</v>
      </c>
      <c r="AB50" s="4763">
        <f t="shared" si="60"/>
        <v>2.875</v>
      </c>
      <c r="AC50" s="4763">
        <f t="shared" si="60"/>
        <v>2.9375</v>
      </c>
      <c r="AD50" s="4763">
        <f t="shared" si="60"/>
        <v>3.3125</v>
      </c>
      <c r="AE50" s="4763">
        <f t="shared" si="60"/>
        <v>3.375</v>
      </c>
      <c r="AF50" s="4763">
        <f t="shared" si="60"/>
        <v>3.9375</v>
      </c>
      <c r="AG50" s="4763">
        <f t="shared" si="60"/>
        <v>3.9375</v>
      </c>
      <c r="AH50" s="4763">
        <f t="shared" si="60"/>
        <v>4</v>
      </c>
      <c r="AI50" s="4763">
        <f t="shared" si="60"/>
        <v>4.0625</v>
      </c>
      <c r="AJ50" s="4763">
        <f t="shared" si="60"/>
        <v>2.5</v>
      </c>
      <c r="AK50" s="4763">
        <f t="shared" si="60"/>
        <v>2.875</v>
      </c>
      <c r="AL50" s="4763">
        <f t="shared" si="60"/>
        <v>2.9375</v>
      </c>
      <c r="AM50" s="4763">
        <f t="shared" si="60"/>
        <v>2.5</v>
      </c>
      <c r="AN50" s="4763">
        <f t="shared" si="60"/>
        <v>0.75</v>
      </c>
      <c r="AO50" s="4763">
        <f t="shared" si="60"/>
        <v>0.75</v>
      </c>
      <c r="AP50" s="4763">
        <f t="shared" si="60"/>
        <v>0.75</v>
      </c>
      <c r="AQ50" s="4763">
        <f t="shared" si="60"/>
        <v>0.75</v>
      </c>
      <c r="AR50" s="4763">
        <f t="shared" si="60"/>
        <v>0.75</v>
      </c>
      <c r="AS50" s="4763">
        <f t="shared" si="60"/>
        <v>0.75</v>
      </c>
      <c r="AT50" s="4763">
        <f t="shared" si="60"/>
        <v>0.75</v>
      </c>
      <c r="AU50" s="4763">
        <f t="shared" si="60"/>
        <v>0.75</v>
      </c>
      <c r="AV50" s="4763">
        <f t="shared" si="60"/>
        <v>0.75</v>
      </c>
      <c r="AW50" s="4763">
        <f t="shared" si="60"/>
        <v>0.75</v>
      </c>
      <c r="AX50" s="4763">
        <f t="shared" si="60"/>
        <v>0.75</v>
      </c>
      <c r="AY50" s="4763">
        <f t="shared" si="60"/>
        <v>0</v>
      </c>
      <c r="AZ50" s="4763">
        <f t="shared" si="60"/>
        <v>0</v>
      </c>
      <c r="BA50" s="4763">
        <f t="shared" si="60"/>
        <v>0</v>
      </c>
      <c r="BB50" s="4763">
        <f t="shared" si="60"/>
        <v>0</v>
      </c>
      <c r="BC50" s="4763">
        <f t="shared" si="60"/>
        <v>0</v>
      </c>
      <c r="BD50" s="4763">
        <f t="shared" si="60"/>
        <v>0</v>
      </c>
      <c r="BE50" s="4763">
        <f t="shared" si="60"/>
        <v>0</v>
      </c>
      <c r="BF50" s="4763">
        <f t="shared" si="60"/>
        <v>0</v>
      </c>
      <c r="BG50" s="4763">
        <f t="shared" si="60"/>
        <v>0</v>
      </c>
      <c r="BH50" s="4763">
        <f t="shared" si="60"/>
        <v>0</v>
      </c>
      <c r="BI50" s="4763">
        <f t="shared" si="60"/>
        <v>0</v>
      </c>
      <c r="BJ50" s="4763">
        <f t="shared" si="60"/>
        <v>0</v>
      </c>
      <c r="BK50" s="4763"/>
      <c r="BL50" s="4763"/>
      <c r="BM50" s="4763"/>
      <c r="BN50" s="4763"/>
      <c r="BO50" s="4763"/>
      <c r="BP50" s="4763"/>
      <c r="BQ50" s="4763"/>
      <c r="BR50" s="4763"/>
      <c r="BS50" s="4763"/>
      <c r="BT50" s="4763"/>
      <c r="BU50" s="4763"/>
      <c r="BV50" s="4763"/>
      <c r="BW50" s="4763"/>
      <c r="BX50" s="4763"/>
      <c r="BY50" s="4763"/>
      <c r="BZ50" s="4763"/>
      <c r="CA50" s="4763"/>
      <c r="CB50" s="4763"/>
      <c r="CC50" s="4763"/>
      <c r="CD50" s="4763"/>
      <c r="CE50" s="4763"/>
      <c r="CF50" s="4763"/>
      <c r="CG50" s="4763"/>
      <c r="CH50" s="4763"/>
      <c r="CI50" s="4763"/>
      <c r="CJ50" s="4763"/>
      <c r="CK50" s="4763"/>
      <c r="CL50" s="4763"/>
      <c r="CM50" s="4763"/>
      <c r="CN50" s="4763"/>
      <c r="CO50" s="4763"/>
      <c r="CP50" s="4763"/>
      <c r="CQ50" s="4763"/>
      <c r="CR50" s="4763"/>
      <c r="CS50" s="4763"/>
      <c r="CT50" s="4763"/>
      <c r="CU50" s="4763"/>
      <c r="CV50" s="4763"/>
      <c r="CW50" s="4763"/>
      <c r="CX50" s="4763"/>
      <c r="CY50" s="4763"/>
      <c r="CZ50" s="4763"/>
      <c r="DA50" s="4763"/>
      <c r="DB50" s="4763"/>
      <c r="DC50" s="4763"/>
      <c r="DD50" s="4763"/>
      <c r="DE50" s="4763"/>
      <c r="DF50" s="4763"/>
      <c r="DG50" s="4763"/>
      <c r="DH50" s="4763"/>
      <c r="DI50" s="4763"/>
      <c r="DJ50" s="4763"/>
      <c r="DK50" s="4763"/>
      <c r="DL50" s="4763"/>
      <c r="DM50" s="4763"/>
      <c r="DN50" s="4763"/>
      <c r="DO50" s="4763"/>
      <c r="DP50" s="4763"/>
      <c r="DQ50" s="4763"/>
      <c r="DR50" s="4763"/>
      <c r="DS50" s="4763"/>
      <c r="DT50" s="4763"/>
      <c r="DU50" s="4763"/>
      <c r="DV50" s="4763"/>
      <c r="DW50" s="4763"/>
      <c r="DX50" s="4763"/>
      <c r="DY50" s="4763"/>
      <c r="DZ50" s="4763"/>
      <c r="EA50" s="4763"/>
      <c r="EB50" s="4763"/>
      <c r="EC50" s="4763"/>
      <c r="ED50" s="4763"/>
      <c r="EE50" s="4763"/>
      <c r="EF50" s="4763"/>
      <c r="EG50" s="4763"/>
      <c r="EH50" s="4763"/>
      <c r="EI50" s="4763"/>
      <c r="EJ50" s="4763"/>
      <c r="EK50" s="4763"/>
      <c r="EL50" s="4763"/>
      <c r="EM50" s="4763"/>
      <c r="EN50" s="4763"/>
      <c r="EO50" s="4763"/>
      <c r="EP50" s="4763"/>
      <c r="EQ50" s="4763"/>
      <c r="ER50" s="4763"/>
      <c r="ES50" s="4763"/>
      <c r="ET50" s="4763"/>
      <c r="EU50" s="4763"/>
      <c r="EV50" s="4763"/>
      <c r="EW50" s="4763"/>
      <c r="EX50" s="4763"/>
      <c r="EY50" s="4763"/>
      <c r="EZ50" s="4763"/>
      <c r="FA50" s="4763"/>
      <c r="FB50" s="4763"/>
      <c r="FC50" s="4763"/>
      <c r="FD50" s="4763"/>
      <c r="FE50" s="4763"/>
      <c r="FF50" s="4763"/>
      <c r="FG50" s="4763"/>
      <c r="FH50" s="4763"/>
      <c r="FI50" s="4763"/>
      <c r="FJ50" s="4763"/>
      <c r="FK50" s="4763"/>
      <c r="FL50" s="4763"/>
      <c r="FM50" s="4763"/>
      <c r="FN50" s="4763"/>
      <c r="FO50" s="4763"/>
      <c r="FP50" s="4763"/>
      <c r="FQ50" s="4763"/>
      <c r="FR50" s="4763"/>
      <c r="FS50" s="4763"/>
      <c r="FT50" s="4763"/>
      <c r="FU50" s="4763"/>
      <c r="FV50" s="4763"/>
      <c r="FW50" s="4763"/>
      <c r="FX50" s="4763"/>
      <c r="FY50" s="4763"/>
      <c r="FZ50" s="4763"/>
      <c r="GA50" s="4763"/>
      <c r="GB50" s="4763"/>
      <c r="GC50" s="4763"/>
      <c r="GD50" s="4763"/>
      <c r="GE50" s="4763"/>
    </row>
    <row r="51" spans="3:187" ht="13.5" customHeight="1">
      <c r="C51" s="4955"/>
      <c r="D51" s="4768" t="s">
        <v>1090</v>
      </c>
      <c r="E51" s="4773"/>
      <c r="F51" s="4763"/>
      <c r="G51" s="4763"/>
      <c r="H51" s="4842"/>
      <c r="I51" s="4842"/>
      <c r="J51" s="4842"/>
      <c r="K51" s="4842"/>
      <c r="L51" s="4842"/>
      <c r="M51" s="4842"/>
      <c r="N51" s="4842"/>
      <c r="O51" s="4842"/>
      <c r="P51" s="4763">
        <f>P49-P50</f>
        <v>81.6875</v>
      </c>
      <c r="Q51" s="4763">
        <f t="shared" ref="Q51:BJ51" si="61">Q49-Q50</f>
        <v>78.4375</v>
      </c>
      <c r="R51" s="4763">
        <f t="shared" si="61"/>
        <v>75.1875</v>
      </c>
      <c r="S51" s="4763">
        <f t="shared" si="61"/>
        <v>71.875</v>
      </c>
      <c r="T51" s="4763">
        <f t="shared" si="61"/>
        <v>68.9375</v>
      </c>
      <c r="U51" s="4763">
        <f t="shared" si="61"/>
        <v>66</v>
      </c>
      <c r="V51" s="4763">
        <f t="shared" si="61"/>
        <v>63</v>
      </c>
      <c r="W51" s="4763">
        <f t="shared" si="61"/>
        <v>59.9375</v>
      </c>
      <c r="X51" s="4763">
        <f t="shared" si="61"/>
        <v>56.875</v>
      </c>
      <c r="Y51" s="4763">
        <f t="shared" si="61"/>
        <v>53.8125</v>
      </c>
      <c r="Z51" s="4763">
        <f t="shared" si="61"/>
        <v>50.6875</v>
      </c>
      <c r="AA51" s="4763">
        <f t="shared" si="61"/>
        <v>47.5</v>
      </c>
      <c r="AB51" s="4763">
        <f t="shared" si="61"/>
        <v>44.625</v>
      </c>
      <c r="AC51" s="4763">
        <f t="shared" si="61"/>
        <v>41.6875</v>
      </c>
      <c r="AD51" s="4763">
        <f t="shared" si="61"/>
        <v>38.375</v>
      </c>
      <c r="AE51" s="4763">
        <f t="shared" si="61"/>
        <v>35</v>
      </c>
      <c r="AF51" s="4763">
        <f t="shared" si="61"/>
        <v>31.0625</v>
      </c>
      <c r="AG51" s="4763">
        <f t="shared" si="61"/>
        <v>27.125</v>
      </c>
      <c r="AH51" s="4763">
        <f t="shared" si="61"/>
        <v>23.125</v>
      </c>
      <c r="AI51" s="4763">
        <f t="shared" si="61"/>
        <v>19.0625</v>
      </c>
      <c r="AJ51" s="4763">
        <f t="shared" si="61"/>
        <v>16.5625</v>
      </c>
      <c r="AK51" s="4763">
        <f t="shared" si="61"/>
        <v>13.6875</v>
      </c>
      <c r="AL51" s="4763">
        <f t="shared" si="61"/>
        <v>10.75</v>
      </c>
      <c r="AM51" s="4763">
        <f t="shared" si="61"/>
        <v>8.25</v>
      </c>
      <c r="AN51" s="4763">
        <f t="shared" si="61"/>
        <v>7.5</v>
      </c>
      <c r="AO51" s="4763">
        <f t="shared" si="61"/>
        <v>6.75</v>
      </c>
      <c r="AP51" s="4763">
        <f t="shared" si="61"/>
        <v>6</v>
      </c>
      <c r="AQ51" s="4763">
        <f t="shared" si="61"/>
        <v>5.25</v>
      </c>
      <c r="AR51" s="4763">
        <f t="shared" si="61"/>
        <v>4.5</v>
      </c>
      <c r="AS51" s="4763">
        <f t="shared" si="61"/>
        <v>3.75</v>
      </c>
      <c r="AT51" s="4763">
        <f t="shared" si="61"/>
        <v>3</v>
      </c>
      <c r="AU51" s="4763">
        <f t="shared" si="61"/>
        <v>2.25</v>
      </c>
      <c r="AV51" s="4763">
        <f t="shared" si="61"/>
        <v>1.5</v>
      </c>
      <c r="AW51" s="4763">
        <f t="shared" si="61"/>
        <v>0.75</v>
      </c>
      <c r="AX51" s="4763">
        <f t="shared" si="61"/>
        <v>0</v>
      </c>
      <c r="AY51" s="4763">
        <f t="shared" si="61"/>
        <v>0</v>
      </c>
      <c r="AZ51" s="4763">
        <f t="shared" si="61"/>
        <v>0</v>
      </c>
      <c r="BA51" s="4763">
        <f t="shared" si="61"/>
        <v>0</v>
      </c>
      <c r="BB51" s="4763">
        <f t="shared" si="61"/>
        <v>0</v>
      </c>
      <c r="BC51" s="4763">
        <f t="shared" si="61"/>
        <v>0</v>
      </c>
      <c r="BD51" s="4763">
        <f t="shared" si="61"/>
        <v>0</v>
      </c>
      <c r="BE51" s="4763">
        <f t="shared" si="61"/>
        <v>0</v>
      </c>
      <c r="BF51" s="4763">
        <f t="shared" si="61"/>
        <v>0</v>
      </c>
      <c r="BG51" s="4763">
        <f t="shared" si="61"/>
        <v>0</v>
      </c>
      <c r="BH51" s="4763">
        <f t="shared" si="61"/>
        <v>0</v>
      </c>
      <c r="BI51" s="4763">
        <f t="shared" si="61"/>
        <v>0</v>
      </c>
      <c r="BJ51" s="4763">
        <f t="shared" si="61"/>
        <v>0</v>
      </c>
      <c r="BK51" s="4763"/>
      <c r="BL51" s="4763"/>
      <c r="BM51" s="4763"/>
      <c r="BN51" s="4763"/>
      <c r="BO51" s="4763"/>
      <c r="BP51" s="4763"/>
      <c r="BQ51" s="4763"/>
      <c r="BR51" s="4763"/>
      <c r="BS51" s="4763"/>
      <c r="BT51" s="4763"/>
      <c r="BU51" s="4763"/>
      <c r="BV51" s="4763"/>
      <c r="BW51" s="4763"/>
      <c r="BX51" s="4763"/>
      <c r="BY51" s="4763"/>
      <c r="BZ51" s="4763"/>
      <c r="CA51" s="4763"/>
      <c r="CB51" s="4763"/>
      <c r="CC51" s="4763"/>
      <c r="CD51" s="4763"/>
      <c r="CE51" s="4763"/>
      <c r="CF51" s="4763"/>
      <c r="CG51" s="4763"/>
      <c r="CH51" s="4763"/>
      <c r="CI51" s="4763"/>
      <c r="CJ51" s="4763"/>
      <c r="CK51" s="4763"/>
      <c r="CL51" s="4763"/>
      <c r="CM51" s="4763"/>
      <c r="CN51" s="4763"/>
      <c r="CO51" s="4763"/>
      <c r="CP51" s="4763"/>
      <c r="CQ51" s="4763"/>
      <c r="CR51" s="4763"/>
      <c r="CS51" s="4763"/>
      <c r="CT51" s="4763"/>
      <c r="CU51" s="4763"/>
      <c r="CV51" s="4763"/>
      <c r="CW51" s="4763"/>
      <c r="CX51" s="4763"/>
      <c r="CY51" s="4763"/>
      <c r="CZ51" s="4763"/>
      <c r="DA51" s="4763"/>
      <c r="DB51" s="4763"/>
      <c r="DC51" s="4763"/>
      <c r="DD51" s="4763"/>
      <c r="DE51" s="4763"/>
      <c r="DF51" s="4763"/>
      <c r="DG51" s="4763"/>
      <c r="DH51" s="4763"/>
      <c r="DI51" s="4763"/>
      <c r="DJ51" s="4763"/>
      <c r="DK51" s="4763"/>
      <c r="DL51" s="4763"/>
      <c r="DM51" s="4763"/>
      <c r="DN51" s="4763"/>
      <c r="DO51" s="4763"/>
      <c r="DP51" s="4763"/>
      <c r="DQ51" s="4763"/>
      <c r="DR51" s="4763"/>
      <c r="DS51" s="4763"/>
      <c r="DT51" s="4763"/>
      <c r="DU51" s="4763"/>
      <c r="DV51" s="4763"/>
      <c r="DW51" s="4763"/>
      <c r="DX51" s="4763"/>
      <c r="DY51" s="4763"/>
      <c r="DZ51" s="4763"/>
      <c r="EA51" s="4763"/>
      <c r="EB51" s="4763"/>
      <c r="EC51" s="4763"/>
      <c r="ED51" s="4763"/>
      <c r="EE51" s="4763"/>
      <c r="EF51" s="4763"/>
      <c r="EG51" s="4763"/>
      <c r="EH51" s="4763"/>
      <c r="EI51" s="4763"/>
      <c r="EJ51" s="4763"/>
      <c r="EK51" s="4763"/>
      <c r="EL51" s="4763"/>
      <c r="EM51" s="4763"/>
      <c r="EN51" s="4763"/>
      <c r="EO51" s="4763"/>
      <c r="EP51" s="4763"/>
      <c r="EQ51" s="4763"/>
      <c r="ER51" s="4763"/>
      <c r="ES51" s="4763"/>
      <c r="ET51" s="4763"/>
      <c r="EU51" s="4763"/>
      <c r="EV51" s="4763"/>
      <c r="EW51" s="4763"/>
      <c r="EX51" s="4763"/>
      <c r="EY51" s="4763"/>
      <c r="EZ51" s="4763"/>
      <c r="FA51" s="4763"/>
      <c r="FB51" s="4763"/>
      <c r="FC51" s="4763"/>
      <c r="FD51" s="4763"/>
      <c r="FE51" s="4763"/>
      <c r="FF51" s="4763"/>
      <c r="FG51" s="4763"/>
      <c r="FH51" s="4763"/>
      <c r="FI51" s="4763"/>
      <c r="FJ51" s="4763"/>
      <c r="FK51" s="4763"/>
      <c r="FL51" s="4763"/>
      <c r="FM51" s="4763"/>
      <c r="FN51" s="4763"/>
      <c r="FO51" s="4763"/>
      <c r="FP51" s="4763"/>
      <c r="FQ51" s="4763"/>
      <c r="FR51" s="4763"/>
      <c r="FS51" s="4763"/>
      <c r="FT51" s="4763"/>
      <c r="FU51" s="4763"/>
      <c r="FV51" s="4763"/>
      <c r="FW51" s="4763"/>
      <c r="FX51" s="4763"/>
      <c r="FY51" s="4763"/>
      <c r="FZ51" s="4763"/>
      <c r="GA51" s="4763"/>
      <c r="GB51" s="4763"/>
      <c r="GC51" s="4763"/>
      <c r="GD51" s="4763"/>
      <c r="GE51" s="4763"/>
    </row>
    <row r="52" spans="3:187" ht="13.5" customHeight="1">
      <c r="C52" s="4955"/>
      <c r="D52" s="4768" t="s">
        <v>1091</v>
      </c>
      <c r="E52" s="4773"/>
      <c r="F52" s="4763"/>
      <c r="G52" s="4763"/>
      <c r="H52" s="4842"/>
      <c r="I52" s="4842"/>
      <c r="J52" s="4842"/>
      <c r="K52" s="4842"/>
      <c r="L52" s="4842"/>
      <c r="M52" s="4842"/>
      <c r="N52" s="4842"/>
      <c r="O52" s="4842"/>
      <c r="P52" s="4763">
        <f>P21</f>
        <v>1.5277499999999999</v>
      </c>
      <c r="Q52" s="4763">
        <f t="shared" ref="Q52:BJ52" si="62">Q21</f>
        <v>1.470375</v>
      </c>
      <c r="R52" s="4763">
        <f t="shared" si="62"/>
        <v>1.411875</v>
      </c>
      <c r="S52" s="4763">
        <f t="shared" si="62"/>
        <v>1.353375</v>
      </c>
      <c r="T52" s="4763">
        <f t="shared" si="62"/>
        <v>1.29375</v>
      </c>
      <c r="U52" s="4763">
        <f t="shared" si="62"/>
        <v>1.240875</v>
      </c>
      <c r="V52" s="4763">
        <f t="shared" si="62"/>
        <v>1.1879999999999999</v>
      </c>
      <c r="W52" s="4763">
        <f t="shared" si="62"/>
        <v>1.1339999999999999</v>
      </c>
      <c r="X52" s="4763">
        <f t="shared" si="62"/>
        <v>1.078875</v>
      </c>
      <c r="Y52" s="4763">
        <f t="shared" si="62"/>
        <v>1.0237499999999999</v>
      </c>
      <c r="Z52" s="4763">
        <f t="shared" si="62"/>
        <v>0.96862499999999996</v>
      </c>
      <c r="AA52" s="4763">
        <f t="shared" si="62"/>
        <v>0.91237499999999994</v>
      </c>
      <c r="AB52" s="4763">
        <f t="shared" si="62"/>
        <v>0.85499999999999998</v>
      </c>
      <c r="AC52" s="4763">
        <f t="shared" si="62"/>
        <v>0.80324999999999991</v>
      </c>
      <c r="AD52" s="4763">
        <f t="shared" si="62"/>
        <v>0.7503749999999999</v>
      </c>
      <c r="AE52" s="4763">
        <f t="shared" si="62"/>
        <v>0.69074999999999998</v>
      </c>
      <c r="AF52" s="4763">
        <f t="shared" si="62"/>
        <v>0.63</v>
      </c>
      <c r="AG52" s="4763">
        <f t="shared" si="62"/>
        <v>0.55912499999999998</v>
      </c>
      <c r="AH52" s="4763">
        <f t="shared" si="62"/>
        <v>0.48825000000000002</v>
      </c>
      <c r="AI52" s="4763">
        <f t="shared" si="62"/>
        <v>0.41624999999999995</v>
      </c>
      <c r="AJ52" s="4763">
        <f t="shared" si="62"/>
        <v>0.34312499999999996</v>
      </c>
      <c r="AK52" s="4763">
        <f t="shared" si="62"/>
        <v>0.29812499999999997</v>
      </c>
      <c r="AL52" s="4763">
        <f t="shared" si="62"/>
        <v>0.24637499999999998</v>
      </c>
      <c r="AM52" s="4763">
        <f t="shared" si="62"/>
        <v>0.19349999999999998</v>
      </c>
      <c r="AN52" s="4763">
        <f t="shared" si="62"/>
        <v>0.14849999999999999</v>
      </c>
      <c r="AO52" s="4763">
        <f t="shared" si="62"/>
        <v>0.13499999999999998</v>
      </c>
      <c r="AP52" s="4763">
        <f t="shared" si="62"/>
        <v>0.1215</v>
      </c>
      <c r="AQ52" s="4763">
        <f t="shared" si="62"/>
        <v>0.10799999999999998</v>
      </c>
      <c r="AR52" s="4763">
        <f t="shared" si="62"/>
        <v>9.4499999999999987E-2</v>
      </c>
      <c r="AS52" s="4763">
        <f t="shared" si="62"/>
        <v>8.0999999999999989E-2</v>
      </c>
      <c r="AT52" s="4763">
        <f t="shared" si="62"/>
        <v>6.7499999999999991E-2</v>
      </c>
      <c r="AU52" s="4763">
        <f t="shared" si="62"/>
        <v>5.3999999999999992E-2</v>
      </c>
      <c r="AV52" s="4763">
        <f t="shared" si="62"/>
        <v>4.0499999999999994E-2</v>
      </c>
      <c r="AW52" s="4763">
        <f t="shared" si="62"/>
        <v>2.6999999999999996E-2</v>
      </c>
      <c r="AX52" s="4763">
        <f t="shared" si="62"/>
        <v>1.3499999999999998E-2</v>
      </c>
      <c r="AY52" s="4763">
        <f t="shared" si="62"/>
        <v>0</v>
      </c>
      <c r="AZ52" s="4763">
        <f t="shared" si="62"/>
        <v>0</v>
      </c>
      <c r="BA52" s="4763">
        <f t="shared" si="62"/>
        <v>0</v>
      </c>
      <c r="BB52" s="4763">
        <f t="shared" si="62"/>
        <v>0</v>
      </c>
      <c r="BC52" s="4763">
        <f t="shared" si="62"/>
        <v>0</v>
      </c>
      <c r="BD52" s="4763">
        <f t="shared" si="62"/>
        <v>0</v>
      </c>
      <c r="BE52" s="4763">
        <f t="shared" si="62"/>
        <v>0</v>
      </c>
      <c r="BF52" s="4763">
        <f t="shared" si="62"/>
        <v>0</v>
      </c>
      <c r="BG52" s="4763">
        <f t="shared" si="62"/>
        <v>0</v>
      </c>
      <c r="BH52" s="4763">
        <f t="shared" si="62"/>
        <v>0</v>
      </c>
      <c r="BI52" s="4763">
        <f t="shared" si="62"/>
        <v>0</v>
      </c>
      <c r="BJ52" s="4763">
        <f t="shared" si="62"/>
        <v>0</v>
      </c>
      <c r="BK52" s="4763"/>
      <c r="BL52" s="4763"/>
      <c r="BM52" s="4763"/>
      <c r="BN52" s="4763"/>
      <c r="BO52" s="4763"/>
      <c r="BP52" s="4763"/>
      <c r="BQ52" s="4763"/>
      <c r="BR52" s="4763"/>
      <c r="BS52" s="4763"/>
      <c r="BT52" s="4763"/>
      <c r="BU52" s="4763"/>
      <c r="BV52" s="4763"/>
      <c r="BW52" s="4763"/>
      <c r="BX52" s="4763"/>
      <c r="BY52" s="4763"/>
      <c r="BZ52" s="4763"/>
      <c r="CA52" s="4763"/>
      <c r="CB52" s="4763"/>
      <c r="CC52" s="4763"/>
      <c r="CD52" s="4763"/>
      <c r="CE52" s="4763"/>
      <c r="CF52" s="4763"/>
      <c r="CG52" s="4763"/>
      <c r="CH52" s="4763"/>
      <c r="CI52" s="4763"/>
      <c r="CJ52" s="4763"/>
      <c r="CK52" s="4763"/>
      <c r="CL52" s="4763"/>
      <c r="CM52" s="4763"/>
      <c r="CN52" s="4763"/>
      <c r="CO52" s="4763"/>
      <c r="CP52" s="4763"/>
      <c r="CQ52" s="4763"/>
      <c r="CR52" s="4763"/>
      <c r="CS52" s="4763"/>
      <c r="CT52" s="4763"/>
      <c r="CU52" s="4763"/>
      <c r="CV52" s="4763"/>
      <c r="CW52" s="4763"/>
      <c r="CX52" s="4763"/>
      <c r="CY52" s="4763"/>
      <c r="CZ52" s="4763"/>
      <c r="DA52" s="4763"/>
      <c r="DB52" s="4763"/>
      <c r="DC52" s="4763"/>
      <c r="DD52" s="4763"/>
      <c r="DE52" s="4763"/>
      <c r="DF52" s="4763"/>
      <c r="DG52" s="4763"/>
      <c r="DH52" s="4763"/>
      <c r="DI52" s="4763"/>
      <c r="DJ52" s="4763"/>
      <c r="DK52" s="4763"/>
      <c r="DL52" s="4763"/>
      <c r="DM52" s="4763"/>
      <c r="DN52" s="4763"/>
      <c r="DO52" s="4763"/>
      <c r="DP52" s="4763"/>
      <c r="DQ52" s="4763"/>
      <c r="DR52" s="4763"/>
      <c r="DS52" s="4763"/>
      <c r="DT52" s="4763"/>
      <c r="DU52" s="4763"/>
      <c r="DV52" s="4763"/>
      <c r="DW52" s="4763"/>
      <c r="DX52" s="4763"/>
      <c r="DY52" s="4763"/>
      <c r="DZ52" s="4763"/>
      <c r="EA52" s="4763"/>
      <c r="EB52" s="4763"/>
      <c r="EC52" s="4763"/>
      <c r="ED52" s="4763"/>
      <c r="EE52" s="4763"/>
      <c r="EF52" s="4763"/>
      <c r="EG52" s="4763"/>
      <c r="EH52" s="4763"/>
      <c r="EI52" s="4763"/>
      <c r="EJ52" s="4763"/>
      <c r="EK52" s="4763"/>
      <c r="EL52" s="4763"/>
      <c r="EM52" s="4763"/>
      <c r="EN52" s="4763"/>
      <c r="EO52" s="4763"/>
      <c r="EP52" s="4763"/>
      <c r="EQ52" s="4763"/>
      <c r="ER52" s="4763"/>
      <c r="ES52" s="4763"/>
      <c r="ET52" s="4763"/>
      <c r="EU52" s="4763"/>
      <c r="EV52" s="4763"/>
      <c r="EW52" s="4763"/>
      <c r="EX52" s="4763"/>
      <c r="EY52" s="4763"/>
      <c r="EZ52" s="4763"/>
      <c r="FA52" s="4763"/>
      <c r="FB52" s="4763"/>
      <c r="FC52" s="4763"/>
      <c r="FD52" s="4763"/>
      <c r="FE52" s="4763"/>
      <c r="FF52" s="4763"/>
      <c r="FG52" s="4763"/>
      <c r="FH52" s="4763"/>
      <c r="FI52" s="4763"/>
      <c r="FJ52" s="4763"/>
      <c r="FK52" s="4763"/>
      <c r="FL52" s="4763"/>
      <c r="FM52" s="4763"/>
      <c r="FN52" s="4763"/>
      <c r="FO52" s="4763"/>
      <c r="FP52" s="4763"/>
      <c r="FQ52" s="4763"/>
      <c r="FR52" s="4763"/>
      <c r="FS52" s="4763"/>
      <c r="FT52" s="4763"/>
      <c r="FU52" s="4763"/>
      <c r="FV52" s="4763"/>
      <c r="FW52" s="4763"/>
      <c r="FX52" s="4763"/>
      <c r="FY52" s="4763"/>
      <c r="FZ52" s="4763"/>
      <c r="GA52" s="4763"/>
      <c r="GB52" s="4763"/>
      <c r="GC52" s="4763"/>
      <c r="GD52" s="4763"/>
      <c r="GE52" s="4763"/>
    </row>
    <row r="53" spans="3:187" ht="13.5" customHeight="1">
      <c r="C53" s="4955"/>
      <c r="D53" s="4768" t="s">
        <v>1092</v>
      </c>
      <c r="E53" s="4773"/>
      <c r="F53" s="4763"/>
      <c r="G53" s="4763"/>
      <c r="H53" s="4842"/>
      <c r="I53" s="4842"/>
      <c r="J53" s="4842"/>
      <c r="K53" s="4842"/>
      <c r="L53" s="4842"/>
      <c r="M53" s="4842"/>
      <c r="N53" s="4842"/>
      <c r="O53" s="4842"/>
      <c r="P53" s="4763">
        <f>O55*$F$46*(P47-O47)/365</f>
        <v>2.1860577593323165</v>
      </c>
      <c r="Q53" s="4763">
        <f t="shared" ref="Q53:BJ53" si="63">P55*$F$46*(Q47-P47)/365</f>
        <v>2.1346794015858355</v>
      </c>
      <c r="R53" s="4763">
        <f t="shared" si="63"/>
        <v>2.0799289802577619</v>
      </c>
      <c r="S53" s="4763">
        <f t="shared" si="63"/>
        <v>2.0018339554414486</v>
      </c>
      <c r="T53" s="4763">
        <f t="shared" si="63"/>
        <v>1.8794894060267486</v>
      </c>
      <c r="U53" s="4763">
        <f t="shared" si="63"/>
        <v>1.8300130992213559</v>
      </c>
      <c r="V53" s="4763">
        <f t="shared" si="63"/>
        <v>1.7790932281154561</v>
      </c>
      <c r="W53" s="4763">
        <f t="shared" si="63"/>
        <v>1.7062320479466742</v>
      </c>
      <c r="X53" s="4763">
        <f t="shared" si="63"/>
        <v>1.5954554061312705</v>
      </c>
      <c r="Y53" s="4763">
        <f t="shared" si="63"/>
        <v>1.5370143542708055</v>
      </c>
      <c r="Z53" s="4763">
        <f t="shared" si="63"/>
        <v>1.4767989738759075</v>
      </c>
      <c r="AA53" s="4763">
        <f t="shared" si="63"/>
        <v>1.3976489483186199</v>
      </c>
      <c r="AB53" s="4763">
        <f t="shared" si="63"/>
        <v>1.3016124311447819</v>
      </c>
      <c r="AC53" s="4763">
        <f t="shared" si="63"/>
        <v>1.2289603975779353</v>
      </c>
      <c r="AD53" s="4763">
        <f t="shared" si="63"/>
        <v>1.1664924234378975</v>
      </c>
      <c r="AE53" s="4763">
        <f t="shared" si="63"/>
        <v>1.0788867696153071</v>
      </c>
      <c r="AF53" s="4763">
        <f t="shared" si="63"/>
        <v>0.96705429053462177</v>
      </c>
      <c r="AG53" s="4763">
        <f t="shared" si="63"/>
        <v>0.87008189396788094</v>
      </c>
      <c r="AH53" s="4763">
        <f t="shared" si="63"/>
        <v>0.76995272417273319</v>
      </c>
      <c r="AI53" s="4763">
        <f t="shared" si="63"/>
        <v>0.65748696547373853</v>
      </c>
      <c r="AJ53" s="4763">
        <f t="shared" si="63"/>
        <v>0.53012626160533116</v>
      </c>
      <c r="AK53" s="4763">
        <f t="shared" si="63"/>
        <v>0.46681670073445342</v>
      </c>
      <c r="AL53" s="4763">
        <f t="shared" si="63"/>
        <v>0.39008999671500239</v>
      </c>
      <c r="AM53" s="4763">
        <f t="shared" si="63"/>
        <v>0.30558756812249183</v>
      </c>
      <c r="AN53" s="4763">
        <f t="shared" si="63"/>
        <v>0.22828832103961774</v>
      </c>
      <c r="AO53" s="4763">
        <f t="shared" si="63"/>
        <v>0.21077359346266786</v>
      </c>
      <c r="AP53" s="4763">
        <f t="shared" si="63"/>
        <v>0.19269674699421113</v>
      </c>
      <c r="AQ53" s="4763">
        <f t="shared" si="63"/>
        <v>0.17216527325946065</v>
      </c>
      <c r="AR53" s="4763">
        <f t="shared" si="63"/>
        <v>0.14977523976892113</v>
      </c>
      <c r="AS53" s="4763">
        <f t="shared" si="63"/>
        <v>0.12899059762721321</v>
      </c>
      <c r="AT53" s="4763">
        <f t="shared" si="63"/>
        <v>0.1091746964420299</v>
      </c>
      <c r="AU53" s="4763">
        <f t="shared" si="63"/>
        <v>8.7750281780988801E-2</v>
      </c>
      <c r="AV53" s="4763">
        <f t="shared" si="63"/>
        <v>6.4649524612360731E-2</v>
      </c>
      <c r="AW53" s="4763">
        <f t="shared" si="63"/>
        <v>4.3651997345162542E-2</v>
      </c>
      <c r="AX53" s="4763">
        <f t="shared" si="63"/>
        <v>2.1950424009134495E-2</v>
      </c>
      <c r="AY53" s="4763">
        <f>AX55*$F$46*(AY47-AX47)/365</f>
        <v>0</v>
      </c>
      <c r="AZ53" s="4763">
        <f t="shared" si="63"/>
        <v>0</v>
      </c>
      <c r="BA53" s="4763">
        <f t="shared" si="63"/>
        <v>0</v>
      </c>
      <c r="BB53" s="4763">
        <f t="shared" si="63"/>
        <v>0</v>
      </c>
      <c r="BC53" s="4763">
        <f t="shared" si="63"/>
        <v>0</v>
      </c>
      <c r="BD53" s="4763">
        <f t="shared" si="63"/>
        <v>0</v>
      </c>
      <c r="BE53" s="4763">
        <f t="shared" si="63"/>
        <v>0</v>
      </c>
      <c r="BF53" s="4763">
        <f t="shared" si="63"/>
        <v>0</v>
      </c>
      <c r="BG53" s="4763">
        <f t="shared" si="63"/>
        <v>0</v>
      </c>
      <c r="BH53" s="4763">
        <f t="shared" si="63"/>
        <v>0</v>
      </c>
      <c r="BI53" s="4763">
        <f t="shared" si="63"/>
        <v>0</v>
      </c>
      <c r="BJ53" s="4763">
        <f t="shared" si="63"/>
        <v>0</v>
      </c>
      <c r="BK53" s="4763"/>
      <c r="BL53" s="4763"/>
      <c r="BM53" s="4763"/>
      <c r="BN53" s="4763"/>
      <c r="BO53" s="4763"/>
      <c r="BP53" s="4763"/>
      <c r="BQ53" s="4763"/>
      <c r="BR53" s="4763"/>
      <c r="BS53" s="4763"/>
      <c r="BT53" s="4763"/>
      <c r="BU53" s="4763"/>
      <c r="BV53" s="4763"/>
      <c r="BW53" s="4763"/>
      <c r="BX53" s="4763"/>
      <c r="BY53" s="4763"/>
      <c r="BZ53" s="4763"/>
      <c r="CA53" s="4763"/>
      <c r="CB53" s="4763"/>
      <c r="CC53" s="4763"/>
      <c r="CD53" s="4763"/>
      <c r="CE53" s="4763"/>
      <c r="CF53" s="4763"/>
      <c r="CG53" s="4763"/>
      <c r="CH53" s="4763"/>
      <c r="CI53" s="4763"/>
      <c r="CJ53" s="4763"/>
      <c r="CK53" s="4763"/>
      <c r="CL53" s="4763"/>
      <c r="CM53" s="4763"/>
      <c r="CN53" s="4763"/>
      <c r="CO53" s="4763"/>
      <c r="CP53" s="4763"/>
      <c r="CQ53" s="4763"/>
      <c r="CR53" s="4763"/>
      <c r="CS53" s="4763"/>
      <c r="CT53" s="4763"/>
      <c r="CU53" s="4763"/>
      <c r="CV53" s="4763"/>
      <c r="CW53" s="4763"/>
      <c r="CX53" s="4763"/>
      <c r="CY53" s="4763"/>
      <c r="CZ53" s="4763"/>
      <c r="DA53" s="4763"/>
      <c r="DB53" s="4763"/>
      <c r="DC53" s="4763"/>
      <c r="DD53" s="4763"/>
      <c r="DE53" s="4763"/>
      <c r="DF53" s="4763"/>
      <c r="DG53" s="4763"/>
      <c r="DH53" s="4763"/>
      <c r="DI53" s="4763"/>
      <c r="DJ53" s="4763"/>
      <c r="DK53" s="4763"/>
      <c r="DL53" s="4763"/>
      <c r="DM53" s="4763"/>
      <c r="DN53" s="4763"/>
      <c r="DO53" s="4763"/>
      <c r="DP53" s="4763"/>
      <c r="DQ53" s="4763"/>
      <c r="DR53" s="4763"/>
      <c r="DS53" s="4763"/>
      <c r="DT53" s="4763"/>
      <c r="DU53" s="4763"/>
      <c r="DV53" s="4763"/>
      <c r="DW53" s="4763"/>
      <c r="DX53" s="4763"/>
      <c r="DY53" s="4763"/>
      <c r="DZ53" s="4763"/>
      <c r="EA53" s="4763"/>
      <c r="EB53" s="4763"/>
      <c r="EC53" s="4763"/>
      <c r="ED53" s="4763"/>
      <c r="EE53" s="4763"/>
      <c r="EF53" s="4763"/>
      <c r="EG53" s="4763"/>
      <c r="EH53" s="4763"/>
      <c r="EI53" s="4763"/>
      <c r="EJ53" s="4763"/>
      <c r="EK53" s="4763"/>
      <c r="EL53" s="4763"/>
      <c r="EM53" s="4763"/>
      <c r="EN53" s="4763"/>
      <c r="EO53" s="4763"/>
      <c r="EP53" s="4763"/>
      <c r="EQ53" s="4763"/>
      <c r="ER53" s="4763"/>
      <c r="ES53" s="4763"/>
      <c r="ET53" s="4763"/>
      <c r="EU53" s="4763"/>
      <c r="EV53" s="4763"/>
      <c r="EW53" s="4763"/>
      <c r="EX53" s="4763"/>
      <c r="EY53" s="4763"/>
      <c r="EZ53" s="4763"/>
      <c r="FA53" s="4763"/>
      <c r="FB53" s="4763"/>
      <c r="FC53" s="4763"/>
      <c r="FD53" s="4763"/>
      <c r="FE53" s="4763"/>
      <c r="FF53" s="4763"/>
      <c r="FG53" s="4763"/>
      <c r="FH53" s="4763"/>
      <c r="FI53" s="4763"/>
      <c r="FJ53" s="4763"/>
      <c r="FK53" s="4763"/>
      <c r="FL53" s="4763"/>
      <c r="FM53" s="4763"/>
      <c r="FN53" s="4763"/>
      <c r="FO53" s="4763"/>
      <c r="FP53" s="4763"/>
      <c r="FQ53" s="4763"/>
      <c r="FR53" s="4763"/>
      <c r="FS53" s="4763"/>
      <c r="FT53" s="4763"/>
      <c r="FU53" s="4763"/>
      <c r="FV53" s="4763"/>
      <c r="FW53" s="4763"/>
      <c r="FX53" s="4763"/>
      <c r="FY53" s="4763"/>
      <c r="FZ53" s="4763"/>
      <c r="GA53" s="4763"/>
      <c r="GB53" s="4763"/>
      <c r="GC53" s="4763"/>
      <c r="GD53" s="4763"/>
      <c r="GE53" s="4763"/>
    </row>
    <row r="54" spans="3:187" ht="13.5" customHeight="1">
      <c r="C54" s="4955"/>
      <c r="D54" s="4768" t="s">
        <v>1093</v>
      </c>
      <c r="E54" s="4773"/>
      <c r="F54" s="4763"/>
      <c r="G54" s="4763"/>
      <c r="H54" s="4842"/>
      <c r="I54" s="4842"/>
      <c r="J54" s="4842"/>
      <c r="K54" s="4842"/>
      <c r="L54" s="4842"/>
      <c r="M54" s="4842"/>
      <c r="N54" s="4842"/>
      <c r="O54" s="4842"/>
      <c r="P54" s="4763">
        <f t="shared" ref="P54:BJ54" si="64">IF(P47=$D$6,P56-O56,-P52+P53)</f>
        <v>0.65830775933231656</v>
      </c>
      <c r="Q54" s="4763">
        <f t="shared" si="64"/>
        <v>0.66430440158583548</v>
      </c>
      <c r="R54" s="4763">
        <f t="shared" si="64"/>
        <v>0.66805398025776186</v>
      </c>
      <c r="S54" s="4763">
        <f t="shared" si="64"/>
        <v>0.6484589554414486</v>
      </c>
      <c r="T54" s="4763">
        <f t="shared" si="64"/>
        <v>0.58573940602674868</v>
      </c>
      <c r="U54" s="4763">
        <f t="shared" si="64"/>
        <v>0.58913809922135596</v>
      </c>
      <c r="V54" s="4763">
        <f t="shared" si="64"/>
        <v>0.59109322811545617</v>
      </c>
      <c r="W54" s="4763">
        <f t="shared" si="64"/>
        <v>0.57223204794667426</v>
      </c>
      <c r="X54" s="4763">
        <f t="shared" si="64"/>
        <v>0.51658040613127043</v>
      </c>
      <c r="Y54" s="4763">
        <f t="shared" si="64"/>
        <v>0.51326435427080552</v>
      </c>
      <c r="Z54" s="4763">
        <f t="shared" si="64"/>
        <v>0.50817397387590757</v>
      </c>
      <c r="AA54" s="4763">
        <f t="shared" si="64"/>
        <v>0.48527394831861992</v>
      </c>
      <c r="AB54" s="4763">
        <f t="shared" si="64"/>
        <v>0.44661243114478189</v>
      </c>
      <c r="AC54" s="4763">
        <f t="shared" si="64"/>
        <v>0.42571039757793538</v>
      </c>
      <c r="AD54" s="4763">
        <f t="shared" si="64"/>
        <v>0.41611742343789759</v>
      </c>
      <c r="AE54" s="4763">
        <f t="shared" si="64"/>
        <v>0.38813676961530708</v>
      </c>
      <c r="AF54" s="4763">
        <f t="shared" si="64"/>
        <v>0.33705429053462177</v>
      </c>
      <c r="AG54" s="4763">
        <f t="shared" si="64"/>
        <v>0.31095689396788095</v>
      </c>
      <c r="AH54" s="4763">
        <f t="shared" si="64"/>
        <v>0.28170272417273318</v>
      </c>
      <c r="AI54" s="4763">
        <f t="shared" si="64"/>
        <v>0.24123696547373857</v>
      </c>
      <c r="AJ54" s="4763">
        <f t="shared" si="64"/>
        <v>0.1870012616053312</v>
      </c>
      <c r="AK54" s="4763">
        <f t="shared" si="64"/>
        <v>0.16869170073445344</v>
      </c>
      <c r="AL54" s="4763">
        <f t="shared" si="64"/>
        <v>0.1437149967150024</v>
      </c>
      <c r="AM54" s="4763">
        <f t="shared" si="64"/>
        <v>0.11208756812249185</v>
      </c>
      <c r="AN54" s="4763">
        <f t="shared" si="64"/>
        <v>7.9788321039617749E-2</v>
      </c>
      <c r="AO54" s="4763">
        <f t="shared" si="64"/>
        <v>7.5773593462667876E-2</v>
      </c>
      <c r="AP54" s="4763">
        <f t="shared" si="64"/>
        <v>7.1196746994211135E-2</v>
      </c>
      <c r="AQ54" s="4763">
        <f t="shared" si="64"/>
        <v>6.416527325946067E-2</v>
      </c>
      <c r="AR54" s="4763">
        <f t="shared" si="64"/>
        <v>5.5275239768921139E-2</v>
      </c>
      <c r="AS54" s="4763">
        <f t="shared" si="64"/>
        <v>4.7990597627213222E-2</v>
      </c>
      <c r="AT54" s="4763">
        <f t="shared" si="64"/>
        <v>4.167469644202991E-2</v>
      </c>
      <c r="AU54" s="4763">
        <f t="shared" si="64"/>
        <v>3.3750281780988808E-2</v>
      </c>
      <c r="AV54" s="4763">
        <f t="shared" si="64"/>
        <v>2.4149524612360737E-2</v>
      </c>
      <c r="AW54" s="4763">
        <f t="shared" si="64"/>
        <v>1.6651997345162546E-2</v>
      </c>
      <c r="AX54" s="4763">
        <f t="shared" si="64"/>
        <v>2.4283988828433745E-2</v>
      </c>
      <c r="AY54" s="4763">
        <f t="shared" si="64"/>
        <v>0</v>
      </c>
      <c r="AZ54" s="4763">
        <f t="shared" si="64"/>
        <v>0</v>
      </c>
      <c r="BA54" s="4763">
        <f t="shared" si="64"/>
        <v>0</v>
      </c>
      <c r="BB54" s="4763">
        <f t="shared" si="64"/>
        <v>0</v>
      </c>
      <c r="BC54" s="4763">
        <f t="shared" si="64"/>
        <v>0</v>
      </c>
      <c r="BD54" s="4763">
        <f t="shared" si="64"/>
        <v>0</v>
      </c>
      <c r="BE54" s="4763">
        <f t="shared" si="64"/>
        <v>0</v>
      </c>
      <c r="BF54" s="4763">
        <f t="shared" si="64"/>
        <v>0</v>
      </c>
      <c r="BG54" s="4763">
        <f t="shared" si="64"/>
        <v>0</v>
      </c>
      <c r="BH54" s="4763">
        <f t="shared" si="64"/>
        <v>0</v>
      </c>
      <c r="BI54" s="4763">
        <f t="shared" si="64"/>
        <v>0</v>
      </c>
      <c r="BJ54" s="4763">
        <f t="shared" si="64"/>
        <v>0</v>
      </c>
      <c r="BK54" s="4763"/>
      <c r="BL54" s="4763"/>
      <c r="BM54" s="4763"/>
      <c r="BN54" s="4763"/>
      <c r="BO54" s="4763"/>
      <c r="BP54" s="4763"/>
      <c r="BQ54" s="4763"/>
      <c r="BR54" s="4763"/>
      <c r="BS54" s="4763"/>
      <c r="BT54" s="4763"/>
      <c r="BU54" s="4763"/>
      <c r="BV54" s="4763"/>
      <c r="BW54" s="4763"/>
      <c r="BX54" s="4763"/>
      <c r="BY54" s="4763"/>
      <c r="BZ54" s="4763"/>
      <c r="CA54" s="4763"/>
      <c r="CB54" s="4763"/>
      <c r="CC54" s="4763"/>
      <c r="CD54" s="4763"/>
      <c r="CE54" s="4763"/>
      <c r="CF54" s="4763"/>
      <c r="CG54" s="4763"/>
      <c r="CH54" s="4763"/>
      <c r="CI54" s="4763"/>
      <c r="CJ54" s="4763"/>
      <c r="CK54" s="4763"/>
      <c r="CL54" s="4763"/>
      <c r="CM54" s="4763"/>
      <c r="CN54" s="4763"/>
      <c r="CO54" s="4763"/>
      <c r="CP54" s="4763"/>
      <c r="CQ54" s="4763"/>
      <c r="CR54" s="4763"/>
      <c r="CS54" s="4763"/>
      <c r="CT54" s="4763"/>
      <c r="CU54" s="4763"/>
      <c r="CV54" s="4763"/>
      <c r="CW54" s="4763"/>
      <c r="CX54" s="4763"/>
      <c r="CY54" s="4763"/>
      <c r="CZ54" s="4763"/>
      <c r="DA54" s="4763"/>
      <c r="DB54" s="4763"/>
      <c r="DC54" s="4763"/>
      <c r="DD54" s="4763"/>
      <c r="DE54" s="4763"/>
      <c r="DF54" s="4763"/>
      <c r="DG54" s="4763"/>
      <c r="DH54" s="4763"/>
      <c r="DI54" s="4763"/>
      <c r="DJ54" s="4763"/>
      <c r="DK54" s="4763"/>
      <c r="DL54" s="4763"/>
      <c r="DM54" s="4763"/>
      <c r="DN54" s="4763"/>
      <c r="DO54" s="4763"/>
      <c r="DP54" s="4763"/>
      <c r="DQ54" s="4763"/>
      <c r="DR54" s="4763"/>
      <c r="DS54" s="4763"/>
      <c r="DT54" s="4763"/>
      <c r="DU54" s="4763"/>
      <c r="DV54" s="4763"/>
      <c r="DW54" s="4763"/>
      <c r="DX54" s="4763"/>
      <c r="DY54" s="4763"/>
      <c r="DZ54" s="4763"/>
      <c r="EA54" s="4763"/>
      <c r="EB54" s="4763"/>
      <c r="EC54" s="4763"/>
      <c r="ED54" s="4763"/>
      <c r="EE54" s="4763"/>
      <c r="EF54" s="4763"/>
      <c r="EG54" s="4763"/>
      <c r="EH54" s="4763"/>
      <c r="EI54" s="4763"/>
      <c r="EJ54" s="4763"/>
      <c r="EK54" s="4763"/>
      <c r="EL54" s="4763"/>
      <c r="EM54" s="4763"/>
      <c r="EN54" s="4763"/>
      <c r="EO54" s="4763"/>
      <c r="EP54" s="4763"/>
      <c r="EQ54" s="4763"/>
      <c r="ER54" s="4763"/>
      <c r="ES54" s="4763"/>
      <c r="ET54" s="4763"/>
      <c r="EU54" s="4763"/>
      <c r="EV54" s="4763"/>
      <c r="EW54" s="4763"/>
      <c r="EX54" s="4763"/>
      <c r="EY54" s="4763"/>
      <c r="EZ54" s="4763"/>
      <c r="FA54" s="4763"/>
      <c r="FB54" s="4763"/>
      <c r="FC54" s="4763"/>
      <c r="FD54" s="4763"/>
      <c r="FE54" s="4763"/>
      <c r="FF54" s="4763"/>
      <c r="FG54" s="4763"/>
      <c r="FH54" s="4763"/>
      <c r="FI54" s="4763"/>
      <c r="FJ54" s="4763"/>
      <c r="FK54" s="4763"/>
      <c r="FL54" s="4763"/>
      <c r="FM54" s="4763"/>
      <c r="FN54" s="4763"/>
      <c r="FO54" s="4763"/>
      <c r="FP54" s="4763"/>
      <c r="FQ54" s="4763"/>
      <c r="FR54" s="4763"/>
      <c r="FS54" s="4763"/>
      <c r="FT54" s="4763"/>
      <c r="FU54" s="4763"/>
      <c r="FV54" s="4763"/>
      <c r="FW54" s="4763"/>
      <c r="FX54" s="4763"/>
      <c r="FY54" s="4763"/>
      <c r="FZ54" s="4763"/>
      <c r="GA54" s="4763"/>
      <c r="GB54" s="4763"/>
      <c r="GC54" s="4763"/>
      <c r="GD54" s="4763"/>
      <c r="GE54" s="4763"/>
    </row>
    <row r="55" spans="3:187" ht="13.5" customHeight="1">
      <c r="C55" s="4955"/>
      <c r="D55" s="4768" t="s">
        <v>1094</v>
      </c>
      <c r="E55" s="4773"/>
      <c r="F55" s="4763"/>
      <c r="G55" s="4763"/>
      <c r="H55" s="4842"/>
      <c r="I55" s="4842"/>
      <c r="J55" s="4842"/>
      <c r="K55" s="4842"/>
      <c r="L55" s="4842"/>
      <c r="M55" s="4842"/>
      <c r="N55" s="4842"/>
      <c r="O55" s="4843">
        <f>'장기B-2현할차'!J51/단위</f>
        <v>73.880655755212558</v>
      </c>
      <c r="P55" s="4763">
        <f t="shared" ref="P55:BJ55" si="65">IF(P47&gt;=$D$6,0,O55-P50+P54)</f>
        <v>71.351463514544875</v>
      </c>
      <c r="Q55" s="4763">
        <f t="shared" si="65"/>
        <v>68.765767916130713</v>
      </c>
      <c r="R55" s="4763">
        <f t="shared" si="65"/>
        <v>66.18382189638848</v>
      </c>
      <c r="S55" s="4763">
        <f t="shared" si="65"/>
        <v>63.519780851829928</v>
      </c>
      <c r="T55" s="4763">
        <f t="shared" si="65"/>
        <v>61.168020257856675</v>
      </c>
      <c r="U55" s="4763">
        <f t="shared" si="65"/>
        <v>58.819658357078033</v>
      </c>
      <c r="V55" s="4763">
        <f t="shared" si="65"/>
        <v>56.410751585193488</v>
      </c>
      <c r="W55" s="4763">
        <f t="shared" si="65"/>
        <v>53.920483633140165</v>
      </c>
      <c r="X55" s="4763">
        <f t="shared" si="65"/>
        <v>51.374564039271434</v>
      </c>
      <c r="Y55" s="4763">
        <f t="shared" si="65"/>
        <v>48.825328393542236</v>
      </c>
      <c r="Z55" s="4763">
        <f t="shared" si="65"/>
        <v>46.208502367418141</v>
      </c>
      <c r="AA55" s="4763">
        <f t="shared" si="65"/>
        <v>43.506276315736763</v>
      </c>
      <c r="AB55" s="4763">
        <f t="shared" si="65"/>
        <v>41.077888746881541</v>
      </c>
      <c r="AC55" s="4763">
        <f t="shared" si="65"/>
        <v>38.566099144459479</v>
      </c>
      <c r="AD55" s="4763">
        <f t="shared" si="65"/>
        <v>35.669716567897375</v>
      </c>
      <c r="AE55" s="4763">
        <f t="shared" si="65"/>
        <v>32.682853337512682</v>
      </c>
      <c r="AF55" s="4763">
        <f t="shared" si="65"/>
        <v>29.082407628047303</v>
      </c>
      <c r="AG55" s="4763">
        <f t="shared" si="65"/>
        <v>25.455864522015183</v>
      </c>
      <c r="AH55" s="4763">
        <f t="shared" si="65"/>
        <v>21.737567246187915</v>
      </c>
      <c r="AI55" s="4763">
        <f t="shared" si="65"/>
        <v>17.916304211661654</v>
      </c>
      <c r="AJ55" s="4763">
        <f t="shared" si="65"/>
        <v>15.603305473266985</v>
      </c>
      <c r="AK55" s="4763">
        <f t="shared" si="65"/>
        <v>12.896997174001438</v>
      </c>
      <c r="AL55" s="4763">
        <f t="shared" si="65"/>
        <v>10.103212170716441</v>
      </c>
      <c r="AM55" s="4763">
        <f t="shared" si="65"/>
        <v>7.7152997388389331</v>
      </c>
      <c r="AN55" s="4763">
        <f t="shared" si="65"/>
        <v>7.0450880598785508</v>
      </c>
      <c r="AO55" s="4763">
        <f t="shared" si="65"/>
        <v>6.370861653341219</v>
      </c>
      <c r="AP55" s="4763">
        <f t="shared" si="65"/>
        <v>5.69205840033543</v>
      </c>
      <c r="AQ55" s="4763">
        <f t="shared" si="65"/>
        <v>5.0062236735948904</v>
      </c>
      <c r="AR55" s="4763">
        <f t="shared" si="65"/>
        <v>4.3114989133638115</v>
      </c>
      <c r="AS55" s="4763">
        <f t="shared" si="65"/>
        <v>3.6094895109910246</v>
      </c>
      <c r="AT55" s="4763">
        <f t="shared" si="65"/>
        <v>2.9011642074330544</v>
      </c>
      <c r="AU55" s="4763">
        <f t="shared" si="65"/>
        <v>2.1849144892140431</v>
      </c>
      <c r="AV55" s="4763">
        <f t="shared" si="65"/>
        <v>1.4590640138264037</v>
      </c>
      <c r="AW55" s="4763">
        <f t="shared" si="65"/>
        <v>0.72571601117156626</v>
      </c>
      <c r="AX55" s="4763">
        <f t="shared" si="65"/>
        <v>0</v>
      </c>
      <c r="AY55" s="4763">
        <f t="shared" si="65"/>
        <v>0</v>
      </c>
      <c r="AZ55" s="4763">
        <f t="shared" si="65"/>
        <v>0</v>
      </c>
      <c r="BA55" s="4763">
        <f t="shared" si="65"/>
        <v>0</v>
      </c>
      <c r="BB55" s="4763">
        <f t="shared" si="65"/>
        <v>0</v>
      </c>
      <c r="BC55" s="4763">
        <f t="shared" si="65"/>
        <v>0</v>
      </c>
      <c r="BD55" s="4763">
        <f t="shared" si="65"/>
        <v>0</v>
      </c>
      <c r="BE55" s="4763">
        <f t="shared" si="65"/>
        <v>0</v>
      </c>
      <c r="BF55" s="4763">
        <f t="shared" si="65"/>
        <v>0</v>
      </c>
      <c r="BG55" s="4763">
        <f t="shared" si="65"/>
        <v>0</v>
      </c>
      <c r="BH55" s="4763">
        <f t="shared" si="65"/>
        <v>0</v>
      </c>
      <c r="BI55" s="4763">
        <f t="shared" si="65"/>
        <v>0</v>
      </c>
      <c r="BJ55" s="4763">
        <f t="shared" si="65"/>
        <v>0</v>
      </c>
      <c r="BK55" s="4763"/>
      <c r="BL55" s="4763"/>
      <c r="BM55" s="4763"/>
      <c r="BN55" s="4763"/>
      <c r="BO55" s="4763"/>
      <c r="BP55" s="4763"/>
      <c r="BQ55" s="4763"/>
      <c r="BR55" s="4763"/>
      <c r="BS55" s="4763"/>
      <c r="BT55" s="4763"/>
      <c r="BU55" s="4763"/>
      <c r="BV55" s="4763"/>
      <c r="BW55" s="4763"/>
      <c r="BX55" s="4763"/>
      <c r="BY55" s="4763"/>
      <c r="BZ55" s="4763"/>
      <c r="CA55" s="4763"/>
      <c r="CB55" s="4763"/>
      <c r="CC55" s="4763"/>
      <c r="CD55" s="4763"/>
      <c r="CE55" s="4763"/>
      <c r="CF55" s="4763"/>
      <c r="CG55" s="4763"/>
      <c r="CH55" s="4763"/>
      <c r="CI55" s="4763"/>
      <c r="CJ55" s="4763"/>
      <c r="CK55" s="4763"/>
      <c r="CL55" s="4763"/>
      <c r="CM55" s="4763"/>
      <c r="CN55" s="4763"/>
      <c r="CO55" s="4763"/>
      <c r="CP55" s="4763"/>
      <c r="CQ55" s="4763"/>
      <c r="CR55" s="4763"/>
      <c r="CS55" s="4763"/>
      <c r="CT55" s="4763"/>
      <c r="CU55" s="4763"/>
      <c r="CV55" s="4763"/>
      <c r="CW55" s="4763"/>
      <c r="CX55" s="4763"/>
      <c r="CY55" s="4763"/>
      <c r="CZ55" s="4763"/>
      <c r="DA55" s="4763"/>
      <c r="DB55" s="4763"/>
      <c r="DC55" s="4763"/>
      <c r="DD55" s="4763"/>
      <c r="DE55" s="4763"/>
      <c r="DF55" s="4763"/>
      <c r="DG55" s="4763"/>
      <c r="DH55" s="4763"/>
      <c r="DI55" s="4763"/>
      <c r="DJ55" s="4763"/>
      <c r="DK55" s="4763"/>
      <c r="DL55" s="4763"/>
      <c r="DM55" s="4763"/>
      <c r="DN55" s="4763"/>
      <c r="DO55" s="4763"/>
      <c r="DP55" s="4763"/>
      <c r="DQ55" s="4763"/>
      <c r="DR55" s="4763"/>
      <c r="DS55" s="4763"/>
      <c r="DT55" s="4763"/>
      <c r="DU55" s="4763"/>
      <c r="DV55" s="4763"/>
      <c r="DW55" s="4763"/>
      <c r="DX55" s="4763"/>
      <c r="DY55" s="4763"/>
      <c r="DZ55" s="4763"/>
      <c r="EA55" s="4763"/>
      <c r="EB55" s="4763"/>
      <c r="EC55" s="4763"/>
      <c r="ED55" s="4763"/>
      <c r="EE55" s="4763"/>
      <c r="EF55" s="4763"/>
      <c r="EG55" s="4763"/>
      <c r="EH55" s="4763"/>
      <c r="EI55" s="4763"/>
      <c r="EJ55" s="4763"/>
      <c r="EK55" s="4763"/>
      <c r="EL55" s="4763"/>
      <c r="EM55" s="4763"/>
      <c r="EN55" s="4763"/>
      <c r="EO55" s="4763"/>
      <c r="EP55" s="4763"/>
      <c r="EQ55" s="4763"/>
      <c r="ER55" s="4763"/>
      <c r="ES55" s="4763"/>
      <c r="ET55" s="4763"/>
      <c r="EU55" s="4763"/>
      <c r="EV55" s="4763"/>
      <c r="EW55" s="4763"/>
      <c r="EX55" s="4763"/>
      <c r="EY55" s="4763"/>
      <c r="EZ55" s="4763"/>
      <c r="FA55" s="4763"/>
      <c r="FB55" s="4763"/>
      <c r="FC55" s="4763"/>
      <c r="FD55" s="4763"/>
      <c r="FE55" s="4763"/>
      <c r="FF55" s="4763"/>
      <c r="FG55" s="4763"/>
      <c r="FH55" s="4763"/>
      <c r="FI55" s="4763"/>
      <c r="FJ55" s="4763"/>
      <c r="FK55" s="4763"/>
      <c r="FL55" s="4763"/>
      <c r="FM55" s="4763"/>
      <c r="FN55" s="4763"/>
      <c r="FO55" s="4763"/>
      <c r="FP55" s="4763"/>
      <c r="FQ55" s="4763"/>
      <c r="FR55" s="4763"/>
      <c r="FS55" s="4763"/>
      <c r="FT55" s="4763"/>
      <c r="FU55" s="4763"/>
      <c r="FV55" s="4763"/>
      <c r="FW55" s="4763"/>
      <c r="FX55" s="4763"/>
      <c r="FY55" s="4763"/>
      <c r="FZ55" s="4763"/>
      <c r="GA55" s="4763"/>
      <c r="GB55" s="4763"/>
      <c r="GC55" s="4763"/>
      <c r="GD55" s="4763"/>
      <c r="GE55" s="4763"/>
    </row>
    <row r="56" spans="3:187" ht="13.5" customHeight="1">
      <c r="C56" s="733"/>
      <c r="D56" s="4768" t="s">
        <v>1095</v>
      </c>
      <c r="E56" s="4913"/>
      <c r="F56" s="4753"/>
      <c r="G56" s="4753"/>
      <c r="H56" s="4842"/>
      <c r="I56" s="4842"/>
      <c r="J56" s="4842"/>
      <c r="K56" s="4842"/>
      <c r="L56" s="4842"/>
      <c r="M56" s="4842"/>
      <c r="N56" s="4842"/>
      <c r="O56" s="4843">
        <f>(실적!C46+실적!C56)/단위</f>
        <v>-10.99434406</v>
      </c>
      <c r="P56" s="4763">
        <f>P55-P51</f>
        <v>-10.336036485455125</v>
      </c>
      <c r="Q56" s="4763">
        <f t="shared" ref="Q56:CB56" si="66">Q55-Q51</f>
        <v>-9.6717320838692871</v>
      </c>
      <c r="R56" s="4763">
        <f t="shared" si="66"/>
        <v>-9.0036781036115201</v>
      </c>
      <c r="S56" s="4763">
        <f t="shared" si="66"/>
        <v>-8.3552191481700717</v>
      </c>
      <c r="T56" s="4763">
        <f t="shared" si="66"/>
        <v>-7.769479742143325</v>
      </c>
      <c r="U56" s="4753">
        <f t="shared" si="66"/>
        <v>-7.1803416429219666</v>
      </c>
      <c r="V56" s="4753">
        <f t="shared" si="66"/>
        <v>-6.5892484148065122</v>
      </c>
      <c r="W56" s="4753">
        <f t="shared" si="66"/>
        <v>-6.0170163668598349</v>
      </c>
      <c r="X56" s="4753">
        <f t="shared" si="66"/>
        <v>-5.5004359607285664</v>
      </c>
      <c r="Y56" s="4753">
        <f t="shared" si="66"/>
        <v>-4.987171606457764</v>
      </c>
      <c r="Z56" s="4753">
        <f t="shared" si="66"/>
        <v>-4.4789976325818586</v>
      </c>
      <c r="AA56" s="4753">
        <f t="shared" si="66"/>
        <v>-3.9937236842632373</v>
      </c>
      <c r="AB56" s="4753">
        <f t="shared" si="66"/>
        <v>-3.5471112531184588</v>
      </c>
      <c r="AC56" s="4753">
        <f t="shared" si="66"/>
        <v>-3.1214008555405215</v>
      </c>
      <c r="AD56" s="4753">
        <f t="shared" si="66"/>
        <v>-2.7052834321026253</v>
      </c>
      <c r="AE56" s="4753">
        <f t="shared" si="66"/>
        <v>-2.3171466624873176</v>
      </c>
      <c r="AF56" s="4753">
        <f t="shared" si="66"/>
        <v>-1.9800923719526971</v>
      </c>
      <c r="AG56" s="4753">
        <f t="shared" si="66"/>
        <v>-1.6691354779848169</v>
      </c>
      <c r="AH56" s="4753">
        <f t="shared" si="66"/>
        <v>-1.3874327538120852</v>
      </c>
      <c r="AI56" s="4753">
        <f t="shared" si="66"/>
        <v>-1.1461957883383462</v>
      </c>
      <c r="AJ56" s="4753">
        <f t="shared" si="66"/>
        <v>-0.95919452673301464</v>
      </c>
      <c r="AK56" s="4753">
        <f t="shared" si="66"/>
        <v>-0.79050282599856203</v>
      </c>
      <c r="AL56" s="4753">
        <f t="shared" si="66"/>
        <v>-0.64678782928355893</v>
      </c>
      <c r="AM56" s="4753">
        <f t="shared" si="66"/>
        <v>-0.53470026116106695</v>
      </c>
      <c r="AN56" s="4753">
        <f t="shared" si="66"/>
        <v>-0.4549119401214492</v>
      </c>
      <c r="AO56" s="4753">
        <f t="shared" si="66"/>
        <v>-0.37913834665878099</v>
      </c>
      <c r="AP56" s="4753">
        <f t="shared" si="66"/>
        <v>-0.30794159966457002</v>
      </c>
      <c r="AQ56" s="4753">
        <f t="shared" si="66"/>
        <v>-0.2437763264051096</v>
      </c>
      <c r="AR56" s="4753">
        <f t="shared" si="66"/>
        <v>-0.18850108663618848</v>
      </c>
      <c r="AS56" s="4753">
        <f t="shared" si="66"/>
        <v>-0.14051048900897545</v>
      </c>
      <c r="AT56" s="4753">
        <f t="shared" si="66"/>
        <v>-9.8835792566945635E-2</v>
      </c>
      <c r="AU56" s="4753">
        <f t="shared" si="66"/>
        <v>-6.5085510785956924E-2</v>
      </c>
      <c r="AV56" s="4753">
        <f t="shared" si="66"/>
        <v>-4.0935986173596284E-2</v>
      </c>
      <c r="AW56" s="4753">
        <f t="shared" si="66"/>
        <v>-2.4283988828433745E-2</v>
      </c>
      <c r="AX56" s="4753">
        <f t="shared" si="66"/>
        <v>0</v>
      </c>
      <c r="AY56" s="4753">
        <f t="shared" si="66"/>
        <v>0</v>
      </c>
      <c r="AZ56" s="4753">
        <f t="shared" si="66"/>
        <v>0</v>
      </c>
      <c r="BA56" s="4753">
        <f t="shared" si="66"/>
        <v>0</v>
      </c>
      <c r="BB56" s="4753">
        <f t="shared" si="66"/>
        <v>0</v>
      </c>
      <c r="BC56" s="4753">
        <f t="shared" si="66"/>
        <v>0</v>
      </c>
      <c r="BD56" s="4753">
        <f t="shared" si="66"/>
        <v>0</v>
      </c>
      <c r="BE56" s="4753">
        <f t="shared" si="66"/>
        <v>0</v>
      </c>
      <c r="BF56" s="4753">
        <f t="shared" si="66"/>
        <v>0</v>
      </c>
      <c r="BG56" s="4753">
        <f t="shared" si="66"/>
        <v>0</v>
      </c>
      <c r="BH56" s="4753">
        <f t="shared" si="66"/>
        <v>0</v>
      </c>
      <c r="BI56" s="4753">
        <f t="shared" si="66"/>
        <v>0</v>
      </c>
      <c r="BJ56" s="4753">
        <f t="shared" si="66"/>
        <v>0</v>
      </c>
      <c r="BK56" s="4753">
        <f t="shared" si="66"/>
        <v>0</v>
      </c>
      <c r="BL56" s="4753">
        <f t="shared" si="66"/>
        <v>0</v>
      </c>
      <c r="BM56" s="4753">
        <f t="shared" si="66"/>
        <v>0</v>
      </c>
      <c r="BN56" s="4753">
        <f t="shared" si="66"/>
        <v>0</v>
      </c>
      <c r="BO56" s="4753">
        <f t="shared" si="66"/>
        <v>0</v>
      </c>
      <c r="BP56" s="4753">
        <f t="shared" si="66"/>
        <v>0</v>
      </c>
      <c r="BQ56" s="4753">
        <f t="shared" si="66"/>
        <v>0</v>
      </c>
      <c r="BR56" s="4753">
        <f t="shared" si="66"/>
        <v>0</v>
      </c>
      <c r="BS56" s="4753">
        <f t="shared" si="66"/>
        <v>0</v>
      </c>
      <c r="BT56" s="4753">
        <f t="shared" si="66"/>
        <v>0</v>
      </c>
      <c r="BU56" s="4753">
        <f t="shared" si="66"/>
        <v>0</v>
      </c>
      <c r="BV56" s="4753">
        <f t="shared" si="66"/>
        <v>0</v>
      </c>
      <c r="BW56" s="4753">
        <f t="shared" si="66"/>
        <v>0</v>
      </c>
      <c r="BX56" s="4753">
        <f t="shared" si="66"/>
        <v>0</v>
      </c>
      <c r="BY56" s="4753">
        <f t="shared" si="66"/>
        <v>0</v>
      </c>
      <c r="BZ56" s="4753">
        <f t="shared" si="66"/>
        <v>0</v>
      </c>
      <c r="CA56" s="4753">
        <f t="shared" si="66"/>
        <v>0</v>
      </c>
      <c r="CB56" s="4753">
        <f t="shared" si="66"/>
        <v>0</v>
      </c>
      <c r="CC56" s="4753">
        <f t="shared" ref="CC56:EN56" si="67">CC55-CC51</f>
        <v>0</v>
      </c>
      <c r="CD56" s="4753">
        <f t="shared" si="67"/>
        <v>0</v>
      </c>
      <c r="CE56" s="4753">
        <f t="shared" si="67"/>
        <v>0</v>
      </c>
      <c r="CF56" s="4753">
        <f t="shared" si="67"/>
        <v>0</v>
      </c>
      <c r="CG56" s="4753">
        <f t="shared" si="67"/>
        <v>0</v>
      </c>
      <c r="CH56" s="4753">
        <f t="shared" si="67"/>
        <v>0</v>
      </c>
      <c r="CI56" s="4753">
        <f t="shared" si="67"/>
        <v>0</v>
      </c>
      <c r="CJ56" s="4753">
        <f t="shared" si="67"/>
        <v>0</v>
      </c>
      <c r="CK56" s="4753">
        <f t="shared" si="67"/>
        <v>0</v>
      </c>
      <c r="CL56" s="4753">
        <f t="shared" si="67"/>
        <v>0</v>
      </c>
      <c r="CM56" s="4753">
        <f t="shared" si="67"/>
        <v>0</v>
      </c>
      <c r="CN56" s="4753">
        <f t="shared" si="67"/>
        <v>0</v>
      </c>
      <c r="CO56" s="4753">
        <f t="shared" si="67"/>
        <v>0</v>
      </c>
      <c r="CP56" s="4753">
        <f t="shared" si="67"/>
        <v>0</v>
      </c>
      <c r="CQ56" s="4753">
        <f t="shared" si="67"/>
        <v>0</v>
      </c>
      <c r="CR56" s="4753">
        <f t="shared" si="67"/>
        <v>0</v>
      </c>
      <c r="CS56" s="4753">
        <f t="shared" si="67"/>
        <v>0</v>
      </c>
      <c r="CT56" s="4753">
        <f t="shared" si="67"/>
        <v>0</v>
      </c>
      <c r="CU56" s="4753">
        <f t="shared" si="67"/>
        <v>0</v>
      </c>
      <c r="CV56" s="4753">
        <f t="shared" si="67"/>
        <v>0</v>
      </c>
      <c r="CW56" s="4753">
        <f t="shared" si="67"/>
        <v>0</v>
      </c>
      <c r="CX56" s="4753">
        <f t="shared" si="67"/>
        <v>0</v>
      </c>
      <c r="CY56" s="4753">
        <f t="shared" si="67"/>
        <v>0</v>
      </c>
      <c r="CZ56" s="4753">
        <f t="shared" si="67"/>
        <v>0</v>
      </c>
      <c r="DA56" s="4753">
        <f t="shared" si="67"/>
        <v>0</v>
      </c>
      <c r="DB56" s="4753">
        <f t="shared" si="67"/>
        <v>0</v>
      </c>
      <c r="DC56" s="4753">
        <f t="shared" si="67"/>
        <v>0</v>
      </c>
      <c r="DD56" s="4753">
        <f t="shared" si="67"/>
        <v>0</v>
      </c>
      <c r="DE56" s="4753">
        <f t="shared" si="67"/>
        <v>0</v>
      </c>
      <c r="DF56" s="4753">
        <f t="shared" si="67"/>
        <v>0</v>
      </c>
      <c r="DG56" s="4753">
        <f t="shared" si="67"/>
        <v>0</v>
      </c>
      <c r="DH56" s="4753">
        <f t="shared" si="67"/>
        <v>0</v>
      </c>
      <c r="DI56" s="4753">
        <f t="shared" si="67"/>
        <v>0</v>
      </c>
      <c r="DJ56" s="4753">
        <f t="shared" si="67"/>
        <v>0</v>
      </c>
      <c r="DK56" s="4753">
        <f t="shared" si="67"/>
        <v>0</v>
      </c>
      <c r="DL56" s="4753">
        <f t="shared" si="67"/>
        <v>0</v>
      </c>
      <c r="DM56" s="4753">
        <f t="shared" si="67"/>
        <v>0</v>
      </c>
      <c r="DN56" s="4753">
        <f t="shared" si="67"/>
        <v>0</v>
      </c>
      <c r="DO56" s="4753">
        <f t="shared" si="67"/>
        <v>0</v>
      </c>
      <c r="DP56" s="4753">
        <f t="shared" si="67"/>
        <v>0</v>
      </c>
      <c r="DQ56" s="4753">
        <f t="shared" si="67"/>
        <v>0</v>
      </c>
      <c r="DR56" s="4753">
        <f t="shared" si="67"/>
        <v>0</v>
      </c>
      <c r="DS56" s="4753">
        <f t="shared" si="67"/>
        <v>0</v>
      </c>
      <c r="DT56" s="4753">
        <f t="shared" si="67"/>
        <v>0</v>
      </c>
      <c r="DU56" s="4753">
        <f t="shared" si="67"/>
        <v>0</v>
      </c>
      <c r="DV56" s="4753">
        <f t="shared" si="67"/>
        <v>0</v>
      </c>
      <c r="DW56" s="4753">
        <f t="shared" si="67"/>
        <v>0</v>
      </c>
      <c r="DX56" s="4753">
        <f t="shared" si="67"/>
        <v>0</v>
      </c>
      <c r="DY56" s="4753">
        <f t="shared" si="67"/>
        <v>0</v>
      </c>
      <c r="DZ56" s="4753">
        <f t="shared" si="67"/>
        <v>0</v>
      </c>
      <c r="EA56" s="4753">
        <f t="shared" si="67"/>
        <v>0</v>
      </c>
      <c r="EB56" s="4753">
        <f t="shared" si="67"/>
        <v>0</v>
      </c>
      <c r="EC56" s="4753">
        <f t="shared" si="67"/>
        <v>0</v>
      </c>
      <c r="ED56" s="4753">
        <f t="shared" si="67"/>
        <v>0</v>
      </c>
      <c r="EE56" s="4753">
        <f t="shared" si="67"/>
        <v>0</v>
      </c>
      <c r="EF56" s="4753">
        <f t="shared" si="67"/>
        <v>0</v>
      </c>
      <c r="EG56" s="4753">
        <f t="shared" si="67"/>
        <v>0</v>
      </c>
      <c r="EH56" s="4753">
        <f t="shared" si="67"/>
        <v>0</v>
      </c>
      <c r="EI56" s="4753">
        <f t="shared" si="67"/>
        <v>0</v>
      </c>
      <c r="EJ56" s="4753">
        <f t="shared" si="67"/>
        <v>0</v>
      </c>
      <c r="EK56" s="4753">
        <f t="shared" si="67"/>
        <v>0</v>
      </c>
      <c r="EL56" s="4753">
        <f t="shared" si="67"/>
        <v>0</v>
      </c>
      <c r="EM56" s="4753">
        <f t="shared" si="67"/>
        <v>0</v>
      </c>
      <c r="EN56" s="4753">
        <f t="shared" si="67"/>
        <v>0</v>
      </c>
      <c r="EO56" s="4753">
        <f t="shared" ref="EO56:GE56" si="68">EO55-EO51</f>
        <v>0</v>
      </c>
      <c r="EP56" s="4753">
        <f t="shared" si="68"/>
        <v>0</v>
      </c>
      <c r="EQ56" s="4753">
        <f t="shared" si="68"/>
        <v>0</v>
      </c>
      <c r="ER56" s="4753">
        <f t="shared" si="68"/>
        <v>0</v>
      </c>
      <c r="ES56" s="4753">
        <f t="shared" si="68"/>
        <v>0</v>
      </c>
      <c r="ET56" s="4753">
        <f t="shared" si="68"/>
        <v>0</v>
      </c>
      <c r="EU56" s="4753">
        <f t="shared" si="68"/>
        <v>0</v>
      </c>
      <c r="EV56" s="4753">
        <f t="shared" si="68"/>
        <v>0</v>
      </c>
      <c r="EW56" s="4753">
        <f t="shared" si="68"/>
        <v>0</v>
      </c>
      <c r="EX56" s="4753">
        <f t="shared" si="68"/>
        <v>0</v>
      </c>
      <c r="EY56" s="4753">
        <f t="shared" si="68"/>
        <v>0</v>
      </c>
      <c r="EZ56" s="4753">
        <f t="shared" si="68"/>
        <v>0</v>
      </c>
      <c r="FA56" s="4753">
        <f t="shared" si="68"/>
        <v>0</v>
      </c>
      <c r="FB56" s="4753">
        <f t="shared" si="68"/>
        <v>0</v>
      </c>
      <c r="FC56" s="4753">
        <f t="shared" si="68"/>
        <v>0</v>
      </c>
      <c r="FD56" s="4753">
        <f t="shared" si="68"/>
        <v>0</v>
      </c>
      <c r="FE56" s="4753">
        <f t="shared" si="68"/>
        <v>0</v>
      </c>
      <c r="FF56" s="4753">
        <f t="shared" si="68"/>
        <v>0</v>
      </c>
      <c r="FG56" s="4753">
        <f t="shared" si="68"/>
        <v>0</v>
      </c>
      <c r="FH56" s="4753">
        <f t="shared" si="68"/>
        <v>0</v>
      </c>
      <c r="FI56" s="4753">
        <f t="shared" si="68"/>
        <v>0</v>
      </c>
      <c r="FJ56" s="4753">
        <f t="shared" si="68"/>
        <v>0</v>
      </c>
      <c r="FK56" s="4753">
        <f t="shared" si="68"/>
        <v>0</v>
      </c>
      <c r="FL56" s="4753">
        <f t="shared" si="68"/>
        <v>0</v>
      </c>
      <c r="FM56" s="4753">
        <f t="shared" si="68"/>
        <v>0</v>
      </c>
      <c r="FN56" s="4753">
        <f t="shared" si="68"/>
        <v>0</v>
      </c>
      <c r="FO56" s="4753">
        <f t="shared" si="68"/>
        <v>0</v>
      </c>
      <c r="FP56" s="4753">
        <f t="shared" si="68"/>
        <v>0</v>
      </c>
      <c r="FQ56" s="4753">
        <f t="shared" si="68"/>
        <v>0</v>
      </c>
      <c r="FR56" s="4753">
        <f t="shared" si="68"/>
        <v>0</v>
      </c>
      <c r="FS56" s="4753">
        <f t="shared" si="68"/>
        <v>0</v>
      </c>
      <c r="FT56" s="4753">
        <f t="shared" si="68"/>
        <v>0</v>
      </c>
      <c r="FU56" s="4753">
        <f t="shared" si="68"/>
        <v>0</v>
      </c>
      <c r="FV56" s="4753">
        <f t="shared" si="68"/>
        <v>0</v>
      </c>
      <c r="FW56" s="4753">
        <f t="shared" si="68"/>
        <v>0</v>
      </c>
      <c r="FX56" s="4753">
        <f t="shared" si="68"/>
        <v>0</v>
      </c>
      <c r="FY56" s="4753">
        <f t="shared" si="68"/>
        <v>0</v>
      </c>
      <c r="FZ56" s="4753">
        <f t="shared" si="68"/>
        <v>0</v>
      </c>
      <c r="GA56" s="4753">
        <f t="shared" si="68"/>
        <v>0</v>
      </c>
      <c r="GB56" s="4753">
        <f t="shared" si="68"/>
        <v>0</v>
      </c>
      <c r="GC56" s="4753">
        <f t="shared" si="68"/>
        <v>0</v>
      </c>
      <c r="GD56" s="4753">
        <f t="shared" si="68"/>
        <v>0</v>
      </c>
      <c r="GE56" s="4753">
        <f t="shared" si="68"/>
        <v>0</v>
      </c>
    </row>
    <row r="57" spans="3:187" ht="13.5" customHeight="1">
      <c r="C57" s="396"/>
      <c r="D57" s="754"/>
      <c r="E57" s="755"/>
      <c r="F57" s="753"/>
      <c r="G57" s="753"/>
      <c r="H57" s="753"/>
      <c r="I57" s="753"/>
      <c r="J57" s="753"/>
      <c r="K57" s="753"/>
      <c r="L57" s="753"/>
      <c r="M57" s="753"/>
      <c r="N57" s="753"/>
      <c r="O57" s="753"/>
      <c r="P57" s="765"/>
      <c r="Q57" s="753"/>
      <c r="R57" s="753"/>
      <c r="S57" s="753"/>
      <c r="T57" s="753"/>
      <c r="U57" s="753"/>
      <c r="V57" s="753"/>
      <c r="W57" s="753"/>
      <c r="X57" s="753"/>
      <c r="Y57" s="753"/>
      <c r="Z57" s="753"/>
      <c r="AA57" s="753"/>
      <c r="AB57" s="753"/>
      <c r="AC57" s="753"/>
      <c r="AD57" s="753"/>
      <c r="AE57" s="753"/>
      <c r="AF57" s="753"/>
      <c r="AG57" s="753"/>
      <c r="AH57" s="753"/>
      <c r="AI57" s="753"/>
      <c r="AJ57" s="753"/>
      <c r="AK57" s="753"/>
      <c r="AL57" s="753"/>
      <c r="AM57" s="753"/>
      <c r="AN57" s="753"/>
      <c r="AO57" s="753"/>
      <c r="AP57" s="753"/>
      <c r="AQ57" s="753"/>
      <c r="AR57" s="753"/>
      <c r="AS57" s="753"/>
      <c r="AT57" s="753"/>
      <c r="AU57" s="753"/>
      <c r="AV57" s="753"/>
      <c r="AW57" s="753"/>
      <c r="AX57" s="753"/>
      <c r="AY57" s="753"/>
      <c r="AZ57" s="753"/>
      <c r="BA57" s="753"/>
      <c r="BB57" s="753"/>
      <c r="BC57" s="753"/>
      <c r="BD57" s="753"/>
      <c r="BE57" s="753"/>
      <c r="BF57" s="753"/>
      <c r="BG57" s="753"/>
      <c r="BH57" s="753"/>
      <c r="BI57" s="753"/>
      <c r="BJ57" s="753"/>
      <c r="BK57" s="753"/>
      <c r="BL57" s="753"/>
      <c r="BM57" s="753"/>
      <c r="BN57" s="753"/>
      <c r="BO57" s="753"/>
      <c r="BP57" s="753"/>
      <c r="BQ57" s="753"/>
      <c r="BR57" s="753"/>
      <c r="BS57" s="753"/>
      <c r="BT57" s="753"/>
      <c r="BU57" s="753"/>
      <c r="BV57" s="753"/>
      <c r="BW57" s="753"/>
      <c r="BX57" s="753"/>
      <c r="BY57" s="753"/>
      <c r="BZ57" s="753"/>
      <c r="CA57" s="753"/>
      <c r="CB57" s="753"/>
      <c r="CC57" s="753"/>
      <c r="CD57" s="753"/>
      <c r="CE57" s="753"/>
      <c r="CF57" s="753"/>
      <c r="CG57" s="753"/>
      <c r="CH57" s="753"/>
      <c r="CI57" s="753"/>
      <c r="CJ57" s="753"/>
      <c r="CK57" s="753"/>
      <c r="CL57" s="753"/>
      <c r="CM57" s="753"/>
      <c r="CN57" s="753"/>
      <c r="CO57" s="753"/>
      <c r="CP57" s="753"/>
      <c r="CQ57" s="753"/>
      <c r="CR57" s="753"/>
      <c r="CS57" s="753"/>
      <c r="CT57" s="753"/>
      <c r="CU57" s="753"/>
      <c r="CV57" s="753"/>
      <c r="CW57" s="753"/>
      <c r="CX57" s="753"/>
      <c r="CY57" s="753"/>
      <c r="CZ57" s="753"/>
      <c r="DA57" s="753"/>
      <c r="DB57" s="753"/>
      <c r="DC57" s="753"/>
      <c r="DD57" s="753"/>
      <c r="DE57" s="753"/>
      <c r="DF57" s="753"/>
      <c r="DG57" s="753"/>
      <c r="DH57" s="753"/>
      <c r="DI57" s="753"/>
      <c r="DJ57" s="753"/>
      <c r="DK57" s="753"/>
      <c r="DL57" s="753"/>
      <c r="DM57" s="753"/>
      <c r="DN57" s="753"/>
      <c r="DO57" s="753"/>
      <c r="DP57" s="753"/>
      <c r="DQ57" s="753"/>
      <c r="DR57" s="753"/>
      <c r="DS57" s="753"/>
      <c r="DT57" s="753"/>
      <c r="DU57" s="753"/>
      <c r="DV57" s="753"/>
      <c r="DW57" s="753"/>
      <c r="DX57" s="753"/>
      <c r="DY57" s="753"/>
      <c r="DZ57" s="753"/>
      <c r="EA57" s="753"/>
      <c r="EB57" s="753"/>
      <c r="EC57" s="753"/>
      <c r="ED57" s="753"/>
      <c r="EE57" s="753"/>
      <c r="EF57" s="753"/>
      <c r="EG57" s="753"/>
      <c r="EH57" s="753"/>
      <c r="EI57" s="753"/>
      <c r="EJ57" s="753"/>
      <c r="EK57" s="753"/>
      <c r="EL57" s="753"/>
      <c r="EM57" s="753"/>
      <c r="EN57" s="753"/>
      <c r="EO57" s="753"/>
      <c r="EP57" s="753"/>
      <c r="EQ57" s="753"/>
      <c r="ER57" s="753"/>
      <c r="ES57" s="753"/>
      <c r="ET57" s="753"/>
      <c r="EU57" s="753"/>
      <c r="EV57" s="753"/>
      <c r="EW57" s="753"/>
      <c r="EX57" s="753"/>
      <c r="EY57" s="753"/>
      <c r="EZ57" s="753"/>
      <c r="FA57" s="753"/>
      <c r="FB57" s="753"/>
      <c r="FC57" s="753"/>
      <c r="FD57" s="753"/>
      <c r="FE57" s="753"/>
      <c r="FF57" s="753"/>
      <c r="FG57" s="753"/>
      <c r="FH57" s="753"/>
      <c r="FI57" s="753"/>
      <c r="FJ57" s="753"/>
      <c r="FK57" s="753"/>
      <c r="FL57" s="753"/>
      <c r="FM57" s="753"/>
      <c r="FN57" s="753"/>
      <c r="FO57" s="753"/>
      <c r="FP57" s="753"/>
      <c r="FQ57" s="753"/>
      <c r="FR57" s="753"/>
      <c r="FS57" s="753"/>
      <c r="FT57" s="753"/>
      <c r="FU57" s="753"/>
      <c r="FV57" s="753"/>
      <c r="FW57" s="753"/>
      <c r="FX57" s="753"/>
      <c r="FY57" s="753"/>
      <c r="FZ57" s="753"/>
      <c r="GA57" s="753"/>
      <c r="GB57" s="753"/>
      <c r="GC57" s="753"/>
      <c r="GD57" s="753"/>
      <c r="GE57" s="753"/>
    </row>
    <row r="58" spans="3:187" ht="13.5" customHeight="1">
      <c r="C58" s="396"/>
      <c r="D58" s="754"/>
      <c r="E58" s="755"/>
      <c r="F58" s="753"/>
      <c r="G58" s="753"/>
      <c r="H58" s="753"/>
      <c r="I58" s="753"/>
      <c r="J58" s="753"/>
      <c r="K58" s="753"/>
      <c r="L58" s="753"/>
      <c r="M58" s="753"/>
      <c r="N58" s="753"/>
      <c r="O58" s="753"/>
      <c r="P58" s="753"/>
      <c r="Q58" s="753"/>
      <c r="R58" s="753"/>
      <c r="S58" s="753"/>
      <c r="T58" s="753"/>
      <c r="U58" s="765"/>
      <c r="V58" s="753"/>
      <c r="W58" s="753"/>
      <c r="X58" s="753"/>
      <c r="Y58" s="753"/>
      <c r="Z58" s="753"/>
      <c r="AA58" s="753"/>
      <c r="AB58" s="753"/>
      <c r="AC58" s="753"/>
      <c r="AD58" s="753"/>
      <c r="AE58" s="753"/>
      <c r="AF58" s="753"/>
      <c r="AG58" s="753"/>
      <c r="AH58" s="753"/>
      <c r="AI58" s="753"/>
      <c r="AJ58" s="753"/>
      <c r="AK58" s="753"/>
      <c r="AL58" s="753"/>
      <c r="AM58" s="753"/>
      <c r="AN58" s="753"/>
      <c r="AO58" s="753"/>
      <c r="AP58" s="753"/>
      <c r="AQ58" s="753"/>
      <c r="AR58" s="753"/>
      <c r="AS58" s="753"/>
      <c r="AT58" s="753"/>
      <c r="AU58" s="753"/>
      <c r="AV58" s="753"/>
      <c r="AW58" s="753"/>
      <c r="AX58" s="753"/>
      <c r="AY58" s="753"/>
      <c r="AZ58" s="753"/>
      <c r="BA58" s="753"/>
      <c r="BB58" s="753"/>
      <c r="BC58" s="753"/>
      <c r="BD58" s="753"/>
      <c r="BE58" s="753"/>
      <c r="BF58" s="753"/>
      <c r="BG58" s="753"/>
      <c r="BH58" s="753"/>
      <c r="BI58" s="753"/>
      <c r="BJ58" s="753"/>
      <c r="BK58" s="753"/>
      <c r="BL58" s="753"/>
      <c r="BM58" s="753"/>
      <c r="BN58" s="753"/>
      <c r="BO58" s="753"/>
      <c r="BP58" s="753"/>
      <c r="BQ58" s="753"/>
      <c r="BR58" s="753"/>
      <c r="BS58" s="753"/>
      <c r="BT58" s="753"/>
      <c r="BU58" s="753"/>
      <c r="BV58" s="753"/>
      <c r="BW58" s="753"/>
      <c r="BX58" s="753"/>
      <c r="BY58" s="753"/>
      <c r="BZ58" s="753"/>
      <c r="CA58" s="753"/>
      <c r="CB58" s="753"/>
      <c r="CC58" s="753"/>
      <c r="CD58" s="753"/>
      <c r="CE58" s="753"/>
      <c r="CF58" s="753"/>
      <c r="CG58" s="753"/>
      <c r="CH58" s="753"/>
      <c r="CI58" s="753"/>
      <c r="CJ58" s="753"/>
      <c r="CK58" s="753"/>
      <c r="CL58" s="753"/>
      <c r="CM58" s="753"/>
      <c r="CN58" s="753"/>
      <c r="CO58" s="753"/>
      <c r="CP58" s="753"/>
      <c r="CQ58" s="753"/>
      <c r="CR58" s="753"/>
      <c r="CS58" s="753"/>
      <c r="CT58" s="753"/>
      <c r="CU58" s="753"/>
      <c r="CV58" s="753"/>
      <c r="CW58" s="753"/>
      <c r="CX58" s="753"/>
      <c r="CY58" s="753"/>
      <c r="CZ58" s="753"/>
      <c r="DA58" s="753"/>
      <c r="DB58" s="753"/>
      <c r="DC58" s="753"/>
      <c r="DD58" s="753"/>
      <c r="DE58" s="753"/>
      <c r="DF58" s="753"/>
      <c r="DG58" s="753"/>
      <c r="DH58" s="753"/>
      <c r="DI58" s="753"/>
      <c r="DJ58" s="753"/>
      <c r="DK58" s="753"/>
      <c r="DL58" s="753"/>
      <c r="DM58" s="753"/>
      <c r="DN58" s="753"/>
      <c r="DO58" s="753"/>
      <c r="DP58" s="753"/>
      <c r="DQ58" s="753"/>
      <c r="DR58" s="753"/>
      <c r="DS58" s="753"/>
      <c r="DT58" s="753"/>
      <c r="DU58" s="753"/>
      <c r="DV58" s="753"/>
      <c r="DW58" s="753"/>
      <c r="DX58" s="753"/>
      <c r="DY58" s="753"/>
      <c r="DZ58" s="753"/>
      <c r="EA58" s="753"/>
      <c r="EB58" s="753"/>
      <c r="EC58" s="753"/>
      <c r="ED58" s="753"/>
      <c r="EE58" s="753"/>
      <c r="EF58" s="753"/>
      <c r="EG58" s="753"/>
      <c r="EH58" s="753"/>
      <c r="EI58" s="753"/>
      <c r="EJ58" s="753"/>
      <c r="EK58" s="753"/>
      <c r="EL58" s="753"/>
      <c r="EM58" s="753"/>
      <c r="EN58" s="753"/>
      <c r="EO58" s="753"/>
      <c r="EP58" s="753"/>
      <c r="EQ58" s="753"/>
      <c r="ER58" s="753"/>
      <c r="ES58" s="753"/>
      <c r="ET58" s="753"/>
      <c r="EU58" s="753"/>
      <c r="EV58" s="753"/>
      <c r="EW58" s="753"/>
      <c r="EX58" s="753"/>
      <c r="EY58" s="753"/>
      <c r="EZ58" s="753"/>
      <c r="FA58" s="753"/>
      <c r="FB58" s="753"/>
      <c r="FC58" s="753"/>
      <c r="FD58" s="753"/>
      <c r="FE58" s="753"/>
      <c r="FF58" s="753"/>
      <c r="FG58" s="753"/>
      <c r="FH58" s="753"/>
      <c r="FI58" s="753"/>
      <c r="FJ58" s="753"/>
      <c r="FK58" s="753"/>
      <c r="FL58" s="753"/>
      <c r="FM58" s="753"/>
      <c r="FN58" s="753"/>
      <c r="FO58" s="753"/>
      <c r="FP58" s="753"/>
      <c r="FQ58" s="753"/>
      <c r="FR58" s="753"/>
      <c r="FS58" s="753"/>
      <c r="FT58" s="753"/>
      <c r="FU58" s="753"/>
      <c r="FV58" s="753"/>
      <c r="FW58" s="753"/>
      <c r="FX58" s="753"/>
      <c r="FY58" s="753"/>
      <c r="FZ58" s="753"/>
      <c r="GA58" s="753"/>
      <c r="GB58" s="753"/>
      <c r="GC58" s="753"/>
      <c r="GD58" s="753"/>
      <c r="GE58" s="753"/>
    </row>
    <row r="59" spans="3:187" ht="13.5" customHeight="1">
      <c r="C59" s="717"/>
      <c r="D59" s="718" t="s">
        <v>5098</v>
      </c>
      <c r="E59" s="719"/>
      <c r="F59" s="719" t="s">
        <v>774</v>
      </c>
      <c r="G59" s="4752"/>
      <c r="H59" s="766">
        <f>기준년도</f>
        <v>2019</v>
      </c>
      <c r="I59" s="766">
        <f>H59+1</f>
        <v>2020</v>
      </c>
      <c r="J59" s="766">
        <f t="shared" ref="J59:AF59" si="69">I59+1</f>
        <v>2021</v>
      </c>
      <c r="K59" s="766">
        <f t="shared" si="69"/>
        <v>2022</v>
      </c>
      <c r="L59" s="766">
        <f t="shared" si="69"/>
        <v>2023</v>
      </c>
      <c r="M59" s="766">
        <f t="shared" si="69"/>
        <v>2024</v>
      </c>
      <c r="N59" s="766">
        <f t="shared" si="69"/>
        <v>2025</v>
      </c>
      <c r="O59" s="766">
        <f t="shared" si="69"/>
        <v>2026</v>
      </c>
      <c r="P59" s="766">
        <f t="shared" si="69"/>
        <v>2027</v>
      </c>
      <c r="Q59" s="766">
        <f t="shared" si="69"/>
        <v>2028</v>
      </c>
      <c r="R59" s="766">
        <f t="shared" si="69"/>
        <v>2029</v>
      </c>
      <c r="S59" s="766">
        <f t="shared" si="69"/>
        <v>2030</v>
      </c>
      <c r="T59" s="766">
        <f t="shared" si="69"/>
        <v>2031</v>
      </c>
      <c r="U59" s="766">
        <f t="shared" si="69"/>
        <v>2032</v>
      </c>
      <c r="V59" s="766">
        <f t="shared" si="69"/>
        <v>2033</v>
      </c>
      <c r="W59" s="766">
        <f t="shared" si="69"/>
        <v>2034</v>
      </c>
      <c r="X59" s="766">
        <f t="shared" si="69"/>
        <v>2035</v>
      </c>
      <c r="Y59" s="766">
        <f t="shared" si="69"/>
        <v>2036</v>
      </c>
      <c r="Z59" s="766">
        <f t="shared" si="69"/>
        <v>2037</v>
      </c>
      <c r="AA59" s="766">
        <f t="shared" si="69"/>
        <v>2038</v>
      </c>
      <c r="AB59" s="766">
        <f t="shared" si="69"/>
        <v>2039</v>
      </c>
      <c r="AC59" s="766">
        <f t="shared" si="69"/>
        <v>2040</v>
      </c>
      <c r="AD59" s="766">
        <f t="shared" si="69"/>
        <v>2041</v>
      </c>
      <c r="AE59" s="766">
        <f t="shared" si="69"/>
        <v>2042</v>
      </c>
      <c r="AF59" s="766">
        <f t="shared" si="69"/>
        <v>2043</v>
      </c>
      <c r="AG59" s="766">
        <f>AF59+1</f>
        <v>2044</v>
      </c>
      <c r="AH59" s="766">
        <f>AG59+1</f>
        <v>2045</v>
      </c>
      <c r="AI59" s="766">
        <f>AH59+1</f>
        <v>2046</v>
      </c>
      <c r="AJ59" s="766">
        <f t="shared" ref="AJ59:AV59" si="70">AI59+1</f>
        <v>2047</v>
      </c>
      <c r="AK59" s="766">
        <f t="shared" si="70"/>
        <v>2048</v>
      </c>
      <c r="AL59" s="766">
        <f t="shared" si="70"/>
        <v>2049</v>
      </c>
      <c r="AM59" s="766">
        <f t="shared" si="70"/>
        <v>2050</v>
      </c>
      <c r="AN59" s="766">
        <f t="shared" si="70"/>
        <v>2051</v>
      </c>
      <c r="AO59" s="766">
        <f t="shared" si="70"/>
        <v>2052</v>
      </c>
      <c r="AP59" s="766">
        <f t="shared" si="70"/>
        <v>2053</v>
      </c>
      <c r="AQ59" s="766">
        <f t="shared" si="70"/>
        <v>2054</v>
      </c>
      <c r="AR59" s="766">
        <f t="shared" si="70"/>
        <v>2055</v>
      </c>
      <c r="AS59" s="766">
        <f t="shared" si="70"/>
        <v>2056</v>
      </c>
      <c r="AT59" s="766">
        <f t="shared" si="70"/>
        <v>2057</v>
      </c>
      <c r="AU59" s="766">
        <f t="shared" si="70"/>
        <v>2058</v>
      </c>
      <c r="AV59" s="766">
        <f t="shared" si="70"/>
        <v>2059</v>
      </c>
    </row>
    <row r="60" spans="3:187" ht="13.5" customHeight="1">
      <c r="C60" s="307"/>
      <c r="D60" s="4743" t="s">
        <v>1080</v>
      </c>
      <c r="E60" s="742"/>
      <c r="F60" s="767"/>
      <c r="G60" s="767"/>
      <c r="H60" s="767">
        <f>H38</f>
        <v>1423.4598599999997</v>
      </c>
      <c r="I60" s="767">
        <f t="shared" ref="I60:AF60" si="71">H63</f>
        <v>1288.9204799999998</v>
      </c>
      <c r="J60" s="767">
        <f t="shared" si="71"/>
        <v>1127.8054199999997</v>
      </c>
      <c r="K60" s="767">
        <f t="shared" si="71"/>
        <v>955.06349999999975</v>
      </c>
      <c r="L60" s="767">
        <f t="shared" si="71"/>
        <v>796.43990999999983</v>
      </c>
      <c r="M60" s="767">
        <f t="shared" si="71"/>
        <v>631.17239999999981</v>
      </c>
      <c r="N60" s="767">
        <f t="shared" si="71"/>
        <v>465.07439999999986</v>
      </c>
      <c r="O60" s="767">
        <f t="shared" si="71"/>
        <v>253.29944999999987</v>
      </c>
      <c r="P60" s="767">
        <f t="shared" si="71"/>
        <v>109.62467999999987</v>
      </c>
      <c r="Q60" s="767">
        <f t="shared" si="71"/>
        <v>69.761159999999876</v>
      </c>
      <c r="R60" s="767">
        <f t="shared" si="71"/>
        <v>29.897639999999875</v>
      </c>
      <c r="S60" s="767">
        <f t="shared" si="71"/>
        <v>0</v>
      </c>
      <c r="T60" s="767">
        <f t="shared" si="71"/>
        <v>0</v>
      </c>
      <c r="U60" s="767">
        <f t="shared" si="71"/>
        <v>0</v>
      </c>
      <c r="V60" s="767">
        <f t="shared" si="71"/>
        <v>0</v>
      </c>
      <c r="W60" s="767">
        <f t="shared" si="71"/>
        <v>0</v>
      </c>
      <c r="X60" s="767">
        <f t="shared" si="71"/>
        <v>0</v>
      </c>
      <c r="Y60" s="767">
        <f t="shared" si="71"/>
        <v>0</v>
      </c>
      <c r="Z60" s="767">
        <f t="shared" si="71"/>
        <v>0</v>
      </c>
      <c r="AA60" s="767">
        <f t="shared" si="71"/>
        <v>0</v>
      </c>
      <c r="AB60" s="767">
        <f t="shared" si="71"/>
        <v>0</v>
      </c>
      <c r="AC60" s="767">
        <f t="shared" si="71"/>
        <v>0</v>
      </c>
      <c r="AD60" s="767">
        <f t="shared" si="71"/>
        <v>0</v>
      </c>
      <c r="AE60" s="767">
        <f t="shared" si="71"/>
        <v>0</v>
      </c>
      <c r="AF60" s="767">
        <f t="shared" si="71"/>
        <v>0</v>
      </c>
      <c r="AG60" s="767">
        <f>AF63</f>
        <v>0</v>
      </c>
      <c r="AH60" s="767">
        <f>AG63</f>
        <v>0</v>
      </c>
      <c r="AI60" s="767">
        <f>AH63</f>
        <v>0</v>
      </c>
      <c r="AJ60" s="767">
        <f t="shared" ref="AJ60:AV60" si="72">AI63</f>
        <v>0</v>
      </c>
      <c r="AK60" s="767">
        <f t="shared" si="72"/>
        <v>0</v>
      </c>
      <c r="AL60" s="767">
        <f t="shared" si="72"/>
        <v>0</v>
      </c>
      <c r="AM60" s="767">
        <f t="shared" si="72"/>
        <v>0</v>
      </c>
      <c r="AN60" s="767">
        <f t="shared" si="72"/>
        <v>0</v>
      </c>
      <c r="AO60" s="767">
        <f t="shared" si="72"/>
        <v>0</v>
      </c>
      <c r="AP60" s="767">
        <f t="shared" si="72"/>
        <v>0</v>
      </c>
      <c r="AQ60" s="767">
        <f t="shared" si="72"/>
        <v>0</v>
      </c>
      <c r="AR60" s="767">
        <f t="shared" si="72"/>
        <v>0</v>
      </c>
      <c r="AS60" s="767">
        <f t="shared" si="72"/>
        <v>0</v>
      </c>
      <c r="AT60" s="767">
        <f t="shared" si="72"/>
        <v>0</v>
      </c>
      <c r="AU60" s="767">
        <f t="shared" si="72"/>
        <v>0</v>
      </c>
      <c r="AV60" s="767">
        <f t="shared" si="72"/>
        <v>0</v>
      </c>
    </row>
    <row r="61" spans="3:187" s="4924" customFormat="1" ht="13.5" customHeight="1">
      <c r="C61" s="4923"/>
      <c r="D61" s="4928" t="s">
        <v>1081</v>
      </c>
      <c r="E61" s="738"/>
      <c r="F61" s="1700">
        <f t="shared" ref="F61:F66" si="73">SUM(H61:FO61)</f>
        <v>0</v>
      </c>
      <c r="G61" s="1700"/>
      <c r="H61" s="1360">
        <f t="shared" ref="H61:AV61" si="74">SUMIF($3:$3,H$59,39:39)</f>
        <v>0</v>
      </c>
      <c r="I61" s="1360">
        <f t="shared" si="74"/>
        <v>0</v>
      </c>
      <c r="J61" s="1360">
        <f t="shared" si="74"/>
        <v>0</v>
      </c>
      <c r="K61" s="1700">
        <f t="shared" si="74"/>
        <v>0</v>
      </c>
      <c r="L61" s="1360">
        <f t="shared" si="74"/>
        <v>0</v>
      </c>
      <c r="M61" s="1360">
        <f t="shared" si="74"/>
        <v>0</v>
      </c>
      <c r="N61" s="1360">
        <f t="shared" si="74"/>
        <v>0</v>
      </c>
      <c r="O61" s="1360">
        <f t="shared" si="74"/>
        <v>0</v>
      </c>
      <c r="P61" s="1360">
        <f t="shared" si="74"/>
        <v>0</v>
      </c>
      <c r="Q61" s="1360">
        <f t="shared" si="74"/>
        <v>0</v>
      </c>
      <c r="R61" s="1360">
        <f t="shared" si="74"/>
        <v>0</v>
      </c>
      <c r="S61" s="1360">
        <f t="shared" si="74"/>
        <v>0</v>
      </c>
      <c r="T61" s="1360">
        <f t="shared" si="74"/>
        <v>0</v>
      </c>
      <c r="U61" s="1360">
        <f t="shared" si="74"/>
        <v>0</v>
      </c>
      <c r="V61" s="1360">
        <f t="shared" si="74"/>
        <v>0</v>
      </c>
      <c r="W61" s="1360">
        <f t="shared" si="74"/>
        <v>0</v>
      </c>
      <c r="X61" s="1360">
        <f t="shared" si="74"/>
        <v>0</v>
      </c>
      <c r="Y61" s="1360">
        <f t="shared" si="74"/>
        <v>0</v>
      </c>
      <c r="Z61" s="1360">
        <f t="shared" si="74"/>
        <v>0</v>
      </c>
      <c r="AA61" s="1360">
        <f t="shared" si="74"/>
        <v>0</v>
      </c>
      <c r="AB61" s="1360">
        <f t="shared" si="74"/>
        <v>0</v>
      </c>
      <c r="AC61" s="1360">
        <f t="shared" si="74"/>
        <v>0</v>
      </c>
      <c r="AD61" s="1360">
        <f t="shared" si="74"/>
        <v>0</v>
      </c>
      <c r="AE61" s="1360">
        <f t="shared" si="74"/>
        <v>0</v>
      </c>
      <c r="AF61" s="1360">
        <f t="shared" si="74"/>
        <v>0</v>
      </c>
      <c r="AG61" s="1360">
        <f t="shared" si="74"/>
        <v>0</v>
      </c>
      <c r="AH61" s="1360">
        <f t="shared" si="74"/>
        <v>0</v>
      </c>
      <c r="AI61" s="1360">
        <f t="shared" si="74"/>
        <v>0</v>
      </c>
      <c r="AJ61" s="1360">
        <f t="shared" si="74"/>
        <v>0</v>
      </c>
      <c r="AK61" s="1360">
        <f t="shared" si="74"/>
        <v>0</v>
      </c>
      <c r="AL61" s="1360">
        <f t="shared" si="74"/>
        <v>0</v>
      </c>
      <c r="AM61" s="1360">
        <f t="shared" si="74"/>
        <v>0</v>
      </c>
      <c r="AN61" s="1360">
        <f t="shared" si="74"/>
        <v>0</v>
      </c>
      <c r="AO61" s="1360">
        <f t="shared" si="74"/>
        <v>0</v>
      </c>
      <c r="AP61" s="1360">
        <f t="shared" si="74"/>
        <v>0</v>
      </c>
      <c r="AQ61" s="1360">
        <f t="shared" si="74"/>
        <v>0</v>
      </c>
      <c r="AR61" s="1360">
        <f t="shared" si="74"/>
        <v>0</v>
      </c>
      <c r="AS61" s="1360">
        <f t="shared" si="74"/>
        <v>0</v>
      </c>
      <c r="AT61" s="1360">
        <f t="shared" si="74"/>
        <v>0</v>
      </c>
      <c r="AU61" s="1360">
        <f t="shared" si="74"/>
        <v>0</v>
      </c>
      <c r="AV61" s="1360">
        <f t="shared" si="74"/>
        <v>0</v>
      </c>
    </row>
    <row r="62" spans="3:187" ht="13.5" customHeight="1">
      <c r="C62" s="307"/>
      <c r="D62" s="4743" t="s">
        <v>1082</v>
      </c>
      <c r="E62" s="742"/>
      <c r="F62" s="767">
        <f t="shared" si="73"/>
        <v>1423.4598600000002</v>
      </c>
      <c r="G62" s="767"/>
      <c r="H62" s="767">
        <f t="shared" ref="H62:AV62" si="75">SUMIF($3:$3,H$59,40:40)</f>
        <v>134.53937999999999</v>
      </c>
      <c r="I62" s="767">
        <f t="shared" si="75"/>
        <v>161.11505999999997</v>
      </c>
      <c r="J62" s="767">
        <f t="shared" si="75"/>
        <v>172.74191999999999</v>
      </c>
      <c r="K62" s="767">
        <f t="shared" si="75"/>
        <v>158.62358999999998</v>
      </c>
      <c r="L62" s="767">
        <f t="shared" si="75"/>
        <v>165.26751000000002</v>
      </c>
      <c r="M62" s="767">
        <f t="shared" si="75"/>
        <v>166.09799999999998</v>
      </c>
      <c r="N62" s="767">
        <f t="shared" si="75"/>
        <v>211.77494999999999</v>
      </c>
      <c r="O62" s="767">
        <f t="shared" si="75"/>
        <v>143.67477</v>
      </c>
      <c r="P62" s="767">
        <f t="shared" si="75"/>
        <v>39.863520000000001</v>
      </c>
      <c r="Q62" s="767">
        <f t="shared" si="75"/>
        <v>39.863520000000001</v>
      </c>
      <c r="R62" s="767">
        <f t="shared" si="75"/>
        <v>29.897639999999889</v>
      </c>
      <c r="S62" s="767">
        <f t="shared" si="75"/>
        <v>0</v>
      </c>
      <c r="T62" s="767">
        <f t="shared" si="75"/>
        <v>0</v>
      </c>
      <c r="U62" s="767">
        <f t="shared" si="75"/>
        <v>0</v>
      </c>
      <c r="V62" s="767">
        <f t="shared" si="75"/>
        <v>0</v>
      </c>
      <c r="W62" s="767">
        <f t="shared" si="75"/>
        <v>0</v>
      </c>
      <c r="X62" s="767">
        <f t="shared" si="75"/>
        <v>0</v>
      </c>
      <c r="Y62" s="767">
        <f t="shared" si="75"/>
        <v>0</v>
      </c>
      <c r="Z62" s="767">
        <f t="shared" si="75"/>
        <v>0</v>
      </c>
      <c r="AA62" s="767">
        <f t="shared" si="75"/>
        <v>0</v>
      </c>
      <c r="AB62" s="767">
        <f t="shared" si="75"/>
        <v>0</v>
      </c>
      <c r="AC62" s="767">
        <f t="shared" si="75"/>
        <v>0</v>
      </c>
      <c r="AD62" s="767">
        <f t="shared" si="75"/>
        <v>0</v>
      </c>
      <c r="AE62" s="767">
        <f t="shared" si="75"/>
        <v>0</v>
      </c>
      <c r="AF62" s="767">
        <f t="shared" si="75"/>
        <v>0</v>
      </c>
      <c r="AG62" s="767">
        <f t="shared" si="75"/>
        <v>0</v>
      </c>
      <c r="AH62" s="767">
        <f t="shared" si="75"/>
        <v>0</v>
      </c>
      <c r="AI62" s="767">
        <f t="shared" si="75"/>
        <v>0</v>
      </c>
      <c r="AJ62" s="767">
        <f t="shared" si="75"/>
        <v>0</v>
      </c>
      <c r="AK62" s="767">
        <f t="shared" si="75"/>
        <v>0</v>
      </c>
      <c r="AL62" s="767">
        <f t="shared" si="75"/>
        <v>0</v>
      </c>
      <c r="AM62" s="767">
        <f t="shared" si="75"/>
        <v>0</v>
      </c>
      <c r="AN62" s="767">
        <f t="shared" si="75"/>
        <v>0</v>
      </c>
      <c r="AO62" s="767">
        <f t="shared" si="75"/>
        <v>0</v>
      </c>
      <c r="AP62" s="767">
        <f t="shared" si="75"/>
        <v>0</v>
      </c>
      <c r="AQ62" s="767">
        <f t="shared" si="75"/>
        <v>0</v>
      </c>
      <c r="AR62" s="767">
        <f t="shared" si="75"/>
        <v>0</v>
      </c>
      <c r="AS62" s="767">
        <f t="shared" si="75"/>
        <v>0</v>
      </c>
      <c r="AT62" s="767">
        <f t="shared" si="75"/>
        <v>0</v>
      </c>
      <c r="AU62" s="767">
        <f t="shared" si="75"/>
        <v>0</v>
      </c>
      <c r="AV62" s="767">
        <f t="shared" si="75"/>
        <v>0</v>
      </c>
    </row>
    <row r="63" spans="3:187" ht="13.5" customHeight="1">
      <c r="C63" s="769"/>
      <c r="D63" s="4949" t="s">
        <v>1096</v>
      </c>
      <c r="E63" s="771"/>
      <c r="F63" s="772"/>
      <c r="G63" s="4753"/>
      <c r="H63" s="772">
        <f>IF(ABS(H60+H61-H62)&lt;0.000001,0,H60+H61-H62)</f>
        <v>1288.9204799999998</v>
      </c>
      <c r="I63" s="772">
        <f>IF(ABS(I60+I61-I62)&lt;0.000001,0,I60+I61-I62)</f>
        <v>1127.8054199999997</v>
      </c>
      <c r="J63" s="772">
        <f t="shared" ref="J63:AV63" si="76">IF(ABS(J60+J61-J62)&lt;0.000001,0,J60+J61-J62)</f>
        <v>955.06349999999975</v>
      </c>
      <c r="K63" s="772">
        <f t="shared" si="76"/>
        <v>796.43990999999983</v>
      </c>
      <c r="L63" s="772">
        <f t="shared" si="76"/>
        <v>631.17239999999981</v>
      </c>
      <c r="M63" s="772">
        <f t="shared" si="76"/>
        <v>465.07439999999986</v>
      </c>
      <c r="N63" s="772">
        <f t="shared" si="76"/>
        <v>253.29944999999987</v>
      </c>
      <c r="O63" s="772">
        <f t="shared" si="76"/>
        <v>109.62467999999987</v>
      </c>
      <c r="P63" s="772">
        <f t="shared" si="76"/>
        <v>69.761159999999876</v>
      </c>
      <c r="Q63" s="772">
        <f t="shared" si="76"/>
        <v>29.897639999999875</v>
      </c>
      <c r="R63" s="772">
        <f t="shared" si="76"/>
        <v>0</v>
      </c>
      <c r="S63" s="772">
        <f t="shared" si="76"/>
        <v>0</v>
      </c>
      <c r="T63" s="772">
        <f t="shared" si="76"/>
        <v>0</v>
      </c>
      <c r="U63" s="772">
        <f t="shared" si="76"/>
        <v>0</v>
      </c>
      <c r="V63" s="772">
        <f t="shared" si="76"/>
        <v>0</v>
      </c>
      <c r="W63" s="772">
        <f t="shared" si="76"/>
        <v>0</v>
      </c>
      <c r="X63" s="772">
        <f t="shared" si="76"/>
        <v>0</v>
      </c>
      <c r="Y63" s="772">
        <f t="shared" si="76"/>
        <v>0</v>
      </c>
      <c r="Z63" s="772">
        <f t="shared" si="76"/>
        <v>0</v>
      </c>
      <c r="AA63" s="772">
        <f t="shared" si="76"/>
        <v>0</v>
      </c>
      <c r="AB63" s="772">
        <f t="shared" si="76"/>
        <v>0</v>
      </c>
      <c r="AC63" s="772">
        <f t="shared" si="76"/>
        <v>0</v>
      </c>
      <c r="AD63" s="772">
        <f t="shared" si="76"/>
        <v>0</v>
      </c>
      <c r="AE63" s="772">
        <f t="shared" si="76"/>
        <v>0</v>
      </c>
      <c r="AF63" s="772">
        <f t="shared" si="76"/>
        <v>0</v>
      </c>
      <c r="AG63" s="772">
        <f t="shared" si="76"/>
        <v>0</v>
      </c>
      <c r="AH63" s="772">
        <f t="shared" si="76"/>
        <v>0</v>
      </c>
      <c r="AI63" s="772">
        <f t="shared" si="76"/>
        <v>0</v>
      </c>
      <c r="AJ63" s="772">
        <f t="shared" si="76"/>
        <v>0</v>
      </c>
      <c r="AK63" s="772">
        <f t="shared" si="76"/>
        <v>0</v>
      </c>
      <c r="AL63" s="772">
        <f t="shared" si="76"/>
        <v>0</v>
      </c>
      <c r="AM63" s="772">
        <f t="shared" si="76"/>
        <v>0</v>
      </c>
      <c r="AN63" s="772">
        <f t="shared" si="76"/>
        <v>0</v>
      </c>
      <c r="AO63" s="772">
        <f t="shared" si="76"/>
        <v>0</v>
      </c>
      <c r="AP63" s="772">
        <f t="shared" si="76"/>
        <v>0</v>
      </c>
      <c r="AQ63" s="772">
        <f t="shared" si="76"/>
        <v>0</v>
      </c>
      <c r="AR63" s="772">
        <f t="shared" si="76"/>
        <v>0</v>
      </c>
      <c r="AS63" s="772">
        <f t="shared" si="76"/>
        <v>0</v>
      </c>
      <c r="AT63" s="772">
        <f t="shared" si="76"/>
        <v>0</v>
      </c>
      <c r="AU63" s="772">
        <f t="shared" si="76"/>
        <v>0</v>
      </c>
      <c r="AV63" s="772">
        <f t="shared" si="76"/>
        <v>0</v>
      </c>
    </row>
    <row r="64" spans="3:187" ht="13.5" customHeight="1">
      <c r="C64" s="773"/>
      <c r="D64" s="4744" t="s">
        <v>1097</v>
      </c>
      <c r="E64" s="722"/>
      <c r="F64" s="775">
        <f t="shared" si="73"/>
        <v>0</v>
      </c>
      <c r="G64" s="775"/>
      <c r="H64" s="775">
        <v>0</v>
      </c>
      <c r="I64" s="775">
        <v>0</v>
      </c>
      <c r="J64" s="775">
        <v>0</v>
      </c>
      <c r="K64" s="775">
        <v>0</v>
      </c>
      <c r="L64" s="775">
        <v>0</v>
      </c>
      <c r="M64" s="775">
        <v>0</v>
      </c>
      <c r="N64" s="775">
        <v>0</v>
      </c>
      <c r="O64" s="775">
        <v>0</v>
      </c>
      <c r="P64" s="775">
        <v>0</v>
      </c>
      <c r="Q64" s="775">
        <v>0</v>
      </c>
      <c r="R64" s="775">
        <v>0</v>
      </c>
      <c r="S64" s="775">
        <v>0</v>
      </c>
      <c r="T64" s="775">
        <v>0</v>
      </c>
      <c r="U64" s="775">
        <v>0</v>
      </c>
      <c r="V64" s="775">
        <v>0</v>
      </c>
      <c r="W64" s="775">
        <v>0</v>
      </c>
      <c r="X64" s="775">
        <v>0</v>
      </c>
      <c r="Y64" s="775">
        <v>0</v>
      </c>
      <c r="Z64" s="775">
        <v>0</v>
      </c>
      <c r="AA64" s="775">
        <v>0</v>
      </c>
      <c r="AB64" s="775">
        <v>0</v>
      </c>
      <c r="AC64" s="775">
        <v>0</v>
      </c>
      <c r="AD64" s="775">
        <v>0</v>
      </c>
      <c r="AE64" s="775">
        <v>0</v>
      </c>
      <c r="AF64" s="775">
        <v>0</v>
      </c>
      <c r="AG64" s="775">
        <v>0</v>
      </c>
      <c r="AH64" s="775">
        <v>0</v>
      </c>
      <c r="AI64" s="775">
        <v>0</v>
      </c>
      <c r="AJ64" s="775">
        <v>0</v>
      </c>
      <c r="AK64" s="775">
        <v>0</v>
      </c>
      <c r="AL64" s="775">
        <v>0</v>
      </c>
      <c r="AM64" s="775">
        <v>0</v>
      </c>
      <c r="AN64" s="775">
        <v>0</v>
      </c>
      <c r="AO64" s="775">
        <v>0</v>
      </c>
      <c r="AP64" s="775">
        <v>0</v>
      </c>
      <c r="AQ64" s="775">
        <v>0</v>
      </c>
      <c r="AR64" s="775">
        <v>0</v>
      </c>
      <c r="AS64" s="775">
        <v>0</v>
      </c>
      <c r="AT64" s="775">
        <v>0</v>
      </c>
      <c r="AU64" s="775">
        <v>0</v>
      </c>
      <c r="AV64" s="775">
        <v>0</v>
      </c>
    </row>
    <row r="65" spans="3:187" ht="13.5" customHeight="1">
      <c r="C65" s="326"/>
      <c r="D65" s="4743" t="s">
        <v>1083</v>
      </c>
      <c r="E65" s="742"/>
      <c r="F65" s="767">
        <f t="shared" ca="1" si="73"/>
        <v>284.44079647499996</v>
      </c>
      <c r="G65" s="767"/>
      <c r="H65" s="767">
        <f t="shared" ref="H65:AV65" si="77">SUMIF($3:$3,H$59,41:41)</f>
        <v>59.555328849999995</v>
      </c>
      <c r="I65" s="767">
        <f t="shared" si="77"/>
        <v>49.364548239999991</v>
      </c>
      <c r="J65" s="767">
        <f t="shared" si="77"/>
        <v>44.086131449999996</v>
      </c>
      <c r="K65" s="767">
        <f t="shared" ca="1" si="77"/>
        <v>39.882194384999991</v>
      </c>
      <c r="L65" s="767">
        <f t="shared" ca="1" si="77"/>
        <v>32.713192104999997</v>
      </c>
      <c r="M65" s="767">
        <f t="shared" ca="1" si="77"/>
        <v>25.451805774999993</v>
      </c>
      <c r="N65" s="767">
        <f t="shared" ca="1" si="77"/>
        <v>17.192671704999995</v>
      </c>
      <c r="O65" s="767">
        <f t="shared" ca="1" si="77"/>
        <v>8.8781072049999974</v>
      </c>
      <c r="P65" s="767">
        <f t="shared" ca="1" si="77"/>
        <v>4.2127126799999957</v>
      </c>
      <c r="Q65" s="767">
        <f t="shared" ca="1" si="77"/>
        <v>2.4389389199999956</v>
      </c>
      <c r="R65" s="767">
        <f t="shared" ca="1" si="77"/>
        <v>0.66516515999999648</v>
      </c>
      <c r="S65" s="767">
        <f t="shared" ca="1" si="77"/>
        <v>0</v>
      </c>
      <c r="T65" s="767">
        <f t="shared" ca="1" si="77"/>
        <v>0</v>
      </c>
      <c r="U65" s="767">
        <f t="shared" ca="1" si="77"/>
        <v>0</v>
      </c>
      <c r="V65" s="767">
        <f t="shared" ca="1" si="77"/>
        <v>0</v>
      </c>
      <c r="W65" s="767">
        <f t="shared" ca="1" si="77"/>
        <v>0</v>
      </c>
      <c r="X65" s="767">
        <f t="shared" ca="1" si="77"/>
        <v>0</v>
      </c>
      <c r="Y65" s="767">
        <f t="shared" ca="1" si="77"/>
        <v>0</v>
      </c>
      <c r="Z65" s="767">
        <f t="shared" ca="1" si="77"/>
        <v>0</v>
      </c>
      <c r="AA65" s="767">
        <f t="shared" ca="1" si="77"/>
        <v>0</v>
      </c>
      <c r="AB65" s="767">
        <f t="shared" ca="1" si="77"/>
        <v>0</v>
      </c>
      <c r="AC65" s="767">
        <f t="shared" ca="1" si="77"/>
        <v>0</v>
      </c>
      <c r="AD65" s="767">
        <f t="shared" ca="1" si="77"/>
        <v>0</v>
      </c>
      <c r="AE65" s="767">
        <f t="shared" ca="1" si="77"/>
        <v>0</v>
      </c>
      <c r="AF65" s="767">
        <f t="shared" ca="1" si="77"/>
        <v>0</v>
      </c>
      <c r="AG65" s="767">
        <f t="shared" ca="1" si="77"/>
        <v>0</v>
      </c>
      <c r="AH65" s="767">
        <f t="shared" ca="1" si="77"/>
        <v>0</v>
      </c>
      <c r="AI65" s="767">
        <f t="shared" ca="1" si="77"/>
        <v>0</v>
      </c>
      <c r="AJ65" s="767">
        <f t="shared" ca="1" si="77"/>
        <v>0</v>
      </c>
      <c r="AK65" s="767">
        <f t="shared" ca="1" si="77"/>
        <v>0</v>
      </c>
      <c r="AL65" s="767">
        <f t="shared" ca="1" si="77"/>
        <v>0</v>
      </c>
      <c r="AM65" s="767">
        <f t="shared" ca="1" si="77"/>
        <v>0</v>
      </c>
      <c r="AN65" s="767">
        <f t="shared" ca="1" si="77"/>
        <v>0</v>
      </c>
      <c r="AO65" s="767">
        <f t="shared" ca="1" si="77"/>
        <v>0</v>
      </c>
      <c r="AP65" s="767">
        <f t="shared" ca="1" si="77"/>
        <v>0</v>
      </c>
      <c r="AQ65" s="767">
        <f t="shared" ca="1" si="77"/>
        <v>0</v>
      </c>
      <c r="AR65" s="767">
        <f t="shared" ca="1" si="77"/>
        <v>0</v>
      </c>
      <c r="AS65" s="767">
        <f t="shared" ca="1" si="77"/>
        <v>0</v>
      </c>
      <c r="AT65" s="767">
        <f t="shared" ca="1" si="77"/>
        <v>0</v>
      </c>
      <c r="AU65" s="767">
        <f t="shared" ca="1" si="77"/>
        <v>0</v>
      </c>
      <c r="AV65" s="767">
        <f t="shared" ca="1" si="77"/>
        <v>0</v>
      </c>
    </row>
    <row r="66" spans="3:187" ht="13.5" customHeight="1">
      <c r="C66" s="776"/>
      <c r="D66" s="4950" t="s">
        <v>1098</v>
      </c>
      <c r="E66" s="752"/>
      <c r="F66" s="645">
        <f t="shared" ca="1" si="73"/>
        <v>284.44079647499996</v>
      </c>
      <c r="G66" s="645"/>
      <c r="H66" s="645">
        <f>SUM(H64:H65)</f>
        <v>59.555328849999995</v>
      </c>
      <c r="I66" s="645">
        <f t="shared" ref="I66:AV66" si="78">SUM(I64:I65)</f>
        <v>49.364548239999991</v>
      </c>
      <c r="J66" s="645">
        <f t="shared" si="78"/>
        <v>44.086131449999996</v>
      </c>
      <c r="K66" s="645">
        <f t="shared" ca="1" si="78"/>
        <v>39.882194384999991</v>
      </c>
      <c r="L66" s="645">
        <f t="shared" ca="1" si="78"/>
        <v>32.713192104999997</v>
      </c>
      <c r="M66" s="645">
        <f t="shared" ca="1" si="78"/>
        <v>25.451805774999993</v>
      </c>
      <c r="N66" s="645">
        <f t="shared" ca="1" si="78"/>
        <v>17.192671704999995</v>
      </c>
      <c r="O66" s="645">
        <f t="shared" ca="1" si="78"/>
        <v>8.8781072049999974</v>
      </c>
      <c r="P66" s="645">
        <f t="shared" ca="1" si="78"/>
        <v>4.2127126799999957</v>
      </c>
      <c r="Q66" s="645">
        <f t="shared" ca="1" si="78"/>
        <v>2.4389389199999956</v>
      </c>
      <c r="R66" s="645">
        <f t="shared" ca="1" si="78"/>
        <v>0.66516515999999648</v>
      </c>
      <c r="S66" s="645">
        <f t="shared" ca="1" si="78"/>
        <v>0</v>
      </c>
      <c r="T66" s="645">
        <f t="shared" ca="1" si="78"/>
        <v>0</v>
      </c>
      <c r="U66" s="645">
        <f t="shared" ca="1" si="78"/>
        <v>0</v>
      </c>
      <c r="V66" s="645">
        <f t="shared" ca="1" si="78"/>
        <v>0</v>
      </c>
      <c r="W66" s="645">
        <f t="shared" ca="1" si="78"/>
        <v>0</v>
      </c>
      <c r="X66" s="645">
        <f t="shared" ca="1" si="78"/>
        <v>0</v>
      </c>
      <c r="Y66" s="645">
        <f t="shared" ca="1" si="78"/>
        <v>0</v>
      </c>
      <c r="Z66" s="645">
        <f t="shared" ca="1" si="78"/>
        <v>0</v>
      </c>
      <c r="AA66" s="645">
        <f t="shared" ca="1" si="78"/>
        <v>0</v>
      </c>
      <c r="AB66" s="645">
        <f t="shared" ca="1" si="78"/>
        <v>0</v>
      </c>
      <c r="AC66" s="645">
        <f t="shared" ca="1" si="78"/>
        <v>0</v>
      </c>
      <c r="AD66" s="645">
        <f t="shared" ca="1" si="78"/>
        <v>0</v>
      </c>
      <c r="AE66" s="645">
        <f t="shared" ca="1" si="78"/>
        <v>0</v>
      </c>
      <c r="AF66" s="645">
        <f t="shared" ca="1" si="78"/>
        <v>0</v>
      </c>
      <c r="AG66" s="645">
        <f t="shared" ca="1" si="78"/>
        <v>0</v>
      </c>
      <c r="AH66" s="645">
        <f t="shared" ca="1" si="78"/>
        <v>0</v>
      </c>
      <c r="AI66" s="645">
        <f t="shared" ca="1" si="78"/>
        <v>0</v>
      </c>
      <c r="AJ66" s="645">
        <f t="shared" ca="1" si="78"/>
        <v>0</v>
      </c>
      <c r="AK66" s="645">
        <f t="shared" ca="1" si="78"/>
        <v>0</v>
      </c>
      <c r="AL66" s="645">
        <f t="shared" ca="1" si="78"/>
        <v>0</v>
      </c>
      <c r="AM66" s="645">
        <f t="shared" ca="1" si="78"/>
        <v>0</v>
      </c>
      <c r="AN66" s="645">
        <f t="shared" ca="1" si="78"/>
        <v>0</v>
      </c>
      <c r="AO66" s="645">
        <f t="shared" ca="1" si="78"/>
        <v>0</v>
      </c>
      <c r="AP66" s="645">
        <f t="shared" ca="1" si="78"/>
        <v>0</v>
      </c>
      <c r="AQ66" s="645">
        <f t="shared" ca="1" si="78"/>
        <v>0</v>
      </c>
      <c r="AR66" s="645">
        <f t="shared" ca="1" si="78"/>
        <v>0</v>
      </c>
      <c r="AS66" s="645">
        <f t="shared" ca="1" si="78"/>
        <v>0</v>
      </c>
      <c r="AT66" s="645">
        <f t="shared" ca="1" si="78"/>
        <v>0</v>
      </c>
      <c r="AU66" s="645">
        <f t="shared" ca="1" si="78"/>
        <v>0</v>
      </c>
      <c r="AV66" s="645">
        <f t="shared" ca="1" si="78"/>
        <v>0</v>
      </c>
    </row>
    <row r="67" spans="3:187" ht="13.5" customHeight="1" thickBot="1"/>
    <row r="68" spans="3:187" ht="13.5" customHeight="1" outlineLevel="1">
      <c r="C68" s="4894" t="s">
        <v>1099</v>
      </c>
      <c r="D68" s="4864"/>
      <c r="E68" s="4864"/>
      <c r="F68" s="4864"/>
      <c r="G68" s="4864"/>
      <c r="H68" s="4864"/>
      <c r="I68" s="4864"/>
      <c r="J68" s="4864"/>
      <c r="K68" s="4864"/>
      <c r="L68" s="4864"/>
      <c r="M68" s="4864"/>
      <c r="N68" s="4864"/>
      <c r="O68" s="4895"/>
      <c r="P68" s="4895"/>
      <c r="Q68" s="4895"/>
      <c r="R68" s="4895"/>
      <c r="S68" s="4895"/>
      <c r="T68" s="4895"/>
      <c r="U68" s="4895"/>
      <c r="V68" s="5213">
        <f>V76+V80</f>
        <v>105.6</v>
      </c>
      <c r="W68" s="4895"/>
      <c r="X68" s="4895"/>
      <c r="Y68" s="4895"/>
      <c r="Z68" s="4895"/>
      <c r="AA68" s="4895"/>
      <c r="AB68" s="4895"/>
      <c r="AC68" s="4895"/>
      <c r="AD68" s="4895"/>
      <c r="AE68" s="4895"/>
      <c r="AF68" s="4895"/>
      <c r="AG68" s="4895"/>
      <c r="AH68" s="4895"/>
      <c r="AI68" s="4895"/>
      <c r="AJ68" s="4895"/>
      <c r="AK68" s="4895"/>
      <c r="AL68" s="4895"/>
      <c r="AM68" s="4895"/>
      <c r="AN68" s="4895"/>
      <c r="AO68" s="4895"/>
      <c r="AP68" s="4895"/>
      <c r="AQ68" s="4895"/>
      <c r="AR68" s="4895"/>
      <c r="AS68" s="4895"/>
      <c r="AT68" s="4895"/>
      <c r="AU68" s="4895"/>
      <c r="AV68" s="4895"/>
      <c r="AW68" s="4895"/>
      <c r="AX68" s="4895"/>
      <c r="AY68" s="4895"/>
      <c r="AZ68" s="4895"/>
      <c r="BA68" s="4895"/>
      <c r="BB68" s="4895"/>
      <c r="BC68" s="4895"/>
      <c r="BD68" s="4895"/>
      <c r="BE68" s="4895"/>
      <c r="BF68" s="4895"/>
      <c r="BG68" s="4895"/>
      <c r="BH68" s="4895"/>
      <c r="BI68" s="4895"/>
      <c r="BJ68" s="4895"/>
      <c r="BK68" s="4864"/>
      <c r="BL68" s="4864"/>
      <c r="BM68" s="4864"/>
      <c r="BN68" s="4864"/>
      <c r="BO68" s="4864"/>
      <c r="BP68" s="4864"/>
      <c r="BQ68" s="4864"/>
      <c r="BR68" s="4864"/>
      <c r="BS68" s="4864"/>
      <c r="BT68" s="4864"/>
      <c r="BU68" s="4864"/>
      <c r="BV68" s="4864"/>
      <c r="BW68" s="4864"/>
      <c r="BX68" s="4864"/>
      <c r="BY68" s="4864"/>
      <c r="BZ68" s="4864"/>
      <c r="CA68" s="4864"/>
      <c r="CB68" s="4864"/>
      <c r="CC68" s="4864"/>
      <c r="CD68" s="4864"/>
      <c r="CE68" s="4864"/>
      <c r="CF68" s="4864"/>
      <c r="CG68" s="4864"/>
      <c r="CH68" s="4864"/>
      <c r="CI68" s="4864"/>
      <c r="CJ68" s="4864"/>
      <c r="CK68" s="4864"/>
      <c r="CL68" s="4864"/>
      <c r="CM68" s="4864"/>
      <c r="CN68" s="4864"/>
      <c r="CO68" s="4864"/>
      <c r="CP68" s="4864"/>
      <c r="CQ68" s="4864"/>
      <c r="CR68" s="4864"/>
      <c r="CS68" s="4864"/>
      <c r="CT68" s="4864"/>
      <c r="CU68" s="4864"/>
      <c r="CV68" s="4864"/>
      <c r="CW68" s="4864"/>
      <c r="CX68" s="4864"/>
      <c r="CY68" s="4864"/>
      <c r="CZ68" s="4864"/>
      <c r="DA68" s="4864"/>
      <c r="DB68" s="4864"/>
      <c r="DC68" s="4864"/>
      <c r="DD68" s="4864"/>
      <c r="DE68" s="4864"/>
      <c r="DF68" s="4864"/>
      <c r="DG68" s="4864"/>
      <c r="DH68" s="4864"/>
      <c r="DI68" s="4864"/>
      <c r="DJ68" s="4864"/>
      <c r="DK68" s="4864"/>
      <c r="DL68" s="4864"/>
      <c r="DM68" s="4864"/>
      <c r="DN68" s="4864"/>
      <c r="DO68" s="4864"/>
      <c r="DP68" s="4864"/>
      <c r="DQ68" s="4864"/>
      <c r="DR68" s="4864"/>
      <c r="DS68" s="4864"/>
      <c r="DT68" s="4864"/>
      <c r="DU68" s="4864"/>
      <c r="DV68" s="4864"/>
      <c r="DW68" s="4864"/>
      <c r="DX68" s="4864"/>
      <c r="DY68" s="4864"/>
      <c r="DZ68" s="4864"/>
      <c r="EA68" s="4864"/>
      <c r="EB68" s="4864"/>
      <c r="EC68" s="4864"/>
      <c r="ED68" s="4864"/>
      <c r="EE68" s="4864"/>
      <c r="EF68" s="4864"/>
      <c r="EG68" s="4864"/>
      <c r="EH68" s="4864"/>
      <c r="EI68" s="4864"/>
      <c r="EJ68" s="4864"/>
      <c r="EK68" s="4864"/>
      <c r="EL68" s="4864"/>
      <c r="EM68" s="4864"/>
      <c r="EN68" s="4864"/>
      <c r="EO68" s="4864"/>
      <c r="EP68" s="4864"/>
      <c r="EQ68" s="4864"/>
      <c r="ER68" s="4864"/>
      <c r="ES68" s="4864"/>
      <c r="ET68" s="4864"/>
      <c r="EU68" s="4864"/>
      <c r="EV68" s="4864"/>
      <c r="EW68" s="4864"/>
      <c r="EX68" s="4864"/>
      <c r="EY68" s="4864"/>
      <c r="EZ68" s="4864"/>
      <c r="FA68" s="4864"/>
      <c r="FB68" s="4864"/>
      <c r="FC68" s="4864"/>
      <c r="FD68" s="4864"/>
      <c r="FE68" s="4864"/>
      <c r="FF68" s="4864"/>
      <c r="FG68" s="4864"/>
      <c r="FH68" s="4864"/>
      <c r="FI68" s="4864"/>
      <c r="FJ68" s="4864"/>
      <c r="FK68" s="4864"/>
      <c r="FL68" s="4864"/>
      <c r="FM68" s="4864"/>
      <c r="FN68" s="4864"/>
      <c r="FO68" s="4864"/>
      <c r="FP68" s="4864"/>
      <c r="FQ68" s="4864"/>
      <c r="FR68" s="4864"/>
      <c r="FS68" s="4864"/>
      <c r="FT68" s="4864"/>
      <c r="FU68" s="4864"/>
      <c r="FV68" s="4864"/>
      <c r="FW68" s="4864"/>
      <c r="FX68" s="4864"/>
      <c r="FY68" s="4864"/>
      <c r="FZ68" s="4864"/>
      <c r="GA68" s="4864"/>
      <c r="GB68" s="4864"/>
      <c r="GC68" s="4864"/>
      <c r="GD68" s="4864"/>
      <c r="GE68" s="4896"/>
    </row>
    <row r="69" spans="3:187" ht="13.5" customHeight="1" outlineLevel="1">
      <c r="C69" s="4781"/>
      <c r="D69" s="4897"/>
      <c r="E69" s="4897"/>
      <c r="F69" s="4897"/>
      <c r="G69" s="4897"/>
      <c r="H69" s="4897"/>
      <c r="I69" s="4897"/>
      <c r="J69" s="4897"/>
      <c r="K69" s="4897"/>
      <c r="L69" s="4897"/>
      <c r="M69" s="4897"/>
      <c r="N69" s="4897"/>
      <c r="O69" s="4897"/>
      <c r="P69" s="4897"/>
      <c r="Q69" s="4897"/>
      <c r="R69" s="4897"/>
      <c r="S69" s="4898"/>
      <c r="T69" s="4897"/>
      <c r="U69" s="4897"/>
      <c r="V69" s="5695">
        <f>V72+V76+V80+V84</f>
        <v>876.99743999999987</v>
      </c>
      <c r="W69" s="4897"/>
      <c r="X69" s="4897"/>
      <c r="Y69" s="4897"/>
      <c r="Z69" s="4897"/>
      <c r="AA69" s="4897"/>
      <c r="AB69" s="4897"/>
      <c r="AC69" s="4897"/>
      <c r="AD69" s="4897"/>
      <c r="AE69" s="4897"/>
      <c r="AF69" s="4897"/>
      <c r="AG69" s="4897"/>
      <c r="AH69" s="4897"/>
      <c r="AI69" s="4897"/>
      <c r="AJ69" s="4897"/>
      <c r="AK69" s="4897"/>
      <c r="AL69" s="4897"/>
      <c r="AM69" s="4897"/>
      <c r="AN69" s="4897"/>
      <c r="AO69" s="4897"/>
      <c r="AP69" s="4897"/>
      <c r="AQ69" s="4897"/>
      <c r="AR69" s="4897"/>
      <c r="AS69" s="4897"/>
      <c r="AT69" s="4897"/>
      <c r="AU69" s="4897"/>
      <c r="AV69" s="4897"/>
      <c r="AW69" s="4897"/>
      <c r="AX69" s="4897"/>
      <c r="AY69" s="4897"/>
      <c r="AZ69" s="4897"/>
      <c r="BA69" s="4897"/>
      <c r="BB69" s="4897"/>
      <c r="BC69" s="4897"/>
      <c r="BD69" s="4897"/>
      <c r="BE69" s="4897"/>
      <c r="BF69" s="4897"/>
      <c r="BG69" s="4897"/>
      <c r="BH69" s="4897"/>
      <c r="BI69" s="4897"/>
      <c r="BJ69" s="4897"/>
      <c r="BK69" s="4897"/>
      <c r="BL69" s="4897"/>
      <c r="BM69" s="4897"/>
      <c r="BN69" s="4897"/>
      <c r="BO69" s="4897"/>
      <c r="BP69" s="4897"/>
      <c r="BQ69" s="4897"/>
      <c r="BR69" s="4897"/>
      <c r="BS69" s="4897"/>
      <c r="BT69" s="4897"/>
      <c r="BU69" s="4897"/>
      <c r="BV69" s="4897"/>
      <c r="BW69" s="4897"/>
      <c r="BX69" s="4897"/>
      <c r="BY69" s="4897"/>
      <c r="BZ69" s="4897"/>
      <c r="CA69" s="4897"/>
      <c r="CB69" s="4897"/>
      <c r="CC69" s="4897"/>
      <c r="CD69" s="4897"/>
      <c r="CE69" s="4897"/>
      <c r="CF69" s="4897"/>
      <c r="CG69" s="4897"/>
      <c r="CH69" s="4897"/>
      <c r="CI69" s="4897"/>
      <c r="CJ69" s="4897"/>
      <c r="CK69" s="4897"/>
      <c r="CL69" s="4897"/>
      <c r="CM69" s="4897"/>
      <c r="CN69" s="4897"/>
      <c r="CO69" s="4897"/>
      <c r="CP69" s="4897"/>
      <c r="CQ69" s="4897"/>
      <c r="CR69" s="4897"/>
      <c r="CS69" s="4897"/>
      <c r="CT69" s="4897"/>
      <c r="CU69" s="4897"/>
      <c r="CV69" s="4897"/>
      <c r="CW69" s="4897"/>
      <c r="CX69" s="4897"/>
      <c r="CY69" s="4897"/>
      <c r="CZ69" s="4897"/>
      <c r="DA69" s="4897"/>
      <c r="DB69" s="4897"/>
      <c r="DC69" s="4897"/>
      <c r="DD69" s="4897"/>
      <c r="DE69" s="4897"/>
      <c r="DF69" s="4897"/>
      <c r="DG69" s="4897"/>
      <c r="DH69" s="4897"/>
      <c r="DI69" s="4897"/>
      <c r="DJ69" s="4897"/>
      <c r="DK69" s="4897"/>
      <c r="DL69" s="4897"/>
      <c r="DM69" s="4897"/>
      <c r="DN69" s="4897"/>
      <c r="DO69" s="4897"/>
      <c r="DP69" s="4897"/>
      <c r="DQ69" s="4897"/>
      <c r="DR69" s="4897"/>
      <c r="DS69" s="4897"/>
      <c r="DT69" s="4897"/>
      <c r="DU69" s="4897"/>
      <c r="DV69" s="4897"/>
      <c r="DW69" s="4897"/>
      <c r="DX69" s="4897"/>
      <c r="DY69" s="4897"/>
      <c r="DZ69" s="4897"/>
      <c r="EA69" s="4897"/>
      <c r="EB69" s="4897"/>
      <c r="EC69" s="4897"/>
      <c r="ED69" s="4897"/>
      <c r="EE69" s="4897"/>
      <c r="EF69" s="4897"/>
      <c r="EG69" s="4897"/>
      <c r="EH69" s="4897"/>
      <c r="EI69" s="4897"/>
      <c r="EJ69" s="4897"/>
      <c r="EK69" s="4897"/>
      <c r="EL69" s="4897"/>
      <c r="EM69" s="4897"/>
      <c r="EN69" s="4897"/>
      <c r="EO69" s="4897"/>
      <c r="EP69" s="4897"/>
      <c r="EQ69" s="4897"/>
      <c r="ER69" s="4897"/>
      <c r="ES69" s="4897"/>
      <c r="ET69" s="4897"/>
      <c r="EU69" s="4897"/>
      <c r="EV69" s="4897"/>
      <c r="EW69" s="4897"/>
      <c r="EX69" s="4897"/>
      <c r="EY69" s="4897"/>
      <c r="EZ69" s="4897"/>
      <c r="FA69" s="4897"/>
      <c r="FB69" s="4897"/>
      <c r="FC69" s="4897"/>
      <c r="FD69" s="4897"/>
      <c r="FE69" s="4897"/>
      <c r="FF69" s="4897"/>
      <c r="FG69" s="4897"/>
      <c r="FH69" s="4897"/>
      <c r="FI69" s="4897"/>
      <c r="FJ69" s="4897"/>
      <c r="FK69" s="4897"/>
      <c r="FL69" s="4897"/>
      <c r="FM69" s="4897"/>
      <c r="FN69" s="4897"/>
      <c r="FO69" s="4897"/>
      <c r="FP69" s="4897"/>
      <c r="FQ69" s="4897"/>
      <c r="FR69" s="4897"/>
      <c r="FS69" s="4897"/>
      <c r="FT69" s="4897"/>
      <c r="FU69" s="4897"/>
      <c r="FV69" s="4897"/>
      <c r="FW69" s="4897"/>
      <c r="FX69" s="4897"/>
      <c r="FY69" s="4897"/>
      <c r="FZ69" s="4897"/>
      <c r="GA69" s="4897"/>
      <c r="GB69" s="4897"/>
      <c r="GC69" s="4897"/>
      <c r="GD69" s="4897"/>
      <c r="GE69" s="4899"/>
    </row>
    <row r="70" spans="3:187" ht="13.5" customHeight="1" outlineLevel="1">
      <c r="C70" s="4785"/>
      <c r="D70" s="4751" t="s">
        <v>5099</v>
      </c>
      <c r="E70" s="4752"/>
      <c r="F70" s="4751" t="s">
        <v>5100</v>
      </c>
      <c r="G70" s="4751"/>
      <c r="H70" s="4919">
        <f>기준분기</f>
        <v>43555</v>
      </c>
      <c r="I70" s="4920">
        <f t="shared" ref="I70:BT70" si="79">EOMONTH(H70,3)</f>
        <v>43646</v>
      </c>
      <c r="J70" s="4920">
        <f t="shared" si="79"/>
        <v>43738</v>
      </c>
      <c r="K70" s="4921">
        <f t="shared" si="79"/>
        <v>43830</v>
      </c>
      <c r="L70" s="4919">
        <f t="shared" si="79"/>
        <v>43921</v>
      </c>
      <c r="M70" s="4920">
        <f t="shared" si="79"/>
        <v>44012</v>
      </c>
      <c r="N70" s="4920">
        <f t="shared" si="79"/>
        <v>44104</v>
      </c>
      <c r="O70" s="4921">
        <f t="shared" si="79"/>
        <v>44196</v>
      </c>
      <c r="P70" s="4919">
        <f t="shared" si="79"/>
        <v>44286</v>
      </c>
      <c r="Q70" s="4920">
        <f t="shared" si="79"/>
        <v>44377</v>
      </c>
      <c r="R70" s="4920">
        <f t="shared" si="79"/>
        <v>44469</v>
      </c>
      <c r="S70" s="4921">
        <f t="shared" si="79"/>
        <v>44561</v>
      </c>
      <c r="T70" s="4919">
        <f t="shared" si="79"/>
        <v>44651</v>
      </c>
      <c r="U70" s="4920">
        <f t="shared" si="79"/>
        <v>44742</v>
      </c>
      <c r="V70" s="4920">
        <f t="shared" si="79"/>
        <v>44834</v>
      </c>
      <c r="W70" s="4921">
        <f t="shared" si="79"/>
        <v>44926</v>
      </c>
      <c r="X70" s="4919">
        <f t="shared" si="79"/>
        <v>45016</v>
      </c>
      <c r="Y70" s="4920">
        <f t="shared" si="79"/>
        <v>45107</v>
      </c>
      <c r="Z70" s="4920">
        <f t="shared" si="79"/>
        <v>45199</v>
      </c>
      <c r="AA70" s="4921">
        <f t="shared" si="79"/>
        <v>45291</v>
      </c>
      <c r="AB70" s="4919">
        <f t="shared" si="79"/>
        <v>45382</v>
      </c>
      <c r="AC70" s="4920">
        <f t="shared" si="79"/>
        <v>45473</v>
      </c>
      <c r="AD70" s="4920">
        <f t="shared" si="79"/>
        <v>45565</v>
      </c>
      <c r="AE70" s="4921">
        <f t="shared" si="79"/>
        <v>45657</v>
      </c>
      <c r="AF70" s="4919">
        <f t="shared" si="79"/>
        <v>45747</v>
      </c>
      <c r="AG70" s="4920">
        <f t="shared" si="79"/>
        <v>45838</v>
      </c>
      <c r="AH70" s="4920">
        <f t="shared" si="79"/>
        <v>45930</v>
      </c>
      <c r="AI70" s="4921">
        <f t="shared" si="79"/>
        <v>46022</v>
      </c>
      <c r="AJ70" s="4919">
        <f t="shared" si="79"/>
        <v>46112</v>
      </c>
      <c r="AK70" s="4920">
        <f t="shared" si="79"/>
        <v>46203</v>
      </c>
      <c r="AL70" s="4920">
        <f t="shared" si="79"/>
        <v>46295</v>
      </c>
      <c r="AM70" s="4921">
        <f t="shared" si="79"/>
        <v>46387</v>
      </c>
      <c r="AN70" s="4919">
        <f t="shared" si="79"/>
        <v>46477</v>
      </c>
      <c r="AO70" s="4920">
        <f t="shared" si="79"/>
        <v>46568</v>
      </c>
      <c r="AP70" s="4920">
        <f t="shared" si="79"/>
        <v>46660</v>
      </c>
      <c r="AQ70" s="4921">
        <f t="shared" si="79"/>
        <v>46752</v>
      </c>
      <c r="AR70" s="4919">
        <f t="shared" si="79"/>
        <v>46843</v>
      </c>
      <c r="AS70" s="4920">
        <f t="shared" si="79"/>
        <v>46934</v>
      </c>
      <c r="AT70" s="4920">
        <f t="shared" si="79"/>
        <v>47026</v>
      </c>
      <c r="AU70" s="4921">
        <f t="shared" si="79"/>
        <v>47118</v>
      </c>
      <c r="AV70" s="4919">
        <f t="shared" si="79"/>
        <v>47208</v>
      </c>
      <c r="AW70" s="4920">
        <f t="shared" si="79"/>
        <v>47299</v>
      </c>
      <c r="AX70" s="4920">
        <f t="shared" si="79"/>
        <v>47391</v>
      </c>
      <c r="AY70" s="4921">
        <f t="shared" si="79"/>
        <v>47483</v>
      </c>
      <c r="AZ70" s="4919">
        <f t="shared" si="79"/>
        <v>47573</v>
      </c>
      <c r="BA70" s="4920">
        <f t="shared" si="79"/>
        <v>47664</v>
      </c>
      <c r="BB70" s="4920">
        <f t="shared" si="79"/>
        <v>47756</v>
      </c>
      <c r="BC70" s="4921">
        <f t="shared" si="79"/>
        <v>47848</v>
      </c>
      <c r="BD70" s="4919">
        <f t="shared" si="79"/>
        <v>47938</v>
      </c>
      <c r="BE70" s="4920">
        <f t="shared" si="79"/>
        <v>48029</v>
      </c>
      <c r="BF70" s="4920">
        <f t="shared" si="79"/>
        <v>48121</v>
      </c>
      <c r="BG70" s="4921">
        <f t="shared" si="79"/>
        <v>48213</v>
      </c>
      <c r="BH70" s="4919">
        <f t="shared" si="79"/>
        <v>48304</v>
      </c>
      <c r="BI70" s="4920">
        <f t="shared" si="79"/>
        <v>48395</v>
      </c>
      <c r="BJ70" s="4920">
        <f t="shared" si="79"/>
        <v>48487</v>
      </c>
      <c r="BK70" s="4921">
        <f t="shared" si="79"/>
        <v>48579</v>
      </c>
      <c r="BL70" s="4919">
        <f t="shared" si="79"/>
        <v>48669</v>
      </c>
      <c r="BM70" s="4920">
        <f t="shared" si="79"/>
        <v>48760</v>
      </c>
      <c r="BN70" s="4920">
        <f t="shared" si="79"/>
        <v>48852</v>
      </c>
      <c r="BO70" s="4921">
        <f t="shared" si="79"/>
        <v>48944</v>
      </c>
      <c r="BP70" s="4919">
        <f t="shared" si="79"/>
        <v>49034</v>
      </c>
      <c r="BQ70" s="4920">
        <f t="shared" si="79"/>
        <v>49125</v>
      </c>
      <c r="BR70" s="4920">
        <f t="shared" si="79"/>
        <v>49217</v>
      </c>
      <c r="BS70" s="4921">
        <f t="shared" si="79"/>
        <v>49309</v>
      </c>
      <c r="BT70" s="4919">
        <f t="shared" si="79"/>
        <v>49399</v>
      </c>
      <c r="BU70" s="4920">
        <f t="shared" ref="BU70:EF70" si="80">EOMONTH(BT70,3)</f>
        <v>49490</v>
      </c>
      <c r="BV70" s="4920">
        <f t="shared" si="80"/>
        <v>49582</v>
      </c>
      <c r="BW70" s="4921">
        <f t="shared" si="80"/>
        <v>49674</v>
      </c>
      <c r="BX70" s="4919">
        <f t="shared" si="80"/>
        <v>49765</v>
      </c>
      <c r="BY70" s="4920">
        <f t="shared" si="80"/>
        <v>49856</v>
      </c>
      <c r="BZ70" s="4920">
        <f t="shared" si="80"/>
        <v>49948</v>
      </c>
      <c r="CA70" s="4921">
        <f t="shared" si="80"/>
        <v>50040</v>
      </c>
      <c r="CB70" s="4919">
        <f t="shared" si="80"/>
        <v>50130</v>
      </c>
      <c r="CC70" s="4920">
        <f t="shared" si="80"/>
        <v>50221</v>
      </c>
      <c r="CD70" s="4920">
        <f t="shared" si="80"/>
        <v>50313</v>
      </c>
      <c r="CE70" s="4921">
        <f t="shared" si="80"/>
        <v>50405</v>
      </c>
      <c r="CF70" s="4919">
        <f t="shared" si="80"/>
        <v>50495</v>
      </c>
      <c r="CG70" s="4920">
        <f t="shared" si="80"/>
        <v>50586</v>
      </c>
      <c r="CH70" s="4920">
        <f t="shared" si="80"/>
        <v>50678</v>
      </c>
      <c r="CI70" s="4921">
        <f t="shared" si="80"/>
        <v>50770</v>
      </c>
      <c r="CJ70" s="4919">
        <f t="shared" si="80"/>
        <v>50860</v>
      </c>
      <c r="CK70" s="4920">
        <f t="shared" si="80"/>
        <v>50951</v>
      </c>
      <c r="CL70" s="4920">
        <f t="shared" si="80"/>
        <v>51043</v>
      </c>
      <c r="CM70" s="4921">
        <f t="shared" si="80"/>
        <v>51135</v>
      </c>
      <c r="CN70" s="4919">
        <f t="shared" si="80"/>
        <v>51226</v>
      </c>
      <c r="CO70" s="4920">
        <f t="shared" si="80"/>
        <v>51317</v>
      </c>
      <c r="CP70" s="4920">
        <f t="shared" si="80"/>
        <v>51409</v>
      </c>
      <c r="CQ70" s="4921">
        <f t="shared" si="80"/>
        <v>51501</v>
      </c>
      <c r="CR70" s="4919">
        <f t="shared" si="80"/>
        <v>51591</v>
      </c>
      <c r="CS70" s="4920">
        <f t="shared" si="80"/>
        <v>51682</v>
      </c>
      <c r="CT70" s="4920">
        <f t="shared" si="80"/>
        <v>51774</v>
      </c>
      <c r="CU70" s="4921">
        <f t="shared" si="80"/>
        <v>51866</v>
      </c>
      <c r="CV70" s="4919">
        <f t="shared" si="80"/>
        <v>51956</v>
      </c>
      <c r="CW70" s="4920">
        <f t="shared" si="80"/>
        <v>52047</v>
      </c>
      <c r="CX70" s="4920">
        <f t="shared" si="80"/>
        <v>52139</v>
      </c>
      <c r="CY70" s="4921">
        <f t="shared" si="80"/>
        <v>52231</v>
      </c>
      <c r="CZ70" s="4919">
        <f t="shared" si="80"/>
        <v>52321</v>
      </c>
      <c r="DA70" s="4920">
        <f t="shared" si="80"/>
        <v>52412</v>
      </c>
      <c r="DB70" s="4920">
        <f t="shared" si="80"/>
        <v>52504</v>
      </c>
      <c r="DC70" s="4921">
        <f t="shared" si="80"/>
        <v>52596</v>
      </c>
      <c r="DD70" s="4919">
        <f t="shared" si="80"/>
        <v>52687</v>
      </c>
      <c r="DE70" s="4920">
        <f t="shared" si="80"/>
        <v>52778</v>
      </c>
      <c r="DF70" s="4920">
        <f t="shared" si="80"/>
        <v>52870</v>
      </c>
      <c r="DG70" s="4921">
        <f t="shared" si="80"/>
        <v>52962</v>
      </c>
      <c r="DH70" s="4919">
        <f t="shared" si="80"/>
        <v>53052</v>
      </c>
      <c r="DI70" s="4920">
        <f t="shared" si="80"/>
        <v>53143</v>
      </c>
      <c r="DJ70" s="4920">
        <f t="shared" si="80"/>
        <v>53235</v>
      </c>
      <c r="DK70" s="4921">
        <f t="shared" si="80"/>
        <v>53327</v>
      </c>
      <c r="DL70" s="4919">
        <f t="shared" si="80"/>
        <v>53417</v>
      </c>
      <c r="DM70" s="4920">
        <f t="shared" si="80"/>
        <v>53508</v>
      </c>
      <c r="DN70" s="4920">
        <f t="shared" si="80"/>
        <v>53600</v>
      </c>
      <c r="DO70" s="4921">
        <f t="shared" si="80"/>
        <v>53692</v>
      </c>
      <c r="DP70" s="4919">
        <f t="shared" si="80"/>
        <v>53782</v>
      </c>
      <c r="DQ70" s="4920">
        <f t="shared" si="80"/>
        <v>53873</v>
      </c>
      <c r="DR70" s="4920">
        <f t="shared" si="80"/>
        <v>53965</v>
      </c>
      <c r="DS70" s="4921">
        <f t="shared" si="80"/>
        <v>54057</v>
      </c>
      <c r="DT70" s="4919">
        <f t="shared" si="80"/>
        <v>54148</v>
      </c>
      <c r="DU70" s="4920">
        <f t="shared" si="80"/>
        <v>54239</v>
      </c>
      <c r="DV70" s="4920">
        <f t="shared" si="80"/>
        <v>54331</v>
      </c>
      <c r="DW70" s="4921">
        <f t="shared" si="80"/>
        <v>54423</v>
      </c>
      <c r="DX70" s="4919">
        <f t="shared" si="80"/>
        <v>54513</v>
      </c>
      <c r="DY70" s="4920">
        <f t="shared" si="80"/>
        <v>54604</v>
      </c>
      <c r="DZ70" s="4920">
        <f t="shared" si="80"/>
        <v>54696</v>
      </c>
      <c r="EA70" s="4921">
        <f t="shared" si="80"/>
        <v>54788</v>
      </c>
      <c r="EB70" s="4919">
        <f t="shared" si="80"/>
        <v>54878</v>
      </c>
      <c r="EC70" s="4920">
        <f t="shared" si="80"/>
        <v>54969</v>
      </c>
      <c r="ED70" s="4920">
        <f t="shared" si="80"/>
        <v>55061</v>
      </c>
      <c r="EE70" s="4921">
        <f t="shared" si="80"/>
        <v>55153</v>
      </c>
      <c r="EF70" s="4919">
        <f t="shared" si="80"/>
        <v>55243</v>
      </c>
      <c r="EG70" s="4920">
        <f t="shared" ref="EG70:GE70" si="81">EOMONTH(EF70,3)</f>
        <v>55334</v>
      </c>
      <c r="EH70" s="4920">
        <f t="shared" si="81"/>
        <v>55426</v>
      </c>
      <c r="EI70" s="4921">
        <f t="shared" si="81"/>
        <v>55518</v>
      </c>
      <c r="EJ70" s="4919">
        <f t="shared" si="81"/>
        <v>55609</v>
      </c>
      <c r="EK70" s="4920">
        <f t="shared" si="81"/>
        <v>55700</v>
      </c>
      <c r="EL70" s="4920">
        <f t="shared" si="81"/>
        <v>55792</v>
      </c>
      <c r="EM70" s="4921">
        <f t="shared" si="81"/>
        <v>55884</v>
      </c>
      <c r="EN70" s="4919">
        <f t="shared" si="81"/>
        <v>55974</v>
      </c>
      <c r="EO70" s="4920">
        <f t="shared" si="81"/>
        <v>56065</v>
      </c>
      <c r="EP70" s="4920">
        <f t="shared" si="81"/>
        <v>56157</v>
      </c>
      <c r="EQ70" s="4921">
        <f t="shared" si="81"/>
        <v>56249</v>
      </c>
      <c r="ER70" s="4919">
        <f t="shared" si="81"/>
        <v>56339</v>
      </c>
      <c r="ES70" s="4920">
        <f t="shared" si="81"/>
        <v>56430</v>
      </c>
      <c r="ET70" s="4920">
        <f t="shared" si="81"/>
        <v>56522</v>
      </c>
      <c r="EU70" s="4921">
        <f t="shared" si="81"/>
        <v>56614</v>
      </c>
      <c r="EV70" s="4919">
        <f t="shared" si="81"/>
        <v>56704</v>
      </c>
      <c r="EW70" s="4920">
        <f t="shared" si="81"/>
        <v>56795</v>
      </c>
      <c r="EX70" s="4920">
        <f t="shared" si="81"/>
        <v>56887</v>
      </c>
      <c r="EY70" s="4921">
        <f t="shared" si="81"/>
        <v>56979</v>
      </c>
      <c r="EZ70" s="4919">
        <f t="shared" si="81"/>
        <v>57070</v>
      </c>
      <c r="FA70" s="4920">
        <f t="shared" si="81"/>
        <v>57161</v>
      </c>
      <c r="FB70" s="4920">
        <f t="shared" si="81"/>
        <v>57253</v>
      </c>
      <c r="FC70" s="4921">
        <f t="shared" si="81"/>
        <v>57345</v>
      </c>
      <c r="FD70" s="4919">
        <f t="shared" si="81"/>
        <v>57435</v>
      </c>
      <c r="FE70" s="4920">
        <f t="shared" si="81"/>
        <v>57526</v>
      </c>
      <c r="FF70" s="4920">
        <f t="shared" si="81"/>
        <v>57618</v>
      </c>
      <c r="FG70" s="4921">
        <f t="shared" si="81"/>
        <v>57710</v>
      </c>
      <c r="FH70" s="4919">
        <f t="shared" si="81"/>
        <v>57800</v>
      </c>
      <c r="FI70" s="4920">
        <f t="shared" si="81"/>
        <v>57891</v>
      </c>
      <c r="FJ70" s="4920">
        <f t="shared" si="81"/>
        <v>57983</v>
      </c>
      <c r="FK70" s="4921">
        <f t="shared" si="81"/>
        <v>58075</v>
      </c>
      <c r="FL70" s="4919">
        <f t="shared" si="81"/>
        <v>58165</v>
      </c>
      <c r="FM70" s="4920">
        <f t="shared" si="81"/>
        <v>58256</v>
      </c>
      <c r="FN70" s="4920">
        <f t="shared" si="81"/>
        <v>58348</v>
      </c>
      <c r="FO70" s="4921">
        <f t="shared" si="81"/>
        <v>58440</v>
      </c>
      <c r="FP70" s="4919">
        <f t="shared" si="81"/>
        <v>58531</v>
      </c>
      <c r="FQ70" s="4920">
        <f t="shared" si="81"/>
        <v>58622</v>
      </c>
      <c r="FR70" s="4920">
        <f t="shared" si="81"/>
        <v>58714</v>
      </c>
      <c r="FS70" s="4921">
        <f t="shared" si="81"/>
        <v>58806</v>
      </c>
      <c r="FT70" s="4919">
        <f t="shared" si="81"/>
        <v>58896</v>
      </c>
      <c r="FU70" s="4920">
        <f t="shared" si="81"/>
        <v>58987</v>
      </c>
      <c r="FV70" s="4920">
        <f t="shared" si="81"/>
        <v>59079</v>
      </c>
      <c r="FW70" s="4921">
        <f t="shared" si="81"/>
        <v>59171</v>
      </c>
      <c r="FX70" s="4919">
        <f t="shared" si="81"/>
        <v>59261</v>
      </c>
      <c r="FY70" s="4920">
        <f t="shared" si="81"/>
        <v>59352</v>
      </c>
      <c r="FZ70" s="4920">
        <f t="shared" si="81"/>
        <v>59444</v>
      </c>
      <c r="GA70" s="4921">
        <f t="shared" si="81"/>
        <v>59536</v>
      </c>
      <c r="GB70" s="4919">
        <f t="shared" si="81"/>
        <v>59626</v>
      </c>
      <c r="GC70" s="4920">
        <f t="shared" si="81"/>
        <v>59717</v>
      </c>
      <c r="GD70" s="4920">
        <f t="shared" si="81"/>
        <v>59809</v>
      </c>
      <c r="GE70" s="4922">
        <f t="shared" si="81"/>
        <v>59901</v>
      </c>
    </row>
    <row r="71" spans="3:187" ht="13.5" customHeight="1" outlineLevel="1">
      <c r="C71" s="4900" t="str">
        <f>C7</f>
        <v>장기A</v>
      </c>
      <c r="D71" s="315"/>
      <c r="E71" s="315"/>
      <c r="F71" s="315"/>
      <c r="G71" s="315"/>
      <c r="H71" s="720"/>
      <c r="I71" s="315"/>
      <c r="J71" s="315"/>
      <c r="K71" s="721"/>
      <c r="L71" s="720"/>
      <c r="M71" s="315"/>
      <c r="N71" s="315"/>
      <c r="O71" s="721"/>
      <c r="P71" s="720"/>
      <c r="Q71" s="315"/>
      <c r="R71" s="315"/>
      <c r="S71" s="721"/>
      <c r="T71" s="720"/>
      <c r="U71" s="315"/>
      <c r="V71" s="315"/>
      <c r="W71" s="721"/>
      <c r="X71" s="720"/>
      <c r="Y71" s="315"/>
      <c r="Z71" s="315"/>
      <c r="AA71" s="721"/>
      <c r="AB71" s="720"/>
      <c r="AC71" s="315"/>
      <c r="AD71" s="315"/>
      <c r="AE71" s="721"/>
      <c r="AF71" s="720"/>
      <c r="AG71" s="315"/>
      <c r="AH71" s="315"/>
      <c r="AI71" s="721"/>
      <c r="AJ71" s="720"/>
      <c r="AK71" s="315"/>
      <c r="AL71" s="315"/>
      <c r="AM71" s="721"/>
      <c r="AN71" s="720"/>
      <c r="AO71" s="315"/>
      <c r="AP71" s="315"/>
      <c r="AQ71" s="721"/>
      <c r="AR71" s="720"/>
      <c r="AS71" s="315"/>
      <c r="AT71" s="315"/>
      <c r="AU71" s="721"/>
      <c r="AV71" s="720"/>
      <c r="AW71" s="315"/>
      <c r="AX71" s="315"/>
      <c r="AY71" s="721"/>
      <c r="AZ71" s="720"/>
      <c r="BA71" s="315"/>
      <c r="BB71" s="315"/>
      <c r="BC71" s="721"/>
      <c r="BD71" s="720"/>
      <c r="BE71" s="315"/>
      <c r="BF71" s="315"/>
      <c r="BG71" s="721"/>
      <c r="BH71" s="720"/>
      <c r="BI71" s="315"/>
      <c r="BJ71" s="315"/>
      <c r="BK71" s="721"/>
      <c r="BL71" s="720"/>
      <c r="BM71" s="315"/>
      <c r="BN71" s="315"/>
      <c r="BO71" s="721"/>
      <c r="BP71" s="720"/>
      <c r="BQ71" s="315"/>
      <c r="BR71" s="315"/>
      <c r="BS71" s="721"/>
      <c r="BT71" s="720"/>
      <c r="BU71" s="315"/>
      <c r="BV71" s="315"/>
      <c r="BW71" s="721"/>
      <c r="BX71" s="720"/>
      <c r="BY71" s="315"/>
      <c r="BZ71" s="315"/>
      <c r="CA71" s="721"/>
      <c r="CB71" s="720"/>
      <c r="CC71" s="315"/>
      <c r="CD71" s="315"/>
      <c r="CE71" s="721"/>
      <c r="CF71" s="720"/>
      <c r="CG71" s="315"/>
      <c r="CH71" s="315"/>
      <c r="CI71" s="721"/>
      <c r="CJ71" s="720"/>
      <c r="CK71" s="315"/>
      <c r="CL71" s="315"/>
      <c r="CM71" s="721"/>
      <c r="CN71" s="720"/>
      <c r="CO71" s="315"/>
      <c r="CP71" s="315"/>
      <c r="CQ71" s="721"/>
      <c r="CR71" s="720"/>
      <c r="CS71" s="315"/>
      <c r="CT71" s="315"/>
      <c r="CU71" s="721"/>
      <c r="CV71" s="720"/>
      <c r="CW71" s="315"/>
      <c r="CX71" s="315"/>
      <c r="CY71" s="721"/>
      <c r="CZ71" s="720"/>
      <c r="DA71" s="315"/>
      <c r="DB71" s="315"/>
      <c r="DC71" s="721"/>
      <c r="DD71" s="720"/>
      <c r="DE71" s="315"/>
      <c r="DF71" s="315"/>
      <c r="DG71" s="721"/>
      <c r="DH71" s="720"/>
      <c r="DI71" s="315"/>
      <c r="DJ71" s="315"/>
      <c r="DK71" s="721"/>
      <c r="DL71" s="720"/>
      <c r="DM71" s="315"/>
      <c r="DN71" s="315"/>
      <c r="DO71" s="721"/>
      <c r="DP71" s="720"/>
      <c r="DQ71" s="315"/>
      <c r="DR71" s="315"/>
      <c r="DS71" s="721"/>
      <c r="DT71" s="720"/>
      <c r="DU71" s="315"/>
      <c r="DV71" s="315"/>
      <c r="DW71" s="721"/>
      <c r="DX71" s="720"/>
      <c r="DY71" s="315"/>
      <c r="DZ71" s="315"/>
      <c r="EA71" s="721"/>
      <c r="EB71" s="720"/>
      <c r="EC71" s="315"/>
      <c r="ED71" s="315"/>
      <c r="EE71" s="721"/>
      <c r="EF71" s="720"/>
      <c r="EG71" s="315"/>
      <c r="EH71" s="315"/>
      <c r="EI71" s="721"/>
      <c r="EJ71" s="720"/>
      <c r="EK71" s="315"/>
      <c r="EL71" s="315"/>
      <c r="EM71" s="721"/>
      <c r="EN71" s="720"/>
      <c r="EO71" s="315"/>
      <c r="EP71" s="315"/>
      <c r="EQ71" s="721"/>
      <c r="ER71" s="720"/>
      <c r="ES71" s="315"/>
      <c r="ET71" s="315"/>
      <c r="EU71" s="721"/>
      <c r="EV71" s="720"/>
      <c r="EW71" s="315"/>
      <c r="EX71" s="315"/>
      <c r="EY71" s="721"/>
      <c r="EZ71" s="720"/>
      <c r="FA71" s="315"/>
      <c r="FB71" s="315"/>
      <c r="FC71" s="721"/>
      <c r="FD71" s="720"/>
      <c r="FE71" s="315"/>
      <c r="FF71" s="315"/>
      <c r="FG71" s="721"/>
      <c r="FH71" s="720"/>
      <c r="FI71" s="315"/>
      <c r="FJ71" s="315"/>
      <c r="FK71" s="721"/>
      <c r="FL71" s="720"/>
      <c r="FM71" s="315"/>
      <c r="FN71" s="315"/>
      <c r="FO71" s="721"/>
      <c r="FP71" s="720"/>
      <c r="FQ71" s="315"/>
      <c r="FR71" s="315"/>
      <c r="FS71" s="721"/>
      <c r="FT71" s="720"/>
      <c r="FU71" s="315"/>
      <c r="FV71" s="315"/>
      <c r="FW71" s="721"/>
      <c r="FX71" s="720"/>
      <c r="FY71" s="315"/>
      <c r="FZ71" s="315"/>
      <c r="GA71" s="721"/>
      <c r="GB71" s="720"/>
      <c r="GC71" s="315"/>
      <c r="GD71" s="315"/>
      <c r="GE71" s="4901"/>
    </row>
    <row r="72" spans="3:187" ht="13.5" customHeight="1" outlineLevel="1">
      <c r="C72" s="4781"/>
      <c r="D72" s="773" t="s">
        <v>1080</v>
      </c>
      <c r="E72" s="722"/>
      <c r="F72" s="723"/>
      <c r="G72" s="723"/>
      <c r="H72" s="778">
        <v>1139.8099999999997</v>
      </c>
      <c r="I72" s="725">
        <f t="shared" ref="I72:BJ72" si="82">H72-H73</f>
        <v>1113.2099999999998</v>
      </c>
      <c r="J72" s="725">
        <f t="shared" si="82"/>
        <v>1086.6099999999999</v>
      </c>
      <c r="K72" s="726">
        <f t="shared" si="82"/>
        <v>1060.01</v>
      </c>
      <c r="L72" s="724">
        <f t="shared" si="82"/>
        <v>1032.08</v>
      </c>
      <c r="M72" s="725">
        <f t="shared" si="82"/>
        <v>1000.8249999999999</v>
      </c>
      <c r="N72" s="725">
        <f t="shared" si="82"/>
        <v>968.90499999999997</v>
      </c>
      <c r="O72" s="726">
        <f t="shared" si="82"/>
        <v>936.31999999999994</v>
      </c>
      <c r="P72" s="724">
        <f t="shared" si="82"/>
        <v>903.06999999999994</v>
      </c>
      <c r="Q72" s="725">
        <f t="shared" si="82"/>
        <v>869.15499999999997</v>
      </c>
      <c r="R72" s="725">
        <f t="shared" si="82"/>
        <v>834.57499999999993</v>
      </c>
      <c r="S72" s="726">
        <f t="shared" si="82"/>
        <v>799.99499999999989</v>
      </c>
      <c r="T72" s="724">
        <f t="shared" si="82"/>
        <v>764.74999999999989</v>
      </c>
      <c r="U72" s="725">
        <f t="shared" si="82"/>
        <v>733.49499999999989</v>
      </c>
      <c r="V72" s="5212">
        <f t="shared" si="82"/>
        <v>702.2399999999999</v>
      </c>
      <c r="W72" s="726">
        <f t="shared" si="82"/>
        <v>670.31999999999994</v>
      </c>
      <c r="X72" s="724">
        <f t="shared" si="82"/>
        <v>637.7349999999999</v>
      </c>
      <c r="Y72" s="725">
        <f t="shared" si="82"/>
        <v>605.14999999999986</v>
      </c>
      <c r="Z72" s="725">
        <f t="shared" si="82"/>
        <v>572.56499999999983</v>
      </c>
      <c r="AA72" s="726">
        <f t="shared" si="82"/>
        <v>539.31499999999983</v>
      </c>
      <c r="AB72" s="724">
        <f t="shared" si="82"/>
        <v>505.39999999999981</v>
      </c>
      <c r="AC72" s="725">
        <f t="shared" si="82"/>
        <v>474.80999999999983</v>
      </c>
      <c r="AD72" s="725">
        <f t="shared" si="82"/>
        <v>443.55499999999984</v>
      </c>
      <c r="AE72" s="726">
        <f t="shared" si="82"/>
        <v>408.30999999999983</v>
      </c>
      <c r="AF72" s="724">
        <f t="shared" si="82"/>
        <v>372.39999999999986</v>
      </c>
      <c r="AG72" s="725">
        <f t="shared" si="82"/>
        <v>330.50499999999988</v>
      </c>
      <c r="AH72" s="725">
        <f t="shared" si="82"/>
        <v>288.6099999999999</v>
      </c>
      <c r="AI72" s="726">
        <f t="shared" si="82"/>
        <v>246.0499999999999</v>
      </c>
      <c r="AJ72" s="724">
        <f t="shared" si="82"/>
        <v>202.8249999999999</v>
      </c>
      <c r="AK72" s="725">
        <f t="shared" si="82"/>
        <v>176.22499999999991</v>
      </c>
      <c r="AL72" s="725">
        <f t="shared" si="82"/>
        <v>145.63499999999991</v>
      </c>
      <c r="AM72" s="726">
        <f t="shared" si="82"/>
        <v>114.37999999999991</v>
      </c>
      <c r="AN72" s="724">
        <f t="shared" si="82"/>
        <v>87.779999999999916</v>
      </c>
      <c r="AO72" s="725">
        <f t="shared" si="82"/>
        <v>79.799999999999912</v>
      </c>
      <c r="AP72" s="725">
        <f t="shared" si="82"/>
        <v>71.819999999999908</v>
      </c>
      <c r="AQ72" s="726">
        <f t="shared" si="82"/>
        <v>63.839999999999904</v>
      </c>
      <c r="AR72" s="724">
        <f t="shared" si="82"/>
        <v>55.8599999999999</v>
      </c>
      <c r="AS72" s="725">
        <f t="shared" si="82"/>
        <v>47.879999999999896</v>
      </c>
      <c r="AT72" s="725">
        <f t="shared" si="82"/>
        <v>39.899999999999892</v>
      </c>
      <c r="AU72" s="726">
        <f t="shared" si="82"/>
        <v>31.919999999999892</v>
      </c>
      <c r="AV72" s="724">
        <f t="shared" si="82"/>
        <v>23.939999999999891</v>
      </c>
      <c r="AW72" s="725">
        <f t="shared" si="82"/>
        <v>15.959999999999891</v>
      </c>
      <c r="AX72" s="725">
        <f t="shared" si="82"/>
        <v>7.9799999999998903</v>
      </c>
      <c r="AY72" s="726">
        <f t="shared" si="82"/>
        <v>0</v>
      </c>
      <c r="AZ72" s="724">
        <f t="shared" si="82"/>
        <v>0</v>
      </c>
      <c r="BA72" s="725">
        <f t="shared" si="82"/>
        <v>0</v>
      </c>
      <c r="BB72" s="725">
        <f t="shared" si="82"/>
        <v>0</v>
      </c>
      <c r="BC72" s="726">
        <f t="shared" si="82"/>
        <v>0</v>
      </c>
      <c r="BD72" s="724">
        <f t="shared" si="82"/>
        <v>0</v>
      </c>
      <c r="BE72" s="725">
        <f t="shared" si="82"/>
        <v>0</v>
      </c>
      <c r="BF72" s="725">
        <f t="shared" si="82"/>
        <v>0</v>
      </c>
      <c r="BG72" s="726">
        <f t="shared" si="82"/>
        <v>0</v>
      </c>
      <c r="BH72" s="724">
        <f t="shared" si="82"/>
        <v>0</v>
      </c>
      <c r="BI72" s="725">
        <f t="shared" si="82"/>
        <v>0</v>
      </c>
      <c r="BJ72" s="725">
        <f t="shared" si="82"/>
        <v>0</v>
      </c>
      <c r="BK72" s="726">
        <v>0</v>
      </c>
      <c r="BL72" s="724">
        <f t="shared" ref="BL72:DW72" si="83">BK72-BK73</f>
        <v>0</v>
      </c>
      <c r="BM72" s="725">
        <f t="shared" si="83"/>
        <v>0</v>
      </c>
      <c r="BN72" s="725">
        <f t="shared" si="83"/>
        <v>0</v>
      </c>
      <c r="BO72" s="726">
        <f t="shared" si="83"/>
        <v>0</v>
      </c>
      <c r="BP72" s="724">
        <f t="shared" si="83"/>
        <v>0</v>
      </c>
      <c r="BQ72" s="725">
        <f t="shared" si="83"/>
        <v>0</v>
      </c>
      <c r="BR72" s="725">
        <f t="shared" si="83"/>
        <v>0</v>
      </c>
      <c r="BS72" s="726">
        <f t="shared" si="83"/>
        <v>0</v>
      </c>
      <c r="BT72" s="724">
        <f t="shared" si="83"/>
        <v>0</v>
      </c>
      <c r="BU72" s="725">
        <f t="shared" si="83"/>
        <v>0</v>
      </c>
      <c r="BV72" s="725">
        <f t="shared" si="83"/>
        <v>0</v>
      </c>
      <c r="BW72" s="726">
        <f t="shared" si="83"/>
        <v>0</v>
      </c>
      <c r="BX72" s="724">
        <f t="shared" si="83"/>
        <v>0</v>
      </c>
      <c r="BY72" s="725">
        <f t="shared" si="83"/>
        <v>0</v>
      </c>
      <c r="BZ72" s="725">
        <f t="shared" si="83"/>
        <v>0</v>
      </c>
      <c r="CA72" s="726">
        <f t="shared" si="83"/>
        <v>0</v>
      </c>
      <c r="CB72" s="724">
        <f t="shared" si="83"/>
        <v>0</v>
      </c>
      <c r="CC72" s="725">
        <f t="shared" si="83"/>
        <v>0</v>
      </c>
      <c r="CD72" s="725">
        <f t="shared" si="83"/>
        <v>0</v>
      </c>
      <c r="CE72" s="726">
        <f t="shared" si="83"/>
        <v>0</v>
      </c>
      <c r="CF72" s="724">
        <f t="shared" si="83"/>
        <v>0</v>
      </c>
      <c r="CG72" s="725">
        <f t="shared" si="83"/>
        <v>0</v>
      </c>
      <c r="CH72" s="725">
        <f t="shared" si="83"/>
        <v>0</v>
      </c>
      <c r="CI72" s="726">
        <f t="shared" si="83"/>
        <v>0</v>
      </c>
      <c r="CJ72" s="724">
        <f t="shared" si="83"/>
        <v>0</v>
      </c>
      <c r="CK72" s="725">
        <f t="shared" si="83"/>
        <v>0</v>
      </c>
      <c r="CL72" s="725">
        <f t="shared" si="83"/>
        <v>0</v>
      </c>
      <c r="CM72" s="726">
        <f t="shared" si="83"/>
        <v>0</v>
      </c>
      <c r="CN72" s="724">
        <f t="shared" si="83"/>
        <v>0</v>
      </c>
      <c r="CO72" s="725">
        <f t="shared" si="83"/>
        <v>0</v>
      </c>
      <c r="CP72" s="725">
        <f t="shared" si="83"/>
        <v>0</v>
      </c>
      <c r="CQ72" s="726">
        <f t="shared" si="83"/>
        <v>0</v>
      </c>
      <c r="CR72" s="724">
        <f t="shared" si="83"/>
        <v>0</v>
      </c>
      <c r="CS72" s="725">
        <f t="shared" si="83"/>
        <v>0</v>
      </c>
      <c r="CT72" s="725">
        <f t="shared" si="83"/>
        <v>0</v>
      </c>
      <c r="CU72" s="726">
        <f t="shared" si="83"/>
        <v>0</v>
      </c>
      <c r="CV72" s="724">
        <f t="shared" si="83"/>
        <v>0</v>
      </c>
      <c r="CW72" s="725">
        <f t="shared" si="83"/>
        <v>0</v>
      </c>
      <c r="CX72" s="725">
        <f t="shared" si="83"/>
        <v>0</v>
      </c>
      <c r="CY72" s="726">
        <f t="shared" si="83"/>
        <v>0</v>
      </c>
      <c r="CZ72" s="724">
        <f t="shared" si="83"/>
        <v>0</v>
      </c>
      <c r="DA72" s="725">
        <f t="shared" si="83"/>
        <v>0</v>
      </c>
      <c r="DB72" s="725">
        <f t="shared" si="83"/>
        <v>0</v>
      </c>
      <c r="DC72" s="726">
        <f t="shared" si="83"/>
        <v>0</v>
      </c>
      <c r="DD72" s="724">
        <f t="shared" si="83"/>
        <v>0</v>
      </c>
      <c r="DE72" s="725">
        <f t="shared" si="83"/>
        <v>0</v>
      </c>
      <c r="DF72" s="725">
        <f t="shared" si="83"/>
        <v>0</v>
      </c>
      <c r="DG72" s="726">
        <f t="shared" si="83"/>
        <v>0</v>
      </c>
      <c r="DH72" s="724">
        <f t="shared" si="83"/>
        <v>0</v>
      </c>
      <c r="DI72" s="725">
        <f t="shared" si="83"/>
        <v>0</v>
      </c>
      <c r="DJ72" s="725">
        <f t="shared" si="83"/>
        <v>0</v>
      </c>
      <c r="DK72" s="726">
        <f t="shared" si="83"/>
        <v>0</v>
      </c>
      <c r="DL72" s="724">
        <f t="shared" si="83"/>
        <v>0</v>
      </c>
      <c r="DM72" s="725">
        <f t="shared" si="83"/>
        <v>0</v>
      </c>
      <c r="DN72" s="725">
        <f t="shared" si="83"/>
        <v>0</v>
      </c>
      <c r="DO72" s="726">
        <f t="shared" si="83"/>
        <v>0</v>
      </c>
      <c r="DP72" s="724">
        <f t="shared" si="83"/>
        <v>0</v>
      </c>
      <c r="DQ72" s="725">
        <f t="shared" si="83"/>
        <v>0</v>
      </c>
      <c r="DR72" s="725">
        <f t="shared" si="83"/>
        <v>0</v>
      </c>
      <c r="DS72" s="726">
        <f t="shared" si="83"/>
        <v>0</v>
      </c>
      <c r="DT72" s="724">
        <f t="shared" si="83"/>
        <v>0</v>
      </c>
      <c r="DU72" s="725">
        <f t="shared" si="83"/>
        <v>0</v>
      </c>
      <c r="DV72" s="725">
        <f t="shared" si="83"/>
        <v>0</v>
      </c>
      <c r="DW72" s="726">
        <f t="shared" si="83"/>
        <v>0</v>
      </c>
      <c r="DX72" s="724">
        <f t="shared" ref="DX72:GE72" si="84">DW72-DW73</f>
        <v>0</v>
      </c>
      <c r="DY72" s="725">
        <f t="shared" si="84"/>
        <v>0</v>
      </c>
      <c r="DZ72" s="725">
        <f t="shared" si="84"/>
        <v>0</v>
      </c>
      <c r="EA72" s="726">
        <f t="shared" si="84"/>
        <v>0</v>
      </c>
      <c r="EB72" s="724">
        <f t="shared" si="84"/>
        <v>0</v>
      </c>
      <c r="EC72" s="725">
        <f t="shared" si="84"/>
        <v>0</v>
      </c>
      <c r="ED72" s="725">
        <f t="shared" si="84"/>
        <v>0</v>
      </c>
      <c r="EE72" s="726">
        <f t="shared" si="84"/>
        <v>0</v>
      </c>
      <c r="EF72" s="724">
        <f t="shared" si="84"/>
        <v>0</v>
      </c>
      <c r="EG72" s="725">
        <f t="shared" si="84"/>
        <v>0</v>
      </c>
      <c r="EH72" s="725">
        <f t="shared" si="84"/>
        <v>0</v>
      </c>
      <c r="EI72" s="726">
        <f t="shared" si="84"/>
        <v>0</v>
      </c>
      <c r="EJ72" s="724">
        <f t="shared" si="84"/>
        <v>0</v>
      </c>
      <c r="EK72" s="725">
        <f t="shared" si="84"/>
        <v>0</v>
      </c>
      <c r="EL72" s="725">
        <f t="shared" si="84"/>
        <v>0</v>
      </c>
      <c r="EM72" s="726">
        <f t="shared" si="84"/>
        <v>0</v>
      </c>
      <c r="EN72" s="724">
        <f t="shared" si="84"/>
        <v>0</v>
      </c>
      <c r="EO72" s="725">
        <f t="shared" si="84"/>
        <v>0</v>
      </c>
      <c r="EP72" s="725">
        <f t="shared" si="84"/>
        <v>0</v>
      </c>
      <c r="EQ72" s="726">
        <f t="shared" si="84"/>
        <v>0</v>
      </c>
      <c r="ER72" s="724">
        <f t="shared" si="84"/>
        <v>0</v>
      </c>
      <c r="ES72" s="725">
        <f t="shared" si="84"/>
        <v>0</v>
      </c>
      <c r="ET72" s="725">
        <f t="shared" si="84"/>
        <v>0</v>
      </c>
      <c r="EU72" s="726">
        <f t="shared" si="84"/>
        <v>0</v>
      </c>
      <c r="EV72" s="724">
        <f t="shared" si="84"/>
        <v>0</v>
      </c>
      <c r="EW72" s="725">
        <f t="shared" si="84"/>
        <v>0</v>
      </c>
      <c r="EX72" s="725">
        <f t="shared" si="84"/>
        <v>0</v>
      </c>
      <c r="EY72" s="726">
        <f t="shared" si="84"/>
        <v>0</v>
      </c>
      <c r="EZ72" s="724">
        <f t="shared" si="84"/>
        <v>0</v>
      </c>
      <c r="FA72" s="725">
        <f t="shared" si="84"/>
        <v>0</v>
      </c>
      <c r="FB72" s="725">
        <f t="shared" si="84"/>
        <v>0</v>
      </c>
      <c r="FC72" s="726">
        <f t="shared" si="84"/>
        <v>0</v>
      </c>
      <c r="FD72" s="724">
        <f t="shared" si="84"/>
        <v>0</v>
      </c>
      <c r="FE72" s="725">
        <f t="shared" si="84"/>
        <v>0</v>
      </c>
      <c r="FF72" s="725">
        <f t="shared" si="84"/>
        <v>0</v>
      </c>
      <c r="FG72" s="726">
        <f t="shared" si="84"/>
        <v>0</v>
      </c>
      <c r="FH72" s="724">
        <f t="shared" si="84"/>
        <v>0</v>
      </c>
      <c r="FI72" s="725">
        <f t="shared" si="84"/>
        <v>0</v>
      </c>
      <c r="FJ72" s="725">
        <f t="shared" si="84"/>
        <v>0</v>
      </c>
      <c r="FK72" s="726">
        <f t="shared" si="84"/>
        <v>0</v>
      </c>
      <c r="FL72" s="724">
        <f t="shared" si="84"/>
        <v>0</v>
      </c>
      <c r="FM72" s="725">
        <f t="shared" si="84"/>
        <v>0</v>
      </c>
      <c r="FN72" s="725">
        <f t="shared" si="84"/>
        <v>0</v>
      </c>
      <c r="FO72" s="726">
        <f t="shared" si="84"/>
        <v>0</v>
      </c>
      <c r="FP72" s="724">
        <f t="shared" si="84"/>
        <v>0</v>
      </c>
      <c r="FQ72" s="725">
        <f t="shared" si="84"/>
        <v>0</v>
      </c>
      <c r="FR72" s="725">
        <f t="shared" si="84"/>
        <v>0</v>
      </c>
      <c r="FS72" s="726">
        <f t="shared" si="84"/>
        <v>0</v>
      </c>
      <c r="FT72" s="724">
        <f t="shared" si="84"/>
        <v>0</v>
      </c>
      <c r="FU72" s="725">
        <f t="shared" si="84"/>
        <v>0</v>
      </c>
      <c r="FV72" s="725">
        <f t="shared" si="84"/>
        <v>0</v>
      </c>
      <c r="FW72" s="726">
        <f t="shared" si="84"/>
        <v>0</v>
      </c>
      <c r="FX72" s="724">
        <f t="shared" si="84"/>
        <v>0</v>
      </c>
      <c r="FY72" s="725">
        <f t="shared" si="84"/>
        <v>0</v>
      </c>
      <c r="FZ72" s="725">
        <f t="shared" si="84"/>
        <v>0</v>
      </c>
      <c r="GA72" s="726">
        <f t="shared" si="84"/>
        <v>0</v>
      </c>
      <c r="GB72" s="724">
        <f t="shared" si="84"/>
        <v>0</v>
      </c>
      <c r="GC72" s="725">
        <f t="shared" si="84"/>
        <v>0</v>
      </c>
      <c r="GD72" s="725">
        <f t="shared" si="84"/>
        <v>0</v>
      </c>
      <c r="GE72" s="4902">
        <f t="shared" si="84"/>
        <v>0</v>
      </c>
    </row>
    <row r="73" spans="3:187" ht="13.5" customHeight="1" outlineLevel="1">
      <c r="C73" s="4781"/>
      <c r="D73" s="326" t="s">
        <v>1082</v>
      </c>
      <c r="E73" s="1868"/>
      <c r="F73" s="743">
        <f>SUM(H73:FO73)</f>
        <v>1139.81</v>
      </c>
      <c r="G73" s="743"/>
      <c r="H73" s="779">
        <v>26.6</v>
      </c>
      <c r="I73" s="780">
        <v>26.6</v>
      </c>
      <c r="J73" s="780">
        <v>26.6</v>
      </c>
      <c r="K73" s="781">
        <v>27.93</v>
      </c>
      <c r="L73" s="779">
        <v>31.254999999999999</v>
      </c>
      <c r="M73" s="780">
        <v>31.92</v>
      </c>
      <c r="N73" s="780">
        <v>32.585000000000001</v>
      </c>
      <c r="O73" s="781">
        <v>33.25</v>
      </c>
      <c r="P73" s="779">
        <v>33.914999999999999</v>
      </c>
      <c r="Q73" s="780">
        <v>34.58</v>
      </c>
      <c r="R73" s="780">
        <v>34.58</v>
      </c>
      <c r="S73" s="781">
        <v>35.244999999999997</v>
      </c>
      <c r="T73" s="779">
        <v>31.254999999999999</v>
      </c>
      <c r="U73" s="780">
        <v>31.254999999999999</v>
      </c>
      <c r="V73" s="780">
        <v>31.92</v>
      </c>
      <c r="W73" s="781">
        <v>32.585000000000001</v>
      </c>
      <c r="X73" s="779">
        <v>32.585000000000001</v>
      </c>
      <c r="Y73" s="780">
        <v>32.585000000000001</v>
      </c>
      <c r="Z73" s="780">
        <v>33.25</v>
      </c>
      <c r="AA73" s="781">
        <v>33.914999999999999</v>
      </c>
      <c r="AB73" s="779">
        <v>30.59</v>
      </c>
      <c r="AC73" s="780">
        <v>31.254999999999999</v>
      </c>
      <c r="AD73" s="780">
        <v>35.244999999999997</v>
      </c>
      <c r="AE73" s="781">
        <v>35.909999999999997</v>
      </c>
      <c r="AF73" s="779">
        <v>41.895000000000003</v>
      </c>
      <c r="AG73" s="780">
        <v>41.895000000000003</v>
      </c>
      <c r="AH73" s="780">
        <v>42.56</v>
      </c>
      <c r="AI73" s="781">
        <v>43.225000000000001</v>
      </c>
      <c r="AJ73" s="779">
        <v>26.6</v>
      </c>
      <c r="AK73" s="780">
        <v>30.59</v>
      </c>
      <c r="AL73" s="780">
        <v>31.254999999999999</v>
      </c>
      <c r="AM73" s="781">
        <v>26.6</v>
      </c>
      <c r="AN73" s="779">
        <v>7.98</v>
      </c>
      <c r="AO73" s="780">
        <v>7.98</v>
      </c>
      <c r="AP73" s="780">
        <v>7.98</v>
      </c>
      <c r="AQ73" s="781">
        <v>7.98</v>
      </c>
      <c r="AR73" s="779">
        <v>7.98</v>
      </c>
      <c r="AS73" s="780">
        <v>7.98</v>
      </c>
      <c r="AT73" s="780">
        <v>7.98</v>
      </c>
      <c r="AU73" s="781">
        <v>7.98</v>
      </c>
      <c r="AV73" s="779">
        <v>7.98</v>
      </c>
      <c r="AW73" s="780">
        <v>7.98</v>
      </c>
      <c r="AX73" s="780">
        <f>AX72</f>
        <v>7.9799999999998903</v>
      </c>
      <c r="AY73" s="781">
        <v>0</v>
      </c>
      <c r="AZ73" s="779">
        <v>0</v>
      </c>
      <c r="BA73" s="780">
        <v>0</v>
      </c>
      <c r="BB73" s="780">
        <v>0</v>
      </c>
      <c r="BC73" s="781">
        <v>0</v>
      </c>
      <c r="BD73" s="779">
        <v>0</v>
      </c>
      <c r="BE73" s="780">
        <v>0</v>
      </c>
      <c r="BF73" s="780">
        <v>0</v>
      </c>
      <c r="BG73" s="781">
        <v>0</v>
      </c>
      <c r="BH73" s="779">
        <v>0</v>
      </c>
      <c r="BI73" s="780">
        <v>0</v>
      </c>
      <c r="BJ73" s="780">
        <v>0</v>
      </c>
      <c r="BK73" s="781">
        <v>0</v>
      </c>
      <c r="BL73" s="779">
        <v>0</v>
      </c>
      <c r="BM73" s="780">
        <v>0</v>
      </c>
      <c r="BN73" s="780">
        <v>0</v>
      </c>
      <c r="BO73" s="781">
        <v>0</v>
      </c>
      <c r="BP73" s="779">
        <v>0</v>
      </c>
      <c r="BQ73" s="780">
        <v>0</v>
      </c>
      <c r="BR73" s="780">
        <v>0</v>
      </c>
      <c r="BS73" s="781">
        <v>0</v>
      </c>
      <c r="BT73" s="779">
        <v>0</v>
      </c>
      <c r="BU73" s="780">
        <v>0</v>
      </c>
      <c r="BV73" s="780">
        <v>0</v>
      </c>
      <c r="BW73" s="781">
        <v>0</v>
      </c>
      <c r="BX73" s="779">
        <v>0</v>
      </c>
      <c r="BY73" s="780">
        <v>0</v>
      </c>
      <c r="BZ73" s="780">
        <v>0</v>
      </c>
      <c r="CA73" s="781">
        <v>0</v>
      </c>
      <c r="CB73" s="779">
        <v>0</v>
      </c>
      <c r="CC73" s="780">
        <v>0</v>
      </c>
      <c r="CD73" s="780">
        <v>0</v>
      </c>
      <c r="CE73" s="781">
        <v>0</v>
      </c>
      <c r="CF73" s="779">
        <v>0</v>
      </c>
      <c r="CG73" s="780">
        <v>0</v>
      </c>
      <c r="CH73" s="780">
        <v>0</v>
      </c>
      <c r="CI73" s="781">
        <v>0</v>
      </c>
      <c r="CJ73" s="779">
        <v>0</v>
      </c>
      <c r="CK73" s="780">
        <v>0</v>
      </c>
      <c r="CL73" s="780">
        <v>0</v>
      </c>
      <c r="CM73" s="781">
        <v>0</v>
      </c>
      <c r="CN73" s="779">
        <v>0</v>
      </c>
      <c r="CO73" s="780">
        <v>0</v>
      </c>
      <c r="CP73" s="780">
        <v>0</v>
      </c>
      <c r="CQ73" s="781">
        <v>0</v>
      </c>
      <c r="CR73" s="779">
        <v>0</v>
      </c>
      <c r="CS73" s="780">
        <v>0</v>
      </c>
      <c r="CT73" s="780">
        <v>0</v>
      </c>
      <c r="CU73" s="781">
        <v>0</v>
      </c>
      <c r="CV73" s="779">
        <v>0</v>
      </c>
      <c r="CW73" s="780">
        <v>0</v>
      </c>
      <c r="CX73" s="780">
        <v>0</v>
      </c>
      <c r="CY73" s="781">
        <v>0</v>
      </c>
      <c r="CZ73" s="779">
        <v>0</v>
      </c>
      <c r="DA73" s="780">
        <v>0</v>
      </c>
      <c r="DB73" s="780">
        <v>0</v>
      </c>
      <c r="DC73" s="781">
        <v>0</v>
      </c>
      <c r="DD73" s="779">
        <v>0</v>
      </c>
      <c r="DE73" s="780">
        <v>0</v>
      </c>
      <c r="DF73" s="780">
        <v>0</v>
      </c>
      <c r="DG73" s="781">
        <v>0</v>
      </c>
      <c r="DH73" s="779">
        <v>0</v>
      </c>
      <c r="DI73" s="780">
        <v>0</v>
      </c>
      <c r="DJ73" s="780">
        <v>0</v>
      </c>
      <c r="DK73" s="781">
        <v>0</v>
      </c>
      <c r="DL73" s="779">
        <v>0</v>
      </c>
      <c r="DM73" s="780">
        <v>0</v>
      </c>
      <c r="DN73" s="780">
        <v>0</v>
      </c>
      <c r="DO73" s="781">
        <v>0</v>
      </c>
      <c r="DP73" s="779">
        <v>0</v>
      </c>
      <c r="DQ73" s="780">
        <v>0</v>
      </c>
      <c r="DR73" s="780">
        <v>0</v>
      </c>
      <c r="DS73" s="781">
        <v>0</v>
      </c>
      <c r="DT73" s="779">
        <v>0</v>
      </c>
      <c r="DU73" s="780">
        <v>0</v>
      </c>
      <c r="DV73" s="780">
        <v>0</v>
      </c>
      <c r="DW73" s="781">
        <v>0</v>
      </c>
      <c r="DX73" s="779">
        <v>0</v>
      </c>
      <c r="DY73" s="780">
        <v>0</v>
      </c>
      <c r="DZ73" s="780">
        <v>0</v>
      </c>
      <c r="EA73" s="781">
        <v>0</v>
      </c>
      <c r="EB73" s="779">
        <v>0</v>
      </c>
      <c r="EC73" s="780">
        <v>0</v>
      </c>
      <c r="ED73" s="780">
        <v>0</v>
      </c>
      <c r="EE73" s="781">
        <v>0</v>
      </c>
      <c r="EF73" s="779">
        <v>0</v>
      </c>
      <c r="EG73" s="780">
        <v>0</v>
      </c>
      <c r="EH73" s="780">
        <v>0</v>
      </c>
      <c r="EI73" s="781">
        <v>0</v>
      </c>
      <c r="EJ73" s="779">
        <v>0</v>
      </c>
      <c r="EK73" s="780">
        <v>0</v>
      </c>
      <c r="EL73" s="780">
        <v>0</v>
      </c>
      <c r="EM73" s="781">
        <v>0</v>
      </c>
      <c r="EN73" s="779">
        <v>0</v>
      </c>
      <c r="EO73" s="780">
        <v>0</v>
      </c>
      <c r="EP73" s="780">
        <v>0</v>
      </c>
      <c r="EQ73" s="781">
        <v>0</v>
      </c>
      <c r="ER73" s="779">
        <v>0</v>
      </c>
      <c r="ES73" s="780">
        <v>0</v>
      </c>
      <c r="ET73" s="780">
        <v>0</v>
      </c>
      <c r="EU73" s="781">
        <v>0</v>
      </c>
      <c r="EV73" s="779">
        <v>0</v>
      </c>
      <c r="EW73" s="780">
        <v>0</v>
      </c>
      <c r="EX73" s="780">
        <v>0</v>
      </c>
      <c r="EY73" s="781">
        <v>0</v>
      </c>
      <c r="EZ73" s="779">
        <v>0</v>
      </c>
      <c r="FA73" s="780">
        <v>0</v>
      </c>
      <c r="FB73" s="780">
        <v>0</v>
      </c>
      <c r="FC73" s="781">
        <v>0</v>
      </c>
      <c r="FD73" s="779">
        <v>0</v>
      </c>
      <c r="FE73" s="780">
        <v>0</v>
      </c>
      <c r="FF73" s="780">
        <v>0</v>
      </c>
      <c r="FG73" s="781">
        <v>0</v>
      </c>
      <c r="FH73" s="779">
        <v>0</v>
      </c>
      <c r="FI73" s="780">
        <v>0</v>
      </c>
      <c r="FJ73" s="780">
        <v>0</v>
      </c>
      <c r="FK73" s="781">
        <v>0</v>
      </c>
      <c r="FL73" s="779">
        <v>0</v>
      </c>
      <c r="FM73" s="780">
        <v>0</v>
      </c>
      <c r="FN73" s="780">
        <v>0</v>
      </c>
      <c r="FO73" s="781">
        <v>0</v>
      </c>
      <c r="FP73" s="779">
        <v>0</v>
      </c>
      <c r="FQ73" s="780">
        <v>0</v>
      </c>
      <c r="FR73" s="780">
        <v>0</v>
      </c>
      <c r="FS73" s="781">
        <v>0</v>
      </c>
      <c r="FT73" s="779">
        <v>0</v>
      </c>
      <c r="FU73" s="780">
        <v>0</v>
      </c>
      <c r="FV73" s="780">
        <v>0</v>
      </c>
      <c r="FW73" s="781">
        <v>0</v>
      </c>
      <c r="FX73" s="779">
        <v>0</v>
      </c>
      <c r="FY73" s="780">
        <v>0</v>
      </c>
      <c r="FZ73" s="780">
        <v>0</v>
      </c>
      <c r="GA73" s="781">
        <v>0</v>
      </c>
      <c r="GB73" s="779">
        <f>($H72*(GB$4=Sensitivity!$E$9))/100</f>
        <v>0</v>
      </c>
      <c r="GC73" s="780">
        <f>($H72*(GC$4=Sensitivity!$E$9))/100</f>
        <v>0</v>
      </c>
      <c r="GD73" s="780">
        <f>($H72*(GD$4=Sensitivity!$E$9))/100</f>
        <v>0</v>
      </c>
      <c r="GE73" s="4903">
        <f>($H72*(GE$4=Sensitivity!$E$9))/100</f>
        <v>0</v>
      </c>
    </row>
    <row r="74" spans="3:187" ht="13.5" customHeight="1" outlineLevel="1">
      <c r="C74" s="4904"/>
      <c r="D74" s="4929" t="s">
        <v>1083</v>
      </c>
      <c r="E74" s="747"/>
      <c r="F74" s="748">
        <f ca="1">SUM(H74:FO74)</f>
        <v>217.35657999999995</v>
      </c>
      <c r="G74" s="748"/>
      <c r="H74" s="749">
        <f ca="1">H72*IF(H70&lt;=$D$5,Sensitivity!$M$12+민감도!$E$61,Sensitivity!$L$12)*H$44/12</f>
        <v>11.683052499999997</v>
      </c>
      <c r="I74" s="750">
        <f ca="1">I72*IF(I70&lt;=$D$5,Sensitivity!$M$12+민감도!$E$61,Sensitivity!$L$12)*I$44/12</f>
        <v>11.410402499999998</v>
      </c>
      <c r="J74" s="750">
        <f ca="1">J72*IF(J70&lt;=$D$5,Sensitivity!$M$12+민감도!$E$61,Sensitivity!$L$12)*J$44/12</f>
        <v>11.1377525</v>
      </c>
      <c r="K74" s="751">
        <f ca="1">K72*IF(K70&lt;=$D$5,Sensitivity!$M$12+민감도!$E$61,Sensitivity!$L$12)*K$44/12</f>
        <v>10.865102500000001</v>
      </c>
      <c r="L74" s="749">
        <f ca="1">L72*IF(L70&lt;=$D$5,Sensitivity!$M$12+민감도!$E$61,Sensitivity!$L$12)*L$44/12</f>
        <v>10.57882</v>
      </c>
      <c r="M74" s="750">
        <f ca="1">M72*IF(M70&lt;=$D$5,Sensitivity!$M$12+민감도!$E$61,Sensitivity!$L$12)*M$44/12</f>
        <v>10.25845625</v>
      </c>
      <c r="N74" s="750">
        <f ca="1">N72*IF(N70&lt;=$D$5,Sensitivity!$M$12+민감도!$E$61,Sensitivity!$L$12)*N$44/12</f>
        <v>9.9312762499999998</v>
      </c>
      <c r="O74" s="751">
        <f ca="1">O72*IF(O70&lt;=$D$5,Sensitivity!$M$12+민감도!$E$61,Sensitivity!$L$12)*O$44/12</f>
        <v>9.5972799999999996</v>
      </c>
      <c r="P74" s="749">
        <f ca="1">P72*IF(P70&lt;=$D$5,Sensitivity!$M$12+민감도!$E$61,Sensitivity!$L$12)*P$44/12</f>
        <v>9.2564674999999994</v>
      </c>
      <c r="Q74" s="750">
        <f ca="1">Q72*IF(Q70&lt;=$D$5,Sensitivity!$M$12+민감도!$E$61,Sensitivity!$L$12)*Q$44/12</f>
        <v>8.9088387499999993</v>
      </c>
      <c r="R74" s="750">
        <f ca="1">R72*IF(R70&lt;=$D$5,Sensitivity!$M$12+민감도!$E$61,Sensitivity!$L$12)*R$44/12</f>
        <v>8.5543937499999991</v>
      </c>
      <c r="S74" s="751">
        <f ca="1">S72*IF(S70&lt;=$D$5,Sensitivity!$M$12+민감도!$E$61,Sensitivity!$L$12)*S$44/12</f>
        <v>8.199948749999999</v>
      </c>
      <c r="T74" s="749">
        <f ca="1">T72*IF(T70&lt;=$D$5,Sensitivity!$M$12+민감도!$E$61,Sensitivity!$L$12)*T$44/12</f>
        <v>7.8386874999999989</v>
      </c>
      <c r="U74" s="750">
        <f ca="1">U72*IF(U70&lt;=$D$5,Sensitivity!$M$12+민감도!$E$61,Sensitivity!$L$12)*U$44/12</f>
        <v>7.5183237499999995</v>
      </c>
      <c r="V74" s="750">
        <f ca="1">V72*IF(V70&lt;=$D$5,Sensitivity!$M$12+민감도!$E$61,Sensitivity!$L$12)*V$44/12</f>
        <v>7.1979599999999992</v>
      </c>
      <c r="W74" s="751">
        <f ca="1">W72*IF(W70&lt;=$D$5,Sensitivity!$M$12+민감도!$E$61,Sensitivity!$L$12)*W$44/12</f>
        <v>6.8707799999999999</v>
      </c>
      <c r="X74" s="749">
        <f ca="1">X72*IF(X70&lt;=$D$5,Sensitivity!$M$12+민감도!$E$61,Sensitivity!$L$12)*X$44/12</f>
        <v>6.5367837500000006</v>
      </c>
      <c r="Y74" s="750">
        <f ca="1">Y72*IF(Y70&lt;=$D$5,Sensitivity!$M$12+민감도!$E$61,Sensitivity!$L$12)*Y$44/12</f>
        <v>6.2027874999999986</v>
      </c>
      <c r="Z74" s="750">
        <f ca="1">Z72*IF(Z70&lt;=$D$5,Sensitivity!$M$12+민감도!$E$61,Sensitivity!$L$12)*Z$44/12</f>
        <v>5.8687912499999983</v>
      </c>
      <c r="AA74" s="751">
        <f ca="1">AA72*IF(AA70&lt;=$D$5,Sensitivity!$M$12+민감도!$E$61,Sensitivity!$L$12)*AA$44/12</f>
        <v>5.5279787499999982</v>
      </c>
      <c r="AB74" s="749">
        <f ca="1">AB72*IF(AB70&lt;=$D$5,Sensitivity!$M$12+민감도!$E$61,Sensitivity!$L$12)*AB$44/12</f>
        <v>5.180349999999998</v>
      </c>
      <c r="AC74" s="750">
        <f ca="1">AC72*IF(AC70&lt;=$D$5,Sensitivity!$M$12+민감도!$E$61,Sensitivity!$L$12)*AC$44/12</f>
        <v>4.8668024999999986</v>
      </c>
      <c r="AD74" s="750">
        <f ca="1">AD72*IF(AD70&lt;=$D$5,Sensitivity!$M$12+민감도!$E$61,Sensitivity!$L$12)*AD$44/12</f>
        <v>4.5464387499999983</v>
      </c>
      <c r="AE74" s="751">
        <f ca="1">AE72*IF(AE70&lt;=$D$5,Sensitivity!$M$12+민감도!$E$61,Sensitivity!$L$12)*AE$44/12</f>
        <v>4.1851774999999982</v>
      </c>
      <c r="AF74" s="749">
        <f ca="1">AF72*IF(AF70&lt;=$D$5,Sensitivity!$M$12+민감도!$E$61,Sensitivity!$L$12)*AF$44/12</f>
        <v>3.8170999999999986</v>
      </c>
      <c r="AG74" s="750">
        <f ca="1">AG72*IF(AG70&lt;=$D$5,Sensitivity!$M$12+민감도!$E$61,Sensitivity!$L$12)*AG$44/12</f>
        <v>3.3876762499999988</v>
      </c>
      <c r="AH74" s="750">
        <f ca="1">AH72*IF(AH70&lt;=$D$5,Sensitivity!$M$12+민감도!$E$61,Sensitivity!$L$12)*AH$44/12</f>
        <v>2.9582524999999991</v>
      </c>
      <c r="AI74" s="751">
        <f ca="1">AI72*IF(AI70&lt;=$D$5,Sensitivity!$M$12+민감도!$E$61,Sensitivity!$L$12)*AI$44/12</f>
        <v>2.5220124999999989</v>
      </c>
      <c r="AJ74" s="749">
        <f ca="1">AJ72*IF(AJ70&lt;=$D$5,Sensitivity!$M$12+민감도!$E$61,Sensitivity!$L$12)*AJ$44/12</f>
        <v>2.0789562499999992</v>
      </c>
      <c r="AK74" s="750">
        <f ca="1">AK72*IF(AK70&lt;=$D$5,Sensitivity!$M$12+민감도!$E$61,Sensitivity!$L$12)*AK$44/12</f>
        <v>1.8063062499999993</v>
      </c>
      <c r="AL74" s="750">
        <f ca="1">AL72*IF(AL70&lt;=$D$5,Sensitivity!$M$12+민감도!$E$61,Sensitivity!$L$12)*AL$44/12</f>
        <v>1.492758749999999</v>
      </c>
      <c r="AM74" s="751">
        <f ca="1">AM72*IF(AM70&lt;=$D$5,Sensitivity!$M$12+민감도!$E$61,Sensitivity!$L$12)*AM$44/12</f>
        <v>1.1723949999999992</v>
      </c>
      <c r="AN74" s="749">
        <f ca="1">AN72*IF(AN70&lt;=$D$5,Sensitivity!$M$12+민감도!$E$61,Sensitivity!$L$12)*AN$44/12</f>
        <v>0.89974499999999902</v>
      </c>
      <c r="AO74" s="750">
        <f ca="1">AO72*IF(AO70&lt;=$D$5,Sensitivity!$M$12+민감도!$E$61,Sensitivity!$L$12)*AO$44/12</f>
        <v>0.81794999999999918</v>
      </c>
      <c r="AP74" s="750">
        <f ca="1">AP72*IF(AP70&lt;=$D$5,Sensitivity!$M$12+민감도!$E$61,Sensitivity!$L$12)*AP$44/12</f>
        <v>0.73615499999999912</v>
      </c>
      <c r="AQ74" s="751">
        <f ca="1">AQ72*IF(AQ70&lt;=$D$5,Sensitivity!$M$12+민감도!$E$61,Sensitivity!$L$12)*AQ$44/12</f>
        <v>0.65435999999999905</v>
      </c>
      <c r="AR74" s="749">
        <f ca="1">AR72*IF(AR70&lt;=$D$5,Sensitivity!$M$12+민감도!$E$61,Sensitivity!$L$12)*AR$44/12</f>
        <v>0.57256499999999899</v>
      </c>
      <c r="AS74" s="750">
        <f ca="1">AS72*IF(AS70&lt;=$D$5,Sensitivity!$M$12+민감도!$E$61,Sensitivity!$L$12)*AS$44/12</f>
        <v>0.49076999999999887</v>
      </c>
      <c r="AT74" s="750">
        <f ca="1">AT72*IF(AT70&lt;=$D$5,Sensitivity!$M$12+민감도!$E$61,Sensitivity!$L$12)*AT$44/12</f>
        <v>0.40897499999999892</v>
      </c>
      <c r="AU74" s="751">
        <f ca="1">AU72*IF(AU70&lt;=$D$5,Sensitivity!$M$12+민감도!$E$61,Sensitivity!$L$12)*AU$44/12</f>
        <v>0.32717999999999892</v>
      </c>
      <c r="AV74" s="749">
        <f ca="1">AV72*IF(AV70&lt;=$D$5,Sensitivity!$M$12+민감도!$E$61,Sensitivity!$L$12)*AV$44/12</f>
        <v>0.24538499999999888</v>
      </c>
      <c r="AW74" s="750">
        <f ca="1">AW72*IF(AW70&lt;=$D$5,Sensitivity!$M$12+민감도!$E$61,Sensitivity!$L$12)*AW$44/12</f>
        <v>0.16358999999999888</v>
      </c>
      <c r="AX74" s="750">
        <f ca="1">AX72*IF(AX70&lt;=$D$5,Sensitivity!$M$12+민감도!$E$61,Sensitivity!$L$12)*AX$44/12</f>
        <v>8.1794999999998882E-2</v>
      </c>
      <c r="AY74" s="751">
        <f ca="1">AY72*IF(AY70&lt;=$D$5,Sensitivity!$M$12+민감도!$E$61,Sensitivity!$L$12)*AY$44/12</f>
        <v>0</v>
      </c>
      <c r="AZ74" s="749">
        <f ca="1">AZ72*IF(AZ70&lt;=$D$5,Sensitivity!$M$12+민감도!$E$61,Sensitivity!$L$12)*AZ$44/12</f>
        <v>0</v>
      </c>
      <c r="BA74" s="750">
        <f ca="1">BA72*IF(BA70&lt;=$D$5,Sensitivity!$M$12+민감도!$E$61,Sensitivity!$L$12)*BA$44/12</f>
        <v>0</v>
      </c>
      <c r="BB74" s="750">
        <f ca="1">BB72*IF(BB70&lt;=$D$5,Sensitivity!$M$12+민감도!$E$61,Sensitivity!$L$12)*BB$44/12</f>
        <v>0</v>
      </c>
      <c r="BC74" s="751">
        <f ca="1">BC72*IF(BC70&lt;=$D$5,Sensitivity!$M$12+민감도!$E$61,Sensitivity!$L$12)*BC$44/12</f>
        <v>0</v>
      </c>
      <c r="BD74" s="749">
        <f ca="1">BD72*IF(BD70&lt;=$D$5,Sensitivity!$M$12+민감도!$E$61,Sensitivity!$L$12)*BD$44/12</f>
        <v>0</v>
      </c>
      <c r="BE74" s="750">
        <f ca="1">BE72*IF(BE70&lt;=$D$5,Sensitivity!$M$12+민감도!$E$61,Sensitivity!$L$12)*BE$44/12</f>
        <v>0</v>
      </c>
      <c r="BF74" s="750">
        <f ca="1">BF72*IF(BF70&lt;=$D$5,Sensitivity!$M$12+민감도!$E$61,Sensitivity!$L$12)*BF$44/12</f>
        <v>0</v>
      </c>
      <c r="BG74" s="751">
        <f ca="1">BG72*IF(BG70&lt;=$D$5,Sensitivity!$M$12+민감도!$E$61,Sensitivity!$L$12)*BG$44/12</f>
        <v>0</v>
      </c>
      <c r="BH74" s="749">
        <f ca="1">BH72*IF(BH70&lt;=$D$5,Sensitivity!$M$12+민감도!$E$61,Sensitivity!$L$12)*BH$44/12</f>
        <v>0</v>
      </c>
      <c r="BI74" s="750">
        <f ca="1">BI72*IF(BI70&lt;=$D$5,Sensitivity!$M$12+민감도!$E$61,Sensitivity!$L$12)*BI$44/12</f>
        <v>0</v>
      </c>
      <c r="BJ74" s="750">
        <f ca="1">BJ72*IF(BJ70&lt;=$D$5,Sensitivity!$M$12+민감도!$E$61,Sensitivity!$L$12)*BJ$44/12</f>
        <v>0</v>
      </c>
      <c r="BK74" s="751">
        <f ca="1">BK72*IF(BK70&lt;=$D$5,Sensitivity!$M$12+민감도!$E$61,Sensitivity!$L$12)*BK$44/12</f>
        <v>0</v>
      </c>
      <c r="BL74" s="749">
        <f ca="1">BL72*IF(BL70&lt;=$D$5,Sensitivity!$M$12+민감도!$E$61,Sensitivity!$L$12)*BL$44/12</f>
        <v>0</v>
      </c>
      <c r="BM74" s="750">
        <f ca="1">BM72*IF(BM70&lt;=$D$5,Sensitivity!$M$12+민감도!$E$61,Sensitivity!$L$12)*BM$44/12</f>
        <v>0</v>
      </c>
      <c r="BN74" s="750">
        <f ca="1">BN72*IF(BN70&lt;=$D$5,Sensitivity!$M$12+민감도!$E$61,Sensitivity!$L$12)*BN$44/12</f>
        <v>0</v>
      </c>
      <c r="BO74" s="751">
        <f ca="1">BO72*IF(BO70&lt;=$D$5,Sensitivity!$M$12+민감도!$E$61,Sensitivity!$L$12)*BO$44/12</f>
        <v>0</v>
      </c>
      <c r="BP74" s="749">
        <f ca="1">BP72*IF(BP70&lt;=$D$5,Sensitivity!$M$12+민감도!$E$61,Sensitivity!$L$12)*BP$44/12</f>
        <v>0</v>
      </c>
      <c r="BQ74" s="750">
        <f ca="1">BQ72*IF(BQ70&lt;=$D$5,Sensitivity!$M$12+민감도!$E$61,Sensitivity!$L$12)*BQ$44/12</f>
        <v>0</v>
      </c>
      <c r="BR74" s="750">
        <f ca="1">BR72*IF(BR70&lt;=$D$5,Sensitivity!$M$12+민감도!$E$61,Sensitivity!$L$12)*BR$44/12</f>
        <v>0</v>
      </c>
      <c r="BS74" s="751">
        <f ca="1">BS72*IF(BS70&lt;=$D$5,Sensitivity!$M$12+민감도!$E$61,Sensitivity!$L$12)*BS$44/12</f>
        <v>0</v>
      </c>
      <c r="BT74" s="749">
        <f ca="1">BT72*IF(BT70&lt;=$D$5,Sensitivity!$M$12+민감도!$E$61,Sensitivity!$L$12)*BT$44/12</f>
        <v>0</v>
      </c>
      <c r="BU74" s="750">
        <f ca="1">BU72*IF(BU70&lt;=$D$5,Sensitivity!$M$12+민감도!$E$61,Sensitivity!$L$12)*BU$44/12</f>
        <v>0</v>
      </c>
      <c r="BV74" s="750">
        <f ca="1">BV72*IF(BV70&lt;=$D$5,Sensitivity!$M$12+민감도!$E$61,Sensitivity!$L$12)*BV$44/12</f>
        <v>0</v>
      </c>
      <c r="BW74" s="751">
        <f ca="1">BW72*IF(BW70&lt;=$D$5,Sensitivity!$M$12+민감도!$E$61,Sensitivity!$L$12)*BW$44/12</f>
        <v>0</v>
      </c>
      <c r="BX74" s="749">
        <f ca="1">BX72*IF(BX70&lt;=$D$5,Sensitivity!$M$12+민감도!$E$61,Sensitivity!$L$12)*BX$44/12</f>
        <v>0</v>
      </c>
      <c r="BY74" s="750">
        <f ca="1">BY72*IF(BY70&lt;=$D$5,Sensitivity!$M$12+민감도!$E$61,Sensitivity!$L$12)*BY$44/12</f>
        <v>0</v>
      </c>
      <c r="BZ74" s="750">
        <f ca="1">BZ72*IF(BZ70&lt;=$D$5,Sensitivity!$M$12+민감도!$E$61,Sensitivity!$L$12)*BZ$44/12</f>
        <v>0</v>
      </c>
      <c r="CA74" s="751">
        <f ca="1">CA72*IF(CA70&lt;=$D$5,Sensitivity!$M$12+민감도!$E$61,Sensitivity!$L$12)*CA$44/12</f>
        <v>0</v>
      </c>
      <c r="CB74" s="749">
        <f ca="1">CB72*IF(CB70&lt;=$D$5,Sensitivity!$M$12+민감도!$E$61,Sensitivity!$L$12)*CB$44/12</f>
        <v>0</v>
      </c>
      <c r="CC74" s="750">
        <f ca="1">CC72*IF(CC70&lt;=$D$5,Sensitivity!$M$12+민감도!$E$61,Sensitivity!$L$12)*CC$44/12</f>
        <v>0</v>
      </c>
      <c r="CD74" s="750">
        <f ca="1">CD72*IF(CD70&lt;=$D$5,Sensitivity!$M$12+민감도!$E$61,Sensitivity!$L$12)*CD$44/12</f>
        <v>0</v>
      </c>
      <c r="CE74" s="751">
        <f ca="1">CE72*IF(CE70&lt;=$D$5,Sensitivity!$M$12+민감도!$E$61,Sensitivity!$L$12)*CE$44/12</f>
        <v>0</v>
      </c>
      <c r="CF74" s="749">
        <f ca="1">CF72*IF(CF70&lt;=$D$5,Sensitivity!$M$12+민감도!$E$61,Sensitivity!$L$12)*CF$44/12</f>
        <v>0</v>
      </c>
      <c r="CG74" s="750">
        <f ca="1">CG72*IF(CG70&lt;=$D$5,Sensitivity!$M$12+민감도!$E$61,Sensitivity!$L$12)*CG$44/12</f>
        <v>0</v>
      </c>
      <c r="CH74" s="750">
        <f ca="1">CH72*IF(CH70&lt;=$D$5,Sensitivity!$M$12+민감도!$E$61,Sensitivity!$L$12)*CH$44/12</f>
        <v>0</v>
      </c>
      <c r="CI74" s="751">
        <f ca="1">CI72*IF(CI70&lt;=$D$5,Sensitivity!$M$12+민감도!$E$61,Sensitivity!$L$12)*CI$44/12</f>
        <v>0</v>
      </c>
      <c r="CJ74" s="749">
        <f ca="1">CJ72*IF(CJ70&lt;=$D$5,Sensitivity!$M$12+민감도!$E$61,Sensitivity!$L$12)*CJ$44/12</f>
        <v>0</v>
      </c>
      <c r="CK74" s="750">
        <f ca="1">CK72*IF(CK70&lt;=$D$5,Sensitivity!$M$12+민감도!$E$61,Sensitivity!$L$12)*CK$44/12</f>
        <v>0</v>
      </c>
      <c r="CL74" s="750">
        <f ca="1">CL72*IF(CL70&lt;=$D$5,Sensitivity!$M$12+민감도!$E$61,Sensitivity!$L$12)*CL$44/12</f>
        <v>0</v>
      </c>
      <c r="CM74" s="751">
        <f ca="1">CM72*IF(CM70&lt;=$D$5,Sensitivity!$M$12+민감도!$E$61,Sensitivity!$L$12)*CM$44/12</f>
        <v>0</v>
      </c>
      <c r="CN74" s="749">
        <f ca="1">CN72*IF(CN70&lt;=$D$5,Sensitivity!$M$12+민감도!$E$61,Sensitivity!$L$12)*CN$44/12</f>
        <v>0</v>
      </c>
      <c r="CO74" s="750">
        <f ca="1">CO72*IF(CO70&lt;=$D$5,Sensitivity!$M$12+민감도!$E$61,Sensitivity!$L$12)*CO$44/12</f>
        <v>0</v>
      </c>
      <c r="CP74" s="750">
        <f ca="1">CP72*IF(CP70&lt;=$D$5,Sensitivity!$M$12+민감도!$E$61,Sensitivity!$L$12)*CP$44/12</f>
        <v>0</v>
      </c>
      <c r="CQ74" s="751">
        <f ca="1">CQ72*IF(CQ70&lt;=$D$5,Sensitivity!$M$12+민감도!$E$61,Sensitivity!$L$12)*CQ$44/12</f>
        <v>0</v>
      </c>
      <c r="CR74" s="749">
        <f ca="1">CR72*IF(CR70&lt;=$D$5,Sensitivity!$M$12+민감도!$E$61,Sensitivity!$L$12)*CR$44/12</f>
        <v>0</v>
      </c>
      <c r="CS74" s="750">
        <f ca="1">CS72*IF(CS70&lt;=$D$5,Sensitivity!$M$12+민감도!$E$61,Sensitivity!$L$12)*CS$44/12</f>
        <v>0</v>
      </c>
      <c r="CT74" s="750">
        <f ca="1">CT72*IF(CT70&lt;=$D$5,Sensitivity!$M$12+민감도!$E$61,Sensitivity!$L$12)*CT$44/12</f>
        <v>0</v>
      </c>
      <c r="CU74" s="751">
        <f ca="1">CU72*IF(CU70&lt;=$D$5,Sensitivity!$M$12+민감도!$E$61,Sensitivity!$L$12)*CU$44/12</f>
        <v>0</v>
      </c>
      <c r="CV74" s="749">
        <f ca="1">CV72*IF(CV70&lt;=$D$5,Sensitivity!$M$12+민감도!$E$61,Sensitivity!$L$12)*CV$44/12</f>
        <v>0</v>
      </c>
      <c r="CW74" s="750">
        <f ca="1">CW72*IF(CW70&lt;=$D$5,Sensitivity!$M$12+민감도!$E$61,Sensitivity!$L$12)*CW$44/12</f>
        <v>0</v>
      </c>
      <c r="CX74" s="750">
        <f ca="1">CX72*IF(CX70&lt;=$D$5,Sensitivity!$M$12+민감도!$E$61,Sensitivity!$L$12)*CX$44/12</f>
        <v>0</v>
      </c>
      <c r="CY74" s="751">
        <f ca="1">CY72*IF(CY70&lt;=$D$5,Sensitivity!$M$12+민감도!$E$61,Sensitivity!$L$12)*CY$44/12</f>
        <v>0</v>
      </c>
      <c r="CZ74" s="749">
        <f ca="1">CZ72*IF(CZ70&lt;=$D$5,Sensitivity!$M$12+민감도!$E$61,Sensitivity!$L$12)*CZ$44/12</f>
        <v>0</v>
      </c>
      <c r="DA74" s="750">
        <f ca="1">DA72*IF(DA70&lt;=$D$5,Sensitivity!$M$12+민감도!$E$61,Sensitivity!$L$12)*DA$44/12</f>
        <v>0</v>
      </c>
      <c r="DB74" s="750">
        <f ca="1">DB72*IF(DB70&lt;=$D$5,Sensitivity!$M$12+민감도!$E$61,Sensitivity!$L$12)*DB$44/12</f>
        <v>0</v>
      </c>
      <c r="DC74" s="751">
        <f ca="1">DC72*IF(DC70&lt;=$D$5,Sensitivity!$M$12+민감도!$E$61,Sensitivity!$L$12)*DC$44/12</f>
        <v>0</v>
      </c>
      <c r="DD74" s="749">
        <f ca="1">DD72*IF(DD70&lt;=$D$5,Sensitivity!$M$12+민감도!$E$61,Sensitivity!$L$12)*DD$44/12</f>
        <v>0</v>
      </c>
      <c r="DE74" s="750">
        <f ca="1">DE72*IF(DE70&lt;=$D$5,Sensitivity!$M$12+민감도!$E$61,Sensitivity!$L$12)*DE$44/12</f>
        <v>0</v>
      </c>
      <c r="DF74" s="750">
        <f ca="1">DF72*IF(DF70&lt;=$D$5,Sensitivity!$M$12+민감도!$E$61,Sensitivity!$L$12)*DF$44/12</f>
        <v>0</v>
      </c>
      <c r="DG74" s="751">
        <f ca="1">DG72*IF(DG70&lt;=$D$5,Sensitivity!$M$12+민감도!$E$61,Sensitivity!$L$12)*DG$44/12</f>
        <v>0</v>
      </c>
      <c r="DH74" s="749">
        <f ca="1">DH72*IF(DH70&lt;=$D$5,Sensitivity!$M$12+민감도!$E$61,Sensitivity!$L$12)*DH$44/12</f>
        <v>0</v>
      </c>
      <c r="DI74" s="750">
        <f ca="1">DI72*IF(DI70&lt;=$D$5,Sensitivity!$M$12+민감도!$E$61,Sensitivity!$L$12)*DI$44/12</f>
        <v>0</v>
      </c>
      <c r="DJ74" s="750">
        <f ca="1">DJ72*IF(DJ70&lt;=$D$5,Sensitivity!$M$12+민감도!$E$61,Sensitivity!$L$12)*DJ$44/12</f>
        <v>0</v>
      </c>
      <c r="DK74" s="751">
        <f ca="1">DK72*IF(DK70&lt;=$D$5,Sensitivity!$M$12+민감도!$E$61,Sensitivity!$L$12)*DK$44/12</f>
        <v>0</v>
      </c>
      <c r="DL74" s="749">
        <f ca="1">DL72*IF(DL70&lt;=$D$5,Sensitivity!$M$12+민감도!$E$61,Sensitivity!$L$12)*DL$44/12</f>
        <v>0</v>
      </c>
      <c r="DM74" s="750">
        <f ca="1">DM72*IF(DM70&lt;=$D$5,Sensitivity!$M$12+민감도!$E$61,Sensitivity!$L$12)*DM$44/12</f>
        <v>0</v>
      </c>
      <c r="DN74" s="750">
        <f ca="1">DN72*IF(DN70&lt;=$D$5,Sensitivity!$M$12+민감도!$E$61,Sensitivity!$L$12)*DN$44/12</f>
        <v>0</v>
      </c>
      <c r="DO74" s="751">
        <f ca="1">DO72*IF(DO70&lt;=$D$5,Sensitivity!$M$12+민감도!$E$61,Sensitivity!$L$12)*DO$44/12</f>
        <v>0</v>
      </c>
      <c r="DP74" s="749">
        <f ca="1">DP72*IF(DP70&lt;=$D$5,Sensitivity!$M$12+민감도!$E$61,Sensitivity!$L$12)*DP$44/12</f>
        <v>0</v>
      </c>
      <c r="DQ74" s="750">
        <f ca="1">DQ72*IF(DQ70&lt;=$D$5,Sensitivity!$M$12+민감도!$E$61,Sensitivity!$L$12)*DQ$44/12</f>
        <v>0</v>
      </c>
      <c r="DR74" s="750">
        <f ca="1">DR72*IF(DR70&lt;=$D$5,Sensitivity!$M$12+민감도!$E$61,Sensitivity!$L$12)*DR$44/12</f>
        <v>0</v>
      </c>
      <c r="DS74" s="751">
        <f ca="1">DS72*IF(DS70&lt;=$D$5,Sensitivity!$M$12+민감도!$E$61,Sensitivity!$L$12)*DS$44/12</f>
        <v>0</v>
      </c>
      <c r="DT74" s="749">
        <f ca="1">DT72*IF(DT70&lt;=$D$5,Sensitivity!$M$12+민감도!$E$61,Sensitivity!$L$12)*DT$44/12</f>
        <v>0</v>
      </c>
      <c r="DU74" s="750">
        <f ca="1">DU72*IF(DU70&lt;=$D$5,Sensitivity!$M$12+민감도!$E$61,Sensitivity!$L$12)*DU$44/12</f>
        <v>0</v>
      </c>
      <c r="DV74" s="750">
        <f ca="1">DV72*IF(DV70&lt;=$D$5,Sensitivity!$M$12+민감도!$E$61,Sensitivity!$L$12)*DV$44/12</f>
        <v>0</v>
      </c>
      <c r="DW74" s="751">
        <f ca="1">DW72*IF(DW70&lt;=$D$5,Sensitivity!$M$12+민감도!$E$61,Sensitivity!$L$12)*DW$44/12</f>
        <v>0</v>
      </c>
      <c r="DX74" s="749">
        <f ca="1">DX72*IF(DX70&lt;=$D$5,Sensitivity!$M$12+민감도!$E$61,Sensitivity!$L$12)*DX$44/12</f>
        <v>0</v>
      </c>
      <c r="DY74" s="750">
        <f ca="1">DY72*IF(DY70&lt;=$D$5,Sensitivity!$M$12+민감도!$E$61,Sensitivity!$L$12)*DY$44/12</f>
        <v>0</v>
      </c>
      <c r="DZ74" s="750">
        <f ca="1">DZ72*IF(DZ70&lt;=$D$5,Sensitivity!$M$12+민감도!$E$61,Sensitivity!$L$12)*DZ$44/12</f>
        <v>0</v>
      </c>
      <c r="EA74" s="751">
        <f ca="1">EA72*IF(EA70&lt;=$D$5,Sensitivity!$M$12+민감도!$E$61,Sensitivity!$L$12)*EA$44/12</f>
        <v>0</v>
      </c>
      <c r="EB74" s="749">
        <f ca="1">EB72*IF(EB70&lt;=$D$5,Sensitivity!$M$12+민감도!$E$61,Sensitivity!$L$12)*EB$44/12</f>
        <v>0</v>
      </c>
      <c r="EC74" s="750">
        <f ca="1">EC72*IF(EC70&lt;=$D$5,Sensitivity!$M$12+민감도!$E$61,Sensitivity!$L$12)*EC$44/12</f>
        <v>0</v>
      </c>
      <c r="ED74" s="750">
        <f ca="1">ED72*IF(ED70&lt;=$D$5,Sensitivity!$M$12+민감도!$E$61,Sensitivity!$L$12)*ED$44/12</f>
        <v>0</v>
      </c>
      <c r="EE74" s="751">
        <f ca="1">EE72*IF(EE70&lt;=$D$5,Sensitivity!$M$12+민감도!$E$61,Sensitivity!$L$12)*EE$44/12</f>
        <v>0</v>
      </c>
      <c r="EF74" s="749">
        <f ca="1">EF72*IF(EF70&lt;=$D$5,Sensitivity!$M$12+민감도!$E$61,Sensitivity!$L$12)*EF$44/12</f>
        <v>0</v>
      </c>
      <c r="EG74" s="750">
        <f ca="1">EG72*IF(EG70&lt;=$D$5,Sensitivity!$M$12+민감도!$E$61,Sensitivity!$L$12)*EG$44/12</f>
        <v>0</v>
      </c>
      <c r="EH74" s="750">
        <f ca="1">EH72*IF(EH70&lt;=$D$5,Sensitivity!$M$12+민감도!$E$61,Sensitivity!$L$12)*EH$44/12</f>
        <v>0</v>
      </c>
      <c r="EI74" s="751">
        <f ca="1">EI72*IF(EI70&lt;=$D$5,Sensitivity!$M$12+민감도!$E$61,Sensitivity!$L$12)*EI$44/12</f>
        <v>0</v>
      </c>
      <c r="EJ74" s="749">
        <f ca="1">EJ72*IF(EJ70&lt;=$D$5,Sensitivity!$M$12+민감도!$E$61,Sensitivity!$L$12)*EJ$44/12</f>
        <v>0</v>
      </c>
      <c r="EK74" s="750">
        <f ca="1">EK72*IF(EK70&lt;=$D$5,Sensitivity!$M$12+민감도!$E$61,Sensitivity!$L$12)*EK$44/12</f>
        <v>0</v>
      </c>
      <c r="EL74" s="750">
        <f ca="1">EL72*IF(EL70&lt;=$D$5,Sensitivity!$M$12+민감도!$E$61,Sensitivity!$L$12)*EL$44/12</f>
        <v>0</v>
      </c>
      <c r="EM74" s="751">
        <f ca="1">EM72*IF(EM70&lt;=$D$5,Sensitivity!$M$12+민감도!$E$61,Sensitivity!$L$12)*EM$44/12</f>
        <v>0</v>
      </c>
      <c r="EN74" s="749">
        <f ca="1">EN72*IF(EN70&lt;=$D$5,Sensitivity!$M$12+민감도!$E$61,Sensitivity!$L$12)*EN$44/12</f>
        <v>0</v>
      </c>
      <c r="EO74" s="750">
        <f ca="1">EO72*IF(EO70&lt;=$D$5,Sensitivity!$M$12+민감도!$E$61,Sensitivity!$L$12)*EO$44/12</f>
        <v>0</v>
      </c>
      <c r="EP74" s="750">
        <f ca="1">EP72*IF(EP70&lt;=$D$5,Sensitivity!$M$12+민감도!$E$61,Sensitivity!$L$12)*EP$44/12</f>
        <v>0</v>
      </c>
      <c r="EQ74" s="751">
        <f ca="1">EQ72*IF(EQ70&lt;=$D$5,Sensitivity!$M$12+민감도!$E$61,Sensitivity!$L$12)*EQ$44/12</f>
        <v>0</v>
      </c>
      <c r="ER74" s="749">
        <f ca="1">ER72*IF(ER70&lt;=$D$5,Sensitivity!$M$12+민감도!$E$61,Sensitivity!$L$12)*ER$44/12</f>
        <v>0</v>
      </c>
      <c r="ES74" s="750">
        <f ca="1">ES72*IF(ES70&lt;=$D$5,Sensitivity!$M$12+민감도!$E$61,Sensitivity!$L$12)*ES$44/12</f>
        <v>0</v>
      </c>
      <c r="ET74" s="750">
        <f ca="1">ET72*IF(ET70&lt;=$D$5,Sensitivity!$M$12+민감도!$E$61,Sensitivity!$L$12)*ET$44/12</f>
        <v>0</v>
      </c>
      <c r="EU74" s="751">
        <f ca="1">EU72*IF(EU70&lt;=$D$5,Sensitivity!$M$12+민감도!$E$61,Sensitivity!$L$12)*EU$44/12</f>
        <v>0</v>
      </c>
      <c r="EV74" s="749">
        <f ca="1">EV72*IF(EV70&lt;=$D$5,Sensitivity!$M$12+민감도!$E$61,Sensitivity!$L$12)*EV$44/12</f>
        <v>0</v>
      </c>
      <c r="EW74" s="750">
        <f ca="1">EW72*IF(EW70&lt;=$D$5,Sensitivity!$M$12+민감도!$E$61,Sensitivity!$L$12)*EW$44/12</f>
        <v>0</v>
      </c>
      <c r="EX74" s="750">
        <f ca="1">EX72*IF(EX70&lt;=$D$5,Sensitivity!$M$12+민감도!$E$61,Sensitivity!$L$12)*EX$44/12</f>
        <v>0</v>
      </c>
      <c r="EY74" s="751">
        <f ca="1">EY72*IF(EY70&lt;=$D$5,Sensitivity!$M$12+민감도!$E$61,Sensitivity!$L$12)*EY$44/12</f>
        <v>0</v>
      </c>
      <c r="EZ74" s="749">
        <f ca="1">EZ72*IF(EZ70&lt;=$D$5,Sensitivity!$M$12+민감도!$E$61,Sensitivity!$L$12)*EZ$44/12</f>
        <v>0</v>
      </c>
      <c r="FA74" s="750">
        <f ca="1">FA72*IF(FA70&lt;=$D$5,Sensitivity!$M$12+민감도!$E$61,Sensitivity!$L$12)*FA$44/12</f>
        <v>0</v>
      </c>
      <c r="FB74" s="750">
        <f ca="1">FB72*IF(FB70&lt;=$D$5,Sensitivity!$M$12+민감도!$E$61,Sensitivity!$L$12)*FB$44/12</f>
        <v>0</v>
      </c>
      <c r="FC74" s="751">
        <f ca="1">FC72*IF(FC70&lt;=$D$5,Sensitivity!$M$12+민감도!$E$61,Sensitivity!$L$12)*FC$44/12</f>
        <v>0</v>
      </c>
      <c r="FD74" s="749">
        <f ca="1">FD72*IF(FD70&lt;=$D$5,Sensitivity!$M$12+민감도!$E$61,Sensitivity!$L$12)*FD$44/12</f>
        <v>0</v>
      </c>
      <c r="FE74" s="750">
        <f ca="1">FE72*IF(FE70&lt;=$D$5,Sensitivity!$M$12+민감도!$E$61,Sensitivity!$L$12)*FE$44/12</f>
        <v>0</v>
      </c>
      <c r="FF74" s="750">
        <f ca="1">FF72*IF(FF70&lt;=$D$5,Sensitivity!$M$12+민감도!$E$61,Sensitivity!$L$12)*FF$44/12</f>
        <v>0</v>
      </c>
      <c r="FG74" s="751">
        <f ca="1">FG72*IF(FG70&lt;=$D$5,Sensitivity!$M$12+민감도!$E$61,Sensitivity!$L$12)*FG$44/12</f>
        <v>0</v>
      </c>
      <c r="FH74" s="749">
        <f ca="1">FH72*IF(FH70&lt;=$D$5,Sensitivity!$M$12+민감도!$E$61,Sensitivity!$L$12)*FH$44/12</f>
        <v>0</v>
      </c>
      <c r="FI74" s="750">
        <f ca="1">FI72*IF(FI70&lt;=$D$5,Sensitivity!$M$12+민감도!$E$61,Sensitivity!$L$12)*FI$44/12</f>
        <v>0</v>
      </c>
      <c r="FJ74" s="750">
        <f ca="1">FJ72*IF(FJ70&lt;=$D$5,Sensitivity!$M$12+민감도!$E$61,Sensitivity!$L$12)*FJ$44/12</f>
        <v>0</v>
      </c>
      <c r="FK74" s="751">
        <f ca="1">FK72*IF(FK70&lt;=$D$5,Sensitivity!$M$12+민감도!$E$61,Sensitivity!$L$12)*FK$44/12</f>
        <v>0</v>
      </c>
      <c r="FL74" s="749">
        <f ca="1">FL72*IF(FL70&lt;=$D$5,Sensitivity!$M$12+민감도!$E$61,Sensitivity!$L$12)*FL$44/12</f>
        <v>0</v>
      </c>
      <c r="FM74" s="750">
        <f ca="1">FM72*IF(FM70&lt;=$D$5,Sensitivity!$M$12+민감도!$E$61,Sensitivity!$L$12)*FM$44/12</f>
        <v>0</v>
      </c>
      <c r="FN74" s="750">
        <f ca="1">FN72*IF(FN70&lt;=$D$5,Sensitivity!$M$12+민감도!$E$61,Sensitivity!$L$12)*FN$44/12</f>
        <v>0</v>
      </c>
      <c r="FO74" s="751">
        <f ca="1">FO72*IF(FO70&lt;=$D$5,Sensitivity!$M$12+민감도!$E$61,Sensitivity!$L$12)*FO$44/12</f>
        <v>0</v>
      </c>
      <c r="FP74" s="749">
        <f ca="1">FP72*IF(FP70&lt;=$D$5,Sensitivity!$M$12+민감도!$E$61,Sensitivity!$L$12)*FP$44/12</f>
        <v>0</v>
      </c>
      <c r="FQ74" s="750">
        <f ca="1">FQ72*IF(FQ70&lt;=$D$5,Sensitivity!$M$12+민감도!$E$61,Sensitivity!$L$12)*FQ$44/12</f>
        <v>0</v>
      </c>
      <c r="FR74" s="750">
        <f ca="1">FR72*IF(FR70&lt;=$D$5,Sensitivity!$M$12+민감도!$E$61,Sensitivity!$L$12)*FR$44/12</f>
        <v>0</v>
      </c>
      <c r="FS74" s="751">
        <f ca="1">FS72*IF(FS70&lt;=$D$5,Sensitivity!$M$12+민감도!$E$61,Sensitivity!$L$12)*FS$44/12</f>
        <v>0</v>
      </c>
      <c r="FT74" s="749">
        <f ca="1">FT72*IF(FT70&lt;=$D$5,Sensitivity!$M$12+민감도!$E$61,Sensitivity!$L$12)*FT$44/12</f>
        <v>0</v>
      </c>
      <c r="FU74" s="750">
        <f ca="1">FU72*IF(FU70&lt;=$D$5,Sensitivity!$M$12+민감도!$E$61,Sensitivity!$L$12)*FU$44/12</f>
        <v>0</v>
      </c>
      <c r="FV74" s="750">
        <f ca="1">FV72*IF(FV70&lt;=$D$5,Sensitivity!$M$12+민감도!$E$61,Sensitivity!$L$12)*FV$44/12</f>
        <v>0</v>
      </c>
      <c r="FW74" s="751">
        <f ca="1">FW72*IF(FW70&lt;=$D$5,Sensitivity!$M$12+민감도!$E$61,Sensitivity!$L$12)*FW$44/12</f>
        <v>0</v>
      </c>
      <c r="FX74" s="749">
        <f ca="1">FX72*IF(FX70&lt;=$D$5,Sensitivity!$M$12+민감도!$E$61,Sensitivity!$L$12)*FX$44/12</f>
        <v>0</v>
      </c>
      <c r="FY74" s="750">
        <f ca="1">FY72*IF(FY70&lt;=$D$5,Sensitivity!$M$12+민감도!$E$61,Sensitivity!$L$12)*FY$44/12</f>
        <v>0</v>
      </c>
      <c r="FZ74" s="750">
        <f ca="1">FZ72*IF(FZ70&lt;=$D$5,Sensitivity!$M$12+민감도!$E$61,Sensitivity!$L$12)*FZ$44/12</f>
        <v>0</v>
      </c>
      <c r="GA74" s="751">
        <f ca="1">GA72*IF(GA70&lt;=$D$5,Sensitivity!$M$12+민감도!$E$61,Sensitivity!$L$12)*GA$44/12</f>
        <v>0</v>
      </c>
      <c r="GB74" s="749">
        <f ca="1">GB72*IF(GB70&lt;=$D$5,Sensitivity!$M$12+민감도!$E$61,Sensitivity!$L$12)*GB$44/12</f>
        <v>0</v>
      </c>
      <c r="GC74" s="750">
        <f ca="1">GC72*IF(GC70&lt;=$D$5,Sensitivity!$M$12+민감도!$E$61,Sensitivity!$L$12)*GC$44/12</f>
        <v>0</v>
      </c>
      <c r="GD74" s="750">
        <f ca="1">GD72*IF(GD70&lt;=$D$5,Sensitivity!$M$12+민감도!$E$61,Sensitivity!$L$12)*GD$44/12</f>
        <v>0</v>
      </c>
      <c r="GE74" s="4905">
        <f ca="1">GE72*IF(GE70&lt;=$D$5,Sensitivity!$M$12+민감도!$E$61,Sensitivity!$L$12)*GE$44/12</f>
        <v>0</v>
      </c>
    </row>
    <row r="75" spans="3:187" ht="13.5" customHeight="1" outlineLevel="1">
      <c r="C75" s="4900" t="str">
        <f>C12</f>
        <v>장기B-1</v>
      </c>
      <c r="D75" s="315"/>
      <c r="E75" s="315"/>
      <c r="F75" s="315"/>
      <c r="G75" s="315"/>
      <c r="H75" s="720"/>
      <c r="I75" s="315"/>
      <c r="J75" s="315"/>
      <c r="K75" s="721"/>
      <c r="L75" s="720"/>
      <c r="M75" s="315"/>
      <c r="N75" s="315"/>
      <c r="O75" s="721">
        <v>100</v>
      </c>
      <c r="P75" s="720"/>
      <c r="Q75" s="782"/>
      <c r="R75" s="315"/>
      <c r="S75" s="721"/>
      <c r="T75" s="720"/>
      <c r="U75" s="315"/>
      <c r="V75" s="315"/>
      <c r="W75" s="721"/>
      <c r="X75" s="720"/>
      <c r="Y75" s="315"/>
      <c r="Z75" s="315"/>
      <c r="AA75" s="721"/>
      <c r="AB75" s="720"/>
      <c r="AC75" s="315"/>
      <c r="AD75" s="315"/>
      <c r="AE75" s="721"/>
      <c r="AF75" s="720"/>
      <c r="AG75" s="315"/>
      <c r="AH75" s="315"/>
      <c r="AI75" s="721"/>
      <c r="AJ75" s="720"/>
      <c r="AK75" s="315"/>
      <c r="AL75" s="315"/>
      <c r="AM75" s="721"/>
      <c r="AN75" s="720"/>
      <c r="AO75" s="315"/>
      <c r="AP75" s="315"/>
      <c r="AQ75" s="721"/>
      <c r="AR75" s="720"/>
      <c r="AS75" s="315"/>
      <c r="AT75" s="315"/>
      <c r="AU75" s="721"/>
      <c r="AV75" s="720"/>
      <c r="AW75" s="315"/>
      <c r="AX75" s="315"/>
      <c r="AY75" s="721"/>
      <c r="AZ75" s="720"/>
      <c r="BA75" s="315"/>
      <c r="BB75" s="315"/>
      <c r="BC75" s="721"/>
      <c r="BD75" s="720"/>
      <c r="BE75" s="315"/>
      <c r="BF75" s="315"/>
      <c r="BG75" s="721"/>
      <c r="BH75" s="720"/>
      <c r="BI75" s="315"/>
      <c r="BJ75" s="315"/>
      <c r="BK75" s="721"/>
      <c r="BL75" s="720"/>
      <c r="BM75" s="315"/>
      <c r="BN75" s="315"/>
      <c r="BO75" s="721"/>
      <c r="BP75" s="720"/>
      <c r="BQ75" s="315"/>
      <c r="BR75" s="315"/>
      <c r="BS75" s="721"/>
      <c r="BT75" s="720"/>
      <c r="BU75" s="315"/>
      <c r="BV75" s="315"/>
      <c r="BW75" s="721"/>
      <c r="BX75" s="720"/>
      <c r="BY75" s="315"/>
      <c r="BZ75" s="315"/>
      <c r="CA75" s="721"/>
      <c r="CB75" s="720"/>
      <c r="CC75" s="315"/>
      <c r="CD75" s="315"/>
      <c r="CE75" s="721"/>
      <c r="CF75" s="720"/>
      <c r="CG75" s="315"/>
      <c r="CH75" s="315"/>
      <c r="CI75" s="721"/>
      <c r="CJ75" s="720"/>
      <c r="CK75" s="315"/>
      <c r="CL75" s="315"/>
      <c r="CM75" s="721"/>
      <c r="CN75" s="720"/>
      <c r="CO75" s="315"/>
      <c r="CP75" s="315"/>
      <c r="CQ75" s="721"/>
      <c r="CR75" s="720"/>
      <c r="CS75" s="315"/>
      <c r="CT75" s="315"/>
      <c r="CU75" s="721"/>
      <c r="CV75" s="720"/>
      <c r="CW75" s="315"/>
      <c r="CX75" s="315"/>
      <c r="CY75" s="721"/>
      <c r="CZ75" s="720"/>
      <c r="DA75" s="315"/>
      <c r="DB75" s="315"/>
      <c r="DC75" s="721"/>
      <c r="DD75" s="720"/>
      <c r="DE75" s="315"/>
      <c r="DF75" s="315"/>
      <c r="DG75" s="721"/>
      <c r="DH75" s="720"/>
      <c r="DI75" s="315"/>
      <c r="DJ75" s="315"/>
      <c r="DK75" s="721"/>
      <c r="DL75" s="720"/>
      <c r="DM75" s="315"/>
      <c r="DN75" s="315"/>
      <c r="DO75" s="721"/>
      <c r="DP75" s="720"/>
      <c r="DQ75" s="315"/>
      <c r="DR75" s="315"/>
      <c r="DS75" s="721"/>
      <c r="DT75" s="720"/>
      <c r="DU75" s="315"/>
      <c r="DV75" s="315"/>
      <c r="DW75" s="721"/>
      <c r="DX75" s="720"/>
      <c r="DY75" s="315"/>
      <c r="DZ75" s="315"/>
      <c r="EA75" s="721"/>
      <c r="EB75" s="720"/>
      <c r="EC75" s="315"/>
      <c r="ED75" s="315"/>
      <c r="EE75" s="721"/>
      <c r="EF75" s="720"/>
      <c r="EG75" s="315"/>
      <c r="EH75" s="315"/>
      <c r="EI75" s="721"/>
      <c r="EJ75" s="720"/>
      <c r="EK75" s="315"/>
      <c r="EL75" s="315"/>
      <c r="EM75" s="721"/>
      <c r="EN75" s="720"/>
      <c r="EO75" s="315"/>
      <c r="EP75" s="315"/>
      <c r="EQ75" s="721"/>
      <c r="ER75" s="720"/>
      <c r="ES75" s="315"/>
      <c r="ET75" s="315"/>
      <c r="EU75" s="721"/>
      <c r="EV75" s="720"/>
      <c r="EW75" s="315"/>
      <c r="EX75" s="315"/>
      <c r="EY75" s="721"/>
      <c r="EZ75" s="720"/>
      <c r="FA75" s="315"/>
      <c r="FB75" s="315"/>
      <c r="FC75" s="721"/>
      <c r="FD75" s="720"/>
      <c r="FE75" s="315"/>
      <c r="FF75" s="315"/>
      <c r="FG75" s="721"/>
      <c r="FH75" s="720"/>
      <c r="FI75" s="315"/>
      <c r="FJ75" s="315"/>
      <c r="FK75" s="721"/>
      <c r="FL75" s="720"/>
      <c r="FM75" s="315"/>
      <c r="FN75" s="315"/>
      <c r="FO75" s="721"/>
      <c r="FP75" s="720"/>
      <c r="FQ75" s="315"/>
      <c r="FR75" s="315"/>
      <c r="FS75" s="721"/>
      <c r="FT75" s="720"/>
      <c r="FU75" s="315"/>
      <c r="FV75" s="315"/>
      <c r="FW75" s="721"/>
      <c r="FX75" s="720"/>
      <c r="FY75" s="315"/>
      <c r="FZ75" s="315"/>
      <c r="GA75" s="721"/>
      <c r="GB75" s="720"/>
      <c r="GC75" s="315"/>
      <c r="GD75" s="315"/>
      <c r="GE75" s="4901"/>
    </row>
    <row r="76" spans="3:187" ht="13.5" customHeight="1" outlineLevel="1">
      <c r="C76" s="4781"/>
      <c r="D76" s="773" t="s">
        <v>1080</v>
      </c>
      <c r="E76" s="722"/>
      <c r="F76" s="723"/>
      <c r="G76" s="723"/>
      <c r="H76" s="778">
        <v>64.275000000000006</v>
      </c>
      <c r="I76" s="725">
        <f t="shared" ref="I76:BJ76" si="85">H76-H77</f>
        <v>62.775000000000006</v>
      </c>
      <c r="J76" s="725">
        <f t="shared" si="85"/>
        <v>61.275000000000006</v>
      </c>
      <c r="K76" s="726">
        <f t="shared" si="85"/>
        <v>59.775000000000006</v>
      </c>
      <c r="L76" s="724">
        <f t="shared" si="85"/>
        <v>58.2</v>
      </c>
      <c r="M76" s="725">
        <f t="shared" si="85"/>
        <v>56.4375</v>
      </c>
      <c r="N76" s="725">
        <f t="shared" si="85"/>
        <v>54.637500000000003</v>
      </c>
      <c r="O76" s="726">
        <f t="shared" si="85"/>
        <v>52.800000000000004</v>
      </c>
      <c r="P76" s="724">
        <f t="shared" si="85"/>
        <v>50.925000000000004</v>
      </c>
      <c r="Q76" s="725">
        <f t="shared" si="85"/>
        <v>49.012500000000003</v>
      </c>
      <c r="R76" s="725">
        <f t="shared" si="85"/>
        <v>47.0625</v>
      </c>
      <c r="S76" s="726">
        <f t="shared" si="85"/>
        <v>45.112499999999997</v>
      </c>
      <c r="T76" s="724">
        <f t="shared" si="85"/>
        <v>43.125</v>
      </c>
      <c r="U76" s="725">
        <f t="shared" si="85"/>
        <v>41.362499999999997</v>
      </c>
      <c r="V76" s="5212">
        <f t="shared" si="85"/>
        <v>39.599999999999994</v>
      </c>
      <c r="W76" s="726">
        <f t="shared" si="85"/>
        <v>37.799999999999997</v>
      </c>
      <c r="X76" s="724">
        <f t="shared" si="85"/>
        <v>35.962499999999999</v>
      </c>
      <c r="Y76" s="725">
        <f t="shared" si="85"/>
        <v>34.125</v>
      </c>
      <c r="Z76" s="725">
        <f t="shared" si="85"/>
        <v>32.287500000000001</v>
      </c>
      <c r="AA76" s="726">
        <f t="shared" si="85"/>
        <v>30.412500000000001</v>
      </c>
      <c r="AB76" s="724">
        <f t="shared" si="85"/>
        <v>28.5</v>
      </c>
      <c r="AC76" s="725">
        <f t="shared" si="85"/>
        <v>26.774999999999999</v>
      </c>
      <c r="AD76" s="725">
        <f t="shared" si="85"/>
        <v>25.012499999999999</v>
      </c>
      <c r="AE76" s="726">
        <f t="shared" si="85"/>
        <v>23.024999999999999</v>
      </c>
      <c r="AF76" s="724">
        <f t="shared" si="85"/>
        <v>21</v>
      </c>
      <c r="AG76" s="725">
        <f t="shared" si="85"/>
        <v>18.637499999999999</v>
      </c>
      <c r="AH76" s="725">
        <f t="shared" si="85"/>
        <v>16.274999999999999</v>
      </c>
      <c r="AI76" s="726">
        <f t="shared" si="85"/>
        <v>13.874999999999998</v>
      </c>
      <c r="AJ76" s="724">
        <f t="shared" si="85"/>
        <v>11.437499999999998</v>
      </c>
      <c r="AK76" s="725">
        <f t="shared" si="85"/>
        <v>9.9374999999999982</v>
      </c>
      <c r="AL76" s="725">
        <f t="shared" si="85"/>
        <v>8.2124999999999986</v>
      </c>
      <c r="AM76" s="726">
        <f t="shared" si="85"/>
        <v>6.4499999999999984</v>
      </c>
      <c r="AN76" s="724">
        <f t="shared" si="85"/>
        <v>4.9499999999999984</v>
      </c>
      <c r="AO76" s="725">
        <f t="shared" si="85"/>
        <v>4.4999999999999982</v>
      </c>
      <c r="AP76" s="725">
        <f t="shared" si="85"/>
        <v>4.049999999999998</v>
      </c>
      <c r="AQ76" s="726">
        <f t="shared" si="85"/>
        <v>3.5999999999999979</v>
      </c>
      <c r="AR76" s="724">
        <f t="shared" si="85"/>
        <v>3.1499999999999977</v>
      </c>
      <c r="AS76" s="725">
        <f t="shared" si="85"/>
        <v>2.6999999999999975</v>
      </c>
      <c r="AT76" s="725">
        <f t="shared" si="85"/>
        <v>2.2499999999999973</v>
      </c>
      <c r="AU76" s="726">
        <f t="shared" si="85"/>
        <v>1.7999999999999974</v>
      </c>
      <c r="AV76" s="724">
        <f t="shared" si="85"/>
        <v>1.3499999999999974</v>
      </c>
      <c r="AW76" s="725">
        <f t="shared" si="85"/>
        <v>0.89999999999999747</v>
      </c>
      <c r="AX76" s="725">
        <f t="shared" si="85"/>
        <v>0.44999999999999746</v>
      </c>
      <c r="AY76" s="726">
        <f t="shared" si="85"/>
        <v>0</v>
      </c>
      <c r="AZ76" s="724">
        <f t="shared" si="85"/>
        <v>0</v>
      </c>
      <c r="BA76" s="725">
        <f t="shared" si="85"/>
        <v>0</v>
      </c>
      <c r="BB76" s="725">
        <f t="shared" si="85"/>
        <v>0</v>
      </c>
      <c r="BC76" s="726">
        <f t="shared" si="85"/>
        <v>0</v>
      </c>
      <c r="BD76" s="724">
        <f t="shared" si="85"/>
        <v>0</v>
      </c>
      <c r="BE76" s="725">
        <f t="shared" si="85"/>
        <v>0</v>
      </c>
      <c r="BF76" s="725">
        <f t="shared" si="85"/>
        <v>0</v>
      </c>
      <c r="BG76" s="726">
        <f t="shared" si="85"/>
        <v>0</v>
      </c>
      <c r="BH76" s="724">
        <f t="shared" si="85"/>
        <v>0</v>
      </c>
      <c r="BI76" s="725">
        <f t="shared" si="85"/>
        <v>0</v>
      </c>
      <c r="BJ76" s="725">
        <f t="shared" si="85"/>
        <v>0</v>
      </c>
      <c r="BK76" s="726">
        <v>0</v>
      </c>
      <c r="BL76" s="724">
        <f t="shared" ref="BL76:DW76" si="86">BK76-BK77</f>
        <v>0</v>
      </c>
      <c r="BM76" s="725">
        <f t="shared" si="86"/>
        <v>0</v>
      </c>
      <c r="BN76" s="725">
        <f t="shared" si="86"/>
        <v>0</v>
      </c>
      <c r="BO76" s="726">
        <f t="shared" si="86"/>
        <v>0</v>
      </c>
      <c r="BP76" s="724">
        <f t="shared" si="86"/>
        <v>0</v>
      </c>
      <c r="BQ76" s="725">
        <f t="shared" si="86"/>
        <v>0</v>
      </c>
      <c r="BR76" s="725">
        <f t="shared" si="86"/>
        <v>0</v>
      </c>
      <c r="BS76" s="726">
        <f t="shared" si="86"/>
        <v>0</v>
      </c>
      <c r="BT76" s="724">
        <f t="shared" si="86"/>
        <v>0</v>
      </c>
      <c r="BU76" s="725">
        <f t="shared" si="86"/>
        <v>0</v>
      </c>
      <c r="BV76" s="725">
        <f t="shared" si="86"/>
        <v>0</v>
      </c>
      <c r="BW76" s="726">
        <f t="shared" si="86"/>
        <v>0</v>
      </c>
      <c r="BX76" s="724">
        <f t="shared" si="86"/>
        <v>0</v>
      </c>
      <c r="BY76" s="725">
        <f t="shared" si="86"/>
        <v>0</v>
      </c>
      <c r="BZ76" s="725">
        <f t="shared" si="86"/>
        <v>0</v>
      </c>
      <c r="CA76" s="726">
        <f t="shared" si="86"/>
        <v>0</v>
      </c>
      <c r="CB76" s="724">
        <f t="shared" si="86"/>
        <v>0</v>
      </c>
      <c r="CC76" s="725">
        <f t="shared" si="86"/>
        <v>0</v>
      </c>
      <c r="CD76" s="725">
        <f t="shared" si="86"/>
        <v>0</v>
      </c>
      <c r="CE76" s="726">
        <f t="shared" si="86"/>
        <v>0</v>
      </c>
      <c r="CF76" s="724">
        <f t="shared" si="86"/>
        <v>0</v>
      </c>
      <c r="CG76" s="725">
        <f t="shared" si="86"/>
        <v>0</v>
      </c>
      <c r="CH76" s="725">
        <f t="shared" si="86"/>
        <v>0</v>
      </c>
      <c r="CI76" s="726">
        <f t="shared" si="86"/>
        <v>0</v>
      </c>
      <c r="CJ76" s="724">
        <f t="shared" si="86"/>
        <v>0</v>
      </c>
      <c r="CK76" s="725">
        <f t="shared" si="86"/>
        <v>0</v>
      </c>
      <c r="CL76" s="725">
        <f t="shared" si="86"/>
        <v>0</v>
      </c>
      <c r="CM76" s="726">
        <f t="shared" si="86"/>
        <v>0</v>
      </c>
      <c r="CN76" s="724">
        <f t="shared" si="86"/>
        <v>0</v>
      </c>
      <c r="CO76" s="725">
        <f t="shared" si="86"/>
        <v>0</v>
      </c>
      <c r="CP76" s="725">
        <f t="shared" si="86"/>
        <v>0</v>
      </c>
      <c r="CQ76" s="726">
        <f t="shared" si="86"/>
        <v>0</v>
      </c>
      <c r="CR76" s="724">
        <f t="shared" si="86"/>
        <v>0</v>
      </c>
      <c r="CS76" s="725">
        <f t="shared" si="86"/>
        <v>0</v>
      </c>
      <c r="CT76" s="725">
        <f t="shared" si="86"/>
        <v>0</v>
      </c>
      <c r="CU76" s="726">
        <f t="shared" si="86"/>
        <v>0</v>
      </c>
      <c r="CV76" s="724">
        <f t="shared" si="86"/>
        <v>0</v>
      </c>
      <c r="CW76" s="725">
        <f t="shared" si="86"/>
        <v>0</v>
      </c>
      <c r="CX76" s="725">
        <f t="shared" si="86"/>
        <v>0</v>
      </c>
      <c r="CY76" s="726">
        <f t="shared" si="86"/>
        <v>0</v>
      </c>
      <c r="CZ76" s="724">
        <f t="shared" si="86"/>
        <v>0</v>
      </c>
      <c r="DA76" s="725">
        <f t="shared" si="86"/>
        <v>0</v>
      </c>
      <c r="DB76" s="725">
        <f t="shared" si="86"/>
        <v>0</v>
      </c>
      <c r="DC76" s="726">
        <f t="shared" si="86"/>
        <v>0</v>
      </c>
      <c r="DD76" s="724">
        <f t="shared" si="86"/>
        <v>0</v>
      </c>
      <c r="DE76" s="725">
        <f t="shared" si="86"/>
        <v>0</v>
      </c>
      <c r="DF76" s="725">
        <f t="shared" si="86"/>
        <v>0</v>
      </c>
      <c r="DG76" s="726">
        <f t="shared" si="86"/>
        <v>0</v>
      </c>
      <c r="DH76" s="724">
        <f t="shared" si="86"/>
        <v>0</v>
      </c>
      <c r="DI76" s="725">
        <f t="shared" si="86"/>
        <v>0</v>
      </c>
      <c r="DJ76" s="725">
        <f t="shared" si="86"/>
        <v>0</v>
      </c>
      <c r="DK76" s="726">
        <f t="shared" si="86"/>
        <v>0</v>
      </c>
      <c r="DL76" s="724">
        <f t="shared" si="86"/>
        <v>0</v>
      </c>
      <c r="DM76" s="725">
        <f t="shared" si="86"/>
        <v>0</v>
      </c>
      <c r="DN76" s="725">
        <f t="shared" si="86"/>
        <v>0</v>
      </c>
      <c r="DO76" s="726">
        <f t="shared" si="86"/>
        <v>0</v>
      </c>
      <c r="DP76" s="724">
        <f t="shared" si="86"/>
        <v>0</v>
      </c>
      <c r="DQ76" s="725">
        <f t="shared" si="86"/>
        <v>0</v>
      </c>
      <c r="DR76" s="725">
        <f t="shared" si="86"/>
        <v>0</v>
      </c>
      <c r="DS76" s="726">
        <f t="shared" si="86"/>
        <v>0</v>
      </c>
      <c r="DT76" s="724">
        <f t="shared" si="86"/>
        <v>0</v>
      </c>
      <c r="DU76" s="725">
        <f t="shared" si="86"/>
        <v>0</v>
      </c>
      <c r="DV76" s="725">
        <f t="shared" si="86"/>
        <v>0</v>
      </c>
      <c r="DW76" s="726">
        <f t="shared" si="86"/>
        <v>0</v>
      </c>
      <c r="DX76" s="724">
        <f t="shared" ref="DX76:GE76" si="87">DW76-DW77</f>
        <v>0</v>
      </c>
      <c r="DY76" s="725">
        <f t="shared" si="87"/>
        <v>0</v>
      </c>
      <c r="DZ76" s="725">
        <f t="shared" si="87"/>
        <v>0</v>
      </c>
      <c r="EA76" s="726">
        <f t="shared" si="87"/>
        <v>0</v>
      </c>
      <c r="EB76" s="724">
        <f t="shared" si="87"/>
        <v>0</v>
      </c>
      <c r="EC76" s="725">
        <f t="shared" si="87"/>
        <v>0</v>
      </c>
      <c r="ED76" s="725">
        <f t="shared" si="87"/>
        <v>0</v>
      </c>
      <c r="EE76" s="726">
        <f t="shared" si="87"/>
        <v>0</v>
      </c>
      <c r="EF76" s="724">
        <f t="shared" si="87"/>
        <v>0</v>
      </c>
      <c r="EG76" s="725">
        <f t="shared" si="87"/>
        <v>0</v>
      </c>
      <c r="EH76" s="725">
        <f t="shared" si="87"/>
        <v>0</v>
      </c>
      <c r="EI76" s="726">
        <f t="shared" si="87"/>
        <v>0</v>
      </c>
      <c r="EJ76" s="724">
        <f t="shared" si="87"/>
        <v>0</v>
      </c>
      <c r="EK76" s="725">
        <f t="shared" si="87"/>
        <v>0</v>
      </c>
      <c r="EL76" s="725">
        <f t="shared" si="87"/>
        <v>0</v>
      </c>
      <c r="EM76" s="726">
        <f t="shared" si="87"/>
        <v>0</v>
      </c>
      <c r="EN76" s="724">
        <f t="shared" si="87"/>
        <v>0</v>
      </c>
      <c r="EO76" s="725">
        <f t="shared" si="87"/>
        <v>0</v>
      </c>
      <c r="EP76" s="725">
        <f t="shared" si="87"/>
        <v>0</v>
      </c>
      <c r="EQ76" s="726">
        <f t="shared" si="87"/>
        <v>0</v>
      </c>
      <c r="ER76" s="724">
        <f t="shared" si="87"/>
        <v>0</v>
      </c>
      <c r="ES76" s="725">
        <f t="shared" si="87"/>
        <v>0</v>
      </c>
      <c r="ET76" s="725">
        <f t="shared" si="87"/>
        <v>0</v>
      </c>
      <c r="EU76" s="726">
        <f t="shared" si="87"/>
        <v>0</v>
      </c>
      <c r="EV76" s="724">
        <f t="shared" si="87"/>
        <v>0</v>
      </c>
      <c r="EW76" s="725">
        <f t="shared" si="87"/>
        <v>0</v>
      </c>
      <c r="EX76" s="725">
        <f t="shared" si="87"/>
        <v>0</v>
      </c>
      <c r="EY76" s="726">
        <f t="shared" si="87"/>
        <v>0</v>
      </c>
      <c r="EZ76" s="724">
        <f t="shared" si="87"/>
        <v>0</v>
      </c>
      <c r="FA76" s="725">
        <f t="shared" si="87"/>
        <v>0</v>
      </c>
      <c r="FB76" s="725">
        <f t="shared" si="87"/>
        <v>0</v>
      </c>
      <c r="FC76" s="726">
        <f t="shared" si="87"/>
        <v>0</v>
      </c>
      <c r="FD76" s="724">
        <f t="shared" si="87"/>
        <v>0</v>
      </c>
      <c r="FE76" s="725">
        <f t="shared" si="87"/>
        <v>0</v>
      </c>
      <c r="FF76" s="725">
        <f t="shared" si="87"/>
        <v>0</v>
      </c>
      <c r="FG76" s="726">
        <f t="shared" si="87"/>
        <v>0</v>
      </c>
      <c r="FH76" s="724">
        <f t="shared" si="87"/>
        <v>0</v>
      </c>
      <c r="FI76" s="725">
        <f t="shared" si="87"/>
        <v>0</v>
      </c>
      <c r="FJ76" s="725">
        <f t="shared" si="87"/>
        <v>0</v>
      </c>
      <c r="FK76" s="726">
        <f t="shared" si="87"/>
        <v>0</v>
      </c>
      <c r="FL76" s="724">
        <f t="shared" si="87"/>
        <v>0</v>
      </c>
      <c r="FM76" s="725">
        <f t="shared" si="87"/>
        <v>0</v>
      </c>
      <c r="FN76" s="725">
        <f t="shared" si="87"/>
        <v>0</v>
      </c>
      <c r="FO76" s="726">
        <f t="shared" si="87"/>
        <v>0</v>
      </c>
      <c r="FP76" s="724">
        <f t="shared" si="87"/>
        <v>0</v>
      </c>
      <c r="FQ76" s="725">
        <f t="shared" si="87"/>
        <v>0</v>
      </c>
      <c r="FR76" s="725">
        <f t="shared" si="87"/>
        <v>0</v>
      </c>
      <c r="FS76" s="726">
        <f t="shared" si="87"/>
        <v>0</v>
      </c>
      <c r="FT76" s="724">
        <f t="shared" si="87"/>
        <v>0</v>
      </c>
      <c r="FU76" s="725">
        <f t="shared" si="87"/>
        <v>0</v>
      </c>
      <c r="FV76" s="725">
        <f t="shared" si="87"/>
        <v>0</v>
      </c>
      <c r="FW76" s="726">
        <f t="shared" si="87"/>
        <v>0</v>
      </c>
      <c r="FX76" s="724">
        <f t="shared" si="87"/>
        <v>0</v>
      </c>
      <c r="FY76" s="725">
        <f t="shared" si="87"/>
        <v>0</v>
      </c>
      <c r="FZ76" s="725">
        <f t="shared" si="87"/>
        <v>0</v>
      </c>
      <c r="GA76" s="726">
        <f t="shared" si="87"/>
        <v>0</v>
      </c>
      <c r="GB76" s="724">
        <f t="shared" si="87"/>
        <v>0</v>
      </c>
      <c r="GC76" s="725">
        <f t="shared" si="87"/>
        <v>0</v>
      </c>
      <c r="GD76" s="725">
        <f t="shared" si="87"/>
        <v>0</v>
      </c>
      <c r="GE76" s="4902">
        <f t="shared" si="87"/>
        <v>0</v>
      </c>
    </row>
    <row r="77" spans="3:187" ht="13.5" customHeight="1" outlineLevel="1">
      <c r="C77" s="4781"/>
      <c r="D77" s="326" t="s">
        <v>1082</v>
      </c>
      <c r="E77" s="1868"/>
      <c r="F77" s="743">
        <f>SUM(H77:FO77)</f>
        <v>64.27500000000002</v>
      </c>
      <c r="G77" s="743"/>
      <c r="H77" s="779">
        <v>1.5</v>
      </c>
      <c r="I77" s="780">
        <v>1.5</v>
      </c>
      <c r="J77" s="780">
        <v>1.5</v>
      </c>
      <c r="K77" s="781">
        <v>1.575</v>
      </c>
      <c r="L77" s="779">
        <v>1.7625</v>
      </c>
      <c r="M77" s="780">
        <v>1.8</v>
      </c>
      <c r="N77" s="780">
        <v>1.8374999999999999</v>
      </c>
      <c r="O77" s="781">
        <v>1.875</v>
      </c>
      <c r="P77" s="779">
        <v>1.9125000000000001</v>
      </c>
      <c r="Q77" s="780">
        <v>1.95</v>
      </c>
      <c r="R77" s="780">
        <v>1.95</v>
      </c>
      <c r="S77" s="781">
        <v>1.9875</v>
      </c>
      <c r="T77" s="779">
        <v>1.7625</v>
      </c>
      <c r="U77" s="780">
        <v>1.7625</v>
      </c>
      <c r="V77" s="780">
        <v>1.8</v>
      </c>
      <c r="W77" s="781">
        <v>1.8374999999999999</v>
      </c>
      <c r="X77" s="779">
        <v>1.8374999999999999</v>
      </c>
      <c r="Y77" s="780">
        <v>1.8374999999999999</v>
      </c>
      <c r="Z77" s="780">
        <v>1.875</v>
      </c>
      <c r="AA77" s="781">
        <v>1.9125000000000001</v>
      </c>
      <c r="AB77" s="779">
        <v>1.7250000000000001</v>
      </c>
      <c r="AC77" s="780">
        <v>1.7625</v>
      </c>
      <c r="AD77" s="780">
        <v>1.9875</v>
      </c>
      <c r="AE77" s="781">
        <v>2.0249999999999999</v>
      </c>
      <c r="AF77" s="779">
        <v>2.3624999999999998</v>
      </c>
      <c r="AG77" s="780">
        <v>2.3624999999999998</v>
      </c>
      <c r="AH77" s="780">
        <v>2.4</v>
      </c>
      <c r="AI77" s="781">
        <v>2.4375</v>
      </c>
      <c r="AJ77" s="779">
        <v>1.5</v>
      </c>
      <c r="AK77" s="780">
        <v>1.7250000000000001</v>
      </c>
      <c r="AL77" s="780">
        <v>1.7625</v>
      </c>
      <c r="AM77" s="781">
        <v>1.5</v>
      </c>
      <c r="AN77" s="779">
        <v>0.45</v>
      </c>
      <c r="AO77" s="780">
        <v>0.45</v>
      </c>
      <c r="AP77" s="780">
        <v>0.45</v>
      </c>
      <c r="AQ77" s="781">
        <v>0.45</v>
      </c>
      <c r="AR77" s="779">
        <v>0.45</v>
      </c>
      <c r="AS77" s="780">
        <v>0.45</v>
      </c>
      <c r="AT77" s="780">
        <v>0.45</v>
      </c>
      <c r="AU77" s="781">
        <v>0.45</v>
      </c>
      <c r="AV77" s="779">
        <v>0.45</v>
      </c>
      <c r="AW77" s="780">
        <v>0.45</v>
      </c>
      <c r="AX77" s="780">
        <f>AX76</f>
        <v>0.44999999999999746</v>
      </c>
      <c r="AY77" s="781">
        <v>0</v>
      </c>
      <c r="AZ77" s="779">
        <v>0</v>
      </c>
      <c r="BA77" s="780">
        <v>0</v>
      </c>
      <c r="BB77" s="780">
        <v>0</v>
      </c>
      <c r="BC77" s="781">
        <v>0</v>
      </c>
      <c r="BD77" s="779">
        <v>0</v>
      </c>
      <c r="BE77" s="780">
        <v>0</v>
      </c>
      <c r="BF77" s="780">
        <v>0</v>
      </c>
      <c r="BG77" s="781">
        <v>0</v>
      </c>
      <c r="BH77" s="779">
        <v>0</v>
      </c>
      <c r="BI77" s="780">
        <v>0</v>
      </c>
      <c r="BJ77" s="780">
        <v>0</v>
      </c>
      <c r="BK77" s="781">
        <v>0</v>
      </c>
      <c r="BL77" s="779">
        <v>0</v>
      </c>
      <c r="BM77" s="780">
        <v>0</v>
      </c>
      <c r="BN77" s="780">
        <v>0</v>
      </c>
      <c r="BO77" s="781">
        <v>0</v>
      </c>
      <c r="BP77" s="779">
        <v>0</v>
      </c>
      <c r="BQ77" s="780">
        <v>0</v>
      </c>
      <c r="BR77" s="780">
        <v>0</v>
      </c>
      <c r="BS77" s="781">
        <v>0</v>
      </c>
      <c r="BT77" s="779">
        <v>0</v>
      </c>
      <c r="BU77" s="780">
        <v>0</v>
      </c>
      <c r="BV77" s="780">
        <v>0</v>
      </c>
      <c r="BW77" s="781">
        <v>0</v>
      </c>
      <c r="BX77" s="779">
        <v>0</v>
      </c>
      <c r="BY77" s="780">
        <v>0</v>
      </c>
      <c r="BZ77" s="780">
        <v>0</v>
      </c>
      <c r="CA77" s="781">
        <v>0</v>
      </c>
      <c r="CB77" s="779">
        <v>0</v>
      </c>
      <c r="CC77" s="780">
        <v>0</v>
      </c>
      <c r="CD77" s="780">
        <v>0</v>
      </c>
      <c r="CE77" s="781">
        <v>0</v>
      </c>
      <c r="CF77" s="779">
        <v>0</v>
      </c>
      <c r="CG77" s="780">
        <v>0</v>
      </c>
      <c r="CH77" s="780">
        <v>0</v>
      </c>
      <c r="CI77" s="781">
        <v>0</v>
      </c>
      <c r="CJ77" s="779">
        <v>0</v>
      </c>
      <c r="CK77" s="780">
        <v>0</v>
      </c>
      <c r="CL77" s="780">
        <v>0</v>
      </c>
      <c r="CM77" s="781">
        <v>0</v>
      </c>
      <c r="CN77" s="779">
        <v>0</v>
      </c>
      <c r="CO77" s="780">
        <v>0</v>
      </c>
      <c r="CP77" s="780">
        <v>0</v>
      </c>
      <c r="CQ77" s="781">
        <v>0</v>
      </c>
      <c r="CR77" s="779">
        <v>0</v>
      </c>
      <c r="CS77" s="780">
        <v>0</v>
      </c>
      <c r="CT77" s="780">
        <v>0</v>
      </c>
      <c r="CU77" s="781">
        <v>0</v>
      </c>
      <c r="CV77" s="779">
        <v>0</v>
      </c>
      <c r="CW77" s="780">
        <v>0</v>
      </c>
      <c r="CX77" s="780">
        <v>0</v>
      </c>
      <c r="CY77" s="781">
        <v>0</v>
      </c>
      <c r="CZ77" s="779">
        <v>0</v>
      </c>
      <c r="DA77" s="780">
        <v>0</v>
      </c>
      <c r="DB77" s="780">
        <v>0</v>
      </c>
      <c r="DC77" s="781">
        <v>0</v>
      </c>
      <c r="DD77" s="779">
        <v>0</v>
      </c>
      <c r="DE77" s="780">
        <v>0</v>
      </c>
      <c r="DF77" s="780">
        <v>0</v>
      </c>
      <c r="DG77" s="781">
        <v>0</v>
      </c>
      <c r="DH77" s="779">
        <v>0</v>
      </c>
      <c r="DI77" s="780">
        <v>0</v>
      </c>
      <c r="DJ77" s="780">
        <v>0</v>
      </c>
      <c r="DK77" s="781">
        <v>0</v>
      </c>
      <c r="DL77" s="779">
        <v>0</v>
      </c>
      <c r="DM77" s="780">
        <v>0</v>
      </c>
      <c r="DN77" s="780">
        <v>0</v>
      </c>
      <c r="DO77" s="781">
        <v>0</v>
      </c>
      <c r="DP77" s="779">
        <v>0</v>
      </c>
      <c r="DQ77" s="780">
        <v>0</v>
      </c>
      <c r="DR77" s="780">
        <v>0</v>
      </c>
      <c r="DS77" s="781">
        <v>0</v>
      </c>
      <c r="DT77" s="779">
        <v>0</v>
      </c>
      <c r="DU77" s="780">
        <v>0</v>
      </c>
      <c r="DV77" s="780">
        <v>0</v>
      </c>
      <c r="DW77" s="781">
        <v>0</v>
      </c>
      <c r="DX77" s="779">
        <v>0</v>
      </c>
      <c r="DY77" s="780">
        <v>0</v>
      </c>
      <c r="DZ77" s="780">
        <v>0</v>
      </c>
      <c r="EA77" s="781">
        <v>0</v>
      </c>
      <c r="EB77" s="779">
        <v>0</v>
      </c>
      <c r="EC77" s="780">
        <v>0</v>
      </c>
      <c r="ED77" s="780">
        <v>0</v>
      </c>
      <c r="EE77" s="781">
        <v>0</v>
      </c>
      <c r="EF77" s="779">
        <v>0</v>
      </c>
      <c r="EG77" s="780">
        <v>0</v>
      </c>
      <c r="EH77" s="780">
        <v>0</v>
      </c>
      <c r="EI77" s="781">
        <v>0</v>
      </c>
      <c r="EJ77" s="779">
        <v>0</v>
      </c>
      <c r="EK77" s="780">
        <v>0</v>
      </c>
      <c r="EL77" s="780">
        <v>0</v>
      </c>
      <c r="EM77" s="781">
        <v>0</v>
      </c>
      <c r="EN77" s="779">
        <v>0</v>
      </c>
      <c r="EO77" s="780">
        <v>0</v>
      </c>
      <c r="EP77" s="780">
        <v>0</v>
      </c>
      <c r="EQ77" s="781">
        <v>0</v>
      </c>
      <c r="ER77" s="779">
        <v>0</v>
      </c>
      <c r="ES77" s="780">
        <v>0</v>
      </c>
      <c r="ET77" s="780">
        <v>0</v>
      </c>
      <c r="EU77" s="781">
        <v>0</v>
      </c>
      <c r="EV77" s="779">
        <v>0</v>
      </c>
      <c r="EW77" s="780">
        <v>0</v>
      </c>
      <c r="EX77" s="780">
        <v>0</v>
      </c>
      <c r="EY77" s="781">
        <v>0</v>
      </c>
      <c r="EZ77" s="779">
        <v>0</v>
      </c>
      <c r="FA77" s="780">
        <v>0</v>
      </c>
      <c r="FB77" s="780">
        <v>0</v>
      </c>
      <c r="FC77" s="781">
        <v>0</v>
      </c>
      <c r="FD77" s="779">
        <v>0</v>
      </c>
      <c r="FE77" s="780">
        <v>0</v>
      </c>
      <c r="FF77" s="780">
        <v>0</v>
      </c>
      <c r="FG77" s="781">
        <v>0</v>
      </c>
      <c r="FH77" s="779">
        <v>0</v>
      </c>
      <c r="FI77" s="780">
        <v>0</v>
      </c>
      <c r="FJ77" s="780">
        <v>0</v>
      </c>
      <c r="FK77" s="781">
        <v>0</v>
      </c>
      <c r="FL77" s="779">
        <v>0</v>
      </c>
      <c r="FM77" s="780">
        <v>0</v>
      </c>
      <c r="FN77" s="780">
        <v>0</v>
      </c>
      <c r="FO77" s="781">
        <v>0</v>
      </c>
      <c r="FP77" s="779">
        <v>0</v>
      </c>
      <c r="FQ77" s="780">
        <v>0</v>
      </c>
      <c r="FR77" s="780">
        <v>0</v>
      </c>
      <c r="FS77" s="781">
        <v>0</v>
      </c>
      <c r="FT77" s="779">
        <v>0</v>
      </c>
      <c r="FU77" s="780">
        <v>0</v>
      </c>
      <c r="FV77" s="780">
        <v>0</v>
      </c>
      <c r="FW77" s="781">
        <v>0</v>
      </c>
      <c r="FX77" s="779">
        <v>0</v>
      </c>
      <c r="FY77" s="780">
        <v>0</v>
      </c>
      <c r="FZ77" s="780">
        <v>0</v>
      </c>
      <c r="GA77" s="781">
        <v>0</v>
      </c>
      <c r="GB77" s="779">
        <f>($H76*(GB$4=Sensitivity!$E$9))/100</f>
        <v>0</v>
      </c>
      <c r="GC77" s="780">
        <f>($H76*(GC$4=Sensitivity!$E$9))/100</f>
        <v>0</v>
      </c>
      <c r="GD77" s="780">
        <f>($H76*(GD$4=Sensitivity!$E$9))/100</f>
        <v>0</v>
      </c>
      <c r="GE77" s="4903">
        <f>($H76*(GE$4=Sensitivity!$E$9))/100</f>
        <v>0</v>
      </c>
    </row>
    <row r="78" spans="3:187" ht="13.5" customHeight="1" outlineLevel="1">
      <c r="C78" s="4904"/>
      <c r="D78" s="4929" t="s">
        <v>1083</v>
      </c>
      <c r="E78" s="747"/>
      <c r="F78" s="748">
        <f>SUM(H78:FO78)</f>
        <v>21.5244</v>
      </c>
      <c r="G78" s="748"/>
      <c r="H78" s="749">
        <f>H76*Sensitivity!$L$13*H$44/12</f>
        <v>1.1569499999999999</v>
      </c>
      <c r="I78" s="750">
        <f>I76*Sensitivity!$L$13*I$44/12</f>
        <v>1.12995</v>
      </c>
      <c r="J78" s="750">
        <f>J76*Sensitivity!$L$13*J$44/12</f>
        <v>1.1029500000000001</v>
      </c>
      <c r="K78" s="751">
        <f>K76*Sensitivity!$L$13*K$44/12</f>
        <v>1.07595</v>
      </c>
      <c r="L78" s="749">
        <f>L76*Sensitivity!$L$13*L$44/12</f>
        <v>1.0475999999999999</v>
      </c>
      <c r="M78" s="750">
        <f>M76*Sensitivity!$L$13*M$44/12</f>
        <v>1.0158749999999999</v>
      </c>
      <c r="N78" s="750">
        <f>N76*Sensitivity!$L$13*N$44/12</f>
        <v>0.98347499999999999</v>
      </c>
      <c r="O78" s="751">
        <f>O76*Sensitivity!$L$13*O$44/12</f>
        <v>0.95040000000000002</v>
      </c>
      <c r="P78" s="749">
        <f>P76*Sensitivity!$L$13*P$44/12</f>
        <v>0.91665000000000008</v>
      </c>
      <c r="Q78" s="750">
        <f>Q76*Sensitivity!$L$13*Q$44/12</f>
        <v>0.88222500000000004</v>
      </c>
      <c r="R78" s="750">
        <f>R76*Sensitivity!$L$13*R$44/12</f>
        <v>0.84712499999999979</v>
      </c>
      <c r="S78" s="751">
        <f>S76*Sensitivity!$L$13*S$44/12</f>
        <v>0.81202499999999989</v>
      </c>
      <c r="T78" s="749">
        <f>T76*Sensitivity!$L$13*T$44/12</f>
        <v>0.77625</v>
      </c>
      <c r="U78" s="750">
        <f>U76*Sensitivity!$L$13*U$44/12</f>
        <v>0.74452499999999988</v>
      </c>
      <c r="V78" s="750">
        <f>V76*Sensitivity!$L$13*V$44/12</f>
        <v>0.71279999999999999</v>
      </c>
      <c r="W78" s="751">
        <f>W76*Sensitivity!$L$13*W$44/12</f>
        <v>0.6804</v>
      </c>
      <c r="X78" s="749">
        <f>X76*Sensitivity!$L$13*X$44/12</f>
        <v>0.64732499999999993</v>
      </c>
      <c r="Y78" s="750">
        <f>Y76*Sensitivity!$L$13*Y$44/12</f>
        <v>0.61424999999999996</v>
      </c>
      <c r="Z78" s="750">
        <f>Z76*Sensitivity!$L$13*Z$44/12</f>
        <v>0.581175</v>
      </c>
      <c r="AA78" s="751">
        <f>AA76*Sensitivity!$L$13*AA$44/12</f>
        <v>0.54742499999999994</v>
      </c>
      <c r="AB78" s="749">
        <f>AB76*Sensitivity!$L$13*AB$44/12</f>
        <v>0.51300000000000001</v>
      </c>
      <c r="AC78" s="750">
        <f>AC76*Sensitivity!$L$13*AC$44/12</f>
        <v>0.48194999999999993</v>
      </c>
      <c r="AD78" s="750">
        <f>AD76*Sensitivity!$L$13*AD$44/12</f>
        <v>0.45022499999999993</v>
      </c>
      <c r="AE78" s="751">
        <f>AE76*Sensitivity!$L$13*AE$44/12</f>
        <v>0.41444999999999993</v>
      </c>
      <c r="AF78" s="749">
        <f>AF76*Sensitivity!$L$13*AF$44/12</f>
        <v>0.37799999999999995</v>
      </c>
      <c r="AG78" s="750">
        <f>AG76*Sensitivity!$L$13*AG$44/12</f>
        <v>0.33547499999999997</v>
      </c>
      <c r="AH78" s="750">
        <f>AH76*Sensitivity!$L$13*AH$44/12</f>
        <v>0.29294999999999993</v>
      </c>
      <c r="AI78" s="751">
        <f>AI76*Sensitivity!$L$13*AI$44/12</f>
        <v>0.24974999999999994</v>
      </c>
      <c r="AJ78" s="749">
        <f>AJ76*Sensitivity!$L$13*AJ$44/12</f>
        <v>0.20587499999999995</v>
      </c>
      <c r="AK78" s="750">
        <f>AK76*Sensitivity!$L$13*AK$44/12</f>
        <v>0.17887499999999998</v>
      </c>
      <c r="AL78" s="750">
        <f>AL76*Sensitivity!$L$13*AL$44/12</f>
        <v>0.14782499999999996</v>
      </c>
      <c r="AM78" s="751">
        <f>AM76*Sensitivity!$L$13*AM$44/12</f>
        <v>0.11609999999999997</v>
      </c>
      <c r="AN78" s="749">
        <f>AN76*Sensitivity!$L$13*AN$44/12</f>
        <v>8.9099999999999971E-2</v>
      </c>
      <c r="AO78" s="750">
        <f>AO76*Sensitivity!$L$13*AO$44/12</f>
        <v>8.0999999999999961E-2</v>
      </c>
      <c r="AP78" s="750">
        <f>AP76*Sensitivity!$L$13*AP$44/12</f>
        <v>7.2899999999999965E-2</v>
      </c>
      <c r="AQ78" s="751">
        <f>AQ76*Sensitivity!$L$13*AQ$44/12</f>
        <v>6.4799999999999955E-2</v>
      </c>
      <c r="AR78" s="749">
        <f>AR76*Sensitivity!$L$13*AR$44/12</f>
        <v>5.6699999999999952E-2</v>
      </c>
      <c r="AS78" s="750">
        <f>AS76*Sensitivity!$L$13*AS$44/12</f>
        <v>4.8599999999999949E-2</v>
      </c>
      <c r="AT78" s="750">
        <f>AT76*Sensitivity!$L$13*AT$44/12</f>
        <v>4.0499999999999946E-2</v>
      </c>
      <c r="AU78" s="751">
        <f>AU76*Sensitivity!$L$13*AU$44/12</f>
        <v>3.239999999999995E-2</v>
      </c>
      <c r="AV78" s="749">
        <f>AV76*Sensitivity!$L$13*AV$44/12</f>
        <v>2.429999999999995E-2</v>
      </c>
      <c r="AW78" s="750">
        <f>AW76*Sensitivity!$L$13*AW$44/12</f>
        <v>1.6199999999999954E-2</v>
      </c>
      <c r="AX78" s="750">
        <f>AX76*Sensitivity!$L$13*AX$44/12</f>
        <v>8.0999999999999545E-3</v>
      </c>
      <c r="AY78" s="751">
        <f>AY76*Sensitivity!$L$13*AY$44/12</f>
        <v>0</v>
      </c>
      <c r="AZ78" s="749">
        <f>AZ76*Sensitivity!$L$13*AZ$44/12</f>
        <v>0</v>
      </c>
      <c r="BA78" s="750">
        <f>BA76*Sensitivity!$L$13*BA$44/12</f>
        <v>0</v>
      </c>
      <c r="BB78" s="750">
        <f>BB76*Sensitivity!$L$13*BB$44/12</f>
        <v>0</v>
      </c>
      <c r="BC78" s="751">
        <f>BC76*Sensitivity!$L$13*BC$44/12</f>
        <v>0</v>
      </c>
      <c r="BD78" s="749">
        <f>BD76*Sensitivity!$L$13*BD$44/12</f>
        <v>0</v>
      </c>
      <c r="BE78" s="750">
        <f>BE76*Sensitivity!$L$13*BE$44/12</f>
        <v>0</v>
      </c>
      <c r="BF78" s="750">
        <f>BF76*Sensitivity!$L$13*BF$44/12</f>
        <v>0</v>
      </c>
      <c r="BG78" s="751">
        <f>BG76*Sensitivity!$L$13*BG$44/12</f>
        <v>0</v>
      </c>
      <c r="BH78" s="749">
        <f>BH76*Sensitivity!$L$13*BH$44/12</f>
        <v>0</v>
      </c>
      <c r="BI78" s="750">
        <f>BI76*Sensitivity!$L$13*BI$44/12</f>
        <v>0</v>
      </c>
      <c r="BJ78" s="750">
        <f>BJ76*Sensitivity!$L$13*BJ$44/12</f>
        <v>0</v>
      </c>
      <c r="BK78" s="751">
        <f>BK76*Sensitivity!$L$13*BK$44/12</f>
        <v>0</v>
      </c>
      <c r="BL78" s="749">
        <f>BL76*Sensitivity!$L$13*BL$44/12</f>
        <v>0</v>
      </c>
      <c r="BM78" s="750">
        <f>BM76*Sensitivity!$L$13*BM$44/12</f>
        <v>0</v>
      </c>
      <c r="BN78" s="750">
        <f>BN76*Sensitivity!$L$13*BN$44/12</f>
        <v>0</v>
      </c>
      <c r="BO78" s="751">
        <f>BO76*Sensitivity!$L$13*BO$44/12</f>
        <v>0</v>
      </c>
      <c r="BP78" s="749">
        <f>BP76*Sensitivity!$L$13*BP$44/12</f>
        <v>0</v>
      </c>
      <c r="BQ78" s="750">
        <f>BQ76*Sensitivity!$L$13*BQ$44/12</f>
        <v>0</v>
      </c>
      <c r="BR78" s="750">
        <f>BR76*Sensitivity!$L$13*BR$44/12</f>
        <v>0</v>
      </c>
      <c r="BS78" s="751">
        <f>BS76*Sensitivity!$L$13*BS$44/12</f>
        <v>0</v>
      </c>
      <c r="BT78" s="749">
        <f>BT76*Sensitivity!$L$13*BT$44/12</f>
        <v>0</v>
      </c>
      <c r="BU78" s="750">
        <f>BU76*Sensitivity!$L$13*BU$44/12</f>
        <v>0</v>
      </c>
      <c r="BV78" s="750">
        <f>BV76*Sensitivity!$L$13*BV$44/12</f>
        <v>0</v>
      </c>
      <c r="BW78" s="751">
        <f>BW76*Sensitivity!$L$13*BW$44/12</f>
        <v>0</v>
      </c>
      <c r="BX78" s="749">
        <f>BX76*Sensitivity!$L$13*BX$44/12</f>
        <v>0</v>
      </c>
      <c r="BY78" s="750">
        <f>BY76*Sensitivity!$L$13*BY$44/12</f>
        <v>0</v>
      </c>
      <c r="BZ78" s="750">
        <f>BZ76*Sensitivity!$L$13*BZ$44/12</f>
        <v>0</v>
      </c>
      <c r="CA78" s="751">
        <f>CA76*Sensitivity!$L$13*CA$44/12</f>
        <v>0</v>
      </c>
      <c r="CB78" s="749">
        <f>CB76*Sensitivity!$L$13*CB$44/12</f>
        <v>0</v>
      </c>
      <c r="CC78" s="750">
        <f>CC76*Sensitivity!$L$13*CC$44/12</f>
        <v>0</v>
      </c>
      <c r="CD78" s="750">
        <f>CD76*Sensitivity!$L$13*CD$44/12</f>
        <v>0</v>
      </c>
      <c r="CE78" s="751">
        <f>CE76*Sensitivity!$L$13*CE$44/12</f>
        <v>0</v>
      </c>
      <c r="CF78" s="749">
        <f>CF76*Sensitivity!$L$13*CF$44/12</f>
        <v>0</v>
      </c>
      <c r="CG78" s="750">
        <f>CG76*Sensitivity!$L$13*CG$44/12</f>
        <v>0</v>
      </c>
      <c r="CH78" s="750">
        <f>CH76*Sensitivity!$L$13*CH$44/12</f>
        <v>0</v>
      </c>
      <c r="CI78" s="751">
        <f>CI76*Sensitivity!$L$13*CI$44/12</f>
        <v>0</v>
      </c>
      <c r="CJ78" s="749">
        <f>CJ76*Sensitivity!$L$13*CJ$44/12</f>
        <v>0</v>
      </c>
      <c r="CK78" s="750">
        <f>CK76*Sensitivity!$L$13*CK$44/12</f>
        <v>0</v>
      </c>
      <c r="CL78" s="750">
        <f>CL76*Sensitivity!$L$13*CL$44/12</f>
        <v>0</v>
      </c>
      <c r="CM78" s="751">
        <f>CM76*Sensitivity!$L$13*CM$44/12</f>
        <v>0</v>
      </c>
      <c r="CN78" s="749">
        <f>CN76*Sensitivity!$L$13*CN$44/12</f>
        <v>0</v>
      </c>
      <c r="CO78" s="750">
        <f>CO76*Sensitivity!$L$13*CO$44/12</f>
        <v>0</v>
      </c>
      <c r="CP78" s="750">
        <f>CP76*Sensitivity!$L$13*CP$44/12</f>
        <v>0</v>
      </c>
      <c r="CQ78" s="751">
        <f>CQ76*Sensitivity!$L$13*CQ$44/12</f>
        <v>0</v>
      </c>
      <c r="CR78" s="749">
        <f>CR76*Sensitivity!$L$13*CR$44/12</f>
        <v>0</v>
      </c>
      <c r="CS78" s="750">
        <f>CS76*Sensitivity!$L$13*CS$44/12</f>
        <v>0</v>
      </c>
      <c r="CT78" s="750">
        <f>CT76*Sensitivity!$L$13*CT$44/12</f>
        <v>0</v>
      </c>
      <c r="CU78" s="751">
        <f>CU76*Sensitivity!$L$13*CU$44/12</f>
        <v>0</v>
      </c>
      <c r="CV78" s="749">
        <f>CV76*Sensitivity!$L$13*CV$44/12</f>
        <v>0</v>
      </c>
      <c r="CW78" s="750">
        <f>CW76*Sensitivity!$L$13*CW$44/12</f>
        <v>0</v>
      </c>
      <c r="CX78" s="750">
        <f>CX76*Sensitivity!$L$13*CX$44/12</f>
        <v>0</v>
      </c>
      <c r="CY78" s="751">
        <f>CY76*Sensitivity!$L$13*CY$44/12</f>
        <v>0</v>
      </c>
      <c r="CZ78" s="749">
        <f>CZ76*Sensitivity!$L$13*CZ$44/12</f>
        <v>0</v>
      </c>
      <c r="DA78" s="750">
        <f>DA76*Sensitivity!$L$13*DA$44/12</f>
        <v>0</v>
      </c>
      <c r="DB78" s="750">
        <f>DB76*Sensitivity!$L$13*DB$44/12</f>
        <v>0</v>
      </c>
      <c r="DC78" s="751">
        <f>DC76*Sensitivity!$L$13*DC$44/12</f>
        <v>0</v>
      </c>
      <c r="DD78" s="749">
        <f>DD76*Sensitivity!$L$13*DD$44/12</f>
        <v>0</v>
      </c>
      <c r="DE78" s="750">
        <f>DE76*Sensitivity!$L$13*DE$44/12</f>
        <v>0</v>
      </c>
      <c r="DF78" s="750">
        <f>DF76*Sensitivity!$L$13*DF$44/12</f>
        <v>0</v>
      </c>
      <c r="DG78" s="751">
        <f>DG76*Sensitivity!$L$13*DG$44/12</f>
        <v>0</v>
      </c>
      <c r="DH78" s="749">
        <f>DH76*Sensitivity!$L$13*DH$44/12</f>
        <v>0</v>
      </c>
      <c r="DI78" s="750">
        <f>DI76*Sensitivity!$L$13*DI$44/12</f>
        <v>0</v>
      </c>
      <c r="DJ78" s="750">
        <f>DJ76*Sensitivity!$L$13*DJ$44/12</f>
        <v>0</v>
      </c>
      <c r="DK78" s="751">
        <f>DK76*Sensitivity!$L$13*DK$44/12</f>
        <v>0</v>
      </c>
      <c r="DL78" s="749">
        <f>DL76*Sensitivity!$L$13*DL$44/12</f>
        <v>0</v>
      </c>
      <c r="DM78" s="750">
        <f>DM76*Sensitivity!$L$13*DM$44/12</f>
        <v>0</v>
      </c>
      <c r="DN78" s="750">
        <f>DN76*Sensitivity!$L$13*DN$44/12</f>
        <v>0</v>
      </c>
      <c r="DO78" s="751">
        <f>DO76*Sensitivity!$L$13*DO$44/12</f>
        <v>0</v>
      </c>
      <c r="DP78" s="749">
        <f>DP76*Sensitivity!$L$13*DP$44/12</f>
        <v>0</v>
      </c>
      <c r="DQ78" s="750">
        <f>DQ76*Sensitivity!$L$13*DQ$44/12</f>
        <v>0</v>
      </c>
      <c r="DR78" s="750">
        <f>DR76*Sensitivity!$L$13*DR$44/12</f>
        <v>0</v>
      </c>
      <c r="DS78" s="751">
        <f>DS76*Sensitivity!$L$13*DS$44/12</f>
        <v>0</v>
      </c>
      <c r="DT78" s="749">
        <f>DT76*Sensitivity!$L$13*DT$44/12</f>
        <v>0</v>
      </c>
      <c r="DU78" s="750">
        <f>DU76*Sensitivity!$L$13*DU$44/12</f>
        <v>0</v>
      </c>
      <c r="DV78" s="750">
        <f>DV76*Sensitivity!$L$13*DV$44/12</f>
        <v>0</v>
      </c>
      <c r="DW78" s="751">
        <f>DW76*Sensitivity!$L$13*DW$44/12</f>
        <v>0</v>
      </c>
      <c r="DX78" s="749">
        <f>DX76*Sensitivity!$L$13*DX$44/12</f>
        <v>0</v>
      </c>
      <c r="DY78" s="750">
        <f>DY76*Sensitivity!$L$13*DY$44/12</f>
        <v>0</v>
      </c>
      <c r="DZ78" s="750">
        <f>DZ76*Sensitivity!$L$13*DZ$44/12</f>
        <v>0</v>
      </c>
      <c r="EA78" s="751">
        <f>EA76*Sensitivity!$L$13*EA$44/12</f>
        <v>0</v>
      </c>
      <c r="EB78" s="749">
        <f>EB76*Sensitivity!$L$13*EB$44/12</f>
        <v>0</v>
      </c>
      <c r="EC78" s="750">
        <f>EC76*Sensitivity!$L$13*EC$44/12</f>
        <v>0</v>
      </c>
      <c r="ED78" s="750">
        <f>ED76*Sensitivity!$L$13*ED$44/12</f>
        <v>0</v>
      </c>
      <c r="EE78" s="751">
        <f>EE76*Sensitivity!$L$13*EE$44/12</f>
        <v>0</v>
      </c>
      <c r="EF78" s="749">
        <f>EF76*Sensitivity!$L$13*EF$44/12</f>
        <v>0</v>
      </c>
      <c r="EG78" s="750">
        <f>EG76*Sensitivity!$L$13*EG$44/12</f>
        <v>0</v>
      </c>
      <c r="EH78" s="750">
        <f>EH76*Sensitivity!$L$13*EH$44/12</f>
        <v>0</v>
      </c>
      <c r="EI78" s="751">
        <f>EI76*Sensitivity!$L$13*EI$44/12</f>
        <v>0</v>
      </c>
      <c r="EJ78" s="749">
        <f>EJ76*Sensitivity!$L$13*EJ$44/12</f>
        <v>0</v>
      </c>
      <c r="EK78" s="750">
        <f>EK76*Sensitivity!$L$13*EK$44/12</f>
        <v>0</v>
      </c>
      <c r="EL78" s="750">
        <f>EL76*Sensitivity!$L$13*EL$44/12</f>
        <v>0</v>
      </c>
      <c r="EM78" s="751">
        <f>EM76*Sensitivity!$L$13*EM$44/12</f>
        <v>0</v>
      </c>
      <c r="EN78" s="749">
        <f>EN76*Sensitivity!$L$13*EN$44/12</f>
        <v>0</v>
      </c>
      <c r="EO78" s="750">
        <f>EO76*Sensitivity!$L$13*EO$44/12</f>
        <v>0</v>
      </c>
      <c r="EP78" s="750">
        <f>EP76*Sensitivity!$L$13*EP$44/12</f>
        <v>0</v>
      </c>
      <c r="EQ78" s="751">
        <f>EQ76*Sensitivity!$L$13*EQ$44/12</f>
        <v>0</v>
      </c>
      <c r="ER78" s="749">
        <f>ER76*Sensitivity!$L$13*ER$44/12</f>
        <v>0</v>
      </c>
      <c r="ES78" s="750">
        <f>ES76*Sensitivity!$L$13*ES$44/12</f>
        <v>0</v>
      </c>
      <c r="ET78" s="750">
        <f>ET76*Sensitivity!$L$13*ET$44/12</f>
        <v>0</v>
      </c>
      <c r="EU78" s="751">
        <f>EU76*Sensitivity!$L$13*EU$44/12</f>
        <v>0</v>
      </c>
      <c r="EV78" s="749">
        <f>EV76*Sensitivity!$L$13*EV$44/12</f>
        <v>0</v>
      </c>
      <c r="EW78" s="750">
        <f>EW76*Sensitivity!$L$13*EW$44/12</f>
        <v>0</v>
      </c>
      <c r="EX78" s="750">
        <f>EX76*Sensitivity!$L$13*EX$44/12</f>
        <v>0</v>
      </c>
      <c r="EY78" s="751">
        <f>EY76*Sensitivity!$L$13*EY$44/12</f>
        <v>0</v>
      </c>
      <c r="EZ78" s="749">
        <f>EZ76*Sensitivity!$L$13*EZ$44/12</f>
        <v>0</v>
      </c>
      <c r="FA78" s="750">
        <f>FA76*Sensitivity!$L$13*FA$44/12</f>
        <v>0</v>
      </c>
      <c r="FB78" s="750">
        <f>FB76*Sensitivity!$L$13*FB$44/12</f>
        <v>0</v>
      </c>
      <c r="FC78" s="751">
        <f>FC76*Sensitivity!$L$13*FC$44/12</f>
        <v>0</v>
      </c>
      <c r="FD78" s="749">
        <f>FD76*Sensitivity!$L$13*FD$44/12</f>
        <v>0</v>
      </c>
      <c r="FE78" s="750">
        <f>FE76*Sensitivity!$L$13*FE$44/12</f>
        <v>0</v>
      </c>
      <c r="FF78" s="750">
        <f>FF76*Sensitivity!$L$13*FF$44/12</f>
        <v>0</v>
      </c>
      <c r="FG78" s="751">
        <f>FG76*Sensitivity!$L$13*FG$44/12</f>
        <v>0</v>
      </c>
      <c r="FH78" s="749">
        <f>FH76*Sensitivity!$L$13*FH$44/12</f>
        <v>0</v>
      </c>
      <c r="FI78" s="750">
        <f>FI76*Sensitivity!$L$13*FI$44/12</f>
        <v>0</v>
      </c>
      <c r="FJ78" s="750">
        <f>FJ76*Sensitivity!$L$13*FJ$44/12</f>
        <v>0</v>
      </c>
      <c r="FK78" s="751">
        <f>FK76*Sensitivity!$L$13*FK$44/12</f>
        <v>0</v>
      </c>
      <c r="FL78" s="749">
        <f>FL76*Sensitivity!$L$13*FL$44/12</f>
        <v>0</v>
      </c>
      <c r="FM78" s="750">
        <f>FM76*Sensitivity!$L$13*FM$44/12</f>
        <v>0</v>
      </c>
      <c r="FN78" s="750">
        <f>FN76*Sensitivity!$L$13*FN$44/12</f>
        <v>0</v>
      </c>
      <c r="FO78" s="751">
        <f>FO76*Sensitivity!$L$13*FO$44/12</f>
        <v>0</v>
      </c>
      <c r="FP78" s="749">
        <f>FP76*Sensitivity!$L$13*FP$44/12</f>
        <v>0</v>
      </c>
      <c r="FQ78" s="750">
        <f>FQ76*Sensitivity!$L$13*FQ$44/12</f>
        <v>0</v>
      </c>
      <c r="FR78" s="750">
        <f>FR76*Sensitivity!$L$13*FR$44/12</f>
        <v>0</v>
      </c>
      <c r="FS78" s="751">
        <f>FS76*Sensitivity!$L$13*FS$44/12</f>
        <v>0</v>
      </c>
      <c r="FT78" s="749">
        <f>FT76*Sensitivity!$L$13*FT$44/12</f>
        <v>0</v>
      </c>
      <c r="FU78" s="750">
        <f>FU76*Sensitivity!$L$13*FU$44/12</f>
        <v>0</v>
      </c>
      <c r="FV78" s="750">
        <f>FV76*Sensitivity!$L$13*FV$44/12</f>
        <v>0</v>
      </c>
      <c r="FW78" s="751">
        <f>FW76*Sensitivity!$L$13*FW$44/12</f>
        <v>0</v>
      </c>
      <c r="FX78" s="749">
        <f>FX76*Sensitivity!$L$13*FX$44/12</f>
        <v>0</v>
      </c>
      <c r="FY78" s="750">
        <f>FY76*Sensitivity!$L$13*FY$44/12</f>
        <v>0</v>
      </c>
      <c r="FZ78" s="750">
        <f>FZ76*Sensitivity!$L$13*FZ$44/12</f>
        <v>0</v>
      </c>
      <c r="GA78" s="751">
        <f>GA76*Sensitivity!$L$13*GA$44/12</f>
        <v>0</v>
      </c>
      <c r="GB78" s="749">
        <f>GB76*Sensitivity!$L$13*GB$44/12</f>
        <v>0</v>
      </c>
      <c r="GC78" s="750">
        <f>GC76*Sensitivity!$L$13*GC$44/12</f>
        <v>0</v>
      </c>
      <c r="GD78" s="750">
        <f>GD76*Sensitivity!$L$13*GD$44/12</f>
        <v>0</v>
      </c>
      <c r="GE78" s="4905">
        <f>GE76*Sensitivity!$L$13*GE$44/12</f>
        <v>0</v>
      </c>
    </row>
    <row r="79" spans="3:187" ht="13.5" customHeight="1" outlineLevel="1">
      <c r="C79" s="4900" t="str">
        <f>C17</f>
        <v>장기B-2</v>
      </c>
      <c r="D79" s="4744"/>
      <c r="E79" s="315"/>
      <c r="F79" s="315"/>
      <c r="G79" s="315"/>
      <c r="H79" s="720"/>
      <c r="I79" s="315"/>
      <c r="J79" s="315"/>
      <c r="K79" s="721"/>
      <c r="L79" s="720"/>
      <c r="M79" s="315"/>
      <c r="N79" s="315"/>
      <c r="O79" s="721"/>
      <c r="P79" s="720"/>
      <c r="Q79" s="782"/>
      <c r="R79" s="315"/>
      <c r="S79" s="721"/>
      <c r="T79" s="720"/>
      <c r="U79" s="315"/>
      <c r="V79" s="315"/>
      <c r="W79" s="721"/>
      <c r="X79" s="720"/>
      <c r="Y79" s="315"/>
      <c r="Z79" s="315"/>
      <c r="AA79" s="721"/>
      <c r="AB79" s="720"/>
      <c r="AC79" s="315"/>
      <c r="AD79" s="315"/>
      <c r="AE79" s="721"/>
      <c r="AF79" s="720"/>
      <c r="AG79" s="315"/>
      <c r="AH79" s="315"/>
      <c r="AI79" s="721"/>
      <c r="AJ79" s="720"/>
      <c r="AK79" s="315"/>
      <c r="AL79" s="315"/>
      <c r="AM79" s="721"/>
      <c r="AN79" s="720"/>
      <c r="AO79" s="315"/>
      <c r="AP79" s="315"/>
      <c r="AQ79" s="721"/>
      <c r="AR79" s="720"/>
      <c r="AS79" s="315"/>
      <c r="AT79" s="315"/>
      <c r="AU79" s="721"/>
      <c r="AV79" s="720"/>
      <c r="AW79" s="315"/>
      <c r="AX79" s="315"/>
      <c r="AY79" s="721"/>
      <c r="AZ79" s="720"/>
      <c r="BA79" s="315"/>
      <c r="BB79" s="315"/>
      <c r="BC79" s="721"/>
      <c r="BD79" s="720"/>
      <c r="BE79" s="315"/>
      <c r="BF79" s="315"/>
      <c r="BG79" s="721"/>
      <c r="BH79" s="720"/>
      <c r="BI79" s="315"/>
      <c r="BJ79" s="315"/>
      <c r="BK79" s="721"/>
      <c r="BL79" s="720"/>
      <c r="BM79" s="315"/>
      <c r="BN79" s="315"/>
      <c r="BO79" s="721"/>
      <c r="BP79" s="720"/>
      <c r="BQ79" s="315"/>
      <c r="BR79" s="315"/>
      <c r="BS79" s="721"/>
      <c r="BT79" s="720"/>
      <c r="BU79" s="315"/>
      <c r="BV79" s="315"/>
      <c r="BW79" s="721"/>
      <c r="BX79" s="720"/>
      <c r="BY79" s="315"/>
      <c r="BZ79" s="315"/>
      <c r="CA79" s="721"/>
      <c r="CB79" s="720"/>
      <c r="CC79" s="315"/>
      <c r="CD79" s="315"/>
      <c r="CE79" s="721"/>
      <c r="CF79" s="720"/>
      <c r="CG79" s="315"/>
      <c r="CH79" s="315"/>
      <c r="CI79" s="721"/>
      <c r="CJ79" s="720"/>
      <c r="CK79" s="315"/>
      <c r="CL79" s="315"/>
      <c r="CM79" s="721"/>
      <c r="CN79" s="720"/>
      <c r="CO79" s="315"/>
      <c r="CP79" s="315"/>
      <c r="CQ79" s="721"/>
      <c r="CR79" s="720"/>
      <c r="CS79" s="315"/>
      <c r="CT79" s="315"/>
      <c r="CU79" s="721"/>
      <c r="CV79" s="720"/>
      <c r="CW79" s="315"/>
      <c r="CX79" s="315"/>
      <c r="CY79" s="721"/>
      <c r="CZ79" s="720"/>
      <c r="DA79" s="315"/>
      <c r="DB79" s="315"/>
      <c r="DC79" s="721"/>
      <c r="DD79" s="720"/>
      <c r="DE79" s="315"/>
      <c r="DF79" s="315"/>
      <c r="DG79" s="721"/>
      <c r="DH79" s="720"/>
      <c r="DI79" s="315"/>
      <c r="DJ79" s="315"/>
      <c r="DK79" s="721"/>
      <c r="DL79" s="720"/>
      <c r="DM79" s="315"/>
      <c r="DN79" s="315"/>
      <c r="DO79" s="721"/>
      <c r="DP79" s="720"/>
      <c r="DQ79" s="315"/>
      <c r="DR79" s="315"/>
      <c r="DS79" s="721"/>
      <c r="DT79" s="720"/>
      <c r="DU79" s="315"/>
      <c r="DV79" s="315"/>
      <c r="DW79" s="721"/>
      <c r="DX79" s="720"/>
      <c r="DY79" s="315"/>
      <c r="DZ79" s="315"/>
      <c r="EA79" s="721"/>
      <c r="EB79" s="720"/>
      <c r="EC79" s="315"/>
      <c r="ED79" s="315"/>
      <c r="EE79" s="721"/>
      <c r="EF79" s="720"/>
      <c r="EG79" s="315"/>
      <c r="EH79" s="315"/>
      <c r="EI79" s="721"/>
      <c r="EJ79" s="720"/>
      <c r="EK79" s="315"/>
      <c r="EL79" s="315"/>
      <c r="EM79" s="721"/>
      <c r="EN79" s="720"/>
      <c r="EO79" s="315"/>
      <c r="EP79" s="315"/>
      <c r="EQ79" s="721"/>
      <c r="ER79" s="720"/>
      <c r="ES79" s="315"/>
      <c r="ET79" s="315"/>
      <c r="EU79" s="721"/>
      <c r="EV79" s="720"/>
      <c r="EW79" s="315"/>
      <c r="EX79" s="315"/>
      <c r="EY79" s="721"/>
      <c r="EZ79" s="720"/>
      <c r="FA79" s="315"/>
      <c r="FB79" s="315"/>
      <c r="FC79" s="721"/>
      <c r="FD79" s="720"/>
      <c r="FE79" s="315"/>
      <c r="FF79" s="315"/>
      <c r="FG79" s="721"/>
      <c r="FH79" s="720"/>
      <c r="FI79" s="315"/>
      <c r="FJ79" s="315"/>
      <c r="FK79" s="721"/>
      <c r="FL79" s="720"/>
      <c r="FM79" s="315"/>
      <c r="FN79" s="315"/>
      <c r="FO79" s="721"/>
      <c r="FP79" s="720"/>
      <c r="FQ79" s="315"/>
      <c r="FR79" s="315"/>
      <c r="FS79" s="721"/>
      <c r="FT79" s="720"/>
      <c r="FU79" s="315"/>
      <c r="FV79" s="315"/>
      <c r="FW79" s="721"/>
      <c r="FX79" s="720"/>
      <c r="FY79" s="315"/>
      <c r="FZ79" s="315"/>
      <c r="GA79" s="721"/>
      <c r="GB79" s="720"/>
      <c r="GC79" s="315"/>
      <c r="GD79" s="315"/>
      <c r="GE79" s="4901"/>
    </row>
    <row r="80" spans="3:187" ht="13.5" customHeight="1" outlineLevel="1">
      <c r="C80" s="4781"/>
      <c r="D80" s="773" t="s">
        <v>1080</v>
      </c>
      <c r="E80" s="722"/>
      <c r="F80" s="723"/>
      <c r="G80" s="723"/>
      <c r="H80" s="778">
        <v>107.125</v>
      </c>
      <c r="I80" s="725">
        <f t="shared" ref="I80:BT80" si="88">H80-H81</f>
        <v>104.625</v>
      </c>
      <c r="J80" s="725">
        <f t="shared" si="88"/>
        <v>102.125</v>
      </c>
      <c r="K80" s="726">
        <f t="shared" si="88"/>
        <v>99.625</v>
      </c>
      <c r="L80" s="724">
        <f t="shared" si="88"/>
        <v>97</v>
      </c>
      <c r="M80" s="725">
        <f t="shared" si="88"/>
        <v>94.0625</v>
      </c>
      <c r="N80" s="725">
        <f t="shared" si="88"/>
        <v>91.0625</v>
      </c>
      <c r="O80" s="726">
        <f t="shared" si="88"/>
        <v>88</v>
      </c>
      <c r="P80" s="724">
        <f t="shared" si="88"/>
        <v>84.875</v>
      </c>
      <c r="Q80" s="725">
        <f t="shared" si="88"/>
        <v>81.6875</v>
      </c>
      <c r="R80" s="725">
        <f t="shared" si="88"/>
        <v>78.4375</v>
      </c>
      <c r="S80" s="726">
        <f t="shared" si="88"/>
        <v>75.1875</v>
      </c>
      <c r="T80" s="724">
        <f t="shared" si="88"/>
        <v>71.875</v>
      </c>
      <c r="U80" s="725">
        <f t="shared" si="88"/>
        <v>68.9375</v>
      </c>
      <c r="V80" s="5212">
        <f t="shared" si="88"/>
        <v>66</v>
      </c>
      <c r="W80" s="726">
        <f t="shared" si="88"/>
        <v>63</v>
      </c>
      <c r="X80" s="724">
        <f t="shared" si="88"/>
        <v>59.9375</v>
      </c>
      <c r="Y80" s="725">
        <f t="shared" si="88"/>
        <v>56.875</v>
      </c>
      <c r="Z80" s="725">
        <f t="shared" si="88"/>
        <v>53.8125</v>
      </c>
      <c r="AA80" s="726">
        <f t="shared" si="88"/>
        <v>50.6875</v>
      </c>
      <c r="AB80" s="724">
        <f t="shared" si="88"/>
        <v>47.5</v>
      </c>
      <c r="AC80" s="725">
        <f t="shared" si="88"/>
        <v>44.625</v>
      </c>
      <c r="AD80" s="725">
        <f t="shared" si="88"/>
        <v>41.6875</v>
      </c>
      <c r="AE80" s="726">
        <f t="shared" si="88"/>
        <v>38.375</v>
      </c>
      <c r="AF80" s="724">
        <f t="shared" si="88"/>
        <v>35</v>
      </c>
      <c r="AG80" s="725">
        <f t="shared" si="88"/>
        <v>31.0625</v>
      </c>
      <c r="AH80" s="725">
        <f t="shared" si="88"/>
        <v>27.125</v>
      </c>
      <c r="AI80" s="726">
        <f t="shared" si="88"/>
        <v>23.125</v>
      </c>
      <c r="AJ80" s="724">
        <f t="shared" si="88"/>
        <v>19.0625</v>
      </c>
      <c r="AK80" s="725">
        <f t="shared" si="88"/>
        <v>16.5625</v>
      </c>
      <c r="AL80" s="725">
        <f t="shared" si="88"/>
        <v>13.6875</v>
      </c>
      <c r="AM80" s="726">
        <f t="shared" si="88"/>
        <v>10.75</v>
      </c>
      <c r="AN80" s="724">
        <f t="shared" si="88"/>
        <v>8.25</v>
      </c>
      <c r="AO80" s="725">
        <f t="shared" si="88"/>
        <v>7.5</v>
      </c>
      <c r="AP80" s="725">
        <f t="shared" si="88"/>
        <v>6.75</v>
      </c>
      <c r="AQ80" s="726">
        <f t="shared" si="88"/>
        <v>6</v>
      </c>
      <c r="AR80" s="724">
        <f t="shared" si="88"/>
        <v>5.25</v>
      </c>
      <c r="AS80" s="725">
        <f t="shared" si="88"/>
        <v>4.5</v>
      </c>
      <c r="AT80" s="725">
        <f t="shared" si="88"/>
        <v>3.75</v>
      </c>
      <c r="AU80" s="726">
        <f t="shared" si="88"/>
        <v>3</v>
      </c>
      <c r="AV80" s="724">
        <f t="shared" si="88"/>
        <v>2.25</v>
      </c>
      <c r="AW80" s="725">
        <f t="shared" si="88"/>
        <v>1.5</v>
      </c>
      <c r="AX80" s="725">
        <f t="shared" si="88"/>
        <v>0.75</v>
      </c>
      <c r="AY80" s="726">
        <f t="shared" si="88"/>
        <v>0</v>
      </c>
      <c r="AZ80" s="724">
        <f t="shared" si="88"/>
        <v>0</v>
      </c>
      <c r="BA80" s="725">
        <f t="shared" si="88"/>
        <v>0</v>
      </c>
      <c r="BB80" s="725">
        <f t="shared" si="88"/>
        <v>0</v>
      </c>
      <c r="BC80" s="726">
        <f t="shared" si="88"/>
        <v>0</v>
      </c>
      <c r="BD80" s="724">
        <f t="shared" si="88"/>
        <v>0</v>
      </c>
      <c r="BE80" s="725">
        <f t="shared" si="88"/>
        <v>0</v>
      </c>
      <c r="BF80" s="725">
        <f t="shared" si="88"/>
        <v>0</v>
      </c>
      <c r="BG80" s="726">
        <f t="shared" si="88"/>
        <v>0</v>
      </c>
      <c r="BH80" s="724">
        <f t="shared" si="88"/>
        <v>0</v>
      </c>
      <c r="BI80" s="725">
        <f t="shared" si="88"/>
        <v>0</v>
      </c>
      <c r="BJ80" s="725">
        <f t="shared" si="88"/>
        <v>0</v>
      </c>
      <c r="BK80" s="726">
        <f t="shared" si="88"/>
        <v>0</v>
      </c>
      <c r="BL80" s="724">
        <f t="shared" si="88"/>
        <v>0</v>
      </c>
      <c r="BM80" s="725">
        <f t="shared" si="88"/>
        <v>0</v>
      </c>
      <c r="BN80" s="725">
        <f t="shared" si="88"/>
        <v>0</v>
      </c>
      <c r="BO80" s="726">
        <f t="shared" si="88"/>
        <v>0</v>
      </c>
      <c r="BP80" s="724">
        <f t="shared" si="88"/>
        <v>0</v>
      </c>
      <c r="BQ80" s="725">
        <f t="shared" si="88"/>
        <v>0</v>
      </c>
      <c r="BR80" s="725">
        <f t="shared" si="88"/>
        <v>0</v>
      </c>
      <c r="BS80" s="726">
        <f t="shared" si="88"/>
        <v>0</v>
      </c>
      <c r="BT80" s="724">
        <f t="shared" si="88"/>
        <v>0</v>
      </c>
      <c r="BU80" s="725">
        <f t="shared" ref="BU80:EF80" si="89">BT80-BT81</f>
        <v>0</v>
      </c>
      <c r="BV80" s="725">
        <f t="shared" si="89"/>
        <v>0</v>
      </c>
      <c r="BW80" s="726">
        <f t="shared" si="89"/>
        <v>0</v>
      </c>
      <c r="BX80" s="724">
        <f t="shared" si="89"/>
        <v>0</v>
      </c>
      <c r="BY80" s="725">
        <f t="shared" si="89"/>
        <v>0</v>
      </c>
      <c r="BZ80" s="725">
        <f t="shared" si="89"/>
        <v>0</v>
      </c>
      <c r="CA80" s="726">
        <f t="shared" si="89"/>
        <v>0</v>
      </c>
      <c r="CB80" s="724">
        <f t="shared" si="89"/>
        <v>0</v>
      </c>
      <c r="CC80" s="725">
        <f t="shared" si="89"/>
        <v>0</v>
      </c>
      <c r="CD80" s="725">
        <f t="shared" si="89"/>
        <v>0</v>
      </c>
      <c r="CE80" s="726">
        <f t="shared" si="89"/>
        <v>0</v>
      </c>
      <c r="CF80" s="724">
        <f t="shared" si="89"/>
        <v>0</v>
      </c>
      <c r="CG80" s="725">
        <f t="shared" si="89"/>
        <v>0</v>
      </c>
      <c r="CH80" s="725">
        <f t="shared" si="89"/>
        <v>0</v>
      </c>
      <c r="CI80" s="726">
        <f t="shared" si="89"/>
        <v>0</v>
      </c>
      <c r="CJ80" s="724">
        <f t="shared" si="89"/>
        <v>0</v>
      </c>
      <c r="CK80" s="725">
        <f t="shared" si="89"/>
        <v>0</v>
      </c>
      <c r="CL80" s="725">
        <f t="shared" si="89"/>
        <v>0</v>
      </c>
      <c r="CM80" s="726">
        <f t="shared" si="89"/>
        <v>0</v>
      </c>
      <c r="CN80" s="724">
        <f t="shared" si="89"/>
        <v>0</v>
      </c>
      <c r="CO80" s="725">
        <f t="shared" si="89"/>
        <v>0</v>
      </c>
      <c r="CP80" s="725">
        <f t="shared" si="89"/>
        <v>0</v>
      </c>
      <c r="CQ80" s="726">
        <f t="shared" si="89"/>
        <v>0</v>
      </c>
      <c r="CR80" s="724">
        <f t="shared" si="89"/>
        <v>0</v>
      </c>
      <c r="CS80" s="725">
        <f t="shared" si="89"/>
        <v>0</v>
      </c>
      <c r="CT80" s="725">
        <f t="shared" si="89"/>
        <v>0</v>
      </c>
      <c r="CU80" s="726">
        <f t="shared" si="89"/>
        <v>0</v>
      </c>
      <c r="CV80" s="724">
        <f t="shared" si="89"/>
        <v>0</v>
      </c>
      <c r="CW80" s="725">
        <f t="shared" si="89"/>
        <v>0</v>
      </c>
      <c r="CX80" s="725">
        <f t="shared" si="89"/>
        <v>0</v>
      </c>
      <c r="CY80" s="726">
        <f t="shared" si="89"/>
        <v>0</v>
      </c>
      <c r="CZ80" s="724">
        <f t="shared" si="89"/>
        <v>0</v>
      </c>
      <c r="DA80" s="725">
        <f t="shared" si="89"/>
        <v>0</v>
      </c>
      <c r="DB80" s="725">
        <f t="shared" si="89"/>
        <v>0</v>
      </c>
      <c r="DC80" s="726">
        <f t="shared" si="89"/>
        <v>0</v>
      </c>
      <c r="DD80" s="724">
        <f t="shared" si="89"/>
        <v>0</v>
      </c>
      <c r="DE80" s="725">
        <f t="shared" si="89"/>
        <v>0</v>
      </c>
      <c r="DF80" s="725">
        <f t="shared" si="89"/>
        <v>0</v>
      </c>
      <c r="DG80" s="726">
        <f t="shared" si="89"/>
        <v>0</v>
      </c>
      <c r="DH80" s="724">
        <f t="shared" si="89"/>
        <v>0</v>
      </c>
      <c r="DI80" s="725">
        <f t="shared" si="89"/>
        <v>0</v>
      </c>
      <c r="DJ80" s="725">
        <f t="shared" si="89"/>
        <v>0</v>
      </c>
      <c r="DK80" s="726">
        <f t="shared" si="89"/>
        <v>0</v>
      </c>
      <c r="DL80" s="724">
        <f t="shared" si="89"/>
        <v>0</v>
      </c>
      <c r="DM80" s="725">
        <f t="shared" si="89"/>
        <v>0</v>
      </c>
      <c r="DN80" s="725">
        <f t="shared" si="89"/>
        <v>0</v>
      </c>
      <c r="DO80" s="726">
        <f t="shared" si="89"/>
        <v>0</v>
      </c>
      <c r="DP80" s="724">
        <f t="shared" si="89"/>
        <v>0</v>
      </c>
      <c r="DQ80" s="725">
        <f t="shared" si="89"/>
        <v>0</v>
      </c>
      <c r="DR80" s="725">
        <f t="shared" si="89"/>
        <v>0</v>
      </c>
      <c r="DS80" s="726">
        <f t="shared" si="89"/>
        <v>0</v>
      </c>
      <c r="DT80" s="724">
        <f t="shared" si="89"/>
        <v>0</v>
      </c>
      <c r="DU80" s="725">
        <f t="shared" si="89"/>
        <v>0</v>
      </c>
      <c r="DV80" s="725">
        <f t="shared" si="89"/>
        <v>0</v>
      </c>
      <c r="DW80" s="726">
        <f t="shared" si="89"/>
        <v>0</v>
      </c>
      <c r="DX80" s="724">
        <f t="shared" si="89"/>
        <v>0</v>
      </c>
      <c r="DY80" s="725">
        <f t="shared" si="89"/>
        <v>0</v>
      </c>
      <c r="DZ80" s="725">
        <f t="shared" si="89"/>
        <v>0</v>
      </c>
      <c r="EA80" s="726">
        <f t="shared" si="89"/>
        <v>0</v>
      </c>
      <c r="EB80" s="724">
        <f t="shared" si="89"/>
        <v>0</v>
      </c>
      <c r="EC80" s="725">
        <f t="shared" si="89"/>
        <v>0</v>
      </c>
      <c r="ED80" s="725">
        <f t="shared" si="89"/>
        <v>0</v>
      </c>
      <c r="EE80" s="726">
        <f t="shared" si="89"/>
        <v>0</v>
      </c>
      <c r="EF80" s="724">
        <f t="shared" si="89"/>
        <v>0</v>
      </c>
      <c r="EG80" s="725">
        <f t="shared" ref="EG80:GE80" si="90">EF80-EF81</f>
        <v>0</v>
      </c>
      <c r="EH80" s="725">
        <f t="shared" si="90"/>
        <v>0</v>
      </c>
      <c r="EI80" s="726">
        <f t="shared" si="90"/>
        <v>0</v>
      </c>
      <c r="EJ80" s="724">
        <f t="shared" si="90"/>
        <v>0</v>
      </c>
      <c r="EK80" s="725">
        <f t="shared" si="90"/>
        <v>0</v>
      </c>
      <c r="EL80" s="725">
        <f t="shared" si="90"/>
        <v>0</v>
      </c>
      <c r="EM80" s="726">
        <f t="shared" si="90"/>
        <v>0</v>
      </c>
      <c r="EN80" s="724">
        <f t="shared" si="90"/>
        <v>0</v>
      </c>
      <c r="EO80" s="725">
        <f t="shared" si="90"/>
        <v>0</v>
      </c>
      <c r="EP80" s="725">
        <f t="shared" si="90"/>
        <v>0</v>
      </c>
      <c r="EQ80" s="726">
        <f t="shared" si="90"/>
        <v>0</v>
      </c>
      <c r="ER80" s="724">
        <f t="shared" si="90"/>
        <v>0</v>
      </c>
      <c r="ES80" s="725">
        <f t="shared" si="90"/>
        <v>0</v>
      </c>
      <c r="ET80" s="725">
        <f t="shared" si="90"/>
        <v>0</v>
      </c>
      <c r="EU80" s="726">
        <f t="shared" si="90"/>
        <v>0</v>
      </c>
      <c r="EV80" s="724">
        <f t="shared" si="90"/>
        <v>0</v>
      </c>
      <c r="EW80" s="725">
        <f t="shared" si="90"/>
        <v>0</v>
      </c>
      <c r="EX80" s="725">
        <f t="shared" si="90"/>
        <v>0</v>
      </c>
      <c r="EY80" s="726">
        <f t="shared" si="90"/>
        <v>0</v>
      </c>
      <c r="EZ80" s="724">
        <f t="shared" si="90"/>
        <v>0</v>
      </c>
      <c r="FA80" s="725">
        <f t="shared" si="90"/>
        <v>0</v>
      </c>
      <c r="FB80" s="725">
        <f t="shared" si="90"/>
        <v>0</v>
      </c>
      <c r="FC80" s="726">
        <f t="shared" si="90"/>
        <v>0</v>
      </c>
      <c r="FD80" s="724">
        <f t="shared" si="90"/>
        <v>0</v>
      </c>
      <c r="FE80" s="725">
        <f t="shared" si="90"/>
        <v>0</v>
      </c>
      <c r="FF80" s="725">
        <f t="shared" si="90"/>
        <v>0</v>
      </c>
      <c r="FG80" s="726">
        <f t="shared" si="90"/>
        <v>0</v>
      </c>
      <c r="FH80" s="724">
        <f t="shared" si="90"/>
        <v>0</v>
      </c>
      <c r="FI80" s="725">
        <f t="shared" si="90"/>
        <v>0</v>
      </c>
      <c r="FJ80" s="725">
        <f t="shared" si="90"/>
        <v>0</v>
      </c>
      <c r="FK80" s="726">
        <f t="shared" si="90"/>
        <v>0</v>
      </c>
      <c r="FL80" s="724">
        <f t="shared" si="90"/>
        <v>0</v>
      </c>
      <c r="FM80" s="725">
        <f t="shared" si="90"/>
        <v>0</v>
      </c>
      <c r="FN80" s="725">
        <f t="shared" si="90"/>
        <v>0</v>
      </c>
      <c r="FO80" s="726">
        <f t="shared" si="90"/>
        <v>0</v>
      </c>
      <c r="FP80" s="724">
        <f t="shared" si="90"/>
        <v>0</v>
      </c>
      <c r="FQ80" s="725">
        <f t="shared" si="90"/>
        <v>0</v>
      </c>
      <c r="FR80" s="725">
        <f t="shared" si="90"/>
        <v>0</v>
      </c>
      <c r="FS80" s="726">
        <f t="shared" si="90"/>
        <v>0</v>
      </c>
      <c r="FT80" s="724">
        <f t="shared" si="90"/>
        <v>0</v>
      </c>
      <c r="FU80" s="725">
        <f t="shared" si="90"/>
        <v>0</v>
      </c>
      <c r="FV80" s="725">
        <f t="shared" si="90"/>
        <v>0</v>
      </c>
      <c r="FW80" s="726">
        <f t="shared" si="90"/>
        <v>0</v>
      </c>
      <c r="FX80" s="724">
        <f t="shared" si="90"/>
        <v>0</v>
      </c>
      <c r="FY80" s="725">
        <f t="shared" si="90"/>
        <v>0</v>
      </c>
      <c r="FZ80" s="725">
        <f t="shared" si="90"/>
        <v>0</v>
      </c>
      <c r="GA80" s="726">
        <f t="shared" si="90"/>
        <v>0</v>
      </c>
      <c r="GB80" s="724">
        <f t="shared" si="90"/>
        <v>0</v>
      </c>
      <c r="GC80" s="725">
        <f t="shared" si="90"/>
        <v>0</v>
      </c>
      <c r="GD80" s="725">
        <f t="shared" si="90"/>
        <v>0</v>
      </c>
      <c r="GE80" s="4902">
        <f t="shared" si="90"/>
        <v>0</v>
      </c>
    </row>
    <row r="81" spans="3:187" ht="13.5" customHeight="1" outlineLevel="1">
      <c r="C81" s="4781"/>
      <c r="D81" s="326" t="s">
        <v>1082</v>
      </c>
      <c r="E81" s="1868"/>
      <c r="F81" s="743">
        <f>SUM(H81:FO81)</f>
        <v>107.125</v>
      </c>
      <c r="G81" s="743"/>
      <c r="H81" s="779">
        <v>2.5</v>
      </c>
      <c r="I81" s="780">
        <v>2.5</v>
      </c>
      <c r="J81" s="780">
        <v>2.5</v>
      </c>
      <c r="K81" s="781">
        <v>2.625</v>
      </c>
      <c r="L81" s="779">
        <v>2.9375</v>
      </c>
      <c r="M81" s="780">
        <v>3</v>
      </c>
      <c r="N81" s="780">
        <v>3.0625</v>
      </c>
      <c r="O81" s="781">
        <v>3.125</v>
      </c>
      <c r="P81" s="779">
        <v>3.1875</v>
      </c>
      <c r="Q81" s="780">
        <v>3.25</v>
      </c>
      <c r="R81" s="780">
        <v>3.25</v>
      </c>
      <c r="S81" s="781">
        <v>3.3125</v>
      </c>
      <c r="T81" s="779">
        <v>2.9375</v>
      </c>
      <c r="U81" s="780">
        <v>2.9375</v>
      </c>
      <c r="V81" s="780">
        <v>3</v>
      </c>
      <c r="W81" s="781">
        <v>3.0625</v>
      </c>
      <c r="X81" s="779">
        <v>3.0625</v>
      </c>
      <c r="Y81" s="780">
        <v>3.0625</v>
      </c>
      <c r="Z81" s="780">
        <v>3.125</v>
      </c>
      <c r="AA81" s="781">
        <v>3.1875</v>
      </c>
      <c r="AB81" s="779">
        <v>2.875</v>
      </c>
      <c r="AC81" s="780">
        <v>2.9375</v>
      </c>
      <c r="AD81" s="780">
        <v>3.3125</v>
      </c>
      <c r="AE81" s="781">
        <v>3.375</v>
      </c>
      <c r="AF81" s="779">
        <v>3.9375</v>
      </c>
      <c r="AG81" s="780">
        <v>3.9375</v>
      </c>
      <c r="AH81" s="780">
        <v>4</v>
      </c>
      <c r="AI81" s="781">
        <v>4.0625</v>
      </c>
      <c r="AJ81" s="779">
        <v>2.5</v>
      </c>
      <c r="AK81" s="780">
        <v>2.875</v>
      </c>
      <c r="AL81" s="780">
        <v>2.9375</v>
      </c>
      <c r="AM81" s="781">
        <v>2.5</v>
      </c>
      <c r="AN81" s="779">
        <v>0.75</v>
      </c>
      <c r="AO81" s="780">
        <v>0.75</v>
      </c>
      <c r="AP81" s="780">
        <v>0.75</v>
      </c>
      <c r="AQ81" s="781">
        <v>0.75</v>
      </c>
      <c r="AR81" s="779">
        <v>0.75</v>
      </c>
      <c r="AS81" s="780">
        <v>0.75</v>
      </c>
      <c r="AT81" s="780">
        <v>0.75</v>
      </c>
      <c r="AU81" s="781">
        <v>0.75</v>
      </c>
      <c r="AV81" s="779">
        <v>0.75</v>
      </c>
      <c r="AW81" s="780">
        <v>0.75</v>
      </c>
      <c r="AX81" s="780">
        <f>AX80</f>
        <v>0.75</v>
      </c>
      <c r="AY81" s="781">
        <v>0</v>
      </c>
      <c r="AZ81" s="779">
        <v>0</v>
      </c>
      <c r="BA81" s="780">
        <v>0</v>
      </c>
      <c r="BB81" s="780">
        <v>0</v>
      </c>
      <c r="BC81" s="781">
        <v>0</v>
      </c>
      <c r="BD81" s="779">
        <v>0</v>
      </c>
      <c r="BE81" s="780">
        <v>0</v>
      </c>
      <c r="BF81" s="780">
        <v>0</v>
      </c>
      <c r="BG81" s="781">
        <v>0</v>
      </c>
      <c r="BH81" s="779">
        <v>0</v>
      </c>
      <c r="BI81" s="780">
        <v>0</v>
      </c>
      <c r="BJ81" s="780">
        <v>0</v>
      </c>
      <c r="BK81" s="781">
        <v>0</v>
      </c>
      <c r="BL81" s="779">
        <v>0</v>
      </c>
      <c r="BM81" s="780">
        <v>0</v>
      </c>
      <c r="BN81" s="780">
        <v>0</v>
      </c>
      <c r="BO81" s="781">
        <v>0</v>
      </c>
      <c r="BP81" s="779">
        <v>0</v>
      </c>
      <c r="BQ81" s="780">
        <v>0</v>
      </c>
      <c r="BR81" s="780">
        <v>0</v>
      </c>
      <c r="BS81" s="781">
        <v>0</v>
      </c>
      <c r="BT81" s="779">
        <v>0</v>
      </c>
      <c r="BU81" s="780">
        <v>0</v>
      </c>
      <c r="BV81" s="780">
        <v>0</v>
      </c>
      <c r="BW81" s="781">
        <v>0</v>
      </c>
      <c r="BX81" s="779">
        <v>0</v>
      </c>
      <c r="BY81" s="780">
        <v>0</v>
      </c>
      <c r="BZ81" s="780">
        <v>0</v>
      </c>
      <c r="CA81" s="781">
        <v>0</v>
      </c>
      <c r="CB81" s="779">
        <v>0</v>
      </c>
      <c r="CC81" s="780">
        <v>0</v>
      </c>
      <c r="CD81" s="780">
        <v>0</v>
      </c>
      <c r="CE81" s="781">
        <v>0</v>
      </c>
      <c r="CF81" s="779">
        <v>0</v>
      </c>
      <c r="CG81" s="780">
        <v>0</v>
      </c>
      <c r="CH81" s="780">
        <v>0</v>
      </c>
      <c r="CI81" s="781">
        <v>0</v>
      </c>
      <c r="CJ81" s="779">
        <v>0</v>
      </c>
      <c r="CK81" s="780">
        <v>0</v>
      </c>
      <c r="CL81" s="780">
        <v>0</v>
      </c>
      <c r="CM81" s="781">
        <v>0</v>
      </c>
      <c r="CN81" s="779">
        <v>0</v>
      </c>
      <c r="CO81" s="780">
        <v>0</v>
      </c>
      <c r="CP81" s="780">
        <v>0</v>
      </c>
      <c r="CQ81" s="781">
        <v>0</v>
      </c>
      <c r="CR81" s="779">
        <v>0</v>
      </c>
      <c r="CS81" s="780">
        <v>0</v>
      </c>
      <c r="CT81" s="780">
        <v>0</v>
      </c>
      <c r="CU81" s="781">
        <v>0</v>
      </c>
      <c r="CV81" s="779">
        <v>0</v>
      </c>
      <c r="CW81" s="780">
        <v>0</v>
      </c>
      <c r="CX81" s="780">
        <v>0</v>
      </c>
      <c r="CY81" s="781">
        <v>0</v>
      </c>
      <c r="CZ81" s="779">
        <v>0</v>
      </c>
      <c r="DA81" s="780">
        <v>0</v>
      </c>
      <c r="DB81" s="780">
        <v>0</v>
      </c>
      <c r="DC81" s="781">
        <v>0</v>
      </c>
      <c r="DD81" s="779">
        <v>0</v>
      </c>
      <c r="DE81" s="780">
        <v>0</v>
      </c>
      <c r="DF81" s="780">
        <v>0</v>
      </c>
      <c r="DG81" s="781">
        <v>0</v>
      </c>
      <c r="DH81" s="779">
        <v>0</v>
      </c>
      <c r="DI81" s="780">
        <v>0</v>
      </c>
      <c r="DJ81" s="780">
        <v>0</v>
      </c>
      <c r="DK81" s="781">
        <v>0</v>
      </c>
      <c r="DL81" s="779">
        <v>0</v>
      </c>
      <c r="DM81" s="780">
        <v>0</v>
      </c>
      <c r="DN81" s="780">
        <v>0</v>
      </c>
      <c r="DO81" s="781">
        <v>0</v>
      </c>
      <c r="DP81" s="779">
        <v>0</v>
      </c>
      <c r="DQ81" s="780">
        <v>0</v>
      </c>
      <c r="DR81" s="780">
        <v>0</v>
      </c>
      <c r="DS81" s="781">
        <v>0</v>
      </c>
      <c r="DT81" s="779">
        <v>0</v>
      </c>
      <c r="DU81" s="780">
        <v>0</v>
      </c>
      <c r="DV81" s="780">
        <v>0</v>
      </c>
      <c r="DW81" s="781">
        <v>0</v>
      </c>
      <c r="DX81" s="779">
        <v>0</v>
      </c>
      <c r="DY81" s="780">
        <v>0</v>
      </c>
      <c r="DZ81" s="780">
        <v>0</v>
      </c>
      <c r="EA81" s="781">
        <v>0</v>
      </c>
      <c r="EB81" s="779">
        <v>0</v>
      </c>
      <c r="EC81" s="780">
        <v>0</v>
      </c>
      <c r="ED81" s="780">
        <v>0</v>
      </c>
      <c r="EE81" s="781">
        <v>0</v>
      </c>
      <c r="EF81" s="779">
        <v>0</v>
      </c>
      <c r="EG81" s="780">
        <v>0</v>
      </c>
      <c r="EH81" s="780">
        <v>0</v>
      </c>
      <c r="EI81" s="781">
        <v>0</v>
      </c>
      <c r="EJ81" s="779">
        <v>0</v>
      </c>
      <c r="EK81" s="780">
        <v>0</v>
      </c>
      <c r="EL81" s="780">
        <v>0</v>
      </c>
      <c r="EM81" s="781">
        <v>0</v>
      </c>
      <c r="EN81" s="779">
        <v>0</v>
      </c>
      <c r="EO81" s="780">
        <v>0</v>
      </c>
      <c r="EP81" s="780">
        <v>0</v>
      </c>
      <c r="EQ81" s="781">
        <v>0</v>
      </c>
      <c r="ER81" s="779">
        <v>0</v>
      </c>
      <c r="ES81" s="780">
        <v>0</v>
      </c>
      <c r="ET81" s="780">
        <v>0</v>
      </c>
      <c r="EU81" s="781">
        <v>0</v>
      </c>
      <c r="EV81" s="779">
        <v>0</v>
      </c>
      <c r="EW81" s="780">
        <v>0</v>
      </c>
      <c r="EX81" s="780">
        <v>0</v>
      </c>
      <c r="EY81" s="781">
        <v>0</v>
      </c>
      <c r="EZ81" s="779">
        <v>0</v>
      </c>
      <c r="FA81" s="780">
        <v>0</v>
      </c>
      <c r="FB81" s="780">
        <v>0</v>
      </c>
      <c r="FC81" s="781">
        <v>0</v>
      </c>
      <c r="FD81" s="779">
        <v>0</v>
      </c>
      <c r="FE81" s="780">
        <v>0</v>
      </c>
      <c r="FF81" s="780">
        <v>0</v>
      </c>
      <c r="FG81" s="781">
        <v>0</v>
      </c>
      <c r="FH81" s="779">
        <v>0</v>
      </c>
      <c r="FI81" s="780">
        <v>0</v>
      </c>
      <c r="FJ81" s="780">
        <v>0</v>
      </c>
      <c r="FK81" s="781">
        <v>0</v>
      </c>
      <c r="FL81" s="779">
        <v>0</v>
      </c>
      <c r="FM81" s="780">
        <v>0</v>
      </c>
      <c r="FN81" s="780">
        <v>0</v>
      </c>
      <c r="FO81" s="781">
        <v>0</v>
      </c>
      <c r="FP81" s="779">
        <v>0</v>
      </c>
      <c r="FQ81" s="780">
        <v>0</v>
      </c>
      <c r="FR81" s="780">
        <v>0</v>
      </c>
      <c r="FS81" s="781">
        <v>0</v>
      </c>
      <c r="FT81" s="779">
        <v>0</v>
      </c>
      <c r="FU81" s="780">
        <v>0</v>
      </c>
      <c r="FV81" s="780">
        <v>0</v>
      </c>
      <c r="FW81" s="781">
        <v>0</v>
      </c>
      <c r="FX81" s="779">
        <v>0</v>
      </c>
      <c r="FY81" s="780">
        <v>0</v>
      </c>
      <c r="FZ81" s="780">
        <v>0</v>
      </c>
      <c r="GA81" s="781">
        <v>0</v>
      </c>
      <c r="GB81" s="779">
        <f>($H80*(GB$4=Sensitivity!$E$9))/100</f>
        <v>0</v>
      </c>
      <c r="GC81" s="780">
        <f>($H80*(GC$4=Sensitivity!$E$9))/100</f>
        <v>0</v>
      </c>
      <c r="GD81" s="780">
        <f>($H80*(GD$4=Sensitivity!$E$9))/100</f>
        <v>0</v>
      </c>
      <c r="GE81" s="4903">
        <f>($H80*(GE$4=Sensitivity!$E$9))/100</f>
        <v>0</v>
      </c>
    </row>
    <row r="82" spans="3:187" ht="13.5" customHeight="1" outlineLevel="1">
      <c r="C82" s="4904"/>
      <c r="D82" s="4929" t="s">
        <v>1083</v>
      </c>
      <c r="E82" s="747"/>
      <c r="F82" s="748">
        <f>SUM(H82:FO82)</f>
        <v>35.873999999999988</v>
      </c>
      <c r="G82" s="748"/>
      <c r="H82" s="749">
        <f>H80*Sensitivity!$L$14*H$44/12</f>
        <v>1.9282499999999996</v>
      </c>
      <c r="I82" s="750">
        <f>I80*Sensitivity!$L$14*I$44/12</f>
        <v>1.8832499999999996</v>
      </c>
      <c r="J82" s="750">
        <f>J80*Sensitivity!$L$14*J$44/12</f>
        <v>1.8382499999999997</v>
      </c>
      <c r="K82" s="751">
        <f>K80*Sensitivity!$L$14*K$44/12</f>
        <v>1.7932499999999998</v>
      </c>
      <c r="L82" s="749">
        <f>L80*Sensitivity!$L$14*L$44/12</f>
        <v>1.7459999999999998</v>
      </c>
      <c r="M82" s="750">
        <f>M80*Sensitivity!$L$14*M$44/12</f>
        <v>1.6931249999999995</v>
      </c>
      <c r="N82" s="750">
        <f>N80*Sensitivity!$L$14*N$44/12</f>
        <v>1.6391249999999999</v>
      </c>
      <c r="O82" s="751">
        <f>O80*Sensitivity!$L$14*O$44/12</f>
        <v>1.5839999999999999</v>
      </c>
      <c r="P82" s="749">
        <f>P80*Sensitivity!$L$14*P$44/12</f>
        <v>1.5277499999999999</v>
      </c>
      <c r="Q82" s="750">
        <f>Q80*Sensitivity!$L$14*Q$44/12</f>
        <v>1.470375</v>
      </c>
      <c r="R82" s="750">
        <f>R80*Sensitivity!$L$14*R$44/12</f>
        <v>1.411875</v>
      </c>
      <c r="S82" s="751">
        <f>S80*Sensitivity!$L$14*S$44/12</f>
        <v>1.353375</v>
      </c>
      <c r="T82" s="749">
        <f>T80*Sensitivity!$L$14*T$44/12</f>
        <v>1.29375</v>
      </c>
      <c r="U82" s="750">
        <f>U80*Sensitivity!$L$14*U$44/12</f>
        <v>1.240875</v>
      </c>
      <c r="V82" s="750">
        <f>V80*Sensitivity!$L$14*V$44/12</f>
        <v>1.1879999999999999</v>
      </c>
      <c r="W82" s="751">
        <f>W80*Sensitivity!$L$14*W$44/12</f>
        <v>1.1339999999999999</v>
      </c>
      <c r="X82" s="749">
        <f>X80*Sensitivity!$L$14*X$44/12</f>
        <v>1.078875</v>
      </c>
      <c r="Y82" s="750">
        <f>Y80*Sensitivity!$L$14*Y$44/12</f>
        <v>1.0237499999999999</v>
      </c>
      <c r="Z82" s="750">
        <f>Z80*Sensitivity!$L$14*Z$44/12</f>
        <v>0.96862499999999996</v>
      </c>
      <c r="AA82" s="751">
        <f>AA80*Sensitivity!$L$14*AA$44/12</f>
        <v>0.91237499999999994</v>
      </c>
      <c r="AB82" s="749">
        <f>AB80*Sensitivity!$L$14*AB$44/12</f>
        <v>0.85499999999999998</v>
      </c>
      <c r="AC82" s="750">
        <f>AC80*Sensitivity!$L$14*AC$44/12</f>
        <v>0.80324999999999991</v>
      </c>
      <c r="AD82" s="750">
        <f>AD80*Sensitivity!$L$14*AD$44/12</f>
        <v>0.7503749999999999</v>
      </c>
      <c r="AE82" s="751">
        <f>AE80*Sensitivity!$L$14*AE$44/12</f>
        <v>0.69074999999999998</v>
      </c>
      <c r="AF82" s="749">
        <f>AF80*Sensitivity!$L$14*AF$44/12</f>
        <v>0.63</v>
      </c>
      <c r="AG82" s="750">
        <f>AG80*Sensitivity!$L$14*AG$44/12</f>
        <v>0.55912499999999998</v>
      </c>
      <c r="AH82" s="750">
        <f>AH80*Sensitivity!$L$14*AH$44/12</f>
        <v>0.48825000000000002</v>
      </c>
      <c r="AI82" s="751">
        <f>AI80*Sensitivity!$L$14*AI$44/12</f>
        <v>0.41624999999999995</v>
      </c>
      <c r="AJ82" s="749">
        <f>AJ80*Sensitivity!$L$14*AJ$44/12</f>
        <v>0.34312499999999996</v>
      </c>
      <c r="AK82" s="750">
        <f>AK80*Sensitivity!$L$14*AK$44/12</f>
        <v>0.29812499999999997</v>
      </c>
      <c r="AL82" s="750">
        <f>AL80*Sensitivity!$L$14*AL$44/12</f>
        <v>0.24637499999999998</v>
      </c>
      <c r="AM82" s="751">
        <f>AM80*Sensitivity!$L$14*AM$44/12</f>
        <v>0.19349999999999998</v>
      </c>
      <c r="AN82" s="749">
        <f>AN80*Sensitivity!$L$14*AN$44/12</f>
        <v>0.14849999999999999</v>
      </c>
      <c r="AO82" s="750">
        <f>AO80*Sensitivity!$L$14*AO$44/12</f>
        <v>0.13499999999999998</v>
      </c>
      <c r="AP82" s="750">
        <f>AP80*Sensitivity!$L$14*AP$44/12</f>
        <v>0.1215</v>
      </c>
      <c r="AQ82" s="751">
        <f>AQ80*Sensitivity!$L$14*AQ$44/12</f>
        <v>0.10799999999999998</v>
      </c>
      <c r="AR82" s="749">
        <f>AR80*Sensitivity!$L$14*AR$44/12</f>
        <v>9.4499999999999987E-2</v>
      </c>
      <c r="AS82" s="750">
        <f>AS80*Sensitivity!$L$14*AS$44/12</f>
        <v>8.0999999999999989E-2</v>
      </c>
      <c r="AT82" s="750">
        <f>AT80*Sensitivity!$L$14*AT$44/12</f>
        <v>6.7499999999999991E-2</v>
      </c>
      <c r="AU82" s="751">
        <f>AU80*Sensitivity!$L$14*AU$44/12</f>
        <v>5.3999999999999992E-2</v>
      </c>
      <c r="AV82" s="749">
        <f>AV80*Sensitivity!$L$14*AV$44/12</f>
        <v>4.0499999999999994E-2</v>
      </c>
      <c r="AW82" s="750">
        <f>AW80*Sensitivity!$L$14*AW$44/12</f>
        <v>2.6999999999999996E-2</v>
      </c>
      <c r="AX82" s="750">
        <f>AX80*Sensitivity!$L$14*AX$44/12</f>
        <v>1.3499999999999998E-2</v>
      </c>
      <c r="AY82" s="751">
        <f>AY80*Sensitivity!$L$14*AY$44/12</f>
        <v>0</v>
      </c>
      <c r="AZ82" s="749">
        <f>AZ80*Sensitivity!$L$14*AZ$44/12</f>
        <v>0</v>
      </c>
      <c r="BA82" s="750">
        <f>BA80*Sensitivity!$L$14*BA$44/12</f>
        <v>0</v>
      </c>
      <c r="BB82" s="750">
        <f>BB80*Sensitivity!$L$14*BB$44/12</f>
        <v>0</v>
      </c>
      <c r="BC82" s="751">
        <f>BC80*Sensitivity!$L$14*BC$44/12</f>
        <v>0</v>
      </c>
      <c r="BD82" s="749">
        <f>BD80*Sensitivity!$L$14*BD$44/12</f>
        <v>0</v>
      </c>
      <c r="BE82" s="750">
        <f>BE80*Sensitivity!$L$14*BE$44/12</f>
        <v>0</v>
      </c>
      <c r="BF82" s="750">
        <f>BF80*Sensitivity!$L$14*BF$44/12</f>
        <v>0</v>
      </c>
      <c r="BG82" s="751">
        <f>BG80*Sensitivity!$L$14*BG$44/12</f>
        <v>0</v>
      </c>
      <c r="BH82" s="749">
        <f>BH80*Sensitivity!$L$14*BH$44/12</f>
        <v>0</v>
      </c>
      <c r="BI82" s="750">
        <f>BI80*Sensitivity!$L$14*BI$44/12</f>
        <v>0</v>
      </c>
      <c r="BJ82" s="750">
        <f>BJ80*Sensitivity!$L$14*BJ$44/12</f>
        <v>0</v>
      </c>
      <c r="BK82" s="751">
        <f>BK80*Sensitivity!$L$14*BK$44/12</f>
        <v>0</v>
      </c>
      <c r="BL82" s="749">
        <f>BL80*Sensitivity!$L$14*BL$44/12</f>
        <v>0</v>
      </c>
      <c r="BM82" s="750">
        <f>BM80*Sensitivity!$L$14*BM$44/12</f>
        <v>0</v>
      </c>
      <c r="BN82" s="750">
        <f>BN80*Sensitivity!$L$14*BN$44/12</f>
        <v>0</v>
      </c>
      <c r="BO82" s="751">
        <f>BO80*Sensitivity!$L$14*BO$44/12</f>
        <v>0</v>
      </c>
      <c r="BP82" s="749">
        <f>BP80*Sensitivity!$L$14*BP$44/12</f>
        <v>0</v>
      </c>
      <c r="BQ82" s="750">
        <f>BQ80*Sensitivity!$L$14*BQ$44/12</f>
        <v>0</v>
      </c>
      <c r="BR82" s="750">
        <f>BR80*Sensitivity!$L$14*BR$44/12</f>
        <v>0</v>
      </c>
      <c r="BS82" s="751">
        <f>BS80*Sensitivity!$L$14*BS$44/12</f>
        <v>0</v>
      </c>
      <c r="BT82" s="749">
        <f>BT80*Sensitivity!$L$14*BT$44/12</f>
        <v>0</v>
      </c>
      <c r="BU82" s="750">
        <f>BU80*Sensitivity!$L$14*BU$44/12</f>
        <v>0</v>
      </c>
      <c r="BV82" s="750">
        <f>BV80*Sensitivity!$L$14*BV$44/12</f>
        <v>0</v>
      </c>
      <c r="BW82" s="751">
        <f>BW80*Sensitivity!$L$14*BW$44/12</f>
        <v>0</v>
      </c>
      <c r="BX82" s="749">
        <f>BX80*Sensitivity!$L$14*BX$44/12</f>
        <v>0</v>
      </c>
      <c r="BY82" s="750">
        <f>BY80*Sensitivity!$L$14*BY$44/12</f>
        <v>0</v>
      </c>
      <c r="BZ82" s="750">
        <f>BZ80*Sensitivity!$L$14*BZ$44/12</f>
        <v>0</v>
      </c>
      <c r="CA82" s="751">
        <f>CA80*Sensitivity!$L$14*CA$44/12</f>
        <v>0</v>
      </c>
      <c r="CB82" s="749">
        <f>CB80*Sensitivity!$L$14*CB$44/12</f>
        <v>0</v>
      </c>
      <c r="CC82" s="750">
        <f>CC80*Sensitivity!$L$14*CC$44/12</f>
        <v>0</v>
      </c>
      <c r="CD82" s="750">
        <f>CD80*Sensitivity!$L$14*CD$44/12</f>
        <v>0</v>
      </c>
      <c r="CE82" s="751">
        <f>CE80*Sensitivity!$L$14*CE$44/12</f>
        <v>0</v>
      </c>
      <c r="CF82" s="749">
        <f>CF80*Sensitivity!$L$14*CF$44/12</f>
        <v>0</v>
      </c>
      <c r="CG82" s="750">
        <f>CG80*Sensitivity!$L$14*CG$44/12</f>
        <v>0</v>
      </c>
      <c r="CH82" s="750">
        <f>CH80*Sensitivity!$L$14*CH$44/12</f>
        <v>0</v>
      </c>
      <c r="CI82" s="751">
        <f>CI80*Sensitivity!$L$14*CI$44/12</f>
        <v>0</v>
      </c>
      <c r="CJ82" s="749">
        <f>CJ80*Sensitivity!$L$14*CJ$44/12</f>
        <v>0</v>
      </c>
      <c r="CK82" s="750">
        <f>CK80*Sensitivity!$L$14*CK$44/12</f>
        <v>0</v>
      </c>
      <c r="CL82" s="750">
        <f>CL80*Sensitivity!$L$14*CL$44/12</f>
        <v>0</v>
      </c>
      <c r="CM82" s="751">
        <f>CM80*Sensitivity!$L$14*CM$44/12</f>
        <v>0</v>
      </c>
      <c r="CN82" s="749">
        <f>CN80*Sensitivity!$L$14*CN$44/12</f>
        <v>0</v>
      </c>
      <c r="CO82" s="750">
        <f>CO80*Sensitivity!$L$14*CO$44/12</f>
        <v>0</v>
      </c>
      <c r="CP82" s="750">
        <f>CP80*Sensitivity!$L$14*CP$44/12</f>
        <v>0</v>
      </c>
      <c r="CQ82" s="751">
        <f>CQ80*Sensitivity!$L$14*CQ$44/12</f>
        <v>0</v>
      </c>
      <c r="CR82" s="749">
        <f>CR80*Sensitivity!$L$14*CR$44/12</f>
        <v>0</v>
      </c>
      <c r="CS82" s="750">
        <f>CS80*Sensitivity!$L$14*CS$44/12</f>
        <v>0</v>
      </c>
      <c r="CT82" s="750">
        <f>CT80*Sensitivity!$L$14*CT$44/12</f>
        <v>0</v>
      </c>
      <c r="CU82" s="751">
        <f>CU80*Sensitivity!$L$14*CU$44/12</f>
        <v>0</v>
      </c>
      <c r="CV82" s="749">
        <f>CV80*Sensitivity!$L$14*CV$44/12</f>
        <v>0</v>
      </c>
      <c r="CW82" s="750">
        <f>CW80*Sensitivity!$L$14*CW$44/12</f>
        <v>0</v>
      </c>
      <c r="CX82" s="750">
        <f>CX80*Sensitivity!$L$14*CX$44/12</f>
        <v>0</v>
      </c>
      <c r="CY82" s="751">
        <f>CY80*Sensitivity!$L$14*CY$44/12</f>
        <v>0</v>
      </c>
      <c r="CZ82" s="749">
        <f>CZ80*Sensitivity!$L$14*CZ$44/12</f>
        <v>0</v>
      </c>
      <c r="DA82" s="750">
        <f>DA80*Sensitivity!$L$14*DA$44/12</f>
        <v>0</v>
      </c>
      <c r="DB82" s="750">
        <f>DB80*Sensitivity!$L$14*DB$44/12</f>
        <v>0</v>
      </c>
      <c r="DC82" s="751">
        <f>DC80*Sensitivity!$L$14*DC$44/12</f>
        <v>0</v>
      </c>
      <c r="DD82" s="749">
        <f>DD80*Sensitivity!$L$14*DD$44/12</f>
        <v>0</v>
      </c>
      <c r="DE82" s="750">
        <f>DE80*Sensitivity!$L$14*DE$44/12</f>
        <v>0</v>
      </c>
      <c r="DF82" s="750">
        <f>DF80*Sensitivity!$L$14*DF$44/12</f>
        <v>0</v>
      </c>
      <c r="DG82" s="751">
        <f>DG80*Sensitivity!$L$14*DG$44/12</f>
        <v>0</v>
      </c>
      <c r="DH82" s="749">
        <f>DH80*Sensitivity!$L$14*DH$44/12</f>
        <v>0</v>
      </c>
      <c r="DI82" s="750">
        <f>DI80*Sensitivity!$L$14*DI$44/12</f>
        <v>0</v>
      </c>
      <c r="DJ82" s="750">
        <f>DJ80*Sensitivity!$L$14*DJ$44/12</f>
        <v>0</v>
      </c>
      <c r="DK82" s="751">
        <f>DK80*Sensitivity!$L$14*DK$44/12</f>
        <v>0</v>
      </c>
      <c r="DL82" s="749">
        <f>DL80*Sensitivity!$L$14*DL$44/12</f>
        <v>0</v>
      </c>
      <c r="DM82" s="750">
        <f>DM80*Sensitivity!$L$14*DM$44/12</f>
        <v>0</v>
      </c>
      <c r="DN82" s="750">
        <f>DN80*Sensitivity!$L$14*DN$44/12</f>
        <v>0</v>
      </c>
      <c r="DO82" s="751">
        <f>DO80*Sensitivity!$L$14*DO$44/12</f>
        <v>0</v>
      </c>
      <c r="DP82" s="749">
        <f>DP80*Sensitivity!$L$14*DP$44/12</f>
        <v>0</v>
      </c>
      <c r="DQ82" s="750">
        <f>DQ80*Sensitivity!$L$14*DQ$44/12</f>
        <v>0</v>
      </c>
      <c r="DR82" s="750">
        <f>DR80*Sensitivity!$L$14*DR$44/12</f>
        <v>0</v>
      </c>
      <c r="DS82" s="751">
        <f>DS80*Sensitivity!$L$14*DS$44/12</f>
        <v>0</v>
      </c>
      <c r="DT82" s="749">
        <f>DT80*Sensitivity!$L$14*DT$44/12</f>
        <v>0</v>
      </c>
      <c r="DU82" s="750">
        <f>DU80*Sensitivity!$L$14*DU$44/12</f>
        <v>0</v>
      </c>
      <c r="DV82" s="750">
        <f>DV80*Sensitivity!$L$14*DV$44/12</f>
        <v>0</v>
      </c>
      <c r="DW82" s="751">
        <f>DW80*Sensitivity!$L$14*DW$44/12</f>
        <v>0</v>
      </c>
      <c r="DX82" s="749">
        <f>DX80*Sensitivity!$L$14*DX$44/12</f>
        <v>0</v>
      </c>
      <c r="DY82" s="750">
        <f>DY80*Sensitivity!$L$14*DY$44/12</f>
        <v>0</v>
      </c>
      <c r="DZ82" s="750">
        <f>DZ80*Sensitivity!$L$14*DZ$44/12</f>
        <v>0</v>
      </c>
      <c r="EA82" s="751">
        <f>EA80*Sensitivity!$L$14*EA$44/12</f>
        <v>0</v>
      </c>
      <c r="EB82" s="749">
        <f>EB80*Sensitivity!$L$14*EB$44/12</f>
        <v>0</v>
      </c>
      <c r="EC82" s="750">
        <f>EC80*Sensitivity!$L$14*EC$44/12</f>
        <v>0</v>
      </c>
      <c r="ED82" s="750">
        <f>ED80*Sensitivity!$L$14*ED$44/12</f>
        <v>0</v>
      </c>
      <c r="EE82" s="751">
        <f>EE80*Sensitivity!$L$14*EE$44/12</f>
        <v>0</v>
      </c>
      <c r="EF82" s="749">
        <f>EF80*Sensitivity!$L$14*EF$44/12</f>
        <v>0</v>
      </c>
      <c r="EG82" s="750">
        <f>EG80*Sensitivity!$L$14*EG$44/12</f>
        <v>0</v>
      </c>
      <c r="EH82" s="750">
        <f>EH80*Sensitivity!$L$14*EH$44/12</f>
        <v>0</v>
      </c>
      <c r="EI82" s="751">
        <f>EI80*Sensitivity!$L$14*EI$44/12</f>
        <v>0</v>
      </c>
      <c r="EJ82" s="749">
        <f>EJ80*Sensitivity!$L$14*EJ$44/12</f>
        <v>0</v>
      </c>
      <c r="EK82" s="750">
        <f>EK80*Sensitivity!$L$14*EK$44/12</f>
        <v>0</v>
      </c>
      <c r="EL82" s="750">
        <f>EL80*Sensitivity!$L$14*EL$44/12</f>
        <v>0</v>
      </c>
      <c r="EM82" s="751">
        <f>EM80*Sensitivity!$L$14*EM$44/12</f>
        <v>0</v>
      </c>
      <c r="EN82" s="749">
        <f>EN80*Sensitivity!$L$14*EN$44/12</f>
        <v>0</v>
      </c>
      <c r="EO82" s="750">
        <f>EO80*Sensitivity!$L$14*EO$44/12</f>
        <v>0</v>
      </c>
      <c r="EP82" s="750">
        <f>EP80*Sensitivity!$L$14*EP$44/12</f>
        <v>0</v>
      </c>
      <c r="EQ82" s="751">
        <f>EQ80*Sensitivity!$L$14*EQ$44/12</f>
        <v>0</v>
      </c>
      <c r="ER82" s="749">
        <f>ER80*Sensitivity!$L$14*ER$44/12</f>
        <v>0</v>
      </c>
      <c r="ES82" s="750">
        <f>ES80*Sensitivity!$L$14*ES$44/12</f>
        <v>0</v>
      </c>
      <c r="ET82" s="750">
        <f>ET80*Sensitivity!$L$14*ET$44/12</f>
        <v>0</v>
      </c>
      <c r="EU82" s="751">
        <f>EU80*Sensitivity!$L$14*EU$44/12</f>
        <v>0</v>
      </c>
      <c r="EV82" s="749">
        <f>EV80*Sensitivity!$L$14*EV$44/12</f>
        <v>0</v>
      </c>
      <c r="EW82" s="750">
        <f>EW80*Sensitivity!$L$14*EW$44/12</f>
        <v>0</v>
      </c>
      <c r="EX82" s="750">
        <f>EX80*Sensitivity!$L$14*EX$44/12</f>
        <v>0</v>
      </c>
      <c r="EY82" s="751">
        <f>EY80*Sensitivity!$L$14*EY$44/12</f>
        <v>0</v>
      </c>
      <c r="EZ82" s="749">
        <f>EZ80*Sensitivity!$L$14*EZ$44/12</f>
        <v>0</v>
      </c>
      <c r="FA82" s="750">
        <f>FA80*Sensitivity!$L$14*FA$44/12</f>
        <v>0</v>
      </c>
      <c r="FB82" s="750">
        <f>FB80*Sensitivity!$L$14*FB$44/12</f>
        <v>0</v>
      </c>
      <c r="FC82" s="751">
        <f>FC80*Sensitivity!$L$14*FC$44/12</f>
        <v>0</v>
      </c>
      <c r="FD82" s="749">
        <f>FD80*Sensitivity!$L$14*FD$44/12</f>
        <v>0</v>
      </c>
      <c r="FE82" s="750">
        <f>FE80*Sensitivity!$L$14*FE$44/12</f>
        <v>0</v>
      </c>
      <c r="FF82" s="750">
        <f>FF80*Sensitivity!$L$14*FF$44/12</f>
        <v>0</v>
      </c>
      <c r="FG82" s="751">
        <f>FG80*Sensitivity!$L$14*FG$44/12</f>
        <v>0</v>
      </c>
      <c r="FH82" s="749">
        <f>FH80*Sensitivity!$L$14*FH$44/12</f>
        <v>0</v>
      </c>
      <c r="FI82" s="750">
        <f>FI80*Sensitivity!$L$14*FI$44/12</f>
        <v>0</v>
      </c>
      <c r="FJ82" s="750">
        <f>FJ80*Sensitivity!$L$14*FJ$44/12</f>
        <v>0</v>
      </c>
      <c r="FK82" s="751">
        <f>FK80*Sensitivity!$L$14*FK$44/12</f>
        <v>0</v>
      </c>
      <c r="FL82" s="749">
        <f>FL80*Sensitivity!$L$14*FL$44/12</f>
        <v>0</v>
      </c>
      <c r="FM82" s="750">
        <f>FM80*Sensitivity!$L$14*FM$44/12</f>
        <v>0</v>
      </c>
      <c r="FN82" s="750">
        <f>FN80*Sensitivity!$L$14*FN$44/12</f>
        <v>0</v>
      </c>
      <c r="FO82" s="751">
        <f>FO80*Sensitivity!$L$14*FO$44/12</f>
        <v>0</v>
      </c>
      <c r="FP82" s="749">
        <f>FP80*Sensitivity!$L$14*FP$44/12</f>
        <v>0</v>
      </c>
      <c r="FQ82" s="750">
        <f>FQ80*Sensitivity!$L$14*FQ$44/12</f>
        <v>0</v>
      </c>
      <c r="FR82" s="750">
        <f>FR80*Sensitivity!$L$14*FR$44/12</f>
        <v>0</v>
      </c>
      <c r="FS82" s="751">
        <f>FS80*Sensitivity!$L$14*FS$44/12</f>
        <v>0</v>
      </c>
      <c r="FT82" s="749">
        <f>FT80*Sensitivity!$L$14*FT$44/12</f>
        <v>0</v>
      </c>
      <c r="FU82" s="750">
        <f>FU80*Sensitivity!$L$14*FU$44/12</f>
        <v>0</v>
      </c>
      <c r="FV82" s="750">
        <f>FV80*Sensitivity!$L$14*FV$44/12</f>
        <v>0</v>
      </c>
      <c r="FW82" s="751">
        <f>FW80*Sensitivity!$L$14*FW$44/12</f>
        <v>0</v>
      </c>
      <c r="FX82" s="749">
        <f>FX80*Sensitivity!$L$14*FX$44/12</f>
        <v>0</v>
      </c>
      <c r="FY82" s="750">
        <f>FY80*Sensitivity!$L$14*FY$44/12</f>
        <v>0</v>
      </c>
      <c r="FZ82" s="750">
        <f>FZ80*Sensitivity!$L$14*FZ$44/12</f>
        <v>0</v>
      </c>
      <c r="GA82" s="751">
        <f>GA80*Sensitivity!$L$14*GA$44/12</f>
        <v>0</v>
      </c>
      <c r="GB82" s="749">
        <f>GB80*Sensitivity!$L$14*GB$44/12</f>
        <v>0</v>
      </c>
      <c r="GC82" s="750">
        <f>GC80*Sensitivity!$L$14*GC$44/12</f>
        <v>0</v>
      </c>
      <c r="GD82" s="750">
        <f>GD80*Sensitivity!$L$14*GD$44/12</f>
        <v>0</v>
      </c>
      <c r="GE82" s="4905">
        <f>GE80*Sensitivity!$L$14*GE$44/12</f>
        <v>0</v>
      </c>
    </row>
    <row r="83" spans="3:187" ht="13.5" customHeight="1" outlineLevel="1">
      <c r="C83" s="4900" t="str">
        <f>C22</f>
        <v>장기C</v>
      </c>
      <c r="D83" s="4744"/>
      <c r="E83" s="315"/>
      <c r="F83" s="315"/>
      <c r="G83" s="315"/>
      <c r="H83" s="720"/>
      <c r="I83" s="315"/>
      <c r="J83" s="315"/>
      <c r="K83" s="721"/>
      <c r="L83" s="720"/>
      <c r="M83" s="315"/>
      <c r="N83" s="315"/>
      <c r="O83" s="721"/>
      <c r="P83" s="720"/>
      <c r="Q83" s="782"/>
      <c r="R83" s="315"/>
      <c r="S83" s="721"/>
      <c r="T83" s="720"/>
      <c r="U83" s="315"/>
      <c r="V83" s="315"/>
      <c r="W83" s="721"/>
      <c r="X83" s="720"/>
      <c r="Y83" s="315"/>
      <c r="Z83" s="315"/>
      <c r="AA83" s="721"/>
      <c r="AB83" s="720"/>
      <c r="AC83" s="315"/>
      <c r="AD83" s="315"/>
      <c r="AE83" s="721"/>
      <c r="AF83" s="720"/>
      <c r="AG83" s="315"/>
      <c r="AH83" s="315"/>
      <c r="AI83" s="721"/>
      <c r="AJ83" s="720"/>
      <c r="AK83" s="315"/>
      <c r="AL83" s="315"/>
      <c r="AM83" s="721"/>
      <c r="AN83" s="720"/>
      <c r="AO83" s="315"/>
      <c r="AP83" s="315"/>
      <c r="AQ83" s="721"/>
      <c r="AR83" s="720"/>
      <c r="AS83" s="315"/>
      <c r="AT83" s="315"/>
      <c r="AU83" s="721"/>
      <c r="AV83" s="720"/>
      <c r="AW83" s="315"/>
      <c r="AX83" s="315"/>
      <c r="AY83" s="721"/>
      <c r="AZ83" s="720"/>
      <c r="BA83" s="315"/>
      <c r="BB83" s="315"/>
      <c r="BC83" s="721"/>
      <c r="BD83" s="720"/>
      <c r="BE83" s="315"/>
      <c r="BF83" s="315"/>
      <c r="BG83" s="721"/>
      <c r="BH83" s="720"/>
      <c r="BI83" s="315"/>
      <c r="BJ83" s="315"/>
      <c r="BK83" s="721"/>
      <c r="BL83" s="720"/>
      <c r="BM83" s="315"/>
      <c r="BN83" s="315"/>
      <c r="BO83" s="721"/>
      <c r="BP83" s="720"/>
      <c r="BQ83" s="315"/>
      <c r="BR83" s="315"/>
      <c r="BS83" s="721"/>
      <c r="BT83" s="720"/>
      <c r="BU83" s="315"/>
      <c r="BV83" s="315"/>
      <c r="BW83" s="721"/>
      <c r="BX83" s="720"/>
      <c r="BY83" s="315"/>
      <c r="BZ83" s="315"/>
      <c r="CA83" s="721"/>
      <c r="CB83" s="720"/>
      <c r="CC83" s="315"/>
      <c r="CD83" s="315"/>
      <c r="CE83" s="721"/>
      <c r="CF83" s="720"/>
      <c r="CG83" s="315"/>
      <c r="CH83" s="315"/>
      <c r="CI83" s="721"/>
      <c r="CJ83" s="720"/>
      <c r="CK83" s="315"/>
      <c r="CL83" s="315"/>
      <c r="CM83" s="721"/>
      <c r="CN83" s="720"/>
      <c r="CO83" s="315"/>
      <c r="CP83" s="315"/>
      <c r="CQ83" s="721"/>
      <c r="CR83" s="720"/>
      <c r="CS83" s="315"/>
      <c r="CT83" s="315"/>
      <c r="CU83" s="721"/>
      <c r="CV83" s="720"/>
      <c r="CW83" s="315"/>
      <c r="CX83" s="315"/>
      <c r="CY83" s="721"/>
      <c r="CZ83" s="720"/>
      <c r="DA83" s="315"/>
      <c r="DB83" s="315"/>
      <c r="DC83" s="721"/>
      <c r="DD83" s="720"/>
      <c r="DE83" s="315"/>
      <c r="DF83" s="315"/>
      <c r="DG83" s="721"/>
      <c r="DH83" s="720"/>
      <c r="DI83" s="315"/>
      <c r="DJ83" s="315"/>
      <c r="DK83" s="721"/>
      <c r="DL83" s="720"/>
      <c r="DM83" s="315"/>
      <c r="DN83" s="315"/>
      <c r="DO83" s="721"/>
      <c r="DP83" s="720"/>
      <c r="DQ83" s="315"/>
      <c r="DR83" s="315"/>
      <c r="DS83" s="721"/>
      <c r="DT83" s="720"/>
      <c r="DU83" s="315"/>
      <c r="DV83" s="315"/>
      <c r="DW83" s="721"/>
      <c r="DX83" s="720"/>
      <c r="DY83" s="315"/>
      <c r="DZ83" s="315"/>
      <c r="EA83" s="721"/>
      <c r="EB83" s="720"/>
      <c r="EC83" s="315"/>
      <c r="ED83" s="315"/>
      <c r="EE83" s="721"/>
      <c r="EF83" s="720"/>
      <c r="EG83" s="315"/>
      <c r="EH83" s="315"/>
      <c r="EI83" s="721"/>
      <c r="EJ83" s="720"/>
      <c r="EK83" s="315"/>
      <c r="EL83" s="315"/>
      <c r="EM83" s="721"/>
      <c r="EN83" s="720"/>
      <c r="EO83" s="315"/>
      <c r="EP83" s="315"/>
      <c r="EQ83" s="721"/>
      <c r="ER83" s="720"/>
      <c r="ES83" s="315"/>
      <c r="ET83" s="315"/>
      <c r="EU83" s="721"/>
      <c r="EV83" s="720"/>
      <c r="EW83" s="315"/>
      <c r="EX83" s="315"/>
      <c r="EY83" s="721"/>
      <c r="EZ83" s="720"/>
      <c r="FA83" s="315"/>
      <c r="FB83" s="315"/>
      <c r="FC83" s="721"/>
      <c r="FD83" s="720"/>
      <c r="FE83" s="315"/>
      <c r="FF83" s="315"/>
      <c r="FG83" s="721"/>
      <c r="FH83" s="720"/>
      <c r="FI83" s="315"/>
      <c r="FJ83" s="315"/>
      <c r="FK83" s="721"/>
      <c r="FL83" s="720"/>
      <c r="FM83" s="315"/>
      <c r="FN83" s="315"/>
      <c r="FO83" s="721"/>
      <c r="FP83" s="720"/>
      <c r="FQ83" s="315"/>
      <c r="FR83" s="315"/>
      <c r="FS83" s="721"/>
      <c r="FT83" s="720"/>
      <c r="FU83" s="315"/>
      <c r="FV83" s="315"/>
      <c r="FW83" s="721"/>
      <c r="FX83" s="720"/>
      <c r="FY83" s="315"/>
      <c r="FZ83" s="315"/>
      <c r="GA83" s="721"/>
      <c r="GB83" s="720"/>
      <c r="GC83" s="315"/>
      <c r="GD83" s="315"/>
      <c r="GE83" s="4901"/>
    </row>
    <row r="84" spans="3:187" ht="13.5" customHeight="1" outlineLevel="1">
      <c r="C84" s="4781"/>
      <c r="D84" s="773" t="s">
        <v>1080</v>
      </c>
      <c r="E84" s="722"/>
      <c r="F84" s="723"/>
      <c r="G84" s="723"/>
      <c r="H84" s="778">
        <v>112.24985999999998</v>
      </c>
      <c r="I84" s="725">
        <f t="shared" ref="I84:BJ84" si="91">H84-H85</f>
        <v>109.63025999999998</v>
      </c>
      <c r="J84" s="725">
        <f t="shared" si="91"/>
        <v>107.01065999999997</v>
      </c>
      <c r="K84" s="726">
        <f t="shared" si="91"/>
        <v>104.39105999999997</v>
      </c>
      <c r="L84" s="724">
        <f t="shared" si="91"/>
        <v>101.64047999999997</v>
      </c>
      <c r="M84" s="725">
        <f t="shared" si="91"/>
        <v>98.56244999999997</v>
      </c>
      <c r="N84" s="725">
        <f t="shared" si="91"/>
        <v>95.418929999999975</v>
      </c>
      <c r="O84" s="726">
        <f t="shared" si="91"/>
        <v>92.209919999999968</v>
      </c>
      <c r="P84" s="724">
        <f t="shared" si="91"/>
        <v>88.935419999999965</v>
      </c>
      <c r="Q84" s="725">
        <f t="shared" si="91"/>
        <v>85.595429999999965</v>
      </c>
      <c r="R84" s="725">
        <f t="shared" si="91"/>
        <v>82.189949999999968</v>
      </c>
      <c r="S84" s="726">
        <f t="shared" si="91"/>
        <v>78.78446999999997</v>
      </c>
      <c r="T84" s="724">
        <f t="shared" si="91"/>
        <v>75.313499999999976</v>
      </c>
      <c r="U84" s="725">
        <f t="shared" si="91"/>
        <v>72.235469999999978</v>
      </c>
      <c r="V84" s="5212">
        <f t="shared" si="91"/>
        <v>69.15743999999998</v>
      </c>
      <c r="W84" s="726">
        <f t="shared" si="91"/>
        <v>66.013919999999985</v>
      </c>
      <c r="X84" s="724">
        <f t="shared" si="91"/>
        <v>62.804909999999985</v>
      </c>
      <c r="Y84" s="725">
        <f t="shared" si="91"/>
        <v>59.595899999999986</v>
      </c>
      <c r="Z84" s="725">
        <f t="shared" si="91"/>
        <v>56.386889999999987</v>
      </c>
      <c r="AA84" s="726">
        <f t="shared" si="91"/>
        <v>53.112389999999991</v>
      </c>
      <c r="AB84" s="724">
        <f t="shared" si="91"/>
        <v>49.77239999999999</v>
      </c>
      <c r="AC84" s="725">
        <f t="shared" si="91"/>
        <v>46.759859999999989</v>
      </c>
      <c r="AD84" s="725">
        <f t="shared" si="91"/>
        <v>43.681829999999991</v>
      </c>
      <c r="AE84" s="726">
        <f t="shared" si="91"/>
        <v>40.21085999999999</v>
      </c>
      <c r="AF84" s="724">
        <f t="shared" si="91"/>
        <v>36.674399999999991</v>
      </c>
      <c r="AG84" s="725">
        <f t="shared" si="91"/>
        <v>32.548529999999992</v>
      </c>
      <c r="AH84" s="725">
        <f t="shared" si="91"/>
        <v>28.422659999999993</v>
      </c>
      <c r="AI84" s="726">
        <f t="shared" si="91"/>
        <v>24.231299999999994</v>
      </c>
      <c r="AJ84" s="724">
        <f t="shared" si="91"/>
        <v>19.974449999999994</v>
      </c>
      <c r="AK84" s="725">
        <f t="shared" si="91"/>
        <v>17.354849999999995</v>
      </c>
      <c r="AL84" s="725">
        <f t="shared" si="91"/>
        <v>14.342309999999996</v>
      </c>
      <c r="AM84" s="726">
        <f t="shared" si="91"/>
        <v>11.264279999999996</v>
      </c>
      <c r="AN84" s="724">
        <f t="shared" si="91"/>
        <v>8.6446799999999957</v>
      </c>
      <c r="AO84" s="725">
        <f t="shared" si="91"/>
        <v>7.858799999999996</v>
      </c>
      <c r="AP84" s="725">
        <f t="shared" si="91"/>
        <v>7.0729199999999963</v>
      </c>
      <c r="AQ84" s="726">
        <f t="shared" si="91"/>
        <v>6.2870399999999966</v>
      </c>
      <c r="AR84" s="724">
        <f t="shared" si="91"/>
        <v>5.5011599999999969</v>
      </c>
      <c r="AS84" s="725">
        <f t="shared" si="91"/>
        <v>4.7152799999999973</v>
      </c>
      <c r="AT84" s="725">
        <f t="shared" si="91"/>
        <v>3.9293999999999976</v>
      </c>
      <c r="AU84" s="726">
        <f t="shared" si="91"/>
        <v>3.1435199999999979</v>
      </c>
      <c r="AV84" s="724">
        <f t="shared" si="91"/>
        <v>2.3576399999999982</v>
      </c>
      <c r="AW84" s="725">
        <f t="shared" si="91"/>
        <v>1.5717599999999983</v>
      </c>
      <c r="AX84" s="725">
        <f t="shared" si="91"/>
        <v>0.78587999999999836</v>
      </c>
      <c r="AY84" s="726">
        <f t="shared" si="91"/>
        <v>0</v>
      </c>
      <c r="AZ84" s="724">
        <f t="shared" si="91"/>
        <v>0</v>
      </c>
      <c r="BA84" s="725">
        <f t="shared" si="91"/>
        <v>0</v>
      </c>
      <c r="BB84" s="725">
        <f t="shared" si="91"/>
        <v>0</v>
      </c>
      <c r="BC84" s="726">
        <f t="shared" si="91"/>
        <v>0</v>
      </c>
      <c r="BD84" s="724">
        <f t="shared" si="91"/>
        <v>0</v>
      </c>
      <c r="BE84" s="725">
        <f t="shared" si="91"/>
        <v>0</v>
      </c>
      <c r="BF84" s="725">
        <f t="shared" si="91"/>
        <v>0</v>
      </c>
      <c r="BG84" s="726">
        <f t="shared" si="91"/>
        <v>0</v>
      </c>
      <c r="BH84" s="724">
        <f t="shared" si="91"/>
        <v>0</v>
      </c>
      <c r="BI84" s="725">
        <f t="shared" si="91"/>
        <v>0</v>
      </c>
      <c r="BJ84" s="725">
        <f t="shared" si="91"/>
        <v>0</v>
      </c>
      <c r="BK84" s="726">
        <v>0</v>
      </c>
      <c r="BL84" s="724">
        <f t="shared" ref="BL84:DW84" si="92">BK84-BK85</f>
        <v>0</v>
      </c>
      <c r="BM84" s="725">
        <f t="shared" si="92"/>
        <v>0</v>
      </c>
      <c r="BN84" s="725">
        <f t="shared" si="92"/>
        <v>0</v>
      </c>
      <c r="BO84" s="726">
        <f t="shared" si="92"/>
        <v>0</v>
      </c>
      <c r="BP84" s="724">
        <f t="shared" si="92"/>
        <v>0</v>
      </c>
      <c r="BQ84" s="725">
        <f t="shared" si="92"/>
        <v>0</v>
      </c>
      <c r="BR84" s="725">
        <f t="shared" si="92"/>
        <v>0</v>
      </c>
      <c r="BS84" s="726">
        <f t="shared" si="92"/>
        <v>0</v>
      </c>
      <c r="BT84" s="724">
        <f t="shared" si="92"/>
        <v>0</v>
      </c>
      <c r="BU84" s="725">
        <f t="shared" si="92"/>
        <v>0</v>
      </c>
      <c r="BV84" s="725">
        <f t="shared" si="92"/>
        <v>0</v>
      </c>
      <c r="BW84" s="726">
        <f t="shared" si="92"/>
        <v>0</v>
      </c>
      <c r="BX84" s="724">
        <f t="shared" si="92"/>
        <v>0</v>
      </c>
      <c r="BY84" s="725">
        <f t="shared" si="92"/>
        <v>0</v>
      </c>
      <c r="BZ84" s="725">
        <f t="shared" si="92"/>
        <v>0</v>
      </c>
      <c r="CA84" s="726">
        <f t="shared" si="92"/>
        <v>0</v>
      </c>
      <c r="CB84" s="724">
        <f t="shared" si="92"/>
        <v>0</v>
      </c>
      <c r="CC84" s="725">
        <f t="shared" si="92"/>
        <v>0</v>
      </c>
      <c r="CD84" s="725">
        <f t="shared" si="92"/>
        <v>0</v>
      </c>
      <c r="CE84" s="726">
        <f t="shared" si="92"/>
        <v>0</v>
      </c>
      <c r="CF84" s="724">
        <f t="shared" si="92"/>
        <v>0</v>
      </c>
      <c r="CG84" s="725">
        <f t="shared" si="92"/>
        <v>0</v>
      </c>
      <c r="CH84" s="725">
        <f t="shared" si="92"/>
        <v>0</v>
      </c>
      <c r="CI84" s="726">
        <f t="shared" si="92"/>
        <v>0</v>
      </c>
      <c r="CJ84" s="724">
        <f t="shared" si="92"/>
        <v>0</v>
      </c>
      <c r="CK84" s="725">
        <f t="shared" si="92"/>
        <v>0</v>
      </c>
      <c r="CL84" s="725">
        <f t="shared" si="92"/>
        <v>0</v>
      </c>
      <c r="CM84" s="726">
        <f t="shared" si="92"/>
        <v>0</v>
      </c>
      <c r="CN84" s="724">
        <f t="shared" si="92"/>
        <v>0</v>
      </c>
      <c r="CO84" s="725">
        <f t="shared" si="92"/>
        <v>0</v>
      </c>
      <c r="CP84" s="725">
        <f t="shared" si="92"/>
        <v>0</v>
      </c>
      <c r="CQ84" s="726">
        <f t="shared" si="92"/>
        <v>0</v>
      </c>
      <c r="CR84" s="724">
        <f t="shared" si="92"/>
        <v>0</v>
      </c>
      <c r="CS84" s="725">
        <f t="shared" si="92"/>
        <v>0</v>
      </c>
      <c r="CT84" s="725">
        <f t="shared" si="92"/>
        <v>0</v>
      </c>
      <c r="CU84" s="726">
        <f t="shared" si="92"/>
        <v>0</v>
      </c>
      <c r="CV84" s="724">
        <f t="shared" si="92"/>
        <v>0</v>
      </c>
      <c r="CW84" s="725">
        <f t="shared" si="92"/>
        <v>0</v>
      </c>
      <c r="CX84" s="725">
        <f t="shared" si="92"/>
        <v>0</v>
      </c>
      <c r="CY84" s="726">
        <f t="shared" si="92"/>
        <v>0</v>
      </c>
      <c r="CZ84" s="724">
        <f t="shared" si="92"/>
        <v>0</v>
      </c>
      <c r="DA84" s="725">
        <f t="shared" si="92"/>
        <v>0</v>
      </c>
      <c r="DB84" s="725">
        <f t="shared" si="92"/>
        <v>0</v>
      </c>
      <c r="DC84" s="726">
        <f t="shared" si="92"/>
        <v>0</v>
      </c>
      <c r="DD84" s="724">
        <f t="shared" si="92"/>
        <v>0</v>
      </c>
      <c r="DE84" s="725">
        <f t="shared" si="92"/>
        <v>0</v>
      </c>
      <c r="DF84" s="725">
        <f t="shared" si="92"/>
        <v>0</v>
      </c>
      <c r="DG84" s="726">
        <f t="shared" si="92"/>
        <v>0</v>
      </c>
      <c r="DH84" s="724">
        <f t="shared" si="92"/>
        <v>0</v>
      </c>
      <c r="DI84" s="725">
        <f t="shared" si="92"/>
        <v>0</v>
      </c>
      <c r="DJ84" s="725">
        <f t="shared" si="92"/>
        <v>0</v>
      </c>
      <c r="DK84" s="726">
        <f t="shared" si="92"/>
        <v>0</v>
      </c>
      <c r="DL84" s="724">
        <f t="shared" si="92"/>
        <v>0</v>
      </c>
      <c r="DM84" s="725">
        <f t="shared" si="92"/>
        <v>0</v>
      </c>
      <c r="DN84" s="725">
        <f t="shared" si="92"/>
        <v>0</v>
      </c>
      <c r="DO84" s="726">
        <f t="shared" si="92"/>
        <v>0</v>
      </c>
      <c r="DP84" s="724">
        <f t="shared" si="92"/>
        <v>0</v>
      </c>
      <c r="DQ84" s="725">
        <f t="shared" si="92"/>
        <v>0</v>
      </c>
      <c r="DR84" s="725">
        <f t="shared" si="92"/>
        <v>0</v>
      </c>
      <c r="DS84" s="726">
        <f t="shared" si="92"/>
        <v>0</v>
      </c>
      <c r="DT84" s="724">
        <f t="shared" si="92"/>
        <v>0</v>
      </c>
      <c r="DU84" s="725">
        <f t="shared" si="92"/>
        <v>0</v>
      </c>
      <c r="DV84" s="725">
        <f t="shared" si="92"/>
        <v>0</v>
      </c>
      <c r="DW84" s="726">
        <f t="shared" si="92"/>
        <v>0</v>
      </c>
      <c r="DX84" s="724">
        <f t="shared" ref="DX84:GE84" si="93">DW84-DW85</f>
        <v>0</v>
      </c>
      <c r="DY84" s="725">
        <f t="shared" si="93"/>
        <v>0</v>
      </c>
      <c r="DZ84" s="725">
        <f t="shared" si="93"/>
        <v>0</v>
      </c>
      <c r="EA84" s="726">
        <f t="shared" si="93"/>
        <v>0</v>
      </c>
      <c r="EB84" s="724">
        <f t="shared" si="93"/>
        <v>0</v>
      </c>
      <c r="EC84" s="725">
        <f t="shared" si="93"/>
        <v>0</v>
      </c>
      <c r="ED84" s="725">
        <f t="shared" si="93"/>
        <v>0</v>
      </c>
      <c r="EE84" s="726">
        <f t="shared" si="93"/>
        <v>0</v>
      </c>
      <c r="EF84" s="724">
        <f t="shared" si="93"/>
        <v>0</v>
      </c>
      <c r="EG84" s="725">
        <f t="shared" si="93"/>
        <v>0</v>
      </c>
      <c r="EH84" s="725">
        <f t="shared" si="93"/>
        <v>0</v>
      </c>
      <c r="EI84" s="726">
        <f t="shared" si="93"/>
        <v>0</v>
      </c>
      <c r="EJ84" s="724">
        <f t="shared" si="93"/>
        <v>0</v>
      </c>
      <c r="EK84" s="725">
        <f t="shared" si="93"/>
        <v>0</v>
      </c>
      <c r="EL84" s="725">
        <f t="shared" si="93"/>
        <v>0</v>
      </c>
      <c r="EM84" s="726">
        <f t="shared" si="93"/>
        <v>0</v>
      </c>
      <c r="EN84" s="724">
        <f t="shared" si="93"/>
        <v>0</v>
      </c>
      <c r="EO84" s="725">
        <f t="shared" si="93"/>
        <v>0</v>
      </c>
      <c r="EP84" s="725">
        <f t="shared" si="93"/>
        <v>0</v>
      </c>
      <c r="EQ84" s="726">
        <f t="shared" si="93"/>
        <v>0</v>
      </c>
      <c r="ER84" s="724">
        <f t="shared" si="93"/>
        <v>0</v>
      </c>
      <c r="ES84" s="725">
        <f t="shared" si="93"/>
        <v>0</v>
      </c>
      <c r="ET84" s="725">
        <f t="shared" si="93"/>
        <v>0</v>
      </c>
      <c r="EU84" s="726">
        <f t="shared" si="93"/>
        <v>0</v>
      </c>
      <c r="EV84" s="724">
        <f t="shared" si="93"/>
        <v>0</v>
      </c>
      <c r="EW84" s="725">
        <f t="shared" si="93"/>
        <v>0</v>
      </c>
      <c r="EX84" s="725">
        <f t="shared" si="93"/>
        <v>0</v>
      </c>
      <c r="EY84" s="726">
        <f t="shared" si="93"/>
        <v>0</v>
      </c>
      <c r="EZ84" s="724">
        <f t="shared" si="93"/>
        <v>0</v>
      </c>
      <c r="FA84" s="725">
        <f t="shared" si="93"/>
        <v>0</v>
      </c>
      <c r="FB84" s="725">
        <f t="shared" si="93"/>
        <v>0</v>
      </c>
      <c r="FC84" s="726">
        <f t="shared" si="93"/>
        <v>0</v>
      </c>
      <c r="FD84" s="724">
        <f t="shared" si="93"/>
        <v>0</v>
      </c>
      <c r="FE84" s="725">
        <f t="shared" si="93"/>
        <v>0</v>
      </c>
      <c r="FF84" s="725">
        <f t="shared" si="93"/>
        <v>0</v>
      </c>
      <c r="FG84" s="726">
        <f t="shared" si="93"/>
        <v>0</v>
      </c>
      <c r="FH84" s="724">
        <f t="shared" si="93"/>
        <v>0</v>
      </c>
      <c r="FI84" s="725">
        <f t="shared" si="93"/>
        <v>0</v>
      </c>
      <c r="FJ84" s="725">
        <f t="shared" si="93"/>
        <v>0</v>
      </c>
      <c r="FK84" s="726">
        <f t="shared" si="93"/>
        <v>0</v>
      </c>
      <c r="FL84" s="724">
        <f t="shared" si="93"/>
        <v>0</v>
      </c>
      <c r="FM84" s="725">
        <f t="shared" si="93"/>
        <v>0</v>
      </c>
      <c r="FN84" s="725">
        <f t="shared" si="93"/>
        <v>0</v>
      </c>
      <c r="FO84" s="726">
        <f t="shared" si="93"/>
        <v>0</v>
      </c>
      <c r="FP84" s="724">
        <f t="shared" si="93"/>
        <v>0</v>
      </c>
      <c r="FQ84" s="725">
        <f t="shared" si="93"/>
        <v>0</v>
      </c>
      <c r="FR84" s="725">
        <f t="shared" si="93"/>
        <v>0</v>
      </c>
      <c r="FS84" s="726">
        <f t="shared" si="93"/>
        <v>0</v>
      </c>
      <c r="FT84" s="724">
        <f t="shared" si="93"/>
        <v>0</v>
      </c>
      <c r="FU84" s="725">
        <f t="shared" si="93"/>
        <v>0</v>
      </c>
      <c r="FV84" s="725">
        <f t="shared" si="93"/>
        <v>0</v>
      </c>
      <c r="FW84" s="726">
        <f t="shared" si="93"/>
        <v>0</v>
      </c>
      <c r="FX84" s="724">
        <f t="shared" si="93"/>
        <v>0</v>
      </c>
      <c r="FY84" s="725">
        <f t="shared" si="93"/>
        <v>0</v>
      </c>
      <c r="FZ84" s="725">
        <f t="shared" si="93"/>
        <v>0</v>
      </c>
      <c r="GA84" s="726">
        <f t="shared" si="93"/>
        <v>0</v>
      </c>
      <c r="GB84" s="724">
        <f t="shared" si="93"/>
        <v>0</v>
      </c>
      <c r="GC84" s="725">
        <f t="shared" si="93"/>
        <v>0</v>
      </c>
      <c r="GD84" s="725">
        <f t="shared" si="93"/>
        <v>0</v>
      </c>
      <c r="GE84" s="4902">
        <f t="shared" si="93"/>
        <v>0</v>
      </c>
    </row>
    <row r="85" spans="3:187" ht="13.5" customHeight="1" outlineLevel="1">
      <c r="C85" s="4781"/>
      <c r="D85" s="326" t="s">
        <v>1082</v>
      </c>
      <c r="E85" s="1868"/>
      <c r="F85" s="743">
        <f>SUM(H85:FO85)</f>
        <v>112.24986000000007</v>
      </c>
      <c r="G85" s="743"/>
      <c r="H85" s="779">
        <v>2.6195999999999997</v>
      </c>
      <c r="I85" s="780">
        <v>2.6195999999999997</v>
      </c>
      <c r="J85" s="780">
        <v>2.6195999999999997</v>
      </c>
      <c r="K85" s="781">
        <v>2.7505799999999998</v>
      </c>
      <c r="L85" s="779">
        <v>3.07803</v>
      </c>
      <c r="M85" s="780">
        <v>3.1435199999999996</v>
      </c>
      <c r="N85" s="780">
        <v>3.2090100000000001</v>
      </c>
      <c r="O85" s="781">
        <v>3.2744999999999997</v>
      </c>
      <c r="P85" s="779">
        <v>3.3399899999999998</v>
      </c>
      <c r="Q85" s="780">
        <v>3.4054799999999998</v>
      </c>
      <c r="R85" s="780">
        <v>3.4054799999999998</v>
      </c>
      <c r="S85" s="781">
        <v>3.4709699999999999</v>
      </c>
      <c r="T85" s="779">
        <v>3.07803</v>
      </c>
      <c r="U85" s="780">
        <v>3.07803</v>
      </c>
      <c r="V85" s="780">
        <v>3.1435199999999996</v>
      </c>
      <c r="W85" s="781">
        <v>3.2090100000000001</v>
      </c>
      <c r="X85" s="779">
        <v>3.2090100000000001</v>
      </c>
      <c r="Y85" s="780">
        <v>3.2090100000000001</v>
      </c>
      <c r="Z85" s="780">
        <v>3.2744999999999997</v>
      </c>
      <c r="AA85" s="781">
        <v>3.3399899999999998</v>
      </c>
      <c r="AB85" s="779">
        <v>3.0125399999999996</v>
      </c>
      <c r="AC85" s="780">
        <v>3.07803</v>
      </c>
      <c r="AD85" s="780">
        <v>3.4709699999999999</v>
      </c>
      <c r="AE85" s="781">
        <v>3.5364599999999995</v>
      </c>
      <c r="AF85" s="779">
        <v>4.1258699999999999</v>
      </c>
      <c r="AG85" s="780">
        <v>4.1258699999999999</v>
      </c>
      <c r="AH85" s="780">
        <v>4.1913599999999995</v>
      </c>
      <c r="AI85" s="781">
        <v>4.25685</v>
      </c>
      <c r="AJ85" s="779">
        <v>2.6195999999999997</v>
      </c>
      <c r="AK85" s="780">
        <v>3.0125399999999996</v>
      </c>
      <c r="AL85" s="780">
        <v>3.07803</v>
      </c>
      <c r="AM85" s="781">
        <v>2.6195999999999997</v>
      </c>
      <c r="AN85" s="779">
        <v>0.78587999999999991</v>
      </c>
      <c r="AO85" s="780">
        <v>0.78587999999999991</v>
      </c>
      <c r="AP85" s="780">
        <v>0.78587999999999991</v>
      </c>
      <c r="AQ85" s="781">
        <v>0.78587999999999991</v>
      </c>
      <c r="AR85" s="779">
        <v>0.78587999999999991</v>
      </c>
      <c r="AS85" s="780">
        <v>0.78587999999999991</v>
      </c>
      <c r="AT85" s="780">
        <v>0.78587999999999991</v>
      </c>
      <c r="AU85" s="781">
        <v>0.78587999999999991</v>
      </c>
      <c r="AV85" s="779">
        <v>0.78587999999999991</v>
      </c>
      <c r="AW85" s="780">
        <v>0.78587999999999991</v>
      </c>
      <c r="AX85" s="780">
        <f>AX84</f>
        <v>0.78587999999999836</v>
      </c>
      <c r="AY85" s="781">
        <v>0</v>
      </c>
      <c r="AZ85" s="779">
        <v>0</v>
      </c>
      <c r="BA85" s="780">
        <v>0</v>
      </c>
      <c r="BB85" s="780">
        <v>0</v>
      </c>
      <c r="BC85" s="781">
        <v>0</v>
      </c>
      <c r="BD85" s="779">
        <v>0</v>
      </c>
      <c r="BE85" s="780">
        <v>0</v>
      </c>
      <c r="BF85" s="780">
        <v>0</v>
      </c>
      <c r="BG85" s="781">
        <v>0</v>
      </c>
      <c r="BH85" s="779">
        <v>0</v>
      </c>
      <c r="BI85" s="780">
        <v>0</v>
      </c>
      <c r="BJ85" s="780">
        <v>0</v>
      </c>
      <c r="BK85" s="781">
        <v>0</v>
      </c>
      <c r="BL85" s="779">
        <v>0</v>
      </c>
      <c r="BM85" s="780">
        <v>0</v>
      </c>
      <c r="BN85" s="780">
        <v>0</v>
      </c>
      <c r="BO85" s="781">
        <v>0</v>
      </c>
      <c r="BP85" s="779">
        <v>0</v>
      </c>
      <c r="BQ85" s="780">
        <v>0</v>
      </c>
      <c r="BR85" s="780">
        <v>0</v>
      </c>
      <c r="BS85" s="781">
        <v>0</v>
      </c>
      <c r="BT85" s="779">
        <v>0</v>
      </c>
      <c r="BU85" s="780">
        <v>0</v>
      </c>
      <c r="BV85" s="780">
        <v>0</v>
      </c>
      <c r="BW85" s="781">
        <v>0</v>
      </c>
      <c r="BX85" s="779">
        <v>0</v>
      </c>
      <c r="BY85" s="780">
        <v>0</v>
      </c>
      <c r="BZ85" s="780">
        <v>0</v>
      </c>
      <c r="CA85" s="781">
        <v>0</v>
      </c>
      <c r="CB85" s="779">
        <v>0</v>
      </c>
      <c r="CC85" s="780">
        <v>0</v>
      </c>
      <c r="CD85" s="780">
        <v>0</v>
      </c>
      <c r="CE85" s="781">
        <v>0</v>
      </c>
      <c r="CF85" s="779">
        <v>0</v>
      </c>
      <c r="CG85" s="780">
        <v>0</v>
      </c>
      <c r="CH85" s="780">
        <v>0</v>
      </c>
      <c r="CI85" s="781">
        <v>0</v>
      </c>
      <c r="CJ85" s="779">
        <v>0</v>
      </c>
      <c r="CK85" s="780">
        <v>0</v>
      </c>
      <c r="CL85" s="780">
        <v>0</v>
      </c>
      <c r="CM85" s="781">
        <v>0</v>
      </c>
      <c r="CN85" s="779">
        <v>0</v>
      </c>
      <c r="CO85" s="780">
        <v>0</v>
      </c>
      <c r="CP85" s="780">
        <v>0</v>
      </c>
      <c r="CQ85" s="781">
        <v>0</v>
      </c>
      <c r="CR85" s="779">
        <v>0</v>
      </c>
      <c r="CS85" s="780">
        <v>0</v>
      </c>
      <c r="CT85" s="780">
        <v>0</v>
      </c>
      <c r="CU85" s="781">
        <v>0</v>
      </c>
      <c r="CV85" s="779">
        <v>0</v>
      </c>
      <c r="CW85" s="780">
        <v>0</v>
      </c>
      <c r="CX85" s="780">
        <v>0</v>
      </c>
      <c r="CY85" s="781">
        <v>0</v>
      </c>
      <c r="CZ85" s="779">
        <v>0</v>
      </c>
      <c r="DA85" s="780">
        <v>0</v>
      </c>
      <c r="DB85" s="780">
        <v>0</v>
      </c>
      <c r="DC85" s="781">
        <v>0</v>
      </c>
      <c r="DD85" s="779">
        <v>0</v>
      </c>
      <c r="DE85" s="780">
        <v>0</v>
      </c>
      <c r="DF85" s="780">
        <v>0</v>
      </c>
      <c r="DG85" s="781">
        <v>0</v>
      </c>
      <c r="DH85" s="779">
        <v>0</v>
      </c>
      <c r="DI85" s="780">
        <v>0</v>
      </c>
      <c r="DJ85" s="780">
        <v>0</v>
      </c>
      <c r="DK85" s="781">
        <v>0</v>
      </c>
      <c r="DL85" s="779">
        <v>0</v>
      </c>
      <c r="DM85" s="780">
        <v>0</v>
      </c>
      <c r="DN85" s="780">
        <v>0</v>
      </c>
      <c r="DO85" s="781">
        <v>0</v>
      </c>
      <c r="DP85" s="779">
        <v>0</v>
      </c>
      <c r="DQ85" s="780">
        <v>0</v>
      </c>
      <c r="DR85" s="780">
        <v>0</v>
      </c>
      <c r="DS85" s="781">
        <v>0</v>
      </c>
      <c r="DT85" s="779">
        <v>0</v>
      </c>
      <c r="DU85" s="780">
        <v>0</v>
      </c>
      <c r="DV85" s="780">
        <v>0</v>
      </c>
      <c r="DW85" s="781">
        <v>0</v>
      </c>
      <c r="DX85" s="779">
        <v>0</v>
      </c>
      <c r="DY85" s="780">
        <v>0</v>
      </c>
      <c r="DZ85" s="780">
        <v>0</v>
      </c>
      <c r="EA85" s="781">
        <v>0</v>
      </c>
      <c r="EB85" s="779">
        <v>0</v>
      </c>
      <c r="EC85" s="780">
        <v>0</v>
      </c>
      <c r="ED85" s="780">
        <v>0</v>
      </c>
      <c r="EE85" s="781">
        <v>0</v>
      </c>
      <c r="EF85" s="779">
        <v>0</v>
      </c>
      <c r="EG85" s="780">
        <v>0</v>
      </c>
      <c r="EH85" s="780">
        <v>0</v>
      </c>
      <c r="EI85" s="781">
        <v>0</v>
      </c>
      <c r="EJ85" s="779">
        <v>0</v>
      </c>
      <c r="EK85" s="780">
        <v>0</v>
      </c>
      <c r="EL85" s="780">
        <v>0</v>
      </c>
      <c r="EM85" s="781">
        <v>0</v>
      </c>
      <c r="EN85" s="779">
        <v>0</v>
      </c>
      <c r="EO85" s="780">
        <v>0</v>
      </c>
      <c r="EP85" s="780">
        <v>0</v>
      </c>
      <c r="EQ85" s="781">
        <v>0</v>
      </c>
      <c r="ER85" s="779">
        <v>0</v>
      </c>
      <c r="ES85" s="780">
        <v>0</v>
      </c>
      <c r="ET85" s="780">
        <v>0</v>
      </c>
      <c r="EU85" s="781">
        <v>0</v>
      </c>
      <c r="EV85" s="779">
        <v>0</v>
      </c>
      <c r="EW85" s="780">
        <v>0</v>
      </c>
      <c r="EX85" s="780">
        <v>0</v>
      </c>
      <c r="EY85" s="781">
        <v>0</v>
      </c>
      <c r="EZ85" s="779">
        <v>0</v>
      </c>
      <c r="FA85" s="780">
        <v>0</v>
      </c>
      <c r="FB85" s="780">
        <v>0</v>
      </c>
      <c r="FC85" s="781">
        <v>0</v>
      </c>
      <c r="FD85" s="779">
        <v>0</v>
      </c>
      <c r="FE85" s="780">
        <v>0</v>
      </c>
      <c r="FF85" s="780">
        <v>0</v>
      </c>
      <c r="FG85" s="781">
        <v>0</v>
      </c>
      <c r="FH85" s="779">
        <v>0</v>
      </c>
      <c r="FI85" s="780">
        <v>0</v>
      </c>
      <c r="FJ85" s="780">
        <v>0</v>
      </c>
      <c r="FK85" s="781">
        <v>0</v>
      </c>
      <c r="FL85" s="779">
        <v>0</v>
      </c>
      <c r="FM85" s="780">
        <v>0</v>
      </c>
      <c r="FN85" s="780">
        <v>0</v>
      </c>
      <c r="FO85" s="781">
        <v>0</v>
      </c>
      <c r="FP85" s="779">
        <v>0</v>
      </c>
      <c r="FQ85" s="780">
        <v>0</v>
      </c>
      <c r="FR85" s="780">
        <v>0</v>
      </c>
      <c r="FS85" s="781">
        <v>0</v>
      </c>
      <c r="FT85" s="779">
        <v>0</v>
      </c>
      <c r="FU85" s="780">
        <v>0</v>
      </c>
      <c r="FV85" s="780">
        <v>0</v>
      </c>
      <c r="FW85" s="781">
        <v>0</v>
      </c>
      <c r="FX85" s="779">
        <v>0</v>
      </c>
      <c r="FY85" s="780">
        <v>0</v>
      </c>
      <c r="FZ85" s="780">
        <v>0</v>
      </c>
      <c r="GA85" s="781">
        <v>0</v>
      </c>
      <c r="GB85" s="779">
        <f>($H84*(GB$4=Sensitivity!$E$9))/100</f>
        <v>0</v>
      </c>
      <c r="GC85" s="780">
        <f>($H84*(GC$4=Sensitivity!$E$9))/100</f>
        <v>0</v>
      </c>
      <c r="GD85" s="780">
        <f>($H84*(GD$4=Sensitivity!$E$9))/100</f>
        <v>0</v>
      </c>
      <c r="GE85" s="4903">
        <f>($H84*(GE$4=Sensitivity!$E$9))/100</f>
        <v>0</v>
      </c>
    </row>
    <row r="86" spans="3:187" ht="13.5" customHeight="1" outlineLevel="1">
      <c r="C86" s="4904"/>
      <c r="D86" s="4929" t="s">
        <v>1083</v>
      </c>
      <c r="E86" s="747"/>
      <c r="F86" s="748">
        <f ca="1">SUM(H86:FO86)</f>
        <v>19.839278639999996</v>
      </c>
      <c r="G86" s="748"/>
      <c r="H86" s="749">
        <f ca="1">H84*IF(H70&lt;=$D$5,Sensitivity!$M$15+민감도!$E$61,Sensitivity!$L$15)*H$44/12</f>
        <v>1.0663736699999997</v>
      </c>
      <c r="I86" s="750">
        <f ca="1">I84*IF(I70&lt;=$D$5,Sensitivity!$M$15+민감도!$E$61,Sensitivity!$L$15)*I$44/12</f>
        <v>1.0414874699999999</v>
      </c>
      <c r="J86" s="750">
        <f ca="1">J84*IF(J70&lt;=$D$5,Sensitivity!$M$15+민감도!$E$61,Sensitivity!$L$15)*J$44/12</f>
        <v>1.0166012699999998</v>
      </c>
      <c r="K86" s="751">
        <f ca="1">K84*IF(K70&lt;=$D$5,Sensitivity!$M$15+민감도!$E$61,Sensitivity!$L$15)*K$44/12</f>
        <v>0.9917150699999997</v>
      </c>
      <c r="L86" s="749">
        <f ca="1">L84*IF(L70&lt;=$D$5,Sensitivity!$M$15+민감도!$E$61,Sensitivity!$L$15)*L$44/12</f>
        <v>0.96558455999999959</v>
      </c>
      <c r="M86" s="750">
        <f ca="1">M84*IF(M70&lt;=$D$5,Sensitivity!$M$15+민감도!$E$61,Sensitivity!$L$15)*M$44/12</f>
        <v>0.9363432749999997</v>
      </c>
      <c r="N86" s="750">
        <f ca="1">N84*IF(N70&lt;=$D$5,Sensitivity!$M$15+민감도!$E$61,Sensitivity!$L$15)*N$44/12</f>
        <v>0.90647983499999973</v>
      </c>
      <c r="O86" s="751">
        <f ca="1">O84*IF(O70&lt;=$D$5,Sensitivity!$M$15+민감도!$E$61,Sensitivity!$L$15)*O$44/12</f>
        <v>0.8759942399999997</v>
      </c>
      <c r="P86" s="749">
        <f ca="1">P84*IF(P70&lt;=$D$5,Sensitivity!$M$15+민감도!$E$61,Sensitivity!$L$15)*P$44/12</f>
        <v>0.8448864899999996</v>
      </c>
      <c r="Q86" s="750">
        <f ca="1">Q84*IF(Q70&lt;=$D$5,Sensitivity!$M$15+민감도!$E$61,Sensitivity!$L$15)*Q$44/12</f>
        <v>0.81315658499999965</v>
      </c>
      <c r="R86" s="750">
        <f ca="1">R84*IF(R70&lt;=$D$5,Sensitivity!$M$15+민감도!$E$61,Sensitivity!$L$15)*R$44/12</f>
        <v>0.78080452499999964</v>
      </c>
      <c r="S86" s="751">
        <f ca="1">S84*IF(S70&lt;=$D$5,Sensitivity!$M$15+민감도!$E$61,Sensitivity!$L$15)*S$44/12</f>
        <v>0.74845246499999973</v>
      </c>
      <c r="T86" s="749">
        <f ca="1">T84*IF(T70&lt;=$D$5,Sensitivity!$M$15+민감도!$E$61,Sensitivity!$L$15)*T$44/12</f>
        <v>0.71547824999999976</v>
      </c>
      <c r="U86" s="750">
        <f ca="1">U84*IF(U70&lt;=$D$5,Sensitivity!$M$15+민감도!$E$61,Sensitivity!$L$15)*U$44/12</f>
        <v>0.68623696499999964</v>
      </c>
      <c r="V86" s="750">
        <f ca="1">V84*IF(V70&lt;=$D$5,Sensitivity!$M$15+민감도!$E$61,Sensitivity!$L$15)*V$44/12</f>
        <v>0.65699567999999975</v>
      </c>
      <c r="W86" s="751">
        <f ca="1">W84*IF(W70&lt;=$D$5,Sensitivity!$M$15+민감도!$E$61,Sensitivity!$L$15)*W$44/12</f>
        <v>0.62713223999999979</v>
      </c>
      <c r="X86" s="749">
        <f ca="1">X84*IF(X70&lt;=$D$5,Sensitivity!$M$15+민감도!$E$61,Sensitivity!$L$15)*X$44/12</f>
        <v>0.59664664499999986</v>
      </c>
      <c r="Y86" s="750">
        <f ca="1">Y84*IF(Y70&lt;=$D$5,Sensitivity!$M$15+민감도!$E$61,Sensitivity!$L$15)*Y$44/12</f>
        <v>0.56616104999999983</v>
      </c>
      <c r="Z86" s="750">
        <f ca="1">Z84*IF(Z70&lt;=$D$5,Sensitivity!$M$15+민감도!$E$61,Sensitivity!$L$15)*Z$44/12</f>
        <v>0.53567545499999991</v>
      </c>
      <c r="AA86" s="751">
        <f ca="1">AA84*IF(AA70&lt;=$D$5,Sensitivity!$M$15+민감도!$E$61,Sensitivity!$L$15)*AA$44/12</f>
        <v>0.50456770499999992</v>
      </c>
      <c r="AB86" s="749">
        <f ca="1">AB84*IF(AB70&lt;=$D$5,Sensitivity!$M$15+민감도!$E$61,Sensitivity!$L$15)*AB$44/12</f>
        <v>0.47283779999999992</v>
      </c>
      <c r="AC86" s="750">
        <f ca="1">AC84*IF(AC70&lt;=$D$5,Sensitivity!$M$15+민감도!$E$61,Sensitivity!$L$15)*AC$44/12</f>
        <v>0.44421866999999987</v>
      </c>
      <c r="AD86" s="750">
        <f ca="1">AD84*IF(AD70&lt;=$D$5,Sensitivity!$M$15+민감도!$E$61,Sensitivity!$L$15)*AD$44/12</f>
        <v>0.41497738499999998</v>
      </c>
      <c r="AE86" s="751">
        <f ca="1">AE84*IF(AE70&lt;=$D$5,Sensitivity!$M$15+민감도!$E$61,Sensitivity!$L$15)*AE$44/12</f>
        <v>0.38200316999999989</v>
      </c>
      <c r="AF86" s="749">
        <f ca="1">AF84*IF(AF70&lt;=$D$5,Sensitivity!$M$15+민감도!$E$61,Sensitivity!$L$15)*AF$44/12</f>
        <v>0.34840679999999996</v>
      </c>
      <c r="AG86" s="750">
        <f ca="1">AG84*IF(AG70&lt;=$D$5,Sensitivity!$M$15+민감도!$E$61,Sensitivity!$L$15)*AG$44/12</f>
        <v>0.30921103499999991</v>
      </c>
      <c r="AH86" s="750">
        <f ca="1">AH84*IF(AH70&lt;=$D$5,Sensitivity!$M$15+민감도!$E$61,Sensitivity!$L$15)*AH$44/12</f>
        <v>0.27001526999999992</v>
      </c>
      <c r="AI86" s="751">
        <f ca="1">AI84*IF(AI70&lt;=$D$5,Sensitivity!$M$15+민감도!$E$61,Sensitivity!$L$15)*AI$44/12</f>
        <v>0.23019734999999994</v>
      </c>
      <c r="AJ86" s="749">
        <f ca="1">AJ84*IF(AJ70&lt;=$D$5,Sensitivity!$M$15+민감도!$E$61,Sensitivity!$L$15)*AJ$44/12</f>
        <v>0.18975727499999995</v>
      </c>
      <c r="AK86" s="750">
        <f ca="1">AK84*IF(AK70&lt;=$D$5,Sensitivity!$M$15+민감도!$E$61,Sensitivity!$L$15)*AK$44/12</f>
        <v>0.16487107499999995</v>
      </c>
      <c r="AL86" s="750">
        <f ca="1">AL84*IF(AL70&lt;=$D$5,Sensitivity!$M$15+민감도!$E$61,Sensitivity!$L$15)*AL$44/12</f>
        <v>0.13625194499999996</v>
      </c>
      <c r="AM86" s="751">
        <f ca="1">AM84*IF(AM70&lt;=$D$5,Sensitivity!$M$15+민감도!$E$61,Sensitivity!$L$15)*AM$44/12</f>
        <v>0.10701065999999997</v>
      </c>
      <c r="AN86" s="749">
        <f ca="1">AN84*IF(AN70&lt;=$D$5,Sensitivity!$M$15+민감도!$E$61,Sensitivity!$L$15)*AN$44/12</f>
        <v>8.2124459999999955E-2</v>
      </c>
      <c r="AO86" s="750">
        <f ca="1">AO84*IF(AO70&lt;=$D$5,Sensitivity!$M$15+민감도!$E$61,Sensitivity!$L$15)*AO$44/12</f>
        <v>7.4658599999999964E-2</v>
      </c>
      <c r="AP86" s="750">
        <f ca="1">AP84*IF(AP70&lt;=$D$5,Sensitivity!$M$15+민감도!$E$61,Sensitivity!$L$15)*AP$44/12</f>
        <v>6.7192739999999959E-2</v>
      </c>
      <c r="AQ86" s="751">
        <f ca="1">AQ84*IF(AQ70&lt;=$D$5,Sensitivity!$M$15+민감도!$E$61,Sensitivity!$L$15)*AQ$44/12</f>
        <v>5.9726879999999961E-2</v>
      </c>
      <c r="AR86" s="749">
        <f ca="1">AR84*IF(AR70&lt;=$D$5,Sensitivity!$M$15+민감도!$E$61,Sensitivity!$L$15)*AR$44/12</f>
        <v>5.2261019999999971E-2</v>
      </c>
      <c r="AS86" s="750">
        <f ca="1">AS84*IF(AS70&lt;=$D$5,Sensitivity!$M$15+민감도!$E$61,Sensitivity!$L$15)*AS$44/12</f>
        <v>4.4795159999999973E-2</v>
      </c>
      <c r="AT86" s="750">
        <f ca="1">AT84*IF(AT70&lt;=$D$5,Sensitivity!$M$15+민감도!$E$61,Sensitivity!$L$15)*AT$44/12</f>
        <v>3.7329299999999975E-2</v>
      </c>
      <c r="AU86" s="751">
        <f ca="1">AU84*IF(AU70&lt;=$D$5,Sensitivity!$M$15+민감도!$E$61,Sensitivity!$L$15)*AU$44/12</f>
        <v>2.9863439999999981E-2</v>
      </c>
      <c r="AV86" s="749">
        <f ca="1">AV84*IF(AV70&lt;=$D$5,Sensitivity!$M$15+민감도!$E$61,Sensitivity!$L$15)*AV$44/12</f>
        <v>2.2397579999999983E-2</v>
      </c>
      <c r="AW86" s="750">
        <f ca="1">AW84*IF(AW70&lt;=$D$5,Sensitivity!$M$15+민감도!$E$61,Sensitivity!$L$15)*AW$44/12</f>
        <v>1.4931719999999983E-2</v>
      </c>
      <c r="AX86" s="750">
        <f ca="1">AX84*IF(AX70&lt;=$D$5,Sensitivity!$M$15+민감도!$E$61,Sensitivity!$L$15)*AX$44/12</f>
        <v>7.4658599999999839E-3</v>
      </c>
      <c r="AY86" s="751">
        <f ca="1">AY84*IF(AY70&lt;=$D$5,Sensitivity!$M$15+민감도!$E$61,Sensitivity!$L$15)*AY$44/12</f>
        <v>0</v>
      </c>
      <c r="AZ86" s="749">
        <f ca="1">AZ84*IF(AZ70&lt;=$D$5,Sensitivity!$M$15+민감도!$E$61,Sensitivity!$L$15)*AZ$44/12</f>
        <v>0</v>
      </c>
      <c r="BA86" s="750">
        <f ca="1">BA84*IF(BA70&lt;=$D$5,Sensitivity!$M$15+민감도!$E$61,Sensitivity!$L$15)*BA$44/12</f>
        <v>0</v>
      </c>
      <c r="BB86" s="750">
        <f ca="1">BB84*IF(BB70&lt;=$D$5,Sensitivity!$M$15+민감도!$E$61,Sensitivity!$L$15)*BB$44/12</f>
        <v>0</v>
      </c>
      <c r="BC86" s="751">
        <f ca="1">BC84*IF(BC70&lt;=$D$5,Sensitivity!$M$15+민감도!$E$61,Sensitivity!$L$15)*BC$44/12</f>
        <v>0</v>
      </c>
      <c r="BD86" s="749">
        <f ca="1">BD84*IF(BD70&lt;=$D$5,Sensitivity!$M$15+민감도!$E$61,Sensitivity!$L$15)*BD$44/12</f>
        <v>0</v>
      </c>
      <c r="BE86" s="750">
        <f ca="1">BE84*IF(BE70&lt;=$D$5,Sensitivity!$M$15+민감도!$E$61,Sensitivity!$L$15)*BE$44/12</f>
        <v>0</v>
      </c>
      <c r="BF86" s="750">
        <f ca="1">BF84*IF(BF70&lt;=$D$5,Sensitivity!$M$15+민감도!$E$61,Sensitivity!$L$15)*BF$44/12</f>
        <v>0</v>
      </c>
      <c r="BG86" s="751">
        <f ca="1">BG84*IF(BG70&lt;=$D$5,Sensitivity!$M$15+민감도!$E$61,Sensitivity!$L$15)*BG$44/12</f>
        <v>0</v>
      </c>
      <c r="BH86" s="749">
        <f ca="1">BH84*IF(BH70&lt;=$D$5,Sensitivity!$M$15+민감도!$E$61,Sensitivity!$L$15)*BH$44/12</f>
        <v>0</v>
      </c>
      <c r="BI86" s="750">
        <f ca="1">BI84*IF(BI70&lt;=$D$5,Sensitivity!$M$15+민감도!$E$61,Sensitivity!$L$15)*BI$44/12</f>
        <v>0</v>
      </c>
      <c r="BJ86" s="750">
        <f ca="1">BJ84*IF(BJ70&lt;=$D$5,Sensitivity!$M$15+민감도!$E$61,Sensitivity!$L$15)*BJ$44/12</f>
        <v>0</v>
      </c>
      <c r="BK86" s="751">
        <f ca="1">BK84*IF(BK70&lt;=$D$5,Sensitivity!$M$15+민감도!$E$61,Sensitivity!$L$15)*BK$44/12</f>
        <v>0</v>
      </c>
      <c r="BL86" s="749">
        <f ca="1">BL84*IF(BL70&lt;=$D$5,Sensitivity!$M$15+민감도!$E$61,Sensitivity!$L$15)*BL$44/12</f>
        <v>0</v>
      </c>
      <c r="BM86" s="750">
        <f ca="1">BM84*IF(BM70&lt;=$D$5,Sensitivity!$M$15+민감도!$E$61,Sensitivity!$L$15)*BM$44/12</f>
        <v>0</v>
      </c>
      <c r="BN86" s="750">
        <f ca="1">BN84*IF(BN70&lt;=$D$5,Sensitivity!$M$15+민감도!$E$61,Sensitivity!$L$15)*BN$44/12</f>
        <v>0</v>
      </c>
      <c r="BO86" s="751">
        <f ca="1">BO84*IF(BO70&lt;=$D$5,Sensitivity!$M$15+민감도!$E$61,Sensitivity!$L$15)*BO$44/12</f>
        <v>0</v>
      </c>
      <c r="BP86" s="749">
        <f ca="1">BP84*IF(BP70&lt;=$D$5,Sensitivity!$M$15+민감도!$E$61,Sensitivity!$L$15)*BP$44/12</f>
        <v>0</v>
      </c>
      <c r="BQ86" s="750">
        <f ca="1">BQ84*IF(BQ70&lt;=$D$5,Sensitivity!$M$15+민감도!$E$61,Sensitivity!$L$15)*BQ$44/12</f>
        <v>0</v>
      </c>
      <c r="BR86" s="750">
        <f ca="1">BR84*IF(BR70&lt;=$D$5,Sensitivity!$M$15+민감도!$E$61,Sensitivity!$L$15)*BR$44/12</f>
        <v>0</v>
      </c>
      <c r="BS86" s="751">
        <f ca="1">BS84*IF(BS70&lt;=$D$5,Sensitivity!$M$15+민감도!$E$61,Sensitivity!$L$15)*BS$44/12</f>
        <v>0</v>
      </c>
      <c r="BT86" s="749">
        <f ca="1">BT84*IF(BT70&lt;=$D$5,Sensitivity!$M$15+민감도!$E$61,Sensitivity!$L$15)*BT$44/12</f>
        <v>0</v>
      </c>
      <c r="BU86" s="750">
        <f ca="1">BU84*IF(BU70&lt;=$D$5,Sensitivity!$M$15+민감도!$E$61,Sensitivity!$L$15)*BU$44/12</f>
        <v>0</v>
      </c>
      <c r="BV86" s="750">
        <f ca="1">BV84*IF(BV70&lt;=$D$5,Sensitivity!$M$15+민감도!$E$61,Sensitivity!$L$15)*BV$44/12</f>
        <v>0</v>
      </c>
      <c r="BW86" s="751">
        <f ca="1">BW84*IF(BW70&lt;=$D$5,Sensitivity!$M$15+민감도!$E$61,Sensitivity!$L$15)*BW$44/12</f>
        <v>0</v>
      </c>
      <c r="BX86" s="749">
        <f ca="1">BX84*IF(BX70&lt;=$D$5,Sensitivity!$M$15+민감도!$E$61,Sensitivity!$L$15)*BX$44/12</f>
        <v>0</v>
      </c>
      <c r="BY86" s="750">
        <f ca="1">BY84*IF(BY70&lt;=$D$5,Sensitivity!$M$15+민감도!$E$61,Sensitivity!$L$15)*BY$44/12</f>
        <v>0</v>
      </c>
      <c r="BZ86" s="750">
        <f ca="1">BZ84*IF(BZ70&lt;=$D$5,Sensitivity!$M$15+민감도!$E$61,Sensitivity!$L$15)*BZ$44/12</f>
        <v>0</v>
      </c>
      <c r="CA86" s="751">
        <f ca="1">CA84*IF(CA70&lt;=$D$5,Sensitivity!$M$15+민감도!$E$61,Sensitivity!$L$15)*CA$44/12</f>
        <v>0</v>
      </c>
      <c r="CB86" s="749">
        <f ca="1">CB84*IF(CB70&lt;=$D$5,Sensitivity!$M$15+민감도!$E$61,Sensitivity!$L$15)*CB$44/12</f>
        <v>0</v>
      </c>
      <c r="CC86" s="750">
        <f ca="1">CC84*IF(CC70&lt;=$D$5,Sensitivity!$M$15+민감도!$E$61,Sensitivity!$L$15)*CC$44/12</f>
        <v>0</v>
      </c>
      <c r="CD86" s="750">
        <f ca="1">CD84*IF(CD70&lt;=$D$5,Sensitivity!$M$15+민감도!$E$61,Sensitivity!$L$15)*CD$44/12</f>
        <v>0</v>
      </c>
      <c r="CE86" s="751">
        <f ca="1">CE84*IF(CE70&lt;=$D$5,Sensitivity!$M$15+민감도!$E$61,Sensitivity!$L$15)*CE$44/12</f>
        <v>0</v>
      </c>
      <c r="CF86" s="749">
        <f ca="1">CF84*IF(CF70&lt;=$D$5,Sensitivity!$M$15+민감도!$E$61,Sensitivity!$L$15)*CF$44/12</f>
        <v>0</v>
      </c>
      <c r="CG86" s="750">
        <f ca="1">CG84*IF(CG70&lt;=$D$5,Sensitivity!$M$15+민감도!$E$61,Sensitivity!$L$15)*CG$44/12</f>
        <v>0</v>
      </c>
      <c r="CH86" s="750">
        <f ca="1">CH84*IF(CH70&lt;=$D$5,Sensitivity!$M$15+민감도!$E$61,Sensitivity!$L$15)*CH$44/12</f>
        <v>0</v>
      </c>
      <c r="CI86" s="751">
        <f ca="1">CI84*IF(CI70&lt;=$D$5,Sensitivity!$M$15+민감도!$E$61,Sensitivity!$L$15)*CI$44/12</f>
        <v>0</v>
      </c>
      <c r="CJ86" s="749">
        <f ca="1">CJ84*IF(CJ70&lt;=$D$5,Sensitivity!$M$15+민감도!$E$61,Sensitivity!$L$15)*CJ$44/12</f>
        <v>0</v>
      </c>
      <c r="CK86" s="750">
        <f ca="1">CK84*IF(CK70&lt;=$D$5,Sensitivity!$M$15+민감도!$E$61,Sensitivity!$L$15)*CK$44/12</f>
        <v>0</v>
      </c>
      <c r="CL86" s="750">
        <f ca="1">CL84*IF(CL70&lt;=$D$5,Sensitivity!$M$15+민감도!$E$61,Sensitivity!$L$15)*CL$44/12</f>
        <v>0</v>
      </c>
      <c r="CM86" s="751">
        <f ca="1">CM84*IF(CM70&lt;=$D$5,Sensitivity!$M$15+민감도!$E$61,Sensitivity!$L$15)*CM$44/12</f>
        <v>0</v>
      </c>
      <c r="CN86" s="749">
        <f ca="1">CN84*IF(CN70&lt;=$D$5,Sensitivity!$M$15+민감도!$E$61,Sensitivity!$L$15)*CN$44/12</f>
        <v>0</v>
      </c>
      <c r="CO86" s="750">
        <f ca="1">CO84*IF(CO70&lt;=$D$5,Sensitivity!$M$15+민감도!$E$61,Sensitivity!$L$15)*CO$44/12</f>
        <v>0</v>
      </c>
      <c r="CP86" s="750">
        <f ca="1">CP84*IF(CP70&lt;=$D$5,Sensitivity!$M$15+민감도!$E$61,Sensitivity!$L$15)*CP$44/12</f>
        <v>0</v>
      </c>
      <c r="CQ86" s="751">
        <f ca="1">CQ84*IF(CQ70&lt;=$D$5,Sensitivity!$M$15+민감도!$E$61,Sensitivity!$L$15)*CQ$44/12</f>
        <v>0</v>
      </c>
      <c r="CR86" s="749">
        <f ca="1">CR84*IF(CR70&lt;=$D$5,Sensitivity!$M$15+민감도!$E$61,Sensitivity!$L$15)*CR$44/12</f>
        <v>0</v>
      </c>
      <c r="CS86" s="750">
        <f ca="1">CS84*IF(CS70&lt;=$D$5,Sensitivity!$M$15+민감도!$E$61,Sensitivity!$L$15)*CS$44/12</f>
        <v>0</v>
      </c>
      <c r="CT86" s="750">
        <f ca="1">CT84*IF(CT70&lt;=$D$5,Sensitivity!$M$15+민감도!$E$61,Sensitivity!$L$15)*CT$44/12</f>
        <v>0</v>
      </c>
      <c r="CU86" s="751">
        <f ca="1">CU84*IF(CU70&lt;=$D$5,Sensitivity!$M$15+민감도!$E$61,Sensitivity!$L$15)*CU$44/12</f>
        <v>0</v>
      </c>
      <c r="CV86" s="749">
        <f ca="1">CV84*IF(CV70&lt;=$D$5,Sensitivity!$M$15+민감도!$E$61,Sensitivity!$L$15)*CV$44/12</f>
        <v>0</v>
      </c>
      <c r="CW86" s="750">
        <f ca="1">CW84*IF(CW70&lt;=$D$5,Sensitivity!$M$15+민감도!$E$61,Sensitivity!$L$15)*CW$44/12</f>
        <v>0</v>
      </c>
      <c r="CX86" s="750">
        <f ca="1">CX84*IF(CX70&lt;=$D$5,Sensitivity!$M$15+민감도!$E$61,Sensitivity!$L$15)*CX$44/12</f>
        <v>0</v>
      </c>
      <c r="CY86" s="751">
        <f ca="1">CY84*IF(CY70&lt;=$D$5,Sensitivity!$M$15+민감도!$E$61,Sensitivity!$L$15)*CY$44/12</f>
        <v>0</v>
      </c>
      <c r="CZ86" s="749">
        <f ca="1">CZ84*IF(CZ70&lt;=$D$5,Sensitivity!$M$15+민감도!$E$61,Sensitivity!$L$15)*CZ$44/12</f>
        <v>0</v>
      </c>
      <c r="DA86" s="750">
        <f ca="1">DA84*IF(DA70&lt;=$D$5,Sensitivity!$M$15+민감도!$E$61,Sensitivity!$L$15)*DA$44/12</f>
        <v>0</v>
      </c>
      <c r="DB86" s="750">
        <f ca="1">DB84*IF(DB70&lt;=$D$5,Sensitivity!$M$15+민감도!$E$61,Sensitivity!$L$15)*DB$44/12</f>
        <v>0</v>
      </c>
      <c r="DC86" s="751">
        <f ca="1">DC84*IF(DC70&lt;=$D$5,Sensitivity!$M$15+민감도!$E$61,Sensitivity!$L$15)*DC$44/12</f>
        <v>0</v>
      </c>
      <c r="DD86" s="749">
        <f ca="1">DD84*IF(DD70&lt;=$D$5,Sensitivity!$M$15+민감도!$E$61,Sensitivity!$L$15)*DD$44/12</f>
        <v>0</v>
      </c>
      <c r="DE86" s="750">
        <f ca="1">DE84*IF(DE70&lt;=$D$5,Sensitivity!$M$15+민감도!$E$61,Sensitivity!$L$15)*DE$44/12</f>
        <v>0</v>
      </c>
      <c r="DF86" s="750">
        <f ca="1">DF84*IF(DF70&lt;=$D$5,Sensitivity!$M$15+민감도!$E$61,Sensitivity!$L$15)*DF$44/12</f>
        <v>0</v>
      </c>
      <c r="DG86" s="751">
        <f ca="1">DG84*IF(DG70&lt;=$D$5,Sensitivity!$M$15+민감도!$E$61,Sensitivity!$L$15)*DG$44/12</f>
        <v>0</v>
      </c>
      <c r="DH86" s="749">
        <f ca="1">DH84*IF(DH70&lt;=$D$5,Sensitivity!$M$15+민감도!$E$61,Sensitivity!$L$15)*DH$44/12</f>
        <v>0</v>
      </c>
      <c r="DI86" s="750">
        <f ca="1">DI84*IF(DI70&lt;=$D$5,Sensitivity!$M$15+민감도!$E$61,Sensitivity!$L$15)*DI$44/12</f>
        <v>0</v>
      </c>
      <c r="DJ86" s="750">
        <f ca="1">DJ84*IF(DJ70&lt;=$D$5,Sensitivity!$M$15+민감도!$E$61,Sensitivity!$L$15)*DJ$44/12</f>
        <v>0</v>
      </c>
      <c r="DK86" s="751">
        <f ca="1">DK84*IF(DK70&lt;=$D$5,Sensitivity!$M$15+민감도!$E$61,Sensitivity!$L$15)*DK$44/12</f>
        <v>0</v>
      </c>
      <c r="DL86" s="749">
        <f ca="1">DL84*IF(DL70&lt;=$D$5,Sensitivity!$M$15+민감도!$E$61,Sensitivity!$L$15)*DL$44/12</f>
        <v>0</v>
      </c>
      <c r="DM86" s="750">
        <f ca="1">DM84*IF(DM70&lt;=$D$5,Sensitivity!$M$15+민감도!$E$61,Sensitivity!$L$15)*DM$44/12</f>
        <v>0</v>
      </c>
      <c r="DN86" s="750">
        <f ca="1">DN84*IF(DN70&lt;=$D$5,Sensitivity!$M$15+민감도!$E$61,Sensitivity!$L$15)*DN$44/12</f>
        <v>0</v>
      </c>
      <c r="DO86" s="751">
        <f ca="1">DO84*IF(DO70&lt;=$D$5,Sensitivity!$M$15+민감도!$E$61,Sensitivity!$L$15)*DO$44/12</f>
        <v>0</v>
      </c>
      <c r="DP86" s="749">
        <f ca="1">DP84*IF(DP70&lt;=$D$5,Sensitivity!$M$15+민감도!$E$61,Sensitivity!$L$15)*DP$44/12</f>
        <v>0</v>
      </c>
      <c r="DQ86" s="750">
        <f ca="1">DQ84*IF(DQ70&lt;=$D$5,Sensitivity!$M$15+민감도!$E$61,Sensitivity!$L$15)*DQ$44/12</f>
        <v>0</v>
      </c>
      <c r="DR86" s="750">
        <f ca="1">DR84*IF(DR70&lt;=$D$5,Sensitivity!$M$15+민감도!$E$61,Sensitivity!$L$15)*DR$44/12</f>
        <v>0</v>
      </c>
      <c r="DS86" s="751">
        <f ca="1">DS84*IF(DS70&lt;=$D$5,Sensitivity!$M$15+민감도!$E$61,Sensitivity!$L$15)*DS$44/12</f>
        <v>0</v>
      </c>
      <c r="DT86" s="749">
        <f ca="1">DT84*IF(DT70&lt;=$D$5,Sensitivity!$M$15+민감도!$E$61,Sensitivity!$L$15)*DT$44/12</f>
        <v>0</v>
      </c>
      <c r="DU86" s="750">
        <f ca="1">DU84*IF(DU70&lt;=$D$5,Sensitivity!$M$15+민감도!$E$61,Sensitivity!$L$15)*DU$44/12</f>
        <v>0</v>
      </c>
      <c r="DV86" s="750">
        <f ca="1">DV84*IF(DV70&lt;=$D$5,Sensitivity!$M$15+민감도!$E$61,Sensitivity!$L$15)*DV$44/12</f>
        <v>0</v>
      </c>
      <c r="DW86" s="751">
        <f ca="1">DW84*IF(DW70&lt;=$D$5,Sensitivity!$M$15+민감도!$E$61,Sensitivity!$L$15)*DW$44/12</f>
        <v>0</v>
      </c>
      <c r="DX86" s="749">
        <f ca="1">DX84*IF(DX70&lt;=$D$5,Sensitivity!$M$15+민감도!$E$61,Sensitivity!$L$15)*DX$44/12</f>
        <v>0</v>
      </c>
      <c r="DY86" s="750">
        <f ca="1">DY84*IF(DY70&lt;=$D$5,Sensitivity!$M$15+민감도!$E$61,Sensitivity!$L$15)*DY$44/12</f>
        <v>0</v>
      </c>
      <c r="DZ86" s="750">
        <f ca="1">DZ84*IF(DZ70&lt;=$D$5,Sensitivity!$M$15+민감도!$E$61,Sensitivity!$L$15)*DZ$44/12</f>
        <v>0</v>
      </c>
      <c r="EA86" s="751">
        <f ca="1">EA84*IF(EA70&lt;=$D$5,Sensitivity!$M$15+민감도!$E$61,Sensitivity!$L$15)*EA$44/12</f>
        <v>0</v>
      </c>
      <c r="EB86" s="749">
        <f ca="1">EB84*IF(EB70&lt;=$D$5,Sensitivity!$M$15+민감도!$E$61,Sensitivity!$L$15)*EB$44/12</f>
        <v>0</v>
      </c>
      <c r="EC86" s="750">
        <f ca="1">EC84*IF(EC70&lt;=$D$5,Sensitivity!$M$15+민감도!$E$61,Sensitivity!$L$15)*EC$44/12</f>
        <v>0</v>
      </c>
      <c r="ED86" s="750">
        <f ca="1">ED84*IF(ED70&lt;=$D$5,Sensitivity!$M$15+민감도!$E$61,Sensitivity!$L$15)*ED$44/12</f>
        <v>0</v>
      </c>
      <c r="EE86" s="751">
        <f ca="1">EE84*IF(EE70&lt;=$D$5,Sensitivity!$M$15+민감도!$E$61,Sensitivity!$L$15)*EE$44/12</f>
        <v>0</v>
      </c>
      <c r="EF86" s="749">
        <f ca="1">EF84*IF(EF70&lt;=$D$5,Sensitivity!$M$15+민감도!$E$61,Sensitivity!$L$15)*EF$44/12</f>
        <v>0</v>
      </c>
      <c r="EG86" s="750">
        <f ca="1">EG84*IF(EG70&lt;=$D$5,Sensitivity!$M$15+민감도!$E$61,Sensitivity!$L$15)*EG$44/12</f>
        <v>0</v>
      </c>
      <c r="EH86" s="750">
        <f ca="1">EH84*IF(EH70&lt;=$D$5,Sensitivity!$M$15+민감도!$E$61,Sensitivity!$L$15)*EH$44/12</f>
        <v>0</v>
      </c>
      <c r="EI86" s="751">
        <f ca="1">EI84*IF(EI70&lt;=$D$5,Sensitivity!$M$15+민감도!$E$61,Sensitivity!$L$15)*EI$44/12</f>
        <v>0</v>
      </c>
      <c r="EJ86" s="749">
        <f ca="1">EJ84*IF(EJ70&lt;=$D$5,Sensitivity!$M$15+민감도!$E$61,Sensitivity!$L$15)*EJ$44/12</f>
        <v>0</v>
      </c>
      <c r="EK86" s="750">
        <f ca="1">EK84*IF(EK70&lt;=$D$5,Sensitivity!$M$15+민감도!$E$61,Sensitivity!$L$15)*EK$44/12</f>
        <v>0</v>
      </c>
      <c r="EL86" s="750">
        <f ca="1">EL84*IF(EL70&lt;=$D$5,Sensitivity!$M$15+민감도!$E$61,Sensitivity!$L$15)*EL$44/12</f>
        <v>0</v>
      </c>
      <c r="EM86" s="751">
        <f ca="1">EM84*IF(EM70&lt;=$D$5,Sensitivity!$M$15+민감도!$E$61,Sensitivity!$L$15)*EM$44/12</f>
        <v>0</v>
      </c>
      <c r="EN86" s="749">
        <f ca="1">EN84*IF(EN70&lt;=$D$5,Sensitivity!$M$15+민감도!$E$61,Sensitivity!$L$15)*EN$44/12</f>
        <v>0</v>
      </c>
      <c r="EO86" s="750">
        <f ca="1">EO84*IF(EO70&lt;=$D$5,Sensitivity!$M$15+민감도!$E$61,Sensitivity!$L$15)*EO$44/12</f>
        <v>0</v>
      </c>
      <c r="EP86" s="750">
        <f ca="1">EP84*IF(EP70&lt;=$D$5,Sensitivity!$M$15+민감도!$E$61,Sensitivity!$L$15)*EP$44/12</f>
        <v>0</v>
      </c>
      <c r="EQ86" s="751">
        <f ca="1">EQ84*IF(EQ70&lt;=$D$5,Sensitivity!$M$15+민감도!$E$61,Sensitivity!$L$15)*EQ$44/12</f>
        <v>0</v>
      </c>
      <c r="ER86" s="749">
        <f ca="1">ER84*IF(ER70&lt;=$D$5,Sensitivity!$M$15+민감도!$E$61,Sensitivity!$L$15)*ER$44/12</f>
        <v>0</v>
      </c>
      <c r="ES86" s="750">
        <f ca="1">ES84*IF(ES70&lt;=$D$5,Sensitivity!$M$15+민감도!$E$61,Sensitivity!$L$15)*ES$44/12</f>
        <v>0</v>
      </c>
      <c r="ET86" s="750">
        <f ca="1">ET84*IF(ET70&lt;=$D$5,Sensitivity!$M$15+민감도!$E$61,Sensitivity!$L$15)*ET$44/12</f>
        <v>0</v>
      </c>
      <c r="EU86" s="751">
        <f ca="1">EU84*IF(EU70&lt;=$D$5,Sensitivity!$M$15+민감도!$E$61,Sensitivity!$L$15)*EU$44/12</f>
        <v>0</v>
      </c>
      <c r="EV86" s="749">
        <f ca="1">EV84*IF(EV70&lt;=$D$5,Sensitivity!$M$15+민감도!$E$61,Sensitivity!$L$15)*EV$44/12</f>
        <v>0</v>
      </c>
      <c r="EW86" s="750">
        <f ca="1">EW84*IF(EW70&lt;=$D$5,Sensitivity!$M$15+민감도!$E$61,Sensitivity!$L$15)*EW$44/12</f>
        <v>0</v>
      </c>
      <c r="EX86" s="750">
        <f ca="1">EX84*IF(EX70&lt;=$D$5,Sensitivity!$M$15+민감도!$E$61,Sensitivity!$L$15)*EX$44/12</f>
        <v>0</v>
      </c>
      <c r="EY86" s="751">
        <f ca="1">EY84*IF(EY70&lt;=$D$5,Sensitivity!$M$15+민감도!$E$61,Sensitivity!$L$15)*EY$44/12</f>
        <v>0</v>
      </c>
      <c r="EZ86" s="749">
        <f ca="1">EZ84*IF(EZ70&lt;=$D$5,Sensitivity!$M$15+민감도!$E$61,Sensitivity!$L$15)*EZ$44/12</f>
        <v>0</v>
      </c>
      <c r="FA86" s="750">
        <f ca="1">FA84*IF(FA70&lt;=$D$5,Sensitivity!$M$15+민감도!$E$61,Sensitivity!$L$15)*FA$44/12</f>
        <v>0</v>
      </c>
      <c r="FB86" s="750">
        <f ca="1">FB84*IF(FB70&lt;=$D$5,Sensitivity!$M$15+민감도!$E$61,Sensitivity!$L$15)*FB$44/12</f>
        <v>0</v>
      </c>
      <c r="FC86" s="751">
        <f ca="1">FC84*IF(FC70&lt;=$D$5,Sensitivity!$M$15+민감도!$E$61,Sensitivity!$L$15)*FC$44/12</f>
        <v>0</v>
      </c>
      <c r="FD86" s="749">
        <f ca="1">FD84*IF(FD70&lt;=$D$5,Sensitivity!$M$15+민감도!$E$61,Sensitivity!$L$15)*FD$44/12</f>
        <v>0</v>
      </c>
      <c r="FE86" s="750">
        <f ca="1">FE84*IF(FE70&lt;=$D$5,Sensitivity!$M$15+민감도!$E$61,Sensitivity!$L$15)*FE$44/12</f>
        <v>0</v>
      </c>
      <c r="FF86" s="750">
        <f ca="1">FF84*IF(FF70&lt;=$D$5,Sensitivity!$M$15+민감도!$E$61,Sensitivity!$L$15)*FF$44/12</f>
        <v>0</v>
      </c>
      <c r="FG86" s="751">
        <f ca="1">FG84*IF(FG70&lt;=$D$5,Sensitivity!$M$15+민감도!$E$61,Sensitivity!$L$15)*FG$44/12</f>
        <v>0</v>
      </c>
      <c r="FH86" s="749">
        <f ca="1">FH84*IF(FH70&lt;=$D$5,Sensitivity!$M$15+민감도!$E$61,Sensitivity!$L$15)*FH$44/12</f>
        <v>0</v>
      </c>
      <c r="FI86" s="750">
        <f ca="1">FI84*IF(FI70&lt;=$D$5,Sensitivity!$M$15+민감도!$E$61,Sensitivity!$L$15)*FI$44/12</f>
        <v>0</v>
      </c>
      <c r="FJ86" s="750">
        <f ca="1">FJ84*IF(FJ70&lt;=$D$5,Sensitivity!$M$15+민감도!$E$61,Sensitivity!$L$15)*FJ$44/12</f>
        <v>0</v>
      </c>
      <c r="FK86" s="751">
        <f ca="1">FK84*IF(FK70&lt;=$D$5,Sensitivity!$M$15+민감도!$E$61,Sensitivity!$L$15)*FK$44/12</f>
        <v>0</v>
      </c>
      <c r="FL86" s="749">
        <f ca="1">FL84*IF(FL70&lt;=$D$5,Sensitivity!$M$15+민감도!$E$61,Sensitivity!$L$15)*FL$44/12</f>
        <v>0</v>
      </c>
      <c r="FM86" s="750">
        <f ca="1">FM84*IF(FM70&lt;=$D$5,Sensitivity!$M$15+민감도!$E$61,Sensitivity!$L$15)*FM$44/12</f>
        <v>0</v>
      </c>
      <c r="FN86" s="750">
        <f ca="1">FN84*IF(FN70&lt;=$D$5,Sensitivity!$M$15+민감도!$E$61,Sensitivity!$L$15)*FN$44/12</f>
        <v>0</v>
      </c>
      <c r="FO86" s="751">
        <f ca="1">FO84*IF(FO70&lt;=$D$5,Sensitivity!$M$15+민감도!$E$61,Sensitivity!$L$15)*FO$44/12</f>
        <v>0</v>
      </c>
      <c r="FP86" s="749">
        <f ca="1">FP84*IF(FP70&lt;=$D$5,Sensitivity!$M$15+민감도!$E$61,Sensitivity!$L$15)*FP$44/12</f>
        <v>0</v>
      </c>
      <c r="FQ86" s="750">
        <f ca="1">FQ84*IF(FQ70&lt;=$D$5,Sensitivity!$M$15+민감도!$E$61,Sensitivity!$L$15)*FQ$44/12</f>
        <v>0</v>
      </c>
      <c r="FR86" s="750">
        <f ca="1">FR84*IF(FR70&lt;=$D$5,Sensitivity!$M$15+민감도!$E$61,Sensitivity!$L$15)*FR$44/12</f>
        <v>0</v>
      </c>
      <c r="FS86" s="751">
        <f ca="1">FS84*IF(FS70&lt;=$D$5,Sensitivity!$M$15+민감도!$E$61,Sensitivity!$L$15)*FS$44/12</f>
        <v>0</v>
      </c>
      <c r="FT86" s="749">
        <f ca="1">FT84*IF(FT70&lt;=$D$5,Sensitivity!$M$15+민감도!$E$61,Sensitivity!$L$15)*FT$44/12</f>
        <v>0</v>
      </c>
      <c r="FU86" s="750">
        <f ca="1">FU84*IF(FU70&lt;=$D$5,Sensitivity!$M$15+민감도!$E$61,Sensitivity!$L$15)*FU$44/12</f>
        <v>0</v>
      </c>
      <c r="FV86" s="750">
        <f ca="1">FV84*IF(FV70&lt;=$D$5,Sensitivity!$M$15+민감도!$E$61,Sensitivity!$L$15)*FV$44/12</f>
        <v>0</v>
      </c>
      <c r="FW86" s="751">
        <f ca="1">FW84*IF(FW70&lt;=$D$5,Sensitivity!$M$15+민감도!$E$61,Sensitivity!$L$15)*FW$44/12</f>
        <v>0</v>
      </c>
      <c r="FX86" s="749">
        <f ca="1">FX84*IF(FX70&lt;=$D$5,Sensitivity!$M$15+민감도!$E$61,Sensitivity!$L$15)*FX$44/12</f>
        <v>0</v>
      </c>
      <c r="FY86" s="750">
        <f ca="1">FY84*IF(FY70&lt;=$D$5,Sensitivity!$M$15+민감도!$E$61,Sensitivity!$L$15)*FY$44/12</f>
        <v>0</v>
      </c>
      <c r="FZ86" s="750">
        <f ca="1">FZ84*IF(FZ70&lt;=$D$5,Sensitivity!$M$15+민감도!$E$61,Sensitivity!$L$15)*FZ$44/12</f>
        <v>0</v>
      </c>
      <c r="GA86" s="751">
        <f ca="1">GA84*IF(GA70&lt;=$D$5,Sensitivity!$M$15+민감도!$E$61,Sensitivity!$L$15)*GA$44/12</f>
        <v>0</v>
      </c>
      <c r="GB86" s="749">
        <f ca="1">GB84*IF(GB70&lt;=$D$5,Sensitivity!$M$15+민감도!$E$61,Sensitivity!$L$15)*GB$44/12</f>
        <v>0</v>
      </c>
      <c r="GC86" s="750">
        <f ca="1">GC84*IF(GC70&lt;=$D$5,Sensitivity!$M$15+민감도!$E$61,Sensitivity!$L$15)*GC$44/12</f>
        <v>0</v>
      </c>
      <c r="GD86" s="750">
        <f ca="1">GD84*IF(GD70&lt;=$D$5,Sensitivity!$M$15+민감도!$E$61,Sensitivity!$L$15)*GD$44/12</f>
        <v>0</v>
      </c>
      <c r="GE86" s="4905">
        <f ca="1">GE84*IF(GE70&lt;=$D$5,Sensitivity!$M$15+민감도!$E$61,Sensitivity!$L$15)*GE$44/12</f>
        <v>0</v>
      </c>
    </row>
    <row r="87" spans="3:187" ht="13.5" customHeight="1" outlineLevel="2">
      <c r="C87" s="4900" t="str">
        <f>C27</f>
        <v>단기차입금(기존)</v>
      </c>
      <c r="D87" s="4744"/>
      <c r="E87" s="315"/>
      <c r="F87" s="315"/>
      <c r="G87" s="315"/>
      <c r="H87" s="720"/>
      <c r="I87" s="315"/>
      <c r="J87" s="315"/>
      <c r="K87" s="721"/>
      <c r="L87" s="720"/>
      <c r="M87" s="315"/>
      <c r="N87" s="315"/>
      <c r="O87" s="721"/>
      <c r="P87" s="720"/>
      <c r="Q87" s="315"/>
      <c r="R87" s="315"/>
      <c r="S87" s="721"/>
      <c r="T87" s="720"/>
      <c r="U87" s="315"/>
      <c r="V87" s="315"/>
      <c r="W87" s="721"/>
      <c r="X87" s="720"/>
      <c r="Y87" s="315"/>
      <c r="Z87" s="315"/>
      <c r="AA87" s="721"/>
      <c r="AB87" s="720"/>
      <c r="AC87" s="315"/>
      <c r="AD87" s="315"/>
      <c r="AE87" s="721"/>
      <c r="AF87" s="720"/>
      <c r="AG87" s="315"/>
      <c r="AH87" s="315"/>
      <c r="AI87" s="721"/>
      <c r="AJ87" s="720"/>
      <c r="AK87" s="315"/>
      <c r="AL87" s="315"/>
      <c r="AM87" s="721"/>
      <c r="AN87" s="720"/>
      <c r="AO87" s="315"/>
      <c r="AP87" s="315"/>
      <c r="AQ87" s="721"/>
      <c r="AR87" s="720"/>
      <c r="AS87" s="315"/>
      <c r="AT87" s="315"/>
      <c r="AU87" s="721"/>
      <c r="AV87" s="720"/>
      <c r="AW87" s="315"/>
      <c r="AX87" s="315"/>
      <c r="AY87" s="721"/>
      <c r="AZ87" s="720"/>
      <c r="BA87" s="315"/>
      <c r="BB87" s="315"/>
      <c r="BC87" s="721"/>
      <c r="BD87" s="720"/>
      <c r="BE87" s="315"/>
      <c r="BF87" s="315"/>
      <c r="BG87" s="721"/>
      <c r="BH87" s="720"/>
      <c r="BI87" s="315"/>
      <c r="BJ87" s="315"/>
      <c r="BK87" s="721"/>
      <c r="BL87" s="720"/>
      <c r="BM87" s="315"/>
      <c r="BN87" s="315"/>
      <c r="BO87" s="721"/>
      <c r="BP87" s="720"/>
      <c r="BQ87" s="315"/>
      <c r="BR87" s="315"/>
      <c r="BS87" s="721"/>
      <c r="BT87" s="720"/>
      <c r="BU87" s="315"/>
      <c r="BV87" s="315"/>
      <c r="BW87" s="721"/>
      <c r="BX87" s="720"/>
      <c r="BY87" s="315"/>
      <c r="BZ87" s="315"/>
      <c r="CA87" s="721"/>
      <c r="CB87" s="720"/>
      <c r="CC87" s="315"/>
      <c r="CD87" s="315"/>
      <c r="CE87" s="721"/>
      <c r="CF87" s="720"/>
      <c r="CG87" s="315"/>
      <c r="CH87" s="315"/>
      <c r="CI87" s="721"/>
      <c r="CJ87" s="720"/>
      <c r="CK87" s="315"/>
      <c r="CL87" s="315"/>
      <c r="CM87" s="721"/>
      <c r="CN87" s="720"/>
      <c r="CO87" s="315"/>
      <c r="CP87" s="315"/>
      <c r="CQ87" s="721"/>
      <c r="CR87" s="720"/>
      <c r="CS87" s="315"/>
      <c r="CT87" s="315"/>
      <c r="CU87" s="721"/>
      <c r="CV87" s="720"/>
      <c r="CW87" s="315"/>
      <c r="CX87" s="315"/>
      <c r="CY87" s="721"/>
      <c r="CZ87" s="720"/>
      <c r="DA87" s="315"/>
      <c r="DB87" s="315"/>
      <c r="DC87" s="721"/>
      <c r="DD87" s="720"/>
      <c r="DE87" s="315"/>
      <c r="DF87" s="315"/>
      <c r="DG87" s="721"/>
      <c r="DH87" s="720"/>
      <c r="DI87" s="315"/>
      <c r="DJ87" s="315"/>
      <c r="DK87" s="721"/>
      <c r="DL87" s="720"/>
      <c r="DM87" s="315"/>
      <c r="DN87" s="315"/>
      <c r="DO87" s="721"/>
      <c r="DP87" s="720"/>
      <c r="DQ87" s="315"/>
      <c r="DR87" s="315"/>
      <c r="DS87" s="721"/>
      <c r="DT87" s="720"/>
      <c r="DU87" s="315"/>
      <c r="DV87" s="315"/>
      <c r="DW87" s="721"/>
      <c r="DX87" s="720"/>
      <c r="DY87" s="315"/>
      <c r="DZ87" s="315"/>
      <c r="EA87" s="721"/>
      <c r="EB87" s="720"/>
      <c r="EC87" s="315"/>
      <c r="ED87" s="315"/>
      <c r="EE87" s="721"/>
      <c r="EF87" s="720"/>
      <c r="EG87" s="315"/>
      <c r="EH87" s="315"/>
      <c r="EI87" s="721"/>
      <c r="EJ87" s="720"/>
      <c r="EK87" s="315"/>
      <c r="EL87" s="315"/>
      <c r="EM87" s="721"/>
      <c r="EN87" s="720"/>
      <c r="EO87" s="315"/>
      <c r="EP87" s="315"/>
      <c r="EQ87" s="721"/>
      <c r="ER87" s="720"/>
      <c r="ES87" s="315"/>
      <c r="ET87" s="315"/>
      <c r="EU87" s="721"/>
      <c r="EV87" s="720"/>
      <c r="EW87" s="315"/>
      <c r="EX87" s="315"/>
      <c r="EY87" s="721"/>
      <c r="EZ87" s="720"/>
      <c r="FA87" s="315"/>
      <c r="FB87" s="315"/>
      <c r="FC87" s="721"/>
      <c r="FD87" s="720"/>
      <c r="FE87" s="315"/>
      <c r="FF87" s="315"/>
      <c r="FG87" s="721"/>
      <c r="FH87" s="720"/>
      <c r="FI87" s="315"/>
      <c r="FJ87" s="315"/>
      <c r="FK87" s="721"/>
      <c r="FL87" s="720"/>
      <c r="FM87" s="315"/>
      <c r="FN87" s="315"/>
      <c r="FO87" s="721"/>
      <c r="FP87" s="720"/>
      <c r="FQ87" s="315"/>
      <c r="FR87" s="315"/>
      <c r="FS87" s="721"/>
      <c r="FT87" s="720"/>
      <c r="FU87" s="315"/>
      <c r="FV87" s="315"/>
      <c r="FW87" s="721"/>
      <c r="FX87" s="720"/>
      <c r="FY87" s="315"/>
      <c r="FZ87" s="315"/>
      <c r="GA87" s="721"/>
      <c r="GB87" s="720"/>
      <c r="GC87" s="315"/>
      <c r="GD87" s="315"/>
      <c r="GE87" s="4901"/>
    </row>
    <row r="88" spans="3:187" ht="13.5" customHeight="1" outlineLevel="2">
      <c r="C88" s="4781"/>
      <c r="D88" s="773" t="s">
        <v>1080</v>
      </c>
      <c r="E88" s="722"/>
      <c r="F88" s="723"/>
      <c r="G88" s="723"/>
      <c r="H88" s="778">
        <v>0</v>
      </c>
      <c r="I88" s="725">
        <f t="shared" ref="I88:BT88" si="94">H88-H89</f>
        <v>0</v>
      </c>
      <c r="J88" s="725">
        <f t="shared" si="94"/>
        <v>0</v>
      </c>
      <c r="K88" s="726">
        <f t="shared" si="94"/>
        <v>0</v>
      </c>
      <c r="L88" s="724">
        <f t="shared" si="94"/>
        <v>0</v>
      </c>
      <c r="M88" s="725">
        <f t="shared" si="94"/>
        <v>0</v>
      </c>
      <c r="N88" s="725">
        <f t="shared" si="94"/>
        <v>0</v>
      </c>
      <c r="O88" s="726">
        <f t="shared" si="94"/>
        <v>0</v>
      </c>
      <c r="P88" s="724">
        <f t="shared" si="94"/>
        <v>0</v>
      </c>
      <c r="Q88" s="725">
        <f t="shared" si="94"/>
        <v>0</v>
      </c>
      <c r="R88" s="725">
        <f t="shared" si="94"/>
        <v>0</v>
      </c>
      <c r="S88" s="726">
        <f t="shared" si="94"/>
        <v>0</v>
      </c>
      <c r="T88" s="724">
        <f t="shared" si="94"/>
        <v>0</v>
      </c>
      <c r="U88" s="725">
        <f t="shared" si="94"/>
        <v>0</v>
      </c>
      <c r="V88" s="725">
        <f t="shared" si="94"/>
        <v>0</v>
      </c>
      <c r="W88" s="726">
        <f t="shared" si="94"/>
        <v>0</v>
      </c>
      <c r="X88" s="724">
        <f t="shared" si="94"/>
        <v>0</v>
      </c>
      <c r="Y88" s="725">
        <f t="shared" si="94"/>
        <v>0</v>
      </c>
      <c r="Z88" s="725">
        <f t="shared" si="94"/>
        <v>0</v>
      </c>
      <c r="AA88" s="726">
        <f t="shared" si="94"/>
        <v>0</v>
      </c>
      <c r="AB88" s="724">
        <f t="shared" si="94"/>
        <v>0</v>
      </c>
      <c r="AC88" s="725">
        <f t="shared" si="94"/>
        <v>0</v>
      </c>
      <c r="AD88" s="725">
        <f t="shared" si="94"/>
        <v>0</v>
      </c>
      <c r="AE88" s="726">
        <f t="shared" si="94"/>
        <v>0</v>
      </c>
      <c r="AF88" s="724">
        <f t="shared" si="94"/>
        <v>0</v>
      </c>
      <c r="AG88" s="725">
        <f t="shared" si="94"/>
        <v>0</v>
      </c>
      <c r="AH88" s="725">
        <f t="shared" si="94"/>
        <v>0</v>
      </c>
      <c r="AI88" s="726">
        <f t="shared" si="94"/>
        <v>0</v>
      </c>
      <c r="AJ88" s="724">
        <f t="shared" si="94"/>
        <v>0</v>
      </c>
      <c r="AK88" s="725">
        <f t="shared" si="94"/>
        <v>0</v>
      </c>
      <c r="AL88" s="725">
        <f t="shared" si="94"/>
        <v>0</v>
      </c>
      <c r="AM88" s="726">
        <f t="shared" si="94"/>
        <v>0</v>
      </c>
      <c r="AN88" s="724">
        <f t="shared" si="94"/>
        <v>0</v>
      </c>
      <c r="AO88" s="725">
        <f t="shared" si="94"/>
        <v>0</v>
      </c>
      <c r="AP88" s="725">
        <f t="shared" si="94"/>
        <v>0</v>
      </c>
      <c r="AQ88" s="726">
        <f t="shared" si="94"/>
        <v>0</v>
      </c>
      <c r="AR88" s="724">
        <f t="shared" si="94"/>
        <v>0</v>
      </c>
      <c r="AS88" s="725">
        <f t="shared" si="94"/>
        <v>0</v>
      </c>
      <c r="AT88" s="725">
        <f t="shared" si="94"/>
        <v>0</v>
      </c>
      <c r="AU88" s="726">
        <f t="shared" si="94"/>
        <v>0</v>
      </c>
      <c r="AV88" s="724">
        <f t="shared" si="94"/>
        <v>0</v>
      </c>
      <c r="AW88" s="725">
        <f t="shared" si="94"/>
        <v>0</v>
      </c>
      <c r="AX88" s="725">
        <f t="shared" si="94"/>
        <v>0</v>
      </c>
      <c r="AY88" s="726">
        <f t="shared" si="94"/>
        <v>0</v>
      </c>
      <c r="AZ88" s="724">
        <f t="shared" si="94"/>
        <v>0</v>
      </c>
      <c r="BA88" s="725">
        <f t="shared" si="94"/>
        <v>0</v>
      </c>
      <c r="BB88" s="725">
        <f t="shared" si="94"/>
        <v>0</v>
      </c>
      <c r="BC88" s="726">
        <f t="shared" si="94"/>
        <v>0</v>
      </c>
      <c r="BD88" s="724">
        <f t="shared" si="94"/>
        <v>0</v>
      </c>
      <c r="BE88" s="725">
        <f t="shared" si="94"/>
        <v>0</v>
      </c>
      <c r="BF88" s="725">
        <f t="shared" si="94"/>
        <v>0</v>
      </c>
      <c r="BG88" s="726">
        <f t="shared" si="94"/>
        <v>0</v>
      </c>
      <c r="BH88" s="724">
        <f t="shared" si="94"/>
        <v>0</v>
      </c>
      <c r="BI88" s="725">
        <f t="shared" si="94"/>
        <v>0</v>
      </c>
      <c r="BJ88" s="725">
        <f t="shared" si="94"/>
        <v>0</v>
      </c>
      <c r="BK88" s="726">
        <f t="shared" si="94"/>
        <v>0</v>
      </c>
      <c r="BL88" s="724">
        <f t="shared" si="94"/>
        <v>0</v>
      </c>
      <c r="BM88" s="725">
        <f t="shared" si="94"/>
        <v>0</v>
      </c>
      <c r="BN88" s="725">
        <f t="shared" si="94"/>
        <v>0</v>
      </c>
      <c r="BO88" s="726">
        <f t="shared" si="94"/>
        <v>0</v>
      </c>
      <c r="BP88" s="724">
        <f t="shared" si="94"/>
        <v>0</v>
      </c>
      <c r="BQ88" s="725">
        <f t="shared" si="94"/>
        <v>0</v>
      </c>
      <c r="BR88" s="725">
        <f t="shared" si="94"/>
        <v>0</v>
      </c>
      <c r="BS88" s="726">
        <f t="shared" si="94"/>
        <v>0</v>
      </c>
      <c r="BT88" s="724">
        <f t="shared" si="94"/>
        <v>0</v>
      </c>
      <c r="BU88" s="725">
        <f t="shared" ref="BU88:EF88" si="95">BT88-BT89</f>
        <v>0</v>
      </c>
      <c r="BV88" s="725">
        <f t="shared" si="95"/>
        <v>0</v>
      </c>
      <c r="BW88" s="726">
        <f t="shared" si="95"/>
        <v>0</v>
      </c>
      <c r="BX88" s="724">
        <f t="shared" si="95"/>
        <v>0</v>
      </c>
      <c r="BY88" s="725">
        <f t="shared" si="95"/>
        <v>0</v>
      </c>
      <c r="BZ88" s="725">
        <f t="shared" si="95"/>
        <v>0</v>
      </c>
      <c r="CA88" s="726">
        <f t="shared" si="95"/>
        <v>0</v>
      </c>
      <c r="CB88" s="724">
        <f t="shared" si="95"/>
        <v>0</v>
      </c>
      <c r="CC88" s="725">
        <f t="shared" si="95"/>
        <v>0</v>
      </c>
      <c r="CD88" s="725">
        <f t="shared" si="95"/>
        <v>0</v>
      </c>
      <c r="CE88" s="726">
        <f t="shared" si="95"/>
        <v>0</v>
      </c>
      <c r="CF88" s="724">
        <f t="shared" si="95"/>
        <v>0</v>
      </c>
      <c r="CG88" s="725">
        <f t="shared" si="95"/>
        <v>0</v>
      </c>
      <c r="CH88" s="725">
        <f t="shared" si="95"/>
        <v>0</v>
      </c>
      <c r="CI88" s="726">
        <f t="shared" si="95"/>
        <v>0</v>
      </c>
      <c r="CJ88" s="724">
        <f t="shared" si="95"/>
        <v>0</v>
      </c>
      <c r="CK88" s="725">
        <f t="shared" si="95"/>
        <v>0</v>
      </c>
      <c r="CL88" s="725">
        <f t="shared" si="95"/>
        <v>0</v>
      </c>
      <c r="CM88" s="726">
        <f t="shared" si="95"/>
        <v>0</v>
      </c>
      <c r="CN88" s="724">
        <f t="shared" si="95"/>
        <v>0</v>
      </c>
      <c r="CO88" s="725">
        <f t="shared" si="95"/>
        <v>0</v>
      </c>
      <c r="CP88" s="725">
        <f t="shared" si="95"/>
        <v>0</v>
      </c>
      <c r="CQ88" s="726">
        <f t="shared" si="95"/>
        <v>0</v>
      </c>
      <c r="CR88" s="724">
        <f t="shared" si="95"/>
        <v>0</v>
      </c>
      <c r="CS88" s="725">
        <f t="shared" si="95"/>
        <v>0</v>
      </c>
      <c r="CT88" s="725">
        <f t="shared" si="95"/>
        <v>0</v>
      </c>
      <c r="CU88" s="726">
        <f t="shared" si="95"/>
        <v>0</v>
      </c>
      <c r="CV88" s="724">
        <f t="shared" si="95"/>
        <v>0</v>
      </c>
      <c r="CW88" s="725">
        <f t="shared" si="95"/>
        <v>0</v>
      </c>
      <c r="CX88" s="725">
        <f t="shared" si="95"/>
        <v>0</v>
      </c>
      <c r="CY88" s="726">
        <f t="shared" si="95"/>
        <v>0</v>
      </c>
      <c r="CZ88" s="724">
        <f t="shared" si="95"/>
        <v>0</v>
      </c>
      <c r="DA88" s="725">
        <f t="shared" si="95"/>
        <v>0</v>
      </c>
      <c r="DB88" s="725">
        <f t="shared" si="95"/>
        <v>0</v>
      </c>
      <c r="DC88" s="726">
        <f t="shared" si="95"/>
        <v>0</v>
      </c>
      <c r="DD88" s="724">
        <f t="shared" si="95"/>
        <v>0</v>
      </c>
      <c r="DE88" s="725">
        <f t="shared" si="95"/>
        <v>0</v>
      </c>
      <c r="DF88" s="725">
        <f t="shared" si="95"/>
        <v>0</v>
      </c>
      <c r="DG88" s="726">
        <f t="shared" si="95"/>
        <v>0</v>
      </c>
      <c r="DH88" s="724">
        <f t="shared" si="95"/>
        <v>0</v>
      </c>
      <c r="DI88" s="725">
        <f t="shared" si="95"/>
        <v>0</v>
      </c>
      <c r="DJ88" s="725">
        <f t="shared" si="95"/>
        <v>0</v>
      </c>
      <c r="DK88" s="726">
        <f t="shared" si="95"/>
        <v>0</v>
      </c>
      <c r="DL88" s="724">
        <f t="shared" si="95"/>
        <v>0</v>
      </c>
      <c r="DM88" s="725">
        <f t="shared" si="95"/>
        <v>0</v>
      </c>
      <c r="DN88" s="725">
        <f t="shared" si="95"/>
        <v>0</v>
      </c>
      <c r="DO88" s="726">
        <f t="shared" si="95"/>
        <v>0</v>
      </c>
      <c r="DP88" s="724">
        <f t="shared" si="95"/>
        <v>0</v>
      </c>
      <c r="DQ88" s="725">
        <f t="shared" si="95"/>
        <v>0</v>
      </c>
      <c r="DR88" s="725">
        <f t="shared" si="95"/>
        <v>0</v>
      </c>
      <c r="DS88" s="726">
        <f t="shared" si="95"/>
        <v>0</v>
      </c>
      <c r="DT88" s="724">
        <f t="shared" si="95"/>
        <v>0</v>
      </c>
      <c r="DU88" s="725">
        <f t="shared" si="95"/>
        <v>0</v>
      </c>
      <c r="DV88" s="725">
        <f t="shared" si="95"/>
        <v>0</v>
      </c>
      <c r="DW88" s="726">
        <f t="shared" si="95"/>
        <v>0</v>
      </c>
      <c r="DX88" s="724">
        <f t="shared" si="95"/>
        <v>0</v>
      </c>
      <c r="DY88" s="725">
        <f t="shared" si="95"/>
        <v>0</v>
      </c>
      <c r="DZ88" s="725">
        <f t="shared" si="95"/>
        <v>0</v>
      </c>
      <c r="EA88" s="726">
        <f t="shared" si="95"/>
        <v>0</v>
      </c>
      <c r="EB88" s="724">
        <f t="shared" si="95"/>
        <v>0</v>
      </c>
      <c r="EC88" s="725">
        <f t="shared" si="95"/>
        <v>0</v>
      </c>
      <c r="ED88" s="725">
        <f t="shared" si="95"/>
        <v>0</v>
      </c>
      <c r="EE88" s="726">
        <f t="shared" si="95"/>
        <v>0</v>
      </c>
      <c r="EF88" s="724">
        <f t="shared" si="95"/>
        <v>0</v>
      </c>
      <c r="EG88" s="725">
        <f t="shared" ref="EG88:GE88" si="96">EF88-EF89</f>
        <v>0</v>
      </c>
      <c r="EH88" s="725">
        <f t="shared" si="96"/>
        <v>0</v>
      </c>
      <c r="EI88" s="726">
        <f t="shared" si="96"/>
        <v>0</v>
      </c>
      <c r="EJ88" s="724">
        <f t="shared" si="96"/>
        <v>0</v>
      </c>
      <c r="EK88" s="725">
        <f t="shared" si="96"/>
        <v>0</v>
      </c>
      <c r="EL88" s="725">
        <f t="shared" si="96"/>
        <v>0</v>
      </c>
      <c r="EM88" s="726">
        <f t="shared" si="96"/>
        <v>0</v>
      </c>
      <c r="EN88" s="724">
        <f t="shared" si="96"/>
        <v>0</v>
      </c>
      <c r="EO88" s="725">
        <f t="shared" si="96"/>
        <v>0</v>
      </c>
      <c r="EP88" s="725">
        <f t="shared" si="96"/>
        <v>0</v>
      </c>
      <c r="EQ88" s="726">
        <f t="shared" si="96"/>
        <v>0</v>
      </c>
      <c r="ER88" s="724">
        <f t="shared" si="96"/>
        <v>0</v>
      </c>
      <c r="ES88" s="725">
        <f t="shared" si="96"/>
        <v>0</v>
      </c>
      <c r="ET88" s="725">
        <f t="shared" si="96"/>
        <v>0</v>
      </c>
      <c r="EU88" s="726">
        <f t="shared" si="96"/>
        <v>0</v>
      </c>
      <c r="EV88" s="724">
        <f t="shared" si="96"/>
        <v>0</v>
      </c>
      <c r="EW88" s="725">
        <f t="shared" si="96"/>
        <v>0</v>
      </c>
      <c r="EX88" s="725">
        <f t="shared" si="96"/>
        <v>0</v>
      </c>
      <c r="EY88" s="726">
        <f t="shared" si="96"/>
        <v>0</v>
      </c>
      <c r="EZ88" s="724">
        <f t="shared" si="96"/>
        <v>0</v>
      </c>
      <c r="FA88" s="725">
        <f t="shared" si="96"/>
        <v>0</v>
      </c>
      <c r="FB88" s="725">
        <f t="shared" si="96"/>
        <v>0</v>
      </c>
      <c r="FC88" s="726">
        <f t="shared" si="96"/>
        <v>0</v>
      </c>
      <c r="FD88" s="724">
        <f t="shared" si="96"/>
        <v>0</v>
      </c>
      <c r="FE88" s="725">
        <f t="shared" si="96"/>
        <v>0</v>
      </c>
      <c r="FF88" s="725">
        <f t="shared" si="96"/>
        <v>0</v>
      </c>
      <c r="FG88" s="726">
        <f t="shared" si="96"/>
        <v>0</v>
      </c>
      <c r="FH88" s="724">
        <f t="shared" si="96"/>
        <v>0</v>
      </c>
      <c r="FI88" s="725">
        <f t="shared" si="96"/>
        <v>0</v>
      </c>
      <c r="FJ88" s="725">
        <f t="shared" si="96"/>
        <v>0</v>
      </c>
      <c r="FK88" s="726">
        <f t="shared" si="96"/>
        <v>0</v>
      </c>
      <c r="FL88" s="724">
        <f t="shared" si="96"/>
        <v>0</v>
      </c>
      <c r="FM88" s="725">
        <f t="shared" si="96"/>
        <v>0</v>
      </c>
      <c r="FN88" s="725">
        <f t="shared" si="96"/>
        <v>0</v>
      </c>
      <c r="FO88" s="726">
        <f t="shared" si="96"/>
        <v>0</v>
      </c>
      <c r="FP88" s="724">
        <f t="shared" si="96"/>
        <v>0</v>
      </c>
      <c r="FQ88" s="725">
        <f t="shared" si="96"/>
        <v>0</v>
      </c>
      <c r="FR88" s="725">
        <f t="shared" si="96"/>
        <v>0</v>
      </c>
      <c r="FS88" s="726">
        <f t="shared" si="96"/>
        <v>0</v>
      </c>
      <c r="FT88" s="724">
        <f t="shared" si="96"/>
        <v>0</v>
      </c>
      <c r="FU88" s="725">
        <f t="shared" si="96"/>
        <v>0</v>
      </c>
      <c r="FV88" s="725">
        <f t="shared" si="96"/>
        <v>0</v>
      </c>
      <c r="FW88" s="726">
        <f t="shared" si="96"/>
        <v>0</v>
      </c>
      <c r="FX88" s="724">
        <f t="shared" si="96"/>
        <v>0</v>
      </c>
      <c r="FY88" s="725">
        <f t="shared" si="96"/>
        <v>0</v>
      </c>
      <c r="FZ88" s="725">
        <f t="shared" si="96"/>
        <v>0</v>
      </c>
      <c r="GA88" s="726">
        <f t="shared" si="96"/>
        <v>0</v>
      </c>
      <c r="GB88" s="724">
        <f t="shared" si="96"/>
        <v>0</v>
      </c>
      <c r="GC88" s="725">
        <f t="shared" si="96"/>
        <v>0</v>
      </c>
      <c r="GD88" s="725">
        <f t="shared" si="96"/>
        <v>0</v>
      </c>
      <c r="GE88" s="4902">
        <f t="shared" si="96"/>
        <v>0</v>
      </c>
    </row>
    <row r="89" spans="3:187" ht="13.5" customHeight="1" outlineLevel="2">
      <c r="C89" s="4781"/>
      <c r="D89" s="326" t="s">
        <v>1082</v>
      </c>
      <c r="E89" s="1868"/>
      <c r="F89" s="743">
        <f>SUM(H89:FO89)</f>
        <v>0</v>
      </c>
      <c r="G89" s="743"/>
      <c r="H89" s="746">
        <v>0</v>
      </c>
      <c r="I89" s="744">
        <v>0</v>
      </c>
      <c r="J89" s="744">
        <f>J88</f>
        <v>0</v>
      </c>
      <c r="K89" s="745">
        <v>0</v>
      </c>
      <c r="L89" s="746">
        <v>0</v>
      </c>
      <c r="M89" s="744">
        <v>0</v>
      </c>
      <c r="N89" s="744">
        <v>0</v>
      </c>
      <c r="O89" s="745"/>
      <c r="P89" s="746"/>
      <c r="Q89" s="744"/>
      <c r="R89" s="744"/>
      <c r="S89" s="745"/>
      <c r="T89" s="746"/>
      <c r="U89" s="744"/>
      <c r="V89" s="744"/>
      <c r="W89" s="745"/>
      <c r="X89" s="746"/>
      <c r="Y89" s="744"/>
      <c r="Z89" s="744"/>
      <c r="AA89" s="745"/>
      <c r="AB89" s="746"/>
      <c r="AC89" s="744"/>
      <c r="AD89" s="744"/>
      <c r="AE89" s="745"/>
      <c r="AF89" s="746"/>
      <c r="AG89" s="744"/>
      <c r="AH89" s="744"/>
      <c r="AI89" s="745"/>
      <c r="AJ89" s="746"/>
      <c r="AK89" s="744"/>
      <c r="AL89" s="744"/>
      <c r="AM89" s="745"/>
      <c r="AN89" s="746"/>
      <c r="AO89" s="744"/>
      <c r="AP89" s="744"/>
      <c r="AQ89" s="745"/>
      <c r="AR89" s="746"/>
      <c r="AS89" s="744"/>
      <c r="AT89" s="744"/>
      <c r="AU89" s="745"/>
      <c r="AV89" s="746"/>
      <c r="AW89" s="744"/>
      <c r="AX89" s="744"/>
      <c r="AY89" s="745"/>
      <c r="AZ89" s="746"/>
      <c r="BA89" s="744"/>
      <c r="BB89" s="744"/>
      <c r="BC89" s="745"/>
      <c r="BD89" s="746"/>
      <c r="BE89" s="744"/>
      <c r="BF89" s="744"/>
      <c r="BG89" s="745"/>
      <c r="BH89" s="746"/>
      <c r="BI89" s="744"/>
      <c r="BJ89" s="744"/>
      <c r="BK89" s="745"/>
      <c r="BL89" s="746"/>
      <c r="BM89" s="744"/>
      <c r="BN89" s="744"/>
      <c r="BO89" s="745"/>
      <c r="BP89" s="746"/>
      <c r="BQ89" s="744"/>
      <c r="BR89" s="744"/>
      <c r="BS89" s="745"/>
      <c r="BT89" s="746"/>
      <c r="BU89" s="744"/>
      <c r="BV89" s="744"/>
      <c r="BW89" s="745"/>
      <c r="BX89" s="746"/>
      <c r="BY89" s="744"/>
      <c r="BZ89" s="744"/>
      <c r="CA89" s="745"/>
      <c r="CB89" s="746"/>
      <c r="CC89" s="744"/>
      <c r="CD89" s="744"/>
      <c r="CE89" s="745"/>
      <c r="CF89" s="746"/>
      <c r="CG89" s="744"/>
      <c r="CH89" s="744"/>
      <c r="CI89" s="745"/>
      <c r="CJ89" s="746"/>
      <c r="CK89" s="744"/>
      <c r="CL89" s="744"/>
      <c r="CM89" s="745"/>
      <c r="CN89" s="746"/>
      <c r="CO89" s="744"/>
      <c r="CP89" s="744"/>
      <c r="CQ89" s="745"/>
      <c r="CR89" s="746"/>
      <c r="CS89" s="744"/>
      <c r="CT89" s="744"/>
      <c r="CU89" s="745"/>
      <c r="CV89" s="746"/>
      <c r="CW89" s="744"/>
      <c r="CX89" s="744"/>
      <c r="CY89" s="745"/>
      <c r="CZ89" s="746"/>
      <c r="DA89" s="744"/>
      <c r="DB89" s="744"/>
      <c r="DC89" s="745"/>
      <c r="DD89" s="746"/>
      <c r="DE89" s="744"/>
      <c r="DF89" s="744"/>
      <c r="DG89" s="745"/>
      <c r="DH89" s="746"/>
      <c r="DI89" s="744"/>
      <c r="DJ89" s="744"/>
      <c r="DK89" s="745"/>
      <c r="DL89" s="746"/>
      <c r="DM89" s="744"/>
      <c r="DN89" s="744"/>
      <c r="DO89" s="745"/>
      <c r="DP89" s="746"/>
      <c r="DQ89" s="744"/>
      <c r="DR89" s="744"/>
      <c r="DS89" s="745"/>
      <c r="DT89" s="746"/>
      <c r="DU89" s="744"/>
      <c r="DV89" s="744"/>
      <c r="DW89" s="745"/>
      <c r="DX89" s="746"/>
      <c r="DY89" s="744"/>
      <c r="DZ89" s="744"/>
      <c r="EA89" s="745"/>
      <c r="EB89" s="746"/>
      <c r="EC89" s="744"/>
      <c r="ED89" s="744"/>
      <c r="EE89" s="745"/>
      <c r="EF89" s="746"/>
      <c r="EG89" s="744"/>
      <c r="EH89" s="744"/>
      <c r="EI89" s="745"/>
      <c r="EJ89" s="746"/>
      <c r="EK89" s="744"/>
      <c r="EL89" s="744"/>
      <c r="EM89" s="745"/>
      <c r="EN89" s="746"/>
      <c r="EO89" s="744"/>
      <c r="EP89" s="744"/>
      <c r="EQ89" s="745"/>
      <c r="ER89" s="746"/>
      <c r="ES89" s="744"/>
      <c r="ET89" s="744"/>
      <c r="EU89" s="745"/>
      <c r="EV89" s="746"/>
      <c r="EW89" s="744"/>
      <c r="EX89" s="744"/>
      <c r="EY89" s="745"/>
      <c r="EZ89" s="746"/>
      <c r="FA89" s="744"/>
      <c r="FB89" s="744"/>
      <c r="FC89" s="745"/>
      <c r="FD89" s="746"/>
      <c r="FE89" s="744"/>
      <c r="FF89" s="744"/>
      <c r="FG89" s="745"/>
      <c r="FH89" s="746"/>
      <c r="FI89" s="744"/>
      <c r="FJ89" s="744"/>
      <c r="FK89" s="745"/>
      <c r="FL89" s="746"/>
      <c r="FM89" s="744"/>
      <c r="FN89" s="744"/>
      <c r="FO89" s="745"/>
      <c r="FP89" s="746"/>
      <c r="FQ89" s="744"/>
      <c r="FR89" s="744"/>
      <c r="FS89" s="745"/>
      <c r="FT89" s="746"/>
      <c r="FU89" s="744"/>
      <c r="FV89" s="744"/>
      <c r="FW89" s="745"/>
      <c r="FX89" s="746"/>
      <c r="FY89" s="744"/>
      <c r="FZ89" s="744"/>
      <c r="GA89" s="745"/>
      <c r="GB89" s="746"/>
      <c r="GC89" s="744"/>
      <c r="GD89" s="744"/>
      <c r="GE89" s="4906"/>
    </row>
    <row r="90" spans="3:187" ht="13.5" customHeight="1" outlineLevel="2">
      <c r="C90" s="4904"/>
      <c r="D90" s="4929" t="s">
        <v>1083</v>
      </c>
      <c r="E90" s="747"/>
      <c r="F90" s="748">
        <f>SUM(H90:FO90)</f>
        <v>0</v>
      </c>
      <c r="G90" s="748"/>
      <c r="H90" s="749">
        <f>H88*Sensitivity!$L$18*H$44/12</f>
        <v>0</v>
      </c>
      <c r="I90" s="750">
        <f>I88*Sensitivity!$L$18*I$44/12</f>
        <v>0</v>
      </c>
      <c r="J90" s="750">
        <f>J88*Sensitivity!$L$18*J$44/12</f>
        <v>0</v>
      </c>
      <c r="K90" s="751">
        <f>K88*Sensitivity!$L$18*K$44/12</f>
        <v>0</v>
      </c>
      <c r="L90" s="749">
        <f>L88*Sensitivity!$L$18*L$44/12</f>
        <v>0</v>
      </c>
      <c r="M90" s="750">
        <f>M88*Sensitivity!$L$18*M$44/12</f>
        <v>0</v>
      </c>
      <c r="N90" s="750">
        <f>N88*Sensitivity!$L$18*N$44/12</f>
        <v>0</v>
      </c>
      <c r="O90" s="751">
        <f>O88*Sensitivity!$L$18*O$44/12</f>
        <v>0</v>
      </c>
      <c r="P90" s="749">
        <f>P88*Sensitivity!$L$18*P$44/12</f>
        <v>0</v>
      </c>
      <c r="Q90" s="750">
        <f>Q88*Sensitivity!$L$18*Q$44/12</f>
        <v>0</v>
      </c>
      <c r="R90" s="750">
        <f>R88*Sensitivity!$L$18*R$44/12</f>
        <v>0</v>
      </c>
      <c r="S90" s="751">
        <f>S88*Sensitivity!$L$18*S$44/12</f>
        <v>0</v>
      </c>
      <c r="T90" s="749">
        <f>T88*Sensitivity!$L$18*T$44/12</f>
        <v>0</v>
      </c>
      <c r="U90" s="750">
        <f>U88*Sensitivity!$L$18*U$44/12</f>
        <v>0</v>
      </c>
      <c r="V90" s="750">
        <f>V88*Sensitivity!$L$18*V$44/12</f>
        <v>0</v>
      </c>
      <c r="W90" s="751">
        <f>W88*Sensitivity!$L$18*W$44/12</f>
        <v>0</v>
      </c>
      <c r="X90" s="749">
        <f>X88*Sensitivity!$L$18*X$44/12</f>
        <v>0</v>
      </c>
      <c r="Y90" s="750">
        <f>Y88*Sensitivity!$L$18*Y$44/12</f>
        <v>0</v>
      </c>
      <c r="Z90" s="750">
        <f>Z88*Sensitivity!$L$18*Z$44/12</f>
        <v>0</v>
      </c>
      <c r="AA90" s="751">
        <f>AA88*Sensitivity!$L$18*AA$44/12</f>
        <v>0</v>
      </c>
      <c r="AB90" s="749">
        <f>AB88*Sensitivity!$L$18*AB$44/12</f>
        <v>0</v>
      </c>
      <c r="AC90" s="750">
        <f>AC88*Sensitivity!$L$18*AC$44/12</f>
        <v>0</v>
      </c>
      <c r="AD90" s="750">
        <f>AD88*Sensitivity!$L$18*AD$44/12</f>
        <v>0</v>
      </c>
      <c r="AE90" s="751">
        <f>AE88*Sensitivity!$L$18*AE$44/12</f>
        <v>0</v>
      </c>
      <c r="AF90" s="749">
        <f>AF88*Sensitivity!$L$18*AF$44/12</f>
        <v>0</v>
      </c>
      <c r="AG90" s="750">
        <f>AG88*Sensitivity!$L$18*AG$44/12</f>
        <v>0</v>
      </c>
      <c r="AH90" s="750">
        <f>AH88*Sensitivity!$L$18*AH$44/12</f>
        <v>0</v>
      </c>
      <c r="AI90" s="751">
        <f>AI88*Sensitivity!$L$18*AI$44/12</f>
        <v>0</v>
      </c>
      <c r="AJ90" s="749">
        <f>AJ88*Sensitivity!$L$18*AJ$44/12</f>
        <v>0</v>
      </c>
      <c r="AK90" s="750">
        <f>AK88*Sensitivity!$L$18*AK$44/12</f>
        <v>0</v>
      </c>
      <c r="AL90" s="750">
        <f>AL88*Sensitivity!$L$18*AL$44/12</f>
        <v>0</v>
      </c>
      <c r="AM90" s="751">
        <f>AM88*Sensitivity!$L$18*AM$44/12</f>
        <v>0</v>
      </c>
      <c r="AN90" s="749">
        <f>AN88*Sensitivity!$L$18*AN$44/12</f>
        <v>0</v>
      </c>
      <c r="AO90" s="750">
        <f>AO88*Sensitivity!$L$18*AO$44/12</f>
        <v>0</v>
      </c>
      <c r="AP90" s="750">
        <f>AP88*Sensitivity!$L$18*AP$44/12</f>
        <v>0</v>
      </c>
      <c r="AQ90" s="751">
        <f>AQ88*Sensitivity!$L$18*AQ$44/12</f>
        <v>0</v>
      </c>
      <c r="AR90" s="749">
        <f>AR88*Sensitivity!$L$18*AR$44/12</f>
        <v>0</v>
      </c>
      <c r="AS90" s="750">
        <f>AS88*Sensitivity!$L$18*AS$44/12</f>
        <v>0</v>
      </c>
      <c r="AT90" s="750">
        <f>AT88*Sensitivity!$L$18*AT$44/12</f>
        <v>0</v>
      </c>
      <c r="AU90" s="751">
        <f>AU88*Sensitivity!$L$18*AU$44/12</f>
        <v>0</v>
      </c>
      <c r="AV90" s="749">
        <f>AV88*Sensitivity!$L$18*AV$44/12</f>
        <v>0</v>
      </c>
      <c r="AW90" s="750">
        <f>AW88*Sensitivity!$L$18*AW$44/12</f>
        <v>0</v>
      </c>
      <c r="AX90" s="750">
        <f>AX88*Sensitivity!$L$18*AX$44/12</f>
        <v>0</v>
      </c>
      <c r="AY90" s="751">
        <f>AY88*Sensitivity!$L$18*AY$44/12</f>
        <v>0</v>
      </c>
      <c r="AZ90" s="749">
        <f>AZ88*Sensitivity!$L$18*AZ$44/12</f>
        <v>0</v>
      </c>
      <c r="BA90" s="750">
        <f>BA88*Sensitivity!$L$18*BA$44/12</f>
        <v>0</v>
      </c>
      <c r="BB90" s="750">
        <f>BB88*Sensitivity!$L$18*BB$44/12</f>
        <v>0</v>
      </c>
      <c r="BC90" s="751">
        <f>BC88*Sensitivity!$L$18*BC$44/12</f>
        <v>0</v>
      </c>
      <c r="BD90" s="749">
        <f>BD88*Sensitivity!$L$18*BD$44/12</f>
        <v>0</v>
      </c>
      <c r="BE90" s="750">
        <f>BE88*Sensitivity!$L$18*BE$44/12</f>
        <v>0</v>
      </c>
      <c r="BF90" s="750">
        <f>BF88*Sensitivity!$L$18*BF$44/12</f>
        <v>0</v>
      </c>
      <c r="BG90" s="751">
        <f>BG88*Sensitivity!$L$18*BG$44/12</f>
        <v>0</v>
      </c>
      <c r="BH90" s="749">
        <f>BH88*Sensitivity!$L$18*BH$44/12</f>
        <v>0</v>
      </c>
      <c r="BI90" s="750">
        <f>BI88*Sensitivity!$L$18*BI$44/12</f>
        <v>0</v>
      </c>
      <c r="BJ90" s="750">
        <f>BJ88*Sensitivity!$L$18*BJ$44/12</f>
        <v>0</v>
      </c>
      <c r="BK90" s="751">
        <f>BK88*Sensitivity!$L$18*BK$44/12</f>
        <v>0</v>
      </c>
      <c r="BL90" s="749">
        <f>BL88*Sensitivity!$L$18*BL$44/12</f>
        <v>0</v>
      </c>
      <c r="BM90" s="750">
        <f>BM88*Sensitivity!$L$18*BM$44/12</f>
        <v>0</v>
      </c>
      <c r="BN90" s="750">
        <f>BN88*Sensitivity!$L$18*BN$44/12</f>
        <v>0</v>
      </c>
      <c r="BO90" s="751">
        <f>BO88*Sensitivity!$L$18*BO$44/12</f>
        <v>0</v>
      </c>
      <c r="BP90" s="749">
        <f>BP88*Sensitivity!$L$18*BP$44/12</f>
        <v>0</v>
      </c>
      <c r="BQ90" s="750">
        <f>BQ88*Sensitivity!$L$18*BQ$44/12</f>
        <v>0</v>
      </c>
      <c r="BR90" s="750">
        <f>BR88*Sensitivity!$L$18*BR$44/12</f>
        <v>0</v>
      </c>
      <c r="BS90" s="751">
        <f>BS88*Sensitivity!$L$18*BS$44/12</f>
        <v>0</v>
      </c>
      <c r="BT90" s="749">
        <f>BT88*Sensitivity!$L$18*BT$44/12</f>
        <v>0</v>
      </c>
      <c r="BU90" s="750">
        <f>BU88*Sensitivity!$L$18*BU$44/12</f>
        <v>0</v>
      </c>
      <c r="BV90" s="750">
        <f>BV88*Sensitivity!$L$18*BV$44/12</f>
        <v>0</v>
      </c>
      <c r="BW90" s="751">
        <f>BW88*Sensitivity!$L$18*BW$44/12</f>
        <v>0</v>
      </c>
      <c r="BX90" s="749">
        <f>BX88*Sensitivity!$L$18*BX$44/12</f>
        <v>0</v>
      </c>
      <c r="BY90" s="750">
        <f>BY88*Sensitivity!$L$18*BY$44/12</f>
        <v>0</v>
      </c>
      <c r="BZ90" s="750">
        <f>BZ88*Sensitivity!$L$18*BZ$44/12</f>
        <v>0</v>
      </c>
      <c r="CA90" s="751">
        <f>CA88*Sensitivity!$L$18*CA$44/12</f>
        <v>0</v>
      </c>
      <c r="CB90" s="749">
        <f>CB88*Sensitivity!$L$18*CB$44/12</f>
        <v>0</v>
      </c>
      <c r="CC90" s="750">
        <f>CC88*Sensitivity!$L$18*CC$44/12</f>
        <v>0</v>
      </c>
      <c r="CD90" s="750">
        <f>CD88*Sensitivity!$L$18*CD$44/12</f>
        <v>0</v>
      </c>
      <c r="CE90" s="751">
        <f>CE88*Sensitivity!$L$18*CE$44/12</f>
        <v>0</v>
      </c>
      <c r="CF90" s="749">
        <f>CF88*Sensitivity!$L$18*CF$44/12</f>
        <v>0</v>
      </c>
      <c r="CG90" s="750">
        <f>CG88*Sensitivity!$L$18*CG$44/12</f>
        <v>0</v>
      </c>
      <c r="CH90" s="750">
        <f>CH88*Sensitivity!$L$18*CH$44/12</f>
        <v>0</v>
      </c>
      <c r="CI90" s="751">
        <f>CI88*Sensitivity!$L$18*CI$44/12</f>
        <v>0</v>
      </c>
      <c r="CJ90" s="749">
        <f>CJ88*Sensitivity!$L$18*CJ$44/12</f>
        <v>0</v>
      </c>
      <c r="CK90" s="750">
        <f>CK88*Sensitivity!$L$18*CK$44/12</f>
        <v>0</v>
      </c>
      <c r="CL90" s="750">
        <f>CL88*Sensitivity!$L$18*CL$44/12</f>
        <v>0</v>
      </c>
      <c r="CM90" s="751">
        <f>CM88*Sensitivity!$L$18*CM$44/12</f>
        <v>0</v>
      </c>
      <c r="CN90" s="749">
        <f>CN88*Sensitivity!$L$18*CN$44/12</f>
        <v>0</v>
      </c>
      <c r="CO90" s="750">
        <f>CO88*Sensitivity!$L$18*CO$44/12</f>
        <v>0</v>
      </c>
      <c r="CP90" s="750">
        <f>CP88*Sensitivity!$L$18*CP$44/12</f>
        <v>0</v>
      </c>
      <c r="CQ90" s="751">
        <f>CQ88*Sensitivity!$L$18*CQ$44/12</f>
        <v>0</v>
      </c>
      <c r="CR90" s="749">
        <f>CR88*Sensitivity!$L$18*CR$44/12</f>
        <v>0</v>
      </c>
      <c r="CS90" s="750">
        <f>CS88*Sensitivity!$L$18*CS$44/12</f>
        <v>0</v>
      </c>
      <c r="CT90" s="750">
        <f>CT88*Sensitivity!$L$18*CT$44/12</f>
        <v>0</v>
      </c>
      <c r="CU90" s="751">
        <f>CU88*Sensitivity!$L$18*CU$44/12</f>
        <v>0</v>
      </c>
      <c r="CV90" s="749">
        <f>CV88*Sensitivity!$L$18*CV$44/12</f>
        <v>0</v>
      </c>
      <c r="CW90" s="750">
        <f>CW88*Sensitivity!$L$18*CW$44/12</f>
        <v>0</v>
      </c>
      <c r="CX90" s="750">
        <f>CX88*Sensitivity!$L$18*CX$44/12</f>
        <v>0</v>
      </c>
      <c r="CY90" s="751">
        <f>CY88*Sensitivity!$L$18*CY$44/12</f>
        <v>0</v>
      </c>
      <c r="CZ90" s="749">
        <f>CZ88*Sensitivity!$L$18*CZ$44/12</f>
        <v>0</v>
      </c>
      <c r="DA90" s="750">
        <f>DA88*Sensitivity!$L$18*DA$44/12</f>
        <v>0</v>
      </c>
      <c r="DB90" s="750">
        <f>DB88*Sensitivity!$L$18*DB$44/12</f>
        <v>0</v>
      </c>
      <c r="DC90" s="751">
        <f>DC88*Sensitivity!$L$18*DC$44/12</f>
        <v>0</v>
      </c>
      <c r="DD90" s="749">
        <f>DD88*Sensitivity!$L$18*DD$44/12</f>
        <v>0</v>
      </c>
      <c r="DE90" s="750">
        <f>DE88*Sensitivity!$L$18*DE$44/12</f>
        <v>0</v>
      </c>
      <c r="DF90" s="750">
        <f>DF88*Sensitivity!$L$18*DF$44/12</f>
        <v>0</v>
      </c>
      <c r="DG90" s="751">
        <f>DG88*Sensitivity!$L$18*DG$44/12</f>
        <v>0</v>
      </c>
      <c r="DH90" s="749">
        <f>DH88*Sensitivity!$L$18*DH$44/12</f>
        <v>0</v>
      </c>
      <c r="DI90" s="750">
        <f>DI88*Sensitivity!$L$18*DI$44/12</f>
        <v>0</v>
      </c>
      <c r="DJ90" s="750">
        <f>DJ88*Sensitivity!$L$18*DJ$44/12</f>
        <v>0</v>
      </c>
      <c r="DK90" s="751">
        <f>DK88*Sensitivity!$L$18*DK$44/12</f>
        <v>0</v>
      </c>
      <c r="DL90" s="749">
        <f>DL88*Sensitivity!$L$18*DL$44/12</f>
        <v>0</v>
      </c>
      <c r="DM90" s="750">
        <f>DM88*Sensitivity!$L$18*DM$44/12</f>
        <v>0</v>
      </c>
      <c r="DN90" s="750">
        <f>DN88*Sensitivity!$L$18*DN$44/12</f>
        <v>0</v>
      </c>
      <c r="DO90" s="751">
        <f>DO88*Sensitivity!$L$18*DO$44/12</f>
        <v>0</v>
      </c>
      <c r="DP90" s="749">
        <f>DP88*Sensitivity!$L$18*DP$44/12</f>
        <v>0</v>
      </c>
      <c r="DQ90" s="750">
        <f>DQ88*Sensitivity!$L$18*DQ$44/12</f>
        <v>0</v>
      </c>
      <c r="DR90" s="750">
        <f>DR88*Sensitivity!$L$18*DR$44/12</f>
        <v>0</v>
      </c>
      <c r="DS90" s="751">
        <f>DS88*Sensitivity!$L$18*DS$44/12</f>
        <v>0</v>
      </c>
      <c r="DT90" s="749">
        <f>DT88*Sensitivity!$L$18*DT$44/12</f>
        <v>0</v>
      </c>
      <c r="DU90" s="750">
        <f>DU88*Sensitivity!$L$18*DU$44/12</f>
        <v>0</v>
      </c>
      <c r="DV90" s="750">
        <f>DV88*Sensitivity!$L$18*DV$44/12</f>
        <v>0</v>
      </c>
      <c r="DW90" s="751">
        <f>DW88*Sensitivity!$L$18*DW$44/12</f>
        <v>0</v>
      </c>
      <c r="DX90" s="749">
        <f>DX88*Sensitivity!$L$18*DX$44/12</f>
        <v>0</v>
      </c>
      <c r="DY90" s="750">
        <f>DY88*Sensitivity!$L$18*DY$44/12</f>
        <v>0</v>
      </c>
      <c r="DZ90" s="750">
        <f>DZ88*Sensitivity!$L$18*DZ$44/12</f>
        <v>0</v>
      </c>
      <c r="EA90" s="751">
        <f>EA88*Sensitivity!$L$18*EA$44/12</f>
        <v>0</v>
      </c>
      <c r="EB90" s="749">
        <f>EB88*Sensitivity!$L$18*EB$44/12</f>
        <v>0</v>
      </c>
      <c r="EC90" s="750">
        <f>EC88*Sensitivity!$L$18*EC$44/12</f>
        <v>0</v>
      </c>
      <c r="ED90" s="750">
        <f>ED88*Sensitivity!$L$18*ED$44/12</f>
        <v>0</v>
      </c>
      <c r="EE90" s="751">
        <f>EE88*Sensitivity!$L$18*EE$44/12</f>
        <v>0</v>
      </c>
      <c r="EF90" s="749">
        <f>EF88*Sensitivity!$L$18*EF$44/12</f>
        <v>0</v>
      </c>
      <c r="EG90" s="750">
        <f>EG88*Sensitivity!$L$18*EG$44/12</f>
        <v>0</v>
      </c>
      <c r="EH90" s="750">
        <f>EH88*Sensitivity!$L$18*EH$44/12</f>
        <v>0</v>
      </c>
      <c r="EI90" s="751">
        <f>EI88*Sensitivity!$L$18*EI$44/12</f>
        <v>0</v>
      </c>
      <c r="EJ90" s="749">
        <f>EJ88*Sensitivity!$L$18*EJ$44/12</f>
        <v>0</v>
      </c>
      <c r="EK90" s="750">
        <f>EK88*Sensitivity!$L$18*EK$44/12</f>
        <v>0</v>
      </c>
      <c r="EL90" s="750">
        <f>EL88*Sensitivity!$L$18*EL$44/12</f>
        <v>0</v>
      </c>
      <c r="EM90" s="751">
        <f>EM88*Sensitivity!$L$18*EM$44/12</f>
        <v>0</v>
      </c>
      <c r="EN90" s="749">
        <f>EN88*Sensitivity!$L$18*EN$44/12</f>
        <v>0</v>
      </c>
      <c r="EO90" s="750">
        <f>EO88*Sensitivity!$L$18*EO$44/12</f>
        <v>0</v>
      </c>
      <c r="EP90" s="750">
        <f>EP88*Sensitivity!$L$18*EP$44/12</f>
        <v>0</v>
      </c>
      <c r="EQ90" s="751">
        <f>EQ88*Sensitivity!$L$18*EQ$44/12</f>
        <v>0</v>
      </c>
      <c r="ER90" s="749">
        <f>ER88*Sensitivity!$L$18*ER$44/12</f>
        <v>0</v>
      </c>
      <c r="ES90" s="750">
        <f>ES88*Sensitivity!$L$18*ES$44/12</f>
        <v>0</v>
      </c>
      <c r="ET90" s="750">
        <f>ET88*Sensitivity!$L$18*ET$44/12</f>
        <v>0</v>
      </c>
      <c r="EU90" s="751">
        <f>EU88*Sensitivity!$L$18*EU$44/12</f>
        <v>0</v>
      </c>
      <c r="EV90" s="749">
        <f>EV88*Sensitivity!$L$18*EV$44/12</f>
        <v>0</v>
      </c>
      <c r="EW90" s="750">
        <f>EW88*Sensitivity!$L$18*EW$44/12</f>
        <v>0</v>
      </c>
      <c r="EX90" s="750">
        <f>EX88*Sensitivity!$L$18*EX$44/12</f>
        <v>0</v>
      </c>
      <c r="EY90" s="751">
        <f>EY88*Sensitivity!$L$18*EY$44/12</f>
        <v>0</v>
      </c>
      <c r="EZ90" s="749">
        <f>EZ88*Sensitivity!$L$18*EZ$44/12</f>
        <v>0</v>
      </c>
      <c r="FA90" s="750">
        <f>FA88*Sensitivity!$L$18*FA$44/12</f>
        <v>0</v>
      </c>
      <c r="FB90" s="750">
        <f>FB88*Sensitivity!$L$18*FB$44/12</f>
        <v>0</v>
      </c>
      <c r="FC90" s="751">
        <f>FC88*Sensitivity!$L$18*FC$44/12</f>
        <v>0</v>
      </c>
      <c r="FD90" s="749">
        <f>FD88*Sensitivity!$L$18*FD$44/12</f>
        <v>0</v>
      </c>
      <c r="FE90" s="750">
        <f>FE88*Sensitivity!$L$18*FE$44/12</f>
        <v>0</v>
      </c>
      <c r="FF90" s="750">
        <f>FF88*Sensitivity!$L$18*FF$44/12</f>
        <v>0</v>
      </c>
      <c r="FG90" s="751">
        <f>FG88*Sensitivity!$L$18*FG$44/12</f>
        <v>0</v>
      </c>
      <c r="FH90" s="749">
        <f>FH88*Sensitivity!$L$18*FH$44/12</f>
        <v>0</v>
      </c>
      <c r="FI90" s="750">
        <f>FI88*Sensitivity!$L$18*FI$44/12</f>
        <v>0</v>
      </c>
      <c r="FJ90" s="750">
        <f>FJ88*Sensitivity!$L$18*FJ$44/12</f>
        <v>0</v>
      </c>
      <c r="FK90" s="751">
        <f>FK88*Sensitivity!$L$18*FK$44/12</f>
        <v>0</v>
      </c>
      <c r="FL90" s="749">
        <f>FL88*Sensitivity!$L$18*FL$44/12</f>
        <v>0</v>
      </c>
      <c r="FM90" s="750">
        <f>FM88*Sensitivity!$L$18*FM$44/12</f>
        <v>0</v>
      </c>
      <c r="FN90" s="750">
        <f>FN88*Sensitivity!$L$18*FN$44/12</f>
        <v>0</v>
      </c>
      <c r="FO90" s="751">
        <f>FO88*Sensitivity!$L$18*FO$44/12</f>
        <v>0</v>
      </c>
      <c r="FP90" s="749">
        <f>FP88*Sensitivity!$L$18*FP$44/12</f>
        <v>0</v>
      </c>
      <c r="FQ90" s="750">
        <f>FQ88*Sensitivity!$L$18*FQ$44/12</f>
        <v>0</v>
      </c>
      <c r="FR90" s="750">
        <f>FR88*Sensitivity!$L$18*FR$44/12</f>
        <v>0</v>
      </c>
      <c r="FS90" s="751">
        <f>FS88*Sensitivity!$L$18*FS$44/12</f>
        <v>0</v>
      </c>
      <c r="FT90" s="749">
        <f>FT88*Sensitivity!$L$18*FT$44/12</f>
        <v>0</v>
      </c>
      <c r="FU90" s="750">
        <f>FU88*Sensitivity!$L$18*FU$44/12</f>
        <v>0</v>
      </c>
      <c r="FV90" s="750">
        <f>FV88*Sensitivity!$L$18*FV$44/12</f>
        <v>0</v>
      </c>
      <c r="FW90" s="751">
        <f>FW88*Sensitivity!$L$18*FW$44/12</f>
        <v>0</v>
      </c>
      <c r="FX90" s="749">
        <f>FX88*Sensitivity!$L$18*FX$44/12</f>
        <v>0</v>
      </c>
      <c r="FY90" s="750">
        <f>FY88*Sensitivity!$L$18*FY$44/12</f>
        <v>0</v>
      </c>
      <c r="FZ90" s="750">
        <f>FZ88*Sensitivity!$L$18*FZ$44/12</f>
        <v>0</v>
      </c>
      <c r="GA90" s="751">
        <f>GA88*Sensitivity!$L$18*GA$44/12</f>
        <v>0</v>
      </c>
      <c r="GB90" s="749">
        <f>GB88*Sensitivity!$L$18*GB$44/12</f>
        <v>0</v>
      </c>
      <c r="GC90" s="750">
        <f>GC88*Sensitivity!$L$18*GC$44/12</f>
        <v>0</v>
      </c>
      <c r="GD90" s="750">
        <f>GD88*Sensitivity!$L$18*GD$44/12</f>
        <v>0</v>
      </c>
      <c r="GE90" s="4905">
        <f>GE88*Sensitivity!$L$18*GE$44/12</f>
        <v>0</v>
      </c>
    </row>
    <row r="91" spans="3:187" ht="13.5" customHeight="1" outlineLevel="2">
      <c r="C91" s="4900" t="str">
        <f>C32</f>
        <v>운전자금(기존)</v>
      </c>
      <c r="D91" s="4744"/>
      <c r="E91" s="315"/>
      <c r="F91" s="315"/>
      <c r="G91" s="315"/>
      <c r="H91" s="720"/>
      <c r="I91" s="315"/>
      <c r="J91" s="315"/>
      <c r="K91" s="721"/>
      <c r="L91" s="720"/>
      <c r="M91" s="315"/>
      <c r="N91" s="315"/>
      <c r="O91" s="721"/>
      <c r="P91" s="720"/>
      <c r="Q91" s="315"/>
      <c r="R91" s="315"/>
      <c r="S91" s="721"/>
      <c r="T91" s="720"/>
      <c r="U91" s="315"/>
      <c r="V91" s="315"/>
      <c r="W91" s="721"/>
      <c r="X91" s="720"/>
      <c r="Y91" s="315"/>
      <c r="Z91" s="315"/>
      <c r="AA91" s="721"/>
      <c r="AB91" s="720"/>
      <c r="AC91" s="315"/>
      <c r="AD91" s="315"/>
      <c r="AE91" s="721"/>
      <c r="AF91" s="720"/>
      <c r="AG91" s="315"/>
      <c r="AH91" s="315"/>
      <c r="AI91" s="721"/>
      <c r="AJ91" s="720"/>
      <c r="AK91" s="315"/>
      <c r="AL91" s="315"/>
      <c r="AM91" s="721"/>
      <c r="AN91" s="720"/>
      <c r="AO91" s="315"/>
      <c r="AP91" s="315"/>
      <c r="AQ91" s="721"/>
      <c r="AR91" s="720"/>
      <c r="AS91" s="315"/>
      <c r="AT91" s="315"/>
      <c r="AU91" s="721"/>
      <c r="AV91" s="720"/>
      <c r="AW91" s="315"/>
      <c r="AX91" s="315"/>
      <c r="AY91" s="721"/>
      <c r="AZ91" s="720"/>
      <c r="BA91" s="315"/>
      <c r="BB91" s="315"/>
      <c r="BC91" s="721"/>
      <c r="BD91" s="720"/>
      <c r="BE91" s="315"/>
      <c r="BF91" s="315"/>
      <c r="BG91" s="721"/>
      <c r="BH91" s="720"/>
      <c r="BI91" s="315"/>
      <c r="BJ91" s="315"/>
      <c r="BK91" s="721"/>
      <c r="BL91" s="720"/>
      <c r="BM91" s="315"/>
      <c r="BN91" s="315"/>
      <c r="BO91" s="721"/>
      <c r="BP91" s="720"/>
      <c r="BQ91" s="315"/>
      <c r="BR91" s="315"/>
      <c r="BS91" s="721"/>
      <c r="BT91" s="720"/>
      <c r="BU91" s="315"/>
      <c r="BV91" s="315"/>
      <c r="BW91" s="721"/>
      <c r="BX91" s="720"/>
      <c r="BY91" s="315"/>
      <c r="BZ91" s="315"/>
      <c r="CA91" s="721"/>
      <c r="CB91" s="720"/>
      <c r="CC91" s="315"/>
      <c r="CD91" s="315"/>
      <c r="CE91" s="721"/>
      <c r="CF91" s="720"/>
      <c r="CG91" s="315"/>
      <c r="CH91" s="315"/>
      <c r="CI91" s="721"/>
      <c r="CJ91" s="720"/>
      <c r="CK91" s="315"/>
      <c r="CL91" s="315"/>
      <c r="CM91" s="721"/>
      <c r="CN91" s="720"/>
      <c r="CO91" s="315"/>
      <c r="CP91" s="315"/>
      <c r="CQ91" s="721"/>
      <c r="CR91" s="720"/>
      <c r="CS91" s="315"/>
      <c r="CT91" s="315"/>
      <c r="CU91" s="721"/>
      <c r="CV91" s="720"/>
      <c r="CW91" s="315"/>
      <c r="CX91" s="315"/>
      <c r="CY91" s="721"/>
      <c r="CZ91" s="720"/>
      <c r="DA91" s="315"/>
      <c r="DB91" s="315"/>
      <c r="DC91" s="721"/>
      <c r="DD91" s="720"/>
      <c r="DE91" s="315"/>
      <c r="DF91" s="315"/>
      <c r="DG91" s="721"/>
      <c r="DH91" s="720"/>
      <c r="DI91" s="315"/>
      <c r="DJ91" s="315"/>
      <c r="DK91" s="721"/>
      <c r="DL91" s="720"/>
      <c r="DM91" s="315"/>
      <c r="DN91" s="315"/>
      <c r="DO91" s="721"/>
      <c r="DP91" s="720"/>
      <c r="DQ91" s="315"/>
      <c r="DR91" s="315"/>
      <c r="DS91" s="721"/>
      <c r="DT91" s="720"/>
      <c r="DU91" s="315"/>
      <c r="DV91" s="315"/>
      <c r="DW91" s="721"/>
      <c r="DX91" s="720"/>
      <c r="DY91" s="315"/>
      <c r="DZ91" s="315"/>
      <c r="EA91" s="721"/>
      <c r="EB91" s="720"/>
      <c r="EC91" s="315"/>
      <c r="ED91" s="315"/>
      <c r="EE91" s="721"/>
      <c r="EF91" s="720"/>
      <c r="EG91" s="315"/>
      <c r="EH91" s="315"/>
      <c r="EI91" s="721"/>
      <c r="EJ91" s="720"/>
      <c r="EK91" s="315"/>
      <c r="EL91" s="315"/>
      <c r="EM91" s="721"/>
      <c r="EN91" s="720"/>
      <c r="EO91" s="315"/>
      <c r="EP91" s="315"/>
      <c r="EQ91" s="721"/>
      <c r="ER91" s="720"/>
      <c r="ES91" s="315"/>
      <c r="ET91" s="315"/>
      <c r="EU91" s="721"/>
      <c r="EV91" s="720"/>
      <c r="EW91" s="315"/>
      <c r="EX91" s="315"/>
      <c r="EY91" s="721"/>
      <c r="EZ91" s="720"/>
      <c r="FA91" s="315"/>
      <c r="FB91" s="315"/>
      <c r="FC91" s="721"/>
      <c r="FD91" s="720"/>
      <c r="FE91" s="315"/>
      <c r="FF91" s="315"/>
      <c r="FG91" s="721"/>
      <c r="FH91" s="720"/>
      <c r="FI91" s="315"/>
      <c r="FJ91" s="315"/>
      <c r="FK91" s="721"/>
      <c r="FL91" s="720"/>
      <c r="FM91" s="315"/>
      <c r="FN91" s="315"/>
      <c r="FO91" s="721"/>
      <c r="FP91" s="720"/>
      <c r="FQ91" s="315"/>
      <c r="FR91" s="315"/>
      <c r="FS91" s="721"/>
      <c r="FT91" s="720"/>
      <c r="FU91" s="315"/>
      <c r="FV91" s="315"/>
      <c r="FW91" s="721"/>
      <c r="FX91" s="720"/>
      <c r="FY91" s="315"/>
      <c r="FZ91" s="315"/>
      <c r="GA91" s="721"/>
      <c r="GB91" s="720"/>
      <c r="GC91" s="315"/>
      <c r="GD91" s="315"/>
      <c r="GE91" s="4901"/>
    </row>
    <row r="92" spans="3:187" ht="13.5" customHeight="1" outlineLevel="2">
      <c r="C92" s="4781"/>
      <c r="D92" s="773" t="s">
        <v>1080</v>
      </c>
      <c r="E92" s="722"/>
      <c r="F92" s="723"/>
      <c r="G92" s="723"/>
      <c r="H92" s="778">
        <v>0</v>
      </c>
      <c r="I92" s="725">
        <f t="shared" ref="I92:N92" si="97">H92-H93</f>
        <v>0</v>
      </c>
      <c r="J92" s="725">
        <f t="shared" si="97"/>
        <v>0</v>
      </c>
      <c r="K92" s="726">
        <f t="shared" si="97"/>
        <v>0</v>
      </c>
      <c r="L92" s="724">
        <f t="shared" si="97"/>
        <v>0</v>
      </c>
      <c r="M92" s="725">
        <f t="shared" si="97"/>
        <v>0</v>
      </c>
      <c r="N92" s="725">
        <f t="shared" si="97"/>
        <v>0</v>
      </c>
      <c r="O92" s="726">
        <v>0</v>
      </c>
      <c r="P92" s="724">
        <f t="shared" ref="P92:CA92" si="98">O92-O93</f>
        <v>0</v>
      </c>
      <c r="Q92" s="725">
        <f t="shared" si="98"/>
        <v>0</v>
      </c>
      <c r="R92" s="725">
        <f t="shared" si="98"/>
        <v>0</v>
      </c>
      <c r="S92" s="726">
        <f t="shared" si="98"/>
        <v>0</v>
      </c>
      <c r="T92" s="724">
        <f t="shared" si="98"/>
        <v>0</v>
      </c>
      <c r="U92" s="725">
        <f t="shared" si="98"/>
        <v>0</v>
      </c>
      <c r="V92" s="725">
        <f t="shared" si="98"/>
        <v>0</v>
      </c>
      <c r="W92" s="726">
        <f t="shared" si="98"/>
        <v>0</v>
      </c>
      <c r="X92" s="724">
        <f t="shared" si="98"/>
        <v>0</v>
      </c>
      <c r="Y92" s="725">
        <f t="shared" si="98"/>
        <v>0</v>
      </c>
      <c r="Z92" s="725">
        <f t="shared" si="98"/>
        <v>0</v>
      </c>
      <c r="AA92" s="726">
        <f t="shared" si="98"/>
        <v>0</v>
      </c>
      <c r="AB92" s="724">
        <f t="shared" si="98"/>
        <v>0</v>
      </c>
      <c r="AC92" s="725">
        <f t="shared" si="98"/>
        <v>0</v>
      </c>
      <c r="AD92" s="725">
        <f t="shared" si="98"/>
        <v>0</v>
      </c>
      <c r="AE92" s="726">
        <f t="shared" si="98"/>
        <v>0</v>
      </c>
      <c r="AF92" s="724">
        <f t="shared" si="98"/>
        <v>0</v>
      </c>
      <c r="AG92" s="725">
        <f t="shared" si="98"/>
        <v>0</v>
      </c>
      <c r="AH92" s="725">
        <f t="shared" si="98"/>
        <v>0</v>
      </c>
      <c r="AI92" s="726">
        <f t="shared" si="98"/>
        <v>0</v>
      </c>
      <c r="AJ92" s="724">
        <f t="shared" si="98"/>
        <v>0</v>
      </c>
      <c r="AK92" s="725">
        <f t="shared" si="98"/>
        <v>0</v>
      </c>
      <c r="AL92" s="725">
        <f t="shared" si="98"/>
        <v>0</v>
      </c>
      <c r="AM92" s="726">
        <f t="shared" si="98"/>
        <v>0</v>
      </c>
      <c r="AN92" s="724">
        <f t="shared" si="98"/>
        <v>0</v>
      </c>
      <c r="AO92" s="725">
        <f t="shared" si="98"/>
        <v>0</v>
      </c>
      <c r="AP92" s="725">
        <f t="shared" si="98"/>
        <v>0</v>
      </c>
      <c r="AQ92" s="726">
        <f t="shared" si="98"/>
        <v>0</v>
      </c>
      <c r="AR92" s="724">
        <f t="shared" si="98"/>
        <v>0</v>
      </c>
      <c r="AS92" s="725">
        <f t="shared" si="98"/>
        <v>0</v>
      </c>
      <c r="AT92" s="725">
        <f t="shared" si="98"/>
        <v>0</v>
      </c>
      <c r="AU92" s="726">
        <f t="shared" si="98"/>
        <v>0</v>
      </c>
      <c r="AV92" s="724">
        <f t="shared" si="98"/>
        <v>0</v>
      </c>
      <c r="AW92" s="725">
        <f t="shared" si="98"/>
        <v>0</v>
      </c>
      <c r="AX92" s="725">
        <f t="shared" si="98"/>
        <v>0</v>
      </c>
      <c r="AY92" s="726">
        <f t="shared" si="98"/>
        <v>0</v>
      </c>
      <c r="AZ92" s="724">
        <f t="shared" si="98"/>
        <v>0</v>
      </c>
      <c r="BA92" s="725">
        <f t="shared" si="98"/>
        <v>0</v>
      </c>
      <c r="BB92" s="725">
        <f t="shared" si="98"/>
        <v>0</v>
      </c>
      <c r="BC92" s="726">
        <f t="shared" si="98"/>
        <v>0</v>
      </c>
      <c r="BD92" s="724">
        <f t="shared" si="98"/>
        <v>0</v>
      </c>
      <c r="BE92" s="725">
        <f t="shared" si="98"/>
        <v>0</v>
      </c>
      <c r="BF92" s="725">
        <f t="shared" si="98"/>
        <v>0</v>
      </c>
      <c r="BG92" s="726">
        <f t="shared" si="98"/>
        <v>0</v>
      </c>
      <c r="BH92" s="724">
        <f t="shared" si="98"/>
        <v>0</v>
      </c>
      <c r="BI92" s="725">
        <f t="shared" si="98"/>
        <v>0</v>
      </c>
      <c r="BJ92" s="725">
        <f t="shared" si="98"/>
        <v>0</v>
      </c>
      <c r="BK92" s="726">
        <f t="shared" si="98"/>
        <v>0</v>
      </c>
      <c r="BL92" s="724">
        <f t="shared" si="98"/>
        <v>0</v>
      </c>
      <c r="BM92" s="725">
        <f t="shared" si="98"/>
        <v>0</v>
      </c>
      <c r="BN92" s="725">
        <f t="shared" si="98"/>
        <v>0</v>
      </c>
      <c r="BO92" s="726">
        <f t="shared" si="98"/>
        <v>0</v>
      </c>
      <c r="BP92" s="724">
        <f t="shared" si="98"/>
        <v>0</v>
      </c>
      <c r="BQ92" s="725">
        <f t="shared" si="98"/>
        <v>0</v>
      </c>
      <c r="BR92" s="725">
        <f t="shared" si="98"/>
        <v>0</v>
      </c>
      <c r="BS92" s="726">
        <f t="shared" si="98"/>
        <v>0</v>
      </c>
      <c r="BT92" s="724">
        <f t="shared" si="98"/>
        <v>0</v>
      </c>
      <c r="BU92" s="725">
        <f t="shared" si="98"/>
        <v>0</v>
      </c>
      <c r="BV92" s="725">
        <f t="shared" si="98"/>
        <v>0</v>
      </c>
      <c r="BW92" s="726">
        <f t="shared" si="98"/>
        <v>0</v>
      </c>
      <c r="BX92" s="724">
        <f t="shared" si="98"/>
        <v>0</v>
      </c>
      <c r="BY92" s="725">
        <f t="shared" si="98"/>
        <v>0</v>
      </c>
      <c r="BZ92" s="725">
        <f t="shared" si="98"/>
        <v>0</v>
      </c>
      <c r="CA92" s="726">
        <f t="shared" si="98"/>
        <v>0</v>
      </c>
      <c r="CB92" s="724">
        <f t="shared" ref="CB92:EM92" si="99">CA92-CA93</f>
        <v>0</v>
      </c>
      <c r="CC92" s="725">
        <f t="shared" si="99"/>
        <v>0</v>
      </c>
      <c r="CD92" s="725">
        <f t="shared" si="99"/>
        <v>0</v>
      </c>
      <c r="CE92" s="726">
        <f t="shared" si="99"/>
        <v>0</v>
      </c>
      <c r="CF92" s="724">
        <f t="shared" si="99"/>
        <v>0</v>
      </c>
      <c r="CG92" s="725">
        <f t="shared" si="99"/>
        <v>0</v>
      </c>
      <c r="CH92" s="725">
        <f t="shared" si="99"/>
        <v>0</v>
      </c>
      <c r="CI92" s="726">
        <f t="shared" si="99"/>
        <v>0</v>
      </c>
      <c r="CJ92" s="724">
        <f t="shared" si="99"/>
        <v>0</v>
      </c>
      <c r="CK92" s="725">
        <f t="shared" si="99"/>
        <v>0</v>
      </c>
      <c r="CL92" s="725">
        <f t="shared" si="99"/>
        <v>0</v>
      </c>
      <c r="CM92" s="726">
        <f t="shared" si="99"/>
        <v>0</v>
      </c>
      <c r="CN92" s="724">
        <f t="shared" si="99"/>
        <v>0</v>
      </c>
      <c r="CO92" s="725">
        <f t="shared" si="99"/>
        <v>0</v>
      </c>
      <c r="CP92" s="725">
        <f t="shared" si="99"/>
        <v>0</v>
      </c>
      <c r="CQ92" s="726">
        <f t="shared" si="99"/>
        <v>0</v>
      </c>
      <c r="CR92" s="724">
        <f t="shared" si="99"/>
        <v>0</v>
      </c>
      <c r="CS92" s="725">
        <f t="shared" si="99"/>
        <v>0</v>
      </c>
      <c r="CT92" s="725">
        <f t="shared" si="99"/>
        <v>0</v>
      </c>
      <c r="CU92" s="726">
        <f t="shared" si="99"/>
        <v>0</v>
      </c>
      <c r="CV92" s="724">
        <f t="shared" si="99"/>
        <v>0</v>
      </c>
      <c r="CW92" s="725">
        <f t="shared" si="99"/>
        <v>0</v>
      </c>
      <c r="CX92" s="725">
        <f t="shared" si="99"/>
        <v>0</v>
      </c>
      <c r="CY92" s="726">
        <f t="shared" si="99"/>
        <v>0</v>
      </c>
      <c r="CZ92" s="724">
        <f t="shared" si="99"/>
        <v>0</v>
      </c>
      <c r="DA92" s="725">
        <f t="shared" si="99"/>
        <v>0</v>
      </c>
      <c r="DB92" s="725">
        <f t="shared" si="99"/>
        <v>0</v>
      </c>
      <c r="DC92" s="726">
        <f t="shared" si="99"/>
        <v>0</v>
      </c>
      <c r="DD92" s="724">
        <f t="shared" si="99"/>
        <v>0</v>
      </c>
      <c r="DE92" s="725">
        <f t="shared" si="99"/>
        <v>0</v>
      </c>
      <c r="DF92" s="725">
        <f t="shared" si="99"/>
        <v>0</v>
      </c>
      <c r="DG92" s="726">
        <f t="shared" si="99"/>
        <v>0</v>
      </c>
      <c r="DH92" s="724">
        <f t="shared" si="99"/>
        <v>0</v>
      </c>
      <c r="DI92" s="725">
        <f t="shared" si="99"/>
        <v>0</v>
      </c>
      <c r="DJ92" s="725">
        <f t="shared" si="99"/>
        <v>0</v>
      </c>
      <c r="DK92" s="726">
        <f t="shared" si="99"/>
        <v>0</v>
      </c>
      <c r="DL92" s="724">
        <f t="shared" si="99"/>
        <v>0</v>
      </c>
      <c r="DM92" s="725">
        <f t="shared" si="99"/>
        <v>0</v>
      </c>
      <c r="DN92" s="725">
        <f t="shared" si="99"/>
        <v>0</v>
      </c>
      <c r="DO92" s="726">
        <f t="shared" si="99"/>
        <v>0</v>
      </c>
      <c r="DP92" s="724">
        <f t="shared" si="99"/>
        <v>0</v>
      </c>
      <c r="DQ92" s="725">
        <f t="shared" si="99"/>
        <v>0</v>
      </c>
      <c r="DR92" s="725">
        <f t="shared" si="99"/>
        <v>0</v>
      </c>
      <c r="DS92" s="726">
        <f t="shared" si="99"/>
        <v>0</v>
      </c>
      <c r="DT92" s="724">
        <f t="shared" si="99"/>
        <v>0</v>
      </c>
      <c r="DU92" s="725">
        <f t="shared" si="99"/>
        <v>0</v>
      </c>
      <c r="DV92" s="725">
        <f t="shared" si="99"/>
        <v>0</v>
      </c>
      <c r="DW92" s="726">
        <f t="shared" si="99"/>
        <v>0</v>
      </c>
      <c r="DX92" s="724">
        <f t="shared" si="99"/>
        <v>0</v>
      </c>
      <c r="DY92" s="725">
        <f t="shared" si="99"/>
        <v>0</v>
      </c>
      <c r="DZ92" s="725">
        <f t="shared" si="99"/>
        <v>0</v>
      </c>
      <c r="EA92" s="726">
        <f t="shared" si="99"/>
        <v>0</v>
      </c>
      <c r="EB92" s="724">
        <f t="shared" si="99"/>
        <v>0</v>
      </c>
      <c r="EC92" s="725">
        <f t="shared" si="99"/>
        <v>0</v>
      </c>
      <c r="ED92" s="725">
        <f t="shared" si="99"/>
        <v>0</v>
      </c>
      <c r="EE92" s="726">
        <f t="shared" si="99"/>
        <v>0</v>
      </c>
      <c r="EF92" s="724">
        <f t="shared" si="99"/>
        <v>0</v>
      </c>
      <c r="EG92" s="725">
        <f t="shared" si="99"/>
        <v>0</v>
      </c>
      <c r="EH92" s="725">
        <f t="shared" si="99"/>
        <v>0</v>
      </c>
      <c r="EI92" s="726">
        <f t="shared" si="99"/>
        <v>0</v>
      </c>
      <c r="EJ92" s="724">
        <f t="shared" si="99"/>
        <v>0</v>
      </c>
      <c r="EK92" s="725">
        <f t="shared" si="99"/>
        <v>0</v>
      </c>
      <c r="EL92" s="725">
        <f t="shared" si="99"/>
        <v>0</v>
      </c>
      <c r="EM92" s="726">
        <f t="shared" si="99"/>
        <v>0</v>
      </c>
      <c r="EN92" s="724">
        <f t="shared" ref="EN92:GE92" si="100">EM92-EM93</f>
        <v>0</v>
      </c>
      <c r="EO92" s="725">
        <f t="shared" si="100"/>
        <v>0</v>
      </c>
      <c r="EP92" s="725">
        <f t="shared" si="100"/>
        <v>0</v>
      </c>
      <c r="EQ92" s="726">
        <f t="shared" si="100"/>
        <v>0</v>
      </c>
      <c r="ER92" s="724">
        <f t="shared" si="100"/>
        <v>0</v>
      </c>
      <c r="ES92" s="725">
        <f t="shared" si="100"/>
        <v>0</v>
      </c>
      <c r="ET92" s="725">
        <f t="shared" si="100"/>
        <v>0</v>
      </c>
      <c r="EU92" s="726">
        <f t="shared" si="100"/>
        <v>0</v>
      </c>
      <c r="EV92" s="724">
        <f t="shared" si="100"/>
        <v>0</v>
      </c>
      <c r="EW92" s="725">
        <f t="shared" si="100"/>
        <v>0</v>
      </c>
      <c r="EX92" s="725">
        <f t="shared" si="100"/>
        <v>0</v>
      </c>
      <c r="EY92" s="726">
        <f t="shared" si="100"/>
        <v>0</v>
      </c>
      <c r="EZ92" s="724">
        <f t="shared" si="100"/>
        <v>0</v>
      </c>
      <c r="FA92" s="725">
        <f t="shared" si="100"/>
        <v>0</v>
      </c>
      <c r="FB92" s="725">
        <f t="shared" si="100"/>
        <v>0</v>
      </c>
      <c r="FC92" s="726">
        <f t="shared" si="100"/>
        <v>0</v>
      </c>
      <c r="FD92" s="724">
        <f t="shared" si="100"/>
        <v>0</v>
      </c>
      <c r="FE92" s="725">
        <f t="shared" si="100"/>
        <v>0</v>
      </c>
      <c r="FF92" s="725">
        <f t="shared" si="100"/>
        <v>0</v>
      </c>
      <c r="FG92" s="726">
        <f t="shared" si="100"/>
        <v>0</v>
      </c>
      <c r="FH92" s="724">
        <f t="shared" si="100"/>
        <v>0</v>
      </c>
      <c r="FI92" s="725">
        <f t="shared" si="100"/>
        <v>0</v>
      </c>
      <c r="FJ92" s="725">
        <f t="shared" si="100"/>
        <v>0</v>
      </c>
      <c r="FK92" s="726">
        <f t="shared" si="100"/>
        <v>0</v>
      </c>
      <c r="FL92" s="724">
        <f t="shared" si="100"/>
        <v>0</v>
      </c>
      <c r="FM92" s="725">
        <f t="shared" si="100"/>
        <v>0</v>
      </c>
      <c r="FN92" s="725">
        <f t="shared" si="100"/>
        <v>0</v>
      </c>
      <c r="FO92" s="726">
        <f t="shared" si="100"/>
        <v>0</v>
      </c>
      <c r="FP92" s="724">
        <f t="shared" si="100"/>
        <v>0</v>
      </c>
      <c r="FQ92" s="725">
        <f t="shared" si="100"/>
        <v>0</v>
      </c>
      <c r="FR92" s="725">
        <f t="shared" si="100"/>
        <v>0</v>
      </c>
      <c r="FS92" s="726">
        <f t="shared" si="100"/>
        <v>0</v>
      </c>
      <c r="FT92" s="724">
        <f t="shared" si="100"/>
        <v>0</v>
      </c>
      <c r="FU92" s="725">
        <f t="shared" si="100"/>
        <v>0</v>
      </c>
      <c r="FV92" s="725">
        <f t="shared" si="100"/>
        <v>0</v>
      </c>
      <c r="FW92" s="726">
        <f t="shared" si="100"/>
        <v>0</v>
      </c>
      <c r="FX92" s="724">
        <f t="shared" si="100"/>
        <v>0</v>
      </c>
      <c r="FY92" s="725">
        <f t="shared" si="100"/>
        <v>0</v>
      </c>
      <c r="FZ92" s="725">
        <f t="shared" si="100"/>
        <v>0</v>
      </c>
      <c r="GA92" s="726">
        <f t="shared" si="100"/>
        <v>0</v>
      </c>
      <c r="GB92" s="724">
        <f t="shared" si="100"/>
        <v>0</v>
      </c>
      <c r="GC92" s="725">
        <f t="shared" si="100"/>
        <v>0</v>
      </c>
      <c r="GD92" s="725">
        <f t="shared" si="100"/>
        <v>0</v>
      </c>
      <c r="GE92" s="4902">
        <f t="shared" si="100"/>
        <v>0</v>
      </c>
    </row>
    <row r="93" spans="3:187" ht="13.5" customHeight="1" outlineLevel="2">
      <c r="C93" s="4781"/>
      <c r="D93" s="326" t="s">
        <v>1082</v>
      </c>
      <c r="E93" s="1869"/>
      <c r="F93" s="732">
        <f>SUM(H93:FO93)</f>
        <v>0</v>
      </c>
      <c r="G93" s="732"/>
      <c r="H93" s="783"/>
      <c r="I93" s="784"/>
      <c r="J93" s="784"/>
      <c r="K93" s="785"/>
      <c r="L93" s="783"/>
      <c r="M93" s="784"/>
      <c r="N93" s="784"/>
      <c r="O93" s="730"/>
      <c r="P93" s="728"/>
      <c r="Q93" s="729"/>
      <c r="R93" s="729"/>
      <c r="S93" s="730"/>
      <c r="T93" s="728"/>
      <c r="U93" s="729"/>
      <c r="V93" s="729"/>
      <c r="W93" s="730"/>
      <c r="X93" s="728"/>
      <c r="Y93" s="729"/>
      <c r="Z93" s="729"/>
      <c r="AA93" s="730"/>
      <c r="AB93" s="728"/>
      <c r="AC93" s="729"/>
      <c r="AD93" s="729"/>
      <c r="AE93" s="730"/>
      <c r="AF93" s="728"/>
      <c r="AG93" s="729"/>
      <c r="AH93" s="729"/>
      <c r="AI93" s="730"/>
      <c r="AJ93" s="728"/>
      <c r="AK93" s="729"/>
      <c r="AL93" s="729"/>
      <c r="AM93" s="730"/>
      <c r="AN93" s="728"/>
      <c r="AO93" s="729"/>
      <c r="AP93" s="729"/>
      <c r="AQ93" s="730"/>
      <c r="AR93" s="728"/>
      <c r="AS93" s="729"/>
      <c r="AT93" s="729"/>
      <c r="AU93" s="730"/>
      <c r="AV93" s="728"/>
      <c r="AW93" s="729"/>
      <c r="AX93" s="729"/>
      <c r="AY93" s="730"/>
      <c r="AZ93" s="728"/>
      <c r="BA93" s="729"/>
      <c r="BB93" s="729"/>
      <c r="BC93" s="730"/>
      <c r="BD93" s="728"/>
      <c r="BE93" s="729"/>
      <c r="BF93" s="729"/>
      <c r="BG93" s="730"/>
      <c r="BH93" s="728"/>
      <c r="BI93" s="729"/>
      <c r="BJ93" s="729"/>
      <c r="BK93" s="730"/>
      <c r="BL93" s="728"/>
      <c r="BM93" s="729"/>
      <c r="BN93" s="729"/>
      <c r="BO93" s="730"/>
      <c r="BP93" s="728"/>
      <c r="BQ93" s="729"/>
      <c r="BR93" s="729"/>
      <c r="BS93" s="730"/>
      <c r="BT93" s="728"/>
      <c r="BU93" s="729"/>
      <c r="BV93" s="729"/>
      <c r="BW93" s="730"/>
      <c r="BX93" s="728"/>
      <c r="BY93" s="729"/>
      <c r="BZ93" s="729"/>
      <c r="CA93" s="730"/>
      <c r="CB93" s="728"/>
      <c r="CC93" s="729"/>
      <c r="CD93" s="729"/>
      <c r="CE93" s="730"/>
      <c r="CF93" s="728"/>
      <c r="CG93" s="729"/>
      <c r="CH93" s="729"/>
      <c r="CI93" s="730"/>
      <c r="CJ93" s="728"/>
      <c r="CK93" s="729"/>
      <c r="CL93" s="729"/>
      <c r="CM93" s="730"/>
      <c r="CN93" s="728"/>
      <c r="CO93" s="729"/>
      <c r="CP93" s="729"/>
      <c r="CQ93" s="730"/>
      <c r="CR93" s="728"/>
      <c r="CS93" s="729"/>
      <c r="CT93" s="729"/>
      <c r="CU93" s="730"/>
      <c r="CV93" s="728"/>
      <c r="CW93" s="729"/>
      <c r="CX93" s="729"/>
      <c r="CY93" s="730"/>
      <c r="CZ93" s="728"/>
      <c r="DA93" s="729"/>
      <c r="DB93" s="729"/>
      <c r="DC93" s="730"/>
      <c r="DD93" s="728"/>
      <c r="DE93" s="729"/>
      <c r="DF93" s="729"/>
      <c r="DG93" s="730"/>
      <c r="DH93" s="728"/>
      <c r="DI93" s="729"/>
      <c r="DJ93" s="729"/>
      <c r="DK93" s="730"/>
      <c r="DL93" s="728"/>
      <c r="DM93" s="729"/>
      <c r="DN93" s="729"/>
      <c r="DO93" s="730"/>
      <c r="DP93" s="728"/>
      <c r="DQ93" s="729"/>
      <c r="DR93" s="729"/>
      <c r="DS93" s="730"/>
      <c r="DT93" s="728"/>
      <c r="DU93" s="729"/>
      <c r="DV93" s="729"/>
      <c r="DW93" s="730"/>
      <c r="DX93" s="728"/>
      <c r="DY93" s="729"/>
      <c r="DZ93" s="729"/>
      <c r="EA93" s="730"/>
      <c r="EB93" s="728"/>
      <c r="EC93" s="729"/>
      <c r="ED93" s="729"/>
      <c r="EE93" s="730"/>
      <c r="EF93" s="728"/>
      <c r="EG93" s="729"/>
      <c r="EH93" s="729"/>
      <c r="EI93" s="730"/>
      <c r="EJ93" s="728"/>
      <c r="EK93" s="729"/>
      <c r="EL93" s="729"/>
      <c r="EM93" s="730"/>
      <c r="EN93" s="728"/>
      <c r="EO93" s="729"/>
      <c r="EP93" s="729"/>
      <c r="EQ93" s="730"/>
      <c r="ER93" s="728"/>
      <c r="ES93" s="729"/>
      <c r="ET93" s="729"/>
      <c r="EU93" s="730"/>
      <c r="EV93" s="728"/>
      <c r="EW93" s="729"/>
      <c r="EX93" s="729"/>
      <c r="EY93" s="730"/>
      <c r="EZ93" s="728"/>
      <c r="FA93" s="729"/>
      <c r="FB93" s="729"/>
      <c r="FC93" s="730"/>
      <c r="FD93" s="728"/>
      <c r="FE93" s="729"/>
      <c r="FF93" s="729"/>
      <c r="FG93" s="730"/>
      <c r="FH93" s="728"/>
      <c r="FI93" s="729"/>
      <c r="FJ93" s="729"/>
      <c r="FK93" s="730"/>
      <c r="FL93" s="728"/>
      <c r="FM93" s="729"/>
      <c r="FN93" s="729"/>
      <c r="FO93" s="730"/>
      <c r="FP93" s="728"/>
      <c r="FQ93" s="729"/>
      <c r="FR93" s="729"/>
      <c r="FS93" s="730"/>
      <c r="FT93" s="728"/>
      <c r="FU93" s="729"/>
      <c r="FV93" s="729"/>
      <c r="FW93" s="730"/>
      <c r="FX93" s="728"/>
      <c r="FY93" s="729"/>
      <c r="FZ93" s="729"/>
      <c r="GA93" s="730"/>
      <c r="GB93" s="728"/>
      <c r="GC93" s="729"/>
      <c r="GD93" s="729"/>
      <c r="GE93" s="4907"/>
    </row>
    <row r="94" spans="3:187" ht="13.5" customHeight="1" outlineLevel="2">
      <c r="C94" s="4904"/>
      <c r="D94" s="4929" t="s">
        <v>1083</v>
      </c>
      <c r="E94" s="747"/>
      <c r="F94" s="748">
        <f>SUM(H94:FO94)</f>
        <v>0</v>
      </c>
      <c r="G94" s="748"/>
      <c r="H94" s="749">
        <f>H92*Sensitivity!$L$19*H$44/12</f>
        <v>0</v>
      </c>
      <c r="I94" s="750">
        <f>I92*Sensitivity!$L$19*I$44/12</f>
        <v>0</v>
      </c>
      <c r="J94" s="750">
        <f>J92*Sensitivity!$L$19*J$44/12</f>
        <v>0</v>
      </c>
      <c r="K94" s="751">
        <f>K92*Sensitivity!$L$19*K$44/12</f>
        <v>0</v>
      </c>
      <c r="L94" s="749">
        <f>L92*Sensitivity!$L$19*L$44/12</f>
        <v>0</v>
      </c>
      <c r="M94" s="750">
        <f>M92*Sensitivity!$L$19*M$44/12</f>
        <v>0</v>
      </c>
      <c r="N94" s="750">
        <f>N92*Sensitivity!$L$19*N$44/12</f>
        <v>0</v>
      </c>
      <c r="O94" s="751">
        <f>O92*Sensitivity!$L$19*O$44/12</f>
        <v>0</v>
      </c>
      <c r="P94" s="749">
        <f>P92*Sensitivity!$L$19*P$44/12</f>
        <v>0</v>
      </c>
      <c r="Q94" s="750">
        <f>Q92*Sensitivity!$L$19*Q$44/12</f>
        <v>0</v>
      </c>
      <c r="R94" s="750">
        <f>R92*Sensitivity!$L$19*R$44/12</f>
        <v>0</v>
      </c>
      <c r="S94" s="751">
        <f>S92*Sensitivity!$L$19*S$44/12</f>
        <v>0</v>
      </c>
      <c r="T94" s="749">
        <f>T92*Sensitivity!$L$19*T$44/12</f>
        <v>0</v>
      </c>
      <c r="U94" s="750">
        <f>U92*Sensitivity!$L$19*U$44/12</f>
        <v>0</v>
      </c>
      <c r="V94" s="750">
        <f>V92*Sensitivity!$L$19*V$44/12</f>
        <v>0</v>
      </c>
      <c r="W94" s="751">
        <f>W92*Sensitivity!$L$19*W$44/12</f>
        <v>0</v>
      </c>
      <c r="X94" s="749">
        <f>X92*Sensitivity!$L$19*X$44/12</f>
        <v>0</v>
      </c>
      <c r="Y94" s="750">
        <f>Y92*Sensitivity!$L$19*Y$44/12</f>
        <v>0</v>
      </c>
      <c r="Z94" s="750">
        <f>Z92*Sensitivity!$L$19*Z$44/12</f>
        <v>0</v>
      </c>
      <c r="AA94" s="751">
        <f>AA92*Sensitivity!$L$19*AA$44/12</f>
        <v>0</v>
      </c>
      <c r="AB94" s="749">
        <f>AB92*Sensitivity!$L$19*AB$44/12</f>
        <v>0</v>
      </c>
      <c r="AC94" s="750">
        <f>AC92*Sensitivity!$L$19*AC$44/12</f>
        <v>0</v>
      </c>
      <c r="AD94" s="750">
        <f>AD92*Sensitivity!$L$19*AD$44/12</f>
        <v>0</v>
      </c>
      <c r="AE94" s="751">
        <f>AE92*Sensitivity!$L$19*AE$44/12</f>
        <v>0</v>
      </c>
      <c r="AF94" s="749">
        <f>AF92*Sensitivity!$L$19*AF$44/12</f>
        <v>0</v>
      </c>
      <c r="AG94" s="750">
        <f>AG92*Sensitivity!$L$19*AG$44/12</f>
        <v>0</v>
      </c>
      <c r="AH94" s="750">
        <f>AH92*Sensitivity!$L$19*AH$44/12</f>
        <v>0</v>
      </c>
      <c r="AI94" s="751">
        <f>AI92*Sensitivity!$L$19*AI$44/12</f>
        <v>0</v>
      </c>
      <c r="AJ94" s="749">
        <f>AJ92*Sensitivity!$L$19*AJ$44/12</f>
        <v>0</v>
      </c>
      <c r="AK94" s="750">
        <f>AK92*Sensitivity!$L$19*AK$44/12</f>
        <v>0</v>
      </c>
      <c r="AL94" s="750">
        <f>AL92*Sensitivity!$L$19*AL$44/12</f>
        <v>0</v>
      </c>
      <c r="AM94" s="751">
        <f>AM92*Sensitivity!$L$19*AM$44/12</f>
        <v>0</v>
      </c>
      <c r="AN94" s="749">
        <f>AN92*Sensitivity!$L$19*AN$44/12</f>
        <v>0</v>
      </c>
      <c r="AO94" s="750">
        <f>AO92*Sensitivity!$L$19*AO$44/12</f>
        <v>0</v>
      </c>
      <c r="AP94" s="750">
        <f>AP92*Sensitivity!$L$19*AP$44/12</f>
        <v>0</v>
      </c>
      <c r="AQ94" s="751">
        <f>AQ92*Sensitivity!$L$19*AQ$44/12</f>
        <v>0</v>
      </c>
      <c r="AR94" s="749">
        <f>AR92*Sensitivity!$L$19*AR$44/12</f>
        <v>0</v>
      </c>
      <c r="AS94" s="750">
        <f>AS92*Sensitivity!$L$19*AS$44/12</f>
        <v>0</v>
      </c>
      <c r="AT94" s="750">
        <f>AT92*Sensitivity!$L$19*AT$44/12</f>
        <v>0</v>
      </c>
      <c r="AU94" s="751">
        <f>AU92*Sensitivity!$L$19*AU$44/12</f>
        <v>0</v>
      </c>
      <c r="AV94" s="749">
        <f>AV92*Sensitivity!$L$19*AV$44/12</f>
        <v>0</v>
      </c>
      <c r="AW94" s="750">
        <f>AW92*Sensitivity!$L$19*AW$44/12</f>
        <v>0</v>
      </c>
      <c r="AX94" s="750">
        <f>AX92*Sensitivity!$L$19*AX$44/12</f>
        <v>0</v>
      </c>
      <c r="AY94" s="751">
        <f>AY92*Sensitivity!$L$19*AY$44/12</f>
        <v>0</v>
      </c>
      <c r="AZ94" s="749">
        <f>AZ92*Sensitivity!$L$19*AZ$44/12</f>
        <v>0</v>
      </c>
      <c r="BA94" s="750">
        <f>BA92*Sensitivity!$L$19*BA$44/12</f>
        <v>0</v>
      </c>
      <c r="BB94" s="750">
        <f>BB92*Sensitivity!$L$19*BB$44/12</f>
        <v>0</v>
      </c>
      <c r="BC94" s="751">
        <f>BC92*Sensitivity!$L$19*BC$44/12</f>
        <v>0</v>
      </c>
      <c r="BD94" s="749">
        <f>BD92*Sensitivity!$L$19*BD$44/12</f>
        <v>0</v>
      </c>
      <c r="BE94" s="750">
        <f>BE92*Sensitivity!$L$19*BE$44/12</f>
        <v>0</v>
      </c>
      <c r="BF94" s="750">
        <f>BF92*Sensitivity!$L$19*BF$44/12</f>
        <v>0</v>
      </c>
      <c r="BG94" s="751">
        <f>BG92*Sensitivity!$L$19*BG$44/12</f>
        <v>0</v>
      </c>
      <c r="BH94" s="749">
        <f>BH92*Sensitivity!$L$19*BH$44/12</f>
        <v>0</v>
      </c>
      <c r="BI94" s="750">
        <f>BI92*Sensitivity!$L$19*BI$44/12</f>
        <v>0</v>
      </c>
      <c r="BJ94" s="750">
        <f>BJ92*Sensitivity!$L$19*BJ$44/12</f>
        <v>0</v>
      </c>
      <c r="BK94" s="751">
        <f>BK92*Sensitivity!$L$19*BK$44/12</f>
        <v>0</v>
      </c>
      <c r="BL94" s="749">
        <f>BL92*Sensitivity!$L$19*BL$44/12</f>
        <v>0</v>
      </c>
      <c r="BM94" s="750">
        <f>BM92*Sensitivity!$L$19*BM$44/12</f>
        <v>0</v>
      </c>
      <c r="BN94" s="750">
        <f>BN92*Sensitivity!$L$19*BN$44/12</f>
        <v>0</v>
      </c>
      <c r="BO94" s="751">
        <f>BO92*Sensitivity!$L$19*BO$44/12</f>
        <v>0</v>
      </c>
      <c r="BP94" s="749">
        <f>BP92*Sensitivity!$L$19*BP$44/12</f>
        <v>0</v>
      </c>
      <c r="BQ94" s="750">
        <f>BQ92*Sensitivity!$L$19*BQ$44/12</f>
        <v>0</v>
      </c>
      <c r="BR94" s="750">
        <f>BR92*Sensitivity!$L$19*BR$44/12</f>
        <v>0</v>
      </c>
      <c r="BS94" s="751">
        <f>BS92*Sensitivity!$L$19*BS$44/12</f>
        <v>0</v>
      </c>
      <c r="BT94" s="749">
        <f>BT92*Sensitivity!$L$19*BT$44/12</f>
        <v>0</v>
      </c>
      <c r="BU94" s="750">
        <f>BU92*Sensitivity!$L$19*BU$44/12</f>
        <v>0</v>
      </c>
      <c r="BV94" s="750">
        <f>BV92*Sensitivity!$L$19*BV$44/12</f>
        <v>0</v>
      </c>
      <c r="BW94" s="751">
        <f>BW92*Sensitivity!$L$19*BW$44/12</f>
        <v>0</v>
      </c>
      <c r="BX94" s="749">
        <f>BX92*Sensitivity!$L$19*BX$44/12</f>
        <v>0</v>
      </c>
      <c r="BY94" s="750">
        <f>BY92*Sensitivity!$L$19*BY$44/12</f>
        <v>0</v>
      </c>
      <c r="BZ94" s="750">
        <f>BZ92*Sensitivity!$L$19*BZ$44/12</f>
        <v>0</v>
      </c>
      <c r="CA94" s="751">
        <f>CA92*Sensitivity!$L$19*CA$44/12</f>
        <v>0</v>
      </c>
      <c r="CB94" s="749">
        <f>CB92*Sensitivity!$L$19*CB$44/12</f>
        <v>0</v>
      </c>
      <c r="CC94" s="750">
        <f>CC92*Sensitivity!$L$19*CC$44/12</f>
        <v>0</v>
      </c>
      <c r="CD94" s="750">
        <f>CD92*Sensitivity!$L$19*CD$44/12</f>
        <v>0</v>
      </c>
      <c r="CE94" s="751">
        <f>CE92*Sensitivity!$L$19*CE$44/12</f>
        <v>0</v>
      </c>
      <c r="CF94" s="749">
        <f>CF92*Sensitivity!$L$19*CF$44/12</f>
        <v>0</v>
      </c>
      <c r="CG94" s="750">
        <f>CG92*Sensitivity!$L$19*CG$44/12</f>
        <v>0</v>
      </c>
      <c r="CH94" s="750">
        <f>CH92*Sensitivity!$L$19*CH$44/12</f>
        <v>0</v>
      </c>
      <c r="CI94" s="751">
        <f>CI92*Sensitivity!$L$19*CI$44/12</f>
        <v>0</v>
      </c>
      <c r="CJ94" s="749">
        <f>CJ92*Sensitivity!$L$19*CJ$44/12</f>
        <v>0</v>
      </c>
      <c r="CK94" s="750">
        <f>CK92*Sensitivity!$L$19*CK$44/12</f>
        <v>0</v>
      </c>
      <c r="CL94" s="750">
        <f>CL92*Sensitivity!$L$19*CL$44/12</f>
        <v>0</v>
      </c>
      <c r="CM94" s="751">
        <f>CM92*Sensitivity!$L$19*CM$44/12</f>
        <v>0</v>
      </c>
      <c r="CN94" s="749">
        <f>CN92*Sensitivity!$L$19*CN$44/12</f>
        <v>0</v>
      </c>
      <c r="CO94" s="750">
        <f>CO92*Sensitivity!$L$19*CO$44/12</f>
        <v>0</v>
      </c>
      <c r="CP94" s="750">
        <f>CP92*Sensitivity!$L$19*CP$44/12</f>
        <v>0</v>
      </c>
      <c r="CQ94" s="751">
        <f>CQ92*Sensitivity!$L$19*CQ$44/12</f>
        <v>0</v>
      </c>
      <c r="CR94" s="749">
        <f>CR92*Sensitivity!$L$19*CR$44/12</f>
        <v>0</v>
      </c>
      <c r="CS94" s="750">
        <f>CS92*Sensitivity!$L$19*CS$44/12</f>
        <v>0</v>
      </c>
      <c r="CT94" s="750">
        <f>CT92*Sensitivity!$L$19*CT$44/12</f>
        <v>0</v>
      </c>
      <c r="CU94" s="751">
        <f>CU92*Sensitivity!$L$19*CU$44/12</f>
        <v>0</v>
      </c>
      <c r="CV94" s="749">
        <f>CV92*Sensitivity!$L$19*CV$44/12</f>
        <v>0</v>
      </c>
      <c r="CW94" s="750">
        <f>CW92*Sensitivity!$L$19*CW$44/12</f>
        <v>0</v>
      </c>
      <c r="CX94" s="750">
        <f>CX92*Sensitivity!$L$19*CX$44/12</f>
        <v>0</v>
      </c>
      <c r="CY94" s="751">
        <f>CY92*Sensitivity!$L$19*CY$44/12</f>
        <v>0</v>
      </c>
      <c r="CZ94" s="749">
        <f>CZ92*Sensitivity!$L$19*CZ$44/12</f>
        <v>0</v>
      </c>
      <c r="DA94" s="750">
        <f>DA92*Sensitivity!$L$19*DA$44/12</f>
        <v>0</v>
      </c>
      <c r="DB94" s="750">
        <f>DB92*Sensitivity!$L$19*DB$44/12</f>
        <v>0</v>
      </c>
      <c r="DC94" s="751">
        <f>DC92*Sensitivity!$L$19*DC$44/12</f>
        <v>0</v>
      </c>
      <c r="DD94" s="749">
        <f>DD92*Sensitivity!$L$19*DD$44/12</f>
        <v>0</v>
      </c>
      <c r="DE94" s="750">
        <f>DE92*Sensitivity!$L$19*DE$44/12</f>
        <v>0</v>
      </c>
      <c r="DF94" s="750">
        <f>DF92*Sensitivity!$L$19*DF$44/12</f>
        <v>0</v>
      </c>
      <c r="DG94" s="751">
        <f>DG92*Sensitivity!$L$19*DG$44/12</f>
        <v>0</v>
      </c>
      <c r="DH94" s="749">
        <f>DH92*Sensitivity!$L$19*DH$44/12</f>
        <v>0</v>
      </c>
      <c r="DI94" s="750">
        <f>DI92*Sensitivity!$L$19*DI$44/12</f>
        <v>0</v>
      </c>
      <c r="DJ94" s="750">
        <f>DJ92*Sensitivity!$L$19*DJ$44/12</f>
        <v>0</v>
      </c>
      <c r="DK94" s="751">
        <f>DK92*Sensitivity!$L$19*DK$44/12</f>
        <v>0</v>
      </c>
      <c r="DL94" s="749">
        <f>DL92*Sensitivity!$L$19*DL$44/12</f>
        <v>0</v>
      </c>
      <c r="DM94" s="750">
        <f>DM92*Sensitivity!$L$19*DM$44/12</f>
        <v>0</v>
      </c>
      <c r="DN94" s="750">
        <f>DN92*Sensitivity!$L$19*DN$44/12</f>
        <v>0</v>
      </c>
      <c r="DO94" s="751">
        <f>DO92*Sensitivity!$L$19*DO$44/12</f>
        <v>0</v>
      </c>
      <c r="DP94" s="749">
        <f>DP92*Sensitivity!$L$19*DP$44/12</f>
        <v>0</v>
      </c>
      <c r="DQ94" s="750">
        <f>DQ92*Sensitivity!$L$19*DQ$44/12</f>
        <v>0</v>
      </c>
      <c r="DR94" s="750">
        <f>DR92*Sensitivity!$L$19*DR$44/12</f>
        <v>0</v>
      </c>
      <c r="DS94" s="751">
        <f>DS92*Sensitivity!$L$19*DS$44/12</f>
        <v>0</v>
      </c>
      <c r="DT94" s="749">
        <f>DT92*Sensitivity!$L$19*DT$44/12</f>
        <v>0</v>
      </c>
      <c r="DU94" s="750">
        <f>DU92*Sensitivity!$L$19*DU$44/12</f>
        <v>0</v>
      </c>
      <c r="DV94" s="750">
        <f>DV92*Sensitivity!$L$19*DV$44/12</f>
        <v>0</v>
      </c>
      <c r="DW94" s="751">
        <f>DW92*Sensitivity!$L$19*DW$44/12</f>
        <v>0</v>
      </c>
      <c r="DX94" s="749">
        <f>DX92*Sensitivity!$L$19*DX$44/12</f>
        <v>0</v>
      </c>
      <c r="DY94" s="750">
        <f>DY92*Sensitivity!$L$19*DY$44/12</f>
        <v>0</v>
      </c>
      <c r="DZ94" s="750">
        <f>DZ92*Sensitivity!$L$19*DZ$44/12</f>
        <v>0</v>
      </c>
      <c r="EA94" s="751">
        <f>EA92*Sensitivity!$L$19*EA$44/12</f>
        <v>0</v>
      </c>
      <c r="EB94" s="749">
        <f>EB92*Sensitivity!$L$19*EB$44/12</f>
        <v>0</v>
      </c>
      <c r="EC94" s="750">
        <f>EC92*Sensitivity!$L$19*EC$44/12</f>
        <v>0</v>
      </c>
      <c r="ED94" s="750">
        <f>ED92*Sensitivity!$L$19*ED$44/12</f>
        <v>0</v>
      </c>
      <c r="EE94" s="751">
        <f>EE92*Sensitivity!$L$19*EE$44/12</f>
        <v>0</v>
      </c>
      <c r="EF94" s="749">
        <f>EF92*Sensitivity!$L$19*EF$44/12</f>
        <v>0</v>
      </c>
      <c r="EG94" s="750">
        <f>EG92*Sensitivity!$L$19*EG$44/12</f>
        <v>0</v>
      </c>
      <c r="EH94" s="750">
        <f>EH92*Sensitivity!$L$19*EH$44/12</f>
        <v>0</v>
      </c>
      <c r="EI94" s="751">
        <f>EI92*Sensitivity!$L$19*EI$44/12</f>
        <v>0</v>
      </c>
      <c r="EJ94" s="749">
        <f>EJ92*Sensitivity!$L$19*EJ$44/12</f>
        <v>0</v>
      </c>
      <c r="EK94" s="750">
        <f>EK92*Sensitivity!$L$19*EK$44/12</f>
        <v>0</v>
      </c>
      <c r="EL94" s="750">
        <f>EL92*Sensitivity!$L$19*EL$44/12</f>
        <v>0</v>
      </c>
      <c r="EM94" s="751">
        <f>EM92*Sensitivity!$L$19*EM$44/12</f>
        <v>0</v>
      </c>
      <c r="EN94" s="749">
        <f>EN92*Sensitivity!$L$19*EN$44/12</f>
        <v>0</v>
      </c>
      <c r="EO94" s="750">
        <f>EO92*Sensitivity!$L$19*EO$44/12</f>
        <v>0</v>
      </c>
      <c r="EP94" s="750">
        <f>EP92*Sensitivity!$L$19*EP$44/12</f>
        <v>0</v>
      </c>
      <c r="EQ94" s="751">
        <f>EQ92*Sensitivity!$L$19*EQ$44/12</f>
        <v>0</v>
      </c>
      <c r="ER94" s="749">
        <f>ER92*Sensitivity!$L$19*ER$44/12</f>
        <v>0</v>
      </c>
      <c r="ES94" s="750">
        <f>ES92*Sensitivity!$L$19*ES$44/12</f>
        <v>0</v>
      </c>
      <c r="ET94" s="750">
        <f>ET92*Sensitivity!$L$19*ET$44/12</f>
        <v>0</v>
      </c>
      <c r="EU94" s="751">
        <f>EU92*Sensitivity!$L$19*EU$44/12</f>
        <v>0</v>
      </c>
      <c r="EV94" s="749">
        <f>EV92*Sensitivity!$L$19*EV$44/12</f>
        <v>0</v>
      </c>
      <c r="EW94" s="750">
        <f>EW92*Sensitivity!$L$19*EW$44/12</f>
        <v>0</v>
      </c>
      <c r="EX94" s="750">
        <f>EX92*Sensitivity!$L$19*EX$44/12</f>
        <v>0</v>
      </c>
      <c r="EY94" s="751">
        <f>EY92*Sensitivity!$L$19*EY$44/12</f>
        <v>0</v>
      </c>
      <c r="EZ94" s="749">
        <f>EZ92*Sensitivity!$L$19*EZ$44/12</f>
        <v>0</v>
      </c>
      <c r="FA94" s="750">
        <f>FA92*Sensitivity!$L$19*FA$44/12</f>
        <v>0</v>
      </c>
      <c r="FB94" s="750">
        <f>FB92*Sensitivity!$L$19*FB$44/12</f>
        <v>0</v>
      </c>
      <c r="FC94" s="751">
        <f>FC92*Sensitivity!$L$19*FC$44/12</f>
        <v>0</v>
      </c>
      <c r="FD94" s="749">
        <f>FD92*Sensitivity!$L$19*FD$44/12</f>
        <v>0</v>
      </c>
      <c r="FE94" s="750">
        <f>FE92*Sensitivity!$L$19*FE$44/12</f>
        <v>0</v>
      </c>
      <c r="FF94" s="750">
        <f>FF92*Sensitivity!$L$19*FF$44/12</f>
        <v>0</v>
      </c>
      <c r="FG94" s="751">
        <f>FG92*Sensitivity!$L$19*FG$44/12</f>
        <v>0</v>
      </c>
      <c r="FH94" s="749">
        <f>FH92*Sensitivity!$L$19*FH$44/12</f>
        <v>0</v>
      </c>
      <c r="FI94" s="750">
        <f>FI92*Sensitivity!$L$19*FI$44/12</f>
        <v>0</v>
      </c>
      <c r="FJ94" s="750">
        <f>FJ92*Sensitivity!$L$19*FJ$44/12</f>
        <v>0</v>
      </c>
      <c r="FK94" s="751">
        <f>FK92*Sensitivity!$L$19*FK$44/12</f>
        <v>0</v>
      </c>
      <c r="FL94" s="749">
        <f>FL92*Sensitivity!$L$19*FL$44/12</f>
        <v>0</v>
      </c>
      <c r="FM94" s="750">
        <f>FM92*Sensitivity!$L$19*FM$44/12</f>
        <v>0</v>
      </c>
      <c r="FN94" s="750">
        <f>FN92*Sensitivity!$L$19*FN$44/12</f>
        <v>0</v>
      </c>
      <c r="FO94" s="751">
        <f>FO92*Sensitivity!$L$19*FO$44/12</f>
        <v>0</v>
      </c>
      <c r="FP94" s="749">
        <f>FP92*Sensitivity!$L$19*FP$44/12</f>
        <v>0</v>
      </c>
      <c r="FQ94" s="750">
        <f>FQ92*Sensitivity!$L$19*FQ$44/12</f>
        <v>0</v>
      </c>
      <c r="FR94" s="750">
        <f>FR92*Sensitivity!$L$19*FR$44/12</f>
        <v>0</v>
      </c>
      <c r="FS94" s="751">
        <f>FS92*Sensitivity!$L$19*FS$44/12</f>
        <v>0</v>
      </c>
      <c r="FT94" s="749">
        <f>FT92*Sensitivity!$L$19*FT$44/12</f>
        <v>0</v>
      </c>
      <c r="FU94" s="750">
        <f>FU92*Sensitivity!$L$19*FU$44/12</f>
        <v>0</v>
      </c>
      <c r="FV94" s="750">
        <f>FV92*Sensitivity!$L$19*FV$44/12</f>
        <v>0</v>
      </c>
      <c r="FW94" s="751">
        <f>FW92*Sensitivity!$L$19*FW$44/12</f>
        <v>0</v>
      </c>
      <c r="FX94" s="749">
        <f>FX92*Sensitivity!$L$19*FX$44/12</f>
        <v>0</v>
      </c>
      <c r="FY94" s="750">
        <f>FY92*Sensitivity!$L$19*FY$44/12</f>
        <v>0</v>
      </c>
      <c r="FZ94" s="750">
        <f>FZ92*Sensitivity!$L$19*FZ$44/12</f>
        <v>0</v>
      </c>
      <c r="GA94" s="751">
        <f>GA92*Sensitivity!$L$19*GA$44/12</f>
        <v>0</v>
      </c>
      <c r="GB94" s="749">
        <f>GB92*Sensitivity!$L$19*GB$44/12</f>
        <v>0</v>
      </c>
      <c r="GC94" s="750">
        <f>GC92*Sensitivity!$L$19*GC$44/12</f>
        <v>0</v>
      </c>
      <c r="GD94" s="750">
        <f>GD92*Sensitivity!$L$19*GD$44/12</f>
        <v>0</v>
      </c>
      <c r="GE94" s="4905">
        <f>GE92*Sensitivity!$L$19*GE$44/12</f>
        <v>0</v>
      </c>
    </row>
    <row r="95" spans="3:187" ht="13.5" customHeight="1" outlineLevel="1">
      <c r="C95" s="4908" t="s">
        <v>194</v>
      </c>
      <c r="D95" s="4744"/>
      <c r="E95" s="315"/>
      <c r="F95" s="315"/>
      <c r="G95" s="315"/>
      <c r="H95" s="720"/>
      <c r="I95" s="315"/>
      <c r="J95" s="315"/>
      <c r="K95" s="786"/>
      <c r="L95" s="720"/>
      <c r="M95" s="315"/>
      <c r="N95" s="315"/>
      <c r="O95" s="721"/>
      <c r="P95" s="720"/>
      <c r="Q95" s="315"/>
      <c r="R95" s="315"/>
      <c r="S95" s="721"/>
      <c r="T95" s="720"/>
      <c r="U95" s="315"/>
      <c r="V95" s="315"/>
      <c r="W95" s="721"/>
      <c r="X95" s="720"/>
      <c r="Y95" s="315"/>
      <c r="Z95" s="315"/>
      <c r="AA95" s="721"/>
      <c r="AB95" s="720"/>
      <c r="AC95" s="315"/>
      <c r="AD95" s="315"/>
      <c r="AE95" s="721"/>
      <c r="AF95" s="720"/>
      <c r="AG95" s="315"/>
      <c r="AH95" s="315"/>
      <c r="AI95" s="721"/>
      <c r="AJ95" s="720"/>
      <c r="AK95" s="315"/>
      <c r="AL95" s="315"/>
      <c r="AM95" s="721"/>
      <c r="AN95" s="720"/>
      <c r="AO95" s="315"/>
      <c r="AP95" s="315"/>
      <c r="AQ95" s="721"/>
      <c r="AR95" s="720"/>
      <c r="AS95" s="315"/>
      <c r="AT95" s="315"/>
      <c r="AU95" s="721"/>
      <c r="AV95" s="720"/>
      <c r="AW95" s="315"/>
      <c r="AX95" s="315"/>
      <c r="AY95" s="721"/>
      <c r="AZ95" s="720"/>
      <c r="BA95" s="315"/>
      <c r="BB95" s="315"/>
      <c r="BC95" s="721"/>
      <c r="BD95" s="720"/>
      <c r="BE95" s="315"/>
      <c r="BF95" s="315"/>
      <c r="BG95" s="721"/>
      <c r="BH95" s="720"/>
      <c r="BI95" s="315"/>
      <c r="BJ95" s="315"/>
      <c r="BK95" s="721"/>
      <c r="BL95" s="720"/>
      <c r="BM95" s="315"/>
      <c r="BN95" s="315"/>
      <c r="BO95" s="721"/>
      <c r="BP95" s="720"/>
      <c r="BQ95" s="315"/>
      <c r="BR95" s="315"/>
      <c r="BS95" s="721"/>
      <c r="BT95" s="720"/>
      <c r="BU95" s="315"/>
      <c r="BV95" s="315"/>
      <c r="BW95" s="721"/>
      <c r="BX95" s="720"/>
      <c r="BY95" s="315"/>
      <c r="BZ95" s="315"/>
      <c r="CA95" s="721"/>
      <c r="CB95" s="720"/>
      <c r="CC95" s="315"/>
      <c r="CD95" s="315"/>
      <c r="CE95" s="721"/>
      <c r="CF95" s="720"/>
      <c r="CG95" s="315"/>
      <c r="CH95" s="315"/>
      <c r="CI95" s="721"/>
      <c r="CJ95" s="720"/>
      <c r="CK95" s="315"/>
      <c r="CL95" s="315"/>
      <c r="CM95" s="721"/>
      <c r="CN95" s="720"/>
      <c r="CO95" s="315"/>
      <c r="CP95" s="315"/>
      <c r="CQ95" s="721"/>
      <c r="CR95" s="720"/>
      <c r="CS95" s="315"/>
      <c r="CT95" s="315"/>
      <c r="CU95" s="721"/>
      <c r="CV95" s="720"/>
      <c r="CW95" s="315"/>
      <c r="CX95" s="315"/>
      <c r="CY95" s="721"/>
      <c r="CZ95" s="720"/>
      <c r="DA95" s="315"/>
      <c r="DB95" s="315"/>
      <c r="DC95" s="721"/>
      <c r="DD95" s="720"/>
      <c r="DE95" s="315"/>
      <c r="DF95" s="315"/>
      <c r="DG95" s="721"/>
      <c r="DH95" s="720"/>
      <c r="DI95" s="315"/>
      <c r="DJ95" s="315"/>
      <c r="DK95" s="721"/>
      <c r="DL95" s="720"/>
      <c r="DM95" s="315"/>
      <c r="DN95" s="315"/>
      <c r="DO95" s="721"/>
      <c r="DP95" s="720"/>
      <c r="DQ95" s="315"/>
      <c r="DR95" s="315"/>
      <c r="DS95" s="721"/>
      <c r="DT95" s="720"/>
      <c r="DU95" s="315"/>
      <c r="DV95" s="315"/>
      <c r="DW95" s="721"/>
      <c r="DX95" s="720"/>
      <c r="DY95" s="315"/>
      <c r="DZ95" s="315"/>
      <c r="EA95" s="721"/>
      <c r="EB95" s="720"/>
      <c r="EC95" s="315"/>
      <c r="ED95" s="315"/>
      <c r="EE95" s="721"/>
      <c r="EF95" s="720"/>
      <c r="EG95" s="315"/>
      <c r="EH95" s="315"/>
      <c r="EI95" s="721"/>
      <c r="EJ95" s="720"/>
      <c r="EK95" s="315"/>
      <c r="EL95" s="315"/>
      <c r="EM95" s="721"/>
      <c r="EN95" s="720"/>
      <c r="EO95" s="315"/>
      <c r="EP95" s="315"/>
      <c r="EQ95" s="721"/>
      <c r="ER95" s="720"/>
      <c r="ES95" s="315"/>
      <c r="ET95" s="315"/>
      <c r="EU95" s="721"/>
      <c r="EV95" s="720"/>
      <c r="EW95" s="315"/>
      <c r="EX95" s="315"/>
      <c r="EY95" s="721"/>
      <c r="EZ95" s="720"/>
      <c r="FA95" s="315"/>
      <c r="FB95" s="315"/>
      <c r="FC95" s="721"/>
      <c r="FD95" s="720"/>
      <c r="FE95" s="315"/>
      <c r="FF95" s="315"/>
      <c r="FG95" s="721"/>
      <c r="FH95" s="720"/>
      <c r="FI95" s="315"/>
      <c r="FJ95" s="315"/>
      <c r="FK95" s="721"/>
      <c r="FL95" s="720"/>
      <c r="FM95" s="315"/>
      <c r="FN95" s="315"/>
      <c r="FO95" s="721"/>
      <c r="FP95" s="720"/>
      <c r="FQ95" s="315"/>
      <c r="FR95" s="315"/>
      <c r="FS95" s="721"/>
      <c r="FT95" s="720"/>
      <c r="FU95" s="315"/>
      <c r="FV95" s="315"/>
      <c r="FW95" s="721"/>
      <c r="FX95" s="720"/>
      <c r="FY95" s="315"/>
      <c r="FZ95" s="315"/>
      <c r="GA95" s="721"/>
      <c r="GB95" s="720"/>
      <c r="GC95" s="315"/>
      <c r="GD95" s="315"/>
      <c r="GE95" s="4901"/>
    </row>
    <row r="96" spans="3:187" ht="13.5" customHeight="1" outlineLevel="1">
      <c r="C96" s="4781"/>
      <c r="D96" s="773" t="s">
        <v>1080</v>
      </c>
      <c r="E96" s="722"/>
      <c r="F96" s="723"/>
      <c r="G96" s="723"/>
      <c r="H96" s="724">
        <f>SUM(H72,H76,H80,H84,H88,H92)</f>
        <v>1423.4598599999997</v>
      </c>
      <c r="I96" s="725">
        <f t="shared" ref="I96:BT98" si="101">SUM(I72,I76,I80,I84,I88,I92)</f>
        <v>1390.2402599999998</v>
      </c>
      <c r="J96" s="725">
        <f t="shared" si="101"/>
        <v>1357.0206599999999</v>
      </c>
      <c r="K96" s="726">
        <f t="shared" si="101"/>
        <v>1323.80106</v>
      </c>
      <c r="L96" s="724">
        <f t="shared" si="101"/>
        <v>1288.92048</v>
      </c>
      <c r="M96" s="725">
        <f t="shared" si="101"/>
        <v>1249.8874499999997</v>
      </c>
      <c r="N96" s="725">
        <f t="shared" si="101"/>
        <v>1210.0239300000001</v>
      </c>
      <c r="O96" s="726">
        <f t="shared" si="101"/>
        <v>1169.3299199999999</v>
      </c>
      <c r="P96" s="724">
        <f t="shared" si="101"/>
        <v>1127.8054199999999</v>
      </c>
      <c r="Q96" s="725">
        <f t="shared" si="101"/>
        <v>1085.4504299999999</v>
      </c>
      <c r="R96" s="725">
        <f t="shared" si="101"/>
        <v>1042.26495</v>
      </c>
      <c r="S96" s="726">
        <f t="shared" si="101"/>
        <v>999.07946999999979</v>
      </c>
      <c r="T96" s="724">
        <f t="shared" si="101"/>
        <v>955.06349999999986</v>
      </c>
      <c r="U96" s="725">
        <f t="shared" si="101"/>
        <v>916.03046999999981</v>
      </c>
      <c r="V96" s="5696">
        <f t="shared" si="101"/>
        <v>876.99743999999987</v>
      </c>
      <c r="W96" s="726">
        <f t="shared" si="101"/>
        <v>837.13391999999988</v>
      </c>
      <c r="X96" s="724">
        <f t="shared" si="101"/>
        <v>796.43990999999983</v>
      </c>
      <c r="Y96" s="725">
        <f t="shared" si="101"/>
        <v>755.74589999999989</v>
      </c>
      <c r="Z96" s="725">
        <f t="shared" si="101"/>
        <v>715.05188999999984</v>
      </c>
      <c r="AA96" s="726">
        <f t="shared" si="101"/>
        <v>673.52738999999985</v>
      </c>
      <c r="AB96" s="724">
        <f t="shared" si="101"/>
        <v>631.17239999999981</v>
      </c>
      <c r="AC96" s="725">
        <f t="shared" si="101"/>
        <v>592.96985999999981</v>
      </c>
      <c r="AD96" s="725">
        <f t="shared" si="101"/>
        <v>553.93682999999987</v>
      </c>
      <c r="AE96" s="726">
        <f t="shared" si="101"/>
        <v>509.92085999999978</v>
      </c>
      <c r="AF96" s="724">
        <f t="shared" si="101"/>
        <v>465.07439999999986</v>
      </c>
      <c r="AG96" s="725">
        <f t="shared" si="101"/>
        <v>412.75352999999984</v>
      </c>
      <c r="AH96" s="725">
        <f t="shared" si="101"/>
        <v>360.43265999999988</v>
      </c>
      <c r="AI96" s="726">
        <f t="shared" si="101"/>
        <v>307.28129999999987</v>
      </c>
      <c r="AJ96" s="724">
        <f t="shared" si="101"/>
        <v>253.29944999999989</v>
      </c>
      <c r="AK96" s="725">
        <f t="shared" si="101"/>
        <v>220.07984999999991</v>
      </c>
      <c r="AL96" s="725">
        <f t="shared" si="101"/>
        <v>181.87730999999991</v>
      </c>
      <c r="AM96" s="726">
        <f t="shared" si="101"/>
        <v>142.84427999999991</v>
      </c>
      <c r="AN96" s="724">
        <f t="shared" si="101"/>
        <v>109.62467999999991</v>
      </c>
      <c r="AO96" s="5699">
        <f t="shared" si="101"/>
        <v>99.658799999999914</v>
      </c>
      <c r="AP96" s="725">
        <f t="shared" si="101"/>
        <v>89.692919999999901</v>
      </c>
      <c r="AQ96" s="726">
        <f t="shared" si="101"/>
        <v>79.727039999999889</v>
      </c>
      <c r="AR96" s="724">
        <f t="shared" si="101"/>
        <v>69.761159999999904</v>
      </c>
      <c r="AS96" s="725">
        <f t="shared" si="101"/>
        <v>59.795279999999892</v>
      </c>
      <c r="AT96" s="725">
        <f t="shared" si="101"/>
        <v>49.829399999999893</v>
      </c>
      <c r="AU96" s="726">
        <f t="shared" si="101"/>
        <v>39.863519999999887</v>
      </c>
      <c r="AV96" s="724">
        <f t="shared" si="101"/>
        <v>29.897639999999889</v>
      </c>
      <c r="AW96" s="725">
        <f t="shared" si="101"/>
        <v>19.931759999999887</v>
      </c>
      <c r="AX96" s="725">
        <f t="shared" si="101"/>
        <v>9.9658799999998866</v>
      </c>
      <c r="AY96" s="726">
        <f t="shared" si="101"/>
        <v>0</v>
      </c>
      <c r="AZ96" s="724">
        <f t="shared" si="101"/>
        <v>0</v>
      </c>
      <c r="BA96" s="725">
        <f t="shared" si="101"/>
        <v>0</v>
      </c>
      <c r="BB96" s="725">
        <f t="shared" si="101"/>
        <v>0</v>
      </c>
      <c r="BC96" s="726">
        <f t="shared" si="101"/>
        <v>0</v>
      </c>
      <c r="BD96" s="724">
        <f t="shared" si="101"/>
        <v>0</v>
      </c>
      <c r="BE96" s="725">
        <f t="shared" si="101"/>
        <v>0</v>
      </c>
      <c r="BF96" s="725">
        <f t="shared" si="101"/>
        <v>0</v>
      </c>
      <c r="BG96" s="726">
        <f t="shared" si="101"/>
        <v>0</v>
      </c>
      <c r="BH96" s="724">
        <f t="shared" si="101"/>
        <v>0</v>
      </c>
      <c r="BI96" s="725">
        <f t="shared" si="101"/>
        <v>0</v>
      </c>
      <c r="BJ96" s="725">
        <f t="shared" si="101"/>
        <v>0</v>
      </c>
      <c r="BK96" s="726">
        <f t="shared" si="101"/>
        <v>0</v>
      </c>
      <c r="BL96" s="724">
        <f t="shared" si="101"/>
        <v>0</v>
      </c>
      <c r="BM96" s="725">
        <f t="shared" si="101"/>
        <v>0</v>
      </c>
      <c r="BN96" s="725">
        <f t="shared" si="101"/>
        <v>0</v>
      </c>
      <c r="BO96" s="726">
        <f t="shared" si="101"/>
        <v>0</v>
      </c>
      <c r="BP96" s="724">
        <f t="shared" si="101"/>
        <v>0</v>
      </c>
      <c r="BQ96" s="725">
        <f t="shared" si="101"/>
        <v>0</v>
      </c>
      <c r="BR96" s="725">
        <f t="shared" si="101"/>
        <v>0</v>
      </c>
      <c r="BS96" s="726">
        <f t="shared" si="101"/>
        <v>0</v>
      </c>
      <c r="BT96" s="724">
        <f t="shared" si="101"/>
        <v>0</v>
      </c>
      <c r="BU96" s="725">
        <f t="shared" ref="BU96:EF98" si="102">SUM(BU72,BU76,BU80,BU84,BU88,BU92)</f>
        <v>0</v>
      </c>
      <c r="BV96" s="725">
        <f t="shared" si="102"/>
        <v>0</v>
      </c>
      <c r="BW96" s="726">
        <f t="shared" si="102"/>
        <v>0</v>
      </c>
      <c r="BX96" s="724">
        <f t="shared" si="102"/>
        <v>0</v>
      </c>
      <c r="BY96" s="725">
        <f t="shared" si="102"/>
        <v>0</v>
      </c>
      <c r="BZ96" s="725">
        <f t="shared" si="102"/>
        <v>0</v>
      </c>
      <c r="CA96" s="726">
        <f t="shared" si="102"/>
        <v>0</v>
      </c>
      <c r="CB96" s="724">
        <f t="shared" si="102"/>
        <v>0</v>
      </c>
      <c r="CC96" s="725">
        <f t="shared" si="102"/>
        <v>0</v>
      </c>
      <c r="CD96" s="725">
        <f t="shared" si="102"/>
        <v>0</v>
      </c>
      <c r="CE96" s="726">
        <f t="shared" si="102"/>
        <v>0</v>
      </c>
      <c r="CF96" s="724">
        <f t="shared" si="102"/>
        <v>0</v>
      </c>
      <c r="CG96" s="725">
        <f t="shared" si="102"/>
        <v>0</v>
      </c>
      <c r="CH96" s="725">
        <f t="shared" si="102"/>
        <v>0</v>
      </c>
      <c r="CI96" s="726">
        <f t="shared" si="102"/>
        <v>0</v>
      </c>
      <c r="CJ96" s="724">
        <f t="shared" si="102"/>
        <v>0</v>
      </c>
      <c r="CK96" s="725">
        <f t="shared" si="102"/>
        <v>0</v>
      </c>
      <c r="CL96" s="725">
        <f t="shared" si="102"/>
        <v>0</v>
      </c>
      <c r="CM96" s="726">
        <f t="shared" si="102"/>
        <v>0</v>
      </c>
      <c r="CN96" s="724">
        <f t="shared" si="102"/>
        <v>0</v>
      </c>
      <c r="CO96" s="725">
        <f t="shared" si="102"/>
        <v>0</v>
      </c>
      <c r="CP96" s="725">
        <f t="shared" si="102"/>
        <v>0</v>
      </c>
      <c r="CQ96" s="726">
        <f t="shared" si="102"/>
        <v>0</v>
      </c>
      <c r="CR96" s="724">
        <f t="shared" si="102"/>
        <v>0</v>
      </c>
      <c r="CS96" s="725">
        <f t="shared" si="102"/>
        <v>0</v>
      </c>
      <c r="CT96" s="725">
        <f t="shared" si="102"/>
        <v>0</v>
      </c>
      <c r="CU96" s="726">
        <f t="shared" si="102"/>
        <v>0</v>
      </c>
      <c r="CV96" s="724">
        <f t="shared" si="102"/>
        <v>0</v>
      </c>
      <c r="CW96" s="725">
        <f t="shared" si="102"/>
        <v>0</v>
      </c>
      <c r="CX96" s="725">
        <f t="shared" si="102"/>
        <v>0</v>
      </c>
      <c r="CY96" s="726">
        <f t="shared" si="102"/>
        <v>0</v>
      </c>
      <c r="CZ96" s="724">
        <f t="shared" si="102"/>
        <v>0</v>
      </c>
      <c r="DA96" s="725">
        <f t="shared" si="102"/>
        <v>0</v>
      </c>
      <c r="DB96" s="725">
        <f t="shared" si="102"/>
        <v>0</v>
      </c>
      <c r="DC96" s="726">
        <f t="shared" si="102"/>
        <v>0</v>
      </c>
      <c r="DD96" s="724">
        <f t="shared" si="102"/>
        <v>0</v>
      </c>
      <c r="DE96" s="725">
        <f t="shared" si="102"/>
        <v>0</v>
      </c>
      <c r="DF96" s="725">
        <f t="shared" si="102"/>
        <v>0</v>
      </c>
      <c r="DG96" s="726">
        <f t="shared" si="102"/>
        <v>0</v>
      </c>
      <c r="DH96" s="724">
        <f t="shared" si="102"/>
        <v>0</v>
      </c>
      <c r="DI96" s="725">
        <f t="shared" si="102"/>
        <v>0</v>
      </c>
      <c r="DJ96" s="725">
        <f t="shared" si="102"/>
        <v>0</v>
      </c>
      <c r="DK96" s="726">
        <f t="shared" si="102"/>
        <v>0</v>
      </c>
      <c r="DL96" s="724">
        <f t="shared" si="102"/>
        <v>0</v>
      </c>
      <c r="DM96" s="725">
        <f t="shared" si="102"/>
        <v>0</v>
      </c>
      <c r="DN96" s="725">
        <f t="shared" si="102"/>
        <v>0</v>
      </c>
      <c r="DO96" s="726">
        <f t="shared" si="102"/>
        <v>0</v>
      </c>
      <c r="DP96" s="724">
        <f t="shared" si="102"/>
        <v>0</v>
      </c>
      <c r="DQ96" s="725">
        <f t="shared" si="102"/>
        <v>0</v>
      </c>
      <c r="DR96" s="725">
        <f t="shared" si="102"/>
        <v>0</v>
      </c>
      <c r="DS96" s="726">
        <f t="shared" si="102"/>
        <v>0</v>
      </c>
      <c r="DT96" s="724">
        <f t="shared" si="102"/>
        <v>0</v>
      </c>
      <c r="DU96" s="725">
        <f t="shared" si="102"/>
        <v>0</v>
      </c>
      <c r="DV96" s="725">
        <f t="shared" si="102"/>
        <v>0</v>
      </c>
      <c r="DW96" s="726">
        <f t="shared" si="102"/>
        <v>0</v>
      </c>
      <c r="DX96" s="724">
        <f t="shared" si="102"/>
        <v>0</v>
      </c>
      <c r="DY96" s="725">
        <f t="shared" si="102"/>
        <v>0</v>
      </c>
      <c r="DZ96" s="725">
        <f t="shared" si="102"/>
        <v>0</v>
      </c>
      <c r="EA96" s="726">
        <f t="shared" si="102"/>
        <v>0</v>
      </c>
      <c r="EB96" s="724">
        <f t="shared" si="102"/>
        <v>0</v>
      </c>
      <c r="EC96" s="725">
        <f t="shared" si="102"/>
        <v>0</v>
      </c>
      <c r="ED96" s="725">
        <f t="shared" si="102"/>
        <v>0</v>
      </c>
      <c r="EE96" s="726">
        <f t="shared" si="102"/>
        <v>0</v>
      </c>
      <c r="EF96" s="724">
        <f t="shared" si="102"/>
        <v>0</v>
      </c>
      <c r="EG96" s="725">
        <f t="shared" ref="EG96:GE98" si="103">SUM(EG72,EG76,EG80,EG84,EG88,EG92)</f>
        <v>0</v>
      </c>
      <c r="EH96" s="725">
        <f t="shared" si="103"/>
        <v>0</v>
      </c>
      <c r="EI96" s="726">
        <f t="shared" si="103"/>
        <v>0</v>
      </c>
      <c r="EJ96" s="724">
        <f t="shared" si="103"/>
        <v>0</v>
      </c>
      <c r="EK96" s="725">
        <f t="shared" si="103"/>
        <v>0</v>
      </c>
      <c r="EL96" s="725">
        <f t="shared" si="103"/>
        <v>0</v>
      </c>
      <c r="EM96" s="726">
        <f t="shared" si="103"/>
        <v>0</v>
      </c>
      <c r="EN96" s="724">
        <f t="shared" si="103"/>
        <v>0</v>
      </c>
      <c r="EO96" s="725">
        <f t="shared" si="103"/>
        <v>0</v>
      </c>
      <c r="EP96" s="725">
        <f t="shared" si="103"/>
        <v>0</v>
      </c>
      <c r="EQ96" s="726">
        <f t="shared" si="103"/>
        <v>0</v>
      </c>
      <c r="ER96" s="724">
        <f t="shared" si="103"/>
        <v>0</v>
      </c>
      <c r="ES96" s="725">
        <f t="shared" si="103"/>
        <v>0</v>
      </c>
      <c r="ET96" s="725">
        <f t="shared" si="103"/>
        <v>0</v>
      </c>
      <c r="EU96" s="726">
        <f t="shared" si="103"/>
        <v>0</v>
      </c>
      <c r="EV96" s="724">
        <f t="shared" si="103"/>
        <v>0</v>
      </c>
      <c r="EW96" s="725">
        <f t="shared" si="103"/>
        <v>0</v>
      </c>
      <c r="EX96" s="725">
        <f t="shared" si="103"/>
        <v>0</v>
      </c>
      <c r="EY96" s="726">
        <f t="shared" si="103"/>
        <v>0</v>
      </c>
      <c r="EZ96" s="724">
        <f t="shared" si="103"/>
        <v>0</v>
      </c>
      <c r="FA96" s="725">
        <f t="shared" si="103"/>
        <v>0</v>
      </c>
      <c r="FB96" s="725">
        <f t="shared" si="103"/>
        <v>0</v>
      </c>
      <c r="FC96" s="726">
        <f t="shared" si="103"/>
        <v>0</v>
      </c>
      <c r="FD96" s="724">
        <f t="shared" si="103"/>
        <v>0</v>
      </c>
      <c r="FE96" s="725">
        <f t="shared" si="103"/>
        <v>0</v>
      </c>
      <c r="FF96" s="725">
        <f t="shared" si="103"/>
        <v>0</v>
      </c>
      <c r="FG96" s="726">
        <f t="shared" si="103"/>
        <v>0</v>
      </c>
      <c r="FH96" s="724">
        <f t="shared" si="103"/>
        <v>0</v>
      </c>
      <c r="FI96" s="725">
        <f t="shared" si="103"/>
        <v>0</v>
      </c>
      <c r="FJ96" s="725">
        <f t="shared" si="103"/>
        <v>0</v>
      </c>
      <c r="FK96" s="726">
        <f t="shared" si="103"/>
        <v>0</v>
      </c>
      <c r="FL96" s="724">
        <f t="shared" si="103"/>
        <v>0</v>
      </c>
      <c r="FM96" s="725">
        <f t="shared" si="103"/>
        <v>0</v>
      </c>
      <c r="FN96" s="725">
        <f t="shared" si="103"/>
        <v>0</v>
      </c>
      <c r="FO96" s="726">
        <f t="shared" si="103"/>
        <v>0</v>
      </c>
      <c r="FP96" s="724">
        <f t="shared" si="103"/>
        <v>0</v>
      </c>
      <c r="FQ96" s="725">
        <f t="shared" si="103"/>
        <v>0</v>
      </c>
      <c r="FR96" s="725">
        <f t="shared" si="103"/>
        <v>0</v>
      </c>
      <c r="FS96" s="726">
        <f t="shared" si="103"/>
        <v>0</v>
      </c>
      <c r="FT96" s="724">
        <f t="shared" si="103"/>
        <v>0</v>
      </c>
      <c r="FU96" s="725">
        <f t="shared" si="103"/>
        <v>0</v>
      </c>
      <c r="FV96" s="725">
        <f t="shared" si="103"/>
        <v>0</v>
      </c>
      <c r="FW96" s="726">
        <f t="shared" si="103"/>
        <v>0</v>
      </c>
      <c r="FX96" s="724">
        <f t="shared" si="103"/>
        <v>0</v>
      </c>
      <c r="FY96" s="725">
        <f t="shared" si="103"/>
        <v>0</v>
      </c>
      <c r="FZ96" s="725">
        <f t="shared" si="103"/>
        <v>0</v>
      </c>
      <c r="GA96" s="726">
        <f t="shared" si="103"/>
        <v>0</v>
      </c>
      <c r="GB96" s="724">
        <f t="shared" si="103"/>
        <v>0</v>
      </c>
      <c r="GC96" s="725">
        <f t="shared" si="103"/>
        <v>0</v>
      </c>
      <c r="GD96" s="725">
        <f t="shared" si="103"/>
        <v>0</v>
      </c>
      <c r="GE96" s="4902">
        <f t="shared" si="103"/>
        <v>0</v>
      </c>
    </row>
    <row r="97" spans="2:187" ht="13.5" customHeight="1" outlineLevel="1">
      <c r="C97" s="4781"/>
      <c r="D97" s="326" t="s">
        <v>1082</v>
      </c>
      <c r="E97" s="1868"/>
      <c r="F97" s="743">
        <f>SUM(H97:FO97)</f>
        <v>1423.4598599999995</v>
      </c>
      <c r="G97" s="743"/>
      <c r="H97" s="746">
        <f t="shared" ref="H97:BS98" si="104">SUM(H73,H77,H81,H85,H89,H93)</f>
        <v>33.2196</v>
      </c>
      <c r="I97" s="744">
        <f t="shared" si="104"/>
        <v>33.2196</v>
      </c>
      <c r="J97" s="744">
        <f t="shared" si="104"/>
        <v>33.2196</v>
      </c>
      <c r="K97" s="745">
        <f t="shared" si="104"/>
        <v>34.880579999999995</v>
      </c>
      <c r="L97" s="746">
        <f t="shared" si="104"/>
        <v>39.033029999999997</v>
      </c>
      <c r="M97" s="744">
        <f t="shared" si="104"/>
        <v>39.863520000000001</v>
      </c>
      <c r="N97" s="744">
        <f t="shared" si="104"/>
        <v>40.694009999999999</v>
      </c>
      <c r="O97" s="745">
        <f t="shared" si="104"/>
        <v>41.524500000000003</v>
      </c>
      <c r="P97" s="746">
        <f t="shared" si="104"/>
        <v>42.354990000000001</v>
      </c>
      <c r="Q97" s="744">
        <f t="shared" si="104"/>
        <v>43.185479999999998</v>
      </c>
      <c r="R97" s="744">
        <f t="shared" si="104"/>
        <v>43.185479999999998</v>
      </c>
      <c r="S97" s="745">
        <f t="shared" si="104"/>
        <v>44.015969999999996</v>
      </c>
      <c r="T97" s="746">
        <f t="shared" si="104"/>
        <v>39.033029999999997</v>
      </c>
      <c r="U97" s="744">
        <f t="shared" si="104"/>
        <v>39.033029999999997</v>
      </c>
      <c r="V97" s="5697">
        <f t="shared" si="104"/>
        <v>39.863520000000001</v>
      </c>
      <c r="W97" s="745">
        <f t="shared" si="104"/>
        <v>40.694009999999999</v>
      </c>
      <c r="X97" s="746">
        <f t="shared" si="104"/>
        <v>40.694009999999999</v>
      </c>
      <c r="Y97" s="744">
        <f t="shared" si="104"/>
        <v>40.694009999999999</v>
      </c>
      <c r="Z97" s="744">
        <f t="shared" si="104"/>
        <v>41.524500000000003</v>
      </c>
      <c r="AA97" s="745">
        <f t="shared" si="104"/>
        <v>42.354990000000001</v>
      </c>
      <c r="AB97" s="746">
        <f t="shared" si="104"/>
        <v>38.202539999999999</v>
      </c>
      <c r="AC97" s="744">
        <f t="shared" si="104"/>
        <v>39.033029999999997</v>
      </c>
      <c r="AD97" s="744">
        <f t="shared" si="104"/>
        <v>44.015969999999996</v>
      </c>
      <c r="AE97" s="745">
        <f t="shared" si="104"/>
        <v>44.846459999999993</v>
      </c>
      <c r="AF97" s="746">
        <f t="shared" si="104"/>
        <v>52.320869999999999</v>
      </c>
      <c r="AG97" s="744">
        <f t="shared" si="104"/>
        <v>52.320869999999999</v>
      </c>
      <c r="AH97" s="744">
        <f t="shared" si="104"/>
        <v>53.151359999999997</v>
      </c>
      <c r="AI97" s="745">
        <f t="shared" si="104"/>
        <v>53.981850000000001</v>
      </c>
      <c r="AJ97" s="746">
        <f t="shared" si="104"/>
        <v>33.2196</v>
      </c>
      <c r="AK97" s="744">
        <f t="shared" si="104"/>
        <v>38.202539999999999</v>
      </c>
      <c r="AL97" s="744">
        <f t="shared" si="104"/>
        <v>39.033029999999997</v>
      </c>
      <c r="AM97" s="745">
        <f t="shared" si="104"/>
        <v>33.2196</v>
      </c>
      <c r="AN97" s="5701">
        <f t="shared" si="104"/>
        <v>9.9658800000000003</v>
      </c>
      <c r="AO97" s="744">
        <f t="shared" si="104"/>
        <v>9.9658800000000003</v>
      </c>
      <c r="AP97" s="744">
        <f t="shared" si="104"/>
        <v>9.9658800000000003</v>
      </c>
      <c r="AQ97" s="745">
        <f t="shared" si="104"/>
        <v>9.9658800000000003</v>
      </c>
      <c r="AR97" s="746">
        <f t="shared" si="104"/>
        <v>9.9658800000000003</v>
      </c>
      <c r="AS97" s="744">
        <f t="shared" si="104"/>
        <v>9.9658800000000003</v>
      </c>
      <c r="AT97" s="744">
        <f t="shared" si="104"/>
        <v>9.9658800000000003</v>
      </c>
      <c r="AU97" s="745">
        <f t="shared" si="104"/>
        <v>9.9658800000000003</v>
      </c>
      <c r="AV97" s="746">
        <f t="shared" si="104"/>
        <v>9.9658800000000003</v>
      </c>
      <c r="AW97" s="744">
        <f t="shared" si="104"/>
        <v>9.9658800000000003</v>
      </c>
      <c r="AX97" s="744">
        <f t="shared" si="104"/>
        <v>9.9658799999998866</v>
      </c>
      <c r="AY97" s="745">
        <f t="shared" si="104"/>
        <v>0</v>
      </c>
      <c r="AZ97" s="746">
        <f t="shared" si="104"/>
        <v>0</v>
      </c>
      <c r="BA97" s="744">
        <f t="shared" si="104"/>
        <v>0</v>
      </c>
      <c r="BB97" s="744">
        <f t="shared" si="104"/>
        <v>0</v>
      </c>
      <c r="BC97" s="745">
        <f t="shared" si="104"/>
        <v>0</v>
      </c>
      <c r="BD97" s="746">
        <f t="shared" si="104"/>
        <v>0</v>
      </c>
      <c r="BE97" s="744">
        <f t="shared" si="104"/>
        <v>0</v>
      </c>
      <c r="BF97" s="744">
        <f t="shared" si="104"/>
        <v>0</v>
      </c>
      <c r="BG97" s="745">
        <f t="shared" si="104"/>
        <v>0</v>
      </c>
      <c r="BH97" s="746">
        <f t="shared" si="104"/>
        <v>0</v>
      </c>
      <c r="BI97" s="744">
        <f t="shared" si="104"/>
        <v>0</v>
      </c>
      <c r="BJ97" s="744">
        <f t="shared" si="104"/>
        <v>0</v>
      </c>
      <c r="BK97" s="745">
        <f t="shared" si="104"/>
        <v>0</v>
      </c>
      <c r="BL97" s="746">
        <f t="shared" si="104"/>
        <v>0</v>
      </c>
      <c r="BM97" s="744">
        <f t="shared" si="104"/>
        <v>0</v>
      </c>
      <c r="BN97" s="744">
        <f t="shared" si="104"/>
        <v>0</v>
      </c>
      <c r="BO97" s="745">
        <f t="shared" si="104"/>
        <v>0</v>
      </c>
      <c r="BP97" s="746">
        <f t="shared" si="104"/>
        <v>0</v>
      </c>
      <c r="BQ97" s="744">
        <f t="shared" si="104"/>
        <v>0</v>
      </c>
      <c r="BR97" s="744">
        <f t="shared" si="104"/>
        <v>0</v>
      </c>
      <c r="BS97" s="745">
        <f t="shared" si="104"/>
        <v>0</v>
      </c>
      <c r="BT97" s="746">
        <f t="shared" si="101"/>
        <v>0</v>
      </c>
      <c r="BU97" s="744">
        <f t="shared" si="102"/>
        <v>0</v>
      </c>
      <c r="BV97" s="744">
        <f t="shared" si="102"/>
        <v>0</v>
      </c>
      <c r="BW97" s="745">
        <f t="shared" si="102"/>
        <v>0</v>
      </c>
      <c r="BX97" s="746">
        <f t="shared" si="102"/>
        <v>0</v>
      </c>
      <c r="BY97" s="744">
        <f t="shared" si="102"/>
        <v>0</v>
      </c>
      <c r="BZ97" s="744">
        <f t="shared" si="102"/>
        <v>0</v>
      </c>
      <c r="CA97" s="745">
        <f t="shared" si="102"/>
        <v>0</v>
      </c>
      <c r="CB97" s="746">
        <f t="shared" si="102"/>
        <v>0</v>
      </c>
      <c r="CC97" s="744">
        <f t="shared" si="102"/>
        <v>0</v>
      </c>
      <c r="CD97" s="744">
        <f t="shared" si="102"/>
        <v>0</v>
      </c>
      <c r="CE97" s="745">
        <f t="shared" si="102"/>
        <v>0</v>
      </c>
      <c r="CF97" s="746">
        <f t="shared" si="102"/>
        <v>0</v>
      </c>
      <c r="CG97" s="744">
        <f t="shared" si="102"/>
        <v>0</v>
      </c>
      <c r="CH97" s="744">
        <f t="shared" si="102"/>
        <v>0</v>
      </c>
      <c r="CI97" s="745">
        <f t="shared" si="102"/>
        <v>0</v>
      </c>
      <c r="CJ97" s="746">
        <f t="shared" si="102"/>
        <v>0</v>
      </c>
      <c r="CK97" s="744">
        <f t="shared" si="102"/>
        <v>0</v>
      </c>
      <c r="CL97" s="744">
        <f t="shared" si="102"/>
        <v>0</v>
      </c>
      <c r="CM97" s="745">
        <f t="shared" si="102"/>
        <v>0</v>
      </c>
      <c r="CN97" s="746">
        <f t="shared" si="102"/>
        <v>0</v>
      </c>
      <c r="CO97" s="744">
        <f t="shared" si="102"/>
        <v>0</v>
      </c>
      <c r="CP97" s="744">
        <f t="shared" si="102"/>
        <v>0</v>
      </c>
      <c r="CQ97" s="745">
        <f t="shared" si="102"/>
        <v>0</v>
      </c>
      <c r="CR97" s="746">
        <f t="shared" si="102"/>
        <v>0</v>
      </c>
      <c r="CS97" s="744">
        <f t="shared" si="102"/>
        <v>0</v>
      </c>
      <c r="CT97" s="744">
        <f t="shared" si="102"/>
        <v>0</v>
      </c>
      <c r="CU97" s="745">
        <f t="shared" si="102"/>
        <v>0</v>
      </c>
      <c r="CV97" s="746">
        <f t="shared" si="102"/>
        <v>0</v>
      </c>
      <c r="CW97" s="744">
        <f t="shared" si="102"/>
        <v>0</v>
      </c>
      <c r="CX97" s="744">
        <f t="shared" si="102"/>
        <v>0</v>
      </c>
      <c r="CY97" s="745">
        <f t="shared" si="102"/>
        <v>0</v>
      </c>
      <c r="CZ97" s="746">
        <f t="shared" si="102"/>
        <v>0</v>
      </c>
      <c r="DA97" s="744">
        <f t="shared" si="102"/>
        <v>0</v>
      </c>
      <c r="DB97" s="744">
        <f t="shared" si="102"/>
        <v>0</v>
      </c>
      <c r="DC97" s="745">
        <f t="shared" si="102"/>
        <v>0</v>
      </c>
      <c r="DD97" s="746">
        <f t="shared" si="102"/>
        <v>0</v>
      </c>
      <c r="DE97" s="744">
        <f t="shared" si="102"/>
        <v>0</v>
      </c>
      <c r="DF97" s="744">
        <f t="shared" si="102"/>
        <v>0</v>
      </c>
      <c r="DG97" s="745">
        <f t="shared" si="102"/>
        <v>0</v>
      </c>
      <c r="DH97" s="746">
        <f t="shared" si="102"/>
        <v>0</v>
      </c>
      <c r="DI97" s="744">
        <f t="shared" si="102"/>
        <v>0</v>
      </c>
      <c r="DJ97" s="744">
        <f t="shared" si="102"/>
        <v>0</v>
      </c>
      <c r="DK97" s="745">
        <f t="shared" si="102"/>
        <v>0</v>
      </c>
      <c r="DL97" s="746">
        <f t="shared" si="102"/>
        <v>0</v>
      </c>
      <c r="DM97" s="744">
        <f t="shared" si="102"/>
        <v>0</v>
      </c>
      <c r="DN97" s="744">
        <f t="shared" si="102"/>
        <v>0</v>
      </c>
      <c r="DO97" s="745">
        <f t="shared" si="102"/>
        <v>0</v>
      </c>
      <c r="DP97" s="746">
        <f t="shared" si="102"/>
        <v>0</v>
      </c>
      <c r="DQ97" s="744">
        <f t="shared" si="102"/>
        <v>0</v>
      </c>
      <c r="DR97" s="744">
        <f t="shared" si="102"/>
        <v>0</v>
      </c>
      <c r="DS97" s="745">
        <f t="shared" si="102"/>
        <v>0</v>
      </c>
      <c r="DT97" s="746">
        <f t="shared" si="102"/>
        <v>0</v>
      </c>
      <c r="DU97" s="744">
        <f t="shared" si="102"/>
        <v>0</v>
      </c>
      <c r="DV97" s="744">
        <f t="shared" si="102"/>
        <v>0</v>
      </c>
      <c r="DW97" s="745">
        <f t="shared" si="102"/>
        <v>0</v>
      </c>
      <c r="DX97" s="746">
        <f t="shared" si="102"/>
        <v>0</v>
      </c>
      <c r="DY97" s="744">
        <f t="shared" si="102"/>
        <v>0</v>
      </c>
      <c r="DZ97" s="744">
        <f t="shared" si="102"/>
        <v>0</v>
      </c>
      <c r="EA97" s="745">
        <f t="shared" si="102"/>
        <v>0</v>
      </c>
      <c r="EB97" s="746">
        <f t="shared" si="102"/>
        <v>0</v>
      </c>
      <c r="EC97" s="744">
        <f t="shared" si="102"/>
        <v>0</v>
      </c>
      <c r="ED97" s="744">
        <f t="shared" si="102"/>
        <v>0</v>
      </c>
      <c r="EE97" s="745">
        <f t="shared" si="102"/>
        <v>0</v>
      </c>
      <c r="EF97" s="746">
        <f t="shared" si="102"/>
        <v>0</v>
      </c>
      <c r="EG97" s="744">
        <f t="shared" si="103"/>
        <v>0</v>
      </c>
      <c r="EH97" s="744">
        <f t="shared" si="103"/>
        <v>0</v>
      </c>
      <c r="EI97" s="745">
        <f t="shared" si="103"/>
        <v>0</v>
      </c>
      <c r="EJ97" s="746">
        <f t="shared" si="103"/>
        <v>0</v>
      </c>
      <c r="EK97" s="744">
        <f t="shared" si="103"/>
        <v>0</v>
      </c>
      <c r="EL97" s="744">
        <f t="shared" si="103"/>
        <v>0</v>
      </c>
      <c r="EM97" s="745">
        <f t="shared" si="103"/>
        <v>0</v>
      </c>
      <c r="EN97" s="746">
        <f t="shared" si="103"/>
        <v>0</v>
      </c>
      <c r="EO97" s="744">
        <f t="shared" si="103"/>
        <v>0</v>
      </c>
      <c r="EP97" s="744">
        <f t="shared" si="103"/>
        <v>0</v>
      </c>
      <c r="EQ97" s="745">
        <f t="shared" si="103"/>
        <v>0</v>
      </c>
      <c r="ER97" s="746">
        <f t="shared" si="103"/>
        <v>0</v>
      </c>
      <c r="ES97" s="744">
        <f t="shared" si="103"/>
        <v>0</v>
      </c>
      <c r="ET97" s="744">
        <f t="shared" si="103"/>
        <v>0</v>
      </c>
      <c r="EU97" s="745">
        <f t="shared" si="103"/>
        <v>0</v>
      </c>
      <c r="EV97" s="746">
        <f t="shared" si="103"/>
        <v>0</v>
      </c>
      <c r="EW97" s="744">
        <f t="shared" si="103"/>
        <v>0</v>
      </c>
      <c r="EX97" s="744">
        <f t="shared" si="103"/>
        <v>0</v>
      </c>
      <c r="EY97" s="745">
        <f t="shared" si="103"/>
        <v>0</v>
      </c>
      <c r="EZ97" s="746">
        <f t="shared" si="103"/>
        <v>0</v>
      </c>
      <c r="FA97" s="744">
        <f t="shared" si="103"/>
        <v>0</v>
      </c>
      <c r="FB97" s="744">
        <f t="shared" si="103"/>
        <v>0</v>
      </c>
      <c r="FC97" s="745">
        <f t="shared" si="103"/>
        <v>0</v>
      </c>
      <c r="FD97" s="746">
        <f t="shared" si="103"/>
        <v>0</v>
      </c>
      <c r="FE97" s="744">
        <f t="shared" si="103"/>
        <v>0</v>
      </c>
      <c r="FF97" s="744">
        <f t="shared" si="103"/>
        <v>0</v>
      </c>
      <c r="FG97" s="745">
        <f t="shared" si="103"/>
        <v>0</v>
      </c>
      <c r="FH97" s="746">
        <f t="shared" si="103"/>
        <v>0</v>
      </c>
      <c r="FI97" s="744">
        <f t="shared" si="103"/>
        <v>0</v>
      </c>
      <c r="FJ97" s="744">
        <f t="shared" si="103"/>
        <v>0</v>
      </c>
      <c r="FK97" s="745">
        <f t="shared" si="103"/>
        <v>0</v>
      </c>
      <c r="FL97" s="746">
        <f t="shared" si="103"/>
        <v>0</v>
      </c>
      <c r="FM97" s="744">
        <f t="shared" si="103"/>
        <v>0</v>
      </c>
      <c r="FN97" s="744">
        <f t="shared" si="103"/>
        <v>0</v>
      </c>
      <c r="FO97" s="745">
        <f t="shared" si="103"/>
        <v>0</v>
      </c>
      <c r="FP97" s="746">
        <f t="shared" si="103"/>
        <v>0</v>
      </c>
      <c r="FQ97" s="744">
        <f t="shared" si="103"/>
        <v>0</v>
      </c>
      <c r="FR97" s="744">
        <f t="shared" si="103"/>
        <v>0</v>
      </c>
      <c r="FS97" s="745">
        <f t="shared" si="103"/>
        <v>0</v>
      </c>
      <c r="FT97" s="746">
        <f t="shared" si="103"/>
        <v>0</v>
      </c>
      <c r="FU97" s="744">
        <f t="shared" si="103"/>
        <v>0</v>
      </c>
      <c r="FV97" s="744">
        <f t="shared" si="103"/>
        <v>0</v>
      </c>
      <c r="FW97" s="745">
        <f t="shared" si="103"/>
        <v>0</v>
      </c>
      <c r="FX97" s="746">
        <f t="shared" si="103"/>
        <v>0</v>
      </c>
      <c r="FY97" s="744">
        <f t="shared" si="103"/>
        <v>0</v>
      </c>
      <c r="FZ97" s="744">
        <f t="shared" si="103"/>
        <v>0</v>
      </c>
      <c r="GA97" s="745">
        <f t="shared" si="103"/>
        <v>0</v>
      </c>
      <c r="GB97" s="746">
        <f t="shared" si="103"/>
        <v>0</v>
      </c>
      <c r="GC97" s="744">
        <f t="shared" si="103"/>
        <v>0</v>
      </c>
      <c r="GD97" s="744">
        <f t="shared" si="103"/>
        <v>0</v>
      </c>
      <c r="GE97" s="4906">
        <f t="shared" si="103"/>
        <v>0</v>
      </c>
    </row>
    <row r="98" spans="2:187" ht="13.5" customHeight="1" outlineLevel="1">
      <c r="C98" s="4904"/>
      <c r="D98" s="4929" t="s">
        <v>1083</v>
      </c>
      <c r="E98" s="747"/>
      <c r="F98" s="748">
        <f ca="1">SUM(H98:FO98)</f>
        <v>294.59425864000008</v>
      </c>
      <c r="G98" s="748"/>
      <c r="H98" s="749">
        <f t="shared" ca="1" si="104"/>
        <v>15.834626169999996</v>
      </c>
      <c r="I98" s="750">
        <f t="shared" ca="1" si="104"/>
        <v>15.465089969999998</v>
      </c>
      <c r="J98" s="750">
        <f t="shared" ca="1" si="104"/>
        <v>15.095553769999999</v>
      </c>
      <c r="K98" s="751">
        <f t="shared" ca="1" si="104"/>
        <v>14.726017570000002</v>
      </c>
      <c r="L98" s="749">
        <f t="shared" ca="1" si="104"/>
        <v>14.33800456</v>
      </c>
      <c r="M98" s="750">
        <f t="shared" ca="1" si="104"/>
        <v>13.903799525</v>
      </c>
      <c r="N98" s="750">
        <f t="shared" ca="1" si="104"/>
        <v>13.460356084999999</v>
      </c>
      <c r="O98" s="751">
        <f t="shared" ca="1" si="104"/>
        <v>13.007674239999998</v>
      </c>
      <c r="P98" s="749">
        <f t="shared" ca="1" si="104"/>
        <v>12.54575399</v>
      </c>
      <c r="Q98" s="750">
        <f t="shared" ca="1" si="104"/>
        <v>12.074595335</v>
      </c>
      <c r="R98" s="750">
        <f t="shared" ca="1" si="104"/>
        <v>11.594198274999998</v>
      </c>
      <c r="S98" s="751">
        <f t="shared" ca="1" si="104"/>
        <v>11.113801214999999</v>
      </c>
      <c r="T98" s="749">
        <f t="shared" ca="1" si="104"/>
        <v>10.624165749999998</v>
      </c>
      <c r="U98" s="750">
        <f t="shared" ca="1" si="104"/>
        <v>10.189960714999998</v>
      </c>
      <c r="V98" s="750">
        <f t="shared" ca="1" si="104"/>
        <v>9.7557556799999983</v>
      </c>
      <c r="W98" s="751">
        <f t="shared" ca="1" si="104"/>
        <v>9.3123122399999989</v>
      </c>
      <c r="X98" s="749">
        <f t="shared" ca="1" si="104"/>
        <v>8.8596303949999999</v>
      </c>
      <c r="Y98" s="750">
        <f t="shared" ca="1" si="104"/>
        <v>8.4069485499999992</v>
      </c>
      <c r="Z98" s="750">
        <f t="shared" ca="1" si="104"/>
        <v>7.9542667049999984</v>
      </c>
      <c r="AA98" s="751">
        <f t="shared" ca="1" si="104"/>
        <v>7.4923464549999981</v>
      </c>
      <c r="AB98" s="749">
        <f t="shared" ca="1" si="104"/>
        <v>7.0211877999999972</v>
      </c>
      <c r="AC98" s="750">
        <f t="shared" ca="1" si="104"/>
        <v>6.5962211699999989</v>
      </c>
      <c r="AD98" s="750">
        <f t="shared" ca="1" si="104"/>
        <v>6.1620161349999982</v>
      </c>
      <c r="AE98" s="751">
        <f t="shared" ca="1" si="104"/>
        <v>5.6723806699999981</v>
      </c>
      <c r="AF98" s="749">
        <f t="shared" ca="1" si="104"/>
        <v>5.1735067999999984</v>
      </c>
      <c r="AG98" s="750">
        <f t="shared" ca="1" si="104"/>
        <v>4.5914872849999986</v>
      </c>
      <c r="AH98" s="750">
        <f t="shared" ca="1" si="104"/>
        <v>4.0094677699999988</v>
      </c>
      <c r="AI98" s="751">
        <f t="shared" ca="1" si="104"/>
        <v>3.4182098499999989</v>
      </c>
      <c r="AJ98" s="749">
        <f t="shared" ca="1" si="104"/>
        <v>2.8177135249999989</v>
      </c>
      <c r="AK98" s="750">
        <f t="shared" ca="1" si="104"/>
        <v>2.4481773249999987</v>
      </c>
      <c r="AL98" s="750">
        <f t="shared" ca="1" si="104"/>
        <v>2.0232106949999991</v>
      </c>
      <c r="AM98" s="751">
        <f t="shared" ca="1" si="104"/>
        <v>1.5890056599999991</v>
      </c>
      <c r="AN98" s="749">
        <f t="shared" ca="1" si="104"/>
        <v>1.2194694599999989</v>
      </c>
      <c r="AO98" s="750">
        <f t="shared" ca="1" si="104"/>
        <v>1.1086085999999991</v>
      </c>
      <c r="AP98" s="750">
        <f t="shared" ca="1" si="104"/>
        <v>0.99774773999999911</v>
      </c>
      <c r="AQ98" s="751">
        <f t="shared" ca="1" si="104"/>
        <v>0.88688687999999893</v>
      </c>
      <c r="AR98" s="749">
        <f t="shared" ca="1" si="104"/>
        <v>0.77602601999999898</v>
      </c>
      <c r="AS98" s="750">
        <f t="shared" ca="1" si="104"/>
        <v>0.6651651599999987</v>
      </c>
      <c r="AT98" s="750">
        <f t="shared" ca="1" si="104"/>
        <v>0.55430429999999886</v>
      </c>
      <c r="AU98" s="751">
        <f t="shared" ca="1" si="104"/>
        <v>0.4434434399999988</v>
      </c>
      <c r="AV98" s="749">
        <f t="shared" ca="1" si="104"/>
        <v>0.3325825799999988</v>
      </c>
      <c r="AW98" s="750">
        <f t="shared" ca="1" si="104"/>
        <v>0.22172171999999882</v>
      </c>
      <c r="AX98" s="750">
        <f t="shared" ca="1" si="104"/>
        <v>0.11086085999999881</v>
      </c>
      <c r="AY98" s="751">
        <f t="shared" ca="1" si="104"/>
        <v>0</v>
      </c>
      <c r="AZ98" s="749">
        <f t="shared" ca="1" si="104"/>
        <v>0</v>
      </c>
      <c r="BA98" s="750">
        <f t="shared" ca="1" si="104"/>
        <v>0</v>
      </c>
      <c r="BB98" s="750">
        <f t="shared" ca="1" si="104"/>
        <v>0</v>
      </c>
      <c r="BC98" s="751">
        <f t="shared" ca="1" si="104"/>
        <v>0</v>
      </c>
      <c r="BD98" s="749">
        <f t="shared" ca="1" si="104"/>
        <v>0</v>
      </c>
      <c r="BE98" s="750">
        <f t="shared" ca="1" si="104"/>
        <v>0</v>
      </c>
      <c r="BF98" s="750">
        <f t="shared" ca="1" si="104"/>
        <v>0</v>
      </c>
      <c r="BG98" s="751">
        <f t="shared" ca="1" si="104"/>
        <v>0</v>
      </c>
      <c r="BH98" s="749">
        <f t="shared" ca="1" si="104"/>
        <v>0</v>
      </c>
      <c r="BI98" s="750">
        <f t="shared" ca="1" si="104"/>
        <v>0</v>
      </c>
      <c r="BJ98" s="750">
        <f t="shared" ca="1" si="104"/>
        <v>0</v>
      </c>
      <c r="BK98" s="751">
        <f t="shared" ca="1" si="104"/>
        <v>0</v>
      </c>
      <c r="BL98" s="749">
        <f t="shared" ca="1" si="104"/>
        <v>0</v>
      </c>
      <c r="BM98" s="750">
        <f t="shared" ca="1" si="104"/>
        <v>0</v>
      </c>
      <c r="BN98" s="750">
        <f t="shared" ca="1" si="104"/>
        <v>0</v>
      </c>
      <c r="BO98" s="751">
        <f t="shared" ca="1" si="104"/>
        <v>0</v>
      </c>
      <c r="BP98" s="749">
        <f t="shared" ca="1" si="104"/>
        <v>0</v>
      </c>
      <c r="BQ98" s="750">
        <f t="shared" ca="1" si="104"/>
        <v>0</v>
      </c>
      <c r="BR98" s="750">
        <f t="shared" ca="1" si="104"/>
        <v>0</v>
      </c>
      <c r="BS98" s="751">
        <f t="shared" ca="1" si="104"/>
        <v>0</v>
      </c>
      <c r="BT98" s="749">
        <f t="shared" ca="1" si="101"/>
        <v>0</v>
      </c>
      <c r="BU98" s="750">
        <f t="shared" ca="1" si="102"/>
        <v>0</v>
      </c>
      <c r="BV98" s="750">
        <f t="shared" ca="1" si="102"/>
        <v>0</v>
      </c>
      <c r="BW98" s="751">
        <f t="shared" ca="1" si="102"/>
        <v>0</v>
      </c>
      <c r="BX98" s="749">
        <f t="shared" ca="1" si="102"/>
        <v>0</v>
      </c>
      <c r="BY98" s="750">
        <f t="shared" ca="1" si="102"/>
        <v>0</v>
      </c>
      <c r="BZ98" s="750">
        <f t="shared" ca="1" si="102"/>
        <v>0</v>
      </c>
      <c r="CA98" s="751">
        <f t="shared" ca="1" si="102"/>
        <v>0</v>
      </c>
      <c r="CB98" s="749">
        <f t="shared" ca="1" si="102"/>
        <v>0</v>
      </c>
      <c r="CC98" s="750">
        <f t="shared" ca="1" si="102"/>
        <v>0</v>
      </c>
      <c r="CD98" s="750">
        <f t="shared" ca="1" si="102"/>
        <v>0</v>
      </c>
      <c r="CE98" s="751">
        <f t="shared" ca="1" si="102"/>
        <v>0</v>
      </c>
      <c r="CF98" s="749">
        <f t="shared" ca="1" si="102"/>
        <v>0</v>
      </c>
      <c r="CG98" s="750">
        <f t="shared" ca="1" si="102"/>
        <v>0</v>
      </c>
      <c r="CH98" s="750">
        <f t="shared" ca="1" si="102"/>
        <v>0</v>
      </c>
      <c r="CI98" s="751">
        <f t="shared" ca="1" si="102"/>
        <v>0</v>
      </c>
      <c r="CJ98" s="749">
        <f t="shared" ca="1" si="102"/>
        <v>0</v>
      </c>
      <c r="CK98" s="750">
        <f t="shared" ca="1" si="102"/>
        <v>0</v>
      </c>
      <c r="CL98" s="750">
        <f t="shared" ca="1" si="102"/>
        <v>0</v>
      </c>
      <c r="CM98" s="751">
        <f t="shared" ca="1" si="102"/>
        <v>0</v>
      </c>
      <c r="CN98" s="749">
        <f t="shared" ca="1" si="102"/>
        <v>0</v>
      </c>
      <c r="CO98" s="750">
        <f t="shared" ca="1" si="102"/>
        <v>0</v>
      </c>
      <c r="CP98" s="750">
        <f t="shared" ca="1" si="102"/>
        <v>0</v>
      </c>
      <c r="CQ98" s="751">
        <f t="shared" ca="1" si="102"/>
        <v>0</v>
      </c>
      <c r="CR98" s="749">
        <f t="shared" ca="1" si="102"/>
        <v>0</v>
      </c>
      <c r="CS98" s="750">
        <f t="shared" ca="1" si="102"/>
        <v>0</v>
      </c>
      <c r="CT98" s="750">
        <f t="shared" ca="1" si="102"/>
        <v>0</v>
      </c>
      <c r="CU98" s="751">
        <f t="shared" ca="1" si="102"/>
        <v>0</v>
      </c>
      <c r="CV98" s="749">
        <f t="shared" ca="1" si="102"/>
        <v>0</v>
      </c>
      <c r="CW98" s="750">
        <f t="shared" ca="1" si="102"/>
        <v>0</v>
      </c>
      <c r="CX98" s="750">
        <f t="shared" ca="1" si="102"/>
        <v>0</v>
      </c>
      <c r="CY98" s="751">
        <f t="shared" ca="1" si="102"/>
        <v>0</v>
      </c>
      <c r="CZ98" s="749">
        <f t="shared" ca="1" si="102"/>
        <v>0</v>
      </c>
      <c r="DA98" s="750">
        <f t="shared" ca="1" si="102"/>
        <v>0</v>
      </c>
      <c r="DB98" s="750">
        <f t="shared" ca="1" si="102"/>
        <v>0</v>
      </c>
      <c r="DC98" s="751">
        <f t="shared" ca="1" si="102"/>
        <v>0</v>
      </c>
      <c r="DD98" s="749">
        <f t="shared" ca="1" si="102"/>
        <v>0</v>
      </c>
      <c r="DE98" s="750">
        <f t="shared" ca="1" si="102"/>
        <v>0</v>
      </c>
      <c r="DF98" s="750">
        <f t="shared" ca="1" si="102"/>
        <v>0</v>
      </c>
      <c r="DG98" s="751">
        <f t="shared" ca="1" si="102"/>
        <v>0</v>
      </c>
      <c r="DH98" s="749">
        <f t="shared" ca="1" si="102"/>
        <v>0</v>
      </c>
      <c r="DI98" s="750">
        <f t="shared" ca="1" si="102"/>
        <v>0</v>
      </c>
      <c r="DJ98" s="750">
        <f t="shared" ca="1" si="102"/>
        <v>0</v>
      </c>
      <c r="DK98" s="751">
        <f t="shared" ca="1" si="102"/>
        <v>0</v>
      </c>
      <c r="DL98" s="749">
        <f t="shared" ca="1" si="102"/>
        <v>0</v>
      </c>
      <c r="DM98" s="750">
        <f t="shared" ca="1" si="102"/>
        <v>0</v>
      </c>
      <c r="DN98" s="750">
        <f t="shared" ca="1" si="102"/>
        <v>0</v>
      </c>
      <c r="DO98" s="751">
        <f t="shared" ca="1" si="102"/>
        <v>0</v>
      </c>
      <c r="DP98" s="749">
        <f t="shared" ca="1" si="102"/>
        <v>0</v>
      </c>
      <c r="DQ98" s="750">
        <f t="shared" ca="1" si="102"/>
        <v>0</v>
      </c>
      <c r="DR98" s="750">
        <f t="shared" ca="1" si="102"/>
        <v>0</v>
      </c>
      <c r="DS98" s="751">
        <f t="shared" ca="1" si="102"/>
        <v>0</v>
      </c>
      <c r="DT98" s="749">
        <f t="shared" ca="1" si="102"/>
        <v>0</v>
      </c>
      <c r="DU98" s="750">
        <f t="shared" ca="1" si="102"/>
        <v>0</v>
      </c>
      <c r="DV98" s="750">
        <f t="shared" ca="1" si="102"/>
        <v>0</v>
      </c>
      <c r="DW98" s="751">
        <f t="shared" ca="1" si="102"/>
        <v>0</v>
      </c>
      <c r="DX98" s="749">
        <f t="shared" ca="1" si="102"/>
        <v>0</v>
      </c>
      <c r="DY98" s="750">
        <f t="shared" ca="1" si="102"/>
        <v>0</v>
      </c>
      <c r="DZ98" s="750">
        <f t="shared" ca="1" si="102"/>
        <v>0</v>
      </c>
      <c r="EA98" s="751">
        <f t="shared" ca="1" si="102"/>
        <v>0</v>
      </c>
      <c r="EB98" s="749">
        <f t="shared" ca="1" si="102"/>
        <v>0</v>
      </c>
      <c r="EC98" s="750">
        <f t="shared" ca="1" si="102"/>
        <v>0</v>
      </c>
      <c r="ED98" s="750">
        <f t="shared" ca="1" si="102"/>
        <v>0</v>
      </c>
      <c r="EE98" s="751">
        <f t="shared" ca="1" si="102"/>
        <v>0</v>
      </c>
      <c r="EF98" s="749">
        <f t="shared" ca="1" si="102"/>
        <v>0</v>
      </c>
      <c r="EG98" s="750">
        <f t="shared" ca="1" si="103"/>
        <v>0</v>
      </c>
      <c r="EH98" s="750">
        <f t="shared" ca="1" si="103"/>
        <v>0</v>
      </c>
      <c r="EI98" s="751">
        <f t="shared" ca="1" si="103"/>
        <v>0</v>
      </c>
      <c r="EJ98" s="749">
        <f t="shared" ca="1" si="103"/>
        <v>0</v>
      </c>
      <c r="EK98" s="750">
        <f t="shared" ca="1" si="103"/>
        <v>0</v>
      </c>
      <c r="EL98" s="750">
        <f t="shared" ca="1" si="103"/>
        <v>0</v>
      </c>
      <c r="EM98" s="751">
        <f t="shared" ca="1" si="103"/>
        <v>0</v>
      </c>
      <c r="EN98" s="749">
        <f t="shared" ca="1" si="103"/>
        <v>0</v>
      </c>
      <c r="EO98" s="750">
        <f t="shared" ca="1" si="103"/>
        <v>0</v>
      </c>
      <c r="EP98" s="750">
        <f t="shared" ca="1" si="103"/>
        <v>0</v>
      </c>
      <c r="EQ98" s="751">
        <f t="shared" ca="1" si="103"/>
        <v>0</v>
      </c>
      <c r="ER98" s="749">
        <f t="shared" ca="1" si="103"/>
        <v>0</v>
      </c>
      <c r="ES98" s="750">
        <f t="shared" ca="1" si="103"/>
        <v>0</v>
      </c>
      <c r="ET98" s="750">
        <f t="shared" ca="1" si="103"/>
        <v>0</v>
      </c>
      <c r="EU98" s="751">
        <f t="shared" ca="1" si="103"/>
        <v>0</v>
      </c>
      <c r="EV98" s="749">
        <f t="shared" ca="1" si="103"/>
        <v>0</v>
      </c>
      <c r="EW98" s="750">
        <f t="shared" ca="1" si="103"/>
        <v>0</v>
      </c>
      <c r="EX98" s="750">
        <f t="shared" ca="1" si="103"/>
        <v>0</v>
      </c>
      <c r="EY98" s="751">
        <f t="shared" ca="1" si="103"/>
        <v>0</v>
      </c>
      <c r="EZ98" s="749">
        <f t="shared" ca="1" si="103"/>
        <v>0</v>
      </c>
      <c r="FA98" s="750">
        <f t="shared" ca="1" si="103"/>
        <v>0</v>
      </c>
      <c r="FB98" s="750">
        <f t="shared" ca="1" si="103"/>
        <v>0</v>
      </c>
      <c r="FC98" s="751">
        <f t="shared" ca="1" si="103"/>
        <v>0</v>
      </c>
      <c r="FD98" s="749">
        <f t="shared" ca="1" si="103"/>
        <v>0</v>
      </c>
      <c r="FE98" s="750">
        <f t="shared" ca="1" si="103"/>
        <v>0</v>
      </c>
      <c r="FF98" s="750">
        <f t="shared" ca="1" si="103"/>
        <v>0</v>
      </c>
      <c r="FG98" s="751">
        <f t="shared" ca="1" si="103"/>
        <v>0</v>
      </c>
      <c r="FH98" s="749">
        <f t="shared" ca="1" si="103"/>
        <v>0</v>
      </c>
      <c r="FI98" s="750">
        <f t="shared" ca="1" si="103"/>
        <v>0</v>
      </c>
      <c r="FJ98" s="750">
        <f t="shared" ca="1" si="103"/>
        <v>0</v>
      </c>
      <c r="FK98" s="751">
        <f t="shared" ca="1" si="103"/>
        <v>0</v>
      </c>
      <c r="FL98" s="749">
        <f t="shared" ca="1" si="103"/>
        <v>0</v>
      </c>
      <c r="FM98" s="750">
        <f t="shared" ca="1" si="103"/>
        <v>0</v>
      </c>
      <c r="FN98" s="750">
        <f t="shared" ca="1" si="103"/>
        <v>0</v>
      </c>
      <c r="FO98" s="751">
        <f t="shared" ca="1" si="103"/>
        <v>0</v>
      </c>
      <c r="FP98" s="749">
        <f t="shared" ca="1" si="103"/>
        <v>0</v>
      </c>
      <c r="FQ98" s="750">
        <f t="shared" ca="1" si="103"/>
        <v>0</v>
      </c>
      <c r="FR98" s="750">
        <f t="shared" ca="1" si="103"/>
        <v>0</v>
      </c>
      <c r="FS98" s="751">
        <f t="shared" ca="1" si="103"/>
        <v>0</v>
      </c>
      <c r="FT98" s="749">
        <f t="shared" ca="1" si="103"/>
        <v>0</v>
      </c>
      <c r="FU98" s="750">
        <f t="shared" ca="1" si="103"/>
        <v>0</v>
      </c>
      <c r="FV98" s="750">
        <f t="shared" ca="1" si="103"/>
        <v>0</v>
      </c>
      <c r="FW98" s="751">
        <f t="shared" ca="1" si="103"/>
        <v>0</v>
      </c>
      <c r="FX98" s="749">
        <f t="shared" ca="1" si="103"/>
        <v>0</v>
      </c>
      <c r="FY98" s="750">
        <f t="shared" ca="1" si="103"/>
        <v>0</v>
      </c>
      <c r="FZ98" s="750">
        <f t="shared" ca="1" si="103"/>
        <v>0</v>
      </c>
      <c r="GA98" s="751">
        <f t="shared" ca="1" si="103"/>
        <v>0</v>
      </c>
      <c r="GB98" s="749">
        <f t="shared" ca="1" si="103"/>
        <v>0</v>
      </c>
      <c r="GC98" s="750">
        <f t="shared" ca="1" si="103"/>
        <v>0</v>
      </c>
      <c r="GD98" s="750">
        <f t="shared" ca="1" si="103"/>
        <v>0</v>
      </c>
      <c r="GE98" s="4905">
        <f t="shared" ca="1" si="103"/>
        <v>0</v>
      </c>
    </row>
    <row r="99" spans="2:187" ht="13.5" customHeight="1" outlineLevel="1">
      <c r="C99" s="4909"/>
      <c r="D99" s="4910"/>
      <c r="E99" s="755"/>
      <c r="F99" s="753"/>
      <c r="G99" s="753"/>
      <c r="H99" s="4897"/>
      <c r="I99" s="753"/>
      <c r="J99" s="753"/>
      <c r="K99" s="753"/>
      <c r="L99" s="753"/>
      <c r="M99" s="753"/>
      <c r="N99" s="753"/>
      <c r="O99" s="753">
        <f>O96-O97</f>
        <v>1127.8054199999999</v>
      </c>
      <c r="P99" s="753" t="b">
        <f>O99=(실적!C45+실적!C55)/단위</f>
        <v>1</v>
      </c>
      <c r="Q99" s="753"/>
      <c r="R99" s="753"/>
      <c r="S99" s="753"/>
      <c r="T99" s="753">
        <f>T96-T97</f>
        <v>916.03046999999992</v>
      </c>
      <c r="U99" s="753"/>
      <c r="V99" s="753"/>
      <c r="W99" s="753"/>
      <c r="X99" s="753"/>
      <c r="Y99" s="753"/>
      <c r="Z99" s="753"/>
      <c r="AA99" s="753"/>
      <c r="AB99" s="753"/>
      <c r="AC99" s="753"/>
      <c r="AD99" s="753"/>
      <c r="AE99" s="753"/>
      <c r="AF99" s="753"/>
      <c r="AG99" s="753"/>
      <c r="AH99" s="753"/>
      <c r="AI99" s="753"/>
      <c r="AJ99" s="753"/>
      <c r="AK99" s="753"/>
      <c r="AL99" s="753"/>
      <c r="AM99" s="753"/>
      <c r="AN99" s="753"/>
      <c r="AO99" s="753"/>
      <c r="AP99" s="753"/>
      <c r="AQ99" s="753"/>
      <c r="AR99" s="753"/>
      <c r="AS99" s="753"/>
      <c r="AT99" s="753"/>
      <c r="AU99" s="753"/>
      <c r="AV99" s="753"/>
      <c r="AW99" s="753"/>
      <c r="AX99" s="753"/>
      <c r="AY99" s="753"/>
      <c r="AZ99" s="753"/>
      <c r="BA99" s="753"/>
      <c r="BB99" s="753"/>
      <c r="BC99" s="753"/>
      <c r="BD99" s="753"/>
      <c r="BE99" s="753"/>
      <c r="BF99" s="753"/>
      <c r="BG99" s="753"/>
      <c r="BH99" s="753"/>
      <c r="BI99" s="753"/>
      <c r="BJ99" s="753"/>
      <c r="BK99" s="753"/>
      <c r="BL99" s="753"/>
      <c r="BM99" s="753"/>
      <c r="BN99" s="753"/>
      <c r="BO99" s="753"/>
      <c r="BP99" s="753"/>
      <c r="BQ99" s="753"/>
      <c r="BR99" s="753"/>
      <c r="BS99" s="753"/>
      <c r="BT99" s="753"/>
      <c r="BU99" s="753"/>
      <c r="BV99" s="753"/>
      <c r="BW99" s="753"/>
      <c r="BX99" s="753"/>
      <c r="BY99" s="753"/>
      <c r="BZ99" s="753"/>
      <c r="CA99" s="753"/>
      <c r="CB99" s="753"/>
      <c r="CC99" s="753"/>
      <c r="CD99" s="753"/>
      <c r="CE99" s="753"/>
      <c r="CF99" s="753"/>
      <c r="CG99" s="753"/>
      <c r="CH99" s="753"/>
      <c r="CI99" s="753"/>
      <c r="CJ99" s="753"/>
      <c r="CK99" s="753"/>
      <c r="CL99" s="753"/>
      <c r="CM99" s="753"/>
      <c r="CN99" s="753"/>
      <c r="CO99" s="753"/>
      <c r="CP99" s="753"/>
      <c r="CQ99" s="753"/>
      <c r="CR99" s="753"/>
      <c r="CS99" s="753"/>
      <c r="CT99" s="753"/>
      <c r="CU99" s="753"/>
      <c r="CV99" s="753"/>
      <c r="CW99" s="753"/>
      <c r="CX99" s="753"/>
      <c r="CY99" s="753"/>
      <c r="CZ99" s="753"/>
      <c r="DA99" s="753"/>
      <c r="DB99" s="753"/>
      <c r="DC99" s="753"/>
      <c r="DD99" s="753"/>
      <c r="DE99" s="753"/>
      <c r="DF99" s="753"/>
      <c r="DG99" s="753"/>
      <c r="DH99" s="753"/>
      <c r="DI99" s="753"/>
      <c r="DJ99" s="753"/>
      <c r="DK99" s="753"/>
      <c r="DL99" s="753"/>
      <c r="DM99" s="753"/>
      <c r="DN99" s="753"/>
      <c r="DO99" s="753"/>
      <c r="DP99" s="753"/>
      <c r="DQ99" s="753"/>
      <c r="DR99" s="753"/>
      <c r="DS99" s="753"/>
      <c r="DT99" s="753"/>
      <c r="DU99" s="753"/>
      <c r="DV99" s="753"/>
      <c r="DW99" s="753"/>
      <c r="DX99" s="753"/>
      <c r="DY99" s="753"/>
      <c r="DZ99" s="753"/>
      <c r="EA99" s="753"/>
      <c r="EB99" s="753"/>
      <c r="EC99" s="753"/>
      <c r="ED99" s="753"/>
      <c r="EE99" s="753"/>
      <c r="EF99" s="753"/>
      <c r="EG99" s="753"/>
      <c r="EH99" s="753"/>
      <c r="EI99" s="753"/>
      <c r="EJ99" s="753"/>
      <c r="EK99" s="753"/>
      <c r="EL99" s="753"/>
      <c r="EM99" s="753"/>
      <c r="EN99" s="753"/>
      <c r="EO99" s="753"/>
      <c r="EP99" s="753"/>
      <c r="EQ99" s="753"/>
      <c r="ER99" s="753"/>
      <c r="ES99" s="753"/>
      <c r="ET99" s="753"/>
      <c r="EU99" s="753"/>
      <c r="EV99" s="753"/>
      <c r="EW99" s="753"/>
      <c r="EX99" s="753"/>
      <c r="EY99" s="753"/>
      <c r="EZ99" s="753"/>
      <c r="FA99" s="753"/>
      <c r="FB99" s="753"/>
      <c r="FC99" s="753"/>
      <c r="FD99" s="753"/>
      <c r="FE99" s="753"/>
      <c r="FF99" s="753"/>
      <c r="FG99" s="753"/>
      <c r="FH99" s="753"/>
      <c r="FI99" s="753"/>
      <c r="FJ99" s="753"/>
      <c r="FK99" s="753"/>
      <c r="FL99" s="753"/>
      <c r="FM99" s="753"/>
      <c r="FN99" s="753"/>
      <c r="FO99" s="753"/>
      <c r="FP99" s="753"/>
      <c r="FQ99" s="753"/>
      <c r="FR99" s="753"/>
      <c r="FS99" s="753"/>
      <c r="FT99" s="753"/>
      <c r="FU99" s="753"/>
      <c r="FV99" s="753"/>
      <c r="FW99" s="753"/>
      <c r="FX99" s="753"/>
      <c r="FY99" s="753"/>
      <c r="FZ99" s="753"/>
      <c r="GA99" s="753"/>
      <c r="GB99" s="753"/>
      <c r="GC99" s="753"/>
      <c r="GD99" s="753"/>
      <c r="GE99" s="4911"/>
    </row>
    <row r="100" spans="2:187" ht="13.5" customHeight="1" outlineLevel="1">
      <c r="C100" s="4785"/>
      <c r="D100" s="4751" t="s">
        <v>5098</v>
      </c>
      <c r="E100" s="4752"/>
      <c r="F100" s="4751" t="s">
        <v>5100</v>
      </c>
      <c r="G100" s="4751"/>
      <c r="H100" s="4756">
        <f>기준년도</f>
        <v>2019</v>
      </c>
      <c r="I100" s="4756">
        <f t="shared" ref="I100:AV100" si="105">H100+1</f>
        <v>2020</v>
      </c>
      <c r="J100" s="4756">
        <f t="shared" si="105"/>
        <v>2021</v>
      </c>
      <c r="K100" s="4756">
        <f t="shared" si="105"/>
        <v>2022</v>
      </c>
      <c r="L100" s="4756">
        <f t="shared" si="105"/>
        <v>2023</v>
      </c>
      <c r="M100" s="4756">
        <f t="shared" si="105"/>
        <v>2024</v>
      </c>
      <c r="N100" s="4756">
        <f t="shared" si="105"/>
        <v>2025</v>
      </c>
      <c r="O100" s="4756">
        <f t="shared" si="105"/>
        <v>2026</v>
      </c>
      <c r="P100" s="4756">
        <f t="shared" si="105"/>
        <v>2027</v>
      </c>
      <c r="Q100" s="4756">
        <f t="shared" si="105"/>
        <v>2028</v>
      </c>
      <c r="R100" s="4756">
        <f t="shared" si="105"/>
        <v>2029</v>
      </c>
      <c r="S100" s="4756">
        <f t="shared" si="105"/>
        <v>2030</v>
      </c>
      <c r="T100" s="4756">
        <f t="shared" si="105"/>
        <v>2031</v>
      </c>
      <c r="U100" s="4756">
        <f t="shared" si="105"/>
        <v>2032</v>
      </c>
      <c r="V100" s="4756">
        <f t="shared" si="105"/>
        <v>2033</v>
      </c>
      <c r="W100" s="4756">
        <f t="shared" si="105"/>
        <v>2034</v>
      </c>
      <c r="X100" s="4756">
        <f t="shared" si="105"/>
        <v>2035</v>
      </c>
      <c r="Y100" s="4756">
        <f t="shared" si="105"/>
        <v>2036</v>
      </c>
      <c r="Z100" s="4756">
        <f t="shared" si="105"/>
        <v>2037</v>
      </c>
      <c r="AA100" s="4756">
        <f t="shared" si="105"/>
        <v>2038</v>
      </c>
      <c r="AB100" s="4756">
        <f t="shared" si="105"/>
        <v>2039</v>
      </c>
      <c r="AC100" s="4756">
        <f t="shared" si="105"/>
        <v>2040</v>
      </c>
      <c r="AD100" s="4756">
        <f t="shared" si="105"/>
        <v>2041</v>
      </c>
      <c r="AE100" s="4756">
        <f t="shared" si="105"/>
        <v>2042</v>
      </c>
      <c r="AF100" s="4756">
        <f t="shared" si="105"/>
        <v>2043</v>
      </c>
      <c r="AG100" s="4756">
        <f t="shared" si="105"/>
        <v>2044</v>
      </c>
      <c r="AH100" s="4756">
        <f t="shared" si="105"/>
        <v>2045</v>
      </c>
      <c r="AI100" s="4756">
        <f t="shared" si="105"/>
        <v>2046</v>
      </c>
      <c r="AJ100" s="4756">
        <f t="shared" si="105"/>
        <v>2047</v>
      </c>
      <c r="AK100" s="4756">
        <f t="shared" si="105"/>
        <v>2048</v>
      </c>
      <c r="AL100" s="4756">
        <f t="shared" si="105"/>
        <v>2049</v>
      </c>
      <c r="AM100" s="4756">
        <f t="shared" si="105"/>
        <v>2050</v>
      </c>
      <c r="AN100" s="4756">
        <f t="shared" si="105"/>
        <v>2051</v>
      </c>
      <c r="AO100" s="4756">
        <f t="shared" si="105"/>
        <v>2052</v>
      </c>
      <c r="AP100" s="4756">
        <f t="shared" si="105"/>
        <v>2053</v>
      </c>
      <c r="AQ100" s="4756">
        <f t="shared" si="105"/>
        <v>2054</v>
      </c>
      <c r="AR100" s="4756">
        <f t="shared" si="105"/>
        <v>2055</v>
      </c>
      <c r="AS100" s="4756">
        <f t="shared" si="105"/>
        <v>2056</v>
      </c>
      <c r="AT100" s="4756">
        <f t="shared" si="105"/>
        <v>2057</v>
      </c>
      <c r="AU100" s="4756">
        <f t="shared" si="105"/>
        <v>2058</v>
      </c>
      <c r="AV100" s="4756">
        <f t="shared" si="105"/>
        <v>2059</v>
      </c>
      <c r="AW100" s="4897"/>
      <c r="AX100" s="4897"/>
      <c r="AY100" s="4897"/>
      <c r="AZ100" s="4897"/>
      <c r="BA100" s="4897"/>
      <c r="BB100" s="4897"/>
      <c r="BC100" s="4897"/>
      <c r="BD100" s="4897"/>
      <c r="BE100" s="4897"/>
      <c r="BF100" s="4897"/>
      <c r="BG100" s="4897"/>
      <c r="BH100" s="4897"/>
      <c r="BI100" s="4897"/>
      <c r="BJ100" s="4897"/>
      <c r="BK100" s="4897"/>
      <c r="BL100" s="4897"/>
      <c r="BM100" s="4897"/>
      <c r="BN100" s="4897"/>
      <c r="BO100" s="4897"/>
      <c r="BP100" s="4897"/>
      <c r="BQ100" s="4897"/>
      <c r="BR100" s="4897"/>
      <c r="BS100" s="4897"/>
      <c r="BT100" s="4897"/>
      <c r="BU100" s="4897"/>
      <c r="BV100" s="4897"/>
      <c r="BW100" s="4897"/>
      <c r="BX100" s="4897"/>
      <c r="BY100" s="4897"/>
      <c r="BZ100" s="4897"/>
      <c r="CA100" s="4897"/>
      <c r="CB100" s="4897"/>
      <c r="CC100" s="4897"/>
      <c r="CD100" s="4897"/>
      <c r="CE100" s="4897"/>
      <c r="CF100" s="4897"/>
      <c r="CG100" s="4897"/>
      <c r="CH100" s="4897"/>
      <c r="CI100" s="4897"/>
      <c r="CJ100" s="4897"/>
      <c r="CK100" s="4897"/>
      <c r="CL100" s="4897"/>
      <c r="CM100" s="4897"/>
      <c r="CN100" s="4897"/>
      <c r="CO100" s="4897"/>
      <c r="CP100" s="4897"/>
      <c r="CQ100" s="4897"/>
      <c r="CR100" s="4897"/>
      <c r="CS100" s="4897"/>
      <c r="CT100" s="4897"/>
      <c r="CU100" s="4897"/>
      <c r="CV100" s="4897"/>
      <c r="CW100" s="4897"/>
      <c r="CX100" s="4897"/>
      <c r="CY100" s="4897"/>
      <c r="CZ100" s="4897"/>
      <c r="DA100" s="4897"/>
      <c r="DB100" s="4897"/>
      <c r="DC100" s="4897"/>
      <c r="DD100" s="4897"/>
      <c r="DE100" s="4897"/>
      <c r="DF100" s="4897"/>
      <c r="DG100" s="4897"/>
      <c r="DH100" s="4897"/>
      <c r="DI100" s="4897"/>
      <c r="DJ100" s="4897"/>
      <c r="DK100" s="4897"/>
      <c r="DL100" s="4897"/>
      <c r="DM100" s="4897"/>
      <c r="DN100" s="4897"/>
      <c r="DO100" s="4897"/>
      <c r="DP100" s="4897"/>
      <c r="DQ100" s="4897"/>
      <c r="DR100" s="4897"/>
      <c r="DS100" s="4897"/>
      <c r="DT100" s="4897"/>
      <c r="DU100" s="4897"/>
      <c r="DV100" s="4897"/>
      <c r="DW100" s="4897"/>
      <c r="DX100" s="4897"/>
      <c r="DY100" s="4897"/>
      <c r="DZ100" s="4897"/>
      <c r="EA100" s="4897"/>
      <c r="EB100" s="4897"/>
      <c r="EC100" s="4897"/>
      <c r="ED100" s="4897"/>
      <c r="EE100" s="4897"/>
      <c r="EF100" s="4897"/>
      <c r="EG100" s="4897"/>
      <c r="EH100" s="4897"/>
      <c r="EI100" s="4897"/>
      <c r="EJ100" s="4897"/>
      <c r="EK100" s="4897"/>
      <c r="EL100" s="4897"/>
      <c r="EM100" s="4897"/>
      <c r="EN100" s="4897"/>
      <c r="EO100" s="4897"/>
      <c r="EP100" s="4897"/>
      <c r="EQ100" s="4897"/>
      <c r="ER100" s="4897"/>
      <c r="ES100" s="4897"/>
      <c r="ET100" s="4897"/>
      <c r="EU100" s="4897"/>
      <c r="EV100" s="4897"/>
      <c r="EW100" s="4897"/>
      <c r="EX100" s="4897"/>
      <c r="EY100" s="4897"/>
      <c r="EZ100" s="4897"/>
      <c r="FA100" s="4897"/>
      <c r="FB100" s="4897"/>
      <c r="FC100" s="4897"/>
      <c r="FD100" s="4897"/>
      <c r="FE100" s="4897"/>
      <c r="FF100" s="4897"/>
      <c r="FG100" s="4897"/>
      <c r="FH100" s="4897"/>
      <c r="FI100" s="4897"/>
      <c r="FJ100" s="4897"/>
      <c r="FK100" s="4897"/>
      <c r="FL100" s="4897"/>
      <c r="FM100" s="4897"/>
      <c r="FN100" s="4897"/>
      <c r="FO100" s="4897"/>
      <c r="FP100" s="4897"/>
      <c r="FQ100" s="4897"/>
      <c r="FR100" s="4897"/>
      <c r="FS100" s="4897"/>
      <c r="FT100" s="4897"/>
      <c r="FU100" s="4897"/>
      <c r="FV100" s="4897"/>
      <c r="FW100" s="4897"/>
      <c r="FX100" s="4897"/>
      <c r="FY100" s="4897"/>
      <c r="FZ100" s="4897"/>
      <c r="GA100" s="4897"/>
      <c r="GB100" s="4897"/>
      <c r="GC100" s="4897"/>
      <c r="GD100" s="4897"/>
      <c r="GE100" s="4899"/>
    </row>
    <row r="101" spans="2:187" ht="13.5" customHeight="1" outlineLevel="1">
      <c r="C101" s="4781"/>
      <c r="D101" s="4925" t="s">
        <v>1080</v>
      </c>
      <c r="E101" s="1868"/>
      <c r="F101" s="767"/>
      <c r="G101" s="767"/>
      <c r="H101" s="767">
        <f>H96</f>
        <v>1423.4598599999997</v>
      </c>
      <c r="I101" s="767">
        <f t="shared" ref="I101:AV101" si="106">H104</f>
        <v>1288.9204799999998</v>
      </c>
      <c r="J101" s="767">
        <f t="shared" si="106"/>
        <v>1127.8054199999997</v>
      </c>
      <c r="K101" s="767">
        <f t="shared" si="106"/>
        <v>955.06349999999975</v>
      </c>
      <c r="L101" s="767">
        <f t="shared" si="106"/>
        <v>796.43990999999983</v>
      </c>
      <c r="M101" s="767">
        <f t="shared" si="106"/>
        <v>631.17239999999981</v>
      </c>
      <c r="N101" s="767">
        <f t="shared" si="106"/>
        <v>465.07439999999986</v>
      </c>
      <c r="O101" s="767">
        <f t="shared" si="106"/>
        <v>253.29944999999987</v>
      </c>
      <c r="P101" s="767">
        <f t="shared" si="106"/>
        <v>109.62467999999987</v>
      </c>
      <c r="Q101" s="767">
        <f t="shared" si="106"/>
        <v>69.761159999999876</v>
      </c>
      <c r="R101" s="767">
        <f t="shared" si="106"/>
        <v>29.897639999999875</v>
      </c>
      <c r="S101" s="767">
        <f t="shared" si="106"/>
        <v>0</v>
      </c>
      <c r="T101" s="767">
        <f t="shared" si="106"/>
        <v>0</v>
      </c>
      <c r="U101" s="767">
        <f t="shared" si="106"/>
        <v>0</v>
      </c>
      <c r="V101" s="767">
        <f t="shared" si="106"/>
        <v>0</v>
      </c>
      <c r="W101" s="767">
        <f t="shared" si="106"/>
        <v>0</v>
      </c>
      <c r="X101" s="767">
        <f t="shared" si="106"/>
        <v>0</v>
      </c>
      <c r="Y101" s="767">
        <f t="shared" si="106"/>
        <v>0</v>
      </c>
      <c r="Z101" s="767">
        <f t="shared" si="106"/>
        <v>0</v>
      </c>
      <c r="AA101" s="767">
        <f t="shared" si="106"/>
        <v>0</v>
      </c>
      <c r="AB101" s="767">
        <f t="shared" si="106"/>
        <v>0</v>
      </c>
      <c r="AC101" s="767">
        <f t="shared" si="106"/>
        <v>0</v>
      </c>
      <c r="AD101" s="767">
        <f t="shared" si="106"/>
        <v>0</v>
      </c>
      <c r="AE101" s="767">
        <f t="shared" si="106"/>
        <v>0</v>
      </c>
      <c r="AF101" s="767">
        <f t="shared" si="106"/>
        <v>0</v>
      </c>
      <c r="AG101" s="767">
        <f t="shared" si="106"/>
        <v>0</v>
      </c>
      <c r="AH101" s="767">
        <f t="shared" si="106"/>
        <v>0</v>
      </c>
      <c r="AI101" s="767">
        <f t="shared" si="106"/>
        <v>0</v>
      </c>
      <c r="AJ101" s="767">
        <f t="shared" si="106"/>
        <v>0</v>
      </c>
      <c r="AK101" s="767">
        <f t="shared" si="106"/>
        <v>0</v>
      </c>
      <c r="AL101" s="767">
        <f t="shared" si="106"/>
        <v>0</v>
      </c>
      <c r="AM101" s="767">
        <f t="shared" si="106"/>
        <v>0</v>
      </c>
      <c r="AN101" s="767">
        <f t="shared" si="106"/>
        <v>0</v>
      </c>
      <c r="AO101" s="767">
        <f t="shared" si="106"/>
        <v>0</v>
      </c>
      <c r="AP101" s="767">
        <f t="shared" si="106"/>
        <v>0</v>
      </c>
      <c r="AQ101" s="767">
        <f t="shared" si="106"/>
        <v>0</v>
      </c>
      <c r="AR101" s="767">
        <f t="shared" si="106"/>
        <v>0</v>
      </c>
      <c r="AS101" s="767">
        <f t="shared" si="106"/>
        <v>0</v>
      </c>
      <c r="AT101" s="767">
        <f t="shared" si="106"/>
        <v>0</v>
      </c>
      <c r="AU101" s="767">
        <f t="shared" si="106"/>
        <v>0</v>
      </c>
      <c r="AV101" s="767">
        <f t="shared" si="106"/>
        <v>0</v>
      </c>
      <c r="AW101" s="4897"/>
      <c r="AX101" s="4897"/>
      <c r="AY101" s="4897"/>
      <c r="AZ101" s="4897"/>
      <c r="BA101" s="4897"/>
      <c r="BB101" s="4897"/>
      <c r="BC101" s="4897"/>
      <c r="BD101" s="4897"/>
      <c r="BE101" s="4897"/>
      <c r="BF101" s="4897"/>
      <c r="BG101" s="4897"/>
      <c r="BH101" s="4897"/>
      <c r="BI101" s="4897"/>
      <c r="BJ101" s="4897"/>
      <c r="BK101" s="4897"/>
      <c r="BL101" s="4897"/>
      <c r="BM101" s="4897"/>
      <c r="BN101" s="4897"/>
      <c r="BO101" s="4897"/>
      <c r="BP101" s="4897"/>
      <c r="BQ101" s="4897"/>
      <c r="BR101" s="4897"/>
      <c r="BS101" s="4897"/>
      <c r="BT101" s="4897"/>
      <c r="BU101" s="4897"/>
      <c r="BV101" s="4897"/>
      <c r="BW101" s="4897"/>
      <c r="BX101" s="4897"/>
      <c r="BY101" s="4897"/>
      <c r="BZ101" s="4897"/>
      <c r="CA101" s="4897"/>
      <c r="CB101" s="4897"/>
      <c r="CC101" s="4897"/>
      <c r="CD101" s="4897"/>
      <c r="CE101" s="4897"/>
      <c r="CF101" s="4897"/>
      <c r="CG101" s="4897"/>
      <c r="CH101" s="4897"/>
      <c r="CI101" s="4897"/>
      <c r="CJ101" s="4897"/>
      <c r="CK101" s="4897"/>
      <c r="CL101" s="4897"/>
      <c r="CM101" s="4897"/>
      <c r="CN101" s="4897"/>
      <c r="CO101" s="4897"/>
      <c r="CP101" s="4897"/>
      <c r="CQ101" s="4897"/>
      <c r="CR101" s="4897"/>
      <c r="CS101" s="4897"/>
      <c r="CT101" s="4897"/>
      <c r="CU101" s="4897"/>
      <c r="CV101" s="4897"/>
      <c r="CW101" s="4897"/>
      <c r="CX101" s="4897"/>
      <c r="CY101" s="4897"/>
      <c r="CZ101" s="4897"/>
      <c r="DA101" s="4897"/>
      <c r="DB101" s="4897"/>
      <c r="DC101" s="4897"/>
      <c r="DD101" s="4897"/>
      <c r="DE101" s="4897"/>
      <c r="DF101" s="4897"/>
      <c r="DG101" s="4897"/>
      <c r="DH101" s="4897"/>
      <c r="DI101" s="4897"/>
      <c r="DJ101" s="4897"/>
      <c r="DK101" s="4897"/>
      <c r="DL101" s="4897"/>
      <c r="DM101" s="4897"/>
      <c r="DN101" s="4897"/>
      <c r="DO101" s="4897"/>
      <c r="DP101" s="4897"/>
      <c r="DQ101" s="4897"/>
      <c r="DR101" s="4897"/>
      <c r="DS101" s="4897"/>
      <c r="DT101" s="4897"/>
      <c r="DU101" s="4897"/>
      <c r="DV101" s="4897"/>
      <c r="DW101" s="4897"/>
      <c r="DX101" s="4897"/>
      <c r="DY101" s="4897"/>
      <c r="DZ101" s="4897"/>
      <c r="EA101" s="4897"/>
      <c r="EB101" s="4897"/>
      <c r="EC101" s="4897"/>
      <c r="ED101" s="4897"/>
      <c r="EE101" s="4897"/>
      <c r="EF101" s="4897"/>
      <c r="EG101" s="4897"/>
      <c r="EH101" s="4897"/>
      <c r="EI101" s="4897"/>
      <c r="EJ101" s="4897"/>
      <c r="EK101" s="4897"/>
      <c r="EL101" s="4897"/>
      <c r="EM101" s="4897"/>
      <c r="EN101" s="4897"/>
      <c r="EO101" s="4897"/>
      <c r="EP101" s="4897"/>
      <c r="EQ101" s="4897"/>
      <c r="ER101" s="4897"/>
      <c r="ES101" s="4897"/>
      <c r="ET101" s="4897"/>
      <c r="EU101" s="4897"/>
      <c r="EV101" s="4897"/>
      <c r="EW101" s="4897"/>
      <c r="EX101" s="4897"/>
      <c r="EY101" s="4897"/>
      <c r="EZ101" s="4897"/>
      <c r="FA101" s="4897"/>
      <c r="FB101" s="4897"/>
      <c r="FC101" s="4897"/>
      <c r="FD101" s="4897"/>
      <c r="FE101" s="4897"/>
      <c r="FF101" s="4897"/>
      <c r="FG101" s="4897"/>
      <c r="FH101" s="4897"/>
      <c r="FI101" s="4897"/>
      <c r="FJ101" s="4897"/>
      <c r="FK101" s="4897"/>
      <c r="FL101" s="4897"/>
      <c r="FM101" s="4897"/>
      <c r="FN101" s="4897"/>
      <c r="FO101" s="4897"/>
      <c r="FP101" s="4897"/>
      <c r="FQ101" s="4897"/>
      <c r="FR101" s="4897"/>
      <c r="FS101" s="4897"/>
      <c r="FT101" s="4897"/>
      <c r="FU101" s="4897"/>
      <c r="FV101" s="4897"/>
      <c r="FW101" s="4897"/>
      <c r="FX101" s="4897"/>
      <c r="FY101" s="4897"/>
      <c r="FZ101" s="4897"/>
      <c r="GA101" s="4897"/>
      <c r="GB101" s="4897"/>
      <c r="GC101" s="4897"/>
      <c r="GD101" s="4897"/>
      <c r="GE101" s="4899"/>
    </row>
    <row r="102" spans="2:187" ht="13.5" customHeight="1" outlineLevel="1">
      <c r="C102" s="4900"/>
      <c r="D102" s="4744" t="s">
        <v>1081</v>
      </c>
      <c r="E102" s="722"/>
      <c r="F102" s="775">
        <f t="shared" ref="F102:F107" si="107">SUM(H102:FO102)</f>
        <v>0</v>
      </c>
      <c r="G102" s="775"/>
      <c r="H102" s="775"/>
      <c r="I102" s="775"/>
      <c r="J102" s="775"/>
      <c r="K102" s="775"/>
      <c r="L102" s="775"/>
      <c r="M102" s="775"/>
      <c r="N102" s="775"/>
      <c r="O102" s="775"/>
      <c r="P102" s="775"/>
      <c r="Q102" s="775"/>
      <c r="R102" s="775"/>
      <c r="S102" s="775"/>
      <c r="T102" s="775"/>
      <c r="U102" s="775"/>
      <c r="V102" s="775"/>
      <c r="W102" s="775"/>
      <c r="X102" s="775"/>
      <c r="Y102" s="775"/>
      <c r="Z102" s="775"/>
      <c r="AA102" s="775"/>
      <c r="AB102" s="775"/>
      <c r="AC102" s="775"/>
      <c r="AD102" s="775"/>
      <c r="AE102" s="775"/>
      <c r="AF102" s="775"/>
      <c r="AG102" s="775"/>
      <c r="AH102" s="775"/>
      <c r="AI102" s="775"/>
      <c r="AJ102" s="775"/>
      <c r="AK102" s="775"/>
      <c r="AL102" s="775"/>
      <c r="AM102" s="775"/>
      <c r="AN102" s="775"/>
      <c r="AO102" s="775"/>
      <c r="AP102" s="775"/>
      <c r="AQ102" s="775"/>
      <c r="AR102" s="775"/>
      <c r="AS102" s="775"/>
      <c r="AT102" s="775"/>
      <c r="AU102" s="775"/>
      <c r="AV102" s="775"/>
      <c r="AW102" s="4897"/>
      <c r="AX102" s="4897"/>
      <c r="AY102" s="4897"/>
      <c r="AZ102" s="4897"/>
      <c r="BA102" s="4897"/>
      <c r="BB102" s="4897"/>
      <c r="BC102" s="4897"/>
      <c r="BD102" s="4897"/>
      <c r="BE102" s="4897"/>
      <c r="BF102" s="4897"/>
      <c r="BG102" s="4897"/>
      <c r="BH102" s="4897"/>
      <c r="BI102" s="4897"/>
      <c r="BJ102" s="4897"/>
      <c r="BK102" s="4897"/>
      <c r="BL102" s="4897"/>
      <c r="BM102" s="4897"/>
      <c r="BN102" s="4897"/>
      <c r="BO102" s="4897"/>
      <c r="BP102" s="4897"/>
      <c r="BQ102" s="4897"/>
      <c r="BR102" s="4897"/>
      <c r="BS102" s="4897"/>
      <c r="BT102" s="4897"/>
      <c r="BU102" s="4897"/>
      <c r="BV102" s="4897"/>
      <c r="BW102" s="4897"/>
      <c r="BX102" s="4897"/>
      <c r="BY102" s="4897"/>
      <c r="BZ102" s="4897"/>
      <c r="CA102" s="4897"/>
      <c r="CB102" s="4897"/>
      <c r="CC102" s="4897"/>
      <c r="CD102" s="4897"/>
      <c r="CE102" s="4897"/>
      <c r="CF102" s="4897"/>
      <c r="CG102" s="4897"/>
      <c r="CH102" s="4897"/>
      <c r="CI102" s="4897"/>
      <c r="CJ102" s="4897"/>
      <c r="CK102" s="4897"/>
      <c r="CL102" s="4897"/>
      <c r="CM102" s="4897"/>
      <c r="CN102" s="4897"/>
      <c r="CO102" s="4897"/>
      <c r="CP102" s="4897"/>
      <c r="CQ102" s="4897"/>
      <c r="CR102" s="4897"/>
      <c r="CS102" s="4897"/>
      <c r="CT102" s="4897"/>
      <c r="CU102" s="4897"/>
      <c r="CV102" s="4897"/>
      <c r="CW102" s="4897"/>
      <c r="CX102" s="4897"/>
      <c r="CY102" s="4897"/>
      <c r="CZ102" s="4897"/>
      <c r="DA102" s="4897"/>
      <c r="DB102" s="4897"/>
      <c r="DC102" s="4897"/>
      <c r="DD102" s="4897"/>
      <c r="DE102" s="4897"/>
      <c r="DF102" s="4897"/>
      <c r="DG102" s="4897"/>
      <c r="DH102" s="4897"/>
      <c r="DI102" s="4897"/>
      <c r="DJ102" s="4897"/>
      <c r="DK102" s="4897"/>
      <c r="DL102" s="4897"/>
      <c r="DM102" s="4897"/>
      <c r="DN102" s="4897"/>
      <c r="DO102" s="4897"/>
      <c r="DP102" s="4897"/>
      <c r="DQ102" s="4897"/>
      <c r="DR102" s="4897"/>
      <c r="DS102" s="4897"/>
      <c r="DT102" s="4897"/>
      <c r="DU102" s="4897"/>
      <c r="DV102" s="4897"/>
      <c r="DW102" s="4897"/>
      <c r="DX102" s="4897"/>
      <c r="DY102" s="4897"/>
      <c r="DZ102" s="4897"/>
      <c r="EA102" s="4897"/>
      <c r="EB102" s="4897"/>
      <c r="EC102" s="4897"/>
      <c r="ED102" s="4897"/>
      <c r="EE102" s="4897"/>
      <c r="EF102" s="4897"/>
      <c r="EG102" s="4897"/>
      <c r="EH102" s="4897"/>
      <c r="EI102" s="4897"/>
      <c r="EJ102" s="4897"/>
      <c r="EK102" s="4897"/>
      <c r="EL102" s="4897"/>
      <c r="EM102" s="4897"/>
      <c r="EN102" s="4897"/>
      <c r="EO102" s="4897"/>
      <c r="EP102" s="4897"/>
      <c r="EQ102" s="4897"/>
      <c r="ER102" s="4897"/>
      <c r="ES102" s="4897"/>
      <c r="ET102" s="4897"/>
      <c r="EU102" s="4897"/>
      <c r="EV102" s="4897"/>
      <c r="EW102" s="4897"/>
      <c r="EX102" s="4897"/>
      <c r="EY102" s="4897"/>
      <c r="EZ102" s="4897"/>
      <c r="FA102" s="4897"/>
      <c r="FB102" s="4897"/>
      <c r="FC102" s="4897"/>
      <c r="FD102" s="4897"/>
      <c r="FE102" s="4897"/>
      <c r="FF102" s="4897"/>
      <c r="FG102" s="4897"/>
      <c r="FH102" s="4897"/>
      <c r="FI102" s="4897"/>
      <c r="FJ102" s="4897"/>
      <c r="FK102" s="4897"/>
      <c r="FL102" s="4897"/>
      <c r="FM102" s="4897"/>
      <c r="FN102" s="4897"/>
      <c r="FO102" s="4897"/>
      <c r="FP102" s="4897"/>
      <c r="FQ102" s="4897"/>
      <c r="FR102" s="4897"/>
      <c r="FS102" s="4897"/>
      <c r="FT102" s="4897"/>
      <c r="FU102" s="4897"/>
      <c r="FV102" s="4897"/>
      <c r="FW102" s="4897"/>
      <c r="FX102" s="4897"/>
      <c r="FY102" s="4897"/>
      <c r="FZ102" s="4897"/>
      <c r="GA102" s="4897"/>
      <c r="GB102" s="4897"/>
      <c r="GC102" s="4897"/>
      <c r="GD102" s="4897"/>
      <c r="GE102" s="4899"/>
    </row>
    <row r="103" spans="2:187" ht="13.15" customHeight="1" outlineLevel="1">
      <c r="C103" s="4781"/>
      <c r="D103" s="4925" t="s">
        <v>1082</v>
      </c>
      <c r="E103" s="1868"/>
      <c r="F103" s="767">
        <f t="shared" si="107"/>
        <v>1423.4598600000002</v>
      </c>
      <c r="G103" s="767"/>
      <c r="H103" s="767">
        <f t="shared" ref="H103:AV103" si="108">SUMIF($3:$3,H$59,97:97)</f>
        <v>134.53937999999999</v>
      </c>
      <c r="I103" s="767">
        <f t="shared" si="108"/>
        <v>161.11505999999997</v>
      </c>
      <c r="J103" s="767">
        <f t="shared" si="108"/>
        <v>172.74191999999999</v>
      </c>
      <c r="K103" s="767">
        <f t="shared" si="108"/>
        <v>158.62358999999998</v>
      </c>
      <c r="L103" s="767">
        <f t="shared" si="108"/>
        <v>165.26751000000002</v>
      </c>
      <c r="M103" s="767">
        <f t="shared" si="108"/>
        <v>166.09799999999998</v>
      </c>
      <c r="N103" s="767">
        <f t="shared" si="108"/>
        <v>211.77494999999999</v>
      </c>
      <c r="O103" s="767">
        <f t="shared" si="108"/>
        <v>143.67477</v>
      </c>
      <c r="P103" s="767">
        <f t="shared" si="108"/>
        <v>39.863520000000001</v>
      </c>
      <c r="Q103" s="767">
        <f t="shared" si="108"/>
        <v>39.863520000000001</v>
      </c>
      <c r="R103" s="767">
        <f t="shared" si="108"/>
        <v>29.897639999999889</v>
      </c>
      <c r="S103" s="767">
        <f t="shared" si="108"/>
        <v>0</v>
      </c>
      <c r="T103" s="767">
        <f t="shared" si="108"/>
        <v>0</v>
      </c>
      <c r="U103" s="767">
        <f t="shared" si="108"/>
        <v>0</v>
      </c>
      <c r="V103" s="767">
        <f t="shared" si="108"/>
        <v>0</v>
      </c>
      <c r="W103" s="767">
        <f t="shared" si="108"/>
        <v>0</v>
      </c>
      <c r="X103" s="767">
        <f t="shared" si="108"/>
        <v>0</v>
      </c>
      <c r="Y103" s="767">
        <f t="shared" si="108"/>
        <v>0</v>
      </c>
      <c r="Z103" s="767">
        <f t="shared" si="108"/>
        <v>0</v>
      </c>
      <c r="AA103" s="767">
        <f t="shared" si="108"/>
        <v>0</v>
      </c>
      <c r="AB103" s="767">
        <f t="shared" si="108"/>
        <v>0</v>
      </c>
      <c r="AC103" s="767">
        <f t="shared" si="108"/>
        <v>0</v>
      </c>
      <c r="AD103" s="767">
        <f t="shared" si="108"/>
        <v>0</v>
      </c>
      <c r="AE103" s="767">
        <f t="shared" si="108"/>
        <v>0</v>
      </c>
      <c r="AF103" s="767">
        <f t="shared" si="108"/>
        <v>0</v>
      </c>
      <c r="AG103" s="767">
        <f t="shared" si="108"/>
        <v>0</v>
      </c>
      <c r="AH103" s="767">
        <f t="shared" si="108"/>
        <v>0</v>
      </c>
      <c r="AI103" s="767">
        <f t="shared" si="108"/>
        <v>0</v>
      </c>
      <c r="AJ103" s="767">
        <f t="shared" si="108"/>
        <v>0</v>
      </c>
      <c r="AK103" s="767">
        <f t="shared" si="108"/>
        <v>0</v>
      </c>
      <c r="AL103" s="767">
        <f t="shared" si="108"/>
        <v>0</v>
      </c>
      <c r="AM103" s="767">
        <f t="shared" si="108"/>
        <v>0</v>
      </c>
      <c r="AN103" s="767">
        <f t="shared" si="108"/>
        <v>0</v>
      </c>
      <c r="AO103" s="767">
        <f t="shared" si="108"/>
        <v>0</v>
      </c>
      <c r="AP103" s="767">
        <f t="shared" si="108"/>
        <v>0</v>
      </c>
      <c r="AQ103" s="767">
        <f t="shared" si="108"/>
        <v>0</v>
      </c>
      <c r="AR103" s="767">
        <f t="shared" si="108"/>
        <v>0</v>
      </c>
      <c r="AS103" s="767">
        <f t="shared" si="108"/>
        <v>0</v>
      </c>
      <c r="AT103" s="767">
        <f t="shared" si="108"/>
        <v>0</v>
      </c>
      <c r="AU103" s="767">
        <f t="shared" si="108"/>
        <v>0</v>
      </c>
      <c r="AV103" s="767">
        <f t="shared" si="108"/>
        <v>0</v>
      </c>
      <c r="AW103" s="4897"/>
      <c r="AX103" s="4897"/>
      <c r="AY103" s="4897"/>
      <c r="AZ103" s="4897"/>
      <c r="BA103" s="4897"/>
      <c r="BB103" s="4897"/>
      <c r="BC103" s="4897"/>
      <c r="BD103" s="4897"/>
      <c r="BE103" s="4897"/>
      <c r="BF103" s="4897"/>
      <c r="BG103" s="4897"/>
      <c r="BH103" s="4897"/>
      <c r="BI103" s="4897"/>
      <c r="BJ103" s="4897"/>
      <c r="BK103" s="4897"/>
      <c r="BL103" s="4897"/>
      <c r="BM103" s="4897"/>
      <c r="BN103" s="4897"/>
      <c r="BO103" s="4897"/>
      <c r="BP103" s="4897"/>
      <c r="BQ103" s="4897"/>
      <c r="BR103" s="4897"/>
      <c r="BS103" s="4897"/>
      <c r="BT103" s="4897"/>
      <c r="BU103" s="4897"/>
      <c r="BV103" s="4897"/>
      <c r="BW103" s="4897"/>
      <c r="BX103" s="4897"/>
      <c r="BY103" s="4897"/>
      <c r="BZ103" s="4897"/>
      <c r="CA103" s="4897"/>
      <c r="CB103" s="4897"/>
      <c r="CC103" s="4897"/>
      <c r="CD103" s="4897"/>
      <c r="CE103" s="4897"/>
      <c r="CF103" s="4897"/>
      <c r="CG103" s="4897"/>
      <c r="CH103" s="4897"/>
      <c r="CI103" s="4897"/>
      <c r="CJ103" s="4897"/>
      <c r="CK103" s="4897"/>
      <c r="CL103" s="4897"/>
      <c r="CM103" s="4897"/>
      <c r="CN103" s="4897"/>
      <c r="CO103" s="4897"/>
      <c r="CP103" s="4897"/>
      <c r="CQ103" s="4897"/>
      <c r="CR103" s="4897"/>
      <c r="CS103" s="4897"/>
      <c r="CT103" s="4897"/>
      <c r="CU103" s="4897"/>
      <c r="CV103" s="4897"/>
      <c r="CW103" s="4897"/>
      <c r="CX103" s="4897"/>
      <c r="CY103" s="4897"/>
      <c r="CZ103" s="4897"/>
      <c r="DA103" s="4897"/>
      <c r="DB103" s="4897"/>
      <c r="DC103" s="4897"/>
      <c r="DD103" s="4897"/>
      <c r="DE103" s="4897"/>
      <c r="DF103" s="4897"/>
      <c r="DG103" s="4897"/>
      <c r="DH103" s="4897"/>
      <c r="DI103" s="4897"/>
      <c r="DJ103" s="4897"/>
      <c r="DK103" s="4897"/>
      <c r="DL103" s="4897"/>
      <c r="DM103" s="4897"/>
      <c r="DN103" s="4897"/>
      <c r="DO103" s="4897"/>
      <c r="DP103" s="4897"/>
      <c r="DQ103" s="4897"/>
      <c r="DR103" s="4897"/>
      <c r="DS103" s="4897"/>
      <c r="DT103" s="4897"/>
      <c r="DU103" s="4897"/>
      <c r="DV103" s="4897"/>
      <c r="DW103" s="4897"/>
      <c r="DX103" s="4897"/>
      <c r="DY103" s="4897"/>
      <c r="DZ103" s="4897"/>
      <c r="EA103" s="4897"/>
      <c r="EB103" s="4897"/>
      <c r="EC103" s="4897"/>
      <c r="ED103" s="4897"/>
      <c r="EE103" s="4897"/>
      <c r="EF103" s="4897"/>
      <c r="EG103" s="4897"/>
      <c r="EH103" s="4897"/>
      <c r="EI103" s="4897"/>
      <c r="EJ103" s="4897"/>
      <c r="EK103" s="4897"/>
      <c r="EL103" s="4897"/>
      <c r="EM103" s="4897"/>
      <c r="EN103" s="4897"/>
      <c r="EO103" s="4897"/>
      <c r="EP103" s="4897"/>
      <c r="EQ103" s="4897"/>
      <c r="ER103" s="4897"/>
      <c r="ES103" s="4897"/>
      <c r="ET103" s="4897"/>
      <c r="EU103" s="4897"/>
      <c r="EV103" s="4897"/>
      <c r="EW103" s="4897"/>
      <c r="EX103" s="4897"/>
      <c r="EY103" s="4897"/>
      <c r="EZ103" s="4897"/>
      <c r="FA103" s="4897"/>
      <c r="FB103" s="4897"/>
      <c r="FC103" s="4897"/>
      <c r="FD103" s="4897"/>
      <c r="FE103" s="4897"/>
      <c r="FF103" s="4897"/>
      <c r="FG103" s="4897"/>
      <c r="FH103" s="4897"/>
      <c r="FI103" s="4897"/>
      <c r="FJ103" s="4897"/>
      <c r="FK103" s="4897"/>
      <c r="FL103" s="4897"/>
      <c r="FM103" s="4897"/>
      <c r="FN103" s="4897"/>
      <c r="FO103" s="4897"/>
      <c r="FP103" s="4897"/>
      <c r="FQ103" s="4897"/>
      <c r="FR103" s="4897"/>
      <c r="FS103" s="4897"/>
      <c r="FT103" s="4897"/>
      <c r="FU103" s="4897"/>
      <c r="FV103" s="4897"/>
      <c r="FW103" s="4897"/>
      <c r="FX103" s="4897"/>
      <c r="FY103" s="4897"/>
      <c r="FZ103" s="4897"/>
      <c r="GA103" s="4897"/>
      <c r="GB103" s="4897"/>
      <c r="GC103" s="4897"/>
      <c r="GD103" s="4897"/>
      <c r="GE103" s="4899"/>
    </row>
    <row r="104" spans="2:187" ht="13.5" customHeight="1" outlineLevel="1">
      <c r="C104" s="4912"/>
      <c r="D104" s="4951" t="s">
        <v>1096</v>
      </c>
      <c r="E104" s="4913"/>
      <c r="F104" s="4753"/>
      <c r="G104" s="4753"/>
      <c r="H104" s="4753">
        <f>IF(ABS(H101+H102-H103)&lt;0.000001,0,H101+H102-H103)</f>
        <v>1288.9204799999998</v>
      </c>
      <c r="I104" s="4753">
        <f t="shared" ref="I104:AV104" si="109">IF(ABS(I101+I102-I103)&lt;0.000001,0,I101+I102-I103)</f>
        <v>1127.8054199999997</v>
      </c>
      <c r="J104" s="4753">
        <f t="shared" si="109"/>
        <v>955.06349999999975</v>
      </c>
      <c r="K104" s="4753">
        <f t="shared" si="109"/>
        <v>796.43990999999983</v>
      </c>
      <c r="L104" s="4753">
        <f t="shared" si="109"/>
        <v>631.17239999999981</v>
      </c>
      <c r="M104" s="4753">
        <f t="shared" si="109"/>
        <v>465.07439999999986</v>
      </c>
      <c r="N104" s="4753">
        <f t="shared" si="109"/>
        <v>253.29944999999987</v>
      </c>
      <c r="O104" s="4753">
        <f t="shared" si="109"/>
        <v>109.62467999999987</v>
      </c>
      <c r="P104" s="4753">
        <f t="shared" si="109"/>
        <v>69.761159999999876</v>
      </c>
      <c r="Q104" s="4753">
        <f t="shared" si="109"/>
        <v>29.897639999999875</v>
      </c>
      <c r="R104" s="4753">
        <f t="shared" si="109"/>
        <v>0</v>
      </c>
      <c r="S104" s="4753">
        <f t="shared" si="109"/>
        <v>0</v>
      </c>
      <c r="T104" s="4753">
        <f t="shared" si="109"/>
        <v>0</v>
      </c>
      <c r="U104" s="4753">
        <f t="shared" si="109"/>
        <v>0</v>
      </c>
      <c r="V104" s="4753">
        <f t="shared" si="109"/>
        <v>0</v>
      </c>
      <c r="W104" s="4753">
        <f t="shared" si="109"/>
        <v>0</v>
      </c>
      <c r="X104" s="4753">
        <f t="shared" si="109"/>
        <v>0</v>
      </c>
      <c r="Y104" s="4753">
        <f t="shared" si="109"/>
        <v>0</v>
      </c>
      <c r="Z104" s="4753">
        <f t="shared" si="109"/>
        <v>0</v>
      </c>
      <c r="AA104" s="4753">
        <f t="shared" si="109"/>
        <v>0</v>
      </c>
      <c r="AB104" s="4753">
        <f t="shared" si="109"/>
        <v>0</v>
      </c>
      <c r="AC104" s="4753">
        <f t="shared" si="109"/>
        <v>0</v>
      </c>
      <c r="AD104" s="4753">
        <f t="shared" si="109"/>
        <v>0</v>
      </c>
      <c r="AE104" s="4753">
        <f t="shared" si="109"/>
        <v>0</v>
      </c>
      <c r="AF104" s="4753">
        <f t="shared" si="109"/>
        <v>0</v>
      </c>
      <c r="AG104" s="4753">
        <f t="shared" si="109"/>
        <v>0</v>
      </c>
      <c r="AH104" s="4753">
        <f t="shared" si="109"/>
        <v>0</v>
      </c>
      <c r="AI104" s="4753">
        <f t="shared" si="109"/>
        <v>0</v>
      </c>
      <c r="AJ104" s="4753">
        <f t="shared" si="109"/>
        <v>0</v>
      </c>
      <c r="AK104" s="4753">
        <f t="shared" si="109"/>
        <v>0</v>
      </c>
      <c r="AL104" s="4753">
        <f t="shared" si="109"/>
        <v>0</v>
      </c>
      <c r="AM104" s="4753">
        <f t="shared" si="109"/>
        <v>0</v>
      </c>
      <c r="AN104" s="4753">
        <f t="shared" si="109"/>
        <v>0</v>
      </c>
      <c r="AO104" s="4753">
        <f t="shared" si="109"/>
        <v>0</v>
      </c>
      <c r="AP104" s="4753">
        <f t="shared" si="109"/>
        <v>0</v>
      </c>
      <c r="AQ104" s="4753">
        <f t="shared" si="109"/>
        <v>0</v>
      </c>
      <c r="AR104" s="4753">
        <f t="shared" si="109"/>
        <v>0</v>
      </c>
      <c r="AS104" s="4753">
        <f t="shared" si="109"/>
        <v>0</v>
      </c>
      <c r="AT104" s="4753">
        <f t="shared" si="109"/>
        <v>0</v>
      </c>
      <c r="AU104" s="4753">
        <f t="shared" si="109"/>
        <v>0</v>
      </c>
      <c r="AV104" s="4753">
        <f t="shared" si="109"/>
        <v>0</v>
      </c>
      <c r="AW104" s="4897"/>
      <c r="AX104" s="4897"/>
      <c r="AY104" s="4897"/>
      <c r="AZ104" s="4897"/>
      <c r="BA104" s="4897"/>
      <c r="BB104" s="4897"/>
      <c r="BC104" s="4897"/>
      <c r="BD104" s="4897"/>
      <c r="BE104" s="4897"/>
      <c r="BF104" s="4897"/>
      <c r="BG104" s="4897"/>
      <c r="BH104" s="4897"/>
      <c r="BI104" s="4897"/>
      <c r="BJ104" s="4897"/>
      <c r="BK104" s="4897"/>
      <c r="BL104" s="4897"/>
      <c r="BM104" s="4897"/>
      <c r="BN104" s="4897"/>
      <c r="BO104" s="4897"/>
      <c r="BP104" s="4897"/>
      <c r="BQ104" s="4897"/>
      <c r="BR104" s="4897"/>
      <c r="BS104" s="4897"/>
      <c r="BT104" s="4897"/>
      <c r="BU104" s="4897"/>
      <c r="BV104" s="4897"/>
      <c r="BW104" s="4897"/>
      <c r="BX104" s="4897"/>
      <c r="BY104" s="4897"/>
      <c r="BZ104" s="4897"/>
      <c r="CA104" s="4897"/>
      <c r="CB104" s="4897"/>
      <c r="CC104" s="4897"/>
      <c r="CD104" s="4897"/>
      <c r="CE104" s="4897"/>
      <c r="CF104" s="4897"/>
      <c r="CG104" s="4897"/>
      <c r="CH104" s="4897"/>
      <c r="CI104" s="4897"/>
      <c r="CJ104" s="4897"/>
      <c r="CK104" s="4897"/>
      <c r="CL104" s="4897"/>
      <c r="CM104" s="4897"/>
      <c r="CN104" s="4897"/>
      <c r="CO104" s="4897"/>
      <c r="CP104" s="4897"/>
      <c r="CQ104" s="4897"/>
      <c r="CR104" s="4897"/>
      <c r="CS104" s="4897"/>
      <c r="CT104" s="4897"/>
      <c r="CU104" s="4897"/>
      <c r="CV104" s="4897"/>
      <c r="CW104" s="4897"/>
      <c r="CX104" s="4897"/>
      <c r="CY104" s="4897"/>
      <c r="CZ104" s="4897"/>
      <c r="DA104" s="4897"/>
      <c r="DB104" s="4897"/>
      <c r="DC104" s="4897"/>
      <c r="DD104" s="4897"/>
      <c r="DE104" s="4897"/>
      <c r="DF104" s="4897"/>
      <c r="DG104" s="4897"/>
      <c r="DH104" s="4897"/>
      <c r="DI104" s="4897"/>
      <c r="DJ104" s="4897"/>
      <c r="DK104" s="4897"/>
      <c r="DL104" s="4897"/>
      <c r="DM104" s="4897"/>
      <c r="DN104" s="4897"/>
      <c r="DO104" s="4897"/>
      <c r="DP104" s="4897"/>
      <c r="DQ104" s="4897"/>
      <c r="DR104" s="4897"/>
      <c r="DS104" s="4897"/>
      <c r="DT104" s="4897"/>
      <c r="DU104" s="4897"/>
      <c r="DV104" s="4897"/>
      <c r="DW104" s="4897"/>
      <c r="DX104" s="4897"/>
      <c r="DY104" s="4897"/>
      <c r="DZ104" s="4897"/>
      <c r="EA104" s="4897"/>
      <c r="EB104" s="4897"/>
      <c r="EC104" s="4897"/>
      <c r="ED104" s="4897"/>
      <c r="EE104" s="4897"/>
      <c r="EF104" s="4897"/>
      <c r="EG104" s="4897"/>
      <c r="EH104" s="4897"/>
      <c r="EI104" s="4897"/>
      <c r="EJ104" s="4897"/>
      <c r="EK104" s="4897"/>
      <c r="EL104" s="4897"/>
      <c r="EM104" s="4897"/>
      <c r="EN104" s="4897"/>
      <c r="EO104" s="4897"/>
      <c r="EP104" s="4897"/>
      <c r="EQ104" s="4897"/>
      <c r="ER104" s="4897"/>
      <c r="ES104" s="4897"/>
      <c r="ET104" s="4897"/>
      <c r="EU104" s="4897"/>
      <c r="EV104" s="4897"/>
      <c r="EW104" s="4897"/>
      <c r="EX104" s="4897"/>
      <c r="EY104" s="4897"/>
      <c r="EZ104" s="4897"/>
      <c r="FA104" s="4897"/>
      <c r="FB104" s="4897"/>
      <c r="FC104" s="4897"/>
      <c r="FD104" s="4897"/>
      <c r="FE104" s="4897"/>
      <c r="FF104" s="4897"/>
      <c r="FG104" s="4897"/>
      <c r="FH104" s="4897"/>
      <c r="FI104" s="4897"/>
      <c r="FJ104" s="4897"/>
      <c r="FK104" s="4897"/>
      <c r="FL104" s="4897"/>
      <c r="FM104" s="4897"/>
      <c r="FN104" s="4897"/>
      <c r="FO104" s="4897"/>
      <c r="FP104" s="4897"/>
      <c r="FQ104" s="4897"/>
      <c r="FR104" s="4897"/>
      <c r="FS104" s="4897"/>
      <c r="FT104" s="4897"/>
      <c r="FU104" s="4897"/>
      <c r="FV104" s="4897"/>
      <c r="FW104" s="4897"/>
      <c r="FX104" s="4897"/>
      <c r="FY104" s="4897"/>
      <c r="FZ104" s="4897"/>
      <c r="GA104" s="4897"/>
      <c r="GB104" s="4897"/>
      <c r="GC104" s="4897"/>
      <c r="GD104" s="4897"/>
      <c r="GE104" s="4899"/>
    </row>
    <row r="105" spans="2:187" ht="13.5" customHeight="1" outlineLevel="1">
      <c r="C105" s="4914"/>
      <c r="D105" s="4744" t="s">
        <v>1097</v>
      </c>
      <c r="E105" s="722"/>
      <c r="F105" s="775">
        <f t="shared" si="107"/>
        <v>0</v>
      </c>
      <c r="G105" s="775"/>
      <c r="H105" s="775">
        <v>0</v>
      </c>
      <c r="I105" s="775">
        <v>0</v>
      </c>
      <c r="J105" s="775">
        <v>0</v>
      </c>
      <c r="K105" s="775">
        <v>0</v>
      </c>
      <c r="L105" s="775">
        <v>0</v>
      </c>
      <c r="M105" s="775">
        <v>0</v>
      </c>
      <c r="N105" s="775">
        <v>0</v>
      </c>
      <c r="O105" s="775">
        <v>0</v>
      </c>
      <c r="P105" s="775">
        <v>0</v>
      </c>
      <c r="Q105" s="775">
        <v>0</v>
      </c>
      <c r="R105" s="775">
        <v>0</v>
      </c>
      <c r="S105" s="775">
        <v>0</v>
      </c>
      <c r="T105" s="775">
        <v>0</v>
      </c>
      <c r="U105" s="775">
        <v>0</v>
      </c>
      <c r="V105" s="775">
        <v>0</v>
      </c>
      <c r="W105" s="775">
        <v>0</v>
      </c>
      <c r="X105" s="775">
        <v>0</v>
      </c>
      <c r="Y105" s="775">
        <v>0</v>
      </c>
      <c r="Z105" s="775">
        <v>0</v>
      </c>
      <c r="AA105" s="775">
        <v>0</v>
      </c>
      <c r="AB105" s="775">
        <v>0</v>
      </c>
      <c r="AC105" s="775">
        <v>0</v>
      </c>
      <c r="AD105" s="775">
        <v>0</v>
      </c>
      <c r="AE105" s="775">
        <v>0</v>
      </c>
      <c r="AF105" s="775">
        <v>0</v>
      </c>
      <c r="AG105" s="775">
        <v>0</v>
      </c>
      <c r="AH105" s="775">
        <v>0</v>
      </c>
      <c r="AI105" s="775">
        <v>0</v>
      </c>
      <c r="AJ105" s="775">
        <v>0</v>
      </c>
      <c r="AK105" s="775">
        <v>0</v>
      </c>
      <c r="AL105" s="775">
        <v>0</v>
      </c>
      <c r="AM105" s="775">
        <v>0</v>
      </c>
      <c r="AN105" s="775">
        <v>0</v>
      </c>
      <c r="AO105" s="775">
        <v>0</v>
      </c>
      <c r="AP105" s="775">
        <v>0</v>
      </c>
      <c r="AQ105" s="775">
        <v>0</v>
      </c>
      <c r="AR105" s="775">
        <v>0</v>
      </c>
      <c r="AS105" s="775">
        <v>0</v>
      </c>
      <c r="AT105" s="775">
        <v>0</v>
      </c>
      <c r="AU105" s="775">
        <v>0</v>
      </c>
      <c r="AV105" s="775">
        <v>0</v>
      </c>
      <c r="AW105" s="4897"/>
      <c r="AX105" s="4897"/>
      <c r="AY105" s="4897"/>
      <c r="AZ105" s="4897"/>
      <c r="BA105" s="4897"/>
      <c r="BB105" s="4897"/>
      <c r="BC105" s="4897"/>
      <c r="BD105" s="4897"/>
      <c r="BE105" s="4897"/>
      <c r="BF105" s="4897"/>
      <c r="BG105" s="4897"/>
      <c r="BH105" s="4897"/>
      <c r="BI105" s="4897"/>
      <c r="BJ105" s="4897"/>
      <c r="BK105" s="4897"/>
      <c r="BL105" s="4897"/>
      <c r="BM105" s="4897"/>
      <c r="BN105" s="4897"/>
      <c r="BO105" s="4897"/>
      <c r="BP105" s="4897"/>
      <c r="BQ105" s="4897"/>
      <c r="BR105" s="4897"/>
      <c r="BS105" s="4897"/>
      <c r="BT105" s="4897"/>
      <c r="BU105" s="4897"/>
      <c r="BV105" s="4897"/>
      <c r="BW105" s="4897"/>
      <c r="BX105" s="4897"/>
      <c r="BY105" s="4897"/>
      <c r="BZ105" s="4897"/>
      <c r="CA105" s="4897"/>
      <c r="CB105" s="4897"/>
      <c r="CC105" s="4897"/>
      <c r="CD105" s="4897"/>
      <c r="CE105" s="4897"/>
      <c r="CF105" s="4897"/>
      <c r="CG105" s="4897"/>
      <c r="CH105" s="4897"/>
      <c r="CI105" s="4897"/>
      <c r="CJ105" s="4897"/>
      <c r="CK105" s="4897"/>
      <c r="CL105" s="4897"/>
      <c r="CM105" s="4897"/>
      <c r="CN105" s="4897"/>
      <c r="CO105" s="4897"/>
      <c r="CP105" s="4897"/>
      <c r="CQ105" s="4897"/>
      <c r="CR105" s="4897"/>
      <c r="CS105" s="4897"/>
      <c r="CT105" s="4897"/>
      <c r="CU105" s="4897"/>
      <c r="CV105" s="4897"/>
      <c r="CW105" s="4897"/>
      <c r="CX105" s="4897"/>
      <c r="CY105" s="4897"/>
      <c r="CZ105" s="4897"/>
      <c r="DA105" s="4897"/>
      <c r="DB105" s="4897"/>
      <c r="DC105" s="4897"/>
      <c r="DD105" s="4897"/>
      <c r="DE105" s="4897"/>
      <c r="DF105" s="4897"/>
      <c r="DG105" s="4897"/>
      <c r="DH105" s="4897"/>
      <c r="DI105" s="4897"/>
      <c r="DJ105" s="4897"/>
      <c r="DK105" s="4897"/>
      <c r="DL105" s="4897"/>
      <c r="DM105" s="4897"/>
      <c r="DN105" s="4897"/>
      <c r="DO105" s="4897"/>
      <c r="DP105" s="4897"/>
      <c r="DQ105" s="4897"/>
      <c r="DR105" s="4897"/>
      <c r="DS105" s="4897"/>
      <c r="DT105" s="4897"/>
      <c r="DU105" s="4897"/>
      <c r="DV105" s="4897"/>
      <c r="DW105" s="4897"/>
      <c r="DX105" s="4897"/>
      <c r="DY105" s="4897"/>
      <c r="DZ105" s="4897"/>
      <c r="EA105" s="4897"/>
      <c r="EB105" s="4897"/>
      <c r="EC105" s="4897"/>
      <c r="ED105" s="4897"/>
      <c r="EE105" s="4897"/>
      <c r="EF105" s="4897"/>
      <c r="EG105" s="4897"/>
      <c r="EH105" s="4897"/>
      <c r="EI105" s="4897"/>
      <c r="EJ105" s="4897"/>
      <c r="EK105" s="4897"/>
      <c r="EL105" s="4897"/>
      <c r="EM105" s="4897"/>
      <c r="EN105" s="4897"/>
      <c r="EO105" s="4897"/>
      <c r="EP105" s="4897"/>
      <c r="EQ105" s="4897"/>
      <c r="ER105" s="4897"/>
      <c r="ES105" s="4897"/>
      <c r="ET105" s="4897"/>
      <c r="EU105" s="4897"/>
      <c r="EV105" s="4897"/>
      <c r="EW105" s="4897"/>
      <c r="EX105" s="4897"/>
      <c r="EY105" s="4897"/>
      <c r="EZ105" s="4897"/>
      <c r="FA105" s="4897"/>
      <c r="FB105" s="4897"/>
      <c r="FC105" s="4897"/>
      <c r="FD105" s="4897"/>
      <c r="FE105" s="4897"/>
      <c r="FF105" s="4897"/>
      <c r="FG105" s="4897"/>
      <c r="FH105" s="4897"/>
      <c r="FI105" s="4897"/>
      <c r="FJ105" s="4897"/>
      <c r="FK105" s="4897"/>
      <c r="FL105" s="4897"/>
      <c r="FM105" s="4897"/>
      <c r="FN105" s="4897"/>
      <c r="FO105" s="4897"/>
      <c r="FP105" s="4897"/>
      <c r="FQ105" s="4897"/>
      <c r="FR105" s="4897"/>
      <c r="FS105" s="4897"/>
      <c r="FT105" s="4897"/>
      <c r="FU105" s="4897"/>
      <c r="FV105" s="4897"/>
      <c r="FW105" s="4897"/>
      <c r="FX105" s="4897"/>
      <c r="FY105" s="4897"/>
      <c r="FZ105" s="4897"/>
      <c r="GA105" s="4897"/>
      <c r="GB105" s="4897"/>
      <c r="GC105" s="4897"/>
      <c r="GD105" s="4897"/>
      <c r="GE105" s="4899"/>
    </row>
    <row r="106" spans="2:187" ht="13.5" customHeight="1" outlineLevel="1">
      <c r="C106" s="4909"/>
      <c r="D106" s="4925" t="s">
        <v>1083</v>
      </c>
      <c r="E106" s="1868"/>
      <c r="F106" s="767">
        <f t="shared" ca="1" si="107"/>
        <v>294.59425863999996</v>
      </c>
      <c r="G106" s="767"/>
      <c r="H106" s="767">
        <f t="shared" ref="H106:AV106" ca="1" si="110">SUMIF($3:$3,H$59,98:98)</f>
        <v>61.121287479999999</v>
      </c>
      <c r="I106" s="767">
        <f t="shared" ca="1" si="110"/>
        <v>54.709834409999999</v>
      </c>
      <c r="J106" s="767">
        <f t="shared" ca="1" si="110"/>
        <v>47.328348814999998</v>
      </c>
      <c r="K106" s="767">
        <f t="shared" ca="1" si="110"/>
        <v>39.882194384999991</v>
      </c>
      <c r="L106" s="767">
        <f t="shared" ca="1" si="110"/>
        <v>32.713192104999997</v>
      </c>
      <c r="M106" s="767">
        <f t="shared" ca="1" si="110"/>
        <v>25.451805774999993</v>
      </c>
      <c r="N106" s="767">
        <f t="shared" ca="1" si="110"/>
        <v>17.192671704999995</v>
      </c>
      <c r="O106" s="767">
        <f t="shared" ca="1" si="110"/>
        <v>8.8781072049999974</v>
      </c>
      <c r="P106" s="767">
        <f t="shared" ca="1" si="110"/>
        <v>4.2127126799999957</v>
      </c>
      <c r="Q106" s="767">
        <f t="shared" ca="1" si="110"/>
        <v>2.4389389199999956</v>
      </c>
      <c r="R106" s="767">
        <f t="shared" ca="1" si="110"/>
        <v>0.66516515999999648</v>
      </c>
      <c r="S106" s="767">
        <f t="shared" ca="1" si="110"/>
        <v>0</v>
      </c>
      <c r="T106" s="767">
        <f t="shared" ca="1" si="110"/>
        <v>0</v>
      </c>
      <c r="U106" s="767">
        <f t="shared" ca="1" si="110"/>
        <v>0</v>
      </c>
      <c r="V106" s="767">
        <f t="shared" ca="1" si="110"/>
        <v>0</v>
      </c>
      <c r="W106" s="767">
        <f t="shared" ca="1" si="110"/>
        <v>0</v>
      </c>
      <c r="X106" s="767">
        <f t="shared" ca="1" si="110"/>
        <v>0</v>
      </c>
      <c r="Y106" s="767">
        <f t="shared" ca="1" si="110"/>
        <v>0</v>
      </c>
      <c r="Z106" s="767">
        <f t="shared" ca="1" si="110"/>
        <v>0</v>
      </c>
      <c r="AA106" s="767">
        <f t="shared" ca="1" si="110"/>
        <v>0</v>
      </c>
      <c r="AB106" s="767">
        <f t="shared" ca="1" si="110"/>
        <v>0</v>
      </c>
      <c r="AC106" s="767">
        <f t="shared" ca="1" si="110"/>
        <v>0</v>
      </c>
      <c r="AD106" s="767">
        <f t="shared" ca="1" si="110"/>
        <v>0</v>
      </c>
      <c r="AE106" s="767">
        <f t="shared" ca="1" si="110"/>
        <v>0</v>
      </c>
      <c r="AF106" s="767">
        <f t="shared" ca="1" si="110"/>
        <v>0</v>
      </c>
      <c r="AG106" s="767">
        <f t="shared" ca="1" si="110"/>
        <v>0</v>
      </c>
      <c r="AH106" s="767">
        <f t="shared" ca="1" si="110"/>
        <v>0</v>
      </c>
      <c r="AI106" s="767">
        <f t="shared" ca="1" si="110"/>
        <v>0</v>
      </c>
      <c r="AJ106" s="767">
        <f t="shared" ca="1" si="110"/>
        <v>0</v>
      </c>
      <c r="AK106" s="767">
        <f t="shared" ca="1" si="110"/>
        <v>0</v>
      </c>
      <c r="AL106" s="767">
        <f t="shared" ca="1" si="110"/>
        <v>0</v>
      </c>
      <c r="AM106" s="767">
        <f t="shared" ca="1" si="110"/>
        <v>0</v>
      </c>
      <c r="AN106" s="767">
        <f t="shared" ca="1" si="110"/>
        <v>0</v>
      </c>
      <c r="AO106" s="767">
        <f t="shared" ca="1" si="110"/>
        <v>0</v>
      </c>
      <c r="AP106" s="767">
        <f t="shared" ca="1" si="110"/>
        <v>0</v>
      </c>
      <c r="AQ106" s="767">
        <f t="shared" ca="1" si="110"/>
        <v>0</v>
      </c>
      <c r="AR106" s="767">
        <f t="shared" ca="1" si="110"/>
        <v>0</v>
      </c>
      <c r="AS106" s="767">
        <f t="shared" ca="1" si="110"/>
        <v>0</v>
      </c>
      <c r="AT106" s="767">
        <f t="shared" ca="1" si="110"/>
        <v>0</v>
      </c>
      <c r="AU106" s="767">
        <f t="shared" ca="1" si="110"/>
        <v>0</v>
      </c>
      <c r="AV106" s="767">
        <f t="shared" ca="1" si="110"/>
        <v>0</v>
      </c>
      <c r="AW106" s="4897"/>
      <c r="AX106" s="4897"/>
      <c r="AY106" s="4897"/>
      <c r="AZ106" s="4897"/>
      <c r="BA106" s="4897"/>
      <c r="BB106" s="4897"/>
      <c r="BC106" s="4897"/>
      <c r="BD106" s="4897"/>
      <c r="BE106" s="4897"/>
      <c r="BF106" s="4897"/>
      <c r="BG106" s="4897"/>
      <c r="BH106" s="4897"/>
      <c r="BI106" s="4897"/>
      <c r="BJ106" s="4897"/>
      <c r="BK106" s="4897"/>
      <c r="BL106" s="4897"/>
      <c r="BM106" s="4897"/>
      <c r="BN106" s="4897"/>
      <c r="BO106" s="4897"/>
      <c r="BP106" s="4897"/>
      <c r="BQ106" s="4897"/>
      <c r="BR106" s="4897"/>
      <c r="BS106" s="4897"/>
      <c r="BT106" s="4897"/>
      <c r="BU106" s="4897"/>
      <c r="BV106" s="4897"/>
      <c r="BW106" s="4897"/>
      <c r="BX106" s="4897"/>
      <c r="BY106" s="4897"/>
      <c r="BZ106" s="4897"/>
      <c r="CA106" s="4897"/>
      <c r="CB106" s="4897"/>
      <c r="CC106" s="4897"/>
      <c r="CD106" s="4897"/>
      <c r="CE106" s="4897"/>
      <c r="CF106" s="4897"/>
      <c r="CG106" s="4897"/>
      <c r="CH106" s="4897"/>
      <c r="CI106" s="4897"/>
      <c r="CJ106" s="4897"/>
      <c r="CK106" s="4897"/>
      <c r="CL106" s="4897"/>
      <c r="CM106" s="4897"/>
      <c r="CN106" s="4897"/>
      <c r="CO106" s="4897"/>
      <c r="CP106" s="4897"/>
      <c r="CQ106" s="4897"/>
      <c r="CR106" s="4897"/>
      <c r="CS106" s="4897"/>
      <c r="CT106" s="4897"/>
      <c r="CU106" s="4897"/>
      <c r="CV106" s="4897"/>
      <c r="CW106" s="4897"/>
      <c r="CX106" s="4897"/>
      <c r="CY106" s="4897"/>
      <c r="CZ106" s="4897"/>
      <c r="DA106" s="4897"/>
      <c r="DB106" s="4897"/>
      <c r="DC106" s="4897"/>
      <c r="DD106" s="4897"/>
      <c r="DE106" s="4897"/>
      <c r="DF106" s="4897"/>
      <c r="DG106" s="4897"/>
      <c r="DH106" s="4897"/>
      <c r="DI106" s="4897"/>
      <c r="DJ106" s="4897"/>
      <c r="DK106" s="4897"/>
      <c r="DL106" s="4897"/>
      <c r="DM106" s="4897"/>
      <c r="DN106" s="4897"/>
      <c r="DO106" s="4897"/>
      <c r="DP106" s="4897"/>
      <c r="DQ106" s="4897"/>
      <c r="DR106" s="4897"/>
      <c r="DS106" s="4897"/>
      <c r="DT106" s="4897"/>
      <c r="DU106" s="4897"/>
      <c r="DV106" s="4897"/>
      <c r="DW106" s="4897"/>
      <c r="DX106" s="4897"/>
      <c r="DY106" s="4897"/>
      <c r="DZ106" s="4897"/>
      <c r="EA106" s="4897"/>
      <c r="EB106" s="4897"/>
      <c r="EC106" s="4897"/>
      <c r="ED106" s="4897"/>
      <c r="EE106" s="4897"/>
      <c r="EF106" s="4897"/>
      <c r="EG106" s="4897"/>
      <c r="EH106" s="4897"/>
      <c r="EI106" s="4897"/>
      <c r="EJ106" s="4897"/>
      <c r="EK106" s="4897"/>
      <c r="EL106" s="4897"/>
      <c r="EM106" s="4897"/>
      <c r="EN106" s="4897"/>
      <c r="EO106" s="4897"/>
      <c r="EP106" s="4897"/>
      <c r="EQ106" s="4897"/>
      <c r="ER106" s="4897"/>
      <c r="ES106" s="4897"/>
      <c r="ET106" s="4897"/>
      <c r="EU106" s="4897"/>
      <c r="EV106" s="4897"/>
      <c r="EW106" s="4897"/>
      <c r="EX106" s="4897"/>
      <c r="EY106" s="4897"/>
      <c r="EZ106" s="4897"/>
      <c r="FA106" s="4897"/>
      <c r="FB106" s="4897"/>
      <c r="FC106" s="4897"/>
      <c r="FD106" s="4897"/>
      <c r="FE106" s="4897"/>
      <c r="FF106" s="4897"/>
      <c r="FG106" s="4897"/>
      <c r="FH106" s="4897"/>
      <c r="FI106" s="4897"/>
      <c r="FJ106" s="4897"/>
      <c r="FK106" s="4897"/>
      <c r="FL106" s="4897"/>
      <c r="FM106" s="4897"/>
      <c r="FN106" s="4897"/>
      <c r="FO106" s="4897"/>
      <c r="FP106" s="4897"/>
      <c r="FQ106" s="4897"/>
      <c r="FR106" s="4897"/>
      <c r="FS106" s="4897"/>
      <c r="FT106" s="4897"/>
      <c r="FU106" s="4897"/>
      <c r="FV106" s="4897"/>
      <c r="FW106" s="4897"/>
      <c r="FX106" s="4897"/>
      <c r="FY106" s="4897"/>
      <c r="FZ106" s="4897"/>
      <c r="GA106" s="4897"/>
      <c r="GB106" s="4897"/>
      <c r="GC106" s="4897"/>
      <c r="GD106" s="4897"/>
      <c r="GE106" s="4899"/>
    </row>
    <row r="107" spans="2:187" ht="13.5" customHeight="1" outlineLevel="1" thickBot="1">
      <c r="C107" s="4915"/>
      <c r="D107" s="4952" t="s">
        <v>1098</v>
      </c>
      <c r="E107" s="4916"/>
      <c r="F107" s="4917">
        <f t="shared" ca="1" si="107"/>
        <v>294.59425863999996</v>
      </c>
      <c r="G107" s="4917"/>
      <c r="H107" s="4917">
        <f t="shared" ref="H107:AV107" ca="1" si="111">SUM(H105:H106)</f>
        <v>61.121287479999999</v>
      </c>
      <c r="I107" s="4917">
        <f t="shared" ca="1" si="111"/>
        <v>54.709834409999999</v>
      </c>
      <c r="J107" s="4917">
        <f t="shared" ca="1" si="111"/>
        <v>47.328348814999998</v>
      </c>
      <c r="K107" s="4917">
        <f t="shared" ca="1" si="111"/>
        <v>39.882194384999991</v>
      </c>
      <c r="L107" s="4917">
        <f t="shared" ca="1" si="111"/>
        <v>32.713192104999997</v>
      </c>
      <c r="M107" s="4917">
        <f t="shared" ca="1" si="111"/>
        <v>25.451805774999993</v>
      </c>
      <c r="N107" s="4917">
        <f t="shared" ca="1" si="111"/>
        <v>17.192671704999995</v>
      </c>
      <c r="O107" s="4917">
        <f t="shared" ca="1" si="111"/>
        <v>8.8781072049999974</v>
      </c>
      <c r="P107" s="4917">
        <f t="shared" ca="1" si="111"/>
        <v>4.2127126799999957</v>
      </c>
      <c r="Q107" s="4917">
        <f t="shared" ca="1" si="111"/>
        <v>2.4389389199999956</v>
      </c>
      <c r="R107" s="4917">
        <f t="shared" ca="1" si="111"/>
        <v>0.66516515999999648</v>
      </c>
      <c r="S107" s="4917">
        <f t="shared" ca="1" si="111"/>
        <v>0</v>
      </c>
      <c r="T107" s="4917">
        <f t="shared" ca="1" si="111"/>
        <v>0</v>
      </c>
      <c r="U107" s="4917">
        <f t="shared" ca="1" si="111"/>
        <v>0</v>
      </c>
      <c r="V107" s="4917">
        <f t="shared" ca="1" si="111"/>
        <v>0</v>
      </c>
      <c r="W107" s="4917">
        <f t="shared" ca="1" si="111"/>
        <v>0</v>
      </c>
      <c r="X107" s="4917">
        <f t="shared" ca="1" si="111"/>
        <v>0</v>
      </c>
      <c r="Y107" s="4917">
        <f t="shared" ca="1" si="111"/>
        <v>0</v>
      </c>
      <c r="Z107" s="4917">
        <f t="shared" ca="1" si="111"/>
        <v>0</v>
      </c>
      <c r="AA107" s="4917">
        <f t="shared" ca="1" si="111"/>
        <v>0</v>
      </c>
      <c r="AB107" s="4917">
        <f t="shared" ca="1" si="111"/>
        <v>0</v>
      </c>
      <c r="AC107" s="4917">
        <f t="shared" ca="1" si="111"/>
        <v>0</v>
      </c>
      <c r="AD107" s="4917">
        <f t="shared" ca="1" si="111"/>
        <v>0</v>
      </c>
      <c r="AE107" s="4917">
        <f t="shared" ca="1" si="111"/>
        <v>0</v>
      </c>
      <c r="AF107" s="4917">
        <f t="shared" ca="1" si="111"/>
        <v>0</v>
      </c>
      <c r="AG107" s="4917">
        <f t="shared" ca="1" si="111"/>
        <v>0</v>
      </c>
      <c r="AH107" s="4917">
        <f t="shared" ca="1" si="111"/>
        <v>0</v>
      </c>
      <c r="AI107" s="4917">
        <f t="shared" ca="1" si="111"/>
        <v>0</v>
      </c>
      <c r="AJ107" s="4917">
        <f t="shared" ca="1" si="111"/>
        <v>0</v>
      </c>
      <c r="AK107" s="4917">
        <f t="shared" ca="1" si="111"/>
        <v>0</v>
      </c>
      <c r="AL107" s="4917">
        <f t="shared" ca="1" si="111"/>
        <v>0</v>
      </c>
      <c r="AM107" s="4917">
        <f t="shared" ca="1" si="111"/>
        <v>0</v>
      </c>
      <c r="AN107" s="4917">
        <f t="shared" ca="1" si="111"/>
        <v>0</v>
      </c>
      <c r="AO107" s="4917">
        <f t="shared" ca="1" si="111"/>
        <v>0</v>
      </c>
      <c r="AP107" s="4917">
        <f t="shared" ca="1" si="111"/>
        <v>0</v>
      </c>
      <c r="AQ107" s="4917">
        <f t="shared" ca="1" si="111"/>
        <v>0</v>
      </c>
      <c r="AR107" s="4917">
        <f t="shared" ca="1" si="111"/>
        <v>0</v>
      </c>
      <c r="AS107" s="4917">
        <f t="shared" ca="1" si="111"/>
        <v>0</v>
      </c>
      <c r="AT107" s="4917">
        <f t="shared" ca="1" si="111"/>
        <v>0</v>
      </c>
      <c r="AU107" s="4917">
        <f t="shared" ca="1" si="111"/>
        <v>0</v>
      </c>
      <c r="AV107" s="4917">
        <f t="shared" ca="1" si="111"/>
        <v>0</v>
      </c>
      <c r="AW107" s="4865"/>
      <c r="AX107" s="4865"/>
      <c r="AY107" s="4865"/>
      <c r="AZ107" s="4865"/>
      <c r="BA107" s="4865"/>
      <c r="BB107" s="4865"/>
      <c r="BC107" s="4865"/>
      <c r="BD107" s="4865"/>
      <c r="BE107" s="4865"/>
      <c r="BF107" s="4865"/>
      <c r="BG107" s="4865"/>
      <c r="BH107" s="4865"/>
      <c r="BI107" s="4865"/>
      <c r="BJ107" s="4865"/>
      <c r="BK107" s="4865"/>
      <c r="BL107" s="4865"/>
      <c r="BM107" s="4865"/>
      <c r="BN107" s="4865"/>
      <c r="BO107" s="4865"/>
      <c r="BP107" s="4865"/>
      <c r="BQ107" s="4865"/>
      <c r="BR107" s="4865"/>
      <c r="BS107" s="4865"/>
      <c r="BT107" s="4865"/>
      <c r="BU107" s="4865"/>
      <c r="BV107" s="4865"/>
      <c r="BW107" s="4865"/>
      <c r="BX107" s="4865"/>
      <c r="BY107" s="4865"/>
      <c r="BZ107" s="4865"/>
      <c r="CA107" s="4865"/>
      <c r="CB107" s="4865"/>
      <c r="CC107" s="4865"/>
      <c r="CD107" s="4865"/>
      <c r="CE107" s="4865"/>
      <c r="CF107" s="4865"/>
      <c r="CG107" s="4865"/>
      <c r="CH107" s="4865"/>
      <c r="CI107" s="4865"/>
      <c r="CJ107" s="4865"/>
      <c r="CK107" s="4865"/>
      <c r="CL107" s="4865"/>
      <c r="CM107" s="4865"/>
      <c r="CN107" s="4865"/>
      <c r="CO107" s="4865"/>
      <c r="CP107" s="4865"/>
      <c r="CQ107" s="4865"/>
      <c r="CR107" s="4865"/>
      <c r="CS107" s="4865"/>
      <c r="CT107" s="4865"/>
      <c r="CU107" s="4865"/>
      <c r="CV107" s="4865"/>
      <c r="CW107" s="4865"/>
      <c r="CX107" s="4865"/>
      <c r="CY107" s="4865"/>
      <c r="CZ107" s="4865"/>
      <c r="DA107" s="4865"/>
      <c r="DB107" s="4865"/>
      <c r="DC107" s="4865"/>
      <c r="DD107" s="4865"/>
      <c r="DE107" s="4865"/>
      <c r="DF107" s="4865"/>
      <c r="DG107" s="4865"/>
      <c r="DH107" s="4865"/>
      <c r="DI107" s="4865"/>
      <c r="DJ107" s="4865"/>
      <c r="DK107" s="4865"/>
      <c r="DL107" s="4865"/>
      <c r="DM107" s="4865"/>
      <c r="DN107" s="4865"/>
      <c r="DO107" s="4865"/>
      <c r="DP107" s="4865"/>
      <c r="DQ107" s="4865"/>
      <c r="DR107" s="4865"/>
      <c r="DS107" s="4865"/>
      <c r="DT107" s="4865"/>
      <c r="DU107" s="4865"/>
      <c r="DV107" s="4865"/>
      <c r="DW107" s="4865"/>
      <c r="DX107" s="4865"/>
      <c r="DY107" s="4865"/>
      <c r="DZ107" s="4865"/>
      <c r="EA107" s="4865"/>
      <c r="EB107" s="4865"/>
      <c r="EC107" s="4865"/>
      <c r="ED107" s="4865"/>
      <c r="EE107" s="4865"/>
      <c r="EF107" s="4865"/>
      <c r="EG107" s="4865"/>
      <c r="EH107" s="4865"/>
      <c r="EI107" s="4865"/>
      <c r="EJ107" s="4865"/>
      <c r="EK107" s="4865"/>
      <c r="EL107" s="4865"/>
      <c r="EM107" s="4865"/>
      <c r="EN107" s="4865"/>
      <c r="EO107" s="4865"/>
      <c r="EP107" s="4865"/>
      <c r="EQ107" s="4865"/>
      <c r="ER107" s="4865"/>
      <c r="ES107" s="4865"/>
      <c r="ET107" s="4865"/>
      <c r="EU107" s="4865"/>
      <c r="EV107" s="4865"/>
      <c r="EW107" s="4865"/>
      <c r="EX107" s="4865"/>
      <c r="EY107" s="4865"/>
      <c r="EZ107" s="4865"/>
      <c r="FA107" s="4865"/>
      <c r="FB107" s="4865"/>
      <c r="FC107" s="4865"/>
      <c r="FD107" s="4865"/>
      <c r="FE107" s="4865"/>
      <c r="FF107" s="4865"/>
      <c r="FG107" s="4865"/>
      <c r="FH107" s="4865"/>
      <c r="FI107" s="4865"/>
      <c r="FJ107" s="4865"/>
      <c r="FK107" s="4865"/>
      <c r="FL107" s="4865"/>
      <c r="FM107" s="4865"/>
      <c r="FN107" s="4865"/>
      <c r="FO107" s="4865"/>
      <c r="FP107" s="4865"/>
      <c r="FQ107" s="4865"/>
      <c r="FR107" s="4865"/>
      <c r="FS107" s="4865"/>
      <c r="FT107" s="4865"/>
      <c r="FU107" s="4865"/>
      <c r="FV107" s="4865"/>
      <c r="FW107" s="4865"/>
      <c r="FX107" s="4865"/>
      <c r="FY107" s="4865"/>
      <c r="FZ107" s="4865"/>
      <c r="GA107" s="4865"/>
      <c r="GB107" s="4865"/>
      <c r="GC107" s="4865"/>
      <c r="GD107" s="4865"/>
      <c r="GE107" s="4918"/>
    </row>
    <row r="108" spans="2:187" ht="13.5" customHeight="1" outlineLevel="1">
      <c r="C108" s="331"/>
      <c r="E108" s="755"/>
      <c r="F108" s="753"/>
      <c r="G108" s="753"/>
      <c r="H108" s="753"/>
      <c r="I108" s="753"/>
      <c r="J108" s="753"/>
      <c r="K108" s="753"/>
      <c r="L108" s="753"/>
      <c r="M108" s="753"/>
      <c r="N108" s="753"/>
      <c r="O108" s="753"/>
      <c r="P108" s="753"/>
      <c r="Q108" s="753"/>
      <c r="R108" s="753"/>
      <c r="S108" s="753"/>
      <c r="T108" s="753"/>
      <c r="U108" s="753"/>
      <c r="V108" s="753"/>
      <c r="W108" s="753"/>
      <c r="X108" s="753"/>
      <c r="Y108" s="753"/>
      <c r="Z108" s="753"/>
      <c r="AA108" s="753"/>
      <c r="AB108" s="753"/>
      <c r="AC108" s="753"/>
      <c r="AD108" s="753"/>
      <c r="AE108" s="753"/>
      <c r="AF108" s="753"/>
      <c r="AG108" s="753"/>
      <c r="AH108" s="753"/>
      <c r="AI108" s="753"/>
      <c r="AJ108" s="753"/>
      <c r="AK108" s="753"/>
      <c r="AL108" s="753"/>
      <c r="AM108" s="753"/>
      <c r="AN108" s="753"/>
      <c r="AO108" s="753"/>
      <c r="AP108" s="753"/>
      <c r="AQ108" s="753"/>
      <c r="AR108" s="753"/>
      <c r="AS108" s="753"/>
      <c r="AT108" s="753"/>
      <c r="AU108" s="753"/>
      <c r="AV108" s="753"/>
    </row>
    <row r="109" spans="2:187" ht="13.5" customHeight="1">
      <c r="B109" s="414"/>
      <c r="C109" s="396"/>
      <c r="D109" s="754"/>
      <c r="E109" s="787"/>
      <c r="F109" s="788"/>
      <c r="G109" s="788"/>
      <c r="H109" s="789"/>
      <c r="I109" s="789"/>
      <c r="J109" s="789"/>
      <c r="K109" s="789"/>
      <c r="L109" s="789"/>
      <c r="M109" s="789"/>
      <c r="N109" s="789"/>
      <c r="O109" s="789"/>
      <c r="P109" s="789"/>
      <c r="Q109" s="789"/>
      <c r="R109" s="789"/>
      <c r="S109" s="789"/>
      <c r="T109" s="789"/>
      <c r="U109" s="789"/>
      <c r="V109" s="789"/>
      <c r="W109" s="789"/>
      <c r="X109" s="789"/>
      <c r="Y109" s="789"/>
      <c r="Z109" s="789"/>
      <c r="AA109" s="789"/>
      <c r="AB109" s="789"/>
      <c r="AC109" s="789"/>
      <c r="AD109" s="789"/>
      <c r="AE109" s="789"/>
      <c r="AF109" s="789">
        <v>31.92</v>
      </c>
      <c r="AG109" s="789">
        <v>1.8</v>
      </c>
      <c r="AH109" s="789">
        <v>3</v>
      </c>
      <c r="AI109" s="789">
        <v>3.1435199999999996</v>
      </c>
      <c r="AJ109" s="789"/>
      <c r="AK109" s="788">
        <f>AF109*100</f>
        <v>3192</v>
      </c>
      <c r="AL109" s="788">
        <f t="shared" ref="AL109:AN109" si="112">AG109*100</f>
        <v>180</v>
      </c>
      <c r="AM109" s="788">
        <f t="shared" si="112"/>
        <v>300</v>
      </c>
      <c r="AN109" s="788">
        <f t="shared" si="112"/>
        <v>314.35199999999998</v>
      </c>
      <c r="AO109" s="789"/>
      <c r="AP109" s="789"/>
      <c r="AQ109" s="789"/>
      <c r="AR109" s="789"/>
      <c r="AS109" s="789"/>
      <c r="AT109" s="789"/>
      <c r="AU109" s="789"/>
      <c r="AV109" s="789"/>
      <c r="AW109" s="790"/>
      <c r="AX109" s="790"/>
      <c r="AY109" s="790"/>
    </row>
    <row r="110" spans="2:187" ht="17.100000000000001" customHeight="1">
      <c r="V110" s="5698">
        <f>V96*100000000</f>
        <v>87699743999.999985</v>
      </c>
      <c r="W110" s="5698">
        <f t="shared" ref="W110:AX110" si="113">W96*100000000</f>
        <v>83713391999.999985</v>
      </c>
      <c r="X110" s="5698">
        <f t="shared" si="113"/>
        <v>79643990999.999985</v>
      </c>
      <c r="Y110" s="5698">
        <f t="shared" si="113"/>
        <v>75574589999.999985</v>
      </c>
      <c r="Z110" s="5698">
        <f t="shared" si="113"/>
        <v>71505188999.999985</v>
      </c>
      <c r="AA110" s="5698">
        <f t="shared" si="113"/>
        <v>67352738999.999985</v>
      </c>
      <c r="AB110" s="5698">
        <f t="shared" si="113"/>
        <v>63117239999.999985</v>
      </c>
      <c r="AC110" s="5698">
        <f t="shared" si="113"/>
        <v>59296985999.999985</v>
      </c>
      <c r="AD110" s="5698">
        <f t="shared" si="113"/>
        <v>55393682999.999985</v>
      </c>
      <c r="AE110" s="5698">
        <f t="shared" si="113"/>
        <v>50992085999.999977</v>
      </c>
      <c r="AF110" s="5698">
        <f t="shared" si="113"/>
        <v>46507439999.999985</v>
      </c>
      <c r="AG110" s="5698">
        <f t="shared" si="113"/>
        <v>41275352999.999985</v>
      </c>
      <c r="AH110" s="5698">
        <f t="shared" si="113"/>
        <v>36043265999.999985</v>
      </c>
      <c r="AI110" s="5698">
        <f t="shared" si="113"/>
        <v>30728129999.999989</v>
      </c>
      <c r="AJ110" s="5698">
        <f t="shared" si="113"/>
        <v>25329944999.999989</v>
      </c>
      <c r="AK110" s="5698">
        <f t="shared" si="113"/>
        <v>22007984999.999992</v>
      </c>
      <c r="AL110" s="5698">
        <f t="shared" si="113"/>
        <v>18187730999.999992</v>
      </c>
      <c r="AM110" s="5698">
        <f t="shared" si="113"/>
        <v>14284427999.99999</v>
      </c>
      <c r="AN110" s="5698">
        <f t="shared" si="113"/>
        <v>10962467999.99999</v>
      </c>
      <c r="AO110" s="5698">
        <f t="shared" si="113"/>
        <v>9965879999.9999905</v>
      </c>
      <c r="AP110" s="5700">
        <f t="shared" si="113"/>
        <v>8969291999.9999905</v>
      </c>
      <c r="AQ110" s="5698">
        <f t="shared" si="113"/>
        <v>7972703999.9999886</v>
      </c>
      <c r="AR110" s="5698">
        <f t="shared" si="113"/>
        <v>6976115999.9999905</v>
      </c>
      <c r="AS110" s="5698">
        <f t="shared" si="113"/>
        <v>5979527999.9999895</v>
      </c>
      <c r="AT110" s="5698">
        <f t="shared" si="113"/>
        <v>4982939999.9999895</v>
      </c>
      <c r="AU110" s="5698">
        <f t="shared" si="113"/>
        <v>3986351999.9999886</v>
      </c>
      <c r="AV110" s="5698">
        <f t="shared" si="113"/>
        <v>2989763999.999989</v>
      </c>
      <c r="AW110" s="5698">
        <f t="shared" si="113"/>
        <v>1993175999.9999888</v>
      </c>
      <c r="AX110" s="5698">
        <f t="shared" si="113"/>
        <v>996587999.99998868</v>
      </c>
    </row>
    <row r="111" spans="2:187" ht="17.100000000000001" customHeight="1">
      <c r="V111" s="5698">
        <f>V97*100000000</f>
        <v>3986352000</v>
      </c>
      <c r="W111" s="5698">
        <f t="shared" ref="W111:AX111" si="114">W97*100000000</f>
        <v>4069401000</v>
      </c>
      <c r="X111" s="5698">
        <f t="shared" si="114"/>
        <v>4069401000</v>
      </c>
      <c r="Y111" s="5698">
        <f t="shared" si="114"/>
        <v>4069401000</v>
      </c>
      <c r="Z111" s="5698">
        <f t="shared" si="114"/>
        <v>4152450000.0000005</v>
      </c>
      <c r="AA111" s="5698">
        <f t="shared" si="114"/>
        <v>4235499000</v>
      </c>
      <c r="AB111" s="5698">
        <f t="shared" si="114"/>
        <v>3820254000</v>
      </c>
      <c r="AC111" s="5698">
        <f t="shared" si="114"/>
        <v>3903302999.9999995</v>
      </c>
      <c r="AD111" s="5698">
        <f t="shared" si="114"/>
        <v>4401597000</v>
      </c>
      <c r="AE111" s="5698">
        <f t="shared" si="114"/>
        <v>4484645999.999999</v>
      </c>
      <c r="AF111" s="5698">
        <f t="shared" si="114"/>
        <v>5232087000</v>
      </c>
      <c r="AG111" s="5698">
        <f t="shared" si="114"/>
        <v>5232087000</v>
      </c>
      <c r="AH111" s="5698">
        <f t="shared" si="114"/>
        <v>5315136000</v>
      </c>
      <c r="AI111" s="5698">
        <f t="shared" si="114"/>
        <v>5398185000</v>
      </c>
      <c r="AJ111" s="5698">
        <f t="shared" si="114"/>
        <v>3321960000</v>
      </c>
      <c r="AK111" s="5698">
        <f t="shared" si="114"/>
        <v>3820254000</v>
      </c>
      <c r="AL111" s="5698">
        <f t="shared" si="114"/>
        <v>3903302999.9999995</v>
      </c>
      <c r="AM111" s="5698">
        <f t="shared" si="114"/>
        <v>3321960000</v>
      </c>
      <c r="AN111" s="5698">
        <f t="shared" si="114"/>
        <v>996588000</v>
      </c>
      <c r="AO111" s="5698">
        <f t="shared" si="114"/>
        <v>996588000</v>
      </c>
      <c r="AP111" s="5698">
        <f t="shared" si="114"/>
        <v>996588000</v>
      </c>
      <c r="AQ111" s="5698">
        <f t="shared" si="114"/>
        <v>996588000</v>
      </c>
      <c r="AR111" s="5698">
        <f t="shared" si="114"/>
        <v>996588000</v>
      </c>
      <c r="AS111" s="5698">
        <f t="shared" si="114"/>
        <v>996588000</v>
      </c>
      <c r="AT111" s="5698">
        <f t="shared" si="114"/>
        <v>996588000</v>
      </c>
      <c r="AU111" s="5698">
        <f t="shared" si="114"/>
        <v>996588000</v>
      </c>
      <c r="AV111" s="5698">
        <f t="shared" si="114"/>
        <v>996588000</v>
      </c>
      <c r="AW111" s="5698">
        <f t="shared" si="114"/>
        <v>996588000</v>
      </c>
      <c r="AX111" s="5698">
        <f t="shared" si="114"/>
        <v>996587999.99998868</v>
      </c>
    </row>
    <row r="112" spans="2:187" ht="17.100000000000001" customHeight="1">
      <c r="AK112" s="788"/>
      <c r="AL112" s="788"/>
      <c r="AM112" s="788"/>
      <c r="AN112" s="788"/>
    </row>
    <row r="113" spans="21:50" ht="17.100000000000001" customHeight="1">
      <c r="AK113" s="788"/>
      <c r="AL113" s="788"/>
      <c r="AM113" s="788"/>
      <c r="AN113" s="788"/>
    </row>
    <row r="114" spans="21:50" ht="17.100000000000001" customHeight="1">
      <c r="AK114" s="788"/>
      <c r="AL114" s="788"/>
      <c r="AM114" s="788"/>
      <c r="AN114" s="788"/>
    </row>
    <row r="115" spans="21:50" ht="17.100000000000001" customHeight="1">
      <c r="U115" s="461">
        <f>SUM(V115:AX115)</f>
        <v>70223999.999999985</v>
      </c>
      <c r="V115" s="461">
        <f>V73*100000</f>
        <v>3192000</v>
      </c>
      <c r="W115" s="461">
        <f t="shared" ref="W115:AX115" si="115">W73*100000</f>
        <v>3258500</v>
      </c>
      <c r="X115" s="461">
        <f t="shared" si="115"/>
        <v>3258500</v>
      </c>
      <c r="Y115" s="461">
        <f t="shared" si="115"/>
        <v>3258500</v>
      </c>
      <c r="Z115" s="461">
        <f t="shared" si="115"/>
        <v>3325000</v>
      </c>
      <c r="AA115" s="461">
        <f t="shared" si="115"/>
        <v>3391500</v>
      </c>
      <c r="AB115" s="461">
        <f t="shared" si="115"/>
        <v>3059000</v>
      </c>
      <c r="AC115" s="461">
        <f t="shared" si="115"/>
        <v>3125500</v>
      </c>
      <c r="AD115" s="461">
        <f t="shared" si="115"/>
        <v>3524499.9999999995</v>
      </c>
      <c r="AE115" s="461">
        <f t="shared" si="115"/>
        <v>3590999.9999999995</v>
      </c>
      <c r="AF115" s="461">
        <f t="shared" si="115"/>
        <v>4189500.0000000005</v>
      </c>
      <c r="AG115" s="461">
        <f t="shared" si="115"/>
        <v>4189500.0000000005</v>
      </c>
      <c r="AH115" s="461">
        <f t="shared" si="115"/>
        <v>4256000</v>
      </c>
      <c r="AI115" s="461">
        <f t="shared" si="115"/>
        <v>4322500</v>
      </c>
      <c r="AJ115" s="461">
        <f t="shared" si="115"/>
        <v>2660000</v>
      </c>
      <c r="AK115" s="461">
        <f t="shared" si="115"/>
        <v>3059000</v>
      </c>
      <c r="AL115" s="461">
        <f t="shared" si="115"/>
        <v>3125500</v>
      </c>
      <c r="AM115" s="461">
        <f t="shared" si="115"/>
        <v>2660000</v>
      </c>
      <c r="AN115" s="461">
        <f t="shared" si="115"/>
        <v>798000</v>
      </c>
      <c r="AO115" s="461">
        <f t="shared" si="115"/>
        <v>798000</v>
      </c>
      <c r="AP115" s="461">
        <f t="shared" si="115"/>
        <v>798000</v>
      </c>
      <c r="AQ115" s="461">
        <f t="shared" si="115"/>
        <v>798000</v>
      </c>
      <c r="AR115" s="461">
        <f t="shared" si="115"/>
        <v>798000</v>
      </c>
      <c r="AS115" s="461">
        <f t="shared" si="115"/>
        <v>798000</v>
      </c>
      <c r="AT115" s="461">
        <f t="shared" si="115"/>
        <v>798000</v>
      </c>
      <c r="AU115" s="461">
        <f t="shared" si="115"/>
        <v>798000</v>
      </c>
      <c r="AV115" s="461">
        <f t="shared" si="115"/>
        <v>798000</v>
      </c>
      <c r="AW115" s="461">
        <f t="shared" si="115"/>
        <v>798000</v>
      </c>
      <c r="AX115" s="461">
        <f t="shared" si="115"/>
        <v>797999.99999998906</v>
      </c>
    </row>
    <row r="116" spans="21:50" ht="17.100000000000001" customHeight="1">
      <c r="U116" s="461">
        <f t="shared" ref="U116:U118" si="116">SUM(V116:AX116)</f>
        <v>3959999.9999999995</v>
      </c>
      <c r="V116" s="461">
        <f>V77*100000</f>
        <v>180000</v>
      </c>
      <c r="W116" s="461">
        <f t="shared" ref="W116:AX116" si="117">W77*100000</f>
        <v>183750</v>
      </c>
      <c r="X116" s="461">
        <f t="shared" si="117"/>
        <v>183750</v>
      </c>
      <c r="Y116" s="461">
        <f t="shared" si="117"/>
        <v>183750</v>
      </c>
      <c r="Z116" s="461">
        <f t="shared" si="117"/>
        <v>187500</v>
      </c>
      <c r="AA116" s="461">
        <f t="shared" si="117"/>
        <v>191250</v>
      </c>
      <c r="AB116" s="461">
        <f t="shared" si="117"/>
        <v>172500</v>
      </c>
      <c r="AC116" s="461">
        <f t="shared" si="117"/>
        <v>176250</v>
      </c>
      <c r="AD116" s="461">
        <f t="shared" si="117"/>
        <v>198750</v>
      </c>
      <c r="AE116" s="461">
        <f t="shared" si="117"/>
        <v>202500</v>
      </c>
      <c r="AF116" s="461">
        <f t="shared" si="117"/>
        <v>236249.99999999997</v>
      </c>
      <c r="AG116" s="461">
        <f t="shared" si="117"/>
        <v>236249.99999999997</v>
      </c>
      <c r="AH116" s="461">
        <f t="shared" si="117"/>
        <v>240000</v>
      </c>
      <c r="AI116" s="461">
        <f t="shared" si="117"/>
        <v>243750</v>
      </c>
      <c r="AJ116" s="461">
        <f t="shared" si="117"/>
        <v>150000</v>
      </c>
      <c r="AK116" s="461">
        <f t="shared" si="117"/>
        <v>172500</v>
      </c>
      <c r="AL116" s="461">
        <f t="shared" si="117"/>
        <v>176250</v>
      </c>
      <c r="AM116" s="461">
        <f t="shared" si="117"/>
        <v>150000</v>
      </c>
      <c r="AN116" s="461">
        <f t="shared" si="117"/>
        <v>45000</v>
      </c>
      <c r="AO116" s="461">
        <f t="shared" si="117"/>
        <v>45000</v>
      </c>
      <c r="AP116" s="461">
        <f t="shared" si="117"/>
        <v>45000</v>
      </c>
      <c r="AQ116" s="461">
        <f t="shared" si="117"/>
        <v>45000</v>
      </c>
      <c r="AR116" s="461">
        <f t="shared" si="117"/>
        <v>45000</v>
      </c>
      <c r="AS116" s="461">
        <f t="shared" si="117"/>
        <v>45000</v>
      </c>
      <c r="AT116" s="461">
        <f t="shared" si="117"/>
        <v>45000</v>
      </c>
      <c r="AU116" s="461">
        <f t="shared" si="117"/>
        <v>45000</v>
      </c>
      <c r="AV116" s="461">
        <f t="shared" si="117"/>
        <v>45000</v>
      </c>
      <c r="AW116" s="461">
        <f t="shared" si="117"/>
        <v>45000</v>
      </c>
      <c r="AX116" s="461">
        <f t="shared" si="117"/>
        <v>44999.999999999745</v>
      </c>
    </row>
    <row r="117" spans="21:50" ht="17.100000000000001" customHeight="1">
      <c r="U117" s="461">
        <f t="shared" si="116"/>
        <v>6600000</v>
      </c>
      <c r="V117" s="461">
        <f>V81*100000</f>
        <v>300000</v>
      </c>
      <c r="W117" s="461">
        <f t="shared" ref="W117:AX117" si="118">W81*100000</f>
        <v>306250</v>
      </c>
      <c r="X117" s="461">
        <f t="shared" si="118"/>
        <v>306250</v>
      </c>
      <c r="Y117" s="461">
        <f t="shared" si="118"/>
        <v>306250</v>
      </c>
      <c r="Z117" s="461">
        <f t="shared" si="118"/>
        <v>312500</v>
      </c>
      <c r="AA117" s="461">
        <f t="shared" si="118"/>
        <v>318750</v>
      </c>
      <c r="AB117" s="461">
        <f t="shared" si="118"/>
        <v>287500</v>
      </c>
      <c r="AC117" s="461">
        <f t="shared" si="118"/>
        <v>293750</v>
      </c>
      <c r="AD117" s="461">
        <f t="shared" si="118"/>
        <v>331250</v>
      </c>
      <c r="AE117" s="461">
        <f t="shared" si="118"/>
        <v>337500</v>
      </c>
      <c r="AF117" s="461">
        <f t="shared" si="118"/>
        <v>393750</v>
      </c>
      <c r="AG117" s="461">
        <f t="shared" si="118"/>
        <v>393750</v>
      </c>
      <c r="AH117" s="461">
        <f t="shared" si="118"/>
        <v>400000</v>
      </c>
      <c r="AI117" s="461">
        <f t="shared" si="118"/>
        <v>406250</v>
      </c>
      <c r="AJ117" s="461">
        <f t="shared" si="118"/>
        <v>250000</v>
      </c>
      <c r="AK117" s="461">
        <f t="shared" si="118"/>
        <v>287500</v>
      </c>
      <c r="AL117" s="461">
        <f t="shared" si="118"/>
        <v>293750</v>
      </c>
      <c r="AM117" s="461">
        <f t="shared" si="118"/>
        <v>250000</v>
      </c>
      <c r="AN117" s="461">
        <f t="shared" si="118"/>
        <v>75000</v>
      </c>
      <c r="AO117" s="461">
        <f t="shared" si="118"/>
        <v>75000</v>
      </c>
      <c r="AP117" s="461">
        <f t="shared" si="118"/>
        <v>75000</v>
      </c>
      <c r="AQ117" s="461">
        <f t="shared" si="118"/>
        <v>75000</v>
      </c>
      <c r="AR117" s="461">
        <f t="shared" si="118"/>
        <v>75000</v>
      </c>
      <c r="AS117" s="461">
        <f t="shared" si="118"/>
        <v>75000</v>
      </c>
      <c r="AT117" s="461">
        <f t="shared" si="118"/>
        <v>75000</v>
      </c>
      <c r="AU117" s="461">
        <f t="shared" si="118"/>
        <v>75000</v>
      </c>
      <c r="AV117" s="461">
        <f t="shared" si="118"/>
        <v>75000</v>
      </c>
      <c r="AW117" s="461">
        <f t="shared" si="118"/>
        <v>75000</v>
      </c>
      <c r="AX117" s="461">
        <f t="shared" si="118"/>
        <v>75000</v>
      </c>
    </row>
    <row r="118" spans="21:50" ht="17.100000000000001" customHeight="1">
      <c r="U118" s="461">
        <f t="shared" si="116"/>
        <v>6915744</v>
      </c>
      <c r="V118" s="461">
        <f>V85*100000</f>
        <v>314351.99999999994</v>
      </c>
      <c r="W118" s="461">
        <f t="shared" ref="W118:AX118" si="119">W85*100000</f>
        <v>320901</v>
      </c>
      <c r="X118" s="461">
        <f t="shared" si="119"/>
        <v>320901</v>
      </c>
      <c r="Y118" s="461">
        <f t="shared" si="119"/>
        <v>320901</v>
      </c>
      <c r="Z118" s="461">
        <f t="shared" si="119"/>
        <v>327450</v>
      </c>
      <c r="AA118" s="461">
        <f t="shared" si="119"/>
        <v>333999</v>
      </c>
      <c r="AB118" s="461">
        <f t="shared" si="119"/>
        <v>301253.99999999994</v>
      </c>
      <c r="AC118" s="461">
        <f t="shared" si="119"/>
        <v>307803</v>
      </c>
      <c r="AD118" s="461">
        <f t="shared" si="119"/>
        <v>347097</v>
      </c>
      <c r="AE118" s="461">
        <f t="shared" si="119"/>
        <v>353645.99999999994</v>
      </c>
      <c r="AF118" s="461">
        <f t="shared" si="119"/>
        <v>412587</v>
      </c>
      <c r="AG118" s="461">
        <f t="shared" si="119"/>
        <v>412587</v>
      </c>
      <c r="AH118" s="461">
        <f t="shared" si="119"/>
        <v>419135.99999999994</v>
      </c>
      <c r="AI118" s="461">
        <f t="shared" si="119"/>
        <v>425685</v>
      </c>
      <c r="AJ118" s="461">
        <f t="shared" si="119"/>
        <v>261959.99999999997</v>
      </c>
      <c r="AK118" s="461">
        <f t="shared" si="119"/>
        <v>301253.99999999994</v>
      </c>
      <c r="AL118" s="461">
        <f t="shared" si="119"/>
        <v>307803</v>
      </c>
      <c r="AM118" s="461">
        <f t="shared" si="119"/>
        <v>261959.99999999997</v>
      </c>
      <c r="AN118" s="461">
        <f t="shared" si="119"/>
        <v>78587.999999999985</v>
      </c>
      <c r="AO118" s="461">
        <f t="shared" si="119"/>
        <v>78587.999999999985</v>
      </c>
      <c r="AP118" s="461">
        <f t="shared" si="119"/>
        <v>78587.999999999985</v>
      </c>
      <c r="AQ118" s="461">
        <f t="shared" si="119"/>
        <v>78587.999999999985</v>
      </c>
      <c r="AR118" s="461">
        <f t="shared" si="119"/>
        <v>78587.999999999985</v>
      </c>
      <c r="AS118" s="461">
        <f t="shared" si="119"/>
        <v>78587.999999999985</v>
      </c>
      <c r="AT118" s="461">
        <f t="shared" si="119"/>
        <v>78587.999999999985</v>
      </c>
      <c r="AU118" s="461">
        <f t="shared" si="119"/>
        <v>78587.999999999985</v>
      </c>
      <c r="AV118" s="461">
        <f t="shared" si="119"/>
        <v>78587.999999999985</v>
      </c>
      <c r="AW118" s="461">
        <f t="shared" si="119"/>
        <v>78587.999999999985</v>
      </c>
      <c r="AX118" s="461">
        <f t="shared" si="119"/>
        <v>78587.99999999984</v>
      </c>
    </row>
    <row r="119" spans="21:50" ht="17.100000000000001" customHeight="1">
      <c r="U119" s="481">
        <f>SUM(V119:AX119)</f>
        <v>0.99999999999999989</v>
      </c>
      <c r="V119" s="5279">
        <f>V115/$U115</f>
        <v>4.5454545454545463E-2</v>
      </c>
      <c r="W119" s="5279">
        <f t="shared" ref="W119:AX122" si="120">W115/$U115</f>
        <v>4.6401515151515159E-2</v>
      </c>
      <c r="X119" s="5279">
        <f t="shared" si="120"/>
        <v>4.6401515151515159E-2</v>
      </c>
      <c r="Y119" s="5279">
        <f t="shared" si="120"/>
        <v>4.6401515151515159E-2</v>
      </c>
      <c r="Z119" s="5279">
        <f t="shared" si="120"/>
        <v>4.7348484848484862E-2</v>
      </c>
      <c r="AA119" s="5279">
        <f t="shared" si="120"/>
        <v>4.8295454545454558E-2</v>
      </c>
      <c r="AB119" s="5279">
        <f t="shared" si="120"/>
        <v>4.356060606060607E-2</v>
      </c>
      <c r="AC119" s="5279">
        <f t="shared" si="120"/>
        <v>4.4507575757575767E-2</v>
      </c>
      <c r="AD119" s="5279">
        <f t="shared" si="120"/>
        <v>5.0189393939393943E-2</v>
      </c>
      <c r="AE119" s="5279">
        <f t="shared" si="120"/>
        <v>5.113636363636364E-2</v>
      </c>
      <c r="AF119" s="5279">
        <f t="shared" si="120"/>
        <v>5.9659090909090925E-2</v>
      </c>
      <c r="AG119" s="5279">
        <f t="shared" si="120"/>
        <v>5.9659090909090925E-2</v>
      </c>
      <c r="AH119" s="5279">
        <f t="shared" si="120"/>
        <v>6.0606060606060622E-2</v>
      </c>
      <c r="AI119" s="5279">
        <f t="shared" si="120"/>
        <v>6.1553030303030318E-2</v>
      </c>
      <c r="AJ119" s="5279">
        <f t="shared" si="120"/>
        <v>3.7878787878787887E-2</v>
      </c>
      <c r="AK119" s="5279">
        <f t="shared" si="120"/>
        <v>4.356060606060607E-2</v>
      </c>
      <c r="AL119" s="5279">
        <f t="shared" si="120"/>
        <v>4.4507575757575767E-2</v>
      </c>
      <c r="AM119" s="5279">
        <f t="shared" si="120"/>
        <v>3.7878787878787887E-2</v>
      </c>
      <c r="AN119" s="5279">
        <f t="shared" si="120"/>
        <v>1.1363636363636366E-2</v>
      </c>
      <c r="AO119" s="5279">
        <f t="shared" si="120"/>
        <v>1.1363636363636366E-2</v>
      </c>
      <c r="AP119" s="5279">
        <f t="shared" si="120"/>
        <v>1.1363636363636366E-2</v>
      </c>
      <c r="AQ119" s="5279">
        <f t="shared" si="120"/>
        <v>1.1363636363636366E-2</v>
      </c>
      <c r="AR119" s="5279">
        <f t="shared" si="120"/>
        <v>1.1363636363636366E-2</v>
      </c>
      <c r="AS119" s="5279">
        <f t="shared" si="120"/>
        <v>1.1363636363636366E-2</v>
      </c>
      <c r="AT119" s="5279">
        <f t="shared" si="120"/>
        <v>1.1363636363636366E-2</v>
      </c>
      <c r="AU119" s="5279">
        <f t="shared" si="120"/>
        <v>1.1363636363636366E-2</v>
      </c>
      <c r="AV119" s="5279">
        <f t="shared" si="120"/>
        <v>1.1363636363636366E-2</v>
      </c>
      <c r="AW119" s="5279">
        <f t="shared" si="120"/>
        <v>1.1363636363636366E-2</v>
      </c>
      <c r="AX119" s="5279">
        <f t="shared" si="120"/>
        <v>1.136363636363621E-2</v>
      </c>
    </row>
    <row r="120" spans="21:50" ht="17.100000000000001" customHeight="1">
      <c r="U120" s="481">
        <f t="shared" ref="U120:U122" si="121">SUM(V120:AX120)</f>
        <v>1</v>
      </c>
      <c r="V120" s="5279">
        <f t="shared" ref="V120:AK122" si="122">V116/$U116</f>
        <v>4.5454545454545463E-2</v>
      </c>
      <c r="W120" s="5279">
        <f t="shared" si="122"/>
        <v>4.6401515151515159E-2</v>
      </c>
      <c r="X120" s="5279">
        <f t="shared" si="122"/>
        <v>4.6401515151515159E-2</v>
      </c>
      <c r="Y120" s="5279">
        <f t="shared" si="122"/>
        <v>4.6401515151515159E-2</v>
      </c>
      <c r="Z120" s="5279">
        <f t="shared" si="122"/>
        <v>4.7348484848484855E-2</v>
      </c>
      <c r="AA120" s="5279">
        <f t="shared" si="122"/>
        <v>4.8295454545454551E-2</v>
      </c>
      <c r="AB120" s="5279">
        <f t="shared" si="122"/>
        <v>4.3560606060606064E-2</v>
      </c>
      <c r="AC120" s="5279">
        <f t="shared" si="122"/>
        <v>4.450757575757576E-2</v>
      </c>
      <c r="AD120" s="5279">
        <f t="shared" si="122"/>
        <v>5.0189393939393943E-2</v>
      </c>
      <c r="AE120" s="5279">
        <f t="shared" si="122"/>
        <v>5.113636363636364E-2</v>
      </c>
      <c r="AF120" s="5279">
        <f t="shared" si="122"/>
        <v>5.9659090909090912E-2</v>
      </c>
      <c r="AG120" s="5279">
        <f t="shared" si="122"/>
        <v>5.9659090909090912E-2</v>
      </c>
      <c r="AH120" s="5279">
        <f t="shared" si="122"/>
        <v>6.0606060606060615E-2</v>
      </c>
      <c r="AI120" s="5279">
        <f t="shared" si="122"/>
        <v>6.1553030303030311E-2</v>
      </c>
      <c r="AJ120" s="5279">
        <f t="shared" si="122"/>
        <v>3.787878787878788E-2</v>
      </c>
      <c r="AK120" s="5279">
        <f t="shared" si="122"/>
        <v>4.3560606060606064E-2</v>
      </c>
      <c r="AL120" s="5279">
        <f t="shared" si="120"/>
        <v>4.450757575757576E-2</v>
      </c>
      <c r="AM120" s="5279">
        <f t="shared" si="120"/>
        <v>3.787878787878788E-2</v>
      </c>
      <c r="AN120" s="5279">
        <f t="shared" si="120"/>
        <v>1.1363636363636366E-2</v>
      </c>
      <c r="AO120" s="5279">
        <f t="shared" si="120"/>
        <v>1.1363636363636366E-2</v>
      </c>
      <c r="AP120" s="5279">
        <f t="shared" si="120"/>
        <v>1.1363636363636366E-2</v>
      </c>
      <c r="AQ120" s="5279">
        <f t="shared" si="120"/>
        <v>1.1363636363636366E-2</v>
      </c>
      <c r="AR120" s="5279">
        <f t="shared" si="120"/>
        <v>1.1363636363636366E-2</v>
      </c>
      <c r="AS120" s="5279">
        <f t="shared" si="120"/>
        <v>1.1363636363636366E-2</v>
      </c>
      <c r="AT120" s="5279">
        <f t="shared" si="120"/>
        <v>1.1363636363636366E-2</v>
      </c>
      <c r="AU120" s="5279">
        <f t="shared" si="120"/>
        <v>1.1363636363636366E-2</v>
      </c>
      <c r="AV120" s="5279">
        <f t="shared" si="120"/>
        <v>1.1363636363636366E-2</v>
      </c>
      <c r="AW120" s="5279">
        <f t="shared" si="120"/>
        <v>1.1363636363636366E-2</v>
      </c>
      <c r="AX120" s="5279">
        <f t="shared" si="120"/>
        <v>1.1363636363636302E-2</v>
      </c>
    </row>
    <row r="121" spans="21:50" ht="17.100000000000001" customHeight="1">
      <c r="U121" s="481">
        <f t="shared" si="121"/>
        <v>0.99999999999999989</v>
      </c>
      <c r="V121" s="5279">
        <f t="shared" si="122"/>
        <v>4.5454545454545456E-2</v>
      </c>
      <c r="W121" s="5279">
        <f t="shared" si="120"/>
        <v>4.6401515151515152E-2</v>
      </c>
      <c r="X121" s="5279">
        <f t="shared" si="120"/>
        <v>4.6401515151515152E-2</v>
      </c>
      <c r="Y121" s="5279">
        <f t="shared" si="120"/>
        <v>4.6401515151515152E-2</v>
      </c>
      <c r="Z121" s="5279">
        <f t="shared" si="120"/>
        <v>4.7348484848484848E-2</v>
      </c>
      <c r="AA121" s="5279">
        <f t="shared" si="120"/>
        <v>4.8295454545454544E-2</v>
      </c>
      <c r="AB121" s="5279">
        <f t="shared" si="120"/>
        <v>4.3560606060606064E-2</v>
      </c>
      <c r="AC121" s="5279">
        <f t="shared" si="120"/>
        <v>4.450757575757576E-2</v>
      </c>
      <c r="AD121" s="5279">
        <f t="shared" si="120"/>
        <v>5.0189393939393936E-2</v>
      </c>
      <c r="AE121" s="5279">
        <f t="shared" si="120"/>
        <v>5.113636363636364E-2</v>
      </c>
      <c r="AF121" s="5279">
        <f t="shared" si="120"/>
        <v>5.9659090909090912E-2</v>
      </c>
      <c r="AG121" s="5279">
        <f t="shared" si="120"/>
        <v>5.9659090909090912E-2</v>
      </c>
      <c r="AH121" s="5279">
        <f t="shared" si="120"/>
        <v>6.0606060606060608E-2</v>
      </c>
      <c r="AI121" s="5279">
        <f t="shared" si="120"/>
        <v>6.1553030303030304E-2</v>
      </c>
      <c r="AJ121" s="5279">
        <f t="shared" si="120"/>
        <v>3.787878787878788E-2</v>
      </c>
      <c r="AK121" s="5279">
        <f t="shared" si="120"/>
        <v>4.3560606060606064E-2</v>
      </c>
      <c r="AL121" s="5279">
        <f t="shared" si="120"/>
        <v>4.450757575757576E-2</v>
      </c>
      <c r="AM121" s="5279">
        <f t="shared" si="120"/>
        <v>3.787878787878788E-2</v>
      </c>
      <c r="AN121" s="5279">
        <f t="shared" si="120"/>
        <v>1.1363636363636364E-2</v>
      </c>
      <c r="AO121" s="5279">
        <f t="shared" si="120"/>
        <v>1.1363636363636364E-2</v>
      </c>
      <c r="AP121" s="5279">
        <f t="shared" si="120"/>
        <v>1.1363636363636364E-2</v>
      </c>
      <c r="AQ121" s="5279">
        <f t="shared" si="120"/>
        <v>1.1363636363636364E-2</v>
      </c>
      <c r="AR121" s="5279">
        <f t="shared" si="120"/>
        <v>1.1363636363636364E-2</v>
      </c>
      <c r="AS121" s="5279">
        <f t="shared" si="120"/>
        <v>1.1363636363636364E-2</v>
      </c>
      <c r="AT121" s="5279">
        <f t="shared" si="120"/>
        <v>1.1363636363636364E-2</v>
      </c>
      <c r="AU121" s="5279">
        <f t="shared" si="120"/>
        <v>1.1363636363636364E-2</v>
      </c>
      <c r="AV121" s="5279">
        <f t="shared" si="120"/>
        <v>1.1363636363636364E-2</v>
      </c>
      <c r="AW121" s="5279">
        <f t="shared" si="120"/>
        <v>1.1363636363636364E-2</v>
      </c>
      <c r="AX121" s="5279">
        <f t="shared" si="120"/>
        <v>1.1363636363636364E-2</v>
      </c>
    </row>
    <row r="122" spans="21:50" ht="17.100000000000001" customHeight="1">
      <c r="U122" s="481">
        <f t="shared" si="121"/>
        <v>0.99999999999999978</v>
      </c>
      <c r="V122" s="5279">
        <f t="shared" si="122"/>
        <v>4.5454545454545449E-2</v>
      </c>
      <c r="W122" s="5279">
        <f t="shared" si="120"/>
        <v>4.6401515151515152E-2</v>
      </c>
      <c r="X122" s="5279">
        <f t="shared" si="120"/>
        <v>4.6401515151515152E-2</v>
      </c>
      <c r="Y122" s="5279">
        <f t="shared" si="120"/>
        <v>4.6401515151515152E-2</v>
      </c>
      <c r="Z122" s="5279">
        <f t="shared" si="120"/>
        <v>4.7348484848484848E-2</v>
      </c>
      <c r="AA122" s="5279">
        <f t="shared" si="120"/>
        <v>4.8295454545454544E-2</v>
      </c>
      <c r="AB122" s="5279">
        <f t="shared" si="120"/>
        <v>4.356060606060605E-2</v>
      </c>
      <c r="AC122" s="5279">
        <f t="shared" si="120"/>
        <v>4.450757575757576E-2</v>
      </c>
      <c r="AD122" s="5279">
        <f t="shared" si="120"/>
        <v>5.0189393939393936E-2</v>
      </c>
      <c r="AE122" s="5279">
        <f t="shared" si="120"/>
        <v>5.1136363636363626E-2</v>
      </c>
      <c r="AF122" s="5279">
        <f t="shared" si="120"/>
        <v>5.9659090909090912E-2</v>
      </c>
      <c r="AG122" s="5279">
        <f t="shared" si="120"/>
        <v>5.9659090909090912E-2</v>
      </c>
      <c r="AH122" s="5279">
        <f t="shared" si="120"/>
        <v>6.0606060606060601E-2</v>
      </c>
      <c r="AI122" s="5279">
        <f t="shared" si="120"/>
        <v>6.1553030303030304E-2</v>
      </c>
      <c r="AJ122" s="5279">
        <f t="shared" si="120"/>
        <v>3.7878787878787873E-2</v>
      </c>
      <c r="AK122" s="5279">
        <f t="shared" si="120"/>
        <v>4.356060606060605E-2</v>
      </c>
      <c r="AL122" s="5279">
        <f t="shared" si="120"/>
        <v>4.450757575757576E-2</v>
      </c>
      <c r="AM122" s="5279">
        <f t="shared" si="120"/>
        <v>3.7878787878787873E-2</v>
      </c>
      <c r="AN122" s="5279">
        <f t="shared" si="120"/>
        <v>1.1363636363636362E-2</v>
      </c>
      <c r="AO122" s="5279">
        <f t="shared" si="120"/>
        <v>1.1363636363636362E-2</v>
      </c>
      <c r="AP122" s="5279">
        <f t="shared" si="120"/>
        <v>1.1363636363636362E-2</v>
      </c>
      <c r="AQ122" s="5279">
        <f t="shared" si="120"/>
        <v>1.1363636363636362E-2</v>
      </c>
      <c r="AR122" s="5279">
        <f t="shared" si="120"/>
        <v>1.1363636363636362E-2</v>
      </c>
      <c r="AS122" s="5279">
        <f t="shared" si="120"/>
        <v>1.1363636363636362E-2</v>
      </c>
      <c r="AT122" s="5279">
        <f t="shared" si="120"/>
        <v>1.1363636363636362E-2</v>
      </c>
      <c r="AU122" s="5279">
        <f t="shared" si="120"/>
        <v>1.1363636363636362E-2</v>
      </c>
      <c r="AV122" s="5279">
        <f t="shared" si="120"/>
        <v>1.1363636363636362E-2</v>
      </c>
      <c r="AW122" s="5279">
        <f t="shared" si="120"/>
        <v>1.1363636363636362E-2</v>
      </c>
      <c r="AX122" s="5279">
        <f t="shared" si="120"/>
        <v>1.136363636363634E-2</v>
      </c>
    </row>
    <row r="123" spans="21:50" ht="17.100000000000001" customHeight="1">
      <c r="AK123" s="788"/>
      <c r="AL123" s="788"/>
      <c r="AM123" s="788"/>
      <c r="AN123" s="788"/>
    </row>
    <row r="124" spans="21:50" ht="17.100000000000001" customHeight="1">
      <c r="AK124" s="788"/>
      <c r="AL124" s="788"/>
      <c r="AM124" s="788"/>
      <c r="AN124" s="788"/>
    </row>
    <row r="125" spans="21:50" ht="17.100000000000001" customHeight="1">
      <c r="AK125" s="788"/>
      <c r="AL125" s="788"/>
      <c r="AM125" s="788"/>
      <c r="AN125" s="788"/>
    </row>
    <row r="126" spans="21:50" ht="17.100000000000001" customHeight="1">
      <c r="AK126" s="788"/>
      <c r="AL126" s="788"/>
      <c r="AM126" s="788"/>
      <c r="AN126" s="788"/>
    </row>
    <row r="127" spans="21:50" ht="17.100000000000001" customHeight="1">
      <c r="AK127" s="788"/>
      <c r="AL127" s="788"/>
      <c r="AM127" s="788"/>
      <c r="AN127" s="788"/>
    </row>
    <row r="128" spans="21:50" ht="17.100000000000001" customHeight="1">
      <c r="AK128" s="788"/>
      <c r="AL128" s="788"/>
      <c r="AM128" s="788"/>
      <c r="AN128" s="788"/>
    </row>
    <row r="129" spans="37:40" ht="17.100000000000001" customHeight="1">
      <c r="AK129" s="788"/>
      <c r="AL129" s="788"/>
      <c r="AM129" s="788"/>
      <c r="AN129" s="788"/>
    </row>
    <row r="130" spans="37:40" ht="17.100000000000001" customHeight="1">
      <c r="AK130" s="788"/>
      <c r="AL130" s="788"/>
      <c r="AM130" s="788"/>
      <c r="AN130" s="788"/>
    </row>
    <row r="131" spans="37:40" ht="17.100000000000001" customHeight="1">
      <c r="AK131" s="788"/>
      <c r="AL131" s="788"/>
      <c r="AM131" s="788"/>
      <c r="AN131" s="788"/>
    </row>
    <row r="132" spans="37:40" ht="17.100000000000001" customHeight="1">
      <c r="AK132" s="788"/>
      <c r="AL132" s="788"/>
      <c r="AM132" s="788"/>
      <c r="AN132" s="788"/>
    </row>
    <row r="133" spans="37:40" ht="17.100000000000001" customHeight="1">
      <c r="AK133" s="788"/>
      <c r="AL133" s="788"/>
      <c r="AM133" s="788"/>
      <c r="AN133" s="788"/>
    </row>
    <row r="134" spans="37:40" ht="17.100000000000001" customHeight="1">
      <c r="AK134" s="788"/>
      <c r="AL134" s="788"/>
      <c r="AM134" s="788"/>
      <c r="AN134" s="788"/>
    </row>
    <row r="135" spans="37:40" ht="17.100000000000001" customHeight="1">
      <c r="AK135" s="788"/>
      <c r="AL135" s="788"/>
      <c r="AM135" s="788"/>
      <c r="AN135" s="788"/>
    </row>
    <row r="136" spans="37:40" ht="17.100000000000001" customHeight="1">
      <c r="AK136" s="788"/>
      <c r="AL136" s="788"/>
      <c r="AM136" s="788"/>
      <c r="AN136" s="788"/>
    </row>
    <row r="137" spans="37:40" ht="17.100000000000001" customHeight="1">
      <c r="AK137" s="788"/>
      <c r="AL137" s="788"/>
      <c r="AM137" s="788"/>
      <c r="AN137" s="788"/>
    </row>
    <row r="138" spans="37:40" ht="17.100000000000001" customHeight="1">
      <c r="AK138" s="461"/>
      <c r="AL138" s="461"/>
      <c r="AM138" s="461"/>
      <c r="AN138" s="461"/>
    </row>
  </sheetData>
  <mergeCells count="2">
    <mergeCell ref="F3:F4"/>
    <mergeCell ref="C3:E4"/>
  </mergeCells>
  <phoneticPr fontId="12" type="noConversion"/>
  <pageMargins left="0.59055118110236227" right="0.59055118110236227" top="0.59055118110236227" bottom="0.59055118110236227" header="0.51181102362204722" footer="0.39370078740157483"/>
  <pageSetup paperSize="8" scale="90" firstPageNumber="14" orientation="landscape" useFirstPageNumber="1" r:id="rId1"/>
  <headerFooter alignWithMargins="0">
    <oddFooter>&amp;RI -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98947-7C2E-4634-A281-35E834260CF2}">
  <dimension ref="E4:Q36"/>
  <sheetViews>
    <sheetView tabSelected="1" workbookViewId="0">
      <selection activeCell="P10" sqref="P10"/>
    </sheetView>
  </sheetViews>
  <sheetFormatPr defaultRowHeight="13.5"/>
  <cols>
    <col min="5" max="5" width="11.77734375" customWidth="1"/>
    <col min="7" max="10" width="10.77734375" customWidth="1"/>
    <col min="14" max="14" width="12.33203125" customWidth="1"/>
  </cols>
  <sheetData>
    <row r="4" spans="5:15" ht="14.25" thickBot="1"/>
    <row r="5" spans="5:15" ht="15" thickBot="1">
      <c r="E5" s="5705" t="s">
        <v>5499</v>
      </c>
      <c r="F5" s="5705" t="s">
        <v>5465</v>
      </c>
      <c r="G5" s="5705" t="s">
        <v>5495</v>
      </c>
      <c r="H5" s="5705" t="s">
        <v>5496</v>
      </c>
      <c r="I5" s="5705" t="s">
        <v>5497</v>
      </c>
      <c r="J5" s="5705" t="s">
        <v>5498</v>
      </c>
      <c r="M5" s="5710"/>
    </row>
    <row r="6" spans="5:15" ht="28.5" customHeight="1" thickBot="1">
      <c r="E6" s="5706"/>
      <c r="F6" s="5706"/>
      <c r="G6" s="5706"/>
      <c r="H6" s="5706"/>
      <c r="I6" s="5706"/>
      <c r="J6" s="5706"/>
      <c r="M6" s="5719" t="s">
        <v>5500</v>
      </c>
      <c r="N6" s="5720"/>
      <c r="O6" s="5711" t="s">
        <v>5501</v>
      </c>
    </row>
    <row r="7" spans="5:15" ht="15.75" thickBot="1">
      <c r="E7" s="5702" t="s">
        <v>5466</v>
      </c>
      <c r="F7" s="5703">
        <v>44832</v>
      </c>
      <c r="G7" s="5709">
        <v>3192000</v>
      </c>
      <c r="H7" s="5709">
        <v>180000</v>
      </c>
      <c r="I7" s="5709">
        <v>300000</v>
      </c>
      <c r="J7" s="5709">
        <v>314351.99999999994</v>
      </c>
      <c r="M7" s="5712" t="s">
        <v>5502</v>
      </c>
      <c r="N7" s="5713" t="s">
        <v>5503</v>
      </c>
      <c r="O7" s="5714">
        <v>0.41539999999999999</v>
      </c>
    </row>
    <row r="8" spans="5:15" ht="29.25" thickBot="1">
      <c r="E8" s="5702" t="s">
        <v>5467</v>
      </c>
      <c r="F8" s="5703">
        <v>44923</v>
      </c>
      <c r="G8" s="5709">
        <v>3258500</v>
      </c>
      <c r="H8" s="5709">
        <v>183750</v>
      </c>
      <c r="I8" s="5709">
        <v>306250</v>
      </c>
      <c r="J8" s="5709">
        <v>320901</v>
      </c>
      <c r="M8" s="5715" t="s">
        <v>5504</v>
      </c>
      <c r="N8" s="5718" t="s">
        <v>5506</v>
      </c>
      <c r="O8" s="5714">
        <v>0.1134</v>
      </c>
    </row>
    <row r="9" spans="5:15" ht="15.75" thickBot="1">
      <c r="E9" s="5702" t="s">
        <v>5468</v>
      </c>
      <c r="F9" s="5703">
        <v>45013</v>
      </c>
      <c r="G9" s="5709">
        <v>3258500</v>
      </c>
      <c r="H9" s="5709">
        <v>183750</v>
      </c>
      <c r="I9" s="5709">
        <v>306250</v>
      </c>
      <c r="J9" s="5709">
        <v>320901</v>
      </c>
      <c r="M9" s="5715" t="s">
        <v>5505</v>
      </c>
      <c r="N9" s="5713" t="s">
        <v>5507</v>
      </c>
      <c r="O9" s="5714">
        <v>0.1134</v>
      </c>
    </row>
    <row r="10" spans="5:15" ht="27.75" thickBot="1">
      <c r="E10" s="5702" t="s">
        <v>5469</v>
      </c>
      <c r="F10" s="5703">
        <v>45105</v>
      </c>
      <c r="G10" s="5709">
        <v>3258500</v>
      </c>
      <c r="H10" s="5709">
        <v>183750</v>
      </c>
      <c r="I10" s="5709">
        <v>306250</v>
      </c>
      <c r="J10" s="5709">
        <v>320901</v>
      </c>
      <c r="M10" s="5716"/>
      <c r="N10" s="5713" t="s">
        <v>5508</v>
      </c>
      <c r="O10" s="5714">
        <v>6.7199999999999996E-2</v>
      </c>
    </row>
    <row r="11" spans="5:15" ht="15.75" thickBot="1">
      <c r="E11" s="5702" t="s">
        <v>5470</v>
      </c>
      <c r="F11" s="5703">
        <v>45197</v>
      </c>
      <c r="G11" s="5709">
        <v>3325000</v>
      </c>
      <c r="H11" s="5709">
        <v>187500</v>
      </c>
      <c r="I11" s="5709">
        <v>312500</v>
      </c>
      <c r="J11" s="5709">
        <v>327450</v>
      </c>
      <c r="M11" s="5716"/>
      <c r="N11" s="5713" t="s">
        <v>5509</v>
      </c>
      <c r="O11" s="5714">
        <v>4.2000000000000003E-2</v>
      </c>
    </row>
    <row r="12" spans="5:15" ht="15.75" thickBot="1">
      <c r="E12" s="5702" t="s">
        <v>5471</v>
      </c>
      <c r="F12" s="5703">
        <v>45288</v>
      </c>
      <c r="G12" s="5709">
        <v>3391500</v>
      </c>
      <c r="H12" s="5709">
        <v>191250</v>
      </c>
      <c r="I12" s="5709">
        <v>318750</v>
      </c>
      <c r="J12" s="5709">
        <v>333999</v>
      </c>
      <c r="M12" s="5716"/>
      <c r="N12" s="5713" t="s">
        <v>5510</v>
      </c>
      <c r="O12" s="5714">
        <v>4.2000000000000003E-2</v>
      </c>
    </row>
    <row r="13" spans="5:15" ht="15.75" thickBot="1">
      <c r="E13" s="5702" t="s">
        <v>5472</v>
      </c>
      <c r="F13" s="5703">
        <v>45379</v>
      </c>
      <c r="G13" s="5709">
        <v>3059000</v>
      </c>
      <c r="H13" s="5709">
        <v>172500</v>
      </c>
      <c r="I13" s="5709">
        <v>287500</v>
      </c>
      <c r="J13" s="5709">
        <v>301253.99999999994</v>
      </c>
      <c r="M13" s="5716"/>
      <c r="N13" s="5713" t="s">
        <v>5511</v>
      </c>
      <c r="O13" s="5714">
        <v>4.2000000000000003E-2</v>
      </c>
    </row>
    <row r="14" spans="5:15" ht="27.75" thickBot="1">
      <c r="E14" s="5702" t="s">
        <v>5473</v>
      </c>
      <c r="F14" s="5703">
        <v>45471</v>
      </c>
      <c r="G14" s="5709">
        <v>3125500</v>
      </c>
      <c r="H14" s="5709">
        <v>176250</v>
      </c>
      <c r="I14" s="5709">
        <v>293750</v>
      </c>
      <c r="J14" s="5709">
        <v>307803</v>
      </c>
      <c r="M14" s="5717"/>
      <c r="N14" s="5713" t="s">
        <v>5512</v>
      </c>
      <c r="O14" s="5714">
        <v>8.6999999999999994E-3</v>
      </c>
    </row>
    <row r="15" spans="5:15" ht="27.75" thickBot="1">
      <c r="E15" s="5702" t="s">
        <v>5474</v>
      </c>
      <c r="F15" s="5703">
        <v>45563</v>
      </c>
      <c r="G15" s="5709">
        <v>3524499.9999999995</v>
      </c>
      <c r="H15" s="5709">
        <v>198750</v>
      </c>
      <c r="I15" s="5709">
        <v>331250</v>
      </c>
      <c r="J15" s="5709">
        <v>347097</v>
      </c>
      <c r="M15" s="5721" t="s">
        <v>5513</v>
      </c>
      <c r="N15" s="5713" t="s">
        <v>5514</v>
      </c>
      <c r="O15" s="5714">
        <v>0.1169</v>
      </c>
    </row>
    <row r="16" spans="5:15" ht="15.75" thickBot="1">
      <c r="E16" s="5702" t="s">
        <v>5475</v>
      </c>
      <c r="F16" s="5703">
        <v>45654</v>
      </c>
      <c r="G16" s="5709">
        <v>3590999.9999999995</v>
      </c>
      <c r="H16" s="5709">
        <v>202500</v>
      </c>
      <c r="I16" s="5709">
        <v>337500</v>
      </c>
      <c r="J16" s="5709">
        <v>353645.99999999994</v>
      </c>
      <c r="M16" s="5722"/>
      <c r="N16" s="5713" t="s">
        <v>5515</v>
      </c>
      <c r="O16" s="5714">
        <v>3.9E-2</v>
      </c>
    </row>
    <row r="17" spans="5:17" ht="15.75" thickBot="1">
      <c r="E17" s="5702" t="s">
        <v>5476</v>
      </c>
      <c r="F17" s="5703">
        <v>45744</v>
      </c>
      <c r="G17" s="5709">
        <v>4189500.0000000005</v>
      </c>
      <c r="H17" s="5709">
        <v>236249.99999999997</v>
      </c>
      <c r="I17" s="5709">
        <v>393750</v>
      </c>
      <c r="J17" s="5709">
        <v>412587</v>
      </c>
      <c r="M17" s="5719" t="s">
        <v>14</v>
      </c>
      <c r="N17" s="5720"/>
      <c r="O17" s="5714">
        <v>1</v>
      </c>
    </row>
    <row r="18" spans="5:17" ht="14.25" thickBot="1">
      <c r="E18" s="5702" t="s">
        <v>5477</v>
      </c>
      <c r="F18" s="5703">
        <v>45836</v>
      </c>
      <c r="G18" s="5709">
        <v>4189500.0000000005</v>
      </c>
      <c r="H18" s="5709">
        <v>236249.99999999997</v>
      </c>
      <c r="I18" s="5709">
        <v>393750</v>
      </c>
      <c r="J18" s="5709">
        <v>412587</v>
      </c>
    </row>
    <row r="19" spans="5:17" ht="14.25" thickBot="1">
      <c r="E19" s="5702" t="s">
        <v>5478</v>
      </c>
      <c r="F19" s="5703">
        <v>45928</v>
      </c>
      <c r="G19" s="5709">
        <v>4256000</v>
      </c>
      <c r="H19" s="5709">
        <v>240000</v>
      </c>
      <c r="I19" s="5709">
        <v>400000</v>
      </c>
      <c r="J19" s="5709">
        <v>419135.99999999994</v>
      </c>
    </row>
    <row r="20" spans="5:17" ht="14.25" thickBot="1">
      <c r="E20" s="5702" t="s">
        <v>5479</v>
      </c>
      <c r="F20" s="5703">
        <v>46019</v>
      </c>
      <c r="G20" s="5709">
        <v>4322500</v>
      </c>
      <c r="H20" s="5709">
        <v>243750</v>
      </c>
      <c r="I20" s="5709">
        <v>406250</v>
      </c>
      <c r="J20" s="5709">
        <v>425685</v>
      </c>
    </row>
    <row r="21" spans="5:17" ht="14.25" thickBot="1">
      <c r="E21" s="5702" t="s">
        <v>5480</v>
      </c>
      <c r="F21" s="5703">
        <v>46109</v>
      </c>
      <c r="G21" s="5709">
        <v>2660000</v>
      </c>
      <c r="H21" s="5709">
        <v>150000</v>
      </c>
      <c r="I21" s="5709">
        <v>250000</v>
      </c>
      <c r="J21" s="5709">
        <v>261959.99999999997</v>
      </c>
    </row>
    <row r="22" spans="5:17" ht="14.25" thickBot="1">
      <c r="E22" s="5702" t="s">
        <v>5481</v>
      </c>
      <c r="F22" s="5703">
        <v>46201</v>
      </c>
      <c r="G22" s="5709">
        <v>3059000</v>
      </c>
      <c r="H22" s="5709">
        <v>172500</v>
      </c>
      <c r="I22" s="5709">
        <v>287500</v>
      </c>
      <c r="J22" s="5709">
        <v>301253.99999999994</v>
      </c>
    </row>
    <row r="23" spans="5:17" ht="14.25" thickBot="1">
      <c r="E23" s="5702" t="s">
        <v>5482</v>
      </c>
      <c r="F23" s="5703">
        <v>46293</v>
      </c>
      <c r="G23" s="5709">
        <v>3125500</v>
      </c>
      <c r="H23" s="5709">
        <v>176250</v>
      </c>
      <c r="I23" s="5709">
        <v>293750</v>
      </c>
      <c r="J23" s="5709">
        <v>307803</v>
      </c>
    </row>
    <row r="24" spans="5:17" ht="14.25" thickBot="1">
      <c r="E24" s="5702" t="s">
        <v>5483</v>
      </c>
      <c r="F24" s="5703">
        <v>46384</v>
      </c>
      <c r="G24" s="5709">
        <v>2660000</v>
      </c>
      <c r="H24" s="5709">
        <v>150000</v>
      </c>
      <c r="I24" s="5709">
        <v>250000</v>
      </c>
      <c r="J24" s="5709">
        <v>261959.99999999997</v>
      </c>
      <c r="N24" s="5704">
        <v>70224000</v>
      </c>
      <c r="O24" s="5704">
        <v>3960000</v>
      </c>
      <c r="P24" s="5704">
        <v>6600000</v>
      </c>
      <c r="Q24" s="5704">
        <v>6915744</v>
      </c>
    </row>
    <row r="25" spans="5:17" ht="14.25" thickBot="1">
      <c r="E25" s="5702" t="s">
        <v>5484</v>
      </c>
      <c r="F25" s="5703">
        <v>46474</v>
      </c>
      <c r="G25" s="5709">
        <v>798000</v>
      </c>
      <c r="H25" s="5709">
        <v>45000</v>
      </c>
      <c r="I25" s="5709">
        <v>75000</v>
      </c>
      <c r="J25" s="5709">
        <v>78587.999999999985</v>
      </c>
    </row>
    <row r="26" spans="5:17" ht="14.25" thickBot="1">
      <c r="E26" s="5702" t="s">
        <v>5485</v>
      </c>
      <c r="F26" s="5703">
        <v>46566</v>
      </c>
      <c r="G26" s="5709">
        <v>798000</v>
      </c>
      <c r="H26" s="5709">
        <v>45000</v>
      </c>
      <c r="I26" s="5709">
        <v>75000</v>
      </c>
      <c r="J26" s="5709">
        <v>78587.999999999985</v>
      </c>
    </row>
    <row r="27" spans="5:17" ht="14.25" thickBot="1">
      <c r="E27" s="5702" t="s">
        <v>5486</v>
      </c>
      <c r="F27" s="5703">
        <v>46658</v>
      </c>
      <c r="G27" s="5709">
        <v>798000</v>
      </c>
      <c r="H27" s="5709">
        <v>45000</v>
      </c>
      <c r="I27" s="5709">
        <v>75000</v>
      </c>
      <c r="J27" s="5709">
        <v>78587.999999999985</v>
      </c>
    </row>
    <row r="28" spans="5:17" ht="14.25" thickBot="1">
      <c r="E28" s="5702" t="s">
        <v>5487</v>
      </c>
      <c r="F28" s="5703">
        <v>46749</v>
      </c>
      <c r="G28" s="5709">
        <v>798000</v>
      </c>
      <c r="H28" s="5709">
        <v>45000</v>
      </c>
      <c r="I28" s="5709">
        <v>75000</v>
      </c>
      <c r="J28" s="5709">
        <v>78587.999999999985</v>
      </c>
    </row>
    <row r="29" spans="5:17" ht="14.25" thickBot="1">
      <c r="E29" s="5702" t="s">
        <v>5488</v>
      </c>
      <c r="F29" s="5703">
        <v>46840</v>
      </c>
      <c r="G29" s="5709">
        <v>798000</v>
      </c>
      <c r="H29" s="5709">
        <v>45000</v>
      </c>
      <c r="I29" s="5709">
        <v>75000</v>
      </c>
      <c r="J29" s="5709">
        <v>78587.999999999985</v>
      </c>
    </row>
    <row r="30" spans="5:17" ht="14.25" thickBot="1">
      <c r="E30" s="5702" t="s">
        <v>5489</v>
      </c>
      <c r="F30" s="5703">
        <v>46932</v>
      </c>
      <c r="G30" s="5709">
        <v>798000</v>
      </c>
      <c r="H30" s="5709">
        <v>45000</v>
      </c>
      <c r="I30" s="5709">
        <v>75000</v>
      </c>
      <c r="J30" s="5709">
        <v>78587.999999999985</v>
      </c>
    </row>
    <row r="31" spans="5:17" ht="14.25" thickBot="1">
      <c r="E31" s="5702" t="s">
        <v>5490</v>
      </c>
      <c r="F31" s="5703">
        <v>47024</v>
      </c>
      <c r="G31" s="5709">
        <v>798000</v>
      </c>
      <c r="H31" s="5709">
        <v>45000</v>
      </c>
      <c r="I31" s="5709">
        <v>75000</v>
      </c>
      <c r="J31" s="5709">
        <v>78587.999999999985</v>
      </c>
    </row>
    <row r="32" spans="5:17" ht="14.25" thickBot="1">
      <c r="E32" s="5702" t="s">
        <v>5491</v>
      </c>
      <c r="F32" s="5703">
        <v>47115</v>
      </c>
      <c r="G32" s="5709">
        <v>798000</v>
      </c>
      <c r="H32" s="5709">
        <v>45000</v>
      </c>
      <c r="I32" s="5709">
        <v>75000</v>
      </c>
      <c r="J32" s="5709">
        <v>78587.999999999985</v>
      </c>
    </row>
    <row r="33" spans="5:10" ht="14.25" thickBot="1">
      <c r="E33" s="5702" t="s">
        <v>5492</v>
      </c>
      <c r="F33" s="5703">
        <v>47205</v>
      </c>
      <c r="G33" s="5709">
        <v>798000</v>
      </c>
      <c r="H33" s="5709">
        <v>45000</v>
      </c>
      <c r="I33" s="5709">
        <v>75000</v>
      </c>
      <c r="J33" s="5709">
        <v>78587.999999999985</v>
      </c>
    </row>
    <row r="34" spans="5:10" ht="14.25" thickBot="1">
      <c r="E34" s="5702" t="s">
        <v>5493</v>
      </c>
      <c r="F34" s="5703">
        <v>47297</v>
      </c>
      <c r="G34" s="5709">
        <v>798000</v>
      </c>
      <c r="H34" s="5709">
        <v>45000</v>
      </c>
      <c r="I34" s="5709">
        <v>75000</v>
      </c>
      <c r="J34" s="5709">
        <v>78587.999999999985</v>
      </c>
    </row>
    <row r="35" spans="5:10" ht="14.25" thickBot="1">
      <c r="E35" s="5702" t="s">
        <v>5494</v>
      </c>
      <c r="F35" s="5703">
        <v>47389</v>
      </c>
      <c r="G35" s="5709">
        <v>797999.99999998906</v>
      </c>
      <c r="H35" s="5709">
        <v>44999.999999999745</v>
      </c>
      <c r="I35" s="5709">
        <v>75000</v>
      </c>
      <c r="J35" s="5709">
        <v>78587.99999999984</v>
      </c>
    </row>
    <row r="36" spans="5:10" ht="14.25" thickBot="1">
      <c r="E36" s="5707" t="s">
        <v>14</v>
      </c>
      <c r="F36" s="5708"/>
      <c r="G36" s="5709">
        <f>SUM(G7:G35)</f>
        <v>70223999.999999985</v>
      </c>
      <c r="H36" s="5709">
        <f t="shared" ref="H36:J36" si="0">SUM(H7:H35)</f>
        <v>3959999.9999999995</v>
      </c>
      <c r="I36" s="5709">
        <f t="shared" si="0"/>
        <v>6600000</v>
      </c>
      <c r="J36" s="5709">
        <f t="shared" si="0"/>
        <v>6915744</v>
      </c>
    </row>
  </sheetData>
  <mergeCells count="10">
    <mergeCell ref="H5:H6"/>
    <mergeCell ref="I5:I6"/>
    <mergeCell ref="J5:J6"/>
    <mergeCell ref="M6:N6"/>
    <mergeCell ref="M15:M16"/>
    <mergeCell ref="M17:N17"/>
    <mergeCell ref="E5:E6"/>
    <mergeCell ref="F5:F6"/>
    <mergeCell ref="E36:F36"/>
    <mergeCell ref="G5:G6"/>
  </mergeCells>
  <phoneticPr fontId="1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EB45-F5E1-4BCB-9C96-8CCF5AF5A2E4}">
  <sheetPr codeName="Sheet11"/>
  <dimension ref="A1:GE123"/>
  <sheetViews>
    <sheetView showGridLines="0" zoomScale="85" zoomScaleNormal="85" workbookViewId="0">
      <pane xSplit="6" ySplit="10" topLeftCell="G11" activePane="bottomRight" state="frozen"/>
      <selection activeCell="C10" sqref="C10"/>
      <selection pane="topRight" activeCell="C10" sqref="C10"/>
      <selection pane="bottomLeft" activeCell="C10" sqref="C10"/>
      <selection pane="bottomRight" activeCell="H18" sqref="H18"/>
    </sheetView>
  </sheetViews>
  <sheetFormatPr defaultColWidth="0" defaultRowHeight="12" outlineLevelRow="1"/>
  <cols>
    <col min="1" max="1" width="1.44140625" style="302" customWidth="1"/>
    <col min="2" max="2" width="2.5546875" style="302" customWidth="1"/>
    <col min="3" max="3" width="3.44140625" style="302" customWidth="1"/>
    <col min="4" max="4" width="8.88671875" style="302" customWidth="1"/>
    <col min="5" max="5" width="10.77734375" style="302" customWidth="1"/>
    <col min="6" max="6" width="8.88671875" style="302" customWidth="1"/>
    <col min="7" max="13" width="7" style="302" customWidth="1"/>
    <col min="14" max="14" width="8.5546875" style="302" customWidth="1"/>
    <col min="15" max="186" width="7" style="302" customWidth="1"/>
    <col min="187" max="187" width="2.33203125" style="302" customWidth="1"/>
    <col min="188" max="16384" width="8.88671875" style="302" hidden="1"/>
  </cols>
  <sheetData>
    <row r="1" spans="1:186" ht="7.15" customHeight="1"/>
    <row r="2" spans="1:186" s="2063" customFormat="1">
      <c r="A2" s="302"/>
      <c r="B2" s="634" t="s">
        <v>3739</v>
      </c>
      <c r="C2" s="635"/>
      <c r="D2" s="635"/>
      <c r="E2" s="635"/>
      <c r="F2" s="635"/>
      <c r="G2" s="635"/>
      <c r="H2" s="635"/>
      <c r="I2" s="635"/>
      <c r="J2" s="635"/>
      <c r="K2" s="635"/>
      <c r="L2" s="635"/>
      <c r="M2" s="635"/>
      <c r="N2" s="635"/>
      <c r="O2" s="635"/>
      <c r="P2" s="635"/>
      <c r="Q2" s="635"/>
      <c r="R2" s="635"/>
      <c r="S2" s="635"/>
      <c r="T2" s="635"/>
      <c r="U2" s="635"/>
      <c r="V2" s="635"/>
      <c r="W2" s="635"/>
      <c r="X2" s="635"/>
      <c r="Y2" s="635"/>
      <c r="Z2" s="635"/>
      <c r="AA2" s="635"/>
      <c r="AB2" s="635"/>
      <c r="AC2" s="635"/>
      <c r="AD2" s="635"/>
      <c r="AE2" s="635"/>
      <c r="AF2" s="635"/>
      <c r="AG2" s="635"/>
      <c r="AH2" s="635"/>
      <c r="AI2" s="635"/>
      <c r="AJ2" s="635"/>
      <c r="AK2" s="635"/>
      <c r="AL2" s="635"/>
      <c r="AM2" s="635"/>
      <c r="AN2" s="635"/>
      <c r="AO2" s="635"/>
      <c r="AP2" s="635"/>
      <c r="AQ2" s="635"/>
      <c r="AR2" s="635"/>
      <c r="AS2" s="635"/>
      <c r="AT2" s="635"/>
      <c r="AU2" s="635"/>
      <c r="AV2" s="635"/>
      <c r="AW2" s="635"/>
      <c r="AX2" s="635"/>
      <c r="AY2" s="635"/>
      <c r="AZ2" s="635"/>
      <c r="BA2" s="635"/>
      <c r="BB2" s="635"/>
      <c r="BC2" s="635"/>
      <c r="BD2" s="635"/>
      <c r="BE2" s="635"/>
      <c r="BF2" s="635"/>
      <c r="BG2" s="635"/>
      <c r="BH2" s="635"/>
      <c r="BI2" s="635"/>
      <c r="BJ2" s="635"/>
      <c r="BK2" s="635"/>
      <c r="BL2" s="635"/>
      <c r="BM2" s="635"/>
      <c r="BN2" s="635"/>
      <c r="BO2" s="635"/>
      <c r="BP2" s="635"/>
      <c r="BQ2" s="635"/>
      <c r="BR2" s="635"/>
      <c r="BS2" s="635"/>
      <c r="BT2" s="635"/>
      <c r="BU2" s="635"/>
      <c r="BV2" s="635"/>
      <c r="BW2" s="635"/>
      <c r="BX2" s="635"/>
      <c r="BY2" s="635"/>
      <c r="BZ2" s="635"/>
      <c r="CA2" s="635"/>
      <c r="CB2" s="635"/>
      <c r="CC2" s="635"/>
      <c r="CD2" s="635"/>
      <c r="CE2" s="635"/>
      <c r="CF2" s="635"/>
      <c r="CG2" s="635"/>
      <c r="CH2" s="635"/>
      <c r="CI2" s="635"/>
      <c r="CJ2" s="635"/>
      <c r="CK2" s="635"/>
      <c r="CL2" s="635"/>
      <c r="CM2" s="635"/>
      <c r="CN2" s="635"/>
      <c r="CO2" s="635"/>
      <c r="CP2" s="635"/>
      <c r="CQ2" s="635"/>
      <c r="CR2" s="635"/>
      <c r="CS2" s="635"/>
      <c r="CT2" s="635"/>
      <c r="CU2" s="635"/>
      <c r="CV2" s="635"/>
      <c r="CW2" s="635"/>
      <c r="CX2" s="635"/>
      <c r="CY2" s="635"/>
      <c r="CZ2" s="635"/>
      <c r="DA2" s="635"/>
      <c r="DB2" s="635"/>
      <c r="DC2" s="635"/>
      <c r="DD2" s="635"/>
      <c r="DE2" s="635"/>
      <c r="DF2" s="635"/>
      <c r="DG2" s="635"/>
      <c r="DH2" s="635"/>
      <c r="DI2" s="635"/>
      <c r="DJ2" s="635"/>
      <c r="DK2" s="635"/>
      <c r="DL2" s="635"/>
      <c r="DM2" s="635"/>
      <c r="DN2" s="635"/>
      <c r="DO2" s="635"/>
      <c r="DP2" s="635"/>
      <c r="DQ2" s="635"/>
      <c r="DR2" s="635"/>
      <c r="DS2" s="635"/>
      <c r="DT2" s="635"/>
      <c r="DU2" s="635"/>
      <c r="DV2" s="635"/>
      <c r="DW2" s="635"/>
      <c r="DX2" s="635"/>
      <c r="DY2" s="635"/>
      <c r="DZ2" s="635"/>
      <c r="EA2" s="635"/>
      <c r="EB2" s="635"/>
      <c r="EC2" s="635"/>
      <c r="ED2" s="635"/>
      <c r="EE2" s="635"/>
      <c r="EF2" s="635"/>
      <c r="EG2" s="635"/>
      <c r="EH2" s="635"/>
      <c r="EI2" s="635"/>
      <c r="EJ2" s="635"/>
      <c r="EK2" s="635"/>
      <c r="EL2" s="635"/>
      <c r="EM2" s="635"/>
      <c r="EN2" s="635"/>
      <c r="EO2" s="635"/>
      <c r="EP2" s="635"/>
      <c r="EQ2" s="635"/>
      <c r="ER2" s="635"/>
      <c r="ES2" s="635"/>
      <c r="ET2" s="635"/>
      <c r="EU2" s="635"/>
      <c r="EV2" s="635"/>
      <c r="EW2" s="635"/>
      <c r="EX2" s="635"/>
      <c r="EY2" s="635"/>
      <c r="EZ2" s="635"/>
      <c r="FA2" s="635"/>
      <c r="FB2" s="635"/>
      <c r="FC2" s="635"/>
      <c r="FD2" s="635"/>
      <c r="FE2" s="635"/>
      <c r="FF2" s="635"/>
      <c r="FG2" s="635"/>
      <c r="FH2" s="635"/>
      <c r="FI2" s="635"/>
      <c r="FJ2" s="635"/>
      <c r="FK2" s="635"/>
      <c r="FL2" s="635"/>
      <c r="FM2" s="635"/>
      <c r="FN2" s="635"/>
      <c r="FO2" s="635"/>
      <c r="FP2" s="635"/>
      <c r="FQ2" s="635"/>
      <c r="FR2" s="635"/>
      <c r="FS2" s="635"/>
      <c r="FT2" s="635"/>
      <c r="FU2" s="635"/>
      <c r="FV2" s="635"/>
      <c r="FW2" s="635"/>
      <c r="FX2" s="635"/>
      <c r="FY2" s="635"/>
      <c r="FZ2" s="635"/>
      <c r="GA2" s="635"/>
      <c r="GB2" s="635"/>
      <c r="GC2" s="635"/>
      <c r="GD2" s="635"/>
    </row>
    <row r="3" spans="1:186" outlineLevel="1">
      <c r="A3" s="2064"/>
      <c r="B3" s="2064" t="s">
        <v>1409</v>
      </c>
      <c r="C3" s="2064"/>
      <c r="D3" s="2064"/>
      <c r="E3" s="2064"/>
      <c r="G3" s="302">
        <f t="shared" ref="G3:BR3" si="0">YEAR(G10)</f>
        <v>2019</v>
      </c>
      <c r="H3" s="302">
        <f t="shared" si="0"/>
        <v>2019</v>
      </c>
      <c r="I3" s="302">
        <f t="shared" si="0"/>
        <v>2019</v>
      </c>
      <c r="J3" s="302">
        <f t="shared" si="0"/>
        <v>2019</v>
      </c>
      <c r="K3" s="302">
        <f t="shared" si="0"/>
        <v>2020</v>
      </c>
      <c r="L3" s="302">
        <f t="shared" si="0"/>
        <v>2020</v>
      </c>
      <c r="M3" s="302">
        <f t="shared" si="0"/>
        <v>2020</v>
      </c>
      <c r="N3" s="302">
        <f t="shared" si="0"/>
        <v>2020</v>
      </c>
      <c r="O3" s="302">
        <f t="shared" si="0"/>
        <v>2021</v>
      </c>
      <c r="P3" s="302">
        <f t="shared" si="0"/>
        <v>2021</v>
      </c>
      <c r="Q3" s="302">
        <f t="shared" si="0"/>
        <v>2021</v>
      </c>
      <c r="R3" s="302">
        <f t="shared" si="0"/>
        <v>2021</v>
      </c>
      <c r="S3" s="302">
        <f t="shared" si="0"/>
        <v>2022</v>
      </c>
      <c r="T3" s="302">
        <f t="shared" si="0"/>
        <v>2022</v>
      </c>
      <c r="U3" s="302">
        <f t="shared" si="0"/>
        <v>2022</v>
      </c>
      <c r="V3" s="302">
        <f t="shared" si="0"/>
        <v>2022</v>
      </c>
      <c r="W3" s="302">
        <f t="shared" si="0"/>
        <v>2023</v>
      </c>
      <c r="X3" s="302">
        <f t="shared" si="0"/>
        <v>2023</v>
      </c>
      <c r="Y3" s="302">
        <f t="shared" si="0"/>
        <v>2023</v>
      </c>
      <c r="Z3" s="302">
        <f t="shared" si="0"/>
        <v>2023</v>
      </c>
      <c r="AA3" s="302">
        <f t="shared" si="0"/>
        <v>2024</v>
      </c>
      <c r="AB3" s="302">
        <f t="shared" si="0"/>
        <v>2024</v>
      </c>
      <c r="AC3" s="302">
        <f t="shared" si="0"/>
        <v>2024</v>
      </c>
      <c r="AD3" s="302">
        <f t="shared" si="0"/>
        <v>2024</v>
      </c>
      <c r="AE3" s="302">
        <f t="shared" si="0"/>
        <v>2025</v>
      </c>
      <c r="AF3" s="302">
        <f t="shared" si="0"/>
        <v>2025</v>
      </c>
      <c r="AG3" s="302">
        <f t="shared" si="0"/>
        <v>2025</v>
      </c>
      <c r="AH3" s="302">
        <f t="shared" si="0"/>
        <v>2025</v>
      </c>
      <c r="AI3" s="302">
        <f t="shared" si="0"/>
        <v>2026</v>
      </c>
      <c r="AJ3" s="302">
        <f t="shared" si="0"/>
        <v>2026</v>
      </c>
      <c r="AK3" s="302">
        <f t="shared" si="0"/>
        <v>2026</v>
      </c>
      <c r="AL3" s="302">
        <f t="shared" si="0"/>
        <v>2026</v>
      </c>
      <c r="AM3" s="302">
        <f t="shared" si="0"/>
        <v>2027</v>
      </c>
      <c r="AN3" s="302">
        <f t="shared" si="0"/>
        <v>2027</v>
      </c>
      <c r="AO3" s="302">
        <f t="shared" si="0"/>
        <v>2027</v>
      </c>
      <c r="AP3" s="302">
        <f t="shared" si="0"/>
        <v>2027</v>
      </c>
      <c r="AQ3" s="302">
        <f t="shared" si="0"/>
        <v>2028</v>
      </c>
      <c r="AR3" s="302">
        <f t="shared" si="0"/>
        <v>2028</v>
      </c>
      <c r="AS3" s="302">
        <f t="shared" si="0"/>
        <v>2028</v>
      </c>
      <c r="AT3" s="302">
        <f t="shared" si="0"/>
        <v>2028</v>
      </c>
      <c r="AU3" s="302">
        <f t="shared" si="0"/>
        <v>2029</v>
      </c>
      <c r="AV3" s="302">
        <f t="shared" si="0"/>
        <v>2029</v>
      </c>
      <c r="AW3" s="302">
        <f t="shared" si="0"/>
        <v>2029</v>
      </c>
      <c r="AX3" s="302">
        <f t="shared" si="0"/>
        <v>2029</v>
      </c>
      <c r="AY3" s="302">
        <f t="shared" si="0"/>
        <v>2030</v>
      </c>
      <c r="AZ3" s="302">
        <f t="shared" si="0"/>
        <v>2030</v>
      </c>
      <c r="BA3" s="302">
        <f t="shared" si="0"/>
        <v>2030</v>
      </c>
      <c r="BB3" s="302">
        <f t="shared" si="0"/>
        <v>2030</v>
      </c>
      <c r="BC3" s="302">
        <f t="shared" si="0"/>
        <v>2031</v>
      </c>
      <c r="BD3" s="302">
        <f t="shared" si="0"/>
        <v>2031</v>
      </c>
      <c r="BE3" s="302">
        <f t="shared" si="0"/>
        <v>2031</v>
      </c>
      <c r="BF3" s="302">
        <f t="shared" si="0"/>
        <v>2031</v>
      </c>
      <c r="BG3" s="302">
        <f t="shared" si="0"/>
        <v>2032</v>
      </c>
      <c r="BH3" s="302">
        <f t="shared" si="0"/>
        <v>2032</v>
      </c>
      <c r="BI3" s="302">
        <f t="shared" si="0"/>
        <v>2032</v>
      </c>
      <c r="BJ3" s="302">
        <f t="shared" si="0"/>
        <v>2032</v>
      </c>
      <c r="BK3" s="302">
        <f t="shared" si="0"/>
        <v>2033</v>
      </c>
      <c r="BL3" s="302">
        <f t="shared" si="0"/>
        <v>2033</v>
      </c>
      <c r="BM3" s="302">
        <f t="shared" si="0"/>
        <v>2033</v>
      </c>
      <c r="BN3" s="302">
        <f t="shared" si="0"/>
        <v>2033</v>
      </c>
      <c r="BO3" s="302">
        <f t="shared" si="0"/>
        <v>2034</v>
      </c>
      <c r="BP3" s="302">
        <f t="shared" si="0"/>
        <v>2034</v>
      </c>
      <c r="BQ3" s="302">
        <f t="shared" si="0"/>
        <v>2034</v>
      </c>
      <c r="BR3" s="302">
        <f t="shared" si="0"/>
        <v>2034</v>
      </c>
      <c r="BS3" s="302">
        <f t="shared" ref="BS3:ED3" si="1">YEAR(BS10)</f>
        <v>2035</v>
      </c>
      <c r="BT3" s="302">
        <f t="shared" si="1"/>
        <v>2035</v>
      </c>
      <c r="BU3" s="302">
        <f t="shared" si="1"/>
        <v>2035</v>
      </c>
      <c r="BV3" s="302">
        <f t="shared" si="1"/>
        <v>2035</v>
      </c>
      <c r="BW3" s="302">
        <f t="shared" si="1"/>
        <v>2036</v>
      </c>
      <c r="BX3" s="302">
        <f t="shared" si="1"/>
        <v>2036</v>
      </c>
      <c r="BY3" s="302">
        <f t="shared" si="1"/>
        <v>2036</v>
      </c>
      <c r="BZ3" s="302">
        <f t="shared" si="1"/>
        <v>2036</v>
      </c>
      <c r="CA3" s="302">
        <f t="shared" si="1"/>
        <v>2037</v>
      </c>
      <c r="CB3" s="302">
        <f t="shared" si="1"/>
        <v>2037</v>
      </c>
      <c r="CC3" s="302">
        <f t="shared" si="1"/>
        <v>2037</v>
      </c>
      <c r="CD3" s="302">
        <f t="shared" si="1"/>
        <v>2037</v>
      </c>
      <c r="CE3" s="302">
        <f t="shared" si="1"/>
        <v>2038</v>
      </c>
      <c r="CF3" s="302">
        <f t="shared" si="1"/>
        <v>2038</v>
      </c>
      <c r="CG3" s="302">
        <f t="shared" si="1"/>
        <v>2038</v>
      </c>
      <c r="CH3" s="302">
        <f t="shared" si="1"/>
        <v>2038</v>
      </c>
      <c r="CI3" s="302">
        <f t="shared" si="1"/>
        <v>2039</v>
      </c>
      <c r="CJ3" s="302">
        <f t="shared" si="1"/>
        <v>2039</v>
      </c>
      <c r="CK3" s="302">
        <f t="shared" si="1"/>
        <v>2039</v>
      </c>
      <c r="CL3" s="302">
        <f t="shared" si="1"/>
        <v>2039</v>
      </c>
      <c r="CM3" s="302">
        <f t="shared" si="1"/>
        <v>2040</v>
      </c>
      <c r="CN3" s="302">
        <f t="shared" si="1"/>
        <v>2040</v>
      </c>
      <c r="CO3" s="302">
        <f t="shared" si="1"/>
        <v>2040</v>
      </c>
      <c r="CP3" s="302">
        <f t="shared" si="1"/>
        <v>2040</v>
      </c>
      <c r="CQ3" s="302">
        <f t="shared" si="1"/>
        <v>2041</v>
      </c>
      <c r="CR3" s="302">
        <f t="shared" si="1"/>
        <v>2041</v>
      </c>
      <c r="CS3" s="302">
        <f t="shared" si="1"/>
        <v>2041</v>
      </c>
      <c r="CT3" s="302">
        <f t="shared" si="1"/>
        <v>2041</v>
      </c>
      <c r="CU3" s="302">
        <f t="shared" si="1"/>
        <v>2042</v>
      </c>
      <c r="CV3" s="302">
        <f t="shared" si="1"/>
        <v>2042</v>
      </c>
      <c r="CW3" s="302">
        <f t="shared" si="1"/>
        <v>2042</v>
      </c>
      <c r="CX3" s="302">
        <f t="shared" si="1"/>
        <v>2042</v>
      </c>
      <c r="CY3" s="302">
        <f t="shared" si="1"/>
        <v>2043</v>
      </c>
      <c r="CZ3" s="302">
        <f t="shared" si="1"/>
        <v>2043</v>
      </c>
      <c r="DA3" s="302">
        <f t="shared" si="1"/>
        <v>2043</v>
      </c>
      <c r="DB3" s="302">
        <f t="shared" si="1"/>
        <v>2043</v>
      </c>
      <c r="DC3" s="302">
        <f t="shared" si="1"/>
        <v>2044</v>
      </c>
      <c r="DD3" s="302">
        <f t="shared" si="1"/>
        <v>2044</v>
      </c>
      <c r="DE3" s="302">
        <f t="shared" si="1"/>
        <v>2044</v>
      </c>
      <c r="DF3" s="302">
        <f t="shared" si="1"/>
        <v>2044</v>
      </c>
      <c r="DG3" s="302">
        <f t="shared" si="1"/>
        <v>2045</v>
      </c>
      <c r="DH3" s="302">
        <f t="shared" si="1"/>
        <v>2045</v>
      </c>
      <c r="DI3" s="302">
        <f t="shared" si="1"/>
        <v>2045</v>
      </c>
      <c r="DJ3" s="302">
        <f t="shared" si="1"/>
        <v>2045</v>
      </c>
      <c r="DK3" s="302">
        <f t="shared" si="1"/>
        <v>2046</v>
      </c>
      <c r="DL3" s="302">
        <f t="shared" si="1"/>
        <v>2046</v>
      </c>
      <c r="DM3" s="302">
        <f t="shared" si="1"/>
        <v>2046</v>
      </c>
      <c r="DN3" s="302">
        <f t="shared" si="1"/>
        <v>2046</v>
      </c>
      <c r="DO3" s="302">
        <f t="shared" si="1"/>
        <v>2047</v>
      </c>
      <c r="DP3" s="302">
        <f t="shared" si="1"/>
        <v>2047</v>
      </c>
      <c r="DQ3" s="302">
        <f t="shared" si="1"/>
        <v>2047</v>
      </c>
      <c r="DR3" s="302">
        <f t="shared" si="1"/>
        <v>2047</v>
      </c>
      <c r="DS3" s="302">
        <f t="shared" si="1"/>
        <v>2048</v>
      </c>
      <c r="DT3" s="302">
        <f t="shared" si="1"/>
        <v>2048</v>
      </c>
      <c r="DU3" s="302">
        <f t="shared" si="1"/>
        <v>2048</v>
      </c>
      <c r="DV3" s="302">
        <f t="shared" si="1"/>
        <v>2048</v>
      </c>
      <c r="DW3" s="302">
        <f t="shared" si="1"/>
        <v>2049</v>
      </c>
      <c r="DX3" s="302">
        <f t="shared" si="1"/>
        <v>2049</v>
      </c>
      <c r="DY3" s="302">
        <f t="shared" si="1"/>
        <v>2049</v>
      </c>
      <c r="DZ3" s="302">
        <f t="shared" si="1"/>
        <v>2049</v>
      </c>
      <c r="EA3" s="302">
        <f t="shared" si="1"/>
        <v>2050</v>
      </c>
      <c r="EB3" s="302">
        <f t="shared" si="1"/>
        <v>2050</v>
      </c>
      <c r="EC3" s="302">
        <f t="shared" si="1"/>
        <v>2050</v>
      </c>
      <c r="ED3" s="302">
        <f t="shared" si="1"/>
        <v>2050</v>
      </c>
      <c r="EE3" s="302">
        <f t="shared" ref="EE3:GD3" si="2">YEAR(EE10)</f>
        <v>2051</v>
      </c>
      <c r="EF3" s="302">
        <f t="shared" si="2"/>
        <v>2051</v>
      </c>
      <c r="EG3" s="302">
        <f t="shared" si="2"/>
        <v>2051</v>
      </c>
      <c r="EH3" s="302">
        <f t="shared" si="2"/>
        <v>2051</v>
      </c>
      <c r="EI3" s="302">
        <f t="shared" si="2"/>
        <v>2052</v>
      </c>
      <c r="EJ3" s="302">
        <f t="shared" si="2"/>
        <v>2052</v>
      </c>
      <c r="EK3" s="302">
        <f t="shared" si="2"/>
        <v>2052</v>
      </c>
      <c r="EL3" s="302">
        <f t="shared" si="2"/>
        <v>2052</v>
      </c>
      <c r="EM3" s="302">
        <f t="shared" si="2"/>
        <v>2053</v>
      </c>
      <c r="EN3" s="302">
        <f t="shared" si="2"/>
        <v>2053</v>
      </c>
      <c r="EO3" s="302">
        <f t="shared" si="2"/>
        <v>2053</v>
      </c>
      <c r="EP3" s="302">
        <f t="shared" si="2"/>
        <v>2053</v>
      </c>
      <c r="EQ3" s="302">
        <f t="shared" si="2"/>
        <v>2054</v>
      </c>
      <c r="ER3" s="302">
        <f t="shared" si="2"/>
        <v>2054</v>
      </c>
      <c r="ES3" s="302">
        <f t="shared" si="2"/>
        <v>2054</v>
      </c>
      <c r="ET3" s="302">
        <f t="shared" si="2"/>
        <v>2054</v>
      </c>
      <c r="EU3" s="302">
        <f t="shared" si="2"/>
        <v>2055</v>
      </c>
      <c r="EV3" s="302">
        <f t="shared" si="2"/>
        <v>2055</v>
      </c>
      <c r="EW3" s="302">
        <f t="shared" si="2"/>
        <v>2055</v>
      </c>
      <c r="EX3" s="302">
        <f t="shared" si="2"/>
        <v>2055</v>
      </c>
      <c r="EY3" s="302">
        <f t="shared" si="2"/>
        <v>2056</v>
      </c>
      <c r="EZ3" s="302">
        <f t="shared" si="2"/>
        <v>2056</v>
      </c>
      <c r="FA3" s="302">
        <f t="shared" si="2"/>
        <v>2056</v>
      </c>
      <c r="FB3" s="302">
        <f t="shared" si="2"/>
        <v>2056</v>
      </c>
      <c r="FC3" s="302">
        <f t="shared" si="2"/>
        <v>2057</v>
      </c>
      <c r="FD3" s="302">
        <f t="shared" si="2"/>
        <v>2057</v>
      </c>
      <c r="FE3" s="302">
        <f t="shared" si="2"/>
        <v>2057</v>
      </c>
      <c r="FF3" s="302">
        <f t="shared" si="2"/>
        <v>2057</v>
      </c>
      <c r="FG3" s="302">
        <f t="shared" si="2"/>
        <v>2058</v>
      </c>
      <c r="FH3" s="302">
        <f t="shared" si="2"/>
        <v>2058</v>
      </c>
      <c r="FI3" s="302">
        <f t="shared" si="2"/>
        <v>2058</v>
      </c>
      <c r="FJ3" s="302">
        <f t="shared" si="2"/>
        <v>2058</v>
      </c>
      <c r="FK3" s="302">
        <f t="shared" si="2"/>
        <v>2059</v>
      </c>
      <c r="FL3" s="302">
        <f t="shared" si="2"/>
        <v>2059</v>
      </c>
      <c r="FM3" s="302">
        <f t="shared" si="2"/>
        <v>2059</v>
      </c>
      <c r="FN3" s="302">
        <f t="shared" si="2"/>
        <v>2059</v>
      </c>
      <c r="FO3" s="302">
        <f t="shared" si="2"/>
        <v>2060</v>
      </c>
      <c r="FP3" s="302">
        <f t="shared" si="2"/>
        <v>2060</v>
      </c>
      <c r="FQ3" s="302">
        <f t="shared" si="2"/>
        <v>2060</v>
      </c>
      <c r="FR3" s="302">
        <f t="shared" si="2"/>
        <v>2060</v>
      </c>
      <c r="FS3" s="302">
        <f t="shared" si="2"/>
        <v>2061</v>
      </c>
      <c r="FT3" s="302">
        <f t="shared" si="2"/>
        <v>2061</v>
      </c>
      <c r="FU3" s="302">
        <f t="shared" si="2"/>
        <v>2061</v>
      </c>
      <c r="FV3" s="302">
        <f t="shared" si="2"/>
        <v>2061</v>
      </c>
      <c r="FW3" s="302">
        <f t="shared" si="2"/>
        <v>2062</v>
      </c>
      <c r="FX3" s="302">
        <f t="shared" si="2"/>
        <v>2062</v>
      </c>
      <c r="FY3" s="302">
        <f t="shared" si="2"/>
        <v>2062</v>
      </c>
      <c r="FZ3" s="302">
        <f t="shared" si="2"/>
        <v>2062</v>
      </c>
      <c r="GA3" s="302">
        <f t="shared" si="2"/>
        <v>2063</v>
      </c>
      <c r="GB3" s="302">
        <f t="shared" si="2"/>
        <v>2063</v>
      </c>
      <c r="GC3" s="302">
        <f t="shared" si="2"/>
        <v>2063</v>
      </c>
      <c r="GD3" s="302">
        <f t="shared" si="2"/>
        <v>2063</v>
      </c>
    </row>
    <row r="4" spans="1:186" outlineLevel="1">
      <c r="A4" s="2064"/>
      <c r="B4" s="2064" t="s">
        <v>3740</v>
      </c>
      <c r="C4" s="2064"/>
      <c r="D4" s="2064"/>
      <c r="E4" s="2064"/>
      <c r="J4" s="302">
        <f>J3</f>
        <v>2019</v>
      </c>
      <c r="N4" s="302">
        <f>N3</f>
        <v>2020</v>
      </c>
      <c r="R4" s="302">
        <f>R3</f>
        <v>2021</v>
      </c>
      <c r="V4" s="302">
        <f>V3</f>
        <v>2022</v>
      </c>
      <c r="Z4" s="302">
        <f>Z3</f>
        <v>2023</v>
      </c>
      <c r="AD4" s="302">
        <f>AD3</f>
        <v>2024</v>
      </c>
      <c r="AH4" s="302">
        <f>AH3</f>
        <v>2025</v>
      </c>
      <c r="AL4" s="302">
        <f>AL3</f>
        <v>2026</v>
      </c>
      <c r="AP4" s="302">
        <f>AP3</f>
        <v>2027</v>
      </c>
      <c r="AT4" s="302">
        <f>AT3</f>
        <v>2028</v>
      </c>
      <c r="AX4" s="302">
        <f>AX3</f>
        <v>2029</v>
      </c>
      <c r="BB4" s="302">
        <f>BB3</f>
        <v>2030</v>
      </c>
      <c r="BF4" s="302">
        <f>BF3</f>
        <v>2031</v>
      </c>
      <c r="BJ4" s="302">
        <f>BJ3</f>
        <v>2032</v>
      </c>
      <c r="BN4" s="302">
        <f>BN3</f>
        <v>2033</v>
      </c>
      <c r="BR4" s="302">
        <f>BR3</f>
        <v>2034</v>
      </c>
      <c r="BV4" s="302">
        <f>BV3</f>
        <v>2035</v>
      </c>
      <c r="BZ4" s="302">
        <f>BZ3</f>
        <v>2036</v>
      </c>
      <c r="CD4" s="302">
        <f>CD3</f>
        <v>2037</v>
      </c>
      <c r="CH4" s="302">
        <f>CH3</f>
        <v>2038</v>
      </c>
      <c r="CL4" s="302">
        <f>CL3</f>
        <v>2039</v>
      </c>
      <c r="CP4" s="302">
        <f>CP3</f>
        <v>2040</v>
      </c>
      <c r="CT4" s="302">
        <f>CT3</f>
        <v>2041</v>
      </c>
      <c r="CX4" s="302">
        <f>CX3</f>
        <v>2042</v>
      </c>
      <c r="DB4" s="302">
        <f>DB3</f>
        <v>2043</v>
      </c>
      <c r="DF4" s="302">
        <f>DF3</f>
        <v>2044</v>
      </c>
      <c r="DJ4" s="302">
        <f>DJ3</f>
        <v>2045</v>
      </c>
      <c r="DN4" s="302">
        <f>DN3</f>
        <v>2046</v>
      </c>
      <c r="DR4" s="302">
        <f>DR3</f>
        <v>2047</v>
      </c>
      <c r="DV4" s="302">
        <f>DV3</f>
        <v>2048</v>
      </c>
      <c r="DZ4" s="302">
        <f>DZ3</f>
        <v>2049</v>
      </c>
      <c r="ED4" s="302">
        <f>ED3</f>
        <v>2050</v>
      </c>
      <c r="EH4" s="302">
        <f>EH3</f>
        <v>2051</v>
      </c>
      <c r="EL4" s="302">
        <f>EL3</f>
        <v>2052</v>
      </c>
      <c r="EP4" s="302">
        <f>EP3</f>
        <v>2053</v>
      </c>
      <c r="ET4" s="302">
        <f>ET3</f>
        <v>2054</v>
      </c>
      <c r="EX4" s="302">
        <f>EX3</f>
        <v>2055</v>
      </c>
      <c r="FB4" s="302">
        <f>FB3</f>
        <v>2056</v>
      </c>
      <c r="FF4" s="302">
        <f>FF3</f>
        <v>2057</v>
      </c>
      <c r="FJ4" s="302">
        <f>FJ3</f>
        <v>2058</v>
      </c>
      <c r="FN4" s="302">
        <f>FN3</f>
        <v>2059</v>
      </c>
      <c r="FR4" s="302">
        <f>FR3</f>
        <v>2060</v>
      </c>
      <c r="FV4" s="302">
        <f>FV3</f>
        <v>2061</v>
      </c>
      <c r="FZ4" s="302">
        <f>FZ3</f>
        <v>2062</v>
      </c>
      <c r="GD4" s="302">
        <f>GD3</f>
        <v>2063</v>
      </c>
    </row>
    <row r="5" spans="1:186" outlineLevel="1">
      <c r="A5" s="2064"/>
      <c r="B5" s="2064" t="s">
        <v>3741</v>
      </c>
      <c r="C5" s="2064"/>
      <c r="D5" s="2064"/>
      <c r="E5" s="2064"/>
      <c r="F5" s="2064"/>
      <c r="G5" s="2064">
        <f>1*(G6&gt;0)</f>
        <v>1</v>
      </c>
      <c r="H5" s="2064">
        <f t="shared" ref="H5:BS5" si="3">1*(H6&gt;0)</f>
        <v>1</v>
      </c>
      <c r="I5" s="2064">
        <f t="shared" si="3"/>
        <v>1</v>
      </c>
      <c r="J5" s="2064">
        <f t="shared" si="3"/>
        <v>1</v>
      </c>
      <c r="K5" s="2064">
        <f t="shared" si="3"/>
        <v>1</v>
      </c>
      <c r="L5" s="2064">
        <f t="shared" si="3"/>
        <v>1</v>
      </c>
      <c r="M5" s="2064">
        <f t="shared" si="3"/>
        <v>1</v>
      </c>
      <c r="N5" s="2064">
        <f t="shared" si="3"/>
        <v>1</v>
      </c>
      <c r="O5" s="2064">
        <f t="shared" si="3"/>
        <v>1</v>
      </c>
      <c r="P5" s="2064">
        <f t="shared" si="3"/>
        <v>1</v>
      </c>
      <c r="Q5" s="2064">
        <f t="shared" si="3"/>
        <v>1</v>
      </c>
      <c r="R5" s="2064">
        <f t="shared" si="3"/>
        <v>1</v>
      </c>
      <c r="S5" s="2064">
        <f t="shared" si="3"/>
        <v>1</v>
      </c>
      <c r="T5" s="2064">
        <f t="shared" si="3"/>
        <v>1</v>
      </c>
      <c r="U5" s="2064">
        <f t="shared" si="3"/>
        <v>1</v>
      </c>
      <c r="V5" s="2064">
        <f t="shared" si="3"/>
        <v>1</v>
      </c>
      <c r="W5" s="2064">
        <f t="shared" si="3"/>
        <v>1</v>
      </c>
      <c r="X5" s="2064">
        <f t="shared" si="3"/>
        <v>1</v>
      </c>
      <c r="Y5" s="2064">
        <f t="shared" si="3"/>
        <v>1</v>
      </c>
      <c r="Z5" s="2064">
        <f t="shared" si="3"/>
        <v>1</v>
      </c>
      <c r="AA5" s="2064">
        <f t="shared" si="3"/>
        <v>1</v>
      </c>
      <c r="AB5" s="2064">
        <f t="shared" si="3"/>
        <v>1</v>
      </c>
      <c r="AC5" s="2064">
        <f t="shared" si="3"/>
        <v>1</v>
      </c>
      <c r="AD5" s="2064">
        <f t="shared" si="3"/>
        <v>1</v>
      </c>
      <c r="AE5" s="2064">
        <f t="shared" si="3"/>
        <v>1</v>
      </c>
      <c r="AF5" s="2064">
        <f t="shared" si="3"/>
        <v>1</v>
      </c>
      <c r="AG5" s="2064">
        <f t="shared" si="3"/>
        <v>1</v>
      </c>
      <c r="AH5" s="2064">
        <f t="shared" si="3"/>
        <v>1</v>
      </c>
      <c r="AI5" s="2064">
        <f t="shared" si="3"/>
        <v>1</v>
      </c>
      <c r="AJ5" s="2064">
        <f t="shared" si="3"/>
        <v>1</v>
      </c>
      <c r="AK5" s="2064">
        <f t="shared" si="3"/>
        <v>1</v>
      </c>
      <c r="AL5" s="2064">
        <f t="shared" si="3"/>
        <v>1</v>
      </c>
      <c r="AM5" s="2064">
        <f t="shared" si="3"/>
        <v>1</v>
      </c>
      <c r="AN5" s="2064">
        <f t="shared" si="3"/>
        <v>1</v>
      </c>
      <c r="AO5" s="2064">
        <f t="shared" si="3"/>
        <v>1</v>
      </c>
      <c r="AP5" s="2064">
        <f t="shared" si="3"/>
        <v>1</v>
      </c>
      <c r="AQ5" s="2064">
        <f t="shared" si="3"/>
        <v>1</v>
      </c>
      <c r="AR5" s="2064">
        <f t="shared" si="3"/>
        <v>1</v>
      </c>
      <c r="AS5" s="2064">
        <f t="shared" si="3"/>
        <v>1</v>
      </c>
      <c r="AT5" s="2064">
        <f t="shared" si="3"/>
        <v>1</v>
      </c>
      <c r="AU5" s="2064">
        <f t="shared" si="3"/>
        <v>1</v>
      </c>
      <c r="AV5" s="2064">
        <f t="shared" si="3"/>
        <v>1</v>
      </c>
      <c r="AW5" s="2064">
        <f t="shared" si="3"/>
        <v>1</v>
      </c>
      <c r="AX5" s="2064">
        <f t="shared" si="3"/>
        <v>1</v>
      </c>
      <c r="AY5" s="2064">
        <f t="shared" si="3"/>
        <v>1</v>
      </c>
      <c r="AZ5" s="2064">
        <f t="shared" si="3"/>
        <v>1</v>
      </c>
      <c r="BA5" s="2064">
        <f t="shared" si="3"/>
        <v>1</v>
      </c>
      <c r="BB5" s="2064">
        <f t="shared" si="3"/>
        <v>1</v>
      </c>
      <c r="BC5" s="2064">
        <f t="shared" si="3"/>
        <v>1</v>
      </c>
      <c r="BD5" s="2064">
        <f t="shared" si="3"/>
        <v>1</v>
      </c>
      <c r="BE5" s="2064">
        <f t="shared" si="3"/>
        <v>1</v>
      </c>
      <c r="BF5" s="2064">
        <f t="shared" si="3"/>
        <v>1</v>
      </c>
      <c r="BG5" s="2064">
        <f t="shared" si="3"/>
        <v>1</v>
      </c>
      <c r="BH5" s="2064">
        <f t="shared" si="3"/>
        <v>1</v>
      </c>
      <c r="BI5" s="2064">
        <f t="shared" si="3"/>
        <v>1</v>
      </c>
      <c r="BJ5" s="2064">
        <f t="shared" si="3"/>
        <v>1</v>
      </c>
      <c r="BK5" s="2064">
        <f t="shared" si="3"/>
        <v>1</v>
      </c>
      <c r="BL5" s="2064">
        <f t="shared" si="3"/>
        <v>1</v>
      </c>
      <c r="BM5" s="2064">
        <f t="shared" si="3"/>
        <v>1</v>
      </c>
      <c r="BN5" s="2064">
        <f t="shared" si="3"/>
        <v>1</v>
      </c>
      <c r="BO5" s="2064">
        <f t="shared" si="3"/>
        <v>1</v>
      </c>
      <c r="BP5" s="2064">
        <f t="shared" si="3"/>
        <v>1</v>
      </c>
      <c r="BQ5" s="2064">
        <f t="shared" si="3"/>
        <v>1</v>
      </c>
      <c r="BR5" s="2064">
        <f t="shared" si="3"/>
        <v>1</v>
      </c>
      <c r="BS5" s="2064">
        <f t="shared" si="3"/>
        <v>1</v>
      </c>
      <c r="BT5" s="2064">
        <f t="shared" ref="BT5:EE5" si="4">1*(BT6&gt;0)</f>
        <v>1</v>
      </c>
      <c r="BU5" s="2064">
        <f t="shared" si="4"/>
        <v>1</v>
      </c>
      <c r="BV5" s="2064">
        <f t="shared" si="4"/>
        <v>1</v>
      </c>
      <c r="BW5" s="2064">
        <f t="shared" si="4"/>
        <v>1</v>
      </c>
      <c r="BX5" s="2064">
        <f t="shared" si="4"/>
        <v>1</v>
      </c>
      <c r="BY5" s="2064">
        <f t="shared" si="4"/>
        <v>1</v>
      </c>
      <c r="BZ5" s="2064">
        <f t="shared" si="4"/>
        <v>1</v>
      </c>
      <c r="CA5" s="2064">
        <f t="shared" si="4"/>
        <v>1</v>
      </c>
      <c r="CB5" s="2064">
        <f t="shared" si="4"/>
        <v>1</v>
      </c>
      <c r="CC5" s="2064">
        <f t="shared" si="4"/>
        <v>1</v>
      </c>
      <c r="CD5" s="2064">
        <f t="shared" si="4"/>
        <v>1</v>
      </c>
      <c r="CE5" s="2064">
        <f t="shared" si="4"/>
        <v>1</v>
      </c>
      <c r="CF5" s="2064">
        <f t="shared" si="4"/>
        <v>1</v>
      </c>
      <c r="CG5" s="2064">
        <f t="shared" si="4"/>
        <v>1</v>
      </c>
      <c r="CH5" s="2064">
        <f t="shared" si="4"/>
        <v>1</v>
      </c>
      <c r="CI5" s="2064">
        <f t="shared" si="4"/>
        <v>1</v>
      </c>
      <c r="CJ5" s="2064">
        <f t="shared" si="4"/>
        <v>1</v>
      </c>
      <c r="CK5" s="2064">
        <f t="shared" si="4"/>
        <v>1</v>
      </c>
      <c r="CL5" s="2064">
        <f t="shared" si="4"/>
        <v>1</v>
      </c>
      <c r="CM5" s="2064">
        <f t="shared" si="4"/>
        <v>1</v>
      </c>
      <c r="CN5" s="2064">
        <f t="shared" si="4"/>
        <v>1</v>
      </c>
      <c r="CO5" s="2064">
        <f t="shared" si="4"/>
        <v>1</v>
      </c>
      <c r="CP5" s="2064">
        <f t="shared" si="4"/>
        <v>1</v>
      </c>
      <c r="CQ5" s="2064">
        <f t="shared" si="4"/>
        <v>1</v>
      </c>
      <c r="CR5" s="2064">
        <f t="shared" si="4"/>
        <v>1</v>
      </c>
      <c r="CS5" s="2064">
        <f t="shared" si="4"/>
        <v>1</v>
      </c>
      <c r="CT5" s="2064">
        <f t="shared" si="4"/>
        <v>1</v>
      </c>
      <c r="CU5" s="2064">
        <f t="shared" si="4"/>
        <v>1</v>
      </c>
      <c r="CV5" s="2064">
        <f t="shared" si="4"/>
        <v>1</v>
      </c>
      <c r="CW5" s="2064">
        <f t="shared" si="4"/>
        <v>1</v>
      </c>
      <c r="CX5" s="2064">
        <f t="shared" si="4"/>
        <v>1</v>
      </c>
      <c r="CY5" s="2064">
        <f t="shared" si="4"/>
        <v>1</v>
      </c>
      <c r="CZ5" s="2064">
        <f t="shared" si="4"/>
        <v>1</v>
      </c>
      <c r="DA5" s="2064">
        <f t="shared" si="4"/>
        <v>1</v>
      </c>
      <c r="DB5" s="2064">
        <f t="shared" si="4"/>
        <v>1</v>
      </c>
      <c r="DC5" s="2064">
        <f t="shared" si="4"/>
        <v>1</v>
      </c>
      <c r="DD5" s="2064">
        <f t="shared" si="4"/>
        <v>1</v>
      </c>
      <c r="DE5" s="2064">
        <f t="shared" si="4"/>
        <v>1</v>
      </c>
      <c r="DF5" s="2064">
        <f t="shared" si="4"/>
        <v>1</v>
      </c>
      <c r="DG5" s="2064">
        <f t="shared" si="4"/>
        <v>1</v>
      </c>
      <c r="DH5" s="2064">
        <f t="shared" si="4"/>
        <v>1</v>
      </c>
      <c r="DI5" s="2064">
        <f t="shared" si="4"/>
        <v>1</v>
      </c>
      <c r="DJ5" s="2064">
        <f t="shared" si="4"/>
        <v>1</v>
      </c>
      <c r="DK5" s="2064">
        <f t="shared" si="4"/>
        <v>1</v>
      </c>
      <c r="DL5" s="2064">
        <f t="shared" si="4"/>
        <v>1</v>
      </c>
      <c r="DM5" s="2064">
        <f t="shared" si="4"/>
        <v>1</v>
      </c>
      <c r="DN5" s="2064">
        <f t="shared" si="4"/>
        <v>1</v>
      </c>
      <c r="DO5" s="2064">
        <f t="shared" si="4"/>
        <v>1</v>
      </c>
      <c r="DP5" s="2064">
        <f t="shared" si="4"/>
        <v>1</v>
      </c>
      <c r="DQ5" s="2064">
        <f t="shared" si="4"/>
        <v>1</v>
      </c>
      <c r="DR5" s="2064">
        <f t="shared" si="4"/>
        <v>1</v>
      </c>
      <c r="DS5" s="2064">
        <f t="shared" si="4"/>
        <v>1</v>
      </c>
      <c r="DT5" s="2064">
        <f t="shared" si="4"/>
        <v>1</v>
      </c>
      <c r="DU5" s="2064">
        <f t="shared" si="4"/>
        <v>1</v>
      </c>
      <c r="DV5" s="2064">
        <f t="shared" si="4"/>
        <v>1</v>
      </c>
      <c r="DW5" s="2064">
        <f t="shared" si="4"/>
        <v>1</v>
      </c>
      <c r="DX5" s="2064">
        <f t="shared" si="4"/>
        <v>1</v>
      </c>
      <c r="DY5" s="2064">
        <f t="shared" si="4"/>
        <v>1</v>
      </c>
      <c r="DZ5" s="2064">
        <f t="shared" si="4"/>
        <v>1</v>
      </c>
      <c r="EA5" s="2064">
        <f t="shared" si="4"/>
        <v>1</v>
      </c>
      <c r="EB5" s="2064">
        <f t="shared" si="4"/>
        <v>1</v>
      </c>
      <c r="EC5" s="2064">
        <f t="shared" si="4"/>
        <v>1</v>
      </c>
      <c r="ED5" s="2064">
        <f t="shared" si="4"/>
        <v>1</v>
      </c>
      <c r="EE5" s="2064">
        <f t="shared" si="4"/>
        <v>1</v>
      </c>
      <c r="EF5" s="2064">
        <f t="shared" ref="EF5:GD5" si="5">1*(EF6&gt;0)</f>
        <v>1</v>
      </c>
      <c r="EG5" s="2064">
        <f t="shared" si="5"/>
        <v>1</v>
      </c>
      <c r="EH5" s="2064">
        <f t="shared" si="5"/>
        <v>1</v>
      </c>
      <c r="EI5" s="2064">
        <f t="shared" si="5"/>
        <v>1</v>
      </c>
      <c r="EJ5" s="2064">
        <f t="shared" si="5"/>
        <v>1</v>
      </c>
      <c r="EK5" s="2064">
        <f t="shared" si="5"/>
        <v>1</v>
      </c>
      <c r="EL5" s="2064">
        <f t="shared" si="5"/>
        <v>1</v>
      </c>
      <c r="EM5" s="2064">
        <f t="shared" si="5"/>
        <v>1</v>
      </c>
      <c r="EN5" s="2064">
        <f t="shared" si="5"/>
        <v>1</v>
      </c>
      <c r="EO5" s="2064">
        <f t="shared" si="5"/>
        <v>1</v>
      </c>
      <c r="EP5" s="2064">
        <f t="shared" si="5"/>
        <v>1</v>
      </c>
      <c r="EQ5" s="2064">
        <f t="shared" si="5"/>
        <v>1</v>
      </c>
      <c r="ER5" s="2064">
        <f t="shared" si="5"/>
        <v>1</v>
      </c>
      <c r="ES5" s="2064">
        <f t="shared" si="5"/>
        <v>1</v>
      </c>
      <c r="ET5" s="2064">
        <f t="shared" si="5"/>
        <v>1</v>
      </c>
      <c r="EU5" s="2064">
        <f t="shared" si="5"/>
        <v>1</v>
      </c>
      <c r="EV5" s="2064">
        <f t="shared" si="5"/>
        <v>1</v>
      </c>
      <c r="EW5" s="2064">
        <f t="shared" si="5"/>
        <v>1</v>
      </c>
      <c r="EX5" s="2064">
        <f t="shared" si="5"/>
        <v>1</v>
      </c>
      <c r="EY5" s="2064">
        <f t="shared" si="5"/>
        <v>1</v>
      </c>
      <c r="EZ5" s="2064">
        <f t="shared" si="5"/>
        <v>1</v>
      </c>
      <c r="FA5" s="2064">
        <f t="shared" si="5"/>
        <v>1</v>
      </c>
      <c r="FB5" s="2064">
        <f t="shared" si="5"/>
        <v>1</v>
      </c>
      <c r="FC5" s="2064">
        <f t="shared" si="5"/>
        <v>1</v>
      </c>
      <c r="FD5" s="2064">
        <f t="shared" si="5"/>
        <v>1</v>
      </c>
      <c r="FE5" s="2064">
        <f t="shared" si="5"/>
        <v>1</v>
      </c>
      <c r="FF5" s="2064">
        <f t="shared" si="5"/>
        <v>1</v>
      </c>
      <c r="FG5" s="2064">
        <f t="shared" si="5"/>
        <v>1</v>
      </c>
      <c r="FH5" s="2064">
        <f t="shared" si="5"/>
        <v>1</v>
      </c>
      <c r="FI5" s="2064">
        <f t="shared" si="5"/>
        <v>1</v>
      </c>
      <c r="FJ5" s="2064">
        <f t="shared" si="5"/>
        <v>1</v>
      </c>
      <c r="FK5" s="2064">
        <f t="shared" si="5"/>
        <v>1</v>
      </c>
      <c r="FL5" s="2064">
        <f t="shared" si="5"/>
        <v>1</v>
      </c>
      <c r="FM5" s="2064">
        <f t="shared" si="5"/>
        <v>0</v>
      </c>
      <c r="FN5" s="2064">
        <f t="shared" si="5"/>
        <v>0</v>
      </c>
      <c r="FO5" s="2064">
        <f t="shared" si="5"/>
        <v>0</v>
      </c>
      <c r="FP5" s="2064">
        <f t="shared" si="5"/>
        <v>0</v>
      </c>
      <c r="FQ5" s="2064">
        <f t="shared" si="5"/>
        <v>0</v>
      </c>
      <c r="FR5" s="2064">
        <f t="shared" si="5"/>
        <v>0</v>
      </c>
      <c r="FS5" s="2064">
        <f t="shared" si="5"/>
        <v>0</v>
      </c>
      <c r="FT5" s="2064">
        <f t="shared" si="5"/>
        <v>0</v>
      </c>
      <c r="FU5" s="2064">
        <f t="shared" si="5"/>
        <v>0</v>
      </c>
      <c r="FV5" s="2064">
        <f t="shared" si="5"/>
        <v>0</v>
      </c>
      <c r="FW5" s="2064">
        <f t="shared" si="5"/>
        <v>0</v>
      </c>
      <c r="FX5" s="2064">
        <f t="shared" si="5"/>
        <v>0</v>
      </c>
      <c r="FY5" s="2064">
        <f t="shared" si="5"/>
        <v>0</v>
      </c>
      <c r="FZ5" s="2064">
        <f t="shared" si="5"/>
        <v>0</v>
      </c>
      <c r="GA5" s="2064">
        <f t="shared" si="5"/>
        <v>0</v>
      </c>
      <c r="GB5" s="2064">
        <f t="shared" si="5"/>
        <v>0</v>
      </c>
      <c r="GC5" s="2064">
        <f t="shared" si="5"/>
        <v>0</v>
      </c>
      <c r="GD5" s="2064">
        <f t="shared" si="5"/>
        <v>0</v>
      </c>
    </row>
    <row r="6" spans="1:186" outlineLevel="1">
      <c r="A6" s="2064"/>
      <c r="B6" s="2064" t="s">
        <v>3742</v>
      </c>
      <c r="C6" s="2064"/>
      <c r="D6" s="2064"/>
      <c r="E6" s="2064"/>
      <c r="F6" s="2064"/>
      <c r="G6" s="2064">
        <f>Index!G10</f>
        <v>3</v>
      </c>
      <c r="H6" s="2064">
        <f>Index!H10</f>
        <v>3</v>
      </c>
      <c r="I6" s="2064">
        <f>Index!I10</f>
        <v>3</v>
      </c>
      <c r="J6" s="2064">
        <f>Index!J10</f>
        <v>3</v>
      </c>
      <c r="K6" s="2064">
        <f>Index!K10</f>
        <v>3</v>
      </c>
      <c r="L6" s="2064">
        <f>Index!L10</f>
        <v>3</v>
      </c>
      <c r="M6" s="2064">
        <f>Index!M10</f>
        <v>3</v>
      </c>
      <c r="N6" s="2064">
        <f>Index!N10</f>
        <v>3</v>
      </c>
      <c r="O6" s="2064">
        <f>Index!O10</f>
        <v>3</v>
      </c>
      <c r="P6" s="2064">
        <f>Index!P10</f>
        <v>3</v>
      </c>
      <c r="Q6" s="2064">
        <f>Index!Q10</f>
        <v>3</v>
      </c>
      <c r="R6" s="2064">
        <f>Index!R10</f>
        <v>3</v>
      </c>
      <c r="S6" s="2064">
        <f>Index!S10</f>
        <v>3</v>
      </c>
      <c r="T6" s="2064">
        <f>Index!T10</f>
        <v>3</v>
      </c>
      <c r="U6" s="2064">
        <f>Index!U10</f>
        <v>3</v>
      </c>
      <c r="V6" s="2064">
        <f>Index!V10</f>
        <v>3</v>
      </c>
      <c r="W6" s="2064">
        <f>Index!W10</f>
        <v>3</v>
      </c>
      <c r="X6" s="2064">
        <f>Index!X10</f>
        <v>3</v>
      </c>
      <c r="Y6" s="2064">
        <f>Index!Y10</f>
        <v>3</v>
      </c>
      <c r="Z6" s="2064">
        <f>Index!Z10</f>
        <v>3</v>
      </c>
      <c r="AA6" s="2064">
        <f>Index!AA10</f>
        <v>3</v>
      </c>
      <c r="AB6" s="2064">
        <f>Index!AB10</f>
        <v>3</v>
      </c>
      <c r="AC6" s="2064">
        <f>Index!AC10</f>
        <v>3</v>
      </c>
      <c r="AD6" s="2064">
        <f>Index!AD10</f>
        <v>3</v>
      </c>
      <c r="AE6" s="2064">
        <f>Index!AE10</f>
        <v>3</v>
      </c>
      <c r="AF6" s="2064">
        <f>Index!AF10</f>
        <v>3</v>
      </c>
      <c r="AG6" s="2064">
        <f>Index!AG10</f>
        <v>3</v>
      </c>
      <c r="AH6" s="2064">
        <f>Index!AH10</f>
        <v>3</v>
      </c>
      <c r="AI6" s="2064">
        <f>Index!AI10</f>
        <v>3</v>
      </c>
      <c r="AJ6" s="2064">
        <f>Index!AJ10</f>
        <v>3</v>
      </c>
      <c r="AK6" s="2064">
        <f>Index!AK10</f>
        <v>3</v>
      </c>
      <c r="AL6" s="2064">
        <f>Index!AL10</f>
        <v>3</v>
      </c>
      <c r="AM6" s="2064">
        <f>Index!AM10</f>
        <v>3</v>
      </c>
      <c r="AN6" s="2064">
        <f>Index!AN10</f>
        <v>3</v>
      </c>
      <c r="AO6" s="2064">
        <f>Index!AO10</f>
        <v>3</v>
      </c>
      <c r="AP6" s="2064">
        <f>Index!AP10</f>
        <v>3</v>
      </c>
      <c r="AQ6" s="2064">
        <f>Index!AQ10</f>
        <v>3</v>
      </c>
      <c r="AR6" s="2064">
        <f>Index!AR10</f>
        <v>3</v>
      </c>
      <c r="AS6" s="2064">
        <f>Index!AS10</f>
        <v>3</v>
      </c>
      <c r="AT6" s="2064">
        <f>Index!AT10</f>
        <v>3</v>
      </c>
      <c r="AU6" s="2064">
        <f>Index!AU10</f>
        <v>3</v>
      </c>
      <c r="AV6" s="2064">
        <f>Index!AV10</f>
        <v>3</v>
      </c>
      <c r="AW6" s="2064">
        <f>Index!AW10</f>
        <v>3</v>
      </c>
      <c r="AX6" s="2064">
        <f>Index!AX10</f>
        <v>3</v>
      </c>
      <c r="AY6" s="2064">
        <f>Index!AY10</f>
        <v>3</v>
      </c>
      <c r="AZ6" s="2064">
        <f>Index!AZ10</f>
        <v>3</v>
      </c>
      <c r="BA6" s="2064">
        <f>Index!BA10</f>
        <v>3</v>
      </c>
      <c r="BB6" s="2064">
        <f>Index!BB10</f>
        <v>3</v>
      </c>
      <c r="BC6" s="2064">
        <f>Index!BC10</f>
        <v>3</v>
      </c>
      <c r="BD6" s="2064">
        <f>Index!BD10</f>
        <v>3</v>
      </c>
      <c r="BE6" s="2064">
        <f>Index!BE10</f>
        <v>3</v>
      </c>
      <c r="BF6" s="2064">
        <f>Index!BF10</f>
        <v>3</v>
      </c>
      <c r="BG6" s="2064">
        <f>Index!BG10</f>
        <v>3</v>
      </c>
      <c r="BH6" s="2064">
        <f>Index!BH10</f>
        <v>3</v>
      </c>
      <c r="BI6" s="2064">
        <f>Index!BI10</f>
        <v>3</v>
      </c>
      <c r="BJ6" s="2064">
        <f>Index!BJ10</f>
        <v>3</v>
      </c>
      <c r="BK6" s="2064">
        <f>Index!BK10</f>
        <v>3</v>
      </c>
      <c r="BL6" s="2064">
        <f>Index!BL10</f>
        <v>3</v>
      </c>
      <c r="BM6" s="2064">
        <f>Index!BM10</f>
        <v>3</v>
      </c>
      <c r="BN6" s="2064">
        <f>Index!BN10</f>
        <v>3</v>
      </c>
      <c r="BO6" s="2064">
        <f>Index!BO10</f>
        <v>3</v>
      </c>
      <c r="BP6" s="2064">
        <f>Index!BP10</f>
        <v>3</v>
      </c>
      <c r="BQ6" s="2064">
        <f>Index!BQ10</f>
        <v>3</v>
      </c>
      <c r="BR6" s="2064">
        <f>Index!BR10</f>
        <v>3</v>
      </c>
      <c r="BS6" s="2064">
        <f>Index!BS10</f>
        <v>3</v>
      </c>
      <c r="BT6" s="2064">
        <f>Index!BT10</f>
        <v>3</v>
      </c>
      <c r="BU6" s="2064">
        <f>Index!BU10</f>
        <v>3</v>
      </c>
      <c r="BV6" s="2064">
        <f>Index!BV10</f>
        <v>3</v>
      </c>
      <c r="BW6" s="2064">
        <f>Index!BW10</f>
        <v>3</v>
      </c>
      <c r="BX6" s="2064">
        <f>Index!BX10</f>
        <v>3</v>
      </c>
      <c r="BY6" s="2064">
        <f>Index!BY10</f>
        <v>3</v>
      </c>
      <c r="BZ6" s="2064">
        <f>Index!BZ10</f>
        <v>3</v>
      </c>
      <c r="CA6" s="2064">
        <f>Index!CA10</f>
        <v>3</v>
      </c>
      <c r="CB6" s="2064">
        <f>Index!CB10</f>
        <v>3</v>
      </c>
      <c r="CC6" s="2064">
        <f>Index!CC10</f>
        <v>3</v>
      </c>
      <c r="CD6" s="2064">
        <f>Index!CD10</f>
        <v>3</v>
      </c>
      <c r="CE6" s="2064">
        <f>Index!CE10</f>
        <v>3</v>
      </c>
      <c r="CF6" s="2064">
        <f>Index!CF10</f>
        <v>3</v>
      </c>
      <c r="CG6" s="2064">
        <f>Index!CG10</f>
        <v>3</v>
      </c>
      <c r="CH6" s="2064">
        <f>Index!CH10</f>
        <v>3</v>
      </c>
      <c r="CI6" s="2064">
        <f>Index!CI10</f>
        <v>3</v>
      </c>
      <c r="CJ6" s="2064">
        <f>Index!CJ10</f>
        <v>3</v>
      </c>
      <c r="CK6" s="2064">
        <f>Index!CK10</f>
        <v>3</v>
      </c>
      <c r="CL6" s="2064">
        <f>Index!CL10</f>
        <v>3</v>
      </c>
      <c r="CM6" s="2064">
        <f>Index!CM10</f>
        <v>3</v>
      </c>
      <c r="CN6" s="2064">
        <f>Index!CN10</f>
        <v>3</v>
      </c>
      <c r="CO6" s="2064">
        <f>Index!CO10</f>
        <v>3</v>
      </c>
      <c r="CP6" s="2064">
        <f>Index!CP10</f>
        <v>3</v>
      </c>
      <c r="CQ6" s="2064">
        <f>Index!CQ10</f>
        <v>3</v>
      </c>
      <c r="CR6" s="2064">
        <f>Index!CR10</f>
        <v>3</v>
      </c>
      <c r="CS6" s="2064">
        <f>Index!CS10</f>
        <v>3</v>
      </c>
      <c r="CT6" s="2064">
        <f>Index!CT10</f>
        <v>3</v>
      </c>
      <c r="CU6" s="2064">
        <f>Index!CU10</f>
        <v>3</v>
      </c>
      <c r="CV6" s="2064">
        <f>Index!CV10</f>
        <v>3</v>
      </c>
      <c r="CW6" s="2064">
        <f>Index!CW10</f>
        <v>3</v>
      </c>
      <c r="CX6" s="2064">
        <f>Index!CX10</f>
        <v>3</v>
      </c>
      <c r="CY6" s="2064">
        <f>Index!CY10</f>
        <v>3</v>
      </c>
      <c r="CZ6" s="2064">
        <f>Index!CZ10</f>
        <v>3</v>
      </c>
      <c r="DA6" s="2064">
        <f>Index!DA10</f>
        <v>3</v>
      </c>
      <c r="DB6" s="2064">
        <f>Index!DB10</f>
        <v>3</v>
      </c>
      <c r="DC6" s="2064">
        <f>Index!DC10</f>
        <v>3</v>
      </c>
      <c r="DD6" s="2064">
        <f>Index!DD10</f>
        <v>3</v>
      </c>
      <c r="DE6" s="2064">
        <f>Index!DE10</f>
        <v>3</v>
      </c>
      <c r="DF6" s="2064">
        <f>Index!DF10</f>
        <v>3</v>
      </c>
      <c r="DG6" s="2064">
        <f>Index!DG10</f>
        <v>3</v>
      </c>
      <c r="DH6" s="2064">
        <f>Index!DH10</f>
        <v>3</v>
      </c>
      <c r="DI6" s="2064">
        <f>Index!DI10</f>
        <v>3</v>
      </c>
      <c r="DJ6" s="2064">
        <f>Index!DJ10</f>
        <v>3</v>
      </c>
      <c r="DK6" s="2064">
        <f>Index!DK10</f>
        <v>3</v>
      </c>
      <c r="DL6" s="2064">
        <f>Index!DL10</f>
        <v>3</v>
      </c>
      <c r="DM6" s="2064">
        <f>Index!DM10</f>
        <v>3</v>
      </c>
      <c r="DN6" s="2064">
        <f>Index!DN10</f>
        <v>3</v>
      </c>
      <c r="DO6" s="2064">
        <f>Index!DO10</f>
        <v>3</v>
      </c>
      <c r="DP6" s="2064">
        <f>Index!DP10</f>
        <v>3</v>
      </c>
      <c r="DQ6" s="2064">
        <f>Index!DQ10</f>
        <v>3</v>
      </c>
      <c r="DR6" s="2064">
        <f>Index!DR10</f>
        <v>3</v>
      </c>
      <c r="DS6" s="2064">
        <f>Index!DS10</f>
        <v>3</v>
      </c>
      <c r="DT6" s="2064">
        <f>Index!DT10</f>
        <v>3</v>
      </c>
      <c r="DU6" s="2064">
        <f>Index!DU10</f>
        <v>3</v>
      </c>
      <c r="DV6" s="2064">
        <f>Index!DV10</f>
        <v>3</v>
      </c>
      <c r="DW6" s="2064">
        <f>Index!DW10</f>
        <v>3</v>
      </c>
      <c r="DX6" s="2064">
        <f>Index!DX10</f>
        <v>3</v>
      </c>
      <c r="DY6" s="2064">
        <f>Index!DY10</f>
        <v>3</v>
      </c>
      <c r="DZ6" s="2064">
        <f>Index!DZ10</f>
        <v>3</v>
      </c>
      <c r="EA6" s="2064">
        <f>Index!EA10</f>
        <v>3</v>
      </c>
      <c r="EB6" s="2064">
        <f>Index!EB10</f>
        <v>3</v>
      </c>
      <c r="EC6" s="2064">
        <f>Index!EC10</f>
        <v>3</v>
      </c>
      <c r="ED6" s="2064">
        <f>Index!ED10</f>
        <v>3</v>
      </c>
      <c r="EE6" s="2064">
        <f>Index!EE10</f>
        <v>3</v>
      </c>
      <c r="EF6" s="2064">
        <f>Index!EF10</f>
        <v>3</v>
      </c>
      <c r="EG6" s="2064">
        <f>Index!EG10</f>
        <v>3</v>
      </c>
      <c r="EH6" s="2064">
        <f>Index!EH10</f>
        <v>3</v>
      </c>
      <c r="EI6" s="2064">
        <f>Index!EI10</f>
        <v>3</v>
      </c>
      <c r="EJ6" s="2064">
        <f>Index!EJ10</f>
        <v>3</v>
      </c>
      <c r="EK6" s="2064">
        <f>Index!EK10</f>
        <v>3</v>
      </c>
      <c r="EL6" s="2064">
        <f>Index!EL10</f>
        <v>3</v>
      </c>
      <c r="EM6" s="2064">
        <f>Index!EM10</f>
        <v>3</v>
      </c>
      <c r="EN6" s="2064">
        <f>Index!EN10</f>
        <v>3</v>
      </c>
      <c r="EO6" s="2064">
        <f>Index!EO10</f>
        <v>3</v>
      </c>
      <c r="EP6" s="2064">
        <f>Index!EP10</f>
        <v>3</v>
      </c>
      <c r="EQ6" s="2064">
        <f>Index!EQ10</f>
        <v>3</v>
      </c>
      <c r="ER6" s="2064">
        <f>Index!ER10</f>
        <v>3</v>
      </c>
      <c r="ES6" s="2064">
        <f>Index!ES10</f>
        <v>3</v>
      </c>
      <c r="ET6" s="2064">
        <f>Index!ET10</f>
        <v>3</v>
      </c>
      <c r="EU6" s="2064">
        <f>Index!EU10</f>
        <v>3</v>
      </c>
      <c r="EV6" s="2064">
        <f>Index!EV10</f>
        <v>3</v>
      </c>
      <c r="EW6" s="2064">
        <f>Index!EW10</f>
        <v>3</v>
      </c>
      <c r="EX6" s="2064">
        <f>Index!EX10</f>
        <v>3</v>
      </c>
      <c r="EY6" s="2064">
        <f>Index!EY10</f>
        <v>3</v>
      </c>
      <c r="EZ6" s="2064">
        <f>Index!EZ10</f>
        <v>3</v>
      </c>
      <c r="FA6" s="2064">
        <f>Index!FA10</f>
        <v>3</v>
      </c>
      <c r="FB6" s="2064">
        <f>Index!FB10</f>
        <v>3</v>
      </c>
      <c r="FC6" s="2064">
        <f>Index!FC10</f>
        <v>3</v>
      </c>
      <c r="FD6" s="2064">
        <f>Index!FD10</f>
        <v>3</v>
      </c>
      <c r="FE6" s="2064">
        <f>Index!FE10</f>
        <v>3</v>
      </c>
      <c r="FF6" s="2064">
        <f>Index!FF10</f>
        <v>3</v>
      </c>
      <c r="FG6" s="2064">
        <f>Index!FG10</f>
        <v>3</v>
      </c>
      <c r="FH6" s="2064">
        <f>Index!FH10</f>
        <v>3</v>
      </c>
      <c r="FI6" s="2064">
        <f>Index!FI10</f>
        <v>3</v>
      </c>
      <c r="FJ6" s="2064">
        <f>Index!FJ10</f>
        <v>3</v>
      </c>
      <c r="FK6" s="2064">
        <f>Index!FK10</f>
        <v>3</v>
      </c>
      <c r="FL6" s="2064">
        <f>Index!FL10</f>
        <v>3</v>
      </c>
      <c r="FM6" s="2064">
        <f>Index!FM10</f>
        <v>0</v>
      </c>
      <c r="FN6" s="2064">
        <f>Index!FN10</f>
        <v>0</v>
      </c>
      <c r="FO6" s="2064">
        <f>Index!FO10</f>
        <v>0</v>
      </c>
      <c r="FP6" s="2064">
        <f>Index!FP10</f>
        <v>0</v>
      </c>
      <c r="FQ6" s="2064">
        <f>Index!FQ10</f>
        <v>0</v>
      </c>
      <c r="FR6" s="2064">
        <f>Index!FR10</f>
        <v>0</v>
      </c>
      <c r="FS6" s="2064">
        <f>Index!FS10</f>
        <v>0</v>
      </c>
      <c r="FT6" s="2064">
        <f>Index!FT10</f>
        <v>0</v>
      </c>
      <c r="FU6" s="2064">
        <f>Index!FU10</f>
        <v>0</v>
      </c>
      <c r="FV6" s="2064">
        <f>Index!FV10</f>
        <v>0</v>
      </c>
      <c r="FW6" s="2064">
        <f>Index!FW10</f>
        <v>0</v>
      </c>
      <c r="FX6" s="2064">
        <f>Index!FX10</f>
        <v>0</v>
      </c>
      <c r="FY6" s="2064">
        <f>Index!FY10</f>
        <v>0</v>
      </c>
      <c r="FZ6" s="2064">
        <f>Index!FZ10</f>
        <v>0</v>
      </c>
      <c r="GA6" s="2064">
        <f>Index!GA10</f>
        <v>0</v>
      </c>
      <c r="GB6" s="2064">
        <f>Index!GB10</f>
        <v>0</v>
      </c>
      <c r="GC6" s="2064">
        <f>Index!GC10</f>
        <v>0</v>
      </c>
      <c r="GD6" s="2064">
        <f>Index!GD10</f>
        <v>0</v>
      </c>
    </row>
    <row r="7" spans="1:186" s="707" customFormat="1" outlineLevel="1"/>
    <row r="8" spans="1:186"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  <c r="Z8" s="396"/>
      <c r="AA8" s="396"/>
      <c r="AB8" s="396"/>
      <c r="AC8" s="396"/>
      <c r="AD8" s="396"/>
      <c r="AE8" s="396"/>
      <c r="AF8" s="396"/>
      <c r="AG8" s="396"/>
      <c r="AH8" s="396"/>
      <c r="AI8" s="396"/>
      <c r="AJ8" s="396"/>
      <c r="AK8" s="396"/>
      <c r="AL8" s="396"/>
      <c r="AM8" s="396"/>
      <c r="AN8" s="396"/>
      <c r="AO8" s="396"/>
      <c r="AP8" s="396"/>
      <c r="AQ8" s="396"/>
      <c r="AR8" s="396"/>
      <c r="AS8" s="396"/>
      <c r="AT8" s="396"/>
      <c r="AU8" s="396"/>
      <c r="AV8" s="396"/>
      <c r="AW8" s="396"/>
      <c r="AX8" s="396"/>
      <c r="AY8" s="396"/>
      <c r="AZ8" s="396"/>
      <c r="BA8" s="396"/>
      <c r="BB8" s="396"/>
      <c r="BC8" s="396"/>
      <c r="BD8" s="396"/>
      <c r="BE8" s="396"/>
      <c r="BF8" s="396"/>
      <c r="BG8" s="396"/>
      <c r="BH8" s="396"/>
      <c r="BI8" s="396"/>
      <c r="BJ8" s="396"/>
      <c r="BK8" s="396"/>
      <c r="BL8" s="396"/>
      <c r="BM8" s="396"/>
      <c r="BN8" s="396"/>
      <c r="BO8" s="396"/>
      <c r="BP8" s="396"/>
      <c r="BQ8" s="396"/>
      <c r="BR8" s="396"/>
      <c r="BS8" s="396"/>
      <c r="BT8" s="396"/>
      <c r="BU8" s="396"/>
      <c r="BV8" s="396"/>
      <c r="BW8" s="396"/>
      <c r="BX8" s="396"/>
      <c r="BY8" s="396"/>
      <c r="BZ8" s="396"/>
      <c r="CA8" s="396"/>
      <c r="CB8" s="396"/>
      <c r="CC8" s="396"/>
      <c r="CD8" s="396"/>
      <c r="CE8" s="396"/>
      <c r="CF8" s="396"/>
      <c r="CG8" s="396"/>
      <c r="CH8" s="396"/>
      <c r="CI8" s="396"/>
      <c r="CJ8" s="396"/>
      <c r="CK8" s="396"/>
      <c r="CL8" s="396"/>
      <c r="CM8" s="396"/>
      <c r="CN8" s="396"/>
      <c r="CO8" s="396"/>
      <c r="CP8" s="396"/>
      <c r="CQ8" s="396"/>
      <c r="CR8" s="396"/>
      <c r="CS8" s="396"/>
      <c r="CT8" s="396"/>
      <c r="CU8" s="396"/>
      <c r="CV8" s="396"/>
      <c r="CW8" s="396"/>
      <c r="CX8" s="396"/>
      <c r="CY8" s="396"/>
      <c r="CZ8" s="396"/>
      <c r="DA8" s="396"/>
      <c r="DB8" s="396"/>
      <c r="DC8" s="396"/>
      <c r="DD8" s="396"/>
      <c r="DE8" s="396"/>
      <c r="DF8" s="396"/>
      <c r="DG8" s="396"/>
      <c r="DH8" s="396"/>
      <c r="DI8" s="396"/>
      <c r="DJ8" s="396"/>
      <c r="DK8" s="396"/>
      <c r="DL8" s="396"/>
      <c r="DM8" s="396"/>
      <c r="DN8" s="396"/>
      <c r="DO8" s="396"/>
      <c r="DP8" s="396"/>
      <c r="DQ8" s="396"/>
      <c r="DR8" s="396"/>
      <c r="DS8" s="396"/>
      <c r="DT8" s="396"/>
      <c r="DU8" s="396"/>
      <c r="DV8" s="396"/>
      <c r="DW8" s="396"/>
      <c r="DX8" s="396"/>
      <c r="DY8" s="396"/>
      <c r="DZ8" s="396"/>
      <c r="EA8" s="396"/>
      <c r="EB8" s="396"/>
      <c r="EC8" s="396"/>
      <c r="ED8" s="396"/>
      <c r="EE8" s="396"/>
      <c r="EF8" s="396"/>
      <c r="EG8" s="396"/>
      <c r="EH8" s="396"/>
      <c r="EI8" s="396"/>
      <c r="EJ8" s="396"/>
      <c r="EK8" s="396"/>
      <c r="EL8" s="396"/>
      <c r="EM8" s="396"/>
      <c r="EN8" s="396"/>
      <c r="EO8" s="396"/>
      <c r="EP8" s="396"/>
      <c r="EQ8" s="396"/>
      <c r="ER8" s="396"/>
      <c r="ES8" s="396"/>
      <c r="ET8" s="396"/>
      <c r="EU8" s="396"/>
      <c r="EV8" s="396"/>
      <c r="EW8" s="396"/>
      <c r="EX8" s="396"/>
      <c r="EY8" s="396"/>
      <c r="EZ8" s="396"/>
      <c r="FA8" s="396"/>
      <c r="FB8" s="396"/>
      <c r="FC8" s="396"/>
      <c r="FD8" s="396"/>
      <c r="FE8" s="396"/>
      <c r="FF8" s="396"/>
      <c r="FG8" s="396"/>
      <c r="FH8" s="396"/>
      <c r="FI8" s="396"/>
      <c r="FJ8" s="396"/>
      <c r="FK8" s="396"/>
      <c r="FL8" s="396"/>
      <c r="FM8" s="396"/>
      <c r="FN8" s="396"/>
      <c r="FO8" s="396"/>
      <c r="FP8" s="396"/>
      <c r="FQ8" s="396"/>
      <c r="FR8" s="396"/>
      <c r="FS8" s="396"/>
      <c r="FT8" s="396"/>
      <c r="FU8" s="396"/>
      <c r="FV8" s="396"/>
      <c r="FW8" s="396"/>
      <c r="FX8" s="396"/>
      <c r="FY8" s="396"/>
      <c r="FZ8" s="396"/>
      <c r="GA8" s="396"/>
      <c r="GB8" s="396"/>
      <c r="GC8" s="396"/>
      <c r="GD8" s="396"/>
    </row>
    <row r="9" spans="1:186" s="414" customFormat="1" ht="15" customHeight="1">
      <c r="B9" s="2065">
        <v>1</v>
      </c>
      <c r="C9" s="2065" t="s">
        <v>3743</v>
      </c>
      <c r="D9" s="2065"/>
      <c r="E9" s="2065"/>
      <c r="F9" s="2066"/>
      <c r="G9" s="2066"/>
      <c r="H9" s="2066"/>
      <c r="I9" s="2066"/>
      <c r="J9" s="2066"/>
      <c r="K9" s="2066"/>
      <c r="L9" s="2066"/>
      <c r="M9" s="2066"/>
      <c r="N9" s="2066"/>
      <c r="O9" s="2066"/>
      <c r="P9" s="2066"/>
      <c r="Q9" s="2066"/>
      <c r="R9" s="2066"/>
      <c r="S9" s="2066"/>
      <c r="T9" s="2066"/>
      <c r="U9" s="2066"/>
      <c r="V9" s="2066"/>
      <c r="W9" s="2066"/>
      <c r="X9" s="2066"/>
      <c r="Y9" s="2066"/>
      <c r="Z9" s="2066"/>
      <c r="AA9" s="2066"/>
      <c r="AB9" s="2066"/>
      <c r="AC9" s="2066"/>
      <c r="AD9" s="2066"/>
      <c r="AE9" s="2066"/>
      <c r="AF9" s="2066"/>
      <c r="AG9" s="2066"/>
      <c r="AH9" s="2066"/>
      <c r="AI9" s="2066"/>
      <c r="AJ9" s="2066"/>
      <c r="AK9" s="2066"/>
      <c r="AL9" s="2066"/>
      <c r="AM9" s="2066"/>
      <c r="AN9" s="2066"/>
      <c r="AO9" s="2066"/>
      <c r="AP9" s="2066"/>
      <c r="AQ9" s="2066"/>
      <c r="AR9" s="2066"/>
      <c r="AS9" s="2066"/>
      <c r="AT9" s="2066"/>
      <c r="AU9" s="2066"/>
      <c r="AV9" s="2066"/>
      <c r="AW9" s="2066"/>
      <c r="AX9" s="2066"/>
      <c r="AY9" s="2066"/>
      <c r="AZ9" s="2066"/>
      <c r="BA9" s="2066"/>
      <c r="BB9" s="2066"/>
      <c r="BC9" s="2066"/>
      <c r="BD9" s="2066"/>
      <c r="BE9" s="2066"/>
      <c r="BF9" s="2066"/>
      <c r="BG9" s="2066"/>
      <c r="BH9" s="2066"/>
      <c r="BI9" s="2066"/>
      <c r="BJ9" s="2066"/>
      <c r="BK9" s="2066"/>
      <c r="BL9" s="2066"/>
      <c r="BM9" s="2066"/>
      <c r="BN9" s="2066"/>
      <c r="BO9" s="2066"/>
      <c r="BP9" s="2066"/>
      <c r="BQ9" s="2066"/>
      <c r="BR9" s="2066"/>
      <c r="BS9" s="2066"/>
      <c r="BT9" s="2066"/>
      <c r="BU9" s="2066"/>
      <c r="BV9" s="2066"/>
      <c r="BW9" s="2066"/>
      <c r="BX9" s="2066"/>
      <c r="BY9" s="2066"/>
      <c r="BZ9" s="2066"/>
      <c r="CA9" s="2066"/>
      <c r="CB9" s="2066"/>
      <c r="CC9" s="2066"/>
      <c r="CD9" s="2066"/>
      <c r="CE9" s="2066"/>
      <c r="CF9" s="2066"/>
      <c r="CG9" s="2066"/>
      <c r="CH9" s="2066"/>
      <c r="CI9" s="2066"/>
      <c r="CJ9" s="2066"/>
      <c r="CK9" s="2066"/>
      <c r="CL9" s="2066"/>
      <c r="CM9" s="2066"/>
      <c r="CN9" s="2066"/>
      <c r="CO9" s="2066"/>
      <c r="CP9" s="2066"/>
      <c r="CQ9" s="2066"/>
      <c r="CR9" s="2066"/>
      <c r="CS9" s="2066"/>
      <c r="CT9" s="2066"/>
      <c r="CU9" s="2066"/>
      <c r="CV9" s="2066"/>
      <c r="CW9" s="2066"/>
      <c r="CX9" s="2066"/>
      <c r="CY9" s="2066"/>
      <c r="CZ9" s="2066"/>
      <c r="DA9" s="2066"/>
      <c r="DB9" s="2066"/>
      <c r="DC9" s="2066"/>
      <c r="DD9" s="2066"/>
      <c r="DE9" s="2066"/>
      <c r="DF9" s="2066"/>
      <c r="DG9" s="2066"/>
      <c r="DH9" s="2066"/>
      <c r="DI9" s="2066"/>
      <c r="DJ9" s="2066"/>
      <c r="DK9" s="2066"/>
      <c r="DL9" s="2066"/>
      <c r="DM9" s="2066"/>
      <c r="DN9" s="2066"/>
      <c r="DO9" s="2066"/>
      <c r="DP9" s="2066"/>
      <c r="DQ9" s="2066"/>
      <c r="DR9" s="2066"/>
      <c r="DS9" s="2066"/>
      <c r="DT9" s="2066"/>
      <c r="DU9" s="2066"/>
      <c r="DV9" s="2066"/>
      <c r="DW9" s="2066"/>
      <c r="DX9" s="2066"/>
      <c r="DY9" s="2066"/>
      <c r="DZ9" s="2066"/>
      <c r="EA9" s="2066"/>
      <c r="EB9" s="2066"/>
      <c r="EC9" s="2066"/>
      <c r="ED9" s="2066"/>
      <c r="EE9" s="2066"/>
      <c r="EF9" s="2066"/>
      <c r="EG9" s="2066"/>
      <c r="EH9" s="2066"/>
      <c r="EI9" s="2066"/>
      <c r="EJ9" s="2066"/>
      <c r="EK9" s="2066"/>
      <c r="EL9" s="2066"/>
      <c r="EM9" s="2066"/>
      <c r="EN9" s="2066"/>
      <c r="EO9" s="2066"/>
      <c r="EP9" s="2066"/>
      <c r="EQ9" s="2066"/>
      <c r="ER9" s="2066"/>
      <c r="ES9" s="2066"/>
      <c r="ET9" s="2066"/>
      <c r="EU9" s="2066"/>
      <c r="EV9" s="2066"/>
      <c r="EW9" s="2066"/>
      <c r="EX9" s="2066"/>
      <c r="EY9" s="2066"/>
      <c r="EZ9" s="2066"/>
      <c r="FA9" s="2066"/>
      <c r="FB9" s="2066"/>
      <c r="FC9" s="2066"/>
      <c r="FD9" s="2066"/>
      <c r="FE9" s="2066"/>
      <c r="FF9" s="2066"/>
      <c r="FG9" s="2066"/>
      <c r="FH9" s="2066"/>
      <c r="FI9" s="2066"/>
      <c r="FJ9" s="2066"/>
      <c r="FK9" s="2066"/>
      <c r="FL9" s="2066"/>
      <c r="FM9" s="2066"/>
      <c r="FN9" s="2066"/>
      <c r="FO9" s="2066"/>
      <c r="FP9" s="2066"/>
      <c r="FQ9" s="2066"/>
      <c r="FR9" s="2066"/>
      <c r="FS9" s="2066"/>
      <c r="FT9" s="2066"/>
      <c r="FU9" s="2066"/>
      <c r="FV9" s="2066"/>
      <c r="FW9" s="2066"/>
      <c r="FX9" s="2066"/>
      <c r="FY9" s="2066"/>
      <c r="FZ9" s="2066"/>
      <c r="GA9" s="2066"/>
      <c r="GB9" s="2066"/>
      <c r="GC9" s="2066"/>
      <c r="GD9" s="2066"/>
    </row>
    <row r="10" spans="1:186" ht="15" customHeight="1">
      <c r="A10" s="303"/>
      <c r="B10" s="303"/>
      <c r="C10" s="717" t="s">
        <v>11</v>
      </c>
      <c r="D10" s="718"/>
      <c r="E10" s="718"/>
      <c r="F10" s="766" t="s">
        <v>195</v>
      </c>
      <c r="G10" s="640">
        <f>기준분기</f>
        <v>43555</v>
      </c>
      <c r="H10" s="641">
        <f t="shared" ref="H10:BS10" si="6">EOMONTH(G10,3)</f>
        <v>43646</v>
      </c>
      <c r="I10" s="641">
        <f t="shared" si="6"/>
        <v>43738</v>
      </c>
      <c r="J10" s="642">
        <f t="shared" si="6"/>
        <v>43830</v>
      </c>
      <c r="K10" s="640">
        <f t="shared" si="6"/>
        <v>43921</v>
      </c>
      <c r="L10" s="641">
        <f t="shared" si="6"/>
        <v>44012</v>
      </c>
      <c r="M10" s="641">
        <f t="shared" si="6"/>
        <v>44104</v>
      </c>
      <c r="N10" s="642">
        <f t="shared" si="6"/>
        <v>44196</v>
      </c>
      <c r="O10" s="640">
        <f t="shared" si="6"/>
        <v>44286</v>
      </c>
      <c r="P10" s="641">
        <f t="shared" si="6"/>
        <v>44377</v>
      </c>
      <c r="Q10" s="641">
        <f t="shared" si="6"/>
        <v>44469</v>
      </c>
      <c r="R10" s="642">
        <f t="shared" si="6"/>
        <v>44561</v>
      </c>
      <c r="S10" s="640">
        <f t="shared" si="6"/>
        <v>44651</v>
      </c>
      <c r="T10" s="641">
        <f t="shared" si="6"/>
        <v>44742</v>
      </c>
      <c r="U10" s="641">
        <f t="shared" si="6"/>
        <v>44834</v>
      </c>
      <c r="V10" s="642">
        <f t="shared" si="6"/>
        <v>44926</v>
      </c>
      <c r="W10" s="640">
        <f t="shared" si="6"/>
        <v>45016</v>
      </c>
      <c r="X10" s="641">
        <f t="shared" si="6"/>
        <v>45107</v>
      </c>
      <c r="Y10" s="641">
        <f t="shared" si="6"/>
        <v>45199</v>
      </c>
      <c r="Z10" s="642">
        <f t="shared" si="6"/>
        <v>45291</v>
      </c>
      <c r="AA10" s="640">
        <f t="shared" si="6"/>
        <v>45382</v>
      </c>
      <c r="AB10" s="641">
        <f t="shared" si="6"/>
        <v>45473</v>
      </c>
      <c r="AC10" s="641">
        <f t="shared" si="6"/>
        <v>45565</v>
      </c>
      <c r="AD10" s="642">
        <f t="shared" si="6"/>
        <v>45657</v>
      </c>
      <c r="AE10" s="640">
        <f t="shared" si="6"/>
        <v>45747</v>
      </c>
      <c r="AF10" s="641">
        <f t="shared" si="6"/>
        <v>45838</v>
      </c>
      <c r="AG10" s="641">
        <f t="shared" si="6"/>
        <v>45930</v>
      </c>
      <c r="AH10" s="642">
        <f t="shared" si="6"/>
        <v>46022</v>
      </c>
      <c r="AI10" s="640">
        <f t="shared" si="6"/>
        <v>46112</v>
      </c>
      <c r="AJ10" s="641">
        <f t="shared" si="6"/>
        <v>46203</v>
      </c>
      <c r="AK10" s="641">
        <f t="shared" si="6"/>
        <v>46295</v>
      </c>
      <c r="AL10" s="642">
        <f t="shared" si="6"/>
        <v>46387</v>
      </c>
      <c r="AM10" s="640">
        <f t="shared" si="6"/>
        <v>46477</v>
      </c>
      <c r="AN10" s="641">
        <f t="shared" si="6"/>
        <v>46568</v>
      </c>
      <c r="AO10" s="641">
        <f t="shared" si="6"/>
        <v>46660</v>
      </c>
      <c r="AP10" s="642">
        <f t="shared" si="6"/>
        <v>46752</v>
      </c>
      <c r="AQ10" s="640">
        <f t="shared" si="6"/>
        <v>46843</v>
      </c>
      <c r="AR10" s="641">
        <f t="shared" si="6"/>
        <v>46934</v>
      </c>
      <c r="AS10" s="641">
        <f t="shared" si="6"/>
        <v>47026</v>
      </c>
      <c r="AT10" s="642">
        <f t="shared" si="6"/>
        <v>47118</v>
      </c>
      <c r="AU10" s="640">
        <f t="shared" si="6"/>
        <v>47208</v>
      </c>
      <c r="AV10" s="641">
        <f t="shared" si="6"/>
        <v>47299</v>
      </c>
      <c r="AW10" s="641">
        <f t="shared" si="6"/>
        <v>47391</v>
      </c>
      <c r="AX10" s="642">
        <f t="shared" si="6"/>
        <v>47483</v>
      </c>
      <c r="AY10" s="640">
        <f t="shared" si="6"/>
        <v>47573</v>
      </c>
      <c r="AZ10" s="641">
        <f t="shared" si="6"/>
        <v>47664</v>
      </c>
      <c r="BA10" s="641">
        <f t="shared" si="6"/>
        <v>47756</v>
      </c>
      <c r="BB10" s="642">
        <f t="shared" si="6"/>
        <v>47848</v>
      </c>
      <c r="BC10" s="640">
        <f t="shared" si="6"/>
        <v>47938</v>
      </c>
      <c r="BD10" s="641">
        <f t="shared" si="6"/>
        <v>48029</v>
      </c>
      <c r="BE10" s="641">
        <f t="shared" si="6"/>
        <v>48121</v>
      </c>
      <c r="BF10" s="642">
        <f t="shared" si="6"/>
        <v>48213</v>
      </c>
      <c r="BG10" s="640">
        <f t="shared" si="6"/>
        <v>48304</v>
      </c>
      <c r="BH10" s="641">
        <f t="shared" si="6"/>
        <v>48395</v>
      </c>
      <c r="BI10" s="641">
        <f t="shared" si="6"/>
        <v>48487</v>
      </c>
      <c r="BJ10" s="642">
        <f t="shared" si="6"/>
        <v>48579</v>
      </c>
      <c r="BK10" s="640">
        <f t="shared" si="6"/>
        <v>48669</v>
      </c>
      <c r="BL10" s="641">
        <f t="shared" si="6"/>
        <v>48760</v>
      </c>
      <c r="BM10" s="641">
        <f t="shared" si="6"/>
        <v>48852</v>
      </c>
      <c r="BN10" s="642">
        <f t="shared" si="6"/>
        <v>48944</v>
      </c>
      <c r="BO10" s="640">
        <f t="shared" si="6"/>
        <v>49034</v>
      </c>
      <c r="BP10" s="641">
        <f t="shared" si="6"/>
        <v>49125</v>
      </c>
      <c r="BQ10" s="641">
        <f t="shared" si="6"/>
        <v>49217</v>
      </c>
      <c r="BR10" s="642">
        <f t="shared" si="6"/>
        <v>49309</v>
      </c>
      <c r="BS10" s="640">
        <f t="shared" si="6"/>
        <v>49399</v>
      </c>
      <c r="BT10" s="641">
        <f t="shared" ref="BT10:EE10" si="7">EOMONTH(BS10,3)</f>
        <v>49490</v>
      </c>
      <c r="BU10" s="641">
        <f t="shared" si="7"/>
        <v>49582</v>
      </c>
      <c r="BV10" s="642">
        <f t="shared" si="7"/>
        <v>49674</v>
      </c>
      <c r="BW10" s="640">
        <f t="shared" si="7"/>
        <v>49765</v>
      </c>
      <c r="BX10" s="641">
        <f t="shared" si="7"/>
        <v>49856</v>
      </c>
      <c r="BY10" s="641">
        <f t="shared" si="7"/>
        <v>49948</v>
      </c>
      <c r="BZ10" s="642">
        <f t="shared" si="7"/>
        <v>50040</v>
      </c>
      <c r="CA10" s="640">
        <f t="shared" si="7"/>
        <v>50130</v>
      </c>
      <c r="CB10" s="641">
        <f t="shared" si="7"/>
        <v>50221</v>
      </c>
      <c r="CC10" s="641">
        <f t="shared" si="7"/>
        <v>50313</v>
      </c>
      <c r="CD10" s="642">
        <f t="shared" si="7"/>
        <v>50405</v>
      </c>
      <c r="CE10" s="640">
        <f t="shared" si="7"/>
        <v>50495</v>
      </c>
      <c r="CF10" s="641">
        <f t="shared" si="7"/>
        <v>50586</v>
      </c>
      <c r="CG10" s="641">
        <f t="shared" si="7"/>
        <v>50678</v>
      </c>
      <c r="CH10" s="642">
        <f t="shared" si="7"/>
        <v>50770</v>
      </c>
      <c r="CI10" s="640">
        <f t="shared" si="7"/>
        <v>50860</v>
      </c>
      <c r="CJ10" s="641">
        <f t="shared" si="7"/>
        <v>50951</v>
      </c>
      <c r="CK10" s="641">
        <f t="shared" si="7"/>
        <v>51043</v>
      </c>
      <c r="CL10" s="642">
        <f t="shared" si="7"/>
        <v>51135</v>
      </c>
      <c r="CM10" s="640">
        <f t="shared" si="7"/>
        <v>51226</v>
      </c>
      <c r="CN10" s="641">
        <f t="shared" si="7"/>
        <v>51317</v>
      </c>
      <c r="CO10" s="641">
        <f t="shared" si="7"/>
        <v>51409</v>
      </c>
      <c r="CP10" s="642">
        <f t="shared" si="7"/>
        <v>51501</v>
      </c>
      <c r="CQ10" s="640">
        <f t="shared" si="7"/>
        <v>51591</v>
      </c>
      <c r="CR10" s="641">
        <f t="shared" si="7"/>
        <v>51682</v>
      </c>
      <c r="CS10" s="641">
        <f t="shared" si="7"/>
        <v>51774</v>
      </c>
      <c r="CT10" s="642">
        <f t="shared" si="7"/>
        <v>51866</v>
      </c>
      <c r="CU10" s="640">
        <f t="shared" si="7"/>
        <v>51956</v>
      </c>
      <c r="CV10" s="641">
        <f t="shared" si="7"/>
        <v>52047</v>
      </c>
      <c r="CW10" s="641">
        <f t="shared" si="7"/>
        <v>52139</v>
      </c>
      <c r="CX10" s="642">
        <f t="shared" si="7"/>
        <v>52231</v>
      </c>
      <c r="CY10" s="640">
        <f t="shared" si="7"/>
        <v>52321</v>
      </c>
      <c r="CZ10" s="641">
        <f t="shared" si="7"/>
        <v>52412</v>
      </c>
      <c r="DA10" s="641">
        <f t="shared" si="7"/>
        <v>52504</v>
      </c>
      <c r="DB10" s="642">
        <f t="shared" si="7"/>
        <v>52596</v>
      </c>
      <c r="DC10" s="640">
        <f t="shared" si="7"/>
        <v>52687</v>
      </c>
      <c r="DD10" s="641">
        <f t="shared" si="7"/>
        <v>52778</v>
      </c>
      <c r="DE10" s="641">
        <f t="shared" si="7"/>
        <v>52870</v>
      </c>
      <c r="DF10" s="642">
        <f t="shared" si="7"/>
        <v>52962</v>
      </c>
      <c r="DG10" s="640">
        <f t="shared" si="7"/>
        <v>53052</v>
      </c>
      <c r="DH10" s="641">
        <f t="shared" si="7"/>
        <v>53143</v>
      </c>
      <c r="DI10" s="641">
        <f t="shared" si="7"/>
        <v>53235</v>
      </c>
      <c r="DJ10" s="642">
        <f t="shared" si="7"/>
        <v>53327</v>
      </c>
      <c r="DK10" s="640">
        <f t="shared" si="7"/>
        <v>53417</v>
      </c>
      <c r="DL10" s="641">
        <f t="shared" si="7"/>
        <v>53508</v>
      </c>
      <c r="DM10" s="641">
        <f t="shared" si="7"/>
        <v>53600</v>
      </c>
      <c r="DN10" s="642">
        <f t="shared" si="7"/>
        <v>53692</v>
      </c>
      <c r="DO10" s="640">
        <f t="shared" si="7"/>
        <v>53782</v>
      </c>
      <c r="DP10" s="641">
        <f t="shared" si="7"/>
        <v>53873</v>
      </c>
      <c r="DQ10" s="641">
        <f t="shared" si="7"/>
        <v>53965</v>
      </c>
      <c r="DR10" s="642">
        <f t="shared" si="7"/>
        <v>54057</v>
      </c>
      <c r="DS10" s="640">
        <f t="shared" si="7"/>
        <v>54148</v>
      </c>
      <c r="DT10" s="641">
        <f t="shared" si="7"/>
        <v>54239</v>
      </c>
      <c r="DU10" s="641">
        <f t="shared" si="7"/>
        <v>54331</v>
      </c>
      <c r="DV10" s="642">
        <f t="shared" si="7"/>
        <v>54423</v>
      </c>
      <c r="DW10" s="640">
        <f t="shared" si="7"/>
        <v>54513</v>
      </c>
      <c r="DX10" s="641">
        <f t="shared" si="7"/>
        <v>54604</v>
      </c>
      <c r="DY10" s="641">
        <f t="shared" si="7"/>
        <v>54696</v>
      </c>
      <c r="DZ10" s="642">
        <f t="shared" si="7"/>
        <v>54788</v>
      </c>
      <c r="EA10" s="640">
        <f t="shared" si="7"/>
        <v>54878</v>
      </c>
      <c r="EB10" s="641">
        <f t="shared" si="7"/>
        <v>54969</v>
      </c>
      <c r="EC10" s="641">
        <f t="shared" si="7"/>
        <v>55061</v>
      </c>
      <c r="ED10" s="642">
        <f t="shared" si="7"/>
        <v>55153</v>
      </c>
      <c r="EE10" s="640">
        <f t="shared" si="7"/>
        <v>55243</v>
      </c>
      <c r="EF10" s="641">
        <f t="shared" ref="EF10:GD10" si="8">EOMONTH(EE10,3)</f>
        <v>55334</v>
      </c>
      <c r="EG10" s="641">
        <f t="shared" si="8"/>
        <v>55426</v>
      </c>
      <c r="EH10" s="642">
        <f t="shared" si="8"/>
        <v>55518</v>
      </c>
      <c r="EI10" s="640">
        <f t="shared" si="8"/>
        <v>55609</v>
      </c>
      <c r="EJ10" s="641">
        <f t="shared" si="8"/>
        <v>55700</v>
      </c>
      <c r="EK10" s="641">
        <f t="shared" si="8"/>
        <v>55792</v>
      </c>
      <c r="EL10" s="642">
        <f t="shared" si="8"/>
        <v>55884</v>
      </c>
      <c r="EM10" s="640">
        <f t="shared" si="8"/>
        <v>55974</v>
      </c>
      <c r="EN10" s="641">
        <f t="shared" si="8"/>
        <v>56065</v>
      </c>
      <c r="EO10" s="641">
        <f t="shared" si="8"/>
        <v>56157</v>
      </c>
      <c r="EP10" s="642">
        <f t="shared" si="8"/>
        <v>56249</v>
      </c>
      <c r="EQ10" s="640">
        <f t="shared" si="8"/>
        <v>56339</v>
      </c>
      <c r="ER10" s="641">
        <f t="shared" si="8"/>
        <v>56430</v>
      </c>
      <c r="ES10" s="641">
        <f t="shared" si="8"/>
        <v>56522</v>
      </c>
      <c r="ET10" s="642">
        <f t="shared" si="8"/>
        <v>56614</v>
      </c>
      <c r="EU10" s="640">
        <f t="shared" si="8"/>
        <v>56704</v>
      </c>
      <c r="EV10" s="641">
        <f t="shared" si="8"/>
        <v>56795</v>
      </c>
      <c r="EW10" s="641">
        <f t="shared" si="8"/>
        <v>56887</v>
      </c>
      <c r="EX10" s="642">
        <f t="shared" si="8"/>
        <v>56979</v>
      </c>
      <c r="EY10" s="640">
        <f t="shared" si="8"/>
        <v>57070</v>
      </c>
      <c r="EZ10" s="641">
        <f t="shared" si="8"/>
        <v>57161</v>
      </c>
      <c r="FA10" s="641">
        <f t="shared" si="8"/>
        <v>57253</v>
      </c>
      <c r="FB10" s="642">
        <f t="shared" si="8"/>
        <v>57345</v>
      </c>
      <c r="FC10" s="640">
        <f t="shared" si="8"/>
        <v>57435</v>
      </c>
      <c r="FD10" s="641">
        <f t="shared" si="8"/>
        <v>57526</v>
      </c>
      <c r="FE10" s="641">
        <f t="shared" si="8"/>
        <v>57618</v>
      </c>
      <c r="FF10" s="642">
        <f t="shared" si="8"/>
        <v>57710</v>
      </c>
      <c r="FG10" s="640">
        <f t="shared" si="8"/>
        <v>57800</v>
      </c>
      <c r="FH10" s="641">
        <f t="shared" si="8"/>
        <v>57891</v>
      </c>
      <c r="FI10" s="641">
        <f t="shared" si="8"/>
        <v>57983</v>
      </c>
      <c r="FJ10" s="642">
        <f t="shared" si="8"/>
        <v>58075</v>
      </c>
      <c r="FK10" s="640">
        <f t="shared" si="8"/>
        <v>58165</v>
      </c>
      <c r="FL10" s="641">
        <f t="shared" si="8"/>
        <v>58256</v>
      </c>
      <c r="FM10" s="641">
        <f t="shared" si="8"/>
        <v>58348</v>
      </c>
      <c r="FN10" s="642">
        <f t="shared" si="8"/>
        <v>58440</v>
      </c>
      <c r="FO10" s="640">
        <f t="shared" si="8"/>
        <v>58531</v>
      </c>
      <c r="FP10" s="641">
        <f t="shared" si="8"/>
        <v>58622</v>
      </c>
      <c r="FQ10" s="641">
        <f t="shared" si="8"/>
        <v>58714</v>
      </c>
      <c r="FR10" s="642">
        <f t="shared" si="8"/>
        <v>58806</v>
      </c>
      <c r="FS10" s="640">
        <f t="shared" si="8"/>
        <v>58896</v>
      </c>
      <c r="FT10" s="641">
        <f t="shared" si="8"/>
        <v>58987</v>
      </c>
      <c r="FU10" s="641">
        <f t="shared" si="8"/>
        <v>59079</v>
      </c>
      <c r="FV10" s="642">
        <f t="shared" si="8"/>
        <v>59171</v>
      </c>
      <c r="FW10" s="640">
        <f t="shared" si="8"/>
        <v>59261</v>
      </c>
      <c r="FX10" s="641">
        <f t="shared" si="8"/>
        <v>59352</v>
      </c>
      <c r="FY10" s="641">
        <f t="shared" si="8"/>
        <v>59444</v>
      </c>
      <c r="FZ10" s="642">
        <f t="shared" si="8"/>
        <v>59536</v>
      </c>
      <c r="GA10" s="640">
        <f t="shared" si="8"/>
        <v>59626</v>
      </c>
      <c r="GB10" s="641">
        <f t="shared" si="8"/>
        <v>59717</v>
      </c>
      <c r="GC10" s="641">
        <f t="shared" si="8"/>
        <v>59809</v>
      </c>
      <c r="GD10" s="642">
        <f t="shared" si="8"/>
        <v>59901</v>
      </c>
    </row>
    <row r="11" spans="1:186" ht="15" customHeight="1">
      <c r="B11" s="2064"/>
      <c r="C11" s="2067" t="s">
        <v>3744</v>
      </c>
      <c r="D11" s="2068"/>
      <c r="E11" s="2068"/>
      <c r="F11" s="2069">
        <f t="shared" ref="F11:F16" ca="1" si="9">SUM(G11:GD11)</f>
        <v>30293.710654248323</v>
      </c>
      <c r="G11" s="2070">
        <f>'CF(Q)'!W49</f>
        <v>153.81742943846405</v>
      </c>
      <c r="H11" s="2071">
        <f ca="1">'CF(Q)'!X49</f>
        <v>136.8718962685542</v>
      </c>
      <c r="I11" s="2071">
        <f ca="1">'CF(Q)'!Y49</f>
        <v>108.07529580855417</v>
      </c>
      <c r="J11" s="2072">
        <f ca="1">'CF(Q)'!Z49</f>
        <v>58.372855218554172</v>
      </c>
      <c r="K11" s="2070">
        <f ca="1">'CF(Q)'!AA49</f>
        <v>16.724687388554166</v>
      </c>
      <c r="L11" s="2071">
        <f ca="1">'CF(Q)'!AB49</f>
        <v>101.61547263933335</v>
      </c>
      <c r="M11" s="2071">
        <f ca="1">'CF(Q)'!AC49</f>
        <v>170.70014937571219</v>
      </c>
      <c r="N11" s="2072">
        <f ca="1">'CF(Q)'!AD49</f>
        <v>136.87025416571217</v>
      </c>
      <c r="O11" s="2070">
        <f>'CF(Q)'!AE49</f>
        <v>54.096084490000003</v>
      </c>
      <c r="P11" s="2071">
        <f ca="1">'CF(Q)'!AF49</f>
        <v>4.5257455899999997</v>
      </c>
      <c r="Q11" s="2071">
        <f ca="1">'CF(Q)'!AG49</f>
        <v>23.43041886</v>
      </c>
      <c r="R11" s="2072">
        <f ca="1">'CF(Q)'!AH49</f>
        <v>1.2139970799999986</v>
      </c>
      <c r="S11" s="2070">
        <f ca="1">'CF(Q)'!AI49</f>
        <v>7.568004939999998</v>
      </c>
      <c r="T11" s="2071">
        <f ca="1">'CF(Q)'!AJ49</f>
        <v>0</v>
      </c>
      <c r="U11" s="2071">
        <f ca="1">'CF(Q)'!AK49</f>
        <v>7.703740082373173</v>
      </c>
      <c r="V11" s="2072">
        <f ca="1">'CF(Q)'!AL49</f>
        <v>0</v>
      </c>
      <c r="W11" s="2070">
        <f ca="1">'CF(Q)'!AM49</f>
        <v>0</v>
      </c>
      <c r="X11" s="2071">
        <f ca="1">'CF(Q)'!AN49</f>
        <v>11.006923925605868</v>
      </c>
      <c r="Y11" s="2071">
        <f ca="1">'CF(Q)'!AO49</f>
        <v>93.321218000074055</v>
      </c>
      <c r="Z11" s="2072">
        <f ca="1">'CF(Q)'!AP49</f>
        <v>52.631153866597117</v>
      </c>
      <c r="AA11" s="2070">
        <f ca="1">'CF(Q)'!AQ49</f>
        <v>14.926766905465385</v>
      </c>
      <c r="AB11" s="2071">
        <f ca="1">'CF(Q)'!AR49</f>
        <v>0</v>
      </c>
      <c r="AC11" s="2071">
        <f ca="1">'CF(Q)'!AS49</f>
        <v>83.303797979740196</v>
      </c>
      <c r="AD11" s="2072">
        <f ca="1">'CF(Q)'!AT49</f>
        <v>43.333557095176019</v>
      </c>
      <c r="AE11" s="2070">
        <f ca="1">'CF(Q)'!AU49</f>
        <v>7.3600855626918715</v>
      </c>
      <c r="AF11" s="2071">
        <f ca="1">'CF(Q)'!AV49</f>
        <v>0</v>
      </c>
      <c r="AG11" s="2071">
        <f ca="1">'CF(Q)'!AW49</f>
        <v>0.19079295939331331</v>
      </c>
      <c r="AH11" s="2072">
        <f ca="1">'CF(Q)'!AX49</f>
        <v>0</v>
      </c>
      <c r="AI11" s="2070">
        <f ca="1">'CF(Q)'!AY49</f>
        <v>0</v>
      </c>
      <c r="AJ11" s="2071">
        <f ca="1">'CF(Q)'!AZ49</f>
        <v>0</v>
      </c>
      <c r="AK11" s="2071">
        <f ca="1">'CF(Q)'!BA49</f>
        <v>0</v>
      </c>
      <c r="AL11" s="2072">
        <f ca="1">'CF(Q)'!BB49</f>
        <v>0</v>
      </c>
      <c r="AM11" s="2070">
        <f ca="1">'CF(Q)'!BC49</f>
        <v>0</v>
      </c>
      <c r="AN11" s="2071">
        <f ca="1">'CF(Q)'!BD49</f>
        <v>8.6785616550103146</v>
      </c>
      <c r="AO11" s="2071">
        <f ca="1">'CF(Q)'!BE49</f>
        <v>12.918193493137036</v>
      </c>
      <c r="AP11" s="2072">
        <f ca="1">'CF(Q)'!BF49</f>
        <v>17.055884568440788</v>
      </c>
      <c r="AQ11" s="2070">
        <f ca="1">'CF(Q)'!BG49</f>
        <v>21.517238126567506</v>
      </c>
      <c r="AR11" s="2071">
        <f ca="1">'CF(Q)'!BH49</f>
        <v>23.745128348828487</v>
      </c>
      <c r="AS11" s="2071">
        <f ca="1">'CF(Q)'!BI49</f>
        <v>31.43080595738946</v>
      </c>
      <c r="AT11" s="2072">
        <f ca="1">'CF(Q)'!BJ49</f>
        <v>37.3902194146727</v>
      </c>
      <c r="AU11" s="2070">
        <f ca="1">'CF(Q)'!BK49</f>
        <v>45.297618743233677</v>
      </c>
      <c r="AV11" s="2071">
        <f ca="1">'CF(Q)'!BL49</f>
        <v>14.621532203535789</v>
      </c>
      <c r="AW11" s="2071">
        <f ca="1">'CF(Q)'!BM49</f>
        <v>17.680676233040678</v>
      </c>
      <c r="AX11" s="2072">
        <f ca="1">'CF(Q)'!BN49</f>
        <v>18.444333133922292</v>
      </c>
      <c r="AY11" s="2070">
        <f ca="1">'CF(Q)'!BO49</f>
        <v>31.691078883427178</v>
      </c>
      <c r="AZ11" s="2071">
        <f ca="1">'CF(Q)'!BP49</f>
        <v>29.926744852443193</v>
      </c>
      <c r="BA11" s="2071">
        <f ca="1">'CF(Q)'!BQ49</f>
        <v>45.919422720671179</v>
      </c>
      <c r="BB11" s="2072">
        <f ca="1">'CF(Q)'!BR49</f>
        <v>59.708989072342305</v>
      </c>
      <c r="BC11" s="2070">
        <f ca="1">'CF(Q)'!BS49</f>
        <v>75.701666940570291</v>
      </c>
      <c r="BD11" s="2071">
        <f ca="1">'CF(Q)'!BT49</f>
        <v>51.717926833646594</v>
      </c>
      <c r="BE11" s="2071">
        <f ca="1">'CF(Q)'!BU49</f>
        <v>62.777983962278384</v>
      </c>
      <c r="BF11" s="2072">
        <f ca="1">'CF(Q)'!BV49</f>
        <v>69.535814125151276</v>
      </c>
      <c r="BG11" s="2070">
        <f ca="1">'CF(Q)'!BW49</f>
        <v>81.295871253783062</v>
      </c>
      <c r="BH11" s="2071">
        <f ca="1">'CF(Q)'!BX49</f>
        <v>68.033580994405241</v>
      </c>
      <c r="BI11" s="2071">
        <f ca="1">'CF(Q)'!BY49</f>
        <v>82.996861415805597</v>
      </c>
      <c r="BJ11" s="2072">
        <f ca="1">'CF(Q)'!BZ49</f>
        <v>94.216635462224559</v>
      </c>
      <c r="BK11" s="2070">
        <f ca="1">'CF(Q)'!CA49</f>
        <v>109.17991588362491</v>
      </c>
      <c r="BL11" s="2071">
        <f ca="1">'CF(Q)'!CB49</f>
        <v>103.10301499551872</v>
      </c>
      <c r="BM11" s="2071">
        <f ca="1">'CF(Q)'!CC49</f>
        <v>127.86430536773558</v>
      </c>
      <c r="BN11" s="2072">
        <f ca="1">'CF(Q)'!CD49</f>
        <v>148.63891725279802</v>
      </c>
      <c r="BO11" s="2070">
        <f ca="1">'CF(Q)'!CE49</f>
        <v>173.4002076250149</v>
      </c>
      <c r="BP11" s="2071">
        <f ca="1">'CF(Q)'!CF49</f>
        <v>151.2863667915492</v>
      </c>
      <c r="BQ11" s="2071">
        <f ca="1">'CF(Q)'!CG49</f>
        <v>168.01476291640148</v>
      </c>
      <c r="BR11" s="2072">
        <f ca="1">'CF(Q)'!CH49</f>
        <v>179.78004869986222</v>
      </c>
      <c r="BS11" s="2070">
        <f ca="1">'CF(Q)'!CI49</f>
        <v>196.5084448247145</v>
      </c>
      <c r="BT11" s="2071">
        <f ca="1">'CF(Q)'!CJ49</f>
        <v>172.41080431043156</v>
      </c>
      <c r="BU11" s="2071">
        <f ca="1">'CF(Q)'!CK49</f>
        <v>185.62394994688236</v>
      </c>
      <c r="BV11" s="2072">
        <f ca="1">'CF(Q)'!CL49</f>
        <v>193.93969687927529</v>
      </c>
      <c r="BW11" s="2070">
        <f ca="1">'CF(Q)'!CM49</f>
        <v>207.15284251572609</v>
      </c>
      <c r="BX11" s="2071">
        <f ca="1">'CF(Q)'!CN49</f>
        <v>182.57118024796017</v>
      </c>
      <c r="BY11" s="2071">
        <f ca="1">'CF(Q)'!CO49</f>
        <v>195.46131896337616</v>
      </c>
      <c r="BZ11" s="2072">
        <f ca="1">'CF(Q)'!CP49</f>
        <v>204.19191491429416</v>
      </c>
      <c r="CA11" s="2070">
        <f ca="1">'CF(Q)'!CQ49</f>
        <v>217.08205362971015</v>
      </c>
      <c r="CB11" s="2071">
        <f ca="1">'CF(Q)'!CR49</f>
        <v>176.09867666140741</v>
      </c>
      <c r="CC11" s="2071">
        <f ca="1">'CF(Q)'!CS49</f>
        <v>197.78679807863739</v>
      </c>
      <c r="CD11" s="2072">
        <f ca="1">'CF(Q)'!CT49</f>
        <v>213.96723319363338</v>
      </c>
      <c r="CE11" s="2070">
        <f ca="1">'CF(Q)'!CU49</f>
        <v>235.65535461086336</v>
      </c>
      <c r="CF11" s="2071">
        <f ca="1">'CF(Q)'!CV49</f>
        <v>185.45857755374988</v>
      </c>
      <c r="CG11" s="2071">
        <f ca="1">'CF(Q)'!CW49</f>
        <v>197.6497565677231</v>
      </c>
      <c r="CH11" s="2072">
        <f ca="1">'CF(Q)'!CX49</f>
        <v>204.59127262933592</v>
      </c>
      <c r="CI11" s="2070">
        <f ca="1">'CF(Q)'!CY49</f>
        <v>216.78245164330914</v>
      </c>
      <c r="CJ11" s="2071">
        <f ca="1">'CF(Q)'!CZ49</f>
        <v>135.94223677922577</v>
      </c>
      <c r="CK11" s="2071">
        <f ca="1">'CF(Q)'!DA49</f>
        <v>130.14273947029619</v>
      </c>
      <c r="CL11" s="2072">
        <f ca="1">'CF(Q)'!DB49</f>
        <v>119.66342609347419</v>
      </c>
      <c r="CM11" s="2070">
        <f ca="1">'CF(Q)'!DC49</f>
        <v>113.86392878454463</v>
      </c>
      <c r="CN11" s="2071">
        <f ca="1">'CF(Q)'!DD49</f>
        <v>52.403668780965617</v>
      </c>
      <c r="CO11" s="2071">
        <f ca="1">'CF(Q)'!DE49</f>
        <v>69.183316324185824</v>
      </c>
      <c r="CP11" s="2072">
        <f ca="1">'CF(Q)'!DF49</f>
        <v>81.195755885627463</v>
      </c>
      <c r="CQ11" s="2070">
        <f ca="1">'CF(Q)'!DG49</f>
        <v>97.97540342884767</v>
      </c>
      <c r="CR11" s="2071">
        <f ca="1">'CF(Q)'!DH49</f>
        <v>26.924029411743348</v>
      </c>
      <c r="CS11" s="2071">
        <f ca="1">'CF(Q)'!DI49</f>
        <v>49.512144184029509</v>
      </c>
      <c r="CT11" s="2072">
        <f ca="1">'CF(Q)'!DJ49</f>
        <v>65.499466090061802</v>
      </c>
      <c r="CU11" s="2070">
        <f ca="1">'CF(Q)'!DK49</f>
        <v>89.787580862347966</v>
      </c>
      <c r="CV11" s="2071">
        <f ca="1">'CF(Q)'!DL49</f>
        <v>18.660337529541721</v>
      </c>
      <c r="CW11" s="2071">
        <f ca="1">'CF(Q)'!DM49</f>
        <v>43.096257958381138</v>
      </c>
      <c r="CX11" s="2072">
        <f ca="1">'CF(Q)'!DN49</f>
        <v>60.486543600551428</v>
      </c>
      <c r="CY11" s="2070">
        <f ca="1">'CF(Q)'!DO49</f>
        <v>84.922464029390852</v>
      </c>
      <c r="CZ11" s="2071">
        <f ca="1">'CF(Q)'!DP49</f>
        <v>19.676152533346723</v>
      </c>
      <c r="DA11" s="2071">
        <f ca="1">'CF(Q)'!DQ49</f>
        <v>50.141620073733918</v>
      </c>
      <c r="DB11" s="2072">
        <f ca="1">'CF(Q)'!DR49</f>
        <v>71.689612717266314</v>
      </c>
      <c r="DC11" s="2070">
        <f ca="1">'CF(Q)'!DS49</f>
        <v>102.15508025765351</v>
      </c>
      <c r="DD11" s="2071">
        <f ca="1">'CF(Q)'!DT49</f>
        <v>26.4974965340799</v>
      </c>
      <c r="DE11" s="2071">
        <f ca="1">'CF(Q)'!DU49</f>
        <v>61.427511455945478</v>
      </c>
      <c r="DF11" s="2072">
        <f ca="1">'CF(Q)'!DV49</f>
        <v>87.682529735490817</v>
      </c>
      <c r="DG11" s="2070">
        <f ca="1">'CF(Q)'!DW49</f>
        <v>122.61254465735639</v>
      </c>
      <c r="DH11" s="2071">
        <f ca="1">'CF(Q)'!DX49</f>
        <v>42.133634486694135</v>
      </c>
      <c r="DI11" s="2071">
        <f ca="1">'CF(Q)'!DY49</f>
        <v>78.860574705321142</v>
      </c>
      <c r="DJ11" s="2072">
        <f ca="1">'CF(Q)'!DZ49</f>
        <v>106.83759610887931</v>
      </c>
      <c r="DK11" s="2070">
        <f ca="1">'CF(Q)'!EA49</f>
        <v>143.56453632750632</v>
      </c>
      <c r="DL11" s="2071">
        <f ca="1">'CF(Q)'!EB49</f>
        <v>61.913022449735919</v>
      </c>
      <c r="DM11" s="2071">
        <f ca="1">'CF(Q)'!EC49</f>
        <v>95.790029545751906</v>
      </c>
      <c r="DN11" s="2072">
        <f ca="1">'CF(Q)'!ED49</f>
        <v>120.0031509133418</v>
      </c>
      <c r="DO11" s="2070">
        <f ca="1">'CF(Q)'!EE49</f>
        <v>153.88015800935779</v>
      </c>
      <c r="DP11" s="2071">
        <f ca="1">'CF(Q)'!EF49</f>
        <v>83.21914381050118</v>
      </c>
      <c r="DQ11" s="2071">
        <f ca="1">'CF(Q)'!EG49</f>
        <v>116.99379651688096</v>
      </c>
      <c r="DR11" s="2072">
        <f ca="1">'CF(Q)'!EH49</f>
        <v>140.71324334413299</v>
      </c>
      <c r="DS11" s="2070">
        <f ca="1">'CF(Q)'!EI49</f>
        <v>174.48789605051277</v>
      </c>
      <c r="DT11" s="2071">
        <f ca="1">'CF(Q)'!EJ49</f>
        <v>139.73570714427208</v>
      </c>
      <c r="DU11" s="2071">
        <f ca="1">'CF(Q)'!EK49</f>
        <v>175.49136063779196</v>
      </c>
      <c r="DV11" s="2072">
        <f ca="1">'CF(Q)'!EL49</f>
        <v>201.81635968733386</v>
      </c>
      <c r="DW11" s="2070">
        <f ca="1">'CF(Q)'!EM49</f>
        <v>237.57201318085373</v>
      </c>
      <c r="DX11" s="2071">
        <f ca="1">'CF(Q)'!EN49</f>
        <v>185.92703535623312</v>
      </c>
      <c r="DY11" s="2071">
        <f ca="1">'CF(Q)'!EO49</f>
        <v>216.20111070040733</v>
      </c>
      <c r="DZ11" s="2072">
        <f ca="1">'CF(Q)'!EP49</f>
        <v>235.76744179688532</v>
      </c>
      <c r="EA11" s="2070">
        <f ca="1">'CF(Q)'!EQ49</f>
        <v>266.0415171410595</v>
      </c>
      <c r="EB11" s="2071">
        <f ca="1">'CF(Q)'!ER49</f>
        <v>233.42956132245047</v>
      </c>
      <c r="EC11" s="2071">
        <f ca="1">'CF(Q)'!ES49</f>
        <v>272.26056599042488</v>
      </c>
      <c r="ED11" s="2072">
        <f ca="1">'CF(Q)'!ET49</f>
        <v>301.47294514680652</v>
      </c>
      <c r="EE11" s="2070">
        <f ca="1">'CF(Q)'!EU49</f>
        <v>340.30394981478094</v>
      </c>
      <c r="EF11" s="2071">
        <f ca="1">'CF(Q)'!EV49</f>
        <v>291.23101047338025</v>
      </c>
      <c r="EG11" s="2071">
        <f ca="1">'CF(Q)'!EW49</f>
        <v>321.31678333508484</v>
      </c>
      <c r="EH11" s="2072">
        <f ca="1">'CF(Q)'!EX49</f>
        <v>340.99936846344451</v>
      </c>
      <c r="EI11" s="2070">
        <f ca="1">'CF(Q)'!EY49</f>
        <v>371.0851413251491</v>
      </c>
      <c r="EJ11" s="2071">
        <f ca="1">'CF(Q)'!EZ49</f>
        <v>320.01909346881524</v>
      </c>
      <c r="EK11" s="2071">
        <f ca="1">'CF(Q)'!FA49</f>
        <v>358.55860159055158</v>
      </c>
      <c r="EL11" s="2072">
        <f ca="1">'CF(Q)'!FB49</f>
        <v>385.36517625917514</v>
      </c>
      <c r="EM11" s="2070">
        <f ca="1">'CF(Q)'!FC49</f>
        <v>423.90468438091148</v>
      </c>
      <c r="EN11" s="2071">
        <f ca="1">'CF(Q)'!FD49</f>
        <v>379.77732848087919</v>
      </c>
      <c r="EO11" s="2071">
        <f ca="1">'CF(Q)'!FE49</f>
        <v>420.75694359357738</v>
      </c>
      <c r="EP11" s="2072">
        <f ca="1">'CF(Q)'!FF49</f>
        <v>450.37880093683623</v>
      </c>
      <c r="EQ11" s="2070">
        <f ca="1">'CF(Q)'!FG49</f>
        <v>491.35841604953441</v>
      </c>
      <c r="ER11" s="2071">
        <f ca="1">'CF(Q)'!FH49</f>
        <v>444.74039849597324</v>
      </c>
      <c r="ES11" s="2071">
        <f ca="1">'CF(Q)'!FI49</f>
        <v>484.36706980021887</v>
      </c>
      <c r="ET11" s="2072">
        <f ca="1">'CF(Q)'!FJ49</f>
        <v>512.54570192452638</v>
      </c>
      <c r="EU11" s="2070">
        <f ca="1">'CF(Q)'!FK49</f>
        <v>552.17237322877202</v>
      </c>
      <c r="EV11" s="2071">
        <f ca="1">'CF(Q)'!FL49</f>
        <v>494.93453988266452</v>
      </c>
      <c r="EW11" s="2071">
        <f ca="1">'CF(Q)'!FM49</f>
        <v>539.53022152000699</v>
      </c>
      <c r="EX11" s="2072">
        <f ca="1">'CF(Q)'!FN49</f>
        <v>570.82153128477603</v>
      </c>
      <c r="EY11" s="2070">
        <f ca="1">'CF(Q)'!FO49</f>
        <v>615.41721292211844</v>
      </c>
      <c r="EZ11" s="2071">
        <f ca="1">'CF(Q)'!FP49</f>
        <v>557.73363532398139</v>
      </c>
      <c r="FA11" s="2071">
        <f ca="1">'CF(Q)'!FQ49</f>
        <v>600.39560319915699</v>
      </c>
      <c r="FB11" s="2072">
        <f ca="1">'CF(Q)'!FR49</f>
        <v>629.70958673103291</v>
      </c>
      <c r="FC11" s="2070">
        <f ca="1">'CF(Q)'!FS49</f>
        <v>672.37155460620852</v>
      </c>
      <c r="FD11" s="2071">
        <f ca="1">'CF(Q)'!FT49</f>
        <v>616.0212473004899</v>
      </c>
      <c r="FE11" s="2071">
        <f ca="1">'CF(Q)'!FU49</f>
        <v>662.47430785551035</v>
      </c>
      <c r="FF11" s="2072">
        <f ca="1">'CF(Q)'!FV49</f>
        <v>695.28322592844791</v>
      </c>
      <c r="FG11" s="2070">
        <f ca="1">'CF(Q)'!FW49</f>
        <v>741.73628648346835</v>
      </c>
      <c r="FH11" s="2071">
        <f ca="1">'CF(Q)'!FX49</f>
        <v>672.79455813269931</v>
      </c>
      <c r="FI11" s="2071">
        <f ca="1">'CF(Q)'!FY49</f>
        <v>716.20152107534977</v>
      </c>
      <c r="FJ11" s="2072">
        <f ca="1">'CF(Q)'!FZ49</f>
        <v>744.79915634007875</v>
      </c>
      <c r="FK11" s="2070">
        <f ca="1">'CF(Q)'!GA49</f>
        <v>788.20611928272922</v>
      </c>
      <c r="FL11" s="2071">
        <f ca="1">'CF(Q)'!GB49</f>
        <v>686.98229446814537</v>
      </c>
      <c r="FM11" s="2071">
        <f>'CF(Q)'!GC49</f>
        <v>0</v>
      </c>
      <c r="FN11" s="2072">
        <f>'CF(Q)'!GD49</f>
        <v>0</v>
      </c>
      <c r="FO11" s="2070">
        <f>'CF(Q)'!GE49</f>
        <v>0</v>
      </c>
      <c r="FP11" s="2071">
        <f>'CF(Q)'!GF49</f>
        <v>0</v>
      </c>
      <c r="FQ11" s="2071">
        <f>'CF(Q)'!GG49</f>
        <v>0</v>
      </c>
      <c r="FR11" s="2072">
        <f>'CF(Q)'!GH49</f>
        <v>0</v>
      </c>
      <c r="FS11" s="2070">
        <f>'CF(Q)'!GI49</f>
        <v>0</v>
      </c>
      <c r="FT11" s="2071">
        <f>'CF(Q)'!GJ49</f>
        <v>0</v>
      </c>
      <c r="FU11" s="2071">
        <f>'CF(Q)'!GK49</f>
        <v>0</v>
      </c>
      <c r="FV11" s="2072">
        <f>'CF(Q)'!GL49</f>
        <v>0</v>
      </c>
      <c r="FW11" s="2070">
        <f>'CF(Q)'!GM49</f>
        <v>0</v>
      </c>
      <c r="FX11" s="2071">
        <f>'CF(Q)'!GN49</f>
        <v>0</v>
      </c>
      <c r="FY11" s="2071">
        <f>'CF(Q)'!GO49</f>
        <v>0</v>
      </c>
      <c r="FZ11" s="2072">
        <f>'CF(Q)'!GP49</f>
        <v>0</v>
      </c>
      <c r="GA11" s="2070">
        <f>'CF(Q)'!GQ49</f>
        <v>0</v>
      </c>
      <c r="GB11" s="2071">
        <f>'CF(Q)'!GR49</f>
        <v>0</v>
      </c>
      <c r="GC11" s="2071">
        <f>'CF(Q)'!GS49</f>
        <v>0</v>
      </c>
      <c r="GD11" s="2072">
        <f>'CF(Q)'!GT49</f>
        <v>0</v>
      </c>
    </row>
    <row r="12" spans="1:186" ht="15" customHeight="1">
      <c r="B12" s="2064"/>
      <c r="C12" s="2073" t="s">
        <v>3745</v>
      </c>
      <c r="D12" s="2064"/>
      <c r="E12" s="2064"/>
      <c r="F12" s="2074">
        <f t="shared" si="9"/>
        <v>0</v>
      </c>
      <c r="G12" s="2075">
        <f>SUM('CF(Q)'!W35:W36)-SUM('CF(Q)'!W40)</f>
        <v>0</v>
      </c>
      <c r="H12" s="2076">
        <f>SUM('CF(Q)'!X35:X36)-SUM('CF(Q)'!X40)</f>
        <v>0</v>
      </c>
      <c r="I12" s="2076">
        <f>SUM('CF(Q)'!Y35:Y36)-SUM('CF(Q)'!Y40)</f>
        <v>0</v>
      </c>
      <c r="J12" s="2077">
        <f>SUM('CF(Q)'!Z35:Z36)-SUM('CF(Q)'!Z40)</f>
        <v>0</v>
      </c>
      <c r="K12" s="2075">
        <f>SUM('CF(Q)'!AA35:AA36)-SUM('CF(Q)'!AA40)</f>
        <v>0</v>
      </c>
      <c r="L12" s="2076">
        <f>SUM('CF(Q)'!AB35:AB36)-SUM('CF(Q)'!AB40)</f>
        <v>0</v>
      </c>
      <c r="M12" s="2076">
        <f>SUM('CF(Q)'!AC35:AC36)-SUM('CF(Q)'!AC40)</f>
        <v>0</v>
      </c>
      <c r="N12" s="2077">
        <f>SUM('CF(Q)'!AD35:AD36)-SUM('CF(Q)'!AD40)</f>
        <v>0</v>
      </c>
      <c r="O12" s="2075">
        <f>SUM('CF(Q)'!AE35:AE36)-SUM('CF(Q)'!AE40)</f>
        <v>0</v>
      </c>
      <c r="P12" s="2076">
        <f>SUM('CF(Q)'!AF35:AF36)-SUM('CF(Q)'!AF40)</f>
        <v>0</v>
      </c>
      <c r="Q12" s="2076">
        <f>SUM('CF(Q)'!AG35:AG36)-SUM('CF(Q)'!AG40)</f>
        <v>0</v>
      </c>
      <c r="R12" s="2077">
        <f>SUM('CF(Q)'!AH35:AH36)-SUM('CF(Q)'!AH40)</f>
        <v>0</v>
      </c>
      <c r="S12" s="2075">
        <f>SUM('CF(Q)'!AI35:AI36)-SUM('CF(Q)'!AI40)</f>
        <v>0</v>
      </c>
      <c r="T12" s="2076">
        <f>SUM('CF(Q)'!AJ35:AJ36)-SUM('CF(Q)'!AJ40)</f>
        <v>0</v>
      </c>
      <c r="U12" s="2076">
        <f>SUM('CF(Q)'!AK35:AK36)-SUM('CF(Q)'!AK40)</f>
        <v>0</v>
      </c>
      <c r="V12" s="2077">
        <f>SUM('CF(Q)'!AL35:AL36)-SUM('CF(Q)'!AL40)</f>
        <v>0</v>
      </c>
      <c r="W12" s="2075">
        <f>SUM('CF(Q)'!AM35:AM36)-SUM('CF(Q)'!AM40)</f>
        <v>0</v>
      </c>
      <c r="X12" s="2076">
        <f>SUM('CF(Q)'!AN35:AN36)-SUM('CF(Q)'!AN40)</f>
        <v>0</v>
      </c>
      <c r="Y12" s="2076">
        <f>SUM('CF(Q)'!AO35:AO36)-SUM('CF(Q)'!AO40)</f>
        <v>0</v>
      </c>
      <c r="Z12" s="2077">
        <f>SUM('CF(Q)'!AP35:AP36)-SUM('CF(Q)'!AP40)</f>
        <v>0</v>
      </c>
      <c r="AA12" s="2075">
        <f>SUM('CF(Q)'!AQ35:AQ36)-SUM('CF(Q)'!AQ40)</f>
        <v>0</v>
      </c>
      <c r="AB12" s="2076">
        <f>SUM('CF(Q)'!AR35:AR36)-SUM('CF(Q)'!AR40)</f>
        <v>0</v>
      </c>
      <c r="AC12" s="2076">
        <f>SUM('CF(Q)'!AS35:AS36)-SUM('CF(Q)'!AS40)</f>
        <v>0</v>
      </c>
      <c r="AD12" s="2077">
        <f>SUM('CF(Q)'!AT35:AT36)-SUM('CF(Q)'!AT40)</f>
        <v>0</v>
      </c>
      <c r="AE12" s="2075">
        <f>SUM('CF(Q)'!AU35:AU36)-SUM('CF(Q)'!AU40)</f>
        <v>0</v>
      </c>
      <c r="AF12" s="2076">
        <f>SUM('CF(Q)'!AV35:AV36)-SUM('CF(Q)'!AV40)</f>
        <v>0</v>
      </c>
      <c r="AG12" s="2076">
        <f>SUM('CF(Q)'!AW35:AW36)-SUM('CF(Q)'!AW40)</f>
        <v>0</v>
      </c>
      <c r="AH12" s="2077">
        <f>SUM('CF(Q)'!AX35:AX36)-SUM('CF(Q)'!AX40)</f>
        <v>0</v>
      </c>
      <c r="AI12" s="2075">
        <f>SUM('CF(Q)'!AY35:AY36)-SUM('CF(Q)'!AY40)</f>
        <v>0</v>
      </c>
      <c r="AJ12" s="2076">
        <f>SUM('CF(Q)'!AZ35:AZ36)-SUM('CF(Q)'!AZ40)</f>
        <v>0</v>
      </c>
      <c r="AK12" s="2076">
        <f>SUM('CF(Q)'!BA35:BA36)-SUM('CF(Q)'!BA40)</f>
        <v>0</v>
      </c>
      <c r="AL12" s="2077">
        <f>SUM('CF(Q)'!BB35:BB36)-SUM('CF(Q)'!BB40)</f>
        <v>0</v>
      </c>
      <c r="AM12" s="2075">
        <f>SUM('CF(Q)'!BC35:BC36)-SUM('CF(Q)'!BC40)</f>
        <v>0</v>
      </c>
      <c r="AN12" s="2076">
        <f>SUM('CF(Q)'!BD35:BD36)-SUM('CF(Q)'!BD40)</f>
        <v>0</v>
      </c>
      <c r="AO12" s="2076">
        <f>SUM('CF(Q)'!BE35:BE36)-SUM('CF(Q)'!BE40)</f>
        <v>0</v>
      </c>
      <c r="AP12" s="2077">
        <f>SUM('CF(Q)'!BF35:BF36)-SUM('CF(Q)'!BF40)</f>
        <v>0</v>
      </c>
      <c r="AQ12" s="2075">
        <f>SUM('CF(Q)'!BG35:BG36)-SUM('CF(Q)'!BG40)</f>
        <v>0</v>
      </c>
      <c r="AR12" s="2076">
        <f>SUM('CF(Q)'!BH35:BH36)-SUM('CF(Q)'!BH40)</f>
        <v>0</v>
      </c>
      <c r="AS12" s="2076">
        <f>SUM('CF(Q)'!BI35:BI36)-SUM('CF(Q)'!BI40)</f>
        <v>0</v>
      </c>
      <c r="AT12" s="2077">
        <f>SUM('CF(Q)'!BJ35:BJ36)-SUM('CF(Q)'!BJ40)</f>
        <v>0</v>
      </c>
      <c r="AU12" s="2075">
        <f>SUM('CF(Q)'!BK35:BK36)-SUM('CF(Q)'!BK40)</f>
        <v>0</v>
      </c>
      <c r="AV12" s="2076">
        <f>SUM('CF(Q)'!BL35:BL36)-SUM('CF(Q)'!BL40)</f>
        <v>0</v>
      </c>
      <c r="AW12" s="2076">
        <f>SUM('CF(Q)'!BM35:BM36)-SUM('CF(Q)'!BM40)</f>
        <v>0</v>
      </c>
      <c r="AX12" s="2077">
        <f>SUM('CF(Q)'!BN35:BN36)-SUM('CF(Q)'!BN40)</f>
        <v>0</v>
      </c>
      <c r="AY12" s="2075">
        <f>SUM('CF(Q)'!BO35:BO36)-SUM('CF(Q)'!BO40)</f>
        <v>0</v>
      </c>
      <c r="AZ12" s="2076">
        <f>SUM('CF(Q)'!BP35:BP36)-SUM('CF(Q)'!BP40)</f>
        <v>0</v>
      </c>
      <c r="BA12" s="2076">
        <f>SUM('CF(Q)'!BQ35:BQ36)-SUM('CF(Q)'!BQ40)</f>
        <v>0</v>
      </c>
      <c r="BB12" s="2077">
        <f>SUM('CF(Q)'!BR35:BR36)-SUM('CF(Q)'!BR40)</f>
        <v>0</v>
      </c>
      <c r="BC12" s="2075">
        <f>SUM('CF(Q)'!BS35:BS36)-SUM('CF(Q)'!BS40)</f>
        <v>0</v>
      </c>
      <c r="BD12" s="2076">
        <f>SUM('CF(Q)'!BT35:BT36)-SUM('CF(Q)'!BT40)</f>
        <v>0</v>
      </c>
      <c r="BE12" s="2076">
        <f>SUM('CF(Q)'!BU35:BU36)-SUM('CF(Q)'!BU40)</f>
        <v>0</v>
      </c>
      <c r="BF12" s="2077">
        <f>SUM('CF(Q)'!BV35:BV36)-SUM('CF(Q)'!BV40)</f>
        <v>0</v>
      </c>
      <c r="BG12" s="2075">
        <f>SUM('CF(Q)'!BW35:BW36)-SUM('CF(Q)'!BW40)</f>
        <v>0</v>
      </c>
      <c r="BH12" s="2076">
        <f>SUM('CF(Q)'!BX35:BX36)-SUM('CF(Q)'!BX40)</f>
        <v>0</v>
      </c>
      <c r="BI12" s="2076">
        <f>SUM('CF(Q)'!BY35:BY36)-SUM('CF(Q)'!BY40)</f>
        <v>0</v>
      </c>
      <c r="BJ12" s="2077">
        <f>SUM('CF(Q)'!BZ35:BZ36)-SUM('CF(Q)'!BZ40)</f>
        <v>0</v>
      </c>
      <c r="BK12" s="2075">
        <f>SUM('CF(Q)'!CA35:CA36)-SUM('CF(Q)'!CA40)</f>
        <v>0</v>
      </c>
      <c r="BL12" s="2076">
        <f>SUM('CF(Q)'!CB35:CB36)-SUM('CF(Q)'!CB40)</f>
        <v>0</v>
      </c>
      <c r="BM12" s="2076">
        <f>SUM('CF(Q)'!CC35:CC36)-SUM('CF(Q)'!CC40)</f>
        <v>0</v>
      </c>
      <c r="BN12" s="2077">
        <f>SUM('CF(Q)'!CD35:CD36)-SUM('CF(Q)'!CD40)</f>
        <v>0</v>
      </c>
      <c r="BO12" s="2075">
        <f>SUM('CF(Q)'!CE35:CE36)-SUM('CF(Q)'!CE40)</f>
        <v>0</v>
      </c>
      <c r="BP12" s="2076">
        <f>SUM('CF(Q)'!CF35:CF36)-SUM('CF(Q)'!CF40)</f>
        <v>0</v>
      </c>
      <c r="BQ12" s="2076">
        <f>SUM('CF(Q)'!CG35:CG36)-SUM('CF(Q)'!CG40)</f>
        <v>0</v>
      </c>
      <c r="BR12" s="2077">
        <f>SUM('CF(Q)'!CH35:CH36)-SUM('CF(Q)'!CH40)</f>
        <v>0</v>
      </c>
      <c r="BS12" s="2075">
        <f>SUM('CF(Q)'!CI35:CI36)-SUM('CF(Q)'!CI40)</f>
        <v>0</v>
      </c>
      <c r="BT12" s="2076">
        <f>SUM('CF(Q)'!CJ35:CJ36)-SUM('CF(Q)'!CJ40)</f>
        <v>0</v>
      </c>
      <c r="BU12" s="2076">
        <f>SUM('CF(Q)'!CK35:CK36)-SUM('CF(Q)'!CK40)</f>
        <v>0</v>
      </c>
      <c r="BV12" s="2077">
        <f>SUM('CF(Q)'!CL35:CL36)-SUM('CF(Q)'!CL40)</f>
        <v>0</v>
      </c>
      <c r="BW12" s="2075">
        <f>SUM('CF(Q)'!CM35:CM36)-SUM('CF(Q)'!CM40)</f>
        <v>0</v>
      </c>
      <c r="BX12" s="2076">
        <f>SUM('CF(Q)'!CN35:CN36)-SUM('CF(Q)'!CN40)</f>
        <v>0</v>
      </c>
      <c r="BY12" s="2076">
        <f>SUM('CF(Q)'!CO35:CO36)-SUM('CF(Q)'!CO40)</f>
        <v>0</v>
      </c>
      <c r="BZ12" s="2077">
        <f>SUM('CF(Q)'!CP35:CP36)-SUM('CF(Q)'!CP40)</f>
        <v>0</v>
      </c>
      <c r="CA12" s="2075">
        <f>SUM('CF(Q)'!CQ35:CQ36)-SUM('CF(Q)'!CQ40)</f>
        <v>0</v>
      </c>
      <c r="CB12" s="2076">
        <f>SUM('CF(Q)'!CR35:CR36)-SUM('CF(Q)'!CR40)</f>
        <v>0</v>
      </c>
      <c r="CC12" s="2076">
        <f>SUM('CF(Q)'!CS35:CS36)-SUM('CF(Q)'!CS40)</f>
        <v>0</v>
      </c>
      <c r="CD12" s="2077">
        <f>SUM('CF(Q)'!CT35:CT36)-SUM('CF(Q)'!CT40)</f>
        <v>0</v>
      </c>
      <c r="CE12" s="2075">
        <f>SUM('CF(Q)'!CU35:CU36)-SUM('CF(Q)'!CU40)</f>
        <v>0</v>
      </c>
      <c r="CF12" s="2076">
        <f>SUM('CF(Q)'!CV35:CV36)-SUM('CF(Q)'!CV40)</f>
        <v>0</v>
      </c>
      <c r="CG12" s="2076">
        <f>SUM('CF(Q)'!CW35:CW36)-SUM('CF(Q)'!CW40)</f>
        <v>0</v>
      </c>
      <c r="CH12" s="2077">
        <f>SUM('CF(Q)'!CX35:CX36)-SUM('CF(Q)'!CX40)</f>
        <v>0</v>
      </c>
      <c r="CI12" s="2075">
        <f>SUM('CF(Q)'!CY35:CY36)-SUM('CF(Q)'!CY40)</f>
        <v>0</v>
      </c>
      <c r="CJ12" s="2076">
        <f>SUM('CF(Q)'!CZ35:CZ36)-SUM('CF(Q)'!CZ40)</f>
        <v>0</v>
      </c>
      <c r="CK12" s="2076">
        <f>SUM('CF(Q)'!DA35:DA36)-SUM('CF(Q)'!DA40)</f>
        <v>0</v>
      </c>
      <c r="CL12" s="2077">
        <f>SUM('CF(Q)'!DB35:DB36)-SUM('CF(Q)'!DB40)</f>
        <v>0</v>
      </c>
      <c r="CM12" s="2075">
        <f>SUM('CF(Q)'!DC35:DC36)-SUM('CF(Q)'!DC40)</f>
        <v>0</v>
      </c>
      <c r="CN12" s="2076">
        <f>SUM('CF(Q)'!DD35:DD36)-SUM('CF(Q)'!DD40)</f>
        <v>0</v>
      </c>
      <c r="CO12" s="2076">
        <f>SUM('CF(Q)'!DE35:DE36)-SUM('CF(Q)'!DE40)</f>
        <v>0</v>
      </c>
      <c r="CP12" s="2077">
        <f>SUM('CF(Q)'!DF35:DF36)-SUM('CF(Q)'!DF40)</f>
        <v>0</v>
      </c>
      <c r="CQ12" s="2075">
        <f>SUM('CF(Q)'!DG35:DG36)-SUM('CF(Q)'!DG40)</f>
        <v>0</v>
      </c>
      <c r="CR12" s="2076">
        <f>SUM('CF(Q)'!DH35:DH36)-SUM('CF(Q)'!DH40)</f>
        <v>0</v>
      </c>
      <c r="CS12" s="2076">
        <f>SUM('CF(Q)'!DI35:DI36)-SUM('CF(Q)'!DI40)</f>
        <v>0</v>
      </c>
      <c r="CT12" s="2077">
        <f>SUM('CF(Q)'!DJ35:DJ36)-SUM('CF(Q)'!DJ40)</f>
        <v>0</v>
      </c>
      <c r="CU12" s="2075">
        <f>SUM('CF(Q)'!DK35:DK36)-SUM('CF(Q)'!DK40)</f>
        <v>0</v>
      </c>
      <c r="CV12" s="2076">
        <f>SUM('CF(Q)'!DL35:DL36)-SUM('CF(Q)'!DL40)</f>
        <v>0</v>
      </c>
      <c r="CW12" s="2076">
        <f>SUM('CF(Q)'!DM35:DM36)-SUM('CF(Q)'!DM40)</f>
        <v>0</v>
      </c>
      <c r="CX12" s="2077">
        <f>SUM('CF(Q)'!DN35:DN36)-SUM('CF(Q)'!DN40)</f>
        <v>0</v>
      </c>
      <c r="CY12" s="2075">
        <f>SUM('CF(Q)'!DO35:DO36)-SUM('CF(Q)'!DO40)</f>
        <v>0</v>
      </c>
      <c r="CZ12" s="2076">
        <f>SUM('CF(Q)'!DP35:DP36)-SUM('CF(Q)'!DP40)</f>
        <v>0</v>
      </c>
      <c r="DA12" s="2076">
        <f>SUM('CF(Q)'!DQ35:DQ36)-SUM('CF(Q)'!DQ40)</f>
        <v>0</v>
      </c>
      <c r="DB12" s="2077">
        <f>SUM('CF(Q)'!DR35:DR36)-SUM('CF(Q)'!DR40)</f>
        <v>0</v>
      </c>
      <c r="DC12" s="2075">
        <f>SUM('CF(Q)'!DS35:DS36)-SUM('CF(Q)'!DS40)</f>
        <v>0</v>
      </c>
      <c r="DD12" s="2076">
        <f>SUM('CF(Q)'!DT35:DT36)-SUM('CF(Q)'!DT40)</f>
        <v>0</v>
      </c>
      <c r="DE12" s="2076">
        <f>SUM('CF(Q)'!DU35:DU36)-SUM('CF(Q)'!DU40)</f>
        <v>0</v>
      </c>
      <c r="DF12" s="2077">
        <f>SUM('CF(Q)'!DV35:DV36)-SUM('CF(Q)'!DV40)</f>
        <v>0</v>
      </c>
      <c r="DG12" s="2075">
        <f>SUM('CF(Q)'!DW35:DW36)-SUM('CF(Q)'!DW40)</f>
        <v>0</v>
      </c>
      <c r="DH12" s="2076">
        <f>SUM('CF(Q)'!DX35:DX36)-SUM('CF(Q)'!DX40)</f>
        <v>0</v>
      </c>
      <c r="DI12" s="2076">
        <f>SUM('CF(Q)'!DY35:DY36)-SUM('CF(Q)'!DY40)</f>
        <v>0</v>
      </c>
      <c r="DJ12" s="2077">
        <f>SUM('CF(Q)'!DZ35:DZ36)-SUM('CF(Q)'!DZ40)</f>
        <v>0</v>
      </c>
      <c r="DK12" s="2075">
        <f>SUM('CF(Q)'!EA35:EA36)-SUM('CF(Q)'!EA40)</f>
        <v>0</v>
      </c>
      <c r="DL12" s="2076">
        <f>SUM('CF(Q)'!EB35:EB36)-SUM('CF(Q)'!EB40)</f>
        <v>0</v>
      </c>
      <c r="DM12" s="2076">
        <f>SUM('CF(Q)'!EC35:EC36)-SUM('CF(Q)'!EC40)</f>
        <v>0</v>
      </c>
      <c r="DN12" s="2077">
        <f>SUM('CF(Q)'!ED35:ED36)-SUM('CF(Q)'!ED40)</f>
        <v>0</v>
      </c>
      <c r="DO12" s="2075">
        <f>SUM('CF(Q)'!EE35:EE36)-SUM('CF(Q)'!EE40)</f>
        <v>0</v>
      </c>
      <c r="DP12" s="2076">
        <f>SUM('CF(Q)'!EF35:EF36)-SUM('CF(Q)'!EF40)</f>
        <v>0</v>
      </c>
      <c r="DQ12" s="2076">
        <f>SUM('CF(Q)'!EG35:EG36)-SUM('CF(Q)'!EG40)</f>
        <v>0</v>
      </c>
      <c r="DR12" s="2077">
        <f>SUM('CF(Q)'!EH35:EH36)-SUM('CF(Q)'!EH40)</f>
        <v>0</v>
      </c>
      <c r="DS12" s="2075">
        <f>SUM('CF(Q)'!EI35:EI36)-SUM('CF(Q)'!EI40)</f>
        <v>0</v>
      </c>
      <c r="DT12" s="2076">
        <f>SUM('CF(Q)'!EJ35:EJ36)-SUM('CF(Q)'!EJ40)</f>
        <v>0</v>
      </c>
      <c r="DU12" s="2076">
        <f>SUM('CF(Q)'!EK35:EK36)-SUM('CF(Q)'!EK40)</f>
        <v>0</v>
      </c>
      <c r="DV12" s="2077">
        <f>SUM('CF(Q)'!EL35:EL36)-SUM('CF(Q)'!EL40)</f>
        <v>0</v>
      </c>
      <c r="DW12" s="2075">
        <f>SUM('CF(Q)'!EM35:EM36)-SUM('CF(Q)'!EM40)</f>
        <v>0</v>
      </c>
      <c r="DX12" s="2076">
        <f>SUM('CF(Q)'!EN35:EN36)-SUM('CF(Q)'!EN40)</f>
        <v>0</v>
      </c>
      <c r="DY12" s="2076">
        <f>SUM('CF(Q)'!EO35:EO36)-SUM('CF(Q)'!EO40)</f>
        <v>0</v>
      </c>
      <c r="DZ12" s="2077">
        <f>SUM('CF(Q)'!EP35:EP36)-SUM('CF(Q)'!EP40)</f>
        <v>0</v>
      </c>
      <c r="EA12" s="2075">
        <f>SUM('CF(Q)'!EQ35:EQ36)-SUM('CF(Q)'!EQ40)</f>
        <v>0</v>
      </c>
      <c r="EB12" s="2076">
        <f>SUM('CF(Q)'!ER35:ER36)-SUM('CF(Q)'!ER40)</f>
        <v>0</v>
      </c>
      <c r="EC12" s="2076">
        <f>SUM('CF(Q)'!ES35:ES36)-SUM('CF(Q)'!ES40)</f>
        <v>0</v>
      </c>
      <c r="ED12" s="2077">
        <f>SUM('CF(Q)'!ET35:ET36)-SUM('CF(Q)'!ET40)</f>
        <v>0</v>
      </c>
      <c r="EE12" s="2075">
        <f>SUM('CF(Q)'!EU35:EU36)-SUM('CF(Q)'!EU40)</f>
        <v>0</v>
      </c>
      <c r="EF12" s="2076">
        <f>SUM('CF(Q)'!EV35:EV36)-SUM('CF(Q)'!EV40)</f>
        <v>0</v>
      </c>
      <c r="EG12" s="2076">
        <f>SUM('CF(Q)'!EW35:EW36)-SUM('CF(Q)'!EW40)</f>
        <v>0</v>
      </c>
      <c r="EH12" s="2077">
        <f>SUM('CF(Q)'!EX35:EX36)-SUM('CF(Q)'!EX40)</f>
        <v>0</v>
      </c>
      <c r="EI12" s="2075">
        <f>SUM('CF(Q)'!EY35:EY36)-SUM('CF(Q)'!EY40)</f>
        <v>0</v>
      </c>
      <c r="EJ12" s="2076">
        <f>SUM('CF(Q)'!EZ35:EZ36)-SUM('CF(Q)'!EZ40)</f>
        <v>0</v>
      </c>
      <c r="EK12" s="2076">
        <f>SUM('CF(Q)'!FA35:FA36)-SUM('CF(Q)'!FA40)</f>
        <v>0</v>
      </c>
      <c r="EL12" s="2077">
        <f>SUM('CF(Q)'!FB35:FB36)-SUM('CF(Q)'!FB40)</f>
        <v>0</v>
      </c>
      <c r="EM12" s="2075">
        <f>SUM('CF(Q)'!FC35:FC36)-SUM('CF(Q)'!FC40)</f>
        <v>0</v>
      </c>
      <c r="EN12" s="2076">
        <f>SUM('CF(Q)'!FD35:FD36)-SUM('CF(Q)'!FD40)</f>
        <v>0</v>
      </c>
      <c r="EO12" s="2076">
        <f>SUM('CF(Q)'!FE35:FE36)-SUM('CF(Q)'!FE40)</f>
        <v>0</v>
      </c>
      <c r="EP12" s="2077">
        <f>SUM('CF(Q)'!FF35:FF36)-SUM('CF(Q)'!FF40)</f>
        <v>0</v>
      </c>
      <c r="EQ12" s="2075">
        <f>SUM('CF(Q)'!FG35:FG36)-SUM('CF(Q)'!FG40)</f>
        <v>0</v>
      </c>
      <c r="ER12" s="2076">
        <f>SUM('CF(Q)'!FH35:FH36)-SUM('CF(Q)'!FH40)</f>
        <v>0</v>
      </c>
      <c r="ES12" s="2076">
        <f>SUM('CF(Q)'!FI35:FI36)-SUM('CF(Q)'!FI40)</f>
        <v>0</v>
      </c>
      <c r="ET12" s="2077">
        <f>SUM('CF(Q)'!FJ35:FJ36)-SUM('CF(Q)'!FJ40)</f>
        <v>0</v>
      </c>
      <c r="EU12" s="2075">
        <f>SUM('CF(Q)'!FK35:FK36)-SUM('CF(Q)'!FK40)</f>
        <v>0</v>
      </c>
      <c r="EV12" s="2076">
        <f>SUM('CF(Q)'!FL35:FL36)-SUM('CF(Q)'!FL40)</f>
        <v>0</v>
      </c>
      <c r="EW12" s="2076">
        <f>SUM('CF(Q)'!FM35:FM36)-SUM('CF(Q)'!FM40)</f>
        <v>0</v>
      </c>
      <c r="EX12" s="2077">
        <f>SUM('CF(Q)'!FN35:FN36)-SUM('CF(Q)'!FN40)</f>
        <v>0</v>
      </c>
      <c r="EY12" s="2075">
        <f>SUM('CF(Q)'!FO35:FO36)-SUM('CF(Q)'!FO40)</f>
        <v>0</v>
      </c>
      <c r="EZ12" s="2076">
        <f>SUM('CF(Q)'!FP35:FP36)-SUM('CF(Q)'!FP40)</f>
        <v>0</v>
      </c>
      <c r="FA12" s="2076">
        <f>SUM('CF(Q)'!FQ35:FQ36)-SUM('CF(Q)'!FQ40)</f>
        <v>0</v>
      </c>
      <c r="FB12" s="2077">
        <f>SUM('CF(Q)'!FR35:FR36)-SUM('CF(Q)'!FR40)</f>
        <v>0</v>
      </c>
      <c r="FC12" s="2075">
        <f>SUM('CF(Q)'!FS35:FS36)-SUM('CF(Q)'!FS40)</f>
        <v>0</v>
      </c>
      <c r="FD12" s="2076">
        <f>SUM('CF(Q)'!FT35:FT36)-SUM('CF(Q)'!FT40)</f>
        <v>0</v>
      </c>
      <c r="FE12" s="2076">
        <f>SUM('CF(Q)'!FU35:FU36)-SUM('CF(Q)'!FU40)</f>
        <v>0</v>
      </c>
      <c r="FF12" s="2077">
        <f>SUM('CF(Q)'!FV35:FV36)-SUM('CF(Q)'!FV40)</f>
        <v>0</v>
      </c>
      <c r="FG12" s="2075">
        <f>SUM('CF(Q)'!FW35:FW36)-SUM('CF(Q)'!FW40)</f>
        <v>0</v>
      </c>
      <c r="FH12" s="2076">
        <f>SUM('CF(Q)'!FX35:FX36)-SUM('CF(Q)'!FX40)</f>
        <v>0</v>
      </c>
      <c r="FI12" s="2076">
        <f>SUM('CF(Q)'!FY35:FY36)-SUM('CF(Q)'!FY40)</f>
        <v>0</v>
      </c>
      <c r="FJ12" s="2077">
        <f>SUM('CF(Q)'!FZ35:FZ36)-SUM('CF(Q)'!FZ40)</f>
        <v>0</v>
      </c>
      <c r="FK12" s="2075">
        <f>SUM('CF(Q)'!GA35:GA36)-SUM('CF(Q)'!GA40)</f>
        <v>0</v>
      </c>
      <c r="FL12" s="2076">
        <f>SUM('CF(Q)'!GB35:GB36)-SUM('CF(Q)'!GB40)</f>
        <v>0</v>
      </c>
      <c r="FM12" s="2076">
        <f>SUM('CF(Q)'!GC35:GC36)-SUM('CF(Q)'!GC40)</f>
        <v>0</v>
      </c>
      <c r="FN12" s="2077">
        <f>SUM('CF(Q)'!GD35:GD36)-SUM('CF(Q)'!GD40)</f>
        <v>0</v>
      </c>
      <c r="FO12" s="2075">
        <f>SUM('CF(Q)'!GE35:GE36)-SUM('CF(Q)'!GE40)</f>
        <v>0</v>
      </c>
      <c r="FP12" s="2076">
        <f>SUM('CF(Q)'!GF35:GF36)-SUM('CF(Q)'!GF40)</f>
        <v>0</v>
      </c>
      <c r="FQ12" s="2076">
        <f>SUM('CF(Q)'!GG35:GG36)-SUM('CF(Q)'!GG40)</f>
        <v>0</v>
      </c>
      <c r="FR12" s="2077">
        <f>SUM('CF(Q)'!GH35:GH36)-SUM('CF(Q)'!GH40)</f>
        <v>0</v>
      </c>
      <c r="FS12" s="2075">
        <f>SUM('CF(Q)'!GI35:GI36)-SUM('CF(Q)'!GI40)</f>
        <v>0</v>
      </c>
      <c r="FT12" s="2076">
        <f>SUM('CF(Q)'!GJ35:GJ36)-SUM('CF(Q)'!GJ40)</f>
        <v>0</v>
      </c>
      <c r="FU12" s="2076">
        <f>SUM('CF(Q)'!GK35:GK36)-SUM('CF(Q)'!GK40)</f>
        <v>0</v>
      </c>
      <c r="FV12" s="2077">
        <f>SUM('CF(Q)'!GL35:GL36)-SUM('CF(Q)'!GL40)</f>
        <v>0</v>
      </c>
      <c r="FW12" s="2075">
        <f>SUM('CF(Q)'!GM35:GM36)-SUM('CF(Q)'!GM40)</f>
        <v>0</v>
      </c>
      <c r="FX12" s="2076">
        <f>SUM('CF(Q)'!GN35:GN36)-SUM('CF(Q)'!GN40)</f>
        <v>0</v>
      </c>
      <c r="FY12" s="2076">
        <f>SUM('CF(Q)'!GO35:GO36)-SUM('CF(Q)'!GO40)</f>
        <v>0</v>
      </c>
      <c r="FZ12" s="2077">
        <f>SUM('CF(Q)'!GP35:GP36)-SUM('CF(Q)'!GP40)</f>
        <v>0</v>
      </c>
      <c r="GA12" s="2075">
        <f>SUM('CF(Q)'!GQ35:GQ36)-SUM('CF(Q)'!GQ40)</f>
        <v>0</v>
      </c>
      <c r="GB12" s="2076">
        <f>SUM('CF(Q)'!GR35:GR36)-SUM('CF(Q)'!GR40)</f>
        <v>0</v>
      </c>
      <c r="GC12" s="2076">
        <f>SUM('CF(Q)'!GS35:GS36)-SUM('CF(Q)'!GS40)</f>
        <v>0</v>
      </c>
      <c r="GD12" s="2077">
        <f>SUM('CF(Q)'!GT35:GT36)-SUM('CF(Q)'!GT40)</f>
        <v>0</v>
      </c>
    </row>
    <row r="13" spans="1:186" ht="15" customHeight="1">
      <c r="B13" s="2064"/>
      <c r="C13" s="2073" t="s">
        <v>1100</v>
      </c>
      <c r="D13" s="2064"/>
      <c r="E13" s="2064"/>
      <c r="F13" s="2074">
        <f t="shared" ca="1" si="9"/>
        <v>16886.973616652347</v>
      </c>
      <c r="G13" s="2075">
        <f>SUM('CF(Q)'!W8:W14)</f>
        <v>86.769320339999993</v>
      </c>
      <c r="H13" s="2076">
        <f>SUM('CF(Q)'!X8:X14)</f>
        <v>69.216073510000001</v>
      </c>
      <c r="I13" s="2076">
        <f>SUM('CF(Q)'!Y8:Y14)</f>
        <v>62.702894280000002</v>
      </c>
      <c r="J13" s="2077">
        <f>SUM('CF(Q)'!Z8:Z14)</f>
        <v>58.324454540000005</v>
      </c>
      <c r="K13" s="2075">
        <f>SUM('CF(Q)'!AA8:AA14)</f>
        <v>205.46256185999999</v>
      </c>
      <c r="L13" s="2076">
        <f>SUM('CF(Q)'!AB8:AB14)</f>
        <v>184.17697178000003</v>
      </c>
      <c r="M13" s="2076">
        <f>SUM('CF(Q)'!AC8:AC14)</f>
        <v>83.338324400000005</v>
      </c>
      <c r="N13" s="2077">
        <f>SUM('CF(Q)'!AD8:AD14)</f>
        <v>63.274548150000001</v>
      </c>
      <c r="O13" s="2075">
        <f>SUM('CF(Q)'!AE8:AE14)</f>
        <v>64.050939639999996</v>
      </c>
      <c r="P13" s="2076">
        <f>SUM('CF(Q)'!AF8:AF14)</f>
        <v>145.63800913</v>
      </c>
      <c r="Q13" s="2076">
        <f>SUM('CF(Q)'!AG8:AG14)</f>
        <v>65.025467930000005</v>
      </c>
      <c r="R13" s="2077">
        <f>SUM('CF(Q)'!AH8:AH14)</f>
        <v>66.519047520000001</v>
      </c>
      <c r="S13" s="2075">
        <f>SUM('CF(Q)'!AI8:AI14)</f>
        <v>61.951725201359693</v>
      </c>
      <c r="T13" s="2076">
        <f>SUM('CF(Q)'!AJ8:AJ14)</f>
        <v>123.51215366492741</v>
      </c>
      <c r="U13" s="2076">
        <f>SUM('CF(Q)'!AK8:AK14)</f>
        <v>64.682222526973675</v>
      </c>
      <c r="V13" s="2077">
        <f>SUM('CF(Q)'!AL8:AL14)</f>
        <v>65.860142133666812</v>
      </c>
      <c r="W13" s="2075">
        <f ca="1">SUM('CF(Q)'!AM8:AM14)</f>
        <v>119.65025053877004</v>
      </c>
      <c r="X13" s="2076">
        <f ca="1">SUM('CF(Q)'!AN8:AN14)</f>
        <v>186.11419980259996</v>
      </c>
      <c r="Y13" s="2076">
        <f ca="1">SUM('CF(Q)'!AO8:AO14)</f>
        <v>66.841896672000018</v>
      </c>
      <c r="Z13" s="2077">
        <f ca="1">SUM('CF(Q)'!AP8:AP14)</f>
        <v>66.841896672000018</v>
      </c>
      <c r="AA13" s="2075">
        <f ca="1">SUM('CF(Q)'!AQ8:AQ14)</f>
        <v>70.177079277276022</v>
      </c>
      <c r="AB13" s="2076">
        <f ca="1">SUM('CF(Q)'!AR8:AR14)</f>
        <v>184.38809028950038</v>
      </c>
      <c r="AC13" s="2076">
        <f ca="1">SUM('CF(Q)'!AS8:AS14)</f>
        <v>70.000410277276032</v>
      </c>
      <c r="AD13" s="2077">
        <f ca="1">SUM('CF(Q)'!AT8:AT14)</f>
        <v>70.000410277276032</v>
      </c>
      <c r="AE13" s="2075">
        <f ca="1">SUM('CF(Q)'!AU8:AU14)</f>
        <v>70.179170518648021</v>
      </c>
      <c r="AF13" s="2076">
        <f ca="1">SUM('CF(Q)'!AV8:AV14)</f>
        <v>114.32555621097202</v>
      </c>
      <c r="AG13" s="2076">
        <f ca="1">SUM('CF(Q)'!AW8:AW14)</f>
        <v>70.179170518648021</v>
      </c>
      <c r="AH13" s="2077">
        <f ca="1">SUM('CF(Q)'!AX8:AX14)</f>
        <v>70.179170518648021</v>
      </c>
      <c r="AI13" s="2075">
        <f ca="1">SUM('CF(Q)'!AY8:AY14)</f>
        <v>72.063150875020042</v>
      </c>
      <c r="AJ13" s="2076">
        <f ca="1">SUM('CF(Q)'!AZ8:AZ14)</f>
        <v>72.063150875020042</v>
      </c>
      <c r="AK13" s="2076">
        <f ca="1">SUM('CF(Q)'!BA8:BA14)</f>
        <v>72.063150875020042</v>
      </c>
      <c r="AL13" s="2077">
        <f ca="1">SUM('CF(Q)'!BB8:BB14)</f>
        <v>72.063150875020042</v>
      </c>
      <c r="AM13" s="2075">
        <f ca="1">SUM('CF(Q)'!BC8:BC14)</f>
        <v>76.174478573073799</v>
      </c>
      <c r="AN13" s="2076">
        <f ca="1">SUM('CF(Q)'!BD8:BD14)</f>
        <v>76.174478573073799</v>
      </c>
      <c r="AO13" s="2076">
        <f ca="1">SUM('CF(Q)'!BE8:BE14)</f>
        <v>76.174478573073799</v>
      </c>
      <c r="AP13" s="2077">
        <f ca="1">SUM('CF(Q)'!BF8:BF14)</f>
        <v>76.174478573073799</v>
      </c>
      <c r="AQ13" s="2075">
        <f ca="1">SUM('CF(Q)'!BG8:BG14)</f>
        <v>78.116588232686937</v>
      </c>
      <c r="AR13" s="2076">
        <f ca="1">SUM('CF(Q)'!BH8:BH14)</f>
        <v>78.116588232686937</v>
      </c>
      <c r="AS13" s="2076">
        <f ca="1">SUM('CF(Q)'!BI8:BI14)</f>
        <v>78.116588232686937</v>
      </c>
      <c r="AT13" s="2077">
        <f ca="1">SUM('CF(Q)'!BJ8:BJ14)</f>
        <v>78.116588232686937</v>
      </c>
      <c r="AU13" s="2075">
        <f ca="1">SUM('CF(Q)'!BK8:BK14)</f>
        <v>80.05709077805011</v>
      </c>
      <c r="AV13" s="2076">
        <f ca="1">SUM('CF(Q)'!BL8:BL14)</f>
        <v>80.05709077805011</v>
      </c>
      <c r="AW13" s="2076">
        <f ca="1">SUM('CF(Q)'!BM8:BM14)</f>
        <v>80.05709077805011</v>
      </c>
      <c r="AX13" s="2077">
        <f ca="1">SUM('CF(Q)'!BN8:BN14)</f>
        <v>80.05709077805011</v>
      </c>
      <c r="AY13" s="2075">
        <f ca="1">SUM('CF(Q)'!BO8:BO14)</f>
        <v>84.470249158660693</v>
      </c>
      <c r="AZ13" s="2076">
        <f ca="1">SUM('CF(Q)'!BP8:BP14)</f>
        <v>84.470249158660693</v>
      </c>
      <c r="BA13" s="2076">
        <f ca="1">SUM('CF(Q)'!BQ8:BQ14)</f>
        <v>84.470249158660693</v>
      </c>
      <c r="BB13" s="2077">
        <f ca="1">SUM('CF(Q)'!BR8:BR14)</f>
        <v>84.470249158660693</v>
      </c>
      <c r="BC13" s="2075">
        <f ca="1">SUM('CF(Q)'!BS8:BS14)</f>
        <v>85.271516736471298</v>
      </c>
      <c r="BD13" s="2076">
        <f ca="1">SUM('CF(Q)'!BT8:BT14)</f>
        <v>85.271516736471298</v>
      </c>
      <c r="BE13" s="2076">
        <f ca="1">SUM('CF(Q)'!BU8:BU14)</f>
        <v>85.271516736471298</v>
      </c>
      <c r="BF13" s="2077">
        <f ca="1">SUM('CF(Q)'!BV8:BV14)</f>
        <v>85.271516736471298</v>
      </c>
      <c r="BG13" s="2075">
        <f ca="1">SUM('CF(Q)'!BW8:BW14)</f>
        <v>86.071096844319413</v>
      </c>
      <c r="BH13" s="2076">
        <f ca="1">SUM('CF(Q)'!BX8:BX14)</f>
        <v>86.071096844319413</v>
      </c>
      <c r="BI13" s="2076">
        <f ca="1">SUM('CF(Q)'!BY8:BY14)</f>
        <v>86.071096844319413</v>
      </c>
      <c r="BJ13" s="2077">
        <f ca="1">SUM('CF(Q)'!BZ8:BZ14)</f>
        <v>86.071096844319413</v>
      </c>
      <c r="BK13" s="2075">
        <f ca="1">SUM('CF(Q)'!CA8:CA14)</f>
        <v>89.493509658622813</v>
      </c>
      <c r="BL13" s="2076">
        <f ca="1">SUM('CF(Q)'!CB8:CB14)</f>
        <v>89.493509658622813</v>
      </c>
      <c r="BM13" s="2076">
        <f ca="1">SUM('CF(Q)'!CC8:CC14)</f>
        <v>89.493509658622813</v>
      </c>
      <c r="BN13" s="2077">
        <f ca="1">SUM('CF(Q)'!CD8:CD14)</f>
        <v>89.493509658622813</v>
      </c>
      <c r="BO13" s="2075">
        <f ca="1">SUM('CF(Q)'!CE8:CE14)</f>
        <v>90.318852076242763</v>
      </c>
      <c r="BP13" s="2076">
        <f ca="1">SUM('CF(Q)'!CF8:CF14)</f>
        <v>90.318852076242763</v>
      </c>
      <c r="BQ13" s="2076">
        <f ca="1">SUM('CF(Q)'!CG8:CG14)</f>
        <v>90.318852076242763</v>
      </c>
      <c r="BR13" s="2077">
        <f ca="1">SUM('CF(Q)'!CH8:CH14)</f>
        <v>90.318852076242763</v>
      </c>
      <c r="BS13" s="2075">
        <f ca="1">SUM('CF(Q)'!CI8:CI14)</f>
        <v>91.142422650402068</v>
      </c>
      <c r="BT13" s="2076">
        <f ca="1">SUM('CF(Q)'!CJ8:CJ14)</f>
        <v>91.142422650402068</v>
      </c>
      <c r="BU13" s="2076">
        <f ca="1">SUM('CF(Q)'!CK8:CK14)</f>
        <v>91.142422650402068</v>
      </c>
      <c r="BV13" s="2077">
        <f ca="1">SUM('CF(Q)'!CL8:CL14)</f>
        <v>91.142422650402068</v>
      </c>
      <c r="BW13" s="2075">
        <f ca="1">SUM('CF(Q)'!CM8:CM14)</f>
        <v>94.745868999651009</v>
      </c>
      <c r="BX13" s="2076">
        <f ca="1">SUM('CF(Q)'!CN8:CN14)</f>
        <v>94.745868999651009</v>
      </c>
      <c r="BY13" s="2076">
        <f ca="1">SUM('CF(Q)'!CO8:CO14)</f>
        <v>94.745868999651009</v>
      </c>
      <c r="BZ13" s="2077">
        <f ca="1">SUM('CF(Q)'!CP8:CP14)</f>
        <v>94.745868999651009</v>
      </c>
      <c r="CA13" s="2075">
        <f ca="1">SUM('CF(Q)'!CQ8:CQ14)</f>
        <v>95.59601034289831</v>
      </c>
      <c r="CB13" s="2076">
        <f ca="1">SUM('CF(Q)'!CR8:CR14)</f>
        <v>95.59601034289831</v>
      </c>
      <c r="CC13" s="2076">
        <f ca="1">SUM('CF(Q)'!CS8:CS14)</f>
        <v>95.59601034289831</v>
      </c>
      <c r="CD13" s="2077">
        <f ca="1">SUM('CF(Q)'!CT8:CT14)</f>
        <v>95.59601034289831</v>
      </c>
      <c r="CE13" s="2075">
        <f ca="1">SUM('CF(Q)'!CU8:CU14)</f>
        <v>96.444291250511924</v>
      </c>
      <c r="CF13" s="2076">
        <f ca="1">SUM('CF(Q)'!CV8:CV14)</f>
        <v>96.444291250511924</v>
      </c>
      <c r="CG13" s="2076">
        <f ca="1">SUM('CF(Q)'!CW8:CW14)</f>
        <v>96.444291250511924</v>
      </c>
      <c r="CH13" s="2077">
        <f ca="1">SUM('CF(Q)'!CX8:CX14)</f>
        <v>96.444291250511924</v>
      </c>
      <c r="CI13" s="2075">
        <f ca="1">SUM('CF(Q)'!CY8:CY14)</f>
        <v>100.23663806070773</v>
      </c>
      <c r="CJ13" s="2076">
        <f ca="1">SUM('CF(Q)'!CZ8:CZ14)</f>
        <v>100.23663806070773</v>
      </c>
      <c r="CK13" s="2076">
        <f ca="1">SUM('CF(Q)'!DA8:DA14)</f>
        <v>100.23663806070773</v>
      </c>
      <c r="CL13" s="2077">
        <f ca="1">SUM('CF(Q)'!DB8:DB14)</f>
        <v>100.23663806070773</v>
      </c>
      <c r="CM13" s="2075">
        <f ca="1">SUM('CF(Q)'!DC8:DC14)</f>
        <v>101.11232423000611</v>
      </c>
      <c r="CN13" s="2076">
        <f ca="1">SUM('CF(Q)'!DD8:DD14)</f>
        <v>101.11232423000611</v>
      </c>
      <c r="CO13" s="2076">
        <f ca="1">SUM('CF(Q)'!DE8:DE14)</f>
        <v>101.11232423000611</v>
      </c>
      <c r="CP13" s="2077">
        <f ca="1">SUM('CF(Q)'!DF8:DF14)</f>
        <v>101.11232423000611</v>
      </c>
      <c r="CQ13" s="2075">
        <f ca="1">SUM('CF(Q)'!DG8:DG14)</f>
        <v>101.98605694188917</v>
      </c>
      <c r="CR13" s="2076">
        <f ca="1">SUM('CF(Q)'!DH8:DH14)</f>
        <v>101.98605694188917</v>
      </c>
      <c r="CS13" s="2076">
        <f ca="1">SUM('CF(Q)'!DI8:DI14)</f>
        <v>101.98605694188917</v>
      </c>
      <c r="CT13" s="2077">
        <f ca="1">SUM('CF(Q)'!DJ8:DJ14)</f>
        <v>101.98605694188917</v>
      </c>
      <c r="CU13" s="2075">
        <f ca="1">SUM('CF(Q)'!DK8:DK14)</f>
        <v>105.97548447868373</v>
      </c>
      <c r="CV13" s="2076">
        <f ca="1">SUM('CF(Q)'!DL8:DL14)</f>
        <v>105.97548447868373</v>
      </c>
      <c r="CW13" s="2076">
        <f ca="1">SUM('CF(Q)'!DM8:DM14)</f>
        <v>105.97548447868373</v>
      </c>
      <c r="CX13" s="2077">
        <f ca="1">SUM('CF(Q)'!DN8:DN14)</f>
        <v>105.97548447868373</v>
      </c>
      <c r="CY13" s="2075">
        <f ca="1">SUM('CF(Q)'!DO8:DO14)</f>
        <v>106.87748384810246</v>
      </c>
      <c r="CZ13" s="2076">
        <f ca="1">SUM('CF(Q)'!DP8:DP14)</f>
        <v>106.87748384810246</v>
      </c>
      <c r="DA13" s="2076">
        <f ca="1">SUM('CF(Q)'!DQ8:DQ14)</f>
        <v>106.87748384810246</v>
      </c>
      <c r="DB13" s="2077">
        <f ca="1">SUM('CF(Q)'!DR8:DR14)</f>
        <v>106.87748384810246</v>
      </c>
      <c r="DC13" s="2075">
        <f ca="1">SUM('CF(Q)'!DS8:DS14)</f>
        <v>107.77743208723508</v>
      </c>
      <c r="DD13" s="2076">
        <f ca="1">SUM('CF(Q)'!DT8:DT14)</f>
        <v>107.77743208723508</v>
      </c>
      <c r="DE13" s="2076">
        <f ca="1">SUM('CF(Q)'!DU8:DU14)</f>
        <v>107.77743208723508</v>
      </c>
      <c r="DF13" s="2077">
        <f ca="1">SUM('CF(Q)'!DV8:DV14)</f>
        <v>107.77743208723508</v>
      </c>
      <c r="DG13" s="2075">
        <f ca="1">SUM('CF(Q)'!DW8:DW14)</f>
        <v>111.97244588878995</v>
      </c>
      <c r="DH13" s="2076">
        <f ca="1">SUM('CF(Q)'!DX8:DX14)</f>
        <v>111.97244588878995</v>
      </c>
      <c r="DI13" s="2076">
        <f ca="1">SUM('CF(Q)'!DY8:DY14)</f>
        <v>111.97244588878995</v>
      </c>
      <c r="DJ13" s="2077">
        <f ca="1">SUM('CF(Q)'!DZ8:DZ14)</f>
        <v>111.97244588878995</v>
      </c>
      <c r="DK13" s="2075">
        <f ca="1">SUM('CF(Q)'!EA8:EA14)</f>
        <v>112.90154998508467</v>
      </c>
      <c r="DL13" s="2076">
        <f ca="1">SUM('CF(Q)'!EB8:EB14)</f>
        <v>112.90154998508467</v>
      </c>
      <c r="DM13" s="2076">
        <f ca="1">SUM('CF(Q)'!EC8:EC14)</f>
        <v>112.90154998508467</v>
      </c>
      <c r="DN13" s="2077">
        <f ca="1">SUM('CF(Q)'!ED8:ED14)</f>
        <v>112.90154998508467</v>
      </c>
      <c r="DO13" s="2075">
        <f ca="1">SUM('CF(Q)'!EE8:EE14)</f>
        <v>113.82850039457897</v>
      </c>
      <c r="DP13" s="2076">
        <f ca="1">SUM('CF(Q)'!EF8:EF14)</f>
        <v>113.82850039457897</v>
      </c>
      <c r="DQ13" s="2076">
        <f ca="1">SUM('CF(Q)'!EG8:EG14)</f>
        <v>113.82850039457897</v>
      </c>
      <c r="DR13" s="2077">
        <f ca="1">SUM('CF(Q)'!EH8:EH14)</f>
        <v>113.82850039457897</v>
      </c>
      <c r="DS13" s="2075">
        <f ca="1">SUM('CF(Q)'!EI8:EI14)</f>
        <v>118.23794364902629</v>
      </c>
      <c r="DT13" s="2076">
        <f ca="1">SUM('CF(Q)'!EJ8:EJ14)</f>
        <v>118.23794364902629</v>
      </c>
      <c r="DU13" s="2076">
        <f ca="1">SUM('CF(Q)'!EK8:EK14)</f>
        <v>118.23794364902629</v>
      </c>
      <c r="DV13" s="2077">
        <f ca="1">SUM('CF(Q)'!EL8:EL14)</f>
        <v>118.23794364902629</v>
      </c>
      <c r="DW13" s="2075">
        <f ca="1">SUM('CF(Q)'!EM8:EM14)</f>
        <v>119.19496785129296</v>
      </c>
      <c r="DX13" s="2076">
        <f ca="1">SUM('CF(Q)'!EN8:EN14)</f>
        <v>119.19496785129296</v>
      </c>
      <c r="DY13" s="2076">
        <f ca="1">SUM('CF(Q)'!EO8:EO14)</f>
        <v>119.19496785129296</v>
      </c>
      <c r="DZ13" s="2077">
        <f ca="1">SUM('CF(Q)'!EP8:EP14)</f>
        <v>119.19496785129296</v>
      </c>
      <c r="EA13" s="2075">
        <f ca="1">SUM('CF(Q)'!EQ8:EQ14)</f>
        <v>120.14973068241919</v>
      </c>
      <c r="EB13" s="2076">
        <f ca="1">SUM('CF(Q)'!ER8:ER14)</f>
        <v>120.14973068241919</v>
      </c>
      <c r="EC13" s="2076">
        <f ca="1">SUM('CF(Q)'!ES8:ES14)</f>
        <v>120.14973068241919</v>
      </c>
      <c r="ED13" s="2077">
        <f ca="1">SUM('CF(Q)'!ET8:ET14)</f>
        <v>120.14973068241919</v>
      </c>
      <c r="EE13" s="2075">
        <f ca="1">SUM('CF(Q)'!EU8:EU14)</f>
        <v>124.78279706639216</v>
      </c>
      <c r="EF13" s="2076">
        <f ca="1">SUM('CF(Q)'!EV8:EV14)</f>
        <v>124.78279706639216</v>
      </c>
      <c r="EG13" s="2076">
        <f ca="1">SUM('CF(Q)'!EW8:EW14)</f>
        <v>124.78279706639216</v>
      </c>
      <c r="EH13" s="2077">
        <f ca="1">SUM('CF(Q)'!EX8:EX14)</f>
        <v>124.78279706639216</v>
      </c>
      <c r="EI13" s="2075">
        <f ca="1">SUM('CF(Q)'!EY8:EY14)</f>
        <v>125.76858132696408</v>
      </c>
      <c r="EJ13" s="2076">
        <f ca="1">SUM('CF(Q)'!EZ8:EZ14)</f>
        <v>125.76858132696408</v>
      </c>
      <c r="EK13" s="2076">
        <f ca="1">SUM('CF(Q)'!FA8:FA14)</f>
        <v>125.76858132696408</v>
      </c>
      <c r="EL13" s="2077">
        <f ca="1">SUM('CF(Q)'!FB8:FB14)</f>
        <v>125.76858132696408</v>
      </c>
      <c r="EM13" s="2075">
        <f ca="1">SUM('CF(Q)'!FC8:FC14)</f>
        <v>126.75199114783858</v>
      </c>
      <c r="EN13" s="2076">
        <f ca="1">SUM('CF(Q)'!FD8:FD14)</f>
        <v>126.75199114783858</v>
      </c>
      <c r="EO13" s="2076">
        <f ca="1">SUM('CF(Q)'!FE8:FE14)</f>
        <v>126.75199114783858</v>
      </c>
      <c r="EP13" s="2077">
        <f ca="1">SUM('CF(Q)'!FF8:FF14)</f>
        <v>126.75199114783858</v>
      </c>
      <c r="EQ13" s="2075">
        <f ca="1">SUM('CF(Q)'!FG8:FG14)</f>
        <v>131.6182381431548</v>
      </c>
      <c r="ER13" s="2076">
        <f ca="1">SUM('CF(Q)'!FH8:FH14)</f>
        <v>131.6182381431548</v>
      </c>
      <c r="ES13" s="2076">
        <f ca="1">SUM('CF(Q)'!FI8:FI14)</f>
        <v>131.6182381431548</v>
      </c>
      <c r="ET13" s="2077">
        <f ca="1">SUM('CF(Q)'!FJ8:FJ14)</f>
        <v>131.6182381431548</v>
      </c>
      <c r="EU13" s="2075">
        <f ca="1">SUM('CF(Q)'!FK8:FK14)</f>
        <v>132.63364773039302</v>
      </c>
      <c r="EV13" s="2076">
        <f ca="1">SUM('CF(Q)'!FL8:FL14)</f>
        <v>132.63364773039302</v>
      </c>
      <c r="EW13" s="2076">
        <f ca="1">SUM('CF(Q)'!FM8:FM14)</f>
        <v>132.63364773039302</v>
      </c>
      <c r="EX13" s="2077">
        <f ca="1">SUM('CF(Q)'!FN8:FN14)</f>
        <v>132.63364773039302</v>
      </c>
      <c r="EY13" s="2075">
        <f ca="1">SUM('CF(Q)'!FO8:FO14)</f>
        <v>133.64656415594897</v>
      </c>
      <c r="EZ13" s="2076">
        <f ca="1">SUM('CF(Q)'!FP8:FP14)</f>
        <v>133.64656415594897</v>
      </c>
      <c r="FA13" s="2076">
        <f ca="1">SUM('CF(Q)'!FQ8:FQ14)</f>
        <v>133.64656415594897</v>
      </c>
      <c r="FB13" s="2077">
        <f ca="1">SUM('CF(Q)'!FR8:FR14)</f>
        <v>133.64656415594897</v>
      </c>
      <c r="FC13" s="2075">
        <f ca="1">SUM('CF(Q)'!FS8:FS14)</f>
        <v>138.7559268621674</v>
      </c>
      <c r="FD13" s="2076">
        <f ca="1">SUM('CF(Q)'!FT8:FT14)</f>
        <v>138.7559268621674</v>
      </c>
      <c r="FE13" s="2076">
        <f ca="1">SUM('CF(Q)'!FU8:FU14)</f>
        <v>138.7559268621674</v>
      </c>
      <c r="FF13" s="2077">
        <f ca="1">SUM('CF(Q)'!FV8:FV14)</f>
        <v>138.7559268621674</v>
      </c>
      <c r="FG13" s="2075">
        <f ca="1">SUM('CF(Q)'!FW8:FW14)</f>
        <v>139.80185312581435</v>
      </c>
      <c r="FH13" s="2076">
        <f ca="1">SUM('CF(Q)'!FX8:FX14)</f>
        <v>139.80185312581435</v>
      </c>
      <c r="FI13" s="2076">
        <f ca="1">SUM('CF(Q)'!FY8:FY14)</f>
        <v>139.80185312581435</v>
      </c>
      <c r="FJ13" s="2077">
        <f ca="1">SUM('CF(Q)'!FZ8:FZ14)</f>
        <v>139.80185312581435</v>
      </c>
      <c r="FK13" s="2075">
        <f ca="1">SUM('CF(Q)'!GA8:GA14)</f>
        <v>140.84516156969488</v>
      </c>
      <c r="FL13" s="2076">
        <f ca="1">SUM('CF(Q)'!GB8:GB14)</f>
        <v>140.84516156969488</v>
      </c>
      <c r="FM13" s="2076">
        <f ca="1">SUM('CF(Q)'!GC8:GC14)</f>
        <v>0</v>
      </c>
      <c r="FN13" s="2077">
        <f ca="1">SUM('CF(Q)'!GD8:GD14)</f>
        <v>0</v>
      </c>
      <c r="FO13" s="2075">
        <f>SUM('CF(Q)'!GE8:GE14)</f>
        <v>0</v>
      </c>
      <c r="FP13" s="2076">
        <f>SUM('CF(Q)'!GF8:GF14)</f>
        <v>0</v>
      </c>
      <c r="FQ13" s="2076">
        <f>SUM('CF(Q)'!GG8:GG14)</f>
        <v>0</v>
      </c>
      <c r="FR13" s="2077">
        <f>SUM('CF(Q)'!GH8:GH14)</f>
        <v>0</v>
      </c>
      <c r="FS13" s="2075">
        <f>SUM('CF(Q)'!GI8:GI14)</f>
        <v>0</v>
      </c>
      <c r="FT13" s="2076">
        <f>SUM('CF(Q)'!GJ8:GJ14)</f>
        <v>0</v>
      </c>
      <c r="FU13" s="2076">
        <f>SUM('CF(Q)'!GK8:GK14)</f>
        <v>0</v>
      </c>
      <c r="FV13" s="2077">
        <f>SUM('CF(Q)'!GL8:GL14)</f>
        <v>0</v>
      </c>
      <c r="FW13" s="2075">
        <f>SUM('CF(Q)'!GM8:GM14)</f>
        <v>0</v>
      </c>
      <c r="FX13" s="2076">
        <f>SUM('CF(Q)'!GN8:GN14)</f>
        <v>0</v>
      </c>
      <c r="FY13" s="2076">
        <f>SUM('CF(Q)'!GO8:GO14)</f>
        <v>0</v>
      </c>
      <c r="FZ13" s="2077">
        <f>SUM('CF(Q)'!GP8:GP14)</f>
        <v>0</v>
      </c>
      <c r="GA13" s="2075">
        <f>SUM('CF(Q)'!GQ8:GQ14)</f>
        <v>0</v>
      </c>
      <c r="GB13" s="2076">
        <f>SUM('CF(Q)'!GR8:GR14)</f>
        <v>0</v>
      </c>
      <c r="GC13" s="2076">
        <f>SUM('CF(Q)'!GS8:GS14)</f>
        <v>0</v>
      </c>
      <c r="GD13" s="2077">
        <f>SUM('CF(Q)'!GT8:GT14)</f>
        <v>0</v>
      </c>
    </row>
    <row r="14" spans="1:186" ht="15" customHeight="1">
      <c r="B14" s="2064"/>
      <c r="C14" s="2073" t="s">
        <v>5255</v>
      </c>
      <c r="D14" s="2064"/>
      <c r="E14" s="2064"/>
      <c r="F14" s="2074">
        <f t="shared" ca="1" si="9"/>
        <v>-564.4646117725332</v>
      </c>
      <c r="G14" s="2075">
        <f ca="1">-SUM('CF(Q)'!W26,'CF(Q)'!W25)</f>
        <v>0</v>
      </c>
      <c r="H14" s="2076">
        <f ca="1">-SUM('CF(Q)'!X26,'CF(Q)'!X25)</f>
        <v>0</v>
      </c>
      <c r="I14" s="2076">
        <f ca="1">-SUM('CF(Q)'!Y26,'CF(Q)'!Y25)</f>
        <v>0</v>
      </c>
      <c r="J14" s="2077">
        <f ca="1">-SUM('CF(Q)'!Z26,'CF(Q)'!Z25)</f>
        <v>0</v>
      </c>
      <c r="K14" s="2075">
        <f ca="1">-SUM('CF(Q)'!AA26,'CF(Q)'!AA25)</f>
        <v>-0.89761690000000005</v>
      </c>
      <c r="L14" s="2076">
        <f ca="1">-SUM('CF(Q)'!AB26,'CF(Q)'!AB25)</f>
        <v>-0.37996980000000002</v>
      </c>
      <c r="M14" s="2076">
        <f ca="1">-SUM('CF(Q)'!AC26,'CF(Q)'!AC25)</f>
        <v>-1.8998451999999999</v>
      </c>
      <c r="N14" s="2077">
        <f ca="1">-SUM('CF(Q)'!AD26,'CF(Q)'!AD25)</f>
        <v>0</v>
      </c>
      <c r="O14" s="2075">
        <f ca="1">-SUM('CF(Q)'!AE26,'CF(Q)'!AE25)</f>
        <v>-2.4279343</v>
      </c>
      <c r="P14" s="2076">
        <f ca="1">-SUM('CF(Q)'!AF26,'CF(Q)'!AF25)</f>
        <v>-3.1035064999999999</v>
      </c>
      <c r="Q14" s="2076">
        <f ca="1">-SUM('CF(Q)'!AG26,'CF(Q)'!AG25)</f>
        <v>-3.3778568999999998</v>
      </c>
      <c r="R14" s="2077">
        <f ca="1">-SUM('CF(Q)'!AH26,'CF(Q)'!AH25)</f>
        <v>0</v>
      </c>
      <c r="S14" s="2075">
        <f ca="1">-SUM('CF(Q)'!AI26,'CF(Q)'!AI25)</f>
        <v>-1.1817257093159554</v>
      </c>
      <c r="T14" s="2076">
        <f ca="1">-SUM('CF(Q)'!AJ26,'CF(Q)'!AJ25)</f>
        <v>0</v>
      </c>
      <c r="U14" s="2076">
        <f ca="1">-SUM('CF(Q)'!AK26,'CF(Q)'!AK25)</f>
        <v>-2.6177548046579777</v>
      </c>
      <c r="V14" s="2077">
        <f ca="1">-SUM('CF(Q)'!AL26,'CF(Q)'!AL25)</f>
        <v>0</v>
      </c>
      <c r="W14" s="2075">
        <f ca="1">-SUM('CF(Q)'!AM26,'CF(Q)'!AM25)</f>
        <v>-4.0907390400324157</v>
      </c>
      <c r="X14" s="2076">
        <f ca="1">-SUM('CF(Q)'!AN26,'CF(Q)'!AN25)</f>
        <v>0</v>
      </c>
      <c r="Y14" s="2076">
        <f ca="1">-SUM('CF(Q)'!AO26,'CF(Q)'!AO25)</f>
        <v>-3.3542469223451956</v>
      </c>
      <c r="Z14" s="2077">
        <f ca="1">-SUM('CF(Q)'!AP26,'CF(Q)'!AP25)</f>
        <v>0</v>
      </c>
      <c r="AA14" s="2075">
        <f ca="1">-SUM('CF(Q)'!AQ26,'CF(Q)'!AQ25)</f>
        <v>-5.3210008518148584</v>
      </c>
      <c r="AB14" s="2076">
        <f ca="1">-SUM('CF(Q)'!AR26,'CF(Q)'!AR25)</f>
        <v>0</v>
      </c>
      <c r="AC14" s="2076">
        <f ca="1">-SUM('CF(Q)'!AS26,'CF(Q)'!AS25)</f>
        <v>-4.3376238870800288</v>
      </c>
      <c r="AD14" s="2077">
        <f ca="1">-SUM('CF(Q)'!AT26,'CF(Q)'!AT25)</f>
        <v>0</v>
      </c>
      <c r="AE14" s="2075">
        <f ca="1">-SUM('CF(Q)'!AU26,'CF(Q)'!AU25)</f>
        <v>-5.458964017411212</v>
      </c>
      <c r="AF14" s="2076">
        <f ca="1">-SUM('CF(Q)'!AV26,'CF(Q)'!AV25)</f>
        <v>0</v>
      </c>
      <c r="AG14" s="2076">
        <f ca="1">-SUM('CF(Q)'!AW26,'CF(Q)'!AW25)</f>
        <v>-4.8982939522456208</v>
      </c>
      <c r="AH14" s="2077">
        <f ca="1">-SUM('CF(Q)'!AX26,'CF(Q)'!AX25)</f>
        <v>0</v>
      </c>
      <c r="AI14" s="2075">
        <f ca="1">-SUM('CF(Q)'!AY26,'CF(Q)'!AY25)</f>
        <v>-5.6524938928134318</v>
      </c>
      <c r="AJ14" s="2076">
        <f ca="1">-SUM('CF(Q)'!AZ26,'CF(Q)'!AZ25)</f>
        <v>0</v>
      </c>
      <c r="AK14" s="2076">
        <f ca="1">-SUM('CF(Q)'!BA26,'CF(Q)'!BA25)</f>
        <v>-5.2753939225295294</v>
      </c>
      <c r="AL14" s="2077">
        <f ca="1">-SUM('CF(Q)'!BB26,'CF(Q)'!BB25)</f>
        <v>0</v>
      </c>
      <c r="AM14" s="2075">
        <f ca="1">-SUM('CF(Q)'!BC26,'CF(Q)'!BC25)</f>
        <v>4.8497906768835932</v>
      </c>
      <c r="AN14" s="2076">
        <f ca="1">-SUM('CF(Q)'!BD26,'CF(Q)'!BD25)</f>
        <v>0</v>
      </c>
      <c r="AO14" s="2076">
        <f ca="1">-SUM('CF(Q)'!BE26,'CF(Q)'!BE25)</f>
        <v>-0.21280162282296752</v>
      </c>
      <c r="AP14" s="2077">
        <f ca="1">-SUM('CF(Q)'!BF26,'CF(Q)'!BF25)</f>
        <v>0</v>
      </c>
      <c r="AQ14" s="2075">
        <f ca="1">-SUM('CF(Q)'!BG26,'CF(Q)'!BG25)</f>
        <v>-3.4614483997325038</v>
      </c>
      <c r="AR14" s="2076">
        <f ca="1">-SUM('CF(Q)'!BH26,'CF(Q)'!BH25)</f>
        <v>0</v>
      </c>
      <c r="AS14" s="2076">
        <f ca="1">-SUM('CF(Q)'!BI26,'CF(Q)'!BI25)</f>
        <v>-1.8371250112777331</v>
      </c>
      <c r="AT14" s="2077">
        <f ca="1">-SUM('CF(Q)'!BJ26,'CF(Q)'!BJ25)</f>
        <v>0</v>
      </c>
      <c r="AU14" s="2075">
        <f ca="1">-SUM('CF(Q)'!BK26,'CF(Q)'!BK25)</f>
        <v>-2.9755709659690339</v>
      </c>
      <c r="AV14" s="2076">
        <f ca="1">-SUM('CF(Q)'!BL26,'CF(Q)'!BL25)</f>
        <v>0</v>
      </c>
      <c r="AW14" s="2076">
        <f ca="1">-SUM('CF(Q)'!BM26,'CF(Q)'!BM25)</f>
        <v>-2.4063479886233838</v>
      </c>
      <c r="AX14" s="2077">
        <f ca="1">-SUM('CF(Q)'!BN26,'CF(Q)'!BN25)</f>
        <v>0</v>
      </c>
      <c r="AY14" s="2075">
        <f ca="1">-SUM('CF(Q)'!BO26,'CF(Q)'!BO25)</f>
        <v>-1.999875044490345</v>
      </c>
      <c r="AZ14" s="2076">
        <f ca="1">-SUM('CF(Q)'!BP26,'CF(Q)'!BP25)</f>
        <v>0</v>
      </c>
      <c r="BA14" s="2076">
        <f ca="1">-SUM('CF(Q)'!BQ26,'CF(Q)'!BQ25)</f>
        <v>-2.2031115165568633</v>
      </c>
      <c r="BB14" s="2077">
        <f ca="1">-SUM('CF(Q)'!BR26,'CF(Q)'!BR25)</f>
        <v>0</v>
      </c>
      <c r="BC14" s="2075">
        <f ca="1">-SUM('CF(Q)'!BS26,'CF(Q)'!BS25)</f>
        <v>-6.4013424149609364</v>
      </c>
      <c r="BD14" s="2076">
        <f ca="1">-SUM('CF(Q)'!BT26,'CF(Q)'!BT25)</f>
        <v>0</v>
      </c>
      <c r="BE14" s="2076">
        <f ca="1">-SUM('CF(Q)'!BU26,'CF(Q)'!BU25)</f>
        <v>-4.3022269657588987</v>
      </c>
      <c r="BF14" s="2077">
        <f ca="1">-SUM('CF(Q)'!BV26,'CF(Q)'!BV25)</f>
        <v>0</v>
      </c>
      <c r="BG14" s="2075">
        <f ca="1">-SUM('CF(Q)'!BW26,'CF(Q)'!BW25)</f>
        <v>-3.1847857842038962</v>
      </c>
      <c r="BH14" s="2076">
        <f ca="1">-SUM('CF(Q)'!BX26,'CF(Q)'!BX25)</f>
        <v>0</v>
      </c>
      <c r="BI14" s="2076">
        <f ca="1">-SUM('CF(Q)'!BY26,'CF(Q)'!BY25)</f>
        <v>-3.7435063749813962</v>
      </c>
      <c r="BJ14" s="2077">
        <f ca="1">-SUM('CF(Q)'!BZ26,'CF(Q)'!BZ25)</f>
        <v>0</v>
      </c>
      <c r="BK14" s="2075">
        <f ca="1">-SUM('CF(Q)'!CA26,'CF(Q)'!CA25)</f>
        <v>-4.2298505993274915</v>
      </c>
      <c r="BL14" s="2076">
        <f ca="1">-SUM('CF(Q)'!CB26,'CF(Q)'!CB25)</f>
        <v>0</v>
      </c>
      <c r="BM14" s="2076">
        <f ca="1">-SUM('CF(Q)'!CC26,'CF(Q)'!CC25)</f>
        <v>-3.9866784871544403</v>
      </c>
      <c r="BN14" s="2077">
        <f ca="1">-SUM('CF(Q)'!CD26,'CF(Q)'!CD25)</f>
        <v>0</v>
      </c>
      <c r="BO14" s="2075">
        <f ca="1">-SUM('CF(Q)'!CE26,'CF(Q)'!CE25)</f>
        <v>-5.9395421956286611</v>
      </c>
      <c r="BP14" s="2076">
        <f ca="1">-SUM('CF(Q)'!CF26,'CF(Q)'!CF25)</f>
        <v>0</v>
      </c>
      <c r="BQ14" s="2076">
        <f ca="1">-SUM('CF(Q)'!CG26,'CF(Q)'!CG25)</f>
        <v>-4.9631103413915492</v>
      </c>
      <c r="BR14" s="2077">
        <f ca="1">-SUM('CF(Q)'!CH26,'CF(Q)'!CH25)</f>
        <v>0</v>
      </c>
      <c r="BS14" s="2075">
        <f ca="1">-SUM('CF(Q)'!CI26,'CF(Q)'!CI25)</f>
        <v>-4.8316870667242142</v>
      </c>
      <c r="BT14" s="2076">
        <f ca="1">-SUM('CF(Q)'!CJ26,'CF(Q)'!CJ25)</f>
        <v>0</v>
      </c>
      <c r="BU14" s="2076">
        <f ca="1">-SUM('CF(Q)'!CK26,'CF(Q)'!CK25)</f>
        <v>-4.8973987040578892</v>
      </c>
      <c r="BV14" s="2077">
        <f ca="1">-SUM('CF(Q)'!CL26,'CF(Q)'!CL25)</f>
        <v>0</v>
      </c>
      <c r="BW14" s="2075">
        <f ca="1">-SUM('CF(Q)'!CM26,'CF(Q)'!CM25)</f>
        <v>-3.4216868249380781</v>
      </c>
      <c r="BX14" s="2076">
        <f ca="1">-SUM('CF(Q)'!CN26,'CF(Q)'!CN25)</f>
        <v>0</v>
      </c>
      <c r="BY14" s="2076">
        <f ca="1">-SUM('CF(Q)'!CO26,'CF(Q)'!CO25)</f>
        <v>-4.1595427644979823</v>
      </c>
      <c r="BZ14" s="2077">
        <f ca="1">-SUM('CF(Q)'!CP26,'CF(Q)'!CP25)</f>
        <v>0</v>
      </c>
      <c r="CA14" s="2075">
        <f ca="1">-SUM('CF(Q)'!CQ26,'CF(Q)'!CQ25)</f>
        <v>-6.8558298399699851</v>
      </c>
      <c r="CB14" s="2076">
        <f ca="1">-SUM('CF(Q)'!CR26,'CF(Q)'!CR25)</f>
        <v>0</v>
      </c>
      <c r="CC14" s="2076">
        <f ca="1">-SUM('CF(Q)'!CS26,'CF(Q)'!CS25)</f>
        <v>-5.5076863022339877</v>
      </c>
      <c r="CD14" s="2077">
        <f ca="1">-SUM('CF(Q)'!CT26,'CF(Q)'!CT25)</f>
        <v>0</v>
      </c>
      <c r="CE14" s="2075">
        <f ca="1">-SUM('CF(Q)'!CU26,'CF(Q)'!CU25)</f>
        <v>-4.9916396024867993</v>
      </c>
      <c r="CF14" s="2076">
        <f ca="1">-SUM('CF(Q)'!CV26,'CF(Q)'!CV25)</f>
        <v>0</v>
      </c>
      <c r="CG14" s="2076">
        <f ca="1">-SUM('CF(Q)'!CW26,'CF(Q)'!CW25)</f>
        <v>-5.249662952360393</v>
      </c>
      <c r="CH14" s="2077">
        <f ca="1">-SUM('CF(Q)'!CX26,'CF(Q)'!CX25)</f>
        <v>0</v>
      </c>
      <c r="CI14" s="2075">
        <f ca="1">-SUM('CF(Q)'!CY26,'CF(Q)'!CY25)</f>
        <v>-4.1099691834245107</v>
      </c>
      <c r="CJ14" s="2076">
        <f ca="1">-SUM('CF(Q)'!CZ26,'CF(Q)'!CZ25)</f>
        <v>0</v>
      </c>
      <c r="CK14" s="2076">
        <f ca="1">-SUM('CF(Q)'!DA26,'CF(Q)'!DA25)</f>
        <v>-4.679816067892447</v>
      </c>
      <c r="CL14" s="2077">
        <f ca="1">-SUM('CF(Q)'!DB26,'CF(Q)'!DB25)</f>
        <v>0</v>
      </c>
      <c r="CM14" s="2075">
        <f ca="1">-SUM('CF(Q)'!DC26,'CF(Q)'!DC25)</f>
        <v>-4.854599895664677</v>
      </c>
      <c r="CN14" s="2076">
        <f ca="1">-SUM('CF(Q)'!DD26,'CF(Q)'!DD25)</f>
        <v>0</v>
      </c>
      <c r="CO14" s="2076">
        <f ca="1">-SUM('CF(Q)'!DE26,'CF(Q)'!DE25)</f>
        <v>-4.7672079817785624</v>
      </c>
      <c r="CP14" s="2077">
        <f ca="1">-SUM('CF(Q)'!DF26,'CF(Q)'!DF25)</f>
        <v>0</v>
      </c>
      <c r="CQ14" s="2075">
        <f ca="1">-SUM('CF(Q)'!DG26,'CF(Q)'!DG25)</f>
        <v>-8.4343777507291975</v>
      </c>
      <c r="CR14" s="2076">
        <f ca="1">-SUM('CF(Q)'!DH26,'CF(Q)'!DH25)</f>
        <v>0</v>
      </c>
      <c r="CS14" s="2076">
        <f ca="1">-SUM('CF(Q)'!DI26,'CF(Q)'!DI25)</f>
        <v>-6.6007928662538653</v>
      </c>
      <c r="CT14" s="2077">
        <f ca="1">-SUM('CF(Q)'!DJ26,'CF(Q)'!DJ25)</f>
        <v>0</v>
      </c>
      <c r="CU14" s="2075">
        <f ca="1">-SUM('CF(Q)'!DK26,'CF(Q)'!DK25)</f>
        <v>-7.4904767070843548</v>
      </c>
      <c r="CV14" s="2076">
        <f ca="1">-SUM('CF(Q)'!DL26,'CF(Q)'!DL25)</f>
        <v>0</v>
      </c>
      <c r="CW14" s="2076">
        <f ca="1">-SUM('CF(Q)'!DM26,'CF(Q)'!DM25)</f>
        <v>-7.0456347866691296</v>
      </c>
      <c r="CX14" s="2077">
        <f ca="1">-SUM('CF(Q)'!DN26,'CF(Q)'!DN25)</f>
        <v>0</v>
      </c>
      <c r="CY14" s="2075">
        <f ca="1">-SUM('CF(Q)'!DO26,'CF(Q)'!DO25)</f>
        <v>-10.789315007040472</v>
      </c>
      <c r="CZ14" s="2076">
        <f ca="1">-SUM('CF(Q)'!DP26,'CF(Q)'!DP25)</f>
        <v>0</v>
      </c>
      <c r="DA14" s="2076">
        <f ca="1">-SUM('CF(Q)'!DQ26,'CF(Q)'!DQ25)</f>
        <v>-8.9174748968547988</v>
      </c>
      <c r="DB14" s="2077">
        <f ca="1">-SUM('CF(Q)'!DR26,'CF(Q)'!DR25)</f>
        <v>0</v>
      </c>
      <c r="DC14" s="2075">
        <f ca="1">-SUM('CF(Q)'!DS26,'CF(Q)'!DS25)</f>
        <v>-8.4325183877856773</v>
      </c>
      <c r="DD14" s="2076">
        <f ca="1">-SUM('CF(Q)'!DT26,'CF(Q)'!DT25)</f>
        <v>0</v>
      </c>
      <c r="DE14" s="2076">
        <f ca="1">-SUM('CF(Q)'!DU26,'CF(Q)'!DU25)</f>
        <v>-8.674996642320238</v>
      </c>
      <c r="DF14" s="2077">
        <f ca="1">-SUM('CF(Q)'!DV26,'CF(Q)'!DV25)</f>
        <v>0</v>
      </c>
      <c r="DG14" s="2075">
        <f ca="1">-SUM('CF(Q)'!DW26,'CF(Q)'!DW25)</f>
        <v>-8.8248409878173959</v>
      </c>
      <c r="DH14" s="2076">
        <f ca="1">-SUM('CF(Q)'!DX26,'CF(Q)'!DX25)</f>
        <v>0</v>
      </c>
      <c r="DI14" s="2076">
        <f ca="1">-SUM('CF(Q)'!DY26,'CF(Q)'!DY25)</f>
        <v>-8.7499188150688294</v>
      </c>
      <c r="DJ14" s="2077">
        <f ca="1">-SUM('CF(Q)'!DZ26,'CF(Q)'!DZ25)</f>
        <v>0</v>
      </c>
      <c r="DK14" s="2075">
        <f ca="1">-SUM('CF(Q)'!EA26,'CF(Q)'!EA25)</f>
        <v>-10.577852641783352</v>
      </c>
      <c r="DL14" s="2076">
        <f ca="1">-SUM('CF(Q)'!EB26,'CF(Q)'!EB25)</f>
        <v>0</v>
      </c>
      <c r="DM14" s="2076">
        <f ca="1">-SUM('CF(Q)'!EC26,'CF(Q)'!EC25)</f>
        <v>-9.6638857284261146</v>
      </c>
      <c r="DN14" s="2077">
        <f ca="1">-SUM('CF(Q)'!ED26,'CF(Q)'!ED25)</f>
        <v>0</v>
      </c>
      <c r="DO14" s="2075">
        <f ca="1">-SUM('CF(Q)'!EE26,'CF(Q)'!EE25)</f>
        <v>-10.446526029829329</v>
      </c>
      <c r="DP14" s="2076">
        <f ca="1">-SUM('CF(Q)'!EF26,'CF(Q)'!EF25)</f>
        <v>0</v>
      </c>
      <c r="DQ14" s="2076">
        <f ca="1">-SUM('CF(Q)'!EG26,'CF(Q)'!EG25)</f>
        <v>-10.055205879127737</v>
      </c>
      <c r="DR14" s="2077">
        <f ca="1">-SUM('CF(Q)'!EH26,'CF(Q)'!EH25)</f>
        <v>0</v>
      </c>
      <c r="DS14" s="2075">
        <f ca="1">-SUM('CF(Q)'!EI26,'CF(Q)'!EI25)</f>
        <v>-8.8061030088281882</v>
      </c>
      <c r="DT14" s="2076">
        <f ca="1">-SUM('CF(Q)'!EJ26,'CF(Q)'!EJ25)</f>
        <v>0</v>
      </c>
      <c r="DU14" s="2076">
        <f ca="1">-SUM('CF(Q)'!EK26,'CF(Q)'!EK25)</f>
        <v>-9.4306544439779714</v>
      </c>
      <c r="DV14" s="2077">
        <f ca="1">-SUM('CF(Q)'!EL26,'CF(Q)'!EL25)</f>
        <v>0</v>
      </c>
      <c r="DW14" s="2075">
        <f ca="1">-SUM('CF(Q)'!EM26,'CF(Q)'!EM25)</f>
        <v>-11.984834051414396</v>
      </c>
      <c r="DX14" s="2076">
        <f ca="1">-SUM('CF(Q)'!EN26,'CF(Q)'!EN25)</f>
        <v>0</v>
      </c>
      <c r="DY14" s="2076">
        <f ca="1">-SUM('CF(Q)'!EO26,'CF(Q)'!EO25)</f>
        <v>-10.707744247696194</v>
      </c>
      <c r="DZ14" s="2077">
        <f ca="1">-SUM('CF(Q)'!EP26,'CF(Q)'!EP25)</f>
        <v>0</v>
      </c>
      <c r="EA14" s="2075">
        <f ca="1">-SUM('CF(Q)'!EQ26,'CF(Q)'!EQ25)</f>
        <v>-8.5295067754893807</v>
      </c>
      <c r="EB14" s="2076">
        <f ca="1">-SUM('CF(Q)'!ER26,'CF(Q)'!ER25)</f>
        <v>0</v>
      </c>
      <c r="EC14" s="2076">
        <f ca="1">-SUM('CF(Q)'!ES26,'CF(Q)'!ES25)</f>
        <v>-9.6186255115928017</v>
      </c>
      <c r="ED14" s="2077">
        <f ca="1">-SUM('CF(Q)'!ET26,'CF(Q)'!ET25)</f>
        <v>0</v>
      </c>
      <c r="EE14" s="2075">
        <f ca="1">-SUM('CF(Q)'!EU26,'CF(Q)'!EU25)</f>
        <v>-11.187749955096933</v>
      </c>
      <c r="EF14" s="2076">
        <f ca="1">-SUM('CF(Q)'!EV26,'CF(Q)'!EV25)</f>
        <v>0</v>
      </c>
      <c r="EG14" s="2076">
        <f ca="1">-SUM('CF(Q)'!EW26,'CF(Q)'!EW25)</f>
        <v>-10.403187733344883</v>
      </c>
      <c r="EH14" s="2077">
        <f ca="1">-SUM('CF(Q)'!EX26,'CF(Q)'!EX25)</f>
        <v>0</v>
      </c>
      <c r="EI14" s="2075">
        <f ca="1">-SUM('CF(Q)'!EY26,'CF(Q)'!EY25)</f>
        <v>-13.062679172880564</v>
      </c>
      <c r="EJ14" s="2076">
        <f ca="1">-SUM('CF(Q)'!EZ26,'CF(Q)'!EZ25)</f>
        <v>0</v>
      </c>
      <c r="EK14" s="2076">
        <f ca="1">-SUM('CF(Q)'!FA26,'CF(Q)'!FA25)</f>
        <v>-11.732933453112745</v>
      </c>
      <c r="EL14" s="2077">
        <f ca="1">-SUM('CF(Q)'!FB26,'CF(Q)'!FB25)</f>
        <v>0</v>
      </c>
      <c r="EM14" s="2075">
        <f ca="1">-SUM('CF(Q)'!FC26,'CF(Q)'!FC25)</f>
        <v>-10.982582085766012</v>
      </c>
      <c r="EN14" s="2076">
        <f ca="1">-SUM('CF(Q)'!FD26,'CF(Q)'!FD25)</f>
        <v>0</v>
      </c>
      <c r="EO14" s="2076">
        <f ca="1">-SUM('CF(Q)'!FE26,'CF(Q)'!FE25)</f>
        <v>-11.357757769439365</v>
      </c>
      <c r="EP14" s="2077">
        <f ca="1">-SUM('CF(Q)'!FF26,'CF(Q)'!FF25)</f>
        <v>0</v>
      </c>
      <c r="EQ14" s="2075">
        <f ca="1">-SUM('CF(Q)'!FG26,'CF(Q)'!FG25)</f>
        <v>-11.538320590436854</v>
      </c>
      <c r="ER14" s="2076">
        <f ca="1">-SUM('CF(Q)'!FH26,'CF(Q)'!FH25)</f>
        <v>0</v>
      </c>
      <c r="ES14" s="2076">
        <f ca="1">-SUM('CF(Q)'!FI26,'CF(Q)'!FI25)</f>
        <v>-11.448039179938164</v>
      </c>
      <c r="ET14" s="2077">
        <f ca="1">-SUM('CF(Q)'!FJ26,'CF(Q)'!FJ25)</f>
        <v>0</v>
      </c>
      <c r="EU14" s="2075">
        <f ca="1">-SUM('CF(Q)'!FK26,'CF(Q)'!FK25)</f>
        <v>-15.160704565208562</v>
      </c>
      <c r="EV14" s="2076">
        <f ca="1">-SUM('CF(Q)'!FL26,'CF(Q)'!FL25)</f>
        <v>0</v>
      </c>
      <c r="EW14" s="2076">
        <f ca="1">-SUM('CF(Q)'!FM26,'CF(Q)'!FM25)</f>
        <v>-13.304371872573338</v>
      </c>
      <c r="EX14" s="2077">
        <f ca="1">-SUM('CF(Q)'!FN26,'CF(Q)'!FN25)</f>
        <v>0</v>
      </c>
      <c r="EY14" s="2075">
        <f ca="1">-SUM('CF(Q)'!FO26,'CF(Q)'!FO25)</f>
        <v>-13.391596814025888</v>
      </c>
      <c r="EZ14" s="2076">
        <f ca="1">-SUM('CF(Q)'!FP26,'CF(Q)'!FP25)</f>
        <v>0</v>
      </c>
      <c r="FA14" s="2076">
        <f ca="1">-SUM('CF(Q)'!FQ26,'CF(Q)'!FQ25)</f>
        <v>-13.347984343299624</v>
      </c>
      <c r="FB14" s="2077">
        <f ca="1">-SUM('CF(Q)'!FR26,'CF(Q)'!FR25)</f>
        <v>0</v>
      </c>
      <c r="FC14" s="2075">
        <f ca="1">-SUM('CF(Q)'!FS26,'CF(Q)'!FS25)</f>
        <v>-13.940300620866083</v>
      </c>
      <c r="FD14" s="2076">
        <f ca="1">-SUM('CF(Q)'!FT26,'CF(Q)'!FT25)</f>
        <v>0</v>
      </c>
      <c r="FE14" s="2076">
        <f ca="1">-SUM('CF(Q)'!FU26,'CF(Q)'!FU25)</f>
        <v>-13.644142482082861</v>
      </c>
      <c r="FF14" s="2077">
        <f ca="1">-SUM('CF(Q)'!FV26,'CF(Q)'!FV25)</f>
        <v>0</v>
      </c>
      <c r="FG14" s="2075">
        <f ca="1">-SUM('CF(Q)'!FW26,'CF(Q)'!FW25)</f>
        <v>-15.974512873760204</v>
      </c>
      <c r="FH14" s="2076">
        <f ca="1">-SUM('CF(Q)'!FX26,'CF(Q)'!FX25)</f>
        <v>0</v>
      </c>
      <c r="FI14" s="2076">
        <f ca="1">-SUM('CF(Q)'!FY26,'CF(Q)'!FY25)</f>
        <v>-14.809327677921504</v>
      </c>
      <c r="FJ14" s="2077">
        <f ca="1">-SUM('CF(Q)'!FZ26,'CF(Q)'!FZ25)</f>
        <v>0</v>
      </c>
      <c r="FK14" s="2075">
        <f ca="1">-SUM('CF(Q)'!GA26,'CF(Q)'!GA25)</f>
        <v>-15.121981594717568</v>
      </c>
      <c r="FL14" s="2076">
        <f ca="1">-SUM('CF(Q)'!GB26,'CF(Q)'!GB25)</f>
        <v>-0.67592700000019157</v>
      </c>
      <c r="FM14" s="2076">
        <f ca="1">-SUM('CF(Q)'!GC26,'CF(Q)'!GC25)</f>
        <v>0</v>
      </c>
      <c r="FN14" s="2077">
        <f ca="1">-SUM('CF(Q)'!GD26,'CF(Q)'!GD25)</f>
        <v>0</v>
      </c>
      <c r="FO14" s="2075">
        <f>-SUM('CF(Q)'!GE26,'CF(Q)'!GE25)</f>
        <v>0</v>
      </c>
      <c r="FP14" s="2076">
        <f>-SUM('CF(Q)'!GF26,'CF(Q)'!GF25)</f>
        <v>0</v>
      </c>
      <c r="FQ14" s="2076">
        <f>-SUM('CF(Q)'!GG26,'CF(Q)'!GG25)</f>
        <v>0</v>
      </c>
      <c r="FR14" s="2077">
        <f>-SUM('CF(Q)'!GH26,'CF(Q)'!GH25)</f>
        <v>0</v>
      </c>
      <c r="FS14" s="2075">
        <f>-SUM('CF(Q)'!GI26,'CF(Q)'!GI25)</f>
        <v>0</v>
      </c>
      <c r="FT14" s="2076">
        <f>-SUM('CF(Q)'!GJ26,'CF(Q)'!GJ25)</f>
        <v>0</v>
      </c>
      <c r="FU14" s="2076">
        <f>-SUM('CF(Q)'!GK26,'CF(Q)'!GK25)</f>
        <v>0</v>
      </c>
      <c r="FV14" s="2077">
        <f>-SUM('CF(Q)'!GL26,'CF(Q)'!GL25)</f>
        <v>0</v>
      </c>
      <c r="FW14" s="2075">
        <f>-SUM('CF(Q)'!GM26,'CF(Q)'!GM25)</f>
        <v>0</v>
      </c>
      <c r="FX14" s="2076">
        <f>-SUM('CF(Q)'!GN26,'CF(Q)'!GN25)</f>
        <v>0</v>
      </c>
      <c r="FY14" s="2076">
        <f>-SUM('CF(Q)'!GO26,'CF(Q)'!GO25)</f>
        <v>0</v>
      </c>
      <c r="FZ14" s="2077">
        <f>-SUM('CF(Q)'!GP26,'CF(Q)'!GP25)</f>
        <v>0</v>
      </c>
      <c r="GA14" s="2075">
        <f>-SUM('CF(Q)'!GQ26,'CF(Q)'!GQ25)</f>
        <v>0</v>
      </c>
      <c r="GB14" s="2076">
        <f>-SUM('CF(Q)'!GR26,'CF(Q)'!GR25)</f>
        <v>0</v>
      </c>
      <c r="GC14" s="2076">
        <f>-SUM('CF(Q)'!GS26,'CF(Q)'!GS25)</f>
        <v>0</v>
      </c>
      <c r="GD14" s="2077">
        <f>-SUM('CF(Q)'!GT26,'CF(Q)'!GT25)</f>
        <v>0</v>
      </c>
    </row>
    <row r="15" spans="1:186" s="4924" customFormat="1" ht="15" customHeight="1">
      <c r="B15" s="5375"/>
      <c r="C15" s="5376" t="s">
        <v>3746</v>
      </c>
      <c r="D15" s="5375"/>
      <c r="E15" s="5375"/>
      <c r="F15" s="2074">
        <f t="shared" ca="1" si="9"/>
        <v>12.024793651871445</v>
      </c>
      <c r="G15" s="2075">
        <f>'CF(Q)'!W47</f>
        <v>0</v>
      </c>
      <c r="H15" s="2076">
        <f>'CF(Q)'!X47</f>
        <v>0</v>
      </c>
      <c r="I15" s="2076">
        <f>'CF(Q)'!Y47</f>
        <v>0</v>
      </c>
      <c r="J15" s="2077">
        <f>'CF(Q)'!Z47</f>
        <v>0</v>
      </c>
      <c r="K15" s="2075">
        <f>'CF(Q)'!AA47</f>
        <v>0</v>
      </c>
      <c r="L15" s="2076">
        <f>'CF(Q)'!AB47</f>
        <v>0</v>
      </c>
      <c r="M15" s="2076">
        <f>'CF(Q)'!AC47</f>
        <v>0</v>
      </c>
      <c r="N15" s="2077">
        <f>'CF(Q)'!AD47</f>
        <v>0</v>
      </c>
      <c r="O15" s="2075">
        <f ca="1">'CF(Q)'!AE47</f>
        <v>-1.3134273399999898</v>
      </c>
      <c r="P15" s="2076">
        <f ca="1">'CF(Q)'!AF47</f>
        <v>1.728236791793929</v>
      </c>
      <c r="Q15" s="2076">
        <f ca="1">'CF(Q)'!AG47</f>
        <v>0.89708453333333082</v>
      </c>
      <c r="R15" s="2077">
        <f ca="1">'CF(Q)'!AH47</f>
        <v>10.712899666744175</v>
      </c>
      <c r="S15" s="2075">
        <f>'CF(Q)'!AI47</f>
        <v>0</v>
      </c>
      <c r="T15" s="2076">
        <f>'CF(Q)'!AJ47</f>
        <v>0</v>
      </c>
      <c r="U15" s="2076">
        <f>'CF(Q)'!AK47</f>
        <v>0</v>
      </c>
      <c r="V15" s="2077">
        <f>'CF(Q)'!AL47</f>
        <v>0</v>
      </c>
      <c r="W15" s="2075">
        <f>'CF(Q)'!AM47</f>
        <v>0</v>
      </c>
      <c r="X15" s="2076">
        <f>'CF(Q)'!AN47</f>
        <v>0</v>
      </c>
      <c r="Y15" s="2076">
        <f>'CF(Q)'!AO47</f>
        <v>0</v>
      </c>
      <c r="Z15" s="2077">
        <f>'CF(Q)'!AP47</f>
        <v>0</v>
      </c>
      <c r="AA15" s="2075">
        <f>'CF(Q)'!AQ47</f>
        <v>0</v>
      </c>
      <c r="AB15" s="2076">
        <f>'CF(Q)'!AR47</f>
        <v>0</v>
      </c>
      <c r="AC15" s="2076">
        <f>'CF(Q)'!AS47</f>
        <v>0</v>
      </c>
      <c r="AD15" s="2077">
        <f>'CF(Q)'!AT47</f>
        <v>0</v>
      </c>
      <c r="AE15" s="2075">
        <f>'CF(Q)'!AU47</f>
        <v>0</v>
      </c>
      <c r="AF15" s="2076">
        <f>'CF(Q)'!AV47</f>
        <v>0</v>
      </c>
      <c r="AG15" s="2076">
        <f>'CF(Q)'!AW47</f>
        <v>0</v>
      </c>
      <c r="AH15" s="2077">
        <f>'CF(Q)'!AX47</f>
        <v>0</v>
      </c>
      <c r="AI15" s="2075">
        <f>'CF(Q)'!AY47</f>
        <v>0</v>
      </c>
      <c r="AJ15" s="2076">
        <f>'CF(Q)'!AZ47</f>
        <v>0</v>
      </c>
      <c r="AK15" s="2076">
        <f>'CF(Q)'!BA47</f>
        <v>0</v>
      </c>
      <c r="AL15" s="2077">
        <f>'CF(Q)'!BB47</f>
        <v>0</v>
      </c>
      <c r="AM15" s="2075">
        <f>'CF(Q)'!BC47</f>
        <v>0</v>
      </c>
      <c r="AN15" s="2076">
        <f>'CF(Q)'!BD47</f>
        <v>0</v>
      </c>
      <c r="AO15" s="2076">
        <f>'CF(Q)'!BE47</f>
        <v>0</v>
      </c>
      <c r="AP15" s="2077">
        <f>'CF(Q)'!BF47</f>
        <v>0</v>
      </c>
      <c r="AQ15" s="2075">
        <f>'CF(Q)'!BG47</f>
        <v>0</v>
      </c>
      <c r="AR15" s="2076">
        <f>'CF(Q)'!BH47</f>
        <v>0</v>
      </c>
      <c r="AS15" s="2076">
        <f>'CF(Q)'!BI47</f>
        <v>0</v>
      </c>
      <c r="AT15" s="2077">
        <f>'CF(Q)'!BJ47</f>
        <v>0</v>
      </c>
      <c r="AU15" s="2075">
        <f>'CF(Q)'!BK47</f>
        <v>0</v>
      </c>
      <c r="AV15" s="2076">
        <f>'CF(Q)'!BL47</f>
        <v>0</v>
      </c>
      <c r="AW15" s="2076">
        <f>'CF(Q)'!BM47</f>
        <v>0</v>
      </c>
      <c r="AX15" s="2077">
        <f>'CF(Q)'!BN47</f>
        <v>0</v>
      </c>
      <c r="AY15" s="2075">
        <f>'CF(Q)'!BO47</f>
        <v>0</v>
      </c>
      <c r="AZ15" s="2076">
        <f>'CF(Q)'!BP47</f>
        <v>0</v>
      </c>
      <c r="BA15" s="2076">
        <f>'CF(Q)'!BQ47</f>
        <v>0</v>
      </c>
      <c r="BB15" s="2077">
        <f>'CF(Q)'!BR47</f>
        <v>0</v>
      </c>
      <c r="BC15" s="2075">
        <f>'CF(Q)'!BS47</f>
        <v>0</v>
      </c>
      <c r="BD15" s="2076">
        <f>'CF(Q)'!BT47</f>
        <v>0</v>
      </c>
      <c r="BE15" s="2076">
        <f>'CF(Q)'!BU47</f>
        <v>0</v>
      </c>
      <c r="BF15" s="2077">
        <f>'CF(Q)'!BV47</f>
        <v>0</v>
      </c>
      <c r="BG15" s="2075">
        <f>'CF(Q)'!BW47</f>
        <v>0</v>
      </c>
      <c r="BH15" s="2076">
        <f>'CF(Q)'!BX47</f>
        <v>0</v>
      </c>
      <c r="BI15" s="2076">
        <f>'CF(Q)'!BY47</f>
        <v>0</v>
      </c>
      <c r="BJ15" s="2077">
        <f>'CF(Q)'!BZ47</f>
        <v>0</v>
      </c>
      <c r="BK15" s="2075">
        <f>'CF(Q)'!CA47</f>
        <v>0</v>
      </c>
      <c r="BL15" s="2076">
        <f>'CF(Q)'!CB47</f>
        <v>0</v>
      </c>
      <c r="BM15" s="2076">
        <f>'CF(Q)'!CC47</f>
        <v>0</v>
      </c>
      <c r="BN15" s="2077">
        <f>'CF(Q)'!CD47</f>
        <v>0</v>
      </c>
      <c r="BO15" s="2075">
        <f>'CF(Q)'!CE47</f>
        <v>0</v>
      </c>
      <c r="BP15" s="2076">
        <f>'CF(Q)'!CF47</f>
        <v>0</v>
      </c>
      <c r="BQ15" s="2076">
        <f>'CF(Q)'!CG47</f>
        <v>0</v>
      </c>
      <c r="BR15" s="2077">
        <f>'CF(Q)'!CH47</f>
        <v>0</v>
      </c>
      <c r="BS15" s="2075">
        <f>'CF(Q)'!CI47</f>
        <v>0</v>
      </c>
      <c r="BT15" s="2076">
        <f>'CF(Q)'!CJ47</f>
        <v>0</v>
      </c>
      <c r="BU15" s="2076">
        <f>'CF(Q)'!CK47</f>
        <v>0</v>
      </c>
      <c r="BV15" s="2077">
        <f>'CF(Q)'!CL47</f>
        <v>0</v>
      </c>
      <c r="BW15" s="2075">
        <f>'CF(Q)'!CM47</f>
        <v>0</v>
      </c>
      <c r="BX15" s="2076">
        <f>'CF(Q)'!CN47</f>
        <v>0</v>
      </c>
      <c r="BY15" s="2076">
        <f>'CF(Q)'!CO47</f>
        <v>0</v>
      </c>
      <c r="BZ15" s="2077">
        <f>'CF(Q)'!CP47</f>
        <v>0</v>
      </c>
      <c r="CA15" s="2075">
        <f>'CF(Q)'!CQ47</f>
        <v>0</v>
      </c>
      <c r="CB15" s="2076">
        <f>'CF(Q)'!CR47</f>
        <v>0</v>
      </c>
      <c r="CC15" s="2076">
        <f>'CF(Q)'!CS47</f>
        <v>0</v>
      </c>
      <c r="CD15" s="2077">
        <f>'CF(Q)'!CT47</f>
        <v>0</v>
      </c>
      <c r="CE15" s="2075">
        <f>'CF(Q)'!CU47</f>
        <v>0</v>
      </c>
      <c r="CF15" s="2076">
        <f>'CF(Q)'!CV47</f>
        <v>0</v>
      </c>
      <c r="CG15" s="2076">
        <f>'CF(Q)'!CW47</f>
        <v>0</v>
      </c>
      <c r="CH15" s="2077">
        <f>'CF(Q)'!CX47</f>
        <v>0</v>
      </c>
      <c r="CI15" s="2075">
        <f>'CF(Q)'!CY47</f>
        <v>0</v>
      </c>
      <c r="CJ15" s="2076">
        <f>'CF(Q)'!CZ47</f>
        <v>0</v>
      </c>
      <c r="CK15" s="2076">
        <f>'CF(Q)'!DA47</f>
        <v>0</v>
      </c>
      <c r="CL15" s="2077">
        <f>'CF(Q)'!DB47</f>
        <v>0</v>
      </c>
      <c r="CM15" s="2075">
        <f>'CF(Q)'!DC47</f>
        <v>0</v>
      </c>
      <c r="CN15" s="2076">
        <f>'CF(Q)'!DD47</f>
        <v>0</v>
      </c>
      <c r="CO15" s="2076">
        <f>'CF(Q)'!DE47</f>
        <v>0</v>
      </c>
      <c r="CP15" s="2077">
        <f>'CF(Q)'!DF47</f>
        <v>0</v>
      </c>
      <c r="CQ15" s="2075">
        <f>'CF(Q)'!DG47</f>
        <v>0</v>
      </c>
      <c r="CR15" s="2076">
        <f>'CF(Q)'!DH47</f>
        <v>0</v>
      </c>
      <c r="CS15" s="2076">
        <f>'CF(Q)'!DI47</f>
        <v>0</v>
      </c>
      <c r="CT15" s="2077">
        <f>'CF(Q)'!DJ47</f>
        <v>0</v>
      </c>
      <c r="CU15" s="2075">
        <f>'CF(Q)'!DK47</f>
        <v>0</v>
      </c>
      <c r="CV15" s="2076">
        <f>'CF(Q)'!DL47</f>
        <v>0</v>
      </c>
      <c r="CW15" s="2076">
        <f>'CF(Q)'!DM47</f>
        <v>0</v>
      </c>
      <c r="CX15" s="2077">
        <f>'CF(Q)'!DN47</f>
        <v>0</v>
      </c>
      <c r="CY15" s="2075">
        <f>'CF(Q)'!DO47</f>
        <v>0</v>
      </c>
      <c r="CZ15" s="2076">
        <f>'CF(Q)'!DP47</f>
        <v>0</v>
      </c>
      <c r="DA15" s="2076">
        <f>'CF(Q)'!DQ47</f>
        <v>0</v>
      </c>
      <c r="DB15" s="2077">
        <f>'CF(Q)'!DR47</f>
        <v>0</v>
      </c>
      <c r="DC15" s="2075">
        <f>'CF(Q)'!DS47</f>
        <v>0</v>
      </c>
      <c r="DD15" s="2076">
        <f>'CF(Q)'!DT47</f>
        <v>0</v>
      </c>
      <c r="DE15" s="2076">
        <f>'CF(Q)'!DU47</f>
        <v>0</v>
      </c>
      <c r="DF15" s="2077">
        <f>'CF(Q)'!DV47</f>
        <v>0</v>
      </c>
      <c r="DG15" s="2075">
        <f>'CF(Q)'!DW47</f>
        <v>0</v>
      </c>
      <c r="DH15" s="2076">
        <f>'CF(Q)'!DX47</f>
        <v>0</v>
      </c>
      <c r="DI15" s="2076">
        <f>'CF(Q)'!DY47</f>
        <v>0</v>
      </c>
      <c r="DJ15" s="2077">
        <f>'CF(Q)'!DZ47</f>
        <v>0</v>
      </c>
      <c r="DK15" s="2075">
        <f>'CF(Q)'!EA47</f>
        <v>0</v>
      </c>
      <c r="DL15" s="2076">
        <f>'CF(Q)'!EB47</f>
        <v>0</v>
      </c>
      <c r="DM15" s="2076">
        <f>'CF(Q)'!EC47</f>
        <v>0</v>
      </c>
      <c r="DN15" s="2077">
        <f>'CF(Q)'!ED47</f>
        <v>0</v>
      </c>
      <c r="DO15" s="2075">
        <f>'CF(Q)'!EE47</f>
        <v>0</v>
      </c>
      <c r="DP15" s="2076">
        <f>'CF(Q)'!EF47</f>
        <v>0</v>
      </c>
      <c r="DQ15" s="2076">
        <f>'CF(Q)'!EG47</f>
        <v>0</v>
      </c>
      <c r="DR15" s="2077">
        <f>'CF(Q)'!EH47</f>
        <v>0</v>
      </c>
      <c r="DS15" s="2075">
        <f>'CF(Q)'!EI47</f>
        <v>0</v>
      </c>
      <c r="DT15" s="2076">
        <f>'CF(Q)'!EJ47</f>
        <v>0</v>
      </c>
      <c r="DU15" s="2076">
        <f>'CF(Q)'!EK47</f>
        <v>0</v>
      </c>
      <c r="DV15" s="2077">
        <f>'CF(Q)'!EL47</f>
        <v>0</v>
      </c>
      <c r="DW15" s="2075">
        <f>'CF(Q)'!EM47</f>
        <v>0</v>
      </c>
      <c r="DX15" s="2076">
        <f>'CF(Q)'!EN47</f>
        <v>0</v>
      </c>
      <c r="DY15" s="2076">
        <f>'CF(Q)'!EO47</f>
        <v>0</v>
      </c>
      <c r="DZ15" s="2077">
        <f>'CF(Q)'!EP47</f>
        <v>0</v>
      </c>
      <c r="EA15" s="2075">
        <f>'CF(Q)'!EQ47</f>
        <v>0</v>
      </c>
      <c r="EB15" s="2076">
        <f>'CF(Q)'!ER47</f>
        <v>0</v>
      </c>
      <c r="EC15" s="2076">
        <f>'CF(Q)'!ES47</f>
        <v>0</v>
      </c>
      <c r="ED15" s="2077">
        <f>'CF(Q)'!ET47</f>
        <v>0</v>
      </c>
      <c r="EE15" s="2075">
        <f>'CF(Q)'!EU47</f>
        <v>0</v>
      </c>
      <c r="EF15" s="2076">
        <f>'CF(Q)'!EV47</f>
        <v>0</v>
      </c>
      <c r="EG15" s="2076">
        <f>'CF(Q)'!EW47</f>
        <v>0</v>
      </c>
      <c r="EH15" s="2077">
        <f>'CF(Q)'!EX47</f>
        <v>0</v>
      </c>
      <c r="EI15" s="2075">
        <f>'CF(Q)'!EY47</f>
        <v>0</v>
      </c>
      <c r="EJ15" s="2076">
        <f>'CF(Q)'!EZ47</f>
        <v>0</v>
      </c>
      <c r="EK15" s="2076">
        <f>'CF(Q)'!FA47</f>
        <v>0</v>
      </c>
      <c r="EL15" s="2077">
        <f>'CF(Q)'!FB47</f>
        <v>0</v>
      </c>
      <c r="EM15" s="2075">
        <f>'CF(Q)'!FC47</f>
        <v>0</v>
      </c>
      <c r="EN15" s="2076">
        <f>'CF(Q)'!FD47</f>
        <v>0</v>
      </c>
      <c r="EO15" s="2076">
        <f>'CF(Q)'!FE47</f>
        <v>0</v>
      </c>
      <c r="EP15" s="2077">
        <f>'CF(Q)'!FF47</f>
        <v>0</v>
      </c>
      <c r="EQ15" s="2075">
        <f>'CF(Q)'!FG47</f>
        <v>0</v>
      </c>
      <c r="ER15" s="2076">
        <f>'CF(Q)'!FH47</f>
        <v>0</v>
      </c>
      <c r="ES15" s="2076">
        <f>'CF(Q)'!FI47</f>
        <v>0</v>
      </c>
      <c r="ET15" s="2077">
        <f>'CF(Q)'!FJ47</f>
        <v>0</v>
      </c>
      <c r="EU15" s="2075">
        <f>'CF(Q)'!FK47</f>
        <v>0</v>
      </c>
      <c r="EV15" s="2076">
        <f>'CF(Q)'!FL47</f>
        <v>0</v>
      </c>
      <c r="EW15" s="2076">
        <f>'CF(Q)'!FM47</f>
        <v>0</v>
      </c>
      <c r="EX15" s="2077">
        <f>'CF(Q)'!FN47</f>
        <v>0</v>
      </c>
      <c r="EY15" s="2075">
        <f>'CF(Q)'!FO47</f>
        <v>0</v>
      </c>
      <c r="EZ15" s="2076">
        <f>'CF(Q)'!FP47</f>
        <v>0</v>
      </c>
      <c r="FA15" s="2076">
        <f>'CF(Q)'!FQ47</f>
        <v>0</v>
      </c>
      <c r="FB15" s="2077">
        <f>'CF(Q)'!FR47</f>
        <v>0</v>
      </c>
      <c r="FC15" s="2075">
        <f>'CF(Q)'!FS47</f>
        <v>0</v>
      </c>
      <c r="FD15" s="2076">
        <f>'CF(Q)'!FT47</f>
        <v>0</v>
      </c>
      <c r="FE15" s="2076">
        <f>'CF(Q)'!FU47</f>
        <v>0</v>
      </c>
      <c r="FF15" s="2077">
        <f>'CF(Q)'!FV47</f>
        <v>0</v>
      </c>
      <c r="FG15" s="2075">
        <f>'CF(Q)'!FW47</f>
        <v>0</v>
      </c>
      <c r="FH15" s="2076">
        <f>'CF(Q)'!FX47</f>
        <v>0</v>
      </c>
      <c r="FI15" s="2076">
        <f>'CF(Q)'!FY47</f>
        <v>0</v>
      </c>
      <c r="FJ15" s="2077">
        <f>'CF(Q)'!FZ47</f>
        <v>0</v>
      </c>
      <c r="FK15" s="2075">
        <f>'CF(Q)'!GA47</f>
        <v>0</v>
      </c>
      <c r="FL15" s="2076">
        <f>'CF(Q)'!GB47</f>
        <v>0</v>
      </c>
      <c r="FM15" s="2076">
        <f>'CF(Q)'!GC47</f>
        <v>0</v>
      </c>
      <c r="FN15" s="2077">
        <f>'CF(Q)'!GD47</f>
        <v>0</v>
      </c>
      <c r="FO15" s="2075">
        <f>'CF(Q)'!GE47</f>
        <v>0</v>
      </c>
      <c r="FP15" s="2076">
        <f>'CF(Q)'!GF47</f>
        <v>0</v>
      </c>
      <c r="FQ15" s="2076">
        <f>'CF(Q)'!GG47</f>
        <v>0</v>
      </c>
      <c r="FR15" s="2077">
        <f>'CF(Q)'!GH47</f>
        <v>0</v>
      </c>
      <c r="FS15" s="2075">
        <f>'CF(Q)'!GI47</f>
        <v>0</v>
      </c>
      <c r="FT15" s="2076">
        <f>'CF(Q)'!GJ47</f>
        <v>0</v>
      </c>
      <c r="FU15" s="2076">
        <f>'CF(Q)'!GK47</f>
        <v>0</v>
      </c>
      <c r="FV15" s="2077">
        <f>'CF(Q)'!GL47</f>
        <v>0</v>
      </c>
      <c r="FW15" s="2075">
        <f>'CF(Q)'!GM47</f>
        <v>0</v>
      </c>
      <c r="FX15" s="2076">
        <f>'CF(Q)'!GN47</f>
        <v>0</v>
      </c>
      <c r="FY15" s="2076">
        <f>'CF(Q)'!GO47</f>
        <v>0</v>
      </c>
      <c r="FZ15" s="2077">
        <f>'CF(Q)'!GP47</f>
        <v>0</v>
      </c>
      <c r="GA15" s="2075">
        <f>'CF(Q)'!GQ47</f>
        <v>0</v>
      </c>
      <c r="GB15" s="2076">
        <f>'CF(Q)'!GR47</f>
        <v>0</v>
      </c>
      <c r="GC15" s="2076">
        <f>'CF(Q)'!GS47</f>
        <v>0</v>
      </c>
      <c r="GD15" s="2077">
        <f>'CF(Q)'!GT47</f>
        <v>0</v>
      </c>
    </row>
    <row r="16" spans="1:186" s="414" customFormat="1" ht="15" customHeight="1">
      <c r="B16" s="2065"/>
      <c r="C16" s="2078" t="s">
        <v>3747</v>
      </c>
      <c r="D16" s="2079"/>
      <c r="E16" s="2079"/>
      <c r="F16" s="2080">
        <f t="shared" ca="1" si="9"/>
        <v>46628.244452779974</v>
      </c>
      <c r="G16" s="2081">
        <f t="shared" ref="G16:AL16" ca="1" si="10">SUM(G11:G15)</f>
        <v>240.58674977846402</v>
      </c>
      <c r="H16" s="2082">
        <f t="shared" ca="1" si="10"/>
        <v>206.0879697785542</v>
      </c>
      <c r="I16" s="2082">
        <f t="shared" ca="1" si="10"/>
        <v>170.77819008855417</v>
      </c>
      <c r="J16" s="2083">
        <f t="shared" ca="1" si="10"/>
        <v>116.69730975855418</v>
      </c>
      <c r="K16" s="2081">
        <f t="shared" ca="1" si="10"/>
        <v>221.28963234855416</v>
      </c>
      <c r="L16" s="2082">
        <f t="shared" ca="1" si="10"/>
        <v>285.41247461933335</v>
      </c>
      <c r="M16" s="2082">
        <f t="shared" ca="1" si="10"/>
        <v>252.1386285757122</v>
      </c>
      <c r="N16" s="2083">
        <f t="shared" ca="1" si="10"/>
        <v>200.14480231571218</v>
      </c>
      <c r="O16" s="2081">
        <f t="shared" ca="1" si="10"/>
        <v>114.40566249000001</v>
      </c>
      <c r="P16" s="2082">
        <f t="shared" ca="1" si="10"/>
        <v>148.78848501179391</v>
      </c>
      <c r="Q16" s="2082">
        <f t="shared" ca="1" si="10"/>
        <v>85.975114423333338</v>
      </c>
      <c r="R16" s="2083">
        <f t="shared" ca="1" si="10"/>
        <v>78.445944266744178</v>
      </c>
      <c r="S16" s="2081">
        <f t="shared" ca="1" si="10"/>
        <v>68.338004432043732</v>
      </c>
      <c r="T16" s="2082">
        <f t="shared" ca="1" si="10"/>
        <v>123.51215366492741</v>
      </c>
      <c r="U16" s="2082">
        <f t="shared" ca="1" si="10"/>
        <v>69.768207804688871</v>
      </c>
      <c r="V16" s="2083">
        <f t="shared" ca="1" si="10"/>
        <v>65.860142133666812</v>
      </c>
      <c r="W16" s="2081">
        <f t="shared" ca="1" si="10"/>
        <v>115.55951149873762</v>
      </c>
      <c r="X16" s="2082">
        <f t="shared" ca="1" si="10"/>
        <v>197.12112372820582</v>
      </c>
      <c r="Y16" s="2082">
        <f t="shared" ca="1" si="10"/>
        <v>156.80886774972888</v>
      </c>
      <c r="Z16" s="2083">
        <f t="shared" ca="1" si="10"/>
        <v>119.47305053859714</v>
      </c>
      <c r="AA16" s="2081">
        <f t="shared" ca="1" si="10"/>
        <v>79.782845330926548</v>
      </c>
      <c r="AB16" s="2082">
        <f t="shared" ca="1" si="10"/>
        <v>184.38809028950038</v>
      </c>
      <c r="AC16" s="2082">
        <f t="shared" ca="1" si="10"/>
        <v>148.96658436993619</v>
      </c>
      <c r="AD16" s="2083">
        <f t="shared" ca="1" si="10"/>
        <v>113.33396737245205</v>
      </c>
      <c r="AE16" s="2081">
        <f t="shared" ca="1" si="10"/>
        <v>72.080292063928681</v>
      </c>
      <c r="AF16" s="2082">
        <f t="shared" ca="1" si="10"/>
        <v>114.32555621097202</v>
      </c>
      <c r="AG16" s="2082">
        <f t="shared" ca="1" si="10"/>
        <v>65.471669525795718</v>
      </c>
      <c r="AH16" s="2083">
        <f t="shared" ca="1" si="10"/>
        <v>70.179170518648021</v>
      </c>
      <c r="AI16" s="2081">
        <f t="shared" ca="1" si="10"/>
        <v>66.410656982206604</v>
      </c>
      <c r="AJ16" s="2082">
        <f t="shared" ca="1" si="10"/>
        <v>72.063150875020042</v>
      </c>
      <c r="AK16" s="2082">
        <f t="shared" ca="1" si="10"/>
        <v>66.787756952490511</v>
      </c>
      <c r="AL16" s="2083">
        <f t="shared" ca="1" si="10"/>
        <v>72.063150875020042</v>
      </c>
      <c r="AM16" s="2081">
        <f t="shared" ref="AM16:BR16" ca="1" si="11">SUM(AM11:AM15)</f>
        <v>81.024269249957399</v>
      </c>
      <c r="AN16" s="2082">
        <f t="shared" ca="1" si="11"/>
        <v>84.853040228084112</v>
      </c>
      <c r="AO16" s="2082">
        <f t="shared" ca="1" si="11"/>
        <v>88.879870443387873</v>
      </c>
      <c r="AP16" s="2083">
        <f t="shared" ca="1" si="11"/>
        <v>93.230363141514587</v>
      </c>
      <c r="AQ16" s="2081">
        <f t="shared" ca="1" si="11"/>
        <v>96.172377959521938</v>
      </c>
      <c r="AR16" s="2082">
        <f t="shared" ca="1" si="11"/>
        <v>101.86171658151542</v>
      </c>
      <c r="AS16" s="2082">
        <f t="shared" ca="1" si="11"/>
        <v>107.71026917879867</v>
      </c>
      <c r="AT16" s="2083">
        <f t="shared" ca="1" si="11"/>
        <v>115.50680764735964</v>
      </c>
      <c r="AU16" s="2081">
        <f t="shared" ca="1" si="11"/>
        <v>122.37913855531474</v>
      </c>
      <c r="AV16" s="2082">
        <f t="shared" ca="1" si="11"/>
        <v>94.678622981585903</v>
      </c>
      <c r="AW16" s="2082">
        <f t="shared" ca="1" si="11"/>
        <v>95.331419022467415</v>
      </c>
      <c r="AX16" s="2083">
        <f t="shared" ca="1" si="11"/>
        <v>98.50142391197241</v>
      </c>
      <c r="AY16" s="2081">
        <f t="shared" ca="1" si="11"/>
        <v>114.16145299759754</v>
      </c>
      <c r="AZ16" s="2082">
        <f t="shared" ca="1" si="11"/>
        <v>114.39699401110389</v>
      </c>
      <c r="BA16" s="2082">
        <f t="shared" ca="1" si="11"/>
        <v>128.186560362775</v>
      </c>
      <c r="BB16" s="2083">
        <f t="shared" ca="1" si="11"/>
        <v>144.17923823100301</v>
      </c>
      <c r="BC16" s="2081">
        <f t="shared" ca="1" si="11"/>
        <v>154.57184126208065</v>
      </c>
      <c r="BD16" s="2082">
        <f t="shared" ca="1" si="11"/>
        <v>136.98944357011788</v>
      </c>
      <c r="BE16" s="2082">
        <f t="shared" ca="1" si="11"/>
        <v>143.74727373299078</v>
      </c>
      <c r="BF16" s="2083">
        <f t="shared" ca="1" si="11"/>
        <v>154.80733086162257</v>
      </c>
      <c r="BG16" s="2081">
        <f t="shared" ca="1" si="11"/>
        <v>164.18218231389858</v>
      </c>
      <c r="BH16" s="2082">
        <f t="shared" ca="1" si="11"/>
        <v>154.10467783872465</v>
      </c>
      <c r="BI16" s="2082">
        <f t="shared" ca="1" si="11"/>
        <v>165.32445188514362</v>
      </c>
      <c r="BJ16" s="2083">
        <f t="shared" ca="1" si="11"/>
        <v>180.28773230654397</v>
      </c>
      <c r="BK16" s="2081">
        <f t="shared" ca="1" si="11"/>
        <v>194.44357494292024</v>
      </c>
      <c r="BL16" s="2082">
        <f t="shared" ca="1" si="11"/>
        <v>192.59652465414155</v>
      </c>
      <c r="BM16" s="2082">
        <f t="shared" ca="1" si="11"/>
        <v>213.37113653920395</v>
      </c>
      <c r="BN16" s="2083">
        <f t="shared" ca="1" si="11"/>
        <v>238.13242691142085</v>
      </c>
      <c r="BO16" s="2081">
        <f t="shared" ca="1" si="11"/>
        <v>257.77951750562897</v>
      </c>
      <c r="BP16" s="2082">
        <f t="shared" ca="1" si="11"/>
        <v>241.60521886779196</v>
      </c>
      <c r="BQ16" s="2082">
        <f t="shared" ca="1" si="11"/>
        <v>253.3705046512527</v>
      </c>
      <c r="BR16" s="2083">
        <f t="shared" ca="1" si="11"/>
        <v>270.09890077610498</v>
      </c>
      <c r="BS16" s="2081">
        <f t="shared" ref="BS16:CX16" ca="1" si="12">SUM(BS11:BS15)</f>
        <v>282.81918040839236</v>
      </c>
      <c r="BT16" s="2082">
        <f t="shared" ca="1" si="12"/>
        <v>263.55322696083363</v>
      </c>
      <c r="BU16" s="2082">
        <f t="shared" ca="1" si="12"/>
        <v>271.86897389322655</v>
      </c>
      <c r="BV16" s="2083">
        <f t="shared" ca="1" si="12"/>
        <v>285.08211952967736</v>
      </c>
      <c r="BW16" s="2081">
        <f t="shared" ca="1" si="12"/>
        <v>298.47702469043901</v>
      </c>
      <c r="BX16" s="2082">
        <f t="shared" ca="1" si="12"/>
        <v>277.31704924761118</v>
      </c>
      <c r="BY16" s="2082">
        <f t="shared" ca="1" si="12"/>
        <v>286.04764519852921</v>
      </c>
      <c r="BZ16" s="2083">
        <f t="shared" ca="1" si="12"/>
        <v>298.93778391394517</v>
      </c>
      <c r="CA16" s="2081">
        <f t="shared" ca="1" si="12"/>
        <v>305.82223413263847</v>
      </c>
      <c r="CB16" s="2082">
        <f t="shared" ca="1" si="12"/>
        <v>271.69468700430571</v>
      </c>
      <c r="CC16" s="2082">
        <f t="shared" ca="1" si="12"/>
        <v>287.87512211930169</v>
      </c>
      <c r="CD16" s="2083">
        <f t="shared" ca="1" si="12"/>
        <v>309.56324353653167</v>
      </c>
      <c r="CE16" s="2081">
        <f t="shared" ca="1" si="12"/>
        <v>327.10800625888851</v>
      </c>
      <c r="CF16" s="2082">
        <f t="shared" ca="1" si="12"/>
        <v>281.9028688042618</v>
      </c>
      <c r="CG16" s="2082">
        <f t="shared" ca="1" si="12"/>
        <v>288.84438486587464</v>
      </c>
      <c r="CH16" s="2083">
        <f t="shared" ca="1" si="12"/>
        <v>301.03556387984781</v>
      </c>
      <c r="CI16" s="2081">
        <f t="shared" ca="1" si="12"/>
        <v>312.90912052059241</v>
      </c>
      <c r="CJ16" s="2082">
        <f t="shared" ca="1" si="12"/>
        <v>236.17887483993348</v>
      </c>
      <c r="CK16" s="2082">
        <f t="shared" ca="1" si="12"/>
        <v>225.69956146311145</v>
      </c>
      <c r="CL16" s="2083">
        <f t="shared" ca="1" si="12"/>
        <v>219.9000641541819</v>
      </c>
      <c r="CM16" s="2081">
        <f t="shared" ca="1" si="12"/>
        <v>210.12165311888606</v>
      </c>
      <c r="CN16" s="2082">
        <f t="shared" ca="1" si="12"/>
        <v>153.51599301097173</v>
      </c>
      <c r="CO16" s="2082">
        <f t="shared" ca="1" si="12"/>
        <v>165.52843257241338</v>
      </c>
      <c r="CP16" s="2083">
        <f t="shared" ca="1" si="12"/>
        <v>182.30808011563357</v>
      </c>
      <c r="CQ16" s="2081">
        <f t="shared" ca="1" si="12"/>
        <v>191.52708262000766</v>
      </c>
      <c r="CR16" s="2082">
        <f t="shared" ca="1" si="12"/>
        <v>128.91008635363252</v>
      </c>
      <c r="CS16" s="2082">
        <f t="shared" ca="1" si="12"/>
        <v>144.89740825966481</v>
      </c>
      <c r="CT16" s="2083">
        <f t="shared" ca="1" si="12"/>
        <v>167.48552303195098</v>
      </c>
      <c r="CU16" s="2081">
        <f t="shared" ca="1" si="12"/>
        <v>188.27258863394732</v>
      </c>
      <c r="CV16" s="2082">
        <f t="shared" ca="1" si="12"/>
        <v>124.63582200822545</v>
      </c>
      <c r="CW16" s="2082">
        <f t="shared" ca="1" si="12"/>
        <v>142.02610765039574</v>
      </c>
      <c r="CX16" s="2083">
        <f t="shared" ca="1" si="12"/>
        <v>166.46202807923515</v>
      </c>
      <c r="CY16" s="2081">
        <f t="shared" ref="CY16:ED16" ca="1" si="13">SUM(CY11:CY15)</f>
        <v>181.01063287045284</v>
      </c>
      <c r="CZ16" s="2082">
        <f t="shared" ca="1" si="13"/>
        <v>126.55363638144918</v>
      </c>
      <c r="DA16" s="2082">
        <f t="shared" ca="1" si="13"/>
        <v>148.10162902498158</v>
      </c>
      <c r="DB16" s="2083">
        <f t="shared" ca="1" si="13"/>
        <v>178.56709656536879</v>
      </c>
      <c r="DC16" s="2081">
        <f t="shared" ca="1" si="13"/>
        <v>201.49999395710293</v>
      </c>
      <c r="DD16" s="2082">
        <f t="shared" ca="1" si="13"/>
        <v>134.27492862131498</v>
      </c>
      <c r="DE16" s="2082">
        <f t="shared" ca="1" si="13"/>
        <v>160.5299469008603</v>
      </c>
      <c r="DF16" s="2083">
        <f t="shared" ca="1" si="13"/>
        <v>195.45996182272592</v>
      </c>
      <c r="DG16" s="2081">
        <f t="shared" ca="1" si="13"/>
        <v>225.76014955832895</v>
      </c>
      <c r="DH16" s="2082">
        <f t="shared" ca="1" si="13"/>
        <v>154.10608037548408</v>
      </c>
      <c r="DI16" s="2082">
        <f t="shared" ca="1" si="13"/>
        <v>182.08310177904224</v>
      </c>
      <c r="DJ16" s="2083">
        <f t="shared" ca="1" si="13"/>
        <v>218.81004199766926</v>
      </c>
      <c r="DK16" s="2081">
        <f t="shared" ca="1" si="13"/>
        <v>245.88823367080761</v>
      </c>
      <c r="DL16" s="2082">
        <f t="shared" ca="1" si="13"/>
        <v>174.8145724348206</v>
      </c>
      <c r="DM16" s="2082">
        <f t="shared" ca="1" si="13"/>
        <v>199.02769380241045</v>
      </c>
      <c r="DN16" s="2083">
        <f t="shared" ca="1" si="13"/>
        <v>232.90470089842648</v>
      </c>
      <c r="DO16" s="2081">
        <f t="shared" ca="1" si="13"/>
        <v>257.26213237410741</v>
      </c>
      <c r="DP16" s="2082">
        <f t="shared" ca="1" si="13"/>
        <v>197.04764420508013</v>
      </c>
      <c r="DQ16" s="2082">
        <f t="shared" ca="1" si="13"/>
        <v>220.76709103233222</v>
      </c>
      <c r="DR16" s="2083">
        <f t="shared" ca="1" si="13"/>
        <v>254.54174373871194</v>
      </c>
      <c r="DS16" s="2081">
        <f t="shared" ca="1" si="13"/>
        <v>283.91973669071086</v>
      </c>
      <c r="DT16" s="2082">
        <f t="shared" ca="1" si="13"/>
        <v>257.97365079329836</v>
      </c>
      <c r="DU16" s="2082">
        <f t="shared" ca="1" si="13"/>
        <v>284.29864984284029</v>
      </c>
      <c r="DV16" s="2083">
        <f t="shared" ca="1" si="13"/>
        <v>320.05430333636014</v>
      </c>
      <c r="DW16" s="2081">
        <f t="shared" ca="1" si="13"/>
        <v>344.78214698073231</v>
      </c>
      <c r="DX16" s="2082">
        <f t="shared" ca="1" si="13"/>
        <v>305.12200320752606</v>
      </c>
      <c r="DY16" s="2082">
        <f t="shared" ca="1" si="13"/>
        <v>324.68833430400406</v>
      </c>
      <c r="DZ16" s="2083">
        <f t="shared" ca="1" si="13"/>
        <v>354.96240964817827</v>
      </c>
      <c r="EA16" s="2081">
        <f t="shared" ca="1" si="13"/>
        <v>377.66174104798932</v>
      </c>
      <c r="EB16" s="2082">
        <f t="shared" ca="1" si="13"/>
        <v>353.57929200486967</v>
      </c>
      <c r="EC16" s="2082">
        <f t="shared" ca="1" si="13"/>
        <v>382.79167116125126</v>
      </c>
      <c r="ED16" s="2083">
        <f t="shared" ca="1" si="13"/>
        <v>421.62267582922573</v>
      </c>
      <c r="EE16" s="2081">
        <f t="shared" ref="EE16:FJ16" ca="1" si="14">SUM(EE11:EE15)</f>
        <v>453.89899692607617</v>
      </c>
      <c r="EF16" s="2082">
        <f t="shared" ca="1" si="14"/>
        <v>416.01380753977242</v>
      </c>
      <c r="EG16" s="2082">
        <f t="shared" ca="1" si="14"/>
        <v>435.69639266813209</v>
      </c>
      <c r="EH16" s="2083">
        <f t="shared" ca="1" si="14"/>
        <v>465.78216552983667</v>
      </c>
      <c r="EI16" s="2081">
        <f t="shared" ca="1" si="14"/>
        <v>483.7910434792326</v>
      </c>
      <c r="EJ16" s="2082">
        <f t="shared" ca="1" si="14"/>
        <v>445.78767479577931</v>
      </c>
      <c r="EK16" s="2082">
        <f t="shared" ca="1" si="14"/>
        <v>472.59424946440288</v>
      </c>
      <c r="EL16" s="2083">
        <f t="shared" ca="1" si="14"/>
        <v>511.13375758613921</v>
      </c>
      <c r="EM16" s="2081">
        <f t="shared" ca="1" si="14"/>
        <v>539.67409344298403</v>
      </c>
      <c r="EN16" s="2082">
        <f t="shared" ca="1" si="14"/>
        <v>506.52931962871776</v>
      </c>
      <c r="EO16" s="2082">
        <f t="shared" ca="1" si="14"/>
        <v>536.15117697197661</v>
      </c>
      <c r="EP16" s="2083">
        <f t="shared" ca="1" si="14"/>
        <v>577.13079208467479</v>
      </c>
      <c r="EQ16" s="2081">
        <f t="shared" ca="1" si="14"/>
        <v>611.43833360225244</v>
      </c>
      <c r="ER16" s="2082">
        <f t="shared" ca="1" si="14"/>
        <v>576.35863663912801</v>
      </c>
      <c r="ES16" s="2082">
        <f t="shared" ca="1" si="14"/>
        <v>604.53726876343546</v>
      </c>
      <c r="ET16" s="2083">
        <f t="shared" ca="1" si="14"/>
        <v>644.16394006768121</v>
      </c>
      <c r="EU16" s="2081">
        <f t="shared" ca="1" si="14"/>
        <v>669.64531639395648</v>
      </c>
      <c r="EV16" s="2082">
        <f t="shared" ca="1" si="14"/>
        <v>627.56818761305749</v>
      </c>
      <c r="EW16" s="2082">
        <f t="shared" ca="1" si="14"/>
        <v>658.85949737782664</v>
      </c>
      <c r="EX16" s="2083">
        <f t="shared" ca="1" si="14"/>
        <v>703.45517901516905</v>
      </c>
      <c r="EY16" s="2081">
        <f t="shared" ca="1" si="14"/>
        <v>735.67218026404157</v>
      </c>
      <c r="EZ16" s="2082">
        <f t="shared" ca="1" si="14"/>
        <v>691.3801994799303</v>
      </c>
      <c r="FA16" s="2082">
        <f t="shared" ca="1" si="14"/>
        <v>720.69418301180633</v>
      </c>
      <c r="FB16" s="2083">
        <f t="shared" ca="1" si="14"/>
        <v>763.35615088698182</v>
      </c>
      <c r="FC16" s="2081">
        <f t="shared" ca="1" si="14"/>
        <v>797.18718084750981</v>
      </c>
      <c r="FD16" s="2082">
        <f t="shared" ca="1" si="14"/>
        <v>754.77717416265727</v>
      </c>
      <c r="FE16" s="2082">
        <f t="shared" ca="1" si="14"/>
        <v>787.58609223559483</v>
      </c>
      <c r="FF16" s="2083">
        <f t="shared" ca="1" si="14"/>
        <v>834.03915279061528</v>
      </c>
      <c r="FG16" s="2081">
        <f t="shared" ca="1" si="14"/>
        <v>865.56362673552246</v>
      </c>
      <c r="FH16" s="2082">
        <f t="shared" ca="1" si="14"/>
        <v>812.59641125851363</v>
      </c>
      <c r="FI16" s="2082">
        <f t="shared" ca="1" si="14"/>
        <v>841.1940465232426</v>
      </c>
      <c r="FJ16" s="2083">
        <f t="shared" ca="1" si="14"/>
        <v>884.60100946589307</v>
      </c>
      <c r="FK16" s="2081">
        <f t="shared" ref="FK16:GD16" ca="1" si="15">SUM(FK11:FK15)</f>
        <v>913.92929925770648</v>
      </c>
      <c r="FL16" s="2082">
        <f t="shared" ca="1" si="15"/>
        <v>827.15152903783996</v>
      </c>
      <c r="FM16" s="2082">
        <f t="shared" ca="1" si="15"/>
        <v>0</v>
      </c>
      <c r="FN16" s="2083">
        <f t="shared" ca="1" si="15"/>
        <v>0</v>
      </c>
      <c r="FO16" s="2081">
        <f t="shared" si="15"/>
        <v>0</v>
      </c>
      <c r="FP16" s="2082">
        <f t="shared" si="15"/>
        <v>0</v>
      </c>
      <c r="FQ16" s="2082">
        <f t="shared" si="15"/>
        <v>0</v>
      </c>
      <c r="FR16" s="2083">
        <f t="shared" si="15"/>
        <v>0</v>
      </c>
      <c r="FS16" s="2081">
        <f t="shared" si="15"/>
        <v>0</v>
      </c>
      <c r="FT16" s="2082">
        <f t="shared" si="15"/>
        <v>0</v>
      </c>
      <c r="FU16" s="2082">
        <f t="shared" si="15"/>
        <v>0</v>
      </c>
      <c r="FV16" s="2083">
        <f t="shared" si="15"/>
        <v>0</v>
      </c>
      <c r="FW16" s="2081">
        <f t="shared" si="15"/>
        <v>0</v>
      </c>
      <c r="FX16" s="2082">
        <f t="shared" si="15"/>
        <v>0</v>
      </c>
      <c r="FY16" s="2082">
        <f t="shared" si="15"/>
        <v>0</v>
      </c>
      <c r="FZ16" s="2083">
        <f t="shared" si="15"/>
        <v>0</v>
      </c>
      <c r="GA16" s="2081">
        <f t="shared" si="15"/>
        <v>0</v>
      </c>
      <c r="GB16" s="2082">
        <f t="shared" si="15"/>
        <v>0</v>
      </c>
      <c r="GC16" s="2082">
        <f t="shared" si="15"/>
        <v>0</v>
      </c>
      <c r="GD16" s="2083">
        <f t="shared" si="15"/>
        <v>0</v>
      </c>
    </row>
    <row r="17" spans="1:186" ht="15" customHeight="1">
      <c r="B17" s="2064"/>
      <c r="C17" s="2068"/>
      <c r="D17" s="2068"/>
      <c r="E17" s="2068"/>
      <c r="F17" s="2084"/>
      <c r="G17" s="2084">
        <f>SUM('CF(Q)'!W20:W21)</f>
        <v>6.5781054799098362</v>
      </c>
      <c r="H17" s="2084"/>
      <c r="I17" s="2084"/>
      <c r="J17" s="2084"/>
      <c r="K17" s="2084"/>
      <c r="L17" s="2084"/>
      <c r="M17" s="2084"/>
      <c r="N17" s="2084"/>
      <c r="O17" s="2084">
        <f ca="1">SUM(비용!P9,비용!P13,비용!P15,'CF(Q)'!AE26)+O14</f>
        <v>1.8388376700000095</v>
      </c>
      <c r="P17" s="2084">
        <f ca="1">SUM(비용!Q9,비용!Q13,비용!Q15,'CF(Q)'!AF26)+P14</f>
        <v>18.570544372345985</v>
      </c>
      <c r="Q17" s="2084">
        <f ca="1">SUM(비용!R9,비용!R13,비용!R15,'CF(Q)'!AG26)+Q14</f>
        <v>-7.6051853766666628</v>
      </c>
      <c r="R17" s="2084">
        <f ca="1">SUM(비용!S9,비용!S13,비용!S15,'CF(Q)'!AH26)+R14</f>
        <v>-1.7510004532558243</v>
      </c>
      <c r="S17" s="2084"/>
      <c r="T17" s="2084"/>
      <c r="U17" s="2084"/>
      <c r="V17" s="2084"/>
      <c r="W17" s="2084"/>
      <c r="X17" s="2084"/>
      <c r="Y17" s="2084"/>
      <c r="Z17" s="2084"/>
      <c r="AA17" s="2084"/>
      <c r="AB17" s="2084"/>
      <c r="AC17" s="2084"/>
      <c r="AD17" s="2084"/>
      <c r="AE17" s="2084"/>
      <c r="AF17" s="2084"/>
      <c r="AG17" s="2084"/>
      <c r="AH17" s="2084"/>
      <c r="AI17" s="2084"/>
      <c r="AJ17" s="2084"/>
      <c r="AK17" s="2084"/>
      <c r="AL17" s="2084"/>
      <c r="AM17" s="2084"/>
      <c r="AN17" s="2084"/>
      <c r="AO17" s="2084"/>
      <c r="AP17" s="2084"/>
      <c r="AQ17" s="2084"/>
      <c r="AR17" s="2084"/>
      <c r="AS17" s="2084"/>
      <c r="AT17" s="2084"/>
      <c r="AU17" s="2084"/>
      <c r="AV17" s="2084"/>
      <c r="AW17" s="2084"/>
      <c r="AX17" s="2084"/>
      <c r="AY17" s="2084"/>
      <c r="AZ17" s="2084"/>
      <c r="BA17" s="2084"/>
      <c r="BB17" s="2084"/>
      <c r="BC17" s="2084"/>
      <c r="BD17" s="2084"/>
      <c r="BE17" s="2084"/>
      <c r="BF17" s="2084"/>
      <c r="BG17" s="2084"/>
      <c r="BH17" s="2084"/>
      <c r="BI17" s="2084"/>
      <c r="BJ17" s="2084"/>
      <c r="BK17" s="2084"/>
      <c r="BL17" s="2084"/>
      <c r="BM17" s="2084"/>
      <c r="BN17" s="2084"/>
      <c r="BO17" s="2084"/>
      <c r="BP17" s="2084"/>
      <c r="BQ17" s="2084"/>
      <c r="BR17" s="2084"/>
      <c r="BS17" s="2084"/>
      <c r="BT17" s="2084"/>
      <c r="BU17" s="2084"/>
      <c r="BV17" s="2084"/>
      <c r="BW17" s="2084"/>
      <c r="BX17" s="2084"/>
      <c r="BY17" s="2084"/>
      <c r="BZ17" s="2084"/>
      <c r="CA17" s="2084"/>
      <c r="CB17" s="2084"/>
      <c r="CC17" s="2084"/>
      <c r="CD17" s="2084"/>
      <c r="CE17" s="2084"/>
      <c r="CF17" s="2084"/>
      <c r="CG17" s="2084"/>
      <c r="CH17" s="2084"/>
      <c r="CI17" s="2084"/>
      <c r="CJ17" s="2084"/>
      <c r="CK17" s="2084"/>
      <c r="CL17" s="2084"/>
      <c r="CM17" s="2084"/>
      <c r="CN17" s="2084"/>
      <c r="CO17" s="2084"/>
      <c r="CP17" s="2084"/>
      <c r="CQ17" s="2084"/>
      <c r="CR17" s="2084"/>
      <c r="CS17" s="2084"/>
      <c r="CT17" s="2084"/>
      <c r="CU17" s="2084"/>
      <c r="CV17" s="2084"/>
      <c r="CW17" s="2084"/>
      <c r="CX17" s="2084"/>
      <c r="CY17" s="2084"/>
      <c r="CZ17" s="2084"/>
      <c r="DA17" s="2084"/>
      <c r="DB17" s="2084"/>
      <c r="DC17" s="2084"/>
      <c r="DD17" s="2084"/>
      <c r="DE17" s="2084"/>
      <c r="DF17" s="2084"/>
      <c r="DG17" s="2084"/>
      <c r="DH17" s="2084"/>
      <c r="DI17" s="2084"/>
      <c r="DJ17" s="2084"/>
      <c r="DK17" s="2084"/>
      <c r="DL17" s="2084"/>
      <c r="DM17" s="2084"/>
      <c r="DN17" s="2084"/>
      <c r="DO17" s="2084"/>
      <c r="DP17" s="2084"/>
      <c r="DQ17" s="2084"/>
      <c r="DR17" s="2084"/>
      <c r="DS17" s="2084"/>
      <c r="DT17" s="2084"/>
      <c r="DU17" s="2084"/>
      <c r="DV17" s="2084"/>
      <c r="DW17" s="2084"/>
      <c r="DX17" s="2084"/>
      <c r="DY17" s="2084"/>
      <c r="DZ17" s="2084"/>
      <c r="EA17" s="2084"/>
      <c r="EB17" s="2084"/>
      <c r="EC17" s="2084"/>
      <c r="ED17" s="2084"/>
      <c r="EE17" s="2084"/>
      <c r="EF17" s="2084"/>
      <c r="EG17" s="2084"/>
      <c r="EH17" s="2084"/>
      <c r="EI17" s="2084"/>
      <c r="EJ17" s="2084"/>
      <c r="EK17" s="2084"/>
      <c r="EL17" s="2084"/>
      <c r="EM17" s="2084"/>
      <c r="EN17" s="2084"/>
      <c r="EO17" s="2084"/>
      <c r="EP17" s="2084"/>
      <c r="EQ17" s="2084"/>
      <c r="ER17" s="2084"/>
      <c r="ES17" s="2084"/>
      <c r="ET17" s="2084"/>
      <c r="EU17" s="2084"/>
      <c r="EV17" s="2084"/>
      <c r="EW17" s="2084"/>
      <c r="EX17" s="2084"/>
      <c r="EY17" s="2084"/>
      <c r="EZ17" s="2084"/>
      <c r="FA17" s="2084"/>
      <c r="FB17" s="2084"/>
      <c r="FC17" s="2084"/>
      <c r="FD17" s="2084"/>
      <c r="FE17" s="2084"/>
      <c r="FF17" s="2084"/>
      <c r="FG17" s="2084"/>
      <c r="FH17" s="2084"/>
      <c r="FI17" s="2084"/>
      <c r="FJ17" s="2084"/>
      <c r="FK17" s="2084"/>
      <c r="FL17" s="2084"/>
      <c r="FM17" s="2084"/>
      <c r="FN17" s="2084"/>
      <c r="FO17" s="2084"/>
      <c r="FP17" s="2084"/>
      <c r="FQ17" s="2084"/>
      <c r="FR17" s="2084"/>
      <c r="FS17" s="2084"/>
      <c r="FT17" s="2084"/>
      <c r="FU17" s="2084"/>
      <c r="FV17" s="2084"/>
      <c r="FW17" s="2084"/>
      <c r="FX17" s="2084"/>
      <c r="FY17" s="2084"/>
      <c r="FZ17" s="2084"/>
      <c r="GA17" s="2084"/>
      <c r="GB17" s="2084"/>
      <c r="GC17" s="2084"/>
      <c r="GD17" s="2084"/>
    </row>
    <row r="18" spans="1:186" s="414" customFormat="1" ht="15" customHeight="1" outlineLevel="1">
      <c r="B18" s="2065">
        <v>2</v>
      </c>
      <c r="C18" s="2065" t="s">
        <v>1336</v>
      </c>
      <c r="D18" s="2065"/>
      <c r="E18" s="2065"/>
      <c r="F18" s="2066"/>
      <c r="G18" s="2066"/>
      <c r="H18" s="2066"/>
      <c r="I18" s="2066"/>
      <c r="J18" s="2066"/>
      <c r="K18" s="2066"/>
      <c r="L18" s="2066"/>
      <c r="M18" s="2066"/>
      <c r="N18" s="2066"/>
      <c r="O18" s="2066"/>
      <c r="P18" s="2066"/>
      <c r="Q18" s="2066"/>
      <c r="R18" s="2066"/>
      <c r="S18" s="2066"/>
      <c r="T18" s="2066"/>
      <c r="U18" s="2066"/>
      <c r="V18" s="2066"/>
      <c r="W18" s="2066"/>
      <c r="X18" s="2066"/>
      <c r="Y18" s="2066"/>
      <c r="Z18" s="2066"/>
      <c r="AA18" s="2066"/>
      <c r="AB18" s="2066"/>
      <c r="AC18" s="2066"/>
      <c r="AD18" s="2066"/>
      <c r="AE18" s="2066"/>
      <c r="AF18" s="2066"/>
      <c r="AG18" s="2066"/>
      <c r="AH18" s="2066"/>
      <c r="AI18" s="2066"/>
      <c r="AJ18" s="2066"/>
      <c r="AK18" s="2066"/>
      <c r="AL18" s="2066"/>
      <c r="AM18" s="2066"/>
      <c r="AN18" s="2066"/>
      <c r="AO18" s="2066"/>
      <c r="AP18" s="2066"/>
      <c r="AQ18" s="2066"/>
      <c r="AR18" s="2066"/>
      <c r="AS18" s="2066"/>
      <c r="AT18" s="2066"/>
      <c r="AU18" s="2066"/>
      <c r="AV18" s="2066"/>
      <c r="AW18" s="2066"/>
      <c r="AX18" s="2066"/>
      <c r="AY18" s="2066"/>
      <c r="AZ18" s="2066"/>
      <c r="BA18" s="2066"/>
      <c r="BB18" s="2066"/>
      <c r="BC18" s="2066"/>
      <c r="BD18" s="2066"/>
      <c r="BE18" s="2066"/>
      <c r="BF18" s="2066"/>
      <c r="BG18" s="2066"/>
      <c r="BH18" s="2066"/>
      <c r="BI18" s="2066"/>
      <c r="BJ18" s="2066"/>
      <c r="BK18" s="2066"/>
      <c r="BL18" s="2066"/>
      <c r="BM18" s="2066"/>
      <c r="BN18" s="2066"/>
      <c r="BO18" s="2066"/>
      <c r="BP18" s="2066"/>
      <c r="BQ18" s="2066"/>
      <c r="BR18" s="2066"/>
      <c r="BS18" s="2066"/>
      <c r="BT18" s="2066"/>
      <c r="BU18" s="2066"/>
      <c r="BV18" s="2066"/>
      <c r="BW18" s="2066"/>
      <c r="BX18" s="2066"/>
      <c r="BY18" s="2066"/>
      <c r="BZ18" s="2066"/>
      <c r="CA18" s="2066"/>
      <c r="CB18" s="2066"/>
      <c r="CC18" s="2066"/>
      <c r="CD18" s="2066"/>
      <c r="CE18" s="2066"/>
      <c r="CF18" s="2066"/>
      <c r="CG18" s="2066"/>
      <c r="CH18" s="2066"/>
      <c r="CI18" s="2066"/>
      <c r="CJ18" s="2066"/>
      <c r="CK18" s="2066"/>
      <c r="CL18" s="2066"/>
      <c r="CM18" s="2066"/>
      <c r="CN18" s="2066"/>
      <c r="CO18" s="2066"/>
      <c r="CP18" s="2066"/>
      <c r="CQ18" s="2066"/>
      <c r="CR18" s="2066"/>
      <c r="CS18" s="2066"/>
      <c r="CT18" s="2066"/>
      <c r="CU18" s="2066"/>
      <c r="CV18" s="2066"/>
      <c r="CW18" s="2066"/>
      <c r="CX18" s="2066"/>
      <c r="CY18" s="2066"/>
      <c r="CZ18" s="2066"/>
      <c r="DA18" s="2066"/>
      <c r="DB18" s="2066"/>
      <c r="DC18" s="2066"/>
      <c r="DD18" s="2066"/>
      <c r="DE18" s="2066"/>
      <c r="DF18" s="2066"/>
      <c r="DG18" s="2066"/>
      <c r="DH18" s="2066"/>
      <c r="DI18" s="2066"/>
      <c r="DJ18" s="2066"/>
      <c r="DK18" s="2066"/>
      <c r="DL18" s="2066"/>
      <c r="DM18" s="2066"/>
      <c r="DN18" s="2066"/>
      <c r="DO18" s="2066"/>
      <c r="DP18" s="2066"/>
      <c r="DQ18" s="2066"/>
      <c r="DR18" s="2066"/>
      <c r="DS18" s="2066"/>
      <c r="DT18" s="2066"/>
      <c r="DU18" s="2066"/>
      <c r="DV18" s="2066"/>
      <c r="DW18" s="2066"/>
      <c r="DX18" s="2066"/>
      <c r="DY18" s="2066"/>
      <c r="DZ18" s="2066"/>
      <c r="EA18" s="2066"/>
      <c r="EB18" s="2066"/>
      <c r="EC18" s="2066"/>
      <c r="ED18" s="2066"/>
      <c r="EE18" s="2066"/>
      <c r="EF18" s="2066"/>
      <c r="EG18" s="2066"/>
      <c r="EH18" s="2066"/>
      <c r="EI18" s="2066"/>
      <c r="EJ18" s="2066"/>
      <c r="EK18" s="2066"/>
      <c r="EL18" s="2066"/>
      <c r="EM18" s="2066"/>
      <c r="EN18" s="2066"/>
      <c r="EO18" s="2066"/>
      <c r="EP18" s="2066"/>
      <c r="EQ18" s="2066"/>
      <c r="ER18" s="2066"/>
      <c r="ES18" s="2066"/>
      <c r="ET18" s="2066"/>
      <c r="EU18" s="2066"/>
      <c r="EV18" s="2066"/>
      <c r="EW18" s="2066"/>
      <c r="EX18" s="2066"/>
      <c r="EY18" s="2066"/>
      <c r="EZ18" s="2066"/>
      <c r="FA18" s="2066"/>
      <c r="FB18" s="2066"/>
      <c r="FC18" s="2066"/>
      <c r="FD18" s="2066"/>
      <c r="FE18" s="2066"/>
      <c r="FF18" s="2066"/>
      <c r="FG18" s="2066"/>
      <c r="FH18" s="2066"/>
      <c r="FI18" s="2066"/>
      <c r="FJ18" s="2066"/>
      <c r="FK18" s="2066"/>
      <c r="FL18" s="2066"/>
      <c r="FM18" s="2066"/>
      <c r="FN18" s="2066"/>
      <c r="FO18" s="2066"/>
      <c r="FP18" s="2066"/>
      <c r="FQ18" s="2066"/>
      <c r="FR18" s="2066"/>
      <c r="FS18" s="2066"/>
      <c r="FT18" s="2066"/>
      <c r="FU18" s="2066"/>
      <c r="FV18" s="2066"/>
      <c r="FW18" s="2066"/>
      <c r="FX18" s="2066"/>
      <c r="FY18" s="2066"/>
      <c r="FZ18" s="2066"/>
      <c r="GA18" s="2066"/>
      <c r="GB18" s="2066"/>
      <c r="GC18" s="2066"/>
      <c r="GD18" s="2066"/>
    </row>
    <row r="19" spans="1:186" ht="15" customHeight="1" outlineLevel="1">
      <c r="A19" s="303"/>
      <c r="B19" s="303"/>
      <c r="C19" s="717" t="s">
        <v>11</v>
      </c>
      <c r="D19" s="718"/>
      <c r="E19" s="718"/>
      <c r="F19" s="766" t="s">
        <v>195</v>
      </c>
      <c r="G19" s="640">
        <f>기준분기</f>
        <v>43555</v>
      </c>
      <c r="H19" s="641">
        <f t="shared" ref="H19:BS19" si="16">EOMONTH(G19,3)</f>
        <v>43646</v>
      </c>
      <c r="I19" s="641">
        <f t="shared" si="16"/>
        <v>43738</v>
      </c>
      <c r="J19" s="642">
        <f t="shared" si="16"/>
        <v>43830</v>
      </c>
      <c r="K19" s="640">
        <f t="shared" si="16"/>
        <v>43921</v>
      </c>
      <c r="L19" s="641">
        <f t="shared" si="16"/>
        <v>44012</v>
      </c>
      <c r="M19" s="641">
        <f t="shared" si="16"/>
        <v>44104</v>
      </c>
      <c r="N19" s="642">
        <f t="shared" si="16"/>
        <v>44196</v>
      </c>
      <c r="O19" s="640">
        <f t="shared" si="16"/>
        <v>44286</v>
      </c>
      <c r="P19" s="641">
        <f t="shared" si="16"/>
        <v>44377</v>
      </c>
      <c r="Q19" s="641">
        <f t="shared" si="16"/>
        <v>44469</v>
      </c>
      <c r="R19" s="642">
        <f t="shared" si="16"/>
        <v>44561</v>
      </c>
      <c r="S19" s="640">
        <f t="shared" si="16"/>
        <v>44651</v>
      </c>
      <c r="T19" s="641">
        <f t="shared" si="16"/>
        <v>44742</v>
      </c>
      <c r="U19" s="641">
        <f t="shared" si="16"/>
        <v>44834</v>
      </c>
      <c r="V19" s="642">
        <f t="shared" si="16"/>
        <v>44926</v>
      </c>
      <c r="W19" s="640">
        <f t="shared" si="16"/>
        <v>45016</v>
      </c>
      <c r="X19" s="641">
        <f t="shared" si="16"/>
        <v>45107</v>
      </c>
      <c r="Y19" s="641">
        <f t="shared" si="16"/>
        <v>45199</v>
      </c>
      <c r="Z19" s="642">
        <f t="shared" si="16"/>
        <v>45291</v>
      </c>
      <c r="AA19" s="640">
        <f t="shared" si="16"/>
        <v>45382</v>
      </c>
      <c r="AB19" s="641">
        <f t="shared" si="16"/>
        <v>45473</v>
      </c>
      <c r="AC19" s="641">
        <f t="shared" si="16"/>
        <v>45565</v>
      </c>
      <c r="AD19" s="642">
        <f t="shared" si="16"/>
        <v>45657</v>
      </c>
      <c r="AE19" s="640">
        <f t="shared" si="16"/>
        <v>45747</v>
      </c>
      <c r="AF19" s="641">
        <f t="shared" si="16"/>
        <v>45838</v>
      </c>
      <c r="AG19" s="641">
        <f t="shared" si="16"/>
        <v>45930</v>
      </c>
      <c r="AH19" s="642">
        <f t="shared" si="16"/>
        <v>46022</v>
      </c>
      <c r="AI19" s="640">
        <f t="shared" si="16"/>
        <v>46112</v>
      </c>
      <c r="AJ19" s="641">
        <f t="shared" si="16"/>
        <v>46203</v>
      </c>
      <c r="AK19" s="641">
        <f t="shared" si="16"/>
        <v>46295</v>
      </c>
      <c r="AL19" s="642">
        <f t="shared" si="16"/>
        <v>46387</v>
      </c>
      <c r="AM19" s="640">
        <f t="shared" si="16"/>
        <v>46477</v>
      </c>
      <c r="AN19" s="641">
        <f t="shared" si="16"/>
        <v>46568</v>
      </c>
      <c r="AO19" s="641">
        <f t="shared" si="16"/>
        <v>46660</v>
      </c>
      <c r="AP19" s="642">
        <f t="shared" si="16"/>
        <v>46752</v>
      </c>
      <c r="AQ19" s="640">
        <f t="shared" si="16"/>
        <v>46843</v>
      </c>
      <c r="AR19" s="641">
        <f t="shared" si="16"/>
        <v>46934</v>
      </c>
      <c r="AS19" s="641">
        <f t="shared" si="16"/>
        <v>47026</v>
      </c>
      <c r="AT19" s="642">
        <f t="shared" si="16"/>
        <v>47118</v>
      </c>
      <c r="AU19" s="640">
        <f t="shared" si="16"/>
        <v>47208</v>
      </c>
      <c r="AV19" s="641">
        <f t="shared" si="16"/>
        <v>47299</v>
      </c>
      <c r="AW19" s="641">
        <f t="shared" si="16"/>
        <v>47391</v>
      </c>
      <c r="AX19" s="642">
        <f t="shared" si="16"/>
        <v>47483</v>
      </c>
      <c r="AY19" s="640">
        <f t="shared" si="16"/>
        <v>47573</v>
      </c>
      <c r="AZ19" s="641">
        <f t="shared" si="16"/>
        <v>47664</v>
      </c>
      <c r="BA19" s="641">
        <f t="shared" si="16"/>
        <v>47756</v>
      </c>
      <c r="BB19" s="642">
        <f t="shared" si="16"/>
        <v>47848</v>
      </c>
      <c r="BC19" s="640">
        <f t="shared" si="16"/>
        <v>47938</v>
      </c>
      <c r="BD19" s="641">
        <f t="shared" si="16"/>
        <v>48029</v>
      </c>
      <c r="BE19" s="641">
        <f t="shared" si="16"/>
        <v>48121</v>
      </c>
      <c r="BF19" s="642">
        <f t="shared" si="16"/>
        <v>48213</v>
      </c>
      <c r="BG19" s="640">
        <f t="shared" si="16"/>
        <v>48304</v>
      </c>
      <c r="BH19" s="641">
        <f t="shared" si="16"/>
        <v>48395</v>
      </c>
      <c r="BI19" s="641">
        <f t="shared" si="16"/>
        <v>48487</v>
      </c>
      <c r="BJ19" s="642">
        <f t="shared" si="16"/>
        <v>48579</v>
      </c>
      <c r="BK19" s="640">
        <f t="shared" si="16"/>
        <v>48669</v>
      </c>
      <c r="BL19" s="641">
        <f t="shared" si="16"/>
        <v>48760</v>
      </c>
      <c r="BM19" s="641">
        <f t="shared" si="16"/>
        <v>48852</v>
      </c>
      <c r="BN19" s="642">
        <f t="shared" si="16"/>
        <v>48944</v>
      </c>
      <c r="BO19" s="640">
        <f t="shared" si="16"/>
        <v>49034</v>
      </c>
      <c r="BP19" s="641">
        <f t="shared" si="16"/>
        <v>49125</v>
      </c>
      <c r="BQ19" s="641">
        <f t="shared" si="16"/>
        <v>49217</v>
      </c>
      <c r="BR19" s="642">
        <f t="shared" si="16"/>
        <v>49309</v>
      </c>
      <c r="BS19" s="640">
        <f t="shared" si="16"/>
        <v>49399</v>
      </c>
      <c r="BT19" s="641">
        <f t="shared" ref="BT19:EE19" si="17">EOMONTH(BS19,3)</f>
        <v>49490</v>
      </c>
      <c r="BU19" s="641">
        <f t="shared" si="17"/>
        <v>49582</v>
      </c>
      <c r="BV19" s="642">
        <f t="shared" si="17"/>
        <v>49674</v>
      </c>
      <c r="BW19" s="640">
        <f t="shared" si="17"/>
        <v>49765</v>
      </c>
      <c r="BX19" s="641">
        <f t="shared" si="17"/>
        <v>49856</v>
      </c>
      <c r="BY19" s="641">
        <f t="shared" si="17"/>
        <v>49948</v>
      </c>
      <c r="BZ19" s="642">
        <f t="shared" si="17"/>
        <v>50040</v>
      </c>
      <c r="CA19" s="640">
        <f t="shared" si="17"/>
        <v>50130</v>
      </c>
      <c r="CB19" s="641">
        <f t="shared" si="17"/>
        <v>50221</v>
      </c>
      <c r="CC19" s="641">
        <f t="shared" si="17"/>
        <v>50313</v>
      </c>
      <c r="CD19" s="642">
        <f t="shared" si="17"/>
        <v>50405</v>
      </c>
      <c r="CE19" s="640">
        <f t="shared" si="17"/>
        <v>50495</v>
      </c>
      <c r="CF19" s="641">
        <f t="shared" si="17"/>
        <v>50586</v>
      </c>
      <c r="CG19" s="641">
        <f t="shared" si="17"/>
        <v>50678</v>
      </c>
      <c r="CH19" s="642">
        <f t="shared" si="17"/>
        <v>50770</v>
      </c>
      <c r="CI19" s="640">
        <f t="shared" si="17"/>
        <v>50860</v>
      </c>
      <c r="CJ19" s="641">
        <f t="shared" si="17"/>
        <v>50951</v>
      </c>
      <c r="CK19" s="641">
        <f t="shared" si="17"/>
        <v>51043</v>
      </c>
      <c r="CL19" s="642">
        <f t="shared" si="17"/>
        <v>51135</v>
      </c>
      <c r="CM19" s="640">
        <f t="shared" si="17"/>
        <v>51226</v>
      </c>
      <c r="CN19" s="641">
        <f t="shared" si="17"/>
        <v>51317</v>
      </c>
      <c r="CO19" s="641">
        <f t="shared" si="17"/>
        <v>51409</v>
      </c>
      <c r="CP19" s="642">
        <f t="shared" si="17"/>
        <v>51501</v>
      </c>
      <c r="CQ19" s="640">
        <f t="shared" si="17"/>
        <v>51591</v>
      </c>
      <c r="CR19" s="641">
        <f t="shared" si="17"/>
        <v>51682</v>
      </c>
      <c r="CS19" s="641">
        <f t="shared" si="17"/>
        <v>51774</v>
      </c>
      <c r="CT19" s="642">
        <f t="shared" si="17"/>
        <v>51866</v>
      </c>
      <c r="CU19" s="640">
        <f t="shared" si="17"/>
        <v>51956</v>
      </c>
      <c r="CV19" s="641">
        <f t="shared" si="17"/>
        <v>52047</v>
      </c>
      <c r="CW19" s="641">
        <f t="shared" si="17"/>
        <v>52139</v>
      </c>
      <c r="CX19" s="642">
        <f t="shared" si="17"/>
        <v>52231</v>
      </c>
      <c r="CY19" s="640">
        <f t="shared" si="17"/>
        <v>52321</v>
      </c>
      <c r="CZ19" s="641">
        <f t="shared" si="17"/>
        <v>52412</v>
      </c>
      <c r="DA19" s="641">
        <f t="shared" si="17"/>
        <v>52504</v>
      </c>
      <c r="DB19" s="642">
        <f t="shared" si="17"/>
        <v>52596</v>
      </c>
      <c r="DC19" s="640">
        <f t="shared" si="17"/>
        <v>52687</v>
      </c>
      <c r="DD19" s="641">
        <f t="shared" si="17"/>
        <v>52778</v>
      </c>
      <c r="DE19" s="641">
        <f t="shared" si="17"/>
        <v>52870</v>
      </c>
      <c r="DF19" s="642">
        <f t="shared" si="17"/>
        <v>52962</v>
      </c>
      <c r="DG19" s="640">
        <f t="shared" si="17"/>
        <v>53052</v>
      </c>
      <c r="DH19" s="641">
        <f t="shared" si="17"/>
        <v>53143</v>
      </c>
      <c r="DI19" s="641">
        <f t="shared" si="17"/>
        <v>53235</v>
      </c>
      <c r="DJ19" s="642">
        <f t="shared" si="17"/>
        <v>53327</v>
      </c>
      <c r="DK19" s="640">
        <f t="shared" si="17"/>
        <v>53417</v>
      </c>
      <c r="DL19" s="641">
        <f t="shared" si="17"/>
        <v>53508</v>
      </c>
      <c r="DM19" s="641">
        <f t="shared" si="17"/>
        <v>53600</v>
      </c>
      <c r="DN19" s="642">
        <f t="shared" si="17"/>
        <v>53692</v>
      </c>
      <c r="DO19" s="640">
        <f t="shared" si="17"/>
        <v>53782</v>
      </c>
      <c r="DP19" s="641">
        <f t="shared" si="17"/>
        <v>53873</v>
      </c>
      <c r="DQ19" s="641">
        <f t="shared" si="17"/>
        <v>53965</v>
      </c>
      <c r="DR19" s="642">
        <f t="shared" si="17"/>
        <v>54057</v>
      </c>
      <c r="DS19" s="640">
        <f t="shared" si="17"/>
        <v>54148</v>
      </c>
      <c r="DT19" s="641">
        <f t="shared" si="17"/>
        <v>54239</v>
      </c>
      <c r="DU19" s="641">
        <f t="shared" si="17"/>
        <v>54331</v>
      </c>
      <c r="DV19" s="642">
        <f t="shared" si="17"/>
        <v>54423</v>
      </c>
      <c r="DW19" s="640">
        <f t="shared" si="17"/>
        <v>54513</v>
      </c>
      <c r="DX19" s="641">
        <f t="shared" si="17"/>
        <v>54604</v>
      </c>
      <c r="DY19" s="641">
        <f t="shared" si="17"/>
        <v>54696</v>
      </c>
      <c r="DZ19" s="642">
        <f t="shared" si="17"/>
        <v>54788</v>
      </c>
      <c r="EA19" s="640">
        <f t="shared" si="17"/>
        <v>54878</v>
      </c>
      <c r="EB19" s="641">
        <f t="shared" si="17"/>
        <v>54969</v>
      </c>
      <c r="EC19" s="641">
        <f t="shared" si="17"/>
        <v>55061</v>
      </c>
      <c r="ED19" s="642">
        <f t="shared" si="17"/>
        <v>55153</v>
      </c>
      <c r="EE19" s="640">
        <f t="shared" si="17"/>
        <v>55243</v>
      </c>
      <c r="EF19" s="641">
        <f t="shared" ref="EF19:GD19" si="18">EOMONTH(EE19,3)</f>
        <v>55334</v>
      </c>
      <c r="EG19" s="641">
        <f t="shared" si="18"/>
        <v>55426</v>
      </c>
      <c r="EH19" s="642">
        <f t="shared" si="18"/>
        <v>55518</v>
      </c>
      <c r="EI19" s="640">
        <f t="shared" si="18"/>
        <v>55609</v>
      </c>
      <c r="EJ19" s="641">
        <f t="shared" si="18"/>
        <v>55700</v>
      </c>
      <c r="EK19" s="641">
        <f t="shared" si="18"/>
        <v>55792</v>
      </c>
      <c r="EL19" s="642">
        <f t="shared" si="18"/>
        <v>55884</v>
      </c>
      <c r="EM19" s="640">
        <f t="shared" si="18"/>
        <v>55974</v>
      </c>
      <c r="EN19" s="641">
        <f t="shared" si="18"/>
        <v>56065</v>
      </c>
      <c r="EO19" s="641">
        <f t="shared" si="18"/>
        <v>56157</v>
      </c>
      <c r="EP19" s="642">
        <f t="shared" si="18"/>
        <v>56249</v>
      </c>
      <c r="EQ19" s="640">
        <f t="shared" si="18"/>
        <v>56339</v>
      </c>
      <c r="ER19" s="641">
        <f t="shared" si="18"/>
        <v>56430</v>
      </c>
      <c r="ES19" s="641">
        <f t="shared" si="18"/>
        <v>56522</v>
      </c>
      <c r="ET19" s="642">
        <f t="shared" si="18"/>
        <v>56614</v>
      </c>
      <c r="EU19" s="640">
        <f t="shared" si="18"/>
        <v>56704</v>
      </c>
      <c r="EV19" s="641">
        <f t="shared" si="18"/>
        <v>56795</v>
      </c>
      <c r="EW19" s="641">
        <f t="shared" si="18"/>
        <v>56887</v>
      </c>
      <c r="EX19" s="642">
        <f t="shared" si="18"/>
        <v>56979</v>
      </c>
      <c r="EY19" s="640">
        <f t="shared" si="18"/>
        <v>57070</v>
      </c>
      <c r="EZ19" s="641">
        <f t="shared" si="18"/>
        <v>57161</v>
      </c>
      <c r="FA19" s="641">
        <f t="shared" si="18"/>
        <v>57253</v>
      </c>
      <c r="FB19" s="642">
        <f t="shared" si="18"/>
        <v>57345</v>
      </c>
      <c r="FC19" s="640">
        <f t="shared" si="18"/>
        <v>57435</v>
      </c>
      <c r="FD19" s="641">
        <f t="shared" si="18"/>
        <v>57526</v>
      </c>
      <c r="FE19" s="641">
        <f t="shared" si="18"/>
        <v>57618</v>
      </c>
      <c r="FF19" s="642">
        <f t="shared" si="18"/>
        <v>57710</v>
      </c>
      <c r="FG19" s="640">
        <f t="shared" si="18"/>
        <v>57800</v>
      </c>
      <c r="FH19" s="641">
        <f t="shared" si="18"/>
        <v>57891</v>
      </c>
      <c r="FI19" s="641">
        <f t="shared" si="18"/>
        <v>57983</v>
      </c>
      <c r="FJ19" s="642">
        <f t="shared" si="18"/>
        <v>58075</v>
      </c>
      <c r="FK19" s="640">
        <f t="shared" si="18"/>
        <v>58165</v>
      </c>
      <c r="FL19" s="641">
        <f t="shared" si="18"/>
        <v>58256</v>
      </c>
      <c r="FM19" s="641">
        <f t="shared" si="18"/>
        <v>58348</v>
      </c>
      <c r="FN19" s="642">
        <f t="shared" si="18"/>
        <v>58440</v>
      </c>
      <c r="FO19" s="640">
        <f t="shared" si="18"/>
        <v>58531</v>
      </c>
      <c r="FP19" s="641">
        <f t="shared" si="18"/>
        <v>58622</v>
      </c>
      <c r="FQ19" s="641">
        <f t="shared" si="18"/>
        <v>58714</v>
      </c>
      <c r="FR19" s="642">
        <f t="shared" si="18"/>
        <v>58806</v>
      </c>
      <c r="FS19" s="640">
        <f t="shared" si="18"/>
        <v>58896</v>
      </c>
      <c r="FT19" s="641">
        <f t="shared" si="18"/>
        <v>58987</v>
      </c>
      <c r="FU19" s="641">
        <f t="shared" si="18"/>
        <v>59079</v>
      </c>
      <c r="FV19" s="642">
        <f t="shared" si="18"/>
        <v>59171</v>
      </c>
      <c r="FW19" s="640">
        <f t="shared" si="18"/>
        <v>59261</v>
      </c>
      <c r="FX19" s="641">
        <f t="shared" si="18"/>
        <v>59352</v>
      </c>
      <c r="FY19" s="641">
        <f t="shared" si="18"/>
        <v>59444</v>
      </c>
      <c r="FZ19" s="642">
        <f t="shared" si="18"/>
        <v>59536</v>
      </c>
      <c r="GA19" s="640">
        <f t="shared" si="18"/>
        <v>59626</v>
      </c>
      <c r="GB19" s="641">
        <f t="shared" si="18"/>
        <v>59717</v>
      </c>
      <c r="GC19" s="641">
        <f t="shared" si="18"/>
        <v>59809</v>
      </c>
      <c r="GD19" s="642">
        <f t="shared" si="18"/>
        <v>59901</v>
      </c>
    </row>
    <row r="20" spans="1:186" ht="15" customHeight="1" outlineLevel="1">
      <c r="B20" s="2085"/>
      <c r="C20" s="2090" t="s">
        <v>3750</v>
      </c>
      <c r="D20" s="2091"/>
      <c r="E20" s="2092"/>
      <c r="F20" s="2093">
        <f t="shared" ref="F20:F25" ca="1" si="19">SUM(G20:GD20)</f>
        <v>46628.244452779974</v>
      </c>
      <c r="G20" s="2094">
        <f ca="1">G16</f>
        <v>240.58674977846402</v>
      </c>
      <c r="H20" s="2095">
        <f t="shared" ref="H20:BS20" ca="1" si="20">H16</f>
        <v>206.0879697785542</v>
      </c>
      <c r="I20" s="2095">
        <f t="shared" ca="1" si="20"/>
        <v>170.77819008855417</v>
      </c>
      <c r="J20" s="2096">
        <f t="shared" ca="1" si="20"/>
        <v>116.69730975855418</v>
      </c>
      <c r="K20" s="2094">
        <f t="shared" ca="1" si="20"/>
        <v>221.28963234855416</v>
      </c>
      <c r="L20" s="2095">
        <f t="shared" ca="1" si="20"/>
        <v>285.41247461933335</v>
      </c>
      <c r="M20" s="2095">
        <f t="shared" ca="1" si="20"/>
        <v>252.1386285757122</v>
      </c>
      <c r="N20" s="2096">
        <f t="shared" ca="1" si="20"/>
        <v>200.14480231571218</v>
      </c>
      <c r="O20" s="2094">
        <f t="shared" ca="1" si="20"/>
        <v>114.40566249000001</v>
      </c>
      <c r="P20" s="2095">
        <f t="shared" ca="1" si="20"/>
        <v>148.78848501179391</v>
      </c>
      <c r="Q20" s="2095">
        <f t="shared" ca="1" si="20"/>
        <v>85.975114423333338</v>
      </c>
      <c r="R20" s="2096">
        <f t="shared" ca="1" si="20"/>
        <v>78.445944266744178</v>
      </c>
      <c r="S20" s="2094">
        <f t="shared" ca="1" si="20"/>
        <v>68.338004432043732</v>
      </c>
      <c r="T20" s="2095">
        <f t="shared" ca="1" si="20"/>
        <v>123.51215366492741</v>
      </c>
      <c r="U20" s="2095">
        <f t="shared" ca="1" si="20"/>
        <v>69.768207804688871</v>
      </c>
      <c r="V20" s="2096">
        <f t="shared" ca="1" si="20"/>
        <v>65.860142133666812</v>
      </c>
      <c r="W20" s="2094">
        <f t="shared" ca="1" si="20"/>
        <v>115.55951149873762</v>
      </c>
      <c r="X20" s="2095">
        <f t="shared" ca="1" si="20"/>
        <v>197.12112372820582</v>
      </c>
      <c r="Y20" s="2095">
        <f t="shared" ca="1" si="20"/>
        <v>156.80886774972888</v>
      </c>
      <c r="Z20" s="2096">
        <f t="shared" ca="1" si="20"/>
        <v>119.47305053859714</v>
      </c>
      <c r="AA20" s="2094">
        <f t="shared" ca="1" si="20"/>
        <v>79.782845330926548</v>
      </c>
      <c r="AB20" s="2095">
        <f t="shared" ca="1" si="20"/>
        <v>184.38809028950038</v>
      </c>
      <c r="AC20" s="2095">
        <f t="shared" ca="1" si="20"/>
        <v>148.96658436993619</v>
      </c>
      <c r="AD20" s="2096">
        <f t="shared" ca="1" si="20"/>
        <v>113.33396737245205</v>
      </c>
      <c r="AE20" s="2094">
        <f t="shared" ca="1" si="20"/>
        <v>72.080292063928681</v>
      </c>
      <c r="AF20" s="2095">
        <f t="shared" ca="1" si="20"/>
        <v>114.32555621097202</v>
      </c>
      <c r="AG20" s="2095">
        <f t="shared" ca="1" si="20"/>
        <v>65.471669525795718</v>
      </c>
      <c r="AH20" s="2096">
        <f t="shared" ca="1" si="20"/>
        <v>70.179170518648021</v>
      </c>
      <c r="AI20" s="2094">
        <f t="shared" ca="1" si="20"/>
        <v>66.410656982206604</v>
      </c>
      <c r="AJ20" s="2095">
        <f t="shared" ca="1" si="20"/>
        <v>72.063150875020042</v>
      </c>
      <c r="AK20" s="2095">
        <f t="shared" ca="1" si="20"/>
        <v>66.787756952490511</v>
      </c>
      <c r="AL20" s="2096">
        <f t="shared" ca="1" si="20"/>
        <v>72.063150875020042</v>
      </c>
      <c r="AM20" s="2094">
        <f t="shared" ca="1" si="20"/>
        <v>81.024269249957399</v>
      </c>
      <c r="AN20" s="2095">
        <f t="shared" ca="1" si="20"/>
        <v>84.853040228084112</v>
      </c>
      <c r="AO20" s="2095">
        <f t="shared" ca="1" si="20"/>
        <v>88.879870443387873</v>
      </c>
      <c r="AP20" s="2096">
        <f t="shared" ca="1" si="20"/>
        <v>93.230363141514587</v>
      </c>
      <c r="AQ20" s="2094">
        <f t="shared" ca="1" si="20"/>
        <v>96.172377959521938</v>
      </c>
      <c r="AR20" s="2095">
        <f t="shared" ca="1" si="20"/>
        <v>101.86171658151542</v>
      </c>
      <c r="AS20" s="2095">
        <f t="shared" ca="1" si="20"/>
        <v>107.71026917879867</v>
      </c>
      <c r="AT20" s="2096">
        <f t="shared" ca="1" si="20"/>
        <v>115.50680764735964</v>
      </c>
      <c r="AU20" s="2094">
        <f t="shared" ca="1" si="20"/>
        <v>122.37913855531474</v>
      </c>
      <c r="AV20" s="2095">
        <f t="shared" ca="1" si="20"/>
        <v>94.678622981585903</v>
      </c>
      <c r="AW20" s="2095">
        <f t="shared" ca="1" si="20"/>
        <v>95.331419022467415</v>
      </c>
      <c r="AX20" s="2096">
        <f t="shared" ca="1" si="20"/>
        <v>98.50142391197241</v>
      </c>
      <c r="AY20" s="2094">
        <f t="shared" ca="1" si="20"/>
        <v>114.16145299759754</v>
      </c>
      <c r="AZ20" s="2095">
        <f t="shared" ca="1" si="20"/>
        <v>114.39699401110389</v>
      </c>
      <c r="BA20" s="2095">
        <f t="shared" ca="1" si="20"/>
        <v>128.186560362775</v>
      </c>
      <c r="BB20" s="2096">
        <f t="shared" ca="1" si="20"/>
        <v>144.17923823100301</v>
      </c>
      <c r="BC20" s="2094">
        <f t="shared" ca="1" si="20"/>
        <v>154.57184126208065</v>
      </c>
      <c r="BD20" s="2095">
        <f t="shared" ca="1" si="20"/>
        <v>136.98944357011788</v>
      </c>
      <c r="BE20" s="2095">
        <f t="shared" ca="1" si="20"/>
        <v>143.74727373299078</v>
      </c>
      <c r="BF20" s="2096">
        <f t="shared" ca="1" si="20"/>
        <v>154.80733086162257</v>
      </c>
      <c r="BG20" s="2094">
        <f t="shared" ca="1" si="20"/>
        <v>164.18218231389858</v>
      </c>
      <c r="BH20" s="2095">
        <f t="shared" ca="1" si="20"/>
        <v>154.10467783872465</v>
      </c>
      <c r="BI20" s="2095">
        <f t="shared" ca="1" si="20"/>
        <v>165.32445188514362</v>
      </c>
      <c r="BJ20" s="2096">
        <f t="shared" ca="1" si="20"/>
        <v>180.28773230654397</v>
      </c>
      <c r="BK20" s="2094">
        <f t="shared" ca="1" si="20"/>
        <v>194.44357494292024</v>
      </c>
      <c r="BL20" s="2095">
        <f t="shared" ca="1" si="20"/>
        <v>192.59652465414155</v>
      </c>
      <c r="BM20" s="2095">
        <f t="shared" ca="1" si="20"/>
        <v>213.37113653920395</v>
      </c>
      <c r="BN20" s="2096">
        <f t="shared" ca="1" si="20"/>
        <v>238.13242691142085</v>
      </c>
      <c r="BO20" s="2094">
        <f t="shared" ca="1" si="20"/>
        <v>257.77951750562897</v>
      </c>
      <c r="BP20" s="2095">
        <f t="shared" ca="1" si="20"/>
        <v>241.60521886779196</v>
      </c>
      <c r="BQ20" s="2095">
        <f t="shared" ca="1" si="20"/>
        <v>253.3705046512527</v>
      </c>
      <c r="BR20" s="2096">
        <f t="shared" ca="1" si="20"/>
        <v>270.09890077610498</v>
      </c>
      <c r="BS20" s="2094">
        <f t="shared" ca="1" si="20"/>
        <v>282.81918040839236</v>
      </c>
      <c r="BT20" s="2095">
        <f t="shared" ref="BT20:EE20" ca="1" si="21">BT16</f>
        <v>263.55322696083363</v>
      </c>
      <c r="BU20" s="2095">
        <f t="shared" ca="1" si="21"/>
        <v>271.86897389322655</v>
      </c>
      <c r="BV20" s="2096">
        <f t="shared" ca="1" si="21"/>
        <v>285.08211952967736</v>
      </c>
      <c r="BW20" s="2094">
        <f t="shared" ca="1" si="21"/>
        <v>298.47702469043901</v>
      </c>
      <c r="BX20" s="2095">
        <f t="shared" ca="1" si="21"/>
        <v>277.31704924761118</v>
      </c>
      <c r="BY20" s="2095">
        <f t="shared" ca="1" si="21"/>
        <v>286.04764519852921</v>
      </c>
      <c r="BZ20" s="2096">
        <f t="shared" ca="1" si="21"/>
        <v>298.93778391394517</v>
      </c>
      <c r="CA20" s="2094">
        <f t="shared" ca="1" si="21"/>
        <v>305.82223413263847</v>
      </c>
      <c r="CB20" s="2095">
        <f t="shared" ca="1" si="21"/>
        <v>271.69468700430571</v>
      </c>
      <c r="CC20" s="2095">
        <f t="shared" ca="1" si="21"/>
        <v>287.87512211930169</v>
      </c>
      <c r="CD20" s="2096">
        <f t="shared" ca="1" si="21"/>
        <v>309.56324353653167</v>
      </c>
      <c r="CE20" s="2094">
        <f t="shared" ca="1" si="21"/>
        <v>327.10800625888851</v>
      </c>
      <c r="CF20" s="2095">
        <f t="shared" ca="1" si="21"/>
        <v>281.9028688042618</v>
      </c>
      <c r="CG20" s="2095">
        <f t="shared" ca="1" si="21"/>
        <v>288.84438486587464</v>
      </c>
      <c r="CH20" s="2096">
        <f t="shared" ca="1" si="21"/>
        <v>301.03556387984781</v>
      </c>
      <c r="CI20" s="2094">
        <f t="shared" ca="1" si="21"/>
        <v>312.90912052059241</v>
      </c>
      <c r="CJ20" s="2095">
        <f t="shared" ca="1" si="21"/>
        <v>236.17887483993348</v>
      </c>
      <c r="CK20" s="2095">
        <f t="shared" ca="1" si="21"/>
        <v>225.69956146311145</v>
      </c>
      <c r="CL20" s="2096">
        <f t="shared" ca="1" si="21"/>
        <v>219.9000641541819</v>
      </c>
      <c r="CM20" s="2094">
        <f t="shared" ca="1" si="21"/>
        <v>210.12165311888606</v>
      </c>
      <c r="CN20" s="2095">
        <f t="shared" ca="1" si="21"/>
        <v>153.51599301097173</v>
      </c>
      <c r="CO20" s="2095">
        <f t="shared" ca="1" si="21"/>
        <v>165.52843257241338</v>
      </c>
      <c r="CP20" s="2096">
        <f t="shared" ca="1" si="21"/>
        <v>182.30808011563357</v>
      </c>
      <c r="CQ20" s="2094">
        <f t="shared" ca="1" si="21"/>
        <v>191.52708262000766</v>
      </c>
      <c r="CR20" s="2095">
        <f t="shared" ca="1" si="21"/>
        <v>128.91008635363252</v>
      </c>
      <c r="CS20" s="2095">
        <f t="shared" ca="1" si="21"/>
        <v>144.89740825966481</v>
      </c>
      <c r="CT20" s="2096">
        <f t="shared" ca="1" si="21"/>
        <v>167.48552303195098</v>
      </c>
      <c r="CU20" s="2094">
        <f t="shared" ca="1" si="21"/>
        <v>188.27258863394732</v>
      </c>
      <c r="CV20" s="2095">
        <f t="shared" ca="1" si="21"/>
        <v>124.63582200822545</v>
      </c>
      <c r="CW20" s="2095">
        <f t="shared" ca="1" si="21"/>
        <v>142.02610765039574</v>
      </c>
      <c r="CX20" s="2096">
        <f t="shared" ca="1" si="21"/>
        <v>166.46202807923515</v>
      </c>
      <c r="CY20" s="2094">
        <f t="shared" ca="1" si="21"/>
        <v>181.01063287045284</v>
      </c>
      <c r="CZ20" s="2095">
        <f t="shared" ca="1" si="21"/>
        <v>126.55363638144918</v>
      </c>
      <c r="DA20" s="2095">
        <f t="shared" ca="1" si="21"/>
        <v>148.10162902498158</v>
      </c>
      <c r="DB20" s="2096">
        <f t="shared" ca="1" si="21"/>
        <v>178.56709656536879</v>
      </c>
      <c r="DC20" s="2094">
        <f t="shared" ca="1" si="21"/>
        <v>201.49999395710293</v>
      </c>
      <c r="DD20" s="2095">
        <f t="shared" ca="1" si="21"/>
        <v>134.27492862131498</v>
      </c>
      <c r="DE20" s="2095">
        <f t="shared" ca="1" si="21"/>
        <v>160.5299469008603</v>
      </c>
      <c r="DF20" s="2096">
        <f t="shared" ca="1" si="21"/>
        <v>195.45996182272592</v>
      </c>
      <c r="DG20" s="2094">
        <f t="shared" ca="1" si="21"/>
        <v>225.76014955832895</v>
      </c>
      <c r="DH20" s="2095">
        <f t="shared" ca="1" si="21"/>
        <v>154.10608037548408</v>
      </c>
      <c r="DI20" s="2095">
        <f t="shared" ca="1" si="21"/>
        <v>182.08310177904224</v>
      </c>
      <c r="DJ20" s="2096">
        <f t="shared" ca="1" si="21"/>
        <v>218.81004199766926</v>
      </c>
      <c r="DK20" s="2094">
        <f t="shared" ca="1" si="21"/>
        <v>245.88823367080761</v>
      </c>
      <c r="DL20" s="2095">
        <f t="shared" ca="1" si="21"/>
        <v>174.8145724348206</v>
      </c>
      <c r="DM20" s="2095">
        <f t="shared" ca="1" si="21"/>
        <v>199.02769380241045</v>
      </c>
      <c r="DN20" s="2096">
        <f t="shared" ca="1" si="21"/>
        <v>232.90470089842648</v>
      </c>
      <c r="DO20" s="2094">
        <f t="shared" ca="1" si="21"/>
        <v>257.26213237410741</v>
      </c>
      <c r="DP20" s="2095">
        <f t="shared" ca="1" si="21"/>
        <v>197.04764420508013</v>
      </c>
      <c r="DQ20" s="2095">
        <f t="shared" ca="1" si="21"/>
        <v>220.76709103233222</v>
      </c>
      <c r="DR20" s="2096">
        <f t="shared" ca="1" si="21"/>
        <v>254.54174373871194</v>
      </c>
      <c r="DS20" s="2094">
        <f t="shared" ca="1" si="21"/>
        <v>283.91973669071086</v>
      </c>
      <c r="DT20" s="2095">
        <f t="shared" ca="1" si="21"/>
        <v>257.97365079329836</v>
      </c>
      <c r="DU20" s="2095">
        <f t="shared" ca="1" si="21"/>
        <v>284.29864984284029</v>
      </c>
      <c r="DV20" s="2096">
        <f t="shared" ca="1" si="21"/>
        <v>320.05430333636014</v>
      </c>
      <c r="DW20" s="2094">
        <f t="shared" ca="1" si="21"/>
        <v>344.78214698073231</v>
      </c>
      <c r="DX20" s="2095">
        <f t="shared" ca="1" si="21"/>
        <v>305.12200320752606</v>
      </c>
      <c r="DY20" s="2095">
        <f t="shared" ca="1" si="21"/>
        <v>324.68833430400406</v>
      </c>
      <c r="DZ20" s="2096">
        <f t="shared" ca="1" si="21"/>
        <v>354.96240964817827</v>
      </c>
      <c r="EA20" s="2094">
        <f t="shared" ca="1" si="21"/>
        <v>377.66174104798932</v>
      </c>
      <c r="EB20" s="2095">
        <f t="shared" ca="1" si="21"/>
        <v>353.57929200486967</v>
      </c>
      <c r="EC20" s="2095">
        <f t="shared" ca="1" si="21"/>
        <v>382.79167116125126</v>
      </c>
      <c r="ED20" s="2096">
        <f t="shared" ca="1" si="21"/>
        <v>421.62267582922573</v>
      </c>
      <c r="EE20" s="2094">
        <f t="shared" ca="1" si="21"/>
        <v>453.89899692607617</v>
      </c>
      <c r="EF20" s="2095">
        <f t="shared" ref="EF20:GD20" ca="1" si="22">EF16</f>
        <v>416.01380753977242</v>
      </c>
      <c r="EG20" s="2095">
        <f t="shared" ca="1" si="22"/>
        <v>435.69639266813209</v>
      </c>
      <c r="EH20" s="2096">
        <f t="shared" ca="1" si="22"/>
        <v>465.78216552983667</v>
      </c>
      <c r="EI20" s="2094">
        <f t="shared" ca="1" si="22"/>
        <v>483.7910434792326</v>
      </c>
      <c r="EJ20" s="2095">
        <f t="shared" ca="1" si="22"/>
        <v>445.78767479577931</v>
      </c>
      <c r="EK20" s="2095">
        <f t="shared" ca="1" si="22"/>
        <v>472.59424946440288</v>
      </c>
      <c r="EL20" s="2096">
        <f t="shared" ca="1" si="22"/>
        <v>511.13375758613921</v>
      </c>
      <c r="EM20" s="2094">
        <f t="shared" ca="1" si="22"/>
        <v>539.67409344298403</v>
      </c>
      <c r="EN20" s="2095">
        <f t="shared" ca="1" si="22"/>
        <v>506.52931962871776</v>
      </c>
      <c r="EO20" s="2095">
        <f t="shared" ca="1" si="22"/>
        <v>536.15117697197661</v>
      </c>
      <c r="EP20" s="2096">
        <f t="shared" ca="1" si="22"/>
        <v>577.13079208467479</v>
      </c>
      <c r="EQ20" s="2094">
        <f t="shared" ca="1" si="22"/>
        <v>611.43833360225244</v>
      </c>
      <c r="ER20" s="2095">
        <f t="shared" ca="1" si="22"/>
        <v>576.35863663912801</v>
      </c>
      <c r="ES20" s="2095">
        <f t="shared" ca="1" si="22"/>
        <v>604.53726876343546</v>
      </c>
      <c r="ET20" s="2096">
        <f t="shared" ca="1" si="22"/>
        <v>644.16394006768121</v>
      </c>
      <c r="EU20" s="2094">
        <f t="shared" ca="1" si="22"/>
        <v>669.64531639395648</v>
      </c>
      <c r="EV20" s="2095">
        <f t="shared" ca="1" si="22"/>
        <v>627.56818761305749</v>
      </c>
      <c r="EW20" s="2095">
        <f t="shared" ca="1" si="22"/>
        <v>658.85949737782664</v>
      </c>
      <c r="EX20" s="2096">
        <f t="shared" ca="1" si="22"/>
        <v>703.45517901516905</v>
      </c>
      <c r="EY20" s="2094">
        <f t="shared" ca="1" si="22"/>
        <v>735.67218026404157</v>
      </c>
      <c r="EZ20" s="2095">
        <f t="shared" ca="1" si="22"/>
        <v>691.3801994799303</v>
      </c>
      <c r="FA20" s="2095">
        <f t="shared" ca="1" si="22"/>
        <v>720.69418301180633</v>
      </c>
      <c r="FB20" s="2096">
        <f t="shared" ca="1" si="22"/>
        <v>763.35615088698182</v>
      </c>
      <c r="FC20" s="2094">
        <f t="shared" ca="1" si="22"/>
        <v>797.18718084750981</v>
      </c>
      <c r="FD20" s="2095">
        <f t="shared" ca="1" si="22"/>
        <v>754.77717416265727</v>
      </c>
      <c r="FE20" s="2095">
        <f t="shared" ca="1" si="22"/>
        <v>787.58609223559483</v>
      </c>
      <c r="FF20" s="2096">
        <f t="shared" ca="1" si="22"/>
        <v>834.03915279061528</v>
      </c>
      <c r="FG20" s="2094">
        <f t="shared" ca="1" si="22"/>
        <v>865.56362673552246</v>
      </c>
      <c r="FH20" s="2095">
        <f t="shared" ca="1" si="22"/>
        <v>812.59641125851363</v>
      </c>
      <c r="FI20" s="2095">
        <f t="shared" ca="1" si="22"/>
        <v>841.1940465232426</v>
      </c>
      <c r="FJ20" s="2096">
        <f t="shared" ca="1" si="22"/>
        <v>884.60100946589307</v>
      </c>
      <c r="FK20" s="2094">
        <f t="shared" ca="1" si="22"/>
        <v>913.92929925770648</v>
      </c>
      <c r="FL20" s="2095">
        <f t="shared" ca="1" si="22"/>
        <v>827.15152903783996</v>
      </c>
      <c r="FM20" s="2095">
        <f t="shared" ca="1" si="22"/>
        <v>0</v>
      </c>
      <c r="FN20" s="2096">
        <f t="shared" ca="1" si="22"/>
        <v>0</v>
      </c>
      <c r="FO20" s="2094">
        <f t="shared" si="22"/>
        <v>0</v>
      </c>
      <c r="FP20" s="2095">
        <f t="shared" si="22"/>
        <v>0</v>
      </c>
      <c r="FQ20" s="2095">
        <f t="shared" si="22"/>
        <v>0</v>
      </c>
      <c r="FR20" s="2096">
        <f t="shared" si="22"/>
        <v>0</v>
      </c>
      <c r="FS20" s="2094">
        <f t="shared" si="22"/>
        <v>0</v>
      </c>
      <c r="FT20" s="2095">
        <f t="shared" si="22"/>
        <v>0</v>
      </c>
      <c r="FU20" s="2095">
        <f t="shared" si="22"/>
        <v>0</v>
      </c>
      <c r="FV20" s="2096">
        <f t="shared" si="22"/>
        <v>0</v>
      </c>
      <c r="FW20" s="2094">
        <f t="shared" si="22"/>
        <v>0</v>
      </c>
      <c r="FX20" s="2095">
        <f t="shared" si="22"/>
        <v>0</v>
      </c>
      <c r="FY20" s="2095">
        <f t="shared" si="22"/>
        <v>0</v>
      </c>
      <c r="FZ20" s="2096">
        <f t="shared" si="22"/>
        <v>0</v>
      </c>
      <c r="GA20" s="2094">
        <f t="shared" si="22"/>
        <v>0</v>
      </c>
      <c r="GB20" s="2095">
        <f t="shared" si="22"/>
        <v>0</v>
      </c>
      <c r="GC20" s="2095">
        <f t="shared" si="22"/>
        <v>0</v>
      </c>
      <c r="GD20" s="2096">
        <f t="shared" si="22"/>
        <v>0</v>
      </c>
    </row>
    <row r="21" spans="1:186" ht="15" customHeight="1" outlineLevel="1">
      <c r="B21" s="2085"/>
      <c r="C21" s="2091" t="s">
        <v>3751</v>
      </c>
      <c r="D21" s="2091"/>
      <c r="E21" s="2092"/>
      <c r="F21" s="2092">
        <f t="shared" si="19"/>
        <v>0</v>
      </c>
      <c r="G21" s="2097"/>
      <c r="H21" s="2098"/>
      <c r="I21" s="2098"/>
      <c r="J21" s="2099"/>
      <c r="K21" s="2097"/>
      <c r="L21" s="2098"/>
      <c r="M21" s="2098"/>
      <c r="N21" s="2099"/>
      <c r="O21" s="2097"/>
      <c r="P21" s="2098"/>
      <c r="Q21" s="2098"/>
      <c r="R21" s="2099"/>
      <c r="S21" s="2097"/>
      <c r="T21" s="2098"/>
      <c r="U21" s="2098"/>
      <c r="V21" s="2099"/>
      <c r="W21" s="2097"/>
      <c r="X21" s="2098"/>
      <c r="Y21" s="2098"/>
      <c r="Z21" s="2099"/>
      <c r="AA21" s="2097"/>
      <c r="AB21" s="2098"/>
      <c r="AC21" s="2098"/>
      <c r="AD21" s="2099"/>
      <c r="AE21" s="2097"/>
      <c r="AF21" s="2098"/>
      <c r="AG21" s="2098"/>
      <c r="AH21" s="2099"/>
      <c r="AI21" s="2097"/>
      <c r="AJ21" s="2098"/>
      <c r="AK21" s="2098"/>
      <c r="AL21" s="2099"/>
      <c r="AM21" s="2097"/>
      <c r="AN21" s="2098"/>
      <c r="AO21" s="2098"/>
      <c r="AP21" s="2099"/>
      <c r="AQ21" s="2097"/>
      <c r="AR21" s="2098"/>
      <c r="AS21" s="2098"/>
      <c r="AT21" s="2099"/>
      <c r="AU21" s="2097"/>
      <c r="AV21" s="2098"/>
      <c r="AW21" s="2098"/>
      <c r="AX21" s="2099"/>
      <c r="AY21" s="2097"/>
      <c r="AZ21" s="2098"/>
      <c r="BA21" s="2098"/>
      <c r="BB21" s="2099"/>
      <c r="BC21" s="2097"/>
      <c r="BD21" s="2098"/>
      <c r="BE21" s="2098"/>
      <c r="BF21" s="2099"/>
      <c r="BG21" s="2097"/>
      <c r="BH21" s="2098"/>
      <c r="BI21" s="2098"/>
      <c r="BJ21" s="2099"/>
      <c r="BK21" s="2097"/>
      <c r="BL21" s="2098"/>
      <c r="BM21" s="2098"/>
      <c r="BN21" s="2099"/>
      <c r="BO21" s="2097"/>
      <c r="BP21" s="2098"/>
      <c r="BQ21" s="2098"/>
      <c r="BR21" s="2099"/>
      <c r="BS21" s="2097"/>
      <c r="BT21" s="2098"/>
      <c r="BU21" s="2098"/>
      <c r="BV21" s="2099"/>
      <c r="BW21" s="2097"/>
      <c r="BX21" s="2098"/>
      <c r="BY21" s="2098"/>
      <c r="BZ21" s="2099"/>
      <c r="CA21" s="2097"/>
      <c r="CB21" s="2098"/>
      <c r="CC21" s="2098"/>
      <c r="CD21" s="2099"/>
      <c r="CE21" s="2097"/>
      <c r="CF21" s="2098"/>
      <c r="CG21" s="2098"/>
      <c r="CH21" s="2099"/>
      <c r="CI21" s="2097"/>
      <c r="CJ21" s="2098"/>
      <c r="CK21" s="2098"/>
      <c r="CL21" s="2099"/>
      <c r="CM21" s="2097"/>
      <c r="CN21" s="2098"/>
      <c r="CO21" s="2098"/>
      <c r="CP21" s="2099"/>
      <c r="CQ21" s="2097"/>
      <c r="CR21" s="2098"/>
      <c r="CS21" s="2098"/>
      <c r="CT21" s="2099"/>
      <c r="CU21" s="2097"/>
      <c r="CV21" s="2098"/>
      <c r="CW21" s="2098"/>
      <c r="CX21" s="2099"/>
      <c r="CY21" s="2097"/>
      <c r="CZ21" s="2098"/>
      <c r="DA21" s="2098"/>
      <c r="DB21" s="2099"/>
      <c r="DC21" s="2097"/>
      <c r="DD21" s="2098"/>
      <c r="DE21" s="2098"/>
      <c r="DF21" s="2099"/>
      <c r="DG21" s="2097"/>
      <c r="DH21" s="2098"/>
      <c r="DI21" s="2098"/>
      <c r="DJ21" s="2099"/>
      <c r="DK21" s="2097"/>
      <c r="DL21" s="2098"/>
      <c r="DM21" s="2098"/>
      <c r="DN21" s="2099"/>
      <c r="DO21" s="2097"/>
      <c r="DP21" s="2098"/>
      <c r="DQ21" s="2098"/>
      <c r="DR21" s="2099"/>
      <c r="DS21" s="2097"/>
      <c r="DT21" s="2098"/>
      <c r="DU21" s="2098"/>
      <c r="DV21" s="2099"/>
      <c r="DW21" s="2097"/>
      <c r="DX21" s="2098"/>
      <c r="DY21" s="2098"/>
      <c r="DZ21" s="2099"/>
      <c r="EA21" s="2097"/>
      <c r="EB21" s="2098"/>
      <c r="EC21" s="2098"/>
      <c r="ED21" s="2099"/>
      <c r="EE21" s="2097"/>
      <c r="EF21" s="2098"/>
      <c r="EG21" s="2098"/>
      <c r="EH21" s="2099"/>
      <c r="EI21" s="2097"/>
      <c r="EJ21" s="2098"/>
      <c r="EK21" s="2098"/>
      <c r="EL21" s="2099"/>
      <c r="EM21" s="2097"/>
      <c r="EN21" s="2098"/>
      <c r="EO21" s="2098"/>
      <c r="EP21" s="2099"/>
      <c r="EQ21" s="2097"/>
      <c r="ER21" s="2098"/>
      <c r="ES21" s="2098"/>
      <c r="ET21" s="2099"/>
      <c r="EU21" s="2097"/>
      <c r="EV21" s="2098"/>
      <c r="EW21" s="2098"/>
      <c r="EX21" s="2099"/>
      <c r="EY21" s="2097"/>
      <c r="EZ21" s="2098"/>
      <c r="FA21" s="2098"/>
      <c r="FB21" s="2099"/>
      <c r="FC21" s="2097"/>
      <c r="FD21" s="2098"/>
      <c r="FE21" s="2098"/>
      <c r="FF21" s="2099"/>
      <c r="FG21" s="2097"/>
      <c r="FH21" s="2098"/>
      <c r="FI21" s="2098"/>
      <c r="FJ21" s="2099"/>
      <c r="FK21" s="2097"/>
      <c r="FL21" s="2098"/>
      <c r="FM21" s="2098"/>
      <c r="FN21" s="2099"/>
      <c r="FO21" s="2097"/>
      <c r="FP21" s="2098"/>
      <c r="FQ21" s="2098"/>
      <c r="FR21" s="2099"/>
      <c r="FS21" s="2097"/>
      <c r="FT21" s="2098"/>
      <c r="FU21" s="2098"/>
      <c r="FV21" s="2099"/>
      <c r="FW21" s="2097"/>
      <c r="FX21" s="2098"/>
      <c r="FY21" s="2098"/>
      <c r="FZ21" s="2099"/>
      <c r="GA21" s="2097"/>
      <c r="GB21" s="2098"/>
      <c r="GC21" s="2098"/>
      <c r="GD21" s="2099"/>
    </row>
    <row r="22" spans="1:186" ht="15" customHeight="1" outlineLevel="1">
      <c r="B22" s="2064"/>
      <c r="C22" s="2073" t="s">
        <v>3752</v>
      </c>
      <c r="D22" s="2064"/>
      <c r="E22" s="2100"/>
      <c r="F22" s="877">
        <f t="shared" ca="1" si="19"/>
        <v>0</v>
      </c>
      <c r="G22" s="2101">
        <f t="shared" ref="G22:BR22" ca="1" si="23">MAX(0,MIN(G21-G27,G20))</f>
        <v>0</v>
      </c>
      <c r="H22" s="2102">
        <f t="shared" ca="1" si="23"/>
        <v>0</v>
      </c>
      <c r="I22" s="2102">
        <f t="shared" ca="1" si="23"/>
        <v>0</v>
      </c>
      <c r="J22" s="2103">
        <f t="shared" ca="1" si="23"/>
        <v>0</v>
      </c>
      <c r="K22" s="2101">
        <f t="shared" ca="1" si="23"/>
        <v>0</v>
      </c>
      <c r="L22" s="2102">
        <f t="shared" ca="1" si="23"/>
        <v>0</v>
      </c>
      <c r="M22" s="2102">
        <f t="shared" ca="1" si="23"/>
        <v>0</v>
      </c>
      <c r="N22" s="2103">
        <f t="shared" ca="1" si="23"/>
        <v>0</v>
      </c>
      <c r="O22" s="2101">
        <f t="shared" ca="1" si="23"/>
        <v>0</v>
      </c>
      <c r="P22" s="2102">
        <f t="shared" ca="1" si="23"/>
        <v>0</v>
      </c>
      <c r="Q22" s="2102">
        <f t="shared" ca="1" si="23"/>
        <v>0</v>
      </c>
      <c r="R22" s="2103">
        <f t="shared" ca="1" si="23"/>
        <v>0</v>
      </c>
      <c r="S22" s="2101">
        <f t="shared" ca="1" si="23"/>
        <v>0</v>
      </c>
      <c r="T22" s="2102">
        <f t="shared" ca="1" si="23"/>
        <v>0</v>
      </c>
      <c r="U22" s="2102">
        <f t="shared" ca="1" si="23"/>
        <v>0</v>
      </c>
      <c r="V22" s="2103">
        <f t="shared" ca="1" si="23"/>
        <v>0</v>
      </c>
      <c r="W22" s="2101">
        <f t="shared" ca="1" si="23"/>
        <v>0</v>
      </c>
      <c r="X22" s="2102">
        <f t="shared" ca="1" si="23"/>
        <v>0</v>
      </c>
      <c r="Y22" s="2102">
        <f t="shared" ca="1" si="23"/>
        <v>0</v>
      </c>
      <c r="Z22" s="2103">
        <f t="shared" ca="1" si="23"/>
        <v>0</v>
      </c>
      <c r="AA22" s="2101">
        <f t="shared" ca="1" si="23"/>
        <v>0</v>
      </c>
      <c r="AB22" s="2102">
        <f t="shared" ca="1" si="23"/>
        <v>0</v>
      </c>
      <c r="AC22" s="2102">
        <f t="shared" ca="1" si="23"/>
        <v>0</v>
      </c>
      <c r="AD22" s="2103">
        <f t="shared" ca="1" si="23"/>
        <v>0</v>
      </c>
      <c r="AE22" s="2101">
        <f t="shared" ca="1" si="23"/>
        <v>0</v>
      </c>
      <c r="AF22" s="2102">
        <f t="shared" ca="1" si="23"/>
        <v>0</v>
      </c>
      <c r="AG22" s="2102">
        <f t="shared" ca="1" si="23"/>
        <v>0</v>
      </c>
      <c r="AH22" s="2103">
        <f t="shared" ca="1" si="23"/>
        <v>0</v>
      </c>
      <c r="AI22" s="2101">
        <f t="shared" ca="1" si="23"/>
        <v>0</v>
      </c>
      <c r="AJ22" s="2102">
        <f t="shared" ca="1" si="23"/>
        <v>0</v>
      </c>
      <c r="AK22" s="2102">
        <f t="shared" ca="1" si="23"/>
        <v>0</v>
      </c>
      <c r="AL22" s="2103">
        <f t="shared" ca="1" si="23"/>
        <v>0</v>
      </c>
      <c r="AM22" s="2101">
        <f t="shared" ca="1" si="23"/>
        <v>0</v>
      </c>
      <c r="AN22" s="2102">
        <f t="shared" ca="1" si="23"/>
        <v>0</v>
      </c>
      <c r="AO22" s="2102">
        <f t="shared" ca="1" si="23"/>
        <v>0</v>
      </c>
      <c r="AP22" s="2103">
        <f t="shared" ca="1" si="23"/>
        <v>0</v>
      </c>
      <c r="AQ22" s="2101">
        <f t="shared" ca="1" si="23"/>
        <v>0</v>
      </c>
      <c r="AR22" s="2102">
        <f t="shared" ca="1" si="23"/>
        <v>0</v>
      </c>
      <c r="AS22" s="2102">
        <f t="shared" ca="1" si="23"/>
        <v>0</v>
      </c>
      <c r="AT22" s="2103">
        <f t="shared" ca="1" si="23"/>
        <v>0</v>
      </c>
      <c r="AU22" s="2101">
        <f t="shared" ca="1" si="23"/>
        <v>0</v>
      </c>
      <c r="AV22" s="2102">
        <f t="shared" ca="1" si="23"/>
        <v>0</v>
      </c>
      <c r="AW22" s="2102">
        <f t="shared" ca="1" si="23"/>
        <v>0</v>
      </c>
      <c r="AX22" s="2103">
        <f t="shared" ca="1" si="23"/>
        <v>0</v>
      </c>
      <c r="AY22" s="2101">
        <f t="shared" ca="1" si="23"/>
        <v>0</v>
      </c>
      <c r="AZ22" s="2102">
        <f t="shared" ca="1" si="23"/>
        <v>0</v>
      </c>
      <c r="BA22" s="2102">
        <f t="shared" ca="1" si="23"/>
        <v>0</v>
      </c>
      <c r="BB22" s="2103">
        <f t="shared" ca="1" si="23"/>
        <v>0</v>
      </c>
      <c r="BC22" s="2101">
        <f t="shared" ca="1" si="23"/>
        <v>0</v>
      </c>
      <c r="BD22" s="2102">
        <f t="shared" ca="1" si="23"/>
        <v>0</v>
      </c>
      <c r="BE22" s="2102">
        <f t="shared" ca="1" si="23"/>
        <v>0</v>
      </c>
      <c r="BF22" s="2103">
        <f t="shared" ca="1" si="23"/>
        <v>0</v>
      </c>
      <c r="BG22" s="2101">
        <f t="shared" ca="1" si="23"/>
        <v>0</v>
      </c>
      <c r="BH22" s="2102">
        <f t="shared" ca="1" si="23"/>
        <v>0</v>
      </c>
      <c r="BI22" s="2102">
        <f t="shared" ca="1" si="23"/>
        <v>0</v>
      </c>
      <c r="BJ22" s="2103">
        <f t="shared" ca="1" si="23"/>
        <v>0</v>
      </c>
      <c r="BK22" s="2101">
        <f t="shared" ca="1" si="23"/>
        <v>0</v>
      </c>
      <c r="BL22" s="2102">
        <f t="shared" ca="1" si="23"/>
        <v>0</v>
      </c>
      <c r="BM22" s="2102">
        <f t="shared" ca="1" si="23"/>
        <v>0</v>
      </c>
      <c r="BN22" s="2103">
        <f t="shared" ca="1" si="23"/>
        <v>0</v>
      </c>
      <c r="BO22" s="2101">
        <f t="shared" ca="1" si="23"/>
        <v>0</v>
      </c>
      <c r="BP22" s="2102">
        <f t="shared" ca="1" si="23"/>
        <v>0</v>
      </c>
      <c r="BQ22" s="2102">
        <f t="shared" ca="1" si="23"/>
        <v>0</v>
      </c>
      <c r="BR22" s="2103">
        <f t="shared" ca="1" si="23"/>
        <v>0</v>
      </c>
      <c r="BS22" s="2101">
        <f t="shared" ref="BS22:ED22" ca="1" si="24">MAX(0,MIN(BS21-BS27,BS20))</f>
        <v>0</v>
      </c>
      <c r="BT22" s="2102">
        <f t="shared" ca="1" si="24"/>
        <v>0</v>
      </c>
      <c r="BU22" s="2102">
        <f t="shared" ca="1" si="24"/>
        <v>0</v>
      </c>
      <c r="BV22" s="2103">
        <f t="shared" ca="1" si="24"/>
        <v>0</v>
      </c>
      <c r="BW22" s="2101">
        <f t="shared" ca="1" si="24"/>
        <v>0</v>
      </c>
      <c r="BX22" s="2102">
        <f t="shared" ca="1" si="24"/>
        <v>0</v>
      </c>
      <c r="BY22" s="2102">
        <f t="shared" ca="1" si="24"/>
        <v>0</v>
      </c>
      <c r="BZ22" s="2103">
        <f t="shared" ca="1" si="24"/>
        <v>0</v>
      </c>
      <c r="CA22" s="2101">
        <f t="shared" ca="1" si="24"/>
        <v>0</v>
      </c>
      <c r="CB22" s="2102">
        <f t="shared" ca="1" si="24"/>
        <v>0</v>
      </c>
      <c r="CC22" s="2102">
        <f t="shared" ca="1" si="24"/>
        <v>0</v>
      </c>
      <c r="CD22" s="2103">
        <f t="shared" ca="1" si="24"/>
        <v>0</v>
      </c>
      <c r="CE22" s="2101">
        <f t="shared" ca="1" si="24"/>
        <v>0</v>
      </c>
      <c r="CF22" s="2102">
        <f t="shared" ca="1" si="24"/>
        <v>0</v>
      </c>
      <c r="CG22" s="2102">
        <f t="shared" ca="1" si="24"/>
        <v>0</v>
      </c>
      <c r="CH22" s="2103">
        <f t="shared" ca="1" si="24"/>
        <v>0</v>
      </c>
      <c r="CI22" s="2101">
        <f t="shared" ca="1" si="24"/>
        <v>0</v>
      </c>
      <c r="CJ22" s="2102">
        <f t="shared" ca="1" si="24"/>
        <v>0</v>
      </c>
      <c r="CK22" s="2102">
        <f t="shared" ca="1" si="24"/>
        <v>0</v>
      </c>
      <c r="CL22" s="2103">
        <f t="shared" ca="1" si="24"/>
        <v>0</v>
      </c>
      <c r="CM22" s="2101">
        <f t="shared" ca="1" si="24"/>
        <v>0</v>
      </c>
      <c r="CN22" s="2102">
        <f t="shared" ca="1" si="24"/>
        <v>0</v>
      </c>
      <c r="CO22" s="2102">
        <f t="shared" ca="1" si="24"/>
        <v>0</v>
      </c>
      <c r="CP22" s="2103">
        <f t="shared" ca="1" si="24"/>
        <v>0</v>
      </c>
      <c r="CQ22" s="2101">
        <f t="shared" ca="1" si="24"/>
        <v>0</v>
      </c>
      <c r="CR22" s="2102">
        <f t="shared" ca="1" si="24"/>
        <v>0</v>
      </c>
      <c r="CS22" s="2102">
        <f t="shared" ca="1" si="24"/>
        <v>0</v>
      </c>
      <c r="CT22" s="2103">
        <f t="shared" ca="1" si="24"/>
        <v>0</v>
      </c>
      <c r="CU22" s="2101">
        <f t="shared" ca="1" si="24"/>
        <v>0</v>
      </c>
      <c r="CV22" s="2102">
        <f t="shared" ca="1" si="24"/>
        <v>0</v>
      </c>
      <c r="CW22" s="2102">
        <f t="shared" ca="1" si="24"/>
        <v>0</v>
      </c>
      <c r="CX22" s="2103">
        <f t="shared" ca="1" si="24"/>
        <v>0</v>
      </c>
      <c r="CY22" s="2101">
        <f t="shared" ca="1" si="24"/>
        <v>0</v>
      </c>
      <c r="CZ22" s="2102">
        <f t="shared" ca="1" si="24"/>
        <v>0</v>
      </c>
      <c r="DA22" s="2102">
        <f t="shared" ca="1" si="24"/>
        <v>0</v>
      </c>
      <c r="DB22" s="2103">
        <f t="shared" ca="1" si="24"/>
        <v>0</v>
      </c>
      <c r="DC22" s="2101">
        <f t="shared" ca="1" si="24"/>
        <v>0</v>
      </c>
      <c r="DD22" s="2102">
        <f t="shared" ca="1" si="24"/>
        <v>0</v>
      </c>
      <c r="DE22" s="2102">
        <f t="shared" ca="1" si="24"/>
        <v>0</v>
      </c>
      <c r="DF22" s="2103">
        <f t="shared" ca="1" si="24"/>
        <v>0</v>
      </c>
      <c r="DG22" s="2101">
        <f t="shared" ca="1" si="24"/>
        <v>0</v>
      </c>
      <c r="DH22" s="2102">
        <f t="shared" ca="1" si="24"/>
        <v>0</v>
      </c>
      <c r="DI22" s="2102">
        <f t="shared" ca="1" si="24"/>
        <v>0</v>
      </c>
      <c r="DJ22" s="2103">
        <f t="shared" ca="1" si="24"/>
        <v>0</v>
      </c>
      <c r="DK22" s="2101">
        <f t="shared" ca="1" si="24"/>
        <v>0</v>
      </c>
      <c r="DL22" s="2102">
        <f t="shared" ca="1" si="24"/>
        <v>0</v>
      </c>
      <c r="DM22" s="2102">
        <f t="shared" ca="1" si="24"/>
        <v>0</v>
      </c>
      <c r="DN22" s="2103">
        <f t="shared" ca="1" si="24"/>
        <v>0</v>
      </c>
      <c r="DO22" s="2101">
        <f t="shared" ca="1" si="24"/>
        <v>0</v>
      </c>
      <c r="DP22" s="2102">
        <f t="shared" ca="1" si="24"/>
        <v>0</v>
      </c>
      <c r="DQ22" s="2102">
        <f t="shared" ca="1" si="24"/>
        <v>0</v>
      </c>
      <c r="DR22" s="2103">
        <f t="shared" ca="1" si="24"/>
        <v>0</v>
      </c>
      <c r="DS22" s="2101">
        <f t="shared" ca="1" si="24"/>
        <v>0</v>
      </c>
      <c r="DT22" s="2102">
        <f t="shared" ca="1" si="24"/>
        <v>0</v>
      </c>
      <c r="DU22" s="2102">
        <f t="shared" ca="1" si="24"/>
        <v>0</v>
      </c>
      <c r="DV22" s="2103">
        <f t="shared" ca="1" si="24"/>
        <v>0</v>
      </c>
      <c r="DW22" s="2101">
        <f t="shared" ca="1" si="24"/>
        <v>0</v>
      </c>
      <c r="DX22" s="2102">
        <f t="shared" ca="1" si="24"/>
        <v>0</v>
      </c>
      <c r="DY22" s="2102">
        <f t="shared" ca="1" si="24"/>
        <v>0</v>
      </c>
      <c r="DZ22" s="2103">
        <f t="shared" ca="1" si="24"/>
        <v>0</v>
      </c>
      <c r="EA22" s="2101">
        <f t="shared" ca="1" si="24"/>
        <v>0</v>
      </c>
      <c r="EB22" s="2102">
        <f t="shared" ca="1" si="24"/>
        <v>0</v>
      </c>
      <c r="EC22" s="2102">
        <f t="shared" ca="1" si="24"/>
        <v>0</v>
      </c>
      <c r="ED22" s="2103">
        <f t="shared" ca="1" si="24"/>
        <v>0</v>
      </c>
      <c r="EE22" s="2101">
        <f t="shared" ref="EE22:GD22" ca="1" si="25">MAX(0,MIN(EE21-EE27,EE20))</f>
        <v>0</v>
      </c>
      <c r="EF22" s="2102">
        <f t="shared" ca="1" si="25"/>
        <v>0</v>
      </c>
      <c r="EG22" s="2102">
        <f t="shared" ca="1" si="25"/>
        <v>0</v>
      </c>
      <c r="EH22" s="2103">
        <f t="shared" ca="1" si="25"/>
        <v>0</v>
      </c>
      <c r="EI22" s="2101">
        <f t="shared" ca="1" si="25"/>
        <v>0</v>
      </c>
      <c r="EJ22" s="2102">
        <f t="shared" ca="1" si="25"/>
        <v>0</v>
      </c>
      <c r="EK22" s="2102">
        <f t="shared" ca="1" si="25"/>
        <v>0</v>
      </c>
      <c r="EL22" s="2103">
        <f t="shared" ca="1" si="25"/>
        <v>0</v>
      </c>
      <c r="EM22" s="2101">
        <f t="shared" ca="1" si="25"/>
        <v>0</v>
      </c>
      <c r="EN22" s="2102">
        <f t="shared" ca="1" si="25"/>
        <v>0</v>
      </c>
      <c r="EO22" s="2102">
        <f t="shared" ca="1" si="25"/>
        <v>0</v>
      </c>
      <c r="EP22" s="2103">
        <f t="shared" ca="1" si="25"/>
        <v>0</v>
      </c>
      <c r="EQ22" s="2101">
        <f t="shared" ca="1" si="25"/>
        <v>0</v>
      </c>
      <c r="ER22" s="2102">
        <f t="shared" ca="1" si="25"/>
        <v>0</v>
      </c>
      <c r="ES22" s="2102">
        <f t="shared" ca="1" si="25"/>
        <v>0</v>
      </c>
      <c r="ET22" s="2103">
        <f t="shared" ca="1" si="25"/>
        <v>0</v>
      </c>
      <c r="EU22" s="2101">
        <f t="shared" ca="1" si="25"/>
        <v>0</v>
      </c>
      <c r="EV22" s="2102">
        <f t="shared" ca="1" si="25"/>
        <v>0</v>
      </c>
      <c r="EW22" s="2102">
        <f t="shared" ca="1" si="25"/>
        <v>0</v>
      </c>
      <c r="EX22" s="2103">
        <f t="shared" ca="1" si="25"/>
        <v>0</v>
      </c>
      <c r="EY22" s="2101">
        <f t="shared" ca="1" si="25"/>
        <v>0</v>
      </c>
      <c r="EZ22" s="2102">
        <f t="shared" ca="1" si="25"/>
        <v>0</v>
      </c>
      <c r="FA22" s="2102">
        <f t="shared" ca="1" si="25"/>
        <v>0</v>
      </c>
      <c r="FB22" s="2103">
        <f t="shared" ca="1" si="25"/>
        <v>0</v>
      </c>
      <c r="FC22" s="2101">
        <f t="shared" ca="1" si="25"/>
        <v>0</v>
      </c>
      <c r="FD22" s="2102">
        <f t="shared" ca="1" si="25"/>
        <v>0</v>
      </c>
      <c r="FE22" s="2102">
        <f t="shared" ca="1" si="25"/>
        <v>0</v>
      </c>
      <c r="FF22" s="2103">
        <f t="shared" ca="1" si="25"/>
        <v>0</v>
      </c>
      <c r="FG22" s="2101">
        <f t="shared" ca="1" si="25"/>
        <v>0</v>
      </c>
      <c r="FH22" s="2102">
        <f t="shared" ca="1" si="25"/>
        <v>0</v>
      </c>
      <c r="FI22" s="2102">
        <f t="shared" ca="1" si="25"/>
        <v>0</v>
      </c>
      <c r="FJ22" s="2103">
        <f t="shared" ca="1" si="25"/>
        <v>0</v>
      </c>
      <c r="FK22" s="2101">
        <f t="shared" ca="1" si="25"/>
        <v>0</v>
      </c>
      <c r="FL22" s="2102">
        <f t="shared" ca="1" si="25"/>
        <v>0</v>
      </c>
      <c r="FM22" s="2102">
        <f t="shared" ca="1" si="25"/>
        <v>0</v>
      </c>
      <c r="FN22" s="2103">
        <f t="shared" ca="1" si="25"/>
        <v>0</v>
      </c>
      <c r="FO22" s="2101">
        <f t="shared" ca="1" si="25"/>
        <v>0</v>
      </c>
      <c r="FP22" s="2102">
        <f t="shared" ca="1" si="25"/>
        <v>0</v>
      </c>
      <c r="FQ22" s="2102">
        <f t="shared" ca="1" si="25"/>
        <v>0</v>
      </c>
      <c r="FR22" s="2103">
        <f t="shared" ca="1" si="25"/>
        <v>0</v>
      </c>
      <c r="FS22" s="2101">
        <f t="shared" ca="1" si="25"/>
        <v>0</v>
      </c>
      <c r="FT22" s="2102">
        <f t="shared" ca="1" si="25"/>
        <v>0</v>
      </c>
      <c r="FU22" s="2102">
        <f t="shared" ca="1" si="25"/>
        <v>0</v>
      </c>
      <c r="FV22" s="2103">
        <f t="shared" ca="1" si="25"/>
        <v>0</v>
      </c>
      <c r="FW22" s="2101">
        <f t="shared" ca="1" si="25"/>
        <v>0</v>
      </c>
      <c r="FX22" s="2102">
        <f t="shared" ca="1" si="25"/>
        <v>0</v>
      </c>
      <c r="FY22" s="2102">
        <f t="shared" ca="1" si="25"/>
        <v>0</v>
      </c>
      <c r="FZ22" s="2103">
        <f t="shared" ca="1" si="25"/>
        <v>0</v>
      </c>
      <c r="GA22" s="2101">
        <f t="shared" ca="1" si="25"/>
        <v>0</v>
      </c>
      <c r="GB22" s="2102">
        <f t="shared" ca="1" si="25"/>
        <v>0</v>
      </c>
      <c r="GC22" s="2102">
        <f t="shared" ca="1" si="25"/>
        <v>0</v>
      </c>
      <c r="GD22" s="2103">
        <f t="shared" ca="1" si="25"/>
        <v>0</v>
      </c>
    </row>
    <row r="23" spans="1:186" ht="15" customHeight="1" outlineLevel="1">
      <c r="B23" s="2064"/>
      <c r="C23" s="2073" t="s">
        <v>3753</v>
      </c>
      <c r="D23" s="2064"/>
      <c r="E23" s="2100"/>
      <c r="F23" s="877">
        <f t="shared" ca="1" si="19"/>
        <v>0</v>
      </c>
      <c r="G23" s="2101">
        <f t="shared" ref="G23:BR23" ca="1" si="26">G29</f>
        <v>0</v>
      </c>
      <c r="H23" s="2102">
        <f t="shared" ca="1" si="26"/>
        <v>0</v>
      </c>
      <c r="I23" s="2102">
        <f t="shared" ca="1" si="26"/>
        <v>0</v>
      </c>
      <c r="J23" s="2103">
        <f t="shared" ca="1" si="26"/>
        <v>0</v>
      </c>
      <c r="K23" s="2101">
        <f t="shared" ca="1" si="26"/>
        <v>0</v>
      </c>
      <c r="L23" s="2102">
        <f t="shared" ca="1" si="26"/>
        <v>0</v>
      </c>
      <c r="M23" s="2102">
        <f t="shared" ca="1" si="26"/>
        <v>0</v>
      </c>
      <c r="N23" s="2103">
        <f t="shared" ca="1" si="26"/>
        <v>0</v>
      </c>
      <c r="O23" s="2101">
        <f t="shared" ca="1" si="26"/>
        <v>0</v>
      </c>
      <c r="P23" s="2102">
        <f t="shared" ca="1" si="26"/>
        <v>0</v>
      </c>
      <c r="Q23" s="2102">
        <f t="shared" ca="1" si="26"/>
        <v>0</v>
      </c>
      <c r="R23" s="2103">
        <f t="shared" ca="1" si="26"/>
        <v>0</v>
      </c>
      <c r="S23" s="2101">
        <f t="shared" ca="1" si="26"/>
        <v>0</v>
      </c>
      <c r="T23" s="2102">
        <f t="shared" ca="1" si="26"/>
        <v>0</v>
      </c>
      <c r="U23" s="2102">
        <f t="shared" ca="1" si="26"/>
        <v>0</v>
      </c>
      <c r="V23" s="2103">
        <f t="shared" ca="1" si="26"/>
        <v>0</v>
      </c>
      <c r="W23" s="2101">
        <f t="shared" ca="1" si="26"/>
        <v>0</v>
      </c>
      <c r="X23" s="2102">
        <f t="shared" ca="1" si="26"/>
        <v>0</v>
      </c>
      <c r="Y23" s="2102">
        <f t="shared" ca="1" si="26"/>
        <v>0</v>
      </c>
      <c r="Z23" s="2103">
        <f t="shared" ca="1" si="26"/>
        <v>0</v>
      </c>
      <c r="AA23" s="2101">
        <f t="shared" ca="1" si="26"/>
        <v>0</v>
      </c>
      <c r="AB23" s="2102">
        <f t="shared" ca="1" si="26"/>
        <v>0</v>
      </c>
      <c r="AC23" s="2102">
        <f t="shared" ca="1" si="26"/>
        <v>0</v>
      </c>
      <c r="AD23" s="2103">
        <f t="shared" ca="1" si="26"/>
        <v>0</v>
      </c>
      <c r="AE23" s="2101">
        <f t="shared" ca="1" si="26"/>
        <v>0</v>
      </c>
      <c r="AF23" s="2102">
        <f t="shared" ca="1" si="26"/>
        <v>0</v>
      </c>
      <c r="AG23" s="2102">
        <f t="shared" ca="1" si="26"/>
        <v>0</v>
      </c>
      <c r="AH23" s="2103">
        <f t="shared" ca="1" si="26"/>
        <v>0</v>
      </c>
      <c r="AI23" s="2101">
        <f t="shared" ca="1" si="26"/>
        <v>0</v>
      </c>
      <c r="AJ23" s="2102">
        <f t="shared" ca="1" si="26"/>
        <v>0</v>
      </c>
      <c r="AK23" s="2102">
        <f t="shared" ca="1" si="26"/>
        <v>0</v>
      </c>
      <c r="AL23" s="2103">
        <f t="shared" ca="1" si="26"/>
        <v>0</v>
      </c>
      <c r="AM23" s="2101">
        <f t="shared" ca="1" si="26"/>
        <v>0</v>
      </c>
      <c r="AN23" s="2102">
        <f t="shared" ca="1" si="26"/>
        <v>0</v>
      </c>
      <c r="AO23" s="2102">
        <f t="shared" ca="1" si="26"/>
        <v>0</v>
      </c>
      <c r="AP23" s="2103">
        <f t="shared" ca="1" si="26"/>
        <v>0</v>
      </c>
      <c r="AQ23" s="2101">
        <f t="shared" ca="1" si="26"/>
        <v>0</v>
      </c>
      <c r="AR23" s="2102">
        <f t="shared" ca="1" si="26"/>
        <v>0</v>
      </c>
      <c r="AS23" s="2102">
        <f t="shared" ca="1" si="26"/>
        <v>0</v>
      </c>
      <c r="AT23" s="2103">
        <f t="shared" ca="1" si="26"/>
        <v>0</v>
      </c>
      <c r="AU23" s="2101">
        <f t="shared" ca="1" si="26"/>
        <v>0</v>
      </c>
      <c r="AV23" s="2102">
        <f t="shared" ca="1" si="26"/>
        <v>0</v>
      </c>
      <c r="AW23" s="2102">
        <f t="shared" ca="1" si="26"/>
        <v>0</v>
      </c>
      <c r="AX23" s="2103">
        <f t="shared" ca="1" si="26"/>
        <v>0</v>
      </c>
      <c r="AY23" s="2101">
        <f t="shared" ca="1" si="26"/>
        <v>0</v>
      </c>
      <c r="AZ23" s="2102">
        <f t="shared" ca="1" si="26"/>
        <v>0</v>
      </c>
      <c r="BA23" s="2102">
        <f t="shared" ca="1" si="26"/>
        <v>0</v>
      </c>
      <c r="BB23" s="2103">
        <f t="shared" ca="1" si="26"/>
        <v>0</v>
      </c>
      <c r="BC23" s="2101">
        <f t="shared" ca="1" si="26"/>
        <v>0</v>
      </c>
      <c r="BD23" s="2102">
        <f t="shared" ca="1" si="26"/>
        <v>0</v>
      </c>
      <c r="BE23" s="2102">
        <f t="shared" ca="1" si="26"/>
        <v>0</v>
      </c>
      <c r="BF23" s="2103">
        <f t="shared" ca="1" si="26"/>
        <v>0</v>
      </c>
      <c r="BG23" s="2101">
        <f t="shared" ca="1" si="26"/>
        <v>0</v>
      </c>
      <c r="BH23" s="2102">
        <f t="shared" ca="1" si="26"/>
        <v>0</v>
      </c>
      <c r="BI23" s="2102">
        <f t="shared" ca="1" si="26"/>
        <v>0</v>
      </c>
      <c r="BJ23" s="2103">
        <f t="shared" ca="1" si="26"/>
        <v>0</v>
      </c>
      <c r="BK23" s="2101">
        <f t="shared" ca="1" si="26"/>
        <v>0</v>
      </c>
      <c r="BL23" s="2102">
        <f t="shared" ca="1" si="26"/>
        <v>0</v>
      </c>
      <c r="BM23" s="2102">
        <f t="shared" ca="1" si="26"/>
        <v>0</v>
      </c>
      <c r="BN23" s="2103">
        <f t="shared" ca="1" si="26"/>
        <v>0</v>
      </c>
      <c r="BO23" s="2101">
        <f t="shared" ca="1" si="26"/>
        <v>0</v>
      </c>
      <c r="BP23" s="2102">
        <f t="shared" ca="1" si="26"/>
        <v>0</v>
      </c>
      <c r="BQ23" s="2102">
        <f t="shared" ca="1" si="26"/>
        <v>0</v>
      </c>
      <c r="BR23" s="2103">
        <f t="shared" ca="1" si="26"/>
        <v>0</v>
      </c>
      <c r="BS23" s="2101">
        <f t="shared" ref="BS23:ED23" ca="1" si="27">BS29</f>
        <v>0</v>
      </c>
      <c r="BT23" s="2102">
        <f t="shared" ca="1" si="27"/>
        <v>0</v>
      </c>
      <c r="BU23" s="2102">
        <f t="shared" ca="1" si="27"/>
        <v>0</v>
      </c>
      <c r="BV23" s="2103">
        <f t="shared" ca="1" si="27"/>
        <v>0</v>
      </c>
      <c r="BW23" s="2101">
        <f t="shared" ca="1" si="27"/>
        <v>0</v>
      </c>
      <c r="BX23" s="2102">
        <f t="shared" ca="1" si="27"/>
        <v>0</v>
      </c>
      <c r="BY23" s="2102">
        <f t="shared" ca="1" si="27"/>
        <v>0</v>
      </c>
      <c r="BZ23" s="2103">
        <f t="shared" ca="1" si="27"/>
        <v>0</v>
      </c>
      <c r="CA23" s="2101">
        <f t="shared" ca="1" si="27"/>
        <v>0</v>
      </c>
      <c r="CB23" s="2102">
        <f t="shared" ca="1" si="27"/>
        <v>0</v>
      </c>
      <c r="CC23" s="2102">
        <f t="shared" ca="1" si="27"/>
        <v>0</v>
      </c>
      <c r="CD23" s="2103">
        <f t="shared" ca="1" si="27"/>
        <v>0</v>
      </c>
      <c r="CE23" s="2101">
        <f t="shared" ca="1" si="27"/>
        <v>0</v>
      </c>
      <c r="CF23" s="2102">
        <f t="shared" ca="1" si="27"/>
        <v>0</v>
      </c>
      <c r="CG23" s="2102">
        <f t="shared" ca="1" si="27"/>
        <v>0</v>
      </c>
      <c r="CH23" s="2103">
        <f t="shared" ca="1" si="27"/>
        <v>0</v>
      </c>
      <c r="CI23" s="2101">
        <f t="shared" ca="1" si="27"/>
        <v>0</v>
      </c>
      <c r="CJ23" s="2102">
        <f t="shared" ca="1" si="27"/>
        <v>0</v>
      </c>
      <c r="CK23" s="2102">
        <f t="shared" ca="1" si="27"/>
        <v>0</v>
      </c>
      <c r="CL23" s="2103">
        <f t="shared" ca="1" si="27"/>
        <v>0</v>
      </c>
      <c r="CM23" s="2101">
        <f t="shared" ca="1" si="27"/>
        <v>0</v>
      </c>
      <c r="CN23" s="2102">
        <f t="shared" ca="1" si="27"/>
        <v>0</v>
      </c>
      <c r="CO23" s="2102">
        <f t="shared" ca="1" si="27"/>
        <v>0</v>
      </c>
      <c r="CP23" s="2103">
        <f t="shared" ca="1" si="27"/>
        <v>0</v>
      </c>
      <c r="CQ23" s="2101">
        <f t="shared" ca="1" si="27"/>
        <v>0</v>
      </c>
      <c r="CR23" s="2102">
        <f t="shared" ca="1" si="27"/>
        <v>0</v>
      </c>
      <c r="CS23" s="2102">
        <f t="shared" ca="1" si="27"/>
        <v>0</v>
      </c>
      <c r="CT23" s="2103">
        <f t="shared" ca="1" si="27"/>
        <v>0</v>
      </c>
      <c r="CU23" s="2101">
        <f t="shared" ca="1" si="27"/>
        <v>0</v>
      </c>
      <c r="CV23" s="2102">
        <f t="shared" ca="1" si="27"/>
        <v>0</v>
      </c>
      <c r="CW23" s="2102">
        <f t="shared" ca="1" si="27"/>
        <v>0</v>
      </c>
      <c r="CX23" s="2103">
        <f t="shared" ca="1" si="27"/>
        <v>0</v>
      </c>
      <c r="CY23" s="2101">
        <f t="shared" ca="1" si="27"/>
        <v>0</v>
      </c>
      <c r="CZ23" s="2102">
        <f t="shared" ca="1" si="27"/>
        <v>0</v>
      </c>
      <c r="DA23" s="2102">
        <f t="shared" ca="1" si="27"/>
        <v>0</v>
      </c>
      <c r="DB23" s="2103">
        <f t="shared" ca="1" si="27"/>
        <v>0</v>
      </c>
      <c r="DC23" s="2101">
        <f t="shared" ca="1" si="27"/>
        <v>0</v>
      </c>
      <c r="DD23" s="2102">
        <f t="shared" ca="1" si="27"/>
        <v>0</v>
      </c>
      <c r="DE23" s="2102">
        <f t="shared" ca="1" si="27"/>
        <v>0</v>
      </c>
      <c r="DF23" s="2103">
        <f t="shared" ca="1" si="27"/>
        <v>0</v>
      </c>
      <c r="DG23" s="2101">
        <f t="shared" ca="1" si="27"/>
        <v>0</v>
      </c>
      <c r="DH23" s="2102">
        <f t="shared" ca="1" si="27"/>
        <v>0</v>
      </c>
      <c r="DI23" s="2102">
        <f t="shared" ca="1" si="27"/>
        <v>0</v>
      </c>
      <c r="DJ23" s="2103">
        <f t="shared" ca="1" si="27"/>
        <v>0</v>
      </c>
      <c r="DK23" s="2101">
        <f t="shared" ca="1" si="27"/>
        <v>0</v>
      </c>
      <c r="DL23" s="2102">
        <f t="shared" ca="1" si="27"/>
        <v>0</v>
      </c>
      <c r="DM23" s="2102">
        <f t="shared" ca="1" si="27"/>
        <v>0</v>
      </c>
      <c r="DN23" s="2103">
        <f t="shared" ca="1" si="27"/>
        <v>0</v>
      </c>
      <c r="DO23" s="2101">
        <f t="shared" ca="1" si="27"/>
        <v>0</v>
      </c>
      <c r="DP23" s="2102">
        <f t="shared" ca="1" si="27"/>
        <v>0</v>
      </c>
      <c r="DQ23" s="2102">
        <f t="shared" ca="1" si="27"/>
        <v>0</v>
      </c>
      <c r="DR23" s="2103">
        <f t="shared" ca="1" si="27"/>
        <v>0</v>
      </c>
      <c r="DS23" s="2101">
        <f t="shared" ca="1" si="27"/>
        <v>0</v>
      </c>
      <c r="DT23" s="2102">
        <f t="shared" ca="1" si="27"/>
        <v>0</v>
      </c>
      <c r="DU23" s="2102">
        <f t="shared" ca="1" si="27"/>
        <v>0</v>
      </c>
      <c r="DV23" s="2103">
        <f t="shared" ca="1" si="27"/>
        <v>0</v>
      </c>
      <c r="DW23" s="2101">
        <f t="shared" ca="1" si="27"/>
        <v>0</v>
      </c>
      <c r="DX23" s="2102">
        <f t="shared" ca="1" si="27"/>
        <v>0</v>
      </c>
      <c r="DY23" s="2102">
        <f t="shared" ca="1" si="27"/>
        <v>0</v>
      </c>
      <c r="DZ23" s="2103">
        <f t="shared" ca="1" si="27"/>
        <v>0</v>
      </c>
      <c r="EA23" s="2101">
        <f t="shared" ca="1" si="27"/>
        <v>0</v>
      </c>
      <c r="EB23" s="2102">
        <f t="shared" ca="1" si="27"/>
        <v>0</v>
      </c>
      <c r="EC23" s="2102">
        <f t="shared" ca="1" si="27"/>
        <v>0</v>
      </c>
      <c r="ED23" s="2103">
        <f t="shared" ca="1" si="27"/>
        <v>0</v>
      </c>
      <c r="EE23" s="2101">
        <f t="shared" ref="EE23:GD23" ca="1" si="28">EE29</f>
        <v>0</v>
      </c>
      <c r="EF23" s="2102">
        <f t="shared" ca="1" si="28"/>
        <v>0</v>
      </c>
      <c r="EG23" s="2102">
        <f t="shared" ca="1" si="28"/>
        <v>0</v>
      </c>
      <c r="EH23" s="2103">
        <f t="shared" ca="1" si="28"/>
        <v>0</v>
      </c>
      <c r="EI23" s="2101">
        <f t="shared" ca="1" si="28"/>
        <v>0</v>
      </c>
      <c r="EJ23" s="2102">
        <f t="shared" ca="1" si="28"/>
        <v>0</v>
      </c>
      <c r="EK23" s="2102">
        <f t="shared" ca="1" si="28"/>
        <v>0</v>
      </c>
      <c r="EL23" s="2103">
        <f t="shared" ca="1" si="28"/>
        <v>0</v>
      </c>
      <c r="EM23" s="2101">
        <f t="shared" ca="1" si="28"/>
        <v>0</v>
      </c>
      <c r="EN23" s="2102">
        <f t="shared" ca="1" si="28"/>
        <v>0</v>
      </c>
      <c r="EO23" s="2102">
        <f t="shared" ca="1" si="28"/>
        <v>0</v>
      </c>
      <c r="EP23" s="2103">
        <f t="shared" ca="1" si="28"/>
        <v>0</v>
      </c>
      <c r="EQ23" s="2101">
        <f t="shared" ca="1" si="28"/>
        <v>0</v>
      </c>
      <c r="ER23" s="2102">
        <f t="shared" ca="1" si="28"/>
        <v>0</v>
      </c>
      <c r="ES23" s="2102">
        <f t="shared" ca="1" si="28"/>
        <v>0</v>
      </c>
      <c r="ET23" s="2103">
        <f t="shared" ca="1" si="28"/>
        <v>0</v>
      </c>
      <c r="EU23" s="2101">
        <f t="shared" ca="1" si="28"/>
        <v>0</v>
      </c>
      <c r="EV23" s="2102">
        <f t="shared" ca="1" si="28"/>
        <v>0</v>
      </c>
      <c r="EW23" s="2102">
        <f t="shared" ca="1" si="28"/>
        <v>0</v>
      </c>
      <c r="EX23" s="2103">
        <f t="shared" ca="1" si="28"/>
        <v>0</v>
      </c>
      <c r="EY23" s="2101">
        <f t="shared" ca="1" si="28"/>
        <v>0</v>
      </c>
      <c r="EZ23" s="2102">
        <f t="shared" ca="1" si="28"/>
        <v>0</v>
      </c>
      <c r="FA23" s="2102">
        <f t="shared" ca="1" si="28"/>
        <v>0</v>
      </c>
      <c r="FB23" s="2103">
        <f t="shared" ca="1" si="28"/>
        <v>0</v>
      </c>
      <c r="FC23" s="2101">
        <f t="shared" ca="1" si="28"/>
        <v>0</v>
      </c>
      <c r="FD23" s="2102">
        <f t="shared" ca="1" si="28"/>
        <v>0</v>
      </c>
      <c r="FE23" s="2102">
        <f t="shared" ca="1" si="28"/>
        <v>0</v>
      </c>
      <c r="FF23" s="2103">
        <f t="shared" ca="1" si="28"/>
        <v>0</v>
      </c>
      <c r="FG23" s="2101">
        <f t="shared" ca="1" si="28"/>
        <v>0</v>
      </c>
      <c r="FH23" s="2102">
        <f t="shared" ca="1" si="28"/>
        <v>0</v>
      </c>
      <c r="FI23" s="2102">
        <f t="shared" ca="1" si="28"/>
        <v>0</v>
      </c>
      <c r="FJ23" s="2103">
        <f t="shared" ca="1" si="28"/>
        <v>0</v>
      </c>
      <c r="FK23" s="2101">
        <f t="shared" ca="1" si="28"/>
        <v>0</v>
      </c>
      <c r="FL23" s="2102">
        <f t="shared" ca="1" si="28"/>
        <v>0</v>
      </c>
      <c r="FM23" s="2102">
        <f t="shared" ca="1" si="28"/>
        <v>0</v>
      </c>
      <c r="FN23" s="2103">
        <f t="shared" ca="1" si="28"/>
        <v>0</v>
      </c>
      <c r="FO23" s="2101">
        <f t="shared" ca="1" si="28"/>
        <v>0</v>
      </c>
      <c r="FP23" s="2102">
        <f t="shared" ca="1" si="28"/>
        <v>0</v>
      </c>
      <c r="FQ23" s="2102">
        <f t="shared" ca="1" si="28"/>
        <v>0</v>
      </c>
      <c r="FR23" s="2103">
        <f t="shared" ca="1" si="28"/>
        <v>0</v>
      </c>
      <c r="FS23" s="2101">
        <f t="shared" ca="1" si="28"/>
        <v>0</v>
      </c>
      <c r="FT23" s="2102">
        <f t="shared" ca="1" si="28"/>
        <v>0</v>
      </c>
      <c r="FU23" s="2102">
        <f t="shared" ca="1" si="28"/>
        <v>0</v>
      </c>
      <c r="FV23" s="2103">
        <f t="shared" ca="1" si="28"/>
        <v>0</v>
      </c>
      <c r="FW23" s="2101">
        <f t="shared" ca="1" si="28"/>
        <v>0</v>
      </c>
      <c r="FX23" s="2102">
        <f t="shared" ca="1" si="28"/>
        <v>0</v>
      </c>
      <c r="FY23" s="2102">
        <f t="shared" ca="1" si="28"/>
        <v>0</v>
      </c>
      <c r="FZ23" s="2103">
        <f t="shared" ca="1" si="28"/>
        <v>0</v>
      </c>
      <c r="GA23" s="2101">
        <f t="shared" ca="1" si="28"/>
        <v>0</v>
      </c>
      <c r="GB23" s="2102">
        <f t="shared" ca="1" si="28"/>
        <v>0</v>
      </c>
      <c r="GC23" s="2102">
        <f t="shared" ca="1" si="28"/>
        <v>0</v>
      </c>
      <c r="GD23" s="2103">
        <f t="shared" ca="1" si="28"/>
        <v>0</v>
      </c>
    </row>
    <row r="24" spans="1:186" ht="15" customHeight="1" outlineLevel="1">
      <c r="B24" s="2085"/>
      <c r="C24" s="2090" t="s">
        <v>3754</v>
      </c>
      <c r="D24" s="2091"/>
      <c r="E24" s="2092"/>
      <c r="F24" s="2092">
        <f t="shared" ca="1" si="19"/>
        <v>0</v>
      </c>
      <c r="G24" s="2097">
        <f t="shared" ref="G24:BR24" ca="1" si="29">MAX(G21-(G27+G28-G29),0)</f>
        <v>0</v>
      </c>
      <c r="H24" s="2098">
        <f t="shared" ca="1" si="29"/>
        <v>0</v>
      </c>
      <c r="I24" s="2098">
        <f t="shared" ca="1" si="29"/>
        <v>0</v>
      </c>
      <c r="J24" s="2099">
        <f t="shared" ca="1" si="29"/>
        <v>0</v>
      </c>
      <c r="K24" s="2097">
        <f t="shared" ca="1" si="29"/>
        <v>0</v>
      </c>
      <c r="L24" s="2098">
        <f t="shared" ca="1" si="29"/>
        <v>0</v>
      </c>
      <c r="M24" s="2098">
        <f t="shared" ca="1" si="29"/>
        <v>0</v>
      </c>
      <c r="N24" s="2099">
        <f t="shared" ca="1" si="29"/>
        <v>0</v>
      </c>
      <c r="O24" s="2097">
        <f t="shared" ca="1" si="29"/>
        <v>0</v>
      </c>
      <c r="P24" s="2098">
        <f t="shared" ca="1" si="29"/>
        <v>0</v>
      </c>
      <c r="Q24" s="2098">
        <f t="shared" ca="1" si="29"/>
        <v>0</v>
      </c>
      <c r="R24" s="2099">
        <f t="shared" ca="1" si="29"/>
        <v>0</v>
      </c>
      <c r="S24" s="2097">
        <f t="shared" ca="1" si="29"/>
        <v>0</v>
      </c>
      <c r="T24" s="2098">
        <f t="shared" ca="1" si="29"/>
        <v>0</v>
      </c>
      <c r="U24" s="2098">
        <f t="shared" ca="1" si="29"/>
        <v>0</v>
      </c>
      <c r="V24" s="2099">
        <f t="shared" ca="1" si="29"/>
        <v>0</v>
      </c>
      <c r="W24" s="2097">
        <f t="shared" ca="1" si="29"/>
        <v>0</v>
      </c>
      <c r="X24" s="2098">
        <f t="shared" ca="1" si="29"/>
        <v>0</v>
      </c>
      <c r="Y24" s="2098">
        <f t="shared" ca="1" si="29"/>
        <v>0</v>
      </c>
      <c r="Z24" s="2099">
        <f t="shared" ca="1" si="29"/>
        <v>0</v>
      </c>
      <c r="AA24" s="2097">
        <f t="shared" ca="1" si="29"/>
        <v>0</v>
      </c>
      <c r="AB24" s="2098">
        <f t="shared" ca="1" si="29"/>
        <v>0</v>
      </c>
      <c r="AC24" s="2098">
        <f t="shared" ca="1" si="29"/>
        <v>0</v>
      </c>
      <c r="AD24" s="2099">
        <f t="shared" ca="1" si="29"/>
        <v>0</v>
      </c>
      <c r="AE24" s="2097">
        <f t="shared" ca="1" si="29"/>
        <v>0</v>
      </c>
      <c r="AF24" s="2098">
        <f t="shared" ca="1" si="29"/>
        <v>0</v>
      </c>
      <c r="AG24" s="2098">
        <f t="shared" ca="1" si="29"/>
        <v>0</v>
      </c>
      <c r="AH24" s="2099">
        <f t="shared" ca="1" si="29"/>
        <v>0</v>
      </c>
      <c r="AI24" s="2097">
        <f t="shared" ca="1" si="29"/>
        <v>0</v>
      </c>
      <c r="AJ24" s="2098">
        <f t="shared" ca="1" si="29"/>
        <v>0</v>
      </c>
      <c r="AK24" s="2098">
        <f t="shared" ca="1" si="29"/>
        <v>0</v>
      </c>
      <c r="AL24" s="2099">
        <f t="shared" ca="1" si="29"/>
        <v>0</v>
      </c>
      <c r="AM24" s="2097">
        <f t="shared" ca="1" si="29"/>
        <v>0</v>
      </c>
      <c r="AN24" s="2098">
        <f t="shared" ca="1" si="29"/>
        <v>0</v>
      </c>
      <c r="AO24" s="2098">
        <f t="shared" ca="1" si="29"/>
        <v>0</v>
      </c>
      <c r="AP24" s="2099">
        <f t="shared" ca="1" si="29"/>
        <v>0</v>
      </c>
      <c r="AQ24" s="2097">
        <f t="shared" ca="1" si="29"/>
        <v>0</v>
      </c>
      <c r="AR24" s="2098">
        <f t="shared" ca="1" si="29"/>
        <v>0</v>
      </c>
      <c r="AS24" s="2098">
        <f t="shared" ca="1" si="29"/>
        <v>0</v>
      </c>
      <c r="AT24" s="2099">
        <f t="shared" ca="1" si="29"/>
        <v>0</v>
      </c>
      <c r="AU24" s="2097">
        <f t="shared" ca="1" si="29"/>
        <v>0</v>
      </c>
      <c r="AV24" s="2098">
        <f t="shared" ca="1" si="29"/>
        <v>0</v>
      </c>
      <c r="AW24" s="2098">
        <f t="shared" ca="1" si="29"/>
        <v>0</v>
      </c>
      <c r="AX24" s="2099">
        <f t="shared" ca="1" si="29"/>
        <v>0</v>
      </c>
      <c r="AY24" s="2097">
        <f t="shared" ca="1" si="29"/>
        <v>0</v>
      </c>
      <c r="AZ24" s="2098">
        <f t="shared" ca="1" si="29"/>
        <v>0</v>
      </c>
      <c r="BA24" s="2098">
        <f t="shared" ca="1" si="29"/>
        <v>0</v>
      </c>
      <c r="BB24" s="2099">
        <f t="shared" ca="1" si="29"/>
        <v>0</v>
      </c>
      <c r="BC24" s="2097">
        <f t="shared" ca="1" si="29"/>
        <v>0</v>
      </c>
      <c r="BD24" s="2098">
        <f t="shared" ca="1" si="29"/>
        <v>0</v>
      </c>
      <c r="BE24" s="2098">
        <f t="shared" ca="1" si="29"/>
        <v>0</v>
      </c>
      <c r="BF24" s="2099">
        <f t="shared" ca="1" si="29"/>
        <v>0</v>
      </c>
      <c r="BG24" s="2097">
        <f t="shared" ca="1" si="29"/>
        <v>0</v>
      </c>
      <c r="BH24" s="2098">
        <f t="shared" ca="1" si="29"/>
        <v>0</v>
      </c>
      <c r="BI24" s="2098">
        <f t="shared" ca="1" si="29"/>
        <v>0</v>
      </c>
      <c r="BJ24" s="2099">
        <f t="shared" ca="1" si="29"/>
        <v>0</v>
      </c>
      <c r="BK24" s="2097">
        <f t="shared" ca="1" si="29"/>
        <v>0</v>
      </c>
      <c r="BL24" s="2098">
        <f t="shared" ca="1" si="29"/>
        <v>0</v>
      </c>
      <c r="BM24" s="2098">
        <f t="shared" ca="1" si="29"/>
        <v>0</v>
      </c>
      <c r="BN24" s="2099">
        <f t="shared" ca="1" si="29"/>
        <v>0</v>
      </c>
      <c r="BO24" s="2097">
        <f t="shared" ca="1" si="29"/>
        <v>0</v>
      </c>
      <c r="BP24" s="2098">
        <f t="shared" ca="1" si="29"/>
        <v>0</v>
      </c>
      <c r="BQ24" s="2098">
        <f t="shared" ca="1" si="29"/>
        <v>0</v>
      </c>
      <c r="BR24" s="2099">
        <f t="shared" ca="1" si="29"/>
        <v>0</v>
      </c>
      <c r="BS24" s="2097">
        <f t="shared" ref="BS24:ED24" ca="1" si="30">MAX(BS21-(BS27+BS28-BS29),0)</f>
        <v>0</v>
      </c>
      <c r="BT24" s="2098">
        <f t="shared" ca="1" si="30"/>
        <v>0</v>
      </c>
      <c r="BU24" s="2098">
        <f t="shared" ca="1" si="30"/>
        <v>0</v>
      </c>
      <c r="BV24" s="2099">
        <f t="shared" ca="1" si="30"/>
        <v>0</v>
      </c>
      <c r="BW24" s="2097">
        <f t="shared" ca="1" si="30"/>
        <v>0</v>
      </c>
      <c r="BX24" s="2098">
        <f t="shared" ca="1" si="30"/>
        <v>0</v>
      </c>
      <c r="BY24" s="2098">
        <f t="shared" ca="1" si="30"/>
        <v>0</v>
      </c>
      <c r="BZ24" s="2099">
        <f t="shared" ca="1" si="30"/>
        <v>0</v>
      </c>
      <c r="CA24" s="2097">
        <f t="shared" ca="1" si="30"/>
        <v>0</v>
      </c>
      <c r="CB24" s="2098">
        <f t="shared" ca="1" si="30"/>
        <v>0</v>
      </c>
      <c r="CC24" s="2098">
        <f t="shared" ca="1" si="30"/>
        <v>0</v>
      </c>
      <c r="CD24" s="2099">
        <f t="shared" ca="1" si="30"/>
        <v>0</v>
      </c>
      <c r="CE24" s="2097">
        <f t="shared" ca="1" si="30"/>
        <v>0</v>
      </c>
      <c r="CF24" s="2098">
        <f t="shared" ca="1" si="30"/>
        <v>0</v>
      </c>
      <c r="CG24" s="2098">
        <f t="shared" ca="1" si="30"/>
        <v>0</v>
      </c>
      <c r="CH24" s="2099">
        <f t="shared" ca="1" si="30"/>
        <v>0</v>
      </c>
      <c r="CI24" s="2097">
        <f t="shared" ca="1" si="30"/>
        <v>0</v>
      </c>
      <c r="CJ24" s="2098">
        <f t="shared" ca="1" si="30"/>
        <v>0</v>
      </c>
      <c r="CK24" s="2098">
        <f t="shared" ca="1" si="30"/>
        <v>0</v>
      </c>
      <c r="CL24" s="2099">
        <f t="shared" ca="1" si="30"/>
        <v>0</v>
      </c>
      <c r="CM24" s="2097">
        <f t="shared" ca="1" si="30"/>
        <v>0</v>
      </c>
      <c r="CN24" s="2098">
        <f t="shared" ca="1" si="30"/>
        <v>0</v>
      </c>
      <c r="CO24" s="2098">
        <f t="shared" ca="1" si="30"/>
        <v>0</v>
      </c>
      <c r="CP24" s="2099">
        <f t="shared" ca="1" si="30"/>
        <v>0</v>
      </c>
      <c r="CQ24" s="2097">
        <f t="shared" ca="1" si="30"/>
        <v>0</v>
      </c>
      <c r="CR24" s="2098">
        <f t="shared" ca="1" si="30"/>
        <v>0</v>
      </c>
      <c r="CS24" s="2098">
        <f t="shared" ca="1" si="30"/>
        <v>0</v>
      </c>
      <c r="CT24" s="2099">
        <f t="shared" ca="1" si="30"/>
        <v>0</v>
      </c>
      <c r="CU24" s="2097">
        <f t="shared" ca="1" si="30"/>
        <v>0</v>
      </c>
      <c r="CV24" s="2098">
        <f t="shared" ca="1" si="30"/>
        <v>0</v>
      </c>
      <c r="CW24" s="2098">
        <f t="shared" ca="1" si="30"/>
        <v>0</v>
      </c>
      <c r="CX24" s="2099">
        <f t="shared" ca="1" si="30"/>
        <v>0</v>
      </c>
      <c r="CY24" s="2097">
        <f t="shared" ca="1" si="30"/>
        <v>0</v>
      </c>
      <c r="CZ24" s="2098">
        <f t="shared" ca="1" si="30"/>
        <v>0</v>
      </c>
      <c r="DA24" s="2098">
        <f t="shared" ca="1" si="30"/>
        <v>0</v>
      </c>
      <c r="DB24" s="2099">
        <f t="shared" ca="1" si="30"/>
        <v>0</v>
      </c>
      <c r="DC24" s="2097">
        <f t="shared" ca="1" si="30"/>
        <v>0</v>
      </c>
      <c r="DD24" s="2098">
        <f t="shared" ca="1" si="30"/>
        <v>0</v>
      </c>
      <c r="DE24" s="2098">
        <f t="shared" ca="1" si="30"/>
        <v>0</v>
      </c>
      <c r="DF24" s="2099">
        <f t="shared" ca="1" si="30"/>
        <v>0</v>
      </c>
      <c r="DG24" s="2097">
        <f t="shared" ca="1" si="30"/>
        <v>0</v>
      </c>
      <c r="DH24" s="2098">
        <f t="shared" ca="1" si="30"/>
        <v>0</v>
      </c>
      <c r="DI24" s="2098">
        <f t="shared" ca="1" si="30"/>
        <v>0</v>
      </c>
      <c r="DJ24" s="2099">
        <f t="shared" ca="1" si="30"/>
        <v>0</v>
      </c>
      <c r="DK24" s="2097">
        <f t="shared" ca="1" si="30"/>
        <v>0</v>
      </c>
      <c r="DL24" s="2098">
        <f t="shared" ca="1" si="30"/>
        <v>0</v>
      </c>
      <c r="DM24" s="2098">
        <f t="shared" ca="1" si="30"/>
        <v>0</v>
      </c>
      <c r="DN24" s="2099">
        <f t="shared" ca="1" si="30"/>
        <v>0</v>
      </c>
      <c r="DO24" s="2097">
        <f t="shared" ca="1" si="30"/>
        <v>0</v>
      </c>
      <c r="DP24" s="2098">
        <f t="shared" ca="1" si="30"/>
        <v>0</v>
      </c>
      <c r="DQ24" s="2098">
        <f t="shared" ca="1" si="30"/>
        <v>0</v>
      </c>
      <c r="DR24" s="2099">
        <f t="shared" ca="1" si="30"/>
        <v>0</v>
      </c>
      <c r="DS24" s="2097">
        <f t="shared" ca="1" si="30"/>
        <v>0</v>
      </c>
      <c r="DT24" s="2098">
        <f t="shared" ca="1" si="30"/>
        <v>0</v>
      </c>
      <c r="DU24" s="2098">
        <f t="shared" ca="1" si="30"/>
        <v>0</v>
      </c>
      <c r="DV24" s="2099">
        <f t="shared" ca="1" si="30"/>
        <v>0</v>
      </c>
      <c r="DW24" s="2097">
        <f t="shared" ca="1" si="30"/>
        <v>0</v>
      </c>
      <c r="DX24" s="2098">
        <f t="shared" ca="1" si="30"/>
        <v>0</v>
      </c>
      <c r="DY24" s="2098">
        <f t="shared" ca="1" si="30"/>
        <v>0</v>
      </c>
      <c r="DZ24" s="2099">
        <f t="shared" ca="1" si="30"/>
        <v>0</v>
      </c>
      <c r="EA24" s="2097">
        <f t="shared" ca="1" si="30"/>
        <v>0</v>
      </c>
      <c r="EB24" s="2098">
        <f t="shared" ca="1" si="30"/>
        <v>0</v>
      </c>
      <c r="EC24" s="2098">
        <f t="shared" ca="1" si="30"/>
        <v>0</v>
      </c>
      <c r="ED24" s="2099">
        <f t="shared" ca="1" si="30"/>
        <v>0</v>
      </c>
      <c r="EE24" s="2097">
        <f t="shared" ref="EE24:GD24" ca="1" si="31">MAX(EE21-(EE27+EE28-EE29),0)</f>
        <v>0</v>
      </c>
      <c r="EF24" s="2098">
        <f t="shared" ca="1" si="31"/>
        <v>0</v>
      </c>
      <c r="EG24" s="2098">
        <f t="shared" ca="1" si="31"/>
        <v>0</v>
      </c>
      <c r="EH24" s="2099">
        <f t="shared" ca="1" si="31"/>
        <v>0</v>
      </c>
      <c r="EI24" s="2097">
        <f t="shared" ca="1" si="31"/>
        <v>0</v>
      </c>
      <c r="EJ24" s="2098">
        <f t="shared" ca="1" si="31"/>
        <v>0</v>
      </c>
      <c r="EK24" s="2098">
        <f t="shared" ca="1" si="31"/>
        <v>0</v>
      </c>
      <c r="EL24" s="2099">
        <f t="shared" ca="1" si="31"/>
        <v>0</v>
      </c>
      <c r="EM24" s="2097">
        <f t="shared" ca="1" si="31"/>
        <v>0</v>
      </c>
      <c r="EN24" s="2098">
        <f t="shared" ca="1" si="31"/>
        <v>0</v>
      </c>
      <c r="EO24" s="2098">
        <f t="shared" ca="1" si="31"/>
        <v>0</v>
      </c>
      <c r="EP24" s="2099">
        <f t="shared" ca="1" si="31"/>
        <v>0</v>
      </c>
      <c r="EQ24" s="2097">
        <f t="shared" ca="1" si="31"/>
        <v>0</v>
      </c>
      <c r="ER24" s="2098">
        <f t="shared" ca="1" si="31"/>
        <v>0</v>
      </c>
      <c r="ES24" s="2098">
        <f t="shared" ca="1" si="31"/>
        <v>0</v>
      </c>
      <c r="ET24" s="2099">
        <f t="shared" ca="1" si="31"/>
        <v>0</v>
      </c>
      <c r="EU24" s="2097">
        <f t="shared" ca="1" si="31"/>
        <v>0</v>
      </c>
      <c r="EV24" s="2098">
        <f t="shared" ca="1" si="31"/>
        <v>0</v>
      </c>
      <c r="EW24" s="2098">
        <f t="shared" ca="1" si="31"/>
        <v>0</v>
      </c>
      <c r="EX24" s="2099">
        <f t="shared" ca="1" si="31"/>
        <v>0</v>
      </c>
      <c r="EY24" s="2097">
        <f t="shared" ca="1" si="31"/>
        <v>0</v>
      </c>
      <c r="EZ24" s="2098">
        <f t="shared" ca="1" si="31"/>
        <v>0</v>
      </c>
      <c r="FA24" s="2098">
        <f t="shared" ca="1" si="31"/>
        <v>0</v>
      </c>
      <c r="FB24" s="2099">
        <f t="shared" ca="1" si="31"/>
        <v>0</v>
      </c>
      <c r="FC24" s="2097">
        <f t="shared" ca="1" si="31"/>
        <v>0</v>
      </c>
      <c r="FD24" s="2098">
        <f t="shared" ca="1" si="31"/>
        <v>0</v>
      </c>
      <c r="FE24" s="2098">
        <f t="shared" ca="1" si="31"/>
        <v>0</v>
      </c>
      <c r="FF24" s="2099">
        <f t="shared" ca="1" si="31"/>
        <v>0</v>
      </c>
      <c r="FG24" s="2097">
        <f t="shared" ca="1" si="31"/>
        <v>0</v>
      </c>
      <c r="FH24" s="2098">
        <f t="shared" ca="1" si="31"/>
        <v>0</v>
      </c>
      <c r="FI24" s="2098">
        <f t="shared" ca="1" si="31"/>
        <v>0</v>
      </c>
      <c r="FJ24" s="2099">
        <f t="shared" ca="1" si="31"/>
        <v>0</v>
      </c>
      <c r="FK24" s="2097">
        <f t="shared" ca="1" si="31"/>
        <v>0</v>
      </c>
      <c r="FL24" s="2098">
        <f t="shared" ca="1" si="31"/>
        <v>0</v>
      </c>
      <c r="FM24" s="2098">
        <f t="shared" ca="1" si="31"/>
        <v>0</v>
      </c>
      <c r="FN24" s="2099">
        <f t="shared" ca="1" si="31"/>
        <v>0</v>
      </c>
      <c r="FO24" s="2097">
        <f t="shared" ca="1" si="31"/>
        <v>0</v>
      </c>
      <c r="FP24" s="2098">
        <f t="shared" ca="1" si="31"/>
        <v>0</v>
      </c>
      <c r="FQ24" s="2098">
        <f t="shared" ca="1" si="31"/>
        <v>0</v>
      </c>
      <c r="FR24" s="2099">
        <f t="shared" ca="1" si="31"/>
        <v>0</v>
      </c>
      <c r="FS24" s="2097">
        <f t="shared" ca="1" si="31"/>
        <v>0</v>
      </c>
      <c r="FT24" s="2098">
        <f t="shared" ca="1" si="31"/>
        <v>0</v>
      </c>
      <c r="FU24" s="2098">
        <f t="shared" ca="1" si="31"/>
        <v>0</v>
      </c>
      <c r="FV24" s="2099">
        <f t="shared" ca="1" si="31"/>
        <v>0</v>
      </c>
      <c r="FW24" s="2097">
        <f t="shared" ca="1" si="31"/>
        <v>0</v>
      </c>
      <c r="FX24" s="2098">
        <f t="shared" ca="1" si="31"/>
        <v>0</v>
      </c>
      <c r="FY24" s="2098">
        <f t="shared" ca="1" si="31"/>
        <v>0</v>
      </c>
      <c r="FZ24" s="2099">
        <f t="shared" ca="1" si="31"/>
        <v>0</v>
      </c>
      <c r="GA24" s="2097">
        <f t="shared" ca="1" si="31"/>
        <v>0</v>
      </c>
      <c r="GB24" s="2098">
        <f t="shared" ca="1" si="31"/>
        <v>0</v>
      </c>
      <c r="GC24" s="2098">
        <f t="shared" ca="1" si="31"/>
        <v>0</v>
      </c>
      <c r="GD24" s="2099">
        <f t="shared" ca="1" si="31"/>
        <v>0</v>
      </c>
    </row>
    <row r="25" spans="1:186" s="414" customFormat="1" ht="15" customHeight="1" outlineLevel="1">
      <c r="B25" s="2065"/>
      <c r="C25" s="2078" t="s">
        <v>3755</v>
      </c>
      <c r="D25" s="2079"/>
      <c r="E25" s="2079"/>
      <c r="F25" s="2080">
        <f t="shared" ca="1" si="19"/>
        <v>46628.244452779974</v>
      </c>
      <c r="G25" s="2081">
        <f ca="1">G20-G22+G23</f>
        <v>240.58674977846402</v>
      </c>
      <c r="H25" s="2082">
        <f t="shared" ref="H25:BS25" ca="1" si="32">H20-H22+H23</f>
        <v>206.0879697785542</v>
      </c>
      <c r="I25" s="2082">
        <f t="shared" ca="1" si="32"/>
        <v>170.77819008855417</v>
      </c>
      <c r="J25" s="2083">
        <f t="shared" ca="1" si="32"/>
        <v>116.69730975855418</v>
      </c>
      <c r="K25" s="2081">
        <f t="shared" ca="1" si="32"/>
        <v>221.28963234855416</v>
      </c>
      <c r="L25" s="2082">
        <f t="shared" ca="1" si="32"/>
        <v>285.41247461933335</v>
      </c>
      <c r="M25" s="2082">
        <f t="shared" ca="1" si="32"/>
        <v>252.1386285757122</v>
      </c>
      <c r="N25" s="2083">
        <f t="shared" ca="1" si="32"/>
        <v>200.14480231571218</v>
      </c>
      <c r="O25" s="2081">
        <f t="shared" ca="1" si="32"/>
        <v>114.40566249000001</v>
      </c>
      <c r="P25" s="2082">
        <f t="shared" ca="1" si="32"/>
        <v>148.78848501179391</v>
      </c>
      <c r="Q25" s="2082">
        <f ca="1">Q20-Q22+Q23</f>
        <v>85.975114423333338</v>
      </c>
      <c r="R25" s="2083">
        <f t="shared" ca="1" si="32"/>
        <v>78.445944266744178</v>
      </c>
      <c r="S25" s="2081">
        <f t="shared" ca="1" si="32"/>
        <v>68.338004432043732</v>
      </c>
      <c r="T25" s="2082">
        <f t="shared" ca="1" si="32"/>
        <v>123.51215366492741</v>
      </c>
      <c r="U25" s="2082">
        <f t="shared" ca="1" si="32"/>
        <v>69.768207804688871</v>
      </c>
      <c r="V25" s="2083">
        <f t="shared" ca="1" si="32"/>
        <v>65.860142133666812</v>
      </c>
      <c r="W25" s="2081">
        <f t="shared" ca="1" si="32"/>
        <v>115.55951149873762</v>
      </c>
      <c r="X25" s="2082">
        <f t="shared" ca="1" si="32"/>
        <v>197.12112372820582</v>
      </c>
      <c r="Y25" s="2082">
        <f t="shared" ca="1" si="32"/>
        <v>156.80886774972888</v>
      </c>
      <c r="Z25" s="2083">
        <f t="shared" ca="1" si="32"/>
        <v>119.47305053859714</v>
      </c>
      <c r="AA25" s="2081">
        <f t="shared" ca="1" si="32"/>
        <v>79.782845330926548</v>
      </c>
      <c r="AB25" s="2082">
        <f t="shared" ca="1" si="32"/>
        <v>184.38809028950038</v>
      </c>
      <c r="AC25" s="2082">
        <f t="shared" ca="1" si="32"/>
        <v>148.96658436993619</v>
      </c>
      <c r="AD25" s="2083">
        <f t="shared" ca="1" si="32"/>
        <v>113.33396737245205</v>
      </c>
      <c r="AE25" s="2081">
        <f t="shared" ca="1" si="32"/>
        <v>72.080292063928681</v>
      </c>
      <c r="AF25" s="2082">
        <f t="shared" ca="1" si="32"/>
        <v>114.32555621097202</v>
      </c>
      <c r="AG25" s="2082">
        <f t="shared" ca="1" si="32"/>
        <v>65.471669525795718</v>
      </c>
      <c r="AH25" s="2083">
        <f t="shared" ca="1" si="32"/>
        <v>70.179170518648021</v>
      </c>
      <c r="AI25" s="2081">
        <f t="shared" ca="1" si="32"/>
        <v>66.410656982206604</v>
      </c>
      <c r="AJ25" s="2082">
        <f t="shared" ca="1" si="32"/>
        <v>72.063150875020042</v>
      </c>
      <c r="AK25" s="2082">
        <f t="shared" ca="1" si="32"/>
        <v>66.787756952490511</v>
      </c>
      <c r="AL25" s="2083">
        <f t="shared" ca="1" si="32"/>
        <v>72.063150875020042</v>
      </c>
      <c r="AM25" s="2081">
        <f t="shared" ca="1" si="32"/>
        <v>81.024269249957399</v>
      </c>
      <c r="AN25" s="2082">
        <f t="shared" ca="1" si="32"/>
        <v>84.853040228084112</v>
      </c>
      <c r="AO25" s="2082">
        <f t="shared" ca="1" si="32"/>
        <v>88.879870443387873</v>
      </c>
      <c r="AP25" s="2083">
        <f t="shared" ca="1" si="32"/>
        <v>93.230363141514587</v>
      </c>
      <c r="AQ25" s="2081">
        <f t="shared" ca="1" si="32"/>
        <v>96.172377959521938</v>
      </c>
      <c r="AR25" s="2082">
        <f t="shared" ca="1" si="32"/>
        <v>101.86171658151542</v>
      </c>
      <c r="AS25" s="2082">
        <f t="shared" ca="1" si="32"/>
        <v>107.71026917879867</v>
      </c>
      <c r="AT25" s="2083">
        <f t="shared" ca="1" si="32"/>
        <v>115.50680764735964</v>
      </c>
      <c r="AU25" s="2081">
        <f t="shared" ca="1" si="32"/>
        <v>122.37913855531474</v>
      </c>
      <c r="AV25" s="2082">
        <f t="shared" ca="1" si="32"/>
        <v>94.678622981585903</v>
      </c>
      <c r="AW25" s="2082">
        <f t="shared" ca="1" si="32"/>
        <v>95.331419022467415</v>
      </c>
      <c r="AX25" s="2083">
        <f t="shared" ca="1" si="32"/>
        <v>98.50142391197241</v>
      </c>
      <c r="AY25" s="2081">
        <f t="shared" ca="1" si="32"/>
        <v>114.16145299759754</v>
      </c>
      <c r="AZ25" s="2082">
        <f t="shared" ca="1" si="32"/>
        <v>114.39699401110389</v>
      </c>
      <c r="BA25" s="2082">
        <f t="shared" ca="1" si="32"/>
        <v>128.186560362775</v>
      </c>
      <c r="BB25" s="2083">
        <f t="shared" ca="1" si="32"/>
        <v>144.17923823100301</v>
      </c>
      <c r="BC25" s="2081">
        <f t="shared" ca="1" si="32"/>
        <v>154.57184126208065</v>
      </c>
      <c r="BD25" s="2082">
        <f t="shared" ca="1" si="32"/>
        <v>136.98944357011788</v>
      </c>
      <c r="BE25" s="2082">
        <f t="shared" ca="1" si="32"/>
        <v>143.74727373299078</v>
      </c>
      <c r="BF25" s="2083">
        <f t="shared" ca="1" si="32"/>
        <v>154.80733086162257</v>
      </c>
      <c r="BG25" s="2081">
        <f t="shared" ca="1" si="32"/>
        <v>164.18218231389858</v>
      </c>
      <c r="BH25" s="2082">
        <f t="shared" ca="1" si="32"/>
        <v>154.10467783872465</v>
      </c>
      <c r="BI25" s="2082">
        <f t="shared" ca="1" si="32"/>
        <v>165.32445188514362</v>
      </c>
      <c r="BJ25" s="2083">
        <f t="shared" ca="1" si="32"/>
        <v>180.28773230654397</v>
      </c>
      <c r="BK25" s="2081">
        <f t="shared" ca="1" si="32"/>
        <v>194.44357494292024</v>
      </c>
      <c r="BL25" s="2082">
        <f t="shared" ca="1" si="32"/>
        <v>192.59652465414155</v>
      </c>
      <c r="BM25" s="2082">
        <f t="shared" ca="1" si="32"/>
        <v>213.37113653920395</v>
      </c>
      <c r="BN25" s="2083">
        <f t="shared" ca="1" si="32"/>
        <v>238.13242691142085</v>
      </c>
      <c r="BO25" s="2081">
        <f t="shared" ca="1" si="32"/>
        <v>257.77951750562897</v>
      </c>
      <c r="BP25" s="2082">
        <f t="shared" ca="1" si="32"/>
        <v>241.60521886779196</v>
      </c>
      <c r="BQ25" s="2082">
        <f t="shared" ca="1" si="32"/>
        <v>253.3705046512527</v>
      </c>
      <c r="BR25" s="2083">
        <f t="shared" ca="1" si="32"/>
        <v>270.09890077610498</v>
      </c>
      <c r="BS25" s="2081">
        <f t="shared" ca="1" si="32"/>
        <v>282.81918040839236</v>
      </c>
      <c r="BT25" s="2082">
        <f t="shared" ref="BT25:EE25" ca="1" si="33">BT20-BT22+BT23</f>
        <v>263.55322696083363</v>
      </c>
      <c r="BU25" s="2082">
        <f t="shared" ca="1" si="33"/>
        <v>271.86897389322655</v>
      </c>
      <c r="BV25" s="2083">
        <f t="shared" ca="1" si="33"/>
        <v>285.08211952967736</v>
      </c>
      <c r="BW25" s="2081">
        <f t="shared" ca="1" si="33"/>
        <v>298.47702469043901</v>
      </c>
      <c r="BX25" s="2082">
        <f t="shared" ca="1" si="33"/>
        <v>277.31704924761118</v>
      </c>
      <c r="BY25" s="2082">
        <f t="shared" ca="1" si="33"/>
        <v>286.04764519852921</v>
      </c>
      <c r="BZ25" s="2083">
        <f t="shared" ca="1" si="33"/>
        <v>298.93778391394517</v>
      </c>
      <c r="CA25" s="2081">
        <f t="shared" ca="1" si="33"/>
        <v>305.82223413263847</v>
      </c>
      <c r="CB25" s="2082">
        <f t="shared" ca="1" si="33"/>
        <v>271.69468700430571</v>
      </c>
      <c r="CC25" s="2082">
        <f t="shared" ca="1" si="33"/>
        <v>287.87512211930169</v>
      </c>
      <c r="CD25" s="2083">
        <f t="shared" ca="1" si="33"/>
        <v>309.56324353653167</v>
      </c>
      <c r="CE25" s="2081">
        <f t="shared" ca="1" si="33"/>
        <v>327.10800625888851</v>
      </c>
      <c r="CF25" s="2082">
        <f t="shared" ca="1" si="33"/>
        <v>281.9028688042618</v>
      </c>
      <c r="CG25" s="2082">
        <f t="shared" ca="1" si="33"/>
        <v>288.84438486587464</v>
      </c>
      <c r="CH25" s="2083">
        <f t="shared" ca="1" si="33"/>
        <v>301.03556387984781</v>
      </c>
      <c r="CI25" s="2081">
        <f t="shared" ca="1" si="33"/>
        <v>312.90912052059241</v>
      </c>
      <c r="CJ25" s="2082">
        <f t="shared" ca="1" si="33"/>
        <v>236.17887483993348</v>
      </c>
      <c r="CK25" s="2082">
        <f t="shared" ca="1" si="33"/>
        <v>225.69956146311145</v>
      </c>
      <c r="CL25" s="2083">
        <f t="shared" ca="1" si="33"/>
        <v>219.9000641541819</v>
      </c>
      <c r="CM25" s="2081">
        <f t="shared" ca="1" si="33"/>
        <v>210.12165311888606</v>
      </c>
      <c r="CN25" s="2082">
        <f t="shared" ca="1" si="33"/>
        <v>153.51599301097173</v>
      </c>
      <c r="CO25" s="2082">
        <f t="shared" ca="1" si="33"/>
        <v>165.52843257241338</v>
      </c>
      <c r="CP25" s="2083">
        <f t="shared" ca="1" si="33"/>
        <v>182.30808011563357</v>
      </c>
      <c r="CQ25" s="2081">
        <f t="shared" ca="1" si="33"/>
        <v>191.52708262000766</v>
      </c>
      <c r="CR25" s="2082">
        <f t="shared" ca="1" si="33"/>
        <v>128.91008635363252</v>
      </c>
      <c r="CS25" s="2082">
        <f t="shared" ca="1" si="33"/>
        <v>144.89740825966481</v>
      </c>
      <c r="CT25" s="2083">
        <f t="shared" ca="1" si="33"/>
        <v>167.48552303195098</v>
      </c>
      <c r="CU25" s="2081">
        <f t="shared" ca="1" si="33"/>
        <v>188.27258863394732</v>
      </c>
      <c r="CV25" s="2082">
        <f t="shared" ca="1" si="33"/>
        <v>124.63582200822545</v>
      </c>
      <c r="CW25" s="2082">
        <f t="shared" ca="1" si="33"/>
        <v>142.02610765039574</v>
      </c>
      <c r="CX25" s="2083">
        <f t="shared" ca="1" si="33"/>
        <v>166.46202807923515</v>
      </c>
      <c r="CY25" s="2081">
        <f t="shared" ca="1" si="33"/>
        <v>181.01063287045284</v>
      </c>
      <c r="CZ25" s="2082">
        <f t="shared" ca="1" si="33"/>
        <v>126.55363638144918</v>
      </c>
      <c r="DA25" s="2082">
        <f t="shared" ca="1" si="33"/>
        <v>148.10162902498158</v>
      </c>
      <c r="DB25" s="2083">
        <f t="shared" ca="1" si="33"/>
        <v>178.56709656536879</v>
      </c>
      <c r="DC25" s="2081">
        <f t="shared" ca="1" si="33"/>
        <v>201.49999395710293</v>
      </c>
      <c r="DD25" s="2082">
        <f t="shared" ca="1" si="33"/>
        <v>134.27492862131498</v>
      </c>
      <c r="DE25" s="2082">
        <f t="shared" ca="1" si="33"/>
        <v>160.5299469008603</v>
      </c>
      <c r="DF25" s="2083">
        <f t="shared" ca="1" si="33"/>
        <v>195.45996182272592</v>
      </c>
      <c r="DG25" s="2081">
        <f t="shared" ca="1" si="33"/>
        <v>225.76014955832895</v>
      </c>
      <c r="DH25" s="2082">
        <f t="shared" ca="1" si="33"/>
        <v>154.10608037548408</v>
      </c>
      <c r="DI25" s="2082">
        <f t="shared" ca="1" si="33"/>
        <v>182.08310177904224</v>
      </c>
      <c r="DJ25" s="2083">
        <f t="shared" ca="1" si="33"/>
        <v>218.81004199766926</v>
      </c>
      <c r="DK25" s="2081">
        <f t="shared" ca="1" si="33"/>
        <v>245.88823367080761</v>
      </c>
      <c r="DL25" s="2082">
        <f t="shared" ca="1" si="33"/>
        <v>174.8145724348206</v>
      </c>
      <c r="DM25" s="2082">
        <f t="shared" ca="1" si="33"/>
        <v>199.02769380241045</v>
      </c>
      <c r="DN25" s="2083">
        <f t="shared" ca="1" si="33"/>
        <v>232.90470089842648</v>
      </c>
      <c r="DO25" s="2081">
        <f t="shared" ca="1" si="33"/>
        <v>257.26213237410741</v>
      </c>
      <c r="DP25" s="2082">
        <f t="shared" ca="1" si="33"/>
        <v>197.04764420508013</v>
      </c>
      <c r="DQ25" s="2082">
        <f t="shared" ca="1" si="33"/>
        <v>220.76709103233222</v>
      </c>
      <c r="DR25" s="2083">
        <f t="shared" ca="1" si="33"/>
        <v>254.54174373871194</v>
      </c>
      <c r="DS25" s="2081">
        <f t="shared" ca="1" si="33"/>
        <v>283.91973669071086</v>
      </c>
      <c r="DT25" s="2082">
        <f t="shared" ca="1" si="33"/>
        <v>257.97365079329836</v>
      </c>
      <c r="DU25" s="2082">
        <f t="shared" ca="1" si="33"/>
        <v>284.29864984284029</v>
      </c>
      <c r="DV25" s="2083">
        <f t="shared" ca="1" si="33"/>
        <v>320.05430333636014</v>
      </c>
      <c r="DW25" s="2081">
        <f t="shared" ca="1" si="33"/>
        <v>344.78214698073231</v>
      </c>
      <c r="DX25" s="2082">
        <f t="shared" ca="1" si="33"/>
        <v>305.12200320752606</v>
      </c>
      <c r="DY25" s="2082">
        <f t="shared" ca="1" si="33"/>
        <v>324.68833430400406</v>
      </c>
      <c r="DZ25" s="2083">
        <f t="shared" ca="1" si="33"/>
        <v>354.96240964817827</v>
      </c>
      <c r="EA25" s="2081">
        <f t="shared" ca="1" si="33"/>
        <v>377.66174104798932</v>
      </c>
      <c r="EB25" s="2082">
        <f t="shared" ca="1" si="33"/>
        <v>353.57929200486967</v>
      </c>
      <c r="EC25" s="2082">
        <f t="shared" ca="1" si="33"/>
        <v>382.79167116125126</v>
      </c>
      <c r="ED25" s="2083">
        <f t="shared" ca="1" si="33"/>
        <v>421.62267582922573</v>
      </c>
      <c r="EE25" s="2081">
        <f t="shared" ca="1" si="33"/>
        <v>453.89899692607617</v>
      </c>
      <c r="EF25" s="2082">
        <f t="shared" ref="EF25:GD25" ca="1" si="34">EF20-EF22+EF23</f>
        <v>416.01380753977242</v>
      </c>
      <c r="EG25" s="2082">
        <f t="shared" ca="1" si="34"/>
        <v>435.69639266813209</v>
      </c>
      <c r="EH25" s="2083">
        <f t="shared" ca="1" si="34"/>
        <v>465.78216552983667</v>
      </c>
      <c r="EI25" s="2081">
        <f t="shared" ca="1" si="34"/>
        <v>483.7910434792326</v>
      </c>
      <c r="EJ25" s="2082">
        <f t="shared" ca="1" si="34"/>
        <v>445.78767479577931</v>
      </c>
      <c r="EK25" s="2082">
        <f t="shared" ca="1" si="34"/>
        <v>472.59424946440288</v>
      </c>
      <c r="EL25" s="2083">
        <f t="shared" ca="1" si="34"/>
        <v>511.13375758613921</v>
      </c>
      <c r="EM25" s="2081">
        <f t="shared" ca="1" si="34"/>
        <v>539.67409344298403</v>
      </c>
      <c r="EN25" s="2082">
        <f t="shared" ca="1" si="34"/>
        <v>506.52931962871776</v>
      </c>
      <c r="EO25" s="2082">
        <f t="shared" ca="1" si="34"/>
        <v>536.15117697197661</v>
      </c>
      <c r="EP25" s="2083">
        <f t="shared" ca="1" si="34"/>
        <v>577.13079208467479</v>
      </c>
      <c r="EQ25" s="2081">
        <f t="shared" ca="1" si="34"/>
        <v>611.43833360225244</v>
      </c>
      <c r="ER25" s="2082">
        <f t="shared" ca="1" si="34"/>
        <v>576.35863663912801</v>
      </c>
      <c r="ES25" s="2082">
        <f t="shared" ca="1" si="34"/>
        <v>604.53726876343546</v>
      </c>
      <c r="ET25" s="2083">
        <f t="shared" ca="1" si="34"/>
        <v>644.16394006768121</v>
      </c>
      <c r="EU25" s="2081">
        <f t="shared" ca="1" si="34"/>
        <v>669.64531639395648</v>
      </c>
      <c r="EV25" s="2082">
        <f t="shared" ca="1" si="34"/>
        <v>627.56818761305749</v>
      </c>
      <c r="EW25" s="2082">
        <f t="shared" ca="1" si="34"/>
        <v>658.85949737782664</v>
      </c>
      <c r="EX25" s="2083">
        <f t="shared" ca="1" si="34"/>
        <v>703.45517901516905</v>
      </c>
      <c r="EY25" s="2081">
        <f t="shared" ca="1" si="34"/>
        <v>735.67218026404157</v>
      </c>
      <c r="EZ25" s="2082">
        <f t="shared" ca="1" si="34"/>
        <v>691.3801994799303</v>
      </c>
      <c r="FA25" s="2082">
        <f t="shared" ca="1" si="34"/>
        <v>720.69418301180633</v>
      </c>
      <c r="FB25" s="2083">
        <f t="shared" ca="1" si="34"/>
        <v>763.35615088698182</v>
      </c>
      <c r="FC25" s="2081">
        <f t="shared" ca="1" si="34"/>
        <v>797.18718084750981</v>
      </c>
      <c r="FD25" s="2082">
        <f t="shared" ca="1" si="34"/>
        <v>754.77717416265727</v>
      </c>
      <c r="FE25" s="2082">
        <f t="shared" ca="1" si="34"/>
        <v>787.58609223559483</v>
      </c>
      <c r="FF25" s="2083">
        <f t="shared" ca="1" si="34"/>
        <v>834.03915279061528</v>
      </c>
      <c r="FG25" s="2081">
        <f t="shared" ca="1" si="34"/>
        <v>865.56362673552246</v>
      </c>
      <c r="FH25" s="2082">
        <f t="shared" ca="1" si="34"/>
        <v>812.59641125851363</v>
      </c>
      <c r="FI25" s="2082">
        <f t="shared" ca="1" si="34"/>
        <v>841.1940465232426</v>
      </c>
      <c r="FJ25" s="2083">
        <f t="shared" ca="1" si="34"/>
        <v>884.60100946589307</v>
      </c>
      <c r="FK25" s="2081">
        <f t="shared" ca="1" si="34"/>
        <v>913.92929925770648</v>
      </c>
      <c r="FL25" s="2082">
        <f t="shared" ca="1" si="34"/>
        <v>827.15152903783996</v>
      </c>
      <c r="FM25" s="2082">
        <f t="shared" ca="1" si="34"/>
        <v>0</v>
      </c>
      <c r="FN25" s="2083">
        <f t="shared" ca="1" si="34"/>
        <v>0</v>
      </c>
      <c r="FO25" s="2081">
        <f t="shared" ca="1" si="34"/>
        <v>0</v>
      </c>
      <c r="FP25" s="2082">
        <f t="shared" ca="1" si="34"/>
        <v>0</v>
      </c>
      <c r="FQ25" s="2082">
        <f t="shared" ca="1" si="34"/>
        <v>0</v>
      </c>
      <c r="FR25" s="2083">
        <f t="shared" ca="1" si="34"/>
        <v>0</v>
      </c>
      <c r="FS25" s="2081">
        <f t="shared" ca="1" si="34"/>
        <v>0</v>
      </c>
      <c r="FT25" s="2082">
        <f t="shared" ca="1" si="34"/>
        <v>0</v>
      </c>
      <c r="FU25" s="2082">
        <f t="shared" ca="1" si="34"/>
        <v>0</v>
      </c>
      <c r="FV25" s="2083">
        <f t="shared" ca="1" si="34"/>
        <v>0</v>
      </c>
      <c r="FW25" s="2081">
        <f t="shared" ca="1" si="34"/>
        <v>0</v>
      </c>
      <c r="FX25" s="2082">
        <f t="shared" ca="1" si="34"/>
        <v>0</v>
      </c>
      <c r="FY25" s="2082">
        <f t="shared" ca="1" si="34"/>
        <v>0</v>
      </c>
      <c r="FZ25" s="2083">
        <f t="shared" ca="1" si="34"/>
        <v>0</v>
      </c>
      <c r="GA25" s="2081">
        <f t="shared" ca="1" si="34"/>
        <v>0</v>
      </c>
      <c r="GB25" s="2082">
        <f t="shared" ca="1" si="34"/>
        <v>0</v>
      </c>
      <c r="GC25" s="2082">
        <f t="shared" ca="1" si="34"/>
        <v>0</v>
      </c>
      <c r="GD25" s="2083">
        <f t="shared" ca="1" si="34"/>
        <v>0</v>
      </c>
    </row>
    <row r="26" spans="1:186" ht="15" customHeight="1" outlineLevel="1">
      <c r="B26" s="2064"/>
      <c r="C26" s="2068"/>
      <c r="D26" s="2068"/>
      <c r="E26" s="2068"/>
      <c r="F26" s="2068"/>
      <c r="G26" s="2068"/>
      <c r="H26" s="2068"/>
      <c r="I26" s="2068"/>
      <c r="J26" s="2068"/>
      <c r="K26" s="2068"/>
      <c r="L26" s="2084"/>
      <c r="M26" s="2084"/>
      <c r="N26" s="2084"/>
      <c r="O26" s="2084"/>
      <c r="P26" s="2084"/>
      <c r="Q26" s="2084"/>
      <c r="R26" s="2084"/>
      <c r="S26" s="2084"/>
      <c r="T26" s="2084"/>
      <c r="U26" s="2084"/>
      <c r="V26" s="2084"/>
      <c r="W26" s="2084"/>
      <c r="X26" s="2084"/>
      <c r="Y26" s="2084"/>
      <c r="Z26" s="2084"/>
      <c r="AA26" s="2084"/>
      <c r="AB26" s="2084"/>
      <c r="AC26" s="2084"/>
      <c r="AD26" s="2084"/>
      <c r="AE26" s="2084"/>
      <c r="AF26" s="2084"/>
      <c r="AG26" s="2084"/>
      <c r="AH26" s="2084"/>
      <c r="AI26" s="2084"/>
      <c r="AJ26" s="2084"/>
      <c r="AK26" s="2084"/>
      <c r="AL26" s="2084"/>
      <c r="AM26" s="2084"/>
      <c r="AN26" s="2084"/>
      <c r="AO26" s="2084"/>
      <c r="AP26" s="2084"/>
      <c r="AQ26" s="2084"/>
      <c r="AR26" s="2084"/>
      <c r="AS26" s="2084"/>
      <c r="AT26" s="2084"/>
      <c r="AU26" s="2084"/>
      <c r="AV26" s="2084"/>
      <c r="AW26" s="2084"/>
      <c r="AX26" s="2084"/>
      <c r="AY26" s="2084"/>
      <c r="AZ26" s="2084"/>
      <c r="BA26" s="2084"/>
      <c r="BB26" s="2084"/>
      <c r="BC26" s="2084"/>
      <c r="BD26" s="2084"/>
      <c r="BE26" s="2084"/>
      <c r="BF26" s="2084"/>
      <c r="BG26" s="2084"/>
      <c r="BH26" s="2084"/>
      <c r="BI26" s="2084"/>
      <c r="BJ26" s="2084"/>
      <c r="BK26" s="2084"/>
      <c r="BL26" s="2084"/>
      <c r="BM26" s="2084"/>
      <c r="BN26" s="2084"/>
      <c r="BO26" s="2084"/>
      <c r="BP26" s="2084"/>
      <c r="BQ26" s="2084"/>
      <c r="BR26" s="2084"/>
      <c r="BS26" s="2084"/>
      <c r="BT26" s="2084"/>
      <c r="BU26" s="2084"/>
      <c r="BV26" s="2084"/>
      <c r="BW26" s="2084"/>
      <c r="BX26" s="2084"/>
      <c r="BY26" s="2084"/>
      <c r="BZ26" s="2084"/>
      <c r="CA26" s="2084"/>
      <c r="CB26" s="2084"/>
      <c r="CC26" s="2084"/>
      <c r="CD26" s="2084"/>
      <c r="CE26" s="2084"/>
      <c r="CF26" s="2084"/>
      <c r="CG26" s="2084"/>
      <c r="CH26" s="2084"/>
      <c r="CI26" s="2084"/>
      <c r="CJ26" s="2084"/>
      <c r="CK26" s="2084"/>
      <c r="CL26" s="2084"/>
      <c r="CM26" s="2084"/>
      <c r="CN26" s="2084"/>
      <c r="CO26" s="2084"/>
      <c r="CP26" s="2084"/>
      <c r="CQ26" s="2084"/>
      <c r="CR26" s="2084"/>
      <c r="CS26" s="2084"/>
      <c r="CT26" s="2084"/>
      <c r="CU26" s="2084"/>
      <c r="CV26" s="2084"/>
      <c r="CW26" s="2084"/>
      <c r="CX26" s="2084"/>
      <c r="CY26" s="2084"/>
      <c r="CZ26" s="2084"/>
      <c r="DA26" s="2084"/>
      <c r="DB26" s="2084"/>
      <c r="DC26" s="2084"/>
      <c r="DD26" s="2084"/>
      <c r="DE26" s="2084"/>
      <c r="DF26" s="2084"/>
      <c r="DG26" s="2084"/>
      <c r="DH26" s="2084"/>
      <c r="DI26" s="2084"/>
      <c r="DJ26" s="2084"/>
      <c r="DK26" s="2084"/>
      <c r="DL26" s="2084"/>
      <c r="DM26" s="2084"/>
      <c r="DN26" s="2084"/>
      <c r="DO26" s="2084"/>
      <c r="DP26" s="2084"/>
      <c r="DQ26" s="2084"/>
      <c r="DR26" s="2084"/>
      <c r="DS26" s="2084"/>
      <c r="DT26" s="2084"/>
      <c r="DU26" s="2084"/>
      <c r="DV26" s="2084"/>
      <c r="DW26" s="2084"/>
      <c r="DX26" s="2084"/>
      <c r="DY26" s="2084"/>
      <c r="DZ26" s="2084"/>
      <c r="EA26" s="2084"/>
      <c r="EB26" s="2084"/>
      <c r="EC26" s="2084"/>
      <c r="ED26" s="2084"/>
      <c r="EE26" s="2084"/>
      <c r="EF26" s="2084"/>
      <c r="EG26" s="2084"/>
      <c r="EH26" s="2084"/>
      <c r="EI26" s="2084"/>
      <c r="EJ26" s="2084"/>
      <c r="EK26" s="2084"/>
      <c r="EL26" s="2084"/>
      <c r="EM26" s="2084"/>
      <c r="EN26" s="2084"/>
      <c r="EO26" s="2084"/>
      <c r="EP26" s="2084"/>
      <c r="EQ26" s="2084"/>
      <c r="ER26" s="2084"/>
      <c r="ES26" s="2084"/>
      <c r="ET26" s="2084"/>
      <c r="EU26" s="2084"/>
      <c r="EV26" s="2084"/>
      <c r="EW26" s="2084"/>
      <c r="EX26" s="2084"/>
      <c r="EY26" s="2084"/>
      <c r="EZ26" s="2084"/>
      <c r="FA26" s="2084"/>
      <c r="FB26" s="2084"/>
      <c r="FC26" s="2084"/>
      <c r="FD26" s="2084"/>
      <c r="FE26" s="2084"/>
      <c r="FF26" s="2084"/>
      <c r="FG26" s="2084"/>
      <c r="FH26" s="2084"/>
      <c r="FI26" s="2084"/>
      <c r="FJ26" s="2084"/>
      <c r="FK26" s="2084"/>
      <c r="FL26" s="2084"/>
      <c r="FM26" s="2084"/>
      <c r="FN26" s="2084"/>
      <c r="FO26" s="2084"/>
      <c r="FP26" s="2084"/>
      <c r="FQ26" s="2084"/>
      <c r="FR26" s="2084"/>
      <c r="FS26" s="2084"/>
      <c r="FT26" s="2084"/>
      <c r="FU26" s="2084"/>
      <c r="FV26" s="2084"/>
      <c r="FW26" s="2084"/>
      <c r="FX26" s="2084"/>
      <c r="FY26" s="2084"/>
      <c r="FZ26" s="2084"/>
      <c r="GA26" s="2084"/>
      <c r="GB26" s="2084"/>
      <c r="GC26" s="2084"/>
      <c r="GD26" s="2084"/>
    </row>
    <row r="27" spans="1:186" ht="15" customHeight="1" outlineLevel="1">
      <c r="B27" s="2085"/>
      <c r="C27" s="2091" t="s">
        <v>3756</v>
      </c>
      <c r="D27" s="2091"/>
      <c r="E27" s="2092"/>
      <c r="F27" s="2092"/>
      <c r="G27" s="2097">
        <v>0</v>
      </c>
      <c r="H27" s="2098">
        <f ca="1">G30</f>
        <v>0</v>
      </c>
      <c r="I27" s="2098">
        <f t="shared" ref="I27:BT27" ca="1" si="35">H30</f>
        <v>0</v>
      </c>
      <c r="J27" s="2099">
        <f t="shared" ca="1" si="35"/>
        <v>0</v>
      </c>
      <c r="K27" s="2097">
        <f t="shared" ca="1" si="35"/>
        <v>0</v>
      </c>
      <c r="L27" s="2098">
        <f t="shared" ca="1" si="35"/>
        <v>0</v>
      </c>
      <c r="M27" s="2098">
        <f t="shared" ca="1" si="35"/>
        <v>0</v>
      </c>
      <c r="N27" s="2099">
        <f t="shared" ca="1" si="35"/>
        <v>0</v>
      </c>
      <c r="O27" s="2097">
        <f t="shared" ca="1" si="35"/>
        <v>0</v>
      </c>
      <c r="P27" s="2098">
        <f t="shared" ca="1" si="35"/>
        <v>0</v>
      </c>
      <c r="Q27" s="2098">
        <f t="shared" ca="1" si="35"/>
        <v>0</v>
      </c>
      <c r="R27" s="2099">
        <f t="shared" ca="1" si="35"/>
        <v>0</v>
      </c>
      <c r="S27" s="2097">
        <f t="shared" ca="1" si="35"/>
        <v>0</v>
      </c>
      <c r="T27" s="2098">
        <f t="shared" ca="1" si="35"/>
        <v>0</v>
      </c>
      <c r="U27" s="2098">
        <f t="shared" ca="1" si="35"/>
        <v>0</v>
      </c>
      <c r="V27" s="2099">
        <f t="shared" ca="1" si="35"/>
        <v>0</v>
      </c>
      <c r="W27" s="2097">
        <f t="shared" ca="1" si="35"/>
        <v>0</v>
      </c>
      <c r="X27" s="2098">
        <f t="shared" ca="1" si="35"/>
        <v>0</v>
      </c>
      <c r="Y27" s="2098">
        <f t="shared" ca="1" si="35"/>
        <v>0</v>
      </c>
      <c r="Z27" s="2099">
        <f t="shared" ca="1" si="35"/>
        <v>0</v>
      </c>
      <c r="AA27" s="2097">
        <f t="shared" ca="1" si="35"/>
        <v>0</v>
      </c>
      <c r="AB27" s="2098">
        <f t="shared" ca="1" si="35"/>
        <v>0</v>
      </c>
      <c r="AC27" s="2098">
        <f t="shared" ca="1" si="35"/>
        <v>0</v>
      </c>
      <c r="AD27" s="2099">
        <f t="shared" ca="1" si="35"/>
        <v>0</v>
      </c>
      <c r="AE27" s="2097">
        <f t="shared" ca="1" si="35"/>
        <v>0</v>
      </c>
      <c r="AF27" s="2098">
        <f t="shared" ca="1" si="35"/>
        <v>0</v>
      </c>
      <c r="AG27" s="2098">
        <f t="shared" ca="1" si="35"/>
        <v>0</v>
      </c>
      <c r="AH27" s="2099">
        <f t="shared" ca="1" si="35"/>
        <v>0</v>
      </c>
      <c r="AI27" s="2097">
        <f t="shared" ca="1" si="35"/>
        <v>0</v>
      </c>
      <c r="AJ27" s="2098">
        <f t="shared" ca="1" si="35"/>
        <v>0</v>
      </c>
      <c r="AK27" s="2098">
        <f t="shared" ca="1" si="35"/>
        <v>0</v>
      </c>
      <c r="AL27" s="2099">
        <f t="shared" ca="1" si="35"/>
        <v>0</v>
      </c>
      <c r="AM27" s="2097">
        <f t="shared" ca="1" si="35"/>
        <v>0</v>
      </c>
      <c r="AN27" s="2098">
        <f t="shared" ca="1" si="35"/>
        <v>0</v>
      </c>
      <c r="AO27" s="2098">
        <f t="shared" ca="1" si="35"/>
        <v>0</v>
      </c>
      <c r="AP27" s="2099">
        <f t="shared" ca="1" si="35"/>
        <v>0</v>
      </c>
      <c r="AQ27" s="2097">
        <f t="shared" ca="1" si="35"/>
        <v>0</v>
      </c>
      <c r="AR27" s="2098">
        <f t="shared" ca="1" si="35"/>
        <v>0</v>
      </c>
      <c r="AS27" s="2098">
        <f t="shared" ca="1" si="35"/>
        <v>0</v>
      </c>
      <c r="AT27" s="2099">
        <f t="shared" ca="1" si="35"/>
        <v>0</v>
      </c>
      <c r="AU27" s="2097">
        <f t="shared" ca="1" si="35"/>
        <v>0</v>
      </c>
      <c r="AV27" s="2098">
        <f t="shared" ca="1" si="35"/>
        <v>0</v>
      </c>
      <c r="AW27" s="2098">
        <f t="shared" ca="1" si="35"/>
        <v>0</v>
      </c>
      <c r="AX27" s="2099">
        <f t="shared" ca="1" si="35"/>
        <v>0</v>
      </c>
      <c r="AY27" s="2097">
        <f t="shared" ca="1" si="35"/>
        <v>0</v>
      </c>
      <c r="AZ27" s="2098">
        <f t="shared" ca="1" si="35"/>
        <v>0</v>
      </c>
      <c r="BA27" s="2098">
        <f t="shared" ca="1" si="35"/>
        <v>0</v>
      </c>
      <c r="BB27" s="2099">
        <f t="shared" ca="1" si="35"/>
        <v>0</v>
      </c>
      <c r="BC27" s="2097">
        <f t="shared" ca="1" si="35"/>
        <v>0</v>
      </c>
      <c r="BD27" s="2098">
        <f t="shared" ca="1" si="35"/>
        <v>0</v>
      </c>
      <c r="BE27" s="2098">
        <f t="shared" ca="1" si="35"/>
        <v>0</v>
      </c>
      <c r="BF27" s="2099">
        <f t="shared" ca="1" si="35"/>
        <v>0</v>
      </c>
      <c r="BG27" s="2097">
        <f t="shared" ca="1" si="35"/>
        <v>0</v>
      </c>
      <c r="BH27" s="2098">
        <f t="shared" ca="1" si="35"/>
        <v>0</v>
      </c>
      <c r="BI27" s="2098">
        <f t="shared" ca="1" si="35"/>
        <v>0</v>
      </c>
      <c r="BJ27" s="2099">
        <f t="shared" ca="1" si="35"/>
        <v>0</v>
      </c>
      <c r="BK27" s="2097">
        <f t="shared" ca="1" si="35"/>
        <v>0</v>
      </c>
      <c r="BL27" s="2098">
        <f t="shared" ca="1" si="35"/>
        <v>0</v>
      </c>
      <c r="BM27" s="2098">
        <f t="shared" ca="1" si="35"/>
        <v>0</v>
      </c>
      <c r="BN27" s="2099">
        <f t="shared" ca="1" si="35"/>
        <v>0</v>
      </c>
      <c r="BO27" s="2097">
        <f t="shared" ca="1" si="35"/>
        <v>0</v>
      </c>
      <c r="BP27" s="2098">
        <f t="shared" ca="1" si="35"/>
        <v>0</v>
      </c>
      <c r="BQ27" s="2098">
        <f t="shared" ca="1" si="35"/>
        <v>0</v>
      </c>
      <c r="BR27" s="2099">
        <f t="shared" ca="1" si="35"/>
        <v>0</v>
      </c>
      <c r="BS27" s="2097">
        <f t="shared" ca="1" si="35"/>
        <v>0</v>
      </c>
      <c r="BT27" s="2098">
        <f t="shared" ca="1" si="35"/>
        <v>0</v>
      </c>
      <c r="BU27" s="2098">
        <f t="shared" ref="BU27:EF27" ca="1" si="36">BT30</f>
        <v>0</v>
      </c>
      <c r="BV27" s="2099">
        <f t="shared" ca="1" si="36"/>
        <v>0</v>
      </c>
      <c r="BW27" s="2097">
        <f t="shared" ca="1" si="36"/>
        <v>0</v>
      </c>
      <c r="BX27" s="2098">
        <f t="shared" ca="1" si="36"/>
        <v>0</v>
      </c>
      <c r="BY27" s="2098">
        <f t="shared" ca="1" si="36"/>
        <v>0</v>
      </c>
      <c r="BZ27" s="2099">
        <f t="shared" ca="1" si="36"/>
        <v>0</v>
      </c>
      <c r="CA27" s="2097">
        <f t="shared" ca="1" si="36"/>
        <v>0</v>
      </c>
      <c r="CB27" s="2098">
        <f t="shared" ca="1" si="36"/>
        <v>0</v>
      </c>
      <c r="CC27" s="2098">
        <f t="shared" ca="1" si="36"/>
        <v>0</v>
      </c>
      <c r="CD27" s="2099">
        <f t="shared" ca="1" si="36"/>
        <v>0</v>
      </c>
      <c r="CE27" s="2097">
        <f t="shared" ca="1" si="36"/>
        <v>0</v>
      </c>
      <c r="CF27" s="2098">
        <f t="shared" ca="1" si="36"/>
        <v>0</v>
      </c>
      <c r="CG27" s="2098">
        <f t="shared" ca="1" si="36"/>
        <v>0</v>
      </c>
      <c r="CH27" s="2099">
        <f t="shared" ca="1" si="36"/>
        <v>0</v>
      </c>
      <c r="CI27" s="2097">
        <f t="shared" ca="1" si="36"/>
        <v>0</v>
      </c>
      <c r="CJ27" s="2098">
        <f t="shared" ca="1" si="36"/>
        <v>0</v>
      </c>
      <c r="CK27" s="2098">
        <f t="shared" ca="1" si="36"/>
        <v>0</v>
      </c>
      <c r="CL27" s="2099">
        <f t="shared" ca="1" si="36"/>
        <v>0</v>
      </c>
      <c r="CM27" s="2097">
        <f t="shared" ca="1" si="36"/>
        <v>0</v>
      </c>
      <c r="CN27" s="2098">
        <f t="shared" ca="1" si="36"/>
        <v>0</v>
      </c>
      <c r="CO27" s="2098">
        <f t="shared" ca="1" si="36"/>
        <v>0</v>
      </c>
      <c r="CP27" s="2099">
        <f t="shared" ca="1" si="36"/>
        <v>0</v>
      </c>
      <c r="CQ27" s="2097">
        <f t="shared" ca="1" si="36"/>
        <v>0</v>
      </c>
      <c r="CR27" s="2098">
        <f t="shared" ca="1" si="36"/>
        <v>0</v>
      </c>
      <c r="CS27" s="2098">
        <f t="shared" ca="1" si="36"/>
        <v>0</v>
      </c>
      <c r="CT27" s="2099">
        <f t="shared" ca="1" si="36"/>
        <v>0</v>
      </c>
      <c r="CU27" s="2097">
        <f t="shared" ca="1" si="36"/>
        <v>0</v>
      </c>
      <c r="CV27" s="2098">
        <f t="shared" ca="1" si="36"/>
        <v>0</v>
      </c>
      <c r="CW27" s="2098">
        <f t="shared" ca="1" si="36"/>
        <v>0</v>
      </c>
      <c r="CX27" s="2099">
        <f t="shared" ca="1" si="36"/>
        <v>0</v>
      </c>
      <c r="CY27" s="2097">
        <f t="shared" ca="1" si="36"/>
        <v>0</v>
      </c>
      <c r="CZ27" s="2098">
        <f t="shared" ca="1" si="36"/>
        <v>0</v>
      </c>
      <c r="DA27" s="2098">
        <f t="shared" ca="1" si="36"/>
        <v>0</v>
      </c>
      <c r="DB27" s="2099">
        <f t="shared" ca="1" si="36"/>
        <v>0</v>
      </c>
      <c r="DC27" s="2097">
        <f t="shared" ca="1" si="36"/>
        <v>0</v>
      </c>
      <c r="DD27" s="2098">
        <f t="shared" ca="1" si="36"/>
        <v>0</v>
      </c>
      <c r="DE27" s="2098">
        <f t="shared" ca="1" si="36"/>
        <v>0</v>
      </c>
      <c r="DF27" s="2099">
        <f t="shared" ca="1" si="36"/>
        <v>0</v>
      </c>
      <c r="DG27" s="2097">
        <f t="shared" ca="1" si="36"/>
        <v>0</v>
      </c>
      <c r="DH27" s="2098">
        <f t="shared" ca="1" si="36"/>
        <v>0</v>
      </c>
      <c r="DI27" s="2098">
        <f t="shared" ca="1" si="36"/>
        <v>0</v>
      </c>
      <c r="DJ27" s="2099">
        <f t="shared" ca="1" si="36"/>
        <v>0</v>
      </c>
      <c r="DK27" s="2097">
        <f t="shared" ca="1" si="36"/>
        <v>0</v>
      </c>
      <c r="DL27" s="2098">
        <f t="shared" ca="1" si="36"/>
        <v>0</v>
      </c>
      <c r="DM27" s="2098">
        <f t="shared" ca="1" si="36"/>
        <v>0</v>
      </c>
      <c r="DN27" s="2099">
        <f t="shared" ca="1" si="36"/>
        <v>0</v>
      </c>
      <c r="DO27" s="2097">
        <f t="shared" ca="1" si="36"/>
        <v>0</v>
      </c>
      <c r="DP27" s="2098">
        <f t="shared" ca="1" si="36"/>
        <v>0</v>
      </c>
      <c r="DQ27" s="2098">
        <f t="shared" ca="1" si="36"/>
        <v>0</v>
      </c>
      <c r="DR27" s="2099">
        <f t="shared" ca="1" si="36"/>
        <v>0</v>
      </c>
      <c r="DS27" s="2097">
        <f t="shared" ca="1" si="36"/>
        <v>0</v>
      </c>
      <c r="DT27" s="2098">
        <f t="shared" ca="1" si="36"/>
        <v>0</v>
      </c>
      <c r="DU27" s="2098">
        <f t="shared" ca="1" si="36"/>
        <v>0</v>
      </c>
      <c r="DV27" s="2099">
        <f t="shared" ca="1" si="36"/>
        <v>0</v>
      </c>
      <c r="DW27" s="2097">
        <f t="shared" ca="1" si="36"/>
        <v>0</v>
      </c>
      <c r="DX27" s="2098">
        <f t="shared" ca="1" si="36"/>
        <v>0</v>
      </c>
      <c r="DY27" s="2098">
        <f t="shared" ca="1" si="36"/>
        <v>0</v>
      </c>
      <c r="DZ27" s="2099">
        <f t="shared" ca="1" si="36"/>
        <v>0</v>
      </c>
      <c r="EA27" s="2097">
        <f t="shared" ca="1" si="36"/>
        <v>0</v>
      </c>
      <c r="EB27" s="2098">
        <f t="shared" ca="1" si="36"/>
        <v>0</v>
      </c>
      <c r="EC27" s="2098">
        <f t="shared" ca="1" si="36"/>
        <v>0</v>
      </c>
      <c r="ED27" s="2099">
        <f t="shared" ca="1" si="36"/>
        <v>0</v>
      </c>
      <c r="EE27" s="2097">
        <f t="shared" ca="1" si="36"/>
        <v>0</v>
      </c>
      <c r="EF27" s="2098">
        <f t="shared" ca="1" si="36"/>
        <v>0</v>
      </c>
      <c r="EG27" s="2098">
        <f t="shared" ref="EG27:GD27" ca="1" si="37">EF30</f>
        <v>0</v>
      </c>
      <c r="EH27" s="2099">
        <f t="shared" ca="1" si="37"/>
        <v>0</v>
      </c>
      <c r="EI27" s="2097">
        <f t="shared" ca="1" si="37"/>
        <v>0</v>
      </c>
      <c r="EJ27" s="2098">
        <f t="shared" ca="1" si="37"/>
        <v>0</v>
      </c>
      <c r="EK27" s="2098">
        <f t="shared" ca="1" si="37"/>
        <v>0</v>
      </c>
      <c r="EL27" s="2099">
        <f t="shared" ca="1" si="37"/>
        <v>0</v>
      </c>
      <c r="EM27" s="2097">
        <f t="shared" ca="1" si="37"/>
        <v>0</v>
      </c>
      <c r="EN27" s="2098">
        <f t="shared" ca="1" si="37"/>
        <v>0</v>
      </c>
      <c r="EO27" s="2098">
        <f t="shared" ca="1" si="37"/>
        <v>0</v>
      </c>
      <c r="EP27" s="2099">
        <f t="shared" ca="1" si="37"/>
        <v>0</v>
      </c>
      <c r="EQ27" s="2097">
        <f t="shared" ca="1" si="37"/>
        <v>0</v>
      </c>
      <c r="ER27" s="2098">
        <f t="shared" ca="1" si="37"/>
        <v>0</v>
      </c>
      <c r="ES27" s="2098">
        <f t="shared" ca="1" si="37"/>
        <v>0</v>
      </c>
      <c r="ET27" s="2099">
        <f t="shared" ca="1" si="37"/>
        <v>0</v>
      </c>
      <c r="EU27" s="2097">
        <f t="shared" ca="1" si="37"/>
        <v>0</v>
      </c>
      <c r="EV27" s="2098">
        <f t="shared" ca="1" si="37"/>
        <v>0</v>
      </c>
      <c r="EW27" s="2098">
        <f t="shared" ca="1" si="37"/>
        <v>0</v>
      </c>
      <c r="EX27" s="2099">
        <f t="shared" ca="1" si="37"/>
        <v>0</v>
      </c>
      <c r="EY27" s="2097">
        <f t="shared" ca="1" si="37"/>
        <v>0</v>
      </c>
      <c r="EZ27" s="2098">
        <f t="shared" ca="1" si="37"/>
        <v>0</v>
      </c>
      <c r="FA27" s="2098">
        <f t="shared" ca="1" si="37"/>
        <v>0</v>
      </c>
      <c r="FB27" s="2099">
        <f t="shared" ca="1" si="37"/>
        <v>0</v>
      </c>
      <c r="FC27" s="2097">
        <f t="shared" ca="1" si="37"/>
        <v>0</v>
      </c>
      <c r="FD27" s="2098">
        <f t="shared" ca="1" si="37"/>
        <v>0</v>
      </c>
      <c r="FE27" s="2098">
        <f t="shared" ca="1" si="37"/>
        <v>0</v>
      </c>
      <c r="FF27" s="2099">
        <f t="shared" ca="1" si="37"/>
        <v>0</v>
      </c>
      <c r="FG27" s="2097">
        <f t="shared" ca="1" si="37"/>
        <v>0</v>
      </c>
      <c r="FH27" s="2098">
        <f t="shared" ca="1" si="37"/>
        <v>0</v>
      </c>
      <c r="FI27" s="2098">
        <f t="shared" ca="1" si="37"/>
        <v>0</v>
      </c>
      <c r="FJ27" s="2099">
        <f t="shared" ca="1" si="37"/>
        <v>0</v>
      </c>
      <c r="FK27" s="2097">
        <f t="shared" ca="1" si="37"/>
        <v>0</v>
      </c>
      <c r="FL27" s="2098">
        <f t="shared" ca="1" si="37"/>
        <v>0</v>
      </c>
      <c r="FM27" s="2098">
        <f t="shared" ca="1" si="37"/>
        <v>0</v>
      </c>
      <c r="FN27" s="2099">
        <f t="shared" ca="1" si="37"/>
        <v>0</v>
      </c>
      <c r="FO27" s="2097">
        <f t="shared" ca="1" si="37"/>
        <v>0</v>
      </c>
      <c r="FP27" s="2098">
        <f t="shared" ca="1" si="37"/>
        <v>0</v>
      </c>
      <c r="FQ27" s="2098">
        <f t="shared" ca="1" si="37"/>
        <v>0</v>
      </c>
      <c r="FR27" s="2099">
        <f t="shared" ca="1" si="37"/>
        <v>0</v>
      </c>
      <c r="FS27" s="2097">
        <f t="shared" ca="1" si="37"/>
        <v>0</v>
      </c>
      <c r="FT27" s="2098">
        <f t="shared" ca="1" si="37"/>
        <v>0</v>
      </c>
      <c r="FU27" s="2098">
        <f t="shared" ca="1" si="37"/>
        <v>0</v>
      </c>
      <c r="FV27" s="2099">
        <f t="shared" ca="1" si="37"/>
        <v>0</v>
      </c>
      <c r="FW27" s="2097">
        <f t="shared" ca="1" si="37"/>
        <v>0</v>
      </c>
      <c r="FX27" s="2098">
        <f t="shared" ca="1" si="37"/>
        <v>0</v>
      </c>
      <c r="FY27" s="2098">
        <f t="shared" ca="1" si="37"/>
        <v>0</v>
      </c>
      <c r="FZ27" s="2099">
        <f t="shared" ca="1" si="37"/>
        <v>0</v>
      </c>
      <c r="GA27" s="2097">
        <f t="shared" ca="1" si="37"/>
        <v>0</v>
      </c>
      <c r="GB27" s="2098">
        <f t="shared" ca="1" si="37"/>
        <v>0</v>
      </c>
      <c r="GC27" s="2098">
        <f t="shared" ca="1" si="37"/>
        <v>0</v>
      </c>
      <c r="GD27" s="2099">
        <f t="shared" ca="1" si="37"/>
        <v>0</v>
      </c>
    </row>
    <row r="28" spans="1:186" ht="15" customHeight="1" outlineLevel="1">
      <c r="B28" s="2064"/>
      <c r="C28" s="2073" t="s">
        <v>3726</v>
      </c>
      <c r="D28" s="2064"/>
      <c r="E28" s="2100"/>
      <c r="F28" s="877">
        <f ca="1">SUM(G28:GD28)</f>
        <v>0</v>
      </c>
      <c r="G28" s="2101">
        <f ca="1">G22</f>
        <v>0</v>
      </c>
      <c r="H28" s="2102">
        <f t="shared" ref="H28:BS28" ca="1" si="38">H22</f>
        <v>0</v>
      </c>
      <c r="I28" s="2102">
        <f t="shared" ca="1" si="38"/>
        <v>0</v>
      </c>
      <c r="J28" s="2103">
        <f t="shared" ca="1" si="38"/>
        <v>0</v>
      </c>
      <c r="K28" s="2101">
        <f t="shared" ca="1" si="38"/>
        <v>0</v>
      </c>
      <c r="L28" s="2102">
        <f t="shared" ca="1" si="38"/>
        <v>0</v>
      </c>
      <c r="M28" s="2102">
        <f t="shared" ca="1" si="38"/>
        <v>0</v>
      </c>
      <c r="N28" s="2103">
        <f t="shared" ca="1" si="38"/>
        <v>0</v>
      </c>
      <c r="O28" s="2101">
        <f t="shared" ca="1" si="38"/>
        <v>0</v>
      </c>
      <c r="P28" s="2102">
        <f t="shared" ca="1" si="38"/>
        <v>0</v>
      </c>
      <c r="Q28" s="2102">
        <f t="shared" ca="1" si="38"/>
        <v>0</v>
      </c>
      <c r="R28" s="2103">
        <f t="shared" ca="1" si="38"/>
        <v>0</v>
      </c>
      <c r="S28" s="2101">
        <f t="shared" ca="1" si="38"/>
        <v>0</v>
      </c>
      <c r="T28" s="2102">
        <f t="shared" ca="1" si="38"/>
        <v>0</v>
      </c>
      <c r="U28" s="2102">
        <f t="shared" ca="1" si="38"/>
        <v>0</v>
      </c>
      <c r="V28" s="2103">
        <f t="shared" ca="1" si="38"/>
        <v>0</v>
      </c>
      <c r="W28" s="2101">
        <f t="shared" ca="1" si="38"/>
        <v>0</v>
      </c>
      <c r="X28" s="2102">
        <f t="shared" ca="1" si="38"/>
        <v>0</v>
      </c>
      <c r="Y28" s="2102">
        <f t="shared" ca="1" si="38"/>
        <v>0</v>
      </c>
      <c r="Z28" s="2103">
        <f t="shared" ca="1" si="38"/>
        <v>0</v>
      </c>
      <c r="AA28" s="2101">
        <f t="shared" ca="1" si="38"/>
        <v>0</v>
      </c>
      <c r="AB28" s="2102">
        <f t="shared" ca="1" si="38"/>
        <v>0</v>
      </c>
      <c r="AC28" s="2102">
        <f t="shared" ca="1" si="38"/>
        <v>0</v>
      </c>
      <c r="AD28" s="2103">
        <f t="shared" ca="1" si="38"/>
        <v>0</v>
      </c>
      <c r="AE28" s="2101">
        <f t="shared" ca="1" si="38"/>
        <v>0</v>
      </c>
      <c r="AF28" s="2102">
        <f t="shared" ca="1" si="38"/>
        <v>0</v>
      </c>
      <c r="AG28" s="2102">
        <f t="shared" ca="1" si="38"/>
        <v>0</v>
      </c>
      <c r="AH28" s="2103">
        <f t="shared" ca="1" si="38"/>
        <v>0</v>
      </c>
      <c r="AI28" s="2101">
        <f t="shared" ca="1" si="38"/>
        <v>0</v>
      </c>
      <c r="AJ28" s="2102">
        <f t="shared" ca="1" si="38"/>
        <v>0</v>
      </c>
      <c r="AK28" s="2102">
        <f t="shared" ca="1" si="38"/>
        <v>0</v>
      </c>
      <c r="AL28" s="2103">
        <f t="shared" ca="1" si="38"/>
        <v>0</v>
      </c>
      <c r="AM28" s="2101">
        <f t="shared" ca="1" si="38"/>
        <v>0</v>
      </c>
      <c r="AN28" s="2102">
        <f t="shared" ca="1" si="38"/>
        <v>0</v>
      </c>
      <c r="AO28" s="2102">
        <f t="shared" ca="1" si="38"/>
        <v>0</v>
      </c>
      <c r="AP28" s="2103">
        <f t="shared" ca="1" si="38"/>
        <v>0</v>
      </c>
      <c r="AQ28" s="2101">
        <f t="shared" ca="1" si="38"/>
        <v>0</v>
      </c>
      <c r="AR28" s="2102">
        <f t="shared" ca="1" si="38"/>
        <v>0</v>
      </c>
      <c r="AS28" s="2102">
        <f t="shared" ca="1" si="38"/>
        <v>0</v>
      </c>
      <c r="AT28" s="2103">
        <f t="shared" ca="1" si="38"/>
        <v>0</v>
      </c>
      <c r="AU28" s="2101">
        <f t="shared" ca="1" si="38"/>
        <v>0</v>
      </c>
      <c r="AV28" s="2102">
        <f t="shared" ca="1" si="38"/>
        <v>0</v>
      </c>
      <c r="AW28" s="2102">
        <f t="shared" ca="1" si="38"/>
        <v>0</v>
      </c>
      <c r="AX28" s="2103">
        <f t="shared" ca="1" si="38"/>
        <v>0</v>
      </c>
      <c r="AY28" s="2101">
        <f t="shared" ca="1" si="38"/>
        <v>0</v>
      </c>
      <c r="AZ28" s="2102">
        <f t="shared" ca="1" si="38"/>
        <v>0</v>
      </c>
      <c r="BA28" s="2102">
        <f t="shared" ca="1" si="38"/>
        <v>0</v>
      </c>
      <c r="BB28" s="2103">
        <f t="shared" ca="1" si="38"/>
        <v>0</v>
      </c>
      <c r="BC28" s="2101">
        <f t="shared" ca="1" si="38"/>
        <v>0</v>
      </c>
      <c r="BD28" s="2102">
        <f t="shared" ca="1" si="38"/>
        <v>0</v>
      </c>
      <c r="BE28" s="2102">
        <f t="shared" ca="1" si="38"/>
        <v>0</v>
      </c>
      <c r="BF28" s="2103">
        <f t="shared" ca="1" si="38"/>
        <v>0</v>
      </c>
      <c r="BG28" s="2101">
        <f t="shared" ca="1" si="38"/>
        <v>0</v>
      </c>
      <c r="BH28" s="2102">
        <f t="shared" ca="1" si="38"/>
        <v>0</v>
      </c>
      <c r="BI28" s="2102">
        <f t="shared" ca="1" si="38"/>
        <v>0</v>
      </c>
      <c r="BJ28" s="2103">
        <f t="shared" ca="1" si="38"/>
        <v>0</v>
      </c>
      <c r="BK28" s="2101">
        <f t="shared" ca="1" si="38"/>
        <v>0</v>
      </c>
      <c r="BL28" s="2102">
        <f t="shared" ca="1" si="38"/>
        <v>0</v>
      </c>
      <c r="BM28" s="2102">
        <f t="shared" ca="1" si="38"/>
        <v>0</v>
      </c>
      <c r="BN28" s="2103">
        <f t="shared" ca="1" si="38"/>
        <v>0</v>
      </c>
      <c r="BO28" s="2101">
        <f t="shared" ca="1" si="38"/>
        <v>0</v>
      </c>
      <c r="BP28" s="2102">
        <f t="shared" ca="1" si="38"/>
        <v>0</v>
      </c>
      <c r="BQ28" s="2102">
        <f t="shared" ca="1" si="38"/>
        <v>0</v>
      </c>
      <c r="BR28" s="2103">
        <f t="shared" ca="1" si="38"/>
        <v>0</v>
      </c>
      <c r="BS28" s="2101">
        <f t="shared" ca="1" si="38"/>
        <v>0</v>
      </c>
      <c r="BT28" s="2102">
        <f t="shared" ref="BT28:EE28" ca="1" si="39">BT22</f>
        <v>0</v>
      </c>
      <c r="BU28" s="2102">
        <f t="shared" ca="1" si="39"/>
        <v>0</v>
      </c>
      <c r="BV28" s="2103">
        <f t="shared" ca="1" si="39"/>
        <v>0</v>
      </c>
      <c r="BW28" s="2101">
        <f t="shared" ca="1" si="39"/>
        <v>0</v>
      </c>
      <c r="BX28" s="2102">
        <f t="shared" ca="1" si="39"/>
        <v>0</v>
      </c>
      <c r="BY28" s="2102">
        <f t="shared" ca="1" si="39"/>
        <v>0</v>
      </c>
      <c r="BZ28" s="2103">
        <f t="shared" ca="1" si="39"/>
        <v>0</v>
      </c>
      <c r="CA28" s="2101">
        <f t="shared" ca="1" si="39"/>
        <v>0</v>
      </c>
      <c r="CB28" s="2102">
        <f t="shared" ca="1" si="39"/>
        <v>0</v>
      </c>
      <c r="CC28" s="2102">
        <f t="shared" ca="1" si="39"/>
        <v>0</v>
      </c>
      <c r="CD28" s="2103">
        <f t="shared" ca="1" si="39"/>
        <v>0</v>
      </c>
      <c r="CE28" s="2101">
        <f t="shared" ca="1" si="39"/>
        <v>0</v>
      </c>
      <c r="CF28" s="2102">
        <f t="shared" ca="1" si="39"/>
        <v>0</v>
      </c>
      <c r="CG28" s="2102">
        <f t="shared" ca="1" si="39"/>
        <v>0</v>
      </c>
      <c r="CH28" s="2103">
        <f t="shared" ca="1" si="39"/>
        <v>0</v>
      </c>
      <c r="CI28" s="2101">
        <f t="shared" ca="1" si="39"/>
        <v>0</v>
      </c>
      <c r="CJ28" s="2102">
        <f t="shared" ca="1" si="39"/>
        <v>0</v>
      </c>
      <c r="CK28" s="2102">
        <f t="shared" ca="1" si="39"/>
        <v>0</v>
      </c>
      <c r="CL28" s="2103">
        <f t="shared" ca="1" si="39"/>
        <v>0</v>
      </c>
      <c r="CM28" s="2101">
        <f t="shared" ca="1" si="39"/>
        <v>0</v>
      </c>
      <c r="CN28" s="2102">
        <f t="shared" ca="1" si="39"/>
        <v>0</v>
      </c>
      <c r="CO28" s="2102">
        <f t="shared" ca="1" si="39"/>
        <v>0</v>
      </c>
      <c r="CP28" s="2103">
        <f t="shared" ca="1" si="39"/>
        <v>0</v>
      </c>
      <c r="CQ28" s="2101">
        <f t="shared" ca="1" si="39"/>
        <v>0</v>
      </c>
      <c r="CR28" s="2102">
        <f t="shared" ca="1" si="39"/>
        <v>0</v>
      </c>
      <c r="CS28" s="2102">
        <f t="shared" ca="1" si="39"/>
        <v>0</v>
      </c>
      <c r="CT28" s="2103">
        <f t="shared" ca="1" si="39"/>
        <v>0</v>
      </c>
      <c r="CU28" s="2101">
        <f t="shared" ca="1" si="39"/>
        <v>0</v>
      </c>
      <c r="CV28" s="2102">
        <f t="shared" ca="1" si="39"/>
        <v>0</v>
      </c>
      <c r="CW28" s="2102">
        <f t="shared" ca="1" si="39"/>
        <v>0</v>
      </c>
      <c r="CX28" s="2103">
        <f t="shared" ca="1" si="39"/>
        <v>0</v>
      </c>
      <c r="CY28" s="2101">
        <f t="shared" ca="1" si="39"/>
        <v>0</v>
      </c>
      <c r="CZ28" s="2102">
        <f t="shared" ca="1" si="39"/>
        <v>0</v>
      </c>
      <c r="DA28" s="2102">
        <f t="shared" ca="1" si="39"/>
        <v>0</v>
      </c>
      <c r="DB28" s="2103">
        <f t="shared" ca="1" si="39"/>
        <v>0</v>
      </c>
      <c r="DC28" s="2101">
        <f t="shared" ca="1" si="39"/>
        <v>0</v>
      </c>
      <c r="DD28" s="2102">
        <f t="shared" ca="1" si="39"/>
        <v>0</v>
      </c>
      <c r="DE28" s="2102">
        <f t="shared" ca="1" si="39"/>
        <v>0</v>
      </c>
      <c r="DF28" s="2103">
        <f t="shared" ca="1" si="39"/>
        <v>0</v>
      </c>
      <c r="DG28" s="2101">
        <f t="shared" ca="1" si="39"/>
        <v>0</v>
      </c>
      <c r="DH28" s="2102">
        <f t="shared" ca="1" si="39"/>
        <v>0</v>
      </c>
      <c r="DI28" s="2102">
        <f t="shared" ca="1" si="39"/>
        <v>0</v>
      </c>
      <c r="DJ28" s="2103">
        <f t="shared" ca="1" si="39"/>
        <v>0</v>
      </c>
      <c r="DK28" s="2101">
        <f t="shared" ca="1" si="39"/>
        <v>0</v>
      </c>
      <c r="DL28" s="2102">
        <f t="shared" ca="1" si="39"/>
        <v>0</v>
      </c>
      <c r="DM28" s="2102">
        <f t="shared" ca="1" si="39"/>
        <v>0</v>
      </c>
      <c r="DN28" s="2103">
        <f t="shared" ca="1" si="39"/>
        <v>0</v>
      </c>
      <c r="DO28" s="2101">
        <f t="shared" ca="1" si="39"/>
        <v>0</v>
      </c>
      <c r="DP28" s="2102">
        <f t="shared" ca="1" si="39"/>
        <v>0</v>
      </c>
      <c r="DQ28" s="2102">
        <f t="shared" ca="1" si="39"/>
        <v>0</v>
      </c>
      <c r="DR28" s="2103">
        <f t="shared" ca="1" si="39"/>
        <v>0</v>
      </c>
      <c r="DS28" s="2101">
        <f t="shared" ca="1" si="39"/>
        <v>0</v>
      </c>
      <c r="DT28" s="2102">
        <f t="shared" ca="1" si="39"/>
        <v>0</v>
      </c>
      <c r="DU28" s="2102">
        <f t="shared" ca="1" si="39"/>
        <v>0</v>
      </c>
      <c r="DV28" s="2103">
        <f t="shared" ca="1" si="39"/>
        <v>0</v>
      </c>
      <c r="DW28" s="2101">
        <f t="shared" ca="1" si="39"/>
        <v>0</v>
      </c>
      <c r="DX28" s="2102">
        <f t="shared" ca="1" si="39"/>
        <v>0</v>
      </c>
      <c r="DY28" s="2102">
        <f t="shared" ca="1" si="39"/>
        <v>0</v>
      </c>
      <c r="DZ28" s="2103">
        <f t="shared" ca="1" si="39"/>
        <v>0</v>
      </c>
      <c r="EA28" s="2101">
        <f t="shared" ca="1" si="39"/>
        <v>0</v>
      </c>
      <c r="EB28" s="2102">
        <f t="shared" ca="1" si="39"/>
        <v>0</v>
      </c>
      <c r="EC28" s="2102">
        <f t="shared" ca="1" si="39"/>
        <v>0</v>
      </c>
      <c r="ED28" s="2103">
        <f t="shared" ca="1" si="39"/>
        <v>0</v>
      </c>
      <c r="EE28" s="2101">
        <f t="shared" ca="1" si="39"/>
        <v>0</v>
      </c>
      <c r="EF28" s="2102">
        <f t="shared" ref="EF28:GD28" ca="1" si="40">EF22</f>
        <v>0</v>
      </c>
      <c r="EG28" s="2102">
        <f t="shared" ca="1" si="40"/>
        <v>0</v>
      </c>
      <c r="EH28" s="2103">
        <f t="shared" ca="1" si="40"/>
        <v>0</v>
      </c>
      <c r="EI28" s="2101">
        <f t="shared" ca="1" si="40"/>
        <v>0</v>
      </c>
      <c r="EJ28" s="2102">
        <f t="shared" ca="1" si="40"/>
        <v>0</v>
      </c>
      <c r="EK28" s="2102">
        <f t="shared" ca="1" si="40"/>
        <v>0</v>
      </c>
      <c r="EL28" s="2103">
        <f t="shared" ca="1" si="40"/>
        <v>0</v>
      </c>
      <c r="EM28" s="2101">
        <f t="shared" ca="1" si="40"/>
        <v>0</v>
      </c>
      <c r="EN28" s="2102">
        <f t="shared" ca="1" si="40"/>
        <v>0</v>
      </c>
      <c r="EO28" s="2102">
        <f t="shared" ca="1" si="40"/>
        <v>0</v>
      </c>
      <c r="EP28" s="2103">
        <f t="shared" ca="1" si="40"/>
        <v>0</v>
      </c>
      <c r="EQ28" s="2101">
        <f t="shared" ca="1" si="40"/>
        <v>0</v>
      </c>
      <c r="ER28" s="2102">
        <f t="shared" ca="1" si="40"/>
        <v>0</v>
      </c>
      <c r="ES28" s="2102">
        <f t="shared" ca="1" si="40"/>
        <v>0</v>
      </c>
      <c r="ET28" s="2103">
        <f t="shared" ca="1" si="40"/>
        <v>0</v>
      </c>
      <c r="EU28" s="2101">
        <f t="shared" ca="1" si="40"/>
        <v>0</v>
      </c>
      <c r="EV28" s="2102">
        <f t="shared" ca="1" si="40"/>
        <v>0</v>
      </c>
      <c r="EW28" s="2102">
        <f t="shared" ca="1" si="40"/>
        <v>0</v>
      </c>
      <c r="EX28" s="2103">
        <f t="shared" ca="1" si="40"/>
        <v>0</v>
      </c>
      <c r="EY28" s="2101">
        <f t="shared" ca="1" si="40"/>
        <v>0</v>
      </c>
      <c r="EZ28" s="2102">
        <f t="shared" ca="1" si="40"/>
        <v>0</v>
      </c>
      <c r="FA28" s="2102">
        <f t="shared" ca="1" si="40"/>
        <v>0</v>
      </c>
      <c r="FB28" s="2103">
        <f t="shared" ca="1" si="40"/>
        <v>0</v>
      </c>
      <c r="FC28" s="2101">
        <f t="shared" ca="1" si="40"/>
        <v>0</v>
      </c>
      <c r="FD28" s="2102">
        <f t="shared" ca="1" si="40"/>
        <v>0</v>
      </c>
      <c r="FE28" s="2102">
        <f t="shared" ca="1" si="40"/>
        <v>0</v>
      </c>
      <c r="FF28" s="2103">
        <f t="shared" ca="1" si="40"/>
        <v>0</v>
      </c>
      <c r="FG28" s="2101">
        <f t="shared" ca="1" si="40"/>
        <v>0</v>
      </c>
      <c r="FH28" s="2102">
        <f t="shared" ca="1" si="40"/>
        <v>0</v>
      </c>
      <c r="FI28" s="2102">
        <f t="shared" ca="1" si="40"/>
        <v>0</v>
      </c>
      <c r="FJ28" s="2103">
        <f t="shared" ca="1" si="40"/>
        <v>0</v>
      </c>
      <c r="FK28" s="2101">
        <f t="shared" ca="1" si="40"/>
        <v>0</v>
      </c>
      <c r="FL28" s="2102">
        <f t="shared" ca="1" si="40"/>
        <v>0</v>
      </c>
      <c r="FM28" s="2102">
        <f t="shared" ca="1" si="40"/>
        <v>0</v>
      </c>
      <c r="FN28" s="2103">
        <f t="shared" ca="1" si="40"/>
        <v>0</v>
      </c>
      <c r="FO28" s="2101">
        <f t="shared" ca="1" si="40"/>
        <v>0</v>
      </c>
      <c r="FP28" s="2102">
        <f t="shared" ca="1" si="40"/>
        <v>0</v>
      </c>
      <c r="FQ28" s="2102">
        <f t="shared" ca="1" si="40"/>
        <v>0</v>
      </c>
      <c r="FR28" s="2103">
        <f t="shared" ca="1" si="40"/>
        <v>0</v>
      </c>
      <c r="FS28" s="2101">
        <f t="shared" ca="1" si="40"/>
        <v>0</v>
      </c>
      <c r="FT28" s="2102">
        <f t="shared" ca="1" si="40"/>
        <v>0</v>
      </c>
      <c r="FU28" s="2102">
        <f t="shared" ca="1" si="40"/>
        <v>0</v>
      </c>
      <c r="FV28" s="2103">
        <f t="shared" ca="1" si="40"/>
        <v>0</v>
      </c>
      <c r="FW28" s="2101">
        <f t="shared" ca="1" si="40"/>
        <v>0</v>
      </c>
      <c r="FX28" s="2102">
        <f t="shared" ca="1" si="40"/>
        <v>0</v>
      </c>
      <c r="FY28" s="2102">
        <f t="shared" ca="1" si="40"/>
        <v>0</v>
      </c>
      <c r="FZ28" s="2103">
        <f t="shared" ca="1" si="40"/>
        <v>0</v>
      </c>
      <c r="GA28" s="2101">
        <f t="shared" ca="1" si="40"/>
        <v>0</v>
      </c>
      <c r="GB28" s="2102">
        <f t="shared" ca="1" si="40"/>
        <v>0</v>
      </c>
      <c r="GC28" s="2102">
        <f t="shared" ca="1" si="40"/>
        <v>0</v>
      </c>
      <c r="GD28" s="2103">
        <f t="shared" ca="1" si="40"/>
        <v>0</v>
      </c>
    </row>
    <row r="29" spans="1:186" ht="15" customHeight="1" outlineLevel="1">
      <c r="B29" s="2064"/>
      <c r="C29" s="2073" t="s">
        <v>3727</v>
      </c>
      <c r="D29" s="2064"/>
      <c r="E29" s="2100"/>
      <c r="F29" s="877">
        <f ca="1">SUM(G29:GD29)</f>
        <v>0</v>
      </c>
      <c r="G29" s="2101">
        <f t="shared" ref="G29:L29" ca="1" si="41">IF(G20&lt;0,G27+G28,0)+IF(G21&lt;(G27+G28),SUM(G27:G28)-G21,0)</f>
        <v>0</v>
      </c>
      <c r="H29" s="2102">
        <f t="shared" ca="1" si="41"/>
        <v>0</v>
      </c>
      <c r="I29" s="2102">
        <f t="shared" ca="1" si="41"/>
        <v>0</v>
      </c>
      <c r="J29" s="2103">
        <f t="shared" ca="1" si="41"/>
        <v>0</v>
      </c>
      <c r="K29" s="2101">
        <f t="shared" ca="1" si="41"/>
        <v>0</v>
      </c>
      <c r="L29" s="2102">
        <f t="shared" ca="1" si="41"/>
        <v>0</v>
      </c>
      <c r="M29" s="2102">
        <f t="shared" ref="M29:BX29" ca="1" si="42">IF(M20&lt;0,M27+M28,0)+IF(M21&lt;(M27+M28),SUM(M27:M28)-M21,0)</f>
        <v>0</v>
      </c>
      <c r="N29" s="2103">
        <f t="shared" ca="1" si="42"/>
        <v>0</v>
      </c>
      <c r="O29" s="2101">
        <f t="shared" ca="1" si="42"/>
        <v>0</v>
      </c>
      <c r="P29" s="2102">
        <f t="shared" ca="1" si="42"/>
        <v>0</v>
      </c>
      <c r="Q29" s="2102">
        <f t="shared" ca="1" si="42"/>
        <v>0</v>
      </c>
      <c r="R29" s="2103">
        <f t="shared" ca="1" si="42"/>
        <v>0</v>
      </c>
      <c r="S29" s="2101">
        <f t="shared" ca="1" si="42"/>
        <v>0</v>
      </c>
      <c r="T29" s="2102">
        <f t="shared" ca="1" si="42"/>
        <v>0</v>
      </c>
      <c r="U29" s="2102">
        <f t="shared" ca="1" si="42"/>
        <v>0</v>
      </c>
      <c r="V29" s="2103">
        <f t="shared" ca="1" si="42"/>
        <v>0</v>
      </c>
      <c r="W29" s="2101">
        <f t="shared" ca="1" si="42"/>
        <v>0</v>
      </c>
      <c r="X29" s="2102">
        <f t="shared" ca="1" si="42"/>
        <v>0</v>
      </c>
      <c r="Y29" s="2104">
        <f t="shared" ca="1" si="42"/>
        <v>0</v>
      </c>
      <c r="Z29" s="2103">
        <f t="shared" ca="1" si="42"/>
        <v>0</v>
      </c>
      <c r="AA29" s="2101">
        <f t="shared" ca="1" si="42"/>
        <v>0</v>
      </c>
      <c r="AB29" s="2102">
        <f t="shared" ca="1" si="42"/>
        <v>0</v>
      </c>
      <c r="AC29" s="2102">
        <f t="shared" ca="1" si="42"/>
        <v>0</v>
      </c>
      <c r="AD29" s="2103">
        <f t="shared" ca="1" si="42"/>
        <v>0</v>
      </c>
      <c r="AE29" s="2101">
        <f t="shared" ca="1" si="42"/>
        <v>0</v>
      </c>
      <c r="AF29" s="2102">
        <f t="shared" ca="1" si="42"/>
        <v>0</v>
      </c>
      <c r="AG29" s="2102">
        <f t="shared" ca="1" si="42"/>
        <v>0</v>
      </c>
      <c r="AH29" s="2103">
        <f t="shared" ca="1" si="42"/>
        <v>0</v>
      </c>
      <c r="AI29" s="2101">
        <f t="shared" ca="1" si="42"/>
        <v>0</v>
      </c>
      <c r="AJ29" s="2102">
        <f t="shared" ca="1" si="42"/>
        <v>0</v>
      </c>
      <c r="AK29" s="2102">
        <f t="shared" ca="1" si="42"/>
        <v>0</v>
      </c>
      <c r="AL29" s="2103">
        <f t="shared" ca="1" si="42"/>
        <v>0</v>
      </c>
      <c r="AM29" s="2101">
        <f t="shared" ca="1" si="42"/>
        <v>0</v>
      </c>
      <c r="AN29" s="2102">
        <f t="shared" ca="1" si="42"/>
        <v>0</v>
      </c>
      <c r="AO29" s="2102">
        <f t="shared" ca="1" si="42"/>
        <v>0</v>
      </c>
      <c r="AP29" s="2103">
        <f t="shared" ca="1" si="42"/>
        <v>0</v>
      </c>
      <c r="AQ29" s="2101">
        <f t="shared" ca="1" si="42"/>
        <v>0</v>
      </c>
      <c r="AR29" s="2102">
        <f t="shared" ca="1" si="42"/>
        <v>0</v>
      </c>
      <c r="AS29" s="2102">
        <f t="shared" ca="1" si="42"/>
        <v>0</v>
      </c>
      <c r="AT29" s="2103">
        <f t="shared" ca="1" si="42"/>
        <v>0</v>
      </c>
      <c r="AU29" s="2101">
        <f t="shared" ca="1" si="42"/>
        <v>0</v>
      </c>
      <c r="AV29" s="2102">
        <f t="shared" ca="1" si="42"/>
        <v>0</v>
      </c>
      <c r="AW29" s="2102">
        <f t="shared" ca="1" si="42"/>
        <v>0</v>
      </c>
      <c r="AX29" s="2103">
        <f t="shared" ca="1" si="42"/>
        <v>0</v>
      </c>
      <c r="AY29" s="2101">
        <f t="shared" ca="1" si="42"/>
        <v>0</v>
      </c>
      <c r="AZ29" s="2102">
        <f t="shared" ca="1" si="42"/>
        <v>0</v>
      </c>
      <c r="BA29" s="2102">
        <f t="shared" ca="1" si="42"/>
        <v>0</v>
      </c>
      <c r="BB29" s="2103">
        <f t="shared" ca="1" si="42"/>
        <v>0</v>
      </c>
      <c r="BC29" s="2101">
        <f t="shared" ca="1" si="42"/>
        <v>0</v>
      </c>
      <c r="BD29" s="2102">
        <f t="shared" ca="1" si="42"/>
        <v>0</v>
      </c>
      <c r="BE29" s="2102">
        <f t="shared" ca="1" si="42"/>
        <v>0</v>
      </c>
      <c r="BF29" s="2103">
        <f t="shared" ca="1" si="42"/>
        <v>0</v>
      </c>
      <c r="BG29" s="2101">
        <f t="shared" ca="1" si="42"/>
        <v>0</v>
      </c>
      <c r="BH29" s="2102">
        <f t="shared" ca="1" si="42"/>
        <v>0</v>
      </c>
      <c r="BI29" s="2102">
        <f t="shared" ca="1" si="42"/>
        <v>0</v>
      </c>
      <c r="BJ29" s="2103">
        <f t="shared" ca="1" si="42"/>
        <v>0</v>
      </c>
      <c r="BK29" s="2101">
        <f t="shared" ca="1" si="42"/>
        <v>0</v>
      </c>
      <c r="BL29" s="2102">
        <f t="shared" ca="1" si="42"/>
        <v>0</v>
      </c>
      <c r="BM29" s="2102">
        <f t="shared" ca="1" si="42"/>
        <v>0</v>
      </c>
      <c r="BN29" s="2103">
        <f t="shared" ca="1" si="42"/>
        <v>0</v>
      </c>
      <c r="BO29" s="2101">
        <f t="shared" ca="1" si="42"/>
        <v>0</v>
      </c>
      <c r="BP29" s="2102">
        <f t="shared" ca="1" si="42"/>
        <v>0</v>
      </c>
      <c r="BQ29" s="2102">
        <f t="shared" ca="1" si="42"/>
        <v>0</v>
      </c>
      <c r="BR29" s="2103">
        <f t="shared" ca="1" si="42"/>
        <v>0</v>
      </c>
      <c r="BS29" s="2101">
        <f t="shared" ca="1" si="42"/>
        <v>0</v>
      </c>
      <c r="BT29" s="2102">
        <f t="shared" ca="1" si="42"/>
        <v>0</v>
      </c>
      <c r="BU29" s="2102">
        <f t="shared" ca="1" si="42"/>
        <v>0</v>
      </c>
      <c r="BV29" s="2103">
        <f t="shared" ca="1" si="42"/>
        <v>0</v>
      </c>
      <c r="BW29" s="2101">
        <f t="shared" ca="1" si="42"/>
        <v>0</v>
      </c>
      <c r="BX29" s="2102">
        <f t="shared" ca="1" si="42"/>
        <v>0</v>
      </c>
      <c r="BY29" s="2102">
        <f t="shared" ref="BY29:EJ29" ca="1" si="43">IF(BY20&lt;0,BY27+BY28,0)+IF(BY21&lt;(BY27+BY28),SUM(BY27:BY28)-BY21,0)</f>
        <v>0</v>
      </c>
      <c r="BZ29" s="2103">
        <f t="shared" ca="1" si="43"/>
        <v>0</v>
      </c>
      <c r="CA29" s="2101">
        <f t="shared" ca="1" si="43"/>
        <v>0</v>
      </c>
      <c r="CB29" s="2102">
        <f t="shared" ca="1" si="43"/>
        <v>0</v>
      </c>
      <c r="CC29" s="2102">
        <f t="shared" ca="1" si="43"/>
        <v>0</v>
      </c>
      <c r="CD29" s="2103">
        <f t="shared" ca="1" si="43"/>
        <v>0</v>
      </c>
      <c r="CE29" s="2101">
        <f t="shared" ca="1" si="43"/>
        <v>0</v>
      </c>
      <c r="CF29" s="2102">
        <f t="shared" ca="1" si="43"/>
        <v>0</v>
      </c>
      <c r="CG29" s="2102">
        <f t="shared" ca="1" si="43"/>
        <v>0</v>
      </c>
      <c r="CH29" s="2103">
        <f t="shared" ca="1" si="43"/>
        <v>0</v>
      </c>
      <c r="CI29" s="2101">
        <f t="shared" ca="1" si="43"/>
        <v>0</v>
      </c>
      <c r="CJ29" s="2102">
        <f t="shared" ca="1" si="43"/>
        <v>0</v>
      </c>
      <c r="CK29" s="2102">
        <f t="shared" ca="1" si="43"/>
        <v>0</v>
      </c>
      <c r="CL29" s="2103">
        <f t="shared" ca="1" si="43"/>
        <v>0</v>
      </c>
      <c r="CM29" s="2101">
        <f t="shared" ca="1" si="43"/>
        <v>0</v>
      </c>
      <c r="CN29" s="2102">
        <f t="shared" ca="1" si="43"/>
        <v>0</v>
      </c>
      <c r="CO29" s="2102">
        <f t="shared" ca="1" si="43"/>
        <v>0</v>
      </c>
      <c r="CP29" s="2103">
        <f t="shared" ca="1" si="43"/>
        <v>0</v>
      </c>
      <c r="CQ29" s="2101">
        <f t="shared" ca="1" si="43"/>
        <v>0</v>
      </c>
      <c r="CR29" s="2102">
        <f t="shared" ca="1" si="43"/>
        <v>0</v>
      </c>
      <c r="CS29" s="2102">
        <f t="shared" ca="1" si="43"/>
        <v>0</v>
      </c>
      <c r="CT29" s="2103">
        <f t="shared" ca="1" si="43"/>
        <v>0</v>
      </c>
      <c r="CU29" s="2101">
        <f t="shared" ca="1" si="43"/>
        <v>0</v>
      </c>
      <c r="CV29" s="2102">
        <f t="shared" ca="1" si="43"/>
        <v>0</v>
      </c>
      <c r="CW29" s="2102">
        <f t="shared" ca="1" si="43"/>
        <v>0</v>
      </c>
      <c r="CX29" s="2103">
        <f t="shared" ca="1" si="43"/>
        <v>0</v>
      </c>
      <c r="CY29" s="2101">
        <f t="shared" ca="1" si="43"/>
        <v>0</v>
      </c>
      <c r="CZ29" s="2102">
        <f t="shared" ca="1" si="43"/>
        <v>0</v>
      </c>
      <c r="DA29" s="2102">
        <f t="shared" ca="1" si="43"/>
        <v>0</v>
      </c>
      <c r="DB29" s="2103">
        <f t="shared" ca="1" si="43"/>
        <v>0</v>
      </c>
      <c r="DC29" s="2101">
        <f t="shared" ca="1" si="43"/>
        <v>0</v>
      </c>
      <c r="DD29" s="2102">
        <f t="shared" ca="1" si="43"/>
        <v>0</v>
      </c>
      <c r="DE29" s="2102">
        <f t="shared" ca="1" si="43"/>
        <v>0</v>
      </c>
      <c r="DF29" s="2103">
        <f t="shared" ca="1" si="43"/>
        <v>0</v>
      </c>
      <c r="DG29" s="2101">
        <f t="shared" ca="1" si="43"/>
        <v>0</v>
      </c>
      <c r="DH29" s="2102">
        <f t="shared" ca="1" si="43"/>
        <v>0</v>
      </c>
      <c r="DI29" s="2102">
        <f t="shared" ca="1" si="43"/>
        <v>0</v>
      </c>
      <c r="DJ29" s="2103">
        <f t="shared" ca="1" si="43"/>
        <v>0</v>
      </c>
      <c r="DK29" s="2101">
        <f t="shared" ca="1" si="43"/>
        <v>0</v>
      </c>
      <c r="DL29" s="2102">
        <f t="shared" ca="1" si="43"/>
        <v>0</v>
      </c>
      <c r="DM29" s="2102">
        <f t="shared" ca="1" si="43"/>
        <v>0</v>
      </c>
      <c r="DN29" s="2103">
        <f t="shared" ca="1" si="43"/>
        <v>0</v>
      </c>
      <c r="DO29" s="2101">
        <f t="shared" ca="1" si="43"/>
        <v>0</v>
      </c>
      <c r="DP29" s="2102">
        <f t="shared" ca="1" si="43"/>
        <v>0</v>
      </c>
      <c r="DQ29" s="2102">
        <f t="shared" ca="1" si="43"/>
        <v>0</v>
      </c>
      <c r="DR29" s="2103">
        <f t="shared" ca="1" si="43"/>
        <v>0</v>
      </c>
      <c r="DS29" s="2101">
        <f t="shared" ca="1" si="43"/>
        <v>0</v>
      </c>
      <c r="DT29" s="2102">
        <f t="shared" ca="1" si="43"/>
        <v>0</v>
      </c>
      <c r="DU29" s="2102">
        <f t="shared" ca="1" si="43"/>
        <v>0</v>
      </c>
      <c r="DV29" s="2103">
        <f t="shared" ca="1" si="43"/>
        <v>0</v>
      </c>
      <c r="DW29" s="2101">
        <f t="shared" ca="1" si="43"/>
        <v>0</v>
      </c>
      <c r="DX29" s="2102">
        <f t="shared" ca="1" si="43"/>
        <v>0</v>
      </c>
      <c r="DY29" s="2102">
        <f t="shared" ca="1" si="43"/>
        <v>0</v>
      </c>
      <c r="DZ29" s="2103">
        <f t="shared" ca="1" si="43"/>
        <v>0</v>
      </c>
      <c r="EA29" s="2101">
        <f t="shared" ca="1" si="43"/>
        <v>0</v>
      </c>
      <c r="EB29" s="2102">
        <f t="shared" ca="1" si="43"/>
        <v>0</v>
      </c>
      <c r="EC29" s="2102">
        <f t="shared" ca="1" si="43"/>
        <v>0</v>
      </c>
      <c r="ED29" s="2103">
        <f t="shared" ca="1" si="43"/>
        <v>0</v>
      </c>
      <c r="EE29" s="2101">
        <f t="shared" ca="1" si="43"/>
        <v>0</v>
      </c>
      <c r="EF29" s="2102">
        <f t="shared" ca="1" si="43"/>
        <v>0</v>
      </c>
      <c r="EG29" s="2102">
        <f t="shared" ca="1" si="43"/>
        <v>0</v>
      </c>
      <c r="EH29" s="2103">
        <f t="shared" ca="1" si="43"/>
        <v>0</v>
      </c>
      <c r="EI29" s="2101">
        <f t="shared" ca="1" si="43"/>
        <v>0</v>
      </c>
      <c r="EJ29" s="2102">
        <f t="shared" ca="1" si="43"/>
        <v>0</v>
      </c>
      <c r="EK29" s="2102">
        <f t="shared" ref="EK29:GD29" ca="1" si="44">IF(EK20&lt;0,EK27+EK28,0)+IF(EK21&lt;(EK27+EK28),SUM(EK27:EK28)-EK21,0)</f>
        <v>0</v>
      </c>
      <c r="EL29" s="2103">
        <f t="shared" ca="1" si="44"/>
        <v>0</v>
      </c>
      <c r="EM29" s="2101">
        <f t="shared" ca="1" si="44"/>
        <v>0</v>
      </c>
      <c r="EN29" s="2102">
        <f t="shared" ca="1" si="44"/>
        <v>0</v>
      </c>
      <c r="EO29" s="2102">
        <f t="shared" ca="1" si="44"/>
        <v>0</v>
      </c>
      <c r="EP29" s="2103">
        <f t="shared" ca="1" si="44"/>
        <v>0</v>
      </c>
      <c r="EQ29" s="2101">
        <f t="shared" ca="1" si="44"/>
        <v>0</v>
      </c>
      <c r="ER29" s="2102">
        <f t="shared" ca="1" si="44"/>
        <v>0</v>
      </c>
      <c r="ES29" s="2102">
        <f t="shared" ca="1" si="44"/>
        <v>0</v>
      </c>
      <c r="ET29" s="2103">
        <f t="shared" ca="1" si="44"/>
        <v>0</v>
      </c>
      <c r="EU29" s="2101">
        <f t="shared" ca="1" si="44"/>
        <v>0</v>
      </c>
      <c r="EV29" s="2102">
        <f t="shared" ca="1" si="44"/>
        <v>0</v>
      </c>
      <c r="EW29" s="2102">
        <f t="shared" ca="1" si="44"/>
        <v>0</v>
      </c>
      <c r="EX29" s="2103">
        <f t="shared" ca="1" si="44"/>
        <v>0</v>
      </c>
      <c r="EY29" s="2101">
        <f t="shared" ca="1" si="44"/>
        <v>0</v>
      </c>
      <c r="EZ29" s="2102">
        <f t="shared" ca="1" si="44"/>
        <v>0</v>
      </c>
      <c r="FA29" s="2102">
        <f t="shared" ca="1" si="44"/>
        <v>0</v>
      </c>
      <c r="FB29" s="2103">
        <f t="shared" ca="1" si="44"/>
        <v>0</v>
      </c>
      <c r="FC29" s="2101">
        <f t="shared" ca="1" si="44"/>
        <v>0</v>
      </c>
      <c r="FD29" s="2102">
        <f t="shared" ca="1" si="44"/>
        <v>0</v>
      </c>
      <c r="FE29" s="2102">
        <f t="shared" ca="1" si="44"/>
        <v>0</v>
      </c>
      <c r="FF29" s="2103">
        <f t="shared" ca="1" si="44"/>
        <v>0</v>
      </c>
      <c r="FG29" s="2101">
        <f t="shared" ca="1" si="44"/>
        <v>0</v>
      </c>
      <c r="FH29" s="2102">
        <f t="shared" ca="1" si="44"/>
        <v>0</v>
      </c>
      <c r="FI29" s="2102">
        <f t="shared" ca="1" si="44"/>
        <v>0</v>
      </c>
      <c r="FJ29" s="2103">
        <f t="shared" ca="1" si="44"/>
        <v>0</v>
      </c>
      <c r="FK29" s="2101">
        <f t="shared" ca="1" si="44"/>
        <v>0</v>
      </c>
      <c r="FL29" s="2102">
        <f t="shared" ca="1" si="44"/>
        <v>0</v>
      </c>
      <c r="FM29" s="2102">
        <f t="shared" ca="1" si="44"/>
        <v>0</v>
      </c>
      <c r="FN29" s="2103">
        <f t="shared" ca="1" si="44"/>
        <v>0</v>
      </c>
      <c r="FO29" s="2101">
        <f t="shared" ca="1" si="44"/>
        <v>0</v>
      </c>
      <c r="FP29" s="2102">
        <f t="shared" ca="1" si="44"/>
        <v>0</v>
      </c>
      <c r="FQ29" s="2102">
        <f t="shared" ca="1" si="44"/>
        <v>0</v>
      </c>
      <c r="FR29" s="2103">
        <f t="shared" ca="1" si="44"/>
        <v>0</v>
      </c>
      <c r="FS29" s="2101">
        <f t="shared" ca="1" si="44"/>
        <v>0</v>
      </c>
      <c r="FT29" s="2102">
        <f t="shared" ca="1" si="44"/>
        <v>0</v>
      </c>
      <c r="FU29" s="2102">
        <f t="shared" ca="1" si="44"/>
        <v>0</v>
      </c>
      <c r="FV29" s="2103">
        <f t="shared" ca="1" si="44"/>
        <v>0</v>
      </c>
      <c r="FW29" s="2101">
        <f t="shared" ca="1" si="44"/>
        <v>0</v>
      </c>
      <c r="FX29" s="2102">
        <f t="shared" ca="1" si="44"/>
        <v>0</v>
      </c>
      <c r="FY29" s="2102">
        <f t="shared" ca="1" si="44"/>
        <v>0</v>
      </c>
      <c r="FZ29" s="2103">
        <f t="shared" ca="1" si="44"/>
        <v>0</v>
      </c>
      <c r="GA29" s="2101">
        <f t="shared" ca="1" si="44"/>
        <v>0</v>
      </c>
      <c r="GB29" s="2102">
        <f t="shared" ca="1" si="44"/>
        <v>0</v>
      </c>
      <c r="GC29" s="2102">
        <f t="shared" ca="1" si="44"/>
        <v>0</v>
      </c>
      <c r="GD29" s="2103">
        <f t="shared" ca="1" si="44"/>
        <v>0</v>
      </c>
    </row>
    <row r="30" spans="1:186" ht="15" customHeight="1" outlineLevel="1">
      <c r="B30" s="2085"/>
      <c r="C30" s="2090" t="s">
        <v>3757</v>
      </c>
      <c r="D30" s="2091"/>
      <c r="E30" s="2092"/>
      <c r="F30" s="2092"/>
      <c r="G30" s="2097">
        <f t="shared" ref="G30:BR30" ca="1" si="45">G27+G28-G29</f>
        <v>0</v>
      </c>
      <c r="H30" s="2098">
        <f t="shared" ca="1" si="45"/>
        <v>0</v>
      </c>
      <c r="I30" s="2098">
        <f t="shared" ca="1" si="45"/>
        <v>0</v>
      </c>
      <c r="J30" s="2099">
        <f t="shared" ca="1" si="45"/>
        <v>0</v>
      </c>
      <c r="K30" s="2097">
        <f t="shared" ca="1" si="45"/>
        <v>0</v>
      </c>
      <c r="L30" s="2098">
        <f t="shared" ca="1" si="45"/>
        <v>0</v>
      </c>
      <c r="M30" s="2098">
        <f t="shared" ca="1" si="45"/>
        <v>0</v>
      </c>
      <c r="N30" s="2099">
        <f t="shared" ca="1" si="45"/>
        <v>0</v>
      </c>
      <c r="O30" s="2097">
        <f t="shared" ca="1" si="45"/>
        <v>0</v>
      </c>
      <c r="P30" s="2098">
        <f t="shared" ca="1" si="45"/>
        <v>0</v>
      </c>
      <c r="Q30" s="2098">
        <f t="shared" ca="1" si="45"/>
        <v>0</v>
      </c>
      <c r="R30" s="2099">
        <f t="shared" ca="1" si="45"/>
        <v>0</v>
      </c>
      <c r="S30" s="2097">
        <f t="shared" ca="1" si="45"/>
        <v>0</v>
      </c>
      <c r="T30" s="2098">
        <f t="shared" ca="1" si="45"/>
        <v>0</v>
      </c>
      <c r="U30" s="2098">
        <f t="shared" ca="1" si="45"/>
        <v>0</v>
      </c>
      <c r="V30" s="2099">
        <f t="shared" ca="1" si="45"/>
        <v>0</v>
      </c>
      <c r="W30" s="2097">
        <f t="shared" ca="1" si="45"/>
        <v>0</v>
      </c>
      <c r="X30" s="2098">
        <f t="shared" ca="1" si="45"/>
        <v>0</v>
      </c>
      <c r="Y30" s="2098">
        <f t="shared" ca="1" si="45"/>
        <v>0</v>
      </c>
      <c r="Z30" s="2099">
        <f t="shared" ca="1" si="45"/>
        <v>0</v>
      </c>
      <c r="AA30" s="2097">
        <f t="shared" ca="1" si="45"/>
        <v>0</v>
      </c>
      <c r="AB30" s="2098">
        <f t="shared" ca="1" si="45"/>
        <v>0</v>
      </c>
      <c r="AC30" s="2098">
        <f t="shared" ca="1" si="45"/>
        <v>0</v>
      </c>
      <c r="AD30" s="2099">
        <f t="shared" ca="1" si="45"/>
        <v>0</v>
      </c>
      <c r="AE30" s="2097">
        <f t="shared" ca="1" si="45"/>
        <v>0</v>
      </c>
      <c r="AF30" s="2098">
        <f t="shared" ca="1" si="45"/>
        <v>0</v>
      </c>
      <c r="AG30" s="2098">
        <f t="shared" ca="1" si="45"/>
        <v>0</v>
      </c>
      <c r="AH30" s="2099">
        <f t="shared" ca="1" si="45"/>
        <v>0</v>
      </c>
      <c r="AI30" s="2097">
        <f t="shared" ca="1" si="45"/>
        <v>0</v>
      </c>
      <c r="AJ30" s="2098">
        <f t="shared" ca="1" si="45"/>
        <v>0</v>
      </c>
      <c r="AK30" s="2098">
        <f t="shared" ca="1" si="45"/>
        <v>0</v>
      </c>
      <c r="AL30" s="2099">
        <f t="shared" ca="1" si="45"/>
        <v>0</v>
      </c>
      <c r="AM30" s="2097">
        <f t="shared" ca="1" si="45"/>
        <v>0</v>
      </c>
      <c r="AN30" s="2098">
        <f t="shared" ca="1" si="45"/>
        <v>0</v>
      </c>
      <c r="AO30" s="2098">
        <f t="shared" ca="1" si="45"/>
        <v>0</v>
      </c>
      <c r="AP30" s="2099">
        <f t="shared" ca="1" si="45"/>
        <v>0</v>
      </c>
      <c r="AQ30" s="2097">
        <f t="shared" ca="1" si="45"/>
        <v>0</v>
      </c>
      <c r="AR30" s="2098">
        <f t="shared" ca="1" si="45"/>
        <v>0</v>
      </c>
      <c r="AS30" s="2098">
        <f t="shared" ca="1" si="45"/>
        <v>0</v>
      </c>
      <c r="AT30" s="2099">
        <f t="shared" ca="1" si="45"/>
        <v>0</v>
      </c>
      <c r="AU30" s="2097">
        <f t="shared" ca="1" si="45"/>
        <v>0</v>
      </c>
      <c r="AV30" s="2098">
        <f t="shared" ca="1" si="45"/>
        <v>0</v>
      </c>
      <c r="AW30" s="2098">
        <f t="shared" ca="1" si="45"/>
        <v>0</v>
      </c>
      <c r="AX30" s="2099">
        <f t="shared" ca="1" si="45"/>
        <v>0</v>
      </c>
      <c r="AY30" s="2097">
        <f t="shared" ca="1" si="45"/>
        <v>0</v>
      </c>
      <c r="AZ30" s="2098">
        <f t="shared" ca="1" si="45"/>
        <v>0</v>
      </c>
      <c r="BA30" s="2098">
        <f t="shared" ca="1" si="45"/>
        <v>0</v>
      </c>
      <c r="BB30" s="2099">
        <f t="shared" ca="1" si="45"/>
        <v>0</v>
      </c>
      <c r="BC30" s="2097">
        <f t="shared" ca="1" si="45"/>
        <v>0</v>
      </c>
      <c r="BD30" s="2098">
        <f t="shared" ca="1" si="45"/>
        <v>0</v>
      </c>
      <c r="BE30" s="2098">
        <f t="shared" ca="1" si="45"/>
        <v>0</v>
      </c>
      <c r="BF30" s="2099">
        <f t="shared" ca="1" si="45"/>
        <v>0</v>
      </c>
      <c r="BG30" s="2097">
        <f t="shared" ca="1" si="45"/>
        <v>0</v>
      </c>
      <c r="BH30" s="2098">
        <f t="shared" ca="1" si="45"/>
        <v>0</v>
      </c>
      <c r="BI30" s="2098">
        <f t="shared" ca="1" si="45"/>
        <v>0</v>
      </c>
      <c r="BJ30" s="2099">
        <f t="shared" ca="1" si="45"/>
        <v>0</v>
      </c>
      <c r="BK30" s="2097">
        <f t="shared" ca="1" si="45"/>
        <v>0</v>
      </c>
      <c r="BL30" s="2098">
        <f t="shared" ca="1" si="45"/>
        <v>0</v>
      </c>
      <c r="BM30" s="2098">
        <f t="shared" ca="1" si="45"/>
        <v>0</v>
      </c>
      <c r="BN30" s="2099">
        <f t="shared" ca="1" si="45"/>
        <v>0</v>
      </c>
      <c r="BO30" s="2097">
        <f t="shared" ca="1" si="45"/>
        <v>0</v>
      </c>
      <c r="BP30" s="2098">
        <f t="shared" ca="1" si="45"/>
        <v>0</v>
      </c>
      <c r="BQ30" s="2098">
        <f t="shared" ca="1" si="45"/>
        <v>0</v>
      </c>
      <c r="BR30" s="2099">
        <f t="shared" ca="1" si="45"/>
        <v>0</v>
      </c>
      <c r="BS30" s="2097">
        <f t="shared" ref="BS30:ED30" ca="1" si="46">BS27+BS28-BS29</f>
        <v>0</v>
      </c>
      <c r="BT30" s="2098">
        <f t="shared" ca="1" si="46"/>
        <v>0</v>
      </c>
      <c r="BU30" s="2098">
        <f t="shared" ca="1" si="46"/>
        <v>0</v>
      </c>
      <c r="BV30" s="2099">
        <f t="shared" ca="1" si="46"/>
        <v>0</v>
      </c>
      <c r="BW30" s="2097">
        <f t="shared" ca="1" si="46"/>
        <v>0</v>
      </c>
      <c r="BX30" s="2098">
        <f t="shared" ca="1" si="46"/>
        <v>0</v>
      </c>
      <c r="BY30" s="2098">
        <f t="shared" ca="1" si="46"/>
        <v>0</v>
      </c>
      <c r="BZ30" s="2099">
        <f t="shared" ca="1" si="46"/>
        <v>0</v>
      </c>
      <c r="CA30" s="2097">
        <f t="shared" ca="1" si="46"/>
        <v>0</v>
      </c>
      <c r="CB30" s="2098">
        <f t="shared" ca="1" si="46"/>
        <v>0</v>
      </c>
      <c r="CC30" s="2098">
        <f t="shared" ca="1" si="46"/>
        <v>0</v>
      </c>
      <c r="CD30" s="2099">
        <f t="shared" ca="1" si="46"/>
        <v>0</v>
      </c>
      <c r="CE30" s="2097">
        <f t="shared" ca="1" si="46"/>
        <v>0</v>
      </c>
      <c r="CF30" s="2098">
        <f t="shared" ca="1" si="46"/>
        <v>0</v>
      </c>
      <c r="CG30" s="2098">
        <f t="shared" ca="1" si="46"/>
        <v>0</v>
      </c>
      <c r="CH30" s="2099">
        <f t="shared" ca="1" si="46"/>
        <v>0</v>
      </c>
      <c r="CI30" s="2097">
        <f t="shared" ca="1" si="46"/>
        <v>0</v>
      </c>
      <c r="CJ30" s="2098">
        <f t="shared" ca="1" si="46"/>
        <v>0</v>
      </c>
      <c r="CK30" s="2098">
        <f t="shared" ca="1" si="46"/>
        <v>0</v>
      </c>
      <c r="CL30" s="2099">
        <f t="shared" ca="1" si="46"/>
        <v>0</v>
      </c>
      <c r="CM30" s="2097">
        <f t="shared" ca="1" si="46"/>
        <v>0</v>
      </c>
      <c r="CN30" s="2098">
        <f t="shared" ca="1" si="46"/>
        <v>0</v>
      </c>
      <c r="CO30" s="2098">
        <f t="shared" ca="1" si="46"/>
        <v>0</v>
      </c>
      <c r="CP30" s="2099">
        <f t="shared" ca="1" si="46"/>
        <v>0</v>
      </c>
      <c r="CQ30" s="2097">
        <f t="shared" ca="1" si="46"/>
        <v>0</v>
      </c>
      <c r="CR30" s="2098">
        <f t="shared" ca="1" si="46"/>
        <v>0</v>
      </c>
      <c r="CS30" s="2098">
        <f t="shared" ca="1" si="46"/>
        <v>0</v>
      </c>
      <c r="CT30" s="2099">
        <f t="shared" ca="1" si="46"/>
        <v>0</v>
      </c>
      <c r="CU30" s="2097">
        <f t="shared" ca="1" si="46"/>
        <v>0</v>
      </c>
      <c r="CV30" s="2098">
        <f t="shared" ca="1" si="46"/>
        <v>0</v>
      </c>
      <c r="CW30" s="2098">
        <f t="shared" ca="1" si="46"/>
        <v>0</v>
      </c>
      <c r="CX30" s="2099">
        <f t="shared" ca="1" si="46"/>
        <v>0</v>
      </c>
      <c r="CY30" s="2097">
        <f t="shared" ca="1" si="46"/>
        <v>0</v>
      </c>
      <c r="CZ30" s="2098">
        <f t="shared" ca="1" si="46"/>
        <v>0</v>
      </c>
      <c r="DA30" s="2098">
        <f t="shared" ca="1" si="46"/>
        <v>0</v>
      </c>
      <c r="DB30" s="2099">
        <f t="shared" ca="1" si="46"/>
        <v>0</v>
      </c>
      <c r="DC30" s="2097">
        <f t="shared" ca="1" si="46"/>
        <v>0</v>
      </c>
      <c r="DD30" s="2098">
        <f t="shared" ca="1" si="46"/>
        <v>0</v>
      </c>
      <c r="DE30" s="2098">
        <f t="shared" ca="1" si="46"/>
        <v>0</v>
      </c>
      <c r="DF30" s="2099">
        <f t="shared" ca="1" si="46"/>
        <v>0</v>
      </c>
      <c r="DG30" s="2097">
        <f t="shared" ca="1" si="46"/>
        <v>0</v>
      </c>
      <c r="DH30" s="2098">
        <f t="shared" ca="1" si="46"/>
        <v>0</v>
      </c>
      <c r="DI30" s="2098">
        <f t="shared" ca="1" si="46"/>
        <v>0</v>
      </c>
      <c r="DJ30" s="2099">
        <f t="shared" ca="1" si="46"/>
        <v>0</v>
      </c>
      <c r="DK30" s="2097">
        <f t="shared" ca="1" si="46"/>
        <v>0</v>
      </c>
      <c r="DL30" s="2098">
        <f t="shared" ca="1" si="46"/>
        <v>0</v>
      </c>
      <c r="DM30" s="2098">
        <f t="shared" ca="1" si="46"/>
        <v>0</v>
      </c>
      <c r="DN30" s="2099">
        <f t="shared" ca="1" si="46"/>
        <v>0</v>
      </c>
      <c r="DO30" s="2097">
        <f t="shared" ca="1" si="46"/>
        <v>0</v>
      </c>
      <c r="DP30" s="2098">
        <f t="shared" ca="1" si="46"/>
        <v>0</v>
      </c>
      <c r="DQ30" s="2098">
        <f t="shared" ca="1" si="46"/>
        <v>0</v>
      </c>
      <c r="DR30" s="2099">
        <f t="shared" ca="1" si="46"/>
        <v>0</v>
      </c>
      <c r="DS30" s="2097">
        <f t="shared" ca="1" si="46"/>
        <v>0</v>
      </c>
      <c r="DT30" s="2098">
        <f t="shared" ca="1" si="46"/>
        <v>0</v>
      </c>
      <c r="DU30" s="2098">
        <f t="shared" ca="1" si="46"/>
        <v>0</v>
      </c>
      <c r="DV30" s="2099">
        <f t="shared" ca="1" si="46"/>
        <v>0</v>
      </c>
      <c r="DW30" s="2097">
        <f t="shared" ca="1" si="46"/>
        <v>0</v>
      </c>
      <c r="DX30" s="2098">
        <f t="shared" ca="1" si="46"/>
        <v>0</v>
      </c>
      <c r="DY30" s="2098">
        <f t="shared" ca="1" si="46"/>
        <v>0</v>
      </c>
      <c r="DZ30" s="2099">
        <f t="shared" ca="1" si="46"/>
        <v>0</v>
      </c>
      <c r="EA30" s="2097">
        <f t="shared" ca="1" si="46"/>
        <v>0</v>
      </c>
      <c r="EB30" s="2098">
        <f t="shared" ca="1" si="46"/>
        <v>0</v>
      </c>
      <c r="EC30" s="2098">
        <f t="shared" ca="1" si="46"/>
        <v>0</v>
      </c>
      <c r="ED30" s="2099">
        <f t="shared" ca="1" si="46"/>
        <v>0</v>
      </c>
      <c r="EE30" s="2097">
        <f t="shared" ref="EE30:GD30" ca="1" si="47">EE27+EE28-EE29</f>
        <v>0</v>
      </c>
      <c r="EF30" s="2098">
        <f t="shared" ca="1" si="47"/>
        <v>0</v>
      </c>
      <c r="EG30" s="2098">
        <f t="shared" ca="1" si="47"/>
        <v>0</v>
      </c>
      <c r="EH30" s="2099">
        <f t="shared" ca="1" si="47"/>
        <v>0</v>
      </c>
      <c r="EI30" s="2097">
        <f t="shared" ca="1" si="47"/>
        <v>0</v>
      </c>
      <c r="EJ30" s="2098">
        <f t="shared" ca="1" si="47"/>
        <v>0</v>
      </c>
      <c r="EK30" s="2098">
        <f t="shared" ca="1" si="47"/>
        <v>0</v>
      </c>
      <c r="EL30" s="2099">
        <f t="shared" ca="1" si="47"/>
        <v>0</v>
      </c>
      <c r="EM30" s="2097">
        <f t="shared" ca="1" si="47"/>
        <v>0</v>
      </c>
      <c r="EN30" s="2098">
        <f t="shared" ca="1" si="47"/>
        <v>0</v>
      </c>
      <c r="EO30" s="2098">
        <f t="shared" ca="1" si="47"/>
        <v>0</v>
      </c>
      <c r="EP30" s="2099">
        <f t="shared" ca="1" si="47"/>
        <v>0</v>
      </c>
      <c r="EQ30" s="2097">
        <f t="shared" ca="1" si="47"/>
        <v>0</v>
      </c>
      <c r="ER30" s="2098">
        <f t="shared" ca="1" si="47"/>
        <v>0</v>
      </c>
      <c r="ES30" s="2098">
        <f t="shared" ca="1" si="47"/>
        <v>0</v>
      </c>
      <c r="ET30" s="2099">
        <f t="shared" ca="1" si="47"/>
        <v>0</v>
      </c>
      <c r="EU30" s="2097">
        <f t="shared" ca="1" si="47"/>
        <v>0</v>
      </c>
      <c r="EV30" s="2098">
        <f t="shared" ca="1" si="47"/>
        <v>0</v>
      </c>
      <c r="EW30" s="2098">
        <f t="shared" ca="1" si="47"/>
        <v>0</v>
      </c>
      <c r="EX30" s="2099">
        <f t="shared" ca="1" si="47"/>
        <v>0</v>
      </c>
      <c r="EY30" s="2097">
        <f t="shared" ca="1" si="47"/>
        <v>0</v>
      </c>
      <c r="EZ30" s="2098">
        <f t="shared" ca="1" si="47"/>
        <v>0</v>
      </c>
      <c r="FA30" s="2098">
        <f t="shared" ca="1" si="47"/>
        <v>0</v>
      </c>
      <c r="FB30" s="2099">
        <f t="shared" ca="1" si="47"/>
        <v>0</v>
      </c>
      <c r="FC30" s="2097">
        <f t="shared" ca="1" si="47"/>
        <v>0</v>
      </c>
      <c r="FD30" s="2098">
        <f t="shared" ca="1" si="47"/>
        <v>0</v>
      </c>
      <c r="FE30" s="2098">
        <f t="shared" ca="1" si="47"/>
        <v>0</v>
      </c>
      <c r="FF30" s="2099">
        <f t="shared" ca="1" si="47"/>
        <v>0</v>
      </c>
      <c r="FG30" s="2097">
        <f t="shared" ca="1" si="47"/>
        <v>0</v>
      </c>
      <c r="FH30" s="2098">
        <f t="shared" ca="1" si="47"/>
        <v>0</v>
      </c>
      <c r="FI30" s="2098">
        <f t="shared" ca="1" si="47"/>
        <v>0</v>
      </c>
      <c r="FJ30" s="2099">
        <f t="shared" ca="1" si="47"/>
        <v>0</v>
      </c>
      <c r="FK30" s="2097">
        <f t="shared" ca="1" si="47"/>
        <v>0</v>
      </c>
      <c r="FL30" s="2098">
        <f t="shared" ca="1" si="47"/>
        <v>0</v>
      </c>
      <c r="FM30" s="2098">
        <f t="shared" ca="1" si="47"/>
        <v>0</v>
      </c>
      <c r="FN30" s="2099">
        <f t="shared" ca="1" si="47"/>
        <v>0</v>
      </c>
      <c r="FO30" s="2097">
        <f t="shared" ca="1" si="47"/>
        <v>0</v>
      </c>
      <c r="FP30" s="2098">
        <f t="shared" ca="1" si="47"/>
        <v>0</v>
      </c>
      <c r="FQ30" s="2098">
        <f t="shared" ca="1" si="47"/>
        <v>0</v>
      </c>
      <c r="FR30" s="2099">
        <f t="shared" ca="1" si="47"/>
        <v>0</v>
      </c>
      <c r="FS30" s="2097">
        <f t="shared" ca="1" si="47"/>
        <v>0</v>
      </c>
      <c r="FT30" s="2098">
        <f t="shared" ca="1" si="47"/>
        <v>0</v>
      </c>
      <c r="FU30" s="2098">
        <f t="shared" ca="1" si="47"/>
        <v>0</v>
      </c>
      <c r="FV30" s="2099">
        <f t="shared" ca="1" si="47"/>
        <v>0</v>
      </c>
      <c r="FW30" s="2097">
        <f t="shared" ca="1" si="47"/>
        <v>0</v>
      </c>
      <c r="FX30" s="2098">
        <f t="shared" ca="1" si="47"/>
        <v>0</v>
      </c>
      <c r="FY30" s="2098">
        <f t="shared" ca="1" si="47"/>
        <v>0</v>
      </c>
      <c r="FZ30" s="2099">
        <f t="shared" ca="1" si="47"/>
        <v>0</v>
      </c>
      <c r="GA30" s="2097">
        <f t="shared" ca="1" si="47"/>
        <v>0</v>
      </c>
      <c r="GB30" s="2098">
        <f t="shared" ca="1" si="47"/>
        <v>0</v>
      </c>
      <c r="GC30" s="2098">
        <f t="shared" ca="1" si="47"/>
        <v>0</v>
      </c>
      <c r="GD30" s="2099">
        <f t="shared" ca="1" si="47"/>
        <v>0</v>
      </c>
    </row>
    <row r="31" spans="1:186" ht="15" customHeight="1">
      <c r="B31" s="2064"/>
      <c r="C31" s="2064"/>
      <c r="D31" s="2064"/>
      <c r="E31" s="2064"/>
      <c r="F31" s="2064"/>
      <c r="G31" s="2064"/>
      <c r="H31" s="2064"/>
      <c r="I31" s="2064"/>
      <c r="J31" s="2064"/>
      <c r="K31" s="2064"/>
      <c r="L31" s="2064"/>
      <c r="M31" s="2064"/>
      <c r="N31" s="2064"/>
      <c r="O31" s="2064"/>
      <c r="P31" s="2064"/>
      <c r="Q31" s="2064"/>
      <c r="R31" s="2064"/>
      <c r="S31" s="2064"/>
      <c r="T31" s="2064"/>
      <c r="U31" s="2064"/>
      <c r="V31" s="2064"/>
      <c r="W31" s="2064"/>
      <c r="X31" s="2064"/>
      <c r="Y31" s="2064"/>
      <c r="Z31" s="2064"/>
      <c r="AA31" s="2064"/>
      <c r="AB31" s="2064"/>
      <c r="AC31" s="2064"/>
      <c r="AD31" s="2064"/>
      <c r="AE31" s="2064"/>
      <c r="AF31" s="2064"/>
      <c r="AG31" s="2064"/>
      <c r="AH31" s="2064"/>
      <c r="AI31" s="2064"/>
      <c r="AJ31" s="2064"/>
      <c r="AK31" s="2064"/>
      <c r="AL31" s="2064"/>
      <c r="AM31" s="2064"/>
      <c r="AN31" s="2064"/>
      <c r="AO31" s="2064"/>
      <c r="AP31" s="2064"/>
      <c r="AQ31" s="2064"/>
      <c r="AR31" s="2064"/>
      <c r="AS31" s="2064"/>
      <c r="AT31" s="2064"/>
      <c r="AU31" s="2064"/>
      <c r="AV31" s="2064"/>
      <c r="AW31" s="2064"/>
      <c r="AX31" s="2064"/>
      <c r="AY31" s="2064"/>
      <c r="AZ31" s="2064"/>
      <c r="BA31" s="2064"/>
      <c r="BB31" s="2064"/>
      <c r="BC31" s="2064"/>
      <c r="BD31" s="2064"/>
      <c r="BE31" s="2064"/>
      <c r="BF31" s="2064"/>
      <c r="BG31" s="2064"/>
      <c r="BH31" s="2064"/>
      <c r="BI31" s="2064"/>
      <c r="BJ31" s="2064"/>
      <c r="BK31" s="2064"/>
      <c r="BL31" s="2064"/>
      <c r="BM31" s="2064"/>
      <c r="BN31" s="2064"/>
      <c r="BO31" s="2064"/>
      <c r="BP31" s="2064"/>
      <c r="BQ31" s="2064"/>
      <c r="BR31" s="2064"/>
      <c r="BS31" s="2064"/>
      <c r="BT31" s="2064"/>
      <c r="BU31" s="2064"/>
      <c r="BV31" s="2064"/>
      <c r="BW31" s="2064"/>
      <c r="BX31" s="2064"/>
      <c r="BY31" s="2064"/>
      <c r="BZ31" s="2064"/>
      <c r="CA31" s="2064"/>
      <c r="CB31" s="2064"/>
      <c r="CC31" s="2064"/>
      <c r="CD31" s="2064"/>
      <c r="CE31" s="2064"/>
      <c r="CF31" s="2064"/>
      <c r="CG31" s="2064"/>
      <c r="CH31" s="2064"/>
      <c r="CI31" s="2064"/>
      <c r="CJ31" s="2064"/>
      <c r="CK31" s="2064"/>
      <c r="CL31" s="2064"/>
      <c r="CM31" s="2064"/>
      <c r="CN31" s="2064"/>
      <c r="CO31" s="2064"/>
      <c r="CP31" s="2064"/>
      <c r="CQ31" s="2064"/>
      <c r="CR31" s="2064"/>
      <c r="CS31" s="2064"/>
      <c r="CT31" s="2064"/>
      <c r="CU31" s="2064"/>
      <c r="CV31" s="2064"/>
      <c r="CW31" s="2064"/>
      <c r="CX31" s="2064"/>
      <c r="CY31" s="2064"/>
      <c r="CZ31" s="2064"/>
      <c r="DA31" s="2064"/>
      <c r="DB31" s="2064"/>
      <c r="DC31" s="2064"/>
      <c r="DD31" s="2064"/>
      <c r="DE31" s="2064"/>
      <c r="DF31" s="2064"/>
      <c r="DG31" s="2064"/>
      <c r="DH31" s="2064"/>
      <c r="DI31" s="2064"/>
      <c r="DJ31" s="2064"/>
      <c r="DK31" s="2064"/>
      <c r="DL31" s="2064"/>
      <c r="DM31" s="2064"/>
      <c r="DN31" s="2064"/>
      <c r="DO31" s="2064"/>
      <c r="DP31" s="2064"/>
      <c r="DQ31" s="2064"/>
      <c r="DR31" s="2064"/>
      <c r="DS31" s="2064"/>
      <c r="DT31" s="2064"/>
      <c r="DU31" s="2064"/>
      <c r="DV31" s="2064"/>
      <c r="DW31" s="2064"/>
      <c r="DX31" s="2064"/>
      <c r="DY31" s="2064"/>
      <c r="DZ31" s="2064"/>
      <c r="EA31" s="2064"/>
      <c r="EB31" s="2064"/>
      <c r="EC31" s="2064"/>
      <c r="ED31" s="2064"/>
      <c r="EE31" s="2064"/>
      <c r="EF31" s="2064"/>
      <c r="EG31" s="2064"/>
      <c r="EH31" s="2064"/>
      <c r="EI31" s="2064"/>
      <c r="EJ31" s="2064"/>
      <c r="EK31" s="2064"/>
      <c r="EL31" s="2064"/>
      <c r="EM31" s="2064"/>
      <c r="EN31" s="2064"/>
      <c r="EO31" s="2064"/>
      <c r="EP31" s="2064"/>
      <c r="EQ31" s="2064"/>
      <c r="ER31" s="2064"/>
      <c r="ES31" s="2064"/>
      <c r="ET31" s="2064"/>
      <c r="EU31" s="2064"/>
      <c r="EV31" s="2064"/>
      <c r="EW31" s="2064"/>
      <c r="EX31" s="2064"/>
      <c r="EY31" s="2064"/>
      <c r="EZ31" s="2064"/>
      <c r="FA31" s="2064"/>
      <c r="FB31" s="2064"/>
      <c r="FC31" s="2064"/>
      <c r="FD31" s="2064"/>
      <c r="FE31" s="2064"/>
      <c r="FF31" s="2064"/>
      <c r="FG31" s="2064"/>
      <c r="FH31" s="2064"/>
      <c r="FI31" s="2064"/>
      <c r="FJ31" s="2064"/>
      <c r="FK31" s="2064"/>
      <c r="FL31" s="2064"/>
      <c r="FM31" s="2064"/>
      <c r="FN31" s="2064"/>
      <c r="FO31" s="2064"/>
      <c r="FP31" s="2064"/>
      <c r="FQ31" s="2064"/>
      <c r="FR31" s="2064"/>
      <c r="FS31" s="2064"/>
      <c r="FT31" s="2064"/>
      <c r="FU31" s="2064"/>
      <c r="FV31" s="2064"/>
      <c r="FW31" s="2064"/>
      <c r="FX31" s="2064"/>
      <c r="FY31" s="2064"/>
      <c r="FZ31" s="2064"/>
      <c r="GA31" s="2064"/>
      <c r="GB31" s="2064"/>
      <c r="GC31" s="2064"/>
      <c r="GD31" s="2064"/>
    </row>
    <row r="32" spans="1:186" s="414" customFormat="1" ht="15" customHeight="1">
      <c r="B32" s="2065">
        <v>3</v>
      </c>
      <c r="C32" s="2065" t="s">
        <v>3748</v>
      </c>
      <c r="D32" s="2065"/>
      <c r="E32" s="2065"/>
      <c r="F32" s="2066"/>
      <c r="G32" s="2066"/>
      <c r="H32" s="2066"/>
      <c r="I32" s="2066"/>
      <c r="J32" s="2066"/>
      <c r="K32" s="2066"/>
      <c r="L32" s="2066"/>
      <c r="M32" s="2066"/>
      <c r="N32" s="2066"/>
      <c r="O32" s="2066"/>
      <c r="P32" s="2066"/>
      <c r="Q32" s="2066"/>
      <c r="R32" s="2066"/>
      <c r="S32" s="2066"/>
      <c r="T32" s="2066"/>
      <c r="U32" s="2066"/>
      <c r="V32" s="2066"/>
      <c r="W32" s="2066"/>
      <c r="X32" s="2066"/>
      <c r="Y32" s="2066"/>
      <c r="Z32" s="2066"/>
      <c r="AA32" s="2066"/>
      <c r="AB32" s="2066"/>
      <c r="AC32" s="2066"/>
      <c r="AD32" s="2066"/>
      <c r="AE32" s="2066"/>
      <c r="AF32" s="2066"/>
      <c r="AG32" s="2066"/>
      <c r="AH32" s="2066"/>
      <c r="AI32" s="2066"/>
      <c r="AJ32" s="2066"/>
      <c r="AK32" s="2066"/>
      <c r="AL32" s="2066"/>
      <c r="AM32" s="2066"/>
      <c r="AN32" s="2066"/>
      <c r="AO32" s="2066"/>
      <c r="AP32" s="2066"/>
      <c r="AQ32" s="2066"/>
      <c r="AR32" s="2066"/>
      <c r="AS32" s="2066"/>
      <c r="AT32" s="2066"/>
      <c r="AU32" s="2066"/>
      <c r="AV32" s="2066"/>
      <c r="AW32" s="2066"/>
      <c r="AX32" s="2066"/>
      <c r="AY32" s="2066"/>
      <c r="AZ32" s="2066"/>
      <c r="BA32" s="2066"/>
      <c r="BB32" s="2066"/>
      <c r="BC32" s="2066"/>
      <c r="BD32" s="2066"/>
      <c r="BE32" s="2066"/>
      <c r="BF32" s="2066"/>
      <c r="BG32" s="2066"/>
      <c r="BH32" s="2066"/>
      <c r="BI32" s="2066"/>
      <c r="BJ32" s="2066"/>
      <c r="BK32" s="2066"/>
      <c r="BL32" s="2066"/>
      <c r="BM32" s="2066"/>
      <c r="BN32" s="2066"/>
      <c r="BO32" s="2066"/>
      <c r="BP32" s="2066"/>
      <c r="BQ32" s="2066"/>
      <c r="BR32" s="2066"/>
      <c r="BS32" s="2066"/>
      <c r="BT32" s="2066"/>
      <c r="BU32" s="2066"/>
      <c r="BV32" s="2066"/>
      <c r="BW32" s="2066"/>
      <c r="BX32" s="2066"/>
      <c r="BY32" s="2066"/>
      <c r="BZ32" s="2066"/>
      <c r="CA32" s="2066"/>
      <c r="CB32" s="2066"/>
      <c r="CC32" s="2066"/>
      <c r="CD32" s="2066"/>
      <c r="CE32" s="2066"/>
      <c r="CF32" s="2066"/>
      <c r="CG32" s="2066"/>
      <c r="CH32" s="2066"/>
      <c r="CI32" s="2066"/>
      <c r="CJ32" s="2066"/>
      <c r="CK32" s="2066"/>
      <c r="CL32" s="2066"/>
      <c r="CM32" s="2066"/>
      <c r="CN32" s="2066"/>
      <c r="CO32" s="2066"/>
      <c r="CP32" s="2066"/>
      <c r="CQ32" s="2066"/>
      <c r="CR32" s="2066"/>
      <c r="CS32" s="2066"/>
      <c r="CT32" s="2066"/>
      <c r="CU32" s="2066"/>
      <c r="CV32" s="2066"/>
      <c r="CW32" s="2066"/>
      <c r="CX32" s="2066"/>
      <c r="CY32" s="2066"/>
      <c r="CZ32" s="2066"/>
      <c r="DA32" s="2066"/>
      <c r="DB32" s="2066"/>
      <c r="DC32" s="2066"/>
      <c r="DD32" s="2066"/>
      <c r="DE32" s="2066"/>
      <c r="DF32" s="2066"/>
      <c r="DG32" s="2066"/>
      <c r="DH32" s="2066"/>
      <c r="DI32" s="2066"/>
      <c r="DJ32" s="2066"/>
      <c r="DK32" s="2066"/>
      <c r="DL32" s="2066"/>
      <c r="DM32" s="2066"/>
      <c r="DN32" s="2066"/>
      <c r="DO32" s="2066"/>
      <c r="DP32" s="2066"/>
      <c r="DQ32" s="2066"/>
      <c r="DR32" s="2066"/>
      <c r="DS32" s="2066"/>
      <c r="DT32" s="2066"/>
      <c r="DU32" s="2066"/>
      <c r="DV32" s="2066"/>
      <c r="DW32" s="2066"/>
      <c r="DX32" s="2066"/>
      <c r="DY32" s="2066"/>
      <c r="DZ32" s="2066"/>
      <c r="EA32" s="2066"/>
      <c r="EB32" s="2066"/>
      <c r="EC32" s="2066"/>
      <c r="ED32" s="2066"/>
      <c r="EE32" s="2066"/>
      <c r="EF32" s="2066"/>
      <c r="EG32" s="2066"/>
      <c r="EH32" s="2066"/>
      <c r="EI32" s="2066"/>
      <c r="EJ32" s="2066"/>
      <c r="EK32" s="2066"/>
      <c r="EL32" s="2066"/>
      <c r="EM32" s="2066"/>
      <c r="EN32" s="2066"/>
      <c r="EO32" s="2066"/>
      <c r="EP32" s="2066"/>
      <c r="EQ32" s="2066"/>
      <c r="ER32" s="2066"/>
      <c r="ES32" s="2066"/>
      <c r="ET32" s="2066"/>
      <c r="EU32" s="2066"/>
      <c r="EV32" s="2066"/>
      <c r="EW32" s="2066"/>
      <c r="EX32" s="2066"/>
      <c r="EY32" s="2066"/>
      <c r="EZ32" s="2066"/>
      <c r="FA32" s="2066"/>
      <c r="FB32" s="2066"/>
      <c r="FC32" s="2066"/>
      <c r="FD32" s="2066"/>
      <c r="FE32" s="2066"/>
      <c r="FF32" s="2066"/>
      <c r="FG32" s="2066"/>
      <c r="FH32" s="2066"/>
      <c r="FI32" s="2066"/>
      <c r="FJ32" s="2066"/>
      <c r="FK32" s="2066"/>
      <c r="FL32" s="2066"/>
      <c r="FM32" s="2066"/>
      <c r="FN32" s="2066"/>
      <c r="FO32" s="2066"/>
      <c r="FP32" s="2066"/>
      <c r="FQ32" s="2066"/>
      <c r="FR32" s="2066"/>
      <c r="FS32" s="2066"/>
      <c r="FT32" s="2066"/>
      <c r="FU32" s="2066"/>
      <c r="FV32" s="2066"/>
      <c r="FW32" s="2066"/>
      <c r="FX32" s="2066"/>
      <c r="FY32" s="2066"/>
      <c r="FZ32" s="2066"/>
      <c r="GA32" s="2066"/>
      <c r="GB32" s="2066"/>
      <c r="GC32" s="2066"/>
      <c r="GD32" s="2066"/>
    </row>
    <row r="33" spans="2:186" ht="15" customHeight="1">
      <c r="B33" s="2085"/>
      <c r="C33" s="2067" t="s">
        <v>1261</v>
      </c>
      <c r="D33" s="2068"/>
      <c r="E33" s="2068" t="s">
        <v>238</v>
      </c>
      <c r="F33" s="2086">
        <f t="shared" ref="F33:F35" ca="1" si="48">SUM(G33:GD33)</f>
        <v>284.44079647500007</v>
      </c>
      <c r="G33" s="2087">
        <f>'CF(Q)'!W22</f>
        <v>15.923049670000001</v>
      </c>
      <c r="H33" s="2088">
        <f>'CF(Q)'!X22</f>
        <v>15.385170599999999</v>
      </c>
      <c r="I33" s="2088">
        <f>'CF(Q)'!Y22</f>
        <v>14.6190088</v>
      </c>
      <c r="J33" s="2089">
        <f>'CF(Q)'!Z22</f>
        <v>13.628099779999999</v>
      </c>
      <c r="K33" s="2087">
        <f>'CF(Q)'!AA22</f>
        <v>12.946565509999999</v>
      </c>
      <c r="L33" s="2088">
        <f>'CF(Q)'!AB22</f>
        <v>12.369336519999999</v>
      </c>
      <c r="M33" s="2088">
        <f>'CF(Q)'!AC22</f>
        <v>12.17841821</v>
      </c>
      <c r="N33" s="2089">
        <f>'CF(Q)'!AD22</f>
        <v>11.870227999999999</v>
      </c>
      <c r="O33" s="2087">
        <f>'CF(Q)'!AE22</f>
        <v>11.65615873</v>
      </c>
      <c r="P33" s="2088">
        <f>'CF(Q)'!AF22</f>
        <v>11.599185670000001</v>
      </c>
      <c r="Q33" s="2088">
        <f>'CF(Q)'!AG22</f>
        <v>10.719295369999999</v>
      </c>
      <c r="R33" s="2089">
        <f>'CF(Q)'!AH22</f>
        <v>10.11149168</v>
      </c>
      <c r="S33" s="2087">
        <f ca="1">'CF(Q)'!AI22</f>
        <v>10.624165749999998</v>
      </c>
      <c r="T33" s="2088">
        <f ca="1">'CF(Q)'!AJ22</f>
        <v>10.189960714999998</v>
      </c>
      <c r="U33" s="2088">
        <f ca="1">'CF(Q)'!AK22</f>
        <v>9.7557556799999983</v>
      </c>
      <c r="V33" s="2089">
        <f ca="1">'CF(Q)'!AL22</f>
        <v>9.3123122399999989</v>
      </c>
      <c r="W33" s="2087">
        <f ca="1">'CF(Q)'!AM22</f>
        <v>8.8596303949999999</v>
      </c>
      <c r="X33" s="2088">
        <f ca="1">'CF(Q)'!AN22</f>
        <v>8.4069485499999992</v>
      </c>
      <c r="Y33" s="2088">
        <f ca="1">'CF(Q)'!AO22</f>
        <v>7.9542667049999984</v>
      </c>
      <c r="Z33" s="2089">
        <f ca="1">'CF(Q)'!AP22</f>
        <v>7.4923464549999981</v>
      </c>
      <c r="AA33" s="2087">
        <f ca="1">'CF(Q)'!AQ22</f>
        <v>7.0211877999999972</v>
      </c>
      <c r="AB33" s="2088">
        <f ca="1">'CF(Q)'!AR22</f>
        <v>6.5962211699999989</v>
      </c>
      <c r="AC33" s="2088">
        <f ca="1">'CF(Q)'!AS22</f>
        <v>6.1620161349999982</v>
      </c>
      <c r="AD33" s="2089">
        <f ca="1">'CF(Q)'!AT22</f>
        <v>5.6723806699999981</v>
      </c>
      <c r="AE33" s="2087">
        <f ca="1">'CF(Q)'!AU22</f>
        <v>5.1735067999999984</v>
      </c>
      <c r="AF33" s="2088">
        <f ca="1">'CF(Q)'!AV22</f>
        <v>4.5914872849999986</v>
      </c>
      <c r="AG33" s="2088">
        <f ca="1">'CF(Q)'!AW22</f>
        <v>4.0094677699999988</v>
      </c>
      <c r="AH33" s="2089">
        <f ca="1">'CF(Q)'!AX22</f>
        <v>3.4182098499999989</v>
      </c>
      <c r="AI33" s="2087">
        <f ca="1">'CF(Q)'!AY22</f>
        <v>2.8177135249999989</v>
      </c>
      <c r="AJ33" s="2088">
        <f ca="1">'CF(Q)'!AZ22</f>
        <v>2.4481773249999987</v>
      </c>
      <c r="AK33" s="2088">
        <f ca="1">'CF(Q)'!BA22</f>
        <v>2.0232106949999991</v>
      </c>
      <c r="AL33" s="2089">
        <f ca="1">'CF(Q)'!BB22</f>
        <v>1.5890056599999991</v>
      </c>
      <c r="AM33" s="2087">
        <f ca="1">'CF(Q)'!BC22</f>
        <v>1.2194694599999989</v>
      </c>
      <c r="AN33" s="2088">
        <f ca="1">'CF(Q)'!BD22</f>
        <v>1.1086085999999991</v>
      </c>
      <c r="AO33" s="2088">
        <f ca="1">'CF(Q)'!BE22</f>
        <v>0.99774773999999911</v>
      </c>
      <c r="AP33" s="2089">
        <f ca="1">'CF(Q)'!BF22</f>
        <v>0.88688687999999893</v>
      </c>
      <c r="AQ33" s="2087">
        <f ca="1">'CF(Q)'!BG22</f>
        <v>0.77602601999999898</v>
      </c>
      <c r="AR33" s="2088">
        <f ca="1">'CF(Q)'!BH22</f>
        <v>0.6651651599999987</v>
      </c>
      <c r="AS33" s="2088">
        <f ca="1">'CF(Q)'!BI22</f>
        <v>0.55430429999999886</v>
      </c>
      <c r="AT33" s="2089">
        <f ca="1">'CF(Q)'!BJ22</f>
        <v>0.4434434399999988</v>
      </c>
      <c r="AU33" s="2087">
        <f ca="1">'CF(Q)'!BK22</f>
        <v>0.3325825799999988</v>
      </c>
      <c r="AV33" s="2088">
        <f ca="1">'CF(Q)'!BL22</f>
        <v>0.22172171999999882</v>
      </c>
      <c r="AW33" s="2088">
        <f ca="1">'CF(Q)'!BM22</f>
        <v>0.11086085999999881</v>
      </c>
      <c r="AX33" s="2089">
        <f ca="1">'CF(Q)'!BN22</f>
        <v>0</v>
      </c>
      <c r="AY33" s="2087">
        <f ca="1">'CF(Q)'!BO22</f>
        <v>0</v>
      </c>
      <c r="AZ33" s="2088">
        <f ca="1">'CF(Q)'!BP22</f>
        <v>0</v>
      </c>
      <c r="BA33" s="2088">
        <f ca="1">'CF(Q)'!BQ22</f>
        <v>0</v>
      </c>
      <c r="BB33" s="2089">
        <f ca="1">'CF(Q)'!BR22</f>
        <v>0</v>
      </c>
      <c r="BC33" s="2087">
        <f ca="1">'CF(Q)'!BS22</f>
        <v>0</v>
      </c>
      <c r="BD33" s="2088">
        <f ca="1">'CF(Q)'!BT22</f>
        <v>0</v>
      </c>
      <c r="BE33" s="2088">
        <f ca="1">'CF(Q)'!BU22</f>
        <v>0</v>
      </c>
      <c r="BF33" s="2089">
        <f ca="1">'CF(Q)'!BV22</f>
        <v>0</v>
      </c>
      <c r="BG33" s="2087">
        <f ca="1">'CF(Q)'!BW22</f>
        <v>0</v>
      </c>
      <c r="BH33" s="2088">
        <f ca="1">'CF(Q)'!BX22</f>
        <v>0</v>
      </c>
      <c r="BI33" s="2088">
        <f ca="1">'CF(Q)'!BY22</f>
        <v>0</v>
      </c>
      <c r="BJ33" s="2089">
        <f ca="1">'CF(Q)'!BZ22</f>
        <v>0</v>
      </c>
      <c r="BK33" s="2087">
        <f ca="1">'CF(Q)'!CA22</f>
        <v>0</v>
      </c>
      <c r="BL33" s="2088">
        <f ca="1">'CF(Q)'!CB22</f>
        <v>0</v>
      </c>
      <c r="BM33" s="2088">
        <f ca="1">'CF(Q)'!CC22</f>
        <v>0</v>
      </c>
      <c r="BN33" s="2089">
        <f ca="1">'CF(Q)'!CD22</f>
        <v>0</v>
      </c>
      <c r="BO33" s="2087">
        <f ca="1">'CF(Q)'!CE22</f>
        <v>0</v>
      </c>
      <c r="BP33" s="2088">
        <f ca="1">'CF(Q)'!CF22</f>
        <v>0</v>
      </c>
      <c r="BQ33" s="2088">
        <f ca="1">'CF(Q)'!CG22</f>
        <v>0</v>
      </c>
      <c r="BR33" s="2089">
        <f ca="1">'CF(Q)'!CH22</f>
        <v>0</v>
      </c>
      <c r="BS33" s="2087">
        <f ca="1">'CF(Q)'!CI22</f>
        <v>0</v>
      </c>
      <c r="BT33" s="2088">
        <f ca="1">'CF(Q)'!CJ22</f>
        <v>0</v>
      </c>
      <c r="BU33" s="2088">
        <f ca="1">'CF(Q)'!CK22</f>
        <v>0</v>
      </c>
      <c r="BV33" s="2089">
        <f ca="1">'CF(Q)'!CL22</f>
        <v>0</v>
      </c>
      <c r="BW33" s="2087">
        <f ca="1">'CF(Q)'!CM22</f>
        <v>0</v>
      </c>
      <c r="BX33" s="2088">
        <f ca="1">'CF(Q)'!CN22</f>
        <v>0</v>
      </c>
      <c r="BY33" s="2088">
        <f ca="1">'CF(Q)'!CO22</f>
        <v>0</v>
      </c>
      <c r="BZ33" s="2089">
        <f ca="1">'CF(Q)'!CP22</f>
        <v>0</v>
      </c>
      <c r="CA33" s="2087">
        <f ca="1">'CF(Q)'!CQ22</f>
        <v>0</v>
      </c>
      <c r="CB33" s="2088">
        <f ca="1">'CF(Q)'!CR22</f>
        <v>0</v>
      </c>
      <c r="CC33" s="2088">
        <f ca="1">'CF(Q)'!CS22</f>
        <v>0</v>
      </c>
      <c r="CD33" s="2089">
        <f ca="1">'CF(Q)'!CT22</f>
        <v>0</v>
      </c>
      <c r="CE33" s="2087">
        <f ca="1">'CF(Q)'!CU22</f>
        <v>0</v>
      </c>
      <c r="CF33" s="2088">
        <f ca="1">'CF(Q)'!CV22</f>
        <v>0</v>
      </c>
      <c r="CG33" s="2088">
        <f ca="1">'CF(Q)'!CW22</f>
        <v>0</v>
      </c>
      <c r="CH33" s="2089">
        <f ca="1">'CF(Q)'!CX22</f>
        <v>0</v>
      </c>
      <c r="CI33" s="2087">
        <f ca="1">'CF(Q)'!CY22</f>
        <v>0</v>
      </c>
      <c r="CJ33" s="2088">
        <f ca="1">'CF(Q)'!CZ22</f>
        <v>0</v>
      </c>
      <c r="CK33" s="2088">
        <f ca="1">'CF(Q)'!DA22</f>
        <v>0</v>
      </c>
      <c r="CL33" s="2089">
        <f ca="1">'CF(Q)'!DB22</f>
        <v>0</v>
      </c>
      <c r="CM33" s="2087">
        <f ca="1">'CF(Q)'!DC22</f>
        <v>0</v>
      </c>
      <c r="CN33" s="2088">
        <f ca="1">'CF(Q)'!DD22</f>
        <v>0</v>
      </c>
      <c r="CO33" s="2088">
        <f ca="1">'CF(Q)'!DE22</f>
        <v>0</v>
      </c>
      <c r="CP33" s="2089">
        <f ca="1">'CF(Q)'!DF22</f>
        <v>0</v>
      </c>
      <c r="CQ33" s="2087">
        <f ca="1">'CF(Q)'!DG22</f>
        <v>0</v>
      </c>
      <c r="CR33" s="2088">
        <f ca="1">'CF(Q)'!DH22</f>
        <v>0</v>
      </c>
      <c r="CS33" s="2088">
        <f ca="1">'CF(Q)'!DI22</f>
        <v>0</v>
      </c>
      <c r="CT33" s="2089">
        <f ca="1">'CF(Q)'!DJ22</f>
        <v>0</v>
      </c>
      <c r="CU33" s="2087">
        <f ca="1">'CF(Q)'!DK22</f>
        <v>0</v>
      </c>
      <c r="CV33" s="2088">
        <f ca="1">'CF(Q)'!DL22</f>
        <v>0</v>
      </c>
      <c r="CW33" s="2088">
        <f ca="1">'CF(Q)'!DM22</f>
        <v>0</v>
      </c>
      <c r="CX33" s="2089">
        <f ca="1">'CF(Q)'!DN22</f>
        <v>0</v>
      </c>
      <c r="CY33" s="2087">
        <f ca="1">'CF(Q)'!DO22</f>
        <v>0</v>
      </c>
      <c r="CZ33" s="2088">
        <f ca="1">'CF(Q)'!DP22</f>
        <v>0</v>
      </c>
      <c r="DA33" s="2088">
        <f ca="1">'CF(Q)'!DQ22</f>
        <v>0</v>
      </c>
      <c r="DB33" s="2089">
        <f ca="1">'CF(Q)'!DR22</f>
        <v>0</v>
      </c>
      <c r="DC33" s="2087">
        <f ca="1">'CF(Q)'!DS22</f>
        <v>0</v>
      </c>
      <c r="DD33" s="2088">
        <f ca="1">'CF(Q)'!DT22</f>
        <v>0</v>
      </c>
      <c r="DE33" s="2088">
        <f ca="1">'CF(Q)'!DU22</f>
        <v>0</v>
      </c>
      <c r="DF33" s="2089">
        <f ca="1">'CF(Q)'!DV22</f>
        <v>0</v>
      </c>
      <c r="DG33" s="2087">
        <f ca="1">'CF(Q)'!DW22</f>
        <v>0</v>
      </c>
      <c r="DH33" s="2088">
        <f ca="1">'CF(Q)'!DX22</f>
        <v>0</v>
      </c>
      <c r="DI33" s="2088">
        <f ca="1">'CF(Q)'!DY22</f>
        <v>0</v>
      </c>
      <c r="DJ33" s="2089">
        <f ca="1">'CF(Q)'!DZ22</f>
        <v>0</v>
      </c>
      <c r="DK33" s="2087">
        <f ca="1">'CF(Q)'!EA22</f>
        <v>0</v>
      </c>
      <c r="DL33" s="2088">
        <f ca="1">'CF(Q)'!EB22</f>
        <v>0</v>
      </c>
      <c r="DM33" s="2088">
        <f ca="1">'CF(Q)'!EC22</f>
        <v>0</v>
      </c>
      <c r="DN33" s="2089">
        <f ca="1">'CF(Q)'!ED22</f>
        <v>0</v>
      </c>
      <c r="DO33" s="2087">
        <f ca="1">'CF(Q)'!EE22</f>
        <v>0</v>
      </c>
      <c r="DP33" s="2088">
        <f ca="1">'CF(Q)'!EF22</f>
        <v>0</v>
      </c>
      <c r="DQ33" s="2088">
        <f ca="1">'CF(Q)'!EG22</f>
        <v>0</v>
      </c>
      <c r="DR33" s="2089">
        <f ca="1">'CF(Q)'!EH22</f>
        <v>0</v>
      </c>
      <c r="DS33" s="2087">
        <f ca="1">'CF(Q)'!EI22</f>
        <v>0</v>
      </c>
      <c r="DT33" s="2088">
        <f ca="1">'CF(Q)'!EJ22</f>
        <v>0</v>
      </c>
      <c r="DU33" s="2088">
        <f ca="1">'CF(Q)'!EK22</f>
        <v>0</v>
      </c>
      <c r="DV33" s="2089">
        <f ca="1">'CF(Q)'!EL22</f>
        <v>0</v>
      </c>
      <c r="DW33" s="2087">
        <f ca="1">'CF(Q)'!EM22</f>
        <v>0</v>
      </c>
      <c r="DX33" s="2088">
        <f ca="1">'CF(Q)'!EN22</f>
        <v>0</v>
      </c>
      <c r="DY33" s="2088">
        <f ca="1">'CF(Q)'!EO22</f>
        <v>0</v>
      </c>
      <c r="DZ33" s="2089">
        <f ca="1">'CF(Q)'!EP22</f>
        <v>0</v>
      </c>
      <c r="EA33" s="2087">
        <f ca="1">'CF(Q)'!EQ22</f>
        <v>0</v>
      </c>
      <c r="EB33" s="2088">
        <f ca="1">'CF(Q)'!ER22</f>
        <v>0</v>
      </c>
      <c r="EC33" s="2088">
        <f ca="1">'CF(Q)'!ES22</f>
        <v>0</v>
      </c>
      <c r="ED33" s="2089">
        <f ca="1">'CF(Q)'!ET22</f>
        <v>0</v>
      </c>
      <c r="EE33" s="2087">
        <f ca="1">'CF(Q)'!EU22</f>
        <v>0</v>
      </c>
      <c r="EF33" s="2088">
        <f ca="1">'CF(Q)'!EV22</f>
        <v>0</v>
      </c>
      <c r="EG33" s="2088">
        <f ca="1">'CF(Q)'!EW22</f>
        <v>0</v>
      </c>
      <c r="EH33" s="2089">
        <f ca="1">'CF(Q)'!EX22</f>
        <v>0</v>
      </c>
      <c r="EI33" s="2087">
        <f ca="1">'CF(Q)'!EY22</f>
        <v>0</v>
      </c>
      <c r="EJ33" s="2088">
        <f ca="1">'CF(Q)'!EZ22</f>
        <v>0</v>
      </c>
      <c r="EK33" s="2088">
        <f ca="1">'CF(Q)'!FA22</f>
        <v>0</v>
      </c>
      <c r="EL33" s="2089">
        <f ca="1">'CF(Q)'!FB22</f>
        <v>0</v>
      </c>
      <c r="EM33" s="2087">
        <f ca="1">'CF(Q)'!FC22</f>
        <v>0</v>
      </c>
      <c r="EN33" s="2088">
        <f ca="1">'CF(Q)'!FD22</f>
        <v>0</v>
      </c>
      <c r="EO33" s="2088">
        <f ca="1">'CF(Q)'!FE22</f>
        <v>0</v>
      </c>
      <c r="EP33" s="2089">
        <f ca="1">'CF(Q)'!FF22</f>
        <v>0</v>
      </c>
      <c r="EQ33" s="2087">
        <f ca="1">'CF(Q)'!FG22</f>
        <v>0</v>
      </c>
      <c r="ER33" s="2088">
        <f ca="1">'CF(Q)'!FH22</f>
        <v>0</v>
      </c>
      <c r="ES33" s="2088">
        <f ca="1">'CF(Q)'!FI22</f>
        <v>0</v>
      </c>
      <c r="ET33" s="2089">
        <f ca="1">'CF(Q)'!FJ22</f>
        <v>0</v>
      </c>
      <c r="EU33" s="2087">
        <f ca="1">'CF(Q)'!FK22</f>
        <v>0</v>
      </c>
      <c r="EV33" s="2088">
        <f ca="1">'CF(Q)'!FL22</f>
        <v>0</v>
      </c>
      <c r="EW33" s="2088">
        <f ca="1">'CF(Q)'!FM22</f>
        <v>0</v>
      </c>
      <c r="EX33" s="2089">
        <f ca="1">'CF(Q)'!FN22</f>
        <v>0</v>
      </c>
      <c r="EY33" s="2087">
        <f ca="1">'CF(Q)'!FO22</f>
        <v>0</v>
      </c>
      <c r="EZ33" s="2088">
        <f ca="1">'CF(Q)'!FP22</f>
        <v>0</v>
      </c>
      <c r="FA33" s="2088">
        <f ca="1">'CF(Q)'!FQ22</f>
        <v>0</v>
      </c>
      <c r="FB33" s="2089">
        <f ca="1">'CF(Q)'!FR22</f>
        <v>0</v>
      </c>
      <c r="FC33" s="2087">
        <f ca="1">'CF(Q)'!FS22</f>
        <v>0</v>
      </c>
      <c r="FD33" s="2088">
        <f ca="1">'CF(Q)'!FT22</f>
        <v>0</v>
      </c>
      <c r="FE33" s="2088">
        <f ca="1">'CF(Q)'!FU22</f>
        <v>0</v>
      </c>
      <c r="FF33" s="2089">
        <f ca="1">'CF(Q)'!FV22</f>
        <v>0</v>
      </c>
      <c r="FG33" s="2087">
        <f ca="1">'CF(Q)'!FW22</f>
        <v>0</v>
      </c>
      <c r="FH33" s="2088">
        <f ca="1">'CF(Q)'!FX22</f>
        <v>0</v>
      </c>
      <c r="FI33" s="2088">
        <f ca="1">'CF(Q)'!FY22</f>
        <v>0</v>
      </c>
      <c r="FJ33" s="2089">
        <f ca="1">'CF(Q)'!FZ22</f>
        <v>0</v>
      </c>
      <c r="FK33" s="2087">
        <f ca="1">'CF(Q)'!GA22</f>
        <v>0</v>
      </c>
      <c r="FL33" s="2088">
        <f ca="1">'CF(Q)'!GB22</f>
        <v>0</v>
      </c>
      <c r="FM33" s="2088">
        <f ca="1">'CF(Q)'!GC22</f>
        <v>0</v>
      </c>
      <c r="FN33" s="2089">
        <f ca="1">'CF(Q)'!GD22</f>
        <v>0</v>
      </c>
      <c r="FO33" s="2087">
        <f>'CF(Q)'!GE22</f>
        <v>0</v>
      </c>
      <c r="FP33" s="2088">
        <f>'CF(Q)'!GF22</f>
        <v>0</v>
      </c>
      <c r="FQ33" s="2088">
        <f>'CF(Q)'!GG22</f>
        <v>0</v>
      </c>
      <c r="FR33" s="2089">
        <f>'CF(Q)'!GH22</f>
        <v>0</v>
      </c>
      <c r="FS33" s="2087">
        <f>'CF(Q)'!GI22</f>
        <v>0</v>
      </c>
      <c r="FT33" s="2088">
        <f>'CF(Q)'!GJ22</f>
        <v>0</v>
      </c>
      <c r="FU33" s="2088">
        <f>'CF(Q)'!GK22</f>
        <v>0</v>
      </c>
      <c r="FV33" s="2089">
        <f>'CF(Q)'!GL22</f>
        <v>0</v>
      </c>
      <c r="FW33" s="2087">
        <f>'CF(Q)'!GM22</f>
        <v>0</v>
      </c>
      <c r="FX33" s="2088">
        <f>'CF(Q)'!GN22</f>
        <v>0</v>
      </c>
      <c r="FY33" s="2088">
        <f>'CF(Q)'!GO22</f>
        <v>0</v>
      </c>
      <c r="FZ33" s="2089">
        <f>'CF(Q)'!GP22</f>
        <v>0</v>
      </c>
      <c r="GA33" s="2087">
        <f>'CF(Q)'!GQ22</f>
        <v>0</v>
      </c>
      <c r="GB33" s="2088">
        <f>'CF(Q)'!GR22</f>
        <v>0</v>
      </c>
      <c r="GC33" s="2088">
        <f>'CF(Q)'!GS22</f>
        <v>0</v>
      </c>
      <c r="GD33" s="2089">
        <f>'CF(Q)'!GT22</f>
        <v>0</v>
      </c>
    </row>
    <row r="34" spans="2:186" ht="15" customHeight="1">
      <c r="B34" s="2085"/>
      <c r="C34" s="2067" t="str">
        <f>C33</f>
        <v>기존차입금</v>
      </c>
      <c r="D34" s="2068"/>
      <c r="E34" s="2068" t="s">
        <v>241</v>
      </c>
      <c r="F34" s="2086">
        <f t="shared" si="48"/>
        <v>1423.4598599999995</v>
      </c>
      <c r="G34" s="2087">
        <f>'CF(Q)'!W41</f>
        <v>33.2196</v>
      </c>
      <c r="H34" s="2088">
        <f>'CF(Q)'!X41</f>
        <v>33.2196</v>
      </c>
      <c r="I34" s="2088">
        <f>'CF(Q)'!Y41</f>
        <v>33.2196</v>
      </c>
      <c r="J34" s="2089">
        <f>'CF(Q)'!Z41</f>
        <v>34.880579999999995</v>
      </c>
      <c r="K34" s="2087">
        <f>'CF(Q)'!AA41</f>
        <v>39.033029999999997</v>
      </c>
      <c r="L34" s="2088">
        <f>'CF(Q)'!AB41</f>
        <v>39.863520000000001</v>
      </c>
      <c r="M34" s="2088">
        <f>'CF(Q)'!AC41</f>
        <v>40.694009999999999</v>
      </c>
      <c r="N34" s="2089">
        <f>'CF(Q)'!AD41</f>
        <v>41.524500000000003</v>
      </c>
      <c r="O34" s="2087">
        <f>'CF(Q)'!AE41</f>
        <v>42.354990000000001</v>
      </c>
      <c r="P34" s="2088">
        <f>'CF(Q)'!AF41</f>
        <v>43.185479999999998</v>
      </c>
      <c r="Q34" s="2088">
        <f>'CF(Q)'!AG41</f>
        <v>43.185479999999998</v>
      </c>
      <c r="R34" s="2089">
        <f>'CF(Q)'!AH41</f>
        <v>44.015969999999996</v>
      </c>
      <c r="S34" s="2087">
        <f>'CF(Q)'!AI41</f>
        <v>39.033029999999997</v>
      </c>
      <c r="T34" s="2088">
        <f>'CF(Q)'!AJ41</f>
        <v>39.033029999999997</v>
      </c>
      <c r="U34" s="2088">
        <f>'CF(Q)'!AK41</f>
        <v>39.863520000000001</v>
      </c>
      <c r="V34" s="2089">
        <f>'CF(Q)'!AL41</f>
        <v>40.694009999999999</v>
      </c>
      <c r="W34" s="2087">
        <f>'CF(Q)'!AM41</f>
        <v>40.694009999999999</v>
      </c>
      <c r="X34" s="2088">
        <f>'CF(Q)'!AN41</f>
        <v>40.694009999999999</v>
      </c>
      <c r="Y34" s="2088">
        <f>'CF(Q)'!AO41</f>
        <v>41.524500000000003</v>
      </c>
      <c r="Z34" s="2089">
        <f>'CF(Q)'!AP41</f>
        <v>42.354990000000001</v>
      </c>
      <c r="AA34" s="2087">
        <f>'CF(Q)'!AQ41</f>
        <v>38.202539999999999</v>
      </c>
      <c r="AB34" s="2088">
        <f>'CF(Q)'!AR41</f>
        <v>39.033029999999997</v>
      </c>
      <c r="AC34" s="2088">
        <f>'CF(Q)'!AS41</f>
        <v>44.015969999999996</v>
      </c>
      <c r="AD34" s="2089">
        <f>'CF(Q)'!AT41</f>
        <v>44.846459999999993</v>
      </c>
      <c r="AE34" s="2087">
        <f>'CF(Q)'!AU41</f>
        <v>52.320869999999999</v>
      </c>
      <c r="AF34" s="2088">
        <f>'CF(Q)'!AV41</f>
        <v>52.320869999999999</v>
      </c>
      <c r="AG34" s="2088">
        <f>'CF(Q)'!AW41</f>
        <v>53.151359999999997</v>
      </c>
      <c r="AH34" s="2089">
        <f>'CF(Q)'!AX41</f>
        <v>53.981850000000001</v>
      </c>
      <c r="AI34" s="2087">
        <f>'CF(Q)'!AY41</f>
        <v>33.2196</v>
      </c>
      <c r="AJ34" s="2088">
        <f>'CF(Q)'!AZ41</f>
        <v>38.202539999999999</v>
      </c>
      <c r="AK34" s="2088">
        <f>'CF(Q)'!BA41</f>
        <v>39.033029999999997</v>
      </c>
      <c r="AL34" s="2089">
        <f>'CF(Q)'!BB41</f>
        <v>33.2196</v>
      </c>
      <c r="AM34" s="2087">
        <f>'CF(Q)'!BC41</f>
        <v>9.9658800000000003</v>
      </c>
      <c r="AN34" s="2088">
        <f>'CF(Q)'!BD41</f>
        <v>9.9658800000000003</v>
      </c>
      <c r="AO34" s="2088">
        <f>'CF(Q)'!BE41</f>
        <v>9.9658800000000003</v>
      </c>
      <c r="AP34" s="2089">
        <f>'CF(Q)'!BF41</f>
        <v>9.9658800000000003</v>
      </c>
      <c r="AQ34" s="2087">
        <f>'CF(Q)'!BG41</f>
        <v>9.9658800000000003</v>
      </c>
      <c r="AR34" s="2088">
        <f>'CF(Q)'!BH41</f>
        <v>9.9658800000000003</v>
      </c>
      <c r="AS34" s="2088">
        <f>'CF(Q)'!BI41</f>
        <v>9.9658800000000003</v>
      </c>
      <c r="AT34" s="2089">
        <f>'CF(Q)'!BJ41</f>
        <v>9.9658800000000003</v>
      </c>
      <c r="AU34" s="2087">
        <f>'CF(Q)'!BK41</f>
        <v>9.9658800000000003</v>
      </c>
      <c r="AV34" s="2088">
        <f>'CF(Q)'!BL41</f>
        <v>9.9658800000000003</v>
      </c>
      <c r="AW34" s="2088">
        <f>'CF(Q)'!BM41</f>
        <v>9.9658799999998866</v>
      </c>
      <c r="AX34" s="2089">
        <f>'CF(Q)'!BN41</f>
        <v>0</v>
      </c>
      <c r="AY34" s="2087">
        <f>'CF(Q)'!BO41</f>
        <v>0</v>
      </c>
      <c r="AZ34" s="2088">
        <f>'CF(Q)'!BP41</f>
        <v>0</v>
      </c>
      <c r="BA34" s="2088">
        <f>'CF(Q)'!BQ41</f>
        <v>0</v>
      </c>
      <c r="BB34" s="2089">
        <f>'CF(Q)'!BR41</f>
        <v>0</v>
      </c>
      <c r="BC34" s="2087">
        <f>'CF(Q)'!BS41</f>
        <v>0</v>
      </c>
      <c r="BD34" s="2088">
        <f>'CF(Q)'!BT41</f>
        <v>0</v>
      </c>
      <c r="BE34" s="2088">
        <f>'CF(Q)'!BU41</f>
        <v>0</v>
      </c>
      <c r="BF34" s="2089">
        <f>'CF(Q)'!BV41</f>
        <v>0</v>
      </c>
      <c r="BG34" s="2087">
        <f>'CF(Q)'!BW41</f>
        <v>0</v>
      </c>
      <c r="BH34" s="2088">
        <f>'CF(Q)'!BX41</f>
        <v>0</v>
      </c>
      <c r="BI34" s="2088">
        <f>'CF(Q)'!BY41</f>
        <v>0</v>
      </c>
      <c r="BJ34" s="2089">
        <f>'CF(Q)'!BZ41</f>
        <v>0</v>
      </c>
      <c r="BK34" s="2087">
        <f>'CF(Q)'!CA41</f>
        <v>0</v>
      </c>
      <c r="BL34" s="2088">
        <f>'CF(Q)'!CB41</f>
        <v>0</v>
      </c>
      <c r="BM34" s="2088">
        <f>'CF(Q)'!CC41</f>
        <v>0</v>
      </c>
      <c r="BN34" s="2089">
        <f>'CF(Q)'!CD41</f>
        <v>0</v>
      </c>
      <c r="BO34" s="2087">
        <f>'CF(Q)'!CE41</f>
        <v>0</v>
      </c>
      <c r="BP34" s="2088">
        <f>'CF(Q)'!CF41</f>
        <v>0</v>
      </c>
      <c r="BQ34" s="2088">
        <f>'CF(Q)'!CG41</f>
        <v>0</v>
      </c>
      <c r="BR34" s="2089">
        <f>'CF(Q)'!CH41</f>
        <v>0</v>
      </c>
      <c r="BS34" s="2087">
        <f>'CF(Q)'!CI41</f>
        <v>0</v>
      </c>
      <c r="BT34" s="2088">
        <f>'CF(Q)'!CJ41</f>
        <v>0</v>
      </c>
      <c r="BU34" s="2088">
        <f>'CF(Q)'!CK41</f>
        <v>0</v>
      </c>
      <c r="BV34" s="2089">
        <f>'CF(Q)'!CL41</f>
        <v>0</v>
      </c>
      <c r="BW34" s="2087">
        <f>'CF(Q)'!CM41</f>
        <v>0</v>
      </c>
      <c r="BX34" s="2088">
        <f>'CF(Q)'!CN41</f>
        <v>0</v>
      </c>
      <c r="BY34" s="2088">
        <f>'CF(Q)'!CO41</f>
        <v>0</v>
      </c>
      <c r="BZ34" s="2089">
        <f>'CF(Q)'!CP41</f>
        <v>0</v>
      </c>
      <c r="CA34" s="2087">
        <f>'CF(Q)'!CQ41</f>
        <v>0</v>
      </c>
      <c r="CB34" s="2088">
        <f>'CF(Q)'!CR41</f>
        <v>0</v>
      </c>
      <c r="CC34" s="2088">
        <f>'CF(Q)'!CS41</f>
        <v>0</v>
      </c>
      <c r="CD34" s="2089">
        <f>'CF(Q)'!CT41</f>
        <v>0</v>
      </c>
      <c r="CE34" s="2087">
        <f>'CF(Q)'!CU41</f>
        <v>0</v>
      </c>
      <c r="CF34" s="2088">
        <f>'CF(Q)'!CV41</f>
        <v>0</v>
      </c>
      <c r="CG34" s="2088">
        <f>'CF(Q)'!CW41</f>
        <v>0</v>
      </c>
      <c r="CH34" s="2089">
        <f>'CF(Q)'!CX41</f>
        <v>0</v>
      </c>
      <c r="CI34" s="2087">
        <f>'CF(Q)'!CY41</f>
        <v>0</v>
      </c>
      <c r="CJ34" s="2088">
        <f>'CF(Q)'!CZ41</f>
        <v>0</v>
      </c>
      <c r="CK34" s="2088">
        <f>'CF(Q)'!DA41</f>
        <v>0</v>
      </c>
      <c r="CL34" s="2089">
        <f>'CF(Q)'!DB41</f>
        <v>0</v>
      </c>
      <c r="CM34" s="2087">
        <f>'CF(Q)'!DC41</f>
        <v>0</v>
      </c>
      <c r="CN34" s="2088">
        <f>'CF(Q)'!DD41</f>
        <v>0</v>
      </c>
      <c r="CO34" s="2088">
        <f>'CF(Q)'!DE41</f>
        <v>0</v>
      </c>
      <c r="CP34" s="2089">
        <f>'CF(Q)'!DF41</f>
        <v>0</v>
      </c>
      <c r="CQ34" s="2087">
        <f>'CF(Q)'!DG41</f>
        <v>0</v>
      </c>
      <c r="CR34" s="2088">
        <f>'CF(Q)'!DH41</f>
        <v>0</v>
      </c>
      <c r="CS34" s="2088">
        <f>'CF(Q)'!DI41</f>
        <v>0</v>
      </c>
      <c r="CT34" s="2089">
        <f>'CF(Q)'!DJ41</f>
        <v>0</v>
      </c>
      <c r="CU34" s="2087">
        <f>'CF(Q)'!DK41</f>
        <v>0</v>
      </c>
      <c r="CV34" s="2088">
        <f>'CF(Q)'!DL41</f>
        <v>0</v>
      </c>
      <c r="CW34" s="2088">
        <f>'CF(Q)'!DM41</f>
        <v>0</v>
      </c>
      <c r="CX34" s="2089">
        <f>'CF(Q)'!DN41</f>
        <v>0</v>
      </c>
      <c r="CY34" s="2087">
        <f>'CF(Q)'!DO41</f>
        <v>0</v>
      </c>
      <c r="CZ34" s="2088">
        <f>'CF(Q)'!DP41</f>
        <v>0</v>
      </c>
      <c r="DA34" s="2088">
        <f>'CF(Q)'!DQ41</f>
        <v>0</v>
      </c>
      <c r="DB34" s="2089">
        <f>'CF(Q)'!DR41</f>
        <v>0</v>
      </c>
      <c r="DC34" s="2087">
        <f>'CF(Q)'!DS41</f>
        <v>0</v>
      </c>
      <c r="DD34" s="2088">
        <f>'CF(Q)'!DT41</f>
        <v>0</v>
      </c>
      <c r="DE34" s="2088">
        <f>'CF(Q)'!DU41</f>
        <v>0</v>
      </c>
      <c r="DF34" s="2089">
        <f>'CF(Q)'!DV41</f>
        <v>0</v>
      </c>
      <c r="DG34" s="2087">
        <f>'CF(Q)'!DW41</f>
        <v>0</v>
      </c>
      <c r="DH34" s="2088">
        <f>'CF(Q)'!DX41</f>
        <v>0</v>
      </c>
      <c r="DI34" s="2088">
        <f>'CF(Q)'!DY41</f>
        <v>0</v>
      </c>
      <c r="DJ34" s="2089">
        <f>'CF(Q)'!DZ41</f>
        <v>0</v>
      </c>
      <c r="DK34" s="2087">
        <f>'CF(Q)'!EA41</f>
        <v>0</v>
      </c>
      <c r="DL34" s="2088">
        <f>'CF(Q)'!EB41</f>
        <v>0</v>
      </c>
      <c r="DM34" s="2088">
        <f>'CF(Q)'!EC41</f>
        <v>0</v>
      </c>
      <c r="DN34" s="2089">
        <f>'CF(Q)'!ED41</f>
        <v>0</v>
      </c>
      <c r="DO34" s="2087">
        <f>'CF(Q)'!EE41</f>
        <v>0</v>
      </c>
      <c r="DP34" s="2088">
        <f>'CF(Q)'!EF41</f>
        <v>0</v>
      </c>
      <c r="DQ34" s="2088">
        <f>'CF(Q)'!EG41</f>
        <v>0</v>
      </c>
      <c r="DR34" s="2089">
        <f>'CF(Q)'!EH41</f>
        <v>0</v>
      </c>
      <c r="DS34" s="2087">
        <f>'CF(Q)'!EI41</f>
        <v>0</v>
      </c>
      <c r="DT34" s="2088">
        <f>'CF(Q)'!EJ41</f>
        <v>0</v>
      </c>
      <c r="DU34" s="2088">
        <f>'CF(Q)'!EK41</f>
        <v>0</v>
      </c>
      <c r="DV34" s="2089">
        <f>'CF(Q)'!EL41</f>
        <v>0</v>
      </c>
      <c r="DW34" s="2087">
        <f>'CF(Q)'!EM41</f>
        <v>0</v>
      </c>
      <c r="DX34" s="2088">
        <f>'CF(Q)'!EN41</f>
        <v>0</v>
      </c>
      <c r="DY34" s="2088">
        <f>'CF(Q)'!EO41</f>
        <v>0</v>
      </c>
      <c r="DZ34" s="2089">
        <f>'CF(Q)'!EP41</f>
        <v>0</v>
      </c>
      <c r="EA34" s="2087">
        <f>'CF(Q)'!EQ41</f>
        <v>0</v>
      </c>
      <c r="EB34" s="2088">
        <f>'CF(Q)'!ER41</f>
        <v>0</v>
      </c>
      <c r="EC34" s="2088">
        <f>'CF(Q)'!ES41</f>
        <v>0</v>
      </c>
      <c r="ED34" s="2089">
        <f>'CF(Q)'!ET41</f>
        <v>0</v>
      </c>
      <c r="EE34" s="2087">
        <f>'CF(Q)'!EU41</f>
        <v>0</v>
      </c>
      <c r="EF34" s="2088">
        <f>'CF(Q)'!EV41</f>
        <v>0</v>
      </c>
      <c r="EG34" s="2088">
        <f>'CF(Q)'!EW41</f>
        <v>0</v>
      </c>
      <c r="EH34" s="2089">
        <f>'CF(Q)'!EX41</f>
        <v>0</v>
      </c>
      <c r="EI34" s="2087">
        <f>'CF(Q)'!EY41</f>
        <v>0</v>
      </c>
      <c r="EJ34" s="2088">
        <f>'CF(Q)'!EZ41</f>
        <v>0</v>
      </c>
      <c r="EK34" s="2088">
        <f>'CF(Q)'!FA41</f>
        <v>0</v>
      </c>
      <c r="EL34" s="2089">
        <f>'CF(Q)'!FB41</f>
        <v>0</v>
      </c>
      <c r="EM34" s="2087">
        <f>'CF(Q)'!FC41</f>
        <v>0</v>
      </c>
      <c r="EN34" s="2088">
        <f>'CF(Q)'!FD41</f>
        <v>0</v>
      </c>
      <c r="EO34" s="2088">
        <f>'CF(Q)'!FE41</f>
        <v>0</v>
      </c>
      <c r="EP34" s="2089">
        <f>'CF(Q)'!FF41</f>
        <v>0</v>
      </c>
      <c r="EQ34" s="2087">
        <f>'CF(Q)'!FG41</f>
        <v>0</v>
      </c>
      <c r="ER34" s="2088">
        <f>'CF(Q)'!FH41</f>
        <v>0</v>
      </c>
      <c r="ES34" s="2088">
        <f>'CF(Q)'!FI41</f>
        <v>0</v>
      </c>
      <c r="ET34" s="2089">
        <f>'CF(Q)'!FJ41</f>
        <v>0</v>
      </c>
      <c r="EU34" s="2087">
        <f>'CF(Q)'!FK41</f>
        <v>0</v>
      </c>
      <c r="EV34" s="2088">
        <f>'CF(Q)'!FL41</f>
        <v>0</v>
      </c>
      <c r="EW34" s="2088">
        <f>'CF(Q)'!FM41</f>
        <v>0</v>
      </c>
      <c r="EX34" s="2089">
        <f>'CF(Q)'!FN41</f>
        <v>0</v>
      </c>
      <c r="EY34" s="2087">
        <f>'CF(Q)'!FO41</f>
        <v>0</v>
      </c>
      <c r="EZ34" s="2088">
        <f>'CF(Q)'!FP41</f>
        <v>0</v>
      </c>
      <c r="FA34" s="2088">
        <f>'CF(Q)'!FQ41</f>
        <v>0</v>
      </c>
      <c r="FB34" s="2089">
        <f>'CF(Q)'!FR41</f>
        <v>0</v>
      </c>
      <c r="FC34" s="2087">
        <f>'CF(Q)'!FS41</f>
        <v>0</v>
      </c>
      <c r="FD34" s="2088">
        <f>'CF(Q)'!FT41</f>
        <v>0</v>
      </c>
      <c r="FE34" s="2088">
        <f>'CF(Q)'!FU41</f>
        <v>0</v>
      </c>
      <c r="FF34" s="2089">
        <f>'CF(Q)'!FV41</f>
        <v>0</v>
      </c>
      <c r="FG34" s="2087">
        <f>'CF(Q)'!FW41</f>
        <v>0</v>
      </c>
      <c r="FH34" s="2088">
        <f>'CF(Q)'!FX41</f>
        <v>0</v>
      </c>
      <c r="FI34" s="2088">
        <f>'CF(Q)'!FY41</f>
        <v>0</v>
      </c>
      <c r="FJ34" s="2089">
        <f>'CF(Q)'!FZ41</f>
        <v>0</v>
      </c>
      <c r="FK34" s="2087">
        <f>'CF(Q)'!GA41</f>
        <v>0</v>
      </c>
      <c r="FL34" s="2088">
        <f>'CF(Q)'!GB41</f>
        <v>0</v>
      </c>
      <c r="FM34" s="2088">
        <f>'CF(Q)'!GC41</f>
        <v>0</v>
      </c>
      <c r="FN34" s="2089">
        <f>'CF(Q)'!GD41</f>
        <v>0</v>
      </c>
      <c r="FO34" s="2087">
        <f>'CF(Q)'!GE41</f>
        <v>0</v>
      </c>
      <c r="FP34" s="2088">
        <f>'CF(Q)'!GF41</f>
        <v>0</v>
      </c>
      <c r="FQ34" s="2088">
        <f>'CF(Q)'!GG41</f>
        <v>0</v>
      </c>
      <c r="FR34" s="2089">
        <f>'CF(Q)'!GH41</f>
        <v>0</v>
      </c>
      <c r="FS34" s="2087">
        <f>'CF(Q)'!GI41</f>
        <v>0</v>
      </c>
      <c r="FT34" s="2088">
        <f>'CF(Q)'!GJ41</f>
        <v>0</v>
      </c>
      <c r="FU34" s="2088">
        <f>'CF(Q)'!GK41</f>
        <v>0</v>
      </c>
      <c r="FV34" s="2089">
        <f>'CF(Q)'!GL41</f>
        <v>0</v>
      </c>
      <c r="FW34" s="2087">
        <f>'CF(Q)'!GM41</f>
        <v>0</v>
      </c>
      <c r="FX34" s="2088">
        <f>'CF(Q)'!GN41</f>
        <v>0</v>
      </c>
      <c r="FY34" s="2088">
        <f>'CF(Q)'!GO41</f>
        <v>0</v>
      </c>
      <c r="FZ34" s="2089">
        <f>'CF(Q)'!GP41</f>
        <v>0</v>
      </c>
      <c r="GA34" s="2087">
        <f>'CF(Q)'!GQ41</f>
        <v>0</v>
      </c>
      <c r="GB34" s="2088">
        <f>'CF(Q)'!GR41</f>
        <v>0</v>
      </c>
      <c r="GC34" s="2088">
        <f>'CF(Q)'!GS41</f>
        <v>0</v>
      </c>
      <c r="GD34" s="2089">
        <f>'CF(Q)'!GT41</f>
        <v>0</v>
      </c>
    </row>
    <row r="35" spans="2:186" s="414" customFormat="1" ht="15" customHeight="1">
      <c r="B35" s="2065"/>
      <c r="C35" s="2078" t="s">
        <v>3749</v>
      </c>
      <c r="D35" s="2079"/>
      <c r="E35" s="2079"/>
      <c r="F35" s="2080">
        <f t="shared" ca="1" si="48"/>
        <v>1707.900656475</v>
      </c>
      <c r="G35" s="2081">
        <f t="shared" ref="G35:BR35" si="49">SUM(G33:G34)</f>
        <v>49.142649669999997</v>
      </c>
      <c r="H35" s="2082">
        <f t="shared" si="49"/>
        <v>48.604770599999995</v>
      </c>
      <c r="I35" s="2082">
        <f t="shared" si="49"/>
        <v>47.838608800000003</v>
      </c>
      <c r="J35" s="2083">
        <f t="shared" si="49"/>
        <v>48.508679779999994</v>
      </c>
      <c r="K35" s="2081">
        <f t="shared" si="49"/>
        <v>51.979595509999996</v>
      </c>
      <c r="L35" s="2082">
        <f t="shared" si="49"/>
        <v>52.232856519999999</v>
      </c>
      <c r="M35" s="2082">
        <f t="shared" si="49"/>
        <v>52.872428209999995</v>
      </c>
      <c r="N35" s="2083">
        <f t="shared" si="49"/>
        <v>53.394728000000001</v>
      </c>
      <c r="O35" s="2081">
        <f t="shared" si="49"/>
        <v>54.011148730000002</v>
      </c>
      <c r="P35" s="2082">
        <f t="shared" si="49"/>
        <v>54.784665669999995</v>
      </c>
      <c r="Q35" s="2082">
        <f t="shared" si="49"/>
        <v>53.904775369999996</v>
      </c>
      <c r="R35" s="2083">
        <f t="shared" si="49"/>
        <v>54.127461679999996</v>
      </c>
      <c r="S35" s="2081">
        <f t="shared" ca="1" si="49"/>
        <v>49.657195749999993</v>
      </c>
      <c r="T35" s="2082">
        <f t="shared" ca="1" si="49"/>
        <v>49.222990714999995</v>
      </c>
      <c r="U35" s="2082">
        <f t="shared" ca="1" si="49"/>
        <v>49.619275680000001</v>
      </c>
      <c r="V35" s="2083">
        <f t="shared" ca="1" si="49"/>
        <v>50.006322239999996</v>
      </c>
      <c r="W35" s="2081">
        <f t="shared" ca="1" si="49"/>
        <v>49.553640395000002</v>
      </c>
      <c r="X35" s="2082">
        <f t="shared" ca="1" si="49"/>
        <v>49.100958550000001</v>
      </c>
      <c r="Y35" s="2082">
        <f t="shared" ca="1" si="49"/>
        <v>49.478766704999998</v>
      </c>
      <c r="Z35" s="2083">
        <f t="shared" ca="1" si="49"/>
        <v>49.847336454999997</v>
      </c>
      <c r="AA35" s="2081">
        <f t="shared" ca="1" si="49"/>
        <v>45.223727799999999</v>
      </c>
      <c r="AB35" s="2082">
        <f t="shared" ca="1" si="49"/>
        <v>45.629251169999996</v>
      </c>
      <c r="AC35" s="2082">
        <f t="shared" ca="1" si="49"/>
        <v>50.177986134999998</v>
      </c>
      <c r="AD35" s="2083">
        <f t="shared" ca="1" si="49"/>
        <v>50.518840669999989</v>
      </c>
      <c r="AE35" s="2081">
        <f t="shared" ca="1" si="49"/>
        <v>57.494376799999998</v>
      </c>
      <c r="AF35" s="2082">
        <f t="shared" ca="1" si="49"/>
        <v>56.912357284999999</v>
      </c>
      <c r="AG35" s="2082">
        <f t="shared" ca="1" si="49"/>
        <v>57.160827769999997</v>
      </c>
      <c r="AH35" s="2083">
        <f t="shared" ca="1" si="49"/>
        <v>57.400059849999998</v>
      </c>
      <c r="AI35" s="2081">
        <f t="shared" ca="1" si="49"/>
        <v>36.037313525000002</v>
      </c>
      <c r="AJ35" s="2082">
        <f t="shared" ca="1" si="49"/>
        <v>40.650717324999995</v>
      </c>
      <c r="AK35" s="2082">
        <f t="shared" ca="1" si="49"/>
        <v>41.056240694999993</v>
      </c>
      <c r="AL35" s="2083">
        <f t="shared" ca="1" si="49"/>
        <v>34.808605659999998</v>
      </c>
      <c r="AM35" s="2081">
        <f t="shared" ca="1" si="49"/>
        <v>11.185349459999999</v>
      </c>
      <c r="AN35" s="2082">
        <f t="shared" ca="1" si="49"/>
        <v>11.074488599999999</v>
      </c>
      <c r="AO35" s="2082">
        <f t="shared" ca="1" si="49"/>
        <v>10.96362774</v>
      </c>
      <c r="AP35" s="2083">
        <f t="shared" ca="1" si="49"/>
        <v>10.852766879999999</v>
      </c>
      <c r="AQ35" s="2081">
        <f t="shared" ca="1" si="49"/>
        <v>10.74190602</v>
      </c>
      <c r="AR35" s="2082">
        <f t="shared" ca="1" si="49"/>
        <v>10.631045159999999</v>
      </c>
      <c r="AS35" s="2082">
        <f t="shared" ca="1" si="49"/>
        <v>10.520184299999999</v>
      </c>
      <c r="AT35" s="2083">
        <f t="shared" ca="1" si="49"/>
        <v>10.40932344</v>
      </c>
      <c r="AU35" s="2081">
        <f t="shared" ca="1" si="49"/>
        <v>10.298462579999999</v>
      </c>
      <c r="AV35" s="2082">
        <f t="shared" ca="1" si="49"/>
        <v>10.18760172</v>
      </c>
      <c r="AW35" s="2082">
        <f t="shared" ca="1" si="49"/>
        <v>10.076740859999886</v>
      </c>
      <c r="AX35" s="2083">
        <f t="shared" ca="1" si="49"/>
        <v>0</v>
      </c>
      <c r="AY35" s="2081">
        <f t="shared" ca="1" si="49"/>
        <v>0</v>
      </c>
      <c r="AZ35" s="2082">
        <f t="shared" ca="1" si="49"/>
        <v>0</v>
      </c>
      <c r="BA35" s="2082">
        <f t="shared" ca="1" si="49"/>
        <v>0</v>
      </c>
      <c r="BB35" s="2083">
        <f t="shared" ca="1" si="49"/>
        <v>0</v>
      </c>
      <c r="BC35" s="2081">
        <f t="shared" ca="1" si="49"/>
        <v>0</v>
      </c>
      <c r="BD35" s="2082">
        <f t="shared" ca="1" si="49"/>
        <v>0</v>
      </c>
      <c r="BE35" s="2082">
        <f t="shared" ca="1" si="49"/>
        <v>0</v>
      </c>
      <c r="BF35" s="2083">
        <f t="shared" ca="1" si="49"/>
        <v>0</v>
      </c>
      <c r="BG35" s="2081">
        <f t="shared" ca="1" si="49"/>
        <v>0</v>
      </c>
      <c r="BH35" s="2082">
        <f t="shared" ca="1" si="49"/>
        <v>0</v>
      </c>
      <c r="BI35" s="2082">
        <f t="shared" ca="1" si="49"/>
        <v>0</v>
      </c>
      <c r="BJ35" s="2083">
        <f t="shared" ca="1" si="49"/>
        <v>0</v>
      </c>
      <c r="BK35" s="2081">
        <f t="shared" ca="1" si="49"/>
        <v>0</v>
      </c>
      <c r="BL35" s="2082">
        <f t="shared" ca="1" si="49"/>
        <v>0</v>
      </c>
      <c r="BM35" s="2082">
        <f t="shared" ca="1" si="49"/>
        <v>0</v>
      </c>
      <c r="BN35" s="2083">
        <f t="shared" ca="1" si="49"/>
        <v>0</v>
      </c>
      <c r="BO35" s="2081">
        <f t="shared" ca="1" si="49"/>
        <v>0</v>
      </c>
      <c r="BP35" s="2082">
        <f t="shared" ca="1" si="49"/>
        <v>0</v>
      </c>
      <c r="BQ35" s="2082">
        <f t="shared" ca="1" si="49"/>
        <v>0</v>
      </c>
      <c r="BR35" s="2083">
        <f t="shared" ca="1" si="49"/>
        <v>0</v>
      </c>
      <c r="BS35" s="2081">
        <f t="shared" ref="BS35:ED35" ca="1" si="50">SUM(BS33:BS34)</f>
        <v>0</v>
      </c>
      <c r="BT35" s="2082">
        <f t="shared" ca="1" si="50"/>
        <v>0</v>
      </c>
      <c r="BU35" s="2082">
        <f t="shared" ca="1" si="50"/>
        <v>0</v>
      </c>
      <c r="BV35" s="2083">
        <f t="shared" ca="1" si="50"/>
        <v>0</v>
      </c>
      <c r="BW35" s="2081">
        <f t="shared" ca="1" si="50"/>
        <v>0</v>
      </c>
      <c r="BX35" s="2082">
        <f t="shared" ca="1" si="50"/>
        <v>0</v>
      </c>
      <c r="BY35" s="2082">
        <f t="shared" ca="1" si="50"/>
        <v>0</v>
      </c>
      <c r="BZ35" s="2083">
        <f t="shared" ca="1" si="50"/>
        <v>0</v>
      </c>
      <c r="CA35" s="2081">
        <f t="shared" ca="1" si="50"/>
        <v>0</v>
      </c>
      <c r="CB35" s="2082">
        <f t="shared" ca="1" si="50"/>
        <v>0</v>
      </c>
      <c r="CC35" s="2082">
        <f t="shared" ca="1" si="50"/>
        <v>0</v>
      </c>
      <c r="CD35" s="2083">
        <f t="shared" ca="1" si="50"/>
        <v>0</v>
      </c>
      <c r="CE35" s="2081">
        <f t="shared" ca="1" si="50"/>
        <v>0</v>
      </c>
      <c r="CF35" s="2082">
        <f t="shared" ca="1" si="50"/>
        <v>0</v>
      </c>
      <c r="CG35" s="2082">
        <f t="shared" ca="1" si="50"/>
        <v>0</v>
      </c>
      <c r="CH35" s="2083">
        <f t="shared" ca="1" si="50"/>
        <v>0</v>
      </c>
      <c r="CI35" s="2081">
        <f t="shared" ca="1" si="50"/>
        <v>0</v>
      </c>
      <c r="CJ35" s="2082">
        <f t="shared" ca="1" si="50"/>
        <v>0</v>
      </c>
      <c r="CK35" s="2082">
        <f t="shared" ca="1" si="50"/>
        <v>0</v>
      </c>
      <c r="CL35" s="2083">
        <f t="shared" ca="1" si="50"/>
        <v>0</v>
      </c>
      <c r="CM35" s="2081">
        <f t="shared" ca="1" si="50"/>
        <v>0</v>
      </c>
      <c r="CN35" s="2082">
        <f t="shared" ca="1" si="50"/>
        <v>0</v>
      </c>
      <c r="CO35" s="2082">
        <f t="shared" ca="1" si="50"/>
        <v>0</v>
      </c>
      <c r="CP35" s="2083">
        <f t="shared" ca="1" si="50"/>
        <v>0</v>
      </c>
      <c r="CQ35" s="2081">
        <f t="shared" ca="1" si="50"/>
        <v>0</v>
      </c>
      <c r="CR35" s="2082">
        <f t="shared" ca="1" si="50"/>
        <v>0</v>
      </c>
      <c r="CS35" s="2082">
        <f t="shared" ca="1" si="50"/>
        <v>0</v>
      </c>
      <c r="CT35" s="2083">
        <f t="shared" ca="1" si="50"/>
        <v>0</v>
      </c>
      <c r="CU35" s="2081">
        <f t="shared" ca="1" si="50"/>
        <v>0</v>
      </c>
      <c r="CV35" s="2082">
        <f t="shared" ca="1" si="50"/>
        <v>0</v>
      </c>
      <c r="CW35" s="2082">
        <f t="shared" ca="1" si="50"/>
        <v>0</v>
      </c>
      <c r="CX35" s="2083">
        <f t="shared" ca="1" si="50"/>
        <v>0</v>
      </c>
      <c r="CY35" s="2081">
        <f t="shared" ca="1" si="50"/>
        <v>0</v>
      </c>
      <c r="CZ35" s="2082">
        <f t="shared" ca="1" si="50"/>
        <v>0</v>
      </c>
      <c r="DA35" s="2082">
        <f t="shared" ca="1" si="50"/>
        <v>0</v>
      </c>
      <c r="DB35" s="2083">
        <f t="shared" ca="1" si="50"/>
        <v>0</v>
      </c>
      <c r="DC35" s="2081">
        <f t="shared" ca="1" si="50"/>
        <v>0</v>
      </c>
      <c r="DD35" s="2082">
        <f t="shared" ca="1" si="50"/>
        <v>0</v>
      </c>
      <c r="DE35" s="2082">
        <f t="shared" ca="1" si="50"/>
        <v>0</v>
      </c>
      <c r="DF35" s="2083">
        <f t="shared" ca="1" si="50"/>
        <v>0</v>
      </c>
      <c r="DG35" s="2081">
        <f t="shared" ca="1" si="50"/>
        <v>0</v>
      </c>
      <c r="DH35" s="2082">
        <f t="shared" ca="1" si="50"/>
        <v>0</v>
      </c>
      <c r="DI35" s="2082">
        <f t="shared" ca="1" si="50"/>
        <v>0</v>
      </c>
      <c r="DJ35" s="2083">
        <f t="shared" ca="1" si="50"/>
        <v>0</v>
      </c>
      <c r="DK35" s="2081">
        <f t="shared" ca="1" si="50"/>
        <v>0</v>
      </c>
      <c r="DL35" s="2082">
        <f t="shared" ca="1" si="50"/>
        <v>0</v>
      </c>
      <c r="DM35" s="2082">
        <f t="shared" ca="1" si="50"/>
        <v>0</v>
      </c>
      <c r="DN35" s="2083">
        <f t="shared" ca="1" si="50"/>
        <v>0</v>
      </c>
      <c r="DO35" s="2081">
        <f t="shared" ca="1" si="50"/>
        <v>0</v>
      </c>
      <c r="DP35" s="2082">
        <f t="shared" ca="1" si="50"/>
        <v>0</v>
      </c>
      <c r="DQ35" s="2082">
        <f t="shared" ca="1" si="50"/>
        <v>0</v>
      </c>
      <c r="DR35" s="2083">
        <f t="shared" ca="1" si="50"/>
        <v>0</v>
      </c>
      <c r="DS35" s="2081">
        <f t="shared" ca="1" si="50"/>
        <v>0</v>
      </c>
      <c r="DT35" s="2082">
        <f t="shared" ca="1" si="50"/>
        <v>0</v>
      </c>
      <c r="DU35" s="2082">
        <f t="shared" ca="1" si="50"/>
        <v>0</v>
      </c>
      <c r="DV35" s="2083">
        <f t="shared" ca="1" si="50"/>
        <v>0</v>
      </c>
      <c r="DW35" s="2081">
        <f t="shared" ca="1" si="50"/>
        <v>0</v>
      </c>
      <c r="DX35" s="2082">
        <f t="shared" ca="1" si="50"/>
        <v>0</v>
      </c>
      <c r="DY35" s="2082">
        <f t="shared" ca="1" si="50"/>
        <v>0</v>
      </c>
      <c r="DZ35" s="2083">
        <f t="shared" ca="1" si="50"/>
        <v>0</v>
      </c>
      <c r="EA35" s="2081">
        <f t="shared" ca="1" si="50"/>
        <v>0</v>
      </c>
      <c r="EB35" s="2082">
        <f t="shared" ca="1" si="50"/>
        <v>0</v>
      </c>
      <c r="EC35" s="2082">
        <f t="shared" ca="1" si="50"/>
        <v>0</v>
      </c>
      <c r="ED35" s="2083">
        <f t="shared" ca="1" si="50"/>
        <v>0</v>
      </c>
      <c r="EE35" s="2081">
        <f t="shared" ref="EE35:GD35" ca="1" si="51">SUM(EE33:EE34)</f>
        <v>0</v>
      </c>
      <c r="EF35" s="2082">
        <f t="shared" ca="1" si="51"/>
        <v>0</v>
      </c>
      <c r="EG35" s="2082">
        <f t="shared" ca="1" si="51"/>
        <v>0</v>
      </c>
      <c r="EH35" s="2083">
        <f t="shared" ca="1" si="51"/>
        <v>0</v>
      </c>
      <c r="EI35" s="2081">
        <f t="shared" ca="1" si="51"/>
        <v>0</v>
      </c>
      <c r="EJ35" s="2082">
        <f t="shared" ca="1" si="51"/>
        <v>0</v>
      </c>
      <c r="EK35" s="2082">
        <f t="shared" ca="1" si="51"/>
        <v>0</v>
      </c>
      <c r="EL35" s="2083">
        <f t="shared" ca="1" si="51"/>
        <v>0</v>
      </c>
      <c r="EM35" s="2081">
        <f t="shared" ca="1" si="51"/>
        <v>0</v>
      </c>
      <c r="EN35" s="2082">
        <f t="shared" ca="1" si="51"/>
        <v>0</v>
      </c>
      <c r="EO35" s="2082">
        <f t="shared" ca="1" si="51"/>
        <v>0</v>
      </c>
      <c r="EP35" s="2083">
        <f t="shared" ca="1" si="51"/>
        <v>0</v>
      </c>
      <c r="EQ35" s="2081">
        <f t="shared" ca="1" si="51"/>
        <v>0</v>
      </c>
      <c r="ER35" s="2082">
        <f t="shared" ca="1" si="51"/>
        <v>0</v>
      </c>
      <c r="ES35" s="2082">
        <f t="shared" ca="1" si="51"/>
        <v>0</v>
      </c>
      <c r="ET35" s="2083">
        <f t="shared" ca="1" si="51"/>
        <v>0</v>
      </c>
      <c r="EU35" s="2081">
        <f t="shared" ca="1" si="51"/>
        <v>0</v>
      </c>
      <c r="EV35" s="2082">
        <f t="shared" ca="1" si="51"/>
        <v>0</v>
      </c>
      <c r="EW35" s="2082">
        <f t="shared" ca="1" si="51"/>
        <v>0</v>
      </c>
      <c r="EX35" s="2083">
        <f t="shared" ca="1" si="51"/>
        <v>0</v>
      </c>
      <c r="EY35" s="2081">
        <f t="shared" ca="1" si="51"/>
        <v>0</v>
      </c>
      <c r="EZ35" s="2082">
        <f t="shared" ca="1" si="51"/>
        <v>0</v>
      </c>
      <c r="FA35" s="2082">
        <f t="shared" ca="1" si="51"/>
        <v>0</v>
      </c>
      <c r="FB35" s="2083">
        <f t="shared" ca="1" si="51"/>
        <v>0</v>
      </c>
      <c r="FC35" s="2081">
        <f t="shared" ca="1" si="51"/>
        <v>0</v>
      </c>
      <c r="FD35" s="2082">
        <f t="shared" ca="1" si="51"/>
        <v>0</v>
      </c>
      <c r="FE35" s="2082">
        <f t="shared" ca="1" si="51"/>
        <v>0</v>
      </c>
      <c r="FF35" s="2083">
        <f t="shared" ca="1" si="51"/>
        <v>0</v>
      </c>
      <c r="FG35" s="2081">
        <f t="shared" ca="1" si="51"/>
        <v>0</v>
      </c>
      <c r="FH35" s="2082">
        <f t="shared" ca="1" si="51"/>
        <v>0</v>
      </c>
      <c r="FI35" s="2082">
        <f t="shared" ca="1" si="51"/>
        <v>0</v>
      </c>
      <c r="FJ35" s="2083">
        <f t="shared" ca="1" si="51"/>
        <v>0</v>
      </c>
      <c r="FK35" s="2081">
        <f t="shared" ca="1" si="51"/>
        <v>0</v>
      </c>
      <c r="FL35" s="2082">
        <f t="shared" ca="1" si="51"/>
        <v>0</v>
      </c>
      <c r="FM35" s="2082">
        <f t="shared" ca="1" si="51"/>
        <v>0</v>
      </c>
      <c r="FN35" s="2083">
        <f t="shared" ca="1" si="51"/>
        <v>0</v>
      </c>
      <c r="FO35" s="2081">
        <f t="shared" si="51"/>
        <v>0</v>
      </c>
      <c r="FP35" s="2082">
        <f t="shared" si="51"/>
        <v>0</v>
      </c>
      <c r="FQ35" s="2082">
        <f t="shared" si="51"/>
        <v>0</v>
      </c>
      <c r="FR35" s="2083">
        <f t="shared" si="51"/>
        <v>0</v>
      </c>
      <c r="FS35" s="2081">
        <f t="shared" si="51"/>
        <v>0</v>
      </c>
      <c r="FT35" s="2082">
        <f t="shared" si="51"/>
        <v>0</v>
      </c>
      <c r="FU35" s="2082">
        <f t="shared" si="51"/>
        <v>0</v>
      </c>
      <c r="FV35" s="2083">
        <f t="shared" si="51"/>
        <v>0</v>
      </c>
      <c r="FW35" s="2081">
        <f t="shared" si="51"/>
        <v>0</v>
      </c>
      <c r="FX35" s="2082">
        <f t="shared" si="51"/>
        <v>0</v>
      </c>
      <c r="FY35" s="2082">
        <f t="shared" si="51"/>
        <v>0</v>
      </c>
      <c r="FZ35" s="2083">
        <f t="shared" si="51"/>
        <v>0</v>
      </c>
      <c r="GA35" s="2081">
        <f t="shared" si="51"/>
        <v>0</v>
      </c>
      <c r="GB35" s="2082">
        <f t="shared" si="51"/>
        <v>0</v>
      </c>
      <c r="GC35" s="2082">
        <f t="shared" si="51"/>
        <v>0</v>
      </c>
      <c r="GD35" s="2083">
        <f t="shared" si="51"/>
        <v>0</v>
      </c>
    </row>
    <row r="36" spans="2:186" s="414" customFormat="1" ht="15" customHeight="1">
      <c r="B36" s="2065"/>
      <c r="C36" s="2078" t="s">
        <v>5253</v>
      </c>
      <c r="D36" s="2079"/>
      <c r="E36" s="2079"/>
      <c r="F36" s="2080">
        <f t="shared" ref="F36" ca="1" si="52">SUM(G36:GD36)</f>
        <v>44920.343796304973</v>
      </c>
      <c r="G36" s="2081">
        <f t="shared" ref="G36:AL36" ca="1" si="53">G25-G35</f>
        <v>191.44410010846403</v>
      </c>
      <c r="H36" s="2082">
        <f t="shared" ca="1" si="53"/>
        <v>157.4831991785542</v>
      </c>
      <c r="I36" s="2082">
        <f t="shared" ca="1" si="53"/>
        <v>122.93958128855417</v>
      </c>
      <c r="J36" s="2083">
        <f t="shared" ca="1" si="53"/>
        <v>68.188629978554189</v>
      </c>
      <c r="K36" s="2081">
        <f t="shared" ca="1" si="53"/>
        <v>169.31003683855417</v>
      </c>
      <c r="L36" s="2082">
        <f t="shared" ca="1" si="53"/>
        <v>233.17961809933337</v>
      </c>
      <c r="M36" s="2082">
        <f t="shared" ca="1" si="53"/>
        <v>199.26620036571222</v>
      </c>
      <c r="N36" s="2083">
        <f t="shared" ca="1" si="53"/>
        <v>146.7500743157122</v>
      </c>
      <c r="O36" s="2081">
        <f t="shared" ca="1" si="53"/>
        <v>60.394513760000009</v>
      </c>
      <c r="P36" s="2082">
        <f t="shared" ca="1" si="53"/>
        <v>94.003819341793914</v>
      </c>
      <c r="Q36" s="2082">
        <f t="shared" ca="1" si="53"/>
        <v>32.070339053333342</v>
      </c>
      <c r="R36" s="2083">
        <f t="shared" ca="1" si="53"/>
        <v>24.318482586744182</v>
      </c>
      <c r="S36" s="2081">
        <f t="shared" ca="1" si="53"/>
        <v>18.68080868204374</v>
      </c>
      <c r="T36" s="2082">
        <f t="shared" ca="1" si="53"/>
        <v>74.289162949927416</v>
      </c>
      <c r="U36" s="2082">
        <f t="shared" ca="1" si="53"/>
        <v>20.148932124688869</v>
      </c>
      <c r="V36" s="2083">
        <f t="shared" ca="1" si="53"/>
        <v>15.853819893666817</v>
      </c>
      <c r="W36" s="2081">
        <f t="shared" ca="1" si="53"/>
        <v>66.005871103737618</v>
      </c>
      <c r="X36" s="2082">
        <f t="shared" ca="1" si="53"/>
        <v>148.02016517820581</v>
      </c>
      <c r="Y36" s="2082">
        <f t="shared" ca="1" si="53"/>
        <v>107.33010104472888</v>
      </c>
      <c r="Z36" s="2083">
        <f t="shared" ca="1" si="53"/>
        <v>69.625714083597131</v>
      </c>
      <c r="AA36" s="2081">
        <f t="shared" ca="1" si="53"/>
        <v>34.559117530926549</v>
      </c>
      <c r="AB36" s="2082">
        <f t="shared" ca="1" si="53"/>
        <v>138.75883911950038</v>
      </c>
      <c r="AC36" s="2082">
        <f t="shared" ca="1" si="53"/>
        <v>98.788598234936188</v>
      </c>
      <c r="AD36" s="2083">
        <f t="shared" ca="1" si="53"/>
        <v>62.815126702452062</v>
      </c>
      <c r="AE36" s="2081">
        <f t="shared" ca="1" si="53"/>
        <v>14.585915263928683</v>
      </c>
      <c r="AF36" s="2082">
        <f t="shared" ca="1" si="53"/>
        <v>57.413198925972026</v>
      </c>
      <c r="AG36" s="2082">
        <f t="shared" ca="1" si="53"/>
        <v>8.310841755795721</v>
      </c>
      <c r="AH36" s="2083">
        <f t="shared" ca="1" si="53"/>
        <v>12.779110668648023</v>
      </c>
      <c r="AI36" s="2081">
        <f t="shared" ca="1" si="53"/>
        <v>30.373343457206602</v>
      </c>
      <c r="AJ36" s="2082">
        <f t="shared" ca="1" si="53"/>
        <v>31.412433550020047</v>
      </c>
      <c r="AK36" s="2082">
        <f t="shared" ca="1" si="53"/>
        <v>25.731516257490519</v>
      </c>
      <c r="AL36" s="2083">
        <f t="shared" ca="1" si="53"/>
        <v>37.254545215020045</v>
      </c>
      <c r="AM36" s="2081">
        <f t="shared" ref="AM36:BR36" ca="1" si="54">AM25-AM35</f>
        <v>69.838919789957401</v>
      </c>
      <c r="AN36" s="2082">
        <f t="shared" ca="1" si="54"/>
        <v>73.778551628084116</v>
      </c>
      <c r="AO36" s="2082">
        <f t="shared" ca="1" si="54"/>
        <v>77.916242703387866</v>
      </c>
      <c r="AP36" s="2083">
        <f t="shared" ca="1" si="54"/>
        <v>82.377596261514583</v>
      </c>
      <c r="AQ36" s="2081">
        <f t="shared" ca="1" si="54"/>
        <v>85.430471939521937</v>
      </c>
      <c r="AR36" s="2082">
        <f t="shared" ca="1" si="54"/>
        <v>91.230671421515424</v>
      </c>
      <c r="AS36" s="2082">
        <f t="shared" ca="1" si="54"/>
        <v>97.190084878798672</v>
      </c>
      <c r="AT36" s="2083">
        <f t="shared" ca="1" si="54"/>
        <v>105.09748420735964</v>
      </c>
      <c r="AU36" s="2081">
        <f t="shared" ca="1" si="54"/>
        <v>112.08067597531473</v>
      </c>
      <c r="AV36" s="2082">
        <f t="shared" ca="1" si="54"/>
        <v>84.4910212615859</v>
      </c>
      <c r="AW36" s="2082">
        <f t="shared" ca="1" si="54"/>
        <v>85.254678162467528</v>
      </c>
      <c r="AX36" s="2083">
        <f t="shared" ca="1" si="54"/>
        <v>98.50142391197241</v>
      </c>
      <c r="AY36" s="2081">
        <f t="shared" ca="1" si="54"/>
        <v>114.16145299759754</v>
      </c>
      <c r="AZ36" s="2082">
        <f t="shared" ca="1" si="54"/>
        <v>114.39699401110389</v>
      </c>
      <c r="BA36" s="2082">
        <f t="shared" ca="1" si="54"/>
        <v>128.186560362775</v>
      </c>
      <c r="BB36" s="2083">
        <f t="shared" ca="1" si="54"/>
        <v>144.17923823100301</v>
      </c>
      <c r="BC36" s="2081">
        <f t="shared" ca="1" si="54"/>
        <v>154.57184126208065</v>
      </c>
      <c r="BD36" s="2082">
        <f t="shared" ca="1" si="54"/>
        <v>136.98944357011788</v>
      </c>
      <c r="BE36" s="2082">
        <f t="shared" ca="1" si="54"/>
        <v>143.74727373299078</v>
      </c>
      <c r="BF36" s="2083">
        <f t="shared" ca="1" si="54"/>
        <v>154.80733086162257</v>
      </c>
      <c r="BG36" s="2081">
        <f t="shared" ca="1" si="54"/>
        <v>164.18218231389858</v>
      </c>
      <c r="BH36" s="2082">
        <f t="shared" ca="1" si="54"/>
        <v>154.10467783872465</v>
      </c>
      <c r="BI36" s="2082">
        <f t="shared" ca="1" si="54"/>
        <v>165.32445188514362</v>
      </c>
      <c r="BJ36" s="2083">
        <f t="shared" ca="1" si="54"/>
        <v>180.28773230654397</v>
      </c>
      <c r="BK36" s="2081">
        <f t="shared" ca="1" si="54"/>
        <v>194.44357494292024</v>
      </c>
      <c r="BL36" s="2082">
        <f t="shared" ca="1" si="54"/>
        <v>192.59652465414155</v>
      </c>
      <c r="BM36" s="2082">
        <f t="shared" ca="1" si="54"/>
        <v>213.37113653920395</v>
      </c>
      <c r="BN36" s="2083">
        <f t="shared" ca="1" si="54"/>
        <v>238.13242691142085</v>
      </c>
      <c r="BO36" s="2081">
        <f t="shared" ca="1" si="54"/>
        <v>257.77951750562897</v>
      </c>
      <c r="BP36" s="2082">
        <f t="shared" ca="1" si="54"/>
        <v>241.60521886779196</v>
      </c>
      <c r="BQ36" s="2082">
        <f t="shared" ca="1" si="54"/>
        <v>253.3705046512527</v>
      </c>
      <c r="BR36" s="2083">
        <f t="shared" ca="1" si="54"/>
        <v>270.09890077610498</v>
      </c>
      <c r="BS36" s="2081">
        <f t="shared" ref="BS36:CX36" ca="1" si="55">BS25-BS35</f>
        <v>282.81918040839236</v>
      </c>
      <c r="BT36" s="2082">
        <f t="shared" ca="1" si="55"/>
        <v>263.55322696083363</v>
      </c>
      <c r="BU36" s="2082">
        <f t="shared" ca="1" si="55"/>
        <v>271.86897389322655</v>
      </c>
      <c r="BV36" s="2083">
        <f t="shared" ca="1" si="55"/>
        <v>285.08211952967736</v>
      </c>
      <c r="BW36" s="2081">
        <f t="shared" ca="1" si="55"/>
        <v>298.47702469043901</v>
      </c>
      <c r="BX36" s="2082">
        <f t="shared" ca="1" si="55"/>
        <v>277.31704924761118</v>
      </c>
      <c r="BY36" s="2082">
        <f t="shared" ca="1" si="55"/>
        <v>286.04764519852921</v>
      </c>
      <c r="BZ36" s="2083">
        <f t="shared" ca="1" si="55"/>
        <v>298.93778391394517</v>
      </c>
      <c r="CA36" s="2081">
        <f t="shared" ca="1" si="55"/>
        <v>305.82223413263847</v>
      </c>
      <c r="CB36" s="2082">
        <f t="shared" ca="1" si="55"/>
        <v>271.69468700430571</v>
      </c>
      <c r="CC36" s="2082">
        <f t="shared" ca="1" si="55"/>
        <v>287.87512211930169</v>
      </c>
      <c r="CD36" s="2083">
        <f t="shared" ca="1" si="55"/>
        <v>309.56324353653167</v>
      </c>
      <c r="CE36" s="2081">
        <f t="shared" ca="1" si="55"/>
        <v>327.10800625888851</v>
      </c>
      <c r="CF36" s="2082">
        <f t="shared" ca="1" si="55"/>
        <v>281.9028688042618</v>
      </c>
      <c r="CG36" s="2082">
        <f t="shared" ca="1" si="55"/>
        <v>288.84438486587464</v>
      </c>
      <c r="CH36" s="2083">
        <f t="shared" ca="1" si="55"/>
        <v>301.03556387984781</v>
      </c>
      <c r="CI36" s="2081">
        <f t="shared" ca="1" si="55"/>
        <v>312.90912052059241</v>
      </c>
      <c r="CJ36" s="2082">
        <f t="shared" ca="1" si="55"/>
        <v>236.17887483993348</v>
      </c>
      <c r="CK36" s="2082">
        <f t="shared" ca="1" si="55"/>
        <v>225.69956146311145</v>
      </c>
      <c r="CL36" s="2083">
        <f t="shared" ca="1" si="55"/>
        <v>219.9000641541819</v>
      </c>
      <c r="CM36" s="2081">
        <f t="shared" ca="1" si="55"/>
        <v>210.12165311888606</v>
      </c>
      <c r="CN36" s="2082">
        <f t="shared" ca="1" si="55"/>
        <v>153.51599301097173</v>
      </c>
      <c r="CO36" s="2082">
        <f t="shared" ca="1" si="55"/>
        <v>165.52843257241338</v>
      </c>
      <c r="CP36" s="2083">
        <f t="shared" ca="1" si="55"/>
        <v>182.30808011563357</v>
      </c>
      <c r="CQ36" s="2081">
        <f t="shared" ca="1" si="55"/>
        <v>191.52708262000766</v>
      </c>
      <c r="CR36" s="2082">
        <f t="shared" ca="1" si="55"/>
        <v>128.91008635363252</v>
      </c>
      <c r="CS36" s="2082">
        <f t="shared" ca="1" si="55"/>
        <v>144.89740825966481</v>
      </c>
      <c r="CT36" s="2083">
        <f t="shared" ca="1" si="55"/>
        <v>167.48552303195098</v>
      </c>
      <c r="CU36" s="2081">
        <f t="shared" ca="1" si="55"/>
        <v>188.27258863394732</v>
      </c>
      <c r="CV36" s="2082">
        <f t="shared" ca="1" si="55"/>
        <v>124.63582200822545</v>
      </c>
      <c r="CW36" s="2082">
        <f t="shared" ca="1" si="55"/>
        <v>142.02610765039574</v>
      </c>
      <c r="CX36" s="2083">
        <f t="shared" ca="1" si="55"/>
        <v>166.46202807923515</v>
      </c>
      <c r="CY36" s="2081">
        <f t="shared" ref="CY36:ED36" ca="1" si="56">CY25-CY35</f>
        <v>181.01063287045284</v>
      </c>
      <c r="CZ36" s="2082">
        <f t="shared" ca="1" si="56"/>
        <v>126.55363638144918</v>
      </c>
      <c r="DA36" s="2082">
        <f t="shared" ca="1" si="56"/>
        <v>148.10162902498158</v>
      </c>
      <c r="DB36" s="2083">
        <f t="shared" ca="1" si="56"/>
        <v>178.56709656536879</v>
      </c>
      <c r="DC36" s="2081">
        <f t="shared" ca="1" si="56"/>
        <v>201.49999395710293</v>
      </c>
      <c r="DD36" s="2082">
        <f t="shared" ca="1" si="56"/>
        <v>134.27492862131498</v>
      </c>
      <c r="DE36" s="2082">
        <f t="shared" ca="1" si="56"/>
        <v>160.5299469008603</v>
      </c>
      <c r="DF36" s="2083">
        <f t="shared" ca="1" si="56"/>
        <v>195.45996182272592</v>
      </c>
      <c r="DG36" s="2081">
        <f t="shared" ca="1" si="56"/>
        <v>225.76014955832895</v>
      </c>
      <c r="DH36" s="2082">
        <f t="shared" ca="1" si="56"/>
        <v>154.10608037548408</v>
      </c>
      <c r="DI36" s="2082">
        <f t="shared" ca="1" si="56"/>
        <v>182.08310177904224</v>
      </c>
      <c r="DJ36" s="2083">
        <f t="shared" ca="1" si="56"/>
        <v>218.81004199766926</v>
      </c>
      <c r="DK36" s="2081">
        <f t="shared" ca="1" si="56"/>
        <v>245.88823367080761</v>
      </c>
      <c r="DL36" s="2082">
        <f t="shared" ca="1" si="56"/>
        <v>174.8145724348206</v>
      </c>
      <c r="DM36" s="2082">
        <f t="shared" ca="1" si="56"/>
        <v>199.02769380241045</v>
      </c>
      <c r="DN36" s="2083">
        <f t="shared" ca="1" si="56"/>
        <v>232.90470089842648</v>
      </c>
      <c r="DO36" s="2081">
        <f t="shared" ca="1" si="56"/>
        <v>257.26213237410741</v>
      </c>
      <c r="DP36" s="2082">
        <f t="shared" ca="1" si="56"/>
        <v>197.04764420508013</v>
      </c>
      <c r="DQ36" s="2082">
        <f t="shared" ca="1" si="56"/>
        <v>220.76709103233222</v>
      </c>
      <c r="DR36" s="2083">
        <f t="shared" ca="1" si="56"/>
        <v>254.54174373871194</v>
      </c>
      <c r="DS36" s="2081">
        <f t="shared" ca="1" si="56"/>
        <v>283.91973669071086</v>
      </c>
      <c r="DT36" s="2082">
        <f t="shared" ca="1" si="56"/>
        <v>257.97365079329836</v>
      </c>
      <c r="DU36" s="2082">
        <f t="shared" ca="1" si="56"/>
        <v>284.29864984284029</v>
      </c>
      <c r="DV36" s="2083">
        <f t="shared" ca="1" si="56"/>
        <v>320.05430333636014</v>
      </c>
      <c r="DW36" s="2081">
        <f t="shared" ca="1" si="56"/>
        <v>344.78214698073231</v>
      </c>
      <c r="DX36" s="2082">
        <f t="shared" ca="1" si="56"/>
        <v>305.12200320752606</v>
      </c>
      <c r="DY36" s="2082">
        <f t="shared" ca="1" si="56"/>
        <v>324.68833430400406</v>
      </c>
      <c r="DZ36" s="2083">
        <f t="shared" ca="1" si="56"/>
        <v>354.96240964817827</v>
      </c>
      <c r="EA36" s="2081">
        <f t="shared" ca="1" si="56"/>
        <v>377.66174104798932</v>
      </c>
      <c r="EB36" s="2082">
        <f t="shared" ca="1" si="56"/>
        <v>353.57929200486967</v>
      </c>
      <c r="EC36" s="2082">
        <f t="shared" ca="1" si="56"/>
        <v>382.79167116125126</v>
      </c>
      <c r="ED36" s="2083">
        <f t="shared" ca="1" si="56"/>
        <v>421.62267582922573</v>
      </c>
      <c r="EE36" s="2081">
        <f t="shared" ref="EE36:FJ36" ca="1" si="57">EE25-EE35</f>
        <v>453.89899692607617</v>
      </c>
      <c r="EF36" s="2082">
        <f t="shared" ca="1" si="57"/>
        <v>416.01380753977242</v>
      </c>
      <c r="EG36" s="2082">
        <f t="shared" ca="1" si="57"/>
        <v>435.69639266813209</v>
      </c>
      <c r="EH36" s="2083">
        <f t="shared" ca="1" si="57"/>
        <v>465.78216552983667</v>
      </c>
      <c r="EI36" s="2081">
        <f t="shared" ca="1" si="57"/>
        <v>483.7910434792326</v>
      </c>
      <c r="EJ36" s="2082">
        <f t="shared" ca="1" si="57"/>
        <v>445.78767479577931</v>
      </c>
      <c r="EK36" s="2082">
        <f t="shared" ca="1" si="57"/>
        <v>472.59424946440288</v>
      </c>
      <c r="EL36" s="2083">
        <f t="shared" ca="1" si="57"/>
        <v>511.13375758613921</v>
      </c>
      <c r="EM36" s="2081">
        <f t="shared" ca="1" si="57"/>
        <v>539.67409344298403</v>
      </c>
      <c r="EN36" s="2082">
        <f t="shared" ca="1" si="57"/>
        <v>506.52931962871776</v>
      </c>
      <c r="EO36" s="2082">
        <f t="shared" ca="1" si="57"/>
        <v>536.15117697197661</v>
      </c>
      <c r="EP36" s="2083">
        <f t="shared" ca="1" si="57"/>
        <v>577.13079208467479</v>
      </c>
      <c r="EQ36" s="2081">
        <f t="shared" ca="1" si="57"/>
        <v>611.43833360225244</v>
      </c>
      <c r="ER36" s="2082">
        <f t="shared" ca="1" si="57"/>
        <v>576.35863663912801</v>
      </c>
      <c r="ES36" s="2082">
        <f t="shared" ca="1" si="57"/>
        <v>604.53726876343546</v>
      </c>
      <c r="ET36" s="2083">
        <f t="shared" ca="1" si="57"/>
        <v>644.16394006768121</v>
      </c>
      <c r="EU36" s="2081">
        <f t="shared" ca="1" si="57"/>
        <v>669.64531639395648</v>
      </c>
      <c r="EV36" s="2082">
        <f t="shared" ca="1" si="57"/>
        <v>627.56818761305749</v>
      </c>
      <c r="EW36" s="2082">
        <f t="shared" ca="1" si="57"/>
        <v>658.85949737782664</v>
      </c>
      <c r="EX36" s="2083">
        <f t="shared" ca="1" si="57"/>
        <v>703.45517901516905</v>
      </c>
      <c r="EY36" s="2081">
        <f t="shared" ca="1" si="57"/>
        <v>735.67218026404157</v>
      </c>
      <c r="EZ36" s="2082">
        <f t="shared" ca="1" si="57"/>
        <v>691.3801994799303</v>
      </c>
      <c r="FA36" s="2082">
        <f t="shared" ca="1" si="57"/>
        <v>720.69418301180633</v>
      </c>
      <c r="FB36" s="2083">
        <f t="shared" ca="1" si="57"/>
        <v>763.35615088698182</v>
      </c>
      <c r="FC36" s="2081">
        <f t="shared" ca="1" si="57"/>
        <v>797.18718084750981</v>
      </c>
      <c r="FD36" s="2082">
        <f t="shared" ca="1" si="57"/>
        <v>754.77717416265727</v>
      </c>
      <c r="FE36" s="2082">
        <f t="shared" ca="1" si="57"/>
        <v>787.58609223559483</v>
      </c>
      <c r="FF36" s="2083">
        <f t="shared" ca="1" si="57"/>
        <v>834.03915279061528</v>
      </c>
      <c r="FG36" s="2081">
        <f t="shared" ca="1" si="57"/>
        <v>865.56362673552246</v>
      </c>
      <c r="FH36" s="2082">
        <f t="shared" ca="1" si="57"/>
        <v>812.59641125851363</v>
      </c>
      <c r="FI36" s="2082">
        <f t="shared" ca="1" si="57"/>
        <v>841.1940465232426</v>
      </c>
      <c r="FJ36" s="2083">
        <f t="shared" ca="1" si="57"/>
        <v>884.60100946589307</v>
      </c>
      <c r="FK36" s="2081">
        <f t="shared" ref="FK36:GD36" ca="1" si="58">FK25-FK35</f>
        <v>913.92929925770648</v>
      </c>
      <c r="FL36" s="2082">
        <f t="shared" ca="1" si="58"/>
        <v>827.15152903783996</v>
      </c>
      <c r="FM36" s="2082">
        <f t="shared" ca="1" si="58"/>
        <v>0</v>
      </c>
      <c r="FN36" s="2083">
        <f t="shared" ca="1" si="58"/>
        <v>0</v>
      </c>
      <c r="FO36" s="2081">
        <f t="shared" ca="1" si="58"/>
        <v>0</v>
      </c>
      <c r="FP36" s="2082">
        <f t="shared" ca="1" si="58"/>
        <v>0</v>
      </c>
      <c r="FQ36" s="2082">
        <f t="shared" ca="1" si="58"/>
        <v>0</v>
      </c>
      <c r="FR36" s="2083">
        <f t="shared" ca="1" si="58"/>
        <v>0</v>
      </c>
      <c r="FS36" s="2081">
        <f t="shared" ca="1" si="58"/>
        <v>0</v>
      </c>
      <c r="FT36" s="2082">
        <f t="shared" ca="1" si="58"/>
        <v>0</v>
      </c>
      <c r="FU36" s="2082">
        <f t="shared" ca="1" si="58"/>
        <v>0</v>
      </c>
      <c r="FV36" s="2083">
        <f t="shared" ca="1" si="58"/>
        <v>0</v>
      </c>
      <c r="FW36" s="2081">
        <f t="shared" ca="1" si="58"/>
        <v>0</v>
      </c>
      <c r="FX36" s="2082">
        <f t="shared" ca="1" si="58"/>
        <v>0</v>
      </c>
      <c r="FY36" s="2082">
        <f t="shared" ca="1" si="58"/>
        <v>0</v>
      </c>
      <c r="FZ36" s="2083">
        <f t="shared" ca="1" si="58"/>
        <v>0</v>
      </c>
      <c r="GA36" s="2081">
        <f t="shared" ca="1" si="58"/>
        <v>0</v>
      </c>
      <c r="GB36" s="2082">
        <f t="shared" ca="1" si="58"/>
        <v>0</v>
      </c>
      <c r="GC36" s="2082">
        <f t="shared" ca="1" si="58"/>
        <v>0</v>
      </c>
      <c r="GD36" s="2083">
        <f t="shared" ca="1" si="58"/>
        <v>0</v>
      </c>
    </row>
    <row r="37" spans="2:186" ht="15" customHeight="1">
      <c r="B37" s="2064"/>
      <c r="C37" s="2068"/>
      <c r="D37" s="2068"/>
      <c r="E37" s="2068"/>
      <c r="F37" s="2084"/>
      <c r="G37" s="2084"/>
      <c r="H37" s="2084"/>
      <c r="I37" s="2084"/>
      <c r="J37" s="2084"/>
      <c r="K37" s="2084"/>
      <c r="L37" s="2084"/>
      <c r="M37" s="2084"/>
      <c r="N37" s="2084"/>
      <c r="O37" s="2084"/>
      <c r="P37" s="2084"/>
      <c r="Q37" s="2084"/>
      <c r="R37" s="2084"/>
      <c r="S37" s="2084"/>
      <c r="T37" s="2084"/>
      <c r="U37" s="2084"/>
      <c r="V37" s="2084"/>
      <c r="W37" s="2084"/>
      <c r="X37" s="2084"/>
      <c r="Y37" s="2084"/>
      <c r="Z37" s="2084"/>
      <c r="AA37" s="2084"/>
      <c r="AB37" s="2084"/>
      <c r="AC37" s="2084"/>
      <c r="AD37" s="2084"/>
      <c r="AE37" s="2084"/>
      <c r="AF37" s="2084"/>
      <c r="AG37" s="2084"/>
      <c r="AH37" s="2084"/>
      <c r="AI37" s="2084"/>
      <c r="AJ37" s="2084"/>
      <c r="AK37" s="2084"/>
      <c r="AL37" s="2084"/>
      <c r="AM37" s="2084"/>
      <c r="AN37" s="2084"/>
      <c r="AO37" s="2084"/>
      <c r="AP37" s="2084"/>
      <c r="AQ37" s="2084"/>
      <c r="AR37" s="2084"/>
      <c r="AS37" s="2084"/>
      <c r="AT37" s="2084"/>
      <c r="AU37" s="2084"/>
      <c r="AV37" s="2084"/>
      <c r="AW37" s="2084"/>
      <c r="AX37" s="2084"/>
      <c r="AY37" s="2084"/>
      <c r="AZ37" s="2084"/>
      <c r="BA37" s="2084"/>
      <c r="BB37" s="2084"/>
      <c r="BC37" s="2084"/>
      <c r="BD37" s="2084"/>
      <c r="BE37" s="2084"/>
      <c r="BF37" s="2084"/>
      <c r="BG37" s="2084"/>
      <c r="BH37" s="2084"/>
      <c r="BI37" s="2084"/>
      <c r="BJ37" s="2084"/>
      <c r="BK37" s="2084"/>
      <c r="BL37" s="2084"/>
      <c r="BM37" s="2084"/>
      <c r="BN37" s="2084"/>
      <c r="BO37" s="2084"/>
      <c r="BP37" s="2084"/>
      <c r="BQ37" s="2084"/>
      <c r="BR37" s="2084"/>
      <c r="BS37" s="2084"/>
      <c r="BT37" s="2084"/>
      <c r="BU37" s="2084"/>
      <c r="BV37" s="2084"/>
      <c r="BW37" s="2084"/>
      <c r="BX37" s="2084"/>
      <c r="BY37" s="2084"/>
      <c r="BZ37" s="2084"/>
      <c r="CA37" s="2084"/>
      <c r="CB37" s="2084"/>
      <c r="CC37" s="2084"/>
      <c r="CD37" s="2084"/>
      <c r="CE37" s="2084"/>
      <c r="CF37" s="2084"/>
      <c r="CG37" s="2084"/>
      <c r="CH37" s="2084"/>
      <c r="CI37" s="2084"/>
      <c r="CJ37" s="2084"/>
      <c r="CK37" s="2084"/>
      <c r="CL37" s="2084"/>
      <c r="CM37" s="2084"/>
      <c r="CN37" s="2084"/>
      <c r="CO37" s="2084"/>
      <c r="CP37" s="2084"/>
      <c r="CQ37" s="2084"/>
      <c r="CR37" s="2084"/>
      <c r="CS37" s="2084"/>
      <c r="CT37" s="2084"/>
      <c r="CU37" s="2084"/>
      <c r="CV37" s="2084"/>
      <c r="CW37" s="2084"/>
      <c r="CX37" s="2084"/>
      <c r="CY37" s="2084"/>
      <c r="CZ37" s="2084"/>
      <c r="DA37" s="2084"/>
      <c r="DB37" s="2084"/>
      <c r="DC37" s="2084"/>
      <c r="DD37" s="2084"/>
      <c r="DE37" s="2084"/>
      <c r="DF37" s="2084"/>
      <c r="DG37" s="2084"/>
      <c r="DH37" s="2084"/>
      <c r="DI37" s="2084"/>
      <c r="DJ37" s="2084"/>
      <c r="DK37" s="2084"/>
      <c r="DL37" s="2084"/>
      <c r="DM37" s="2084"/>
      <c r="DN37" s="2084"/>
      <c r="DO37" s="2084"/>
      <c r="DP37" s="2084"/>
      <c r="DQ37" s="2084"/>
      <c r="DR37" s="2084"/>
      <c r="DS37" s="2084"/>
      <c r="DT37" s="2084"/>
      <c r="DU37" s="2084"/>
      <c r="DV37" s="2084"/>
      <c r="DW37" s="2084"/>
      <c r="DX37" s="2084"/>
      <c r="DY37" s="2084"/>
      <c r="DZ37" s="2084"/>
      <c r="EA37" s="2084"/>
      <c r="EB37" s="2084"/>
      <c r="EC37" s="2084"/>
      <c r="ED37" s="2084"/>
      <c r="EE37" s="2084"/>
      <c r="EF37" s="2084"/>
      <c r="EG37" s="2084"/>
      <c r="EH37" s="2084"/>
      <c r="EI37" s="2084"/>
      <c r="EJ37" s="2084"/>
      <c r="EK37" s="2084"/>
      <c r="EL37" s="2084"/>
      <c r="EM37" s="2084"/>
      <c r="EN37" s="2084"/>
      <c r="EO37" s="2084"/>
      <c r="EP37" s="2084"/>
      <c r="EQ37" s="2084"/>
      <c r="ER37" s="2084"/>
      <c r="ES37" s="2084"/>
      <c r="ET37" s="2084"/>
      <c r="EU37" s="2084"/>
      <c r="EV37" s="2084"/>
      <c r="EW37" s="2084"/>
      <c r="EX37" s="2084"/>
      <c r="EY37" s="2084"/>
      <c r="EZ37" s="2084"/>
      <c r="FA37" s="2084"/>
      <c r="FB37" s="2084"/>
      <c r="FC37" s="2084"/>
      <c r="FD37" s="2084"/>
      <c r="FE37" s="2084"/>
      <c r="FF37" s="2084"/>
      <c r="FG37" s="2084"/>
      <c r="FH37" s="2084"/>
      <c r="FI37" s="2084"/>
      <c r="FJ37" s="2084"/>
      <c r="FK37" s="2084"/>
      <c r="FL37" s="2084"/>
      <c r="FM37" s="2084"/>
      <c r="FN37" s="2084"/>
      <c r="FO37" s="2084"/>
      <c r="FP37" s="2084"/>
      <c r="FQ37" s="2084"/>
      <c r="FR37" s="2084"/>
      <c r="FS37" s="2084"/>
      <c r="FT37" s="2084"/>
      <c r="FU37" s="2084"/>
      <c r="FV37" s="2084"/>
      <c r="FW37" s="2084"/>
      <c r="FX37" s="2084"/>
      <c r="FY37" s="2084"/>
      <c r="FZ37" s="2084"/>
      <c r="GA37" s="2084"/>
      <c r="GB37" s="2084"/>
      <c r="GC37" s="2084"/>
      <c r="GD37" s="2084"/>
    </row>
    <row r="38" spans="2:186" ht="15" customHeight="1">
      <c r="B38" s="2065">
        <v>4</v>
      </c>
      <c r="C38" s="2065" t="s">
        <v>1238</v>
      </c>
      <c r="D38" s="5399"/>
      <c r="E38" s="5399"/>
      <c r="F38" s="469"/>
      <c r="G38" s="469"/>
      <c r="H38" s="469"/>
      <c r="I38" s="469"/>
      <c r="J38" s="469"/>
      <c r="K38" s="469"/>
      <c r="L38" s="469"/>
      <c r="M38" s="469"/>
      <c r="N38" s="469"/>
      <c r="O38" s="469"/>
      <c r="P38" s="469"/>
      <c r="Q38" s="469"/>
      <c r="R38" s="469"/>
      <c r="S38" s="469"/>
      <c r="T38" s="469"/>
      <c r="U38" s="469"/>
      <c r="V38" s="469"/>
      <c r="W38" s="469"/>
      <c r="X38" s="469"/>
      <c r="Y38" s="469"/>
      <c r="Z38" s="469"/>
      <c r="AA38" s="469"/>
      <c r="AB38" s="469"/>
      <c r="AC38" s="469"/>
      <c r="AD38" s="469"/>
      <c r="AE38" s="469"/>
      <c r="AF38" s="469"/>
      <c r="AG38" s="469"/>
      <c r="AH38" s="469"/>
      <c r="AI38" s="469"/>
      <c r="AJ38" s="469"/>
      <c r="AK38" s="469"/>
      <c r="AL38" s="469"/>
      <c r="AM38" s="469"/>
      <c r="AN38" s="469"/>
      <c r="AO38" s="469"/>
      <c r="AP38" s="469"/>
      <c r="AQ38" s="469"/>
      <c r="AR38" s="469"/>
      <c r="AS38" s="469"/>
      <c r="AT38" s="469"/>
      <c r="AU38" s="469"/>
      <c r="AV38" s="469"/>
      <c r="AW38" s="469"/>
      <c r="AX38" s="469"/>
      <c r="AY38" s="469"/>
      <c r="AZ38" s="469"/>
      <c r="BA38" s="469"/>
      <c r="BB38" s="469"/>
      <c r="BC38" s="469"/>
      <c r="BD38" s="469"/>
      <c r="BE38" s="469"/>
      <c r="BF38" s="469"/>
      <c r="BG38" s="469"/>
      <c r="BH38" s="469"/>
      <c r="BI38" s="469"/>
      <c r="BJ38" s="469"/>
      <c r="BK38" s="469"/>
      <c r="BL38" s="469"/>
      <c r="BM38" s="469"/>
      <c r="BN38" s="469"/>
      <c r="BO38" s="469"/>
      <c r="BP38" s="469"/>
      <c r="BQ38" s="469"/>
      <c r="BR38" s="469"/>
      <c r="BS38" s="469"/>
      <c r="BT38" s="469"/>
      <c r="BU38" s="469"/>
      <c r="BV38" s="469"/>
      <c r="BW38" s="469"/>
      <c r="BX38" s="469"/>
      <c r="BY38" s="469"/>
      <c r="BZ38" s="469"/>
      <c r="CA38" s="469"/>
      <c r="CB38" s="469"/>
      <c r="CC38" s="469"/>
      <c r="CD38" s="469"/>
      <c r="CE38" s="469"/>
      <c r="CF38" s="469"/>
      <c r="CG38" s="469"/>
      <c r="CH38" s="469"/>
      <c r="CI38" s="469"/>
      <c r="CJ38" s="469"/>
      <c r="CK38" s="469"/>
      <c r="CL38" s="469"/>
      <c r="CM38" s="469"/>
      <c r="CN38" s="469"/>
      <c r="CO38" s="469"/>
      <c r="CP38" s="469"/>
      <c r="CQ38" s="469"/>
      <c r="CR38" s="469"/>
      <c r="CS38" s="469"/>
      <c r="CT38" s="469"/>
      <c r="CU38" s="469"/>
      <c r="CV38" s="469"/>
      <c r="CW38" s="469"/>
      <c r="CX38" s="469"/>
      <c r="CY38" s="469"/>
      <c r="CZ38" s="469"/>
      <c r="DA38" s="469"/>
      <c r="DB38" s="469"/>
      <c r="DC38" s="469"/>
      <c r="DD38" s="469"/>
      <c r="DE38" s="469"/>
      <c r="DF38" s="469"/>
      <c r="DG38" s="469"/>
      <c r="DH38" s="469"/>
      <c r="DI38" s="469"/>
      <c r="DJ38" s="469"/>
      <c r="DK38" s="469"/>
      <c r="DL38" s="469"/>
      <c r="DM38" s="469"/>
      <c r="DN38" s="469"/>
      <c r="DO38" s="469"/>
      <c r="DP38" s="469"/>
      <c r="DQ38" s="469"/>
      <c r="DR38" s="469"/>
      <c r="DS38" s="469"/>
      <c r="DT38" s="469"/>
      <c r="DU38" s="469"/>
      <c r="DV38" s="469"/>
      <c r="DW38" s="469"/>
      <c r="DX38" s="469"/>
      <c r="DY38" s="469"/>
      <c r="DZ38" s="469"/>
      <c r="EA38" s="469"/>
      <c r="EB38" s="469"/>
      <c r="EC38" s="469"/>
      <c r="ED38" s="469"/>
      <c r="EE38" s="469"/>
      <c r="EF38" s="469"/>
      <c r="EG38" s="469"/>
      <c r="EH38" s="469"/>
      <c r="EI38" s="469"/>
      <c r="EJ38" s="469"/>
      <c r="EK38" s="469"/>
      <c r="EL38" s="469"/>
      <c r="EM38" s="469"/>
      <c r="EN38" s="469"/>
      <c r="EO38" s="469"/>
      <c r="EP38" s="469"/>
      <c r="EQ38" s="469"/>
      <c r="ER38" s="469"/>
      <c r="ES38" s="469"/>
      <c r="ET38" s="469"/>
      <c r="EU38" s="469"/>
      <c r="EV38" s="469"/>
      <c r="EW38" s="469"/>
      <c r="EX38" s="469"/>
      <c r="EY38" s="469"/>
      <c r="EZ38" s="469"/>
      <c r="FA38" s="469"/>
      <c r="FB38" s="469"/>
      <c r="FC38" s="469"/>
      <c r="FD38" s="469"/>
      <c r="FE38" s="469"/>
      <c r="FF38" s="469"/>
      <c r="FG38" s="469"/>
      <c r="FH38" s="469"/>
      <c r="FI38" s="469"/>
      <c r="FJ38" s="469"/>
      <c r="FK38" s="469"/>
      <c r="FL38" s="469"/>
      <c r="FM38" s="469"/>
      <c r="FN38" s="469"/>
      <c r="FO38" s="469"/>
      <c r="FP38" s="469"/>
      <c r="FQ38" s="469"/>
      <c r="FR38" s="469"/>
      <c r="FS38" s="469"/>
      <c r="FT38" s="469"/>
      <c r="FU38" s="469"/>
      <c r="FV38" s="469"/>
      <c r="FW38" s="469"/>
      <c r="FX38" s="469"/>
      <c r="FY38" s="469"/>
      <c r="FZ38" s="469"/>
      <c r="GA38" s="469"/>
      <c r="GB38" s="469"/>
      <c r="GC38" s="469"/>
      <c r="GD38" s="469"/>
    </row>
    <row r="39" spans="2:186" ht="15" customHeight="1">
      <c r="C39" s="4767" t="s">
        <v>1238</v>
      </c>
      <c r="D39" s="2120"/>
      <c r="E39" s="5400"/>
      <c r="F39" s="5401">
        <f ca="1">SUM(G39:GD39)</f>
        <v>2.6999999999999997</v>
      </c>
      <c r="G39" s="5402">
        <f>'CF(Q)'!W21</f>
        <v>0</v>
      </c>
      <c r="H39" s="5403">
        <f>'CF(Q)'!X21</f>
        <v>0</v>
      </c>
      <c r="I39" s="5403">
        <f>'CF(Q)'!Y21</f>
        <v>0</v>
      </c>
      <c r="J39" s="5404">
        <f>'CF(Q)'!Z21</f>
        <v>0</v>
      </c>
      <c r="K39" s="5402">
        <f>'CF(Q)'!AA21</f>
        <v>0</v>
      </c>
      <c r="L39" s="5403">
        <f>'CF(Q)'!AB21</f>
        <v>0</v>
      </c>
      <c r="M39" s="5403">
        <f>'CF(Q)'!AC21</f>
        <v>0</v>
      </c>
      <c r="N39" s="5404">
        <f>'CF(Q)'!AD21</f>
        <v>0</v>
      </c>
      <c r="O39" s="5402">
        <f ca="1">'CF(Q)'!AE21</f>
        <v>0.3</v>
      </c>
      <c r="P39" s="5403">
        <f ca="1">'CF(Q)'!AF21</f>
        <v>0</v>
      </c>
      <c r="Q39" s="5403">
        <f ca="1">'CF(Q)'!AG21</f>
        <v>0</v>
      </c>
      <c r="R39" s="5404">
        <f ca="1">'CF(Q)'!AH21</f>
        <v>0</v>
      </c>
      <c r="S39" s="5402">
        <f ca="1">'CF(Q)'!AI21</f>
        <v>0.3</v>
      </c>
      <c r="T39" s="5403">
        <f ca="1">'CF(Q)'!AJ21</f>
        <v>0</v>
      </c>
      <c r="U39" s="5403">
        <f ca="1">'CF(Q)'!AK21</f>
        <v>0</v>
      </c>
      <c r="V39" s="5404">
        <f ca="1">'CF(Q)'!AL21</f>
        <v>0</v>
      </c>
      <c r="W39" s="5402">
        <f ca="1">'CF(Q)'!AM21</f>
        <v>0.3</v>
      </c>
      <c r="X39" s="5403">
        <f ca="1">'CF(Q)'!AN21</f>
        <v>0</v>
      </c>
      <c r="Y39" s="5403">
        <f ca="1">'CF(Q)'!AO21</f>
        <v>0</v>
      </c>
      <c r="Z39" s="5404">
        <f ca="1">'CF(Q)'!AP21</f>
        <v>0</v>
      </c>
      <c r="AA39" s="5402">
        <f ca="1">'CF(Q)'!AQ21</f>
        <v>0.3</v>
      </c>
      <c r="AB39" s="5403">
        <f ca="1">'CF(Q)'!AR21</f>
        <v>0</v>
      </c>
      <c r="AC39" s="5403">
        <f ca="1">'CF(Q)'!AS21</f>
        <v>0</v>
      </c>
      <c r="AD39" s="5404">
        <f ca="1">'CF(Q)'!AT21</f>
        <v>0</v>
      </c>
      <c r="AE39" s="5402">
        <f ca="1">'CF(Q)'!AU21</f>
        <v>0.3</v>
      </c>
      <c r="AF39" s="5403">
        <f ca="1">'CF(Q)'!AV21</f>
        <v>0</v>
      </c>
      <c r="AG39" s="5403">
        <f ca="1">'CF(Q)'!AW21</f>
        <v>0</v>
      </c>
      <c r="AH39" s="5404">
        <f ca="1">'CF(Q)'!AX21</f>
        <v>0</v>
      </c>
      <c r="AI39" s="5402">
        <f ca="1">'CF(Q)'!AY21</f>
        <v>0.3</v>
      </c>
      <c r="AJ39" s="5403">
        <f ca="1">'CF(Q)'!AZ21</f>
        <v>0</v>
      </c>
      <c r="AK39" s="5403">
        <f ca="1">'CF(Q)'!BA21</f>
        <v>0</v>
      </c>
      <c r="AL39" s="5404">
        <f ca="1">'CF(Q)'!BB21</f>
        <v>0</v>
      </c>
      <c r="AM39" s="5402">
        <f ca="1">'CF(Q)'!BC21</f>
        <v>0.3</v>
      </c>
      <c r="AN39" s="5403">
        <f ca="1">'CF(Q)'!BD21</f>
        <v>0</v>
      </c>
      <c r="AO39" s="5403">
        <f ca="1">'CF(Q)'!BE21</f>
        <v>0</v>
      </c>
      <c r="AP39" s="5404">
        <f ca="1">'CF(Q)'!BF21</f>
        <v>0</v>
      </c>
      <c r="AQ39" s="5402">
        <f ca="1">'CF(Q)'!BG21</f>
        <v>0.3</v>
      </c>
      <c r="AR39" s="5403">
        <f ca="1">'CF(Q)'!BH21</f>
        <v>0</v>
      </c>
      <c r="AS39" s="5403">
        <f ca="1">'CF(Q)'!BI21</f>
        <v>0</v>
      </c>
      <c r="AT39" s="5404">
        <f ca="1">'CF(Q)'!BJ21</f>
        <v>0</v>
      </c>
      <c r="AU39" s="5402">
        <f ca="1">'CF(Q)'!BK21</f>
        <v>0.3</v>
      </c>
      <c r="AV39" s="5403">
        <f ca="1">'CF(Q)'!BL21</f>
        <v>0</v>
      </c>
      <c r="AW39" s="5403">
        <f ca="1">'CF(Q)'!BM21</f>
        <v>0</v>
      </c>
      <c r="AX39" s="5404">
        <f ca="1">'CF(Q)'!BN21</f>
        <v>0</v>
      </c>
      <c r="AY39" s="5402">
        <f ca="1">'CF(Q)'!BO21</f>
        <v>0</v>
      </c>
      <c r="AZ39" s="5403">
        <f ca="1">'CF(Q)'!BP21</f>
        <v>0</v>
      </c>
      <c r="BA39" s="5403">
        <f ca="1">'CF(Q)'!BQ21</f>
        <v>0</v>
      </c>
      <c r="BB39" s="5404">
        <f ca="1">'CF(Q)'!BR21</f>
        <v>0</v>
      </c>
      <c r="BC39" s="5402">
        <f ca="1">'CF(Q)'!BS21</f>
        <v>0</v>
      </c>
      <c r="BD39" s="5403">
        <f ca="1">'CF(Q)'!BT21</f>
        <v>0</v>
      </c>
      <c r="BE39" s="5403">
        <f ca="1">'CF(Q)'!BU21</f>
        <v>0</v>
      </c>
      <c r="BF39" s="5404">
        <f ca="1">'CF(Q)'!BV21</f>
        <v>0</v>
      </c>
      <c r="BG39" s="5402">
        <f ca="1">'CF(Q)'!BW21</f>
        <v>0</v>
      </c>
      <c r="BH39" s="5403">
        <f ca="1">'CF(Q)'!BX21</f>
        <v>0</v>
      </c>
      <c r="BI39" s="5403">
        <f ca="1">'CF(Q)'!BY21</f>
        <v>0</v>
      </c>
      <c r="BJ39" s="5404">
        <f ca="1">'CF(Q)'!BZ21</f>
        <v>0</v>
      </c>
      <c r="BK39" s="5402">
        <f ca="1">'CF(Q)'!CA21</f>
        <v>0</v>
      </c>
      <c r="BL39" s="5403">
        <f ca="1">'CF(Q)'!CB21</f>
        <v>0</v>
      </c>
      <c r="BM39" s="5403">
        <f ca="1">'CF(Q)'!CC21</f>
        <v>0</v>
      </c>
      <c r="BN39" s="5404">
        <f ca="1">'CF(Q)'!CD21</f>
        <v>0</v>
      </c>
      <c r="BO39" s="5402">
        <f ca="1">'CF(Q)'!CE21</f>
        <v>0</v>
      </c>
      <c r="BP39" s="5403">
        <f ca="1">'CF(Q)'!CF21</f>
        <v>0</v>
      </c>
      <c r="BQ39" s="5403">
        <f ca="1">'CF(Q)'!CG21</f>
        <v>0</v>
      </c>
      <c r="BR39" s="5404">
        <f ca="1">'CF(Q)'!CH21</f>
        <v>0</v>
      </c>
      <c r="BS39" s="5402">
        <f ca="1">'CF(Q)'!CI21</f>
        <v>0</v>
      </c>
      <c r="BT39" s="5403">
        <f ca="1">'CF(Q)'!CJ21</f>
        <v>0</v>
      </c>
      <c r="BU39" s="5403">
        <f ca="1">'CF(Q)'!CK21</f>
        <v>0</v>
      </c>
      <c r="BV39" s="5404">
        <f ca="1">'CF(Q)'!CL21</f>
        <v>0</v>
      </c>
      <c r="BW39" s="5402">
        <f ca="1">'CF(Q)'!CM21</f>
        <v>0</v>
      </c>
      <c r="BX39" s="5403">
        <f ca="1">'CF(Q)'!CN21</f>
        <v>0</v>
      </c>
      <c r="BY39" s="5403">
        <f ca="1">'CF(Q)'!CO21</f>
        <v>0</v>
      </c>
      <c r="BZ39" s="5404">
        <f ca="1">'CF(Q)'!CP21</f>
        <v>0</v>
      </c>
      <c r="CA39" s="5402">
        <f ca="1">'CF(Q)'!CQ21</f>
        <v>0</v>
      </c>
      <c r="CB39" s="5403">
        <f ca="1">'CF(Q)'!CR21</f>
        <v>0</v>
      </c>
      <c r="CC39" s="5403">
        <f ca="1">'CF(Q)'!CS21</f>
        <v>0</v>
      </c>
      <c r="CD39" s="5404">
        <f ca="1">'CF(Q)'!CT21</f>
        <v>0</v>
      </c>
      <c r="CE39" s="5402">
        <f ca="1">'CF(Q)'!CU21</f>
        <v>0</v>
      </c>
      <c r="CF39" s="5403">
        <f ca="1">'CF(Q)'!CV21</f>
        <v>0</v>
      </c>
      <c r="CG39" s="5403">
        <f ca="1">'CF(Q)'!CW21</f>
        <v>0</v>
      </c>
      <c r="CH39" s="5404">
        <f ca="1">'CF(Q)'!CX21</f>
        <v>0</v>
      </c>
      <c r="CI39" s="5402">
        <f ca="1">'CF(Q)'!CY21</f>
        <v>0</v>
      </c>
      <c r="CJ39" s="5403">
        <f ca="1">'CF(Q)'!CZ21</f>
        <v>0</v>
      </c>
      <c r="CK39" s="5403">
        <f ca="1">'CF(Q)'!DA21</f>
        <v>0</v>
      </c>
      <c r="CL39" s="5404">
        <f ca="1">'CF(Q)'!DB21</f>
        <v>0</v>
      </c>
      <c r="CM39" s="5402">
        <f ca="1">'CF(Q)'!DC21</f>
        <v>0</v>
      </c>
      <c r="CN39" s="5403">
        <f ca="1">'CF(Q)'!DD21</f>
        <v>0</v>
      </c>
      <c r="CO39" s="5403">
        <f ca="1">'CF(Q)'!DE21</f>
        <v>0</v>
      </c>
      <c r="CP39" s="5404">
        <f ca="1">'CF(Q)'!DF21</f>
        <v>0</v>
      </c>
      <c r="CQ39" s="5402">
        <f ca="1">'CF(Q)'!DG21</f>
        <v>0</v>
      </c>
      <c r="CR39" s="5403">
        <f ca="1">'CF(Q)'!DH21</f>
        <v>0</v>
      </c>
      <c r="CS39" s="5403">
        <f ca="1">'CF(Q)'!DI21</f>
        <v>0</v>
      </c>
      <c r="CT39" s="5404">
        <f ca="1">'CF(Q)'!DJ21</f>
        <v>0</v>
      </c>
      <c r="CU39" s="5402">
        <f ca="1">'CF(Q)'!DK21</f>
        <v>0</v>
      </c>
      <c r="CV39" s="5403">
        <f ca="1">'CF(Q)'!DL21</f>
        <v>0</v>
      </c>
      <c r="CW39" s="5403">
        <f ca="1">'CF(Q)'!DM21</f>
        <v>0</v>
      </c>
      <c r="CX39" s="5404">
        <f ca="1">'CF(Q)'!DN21</f>
        <v>0</v>
      </c>
      <c r="CY39" s="5402">
        <f ca="1">'CF(Q)'!DO21</f>
        <v>0</v>
      </c>
      <c r="CZ39" s="5403">
        <f ca="1">'CF(Q)'!DP21</f>
        <v>0</v>
      </c>
      <c r="DA39" s="5403">
        <f ca="1">'CF(Q)'!DQ21</f>
        <v>0</v>
      </c>
      <c r="DB39" s="5404">
        <f ca="1">'CF(Q)'!DR21</f>
        <v>0</v>
      </c>
      <c r="DC39" s="5402">
        <f ca="1">'CF(Q)'!DS21</f>
        <v>0</v>
      </c>
      <c r="DD39" s="5403">
        <f ca="1">'CF(Q)'!DT21</f>
        <v>0</v>
      </c>
      <c r="DE39" s="5403">
        <f ca="1">'CF(Q)'!DU21</f>
        <v>0</v>
      </c>
      <c r="DF39" s="5404">
        <f ca="1">'CF(Q)'!DV21</f>
        <v>0</v>
      </c>
      <c r="DG39" s="5402">
        <f ca="1">'CF(Q)'!DW21</f>
        <v>0</v>
      </c>
      <c r="DH39" s="5403">
        <f ca="1">'CF(Q)'!DX21</f>
        <v>0</v>
      </c>
      <c r="DI39" s="5403">
        <f ca="1">'CF(Q)'!DY21</f>
        <v>0</v>
      </c>
      <c r="DJ39" s="5404">
        <f ca="1">'CF(Q)'!DZ21</f>
        <v>0</v>
      </c>
      <c r="DK39" s="5402">
        <f ca="1">'CF(Q)'!EA21</f>
        <v>0</v>
      </c>
      <c r="DL39" s="5403">
        <f ca="1">'CF(Q)'!EB21</f>
        <v>0</v>
      </c>
      <c r="DM39" s="5403">
        <f ca="1">'CF(Q)'!EC21</f>
        <v>0</v>
      </c>
      <c r="DN39" s="5404">
        <f ca="1">'CF(Q)'!ED21</f>
        <v>0</v>
      </c>
      <c r="DO39" s="5402">
        <f ca="1">'CF(Q)'!EE21</f>
        <v>0</v>
      </c>
      <c r="DP39" s="5403">
        <f ca="1">'CF(Q)'!EF21</f>
        <v>0</v>
      </c>
      <c r="DQ39" s="5403">
        <f ca="1">'CF(Q)'!EG21</f>
        <v>0</v>
      </c>
      <c r="DR39" s="5404">
        <f ca="1">'CF(Q)'!EH21</f>
        <v>0</v>
      </c>
      <c r="DS39" s="5402">
        <f ca="1">'CF(Q)'!EI21</f>
        <v>0</v>
      </c>
      <c r="DT39" s="5403">
        <f ca="1">'CF(Q)'!EJ21</f>
        <v>0</v>
      </c>
      <c r="DU39" s="5403">
        <f ca="1">'CF(Q)'!EK21</f>
        <v>0</v>
      </c>
      <c r="DV39" s="5404">
        <f ca="1">'CF(Q)'!EL21</f>
        <v>0</v>
      </c>
      <c r="DW39" s="5402">
        <f ca="1">'CF(Q)'!EM21</f>
        <v>0</v>
      </c>
      <c r="DX39" s="5403">
        <f ca="1">'CF(Q)'!EN21</f>
        <v>0</v>
      </c>
      <c r="DY39" s="5403">
        <f ca="1">'CF(Q)'!EO21</f>
        <v>0</v>
      </c>
      <c r="DZ39" s="5404">
        <f ca="1">'CF(Q)'!EP21</f>
        <v>0</v>
      </c>
      <c r="EA39" s="5402">
        <f ca="1">'CF(Q)'!EQ21</f>
        <v>0</v>
      </c>
      <c r="EB39" s="5403">
        <f ca="1">'CF(Q)'!ER21</f>
        <v>0</v>
      </c>
      <c r="EC39" s="5403">
        <f ca="1">'CF(Q)'!ES21</f>
        <v>0</v>
      </c>
      <c r="ED39" s="5404">
        <f ca="1">'CF(Q)'!ET21</f>
        <v>0</v>
      </c>
      <c r="EE39" s="5402">
        <f ca="1">'CF(Q)'!EU21</f>
        <v>0</v>
      </c>
      <c r="EF39" s="5403">
        <f ca="1">'CF(Q)'!EV21</f>
        <v>0</v>
      </c>
      <c r="EG39" s="5403">
        <f ca="1">'CF(Q)'!EW21</f>
        <v>0</v>
      </c>
      <c r="EH39" s="5404">
        <f ca="1">'CF(Q)'!EX21</f>
        <v>0</v>
      </c>
      <c r="EI39" s="5402">
        <f ca="1">'CF(Q)'!EY21</f>
        <v>0</v>
      </c>
      <c r="EJ39" s="5403">
        <f ca="1">'CF(Q)'!EZ21</f>
        <v>0</v>
      </c>
      <c r="EK39" s="5403">
        <f ca="1">'CF(Q)'!FA21</f>
        <v>0</v>
      </c>
      <c r="EL39" s="5404">
        <f ca="1">'CF(Q)'!FB21</f>
        <v>0</v>
      </c>
      <c r="EM39" s="5402">
        <f ca="1">'CF(Q)'!FC21</f>
        <v>0</v>
      </c>
      <c r="EN39" s="5403">
        <f ca="1">'CF(Q)'!FD21</f>
        <v>0</v>
      </c>
      <c r="EO39" s="5403">
        <f ca="1">'CF(Q)'!FE21</f>
        <v>0</v>
      </c>
      <c r="EP39" s="5404">
        <f ca="1">'CF(Q)'!FF21</f>
        <v>0</v>
      </c>
      <c r="EQ39" s="5402">
        <f ca="1">'CF(Q)'!FG21</f>
        <v>0</v>
      </c>
      <c r="ER39" s="5403">
        <f ca="1">'CF(Q)'!FH21</f>
        <v>0</v>
      </c>
      <c r="ES39" s="5403">
        <f ca="1">'CF(Q)'!FI21</f>
        <v>0</v>
      </c>
      <c r="ET39" s="5404">
        <f ca="1">'CF(Q)'!FJ21</f>
        <v>0</v>
      </c>
      <c r="EU39" s="5402">
        <f ca="1">'CF(Q)'!FK21</f>
        <v>0</v>
      </c>
      <c r="EV39" s="5403">
        <f ca="1">'CF(Q)'!FL21</f>
        <v>0</v>
      </c>
      <c r="EW39" s="5403">
        <f ca="1">'CF(Q)'!FM21</f>
        <v>0</v>
      </c>
      <c r="EX39" s="5404">
        <f ca="1">'CF(Q)'!FN21</f>
        <v>0</v>
      </c>
      <c r="EY39" s="5402">
        <f ca="1">'CF(Q)'!FO21</f>
        <v>0</v>
      </c>
      <c r="EZ39" s="5403">
        <f ca="1">'CF(Q)'!FP21</f>
        <v>0</v>
      </c>
      <c r="FA39" s="5403">
        <f ca="1">'CF(Q)'!FQ21</f>
        <v>0</v>
      </c>
      <c r="FB39" s="5404">
        <f ca="1">'CF(Q)'!FR21</f>
        <v>0</v>
      </c>
      <c r="FC39" s="5402">
        <f ca="1">'CF(Q)'!FS21</f>
        <v>0</v>
      </c>
      <c r="FD39" s="5403">
        <f ca="1">'CF(Q)'!FT21</f>
        <v>0</v>
      </c>
      <c r="FE39" s="5403">
        <f ca="1">'CF(Q)'!FU21</f>
        <v>0</v>
      </c>
      <c r="FF39" s="5404">
        <f ca="1">'CF(Q)'!FV21</f>
        <v>0</v>
      </c>
      <c r="FG39" s="5402">
        <f ca="1">'CF(Q)'!FW21</f>
        <v>0</v>
      </c>
      <c r="FH39" s="5403">
        <f ca="1">'CF(Q)'!FX21</f>
        <v>0</v>
      </c>
      <c r="FI39" s="5403">
        <f ca="1">'CF(Q)'!FY21</f>
        <v>0</v>
      </c>
      <c r="FJ39" s="5404">
        <f ca="1">'CF(Q)'!FZ21</f>
        <v>0</v>
      </c>
      <c r="FK39" s="5402">
        <f ca="1">'CF(Q)'!GA21</f>
        <v>0</v>
      </c>
      <c r="FL39" s="5403">
        <f ca="1">'CF(Q)'!GB21</f>
        <v>0</v>
      </c>
      <c r="FM39" s="5403">
        <f ca="1">'CF(Q)'!GC21</f>
        <v>0</v>
      </c>
      <c r="FN39" s="5404">
        <f ca="1">'CF(Q)'!GD21</f>
        <v>0</v>
      </c>
      <c r="FO39" s="5402">
        <f>'CF(Q)'!GE21</f>
        <v>0</v>
      </c>
      <c r="FP39" s="5403">
        <f>'CF(Q)'!GF21</f>
        <v>0</v>
      </c>
      <c r="FQ39" s="5403">
        <f>'CF(Q)'!GG21</f>
        <v>0</v>
      </c>
      <c r="FR39" s="5404">
        <f>'CF(Q)'!GH21</f>
        <v>0</v>
      </c>
      <c r="FS39" s="5402">
        <f>'CF(Q)'!GI21</f>
        <v>0</v>
      </c>
      <c r="FT39" s="5403">
        <f>'CF(Q)'!GJ21</f>
        <v>0</v>
      </c>
      <c r="FU39" s="5403">
        <f>'CF(Q)'!GK21</f>
        <v>0</v>
      </c>
      <c r="FV39" s="5404">
        <f>'CF(Q)'!GL21</f>
        <v>0</v>
      </c>
      <c r="FW39" s="5402">
        <f>'CF(Q)'!GM21</f>
        <v>0</v>
      </c>
      <c r="FX39" s="5403">
        <f>'CF(Q)'!GN21</f>
        <v>0</v>
      </c>
      <c r="FY39" s="5403">
        <f>'CF(Q)'!GO21</f>
        <v>0</v>
      </c>
      <c r="FZ39" s="5404">
        <f>'CF(Q)'!GP21</f>
        <v>0</v>
      </c>
      <c r="GA39" s="5402">
        <f>'CF(Q)'!GQ21</f>
        <v>0</v>
      </c>
      <c r="GB39" s="5403">
        <f>'CF(Q)'!GR21</f>
        <v>0</v>
      </c>
      <c r="GC39" s="5403">
        <f>'CF(Q)'!GS21</f>
        <v>0</v>
      </c>
      <c r="GD39" s="5404">
        <f>'CF(Q)'!GT21</f>
        <v>0</v>
      </c>
    </row>
    <row r="40" spans="2:186" s="414" customFormat="1" ht="15" customHeight="1">
      <c r="B40" s="2065"/>
      <c r="C40" s="2078" t="s">
        <v>5265</v>
      </c>
      <c r="D40" s="2079"/>
      <c r="E40" s="2079"/>
      <c r="F40" s="2080">
        <f ca="1">SUM(G40:GD40)</f>
        <v>44917.643796304968</v>
      </c>
      <c r="G40" s="2081">
        <f ca="1">G36-G39</f>
        <v>191.44410010846403</v>
      </c>
      <c r="H40" s="2082">
        <f t="shared" ref="H40:BS40" ca="1" si="59">H36-H39</f>
        <v>157.4831991785542</v>
      </c>
      <c r="I40" s="2082">
        <f t="shared" ca="1" si="59"/>
        <v>122.93958128855417</v>
      </c>
      <c r="J40" s="2083">
        <f t="shared" ca="1" si="59"/>
        <v>68.188629978554189</v>
      </c>
      <c r="K40" s="2081">
        <f t="shared" ca="1" si="59"/>
        <v>169.31003683855417</v>
      </c>
      <c r="L40" s="2082">
        <f t="shared" ca="1" si="59"/>
        <v>233.17961809933337</v>
      </c>
      <c r="M40" s="2082">
        <f t="shared" ca="1" si="59"/>
        <v>199.26620036571222</v>
      </c>
      <c r="N40" s="2083">
        <f t="shared" ca="1" si="59"/>
        <v>146.7500743157122</v>
      </c>
      <c r="O40" s="2081">
        <f t="shared" ca="1" si="59"/>
        <v>60.094513760000012</v>
      </c>
      <c r="P40" s="2082">
        <f t="shared" ca="1" si="59"/>
        <v>94.003819341793914</v>
      </c>
      <c r="Q40" s="2082">
        <f t="shared" ca="1" si="59"/>
        <v>32.070339053333342</v>
      </c>
      <c r="R40" s="2083">
        <f t="shared" ca="1" si="59"/>
        <v>24.318482586744182</v>
      </c>
      <c r="S40" s="2081">
        <f t="shared" ca="1" si="59"/>
        <v>18.380808682043739</v>
      </c>
      <c r="T40" s="2082">
        <f t="shared" ca="1" si="59"/>
        <v>74.289162949927416</v>
      </c>
      <c r="U40" s="2082">
        <f t="shared" ca="1" si="59"/>
        <v>20.148932124688869</v>
      </c>
      <c r="V40" s="2083">
        <f t="shared" ca="1" si="59"/>
        <v>15.853819893666817</v>
      </c>
      <c r="W40" s="2081">
        <f t="shared" ca="1" si="59"/>
        <v>65.705871103737621</v>
      </c>
      <c r="X40" s="2082">
        <f t="shared" ca="1" si="59"/>
        <v>148.02016517820581</v>
      </c>
      <c r="Y40" s="2082">
        <f t="shared" ca="1" si="59"/>
        <v>107.33010104472888</v>
      </c>
      <c r="Z40" s="2083">
        <f t="shared" ca="1" si="59"/>
        <v>69.625714083597131</v>
      </c>
      <c r="AA40" s="2081">
        <f t="shared" ca="1" si="59"/>
        <v>34.259117530926552</v>
      </c>
      <c r="AB40" s="2082">
        <f t="shared" ca="1" si="59"/>
        <v>138.75883911950038</v>
      </c>
      <c r="AC40" s="2082">
        <f t="shared" ca="1" si="59"/>
        <v>98.788598234936188</v>
      </c>
      <c r="AD40" s="2083">
        <f t="shared" ca="1" si="59"/>
        <v>62.815126702452062</v>
      </c>
      <c r="AE40" s="2081">
        <f t="shared" ca="1" si="59"/>
        <v>14.285915263928683</v>
      </c>
      <c r="AF40" s="2082">
        <f t="shared" ca="1" si="59"/>
        <v>57.413198925972026</v>
      </c>
      <c r="AG40" s="2082">
        <f t="shared" ca="1" si="59"/>
        <v>8.310841755795721</v>
      </c>
      <c r="AH40" s="2083">
        <f t="shared" ca="1" si="59"/>
        <v>12.779110668648023</v>
      </c>
      <c r="AI40" s="2081">
        <f t="shared" ca="1" si="59"/>
        <v>30.073343457206601</v>
      </c>
      <c r="AJ40" s="2082">
        <f t="shared" ca="1" si="59"/>
        <v>31.412433550020047</v>
      </c>
      <c r="AK40" s="2082">
        <f t="shared" ca="1" si="59"/>
        <v>25.731516257490519</v>
      </c>
      <c r="AL40" s="2083">
        <f t="shared" ca="1" si="59"/>
        <v>37.254545215020045</v>
      </c>
      <c r="AM40" s="2081">
        <f t="shared" ca="1" si="59"/>
        <v>69.538919789957404</v>
      </c>
      <c r="AN40" s="2082">
        <f t="shared" ca="1" si="59"/>
        <v>73.778551628084116</v>
      </c>
      <c r="AO40" s="2082">
        <f t="shared" ca="1" si="59"/>
        <v>77.916242703387866</v>
      </c>
      <c r="AP40" s="2083">
        <f t="shared" ca="1" si="59"/>
        <v>82.377596261514583</v>
      </c>
      <c r="AQ40" s="2081">
        <f t="shared" ca="1" si="59"/>
        <v>85.130471939521939</v>
      </c>
      <c r="AR40" s="2082">
        <f t="shared" ca="1" si="59"/>
        <v>91.230671421515424</v>
      </c>
      <c r="AS40" s="2082">
        <f t="shared" ca="1" si="59"/>
        <v>97.190084878798672</v>
      </c>
      <c r="AT40" s="2083">
        <f t="shared" ca="1" si="59"/>
        <v>105.09748420735964</v>
      </c>
      <c r="AU40" s="2081">
        <f t="shared" ca="1" si="59"/>
        <v>111.78067597531474</v>
      </c>
      <c r="AV40" s="2082">
        <f t="shared" ca="1" si="59"/>
        <v>84.4910212615859</v>
      </c>
      <c r="AW40" s="2082">
        <f t="shared" ca="1" si="59"/>
        <v>85.254678162467528</v>
      </c>
      <c r="AX40" s="2083">
        <f t="shared" ca="1" si="59"/>
        <v>98.50142391197241</v>
      </c>
      <c r="AY40" s="2081">
        <f t="shared" ca="1" si="59"/>
        <v>114.16145299759754</v>
      </c>
      <c r="AZ40" s="2082">
        <f t="shared" ca="1" si="59"/>
        <v>114.39699401110389</v>
      </c>
      <c r="BA40" s="2082">
        <f t="shared" ca="1" si="59"/>
        <v>128.186560362775</v>
      </c>
      <c r="BB40" s="2083">
        <f t="shared" ca="1" si="59"/>
        <v>144.17923823100301</v>
      </c>
      <c r="BC40" s="2081">
        <f t="shared" ca="1" si="59"/>
        <v>154.57184126208065</v>
      </c>
      <c r="BD40" s="2082">
        <f t="shared" ca="1" si="59"/>
        <v>136.98944357011788</v>
      </c>
      <c r="BE40" s="2082">
        <f t="shared" ca="1" si="59"/>
        <v>143.74727373299078</v>
      </c>
      <c r="BF40" s="2083">
        <f t="shared" ca="1" si="59"/>
        <v>154.80733086162257</v>
      </c>
      <c r="BG40" s="2081">
        <f t="shared" ca="1" si="59"/>
        <v>164.18218231389858</v>
      </c>
      <c r="BH40" s="2082">
        <f t="shared" ca="1" si="59"/>
        <v>154.10467783872465</v>
      </c>
      <c r="BI40" s="2082">
        <f t="shared" ca="1" si="59"/>
        <v>165.32445188514362</v>
      </c>
      <c r="BJ40" s="2083">
        <f t="shared" ca="1" si="59"/>
        <v>180.28773230654397</v>
      </c>
      <c r="BK40" s="2081">
        <f t="shared" ca="1" si="59"/>
        <v>194.44357494292024</v>
      </c>
      <c r="BL40" s="2082">
        <f t="shared" ca="1" si="59"/>
        <v>192.59652465414155</v>
      </c>
      <c r="BM40" s="2082">
        <f t="shared" ca="1" si="59"/>
        <v>213.37113653920395</v>
      </c>
      <c r="BN40" s="2083">
        <f t="shared" ca="1" si="59"/>
        <v>238.13242691142085</v>
      </c>
      <c r="BO40" s="2081">
        <f t="shared" ca="1" si="59"/>
        <v>257.77951750562897</v>
      </c>
      <c r="BP40" s="2082">
        <f t="shared" ca="1" si="59"/>
        <v>241.60521886779196</v>
      </c>
      <c r="BQ40" s="2082">
        <f t="shared" ca="1" si="59"/>
        <v>253.3705046512527</v>
      </c>
      <c r="BR40" s="2083">
        <f t="shared" ca="1" si="59"/>
        <v>270.09890077610498</v>
      </c>
      <c r="BS40" s="2081">
        <f t="shared" ca="1" si="59"/>
        <v>282.81918040839236</v>
      </c>
      <c r="BT40" s="2082">
        <f t="shared" ref="BT40:EE40" ca="1" si="60">BT36-BT39</f>
        <v>263.55322696083363</v>
      </c>
      <c r="BU40" s="2082">
        <f t="shared" ca="1" si="60"/>
        <v>271.86897389322655</v>
      </c>
      <c r="BV40" s="2083">
        <f t="shared" ca="1" si="60"/>
        <v>285.08211952967736</v>
      </c>
      <c r="BW40" s="2081">
        <f t="shared" ca="1" si="60"/>
        <v>298.47702469043901</v>
      </c>
      <c r="BX40" s="2082">
        <f t="shared" ca="1" si="60"/>
        <v>277.31704924761118</v>
      </c>
      <c r="BY40" s="2082">
        <f t="shared" ca="1" si="60"/>
        <v>286.04764519852921</v>
      </c>
      <c r="BZ40" s="2083">
        <f t="shared" ca="1" si="60"/>
        <v>298.93778391394517</v>
      </c>
      <c r="CA40" s="2081">
        <f t="shared" ca="1" si="60"/>
        <v>305.82223413263847</v>
      </c>
      <c r="CB40" s="2082">
        <f t="shared" ca="1" si="60"/>
        <v>271.69468700430571</v>
      </c>
      <c r="CC40" s="2082">
        <f t="shared" ca="1" si="60"/>
        <v>287.87512211930169</v>
      </c>
      <c r="CD40" s="2083">
        <f t="shared" ca="1" si="60"/>
        <v>309.56324353653167</v>
      </c>
      <c r="CE40" s="2081">
        <f t="shared" ca="1" si="60"/>
        <v>327.10800625888851</v>
      </c>
      <c r="CF40" s="2082">
        <f t="shared" ca="1" si="60"/>
        <v>281.9028688042618</v>
      </c>
      <c r="CG40" s="2082">
        <f t="shared" ca="1" si="60"/>
        <v>288.84438486587464</v>
      </c>
      <c r="CH40" s="2083">
        <f t="shared" ca="1" si="60"/>
        <v>301.03556387984781</v>
      </c>
      <c r="CI40" s="2081">
        <f t="shared" ca="1" si="60"/>
        <v>312.90912052059241</v>
      </c>
      <c r="CJ40" s="2082">
        <f t="shared" ca="1" si="60"/>
        <v>236.17887483993348</v>
      </c>
      <c r="CK40" s="2082">
        <f t="shared" ca="1" si="60"/>
        <v>225.69956146311145</v>
      </c>
      <c r="CL40" s="2083">
        <f t="shared" ca="1" si="60"/>
        <v>219.9000641541819</v>
      </c>
      <c r="CM40" s="2081">
        <f t="shared" ca="1" si="60"/>
        <v>210.12165311888606</v>
      </c>
      <c r="CN40" s="2082">
        <f t="shared" ca="1" si="60"/>
        <v>153.51599301097173</v>
      </c>
      <c r="CO40" s="2082">
        <f t="shared" ca="1" si="60"/>
        <v>165.52843257241338</v>
      </c>
      <c r="CP40" s="2083">
        <f t="shared" ca="1" si="60"/>
        <v>182.30808011563357</v>
      </c>
      <c r="CQ40" s="2081">
        <f t="shared" ca="1" si="60"/>
        <v>191.52708262000766</v>
      </c>
      <c r="CR40" s="2082">
        <f t="shared" ca="1" si="60"/>
        <v>128.91008635363252</v>
      </c>
      <c r="CS40" s="2082">
        <f t="shared" ca="1" si="60"/>
        <v>144.89740825966481</v>
      </c>
      <c r="CT40" s="2083">
        <f t="shared" ca="1" si="60"/>
        <v>167.48552303195098</v>
      </c>
      <c r="CU40" s="2081">
        <f t="shared" ca="1" si="60"/>
        <v>188.27258863394732</v>
      </c>
      <c r="CV40" s="2082">
        <f t="shared" ca="1" si="60"/>
        <v>124.63582200822545</v>
      </c>
      <c r="CW40" s="2082">
        <f t="shared" ca="1" si="60"/>
        <v>142.02610765039574</v>
      </c>
      <c r="CX40" s="2083">
        <f t="shared" ca="1" si="60"/>
        <v>166.46202807923515</v>
      </c>
      <c r="CY40" s="2081">
        <f t="shared" ca="1" si="60"/>
        <v>181.01063287045284</v>
      </c>
      <c r="CZ40" s="2082">
        <f t="shared" ca="1" si="60"/>
        <v>126.55363638144918</v>
      </c>
      <c r="DA40" s="2082">
        <f t="shared" ca="1" si="60"/>
        <v>148.10162902498158</v>
      </c>
      <c r="DB40" s="2083">
        <f t="shared" ca="1" si="60"/>
        <v>178.56709656536879</v>
      </c>
      <c r="DC40" s="2081">
        <f t="shared" ca="1" si="60"/>
        <v>201.49999395710293</v>
      </c>
      <c r="DD40" s="2082">
        <f t="shared" ca="1" si="60"/>
        <v>134.27492862131498</v>
      </c>
      <c r="DE40" s="2082">
        <f t="shared" ca="1" si="60"/>
        <v>160.5299469008603</v>
      </c>
      <c r="DF40" s="2083">
        <f t="shared" ca="1" si="60"/>
        <v>195.45996182272592</v>
      </c>
      <c r="DG40" s="2081">
        <f t="shared" ca="1" si="60"/>
        <v>225.76014955832895</v>
      </c>
      <c r="DH40" s="2082">
        <f t="shared" ca="1" si="60"/>
        <v>154.10608037548408</v>
      </c>
      <c r="DI40" s="2082">
        <f t="shared" ca="1" si="60"/>
        <v>182.08310177904224</v>
      </c>
      <c r="DJ40" s="2083">
        <f t="shared" ca="1" si="60"/>
        <v>218.81004199766926</v>
      </c>
      <c r="DK40" s="2081">
        <f t="shared" ca="1" si="60"/>
        <v>245.88823367080761</v>
      </c>
      <c r="DL40" s="2082">
        <f t="shared" ca="1" si="60"/>
        <v>174.8145724348206</v>
      </c>
      <c r="DM40" s="2082">
        <f t="shared" ca="1" si="60"/>
        <v>199.02769380241045</v>
      </c>
      <c r="DN40" s="2083">
        <f t="shared" ca="1" si="60"/>
        <v>232.90470089842648</v>
      </c>
      <c r="DO40" s="2081">
        <f t="shared" ca="1" si="60"/>
        <v>257.26213237410741</v>
      </c>
      <c r="DP40" s="2082">
        <f t="shared" ca="1" si="60"/>
        <v>197.04764420508013</v>
      </c>
      <c r="DQ40" s="2082">
        <f t="shared" ca="1" si="60"/>
        <v>220.76709103233222</v>
      </c>
      <c r="DR40" s="2083">
        <f t="shared" ca="1" si="60"/>
        <v>254.54174373871194</v>
      </c>
      <c r="DS40" s="2081">
        <f t="shared" ca="1" si="60"/>
        <v>283.91973669071086</v>
      </c>
      <c r="DT40" s="2082">
        <f t="shared" ca="1" si="60"/>
        <v>257.97365079329836</v>
      </c>
      <c r="DU40" s="2082">
        <f t="shared" ca="1" si="60"/>
        <v>284.29864984284029</v>
      </c>
      <c r="DV40" s="2083">
        <f t="shared" ca="1" si="60"/>
        <v>320.05430333636014</v>
      </c>
      <c r="DW40" s="2081">
        <f t="shared" ca="1" si="60"/>
        <v>344.78214698073231</v>
      </c>
      <c r="DX40" s="2082">
        <f t="shared" ca="1" si="60"/>
        <v>305.12200320752606</v>
      </c>
      <c r="DY40" s="2082">
        <f t="shared" ca="1" si="60"/>
        <v>324.68833430400406</v>
      </c>
      <c r="DZ40" s="2083">
        <f t="shared" ca="1" si="60"/>
        <v>354.96240964817827</v>
      </c>
      <c r="EA40" s="2081">
        <f t="shared" ca="1" si="60"/>
        <v>377.66174104798932</v>
      </c>
      <c r="EB40" s="2082">
        <f t="shared" ca="1" si="60"/>
        <v>353.57929200486967</v>
      </c>
      <c r="EC40" s="2082">
        <f t="shared" ca="1" si="60"/>
        <v>382.79167116125126</v>
      </c>
      <c r="ED40" s="2083">
        <f t="shared" ca="1" si="60"/>
        <v>421.62267582922573</v>
      </c>
      <c r="EE40" s="2081">
        <f t="shared" ca="1" si="60"/>
        <v>453.89899692607617</v>
      </c>
      <c r="EF40" s="2082">
        <f t="shared" ref="EF40:GD40" ca="1" si="61">EF36-EF39</f>
        <v>416.01380753977242</v>
      </c>
      <c r="EG40" s="2082">
        <f t="shared" ca="1" si="61"/>
        <v>435.69639266813209</v>
      </c>
      <c r="EH40" s="2083">
        <f t="shared" ca="1" si="61"/>
        <v>465.78216552983667</v>
      </c>
      <c r="EI40" s="2081">
        <f t="shared" ca="1" si="61"/>
        <v>483.7910434792326</v>
      </c>
      <c r="EJ40" s="2082">
        <f t="shared" ca="1" si="61"/>
        <v>445.78767479577931</v>
      </c>
      <c r="EK40" s="2082">
        <f t="shared" ca="1" si="61"/>
        <v>472.59424946440288</v>
      </c>
      <c r="EL40" s="2083">
        <f t="shared" ca="1" si="61"/>
        <v>511.13375758613921</v>
      </c>
      <c r="EM40" s="2081">
        <f t="shared" ca="1" si="61"/>
        <v>539.67409344298403</v>
      </c>
      <c r="EN40" s="2082">
        <f t="shared" ca="1" si="61"/>
        <v>506.52931962871776</v>
      </c>
      <c r="EO40" s="2082">
        <f t="shared" ca="1" si="61"/>
        <v>536.15117697197661</v>
      </c>
      <c r="EP40" s="2083">
        <f t="shared" ca="1" si="61"/>
        <v>577.13079208467479</v>
      </c>
      <c r="EQ40" s="2081">
        <f t="shared" ca="1" si="61"/>
        <v>611.43833360225244</v>
      </c>
      <c r="ER40" s="2082">
        <f t="shared" ca="1" si="61"/>
        <v>576.35863663912801</v>
      </c>
      <c r="ES40" s="2082">
        <f t="shared" ca="1" si="61"/>
        <v>604.53726876343546</v>
      </c>
      <c r="ET40" s="2083">
        <f t="shared" ca="1" si="61"/>
        <v>644.16394006768121</v>
      </c>
      <c r="EU40" s="2081">
        <f t="shared" ca="1" si="61"/>
        <v>669.64531639395648</v>
      </c>
      <c r="EV40" s="2082">
        <f t="shared" ca="1" si="61"/>
        <v>627.56818761305749</v>
      </c>
      <c r="EW40" s="2082">
        <f t="shared" ca="1" si="61"/>
        <v>658.85949737782664</v>
      </c>
      <c r="EX40" s="2083">
        <f t="shared" ca="1" si="61"/>
        <v>703.45517901516905</v>
      </c>
      <c r="EY40" s="2081">
        <f t="shared" ca="1" si="61"/>
        <v>735.67218026404157</v>
      </c>
      <c r="EZ40" s="2082">
        <f t="shared" ca="1" si="61"/>
        <v>691.3801994799303</v>
      </c>
      <c r="FA40" s="2082">
        <f t="shared" ca="1" si="61"/>
        <v>720.69418301180633</v>
      </c>
      <c r="FB40" s="2083">
        <f t="shared" ca="1" si="61"/>
        <v>763.35615088698182</v>
      </c>
      <c r="FC40" s="2081">
        <f t="shared" ca="1" si="61"/>
        <v>797.18718084750981</v>
      </c>
      <c r="FD40" s="2082">
        <f t="shared" ca="1" si="61"/>
        <v>754.77717416265727</v>
      </c>
      <c r="FE40" s="2082">
        <f t="shared" ca="1" si="61"/>
        <v>787.58609223559483</v>
      </c>
      <c r="FF40" s="2083">
        <f t="shared" ca="1" si="61"/>
        <v>834.03915279061528</v>
      </c>
      <c r="FG40" s="2081">
        <f t="shared" ca="1" si="61"/>
        <v>865.56362673552246</v>
      </c>
      <c r="FH40" s="2082">
        <f t="shared" ca="1" si="61"/>
        <v>812.59641125851363</v>
      </c>
      <c r="FI40" s="2082">
        <f t="shared" ca="1" si="61"/>
        <v>841.1940465232426</v>
      </c>
      <c r="FJ40" s="2083">
        <f t="shared" ca="1" si="61"/>
        <v>884.60100946589307</v>
      </c>
      <c r="FK40" s="2081">
        <f t="shared" ca="1" si="61"/>
        <v>913.92929925770648</v>
      </c>
      <c r="FL40" s="2082">
        <f t="shared" ca="1" si="61"/>
        <v>827.15152903783996</v>
      </c>
      <c r="FM40" s="2082">
        <f t="shared" ca="1" si="61"/>
        <v>0</v>
      </c>
      <c r="FN40" s="2083">
        <f t="shared" ca="1" si="61"/>
        <v>0</v>
      </c>
      <c r="FO40" s="2081">
        <f t="shared" ca="1" si="61"/>
        <v>0</v>
      </c>
      <c r="FP40" s="2082">
        <f t="shared" ca="1" si="61"/>
        <v>0</v>
      </c>
      <c r="FQ40" s="2082">
        <f t="shared" ca="1" si="61"/>
        <v>0</v>
      </c>
      <c r="FR40" s="2083">
        <f t="shared" ca="1" si="61"/>
        <v>0</v>
      </c>
      <c r="FS40" s="2081">
        <f t="shared" ca="1" si="61"/>
        <v>0</v>
      </c>
      <c r="FT40" s="2082">
        <f t="shared" ca="1" si="61"/>
        <v>0</v>
      </c>
      <c r="FU40" s="2082">
        <f t="shared" ca="1" si="61"/>
        <v>0</v>
      </c>
      <c r="FV40" s="2083">
        <f t="shared" ca="1" si="61"/>
        <v>0</v>
      </c>
      <c r="FW40" s="2081">
        <f t="shared" ca="1" si="61"/>
        <v>0</v>
      </c>
      <c r="FX40" s="2082">
        <f t="shared" ca="1" si="61"/>
        <v>0</v>
      </c>
      <c r="FY40" s="2082">
        <f t="shared" ca="1" si="61"/>
        <v>0</v>
      </c>
      <c r="FZ40" s="2083">
        <f t="shared" ca="1" si="61"/>
        <v>0</v>
      </c>
      <c r="GA40" s="2081">
        <f t="shared" ca="1" si="61"/>
        <v>0</v>
      </c>
      <c r="GB40" s="2082">
        <f t="shared" ca="1" si="61"/>
        <v>0</v>
      </c>
      <c r="GC40" s="2082">
        <f t="shared" ca="1" si="61"/>
        <v>0</v>
      </c>
      <c r="GD40" s="2083">
        <f t="shared" ca="1" si="61"/>
        <v>0</v>
      </c>
    </row>
    <row r="41" spans="2:186" ht="15" customHeight="1">
      <c r="B41" s="2064"/>
      <c r="C41" s="5399"/>
      <c r="D41" s="5399"/>
      <c r="E41" s="5399"/>
      <c r="F41" s="469"/>
      <c r="G41" s="469"/>
      <c r="H41" s="469"/>
      <c r="I41" s="469"/>
      <c r="J41" s="469"/>
      <c r="K41" s="469"/>
      <c r="L41" s="469"/>
      <c r="M41" s="469"/>
      <c r="N41" s="469"/>
      <c r="O41" s="469"/>
      <c r="P41" s="469"/>
      <c r="Q41" s="469"/>
      <c r="R41" s="469"/>
      <c r="S41" s="469"/>
      <c r="T41" s="469"/>
      <c r="U41" s="469"/>
      <c r="V41" s="469"/>
      <c r="W41" s="469"/>
      <c r="X41" s="469"/>
      <c r="Y41" s="469"/>
      <c r="Z41" s="469"/>
      <c r="AA41" s="469"/>
      <c r="AB41" s="469"/>
      <c r="AC41" s="469"/>
      <c r="AD41" s="469"/>
      <c r="AE41" s="469"/>
      <c r="AF41" s="469"/>
      <c r="AG41" s="469"/>
      <c r="AH41" s="469"/>
      <c r="AI41" s="469"/>
      <c r="AJ41" s="469"/>
      <c r="AK41" s="469"/>
      <c r="AL41" s="469"/>
      <c r="AM41" s="469"/>
      <c r="AN41" s="469"/>
      <c r="AO41" s="469"/>
      <c r="AP41" s="469"/>
      <c r="AQ41" s="469"/>
      <c r="AR41" s="469"/>
      <c r="AS41" s="469"/>
      <c r="AT41" s="469"/>
      <c r="AU41" s="469"/>
      <c r="AV41" s="469"/>
      <c r="AW41" s="469"/>
      <c r="AX41" s="469"/>
      <c r="AY41" s="469"/>
      <c r="AZ41" s="469"/>
      <c r="BA41" s="469"/>
      <c r="BB41" s="469"/>
      <c r="BC41" s="469"/>
      <c r="BD41" s="469"/>
      <c r="BE41" s="469"/>
      <c r="BF41" s="469"/>
      <c r="BG41" s="469"/>
      <c r="BH41" s="469"/>
      <c r="BI41" s="469"/>
      <c r="BJ41" s="469"/>
      <c r="BK41" s="469"/>
      <c r="BL41" s="469"/>
      <c r="BM41" s="469"/>
      <c r="BN41" s="469"/>
      <c r="BO41" s="469"/>
      <c r="BP41" s="469"/>
      <c r="BQ41" s="469"/>
      <c r="BR41" s="469"/>
      <c r="BS41" s="469"/>
      <c r="BT41" s="469"/>
      <c r="BU41" s="469"/>
      <c r="BV41" s="469"/>
      <c r="BW41" s="469"/>
      <c r="BX41" s="469"/>
      <c r="BY41" s="469"/>
      <c r="BZ41" s="469"/>
      <c r="CA41" s="469"/>
      <c r="CB41" s="469"/>
      <c r="CC41" s="469"/>
      <c r="CD41" s="469"/>
      <c r="CE41" s="469"/>
      <c r="CF41" s="469"/>
      <c r="CG41" s="469"/>
      <c r="CH41" s="469"/>
      <c r="CI41" s="469"/>
      <c r="CJ41" s="469"/>
      <c r="CK41" s="469"/>
      <c r="CL41" s="469"/>
      <c r="CM41" s="469"/>
      <c r="CN41" s="469"/>
      <c r="CO41" s="469"/>
      <c r="CP41" s="469"/>
      <c r="CQ41" s="469"/>
      <c r="CR41" s="469"/>
      <c r="CS41" s="469"/>
      <c r="CT41" s="469"/>
      <c r="CU41" s="469"/>
      <c r="CV41" s="469"/>
      <c r="CW41" s="469"/>
      <c r="CX41" s="469"/>
      <c r="CY41" s="469"/>
      <c r="CZ41" s="469"/>
      <c r="DA41" s="469"/>
      <c r="DB41" s="469"/>
      <c r="DC41" s="469"/>
      <c r="DD41" s="469"/>
      <c r="DE41" s="469"/>
      <c r="DF41" s="469"/>
      <c r="DG41" s="469"/>
      <c r="DH41" s="469"/>
      <c r="DI41" s="469"/>
      <c r="DJ41" s="469"/>
      <c r="DK41" s="469"/>
      <c r="DL41" s="469"/>
      <c r="DM41" s="469"/>
      <c r="DN41" s="469"/>
      <c r="DO41" s="469"/>
      <c r="DP41" s="469"/>
      <c r="DQ41" s="469"/>
      <c r="DR41" s="469"/>
      <c r="DS41" s="469"/>
      <c r="DT41" s="469"/>
      <c r="DU41" s="469"/>
      <c r="DV41" s="469"/>
      <c r="DW41" s="469"/>
      <c r="DX41" s="469"/>
      <c r="DY41" s="469"/>
      <c r="DZ41" s="469"/>
      <c r="EA41" s="469"/>
      <c r="EB41" s="469"/>
      <c r="EC41" s="469"/>
      <c r="ED41" s="469"/>
      <c r="EE41" s="469"/>
      <c r="EF41" s="469"/>
      <c r="EG41" s="469"/>
      <c r="EH41" s="469"/>
      <c r="EI41" s="469"/>
      <c r="EJ41" s="469"/>
      <c r="EK41" s="469"/>
      <c r="EL41" s="469"/>
      <c r="EM41" s="469"/>
      <c r="EN41" s="469"/>
      <c r="EO41" s="469"/>
      <c r="EP41" s="469"/>
      <c r="EQ41" s="469"/>
      <c r="ER41" s="469"/>
      <c r="ES41" s="469"/>
      <c r="ET41" s="469"/>
      <c r="EU41" s="469"/>
      <c r="EV41" s="469"/>
      <c r="EW41" s="469"/>
      <c r="EX41" s="469"/>
      <c r="EY41" s="469"/>
      <c r="EZ41" s="469"/>
      <c r="FA41" s="469"/>
      <c r="FB41" s="469"/>
      <c r="FC41" s="469"/>
      <c r="FD41" s="469"/>
      <c r="FE41" s="469"/>
      <c r="FF41" s="469"/>
      <c r="FG41" s="469"/>
      <c r="FH41" s="469"/>
      <c r="FI41" s="469"/>
      <c r="FJ41" s="469"/>
      <c r="FK41" s="469"/>
      <c r="FL41" s="469"/>
      <c r="FM41" s="469"/>
      <c r="FN41" s="469"/>
      <c r="FO41" s="469"/>
      <c r="FP41" s="469"/>
      <c r="FQ41" s="469"/>
      <c r="FR41" s="469"/>
      <c r="FS41" s="469"/>
      <c r="FT41" s="469"/>
      <c r="FU41" s="469"/>
      <c r="FV41" s="469"/>
      <c r="FW41" s="469"/>
      <c r="FX41" s="469"/>
      <c r="FY41" s="469"/>
      <c r="FZ41" s="469"/>
      <c r="GA41" s="469"/>
      <c r="GB41" s="469"/>
      <c r="GC41" s="469"/>
      <c r="GD41" s="469"/>
    </row>
    <row r="42" spans="2:186" ht="15" customHeight="1">
      <c r="B42" s="2105">
        <v>5</v>
      </c>
      <c r="C42" s="2065" t="s">
        <v>1218</v>
      </c>
      <c r="D42" s="2065"/>
      <c r="E42" s="2106"/>
      <c r="F42" s="469"/>
      <c r="G42" s="2064"/>
      <c r="H42" s="2064"/>
      <c r="I42" s="2064"/>
      <c r="J42" s="2064"/>
      <c r="K42" s="2064"/>
      <c r="L42" s="2064"/>
      <c r="M42" s="2064"/>
      <c r="N42" s="2064"/>
      <c r="O42" s="2064"/>
      <c r="P42" s="2064"/>
      <c r="Q42" s="2064"/>
      <c r="R42" s="2064"/>
      <c r="S42" s="2064"/>
      <c r="T42" s="2064"/>
      <c r="U42" s="2064"/>
      <c r="V42" s="2064"/>
      <c r="W42" s="2064"/>
      <c r="X42" s="2064"/>
      <c r="Y42" s="2064"/>
      <c r="Z42" s="2064"/>
      <c r="AA42" s="2064"/>
      <c r="AB42" s="2064"/>
      <c r="AC42" s="2064"/>
      <c r="AD42" s="2064"/>
      <c r="AE42" s="2064"/>
      <c r="AF42" s="2064"/>
      <c r="AG42" s="450"/>
      <c r="AH42" s="450"/>
      <c r="AI42" s="450"/>
      <c r="AJ42" s="450"/>
      <c r="AK42" s="450"/>
      <c r="AL42" s="450"/>
      <c r="AM42" s="450"/>
      <c r="AN42" s="450"/>
      <c r="AO42" s="450"/>
      <c r="AP42" s="450"/>
      <c r="AQ42" s="450"/>
      <c r="AR42" s="450"/>
      <c r="AS42" s="450"/>
      <c r="AT42" s="450"/>
      <c r="AU42" s="450"/>
      <c r="AV42" s="450"/>
      <c r="AW42" s="450"/>
      <c r="AX42" s="450"/>
      <c r="AY42" s="450"/>
      <c r="AZ42" s="450"/>
      <c r="BA42" s="450"/>
      <c r="BB42" s="450"/>
      <c r="BC42" s="450"/>
      <c r="BD42" s="450"/>
      <c r="BE42" s="450"/>
      <c r="BF42" s="450"/>
      <c r="BG42" s="450"/>
      <c r="BH42" s="450"/>
      <c r="BI42" s="450"/>
      <c r="BJ42" s="450"/>
      <c r="BK42" s="450"/>
      <c r="BL42" s="450"/>
      <c r="BM42" s="450"/>
      <c r="BN42" s="450"/>
      <c r="BO42" s="450"/>
      <c r="BP42" s="450"/>
      <c r="BQ42" s="450"/>
      <c r="BR42" s="450"/>
      <c r="BS42" s="450"/>
      <c r="BT42" s="450"/>
      <c r="BU42" s="450"/>
      <c r="BV42" s="450"/>
      <c r="BW42" s="450"/>
      <c r="BX42" s="450"/>
      <c r="BY42" s="450"/>
      <c r="BZ42" s="450"/>
      <c r="CA42" s="450"/>
      <c r="CB42" s="450"/>
      <c r="CC42" s="450"/>
      <c r="CD42" s="450"/>
      <c r="CE42" s="450"/>
      <c r="CF42" s="450"/>
      <c r="CG42" s="450"/>
      <c r="CH42" s="450"/>
      <c r="CI42" s="450"/>
      <c r="CJ42" s="450"/>
      <c r="CK42" s="450"/>
      <c r="CL42" s="450"/>
      <c r="CM42" s="450"/>
      <c r="CN42" s="450"/>
      <c r="CO42" s="450"/>
      <c r="CP42" s="450"/>
      <c r="CQ42" s="450"/>
      <c r="CR42" s="450"/>
      <c r="CS42" s="450"/>
      <c r="CT42" s="450"/>
      <c r="CU42" s="450"/>
      <c r="CV42" s="450"/>
      <c r="CW42" s="450"/>
      <c r="CX42" s="450"/>
      <c r="CY42" s="450"/>
      <c r="CZ42" s="450"/>
      <c r="DA42" s="450"/>
      <c r="DB42" s="450"/>
      <c r="DC42" s="450"/>
      <c r="DD42" s="450"/>
      <c r="DE42" s="450"/>
      <c r="DF42" s="450"/>
      <c r="DG42" s="450"/>
      <c r="DH42" s="450"/>
      <c r="DI42" s="450"/>
      <c r="DJ42" s="450"/>
      <c r="DK42" s="450"/>
      <c r="DL42" s="450"/>
      <c r="DM42" s="450"/>
      <c r="DN42" s="450"/>
      <c r="DO42" s="450"/>
      <c r="DP42" s="450"/>
      <c r="DQ42" s="450"/>
      <c r="DR42" s="450"/>
      <c r="DS42" s="450"/>
      <c r="DT42" s="450"/>
      <c r="DU42" s="450"/>
      <c r="DV42" s="450"/>
      <c r="DW42" s="450"/>
      <c r="DX42" s="450"/>
      <c r="DY42" s="450"/>
      <c r="DZ42" s="450"/>
      <c r="EA42" s="450"/>
      <c r="EB42" s="450"/>
      <c r="EC42" s="450"/>
      <c r="ED42" s="450"/>
      <c r="EE42" s="450"/>
      <c r="EF42" s="450"/>
      <c r="EG42" s="450"/>
      <c r="EH42" s="450"/>
      <c r="EI42" s="450"/>
      <c r="EJ42" s="450"/>
      <c r="EK42" s="450"/>
      <c r="EL42" s="450"/>
      <c r="EM42" s="450"/>
      <c r="EN42" s="450"/>
      <c r="EO42" s="450"/>
      <c r="EP42" s="450"/>
      <c r="EQ42" s="450"/>
      <c r="ER42" s="450"/>
      <c r="ES42" s="450"/>
      <c r="ET42" s="450"/>
      <c r="EU42" s="450"/>
      <c r="EV42" s="450"/>
      <c r="EW42" s="450"/>
      <c r="EX42" s="450"/>
      <c r="EY42" s="450"/>
      <c r="EZ42" s="450"/>
      <c r="FA42" s="450"/>
      <c r="FB42" s="450"/>
      <c r="FC42" s="450"/>
      <c r="FD42" s="450"/>
      <c r="FE42" s="450"/>
      <c r="FF42" s="450"/>
      <c r="FG42" s="450"/>
      <c r="FH42" s="450"/>
      <c r="FI42" s="450"/>
      <c r="FJ42" s="450"/>
      <c r="FK42" s="450"/>
      <c r="FL42" s="450"/>
      <c r="FM42" s="450"/>
      <c r="FN42" s="450"/>
      <c r="FO42" s="450"/>
      <c r="FP42" s="450"/>
      <c r="FQ42" s="450"/>
      <c r="FR42" s="450"/>
      <c r="FS42" s="450"/>
      <c r="FT42" s="450"/>
      <c r="FU42" s="450"/>
      <c r="FV42" s="450"/>
      <c r="FW42" s="450"/>
      <c r="FX42" s="450"/>
      <c r="FY42" s="450"/>
      <c r="FZ42" s="450"/>
      <c r="GA42" s="450"/>
      <c r="GB42" s="450"/>
      <c r="GC42" s="450"/>
      <c r="GD42" s="450"/>
    </row>
    <row r="43" spans="2:186" ht="15" customHeight="1">
      <c r="B43" s="2085"/>
      <c r="C43" s="2067" t="s">
        <v>3760</v>
      </c>
      <c r="D43" s="2068"/>
      <c r="E43" s="2115"/>
      <c r="F43" s="2116">
        <f t="shared" ref="F43:F53" ca="1" si="62">SUM(G43:GD43)</f>
        <v>44917.643796304968</v>
      </c>
      <c r="G43" s="2117">
        <f ca="1">MAX(G40,0)</f>
        <v>191.44410010846403</v>
      </c>
      <c r="H43" s="2118">
        <f t="shared" ref="H43:BS43" ca="1" si="63">MAX(H40,0)</f>
        <v>157.4831991785542</v>
      </c>
      <c r="I43" s="2118">
        <f t="shared" ca="1" si="63"/>
        <v>122.93958128855417</v>
      </c>
      <c r="J43" s="2119">
        <f t="shared" ca="1" si="63"/>
        <v>68.188629978554189</v>
      </c>
      <c r="K43" s="2117">
        <f t="shared" ca="1" si="63"/>
        <v>169.31003683855417</v>
      </c>
      <c r="L43" s="2118">
        <f t="shared" ca="1" si="63"/>
        <v>233.17961809933337</v>
      </c>
      <c r="M43" s="2118">
        <f t="shared" ca="1" si="63"/>
        <v>199.26620036571222</v>
      </c>
      <c r="N43" s="2119">
        <f t="shared" ca="1" si="63"/>
        <v>146.7500743157122</v>
      </c>
      <c r="O43" s="2117">
        <f t="shared" ca="1" si="63"/>
        <v>60.094513760000012</v>
      </c>
      <c r="P43" s="2118">
        <f t="shared" ca="1" si="63"/>
        <v>94.003819341793914</v>
      </c>
      <c r="Q43" s="2118">
        <f t="shared" ca="1" si="63"/>
        <v>32.070339053333342</v>
      </c>
      <c r="R43" s="2119">
        <f t="shared" ca="1" si="63"/>
        <v>24.318482586744182</v>
      </c>
      <c r="S43" s="2117">
        <f t="shared" ca="1" si="63"/>
        <v>18.380808682043739</v>
      </c>
      <c r="T43" s="2118">
        <f t="shared" ca="1" si="63"/>
        <v>74.289162949927416</v>
      </c>
      <c r="U43" s="2118">
        <f t="shared" ca="1" si="63"/>
        <v>20.148932124688869</v>
      </c>
      <c r="V43" s="2119">
        <f t="shared" ca="1" si="63"/>
        <v>15.853819893666817</v>
      </c>
      <c r="W43" s="2117">
        <f t="shared" ca="1" si="63"/>
        <v>65.705871103737621</v>
      </c>
      <c r="X43" s="2118">
        <f t="shared" ca="1" si="63"/>
        <v>148.02016517820581</v>
      </c>
      <c r="Y43" s="2118">
        <f t="shared" ca="1" si="63"/>
        <v>107.33010104472888</v>
      </c>
      <c r="Z43" s="2119">
        <f t="shared" ca="1" si="63"/>
        <v>69.625714083597131</v>
      </c>
      <c r="AA43" s="2117">
        <f t="shared" ca="1" si="63"/>
        <v>34.259117530926552</v>
      </c>
      <c r="AB43" s="2118">
        <f t="shared" ca="1" si="63"/>
        <v>138.75883911950038</v>
      </c>
      <c r="AC43" s="2118">
        <f t="shared" ca="1" si="63"/>
        <v>98.788598234936188</v>
      </c>
      <c r="AD43" s="2119">
        <f t="shared" ca="1" si="63"/>
        <v>62.815126702452062</v>
      </c>
      <c r="AE43" s="2117">
        <f t="shared" ca="1" si="63"/>
        <v>14.285915263928683</v>
      </c>
      <c r="AF43" s="2118">
        <f t="shared" ca="1" si="63"/>
        <v>57.413198925972026</v>
      </c>
      <c r="AG43" s="2118">
        <f t="shared" ca="1" si="63"/>
        <v>8.310841755795721</v>
      </c>
      <c r="AH43" s="2119">
        <f t="shared" ca="1" si="63"/>
        <v>12.779110668648023</v>
      </c>
      <c r="AI43" s="2117">
        <f t="shared" ca="1" si="63"/>
        <v>30.073343457206601</v>
      </c>
      <c r="AJ43" s="2118">
        <f t="shared" ca="1" si="63"/>
        <v>31.412433550020047</v>
      </c>
      <c r="AK43" s="2118">
        <f t="shared" ca="1" si="63"/>
        <v>25.731516257490519</v>
      </c>
      <c r="AL43" s="2119">
        <f t="shared" ca="1" si="63"/>
        <v>37.254545215020045</v>
      </c>
      <c r="AM43" s="2117">
        <f t="shared" ca="1" si="63"/>
        <v>69.538919789957404</v>
      </c>
      <c r="AN43" s="2118">
        <f t="shared" ca="1" si="63"/>
        <v>73.778551628084116</v>
      </c>
      <c r="AO43" s="2118">
        <f t="shared" ca="1" si="63"/>
        <v>77.916242703387866</v>
      </c>
      <c r="AP43" s="2119">
        <f t="shared" ca="1" si="63"/>
        <v>82.377596261514583</v>
      </c>
      <c r="AQ43" s="2117">
        <f t="shared" ca="1" si="63"/>
        <v>85.130471939521939</v>
      </c>
      <c r="AR43" s="2118">
        <f t="shared" ca="1" si="63"/>
        <v>91.230671421515424</v>
      </c>
      <c r="AS43" s="2118">
        <f t="shared" ca="1" si="63"/>
        <v>97.190084878798672</v>
      </c>
      <c r="AT43" s="2119">
        <f t="shared" ca="1" si="63"/>
        <v>105.09748420735964</v>
      </c>
      <c r="AU43" s="2117">
        <f t="shared" ca="1" si="63"/>
        <v>111.78067597531474</v>
      </c>
      <c r="AV43" s="2118">
        <f t="shared" ca="1" si="63"/>
        <v>84.4910212615859</v>
      </c>
      <c r="AW43" s="2118">
        <f t="shared" ca="1" si="63"/>
        <v>85.254678162467528</v>
      </c>
      <c r="AX43" s="2119">
        <f t="shared" ca="1" si="63"/>
        <v>98.50142391197241</v>
      </c>
      <c r="AY43" s="2117">
        <f t="shared" ca="1" si="63"/>
        <v>114.16145299759754</v>
      </c>
      <c r="AZ43" s="2118">
        <f t="shared" ca="1" si="63"/>
        <v>114.39699401110389</v>
      </c>
      <c r="BA43" s="2118">
        <f t="shared" ca="1" si="63"/>
        <v>128.186560362775</v>
      </c>
      <c r="BB43" s="2119">
        <f t="shared" ca="1" si="63"/>
        <v>144.17923823100301</v>
      </c>
      <c r="BC43" s="2117">
        <f t="shared" ca="1" si="63"/>
        <v>154.57184126208065</v>
      </c>
      <c r="BD43" s="2118">
        <f t="shared" ca="1" si="63"/>
        <v>136.98944357011788</v>
      </c>
      <c r="BE43" s="2118">
        <f t="shared" ca="1" si="63"/>
        <v>143.74727373299078</v>
      </c>
      <c r="BF43" s="2119">
        <f t="shared" ca="1" si="63"/>
        <v>154.80733086162257</v>
      </c>
      <c r="BG43" s="2117">
        <f t="shared" ca="1" si="63"/>
        <v>164.18218231389858</v>
      </c>
      <c r="BH43" s="2118">
        <f t="shared" ca="1" si="63"/>
        <v>154.10467783872465</v>
      </c>
      <c r="BI43" s="2118">
        <f t="shared" ca="1" si="63"/>
        <v>165.32445188514362</v>
      </c>
      <c r="BJ43" s="2119">
        <f t="shared" ca="1" si="63"/>
        <v>180.28773230654397</v>
      </c>
      <c r="BK43" s="2117">
        <f t="shared" ca="1" si="63"/>
        <v>194.44357494292024</v>
      </c>
      <c r="BL43" s="2118">
        <f t="shared" ca="1" si="63"/>
        <v>192.59652465414155</v>
      </c>
      <c r="BM43" s="2118">
        <f t="shared" ca="1" si="63"/>
        <v>213.37113653920395</v>
      </c>
      <c r="BN43" s="2119">
        <f t="shared" ca="1" si="63"/>
        <v>238.13242691142085</v>
      </c>
      <c r="BO43" s="2117">
        <f t="shared" ca="1" si="63"/>
        <v>257.77951750562897</v>
      </c>
      <c r="BP43" s="2118">
        <f t="shared" ca="1" si="63"/>
        <v>241.60521886779196</v>
      </c>
      <c r="BQ43" s="2118">
        <f t="shared" ca="1" si="63"/>
        <v>253.3705046512527</v>
      </c>
      <c r="BR43" s="2119">
        <f t="shared" ca="1" si="63"/>
        <v>270.09890077610498</v>
      </c>
      <c r="BS43" s="2117">
        <f t="shared" ca="1" si="63"/>
        <v>282.81918040839236</v>
      </c>
      <c r="BT43" s="2118">
        <f t="shared" ref="BT43:EE43" ca="1" si="64">MAX(BT40,0)</f>
        <v>263.55322696083363</v>
      </c>
      <c r="BU43" s="2118">
        <f t="shared" ca="1" si="64"/>
        <v>271.86897389322655</v>
      </c>
      <c r="BV43" s="2119">
        <f t="shared" ca="1" si="64"/>
        <v>285.08211952967736</v>
      </c>
      <c r="BW43" s="2117">
        <f t="shared" ca="1" si="64"/>
        <v>298.47702469043901</v>
      </c>
      <c r="BX43" s="2118">
        <f t="shared" ca="1" si="64"/>
        <v>277.31704924761118</v>
      </c>
      <c r="BY43" s="2118">
        <f t="shared" ca="1" si="64"/>
        <v>286.04764519852921</v>
      </c>
      <c r="BZ43" s="2119">
        <f t="shared" ca="1" si="64"/>
        <v>298.93778391394517</v>
      </c>
      <c r="CA43" s="2117">
        <f t="shared" ca="1" si="64"/>
        <v>305.82223413263847</v>
      </c>
      <c r="CB43" s="2118">
        <f t="shared" ca="1" si="64"/>
        <v>271.69468700430571</v>
      </c>
      <c r="CC43" s="2118">
        <f t="shared" ca="1" si="64"/>
        <v>287.87512211930169</v>
      </c>
      <c r="CD43" s="2119">
        <f t="shared" ca="1" si="64"/>
        <v>309.56324353653167</v>
      </c>
      <c r="CE43" s="2117">
        <f t="shared" ca="1" si="64"/>
        <v>327.10800625888851</v>
      </c>
      <c r="CF43" s="2118">
        <f t="shared" ca="1" si="64"/>
        <v>281.9028688042618</v>
      </c>
      <c r="CG43" s="2118">
        <f t="shared" ca="1" si="64"/>
        <v>288.84438486587464</v>
      </c>
      <c r="CH43" s="2119">
        <f t="shared" ca="1" si="64"/>
        <v>301.03556387984781</v>
      </c>
      <c r="CI43" s="2117">
        <f t="shared" ca="1" si="64"/>
        <v>312.90912052059241</v>
      </c>
      <c r="CJ43" s="2118">
        <f t="shared" ca="1" si="64"/>
        <v>236.17887483993348</v>
      </c>
      <c r="CK43" s="2118">
        <f t="shared" ca="1" si="64"/>
        <v>225.69956146311145</v>
      </c>
      <c r="CL43" s="2119">
        <f t="shared" ca="1" si="64"/>
        <v>219.9000641541819</v>
      </c>
      <c r="CM43" s="2117">
        <f t="shared" ca="1" si="64"/>
        <v>210.12165311888606</v>
      </c>
      <c r="CN43" s="2118">
        <f t="shared" ca="1" si="64"/>
        <v>153.51599301097173</v>
      </c>
      <c r="CO43" s="2118">
        <f t="shared" ca="1" si="64"/>
        <v>165.52843257241338</v>
      </c>
      <c r="CP43" s="2119">
        <f t="shared" ca="1" si="64"/>
        <v>182.30808011563357</v>
      </c>
      <c r="CQ43" s="2117">
        <f t="shared" ca="1" si="64"/>
        <v>191.52708262000766</v>
      </c>
      <c r="CR43" s="2118">
        <f t="shared" ca="1" si="64"/>
        <v>128.91008635363252</v>
      </c>
      <c r="CS43" s="2118">
        <f t="shared" ca="1" si="64"/>
        <v>144.89740825966481</v>
      </c>
      <c r="CT43" s="2119">
        <f t="shared" ca="1" si="64"/>
        <v>167.48552303195098</v>
      </c>
      <c r="CU43" s="2117">
        <f t="shared" ca="1" si="64"/>
        <v>188.27258863394732</v>
      </c>
      <c r="CV43" s="2118">
        <f t="shared" ca="1" si="64"/>
        <v>124.63582200822545</v>
      </c>
      <c r="CW43" s="2118">
        <f t="shared" ca="1" si="64"/>
        <v>142.02610765039574</v>
      </c>
      <c r="CX43" s="2119">
        <f t="shared" ca="1" si="64"/>
        <v>166.46202807923515</v>
      </c>
      <c r="CY43" s="2117">
        <f t="shared" ca="1" si="64"/>
        <v>181.01063287045284</v>
      </c>
      <c r="CZ43" s="2118">
        <f t="shared" ca="1" si="64"/>
        <v>126.55363638144918</v>
      </c>
      <c r="DA43" s="2118">
        <f t="shared" ca="1" si="64"/>
        <v>148.10162902498158</v>
      </c>
      <c r="DB43" s="2119">
        <f t="shared" ca="1" si="64"/>
        <v>178.56709656536879</v>
      </c>
      <c r="DC43" s="2117">
        <f t="shared" ca="1" si="64"/>
        <v>201.49999395710293</v>
      </c>
      <c r="DD43" s="2118">
        <f t="shared" ca="1" si="64"/>
        <v>134.27492862131498</v>
      </c>
      <c r="DE43" s="2118">
        <f t="shared" ca="1" si="64"/>
        <v>160.5299469008603</v>
      </c>
      <c r="DF43" s="2119">
        <f t="shared" ca="1" si="64"/>
        <v>195.45996182272592</v>
      </c>
      <c r="DG43" s="2117">
        <f t="shared" ca="1" si="64"/>
        <v>225.76014955832895</v>
      </c>
      <c r="DH43" s="2118">
        <f t="shared" ca="1" si="64"/>
        <v>154.10608037548408</v>
      </c>
      <c r="DI43" s="2118">
        <f t="shared" ca="1" si="64"/>
        <v>182.08310177904224</v>
      </c>
      <c r="DJ43" s="2119">
        <f t="shared" ca="1" si="64"/>
        <v>218.81004199766926</v>
      </c>
      <c r="DK43" s="2117">
        <f t="shared" ca="1" si="64"/>
        <v>245.88823367080761</v>
      </c>
      <c r="DL43" s="2118">
        <f t="shared" ca="1" si="64"/>
        <v>174.8145724348206</v>
      </c>
      <c r="DM43" s="2118">
        <f t="shared" ca="1" si="64"/>
        <v>199.02769380241045</v>
      </c>
      <c r="DN43" s="2119">
        <f t="shared" ca="1" si="64"/>
        <v>232.90470089842648</v>
      </c>
      <c r="DO43" s="2117">
        <f t="shared" ca="1" si="64"/>
        <v>257.26213237410741</v>
      </c>
      <c r="DP43" s="2118">
        <f t="shared" ca="1" si="64"/>
        <v>197.04764420508013</v>
      </c>
      <c r="DQ43" s="2118">
        <f t="shared" ca="1" si="64"/>
        <v>220.76709103233222</v>
      </c>
      <c r="DR43" s="2119">
        <f t="shared" ca="1" si="64"/>
        <v>254.54174373871194</v>
      </c>
      <c r="DS43" s="2117">
        <f t="shared" ca="1" si="64"/>
        <v>283.91973669071086</v>
      </c>
      <c r="DT43" s="2118">
        <f t="shared" ca="1" si="64"/>
        <v>257.97365079329836</v>
      </c>
      <c r="DU43" s="2118">
        <f t="shared" ca="1" si="64"/>
        <v>284.29864984284029</v>
      </c>
      <c r="DV43" s="2119">
        <f t="shared" ca="1" si="64"/>
        <v>320.05430333636014</v>
      </c>
      <c r="DW43" s="2117">
        <f t="shared" ca="1" si="64"/>
        <v>344.78214698073231</v>
      </c>
      <c r="DX43" s="2118">
        <f t="shared" ca="1" si="64"/>
        <v>305.12200320752606</v>
      </c>
      <c r="DY43" s="2118">
        <f t="shared" ca="1" si="64"/>
        <v>324.68833430400406</v>
      </c>
      <c r="DZ43" s="2119">
        <f t="shared" ca="1" si="64"/>
        <v>354.96240964817827</v>
      </c>
      <c r="EA43" s="2117">
        <f t="shared" ca="1" si="64"/>
        <v>377.66174104798932</v>
      </c>
      <c r="EB43" s="2118">
        <f t="shared" ca="1" si="64"/>
        <v>353.57929200486967</v>
      </c>
      <c r="EC43" s="2118">
        <f t="shared" ca="1" si="64"/>
        <v>382.79167116125126</v>
      </c>
      <c r="ED43" s="2119">
        <f t="shared" ca="1" si="64"/>
        <v>421.62267582922573</v>
      </c>
      <c r="EE43" s="2117">
        <f t="shared" ca="1" si="64"/>
        <v>453.89899692607617</v>
      </c>
      <c r="EF43" s="2118">
        <f t="shared" ref="EF43:GD43" ca="1" si="65">MAX(EF40,0)</f>
        <v>416.01380753977242</v>
      </c>
      <c r="EG43" s="2118">
        <f t="shared" ca="1" si="65"/>
        <v>435.69639266813209</v>
      </c>
      <c r="EH43" s="2119">
        <f t="shared" ca="1" si="65"/>
        <v>465.78216552983667</v>
      </c>
      <c r="EI43" s="2117">
        <f t="shared" ca="1" si="65"/>
        <v>483.7910434792326</v>
      </c>
      <c r="EJ43" s="2118">
        <f t="shared" ca="1" si="65"/>
        <v>445.78767479577931</v>
      </c>
      <c r="EK43" s="2118">
        <f t="shared" ca="1" si="65"/>
        <v>472.59424946440288</v>
      </c>
      <c r="EL43" s="2119">
        <f t="shared" ca="1" si="65"/>
        <v>511.13375758613921</v>
      </c>
      <c r="EM43" s="2117">
        <f t="shared" ca="1" si="65"/>
        <v>539.67409344298403</v>
      </c>
      <c r="EN43" s="2118">
        <f t="shared" ca="1" si="65"/>
        <v>506.52931962871776</v>
      </c>
      <c r="EO43" s="2118">
        <f t="shared" ca="1" si="65"/>
        <v>536.15117697197661</v>
      </c>
      <c r="EP43" s="2119">
        <f t="shared" ca="1" si="65"/>
        <v>577.13079208467479</v>
      </c>
      <c r="EQ43" s="2117">
        <f t="shared" ca="1" si="65"/>
        <v>611.43833360225244</v>
      </c>
      <c r="ER43" s="2118">
        <f t="shared" ca="1" si="65"/>
        <v>576.35863663912801</v>
      </c>
      <c r="ES43" s="2118">
        <f t="shared" ca="1" si="65"/>
        <v>604.53726876343546</v>
      </c>
      <c r="ET43" s="2119">
        <f t="shared" ca="1" si="65"/>
        <v>644.16394006768121</v>
      </c>
      <c r="EU43" s="2117">
        <f t="shared" ca="1" si="65"/>
        <v>669.64531639395648</v>
      </c>
      <c r="EV43" s="2118">
        <f t="shared" ca="1" si="65"/>
        <v>627.56818761305749</v>
      </c>
      <c r="EW43" s="2118">
        <f t="shared" ca="1" si="65"/>
        <v>658.85949737782664</v>
      </c>
      <c r="EX43" s="2119">
        <f t="shared" ca="1" si="65"/>
        <v>703.45517901516905</v>
      </c>
      <c r="EY43" s="2117">
        <f t="shared" ca="1" si="65"/>
        <v>735.67218026404157</v>
      </c>
      <c r="EZ43" s="2118">
        <f t="shared" ca="1" si="65"/>
        <v>691.3801994799303</v>
      </c>
      <c r="FA43" s="2118">
        <f t="shared" ca="1" si="65"/>
        <v>720.69418301180633</v>
      </c>
      <c r="FB43" s="2119">
        <f t="shared" ca="1" si="65"/>
        <v>763.35615088698182</v>
      </c>
      <c r="FC43" s="2117">
        <f t="shared" ca="1" si="65"/>
        <v>797.18718084750981</v>
      </c>
      <c r="FD43" s="2118">
        <f t="shared" ca="1" si="65"/>
        <v>754.77717416265727</v>
      </c>
      <c r="FE43" s="2118">
        <f t="shared" ca="1" si="65"/>
        <v>787.58609223559483</v>
      </c>
      <c r="FF43" s="2119">
        <f t="shared" ca="1" si="65"/>
        <v>834.03915279061528</v>
      </c>
      <c r="FG43" s="2117">
        <f t="shared" ca="1" si="65"/>
        <v>865.56362673552246</v>
      </c>
      <c r="FH43" s="2118">
        <f t="shared" ca="1" si="65"/>
        <v>812.59641125851363</v>
      </c>
      <c r="FI43" s="2118">
        <f t="shared" ca="1" si="65"/>
        <v>841.1940465232426</v>
      </c>
      <c r="FJ43" s="2119">
        <f t="shared" ca="1" si="65"/>
        <v>884.60100946589307</v>
      </c>
      <c r="FK43" s="2117">
        <f t="shared" ca="1" si="65"/>
        <v>913.92929925770648</v>
      </c>
      <c r="FL43" s="2118">
        <f t="shared" ca="1" si="65"/>
        <v>827.15152903783996</v>
      </c>
      <c r="FM43" s="2118">
        <f t="shared" ca="1" si="65"/>
        <v>0</v>
      </c>
      <c r="FN43" s="2119">
        <f t="shared" ca="1" si="65"/>
        <v>0</v>
      </c>
      <c r="FO43" s="2117">
        <f t="shared" ca="1" si="65"/>
        <v>0</v>
      </c>
      <c r="FP43" s="2118">
        <f t="shared" ca="1" si="65"/>
        <v>0</v>
      </c>
      <c r="FQ43" s="2118">
        <f t="shared" ca="1" si="65"/>
        <v>0</v>
      </c>
      <c r="FR43" s="2119">
        <f t="shared" ca="1" si="65"/>
        <v>0</v>
      </c>
      <c r="FS43" s="2117">
        <f t="shared" ca="1" si="65"/>
        <v>0</v>
      </c>
      <c r="FT43" s="2118">
        <f t="shared" ca="1" si="65"/>
        <v>0</v>
      </c>
      <c r="FU43" s="2118">
        <f t="shared" ca="1" si="65"/>
        <v>0</v>
      </c>
      <c r="FV43" s="2119">
        <f t="shared" ca="1" si="65"/>
        <v>0</v>
      </c>
      <c r="FW43" s="2117">
        <f t="shared" ca="1" si="65"/>
        <v>0</v>
      </c>
      <c r="FX43" s="2118">
        <f t="shared" ca="1" si="65"/>
        <v>0</v>
      </c>
      <c r="FY43" s="2118">
        <f t="shared" ca="1" si="65"/>
        <v>0</v>
      </c>
      <c r="FZ43" s="2119">
        <f t="shared" ca="1" si="65"/>
        <v>0</v>
      </c>
      <c r="GA43" s="2117">
        <f t="shared" ca="1" si="65"/>
        <v>0</v>
      </c>
      <c r="GB43" s="2118">
        <f t="shared" ca="1" si="65"/>
        <v>0</v>
      </c>
      <c r="GC43" s="2118">
        <f t="shared" ca="1" si="65"/>
        <v>0</v>
      </c>
      <c r="GD43" s="2119">
        <f t="shared" ca="1" si="65"/>
        <v>0</v>
      </c>
    </row>
    <row r="44" spans="2:186" ht="15" customHeight="1">
      <c r="C44" s="720" t="s">
        <v>231</v>
      </c>
      <c r="D44" s="2107"/>
      <c r="E44" s="2108"/>
      <c r="F44" s="1837">
        <f ca="1">SUM(G44:GD44)</f>
        <v>487.49466449995685</v>
      </c>
      <c r="G44" s="2109">
        <f>비용!H11</f>
        <v>0</v>
      </c>
      <c r="H44" s="2110">
        <f>비용!I11</f>
        <v>0</v>
      </c>
      <c r="I44" s="2110">
        <f>비용!J11</f>
        <v>0</v>
      </c>
      <c r="J44" s="2111">
        <f>비용!K11</f>
        <v>13.99</v>
      </c>
      <c r="K44" s="2109">
        <f>비용!L11</f>
        <v>13.99</v>
      </c>
      <c r="L44" s="2110">
        <f>비용!M11</f>
        <v>0</v>
      </c>
      <c r="M44" s="2110">
        <f>비용!N11</f>
        <v>11.39641291</v>
      </c>
      <c r="N44" s="2111">
        <f>비용!O11</f>
        <v>0.24179999999999999</v>
      </c>
      <c r="O44" s="2109">
        <f>비용!P11</f>
        <v>13.977831500000001</v>
      </c>
      <c r="P44" s="2110">
        <f>비용!Q11</f>
        <v>0</v>
      </c>
      <c r="Q44" s="2110">
        <f>비용!R11</f>
        <v>16.46</v>
      </c>
      <c r="R44" s="2111">
        <f>비용!S11</f>
        <v>6.9950000000000001</v>
      </c>
      <c r="S44" s="2109">
        <f>비용!T11</f>
        <v>6.9950000000000001</v>
      </c>
      <c r="T44" s="2110">
        <f>비용!U11</f>
        <v>0</v>
      </c>
      <c r="U44" s="2110">
        <f>비용!V11</f>
        <v>0</v>
      </c>
      <c r="V44" s="2111">
        <f>비용!W11</f>
        <v>0</v>
      </c>
      <c r="W44" s="2109">
        <f ca="1">비용!X11</f>
        <v>0</v>
      </c>
      <c r="X44" s="2110">
        <f ca="1">비용!Y11</f>
        <v>0</v>
      </c>
      <c r="Y44" s="2110">
        <f ca="1">비용!Z11</f>
        <v>0</v>
      </c>
      <c r="Z44" s="2111">
        <f ca="1">비용!AA11</f>
        <v>0</v>
      </c>
      <c r="AA44" s="2109">
        <f ca="1">비용!AB11</f>
        <v>0</v>
      </c>
      <c r="AB44" s="2110">
        <f ca="1">비용!AC11</f>
        <v>0</v>
      </c>
      <c r="AC44" s="2110">
        <f ca="1">비용!AD11</f>
        <v>0</v>
      </c>
      <c r="AD44" s="2111">
        <f ca="1">비용!AE11</f>
        <v>0</v>
      </c>
      <c r="AE44" s="2109">
        <f ca="1">비용!AF11</f>
        <v>0.78045300749999991</v>
      </c>
      <c r="AF44" s="2110">
        <f ca="1">비용!AG11</f>
        <v>0.78045300749999991</v>
      </c>
      <c r="AG44" s="2110">
        <f ca="1">비용!AH11</f>
        <v>0.78045300749999991</v>
      </c>
      <c r="AH44" s="2111">
        <f ca="1">비용!AI11</f>
        <v>0.78045300749999991</v>
      </c>
      <c r="AI44" s="2109">
        <f ca="1">비용!AJ11</f>
        <v>0</v>
      </c>
      <c r="AJ44" s="2110">
        <f ca="1">비용!AK11</f>
        <v>0</v>
      </c>
      <c r="AK44" s="2110">
        <f ca="1">비용!AL11</f>
        <v>0</v>
      </c>
      <c r="AL44" s="2111">
        <f ca="1">비용!AM11</f>
        <v>0</v>
      </c>
      <c r="AM44" s="2109">
        <f ca="1">비용!AN11</f>
        <v>1.671894237196575</v>
      </c>
      <c r="AN44" s="2110">
        <f ca="1">비용!AO11</f>
        <v>1.671894237196575</v>
      </c>
      <c r="AO44" s="2110">
        <f ca="1">비용!AP11</f>
        <v>1.671894237196575</v>
      </c>
      <c r="AP44" s="2111">
        <f ca="1">비용!AQ11</f>
        <v>1.671894237196575</v>
      </c>
      <c r="AQ44" s="2109">
        <f ca="1">비용!AR11</f>
        <v>0.10721353521070098</v>
      </c>
      <c r="AR44" s="2110">
        <f ca="1">비용!AS11</f>
        <v>0.10721353521070098</v>
      </c>
      <c r="AS44" s="2110">
        <f ca="1">비용!AT11</f>
        <v>0.10721353521070098</v>
      </c>
      <c r="AT44" s="2111">
        <f ca="1">비용!AU11</f>
        <v>0.10721353521070098</v>
      </c>
      <c r="AU44" s="2109">
        <f ca="1">비용!AV11</f>
        <v>0</v>
      </c>
      <c r="AV44" s="2110">
        <f ca="1">비용!AW11</f>
        <v>0</v>
      </c>
      <c r="AW44" s="2110">
        <f ca="1">비용!AX11</f>
        <v>0</v>
      </c>
      <c r="AX44" s="2111">
        <f ca="1">비용!AY11</f>
        <v>0</v>
      </c>
      <c r="AY44" s="2109">
        <f ca="1">비용!AZ11</f>
        <v>0</v>
      </c>
      <c r="AZ44" s="2110">
        <f ca="1">비용!BA11</f>
        <v>0</v>
      </c>
      <c r="BA44" s="2110">
        <f ca="1">비용!BB11</f>
        <v>0</v>
      </c>
      <c r="BB44" s="2111">
        <f ca="1">비용!BC11</f>
        <v>0</v>
      </c>
      <c r="BC44" s="2109">
        <f ca="1">비용!BD11</f>
        <v>6.2411150085733063</v>
      </c>
      <c r="BD44" s="2110">
        <f ca="1">비용!BE11</f>
        <v>6.2411150085733063</v>
      </c>
      <c r="BE44" s="2110">
        <f ca="1">비용!BF11</f>
        <v>6.2411150085733063</v>
      </c>
      <c r="BF44" s="2111">
        <f ca="1">비용!BG11</f>
        <v>6.2411150085733063</v>
      </c>
      <c r="BG44" s="2109">
        <f ca="1">비용!BH11</f>
        <v>0.41837562999949368</v>
      </c>
      <c r="BH44" s="2110">
        <f ca="1">비용!BI11</f>
        <v>0.41837562999949368</v>
      </c>
      <c r="BI44" s="2110">
        <f ca="1">비용!BJ11</f>
        <v>0.41837562999949368</v>
      </c>
      <c r="BJ44" s="2111">
        <f ca="1">비용!BK11</f>
        <v>0.41837562999949368</v>
      </c>
      <c r="BK44" s="2109">
        <f ca="1">비용!BL11</f>
        <v>0</v>
      </c>
      <c r="BL44" s="2110">
        <f ca="1">비용!BM11</f>
        <v>0</v>
      </c>
      <c r="BM44" s="2110">
        <f ca="1">비용!BN11</f>
        <v>0</v>
      </c>
      <c r="BN44" s="2111">
        <f ca="1">비용!BO11</f>
        <v>0</v>
      </c>
      <c r="BO44" s="2109">
        <f ca="1">비용!BP11</f>
        <v>0</v>
      </c>
      <c r="BP44" s="2110">
        <f ca="1">비용!BQ11</f>
        <v>0</v>
      </c>
      <c r="BQ44" s="2110">
        <f ca="1">비용!BR11</f>
        <v>0</v>
      </c>
      <c r="BR44" s="2111">
        <f ca="1">비용!BS11</f>
        <v>0</v>
      </c>
      <c r="BS44" s="2109">
        <f ca="1">비용!BT11</f>
        <v>0</v>
      </c>
      <c r="BT44" s="2110">
        <f ca="1">비용!BU11</f>
        <v>0</v>
      </c>
      <c r="BU44" s="2110">
        <f ca="1">비용!BV11</f>
        <v>0</v>
      </c>
      <c r="BV44" s="2111">
        <f ca="1">비용!BW11</f>
        <v>0</v>
      </c>
      <c r="BW44" s="2109">
        <f ca="1">비용!BX11</f>
        <v>0.23219379107399973</v>
      </c>
      <c r="BX44" s="2110">
        <f ca="1">비용!BY11</f>
        <v>0.23219379107399973</v>
      </c>
      <c r="BY44" s="2110">
        <f ca="1">비용!BZ11</f>
        <v>0.23219379107399973</v>
      </c>
      <c r="BZ44" s="2111">
        <f ca="1">비용!CA11</f>
        <v>0.23219379107399973</v>
      </c>
      <c r="CA44" s="2109">
        <f ca="1">비용!CB11</f>
        <v>0.43971699184638696</v>
      </c>
      <c r="CB44" s="2110">
        <f ca="1">비용!CC11</f>
        <v>0.43971699184638696</v>
      </c>
      <c r="CC44" s="2110">
        <f ca="1">비용!CD11</f>
        <v>0.43971699184638696</v>
      </c>
      <c r="CD44" s="2111">
        <f ca="1">비용!CE11</f>
        <v>0.43971699184638696</v>
      </c>
      <c r="CE44" s="2109">
        <f ca="1">비용!CF11</f>
        <v>14.922235835298986</v>
      </c>
      <c r="CF44" s="2110">
        <f ca="1">비용!CG11</f>
        <v>14.922235835298986</v>
      </c>
      <c r="CG44" s="2110">
        <f ca="1">비용!CH11</f>
        <v>14.922235835298986</v>
      </c>
      <c r="CH44" s="2111">
        <f ca="1">비용!CI11</f>
        <v>14.922235835298986</v>
      </c>
      <c r="CI44" s="2109">
        <f ca="1">비용!CJ11</f>
        <v>25.896592848616297</v>
      </c>
      <c r="CJ44" s="2110">
        <f ca="1">비용!CK11</f>
        <v>25.896592848616297</v>
      </c>
      <c r="CK44" s="2110">
        <f ca="1">비용!CL11</f>
        <v>25.896592848616297</v>
      </c>
      <c r="CL44" s="2111">
        <f ca="1">비용!CM11</f>
        <v>25.896592848616297</v>
      </c>
      <c r="CM44" s="2109">
        <f ca="1">비용!CN11</f>
        <v>9.6648716035482529</v>
      </c>
      <c r="CN44" s="2110">
        <f ca="1">비용!CO11</f>
        <v>9.6648716035482529</v>
      </c>
      <c r="CO44" s="2110">
        <f ca="1">비용!CP11</f>
        <v>9.6648716035482529</v>
      </c>
      <c r="CP44" s="2111">
        <f ca="1">비용!CQ11</f>
        <v>9.6648716035482529</v>
      </c>
      <c r="CQ44" s="2109">
        <f ca="1">비용!CR11</f>
        <v>0</v>
      </c>
      <c r="CR44" s="2110">
        <f ca="1">비용!CS11</f>
        <v>0</v>
      </c>
      <c r="CS44" s="2110">
        <f ca="1">비용!CT11</f>
        <v>0</v>
      </c>
      <c r="CT44" s="2111">
        <f ca="1">비용!CU11</f>
        <v>0</v>
      </c>
      <c r="CU44" s="2109">
        <f ca="1">비용!CV11</f>
        <v>2.9269308583251861</v>
      </c>
      <c r="CV44" s="2110">
        <f ca="1">비용!CW11</f>
        <v>2.9269308583251861</v>
      </c>
      <c r="CW44" s="2110">
        <f ca="1">비용!CX11</f>
        <v>2.9269308583251861</v>
      </c>
      <c r="CX44" s="2111">
        <f ca="1">비용!CY11</f>
        <v>2.9269308583251861</v>
      </c>
      <c r="CY44" s="2109">
        <f ca="1">비용!CZ11</f>
        <v>2.4271959265142966</v>
      </c>
      <c r="CZ44" s="2110">
        <f ca="1">비용!DA11</f>
        <v>2.4271959265142966</v>
      </c>
      <c r="DA44" s="2110">
        <f ca="1">비용!DB11</f>
        <v>2.4271959265142966</v>
      </c>
      <c r="DB44" s="2111">
        <f ca="1">비용!DC11</f>
        <v>2.4271959265142966</v>
      </c>
      <c r="DC44" s="2109">
        <f ca="1">비용!DD11</f>
        <v>0</v>
      </c>
      <c r="DD44" s="2110">
        <f ca="1">비용!DE11</f>
        <v>0</v>
      </c>
      <c r="DE44" s="2110">
        <f ca="1">비용!DF11</f>
        <v>0</v>
      </c>
      <c r="DF44" s="2111">
        <f ca="1">비용!DG11</f>
        <v>0</v>
      </c>
      <c r="DG44" s="2109">
        <f ca="1">비용!DH11</f>
        <v>0</v>
      </c>
      <c r="DH44" s="2110">
        <f ca="1">비용!DI11</f>
        <v>0</v>
      </c>
      <c r="DI44" s="2110">
        <f ca="1">비용!DJ11</f>
        <v>0</v>
      </c>
      <c r="DJ44" s="2111">
        <f ca="1">비용!DK11</f>
        <v>0</v>
      </c>
      <c r="DK44" s="2109">
        <f ca="1">비용!DL11</f>
        <v>1.9236479925258509</v>
      </c>
      <c r="DL44" s="2110">
        <f ca="1">비용!DM11</f>
        <v>1.9236479925258509</v>
      </c>
      <c r="DM44" s="2110">
        <f ca="1">비용!DN11</f>
        <v>1.9236479925258509</v>
      </c>
      <c r="DN44" s="2111">
        <f ca="1">비용!DO11</f>
        <v>1.9236479925258509</v>
      </c>
      <c r="DO44" s="2109">
        <f ca="1">비용!DP11</f>
        <v>2.1047915118220355</v>
      </c>
      <c r="DP44" s="2110">
        <f ca="1">비용!DQ11</f>
        <v>2.1047915118220355</v>
      </c>
      <c r="DQ44" s="2110">
        <f ca="1">비용!DR11</f>
        <v>2.1047915118220355</v>
      </c>
      <c r="DR44" s="2111">
        <f ca="1">비용!DS11</f>
        <v>2.1047915118220355</v>
      </c>
      <c r="DS44" s="2109">
        <f ca="1">비용!DT11</f>
        <v>3.9638729006947533</v>
      </c>
      <c r="DT44" s="2110">
        <f ca="1">비용!DU11</f>
        <v>3.9638729006947533</v>
      </c>
      <c r="DU44" s="2110">
        <f ca="1">비용!DV11</f>
        <v>3.9638729006947533</v>
      </c>
      <c r="DV44" s="2111">
        <f ca="1">비용!DW11</f>
        <v>3.9638729006947533</v>
      </c>
      <c r="DW44" s="2109">
        <f ca="1">비용!DX11</f>
        <v>0</v>
      </c>
      <c r="DX44" s="2110">
        <f ca="1">비용!DY11</f>
        <v>0</v>
      </c>
      <c r="DY44" s="2110">
        <f ca="1">비용!DZ11</f>
        <v>0</v>
      </c>
      <c r="DZ44" s="2111">
        <f ca="1">비용!EA11</f>
        <v>0</v>
      </c>
      <c r="EA44" s="2109">
        <f ca="1">비용!EB11</f>
        <v>0</v>
      </c>
      <c r="EB44" s="2110">
        <f ca="1">비용!EC11</f>
        <v>0</v>
      </c>
      <c r="EC44" s="2110">
        <f ca="1">비용!ED11</f>
        <v>0</v>
      </c>
      <c r="ED44" s="2111">
        <f ca="1">비용!EE11</f>
        <v>0</v>
      </c>
      <c r="EE44" s="2109">
        <f ca="1">비용!EF11</f>
        <v>1.8869884814660687</v>
      </c>
      <c r="EF44" s="2110">
        <f ca="1">비용!EG11</f>
        <v>1.8869884814660687</v>
      </c>
      <c r="EG44" s="2110">
        <f ca="1">비용!EH11</f>
        <v>1.8869884814660687</v>
      </c>
      <c r="EH44" s="2111">
        <f ca="1">비용!EI11</f>
        <v>1.8869884814660687</v>
      </c>
      <c r="EI44" s="2109">
        <f ca="1">비용!EJ11</f>
        <v>0.5104977766823382</v>
      </c>
      <c r="EJ44" s="2110">
        <f ca="1">비용!EK11</f>
        <v>0.5104977766823382</v>
      </c>
      <c r="EK44" s="2110">
        <f ca="1">비용!EL11</f>
        <v>0.5104977766823382</v>
      </c>
      <c r="EL44" s="2111">
        <f ca="1">비용!EM11</f>
        <v>0.5104977766823382</v>
      </c>
      <c r="EM44" s="2109">
        <f ca="1">비용!EN11</f>
        <v>0</v>
      </c>
      <c r="EN44" s="2110">
        <f ca="1">비용!EO11</f>
        <v>0</v>
      </c>
      <c r="EO44" s="2110">
        <f ca="1">비용!EP11</f>
        <v>0</v>
      </c>
      <c r="EP44" s="2111">
        <f ca="1">비용!EQ11</f>
        <v>0</v>
      </c>
      <c r="EQ44" s="2109">
        <f ca="1">비용!ER11</f>
        <v>5.4158913327339944</v>
      </c>
      <c r="ER44" s="2110">
        <f ca="1">비용!ES11</f>
        <v>5.4158913327339944</v>
      </c>
      <c r="ES44" s="2110">
        <f ca="1">비용!ET11</f>
        <v>5.4158913327339944</v>
      </c>
      <c r="ET44" s="2111">
        <f ca="1">비용!EU11</f>
        <v>5.4158913327339944</v>
      </c>
      <c r="EU44" s="2109">
        <f ca="1">비용!EV11</f>
        <v>0</v>
      </c>
      <c r="EV44" s="2110">
        <f ca="1">비용!EW11</f>
        <v>0</v>
      </c>
      <c r="EW44" s="2110">
        <f ca="1">비용!EX11</f>
        <v>0</v>
      </c>
      <c r="EX44" s="2111">
        <f ca="1">비용!EY11</f>
        <v>0</v>
      </c>
      <c r="EY44" s="2109">
        <f ca="1">비용!EZ11</f>
        <v>0.28332055120625371</v>
      </c>
      <c r="EZ44" s="2110">
        <f ca="1">비용!FA11</f>
        <v>0.28332055120625371</v>
      </c>
      <c r="FA44" s="2110">
        <f ca="1">비용!FB11</f>
        <v>0.28332055120625371</v>
      </c>
      <c r="FB44" s="2111">
        <f ca="1">비용!FC11</f>
        <v>0.28332055120625371</v>
      </c>
      <c r="FC44" s="2109">
        <f ca="1">비용!FD11</f>
        <v>0.53653829384684293</v>
      </c>
      <c r="FD44" s="2110">
        <f ca="1">비용!FE11</f>
        <v>0.53653829384684293</v>
      </c>
      <c r="FE44" s="2110">
        <f ca="1">비용!FF11</f>
        <v>0.53653829384684293</v>
      </c>
      <c r="FF44" s="2111">
        <f ca="1">비용!FG11</f>
        <v>0.53653829384684293</v>
      </c>
      <c r="FG44" s="2109">
        <f ca="1">비용!FH11</f>
        <v>2.8178991192836187</v>
      </c>
      <c r="FH44" s="2110">
        <f ca="1">비용!FI11</f>
        <v>2.8178991192836187</v>
      </c>
      <c r="FI44" s="2110">
        <f ca="1">비용!FJ11</f>
        <v>2.8178991192836187</v>
      </c>
      <c r="FJ44" s="2111">
        <f ca="1">비용!FK11</f>
        <v>2.8178991192836187</v>
      </c>
      <c r="FK44" s="2109">
        <f ca="1">비용!FL11</f>
        <v>31.379835577048102</v>
      </c>
      <c r="FL44" s="2110">
        <f ca="1">비용!FM11</f>
        <v>31.379835577048102</v>
      </c>
      <c r="FM44" s="2110">
        <f ca="1">비용!FN11</f>
        <v>0</v>
      </c>
      <c r="FN44" s="2111">
        <f ca="1">비용!FO11</f>
        <v>0</v>
      </c>
      <c r="FO44" s="2109">
        <f>비용!FP11</f>
        <v>0</v>
      </c>
      <c r="FP44" s="2110">
        <f>비용!FQ11</f>
        <v>0</v>
      </c>
      <c r="FQ44" s="2110">
        <f>비용!FR11</f>
        <v>0</v>
      </c>
      <c r="FR44" s="2111">
        <f>비용!FS11</f>
        <v>0</v>
      </c>
      <c r="FS44" s="2109">
        <f>비용!FT11</f>
        <v>0</v>
      </c>
      <c r="FT44" s="2110">
        <f>비용!FU11</f>
        <v>0</v>
      </c>
      <c r="FU44" s="2110">
        <f>비용!FV11</f>
        <v>0</v>
      </c>
      <c r="FV44" s="2111">
        <f>비용!FW11</f>
        <v>0</v>
      </c>
      <c r="FW44" s="2109">
        <f>비용!FX11</f>
        <v>0</v>
      </c>
      <c r="FX44" s="2110">
        <f>비용!FY11</f>
        <v>0</v>
      </c>
      <c r="FY44" s="2110">
        <f>비용!FZ11</f>
        <v>0</v>
      </c>
      <c r="FZ44" s="2111">
        <f>비용!GA11</f>
        <v>0</v>
      </c>
      <c r="GA44" s="2109">
        <f>비용!GB11</f>
        <v>0</v>
      </c>
      <c r="GB44" s="2110">
        <f>비용!GC11</f>
        <v>0</v>
      </c>
      <c r="GC44" s="2110">
        <f>비용!GD11</f>
        <v>0</v>
      </c>
      <c r="GD44" s="2111">
        <f>비용!GE11</f>
        <v>0</v>
      </c>
    </row>
    <row r="45" spans="2:186" ht="15" customHeight="1">
      <c r="C45" s="307" t="s">
        <v>1227</v>
      </c>
      <c r="D45" s="1274"/>
      <c r="E45" s="5383"/>
      <c r="F45" s="1828">
        <f ca="1">SUM(G45:GD45)</f>
        <v>526.5345212339497</v>
      </c>
      <c r="G45" s="2112">
        <f>비용!H12</f>
        <v>0</v>
      </c>
      <c r="H45" s="2113">
        <f>비용!I12</f>
        <v>4.306</v>
      </c>
      <c r="I45" s="2113">
        <f>비용!J12</f>
        <v>2.11</v>
      </c>
      <c r="J45" s="2114">
        <f>비용!K12</f>
        <v>5.5647203999999997</v>
      </c>
      <c r="K45" s="2112">
        <f>비용!L12</f>
        <v>3.2360000000000002</v>
      </c>
      <c r="L45" s="2113">
        <f>비용!M12</f>
        <v>4.8540000000000001</v>
      </c>
      <c r="M45" s="2113">
        <f>비용!N12</f>
        <v>0</v>
      </c>
      <c r="N45" s="2114">
        <f>비용!O12</f>
        <v>4.0460000000000003</v>
      </c>
      <c r="O45" s="2112">
        <f>비용!P12</f>
        <v>0.81</v>
      </c>
      <c r="P45" s="2113">
        <f>비용!Q12</f>
        <v>4.0979999999999999</v>
      </c>
      <c r="Q45" s="2113">
        <f>비용!R12</f>
        <v>1.22</v>
      </c>
      <c r="R45" s="2114">
        <f>비용!S12</f>
        <v>0.71138000000000001</v>
      </c>
      <c r="S45" s="2112">
        <f>비용!T12</f>
        <v>0.5</v>
      </c>
      <c r="T45" s="2113">
        <f>비용!U12</f>
        <v>10</v>
      </c>
      <c r="U45" s="2113">
        <f>비용!V12</f>
        <v>0.3</v>
      </c>
      <c r="V45" s="2114">
        <f>비용!W12</f>
        <v>1.5</v>
      </c>
      <c r="W45" s="2112">
        <f ca="1">비용!X12</f>
        <v>0</v>
      </c>
      <c r="X45" s="2113">
        <f ca="1">비용!Y12</f>
        <v>0</v>
      </c>
      <c r="Y45" s="2113">
        <f ca="1">비용!Z12</f>
        <v>0</v>
      </c>
      <c r="Z45" s="2114">
        <f ca="1">비용!AA12</f>
        <v>0</v>
      </c>
      <c r="AA45" s="2112">
        <f ca="1">비용!AB12</f>
        <v>0</v>
      </c>
      <c r="AB45" s="2113">
        <f ca="1">비용!AC12</f>
        <v>0</v>
      </c>
      <c r="AC45" s="2113">
        <f ca="1">비용!AD12</f>
        <v>0</v>
      </c>
      <c r="AD45" s="2114">
        <f ca="1">비용!AE12</f>
        <v>0</v>
      </c>
      <c r="AE45" s="2112">
        <f ca="1">비용!AF12</f>
        <v>0</v>
      </c>
      <c r="AF45" s="2113">
        <f ca="1">비용!AG12</f>
        <v>0</v>
      </c>
      <c r="AG45" s="2113">
        <f ca="1">비용!AH12</f>
        <v>0</v>
      </c>
      <c r="AH45" s="2114">
        <f ca="1">비용!AI12</f>
        <v>0</v>
      </c>
      <c r="AI45" s="2112">
        <f ca="1">비용!AJ12</f>
        <v>1.23756433399275</v>
      </c>
      <c r="AJ45" s="2113">
        <f ca="1">비용!AK12</f>
        <v>1.23756433399275</v>
      </c>
      <c r="AK45" s="2113">
        <f ca="1">비용!AL12</f>
        <v>1.23756433399275</v>
      </c>
      <c r="AL45" s="2114">
        <f ca="1">비용!AM12</f>
        <v>1.23756433399275</v>
      </c>
      <c r="AM45" s="2112">
        <f ca="1">비용!AN12</f>
        <v>0.61037408659557491</v>
      </c>
      <c r="AN45" s="2113">
        <f ca="1">비용!AO12</f>
        <v>0.61037408659557491</v>
      </c>
      <c r="AO45" s="2113">
        <f ca="1">비용!AP12</f>
        <v>0.61037408659557491</v>
      </c>
      <c r="AP45" s="2114">
        <f ca="1">비용!AQ12</f>
        <v>0.61037408659557491</v>
      </c>
      <c r="AQ45" s="2112">
        <f ca="1">비용!AR12</f>
        <v>0</v>
      </c>
      <c r="AR45" s="2113">
        <f ca="1">비용!AS12</f>
        <v>0</v>
      </c>
      <c r="AS45" s="2113">
        <f ca="1">비용!AT12</f>
        <v>0</v>
      </c>
      <c r="AT45" s="2114">
        <f ca="1">비용!AU12</f>
        <v>0</v>
      </c>
      <c r="AU45" s="2112">
        <f ca="1">비용!AV12</f>
        <v>4.4667839107158303</v>
      </c>
      <c r="AV45" s="2113">
        <f ca="1">비용!AW12</f>
        <v>4.4667839107158303</v>
      </c>
      <c r="AW45" s="2113">
        <f ca="1">비용!AX12</f>
        <v>4.4667839107158303</v>
      </c>
      <c r="AX45" s="2114">
        <f ca="1">비용!AY12</f>
        <v>4.4667839107158303</v>
      </c>
      <c r="AY45" s="2112">
        <f ca="1">비용!AZ12</f>
        <v>6.562111636106164</v>
      </c>
      <c r="AZ45" s="2113">
        <f ca="1">비용!BA12</f>
        <v>6.562111636106164</v>
      </c>
      <c r="BA45" s="2113">
        <f ca="1">비용!BB12</f>
        <v>6.562111636106164</v>
      </c>
      <c r="BB45" s="2114">
        <f ca="1">비용!BC12</f>
        <v>6.562111636106164</v>
      </c>
      <c r="BC45" s="2112">
        <f ca="1">비용!BD12</f>
        <v>4.3377406242772585</v>
      </c>
      <c r="BD45" s="2113">
        <f ca="1">비용!BE12</f>
        <v>4.3377406242772585</v>
      </c>
      <c r="BE45" s="2113">
        <f ca="1">비용!BF12</f>
        <v>4.3377406242772585</v>
      </c>
      <c r="BF45" s="2114">
        <f ca="1">비용!BG12</f>
        <v>4.3377406242772585</v>
      </c>
      <c r="BG45" s="2112">
        <f ca="1">비용!BH12</f>
        <v>7.3745677714577438</v>
      </c>
      <c r="BH45" s="2113">
        <f ca="1">비용!BI12</f>
        <v>7.3745677714577438</v>
      </c>
      <c r="BI45" s="2113">
        <f ca="1">비용!BJ12</f>
        <v>7.3745677714577438</v>
      </c>
      <c r="BJ45" s="2114">
        <f ca="1">비용!BK12</f>
        <v>7.3745677714577438</v>
      </c>
      <c r="BK45" s="2112">
        <f ca="1">비용!BL12</f>
        <v>0.22536500602639398</v>
      </c>
      <c r="BL45" s="2113">
        <f ca="1">비용!BM12</f>
        <v>0.22536500602639398</v>
      </c>
      <c r="BM45" s="2113">
        <f ca="1">비용!BN12</f>
        <v>0.22536500602639398</v>
      </c>
      <c r="BN45" s="2114">
        <f ca="1">비용!BO12</f>
        <v>0.22536500602639398</v>
      </c>
      <c r="BO45" s="2112">
        <f ca="1">비용!BP12</f>
        <v>8.5356996032496717</v>
      </c>
      <c r="BP45" s="2113">
        <f ca="1">비용!BQ12</f>
        <v>8.5356996032496717</v>
      </c>
      <c r="BQ45" s="2113">
        <f ca="1">비용!BR12</f>
        <v>8.5356996032496717</v>
      </c>
      <c r="BR45" s="2114">
        <f ca="1">비용!BS12</f>
        <v>8.5356996032496717</v>
      </c>
      <c r="BS45" s="2112">
        <f ca="1">비용!BT12</f>
        <v>10.920005025757412</v>
      </c>
      <c r="BT45" s="2113">
        <f ca="1">비용!BU12</f>
        <v>10.920005025757412</v>
      </c>
      <c r="BU45" s="2113">
        <f ca="1">비용!BV12</f>
        <v>10.920005025757412</v>
      </c>
      <c r="BV45" s="2114">
        <f ca="1">비용!BW12</f>
        <v>10.920005025757412</v>
      </c>
      <c r="BW45" s="2112">
        <f ca="1">비용!BX12</f>
        <v>14.827779401090085</v>
      </c>
      <c r="BX45" s="2113">
        <f ca="1">비용!BY12</f>
        <v>14.827779401090085</v>
      </c>
      <c r="BY45" s="2113">
        <f ca="1">비용!BZ12</f>
        <v>14.827779401090085</v>
      </c>
      <c r="BZ45" s="2114">
        <f ca="1">비용!CA12</f>
        <v>14.827779401090085</v>
      </c>
      <c r="CA45" s="2112">
        <f ca="1">비용!CB12</f>
        <v>5.5345712040398576</v>
      </c>
      <c r="CB45" s="2113">
        <f ca="1">비용!CC12</f>
        <v>5.5345712040398576</v>
      </c>
      <c r="CC45" s="2113">
        <f ca="1">비용!CD12</f>
        <v>5.5345712040398576</v>
      </c>
      <c r="CD45" s="2114">
        <f ca="1">비용!CE12</f>
        <v>5.5345712040398576</v>
      </c>
      <c r="CE45" s="2112">
        <f ca="1">비용!CF12</f>
        <v>0</v>
      </c>
      <c r="CF45" s="2113">
        <f ca="1">비용!CG12</f>
        <v>0</v>
      </c>
      <c r="CG45" s="2113">
        <f ca="1">비용!CH12</f>
        <v>0</v>
      </c>
      <c r="CH45" s="2114">
        <f ca="1">비용!CI12</f>
        <v>0</v>
      </c>
      <c r="CI45" s="2112">
        <f ca="1">비용!CJ12</f>
        <v>8.9576494085485123</v>
      </c>
      <c r="CJ45" s="2113">
        <f ca="1">비용!CK12</f>
        <v>8.9576494085485123</v>
      </c>
      <c r="CK45" s="2113">
        <f ca="1">비용!CL12</f>
        <v>8.9576494085485123</v>
      </c>
      <c r="CL45" s="2114">
        <f ca="1">비용!CM12</f>
        <v>8.9576494085485123</v>
      </c>
      <c r="CM45" s="2112">
        <f ca="1">비용!CN12</f>
        <v>4.0637764820544291</v>
      </c>
      <c r="CN45" s="2113">
        <f ca="1">비용!CO12</f>
        <v>4.0637764820544291</v>
      </c>
      <c r="CO45" s="2113">
        <f ca="1">비용!CP12</f>
        <v>4.0637764820544291</v>
      </c>
      <c r="CP45" s="2114">
        <f ca="1">비용!CQ12</f>
        <v>4.0637764820544291</v>
      </c>
      <c r="CQ45" s="2112">
        <f ca="1">비용!CR12</f>
        <v>7.5369918577545976</v>
      </c>
      <c r="CR45" s="2113">
        <f ca="1">비용!CS12</f>
        <v>7.5369918577545976</v>
      </c>
      <c r="CS45" s="2113">
        <f ca="1">비용!CT12</f>
        <v>7.5369918577545976</v>
      </c>
      <c r="CT45" s="2114">
        <f ca="1">비용!CU12</f>
        <v>7.5369918577545976</v>
      </c>
      <c r="CU45" s="2112">
        <f ca="1">비용!CV12</f>
        <v>7.7332594256802283</v>
      </c>
      <c r="CV45" s="2113">
        <f ca="1">비용!CW12</f>
        <v>7.7332594256802283</v>
      </c>
      <c r="CW45" s="2113">
        <f ca="1">비용!CX12</f>
        <v>7.7332594256802283</v>
      </c>
      <c r="CX45" s="2114">
        <f ca="1">비용!CY12</f>
        <v>7.7332594256802283</v>
      </c>
      <c r="CY45" s="2112">
        <f ca="1">비용!CZ12</f>
        <v>1.8670737896263823</v>
      </c>
      <c r="CZ45" s="2113">
        <f ca="1">비용!DA12</f>
        <v>1.8670737896263823</v>
      </c>
      <c r="DA45" s="2113">
        <f ca="1">비용!DB12</f>
        <v>1.8670737896263823</v>
      </c>
      <c r="DB45" s="2114">
        <f ca="1">비용!DC12</f>
        <v>1.8670737896263823</v>
      </c>
      <c r="DC45" s="2112">
        <f ca="1">비용!DD12</f>
        <v>0</v>
      </c>
      <c r="DD45" s="2113">
        <f ca="1">비용!DE12</f>
        <v>0</v>
      </c>
      <c r="DE45" s="2113">
        <f ca="1">비용!DF12</f>
        <v>0</v>
      </c>
      <c r="DF45" s="2114">
        <f ca="1">비용!DG12</f>
        <v>0</v>
      </c>
      <c r="DG45" s="2112">
        <f ca="1">비용!DH12</f>
        <v>0.253946929706383</v>
      </c>
      <c r="DH45" s="2113">
        <f ca="1">비용!DI12</f>
        <v>0.253946929706383</v>
      </c>
      <c r="DI45" s="2113">
        <f ca="1">비용!DJ12</f>
        <v>0.253946929706383</v>
      </c>
      <c r="DJ45" s="2114">
        <f ca="1">비용!DK12</f>
        <v>0.253946929706383</v>
      </c>
      <c r="DK45" s="2112">
        <f ca="1">비용!DL12</f>
        <v>2.2146318121952615</v>
      </c>
      <c r="DL45" s="2113">
        <f ca="1">비용!DM12</f>
        <v>2.2146318121952615</v>
      </c>
      <c r="DM45" s="2113">
        <f ca="1">비용!DN12</f>
        <v>2.2146318121952615</v>
      </c>
      <c r="DN45" s="2114">
        <f ca="1">비용!DO12</f>
        <v>2.2146318121952615</v>
      </c>
      <c r="DO45" s="2112">
        <f ca="1">비용!DP12</f>
        <v>0.74477238110625865</v>
      </c>
      <c r="DP45" s="2113">
        <f ca="1">비용!DQ12</f>
        <v>0.74477238110625865</v>
      </c>
      <c r="DQ45" s="2113">
        <f ca="1">비용!DR12</f>
        <v>0.74477238110625865</v>
      </c>
      <c r="DR45" s="2114">
        <f ca="1">비용!DS12</f>
        <v>0.74477238110625865</v>
      </c>
      <c r="DS45" s="2112">
        <f ca="1">비용!DT12</f>
        <v>0</v>
      </c>
      <c r="DT45" s="2113">
        <f ca="1">비용!DU12</f>
        <v>0</v>
      </c>
      <c r="DU45" s="2113">
        <f ca="1">비용!DV12</f>
        <v>0</v>
      </c>
      <c r="DV45" s="2114">
        <f ca="1">비용!DW12</f>
        <v>0</v>
      </c>
      <c r="DW45" s="2112">
        <f ca="1">비용!DX12</f>
        <v>7.1019389470781</v>
      </c>
      <c r="DX45" s="2113">
        <f ca="1">비용!DY12</f>
        <v>7.1019389470781</v>
      </c>
      <c r="DY45" s="2113">
        <f ca="1">비용!DZ12</f>
        <v>7.1019389470781</v>
      </c>
      <c r="DZ45" s="2114">
        <f ca="1">비용!EA12</f>
        <v>7.1019389470781</v>
      </c>
      <c r="EA45" s="2112">
        <f ca="1">비용!EB12</f>
        <v>0</v>
      </c>
      <c r="EB45" s="2113">
        <f ca="1">비용!EC12</f>
        <v>0</v>
      </c>
      <c r="EC45" s="2113">
        <f ca="1">비용!ED12</f>
        <v>0</v>
      </c>
      <c r="ED45" s="2114">
        <f ca="1">비용!EE12</f>
        <v>0</v>
      </c>
      <c r="EE45" s="2112">
        <f ca="1">비용!EF12</f>
        <v>9.9429466635193169</v>
      </c>
      <c r="EF45" s="2113">
        <f ca="1">비용!EG12</f>
        <v>9.9429466635193169</v>
      </c>
      <c r="EG45" s="2113">
        <f ca="1">비용!EH12</f>
        <v>9.9429466635193169</v>
      </c>
      <c r="EH45" s="2114">
        <f ca="1">비용!EI12</f>
        <v>9.9429466635193169</v>
      </c>
      <c r="EI45" s="2112">
        <f ca="1">비용!EJ12</f>
        <v>1.7356924407199503</v>
      </c>
      <c r="EJ45" s="2113">
        <f ca="1">비용!EK12</f>
        <v>1.7356924407199503</v>
      </c>
      <c r="EK45" s="2113">
        <f ca="1">비용!EL12</f>
        <v>1.7356924407199503</v>
      </c>
      <c r="EL45" s="2114">
        <f ca="1">비용!EM12</f>
        <v>1.7356924407199503</v>
      </c>
      <c r="EM45" s="2112">
        <f ca="1">비용!EN12</f>
        <v>0</v>
      </c>
      <c r="EN45" s="2113">
        <f ca="1">비용!EO12</f>
        <v>0</v>
      </c>
      <c r="EO45" s="2113">
        <f ca="1">비용!EP12</f>
        <v>0</v>
      </c>
      <c r="EP45" s="2114">
        <f ca="1">비용!EQ12</f>
        <v>0</v>
      </c>
      <c r="EQ45" s="2112">
        <f ca="1">비용!ER12</f>
        <v>0</v>
      </c>
      <c r="ER45" s="2113">
        <f ca="1">비용!ES12</f>
        <v>0</v>
      </c>
      <c r="ES45" s="2113">
        <f ca="1">비용!ET12</f>
        <v>0</v>
      </c>
      <c r="ET45" s="2114">
        <f ca="1">비용!EU12</f>
        <v>0</v>
      </c>
      <c r="EU45" s="2112">
        <f ca="1">비용!EV12</f>
        <v>0</v>
      </c>
      <c r="EV45" s="2113">
        <f ca="1">비용!EW12</f>
        <v>0</v>
      </c>
      <c r="EW45" s="2113">
        <f ca="1">비용!EX12</f>
        <v>0</v>
      </c>
      <c r="EX45" s="2114">
        <f ca="1">비용!EY12</f>
        <v>0</v>
      </c>
      <c r="EY45" s="2112">
        <f ca="1">비용!EZ12</f>
        <v>1.6680497452268188</v>
      </c>
      <c r="EZ45" s="2113">
        <f ca="1">비용!FA12</f>
        <v>1.6680497452268188</v>
      </c>
      <c r="FA45" s="2113">
        <f ca="1">비용!FB12</f>
        <v>1.6680497452268188</v>
      </c>
      <c r="FB45" s="2114">
        <f ca="1">비용!FC12</f>
        <v>1.6680497452268188</v>
      </c>
      <c r="FC45" s="2112">
        <f ca="1">비용!FD12</f>
        <v>0</v>
      </c>
      <c r="FD45" s="2113">
        <f ca="1">비용!FE12</f>
        <v>0</v>
      </c>
      <c r="FE45" s="2113">
        <f ca="1">비용!FF12</f>
        <v>0</v>
      </c>
      <c r="FF45" s="2114">
        <f ca="1">비용!FG12</f>
        <v>0</v>
      </c>
      <c r="FG45" s="2112">
        <f ca="1">비용!FH12</f>
        <v>0.54190367678531137</v>
      </c>
      <c r="FH45" s="2113">
        <f ca="1">비용!FI12</f>
        <v>0.54190367678531137</v>
      </c>
      <c r="FI45" s="2113">
        <f ca="1">비용!FJ12</f>
        <v>0.54190367678531137</v>
      </c>
      <c r="FJ45" s="2114">
        <f ca="1">비용!FK12</f>
        <v>0.54190367678531137</v>
      </c>
      <c r="FK45" s="2112">
        <f ca="1">비용!FL12</f>
        <v>3.6488180903544305</v>
      </c>
      <c r="FL45" s="2113">
        <f ca="1">비용!FM12</f>
        <v>3.6488180903544305</v>
      </c>
      <c r="FM45" s="2113">
        <f ca="1">비용!FN12</f>
        <v>0</v>
      </c>
      <c r="FN45" s="2114">
        <f ca="1">비용!FO12</f>
        <v>0</v>
      </c>
      <c r="FO45" s="2112">
        <f>비용!FP12</f>
        <v>0</v>
      </c>
      <c r="FP45" s="2113">
        <f>비용!FQ12</f>
        <v>0</v>
      </c>
      <c r="FQ45" s="2113">
        <f>비용!FR12</f>
        <v>0</v>
      </c>
      <c r="FR45" s="2114">
        <f>비용!FS12</f>
        <v>0</v>
      </c>
      <c r="FS45" s="2112">
        <f>비용!FT12</f>
        <v>0</v>
      </c>
      <c r="FT45" s="2113">
        <f>비용!FU12</f>
        <v>0</v>
      </c>
      <c r="FU45" s="2113">
        <f>비용!FV12</f>
        <v>0</v>
      </c>
      <c r="FV45" s="2114">
        <f>비용!FW12</f>
        <v>0</v>
      </c>
      <c r="FW45" s="2112">
        <f>비용!FX12</f>
        <v>0</v>
      </c>
      <c r="FX45" s="2113">
        <f>비용!FY12</f>
        <v>0</v>
      </c>
      <c r="FY45" s="2113">
        <f>비용!FZ12</f>
        <v>0</v>
      </c>
      <c r="FZ45" s="2114">
        <f>비용!GA12</f>
        <v>0</v>
      </c>
      <c r="GA45" s="2112">
        <f>비용!GB12</f>
        <v>0</v>
      </c>
      <c r="GB45" s="2113">
        <f>비용!GC12</f>
        <v>0</v>
      </c>
      <c r="GC45" s="2113">
        <f>비용!GD12</f>
        <v>0</v>
      </c>
      <c r="GD45" s="2114">
        <f>비용!GE12</f>
        <v>0</v>
      </c>
    </row>
    <row r="46" spans="2:186" ht="15" customHeight="1">
      <c r="C46" s="307" t="s">
        <v>1252</v>
      </c>
      <c r="D46" s="1274"/>
      <c r="E46" s="5383"/>
      <c r="F46" s="1828">
        <f ca="1">SUM(G46:GD46)</f>
        <v>41.97485677596859</v>
      </c>
      <c r="G46" s="2112">
        <f ca="1">비용!H8</f>
        <v>0</v>
      </c>
      <c r="H46" s="2113">
        <f ca="1">비용!I8</f>
        <v>0</v>
      </c>
      <c r="I46" s="2113">
        <f ca="1">비용!J8</f>
        <v>0</v>
      </c>
      <c r="J46" s="2114">
        <f ca="1">비용!K8</f>
        <v>0</v>
      </c>
      <c r="K46" s="2112">
        <f ca="1">비용!L8</f>
        <v>0</v>
      </c>
      <c r="L46" s="2113">
        <f ca="1">비용!M8</f>
        <v>0</v>
      </c>
      <c r="M46" s="2113">
        <f ca="1">비용!N8</f>
        <v>0</v>
      </c>
      <c r="N46" s="2114">
        <f ca="1">비용!O8</f>
        <v>0</v>
      </c>
      <c r="O46" s="2112">
        <f ca="1">비용!P8</f>
        <v>0</v>
      </c>
      <c r="P46" s="2113">
        <f ca="1">비용!Q8</f>
        <v>0</v>
      </c>
      <c r="Q46" s="2113">
        <f ca="1">비용!R8</f>
        <v>0</v>
      </c>
      <c r="R46" s="2114">
        <f ca="1">비용!S8</f>
        <v>0</v>
      </c>
      <c r="S46" s="2112">
        <f ca="1">비용!T8</f>
        <v>0</v>
      </c>
      <c r="T46" s="2113">
        <f ca="1">비용!U8</f>
        <v>0</v>
      </c>
      <c r="U46" s="2113">
        <f ca="1">비용!V8</f>
        <v>0</v>
      </c>
      <c r="V46" s="2114">
        <f ca="1">비용!W8</f>
        <v>0</v>
      </c>
      <c r="W46" s="2112">
        <f ca="1">비용!X8</f>
        <v>0</v>
      </c>
      <c r="X46" s="2113">
        <f ca="1">비용!Y8</f>
        <v>0</v>
      </c>
      <c r="Y46" s="2113">
        <f ca="1">비용!Z8</f>
        <v>0</v>
      </c>
      <c r="Z46" s="2114">
        <f ca="1">비용!AA8</f>
        <v>0</v>
      </c>
      <c r="AA46" s="2112">
        <f ca="1">비용!AB8</f>
        <v>0</v>
      </c>
      <c r="AB46" s="2113">
        <f ca="1">비용!AC8</f>
        <v>0</v>
      </c>
      <c r="AC46" s="2113">
        <f ca="1">비용!AD8</f>
        <v>0</v>
      </c>
      <c r="AD46" s="2114">
        <f ca="1">비용!AE8</f>
        <v>0</v>
      </c>
      <c r="AE46" s="2112">
        <f ca="1">비용!AF8</f>
        <v>0</v>
      </c>
      <c r="AF46" s="2113">
        <f ca="1">비용!AG8</f>
        <v>0</v>
      </c>
      <c r="AG46" s="2113">
        <f ca="1">비용!AH8</f>
        <v>0</v>
      </c>
      <c r="AH46" s="2114">
        <f ca="1">비용!AI8</f>
        <v>0</v>
      </c>
      <c r="AI46" s="2112">
        <f ca="1">비용!AJ8</f>
        <v>0</v>
      </c>
      <c r="AJ46" s="2113">
        <f ca="1">비용!AK8</f>
        <v>0</v>
      </c>
      <c r="AK46" s="2113">
        <f ca="1">비용!AL8</f>
        <v>0</v>
      </c>
      <c r="AL46" s="2114">
        <f ca="1">비용!AM8</f>
        <v>0</v>
      </c>
      <c r="AM46" s="2112">
        <f ca="1">비용!AN8</f>
        <v>0.53076007530049996</v>
      </c>
      <c r="AN46" s="2113">
        <f ca="1">비용!AO8</f>
        <v>0.53076007530049996</v>
      </c>
      <c r="AO46" s="2113">
        <f ca="1">비용!AP8</f>
        <v>0.53076007530049996</v>
      </c>
      <c r="AP46" s="2114">
        <f ca="1">비용!AQ8</f>
        <v>0.53076007530049996</v>
      </c>
      <c r="AQ46" s="2112">
        <f ca="1">비용!AR8</f>
        <v>0</v>
      </c>
      <c r="AR46" s="2113">
        <f ca="1">비용!AS8</f>
        <v>0</v>
      </c>
      <c r="AS46" s="2113">
        <f ca="1">비용!AT8</f>
        <v>0</v>
      </c>
      <c r="AT46" s="2114">
        <f ca="1">비용!AU8</f>
        <v>0</v>
      </c>
      <c r="AU46" s="2112">
        <f ca="1">비용!AV8</f>
        <v>1.2344566444160108</v>
      </c>
      <c r="AV46" s="2113">
        <f ca="1">비용!AW8</f>
        <v>1.2344566444160108</v>
      </c>
      <c r="AW46" s="2113">
        <f ca="1">비용!AX8</f>
        <v>1.2344566444160108</v>
      </c>
      <c r="AX46" s="2114">
        <f ca="1">비용!AY8</f>
        <v>1.2344566444160108</v>
      </c>
      <c r="AY46" s="2112">
        <f ca="1">비용!AZ8</f>
        <v>0</v>
      </c>
      <c r="AZ46" s="2113">
        <f ca="1">비용!BA8</f>
        <v>0</v>
      </c>
      <c r="BA46" s="2113">
        <f ca="1">비용!BB8</f>
        <v>0</v>
      </c>
      <c r="BB46" s="2114">
        <f ca="1">비용!BC8</f>
        <v>0</v>
      </c>
      <c r="BC46" s="2112">
        <f ca="1">비용!BD8</f>
        <v>0.66277327524672269</v>
      </c>
      <c r="BD46" s="2113">
        <f ca="1">비용!BE8</f>
        <v>0.66277327524672269</v>
      </c>
      <c r="BE46" s="2113">
        <f ca="1">비용!BF8</f>
        <v>0.66277327524672269</v>
      </c>
      <c r="BF46" s="2114">
        <f ca="1">비용!BG8</f>
        <v>0.66277327524672269</v>
      </c>
      <c r="BG46" s="2112">
        <f ca="1">비용!BH8</f>
        <v>0</v>
      </c>
      <c r="BH46" s="2113">
        <f ca="1">비용!BI8</f>
        <v>0</v>
      </c>
      <c r="BI46" s="2113">
        <f ca="1">비용!BJ8</f>
        <v>0</v>
      </c>
      <c r="BJ46" s="2114">
        <f ca="1">비용!BK8</f>
        <v>0</v>
      </c>
      <c r="BK46" s="2112">
        <f ca="1">비용!BL8</f>
        <v>0</v>
      </c>
      <c r="BL46" s="2113">
        <f ca="1">비용!BM8</f>
        <v>0</v>
      </c>
      <c r="BM46" s="2113">
        <f ca="1">비용!BN8</f>
        <v>0</v>
      </c>
      <c r="BN46" s="2114">
        <f ca="1">비용!BO8</f>
        <v>0</v>
      </c>
      <c r="BO46" s="2112">
        <f ca="1">비용!BP8</f>
        <v>0</v>
      </c>
      <c r="BP46" s="2113">
        <f ca="1">비용!BQ8</f>
        <v>0</v>
      </c>
      <c r="BQ46" s="2113">
        <f ca="1">비용!BR8</f>
        <v>0</v>
      </c>
      <c r="BR46" s="2114">
        <f ca="1">비용!BS8</f>
        <v>0</v>
      </c>
      <c r="BS46" s="2112">
        <f ca="1">비용!BT8</f>
        <v>0.86210565992821786</v>
      </c>
      <c r="BT46" s="2113">
        <f ca="1">비용!BU8</f>
        <v>0.86210565992821786</v>
      </c>
      <c r="BU46" s="2113">
        <f ca="1">비용!BV8</f>
        <v>0.86210565992821786</v>
      </c>
      <c r="BV46" s="2114">
        <f ca="1">비용!BW8</f>
        <v>0.86210565992821786</v>
      </c>
      <c r="BW46" s="2112">
        <f ca="1">비용!BX8</f>
        <v>0</v>
      </c>
      <c r="BX46" s="2113">
        <f ca="1">비용!BY8</f>
        <v>0</v>
      </c>
      <c r="BY46" s="2113">
        <f ca="1">비용!BZ8</f>
        <v>0</v>
      </c>
      <c r="BZ46" s="2114">
        <f ca="1">비용!CA8</f>
        <v>0</v>
      </c>
      <c r="CA46" s="2112">
        <f ca="1">비용!CB8</f>
        <v>0</v>
      </c>
      <c r="CB46" s="2113">
        <f ca="1">비용!CC8</f>
        <v>0</v>
      </c>
      <c r="CC46" s="2113">
        <f ca="1">비용!CD8</f>
        <v>0</v>
      </c>
      <c r="CD46" s="2114">
        <f ca="1">비용!CE8</f>
        <v>0</v>
      </c>
      <c r="CE46" s="2112">
        <f ca="1">비용!CF8</f>
        <v>0.71058265882376137</v>
      </c>
      <c r="CF46" s="2113">
        <f ca="1">비용!CG8</f>
        <v>0.71058265882376137</v>
      </c>
      <c r="CG46" s="2113">
        <f ca="1">비용!CH8</f>
        <v>0.71058265882376137</v>
      </c>
      <c r="CH46" s="2114">
        <f ca="1">비용!CI8</f>
        <v>0.71058265882376137</v>
      </c>
      <c r="CI46" s="2112">
        <f ca="1">비용!CJ8</f>
        <v>1.3636081222827976</v>
      </c>
      <c r="CJ46" s="2113">
        <f ca="1">비용!CK8</f>
        <v>1.3636081222827976</v>
      </c>
      <c r="CK46" s="2113">
        <f ca="1">비용!CL8</f>
        <v>1.3636081222827976</v>
      </c>
      <c r="CL46" s="2114">
        <f ca="1">비용!CM8</f>
        <v>1.3636081222827976</v>
      </c>
      <c r="CM46" s="2112">
        <f ca="1">비용!CN8</f>
        <v>0</v>
      </c>
      <c r="CN46" s="2113">
        <f ca="1">비용!CO8</f>
        <v>0</v>
      </c>
      <c r="CO46" s="2113">
        <f ca="1">비용!CP8</f>
        <v>0</v>
      </c>
      <c r="CP46" s="2114">
        <f ca="1">비용!CQ8</f>
        <v>0</v>
      </c>
      <c r="CQ46" s="2112">
        <f ca="1">비용!CR8</f>
        <v>0</v>
      </c>
      <c r="CR46" s="2113">
        <f ca="1">비용!CS8</f>
        <v>0</v>
      </c>
      <c r="CS46" s="2113">
        <f ca="1">비용!CT8</f>
        <v>0</v>
      </c>
      <c r="CT46" s="2114">
        <f ca="1">비용!CU8</f>
        <v>0</v>
      </c>
      <c r="CU46" s="2112">
        <f ca="1">비용!CV8</f>
        <v>0</v>
      </c>
      <c r="CV46" s="2113">
        <f ca="1">비용!CW8</f>
        <v>0</v>
      </c>
      <c r="CW46" s="2113">
        <f ca="1">비용!CX8</f>
        <v>0</v>
      </c>
      <c r="CX46" s="2114">
        <f ca="1">비용!CY8</f>
        <v>0</v>
      </c>
      <c r="CY46" s="2112">
        <f ca="1">비용!CZ8</f>
        <v>0</v>
      </c>
      <c r="CZ46" s="2113">
        <f ca="1">비용!DA8</f>
        <v>0</v>
      </c>
      <c r="DA46" s="2113">
        <f ca="1">비용!DB8</f>
        <v>0</v>
      </c>
      <c r="DB46" s="2114">
        <f ca="1">비용!DC8</f>
        <v>0</v>
      </c>
      <c r="DC46" s="2112">
        <f ca="1">비용!DD8</f>
        <v>0</v>
      </c>
      <c r="DD46" s="2113">
        <f ca="1">비용!DE8</f>
        <v>0</v>
      </c>
      <c r="DE46" s="2113">
        <f ca="1">비용!DF8</f>
        <v>0</v>
      </c>
      <c r="DF46" s="2114">
        <f ca="1">비용!DG8</f>
        <v>0</v>
      </c>
      <c r="DG46" s="2112">
        <f ca="1">비용!DH8</f>
        <v>0.76184078911914899</v>
      </c>
      <c r="DH46" s="2113">
        <f ca="1">비용!DI8</f>
        <v>0.76184078911914899</v>
      </c>
      <c r="DI46" s="2113">
        <f ca="1">비용!DJ8</f>
        <v>0.76184078911914899</v>
      </c>
      <c r="DJ46" s="2114">
        <f ca="1">비용!DK8</f>
        <v>0.76184078911914899</v>
      </c>
      <c r="DK46" s="2112">
        <f ca="1">비용!DL8</f>
        <v>0</v>
      </c>
      <c r="DL46" s="2113">
        <f ca="1">비용!DM8</f>
        <v>0</v>
      </c>
      <c r="DM46" s="2113">
        <f ca="1">비용!DN8</f>
        <v>0</v>
      </c>
      <c r="DN46" s="2114">
        <f ca="1">비용!DO8</f>
        <v>0</v>
      </c>
      <c r="DO46" s="2112">
        <f ca="1">비용!DP8</f>
        <v>0.97144223622555481</v>
      </c>
      <c r="DP46" s="2113">
        <f ca="1">비용!DQ8</f>
        <v>0.97144223622555481</v>
      </c>
      <c r="DQ46" s="2113">
        <f ca="1">비용!DR8</f>
        <v>0.97144223622555481</v>
      </c>
      <c r="DR46" s="2114">
        <f ca="1">비용!DS8</f>
        <v>0.97144223622555481</v>
      </c>
      <c r="DS46" s="2112">
        <f ca="1">비용!DT8</f>
        <v>0</v>
      </c>
      <c r="DT46" s="2113">
        <f ca="1">비용!DU8</f>
        <v>0</v>
      </c>
      <c r="DU46" s="2113">
        <f ca="1">비용!DV8</f>
        <v>0</v>
      </c>
      <c r="DV46" s="2114">
        <f ca="1">비용!DW8</f>
        <v>0</v>
      </c>
      <c r="DW46" s="2112">
        <f ca="1">비용!DX8</f>
        <v>1.5062717022640075</v>
      </c>
      <c r="DX46" s="2113">
        <f ca="1">비용!DY8</f>
        <v>1.5062717022640075</v>
      </c>
      <c r="DY46" s="2113">
        <f ca="1">비용!DZ8</f>
        <v>1.5062717022640075</v>
      </c>
      <c r="DZ46" s="2114">
        <f ca="1">비용!EA8</f>
        <v>1.5062717022640075</v>
      </c>
      <c r="EA46" s="2112">
        <f ca="1">비용!EB8</f>
        <v>0</v>
      </c>
      <c r="EB46" s="2113">
        <f ca="1">비용!EC8</f>
        <v>0</v>
      </c>
      <c r="EC46" s="2113">
        <f ca="1">비용!ED8</f>
        <v>0</v>
      </c>
      <c r="ED46" s="2114">
        <f ca="1">비용!EE8</f>
        <v>0</v>
      </c>
      <c r="EE46" s="2112">
        <f ca="1">비용!EF8</f>
        <v>0</v>
      </c>
      <c r="EF46" s="2113">
        <f ca="1">비용!EG8</f>
        <v>0</v>
      </c>
      <c r="EG46" s="2113">
        <f ca="1">비용!EH8</f>
        <v>0</v>
      </c>
      <c r="EH46" s="2114">
        <f ca="1">비용!EI8</f>
        <v>0</v>
      </c>
      <c r="EI46" s="2112">
        <f ca="1">비용!EJ8</f>
        <v>0.81679644269174145</v>
      </c>
      <c r="EJ46" s="2113">
        <f ca="1">비용!EK8</f>
        <v>0.81679644269174145</v>
      </c>
      <c r="EK46" s="2113">
        <f ca="1">비용!EL8</f>
        <v>0.81679644269174145</v>
      </c>
      <c r="EL46" s="2114">
        <f ca="1">비용!EM8</f>
        <v>0.81679644269174145</v>
      </c>
      <c r="EM46" s="2112">
        <f ca="1">비용!EN8</f>
        <v>0</v>
      </c>
      <c r="EN46" s="2113">
        <f ca="1">비용!EO8</f>
        <v>0</v>
      </c>
      <c r="EO46" s="2113">
        <f ca="1">비용!EP8</f>
        <v>0</v>
      </c>
      <c r="EP46" s="2114">
        <f ca="1">비용!EQ8</f>
        <v>0</v>
      </c>
      <c r="EQ46" s="2112">
        <f ca="1">비용!ER8</f>
        <v>0</v>
      </c>
      <c r="ER46" s="2113">
        <f ca="1">비용!ES8</f>
        <v>0</v>
      </c>
      <c r="ES46" s="2113">
        <f ca="1">비용!ET8</f>
        <v>0</v>
      </c>
      <c r="ET46" s="2114">
        <f ca="1">비용!EU8</f>
        <v>0</v>
      </c>
      <c r="EU46" s="2112">
        <f ca="1">비용!EV8</f>
        <v>0</v>
      </c>
      <c r="EV46" s="2113">
        <f ca="1">비용!EW8</f>
        <v>0</v>
      </c>
      <c r="EW46" s="2113">
        <f ca="1">비용!EX8</f>
        <v>0</v>
      </c>
      <c r="EX46" s="2114">
        <f ca="1">비용!EY8</f>
        <v>0</v>
      </c>
      <c r="EY46" s="2112">
        <f ca="1">비용!EZ8</f>
        <v>0</v>
      </c>
      <c r="EZ46" s="2113">
        <f ca="1">비용!FA8</f>
        <v>0</v>
      </c>
      <c r="FA46" s="2113">
        <f ca="1">비용!FB8</f>
        <v>0</v>
      </c>
      <c r="FB46" s="2114">
        <f ca="1">비용!FC8</f>
        <v>0</v>
      </c>
      <c r="FC46" s="2112">
        <f ca="1">비용!FD8</f>
        <v>1.0730765876936859</v>
      </c>
      <c r="FD46" s="2113">
        <f ca="1">비용!FE8</f>
        <v>1.0730765876936859</v>
      </c>
      <c r="FE46" s="2113">
        <f ca="1">비용!FF8</f>
        <v>1.0730765876936859</v>
      </c>
      <c r="FF46" s="2114">
        <f ca="1">비용!FG8</f>
        <v>1.0730765876936859</v>
      </c>
      <c r="FG46" s="2112">
        <f ca="1">비용!FH8</f>
        <v>0</v>
      </c>
      <c r="FH46" s="2113">
        <f ca="1">비용!FI8</f>
        <v>0</v>
      </c>
      <c r="FI46" s="2113">
        <f ca="1">비용!FJ8</f>
        <v>0</v>
      </c>
      <c r="FJ46" s="2114">
        <f ca="1">비용!FK8</f>
        <v>0</v>
      </c>
      <c r="FK46" s="2112">
        <f ca="1">비용!FL8</f>
        <v>0</v>
      </c>
      <c r="FL46" s="2113">
        <f ca="1">비용!FM8</f>
        <v>0</v>
      </c>
      <c r="FM46" s="2113">
        <f ca="1">비용!FN8</f>
        <v>0</v>
      </c>
      <c r="FN46" s="2114">
        <f ca="1">비용!FO8</f>
        <v>0</v>
      </c>
      <c r="FO46" s="2112">
        <f ca="1">비용!FP8</f>
        <v>0</v>
      </c>
      <c r="FP46" s="2113">
        <f ca="1">비용!FQ8</f>
        <v>0</v>
      </c>
      <c r="FQ46" s="2113">
        <f ca="1">비용!FR8</f>
        <v>0</v>
      </c>
      <c r="FR46" s="2114">
        <f ca="1">비용!FS8</f>
        <v>0</v>
      </c>
      <c r="FS46" s="2112">
        <f ca="1">비용!FT8</f>
        <v>0</v>
      </c>
      <c r="FT46" s="2113">
        <f ca="1">비용!FU8</f>
        <v>0</v>
      </c>
      <c r="FU46" s="2113">
        <f ca="1">비용!FV8</f>
        <v>0</v>
      </c>
      <c r="FV46" s="2114">
        <f ca="1">비용!FW8</f>
        <v>0</v>
      </c>
      <c r="FW46" s="2112">
        <f ca="1">비용!FX8</f>
        <v>0</v>
      </c>
      <c r="FX46" s="2113">
        <f ca="1">비용!FY8</f>
        <v>0</v>
      </c>
      <c r="FY46" s="2113">
        <f ca="1">비용!FZ8</f>
        <v>0</v>
      </c>
      <c r="FZ46" s="2114">
        <f ca="1">비용!GA8</f>
        <v>0</v>
      </c>
      <c r="GA46" s="2112">
        <f ca="1">비용!GB8</f>
        <v>0</v>
      </c>
      <c r="GB46" s="2113">
        <f ca="1">비용!GC8</f>
        <v>0</v>
      </c>
      <c r="GC46" s="2113">
        <f ca="1">비용!GD8</f>
        <v>0</v>
      </c>
      <c r="GD46" s="2114">
        <f ca="1">비용!GE8</f>
        <v>0</v>
      </c>
    </row>
    <row r="47" spans="2:186" ht="15" customHeight="1">
      <c r="C47" s="307" t="s">
        <v>5264</v>
      </c>
      <c r="D47" s="1274"/>
      <c r="E47" s="5383"/>
      <c r="F47" s="1828">
        <f>SUM(G47:GD47)</f>
        <v>163.77818097462324</v>
      </c>
      <c r="G47" s="2112">
        <f>'CF(Q)'!W20</f>
        <v>6.5781054799098362</v>
      </c>
      <c r="H47" s="2113">
        <f>'CF(Q)'!X20</f>
        <v>-1.983510009999975</v>
      </c>
      <c r="I47" s="2113">
        <f>'CF(Q)'!Y20</f>
        <v>11.623241019999995</v>
      </c>
      <c r="J47" s="2114">
        <f>'CF(Q)'!Z20</f>
        <v>-18.24182858999999</v>
      </c>
      <c r="K47" s="2112">
        <f>'CF(Q)'!AA20</f>
        <v>0.35176742922082799</v>
      </c>
      <c r="L47" s="2113">
        <f>'CF(Q)'!AB20</f>
        <v>4.5076751536211903</v>
      </c>
      <c r="M47" s="2113">
        <f>'CF(Q)'!AC20</f>
        <v>0.16153716000000884</v>
      </c>
      <c r="N47" s="2114">
        <f>'CF(Q)'!AD20</f>
        <v>-0.80964394999999456</v>
      </c>
      <c r="O47" s="2112">
        <f>'CF(Q)'!AE20</f>
        <v>1.83883767000001</v>
      </c>
      <c r="P47" s="2113">
        <f>'CF(Q)'!AF20</f>
        <v>5.2081854417939439</v>
      </c>
      <c r="Q47" s="2113">
        <f>'CF(Q)'!AG20</f>
        <v>-7.6051853766666628</v>
      </c>
      <c r="R47" s="2114">
        <f>'CF(Q)'!AH20</f>
        <v>-1.7510004532558243</v>
      </c>
      <c r="S47" s="2112">
        <f>'CF(Q)'!AI20</f>
        <v>0</v>
      </c>
      <c r="T47" s="2113">
        <f>'CF(Q)'!AJ20</f>
        <v>5.4</v>
      </c>
      <c r="U47" s="2113">
        <f>'CF(Q)'!AK20</f>
        <v>2.5</v>
      </c>
      <c r="V47" s="2114">
        <f>'CF(Q)'!AL20</f>
        <v>2.5</v>
      </c>
      <c r="W47" s="2112">
        <f>'CF(Q)'!AM20</f>
        <v>2.5</v>
      </c>
      <c r="X47" s="2113">
        <f>'CF(Q)'!AN20</f>
        <v>2.5</v>
      </c>
      <c r="Y47" s="2113">
        <f>'CF(Q)'!AO20</f>
        <v>2.5</v>
      </c>
      <c r="Z47" s="2114">
        <f>'CF(Q)'!AP20</f>
        <v>2.5</v>
      </c>
      <c r="AA47" s="2112">
        <f>'CF(Q)'!AQ20</f>
        <v>2.5</v>
      </c>
      <c r="AB47" s="2113">
        <f>'CF(Q)'!AR20</f>
        <v>2.5</v>
      </c>
      <c r="AC47" s="2113">
        <f>'CF(Q)'!AS20</f>
        <v>2.5</v>
      </c>
      <c r="AD47" s="2114">
        <f>'CF(Q)'!AT20</f>
        <v>2.5</v>
      </c>
      <c r="AE47" s="2112">
        <f>'CF(Q)'!AU20</f>
        <v>2.5</v>
      </c>
      <c r="AF47" s="2113">
        <f>'CF(Q)'!AV20</f>
        <v>2.5</v>
      </c>
      <c r="AG47" s="2113">
        <f>'CF(Q)'!AW20</f>
        <v>2.5</v>
      </c>
      <c r="AH47" s="2114">
        <f>'CF(Q)'!AX20</f>
        <v>2.5</v>
      </c>
      <c r="AI47" s="2112">
        <f>'CF(Q)'!AY20</f>
        <v>2.5</v>
      </c>
      <c r="AJ47" s="2113">
        <f>'CF(Q)'!AZ20</f>
        <v>2.5</v>
      </c>
      <c r="AK47" s="2113">
        <f>'CF(Q)'!BA20</f>
        <v>2.5</v>
      </c>
      <c r="AL47" s="2114">
        <f>'CF(Q)'!BB20</f>
        <v>2.4</v>
      </c>
      <c r="AM47" s="2112">
        <f>'CF(Q)'!BC20</f>
        <v>2.4</v>
      </c>
      <c r="AN47" s="2113">
        <f>'CF(Q)'!BD20</f>
        <v>2.4</v>
      </c>
      <c r="AO47" s="2113">
        <f>'CF(Q)'!BE20</f>
        <v>2.4</v>
      </c>
      <c r="AP47" s="2114">
        <f>'CF(Q)'!BF20</f>
        <v>2.4</v>
      </c>
      <c r="AQ47" s="2112">
        <f>'CF(Q)'!BG20</f>
        <v>2.4</v>
      </c>
      <c r="AR47" s="2113">
        <f>'CF(Q)'!BH20</f>
        <v>2.4</v>
      </c>
      <c r="AS47" s="2113">
        <f>'CF(Q)'!BI20</f>
        <v>2.4</v>
      </c>
      <c r="AT47" s="2114">
        <f>'CF(Q)'!BJ20</f>
        <v>2.4</v>
      </c>
      <c r="AU47" s="2112">
        <f>'CF(Q)'!BK20</f>
        <v>2.4</v>
      </c>
      <c r="AV47" s="2113">
        <f>'CF(Q)'!BL20</f>
        <v>2.4</v>
      </c>
      <c r="AW47" s="2113">
        <f>'CF(Q)'!BM20</f>
        <v>2.4</v>
      </c>
      <c r="AX47" s="2114">
        <f>'CF(Q)'!BN20</f>
        <v>2.4</v>
      </c>
      <c r="AY47" s="2112">
        <f>'CF(Q)'!BO20</f>
        <v>2.4</v>
      </c>
      <c r="AZ47" s="2113">
        <f>'CF(Q)'!BP20</f>
        <v>2.4</v>
      </c>
      <c r="BA47" s="2113">
        <f>'CF(Q)'!BQ20</f>
        <v>2.4</v>
      </c>
      <c r="BB47" s="2114">
        <f>'CF(Q)'!BR20</f>
        <v>2.4</v>
      </c>
      <c r="BC47" s="2112">
        <f>'CF(Q)'!BS20</f>
        <v>2.4</v>
      </c>
      <c r="BD47" s="2113">
        <f>'CF(Q)'!BT20</f>
        <v>2.4</v>
      </c>
      <c r="BE47" s="2113">
        <f>'CF(Q)'!BU20</f>
        <v>2.4</v>
      </c>
      <c r="BF47" s="2114">
        <f>'CF(Q)'!BV20</f>
        <v>1.7</v>
      </c>
      <c r="BG47" s="2112">
        <f>'CF(Q)'!BW20</f>
        <v>1.7</v>
      </c>
      <c r="BH47" s="2113">
        <f>'CF(Q)'!BX20</f>
        <v>1.7</v>
      </c>
      <c r="BI47" s="2113">
        <f>'CF(Q)'!BY20</f>
        <v>1.7</v>
      </c>
      <c r="BJ47" s="2114">
        <f>'CF(Q)'!BZ20</f>
        <v>1.7</v>
      </c>
      <c r="BK47" s="2112">
        <f>'CF(Q)'!CA20</f>
        <v>1.7</v>
      </c>
      <c r="BL47" s="2113">
        <f>'CF(Q)'!CB20</f>
        <v>1.7</v>
      </c>
      <c r="BM47" s="2113">
        <f>'CF(Q)'!CC20</f>
        <v>1.7</v>
      </c>
      <c r="BN47" s="2114">
        <f>'CF(Q)'!CD20</f>
        <v>1.7</v>
      </c>
      <c r="BO47" s="2112">
        <f>'CF(Q)'!CE20</f>
        <v>1.7</v>
      </c>
      <c r="BP47" s="2113">
        <f>'CF(Q)'!CF20</f>
        <v>1.7</v>
      </c>
      <c r="BQ47" s="2113">
        <f>'CF(Q)'!CG20</f>
        <v>1.7</v>
      </c>
      <c r="BR47" s="2114">
        <f>'CF(Q)'!CH20</f>
        <v>1.7</v>
      </c>
      <c r="BS47" s="2112">
        <f>'CF(Q)'!CI20</f>
        <v>1.7</v>
      </c>
      <c r="BT47" s="2113">
        <f>'CF(Q)'!CJ20</f>
        <v>1.7</v>
      </c>
      <c r="BU47" s="2113">
        <f>'CF(Q)'!CK20</f>
        <v>1.7</v>
      </c>
      <c r="BV47" s="2114">
        <f>'CF(Q)'!CL20</f>
        <v>1.7</v>
      </c>
      <c r="BW47" s="2112">
        <f>'CF(Q)'!CM20</f>
        <v>1.7</v>
      </c>
      <c r="BX47" s="2113">
        <f>'CF(Q)'!CN20</f>
        <v>1.7</v>
      </c>
      <c r="BY47" s="2113">
        <f>'CF(Q)'!CO20</f>
        <v>1.7</v>
      </c>
      <c r="BZ47" s="2114">
        <f>'CF(Q)'!CP20</f>
        <v>1.7</v>
      </c>
      <c r="CA47" s="2112">
        <f>'CF(Q)'!CQ20</f>
        <v>1.7</v>
      </c>
      <c r="CB47" s="2113">
        <f>'CF(Q)'!CR20</f>
        <v>1.7</v>
      </c>
      <c r="CC47" s="2113">
        <f>'CF(Q)'!CS20</f>
        <v>1.7</v>
      </c>
      <c r="CD47" s="2114">
        <f>'CF(Q)'!CT20</f>
        <v>1.7</v>
      </c>
      <c r="CE47" s="2112">
        <f>'CF(Q)'!CU20</f>
        <v>1.7</v>
      </c>
      <c r="CF47" s="2113">
        <f>'CF(Q)'!CV20</f>
        <v>1.7</v>
      </c>
      <c r="CG47" s="2113">
        <f>'CF(Q)'!CW20</f>
        <v>1.7</v>
      </c>
      <c r="CH47" s="2114">
        <f>'CF(Q)'!CX20</f>
        <v>1.7</v>
      </c>
      <c r="CI47" s="2112">
        <f>'CF(Q)'!CY20</f>
        <v>1.7</v>
      </c>
      <c r="CJ47" s="2113">
        <f>'CF(Q)'!CZ20</f>
        <v>1.7</v>
      </c>
      <c r="CK47" s="2113">
        <f>'CF(Q)'!DA20</f>
        <v>1.7</v>
      </c>
      <c r="CL47" s="2114">
        <f>'CF(Q)'!DB20</f>
        <v>1.7</v>
      </c>
      <c r="CM47" s="2112">
        <f>'CF(Q)'!DC20</f>
        <v>1.7</v>
      </c>
      <c r="CN47" s="2113">
        <f>'CF(Q)'!DD20</f>
        <v>1.7</v>
      </c>
      <c r="CO47" s="2113">
        <f>'CF(Q)'!DE20</f>
        <v>1.7</v>
      </c>
      <c r="CP47" s="2114">
        <f>'CF(Q)'!DF20</f>
        <v>1.7</v>
      </c>
      <c r="CQ47" s="2112">
        <f>'CF(Q)'!DG20</f>
        <v>1.7</v>
      </c>
      <c r="CR47" s="2113">
        <f>'CF(Q)'!DH20</f>
        <v>1.7</v>
      </c>
      <c r="CS47" s="2113">
        <f>'CF(Q)'!DI20</f>
        <v>1.7</v>
      </c>
      <c r="CT47" s="2114">
        <f>'CF(Q)'!DJ20</f>
        <v>0</v>
      </c>
      <c r="CU47" s="2112">
        <f>'CF(Q)'!DK20</f>
        <v>0</v>
      </c>
      <c r="CV47" s="2113">
        <f>'CF(Q)'!DL20</f>
        <v>0</v>
      </c>
      <c r="CW47" s="2113">
        <f>'CF(Q)'!DM20</f>
        <v>0</v>
      </c>
      <c r="CX47" s="2114">
        <f>'CF(Q)'!DN20</f>
        <v>0</v>
      </c>
      <c r="CY47" s="2112">
        <f>'CF(Q)'!DO20</f>
        <v>0</v>
      </c>
      <c r="CZ47" s="2113">
        <f>'CF(Q)'!DP20</f>
        <v>0</v>
      </c>
      <c r="DA47" s="2113">
        <f>'CF(Q)'!DQ20</f>
        <v>0</v>
      </c>
      <c r="DB47" s="2114">
        <f>'CF(Q)'!DR20</f>
        <v>0</v>
      </c>
      <c r="DC47" s="2112">
        <f>'CF(Q)'!DS20</f>
        <v>0</v>
      </c>
      <c r="DD47" s="2113">
        <f>'CF(Q)'!DT20</f>
        <v>0</v>
      </c>
      <c r="DE47" s="2113">
        <f>'CF(Q)'!DU20</f>
        <v>0</v>
      </c>
      <c r="DF47" s="2114">
        <f>'CF(Q)'!DV20</f>
        <v>0</v>
      </c>
      <c r="DG47" s="2112">
        <f>'CF(Q)'!DW20</f>
        <v>0</v>
      </c>
      <c r="DH47" s="2113">
        <f>'CF(Q)'!DX20</f>
        <v>0</v>
      </c>
      <c r="DI47" s="2113">
        <f>'CF(Q)'!DY20</f>
        <v>0</v>
      </c>
      <c r="DJ47" s="2114">
        <f>'CF(Q)'!DZ20</f>
        <v>0</v>
      </c>
      <c r="DK47" s="2112">
        <f>'CF(Q)'!EA20</f>
        <v>0</v>
      </c>
      <c r="DL47" s="2113">
        <f>'CF(Q)'!EB20</f>
        <v>0</v>
      </c>
      <c r="DM47" s="2113">
        <f>'CF(Q)'!EC20</f>
        <v>0</v>
      </c>
      <c r="DN47" s="2114">
        <f>'CF(Q)'!ED20</f>
        <v>0</v>
      </c>
      <c r="DO47" s="2112">
        <f>'CF(Q)'!EE20</f>
        <v>0</v>
      </c>
      <c r="DP47" s="2113">
        <f>'CF(Q)'!EF20</f>
        <v>0</v>
      </c>
      <c r="DQ47" s="2113">
        <f>'CF(Q)'!EG20</f>
        <v>0</v>
      </c>
      <c r="DR47" s="2114">
        <f>'CF(Q)'!EH20</f>
        <v>0</v>
      </c>
      <c r="DS47" s="2112">
        <f>'CF(Q)'!EI20</f>
        <v>0</v>
      </c>
      <c r="DT47" s="2113">
        <f>'CF(Q)'!EJ20</f>
        <v>0</v>
      </c>
      <c r="DU47" s="2113">
        <f>'CF(Q)'!EK20</f>
        <v>0</v>
      </c>
      <c r="DV47" s="2114">
        <f>'CF(Q)'!EL20</f>
        <v>0</v>
      </c>
      <c r="DW47" s="2112">
        <f>'CF(Q)'!EM20</f>
        <v>0</v>
      </c>
      <c r="DX47" s="2113">
        <f>'CF(Q)'!EN20</f>
        <v>0</v>
      </c>
      <c r="DY47" s="2113">
        <f>'CF(Q)'!EO20</f>
        <v>0</v>
      </c>
      <c r="DZ47" s="2114">
        <f>'CF(Q)'!EP20</f>
        <v>0</v>
      </c>
      <c r="EA47" s="2112">
        <f>'CF(Q)'!EQ20</f>
        <v>0</v>
      </c>
      <c r="EB47" s="2113">
        <f>'CF(Q)'!ER20</f>
        <v>0</v>
      </c>
      <c r="EC47" s="2113">
        <f>'CF(Q)'!ES20</f>
        <v>0</v>
      </c>
      <c r="ED47" s="2114">
        <f>'CF(Q)'!ET20</f>
        <v>0</v>
      </c>
      <c r="EE47" s="2112">
        <f>'CF(Q)'!EU20</f>
        <v>0</v>
      </c>
      <c r="EF47" s="2113">
        <f>'CF(Q)'!EV20</f>
        <v>0</v>
      </c>
      <c r="EG47" s="2113">
        <f>'CF(Q)'!EW20</f>
        <v>0</v>
      </c>
      <c r="EH47" s="2114">
        <f>'CF(Q)'!EX20</f>
        <v>0</v>
      </c>
      <c r="EI47" s="2112">
        <f>'CF(Q)'!EY20</f>
        <v>0</v>
      </c>
      <c r="EJ47" s="2113">
        <f>'CF(Q)'!EZ20</f>
        <v>0</v>
      </c>
      <c r="EK47" s="2113">
        <f>'CF(Q)'!FA20</f>
        <v>0</v>
      </c>
      <c r="EL47" s="2114">
        <f>'CF(Q)'!FB20</f>
        <v>0</v>
      </c>
      <c r="EM47" s="2112">
        <f>'CF(Q)'!FC20</f>
        <v>0</v>
      </c>
      <c r="EN47" s="2113">
        <f>'CF(Q)'!FD20</f>
        <v>0</v>
      </c>
      <c r="EO47" s="2113">
        <f>'CF(Q)'!FE20</f>
        <v>0</v>
      </c>
      <c r="EP47" s="2114">
        <f>'CF(Q)'!FF20</f>
        <v>0</v>
      </c>
      <c r="EQ47" s="2112">
        <f>'CF(Q)'!FG20</f>
        <v>0</v>
      </c>
      <c r="ER47" s="2113">
        <f>'CF(Q)'!FH20</f>
        <v>0</v>
      </c>
      <c r="ES47" s="2113">
        <f>'CF(Q)'!FI20</f>
        <v>0</v>
      </c>
      <c r="ET47" s="2114">
        <f>'CF(Q)'!FJ20</f>
        <v>0</v>
      </c>
      <c r="EU47" s="2112">
        <f>'CF(Q)'!FK20</f>
        <v>0</v>
      </c>
      <c r="EV47" s="2113">
        <f>'CF(Q)'!FL20</f>
        <v>0</v>
      </c>
      <c r="EW47" s="2113">
        <f>'CF(Q)'!FM20</f>
        <v>0</v>
      </c>
      <c r="EX47" s="2114">
        <f>'CF(Q)'!FN20</f>
        <v>0</v>
      </c>
      <c r="EY47" s="2112">
        <f>'CF(Q)'!FO20</f>
        <v>0</v>
      </c>
      <c r="EZ47" s="2113">
        <f>'CF(Q)'!FP20</f>
        <v>0</v>
      </c>
      <c r="FA47" s="2113">
        <f>'CF(Q)'!FQ20</f>
        <v>0</v>
      </c>
      <c r="FB47" s="2114">
        <f>'CF(Q)'!FR20</f>
        <v>0</v>
      </c>
      <c r="FC47" s="2112">
        <f>'CF(Q)'!FS20</f>
        <v>0</v>
      </c>
      <c r="FD47" s="2113">
        <f>'CF(Q)'!FT20</f>
        <v>0</v>
      </c>
      <c r="FE47" s="2113">
        <f>'CF(Q)'!FU20</f>
        <v>0</v>
      </c>
      <c r="FF47" s="2114">
        <f>'CF(Q)'!FV20</f>
        <v>0</v>
      </c>
      <c r="FG47" s="2112">
        <f>'CF(Q)'!FW20</f>
        <v>0</v>
      </c>
      <c r="FH47" s="2113">
        <f>'CF(Q)'!FX20</f>
        <v>0</v>
      </c>
      <c r="FI47" s="2113">
        <f>'CF(Q)'!FY20</f>
        <v>0</v>
      </c>
      <c r="FJ47" s="2114">
        <f>'CF(Q)'!FZ20</f>
        <v>0</v>
      </c>
      <c r="FK47" s="2112">
        <f>'CF(Q)'!GA20</f>
        <v>0</v>
      </c>
      <c r="FL47" s="2113">
        <f>'CF(Q)'!GB20</f>
        <v>0</v>
      </c>
      <c r="FM47" s="2113">
        <f>'CF(Q)'!GC20</f>
        <v>0</v>
      </c>
      <c r="FN47" s="2114">
        <f>'CF(Q)'!GD20</f>
        <v>0</v>
      </c>
      <c r="FO47" s="2112">
        <f>'CF(Q)'!GE20</f>
        <v>0</v>
      </c>
      <c r="FP47" s="2113">
        <f>'CF(Q)'!GF20</f>
        <v>0</v>
      </c>
      <c r="FQ47" s="2113">
        <f>'CF(Q)'!GG20</f>
        <v>0</v>
      </c>
      <c r="FR47" s="2114">
        <f>'CF(Q)'!GH20</f>
        <v>0</v>
      </c>
      <c r="FS47" s="2112">
        <f>'CF(Q)'!GI20</f>
        <v>0</v>
      </c>
      <c r="FT47" s="2113">
        <f>'CF(Q)'!GJ20</f>
        <v>0</v>
      </c>
      <c r="FU47" s="2113">
        <f>'CF(Q)'!GK20</f>
        <v>0</v>
      </c>
      <c r="FV47" s="2114">
        <f>'CF(Q)'!GL20</f>
        <v>0</v>
      </c>
      <c r="FW47" s="2112">
        <f>'CF(Q)'!GM20</f>
        <v>0</v>
      </c>
      <c r="FX47" s="2113">
        <f>'CF(Q)'!GN20</f>
        <v>0</v>
      </c>
      <c r="FY47" s="2113">
        <f>'CF(Q)'!GO20</f>
        <v>0</v>
      </c>
      <c r="FZ47" s="2114">
        <f>'CF(Q)'!GP20</f>
        <v>0</v>
      </c>
      <c r="GA47" s="2112">
        <f>'CF(Q)'!GQ20</f>
        <v>0</v>
      </c>
      <c r="GB47" s="2113">
        <f>'CF(Q)'!GR20</f>
        <v>0</v>
      </c>
      <c r="GC47" s="2113">
        <f>'CF(Q)'!GS20</f>
        <v>0</v>
      </c>
      <c r="GD47" s="2114">
        <f>'CF(Q)'!GT20</f>
        <v>0</v>
      </c>
    </row>
    <row r="48" spans="2:186" ht="15" customHeight="1">
      <c r="C48" s="307" t="s">
        <v>5131</v>
      </c>
      <c r="D48" s="1274"/>
      <c r="E48" s="5383"/>
      <c r="F48" s="1828">
        <f t="shared" ca="1" si="62"/>
        <v>1378.4008257911642</v>
      </c>
      <c r="G48" s="2112">
        <f>SUMIFS(예정운영비용!22:22,예정운영비용!$12:$12,Waterfall!G$3)*IFERROR((Waterfall!G$6/SUMIFS($6:$6,$3:$3,G$3)),0)/단위</f>
        <v>9.1371067732535884</v>
      </c>
      <c r="H48" s="2113">
        <f>SUMIFS(예정운영비용!22:22,예정운영비용!$12:$12,Waterfall!H$3)*IFERROR((Waterfall!H$6/SUMIFS($6:$6,$3:$3,H$3)),0)/단위</f>
        <v>9.1371067732535884</v>
      </c>
      <c r="I48" s="2113">
        <f>SUMIFS(예정운영비용!22:22,예정운영비용!$12:$12,Waterfall!I$3)*IFERROR((Waterfall!I$6/SUMIFS($6:$6,$3:$3,I$3)),0)/단위</f>
        <v>9.1371067732535884</v>
      </c>
      <c r="J48" s="2114">
        <f>SUMIFS(예정운영비용!22:22,예정운영비용!$12:$12,Waterfall!J$3)*IFERROR((Waterfall!J$6/SUMIFS($6:$6,$3:$3,J$3)),0)/단위</f>
        <v>9.1371067732535884</v>
      </c>
      <c r="K48" s="2112">
        <f ca="1">SUMIFS(예정운영비용!22:22,예정운영비용!$12:$12,Waterfall!K$3)*IFERROR((Waterfall!K$6/SUMIFS($6:$6,$3:$3,K$3)),0)/단위</f>
        <v>9.4939950598097731</v>
      </c>
      <c r="L48" s="2113">
        <f ca="1">SUMIFS(예정운영비용!22:22,예정운영비용!$12:$12,Waterfall!L$3)*IFERROR((Waterfall!L$6/SUMIFS($6:$6,$3:$3,L$3)),0)/단위</f>
        <v>9.4939950598097731</v>
      </c>
      <c r="M48" s="2113">
        <f ca="1">SUMIFS(예정운영비용!22:22,예정운영비용!$12:$12,Waterfall!M$3)*IFERROR((Waterfall!M$6/SUMIFS($6:$6,$3:$3,M$3)),0)/단위</f>
        <v>9.4939950598097731</v>
      </c>
      <c r="N48" s="2114">
        <f ca="1">SUMIFS(예정운영비용!22:22,예정운영비용!$12:$12,Waterfall!N$3)*IFERROR((Waterfall!N$6/SUMIFS($6:$6,$3:$3,N$3)),0)/단위</f>
        <v>9.4939950598097731</v>
      </c>
      <c r="O48" s="5384">
        <f>'자금운영(현금)'!BF47</f>
        <v>6.0069686000000004</v>
      </c>
      <c r="P48" s="5385">
        <f>'자금운영(현금)'!BG47</f>
        <v>13.774487990000001</v>
      </c>
      <c r="Q48" s="5385">
        <f>'자금운영(현금)'!BH47</f>
        <v>5.2426435600000003</v>
      </c>
      <c r="R48" s="5386">
        <f>'자금운영(현금)'!BI47</f>
        <v>5.61547017</v>
      </c>
      <c r="S48" s="2112">
        <f ca="1">SUMIFS(예정운영비용!22:22,예정운영비용!$12:$12,Waterfall!S$3)*IFERROR((Waterfall!S$6/SUMIFS($6:$6,$3:$3,S$3)),0)/단위</f>
        <v>6.4513162030627358</v>
      </c>
      <c r="T48" s="2113">
        <f ca="1">SUMIFS(예정운영비용!22:22,예정운영비용!$12:$12,Waterfall!T$3)*IFERROR((Waterfall!T$6/SUMIFS($6:$6,$3:$3,T$3)),0)/단위</f>
        <v>6.4513162030627358</v>
      </c>
      <c r="U48" s="2113">
        <f ca="1">SUMIFS(예정운영비용!22:22,예정운영비용!$12:$12,Waterfall!U$3)*IFERROR((Waterfall!U$6/SUMIFS($6:$6,$3:$3,U$3)),0)/단위</f>
        <v>6.4513162030627358</v>
      </c>
      <c r="V48" s="2114">
        <f ca="1">SUMIFS(예정운영비용!22:22,예정운영비용!$12:$12,Waterfall!V$3)*IFERROR((Waterfall!V$6/SUMIFS($6:$6,$3:$3,V$3)),0)/단위</f>
        <v>6.4513162030627358</v>
      </c>
      <c r="W48" s="2112">
        <f ca="1">SUMIFS(예정운영비용!22:22,예정운영비용!$12:$12,Waterfall!W$3)*IFERROR((Waterfall!W$6/SUMIFS($6:$6,$3:$3,W$3)),0)/단위</f>
        <v>6.4881114781145213</v>
      </c>
      <c r="X48" s="2113">
        <f ca="1">SUMIFS(예정운영비용!22:22,예정운영비용!$12:$12,Waterfall!X$3)*IFERROR((Waterfall!X$6/SUMIFS($6:$6,$3:$3,X$3)),0)/단위</f>
        <v>6.4881114781145213</v>
      </c>
      <c r="Y48" s="2113">
        <f ca="1">SUMIFS(예정운영비용!22:22,예정운영비용!$12:$12,Waterfall!Y$3)*IFERROR((Waterfall!Y$6/SUMIFS($6:$6,$3:$3,Y$3)),0)/단위</f>
        <v>6.4881114781145213</v>
      </c>
      <c r="Z48" s="2114">
        <f ca="1">SUMIFS(예정운영비용!22:22,예정운영비용!$12:$12,Waterfall!Z$3)*IFERROR((Waterfall!Z$6/SUMIFS($6:$6,$3:$3,Z$3)),0)/단위</f>
        <v>6.4881114781145213</v>
      </c>
      <c r="AA48" s="2112">
        <f ca="1">SUMIFS(예정운영비용!22:22,예정운영비용!$12:$12,Waterfall!AA$3)*IFERROR((Waterfall!AA$6/SUMIFS($6:$6,$3:$3,AA$3)),0)/단위</f>
        <v>6.8257440802268405</v>
      </c>
      <c r="AB48" s="2113">
        <f ca="1">SUMIFS(예정운영비용!22:22,예정운영비용!$12:$12,Waterfall!AB$3)*IFERROR((Waterfall!AB$6/SUMIFS($6:$6,$3:$3,AB$3)),0)/단위</f>
        <v>6.8257440802268405</v>
      </c>
      <c r="AC48" s="2113">
        <f ca="1">SUMIFS(예정운영비용!22:22,예정운영비용!$12:$12,Waterfall!AC$3)*IFERROR((Waterfall!AC$6/SUMIFS($6:$6,$3:$3,AC$3)),0)/단위</f>
        <v>6.8257440802268405</v>
      </c>
      <c r="AD48" s="2114">
        <f ca="1">SUMIFS(예정운영비용!22:22,예정운영비용!$12:$12,Waterfall!AD$3)*IFERROR((Waterfall!AD$6/SUMIFS($6:$6,$3:$3,AD$3)),0)/단위</f>
        <v>6.8257440802268405</v>
      </c>
      <c r="AE48" s="2112">
        <f ca="1">SUMIFS(예정운영비용!22:22,예정운영비용!$12:$12,Waterfall!AE$3)*IFERROR((Waterfall!AE$6/SUMIFS($6:$6,$3:$3,AE$3)),0)/단위</f>
        <v>6.7220773155208979</v>
      </c>
      <c r="AF48" s="2113">
        <f ca="1">SUMIFS(예정운영비용!22:22,예정운영비용!$12:$12,Waterfall!AF$3)*IFERROR((Waterfall!AF$6/SUMIFS($6:$6,$3:$3,AF$3)),0)/단위</f>
        <v>6.7220773155208979</v>
      </c>
      <c r="AG48" s="2113">
        <f ca="1">SUMIFS(예정운영비용!22:22,예정운영비용!$12:$12,Waterfall!AG$3)*IFERROR((Waterfall!AG$6/SUMIFS($6:$6,$3:$3,AG$3)),0)/단위</f>
        <v>6.7220773155208979</v>
      </c>
      <c r="AH48" s="2114">
        <f ca="1">SUMIFS(예정운영비용!22:22,예정운영비용!$12:$12,Waterfall!AH$3)*IFERROR((Waterfall!AH$6/SUMIFS($6:$6,$3:$3,AH$3)),0)/단위</f>
        <v>6.7220773155208979</v>
      </c>
      <c r="AI48" s="2112">
        <f ca="1">SUMIFS(예정운영비용!22:22,예정운영비용!$12:$12,Waterfall!AI$3)*IFERROR((Waterfall!AI$6/SUMIFS($6:$6,$3:$3,AI$3)),0)/단위</f>
        <v>6.9770012200193738</v>
      </c>
      <c r="AJ48" s="2113">
        <f ca="1">SUMIFS(예정운영비용!22:22,예정운영비용!$12:$12,Waterfall!AJ$3)*IFERROR((Waterfall!AJ$6/SUMIFS($6:$6,$3:$3,AJ$3)),0)/단위</f>
        <v>6.9770012200193738</v>
      </c>
      <c r="AK48" s="2113">
        <f ca="1">SUMIFS(예정운영비용!22:22,예정운영비용!$12:$12,Waterfall!AK$3)*IFERROR((Waterfall!AK$6/SUMIFS($6:$6,$3:$3,AK$3)),0)/단위</f>
        <v>6.9770012200193738</v>
      </c>
      <c r="AL48" s="2114">
        <f ca="1">SUMIFS(예정운영비용!22:22,예정운영비용!$12:$12,Waterfall!AL$3)*IFERROR((Waterfall!AL$6/SUMIFS($6:$6,$3:$3,AL$3)),0)/단위</f>
        <v>6.9770012200193738</v>
      </c>
      <c r="AM48" s="2112">
        <f ca="1">SUMIFS(예정운영비용!22:22,예정운영비용!$12:$12,Waterfall!AM$3)*IFERROR((Waterfall!AM$6/SUMIFS($6:$6,$3:$3,AM$3)),0)/단위</f>
        <v>7.0333578932153502</v>
      </c>
      <c r="AN48" s="2113">
        <f ca="1">SUMIFS(예정운영비용!22:22,예정운영비용!$12:$12,Waterfall!AN$3)*IFERROR((Waterfall!AN$6/SUMIFS($6:$6,$3:$3,AN$3)),0)/단위</f>
        <v>7.0333578932153502</v>
      </c>
      <c r="AO48" s="2113">
        <f ca="1">SUMIFS(예정운영비용!22:22,예정운영비용!$12:$12,Waterfall!AO$3)*IFERROR((Waterfall!AO$6/SUMIFS($6:$6,$3:$3,AO$3)),0)/단위</f>
        <v>7.0333578932153502</v>
      </c>
      <c r="AP48" s="2114">
        <f ca="1">SUMIFS(예정운영비용!22:22,예정운영비용!$12:$12,Waterfall!AP$3)*IFERROR((Waterfall!AP$6/SUMIFS($6:$6,$3:$3,AP$3)),0)/단위</f>
        <v>7.0333578932153502</v>
      </c>
      <c r="AQ48" s="2112">
        <f ca="1">SUMIFS(예정운영비용!22:22,예정운영비용!$12:$12,Waterfall!AQ$3)*IFERROR((Waterfall!AQ$6/SUMIFS($6:$6,$3:$3,AQ$3)),0)/단위</f>
        <v>7.2047215449260831</v>
      </c>
      <c r="AR48" s="2113">
        <f ca="1">SUMIFS(예정운영비용!22:22,예정운영비용!$12:$12,Waterfall!AR$3)*IFERROR((Waterfall!AR$6/SUMIFS($6:$6,$3:$3,AR$3)),0)/단위</f>
        <v>7.2047215449260831</v>
      </c>
      <c r="AS48" s="2113">
        <f ca="1">SUMIFS(예정운영비용!22:22,예정운영비용!$12:$12,Waterfall!AS$3)*IFERROR((Waterfall!AS$6/SUMIFS($6:$6,$3:$3,AS$3)),0)/단위</f>
        <v>7.2047215449260831</v>
      </c>
      <c r="AT48" s="2114">
        <f ca="1">SUMIFS(예정운영비용!22:22,예정운영비용!$12:$12,Waterfall!AT$3)*IFERROR((Waterfall!AT$6/SUMIFS($6:$6,$3:$3,AT$3)),0)/단위</f>
        <v>7.2047215449260831</v>
      </c>
      <c r="AU48" s="2112">
        <f ca="1">SUMIFS(예정운영비용!22:22,예정운영비용!$12:$12,Waterfall!AU$3)*IFERROR((Waterfall!AU$6/SUMIFS($6:$6,$3:$3,AU$3)),0)/단위</f>
        <v>7.466822524285492</v>
      </c>
      <c r="AV48" s="2113">
        <f ca="1">SUMIFS(예정운영비용!22:22,예정운영비용!$12:$12,Waterfall!AV$3)*IFERROR((Waterfall!AV$6/SUMIFS($6:$6,$3:$3,AV$3)),0)/단위</f>
        <v>7.466822524285492</v>
      </c>
      <c r="AW48" s="2113">
        <f ca="1">SUMIFS(예정운영비용!22:22,예정운영비용!$12:$12,Waterfall!AW$3)*IFERROR((Waterfall!AW$6/SUMIFS($6:$6,$3:$3,AW$3)),0)/단위</f>
        <v>7.466822524285492</v>
      </c>
      <c r="AX48" s="2114">
        <f ca="1">SUMIFS(예정운영비용!22:22,예정운영비용!$12:$12,Waterfall!AX$3)*IFERROR((Waterfall!AX$6/SUMIFS($6:$6,$3:$3,AX$3)),0)/단위</f>
        <v>7.466822524285492</v>
      </c>
      <c r="AY48" s="2112">
        <f ca="1">SUMIFS(예정운영비용!22:22,예정운영비용!$12:$12,Waterfall!AY$3)*IFERROR((Waterfall!AY$6/SUMIFS($6:$6,$3:$3,AY$3)),0)/단위</f>
        <v>7.349799948110423</v>
      </c>
      <c r="AZ48" s="2113">
        <f ca="1">SUMIFS(예정운영비용!22:22,예정운영비용!$12:$12,Waterfall!AZ$3)*IFERROR((Waterfall!AZ$6/SUMIFS($6:$6,$3:$3,AZ$3)),0)/단위</f>
        <v>7.349799948110423</v>
      </c>
      <c r="BA48" s="2113">
        <f ca="1">SUMIFS(예정운영비용!22:22,예정운영비용!$12:$12,Waterfall!BA$3)*IFERROR((Waterfall!BA$6/SUMIFS($6:$6,$3:$3,BA$3)),0)/단위</f>
        <v>7.349799948110423</v>
      </c>
      <c r="BB48" s="2114">
        <f ca="1">SUMIFS(예정운영비용!22:22,예정운영비용!$12:$12,Waterfall!BB$3)*IFERROR((Waterfall!BB$6/SUMIFS($6:$6,$3:$3,BB$3)),0)/단위</f>
        <v>7.349799948110423</v>
      </c>
      <c r="BC48" s="2112">
        <f ca="1">SUMIFS(예정운영비용!22:22,예정운영비용!$12:$12,Waterfall!BC$3)*IFERROR((Waterfall!BC$6/SUMIFS($6:$6,$3:$3,BC$3)),0)/단위</f>
        <v>7.1887082108596108</v>
      </c>
      <c r="BD48" s="2113">
        <f ca="1">SUMIFS(예정운영비용!22:22,예정운영비용!$12:$12,Waterfall!BD$3)*IFERROR((Waterfall!BD$6/SUMIFS($6:$6,$3:$3,BD$3)),0)/단위</f>
        <v>7.1887082108596108</v>
      </c>
      <c r="BE48" s="2113">
        <f ca="1">SUMIFS(예정운영비용!22:22,예정운영비용!$12:$12,Waterfall!BE$3)*IFERROR((Waterfall!BE$6/SUMIFS($6:$6,$3:$3,BE$3)),0)/단위</f>
        <v>7.1887082108596108</v>
      </c>
      <c r="BF48" s="2114">
        <f ca="1">SUMIFS(예정운영비용!22:22,예정운영비용!$12:$12,Waterfall!BF$3)*IFERROR((Waterfall!BF$6/SUMIFS($6:$6,$3:$3,BF$3)),0)/단위</f>
        <v>7.1887082108596108</v>
      </c>
      <c r="BG48" s="2112">
        <f ca="1">SUMIFS(예정운영비용!22:22,예정운영비용!$12:$12,Waterfall!BG$3)*IFERROR((Waterfall!BG$6/SUMIFS($6:$6,$3:$3,BG$3)),0)/단위</f>
        <v>7.3290472284396913</v>
      </c>
      <c r="BH48" s="2113">
        <f ca="1">SUMIFS(예정운영비용!22:22,예정운영비용!$12:$12,Waterfall!BH$3)*IFERROR((Waterfall!BH$6/SUMIFS($6:$6,$3:$3,BH$3)),0)/단위</f>
        <v>7.3290472284396913</v>
      </c>
      <c r="BI48" s="2113">
        <f ca="1">SUMIFS(예정운영비용!22:22,예정운영비용!$12:$12,Waterfall!BI$3)*IFERROR((Waterfall!BI$6/SUMIFS($6:$6,$3:$3,BI$3)),0)/단위</f>
        <v>7.3290472284396913</v>
      </c>
      <c r="BJ48" s="2114">
        <f ca="1">SUMIFS(예정운영비용!22:22,예정운영비용!$12:$12,Waterfall!BJ$3)*IFERROR((Waterfall!BJ$6/SUMIFS($6:$6,$3:$3,BJ$3)),0)/단위</f>
        <v>7.3290472284396913</v>
      </c>
      <c r="BK48" s="2112">
        <f ca="1">SUMIFS(예정운영비용!22:22,예정운영비용!$12:$12,Waterfall!BK$3)*IFERROR((Waterfall!BK$6/SUMIFS($6:$6,$3:$3,BK$3)),0)/단위</f>
        <v>7.2780225496753106</v>
      </c>
      <c r="BL48" s="2113">
        <f ca="1">SUMIFS(예정운영비용!22:22,예정운영비용!$12:$12,Waterfall!BL$3)*IFERROR((Waterfall!BL$6/SUMIFS($6:$6,$3:$3,BL$3)),0)/단위</f>
        <v>7.2780225496753106</v>
      </c>
      <c r="BM48" s="2113">
        <f ca="1">SUMIFS(예정운영비용!22:22,예정운영비용!$12:$12,Waterfall!BM$3)*IFERROR((Waterfall!BM$6/SUMIFS($6:$6,$3:$3,BM$3)),0)/단위</f>
        <v>7.2780225496753106</v>
      </c>
      <c r="BN48" s="2114">
        <f ca="1">SUMIFS(예정운영비용!22:22,예정운영비용!$12:$12,Waterfall!BN$3)*IFERROR((Waterfall!BN$6/SUMIFS($6:$6,$3:$3,BN$3)),0)/단위</f>
        <v>7.2780225496753106</v>
      </c>
      <c r="BO48" s="2112">
        <f ca="1">SUMIFS(예정운영비용!22:22,예정운영비용!$12:$12,Waterfall!BO$3)*IFERROR((Waterfall!BO$6/SUMIFS($6:$6,$3:$3,BO$3)),0)/단위</f>
        <v>7.6099767395955205</v>
      </c>
      <c r="BP48" s="2113">
        <f ca="1">SUMIFS(예정운영비용!22:22,예정운영비용!$12:$12,Waterfall!BP$3)*IFERROR((Waterfall!BP$6/SUMIFS($6:$6,$3:$3,BP$3)),0)/단위</f>
        <v>7.6099767395955205</v>
      </c>
      <c r="BQ48" s="2113">
        <f ca="1">SUMIFS(예정운영비용!22:22,예정운영비용!$12:$12,Waterfall!BQ$3)*IFERROR((Waterfall!BQ$6/SUMIFS($6:$6,$3:$3,BQ$3)),0)/단위</f>
        <v>7.6099767395955205</v>
      </c>
      <c r="BR48" s="2114">
        <f ca="1">SUMIFS(예정운영비용!22:22,예정운영비용!$12:$12,Waterfall!BR$3)*IFERROR((Waterfall!BR$6/SUMIFS($6:$6,$3:$3,BR$3)),0)/단위</f>
        <v>7.6099767395955205</v>
      </c>
      <c r="BS48" s="2112">
        <f ca="1">SUMIFS(예정운영비용!22:22,예정운영비용!$12:$12,Waterfall!BS$3)*IFERROR((Waterfall!BS$6/SUMIFS($6:$6,$3:$3,BS$3)),0)/단위</f>
        <v>7.7501396440267216</v>
      </c>
      <c r="BT48" s="2113">
        <f ca="1">SUMIFS(예정운영비용!22:22,예정운영비용!$12:$12,Waterfall!BT$3)*IFERROR((Waterfall!BT$6/SUMIFS($6:$6,$3:$3,BT$3)),0)/단위</f>
        <v>7.7501396440267216</v>
      </c>
      <c r="BU48" s="2113">
        <f ca="1">SUMIFS(예정운영비용!22:22,예정운영비용!$12:$12,Waterfall!BU$3)*IFERROR((Waterfall!BU$6/SUMIFS($6:$6,$3:$3,BU$3)),0)/단위</f>
        <v>7.7501396440267216</v>
      </c>
      <c r="BV48" s="2114">
        <f ca="1">SUMIFS(예정운영비용!22:22,예정운영비용!$12:$12,Waterfall!BV$3)*IFERROR((Waterfall!BV$6/SUMIFS($6:$6,$3:$3,BV$3)),0)/단위</f>
        <v>7.7501396440267216</v>
      </c>
      <c r="BW48" s="2112">
        <f ca="1">SUMIFS(예정운영비용!22:22,예정운영비용!$12:$12,Waterfall!BW$3)*IFERROR((Waterfall!BW$6/SUMIFS($6:$6,$3:$3,BW$3)),0)/단위</f>
        <v>7.9357785155172955</v>
      </c>
      <c r="BX48" s="2113">
        <f ca="1">SUMIFS(예정운영비용!22:22,예정운영비용!$12:$12,Waterfall!BX$3)*IFERROR((Waterfall!BX$6/SUMIFS($6:$6,$3:$3,BX$3)),0)/단위</f>
        <v>7.9357785155172955</v>
      </c>
      <c r="BY48" s="2113">
        <f ca="1">SUMIFS(예정운영비용!22:22,예정운영비용!$12:$12,Waterfall!BY$3)*IFERROR((Waterfall!BY$6/SUMIFS($6:$6,$3:$3,BY$3)),0)/단위</f>
        <v>7.9357785155172955</v>
      </c>
      <c r="BZ48" s="2114">
        <f ca="1">SUMIFS(예정운영비용!22:22,예정운영비용!$12:$12,Waterfall!BZ$3)*IFERROR((Waterfall!BZ$6/SUMIFS($6:$6,$3:$3,BZ$3)),0)/단위</f>
        <v>7.9357785155172955</v>
      </c>
      <c r="CA48" s="2112">
        <f ca="1">SUMIFS(예정운영비용!22:22,예정운영비용!$12:$12,Waterfall!CA$3)*IFERROR((Waterfall!CA$6/SUMIFS($6:$6,$3:$3,CA$3)),0)/단위</f>
        <v>7.8830025076324741</v>
      </c>
      <c r="CB48" s="2113">
        <f ca="1">SUMIFS(예정운영비용!22:22,예정운영비용!$12:$12,Waterfall!CB$3)*IFERROR((Waterfall!CB$6/SUMIFS($6:$6,$3:$3,CB$3)),0)/단위</f>
        <v>7.8830025076324741</v>
      </c>
      <c r="CC48" s="2113">
        <f ca="1">SUMIFS(예정운영비용!22:22,예정운영비용!$12:$12,Waterfall!CC$3)*IFERROR((Waterfall!CC$6/SUMIFS($6:$6,$3:$3,CC$3)),0)/단위</f>
        <v>7.8830025076324741</v>
      </c>
      <c r="CD48" s="2114">
        <f ca="1">SUMIFS(예정운영비용!22:22,예정운영비용!$12:$12,Waterfall!CD$3)*IFERROR((Waterfall!CD$6/SUMIFS($6:$6,$3:$3,CD$3)),0)/단위</f>
        <v>7.8830025076324741</v>
      </c>
      <c r="CE48" s="2112">
        <f ca="1">SUMIFS(예정운영비용!22:22,예정운영비용!$12:$12,Waterfall!CE$3)*IFERROR((Waterfall!CE$6/SUMIFS($6:$6,$3:$3,CE$3)),0)/단위</f>
        <v>7.891554891252663</v>
      </c>
      <c r="CF48" s="2113">
        <f ca="1">SUMIFS(예정운영비용!22:22,예정운영비용!$12:$12,Waterfall!CF$3)*IFERROR((Waterfall!CF$6/SUMIFS($6:$6,$3:$3,CF$3)),0)/단위</f>
        <v>7.891554891252663</v>
      </c>
      <c r="CG48" s="2113">
        <f ca="1">SUMIFS(예정운영비용!22:22,예정운영비용!$12:$12,Waterfall!CG$3)*IFERROR((Waterfall!CG$6/SUMIFS($6:$6,$3:$3,CG$3)),0)/단위</f>
        <v>7.891554891252663</v>
      </c>
      <c r="CH48" s="2114">
        <f ca="1">SUMIFS(예정운영비용!22:22,예정운영비용!$12:$12,Waterfall!CH$3)*IFERROR((Waterfall!CH$6/SUMIFS($6:$6,$3:$3,CH$3)),0)/단위</f>
        <v>7.891554891252663</v>
      </c>
      <c r="CI48" s="2112">
        <f ca="1">SUMIFS(예정운영비용!22:22,예정운영비용!$12:$12,Waterfall!CI$3)*IFERROR((Waterfall!CI$6/SUMIFS($6:$6,$3:$3,CI$3)),0)/단위</f>
        <v>8.1085974276893573</v>
      </c>
      <c r="CJ48" s="2113">
        <f ca="1">SUMIFS(예정운영비용!22:22,예정운영비용!$12:$12,Waterfall!CJ$3)*IFERROR((Waterfall!CJ$6/SUMIFS($6:$6,$3:$3,CJ$3)),0)/단위</f>
        <v>8.1085974276893573</v>
      </c>
      <c r="CK48" s="2113">
        <f ca="1">SUMIFS(예정운영비용!22:22,예정운영비용!$12:$12,Waterfall!CK$3)*IFERROR((Waterfall!CK$6/SUMIFS($6:$6,$3:$3,CK$3)),0)/단위</f>
        <v>8.1085974276893573</v>
      </c>
      <c r="CL48" s="2114">
        <f ca="1">SUMIFS(예정운영비용!22:22,예정운영비용!$12:$12,Waterfall!CL$3)*IFERROR((Waterfall!CL$6/SUMIFS($6:$6,$3:$3,CL$3)),0)/단위</f>
        <v>8.1085974276893573</v>
      </c>
      <c r="CM48" s="2112">
        <f ca="1">SUMIFS(예정운영비용!22:22,예정운영비용!$12:$12,Waterfall!CM$3)*IFERROR((Waterfall!CM$6/SUMIFS($6:$6,$3:$3,CM$3)),0)/단위</f>
        <v>8.0219474979138781</v>
      </c>
      <c r="CN48" s="2113">
        <f ca="1">SUMIFS(예정운영비용!22:22,예정운영비용!$12:$12,Waterfall!CN$3)*IFERROR((Waterfall!CN$6/SUMIFS($6:$6,$3:$3,CN$3)),0)/단위</f>
        <v>8.0219474979138781</v>
      </c>
      <c r="CO48" s="2113">
        <f ca="1">SUMIFS(예정운영비용!22:22,예정운영비용!$12:$12,Waterfall!CO$3)*IFERROR((Waterfall!CO$6/SUMIFS($6:$6,$3:$3,CO$3)),0)/단위</f>
        <v>8.0219474979138781</v>
      </c>
      <c r="CP48" s="2114">
        <f ca="1">SUMIFS(예정운영비용!22:22,예정운영비용!$12:$12,Waterfall!CP$3)*IFERROR((Waterfall!CP$6/SUMIFS($6:$6,$3:$3,CP$3)),0)/단위</f>
        <v>8.0219474979138781</v>
      </c>
      <c r="CQ48" s="2112">
        <f ca="1">SUMIFS(예정운영비용!22:22,예정운영비용!$12:$12,Waterfall!CQ$3)*IFERROR((Waterfall!CQ$6/SUMIFS($6:$6,$3:$3,CQ$3)),0)/단위</f>
        <v>8.1214997582980804</v>
      </c>
      <c r="CR48" s="2113">
        <f ca="1">SUMIFS(예정운영비용!22:22,예정운영비용!$12:$12,Waterfall!CR$3)*IFERROR((Waterfall!CR$6/SUMIFS($6:$6,$3:$3,CR$3)),0)/단위</f>
        <v>8.1214997582980804</v>
      </c>
      <c r="CS48" s="2113">
        <f ca="1">SUMIFS(예정운영비용!22:22,예정운영비용!$12:$12,Waterfall!CS$3)*IFERROR((Waterfall!CS$6/SUMIFS($6:$6,$3:$3,CS$3)),0)/단위</f>
        <v>8.1214997582980804</v>
      </c>
      <c r="CT48" s="2114">
        <f ca="1">SUMIFS(예정운영비용!22:22,예정운영비용!$12:$12,Waterfall!CT$3)*IFERROR((Waterfall!CT$6/SUMIFS($6:$6,$3:$3,CT$3)),0)/단위</f>
        <v>8.1214997582980804</v>
      </c>
      <c r="CU48" s="2112">
        <f ca="1">SUMIFS(예정운영비용!22:22,예정운영비용!$12:$12,Waterfall!CU$3)*IFERROR((Waterfall!CU$6/SUMIFS($6:$6,$3:$3,CU$3)),0)/단위</f>
        <v>8.3862254266471545</v>
      </c>
      <c r="CV48" s="2113">
        <f ca="1">SUMIFS(예정운영비용!22:22,예정운영비용!$12:$12,Waterfall!CV$3)*IFERROR((Waterfall!CV$6/SUMIFS($6:$6,$3:$3,CV$3)),0)/단위</f>
        <v>8.3862254266471545</v>
      </c>
      <c r="CW48" s="2113">
        <f ca="1">SUMIFS(예정운영비용!22:22,예정운영비용!$12:$12,Waterfall!CW$3)*IFERROR((Waterfall!CW$6/SUMIFS($6:$6,$3:$3,CW$3)),0)/단위</f>
        <v>8.3862254266471545</v>
      </c>
      <c r="CX48" s="2114">
        <f ca="1">SUMIFS(예정운영비용!22:22,예정운영비용!$12:$12,Waterfall!CX$3)*IFERROR((Waterfall!CX$6/SUMIFS($6:$6,$3:$3,CX$3)),0)/단위</f>
        <v>8.3862254266471545</v>
      </c>
      <c r="CY48" s="2112">
        <f ca="1">SUMIFS(예정운영비용!22:22,예정운영비용!$12:$12,Waterfall!CY$3)*IFERROR((Waterfall!CY$6/SUMIFS($6:$6,$3:$3,CY$3)),0)/단위</f>
        <v>8.3740615162828487</v>
      </c>
      <c r="CZ48" s="2113">
        <f ca="1">SUMIFS(예정운영비용!22:22,예정운영비용!$12:$12,Waterfall!CZ$3)*IFERROR((Waterfall!CZ$6/SUMIFS($6:$6,$3:$3,CZ$3)),0)/단위</f>
        <v>8.3740615162828487</v>
      </c>
      <c r="DA48" s="2113">
        <f ca="1">SUMIFS(예정운영비용!22:22,예정운영비용!$12:$12,Waterfall!DA$3)*IFERROR((Waterfall!DA$6/SUMIFS($6:$6,$3:$3,DA$3)),0)/단위</f>
        <v>8.3740615162828487</v>
      </c>
      <c r="DB48" s="2114">
        <f ca="1">SUMIFS(예정운영비용!22:22,예정운영비용!$12:$12,Waterfall!DB$3)*IFERROR((Waterfall!DB$6/SUMIFS($6:$6,$3:$3,DB$3)),0)/단위</f>
        <v>8.3740615162828487</v>
      </c>
      <c r="DC48" s="2112">
        <f ca="1">SUMIFS(예정운영비용!22:22,예정운영비용!$12:$12,Waterfall!DC$3)*IFERROR((Waterfall!DC$6/SUMIFS($6:$6,$3:$3,DC$3)),0)/단위</f>
        <v>8.9418132136919812</v>
      </c>
      <c r="DD48" s="2113">
        <f ca="1">SUMIFS(예정운영비용!22:22,예정운영비용!$12:$12,Waterfall!DD$3)*IFERROR((Waterfall!DD$6/SUMIFS($6:$6,$3:$3,DD$3)),0)/단위</f>
        <v>8.9418132136919812</v>
      </c>
      <c r="DE48" s="2113">
        <f ca="1">SUMIFS(예정운영비용!22:22,예정운영비용!$12:$12,Waterfall!DE$3)*IFERROR((Waterfall!DE$6/SUMIFS($6:$6,$3:$3,DE$3)),0)/단위</f>
        <v>8.9418132136919812</v>
      </c>
      <c r="DF48" s="2114">
        <f ca="1">SUMIFS(예정운영비용!22:22,예정운영비용!$12:$12,Waterfall!DF$3)*IFERROR((Waterfall!DF$6/SUMIFS($6:$6,$3:$3,DF$3)),0)/단위</f>
        <v>8.9418132136919812</v>
      </c>
      <c r="DG48" s="2112">
        <f ca="1">SUMIFS(예정운영비용!22:22,예정운영비용!$12:$12,Waterfall!DG$3)*IFERROR((Waterfall!DG$6/SUMIFS($6:$6,$3:$3,DG$3)),0)/단위</f>
        <v>8.8203655417716877</v>
      </c>
      <c r="DH48" s="2113">
        <f ca="1">SUMIFS(예정운영비용!22:22,예정운영비용!$12:$12,Waterfall!DH$3)*IFERROR((Waterfall!DH$6/SUMIFS($6:$6,$3:$3,DH$3)),0)/단위</f>
        <v>8.8203655417716877</v>
      </c>
      <c r="DI48" s="2113">
        <f ca="1">SUMIFS(예정운영비용!22:22,예정운영비용!$12:$12,Waterfall!DI$3)*IFERROR((Waterfall!DI$6/SUMIFS($6:$6,$3:$3,DI$3)),0)/단위</f>
        <v>8.8203655417716877</v>
      </c>
      <c r="DJ48" s="2114">
        <f ca="1">SUMIFS(예정운영비용!22:22,예정운영비용!$12:$12,Waterfall!DJ$3)*IFERROR((Waterfall!DJ$6/SUMIFS($6:$6,$3:$3,DJ$3)),0)/단위</f>
        <v>8.8203655417716877</v>
      </c>
      <c r="DK48" s="2112">
        <f ca="1">SUMIFS(예정운영비용!22:22,예정운영비용!$12:$12,Waterfall!DK$3)*IFERROR((Waterfall!DK$6/SUMIFS($6:$6,$3:$3,DK$3)),0)/단위</f>
        <v>9.0500529301111072</v>
      </c>
      <c r="DL48" s="2113">
        <f ca="1">SUMIFS(예정운영비용!22:22,예정운영비용!$12:$12,Waterfall!DL$3)*IFERROR((Waterfall!DL$6/SUMIFS($6:$6,$3:$3,DL$3)),0)/단위</f>
        <v>9.0500529301111072</v>
      </c>
      <c r="DM48" s="2113">
        <f ca="1">SUMIFS(예정운영비용!22:22,예정운영비용!$12:$12,Waterfall!DM$3)*IFERROR((Waterfall!DM$6/SUMIFS($6:$6,$3:$3,DM$3)),0)/단위</f>
        <v>9.0500529301111072</v>
      </c>
      <c r="DN48" s="2114">
        <f ca="1">SUMIFS(예정운영비용!22:22,예정운영비용!$12:$12,Waterfall!DN$3)*IFERROR((Waterfall!DN$6/SUMIFS($6:$6,$3:$3,DN$3)),0)/단위</f>
        <v>9.0500529301111072</v>
      </c>
      <c r="DO48" s="2112">
        <f ca="1">SUMIFS(예정운영비용!22:22,예정운영비용!$12:$12,Waterfall!DO$3)*IFERROR((Waterfall!DO$6/SUMIFS($6:$6,$3:$3,DO$3)),0)/단위</f>
        <v>9.3864341679194254</v>
      </c>
      <c r="DP48" s="2113">
        <f ca="1">SUMIFS(예정운영비용!22:22,예정운영비용!$12:$12,Waterfall!DP$3)*IFERROR((Waterfall!DP$6/SUMIFS($6:$6,$3:$3,DP$3)),0)/단위</f>
        <v>9.3864341679194254</v>
      </c>
      <c r="DQ48" s="2113">
        <f ca="1">SUMIFS(예정운영비용!22:22,예정운영비용!$12:$12,Waterfall!DQ$3)*IFERROR((Waterfall!DQ$6/SUMIFS($6:$6,$3:$3,DQ$3)),0)/단위</f>
        <v>9.3864341679194254</v>
      </c>
      <c r="DR48" s="2114">
        <f ca="1">SUMIFS(예정운영비용!22:22,예정운영비용!$12:$12,Waterfall!DR$3)*IFERROR((Waterfall!DR$6/SUMIFS($6:$6,$3:$3,DR$3)),0)/단위</f>
        <v>9.3864341679194254</v>
      </c>
      <c r="DS48" s="2112">
        <f ca="1">SUMIFS(예정운영비용!22:22,예정운영비용!$12:$12,Waterfall!DS$3)*IFERROR((Waterfall!DS$6/SUMIFS($6:$6,$3:$3,DS$3)),0)/단위</f>
        <v>9.760252961763511</v>
      </c>
      <c r="DT48" s="2113">
        <f ca="1">SUMIFS(예정운영비용!22:22,예정운영비용!$12:$12,Waterfall!DT$3)*IFERROR((Waterfall!DT$6/SUMIFS($6:$6,$3:$3,DT$3)),0)/단위</f>
        <v>9.760252961763511</v>
      </c>
      <c r="DU48" s="2113">
        <f ca="1">SUMIFS(예정운영비용!22:22,예정운영비용!$12:$12,Waterfall!DU$3)*IFERROR((Waterfall!DU$6/SUMIFS($6:$6,$3:$3,DU$3)),0)/단위</f>
        <v>9.760252961763511</v>
      </c>
      <c r="DV48" s="2114">
        <f ca="1">SUMIFS(예정운영비용!22:22,예정운영비용!$12:$12,Waterfall!DV$3)*IFERROR((Waterfall!DV$6/SUMIFS($6:$6,$3:$3,DV$3)),0)/단위</f>
        <v>9.760252961763511</v>
      </c>
      <c r="DW48" s="2112">
        <f ca="1">SUMIFS(예정운영비용!22:22,예정운영비용!$12:$12,Waterfall!DW$3)*IFERROR((Waterfall!DW$6/SUMIFS($6:$6,$3:$3,DW$3)),0)/단위</f>
        <v>9.5599126792637819</v>
      </c>
      <c r="DX48" s="2113">
        <f ca="1">SUMIFS(예정운영비용!22:22,예정운영비용!$12:$12,Waterfall!DX$3)*IFERROR((Waterfall!DX$6/SUMIFS($6:$6,$3:$3,DX$3)),0)/단위</f>
        <v>9.5599126792637819</v>
      </c>
      <c r="DY48" s="2113">
        <f ca="1">SUMIFS(예정운영비용!22:22,예정운영비용!$12:$12,Waterfall!DY$3)*IFERROR((Waterfall!DY$6/SUMIFS($6:$6,$3:$3,DY$3)),0)/단위</f>
        <v>9.5599126792637819</v>
      </c>
      <c r="DZ48" s="2114">
        <f ca="1">SUMIFS(예정운영비용!22:22,예정운영비용!$12:$12,Waterfall!DZ$3)*IFERROR((Waterfall!DZ$6/SUMIFS($6:$6,$3:$3,DZ$3)),0)/단위</f>
        <v>9.5599126792637819</v>
      </c>
      <c r="EA48" s="2112">
        <f ca="1">SUMIFS(예정운영비용!22:22,예정운영비용!$12:$12,Waterfall!EA$3)*IFERROR((Waterfall!EA$6/SUMIFS($6:$6,$3:$3,EA$3)),0)/단위</f>
        <v>9.5010133093780222</v>
      </c>
      <c r="EB48" s="2113">
        <f ca="1">SUMIFS(예정운영비용!22:22,예정운영비용!$12:$12,Waterfall!EB$3)*IFERROR((Waterfall!EB$6/SUMIFS($6:$6,$3:$3,EB$3)),0)/단위</f>
        <v>9.5010133093780222</v>
      </c>
      <c r="EC48" s="2113">
        <f ca="1">SUMIFS(예정운영비용!22:22,예정운영비용!$12:$12,Waterfall!EC$3)*IFERROR((Waterfall!EC$6/SUMIFS($6:$6,$3:$3,EC$3)),0)/단위</f>
        <v>9.5010133093780222</v>
      </c>
      <c r="ED48" s="2114">
        <f ca="1">SUMIFS(예정운영비용!22:22,예정운영비용!$12:$12,Waterfall!ED$3)*IFERROR((Waterfall!ED$6/SUMIFS($6:$6,$3:$3,ED$3)),0)/단위</f>
        <v>9.5010133093780222</v>
      </c>
      <c r="EE48" s="2112">
        <f ca="1">SUMIFS(예정운영비용!22:22,예정운영비용!$12:$12,Waterfall!EE$3)*IFERROR((Waterfall!EE$6/SUMIFS($6:$6,$3:$3,EE$3)),0)/단위</f>
        <v>9.6792907736490914</v>
      </c>
      <c r="EF48" s="2113">
        <f ca="1">SUMIFS(예정운영비용!22:22,예정운영비용!$12:$12,Waterfall!EF$3)*IFERROR((Waterfall!EF$6/SUMIFS($6:$6,$3:$3,EF$3)),0)/단위</f>
        <v>9.6792907736490914</v>
      </c>
      <c r="EG48" s="2113">
        <f ca="1">SUMIFS(예정운영비용!22:22,예정운영비용!$12:$12,Waterfall!EG$3)*IFERROR((Waterfall!EG$6/SUMIFS($6:$6,$3:$3,EG$3)),0)/단위</f>
        <v>9.6792907736490914</v>
      </c>
      <c r="EH48" s="2114">
        <f ca="1">SUMIFS(예정운영비용!22:22,예정운영비용!$12:$12,Waterfall!EH$3)*IFERROR((Waterfall!EH$6/SUMIFS($6:$6,$3:$3,EH$3)),0)/단위</f>
        <v>9.6792907736490914</v>
      </c>
      <c r="EI48" s="2112">
        <f ca="1">SUMIFS(예정운영비용!22:22,예정운영비용!$12:$12,Waterfall!EI$3)*IFERROR((Waterfall!EI$6/SUMIFS($6:$6,$3:$3,EI$3)),0)/단위</f>
        <v>9.9823760482817665</v>
      </c>
      <c r="EJ48" s="2113">
        <f ca="1">SUMIFS(예정운영비용!22:22,예정운영비용!$12:$12,Waterfall!EJ$3)*IFERROR((Waterfall!EJ$6/SUMIFS($6:$6,$3:$3,EJ$3)),0)/단위</f>
        <v>9.9823760482817665</v>
      </c>
      <c r="EK48" s="2113">
        <f ca="1">SUMIFS(예정운영비용!22:22,예정운영비용!$12:$12,Waterfall!EK$3)*IFERROR((Waterfall!EK$6/SUMIFS($6:$6,$3:$3,EK$3)),0)/단위</f>
        <v>9.9823760482817665</v>
      </c>
      <c r="EL48" s="2114">
        <f ca="1">SUMIFS(예정운영비용!22:22,예정운영비용!$12:$12,Waterfall!EL$3)*IFERROR((Waterfall!EL$6/SUMIFS($6:$6,$3:$3,EL$3)),0)/단위</f>
        <v>9.9823760482817665</v>
      </c>
      <c r="EM48" s="2112">
        <f ca="1">SUMIFS(예정운영비용!22:22,예정운영비용!$12:$12,Waterfall!EM$3)*IFERROR((Waterfall!EM$6/SUMIFS($6:$6,$3:$3,EM$3)),0)/단위</f>
        <v>10.12810093688897</v>
      </c>
      <c r="EN48" s="2113">
        <f ca="1">SUMIFS(예정운영비용!22:22,예정운영비용!$12:$12,Waterfall!EN$3)*IFERROR((Waterfall!EN$6/SUMIFS($6:$6,$3:$3,EN$3)),0)/단위</f>
        <v>10.12810093688897</v>
      </c>
      <c r="EO48" s="2113">
        <f ca="1">SUMIFS(예정운영비용!22:22,예정운영비용!$12:$12,Waterfall!EO$3)*IFERROR((Waterfall!EO$6/SUMIFS($6:$6,$3:$3,EO$3)),0)/단위</f>
        <v>10.12810093688897</v>
      </c>
      <c r="EP48" s="2114">
        <f ca="1">SUMIFS(예정운영비용!22:22,예정운영비용!$12:$12,Waterfall!EP$3)*IFERROR((Waterfall!EP$6/SUMIFS($6:$6,$3:$3,EP$3)),0)/단위</f>
        <v>10.12810093688897</v>
      </c>
      <c r="EQ48" s="2112">
        <f ca="1">SUMIFS(예정운영비용!22:22,예정운영비용!$12:$12,Waterfall!EQ$3)*IFERROR((Waterfall!EQ$6/SUMIFS($6:$6,$3:$3,EQ$3)),0)/단위</f>
        <v>10.416063012157611</v>
      </c>
      <c r="ER48" s="2113">
        <f ca="1">SUMIFS(예정운영비용!22:22,예정운영비용!$12:$12,Waterfall!ER$3)*IFERROR((Waterfall!ER$6/SUMIFS($6:$6,$3:$3,ER$3)),0)/단위</f>
        <v>10.416063012157611</v>
      </c>
      <c r="ES48" s="2113">
        <f ca="1">SUMIFS(예정운영비용!22:22,예정운영비용!$12:$12,Waterfall!ES$3)*IFERROR((Waterfall!ES$6/SUMIFS($6:$6,$3:$3,ES$3)),0)/단위</f>
        <v>10.416063012157611</v>
      </c>
      <c r="ET48" s="2114">
        <f ca="1">SUMIFS(예정운영비용!22:22,예정운영비용!$12:$12,Waterfall!ET$3)*IFERROR((Waterfall!ET$6/SUMIFS($6:$6,$3:$3,ET$3)),0)/단위</f>
        <v>10.416063012157611</v>
      </c>
      <c r="EU48" s="2112">
        <f ca="1">SUMIFS(예정운영비용!22:22,예정운영비용!$12:$12,Waterfall!EU$3)*IFERROR((Waterfall!EU$6/SUMIFS($6:$6,$3:$3,EU$3)),0)/단위</f>
        <v>10.302809883357549</v>
      </c>
      <c r="EV48" s="2113">
        <f ca="1">SUMIFS(예정운영비용!22:22,예정운영비용!$12:$12,Waterfall!EV$3)*IFERROR((Waterfall!EV$6/SUMIFS($6:$6,$3:$3,EV$3)),0)/단위</f>
        <v>10.302809883357549</v>
      </c>
      <c r="EW48" s="2113">
        <f ca="1">SUMIFS(예정운영비용!22:22,예정운영비용!$12:$12,Waterfall!EW$3)*IFERROR((Waterfall!EW$6/SUMIFS($6:$6,$3:$3,EW$3)),0)/단위</f>
        <v>10.302809883357549</v>
      </c>
      <c r="EX48" s="2114">
        <f ca="1">SUMIFS(예정운영비용!22:22,예정운영비용!$12:$12,Waterfall!EX$3)*IFERROR((Waterfall!EX$6/SUMIFS($6:$6,$3:$3,EX$3)),0)/단위</f>
        <v>10.302809883357549</v>
      </c>
      <c r="EY48" s="2112">
        <f ca="1">SUMIFS(예정운영비용!22:22,예정운영비용!$12:$12,Waterfall!EY$3)*IFERROR((Waterfall!EY$6/SUMIFS($6:$6,$3:$3,EY$3)),0)/단위</f>
        <v>10.877008669520023</v>
      </c>
      <c r="EZ48" s="2113">
        <f ca="1">SUMIFS(예정운영비용!22:22,예정운영비용!$12:$12,Waterfall!EZ$3)*IFERROR((Waterfall!EZ$6/SUMIFS($6:$6,$3:$3,EZ$3)),0)/단위</f>
        <v>10.877008669520023</v>
      </c>
      <c r="FA48" s="2113">
        <f ca="1">SUMIFS(예정운영비용!22:22,예정운영비용!$12:$12,Waterfall!FA$3)*IFERROR((Waterfall!FA$6/SUMIFS($6:$6,$3:$3,FA$3)),0)/단위</f>
        <v>10.877008669520023</v>
      </c>
      <c r="FB48" s="2114">
        <f ca="1">SUMIFS(예정운영비용!22:22,예정운영비용!$12:$12,Waterfall!FB$3)*IFERROR((Waterfall!FB$6/SUMIFS($6:$6,$3:$3,FB$3)),0)/단위</f>
        <v>10.877008669520023</v>
      </c>
      <c r="FC48" s="2112">
        <f ca="1">SUMIFS(예정운영비용!22:22,예정운영비용!$12:$12,Waterfall!FC$3)*IFERROR((Waterfall!FC$6/SUMIFS($6:$6,$3:$3,FC$3)),0)/단위</f>
        <v>10.867714038704429</v>
      </c>
      <c r="FD48" s="2113">
        <f ca="1">SUMIFS(예정운영비용!22:22,예정운영비용!$12:$12,Waterfall!FD$3)*IFERROR((Waterfall!FD$6/SUMIFS($6:$6,$3:$3,FD$3)),0)/단위</f>
        <v>10.867714038704429</v>
      </c>
      <c r="FE48" s="2113">
        <f ca="1">SUMIFS(예정운영비용!22:22,예정운영비용!$12:$12,Waterfall!FE$3)*IFERROR((Waterfall!FE$6/SUMIFS($6:$6,$3:$3,FE$3)),0)/단위</f>
        <v>10.867714038704429</v>
      </c>
      <c r="FF48" s="2114">
        <f ca="1">SUMIFS(예정운영비용!22:22,예정운영비용!$12:$12,Waterfall!FF$3)*IFERROR((Waterfall!FF$6/SUMIFS($6:$6,$3:$3,FF$3)),0)/단위</f>
        <v>10.867714038704429</v>
      </c>
      <c r="FG48" s="2112">
        <f ca="1">SUMIFS(예정운영비용!22:22,예정운영비용!$12:$12,Waterfall!FG$3)*IFERROR((Waterfall!FG$6/SUMIFS($6:$6,$3:$3,FG$3)),0)/단위</f>
        <v>11.007509338484791</v>
      </c>
      <c r="FH48" s="2113">
        <f ca="1">SUMIFS(예정운영비용!22:22,예정운영비용!$12:$12,Waterfall!FH$3)*IFERROR((Waterfall!FH$6/SUMIFS($6:$6,$3:$3,FH$3)),0)/단위</f>
        <v>11.007509338484791</v>
      </c>
      <c r="FI48" s="2113">
        <f ca="1">SUMIFS(예정운영비용!22:22,예정운영비용!$12:$12,Waterfall!FI$3)*IFERROR((Waterfall!FI$6/SUMIFS($6:$6,$3:$3,FI$3)),0)/단위</f>
        <v>11.007509338484791</v>
      </c>
      <c r="FJ48" s="2114">
        <f ca="1">SUMIFS(예정운영비용!22:22,예정운영비용!$12:$12,Waterfall!FJ$3)*IFERROR((Waterfall!FJ$6/SUMIFS($6:$6,$3:$3,FJ$3)),0)/단위</f>
        <v>11.007509338484791</v>
      </c>
      <c r="FK48" s="2112">
        <f ca="1">SUMIFS(예정운영비용!22:22,예정운영비용!$12:$12,Waterfall!FK$3)*IFERROR((Waterfall!FK$6/SUMIFS($6:$6,$3:$3,FK$3)),0)/단위</f>
        <v>11.261960816943338</v>
      </c>
      <c r="FL48" s="2113">
        <f ca="1">SUMIFS(예정운영비용!22:22,예정운영비용!$12:$12,Waterfall!FL$3)*IFERROR((Waterfall!FL$6/SUMIFS($6:$6,$3:$3,FL$3)),0)/단위</f>
        <v>11.261960816943338</v>
      </c>
      <c r="FM48" s="2113">
        <f ca="1">SUMIFS(예정운영비용!22:22,예정운영비용!$12:$12,Waterfall!FM$3)*IFERROR((Waterfall!FM$6/SUMIFS($6:$6,$3:$3,FM$3)),0)/단위</f>
        <v>0</v>
      </c>
      <c r="FN48" s="2114">
        <f ca="1">SUMIFS(예정운영비용!22:22,예정운영비용!$12:$12,Waterfall!FN$3)*IFERROR((Waterfall!FN$6/SUMIFS($6:$6,$3:$3,FN$3)),0)/단위</f>
        <v>0</v>
      </c>
      <c r="FO48" s="2112">
        <f>SUMIFS(예정운영비용!22:22,예정운영비용!$12:$12,Waterfall!FO$3)*IFERROR((Waterfall!FO$6/SUMIFS($6:$6,$3:$3,FO$3)),0)/단위</f>
        <v>0</v>
      </c>
      <c r="FP48" s="2113">
        <f>SUMIFS(예정운영비용!22:22,예정운영비용!$12:$12,Waterfall!FP$3)*IFERROR((Waterfall!FP$6/SUMIFS($6:$6,$3:$3,FP$3)),0)/단위</f>
        <v>0</v>
      </c>
      <c r="FQ48" s="2113">
        <f>SUMIFS(예정운영비용!22:22,예정운영비용!$12:$12,Waterfall!FQ$3)*IFERROR((Waterfall!FQ$6/SUMIFS($6:$6,$3:$3,FQ$3)),0)/단위</f>
        <v>0</v>
      </c>
      <c r="FR48" s="2114">
        <f>SUMIFS(예정운영비용!22:22,예정운영비용!$12:$12,Waterfall!FR$3)*IFERROR((Waterfall!FR$6/SUMIFS($6:$6,$3:$3,FR$3)),0)/단위</f>
        <v>0</v>
      </c>
      <c r="FS48" s="2112">
        <f>SUMIFS(예정운영비용!22:22,예정운영비용!$12:$12,Waterfall!FS$3)*IFERROR((Waterfall!FS$6/SUMIFS($6:$6,$3:$3,FS$3)),0)/단위</f>
        <v>0</v>
      </c>
      <c r="FT48" s="2113">
        <f>SUMIFS(예정운영비용!22:22,예정운영비용!$12:$12,Waterfall!FT$3)*IFERROR((Waterfall!FT$6/SUMIFS($6:$6,$3:$3,FT$3)),0)/단위</f>
        <v>0</v>
      </c>
      <c r="FU48" s="2113">
        <f>SUMIFS(예정운영비용!22:22,예정운영비용!$12:$12,Waterfall!FU$3)*IFERROR((Waterfall!FU$6/SUMIFS($6:$6,$3:$3,FU$3)),0)/단위</f>
        <v>0</v>
      </c>
      <c r="FV48" s="2114">
        <f>SUMIFS(예정운영비용!22:22,예정운영비용!$12:$12,Waterfall!FV$3)*IFERROR((Waterfall!FV$6/SUMIFS($6:$6,$3:$3,FV$3)),0)/단위</f>
        <v>0</v>
      </c>
      <c r="FW48" s="2112">
        <f>SUMIFS(예정운영비용!22:22,예정운영비용!$12:$12,Waterfall!FW$3)*IFERROR((Waterfall!FW$6/SUMIFS($6:$6,$3:$3,FW$3)),0)/단위</f>
        <v>0</v>
      </c>
      <c r="FX48" s="2113">
        <f>SUMIFS(예정운영비용!22:22,예정운영비용!$12:$12,Waterfall!FX$3)*IFERROR((Waterfall!FX$6/SUMIFS($6:$6,$3:$3,FX$3)),0)/단위</f>
        <v>0</v>
      </c>
      <c r="FY48" s="2113">
        <f>SUMIFS(예정운영비용!22:22,예정운영비용!$12:$12,Waterfall!FY$3)*IFERROR((Waterfall!FY$6/SUMIFS($6:$6,$3:$3,FY$3)),0)/단위</f>
        <v>0</v>
      </c>
      <c r="FZ48" s="2114">
        <f>SUMIFS(예정운영비용!22:22,예정운영비용!$12:$12,Waterfall!FZ$3)*IFERROR((Waterfall!FZ$6/SUMIFS($6:$6,$3:$3,FZ$3)),0)/단위</f>
        <v>0</v>
      </c>
      <c r="GA48" s="2112">
        <f>SUMIFS(예정운영비용!22:22,예정운영비용!$12:$12,Waterfall!GA$3)*IFERROR((Waterfall!GA$6/SUMIFS($6:$6,$3:$3,GA$3)),0)/단위</f>
        <v>0</v>
      </c>
      <c r="GB48" s="2113">
        <f>SUMIFS(예정운영비용!22:22,예정운영비용!$12:$12,Waterfall!GB$3)*IFERROR((Waterfall!GB$6/SUMIFS($6:$6,$3:$3,GB$3)),0)/단위</f>
        <v>0</v>
      </c>
      <c r="GC48" s="2113">
        <f>SUMIFS(예정운영비용!22:22,예정운영비용!$12:$12,Waterfall!GC$3)*IFERROR((Waterfall!GC$6/SUMIFS($6:$6,$3:$3,GC$3)),0)/단위</f>
        <v>0</v>
      </c>
      <c r="GD48" s="2114">
        <f>SUMIFS(예정운영비용!22:22,예정운영비용!$12:$12,Waterfall!GD$3)*IFERROR((Waterfall!GD$6/SUMIFS($6:$6,$3:$3,GD$3)),0)/단위</f>
        <v>0</v>
      </c>
    </row>
    <row r="49" spans="1:186" ht="15" customHeight="1">
      <c r="C49" s="952" t="s">
        <v>5132</v>
      </c>
      <c r="D49" s="1282"/>
      <c r="E49" s="5379"/>
      <c r="F49" s="2148">
        <f t="shared" ca="1" si="62"/>
        <v>9799.0033779338573</v>
      </c>
      <c r="G49" s="5356">
        <f>비용!H5-G48</f>
        <v>38.856991586746418</v>
      </c>
      <c r="H49" s="5357">
        <f>비용!I5-H48</f>
        <v>37.948306606746414</v>
      </c>
      <c r="I49" s="5357">
        <f>비용!J5-I48</f>
        <v>41.696378276746415</v>
      </c>
      <c r="J49" s="5355">
        <f>비용!K5-J48</f>
        <v>41.013944006746414</v>
      </c>
      <c r="K49" s="5356">
        <f ca="1">비용!L5-K48</f>
        <v>40.622801710190231</v>
      </c>
      <c r="L49" s="5357">
        <f ca="1">비용!M5-L48</f>
        <v>43.623798510190227</v>
      </c>
      <c r="M49" s="5357">
        <f ca="1">비용!N5-M48</f>
        <v>41.344001070190231</v>
      </c>
      <c r="N49" s="5355">
        <f ca="1">비용!O5-N48</f>
        <v>43.881986900190228</v>
      </c>
      <c r="O49" s="5380">
        <f>비용!P5-O48</f>
        <v>42.609788399999999</v>
      </c>
      <c r="P49" s="5381">
        <f>비용!Q5-P48</f>
        <v>37.818069059999999</v>
      </c>
      <c r="Q49" s="5381">
        <f>비용!R5-Q48</f>
        <v>44.457013280000005</v>
      </c>
      <c r="R49" s="5382">
        <f>비용!S5-R48</f>
        <v>46.305146549219479</v>
      </c>
      <c r="S49" s="5356">
        <f ca="1">비용!T5-S48</f>
        <v>44.734106664491506</v>
      </c>
      <c r="T49" s="5357">
        <f ca="1">비용!U5-T48</f>
        <v>44.734106664491506</v>
      </c>
      <c r="U49" s="5357">
        <f ca="1">비용!V5-U48</f>
        <v>44.734106664491506</v>
      </c>
      <c r="V49" s="5355">
        <f ca="1">비용!W5-V48</f>
        <v>44.734106664491506</v>
      </c>
      <c r="W49" s="5356">
        <f ca="1">비용!X5-W48</f>
        <v>45.710835700017235</v>
      </c>
      <c r="X49" s="5357">
        <f ca="1">비용!Y5-X48</f>
        <v>45.710835700017235</v>
      </c>
      <c r="Y49" s="5357">
        <f ca="1">비용!Z5-Y48</f>
        <v>45.710835700017235</v>
      </c>
      <c r="Z49" s="5355">
        <f ca="1">비용!AA5-Z48</f>
        <v>45.710835700017235</v>
      </c>
      <c r="AA49" s="5356">
        <f ca="1">비용!AB5-AA48</f>
        <v>46.12929705953335</v>
      </c>
      <c r="AB49" s="5357">
        <f ca="1">비용!AC5-AB48</f>
        <v>46.12929705953335</v>
      </c>
      <c r="AC49" s="5357">
        <f ca="1">비용!AD5-AC48</f>
        <v>46.12929705953335</v>
      </c>
      <c r="AD49" s="5355">
        <f ca="1">비용!AE5-AD48</f>
        <v>46.12929705953335</v>
      </c>
      <c r="AE49" s="5356">
        <f ca="1">비용!AF5-AE48</f>
        <v>47.219875643557813</v>
      </c>
      <c r="AF49" s="5357">
        <f ca="1">비용!AG5-AF48</f>
        <v>47.219875643557813</v>
      </c>
      <c r="AG49" s="5357">
        <f ca="1">비용!AH5-AG48</f>
        <v>47.219875643557813</v>
      </c>
      <c r="AH49" s="5355">
        <f ca="1">비용!AI5-AH48</f>
        <v>47.219875643557813</v>
      </c>
      <c r="AI49" s="5356">
        <f ca="1">비용!AJ5-AI48</f>
        <v>47.574026844586008</v>
      </c>
      <c r="AJ49" s="5357">
        <f ca="1">비용!AK5-AJ48</f>
        <v>47.574026844586008</v>
      </c>
      <c r="AK49" s="5357">
        <f ca="1">비용!AL5-AK48</f>
        <v>47.574026844586008</v>
      </c>
      <c r="AL49" s="5355">
        <f ca="1">비용!AM5-AL48</f>
        <v>47.574026844586008</v>
      </c>
      <c r="AM49" s="5356">
        <f ca="1">비용!AN5-AM48</f>
        <v>48.613971842639081</v>
      </c>
      <c r="AN49" s="5357">
        <f ca="1">비용!AO5-AN48</f>
        <v>48.613971842639081</v>
      </c>
      <c r="AO49" s="5357">
        <f ca="1">비용!AP5-AO48</f>
        <v>48.613971842639081</v>
      </c>
      <c r="AP49" s="5355">
        <f ca="1">비용!AQ5-AP48</f>
        <v>48.613971842639081</v>
      </c>
      <c r="AQ49" s="5356">
        <f ca="1">비용!AR5-AQ48</f>
        <v>50.087930383989182</v>
      </c>
      <c r="AR49" s="5357">
        <f ca="1">비용!AS5-AR48</f>
        <v>50.087930383989182</v>
      </c>
      <c r="AS49" s="5357">
        <f ca="1">비용!AT5-AS48</f>
        <v>50.087930383989182</v>
      </c>
      <c r="AT49" s="5355">
        <f ca="1">비용!AU5-AT48</f>
        <v>50.087930383989182</v>
      </c>
      <c r="AU49" s="5356">
        <f ca="1">비용!AV5-AU48</f>
        <v>51.242281949127893</v>
      </c>
      <c r="AV49" s="5357">
        <f ca="1">비용!AW5-AV48</f>
        <v>51.242281949127893</v>
      </c>
      <c r="AW49" s="5357">
        <f ca="1">비용!AX5-AW48</f>
        <v>51.242281949127893</v>
      </c>
      <c r="AX49" s="5355">
        <f ca="1">비용!AY5-AX48</f>
        <v>51.242281949127893</v>
      </c>
      <c r="AY49" s="5356">
        <f ca="1">비용!AZ5-AY48</f>
        <v>52.165659706216118</v>
      </c>
      <c r="AZ49" s="5357">
        <f ca="1">비용!BA5-AZ48</f>
        <v>52.165659706216118</v>
      </c>
      <c r="BA49" s="5357">
        <f ca="1">비용!BB5-BA48</f>
        <v>52.165659706216118</v>
      </c>
      <c r="BB49" s="5355">
        <f ca="1">비용!BC5-BB48</f>
        <v>52.165659706216118</v>
      </c>
      <c r="BC49" s="5356">
        <f ca="1">비용!BD5-BC48</f>
        <v>53.38112248888261</v>
      </c>
      <c r="BD49" s="5357">
        <f ca="1">비용!BE5-BD48</f>
        <v>53.38112248888261</v>
      </c>
      <c r="BE49" s="5357">
        <f ca="1">비용!BF5-BE48</f>
        <v>53.38112248888261</v>
      </c>
      <c r="BF49" s="5355">
        <f ca="1">비용!BG5-BF48</f>
        <v>53.38112248888261</v>
      </c>
      <c r="BG49" s="5356">
        <f ca="1">비용!BH5-BG48</f>
        <v>54.285825793022127</v>
      </c>
      <c r="BH49" s="5357">
        <f ca="1">비용!BI5-BH48</f>
        <v>54.285825793022127</v>
      </c>
      <c r="BI49" s="5357">
        <f ca="1">비용!BJ5-BI48</f>
        <v>54.285825793022127</v>
      </c>
      <c r="BJ49" s="5355">
        <f ca="1">비용!BK5-BJ48</f>
        <v>54.285825793022127</v>
      </c>
      <c r="BK49" s="5356">
        <f ca="1">비용!BL5-BK48</f>
        <v>55.52883173070424</v>
      </c>
      <c r="BL49" s="5357">
        <f ca="1">비용!BM5-BL48</f>
        <v>55.52883173070424</v>
      </c>
      <c r="BM49" s="5357">
        <f ca="1">비용!BN5-BM48</f>
        <v>55.52883173070424</v>
      </c>
      <c r="BN49" s="5355">
        <f ca="1">비용!BO5-BN48</f>
        <v>55.52883173070424</v>
      </c>
      <c r="BO49" s="5356">
        <f ca="1">비용!BP5-BO48</f>
        <v>55.744779608545272</v>
      </c>
      <c r="BP49" s="5357">
        <f ca="1">비용!BQ5-BP48</f>
        <v>55.744779608545272</v>
      </c>
      <c r="BQ49" s="5357">
        <f ca="1">비용!BR5-BQ48</f>
        <v>55.744779608545272</v>
      </c>
      <c r="BR49" s="5355">
        <f ca="1">비용!BS5-BR48</f>
        <v>55.744779608545272</v>
      </c>
      <c r="BS49" s="5356">
        <f ca="1">비용!BT5-BS48</f>
        <v>56.697026684238899</v>
      </c>
      <c r="BT49" s="5357">
        <f ca="1">비용!BU5-BT48</f>
        <v>56.697026684238899</v>
      </c>
      <c r="BU49" s="5357">
        <f ca="1">비용!BV5-BU48</f>
        <v>56.697026684238899</v>
      </c>
      <c r="BV49" s="5355">
        <f ca="1">비용!BW5-BV48</f>
        <v>56.697026684238899</v>
      </c>
      <c r="BW49" s="5356">
        <f ca="1">비용!BX5-BW48</f>
        <v>57.159978576553627</v>
      </c>
      <c r="BX49" s="5357">
        <f ca="1">비용!BY5-BX48</f>
        <v>57.159978576553627</v>
      </c>
      <c r="BY49" s="5357">
        <f ca="1">비용!BZ5-BY48</f>
        <v>57.159978576553627</v>
      </c>
      <c r="BZ49" s="5355">
        <f ca="1">비용!CA5-BZ48</f>
        <v>57.159978576553627</v>
      </c>
      <c r="CA49" s="5356">
        <f ca="1">비용!CB5-CA48</f>
        <v>58.350598222149607</v>
      </c>
      <c r="CB49" s="5357">
        <f ca="1">비용!CC5-CB48</f>
        <v>58.350598222149607</v>
      </c>
      <c r="CC49" s="5357">
        <f ca="1">비용!CD5-CC48</f>
        <v>58.350598222149607</v>
      </c>
      <c r="CD49" s="5355">
        <f ca="1">비용!CE5-CD48</f>
        <v>58.350598222149607</v>
      </c>
      <c r="CE49" s="5356">
        <f ca="1">비용!CF5-CE48</f>
        <v>59.02873885116329</v>
      </c>
      <c r="CF49" s="5357">
        <f ca="1">비용!CG5-CF48</f>
        <v>59.02873885116329</v>
      </c>
      <c r="CG49" s="5357">
        <f ca="1">비용!CH5-CG48</f>
        <v>59.02873885116329</v>
      </c>
      <c r="CH49" s="5355">
        <f ca="1">비용!CI5-CH48</f>
        <v>59.02873885116329</v>
      </c>
      <c r="CI49" s="5356">
        <f ca="1">비용!CJ5-CI48</f>
        <v>60.009687562500318</v>
      </c>
      <c r="CJ49" s="5357">
        <f ca="1">비용!CK5-CJ48</f>
        <v>60.009687562500318</v>
      </c>
      <c r="CK49" s="5357">
        <f ca="1">비용!CL5-CK48</f>
        <v>60.009687562500318</v>
      </c>
      <c r="CL49" s="5355">
        <f ca="1">비용!CM5-CL48</f>
        <v>60.009687562500318</v>
      </c>
      <c r="CM49" s="5356">
        <f ca="1">비용!CN5-CM48</f>
        <v>60.882081103269336</v>
      </c>
      <c r="CN49" s="5357">
        <f ca="1">비용!CO5-CN48</f>
        <v>60.882081103269336</v>
      </c>
      <c r="CO49" s="5357">
        <f ca="1">비용!CP5-CO48</f>
        <v>60.882081103269336</v>
      </c>
      <c r="CP49" s="5355">
        <f ca="1">비용!CQ5-CP48</f>
        <v>60.882081103269336</v>
      </c>
      <c r="CQ49" s="5356">
        <f ca="1">비용!CR5-CQ48</f>
        <v>62.039450553550331</v>
      </c>
      <c r="CR49" s="5357">
        <f ca="1">비용!CS5-CR48</f>
        <v>62.039450553550331</v>
      </c>
      <c r="CS49" s="5357">
        <f ca="1">비용!CT5-CS48</f>
        <v>62.039450553550331</v>
      </c>
      <c r="CT49" s="5355">
        <f ca="1">비용!CU5-CT48</f>
        <v>62.039450553550331</v>
      </c>
      <c r="CU49" s="5356">
        <f ca="1">비용!CV5-CU48</f>
        <v>62.493148339191734</v>
      </c>
      <c r="CV49" s="5357">
        <f ca="1">비용!CW5-CV48</f>
        <v>62.493148339191734</v>
      </c>
      <c r="CW49" s="5357">
        <f ca="1">비용!CX5-CW48</f>
        <v>62.493148339191734</v>
      </c>
      <c r="CX49" s="5355">
        <f ca="1">비용!CY5-CX48</f>
        <v>62.493148339191734</v>
      </c>
      <c r="CY49" s="5356">
        <f ca="1">비용!CZ5-CY48</f>
        <v>63.743685075291737</v>
      </c>
      <c r="CZ49" s="5357">
        <f ca="1">비용!DA5-CZ48</f>
        <v>63.743685075291737</v>
      </c>
      <c r="DA49" s="5357">
        <f ca="1">비용!DB5-DA48</f>
        <v>63.743685075291737</v>
      </c>
      <c r="DB49" s="5355">
        <f ca="1">비용!DC5-DB48</f>
        <v>63.743685075291737</v>
      </c>
      <c r="DC49" s="5356">
        <f ca="1">비용!DD5-DC48</f>
        <v>63.905603951677527</v>
      </c>
      <c r="DD49" s="5357">
        <f ca="1">비용!DE5-DD48</f>
        <v>63.905603951677527</v>
      </c>
      <c r="DE49" s="5357">
        <f ca="1">비용!DF5-DE48</f>
        <v>63.905603951677527</v>
      </c>
      <c r="DF49" s="5355">
        <f ca="1">비용!DG5-DF48</f>
        <v>63.905603951677527</v>
      </c>
      <c r="DG49" s="5356">
        <f ca="1">비용!DH5-DG48</f>
        <v>65.409352409565727</v>
      </c>
      <c r="DH49" s="5357">
        <f ca="1">비용!DI5-DH48</f>
        <v>65.409352409565727</v>
      </c>
      <c r="DI49" s="5357">
        <f ca="1">비용!DJ5-DI48</f>
        <v>65.409352409565727</v>
      </c>
      <c r="DJ49" s="5355">
        <f ca="1">비용!DK5-DJ48</f>
        <v>65.409352409565727</v>
      </c>
      <c r="DK49" s="5356">
        <f ca="1">비용!DL5-DK48</f>
        <v>65.836210154236454</v>
      </c>
      <c r="DL49" s="5357">
        <f ca="1">비용!DM5-DL48</f>
        <v>65.836210154236454</v>
      </c>
      <c r="DM49" s="5357">
        <f ca="1">비용!DN5-DM48</f>
        <v>65.836210154236454</v>
      </c>
      <c r="DN49" s="5355">
        <f ca="1">비용!DO5-DN48</f>
        <v>65.836210154236454</v>
      </c>
      <c r="DO49" s="5356">
        <f ca="1">비용!DP5-DO48</f>
        <v>66.846407391125922</v>
      </c>
      <c r="DP49" s="5357">
        <f ca="1">비용!DQ5-DP48</f>
        <v>66.846407391125922</v>
      </c>
      <c r="DQ49" s="5357">
        <f ca="1">비용!DR5-DQ48</f>
        <v>66.846407391125922</v>
      </c>
      <c r="DR49" s="5355">
        <f ca="1">비용!DS5-DR48</f>
        <v>66.846407391125922</v>
      </c>
      <c r="DS49" s="5356">
        <f ca="1">비용!DT5-DS48</f>
        <v>68.758164293048154</v>
      </c>
      <c r="DT49" s="5357">
        <f ca="1">비용!DU5-DT48</f>
        <v>68.758164293048154</v>
      </c>
      <c r="DU49" s="5357">
        <f ca="1">비용!DV5-DU48</f>
        <v>68.758164293048154</v>
      </c>
      <c r="DV49" s="5355">
        <f ca="1">비용!DW5-DV48</f>
        <v>68.758164293048154</v>
      </c>
      <c r="DW49" s="5356">
        <f ca="1">비용!DX5-DW48</f>
        <v>70.752769178512864</v>
      </c>
      <c r="DX49" s="5357">
        <f ca="1">비용!DY5-DX48</f>
        <v>70.752769178512864</v>
      </c>
      <c r="DY49" s="5357">
        <f ca="1">비용!DZ5-DY48</f>
        <v>70.752769178512864</v>
      </c>
      <c r="DZ49" s="5355">
        <f ca="1">비용!EA5-DZ48</f>
        <v>70.752769178512864</v>
      </c>
      <c r="EA49" s="5356">
        <f ca="1">비용!EB5-EA48</f>
        <v>71.817712705066725</v>
      </c>
      <c r="EB49" s="5357">
        <f ca="1">비용!EC5-EB48</f>
        <v>71.817712705066725</v>
      </c>
      <c r="EC49" s="5357">
        <f ca="1">비용!ED5-EC48</f>
        <v>71.817712705066725</v>
      </c>
      <c r="ED49" s="5355">
        <f ca="1">비용!EE5-ED48</f>
        <v>71.817712705066725</v>
      </c>
      <c r="EE49" s="5356">
        <f ca="1">비용!EF5-EE48</f>
        <v>73.187798286053109</v>
      </c>
      <c r="EF49" s="5357">
        <f ca="1">비용!EG5-EF48</f>
        <v>73.187798286053109</v>
      </c>
      <c r="EG49" s="5357">
        <f ca="1">비용!EH5-EG48</f>
        <v>73.187798286053109</v>
      </c>
      <c r="EH49" s="5355">
        <f ca="1">비용!EI5-EH48</f>
        <v>73.187798286053109</v>
      </c>
      <c r="EI49" s="5356">
        <f ca="1">비용!EJ5-EI48</f>
        <v>74.183710496851958</v>
      </c>
      <c r="EJ49" s="5357">
        <f ca="1">비용!EK5-EJ48</f>
        <v>74.183710496851958</v>
      </c>
      <c r="EK49" s="5357">
        <f ca="1">비용!EL5-EK48</f>
        <v>74.183710496851958</v>
      </c>
      <c r="EL49" s="5355">
        <f ca="1">비용!EM5-EL48</f>
        <v>74.183710496851958</v>
      </c>
      <c r="EM49" s="5356">
        <f ca="1">비용!EN5-EM48</f>
        <v>75.644275098251399</v>
      </c>
      <c r="EN49" s="5357">
        <f ca="1">비용!EO5-EN48</f>
        <v>75.644275098251399</v>
      </c>
      <c r="EO49" s="5357">
        <f ca="1">비용!EP5-EO48</f>
        <v>75.644275098251399</v>
      </c>
      <c r="EP49" s="5355">
        <f ca="1">비용!EQ5-EP48</f>
        <v>75.644275098251399</v>
      </c>
      <c r="EQ49" s="5356">
        <f ca="1">비용!ER5-EQ48</f>
        <v>76.159612494017551</v>
      </c>
      <c r="ER49" s="5357">
        <f ca="1">비용!ES5-ER48</f>
        <v>76.159612494017551</v>
      </c>
      <c r="ES49" s="5357">
        <f ca="1">비용!ET5-ES48</f>
        <v>76.159612494017551</v>
      </c>
      <c r="ET49" s="5355">
        <f ca="1">비용!EU5-ET48</f>
        <v>76.159612494017551</v>
      </c>
      <c r="EU49" s="5356">
        <f ca="1">비용!EV5-EU48</f>
        <v>77.735156209693059</v>
      </c>
      <c r="EV49" s="5357">
        <f ca="1">비용!EW5-EV48</f>
        <v>77.735156209693059</v>
      </c>
      <c r="EW49" s="5357">
        <f ca="1">비용!EX5-EW48</f>
        <v>77.735156209693059</v>
      </c>
      <c r="EX49" s="5355">
        <f ca="1">비용!EY5-EX48</f>
        <v>77.735156209693059</v>
      </c>
      <c r="EY49" s="5356">
        <f ca="1">비용!EZ5-EY48</f>
        <v>78.156217314820267</v>
      </c>
      <c r="EZ49" s="5357">
        <f ca="1">비용!FA5-EZ48</f>
        <v>78.156217314820267</v>
      </c>
      <c r="FA49" s="5357">
        <f ca="1">비용!FB5-FA48</f>
        <v>78.156217314820267</v>
      </c>
      <c r="FB49" s="5355">
        <f ca="1">비용!FC5-FB48</f>
        <v>78.156217314820267</v>
      </c>
      <c r="FC49" s="5356">
        <f ca="1">비용!FD5-FC48</f>
        <v>79.825537386902013</v>
      </c>
      <c r="FD49" s="5357">
        <f ca="1">비용!FE5-FD48</f>
        <v>79.825537386902013</v>
      </c>
      <c r="FE49" s="5357">
        <f ca="1">비용!FF5-FE48</f>
        <v>79.825537386902013</v>
      </c>
      <c r="FF49" s="5355">
        <f ca="1">비용!FG5-FF48</f>
        <v>79.825537386902013</v>
      </c>
      <c r="FG49" s="5356">
        <f ca="1">비용!FH5-FG48</f>
        <v>82.027578048610167</v>
      </c>
      <c r="FH49" s="5357">
        <f ca="1">비용!FI5-FH48</f>
        <v>82.027578048610167</v>
      </c>
      <c r="FI49" s="5357">
        <f ca="1">비용!FJ5-FI48</f>
        <v>82.027578048610167</v>
      </c>
      <c r="FJ49" s="5355">
        <f ca="1">비용!FK5-FJ48</f>
        <v>82.027578048610167</v>
      </c>
      <c r="FK49" s="5356">
        <f ca="1">비용!FL5-FK48</f>
        <v>83.274484385139132</v>
      </c>
      <c r="FL49" s="5357">
        <f ca="1">비용!FM5-FL48</f>
        <v>83.274484385139132</v>
      </c>
      <c r="FM49" s="5357">
        <f ca="1">비용!FN5-FM48</f>
        <v>0</v>
      </c>
      <c r="FN49" s="5355">
        <f ca="1">비용!FO5-FN48</f>
        <v>0</v>
      </c>
      <c r="FO49" s="5356">
        <f>비용!FP5-FO48</f>
        <v>0</v>
      </c>
      <c r="FP49" s="5357">
        <f>비용!FQ5-FP48</f>
        <v>0</v>
      </c>
      <c r="FQ49" s="5357">
        <f>비용!FR5-FQ48</f>
        <v>0</v>
      </c>
      <c r="FR49" s="5355">
        <f>비용!FS5-FR48</f>
        <v>0</v>
      </c>
      <c r="FS49" s="5356">
        <f>비용!FT5-FS48</f>
        <v>0</v>
      </c>
      <c r="FT49" s="5357">
        <f>비용!FU5-FT48</f>
        <v>0</v>
      </c>
      <c r="FU49" s="5357">
        <f>비용!FV5-FU48</f>
        <v>0</v>
      </c>
      <c r="FV49" s="5355">
        <f>비용!FW5-FV48</f>
        <v>0</v>
      </c>
      <c r="FW49" s="5356">
        <f>비용!FX5-FW48</f>
        <v>0</v>
      </c>
      <c r="FX49" s="5357">
        <f>비용!FY5-FX48</f>
        <v>0</v>
      </c>
      <c r="FY49" s="5357">
        <f>비용!FZ5-FY48</f>
        <v>0</v>
      </c>
      <c r="FZ49" s="5355">
        <f>비용!GA5-FZ48</f>
        <v>0</v>
      </c>
      <c r="GA49" s="5356">
        <f>비용!GB5-GA48</f>
        <v>0</v>
      </c>
      <c r="GB49" s="5357">
        <f>비용!GC5-GB48</f>
        <v>0</v>
      </c>
      <c r="GC49" s="5357">
        <f>비용!GD5-GC48</f>
        <v>0</v>
      </c>
      <c r="GD49" s="5355">
        <f>비용!GE5-GD48</f>
        <v>0</v>
      </c>
    </row>
    <row r="50" spans="1:186" ht="15" customHeight="1">
      <c r="C50" s="720" t="s">
        <v>5261</v>
      </c>
      <c r="D50" s="1259"/>
      <c r="E50" s="5387"/>
      <c r="F50" s="2116">
        <f ca="1">SUM(G50:GD50)</f>
        <v>1219.7822234844991</v>
      </c>
      <c r="G50" s="5388">
        <f ca="1">SUM(G44:G47)</f>
        <v>6.5781054799098362</v>
      </c>
      <c r="H50" s="5389">
        <f t="shared" ref="H50:BS50" ca="1" si="66">SUM(H44:H47)</f>
        <v>2.3224899900000251</v>
      </c>
      <c r="I50" s="5389">
        <f t="shared" ca="1" si="66"/>
        <v>13.733241019999994</v>
      </c>
      <c r="J50" s="5390">
        <f t="shared" ca="1" si="66"/>
        <v>1.3128918100000107</v>
      </c>
      <c r="K50" s="5388">
        <f t="shared" ca="1" si="66"/>
        <v>17.577767429220827</v>
      </c>
      <c r="L50" s="5389">
        <f t="shared" ca="1" si="66"/>
        <v>9.3616751536211904</v>
      </c>
      <c r="M50" s="5389">
        <f t="shared" ca="1" si="66"/>
        <v>11.557950070000009</v>
      </c>
      <c r="N50" s="5390">
        <f t="shared" ca="1" si="66"/>
        <v>3.4781560500000053</v>
      </c>
      <c r="O50" s="5388">
        <f t="shared" ca="1" si="66"/>
        <v>16.62666917000001</v>
      </c>
      <c r="P50" s="5389">
        <f t="shared" ca="1" si="66"/>
        <v>9.3061854417939429</v>
      </c>
      <c r="Q50" s="5389">
        <f t="shared" ca="1" si="66"/>
        <v>10.074814623333337</v>
      </c>
      <c r="R50" s="5390">
        <f t="shared" ca="1" si="66"/>
        <v>5.9553795467441759</v>
      </c>
      <c r="S50" s="5388">
        <f t="shared" ca="1" si="66"/>
        <v>7.4950000000000001</v>
      </c>
      <c r="T50" s="5389">
        <f t="shared" ca="1" si="66"/>
        <v>15.4</v>
      </c>
      <c r="U50" s="5477">
        <f t="shared" ca="1" si="66"/>
        <v>2.8</v>
      </c>
      <c r="V50" s="5478">
        <f t="shared" ca="1" si="66"/>
        <v>4</v>
      </c>
      <c r="W50" s="5388">
        <f t="shared" ca="1" si="66"/>
        <v>2.5</v>
      </c>
      <c r="X50" s="5389">
        <f t="shared" ca="1" si="66"/>
        <v>2.5</v>
      </c>
      <c r="Y50" s="5389">
        <f t="shared" ca="1" si="66"/>
        <v>2.5</v>
      </c>
      <c r="Z50" s="5390">
        <f t="shared" ca="1" si="66"/>
        <v>2.5</v>
      </c>
      <c r="AA50" s="5388">
        <f t="shared" ca="1" si="66"/>
        <v>2.5</v>
      </c>
      <c r="AB50" s="5389">
        <f t="shared" ca="1" si="66"/>
        <v>2.5</v>
      </c>
      <c r="AC50" s="5389">
        <f t="shared" ca="1" si="66"/>
        <v>2.5</v>
      </c>
      <c r="AD50" s="5390">
        <f t="shared" ca="1" si="66"/>
        <v>2.5</v>
      </c>
      <c r="AE50" s="5388">
        <f t="shared" ca="1" si="66"/>
        <v>3.2804530074999998</v>
      </c>
      <c r="AF50" s="5389">
        <f t="shared" ca="1" si="66"/>
        <v>3.2804530074999998</v>
      </c>
      <c r="AG50" s="5389">
        <f t="shared" ca="1" si="66"/>
        <v>3.2804530074999998</v>
      </c>
      <c r="AH50" s="5390">
        <f t="shared" ca="1" si="66"/>
        <v>3.2804530074999998</v>
      </c>
      <c r="AI50" s="5388">
        <f t="shared" ca="1" si="66"/>
        <v>3.7375643339927498</v>
      </c>
      <c r="AJ50" s="5389">
        <f t="shared" ca="1" si="66"/>
        <v>3.7375643339927498</v>
      </c>
      <c r="AK50" s="5389">
        <f t="shared" ca="1" si="66"/>
        <v>3.7375643339927498</v>
      </c>
      <c r="AL50" s="5390">
        <f t="shared" ca="1" si="66"/>
        <v>3.6375643339927501</v>
      </c>
      <c r="AM50" s="5388">
        <f t="shared" ca="1" si="66"/>
        <v>5.21302839909265</v>
      </c>
      <c r="AN50" s="5389">
        <f t="shared" ca="1" si="66"/>
        <v>5.21302839909265</v>
      </c>
      <c r="AO50" s="5389">
        <f t="shared" ca="1" si="66"/>
        <v>5.21302839909265</v>
      </c>
      <c r="AP50" s="5390">
        <f t="shared" ca="1" si="66"/>
        <v>5.21302839909265</v>
      </c>
      <c r="AQ50" s="5388">
        <f t="shared" ca="1" si="66"/>
        <v>2.5072135352107008</v>
      </c>
      <c r="AR50" s="5389">
        <f t="shared" ca="1" si="66"/>
        <v>2.5072135352107008</v>
      </c>
      <c r="AS50" s="5389">
        <f t="shared" ca="1" si="66"/>
        <v>2.5072135352107008</v>
      </c>
      <c r="AT50" s="5390">
        <f t="shared" ca="1" si="66"/>
        <v>2.5072135352107008</v>
      </c>
      <c r="AU50" s="5388">
        <f t="shared" ca="1" si="66"/>
        <v>8.1012405551318416</v>
      </c>
      <c r="AV50" s="5389">
        <f t="shared" ca="1" si="66"/>
        <v>8.1012405551318416</v>
      </c>
      <c r="AW50" s="5389">
        <f t="shared" ca="1" si="66"/>
        <v>8.1012405551318416</v>
      </c>
      <c r="AX50" s="5390">
        <f t="shared" ca="1" si="66"/>
        <v>8.1012405551318416</v>
      </c>
      <c r="AY50" s="5388">
        <f t="shared" ca="1" si="66"/>
        <v>8.9621116361061635</v>
      </c>
      <c r="AZ50" s="5389">
        <f t="shared" ca="1" si="66"/>
        <v>8.9621116361061635</v>
      </c>
      <c r="BA50" s="5389">
        <f t="shared" ca="1" si="66"/>
        <v>8.9621116361061635</v>
      </c>
      <c r="BB50" s="5390">
        <f t="shared" ca="1" si="66"/>
        <v>8.9621116361061635</v>
      </c>
      <c r="BC50" s="5388">
        <f t="shared" ca="1" si="66"/>
        <v>13.641628908097289</v>
      </c>
      <c r="BD50" s="5389">
        <f t="shared" ca="1" si="66"/>
        <v>13.641628908097289</v>
      </c>
      <c r="BE50" s="5389">
        <f t="shared" ca="1" si="66"/>
        <v>13.641628908097289</v>
      </c>
      <c r="BF50" s="5390">
        <f t="shared" ca="1" si="66"/>
        <v>12.941628908097288</v>
      </c>
      <c r="BG50" s="5388">
        <f t="shared" ca="1" si="66"/>
        <v>9.4929434014572376</v>
      </c>
      <c r="BH50" s="5389">
        <f t="shared" ca="1" si="66"/>
        <v>9.4929434014572376</v>
      </c>
      <c r="BI50" s="5389">
        <f t="shared" ca="1" si="66"/>
        <v>9.4929434014572376</v>
      </c>
      <c r="BJ50" s="5390">
        <f t="shared" ca="1" si="66"/>
        <v>9.4929434014572376</v>
      </c>
      <c r="BK50" s="5388">
        <f t="shared" ca="1" si="66"/>
        <v>1.9253650060263938</v>
      </c>
      <c r="BL50" s="5389">
        <f t="shared" ca="1" si="66"/>
        <v>1.9253650060263938</v>
      </c>
      <c r="BM50" s="5389">
        <f t="shared" ca="1" si="66"/>
        <v>1.9253650060263938</v>
      </c>
      <c r="BN50" s="5390">
        <f t="shared" ca="1" si="66"/>
        <v>1.9253650060263938</v>
      </c>
      <c r="BO50" s="5388">
        <f t="shared" ca="1" si="66"/>
        <v>10.235699603249671</v>
      </c>
      <c r="BP50" s="5389">
        <f t="shared" ca="1" si="66"/>
        <v>10.235699603249671</v>
      </c>
      <c r="BQ50" s="5389">
        <f t="shared" ca="1" si="66"/>
        <v>10.235699603249671</v>
      </c>
      <c r="BR50" s="5390">
        <f t="shared" ca="1" si="66"/>
        <v>10.235699603249671</v>
      </c>
      <c r="BS50" s="5388">
        <f t="shared" ca="1" si="66"/>
        <v>13.48211068568563</v>
      </c>
      <c r="BT50" s="5389">
        <f t="shared" ref="BT50:EE50" ca="1" si="67">SUM(BT44:BT47)</f>
        <v>13.48211068568563</v>
      </c>
      <c r="BU50" s="5389">
        <f t="shared" ca="1" si="67"/>
        <v>13.48211068568563</v>
      </c>
      <c r="BV50" s="5390">
        <f t="shared" ca="1" si="67"/>
        <v>13.48211068568563</v>
      </c>
      <c r="BW50" s="5388">
        <f t="shared" ca="1" si="67"/>
        <v>16.759973192164086</v>
      </c>
      <c r="BX50" s="5389">
        <f t="shared" ca="1" si="67"/>
        <v>16.759973192164086</v>
      </c>
      <c r="BY50" s="5389">
        <f t="shared" ca="1" si="67"/>
        <v>16.759973192164086</v>
      </c>
      <c r="BZ50" s="5390">
        <f t="shared" ca="1" si="67"/>
        <v>16.759973192164086</v>
      </c>
      <c r="CA50" s="5388">
        <f t="shared" ca="1" si="67"/>
        <v>7.6742881958862448</v>
      </c>
      <c r="CB50" s="5389">
        <f t="shared" ca="1" si="67"/>
        <v>7.6742881958862448</v>
      </c>
      <c r="CC50" s="5389">
        <f t="shared" ca="1" si="67"/>
        <v>7.6742881958862448</v>
      </c>
      <c r="CD50" s="5390">
        <f t="shared" ca="1" si="67"/>
        <v>7.6742881958862448</v>
      </c>
      <c r="CE50" s="5388">
        <f t="shared" ca="1" si="67"/>
        <v>17.332818494122748</v>
      </c>
      <c r="CF50" s="5389">
        <f t="shared" ca="1" si="67"/>
        <v>17.332818494122748</v>
      </c>
      <c r="CG50" s="5389">
        <f t="shared" ca="1" si="67"/>
        <v>17.332818494122748</v>
      </c>
      <c r="CH50" s="5390">
        <f t="shared" ca="1" si="67"/>
        <v>17.332818494122748</v>
      </c>
      <c r="CI50" s="5388">
        <f t="shared" ca="1" si="67"/>
        <v>37.917850379447614</v>
      </c>
      <c r="CJ50" s="5389">
        <f t="shared" ca="1" si="67"/>
        <v>37.917850379447614</v>
      </c>
      <c r="CK50" s="5389">
        <f t="shared" ca="1" si="67"/>
        <v>37.917850379447614</v>
      </c>
      <c r="CL50" s="5390">
        <f t="shared" ca="1" si="67"/>
        <v>37.917850379447614</v>
      </c>
      <c r="CM50" s="5388">
        <f t="shared" ca="1" si="67"/>
        <v>15.428648085602681</v>
      </c>
      <c r="CN50" s="5389">
        <f t="shared" ca="1" si="67"/>
        <v>15.428648085602681</v>
      </c>
      <c r="CO50" s="5389">
        <f t="shared" ca="1" si="67"/>
        <v>15.428648085602681</v>
      </c>
      <c r="CP50" s="5390">
        <f t="shared" ca="1" si="67"/>
        <v>15.428648085602681</v>
      </c>
      <c r="CQ50" s="5388">
        <f t="shared" ca="1" si="67"/>
        <v>9.2369918577545977</v>
      </c>
      <c r="CR50" s="5389">
        <f t="shared" ca="1" si="67"/>
        <v>9.2369918577545977</v>
      </c>
      <c r="CS50" s="5389">
        <f t="shared" ca="1" si="67"/>
        <v>9.2369918577545977</v>
      </c>
      <c r="CT50" s="5390">
        <f t="shared" ca="1" si="67"/>
        <v>7.5369918577545976</v>
      </c>
      <c r="CU50" s="5388">
        <f t="shared" ca="1" si="67"/>
        <v>10.660190284005415</v>
      </c>
      <c r="CV50" s="5389">
        <f t="shared" ca="1" si="67"/>
        <v>10.660190284005415</v>
      </c>
      <c r="CW50" s="5389">
        <f t="shared" ca="1" si="67"/>
        <v>10.660190284005415</v>
      </c>
      <c r="CX50" s="5390">
        <f t="shared" ca="1" si="67"/>
        <v>10.660190284005415</v>
      </c>
      <c r="CY50" s="5388">
        <f t="shared" ca="1" si="67"/>
        <v>4.2942697161406791</v>
      </c>
      <c r="CZ50" s="5389">
        <f t="shared" ca="1" si="67"/>
        <v>4.2942697161406791</v>
      </c>
      <c r="DA50" s="5389">
        <f t="shared" ca="1" si="67"/>
        <v>4.2942697161406791</v>
      </c>
      <c r="DB50" s="5390">
        <f t="shared" ca="1" si="67"/>
        <v>4.2942697161406791</v>
      </c>
      <c r="DC50" s="5388">
        <f t="shared" ca="1" si="67"/>
        <v>0</v>
      </c>
      <c r="DD50" s="5389">
        <f t="shared" ca="1" si="67"/>
        <v>0</v>
      </c>
      <c r="DE50" s="5389">
        <f t="shared" ca="1" si="67"/>
        <v>0</v>
      </c>
      <c r="DF50" s="5390">
        <f t="shared" ca="1" si="67"/>
        <v>0</v>
      </c>
      <c r="DG50" s="5388">
        <f t="shared" ca="1" si="67"/>
        <v>1.015787718825532</v>
      </c>
      <c r="DH50" s="5389">
        <f t="shared" ca="1" si="67"/>
        <v>1.015787718825532</v>
      </c>
      <c r="DI50" s="5389">
        <f t="shared" ca="1" si="67"/>
        <v>1.015787718825532</v>
      </c>
      <c r="DJ50" s="5390">
        <f t="shared" ca="1" si="67"/>
        <v>1.015787718825532</v>
      </c>
      <c r="DK50" s="5388">
        <f t="shared" ca="1" si="67"/>
        <v>4.1382798047211127</v>
      </c>
      <c r="DL50" s="5389">
        <f t="shared" ca="1" si="67"/>
        <v>4.1382798047211127</v>
      </c>
      <c r="DM50" s="5389">
        <f t="shared" ca="1" si="67"/>
        <v>4.1382798047211127</v>
      </c>
      <c r="DN50" s="5390">
        <f t="shared" ca="1" si="67"/>
        <v>4.1382798047211127</v>
      </c>
      <c r="DO50" s="5388">
        <f t="shared" ca="1" si="67"/>
        <v>3.8210061291538491</v>
      </c>
      <c r="DP50" s="5389">
        <f t="shared" ca="1" si="67"/>
        <v>3.8210061291538491</v>
      </c>
      <c r="DQ50" s="5389">
        <f t="shared" ca="1" si="67"/>
        <v>3.8210061291538491</v>
      </c>
      <c r="DR50" s="5390">
        <f t="shared" ca="1" si="67"/>
        <v>3.8210061291538491</v>
      </c>
      <c r="DS50" s="5388">
        <f t="shared" ca="1" si="67"/>
        <v>3.9638729006947533</v>
      </c>
      <c r="DT50" s="5389">
        <f t="shared" ca="1" si="67"/>
        <v>3.9638729006947533</v>
      </c>
      <c r="DU50" s="5389">
        <f t="shared" ca="1" si="67"/>
        <v>3.9638729006947533</v>
      </c>
      <c r="DV50" s="5390">
        <f t="shared" ca="1" si="67"/>
        <v>3.9638729006947533</v>
      </c>
      <c r="DW50" s="5388">
        <f t="shared" ca="1" si="67"/>
        <v>8.6082106493421069</v>
      </c>
      <c r="DX50" s="5389">
        <f t="shared" ca="1" si="67"/>
        <v>8.6082106493421069</v>
      </c>
      <c r="DY50" s="5389">
        <f t="shared" ca="1" si="67"/>
        <v>8.6082106493421069</v>
      </c>
      <c r="DZ50" s="5390">
        <f t="shared" ca="1" si="67"/>
        <v>8.6082106493421069</v>
      </c>
      <c r="EA50" s="5388">
        <f t="shared" ca="1" si="67"/>
        <v>0</v>
      </c>
      <c r="EB50" s="5389">
        <f t="shared" ca="1" si="67"/>
        <v>0</v>
      </c>
      <c r="EC50" s="5389">
        <f t="shared" ca="1" si="67"/>
        <v>0</v>
      </c>
      <c r="ED50" s="5390">
        <f t="shared" ca="1" si="67"/>
        <v>0</v>
      </c>
      <c r="EE50" s="5388">
        <f t="shared" ca="1" si="67"/>
        <v>11.829935144985386</v>
      </c>
      <c r="EF50" s="5389">
        <f t="shared" ref="EF50:GD50" ca="1" si="68">SUM(EF44:EF47)</f>
        <v>11.829935144985386</v>
      </c>
      <c r="EG50" s="5389">
        <f t="shared" ca="1" si="68"/>
        <v>11.829935144985386</v>
      </c>
      <c r="EH50" s="5390">
        <f t="shared" ca="1" si="68"/>
        <v>11.829935144985386</v>
      </c>
      <c r="EI50" s="5388">
        <f t="shared" ca="1" si="68"/>
        <v>3.0629866600940301</v>
      </c>
      <c r="EJ50" s="5389">
        <f t="shared" ca="1" si="68"/>
        <v>3.0629866600940301</v>
      </c>
      <c r="EK50" s="5389">
        <f t="shared" ca="1" si="68"/>
        <v>3.0629866600940301</v>
      </c>
      <c r="EL50" s="5390">
        <f t="shared" ca="1" si="68"/>
        <v>3.0629866600940301</v>
      </c>
      <c r="EM50" s="5388">
        <f t="shared" ca="1" si="68"/>
        <v>0</v>
      </c>
      <c r="EN50" s="5389">
        <f t="shared" ca="1" si="68"/>
        <v>0</v>
      </c>
      <c r="EO50" s="5389">
        <f t="shared" ca="1" si="68"/>
        <v>0</v>
      </c>
      <c r="EP50" s="5390">
        <f t="shared" ca="1" si="68"/>
        <v>0</v>
      </c>
      <c r="EQ50" s="5388">
        <f t="shared" ca="1" si="68"/>
        <v>5.4158913327339944</v>
      </c>
      <c r="ER50" s="5389">
        <f t="shared" ca="1" si="68"/>
        <v>5.4158913327339944</v>
      </c>
      <c r="ES50" s="5389">
        <f t="shared" ca="1" si="68"/>
        <v>5.4158913327339944</v>
      </c>
      <c r="ET50" s="5390">
        <f t="shared" ca="1" si="68"/>
        <v>5.4158913327339944</v>
      </c>
      <c r="EU50" s="5388">
        <f t="shared" ca="1" si="68"/>
        <v>0</v>
      </c>
      <c r="EV50" s="5389">
        <f t="shared" ca="1" si="68"/>
        <v>0</v>
      </c>
      <c r="EW50" s="5389">
        <f t="shared" ca="1" si="68"/>
        <v>0</v>
      </c>
      <c r="EX50" s="5390">
        <f t="shared" ca="1" si="68"/>
        <v>0</v>
      </c>
      <c r="EY50" s="5388">
        <f t="shared" ca="1" si="68"/>
        <v>1.9513702964330726</v>
      </c>
      <c r="EZ50" s="5389">
        <f t="shared" ca="1" si="68"/>
        <v>1.9513702964330726</v>
      </c>
      <c r="FA50" s="5389">
        <f t="shared" ca="1" si="68"/>
        <v>1.9513702964330726</v>
      </c>
      <c r="FB50" s="5390">
        <f t="shared" ca="1" si="68"/>
        <v>1.9513702964330726</v>
      </c>
      <c r="FC50" s="5388">
        <f t="shared" ca="1" si="68"/>
        <v>1.6096148815405287</v>
      </c>
      <c r="FD50" s="5389">
        <f t="shared" ca="1" si="68"/>
        <v>1.6096148815405287</v>
      </c>
      <c r="FE50" s="5389">
        <f t="shared" ca="1" si="68"/>
        <v>1.6096148815405287</v>
      </c>
      <c r="FF50" s="5390">
        <f t="shared" ca="1" si="68"/>
        <v>1.6096148815405287</v>
      </c>
      <c r="FG50" s="5388">
        <f t="shared" ca="1" si="68"/>
        <v>3.3598027960689301</v>
      </c>
      <c r="FH50" s="5389">
        <f t="shared" ca="1" si="68"/>
        <v>3.3598027960689301</v>
      </c>
      <c r="FI50" s="5389">
        <f t="shared" ca="1" si="68"/>
        <v>3.3598027960689301</v>
      </c>
      <c r="FJ50" s="5390">
        <f t="shared" ca="1" si="68"/>
        <v>3.3598027960689301</v>
      </c>
      <c r="FK50" s="5388">
        <f t="shared" ca="1" si="68"/>
        <v>35.02865366740253</v>
      </c>
      <c r="FL50" s="5389">
        <f t="shared" ca="1" si="68"/>
        <v>35.02865366740253</v>
      </c>
      <c r="FM50" s="5389">
        <f t="shared" ca="1" si="68"/>
        <v>0</v>
      </c>
      <c r="FN50" s="5390">
        <f t="shared" ca="1" si="68"/>
        <v>0</v>
      </c>
      <c r="FO50" s="5388">
        <f t="shared" ca="1" si="68"/>
        <v>0</v>
      </c>
      <c r="FP50" s="5389">
        <f t="shared" ca="1" si="68"/>
        <v>0</v>
      </c>
      <c r="FQ50" s="5389">
        <f t="shared" ca="1" si="68"/>
        <v>0</v>
      </c>
      <c r="FR50" s="5390">
        <f t="shared" ca="1" si="68"/>
        <v>0</v>
      </c>
      <c r="FS50" s="5388">
        <f t="shared" ca="1" si="68"/>
        <v>0</v>
      </c>
      <c r="FT50" s="5389">
        <f t="shared" ca="1" si="68"/>
        <v>0</v>
      </c>
      <c r="FU50" s="5389">
        <f t="shared" ca="1" si="68"/>
        <v>0</v>
      </c>
      <c r="FV50" s="5390">
        <f t="shared" ca="1" si="68"/>
        <v>0</v>
      </c>
      <c r="FW50" s="5388">
        <f t="shared" ca="1" si="68"/>
        <v>0</v>
      </c>
      <c r="FX50" s="5389">
        <f t="shared" ca="1" si="68"/>
        <v>0</v>
      </c>
      <c r="FY50" s="5389">
        <f t="shared" ca="1" si="68"/>
        <v>0</v>
      </c>
      <c r="FZ50" s="5390">
        <f t="shared" ca="1" si="68"/>
        <v>0</v>
      </c>
      <c r="GA50" s="5388">
        <f t="shared" ca="1" si="68"/>
        <v>0</v>
      </c>
      <c r="GB50" s="5389">
        <f t="shared" ca="1" si="68"/>
        <v>0</v>
      </c>
      <c r="GC50" s="5389">
        <f t="shared" ca="1" si="68"/>
        <v>0</v>
      </c>
      <c r="GD50" s="5390">
        <f t="shared" ca="1" si="68"/>
        <v>0</v>
      </c>
    </row>
    <row r="51" spans="1:186" ht="15" customHeight="1">
      <c r="B51" s="2064"/>
      <c r="C51" s="2145" t="s">
        <v>5262</v>
      </c>
      <c r="D51" s="2146"/>
      <c r="E51" s="5391"/>
      <c r="F51" s="2194">
        <f t="shared" ca="1" si="62"/>
        <v>10727.823042768692</v>
      </c>
      <c r="G51" s="2195">
        <f t="shared" ref="G51:BR51" si="69">G59</f>
        <v>47.99409836000001</v>
      </c>
      <c r="H51" s="2196">
        <f>H59</f>
        <v>47.085413380000006</v>
      </c>
      <c r="I51" s="2196">
        <f t="shared" si="69"/>
        <v>50.833485050000007</v>
      </c>
      <c r="J51" s="2197">
        <f t="shared" si="69"/>
        <v>50.151050780000006</v>
      </c>
      <c r="K51" s="2195">
        <f t="shared" ca="1" si="69"/>
        <v>50.116796770000008</v>
      </c>
      <c r="L51" s="2196">
        <f t="shared" ca="1" si="69"/>
        <v>53.117793570000003</v>
      </c>
      <c r="M51" s="2196">
        <f t="shared" ca="1" si="69"/>
        <v>50.837996130000008</v>
      </c>
      <c r="N51" s="2197">
        <f t="shared" ca="1" si="69"/>
        <v>53.375981960000004</v>
      </c>
      <c r="O51" s="2195">
        <f t="shared" si="69"/>
        <v>38.942098999999999</v>
      </c>
      <c r="P51" s="2196">
        <f t="shared" si="69"/>
        <v>61.267215039999996</v>
      </c>
      <c r="Q51" s="2196">
        <f t="shared" si="69"/>
        <v>20.781527350000001</v>
      </c>
      <c r="R51" s="2197">
        <f t="shared" si="69"/>
        <v>10.795098100000001</v>
      </c>
      <c r="S51" s="2195">
        <f t="shared" ca="1" si="69"/>
        <v>10.885808682043738</v>
      </c>
      <c r="T51" s="2196">
        <f t="shared" ca="1" si="69"/>
        <v>51.185422867554244</v>
      </c>
      <c r="U51" s="2196">
        <f t="shared" ca="1" si="69"/>
        <v>17.348932124688869</v>
      </c>
      <c r="V51" s="2197">
        <f t="shared" ca="1" si="69"/>
        <v>11.853819893666817</v>
      </c>
      <c r="W51" s="2195">
        <f t="shared" ca="1" si="69"/>
        <v>52.198947178131753</v>
      </c>
      <c r="X51" s="2196">
        <f t="shared" ca="1" si="69"/>
        <v>52.198947178131753</v>
      </c>
      <c r="Y51" s="2196">
        <f t="shared" ca="1" si="69"/>
        <v>52.198947178131753</v>
      </c>
      <c r="Z51" s="2197">
        <f t="shared" ca="1" si="69"/>
        <v>52.198947178131753</v>
      </c>
      <c r="AA51" s="2195">
        <f t="shared" ca="1" si="69"/>
        <v>31.759117530926552</v>
      </c>
      <c r="AB51" s="2196">
        <f t="shared" ca="1" si="69"/>
        <v>52.955041139760191</v>
      </c>
      <c r="AC51" s="2196">
        <f t="shared" ca="1" si="69"/>
        <v>52.955041139760191</v>
      </c>
      <c r="AD51" s="2197">
        <f t="shared" ca="1" si="69"/>
        <v>52.955041139760191</v>
      </c>
      <c r="AE51" s="2195">
        <f t="shared" ca="1" si="69"/>
        <v>11.005462256428682</v>
      </c>
      <c r="AF51" s="2196">
        <f t="shared" ca="1" si="69"/>
        <v>53.941952959078712</v>
      </c>
      <c r="AG51" s="2196">
        <f t="shared" ca="1" si="69"/>
        <v>5.0303887482957208</v>
      </c>
      <c r="AH51" s="2197">
        <f t="shared" ca="1" si="69"/>
        <v>9.4986576611480231</v>
      </c>
      <c r="AI51" s="2195">
        <f t="shared" ca="1" si="69"/>
        <v>26.33577912321385</v>
      </c>
      <c r="AJ51" s="2196">
        <f t="shared" ca="1" si="69"/>
        <v>27.674869216027297</v>
      </c>
      <c r="AK51" s="2196">
        <f t="shared" ca="1" si="69"/>
        <v>21.993951923497768</v>
      </c>
      <c r="AL51" s="2197">
        <f t="shared" ca="1" si="69"/>
        <v>33.616980881027295</v>
      </c>
      <c r="AM51" s="2195">
        <f t="shared" ca="1" si="69"/>
        <v>55.647329735854434</v>
      </c>
      <c r="AN51" s="2196">
        <f t="shared" ca="1" si="69"/>
        <v>55.647329735854434</v>
      </c>
      <c r="AO51" s="2196">
        <f t="shared" ca="1" si="69"/>
        <v>55.647329735854434</v>
      </c>
      <c r="AP51" s="2197">
        <f t="shared" ca="1" si="69"/>
        <v>55.647329735854434</v>
      </c>
      <c r="AQ51" s="2195">
        <f t="shared" ca="1" si="69"/>
        <v>57.292651928915262</v>
      </c>
      <c r="AR51" s="2196">
        <f t="shared" ca="1" si="69"/>
        <v>57.292651928915262</v>
      </c>
      <c r="AS51" s="2196">
        <f t="shared" ca="1" si="69"/>
        <v>57.292651928915262</v>
      </c>
      <c r="AT51" s="2197">
        <f t="shared" ca="1" si="69"/>
        <v>57.292651928915262</v>
      </c>
      <c r="AU51" s="2195">
        <f t="shared" ca="1" si="69"/>
        <v>58.709104473413383</v>
      </c>
      <c r="AV51" s="2196">
        <f t="shared" ca="1" si="69"/>
        <v>58.709104473413383</v>
      </c>
      <c r="AW51" s="2196">
        <f t="shared" ca="1" si="69"/>
        <v>58.709104473413383</v>
      </c>
      <c r="AX51" s="2197">
        <f t="shared" ca="1" si="69"/>
        <v>58.709104473413383</v>
      </c>
      <c r="AY51" s="2195">
        <f t="shared" ca="1" si="69"/>
        <v>59.515459654326541</v>
      </c>
      <c r="AZ51" s="2196">
        <f t="shared" ca="1" si="69"/>
        <v>59.515459654326541</v>
      </c>
      <c r="BA51" s="2196">
        <f t="shared" ca="1" si="69"/>
        <v>59.515459654326541</v>
      </c>
      <c r="BB51" s="2197">
        <f t="shared" ca="1" si="69"/>
        <v>59.515459654326541</v>
      </c>
      <c r="BC51" s="2195">
        <f t="shared" ca="1" si="69"/>
        <v>60.569830699742219</v>
      </c>
      <c r="BD51" s="2196">
        <f t="shared" ca="1" si="69"/>
        <v>60.569830699742219</v>
      </c>
      <c r="BE51" s="2196">
        <f t="shared" ca="1" si="69"/>
        <v>60.569830699742219</v>
      </c>
      <c r="BF51" s="2197">
        <f t="shared" ca="1" si="69"/>
        <v>60.569830699742219</v>
      </c>
      <c r="BG51" s="2195">
        <f t="shared" ca="1" si="69"/>
        <v>61.614873021461818</v>
      </c>
      <c r="BH51" s="2196">
        <f t="shared" ca="1" si="69"/>
        <v>61.614873021461818</v>
      </c>
      <c r="BI51" s="2196">
        <f t="shared" ca="1" si="69"/>
        <v>61.614873021461818</v>
      </c>
      <c r="BJ51" s="2197">
        <f t="shared" ca="1" si="69"/>
        <v>61.614873021461818</v>
      </c>
      <c r="BK51" s="2195">
        <f t="shared" ca="1" si="69"/>
        <v>62.806854280379554</v>
      </c>
      <c r="BL51" s="2196">
        <f t="shared" ca="1" si="69"/>
        <v>62.806854280379554</v>
      </c>
      <c r="BM51" s="2196">
        <f t="shared" ca="1" si="69"/>
        <v>62.806854280379554</v>
      </c>
      <c r="BN51" s="2197">
        <f t="shared" ca="1" si="69"/>
        <v>62.806854280379554</v>
      </c>
      <c r="BO51" s="2195">
        <f t="shared" ca="1" si="69"/>
        <v>63.354756348140796</v>
      </c>
      <c r="BP51" s="2196">
        <f t="shared" ca="1" si="69"/>
        <v>63.354756348140796</v>
      </c>
      <c r="BQ51" s="2196">
        <f t="shared" ca="1" si="69"/>
        <v>63.354756348140796</v>
      </c>
      <c r="BR51" s="2197">
        <f t="shared" ca="1" si="69"/>
        <v>63.354756348140796</v>
      </c>
      <c r="BS51" s="2195">
        <f t="shared" ref="BS51:ED51" ca="1" si="70">BS59</f>
        <v>64.447166328265624</v>
      </c>
      <c r="BT51" s="2196">
        <f t="shared" ca="1" si="70"/>
        <v>64.447166328265624</v>
      </c>
      <c r="BU51" s="2196">
        <f t="shared" ca="1" si="70"/>
        <v>64.447166328265624</v>
      </c>
      <c r="BV51" s="2197">
        <f t="shared" ca="1" si="70"/>
        <v>64.447166328265624</v>
      </c>
      <c r="BW51" s="2195">
        <f t="shared" ca="1" si="70"/>
        <v>65.095757092070926</v>
      </c>
      <c r="BX51" s="2196">
        <f t="shared" ca="1" si="70"/>
        <v>65.095757092070926</v>
      </c>
      <c r="BY51" s="2196">
        <f t="shared" ca="1" si="70"/>
        <v>65.095757092070926</v>
      </c>
      <c r="BZ51" s="2197">
        <f t="shared" ca="1" si="70"/>
        <v>65.095757092070926</v>
      </c>
      <c r="CA51" s="2195">
        <f t="shared" ca="1" si="70"/>
        <v>66.233600729782083</v>
      </c>
      <c r="CB51" s="2196">
        <f t="shared" ca="1" si="70"/>
        <v>66.233600729782083</v>
      </c>
      <c r="CC51" s="2196">
        <f t="shared" ca="1" si="70"/>
        <v>66.233600729782083</v>
      </c>
      <c r="CD51" s="2197">
        <f t="shared" ca="1" si="70"/>
        <v>66.233600729782083</v>
      </c>
      <c r="CE51" s="2195">
        <f t="shared" ca="1" si="70"/>
        <v>66.92029374241595</v>
      </c>
      <c r="CF51" s="2196">
        <f t="shared" ca="1" si="70"/>
        <v>66.92029374241595</v>
      </c>
      <c r="CG51" s="2196">
        <f t="shared" ca="1" si="70"/>
        <v>66.92029374241595</v>
      </c>
      <c r="CH51" s="2197">
        <f t="shared" ca="1" si="70"/>
        <v>66.92029374241595</v>
      </c>
      <c r="CI51" s="2195">
        <f t="shared" ca="1" si="70"/>
        <v>68.118284990189679</v>
      </c>
      <c r="CJ51" s="2196">
        <f t="shared" ca="1" si="70"/>
        <v>68.118284990189679</v>
      </c>
      <c r="CK51" s="2196">
        <f t="shared" ca="1" si="70"/>
        <v>68.118284990189679</v>
      </c>
      <c r="CL51" s="2197">
        <f t="shared" ca="1" si="70"/>
        <v>68.118284990189679</v>
      </c>
      <c r="CM51" s="2195">
        <f t="shared" ca="1" si="70"/>
        <v>68.904028601183214</v>
      </c>
      <c r="CN51" s="2196">
        <f t="shared" ca="1" si="70"/>
        <v>68.904028601183214</v>
      </c>
      <c r="CO51" s="2196">
        <f t="shared" ca="1" si="70"/>
        <v>68.904028601183214</v>
      </c>
      <c r="CP51" s="2197">
        <f t="shared" ca="1" si="70"/>
        <v>68.904028601183214</v>
      </c>
      <c r="CQ51" s="2195">
        <f t="shared" ca="1" si="70"/>
        <v>70.16095031184841</v>
      </c>
      <c r="CR51" s="2196">
        <f t="shared" ca="1" si="70"/>
        <v>70.16095031184841</v>
      </c>
      <c r="CS51" s="2196">
        <f t="shared" ca="1" si="70"/>
        <v>70.16095031184841</v>
      </c>
      <c r="CT51" s="2197">
        <f t="shared" ca="1" si="70"/>
        <v>70.16095031184841</v>
      </c>
      <c r="CU51" s="2195">
        <f t="shared" ca="1" si="70"/>
        <v>70.879373765838892</v>
      </c>
      <c r="CV51" s="2196">
        <f t="shared" ca="1" si="70"/>
        <v>70.879373765838892</v>
      </c>
      <c r="CW51" s="2196">
        <f t="shared" ca="1" si="70"/>
        <v>70.879373765838892</v>
      </c>
      <c r="CX51" s="2197">
        <f t="shared" ca="1" si="70"/>
        <v>70.879373765838892</v>
      </c>
      <c r="CY51" s="2195">
        <f t="shared" ca="1" si="70"/>
        <v>72.117746591574587</v>
      </c>
      <c r="CZ51" s="2196">
        <f t="shared" ca="1" si="70"/>
        <v>72.117746591574587</v>
      </c>
      <c r="DA51" s="2196">
        <f t="shared" ca="1" si="70"/>
        <v>72.117746591574587</v>
      </c>
      <c r="DB51" s="2197">
        <f t="shared" ca="1" si="70"/>
        <v>72.117746591574587</v>
      </c>
      <c r="DC51" s="2195">
        <f t="shared" ca="1" si="70"/>
        <v>72.847417165369507</v>
      </c>
      <c r="DD51" s="2196">
        <f t="shared" ca="1" si="70"/>
        <v>72.847417165369507</v>
      </c>
      <c r="DE51" s="2196">
        <f t="shared" ca="1" si="70"/>
        <v>72.847417165369507</v>
      </c>
      <c r="DF51" s="2197">
        <f t="shared" ca="1" si="70"/>
        <v>72.847417165369507</v>
      </c>
      <c r="DG51" s="2195">
        <f t="shared" ca="1" si="70"/>
        <v>74.22971795133742</v>
      </c>
      <c r="DH51" s="2196">
        <f t="shared" ca="1" si="70"/>
        <v>74.22971795133742</v>
      </c>
      <c r="DI51" s="2196">
        <f t="shared" ca="1" si="70"/>
        <v>74.22971795133742</v>
      </c>
      <c r="DJ51" s="2197">
        <f t="shared" ca="1" si="70"/>
        <v>74.22971795133742</v>
      </c>
      <c r="DK51" s="2195">
        <f t="shared" ca="1" si="70"/>
        <v>74.886263084347561</v>
      </c>
      <c r="DL51" s="2196">
        <f t="shared" ca="1" si="70"/>
        <v>74.886263084347561</v>
      </c>
      <c r="DM51" s="2196">
        <f t="shared" ca="1" si="70"/>
        <v>74.886263084347561</v>
      </c>
      <c r="DN51" s="2197">
        <f t="shared" ca="1" si="70"/>
        <v>74.886263084347561</v>
      </c>
      <c r="DO51" s="2195">
        <f t="shared" ca="1" si="70"/>
        <v>76.23284155904534</v>
      </c>
      <c r="DP51" s="2196">
        <f t="shared" ca="1" si="70"/>
        <v>76.23284155904534</v>
      </c>
      <c r="DQ51" s="2196">
        <f t="shared" ca="1" si="70"/>
        <v>76.23284155904534</v>
      </c>
      <c r="DR51" s="2197">
        <f t="shared" ca="1" si="70"/>
        <v>76.23284155904534</v>
      </c>
      <c r="DS51" s="2195">
        <f t="shared" ca="1" si="70"/>
        <v>78.518417254811666</v>
      </c>
      <c r="DT51" s="2196">
        <f t="shared" ca="1" si="70"/>
        <v>78.518417254811666</v>
      </c>
      <c r="DU51" s="2196">
        <f t="shared" ca="1" si="70"/>
        <v>78.518417254811666</v>
      </c>
      <c r="DV51" s="2197">
        <f t="shared" ca="1" si="70"/>
        <v>78.518417254811666</v>
      </c>
      <c r="DW51" s="2195">
        <f t="shared" ca="1" si="70"/>
        <v>80.312681857776653</v>
      </c>
      <c r="DX51" s="2196">
        <f t="shared" ca="1" si="70"/>
        <v>80.312681857776653</v>
      </c>
      <c r="DY51" s="2196">
        <f t="shared" ca="1" si="70"/>
        <v>80.312681857776653</v>
      </c>
      <c r="DZ51" s="2197">
        <f t="shared" ca="1" si="70"/>
        <v>80.312681857776653</v>
      </c>
      <c r="EA51" s="2195">
        <f t="shared" ca="1" si="70"/>
        <v>81.318726014444749</v>
      </c>
      <c r="EB51" s="2196">
        <f t="shared" ca="1" si="70"/>
        <v>81.318726014444749</v>
      </c>
      <c r="EC51" s="2196">
        <f t="shared" ca="1" si="70"/>
        <v>81.318726014444749</v>
      </c>
      <c r="ED51" s="2197">
        <f t="shared" ca="1" si="70"/>
        <v>81.318726014444749</v>
      </c>
      <c r="EE51" s="2195">
        <f t="shared" ref="EE51:GD51" ca="1" si="71">EE59</f>
        <v>82.867089059702195</v>
      </c>
      <c r="EF51" s="2196">
        <f t="shared" ca="1" si="71"/>
        <v>82.867089059702195</v>
      </c>
      <c r="EG51" s="2196">
        <f t="shared" ca="1" si="71"/>
        <v>82.867089059702195</v>
      </c>
      <c r="EH51" s="2197">
        <f t="shared" ca="1" si="71"/>
        <v>82.867089059702195</v>
      </c>
      <c r="EI51" s="2195">
        <f t="shared" ca="1" si="71"/>
        <v>84.166086545133723</v>
      </c>
      <c r="EJ51" s="2196">
        <f t="shared" ca="1" si="71"/>
        <v>84.166086545133723</v>
      </c>
      <c r="EK51" s="2196">
        <f t="shared" ca="1" si="71"/>
        <v>84.166086545133723</v>
      </c>
      <c r="EL51" s="2197">
        <f t="shared" ca="1" si="71"/>
        <v>84.166086545133723</v>
      </c>
      <c r="EM51" s="2195">
        <f t="shared" ca="1" si="71"/>
        <v>85.772376035140368</v>
      </c>
      <c r="EN51" s="2196">
        <f t="shared" ca="1" si="71"/>
        <v>85.772376035140368</v>
      </c>
      <c r="EO51" s="2196">
        <f t="shared" ca="1" si="71"/>
        <v>85.772376035140368</v>
      </c>
      <c r="EP51" s="2197">
        <f t="shared" ca="1" si="71"/>
        <v>85.772376035140368</v>
      </c>
      <c r="EQ51" s="2195">
        <f t="shared" ca="1" si="71"/>
        <v>86.575675506175159</v>
      </c>
      <c r="ER51" s="2196">
        <f t="shared" ca="1" si="71"/>
        <v>86.575675506175159</v>
      </c>
      <c r="ES51" s="2196">
        <f t="shared" ca="1" si="71"/>
        <v>86.575675506175159</v>
      </c>
      <c r="ET51" s="2197">
        <f t="shared" ca="1" si="71"/>
        <v>86.575675506175159</v>
      </c>
      <c r="EU51" s="2195">
        <f t="shared" ca="1" si="71"/>
        <v>88.037966093050613</v>
      </c>
      <c r="EV51" s="2196">
        <f t="shared" ca="1" si="71"/>
        <v>88.037966093050613</v>
      </c>
      <c r="EW51" s="2196">
        <f t="shared" ca="1" si="71"/>
        <v>88.037966093050613</v>
      </c>
      <c r="EX51" s="2197">
        <f t="shared" ca="1" si="71"/>
        <v>88.037966093050613</v>
      </c>
      <c r="EY51" s="2195">
        <f t="shared" ca="1" si="71"/>
        <v>89.033225984340291</v>
      </c>
      <c r="EZ51" s="2196">
        <f t="shared" ca="1" si="71"/>
        <v>89.033225984340291</v>
      </c>
      <c r="FA51" s="2196">
        <f t="shared" ca="1" si="71"/>
        <v>89.033225984340291</v>
      </c>
      <c r="FB51" s="2197">
        <f t="shared" ca="1" si="71"/>
        <v>89.033225984340291</v>
      </c>
      <c r="FC51" s="2195">
        <f t="shared" ca="1" si="71"/>
        <v>90.693251425606448</v>
      </c>
      <c r="FD51" s="2196">
        <f t="shared" ca="1" si="71"/>
        <v>90.693251425606448</v>
      </c>
      <c r="FE51" s="2196">
        <f t="shared" ca="1" si="71"/>
        <v>90.693251425606448</v>
      </c>
      <c r="FF51" s="2197">
        <f t="shared" ca="1" si="71"/>
        <v>90.693251425606448</v>
      </c>
      <c r="FG51" s="2195">
        <f t="shared" ca="1" si="71"/>
        <v>93.035087387094961</v>
      </c>
      <c r="FH51" s="2196">
        <f t="shared" ca="1" si="71"/>
        <v>93.035087387094961</v>
      </c>
      <c r="FI51" s="2196">
        <f t="shared" ca="1" si="71"/>
        <v>93.035087387094961</v>
      </c>
      <c r="FJ51" s="2197">
        <f t="shared" ca="1" si="71"/>
        <v>93.035087387094961</v>
      </c>
      <c r="FK51" s="2195">
        <f t="shared" ca="1" si="71"/>
        <v>94.536445202082476</v>
      </c>
      <c r="FL51" s="2196">
        <f t="shared" ca="1" si="71"/>
        <v>94.536445202082476</v>
      </c>
      <c r="FM51" s="2196">
        <f t="shared" ca="1" si="71"/>
        <v>0</v>
      </c>
      <c r="FN51" s="2197">
        <f t="shared" ca="1" si="71"/>
        <v>0</v>
      </c>
      <c r="FO51" s="2195">
        <f t="shared" ca="1" si="71"/>
        <v>0</v>
      </c>
      <c r="FP51" s="2196">
        <f t="shared" ca="1" si="71"/>
        <v>0</v>
      </c>
      <c r="FQ51" s="2196">
        <f t="shared" ca="1" si="71"/>
        <v>0</v>
      </c>
      <c r="FR51" s="2197">
        <f t="shared" ca="1" si="71"/>
        <v>0</v>
      </c>
      <c r="FS51" s="2195">
        <f t="shared" ca="1" si="71"/>
        <v>0</v>
      </c>
      <c r="FT51" s="2196">
        <f t="shared" ca="1" si="71"/>
        <v>0</v>
      </c>
      <c r="FU51" s="2196">
        <f t="shared" ca="1" si="71"/>
        <v>0</v>
      </c>
      <c r="FV51" s="2197">
        <f t="shared" ca="1" si="71"/>
        <v>0</v>
      </c>
      <c r="FW51" s="2195">
        <f t="shared" ca="1" si="71"/>
        <v>0</v>
      </c>
      <c r="FX51" s="2196">
        <f t="shared" ca="1" si="71"/>
        <v>0</v>
      </c>
      <c r="FY51" s="2196">
        <f t="shared" ca="1" si="71"/>
        <v>0</v>
      </c>
      <c r="FZ51" s="2197">
        <f t="shared" ca="1" si="71"/>
        <v>0</v>
      </c>
      <c r="GA51" s="2195">
        <f t="shared" ca="1" si="71"/>
        <v>0</v>
      </c>
      <c r="GB51" s="2196">
        <f t="shared" ca="1" si="71"/>
        <v>0</v>
      </c>
      <c r="GC51" s="2196">
        <f t="shared" ca="1" si="71"/>
        <v>0</v>
      </c>
      <c r="GD51" s="2197">
        <f t="shared" ca="1" si="71"/>
        <v>0</v>
      </c>
    </row>
    <row r="52" spans="1:186" s="414" customFormat="1" ht="15" customHeight="1">
      <c r="B52" s="2065"/>
      <c r="C52" s="2078" t="s">
        <v>3763</v>
      </c>
      <c r="D52" s="2079"/>
      <c r="E52" s="2079"/>
      <c r="F52" s="2080">
        <f t="shared" ca="1" si="62"/>
        <v>32970.038530051803</v>
      </c>
      <c r="G52" s="2081">
        <f ca="1">G43-G50-G51</f>
        <v>136.8718962685542</v>
      </c>
      <c r="H52" s="2082">
        <f t="shared" ref="H52:BS52" ca="1" si="72">H43-H50-H51</f>
        <v>108.07529580855416</v>
      </c>
      <c r="I52" s="2082">
        <f t="shared" ca="1" si="72"/>
        <v>58.372855218554164</v>
      </c>
      <c r="J52" s="2083">
        <f t="shared" ca="1" si="72"/>
        <v>16.724687388554173</v>
      </c>
      <c r="K52" s="2081">
        <f t="shared" ca="1" si="72"/>
        <v>101.61547263933335</v>
      </c>
      <c r="L52" s="2082">
        <f t="shared" ca="1" si="72"/>
        <v>170.70014937571219</v>
      </c>
      <c r="M52" s="2082">
        <f t="shared" ca="1" si="72"/>
        <v>136.8702541657122</v>
      </c>
      <c r="N52" s="2083">
        <f t="shared" ca="1" si="72"/>
        <v>89.895936305712198</v>
      </c>
      <c r="O52" s="2081">
        <f t="shared" ca="1" si="72"/>
        <v>4.5257455899999997</v>
      </c>
      <c r="P52" s="2082">
        <f t="shared" ca="1" si="72"/>
        <v>23.430418859999975</v>
      </c>
      <c r="Q52" s="2082">
        <f t="shared" ca="1" si="72"/>
        <v>1.2139970800000022</v>
      </c>
      <c r="R52" s="2083">
        <f t="shared" ca="1" si="72"/>
        <v>7.5680049400000051</v>
      </c>
      <c r="S52" s="2081">
        <f t="shared" ca="1" si="72"/>
        <v>0</v>
      </c>
      <c r="T52" s="2082">
        <f t="shared" ca="1" si="72"/>
        <v>7.703740082373173</v>
      </c>
      <c r="U52" s="2082">
        <f t="shared" ca="1" si="72"/>
        <v>0</v>
      </c>
      <c r="V52" s="2083">
        <f t="shared" ca="1" si="72"/>
        <v>0</v>
      </c>
      <c r="W52" s="2081">
        <f t="shared" ca="1" si="72"/>
        <v>11.006923925605868</v>
      </c>
      <c r="X52" s="2082">
        <f t="shared" ca="1" si="72"/>
        <v>93.321218000074055</v>
      </c>
      <c r="Y52" s="2082">
        <f t="shared" ca="1" si="72"/>
        <v>52.631153866597124</v>
      </c>
      <c r="Z52" s="2083">
        <f t="shared" ca="1" si="72"/>
        <v>14.926766905465378</v>
      </c>
      <c r="AA52" s="2081">
        <f t="shared" ca="1" si="72"/>
        <v>0</v>
      </c>
      <c r="AB52" s="2082">
        <f t="shared" ca="1" si="72"/>
        <v>83.303797979740182</v>
      </c>
      <c r="AC52" s="2082">
        <f t="shared" ca="1" si="72"/>
        <v>43.333557095175998</v>
      </c>
      <c r="AD52" s="2083">
        <f t="shared" ca="1" si="72"/>
        <v>7.3600855626918715</v>
      </c>
      <c r="AE52" s="2081">
        <f t="shared" ca="1" si="72"/>
        <v>0</v>
      </c>
      <c r="AF52" s="2082">
        <f t="shared" ca="1" si="72"/>
        <v>0.19079295939331331</v>
      </c>
      <c r="AG52" s="2082">
        <f t="shared" ca="1" si="72"/>
        <v>0</v>
      </c>
      <c r="AH52" s="2083">
        <f t="shared" ca="1" si="72"/>
        <v>0</v>
      </c>
      <c r="AI52" s="2081">
        <f t="shared" ca="1" si="72"/>
        <v>0</v>
      </c>
      <c r="AJ52" s="2082">
        <f t="shared" ca="1" si="72"/>
        <v>0</v>
      </c>
      <c r="AK52" s="2082">
        <f t="shared" ca="1" si="72"/>
        <v>0</v>
      </c>
      <c r="AL52" s="2083">
        <f t="shared" ca="1" si="72"/>
        <v>0</v>
      </c>
      <c r="AM52" s="2081">
        <f t="shared" ca="1" si="72"/>
        <v>8.67856165501032</v>
      </c>
      <c r="AN52" s="2082">
        <f t="shared" ca="1" si="72"/>
        <v>12.918193493137032</v>
      </c>
      <c r="AO52" s="2082">
        <f t="shared" ca="1" si="72"/>
        <v>17.055884568440781</v>
      </c>
      <c r="AP52" s="2083">
        <f t="shared" ca="1" si="72"/>
        <v>21.517238126567499</v>
      </c>
      <c r="AQ52" s="2081">
        <f t="shared" ca="1" si="72"/>
        <v>25.330606475395982</v>
      </c>
      <c r="AR52" s="2082">
        <f t="shared" ca="1" si="72"/>
        <v>31.430805957389467</v>
      </c>
      <c r="AS52" s="2082">
        <f t="shared" ca="1" si="72"/>
        <v>37.390219414672714</v>
      </c>
      <c r="AT52" s="2083">
        <f t="shared" ca="1" si="72"/>
        <v>45.297618743233684</v>
      </c>
      <c r="AU52" s="2081">
        <f t="shared" ca="1" si="72"/>
        <v>44.970330946769515</v>
      </c>
      <c r="AV52" s="2082">
        <f t="shared" ca="1" si="72"/>
        <v>17.680676233040678</v>
      </c>
      <c r="AW52" s="2082">
        <f t="shared" ca="1" si="72"/>
        <v>18.444333133922306</v>
      </c>
      <c r="AX52" s="2083">
        <f t="shared" ca="1" si="72"/>
        <v>31.691078883427188</v>
      </c>
      <c r="AY52" s="2081">
        <f t="shared" ca="1" si="72"/>
        <v>45.683881707164836</v>
      </c>
      <c r="AZ52" s="2082">
        <f t="shared" ca="1" si="72"/>
        <v>45.919422720671186</v>
      </c>
      <c r="BA52" s="2082">
        <f t="shared" ca="1" si="72"/>
        <v>59.708989072342298</v>
      </c>
      <c r="BB52" s="2083">
        <f t="shared" ca="1" si="72"/>
        <v>75.701666940570306</v>
      </c>
      <c r="BC52" s="2081">
        <f t="shared" ca="1" si="72"/>
        <v>80.360381654241138</v>
      </c>
      <c r="BD52" s="2082">
        <f t="shared" ca="1" si="72"/>
        <v>62.777983962278377</v>
      </c>
      <c r="BE52" s="2082">
        <f t="shared" ca="1" si="72"/>
        <v>69.535814125151262</v>
      </c>
      <c r="BF52" s="2083">
        <f t="shared" ca="1" si="72"/>
        <v>81.295871253783048</v>
      </c>
      <c r="BG52" s="2081">
        <f t="shared" ca="1" si="72"/>
        <v>93.074365890979522</v>
      </c>
      <c r="BH52" s="2082">
        <f t="shared" ca="1" si="72"/>
        <v>82.996861415805597</v>
      </c>
      <c r="BI52" s="2082">
        <f t="shared" ca="1" si="72"/>
        <v>94.216635462224559</v>
      </c>
      <c r="BJ52" s="2083">
        <f t="shared" ca="1" si="72"/>
        <v>109.17991588362491</v>
      </c>
      <c r="BK52" s="2081">
        <f t="shared" ca="1" si="72"/>
        <v>129.71135565651429</v>
      </c>
      <c r="BL52" s="2082">
        <f t="shared" ca="1" si="72"/>
        <v>127.8643053677356</v>
      </c>
      <c r="BM52" s="2082">
        <f t="shared" ca="1" si="72"/>
        <v>148.638917252798</v>
      </c>
      <c r="BN52" s="2083">
        <f t="shared" ca="1" si="72"/>
        <v>173.4002076250149</v>
      </c>
      <c r="BO52" s="2081">
        <f t="shared" ca="1" si="72"/>
        <v>184.18906155423852</v>
      </c>
      <c r="BP52" s="2082">
        <f t="shared" ca="1" si="72"/>
        <v>168.01476291640151</v>
      </c>
      <c r="BQ52" s="2082">
        <f t="shared" ca="1" si="72"/>
        <v>179.78004869986225</v>
      </c>
      <c r="BR52" s="2083">
        <f t="shared" ca="1" si="72"/>
        <v>196.50844482471453</v>
      </c>
      <c r="BS52" s="2081">
        <f t="shared" ca="1" si="72"/>
        <v>204.88990339444109</v>
      </c>
      <c r="BT52" s="2082">
        <f t="shared" ref="BT52:EE52" ca="1" si="73">BT43-BT50-BT51</f>
        <v>185.62394994688236</v>
      </c>
      <c r="BU52" s="2082">
        <f t="shared" ca="1" si="73"/>
        <v>193.93969687927529</v>
      </c>
      <c r="BV52" s="2083">
        <f t="shared" ca="1" si="73"/>
        <v>207.15284251572609</v>
      </c>
      <c r="BW52" s="2081">
        <f t="shared" ca="1" si="73"/>
        <v>216.62129440620402</v>
      </c>
      <c r="BX52" s="2082">
        <f t="shared" ca="1" si="73"/>
        <v>195.46131896337619</v>
      </c>
      <c r="BY52" s="2082">
        <f t="shared" ca="1" si="73"/>
        <v>204.19191491429422</v>
      </c>
      <c r="BZ52" s="2083">
        <f t="shared" ca="1" si="73"/>
        <v>217.08205362971017</v>
      </c>
      <c r="CA52" s="2081">
        <f t="shared" ca="1" si="73"/>
        <v>231.91434520697015</v>
      </c>
      <c r="CB52" s="2082">
        <f t="shared" ca="1" si="73"/>
        <v>197.78679807863739</v>
      </c>
      <c r="CC52" s="2082">
        <f t="shared" ca="1" si="73"/>
        <v>213.96723319363338</v>
      </c>
      <c r="CD52" s="2083">
        <f t="shared" ca="1" si="73"/>
        <v>235.65535461086336</v>
      </c>
      <c r="CE52" s="2081">
        <f t="shared" ca="1" si="73"/>
        <v>242.85489402234981</v>
      </c>
      <c r="CF52" s="2082">
        <f t="shared" ca="1" si="73"/>
        <v>197.6497565677231</v>
      </c>
      <c r="CG52" s="2082">
        <f t="shared" ca="1" si="73"/>
        <v>204.59127262933595</v>
      </c>
      <c r="CH52" s="2083">
        <f t="shared" ca="1" si="73"/>
        <v>216.78245164330912</v>
      </c>
      <c r="CI52" s="2081">
        <f t="shared" ca="1" si="73"/>
        <v>206.87298515095512</v>
      </c>
      <c r="CJ52" s="2082">
        <f t="shared" ca="1" si="73"/>
        <v>130.14273947029619</v>
      </c>
      <c r="CK52" s="2082">
        <f t="shared" ca="1" si="73"/>
        <v>119.66342609347414</v>
      </c>
      <c r="CL52" s="2083">
        <f t="shared" ca="1" si="73"/>
        <v>113.86392878454463</v>
      </c>
      <c r="CM52" s="2081">
        <f t="shared" ca="1" si="73"/>
        <v>125.78897643210017</v>
      </c>
      <c r="CN52" s="2082">
        <f t="shared" ca="1" si="73"/>
        <v>69.183316324185839</v>
      </c>
      <c r="CO52" s="2082">
        <f t="shared" ca="1" si="73"/>
        <v>81.195755885627491</v>
      </c>
      <c r="CP52" s="2083">
        <f t="shared" ca="1" si="73"/>
        <v>97.975403428847684</v>
      </c>
      <c r="CQ52" s="2081">
        <f t="shared" ca="1" si="73"/>
        <v>112.12914045040466</v>
      </c>
      <c r="CR52" s="2082">
        <f t="shared" ca="1" si="73"/>
        <v>49.512144184029509</v>
      </c>
      <c r="CS52" s="2082">
        <f t="shared" ca="1" si="73"/>
        <v>65.499466090061816</v>
      </c>
      <c r="CT52" s="2083">
        <f t="shared" ca="1" si="73"/>
        <v>89.787580862347966</v>
      </c>
      <c r="CU52" s="2081">
        <f t="shared" ca="1" si="73"/>
        <v>106.73302458410302</v>
      </c>
      <c r="CV52" s="2082">
        <f t="shared" ca="1" si="73"/>
        <v>43.096257958381145</v>
      </c>
      <c r="CW52" s="2082">
        <f t="shared" ca="1" si="73"/>
        <v>60.486543600551443</v>
      </c>
      <c r="CX52" s="2083">
        <f t="shared" ca="1" si="73"/>
        <v>84.922464029390852</v>
      </c>
      <c r="CY52" s="2081">
        <f t="shared" ca="1" si="73"/>
        <v>104.59861656273756</v>
      </c>
      <c r="CZ52" s="2082">
        <f t="shared" ca="1" si="73"/>
        <v>50.141620073733918</v>
      </c>
      <c r="DA52" s="2082">
        <f t="shared" ca="1" si="73"/>
        <v>71.6896127172663</v>
      </c>
      <c r="DB52" s="2083">
        <f t="shared" ca="1" si="73"/>
        <v>102.15508025765351</v>
      </c>
      <c r="DC52" s="2081">
        <f t="shared" ca="1" si="73"/>
        <v>128.65257679173342</v>
      </c>
      <c r="DD52" s="2082">
        <f t="shared" ca="1" si="73"/>
        <v>61.427511455945478</v>
      </c>
      <c r="DE52" s="2082">
        <f t="shared" ca="1" si="73"/>
        <v>87.682529735490789</v>
      </c>
      <c r="DF52" s="2083">
        <f t="shared" ca="1" si="73"/>
        <v>122.61254465735641</v>
      </c>
      <c r="DG52" s="2081">
        <f t="shared" ca="1" si="73"/>
        <v>150.51464388816601</v>
      </c>
      <c r="DH52" s="2082">
        <f t="shared" ca="1" si="73"/>
        <v>78.860574705321142</v>
      </c>
      <c r="DI52" s="2082">
        <f t="shared" ca="1" si="73"/>
        <v>106.8375961088793</v>
      </c>
      <c r="DJ52" s="2083">
        <f t="shared" ca="1" si="73"/>
        <v>143.56453632750632</v>
      </c>
      <c r="DK52" s="2081">
        <f t="shared" ca="1" si="73"/>
        <v>166.86369078173891</v>
      </c>
      <c r="DL52" s="2082">
        <f t="shared" ca="1" si="73"/>
        <v>95.790029545751921</v>
      </c>
      <c r="DM52" s="2082">
        <f t="shared" ca="1" si="73"/>
        <v>120.00315091334177</v>
      </c>
      <c r="DN52" s="2083">
        <f t="shared" ca="1" si="73"/>
        <v>153.88015800935779</v>
      </c>
      <c r="DO52" s="2081">
        <f t="shared" ca="1" si="73"/>
        <v>177.20828468590821</v>
      </c>
      <c r="DP52" s="2082">
        <f t="shared" ca="1" si="73"/>
        <v>116.99379651688093</v>
      </c>
      <c r="DQ52" s="2082">
        <f t="shared" ca="1" si="73"/>
        <v>140.71324334413302</v>
      </c>
      <c r="DR52" s="2083">
        <f t="shared" ca="1" si="73"/>
        <v>174.48789605051275</v>
      </c>
      <c r="DS52" s="2081">
        <f t="shared" ca="1" si="73"/>
        <v>201.43744653520446</v>
      </c>
      <c r="DT52" s="2082">
        <f t="shared" ca="1" si="73"/>
        <v>175.49136063779196</v>
      </c>
      <c r="DU52" s="2082">
        <f t="shared" ca="1" si="73"/>
        <v>201.81635968733389</v>
      </c>
      <c r="DV52" s="2083">
        <f t="shared" ca="1" si="73"/>
        <v>237.57201318085373</v>
      </c>
      <c r="DW52" s="2081">
        <f t="shared" ca="1" si="73"/>
        <v>255.86125447361357</v>
      </c>
      <c r="DX52" s="2082">
        <f t="shared" ca="1" si="73"/>
        <v>216.20111070040733</v>
      </c>
      <c r="DY52" s="2082">
        <f t="shared" ca="1" si="73"/>
        <v>235.76744179688532</v>
      </c>
      <c r="DZ52" s="2083">
        <f t="shared" ca="1" si="73"/>
        <v>266.04151714105956</v>
      </c>
      <c r="EA52" s="2081">
        <f t="shared" ca="1" si="73"/>
        <v>296.34301503354459</v>
      </c>
      <c r="EB52" s="2082">
        <f t="shared" ca="1" si="73"/>
        <v>272.26056599042494</v>
      </c>
      <c r="EC52" s="2082">
        <f t="shared" ca="1" si="73"/>
        <v>301.47294514680652</v>
      </c>
      <c r="ED52" s="2083">
        <f t="shared" ca="1" si="73"/>
        <v>340.30394981478099</v>
      </c>
      <c r="EE52" s="2081">
        <f t="shared" ca="1" si="73"/>
        <v>359.20197272138859</v>
      </c>
      <c r="EF52" s="2082">
        <f t="shared" ref="EF52:GD52" ca="1" si="74">EF43-EF50-EF51</f>
        <v>321.31678333508484</v>
      </c>
      <c r="EG52" s="2082">
        <f t="shared" ca="1" si="74"/>
        <v>340.99936846344451</v>
      </c>
      <c r="EH52" s="2083">
        <f t="shared" ca="1" si="74"/>
        <v>371.0851413251491</v>
      </c>
      <c r="EI52" s="2081">
        <f t="shared" ca="1" si="74"/>
        <v>396.56197027400481</v>
      </c>
      <c r="EJ52" s="2082">
        <f t="shared" ca="1" si="74"/>
        <v>358.55860159055152</v>
      </c>
      <c r="EK52" s="2082">
        <f t="shared" ca="1" si="74"/>
        <v>385.36517625917509</v>
      </c>
      <c r="EL52" s="2083">
        <f t="shared" ca="1" si="74"/>
        <v>423.90468438091142</v>
      </c>
      <c r="EM52" s="2081">
        <f t="shared" ca="1" si="74"/>
        <v>453.90171740784365</v>
      </c>
      <c r="EN52" s="2082">
        <f t="shared" ca="1" si="74"/>
        <v>420.75694359357738</v>
      </c>
      <c r="EO52" s="2082">
        <f t="shared" ca="1" si="74"/>
        <v>450.37880093683623</v>
      </c>
      <c r="EP52" s="2083">
        <f t="shared" ca="1" si="74"/>
        <v>491.35841604953441</v>
      </c>
      <c r="EQ52" s="2081">
        <f t="shared" ca="1" si="74"/>
        <v>519.44676676334336</v>
      </c>
      <c r="ER52" s="2082">
        <f t="shared" ca="1" si="74"/>
        <v>484.36706980021887</v>
      </c>
      <c r="ES52" s="2082">
        <f t="shared" ca="1" si="74"/>
        <v>512.54570192452638</v>
      </c>
      <c r="ET52" s="2083">
        <f t="shared" ca="1" si="74"/>
        <v>552.17237322877213</v>
      </c>
      <c r="EU52" s="2081">
        <f t="shared" ca="1" si="74"/>
        <v>581.60735030090586</v>
      </c>
      <c r="EV52" s="2082">
        <f t="shared" ca="1" si="74"/>
        <v>539.53022152000688</v>
      </c>
      <c r="EW52" s="2082">
        <f t="shared" ca="1" si="74"/>
        <v>570.82153128477603</v>
      </c>
      <c r="EX52" s="2083">
        <f t="shared" ca="1" si="74"/>
        <v>615.41721292211844</v>
      </c>
      <c r="EY52" s="2081">
        <f t="shared" ca="1" si="74"/>
        <v>644.68758398326815</v>
      </c>
      <c r="EZ52" s="2082">
        <f t="shared" ca="1" si="74"/>
        <v>600.39560319915688</v>
      </c>
      <c r="FA52" s="2082">
        <f t="shared" ca="1" si="74"/>
        <v>629.70958673103291</v>
      </c>
      <c r="FB52" s="2083">
        <f t="shared" ca="1" si="74"/>
        <v>672.37155460620841</v>
      </c>
      <c r="FC52" s="2081">
        <f t="shared" ca="1" si="74"/>
        <v>704.88431454036277</v>
      </c>
      <c r="FD52" s="2082">
        <f t="shared" ca="1" si="74"/>
        <v>662.47430785551023</v>
      </c>
      <c r="FE52" s="2082">
        <f t="shared" ca="1" si="74"/>
        <v>695.28322592844779</v>
      </c>
      <c r="FF52" s="2083">
        <f t="shared" ca="1" si="74"/>
        <v>741.73628648346823</v>
      </c>
      <c r="FG52" s="2081">
        <f t="shared" ca="1" si="74"/>
        <v>769.1687365523585</v>
      </c>
      <c r="FH52" s="2082">
        <f t="shared" ca="1" si="74"/>
        <v>716.20152107534977</v>
      </c>
      <c r="FI52" s="2082">
        <f t="shared" ca="1" si="74"/>
        <v>744.79915634007875</v>
      </c>
      <c r="FJ52" s="2083">
        <f t="shared" ca="1" si="74"/>
        <v>788.20611928272911</v>
      </c>
      <c r="FK52" s="2081">
        <f t="shared" ca="1" si="74"/>
        <v>784.36420038822143</v>
      </c>
      <c r="FL52" s="2082">
        <f t="shared" ca="1" si="74"/>
        <v>697.58643016835492</v>
      </c>
      <c r="FM52" s="2082">
        <f t="shared" ca="1" si="74"/>
        <v>0</v>
      </c>
      <c r="FN52" s="2083">
        <f t="shared" ca="1" si="74"/>
        <v>0</v>
      </c>
      <c r="FO52" s="2081">
        <f t="shared" ca="1" si="74"/>
        <v>0</v>
      </c>
      <c r="FP52" s="2082">
        <f t="shared" ca="1" si="74"/>
        <v>0</v>
      </c>
      <c r="FQ52" s="2082">
        <f t="shared" ca="1" si="74"/>
        <v>0</v>
      </c>
      <c r="FR52" s="2083">
        <f t="shared" ca="1" si="74"/>
        <v>0</v>
      </c>
      <c r="FS52" s="2081">
        <f t="shared" ca="1" si="74"/>
        <v>0</v>
      </c>
      <c r="FT52" s="2082">
        <f t="shared" ca="1" si="74"/>
        <v>0</v>
      </c>
      <c r="FU52" s="2082">
        <f t="shared" ca="1" si="74"/>
        <v>0</v>
      </c>
      <c r="FV52" s="2083">
        <f t="shared" ca="1" si="74"/>
        <v>0</v>
      </c>
      <c r="FW52" s="2081">
        <f t="shared" ca="1" si="74"/>
        <v>0</v>
      </c>
      <c r="FX52" s="2082">
        <f t="shared" ca="1" si="74"/>
        <v>0</v>
      </c>
      <c r="FY52" s="2082">
        <f t="shared" ca="1" si="74"/>
        <v>0</v>
      </c>
      <c r="FZ52" s="2083">
        <f t="shared" ca="1" si="74"/>
        <v>0</v>
      </c>
      <c r="GA52" s="2081">
        <f t="shared" ca="1" si="74"/>
        <v>0</v>
      </c>
      <c r="GB52" s="2082">
        <f t="shared" ca="1" si="74"/>
        <v>0</v>
      </c>
      <c r="GC52" s="2082">
        <f t="shared" ca="1" si="74"/>
        <v>0</v>
      </c>
      <c r="GD52" s="2083">
        <f t="shared" ca="1" si="74"/>
        <v>0</v>
      </c>
    </row>
    <row r="53" spans="1:186" s="414" customFormat="1" ht="15" customHeight="1">
      <c r="B53" s="2065"/>
      <c r="C53" s="2078" t="s">
        <v>3764</v>
      </c>
      <c r="D53" s="2079"/>
      <c r="E53" s="2079"/>
      <c r="F53" s="2080">
        <f t="shared" ca="1" si="62"/>
        <v>32970.038530051803</v>
      </c>
      <c r="G53" s="2081">
        <f t="shared" ref="G53:AL53" ca="1" si="75">G52-G60</f>
        <v>136.8718962685542</v>
      </c>
      <c r="H53" s="2082">
        <f t="shared" ca="1" si="75"/>
        <v>108.07529580855416</v>
      </c>
      <c r="I53" s="2082">
        <f t="shared" ca="1" si="75"/>
        <v>58.372855218554164</v>
      </c>
      <c r="J53" s="2083">
        <f t="shared" ca="1" si="75"/>
        <v>16.724687388554173</v>
      </c>
      <c r="K53" s="2081">
        <f t="shared" ca="1" si="75"/>
        <v>101.61547263933335</v>
      </c>
      <c r="L53" s="2082">
        <f t="shared" ca="1" si="75"/>
        <v>170.70014937571219</v>
      </c>
      <c r="M53" s="2082">
        <f t="shared" ca="1" si="75"/>
        <v>136.8702541657122</v>
      </c>
      <c r="N53" s="2083">
        <f t="shared" ca="1" si="75"/>
        <v>89.895936305712198</v>
      </c>
      <c r="O53" s="2081">
        <f t="shared" ca="1" si="75"/>
        <v>4.5257455899999997</v>
      </c>
      <c r="P53" s="2082">
        <f t="shared" ca="1" si="75"/>
        <v>23.430418859999975</v>
      </c>
      <c r="Q53" s="2082">
        <f t="shared" ca="1" si="75"/>
        <v>1.2139970800000022</v>
      </c>
      <c r="R53" s="2083">
        <f t="shared" ca="1" si="75"/>
        <v>7.5680049400000051</v>
      </c>
      <c r="S53" s="2081">
        <f t="shared" ca="1" si="75"/>
        <v>0</v>
      </c>
      <c r="T53" s="2082">
        <f t="shared" ca="1" si="75"/>
        <v>7.703740082373173</v>
      </c>
      <c r="U53" s="2082">
        <f t="shared" ca="1" si="75"/>
        <v>0</v>
      </c>
      <c r="V53" s="2083">
        <f t="shared" ca="1" si="75"/>
        <v>0</v>
      </c>
      <c r="W53" s="2081">
        <f t="shared" ca="1" si="75"/>
        <v>11.006923925605868</v>
      </c>
      <c r="X53" s="2082">
        <f t="shared" ca="1" si="75"/>
        <v>93.321218000074055</v>
      </c>
      <c r="Y53" s="2082">
        <f t="shared" ca="1" si="75"/>
        <v>52.631153866597124</v>
      </c>
      <c r="Z53" s="2083">
        <f t="shared" ca="1" si="75"/>
        <v>14.926766905465378</v>
      </c>
      <c r="AA53" s="2081">
        <f t="shared" ca="1" si="75"/>
        <v>0</v>
      </c>
      <c r="AB53" s="2082">
        <f t="shared" ca="1" si="75"/>
        <v>83.303797979740182</v>
      </c>
      <c r="AC53" s="2082">
        <f t="shared" ca="1" si="75"/>
        <v>43.333557095175998</v>
      </c>
      <c r="AD53" s="2083">
        <f t="shared" ca="1" si="75"/>
        <v>7.3600855626918715</v>
      </c>
      <c r="AE53" s="2081">
        <f t="shared" ca="1" si="75"/>
        <v>0</v>
      </c>
      <c r="AF53" s="2082">
        <f t="shared" ca="1" si="75"/>
        <v>0.19079295939331331</v>
      </c>
      <c r="AG53" s="2082">
        <f t="shared" ca="1" si="75"/>
        <v>0</v>
      </c>
      <c r="AH53" s="2083">
        <f t="shared" ca="1" si="75"/>
        <v>0</v>
      </c>
      <c r="AI53" s="2081">
        <f t="shared" ca="1" si="75"/>
        <v>0</v>
      </c>
      <c r="AJ53" s="2082">
        <f t="shared" ca="1" si="75"/>
        <v>0</v>
      </c>
      <c r="AK53" s="2082">
        <f t="shared" ca="1" si="75"/>
        <v>0</v>
      </c>
      <c r="AL53" s="2083">
        <f t="shared" ca="1" si="75"/>
        <v>0</v>
      </c>
      <c r="AM53" s="2081">
        <f t="shared" ref="AM53:BR53" ca="1" si="76">AM52-AM60</f>
        <v>8.67856165501032</v>
      </c>
      <c r="AN53" s="2082">
        <f t="shared" ca="1" si="76"/>
        <v>12.918193493137032</v>
      </c>
      <c r="AO53" s="2082">
        <f t="shared" ca="1" si="76"/>
        <v>17.055884568440781</v>
      </c>
      <c r="AP53" s="2083">
        <f t="shared" ca="1" si="76"/>
        <v>21.517238126567499</v>
      </c>
      <c r="AQ53" s="2081">
        <f t="shared" ca="1" si="76"/>
        <v>25.330606475395982</v>
      </c>
      <c r="AR53" s="2082">
        <f t="shared" ca="1" si="76"/>
        <v>31.430805957389467</v>
      </c>
      <c r="AS53" s="2082">
        <f t="shared" ca="1" si="76"/>
        <v>37.390219414672714</v>
      </c>
      <c r="AT53" s="2083">
        <f t="shared" ca="1" si="76"/>
        <v>45.297618743233684</v>
      </c>
      <c r="AU53" s="2081">
        <f t="shared" ca="1" si="76"/>
        <v>44.970330946769515</v>
      </c>
      <c r="AV53" s="2082">
        <f t="shared" ca="1" si="76"/>
        <v>17.680676233040678</v>
      </c>
      <c r="AW53" s="2082">
        <f t="shared" ca="1" si="76"/>
        <v>18.444333133922306</v>
      </c>
      <c r="AX53" s="2083">
        <f t="shared" ca="1" si="76"/>
        <v>31.691078883427188</v>
      </c>
      <c r="AY53" s="2081">
        <f t="shared" ca="1" si="76"/>
        <v>45.683881707164836</v>
      </c>
      <c r="AZ53" s="2082">
        <f t="shared" ca="1" si="76"/>
        <v>45.919422720671186</v>
      </c>
      <c r="BA53" s="2082">
        <f t="shared" ca="1" si="76"/>
        <v>59.708989072342298</v>
      </c>
      <c r="BB53" s="2083">
        <f t="shared" ca="1" si="76"/>
        <v>75.701666940570306</v>
      </c>
      <c r="BC53" s="2081">
        <f t="shared" ca="1" si="76"/>
        <v>80.360381654241138</v>
      </c>
      <c r="BD53" s="2082">
        <f t="shared" ca="1" si="76"/>
        <v>62.777983962278377</v>
      </c>
      <c r="BE53" s="2082">
        <f t="shared" ca="1" si="76"/>
        <v>69.535814125151262</v>
      </c>
      <c r="BF53" s="2083">
        <f t="shared" ca="1" si="76"/>
        <v>81.295871253783048</v>
      </c>
      <c r="BG53" s="2081">
        <f t="shared" ca="1" si="76"/>
        <v>93.074365890979522</v>
      </c>
      <c r="BH53" s="2082">
        <f t="shared" ca="1" si="76"/>
        <v>82.996861415805597</v>
      </c>
      <c r="BI53" s="2082">
        <f t="shared" ca="1" si="76"/>
        <v>94.216635462224559</v>
      </c>
      <c r="BJ53" s="2083">
        <f t="shared" ca="1" si="76"/>
        <v>109.17991588362491</v>
      </c>
      <c r="BK53" s="2081">
        <f t="shared" ca="1" si="76"/>
        <v>129.71135565651429</v>
      </c>
      <c r="BL53" s="2082">
        <f t="shared" ca="1" si="76"/>
        <v>127.8643053677356</v>
      </c>
      <c r="BM53" s="2082">
        <f t="shared" ca="1" si="76"/>
        <v>148.638917252798</v>
      </c>
      <c r="BN53" s="2083">
        <f t="shared" ca="1" si="76"/>
        <v>173.4002076250149</v>
      </c>
      <c r="BO53" s="2081">
        <f t="shared" ca="1" si="76"/>
        <v>184.18906155423852</v>
      </c>
      <c r="BP53" s="2082">
        <f t="shared" ca="1" si="76"/>
        <v>168.01476291640151</v>
      </c>
      <c r="BQ53" s="2082">
        <f t="shared" ca="1" si="76"/>
        <v>179.78004869986225</v>
      </c>
      <c r="BR53" s="2083">
        <f t="shared" ca="1" si="76"/>
        <v>196.50844482471453</v>
      </c>
      <c r="BS53" s="2081">
        <f t="shared" ref="BS53:CX53" ca="1" si="77">BS52-BS60</f>
        <v>204.88990339444109</v>
      </c>
      <c r="BT53" s="2082">
        <f t="shared" ca="1" si="77"/>
        <v>185.62394994688236</v>
      </c>
      <c r="BU53" s="2082">
        <f t="shared" ca="1" si="77"/>
        <v>193.93969687927529</v>
      </c>
      <c r="BV53" s="2083">
        <f t="shared" ca="1" si="77"/>
        <v>207.15284251572609</v>
      </c>
      <c r="BW53" s="2081">
        <f t="shared" ca="1" si="77"/>
        <v>216.62129440620402</v>
      </c>
      <c r="BX53" s="2082">
        <f t="shared" ca="1" si="77"/>
        <v>195.46131896337619</v>
      </c>
      <c r="BY53" s="2082">
        <f t="shared" ca="1" si="77"/>
        <v>204.19191491429422</v>
      </c>
      <c r="BZ53" s="2083">
        <f t="shared" ca="1" si="77"/>
        <v>217.08205362971017</v>
      </c>
      <c r="CA53" s="2081">
        <f t="shared" ca="1" si="77"/>
        <v>231.91434520697015</v>
      </c>
      <c r="CB53" s="2082">
        <f t="shared" ca="1" si="77"/>
        <v>197.78679807863739</v>
      </c>
      <c r="CC53" s="2082">
        <f t="shared" ca="1" si="77"/>
        <v>213.96723319363338</v>
      </c>
      <c r="CD53" s="2083">
        <f t="shared" ca="1" si="77"/>
        <v>235.65535461086336</v>
      </c>
      <c r="CE53" s="2081">
        <f t="shared" ca="1" si="77"/>
        <v>242.85489402234981</v>
      </c>
      <c r="CF53" s="2082">
        <f t="shared" ca="1" si="77"/>
        <v>197.6497565677231</v>
      </c>
      <c r="CG53" s="2082">
        <f t="shared" ca="1" si="77"/>
        <v>204.59127262933595</v>
      </c>
      <c r="CH53" s="2083">
        <f t="shared" ca="1" si="77"/>
        <v>216.78245164330912</v>
      </c>
      <c r="CI53" s="2081">
        <f t="shared" ca="1" si="77"/>
        <v>206.87298515095512</v>
      </c>
      <c r="CJ53" s="2082">
        <f t="shared" ca="1" si="77"/>
        <v>130.14273947029619</v>
      </c>
      <c r="CK53" s="2082">
        <f t="shared" ca="1" si="77"/>
        <v>119.66342609347414</v>
      </c>
      <c r="CL53" s="2083">
        <f t="shared" ca="1" si="77"/>
        <v>113.86392878454463</v>
      </c>
      <c r="CM53" s="2081">
        <f t="shared" ca="1" si="77"/>
        <v>125.78897643210017</v>
      </c>
      <c r="CN53" s="2082">
        <f t="shared" ca="1" si="77"/>
        <v>69.183316324185839</v>
      </c>
      <c r="CO53" s="2082">
        <f t="shared" ca="1" si="77"/>
        <v>81.195755885627491</v>
      </c>
      <c r="CP53" s="2083">
        <f t="shared" ca="1" si="77"/>
        <v>97.975403428847684</v>
      </c>
      <c r="CQ53" s="2081">
        <f t="shared" ca="1" si="77"/>
        <v>112.12914045040466</v>
      </c>
      <c r="CR53" s="2082">
        <f t="shared" ca="1" si="77"/>
        <v>49.512144184029509</v>
      </c>
      <c r="CS53" s="2082">
        <f t="shared" ca="1" si="77"/>
        <v>65.499466090061816</v>
      </c>
      <c r="CT53" s="2083">
        <f t="shared" ca="1" si="77"/>
        <v>89.787580862347966</v>
      </c>
      <c r="CU53" s="2081">
        <f t="shared" ca="1" si="77"/>
        <v>106.73302458410302</v>
      </c>
      <c r="CV53" s="2082">
        <f t="shared" ca="1" si="77"/>
        <v>43.096257958381145</v>
      </c>
      <c r="CW53" s="2082">
        <f t="shared" ca="1" si="77"/>
        <v>60.486543600551443</v>
      </c>
      <c r="CX53" s="2083">
        <f t="shared" ca="1" si="77"/>
        <v>84.922464029390852</v>
      </c>
      <c r="CY53" s="2081">
        <f t="shared" ref="CY53:ED53" ca="1" si="78">CY52-CY60</f>
        <v>104.59861656273756</v>
      </c>
      <c r="CZ53" s="2082">
        <f t="shared" ca="1" si="78"/>
        <v>50.141620073733918</v>
      </c>
      <c r="DA53" s="2082">
        <f t="shared" ca="1" si="78"/>
        <v>71.6896127172663</v>
      </c>
      <c r="DB53" s="2083">
        <f t="shared" ca="1" si="78"/>
        <v>102.15508025765351</v>
      </c>
      <c r="DC53" s="2081">
        <f t="shared" ca="1" si="78"/>
        <v>128.65257679173342</v>
      </c>
      <c r="DD53" s="2082">
        <f t="shared" ca="1" si="78"/>
        <v>61.427511455945478</v>
      </c>
      <c r="DE53" s="2082">
        <f t="shared" ca="1" si="78"/>
        <v>87.682529735490789</v>
      </c>
      <c r="DF53" s="2083">
        <f t="shared" ca="1" si="78"/>
        <v>122.61254465735641</v>
      </c>
      <c r="DG53" s="2081">
        <f t="shared" ca="1" si="78"/>
        <v>150.51464388816601</v>
      </c>
      <c r="DH53" s="2082">
        <f t="shared" ca="1" si="78"/>
        <v>78.860574705321142</v>
      </c>
      <c r="DI53" s="2082">
        <f t="shared" ca="1" si="78"/>
        <v>106.8375961088793</v>
      </c>
      <c r="DJ53" s="2083">
        <f t="shared" ca="1" si="78"/>
        <v>143.56453632750632</v>
      </c>
      <c r="DK53" s="2081">
        <f t="shared" ca="1" si="78"/>
        <v>166.86369078173891</v>
      </c>
      <c r="DL53" s="2082">
        <f t="shared" ca="1" si="78"/>
        <v>95.790029545751921</v>
      </c>
      <c r="DM53" s="2082">
        <f t="shared" ca="1" si="78"/>
        <v>120.00315091334177</v>
      </c>
      <c r="DN53" s="2083">
        <f t="shared" ca="1" si="78"/>
        <v>153.88015800935779</v>
      </c>
      <c r="DO53" s="2081">
        <f t="shared" ca="1" si="78"/>
        <v>177.20828468590821</v>
      </c>
      <c r="DP53" s="2082">
        <f t="shared" ca="1" si="78"/>
        <v>116.99379651688093</v>
      </c>
      <c r="DQ53" s="2082">
        <f t="shared" ca="1" si="78"/>
        <v>140.71324334413302</v>
      </c>
      <c r="DR53" s="2083">
        <f t="shared" ca="1" si="78"/>
        <v>174.48789605051275</v>
      </c>
      <c r="DS53" s="2081">
        <f t="shared" ca="1" si="78"/>
        <v>201.43744653520446</v>
      </c>
      <c r="DT53" s="2082">
        <f t="shared" ca="1" si="78"/>
        <v>175.49136063779196</v>
      </c>
      <c r="DU53" s="2082">
        <f t="shared" ca="1" si="78"/>
        <v>201.81635968733389</v>
      </c>
      <c r="DV53" s="2083">
        <f t="shared" ca="1" si="78"/>
        <v>237.57201318085373</v>
      </c>
      <c r="DW53" s="2081">
        <f t="shared" ca="1" si="78"/>
        <v>255.86125447361357</v>
      </c>
      <c r="DX53" s="2082">
        <f t="shared" ca="1" si="78"/>
        <v>216.20111070040733</v>
      </c>
      <c r="DY53" s="2082">
        <f t="shared" ca="1" si="78"/>
        <v>235.76744179688532</v>
      </c>
      <c r="DZ53" s="2083">
        <f t="shared" ca="1" si="78"/>
        <v>266.04151714105956</v>
      </c>
      <c r="EA53" s="2081">
        <f t="shared" ca="1" si="78"/>
        <v>296.34301503354459</v>
      </c>
      <c r="EB53" s="2082">
        <f t="shared" ca="1" si="78"/>
        <v>272.26056599042494</v>
      </c>
      <c r="EC53" s="2082">
        <f t="shared" ca="1" si="78"/>
        <v>301.47294514680652</v>
      </c>
      <c r="ED53" s="2083">
        <f t="shared" ca="1" si="78"/>
        <v>340.30394981478099</v>
      </c>
      <c r="EE53" s="2081">
        <f t="shared" ref="EE53:FJ53" ca="1" si="79">EE52-EE60</f>
        <v>359.20197272138859</v>
      </c>
      <c r="EF53" s="2082">
        <f t="shared" ca="1" si="79"/>
        <v>321.31678333508484</v>
      </c>
      <c r="EG53" s="2082">
        <f t="shared" ca="1" si="79"/>
        <v>340.99936846344451</v>
      </c>
      <c r="EH53" s="2083">
        <f t="shared" ca="1" si="79"/>
        <v>371.0851413251491</v>
      </c>
      <c r="EI53" s="2081">
        <f t="shared" ca="1" si="79"/>
        <v>396.56197027400481</v>
      </c>
      <c r="EJ53" s="2082">
        <f t="shared" ca="1" si="79"/>
        <v>358.55860159055152</v>
      </c>
      <c r="EK53" s="2082">
        <f t="shared" ca="1" si="79"/>
        <v>385.36517625917509</v>
      </c>
      <c r="EL53" s="2083">
        <f t="shared" ca="1" si="79"/>
        <v>423.90468438091142</v>
      </c>
      <c r="EM53" s="2081">
        <f t="shared" ca="1" si="79"/>
        <v>453.90171740784365</v>
      </c>
      <c r="EN53" s="2082">
        <f t="shared" ca="1" si="79"/>
        <v>420.75694359357738</v>
      </c>
      <c r="EO53" s="2082">
        <f t="shared" ca="1" si="79"/>
        <v>450.37880093683623</v>
      </c>
      <c r="EP53" s="2083">
        <f t="shared" ca="1" si="79"/>
        <v>491.35841604953441</v>
      </c>
      <c r="EQ53" s="2081">
        <f t="shared" ca="1" si="79"/>
        <v>519.44676676334336</v>
      </c>
      <c r="ER53" s="2082">
        <f t="shared" ca="1" si="79"/>
        <v>484.36706980021887</v>
      </c>
      <c r="ES53" s="2082">
        <f t="shared" ca="1" si="79"/>
        <v>512.54570192452638</v>
      </c>
      <c r="ET53" s="2083">
        <f t="shared" ca="1" si="79"/>
        <v>552.17237322877213</v>
      </c>
      <c r="EU53" s="2081">
        <f t="shared" ca="1" si="79"/>
        <v>581.60735030090586</v>
      </c>
      <c r="EV53" s="2082">
        <f t="shared" ca="1" si="79"/>
        <v>539.53022152000688</v>
      </c>
      <c r="EW53" s="2082">
        <f t="shared" ca="1" si="79"/>
        <v>570.82153128477603</v>
      </c>
      <c r="EX53" s="2083">
        <f t="shared" ca="1" si="79"/>
        <v>615.41721292211844</v>
      </c>
      <c r="EY53" s="2081">
        <f t="shared" ca="1" si="79"/>
        <v>644.68758398326815</v>
      </c>
      <c r="EZ53" s="2082">
        <f t="shared" ca="1" si="79"/>
        <v>600.39560319915688</v>
      </c>
      <c r="FA53" s="2082">
        <f t="shared" ca="1" si="79"/>
        <v>629.70958673103291</v>
      </c>
      <c r="FB53" s="2083">
        <f t="shared" ca="1" si="79"/>
        <v>672.37155460620841</v>
      </c>
      <c r="FC53" s="2081">
        <f t="shared" ca="1" si="79"/>
        <v>704.88431454036277</v>
      </c>
      <c r="FD53" s="2082">
        <f t="shared" ca="1" si="79"/>
        <v>662.47430785551023</v>
      </c>
      <c r="FE53" s="2082">
        <f t="shared" ca="1" si="79"/>
        <v>695.28322592844779</v>
      </c>
      <c r="FF53" s="2083">
        <f t="shared" ca="1" si="79"/>
        <v>741.73628648346823</v>
      </c>
      <c r="FG53" s="2081">
        <f t="shared" ca="1" si="79"/>
        <v>769.1687365523585</v>
      </c>
      <c r="FH53" s="2082">
        <f t="shared" ca="1" si="79"/>
        <v>716.20152107534977</v>
      </c>
      <c r="FI53" s="2082">
        <f t="shared" ca="1" si="79"/>
        <v>744.79915634007875</v>
      </c>
      <c r="FJ53" s="2083">
        <f t="shared" ca="1" si="79"/>
        <v>788.20611928272911</v>
      </c>
      <c r="FK53" s="2081">
        <f t="shared" ref="FK53:GD53" ca="1" si="80">FK52-FK60</f>
        <v>784.36420038822143</v>
      </c>
      <c r="FL53" s="2082">
        <f t="shared" ca="1" si="80"/>
        <v>697.58643016835492</v>
      </c>
      <c r="FM53" s="2082">
        <f t="shared" ca="1" si="80"/>
        <v>0</v>
      </c>
      <c r="FN53" s="2083">
        <f t="shared" ca="1" si="80"/>
        <v>0</v>
      </c>
      <c r="FO53" s="2081">
        <f t="shared" ca="1" si="80"/>
        <v>0</v>
      </c>
      <c r="FP53" s="2082">
        <f t="shared" ca="1" si="80"/>
        <v>0</v>
      </c>
      <c r="FQ53" s="2082">
        <f t="shared" ca="1" si="80"/>
        <v>0</v>
      </c>
      <c r="FR53" s="2083">
        <f t="shared" ca="1" si="80"/>
        <v>0</v>
      </c>
      <c r="FS53" s="2081">
        <f t="shared" ca="1" si="80"/>
        <v>0</v>
      </c>
      <c r="FT53" s="2082">
        <f t="shared" ca="1" si="80"/>
        <v>0</v>
      </c>
      <c r="FU53" s="2082">
        <f t="shared" ca="1" si="80"/>
        <v>0</v>
      </c>
      <c r="FV53" s="2083">
        <f t="shared" ca="1" si="80"/>
        <v>0</v>
      </c>
      <c r="FW53" s="2081">
        <f t="shared" ca="1" si="80"/>
        <v>0</v>
      </c>
      <c r="FX53" s="2082">
        <f t="shared" ca="1" si="80"/>
        <v>0</v>
      </c>
      <c r="FY53" s="2082">
        <f t="shared" ca="1" si="80"/>
        <v>0</v>
      </c>
      <c r="FZ53" s="2083">
        <f t="shared" ca="1" si="80"/>
        <v>0</v>
      </c>
      <c r="GA53" s="2081">
        <f t="shared" ca="1" si="80"/>
        <v>0</v>
      </c>
      <c r="GB53" s="2082">
        <f t="shared" ca="1" si="80"/>
        <v>0</v>
      </c>
      <c r="GC53" s="2082">
        <f t="shared" ca="1" si="80"/>
        <v>0</v>
      </c>
      <c r="GD53" s="2083">
        <f t="shared" ca="1" si="80"/>
        <v>0</v>
      </c>
    </row>
    <row r="54" spans="1:186" ht="15" customHeight="1">
      <c r="B54" s="2064"/>
      <c r="C54" s="2064"/>
      <c r="D54" s="2064"/>
      <c r="E54" s="2064"/>
      <c r="F54" s="2064">
        <f ca="1">F48+F49-F51</f>
        <v>449.58116095632977</v>
      </c>
      <c r="G54" s="2064"/>
      <c r="H54" s="2064"/>
      <c r="I54" s="2064"/>
      <c r="J54" s="2064">
        <f>SUM($G$48:J48)+SUM($G$49:J49)-SUM($G$51:J51)</f>
        <v>0</v>
      </c>
      <c r="K54" s="2064"/>
      <c r="L54" s="2064"/>
      <c r="M54" s="2064"/>
      <c r="N54" s="2064">
        <f ca="1">SUM($G$48:N48)+SUM($G$49:N49)-SUM($G$51:N51)</f>
        <v>0</v>
      </c>
      <c r="O54" s="2064"/>
      <c r="P54" s="2064"/>
      <c r="Q54" s="2064"/>
      <c r="R54" s="2064">
        <f ca="1">SUM($G$48:R48)+SUM($G$49:R49)-SUM($G$51:R51)</f>
        <v>70.043648119219597</v>
      </c>
      <c r="S54" s="2064"/>
      <c r="T54" s="2064"/>
      <c r="U54" s="2064"/>
      <c r="V54" s="2064">
        <f ca="1">SUM($G$48:V48)+SUM($G$49:V49)-SUM($G$51:V51)</f>
        <v>183.51135602148281</v>
      </c>
      <c r="W54" s="2064"/>
      <c r="X54" s="2064"/>
      <c r="Y54" s="2064"/>
      <c r="Z54" s="2064">
        <f ca="1">SUM($G$48:Z48)+SUM($G$49:Z49)-SUM($G$51:Z51)</f>
        <v>183.5113560214827</v>
      </c>
      <c r="AA54" s="2064"/>
      <c r="AB54" s="2064">
        <f ca="1">SUM($G$48:AB48)+SUM($G$49:AB49)-SUM($G$51:AB51)</f>
        <v>204.70727963031629</v>
      </c>
      <c r="AC54" s="2064"/>
      <c r="AD54" s="2064">
        <f ca="1">SUM($G$48:AD48)+SUM($G$49:AD49)-SUM($G$51:AD51)</f>
        <v>204.70727963031618</v>
      </c>
      <c r="AE54" s="2064"/>
      <c r="AF54" s="2064"/>
      <c r="AG54" s="2064"/>
      <c r="AH54" s="2064">
        <f ca="1">SUM($G$48:AH48)+SUM($G$49:AH49)-SUM($G$51:AH51)</f>
        <v>340.99862984167976</v>
      </c>
      <c r="AI54" s="2064"/>
      <c r="AJ54" s="2064"/>
      <c r="AK54" s="2064"/>
      <c r="AL54" s="2064">
        <f ca="1">SUM($G$48:AL48)+SUM($G$49:AL49)-SUM($G$51:AL51)</f>
        <v>449.58116095633568</v>
      </c>
      <c r="AM54" s="2064"/>
      <c r="AN54" s="2064"/>
      <c r="AO54" s="2064"/>
      <c r="AP54" s="2064">
        <f ca="1">SUM($G$48:AP48)+SUM($G$49:AP49)-SUM($G$51:AP51)</f>
        <v>449.58116095633613</v>
      </c>
      <c r="AQ54" s="2064"/>
      <c r="AR54" s="2064"/>
      <c r="AS54" s="2064"/>
      <c r="AT54" s="2064">
        <f ca="1">SUM($G$48:AT48)+SUM($G$49:AT49)-SUM($G$51:AT51)</f>
        <v>449.58116095633613</v>
      </c>
      <c r="AU54" s="2064"/>
      <c r="AV54" s="2064"/>
      <c r="AW54" s="2064"/>
      <c r="AX54" s="2064">
        <f ca="1">SUM($G$48:AX48)+SUM($G$49:AX49)-SUM($G$51:AX51)</f>
        <v>449.58116095633568</v>
      </c>
      <c r="AY54" s="2064"/>
      <c r="AZ54" s="2064"/>
      <c r="BA54" s="2064"/>
      <c r="BB54" s="2064">
        <f ca="1">SUM($G$48:BB48)+SUM($G$49:BB49)-SUM($G$51:BB51)</f>
        <v>449.58116095633522</v>
      </c>
      <c r="BC54" s="2064"/>
      <c r="BD54" s="2064"/>
      <c r="BE54" s="2064"/>
      <c r="BF54" s="2064">
        <f ca="1">SUM($G$48:BF48)+SUM($G$49:BF49)-SUM($G$51:BF51)</f>
        <v>449.58116095633522</v>
      </c>
      <c r="BG54" s="2064"/>
      <c r="BH54" s="2064"/>
      <c r="BI54" s="2064"/>
      <c r="BJ54" s="2064">
        <f ca="1">SUM($G$48:BJ48)+SUM($G$49:BJ49)-SUM($G$51:BJ51)</f>
        <v>449.58116095633477</v>
      </c>
      <c r="BK54" s="2064"/>
      <c r="BL54" s="2064"/>
      <c r="BM54" s="2064"/>
      <c r="BN54" s="2064">
        <f ca="1">SUM($G$48:BN48)+SUM($G$49:BN49)-SUM($G$51:BN51)</f>
        <v>449.58116095633432</v>
      </c>
      <c r="BO54" s="2064"/>
      <c r="BP54" s="2064"/>
      <c r="BQ54" s="2064"/>
      <c r="BR54" s="2064">
        <f ca="1">SUM($G$48:BR48)+SUM($G$49:BR49)-SUM($G$51:BR51)</f>
        <v>449.58116095633522</v>
      </c>
      <c r="BS54" s="2064"/>
      <c r="BT54" s="2064"/>
      <c r="BU54" s="2064"/>
      <c r="BV54" s="2064">
        <f ca="1">SUM($G$48:BV48)+SUM($G$49:BV49)-SUM($G$51:BV51)</f>
        <v>449.58116095633568</v>
      </c>
      <c r="BW54" s="2064"/>
      <c r="BX54" s="2064"/>
      <c r="BY54" s="2064"/>
      <c r="BZ54" s="2064">
        <f ca="1">SUM($G$48:BZ48)+SUM($G$49:BZ49)-SUM($G$51:BZ51)</f>
        <v>449.58116095633613</v>
      </c>
      <c r="CA54" s="2064"/>
      <c r="CB54" s="2064"/>
      <c r="CC54" s="2064"/>
      <c r="CD54" s="2064">
        <f ca="1">SUM($G$48:CD48)+SUM($G$49:CD49)-SUM($G$51:CD51)</f>
        <v>449.58116095633613</v>
      </c>
      <c r="CE54" s="2064"/>
      <c r="CF54" s="2064"/>
      <c r="CG54" s="2064"/>
      <c r="CH54" s="2064">
        <f ca="1">SUM($G$48:CH48)+SUM($G$49:CH49)-SUM($G$51:CH51)</f>
        <v>449.58116095633522</v>
      </c>
      <c r="CI54" s="2064"/>
      <c r="CJ54" s="2064"/>
      <c r="CK54" s="2064"/>
      <c r="CL54" s="2064">
        <f ca="1">SUM($G$48:CL48)+SUM($G$49:CL49)-SUM($G$51:CL51)</f>
        <v>449.58116095633432</v>
      </c>
      <c r="CM54" s="2064"/>
      <c r="CN54" s="2064"/>
      <c r="CO54" s="2064"/>
      <c r="CP54" s="2064">
        <f ca="1">SUM($G$48:CP48)+SUM($G$49:CP49)-SUM($G$51:CP51)</f>
        <v>449.58116095633432</v>
      </c>
      <c r="CQ54" s="2064"/>
      <c r="CR54" s="2064"/>
      <c r="CS54" s="2064"/>
      <c r="CT54" s="2064">
        <f ca="1">SUM($G$48:CT48)+SUM($G$49:CT49)-SUM($G$51:CT51)</f>
        <v>449.58116095633432</v>
      </c>
      <c r="CU54" s="2064"/>
      <c r="CV54" s="2064"/>
      <c r="CW54" s="2064"/>
      <c r="CX54" s="2064">
        <f ca="1">SUM($G$48:CX48)+SUM($G$49:CX49)-SUM($G$51:CX51)</f>
        <v>449.58116095633522</v>
      </c>
      <c r="CY54" s="2064"/>
      <c r="CZ54" s="2064"/>
      <c r="DA54" s="2064"/>
      <c r="DB54" s="2064">
        <f ca="1">SUM($G$48:DB48)+SUM($G$49:DB49)-SUM($G$51:DB51)</f>
        <v>449.58116095633704</v>
      </c>
      <c r="DC54" s="2064"/>
      <c r="DD54" s="2064"/>
      <c r="DE54" s="2064"/>
      <c r="DF54" s="2064">
        <f ca="1">SUM($G$48:DF48)+SUM($G$49:DF49)-SUM($G$51:DF51)</f>
        <v>449.58116095633522</v>
      </c>
      <c r="DG54" s="2064"/>
      <c r="DH54" s="2064"/>
      <c r="DI54" s="2064"/>
      <c r="DJ54" s="2064">
        <f ca="1">SUM($G$48:DJ48)+SUM($G$49:DJ49)-SUM($G$51:DJ51)</f>
        <v>449.58116095633704</v>
      </c>
      <c r="DK54" s="2064"/>
      <c r="DL54" s="2064"/>
      <c r="DM54" s="2064"/>
      <c r="DN54" s="2064">
        <f ca="1">SUM($G$48:DN48)+SUM($G$49:DN49)-SUM($G$51:DN51)</f>
        <v>449.58116095633522</v>
      </c>
      <c r="DO54" s="2064"/>
      <c r="DP54" s="2064"/>
      <c r="DQ54" s="2064"/>
      <c r="DR54" s="2064">
        <f ca="1">SUM($G$48:DR48)+SUM($G$49:DR49)-SUM($G$51:DR51)</f>
        <v>449.58116095633341</v>
      </c>
      <c r="DS54" s="2064"/>
      <c r="DT54" s="2064"/>
      <c r="DU54" s="2064"/>
      <c r="DV54" s="2064">
        <f ca="1">SUM($G$48:DV48)+SUM($G$49:DV49)-SUM($G$51:DV51)</f>
        <v>449.58116095633341</v>
      </c>
      <c r="DW54" s="2064"/>
      <c r="DX54" s="2064"/>
      <c r="DY54" s="2064"/>
      <c r="DZ54" s="2064">
        <f ca="1">SUM($G$48:DZ48)+SUM($G$49:DZ49)-SUM($G$51:DZ51)</f>
        <v>449.5811609563325</v>
      </c>
      <c r="EA54" s="2064"/>
      <c r="EB54" s="2064"/>
      <c r="EC54" s="2064"/>
      <c r="ED54" s="2064">
        <f ca="1">SUM($G$48:ED48)+SUM($G$49:ED49)-SUM($G$51:ED51)</f>
        <v>449.58116095633159</v>
      </c>
      <c r="EE54" s="2064"/>
      <c r="EF54" s="2064"/>
      <c r="EG54" s="2064"/>
      <c r="EH54" s="2064">
        <f ca="1">SUM($G$48:EH48)+SUM($G$49:EH49)-SUM($G$51:EH51)</f>
        <v>449.58116095633159</v>
      </c>
      <c r="EI54" s="2064"/>
      <c r="EJ54" s="2064"/>
      <c r="EK54" s="2064"/>
      <c r="EL54" s="2064">
        <f ca="1">SUM($G$48:EL48)+SUM($G$49:EL49)-SUM($G$51:EL51)</f>
        <v>449.58116095632977</v>
      </c>
      <c r="EM54" s="2064"/>
      <c r="EN54" s="2064"/>
      <c r="EO54" s="2064"/>
      <c r="EP54" s="2064">
        <f ca="1">SUM($G$48:EP48)+SUM($G$49:EP49)-SUM($G$51:EP51)</f>
        <v>449.58116095633159</v>
      </c>
      <c r="EQ54" s="2064"/>
      <c r="ER54" s="2064"/>
      <c r="ES54" s="2064"/>
      <c r="ET54" s="2064">
        <f ca="1">SUM($G$48:ET48)+SUM($G$49:ET49)-SUM($G$51:ET51)</f>
        <v>449.58116095632977</v>
      </c>
      <c r="EU54" s="2064"/>
      <c r="EV54" s="2064"/>
      <c r="EW54" s="2064"/>
      <c r="EX54" s="2064">
        <f ca="1">SUM($G$48:EX48)+SUM($G$49:EX49)-SUM($G$51:EX51)</f>
        <v>449.58116095633341</v>
      </c>
      <c r="EY54" s="2064"/>
      <c r="EZ54" s="2064"/>
      <c r="FA54" s="2064"/>
      <c r="FB54" s="2064">
        <f ca="1">SUM($G$48:FB48)+SUM($G$49:FB49)-SUM($G$51:FB51)</f>
        <v>449.58116095633159</v>
      </c>
      <c r="FC54" s="2064"/>
      <c r="FD54" s="2064"/>
      <c r="FE54" s="2064"/>
      <c r="FF54" s="2064">
        <f ca="1">SUM($G$48:FF48)+SUM($G$49:FF49)-SUM($G$51:FF51)</f>
        <v>449.58116095633159</v>
      </c>
      <c r="FG54" s="2064"/>
      <c r="FH54" s="2064"/>
      <c r="FI54" s="2064"/>
      <c r="FJ54" s="2064">
        <f ca="1">SUM($G$48:FJ48)+SUM($G$49:FJ49)-SUM($G$51:FJ51)</f>
        <v>449.58116095632795</v>
      </c>
      <c r="FK54" s="2064"/>
      <c r="FL54" s="2064"/>
      <c r="FM54" s="2064"/>
      <c r="FN54" s="2064">
        <f ca="1">SUM($G$48:FN48)+SUM($G$49:FN49)-SUM($G$51:FN51)</f>
        <v>449.58116095632977</v>
      </c>
      <c r="FO54" s="2064"/>
      <c r="FP54" s="2064"/>
      <c r="FQ54" s="2064"/>
      <c r="FR54" s="2064"/>
      <c r="FS54" s="2064"/>
      <c r="FT54" s="2064"/>
      <c r="FU54" s="2064"/>
      <c r="FV54" s="2064"/>
      <c r="FW54" s="2064"/>
      <c r="FX54" s="2064"/>
      <c r="FY54" s="2064"/>
      <c r="FZ54" s="2064"/>
      <c r="GA54" s="2064"/>
      <c r="GB54" s="2064"/>
      <c r="GC54" s="2064"/>
      <c r="GD54" s="2064"/>
    </row>
    <row r="55" spans="1:186" ht="15" customHeight="1">
      <c r="B55" s="2064"/>
      <c r="C55" s="2064"/>
      <c r="D55" s="2064"/>
      <c r="E55" s="2064"/>
      <c r="F55" s="2064"/>
      <c r="G55" s="2064"/>
      <c r="H55" s="2064"/>
      <c r="I55" s="2064"/>
      <c r="J55" s="2064"/>
      <c r="K55" s="2064"/>
      <c r="L55" s="2064"/>
      <c r="M55" s="2064"/>
      <c r="N55" s="2064"/>
      <c r="O55" s="2064"/>
      <c r="P55" s="2064"/>
      <c r="Q55" s="2064"/>
      <c r="R55" s="2064"/>
      <c r="S55" s="2064"/>
      <c r="T55" s="2064"/>
      <c r="U55" s="2064"/>
      <c r="V55" s="2064"/>
      <c r="W55" s="2064"/>
      <c r="X55" s="2064"/>
      <c r="Y55" s="2064"/>
      <c r="Z55" s="2064"/>
      <c r="AA55" s="2064"/>
      <c r="AB55" s="2064"/>
      <c r="AC55" s="2064"/>
      <c r="AD55" s="2064"/>
      <c r="AE55" s="2064"/>
      <c r="AF55" s="2064"/>
      <c r="AG55" s="2064"/>
      <c r="AH55" s="2064"/>
      <c r="AI55" s="2064"/>
      <c r="AJ55" s="2064"/>
      <c r="AK55" s="2064"/>
      <c r="AL55" s="2064"/>
      <c r="AM55" s="2064"/>
      <c r="AN55" s="2064"/>
      <c r="AO55" s="2064"/>
      <c r="AP55" s="2064"/>
      <c r="AQ55" s="2064"/>
      <c r="AR55" s="2064"/>
      <c r="AS55" s="2064"/>
      <c r="AT55" s="2064"/>
      <c r="AU55" s="2064"/>
      <c r="AV55" s="2064"/>
      <c r="AW55" s="2064"/>
      <c r="AX55" s="2064"/>
      <c r="AY55" s="2064"/>
      <c r="AZ55" s="2064"/>
      <c r="BA55" s="2064"/>
      <c r="BB55" s="2064"/>
      <c r="BC55" s="2064"/>
      <c r="BD55" s="2064"/>
      <c r="BE55" s="2064"/>
      <c r="BF55" s="2064"/>
      <c r="BG55" s="2064"/>
      <c r="BH55" s="2064"/>
      <c r="BI55" s="2064"/>
      <c r="BJ55" s="2064"/>
      <c r="BK55" s="2064"/>
      <c r="BL55" s="2064"/>
      <c r="BM55" s="2064"/>
      <c r="BN55" s="2064"/>
      <c r="BO55" s="2064"/>
      <c r="BP55" s="2064"/>
      <c r="BQ55" s="2064"/>
      <c r="BR55" s="2064"/>
      <c r="BS55" s="2064"/>
      <c r="BT55" s="2064"/>
      <c r="BU55" s="2064"/>
      <c r="BV55" s="2064"/>
      <c r="BW55" s="2064"/>
      <c r="BX55" s="2064"/>
      <c r="BY55" s="2064"/>
      <c r="BZ55" s="2064"/>
      <c r="CA55" s="2064"/>
      <c r="CB55" s="2064"/>
      <c r="CC55" s="2064"/>
      <c r="CD55" s="2064"/>
      <c r="CE55" s="2064"/>
      <c r="CF55" s="2064"/>
      <c r="CG55" s="2064"/>
      <c r="CH55" s="2064"/>
      <c r="CI55" s="2064"/>
      <c r="CJ55" s="2064"/>
      <c r="CK55" s="2064"/>
      <c r="CL55" s="2064"/>
      <c r="CM55" s="2064"/>
      <c r="CN55" s="2064"/>
      <c r="CO55" s="2064"/>
      <c r="CP55" s="2064"/>
      <c r="CQ55" s="2064"/>
      <c r="CR55" s="2064"/>
      <c r="CS55" s="2064"/>
      <c r="CT55" s="2064"/>
      <c r="CU55" s="2064"/>
      <c r="CV55" s="2064"/>
      <c r="CW55" s="2064"/>
      <c r="CX55" s="2064"/>
      <c r="CY55" s="2064"/>
      <c r="CZ55" s="2064"/>
      <c r="DA55" s="2064"/>
      <c r="DB55" s="2064"/>
      <c r="DC55" s="2064"/>
      <c r="DD55" s="2064"/>
      <c r="DE55" s="2064"/>
      <c r="DF55" s="2064"/>
      <c r="DG55" s="2064"/>
      <c r="DH55" s="2064"/>
      <c r="DI55" s="2064"/>
      <c r="DJ55" s="2064"/>
      <c r="DK55" s="2064"/>
      <c r="DL55" s="2064"/>
      <c r="DM55" s="2064"/>
      <c r="DN55" s="2064"/>
      <c r="DO55" s="2064"/>
      <c r="DP55" s="2064"/>
      <c r="DQ55" s="2064"/>
      <c r="DR55" s="2064"/>
      <c r="DS55" s="2064"/>
      <c r="DT55" s="2064"/>
      <c r="DU55" s="2064"/>
      <c r="DV55" s="2064"/>
      <c r="DW55" s="2064"/>
      <c r="DX55" s="2064"/>
      <c r="DY55" s="2064"/>
      <c r="DZ55" s="2064"/>
      <c r="EA55" s="2064"/>
      <c r="EB55" s="2064"/>
      <c r="EC55" s="2064"/>
      <c r="ED55" s="2064"/>
      <c r="EE55" s="2064"/>
      <c r="EF55" s="2064"/>
      <c r="EG55" s="2064"/>
      <c r="EH55" s="2064"/>
      <c r="EI55" s="2064"/>
      <c r="EJ55" s="2064"/>
      <c r="EK55" s="2064"/>
      <c r="EL55" s="2064"/>
      <c r="EM55" s="2064"/>
      <c r="EN55" s="2064"/>
      <c r="EO55" s="2064"/>
      <c r="EP55" s="2064"/>
      <c r="EQ55" s="2064"/>
      <c r="ER55" s="2064"/>
      <c r="ES55" s="2064"/>
      <c r="ET55" s="2064"/>
      <c r="EU55" s="2064"/>
      <c r="EV55" s="2064"/>
      <c r="EW55" s="2064"/>
      <c r="EX55" s="2064"/>
      <c r="EY55" s="2064"/>
      <c r="EZ55" s="2064"/>
      <c r="FA55" s="2064"/>
      <c r="FB55" s="2064"/>
      <c r="FC55" s="2064"/>
      <c r="FD55" s="2064"/>
      <c r="FE55" s="2064"/>
      <c r="FF55" s="2064"/>
      <c r="FG55" s="2064"/>
      <c r="FH55" s="2064"/>
      <c r="FI55" s="2064"/>
      <c r="FJ55" s="2064"/>
      <c r="FK55" s="2064"/>
      <c r="FL55" s="2064"/>
      <c r="FM55" s="2064"/>
      <c r="FN55" s="2064"/>
      <c r="FO55" s="2064"/>
      <c r="FP55" s="2064"/>
      <c r="FQ55" s="2064"/>
      <c r="FR55" s="2064"/>
      <c r="FS55" s="2064"/>
      <c r="FT55" s="2064"/>
      <c r="FU55" s="2064"/>
      <c r="FV55" s="2064"/>
      <c r="FW55" s="2064"/>
      <c r="FX55" s="2064"/>
      <c r="FY55" s="2064"/>
      <c r="FZ55" s="2064"/>
      <c r="GA55" s="2064"/>
      <c r="GB55" s="2064"/>
      <c r="GC55" s="2064"/>
      <c r="GD55" s="2064"/>
    </row>
    <row r="56" spans="1:186" ht="15" customHeight="1">
      <c r="B56" s="2064"/>
      <c r="C56" s="2090" t="s">
        <v>251</v>
      </c>
      <c r="D56" s="2091"/>
      <c r="E56" s="2091" t="s">
        <v>3765</v>
      </c>
      <c r="F56" s="2126"/>
      <c r="G56" s="469"/>
      <c r="H56" s="469"/>
      <c r="I56" s="469"/>
      <c r="J56" s="469"/>
      <c r="K56" s="469"/>
      <c r="L56" s="469"/>
      <c r="M56" s="469"/>
      <c r="N56" s="469"/>
      <c r="O56" s="469"/>
      <c r="P56" s="469"/>
      <c r="Q56" s="469"/>
      <c r="R56" s="469"/>
      <c r="S56" s="469"/>
      <c r="T56" s="469"/>
      <c r="U56" s="469"/>
      <c r="V56" s="469"/>
      <c r="W56" s="469"/>
      <c r="X56" s="469"/>
      <c r="Y56" s="469"/>
      <c r="Z56" s="469"/>
      <c r="AA56" s="469"/>
      <c r="AB56" s="469"/>
      <c r="AC56" s="469"/>
      <c r="AD56" s="469"/>
      <c r="AE56" s="469"/>
      <c r="AF56" s="469"/>
      <c r="AG56" s="469"/>
      <c r="AH56" s="450">
        <f ca="1">AH54-AD54</f>
        <v>136.29135021136358</v>
      </c>
      <c r="AI56" s="469"/>
      <c r="AJ56" s="469"/>
      <c r="AK56" s="469"/>
      <c r="AL56" s="469">
        <f ca="1">AL54-AH54</f>
        <v>108.58253111465592</v>
      </c>
      <c r="AM56" s="469"/>
      <c r="AN56" s="469"/>
      <c r="AO56" s="469"/>
      <c r="AP56" s="469">
        <f ca="1">AP54-AL54</f>
        <v>4.5474735088646412E-13</v>
      </c>
      <c r="AQ56" s="469"/>
      <c r="AR56" s="469"/>
      <c r="AS56" s="469"/>
      <c r="AT56" s="469"/>
      <c r="AU56" s="469"/>
      <c r="AV56" s="469"/>
      <c r="AW56" s="469"/>
      <c r="AX56" s="469"/>
      <c r="AY56" s="469"/>
      <c r="AZ56" s="469"/>
      <c r="BA56" s="469"/>
      <c r="BB56" s="469"/>
      <c r="BC56" s="469"/>
      <c r="BD56" s="469"/>
      <c r="BE56" s="469"/>
      <c r="BF56" s="469"/>
      <c r="BG56" s="469"/>
      <c r="BH56" s="469"/>
      <c r="BI56" s="469"/>
      <c r="BJ56" s="469"/>
      <c r="BK56" s="469"/>
      <c r="BL56" s="469"/>
      <c r="BM56" s="469"/>
      <c r="BN56" s="469"/>
      <c r="BO56" s="469"/>
      <c r="BP56" s="469"/>
      <c r="BQ56" s="469"/>
      <c r="BR56" s="469"/>
      <c r="BS56" s="469"/>
      <c r="BT56" s="469"/>
      <c r="BU56" s="469"/>
      <c r="BV56" s="469"/>
      <c r="BW56" s="469"/>
      <c r="BX56" s="469"/>
      <c r="BY56" s="469"/>
      <c r="BZ56" s="469"/>
      <c r="CA56" s="469"/>
      <c r="CB56" s="469"/>
      <c r="CC56" s="469"/>
      <c r="CD56" s="469"/>
      <c r="CE56" s="469"/>
      <c r="CF56" s="469"/>
      <c r="CG56" s="469"/>
      <c r="CH56" s="469"/>
      <c r="CI56" s="469"/>
      <c r="CJ56" s="469"/>
      <c r="CK56" s="469"/>
      <c r="CL56" s="469"/>
      <c r="CM56" s="469"/>
      <c r="CN56" s="469"/>
      <c r="CO56" s="469"/>
      <c r="CP56" s="469"/>
      <c r="CQ56" s="469"/>
      <c r="CR56" s="469"/>
      <c r="CS56" s="469"/>
      <c r="CT56" s="469"/>
      <c r="CU56" s="469"/>
      <c r="CV56" s="469"/>
      <c r="CW56" s="469"/>
      <c r="CX56" s="469"/>
      <c r="CY56" s="469"/>
      <c r="CZ56" s="469"/>
      <c r="DA56" s="469"/>
      <c r="DB56" s="469"/>
      <c r="DC56" s="469"/>
      <c r="DD56" s="469"/>
      <c r="DE56" s="469"/>
      <c r="DF56" s="469"/>
      <c r="DG56" s="469"/>
      <c r="DH56" s="469"/>
      <c r="DI56" s="469"/>
      <c r="DJ56" s="469"/>
      <c r="DK56" s="469"/>
      <c r="DL56" s="469"/>
      <c r="DM56" s="469"/>
      <c r="DN56" s="469"/>
      <c r="DO56" s="469"/>
      <c r="DP56" s="469"/>
      <c r="DQ56" s="469"/>
      <c r="DR56" s="469"/>
      <c r="DS56" s="469"/>
      <c r="DT56" s="469"/>
      <c r="DU56" s="469"/>
      <c r="DV56" s="469"/>
      <c r="DW56" s="469"/>
      <c r="DX56" s="469"/>
      <c r="DY56" s="469"/>
      <c r="DZ56" s="469"/>
      <c r="EA56" s="469"/>
      <c r="EB56" s="469"/>
      <c r="EC56" s="469"/>
      <c r="ED56" s="469"/>
      <c r="EE56" s="469"/>
      <c r="EF56" s="469"/>
      <c r="EG56" s="469"/>
      <c r="EH56" s="469"/>
      <c r="EI56" s="469"/>
      <c r="EJ56" s="469"/>
      <c r="EK56" s="469"/>
      <c r="EL56" s="469"/>
      <c r="EM56" s="469"/>
      <c r="EN56" s="469"/>
      <c r="EO56" s="469"/>
      <c r="EP56" s="469"/>
      <c r="EQ56" s="469"/>
      <c r="ER56" s="469"/>
      <c r="ES56" s="469"/>
      <c r="ET56" s="469"/>
      <c r="EU56" s="469"/>
      <c r="EV56" s="469"/>
      <c r="EW56" s="469"/>
      <c r="EX56" s="469"/>
      <c r="EY56" s="469"/>
      <c r="EZ56" s="469"/>
      <c r="FA56" s="469"/>
      <c r="FB56" s="469"/>
      <c r="FC56" s="469"/>
      <c r="FD56" s="469"/>
      <c r="FE56" s="469"/>
      <c r="FF56" s="469"/>
      <c r="FG56" s="469"/>
      <c r="FH56" s="469"/>
      <c r="FI56" s="469"/>
      <c r="FJ56" s="469"/>
      <c r="FK56" s="469"/>
      <c r="FL56" s="469"/>
      <c r="FM56" s="469"/>
      <c r="FN56" s="469"/>
      <c r="FO56" s="469"/>
      <c r="FP56" s="469"/>
      <c r="FQ56" s="469"/>
      <c r="FR56" s="469"/>
      <c r="FS56" s="469"/>
      <c r="FT56" s="469"/>
      <c r="FU56" s="469"/>
      <c r="FV56" s="469"/>
      <c r="FW56" s="469"/>
      <c r="FX56" s="469"/>
      <c r="FY56" s="469"/>
      <c r="FZ56" s="469"/>
      <c r="GA56" s="469"/>
      <c r="GB56" s="469"/>
      <c r="GC56" s="469"/>
      <c r="GD56" s="469"/>
    </row>
    <row r="57" spans="1:186" ht="15" customHeight="1">
      <c r="B57" s="2085"/>
      <c r="C57" s="2067" t="s">
        <v>3766</v>
      </c>
      <c r="D57" s="2068"/>
      <c r="E57" s="2115"/>
      <c r="F57" s="2116">
        <f t="shared" ref="F57:F72" ca="1" si="81">SUM(G57:GD57)</f>
        <v>28753.440526898776</v>
      </c>
      <c r="G57" s="2117">
        <v>0</v>
      </c>
      <c r="H57" s="2118">
        <f t="shared" ref="H57:BS57" ca="1" si="82">G62</f>
        <v>0</v>
      </c>
      <c r="I57" s="2118">
        <f t="shared" ca="1" si="82"/>
        <v>0</v>
      </c>
      <c r="J57" s="2119">
        <f t="shared" ca="1" si="82"/>
        <v>0</v>
      </c>
      <c r="K57" s="2117">
        <f t="shared" ca="1" si="82"/>
        <v>0</v>
      </c>
      <c r="L57" s="2118">
        <f t="shared" ca="1" si="82"/>
        <v>0</v>
      </c>
      <c r="M57" s="2118">
        <f t="shared" ca="1" si="82"/>
        <v>0</v>
      </c>
      <c r="N57" s="2119">
        <f t="shared" ca="1" si="82"/>
        <v>0</v>
      </c>
      <c r="O57" s="2117">
        <f t="shared" ca="1" si="82"/>
        <v>0</v>
      </c>
      <c r="P57" s="2118">
        <f t="shared" ca="1" si="82"/>
        <v>9.6746580000000009</v>
      </c>
      <c r="Q57" s="2118">
        <f t="shared" ca="1" si="82"/>
        <v>1.000000082740371E-8</v>
      </c>
      <c r="R57" s="2119">
        <f t="shared" ca="1" si="82"/>
        <v>28.918129500000003</v>
      </c>
      <c r="S57" s="2117">
        <f t="shared" ca="1" si="82"/>
        <v>70.043648119219483</v>
      </c>
      <c r="T57" s="2118">
        <f t="shared" ca="1" si="82"/>
        <v>110.34326230472999</v>
      </c>
      <c r="U57" s="2118">
        <f t="shared" ca="1" si="82"/>
        <v>110.34326230472999</v>
      </c>
      <c r="V57" s="2119">
        <f t="shared" ca="1" si="82"/>
        <v>144.17975304759537</v>
      </c>
      <c r="W57" s="2117">
        <f t="shared" ca="1" si="82"/>
        <v>183.51135602148281</v>
      </c>
      <c r="X57" s="2118">
        <f t="shared" ca="1" si="82"/>
        <v>183.51135602148281</v>
      </c>
      <c r="Y57" s="2118">
        <f t="shared" ca="1" si="82"/>
        <v>183.51135602148281</v>
      </c>
      <c r="Z57" s="2119">
        <f t="shared" ca="1" si="82"/>
        <v>183.51135602148281</v>
      </c>
      <c r="AA57" s="2117">
        <f t="shared" ca="1" si="82"/>
        <v>183.51135602148281</v>
      </c>
      <c r="AB57" s="2118">
        <f t="shared" ca="1" si="82"/>
        <v>204.70727963031646</v>
      </c>
      <c r="AC57" s="2118">
        <f t="shared" ca="1" si="82"/>
        <v>204.70727963031644</v>
      </c>
      <c r="AD57" s="2119">
        <f t="shared" ca="1" si="82"/>
        <v>204.70727963031644</v>
      </c>
      <c r="AE57" s="2117">
        <f t="shared" ca="1" si="82"/>
        <v>204.70727963031644</v>
      </c>
      <c r="AF57" s="2118">
        <f t="shared" ca="1" si="82"/>
        <v>247.64377033296645</v>
      </c>
      <c r="AG57" s="2118">
        <f t="shared" ca="1" si="82"/>
        <v>247.64377033296643</v>
      </c>
      <c r="AH57" s="2119">
        <f t="shared" ca="1" si="82"/>
        <v>296.55533454374944</v>
      </c>
      <c r="AI57" s="2117">
        <f t="shared" ca="1" si="82"/>
        <v>340.99862984168016</v>
      </c>
      <c r="AJ57" s="2118">
        <f t="shared" ca="1" si="82"/>
        <v>369.21387878307166</v>
      </c>
      <c r="AK57" s="2118">
        <f t="shared" ca="1" si="82"/>
        <v>396.09003763164975</v>
      </c>
      <c r="AL57" s="2119">
        <f t="shared" ca="1" si="82"/>
        <v>428.64711377275734</v>
      </c>
      <c r="AM57" s="2117">
        <f t="shared" ca="1" si="82"/>
        <v>449.5811609563354</v>
      </c>
      <c r="AN57" s="2118">
        <f t="shared" ca="1" si="82"/>
        <v>449.5811609563354</v>
      </c>
      <c r="AO57" s="2118">
        <f t="shared" ca="1" si="82"/>
        <v>449.5811609563354</v>
      </c>
      <c r="AP57" s="2119">
        <f t="shared" ca="1" si="82"/>
        <v>449.5811609563354</v>
      </c>
      <c r="AQ57" s="2117">
        <f t="shared" ca="1" si="82"/>
        <v>449.5811609563354</v>
      </c>
      <c r="AR57" s="2118">
        <f t="shared" ca="1" si="82"/>
        <v>449.58116095633545</v>
      </c>
      <c r="AS57" s="2118">
        <f t="shared" ca="1" si="82"/>
        <v>449.58116095633545</v>
      </c>
      <c r="AT57" s="2119">
        <f t="shared" ca="1" si="82"/>
        <v>449.58116095633545</v>
      </c>
      <c r="AU57" s="2117">
        <f t="shared" ca="1" si="82"/>
        <v>449.58116095633545</v>
      </c>
      <c r="AV57" s="2118">
        <f t="shared" ca="1" si="82"/>
        <v>449.58116095633545</v>
      </c>
      <c r="AW57" s="2118">
        <f t="shared" ca="1" si="82"/>
        <v>449.58116095633545</v>
      </c>
      <c r="AX57" s="2119">
        <f t="shared" ca="1" si="82"/>
        <v>449.58116095633545</v>
      </c>
      <c r="AY57" s="2117">
        <f t="shared" ca="1" si="82"/>
        <v>449.58116095633545</v>
      </c>
      <c r="AZ57" s="2118">
        <f t="shared" ca="1" si="82"/>
        <v>449.58116095633545</v>
      </c>
      <c r="BA57" s="2118">
        <f t="shared" ca="1" si="82"/>
        <v>449.58116095633545</v>
      </c>
      <c r="BB57" s="2119">
        <f t="shared" ca="1" si="82"/>
        <v>449.58116095633545</v>
      </c>
      <c r="BC57" s="2117">
        <f t="shared" ca="1" si="82"/>
        <v>449.58116095633545</v>
      </c>
      <c r="BD57" s="2118">
        <f t="shared" ca="1" si="82"/>
        <v>449.58116095633545</v>
      </c>
      <c r="BE57" s="2118">
        <f t="shared" ca="1" si="82"/>
        <v>449.58116095633545</v>
      </c>
      <c r="BF57" s="2119">
        <f t="shared" ca="1" si="82"/>
        <v>449.58116095633545</v>
      </c>
      <c r="BG57" s="2117">
        <f t="shared" ca="1" si="82"/>
        <v>449.58116095633545</v>
      </c>
      <c r="BH57" s="2118">
        <f t="shared" ca="1" si="82"/>
        <v>449.58116095633545</v>
      </c>
      <c r="BI57" s="2118">
        <f t="shared" ca="1" si="82"/>
        <v>449.58116095633545</v>
      </c>
      <c r="BJ57" s="2119">
        <f t="shared" ca="1" si="82"/>
        <v>449.58116095633545</v>
      </c>
      <c r="BK57" s="2117">
        <f t="shared" ca="1" si="82"/>
        <v>449.58116095633545</v>
      </c>
      <c r="BL57" s="2118">
        <f t="shared" ca="1" si="82"/>
        <v>449.58116095633545</v>
      </c>
      <c r="BM57" s="2118">
        <f t="shared" ca="1" si="82"/>
        <v>449.58116095633545</v>
      </c>
      <c r="BN57" s="2119">
        <f t="shared" ca="1" si="82"/>
        <v>449.58116095633545</v>
      </c>
      <c r="BO57" s="2117">
        <f t="shared" ca="1" si="82"/>
        <v>449.58116095633545</v>
      </c>
      <c r="BP57" s="2118">
        <f t="shared" ca="1" si="82"/>
        <v>442.62097498507109</v>
      </c>
      <c r="BQ57" s="2118">
        <f t="shared" ca="1" si="82"/>
        <v>442.62097498507114</v>
      </c>
      <c r="BR57" s="2119">
        <f t="shared" ca="1" si="82"/>
        <v>442.62097498507114</v>
      </c>
      <c r="BS57" s="2117">
        <f t="shared" ca="1" si="82"/>
        <v>442.62097498507114</v>
      </c>
      <c r="BT57" s="2118">
        <f t="shared" ref="BT57:EE57" ca="1" si="83">BS62</f>
        <v>421.27824245533861</v>
      </c>
      <c r="BU57" s="2118">
        <f t="shared" ca="1" si="83"/>
        <v>421.27824245533861</v>
      </c>
      <c r="BV57" s="2119">
        <f t="shared" ca="1" si="83"/>
        <v>421.27824245533861</v>
      </c>
      <c r="BW57" s="2117">
        <f t="shared" ca="1" si="83"/>
        <v>421.27824245533861</v>
      </c>
      <c r="BX57" s="2118">
        <f t="shared" ca="1" si="83"/>
        <v>396.36717709297966</v>
      </c>
      <c r="BY57" s="2118">
        <f t="shared" ca="1" si="83"/>
        <v>396.36717709297966</v>
      </c>
      <c r="BZ57" s="2119">
        <f t="shared" ca="1" si="83"/>
        <v>396.36717709297966</v>
      </c>
      <c r="CA57" s="2117">
        <f t="shared" ca="1" si="83"/>
        <v>396.36717709297966</v>
      </c>
      <c r="CB57" s="2118">
        <f t="shared" ca="1" si="83"/>
        <v>352.52750418367839</v>
      </c>
      <c r="CC57" s="2118">
        <f t="shared" ca="1" si="83"/>
        <v>352.52750418367839</v>
      </c>
      <c r="CD57" s="2119">
        <f t="shared" ca="1" si="83"/>
        <v>352.52750418367839</v>
      </c>
      <c r="CE57" s="2117">
        <f t="shared" ca="1" si="83"/>
        <v>352.52750418367839</v>
      </c>
      <c r="CF57" s="2118">
        <f t="shared" ca="1" si="83"/>
        <v>306.60750418367837</v>
      </c>
      <c r="CG57" s="2118">
        <f t="shared" ca="1" si="83"/>
        <v>306.60750418367837</v>
      </c>
      <c r="CH57" s="2119">
        <f t="shared" ca="1" si="83"/>
        <v>306.60750418367837</v>
      </c>
      <c r="CI57" s="2117">
        <f t="shared" ca="1" si="83"/>
        <v>306.60750418367837</v>
      </c>
      <c r="CJ57" s="2118">
        <f t="shared" ca="1" si="83"/>
        <v>260.68750418367836</v>
      </c>
      <c r="CK57" s="2118">
        <f t="shared" ca="1" si="83"/>
        <v>260.68750418367836</v>
      </c>
      <c r="CL57" s="2119">
        <f t="shared" ca="1" si="83"/>
        <v>260.68750418367836</v>
      </c>
      <c r="CM57" s="2117">
        <f t="shared" ca="1" si="83"/>
        <v>260.68750418367836</v>
      </c>
      <c r="CN57" s="2118">
        <f t="shared" ca="1" si="83"/>
        <v>214.76750418367834</v>
      </c>
      <c r="CO57" s="2118">
        <f t="shared" ca="1" si="83"/>
        <v>214.76750418367834</v>
      </c>
      <c r="CP57" s="2119">
        <f t="shared" ca="1" si="83"/>
        <v>214.76750418367834</v>
      </c>
      <c r="CQ57" s="2117">
        <f t="shared" ca="1" si="83"/>
        <v>214.76750418367834</v>
      </c>
      <c r="CR57" s="2118">
        <f t="shared" ca="1" si="83"/>
        <v>168.84750418367832</v>
      </c>
      <c r="CS57" s="2118">
        <f t="shared" ca="1" si="83"/>
        <v>168.84750418367832</v>
      </c>
      <c r="CT57" s="2119">
        <f t="shared" ca="1" si="83"/>
        <v>168.84750418367832</v>
      </c>
      <c r="CU57" s="2117">
        <f t="shared" ca="1" si="83"/>
        <v>168.84750418367832</v>
      </c>
      <c r="CV57" s="2118">
        <f t="shared" ca="1" si="83"/>
        <v>122.92750418367832</v>
      </c>
      <c r="CW57" s="2118">
        <f t="shared" ca="1" si="83"/>
        <v>122.92750418367834</v>
      </c>
      <c r="CX57" s="2119">
        <f t="shared" ca="1" si="83"/>
        <v>122.92750418367834</v>
      </c>
      <c r="CY57" s="2117">
        <f t="shared" ca="1" si="83"/>
        <v>122.92750418367834</v>
      </c>
      <c r="CZ57" s="2118">
        <f t="shared" ca="1" si="83"/>
        <v>77.007504183678336</v>
      </c>
      <c r="DA57" s="2118">
        <f t="shared" ca="1" si="83"/>
        <v>77.00750418367835</v>
      </c>
      <c r="DB57" s="2119">
        <f t="shared" ca="1" si="83"/>
        <v>77.00750418367835</v>
      </c>
      <c r="DC57" s="2117">
        <f t="shared" ca="1" si="83"/>
        <v>77.00750418367835</v>
      </c>
      <c r="DD57" s="2118">
        <f t="shared" ca="1" si="83"/>
        <v>31.087504183678348</v>
      </c>
      <c r="DE57" s="2118">
        <f t="shared" ca="1" si="83"/>
        <v>31.087504183678348</v>
      </c>
      <c r="DF57" s="2119">
        <f t="shared" ca="1" si="83"/>
        <v>31.087504183678348</v>
      </c>
      <c r="DG57" s="2117">
        <f t="shared" ca="1" si="83"/>
        <v>31.087504183678348</v>
      </c>
      <c r="DH57" s="2118">
        <f t="shared" ca="1" si="83"/>
        <v>0</v>
      </c>
      <c r="DI57" s="2118">
        <f t="shared" ca="1" si="83"/>
        <v>0</v>
      </c>
      <c r="DJ57" s="2119">
        <f t="shared" ca="1" si="83"/>
        <v>0</v>
      </c>
      <c r="DK57" s="2117">
        <f t="shared" ca="1" si="83"/>
        <v>0</v>
      </c>
      <c r="DL57" s="2118">
        <f t="shared" ca="1" si="83"/>
        <v>0</v>
      </c>
      <c r="DM57" s="2118">
        <f t="shared" ca="1" si="83"/>
        <v>0</v>
      </c>
      <c r="DN57" s="2119">
        <f t="shared" ca="1" si="83"/>
        <v>0</v>
      </c>
      <c r="DO57" s="2117">
        <f t="shared" ca="1" si="83"/>
        <v>0</v>
      </c>
      <c r="DP57" s="2118">
        <f t="shared" ca="1" si="83"/>
        <v>0</v>
      </c>
      <c r="DQ57" s="2118">
        <f t="shared" ca="1" si="83"/>
        <v>0</v>
      </c>
      <c r="DR57" s="2119">
        <f t="shared" ca="1" si="83"/>
        <v>0</v>
      </c>
      <c r="DS57" s="2117">
        <f t="shared" ca="1" si="83"/>
        <v>0</v>
      </c>
      <c r="DT57" s="2118">
        <f t="shared" ca="1" si="83"/>
        <v>0</v>
      </c>
      <c r="DU57" s="2118">
        <f t="shared" ca="1" si="83"/>
        <v>0</v>
      </c>
      <c r="DV57" s="2119">
        <f t="shared" ca="1" si="83"/>
        <v>0</v>
      </c>
      <c r="DW57" s="2117">
        <f t="shared" ca="1" si="83"/>
        <v>0</v>
      </c>
      <c r="DX57" s="2118">
        <f t="shared" ca="1" si="83"/>
        <v>0</v>
      </c>
      <c r="DY57" s="2118">
        <f t="shared" ca="1" si="83"/>
        <v>0</v>
      </c>
      <c r="DZ57" s="2119">
        <f t="shared" ca="1" si="83"/>
        <v>0</v>
      </c>
      <c r="EA57" s="2117">
        <f t="shared" ca="1" si="83"/>
        <v>0</v>
      </c>
      <c r="EB57" s="2118">
        <f t="shared" ca="1" si="83"/>
        <v>0</v>
      </c>
      <c r="EC57" s="2118">
        <f t="shared" ca="1" si="83"/>
        <v>0</v>
      </c>
      <c r="ED57" s="2119">
        <f t="shared" ca="1" si="83"/>
        <v>0</v>
      </c>
      <c r="EE57" s="2117">
        <f t="shared" ca="1" si="83"/>
        <v>0</v>
      </c>
      <c r="EF57" s="2118">
        <f t="shared" ref="EF57:GD57" ca="1" si="84">EE62</f>
        <v>0</v>
      </c>
      <c r="EG57" s="2118">
        <f t="shared" ca="1" si="84"/>
        <v>0</v>
      </c>
      <c r="EH57" s="2119">
        <f t="shared" ca="1" si="84"/>
        <v>0</v>
      </c>
      <c r="EI57" s="2117">
        <f t="shared" ca="1" si="84"/>
        <v>0</v>
      </c>
      <c r="EJ57" s="2118">
        <f t="shared" ca="1" si="84"/>
        <v>0</v>
      </c>
      <c r="EK57" s="2118">
        <f t="shared" ca="1" si="84"/>
        <v>0</v>
      </c>
      <c r="EL57" s="2119">
        <f t="shared" ca="1" si="84"/>
        <v>0</v>
      </c>
      <c r="EM57" s="2117">
        <f t="shared" ca="1" si="84"/>
        <v>0</v>
      </c>
      <c r="EN57" s="2118">
        <f t="shared" ca="1" si="84"/>
        <v>0</v>
      </c>
      <c r="EO57" s="2118">
        <f t="shared" ca="1" si="84"/>
        <v>0</v>
      </c>
      <c r="EP57" s="2119">
        <f t="shared" ca="1" si="84"/>
        <v>0</v>
      </c>
      <c r="EQ57" s="2117">
        <f t="shared" ca="1" si="84"/>
        <v>0</v>
      </c>
      <c r="ER57" s="2118">
        <f t="shared" ca="1" si="84"/>
        <v>0</v>
      </c>
      <c r="ES57" s="2118">
        <f t="shared" ca="1" si="84"/>
        <v>0</v>
      </c>
      <c r="ET57" s="2119">
        <f t="shared" ca="1" si="84"/>
        <v>0</v>
      </c>
      <c r="EU57" s="2117">
        <f t="shared" ca="1" si="84"/>
        <v>0</v>
      </c>
      <c r="EV57" s="2118">
        <f t="shared" ca="1" si="84"/>
        <v>0</v>
      </c>
      <c r="EW57" s="2118">
        <f t="shared" ca="1" si="84"/>
        <v>0</v>
      </c>
      <c r="EX57" s="2119">
        <f t="shared" ca="1" si="84"/>
        <v>0</v>
      </c>
      <c r="EY57" s="2117">
        <f t="shared" ca="1" si="84"/>
        <v>0</v>
      </c>
      <c r="EZ57" s="2118">
        <f t="shared" ca="1" si="84"/>
        <v>0</v>
      </c>
      <c r="FA57" s="2118">
        <f t="shared" ca="1" si="84"/>
        <v>0</v>
      </c>
      <c r="FB57" s="2119">
        <f t="shared" ca="1" si="84"/>
        <v>0</v>
      </c>
      <c r="FC57" s="2117">
        <f t="shared" ca="1" si="84"/>
        <v>0</v>
      </c>
      <c r="FD57" s="2118">
        <f t="shared" ca="1" si="84"/>
        <v>0</v>
      </c>
      <c r="FE57" s="2118">
        <f t="shared" ca="1" si="84"/>
        <v>0</v>
      </c>
      <c r="FF57" s="2119">
        <f t="shared" ca="1" si="84"/>
        <v>0</v>
      </c>
      <c r="FG57" s="2117">
        <f t="shared" ca="1" si="84"/>
        <v>0</v>
      </c>
      <c r="FH57" s="2118">
        <f t="shared" ca="1" si="84"/>
        <v>0</v>
      </c>
      <c r="FI57" s="2118">
        <f t="shared" ca="1" si="84"/>
        <v>0</v>
      </c>
      <c r="FJ57" s="2119">
        <f t="shared" ca="1" si="84"/>
        <v>0</v>
      </c>
      <c r="FK57" s="2117">
        <f t="shared" ca="1" si="84"/>
        <v>0</v>
      </c>
      <c r="FL57" s="2118">
        <f t="shared" ca="1" si="84"/>
        <v>0</v>
      </c>
      <c r="FM57" s="2118">
        <f t="shared" ca="1" si="84"/>
        <v>0</v>
      </c>
      <c r="FN57" s="2119">
        <f t="shared" ca="1" si="84"/>
        <v>0</v>
      </c>
      <c r="FO57" s="2117">
        <f t="shared" ca="1" si="84"/>
        <v>0</v>
      </c>
      <c r="FP57" s="2118">
        <f t="shared" ca="1" si="84"/>
        <v>0</v>
      </c>
      <c r="FQ57" s="2118">
        <f t="shared" ca="1" si="84"/>
        <v>0</v>
      </c>
      <c r="FR57" s="2119">
        <f t="shared" ca="1" si="84"/>
        <v>0</v>
      </c>
      <c r="FS57" s="2117">
        <f t="shared" ca="1" si="84"/>
        <v>0</v>
      </c>
      <c r="FT57" s="2118">
        <f t="shared" ca="1" si="84"/>
        <v>0</v>
      </c>
      <c r="FU57" s="2118">
        <f t="shared" ca="1" si="84"/>
        <v>0</v>
      </c>
      <c r="FV57" s="2119">
        <f t="shared" ca="1" si="84"/>
        <v>0</v>
      </c>
      <c r="FW57" s="2117">
        <f t="shared" ca="1" si="84"/>
        <v>0</v>
      </c>
      <c r="FX57" s="2118">
        <f t="shared" ca="1" si="84"/>
        <v>0</v>
      </c>
      <c r="FY57" s="2118">
        <f t="shared" ca="1" si="84"/>
        <v>0</v>
      </c>
      <c r="FZ57" s="2119">
        <f t="shared" ca="1" si="84"/>
        <v>0</v>
      </c>
      <c r="GA57" s="2117">
        <f t="shared" ca="1" si="84"/>
        <v>0</v>
      </c>
      <c r="GB57" s="2118">
        <f t="shared" ca="1" si="84"/>
        <v>0</v>
      </c>
      <c r="GC57" s="2118">
        <f t="shared" ca="1" si="84"/>
        <v>0</v>
      </c>
      <c r="GD57" s="2119">
        <f t="shared" ca="1" si="84"/>
        <v>0</v>
      </c>
    </row>
    <row r="58" spans="1:186" ht="15" customHeight="1">
      <c r="B58" s="2085"/>
      <c r="C58" s="2127" t="s">
        <v>3767</v>
      </c>
      <c r="D58" s="2128"/>
      <c r="E58" s="2129"/>
      <c r="F58" s="2130">
        <f t="shared" ca="1" si="81"/>
        <v>11177.404203725026</v>
      </c>
      <c r="G58" s="2131">
        <f t="shared" ref="G58:AL58" si="85">SUM(G48:G49)</f>
        <v>47.99409836000001</v>
      </c>
      <c r="H58" s="2132">
        <f t="shared" si="85"/>
        <v>47.085413380000006</v>
      </c>
      <c r="I58" s="2133">
        <f t="shared" si="85"/>
        <v>50.833485050000007</v>
      </c>
      <c r="J58" s="2134">
        <f t="shared" si="85"/>
        <v>50.151050780000006</v>
      </c>
      <c r="K58" s="2131">
        <f t="shared" ca="1" si="85"/>
        <v>50.116796770000008</v>
      </c>
      <c r="L58" s="2133">
        <f t="shared" ca="1" si="85"/>
        <v>53.117793570000003</v>
      </c>
      <c r="M58" s="2133">
        <f t="shared" ca="1" si="85"/>
        <v>50.837996130000008</v>
      </c>
      <c r="N58" s="2134">
        <f t="shared" ca="1" si="85"/>
        <v>53.375981960000004</v>
      </c>
      <c r="O58" s="2131">
        <f t="shared" si="85"/>
        <v>48.616757</v>
      </c>
      <c r="P58" s="2133">
        <f t="shared" si="85"/>
        <v>51.592557049999996</v>
      </c>
      <c r="Q58" s="2133">
        <f t="shared" si="85"/>
        <v>49.699656840000003</v>
      </c>
      <c r="R58" s="2134">
        <f t="shared" si="85"/>
        <v>51.920616719219481</v>
      </c>
      <c r="S58" s="2131">
        <f t="shared" ca="1" si="85"/>
        <v>51.185422867554244</v>
      </c>
      <c r="T58" s="2133">
        <f t="shared" ca="1" si="85"/>
        <v>51.185422867554244</v>
      </c>
      <c r="U58" s="2133">
        <f t="shared" ca="1" si="85"/>
        <v>51.185422867554244</v>
      </c>
      <c r="V58" s="2134">
        <f t="shared" ca="1" si="85"/>
        <v>51.185422867554244</v>
      </c>
      <c r="W58" s="2131">
        <f t="shared" ca="1" si="85"/>
        <v>52.198947178131753</v>
      </c>
      <c r="X58" s="2133">
        <f t="shared" ca="1" si="85"/>
        <v>52.198947178131753</v>
      </c>
      <c r="Y58" s="2133">
        <f t="shared" ca="1" si="85"/>
        <v>52.198947178131753</v>
      </c>
      <c r="Z58" s="2134">
        <f t="shared" ca="1" si="85"/>
        <v>52.198947178131753</v>
      </c>
      <c r="AA58" s="2131">
        <f t="shared" ca="1" si="85"/>
        <v>52.955041139760191</v>
      </c>
      <c r="AB58" s="2133">
        <f t="shared" ca="1" si="85"/>
        <v>52.955041139760191</v>
      </c>
      <c r="AC58" s="2133">
        <f t="shared" ca="1" si="85"/>
        <v>52.955041139760191</v>
      </c>
      <c r="AD58" s="2134">
        <f t="shared" ca="1" si="85"/>
        <v>52.955041139760191</v>
      </c>
      <c r="AE58" s="2131">
        <f t="shared" ca="1" si="85"/>
        <v>53.941952959078712</v>
      </c>
      <c r="AF58" s="2133">
        <f t="shared" ca="1" si="85"/>
        <v>53.941952959078712</v>
      </c>
      <c r="AG58" s="2133">
        <f t="shared" ca="1" si="85"/>
        <v>53.941952959078712</v>
      </c>
      <c r="AH58" s="2134">
        <f t="shared" ca="1" si="85"/>
        <v>53.941952959078712</v>
      </c>
      <c r="AI58" s="2131">
        <f t="shared" ca="1" si="85"/>
        <v>54.551028064605383</v>
      </c>
      <c r="AJ58" s="2133">
        <f t="shared" ca="1" si="85"/>
        <v>54.551028064605383</v>
      </c>
      <c r="AK58" s="2133">
        <f t="shared" ca="1" si="85"/>
        <v>54.551028064605383</v>
      </c>
      <c r="AL58" s="2134">
        <f t="shared" ca="1" si="85"/>
        <v>54.551028064605383</v>
      </c>
      <c r="AM58" s="2131">
        <f t="shared" ref="AM58:BR58" ca="1" si="86">SUM(AM48:AM49)</f>
        <v>55.647329735854434</v>
      </c>
      <c r="AN58" s="2133">
        <f t="shared" ca="1" si="86"/>
        <v>55.647329735854434</v>
      </c>
      <c r="AO58" s="2133">
        <f t="shared" ca="1" si="86"/>
        <v>55.647329735854434</v>
      </c>
      <c r="AP58" s="2134">
        <f t="shared" ca="1" si="86"/>
        <v>55.647329735854434</v>
      </c>
      <c r="AQ58" s="2131">
        <f t="shared" ca="1" si="86"/>
        <v>57.292651928915262</v>
      </c>
      <c r="AR58" s="2133">
        <f t="shared" ca="1" si="86"/>
        <v>57.292651928915262</v>
      </c>
      <c r="AS58" s="2133">
        <f t="shared" ca="1" si="86"/>
        <v>57.292651928915262</v>
      </c>
      <c r="AT58" s="2134">
        <f t="shared" ca="1" si="86"/>
        <v>57.292651928915262</v>
      </c>
      <c r="AU58" s="2131">
        <f t="shared" ca="1" si="86"/>
        <v>58.709104473413383</v>
      </c>
      <c r="AV58" s="2133">
        <f t="shared" ca="1" si="86"/>
        <v>58.709104473413383</v>
      </c>
      <c r="AW58" s="2133">
        <f t="shared" ca="1" si="86"/>
        <v>58.709104473413383</v>
      </c>
      <c r="AX58" s="2134">
        <f t="shared" ca="1" si="86"/>
        <v>58.709104473413383</v>
      </c>
      <c r="AY58" s="2131">
        <f t="shared" ca="1" si="86"/>
        <v>59.515459654326541</v>
      </c>
      <c r="AZ58" s="2133">
        <f t="shared" ca="1" si="86"/>
        <v>59.515459654326541</v>
      </c>
      <c r="BA58" s="2133">
        <f t="shared" ca="1" si="86"/>
        <v>59.515459654326541</v>
      </c>
      <c r="BB58" s="2134">
        <f t="shared" ca="1" si="86"/>
        <v>59.515459654326541</v>
      </c>
      <c r="BC58" s="2131">
        <f t="shared" ca="1" si="86"/>
        <v>60.569830699742219</v>
      </c>
      <c r="BD58" s="2133">
        <f t="shared" ca="1" si="86"/>
        <v>60.569830699742219</v>
      </c>
      <c r="BE58" s="2133">
        <f t="shared" ca="1" si="86"/>
        <v>60.569830699742219</v>
      </c>
      <c r="BF58" s="2134">
        <f t="shared" ca="1" si="86"/>
        <v>60.569830699742219</v>
      </c>
      <c r="BG58" s="2131">
        <f t="shared" ca="1" si="86"/>
        <v>61.614873021461818</v>
      </c>
      <c r="BH58" s="2133">
        <f t="shared" ca="1" si="86"/>
        <v>61.614873021461818</v>
      </c>
      <c r="BI58" s="2133">
        <f t="shared" ca="1" si="86"/>
        <v>61.614873021461818</v>
      </c>
      <c r="BJ58" s="2134">
        <f t="shared" ca="1" si="86"/>
        <v>61.614873021461818</v>
      </c>
      <c r="BK58" s="2131">
        <f t="shared" ca="1" si="86"/>
        <v>62.806854280379554</v>
      </c>
      <c r="BL58" s="2133">
        <f t="shared" ca="1" si="86"/>
        <v>62.806854280379554</v>
      </c>
      <c r="BM58" s="2133">
        <f t="shared" ca="1" si="86"/>
        <v>62.806854280379554</v>
      </c>
      <c r="BN58" s="2134">
        <f t="shared" ca="1" si="86"/>
        <v>62.806854280379554</v>
      </c>
      <c r="BO58" s="2131">
        <f t="shared" ca="1" si="86"/>
        <v>63.354756348140796</v>
      </c>
      <c r="BP58" s="2133">
        <f t="shared" ca="1" si="86"/>
        <v>63.354756348140796</v>
      </c>
      <c r="BQ58" s="2133">
        <f t="shared" ca="1" si="86"/>
        <v>63.354756348140796</v>
      </c>
      <c r="BR58" s="2134">
        <f t="shared" ca="1" si="86"/>
        <v>63.354756348140796</v>
      </c>
      <c r="BS58" s="2131">
        <f t="shared" ref="BS58:CX58" ca="1" si="87">SUM(BS48:BS49)</f>
        <v>64.447166328265624</v>
      </c>
      <c r="BT58" s="2133">
        <f t="shared" ca="1" si="87"/>
        <v>64.447166328265624</v>
      </c>
      <c r="BU58" s="2133">
        <f t="shared" ca="1" si="87"/>
        <v>64.447166328265624</v>
      </c>
      <c r="BV58" s="2134">
        <f t="shared" ca="1" si="87"/>
        <v>64.447166328265624</v>
      </c>
      <c r="BW58" s="2131">
        <f t="shared" ca="1" si="87"/>
        <v>65.095757092070926</v>
      </c>
      <c r="BX58" s="2133">
        <f t="shared" ca="1" si="87"/>
        <v>65.095757092070926</v>
      </c>
      <c r="BY58" s="2133">
        <f t="shared" ca="1" si="87"/>
        <v>65.095757092070926</v>
      </c>
      <c r="BZ58" s="2134">
        <f t="shared" ca="1" si="87"/>
        <v>65.095757092070926</v>
      </c>
      <c r="CA58" s="2131">
        <f t="shared" ca="1" si="87"/>
        <v>66.233600729782083</v>
      </c>
      <c r="CB58" s="2133">
        <f t="shared" ca="1" si="87"/>
        <v>66.233600729782083</v>
      </c>
      <c r="CC58" s="2133">
        <f t="shared" ca="1" si="87"/>
        <v>66.233600729782083</v>
      </c>
      <c r="CD58" s="2134">
        <f t="shared" ca="1" si="87"/>
        <v>66.233600729782083</v>
      </c>
      <c r="CE58" s="2131">
        <f t="shared" ca="1" si="87"/>
        <v>66.92029374241595</v>
      </c>
      <c r="CF58" s="2133">
        <f t="shared" ca="1" si="87"/>
        <v>66.92029374241595</v>
      </c>
      <c r="CG58" s="2133">
        <f t="shared" ca="1" si="87"/>
        <v>66.92029374241595</v>
      </c>
      <c r="CH58" s="2134">
        <f t="shared" ca="1" si="87"/>
        <v>66.92029374241595</v>
      </c>
      <c r="CI58" s="2131">
        <f t="shared" ca="1" si="87"/>
        <v>68.118284990189679</v>
      </c>
      <c r="CJ58" s="2133">
        <f t="shared" ca="1" si="87"/>
        <v>68.118284990189679</v>
      </c>
      <c r="CK58" s="2133">
        <f t="shared" ca="1" si="87"/>
        <v>68.118284990189679</v>
      </c>
      <c r="CL58" s="2134">
        <f t="shared" ca="1" si="87"/>
        <v>68.118284990189679</v>
      </c>
      <c r="CM58" s="2131">
        <f t="shared" ca="1" si="87"/>
        <v>68.904028601183214</v>
      </c>
      <c r="CN58" s="2133">
        <f t="shared" ca="1" si="87"/>
        <v>68.904028601183214</v>
      </c>
      <c r="CO58" s="2133">
        <f t="shared" ca="1" si="87"/>
        <v>68.904028601183214</v>
      </c>
      <c r="CP58" s="2134">
        <f t="shared" ca="1" si="87"/>
        <v>68.904028601183214</v>
      </c>
      <c r="CQ58" s="2131">
        <f t="shared" ca="1" si="87"/>
        <v>70.16095031184841</v>
      </c>
      <c r="CR58" s="2133">
        <f t="shared" ca="1" si="87"/>
        <v>70.16095031184841</v>
      </c>
      <c r="CS58" s="2133">
        <f t="shared" ca="1" si="87"/>
        <v>70.16095031184841</v>
      </c>
      <c r="CT58" s="2134">
        <f t="shared" ca="1" si="87"/>
        <v>70.16095031184841</v>
      </c>
      <c r="CU58" s="2131">
        <f t="shared" ca="1" si="87"/>
        <v>70.879373765838892</v>
      </c>
      <c r="CV58" s="2133">
        <f t="shared" ca="1" si="87"/>
        <v>70.879373765838892</v>
      </c>
      <c r="CW58" s="2133">
        <f t="shared" ca="1" si="87"/>
        <v>70.879373765838892</v>
      </c>
      <c r="CX58" s="2134">
        <f t="shared" ca="1" si="87"/>
        <v>70.879373765838892</v>
      </c>
      <c r="CY58" s="2131">
        <f t="shared" ref="CY58:ED58" ca="1" si="88">SUM(CY48:CY49)</f>
        <v>72.117746591574587</v>
      </c>
      <c r="CZ58" s="2133">
        <f t="shared" ca="1" si="88"/>
        <v>72.117746591574587</v>
      </c>
      <c r="DA58" s="2133">
        <f t="shared" ca="1" si="88"/>
        <v>72.117746591574587</v>
      </c>
      <c r="DB58" s="2134">
        <f t="shared" ca="1" si="88"/>
        <v>72.117746591574587</v>
      </c>
      <c r="DC58" s="2131">
        <f t="shared" ca="1" si="88"/>
        <v>72.847417165369507</v>
      </c>
      <c r="DD58" s="2133">
        <f t="shared" ca="1" si="88"/>
        <v>72.847417165369507</v>
      </c>
      <c r="DE58" s="2133">
        <f t="shared" ca="1" si="88"/>
        <v>72.847417165369507</v>
      </c>
      <c r="DF58" s="2134">
        <f t="shared" ca="1" si="88"/>
        <v>72.847417165369507</v>
      </c>
      <c r="DG58" s="2131">
        <f t="shared" ca="1" si="88"/>
        <v>74.22971795133742</v>
      </c>
      <c r="DH58" s="2133">
        <f t="shared" ca="1" si="88"/>
        <v>74.22971795133742</v>
      </c>
      <c r="DI58" s="2133">
        <f t="shared" ca="1" si="88"/>
        <v>74.22971795133742</v>
      </c>
      <c r="DJ58" s="2134">
        <f t="shared" ca="1" si="88"/>
        <v>74.22971795133742</v>
      </c>
      <c r="DK58" s="2131">
        <f t="shared" ca="1" si="88"/>
        <v>74.886263084347561</v>
      </c>
      <c r="DL58" s="2133">
        <f t="shared" ca="1" si="88"/>
        <v>74.886263084347561</v>
      </c>
      <c r="DM58" s="2133">
        <f t="shared" ca="1" si="88"/>
        <v>74.886263084347561</v>
      </c>
      <c r="DN58" s="2134">
        <f t="shared" ca="1" si="88"/>
        <v>74.886263084347561</v>
      </c>
      <c r="DO58" s="2131">
        <f t="shared" ca="1" si="88"/>
        <v>76.23284155904534</v>
      </c>
      <c r="DP58" s="2133">
        <f t="shared" ca="1" si="88"/>
        <v>76.23284155904534</v>
      </c>
      <c r="DQ58" s="2133">
        <f t="shared" ca="1" si="88"/>
        <v>76.23284155904534</v>
      </c>
      <c r="DR58" s="2134">
        <f t="shared" ca="1" si="88"/>
        <v>76.23284155904534</v>
      </c>
      <c r="DS58" s="2131">
        <f t="shared" ca="1" si="88"/>
        <v>78.518417254811666</v>
      </c>
      <c r="DT58" s="2133">
        <f t="shared" ca="1" si="88"/>
        <v>78.518417254811666</v>
      </c>
      <c r="DU58" s="2133">
        <f t="shared" ca="1" si="88"/>
        <v>78.518417254811666</v>
      </c>
      <c r="DV58" s="2134">
        <f t="shared" ca="1" si="88"/>
        <v>78.518417254811666</v>
      </c>
      <c r="DW58" s="2131">
        <f t="shared" ca="1" si="88"/>
        <v>80.312681857776653</v>
      </c>
      <c r="DX58" s="2133">
        <f t="shared" ca="1" si="88"/>
        <v>80.312681857776653</v>
      </c>
      <c r="DY58" s="2133">
        <f t="shared" ca="1" si="88"/>
        <v>80.312681857776653</v>
      </c>
      <c r="DZ58" s="2134">
        <f t="shared" ca="1" si="88"/>
        <v>80.312681857776653</v>
      </c>
      <c r="EA58" s="2131">
        <f t="shared" ca="1" si="88"/>
        <v>81.318726014444749</v>
      </c>
      <c r="EB58" s="2133">
        <f t="shared" ca="1" si="88"/>
        <v>81.318726014444749</v>
      </c>
      <c r="EC58" s="2133">
        <f t="shared" ca="1" si="88"/>
        <v>81.318726014444749</v>
      </c>
      <c r="ED58" s="2134">
        <f t="shared" ca="1" si="88"/>
        <v>81.318726014444749</v>
      </c>
      <c r="EE58" s="2131">
        <f t="shared" ref="EE58:FJ58" ca="1" si="89">SUM(EE48:EE49)</f>
        <v>82.867089059702195</v>
      </c>
      <c r="EF58" s="2133">
        <f t="shared" ca="1" si="89"/>
        <v>82.867089059702195</v>
      </c>
      <c r="EG58" s="2133">
        <f t="shared" ca="1" si="89"/>
        <v>82.867089059702195</v>
      </c>
      <c r="EH58" s="2134">
        <f t="shared" ca="1" si="89"/>
        <v>82.867089059702195</v>
      </c>
      <c r="EI58" s="2131">
        <f t="shared" ca="1" si="89"/>
        <v>84.166086545133723</v>
      </c>
      <c r="EJ58" s="2133">
        <f t="shared" ca="1" si="89"/>
        <v>84.166086545133723</v>
      </c>
      <c r="EK58" s="2133">
        <f t="shared" ca="1" si="89"/>
        <v>84.166086545133723</v>
      </c>
      <c r="EL58" s="2134">
        <f t="shared" ca="1" si="89"/>
        <v>84.166086545133723</v>
      </c>
      <c r="EM58" s="2131">
        <f t="shared" ca="1" si="89"/>
        <v>85.772376035140368</v>
      </c>
      <c r="EN58" s="2133">
        <f t="shared" ca="1" si="89"/>
        <v>85.772376035140368</v>
      </c>
      <c r="EO58" s="2133">
        <f t="shared" ca="1" si="89"/>
        <v>85.772376035140368</v>
      </c>
      <c r="EP58" s="2134">
        <f t="shared" ca="1" si="89"/>
        <v>85.772376035140368</v>
      </c>
      <c r="EQ58" s="2131">
        <f t="shared" ca="1" si="89"/>
        <v>86.575675506175159</v>
      </c>
      <c r="ER58" s="2133">
        <f t="shared" ca="1" si="89"/>
        <v>86.575675506175159</v>
      </c>
      <c r="ES58" s="2133">
        <f t="shared" ca="1" si="89"/>
        <v>86.575675506175159</v>
      </c>
      <c r="ET58" s="2134">
        <f t="shared" ca="1" si="89"/>
        <v>86.575675506175159</v>
      </c>
      <c r="EU58" s="2131">
        <f t="shared" ca="1" si="89"/>
        <v>88.037966093050613</v>
      </c>
      <c r="EV58" s="2133">
        <f t="shared" ca="1" si="89"/>
        <v>88.037966093050613</v>
      </c>
      <c r="EW58" s="2133">
        <f t="shared" ca="1" si="89"/>
        <v>88.037966093050613</v>
      </c>
      <c r="EX58" s="2134">
        <f t="shared" ca="1" si="89"/>
        <v>88.037966093050613</v>
      </c>
      <c r="EY58" s="2131">
        <f t="shared" ca="1" si="89"/>
        <v>89.033225984340291</v>
      </c>
      <c r="EZ58" s="2133">
        <f t="shared" ca="1" si="89"/>
        <v>89.033225984340291</v>
      </c>
      <c r="FA58" s="2133">
        <f t="shared" ca="1" si="89"/>
        <v>89.033225984340291</v>
      </c>
      <c r="FB58" s="2134">
        <f t="shared" ca="1" si="89"/>
        <v>89.033225984340291</v>
      </c>
      <c r="FC58" s="2131">
        <f t="shared" ca="1" si="89"/>
        <v>90.693251425606448</v>
      </c>
      <c r="FD58" s="2133">
        <f t="shared" ca="1" si="89"/>
        <v>90.693251425606448</v>
      </c>
      <c r="FE58" s="2133">
        <f t="shared" ca="1" si="89"/>
        <v>90.693251425606448</v>
      </c>
      <c r="FF58" s="2134">
        <f t="shared" ca="1" si="89"/>
        <v>90.693251425606448</v>
      </c>
      <c r="FG58" s="2131">
        <f t="shared" ca="1" si="89"/>
        <v>93.035087387094961</v>
      </c>
      <c r="FH58" s="2133">
        <f t="shared" ca="1" si="89"/>
        <v>93.035087387094961</v>
      </c>
      <c r="FI58" s="2133">
        <f t="shared" ca="1" si="89"/>
        <v>93.035087387094961</v>
      </c>
      <c r="FJ58" s="2134">
        <f t="shared" ca="1" si="89"/>
        <v>93.035087387094961</v>
      </c>
      <c r="FK58" s="2131">
        <f t="shared" ref="FK58:GD58" ca="1" si="90">SUM(FK48:FK49)</f>
        <v>94.536445202082476</v>
      </c>
      <c r="FL58" s="2133">
        <f t="shared" ca="1" si="90"/>
        <v>94.536445202082476</v>
      </c>
      <c r="FM58" s="2133">
        <f t="shared" ca="1" si="90"/>
        <v>0</v>
      </c>
      <c r="FN58" s="2134">
        <f t="shared" ca="1" si="90"/>
        <v>0</v>
      </c>
      <c r="FO58" s="2131">
        <f t="shared" si="90"/>
        <v>0</v>
      </c>
      <c r="FP58" s="2133">
        <f t="shared" si="90"/>
        <v>0</v>
      </c>
      <c r="FQ58" s="2133">
        <f t="shared" si="90"/>
        <v>0</v>
      </c>
      <c r="FR58" s="2134">
        <f t="shared" si="90"/>
        <v>0</v>
      </c>
      <c r="FS58" s="2131">
        <f t="shared" si="90"/>
        <v>0</v>
      </c>
      <c r="FT58" s="2133">
        <f t="shared" si="90"/>
        <v>0</v>
      </c>
      <c r="FU58" s="2133">
        <f t="shared" si="90"/>
        <v>0</v>
      </c>
      <c r="FV58" s="2134">
        <f t="shared" si="90"/>
        <v>0</v>
      </c>
      <c r="FW58" s="2131">
        <f t="shared" si="90"/>
        <v>0</v>
      </c>
      <c r="FX58" s="2133">
        <f t="shared" si="90"/>
        <v>0</v>
      </c>
      <c r="FY58" s="2133">
        <f t="shared" si="90"/>
        <v>0</v>
      </c>
      <c r="FZ58" s="2134">
        <f t="shared" si="90"/>
        <v>0</v>
      </c>
      <c r="GA58" s="2131">
        <f t="shared" si="90"/>
        <v>0</v>
      </c>
      <c r="GB58" s="2133">
        <f t="shared" si="90"/>
        <v>0</v>
      </c>
      <c r="GC58" s="2133">
        <f t="shared" si="90"/>
        <v>0</v>
      </c>
      <c r="GD58" s="2134">
        <f t="shared" si="90"/>
        <v>0</v>
      </c>
    </row>
    <row r="59" spans="1:186" ht="15" customHeight="1">
      <c r="B59" s="2085"/>
      <c r="C59" s="2135" t="s">
        <v>5260</v>
      </c>
      <c r="D59" s="2136"/>
      <c r="E59" s="2137"/>
      <c r="F59" s="2138">
        <f t="shared" ca="1" si="81"/>
        <v>10727.823042768692</v>
      </c>
      <c r="G59" s="2139">
        <f>G58</f>
        <v>47.99409836000001</v>
      </c>
      <c r="H59" s="2140">
        <f t="shared" ref="H59:N59" si="91">H58</f>
        <v>47.085413380000006</v>
      </c>
      <c r="I59" s="2140">
        <f t="shared" si="91"/>
        <v>50.833485050000007</v>
      </c>
      <c r="J59" s="2141">
        <f t="shared" si="91"/>
        <v>50.151050780000006</v>
      </c>
      <c r="K59" s="2139">
        <f t="shared" ca="1" si="91"/>
        <v>50.116796770000008</v>
      </c>
      <c r="L59" s="2140">
        <f t="shared" ca="1" si="91"/>
        <v>53.117793570000003</v>
      </c>
      <c r="M59" s="2140">
        <f t="shared" ca="1" si="91"/>
        <v>50.837996130000008</v>
      </c>
      <c r="N59" s="2141">
        <f t="shared" ca="1" si="91"/>
        <v>53.375981960000004</v>
      </c>
      <c r="O59" s="2142">
        <f>'자금운영(현금)'!BF48+'자금운영(현금)'!BF47</f>
        <v>38.942098999999999</v>
      </c>
      <c r="P59" s="2143">
        <f>'자금운영(현금)'!BG48+'자금운영(현금)'!BG47</f>
        <v>61.267215039999996</v>
      </c>
      <c r="Q59" s="2143">
        <f>'자금운영(현금)'!BH48+'자금운영(현금)'!BH47</f>
        <v>20.781527350000001</v>
      </c>
      <c r="R59" s="2144">
        <f>'자금운영(현금)'!BI48+'자금운영(현금)'!BI47</f>
        <v>10.795098100000001</v>
      </c>
      <c r="S59" s="5396">
        <f ca="1">CHOOSE($F$65,S66,S67)</f>
        <v>10.885808682043738</v>
      </c>
      <c r="T59" s="5397">
        <f t="shared" ref="T59:CE59" ca="1" si="92">CHOOSE($F$65,T66,T67)</f>
        <v>51.185422867554244</v>
      </c>
      <c r="U59" s="5397">
        <f t="shared" ca="1" si="92"/>
        <v>17.348932124688869</v>
      </c>
      <c r="V59" s="5398">
        <f t="shared" ca="1" si="92"/>
        <v>11.853819893666817</v>
      </c>
      <c r="W59" s="5396">
        <f t="shared" ca="1" si="92"/>
        <v>52.198947178131753</v>
      </c>
      <c r="X59" s="5397">
        <f t="shared" ca="1" si="92"/>
        <v>52.198947178131753</v>
      </c>
      <c r="Y59" s="5397">
        <f t="shared" ca="1" si="92"/>
        <v>52.198947178131753</v>
      </c>
      <c r="Z59" s="5398">
        <f t="shared" ca="1" si="92"/>
        <v>52.198947178131753</v>
      </c>
      <c r="AA59" s="5396">
        <f t="shared" ca="1" si="92"/>
        <v>31.759117530926552</v>
      </c>
      <c r="AB59" s="5397">
        <f t="shared" ca="1" si="92"/>
        <v>52.955041139760191</v>
      </c>
      <c r="AC59" s="5397">
        <f t="shared" ca="1" si="92"/>
        <v>52.955041139760191</v>
      </c>
      <c r="AD59" s="5398">
        <f t="shared" ca="1" si="92"/>
        <v>52.955041139760191</v>
      </c>
      <c r="AE59" s="5396">
        <f ca="1">CHOOSE($F$65,AE66,AE67)</f>
        <v>11.005462256428682</v>
      </c>
      <c r="AF59" s="5397">
        <f t="shared" ca="1" si="92"/>
        <v>53.941952959078712</v>
      </c>
      <c r="AG59" s="5397">
        <f t="shared" ca="1" si="92"/>
        <v>5.0303887482957208</v>
      </c>
      <c r="AH59" s="5398">
        <f t="shared" ca="1" si="92"/>
        <v>9.4986576611480231</v>
      </c>
      <c r="AI59" s="5396">
        <f t="shared" ca="1" si="92"/>
        <v>26.33577912321385</v>
      </c>
      <c r="AJ59" s="5397">
        <f t="shared" ca="1" si="92"/>
        <v>27.674869216027297</v>
      </c>
      <c r="AK59" s="5397">
        <f t="shared" ca="1" si="92"/>
        <v>21.993951923497768</v>
      </c>
      <c r="AL59" s="5398">
        <f t="shared" ca="1" si="92"/>
        <v>33.616980881027295</v>
      </c>
      <c r="AM59" s="5396">
        <f t="shared" ca="1" si="92"/>
        <v>55.647329735854434</v>
      </c>
      <c r="AN59" s="5397">
        <f t="shared" ca="1" si="92"/>
        <v>55.647329735854434</v>
      </c>
      <c r="AO59" s="5397">
        <f t="shared" ca="1" si="92"/>
        <v>55.647329735854434</v>
      </c>
      <c r="AP59" s="5398">
        <f t="shared" ca="1" si="92"/>
        <v>55.647329735854434</v>
      </c>
      <c r="AQ59" s="5396">
        <f t="shared" ca="1" si="92"/>
        <v>57.292651928915262</v>
      </c>
      <c r="AR59" s="5397">
        <f t="shared" ca="1" si="92"/>
        <v>57.292651928915262</v>
      </c>
      <c r="AS59" s="5397">
        <f t="shared" ca="1" si="92"/>
        <v>57.292651928915262</v>
      </c>
      <c r="AT59" s="5398">
        <f t="shared" ca="1" si="92"/>
        <v>57.292651928915262</v>
      </c>
      <c r="AU59" s="5396">
        <f t="shared" ca="1" si="92"/>
        <v>58.709104473413383</v>
      </c>
      <c r="AV59" s="5397">
        <f t="shared" ca="1" si="92"/>
        <v>58.709104473413383</v>
      </c>
      <c r="AW59" s="5397">
        <f t="shared" ca="1" si="92"/>
        <v>58.709104473413383</v>
      </c>
      <c r="AX59" s="5398">
        <f t="shared" ca="1" si="92"/>
        <v>58.709104473413383</v>
      </c>
      <c r="AY59" s="5396">
        <f t="shared" ca="1" si="92"/>
        <v>59.515459654326541</v>
      </c>
      <c r="AZ59" s="5397">
        <f t="shared" ca="1" si="92"/>
        <v>59.515459654326541</v>
      </c>
      <c r="BA59" s="5397">
        <f t="shared" ca="1" si="92"/>
        <v>59.515459654326541</v>
      </c>
      <c r="BB59" s="5398">
        <f t="shared" ca="1" si="92"/>
        <v>59.515459654326541</v>
      </c>
      <c r="BC59" s="5396">
        <f t="shared" ca="1" si="92"/>
        <v>60.569830699742219</v>
      </c>
      <c r="BD59" s="5397">
        <f t="shared" ca="1" si="92"/>
        <v>60.569830699742219</v>
      </c>
      <c r="BE59" s="5397">
        <f t="shared" ca="1" si="92"/>
        <v>60.569830699742219</v>
      </c>
      <c r="BF59" s="5398">
        <f t="shared" ca="1" si="92"/>
        <v>60.569830699742219</v>
      </c>
      <c r="BG59" s="5396">
        <f t="shared" ca="1" si="92"/>
        <v>61.614873021461818</v>
      </c>
      <c r="BH59" s="5397">
        <f t="shared" ca="1" si="92"/>
        <v>61.614873021461818</v>
      </c>
      <c r="BI59" s="5397">
        <f t="shared" ca="1" si="92"/>
        <v>61.614873021461818</v>
      </c>
      <c r="BJ59" s="5398">
        <f t="shared" ca="1" si="92"/>
        <v>61.614873021461818</v>
      </c>
      <c r="BK59" s="5396">
        <f t="shared" ca="1" si="92"/>
        <v>62.806854280379554</v>
      </c>
      <c r="BL59" s="5397">
        <f t="shared" ca="1" si="92"/>
        <v>62.806854280379554</v>
      </c>
      <c r="BM59" s="5397">
        <f t="shared" ca="1" si="92"/>
        <v>62.806854280379554</v>
      </c>
      <c r="BN59" s="5398">
        <f t="shared" ca="1" si="92"/>
        <v>62.806854280379554</v>
      </c>
      <c r="BO59" s="5396">
        <f t="shared" ca="1" si="92"/>
        <v>63.354756348140796</v>
      </c>
      <c r="BP59" s="5397">
        <f t="shared" ca="1" si="92"/>
        <v>63.354756348140796</v>
      </c>
      <c r="BQ59" s="5397">
        <f t="shared" ca="1" si="92"/>
        <v>63.354756348140796</v>
      </c>
      <c r="BR59" s="5398">
        <f t="shared" ca="1" si="92"/>
        <v>63.354756348140796</v>
      </c>
      <c r="BS59" s="5396">
        <f t="shared" ca="1" si="92"/>
        <v>64.447166328265624</v>
      </c>
      <c r="BT59" s="5397">
        <f t="shared" ca="1" si="92"/>
        <v>64.447166328265624</v>
      </c>
      <c r="BU59" s="5397">
        <f t="shared" ca="1" si="92"/>
        <v>64.447166328265624</v>
      </c>
      <c r="BV59" s="5398">
        <f t="shared" ca="1" si="92"/>
        <v>64.447166328265624</v>
      </c>
      <c r="BW59" s="5396">
        <f t="shared" ca="1" si="92"/>
        <v>65.095757092070926</v>
      </c>
      <c r="BX59" s="5397">
        <f t="shared" ca="1" si="92"/>
        <v>65.095757092070926</v>
      </c>
      <c r="BY59" s="5397">
        <f t="shared" ca="1" si="92"/>
        <v>65.095757092070926</v>
      </c>
      <c r="BZ59" s="5398">
        <f t="shared" ca="1" si="92"/>
        <v>65.095757092070926</v>
      </c>
      <c r="CA59" s="5396">
        <f t="shared" ca="1" si="92"/>
        <v>66.233600729782083</v>
      </c>
      <c r="CB59" s="5397">
        <f t="shared" ca="1" si="92"/>
        <v>66.233600729782083</v>
      </c>
      <c r="CC59" s="5397">
        <f t="shared" ca="1" si="92"/>
        <v>66.233600729782083</v>
      </c>
      <c r="CD59" s="5398">
        <f t="shared" ca="1" si="92"/>
        <v>66.233600729782083</v>
      </c>
      <c r="CE59" s="5396">
        <f t="shared" ca="1" si="92"/>
        <v>66.92029374241595</v>
      </c>
      <c r="CF59" s="5397">
        <f t="shared" ref="CF59:EQ59" ca="1" si="93">CHOOSE($F$65,CF66,CF67)</f>
        <v>66.92029374241595</v>
      </c>
      <c r="CG59" s="5397">
        <f t="shared" ca="1" si="93"/>
        <v>66.92029374241595</v>
      </c>
      <c r="CH59" s="5398">
        <f t="shared" ca="1" si="93"/>
        <v>66.92029374241595</v>
      </c>
      <c r="CI59" s="5396">
        <f t="shared" ca="1" si="93"/>
        <v>68.118284990189679</v>
      </c>
      <c r="CJ59" s="5397">
        <f t="shared" ca="1" si="93"/>
        <v>68.118284990189679</v>
      </c>
      <c r="CK59" s="5397">
        <f t="shared" ca="1" si="93"/>
        <v>68.118284990189679</v>
      </c>
      <c r="CL59" s="5398">
        <f t="shared" ca="1" si="93"/>
        <v>68.118284990189679</v>
      </c>
      <c r="CM59" s="5396">
        <f t="shared" ca="1" si="93"/>
        <v>68.904028601183214</v>
      </c>
      <c r="CN59" s="5397">
        <f t="shared" ca="1" si="93"/>
        <v>68.904028601183214</v>
      </c>
      <c r="CO59" s="5397">
        <f t="shared" ca="1" si="93"/>
        <v>68.904028601183214</v>
      </c>
      <c r="CP59" s="5398">
        <f t="shared" ca="1" si="93"/>
        <v>68.904028601183214</v>
      </c>
      <c r="CQ59" s="5396">
        <f t="shared" ca="1" si="93"/>
        <v>70.16095031184841</v>
      </c>
      <c r="CR59" s="5397">
        <f t="shared" ca="1" si="93"/>
        <v>70.16095031184841</v>
      </c>
      <c r="CS59" s="5397">
        <f t="shared" ca="1" si="93"/>
        <v>70.16095031184841</v>
      </c>
      <c r="CT59" s="5398">
        <f t="shared" ca="1" si="93"/>
        <v>70.16095031184841</v>
      </c>
      <c r="CU59" s="5396">
        <f t="shared" ca="1" si="93"/>
        <v>70.879373765838892</v>
      </c>
      <c r="CV59" s="5397">
        <f t="shared" ca="1" si="93"/>
        <v>70.879373765838892</v>
      </c>
      <c r="CW59" s="5397">
        <f t="shared" ca="1" si="93"/>
        <v>70.879373765838892</v>
      </c>
      <c r="CX59" s="5398">
        <f t="shared" ca="1" si="93"/>
        <v>70.879373765838892</v>
      </c>
      <c r="CY59" s="5396">
        <f t="shared" ca="1" si="93"/>
        <v>72.117746591574587</v>
      </c>
      <c r="CZ59" s="5397">
        <f t="shared" ca="1" si="93"/>
        <v>72.117746591574587</v>
      </c>
      <c r="DA59" s="5397">
        <f t="shared" ca="1" si="93"/>
        <v>72.117746591574587</v>
      </c>
      <c r="DB59" s="5398">
        <f t="shared" ca="1" si="93"/>
        <v>72.117746591574587</v>
      </c>
      <c r="DC59" s="5396">
        <f t="shared" ca="1" si="93"/>
        <v>72.847417165369507</v>
      </c>
      <c r="DD59" s="5397">
        <f t="shared" ca="1" si="93"/>
        <v>72.847417165369507</v>
      </c>
      <c r="DE59" s="5397">
        <f t="shared" ca="1" si="93"/>
        <v>72.847417165369507</v>
      </c>
      <c r="DF59" s="5398">
        <f t="shared" ca="1" si="93"/>
        <v>72.847417165369507</v>
      </c>
      <c r="DG59" s="5396">
        <f t="shared" ca="1" si="93"/>
        <v>74.22971795133742</v>
      </c>
      <c r="DH59" s="5397">
        <f t="shared" ca="1" si="93"/>
        <v>74.22971795133742</v>
      </c>
      <c r="DI59" s="5397">
        <f t="shared" ca="1" si="93"/>
        <v>74.22971795133742</v>
      </c>
      <c r="DJ59" s="5398">
        <f t="shared" ca="1" si="93"/>
        <v>74.22971795133742</v>
      </c>
      <c r="DK59" s="5396">
        <f t="shared" ca="1" si="93"/>
        <v>74.886263084347561</v>
      </c>
      <c r="DL59" s="5397">
        <f t="shared" ca="1" si="93"/>
        <v>74.886263084347561</v>
      </c>
      <c r="DM59" s="5397">
        <f t="shared" ca="1" si="93"/>
        <v>74.886263084347561</v>
      </c>
      <c r="DN59" s="5398">
        <f t="shared" ca="1" si="93"/>
        <v>74.886263084347561</v>
      </c>
      <c r="DO59" s="5396">
        <f t="shared" ca="1" si="93"/>
        <v>76.23284155904534</v>
      </c>
      <c r="DP59" s="5397">
        <f t="shared" ca="1" si="93"/>
        <v>76.23284155904534</v>
      </c>
      <c r="DQ59" s="5397">
        <f t="shared" ca="1" si="93"/>
        <v>76.23284155904534</v>
      </c>
      <c r="DR59" s="5398">
        <f t="shared" ca="1" si="93"/>
        <v>76.23284155904534</v>
      </c>
      <c r="DS59" s="5396">
        <f t="shared" ca="1" si="93"/>
        <v>78.518417254811666</v>
      </c>
      <c r="DT59" s="5397">
        <f t="shared" ca="1" si="93"/>
        <v>78.518417254811666</v>
      </c>
      <c r="DU59" s="5397">
        <f t="shared" ca="1" si="93"/>
        <v>78.518417254811666</v>
      </c>
      <c r="DV59" s="5398">
        <f t="shared" ca="1" si="93"/>
        <v>78.518417254811666</v>
      </c>
      <c r="DW59" s="5396">
        <f t="shared" ca="1" si="93"/>
        <v>80.312681857776653</v>
      </c>
      <c r="DX59" s="5397">
        <f t="shared" ca="1" si="93"/>
        <v>80.312681857776653</v>
      </c>
      <c r="DY59" s="5397">
        <f t="shared" ca="1" si="93"/>
        <v>80.312681857776653</v>
      </c>
      <c r="DZ59" s="5398">
        <f t="shared" ca="1" si="93"/>
        <v>80.312681857776653</v>
      </c>
      <c r="EA59" s="5396">
        <f t="shared" ca="1" si="93"/>
        <v>81.318726014444749</v>
      </c>
      <c r="EB59" s="5397">
        <f t="shared" ca="1" si="93"/>
        <v>81.318726014444749</v>
      </c>
      <c r="EC59" s="5397">
        <f t="shared" ca="1" si="93"/>
        <v>81.318726014444749</v>
      </c>
      <c r="ED59" s="5398">
        <f t="shared" ca="1" si="93"/>
        <v>81.318726014444749</v>
      </c>
      <c r="EE59" s="5396">
        <f t="shared" ca="1" si="93"/>
        <v>82.867089059702195</v>
      </c>
      <c r="EF59" s="5397">
        <f t="shared" ca="1" si="93"/>
        <v>82.867089059702195</v>
      </c>
      <c r="EG59" s="5397">
        <f t="shared" ca="1" si="93"/>
        <v>82.867089059702195</v>
      </c>
      <c r="EH59" s="5398">
        <f t="shared" ca="1" si="93"/>
        <v>82.867089059702195</v>
      </c>
      <c r="EI59" s="5396">
        <f t="shared" ca="1" si="93"/>
        <v>84.166086545133723</v>
      </c>
      <c r="EJ59" s="5397">
        <f t="shared" ca="1" si="93"/>
        <v>84.166086545133723</v>
      </c>
      <c r="EK59" s="5397">
        <f t="shared" ca="1" si="93"/>
        <v>84.166086545133723</v>
      </c>
      <c r="EL59" s="5398">
        <f t="shared" ca="1" si="93"/>
        <v>84.166086545133723</v>
      </c>
      <c r="EM59" s="5396">
        <f t="shared" ca="1" si="93"/>
        <v>85.772376035140368</v>
      </c>
      <c r="EN59" s="5397">
        <f t="shared" ca="1" si="93"/>
        <v>85.772376035140368</v>
      </c>
      <c r="EO59" s="5397">
        <f t="shared" ca="1" si="93"/>
        <v>85.772376035140368</v>
      </c>
      <c r="EP59" s="5398">
        <f t="shared" ca="1" si="93"/>
        <v>85.772376035140368</v>
      </c>
      <c r="EQ59" s="5396">
        <f t="shared" ca="1" si="93"/>
        <v>86.575675506175159</v>
      </c>
      <c r="ER59" s="5397">
        <f t="shared" ref="ER59:GD59" ca="1" si="94">CHOOSE($F$65,ER66,ER67)</f>
        <v>86.575675506175159</v>
      </c>
      <c r="ES59" s="5397">
        <f t="shared" ca="1" si="94"/>
        <v>86.575675506175159</v>
      </c>
      <c r="ET59" s="5398">
        <f t="shared" ca="1" si="94"/>
        <v>86.575675506175159</v>
      </c>
      <c r="EU59" s="5396">
        <f t="shared" ca="1" si="94"/>
        <v>88.037966093050613</v>
      </c>
      <c r="EV59" s="5397">
        <f t="shared" ca="1" si="94"/>
        <v>88.037966093050613</v>
      </c>
      <c r="EW59" s="5397">
        <f t="shared" ca="1" si="94"/>
        <v>88.037966093050613</v>
      </c>
      <c r="EX59" s="5398">
        <f t="shared" ca="1" si="94"/>
        <v>88.037966093050613</v>
      </c>
      <c r="EY59" s="5396">
        <f t="shared" ca="1" si="94"/>
        <v>89.033225984340291</v>
      </c>
      <c r="EZ59" s="5397">
        <f t="shared" ca="1" si="94"/>
        <v>89.033225984340291</v>
      </c>
      <c r="FA59" s="5397">
        <f t="shared" ca="1" si="94"/>
        <v>89.033225984340291</v>
      </c>
      <c r="FB59" s="5398">
        <f t="shared" ca="1" si="94"/>
        <v>89.033225984340291</v>
      </c>
      <c r="FC59" s="5396">
        <f t="shared" ca="1" si="94"/>
        <v>90.693251425606448</v>
      </c>
      <c r="FD59" s="5397">
        <f t="shared" ca="1" si="94"/>
        <v>90.693251425606448</v>
      </c>
      <c r="FE59" s="5397">
        <f t="shared" ca="1" si="94"/>
        <v>90.693251425606448</v>
      </c>
      <c r="FF59" s="5398">
        <f t="shared" ca="1" si="94"/>
        <v>90.693251425606448</v>
      </c>
      <c r="FG59" s="5396">
        <f t="shared" ca="1" si="94"/>
        <v>93.035087387094961</v>
      </c>
      <c r="FH59" s="5397">
        <f t="shared" ca="1" si="94"/>
        <v>93.035087387094961</v>
      </c>
      <c r="FI59" s="5397">
        <f t="shared" ca="1" si="94"/>
        <v>93.035087387094961</v>
      </c>
      <c r="FJ59" s="5398">
        <f t="shared" ca="1" si="94"/>
        <v>93.035087387094961</v>
      </c>
      <c r="FK59" s="5396">
        <f t="shared" ca="1" si="94"/>
        <v>94.536445202082476</v>
      </c>
      <c r="FL59" s="5397">
        <f t="shared" ca="1" si="94"/>
        <v>94.536445202082476</v>
      </c>
      <c r="FM59" s="5397">
        <f t="shared" ca="1" si="94"/>
        <v>0</v>
      </c>
      <c r="FN59" s="5398">
        <f t="shared" ca="1" si="94"/>
        <v>0</v>
      </c>
      <c r="FO59" s="5396">
        <f t="shared" ca="1" si="94"/>
        <v>0</v>
      </c>
      <c r="FP59" s="5397">
        <f t="shared" ca="1" si="94"/>
        <v>0</v>
      </c>
      <c r="FQ59" s="5397">
        <f t="shared" ca="1" si="94"/>
        <v>0</v>
      </c>
      <c r="FR59" s="5398">
        <f t="shared" ca="1" si="94"/>
        <v>0</v>
      </c>
      <c r="FS59" s="5396">
        <f t="shared" ca="1" si="94"/>
        <v>0</v>
      </c>
      <c r="FT59" s="5397">
        <f t="shared" ca="1" si="94"/>
        <v>0</v>
      </c>
      <c r="FU59" s="5397">
        <f t="shared" ca="1" si="94"/>
        <v>0</v>
      </c>
      <c r="FV59" s="5398">
        <f t="shared" ca="1" si="94"/>
        <v>0</v>
      </c>
      <c r="FW59" s="5396">
        <f t="shared" ca="1" si="94"/>
        <v>0</v>
      </c>
      <c r="FX59" s="5397">
        <f t="shared" ca="1" si="94"/>
        <v>0</v>
      </c>
      <c r="FY59" s="5397">
        <f t="shared" ca="1" si="94"/>
        <v>0</v>
      </c>
      <c r="FZ59" s="5398">
        <f t="shared" ca="1" si="94"/>
        <v>0</v>
      </c>
      <c r="GA59" s="5396">
        <f t="shared" ca="1" si="94"/>
        <v>0</v>
      </c>
      <c r="GB59" s="5397">
        <f t="shared" ca="1" si="94"/>
        <v>0</v>
      </c>
      <c r="GC59" s="5397">
        <f t="shared" ca="1" si="94"/>
        <v>0</v>
      </c>
      <c r="GD59" s="5398">
        <f t="shared" ca="1" si="94"/>
        <v>0</v>
      </c>
    </row>
    <row r="60" spans="1:186" s="768" customFormat="1" ht="15" customHeight="1">
      <c r="A60" s="4924"/>
      <c r="B60" s="5370"/>
      <c r="C60" s="5371" t="s">
        <v>3769</v>
      </c>
      <c r="D60" s="5372"/>
      <c r="E60" s="5373"/>
      <c r="F60" s="5374">
        <f>SUM(G60:GD60)</f>
        <v>0</v>
      </c>
      <c r="G60" s="5364"/>
      <c r="H60" s="5365"/>
      <c r="I60" s="5365"/>
      <c r="J60" s="5366"/>
      <c r="K60" s="5364"/>
      <c r="L60" s="5365"/>
      <c r="M60" s="5365"/>
      <c r="N60" s="5366"/>
      <c r="O60" s="5367"/>
      <c r="P60" s="5368"/>
      <c r="Q60" s="5368"/>
      <c r="R60" s="5369"/>
      <c r="S60" s="5364"/>
      <c r="T60" s="5365"/>
      <c r="U60" s="5365"/>
      <c r="V60" s="5366"/>
      <c r="W60" s="5364"/>
      <c r="X60" s="5365"/>
      <c r="Y60" s="5365"/>
      <c r="Z60" s="5366"/>
      <c r="AA60" s="5364"/>
      <c r="AB60" s="5365"/>
      <c r="AC60" s="5365"/>
      <c r="AD60" s="5366"/>
      <c r="AE60" s="5364"/>
      <c r="AF60" s="5365"/>
      <c r="AG60" s="5365"/>
      <c r="AH60" s="5366"/>
      <c r="AI60" s="5364"/>
      <c r="AJ60" s="5365"/>
      <c r="AK60" s="5365"/>
      <c r="AL60" s="5366"/>
      <c r="AM60" s="5364"/>
      <c r="AN60" s="5365"/>
      <c r="AO60" s="5365"/>
      <c r="AP60" s="5366"/>
      <c r="AQ60" s="5364"/>
      <c r="AR60" s="5365"/>
      <c r="AS60" s="5365"/>
      <c r="AT60" s="5366"/>
      <c r="AU60" s="5364"/>
      <c r="AV60" s="5365"/>
      <c r="AW60" s="5365"/>
      <c r="AX60" s="5366"/>
      <c r="AY60" s="5364"/>
      <c r="AZ60" s="5365"/>
      <c r="BA60" s="5365"/>
      <c r="BB60" s="5366"/>
      <c r="BC60" s="5364"/>
      <c r="BD60" s="5365"/>
      <c r="BE60" s="5365"/>
      <c r="BF60" s="5366"/>
      <c r="BG60" s="5364"/>
      <c r="BH60" s="5365"/>
      <c r="BI60" s="5365"/>
      <c r="BJ60" s="5366"/>
      <c r="BK60" s="5364"/>
      <c r="BL60" s="5365"/>
      <c r="BM60" s="5365"/>
      <c r="BN60" s="5366"/>
      <c r="BO60" s="5364"/>
      <c r="BP60" s="5365"/>
      <c r="BQ60" s="5365"/>
      <c r="BR60" s="5366"/>
      <c r="BS60" s="5364"/>
      <c r="BT60" s="5365"/>
      <c r="BU60" s="5365"/>
      <c r="BV60" s="5366"/>
      <c r="BW60" s="5364"/>
      <c r="BX60" s="5365"/>
      <c r="BY60" s="5365"/>
      <c r="BZ60" s="5366"/>
      <c r="CA60" s="5364"/>
      <c r="CB60" s="5365"/>
      <c r="CC60" s="5365"/>
      <c r="CD60" s="5366"/>
      <c r="CE60" s="5364"/>
      <c r="CF60" s="5365"/>
      <c r="CG60" s="5365"/>
      <c r="CH60" s="5366"/>
      <c r="CI60" s="5364"/>
      <c r="CJ60" s="5365"/>
      <c r="CK60" s="5365"/>
      <c r="CL60" s="5366"/>
      <c r="CM60" s="5364"/>
      <c r="CN60" s="5365"/>
      <c r="CO60" s="5365"/>
      <c r="CP60" s="5366"/>
      <c r="CQ60" s="5364"/>
      <c r="CR60" s="5365"/>
      <c r="CS60" s="5365"/>
      <c r="CT60" s="5366"/>
      <c r="CU60" s="5364"/>
      <c r="CV60" s="5365"/>
      <c r="CW60" s="5365"/>
      <c r="CX60" s="5366"/>
      <c r="CY60" s="5364"/>
      <c r="CZ60" s="5365"/>
      <c r="DA60" s="5365"/>
      <c r="DB60" s="5366"/>
      <c r="DC60" s="5364"/>
      <c r="DD60" s="5365"/>
      <c r="DE60" s="5365"/>
      <c r="DF60" s="5366"/>
      <c r="DG60" s="5364"/>
      <c r="DH60" s="5365"/>
      <c r="DI60" s="5365"/>
      <c r="DJ60" s="5366"/>
      <c r="DK60" s="5364"/>
      <c r="DL60" s="5365"/>
      <c r="DM60" s="5365"/>
      <c r="DN60" s="5366"/>
      <c r="DO60" s="5364"/>
      <c r="DP60" s="5365"/>
      <c r="DQ60" s="5365"/>
      <c r="DR60" s="5366"/>
      <c r="DS60" s="5364"/>
      <c r="DT60" s="5365"/>
      <c r="DU60" s="5365"/>
      <c r="DV60" s="5366"/>
      <c r="DW60" s="5364"/>
      <c r="DX60" s="5365"/>
      <c r="DY60" s="5365"/>
      <c r="DZ60" s="5366"/>
      <c r="EA60" s="5364"/>
      <c r="EB60" s="5365"/>
      <c r="EC60" s="5365"/>
      <c r="ED60" s="5366"/>
      <c r="EE60" s="5364"/>
      <c r="EF60" s="5365"/>
      <c r="EG60" s="5365"/>
      <c r="EH60" s="5366"/>
      <c r="EI60" s="5364"/>
      <c r="EJ60" s="5365"/>
      <c r="EK60" s="5365"/>
      <c r="EL60" s="5366"/>
      <c r="EM60" s="5364"/>
      <c r="EN60" s="5365"/>
      <c r="EO60" s="5365"/>
      <c r="EP60" s="5366"/>
      <c r="EQ60" s="5364"/>
      <c r="ER60" s="5365"/>
      <c r="ES60" s="5365"/>
      <c r="ET60" s="5366"/>
      <c r="EU60" s="5364"/>
      <c r="EV60" s="5365"/>
      <c r="EW60" s="5365"/>
      <c r="EX60" s="5366"/>
      <c r="EY60" s="5364"/>
      <c r="EZ60" s="5365"/>
      <c r="FA60" s="5365"/>
      <c r="FB60" s="5366"/>
      <c r="FC60" s="5364"/>
      <c r="FD60" s="5365"/>
      <c r="FE60" s="5365"/>
      <c r="FF60" s="5366"/>
      <c r="FG60" s="5364"/>
      <c r="FH60" s="5365"/>
      <c r="FI60" s="5365"/>
      <c r="FJ60" s="5366"/>
      <c r="FK60" s="5364"/>
      <c r="FL60" s="5365"/>
      <c r="FM60" s="5365"/>
      <c r="FN60" s="5366"/>
      <c r="FO60" s="5364"/>
      <c r="FP60" s="5365"/>
      <c r="FQ60" s="5365"/>
      <c r="FR60" s="5366"/>
      <c r="FS60" s="5364"/>
      <c r="FT60" s="5365"/>
      <c r="FU60" s="5365"/>
      <c r="FV60" s="5366"/>
      <c r="FW60" s="5364"/>
      <c r="FX60" s="5365"/>
      <c r="FY60" s="5365"/>
      <c r="FZ60" s="5366"/>
      <c r="GA60" s="5364"/>
      <c r="GB60" s="5365"/>
      <c r="GC60" s="5365"/>
      <c r="GD60" s="5366"/>
    </row>
    <row r="61" spans="1:186" ht="15" customHeight="1">
      <c r="B61" s="2085"/>
      <c r="C61" s="2135" t="s">
        <v>3768</v>
      </c>
      <c r="D61" s="2136"/>
      <c r="E61" s="2137"/>
      <c r="F61" s="2138">
        <f t="shared" ca="1" si="81"/>
        <v>449.58116095633551</v>
      </c>
      <c r="G61" s="2139">
        <f ca="1">G64*($F$65=2)</f>
        <v>0</v>
      </c>
      <c r="H61" s="2140">
        <f t="shared" ref="H61:BS61" ca="1" si="95">H64*($F$65=2)</f>
        <v>0</v>
      </c>
      <c r="I61" s="2140">
        <f t="shared" ca="1" si="95"/>
        <v>0</v>
      </c>
      <c r="J61" s="2141">
        <f t="shared" ca="1" si="95"/>
        <v>0</v>
      </c>
      <c r="K61" s="2139">
        <f t="shared" ca="1" si="95"/>
        <v>0</v>
      </c>
      <c r="L61" s="2140">
        <f t="shared" ca="1" si="95"/>
        <v>0</v>
      </c>
      <c r="M61" s="2140">
        <f t="shared" ca="1" si="95"/>
        <v>0</v>
      </c>
      <c r="N61" s="2141">
        <f t="shared" ca="1" si="95"/>
        <v>0</v>
      </c>
      <c r="O61" s="2139">
        <f t="shared" ca="1" si="95"/>
        <v>0</v>
      </c>
      <c r="P61" s="2140">
        <f t="shared" ca="1" si="95"/>
        <v>0</v>
      </c>
      <c r="Q61" s="2140">
        <f t="shared" ca="1" si="95"/>
        <v>0</v>
      </c>
      <c r="R61" s="2141">
        <f t="shared" ca="1" si="95"/>
        <v>0</v>
      </c>
      <c r="S61" s="5396">
        <f t="shared" ca="1" si="95"/>
        <v>0</v>
      </c>
      <c r="T61" s="5397">
        <f t="shared" ca="1" si="95"/>
        <v>0</v>
      </c>
      <c r="U61" s="5397">
        <f t="shared" ca="1" si="95"/>
        <v>0</v>
      </c>
      <c r="V61" s="5398">
        <f t="shared" ca="1" si="95"/>
        <v>0</v>
      </c>
      <c r="W61" s="5396">
        <f t="shared" ca="1" si="95"/>
        <v>0</v>
      </c>
      <c r="X61" s="5397">
        <f t="shared" ca="1" si="95"/>
        <v>0</v>
      </c>
      <c r="Y61" s="5397">
        <f t="shared" ca="1" si="95"/>
        <v>0</v>
      </c>
      <c r="Z61" s="5398">
        <f t="shared" ca="1" si="95"/>
        <v>0</v>
      </c>
      <c r="AA61" s="5396">
        <f t="shared" ca="1" si="95"/>
        <v>0</v>
      </c>
      <c r="AB61" s="5397">
        <f t="shared" ca="1" si="95"/>
        <v>0</v>
      </c>
      <c r="AC61" s="5397">
        <f t="shared" ca="1" si="95"/>
        <v>0</v>
      </c>
      <c r="AD61" s="5398">
        <f t="shared" ca="1" si="95"/>
        <v>0</v>
      </c>
      <c r="AE61" s="5396">
        <f t="shared" ca="1" si="95"/>
        <v>0</v>
      </c>
      <c r="AF61" s="5397">
        <f t="shared" ca="1" si="95"/>
        <v>0</v>
      </c>
      <c r="AG61" s="5397">
        <f t="shared" ca="1" si="95"/>
        <v>0</v>
      </c>
      <c r="AH61" s="5398">
        <f t="shared" ca="1" si="95"/>
        <v>0</v>
      </c>
      <c r="AI61" s="5396">
        <f t="shared" ca="1" si="95"/>
        <v>0</v>
      </c>
      <c r="AJ61" s="5397">
        <f t="shared" ca="1" si="95"/>
        <v>0</v>
      </c>
      <c r="AK61" s="5397">
        <f t="shared" ca="1" si="95"/>
        <v>0</v>
      </c>
      <c r="AL61" s="5398">
        <f t="shared" ca="1" si="95"/>
        <v>0</v>
      </c>
      <c r="AM61" s="5396">
        <f t="shared" ca="1" si="95"/>
        <v>0</v>
      </c>
      <c r="AN61" s="5397">
        <f t="shared" ca="1" si="95"/>
        <v>0</v>
      </c>
      <c r="AO61" s="5397">
        <f t="shared" ca="1" si="95"/>
        <v>0</v>
      </c>
      <c r="AP61" s="5398">
        <f t="shared" ca="1" si="95"/>
        <v>0</v>
      </c>
      <c r="AQ61" s="5396">
        <f t="shared" ca="1" si="95"/>
        <v>0</v>
      </c>
      <c r="AR61" s="5397">
        <f t="shared" ca="1" si="95"/>
        <v>0</v>
      </c>
      <c r="AS61" s="5397">
        <f t="shared" ca="1" si="95"/>
        <v>0</v>
      </c>
      <c r="AT61" s="5398">
        <f t="shared" ca="1" si="95"/>
        <v>0</v>
      </c>
      <c r="AU61" s="5396">
        <f t="shared" ca="1" si="95"/>
        <v>0</v>
      </c>
      <c r="AV61" s="5397">
        <f t="shared" ca="1" si="95"/>
        <v>0</v>
      </c>
      <c r="AW61" s="5397">
        <f t="shared" ca="1" si="95"/>
        <v>0</v>
      </c>
      <c r="AX61" s="5398">
        <f t="shared" ca="1" si="95"/>
        <v>0</v>
      </c>
      <c r="AY61" s="5396">
        <f t="shared" ca="1" si="95"/>
        <v>0</v>
      </c>
      <c r="AZ61" s="5397">
        <f t="shared" ca="1" si="95"/>
        <v>0</v>
      </c>
      <c r="BA61" s="5397">
        <f t="shared" ca="1" si="95"/>
        <v>0</v>
      </c>
      <c r="BB61" s="5398">
        <f t="shared" ca="1" si="95"/>
        <v>0</v>
      </c>
      <c r="BC61" s="5396">
        <f t="shared" ca="1" si="95"/>
        <v>0</v>
      </c>
      <c r="BD61" s="5397">
        <f t="shared" ca="1" si="95"/>
        <v>0</v>
      </c>
      <c r="BE61" s="5397">
        <f t="shared" ca="1" si="95"/>
        <v>0</v>
      </c>
      <c r="BF61" s="5398">
        <f t="shared" ca="1" si="95"/>
        <v>0</v>
      </c>
      <c r="BG61" s="5396">
        <f t="shared" ca="1" si="95"/>
        <v>0</v>
      </c>
      <c r="BH61" s="5397">
        <f t="shared" ca="1" si="95"/>
        <v>0</v>
      </c>
      <c r="BI61" s="5397">
        <f t="shared" ca="1" si="95"/>
        <v>0</v>
      </c>
      <c r="BJ61" s="5398">
        <f t="shared" ca="1" si="95"/>
        <v>0</v>
      </c>
      <c r="BK61" s="5396">
        <f t="shared" ca="1" si="95"/>
        <v>0</v>
      </c>
      <c r="BL61" s="5397">
        <f t="shared" ca="1" si="95"/>
        <v>0</v>
      </c>
      <c r="BM61" s="5397">
        <f t="shared" ca="1" si="95"/>
        <v>0</v>
      </c>
      <c r="BN61" s="5398">
        <f t="shared" ca="1" si="95"/>
        <v>0</v>
      </c>
      <c r="BO61" s="5396">
        <f t="shared" ca="1" si="95"/>
        <v>6.9601859712643455</v>
      </c>
      <c r="BP61" s="5397">
        <f t="shared" ca="1" si="95"/>
        <v>0</v>
      </c>
      <c r="BQ61" s="5397">
        <f t="shared" ca="1" si="95"/>
        <v>0</v>
      </c>
      <c r="BR61" s="5398">
        <f t="shared" ca="1" si="95"/>
        <v>0</v>
      </c>
      <c r="BS61" s="5396">
        <f t="shared" ca="1" si="95"/>
        <v>21.342732529732551</v>
      </c>
      <c r="BT61" s="5397">
        <f t="shared" ref="BT61:EE61" ca="1" si="96">BT64*($F$65=2)</f>
        <v>0</v>
      </c>
      <c r="BU61" s="5397">
        <f t="shared" ca="1" si="96"/>
        <v>0</v>
      </c>
      <c r="BV61" s="5398">
        <f t="shared" ca="1" si="96"/>
        <v>0</v>
      </c>
      <c r="BW61" s="5396">
        <f t="shared" ca="1" si="96"/>
        <v>24.911065362358926</v>
      </c>
      <c r="BX61" s="5397">
        <f t="shared" ca="1" si="96"/>
        <v>0</v>
      </c>
      <c r="BY61" s="5397">
        <f t="shared" ca="1" si="96"/>
        <v>0</v>
      </c>
      <c r="BZ61" s="5398">
        <f t="shared" ca="1" si="96"/>
        <v>0</v>
      </c>
      <c r="CA61" s="5396">
        <f t="shared" ca="1" si="96"/>
        <v>43.839672909301257</v>
      </c>
      <c r="CB61" s="5397">
        <f t="shared" ca="1" si="96"/>
        <v>0</v>
      </c>
      <c r="CC61" s="5397">
        <f t="shared" ca="1" si="96"/>
        <v>0</v>
      </c>
      <c r="CD61" s="5398">
        <f t="shared" ca="1" si="96"/>
        <v>0</v>
      </c>
      <c r="CE61" s="5396">
        <f t="shared" ca="1" si="96"/>
        <v>45.92</v>
      </c>
      <c r="CF61" s="5397">
        <f t="shared" ca="1" si="96"/>
        <v>0</v>
      </c>
      <c r="CG61" s="5397">
        <f t="shared" ca="1" si="96"/>
        <v>0</v>
      </c>
      <c r="CH61" s="5398">
        <f t="shared" ca="1" si="96"/>
        <v>0</v>
      </c>
      <c r="CI61" s="5396">
        <f t="shared" ca="1" si="96"/>
        <v>45.92</v>
      </c>
      <c r="CJ61" s="5397">
        <f t="shared" ca="1" si="96"/>
        <v>0</v>
      </c>
      <c r="CK61" s="5397">
        <f t="shared" ca="1" si="96"/>
        <v>0</v>
      </c>
      <c r="CL61" s="5398">
        <f t="shared" ca="1" si="96"/>
        <v>0</v>
      </c>
      <c r="CM61" s="5396">
        <f t="shared" ca="1" si="96"/>
        <v>45.92</v>
      </c>
      <c r="CN61" s="5397">
        <f t="shared" ca="1" si="96"/>
        <v>0</v>
      </c>
      <c r="CO61" s="5397">
        <f t="shared" ca="1" si="96"/>
        <v>0</v>
      </c>
      <c r="CP61" s="5398">
        <f t="shared" ca="1" si="96"/>
        <v>0</v>
      </c>
      <c r="CQ61" s="5396">
        <f t="shared" ca="1" si="96"/>
        <v>45.92</v>
      </c>
      <c r="CR61" s="5397">
        <f t="shared" ca="1" si="96"/>
        <v>0</v>
      </c>
      <c r="CS61" s="5397">
        <f t="shared" ca="1" si="96"/>
        <v>0</v>
      </c>
      <c r="CT61" s="5398">
        <f t="shared" ca="1" si="96"/>
        <v>0</v>
      </c>
      <c r="CU61" s="5396">
        <f t="shared" ca="1" si="96"/>
        <v>45.92</v>
      </c>
      <c r="CV61" s="5397">
        <f t="shared" ca="1" si="96"/>
        <v>0</v>
      </c>
      <c r="CW61" s="5397">
        <f t="shared" ca="1" si="96"/>
        <v>0</v>
      </c>
      <c r="CX61" s="5398">
        <f t="shared" ca="1" si="96"/>
        <v>0</v>
      </c>
      <c r="CY61" s="5396">
        <f t="shared" ca="1" si="96"/>
        <v>45.92</v>
      </c>
      <c r="CZ61" s="5397">
        <f t="shared" ca="1" si="96"/>
        <v>0</v>
      </c>
      <c r="DA61" s="5397">
        <f t="shared" ca="1" si="96"/>
        <v>0</v>
      </c>
      <c r="DB61" s="5398">
        <f t="shared" ca="1" si="96"/>
        <v>0</v>
      </c>
      <c r="DC61" s="5396">
        <f t="shared" ca="1" si="96"/>
        <v>45.92</v>
      </c>
      <c r="DD61" s="5397">
        <f t="shared" ca="1" si="96"/>
        <v>0</v>
      </c>
      <c r="DE61" s="5397">
        <f t="shared" ca="1" si="96"/>
        <v>0</v>
      </c>
      <c r="DF61" s="5398">
        <f t="shared" ca="1" si="96"/>
        <v>0</v>
      </c>
      <c r="DG61" s="5396">
        <f t="shared" ca="1" si="96"/>
        <v>31.087504183678348</v>
      </c>
      <c r="DH61" s="5397">
        <f t="shared" ca="1" si="96"/>
        <v>0</v>
      </c>
      <c r="DI61" s="5397">
        <f t="shared" ca="1" si="96"/>
        <v>0</v>
      </c>
      <c r="DJ61" s="5398">
        <f t="shared" ca="1" si="96"/>
        <v>0</v>
      </c>
      <c r="DK61" s="5396">
        <f t="shared" ca="1" si="96"/>
        <v>0</v>
      </c>
      <c r="DL61" s="5397">
        <f t="shared" ca="1" si="96"/>
        <v>0</v>
      </c>
      <c r="DM61" s="5397">
        <f t="shared" ca="1" si="96"/>
        <v>0</v>
      </c>
      <c r="DN61" s="5398">
        <f t="shared" ca="1" si="96"/>
        <v>0</v>
      </c>
      <c r="DO61" s="5396">
        <f t="shared" ca="1" si="96"/>
        <v>0</v>
      </c>
      <c r="DP61" s="5397">
        <f t="shared" ca="1" si="96"/>
        <v>0</v>
      </c>
      <c r="DQ61" s="5397">
        <f t="shared" ca="1" si="96"/>
        <v>0</v>
      </c>
      <c r="DR61" s="5398">
        <f t="shared" ca="1" si="96"/>
        <v>0</v>
      </c>
      <c r="DS61" s="5396">
        <f t="shared" ca="1" si="96"/>
        <v>0</v>
      </c>
      <c r="DT61" s="5397">
        <f t="shared" ca="1" si="96"/>
        <v>0</v>
      </c>
      <c r="DU61" s="5397">
        <f t="shared" ca="1" si="96"/>
        <v>0</v>
      </c>
      <c r="DV61" s="5398">
        <f t="shared" ca="1" si="96"/>
        <v>0</v>
      </c>
      <c r="DW61" s="5396">
        <f t="shared" ca="1" si="96"/>
        <v>0</v>
      </c>
      <c r="DX61" s="5397">
        <f t="shared" ca="1" si="96"/>
        <v>0</v>
      </c>
      <c r="DY61" s="5397">
        <f t="shared" ca="1" si="96"/>
        <v>0</v>
      </c>
      <c r="DZ61" s="5398">
        <f t="shared" ca="1" si="96"/>
        <v>0</v>
      </c>
      <c r="EA61" s="5396">
        <f t="shared" ca="1" si="96"/>
        <v>0</v>
      </c>
      <c r="EB61" s="5397">
        <f t="shared" ca="1" si="96"/>
        <v>0</v>
      </c>
      <c r="EC61" s="5397">
        <f t="shared" ca="1" si="96"/>
        <v>0</v>
      </c>
      <c r="ED61" s="5398">
        <f t="shared" ca="1" si="96"/>
        <v>0</v>
      </c>
      <c r="EE61" s="5396">
        <f t="shared" ca="1" si="96"/>
        <v>0</v>
      </c>
      <c r="EF61" s="5397">
        <f t="shared" ref="EF61:GD61" ca="1" si="97">EF64*($F$65=2)</f>
        <v>0</v>
      </c>
      <c r="EG61" s="5397">
        <f t="shared" ca="1" si="97"/>
        <v>0</v>
      </c>
      <c r="EH61" s="5398">
        <f t="shared" ca="1" si="97"/>
        <v>0</v>
      </c>
      <c r="EI61" s="5396">
        <f t="shared" ca="1" si="97"/>
        <v>0</v>
      </c>
      <c r="EJ61" s="5397">
        <f t="shared" ca="1" si="97"/>
        <v>0</v>
      </c>
      <c r="EK61" s="5397">
        <f t="shared" ca="1" si="97"/>
        <v>0</v>
      </c>
      <c r="EL61" s="5398">
        <f t="shared" ca="1" si="97"/>
        <v>0</v>
      </c>
      <c r="EM61" s="5396">
        <f t="shared" ca="1" si="97"/>
        <v>0</v>
      </c>
      <c r="EN61" s="5397">
        <f t="shared" ca="1" si="97"/>
        <v>0</v>
      </c>
      <c r="EO61" s="5397">
        <f t="shared" ca="1" si="97"/>
        <v>0</v>
      </c>
      <c r="EP61" s="5398">
        <f t="shared" ca="1" si="97"/>
        <v>0</v>
      </c>
      <c r="EQ61" s="5396">
        <f t="shared" ca="1" si="97"/>
        <v>0</v>
      </c>
      <c r="ER61" s="5397">
        <f t="shared" ca="1" si="97"/>
        <v>0</v>
      </c>
      <c r="ES61" s="5397">
        <f t="shared" ca="1" si="97"/>
        <v>0</v>
      </c>
      <c r="ET61" s="5398">
        <f t="shared" ca="1" si="97"/>
        <v>0</v>
      </c>
      <c r="EU61" s="5396">
        <f t="shared" ca="1" si="97"/>
        <v>0</v>
      </c>
      <c r="EV61" s="5397">
        <f t="shared" ca="1" si="97"/>
        <v>0</v>
      </c>
      <c r="EW61" s="5397">
        <f t="shared" ca="1" si="97"/>
        <v>0</v>
      </c>
      <c r="EX61" s="5398">
        <f t="shared" ca="1" si="97"/>
        <v>0</v>
      </c>
      <c r="EY61" s="5396">
        <f t="shared" ca="1" si="97"/>
        <v>0</v>
      </c>
      <c r="EZ61" s="5397">
        <f t="shared" ca="1" si="97"/>
        <v>0</v>
      </c>
      <c r="FA61" s="5397">
        <f t="shared" ca="1" si="97"/>
        <v>0</v>
      </c>
      <c r="FB61" s="5398">
        <f t="shared" ca="1" si="97"/>
        <v>0</v>
      </c>
      <c r="FC61" s="5396">
        <f t="shared" ca="1" si="97"/>
        <v>0</v>
      </c>
      <c r="FD61" s="5397">
        <f t="shared" ca="1" si="97"/>
        <v>0</v>
      </c>
      <c r="FE61" s="5397">
        <f t="shared" ca="1" si="97"/>
        <v>0</v>
      </c>
      <c r="FF61" s="5398">
        <f t="shared" ca="1" si="97"/>
        <v>0</v>
      </c>
      <c r="FG61" s="5396">
        <f t="shared" ca="1" si="97"/>
        <v>0</v>
      </c>
      <c r="FH61" s="5397">
        <f t="shared" ca="1" si="97"/>
        <v>0</v>
      </c>
      <c r="FI61" s="5397">
        <f t="shared" ca="1" si="97"/>
        <v>0</v>
      </c>
      <c r="FJ61" s="5398">
        <f t="shared" ca="1" si="97"/>
        <v>0</v>
      </c>
      <c r="FK61" s="5396">
        <f t="shared" ca="1" si="97"/>
        <v>0</v>
      </c>
      <c r="FL61" s="5397">
        <f ca="1">MIN(FL43,FL58+FL57-FL59)*($F$65=2)</f>
        <v>0</v>
      </c>
      <c r="FM61" s="5397">
        <f t="shared" ca="1" si="97"/>
        <v>0</v>
      </c>
      <c r="FN61" s="5398">
        <f t="shared" ca="1" si="97"/>
        <v>0</v>
      </c>
      <c r="FO61" s="5396">
        <f t="shared" ca="1" si="97"/>
        <v>0</v>
      </c>
      <c r="FP61" s="5397">
        <f t="shared" ca="1" si="97"/>
        <v>0</v>
      </c>
      <c r="FQ61" s="5397">
        <f t="shared" ca="1" si="97"/>
        <v>0</v>
      </c>
      <c r="FR61" s="5398">
        <f t="shared" ca="1" si="97"/>
        <v>0</v>
      </c>
      <c r="FS61" s="5396">
        <f t="shared" ca="1" si="97"/>
        <v>0</v>
      </c>
      <c r="FT61" s="5397">
        <f t="shared" ca="1" si="97"/>
        <v>0</v>
      </c>
      <c r="FU61" s="5397">
        <f t="shared" ca="1" si="97"/>
        <v>0</v>
      </c>
      <c r="FV61" s="5398">
        <f t="shared" ca="1" si="97"/>
        <v>0</v>
      </c>
      <c r="FW61" s="5396">
        <f t="shared" ca="1" si="97"/>
        <v>0</v>
      </c>
      <c r="FX61" s="5397">
        <f t="shared" ca="1" si="97"/>
        <v>0</v>
      </c>
      <c r="FY61" s="5397">
        <f t="shared" ca="1" si="97"/>
        <v>0</v>
      </c>
      <c r="FZ61" s="5398">
        <f t="shared" ca="1" si="97"/>
        <v>0</v>
      </c>
      <c r="GA61" s="5396">
        <f t="shared" ca="1" si="97"/>
        <v>0</v>
      </c>
      <c r="GB61" s="5397">
        <f t="shared" ca="1" si="97"/>
        <v>0</v>
      </c>
      <c r="GC61" s="5397">
        <f t="shared" ca="1" si="97"/>
        <v>0</v>
      </c>
      <c r="GD61" s="5398">
        <f t="shared" ca="1" si="97"/>
        <v>0</v>
      </c>
    </row>
    <row r="62" spans="1:186" ht="15" customHeight="1">
      <c r="B62" s="2085"/>
      <c r="C62" s="2145" t="s">
        <v>1383</v>
      </c>
      <c r="D62" s="2146"/>
      <c r="E62" s="2147"/>
      <c r="F62" s="2148">
        <f t="shared" ca="1" si="81"/>
        <v>28753.440526898776</v>
      </c>
      <c r="G62" s="2149">
        <f ca="1">G57+G58-G59-G60-G61</f>
        <v>0</v>
      </c>
      <c r="H62" s="2150">
        <f t="shared" ref="H62:BS62" ca="1" si="98">H57+H58-H59-H60-H61</f>
        <v>0</v>
      </c>
      <c r="I62" s="2150">
        <f t="shared" ca="1" si="98"/>
        <v>0</v>
      </c>
      <c r="J62" s="2151">
        <f t="shared" ca="1" si="98"/>
        <v>0</v>
      </c>
      <c r="K62" s="2149">
        <f t="shared" ca="1" si="98"/>
        <v>0</v>
      </c>
      <c r="L62" s="2150">
        <f t="shared" ca="1" si="98"/>
        <v>0</v>
      </c>
      <c r="M62" s="2150">
        <f t="shared" ca="1" si="98"/>
        <v>0</v>
      </c>
      <c r="N62" s="2151">
        <f t="shared" ca="1" si="98"/>
        <v>0</v>
      </c>
      <c r="O62" s="2149">
        <f t="shared" ca="1" si="98"/>
        <v>9.6746580000000009</v>
      </c>
      <c r="P62" s="2150">
        <f t="shared" ca="1" si="98"/>
        <v>1.000000082740371E-8</v>
      </c>
      <c r="Q62" s="2150">
        <f t="shared" ca="1" si="98"/>
        <v>28.918129500000003</v>
      </c>
      <c r="R62" s="2151">
        <f t="shared" ca="1" si="98"/>
        <v>70.043648119219483</v>
      </c>
      <c r="S62" s="2149">
        <f t="shared" ca="1" si="98"/>
        <v>110.34326230472999</v>
      </c>
      <c r="T62" s="2150">
        <f t="shared" ca="1" si="98"/>
        <v>110.34326230472999</v>
      </c>
      <c r="U62" s="2150">
        <f t="shared" ca="1" si="98"/>
        <v>144.17975304759537</v>
      </c>
      <c r="V62" s="2151">
        <f t="shared" ca="1" si="98"/>
        <v>183.51135602148281</v>
      </c>
      <c r="W62" s="2149">
        <f t="shared" ca="1" si="98"/>
        <v>183.51135602148281</v>
      </c>
      <c r="X62" s="2150">
        <f t="shared" ca="1" si="98"/>
        <v>183.51135602148281</v>
      </c>
      <c r="Y62" s="2150">
        <f t="shared" ca="1" si="98"/>
        <v>183.51135602148281</v>
      </c>
      <c r="Z62" s="2151">
        <f t="shared" ca="1" si="98"/>
        <v>183.51135602148281</v>
      </c>
      <c r="AA62" s="2149">
        <f t="shared" ca="1" si="98"/>
        <v>204.70727963031646</v>
      </c>
      <c r="AB62" s="2150">
        <f t="shared" ca="1" si="98"/>
        <v>204.70727963031644</v>
      </c>
      <c r="AC62" s="2150">
        <f t="shared" ca="1" si="98"/>
        <v>204.70727963031644</v>
      </c>
      <c r="AD62" s="2151">
        <f t="shared" ca="1" si="98"/>
        <v>204.70727963031644</v>
      </c>
      <c r="AE62" s="2149">
        <f t="shared" ca="1" si="98"/>
        <v>247.64377033296645</v>
      </c>
      <c r="AF62" s="2150">
        <f t="shared" ca="1" si="98"/>
        <v>247.64377033296643</v>
      </c>
      <c r="AG62" s="2150">
        <f t="shared" ca="1" si="98"/>
        <v>296.55533454374944</v>
      </c>
      <c r="AH62" s="2151">
        <f t="shared" ca="1" si="98"/>
        <v>340.99862984168016</v>
      </c>
      <c r="AI62" s="2149">
        <f t="shared" ca="1" si="98"/>
        <v>369.21387878307166</v>
      </c>
      <c r="AJ62" s="2150">
        <f t="shared" ca="1" si="98"/>
        <v>396.09003763164975</v>
      </c>
      <c r="AK62" s="2150">
        <f t="shared" ca="1" si="98"/>
        <v>428.64711377275734</v>
      </c>
      <c r="AL62" s="2151">
        <f t="shared" ca="1" si="98"/>
        <v>449.5811609563354</v>
      </c>
      <c r="AM62" s="2149">
        <f t="shared" ca="1" si="98"/>
        <v>449.5811609563354</v>
      </c>
      <c r="AN62" s="2150">
        <f t="shared" ca="1" si="98"/>
        <v>449.5811609563354</v>
      </c>
      <c r="AO62" s="2150">
        <f t="shared" ca="1" si="98"/>
        <v>449.5811609563354</v>
      </c>
      <c r="AP62" s="2151">
        <f t="shared" ca="1" si="98"/>
        <v>449.5811609563354</v>
      </c>
      <c r="AQ62" s="2149">
        <f t="shared" ca="1" si="98"/>
        <v>449.58116095633545</v>
      </c>
      <c r="AR62" s="2150">
        <f t="shared" ca="1" si="98"/>
        <v>449.58116095633545</v>
      </c>
      <c r="AS62" s="2150">
        <f t="shared" ca="1" si="98"/>
        <v>449.58116095633545</v>
      </c>
      <c r="AT62" s="2151">
        <f t="shared" ca="1" si="98"/>
        <v>449.58116095633545</v>
      </c>
      <c r="AU62" s="2149">
        <f t="shared" ca="1" si="98"/>
        <v>449.58116095633545</v>
      </c>
      <c r="AV62" s="2150">
        <f t="shared" ca="1" si="98"/>
        <v>449.58116095633545</v>
      </c>
      <c r="AW62" s="2150">
        <f t="shared" ca="1" si="98"/>
        <v>449.58116095633545</v>
      </c>
      <c r="AX62" s="2151">
        <f t="shared" ca="1" si="98"/>
        <v>449.58116095633545</v>
      </c>
      <c r="AY62" s="2149">
        <f t="shared" ca="1" si="98"/>
        <v>449.58116095633545</v>
      </c>
      <c r="AZ62" s="2150">
        <f t="shared" ca="1" si="98"/>
        <v>449.58116095633545</v>
      </c>
      <c r="BA62" s="2150">
        <f t="shared" ca="1" si="98"/>
        <v>449.58116095633545</v>
      </c>
      <c r="BB62" s="2152">
        <f t="shared" ca="1" si="98"/>
        <v>449.58116095633545</v>
      </c>
      <c r="BC62" s="2153">
        <f t="shared" ca="1" si="98"/>
        <v>449.58116095633545</v>
      </c>
      <c r="BD62" s="2154">
        <f t="shared" ca="1" si="98"/>
        <v>449.58116095633545</v>
      </c>
      <c r="BE62" s="2154">
        <f t="shared" ca="1" si="98"/>
        <v>449.58116095633545</v>
      </c>
      <c r="BF62" s="2152">
        <f t="shared" ca="1" si="98"/>
        <v>449.58116095633545</v>
      </c>
      <c r="BG62" s="2149">
        <f t="shared" ca="1" si="98"/>
        <v>449.58116095633545</v>
      </c>
      <c r="BH62" s="2150">
        <f t="shared" ca="1" si="98"/>
        <v>449.58116095633545</v>
      </c>
      <c r="BI62" s="2150">
        <f t="shared" ca="1" si="98"/>
        <v>449.58116095633545</v>
      </c>
      <c r="BJ62" s="2151">
        <f t="shared" ca="1" si="98"/>
        <v>449.58116095633545</v>
      </c>
      <c r="BK62" s="2149">
        <f t="shared" ca="1" si="98"/>
        <v>449.58116095633545</v>
      </c>
      <c r="BL62" s="2150">
        <f t="shared" ca="1" si="98"/>
        <v>449.58116095633545</v>
      </c>
      <c r="BM62" s="2150">
        <f t="shared" ca="1" si="98"/>
        <v>449.58116095633545</v>
      </c>
      <c r="BN62" s="2151">
        <f t="shared" ca="1" si="98"/>
        <v>449.58116095633545</v>
      </c>
      <c r="BO62" s="2149">
        <f t="shared" ca="1" si="98"/>
        <v>442.62097498507109</v>
      </c>
      <c r="BP62" s="2150">
        <f t="shared" ca="1" si="98"/>
        <v>442.62097498507114</v>
      </c>
      <c r="BQ62" s="2150">
        <f t="shared" ca="1" si="98"/>
        <v>442.62097498507114</v>
      </c>
      <c r="BR62" s="2151">
        <f t="shared" ca="1" si="98"/>
        <v>442.62097498507114</v>
      </c>
      <c r="BS62" s="2149">
        <f t="shared" ca="1" si="98"/>
        <v>421.27824245533861</v>
      </c>
      <c r="BT62" s="2150">
        <f t="shared" ref="BT62:EE62" ca="1" si="99">BT57+BT58-BT59-BT60-BT61</f>
        <v>421.27824245533861</v>
      </c>
      <c r="BU62" s="2150">
        <f t="shared" ca="1" si="99"/>
        <v>421.27824245533861</v>
      </c>
      <c r="BV62" s="2151">
        <f t="shared" ca="1" si="99"/>
        <v>421.27824245533861</v>
      </c>
      <c r="BW62" s="2149">
        <f t="shared" ca="1" si="99"/>
        <v>396.36717709297966</v>
      </c>
      <c r="BX62" s="2150">
        <f t="shared" ca="1" si="99"/>
        <v>396.36717709297966</v>
      </c>
      <c r="BY62" s="2150">
        <f t="shared" ca="1" si="99"/>
        <v>396.36717709297966</v>
      </c>
      <c r="BZ62" s="2151">
        <f t="shared" ca="1" si="99"/>
        <v>396.36717709297966</v>
      </c>
      <c r="CA62" s="2149">
        <f t="shared" ca="1" si="99"/>
        <v>352.52750418367839</v>
      </c>
      <c r="CB62" s="2150">
        <f t="shared" ca="1" si="99"/>
        <v>352.52750418367839</v>
      </c>
      <c r="CC62" s="2150">
        <f t="shared" ca="1" si="99"/>
        <v>352.52750418367839</v>
      </c>
      <c r="CD62" s="2151">
        <f t="shared" ca="1" si="99"/>
        <v>352.52750418367839</v>
      </c>
      <c r="CE62" s="2149">
        <f t="shared" ca="1" si="99"/>
        <v>306.60750418367837</v>
      </c>
      <c r="CF62" s="2150">
        <f t="shared" ca="1" si="99"/>
        <v>306.60750418367837</v>
      </c>
      <c r="CG62" s="2150">
        <f t="shared" ca="1" si="99"/>
        <v>306.60750418367837</v>
      </c>
      <c r="CH62" s="2151">
        <f t="shared" ca="1" si="99"/>
        <v>306.60750418367837</v>
      </c>
      <c r="CI62" s="2149">
        <f t="shared" ca="1" si="99"/>
        <v>260.68750418367836</v>
      </c>
      <c r="CJ62" s="2150">
        <f t="shared" ca="1" si="99"/>
        <v>260.68750418367836</v>
      </c>
      <c r="CK62" s="2150">
        <f t="shared" ca="1" si="99"/>
        <v>260.68750418367836</v>
      </c>
      <c r="CL62" s="2151">
        <f t="shared" ca="1" si="99"/>
        <v>260.68750418367836</v>
      </c>
      <c r="CM62" s="2149">
        <f t="shared" ca="1" si="99"/>
        <v>214.76750418367834</v>
      </c>
      <c r="CN62" s="2150">
        <f t="shared" ca="1" si="99"/>
        <v>214.76750418367834</v>
      </c>
      <c r="CO62" s="2150">
        <f t="shared" ca="1" si="99"/>
        <v>214.76750418367834</v>
      </c>
      <c r="CP62" s="2151">
        <f t="shared" ca="1" si="99"/>
        <v>214.76750418367834</v>
      </c>
      <c r="CQ62" s="2149">
        <f t="shared" ca="1" si="99"/>
        <v>168.84750418367832</v>
      </c>
      <c r="CR62" s="2150">
        <f t="shared" ca="1" si="99"/>
        <v>168.84750418367832</v>
      </c>
      <c r="CS62" s="2150">
        <f t="shared" ca="1" si="99"/>
        <v>168.84750418367832</v>
      </c>
      <c r="CT62" s="2151">
        <f t="shared" ca="1" si="99"/>
        <v>168.84750418367832</v>
      </c>
      <c r="CU62" s="2149">
        <f t="shared" ca="1" si="99"/>
        <v>122.92750418367832</v>
      </c>
      <c r="CV62" s="2150">
        <f t="shared" ca="1" si="99"/>
        <v>122.92750418367834</v>
      </c>
      <c r="CW62" s="2150">
        <f t="shared" ca="1" si="99"/>
        <v>122.92750418367834</v>
      </c>
      <c r="CX62" s="2151">
        <f t="shared" ca="1" si="99"/>
        <v>122.92750418367834</v>
      </c>
      <c r="CY62" s="2149">
        <f t="shared" ca="1" si="99"/>
        <v>77.007504183678336</v>
      </c>
      <c r="CZ62" s="2150">
        <f t="shared" ca="1" si="99"/>
        <v>77.00750418367835</v>
      </c>
      <c r="DA62" s="2150">
        <f t="shared" ca="1" si="99"/>
        <v>77.00750418367835</v>
      </c>
      <c r="DB62" s="2151">
        <f t="shared" ca="1" si="99"/>
        <v>77.00750418367835</v>
      </c>
      <c r="DC62" s="2149">
        <f t="shared" ca="1" si="99"/>
        <v>31.087504183678348</v>
      </c>
      <c r="DD62" s="2150">
        <f t="shared" ca="1" si="99"/>
        <v>31.087504183678348</v>
      </c>
      <c r="DE62" s="2150">
        <f t="shared" ca="1" si="99"/>
        <v>31.087504183678348</v>
      </c>
      <c r="DF62" s="2151">
        <f t="shared" ca="1" si="99"/>
        <v>31.087504183678348</v>
      </c>
      <c r="DG62" s="2149">
        <f t="shared" ca="1" si="99"/>
        <v>0</v>
      </c>
      <c r="DH62" s="2150">
        <f t="shared" ca="1" si="99"/>
        <v>0</v>
      </c>
      <c r="DI62" s="2150">
        <f t="shared" ca="1" si="99"/>
        <v>0</v>
      </c>
      <c r="DJ62" s="2151">
        <f t="shared" ca="1" si="99"/>
        <v>0</v>
      </c>
      <c r="DK62" s="2149">
        <f t="shared" ca="1" si="99"/>
        <v>0</v>
      </c>
      <c r="DL62" s="2150">
        <f t="shared" ca="1" si="99"/>
        <v>0</v>
      </c>
      <c r="DM62" s="2150">
        <f t="shared" ca="1" si="99"/>
        <v>0</v>
      </c>
      <c r="DN62" s="2151">
        <f t="shared" ca="1" si="99"/>
        <v>0</v>
      </c>
      <c r="DO62" s="2149">
        <f t="shared" ca="1" si="99"/>
        <v>0</v>
      </c>
      <c r="DP62" s="2150">
        <f t="shared" ca="1" si="99"/>
        <v>0</v>
      </c>
      <c r="DQ62" s="2150">
        <f t="shared" ca="1" si="99"/>
        <v>0</v>
      </c>
      <c r="DR62" s="2151">
        <f t="shared" ca="1" si="99"/>
        <v>0</v>
      </c>
      <c r="DS62" s="2149">
        <f t="shared" ca="1" si="99"/>
        <v>0</v>
      </c>
      <c r="DT62" s="2150">
        <f t="shared" ca="1" si="99"/>
        <v>0</v>
      </c>
      <c r="DU62" s="2150">
        <f t="shared" ca="1" si="99"/>
        <v>0</v>
      </c>
      <c r="DV62" s="2151">
        <f t="shared" ca="1" si="99"/>
        <v>0</v>
      </c>
      <c r="DW62" s="2149">
        <f t="shared" ca="1" si="99"/>
        <v>0</v>
      </c>
      <c r="DX62" s="2150">
        <f t="shared" ca="1" si="99"/>
        <v>0</v>
      </c>
      <c r="DY62" s="2150">
        <f t="shared" ca="1" si="99"/>
        <v>0</v>
      </c>
      <c r="DZ62" s="2151">
        <f t="shared" ca="1" si="99"/>
        <v>0</v>
      </c>
      <c r="EA62" s="2149">
        <f t="shared" ca="1" si="99"/>
        <v>0</v>
      </c>
      <c r="EB62" s="2150">
        <f t="shared" ca="1" si="99"/>
        <v>0</v>
      </c>
      <c r="EC62" s="2150">
        <f t="shared" ca="1" si="99"/>
        <v>0</v>
      </c>
      <c r="ED62" s="2151">
        <f t="shared" ca="1" si="99"/>
        <v>0</v>
      </c>
      <c r="EE62" s="2149">
        <f t="shared" ca="1" si="99"/>
        <v>0</v>
      </c>
      <c r="EF62" s="2150">
        <f t="shared" ref="EF62:GD62" ca="1" si="100">EF57+EF58-EF59-EF60-EF61</f>
        <v>0</v>
      </c>
      <c r="EG62" s="2150">
        <f t="shared" ca="1" si="100"/>
        <v>0</v>
      </c>
      <c r="EH62" s="2151">
        <f t="shared" ca="1" si="100"/>
        <v>0</v>
      </c>
      <c r="EI62" s="2149">
        <f t="shared" ca="1" si="100"/>
        <v>0</v>
      </c>
      <c r="EJ62" s="2150">
        <f t="shared" ca="1" si="100"/>
        <v>0</v>
      </c>
      <c r="EK62" s="2150">
        <f t="shared" ca="1" si="100"/>
        <v>0</v>
      </c>
      <c r="EL62" s="2151">
        <f t="shared" ca="1" si="100"/>
        <v>0</v>
      </c>
      <c r="EM62" s="2149">
        <f t="shared" ca="1" si="100"/>
        <v>0</v>
      </c>
      <c r="EN62" s="2150">
        <f t="shared" ca="1" si="100"/>
        <v>0</v>
      </c>
      <c r="EO62" s="2150">
        <f t="shared" ca="1" si="100"/>
        <v>0</v>
      </c>
      <c r="EP62" s="2151">
        <f t="shared" ca="1" si="100"/>
        <v>0</v>
      </c>
      <c r="EQ62" s="2149">
        <f t="shared" ca="1" si="100"/>
        <v>0</v>
      </c>
      <c r="ER62" s="2150">
        <f t="shared" ca="1" si="100"/>
        <v>0</v>
      </c>
      <c r="ES62" s="2150">
        <f t="shared" ca="1" si="100"/>
        <v>0</v>
      </c>
      <c r="ET62" s="2151">
        <f t="shared" ca="1" si="100"/>
        <v>0</v>
      </c>
      <c r="EU62" s="2149">
        <f t="shared" ca="1" si="100"/>
        <v>0</v>
      </c>
      <c r="EV62" s="2150">
        <f t="shared" ca="1" si="100"/>
        <v>0</v>
      </c>
      <c r="EW62" s="2150">
        <f t="shared" ca="1" si="100"/>
        <v>0</v>
      </c>
      <c r="EX62" s="2151">
        <f t="shared" ca="1" si="100"/>
        <v>0</v>
      </c>
      <c r="EY62" s="2149">
        <f t="shared" ca="1" si="100"/>
        <v>0</v>
      </c>
      <c r="EZ62" s="2150">
        <f t="shared" ca="1" si="100"/>
        <v>0</v>
      </c>
      <c r="FA62" s="2150">
        <f t="shared" ca="1" si="100"/>
        <v>0</v>
      </c>
      <c r="FB62" s="2151">
        <f t="shared" ca="1" si="100"/>
        <v>0</v>
      </c>
      <c r="FC62" s="2149">
        <f t="shared" ca="1" si="100"/>
        <v>0</v>
      </c>
      <c r="FD62" s="2150">
        <f t="shared" ca="1" si="100"/>
        <v>0</v>
      </c>
      <c r="FE62" s="2150">
        <f t="shared" ca="1" si="100"/>
        <v>0</v>
      </c>
      <c r="FF62" s="2151">
        <f t="shared" ca="1" si="100"/>
        <v>0</v>
      </c>
      <c r="FG62" s="2149">
        <f t="shared" ca="1" si="100"/>
        <v>0</v>
      </c>
      <c r="FH62" s="2150">
        <f t="shared" ca="1" si="100"/>
        <v>0</v>
      </c>
      <c r="FI62" s="2150">
        <f t="shared" ca="1" si="100"/>
        <v>0</v>
      </c>
      <c r="FJ62" s="2151">
        <f t="shared" ca="1" si="100"/>
        <v>0</v>
      </c>
      <c r="FK62" s="2149">
        <f t="shared" ca="1" si="100"/>
        <v>0</v>
      </c>
      <c r="FL62" s="2150">
        <f t="shared" ca="1" si="100"/>
        <v>0</v>
      </c>
      <c r="FM62" s="2150">
        <f t="shared" ca="1" si="100"/>
        <v>0</v>
      </c>
      <c r="FN62" s="2151">
        <f t="shared" ca="1" si="100"/>
        <v>0</v>
      </c>
      <c r="FO62" s="2149">
        <f t="shared" ca="1" si="100"/>
        <v>0</v>
      </c>
      <c r="FP62" s="2150">
        <f t="shared" ca="1" si="100"/>
        <v>0</v>
      </c>
      <c r="FQ62" s="2150">
        <f t="shared" ca="1" si="100"/>
        <v>0</v>
      </c>
      <c r="FR62" s="2151">
        <f t="shared" ca="1" si="100"/>
        <v>0</v>
      </c>
      <c r="FS62" s="2149">
        <f t="shared" ca="1" si="100"/>
        <v>0</v>
      </c>
      <c r="FT62" s="2150">
        <f t="shared" ca="1" si="100"/>
        <v>0</v>
      </c>
      <c r="FU62" s="2150">
        <f t="shared" ca="1" si="100"/>
        <v>0</v>
      </c>
      <c r="FV62" s="2151">
        <f t="shared" ca="1" si="100"/>
        <v>0</v>
      </c>
      <c r="FW62" s="2149">
        <f t="shared" ca="1" si="100"/>
        <v>0</v>
      </c>
      <c r="FX62" s="2150">
        <f t="shared" ca="1" si="100"/>
        <v>0</v>
      </c>
      <c r="FY62" s="2150">
        <f t="shared" ca="1" si="100"/>
        <v>0</v>
      </c>
      <c r="FZ62" s="2151">
        <f t="shared" ca="1" si="100"/>
        <v>0</v>
      </c>
      <c r="GA62" s="2149">
        <f t="shared" ca="1" si="100"/>
        <v>0</v>
      </c>
      <c r="GB62" s="2150">
        <f t="shared" ca="1" si="100"/>
        <v>0</v>
      </c>
      <c r="GC62" s="2150">
        <f t="shared" ca="1" si="100"/>
        <v>0</v>
      </c>
      <c r="GD62" s="2151">
        <f t="shared" ca="1" si="100"/>
        <v>0</v>
      </c>
    </row>
    <row r="63" spans="1:186" ht="15" customHeight="1">
      <c r="B63" s="2085"/>
      <c r="C63" s="2155" t="s">
        <v>3770</v>
      </c>
      <c r="D63" s="2156"/>
      <c r="E63" s="2157" t="s">
        <v>1404</v>
      </c>
      <c r="F63" s="2158">
        <f t="shared" ca="1" si="81"/>
        <v>1107.293656772657</v>
      </c>
      <c r="G63" s="2159"/>
      <c r="H63" s="2160"/>
      <c r="I63" s="2160"/>
      <c r="J63" s="2161"/>
      <c r="K63" s="2159">
        <f>SUMIF(배당!68:68,J4,배당!75:75)</f>
        <v>0</v>
      </c>
      <c r="L63" s="2160">
        <f>SUMIF(배당!68:68,K4,배당!75:75)</f>
        <v>0</v>
      </c>
      <c r="M63" s="2160">
        <f>SUMIF(배당!68:68,L4,배당!75:75)</f>
        <v>0</v>
      </c>
      <c r="N63" s="2161">
        <f>SUMIF(배당!68:68,M4,배당!75:75)</f>
        <v>0</v>
      </c>
      <c r="O63" s="2159">
        <f ca="1">SUMIF(배당!68:68,N4,배당!75:75)</f>
        <v>0</v>
      </c>
      <c r="P63" s="2160">
        <f>SUMIF(배당!68:68,O4,배당!75:75)</f>
        <v>0</v>
      </c>
      <c r="Q63" s="2160">
        <f>SUMIF(배당!68:68,P4,배당!75:75)</f>
        <v>0</v>
      </c>
      <c r="R63" s="2161">
        <f>SUMIF(배당!68:68,Q4,배당!75:75)</f>
        <v>0</v>
      </c>
      <c r="S63" s="2159">
        <f ca="1">SUMIF(배당!68:68,R4,배당!75:75)</f>
        <v>0</v>
      </c>
      <c r="T63" s="2160">
        <f>SUMIF(배당!68:68,S4,배당!75:75)</f>
        <v>0</v>
      </c>
      <c r="U63" s="2160">
        <f>SUMIF(배당!68:68,T4,배당!75:75)</f>
        <v>0</v>
      </c>
      <c r="V63" s="2161">
        <f>SUMIF(배당!68:68,U4,배당!75:75)</f>
        <v>0</v>
      </c>
      <c r="W63" s="2159">
        <f ca="1">SUMIF(배당!68:68,V4,배당!75:75)</f>
        <v>0</v>
      </c>
      <c r="X63" s="2160">
        <f>SUMIF(배당!68:68,W4,배당!75:75)</f>
        <v>0</v>
      </c>
      <c r="Y63" s="2160">
        <f>SUMIF(배당!68:68,X4,배당!75:75)</f>
        <v>0</v>
      </c>
      <c r="Z63" s="2161">
        <f>SUMIF(배당!68:68,Y4,배당!75:75)</f>
        <v>0</v>
      </c>
      <c r="AA63" s="2159">
        <f ca="1">SUMIF(배당!68:68,Z4,배당!75:75)</f>
        <v>0</v>
      </c>
      <c r="AB63" s="2160">
        <f>SUMIF(배당!68:68,AA4,배당!75:75)</f>
        <v>0</v>
      </c>
      <c r="AC63" s="2160">
        <f>SUMIF(배당!68:68,AB4,배당!75:75)</f>
        <v>0</v>
      </c>
      <c r="AD63" s="2161">
        <f>SUMIF(배당!68:68,AC4,배당!75:75)</f>
        <v>0</v>
      </c>
      <c r="AE63" s="2159">
        <f ca="1">SUMIF(배당!68:68,AD4,배당!75:75)</f>
        <v>0</v>
      </c>
      <c r="AF63" s="2160">
        <f>SUMIF(배당!68:68,AE4,배당!75:75)</f>
        <v>0</v>
      </c>
      <c r="AG63" s="2160">
        <f>SUMIF(배당!68:68,AF4,배당!75:75)</f>
        <v>0</v>
      </c>
      <c r="AH63" s="2161">
        <f>SUMIF(배당!68:68,AG4,배당!75:75)</f>
        <v>0</v>
      </c>
      <c r="AI63" s="2159">
        <f ca="1">SUMIF(배당!68:68,AH4,배당!75:75)</f>
        <v>0</v>
      </c>
      <c r="AJ63" s="2160">
        <f>SUMIF(배당!68:68,AI4,배당!75:75)</f>
        <v>0</v>
      </c>
      <c r="AK63" s="2160">
        <f>SUMIF(배당!68:68,AJ4,배당!75:75)</f>
        <v>0</v>
      </c>
      <c r="AL63" s="2161">
        <f>SUMIF(배당!68:68,AK4,배당!75:75)</f>
        <v>0</v>
      </c>
      <c r="AM63" s="2159">
        <f ca="1">SUMIF(배당!68:68,AL4,배당!75:75)</f>
        <v>0</v>
      </c>
      <c r="AN63" s="2160">
        <f>SUMIF(배당!68:68,AM4,배당!75:75)</f>
        <v>0</v>
      </c>
      <c r="AO63" s="2160">
        <f>SUMIF(배당!68:68,AN4,배당!75:75)</f>
        <v>0</v>
      </c>
      <c r="AP63" s="2161">
        <f>SUMIF(배당!68:68,AO4,배당!75:75)</f>
        <v>0</v>
      </c>
      <c r="AQ63" s="2159">
        <f ca="1">SUMIF(배당!68:68,AP4,배당!75:75)</f>
        <v>0</v>
      </c>
      <c r="AR63" s="2160">
        <f>SUMIF(배당!68:68,AQ4,배당!75:75)</f>
        <v>0</v>
      </c>
      <c r="AS63" s="2160">
        <f>SUMIF(배당!68:68,AR4,배당!75:75)</f>
        <v>0</v>
      </c>
      <c r="AT63" s="2161">
        <f>SUMIF(배당!68:68,AS4,배당!75:75)</f>
        <v>0</v>
      </c>
      <c r="AU63" s="2159">
        <f ca="1">SUMIF(배당!68:68,AT4,배당!75:75)</f>
        <v>0</v>
      </c>
      <c r="AV63" s="2160">
        <f>SUMIF(배당!68:68,AU4,배당!75:75)</f>
        <v>0</v>
      </c>
      <c r="AW63" s="2160">
        <f>SUMIF(배당!68:68,AV4,배당!75:75)</f>
        <v>0</v>
      </c>
      <c r="AX63" s="2161">
        <f>SUMIF(배당!68:68,AW4,배당!75:75)</f>
        <v>0</v>
      </c>
      <c r="AY63" s="2159">
        <f ca="1">SUMIF(배당!68:68,AX4,배당!75:75)</f>
        <v>0</v>
      </c>
      <c r="AZ63" s="2160">
        <f>SUMIF(배당!68:68,AY4,배당!75:75)</f>
        <v>0</v>
      </c>
      <c r="BA63" s="2160">
        <f>SUMIF(배당!68:68,AZ4,배당!75:75)</f>
        <v>0</v>
      </c>
      <c r="BB63" s="2161">
        <f>SUMIF(배당!68:68,BA4,배당!75:75)</f>
        <v>0</v>
      </c>
      <c r="BC63" s="2159">
        <f ca="1">SUMIF(배당!68:68,BB4,배당!75:75)</f>
        <v>0</v>
      </c>
      <c r="BD63" s="2160">
        <f>SUMIF(배당!68:68,BC4,배당!75:75)</f>
        <v>0</v>
      </c>
      <c r="BE63" s="2160">
        <f>SUMIF(배당!68:68,BD4,배당!75:75)</f>
        <v>0</v>
      </c>
      <c r="BF63" s="2161">
        <f>SUMIF(배당!68:68,BE4,배당!75:75)</f>
        <v>0</v>
      </c>
      <c r="BG63" s="2159">
        <f ca="1">SUMIF(배당!68:68,BF4,배당!75:75)</f>
        <v>0</v>
      </c>
      <c r="BH63" s="2160">
        <f>SUMIF(배당!68:68,BG4,배당!75:75)</f>
        <v>0</v>
      </c>
      <c r="BI63" s="2160">
        <f>SUMIF(배당!68:68,BH4,배당!75:75)</f>
        <v>0</v>
      </c>
      <c r="BJ63" s="2161">
        <f>SUMIF(배당!68:68,BI4,배당!75:75)</f>
        <v>0</v>
      </c>
      <c r="BK63" s="2159">
        <f ca="1">SUMIF(배당!68:68,BJ4,배당!75:75)</f>
        <v>0</v>
      </c>
      <c r="BL63" s="2160">
        <f>SUMIF(배당!68:68,BK4,배당!75:75)</f>
        <v>0</v>
      </c>
      <c r="BM63" s="2160">
        <f>SUMIF(배당!68:68,BL4,배당!75:75)</f>
        <v>0</v>
      </c>
      <c r="BN63" s="2161">
        <f>SUMIF(배당!68:68,BM4,배당!75:75)</f>
        <v>0</v>
      </c>
      <c r="BO63" s="2159">
        <f ca="1">SUMIF(배당!68:68,BN4,배당!75:75)</f>
        <v>6.9601859712643455</v>
      </c>
      <c r="BP63" s="2160">
        <f>SUMIF(배당!68:68,BO4,배당!75:75)</f>
        <v>0</v>
      </c>
      <c r="BQ63" s="2160">
        <f>SUMIF(배당!68:68,BP4,배당!75:75)</f>
        <v>0</v>
      </c>
      <c r="BR63" s="2161">
        <f>SUMIF(배당!68:68,BQ4,배당!75:75)</f>
        <v>0</v>
      </c>
      <c r="BS63" s="2159">
        <f ca="1">SUMIF(배당!68:68,BR4,배당!75:75)</f>
        <v>21.342732529732551</v>
      </c>
      <c r="BT63" s="2160">
        <f>SUMIF(배당!68:68,BS4,배당!75:75)</f>
        <v>0</v>
      </c>
      <c r="BU63" s="2160">
        <f>SUMIF(배당!68:68,BT4,배당!75:75)</f>
        <v>0</v>
      </c>
      <c r="BV63" s="2161">
        <f>SUMIF(배당!68:68,BU4,배당!75:75)</f>
        <v>0</v>
      </c>
      <c r="BW63" s="2159">
        <f ca="1">SUMIF(배당!68:68,BV4,배당!75:75)</f>
        <v>24.911065362358926</v>
      </c>
      <c r="BX63" s="2160">
        <f>SUMIF(배당!68:68,BW4,배당!75:75)</f>
        <v>0</v>
      </c>
      <c r="BY63" s="2160">
        <f>SUMIF(배당!68:68,BX4,배당!75:75)</f>
        <v>0</v>
      </c>
      <c r="BZ63" s="2161">
        <f>SUMIF(배당!68:68,BY4,배당!75:75)</f>
        <v>0</v>
      </c>
      <c r="CA63" s="2159">
        <f ca="1">SUMIF(배당!68:68,BZ4,배당!75:75)</f>
        <v>43.839672909301257</v>
      </c>
      <c r="CB63" s="2160">
        <f>SUMIF(배당!68:68,CA4,배당!75:75)</f>
        <v>0</v>
      </c>
      <c r="CC63" s="2160">
        <f>SUMIF(배당!68:68,CB4,배당!75:75)</f>
        <v>0</v>
      </c>
      <c r="CD63" s="2161">
        <f>SUMIF(배당!68:68,CC4,배당!75:75)</f>
        <v>0</v>
      </c>
      <c r="CE63" s="2159">
        <f ca="1">SUMIF(배당!68:68,CD4,배당!75:75)</f>
        <v>45.92</v>
      </c>
      <c r="CF63" s="2160">
        <f>SUMIF(배당!68:68,CE4,배당!75:75)</f>
        <v>0</v>
      </c>
      <c r="CG63" s="2160">
        <f>SUMIF(배당!68:68,CF4,배당!75:75)</f>
        <v>0</v>
      </c>
      <c r="CH63" s="2161">
        <f>SUMIF(배당!68:68,CG4,배당!75:75)</f>
        <v>0</v>
      </c>
      <c r="CI63" s="2159">
        <f ca="1">SUMIF(배당!68:68,CH4,배당!75:75)</f>
        <v>45.92</v>
      </c>
      <c r="CJ63" s="2160">
        <f>SUMIF(배당!68:68,CI4,배당!75:75)</f>
        <v>0</v>
      </c>
      <c r="CK63" s="2160">
        <f>SUMIF(배당!68:68,CJ4,배당!75:75)</f>
        <v>0</v>
      </c>
      <c r="CL63" s="2161">
        <f>SUMIF(배당!68:68,CK4,배당!75:75)</f>
        <v>0</v>
      </c>
      <c r="CM63" s="2159">
        <f ca="1">SUMIF(배당!68:68,CL4,배당!75:75)</f>
        <v>45.92</v>
      </c>
      <c r="CN63" s="2160">
        <f>SUMIF(배당!68:68,CM4,배당!75:75)</f>
        <v>0</v>
      </c>
      <c r="CO63" s="2160">
        <f>SUMIF(배당!68:68,CN4,배당!75:75)</f>
        <v>0</v>
      </c>
      <c r="CP63" s="2161">
        <f>SUMIF(배당!68:68,CO4,배당!75:75)</f>
        <v>0</v>
      </c>
      <c r="CQ63" s="2159">
        <f ca="1">SUMIF(배당!68:68,CP4,배당!75:75)</f>
        <v>45.92</v>
      </c>
      <c r="CR63" s="2160">
        <f>SUMIF(배당!68:68,CQ4,배당!75:75)</f>
        <v>0</v>
      </c>
      <c r="CS63" s="2160">
        <f>SUMIF(배당!68:68,CR4,배당!75:75)</f>
        <v>0</v>
      </c>
      <c r="CT63" s="2161">
        <f>SUMIF(배당!68:68,CS4,배당!75:75)</f>
        <v>0</v>
      </c>
      <c r="CU63" s="2159">
        <f ca="1">SUMIF(배당!68:68,CT4,배당!75:75)</f>
        <v>45.92</v>
      </c>
      <c r="CV63" s="2160">
        <f>SUMIF(배당!68:68,CU4,배당!75:75)</f>
        <v>0</v>
      </c>
      <c r="CW63" s="2160">
        <f>SUMIF(배당!68:68,CV4,배당!75:75)</f>
        <v>0</v>
      </c>
      <c r="CX63" s="2161">
        <f>SUMIF(배당!68:68,CW4,배당!75:75)</f>
        <v>0</v>
      </c>
      <c r="CY63" s="2159">
        <f ca="1">SUMIF(배당!68:68,CX4,배당!75:75)</f>
        <v>45.92</v>
      </c>
      <c r="CZ63" s="2160">
        <f>SUMIF(배당!68:68,CY4,배당!75:75)</f>
        <v>0</v>
      </c>
      <c r="DA63" s="2160">
        <f>SUMIF(배당!68:68,CZ4,배당!75:75)</f>
        <v>0</v>
      </c>
      <c r="DB63" s="2161">
        <f>SUMIF(배당!68:68,DA4,배당!75:75)</f>
        <v>0</v>
      </c>
      <c r="DC63" s="2159">
        <f ca="1">SUMIF(배당!68:68,DB4,배당!75:75)</f>
        <v>45.92</v>
      </c>
      <c r="DD63" s="2160">
        <f>SUMIF(배당!68:68,DC4,배당!75:75)</f>
        <v>0</v>
      </c>
      <c r="DE63" s="2160">
        <f>SUMIF(배당!68:68,DD4,배당!75:75)</f>
        <v>0</v>
      </c>
      <c r="DF63" s="2161">
        <f>SUMIF(배당!68:68,DE4,배당!75:75)</f>
        <v>0</v>
      </c>
      <c r="DG63" s="2159">
        <f ca="1">SUMIF(배당!68:68,DF4,배당!75:75)</f>
        <v>45.92</v>
      </c>
      <c r="DH63" s="2160">
        <f>SUMIF(배당!68:68,DG4,배당!75:75)</f>
        <v>0</v>
      </c>
      <c r="DI63" s="2160">
        <f>SUMIF(배당!68:68,DH4,배당!75:75)</f>
        <v>0</v>
      </c>
      <c r="DJ63" s="2161">
        <f>SUMIF(배당!68:68,DI4,배당!75:75)</f>
        <v>0</v>
      </c>
      <c r="DK63" s="2159">
        <f ca="1">SUMIF(배당!68:68,DJ4,배당!75:75)</f>
        <v>45.92</v>
      </c>
      <c r="DL63" s="2160">
        <f>SUMIF(배당!68:68,DK4,배당!75:75)</f>
        <v>0</v>
      </c>
      <c r="DM63" s="2160">
        <f>SUMIF(배당!68:68,DL4,배당!75:75)</f>
        <v>0</v>
      </c>
      <c r="DN63" s="2161">
        <f>SUMIF(배당!68:68,DM4,배당!75:75)</f>
        <v>0</v>
      </c>
      <c r="DO63" s="2159">
        <f ca="1">SUMIF(배당!68:68,DN4,배당!75:75)</f>
        <v>45.92</v>
      </c>
      <c r="DP63" s="2160">
        <f>SUMIF(배당!68:68,DO4,배당!75:75)</f>
        <v>0</v>
      </c>
      <c r="DQ63" s="2160">
        <f>SUMIF(배당!68:68,DP4,배당!75:75)</f>
        <v>0</v>
      </c>
      <c r="DR63" s="2161">
        <f>SUMIF(배당!68:68,DQ4,배당!75:75)</f>
        <v>0</v>
      </c>
      <c r="DS63" s="2159">
        <f ca="1">SUMIF(배당!68:68,DR4,배당!75:75)</f>
        <v>45.92</v>
      </c>
      <c r="DT63" s="2160">
        <f>SUMIF(배당!68:68,DS4,배당!75:75)</f>
        <v>0</v>
      </c>
      <c r="DU63" s="2160">
        <f>SUMIF(배당!68:68,DT4,배당!75:75)</f>
        <v>0</v>
      </c>
      <c r="DV63" s="2161">
        <f>SUMIF(배당!68:68,DU4,배당!75:75)</f>
        <v>0</v>
      </c>
      <c r="DW63" s="2159">
        <f ca="1">SUMIF(배당!68:68,DV4,배당!75:75)</f>
        <v>45.92</v>
      </c>
      <c r="DX63" s="2160">
        <f>SUMIF(배당!68:68,DW4,배당!75:75)</f>
        <v>0</v>
      </c>
      <c r="DY63" s="2160">
        <f>SUMIF(배당!68:68,DX4,배당!75:75)</f>
        <v>0</v>
      </c>
      <c r="DZ63" s="2161">
        <f>SUMIF(배당!68:68,DY4,배당!75:75)</f>
        <v>0</v>
      </c>
      <c r="EA63" s="2159">
        <f ca="1">SUMIF(배당!68:68,DZ4,배당!75:75)</f>
        <v>45.92</v>
      </c>
      <c r="EB63" s="2160">
        <f>SUMIF(배당!68:68,EA4,배당!75:75)</f>
        <v>0</v>
      </c>
      <c r="EC63" s="2160">
        <f>SUMIF(배당!68:68,EB4,배당!75:75)</f>
        <v>0</v>
      </c>
      <c r="ED63" s="2161">
        <f>SUMIF(배당!68:68,EC4,배당!75:75)</f>
        <v>0</v>
      </c>
      <c r="EE63" s="2159">
        <f ca="1">SUMIF(배당!68:68,ED4,배당!75:75)</f>
        <v>45.92</v>
      </c>
      <c r="EF63" s="2160">
        <f>SUMIF(배당!68:68,EE4,배당!75:75)</f>
        <v>0</v>
      </c>
      <c r="EG63" s="2160">
        <f>SUMIF(배당!68:68,EF4,배당!75:75)</f>
        <v>0</v>
      </c>
      <c r="EH63" s="2161">
        <f>SUMIF(배당!68:68,EG4,배당!75:75)</f>
        <v>0</v>
      </c>
      <c r="EI63" s="2159">
        <f ca="1">SUMIF(배당!68:68,EH4,배당!75:75)</f>
        <v>45.92</v>
      </c>
      <c r="EJ63" s="2160">
        <f>SUMIF(배당!68:68,EI4,배당!75:75)</f>
        <v>0</v>
      </c>
      <c r="EK63" s="2160">
        <f>SUMIF(배당!68:68,EJ4,배당!75:75)</f>
        <v>0</v>
      </c>
      <c r="EL63" s="2161">
        <f>SUMIF(배당!68:68,EK4,배당!75:75)</f>
        <v>0</v>
      </c>
      <c r="EM63" s="2159">
        <f ca="1">SUMIF(배당!68:68,EL4,배당!75:75)</f>
        <v>45.92</v>
      </c>
      <c r="EN63" s="2160">
        <f>SUMIF(배당!68:68,EM4,배당!75:75)</f>
        <v>0</v>
      </c>
      <c r="EO63" s="2160">
        <f>SUMIF(배당!68:68,EN4,배당!75:75)</f>
        <v>0</v>
      </c>
      <c r="EP63" s="2161">
        <f>SUMIF(배당!68:68,EO4,배당!75:75)</f>
        <v>0</v>
      </c>
      <c r="EQ63" s="2159">
        <f ca="1">SUMIF(배당!68:68,EP4,배당!75:75)</f>
        <v>45.92</v>
      </c>
      <c r="ER63" s="2160">
        <f>SUMIF(배당!68:68,EQ4,배당!75:75)</f>
        <v>0</v>
      </c>
      <c r="ES63" s="2160">
        <f>SUMIF(배당!68:68,ER4,배당!75:75)</f>
        <v>0</v>
      </c>
      <c r="ET63" s="2161">
        <f>SUMIF(배당!68:68,ES4,배당!75:75)</f>
        <v>0</v>
      </c>
      <c r="EU63" s="2159">
        <f ca="1">SUMIF(배당!68:68,ET4,배당!75:75)</f>
        <v>45.92</v>
      </c>
      <c r="EV63" s="2160">
        <f>SUMIF(배당!68:68,EU4,배당!75:75)</f>
        <v>0</v>
      </c>
      <c r="EW63" s="2160">
        <f>SUMIF(배당!68:68,EV4,배당!75:75)</f>
        <v>0</v>
      </c>
      <c r="EX63" s="2161">
        <f>SUMIF(배당!68:68,EW4,배당!75:75)</f>
        <v>0</v>
      </c>
      <c r="EY63" s="2159">
        <f ca="1">SUMIF(배당!68:68,EX4,배당!75:75)</f>
        <v>45.92</v>
      </c>
      <c r="EZ63" s="2160">
        <f>SUMIF(배당!68:68,EY4,배당!75:75)</f>
        <v>0</v>
      </c>
      <c r="FA63" s="2160">
        <f>SUMIF(배당!68:68,EZ4,배당!75:75)</f>
        <v>0</v>
      </c>
      <c r="FB63" s="2161">
        <f>SUMIF(배당!68:68,FA4,배당!75:75)</f>
        <v>0</v>
      </c>
      <c r="FC63" s="2159">
        <f ca="1">SUMIF(배당!68:68,FB4,배당!75:75)</f>
        <v>45.92</v>
      </c>
      <c r="FD63" s="2160">
        <f>SUMIF(배당!68:68,FC4,배당!75:75)</f>
        <v>0</v>
      </c>
      <c r="FE63" s="2160">
        <f>SUMIF(배당!68:68,FD4,배당!75:75)</f>
        <v>0</v>
      </c>
      <c r="FF63" s="2161">
        <f>SUMIF(배당!68:68,FE4,배당!75:75)</f>
        <v>0</v>
      </c>
      <c r="FG63" s="2159">
        <f ca="1">SUMIF(배당!68:68,FF4,배당!75:75)</f>
        <v>45.92</v>
      </c>
      <c r="FH63" s="2160">
        <f>SUMIF(배당!68:68,FG4,배당!75:75)</f>
        <v>0</v>
      </c>
      <c r="FI63" s="2160">
        <f>SUMIF(배당!68:68,FH4,배당!75:75)</f>
        <v>0</v>
      </c>
      <c r="FJ63" s="2161">
        <f>SUMIF(배당!68:68,FI4,배당!75:75)</f>
        <v>0</v>
      </c>
      <c r="FK63" s="2159">
        <f ca="1">SUMIF(배당!68:68,FJ4,배당!75:75)</f>
        <v>45.92</v>
      </c>
      <c r="FL63" s="2160">
        <f>SUMIF(배당!68:68,FK4,배당!75:75)</f>
        <v>0</v>
      </c>
      <c r="FM63" s="2160">
        <f>SUMIF(배당!68:68,FL4,배당!75:75)</f>
        <v>0</v>
      </c>
      <c r="FN63" s="2161">
        <f>SUMIF(배당!68:68,FM4,배당!75:75)</f>
        <v>0</v>
      </c>
      <c r="FO63" s="2159">
        <f ca="1">SUMIF(배당!68:68,FN4,배당!75:75)</f>
        <v>0</v>
      </c>
      <c r="FP63" s="2160">
        <f>SUMIF(배당!68:68,FO4,배당!75:75)</f>
        <v>0</v>
      </c>
      <c r="FQ63" s="2160">
        <f>SUMIF(배당!68:68,FP4,배당!75:75)</f>
        <v>0</v>
      </c>
      <c r="FR63" s="2161">
        <f>SUMIF(배당!68:68,FQ4,배당!75:75)</f>
        <v>0</v>
      </c>
      <c r="FS63" s="2159">
        <f ca="1">SUMIF(배당!68:68,FR4,배당!75:75)</f>
        <v>0</v>
      </c>
      <c r="FT63" s="2160">
        <f>SUMIF(배당!68:68,FS4,배당!75:75)</f>
        <v>0</v>
      </c>
      <c r="FU63" s="2160">
        <f>SUMIF(배당!68:68,FT4,배당!75:75)</f>
        <v>0</v>
      </c>
      <c r="FV63" s="2161">
        <f>SUMIF(배당!68:68,FU4,배당!75:75)</f>
        <v>0</v>
      </c>
      <c r="FW63" s="2159">
        <f ca="1">SUMIF(배당!68:68,FV4,배당!75:75)</f>
        <v>0</v>
      </c>
      <c r="FX63" s="2160">
        <f>SUMIF(배당!68:68,FW4,배당!75:75)</f>
        <v>0</v>
      </c>
      <c r="FY63" s="2160">
        <f>SUMIF(배당!68:68,FX4,배당!75:75)</f>
        <v>0</v>
      </c>
      <c r="FZ63" s="2161">
        <f>SUMIF(배당!68:68,FY4,배당!75:75)</f>
        <v>0</v>
      </c>
      <c r="GA63" s="2159">
        <f ca="1">SUMIF(배당!68:68,FZ4,배당!75:75)</f>
        <v>0</v>
      </c>
      <c r="GB63" s="2160">
        <f>SUMIF(배당!68:68,GA4,배당!75:75)</f>
        <v>0</v>
      </c>
      <c r="GC63" s="2160">
        <f>SUMIF(배당!68:68,GB4,배당!75:75)</f>
        <v>0</v>
      </c>
      <c r="GD63" s="2161">
        <f>SUMIF(배당!68:68,GC4,배당!75:75)</f>
        <v>0</v>
      </c>
    </row>
    <row r="64" spans="1:186" ht="15" customHeight="1">
      <c r="B64" s="2085"/>
      <c r="C64" s="2145" t="s">
        <v>3771</v>
      </c>
      <c r="D64" s="2146"/>
      <c r="E64" s="2162"/>
      <c r="F64" s="2148">
        <f t="shared" ca="1" si="81"/>
        <v>449.58116095633551</v>
      </c>
      <c r="G64" s="2149">
        <f t="shared" ref="G64:BR64" si="101">MIN(G57+G58-G59,G63)</f>
        <v>0</v>
      </c>
      <c r="H64" s="2150">
        <f t="shared" ca="1" si="101"/>
        <v>0</v>
      </c>
      <c r="I64" s="2150">
        <f t="shared" ca="1" si="101"/>
        <v>0</v>
      </c>
      <c r="J64" s="2151">
        <f t="shared" ca="1" si="101"/>
        <v>0</v>
      </c>
      <c r="K64" s="2149">
        <f t="shared" ca="1" si="101"/>
        <v>0</v>
      </c>
      <c r="L64" s="2150">
        <f t="shared" ca="1" si="101"/>
        <v>0</v>
      </c>
      <c r="M64" s="2150">
        <f t="shared" ca="1" si="101"/>
        <v>0</v>
      </c>
      <c r="N64" s="2151">
        <f t="shared" ca="1" si="101"/>
        <v>0</v>
      </c>
      <c r="O64" s="2149">
        <f t="shared" ca="1" si="101"/>
        <v>0</v>
      </c>
      <c r="P64" s="2150">
        <f t="shared" ca="1" si="101"/>
        <v>0</v>
      </c>
      <c r="Q64" s="2150">
        <f t="shared" ca="1" si="101"/>
        <v>0</v>
      </c>
      <c r="R64" s="2151">
        <f t="shared" ca="1" si="101"/>
        <v>0</v>
      </c>
      <c r="S64" s="2149">
        <f t="shared" ca="1" si="101"/>
        <v>0</v>
      </c>
      <c r="T64" s="2150">
        <f t="shared" ca="1" si="101"/>
        <v>0</v>
      </c>
      <c r="U64" s="2150">
        <f t="shared" ca="1" si="101"/>
        <v>0</v>
      </c>
      <c r="V64" s="2151">
        <f t="shared" ca="1" si="101"/>
        <v>0</v>
      </c>
      <c r="W64" s="2149">
        <f t="shared" ca="1" si="101"/>
        <v>0</v>
      </c>
      <c r="X64" s="2150">
        <f t="shared" ca="1" si="101"/>
        <v>0</v>
      </c>
      <c r="Y64" s="2150">
        <f t="shared" ca="1" si="101"/>
        <v>0</v>
      </c>
      <c r="Z64" s="2151">
        <f t="shared" ca="1" si="101"/>
        <v>0</v>
      </c>
      <c r="AA64" s="2149">
        <f t="shared" ca="1" si="101"/>
        <v>0</v>
      </c>
      <c r="AB64" s="2150">
        <f t="shared" ca="1" si="101"/>
        <v>0</v>
      </c>
      <c r="AC64" s="2150">
        <f t="shared" ca="1" si="101"/>
        <v>0</v>
      </c>
      <c r="AD64" s="2151">
        <f t="shared" ca="1" si="101"/>
        <v>0</v>
      </c>
      <c r="AE64" s="2149">
        <f t="shared" ca="1" si="101"/>
        <v>0</v>
      </c>
      <c r="AF64" s="2150">
        <f t="shared" ca="1" si="101"/>
        <v>0</v>
      </c>
      <c r="AG64" s="2150">
        <f t="shared" ca="1" si="101"/>
        <v>0</v>
      </c>
      <c r="AH64" s="2151">
        <f t="shared" ca="1" si="101"/>
        <v>0</v>
      </c>
      <c r="AI64" s="2149">
        <f t="shared" ca="1" si="101"/>
        <v>0</v>
      </c>
      <c r="AJ64" s="2150">
        <f t="shared" ca="1" si="101"/>
        <v>0</v>
      </c>
      <c r="AK64" s="2150">
        <f t="shared" ca="1" si="101"/>
        <v>0</v>
      </c>
      <c r="AL64" s="2151">
        <f t="shared" ca="1" si="101"/>
        <v>0</v>
      </c>
      <c r="AM64" s="2149">
        <f t="shared" ca="1" si="101"/>
        <v>0</v>
      </c>
      <c r="AN64" s="2150">
        <f t="shared" ca="1" si="101"/>
        <v>0</v>
      </c>
      <c r="AO64" s="2150">
        <f t="shared" ca="1" si="101"/>
        <v>0</v>
      </c>
      <c r="AP64" s="2151">
        <f t="shared" ca="1" si="101"/>
        <v>0</v>
      </c>
      <c r="AQ64" s="2149">
        <f t="shared" ca="1" si="101"/>
        <v>0</v>
      </c>
      <c r="AR64" s="2150">
        <f t="shared" ca="1" si="101"/>
        <v>0</v>
      </c>
      <c r="AS64" s="2150">
        <f t="shared" ca="1" si="101"/>
        <v>0</v>
      </c>
      <c r="AT64" s="2151">
        <f t="shared" ca="1" si="101"/>
        <v>0</v>
      </c>
      <c r="AU64" s="2149">
        <f t="shared" ca="1" si="101"/>
        <v>0</v>
      </c>
      <c r="AV64" s="2150">
        <f t="shared" ca="1" si="101"/>
        <v>0</v>
      </c>
      <c r="AW64" s="2150">
        <f t="shared" ca="1" si="101"/>
        <v>0</v>
      </c>
      <c r="AX64" s="2151">
        <f t="shared" ca="1" si="101"/>
        <v>0</v>
      </c>
      <c r="AY64" s="2149">
        <f t="shared" ca="1" si="101"/>
        <v>0</v>
      </c>
      <c r="AZ64" s="2150">
        <f t="shared" ca="1" si="101"/>
        <v>0</v>
      </c>
      <c r="BA64" s="2150">
        <f t="shared" ca="1" si="101"/>
        <v>0</v>
      </c>
      <c r="BB64" s="2151">
        <f t="shared" ca="1" si="101"/>
        <v>0</v>
      </c>
      <c r="BC64" s="2149">
        <f t="shared" ca="1" si="101"/>
        <v>0</v>
      </c>
      <c r="BD64" s="2150">
        <f t="shared" ca="1" si="101"/>
        <v>0</v>
      </c>
      <c r="BE64" s="2150">
        <f t="shared" ca="1" si="101"/>
        <v>0</v>
      </c>
      <c r="BF64" s="2151">
        <f t="shared" ca="1" si="101"/>
        <v>0</v>
      </c>
      <c r="BG64" s="2149">
        <f t="shared" ca="1" si="101"/>
        <v>0</v>
      </c>
      <c r="BH64" s="2150">
        <f t="shared" ca="1" si="101"/>
        <v>0</v>
      </c>
      <c r="BI64" s="2150">
        <f t="shared" ca="1" si="101"/>
        <v>0</v>
      </c>
      <c r="BJ64" s="2151">
        <f t="shared" ca="1" si="101"/>
        <v>0</v>
      </c>
      <c r="BK64" s="2149">
        <f t="shared" ca="1" si="101"/>
        <v>0</v>
      </c>
      <c r="BL64" s="2150">
        <f t="shared" ca="1" si="101"/>
        <v>0</v>
      </c>
      <c r="BM64" s="2150">
        <f t="shared" ca="1" si="101"/>
        <v>0</v>
      </c>
      <c r="BN64" s="2151">
        <f t="shared" ca="1" si="101"/>
        <v>0</v>
      </c>
      <c r="BO64" s="2149">
        <f t="shared" ca="1" si="101"/>
        <v>6.9601859712643455</v>
      </c>
      <c r="BP64" s="2150">
        <f t="shared" ca="1" si="101"/>
        <v>0</v>
      </c>
      <c r="BQ64" s="2150">
        <f t="shared" ca="1" si="101"/>
        <v>0</v>
      </c>
      <c r="BR64" s="2151">
        <f t="shared" ca="1" si="101"/>
        <v>0</v>
      </c>
      <c r="BS64" s="2149">
        <f t="shared" ref="BS64:ED64" ca="1" si="102">MIN(BS57+BS58-BS59,BS63)</f>
        <v>21.342732529732551</v>
      </c>
      <c r="BT64" s="2150">
        <f t="shared" ca="1" si="102"/>
        <v>0</v>
      </c>
      <c r="BU64" s="2150">
        <f t="shared" ca="1" si="102"/>
        <v>0</v>
      </c>
      <c r="BV64" s="2151">
        <f t="shared" ca="1" si="102"/>
        <v>0</v>
      </c>
      <c r="BW64" s="2149">
        <f t="shared" ca="1" si="102"/>
        <v>24.911065362358926</v>
      </c>
      <c r="BX64" s="2150">
        <f t="shared" ca="1" si="102"/>
        <v>0</v>
      </c>
      <c r="BY64" s="2150">
        <f t="shared" ca="1" si="102"/>
        <v>0</v>
      </c>
      <c r="BZ64" s="2151">
        <f t="shared" ca="1" si="102"/>
        <v>0</v>
      </c>
      <c r="CA64" s="2149">
        <f t="shared" ca="1" si="102"/>
        <v>43.839672909301257</v>
      </c>
      <c r="CB64" s="2150">
        <f t="shared" ca="1" si="102"/>
        <v>0</v>
      </c>
      <c r="CC64" s="2150">
        <f t="shared" ca="1" si="102"/>
        <v>0</v>
      </c>
      <c r="CD64" s="2151">
        <f t="shared" ca="1" si="102"/>
        <v>0</v>
      </c>
      <c r="CE64" s="2149">
        <f t="shared" ca="1" si="102"/>
        <v>45.92</v>
      </c>
      <c r="CF64" s="2150">
        <f t="shared" ca="1" si="102"/>
        <v>0</v>
      </c>
      <c r="CG64" s="2150">
        <f t="shared" ca="1" si="102"/>
        <v>0</v>
      </c>
      <c r="CH64" s="2151">
        <f t="shared" ca="1" si="102"/>
        <v>0</v>
      </c>
      <c r="CI64" s="2149">
        <f t="shared" ca="1" si="102"/>
        <v>45.92</v>
      </c>
      <c r="CJ64" s="2150">
        <f t="shared" ca="1" si="102"/>
        <v>0</v>
      </c>
      <c r="CK64" s="2150">
        <f t="shared" ca="1" si="102"/>
        <v>0</v>
      </c>
      <c r="CL64" s="2151">
        <f t="shared" ca="1" si="102"/>
        <v>0</v>
      </c>
      <c r="CM64" s="2149">
        <f t="shared" ca="1" si="102"/>
        <v>45.92</v>
      </c>
      <c r="CN64" s="2150">
        <f t="shared" ca="1" si="102"/>
        <v>0</v>
      </c>
      <c r="CO64" s="2150">
        <f t="shared" ca="1" si="102"/>
        <v>0</v>
      </c>
      <c r="CP64" s="2151">
        <f t="shared" ca="1" si="102"/>
        <v>0</v>
      </c>
      <c r="CQ64" s="2149">
        <f t="shared" ca="1" si="102"/>
        <v>45.92</v>
      </c>
      <c r="CR64" s="2150">
        <f t="shared" ca="1" si="102"/>
        <v>0</v>
      </c>
      <c r="CS64" s="2150">
        <f t="shared" ca="1" si="102"/>
        <v>0</v>
      </c>
      <c r="CT64" s="2151">
        <f t="shared" ca="1" si="102"/>
        <v>0</v>
      </c>
      <c r="CU64" s="2149">
        <f t="shared" ca="1" si="102"/>
        <v>45.92</v>
      </c>
      <c r="CV64" s="2150">
        <f t="shared" ca="1" si="102"/>
        <v>0</v>
      </c>
      <c r="CW64" s="2150">
        <f t="shared" ca="1" si="102"/>
        <v>0</v>
      </c>
      <c r="CX64" s="2151">
        <f t="shared" ca="1" si="102"/>
        <v>0</v>
      </c>
      <c r="CY64" s="2149">
        <f t="shared" ca="1" si="102"/>
        <v>45.92</v>
      </c>
      <c r="CZ64" s="2150">
        <f t="shared" ca="1" si="102"/>
        <v>0</v>
      </c>
      <c r="DA64" s="2150">
        <f t="shared" ca="1" si="102"/>
        <v>0</v>
      </c>
      <c r="DB64" s="2151">
        <f t="shared" ca="1" si="102"/>
        <v>0</v>
      </c>
      <c r="DC64" s="2149">
        <f t="shared" ca="1" si="102"/>
        <v>45.92</v>
      </c>
      <c r="DD64" s="2150">
        <f t="shared" ca="1" si="102"/>
        <v>0</v>
      </c>
      <c r="DE64" s="2150">
        <f t="shared" ca="1" si="102"/>
        <v>0</v>
      </c>
      <c r="DF64" s="2151">
        <f t="shared" ca="1" si="102"/>
        <v>0</v>
      </c>
      <c r="DG64" s="2149">
        <f t="shared" ca="1" si="102"/>
        <v>31.087504183678348</v>
      </c>
      <c r="DH64" s="2150">
        <f t="shared" ca="1" si="102"/>
        <v>0</v>
      </c>
      <c r="DI64" s="2150">
        <f t="shared" ca="1" si="102"/>
        <v>0</v>
      </c>
      <c r="DJ64" s="2151">
        <f t="shared" ca="1" si="102"/>
        <v>0</v>
      </c>
      <c r="DK64" s="2149">
        <f t="shared" ca="1" si="102"/>
        <v>0</v>
      </c>
      <c r="DL64" s="2150">
        <f t="shared" ca="1" si="102"/>
        <v>0</v>
      </c>
      <c r="DM64" s="2150">
        <f t="shared" ca="1" si="102"/>
        <v>0</v>
      </c>
      <c r="DN64" s="2151">
        <f t="shared" ca="1" si="102"/>
        <v>0</v>
      </c>
      <c r="DO64" s="2149">
        <f t="shared" ca="1" si="102"/>
        <v>0</v>
      </c>
      <c r="DP64" s="2150">
        <f t="shared" ca="1" si="102"/>
        <v>0</v>
      </c>
      <c r="DQ64" s="2150">
        <f t="shared" ca="1" si="102"/>
        <v>0</v>
      </c>
      <c r="DR64" s="2151">
        <f t="shared" ca="1" si="102"/>
        <v>0</v>
      </c>
      <c r="DS64" s="2149">
        <f t="shared" ca="1" si="102"/>
        <v>0</v>
      </c>
      <c r="DT64" s="2150">
        <f t="shared" ca="1" si="102"/>
        <v>0</v>
      </c>
      <c r="DU64" s="2150">
        <f t="shared" ca="1" si="102"/>
        <v>0</v>
      </c>
      <c r="DV64" s="2151">
        <f t="shared" ca="1" si="102"/>
        <v>0</v>
      </c>
      <c r="DW64" s="2149">
        <f t="shared" ca="1" si="102"/>
        <v>0</v>
      </c>
      <c r="DX64" s="2150">
        <f t="shared" ca="1" si="102"/>
        <v>0</v>
      </c>
      <c r="DY64" s="2150">
        <f t="shared" ca="1" si="102"/>
        <v>0</v>
      </c>
      <c r="DZ64" s="2151">
        <f t="shared" ca="1" si="102"/>
        <v>0</v>
      </c>
      <c r="EA64" s="2149">
        <f t="shared" ca="1" si="102"/>
        <v>0</v>
      </c>
      <c r="EB64" s="2150">
        <f t="shared" ca="1" si="102"/>
        <v>0</v>
      </c>
      <c r="EC64" s="2150">
        <f t="shared" ca="1" si="102"/>
        <v>0</v>
      </c>
      <c r="ED64" s="2151">
        <f t="shared" ca="1" si="102"/>
        <v>0</v>
      </c>
      <c r="EE64" s="2149">
        <f t="shared" ref="EE64:GD64" ca="1" si="103">MIN(EE57+EE58-EE59,EE63)</f>
        <v>0</v>
      </c>
      <c r="EF64" s="2150">
        <f t="shared" ca="1" si="103"/>
        <v>0</v>
      </c>
      <c r="EG64" s="2150">
        <f t="shared" ca="1" si="103"/>
        <v>0</v>
      </c>
      <c r="EH64" s="2151">
        <f t="shared" ca="1" si="103"/>
        <v>0</v>
      </c>
      <c r="EI64" s="2149">
        <f t="shared" ca="1" si="103"/>
        <v>0</v>
      </c>
      <c r="EJ64" s="2150">
        <f t="shared" ca="1" si="103"/>
        <v>0</v>
      </c>
      <c r="EK64" s="2150">
        <f t="shared" ca="1" si="103"/>
        <v>0</v>
      </c>
      <c r="EL64" s="2151">
        <f t="shared" ca="1" si="103"/>
        <v>0</v>
      </c>
      <c r="EM64" s="2149">
        <f t="shared" ca="1" si="103"/>
        <v>0</v>
      </c>
      <c r="EN64" s="2150">
        <f t="shared" ca="1" si="103"/>
        <v>0</v>
      </c>
      <c r="EO64" s="2150">
        <f t="shared" ca="1" si="103"/>
        <v>0</v>
      </c>
      <c r="EP64" s="2151">
        <f t="shared" ca="1" si="103"/>
        <v>0</v>
      </c>
      <c r="EQ64" s="2149">
        <f t="shared" ca="1" si="103"/>
        <v>0</v>
      </c>
      <c r="ER64" s="2150">
        <f t="shared" ca="1" si="103"/>
        <v>0</v>
      </c>
      <c r="ES64" s="2150">
        <f t="shared" ca="1" si="103"/>
        <v>0</v>
      </c>
      <c r="ET64" s="2151">
        <f t="shared" ca="1" si="103"/>
        <v>0</v>
      </c>
      <c r="EU64" s="2149">
        <f t="shared" ca="1" si="103"/>
        <v>0</v>
      </c>
      <c r="EV64" s="2150">
        <f t="shared" ca="1" si="103"/>
        <v>0</v>
      </c>
      <c r="EW64" s="2150">
        <f t="shared" ca="1" si="103"/>
        <v>0</v>
      </c>
      <c r="EX64" s="2151">
        <f t="shared" ca="1" si="103"/>
        <v>0</v>
      </c>
      <c r="EY64" s="2149">
        <f t="shared" ca="1" si="103"/>
        <v>0</v>
      </c>
      <c r="EZ64" s="2150">
        <f t="shared" ca="1" si="103"/>
        <v>0</v>
      </c>
      <c r="FA64" s="2150">
        <f t="shared" ca="1" si="103"/>
        <v>0</v>
      </c>
      <c r="FB64" s="2151">
        <f t="shared" ca="1" si="103"/>
        <v>0</v>
      </c>
      <c r="FC64" s="2149">
        <f t="shared" ca="1" si="103"/>
        <v>0</v>
      </c>
      <c r="FD64" s="2150">
        <f t="shared" ca="1" si="103"/>
        <v>0</v>
      </c>
      <c r="FE64" s="2150">
        <f t="shared" ca="1" si="103"/>
        <v>0</v>
      </c>
      <c r="FF64" s="2151">
        <f t="shared" ca="1" si="103"/>
        <v>0</v>
      </c>
      <c r="FG64" s="2149">
        <f t="shared" ca="1" si="103"/>
        <v>0</v>
      </c>
      <c r="FH64" s="2150">
        <f t="shared" ca="1" si="103"/>
        <v>0</v>
      </c>
      <c r="FI64" s="2150">
        <f t="shared" ca="1" si="103"/>
        <v>0</v>
      </c>
      <c r="FJ64" s="2151">
        <f t="shared" ca="1" si="103"/>
        <v>0</v>
      </c>
      <c r="FK64" s="2149">
        <f t="shared" ca="1" si="103"/>
        <v>0</v>
      </c>
      <c r="FL64" s="2150">
        <f t="shared" ca="1" si="103"/>
        <v>0</v>
      </c>
      <c r="FM64" s="2150">
        <f t="shared" ca="1" si="103"/>
        <v>0</v>
      </c>
      <c r="FN64" s="2151">
        <f t="shared" ca="1" si="103"/>
        <v>0</v>
      </c>
      <c r="FO64" s="2149">
        <f t="shared" ca="1" si="103"/>
        <v>0</v>
      </c>
      <c r="FP64" s="2150">
        <f t="shared" ca="1" si="103"/>
        <v>0</v>
      </c>
      <c r="FQ64" s="2150">
        <f t="shared" ca="1" si="103"/>
        <v>0</v>
      </c>
      <c r="FR64" s="2151">
        <f t="shared" ca="1" si="103"/>
        <v>0</v>
      </c>
      <c r="FS64" s="2149">
        <f t="shared" ca="1" si="103"/>
        <v>0</v>
      </c>
      <c r="FT64" s="2150">
        <f t="shared" ca="1" si="103"/>
        <v>0</v>
      </c>
      <c r="FU64" s="2150">
        <f t="shared" ca="1" si="103"/>
        <v>0</v>
      </c>
      <c r="FV64" s="2151">
        <f t="shared" ca="1" si="103"/>
        <v>0</v>
      </c>
      <c r="FW64" s="2149">
        <f t="shared" ca="1" si="103"/>
        <v>0</v>
      </c>
      <c r="FX64" s="2150">
        <f t="shared" ca="1" si="103"/>
        <v>0</v>
      </c>
      <c r="FY64" s="2150">
        <f t="shared" ca="1" si="103"/>
        <v>0</v>
      </c>
      <c r="FZ64" s="2151">
        <f t="shared" ca="1" si="103"/>
        <v>0</v>
      </c>
      <c r="GA64" s="2149">
        <f t="shared" ca="1" si="103"/>
        <v>0</v>
      </c>
      <c r="GB64" s="2150">
        <f t="shared" ca="1" si="103"/>
        <v>0</v>
      </c>
      <c r="GC64" s="2150">
        <f t="shared" ca="1" si="103"/>
        <v>0</v>
      </c>
      <c r="GD64" s="2151">
        <f t="shared" ca="1" si="103"/>
        <v>0</v>
      </c>
    </row>
    <row r="65" spans="2:186" ht="15" customHeight="1">
      <c r="B65" s="2064"/>
      <c r="C65" s="2064"/>
      <c r="D65" s="2064"/>
      <c r="E65" s="2163"/>
      <c r="F65" s="2064">
        <f ca="1">민감도!E85</f>
        <v>2</v>
      </c>
      <c r="G65" s="2064"/>
      <c r="H65" s="2064"/>
      <c r="I65" s="2064"/>
      <c r="J65" s="2064"/>
      <c r="K65" s="2064"/>
      <c r="L65" s="2064"/>
      <c r="M65" s="2064"/>
      <c r="N65" s="2064"/>
      <c r="O65" s="2064"/>
      <c r="P65" s="2064"/>
      <c r="Q65" s="2064"/>
      <c r="R65" s="2064"/>
      <c r="S65" s="2064"/>
      <c r="T65" s="2064"/>
      <c r="U65" s="2064"/>
      <c r="V65" s="2064"/>
      <c r="W65" s="2064"/>
      <c r="X65" s="2064"/>
      <c r="Y65" s="2064"/>
      <c r="Z65" s="2064"/>
      <c r="AA65" s="2064"/>
      <c r="AB65" s="2064"/>
      <c r="AC65" s="2064"/>
      <c r="AD65" s="2064"/>
      <c r="AE65" s="2064"/>
      <c r="AF65" s="2064"/>
      <c r="AG65" s="2064"/>
      <c r="AH65" s="2064"/>
      <c r="AI65" s="2064"/>
      <c r="AJ65" s="2064"/>
      <c r="AK65" s="2064"/>
      <c r="AL65" s="2064"/>
      <c r="AM65" s="2064"/>
      <c r="AN65" s="2064"/>
      <c r="AO65" s="2064"/>
      <c r="AP65" s="2064"/>
      <c r="AQ65" s="2064"/>
      <c r="AR65" s="2064"/>
      <c r="AS65" s="2064"/>
      <c r="AT65" s="2064"/>
      <c r="AU65" s="2064"/>
      <c r="AV65" s="2064"/>
      <c r="AW65" s="2064"/>
      <c r="AX65" s="2064"/>
      <c r="AY65" s="2064"/>
      <c r="AZ65" s="2064"/>
      <c r="BA65" s="2064"/>
      <c r="BB65" s="2064"/>
      <c r="BC65" s="2064"/>
      <c r="BD65" s="2064"/>
      <c r="BE65" s="2064"/>
      <c r="BF65" s="2064"/>
      <c r="BG65" s="2064"/>
      <c r="BH65" s="2064"/>
      <c r="BI65" s="2064"/>
      <c r="BJ65" s="2064"/>
      <c r="BK65" s="2064"/>
      <c r="BL65" s="2064"/>
      <c r="BM65" s="2064"/>
      <c r="BN65" s="2064"/>
      <c r="BO65" s="2064"/>
      <c r="BP65" s="2064"/>
      <c r="BQ65" s="2064"/>
      <c r="BR65" s="2064"/>
      <c r="BS65" s="2064"/>
      <c r="BT65" s="2064"/>
      <c r="BU65" s="2064"/>
      <c r="BV65" s="2064"/>
      <c r="BW65" s="2064"/>
      <c r="BX65" s="2064"/>
      <c r="BY65" s="2064"/>
      <c r="BZ65" s="2064"/>
      <c r="CA65" s="2064"/>
      <c r="CB65" s="2064"/>
      <c r="CC65" s="2064"/>
      <c r="CD65" s="2064"/>
      <c r="CE65" s="2064"/>
      <c r="CF65" s="2064"/>
      <c r="CG65" s="2064"/>
      <c r="CH65" s="2064"/>
      <c r="CI65" s="2064"/>
      <c r="CJ65" s="2064"/>
      <c r="CK65" s="2064"/>
      <c r="CL65" s="2064"/>
      <c r="CM65" s="2064"/>
      <c r="CN65" s="2064"/>
      <c r="CO65" s="2064"/>
      <c r="CP65" s="2064"/>
      <c r="CQ65" s="2064"/>
      <c r="CR65" s="2064"/>
      <c r="CS65" s="2064"/>
      <c r="CT65" s="2064"/>
      <c r="CU65" s="2064"/>
      <c r="CV65" s="2064"/>
      <c r="CW65" s="2064"/>
      <c r="CX65" s="2064"/>
      <c r="CY65" s="2064"/>
      <c r="CZ65" s="2064"/>
      <c r="DA65" s="2064"/>
      <c r="DB65" s="2064"/>
      <c r="DC65" s="2064"/>
      <c r="DD65" s="2064"/>
      <c r="DE65" s="2064"/>
      <c r="DF65" s="2064"/>
      <c r="DG65" s="2064"/>
      <c r="DH65" s="2064"/>
      <c r="DI65" s="2064"/>
      <c r="DJ65" s="2064"/>
      <c r="DK65" s="2064"/>
      <c r="DL65" s="2064"/>
      <c r="DM65" s="2064"/>
      <c r="DN65" s="2064"/>
      <c r="DO65" s="2064"/>
      <c r="DP65" s="2064"/>
      <c r="DQ65" s="2064"/>
      <c r="DR65" s="2064"/>
      <c r="DS65" s="2064"/>
      <c r="DT65" s="2064"/>
      <c r="DU65" s="2064"/>
      <c r="DV65" s="2064"/>
      <c r="DW65" s="2064"/>
      <c r="DX65" s="2064"/>
      <c r="DY65" s="2064"/>
      <c r="DZ65" s="2064"/>
      <c r="EA65" s="2064"/>
      <c r="EB65" s="2064"/>
      <c r="EC65" s="2064"/>
      <c r="ED65" s="2064"/>
      <c r="EE65" s="2064"/>
      <c r="EF65" s="2064"/>
      <c r="EG65" s="2064"/>
      <c r="EH65" s="2064"/>
      <c r="EI65" s="2064"/>
      <c r="EJ65" s="2064"/>
      <c r="EK65" s="2064"/>
      <c r="EL65" s="2064"/>
      <c r="EM65" s="2064"/>
      <c r="EN65" s="2064"/>
      <c r="EO65" s="2064"/>
      <c r="EP65" s="2064"/>
      <c r="EQ65" s="2064"/>
      <c r="ER65" s="2064"/>
      <c r="ES65" s="2064"/>
      <c r="ET65" s="2064"/>
      <c r="EU65" s="2064"/>
      <c r="EV65" s="2064"/>
      <c r="EW65" s="2064"/>
      <c r="EX65" s="2064"/>
      <c r="EY65" s="2064"/>
      <c r="EZ65" s="2064"/>
      <c r="FA65" s="2064"/>
      <c r="FB65" s="2064"/>
      <c r="FC65" s="2064"/>
      <c r="FD65" s="2064"/>
      <c r="FE65" s="2064"/>
      <c r="FF65" s="2064"/>
      <c r="FG65" s="2064"/>
      <c r="FH65" s="2064"/>
      <c r="FI65" s="2064"/>
      <c r="FJ65" s="2064"/>
      <c r="FK65" s="2064"/>
      <c r="FL65" s="2064"/>
      <c r="FM65" s="2064"/>
      <c r="FN65" s="2064"/>
      <c r="FO65" s="2064"/>
      <c r="FP65" s="2064"/>
      <c r="FQ65" s="2064"/>
      <c r="FR65" s="2064"/>
      <c r="FS65" s="2064"/>
      <c r="FT65" s="2064"/>
      <c r="FU65" s="2064"/>
      <c r="FV65" s="2064"/>
      <c r="FW65" s="2064"/>
      <c r="FX65" s="2064"/>
      <c r="FY65" s="2064"/>
      <c r="FZ65" s="2064"/>
      <c r="GA65" s="2064"/>
      <c r="GB65" s="2064"/>
      <c r="GC65" s="2064"/>
      <c r="GD65" s="2064"/>
    </row>
    <row r="66" spans="2:186" ht="15" customHeight="1">
      <c r="B66" s="2085">
        <v>1</v>
      </c>
      <c r="C66" s="2155" t="s">
        <v>3772</v>
      </c>
      <c r="D66" s="2156"/>
      <c r="E66" s="2157"/>
      <c r="F66" s="2158">
        <f t="shared" ref="F66:F67" ca="1" si="104">SUM(G66:GD66)</f>
        <v>10682.405262420538</v>
      </c>
      <c r="G66" s="2159"/>
      <c r="H66" s="2160"/>
      <c r="I66" s="2160"/>
      <c r="J66" s="2161"/>
      <c r="K66" s="2159"/>
      <c r="L66" s="2160"/>
      <c r="M66" s="2160"/>
      <c r="N66" s="2161"/>
      <c r="O66" s="2159"/>
      <c r="P66" s="2160"/>
      <c r="Q66" s="2160"/>
      <c r="R66" s="2161"/>
      <c r="S66" s="2159">
        <f ca="1">S58</f>
        <v>51.185422867554244</v>
      </c>
      <c r="T66" s="2164">
        <f ca="1">T58+T57</f>
        <v>161.52868517228424</v>
      </c>
      <c r="U66" s="2160">
        <f t="shared" ref="U66:CF66" ca="1" si="105">U58</f>
        <v>51.185422867554244</v>
      </c>
      <c r="V66" s="2161">
        <f t="shared" ca="1" si="105"/>
        <v>51.185422867554244</v>
      </c>
      <c r="W66" s="2159">
        <f t="shared" ca="1" si="105"/>
        <v>52.198947178131753</v>
      </c>
      <c r="X66" s="2160">
        <f t="shared" ca="1" si="105"/>
        <v>52.198947178131753</v>
      </c>
      <c r="Y66" s="2160">
        <f t="shared" ca="1" si="105"/>
        <v>52.198947178131753</v>
      </c>
      <c r="Z66" s="2161">
        <f t="shared" ca="1" si="105"/>
        <v>52.198947178131753</v>
      </c>
      <c r="AA66" s="2159">
        <f t="shared" ca="1" si="105"/>
        <v>52.955041139760191</v>
      </c>
      <c r="AB66" s="2160">
        <f t="shared" ca="1" si="105"/>
        <v>52.955041139760191</v>
      </c>
      <c r="AC66" s="2160">
        <f t="shared" ca="1" si="105"/>
        <v>52.955041139760191</v>
      </c>
      <c r="AD66" s="2161">
        <f t="shared" ca="1" si="105"/>
        <v>52.955041139760191</v>
      </c>
      <c r="AE66" s="2159">
        <f t="shared" ca="1" si="105"/>
        <v>53.941952959078712</v>
      </c>
      <c r="AF66" s="2160">
        <f t="shared" ca="1" si="105"/>
        <v>53.941952959078712</v>
      </c>
      <c r="AG66" s="2160">
        <f t="shared" ca="1" si="105"/>
        <v>53.941952959078712</v>
      </c>
      <c r="AH66" s="2161">
        <f t="shared" ca="1" si="105"/>
        <v>53.941952959078712</v>
      </c>
      <c r="AI66" s="2159">
        <f t="shared" ca="1" si="105"/>
        <v>54.551028064605383</v>
      </c>
      <c r="AJ66" s="2160">
        <f t="shared" ca="1" si="105"/>
        <v>54.551028064605383</v>
      </c>
      <c r="AK66" s="2160">
        <f t="shared" ca="1" si="105"/>
        <v>54.551028064605383</v>
      </c>
      <c r="AL66" s="2161">
        <f t="shared" ca="1" si="105"/>
        <v>54.551028064605383</v>
      </c>
      <c r="AM66" s="2159">
        <f t="shared" ca="1" si="105"/>
        <v>55.647329735854434</v>
      </c>
      <c r="AN66" s="2160">
        <f t="shared" ca="1" si="105"/>
        <v>55.647329735854434</v>
      </c>
      <c r="AO66" s="2160">
        <f t="shared" ca="1" si="105"/>
        <v>55.647329735854434</v>
      </c>
      <c r="AP66" s="2161">
        <f t="shared" ca="1" si="105"/>
        <v>55.647329735854434</v>
      </c>
      <c r="AQ66" s="2159">
        <f t="shared" ca="1" si="105"/>
        <v>57.292651928915262</v>
      </c>
      <c r="AR66" s="2160">
        <f t="shared" ca="1" si="105"/>
        <v>57.292651928915262</v>
      </c>
      <c r="AS66" s="2160">
        <f t="shared" ca="1" si="105"/>
        <v>57.292651928915262</v>
      </c>
      <c r="AT66" s="2161">
        <f t="shared" ca="1" si="105"/>
        <v>57.292651928915262</v>
      </c>
      <c r="AU66" s="2159">
        <f t="shared" ca="1" si="105"/>
        <v>58.709104473413383</v>
      </c>
      <c r="AV66" s="2160">
        <f t="shared" ca="1" si="105"/>
        <v>58.709104473413383</v>
      </c>
      <c r="AW66" s="2160">
        <f t="shared" ca="1" si="105"/>
        <v>58.709104473413383</v>
      </c>
      <c r="AX66" s="2161">
        <f t="shared" ca="1" si="105"/>
        <v>58.709104473413383</v>
      </c>
      <c r="AY66" s="2159">
        <f t="shared" ca="1" si="105"/>
        <v>59.515459654326541</v>
      </c>
      <c r="AZ66" s="2160">
        <f t="shared" ca="1" si="105"/>
        <v>59.515459654326541</v>
      </c>
      <c r="BA66" s="2160">
        <f t="shared" ca="1" si="105"/>
        <v>59.515459654326541</v>
      </c>
      <c r="BB66" s="2161">
        <f t="shared" ca="1" si="105"/>
        <v>59.515459654326541</v>
      </c>
      <c r="BC66" s="2159">
        <f t="shared" ca="1" si="105"/>
        <v>60.569830699742219</v>
      </c>
      <c r="BD66" s="2160">
        <f t="shared" ca="1" si="105"/>
        <v>60.569830699742219</v>
      </c>
      <c r="BE66" s="2160">
        <f t="shared" ca="1" si="105"/>
        <v>60.569830699742219</v>
      </c>
      <c r="BF66" s="2161">
        <f t="shared" ca="1" si="105"/>
        <v>60.569830699742219</v>
      </c>
      <c r="BG66" s="2159">
        <f t="shared" ca="1" si="105"/>
        <v>61.614873021461818</v>
      </c>
      <c r="BH66" s="2160">
        <f t="shared" ca="1" si="105"/>
        <v>61.614873021461818</v>
      </c>
      <c r="BI66" s="2160">
        <f t="shared" ca="1" si="105"/>
        <v>61.614873021461818</v>
      </c>
      <c r="BJ66" s="2161">
        <f t="shared" ca="1" si="105"/>
        <v>61.614873021461818</v>
      </c>
      <c r="BK66" s="2159">
        <f t="shared" ca="1" si="105"/>
        <v>62.806854280379554</v>
      </c>
      <c r="BL66" s="2160">
        <f t="shared" ca="1" si="105"/>
        <v>62.806854280379554</v>
      </c>
      <c r="BM66" s="2160">
        <f t="shared" ca="1" si="105"/>
        <v>62.806854280379554</v>
      </c>
      <c r="BN66" s="2161">
        <f t="shared" ca="1" si="105"/>
        <v>62.806854280379554</v>
      </c>
      <c r="BO66" s="2159">
        <f t="shared" ca="1" si="105"/>
        <v>63.354756348140796</v>
      </c>
      <c r="BP66" s="2160">
        <f t="shared" ca="1" si="105"/>
        <v>63.354756348140796</v>
      </c>
      <c r="BQ66" s="2160">
        <f t="shared" ca="1" si="105"/>
        <v>63.354756348140796</v>
      </c>
      <c r="BR66" s="2161">
        <f t="shared" ca="1" si="105"/>
        <v>63.354756348140796</v>
      </c>
      <c r="BS66" s="2159">
        <f t="shared" ca="1" si="105"/>
        <v>64.447166328265624</v>
      </c>
      <c r="BT66" s="2160">
        <f t="shared" ca="1" si="105"/>
        <v>64.447166328265624</v>
      </c>
      <c r="BU66" s="2160">
        <f t="shared" ca="1" si="105"/>
        <v>64.447166328265624</v>
      </c>
      <c r="BV66" s="2161">
        <f t="shared" ca="1" si="105"/>
        <v>64.447166328265624</v>
      </c>
      <c r="BW66" s="2159">
        <f t="shared" ca="1" si="105"/>
        <v>65.095757092070926</v>
      </c>
      <c r="BX66" s="2160">
        <f t="shared" ca="1" si="105"/>
        <v>65.095757092070926</v>
      </c>
      <c r="BY66" s="2160">
        <f t="shared" ca="1" si="105"/>
        <v>65.095757092070926</v>
      </c>
      <c r="BZ66" s="2161">
        <f t="shared" ca="1" si="105"/>
        <v>65.095757092070926</v>
      </c>
      <c r="CA66" s="2159">
        <f t="shared" ca="1" si="105"/>
        <v>66.233600729782083</v>
      </c>
      <c r="CB66" s="2160">
        <f t="shared" ca="1" si="105"/>
        <v>66.233600729782083</v>
      </c>
      <c r="CC66" s="2160">
        <f t="shared" ca="1" si="105"/>
        <v>66.233600729782083</v>
      </c>
      <c r="CD66" s="2161">
        <f t="shared" ca="1" si="105"/>
        <v>66.233600729782083</v>
      </c>
      <c r="CE66" s="2159">
        <f t="shared" ca="1" si="105"/>
        <v>66.92029374241595</v>
      </c>
      <c r="CF66" s="2160">
        <f t="shared" ca="1" si="105"/>
        <v>66.92029374241595</v>
      </c>
      <c r="CG66" s="2160">
        <f t="shared" ref="CG66:ER66" ca="1" si="106">CG58</f>
        <v>66.92029374241595</v>
      </c>
      <c r="CH66" s="2161">
        <f t="shared" ca="1" si="106"/>
        <v>66.92029374241595</v>
      </c>
      <c r="CI66" s="2159">
        <f t="shared" ca="1" si="106"/>
        <v>68.118284990189679</v>
      </c>
      <c r="CJ66" s="2160">
        <f t="shared" ca="1" si="106"/>
        <v>68.118284990189679</v>
      </c>
      <c r="CK66" s="2160">
        <f t="shared" ca="1" si="106"/>
        <v>68.118284990189679</v>
      </c>
      <c r="CL66" s="2161">
        <f t="shared" ca="1" si="106"/>
        <v>68.118284990189679</v>
      </c>
      <c r="CM66" s="2159">
        <f t="shared" ca="1" si="106"/>
        <v>68.904028601183214</v>
      </c>
      <c r="CN66" s="2160">
        <f t="shared" ca="1" si="106"/>
        <v>68.904028601183214</v>
      </c>
      <c r="CO66" s="2160">
        <f t="shared" ca="1" si="106"/>
        <v>68.904028601183214</v>
      </c>
      <c r="CP66" s="2161">
        <f t="shared" ca="1" si="106"/>
        <v>68.904028601183214</v>
      </c>
      <c r="CQ66" s="2159">
        <f t="shared" ca="1" si="106"/>
        <v>70.16095031184841</v>
      </c>
      <c r="CR66" s="2160">
        <f t="shared" ca="1" si="106"/>
        <v>70.16095031184841</v>
      </c>
      <c r="CS66" s="2160">
        <f t="shared" ca="1" si="106"/>
        <v>70.16095031184841</v>
      </c>
      <c r="CT66" s="2161">
        <f t="shared" ca="1" si="106"/>
        <v>70.16095031184841</v>
      </c>
      <c r="CU66" s="2159">
        <f t="shared" ca="1" si="106"/>
        <v>70.879373765838892</v>
      </c>
      <c r="CV66" s="2160">
        <f t="shared" ca="1" si="106"/>
        <v>70.879373765838892</v>
      </c>
      <c r="CW66" s="2160">
        <f t="shared" ca="1" si="106"/>
        <v>70.879373765838892</v>
      </c>
      <c r="CX66" s="2161">
        <f t="shared" ca="1" si="106"/>
        <v>70.879373765838892</v>
      </c>
      <c r="CY66" s="2159">
        <f t="shared" ca="1" si="106"/>
        <v>72.117746591574587</v>
      </c>
      <c r="CZ66" s="2160">
        <f t="shared" ca="1" si="106"/>
        <v>72.117746591574587</v>
      </c>
      <c r="DA66" s="2160">
        <f t="shared" ca="1" si="106"/>
        <v>72.117746591574587</v>
      </c>
      <c r="DB66" s="2161">
        <f t="shared" ca="1" si="106"/>
        <v>72.117746591574587</v>
      </c>
      <c r="DC66" s="2159">
        <f t="shared" ca="1" si="106"/>
        <v>72.847417165369507</v>
      </c>
      <c r="DD66" s="2160">
        <f t="shared" ca="1" si="106"/>
        <v>72.847417165369507</v>
      </c>
      <c r="DE66" s="2160">
        <f t="shared" ca="1" si="106"/>
        <v>72.847417165369507</v>
      </c>
      <c r="DF66" s="2161">
        <f t="shared" ca="1" si="106"/>
        <v>72.847417165369507</v>
      </c>
      <c r="DG66" s="2159">
        <f t="shared" ca="1" si="106"/>
        <v>74.22971795133742</v>
      </c>
      <c r="DH66" s="2160">
        <f t="shared" ca="1" si="106"/>
        <v>74.22971795133742</v>
      </c>
      <c r="DI66" s="2160">
        <f t="shared" ca="1" si="106"/>
        <v>74.22971795133742</v>
      </c>
      <c r="DJ66" s="2161">
        <f t="shared" ca="1" si="106"/>
        <v>74.22971795133742</v>
      </c>
      <c r="DK66" s="2159">
        <f t="shared" ca="1" si="106"/>
        <v>74.886263084347561</v>
      </c>
      <c r="DL66" s="2160">
        <f t="shared" ca="1" si="106"/>
        <v>74.886263084347561</v>
      </c>
      <c r="DM66" s="2160">
        <f t="shared" ca="1" si="106"/>
        <v>74.886263084347561</v>
      </c>
      <c r="DN66" s="2161">
        <f t="shared" ca="1" si="106"/>
        <v>74.886263084347561</v>
      </c>
      <c r="DO66" s="2159">
        <f t="shared" ca="1" si="106"/>
        <v>76.23284155904534</v>
      </c>
      <c r="DP66" s="2160">
        <f t="shared" ca="1" si="106"/>
        <v>76.23284155904534</v>
      </c>
      <c r="DQ66" s="2160">
        <f t="shared" ca="1" si="106"/>
        <v>76.23284155904534</v>
      </c>
      <c r="DR66" s="2161">
        <f t="shared" ca="1" si="106"/>
        <v>76.23284155904534</v>
      </c>
      <c r="DS66" s="2159">
        <f t="shared" ca="1" si="106"/>
        <v>78.518417254811666</v>
      </c>
      <c r="DT66" s="2160">
        <f t="shared" ca="1" si="106"/>
        <v>78.518417254811666</v>
      </c>
      <c r="DU66" s="2160">
        <f t="shared" ca="1" si="106"/>
        <v>78.518417254811666</v>
      </c>
      <c r="DV66" s="2161">
        <f t="shared" ca="1" si="106"/>
        <v>78.518417254811666</v>
      </c>
      <c r="DW66" s="2159">
        <f t="shared" ca="1" si="106"/>
        <v>80.312681857776653</v>
      </c>
      <c r="DX66" s="2160">
        <f t="shared" ca="1" si="106"/>
        <v>80.312681857776653</v>
      </c>
      <c r="DY66" s="2160">
        <f t="shared" ca="1" si="106"/>
        <v>80.312681857776653</v>
      </c>
      <c r="DZ66" s="2161">
        <f t="shared" ca="1" si="106"/>
        <v>80.312681857776653</v>
      </c>
      <c r="EA66" s="2159">
        <f t="shared" ca="1" si="106"/>
        <v>81.318726014444749</v>
      </c>
      <c r="EB66" s="2160">
        <f t="shared" ca="1" si="106"/>
        <v>81.318726014444749</v>
      </c>
      <c r="EC66" s="2160">
        <f t="shared" ca="1" si="106"/>
        <v>81.318726014444749</v>
      </c>
      <c r="ED66" s="2161">
        <f t="shared" ca="1" si="106"/>
        <v>81.318726014444749</v>
      </c>
      <c r="EE66" s="2159">
        <f t="shared" ca="1" si="106"/>
        <v>82.867089059702195</v>
      </c>
      <c r="EF66" s="2160">
        <f t="shared" ca="1" si="106"/>
        <v>82.867089059702195</v>
      </c>
      <c r="EG66" s="2160">
        <f t="shared" ca="1" si="106"/>
        <v>82.867089059702195</v>
      </c>
      <c r="EH66" s="2161">
        <f t="shared" ca="1" si="106"/>
        <v>82.867089059702195</v>
      </c>
      <c r="EI66" s="2159">
        <f t="shared" ca="1" si="106"/>
        <v>84.166086545133723</v>
      </c>
      <c r="EJ66" s="2160">
        <f t="shared" ca="1" si="106"/>
        <v>84.166086545133723</v>
      </c>
      <c r="EK66" s="2160">
        <f t="shared" ca="1" si="106"/>
        <v>84.166086545133723</v>
      </c>
      <c r="EL66" s="2161">
        <f t="shared" ca="1" si="106"/>
        <v>84.166086545133723</v>
      </c>
      <c r="EM66" s="2159">
        <f t="shared" ca="1" si="106"/>
        <v>85.772376035140368</v>
      </c>
      <c r="EN66" s="2160">
        <f t="shared" ca="1" si="106"/>
        <v>85.772376035140368</v>
      </c>
      <c r="EO66" s="2160">
        <f t="shared" ca="1" si="106"/>
        <v>85.772376035140368</v>
      </c>
      <c r="EP66" s="2161">
        <f t="shared" ca="1" si="106"/>
        <v>85.772376035140368</v>
      </c>
      <c r="EQ66" s="2159">
        <f t="shared" ca="1" si="106"/>
        <v>86.575675506175159</v>
      </c>
      <c r="ER66" s="2160">
        <f t="shared" ca="1" si="106"/>
        <v>86.575675506175159</v>
      </c>
      <c r="ES66" s="2160">
        <f t="shared" ref="ES66:GD66" ca="1" si="107">ES58</f>
        <v>86.575675506175159</v>
      </c>
      <c r="ET66" s="2161">
        <f t="shared" ca="1" si="107"/>
        <v>86.575675506175159</v>
      </c>
      <c r="EU66" s="2159">
        <f t="shared" ca="1" si="107"/>
        <v>88.037966093050613</v>
      </c>
      <c r="EV66" s="2160">
        <f t="shared" ca="1" si="107"/>
        <v>88.037966093050613</v>
      </c>
      <c r="EW66" s="2160">
        <f t="shared" ca="1" si="107"/>
        <v>88.037966093050613</v>
      </c>
      <c r="EX66" s="2161">
        <f t="shared" ca="1" si="107"/>
        <v>88.037966093050613</v>
      </c>
      <c r="EY66" s="2159">
        <f t="shared" ca="1" si="107"/>
        <v>89.033225984340291</v>
      </c>
      <c r="EZ66" s="2160">
        <f t="shared" ca="1" si="107"/>
        <v>89.033225984340291</v>
      </c>
      <c r="FA66" s="2160">
        <f t="shared" ca="1" si="107"/>
        <v>89.033225984340291</v>
      </c>
      <c r="FB66" s="2161">
        <f t="shared" ca="1" si="107"/>
        <v>89.033225984340291</v>
      </c>
      <c r="FC66" s="2159">
        <f t="shared" ca="1" si="107"/>
        <v>90.693251425606448</v>
      </c>
      <c r="FD66" s="2160">
        <f t="shared" ca="1" si="107"/>
        <v>90.693251425606448</v>
      </c>
      <c r="FE66" s="2160">
        <f t="shared" ca="1" si="107"/>
        <v>90.693251425606448</v>
      </c>
      <c r="FF66" s="2161">
        <f t="shared" ca="1" si="107"/>
        <v>90.693251425606448</v>
      </c>
      <c r="FG66" s="2159">
        <f t="shared" ca="1" si="107"/>
        <v>93.035087387094961</v>
      </c>
      <c r="FH66" s="2160">
        <f t="shared" ca="1" si="107"/>
        <v>93.035087387094961</v>
      </c>
      <c r="FI66" s="2160">
        <f t="shared" ca="1" si="107"/>
        <v>93.035087387094961</v>
      </c>
      <c r="FJ66" s="2161">
        <f t="shared" ca="1" si="107"/>
        <v>93.035087387094961</v>
      </c>
      <c r="FK66" s="2159">
        <f t="shared" ca="1" si="107"/>
        <v>94.536445202082476</v>
      </c>
      <c r="FL66" s="2160">
        <f ca="1">MIN(FL58+FL57,FL43)</f>
        <v>94.536445202082476</v>
      </c>
      <c r="FM66" s="2160">
        <f t="shared" ca="1" si="107"/>
        <v>0</v>
      </c>
      <c r="FN66" s="2161">
        <f t="shared" ca="1" si="107"/>
        <v>0</v>
      </c>
      <c r="FO66" s="2159">
        <f t="shared" si="107"/>
        <v>0</v>
      </c>
      <c r="FP66" s="2160">
        <f t="shared" si="107"/>
        <v>0</v>
      </c>
      <c r="FQ66" s="2160">
        <f t="shared" si="107"/>
        <v>0</v>
      </c>
      <c r="FR66" s="2161">
        <f t="shared" si="107"/>
        <v>0</v>
      </c>
      <c r="FS66" s="2159">
        <f t="shared" si="107"/>
        <v>0</v>
      </c>
      <c r="FT66" s="2160">
        <f t="shared" si="107"/>
        <v>0</v>
      </c>
      <c r="FU66" s="2160">
        <f t="shared" si="107"/>
        <v>0</v>
      </c>
      <c r="FV66" s="2161">
        <f t="shared" si="107"/>
        <v>0</v>
      </c>
      <c r="FW66" s="2159">
        <f t="shared" si="107"/>
        <v>0</v>
      </c>
      <c r="FX66" s="2160">
        <f t="shared" si="107"/>
        <v>0</v>
      </c>
      <c r="FY66" s="2160">
        <f t="shared" si="107"/>
        <v>0</v>
      </c>
      <c r="FZ66" s="2161">
        <f t="shared" si="107"/>
        <v>0</v>
      </c>
      <c r="GA66" s="2159">
        <f t="shared" si="107"/>
        <v>0</v>
      </c>
      <c r="GB66" s="2160">
        <f t="shared" si="107"/>
        <v>0</v>
      </c>
      <c r="GC66" s="2160">
        <f t="shared" si="107"/>
        <v>0</v>
      </c>
      <c r="GD66" s="2161">
        <f t="shared" si="107"/>
        <v>0</v>
      </c>
    </row>
    <row r="67" spans="2:186" ht="15" customHeight="1">
      <c r="B67" s="2085">
        <v>2</v>
      </c>
      <c r="C67" s="2145" t="s">
        <v>3773</v>
      </c>
      <c r="D67" s="2146"/>
      <c r="E67" s="2162"/>
      <c r="F67" s="2148">
        <f t="shared" ca="1" si="104"/>
        <v>10192.524487278692</v>
      </c>
      <c r="G67" s="2149"/>
      <c r="H67" s="2150"/>
      <c r="I67" s="2150"/>
      <c r="J67" s="2151"/>
      <c r="K67" s="2149"/>
      <c r="L67" s="2150"/>
      <c r="M67" s="2150"/>
      <c r="N67" s="2151"/>
      <c r="O67" s="2149"/>
      <c r="P67" s="2150"/>
      <c r="Q67" s="2150"/>
      <c r="R67" s="2151"/>
      <c r="S67" s="2149">
        <f t="shared" ref="S67:AX67" ca="1" si="108">MIN(S43-S50,S58)</f>
        <v>10.885808682043738</v>
      </c>
      <c r="T67" s="2150">
        <f t="shared" ca="1" si="108"/>
        <v>51.185422867554244</v>
      </c>
      <c r="U67" s="2150">
        <f t="shared" ca="1" si="108"/>
        <v>17.348932124688869</v>
      </c>
      <c r="V67" s="2151">
        <f t="shared" ca="1" si="108"/>
        <v>11.853819893666817</v>
      </c>
      <c r="W67" s="2149">
        <f t="shared" ca="1" si="108"/>
        <v>52.198947178131753</v>
      </c>
      <c r="X67" s="2150">
        <f t="shared" ca="1" si="108"/>
        <v>52.198947178131753</v>
      </c>
      <c r="Y67" s="2150">
        <f t="shared" ca="1" si="108"/>
        <v>52.198947178131753</v>
      </c>
      <c r="Z67" s="2151">
        <f t="shared" ca="1" si="108"/>
        <v>52.198947178131753</v>
      </c>
      <c r="AA67" s="2149">
        <f t="shared" ca="1" si="108"/>
        <v>31.759117530926552</v>
      </c>
      <c r="AB67" s="2150">
        <f t="shared" ca="1" si="108"/>
        <v>52.955041139760191</v>
      </c>
      <c r="AC67" s="2150">
        <f t="shared" ca="1" si="108"/>
        <v>52.955041139760191</v>
      </c>
      <c r="AD67" s="2151">
        <f t="shared" ca="1" si="108"/>
        <v>52.955041139760191</v>
      </c>
      <c r="AE67" s="2149">
        <f t="shared" ca="1" si="108"/>
        <v>11.005462256428682</v>
      </c>
      <c r="AF67" s="2150">
        <f t="shared" ca="1" si="108"/>
        <v>53.941952959078712</v>
      </c>
      <c r="AG67" s="2150">
        <f t="shared" ca="1" si="108"/>
        <v>5.0303887482957208</v>
      </c>
      <c r="AH67" s="2151">
        <f t="shared" ca="1" si="108"/>
        <v>9.4986576611480231</v>
      </c>
      <c r="AI67" s="2149">
        <f t="shared" ca="1" si="108"/>
        <v>26.33577912321385</v>
      </c>
      <c r="AJ67" s="2150">
        <f t="shared" ca="1" si="108"/>
        <v>27.674869216027297</v>
      </c>
      <c r="AK67" s="2150">
        <f t="shared" ca="1" si="108"/>
        <v>21.993951923497768</v>
      </c>
      <c r="AL67" s="2151">
        <f t="shared" ca="1" si="108"/>
        <v>33.616980881027295</v>
      </c>
      <c r="AM67" s="2149">
        <f t="shared" ca="1" si="108"/>
        <v>55.647329735854434</v>
      </c>
      <c r="AN67" s="2150">
        <f t="shared" ca="1" si="108"/>
        <v>55.647329735854434</v>
      </c>
      <c r="AO67" s="2150">
        <f t="shared" ca="1" si="108"/>
        <v>55.647329735854434</v>
      </c>
      <c r="AP67" s="2151">
        <f t="shared" ca="1" si="108"/>
        <v>55.647329735854434</v>
      </c>
      <c r="AQ67" s="2149">
        <f t="shared" ca="1" si="108"/>
        <v>57.292651928915262</v>
      </c>
      <c r="AR67" s="2150">
        <f t="shared" ca="1" si="108"/>
        <v>57.292651928915262</v>
      </c>
      <c r="AS67" s="2150">
        <f t="shared" ca="1" si="108"/>
        <v>57.292651928915262</v>
      </c>
      <c r="AT67" s="2151">
        <f t="shared" ca="1" si="108"/>
        <v>57.292651928915262</v>
      </c>
      <c r="AU67" s="2149">
        <f t="shared" ca="1" si="108"/>
        <v>58.709104473413383</v>
      </c>
      <c r="AV67" s="2150">
        <f t="shared" ca="1" si="108"/>
        <v>58.709104473413383</v>
      </c>
      <c r="AW67" s="2150">
        <f t="shared" ca="1" si="108"/>
        <v>58.709104473413383</v>
      </c>
      <c r="AX67" s="2151">
        <f t="shared" ca="1" si="108"/>
        <v>58.709104473413383</v>
      </c>
      <c r="AY67" s="2149">
        <f t="shared" ref="AY67:CD67" ca="1" si="109">MIN(AY43-AY50,AY58)</f>
        <v>59.515459654326541</v>
      </c>
      <c r="AZ67" s="2150">
        <f t="shared" ca="1" si="109"/>
        <v>59.515459654326541</v>
      </c>
      <c r="BA67" s="2150">
        <f t="shared" ca="1" si="109"/>
        <v>59.515459654326541</v>
      </c>
      <c r="BB67" s="2151">
        <f t="shared" ca="1" si="109"/>
        <v>59.515459654326541</v>
      </c>
      <c r="BC67" s="2149">
        <f t="shared" ca="1" si="109"/>
        <v>60.569830699742219</v>
      </c>
      <c r="BD67" s="2150">
        <f t="shared" ca="1" si="109"/>
        <v>60.569830699742219</v>
      </c>
      <c r="BE67" s="2150">
        <f t="shared" ca="1" si="109"/>
        <v>60.569830699742219</v>
      </c>
      <c r="BF67" s="2151">
        <f t="shared" ca="1" si="109"/>
        <v>60.569830699742219</v>
      </c>
      <c r="BG67" s="2149">
        <f t="shared" ca="1" si="109"/>
        <v>61.614873021461818</v>
      </c>
      <c r="BH67" s="2150">
        <f t="shared" ca="1" si="109"/>
        <v>61.614873021461818</v>
      </c>
      <c r="BI67" s="2150">
        <f t="shared" ca="1" si="109"/>
        <v>61.614873021461818</v>
      </c>
      <c r="BJ67" s="2151">
        <f t="shared" ca="1" si="109"/>
        <v>61.614873021461818</v>
      </c>
      <c r="BK67" s="2149">
        <f t="shared" ca="1" si="109"/>
        <v>62.806854280379554</v>
      </c>
      <c r="BL67" s="2150">
        <f t="shared" ca="1" si="109"/>
        <v>62.806854280379554</v>
      </c>
      <c r="BM67" s="2150">
        <f t="shared" ca="1" si="109"/>
        <v>62.806854280379554</v>
      </c>
      <c r="BN67" s="2151">
        <f t="shared" ca="1" si="109"/>
        <v>62.806854280379554</v>
      </c>
      <c r="BO67" s="2149">
        <f t="shared" ca="1" si="109"/>
        <v>63.354756348140796</v>
      </c>
      <c r="BP67" s="2150">
        <f t="shared" ca="1" si="109"/>
        <v>63.354756348140796</v>
      </c>
      <c r="BQ67" s="2150">
        <f t="shared" ca="1" si="109"/>
        <v>63.354756348140796</v>
      </c>
      <c r="BR67" s="2151">
        <f t="shared" ca="1" si="109"/>
        <v>63.354756348140796</v>
      </c>
      <c r="BS67" s="2149">
        <f t="shared" ca="1" si="109"/>
        <v>64.447166328265624</v>
      </c>
      <c r="BT67" s="2150">
        <f t="shared" ca="1" si="109"/>
        <v>64.447166328265624</v>
      </c>
      <c r="BU67" s="2150">
        <f t="shared" ca="1" si="109"/>
        <v>64.447166328265624</v>
      </c>
      <c r="BV67" s="2151">
        <f t="shared" ca="1" si="109"/>
        <v>64.447166328265624</v>
      </c>
      <c r="BW67" s="2149">
        <f t="shared" ca="1" si="109"/>
        <v>65.095757092070926</v>
      </c>
      <c r="BX67" s="2150">
        <f t="shared" ca="1" si="109"/>
        <v>65.095757092070926</v>
      </c>
      <c r="BY67" s="2150">
        <f t="shared" ca="1" si="109"/>
        <v>65.095757092070926</v>
      </c>
      <c r="BZ67" s="2151">
        <f t="shared" ca="1" si="109"/>
        <v>65.095757092070926</v>
      </c>
      <c r="CA67" s="2149">
        <f t="shared" ca="1" si="109"/>
        <v>66.233600729782083</v>
      </c>
      <c r="CB67" s="2150">
        <f t="shared" ca="1" si="109"/>
        <v>66.233600729782083</v>
      </c>
      <c r="CC67" s="2150">
        <f t="shared" ca="1" si="109"/>
        <v>66.233600729782083</v>
      </c>
      <c r="CD67" s="2151">
        <f t="shared" ca="1" si="109"/>
        <v>66.233600729782083</v>
      </c>
      <c r="CE67" s="2149">
        <f t="shared" ref="CE67:DJ67" ca="1" si="110">MIN(CE43-CE50,CE58)</f>
        <v>66.92029374241595</v>
      </c>
      <c r="CF67" s="2150">
        <f t="shared" ca="1" si="110"/>
        <v>66.92029374241595</v>
      </c>
      <c r="CG67" s="2150">
        <f t="shared" ca="1" si="110"/>
        <v>66.92029374241595</v>
      </c>
      <c r="CH67" s="2151">
        <f t="shared" ca="1" si="110"/>
        <v>66.92029374241595</v>
      </c>
      <c r="CI67" s="2149">
        <f t="shared" ca="1" si="110"/>
        <v>68.118284990189679</v>
      </c>
      <c r="CJ67" s="2150">
        <f t="shared" ca="1" si="110"/>
        <v>68.118284990189679</v>
      </c>
      <c r="CK67" s="2150">
        <f t="shared" ca="1" si="110"/>
        <v>68.118284990189679</v>
      </c>
      <c r="CL67" s="2151">
        <f t="shared" ca="1" si="110"/>
        <v>68.118284990189679</v>
      </c>
      <c r="CM67" s="2149">
        <f t="shared" ca="1" si="110"/>
        <v>68.904028601183214</v>
      </c>
      <c r="CN67" s="2150">
        <f t="shared" ca="1" si="110"/>
        <v>68.904028601183214</v>
      </c>
      <c r="CO67" s="2150">
        <f t="shared" ca="1" si="110"/>
        <v>68.904028601183214</v>
      </c>
      <c r="CP67" s="2151">
        <f t="shared" ca="1" si="110"/>
        <v>68.904028601183214</v>
      </c>
      <c r="CQ67" s="2149">
        <f t="shared" ca="1" si="110"/>
        <v>70.16095031184841</v>
      </c>
      <c r="CR67" s="2150">
        <f t="shared" ca="1" si="110"/>
        <v>70.16095031184841</v>
      </c>
      <c r="CS67" s="2150">
        <f t="shared" ca="1" si="110"/>
        <v>70.16095031184841</v>
      </c>
      <c r="CT67" s="2151">
        <f t="shared" ca="1" si="110"/>
        <v>70.16095031184841</v>
      </c>
      <c r="CU67" s="2149">
        <f t="shared" ca="1" si="110"/>
        <v>70.879373765838892</v>
      </c>
      <c r="CV67" s="2150">
        <f t="shared" ca="1" si="110"/>
        <v>70.879373765838892</v>
      </c>
      <c r="CW67" s="2150">
        <f t="shared" ca="1" si="110"/>
        <v>70.879373765838892</v>
      </c>
      <c r="CX67" s="2151">
        <f t="shared" ca="1" si="110"/>
        <v>70.879373765838892</v>
      </c>
      <c r="CY67" s="2149">
        <f t="shared" ca="1" si="110"/>
        <v>72.117746591574587</v>
      </c>
      <c r="CZ67" s="2150">
        <f t="shared" ca="1" si="110"/>
        <v>72.117746591574587</v>
      </c>
      <c r="DA67" s="2150">
        <f t="shared" ca="1" si="110"/>
        <v>72.117746591574587</v>
      </c>
      <c r="DB67" s="2151">
        <f t="shared" ca="1" si="110"/>
        <v>72.117746591574587</v>
      </c>
      <c r="DC67" s="2149">
        <f t="shared" ca="1" si="110"/>
        <v>72.847417165369507</v>
      </c>
      <c r="DD67" s="2150">
        <f t="shared" ca="1" si="110"/>
        <v>72.847417165369507</v>
      </c>
      <c r="DE67" s="2150">
        <f t="shared" ca="1" si="110"/>
        <v>72.847417165369507</v>
      </c>
      <c r="DF67" s="2151">
        <f t="shared" ca="1" si="110"/>
        <v>72.847417165369507</v>
      </c>
      <c r="DG67" s="2149">
        <f t="shared" ca="1" si="110"/>
        <v>74.22971795133742</v>
      </c>
      <c r="DH67" s="2150">
        <f t="shared" ca="1" si="110"/>
        <v>74.22971795133742</v>
      </c>
      <c r="DI67" s="2150">
        <f t="shared" ca="1" si="110"/>
        <v>74.22971795133742</v>
      </c>
      <c r="DJ67" s="2151">
        <f t="shared" ca="1" si="110"/>
        <v>74.22971795133742</v>
      </c>
      <c r="DK67" s="2149">
        <f t="shared" ref="DK67:EP67" ca="1" si="111">MIN(DK43-DK50,DK58)</f>
        <v>74.886263084347561</v>
      </c>
      <c r="DL67" s="2150">
        <f t="shared" ca="1" si="111"/>
        <v>74.886263084347561</v>
      </c>
      <c r="DM67" s="2150">
        <f t="shared" ca="1" si="111"/>
        <v>74.886263084347561</v>
      </c>
      <c r="DN67" s="2151">
        <f t="shared" ca="1" si="111"/>
        <v>74.886263084347561</v>
      </c>
      <c r="DO67" s="2149">
        <f t="shared" ca="1" si="111"/>
        <v>76.23284155904534</v>
      </c>
      <c r="DP67" s="2150">
        <f t="shared" ca="1" si="111"/>
        <v>76.23284155904534</v>
      </c>
      <c r="DQ67" s="2150">
        <f t="shared" ca="1" si="111"/>
        <v>76.23284155904534</v>
      </c>
      <c r="DR67" s="2151">
        <f t="shared" ca="1" si="111"/>
        <v>76.23284155904534</v>
      </c>
      <c r="DS67" s="2149">
        <f t="shared" ca="1" si="111"/>
        <v>78.518417254811666</v>
      </c>
      <c r="DT67" s="2150">
        <f t="shared" ca="1" si="111"/>
        <v>78.518417254811666</v>
      </c>
      <c r="DU67" s="2150">
        <f t="shared" ca="1" si="111"/>
        <v>78.518417254811666</v>
      </c>
      <c r="DV67" s="2151">
        <f t="shared" ca="1" si="111"/>
        <v>78.518417254811666</v>
      </c>
      <c r="DW67" s="2149">
        <f t="shared" ca="1" si="111"/>
        <v>80.312681857776653</v>
      </c>
      <c r="DX67" s="2150">
        <f t="shared" ca="1" si="111"/>
        <v>80.312681857776653</v>
      </c>
      <c r="DY67" s="2150">
        <f t="shared" ca="1" si="111"/>
        <v>80.312681857776653</v>
      </c>
      <c r="DZ67" s="2151">
        <f t="shared" ca="1" si="111"/>
        <v>80.312681857776653</v>
      </c>
      <c r="EA67" s="2149">
        <f t="shared" ca="1" si="111"/>
        <v>81.318726014444749</v>
      </c>
      <c r="EB67" s="2150">
        <f t="shared" ca="1" si="111"/>
        <v>81.318726014444749</v>
      </c>
      <c r="EC67" s="2150">
        <f t="shared" ca="1" si="111"/>
        <v>81.318726014444749</v>
      </c>
      <c r="ED67" s="2151">
        <f t="shared" ca="1" si="111"/>
        <v>81.318726014444749</v>
      </c>
      <c r="EE67" s="2149">
        <f t="shared" ca="1" si="111"/>
        <v>82.867089059702195</v>
      </c>
      <c r="EF67" s="2150">
        <f t="shared" ca="1" si="111"/>
        <v>82.867089059702195</v>
      </c>
      <c r="EG67" s="2150">
        <f t="shared" ca="1" si="111"/>
        <v>82.867089059702195</v>
      </c>
      <c r="EH67" s="2151">
        <f t="shared" ca="1" si="111"/>
        <v>82.867089059702195</v>
      </c>
      <c r="EI67" s="2149">
        <f t="shared" ca="1" si="111"/>
        <v>84.166086545133723</v>
      </c>
      <c r="EJ67" s="2150">
        <f t="shared" ca="1" si="111"/>
        <v>84.166086545133723</v>
      </c>
      <c r="EK67" s="2150">
        <f t="shared" ca="1" si="111"/>
        <v>84.166086545133723</v>
      </c>
      <c r="EL67" s="2151">
        <f t="shared" ca="1" si="111"/>
        <v>84.166086545133723</v>
      </c>
      <c r="EM67" s="2149">
        <f t="shared" ca="1" si="111"/>
        <v>85.772376035140368</v>
      </c>
      <c r="EN67" s="2150">
        <f t="shared" ca="1" si="111"/>
        <v>85.772376035140368</v>
      </c>
      <c r="EO67" s="2150">
        <f t="shared" ca="1" si="111"/>
        <v>85.772376035140368</v>
      </c>
      <c r="EP67" s="2151">
        <f t="shared" ca="1" si="111"/>
        <v>85.772376035140368</v>
      </c>
      <c r="EQ67" s="2149">
        <f t="shared" ref="EQ67:FV67" ca="1" si="112">MIN(EQ43-EQ50,EQ58)</f>
        <v>86.575675506175159</v>
      </c>
      <c r="ER67" s="2150">
        <f t="shared" ca="1" si="112"/>
        <v>86.575675506175159</v>
      </c>
      <c r="ES67" s="2150">
        <f t="shared" ca="1" si="112"/>
        <v>86.575675506175159</v>
      </c>
      <c r="ET67" s="2151">
        <f t="shared" ca="1" si="112"/>
        <v>86.575675506175159</v>
      </c>
      <c r="EU67" s="2149">
        <f t="shared" ca="1" si="112"/>
        <v>88.037966093050613</v>
      </c>
      <c r="EV67" s="2150">
        <f t="shared" ca="1" si="112"/>
        <v>88.037966093050613</v>
      </c>
      <c r="EW67" s="2150">
        <f t="shared" ca="1" si="112"/>
        <v>88.037966093050613</v>
      </c>
      <c r="EX67" s="2151">
        <f t="shared" ca="1" si="112"/>
        <v>88.037966093050613</v>
      </c>
      <c r="EY67" s="2149">
        <f t="shared" ca="1" si="112"/>
        <v>89.033225984340291</v>
      </c>
      <c r="EZ67" s="2150">
        <f t="shared" ca="1" si="112"/>
        <v>89.033225984340291</v>
      </c>
      <c r="FA67" s="2150">
        <f t="shared" ca="1" si="112"/>
        <v>89.033225984340291</v>
      </c>
      <c r="FB67" s="2151">
        <f t="shared" ca="1" si="112"/>
        <v>89.033225984340291</v>
      </c>
      <c r="FC67" s="2149">
        <f t="shared" ca="1" si="112"/>
        <v>90.693251425606448</v>
      </c>
      <c r="FD67" s="2150">
        <f t="shared" ca="1" si="112"/>
        <v>90.693251425606448</v>
      </c>
      <c r="FE67" s="2150">
        <f t="shared" ca="1" si="112"/>
        <v>90.693251425606448</v>
      </c>
      <c r="FF67" s="2151">
        <f t="shared" ca="1" si="112"/>
        <v>90.693251425606448</v>
      </c>
      <c r="FG67" s="2149">
        <f t="shared" ca="1" si="112"/>
        <v>93.035087387094961</v>
      </c>
      <c r="FH67" s="2150">
        <f t="shared" ca="1" si="112"/>
        <v>93.035087387094961</v>
      </c>
      <c r="FI67" s="2150">
        <f t="shared" ca="1" si="112"/>
        <v>93.035087387094961</v>
      </c>
      <c r="FJ67" s="2151">
        <f t="shared" ca="1" si="112"/>
        <v>93.035087387094961</v>
      </c>
      <c r="FK67" s="2149">
        <f t="shared" ca="1" si="112"/>
        <v>94.536445202082476</v>
      </c>
      <c r="FL67" s="2165">
        <f t="shared" ca="1" si="112"/>
        <v>94.536445202082476</v>
      </c>
      <c r="FM67" s="2150">
        <f t="shared" ca="1" si="112"/>
        <v>0</v>
      </c>
      <c r="FN67" s="2151">
        <f t="shared" ca="1" si="112"/>
        <v>0</v>
      </c>
      <c r="FO67" s="2149">
        <f t="shared" ca="1" si="112"/>
        <v>0</v>
      </c>
      <c r="FP67" s="2150">
        <f t="shared" ca="1" si="112"/>
        <v>0</v>
      </c>
      <c r="FQ67" s="2150">
        <f t="shared" ca="1" si="112"/>
        <v>0</v>
      </c>
      <c r="FR67" s="2151">
        <f t="shared" ca="1" si="112"/>
        <v>0</v>
      </c>
      <c r="FS67" s="2149">
        <f t="shared" ca="1" si="112"/>
        <v>0</v>
      </c>
      <c r="FT67" s="2150">
        <f t="shared" ca="1" si="112"/>
        <v>0</v>
      </c>
      <c r="FU67" s="2150">
        <f t="shared" ca="1" si="112"/>
        <v>0</v>
      </c>
      <c r="FV67" s="2151">
        <f t="shared" ca="1" si="112"/>
        <v>0</v>
      </c>
      <c r="FW67" s="2149">
        <f t="shared" ref="FW67:GD67" ca="1" si="113">MIN(FW43-FW50,FW58)</f>
        <v>0</v>
      </c>
      <c r="FX67" s="2150">
        <f t="shared" ca="1" si="113"/>
        <v>0</v>
      </c>
      <c r="FY67" s="2150">
        <f t="shared" ca="1" si="113"/>
        <v>0</v>
      </c>
      <c r="FZ67" s="2151">
        <f t="shared" ca="1" si="113"/>
        <v>0</v>
      </c>
      <c r="GA67" s="2149">
        <f t="shared" ca="1" si="113"/>
        <v>0</v>
      </c>
      <c r="GB67" s="2150">
        <f t="shared" ca="1" si="113"/>
        <v>0</v>
      </c>
      <c r="GC67" s="2150">
        <f t="shared" ca="1" si="113"/>
        <v>0</v>
      </c>
      <c r="GD67" s="2151">
        <f t="shared" ca="1" si="113"/>
        <v>0</v>
      </c>
    </row>
    <row r="68" spans="2:186" ht="15" customHeight="1">
      <c r="B68" s="2064"/>
      <c r="C68" s="2064"/>
      <c r="D68" s="2064"/>
      <c r="E68" s="2064" t="s">
        <v>5263</v>
      </c>
      <c r="F68" s="2064">
        <f ca="1">ROUND(MAX(G62:GD62),2)-R69</f>
        <v>379.5363518807805</v>
      </c>
      <c r="G68" s="2064"/>
      <c r="H68" s="2064"/>
      <c r="I68" s="2064"/>
      <c r="J68" s="2064"/>
      <c r="K68" s="2064"/>
      <c r="L68" s="2064"/>
      <c r="M68" s="2064"/>
      <c r="N68" s="2064"/>
      <c r="O68" s="2064"/>
      <c r="P68" s="2064"/>
      <c r="Q68" s="2064"/>
      <c r="R68" s="2064"/>
      <c r="S68" s="2064"/>
      <c r="T68" s="2064"/>
      <c r="U68" s="2064"/>
      <c r="V68" s="2064"/>
      <c r="W68" s="2064"/>
      <c r="X68" s="2064"/>
      <c r="Y68" s="2064"/>
      <c r="Z68" s="2064"/>
      <c r="AA68" s="2064"/>
      <c r="AB68" s="2064"/>
      <c r="AC68" s="2064"/>
      <c r="AD68" s="2064"/>
      <c r="AE68" s="2064"/>
      <c r="AF68" s="2064"/>
      <c r="AG68" s="2064"/>
      <c r="AH68" s="2064"/>
      <c r="AI68" s="2064"/>
      <c r="AJ68" s="2064"/>
      <c r="AK68" s="2064"/>
      <c r="AL68" s="2064"/>
      <c r="AM68" s="2064"/>
      <c r="AN68" s="2064"/>
      <c r="AO68" s="2064"/>
      <c r="AP68" s="2064"/>
      <c r="AQ68" s="2064"/>
      <c r="AR68" s="2064"/>
      <c r="AS68" s="2064"/>
      <c r="AT68" s="2064"/>
      <c r="AU68" s="2064"/>
      <c r="AV68" s="2064"/>
      <c r="AW68" s="2064"/>
      <c r="AX68" s="2064"/>
      <c r="AY68" s="2064"/>
      <c r="AZ68" s="2064"/>
      <c r="BA68" s="2064"/>
      <c r="BB68" s="2064"/>
      <c r="BC68" s="2064"/>
      <c r="BD68" s="2064"/>
      <c r="BE68" s="2064"/>
      <c r="BF68" s="2064"/>
      <c r="BG68" s="2064"/>
      <c r="BH68" s="2064"/>
      <c r="BI68" s="2064"/>
      <c r="BJ68" s="2064"/>
      <c r="BK68" s="2064"/>
      <c r="BL68" s="2064"/>
      <c r="BM68" s="2064"/>
      <c r="BN68" s="2064"/>
      <c r="BO68" s="2064"/>
      <c r="BP68" s="2064"/>
      <c r="BQ68" s="2064"/>
      <c r="BR68" s="2064"/>
      <c r="BS68" s="2064"/>
      <c r="BT68" s="2064"/>
      <c r="BU68" s="2064"/>
      <c r="BV68" s="2064"/>
      <c r="BW68" s="2064"/>
      <c r="BX68" s="2064"/>
      <c r="BY68" s="2064"/>
      <c r="BZ68" s="2064"/>
      <c r="CA68" s="2064"/>
      <c r="CB68" s="2064"/>
      <c r="CC68" s="2064"/>
      <c r="CD68" s="2064"/>
      <c r="CE68" s="2064"/>
      <c r="CF68" s="2064"/>
      <c r="CG68" s="2064"/>
      <c r="CH68" s="2064"/>
      <c r="CI68" s="2064"/>
      <c r="CJ68" s="2064"/>
      <c r="CK68" s="2064"/>
      <c r="CL68" s="2064"/>
      <c r="CM68" s="2064"/>
      <c r="CN68" s="2064"/>
      <c r="CO68" s="2064"/>
      <c r="CP68" s="2064"/>
      <c r="CQ68" s="2064"/>
      <c r="CR68" s="2064"/>
      <c r="CS68" s="2064"/>
      <c r="CT68" s="2064"/>
      <c r="CU68" s="2064"/>
      <c r="CV68" s="2064"/>
      <c r="CW68" s="2064"/>
      <c r="CX68" s="2064"/>
      <c r="CY68" s="2064"/>
      <c r="CZ68" s="2064"/>
      <c r="DA68" s="2064"/>
      <c r="DB68" s="2064"/>
      <c r="DC68" s="2064"/>
      <c r="DD68" s="2064"/>
      <c r="DE68" s="2064"/>
      <c r="DF68" s="2064"/>
      <c r="DG68" s="2064"/>
      <c r="DH68" s="2064"/>
      <c r="DI68" s="2064"/>
      <c r="DJ68" s="2064"/>
      <c r="DK68" s="2064"/>
      <c r="DL68" s="2064"/>
      <c r="DM68" s="2064"/>
      <c r="DN68" s="2064"/>
      <c r="DO68" s="2064"/>
      <c r="DP68" s="2064"/>
      <c r="DQ68" s="2064"/>
      <c r="DR68" s="2064"/>
      <c r="DS68" s="2064"/>
      <c r="DT68" s="2064"/>
      <c r="DU68" s="2064"/>
      <c r="DV68" s="2064"/>
      <c r="DW68" s="2064"/>
      <c r="DX68" s="2064"/>
      <c r="DY68" s="2064"/>
      <c r="DZ68" s="2064"/>
      <c r="EA68" s="2064"/>
      <c r="EB68" s="2064"/>
      <c r="EC68" s="2064"/>
      <c r="ED68" s="2064"/>
      <c r="EE68" s="2064"/>
      <c r="EF68" s="2064"/>
      <c r="EG68" s="2064"/>
      <c r="EH68" s="2064"/>
      <c r="EI68" s="2064"/>
      <c r="EJ68" s="2064"/>
      <c r="EK68" s="2064"/>
      <c r="EL68" s="2064"/>
      <c r="EM68" s="2064"/>
      <c r="EN68" s="2064"/>
      <c r="EO68" s="2064"/>
      <c r="EP68" s="2064"/>
      <c r="EQ68" s="2064"/>
      <c r="ER68" s="2064"/>
      <c r="ES68" s="2064"/>
      <c r="ET68" s="2064"/>
      <c r="EU68" s="2064"/>
      <c r="EV68" s="2064"/>
      <c r="EW68" s="2064"/>
      <c r="EX68" s="2064"/>
      <c r="EY68" s="2064"/>
      <c r="EZ68" s="2064"/>
      <c r="FA68" s="2064"/>
      <c r="FB68" s="2064"/>
      <c r="FC68" s="2064"/>
      <c r="FD68" s="2064"/>
      <c r="FE68" s="2064"/>
      <c r="FF68" s="2064"/>
      <c r="FG68" s="2064"/>
      <c r="FH68" s="2064"/>
      <c r="FI68" s="2064"/>
      <c r="FJ68" s="2064"/>
      <c r="FK68" s="2064"/>
      <c r="FL68" s="2064"/>
      <c r="FM68" s="2064"/>
      <c r="FN68" s="2064"/>
      <c r="FO68" s="2064"/>
      <c r="FP68" s="2064"/>
      <c r="FQ68" s="2064"/>
      <c r="FR68" s="2064"/>
      <c r="FS68" s="2064"/>
      <c r="FT68" s="2064"/>
      <c r="FU68" s="2064"/>
      <c r="FV68" s="2064"/>
      <c r="FW68" s="2064"/>
      <c r="FX68" s="2064"/>
      <c r="FY68" s="2064"/>
      <c r="FZ68" s="2064"/>
      <c r="GA68" s="2064"/>
      <c r="GB68" s="2064"/>
      <c r="GC68" s="2064"/>
      <c r="GD68" s="2064"/>
    </row>
    <row r="69" spans="2:186" ht="15" customHeight="1">
      <c r="B69" s="2064"/>
      <c r="C69" s="2064"/>
      <c r="D69" s="2064"/>
      <c r="E69" s="469" t="s">
        <v>3774</v>
      </c>
      <c r="F69" s="2064">
        <f t="shared" ca="1" si="81"/>
        <v>449.58116095633545</v>
      </c>
      <c r="G69" s="2064"/>
      <c r="H69" s="2064"/>
      <c r="I69" s="2064"/>
      <c r="J69" s="2064"/>
      <c r="K69" s="2064"/>
      <c r="L69" s="2064"/>
      <c r="M69" s="2064"/>
      <c r="N69" s="2064"/>
      <c r="O69" s="2064"/>
      <c r="P69" s="2064"/>
      <c r="Q69" s="2064"/>
      <c r="R69" s="2064">
        <f ca="1">R62</f>
        <v>70.043648119219483</v>
      </c>
      <c r="S69" s="2064">
        <f t="shared" ref="S69:CD69" ca="1" si="114">S58-S59</f>
        <v>40.299614185510507</v>
      </c>
      <c r="T69" s="2064">
        <f t="shared" ca="1" si="114"/>
        <v>0</v>
      </c>
      <c r="U69" s="2064">
        <f t="shared" ca="1" si="114"/>
        <v>33.836490742865379</v>
      </c>
      <c r="V69" s="2064">
        <f t="shared" ca="1" si="114"/>
        <v>39.331602973887428</v>
      </c>
      <c r="W69" s="2064">
        <f t="shared" ca="1" si="114"/>
        <v>0</v>
      </c>
      <c r="X69" s="2064">
        <f ca="1">X58-X59</f>
        <v>0</v>
      </c>
      <c r="Y69" s="2064">
        <f t="shared" ca="1" si="114"/>
        <v>0</v>
      </c>
      <c r="Z69" s="2064">
        <f t="shared" ca="1" si="114"/>
        <v>0</v>
      </c>
      <c r="AA69" s="2064">
        <f t="shared" ca="1" si="114"/>
        <v>21.195923608833638</v>
      </c>
      <c r="AB69" s="2064">
        <f t="shared" ca="1" si="114"/>
        <v>0</v>
      </c>
      <c r="AC69" s="2064">
        <f t="shared" ca="1" si="114"/>
        <v>0</v>
      </c>
      <c r="AD69" s="2064">
        <f t="shared" ca="1" si="114"/>
        <v>0</v>
      </c>
      <c r="AE69" s="2064">
        <f t="shared" ca="1" si="114"/>
        <v>42.936490702650033</v>
      </c>
      <c r="AF69" s="2064">
        <f t="shared" ca="1" si="114"/>
        <v>0</v>
      </c>
      <c r="AG69" s="2064">
        <f t="shared" ca="1" si="114"/>
        <v>48.911564210782991</v>
      </c>
      <c r="AH69" s="2064">
        <f t="shared" ca="1" si="114"/>
        <v>44.443295297930689</v>
      </c>
      <c r="AI69" s="2064">
        <f t="shared" ca="1" si="114"/>
        <v>28.215248941391533</v>
      </c>
      <c r="AJ69" s="2064">
        <f t="shared" ca="1" si="114"/>
        <v>26.876158848578086</v>
      </c>
      <c r="AK69" s="2064">
        <f t="shared" ca="1" si="114"/>
        <v>32.557076141107615</v>
      </c>
      <c r="AL69" s="2064">
        <f t="shared" ca="1" si="114"/>
        <v>20.934047183578087</v>
      </c>
      <c r="AM69" s="2064">
        <f t="shared" ca="1" si="114"/>
        <v>0</v>
      </c>
      <c r="AN69" s="2064">
        <f t="shared" ca="1" si="114"/>
        <v>0</v>
      </c>
      <c r="AO69" s="2064">
        <f t="shared" ca="1" si="114"/>
        <v>0</v>
      </c>
      <c r="AP69" s="2064">
        <f t="shared" ca="1" si="114"/>
        <v>0</v>
      </c>
      <c r="AQ69" s="2064">
        <f t="shared" ca="1" si="114"/>
        <v>0</v>
      </c>
      <c r="AR69" s="2064">
        <f t="shared" ca="1" si="114"/>
        <v>0</v>
      </c>
      <c r="AS69" s="2064">
        <f t="shared" ca="1" si="114"/>
        <v>0</v>
      </c>
      <c r="AT69" s="2064">
        <f t="shared" ca="1" si="114"/>
        <v>0</v>
      </c>
      <c r="AU69" s="2064">
        <f t="shared" ca="1" si="114"/>
        <v>0</v>
      </c>
      <c r="AV69" s="2064">
        <f t="shared" ca="1" si="114"/>
        <v>0</v>
      </c>
      <c r="AW69" s="2064">
        <f t="shared" ca="1" si="114"/>
        <v>0</v>
      </c>
      <c r="AX69" s="2064">
        <f t="shared" ca="1" si="114"/>
        <v>0</v>
      </c>
      <c r="AY69" s="2064">
        <f t="shared" ca="1" si="114"/>
        <v>0</v>
      </c>
      <c r="AZ69" s="2064">
        <f t="shared" ca="1" si="114"/>
        <v>0</v>
      </c>
      <c r="BA69" s="2064">
        <f t="shared" ca="1" si="114"/>
        <v>0</v>
      </c>
      <c r="BB69" s="2064">
        <f t="shared" ca="1" si="114"/>
        <v>0</v>
      </c>
      <c r="BC69" s="2064">
        <f t="shared" ca="1" si="114"/>
        <v>0</v>
      </c>
      <c r="BD69" s="2064">
        <f t="shared" ca="1" si="114"/>
        <v>0</v>
      </c>
      <c r="BE69" s="2064">
        <f t="shared" ca="1" si="114"/>
        <v>0</v>
      </c>
      <c r="BF69" s="2064">
        <f t="shared" ca="1" si="114"/>
        <v>0</v>
      </c>
      <c r="BG69" s="2064">
        <f t="shared" ca="1" si="114"/>
        <v>0</v>
      </c>
      <c r="BH69" s="2064">
        <f t="shared" ca="1" si="114"/>
        <v>0</v>
      </c>
      <c r="BI69" s="2064">
        <f t="shared" ca="1" si="114"/>
        <v>0</v>
      </c>
      <c r="BJ69" s="2064">
        <f t="shared" ca="1" si="114"/>
        <v>0</v>
      </c>
      <c r="BK69" s="2064">
        <f t="shared" ca="1" si="114"/>
        <v>0</v>
      </c>
      <c r="BL69" s="2064">
        <f t="shared" ca="1" si="114"/>
        <v>0</v>
      </c>
      <c r="BM69" s="2064">
        <f t="shared" ca="1" si="114"/>
        <v>0</v>
      </c>
      <c r="BN69" s="2064">
        <f t="shared" ca="1" si="114"/>
        <v>0</v>
      </c>
      <c r="BO69" s="2064">
        <f t="shared" ca="1" si="114"/>
        <v>0</v>
      </c>
      <c r="BP69" s="2064">
        <f t="shared" ca="1" si="114"/>
        <v>0</v>
      </c>
      <c r="BQ69" s="2064">
        <f t="shared" ca="1" si="114"/>
        <v>0</v>
      </c>
      <c r="BR69" s="2064">
        <f t="shared" ca="1" si="114"/>
        <v>0</v>
      </c>
      <c r="BS69" s="2064">
        <f t="shared" ca="1" si="114"/>
        <v>0</v>
      </c>
      <c r="BT69" s="2064">
        <f t="shared" ca="1" si="114"/>
        <v>0</v>
      </c>
      <c r="BU69" s="2064">
        <f t="shared" ca="1" si="114"/>
        <v>0</v>
      </c>
      <c r="BV69" s="2064">
        <f t="shared" ca="1" si="114"/>
        <v>0</v>
      </c>
      <c r="BW69" s="2064">
        <f t="shared" ca="1" si="114"/>
        <v>0</v>
      </c>
      <c r="BX69" s="2064">
        <f t="shared" ca="1" si="114"/>
        <v>0</v>
      </c>
      <c r="BY69" s="2064">
        <f t="shared" ca="1" si="114"/>
        <v>0</v>
      </c>
      <c r="BZ69" s="2064">
        <f t="shared" ca="1" si="114"/>
        <v>0</v>
      </c>
      <c r="CA69" s="2064">
        <f t="shared" ca="1" si="114"/>
        <v>0</v>
      </c>
      <c r="CB69" s="2064">
        <f t="shared" ca="1" si="114"/>
        <v>0</v>
      </c>
      <c r="CC69" s="2064">
        <f t="shared" ca="1" si="114"/>
        <v>0</v>
      </c>
      <c r="CD69" s="2064">
        <f t="shared" ca="1" si="114"/>
        <v>0</v>
      </c>
      <c r="CE69" s="2064">
        <f t="shared" ref="CE69:EP69" ca="1" si="115">CE58-CE59</f>
        <v>0</v>
      </c>
      <c r="CF69" s="2064">
        <f t="shared" ca="1" si="115"/>
        <v>0</v>
      </c>
      <c r="CG69" s="2064">
        <f t="shared" ca="1" si="115"/>
        <v>0</v>
      </c>
      <c r="CH69" s="2064">
        <f t="shared" ca="1" si="115"/>
        <v>0</v>
      </c>
      <c r="CI69" s="2064">
        <f t="shared" ca="1" si="115"/>
        <v>0</v>
      </c>
      <c r="CJ69" s="2064">
        <f t="shared" ca="1" si="115"/>
        <v>0</v>
      </c>
      <c r="CK69" s="2064">
        <f t="shared" ca="1" si="115"/>
        <v>0</v>
      </c>
      <c r="CL69" s="2064">
        <f t="shared" ca="1" si="115"/>
        <v>0</v>
      </c>
      <c r="CM69" s="2064">
        <f t="shared" ca="1" si="115"/>
        <v>0</v>
      </c>
      <c r="CN69" s="2064">
        <f t="shared" ca="1" si="115"/>
        <v>0</v>
      </c>
      <c r="CO69" s="2064">
        <f t="shared" ca="1" si="115"/>
        <v>0</v>
      </c>
      <c r="CP69" s="2064">
        <f t="shared" ca="1" si="115"/>
        <v>0</v>
      </c>
      <c r="CQ69" s="2064">
        <f t="shared" ca="1" si="115"/>
        <v>0</v>
      </c>
      <c r="CR69" s="2064">
        <f t="shared" ca="1" si="115"/>
        <v>0</v>
      </c>
      <c r="CS69" s="2064">
        <f t="shared" ca="1" si="115"/>
        <v>0</v>
      </c>
      <c r="CT69" s="2064">
        <f t="shared" ca="1" si="115"/>
        <v>0</v>
      </c>
      <c r="CU69" s="2064">
        <f t="shared" ca="1" si="115"/>
        <v>0</v>
      </c>
      <c r="CV69" s="2064">
        <f t="shared" ca="1" si="115"/>
        <v>0</v>
      </c>
      <c r="CW69" s="2064">
        <f t="shared" ca="1" si="115"/>
        <v>0</v>
      </c>
      <c r="CX69" s="2064">
        <f t="shared" ca="1" si="115"/>
        <v>0</v>
      </c>
      <c r="CY69" s="2064">
        <f t="shared" ca="1" si="115"/>
        <v>0</v>
      </c>
      <c r="CZ69" s="2064">
        <f t="shared" ca="1" si="115"/>
        <v>0</v>
      </c>
      <c r="DA69" s="2064">
        <f t="shared" ca="1" si="115"/>
        <v>0</v>
      </c>
      <c r="DB69" s="2064">
        <f t="shared" ca="1" si="115"/>
        <v>0</v>
      </c>
      <c r="DC69" s="2064">
        <f t="shared" ca="1" si="115"/>
        <v>0</v>
      </c>
      <c r="DD69" s="2064">
        <f t="shared" ca="1" si="115"/>
        <v>0</v>
      </c>
      <c r="DE69" s="2064">
        <f t="shared" ca="1" si="115"/>
        <v>0</v>
      </c>
      <c r="DF69" s="2064">
        <f t="shared" ca="1" si="115"/>
        <v>0</v>
      </c>
      <c r="DG69" s="2064">
        <f t="shared" ca="1" si="115"/>
        <v>0</v>
      </c>
      <c r="DH69" s="2064">
        <f t="shared" ca="1" si="115"/>
        <v>0</v>
      </c>
      <c r="DI69" s="2064">
        <f t="shared" ca="1" si="115"/>
        <v>0</v>
      </c>
      <c r="DJ69" s="2064">
        <f t="shared" ca="1" si="115"/>
        <v>0</v>
      </c>
      <c r="DK69" s="2064">
        <f t="shared" ca="1" si="115"/>
        <v>0</v>
      </c>
      <c r="DL69" s="2064">
        <f t="shared" ca="1" si="115"/>
        <v>0</v>
      </c>
      <c r="DM69" s="2064">
        <f t="shared" ca="1" si="115"/>
        <v>0</v>
      </c>
      <c r="DN69" s="2064">
        <f t="shared" ca="1" si="115"/>
        <v>0</v>
      </c>
      <c r="DO69" s="2064">
        <f t="shared" ca="1" si="115"/>
        <v>0</v>
      </c>
      <c r="DP69" s="2064">
        <f t="shared" ca="1" si="115"/>
        <v>0</v>
      </c>
      <c r="DQ69" s="2064">
        <f t="shared" ca="1" si="115"/>
        <v>0</v>
      </c>
      <c r="DR69" s="2064">
        <f t="shared" ca="1" si="115"/>
        <v>0</v>
      </c>
      <c r="DS69" s="2064">
        <f t="shared" ca="1" si="115"/>
        <v>0</v>
      </c>
      <c r="DT69" s="2064">
        <f t="shared" ca="1" si="115"/>
        <v>0</v>
      </c>
      <c r="DU69" s="2064">
        <f t="shared" ca="1" si="115"/>
        <v>0</v>
      </c>
      <c r="DV69" s="2064">
        <f t="shared" ca="1" si="115"/>
        <v>0</v>
      </c>
      <c r="DW69" s="2064">
        <f t="shared" ca="1" si="115"/>
        <v>0</v>
      </c>
      <c r="DX69" s="2064">
        <f t="shared" ca="1" si="115"/>
        <v>0</v>
      </c>
      <c r="DY69" s="2064">
        <f t="shared" ca="1" si="115"/>
        <v>0</v>
      </c>
      <c r="DZ69" s="2064">
        <f t="shared" ca="1" si="115"/>
        <v>0</v>
      </c>
      <c r="EA69" s="2064">
        <f t="shared" ca="1" si="115"/>
        <v>0</v>
      </c>
      <c r="EB69" s="2064">
        <f t="shared" ca="1" si="115"/>
        <v>0</v>
      </c>
      <c r="EC69" s="2064">
        <f t="shared" ca="1" si="115"/>
        <v>0</v>
      </c>
      <c r="ED69" s="2064">
        <f t="shared" ca="1" si="115"/>
        <v>0</v>
      </c>
      <c r="EE69" s="2064">
        <f t="shared" ca="1" si="115"/>
        <v>0</v>
      </c>
      <c r="EF69" s="2064">
        <f t="shared" ca="1" si="115"/>
        <v>0</v>
      </c>
      <c r="EG69" s="2064">
        <f t="shared" ca="1" si="115"/>
        <v>0</v>
      </c>
      <c r="EH69" s="2064">
        <f t="shared" ca="1" si="115"/>
        <v>0</v>
      </c>
      <c r="EI69" s="2064">
        <f t="shared" ca="1" si="115"/>
        <v>0</v>
      </c>
      <c r="EJ69" s="2064">
        <f t="shared" ca="1" si="115"/>
        <v>0</v>
      </c>
      <c r="EK69" s="2064">
        <f t="shared" ca="1" si="115"/>
        <v>0</v>
      </c>
      <c r="EL69" s="2064">
        <f t="shared" ca="1" si="115"/>
        <v>0</v>
      </c>
      <c r="EM69" s="2064">
        <f t="shared" ca="1" si="115"/>
        <v>0</v>
      </c>
      <c r="EN69" s="2064">
        <f t="shared" ca="1" si="115"/>
        <v>0</v>
      </c>
      <c r="EO69" s="2064">
        <f t="shared" ca="1" si="115"/>
        <v>0</v>
      </c>
      <c r="EP69" s="2064">
        <f t="shared" ca="1" si="115"/>
        <v>0</v>
      </c>
      <c r="EQ69" s="2064">
        <f t="shared" ref="EQ69:FK69" ca="1" si="116">EQ58-EQ59</f>
        <v>0</v>
      </c>
      <c r="ER69" s="2064">
        <f t="shared" ca="1" si="116"/>
        <v>0</v>
      </c>
      <c r="ES69" s="2064">
        <f t="shared" ca="1" si="116"/>
        <v>0</v>
      </c>
      <c r="ET69" s="2064">
        <f t="shared" ca="1" si="116"/>
        <v>0</v>
      </c>
      <c r="EU69" s="2064">
        <f t="shared" ca="1" si="116"/>
        <v>0</v>
      </c>
      <c r="EV69" s="2064">
        <f t="shared" ca="1" si="116"/>
        <v>0</v>
      </c>
      <c r="EW69" s="2064">
        <f t="shared" ca="1" si="116"/>
        <v>0</v>
      </c>
      <c r="EX69" s="2064">
        <f t="shared" ca="1" si="116"/>
        <v>0</v>
      </c>
      <c r="EY69" s="2064">
        <f t="shared" ca="1" si="116"/>
        <v>0</v>
      </c>
      <c r="EZ69" s="2064">
        <f t="shared" ca="1" si="116"/>
        <v>0</v>
      </c>
      <c r="FA69" s="2064">
        <f t="shared" ca="1" si="116"/>
        <v>0</v>
      </c>
      <c r="FB69" s="2064">
        <f t="shared" ca="1" si="116"/>
        <v>0</v>
      </c>
      <c r="FC69" s="2064">
        <f t="shared" ca="1" si="116"/>
        <v>0</v>
      </c>
      <c r="FD69" s="2064">
        <f t="shared" ca="1" si="116"/>
        <v>0</v>
      </c>
      <c r="FE69" s="2064">
        <f t="shared" ca="1" si="116"/>
        <v>0</v>
      </c>
      <c r="FF69" s="2064">
        <f t="shared" ca="1" si="116"/>
        <v>0</v>
      </c>
      <c r="FG69" s="2064">
        <f t="shared" ca="1" si="116"/>
        <v>0</v>
      </c>
      <c r="FH69" s="2064">
        <f t="shared" ca="1" si="116"/>
        <v>0</v>
      </c>
      <c r="FI69" s="2064">
        <f t="shared" ca="1" si="116"/>
        <v>0</v>
      </c>
      <c r="FJ69" s="2064">
        <f t="shared" ca="1" si="116"/>
        <v>0</v>
      </c>
      <c r="FK69" s="2064">
        <f t="shared" ca="1" si="116"/>
        <v>0</v>
      </c>
      <c r="FL69" s="2064"/>
      <c r="FM69" s="2064">
        <f t="shared" ref="FM69:GD69" ca="1" si="117">FM58-FM59</f>
        <v>0</v>
      </c>
      <c r="FN69" s="2064">
        <f t="shared" ca="1" si="117"/>
        <v>0</v>
      </c>
      <c r="FO69" s="2064">
        <f t="shared" ca="1" si="117"/>
        <v>0</v>
      </c>
      <c r="FP69" s="2064">
        <f t="shared" ca="1" si="117"/>
        <v>0</v>
      </c>
      <c r="FQ69" s="2064">
        <f t="shared" ca="1" si="117"/>
        <v>0</v>
      </c>
      <c r="FR69" s="2064">
        <f t="shared" ca="1" si="117"/>
        <v>0</v>
      </c>
      <c r="FS69" s="2064">
        <f t="shared" ca="1" si="117"/>
        <v>0</v>
      </c>
      <c r="FT69" s="2064">
        <f t="shared" ca="1" si="117"/>
        <v>0</v>
      </c>
      <c r="FU69" s="2064">
        <f t="shared" ca="1" si="117"/>
        <v>0</v>
      </c>
      <c r="FV69" s="2064">
        <f t="shared" ca="1" si="117"/>
        <v>0</v>
      </c>
      <c r="FW69" s="2064">
        <f t="shared" ca="1" si="117"/>
        <v>0</v>
      </c>
      <c r="FX69" s="2064">
        <f t="shared" ca="1" si="117"/>
        <v>0</v>
      </c>
      <c r="FY69" s="2064">
        <f t="shared" ca="1" si="117"/>
        <v>0</v>
      </c>
      <c r="FZ69" s="2064">
        <f t="shared" ca="1" si="117"/>
        <v>0</v>
      </c>
      <c r="GA69" s="2064">
        <f t="shared" ca="1" si="117"/>
        <v>0</v>
      </c>
      <c r="GB69" s="2064">
        <f t="shared" ca="1" si="117"/>
        <v>0</v>
      </c>
      <c r="GC69" s="2064">
        <f t="shared" ca="1" si="117"/>
        <v>0</v>
      </c>
      <c r="GD69" s="2064">
        <f t="shared" ca="1" si="117"/>
        <v>0</v>
      </c>
    </row>
    <row r="70" spans="2:186" ht="15" customHeight="1">
      <c r="B70" s="2064"/>
      <c r="C70" s="2064"/>
      <c r="D70" s="2064"/>
      <c r="E70" s="476"/>
      <c r="F70" s="2166">
        <f t="shared" ca="1" si="81"/>
        <v>0</v>
      </c>
      <c r="G70" s="2064"/>
      <c r="H70" s="2064">
        <f ca="1">H81*(ROUND(H62,2)=$F$68)*(SUM($G70:G70)&lt;0.00001)</f>
        <v>0</v>
      </c>
      <c r="I70" s="2064">
        <f ca="1">I81*(ROUND(I62,2)=$F$68)*(SUM($G70:H70)&lt;0.00001)</f>
        <v>0</v>
      </c>
      <c r="J70" s="2064">
        <f ca="1">J81*(ROUND(J62,2)=$F$68)*(SUM($G70:I70)&lt;0.00001)</f>
        <v>0</v>
      </c>
      <c r="K70" s="2064">
        <f ca="1">K81*(ROUND(K62,2)=$F$68)*(SUM($G70:J70)&lt;0.00001)</f>
        <v>0</v>
      </c>
      <c r="L70" s="2064">
        <f ca="1">L81*(ROUND(L62,2)=$F$68)*(SUM($G70:K70)&lt;0.00001)</f>
        <v>0</v>
      </c>
      <c r="M70" s="2064">
        <f ca="1">M81*(ROUND(M62,2)=$F$68)*(SUM($G70:L70)&lt;0.00001)</f>
        <v>0</v>
      </c>
      <c r="N70" s="2064">
        <f ca="1">N81*(ROUND(N62,2)=$F$68)*(SUM($G70:M70)&lt;0.00001)</f>
        <v>0</v>
      </c>
      <c r="O70" s="2064">
        <f ca="1">O81*(ROUND(O62,2)=$F$68)*(SUM($G70:N70)&lt;0.00001)</f>
        <v>0</v>
      </c>
      <c r="P70" s="2064">
        <f ca="1">P81*(ROUND(P62,2)=$F$68)*(SUM($G70:O70)&lt;0.00001)</f>
        <v>0</v>
      </c>
      <c r="Q70" s="2064">
        <f ca="1">Q81*(ROUND(Q62,2)=$F$68)*(SUM($G70:P70)&lt;0.00001)</f>
        <v>0</v>
      </c>
      <c r="R70" s="2064">
        <f ca="1">R81*(ROUND(R62,2)=$F$68)*(SUM($G70:Q70)&lt;0.00001)</f>
        <v>0</v>
      </c>
      <c r="S70" s="2064">
        <f ca="1">S81*(ROUND(S62,2)=$F$68)*(SUM($G70:R70)&lt;0.00001)</f>
        <v>0</v>
      </c>
      <c r="T70" s="2064">
        <f ca="1">T81*(ROUND(T62,2)=$F$68)*(SUM($G70:S70)&lt;0.00001)</f>
        <v>0</v>
      </c>
      <c r="U70" s="2064">
        <f ca="1">U81*(ROUND(U62,2)=$F$68)*(SUM($G70:T70)&lt;0.00001)</f>
        <v>0</v>
      </c>
      <c r="V70" s="2064">
        <f ca="1">V81*(ROUND(V62,2)=$F$68)*(SUM($G70:U70)&lt;0.00001)</f>
        <v>0</v>
      </c>
      <c r="W70" s="2064">
        <f ca="1">W81*(ROUND(W62,2)=$F$68)*(SUM($G70:V70)&lt;0.00001)</f>
        <v>0</v>
      </c>
      <c r="X70" s="2064">
        <f ca="1">X81*(ROUND(X62,2)=$F$68)*(SUM($G70:W70)&lt;0.00001)</f>
        <v>0</v>
      </c>
      <c r="Y70" s="2064">
        <f ca="1">Y81*(ROUND(Y62,2)=$F$68)*(SUM($G70:X70)&lt;0.00001)</f>
        <v>0</v>
      </c>
      <c r="Z70" s="2064">
        <f ca="1">Z81*(ROUND(Z62,2)=$F$68)*(SUM($G70:Y70)&lt;0.00001)</f>
        <v>0</v>
      </c>
      <c r="AA70" s="2064">
        <f ca="1">AA81*(ROUND(AA62,2)=$F$68)*(SUM($G70:Z70)&lt;0.00001)</f>
        <v>0</v>
      </c>
      <c r="AB70" s="2064">
        <f ca="1">AB81*(ROUND(AB62,2)=$F$68)*(SUM($G70:AA70)&lt;0.00001)</f>
        <v>0</v>
      </c>
      <c r="AC70" s="2064">
        <f ca="1">AC81*(ROUND(AC62,2)=$F$68)*(SUM($G70:AB70)&lt;0.00001)</f>
        <v>0</v>
      </c>
      <c r="AD70" s="2064">
        <f ca="1">AD81*(ROUND(AD62,2)=$F$68)*(SUM($G70:AC70)&lt;0.00001)</f>
        <v>0</v>
      </c>
      <c r="AE70" s="2064">
        <f ca="1">AE81*(ROUND(AE62,2)=$F$68)*(SUM($G70:AD70)&lt;0.00001)</f>
        <v>0</v>
      </c>
      <c r="AF70" s="2064">
        <f ca="1">AF81*(ROUND(AF62,2)=$F$68)*(SUM($G70:AE70)&lt;0.00001)</f>
        <v>0</v>
      </c>
      <c r="AG70" s="450">
        <f ca="1">AG81*(ROUND(AG62,2)=$F$68)*(SUM($G70:AF70)&lt;0.00001)</f>
        <v>0</v>
      </c>
      <c r="AH70" s="450">
        <f ca="1">AH81*(ROUND(AH62,2)=$F$68)*(SUM($G70:AG70)&lt;0.00001)</f>
        <v>0</v>
      </c>
      <c r="AI70" s="450">
        <f ca="1">AI81*(ROUND(AI62,2)=$F$68)*(SUM($G70:AH70)&lt;0.00001)</f>
        <v>0</v>
      </c>
      <c r="AJ70" s="450">
        <f ca="1">AJ81*(ROUND(AJ62,2)=$F$68)*(SUM($G70:AI70)&lt;0.00001)</f>
        <v>0</v>
      </c>
      <c r="AK70" s="450">
        <f ca="1">AK81*(ROUND(AK62,2)=$F$68)*(SUM($G70:AJ70)&lt;0.00001)</f>
        <v>0</v>
      </c>
      <c r="AL70" s="450">
        <f ca="1">AL81*(ROUND(AL62,2)=$F$68)*(SUM($G70:AK70)&lt;0.00001)</f>
        <v>0</v>
      </c>
      <c r="AM70" s="450">
        <f ca="1">AM81*(ROUND(AM62,2)=$F$68)*(SUM($G70:AL70)&lt;0.00001)</f>
        <v>0</v>
      </c>
      <c r="AN70" s="450">
        <f ca="1">AN81*(ROUND(AN62,2)=$F$68)*(SUM($G70:AM70)&lt;0.00001)</f>
        <v>0</v>
      </c>
      <c r="AO70" s="450">
        <f ca="1">AO81*(ROUND(AO62,2)=$F$68)*(SUM($G70:AN70)&lt;0.00001)</f>
        <v>0</v>
      </c>
      <c r="AP70" s="450">
        <f ca="1">AP81*(ROUND(AP62,2)=$F$68)*(SUM($G70:AO70)&lt;0.00001)</f>
        <v>0</v>
      </c>
      <c r="AQ70" s="450">
        <f ca="1">AQ81*(ROUND(AQ62,2)=$F$68)*(SUM($G70:AP70)&lt;0.00001)</f>
        <v>0</v>
      </c>
      <c r="AR70" s="450">
        <f ca="1">AR81*(ROUND(AR62,2)=$F$68)*(SUM($G70:AQ70)&lt;0.00001)</f>
        <v>0</v>
      </c>
      <c r="AS70" s="450">
        <f ca="1">AS81*(ROUND(AS62,2)=$F$68)*(SUM($G70:AR70)&lt;0.00001)</f>
        <v>0</v>
      </c>
      <c r="AT70" s="450">
        <f ca="1">AT81*(ROUND(AT62,2)=$F$68)*(SUM($G70:AS70)&lt;0.00001)</f>
        <v>0</v>
      </c>
      <c r="AU70" s="450">
        <f ca="1">AU81*(ROUND(AU62,2)=$F$68)*(SUM($G70:AT70)&lt;0.00001)</f>
        <v>0</v>
      </c>
      <c r="AV70" s="450">
        <f ca="1">AV81*(ROUND(AV62,2)=$F$68)*(SUM($G70:AU70)&lt;0.00001)</f>
        <v>0</v>
      </c>
      <c r="AW70" s="450">
        <f ca="1">AW81*(ROUND(AW62,2)=$F$68)*(SUM($G70:AV70)&lt;0.00001)</f>
        <v>0</v>
      </c>
      <c r="AX70" s="450">
        <f ca="1">AX81*(ROUND(AX62,2)=$F$68)*(SUM($G70:AW70)&lt;0.00001)</f>
        <v>0</v>
      </c>
      <c r="AY70" s="450">
        <f ca="1">AY81*(ROUND(AY62,2)=$F$68)*(SUM($G70:AX70)&lt;0.00001)</f>
        <v>0</v>
      </c>
      <c r="AZ70" s="450">
        <f ca="1">AZ81*(ROUND(AZ62,2)=$F$68)*(SUM($G70:AY70)&lt;0.00001)</f>
        <v>0</v>
      </c>
      <c r="BA70" s="450">
        <f ca="1">BA81*(ROUND(BA62,2)=$F$68)*(SUM($G70:AZ70)&lt;0.00001)</f>
        <v>0</v>
      </c>
      <c r="BB70" s="450">
        <f ca="1">BB81*(ROUND(BB62,2)=$F$68)*(SUM($G70:BA70)&lt;0.00001)</f>
        <v>0</v>
      </c>
      <c r="BC70" s="450">
        <f ca="1">BC81*(ROUND(BC62,2)=$F$68)*(SUM($G70:BB70)&lt;0.00001)</f>
        <v>0</v>
      </c>
      <c r="BD70" s="450">
        <f ca="1">BD81*(ROUND(BD62,2)=$F$68)*(SUM($G70:BC70)&lt;0.00001)</f>
        <v>0</v>
      </c>
      <c r="BE70" s="450">
        <f ca="1">BE81*(ROUND(BE62,2)=$F$68)*(SUM($G70:BD70)&lt;0.00001)</f>
        <v>0</v>
      </c>
      <c r="BF70" s="450">
        <f ca="1">BF81*(ROUND(BF62,2)=$F$68)*(SUM($G70:BE70)&lt;0.00001)</f>
        <v>0</v>
      </c>
      <c r="BG70" s="450">
        <f ca="1">BG81*(ROUND(BG62,2)=$F$68)*(SUM($G70:BF70)&lt;0.00001)</f>
        <v>0</v>
      </c>
      <c r="BH70" s="450">
        <f ca="1">BH81*(ROUND(BH62,2)=$F$68)*(SUM($G70:BG70)&lt;0.00001)</f>
        <v>0</v>
      </c>
      <c r="BI70" s="450">
        <f ca="1">BI81*(ROUND(BI62,2)=$F$68)*(SUM($G70:BH70)&lt;0.00001)</f>
        <v>0</v>
      </c>
      <c r="BJ70" s="450">
        <f ca="1">BJ81*(ROUND(BJ62,2)=$F$68)*(SUM($G70:BI70)&lt;0.00001)</f>
        <v>0</v>
      </c>
      <c r="BK70" s="450">
        <f ca="1">BK81*(ROUND(BK62,2)=$F$68)*(SUM($G70:BJ70)&lt;0.00001)</f>
        <v>0</v>
      </c>
      <c r="BL70" s="450">
        <f ca="1">BL81*(ROUND(BL62,2)=$F$68)*(SUM($G70:BK70)&lt;0.00001)</f>
        <v>0</v>
      </c>
      <c r="BM70" s="450">
        <f ca="1">BM81*(ROUND(BM62,2)=$F$68)*(SUM($G70:BL70)&lt;0.00001)</f>
        <v>0</v>
      </c>
      <c r="BN70" s="450">
        <f ca="1">BN81*(ROUND(BN62,2)=$F$68)*(SUM($G70:BM70)&lt;0.00001)</f>
        <v>0</v>
      </c>
      <c r="BO70" s="450">
        <f ca="1">BO81*(ROUND(BO62,2)=$F$68)*(SUM($G70:BN70)&lt;0.00001)</f>
        <v>0</v>
      </c>
      <c r="BP70" s="450">
        <f ca="1">BP81*(ROUND(BP62,2)=$F$68)*(SUM($G70:BO70)&lt;0.00001)</f>
        <v>0</v>
      </c>
      <c r="BQ70" s="450">
        <f ca="1">BQ81*(ROUND(BQ62,2)=$F$68)*(SUM($G70:BP70)&lt;0.00001)</f>
        <v>0</v>
      </c>
      <c r="BR70" s="450">
        <f ca="1">BR81*(ROUND(BR62,2)=$F$68)*(SUM($G70:BQ70)&lt;0.00001)</f>
        <v>0</v>
      </c>
      <c r="BS70" s="450">
        <f ca="1">BS81*(ROUND(BS62,2)=$F$68)*(SUM($G70:BR70)&lt;0.00001)</f>
        <v>0</v>
      </c>
      <c r="BT70" s="450">
        <f ca="1">BT81*(ROUND(BT62,2)=$F$68)*(SUM($G70:BS70)&lt;0.00001)</f>
        <v>0</v>
      </c>
      <c r="BU70" s="450">
        <f ca="1">BU81*(ROUND(BU62,2)=$F$68)*(SUM($G70:BT70)&lt;0.00001)</f>
        <v>0</v>
      </c>
      <c r="BV70" s="450">
        <f ca="1">BV81*(ROUND(BV62,2)=$F$68)*(SUM($G70:BU70)&lt;0.00001)</f>
        <v>0</v>
      </c>
      <c r="BW70" s="450">
        <f ca="1">BW81*(ROUND(BW62,2)=$F$68)*(SUM($G70:BV70)&lt;0.00001)</f>
        <v>0</v>
      </c>
      <c r="BX70" s="450">
        <f ca="1">BX81*(ROUND(BX62,2)=$F$68)*(SUM($G70:BW70)&lt;0.00001)</f>
        <v>0</v>
      </c>
      <c r="BY70" s="450">
        <f ca="1">BY81*(ROUND(BY62,2)=$F$68)*(SUM($G70:BX70)&lt;0.00001)</f>
        <v>0</v>
      </c>
      <c r="BZ70" s="450">
        <f ca="1">BZ81*(ROUND(BZ62,2)=$F$68)*(SUM($G70:BY70)&lt;0.00001)</f>
        <v>0</v>
      </c>
      <c r="CA70" s="450">
        <f ca="1">CA81*(ROUND(CA62,2)=$F$68)*(SUM($G70:BZ70)&lt;0.00001)</f>
        <v>0</v>
      </c>
      <c r="CB70" s="450">
        <f ca="1">CB81*(ROUND(CB62,2)=$F$68)*(SUM($G70:CA70)&lt;0.00001)</f>
        <v>0</v>
      </c>
      <c r="CC70" s="450">
        <f ca="1">CC81*(ROUND(CC62,2)=$F$68)*(SUM($G70:CB70)&lt;0.00001)</f>
        <v>0</v>
      </c>
      <c r="CD70" s="450">
        <f ca="1">CD81*(ROUND(CD62,2)=$F$68)*(SUM($G70:CC70)&lt;0.00001)</f>
        <v>0</v>
      </c>
      <c r="CE70" s="450">
        <f ca="1">CE81*(ROUND(CE62,2)=$F$68)*(SUM($G70:CD70)&lt;0.00001)</f>
        <v>0</v>
      </c>
      <c r="CF70" s="450">
        <f ca="1">CF81*(ROUND(CF62,2)=$F$68)*(SUM($G70:CE70)&lt;0.00001)</f>
        <v>0</v>
      </c>
      <c r="CG70" s="450">
        <f ca="1">CG81*(ROUND(CG62,2)=$F$68)*(SUM($G70:CF70)&lt;0.00001)</f>
        <v>0</v>
      </c>
      <c r="CH70" s="450">
        <f ca="1">CH81*(ROUND(CH62,2)=$F$68)*(SUM($G70:CG70)&lt;0.00001)</f>
        <v>0</v>
      </c>
      <c r="CI70" s="450">
        <f ca="1">CI81*(ROUND(CI62,2)=$F$68)*(SUM($G70:CH70)&lt;0.00001)</f>
        <v>0</v>
      </c>
      <c r="CJ70" s="450">
        <f ca="1">CJ81*(ROUND(CJ62,2)=$F$68)*(SUM($G70:CI70)&lt;0.00001)</f>
        <v>0</v>
      </c>
      <c r="CK70" s="450">
        <f ca="1">CK81*(ROUND(CK62,2)=$F$68)*(SUM($G70:CJ70)&lt;0.00001)</f>
        <v>0</v>
      </c>
      <c r="CL70" s="450">
        <f ca="1">CL81*(ROUND(CL62,2)=$F$68)*(SUM($G70:CK70)&lt;0.00001)</f>
        <v>0</v>
      </c>
      <c r="CM70" s="450">
        <f ca="1">CM81*(ROUND(CM62,2)=$F$68)*(SUM($G70:CL70)&lt;0.00001)</f>
        <v>0</v>
      </c>
      <c r="CN70" s="450">
        <f ca="1">CN81*(ROUND(CN62,2)=$F$68)*(SUM($G70:CM70)&lt;0.00001)</f>
        <v>0</v>
      </c>
      <c r="CO70" s="450">
        <f ca="1">CO81*(ROUND(CO62,2)=$F$68)*(SUM($G70:CN70)&lt;0.00001)</f>
        <v>0</v>
      </c>
      <c r="CP70" s="450">
        <f ca="1">CP81*(ROUND(CP62,2)=$F$68)*(SUM($G70:CO70)&lt;0.00001)</f>
        <v>0</v>
      </c>
      <c r="CQ70" s="450">
        <f ca="1">CQ81*(ROUND(CQ62,2)=$F$68)*(SUM($G70:CP70)&lt;0.00001)</f>
        <v>0</v>
      </c>
      <c r="CR70" s="450">
        <f ca="1">CR81*(ROUND(CR62,2)=$F$68)*(SUM($G70:CQ70)&lt;0.00001)</f>
        <v>0</v>
      </c>
      <c r="CS70" s="450">
        <f ca="1">CS81*(ROUND(CS62,2)=$F$68)*(SUM($G70:CR70)&lt;0.00001)</f>
        <v>0</v>
      </c>
      <c r="CT70" s="450">
        <f ca="1">CT81*(ROUND(CT62,2)=$F$68)*(SUM($G70:CS70)&lt;0.00001)</f>
        <v>0</v>
      </c>
      <c r="CU70" s="450">
        <f ca="1">CU81*(ROUND(CU62,2)=$F$68)*(SUM($G70:CT70)&lt;0.00001)</f>
        <v>0</v>
      </c>
      <c r="CV70" s="450">
        <f ca="1">CV81*(ROUND(CV62,2)=$F$68)*(SUM($G70:CU70)&lt;0.00001)</f>
        <v>0</v>
      </c>
      <c r="CW70" s="450">
        <f ca="1">CW81*(ROUND(CW62,2)=$F$68)*(SUM($G70:CV70)&lt;0.00001)</f>
        <v>0</v>
      </c>
      <c r="CX70" s="450">
        <f ca="1">CX81*(ROUND(CX62,2)=$F$68)*(SUM($G70:CW70)&lt;0.00001)</f>
        <v>0</v>
      </c>
      <c r="CY70" s="450">
        <f ca="1">CY81*(ROUND(CY62,2)=$F$68)*(SUM($G70:CX70)&lt;0.00001)</f>
        <v>0</v>
      </c>
      <c r="CZ70" s="450">
        <f ca="1">CZ81*(ROUND(CZ62,2)=$F$68)*(SUM($G70:CY70)&lt;0.00001)</f>
        <v>0</v>
      </c>
      <c r="DA70" s="450">
        <f ca="1">DA81*(ROUND(DA62,2)=$F$68)*(SUM($G70:CZ70)&lt;0.00001)</f>
        <v>0</v>
      </c>
      <c r="DB70" s="450">
        <f ca="1">DB81*(ROUND(DB62,2)=$F$68)*(SUM($G70:DA70)&lt;0.00001)</f>
        <v>0</v>
      </c>
      <c r="DC70" s="450">
        <f ca="1">DC81*(ROUND(DC62,2)=$F$68)*(SUM($G70:DB70)&lt;0.00001)</f>
        <v>0</v>
      </c>
      <c r="DD70" s="450">
        <f ca="1">DD81*(ROUND(DD62,2)=$F$68)*(SUM($G70:DC70)&lt;0.00001)</f>
        <v>0</v>
      </c>
      <c r="DE70" s="450">
        <f ca="1">DE81*(ROUND(DE62,2)=$F$68)*(SUM($G70:DD70)&lt;0.00001)</f>
        <v>0</v>
      </c>
      <c r="DF70" s="450">
        <f ca="1">DF81*(ROUND(DF62,2)=$F$68)*(SUM($G70:DE70)&lt;0.00001)</f>
        <v>0</v>
      </c>
      <c r="DG70" s="450">
        <f ca="1">DG81*(ROUND(DG62,2)=$F$68)*(SUM($G70:DF70)&lt;0.00001)</f>
        <v>0</v>
      </c>
      <c r="DH70" s="450">
        <f ca="1">DH81*(ROUND(DH62,2)=$F$68)*(SUM($G70:DG70)&lt;0.00001)</f>
        <v>0</v>
      </c>
      <c r="DI70" s="450">
        <f ca="1">DI81*(ROUND(DI62,2)=$F$68)*(SUM($G70:DH70)&lt;0.00001)</f>
        <v>0</v>
      </c>
      <c r="DJ70" s="450">
        <f ca="1">DJ81*(ROUND(DJ62,2)=$F$68)*(SUM($G70:DI70)&lt;0.00001)</f>
        <v>0</v>
      </c>
      <c r="DK70" s="450">
        <f ca="1">DK81*(ROUND(DK62,2)=$F$68)*(SUM($G70:DJ70)&lt;0.00001)</f>
        <v>0</v>
      </c>
      <c r="DL70" s="450">
        <f ca="1">DL81*(ROUND(DL62,2)=$F$68)*(SUM($G70:DK70)&lt;0.00001)</f>
        <v>0</v>
      </c>
      <c r="DM70" s="450">
        <f ca="1">DM81*(ROUND(DM62,2)=$F$68)*(SUM($G70:DL70)&lt;0.00001)</f>
        <v>0</v>
      </c>
      <c r="DN70" s="450">
        <f ca="1">DN81*(ROUND(DN62,2)=$F$68)*(SUM($G70:DM70)&lt;0.00001)</f>
        <v>0</v>
      </c>
      <c r="DO70" s="450">
        <f ca="1">DO81*(ROUND(DO62,2)=$F$68)*(SUM($G70:DN70)&lt;0.00001)</f>
        <v>0</v>
      </c>
      <c r="DP70" s="450">
        <f ca="1">DP81*(ROUND(DP62,2)=$F$68)*(SUM($G70:DO70)&lt;0.00001)</f>
        <v>0</v>
      </c>
      <c r="DQ70" s="450">
        <f ca="1">DQ81*(ROUND(DQ62,2)=$F$68)*(SUM($G70:DP70)&lt;0.00001)</f>
        <v>0</v>
      </c>
      <c r="DR70" s="450">
        <f ca="1">DR81*(ROUND(DR62,2)=$F$68)*(SUM($G70:DQ70)&lt;0.00001)</f>
        <v>0</v>
      </c>
      <c r="DS70" s="450">
        <f ca="1">DS81*(ROUND(DS62,2)=$F$68)*(SUM($G70:DR70)&lt;0.00001)</f>
        <v>0</v>
      </c>
      <c r="DT70" s="450">
        <f ca="1">DT81*(ROUND(DT62,2)=$F$68)*(SUM($G70:DS70)&lt;0.00001)</f>
        <v>0</v>
      </c>
      <c r="DU70" s="450">
        <f ca="1">DU81*(ROUND(DU62,2)=$F$68)*(SUM($G70:DT70)&lt;0.00001)</f>
        <v>0</v>
      </c>
      <c r="DV70" s="450">
        <f ca="1">DV81*(ROUND(DV62,2)=$F$68)*(SUM($G70:DU70)&lt;0.00001)</f>
        <v>0</v>
      </c>
      <c r="DW70" s="450">
        <f ca="1">DW81*(ROUND(DW62,2)=$F$68)*(SUM($G70:DV70)&lt;0.00001)</f>
        <v>0</v>
      </c>
      <c r="DX70" s="450">
        <f ca="1">DX81*(ROUND(DX62,2)=$F$68)*(SUM($G70:DW70)&lt;0.00001)</f>
        <v>0</v>
      </c>
      <c r="DY70" s="450">
        <f ca="1">DY81*(ROUND(DY62,2)=$F$68)*(SUM($G70:DX70)&lt;0.00001)</f>
        <v>0</v>
      </c>
      <c r="DZ70" s="450">
        <f ca="1">DZ81*(ROUND(DZ62,2)=$F$68)*(SUM($G70:DY70)&lt;0.00001)</f>
        <v>0</v>
      </c>
      <c r="EA70" s="450">
        <f ca="1">EA81*(ROUND(EA62,2)=$F$68)*(SUM($G70:DZ70)&lt;0.00001)</f>
        <v>0</v>
      </c>
      <c r="EB70" s="450">
        <f ca="1">EB81*(ROUND(EB62,2)=$F$68)*(SUM($G70:EA70)&lt;0.00001)</f>
        <v>0</v>
      </c>
      <c r="EC70" s="450">
        <f ca="1">EC81*(ROUND(EC62,2)=$F$68)*(SUM($G70:EB70)&lt;0.00001)</f>
        <v>0</v>
      </c>
      <c r="ED70" s="450">
        <f ca="1">ED81*(ROUND(ED62,2)=$F$68)*(SUM($G70:EC70)&lt;0.00001)</f>
        <v>0</v>
      </c>
      <c r="EE70" s="450">
        <f ca="1">EE81*(ROUND(EE62,2)=$F$68)*(SUM($G70:ED70)&lt;0.00001)</f>
        <v>0</v>
      </c>
      <c r="EF70" s="450">
        <f ca="1">EF81*(ROUND(EF62,2)=$F$68)*(SUM($G70:EE70)&lt;0.00001)</f>
        <v>0</v>
      </c>
      <c r="EG70" s="450">
        <f ca="1">EG81*(ROUND(EG62,2)=$F$68)*(SUM($G70:EF70)&lt;0.00001)</f>
        <v>0</v>
      </c>
      <c r="EH70" s="450">
        <f ca="1">EH81*(ROUND(EH62,2)=$F$68)*(SUM($G70:EG70)&lt;0.00001)</f>
        <v>0</v>
      </c>
      <c r="EI70" s="450">
        <f ca="1">EI81*(ROUND(EI62,2)=$F$68)*(SUM($G70:EH70)&lt;0.00001)</f>
        <v>0</v>
      </c>
      <c r="EJ70" s="450">
        <f ca="1">EJ81*(ROUND(EJ62,2)=$F$68)*(SUM($G70:EI70)&lt;0.00001)</f>
        <v>0</v>
      </c>
      <c r="EK70" s="450">
        <f ca="1">EK81*(ROUND(EK62,2)=$F$68)*(SUM($G70:EJ70)&lt;0.00001)</f>
        <v>0</v>
      </c>
      <c r="EL70" s="450">
        <f ca="1">EL81*(ROUND(EL62,2)=$F$68)*(SUM($G70:EK70)&lt;0.00001)</f>
        <v>0</v>
      </c>
      <c r="EM70" s="450">
        <f ca="1">EM81*(ROUND(EM62,2)=$F$68)*(SUM($G70:EL70)&lt;0.00001)</f>
        <v>0</v>
      </c>
      <c r="EN70" s="450">
        <f ca="1">EN81*(ROUND(EN62,2)=$F$68)*(SUM($G70:EM70)&lt;0.00001)</f>
        <v>0</v>
      </c>
      <c r="EO70" s="450">
        <f ca="1">EO81*(ROUND(EO62,2)=$F$68)*(SUM($G70:EN70)&lt;0.00001)</f>
        <v>0</v>
      </c>
      <c r="EP70" s="450">
        <f ca="1">EP81*(ROUND(EP62,2)=$F$68)*(SUM($G70:EO70)&lt;0.00001)</f>
        <v>0</v>
      </c>
      <c r="EQ70" s="450">
        <f ca="1">EQ81*(ROUND(EQ62,2)=$F$68)*(SUM($G70:EP70)&lt;0.00001)</f>
        <v>0</v>
      </c>
      <c r="ER70" s="450">
        <f ca="1">ER81*(ROUND(ER62,2)=$F$68)*(SUM($G70:EQ70)&lt;0.00001)</f>
        <v>0</v>
      </c>
      <c r="ES70" s="450">
        <f ca="1">ES81*(ROUND(ES62,2)=$F$68)*(SUM($G70:ER70)&lt;0.00001)</f>
        <v>0</v>
      </c>
      <c r="ET70" s="450">
        <f ca="1">ET81*(ROUND(ET62,2)=$F$68)*(SUM($G70:ES70)&lt;0.00001)</f>
        <v>0</v>
      </c>
      <c r="EU70" s="450">
        <f ca="1">EU81*(ROUND(EU62,2)=$F$68)*(SUM($G70:ET70)&lt;0.00001)</f>
        <v>0</v>
      </c>
      <c r="EV70" s="450">
        <f ca="1">EV81*(ROUND(EV62,2)=$F$68)*(SUM($G70:EU70)&lt;0.00001)</f>
        <v>0</v>
      </c>
      <c r="EW70" s="450">
        <f ca="1">EW81*(ROUND(EW62,2)=$F$68)*(SUM($G70:EV70)&lt;0.00001)</f>
        <v>0</v>
      </c>
      <c r="EX70" s="450">
        <f ca="1">EX81*(ROUND(EX62,2)=$F$68)*(SUM($G70:EW70)&lt;0.00001)</f>
        <v>0</v>
      </c>
      <c r="EY70" s="450">
        <f ca="1">EY81*(ROUND(EY62,2)=$F$68)*(SUM($G70:EX70)&lt;0.00001)</f>
        <v>0</v>
      </c>
      <c r="EZ70" s="450">
        <f ca="1">EZ81*(ROUND(EZ62,2)=$F$68)*(SUM($G70:EY70)&lt;0.00001)</f>
        <v>0</v>
      </c>
      <c r="FA70" s="450">
        <f ca="1">FA81*(ROUND(FA62,2)=$F$68)*(SUM($G70:EZ70)&lt;0.00001)</f>
        <v>0</v>
      </c>
      <c r="FB70" s="450">
        <f ca="1">FB81*(ROUND(FB62,2)=$F$68)*(SUM($G70:FA70)&lt;0.00001)</f>
        <v>0</v>
      </c>
      <c r="FC70" s="450">
        <f ca="1">FC81*(ROUND(FC62,2)=$F$68)*(SUM($G70:FB70)&lt;0.00001)</f>
        <v>0</v>
      </c>
      <c r="FD70" s="450">
        <f ca="1">FD81*(ROUND(FD62,2)=$F$68)*(SUM($G70:FC70)&lt;0.00001)</f>
        <v>0</v>
      </c>
      <c r="FE70" s="450">
        <f ca="1">FE81*(ROUND(FE62,2)=$F$68)*(SUM($G70:FD70)&lt;0.00001)</f>
        <v>0</v>
      </c>
      <c r="FF70" s="450">
        <f ca="1">FF81*(ROUND(FF62,2)=$F$68)*(SUM($G70:FE70)&lt;0.00001)</f>
        <v>0</v>
      </c>
      <c r="FG70" s="450">
        <f ca="1">FG81*(ROUND(FG62,2)=$F$68)*(SUM($G70:FF70)&lt;0.00001)</f>
        <v>0</v>
      </c>
      <c r="FH70" s="450">
        <f ca="1">FH81*(ROUND(FH62,2)=$F$68)*(SUM($G70:FG70)&lt;0.00001)</f>
        <v>0</v>
      </c>
      <c r="FI70" s="450">
        <f ca="1">FI81*(ROUND(FI62,2)=$F$68)*(SUM($G70:FH70)&lt;0.00001)</f>
        <v>0</v>
      </c>
      <c r="FJ70" s="450">
        <f ca="1">FJ81*(ROUND(FJ62,2)=$F$68)*(SUM($G70:FI70)&lt;0.00001)</f>
        <v>0</v>
      </c>
      <c r="FK70" s="450">
        <f ca="1">FK81*(ROUND(FK62,2)=$F$68)*(SUM($G70:FJ70)&lt;0.00001)</f>
        <v>0</v>
      </c>
      <c r="FL70" s="450">
        <f ca="1">FL81*(ROUND(FL62,2)=$F$68)*(SUM($G70:FK70)&lt;0.00001)</f>
        <v>0</v>
      </c>
      <c r="FM70" s="450">
        <f ca="1">FM81*(ROUND(FM62,2)=$F$68)*(SUM($G70:FL70)&lt;0.00001)</f>
        <v>0</v>
      </c>
      <c r="FN70" s="450">
        <f ca="1">FN81*(ROUND(FN62,2)=$F$68)*(SUM($G70:FM70)&lt;0.00001)</f>
        <v>0</v>
      </c>
      <c r="FO70" s="450">
        <f ca="1">FO81*(ROUND(FO62,2)=$F$68)*(SUM($G70:FN70)&lt;0.00001)</f>
        <v>0</v>
      </c>
      <c r="FP70" s="450">
        <f ca="1">FP81*(ROUND(FP62,2)=$F$68)*(SUM($G70:FO70)&lt;0.00001)</f>
        <v>0</v>
      </c>
      <c r="FQ70" s="450">
        <f ca="1">FQ81*(ROUND(FQ62,2)=$F$68)*(SUM($G70:FP70)&lt;0.00001)</f>
        <v>0</v>
      </c>
      <c r="FR70" s="450">
        <f ca="1">FR81*(ROUND(FR62,2)=$F$68)*(SUM($G70:FQ70)&lt;0.00001)</f>
        <v>0</v>
      </c>
      <c r="FS70" s="450">
        <f ca="1">FS81*(ROUND(FS62,2)=$F$68)*(SUM($G70:FR70)&lt;0.00001)</f>
        <v>0</v>
      </c>
      <c r="FT70" s="450">
        <f ca="1">FT81*(ROUND(FT62,2)=$F$68)*(SUM($G70:FS70)&lt;0.00001)</f>
        <v>0</v>
      </c>
      <c r="FU70" s="450">
        <f ca="1">FU81*(ROUND(FU62,2)=$F$68)*(SUM($G70:FT70)&lt;0.00001)</f>
        <v>0</v>
      </c>
      <c r="FV70" s="450">
        <f ca="1">FV81*(ROUND(FV62,2)=$F$68)*(SUM($G70:FU70)&lt;0.00001)</f>
        <v>0</v>
      </c>
      <c r="FW70" s="450">
        <f ca="1">FW81*(ROUND(FW62,2)=$F$68)*(SUM($G70:FV70)&lt;0.00001)</f>
        <v>0</v>
      </c>
      <c r="FX70" s="450">
        <f ca="1">FX81*(ROUND(FX62,2)=$F$68)*(SUM($G70:FW70)&lt;0.00001)</f>
        <v>0</v>
      </c>
      <c r="FY70" s="450">
        <f ca="1">FY81*(ROUND(FY62,2)=$F$68)*(SUM($G70:FX70)&lt;0.00001)</f>
        <v>0</v>
      </c>
      <c r="FZ70" s="450">
        <f ca="1">FZ81*(ROUND(FZ62,2)=$F$68)*(SUM($G70:FY70)&lt;0.00001)</f>
        <v>0</v>
      </c>
      <c r="GA70" s="450">
        <f ca="1">GA81*(ROUND(GA62,2)=$F$68)*(SUM($G70:FZ70)&lt;0.00001)</f>
        <v>0</v>
      </c>
      <c r="GB70" s="450">
        <f ca="1">GB81*(ROUND(GB62,2)=$F$68)*(SUM($G70:GA70)&lt;0.00001)</f>
        <v>0</v>
      </c>
      <c r="GC70" s="450">
        <f ca="1">GC81*(ROUND(GC62,2)=$F$68)*(SUM($G70:GB70)&lt;0.00001)</f>
        <v>0</v>
      </c>
      <c r="GD70" s="450">
        <f ca="1">GD81*(ROUND(GD62,2)=$F$68)*(SUM($G70:GC70)&lt;0.00001)</f>
        <v>0</v>
      </c>
    </row>
    <row r="71" spans="2:186" ht="15" customHeight="1">
      <c r="B71" s="2064"/>
      <c r="C71" s="2064"/>
      <c r="D71" s="2064"/>
      <c r="E71" s="469" t="s">
        <v>3775</v>
      </c>
      <c r="F71" s="2166">
        <f t="shared" ca="1" si="81"/>
        <v>49034</v>
      </c>
      <c r="G71" s="2064"/>
      <c r="H71" s="2064"/>
      <c r="I71" s="2064"/>
      <c r="J71" s="2064"/>
      <c r="K71" s="2064"/>
      <c r="L71" s="2064"/>
      <c r="M71" s="2064"/>
      <c r="N71" s="2064"/>
      <c r="O71" s="2064"/>
      <c r="P71" s="2064"/>
      <c r="Q71" s="2064"/>
      <c r="R71" s="2064">
        <f ca="1">R10*(R61&gt;0)*(SUM($G71:Q71)&lt;0.0001)</f>
        <v>0</v>
      </c>
      <c r="S71" s="2064">
        <f ca="1">S10*(S61&gt;0)*(SUM($G71:R71)&lt;0.0001)</f>
        <v>0</v>
      </c>
      <c r="T71" s="2064">
        <f ca="1">T10*(T61&gt;0)*(SUM($G71:S71)&lt;0.0001)</f>
        <v>0</v>
      </c>
      <c r="U71" s="2064">
        <f ca="1">U10*(U61&gt;0)*(SUM($G71:T71)&lt;0.0001)</f>
        <v>0</v>
      </c>
      <c r="V71" s="2064">
        <f ca="1">V10*(V61&gt;0)*(SUM($G71:U71)&lt;0.0001)</f>
        <v>0</v>
      </c>
      <c r="W71" s="2064">
        <f ca="1">W10*(W61&gt;0)*(SUM($G71:V71)&lt;0.0001)</f>
        <v>0</v>
      </c>
      <c r="X71" s="2064">
        <f ca="1">X10*(X61&gt;0)*(SUM($G71:W71)&lt;0.0001)</f>
        <v>0</v>
      </c>
      <c r="Y71" s="2064">
        <f ca="1">Y10*(Y61&gt;0)*(SUM($G71:X71)&lt;0.0001)</f>
        <v>0</v>
      </c>
      <c r="Z71" s="2064">
        <f ca="1">Z10*(Z61&gt;0)*(SUM($G71:Y71)&lt;0.0001)</f>
        <v>0</v>
      </c>
      <c r="AA71" s="2064">
        <f ca="1">AA10*(AA61&gt;0)*(SUM($G71:Z71)&lt;0.0001)</f>
        <v>0</v>
      </c>
      <c r="AB71" s="2064">
        <f ca="1">AB10*(AB61&gt;0)*(SUM($G71:AA71)&lt;0.0001)</f>
        <v>0</v>
      </c>
      <c r="AC71" s="2064">
        <f ca="1">AC10*(AC61&gt;0)*(SUM($G71:AB71)&lt;0.0001)</f>
        <v>0</v>
      </c>
      <c r="AD71" s="2064">
        <f ca="1">AD10*(AD61&gt;0)*(SUM($G71:AC71)&lt;0.0001)</f>
        <v>0</v>
      </c>
      <c r="AE71" s="2064">
        <f ca="1">AE10*(AE61&gt;0)*(SUM($G71:AD71)&lt;0.0001)</f>
        <v>0</v>
      </c>
      <c r="AF71" s="2064">
        <f ca="1">AF10*(AF61&gt;0)*(SUM($G71:AE71)&lt;0.0001)</f>
        <v>0</v>
      </c>
      <c r="AG71" s="2064">
        <f ca="1">AG10*(AG61&gt;0)*(SUM($G71:AF71)&lt;0.0001)</f>
        <v>0</v>
      </c>
      <c r="AH71" s="2064">
        <f ca="1">AH10*(AH61&gt;0)*(SUM($G71:AG71)&lt;0.0001)</f>
        <v>0</v>
      </c>
      <c r="AI71" s="2064">
        <f ca="1">AI10*(AI61&gt;0)*(SUM($G71:AH71)&lt;0.0001)</f>
        <v>0</v>
      </c>
      <c r="AJ71" s="2064">
        <f ca="1">AJ10*(AJ61&gt;0)*(SUM($G71:AI71)&lt;0.0001)</f>
        <v>0</v>
      </c>
      <c r="AK71" s="2064">
        <f ca="1">AK10*(AK61&gt;0)*(SUM($G71:AJ71)&lt;0.0001)</f>
        <v>0</v>
      </c>
      <c r="AL71" s="2064">
        <f ca="1">AL10*(AL61&gt;0)*(SUM($G71:AK71)&lt;0.0001)</f>
        <v>0</v>
      </c>
      <c r="AM71" s="2064">
        <f ca="1">AM10*(AM61&gt;0)*(SUM($G71:AL71)&lt;0.0001)</f>
        <v>0</v>
      </c>
      <c r="AN71" s="2064">
        <f ca="1">AN10*(AN61&gt;0)*(SUM($G71:AM71)&lt;0.0001)</f>
        <v>0</v>
      </c>
      <c r="AO71" s="2064">
        <f ca="1">AO10*(AO61&gt;0)*(SUM($G71:AN71)&lt;0.0001)</f>
        <v>0</v>
      </c>
      <c r="AP71" s="2064">
        <f ca="1">AP10*(AP61&gt;0)*(SUM($G71:AO71)&lt;0.0001)</f>
        <v>0</v>
      </c>
      <c r="AQ71" s="2064">
        <f ca="1">AQ10*(AQ61&gt;0)*(SUM($G71:AP71)&lt;0.0001)</f>
        <v>0</v>
      </c>
      <c r="AR71" s="2064">
        <f ca="1">AR10*(AR61&gt;0)*(SUM($G71:AQ71)&lt;0.0001)</f>
        <v>0</v>
      </c>
      <c r="AS71" s="2064">
        <f ca="1">AS10*(AS61&gt;0)*(SUM($G71:AR71)&lt;0.0001)</f>
        <v>0</v>
      </c>
      <c r="AT71" s="2064">
        <f ca="1">AT10*(AT61&gt;0)*(SUM($G71:AS71)&lt;0.0001)</f>
        <v>0</v>
      </c>
      <c r="AU71" s="2064">
        <f ca="1">AU10*(AU61&gt;0)*(SUM($G71:AT71)&lt;0.0001)</f>
        <v>0</v>
      </c>
      <c r="AV71" s="2064">
        <f ca="1">AV10*(AV61&gt;0)*(SUM($G71:AU71)&lt;0.0001)</f>
        <v>0</v>
      </c>
      <c r="AW71" s="2064">
        <f ca="1">AW10*(AW61&gt;0)*(SUM($G71:AV71)&lt;0.0001)</f>
        <v>0</v>
      </c>
      <c r="AX71" s="2064">
        <f ca="1">AX10*(AX61&gt;0)*(SUM($G71:AW71)&lt;0.0001)</f>
        <v>0</v>
      </c>
      <c r="AY71" s="2064">
        <f ca="1">AY10*(AY61&gt;0)*(SUM($G71:AX71)&lt;0.0001)</f>
        <v>0</v>
      </c>
      <c r="AZ71" s="2064">
        <f ca="1">AZ10*(AZ61&gt;0)*(SUM($G71:AY71)&lt;0.0001)</f>
        <v>0</v>
      </c>
      <c r="BA71" s="2064">
        <f ca="1">BA10*(BA61&gt;0)*(SUM($G71:AZ71)&lt;0.0001)</f>
        <v>0</v>
      </c>
      <c r="BB71" s="2064">
        <f ca="1">BB10*(BB61&gt;0)*(SUM($G71:BA71)&lt;0.0001)</f>
        <v>0</v>
      </c>
      <c r="BC71" s="2064">
        <f ca="1">BC10*(BC61&gt;0)*(SUM($G71:BB71)&lt;0.0001)</f>
        <v>0</v>
      </c>
      <c r="BD71" s="2064">
        <f ca="1">BD10*(BD61&gt;0)*(SUM($G71:BC71)&lt;0.0001)</f>
        <v>0</v>
      </c>
      <c r="BE71" s="2064">
        <f ca="1">BE10*(BE61&gt;0)*(SUM($G71:BD71)&lt;0.0001)</f>
        <v>0</v>
      </c>
      <c r="BF71" s="2064">
        <f ca="1">BF10*(BF61&gt;0)*(SUM($G71:BE71)&lt;0.0001)</f>
        <v>0</v>
      </c>
      <c r="BG71" s="2064">
        <f ca="1">BG10*(BG61&gt;0)*(SUM($G71:BF71)&lt;0.0001)</f>
        <v>0</v>
      </c>
      <c r="BH71" s="2064">
        <f ca="1">BH10*(BH61&gt;0)*(SUM($G71:BG71)&lt;0.0001)</f>
        <v>0</v>
      </c>
      <c r="BI71" s="2064">
        <f ca="1">BI10*(BI61&gt;0)*(SUM($G71:BH71)&lt;0.0001)</f>
        <v>0</v>
      </c>
      <c r="BJ71" s="2064">
        <f ca="1">BJ10*(BJ61&gt;0)*(SUM($G71:BI71)&lt;0.0001)</f>
        <v>0</v>
      </c>
      <c r="BK71" s="2064">
        <f ca="1">BK10*(BK61&gt;0)*(SUM($G71:BJ71)&lt;0.0001)</f>
        <v>0</v>
      </c>
      <c r="BL71" s="2064">
        <f ca="1">BL10*(BL61&gt;0)*(SUM($G71:BK71)&lt;0.0001)</f>
        <v>0</v>
      </c>
      <c r="BM71" s="2064">
        <f ca="1">BM10*(BM61&gt;0)*(SUM($G71:BL71)&lt;0.0001)</f>
        <v>0</v>
      </c>
      <c r="BN71" s="2064">
        <f ca="1">BN10*(BN61&gt;0)*(SUM($G71:BM71)&lt;0.0001)</f>
        <v>0</v>
      </c>
      <c r="BO71" s="2064">
        <f ca="1">BO10*(BO61&gt;0)*(SUM($G71:BN71)&lt;0.0001)</f>
        <v>49034</v>
      </c>
      <c r="BP71" s="2064">
        <f ca="1">BP10*(BP61&gt;0)*(SUM($G71:BO71)&lt;0.0001)</f>
        <v>0</v>
      </c>
      <c r="BQ71" s="2064">
        <f ca="1">BQ10*(BQ61&gt;0)*(SUM($G71:BP71)&lt;0.0001)</f>
        <v>0</v>
      </c>
      <c r="BR71" s="2064">
        <f ca="1">BR10*(BR61&gt;0)*(SUM($G71:BQ71)&lt;0.0001)</f>
        <v>0</v>
      </c>
      <c r="BS71" s="2064">
        <f ca="1">BS10*(BS61&gt;0)*(SUM($G71:BR71)&lt;0.0001)</f>
        <v>0</v>
      </c>
      <c r="BT71" s="2064">
        <f ca="1">BT10*(BT61&gt;0)*(SUM($G71:BS71)&lt;0.0001)</f>
        <v>0</v>
      </c>
      <c r="BU71" s="2064">
        <f ca="1">BU10*(BU61&gt;0)*(SUM($G71:BT71)&lt;0.0001)</f>
        <v>0</v>
      </c>
      <c r="BV71" s="2064">
        <f ca="1">BV10*(BV61&gt;0)*(SUM($G71:BU71)&lt;0.0001)</f>
        <v>0</v>
      </c>
      <c r="BW71" s="2064">
        <f ca="1">BW10*(BW61&gt;0)*(SUM($G71:BV71)&lt;0.0001)</f>
        <v>0</v>
      </c>
      <c r="BX71" s="2064">
        <f ca="1">BX10*(BX61&gt;0)*(SUM($G71:BW71)&lt;0.0001)</f>
        <v>0</v>
      </c>
      <c r="BY71" s="2064">
        <f ca="1">BY10*(BY61&gt;0)*(SUM($G71:BX71)&lt;0.0001)</f>
        <v>0</v>
      </c>
      <c r="BZ71" s="2064">
        <f ca="1">BZ10*(BZ61&gt;0)*(SUM($G71:BY71)&lt;0.0001)</f>
        <v>0</v>
      </c>
      <c r="CA71" s="2064">
        <f ca="1">CA10*(CA61&gt;0)*(SUM($G71:BZ71)&lt;0.0001)</f>
        <v>0</v>
      </c>
      <c r="CB71" s="2064">
        <f ca="1">CB10*(CB61&gt;0)*(SUM($G71:CA71)&lt;0.0001)</f>
        <v>0</v>
      </c>
      <c r="CC71" s="2064">
        <f ca="1">CC10*(CC61&gt;0)*(SUM($G71:CB71)&lt;0.0001)</f>
        <v>0</v>
      </c>
      <c r="CD71" s="2064">
        <f ca="1">CD10*(CD61&gt;0)*(SUM($G71:CC71)&lt;0.0001)</f>
        <v>0</v>
      </c>
      <c r="CE71" s="2064">
        <f ca="1">CE10*(CE61&gt;0)*(SUM($G71:CD71)&lt;0.0001)</f>
        <v>0</v>
      </c>
      <c r="CF71" s="2064">
        <f ca="1">CF10*(CF61&gt;0)*(SUM($G71:CE71)&lt;0.0001)</f>
        <v>0</v>
      </c>
      <c r="CG71" s="2064">
        <f ca="1">CG10*(CG61&gt;0)*(SUM($G71:CF71)&lt;0.0001)</f>
        <v>0</v>
      </c>
      <c r="CH71" s="2064">
        <f ca="1">CH10*(CH61&gt;0)*(SUM($G71:CG71)&lt;0.0001)</f>
        <v>0</v>
      </c>
      <c r="CI71" s="2064">
        <f ca="1">CI10*(CI61&gt;0)*(SUM($G71:CH71)&lt;0.0001)</f>
        <v>0</v>
      </c>
      <c r="CJ71" s="2064">
        <f ca="1">CJ10*(CJ61&gt;0)*(SUM($G71:CI71)&lt;0.0001)</f>
        <v>0</v>
      </c>
      <c r="CK71" s="2064">
        <f ca="1">CK10*(CK61&gt;0)*(SUM($G71:CJ71)&lt;0.0001)</f>
        <v>0</v>
      </c>
      <c r="CL71" s="2064">
        <f ca="1">CL10*(CL61&gt;0)*(SUM($G71:CK71)&lt;0.0001)</f>
        <v>0</v>
      </c>
      <c r="CM71" s="2064">
        <f ca="1">CM10*(CM61&gt;0)*(SUM($G71:CL71)&lt;0.0001)</f>
        <v>0</v>
      </c>
      <c r="CN71" s="2064">
        <f ca="1">CN10*(CN61&gt;0)*(SUM($G71:CM71)&lt;0.0001)</f>
        <v>0</v>
      </c>
      <c r="CO71" s="2064">
        <f ca="1">CO10*(CO61&gt;0)*(SUM($G71:CN71)&lt;0.0001)</f>
        <v>0</v>
      </c>
      <c r="CP71" s="2064">
        <f ca="1">CP10*(CP61&gt;0)*(SUM($G71:CO71)&lt;0.0001)</f>
        <v>0</v>
      </c>
      <c r="CQ71" s="2064">
        <f ca="1">CQ10*(CQ61&gt;0)*(SUM($G71:CP71)&lt;0.0001)</f>
        <v>0</v>
      </c>
      <c r="CR71" s="2064">
        <f ca="1">CR10*(CR61&gt;0)*(SUM($G71:CQ71)&lt;0.0001)</f>
        <v>0</v>
      </c>
      <c r="CS71" s="2064">
        <f ca="1">CS10*(CS61&gt;0)*(SUM($G71:CR71)&lt;0.0001)</f>
        <v>0</v>
      </c>
      <c r="CT71" s="2064">
        <f ca="1">CT10*(CT61&gt;0)*(SUM($G71:CS71)&lt;0.0001)</f>
        <v>0</v>
      </c>
      <c r="CU71" s="2064">
        <f ca="1">CU10*(CU61&gt;0)*(SUM($G71:CT71)&lt;0.0001)</f>
        <v>0</v>
      </c>
      <c r="CV71" s="2064">
        <f ca="1">CV10*(CV61&gt;0)*(SUM($G71:CU71)&lt;0.0001)</f>
        <v>0</v>
      </c>
      <c r="CW71" s="2064">
        <f ca="1">CW10*(CW61&gt;0)*(SUM($G71:CV71)&lt;0.0001)</f>
        <v>0</v>
      </c>
      <c r="CX71" s="2064">
        <f ca="1">CX10*(CX61&gt;0)*(SUM($G71:CW71)&lt;0.0001)</f>
        <v>0</v>
      </c>
      <c r="CY71" s="2064">
        <f ca="1">CY10*(CY61&gt;0)*(SUM($G71:CX71)&lt;0.0001)</f>
        <v>0</v>
      </c>
      <c r="CZ71" s="2064">
        <f ca="1">CZ10*(CZ61&gt;0)*(SUM($G71:CY71)&lt;0.0001)</f>
        <v>0</v>
      </c>
      <c r="DA71" s="2064">
        <f ca="1">DA10*(DA61&gt;0)*(SUM($G71:CZ71)&lt;0.0001)</f>
        <v>0</v>
      </c>
      <c r="DB71" s="2064">
        <f ca="1">DB10*(DB61&gt;0)*(SUM($G71:DA71)&lt;0.0001)</f>
        <v>0</v>
      </c>
      <c r="DC71" s="2064">
        <f ca="1">DC10*(DC61&gt;0)*(SUM($G71:DB71)&lt;0.0001)</f>
        <v>0</v>
      </c>
      <c r="DD71" s="2064">
        <f ca="1">DD10*(DD61&gt;0)*(SUM($G71:DC71)&lt;0.0001)</f>
        <v>0</v>
      </c>
      <c r="DE71" s="2064">
        <f ca="1">DE10*(DE61&gt;0)*(SUM($G71:DD71)&lt;0.0001)</f>
        <v>0</v>
      </c>
      <c r="DF71" s="2064">
        <f ca="1">DF10*(DF61&gt;0)*(SUM($G71:DE71)&lt;0.0001)</f>
        <v>0</v>
      </c>
      <c r="DG71" s="2064">
        <f ca="1">DG10*(DG61&gt;0)*(SUM($G71:DF71)&lt;0.0001)</f>
        <v>0</v>
      </c>
      <c r="DH71" s="2064">
        <f ca="1">DH10*(DH61&gt;0)*(SUM($G71:DG71)&lt;0.0001)</f>
        <v>0</v>
      </c>
      <c r="DI71" s="2064">
        <f ca="1">DI10*(DI61&gt;0)*(SUM($G71:DH71)&lt;0.0001)</f>
        <v>0</v>
      </c>
      <c r="DJ71" s="2064">
        <f ca="1">DJ10*(DJ61&gt;0)*(SUM($G71:DI71)&lt;0.0001)</f>
        <v>0</v>
      </c>
      <c r="DK71" s="2064">
        <f ca="1">DK10*(DK61&gt;0)*(SUM($G71:DJ71)&lt;0.0001)</f>
        <v>0</v>
      </c>
      <c r="DL71" s="2064">
        <f ca="1">DL10*(DL61&gt;0)*(SUM($G71:DK71)&lt;0.0001)</f>
        <v>0</v>
      </c>
      <c r="DM71" s="2064">
        <f ca="1">DM10*(DM61&gt;0)*(SUM($G71:DL71)&lt;0.0001)</f>
        <v>0</v>
      </c>
      <c r="DN71" s="2064">
        <f ca="1">DN10*(DN61&gt;0)*(SUM($G71:DM71)&lt;0.0001)</f>
        <v>0</v>
      </c>
      <c r="DO71" s="2064">
        <f ca="1">DO10*(DO61&gt;0)*(SUM($G71:DN71)&lt;0.0001)</f>
        <v>0</v>
      </c>
      <c r="DP71" s="2064">
        <f ca="1">DP10*(DP61&gt;0)*(SUM($G71:DO71)&lt;0.0001)</f>
        <v>0</v>
      </c>
      <c r="DQ71" s="2064">
        <f ca="1">DQ10*(DQ61&gt;0)*(SUM($G71:DP71)&lt;0.0001)</f>
        <v>0</v>
      </c>
      <c r="DR71" s="2064">
        <f ca="1">DR10*(DR61&gt;0)*(SUM($G71:DQ71)&lt;0.0001)</f>
        <v>0</v>
      </c>
      <c r="DS71" s="2064">
        <f ca="1">DS10*(DS61&gt;0)*(SUM($G71:DR71)&lt;0.0001)</f>
        <v>0</v>
      </c>
      <c r="DT71" s="2064">
        <f ca="1">DT10*(DT61&gt;0)*(SUM($G71:DS71)&lt;0.0001)</f>
        <v>0</v>
      </c>
      <c r="DU71" s="2064">
        <f ca="1">DU10*(DU61&gt;0)*(SUM($G71:DT71)&lt;0.0001)</f>
        <v>0</v>
      </c>
      <c r="DV71" s="2064">
        <f ca="1">DV10*(DV61&gt;0)*(SUM($G71:DU71)&lt;0.0001)</f>
        <v>0</v>
      </c>
      <c r="DW71" s="2064">
        <f ca="1">DW10*(DW61&gt;0)*(SUM($G71:DV71)&lt;0.0001)</f>
        <v>0</v>
      </c>
      <c r="DX71" s="2064">
        <f ca="1">DX10*(DX61&gt;0)*(SUM($G71:DW71)&lt;0.0001)</f>
        <v>0</v>
      </c>
      <c r="DY71" s="2064">
        <f ca="1">DY10*(DY61&gt;0)*(SUM($G71:DX71)&lt;0.0001)</f>
        <v>0</v>
      </c>
      <c r="DZ71" s="2064">
        <f ca="1">DZ10*(DZ61&gt;0)*(SUM($G71:DY71)&lt;0.0001)</f>
        <v>0</v>
      </c>
      <c r="EA71" s="2064">
        <f ca="1">EA10*(EA61&gt;0)*(SUM($G71:DZ71)&lt;0.0001)</f>
        <v>0</v>
      </c>
      <c r="EB71" s="2064">
        <f ca="1">EB10*(EB61&gt;0)*(SUM($G71:EA71)&lt;0.0001)</f>
        <v>0</v>
      </c>
      <c r="EC71" s="2064">
        <f ca="1">EC10*(EC61&gt;0)*(SUM($G71:EB71)&lt;0.0001)</f>
        <v>0</v>
      </c>
      <c r="ED71" s="2064">
        <f ca="1">ED10*(ED61&gt;0)*(SUM($G71:EC71)&lt;0.0001)</f>
        <v>0</v>
      </c>
      <c r="EE71" s="2064">
        <f ca="1">EE10*(EE61&gt;0)*(SUM($G71:ED71)&lt;0.0001)</f>
        <v>0</v>
      </c>
      <c r="EF71" s="2064">
        <f ca="1">EF10*(EF61&gt;0)*(SUM($G71:EE71)&lt;0.0001)</f>
        <v>0</v>
      </c>
      <c r="EG71" s="2064">
        <f ca="1">EG10*(EG61&gt;0)*(SUM($G71:EF71)&lt;0.0001)</f>
        <v>0</v>
      </c>
      <c r="EH71" s="2064">
        <f ca="1">EH10*(EH61&gt;0)*(SUM($G71:EG71)&lt;0.0001)</f>
        <v>0</v>
      </c>
      <c r="EI71" s="2064">
        <f ca="1">EI10*(EI61&gt;0)*(SUM($G71:EH71)&lt;0.0001)</f>
        <v>0</v>
      </c>
      <c r="EJ71" s="2064">
        <f ca="1">EJ10*(EJ61&gt;0)*(SUM($G71:EI71)&lt;0.0001)</f>
        <v>0</v>
      </c>
      <c r="EK71" s="2064">
        <f ca="1">EK10*(EK61&gt;0)*(SUM($G71:EJ71)&lt;0.0001)</f>
        <v>0</v>
      </c>
      <c r="EL71" s="2064">
        <f ca="1">EL10*(EL61&gt;0)*(SUM($G71:EK71)&lt;0.0001)</f>
        <v>0</v>
      </c>
      <c r="EM71" s="2064">
        <f ca="1">EM10*(EM61&gt;0)*(SUM($G71:EL71)&lt;0.0001)</f>
        <v>0</v>
      </c>
      <c r="EN71" s="2064">
        <f ca="1">EN10*(EN61&gt;0)*(SUM($G71:EM71)&lt;0.0001)</f>
        <v>0</v>
      </c>
      <c r="EO71" s="2064">
        <f ca="1">EO10*(EO61&gt;0)*(SUM($G71:EN71)&lt;0.0001)</f>
        <v>0</v>
      </c>
      <c r="EP71" s="2064">
        <f ca="1">EP10*(EP61&gt;0)*(SUM($G71:EO71)&lt;0.0001)</f>
        <v>0</v>
      </c>
      <c r="EQ71" s="2064">
        <f ca="1">EQ10*(EQ61&gt;0)*(SUM($G71:EP71)&lt;0.0001)</f>
        <v>0</v>
      </c>
      <c r="ER71" s="2064">
        <f ca="1">ER10*(ER61&gt;0)*(SUM($G71:EQ71)&lt;0.0001)</f>
        <v>0</v>
      </c>
      <c r="ES71" s="2064">
        <f ca="1">ES10*(ES61&gt;0)*(SUM($G71:ER71)&lt;0.0001)</f>
        <v>0</v>
      </c>
      <c r="ET71" s="2064">
        <f ca="1">ET10*(ET61&gt;0)*(SUM($G71:ES71)&lt;0.0001)</f>
        <v>0</v>
      </c>
      <c r="EU71" s="2064">
        <f ca="1">EU10*(EU61&gt;0)*(SUM($G71:ET71)&lt;0.0001)</f>
        <v>0</v>
      </c>
      <c r="EV71" s="2064">
        <f ca="1">EV10*(EV61&gt;0)*(SUM($G71:EU71)&lt;0.0001)</f>
        <v>0</v>
      </c>
      <c r="EW71" s="2064">
        <f ca="1">EW10*(EW61&gt;0)*(SUM($G71:EV71)&lt;0.0001)</f>
        <v>0</v>
      </c>
      <c r="EX71" s="2064">
        <f ca="1">EX10*(EX61&gt;0)*(SUM($G71:EW71)&lt;0.0001)</f>
        <v>0</v>
      </c>
      <c r="EY71" s="2064">
        <f ca="1">EY10*(EY61&gt;0)*(SUM($G71:EX71)&lt;0.0001)</f>
        <v>0</v>
      </c>
      <c r="EZ71" s="2064">
        <f ca="1">EZ10*(EZ61&gt;0)*(SUM($G71:EY71)&lt;0.0001)</f>
        <v>0</v>
      </c>
      <c r="FA71" s="2064">
        <f ca="1">FA10*(FA61&gt;0)*(SUM($G71:EZ71)&lt;0.0001)</f>
        <v>0</v>
      </c>
      <c r="FB71" s="2064">
        <f ca="1">FB10*(FB61&gt;0)*(SUM($G71:FA71)&lt;0.0001)</f>
        <v>0</v>
      </c>
      <c r="FC71" s="2064">
        <f ca="1">FC10*(FC61&gt;0)*(SUM($G71:FB71)&lt;0.0001)</f>
        <v>0</v>
      </c>
      <c r="FD71" s="2064">
        <f ca="1">FD10*(FD61&gt;0)*(SUM($G71:FC71)&lt;0.0001)</f>
        <v>0</v>
      </c>
      <c r="FE71" s="2064">
        <f ca="1">FE10*(FE61&gt;0)*(SUM($G71:FD71)&lt;0.0001)</f>
        <v>0</v>
      </c>
      <c r="FF71" s="2064">
        <f ca="1">FF10*(FF61&gt;0)*(SUM($G71:FE71)&lt;0.0001)</f>
        <v>0</v>
      </c>
      <c r="FG71" s="2064">
        <f ca="1">FG10*(FG61&gt;0)*(SUM($G71:FF71)&lt;0.0001)</f>
        <v>0</v>
      </c>
      <c r="FH71" s="2064">
        <f ca="1">FH10*(FH61&gt;0)*(SUM($G71:FG71)&lt;0.0001)</f>
        <v>0</v>
      </c>
      <c r="FI71" s="2064">
        <f ca="1">FI10*(FI61&gt;0)*(SUM($G71:FH71)&lt;0.0001)</f>
        <v>0</v>
      </c>
      <c r="FJ71" s="2064">
        <f ca="1">FJ10*(FJ61&gt;0)*(SUM($G71:FI71)&lt;0.0001)</f>
        <v>0</v>
      </c>
      <c r="FK71" s="2064">
        <f ca="1">FK10*(FK61&gt;0)*(SUM($G71:FJ71)&lt;0.0001)</f>
        <v>0</v>
      </c>
      <c r="FL71" s="2064">
        <f ca="1">FL10*(FL61&gt;0)*(SUM($G71:FK71)&lt;0.0001)</f>
        <v>0</v>
      </c>
      <c r="FM71" s="2064">
        <f ca="1">FM10*(FM61&gt;0)*(SUM($G71:FL71)&lt;0.0001)</f>
        <v>0</v>
      </c>
      <c r="FN71" s="2064">
        <f ca="1">FN10*(FN61&gt;0)*(SUM($G71:FM71)&lt;0.0001)</f>
        <v>0</v>
      </c>
      <c r="FO71" s="2064">
        <f ca="1">FO10*(FO61&gt;0)*(SUM($G71:FN71)&lt;0.0001)</f>
        <v>0</v>
      </c>
      <c r="FP71" s="2064">
        <f ca="1">FP10*(FP61&gt;0)*(SUM($G71:FO71)&lt;0.0001)</f>
        <v>0</v>
      </c>
      <c r="FQ71" s="2064">
        <f ca="1">FQ10*(FQ61&gt;0)*(SUM($G71:FP71)&lt;0.0001)</f>
        <v>0</v>
      </c>
      <c r="FR71" s="2064">
        <f ca="1">FR10*(FR61&gt;0)*(SUM($G71:FQ71)&lt;0.0001)</f>
        <v>0</v>
      </c>
      <c r="FS71" s="2064">
        <f ca="1">FS10*(FS61&gt;0)*(SUM($G71:FR71)&lt;0.0001)</f>
        <v>0</v>
      </c>
      <c r="FT71" s="2064">
        <f ca="1">FT10*(FT61&gt;0)*(SUM($G71:FS71)&lt;0.0001)</f>
        <v>0</v>
      </c>
      <c r="FU71" s="2064">
        <f ca="1">FU10*(FU61&gt;0)*(SUM($G71:FT71)&lt;0.0001)</f>
        <v>0</v>
      </c>
      <c r="FV71" s="2064">
        <f ca="1">FV10*(FV61&gt;0)*(SUM($G71:FU71)&lt;0.0001)</f>
        <v>0</v>
      </c>
      <c r="FW71" s="2064">
        <f ca="1">FW10*(FW61&gt;0)*(SUM($G71:FV71)&lt;0.0001)</f>
        <v>0</v>
      </c>
      <c r="FX71" s="2064">
        <f ca="1">FX10*(FX61&gt;0)*(SUM($G71:FW71)&lt;0.0001)</f>
        <v>0</v>
      </c>
      <c r="FY71" s="2064">
        <f ca="1">FY10*(FY61&gt;0)*(SUM($G71:FX71)&lt;0.0001)</f>
        <v>0</v>
      </c>
      <c r="FZ71" s="2064">
        <f ca="1">FZ10*(FZ61&gt;0)*(SUM($G71:FY71)&lt;0.0001)</f>
        <v>0</v>
      </c>
      <c r="GA71" s="2064">
        <f ca="1">GA10*(GA61&gt;0)*(SUM($G71:FZ71)&lt;0.0001)</f>
        <v>0</v>
      </c>
      <c r="GB71" s="2064">
        <f ca="1">GB10*(GB61&gt;0)*(SUM($G71:GA71)&lt;0.0001)</f>
        <v>0</v>
      </c>
      <c r="GC71" s="2064">
        <f ca="1">GC10*(GC61&gt;0)*(SUM($G71:GB71)&lt;0.0001)</f>
        <v>0</v>
      </c>
      <c r="GD71" s="2064">
        <f ca="1">GD10*(GD61&gt;0)*(SUM($G71:GC71)&lt;0.0001)</f>
        <v>0</v>
      </c>
    </row>
    <row r="72" spans="2:186" ht="15" customHeight="1">
      <c r="B72" s="2064"/>
      <c r="C72" s="2064"/>
      <c r="D72" s="2064"/>
      <c r="E72" s="469" t="s">
        <v>3776</v>
      </c>
      <c r="F72" s="2166">
        <f t="shared" ca="1" si="81"/>
        <v>53052</v>
      </c>
      <c r="G72" s="2064"/>
      <c r="H72" s="2064"/>
      <c r="I72" s="2064"/>
      <c r="J72" s="2064"/>
      <c r="K72" s="2064"/>
      <c r="L72" s="2064"/>
      <c r="M72" s="2064"/>
      <c r="N72" s="2064"/>
      <c r="O72" s="2064"/>
      <c r="P72" s="2064"/>
      <c r="Q72" s="2064"/>
      <c r="R72" s="2064">
        <f ca="1">R10*(R62&lt;0.0001)*(SUM($G72:Q72)&lt;0.0001)</f>
        <v>0</v>
      </c>
      <c r="S72" s="2064">
        <f ca="1">S10*(S62&lt;0.0001)*(SUM($G72:R72)&lt;0.0001)</f>
        <v>0</v>
      </c>
      <c r="T72" s="2064">
        <f ca="1">T10*(T62&lt;0.0001)*(SUM($G72:S72)&lt;0.0001)</f>
        <v>0</v>
      </c>
      <c r="U72" s="2064">
        <f ca="1">U10*(U62&lt;0.0001)*(SUM($G72:T72)&lt;0.0001)</f>
        <v>0</v>
      </c>
      <c r="V72" s="2064">
        <f ca="1">V10*(V62&lt;0.0001)*(SUM($G72:U72)&lt;0.0001)</f>
        <v>0</v>
      </c>
      <c r="W72" s="2064">
        <f ca="1">W10*(W62&lt;0.0001)*(SUM($G72:V72)&lt;0.0001)</f>
        <v>0</v>
      </c>
      <c r="X72" s="2064">
        <f ca="1">X10*(X62&lt;0.0001)*(SUM($G72:W72)&lt;0.0001)</f>
        <v>0</v>
      </c>
      <c r="Y72" s="2064">
        <f ca="1">Y10*(Y62&lt;0.0001)*(SUM($G72:X72)&lt;0.0001)</f>
        <v>0</v>
      </c>
      <c r="Z72" s="2064">
        <f ca="1">Z10*(Z62&lt;0.0001)*(SUM($G72:Y72)&lt;0.0001)</f>
        <v>0</v>
      </c>
      <c r="AA72" s="2064">
        <f ca="1">AA10*(AA62&lt;0.0001)*(SUM($G72:Z72)&lt;0.0001)</f>
        <v>0</v>
      </c>
      <c r="AB72" s="2064">
        <f ca="1">AB10*(AB62&lt;0.0001)*(SUM($G72:AA72)&lt;0.0001)</f>
        <v>0</v>
      </c>
      <c r="AC72" s="2064">
        <f ca="1">AC10*(AC62&lt;0.0001)*(SUM($G72:AB72)&lt;0.0001)</f>
        <v>0</v>
      </c>
      <c r="AD72" s="2064">
        <f ca="1">AD10*(AD62&lt;0.0001)*(SUM($G72:AC72)&lt;0.0001)</f>
        <v>0</v>
      </c>
      <c r="AE72" s="2064">
        <f ca="1">AE10*(AE62&lt;0.0001)*(SUM($G72:AD72)&lt;0.0001)</f>
        <v>0</v>
      </c>
      <c r="AF72" s="2064">
        <f ca="1">AF10*(AF62&lt;0.0001)*(SUM($G72:AE72)&lt;0.0001)</f>
        <v>0</v>
      </c>
      <c r="AG72" s="2064">
        <f ca="1">AG10*(AG62&lt;0.0001)*(SUM($G72:AF72)&lt;0.0001)</f>
        <v>0</v>
      </c>
      <c r="AH72" s="2064">
        <f ca="1">AH10*(AH62&lt;0.0001)*(SUM($G72:AG72)&lt;0.0001)</f>
        <v>0</v>
      </c>
      <c r="AI72" s="2064">
        <f ca="1">AI10*(AI62&lt;0.0001)*(SUM($G72:AH72)&lt;0.0001)</f>
        <v>0</v>
      </c>
      <c r="AJ72" s="2064">
        <f ca="1">AJ10*(AJ62&lt;0.0001)*(SUM($G72:AI72)&lt;0.0001)</f>
        <v>0</v>
      </c>
      <c r="AK72" s="2064">
        <f ca="1">AK10*(AK62&lt;0.0001)*(SUM($G72:AJ72)&lt;0.0001)</f>
        <v>0</v>
      </c>
      <c r="AL72" s="2064">
        <f ca="1">AL10*(AL62&lt;0.0001)*(SUM($G72:AK72)&lt;0.0001)</f>
        <v>0</v>
      </c>
      <c r="AM72" s="2064">
        <f ca="1">AM10*(AM62&lt;0.0001)*(SUM($G72:AL72)&lt;0.0001)</f>
        <v>0</v>
      </c>
      <c r="AN72" s="2064">
        <f ca="1">AN10*(AN62&lt;0.0001)*(SUM($G72:AM72)&lt;0.0001)</f>
        <v>0</v>
      </c>
      <c r="AO72" s="2064">
        <f ca="1">AO10*(AO62&lt;0.0001)*(SUM($G72:AN72)&lt;0.0001)</f>
        <v>0</v>
      </c>
      <c r="AP72" s="2064">
        <f ca="1">AP10*(AP62&lt;0.0001)*(SUM($G72:AO72)&lt;0.0001)</f>
        <v>0</v>
      </c>
      <c r="AQ72" s="2064">
        <f ca="1">AQ10*(AQ62&lt;0.0001)*(SUM($G72:AP72)&lt;0.0001)</f>
        <v>0</v>
      </c>
      <c r="AR72" s="2064">
        <f ca="1">AR10*(AR62&lt;0.0001)*(SUM($G72:AQ72)&lt;0.0001)</f>
        <v>0</v>
      </c>
      <c r="AS72" s="2064">
        <f ca="1">AS10*(AS62&lt;0.0001)*(SUM($G72:AR72)&lt;0.0001)</f>
        <v>0</v>
      </c>
      <c r="AT72" s="2064">
        <f ca="1">AT10*(AT62&lt;0.0001)*(SUM($G72:AS72)&lt;0.0001)</f>
        <v>0</v>
      </c>
      <c r="AU72" s="2064">
        <f ca="1">AU10*(AU62&lt;0.0001)*(SUM($G72:AT72)&lt;0.0001)</f>
        <v>0</v>
      </c>
      <c r="AV72" s="2064">
        <f ca="1">AV10*(AV62&lt;0.0001)*(SUM($G72:AU72)&lt;0.0001)</f>
        <v>0</v>
      </c>
      <c r="AW72" s="2064">
        <f ca="1">AW10*(AW62&lt;0.0001)*(SUM($G72:AV72)&lt;0.0001)</f>
        <v>0</v>
      </c>
      <c r="AX72" s="2064">
        <f ca="1">AX10*(AX62&lt;0.0001)*(SUM($G72:AW72)&lt;0.0001)</f>
        <v>0</v>
      </c>
      <c r="AY72" s="2064">
        <f ca="1">AY10*(AY62&lt;0.0001)*(SUM($G72:AX72)&lt;0.0001)</f>
        <v>0</v>
      </c>
      <c r="AZ72" s="2064">
        <f ca="1">AZ10*(AZ62&lt;0.0001)*(SUM($G72:AY72)&lt;0.0001)</f>
        <v>0</v>
      </c>
      <c r="BA72" s="2064">
        <f ca="1">BA10*(BA62&lt;0.0001)*(SUM($G72:AZ72)&lt;0.0001)</f>
        <v>0</v>
      </c>
      <c r="BB72" s="2064">
        <f ca="1">BB10*(BB62&lt;0.0001)*(SUM($G72:BA72)&lt;0.0001)</f>
        <v>0</v>
      </c>
      <c r="BC72" s="2064">
        <f ca="1">BC10*(BC62&lt;0.0001)*(SUM($G72:BB72)&lt;0.0001)</f>
        <v>0</v>
      </c>
      <c r="BD72" s="2064">
        <f ca="1">BD10*(BD62&lt;0.0001)*(SUM($G72:BC72)&lt;0.0001)</f>
        <v>0</v>
      </c>
      <c r="BE72" s="2064">
        <f ca="1">BE10*(BE62&lt;0.0001)*(SUM($G72:BD72)&lt;0.0001)</f>
        <v>0</v>
      </c>
      <c r="BF72" s="2064">
        <f ca="1">BF10*(BF62&lt;0.0001)*(SUM($G72:BE72)&lt;0.0001)</f>
        <v>0</v>
      </c>
      <c r="BG72" s="2064">
        <f ca="1">BG10*(BG62&lt;0.0001)*(SUM($G72:BF72)&lt;0.0001)</f>
        <v>0</v>
      </c>
      <c r="BH72" s="2064">
        <f ca="1">BH10*(BH62&lt;0.0001)*(SUM($G72:BG72)&lt;0.0001)</f>
        <v>0</v>
      </c>
      <c r="BI72" s="2064">
        <f ca="1">BI10*(BI62&lt;0.0001)*(SUM($G72:BH72)&lt;0.0001)</f>
        <v>0</v>
      </c>
      <c r="BJ72" s="2064">
        <f ca="1">BJ10*(BJ62&lt;0.0001)*(SUM($G72:BI72)&lt;0.0001)</f>
        <v>0</v>
      </c>
      <c r="BK72" s="2064">
        <f ca="1">BK10*(BK62&lt;0.0001)*(SUM($G72:BJ72)&lt;0.0001)</f>
        <v>0</v>
      </c>
      <c r="BL72" s="2064">
        <f ca="1">BL10*(BL62&lt;0.0001)*(SUM($G72:BK72)&lt;0.0001)</f>
        <v>0</v>
      </c>
      <c r="BM72" s="2064">
        <f ca="1">BM10*(BM62&lt;0.0001)*(SUM($G72:BL72)&lt;0.0001)</f>
        <v>0</v>
      </c>
      <c r="BN72" s="2064">
        <f ca="1">BN10*(BN62&lt;0.0001)*(SUM($G72:BM72)&lt;0.0001)</f>
        <v>0</v>
      </c>
      <c r="BO72" s="2064">
        <f ca="1">BO10*(BO62&lt;0.0001)*(SUM($G72:BN72)&lt;0.0001)</f>
        <v>0</v>
      </c>
      <c r="BP72" s="2064">
        <f ca="1">BP10*(BP62&lt;0.0001)*(SUM($G72:BO72)&lt;0.0001)</f>
        <v>0</v>
      </c>
      <c r="BQ72" s="2064">
        <f ca="1">BQ10*(BQ62&lt;0.0001)*(SUM($G72:BP72)&lt;0.0001)</f>
        <v>0</v>
      </c>
      <c r="BR72" s="2064">
        <f ca="1">BR10*(BR62&lt;0.0001)*(SUM($G72:BQ72)&lt;0.0001)</f>
        <v>0</v>
      </c>
      <c r="BS72" s="2064">
        <f ca="1">BS10*(BS62&lt;0.0001)*(SUM($G72:BR72)&lt;0.0001)</f>
        <v>0</v>
      </c>
      <c r="BT72" s="2064">
        <f ca="1">BT10*(BT62&lt;0.0001)*(SUM($G72:BS72)&lt;0.0001)</f>
        <v>0</v>
      </c>
      <c r="BU72" s="2064">
        <f ca="1">BU10*(BU62&lt;0.0001)*(SUM($G72:BT72)&lt;0.0001)</f>
        <v>0</v>
      </c>
      <c r="BV72" s="2064">
        <f ca="1">BV10*(BV62&lt;0.0001)*(SUM($G72:BU72)&lt;0.0001)</f>
        <v>0</v>
      </c>
      <c r="BW72" s="2064">
        <f ca="1">BW10*(BW62&lt;0.0001)*(SUM($G72:BV72)&lt;0.0001)</f>
        <v>0</v>
      </c>
      <c r="BX72" s="2064">
        <f ca="1">BX10*(BX62&lt;0.0001)*(SUM($G72:BW72)&lt;0.0001)</f>
        <v>0</v>
      </c>
      <c r="BY72" s="2064">
        <f ca="1">BY10*(BY62&lt;0.0001)*(SUM($G72:BX72)&lt;0.0001)</f>
        <v>0</v>
      </c>
      <c r="BZ72" s="2064">
        <f ca="1">BZ10*(BZ62&lt;0.0001)*(SUM($G72:BY72)&lt;0.0001)</f>
        <v>0</v>
      </c>
      <c r="CA72" s="2064">
        <f ca="1">CA10*(CA62&lt;0.0001)*(SUM($G72:BZ72)&lt;0.0001)</f>
        <v>0</v>
      </c>
      <c r="CB72" s="2064">
        <f ca="1">CB10*(CB62&lt;0.0001)*(SUM($G72:CA72)&lt;0.0001)</f>
        <v>0</v>
      </c>
      <c r="CC72" s="2064">
        <f ca="1">CC10*(CC62&lt;0.0001)*(SUM($G72:CB72)&lt;0.0001)</f>
        <v>0</v>
      </c>
      <c r="CD72" s="2064">
        <f ca="1">CD10*(CD62&lt;0.0001)*(SUM($G72:CC72)&lt;0.0001)</f>
        <v>0</v>
      </c>
      <c r="CE72" s="2064">
        <f ca="1">CE10*(CE62&lt;0.0001)*(SUM($G72:CD72)&lt;0.0001)</f>
        <v>0</v>
      </c>
      <c r="CF72" s="2064">
        <f ca="1">CF10*(CF62&lt;0.0001)*(SUM($G72:CE72)&lt;0.0001)</f>
        <v>0</v>
      </c>
      <c r="CG72" s="2064">
        <f ca="1">CG10*(CG62&lt;0.0001)*(SUM($G72:CF72)&lt;0.0001)</f>
        <v>0</v>
      </c>
      <c r="CH72" s="2064">
        <f ca="1">CH10*(CH62&lt;0.0001)*(SUM($G72:CG72)&lt;0.0001)</f>
        <v>0</v>
      </c>
      <c r="CI72" s="2064">
        <f ca="1">CI10*(CI62&lt;0.0001)*(SUM($G72:CH72)&lt;0.0001)</f>
        <v>0</v>
      </c>
      <c r="CJ72" s="2064">
        <f ca="1">CJ10*(CJ62&lt;0.0001)*(SUM($G72:CI72)&lt;0.0001)</f>
        <v>0</v>
      </c>
      <c r="CK72" s="2064">
        <f ca="1">CK10*(CK62&lt;0.0001)*(SUM($G72:CJ72)&lt;0.0001)</f>
        <v>0</v>
      </c>
      <c r="CL72" s="2064">
        <f ca="1">CL10*(CL62&lt;0.0001)*(SUM($G72:CK72)&lt;0.0001)</f>
        <v>0</v>
      </c>
      <c r="CM72" s="2064">
        <f ca="1">CM10*(CM62&lt;0.0001)*(SUM($G72:CL72)&lt;0.0001)</f>
        <v>0</v>
      </c>
      <c r="CN72" s="2064">
        <f ca="1">CN10*(CN62&lt;0.0001)*(SUM($G72:CM72)&lt;0.0001)</f>
        <v>0</v>
      </c>
      <c r="CO72" s="2064">
        <f ca="1">CO10*(CO62&lt;0.0001)*(SUM($G72:CN72)&lt;0.0001)</f>
        <v>0</v>
      </c>
      <c r="CP72" s="2064">
        <f ca="1">CP10*(CP62&lt;0.0001)*(SUM($G72:CO72)&lt;0.0001)</f>
        <v>0</v>
      </c>
      <c r="CQ72" s="2064">
        <f ca="1">CQ10*(CQ62&lt;0.0001)*(SUM($G72:CP72)&lt;0.0001)</f>
        <v>0</v>
      </c>
      <c r="CR72" s="2064">
        <f ca="1">CR10*(CR62&lt;0.0001)*(SUM($G72:CQ72)&lt;0.0001)</f>
        <v>0</v>
      </c>
      <c r="CS72" s="2064">
        <f ca="1">CS10*(CS62&lt;0.0001)*(SUM($G72:CR72)&lt;0.0001)</f>
        <v>0</v>
      </c>
      <c r="CT72" s="2064">
        <f ca="1">CT10*(CT62&lt;0.0001)*(SUM($G72:CS72)&lt;0.0001)</f>
        <v>0</v>
      </c>
      <c r="CU72" s="2064">
        <f ca="1">CU10*(CU62&lt;0.0001)*(SUM($G72:CT72)&lt;0.0001)</f>
        <v>0</v>
      </c>
      <c r="CV72" s="2064">
        <f ca="1">CV10*(CV62&lt;0.0001)*(SUM($G72:CU72)&lt;0.0001)</f>
        <v>0</v>
      </c>
      <c r="CW72" s="2064">
        <f ca="1">CW10*(CW62&lt;0.0001)*(SUM($G72:CV72)&lt;0.0001)</f>
        <v>0</v>
      </c>
      <c r="CX72" s="2064">
        <f ca="1">CX10*(CX62&lt;0.0001)*(SUM($G72:CW72)&lt;0.0001)</f>
        <v>0</v>
      </c>
      <c r="CY72" s="2064">
        <f ca="1">CY10*(CY62&lt;0.0001)*(SUM($G72:CX72)&lt;0.0001)</f>
        <v>0</v>
      </c>
      <c r="CZ72" s="2064">
        <f ca="1">CZ10*(CZ62&lt;0.0001)*(SUM($G72:CY72)&lt;0.0001)</f>
        <v>0</v>
      </c>
      <c r="DA72" s="2064">
        <f ca="1">DA10*(DA62&lt;0.0001)*(SUM($G72:CZ72)&lt;0.0001)</f>
        <v>0</v>
      </c>
      <c r="DB72" s="2064">
        <f ca="1">DB10*(DB62&lt;0.0001)*(SUM($G72:DA72)&lt;0.0001)</f>
        <v>0</v>
      </c>
      <c r="DC72" s="2064">
        <f ca="1">DC10*(DC62&lt;0.0001)*(SUM($G72:DB72)&lt;0.0001)</f>
        <v>0</v>
      </c>
      <c r="DD72" s="2064">
        <f ca="1">DD10*(DD62&lt;0.0001)*(SUM($G72:DC72)&lt;0.0001)</f>
        <v>0</v>
      </c>
      <c r="DE72" s="2064">
        <f ca="1">DE10*(DE62&lt;0.0001)*(SUM($G72:DD72)&lt;0.0001)</f>
        <v>0</v>
      </c>
      <c r="DF72" s="2064">
        <f ca="1">DF10*(DF62&lt;0.0001)*(SUM($G72:DE72)&lt;0.0001)</f>
        <v>0</v>
      </c>
      <c r="DG72" s="2064">
        <f ca="1">DG10*(DG62&lt;0.0001)*(SUM($G72:DF72)&lt;0.0001)</f>
        <v>53052</v>
      </c>
      <c r="DH72" s="2064">
        <f ca="1">DH10*(DH62&lt;0.0001)*(SUM($G72:DG72)&lt;0.0001)</f>
        <v>0</v>
      </c>
      <c r="DI72" s="2064">
        <f ca="1">DI10*(DI62&lt;0.0001)*(SUM($G72:DH72)&lt;0.0001)</f>
        <v>0</v>
      </c>
      <c r="DJ72" s="2064">
        <f ca="1">DJ10*(DJ62&lt;0.0001)*(SUM($G72:DI72)&lt;0.0001)</f>
        <v>0</v>
      </c>
      <c r="DK72" s="2064">
        <f ca="1">DK10*(DK62&lt;0.0001)*(SUM($G72:DJ72)&lt;0.0001)</f>
        <v>0</v>
      </c>
      <c r="DL72" s="2064">
        <f ca="1">DL10*(DL62&lt;0.0001)*(SUM($G72:DK72)&lt;0.0001)</f>
        <v>0</v>
      </c>
      <c r="DM72" s="2064">
        <f ca="1">DM10*(DM62&lt;0.0001)*(SUM($G72:DL72)&lt;0.0001)</f>
        <v>0</v>
      </c>
      <c r="DN72" s="2064">
        <f ca="1">DN10*(DN62&lt;0.0001)*(SUM($G72:DM72)&lt;0.0001)</f>
        <v>0</v>
      </c>
      <c r="DO72" s="2064">
        <f ca="1">DO10*(DO62&lt;0.0001)*(SUM($G72:DN72)&lt;0.0001)</f>
        <v>0</v>
      </c>
      <c r="DP72" s="2064">
        <f ca="1">DP10*(DP62&lt;0.0001)*(SUM($G72:DO72)&lt;0.0001)</f>
        <v>0</v>
      </c>
      <c r="DQ72" s="2064">
        <f ca="1">DQ10*(DQ62&lt;0.0001)*(SUM($G72:DP72)&lt;0.0001)</f>
        <v>0</v>
      </c>
      <c r="DR72" s="2064">
        <f ca="1">DR10*(DR62&lt;0.0001)*(SUM($G72:DQ72)&lt;0.0001)</f>
        <v>0</v>
      </c>
      <c r="DS72" s="2064">
        <f ca="1">DS10*(DS62&lt;0.0001)*(SUM($G72:DR72)&lt;0.0001)</f>
        <v>0</v>
      </c>
      <c r="DT72" s="2064">
        <f ca="1">DT10*(DT62&lt;0.0001)*(SUM($G72:DS72)&lt;0.0001)</f>
        <v>0</v>
      </c>
      <c r="DU72" s="2064">
        <f ca="1">DU10*(DU62&lt;0.0001)*(SUM($G72:DT72)&lt;0.0001)</f>
        <v>0</v>
      </c>
      <c r="DV72" s="2064">
        <f ca="1">DV10*(DV62&lt;0.0001)*(SUM($G72:DU72)&lt;0.0001)</f>
        <v>0</v>
      </c>
      <c r="DW72" s="2064">
        <f ca="1">DW10*(DW62&lt;0.0001)*(SUM($G72:DV72)&lt;0.0001)</f>
        <v>0</v>
      </c>
      <c r="DX72" s="2064">
        <f ca="1">DX10*(DX62&lt;0.0001)*(SUM($G72:DW72)&lt;0.0001)</f>
        <v>0</v>
      </c>
      <c r="DY72" s="2064">
        <f ca="1">DY10*(DY62&lt;0.0001)*(SUM($G72:DX72)&lt;0.0001)</f>
        <v>0</v>
      </c>
      <c r="DZ72" s="2064">
        <f ca="1">DZ10*(DZ62&lt;0.0001)*(SUM($G72:DY72)&lt;0.0001)</f>
        <v>0</v>
      </c>
      <c r="EA72" s="2064">
        <f ca="1">EA10*(EA62&lt;0.0001)*(SUM($G72:DZ72)&lt;0.0001)</f>
        <v>0</v>
      </c>
      <c r="EB72" s="2064">
        <f ca="1">EB10*(EB62&lt;0.0001)*(SUM($G72:EA72)&lt;0.0001)</f>
        <v>0</v>
      </c>
      <c r="EC72" s="2064">
        <f ca="1">EC10*(EC62&lt;0.0001)*(SUM($G72:EB72)&lt;0.0001)</f>
        <v>0</v>
      </c>
      <c r="ED72" s="2064">
        <f ca="1">ED10*(ED62&lt;0.0001)*(SUM($G72:EC72)&lt;0.0001)</f>
        <v>0</v>
      </c>
      <c r="EE72" s="2064">
        <f ca="1">EE10*(EE62&lt;0.0001)*(SUM($G72:ED72)&lt;0.0001)</f>
        <v>0</v>
      </c>
      <c r="EF72" s="2064">
        <f ca="1">EF10*(EF62&lt;0.0001)*(SUM($G72:EE72)&lt;0.0001)</f>
        <v>0</v>
      </c>
      <c r="EG72" s="2064">
        <f ca="1">EG10*(EG62&lt;0.0001)*(SUM($G72:EF72)&lt;0.0001)</f>
        <v>0</v>
      </c>
      <c r="EH72" s="2064">
        <f ca="1">EH10*(EH62&lt;0.0001)*(SUM($G72:EG72)&lt;0.0001)</f>
        <v>0</v>
      </c>
      <c r="EI72" s="2064">
        <f ca="1">EI10*(EI62&lt;0.0001)*(SUM($G72:EH72)&lt;0.0001)</f>
        <v>0</v>
      </c>
      <c r="EJ72" s="2064">
        <f ca="1">EJ10*(EJ62&lt;0.0001)*(SUM($G72:EI72)&lt;0.0001)</f>
        <v>0</v>
      </c>
      <c r="EK72" s="2064">
        <f ca="1">EK10*(EK62&lt;0.0001)*(SUM($G72:EJ72)&lt;0.0001)</f>
        <v>0</v>
      </c>
      <c r="EL72" s="2064">
        <f ca="1">EL10*(EL62&lt;0.0001)*(SUM($G72:EK72)&lt;0.0001)</f>
        <v>0</v>
      </c>
      <c r="EM72" s="2064">
        <f ca="1">EM10*(EM62&lt;0.0001)*(SUM($G72:EL72)&lt;0.0001)</f>
        <v>0</v>
      </c>
      <c r="EN72" s="2064">
        <f ca="1">EN10*(EN62&lt;0.0001)*(SUM($G72:EM72)&lt;0.0001)</f>
        <v>0</v>
      </c>
      <c r="EO72" s="2064">
        <f ca="1">EO10*(EO62&lt;0.0001)*(SUM($G72:EN72)&lt;0.0001)</f>
        <v>0</v>
      </c>
      <c r="EP72" s="2064">
        <f ca="1">EP10*(EP62&lt;0.0001)*(SUM($G72:EO72)&lt;0.0001)</f>
        <v>0</v>
      </c>
      <c r="EQ72" s="2064">
        <f ca="1">EQ10*(EQ62&lt;0.0001)*(SUM($G72:EP72)&lt;0.0001)</f>
        <v>0</v>
      </c>
      <c r="ER72" s="2064">
        <f ca="1">ER10*(ER62&lt;0.0001)*(SUM($G72:EQ72)&lt;0.0001)</f>
        <v>0</v>
      </c>
      <c r="ES72" s="2064">
        <f ca="1">ES10*(ES62&lt;0.0001)*(SUM($G72:ER72)&lt;0.0001)</f>
        <v>0</v>
      </c>
      <c r="ET72" s="2064">
        <f ca="1">ET10*(ET62&lt;0.0001)*(SUM($G72:ES72)&lt;0.0001)</f>
        <v>0</v>
      </c>
      <c r="EU72" s="2064">
        <f ca="1">EU10*(EU62&lt;0.0001)*(SUM($G72:ET72)&lt;0.0001)</f>
        <v>0</v>
      </c>
      <c r="EV72" s="2064">
        <f ca="1">EV10*(EV62&lt;0.0001)*(SUM($G72:EU72)&lt;0.0001)</f>
        <v>0</v>
      </c>
      <c r="EW72" s="2064">
        <f ca="1">EW10*(EW62&lt;0.0001)*(SUM($G72:EV72)&lt;0.0001)</f>
        <v>0</v>
      </c>
      <c r="EX72" s="2064">
        <f ca="1">EX10*(EX62&lt;0.0001)*(SUM($G72:EW72)&lt;0.0001)</f>
        <v>0</v>
      </c>
      <c r="EY72" s="2064">
        <f ca="1">EY10*(EY62&lt;0.0001)*(SUM($G72:EX72)&lt;0.0001)</f>
        <v>0</v>
      </c>
      <c r="EZ72" s="2064">
        <f ca="1">EZ10*(EZ62&lt;0.0001)*(SUM($G72:EY72)&lt;0.0001)</f>
        <v>0</v>
      </c>
      <c r="FA72" s="2064">
        <f ca="1">FA10*(FA62&lt;0.0001)*(SUM($G72:EZ72)&lt;0.0001)</f>
        <v>0</v>
      </c>
      <c r="FB72" s="2064">
        <f ca="1">FB10*(FB62&lt;0.0001)*(SUM($G72:FA72)&lt;0.0001)</f>
        <v>0</v>
      </c>
      <c r="FC72" s="2064">
        <f ca="1">FC10*(FC62&lt;0.0001)*(SUM($G72:FB72)&lt;0.0001)</f>
        <v>0</v>
      </c>
      <c r="FD72" s="2064">
        <f ca="1">FD10*(FD62&lt;0.0001)*(SUM($G72:FC72)&lt;0.0001)</f>
        <v>0</v>
      </c>
      <c r="FE72" s="2064">
        <f ca="1">FE10*(FE62&lt;0.0001)*(SUM($G72:FD72)&lt;0.0001)</f>
        <v>0</v>
      </c>
      <c r="FF72" s="2064">
        <f ca="1">FF10*(FF62&lt;0.0001)*(SUM($G72:FE72)&lt;0.0001)</f>
        <v>0</v>
      </c>
      <c r="FG72" s="2064">
        <f ca="1">FG10*(FG62&lt;0.0001)*(SUM($G72:FF72)&lt;0.0001)</f>
        <v>0</v>
      </c>
      <c r="FH72" s="2064">
        <f ca="1">FH10*(FH62&lt;0.0001)*(SUM($G72:FG72)&lt;0.0001)</f>
        <v>0</v>
      </c>
      <c r="FI72" s="2064">
        <f ca="1">FI10*(FI62&lt;0.0001)*(SUM($G72:FH72)&lt;0.0001)</f>
        <v>0</v>
      </c>
      <c r="FJ72" s="2064">
        <f ca="1">FJ10*(FJ62&lt;0.0001)*(SUM($G72:FI72)&lt;0.0001)</f>
        <v>0</v>
      </c>
      <c r="FK72" s="2064">
        <f ca="1">FK10*(FK62&lt;0.0001)*(SUM($G72:FJ72)&lt;0.0001)</f>
        <v>0</v>
      </c>
      <c r="FL72" s="2064">
        <f ca="1">FL10*(FL62&lt;0.0001)*(SUM($G72:FK72)&lt;0.0001)</f>
        <v>0</v>
      </c>
      <c r="FM72" s="2064">
        <f ca="1">FM10*(FM62&lt;0.0001)*(SUM($G72:FL72)&lt;0.0001)</f>
        <v>0</v>
      </c>
      <c r="FN72" s="2064">
        <f ca="1">FN10*(FN62&lt;0.0001)*(SUM($G72:FM72)&lt;0.0001)</f>
        <v>0</v>
      </c>
      <c r="FO72" s="2064">
        <f ca="1">FO10*(FO62&lt;0.0001)*(SUM($G72:FN72)&lt;0.0001)</f>
        <v>0</v>
      </c>
      <c r="FP72" s="2064">
        <f ca="1">FP10*(FP62&lt;0.0001)*(SUM($G72:FO72)&lt;0.0001)</f>
        <v>0</v>
      </c>
      <c r="FQ72" s="2064">
        <f ca="1">FQ10*(FQ62&lt;0.0001)*(SUM($G72:FP72)&lt;0.0001)</f>
        <v>0</v>
      </c>
      <c r="FR72" s="2064">
        <f ca="1">FR10*(FR62&lt;0.0001)*(SUM($G72:FQ72)&lt;0.0001)</f>
        <v>0</v>
      </c>
      <c r="FS72" s="2064">
        <f ca="1">FS10*(FS62&lt;0.0001)*(SUM($G72:FR72)&lt;0.0001)</f>
        <v>0</v>
      </c>
      <c r="FT72" s="2064">
        <f ca="1">FT10*(FT62&lt;0.0001)*(SUM($G72:FS72)&lt;0.0001)</f>
        <v>0</v>
      </c>
      <c r="FU72" s="2064">
        <f ca="1">FU10*(FU62&lt;0.0001)*(SUM($G72:FT72)&lt;0.0001)</f>
        <v>0</v>
      </c>
      <c r="FV72" s="2064">
        <f ca="1">FV10*(FV62&lt;0.0001)*(SUM($G72:FU72)&lt;0.0001)</f>
        <v>0</v>
      </c>
      <c r="FW72" s="2064">
        <f ca="1">FW10*(FW62&lt;0.0001)*(SUM($G72:FV72)&lt;0.0001)</f>
        <v>0</v>
      </c>
      <c r="FX72" s="2064">
        <f ca="1">FX10*(FX62&lt;0.0001)*(SUM($G72:FW72)&lt;0.0001)</f>
        <v>0</v>
      </c>
      <c r="FY72" s="2064">
        <f ca="1">FY10*(FY62&lt;0.0001)*(SUM($G72:FX72)&lt;0.0001)</f>
        <v>0</v>
      </c>
      <c r="FZ72" s="2064">
        <f ca="1">FZ10*(FZ62&lt;0.0001)*(SUM($G72:FY72)&lt;0.0001)</f>
        <v>0</v>
      </c>
      <c r="GA72" s="2064">
        <f ca="1">GA10*(GA62&lt;0.0001)*(SUM($G72:FZ72)&lt;0.0001)</f>
        <v>0</v>
      </c>
      <c r="GB72" s="2064">
        <f ca="1">GB10*(GB62&lt;0.0001)*(SUM($G72:GA72)&lt;0.0001)</f>
        <v>0</v>
      </c>
      <c r="GC72" s="2064">
        <f ca="1">GC10*(GC62&lt;0.0001)*(SUM($G72:GB72)&lt;0.0001)</f>
        <v>0</v>
      </c>
      <c r="GD72" s="2064">
        <f ca="1">GD10*(GD62&lt;0.0001)*(SUM($G72:GC72)&lt;0.0001)</f>
        <v>0</v>
      </c>
    </row>
    <row r="73" spans="2:186" ht="15" customHeight="1">
      <c r="B73" s="2064"/>
      <c r="C73" s="2064"/>
      <c r="D73" s="2064"/>
      <c r="E73" s="469"/>
      <c r="F73" s="5392"/>
      <c r="G73" s="2064"/>
      <c r="H73" s="2064"/>
      <c r="I73" s="2064"/>
      <c r="J73" s="2064"/>
      <c r="K73" s="2064"/>
      <c r="L73" s="2064"/>
      <c r="M73" s="2064"/>
      <c r="N73" s="2064"/>
      <c r="O73" s="2064"/>
      <c r="P73" s="2064"/>
      <c r="Q73" s="2064"/>
      <c r="R73" s="2064"/>
      <c r="S73" s="2064"/>
      <c r="T73" s="2064"/>
      <c r="U73" s="2064"/>
      <c r="V73" s="2064"/>
      <c r="W73" s="2064"/>
      <c r="X73" s="2064"/>
      <c r="Y73" s="2064"/>
      <c r="Z73" s="2064"/>
      <c r="AA73" s="2064"/>
      <c r="AB73" s="2064"/>
      <c r="AC73" s="2064"/>
      <c r="AD73" s="2064"/>
      <c r="AE73" s="2064"/>
      <c r="AF73" s="2064"/>
      <c r="AG73" s="2064"/>
      <c r="AH73" s="2064"/>
      <c r="AI73" s="2064"/>
      <c r="AJ73" s="2064"/>
      <c r="AK73" s="2064"/>
      <c r="AL73" s="2064"/>
      <c r="AM73" s="2064"/>
      <c r="AN73" s="2064"/>
      <c r="AO73" s="2064"/>
      <c r="AP73" s="2064"/>
      <c r="AQ73" s="2064"/>
      <c r="AR73" s="2064"/>
      <c r="AS73" s="2064"/>
      <c r="AT73" s="2064"/>
      <c r="AU73" s="2064"/>
      <c r="AV73" s="2064"/>
      <c r="AW73" s="2064"/>
      <c r="AX73" s="2064"/>
      <c r="AY73" s="2064"/>
      <c r="AZ73" s="2064"/>
      <c r="BA73" s="2064"/>
      <c r="BB73" s="2064"/>
      <c r="BC73" s="2064"/>
      <c r="BD73" s="2064"/>
      <c r="BE73" s="2064"/>
      <c r="BF73" s="2064"/>
      <c r="BG73" s="2064"/>
      <c r="BH73" s="2064"/>
      <c r="BI73" s="2064"/>
      <c r="BJ73" s="2064"/>
      <c r="BK73" s="2064"/>
      <c r="BL73" s="2064"/>
      <c r="BM73" s="2064"/>
      <c r="BN73" s="2064"/>
      <c r="BO73" s="2064"/>
      <c r="BP73" s="2064"/>
      <c r="BQ73" s="2064"/>
      <c r="BR73" s="2064"/>
      <c r="BS73" s="2064"/>
      <c r="BT73" s="2064"/>
      <c r="BU73" s="2064"/>
      <c r="BV73" s="2064"/>
      <c r="BW73" s="2064"/>
      <c r="BX73" s="2064"/>
      <c r="BY73" s="2064"/>
      <c r="BZ73" s="2064"/>
      <c r="CA73" s="2064"/>
      <c r="CB73" s="2064"/>
      <c r="CC73" s="2064"/>
      <c r="CD73" s="2064"/>
      <c r="CE73" s="2064"/>
      <c r="CF73" s="2064"/>
      <c r="CG73" s="2064"/>
      <c r="CH73" s="2064"/>
      <c r="CI73" s="2064"/>
      <c r="CJ73" s="2064"/>
      <c r="CK73" s="2064"/>
      <c r="CL73" s="2064"/>
      <c r="CM73" s="2064"/>
      <c r="CN73" s="2064"/>
      <c r="CO73" s="2064"/>
      <c r="CP73" s="2064"/>
      <c r="CQ73" s="2064"/>
      <c r="CR73" s="2064"/>
      <c r="CS73" s="2064"/>
      <c r="CT73" s="2064"/>
      <c r="CU73" s="2064"/>
      <c r="CV73" s="2064"/>
      <c r="CW73" s="2064"/>
      <c r="CX73" s="2064"/>
      <c r="CY73" s="2064"/>
      <c r="CZ73" s="2064"/>
      <c r="DA73" s="2064"/>
      <c r="DB73" s="2064"/>
      <c r="DC73" s="2064"/>
      <c r="DD73" s="2064"/>
      <c r="DE73" s="2064"/>
      <c r="DF73" s="2064"/>
      <c r="DG73" s="2064"/>
      <c r="DH73" s="2064"/>
      <c r="DI73" s="2064"/>
      <c r="DJ73" s="2064"/>
      <c r="DK73" s="2064"/>
      <c r="DL73" s="2064"/>
      <c r="DM73" s="2064"/>
      <c r="DN73" s="2064"/>
      <c r="DO73" s="2064"/>
      <c r="DP73" s="2064"/>
      <c r="DQ73" s="2064"/>
      <c r="DR73" s="2064"/>
      <c r="DS73" s="2064"/>
      <c r="DT73" s="2064"/>
      <c r="DU73" s="2064"/>
      <c r="DV73" s="2064"/>
      <c r="DW73" s="2064"/>
      <c r="DX73" s="2064"/>
      <c r="DY73" s="2064"/>
      <c r="DZ73" s="2064"/>
      <c r="EA73" s="2064"/>
      <c r="EB73" s="2064"/>
      <c r="EC73" s="2064"/>
      <c r="ED73" s="2064"/>
      <c r="EE73" s="2064"/>
      <c r="EF73" s="2064"/>
      <c r="EG73" s="2064"/>
      <c r="EH73" s="2064"/>
      <c r="EI73" s="2064"/>
      <c r="EJ73" s="2064"/>
      <c r="EK73" s="2064"/>
      <c r="EL73" s="2064"/>
      <c r="EM73" s="2064"/>
      <c r="EN73" s="2064"/>
      <c r="EO73" s="2064"/>
      <c r="EP73" s="2064"/>
      <c r="EQ73" s="2064"/>
      <c r="ER73" s="2064"/>
      <c r="ES73" s="2064"/>
      <c r="ET73" s="2064"/>
      <c r="EU73" s="2064"/>
      <c r="EV73" s="2064"/>
      <c r="EW73" s="2064"/>
      <c r="EX73" s="2064"/>
      <c r="EY73" s="2064"/>
      <c r="EZ73" s="2064"/>
      <c r="FA73" s="2064"/>
      <c r="FB73" s="2064"/>
      <c r="FC73" s="2064"/>
      <c r="FD73" s="2064"/>
      <c r="FE73" s="2064"/>
      <c r="FF73" s="2064"/>
      <c r="FG73" s="2064"/>
      <c r="FH73" s="2064"/>
      <c r="FI73" s="2064"/>
      <c r="FJ73" s="2064"/>
      <c r="FK73" s="2064"/>
      <c r="FL73" s="2064"/>
      <c r="FM73" s="2064"/>
      <c r="FN73" s="2064"/>
      <c r="FO73" s="2064"/>
      <c r="FP73" s="2064"/>
      <c r="FQ73" s="2064"/>
      <c r="FR73" s="2064"/>
      <c r="FS73" s="2064"/>
      <c r="FT73" s="2064"/>
      <c r="FU73" s="2064"/>
      <c r="FV73" s="2064"/>
      <c r="FW73" s="2064"/>
      <c r="FX73" s="2064"/>
      <c r="FY73" s="2064"/>
      <c r="FZ73" s="2064"/>
      <c r="GA73" s="2064"/>
      <c r="GB73" s="2064"/>
      <c r="GC73" s="2064"/>
      <c r="GD73" s="2064"/>
    </row>
    <row r="74" spans="2:186" ht="15" hidden="1" customHeight="1" outlineLevel="1">
      <c r="B74" s="2105"/>
      <c r="C74" s="2065" t="s">
        <v>3759</v>
      </c>
      <c r="D74" s="2065"/>
      <c r="E74" s="2106"/>
      <c r="F74" s="469"/>
      <c r="G74" s="2064"/>
      <c r="H74" s="2064"/>
      <c r="I74" s="2064"/>
      <c r="J74" s="2064"/>
      <c r="K74" s="2064"/>
      <c r="L74" s="2064"/>
      <c r="M74" s="2064"/>
      <c r="N74" s="2064"/>
      <c r="O74" s="2064"/>
      <c r="P74" s="2064"/>
      <c r="Q74" s="2064"/>
      <c r="R74" s="2064"/>
      <c r="S74" s="2064"/>
      <c r="T74" s="2064"/>
      <c r="U74" s="2064"/>
      <c r="V74" s="2064"/>
      <c r="W74" s="2064"/>
      <c r="X74" s="2064"/>
      <c r="Y74" s="2064"/>
      <c r="Z74" s="2064"/>
      <c r="AA74" s="2064"/>
      <c r="AB74" s="2064"/>
      <c r="AC74" s="2064"/>
      <c r="AD74" s="2064"/>
      <c r="AE74" s="2064"/>
      <c r="AF74" s="2064"/>
      <c r="AG74" s="450"/>
      <c r="AH74" s="450"/>
      <c r="AI74" s="450"/>
      <c r="AJ74" s="450"/>
      <c r="AK74" s="450"/>
      <c r="AL74" s="450"/>
      <c r="AM74" s="450"/>
      <c r="AN74" s="450"/>
      <c r="AO74" s="450"/>
      <c r="AP74" s="450"/>
      <c r="AQ74" s="450"/>
      <c r="AR74" s="450"/>
      <c r="AS74" s="450"/>
      <c r="AT74" s="450"/>
      <c r="AU74" s="450"/>
      <c r="AV74" s="450"/>
      <c r="AW74" s="450"/>
      <c r="AX74" s="450"/>
      <c r="AY74" s="450"/>
      <c r="AZ74" s="450"/>
      <c r="BA74" s="450"/>
      <c r="BB74" s="450"/>
      <c r="BC74" s="450"/>
      <c r="BD74" s="450"/>
      <c r="BE74" s="450"/>
      <c r="BF74" s="450"/>
      <c r="BG74" s="450"/>
      <c r="BH74" s="450"/>
      <c r="BI74" s="450"/>
      <c r="BJ74" s="450"/>
      <c r="BK74" s="450"/>
      <c r="BL74" s="450"/>
      <c r="BM74" s="450"/>
      <c r="BN74" s="450"/>
      <c r="BO74" s="450"/>
      <c r="BP74" s="450"/>
      <c r="BQ74" s="450"/>
      <c r="BR74" s="450"/>
      <c r="BS74" s="450"/>
      <c r="BT74" s="450"/>
      <c r="BU74" s="450"/>
      <c r="BV74" s="450"/>
      <c r="BW74" s="450"/>
      <c r="BX74" s="450"/>
      <c r="BY74" s="450"/>
      <c r="BZ74" s="450"/>
      <c r="CA74" s="450"/>
      <c r="CB74" s="450"/>
      <c r="CC74" s="450"/>
      <c r="CD74" s="450"/>
      <c r="CE74" s="450"/>
      <c r="CF74" s="450"/>
      <c r="CG74" s="450"/>
      <c r="CH74" s="450"/>
      <c r="CI74" s="450"/>
      <c r="CJ74" s="450"/>
      <c r="CK74" s="450"/>
      <c r="CL74" s="450"/>
      <c r="CM74" s="450"/>
      <c r="CN74" s="450"/>
      <c r="CO74" s="450"/>
      <c r="CP74" s="450"/>
      <c r="CQ74" s="450"/>
      <c r="CR74" s="450"/>
      <c r="CS74" s="450"/>
      <c r="CT74" s="450"/>
      <c r="CU74" s="450"/>
      <c r="CV74" s="450"/>
      <c r="CW74" s="450"/>
      <c r="CX74" s="450"/>
      <c r="CY74" s="450"/>
      <c r="CZ74" s="450"/>
      <c r="DA74" s="450"/>
      <c r="DB74" s="450"/>
      <c r="DC74" s="450"/>
      <c r="DD74" s="450"/>
      <c r="DE74" s="450"/>
      <c r="DF74" s="450"/>
      <c r="DG74" s="450"/>
      <c r="DH74" s="450"/>
      <c r="DI74" s="450"/>
      <c r="DJ74" s="450"/>
      <c r="DK74" s="450"/>
      <c r="DL74" s="450"/>
      <c r="DM74" s="450"/>
      <c r="DN74" s="450"/>
      <c r="DO74" s="450"/>
      <c r="DP74" s="450"/>
      <c r="DQ74" s="450"/>
      <c r="DR74" s="450"/>
      <c r="DS74" s="450"/>
      <c r="DT74" s="450"/>
      <c r="DU74" s="450"/>
      <c r="DV74" s="450"/>
      <c r="DW74" s="450"/>
      <c r="DX74" s="450"/>
      <c r="DY74" s="450"/>
      <c r="DZ74" s="450"/>
      <c r="EA74" s="450"/>
      <c r="EB74" s="450"/>
      <c r="EC74" s="450"/>
      <c r="ED74" s="450"/>
      <c r="EE74" s="450"/>
      <c r="EF74" s="450"/>
      <c r="EG74" s="450"/>
      <c r="EH74" s="450"/>
      <c r="EI74" s="450"/>
      <c r="EJ74" s="450"/>
      <c r="EK74" s="450"/>
      <c r="EL74" s="450"/>
      <c r="EM74" s="450"/>
      <c r="EN74" s="450"/>
      <c r="EO74" s="450"/>
      <c r="EP74" s="450"/>
      <c r="EQ74" s="450"/>
      <c r="ER74" s="450"/>
      <c r="ES74" s="450"/>
      <c r="ET74" s="450"/>
      <c r="EU74" s="450"/>
      <c r="EV74" s="450"/>
      <c r="EW74" s="450"/>
      <c r="EX74" s="450"/>
      <c r="EY74" s="450"/>
      <c r="EZ74" s="450"/>
      <c r="FA74" s="450"/>
      <c r="FB74" s="450"/>
      <c r="FC74" s="450"/>
      <c r="FD74" s="450"/>
      <c r="FE74" s="450"/>
      <c r="FF74" s="450"/>
      <c r="FG74" s="450"/>
      <c r="FH74" s="450"/>
      <c r="FI74" s="450"/>
      <c r="FJ74" s="450"/>
      <c r="FK74" s="450"/>
      <c r="FL74" s="450"/>
      <c r="FM74" s="450"/>
      <c r="FN74" s="450"/>
      <c r="FO74" s="450"/>
      <c r="FP74" s="450"/>
      <c r="FQ74" s="450"/>
      <c r="FR74" s="450"/>
      <c r="FS74" s="450"/>
      <c r="FT74" s="450"/>
      <c r="FU74" s="450"/>
      <c r="FV74" s="450"/>
      <c r="FW74" s="450"/>
      <c r="FX74" s="450"/>
      <c r="FY74" s="450"/>
      <c r="FZ74" s="450"/>
      <c r="GA74" s="450"/>
      <c r="GB74" s="450"/>
      <c r="GC74" s="450"/>
      <c r="GD74" s="450"/>
    </row>
    <row r="75" spans="2:186" ht="15" hidden="1" customHeight="1" outlineLevel="1">
      <c r="B75" s="2085"/>
      <c r="C75" s="2067" t="s">
        <v>3760</v>
      </c>
      <c r="D75" s="2068"/>
      <c r="E75" s="2115"/>
      <c r="F75" s="2116">
        <f ca="1">SUM(G75:GD75)</f>
        <v>32970.038530051803</v>
      </c>
      <c r="G75" s="2117">
        <f ca="1">G52</f>
        <v>136.8718962685542</v>
      </c>
      <c r="H75" s="2118">
        <f t="shared" ref="H75:BS75" ca="1" si="118">H52</f>
        <v>108.07529580855416</v>
      </c>
      <c r="I75" s="2118">
        <f t="shared" ca="1" si="118"/>
        <v>58.372855218554164</v>
      </c>
      <c r="J75" s="2119">
        <f t="shared" ca="1" si="118"/>
        <v>16.724687388554173</v>
      </c>
      <c r="K75" s="2117">
        <f t="shared" ca="1" si="118"/>
        <v>101.61547263933335</v>
      </c>
      <c r="L75" s="2118">
        <f t="shared" ca="1" si="118"/>
        <v>170.70014937571219</v>
      </c>
      <c r="M75" s="2118">
        <f t="shared" ca="1" si="118"/>
        <v>136.8702541657122</v>
      </c>
      <c r="N75" s="2119">
        <f t="shared" ca="1" si="118"/>
        <v>89.895936305712198</v>
      </c>
      <c r="O75" s="2117">
        <f t="shared" ca="1" si="118"/>
        <v>4.5257455899999997</v>
      </c>
      <c r="P75" s="2118">
        <f t="shared" ca="1" si="118"/>
        <v>23.430418859999975</v>
      </c>
      <c r="Q75" s="2118">
        <f t="shared" ca="1" si="118"/>
        <v>1.2139970800000022</v>
      </c>
      <c r="R75" s="2119">
        <f t="shared" ca="1" si="118"/>
        <v>7.5680049400000051</v>
      </c>
      <c r="S75" s="2117">
        <f t="shared" ca="1" si="118"/>
        <v>0</v>
      </c>
      <c r="T75" s="2118">
        <f t="shared" ca="1" si="118"/>
        <v>7.703740082373173</v>
      </c>
      <c r="U75" s="2118">
        <f t="shared" ca="1" si="118"/>
        <v>0</v>
      </c>
      <c r="V75" s="2119">
        <f t="shared" ca="1" si="118"/>
        <v>0</v>
      </c>
      <c r="W75" s="2117">
        <f t="shared" ca="1" si="118"/>
        <v>11.006923925605868</v>
      </c>
      <c r="X75" s="2118">
        <f t="shared" ca="1" si="118"/>
        <v>93.321218000074055</v>
      </c>
      <c r="Y75" s="2118">
        <f t="shared" ca="1" si="118"/>
        <v>52.631153866597124</v>
      </c>
      <c r="Z75" s="2119">
        <f t="shared" ca="1" si="118"/>
        <v>14.926766905465378</v>
      </c>
      <c r="AA75" s="2117">
        <f t="shared" ca="1" si="118"/>
        <v>0</v>
      </c>
      <c r="AB75" s="2118">
        <f t="shared" ca="1" si="118"/>
        <v>83.303797979740182</v>
      </c>
      <c r="AC75" s="2118">
        <f t="shared" ca="1" si="118"/>
        <v>43.333557095175998</v>
      </c>
      <c r="AD75" s="2119">
        <f t="shared" ca="1" si="118"/>
        <v>7.3600855626918715</v>
      </c>
      <c r="AE75" s="2117">
        <f t="shared" ca="1" si="118"/>
        <v>0</v>
      </c>
      <c r="AF75" s="2118">
        <f t="shared" ca="1" si="118"/>
        <v>0.19079295939331331</v>
      </c>
      <c r="AG75" s="2118">
        <f t="shared" ca="1" si="118"/>
        <v>0</v>
      </c>
      <c r="AH75" s="2119">
        <f t="shared" ca="1" si="118"/>
        <v>0</v>
      </c>
      <c r="AI75" s="2117">
        <f t="shared" ca="1" si="118"/>
        <v>0</v>
      </c>
      <c r="AJ75" s="2118">
        <f t="shared" ca="1" si="118"/>
        <v>0</v>
      </c>
      <c r="AK75" s="2118">
        <f t="shared" ca="1" si="118"/>
        <v>0</v>
      </c>
      <c r="AL75" s="2119">
        <f t="shared" ca="1" si="118"/>
        <v>0</v>
      </c>
      <c r="AM75" s="2117">
        <f t="shared" ca="1" si="118"/>
        <v>8.67856165501032</v>
      </c>
      <c r="AN75" s="2118">
        <f t="shared" ca="1" si="118"/>
        <v>12.918193493137032</v>
      </c>
      <c r="AO75" s="2118">
        <f t="shared" ca="1" si="118"/>
        <v>17.055884568440781</v>
      </c>
      <c r="AP75" s="2119">
        <f t="shared" ca="1" si="118"/>
        <v>21.517238126567499</v>
      </c>
      <c r="AQ75" s="2117">
        <f t="shared" ca="1" si="118"/>
        <v>25.330606475395982</v>
      </c>
      <c r="AR75" s="2118">
        <f t="shared" ca="1" si="118"/>
        <v>31.430805957389467</v>
      </c>
      <c r="AS75" s="2118">
        <f t="shared" ca="1" si="118"/>
        <v>37.390219414672714</v>
      </c>
      <c r="AT75" s="2119">
        <f t="shared" ca="1" si="118"/>
        <v>45.297618743233684</v>
      </c>
      <c r="AU75" s="2117">
        <f t="shared" ca="1" si="118"/>
        <v>44.970330946769515</v>
      </c>
      <c r="AV75" s="2118">
        <f t="shared" ca="1" si="118"/>
        <v>17.680676233040678</v>
      </c>
      <c r="AW75" s="2118">
        <f t="shared" ca="1" si="118"/>
        <v>18.444333133922306</v>
      </c>
      <c r="AX75" s="2119">
        <f t="shared" ca="1" si="118"/>
        <v>31.691078883427188</v>
      </c>
      <c r="AY75" s="2117">
        <f t="shared" ca="1" si="118"/>
        <v>45.683881707164836</v>
      </c>
      <c r="AZ75" s="2118">
        <f t="shared" ca="1" si="118"/>
        <v>45.919422720671186</v>
      </c>
      <c r="BA75" s="2118">
        <f t="shared" ca="1" si="118"/>
        <v>59.708989072342298</v>
      </c>
      <c r="BB75" s="2119">
        <f t="shared" ca="1" si="118"/>
        <v>75.701666940570306</v>
      </c>
      <c r="BC75" s="2117">
        <f t="shared" ca="1" si="118"/>
        <v>80.360381654241138</v>
      </c>
      <c r="BD75" s="2118">
        <f t="shared" ca="1" si="118"/>
        <v>62.777983962278377</v>
      </c>
      <c r="BE75" s="2118">
        <f t="shared" ca="1" si="118"/>
        <v>69.535814125151262</v>
      </c>
      <c r="BF75" s="2119">
        <f t="shared" ca="1" si="118"/>
        <v>81.295871253783048</v>
      </c>
      <c r="BG75" s="2117">
        <f t="shared" ca="1" si="118"/>
        <v>93.074365890979522</v>
      </c>
      <c r="BH75" s="2118">
        <f t="shared" ca="1" si="118"/>
        <v>82.996861415805597</v>
      </c>
      <c r="BI75" s="2118">
        <f t="shared" ca="1" si="118"/>
        <v>94.216635462224559</v>
      </c>
      <c r="BJ75" s="2119">
        <f t="shared" ca="1" si="118"/>
        <v>109.17991588362491</v>
      </c>
      <c r="BK75" s="2117">
        <f t="shared" ca="1" si="118"/>
        <v>129.71135565651429</v>
      </c>
      <c r="BL75" s="2118">
        <f t="shared" ca="1" si="118"/>
        <v>127.8643053677356</v>
      </c>
      <c r="BM75" s="2118">
        <f t="shared" ca="1" si="118"/>
        <v>148.638917252798</v>
      </c>
      <c r="BN75" s="2119">
        <f t="shared" ca="1" si="118"/>
        <v>173.4002076250149</v>
      </c>
      <c r="BO75" s="2117">
        <f t="shared" ca="1" si="118"/>
        <v>184.18906155423852</v>
      </c>
      <c r="BP75" s="2118">
        <f t="shared" ca="1" si="118"/>
        <v>168.01476291640151</v>
      </c>
      <c r="BQ75" s="2118">
        <f t="shared" ca="1" si="118"/>
        <v>179.78004869986225</v>
      </c>
      <c r="BR75" s="2119">
        <f t="shared" ca="1" si="118"/>
        <v>196.50844482471453</v>
      </c>
      <c r="BS75" s="2117">
        <f t="shared" ca="1" si="118"/>
        <v>204.88990339444109</v>
      </c>
      <c r="BT75" s="2118">
        <f t="shared" ref="BT75:EE75" ca="1" si="119">BT52</f>
        <v>185.62394994688236</v>
      </c>
      <c r="BU75" s="2118">
        <f t="shared" ca="1" si="119"/>
        <v>193.93969687927529</v>
      </c>
      <c r="BV75" s="2119">
        <f t="shared" ca="1" si="119"/>
        <v>207.15284251572609</v>
      </c>
      <c r="BW75" s="2117">
        <f t="shared" ca="1" si="119"/>
        <v>216.62129440620402</v>
      </c>
      <c r="BX75" s="2118">
        <f t="shared" ca="1" si="119"/>
        <v>195.46131896337619</v>
      </c>
      <c r="BY75" s="2118">
        <f t="shared" ca="1" si="119"/>
        <v>204.19191491429422</v>
      </c>
      <c r="BZ75" s="2119">
        <f t="shared" ca="1" si="119"/>
        <v>217.08205362971017</v>
      </c>
      <c r="CA75" s="2117">
        <f t="shared" ca="1" si="119"/>
        <v>231.91434520697015</v>
      </c>
      <c r="CB75" s="2118">
        <f t="shared" ca="1" si="119"/>
        <v>197.78679807863739</v>
      </c>
      <c r="CC75" s="2118">
        <f t="shared" ca="1" si="119"/>
        <v>213.96723319363338</v>
      </c>
      <c r="CD75" s="2119">
        <f t="shared" ca="1" si="119"/>
        <v>235.65535461086336</v>
      </c>
      <c r="CE75" s="2117">
        <f t="shared" ca="1" si="119"/>
        <v>242.85489402234981</v>
      </c>
      <c r="CF75" s="2118">
        <f t="shared" ca="1" si="119"/>
        <v>197.6497565677231</v>
      </c>
      <c r="CG75" s="2118">
        <f t="shared" ca="1" si="119"/>
        <v>204.59127262933595</v>
      </c>
      <c r="CH75" s="2119">
        <f t="shared" ca="1" si="119"/>
        <v>216.78245164330912</v>
      </c>
      <c r="CI75" s="2117">
        <f t="shared" ca="1" si="119"/>
        <v>206.87298515095512</v>
      </c>
      <c r="CJ75" s="2118">
        <f t="shared" ca="1" si="119"/>
        <v>130.14273947029619</v>
      </c>
      <c r="CK75" s="2118">
        <f t="shared" ca="1" si="119"/>
        <v>119.66342609347414</v>
      </c>
      <c r="CL75" s="2119">
        <f t="shared" ca="1" si="119"/>
        <v>113.86392878454463</v>
      </c>
      <c r="CM75" s="2117">
        <f t="shared" ca="1" si="119"/>
        <v>125.78897643210017</v>
      </c>
      <c r="CN75" s="2118">
        <f t="shared" ca="1" si="119"/>
        <v>69.183316324185839</v>
      </c>
      <c r="CO75" s="2118">
        <f t="shared" ca="1" si="119"/>
        <v>81.195755885627491</v>
      </c>
      <c r="CP75" s="2119">
        <f t="shared" ca="1" si="119"/>
        <v>97.975403428847684</v>
      </c>
      <c r="CQ75" s="2117">
        <f t="shared" ca="1" si="119"/>
        <v>112.12914045040466</v>
      </c>
      <c r="CR75" s="2118">
        <f t="shared" ca="1" si="119"/>
        <v>49.512144184029509</v>
      </c>
      <c r="CS75" s="2118">
        <f t="shared" ca="1" si="119"/>
        <v>65.499466090061816</v>
      </c>
      <c r="CT75" s="2119">
        <f t="shared" ca="1" si="119"/>
        <v>89.787580862347966</v>
      </c>
      <c r="CU75" s="2117">
        <f t="shared" ca="1" si="119"/>
        <v>106.73302458410302</v>
      </c>
      <c r="CV75" s="2118">
        <f t="shared" ca="1" si="119"/>
        <v>43.096257958381145</v>
      </c>
      <c r="CW75" s="2118">
        <f t="shared" ca="1" si="119"/>
        <v>60.486543600551443</v>
      </c>
      <c r="CX75" s="2119">
        <f t="shared" ca="1" si="119"/>
        <v>84.922464029390852</v>
      </c>
      <c r="CY75" s="2117">
        <f t="shared" ca="1" si="119"/>
        <v>104.59861656273756</v>
      </c>
      <c r="CZ75" s="2118">
        <f t="shared" ca="1" si="119"/>
        <v>50.141620073733918</v>
      </c>
      <c r="DA75" s="2118">
        <f t="shared" ca="1" si="119"/>
        <v>71.6896127172663</v>
      </c>
      <c r="DB75" s="2119">
        <f t="shared" ca="1" si="119"/>
        <v>102.15508025765351</v>
      </c>
      <c r="DC75" s="2117">
        <f t="shared" ca="1" si="119"/>
        <v>128.65257679173342</v>
      </c>
      <c r="DD75" s="2118">
        <f t="shared" ca="1" si="119"/>
        <v>61.427511455945478</v>
      </c>
      <c r="DE75" s="2118">
        <f t="shared" ca="1" si="119"/>
        <v>87.682529735490789</v>
      </c>
      <c r="DF75" s="2119">
        <f t="shared" ca="1" si="119"/>
        <v>122.61254465735641</v>
      </c>
      <c r="DG75" s="2117">
        <f t="shared" ca="1" si="119"/>
        <v>150.51464388816601</v>
      </c>
      <c r="DH75" s="2118">
        <f t="shared" ca="1" si="119"/>
        <v>78.860574705321142</v>
      </c>
      <c r="DI75" s="2118">
        <f t="shared" ca="1" si="119"/>
        <v>106.8375961088793</v>
      </c>
      <c r="DJ75" s="2119">
        <f t="shared" ca="1" si="119"/>
        <v>143.56453632750632</v>
      </c>
      <c r="DK75" s="2117">
        <f t="shared" ca="1" si="119"/>
        <v>166.86369078173891</v>
      </c>
      <c r="DL75" s="2118">
        <f t="shared" ca="1" si="119"/>
        <v>95.790029545751921</v>
      </c>
      <c r="DM75" s="2118">
        <f t="shared" ca="1" si="119"/>
        <v>120.00315091334177</v>
      </c>
      <c r="DN75" s="2119">
        <f t="shared" ca="1" si="119"/>
        <v>153.88015800935779</v>
      </c>
      <c r="DO75" s="2117">
        <f t="shared" ca="1" si="119"/>
        <v>177.20828468590821</v>
      </c>
      <c r="DP75" s="2118">
        <f t="shared" ca="1" si="119"/>
        <v>116.99379651688093</v>
      </c>
      <c r="DQ75" s="2118">
        <f t="shared" ca="1" si="119"/>
        <v>140.71324334413302</v>
      </c>
      <c r="DR75" s="2119">
        <f t="shared" ca="1" si="119"/>
        <v>174.48789605051275</v>
      </c>
      <c r="DS75" s="2117">
        <f t="shared" ca="1" si="119"/>
        <v>201.43744653520446</v>
      </c>
      <c r="DT75" s="2118">
        <f t="shared" ca="1" si="119"/>
        <v>175.49136063779196</v>
      </c>
      <c r="DU75" s="2118">
        <f t="shared" ca="1" si="119"/>
        <v>201.81635968733389</v>
      </c>
      <c r="DV75" s="2119">
        <f t="shared" ca="1" si="119"/>
        <v>237.57201318085373</v>
      </c>
      <c r="DW75" s="2117">
        <f t="shared" ca="1" si="119"/>
        <v>255.86125447361357</v>
      </c>
      <c r="DX75" s="2118">
        <f t="shared" ca="1" si="119"/>
        <v>216.20111070040733</v>
      </c>
      <c r="DY75" s="2118">
        <f t="shared" ca="1" si="119"/>
        <v>235.76744179688532</v>
      </c>
      <c r="DZ75" s="2119">
        <f t="shared" ca="1" si="119"/>
        <v>266.04151714105956</v>
      </c>
      <c r="EA75" s="2117">
        <f t="shared" ca="1" si="119"/>
        <v>296.34301503354459</v>
      </c>
      <c r="EB75" s="2118">
        <f t="shared" ca="1" si="119"/>
        <v>272.26056599042494</v>
      </c>
      <c r="EC75" s="2118">
        <f t="shared" ca="1" si="119"/>
        <v>301.47294514680652</v>
      </c>
      <c r="ED75" s="2119">
        <f t="shared" ca="1" si="119"/>
        <v>340.30394981478099</v>
      </c>
      <c r="EE75" s="2117">
        <f t="shared" ca="1" si="119"/>
        <v>359.20197272138859</v>
      </c>
      <c r="EF75" s="2118">
        <f t="shared" ref="EF75:GD75" ca="1" si="120">EF52</f>
        <v>321.31678333508484</v>
      </c>
      <c r="EG75" s="2118">
        <f t="shared" ca="1" si="120"/>
        <v>340.99936846344451</v>
      </c>
      <c r="EH75" s="2119">
        <f t="shared" ca="1" si="120"/>
        <v>371.0851413251491</v>
      </c>
      <c r="EI75" s="2117">
        <f t="shared" ca="1" si="120"/>
        <v>396.56197027400481</v>
      </c>
      <c r="EJ75" s="2118">
        <f t="shared" ca="1" si="120"/>
        <v>358.55860159055152</v>
      </c>
      <c r="EK75" s="2118">
        <f t="shared" ca="1" si="120"/>
        <v>385.36517625917509</v>
      </c>
      <c r="EL75" s="2119">
        <f t="shared" ca="1" si="120"/>
        <v>423.90468438091142</v>
      </c>
      <c r="EM75" s="2117">
        <f t="shared" ca="1" si="120"/>
        <v>453.90171740784365</v>
      </c>
      <c r="EN75" s="2118">
        <f t="shared" ca="1" si="120"/>
        <v>420.75694359357738</v>
      </c>
      <c r="EO75" s="2118">
        <f t="shared" ca="1" si="120"/>
        <v>450.37880093683623</v>
      </c>
      <c r="EP75" s="2119">
        <f t="shared" ca="1" si="120"/>
        <v>491.35841604953441</v>
      </c>
      <c r="EQ75" s="2117">
        <f t="shared" ca="1" si="120"/>
        <v>519.44676676334336</v>
      </c>
      <c r="ER75" s="2118">
        <f t="shared" ca="1" si="120"/>
        <v>484.36706980021887</v>
      </c>
      <c r="ES75" s="2118">
        <f t="shared" ca="1" si="120"/>
        <v>512.54570192452638</v>
      </c>
      <c r="ET75" s="2119">
        <f t="shared" ca="1" si="120"/>
        <v>552.17237322877213</v>
      </c>
      <c r="EU75" s="2117">
        <f t="shared" ca="1" si="120"/>
        <v>581.60735030090586</v>
      </c>
      <c r="EV75" s="2118">
        <f t="shared" ca="1" si="120"/>
        <v>539.53022152000688</v>
      </c>
      <c r="EW75" s="2118">
        <f t="shared" ca="1" si="120"/>
        <v>570.82153128477603</v>
      </c>
      <c r="EX75" s="2119">
        <f t="shared" ca="1" si="120"/>
        <v>615.41721292211844</v>
      </c>
      <c r="EY75" s="2117">
        <f t="shared" ca="1" si="120"/>
        <v>644.68758398326815</v>
      </c>
      <c r="EZ75" s="2118">
        <f t="shared" ca="1" si="120"/>
        <v>600.39560319915688</v>
      </c>
      <c r="FA75" s="2118">
        <f t="shared" ca="1" si="120"/>
        <v>629.70958673103291</v>
      </c>
      <c r="FB75" s="2119">
        <f t="shared" ca="1" si="120"/>
        <v>672.37155460620841</v>
      </c>
      <c r="FC75" s="2117">
        <f t="shared" ca="1" si="120"/>
        <v>704.88431454036277</v>
      </c>
      <c r="FD75" s="2118">
        <f t="shared" ca="1" si="120"/>
        <v>662.47430785551023</v>
      </c>
      <c r="FE75" s="2118">
        <f t="shared" ca="1" si="120"/>
        <v>695.28322592844779</v>
      </c>
      <c r="FF75" s="2119">
        <f t="shared" ca="1" si="120"/>
        <v>741.73628648346823</v>
      </c>
      <c r="FG75" s="2117">
        <f t="shared" ca="1" si="120"/>
        <v>769.1687365523585</v>
      </c>
      <c r="FH75" s="2118">
        <f t="shared" ca="1" si="120"/>
        <v>716.20152107534977</v>
      </c>
      <c r="FI75" s="2118">
        <f t="shared" ca="1" si="120"/>
        <v>744.79915634007875</v>
      </c>
      <c r="FJ75" s="2119">
        <f t="shared" ca="1" si="120"/>
        <v>788.20611928272911</v>
      </c>
      <c r="FK75" s="2117">
        <f t="shared" ca="1" si="120"/>
        <v>784.36420038822143</v>
      </c>
      <c r="FL75" s="2118">
        <f t="shared" ca="1" si="120"/>
        <v>697.58643016835492</v>
      </c>
      <c r="FM75" s="2118">
        <f t="shared" ca="1" si="120"/>
        <v>0</v>
      </c>
      <c r="FN75" s="2119">
        <f t="shared" ca="1" si="120"/>
        <v>0</v>
      </c>
      <c r="FO75" s="2117">
        <f t="shared" ca="1" si="120"/>
        <v>0</v>
      </c>
      <c r="FP75" s="2118">
        <f t="shared" ca="1" si="120"/>
        <v>0</v>
      </c>
      <c r="FQ75" s="2118">
        <f t="shared" ca="1" si="120"/>
        <v>0</v>
      </c>
      <c r="FR75" s="2119">
        <f t="shared" ca="1" si="120"/>
        <v>0</v>
      </c>
      <c r="FS75" s="2117">
        <f t="shared" ca="1" si="120"/>
        <v>0</v>
      </c>
      <c r="FT75" s="2118">
        <f t="shared" ca="1" si="120"/>
        <v>0</v>
      </c>
      <c r="FU75" s="2118">
        <f t="shared" ca="1" si="120"/>
        <v>0</v>
      </c>
      <c r="FV75" s="2119">
        <f t="shared" ca="1" si="120"/>
        <v>0</v>
      </c>
      <c r="FW75" s="2117">
        <f t="shared" ca="1" si="120"/>
        <v>0</v>
      </c>
      <c r="FX75" s="2118">
        <f t="shared" ca="1" si="120"/>
        <v>0</v>
      </c>
      <c r="FY75" s="2118">
        <f t="shared" ca="1" si="120"/>
        <v>0</v>
      </c>
      <c r="FZ75" s="2119">
        <f t="shared" ca="1" si="120"/>
        <v>0</v>
      </c>
      <c r="GA75" s="2117">
        <f t="shared" ca="1" si="120"/>
        <v>0</v>
      </c>
      <c r="GB75" s="2118">
        <f t="shared" ca="1" si="120"/>
        <v>0</v>
      </c>
      <c r="GC75" s="2118">
        <f t="shared" ca="1" si="120"/>
        <v>0</v>
      </c>
      <c r="GD75" s="2119">
        <f t="shared" ca="1" si="120"/>
        <v>0</v>
      </c>
    </row>
    <row r="76" spans="2:186" ht="15" hidden="1" customHeight="1" outlineLevel="1">
      <c r="C76" s="930" t="s">
        <v>3761</v>
      </c>
      <c r="D76" s="2120"/>
      <c r="E76" s="2121"/>
      <c r="F76" s="2122">
        <f>SUM(G76:GD76)</f>
        <v>0</v>
      </c>
      <c r="G76" s="5358">
        <v>0</v>
      </c>
      <c r="H76" s="5359">
        <v>0</v>
      </c>
      <c r="I76" s="5359">
        <v>0</v>
      </c>
      <c r="J76" s="5360">
        <v>0</v>
      </c>
      <c r="K76" s="5358">
        <v>0</v>
      </c>
      <c r="L76" s="5359">
        <v>0</v>
      </c>
      <c r="M76" s="5359">
        <v>0</v>
      </c>
      <c r="N76" s="5360">
        <v>0</v>
      </c>
      <c r="O76" s="5358">
        <v>0</v>
      </c>
      <c r="P76" s="5359">
        <v>0</v>
      </c>
      <c r="Q76" s="5359">
        <v>0</v>
      </c>
      <c r="R76" s="5360">
        <v>0</v>
      </c>
      <c r="S76" s="5358">
        <v>0</v>
      </c>
      <c r="T76" s="5359">
        <v>0</v>
      </c>
      <c r="U76" s="5359">
        <v>0</v>
      </c>
      <c r="V76" s="5360">
        <v>0</v>
      </c>
      <c r="W76" s="5358">
        <v>0</v>
      </c>
      <c r="X76" s="5359">
        <v>0</v>
      </c>
      <c r="Y76" s="5359">
        <v>0</v>
      </c>
      <c r="Z76" s="5360">
        <v>0</v>
      </c>
      <c r="AA76" s="5358">
        <v>0</v>
      </c>
      <c r="AB76" s="5359">
        <v>0</v>
      </c>
      <c r="AC76" s="5359">
        <v>0</v>
      </c>
      <c r="AD76" s="5360">
        <v>0</v>
      </c>
      <c r="AE76" s="5358">
        <v>0</v>
      </c>
      <c r="AF76" s="5359">
        <v>0</v>
      </c>
      <c r="AG76" s="5359">
        <v>0</v>
      </c>
      <c r="AH76" s="5360">
        <v>0</v>
      </c>
      <c r="AI76" s="5358">
        <v>0</v>
      </c>
      <c r="AJ76" s="5359">
        <v>0</v>
      </c>
      <c r="AK76" s="5359">
        <v>0</v>
      </c>
      <c r="AL76" s="5360">
        <v>0</v>
      </c>
      <c r="AM76" s="5358">
        <v>0</v>
      </c>
      <c r="AN76" s="5359">
        <v>0</v>
      </c>
      <c r="AO76" s="5359">
        <v>0</v>
      </c>
      <c r="AP76" s="5360">
        <v>0</v>
      </c>
      <c r="AQ76" s="5358">
        <v>0</v>
      </c>
      <c r="AR76" s="5359">
        <v>0</v>
      </c>
      <c r="AS76" s="5359">
        <v>0</v>
      </c>
      <c r="AT76" s="5360">
        <v>0</v>
      </c>
      <c r="AU76" s="5358">
        <v>0</v>
      </c>
      <c r="AV76" s="5359">
        <v>0</v>
      </c>
      <c r="AW76" s="5359">
        <v>0</v>
      </c>
      <c r="AX76" s="5360">
        <v>0</v>
      </c>
      <c r="AY76" s="5358">
        <v>0</v>
      </c>
      <c r="AZ76" s="5359">
        <v>0</v>
      </c>
      <c r="BA76" s="5359">
        <v>0</v>
      </c>
      <c r="BB76" s="5360">
        <v>0</v>
      </c>
      <c r="BC76" s="5358">
        <v>0</v>
      </c>
      <c r="BD76" s="5359">
        <v>0</v>
      </c>
      <c r="BE76" s="5359">
        <v>0</v>
      </c>
      <c r="BF76" s="5360">
        <v>0</v>
      </c>
      <c r="BG76" s="5358">
        <v>0</v>
      </c>
      <c r="BH76" s="5359">
        <v>0</v>
      </c>
      <c r="BI76" s="5359">
        <v>0</v>
      </c>
      <c r="BJ76" s="5360">
        <v>0</v>
      </c>
      <c r="BK76" s="5358">
        <v>0</v>
      </c>
      <c r="BL76" s="5359">
        <v>0</v>
      </c>
      <c r="BM76" s="5359">
        <v>0</v>
      </c>
      <c r="BN76" s="5360">
        <v>0</v>
      </c>
      <c r="BO76" s="5358">
        <v>0</v>
      </c>
      <c r="BP76" s="5359">
        <v>0</v>
      </c>
      <c r="BQ76" s="5359">
        <v>0</v>
      </c>
      <c r="BR76" s="5360">
        <v>0</v>
      </c>
      <c r="BS76" s="5358">
        <v>0</v>
      </c>
      <c r="BT76" s="5359">
        <v>0</v>
      </c>
      <c r="BU76" s="5359">
        <v>0</v>
      </c>
      <c r="BV76" s="5360">
        <v>0</v>
      </c>
      <c r="BW76" s="5358">
        <v>0</v>
      </c>
      <c r="BX76" s="5359">
        <v>0</v>
      </c>
      <c r="BY76" s="5359">
        <v>0</v>
      </c>
      <c r="BZ76" s="5360">
        <v>0</v>
      </c>
      <c r="CA76" s="5358">
        <v>0</v>
      </c>
      <c r="CB76" s="5359">
        <v>0</v>
      </c>
      <c r="CC76" s="5359">
        <v>0</v>
      </c>
      <c r="CD76" s="5360">
        <v>0</v>
      </c>
      <c r="CE76" s="5358">
        <v>0</v>
      </c>
      <c r="CF76" s="5359">
        <v>0</v>
      </c>
      <c r="CG76" s="5359">
        <v>0</v>
      </c>
      <c r="CH76" s="5360">
        <v>0</v>
      </c>
      <c r="CI76" s="5358">
        <v>0</v>
      </c>
      <c r="CJ76" s="5359">
        <v>0</v>
      </c>
      <c r="CK76" s="5359">
        <v>0</v>
      </c>
      <c r="CL76" s="5360">
        <v>0</v>
      </c>
      <c r="CM76" s="5358">
        <v>0</v>
      </c>
      <c r="CN76" s="5359">
        <v>0</v>
      </c>
      <c r="CO76" s="5359">
        <v>0</v>
      </c>
      <c r="CP76" s="5360">
        <v>0</v>
      </c>
      <c r="CQ76" s="5358">
        <v>0</v>
      </c>
      <c r="CR76" s="5359">
        <v>0</v>
      </c>
      <c r="CS76" s="5359">
        <v>0</v>
      </c>
      <c r="CT76" s="5360">
        <v>0</v>
      </c>
      <c r="CU76" s="5358">
        <v>0</v>
      </c>
      <c r="CV76" s="5359">
        <v>0</v>
      </c>
      <c r="CW76" s="5359">
        <v>0</v>
      </c>
      <c r="CX76" s="5360">
        <v>0</v>
      </c>
      <c r="CY76" s="5358">
        <v>0</v>
      </c>
      <c r="CZ76" s="5359">
        <v>0</v>
      </c>
      <c r="DA76" s="5359">
        <v>0</v>
      </c>
      <c r="DB76" s="5360">
        <v>0</v>
      </c>
      <c r="DC76" s="5358">
        <v>0</v>
      </c>
      <c r="DD76" s="5359">
        <v>0</v>
      </c>
      <c r="DE76" s="5359">
        <v>0</v>
      </c>
      <c r="DF76" s="5360">
        <v>0</v>
      </c>
      <c r="DG76" s="5358">
        <v>0</v>
      </c>
      <c r="DH76" s="5359">
        <v>0</v>
      </c>
      <c r="DI76" s="5359">
        <v>0</v>
      </c>
      <c r="DJ76" s="5360">
        <v>0</v>
      </c>
      <c r="DK76" s="5358">
        <v>0</v>
      </c>
      <c r="DL76" s="5359">
        <v>0</v>
      </c>
      <c r="DM76" s="5359">
        <v>0</v>
      </c>
      <c r="DN76" s="5360">
        <v>0</v>
      </c>
      <c r="DO76" s="5358">
        <v>0</v>
      </c>
      <c r="DP76" s="5359">
        <v>0</v>
      </c>
      <c r="DQ76" s="5359">
        <v>0</v>
      </c>
      <c r="DR76" s="5360">
        <v>0</v>
      </c>
      <c r="DS76" s="5358">
        <v>0</v>
      </c>
      <c r="DT76" s="5359">
        <v>0</v>
      </c>
      <c r="DU76" s="5359">
        <v>0</v>
      </c>
      <c r="DV76" s="5360">
        <v>0</v>
      </c>
      <c r="DW76" s="5358">
        <v>0</v>
      </c>
      <c r="DX76" s="5359">
        <v>0</v>
      </c>
      <c r="DY76" s="5359">
        <v>0</v>
      </c>
      <c r="DZ76" s="5360">
        <v>0</v>
      </c>
      <c r="EA76" s="5358">
        <v>0</v>
      </c>
      <c r="EB76" s="5359">
        <v>0</v>
      </c>
      <c r="EC76" s="5359">
        <v>0</v>
      </c>
      <c r="ED76" s="5360">
        <v>0</v>
      </c>
      <c r="EE76" s="5358">
        <v>0</v>
      </c>
      <c r="EF76" s="5359">
        <v>0</v>
      </c>
      <c r="EG76" s="5359">
        <v>0</v>
      </c>
      <c r="EH76" s="5360">
        <v>0</v>
      </c>
      <c r="EI76" s="5358">
        <v>0</v>
      </c>
      <c r="EJ76" s="5359">
        <v>0</v>
      </c>
      <c r="EK76" s="5359">
        <v>0</v>
      </c>
      <c r="EL76" s="5360">
        <v>0</v>
      </c>
      <c r="EM76" s="5358">
        <v>0</v>
      </c>
      <c r="EN76" s="5359">
        <v>0</v>
      </c>
      <c r="EO76" s="5359">
        <v>0</v>
      </c>
      <c r="EP76" s="5360">
        <v>0</v>
      </c>
      <c r="EQ76" s="5358">
        <v>0</v>
      </c>
      <c r="ER76" s="5359">
        <v>0</v>
      </c>
      <c r="ES76" s="5359">
        <v>0</v>
      </c>
      <c r="ET76" s="5360">
        <v>0</v>
      </c>
      <c r="EU76" s="5358">
        <v>0</v>
      </c>
      <c r="EV76" s="5359">
        <v>0</v>
      </c>
      <c r="EW76" s="5359">
        <v>0</v>
      </c>
      <c r="EX76" s="5360">
        <v>0</v>
      </c>
      <c r="EY76" s="5358">
        <v>0</v>
      </c>
      <c r="EZ76" s="5359">
        <v>0</v>
      </c>
      <c r="FA76" s="5359">
        <v>0</v>
      </c>
      <c r="FB76" s="5360">
        <v>0</v>
      </c>
      <c r="FC76" s="5358">
        <v>0</v>
      </c>
      <c r="FD76" s="5359">
        <v>0</v>
      </c>
      <c r="FE76" s="5359">
        <v>0</v>
      </c>
      <c r="FF76" s="5360">
        <v>0</v>
      </c>
      <c r="FG76" s="5358">
        <v>0</v>
      </c>
      <c r="FH76" s="5359">
        <v>0</v>
      </c>
      <c r="FI76" s="5359">
        <v>0</v>
      </c>
      <c r="FJ76" s="5360">
        <v>0</v>
      </c>
      <c r="FK76" s="5358">
        <v>0</v>
      </c>
      <c r="FL76" s="5359">
        <v>0</v>
      </c>
      <c r="FM76" s="5359">
        <v>0</v>
      </c>
      <c r="FN76" s="5360">
        <v>0</v>
      </c>
      <c r="FO76" s="5358">
        <v>0</v>
      </c>
      <c r="FP76" s="5359">
        <v>0</v>
      </c>
      <c r="FQ76" s="5359">
        <v>0</v>
      </c>
      <c r="FR76" s="5360">
        <v>0</v>
      </c>
      <c r="FS76" s="5358">
        <v>0</v>
      </c>
      <c r="FT76" s="5359">
        <v>0</v>
      </c>
      <c r="FU76" s="5359">
        <v>0</v>
      </c>
      <c r="FV76" s="5360">
        <v>0</v>
      </c>
      <c r="FW76" s="5358">
        <v>0</v>
      </c>
      <c r="FX76" s="5359">
        <v>0</v>
      </c>
      <c r="FY76" s="5359">
        <v>0</v>
      </c>
      <c r="FZ76" s="5360">
        <v>0</v>
      </c>
      <c r="GA76" s="5358">
        <v>0</v>
      </c>
      <c r="GB76" s="5359">
        <v>0</v>
      </c>
      <c r="GC76" s="5359">
        <v>0</v>
      </c>
      <c r="GD76" s="5360">
        <v>0</v>
      </c>
    </row>
    <row r="77" spans="2:186" ht="15" hidden="1" customHeight="1" outlineLevel="1">
      <c r="B77" s="2064"/>
      <c r="C77" s="2073" t="s">
        <v>3762</v>
      </c>
      <c r="D77" s="2064"/>
      <c r="E77" s="2100"/>
      <c r="F77" s="2093">
        <f>SUM(G77:GD77)</f>
        <v>0</v>
      </c>
      <c r="G77" s="5361"/>
      <c r="H77" s="5362"/>
      <c r="I77" s="5362"/>
      <c r="J77" s="5363"/>
      <c r="K77" s="5361"/>
      <c r="L77" s="5362"/>
      <c r="M77" s="5362"/>
      <c r="N77" s="5363"/>
      <c r="O77" s="5361"/>
      <c r="P77" s="5362"/>
      <c r="Q77" s="5362"/>
      <c r="R77" s="5363"/>
      <c r="S77" s="5361"/>
      <c r="T77" s="5362"/>
      <c r="U77" s="5362"/>
      <c r="V77" s="5363"/>
      <c r="W77" s="5361"/>
      <c r="X77" s="5362"/>
      <c r="Y77" s="5362"/>
      <c r="Z77" s="5363"/>
      <c r="AA77" s="5361"/>
      <c r="AB77" s="5362"/>
      <c r="AC77" s="5362"/>
      <c r="AD77" s="5363"/>
      <c r="AE77" s="5361"/>
      <c r="AF77" s="5362"/>
      <c r="AG77" s="5362"/>
      <c r="AH77" s="5363"/>
      <c r="AI77" s="5361"/>
      <c r="AJ77" s="5362"/>
      <c r="AK77" s="5362"/>
      <c r="AL77" s="5363"/>
      <c r="AM77" s="5361"/>
      <c r="AN77" s="5362"/>
      <c r="AO77" s="5362"/>
      <c r="AP77" s="5363"/>
      <c r="AQ77" s="5361"/>
      <c r="AR77" s="5362"/>
      <c r="AS77" s="5362"/>
      <c r="AT77" s="5363"/>
      <c r="AU77" s="5361"/>
      <c r="AV77" s="5362"/>
      <c r="AW77" s="5362"/>
      <c r="AX77" s="5363"/>
      <c r="AY77" s="5361"/>
      <c r="AZ77" s="5362"/>
      <c r="BA77" s="5362"/>
      <c r="BB77" s="5363"/>
      <c r="BC77" s="5361"/>
      <c r="BD77" s="5362"/>
      <c r="BE77" s="5362"/>
      <c r="BF77" s="5363"/>
      <c r="BG77" s="5361"/>
      <c r="BH77" s="5362"/>
      <c r="BI77" s="5362"/>
      <c r="BJ77" s="5363"/>
      <c r="BK77" s="5361"/>
      <c r="BL77" s="5362"/>
      <c r="BM77" s="5362"/>
      <c r="BN77" s="5363"/>
      <c r="BO77" s="5361"/>
      <c r="BP77" s="5362"/>
      <c r="BQ77" s="5362"/>
      <c r="BR77" s="5363"/>
      <c r="BS77" s="5361"/>
      <c r="BT77" s="5362"/>
      <c r="BU77" s="5362"/>
      <c r="BV77" s="5363"/>
      <c r="BW77" s="5361"/>
      <c r="BX77" s="5362"/>
      <c r="BY77" s="5362"/>
      <c r="BZ77" s="5363"/>
      <c r="CA77" s="5361"/>
      <c r="CB77" s="5362"/>
      <c r="CC77" s="5362"/>
      <c r="CD77" s="5363"/>
      <c r="CE77" s="5361"/>
      <c r="CF77" s="5362"/>
      <c r="CG77" s="5362"/>
      <c r="CH77" s="5363"/>
      <c r="CI77" s="5361"/>
      <c r="CJ77" s="5362"/>
      <c r="CK77" s="5362"/>
      <c r="CL77" s="5363"/>
      <c r="CM77" s="5361"/>
      <c r="CN77" s="5362"/>
      <c r="CO77" s="5362"/>
      <c r="CP77" s="5363"/>
      <c r="CQ77" s="5361"/>
      <c r="CR77" s="5362"/>
      <c r="CS77" s="5362"/>
      <c r="CT77" s="5363"/>
      <c r="CU77" s="5361"/>
      <c r="CV77" s="5362"/>
      <c r="CW77" s="5362"/>
      <c r="CX77" s="5363"/>
      <c r="CY77" s="5361"/>
      <c r="CZ77" s="5362"/>
      <c r="DA77" s="5362"/>
      <c r="DB77" s="5363"/>
      <c r="DC77" s="5361"/>
      <c r="DD77" s="5362"/>
      <c r="DE77" s="5362"/>
      <c r="DF77" s="5363"/>
      <c r="DG77" s="5361"/>
      <c r="DH77" s="5362"/>
      <c r="DI77" s="5362"/>
      <c r="DJ77" s="5363"/>
      <c r="DK77" s="5361"/>
      <c r="DL77" s="5362"/>
      <c r="DM77" s="5362"/>
      <c r="DN77" s="5363"/>
      <c r="DO77" s="5361"/>
      <c r="DP77" s="5362"/>
      <c r="DQ77" s="5362"/>
      <c r="DR77" s="5363"/>
      <c r="DS77" s="5361"/>
      <c r="DT77" s="5362"/>
      <c r="DU77" s="5362"/>
      <c r="DV77" s="5363"/>
      <c r="DW77" s="5361"/>
      <c r="DX77" s="5362"/>
      <c r="DY77" s="5362"/>
      <c r="DZ77" s="5363"/>
      <c r="EA77" s="5361"/>
      <c r="EB77" s="5362"/>
      <c r="EC77" s="5362"/>
      <c r="ED77" s="5363"/>
      <c r="EE77" s="5361"/>
      <c r="EF77" s="5362"/>
      <c r="EG77" s="5362"/>
      <c r="EH77" s="5363"/>
      <c r="EI77" s="5361"/>
      <c r="EJ77" s="5362"/>
      <c r="EK77" s="5362"/>
      <c r="EL77" s="5363"/>
      <c r="EM77" s="5361"/>
      <c r="EN77" s="5362"/>
      <c r="EO77" s="5362"/>
      <c r="EP77" s="5363"/>
      <c r="EQ77" s="5361"/>
      <c r="ER77" s="5362"/>
      <c r="ES77" s="5362"/>
      <c r="ET77" s="5363"/>
      <c r="EU77" s="5361"/>
      <c r="EV77" s="5362"/>
      <c r="EW77" s="5362"/>
      <c r="EX77" s="5363"/>
      <c r="EY77" s="5361"/>
      <c r="EZ77" s="5362"/>
      <c r="FA77" s="5362"/>
      <c r="FB77" s="5363"/>
      <c r="FC77" s="5361"/>
      <c r="FD77" s="5362"/>
      <c r="FE77" s="5362"/>
      <c r="FF77" s="5363"/>
      <c r="FG77" s="5361"/>
      <c r="FH77" s="5362"/>
      <c r="FI77" s="5362"/>
      <c r="FJ77" s="5363"/>
      <c r="FK77" s="5361"/>
      <c r="FL77" s="5362"/>
      <c r="FM77" s="5362"/>
      <c r="FN77" s="5363"/>
      <c r="FO77" s="5361"/>
      <c r="FP77" s="5362"/>
      <c r="FQ77" s="5362"/>
      <c r="FR77" s="5363"/>
      <c r="FS77" s="5361"/>
      <c r="FT77" s="5362"/>
      <c r="FU77" s="5362"/>
      <c r="FV77" s="5363"/>
      <c r="FW77" s="5361"/>
      <c r="FX77" s="5362"/>
      <c r="FY77" s="5362"/>
      <c r="FZ77" s="5363"/>
      <c r="GA77" s="5361"/>
      <c r="GB77" s="5362"/>
      <c r="GC77" s="5362"/>
      <c r="GD77" s="5363"/>
    </row>
    <row r="78" spans="2:186" s="414" customFormat="1" ht="15" hidden="1" customHeight="1" outlineLevel="1">
      <c r="B78" s="2065"/>
      <c r="C78" s="2078" t="s">
        <v>3758</v>
      </c>
      <c r="D78" s="2079"/>
      <c r="E78" s="2079"/>
      <c r="F78" s="2080">
        <f ca="1">SUM(G78:GD78)</f>
        <v>32970.038530051803</v>
      </c>
      <c r="G78" s="2081">
        <f ca="1">G75-G77</f>
        <v>136.8718962685542</v>
      </c>
      <c r="H78" s="2082">
        <f t="shared" ref="H78:BR78" ca="1" si="121">H75-H77</f>
        <v>108.07529580855416</v>
      </c>
      <c r="I78" s="2082">
        <f t="shared" ca="1" si="121"/>
        <v>58.372855218554164</v>
      </c>
      <c r="J78" s="2083">
        <f t="shared" ca="1" si="121"/>
        <v>16.724687388554173</v>
      </c>
      <c r="K78" s="2081">
        <f t="shared" ca="1" si="121"/>
        <v>101.61547263933335</v>
      </c>
      <c r="L78" s="2082">
        <f t="shared" ca="1" si="121"/>
        <v>170.70014937571219</v>
      </c>
      <c r="M78" s="2082">
        <f t="shared" ca="1" si="121"/>
        <v>136.8702541657122</v>
      </c>
      <c r="N78" s="2083">
        <f t="shared" ca="1" si="121"/>
        <v>89.895936305712198</v>
      </c>
      <c r="O78" s="2081">
        <f t="shared" ca="1" si="121"/>
        <v>4.5257455899999997</v>
      </c>
      <c r="P78" s="2082">
        <f t="shared" ca="1" si="121"/>
        <v>23.430418859999975</v>
      </c>
      <c r="Q78" s="2082">
        <f t="shared" ca="1" si="121"/>
        <v>1.2139970800000022</v>
      </c>
      <c r="R78" s="2083">
        <f t="shared" ca="1" si="121"/>
        <v>7.5680049400000051</v>
      </c>
      <c r="S78" s="2081">
        <f t="shared" ca="1" si="121"/>
        <v>0</v>
      </c>
      <c r="T78" s="2082">
        <f t="shared" ca="1" si="121"/>
        <v>7.703740082373173</v>
      </c>
      <c r="U78" s="2082">
        <f t="shared" ca="1" si="121"/>
        <v>0</v>
      </c>
      <c r="V78" s="2083">
        <f t="shared" ca="1" si="121"/>
        <v>0</v>
      </c>
      <c r="W78" s="2081">
        <f t="shared" ca="1" si="121"/>
        <v>11.006923925605868</v>
      </c>
      <c r="X78" s="2082">
        <f t="shared" ca="1" si="121"/>
        <v>93.321218000074055</v>
      </c>
      <c r="Y78" s="2082">
        <f t="shared" ca="1" si="121"/>
        <v>52.631153866597124</v>
      </c>
      <c r="Z78" s="2083">
        <f t="shared" ca="1" si="121"/>
        <v>14.926766905465378</v>
      </c>
      <c r="AA78" s="2081">
        <f t="shared" ca="1" si="121"/>
        <v>0</v>
      </c>
      <c r="AB78" s="2082">
        <f t="shared" ca="1" si="121"/>
        <v>83.303797979740182</v>
      </c>
      <c r="AC78" s="2082">
        <f t="shared" ca="1" si="121"/>
        <v>43.333557095175998</v>
      </c>
      <c r="AD78" s="2083">
        <f t="shared" ca="1" si="121"/>
        <v>7.3600855626918715</v>
      </c>
      <c r="AE78" s="2081">
        <f t="shared" ca="1" si="121"/>
        <v>0</v>
      </c>
      <c r="AF78" s="2082">
        <f t="shared" ca="1" si="121"/>
        <v>0.19079295939331331</v>
      </c>
      <c r="AG78" s="2082">
        <f t="shared" ca="1" si="121"/>
        <v>0</v>
      </c>
      <c r="AH78" s="2083">
        <f t="shared" ca="1" si="121"/>
        <v>0</v>
      </c>
      <c r="AI78" s="2081">
        <f t="shared" ca="1" si="121"/>
        <v>0</v>
      </c>
      <c r="AJ78" s="2082">
        <f t="shared" ca="1" si="121"/>
        <v>0</v>
      </c>
      <c r="AK78" s="2082">
        <f t="shared" ca="1" si="121"/>
        <v>0</v>
      </c>
      <c r="AL78" s="2083">
        <f t="shared" ca="1" si="121"/>
        <v>0</v>
      </c>
      <c r="AM78" s="2081">
        <f t="shared" ca="1" si="121"/>
        <v>8.67856165501032</v>
      </c>
      <c r="AN78" s="2082">
        <f t="shared" ca="1" si="121"/>
        <v>12.918193493137032</v>
      </c>
      <c r="AO78" s="2082">
        <f t="shared" ca="1" si="121"/>
        <v>17.055884568440781</v>
      </c>
      <c r="AP78" s="2083">
        <f t="shared" ca="1" si="121"/>
        <v>21.517238126567499</v>
      </c>
      <c r="AQ78" s="2081">
        <f t="shared" ca="1" si="121"/>
        <v>25.330606475395982</v>
      </c>
      <c r="AR78" s="2082">
        <f t="shared" ca="1" si="121"/>
        <v>31.430805957389467</v>
      </c>
      <c r="AS78" s="2082">
        <f t="shared" ca="1" si="121"/>
        <v>37.390219414672714</v>
      </c>
      <c r="AT78" s="2083">
        <f t="shared" ca="1" si="121"/>
        <v>45.297618743233684</v>
      </c>
      <c r="AU78" s="2081">
        <f t="shared" ca="1" si="121"/>
        <v>44.970330946769515</v>
      </c>
      <c r="AV78" s="2082">
        <f t="shared" ca="1" si="121"/>
        <v>17.680676233040678</v>
      </c>
      <c r="AW78" s="2082">
        <f t="shared" ca="1" si="121"/>
        <v>18.444333133922306</v>
      </c>
      <c r="AX78" s="2083">
        <f t="shared" ca="1" si="121"/>
        <v>31.691078883427188</v>
      </c>
      <c r="AY78" s="2081">
        <f t="shared" ca="1" si="121"/>
        <v>45.683881707164836</v>
      </c>
      <c r="AZ78" s="2082">
        <f t="shared" ca="1" si="121"/>
        <v>45.919422720671186</v>
      </c>
      <c r="BA78" s="2082">
        <f t="shared" ca="1" si="121"/>
        <v>59.708989072342298</v>
      </c>
      <c r="BB78" s="2083">
        <f t="shared" ca="1" si="121"/>
        <v>75.701666940570306</v>
      </c>
      <c r="BC78" s="2081">
        <f t="shared" ca="1" si="121"/>
        <v>80.360381654241138</v>
      </c>
      <c r="BD78" s="2082">
        <f t="shared" ca="1" si="121"/>
        <v>62.777983962278377</v>
      </c>
      <c r="BE78" s="2082">
        <f t="shared" ca="1" si="121"/>
        <v>69.535814125151262</v>
      </c>
      <c r="BF78" s="2083">
        <f t="shared" ca="1" si="121"/>
        <v>81.295871253783048</v>
      </c>
      <c r="BG78" s="2081">
        <f t="shared" ca="1" si="121"/>
        <v>93.074365890979522</v>
      </c>
      <c r="BH78" s="2082">
        <f t="shared" ca="1" si="121"/>
        <v>82.996861415805597</v>
      </c>
      <c r="BI78" s="2082">
        <f t="shared" ca="1" si="121"/>
        <v>94.216635462224559</v>
      </c>
      <c r="BJ78" s="2083">
        <f t="shared" ca="1" si="121"/>
        <v>109.17991588362491</v>
      </c>
      <c r="BK78" s="2081">
        <f t="shared" ca="1" si="121"/>
        <v>129.71135565651429</v>
      </c>
      <c r="BL78" s="2082">
        <f t="shared" ca="1" si="121"/>
        <v>127.8643053677356</v>
      </c>
      <c r="BM78" s="2082">
        <f t="shared" ca="1" si="121"/>
        <v>148.638917252798</v>
      </c>
      <c r="BN78" s="2083">
        <f t="shared" ca="1" si="121"/>
        <v>173.4002076250149</v>
      </c>
      <c r="BO78" s="2081">
        <f t="shared" ca="1" si="121"/>
        <v>184.18906155423852</v>
      </c>
      <c r="BP78" s="2082">
        <f t="shared" ca="1" si="121"/>
        <v>168.01476291640151</v>
      </c>
      <c r="BQ78" s="2082">
        <f t="shared" ca="1" si="121"/>
        <v>179.78004869986225</v>
      </c>
      <c r="BR78" s="2083">
        <f t="shared" ca="1" si="121"/>
        <v>196.50844482471453</v>
      </c>
      <c r="BS78" s="2081">
        <f t="shared" ref="BS78:ED78" ca="1" si="122">BS75-BS77</f>
        <v>204.88990339444109</v>
      </c>
      <c r="BT78" s="2082">
        <f t="shared" ca="1" si="122"/>
        <v>185.62394994688236</v>
      </c>
      <c r="BU78" s="2082">
        <f t="shared" ca="1" si="122"/>
        <v>193.93969687927529</v>
      </c>
      <c r="BV78" s="2083">
        <f t="shared" ca="1" si="122"/>
        <v>207.15284251572609</v>
      </c>
      <c r="BW78" s="2081">
        <f t="shared" ca="1" si="122"/>
        <v>216.62129440620402</v>
      </c>
      <c r="BX78" s="2082">
        <f t="shared" ca="1" si="122"/>
        <v>195.46131896337619</v>
      </c>
      <c r="BY78" s="2082">
        <f t="shared" ca="1" si="122"/>
        <v>204.19191491429422</v>
      </c>
      <c r="BZ78" s="2083">
        <f t="shared" ca="1" si="122"/>
        <v>217.08205362971017</v>
      </c>
      <c r="CA78" s="2081">
        <f t="shared" ca="1" si="122"/>
        <v>231.91434520697015</v>
      </c>
      <c r="CB78" s="2082">
        <f t="shared" ca="1" si="122"/>
        <v>197.78679807863739</v>
      </c>
      <c r="CC78" s="2082">
        <f t="shared" ca="1" si="122"/>
        <v>213.96723319363338</v>
      </c>
      <c r="CD78" s="2083">
        <f t="shared" ca="1" si="122"/>
        <v>235.65535461086336</v>
      </c>
      <c r="CE78" s="2081">
        <f t="shared" ca="1" si="122"/>
        <v>242.85489402234981</v>
      </c>
      <c r="CF78" s="2082">
        <f t="shared" ca="1" si="122"/>
        <v>197.6497565677231</v>
      </c>
      <c r="CG78" s="2082">
        <f t="shared" ca="1" si="122"/>
        <v>204.59127262933595</v>
      </c>
      <c r="CH78" s="2083">
        <f t="shared" ca="1" si="122"/>
        <v>216.78245164330912</v>
      </c>
      <c r="CI78" s="2081">
        <f t="shared" ca="1" si="122"/>
        <v>206.87298515095512</v>
      </c>
      <c r="CJ78" s="2082">
        <f t="shared" ca="1" si="122"/>
        <v>130.14273947029619</v>
      </c>
      <c r="CK78" s="2082">
        <f t="shared" ca="1" si="122"/>
        <v>119.66342609347414</v>
      </c>
      <c r="CL78" s="2083">
        <f t="shared" ca="1" si="122"/>
        <v>113.86392878454463</v>
      </c>
      <c r="CM78" s="2081">
        <f t="shared" ca="1" si="122"/>
        <v>125.78897643210017</v>
      </c>
      <c r="CN78" s="2082">
        <f t="shared" ca="1" si="122"/>
        <v>69.183316324185839</v>
      </c>
      <c r="CO78" s="2082">
        <f t="shared" ca="1" si="122"/>
        <v>81.195755885627491</v>
      </c>
      <c r="CP78" s="2083">
        <f t="shared" ca="1" si="122"/>
        <v>97.975403428847684</v>
      </c>
      <c r="CQ78" s="2081">
        <f t="shared" ca="1" si="122"/>
        <v>112.12914045040466</v>
      </c>
      <c r="CR78" s="2082">
        <f t="shared" ca="1" si="122"/>
        <v>49.512144184029509</v>
      </c>
      <c r="CS78" s="2082">
        <f t="shared" ca="1" si="122"/>
        <v>65.499466090061816</v>
      </c>
      <c r="CT78" s="2083">
        <f t="shared" ca="1" si="122"/>
        <v>89.787580862347966</v>
      </c>
      <c r="CU78" s="2081">
        <f t="shared" ca="1" si="122"/>
        <v>106.73302458410302</v>
      </c>
      <c r="CV78" s="2082">
        <f t="shared" ca="1" si="122"/>
        <v>43.096257958381145</v>
      </c>
      <c r="CW78" s="2082">
        <f t="shared" ca="1" si="122"/>
        <v>60.486543600551443</v>
      </c>
      <c r="CX78" s="2083">
        <f t="shared" ca="1" si="122"/>
        <v>84.922464029390852</v>
      </c>
      <c r="CY78" s="2081">
        <f t="shared" ca="1" si="122"/>
        <v>104.59861656273756</v>
      </c>
      <c r="CZ78" s="2082">
        <f t="shared" ca="1" si="122"/>
        <v>50.141620073733918</v>
      </c>
      <c r="DA78" s="2082">
        <f t="shared" ca="1" si="122"/>
        <v>71.6896127172663</v>
      </c>
      <c r="DB78" s="2083">
        <f t="shared" ca="1" si="122"/>
        <v>102.15508025765351</v>
      </c>
      <c r="DC78" s="2081">
        <f t="shared" ca="1" si="122"/>
        <v>128.65257679173342</v>
      </c>
      <c r="DD78" s="2082">
        <f t="shared" ca="1" si="122"/>
        <v>61.427511455945478</v>
      </c>
      <c r="DE78" s="2082">
        <f t="shared" ca="1" si="122"/>
        <v>87.682529735490789</v>
      </c>
      <c r="DF78" s="2083">
        <f t="shared" ca="1" si="122"/>
        <v>122.61254465735641</v>
      </c>
      <c r="DG78" s="2081">
        <f t="shared" ca="1" si="122"/>
        <v>150.51464388816601</v>
      </c>
      <c r="DH78" s="2082">
        <f t="shared" ca="1" si="122"/>
        <v>78.860574705321142</v>
      </c>
      <c r="DI78" s="2082">
        <f t="shared" ca="1" si="122"/>
        <v>106.8375961088793</v>
      </c>
      <c r="DJ78" s="2083">
        <f t="shared" ca="1" si="122"/>
        <v>143.56453632750632</v>
      </c>
      <c r="DK78" s="2081">
        <f t="shared" ca="1" si="122"/>
        <v>166.86369078173891</v>
      </c>
      <c r="DL78" s="2082">
        <f t="shared" ca="1" si="122"/>
        <v>95.790029545751921</v>
      </c>
      <c r="DM78" s="2082">
        <f t="shared" ca="1" si="122"/>
        <v>120.00315091334177</v>
      </c>
      <c r="DN78" s="2083">
        <f t="shared" ca="1" si="122"/>
        <v>153.88015800935779</v>
      </c>
      <c r="DO78" s="2081">
        <f t="shared" ca="1" si="122"/>
        <v>177.20828468590821</v>
      </c>
      <c r="DP78" s="2082">
        <f t="shared" ca="1" si="122"/>
        <v>116.99379651688093</v>
      </c>
      <c r="DQ78" s="2082">
        <f t="shared" ca="1" si="122"/>
        <v>140.71324334413302</v>
      </c>
      <c r="DR78" s="2083">
        <f t="shared" ca="1" si="122"/>
        <v>174.48789605051275</v>
      </c>
      <c r="DS78" s="2081">
        <f t="shared" ca="1" si="122"/>
        <v>201.43744653520446</v>
      </c>
      <c r="DT78" s="2082">
        <f t="shared" ca="1" si="122"/>
        <v>175.49136063779196</v>
      </c>
      <c r="DU78" s="2082">
        <f t="shared" ca="1" si="122"/>
        <v>201.81635968733389</v>
      </c>
      <c r="DV78" s="2083">
        <f t="shared" ca="1" si="122"/>
        <v>237.57201318085373</v>
      </c>
      <c r="DW78" s="2081">
        <f t="shared" ca="1" si="122"/>
        <v>255.86125447361357</v>
      </c>
      <c r="DX78" s="2082">
        <f t="shared" ca="1" si="122"/>
        <v>216.20111070040733</v>
      </c>
      <c r="DY78" s="2082">
        <f t="shared" ca="1" si="122"/>
        <v>235.76744179688532</v>
      </c>
      <c r="DZ78" s="2083">
        <f t="shared" ca="1" si="122"/>
        <v>266.04151714105956</v>
      </c>
      <c r="EA78" s="2081">
        <f t="shared" ca="1" si="122"/>
        <v>296.34301503354459</v>
      </c>
      <c r="EB78" s="2082">
        <f t="shared" ca="1" si="122"/>
        <v>272.26056599042494</v>
      </c>
      <c r="EC78" s="2082">
        <f t="shared" ca="1" si="122"/>
        <v>301.47294514680652</v>
      </c>
      <c r="ED78" s="2083">
        <f t="shared" ca="1" si="122"/>
        <v>340.30394981478099</v>
      </c>
      <c r="EE78" s="2081">
        <f t="shared" ref="EE78:GD78" ca="1" si="123">EE75-EE77</f>
        <v>359.20197272138859</v>
      </c>
      <c r="EF78" s="2082">
        <f t="shared" ca="1" si="123"/>
        <v>321.31678333508484</v>
      </c>
      <c r="EG78" s="2082">
        <f t="shared" ca="1" si="123"/>
        <v>340.99936846344451</v>
      </c>
      <c r="EH78" s="2083">
        <f t="shared" ca="1" si="123"/>
        <v>371.0851413251491</v>
      </c>
      <c r="EI78" s="2081">
        <f t="shared" ca="1" si="123"/>
        <v>396.56197027400481</v>
      </c>
      <c r="EJ78" s="2082">
        <f t="shared" ca="1" si="123"/>
        <v>358.55860159055152</v>
      </c>
      <c r="EK78" s="2082">
        <f t="shared" ca="1" si="123"/>
        <v>385.36517625917509</v>
      </c>
      <c r="EL78" s="2083">
        <f t="shared" ca="1" si="123"/>
        <v>423.90468438091142</v>
      </c>
      <c r="EM78" s="2081">
        <f t="shared" ca="1" si="123"/>
        <v>453.90171740784365</v>
      </c>
      <c r="EN78" s="2082">
        <f t="shared" ca="1" si="123"/>
        <v>420.75694359357738</v>
      </c>
      <c r="EO78" s="2082">
        <f t="shared" ca="1" si="123"/>
        <v>450.37880093683623</v>
      </c>
      <c r="EP78" s="2083">
        <f t="shared" ca="1" si="123"/>
        <v>491.35841604953441</v>
      </c>
      <c r="EQ78" s="2081">
        <f t="shared" ca="1" si="123"/>
        <v>519.44676676334336</v>
      </c>
      <c r="ER78" s="2082">
        <f t="shared" ca="1" si="123"/>
        <v>484.36706980021887</v>
      </c>
      <c r="ES78" s="2082">
        <f t="shared" ca="1" si="123"/>
        <v>512.54570192452638</v>
      </c>
      <c r="ET78" s="2083">
        <f t="shared" ca="1" si="123"/>
        <v>552.17237322877213</v>
      </c>
      <c r="EU78" s="2081">
        <f t="shared" ca="1" si="123"/>
        <v>581.60735030090586</v>
      </c>
      <c r="EV78" s="2082">
        <f t="shared" ca="1" si="123"/>
        <v>539.53022152000688</v>
      </c>
      <c r="EW78" s="2082">
        <f t="shared" ca="1" si="123"/>
        <v>570.82153128477603</v>
      </c>
      <c r="EX78" s="2083">
        <f t="shared" ca="1" si="123"/>
        <v>615.41721292211844</v>
      </c>
      <c r="EY78" s="2081">
        <f t="shared" ca="1" si="123"/>
        <v>644.68758398326815</v>
      </c>
      <c r="EZ78" s="2082">
        <f t="shared" ca="1" si="123"/>
        <v>600.39560319915688</v>
      </c>
      <c r="FA78" s="2082">
        <f t="shared" ca="1" si="123"/>
        <v>629.70958673103291</v>
      </c>
      <c r="FB78" s="2083">
        <f t="shared" ca="1" si="123"/>
        <v>672.37155460620841</v>
      </c>
      <c r="FC78" s="2081">
        <f t="shared" ca="1" si="123"/>
        <v>704.88431454036277</v>
      </c>
      <c r="FD78" s="2082">
        <f t="shared" ca="1" si="123"/>
        <v>662.47430785551023</v>
      </c>
      <c r="FE78" s="2082">
        <f t="shared" ca="1" si="123"/>
        <v>695.28322592844779</v>
      </c>
      <c r="FF78" s="2083">
        <f t="shared" ca="1" si="123"/>
        <v>741.73628648346823</v>
      </c>
      <c r="FG78" s="2081">
        <f t="shared" ca="1" si="123"/>
        <v>769.1687365523585</v>
      </c>
      <c r="FH78" s="2082">
        <f t="shared" ca="1" si="123"/>
        <v>716.20152107534977</v>
      </c>
      <c r="FI78" s="2082">
        <f t="shared" ca="1" si="123"/>
        <v>744.79915634007875</v>
      </c>
      <c r="FJ78" s="2083">
        <f t="shared" ca="1" si="123"/>
        <v>788.20611928272911</v>
      </c>
      <c r="FK78" s="2081">
        <f t="shared" ca="1" si="123"/>
        <v>784.36420038822143</v>
      </c>
      <c r="FL78" s="2082">
        <f t="shared" ca="1" si="123"/>
        <v>697.58643016835492</v>
      </c>
      <c r="FM78" s="2082">
        <f t="shared" ca="1" si="123"/>
        <v>0</v>
      </c>
      <c r="FN78" s="2083">
        <f t="shared" ca="1" si="123"/>
        <v>0</v>
      </c>
      <c r="FO78" s="2081">
        <f t="shared" ca="1" si="123"/>
        <v>0</v>
      </c>
      <c r="FP78" s="2082">
        <f t="shared" ca="1" si="123"/>
        <v>0</v>
      </c>
      <c r="FQ78" s="2082">
        <f t="shared" ca="1" si="123"/>
        <v>0</v>
      </c>
      <c r="FR78" s="2083">
        <f t="shared" ca="1" si="123"/>
        <v>0</v>
      </c>
      <c r="FS78" s="2081">
        <f t="shared" ca="1" si="123"/>
        <v>0</v>
      </c>
      <c r="FT78" s="2082">
        <f t="shared" ca="1" si="123"/>
        <v>0</v>
      </c>
      <c r="FU78" s="2082">
        <f t="shared" ca="1" si="123"/>
        <v>0</v>
      </c>
      <c r="FV78" s="2083">
        <f t="shared" ca="1" si="123"/>
        <v>0</v>
      </c>
      <c r="FW78" s="2081">
        <f t="shared" ca="1" si="123"/>
        <v>0</v>
      </c>
      <c r="FX78" s="2082">
        <f t="shared" ca="1" si="123"/>
        <v>0</v>
      </c>
      <c r="FY78" s="2082">
        <f t="shared" ca="1" si="123"/>
        <v>0</v>
      </c>
      <c r="FZ78" s="2083">
        <f t="shared" ca="1" si="123"/>
        <v>0</v>
      </c>
      <c r="GA78" s="2081">
        <f t="shared" ca="1" si="123"/>
        <v>0</v>
      </c>
      <c r="GB78" s="2082">
        <f t="shared" ca="1" si="123"/>
        <v>0</v>
      </c>
      <c r="GC78" s="2082">
        <f t="shared" ca="1" si="123"/>
        <v>0</v>
      </c>
      <c r="GD78" s="2083">
        <f t="shared" ca="1" si="123"/>
        <v>0</v>
      </c>
    </row>
    <row r="79" spans="2:186" s="5393" customFormat="1" ht="15" customHeight="1" collapsed="1">
      <c r="B79" s="5394"/>
      <c r="C79" s="5395"/>
      <c r="D79" s="5395"/>
      <c r="E79" s="5395"/>
      <c r="F79" s="2066"/>
      <c r="G79" s="2066"/>
      <c r="H79" s="2066"/>
      <c r="I79" s="2066"/>
      <c r="J79" s="2066"/>
      <c r="K79" s="2066"/>
      <c r="L79" s="2066"/>
      <c r="M79" s="2066"/>
      <c r="N79" s="2066"/>
      <c r="O79" s="2066"/>
      <c r="P79" s="2066"/>
      <c r="Q79" s="2066"/>
      <c r="R79" s="2066"/>
      <c r="S79" s="2066"/>
      <c r="T79" s="2066"/>
      <c r="U79" s="2066"/>
      <c r="V79" s="2066"/>
      <c r="W79" s="2066"/>
      <c r="X79" s="2066"/>
      <c r="Y79" s="2066"/>
      <c r="Z79" s="2066"/>
      <c r="AA79" s="2066"/>
      <c r="AB79" s="2066"/>
      <c r="AC79" s="2066"/>
      <c r="AD79" s="2066"/>
      <c r="AE79" s="2066"/>
      <c r="AF79" s="2066"/>
      <c r="AG79" s="2066"/>
      <c r="AH79" s="2066"/>
      <c r="AI79" s="2066"/>
      <c r="AJ79" s="2066"/>
      <c r="AK79" s="2066"/>
      <c r="AL79" s="2066"/>
      <c r="AM79" s="2066"/>
      <c r="AN79" s="2066"/>
      <c r="AO79" s="2066"/>
      <c r="AP79" s="2066"/>
      <c r="AQ79" s="2066"/>
      <c r="AR79" s="2066"/>
      <c r="AS79" s="2066"/>
      <c r="AT79" s="2066"/>
      <c r="AU79" s="2066"/>
      <c r="AV79" s="2066"/>
      <c r="AW79" s="2066"/>
      <c r="AX79" s="2066"/>
      <c r="AY79" s="2066"/>
      <c r="AZ79" s="2066"/>
      <c r="BA79" s="2066"/>
      <c r="BB79" s="2066"/>
      <c r="BC79" s="2066"/>
      <c r="BD79" s="2066"/>
      <c r="BE79" s="2066"/>
      <c r="BF79" s="2066"/>
      <c r="BG79" s="2066"/>
      <c r="BH79" s="2066"/>
      <c r="BI79" s="2066"/>
      <c r="BJ79" s="2066"/>
      <c r="BK79" s="2066"/>
      <c r="BL79" s="2066"/>
      <c r="BM79" s="2066"/>
      <c r="BN79" s="2066"/>
      <c r="BO79" s="2066"/>
      <c r="BP79" s="2066"/>
      <c r="BQ79" s="2066"/>
      <c r="BR79" s="2066"/>
      <c r="BS79" s="2066"/>
      <c r="BT79" s="2066"/>
      <c r="BU79" s="2066"/>
      <c r="BV79" s="2066"/>
      <c r="BW79" s="2066"/>
      <c r="BX79" s="2066"/>
      <c r="BY79" s="2066"/>
      <c r="BZ79" s="2066"/>
      <c r="CA79" s="2066"/>
      <c r="CB79" s="2066"/>
      <c r="CC79" s="2066"/>
      <c r="CD79" s="2066"/>
      <c r="CE79" s="2066"/>
      <c r="CF79" s="2066"/>
      <c r="CG79" s="2066"/>
      <c r="CH79" s="2066"/>
      <c r="CI79" s="2066"/>
      <c r="CJ79" s="2066"/>
      <c r="CK79" s="2066"/>
      <c r="CL79" s="2066"/>
      <c r="CM79" s="2066"/>
      <c r="CN79" s="2066"/>
      <c r="CO79" s="2066"/>
      <c r="CP79" s="2066"/>
      <c r="CQ79" s="2066"/>
      <c r="CR79" s="2066"/>
      <c r="CS79" s="2066"/>
      <c r="CT79" s="2066"/>
      <c r="CU79" s="2066"/>
      <c r="CV79" s="2066"/>
      <c r="CW79" s="2066"/>
      <c r="CX79" s="2066"/>
      <c r="CY79" s="2066"/>
      <c r="CZ79" s="2066"/>
      <c r="DA79" s="2066"/>
      <c r="DB79" s="2066"/>
      <c r="DC79" s="2066"/>
      <c r="DD79" s="2066"/>
      <c r="DE79" s="2066"/>
      <c r="DF79" s="2066"/>
      <c r="DG79" s="2066"/>
      <c r="DH79" s="2066"/>
      <c r="DI79" s="2066"/>
      <c r="DJ79" s="2066"/>
      <c r="DK79" s="2066"/>
      <c r="DL79" s="2066"/>
      <c r="DM79" s="2066"/>
      <c r="DN79" s="2066"/>
      <c r="DO79" s="2066"/>
      <c r="DP79" s="2066"/>
      <c r="DQ79" s="2066"/>
      <c r="DR79" s="2066"/>
      <c r="DS79" s="2066"/>
      <c r="DT79" s="2066"/>
      <c r="DU79" s="2066"/>
      <c r="DV79" s="2066"/>
      <c r="DW79" s="2066"/>
      <c r="DX79" s="2066"/>
      <c r="DY79" s="2066"/>
      <c r="DZ79" s="2066"/>
      <c r="EA79" s="2066"/>
      <c r="EB79" s="2066"/>
      <c r="EC79" s="2066"/>
      <c r="ED79" s="2066"/>
      <c r="EE79" s="2066"/>
      <c r="EF79" s="2066"/>
      <c r="EG79" s="2066"/>
      <c r="EH79" s="2066"/>
      <c r="EI79" s="2066"/>
      <c r="EJ79" s="2066"/>
      <c r="EK79" s="2066"/>
      <c r="EL79" s="2066"/>
      <c r="EM79" s="2066"/>
      <c r="EN79" s="2066"/>
      <c r="EO79" s="2066"/>
      <c r="EP79" s="2066"/>
      <c r="EQ79" s="2066"/>
      <c r="ER79" s="2066"/>
      <c r="ES79" s="2066"/>
      <c r="ET79" s="2066"/>
      <c r="EU79" s="2066"/>
      <c r="EV79" s="2066"/>
      <c r="EW79" s="2066"/>
      <c r="EX79" s="2066"/>
      <c r="EY79" s="2066"/>
      <c r="EZ79" s="2066"/>
      <c r="FA79" s="2066"/>
      <c r="FB79" s="2066"/>
      <c r="FC79" s="2066"/>
      <c r="FD79" s="2066"/>
      <c r="FE79" s="2066"/>
      <c r="FF79" s="2066"/>
      <c r="FG79" s="2066"/>
      <c r="FH79" s="2066"/>
      <c r="FI79" s="2066"/>
      <c r="FJ79" s="2066"/>
      <c r="FK79" s="2066"/>
      <c r="FL79" s="2066"/>
      <c r="FM79" s="2066"/>
      <c r="FN79" s="2066"/>
      <c r="FO79" s="2066"/>
      <c r="FP79" s="2066"/>
      <c r="FQ79" s="2066"/>
      <c r="FR79" s="2066"/>
      <c r="FS79" s="2066"/>
      <c r="FT79" s="2066"/>
      <c r="FU79" s="2066"/>
      <c r="FV79" s="2066"/>
      <c r="FW79" s="2066"/>
      <c r="FX79" s="2066"/>
      <c r="FY79" s="2066"/>
      <c r="FZ79" s="2066"/>
      <c r="GA79" s="2066"/>
      <c r="GB79" s="2066"/>
      <c r="GC79" s="2066"/>
      <c r="GD79" s="2066"/>
    </row>
    <row r="80" spans="2:186" ht="15" customHeight="1">
      <c r="B80" s="2105">
        <v>6</v>
      </c>
      <c r="C80" s="2065" t="str">
        <f>'CF(Q)'!C42</f>
        <v>상환우선주</v>
      </c>
      <c r="D80" s="2065"/>
      <c r="E80" s="2065"/>
      <c r="F80" s="469"/>
      <c r="G80" s="469"/>
      <c r="H80" s="469"/>
      <c r="I80" s="469"/>
      <c r="J80" s="469"/>
      <c r="K80" s="469"/>
      <c r="L80" s="469"/>
      <c r="M80" s="469"/>
      <c r="N80" s="469"/>
      <c r="O80" s="469"/>
      <c r="P80" s="469"/>
      <c r="Q80" s="469"/>
      <c r="R80" s="469"/>
      <c r="S80" s="469"/>
      <c r="T80" s="469"/>
      <c r="U80" s="469"/>
      <c r="V80" s="469"/>
      <c r="W80" s="469"/>
      <c r="X80" s="469"/>
      <c r="Y80" s="469"/>
      <c r="Z80" s="469"/>
      <c r="AA80" s="469"/>
      <c r="AB80" s="469"/>
      <c r="AC80" s="469"/>
      <c r="AD80" s="469"/>
      <c r="AE80" s="469"/>
      <c r="AF80" s="469"/>
      <c r="AG80" s="469"/>
      <c r="AH80" s="469"/>
      <c r="AI80" s="469"/>
      <c r="AJ80" s="469"/>
      <c r="AK80" s="469"/>
      <c r="AL80" s="469"/>
      <c r="AM80" s="469"/>
      <c r="AN80" s="469"/>
      <c r="AO80" s="469"/>
      <c r="AP80" s="469"/>
      <c r="AQ80" s="469"/>
      <c r="AR80" s="469"/>
      <c r="AS80" s="469"/>
      <c r="AT80" s="469"/>
      <c r="AU80" s="469"/>
      <c r="AV80" s="469"/>
      <c r="AW80" s="469"/>
      <c r="AX80" s="469"/>
      <c r="AY80" s="469"/>
      <c r="AZ80" s="469"/>
      <c r="BA80" s="469"/>
      <c r="BB80" s="469"/>
      <c r="BC80" s="469"/>
      <c r="BD80" s="469"/>
      <c r="BE80" s="469"/>
      <c r="BF80" s="469"/>
      <c r="BG80" s="469"/>
      <c r="BH80" s="469"/>
      <c r="BI80" s="469"/>
      <c r="BJ80" s="469"/>
      <c r="BK80" s="469"/>
      <c r="BL80" s="469"/>
      <c r="BM80" s="469"/>
      <c r="BN80" s="469"/>
      <c r="BO80" s="469"/>
      <c r="BP80" s="469"/>
      <c r="BQ80" s="469"/>
      <c r="BR80" s="469"/>
      <c r="BS80" s="469"/>
      <c r="BT80" s="469"/>
      <c r="BU80" s="469"/>
      <c r="BV80" s="469"/>
      <c r="BW80" s="469"/>
      <c r="BX80" s="469"/>
      <c r="BY80" s="469"/>
      <c r="BZ80" s="469"/>
      <c r="CA80" s="469"/>
      <c r="CB80" s="469"/>
      <c r="CC80" s="469"/>
      <c r="CD80" s="469"/>
      <c r="CE80" s="469"/>
      <c r="CF80" s="469"/>
      <c r="CG80" s="469"/>
      <c r="CH80" s="469"/>
      <c r="CI80" s="469"/>
      <c r="CJ80" s="469"/>
      <c r="CK80" s="469"/>
      <c r="CL80" s="469"/>
      <c r="CM80" s="469"/>
      <c r="CN80" s="469"/>
      <c r="CO80" s="469"/>
      <c r="CP80" s="469"/>
      <c r="CQ80" s="469"/>
      <c r="CR80" s="469"/>
      <c r="CS80" s="469"/>
      <c r="CT80" s="469"/>
      <c r="CU80" s="469"/>
      <c r="CV80" s="469"/>
      <c r="CW80" s="469"/>
      <c r="CX80" s="469"/>
      <c r="CY80" s="469"/>
      <c r="CZ80" s="469"/>
      <c r="DA80" s="469"/>
      <c r="DB80" s="469"/>
      <c r="DC80" s="469"/>
      <c r="DD80" s="469"/>
      <c r="DE80" s="469"/>
      <c r="DF80" s="469"/>
      <c r="DG80" s="469"/>
      <c r="DH80" s="469"/>
      <c r="DI80" s="469"/>
      <c r="DJ80" s="469"/>
      <c r="DK80" s="469"/>
      <c r="DL80" s="469"/>
      <c r="DM80" s="469"/>
      <c r="DN80" s="469"/>
      <c r="DO80" s="469"/>
      <c r="DP80" s="469"/>
      <c r="DQ80" s="469"/>
      <c r="DR80" s="469"/>
      <c r="DS80" s="469"/>
      <c r="DT80" s="469"/>
      <c r="DU80" s="469"/>
      <c r="DV80" s="469"/>
      <c r="DW80" s="469"/>
      <c r="DX80" s="469"/>
      <c r="DY80" s="469"/>
      <c r="DZ80" s="469"/>
      <c r="EA80" s="469"/>
      <c r="EB80" s="469"/>
      <c r="EC80" s="469"/>
      <c r="ED80" s="469"/>
      <c r="EE80" s="469"/>
      <c r="EF80" s="469"/>
      <c r="EG80" s="469"/>
      <c r="EH80" s="469"/>
      <c r="EI80" s="469"/>
      <c r="EJ80" s="469"/>
      <c r="EK80" s="469"/>
      <c r="EL80" s="469"/>
      <c r="EM80" s="469"/>
      <c r="EN80" s="469"/>
      <c r="EO80" s="469"/>
      <c r="EP80" s="469"/>
      <c r="EQ80" s="469"/>
      <c r="ER80" s="469"/>
      <c r="ES80" s="469"/>
      <c r="ET80" s="469"/>
      <c r="EU80" s="469"/>
      <c r="EV80" s="469"/>
      <c r="EW80" s="469"/>
      <c r="EX80" s="469"/>
      <c r="EY80" s="469"/>
      <c r="EZ80" s="469"/>
      <c r="FA80" s="469"/>
      <c r="FB80" s="469"/>
      <c r="FC80" s="469"/>
      <c r="FD80" s="469"/>
      <c r="FE80" s="469"/>
      <c r="FF80" s="469"/>
      <c r="FG80" s="469"/>
      <c r="FH80" s="469"/>
      <c r="FI80" s="469"/>
      <c r="FJ80" s="469"/>
      <c r="FK80" s="469"/>
      <c r="FL80" s="469"/>
      <c r="FM80" s="469"/>
      <c r="FN80" s="469"/>
      <c r="FO80" s="469"/>
      <c r="FP80" s="469"/>
      <c r="FQ80" s="469"/>
      <c r="FR80" s="469"/>
      <c r="FS80" s="469"/>
      <c r="FT80" s="469"/>
      <c r="FU80" s="469"/>
      <c r="FV80" s="469"/>
      <c r="FW80" s="469"/>
      <c r="FX80" s="469"/>
      <c r="FY80" s="469"/>
      <c r="FZ80" s="469"/>
      <c r="GA80" s="469"/>
      <c r="GB80" s="469"/>
      <c r="GC80" s="469"/>
      <c r="GD80" s="469"/>
    </row>
    <row r="81" spans="1:186" ht="15" customHeight="1">
      <c r="A81" s="303"/>
      <c r="B81" s="303"/>
      <c r="C81" s="717" t="s">
        <v>11</v>
      </c>
      <c r="D81" s="718"/>
      <c r="E81" s="718"/>
      <c r="F81" s="766" t="s">
        <v>195</v>
      </c>
      <c r="G81" s="640">
        <f>기준분기</f>
        <v>43555</v>
      </c>
      <c r="H81" s="641">
        <f t="shared" ref="H81:BS81" si="124">EOMONTH(G81,3)</f>
        <v>43646</v>
      </c>
      <c r="I81" s="641">
        <f t="shared" si="124"/>
        <v>43738</v>
      </c>
      <c r="J81" s="642">
        <f t="shared" si="124"/>
        <v>43830</v>
      </c>
      <c r="K81" s="640">
        <f t="shared" si="124"/>
        <v>43921</v>
      </c>
      <c r="L81" s="641">
        <f t="shared" si="124"/>
        <v>44012</v>
      </c>
      <c r="M81" s="641">
        <f t="shared" si="124"/>
        <v>44104</v>
      </c>
      <c r="N81" s="642">
        <f t="shared" si="124"/>
        <v>44196</v>
      </c>
      <c r="O81" s="640">
        <f t="shared" si="124"/>
        <v>44286</v>
      </c>
      <c r="P81" s="641">
        <f t="shared" si="124"/>
        <v>44377</v>
      </c>
      <c r="Q81" s="641">
        <f t="shared" si="124"/>
        <v>44469</v>
      </c>
      <c r="R81" s="642">
        <f t="shared" si="124"/>
        <v>44561</v>
      </c>
      <c r="S81" s="640">
        <f t="shared" si="124"/>
        <v>44651</v>
      </c>
      <c r="T81" s="641">
        <f t="shared" si="124"/>
        <v>44742</v>
      </c>
      <c r="U81" s="641">
        <f t="shared" si="124"/>
        <v>44834</v>
      </c>
      <c r="V81" s="642">
        <f t="shared" si="124"/>
        <v>44926</v>
      </c>
      <c r="W81" s="640">
        <f t="shared" si="124"/>
        <v>45016</v>
      </c>
      <c r="X81" s="641">
        <f t="shared" si="124"/>
        <v>45107</v>
      </c>
      <c r="Y81" s="641">
        <f t="shared" si="124"/>
        <v>45199</v>
      </c>
      <c r="Z81" s="642">
        <f t="shared" si="124"/>
        <v>45291</v>
      </c>
      <c r="AA81" s="640">
        <f t="shared" si="124"/>
        <v>45382</v>
      </c>
      <c r="AB81" s="641">
        <f t="shared" si="124"/>
        <v>45473</v>
      </c>
      <c r="AC81" s="641">
        <f t="shared" si="124"/>
        <v>45565</v>
      </c>
      <c r="AD81" s="642">
        <f t="shared" si="124"/>
        <v>45657</v>
      </c>
      <c r="AE81" s="640">
        <f t="shared" si="124"/>
        <v>45747</v>
      </c>
      <c r="AF81" s="641">
        <f t="shared" si="124"/>
        <v>45838</v>
      </c>
      <c r="AG81" s="641">
        <f t="shared" si="124"/>
        <v>45930</v>
      </c>
      <c r="AH81" s="642">
        <f t="shared" si="124"/>
        <v>46022</v>
      </c>
      <c r="AI81" s="640">
        <f t="shared" si="124"/>
        <v>46112</v>
      </c>
      <c r="AJ81" s="641">
        <f t="shared" si="124"/>
        <v>46203</v>
      </c>
      <c r="AK81" s="641">
        <f t="shared" si="124"/>
        <v>46295</v>
      </c>
      <c r="AL81" s="642">
        <f t="shared" si="124"/>
        <v>46387</v>
      </c>
      <c r="AM81" s="640">
        <f t="shared" si="124"/>
        <v>46477</v>
      </c>
      <c r="AN81" s="641">
        <f t="shared" si="124"/>
        <v>46568</v>
      </c>
      <c r="AO81" s="641">
        <f t="shared" si="124"/>
        <v>46660</v>
      </c>
      <c r="AP81" s="642">
        <f t="shared" si="124"/>
        <v>46752</v>
      </c>
      <c r="AQ81" s="640">
        <f t="shared" si="124"/>
        <v>46843</v>
      </c>
      <c r="AR81" s="641">
        <f t="shared" si="124"/>
        <v>46934</v>
      </c>
      <c r="AS81" s="641">
        <f t="shared" si="124"/>
        <v>47026</v>
      </c>
      <c r="AT81" s="642">
        <f t="shared" si="124"/>
        <v>47118</v>
      </c>
      <c r="AU81" s="640">
        <f t="shared" si="124"/>
        <v>47208</v>
      </c>
      <c r="AV81" s="641">
        <f t="shared" si="124"/>
        <v>47299</v>
      </c>
      <c r="AW81" s="641">
        <f t="shared" si="124"/>
        <v>47391</v>
      </c>
      <c r="AX81" s="642">
        <f t="shared" si="124"/>
        <v>47483</v>
      </c>
      <c r="AY81" s="640">
        <f t="shared" si="124"/>
        <v>47573</v>
      </c>
      <c r="AZ81" s="641">
        <f t="shared" si="124"/>
        <v>47664</v>
      </c>
      <c r="BA81" s="641">
        <f t="shared" si="124"/>
        <v>47756</v>
      </c>
      <c r="BB81" s="642">
        <f t="shared" si="124"/>
        <v>47848</v>
      </c>
      <c r="BC81" s="640">
        <f t="shared" si="124"/>
        <v>47938</v>
      </c>
      <c r="BD81" s="641">
        <f t="shared" si="124"/>
        <v>48029</v>
      </c>
      <c r="BE81" s="641">
        <f t="shared" si="124"/>
        <v>48121</v>
      </c>
      <c r="BF81" s="642">
        <f t="shared" si="124"/>
        <v>48213</v>
      </c>
      <c r="BG81" s="640">
        <f t="shared" si="124"/>
        <v>48304</v>
      </c>
      <c r="BH81" s="641">
        <f t="shared" si="124"/>
        <v>48395</v>
      </c>
      <c r="BI81" s="641">
        <f t="shared" si="124"/>
        <v>48487</v>
      </c>
      <c r="BJ81" s="642">
        <f t="shared" si="124"/>
        <v>48579</v>
      </c>
      <c r="BK81" s="640">
        <f t="shared" si="124"/>
        <v>48669</v>
      </c>
      <c r="BL81" s="641">
        <f t="shared" si="124"/>
        <v>48760</v>
      </c>
      <c r="BM81" s="641">
        <f t="shared" si="124"/>
        <v>48852</v>
      </c>
      <c r="BN81" s="642">
        <f t="shared" si="124"/>
        <v>48944</v>
      </c>
      <c r="BO81" s="640">
        <f t="shared" si="124"/>
        <v>49034</v>
      </c>
      <c r="BP81" s="641">
        <f t="shared" si="124"/>
        <v>49125</v>
      </c>
      <c r="BQ81" s="641">
        <f t="shared" si="124"/>
        <v>49217</v>
      </c>
      <c r="BR81" s="642">
        <f t="shared" si="124"/>
        <v>49309</v>
      </c>
      <c r="BS81" s="640">
        <f t="shared" si="124"/>
        <v>49399</v>
      </c>
      <c r="BT81" s="641">
        <f t="shared" ref="BT81:EE81" si="125">EOMONTH(BS81,3)</f>
        <v>49490</v>
      </c>
      <c r="BU81" s="641">
        <f t="shared" si="125"/>
        <v>49582</v>
      </c>
      <c r="BV81" s="642">
        <f t="shared" si="125"/>
        <v>49674</v>
      </c>
      <c r="BW81" s="640">
        <f t="shared" si="125"/>
        <v>49765</v>
      </c>
      <c r="BX81" s="641">
        <f t="shared" si="125"/>
        <v>49856</v>
      </c>
      <c r="BY81" s="641">
        <f t="shared" si="125"/>
        <v>49948</v>
      </c>
      <c r="BZ81" s="642">
        <f t="shared" si="125"/>
        <v>50040</v>
      </c>
      <c r="CA81" s="640">
        <f t="shared" si="125"/>
        <v>50130</v>
      </c>
      <c r="CB81" s="641">
        <f t="shared" si="125"/>
        <v>50221</v>
      </c>
      <c r="CC81" s="641">
        <f t="shared" si="125"/>
        <v>50313</v>
      </c>
      <c r="CD81" s="642">
        <f t="shared" si="125"/>
        <v>50405</v>
      </c>
      <c r="CE81" s="640">
        <f t="shared" si="125"/>
        <v>50495</v>
      </c>
      <c r="CF81" s="641">
        <f t="shared" si="125"/>
        <v>50586</v>
      </c>
      <c r="CG81" s="641">
        <f t="shared" si="125"/>
        <v>50678</v>
      </c>
      <c r="CH81" s="642">
        <f t="shared" si="125"/>
        <v>50770</v>
      </c>
      <c r="CI81" s="640">
        <f t="shared" si="125"/>
        <v>50860</v>
      </c>
      <c r="CJ81" s="641">
        <f t="shared" si="125"/>
        <v>50951</v>
      </c>
      <c r="CK81" s="641">
        <f t="shared" si="125"/>
        <v>51043</v>
      </c>
      <c r="CL81" s="642">
        <f t="shared" si="125"/>
        <v>51135</v>
      </c>
      <c r="CM81" s="640">
        <f t="shared" si="125"/>
        <v>51226</v>
      </c>
      <c r="CN81" s="641">
        <f t="shared" si="125"/>
        <v>51317</v>
      </c>
      <c r="CO81" s="641">
        <f t="shared" si="125"/>
        <v>51409</v>
      </c>
      <c r="CP81" s="642">
        <f t="shared" si="125"/>
        <v>51501</v>
      </c>
      <c r="CQ81" s="640">
        <f t="shared" si="125"/>
        <v>51591</v>
      </c>
      <c r="CR81" s="641">
        <f t="shared" si="125"/>
        <v>51682</v>
      </c>
      <c r="CS81" s="641">
        <f t="shared" si="125"/>
        <v>51774</v>
      </c>
      <c r="CT81" s="642">
        <f t="shared" si="125"/>
        <v>51866</v>
      </c>
      <c r="CU81" s="640">
        <f t="shared" si="125"/>
        <v>51956</v>
      </c>
      <c r="CV81" s="641">
        <f t="shared" si="125"/>
        <v>52047</v>
      </c>
      <c r="CW81" s="641">
        <f t="shared" si="125"/>
        <v>52139</v>
      </c>
      <c r="CX81" s="642">
        <f t="shared" si="125"/>
        <v>52231</v>
      </c>
      <c r="CY81" s="640">
        <f t="shared" si="125"/>
        <v>52321</v>
      </c>
      <c r="CZ81" s="641">
        <f t="shared" si="125"/>
        <v>52412</v>
      </c>
      <c r="DA81" s="641">
        <f t="shared" si="125"/>
        <v>52504</v>
      </c>
      <c r="DB81" s="642">
        <f t="shared" si="125"/>
        <v>52596</v>
      </c>
      <c r="DC81" s="640">
        <f t="shared" si="125"/>
        <v>52687</v>
      </c>
      <c r="DD81" s="641">
        <f t="shared" si="125"/>
        <v>52778</v>
      </c>
      <c r="DE81" s="641">
        <f t="shared" si="125"/>
        <v>52870</v>
      </c>
      <c r="DF81" s="642">
        <f t="shared" si="125"/>
        <v>52962</v>
      </c>
      <c r="DG81" s="640">
        <f t="shared" si="125"/>
        <v>53052</v>
      </c>
      <c r="DH81" s="641">
        <f t="shared" si="125"/>
        <v>53143</v>
      </c>
      <c r="DI81" s="641">
        <f t="shared" si="125"/>
        <v>53235</v>
      </c>
      <c r="DJ81" s="642">
        <f t="shared" si="125"/>
        <v>53327</v>
      </c>
      <c r="DK81" s="640">
        <f t="shared" si="125"/>
        <v>53417</v>
      </c>
      <c r="DL81" s="641">
        <f t="shared" si="125"/>
        <v>53508</v>
      </c>
      <c r="DM81" s="641">
        <f t="shared" si="125"/>
        <v>53600</v>
      </c>
      <c r="DN81" s="642">
        <f t="shared" si="125"/>
        <v>53692</v>
      </c>
      <c r="DO81" s="640">
        <f t="shared" si="125"/>
        <v>53782</v>
      </c>
      <c r="DP81" s="641">
        <f t="shared" si="125"/>
        <v>53873</v>
      </c>
      <c r="DQ81" s="641">
        <f t="shared" si="125"/>
        <v>53965</v>
      </c>
      <c r="DR81" s="642">
        <f t="shared" si="125"/>
        <v>54057</v>
      </c>
      <c r="DS81" s="640">
        <f t="shared" si="125"/>
        <v>54148</v>
      </c>
      <c r="DT81" s="641">
        <f t="shared" si="125"/>
        <v>54239</v>
      </c>
      <c r="DU81" s="641">
        <f t="shared" si="125"/>
        <v>54331</v>
      </c>
      <c r="DV81" s="642">
        <f t="shared" si="125"/>
        <v>54423</v>
      </c>
      <c r="DW81" s="640">
        <f t="shared" si="125"/>
        <v>54513</v>
      </c>
      <c r="DX81" s="641">
        <f t="shared" si="125"/>
        <v>54604</v>
      </c>
      <c r="DY81" s="641">
        <f t="shared" si="125"/>
        <v>54696</v>
      </c>
      <c r="DZ81" s="642">
        <f t="shared" si="125"/>
        <v>54788</v>
      </c>
      <c r="EA81" s="640">
        <f t="shared" si="125"/>
        <v>54878</v>
      </c>
      <c r="EB81" s="641">
        <f t="shared" si="125"/>
        <v>54969</v>
      </c>
      <c r="EC81" s="641">
        <f t="shared" si="125"/>
        <v>55061</v>
      </c>
      <c r="ED81" s="642">
        <f t="shared" si="125"/>
        <v>55153</v>
      </c>
      <c r="EE81" s="640">
        <f t="shared" si="125"/>
        <v>55243</v>
      </c>
      <c r="EF81" s="641">
        <f t="shared" ref="EF81:GD81" si="126">EOMONTH(EE81,3)</f>
        <v>55334</v>
      </c>
      <c r="EG81" s="641">
        <f t="shared" si="126"/>
        <v>55426</v>
      </c>
      <c r="EH81" s="642">
        <f t="shared" si="126"/>
        <v>55518</v>
      </c>
      <c r="EI81" s="640">
        <f t="shared" si="126"/>
        <v>55609</v>
      </c>
      <c r="EJ81" s="641">
        <f t="shared" si="126"/>
        <v>55700</v>
      </c>
      <c r="EK81" s="641">
        <f t="shared" si="126"/>
        <v>55792</v>
      </c>
      <c r="EL81" s="642">
        <f t="shared" si="126"/>
        <v>55884</v>
      </c>
      <c r="EM81" s="640">
        <f t="shared" si="126"/>
        <v>55974</v>
      </c>
      <c r="EN81" s="641">
        <f t="shared" si="126"/>
        <v>56065</v>
      </c>
      <c r="EO81" s="641">
        <f t="shared" si="126"/>
        <v>56157</v>
      </c>
      <c r="EP81" s="642">
        <f t="shared" si="126"/>
        <v>56249</v>
      </c>
      <c r="EQ81" s="640">
        <f t="shared" si="126"/>
        <v>56339</v>
      </c>
      <c r="ER81" s="641">
        <f t="shared" si="126"/>
        <v>56430</v>
      </c>
      <c r="ES81" s="641">
        <f t="shared" si="126"/>
        <v>56522</v>
      </c>
      <c r="ET81" s="642">
        <f t="shared" si="126"/>
        <v>56614</v>
      </c>
      <c r="EU81" s="640">
        <f t="shared" si="126"/>
        <v>56704</v>
      </c>
      <c r="EV81" s="641">
        <f t="shared" si="126"/>
        <v>56795</v>
      </c>
      <c r="EW81" s="641">
        <f t="shared" si="126"/>
        <v>56887</v>
      </c>
      <c r="EX81" s="642">
        <f t="shared" si="126"/>
        <v>56979</v>
      </c>
      <c r="EY81" s="640">
        <f t="shared" si="126"/>
        <v>57070</v>
      </c>
      <c r="EZ81" s="641">
        <f t="shared" si="126"/>
        <v>57161</v>
      </c>
      <c r="FA81" s="641">
        <f t="shared" si="126"/>
        <v>57253</v>
      </c>
      <c r="FB81" s="642">
        <f t="shared" si="126"/>
        <v>57345</v>
      </c>
      <c r="FC81" s="640">
        <f t="shared" si="126"/>
        <v>57435</v>
      </c>
      <c r="FD81" s="641">
        <f t="shared" si="126"/>
        <v>57526</v>
      </c>
      <c r="FE81" s="641">
        <f t="shared" si="126"/>
        <v>57618</v>
      </c>
      <c r="FF81" s="642">
        <f t="shared" si="126"/>
        <v>57710</v>
      </c>
      <c r="FG81" s="640">
        <f t="shared" si="126"/>
        <v>57800</v>
      </c>
      <c r="FH81" s="641">
        <f t="shared" si="126"/>
        <v>57891</v>
      </c>
      <c r="FI81" s="641">
        <f t="shared" si="126"/>
        <v>57983</v>
      </c>
      <c r="FJ81" s="642">
        <f t="shared" si="126"/>
        <v>58075</v>
      </c>
      <c r="FK81" s="640">
        <f t="shared" si="126"/>
        <v>58165</v>
      </c>
      <c r="FL81" s="641">
        <f t="shared" si="126"/>
        <v>58256</v>
      </c>
      <c r="FM81" s="641">
        <f t="shared" si="126"/>
        <v>58348</v>
      </c>
      <c r="FN81" s="642">
        <f t="shared" si="126"/>
        <v>58440</v>
      </c>
      <c r="FO81" s="640">
        <f t="shared" si="126"/>
        <v>58531</v>
      </c>
      <c r="FP81" s="641">
        <f t="shared" si="126"/>
        <v>58622</v>
      </c>
      <c r="FQ81" s="641">
        <f t="shared" si="126"/>
        <v>58714</v>
      </c>
      <c r="FR81" s="642">
        <f t="shared" si="126"/>
        <v>58806</v>
      </c>
      <c r="FS81" s="640">
        <f t="shared" si="126"/>
        <v>58896</v>
      </c>
      <c r="FT81" s="641">
        <f t="shared" si="126"/>
        <v>58987</v>
      </c>
      <c r="FU81" s="641">
        <f t="shared" si="126"/>
        <v>59079</v>
      </c>
      <c r="FV81" s="642">
        <f t="shared" si="126"/>
        <v>59171</v>
      </c>
      <c r="FW81" s="640">
        <f t="shared" si="126"/>
        <v>59261</v>
      </c>
      <c r="FX81" s="641">
        <f t="shared" si="126"/>
        <v>59352</v>
      </c>
      <c r="FY81" s="641">
        <f t="shared" si="126"/>
        <v>59444</v>
      </c>
      <c r="FZ81" s="642">
        <f t="shared" si="126"/>
        <v>59536</v>
      </c>
      <c r="GA81" s="640">
        <f t="shared" si="126"/>
        <v>59626</v>
      </c>
      <c r="GB81" s="641">
        <f t="shared" si="126"/>
        <v>59717</v>
      </c>
      <c r="GC81" s="641">
        <f t="shared" si="126"/>
        <v>59809</v>
      </c>
      <c r="GD81" s="642">
        <f t="shared" si="126"/>
        <v>59901</v>
      </c>
    </row>
    <row r="82" spans="1:186" ht="15" customHeight="1">
      <c r="B82" s="2085"/>
      <c r="C82" s="2090" t="s">
        <v>3777</v>
      </c>
      <c r="D82" s="2091"/>
      <c r="E82" s="2091"/>
      <c r="F82" s="2093">
        <f ca="1">SUM(G82:GD82)</f>
        <v>0</v>
      </c>
      <c r="G82" s="2094">
        <f t="shared" ref="G82:AL82" ca="1" si="127">((G53)&lt;0)*MIN(-(G53),G91)</f>
        <v>0</v>
      </c>
      <c r="H82" s="2095">
        <f t="shared" ca="1" si="127"/>
        <v>0</v>
      </c>
      <c r="I82" s="2095">
        <f t="shared" ca="1" si="127"/>
        <v>0</v>
      </c>
      <c r="J82" s="2096">
        <f t="shared" ca="1" si="127"/>
        <v>0</v>
      </c>
      <c r="K82" s="2094">
        <f t="shared" ca="1" si="127"/>
        <v>0</v>
      </c>
      <c r="L82" s="2095">
        <f t="shared" ca="1" si="127"/>
        <v>0</v>
      </c>
      <c r="M82" s="2095">
        <f t="shared" ca="1" si="127"/>
        <v>0</v>
      </c>
      <c r="N82" s="2096">
        <f t="shared" ca="1" si="127"/>
        <v>0</v>
      </c>
      <c r="O82" s="2094">
        <f t="shared" ca="1" si="127"/>
        <v>0</v>
      </c>
      <c r="P82" s="2095">
        <f t="shared" ca="1" si="127"/>
        <v>0</v>
      </c>
      <c r="Q82" s="2095">
        <f t="shared" ca="1" si="127"/>
        <v>0</v>
      </c>
      <c r="R82" s="2096">
        <f t="shared" ca="1" si="127"/>
        <v>0</v>
      </c>
      <c r="S82" s="2094">
        <f t="shared" ca="1" si="127"/>
        <v>0</v>
      </c>
      <c r="T82" s="2095">
        <f t="shared" ca="1" si="127"/>
        <v>0</v>
      </c>
      <c r="U82" s="2095">
        <f t="shared" ca="1" si="127"/>
        <v>0</v>
      </c>
      <c r="V82" s="2096">
        <f t="shared" ca="1" si="127"/>
        <v>0</v>
      </c>
      <c r="W82" s="2094">
        <f t="shared" ca="1" si="127"/>
        <v>0</v>
      </c>
      <c r="X82" s="2095">
        <f t="shared" ca="1" si="127"/>
        <v>0</v>
      </c>
      <c r="Y82" s="2095">
        <f t="shared" ca="1" si="127"/>
        <v>0</v>
      </c>
      <c r="Z82" s="2096">
        <f t="shared" ca="1" si="127"/>
        <v>0</v>
      </c>
      <c r="AA82" s="2094">
        <f t="shared" ca="1" si="127"/>
        <v>0</v>
      </c>
      <c r="AB82" s="2095">
        <f t="shared" ca="1" si="127"/>
        <v>0</v>
      </c>
      <c r="AC82" s="2095">
        <f t="shared" ca="1" si="127"/>
        <v>0</v>
      </c>
      <c r="AD82" s="2096">
        <f t="shared" ca="1" si="127"/>
        <v>0</v>
      </c>
      <c r="AE82" s="2094">
        <f t="shared" ca="1" si="127"/>
        <v>0</v>
      </c>
      <c r="AF82" s="2095">
        <f t="shared" ca="1" si="127"/>
        <v>0</v>
      </c>
      <c r="AG82" s="2095">
        <f t="shared" ca="1" si="127"/>
        <v>0</v>
      </c>
      <c r="AH82" s="2096">
        <f t="shared" ca="1" si="127"/>
        <v>0</v>
      </c>
      <c r="AI82" s="2094">
        <f t="shared" ca="1" si="127"/>
        <v>0</v>
      </c>
      <c r="AJ82" s="2095">
        <f t="shared" ca="1" si="127"/>
        <v>0</v>
      </c>
      <c r="AK82" s="2095">
        <f t="shared" ca="1" si="127"/>
        <v>0</v>
      </c>
      <c r="AL82" s="2096">
        <f t="shared" ca="1" si="127"/>
        <v>0</v>
      </c>
      <c r="AM82" s="2094">
        <f t="shared" ref="AM82:BR82" ca="1" si="128">((AM53)&lt;0)*MIN(-(AM53),AM91)</f>
        <v>0</v>
      </c>
      <c r="AN82" s="2095">
        <f t="shared" ca="1" si="128"/>
        <v>0</v>
      </c>
      <c r="AO82" s="2095">
        <f t="shared" ca="1" si="128"/>
        <v>0</v>
      </c>
      <c r="AP82" s="2096">
        <f t="shared" ca="1" si="128"/>
        <v>0</v>
      </c>
      <c r="AQ82" s="2094">
        <f t="shared" ca="1" si="128"/>
        <v>0</v>
      </c>
      <c r="AR82" s="2095">
        <f t="shared" ca="1" si="128"/>
        <v>0</v>
      </c>
      <c r="AS82" s="2095">
        <f t="shared" ca="1" si="128"/>
        <v>0</v>
      </c>
      <c r="AT82" s="2096">
        <f t="shared" ca="1" si="128"/>
        <v>0</v>
      </c>
      <c r="AU82" s="2094">
        <f t="shared" ca="1" si="128"/>
        <v>0</v>
      </c>
      <c r="AV82" s="2095">
        <f t="shared" ca="1" si="128"/>
        <v>0</v>
      </c>
      <c r="AW82" s="2095">
        <f t="shared" ca="1" si="128"/>
        <v>0</v>
      </c>
      <c r="AX82" s="2096">
        <f t="shared" ca="1" si="128"/>
        <v>0</v>
      </c>
      <c r="AY82" s="2094">
        <f t="shared" ca="1" si="128"/>
        <v>0</v>
      </c>
      <c r="AZ82" s="2095">
        <f t="shared" ca="1" si="128"/>
        <v>0</v>
      </c>
      <c r="BA82" s="2095">
        <f t="shared" ca="1" si="128"/>
        <v>0</v>
      </c>
      <c r="BB82" s="2096">
        <f t="shared" ca="1" si="128"/>
        <v>0</v>
      </c>
      <c r="BC82" s="2094">
        <f t="shared" ca="1" si="128"/>
        <v>0</v>
      </c>
      <c r="BD82" s="2095">
        <f t="shared" ca="1" si="128"/>
        <v>0</v>
      </c>
      <c r="BE82" s="2095">
        <f t="shared" ca="1" si="128"/>
        <v>0</v>
      </c>
      <c r="BF82" s="2096">
        <f t="shared" ca="1" si="128"/>
        <v>0</v>
      </c>
      <c r="BG82" s="2094">
        <f t="shared" ca="1" si="128"/>
        <v>0</v>
      </c>
      <c r="BH82" s="2095">
        <f t="shared" ca="1" si="128"/>
        <v>0</v>
      </c>
      <c r="BI82" s="2095">
        <f t="shared" ca="1" si="128"/>
        <v>0</v>
      </c>
      <c r="BJ82" s="2096">
        <f t="shared" ca="1" si="128"/>
        <v>0</v>
      </c>
      <c r="BK82" s="2094">
        <f t="shared" ca="1" si="128"/>
        <v>0</v>
      </c>
      <c r="BL82" s="2095">
        <f t="shared" ca="1" si="128"/>
        <v>0</v>
      </c>
      <c r="BM82" s="2095">
        <f t="shared" ca="1" si="128"/>
        <v>0</v>
      </c>
      <c r="BN82" s="2096">
        <f t="shared" ca="1" si="128"/>
        <v>0</v>
      </c>
      <c r="BO82" s="2094">
        <f t="shared" ca="1" si="128"/>
        <v>0</v>
      </c>
      <c r="BP82" s="2095">
        <f t="shared" ca="1" si="128"/>
        <v>0</v>
      </c>
      <c r="BQ82" s="2095">
        <f t="shared" ca="1" si="128"/>
        <v>0</v>
      </c>
      <c r="BR82" s="2096">
        <f t="shared" ca="1" si="128"/>
        <v>0</v>
      </c>
      <c r="BS82" s="2094">
        <f t="shared" ref="BS82:CX82" ca="1" si="129">((BS53)&lt;0)*MIN(-(BS53),BS91)</f>
        <v>0</v>
      </c>
      <c r="BT82" s="2095">
        <f t="shared" ca="1" si="129"/>
        <v>0</v>
      </c>
      <c r="BU82" s="2095">
        <f t="shared" ca="1" si="129"/>
        <v>0</v>
      </c>
      <c r="BV82" s="2096">
        <f t="shared" ca="1" si="129"/>
        <v>0</v>
      </c>
      <c r="BW82" s="2094">
        <f t="shared" ca="1" si="129"/>
        <v>0</v>
      </c>
      <c r="BX82" s="2095">
        <f t="shared" ca="1" si="129"/>
        <v>0</v>
      </c>
      <c r="BY82" s="2095">
        <f t="shared" ca="1" si="129"/>
        <v>0</v>
      </c>
      <c r="BZ82" s="2096">
        <f t="shared" ca="1" si="129"/>
        <v>0</v>
      </c>
      <c r="CA82" s="2094">
        <f t="shared" ca="1" si="129"/>
        <v>0</v>
      </c>
      <c r="CB82" s="2095">
        <f t="shared" ca="1" si="129"/>
        <v>0</v>
      </c>
      <c r="CC82" s="2095">
        <f t="shared" ca="1" si="129"/>
        <v>0</v>
      </c>
      <c r="CD82" s="2096">
        <f t="shared" ca="1" si="129"/>
        <v>0</v>
      </c>
      <c r="CE82" s="2094">
        <f t="shared" ca="1" si="129"/>
        <v>0</v>
      </c>
      <c r="CF82" s="2095">
        <f t="shared" ca="1" si="129"/>
        <v>0</v>
      </c>
      <c r="CG82" s="2095">
        <f t="shared" ca="1" si="129"/>
        <v>0</v>
      </c>
      <c r="CH82" s="2096">
        <f t="shared" ca="1" si="129"/>
        <v>0</v>
      </c>
      <c r="CI82" s="2094">
        <f t="shared" ca="1" si="129"/>
        <v>0</v>
      </c>
      <c r="CJ82" s="2095">
        <f t="shared" ca="1" si="129"/>
        <v>0</v>
      </c>
      <c r="CK82" s="2095">
        <f t="shared" ca="1" si="129"/>
        <v>0</v>
      </c>
      <c r="CL82" s="2096">
        <f t="shared" ca="1" si="129"/>
        <v>0</v>
      </c>
      <c r="CM82" s="2094">
        <f t="shared" ca="1" si="129"/>
        <v>0</v>
      </c>
      <c r="CN82" s="2095">
        <f t="shared" ca="1" si="129"/>
        <v>0</v>
      </c>
      <c r="CO82" s="2095">
        <f t="shared" ca="1" si="129"/>
        <v>0</v>
      </c>
      <c r="CP82" s="2096">
        <f t="shared" ca="1" si="129"/>
        <v>0</v>
      </c>
      <c r="CQ82" s="2094">
        <f t="shared" ca="1" si="129"/>
        <v>0</v>
      </c>
      <c r="CR82" s="2095">
        <f t="shared" ca="1" si="129"/>
        <v>0</v>
      </c>
      <c r="CS82" s="2095">
        <f t="shared" ca="1" si="129"/>
        <v>0</v>
      </c>
      <c r="CT82" s="2096">
        <f t="shared" ca="1" si="129"/>
        <v>0</v>
      </c>
      <c r="CU82" s="2094">
        <f t="shared" ca="1" si="129"/>
        <v>0</v>
      </c>
      <c r="CV82" s="2095">
        <f t="shared" ca="1" si="129"/>
        <v>0</v>
      </c>
      <c r="CW82" s="2095">
        <f t="shared" ca="1" si="129"/>
        <v>0</v>
      </c>
      <c r="CX82" s="2096">
        <f t="shared" ca="1" si="129"/>
        <v>0</v>
      </c>
      <c r="CY82" s="2094">
        <f t="shared" ref="CY82:ED82" ca="1" si="130">((CY53)&lt;0)*MIN(-(CY53),CY91)</f>
        <v>0</v>
      </c>
      <c r="CZ82" s="2095">
        <f t="shared" ca="1" si="130"/>
        <v>0</v>
      </c>
      <c r="DA82" s="2095">
        <f t="shared" ca="1" si="130"/>
        <v>0</v>
      </c>
      <c r="DB82" s="2096">
        <f t="shared" ca="1" si="130"/>
        <v>0</v>
      </c>
      <c r="DC82" s="2094">
        <f t="shared" ca="1" si="130"/>
        <v>0</v>
      </c>
      <c r="DD82" s="2095">
        <f t="shared" ca="1" si="130"/>
        <v>0</v>
      </c>
      <c r="DE82" s="2095">
        <f t="shared" ca="1" si="130"/>
        <v>0</v>
      </c>
      <c r="DF82" s="2096">
        <f t="shared" ca="1" si="130"/>
        <v>0</v>
      </c>
      <c r="DG82" s="2094">
        <f t="shared" ca="1" si="130"/>
        <v>0</v>
      </c>
      <c r="DH82" s="2095">
        <f t="shared" ca="1" si="130"/>
        <v>0</v>
      </c>
      <c r="DI82" s="2095">
        <f t="shared" ca="1" si="130"/>
        <v>0</v>
      </c>
      <c r="DJ82" s="2096">
        <f t="shared" ca="1" si="130"/>
        <v>0</v>
      </c>
      <c r="DK82" s="2094">
        <f t="shared" ca="1" si="130"/>
        <v>0</v>
      </c>
      <c r="DL82" s="2095">
        <f t="shared" ca="1" si="130"/>
        <v>0</v>
      </c>
      <c r="DM82" s="2095">
        <f t="shared" ca="1" si="130"/>
        <v>0</v>
      </c>
      <c r="DN82" s="2096">
        <f t="shared" ca="1" si="130"/>
        <v>0</v>
      </c>
      <c r="DO82" s="2094">
        <f t="shared" ca="1" si="130"/>
        <v>0</v>
      </c>
      <c r="DP82" s="2095">
        <f t="shared" ca="1" si="130"/>
        <v>0</v>
      </c>
      <c r="DQ82" s="2095">
        <f t="shared" ca="1" si="130"/>
        <v>0</v>
      </c>
      <c r="DR82" s="2096">
        <f t="shared" ca="1" si="130"/>
        <v>0</v>
      </c>
      <c r="DS82" s="2094">
        <f t="shared" ca="1" si="130"/>
        <v>0</v>
      </c>
      <c r="DT82" s="2095">
        <f t="shared" ca="1" si="130"/>
        <v>0</v>
      </c>
      <c r="DU82" s="2095">
        <f t="shared" ca="1" si="130"/>
        <v>0</v>
      </c>
      <c r="DV82" s="2096">
        <f t="shared" ca="1" si="130"/>
        <v>0</v>
      </c>
      <c r="DW82" s="2094">
        <f t="shared" ca="1" si="130"/>
        <v>0</v>
      </c>
      <c r="DX82" s="2095">
        <f t="shared" ca="1" si="130"/>
        <v>0</v>
      </c>
      <c r="DY82" s="2095">
        <f t="shared" ca="1" si="130"/>
        <v>0</v>
      </c>
      <c r="DZ82" s="2096">
        <f t="shared" ca="1" si="130"/>
        <v>0</v>
      </c>
      <c r="EA82" s="2094">
        <f t="shared" ca="1" si="130"/>
        <v>0</v>
      </c>
      <c r="EB82" s="2095">
        <f t="shared" ca="1" si="130"/>
        <v>0</v>
      </c>
      <c r="EC82" s="2095">
        <f t="shared" ca="1" si="130"/>
        <v>0</v>
      </c>
      <c r="ED82" s="2096">
        <f t="shared" ca="1" si="130"/>
        <v>0</v>
      </c>
      <c r="EE82" s="2094">
        <f t="shared" ref="EE82:FJ82" ca="1" si="131">((EE53)&lt;0)*MIN(-(EE53),EE91)</f>
        <v>0</v>
      </c>
      <c r="EF82" s="2095">
        <f t="shared" ca="1" si="131"/>
        <v>0</v>
      </c>
      <c r="EG82" s="2095">
        <f t="shared" ca="1" si="131"/>
        <v>0</v>
      </c>
      <c r="EH82" s="2096">
        <f t="shared" ca="1" si="131"/>
        <v>0</v>
      </c>
      <c r="EI82" s="2094">
        <f t="shared" ca="1" si="131"/>
        <v>0</v>
      </c>
      <c r="EJ82" s="2095">
        <f t="shared" ca="1" si="131"/>
        <v>0</v>
      </c>
      <c r="EK82" s="2095">
        <f t="shared" ca="1" si="131"/>
        <v>0</v>
      </c>
      <c r="EL82" s="2096">
        <f t="shared" ca="1" si="131"/>
        <v>0</v>
      </c>
      <c r="EM82" s="2094">
        <f t="shared" ca="1" si="131"/>
        <v>0</v>
      </c>
      <c r="EN82" s="2095">
        <f t="shared" ca="1" si="131"/>
        <v>0</v>
      </c>
      <c r="EO82" s="2095">
        <f t="shared" ca="1" si="131"/>
        <v>0</v>
      </c>
      <c r="EP82" s="2096">
        <f t="shared" ca="1" si="131"/>
        <v>0</v>
      </c>
      <c r="EQ82" s="2094">
        <f t="shared" ca="1" si="131"/>
        <v>0</v>
      </c>
      <c r="ER82" s="2095">
        <f t="shared" ca="1" si="131"/>
        <v>0</v>
      </c>
      <c r="ES82" s="2095">
        <f t="shared" ca="1" si="131"/>
        <v>0</v>
      </c>
      <c r="ET82" s="2096">
        <f t="shared" ca="1" si="131"/>
        <v>0</v>
      </c>
      <c r="EU82" s="2094">
        <f t="shared" ca="1" si="131"/>
        <v>0</v>
      </c>
      <c r="EV82" s="2095">
        <f t="shared" ca="1" si="131"/>
        <v>0</v>
      </c>
      <c r="EW82" s="2095">
        <f t="shared" ca="1" si="131"/>
        <v>0</v>
      </c>
      <c r="EX82" s="2096">
        <f t="shared" ca="1" si="131"/>
        <v>0</v>
      </c>
      <c r="EY82" s="2094">
        <f t="shared" ca="1" si="131"/>
        <v>0</v>
      </c>
      <c r="EZ82" s="2095">
        <f t="shared" ca="1" si="131"/>
        <v>0</v>
      </c>
      <c r="FA82" s="2095">
        <f t="shared" ca="1" si="131"/>
        <v>0</v>
      </c>
      <c r="FB82" s="2096">
        <f t="shared" ca="1" si="131"/>
        <v>0</v>
      </c>
      <c r="FC82" s="2094">
        <f t="shared" ca="1" si="131"/>
        <v>0</v>
      </c>
      <c r="FD82" s="2095">
        <f t="shared" ca="1" si="131"/>
        <v>0</v>
      </c>
      <c r="FE82" s="2095">
        <f t="shared" ca="1" si="131"/>
        <v>0</v>
      </c>
      <c r="FF82" s="2096">
        <f t="shared" ca="1" si="131"/>
        <v>0</v>
      </c>
      <c r="FG82" s="2094">
        <f t="shared" ca="1" si="131"/>
        <v>0</v>
      </c>
      <c r="FH82" s="2095">
        <f t="shared" ca="1" si="131"/>
        <v>0</v>
      </c>
      <c r="FI82" s="2095">
        <f t="shared" ca="1" si="131"/>
        <v>0</v>
      </c>
      <c r="FJ82" s="2096">
        <f t="shared" ca="1" si="131"/>
        <v>0</v>
      </c>
      <c r="FK82" s="2094">
        <f t="shared" ref="FK82:GD82" ca="1" si="132">((FK53)&lt;0)*MIN(-(FK53),FK91)</f>
        <v>0</v>
      </c>
      <c r="FL82" s="2095">
        <f t="shared" ca="1" si="132"/>
        <v>0</v>
      </c>
      <c r="FM82" s="2095">
        <f t="shared" ca="1" si="132"/>
        <v>0</v>
      </c>
      <c r="FN82" s="2096">
        <f t="shared" ca="1" si="132"/>
        <v>0</v>
      </c>
      <c r="FO82" s="2094">
        <f t="shared" ca="1" si="132"/>
        <v>0</v>
      </c>
      <c r="FP82" s="2095">
        <f t="shared" ca="1" si="132"/>
        <v>0</v>
      </c>
      <c r="FQ82" s="2095">
        <f t="shared" ca="1" si="132"/>
        <v>0</v>
      </c>
      <c r="FR82" s="2096">
        <f t="shared" ca="1" si="132"/>
        <v>0</v>
      </c>
      <c r="FS82" s="2094">
        <f t="shared" ca="1" si="132"/>
        <v>0</v>
      </c>
      <c r="FT82" s="2095">
        <f t="shared" ca="1" si="132"/>
        <v>0</v>
      </c>
      <c r="FU82" s="2095">
        <f t="shared" ca="1" si="132"/>
        <v>0</v>
      </c>
      <c r="FV82" s="2096">
        <f t="shared" ca="1" si="132"/>
        <v>0</v>
      </c>
      <c r="FW82" s="2094">
        <f t="shared" ca="1" si="132"/>
        <v>0</v>
      </c>
      <c r="FX82" s="2095">
        <f t="shared" ca="1" si="132"/>
        <v>0</v>
      </c>
      <c r="FY82" s="2095">
        <f t="shared" ca="1" si="132"/>
        <v>0</v>
      </c>
      <c r="FZ82" s="2096">
        <f t="shared" ca="1" si="132"/>
        <v>0</v>
      </c>
      <c r="GA82" s="2094">
        <f t="shared" ca="1" si="132"/>
        <v>0</v>
      </c>
      <c r="GB82" s="2095">
        <f t="shared" ca="1" si="132"/>
        <v>0</v>
      </c>
      <c r="GC82" s="2095">
        <f t="shared" ca="1" si="132"/>
        <v>0</v>
      </c>
      <c r="GD82" s="2096">
        <f t="shared" ca="1" si="132"/>
        <v>0</v>
      </c>
    </row>
    <row r="83" spans="1:186" ht="15" customHeight="1">
      <c r="B83" s="2085"/>
      <c r="C83" s="2090" t="s">
        <v>3778</v>
      </c>
      <c r="D83" s="2091"/>
      <c r="E83" s="2091"/>
      <c r="F83" s="2093">
        <f ca="1">SUM(G83:GD83)</f>
        <v>0</v>
      </c>
      <c r="G83" s="2094">
        <f ca="1">G87</f>
        <v>0</v>
      </c>
      <c r="H83" s="2095">
        <f t="shared" ref="H83:BS83" ca="1" si="133">H87</f>
        <v>0</v>
      </c>
      <c r="I83" s="2095">
        <f t="shared" ca="1" si="133"/>
        <v>0</v>
      </c>
      <c r="J83" s="2096">
        <f t="shared" ca="1" si="133"/>
        <v>0</v>
      </c>
      <c r="K83" s="2094">
        <f t="shared" ca="1" si="133"/>
        <v>0</v>
      </c>
      <c r="L83" s="2095">
        <f t="shared" ca="1" si="133"/>
        <v>0</v>
      </c>
      <c r="M83" s="2095">
        <f t="shared" ca="1" si="133"/>
        <v>0</v>
      </c>
      <c r="N83" s="2096">
        <f t="shared" ca="1" si="133"/>
        <v>0</v>
      </c>
      <c r="O83" s="2094">
        <f t="shared" ca="1" si="133"/>
        <v>0</v>
      </c>
      <c r="P83" s="2095">
        <f t="shared" ca="1" si="133"/>
        <v>0</v>
      </c>
      <c r="Q83" s="2095">
        <f t="shared" ca="1" si="133"/>
        <v>0</v>
      </c>
      <c r="R83" s="2096">
        <f t="shared" ca="1" si="133"/>
        <v>0</v>
      </c>
      <c r="S83" s="2094">
        <f t="shared" ca="1" si="133"/>
        <v>0</v>
      </c>
      <c r="T83" s="2095">
        <f t="shared" ca="1" si="133"/>
        <v>0</v>
      </c>
      <c r="U83" s="2095">
        <f t="shared" ca="1" si="133"/>
        <v>0</v>
      </c>
      <c r="V83" s="2096">
        <f t="shared" ca="1" si="133"/>
        <v>0</v>
      </c>
      <c r="W83" s="2094">
        <f t="shared" ca="1" si="133"/>
        <v>0</v>
      </c>
      <c r="X83" s="2095">
        <f t="shared" ca="1" si="133"/>
        <v>0</v>
      </c>
      <c r="Y83" s="2095">
        <f t="shared" ca="1" si="133"/>
        <v>0</v>
      </c>
      <c r="Z83" s="2096">
        <f t="shared" ca="1" si="133"/>
        <v>0</v>
      </c>
      <c r="AA83" s="2094">
        <f t="shared" ca="1" si="133"/>
        <v>0</v>
      </c>
      <c r="AB83" s="2095">
        <f t="shared" ca="1" si="133"/>
        <v>0</v>
      </c>
      <c r="AC83" s="2095">
        <f t="shared" ca="1" si="133"/>
        <v>0</v>
      </c>
      <c r="AD83" s="2096">
        <f t="shared" ca="1" si="133"/>
        <v>0</v>
      </c>
      <c r="AE83" s="2094">
        <f ca="1">AE87</f>
        <v>0</v>
      </c>
      <c r="AF83" s="2095">
        <f t="shared" ca="1" si="133"/>
        <v>0</v>
      </c>
      <c r="AG83" s="2095">
        <f t="shared" ca="1" si="133"/>
        <v>0</v>
      </c>
      <c r="AH83" s="2167">
        <f t="shared" ca="1" si="133"/>
        <v>0</v>
      </c>
      <c r="AI83" s="2168">
        <f t="shared" ca="1" si="133"/>
        <v>0</v>
      </c>
      <c r="AJ83" s="2169">
        <f t="shared" ca="1" si="133"/>
        <v>0</v>
      </c>
      <c r="AK83" s="2169">
        <f t="shared" ca="1" si="133"/>
        <v>0</v>
      </c>
      <c r="AL83" s="2167">
        <f t="shared" ca="1" si="133"/>
        <v>0</v>
      </c>
      <c r="AM83" s="2168">
        <f t="shared" ca="1" si="133"/>
        <v>0</v>
      </c>
      <c r="AN83" s="2095">
        <f t="shared" ca="1" si="133"/>
        <v>0</v>
      </c>
      <c r="AO83" s="2095">
        <f t="shared" ca="1" si="133"/>
        <v>0</v>
      </c>
      <c r="AP83" s="2096">
        <f t="shared" ca="1" si="133"/>
        <v>0</v>
      </c>
      <c r="AQ83" s="2094">
        <f t="shared" ca="1" si="133"/>
        <v>0</v>
      </c>
      <c r="AR83" s="2095">
        <f t="shared" ca="1" si="133"/>
        <v>0</v>
      </c>
      <c r="AS83" s="2095">
        <f t="shared" ca="1" si="133"/>
        <v>0</v>
      </c>
      <c r="AT83" s="2096">
        <f t="shared" ca="1" si="133"/>
        <v>0</v>
      </c>
      <c r="AU83" s="2094">
        <f t="shared" ca="1" si="133"/>
        <v>0</v>
      </c>
      <c r="AV83" s="2095">
        <f t="shared" ca="1" si="133"/>
        <v>0</v>
      </c>
      <c r="AW83" s="2095">
        <f t="shared" ca="1" si="133"/>
        <v>0</v>
      </c>
      <c r="AX83" s="2096">
        <f t="shared" ca="1" si="133"/>
        <v>0</v>
      </c>
      <c r="AY83" s="2094">
        <f t="shared" ca="1" si="133"/>
        <v>0</v>
      </c>
      <c r="AZ83" s="2095">
        <f t="shared" ca="1" si="133"/>
        <v>0</v>
      </c>
      <c r="BA83" s="2095">
        <f t="shared" ca="1" si="133"/>
        <v>0</v>
      </c>
      <c r="BB83" s="2096">
        <f t="shared" ca="1" si="133"/>
        <v>0</v>
      </c>
      <c r="BC83" s="2094">
        <f t="shared" ca="1" si="133"/>
        <v>0</v>
      </c>
      <c r="BD83" s="2095">
        <f t="shared" ca="1" si="133"/>
        <v>0</v>
      </c>
      <c r="BE83" s="2095">
        <f t="shared" ca="1" si="133"/>
        <v>0</v>
      </c>
      <c r="BF83" s="2096">
        <f t="shared" ca="1" si="133"/>
        <v>0</v>
      </c>
      <c r="BG83" s="2094">
        <f t="shared" ca="1" si="133"/>
        <v>0</v>
      </c>
      <c r="BH83" s="2095">
        <f t="shared" ca="1" si="133"/>
        <v>0</v>
      </c>
      <c r="BI83" s="2095">
        <f t="shared" ca="1" si="133"/>
        <v>0</v>
      </c>
      <c r="BJ83" s="2096">
        <f t="shared" ca="1" si="133"/>
        <v>0</v>
      </c>
      <c r="BK83" s="2094">
        <f t="shared" ca="1" si="133"/>
        <v>0</v>
      </c>
      <c r="BL83" s="2095">
        <f t="shared" ca="1" si="133"/>
        <v>0</v>
      </c>
      <c r="BM83" s="2095">
        <f t="shared" ca="1" si="133"/>
        <v>0</v>
      </c>
      <c r="BN83" s="2096">
        <f t="shared" ca="1" si="133"/>
        <v>0</v>
      </c>
      <c r="BO83" s="2094">
        <f t="shared" ca="1" si="133"/>
        <v>0</v>
      </c>
      <c r="BP83" s="2095">
        <f t="shared" ca="1" si="133"/>
        <v>0</v>
      </c>
      <c r="BQ83" s="2095">
        <f t="shared" ca="1" si="133"/>
        <v>0</v>
      </c>
      <c r="BR83" s="2096">
        <f t="shared" ca="1" si="133"/>
        <v>0</v>
      </c>
      <c r="BS83" s="2094">
        <f t="shared" ca="1" si="133"/>
        <v>0</v>
      </c>
      <c r="BT83" s="2095">
        <f t="shared" ref="BT83:EE83" ca="1" si="134">BT87</f>
        <v>0</v>
      </c>
      <c r="BU83" s="2095">
        <f t="shared" ca="1" si="134"/>
        <v>0</v>
      </c>
      <c r="BV83" s="2096">
        <f t="shared" ca="1" si="134"/>
        <v>0</v>
      </c>
      <c r="BW83" s="2094">
        <f t="shared" ca="1" si="134"/>
        <v>0</v>
      </c>
      <c r="BX83" s="2095">
        <f t="shared" ca="1" si="134"/>
        <v>0</v>
      </c>
      <c r="BY83" s="2095">
        <f t="shared" ca="1" si="134"/>
        <v>0</v>
      </c>
      <c r="BZ83" s="2096">
        <f t="shared" ca="1" si="134"/>
        <v>0</v>
      </c>
      <c r="CA83" s="2094">
        <f t="shared" ca="1" si="134"/>
        <v>0</v>
      </c>
      <c r="CB83" s="2095">
        <f t="shared" ca="1" si="134"/>
        <v>0</v>
      </c>
      <c r="CC83" s="2095">
        <f t="shared" ca="1" si="134"/>
        <v>0</v>
      </c>
      <c r="CD83" s="2096">
        <f t="shared" ca="1" si="134"/>
        <v>0</v>
      </c>
      <c r="CE83" s="2094">
        <f t="shared" ca="1" si="134"/>
        <v>0</v>
      </c>
      <c r="CF83" s="2095">
        <f t="shared" ca="1" si="134"/>
        <v>0</v>
      </c>
      <c r="CG83" s="2095">
        <f t="shared" ca="1" si="134"/>
        <v>0</v>
      </c>
      <c r="CH83" s="2096">
        <f t="shared" ca="1" si="134"/>
        <v>0</v>
      </c>
      <c r="CI83" s="2094">
        <f t="shared" ca="1" si="134"/>
        <v>0</v>
      </c>
      <c r="CJ83" s="2095">
        <f t="shared" ca="1" si="134"/>
        <v>0</v>
      </c>
      <c r="CK83" s="2095">
        <f t="shared" ca="1" si="134"/>
        <v>0</v>
      </c>
      <c r="CL83" s="2096">
        <f t="shared" ca="1" si="134"/>
        <v>0</v>
      </c>
      <c r="CM83" s="2094">
        <f t="shared" ca="1" si="134"/>
        <v>0</v>
      </c>
      <c r="CN83" s="2095">
        <f t="shared" ca="1" si="134"/>
        <v>0</v>
      </c>
      <c r="CO83" s="2095">
        <f t="shared" ca="1" si="134"/>
        <v>0</v>
      </c>
      <c r="CP83" s="2096">
        <f t="shared" ca="1" si="134"/>
        <v>0</v>
      </c>
      <c r="CQ83" s="2094">
        <f t="shared" ca="1" si="134"/>
        <v>0</v>
      </c>
      <c r="CR83" s="2095">
        <f t="shared" ca="1" si="134"/>
        <v>0</v>
      </c>
      <c r="CS83" s="2095">
        <f t="shared" ca="1" si="134"/>
        <v>0</v>
      </c>
      <c r="CT83" s="2096">
        <f t="shared" ca="1" si="134"/>
        <v>0</v>
      </c>
      <c r="CU83" s="2094">
        <f t="shared" ca="1" si="134"/>
        <v>0</v>
      </c>
      <c r="CV83" s="2095">
        <f t="shared" ca="1" si="134"/>
        <v>0</v>
      </c>
      <c r="CW83" s="2095">
        <f t="shared" ca="1" si="134"/>
        <v>0</v>
      </c>
      <c r="CX83" s="2096">
        <f t="shared" ca="1" si="134"/>
        <v>0</v>
      </c>
      <c r="CY83" s="2094">
        <f t="shared" ca="1" si="134"/>
        <v>0</v>
      </c>
      <c r="CZ83" s="2095">
        <f t="shared" ca="1" si="134"/>
        <v>0</v>
      </c>
      <c r="DA83" s="2095">
        <f t="shared" ca="1" si="134"/>
        <v>0</v>
      </c>
      <c r="DB83" s="2096">
        <f t="shared" ca="1" si="134"/>
        <v>0</v>
      </c>
      <c r="DC83" s="2094">
        <f t="shared" ca="1" si="134"/>
        <v>0</v>
      </c>
      <c r="DD83" s="2095">
        <f t="shared" ca="1" si="134"/>
        <v>0</v>
      </c>
      <c r="DE83" s="2095">
        <f t="shared" ca="1" si="134"/>
        <v>0</v>
      </c>
      <c r="DF83" s="2096">
        <f t="shared" ca="1" si="134"/>
        <v>0</v>
      </c>
      <c r="DG83" s="2094">
        <f t="shared" ca="1" si="134"/>
        <v>0</v>
      </c>
      <c r="DH83" s="2095">
        <f t="shared" ca="1" si="134"/>
        <v>0</v>
      </c>
      <c r="DI83" s="2095">
        <f t="shared" ca="1" si="134"/>
        <v>0</v>
      </c>
      <c r="DJ83" s="2096">
        <f t="shared" ca="1" si="134"/>
        <v>0</v>
      </c>
      <c r="DK83" s="2094">
        <f t="shared" ca="1" si="134"/>
        <v>0</v>
      </c>
      <c r="DL83" s="2095">
        <f t="shared" ca="1" si="134"/>
        <v>0</v>
      </c>
      <c r="DM83" s="2095">
        <f t="shared" ca="1" si="134"/>
        <v>0</v>
      </c>
      <c r="DN83" s="2096">
        <f t="shared" ca="1" si="134"/>
        <v>0</v>
      </c>
      <c r="DO83" s="2094">
        <f t="shared" ca="1" si="134"/>
        <v>0</v>
      </c>
      <c r="DP83" s="2095">
        <f t="shared" ca="1" si="134"/>
        <v>0</v>
      </c>
      <c r="DQ83" s="2095">
        <f t="shared" ca="1" si="134"/>
        <v>0</v>
      </c>
      <c r="DR83" s="2096">
        <f t="shared" ca="1" si="134"/>
        <v>0</v>
      </c>
      <c r="DS83" s="2094">
        <f t="shared" ca="1" si="134"/>
        <v>0</v>
      </c>
      <c r="DT83" s="2095">
        <f t="shared" ca="1" si="134"/>
        <v>0</v>
      </c>
      <c r="DU83" s="2095">
        <f t="shared" ca="1" si="134"/>
        <v>0</v>
      </c>
      <c r="DV83" s="2096">
        <f t="shared" ca="1" si="134"/>
        <v>0</v>
      </c>
      <c r="DW83" s="2094">
        <f t="shared" ca="1" si="134"/>
        <v>0</v>
      </c>
      <c r="DX83" s="2095">
        <f t="shared" ca="1" si="134"/>
        <v>0</v>
      </c>
      <c r="DY83" s="2095">
        <f t="shared" ca="1" si="134"/>
        <v>0</v>
      </c>
      <c r="DZ83" s="2096">
        <f t="shared" ca="1" si="134"/>
        <v>0</v>
      </c>
      <c r="EA83" s="2094">
        <f t="shared" ca="1" si="134"/>
        <v>0</v>
      </c>
      <c r="EB83" s="2095">
        <f t="shared" ca="1" si="134"/>
        <v>0</v>
      </c>
      <c r="EC83" s="2095">
        <f t="shared" ca="1" si="134"/>
        <v>0</v>
      </c>
      <c r="ED83" s="2096">
        <f t="shared" ca="1" si="134"/>
        <v>0</v>
      </c>
      <c r="EE83" s="2094">
        <f t="shared" ca="1" si="134"/>
        <v>0</v>
      </c>
      <c r="EF83" s="2095">
        <f t="shared" ref="EF83:FZ83" ca="1" si="135">EF87</f>
        <v>0</v>
      </c>
      <c r="EG83" s="2095">
        <f t="shared" ca="1" si="135"/>
        <v>0</v>
      </c>
      <c r="EH83" s="2096">
        <f t="shared" ca="1" si="135"/>
        <v>0</v>
      </c>
      <c r="EI83" s="2094">
        <f t="shared" ca="1" si="135"/>
        <v>0</v>
      </c>
      <c r="EJ83" s="2095">
        <f t="shared" ca="1" si="135"/>
        <v>0</v>
      </c>
      <c r="EK83" s="2095">
        <f t="shared" ca="1" si="135"/>
        <v>0</v>
      </c>
      <c r="EL83" s="2096">
        <f t="shared" ca="1" si="135"/>
        <v>0</v>
      </c>
      <c r="EM83" s="2094">
        <f t="shared" ca="1" si="135"/>
        <v>0</v>
      </c>
      <c r="EN83" s="2095">
        <f t="shared" ca="1" si="135"/>
        <v>0</v>
      </c>
      <c r="EO83" s="2095">
        <f t="shared" ca="1" si="135"/>
        <v>0</v>
      </c>
      <c r="EP83" s="2096">
        <f t="shared" ca="1" si="135"/>
        <v>0</v>
      </c>
      <c r="EQ83" s="2094">
        <f t="shared" ca="1" si="135"/>
        <v>0</v>
      </c>
      <c r="ER83" s="2095">
        <f t="shared" ca="1" si="135"/>
        <v>0</v>
      </c>
      <c r="ES83" s="2095">
        <f t="shared" ca="1" si="135"/>
        <v>0</v>
      </c>
      <c r="ET83" s="2096">
        <f t="shared" ca="1" si="135"/>
        <v>0</v>
      </c>
      <c r="EU83" s="2094">
        <f t="shared" ca="1" si="135"/>
        <v>0</v>
      </c>
      <c r="EV83" s="2095">
        <f t="shared" ca="1" si="135"/>
        <v>0</v>
      </c>
      <c r="EW83" s="2095">
        <f t="shared" ca="1" si="135"/>
        <v>0</v>
      </c>
      <c r="EX83" s="2096">
        <f t="shared" ca="1" si="135"/>
        <v>0</v>
      </c>
      <c r="EY83" s="2094">
        <f t="shared" ca="1" si="135"/>
        <v>0</v>
      </c>
      <c r="EZ83" s="2095">
        <f t="shared" ca="1" si="135"/>
        <v>0</v>
      </c>
      <c r="FA83" s="2095">
        <f t="shared" ca="1" si="135"/>
        <v>0</v>
      </c>
      <c r="FB83" s="2096">
        <f t="shared" ca="1" si="135"/>
        <v>0</v>
      </c>
      <c r="FC83" s="2094">
        <f t="shared" ca="1" si="135"/>
        <v>0</v>
      </c>
      <c r="FD83" s="2095">
        <f t="shared" ca="1" si="135"/>
        <v>0</v>
      </c>
      <c r="FE83" s="2095">
        <f t="shared" ca="1" si="135"/>
        <v>0</v>
      </c>
      <c r="FF83" s="2096">
        <f t="shared" ca="1" si="135"/>
        <v>0</v>
      </c>
      <c r="FG83" s="2094">
        <f t="shared" ca="1" si="135"/>
        <v>0</v>
      </c>
      <c r="FH83" s="2095">
        <f t="shared" ca="1" si="135"/>
        <v>0</v>
      </c>
      <c r="FI83" s="2095">
        <f t="shared" ca="1" si="135"/>
        <v>0</v>
      </c>
      <c r="FJ83" s="2096">
        <f t="shared" ca="1" si="135"/>
        <v>0</v>
      </c>
      <c r="FK83" s="2094">
        <f t="shared" ca="1" si="135"/>
        <v>0</v>
      </c>
      <c r="FL83" s="2095">
        <f t="shared" ca="1" si="135"/>
        <v>0</v>
      </c>
      <c r="FM83" s="2095">
        <f t="shared" ca="1" si="135"/>
        <v>0</v>
      </c>
      <c r="FN83" s="2096">
        <f t="shared" ca="1" si="135"/>
        <v>0</v>
      </c>
      <c r="FO83" s="2094">
        <f t="shared" ca="1" si="135"/>
        <v>0</v>
      </c>
      <c r="FP83" s="2095">
        <f t="shared" ca="1" si="135"/>
        <v>0</v>
      </c>
      <c r="FQ83" s="2095">
        <f t="shared" ca="1" si="135"/>
        <v>0</v>
      </c>
      <c r="FR83" s="2096">
        <f t="shared" ca="1" si="135"/>
        <v>0</v>
      </c>
      <c r="FS83" s="2094">
        <f t="shared" ca="1" si="135"/>
        <v>0</v>
      </c>
      <c r="FT83" s="2095">
        <f t="shared" ca="1" si="135"/>
        <v>0</v>
      </c>
      <c r="FU83" s="2095">
        <f t="shared" ca="1" si="135"/>
        <v>0</v>
      </c>
      <c r="FV83" s="2096">
        <f t="shared" ca="1" si="135"/>
        <v>0</v>
      </c>
      <c r="FW83" s="2094">
        <f t="shared" ca="1" si="135"/>
        <v>0</v>
      </c>
      <c r="FX83" s="2095">
        <f t="shared" ca="1" si="135"/>
        <v>0</v>
      </c>
      <c r="FY83" s="2095">
        <f t="shared" ca="1" si="135"/>
        <v>0</v>
      </c>
      <c r="FZ83" s="2096">
        <f t="shared" ca="1" si="135"/>
        <v>0</v>
      </c>
      <c r="GA83" s="2094">
        <f ca="1">GA87</f>
        <v>0</v>
      </c>
      <c r="GB83" s="2095">
        <f ca="1">GB87</f>
        <v>0</v>
      </c>
      <c r="GC83" s="2095">
        <f ca="1">GC87</f>
        <v>0</v>
      </c>
      <c r="GD83" s="2096">
        <f ca="1">GD87</f>
        <v>0</v>
      </c>
    </row>
    <row r="84" spans="1:186" s="414" customFormat="1" ht="15" customHeight="1">
      <c r="B84" s="2065"/>
      <c r="C84" s="2078" t="s">
        <v>3779</v>
      </c>
      <c r="D84" s="2079"/>
      <c r="E84" s="2079"/>
      <c r="F84" s="2080">
        <f ca="1">SUM(G84:GD84)</f>
        <v>32970.038530051803</v>
      </c>
      <c r="G84" s="2081">
        <f ca="1">G53+G83</f>
        <v>136.8718962685542</v>
      </c>
      <c r="H84" s="2082">
        <f t="shared" ref="H84:AL84" ca="1" si="136">H53+H83</f>
        <v>108.07529580855416</v>
      </c>
      <c r="I84" s="2082">
        <f t="shared" ca="1" si="136"/>
        <v>58.372855218554164</v>
      </c>
      <c r="J84" s="2083">
        <f t="shared" ca="1" si="136"/>
        <v>16.724687388554173</v>
      </c>
      <c r="K84" s="2081">
        <f t="shared" ca="1" si="136"/>
        <v>101.61547263933335</v>
      </c>
      <c r="L84" s="2082">
        <f t="shared" ca="1" si="136"/>
        <v>170.70014937571219</v>
      </c>
      <c r="M84" s="2082">
        <f t="shared" ca="1" si="136"/>
        <v>136.8702541657122</v>
      </c>
      <c r="N84" s="2083">
        <f t="shared" ca="1" si="136"/>
        <v>89.895936305712198</v>
      </c>
      <c r="O84" s="2081">
        <f t="shared" ca="1" si="136"/>
        <v>4.5257455899999997</v>
      </c>
      <c r="P84" s="2082">
        <f t="shared" ca="1" si="136"/>
        <v>23.430418859999975</v>
      </c>
      <c r="Q84" s="2082">
        <f t="shared" ca="1" si="136"/>
        <v>1.2139970800000022</v>
      </c>
      <c r="R84" s="2083">
        <f t="shared" ca="1" si="136"/>
        <v>7.5680049400000051</v>
      </c>
      <c r="S84" s="2081">
        <f t="shared" ca="1" si="136"/>
        <v>0</v>
      </c>
      <c r="T84" s="2082">
        <f t="shared" ca="1" si="136"/>
        <v>7.703740082373173</v>
      </c>
      <c r="U84" s="2082">
        <f t="shared" ca="1" si="136"/>
        <v>0</v>
      </c>
      <c r="V84" s="2083">
        <f t="shared" ca="1" si="136"/>
        <v>0</v>
      </c>
      <c r="W84" s="2081">
        <f t="shared" ca="1" si="136"/>
        <v>11.006923925605868</v>
      </c>
      <c r="X84" s="2082">
        <f t="shared" ca="1" si="136"/>
        <v>93.321218000074055</v>
      </c>
      <c r="Y84" s="2082">
        <f t="shared" ca="1" si="136"/>
        <v>52.631153866597124</v>
      </c>
      <c r="Z84" s="2083">
        <f t="shared" ca="1" si="136"/>
        <v>14.926766905465378</v>
      </c>
      <c r="AA84" s="2081">
        <f t="shared" ca="1" si="136"/>
        <v>0</v>
      </c>
      <c r="AB84" s="2082">
        <f t="shared" ca="1" si="136"/>
        <v>83.303797979740182</v>
      </c>
      <c r="AC84" s="2082">
        <f t="shared" ca="1" si="136"/>
        <v>43.333557095175998</v>
      </c>
      <c r="AD84" s="2083">
        <f t="shared" ca="1" si="136"/>
        <v>7.3600855626918715</v>
      </c>
      <c r="AE84" s="2081">
        <f t="shared" ca="1" si="136"/>
        <v>0</v>
      </c>
      <c r="AF84" s="2082">
        <f t="shared" ca="1" si="136"/>
        <v>0.19079295939331331</v>
      </c>
      <c r="AG84" s="2082">
        <f t="shared" ca="1" si="136"/>
        <v>0</v>
      </c>
      <c r="AH84" s="2083">
        <f t="shared" ca="1" si="136"/>
        <v>0</v>
      </c>
      <c r="AI84" s="2081">
        <f t="shared" ca="1" si="136"/>
        <v>0</v>
      </c>
      <c r="AJ84" s="2082">
        <f t="shared" ca="1" si="136"/>
        <v>0</v>
      </c>
      <c r="AK84" s="2082">
        <f t="shared" ca="1" si="136"/>
        <v>0</v>
      </c>
      <c r="AL84" s="2083">
        <f t="shared" ca="1" si="136"/>
        <v>0</v>
      </c>
      <c r="AM84" s="2081">
        <f t="shared" ref="AM84:BR84" ca="1" si="137">AM53+AM83</f>
        <v>8.67856165501032</v>
      </c>
      <c r="AN84" s="2082">
        <f t="shared" ca="1" si="137"/>
        <v>12.918193493137032</v>
      </c>
      <c r="AO84" s="2082">
        <f t="shared" ca="1" si="137"/>
        <v>17.055884568440781</v>
      </c>
      <c r="AP84" s="2083">
        <f t="shared" ca="1" si="137"/>
        <v>21.517238126567499</v>
      </c>
      <c r="AQ84" s="2081">
        <f t="shared" ca="1" si="137"/>
        <v>25.330606475395982</v>
      </c>
      <c r="AR84" s="2082">
        <f t="shared" ca="1" si="137"/>
        <v>31.430805957389467</v>
      </c>
      <c r="AS84" s="2082">
        <f t="shared" ca="1" si="137"/>
        <v>37.390219414672714</v>
      </c>
      <c r="AT84" s="2083">
        <f t="shared" ca="1" si="137"/>
        <v>45.297618743233684</v>
      </c>
      <c r="AU84" s="2081">
        <f t="shared" ca="1" si="137"/>
        <v>44.970330946769515</v>
      </c>
      <c r="AV84" s="2082">
        <f t="shared" ca="1" si="137"/>
        <v>17.680676233040678</v>
      </c>
      <c r="AW84" s="2082">
        <f t="shared" ca="1" si="137"/>
        <v>18.444333133922306</v>
      </c>
      <c r="AX84" s="2083">
        <f t="shared" ca="1" si="137"/>
        <v>31.691078883427188</v>
      </c>
      <c r="AY84" s="2081">
        <f t="shared" ca="1" si="137"/>
        <v>45.683881707164836</v>
      </c>
      <c r="AZ84" s="2082">
        <f t="shared" ca="1" si="137"/>
        <v>45.919422720671186</v>
      </c>
      <c r="BA84" s="2082">
        <f t="shared" ca="1" si="137"/>
        <v>59.708989072342298</v>
      </c>
      <c r="BB84" s="2083">
        <f t="shared" ca="1" si="137"/>
        <v>75.701666940570306</v>
      </c>
      <c r="BC84" s="2081">
        <f t="shared" ca="1" si="137"/>
        <v>80.360381654241138</v>
      </c>
      <c r="BD84" s="2082">
        <f t="shared" ca="1" si="137"/>
        <v>62.777983962278377</v>
      </c>
      <c r="BE84" s="2082">
        <f t="shared" ca="1" si="137"/>
        <v>69.535814125151262</v>
      </c>
      <c r="BF84" s="2083">
        <f t="shared" ca="1" si="137"/>
        <v>81.295871253783048</v>
      </c>
      <c r="BG84" s="2081">
        <f t="shared" ca="1" si="137"/>
        <v>93.074365890979522</v>
      </c>
      <c r="BH84" s="2082">
        <f t="shared" ca="1" si="137"/>
        <v>82.996861415805597</v>
      </c>
      <c r="BI84" s="2082">
        <f t="shared" ca="1" si="137"/>
        <v>94.216635462224559</v>
      </c>
      <c r="BJ84" s="2083">
        <f t="shared" ca="1" si="137"/>
        <v>109.17991588362491</v>
      </c>
      <c r="BK84" s="2081">
        <f t="shared" ca="1" si="137"/>
        <v>129.71135565651429</v>
      </c>
      <c r="BL84" s="2082">
        <f t="shared" ca="1" si="137"/>
        <v>127.8643053677356</v>
      </c>
      <c r="BM84" s="2082">
        <f t="shared" ca="1" si="137"/>
        <v>148.638917252798</v>
      </c>
      <c r="BN84" s="2083">
        <f t="shared" ca="1" si="137"/>
        <v>173.4002076250149</v>
      </c>
      <c r="BO84" s="2081">
        <f t="shared" ca="1" si="137"/>
        <v>184.18906155423852</v>
      </c>
      <c r="BP84" s="2082">
        <f t="shared" ca="1" si="137"/>
        <v>168.01476291640151</v>
      </c>
      <c r="BQ84" s="2082">
        <f t="shared" ca="1" si="137"/>
        <v>179.78004869986225</v>
      </c>
      <c r="BR84" s="2083">
        <f t="shared" ca="1" si="137"/>
        <v>196.50844482471453</v>
      </c>
      <c r="BS84" s="2081">
        <f t="shared" ref="BS84:CX84" ca="1" si="138">BS53+BS83</f>
        <v>204.88990339444109</v>
      </c>
      <c r="BT84" s="2082">
        <f t="shared" ca="1" si="138"/>
        <v>185.62394994688236</v>
      </c>
      <c r="BU84" s="2082">
        <f t="shared" ca="1" si="138"/>
        <v>193.93969687927529</v>
      </c>
      <c r="BV84" s="2083">
        <f t="shared" ca="1" si="138"/>
        <v>207.15284251572609</v>
      </c>
      <c r="BW84" s="2081">
        <f t="shared" ca="1" si="138"/>
        <v>216.62129440620402</v>
      </c>
      <c r="BX84" s="2082">
        <f t="shared" ca="1" si="138"/>
        <v>195.46131896337619</v>
      </c>
      <c r="BY84" s="2082">
        <f t="shared" ca="1" si="138"/>
        <v>204.19191491429422</v>
      </c>
      <c r="BZ84" s="2083">
        <f t="shared" ca="1" si="138"/>
        <v>217.08205362971017</v>
      </c>
      <c r="CA84" s="2081">
        <f t="shared" ca="1" si="138"/>
        <v>231.91434520697015</v>
      </c>
      <c r="CB84" s="2082">
        <f t="shared" ca="1" si="138"/>
        <v>197.78679807863739</v>
      </c>
      <c r="CC84" s="2082">
        <f t="shared" ca="1" si="138"/>
        <v>213.96723319363338</v>
      </c>
      <c r="CD84" s="2083">
        <f t="shared" ca="1" si="138"/>
        <v>235.65535461086336</v>
      </c>
      <c r="CE84" s="2081">
        <f t="shared" ca="1" si="138"/>
        <v>242.85489402234981</v>
      </c>
      <c r="CF84" s="2082">
        <f t="shared" ca="1" si="138"/>
        <v>197.6497565677231</v>
      </c>
      <c r="CG84" s="2082">
        <f t="shared" ca="1" si="138"/>
        <v>204.59127262933595</v>
      </c>
      <c r="CH84" s="2083">
        <f t="shared" ca="1" si="138"/>
        <v>216.78245164330912</v>
      </c>
      <c r="CI84" s="2081">
        <f t="shared" ca="1" si="138"/>
        <v>206.87298515095512</v>
      </c>
      <c r="CJ84" s="2082">
        <f t="shared" ca="1" si="138"/>
        <v>130.14273947029619</v>
      </c>
      <c r="CK84" s="2082">
        <f t="shared" ca="1" si="138"/>
        <v>119.66342609347414</v>
      </c>
      <c r="CL84" s="2083">
        <f t="shared" ca="1" si="138"/>
        <v>113.86392878454463</v>
      </c>
      <c r="CM84" s="2081">
        <f t="shared" ca="1" si="138"/>
        <v>125.78897643210017</v>
      </c>
      <c r="CN84" s="2082">
        <f t="shared" ca="1" si="138"/>
        <v>69.183316324185839</v>
      </c>
      <c r="CO84" s="2082">
        <f t="shared" ca="1" si="138"/>
        <v>81.195755885627491</v>
      </c>
      <c r="CP84" s="2083">
        <f t="shared" ca="1" si="138"/>
        <v>97.975403428847684</v>
      </c>
      <c r="CQ84" s="2081">
        <f t="shared" ca="1" si="138"/>
        <v>112.12914045040466</v>
      </c>
      <c r="CR84" s="2082">
        <f t="shared" ca="1" si="138"/>
        <v>49.512144184029509</v>
      </c>
      <c r="CS84" s="2082">
        <f t="shared" ca="1" si="138"/>
        <v>65.499466090061816</v>
      </c>
      <c r="CT84" s="2083">
        <f t="shared" ca="1" si="138"/>
        <v>89.787580862347966</v>
      </c>
      <c r="CU84" s="2081">
        <f t="shared" ca="1" si="138"/>
        <v>106.73302458410302</v>
      </c>
      <c r="CV84" s="2082">
        <f t="shared" ca="1" si="138"/>
        <v>43.096257958381145</v>
      </c>
      <c r="CW84" s="2082">
        <f t="shared" ca="1" si="138"/>
        <v>60.486543600551443</v>
      </c>
      <c r="CX84" s="2083">
        <f t="shared" ca="1" si="138"/>
        <v>84.922464029390852</v>
      </c>
      <c r="CY84" s="2081">
        <f t="shared" ref="CY84:ED84" ca="1" si="139">CY53+CY83</f>
        <v>104.59861656273756</v>
      </c>
      <c r="CZ84" s="2082">
        <f t="shared" ca="1" si="139"/>
        <v>50.141620073733918</v>
      </c>
      <c r="DA84" s="2082">
        <f t="shared" ca="1" si="139"/>
        <v>71.6896127172663</v>
      </c>
      <c r="DB84" s="2083">
        <f t="shared" ca="1" si="139"/>
        <v>102.15508025765351</v>
      </c>
      <c r="DC84" s="2081">
        <f t="shared" ca="1" si="139"/>
        <v>128.65257679173342</v>
      </c>
      <c r="DD84" s="2082">
        <f t="shared" ca="1" si="139"/>
        <v>61.427511455945478</v>
      </c>
      <c r="DE84" s="2082">
        <f t="shared" ca="1" si="139"/>
        <v>87.682529735490789</v>
      </c>
      <c r="DF84" s="2083">
        <f t="shared" ca="1" si="139"/>
        <v>122.61254465735641</v>
      </c>
      <c r="DG84" s="2081">
        <f t="shared" ca="1" si="139"/>
        <v>150.51464388816601</v>
      </c>
      <c r="DH84" s="2082">
        <f t="shared" ca="1" si="139"/>
        <v>78.860574705321142</v>
      </c>
      <c r="DI84" s="2082">
        <f t="shared" ca="1" si="139"/>
        <v>106.8375961088793</v>
      </c>
      <c r="DJ84" s="2083">
        <f t="shared" ca="1" si="139"/>
        <v>143.56453632750632</v>
      </c>
      <c r="DK84" s="2081">
        <f t="shared" ca="1" si="139"/>
        <v>166.86369078173891</v>
      </c>
      <c r="DL84" s="2082">
        <f t="shared" ca="1" si="139"/>
        <v>95.790029545751921</v>
      </c>
      <c r="DM84" s="2082">
        <f t="shared" ca="1" si="139"/>
        <v>120.00315091334177</v>
      </c>
      <c r="DN84" s="2083">
        <f t="shared" ca="1" si="139"/>
        <v>153.88015800935779</v>
      </c>
      <c r="DO84" s="2081">
        <f t="shared" ca="1" si="139"/>
        <v>177.20828468590821</v>
      </c>
      <c r="DP84" s="2082">
        <f t="shared" ca="1" si="139"/>
        <v>116.99379651688093</v>
      </c>
      <c r="DQ84" s="2082">
        <f t="shared" ca="1" si="139"/>
        <v>140.71324334413302</v>
      </c>
      <c r="DR84" s="2083">
        <f t="shared" ca="1" si="139"/>
        <v>174.48789605051275</v>
      </c>
      <c r="DS84" s="2081">
        <f t="shared" ca="1" si="139"/>
        <v>201.43744653520446</v>
      </c>
      <c r="DT84" s="2082">
        <f t="shared" ca="1" si="139"/>
        <v>175.49136063779196</v>
      </c>
      <c r="DU84" s="2082">
        <f t="shared" ca="1" si="139"/>
        <v>201.81635968733389</v>
      </c>
      <c r="DV84" s="2083">
        <f t="shared" ca="1" si="139"/>
        <v>237.57201318085373</v>
      </c>
      <c r="DW84" s="2081">
        <f t="shared" ca="1" si="139"/>
        <v>255.86125447361357</v>
      </c>
      <c r="DX84" s="2082">
        <f t="shared" ca="1" si="139"/>
        <v>216.20111070040733</v>
      </c>
      <c r="DY84" s="2082">
        <f t="shared" ca="1" si="139"/>
        <v>235.76744179688532</v>
      </c>
      <c r="DZ84" s="2083">
        <f t="shared" ca="1" si="139"/>
        <v>266.04151714105956</v>
      </c>
      <c r="EA84" s="2081">
        <f t="shared" ca="1" si="139"/>
        <v>296.34301503354459</v>
      </c>
      <c r="EB84" s="2082">
        <f t="shared" ca="1" si="139"/>
        <v>272.26056599042494</v>
      </c>
      <c r="EC84" s="2082">
        <f t="shared" ca="1" si="139"/>
        <v>301.47294514680652</v>
      </c>
      <c r="ED84" s="2083">
        <f t="shared" ca="1" si="139"/>
        <v>340.30394981478099</v>
      </c>
      <c r="EE84" s="2081">
        <f t="shared" ref="EE84:FJ84" ca="1" si="140">EE53+EE83</f>
        <v>359.20197272138859</v>
      </c>
      <c r="EF84" s="2082">
        <f t="shared" ca="1" si="140"/>
        <v>321.31678333508484</v>
      </c>
      <c r="EG84" s="2082">
        <f t="shared" ca="1" si="140"/>
        <v>340.99936846344451</v>
      </c>
      <c r="EH84" s="2083">
        <f t="shared" ca="1" si="140"/>
        <v>371.0851413251491</v>
      </c>
      <c r="EI84" s="2081">
        <f t="shared" ca="1" si="140"/>
        <v>396.56197027400481</v>
      </c>
      <c r="EJ84" s="2082">
        <f t="shared" ca="1" si="140"/>
        <v>358.55860159055152</v>
      </c>
      <c r="EK84" s="2082">
        <f t="shared" ca="1" si="140"/>
        <v>385.36517625917509</v>
      </c>
      <c r="EL84" s="2083">
        <f t="shared" ca="1" si="140"/>
        <v>423.90468438091142</v>
      </c>
      <c r="EM84" s="2081">
        <f t="shared" ca="1" si="140"/>
        <v>453.90171740784365</v>
      </c>
      <c r="EN84" s="2082">
        <f t="shared" ca="1" si="140"/>
        <v>420.75694359357738</v>
      </c>
      <c r="EO84" s="2082">
        <f t="shared" ca="1" si="140"/>
        <v>450.37880093683623</v>
      </c>
      <c r="EP84" s="2083">
        <f t="shared" ca="1" si="140"/>
        <v>491.35841604953441</v>
      </c>
      <c r="EQ84" s="2081">
        <f t="shared" ca="1" si="140"/>
        <v>519.44676676334336</v>
      </c>
      <c r="ER84" s="2082">
        <f t="shared" ca="1" si="140"/>
        <v>484.36706980021887</v>
      </c>
      <c r="ES84" s="2082">
        <f t="shared" ca="1" si="140"/>
        <v>512.54570192452638</v>
      </c>
      <c r="ET84" s="2083">
        <f t="shared" ca="1" si="140"/>
        <v>552.17237322877213</v>
      </c>
      <c r="EU84" s="2081">
        <f t="shared" ca="1" si="140"/>
        <v>581.60735030090586</v>
      </c>
      <c r="EV84" s="2082">
        <f t="shared" ca="1" si="140"/>
        <v>539.53022152000688</v>
      </c>
      <c r="EW84" s="2082">
        <f t="shared" ca="1" si="140"/>
        <v>570.82153128477603</v>
      </c>
      <c r="EX84" s="2083">
        <f t="shared" ca="1" si="140"/>
        <v>615.41721292211844</v>
      </c>
      <c r="EY84" s="2081">
        <f t="shared" ca="1" si="140"/>
        <v>644.68758398326815</v>
      </c>
      <c r="EZ84" s="2082">
        <f t="shared" ca="1" si="140"/>
        <v>600.39560319915688</v>
      </c>
      <c r="FA84" s="2082">
        <f t="shared" ca="1" si="140"/>
        <v>629.70958673103291</v>
      </c>
      <c r="FB84" s="2083">
        <f t="shared" ca="1" si="140"/>
        <v>672.37155460620841</v>
      </c>
      <c r="FC84" s="2081">
        <f t="shared" ca="1" si="140"/>
        <v>704.88431454036277</v>
      </c>
      <c r="FD84" s="2082">
        <f t="shared" ca="1" si="140"/>
        <v>662.47430785551023</v>
      </c>
      <c r="FE84" s="2082">
        <f t="shared" ca="1" si="140"/>
        <v>695.28322592844779</v>
      </c>
      <c r="FF84" s="2083">
        <f t="shared" ca="1" si="140"/>
        <v>741.73628648346823</v>
      </c>
      <c r="FG84" s="2081">
        <f t="shared" ca="1" si="140"/>
        <v>769.1687365523585</v>
      </c>
      <c r="FH84" s="2082">
        <f t="shared" ca="1" si="140"/>
        <v>716.20152107534977</v>
      </c>
      <c r="FI84" s="2082">
        <f t="shared" ca="1" si="140"/>
        <v>744.79915634007875</v>
      </c>
      <c r="FJ84" s="2083">
        <f t="shared" ca="1" si="140"/>
        <v>788.20611928272911</v>
      </c>
      <c r="FK84" s="2081">
        <f t="shared" ref="FK84:GD84" ca="1" si="141">FK53+FK83</f>
        <v>784.36420038822143</v>
      </c>
      <c r="FL84" s="2082">
        <f t="shared" ca="1" si="141"/>
        <v>697.58643016835492</v>
      </c>
      <c r="FM84" s="2082">
        <f t="shared" ca="1" si="141"/>
        <v>0</v>
      </c>
      <c r="FN84" s="2083">
        <f t="shared" ca="1" si="141"/>
        <v>0</v>
      </c>
      <c r="FO84" s="2081">
        <f t="shared" ca="1" si="141"/>
        <v>0</v>
      </c>
      <c r="FP84" s="2082">
        <f t="shared" ca="1" si="141"/>
        <v>0</v>
      </c>
      <c r="FQ84" s="2082">
        <f t="shared" ca="1" si="141"/>
        <v>0</v>
      </c>
      <c r="FR84" s="2083">
        <f t="shared" ca="1" si="141"/>
        <v>0</v>
      </c>
      <c r="FS84" s="2081">
        <f t="shared" ca="1" si="141"/>
        <v>0</v>
      </c>
      <c r="FT84" s="2082">
        <f t="shared" ca="1" si="141"/>
        <v>0</v>
      </c>
      <c r="FU84" s="2082">
        <f t="shared" ca="1" si="141"/>
        <v>0</v>
      </c>
      <c r="FV84" s="2083">
        <f t="shared" ca="1" si="141"/>
        <v>0</v>
      </c>
      <c r="FW84" s="2081">
        <f t="shared" ca="1" si="141"/>
        <v>0</v>
      </c>
      <c r="FX84" s="2082">
        <f t="shared" ca="1" si="141"/>
        <v>0</v>
      </c>
      <c r="FY84" s="2082">
        <f t="shared" ca="1" si="141"/>
        <v>0</v>
      </c>
      <c r="FZ84" s="2083">
        <f t="shared" ca="1" si="141"/>
        <v>0</v>
      </c>
      <c r="GA84" s="2081">
        <f t="shared" ca="1" si="141"/>
        <v>0</v>
      </c>
      <c r="GB84" s="2082">
        <f t="shared" ca="1" si="141"/>
        <v>0</v>
      </c>
      <c r="GC84" s="2082">
        <f t="shared" ca="1" si="141"/>
        <v>0</v>
      </c>
      <c r="GD84" s="2083">
        <f t="shared" ca="1" si="141"/>
        <v>0</v>
      </c>
    </row>
    <row r="85" spans="1:186" ht="15" customHeight="1">
      <c r="C85" s="302" t="s">
        <v>3780</v>
      </c>
    </row>
    <row r="86" spans="1:186" ht="15" customHeight="1">
      <c r="B86" s="2085"/>
      <c r="C86" s="2067" t="s">
        <v>3766</v>
      </c>
      <c r="D86" s="2068"/>
      <c r="E86" s="2115"/>
      <c r="F86" s="2115">
        <f t="shared" ref="F86:F94" ca="1" si="142">SUM(G86:GD86)</f>
        <v>0</v>
      </c>
      <c r="G86" s="2117">
        <v>0</v>
      </c>
      <c r="H86" s="2118">
        <f t="shared" ref="H86:BS86" ca="1" si="143">G89</f>
        <v>0</v>
      </c>
      <c r="I86" s="2118">
        <f t="shared" ca="1" si="143"/>
        <v>0</v>
      </c>
      <c r="J86" s="2119">
        <f t="shared" ca="1" si="143"/>
        <v>0</v>
      </c>
      <c r="K86" s="2117">
        <f t="shared" ca="1" si="143"/>
        <v>0</v>
      </c>
      <c r="L86" s="2118">
        <f t="shared" ca="1" si="143"/>
        <v>0</v>
      </c>
      <c r="M86" s="2118">
        <f t="shared" ca="1" si="143"/>
        <v>0</v>
      </c>
      <c r="N86" s="2119">
        <f t="shared" ca="1" si="143"/>
        <v>0</v>
      </c>
      <c r="O86" s="2117">
        <f t="shared" ca="1" si="143"/>
        <v>0</v>
      </c>
      <c r="P86" s="2118">
        <f t="shared" ca="1" si="143"/>
        <v>0</v>
      </c>
      <c r="Q86" s="2118">
        <f t="shared" ca="1" si="143"/>
        <v>0</v>
      </c>
      <c r="R86" s="2119">
        <f t="shared" ca="1" si="143"/>
        <v>0</v>
      </c>
      <c r="S86" s="2117">
        <f t="shared" ca="1" si="143"/>
        <v>0</v>
      </c>
      <c r="T86" s="2118">
        <f t="shared" ca="1" si="143"/>
        <v>0</v>
      </c>
      <c r="U86" s="2118">
        <f t="shared" ca="1" si="143"/>
        <v>0</v>
      </c>
      <c r="V86" s="2119">
        <f t="shared" ca="1" si="143"/>
        <v>0</v>
      </c>
      <c r="W86" s="2117">
        <f t="shared" ca="1" si="143"/>
        <v>0</v>
      </c>
      <c r="X86" s="2118">
        <f t="shared" ca="1" si="143"/>
        <v>0</v>
      </c>
      <c r="Y86" s="2118">
        <f t="shared" ca="1" si="143"/>
        <v>0</v>
      </c>
      <c r="Z86" s="2119">
        <f t="shared" ca="1" si="143"/>
        <v>0</v>
      </c>
      <c r="AA86" s="2117">
        <f t="shared" ca="1" si="143"/>
        <v>0</v>
      </c>
      <c r="AB86" s="2118">
        <f t="shared" ca="1" si="143"/>
        <v>0</v>
      </c>
      <c r="AC86" s="2118">
        <f t="shared" ca="1" si="143"/>
        <v>0</v>
      </c>
      <c r="AD86" s="2119">
        <f t="shared" ca="1" si="143"/>
        <v>0</v>
      </c>
      <c r="AE86" s="2117">
        <f t="shared" ca="1" si="143"/>
        <v>0</v>
      </c>
      <c r="AF86" s="2118">
        <f t="shared" ca="1" si="143"/>
        <v>0</v>
      </c>
      <c r="AG86" s="2118">
        <f t="shared" ca="1" si="143"/>
        <v>0</v>
      </c>
      <c r="AH86" s="2119">
        <f t="shared" ca="1" si="143"/>
        <v>0</v>
      </c>
      <c r="AI86" s="2117">
        <f t="shared" ca="1" si="143"/>
        <v>0</v>
      </c>
      <c r="AJ86" s="2118">
        <f t="shared" ca="1" si="143"/>
        <v>0</v>
      </c>
      <c r="AK86" s="2118">
        <f t="shared" ca="1" si="143"/>
        <v>0</v>
      </c>
      <c r="AL86" s="2119">
        <f t="shared" ca="1" si="143"/>
        <v>0</v>
      </c>
      <c r="AM86" s="2117">
        <f t="shared" ca="1" si="143"/>
        <v>0</v>
      </c>
      <c r="AN86" s="2118">
        <f t="shared" ca="1" si="143"/>
        <v>0</v>
      </c>
      <c r="AO86" s="2118">
        <f t="shared" ca="1" si="143"/>
        <v>0</v>
      </c>
      <c r="AP86" s="2119">
        <f t="shared" ca="1" si="143"/>
        <v>0</v>
      </c>
      <c r="AQ86" s="2117">
        <f t="shared" ca="1" si="143"/>
        <v>0</v>
      </c>
      <c r="AR86" s="2118">
        <f t="shared" ca="1" si="143"/>
        <v>0</v>
      </c>
      <c r="AS86" s="2118">
        <f t="shared" ca="1" si="143"/>
        <v>0</v>
      </c>
      <c r="AT86" s="2119">
        <f t="shared" ca="1" si="143"/>
        <v>0</v>
      </c>
      <c r="AU86" s="2117">
        <f t="shared" ca="1" si="143"/>
        <v>0</v>
      </c>
      <c r="AV86" s="2118">
        <f t="shared" ca="1" si="143"/>
        <v>0</v>
      </c>
      <c r="AW86" s="2118">
        <f t="shared" ca="1" si="143"/>
        <v>0</v>
      </c>
      <c r="AX86" s="2119">
        <f t="shared" ca="1" si="143"/>
        <v>0</v>
      </c>
      <c r="AY86" s="2117">
        <f t="shared" ca="1" si="143"/>
        <v>0</v>
      </c>
      <c r="AZ86" s="2118">
        <f t="shared" ca="1" si="143"/>
        <v>0</v>
      </c>
      <c r="BA86" s="2118">
        <f t="shared" ca="1" si="143"/>
        <v>0</v>
      </c>
      <c r="BB86" s="2119">
        <f t="shared" ca="1" si="143"/>
        <v>0</v>
      </c>
      <c r="BC86" s="2117">
        <f t="shared" ca="1" si="143"/>
        <v>0</v>
      </c>
      <c r="BD86" s="2118">
        <f t="shared" ca="1" si="143"/>
        <v>0</v>
      </c>
      <c r="BE86" s="2118">
        <f t="shared" ca="1" si="143"/>
        <v>0</v>
      </c>
      <c r="BF86" s="2119">
        <f t="shared" ca="1" si="143"/>
        <v>0</v>
      </c>
      <c r="BG86" s="2117">
        <f t="shared" ca="1" si="143"/>
        <v>0</v>
      </c>
      <c r="BH86" s="2118">
        <f t="shared" ca="1" si="143"/>
        <v>0</v>
      </c>
      <c r="BI86" s="2118">
        <f t="shared" ca="1" si="143"/>
        <v>0</v>
      </c>
      <c r="BJ86" s="2119">
        <f t="shared" ca="1" si="143"/>
        <v>0</v>
      </c>
      <c r="BK86" s="2117">
        <f t="shared" ca="1" si="143"/>
        <v>0</v>
      </c>
      <c r="BL86" s="2118">
        <f t="shared" ca="1" si="143"/>
        <v>0</v>
      </c>
      <c r="BM86" s="2118">
        <f t="shared" ca="1" si="143"/>
        <v>0</v>
      </c>
      <c r="BN86" s="2119">
        <f t="shared" ca="1" si="143"/>
        <v>0</v>
      </c>
      <c r="BO86" s="2117">
        <f t="shared" ca="1" si="143"/>
        <v>0</v>
      </c>
      <c r="BP86" s="2118">
        <f t="shared" ca="1" si="143"/>
        <v>0</v>
      </c>
      <c r="BQ86" s="2118">
        <f t="shared" ca="1" si="143"/>
        <v>0</v>
      </c>
      <c r="BR86" s="2119">
        <f t="shared" ca="1" si="143"/>
        <v>0</v>
      </c>
      <c r="BS86" s="2117">
        <f t="shared" ca="1" si="143"/>
        <v>0</v>
      </c>
      <c r="BT86" s="2118">
        <f t="shared" ref="BT86:EE86" ca="1" si="144">BS89</f>
        <v>0</v>
      </c>
      <c r="BU86" s="2118">
        <f t="shared" ca="1" si="144"/>
        <v>0</v>
      </c>
      <c r="BV86" s="2119">
        <f t="shared" ca="1" si="144"/>
        <v>0</v>
      </c>
      <c r="BW86" s="2117">
        <f t="shared" ca="1" si="144"/>
        <v>0</v>
      </c>
      <c r="BX86" s="2118">
        <f t="shared" ca="1" si="144"/>
        <v>0</v>
      </c>
      <c r="BY86" s="2118">
        <f t="shared" ca="1" si="144"/>
        <v>0</v>
      </c>
      <c r="BZ86" s="2119">
        <f t="shared" ca="1" si="144"/>
        <v>0</v>
      </c>
      <c r="CA86" s="2117">
        <f t="shared" ca="1" si="144"/>
        <v>0</v>
      </c>
      <c r="CB86" s="2118">
        <f t="shared" ca="1" si="144"/>
        <v>0</v>
      </c>
      <c r="CC86" s="2118">
        <f t="shared" ca="1" si="144"/>
        <v>0</v>
      </c>
      <c r="CD86" s="2119">
        <f t="shared" ca="1" si="144"/>
        <v>0</v>
      </c>
      <c r="CE86" s="2117">
        <f t="shared" ca="1" si="144"/>
        <v>0</v>
      </c>
      <c r="CF86" s="2118">
        <f t="shared" ca="1" si="144"/>
        <v>0</v>
      </c>
      <c r="CG86" s="2118">
        <f t="shared" ca="1" si="144"/>
        <v>0</v>
      </c>
      <c r="CH86" s="2119">
        <f t="shared" ca="1" si="144"/>
        <v>0</v>
      </c>
      <c r="CI86" s="2117">
        <f t="shared" ca="1" si="144"/>
        <v>0</v>
      </c>
      <c r="CJ86" s="2118">
        <f t="shared" ca="1" si="144"/>
        <v>0</v>
      </c>
      <c r="CK86" s="2118">
        <f t="shared" ca="1" si="144"/>
        <v>0</v>
      </c>
      <c r="CL86" s="2119">
        <f t="shared" ca="1" si="144"/>
        <v>0</v>
      </c>
      <c r="CM86" s="2117">
        <f t="shared" ca="1" si="144"/>
        <v>0</v>
      </c>
      <c r="CN86" s="2118">
        <f t="shared" ca="1" si="144"/>
        <v>0</v>
      </c>
      <c r="CO86" s="2118">
        <f t="shared" ca="1" si="144"/>
        <v>0</v>
      </c>
      <c r="CP86" s="2119">
        <f t="shared" ca="1" si="144"/>
        <v>0</v>
      </c>
      <c r="CQ86" s="2117">
        <f t="shared" ca="1" si="144"/>
        <v>0</v>
      </c>
      <c r="CR86" s="2118">
        <f t="shared" ca="1" si="144"/>
        <v>0</v>
      </c>
      <c r="CS86" s="2118">
        <f t="shared" ca="1" si="144"/>
        <v>0</v>
      </c>
      <c r="CT86" s="2119">
        <f t="shared" ca="1" si="144"/>
        <v>0</v>
      </c>
      <c r="CU86" s="2117">
        <f t="shared" ca="1" si="144"/>
        <v>0</v>
      </c>
      <c r="CV86" s="2118">
        <f t="shared" ca="1" si="144"/>
        <v>0</v>
      </c>
      <c r="CW86" s="2118">
        <f t="shared" ca="1" si="144"/>
        <v>0</v>
      </c>
      <c r="CX86" s="2119">
        <f t="shared" ca="1" si="144"/>
        <v>0</v>
      </c>
      <c r="CY86" s="2117">
        <f t="shared" ca="1" si="144"/>
        <v>0</v>
      </c>
      <c r="CZ86" s="2118">
        <f t="shared" ca="1" si="144"/>
        <v>0</v>
      </c>
      <c r="DA86" s="2118">
        <f t="shared" ca="1" si="144"/>
        <v>0</v>
      </c>
      <c r="DB86" s="2119">
        <f t="shared" ca="1" si="144"/>
        <v>0</v>
      </c>
      <c r="DC86" s="2117">
        <f t="shared" ca="1" si="144"/>
        <v>0</v>
      </c>
      <c r="DD86" s="2118">
        <f t="shared" ca="1" si="144"/>
        <v>0</v>
      </c>
      <c r="DE86" s="2118">
        <f t="shared" ca="1" si="144"/>
        <v>0</v>
      </c>
      <c r="DF86" s="2119">
        <f t="shared" ca="1" si="144"/>
        <v>0</v>
      </c>
      <c r="DG86" s="2117">
        <f t="shared" ca="1" si="144"/>
        <v>0</v>
      </c>
      <c r="DH86" s="2118">
        <f t="shared" ca="1" si="144"/>
        <v>0</v>
      </c>
      <c r="DI86" s="2118">
        <f t="shared" ca="1" si="144"/>
        <v>0</v>
      </c>
      <c r="DJ86" s="2119">
        <f t="shared" ca="1" si="144"/>
        <v>0</v>
      </c>
      <c r="DK86" s="2117">
        <f t="shared" ca="1" si="144"/>
        <v>0</v>
      </c>
      <c r="DL86" s="2118">
        <f t="shared" ca="1" si="144"/>
        <v>0</v>
      </c>
      <c r="DM86" s="2118">
        <f t="shared" ca="1" si="144"/>
        <v>0</v>
      </c>
      <c r="DN86" s="2119">
        <f t="shared" ca="1" si="144"/>
        <v>0</v>
      </c>
      <c r="DO86" s="2117">
        <f t="shared" ca="1" si="144"/>
        <v>0</v>
      </c>
      <c r="DP86" s="2118">
        <f t="shared" ca="1" si="144"/>
        <v>0</v>
      </c>
      <c r="DQ86" s="2118">
        <f t="shared" ca="1" si="144"/>
        <v>0</v>
      </c>
      <c r="DR86" s="2119">
        <f t="shared" ca="1" si="144"/>
        <v>0</v>
      </c>
      <c r="DS86" s="2117">
        <f t="shared" ca="1" si="144"/>
        <v>0</v>
      </c>
      <c r="DT86" s="2118">
        <f t="shared" ca="1" si="144"/>
        <v>0</v>
      </c>
      <c r="DU86" s="2118">
        <f t="shared" ca="1" si="144"/>
        <v>0</v>
      </c>
      <c r="DV86" s="2119">
        <f t="shared" ca="1" si="144"/>
        <v>0</v>
      </c>
      <c r="DW86" s="2117">
        <f t="shared" ca="1" si="144"/>
        <v>0</v>
      </c>
      <c r="DX86" s="2118">
        <f t="shared" ca="1" si="144"/>
        <v>0</v>
      </c>
      <c r="DY86" s="2118">
        <f t="shared" ca="1" si="144"/>
        <v>0</v>
      </c>
      <c r="DZ86" s="2119">
        <f t="shared" ca="1" si="144"/>
        <v>0</v>
      </c>
      <c r="EA86" s="2117">
        <f t="shared" ca="1" si="144"/>
        <v>0</v>
      </c>
      <c r="EB86" s="2118">
        <f t="shared" ca="1" si="144"/>
        <v>0</v>
      </c>
      <c r="EC86" s="2118">
        <f t="shared" ca="1" si="144"/>
        <v>0</v>
      </c>
      <c r="ED86" s="2119">
        <f t="shared" ca="1" si="144"/>
        <v>0</v>
      </c>
      <c r="EE86" s="2117">
        <f t="shared" ca="1" si="144"/>
        <v>0</v>
      </c>
      <c r="EF86" s="2118">
        <f t="shared" ref="EF86:GD86" ca="1" si="145">EE89</f>
        <v>0</v>
      </c>
      <c r="EG86" s="2118">
        <f t="shared" ca="1" si="145"/>
        <v>0</v>
      </c>
      <c r="EH86" s="2119">
        <f t="shared" ca="1" si="145"/>
        <v>0</v>
      </c>
      <c r="EI86" s="2117">
        <f t="shared" ca="1" si="145"/>
        <v>0</v>
      </c>
      <c r="EJ86" s="2118">
        <f t="shared" ca="1" si="145"/>
        <v>0</v>
      </c>
      <c r="EK86" s="2118">
        <f t="shared" ca="1" si="145"/>
        <v>0</v>
      </c>
      <c r="EL86" s="2119">
        <f t="shared" ca="1" si="145"/>
        <v>0</v>
      </c>
      <c r="EM86" s="2117">
        <f t="shared" ca="1" si="145"/>
        <v>0</v>
      </c>
      <c r="EN86" s="2118">
        <f t="shared" ca="1" si="145"/>
        <v>0</v>
      </c>
      <c r="EO86" s="2118">
        <f t="shared" ca="1" si="145"/>
        <v>0</v>
      </c>
      <c r="EP86" s="2119">
        <f t="shared" ca="1" si="145"/>
        <v>0</v>
      </c>
      <c r="EQ86" s="2117">
        <f t="shared" ca="1" si="145"/>
        <v>0</v>
      </c>
      <c r="ER86" s="2118">
        <f t="shared" ca="1" si="145"/>
        <v>0</v>
      </c>
      <c r="ES86" s="2118">
        <f t="shared" ca="1" si="145"/>
        <v>0</v>
      </c>
      <c r="ET86" s="2119">
        <f t="shared" ca="1" si="145"/>
        <v>0</v>
      </c>
      <c r="EU86" s="2117">
        <f t="shared" ca="1" si="145"/>
        <v>0</v>
      </c>
      <c r="EV86" s="2118">
        <f t="shared" ca="1" si="145"/>
        <v>0</v>
      </c>
      <c r="EW86" s="2118">
        <f t="shared" ca="1" si="145"/>
        <v>0</v>
      </c>
      <c r="EX86" s="2119">
        <f t="shared" ca="1" si="145"/>
        <v>0</v>
      </c>
      <c r="EY86" s="2117">
        <f t="shared" ca="1" si="145"/>
        <v>0</v>
      </c>
      <c r="EZ86" s="2118">
        <f t="shared" ca="1" si="145"/>
        <v>0</v>
      </c>
      <c r="FA86" s="2118">
        <f t="shared" ca="1" si="145"/>
        <v>0</v>
      </c>
      <c r="FB86" s="2119">
        <f t="shared" ca="1" si="145"/>
        <v>0</v>
      </c>
      <c r="FC86" s="2117">
        <f t="shared" ca="1" si="145"/>
        <v>0</v>
      </c>
      <c r="FD86" s="2118">
        <f t="shared" ca="1" si="145"/>
        <v>0</v>
      </c>
      <c r="FE86" s="2118">
        <f t="shared" ca="1" si="145"/>
        <v>0</v>
      </c>
      <c r="FF86" s="2119">
        <f t="shared" ca="1" si="145"/>
        <v>0</v>
      </c>
      <c r="FG86" s="2117">
        <f t="shared" ca="1" si="145"/>
        <v>0</v>
      </c>
      <c r="FH86" s="2118">
        <f t="shared" ca="1" si="145"/>
        <v>0</v>
      </c>
      <c r="FI86" s="2118">
        <f t="shared" ca="1" si="145"/>
        <v>0</v>
      </c>
      <c r="FJ86" s="2119">
        <f t="shared" ca="1" si="145"/>
        <v>0</v>
      </c>
      <c r="FK86" s="2117">
        <f t="shared" ca="1" si="145"/>
        <v>0</v>
      </c>
      <c r="FL86" s="2118">
        <f t="shared" ca="1" si="145"/>
        <v>0</v>
      </c>
      <c r="FM86" s="2118">
        <f t="shared" ca="1" si="145"/>
        <v>0</v>
      </c>
      <c r="FN86" s="2119">
        <f t="shared" ca="1" si="145"/>
        <v>0</v>
      </c>
      <c r="FO86" s="2117">
        <f t="shared" ca="1" si="145"/>
        <v>0</v>
      </c>
      <c r="FP86" s="2118">
        <f t="shared" ca="1" si="145"/>
        <v>0</v>
      </c>
      <c r="FQ86" s="2118">
        <f t="shared" ca="1" si="145"/>
        <v>0</v>
      </c>
      <c r="FR86" s="2119">
        <f t="shared" ca="1" si="145"/>
        <v>0</v>
      </c>
      <c r="FS86" s="2117">
        <f t="shared" ca="1" si="145"/>
        <v>0</v>
      </c>
      <c r="FT86" s="2118">
        <f t="shared" ca="1" si="145"/>
        <v>0</v>
      </c>
      <c r="FU86" s="2118">
        <f t="shared" ca="1" si="145"/>
        <v>0</v>
      </c>
      <c r="FV86" s="2119">
        <f t="shared" ca="1" si="145"/>
        <v>0</v>
      </c>
      <c r="FW86" s="2117">
        <f t="shared" ca="1" si="145"/>
        <v>0</v>
      </c>
      <c r="FX86" s="2118">
        <f t="shared" ca="1" si="145"/>
        <v>0</v>
      </c>
      <c r="FY86" s="2118">
        <f t="shared" ca="1" si="145"/>
        <v>0</v>
      </c>
      <c r="FZ86" s="2119">
        <f t="shared" ca="1" si="145"/>
        <v>0</v>
      </c>
      <c r="GA86" s="2117">
        <f t="shared" ca="1" si="145"/>
        <v>0</v>
      </c>
      <c r="GB86" s="2118">
        <f t="shared" ca="1" si="145"/>
        <v>0</v>
      </c>
      <c r="GC86" s="2118">
        <f t="shared" ca="1" si="145"/>
        <v>0</v>
      </c>
      <c r="GD86" s="2119">
        <f t="shared" ca="1" si="145"/>
        <v>0</v>
      </c>
    </row>
    <row r="87" spans="1:186" ht="15" customHeight="1">
      <c r="B87" s="2085"/>
      <c r="C87" s="2127" t="s">
        <v>3781</v>
      </c>
      <c r="D87" s="2128"/>
      <c r="E87" s="2170">
        <v>0</v>
      </c>
      <c r="F87" s="2129">
        <f t="shared" ca="1" si="142"/>
        <v>0</v>
      </c>
      <c r="G87" s="2131">
        <f ca="1">G82</f>
        <v>0</v>
      </c>
      <c r="H87" s="2133">
        <f t="shared" ref="H87:BS87" ca="1" si="146">H82</f>
        <v>0</v>
      </c>
      <c r="I87" s="2133">
        <f t="shared" ca="1" si="146"/>
        <v>0</v>
      </c>
      <c r="J87" s="2134">
        <f t="shared" ca="1" si="146"/>
        <v>0</v>
      </c>
      <c r="K87" s="2131">
        <f t="shared" ca="1" si="146"/>
        <v>0</v>
      </c>
      <c r="L87" s="2133">
        <f t="shared" ca="1" si="146"/>
        <v>0</v>
      </c>
      <c r="M87" s="2133">
        <f t="shared" ca="1" si="146"/>
        <v>0</v>
      </c>
      <c r="N87" s="2134">
        <f t="shared" ca="1" si="146"/>
        <v>0</v>
      </c>
      <c r="O87" s="2131">
        <f t="shared" ca="1" si="146"/>
        <v>0</v>
      </c>
      <c r="P87" s="2133">
        <f t="shared" ca="1" si="146"/>
        <v>0</v>
      </c>
      <c r="Q87" s="2133">
        <f t="shared" ca="1" si="146"/>
        <v>0</v>
      </c>
      <c r="R87" s="2134">
        <f t="shared" ca="1" si="146"/>
        <v>0</v>
      </c>
      <c r="S87" s="2131">
        <f t="shared" ca="1" si="146"/>
        <v>0</v>
      </c>
      <c r="T87" s="2133">
        <f t="shared" ca="1" si="146"/>
        <v>0</v>
      </c>
      <c r="U87" s="2133">
        <f t="shared" ca="1" si="146"/>
        <v>0</v>
      </c>
      <c r="V87" s="2134">
        <f t="shared" ca="1" si="146"/>
        <v>0</v>
      </c>
      <c r="W87" s="2131">
        <f t="shared" ca="1" si="146"/>
        <v>0</v>
      </c>
      <c r="X87" s="2133">
        <f t="shared" ca="1" si="146"/>
        <v>0</v>
      </c>
      <c r="Y87" s="2133">
        <f t="shared" ca="1" si="146"/>
        <v>0</v>
      </c>
      <c r="Z87" s="2134">
        <f t="shared" ca="1" si="146"/>
        <v>0</v>
      </c>
      <c r="AA87" s="2131">
        <f t="shared" ca="1" si="146"/>
        <v>0</v>
      </c>
      <c r="AB87" s="2133">
        <f t="shared" ca="1" si="146"/>
        <v>0</v>
      </c>
      <c r="AC87" s="2133">
        <f t="shared" ca="1" si="146"/>
        <v>0</v>
      </c>
      <c r="AD87" s="2134">
        <f t="shared" ca="1" si="146"/>
        <v>0</v>
      </c>
      <c r="AE87" s="2171">
        <f t="shared" ca="1" si="146"/>
        <v>0</v>
      </c>
      <c r="AF87" s="2133">
        <f t="shared" ca="1" si="146"/>
        <v>0</v>
      </c>
      <c r="AG87" s="2133">
        <f t="shared" ca="1" si="146"/>
        <v>0</v>
      </c>
      <c r="AH87" s="2134">
        <f t="shared" ca="1" si="146"/>
        <v>0</v>
      </c>
      <c r="AI87" s="2131">
        <f t="shared" ca="1" si="146"/>
        <v>0</v>
      </c>
      <c r="AJ87" s="2133">
        <f t="shared" ca="1" si="146"/>
        <v>0</v>
      </c>
      <c r="AK87" s="2133">
        <f t="shared" ca="1" si="146"/>
        <v>0</v>
      </c>
      <c r="AL87" s="2134">
        <f t="shared" ca="1" si="146"/>
        <v>0</v>
      </c>
      <c r="AM87" s="2131">
        <f t="shared" ca="1" si="146"/>
        <v>0</v>
      </c>
      <c r="AN87" s="2133">
        <f t="shared" ca="1" si="146"/>
        <v>0</v>
      </c>
      <c r="AO87" s="2133">
        <f t="shared" ca="1" si="146"/>
        <v>0</v>
      </c>
      <c r="AP87" s="2134">
        <f t="shared" ca="1" si="146"/>
        <v>0</v>
      </c>
      <c r="AQ87" s="2131">
        <f t="shared" ca="1" si="146"/>
        <v>0</v>
      </c>
      <c r="AR87" s="2133">
        <f t="shared" ca="1" si="146"/>
        <v>0</v>
      </c>
      <c r="AS87" s="2133">
        <f t="shared" ca="1" si="146"/>
        <v>0</v>
      </c>
      <c r="AT87" s="2134">
        <f t="shared" ca="1" si="146"/>
        <v>0</v>
      </c>
      <c r="AU87" s="2131">
        <f t="shared" ca="1" si="146"/>
        <v>0</v>
      </c>
      <c r="AV87" s="2133">
        <f t="shared" ca="1" si="146"/>
        <v>0</v>
      </c>
      <c r="AW87" s="2133">
        <f t="shared" ca="1" si="146"/>
        <v>0</v>
      </c>
      <c r="AX87" s="2134">
        <f t="shared" ca="1" si="146"/>
        <v>0</v>
      </c>
      <c r="AY87" s="2131">
        <f t="shared" ca="1" si="146"/>
        <v>0</v>
      </c>
      <c r="AZ87" s="2133">
        <f t="shared" ca="1" si="146"/>
        <v>0</v>
      </c>
      <c r="BA87" s="2133">
        <f t="shared" ca="1" si="146"/>
        <v>0</v>
      </c>
      <c r="BB87" s="2134">
        <f t="shared" ca="1" si="146"/>
        <v>0</v>
      </c>
      <c r="BC87" s="2131">
        <f t="shared" ca="1" si="146"/>
        <v>0</v>
      </c>
      <c r="BD87" s="2133">
        <f t="shared" ca="1" si="146"/>
        <v>0</v>
      </c>
      <c r="BE87" s="2133">
        <f t="shared" ca="1" si="146"/>
        <v>0</v>
      </c>
      <c r="BF87" s="2134">
        <f t="shared" ca="1" si="146"/>
        <v>0</v>
      </c>
      <c r="BG87" s="2131">
        <f t="shared" ca="1" si="146"/>
        <v>0</v>
      </c>
      <c r="BH87" s="2133">
        <f t="shared" ca="1" si="146"/>
        <v>0</v>
      </c>
      <c r="BI87" s="2133">
        <f t="shared" ca="1" si="146"/>
        <v>0</v>
      </c>
      <c r="BJ87" s="2134">
        <f t="shared" ca="1" si="146"/>
        <v>0</v>
      </c>
      <c r="BK87" s="2131">
        <f t="shared" ca="1" si="146"/>
        <v>0</v>
      </c>
      <c r="BL87" s="2133">
        <f t="shared" ca="1" si="146"/>
        <v>0</v>
      </c>
      <c r="BM87" s="2133">
        <f t="shared" ca="1" si="146"/>
        <v>0</v>
      </c>
      <c r="BN87" s="2134">
        <f t="shared" ca="1" si="146"/>
        <v>0</v>
      </c>
      <c r="BO87" s="2131">
        <f t="shared" ca="1" si="146"/>
        <v>0</v>
      </c>
      <c r="BP87" s="2133">
        <f t="shared" ca="1" si="146"/>
        <v>0</v>
      </c>
      <c r="BQ87" s="2133">
        <f t="shared" ca="1" si="146"/>
        <v>0</v>
      </c>
      <c r="BR87" s="2134">
        <f t="shared" ca="1" si="146"/>
        <v>0</v>
      </c>
      <c r="BS87" s="2131">
        <f t="shared" ca="1" si="146"/>
        <v>0</v>
      </c>
      <c r="BT87" s="2133">
        <f t="shared" ref="BT87:EE87" ca="1" si="147">BT82</f>
        <v>0</v>
      </c>
      <c r="BU87" s="2133">
        <f t="shared" ca="1" si="147"/>
        <v>0</v>
      </c>
      <c r="BV87" s="2134">
        <f t="shared" ca="1" si="147"/>
        <v>0</v>
      </c>
      <c r="BW87" s="2131">
        <f t="shared" ca="1" si="147"/>
        <v>0</v>
      </c>
      <c r="BX87" s="2133">
        <f t="shared" ca="1" si="147"/>
        <v>0</v>
      </c>
      <c r="BY87" s="2133">
        <f t="shared" ca="1" si="147"/>
        <v>0</v>
      </c>
      <c r="BZ87" s="2134">
        <f t="shared" ca="1" si="147"/>
        <v>0</v>
      </c>
      <c r="CA87" s="2131">
        <f t="shared" ca="1" si="147"/>
        <v>0</v>
      </c>
      <c r="CB87" s="2133">
        <f t="shared" ca="1" si="147"/>
        <v>0</v>
      </c>
      <c r="CC87" s="2133">
        <f t="shared" ca="1" si="147"/>
        <v>0</v>
      </c>
      <c r="CD87" s="2134">
        <f t="shared" ca="1" si="147"/>
        <v>0</v>
      </c>
      <c r="CE87" s="2131">
        <f t="shared" ca="1" si="147"/>
        <v>0</v>
      </c>
      <c r="CF87" s="2133">
        <f t="shared" ca="1" si="147"/>
        <v>0</v>
      </c>
      <c r="CG87" s="2133">
        <f t="shared" ca="1" si="147"/>
        <v>0</v>
      </c>
      <c r="CH87" s="2134">
        <f t="shared" ca="1" si="147"/>
        <v>0</v>
      </c>
      <c r="CI87" s="2131">
        <f t="shared" ca="1" si="147"/>
        <v>0</v>
      </c>
      <c r="CJ87" s="2133">
        <f t="shared" ca="1" si="147"/>
        <v>0</v>
      </c>
      <c r="CK87" s="2133">
        <f t="shared" ca="1" si="147"/>
        <v>0</v>
      </c>
      <c r="CL87" s="2134">
        <f t="shared" ca="1" si="147"/>
        <v>0</v>
      </c>
      <c r="CM87" s="2131">
        <f t="shared" ca="1" si="147"/>
        <v>0</v>
      </c>
      <c r="CN87" s="2133">
        <f t="shared" ca="1" si="147"/>
        <v>0</v>
      </c>
      <c r="CO87" s="2133">
        <f t="shared" ca="1" si="147"/>
        <v>0</v>
      </c>
      <c r="CP87" s="2134">
        <f t="shared" ca="1" si="147"/>
        <v>0</v>
      </c>
      <c r="CQ87" s="2131">
        <f t="shared" ca="1" si="147"/>
        <v>0</v>
      </c>
      <c r="CR87" s="2133">
        <f t="shared" ca="1" si="147"/>
        <v>0</v>
      </c>
      <c r="CS87" s="2133">
        <f t="shared" ca="1" si="147"/>
        <v>0</v>
      </c>
      <c r="CT87" s="2134">
        <f t="shared" ca="1" si="147"/>
        <v>0</v>
      </c>
      <c r="CU87" s="2131">
        <f t="shared" ca="1" si="147"/>
        <v>0</v>
      </c>
      <c r="CV87" s="2133">
        <f t="shared" ca="1" si="147"/>
        <v>0</v>
      </c>
      <c r="CW87" s="2133">
        <f t="shared" ca="1" si="147"/>
        <v>0</v>
      </c>
      <c r="CX87" s="2134">
        <f t="shared" ca="1" si="147"/>
        <v>0</v>
      </c>
      <c r="CY87" s="2131">
        <f t="shared" ca="1" si="147"/>
        <v>0</v>
      </c>
      <c r="CZ87" s="2133">
        <f t="shared" ca="1" si="147"/>
        <v>0</v>
      </c>
      <c r="DA87" s="2133">
        <f t="shared" ca="1" si="147"/>
        <v>0</v>
      </c>
      <c r="DB87" s="2134">
        <f t="shared" ca="1" si="147"/>
        <v>0</v>
      </c>
      <c r="DC87" s="2131">
        <f t="shared" ca="1" si="147"/>
        <v>0</v>
      </c>
      <c r="DD87" s="2133">
        <f t="shared" ca="1" si="147"/>
        <v>0</v>
      </c>
      <c r="DE87" s="2133">
        <f t="shared" ca="1" si="147"/>
        <v>0</v>
      </c>
      <c r="DF87" s="2134">
        <f t="shared" ca="1" si="147"/>
        <v>0</v>
      </c>
      <c r="DG87" s="2131">
        <f t="shared" ca="1" si="147"/>
        <v>0</v>
      </c>
      <c r="DH87" s="2133">
        <f t="shared" ca="1" si="147"/>
        <v>0</v>
      </c>
      <c r="DI87" s="2133">
        <f t="shared" ca="1" si="147"/>
        <v>0</v>
      </c>
      <c r="DJ87" s="2134">
        <f t="shared" ca="1" si="147"/>
        <v>0</v>
      </c>
      <c r="DK87" s="2131">
        <f t="shared" ca="1" si="147"/>
        <v>0</v>
      </c>
      <c r="DL87" s="2133">
        <f t="shared" ca="1" si="147"/>
        <v>0</v>
      </c>
      <c r="DM87" s="2133">
        <f t="shared" ca="1" si="147"/>
        <v>0</v>
      </c>
      <c r="DN87" s="2134">
        <f t="shared" ca="1" si="147"/>
        <v>0</v>
      </c>
      <c r="DO87" s="2131">
        <f t="shared" ca="1" si="147"/>
        <v>0</v>
      </c>
      <c r="DP87" s="2133">
        <f t="shared" ca="1" si="147"/>
        <v>0</v>
      </c>
      <c r="DQ87" s="2133">
        <f t="shared" ca="1" si="147"/>
        <v>0</v>
      </c>
      <c r="DR87" s="2134">
        <f t="shared" ca="1" si="147"/>
        <v>0</v>
      </c>
      <c r="DS87" s="2131">
        <f t="shared" ca="1" si="147"/>
        <v>0</v>
      </c>
      <c r="DT87" s="2133">
        <f t="shared" ca="1" si="147"/>
        <v>0</v>
      </c>
      <c r="DU87" s="2133">
        <f t="shared" ca="1" si="147"/>
        <v>0</v>
      </c>
      <c r="DV87" s="2134">
        <f t="shared" ca="1" si="147"/>
        <v>0</v>
      </c>
      <c r="DW87" s="2131">
        <f t="shared" ca="1" si="147"/>
        <v>0</v>
      </c>
      <c r="DX87" s="2133">
        <f t="shared" ca="1" si="147"/>
        <v>0</v>
      </c>
      <c r="DY87" s="2133">
        <f t="shared" ca="1" si="147"/>
        <v>0</v>
      </c>
      <c r="DZ87" s="2134">
        <f t="shared" ca="1" si="147"/>
        <v>0</v>
      </c>
      <c r="EA87" s="2131">
        <f t="shared" ca="1" si="147"/>
        <v>0</v>
      </c>
      <c r="EB87" s="2133">
        <f t="shared" ca="1" si="147"/>
        <v>0</v>
      </c>
      <c r="EC87" s="2133">
        <f t="shared" ca="1" si="147"/>
        <v>0</v>
      </c>
      <c r="ED87" s="2134">
        <f t="shared" ca="1" si="147"/>
        <v>0</v>
      </c>
      <c r="EE87" s="2131">
        <f t="shared" ca="1" si="147"/>
        <v>0</v>
      </c>
      <c r="EF87" s="2133">
        <f t="shared" ref="EF87:FK87" ca="1" si="148">EF82</f>
        <v>0</v>
      </c>
      <c r="EG87" s="2133">
        <f t="shared" ca="1" si="148"/>
        <v>0</v>
      </c>
      <c r="EH87" s="2134">
        <f t="shared" ca="1" si="148"/>
        <v>0</v>
      </c>
      <c r="EI87" s="2131">
        <f t="shared" ca="1" si="148"/>
        <v>0</v>
      </c>
      <c r="EJ87" s="2133">
        <f t="shared" ca="1" si="148"/>
        <v>0</v>
      </c>
      <c r="EK87" s="2133">
        <f t="shared" ca="1" si="148"/>
        <v>0</v>
      </c>
      <c r="EL87" s="2134">
        <f t="shared" ca="1" si="148"/>
        <v>0</v>
      </c>
      <c r="EM87" s="2131">
        <f t="shared" ca="1" si="148"/>
        <v>0</v>
      </c>
      <c r="EN87" s="2133">
        <f t="shared" ca="1" si="148"/>
        <v>0</v>
      </c>
      <c r="EO87" s="2133">
        <f t="shared" ca="1" si="148"/>
        <v>0</v>
      </c>
      <c r="EP87" s="2134">
        <f t="shared" ca="1" si="148"/>
        <v>0</v>
      </c>
      <c r="EQ87" s="2131">
        <f t="shared" ca="1" si="148"/>
        <v>0</v>
      </c>
      <c r="ER87" s="2133">
        <f t="shared" ca="1" si="148"/>
        <v>0</v>
      </c>
      <c r="ES87" s="2133">
        <f t="shared" ca="1" si="148"/>
        <v>0</v>
      </c>
      <c r="ET87" s="2134">
        <f t="shared" ca="1" si="148"/>
        <v>0</v>
      </c>
      <c r="EU87" s="2131">
        <f t="shared" ca="1" si="148"/>
        <v>0</v>
      </c>
      <c r="EV87" s="2133">
        <f t="shared" ca="1" si="148"/>
        <v>0</v>
      </c>
      <c r="EW87" s="2133">
        <f t="shared" ca="1" si="148"/>
        <v>0</v>
      </c>
      <c r="EX87" s="2134">
        <f t="shared" ca="1" si="148"/>
        <v>0</v>
      </c>
      <c r="EY87" s="2131">
        <f t="shared" ca="1" si="148"/>
        <v>0</v>
      </c>
      <c r="EZ87" s="2133">
        <f t="shared" ca="1" si="148"/>
        <v>0</v>
      </c>
      <c r="FA87" s="2133">
        <f t="shared" ca="1" si="148"/>
        <v>0</v>
      </c>
      <c r="FB87" s="2134">
        <f t="shared" ca="1" si="148"/>
        <v>0</v>
      </c>
      <c r="FC87" s="2131">
        <f t="shared" ca="1" si="148"/>
        <v>0</v>
      </c>
      <c r="FD87" s="2133">
        <f t="shared" ca="1" si="148"/>
        <v>0</v>
      </c>
      <c r="FE87" s="2133">
        <f t="shared" ca="1" si="148"/>
        <v>0</v>
      </c>
      <c r="FF87" s="2134">
        <f t="shared" ca="1" si="148"/>
        <v>0</v>
      </c>
      <c r="FG87" s="2131">
        <f t="shared" ca="1" si="148"/>
        <v>0</v>
      </c>
      <c r="FH87" s="2133">
        <f t="shared" ca="1" si="148"/>
        <v>0</v>
      </c>
      <c r="FI87" s="2133">
        <f t="shared" ca="1" si="148"/>
        <v>0</v>
      </c>
      <c r="FJ87" s="2134">
        <f t="shared" ca="1" si="148"/>
        <v>0</v>
      </c>
      <c r="FK87" s="2131">
        <f t="shared" ca="1" si="148"/>
        <v>0</v>
      </c>
      <c r="FL87" s="2133">
        <f t="shared" ref="FL87:GD87" ca="1" si="149">FL82*(FM5&gt;0.0001)</f>
        <v>0</v>
      </c>
      <c r="FM87" s="2133">
        <f t="shared" ca="1" si="149"/>
        <v>0</v>
      </c>
      <c r="FN87" s="2134">
        <f t="shared" ca="1" si="149"/>
        <v>0</v>
      </c>
      <c r="FO87" s="2131">
        <f t="shared" ca="1" si="149"/>
        <v>0</v>
      </c>
      <c r="FP87" s="2133">
        <f t="shared" ca="1" si="149"/>
        <v>0</v>
      </c>
      <c r="FQ87" s="2133">
        <f t="shared" ca="1" si="149"/>
        <v>0</v>
      </c>
      <c r="FR87" s="2134">
        <f t="shared" ca="1" si="149"/>
        <v>0</v>
      </c>
      <c r="FS87" s="2131">
        <f t="shared" ca="1" si="149"/>
        <v>0</v>
      </c>
      <c r="FT87" s="2133">
        <f t="shared" ca="1" si="149"/>
        <v>0</v>
      </c>
      <c r="FU87" s="2133">
        <f t="shared" ca="1" si="149"/>
        <v>0</v>
      </c>
      <c r="FV87" s="2134">
        <f t="shared" ca="1" si="149"/>
        <v>0</v>
      </c>
      <c r="FW87" s="2131">
        <f t="shared" ca="1" si="149"/>
        <v>0</v>
      </c>
      <c r="FX87" s="2133">
        <f t="shared" ca="1" si="149"/>
        <v>0</v>
      </c>
      <c r="FY87" s="2133">
        <f t="shared" ca="1" si="149"/>
        <v>0</v>
      </c>
      <c r="FZ87" s="2134">
        <f t="shared" ca="1" si="149"/>
        <v>0</v>
      </c>
      <c r="GA87" s="2131">
        <f t="shared" ca="1" si="149"/>
        <v>0</v>
      </c>
      <c r="GB87" s="2133">
        <f t="shared" ca="1" si="149"/>
        <v>0</v>
      </c>
      <c r="GC87" s="2133">
        <f t="shared" ca="1" si="149"/>
        <v>0</v>
      </c>
      <c r="GD87" s="2134">
        <f t="shared" ca="1" si="149"/>
        <v>0</v>
      </c>
    </row>
    <row r="88" spans="1:186" ht="15" customHeight="1">
      <c r="B88" s="2085"/>
      <c r="C88" s="2135" t="s">
        <v>3782</v>
      </c>
      <c r="D88" s="2136"/>
      <c r="E88" s="2137"/>
      <c r="F88" s="2172">
        <f t="shared" ca="1" si="142"/>
        <v>0</v>
      </c>
      <c r="G88" s="2139">
        <f ca="1">G94</f>
        <v>0</v>
      </c>
      <c r="H88" s="2140">
        <f t="shared" ref="H88:BS88" ca="1" si="150">H94</f>
        <v>0</v>
      </c>
      <c r="I88" s="2140">
        <f t="shared" ca="1" si="150"/>
        <v>0</v>
      </c>
      <c r="J88" s="2141">
        <f t="shared" ca="1" si="150"/>
        <v>0</v>
      </c>
      <c r="K88" s="2139">
        <f t="shared" ca="1" si="150"/>
        <v>0</v>
      </c>
      <c r="L88" s="2140">
        <f t="shared" ca="1" si="150"/>
        <v>0</v>
      </c>
      <c r="M88" s="2140">
        <f t="shared" ca="1" si="150"/>
        <v>0</v>
      </c>
      <c r="N88" s="2141">
        <f t="shared" ca="1" si="150"/>
        <v>0</v>
      </c>
      <c r="O88" s="2139">
        <f t="shared" ca="1" si="150"/>
        <v>0</v>
      </c>
      <c r="P88" s="2140">
        <f t="shared" ca="1" si="150"/>
        <v>0</v>
      </c>
      <c r="Q88" s="2140">
        <f t="shared" ca="1" si="150"/>
        <v>0</v>
      </c>
      <c r="R88" s="2141">
        <f t="shared" ca="1" si="150"/>
        <v>0</v>
      </c>
      <c r="S88" s="2139">
        <f t="shared" ca="1" si="150"/>
        <v>0</v>
      </c>
      <c r="T88" s="2140">
        <f t="shared" ca="1" si="150"/>
        <v>0</v>
      </c>
      <c r="U88" s="2140">
        <f t="shared" ca="1" si="150"/>
        <v>0</v>
      </c>
      <c r="V88" s="2141">
        <f t="shared" ca="1" si="150"/>
        <v>0</v>
      </c>
      <c r="W88" s="2139">
        <f t="shared" ca="1" si="150"/>
        <v>0</v>
      </c>
      <c r="X88" s="2140">
        <f t="shared" ca="1" si="150"/>
        <v>0</v>
      </c>
      <c r="Y88" s="2140">
        <f t="shared" ca="1" si="150"/>
        <v>0</v>
      </c>
      <c r="Z88" s="2141">
        <f t="shared" ca="1" si="150"/>
        <v>0</v>
      </c>
      <c r="AA88" s="2139">
        <f t="shared" ca="1" si="150"/>
        <v>0</v>
      </c>
      <c r="AB88" s="2140">
        <f t="shared" ca="1" si="150"/>
        <v>0</v>
      </c>
      <c r="AC88" s="2140">
        <f t="shared" ca="1" si="150"/>
        <v>0</v>
      </c>
      <c r="AD88" s="2141">
        <f t="shared" ca="1" si="150"/>
        <v>0</v>
      </c>
      <c r="AE88" s="2139">
        <f t="shared" ca="1" si="150"/>
        <v>0</v>
      </c>
      <c r="AF88" s="2140">
        <f t="shared" ca="1" si="150"/>
        <v>0</v>
      </c>
      <c r="AG88" s="2140">
        <f t="shared" ca="1" si="150"/>
        <v>0</v>
      </c>
      <c r="AH88" s="2141">
        <f t="shared" ca="1" si="150"/>
        <v>0</v>
      </c>
      <c r="AI88" s="2139">
        <f t="shared" ca="1" si="150"/>
        <v>0</v>
      </c>
      <c r="AJ88" s="2140">
        <f t="shared" ca="1" si="150"/>
        <v>0</v>
      </c>
      <c r="AK88" s="2140">
        <f t="shared" ca="1" si="150"/>
        <v>0</v>
      </c>
      <c r="AL88" s="2141">
        <f t="shared" ca="1" si="150"/>
        <v>0</v>
      </c>
      <c r="AM88" s="2139">
        <f t="shared" ca="1" si="150"/>
        <v>0</v>
      </c>
      <c r="AN88" s="2140">
        <f t="shared" ca="1" si="150"/>
        <v>0</v>
      </c>
      <c r="AO88" s="2140">
        <f t="shared" ca="1" si="150"/>
        <v>0</v>
      </c>
      <c r="AP88" s="2141">
        <f t="shared" ca="1" si="150"/>
        <v>0</v>
      </c>
      <c r="AQ88" s="2139">
        <f t="shared" ca="1" si="150"/>
        <v>0</v>
      </c>
      <c r="AR88" s="2140">
        <f t="shared" ca="1" si="150"/>
        <v>0</v>
      </c>
      <c r="AS88" s="2140">
        <f t="shared" ca="1" si="150"/>
        <v>0</v>
      </c>
      <c r="AT88" s="2141">
        <f t="shared" ca="1" si="150"/>
        <v>0</v>
      </c>
      <c r="AU88" s="2139">
        <f t="shared" ca="1" si="150"/>
        <v>0</v>
      </c>
      <c r="AV88" s="2140">
        <f t="shared" ca="1" si="150"/>
        <v>0</v>
      </c>
      <c r="AW88" s="2140">
        <f t="shared" ca="1" si="150"/>
        <v>0</v>
      </c>
      <c r="AX88" s="2141">
        <f t="shared" ca="1" si="150"/>
        <v>0</v>
      </c>
      <c r="AY88" s="2139">
        <f t="shared" ca="1" si="150"/>
        <v>0</v>
      </c>
      <c r="AZ88" s="2140">
        <f t="shared" ca="1" si="150"/>
        <v>0</v>
      </c>
      <c r="BA88" s="2140">
        <f t="shared" ca="1" si="150"/>
        <v>0</v>
      </c>
      <c r="BB88" s="2141">
        <f t="shared" ca="1" si="150"/>
        <v>0</v>
      </c>
      <c r="BC88" s="2139">
        <f t="shared" ca="1" si="150"/>
        <v>0</v>
      </c>
      <c r="BD88" s="2140">
        <f t="shared" ca="1" si="150"/>
        <v>0</v>
      </c>
      <c r="BE88" s="2140">
        <f t="shared" ca="1" si="150"/>
        <v>0</v>
      </c>
      <c r="BF88" s="2141">
        <f t="shared" ca="1" si="150"/>
        <v>0</v>
      </c>
      <c r="BG88" s="2139">
        <f t="shared" ca="1" si="150"/>
        <v>0</v>
      </c>
      <c r="BH88" s="2140">
        <f t="shared" ca="1" si="150"/>
        <v>0</v>
      </c>
      <c r="BI88" s="2140">
        <f t="shared" ca="1" si="150"/>
        <v>0</v>
      </c>
      <c r="BJ88" s="2141">
        <f t="shared" ca="1" si="150"/>
        <v>0</v>
      </c>
      <c r="BK88" s="2139">
        <f t="shared" ca="1" si="150"/>
        <v>0</v>
      </c>
      <c r="BL88" s="2140">
        <f t="shared" ca="1" si="150"/>
        <v>0</v>
      </c>
      <c r="BM88" s="2140">
        <f t="shared" ca="1" si="150"/>
        <v>0</v>
      </c>
      <c r="BN88" s="2141">
        <f t="shared" ca="1" si="150"/>
        <v>0</v>
      </c>
      <c r="BO88" s="2139">
        <f t="shared" ca="1" si="150"/>
        <v>0</v>
      </c>
      <c r="BP88" s="2140">
        <f t="shared" ca="1" si="150"/>
        <v>0</v>
      </c>
      <c r="BQ88" s="2140">
        <f t="shared" ca="1" si="150"/>
        <v>0</v>
      </c>
      <c r="BR88" s="2141">
        <f t="shared" ca="1" si="150"/>
        <v>0</v>
      </c>
      <c r="BS88" s="2139">
        <f t="shared" ca="1" si="150"/>
        <v>0</v>
      </c>
      <c r="BT88" s="2140">
        <f t="shared" ref="BT88:EE88" ca="1" si="151">BT94</f>
        <v>0</v>
      </c>
      <c r="BU88" s="2140">
        <f t="shared" ca="1" si="151"/>
        <v>0</v>
      </c>
      <c r="BV88" s="2141">
        <f t="shared" ca="1" si="151"/>
        <v>0</v>
      </c>
      <c r="BW88" s="2139">
        <f t="shared" ca="1" si="151"/>
        <v>0</v>
      </c>
      <c r="BX88" s="2140">
        <f t="shared" ca="1" si="151"/>
        <v>0</v>
      </c>
      <c r="BY88" s="2140">
        <f t="shared" ca="1" si="151"/>
        <v>0</v>
      </c>
      <c r="BZ88" s="2141">
        <f t="shared" ca="1" si="151"/>
        <v>0</v>
      </c>
      <c r="CA88" s="2139">
        <f t="shared" ca="1" si="151"/>
        <v>0</v>
      </c>
      <c r="CB88" s="2140">
        <f t="shared" ca="1" si="151"/>
        <v>0</v>
      </c>
      <c r="CC88" s="2140">
        <f t="shared" ca="1" si="151"/>
        <v>0</v>
      </c>
      <c r="CD88" s="2141">
        <f t="shared" ca="1" si="151"/>
        <v>0</v>
      </c>
      <c r="CE88" s="2139">
        <f t="shared" ca="1" si="151"/>
        <v>0</v>
      </c>
      <c r="CF88" s="2140">
        <f t="shared" ca="1" si="151"/>
        <v>0</v>
      </c>
      <c r="CG88" s="2140">
        <f t="shared" ca="1" si="151"/>
        <v>0</v>
      </c>
      <c r="CH88" s="2141">
        <f t="shared" ca="1" si="151"/>
        <v>0</v>
      </c>
      <c r="CI88" s="2139">
        <f t="shared" ca="1" si="151"/>
        <v>0</v>
      </c>
      <c r="CJ88" s="2140">
        <f t="shared" ca="1" si="151"/>
        <v>0</v>
      </c>
      <c r="CK88" s="2140">
        <f t="shared" ca="1" si="151"/>
        <v>0</v>
      </c>
      <c r="CL88" s="2141">
        <f t="shared" ca="1" si="151"/>
        <v>0</v>
      </c>
      <c r="CM88" s="2139">
        <f t="shared" ca="1" si="151"/>
        <v>0</v>
      </c>
      <c r="CN88" s="2140">
        <f t="shared" ca="1" si="151"/>
        <v>0</v>
      </c>
      <c r="CO88" s="2140">
        <f t="shared" ca="1" si="151"/>
        <v>0</v>
      </c>
      <c r="CP88" s="2141">
        <f t="shared" ca="1" si="151"/>
        <v>0</v>
      </c>
      <c r="CQ88" s="2139">
        <f t="shared" ca="1" si="151"/>
        <v>0</v>
      </c>
      <c r="CR88" s="2140">
        <f t="shared" ca="1" si="151"/>
        <v>0</v>
      </c>
      <c r="CS88" s="2140">
        <f t="shared" ca="1" si="151"/>
        <v>0</v>
      </c>
      <c r="CT88" s="2141">
        <f t="shared" ca="1" si="151"/>
        <v>0</v>
      </c>
      <c r="CU88" s="2139">
        <f t="shared" ca="1" si="151"/>
        <v>0</v>
      </c>
      <c r="CV88" s="2140">
        <f t="shared" ca="1" si="151"/>
        <v>0</v>
      </c>
      <c r="CW88" s="2140">
        <f t="shared" ca="1" si="151"/>
        <v>0</v>
      </c>
      <c r="CX88" s="2141">
        <f t="shared" ca="1" si="151"/>
        <v>0</v>
      </c>
      <c r="CY88" s="2139">
        <f t="shared" ca="1" si="151"/>
        <v>0</v>
      </c>
      <c r="CZ88" s="2140">
        <f t="shared" ca="1" si="151"/>
        <v>0</v>
      </c>
      <c r="DA88" s="2140">
        <f t="shared" ca="1" si="151"/>
        <v>0</v>
      </c>
      <c r="DB88" s="2141">
        <f t="shared" ca="1" si="151"/>
        <v>0</v>
      </c>
      <c r="DC88" s="2139">
        <f t="shared" ca="1" si="151"/>
        <v>0</v>
      </c>
      <c r="DD88" s="2140">
        <f t="shared" ca="1" si="151"/>
        <v>0</v>
      </c>
      <c r="DE88" s="2140">
        <f t="shared" ca="1" si="151"/>
        <v>0</v>
      </c>
      <c r="DF88" s="2141">
        <f t="shared" ca="1" si="151"/>
        <v>0</v>
      </c>
      <c r="DG88" s="2139">
        <f t="shared" ca="1" si="151"/>
        <v>0</v>
      </c>
      <c r="DH88" s="2140">
        <f t="shared" ca="1" si="151"/>
        <v>0</v>
      </c>
      <c r="DI88" s="2140">
        <f t="shared" ca="1" si="151"/>
        <v>0</v>
      </c>
      <c r="DJ88" s="2141">
        <f t="shared" ca="1" si="151"/>
        <v>0</v>
      </c>
      <c r="DK88" s="2139">
        <f t="shared" ca="1" si="151"/>
        <v>0</v>
      </c>
      <c r="DL88" s="2140">
        <f t="shared" ca="1" si="151"/>
        <v>0</v>
      </c>
      <c r="DM88" s="2140">
        <f t="shared" ca="1" si="151"/>
        <v>0</v>
      </c>
      <c r="DN88" s="2141">
        <f t="shared" ca="1" si="151"/>
        <v>0</v>
      </c>
      <c r="DO88" s="2139">
        <f t="shared" ca="1" si="151"/>
        <v>0</v>
      </c>
      <c r="DP88" s="2140">
        <f t="shared" ca="1" si="151"/>
        <v>0</v>
      </c>
      <c r="DQ88" s="2140">
        <f t="shared" ca="1" si="151"/>
        <v>0</v>
      </c>
      <c r="DR88" s="2141">
        <f t="shared" ca="1" si="151"/>
        <v>0</v>
      </c>
      <c r="DS88" s="2139">
        <f t="shared" ca="1" si="151"/>
        <v>0</v>
      </c>
      <c r="DT88" s="2140">
        <f t="shared" ca="1" si="151"/>
        <v>0</v>
      </c>
      <c r="DU88" s="2140">
        <f t="shared" ca="1" si="151"/>
        <v>0</v>
      </c>
      <c r="DV88" s="2141">
        <f t="shared" ca="1" si="151"/>
        <v>0</v>
      </c>
      <c r="DW88" s="2139">
        <f t="shared" ca="1" si="151"/>
        <v>0</v>
      </c>
      <c r="DX88" s="2140">
        <f t="shared" ca="1" si="151"/>
        <v>0</v>
      </c>
      <c r="DY88" s="2140">
        <f t="shared" ca="1" si="151"/>
        <v>0</v>
      </c>
      <c r="DZ88" s="2141">
        <f t="shared" ca="1" si="151"/>
        <v>0</v>
      </c>
      <c r="EA88" s="2139">
        <f t="shared" ca="1" si="151"/>
        <v>0</v>
      </c>
      <c r="EB88" s="2140">
        <f t="shared" ca="1" si="151"/>
        <v>0</v>
      </c>
      <c r="EC88" s="2140">
        <f t="shared" ca="1" si="151"/>
        <v>0</v>
      </c>
      <c r="ED88" s="2141">
        <f t="shared" ca="1" si="151"/>
        <v>0</v>
      </c>
      <c r="EE88" s="2139">
        <f t="shared" ca="1" si="151"/>
        <v>0</v>
      </c>
      <c r="EF88" s="2140">
        <f t="shared" ref="EF88:GD88" ca="1" si="152">EF94</f>
        <v>0</v>
      </c>
      <c r="EG88" s="2140">
        <f t="shared" ca="1" si="152"/>
        <v>0</v>
      </c>
      <c r="EH88" s="2141">
        <f t="shared" ca="1" si="152"/>
        <v>0</v>
      </c>
      <c r="EI88" s="2139">
        <f t="shared" ca="1" si="152"/>
        <v>0</v>
      </c>
      <c r="EJ88" s="2140">
        <f t="shared" ca="1" si="152"/>
        <v>0</v>
      </c>
      <c r="EK88" s="2140">
        <f t="shared" ca="1" si="152"/>
        <v>0</v>
      </c>
      <c r="EL88" s="2141">
        <f t="shared" ca="1" si="152"/>
        <v>0</v>
      </c>
      <c r="EM88" s="2139">
        <f t="shared" ca="1" si="152"/>
        <v>0</v>
      </c>
      <c r="EN88" s="2140">
        <f t="shared" ca="1" si="152"/>
        <v>0</v>
      </c>
      <c r="EO88" s="2140">
        <f t="shared" ca="1" si="152"/>
        <v>0</v>
      </c>
      <c r="EP88" s="2141">
        <f t="shared" ca="1" si="152"/>
        <v>0</v>
      </c>
      <c r="EQ88" s="2139">
        <f t="shared" ca="1" si="152"/>
        <v>0</v>
      </c>
      <c r="ER88" s="2140">
        <f t="shared" ca="1" si="152"/>
        <v>0</v>
      </c>
      <c r="ES88" s="2140">
        <f t="shared" ca="1" si="152"/>
        <v>0</v>
      </c>
      <c r="ET88" s="2141">
        <f t="shared" ca="1" si="152"/>
        <v>0</v>
      </c>
      <c r="EU88" s="2139">
        <f t="shared" ca="1" si="152"/>
        <v>0</v>
      </c>
      <c r="EV88" s="2140">
        <f t="shared" ca="1" si="152"/>
        <v>0</v>
      </c>
      <c r="EW88" s="2140">
        <f t="shared" ca="1" si="152"/>
        <v>0</v>
      </c>
      <c r="EX88" s="2141">
        <f t="shared" ca="1" si="152"/>
        <v>0</v>
      </c>
      <c r="EY88" s="2139">
        <f t="shared" ca="1" si="152"/>
        <v>0</v>
      </c>
      <c r="EZ88" s="2140">
        <f t="shared" ca="1" si="152"/>
        <v>0</v>
      </c>
      <c r="FA88" s="2140">
        <f t="shared" ca="1" si="152"/>
        <v>0</v>
      </c>
      <c r="FB88" s="2141">
        <f t="shared" ca="1" si="152"/>
        <v>0</v>
      </c>
      <c r="FC88" s="2139">
        <f t="shared" ca="1" si="152"/>
        <v>0</v>
      </c>
      <c r="FD88" s="2140">
        <f t="shared" ca="1" si="152"/>
        <v>0</v>
      </c>
      <c r="FE88" s="2140">
        <f t="shared" ca="1" si="152"/>
        <v>0</v>
      </c>
      <c r="FF88" s="2141">
        <f t="shared" ca="1" si="152"/>
        <v>0</v>
      </c>
      <c r="FG88" s="2139">
        <f t="shared" ca="1" si="152"/>
        <v>0</v>
      </c>
      <c r="FH88" s="2140">
        <f t="shared" ca="1" si="152"/>
        <v>0</v>
      </c>
      <c r="FI88" s="2140">
        <f t="shared" ca="1" si="152"/>
        <v>0</v>
      </c>
      <c r="FJ88" s="2141">
        <f t="shared" ca="1" si="152"/>
        <v>0</v>
      </c>
      <c r="FK88" s="2139">
        <f t="shared" ca="1" si="152"/>
        <v>0</v>
      </c>
      <c r="FL88" s="2140">
        <f t="shared" ca="1" si="152"/>
        <v>0</v>
      </c>
      <c r="FM88" s="2140">
        <f t="shared" ca="1" si="152"/>
        <v>0</v>
      </c>
      <c r="FN88" s="2141">
        <f t="shared" ca="1" si="152"/>
        <v>0</v>
      </c>
      <c r="FO88" s="2139">
        <f t="shared" ca="1" si="152"/>
        <v>0</v>
      </c>
      <c r="FP88" s="2140">
        <f t="shared" ca="1" si="152"/>
        <v>0</v>
      </c>
      <c r="FQ88" s="2140">
        <f t="shared" ca="1" si="152"/>
        <v>0</v>
      </c>
      <c r="FR88" s="2141">
        <f t="shared" ca="1" si="152"/>
        <v>0</v>
      </c>
      <c r="FS88" s="2139">
        <f t="shared" ca="1" si="152"/>
        <v>0</v>
      </c>
      <c r="FT88" s="2140">
        <f t="shared" ca="1" si="152"/>
        <v>0</v>
      </c>
      <c r="FU88" s="2140">
        <f t="shared" ca="1" si="152"/>
        <v>0</v>
      </c>
      <c r="FV88" s="2141">
        <f t="shared" ca="1" si="152"/>
        <v>0</v>
      </c>
      <c r="FW88" s="2139">
        <f t="shared" ca="1" si="152"/>
        <v>0</v>
      </c>
      <c r="FX88" s="2140">
        <f t="shared" ca="1" si="152"/>
        <v>0</v>
      </c>
      <c r="FY88" s="2140">
        <f t="shared" ca="1" si="152"/>
        <v>0</v>
      </c>
      <c r="FZ88" s="2141">
        <f t="shared" ca="1" si="152"/>
        <v>0</v>
      </c>
      <c r="GA88" s="2139">
        <f t="shared" ca="1" si="152"/>
        <v>0</v>
      </c>
      <c r="GB88" s="2140">
        <f t="shared" ca="1" si="152"/>
        <v>0</v>
      </c>
      <c r="GC88" s="2140">
        <f t="shared" ca="1" si="152"/>
        <v>0</v>
      </c>
      <c r="GD88" s="2141">
        <f t="shared" ca="1" si="152"/>
        <v>0</v>
      </c>
    </row>
    <row r="89" spans="1:186" ht="15" customHeight="1">
      <c r="B89" s="2085"/>
      <c r="C89" s="2146" t="s">
        <v>1383</v>
      </c>
      <c r="D89" s="2146"/>
      <c r="E89" s="2147"/>
      <c r="F89" s="2147">
        <f t="shared" ca="1" si="142"/>
        <v>0</v>
      </c>
      <c r="G89" s="2149">
        <f t="shared" ref="G89:BR89" ca="1" si="153">IF(ABS(G86+G87-G88)&lt;0.0001,0,G86+G87-G88)</f>
        <v>0</v>
      </c>
      <c r="H89" s="2150">
        <f t="shared" ca="1" si="153"/>
        <v>0</v>
      </c>
      <c r="I89" s="2150">
        <f t="shared" ca="1" si="153"/>
        <v>0</v>
      </c>
      <c r="J89" s="2151">
        <f t="shared" ca="1" si="153"/>
        <v>0</v>
      </c>
      <c r="K89" s="2149">
        <f t="shared" ca="1" si="153"/>
        <v>0</v>
      </c>
      <c r="L89" s="2150">
        <f t="shared" ca="1" si="153"/>
        <v>0</v>
      </c>
      <c r="M89" s="2150">
        <f t="shared" ca="1" si="153"/>
        <v>0</v>
      </c>
      <c r="N89" s="2151">
        <f t="shared" ca="1" si="153"/>
        <v>0</v>
      </c>
      <c r="O89" s="2149">
        <f t="shared" ca="1" si="153"/>
        <v>0</v>
      </c>
      <c r="P89" s="2150">
        <f t="shared" ca="1" si="153"/>
        <v>0</v>
      </c>
      <c r="Q89" s="2150">
        <f t="shared" ca="1" si="153"/>
        <v>0</v>
      </c>
      <c r="R89" s="2151">
        <f t="shared" ca="1" si="153"/>
        <v>0</v>
      </c>
      <c r="S89" s="2149">
        <f t="shared" ca="1" si="153"/>
        <v>0</v>
      </c>
      <c r="T89" s="2150">
        <f t="shared" ca="1" si="153"/>
        <v>0</v>
      </c>
      <c r="U89" s="2150">
        <f t="shared" ca="1" si="153"/>
        <v>0</v>
      </c>
      <c r="V89" s="2151">
        <f t="shared" ca="1" si="153"/>
        <v>0</v>
      </c>
      <c r="W89" s="2149">
        <f t="shared" ca="1" si="153"/>
        <v>0</v>
      </c>
      <c r="X89" s="2150">
        <f t="shared" ca="1" si="153"/>
        <v>0</v>
      </c>
      <c r="Y89" s="2150">
        <f t="shared" ca="1" si="153"/>
        <v>0</v>
      </c>
      <c r="Z89" s="2151">
        <f t="shared" ca="1" si="153"/>
        <v>0</v>
      </c>
      <c r="AA89" s="2149">
        <f t="shared" ca="1" si="153"/>
        <v>0</v>
      </c>
      <c r="AB89" s="2150">
        <f t="shared" ca="1" si="153"/>
        <v>0</v>
      </c>
      <c r="AC89" s="2150">
        <f t="shared" ca="1" si="153"/>
        <v>0</v>
      </c>
      <c r="AD89" s="2151">
        <f t="shared" ca="1" si="153"/>
        <v>0</v>
      </c>
      <c r="AE89" s="2149">
        <f t="shared" ca="1" si="153"/>
        <v>0</v>
      </c>
      <c r="AF89" s="2150">
        <f t="shared" ca="1" si="153"/>
        <v>0</v>
      </c>
      <c r="AG89" s="2150">
        <f t="shared" ca="1" si="153"/>
        <v>0</v>
      </c>
      <c r="AH89" s="2151">
        <f t="shared" ca="1" si="153"/>
        <v>0</v>
      </c>
      <c r="AI89" s="2149">
        <f t="shared" ca="1" si="153"/>
        <v>0</v>
      </c>
      <c r="AJ89" s="2150">
        <f t="shared" ca="1" si="153"/>
        <v>0</v>
      </c>
      <c r="AK89" s="2150">
        <f t="shared" ca="1" si="153"/>
        <v>0</v>
      </c>
      <c r="AL89" s="2151">
        <f t="shared" ca="1" si="153"/>
        <v>0</v>
      </c>
      <c r="AM89" s="2149">
        <f t="shared" ca="1" si="153"/>
        <v>0</v>
      </c>
      <c r="AN89" s="2150">
        <f t="shared" ca="1" si="153"/>
        <v>0</v>
      </c>
      <c r="AO89" s="2150">
        <f t="shared" ca="1" si="153"/>
        <v>0</v>
      </c>
      <c r="AP89" s="2151">
        <f t="shared" ca="1" si="153"/>
        <v>0</v>
      </c>
      <c r="AQ89" s="2149">
        <f t="shared" ca="1" si="153"/>
        <v>0</v>
      </c>
      <c r="AR89" s="2150">
        <f t="shared" ca="1" si="153"/>
        <v>0</v>
      </c>
      <c r="AS89" s="2150">
        <f t="shared" ca="1" si="153"/>
        <v>0</v>
      </c>
      <c r="AT89" s="2151">
        <f t="shared" ca="1" si="153"/>
        <v>0</v>
      </c>
      <c r="AU89" s="2149">
        <f t="shared" ca="1" si="153"/>
        <v>0</v>
      </c>
      <c r="AV89" s="2150">
        <f t="shared" ca="1" si="153"/>
        <v>0</v>
      </c>
      <c r="AW89" s="2150">
        <f t="shared" ca="1" si="153"/>
        <v>0</v>
      </c>
      <c r="AX89" s="2151">
        <f t="shared" ca="1" si="153"/>
        <v>0</v>
      </c>
      <c r="AY89" s="2149">
        <f t="shared" ca="1" si="153"/>
        <v>0</v>
      </c>
      <c r="AZ89" s="2150">
        <f t="shared" ca="1" si="153"/>
        <v>0</v>
      </c>
      <c r="BA89" s="2150">
        <f t="shared" ca="1" si="153"/>
        <v>0</v>
      </c>
      <c r="BB89" s="2151">
        <f t="shared" ca="1" si="153"/>
        <v>0</v>
      </c>
      <c r="BC89" s="2149">
        <f t="shared" ca="1" si="153"/>
        <v>0</v>
      </c>
      <c r="BD89" s="2150">
        <f t="shared" ca="1" si="153"/>
        <v>0</v>
      </c>
      <c r="BE89" s="2150">
        <f t="shared" ca="1" si="153"/>
        <v>0</v>
      </c>
      <c r="BF89" s="2151">
        <f t="shared" ca="1" si="153"/>
        <v>0</v>
      </c>
      <c r="BG89" s="2149">
        <f t="shared" ca="1" si="153"/>
        <v>0</v>
      </c>
      <c r="BH89" s="2150">
        <f t="shared" ca="1" si="153"/>
        <v>0</v>
      </c>
      <c r="BI89" s="2150">
        <f t="shared" ca="1" si="153"/>
        <v>0</v>
      </c>
      <c r="BJ89" s="2151">
        <f t="shared" ca="1" si="153"/>
        <v>0</v>
      </c>
      <c r="BK89" s="2149">
        <f t="shared" ca="1" si="153"/>
        <v>0</v>
      </c>
      <c r="BL89" s="2150">
        <f t="shared" ca="1" si="153"/>
        <v>0</v>
      </c>
      <c r="BM89" s="2150">
        <f t="shared" ca="1" si="153"/>
        <v>0</v>
      </c>
      <c r="BN89" s="2151">
        <f t="shared" ca="1" si="153"/>
        <v>0</v>
      </c>
      <c r="BO89" s="2149">
        <f t="shared" ca="1" si="153"/>
        <v>0</v>
      </c>
      <c r="BP89" s="2150">
        <f t="shared" ca="1" si="153"/>
        <v>0</v>
      </c>
      <c r="BQ89" s="2150">
        <f t="shared" ca="1" si="153"/>
        <v>0</v>
      </c>
      <c r="BR89" s="2151">
        <f t="shared" ca="1" si="153"/>
        <v>0</v>
      </c>
      <c r="BS89" s="2149">
        <f t="shared" ref="BS89:ED89" ca="1" si="154">IF(ABS(BS86+BS87-BS88)&lt;0.0001,0,BS86+BS87-BS88)</f>
        <v>0</v>
      </c>
      <c r="BT89" s="2150">
        <f t="shared" ca="1" si="154"/>
        <v>0</v>
      </c>
      <c r="BU89" s="2150">
        <f t="shared" ca="1" si="154"/>
        <v>0</v>
      </c>
      <c r="BV89" s="2151">
        <f t="shared" ca="1" si="154"/>
        <v>0</v>
      </c>
      <c r="BW89" s="2149">
        <f t="shared" ca="1" si="154"/>
        <v>0</v>
      </c>
      <c r="BX89" s="2150">
        <f t="shared" ca="1" si="154"/>
        <v>0</v>
      </c>
      <c r="BY89" s="2150">
        <f t="shared" ca="1" si="154"/>
        <v>0</v>
      </c>
      <c r="BZ89" s="2151">
        <f t="shared" ca="1" si="154"/>
        <v>0</v>
      </c>
      <c r="CA89" s="2149">
        <f t="shared" ca="1" si="154"/>
        <v>0</v>
      </c>
      <c r="CB89" s="2150">
        <f t="shared" ca="1" si="154"/>
        <v>0</v>
      </c>
      <c r="CC89" s="2150">
        <f t="shared" ca="1" si="154"/>
        <v>0</v>
      </c>
      <c r="CD89" s="2151">
        <f t="shared" ca="1" si="154"/>
        <v>0</v>
      </c>
      <c r="CE89" s="2149">
        <f t="shared" ca="1" si="154"/>
        <v>0</v>
      </c>
      <c r="CF89" s="2150">
        <f t="shared" ca="1" si="154"/>
        <v>0</v>
      </c>
      <c r="CG89" s="2150">
        <f t="shared" ca="1" si="154"/>
        <v>0</v>
      </c>
      <c r="CH89" s="2151">
        <f t="shared" ca="1" si="154"/>
        <v>0</v>
      </c>
      <c r="CI89" s="2149">
        <f t="shared" ca="1" si="154"/>
        <v>0</v>
      </c>
      <c r="CJ89" s="2150">
        <f t="shared" ca="1" si="154"/>
        <v>0</v>
      </c>
      <c r="CK89" s="2150">
        <f t="shared" ca="1" si="154"/>
        <v>0</v>
      </c>
      <c r="CL89" s="2151">
        <f t="shared" ca="1" si="154"/>
        <v>0</v>
      </c>
      <c r="CM89" s="2149">
        <f t="shared" ca="1" si="154"/>
        <v>0</v>
      </c>
      <c r="CN89" s="2150">
        <f t="shared" ca="1" si="154"/>
        <v>0</v>
      </c>
      <c r="CO89" s="2150">
        <f t="shared" ca="1" si="154"/>
        <v>0</v>
      </c>
      <c r="CP89" s="2151">
        <f t="shared" ca="1" si="154"/>
        <v>0</v>
      </c>
      <c r="CQ89" s="2149">
        <f t="shared" ca="1" si="154"/>
        <v>0</v>
      </c>
      <c r="CR89" s="2150">
        <f t="shared" ca="1" si="154"/>
        <v>0</v>
      </c>
      <c r="CS89" s="2150">
        <f t="shared" ca="1" si="154"/>
        <v>0</v>
      </c>
      <c r="CT89" s="2151">
        <f t="shared" ca="1" si="154"/>
        <v>0</v>
      </c>
      <c r="CU89" s="2149">
        <f t="shared" ca="1" si="154"/>
        <v>0</v>
      </c>
      <c r="CV89" s="2150">
        <f t="shared" ca="1" si="154"/>
        <v>0</v>
      </c>
      <c r="CW89" s="2150">
        <f t="shared" ca="1" si="154"/>
        <v>0</v>
      </c>
      <c r="CX89" s="2151">
        <f t="shared" ca="1" si="154"/>
        <v>0</v>
      </c>
      <c r="CY89" s="2149">
        <f t="shared" ca="1" si="154"/>
        <v>0</v>
      </c>
      <c r="CZ89" s="2150">
        <f t="shared" ca="1" si="154"/>
        <v>0</v>
      </c>
      <c r="DA89" s="2150">
        <f t="shared" ca="1" si="154"/>
        <v>0</v>
      </c>
      <c r="DB89" s="2151">
        <f t="shared" ca="1" si="154"/>
        <v>0</v>
      </c>
      <c r="DC89" s="2149">
        <f t="shared" ca="1" si="154"/>
        <v>0</v>
      </c>
      <c r="DD89" s="2150">
        <f t="shared" ca="1" si="154"/>
        <v>0</v>
      </c>
      <c r="DE89" s="2150">
        <f t="shared" ca="1" si="154"/>
        <v>0</v>
      </c>
      <c r="DF89" s="2151">
        <f t="shared" ca="1" si="154"/>
        <v>0</v>
      </c>
      <c r="DG89" s="2149">
        <f t="shared" ca="1" si="154"/>
        <v>0</v>
      </c>
      <c r="DH89" s="2150">
        <f t="shared" ca="1" si="154"/>
        <v>0</v>
      </c>
      <c r="DI89" s="2150">
        <f t="shared" ca="1" si="154"/>
        <v>0</v>
      </c>
      <c r="DJ89" s="2151">
        <f t="shared" ca="1" si="154"/>
        <v>0</v>
      </c>
      <c r="DK89" s="2149">
        <f t="shared" ca="1" si="154"/>
        <v>0</v>
      </c>
      <c r="DL89" s="2150">
        <f t="shared" ca="1" si="154"/>
        <v>0</v>
      </c>
      <c r="DM89" s="2150">
        <f t="shared" ca="1" si="154"/>
        <v>0</v>
      </c>
      <c r="DN89" s="2151">
        <f t="shared" ca="1" si="154"/>
        <v>0</v>
      </c>
      <c r="DO89" s="2149">
        <f t="shared" ca="1" si="154"/>
        <v>0</v>
      </c>
      <c r="DP89" s="2150">
        <f t="shared" ca="1" si="154"/>
        <v>0</v>
      </c>
      <c r="DQ89" s="2150">
        <f t="shared" ca="1" si="154"/>
        <v>0</v>
      </c>
      <c r="DR89" s="2151">
        <f t="shared" ca="1" si="154"/>
        <v>0</v>
      </c>
      <c r="DS89" s="2149">
        <f t="shared" ca="1" si="154"/>
        <v>0</v>
      </c>
      <c r="DT89" s="2150">
        <f t="shared" ca="1" si="154"/>
        <v>0</v>
      </c>
      <c r="DU89" s="2150">
        <f t="shared" ca="1" si="154"/>
        <v>0</v>
      </c>
      <c r="DV89" s="2151">
        <f t="shared" ca="1" si="154"/>
        <v>0</v>
      </c>
      <c r="DW89" s="2149">
        <f t="shared" ca="1" si="154"/>
        <v>0</v>
      </c>
      <c r="DX89" s="2150">
        <f t="shared" ca="1" si="154"/>
        <v>0</v>
      </c>
      <c r="DY89" s="2150">
        <f t="shared" ca="1" si="154"/>
        <v>0</v>
      </c>
      <c r="DZ89" s="2151">
        <f t="shared" ca="1" si="154"/>
        <v>0</v>
      </c>
      <c r="EA89" s="2149">
        <f t="shared" ca="1" si="154"/>
        <v>0</v>
      </c>
      <c r="EB89" s="2150">
        <f t="shared" ca="1" si="154"/>
        <v>0</v>
      </c>
      <c r="EC89" s="2150">
        <f t="shared" ca="1" si="154"/>
        <v>0</v>
      </c>
      <c r="ED89" s="2151">
        <f t="shared" ca="1" si="154"/>
        <v>0</v>
      </c>
      <c r="EE89" s="2149">
        <f t="shared" ref="EE89:FZ89" ca="1" si="155">IF(ABS(EE86+EE87-EE88)&lt;0.0001,0,EE86+EE87-EE88)</f>
        <v>0</v>
      </c>
      <c r="EF89" s="2150">
        <f t="shared" ca="1" si="155"/>
        <v>0</v>
      </c>
      <c r="EG89" s="2150">
        <f t="shared" ca="1" si="155"/>
        <v>0</v>
      </c>
      <c r="EH89" s="2151">
        <f t="shared" ca="1" si="155"/>
        <v>0</v>
      </c>
      <c r="EI89" s="2149">
        <f t="shared" ca="1" si="155"/>
        <v>0</v>
      </c>
      <c r="EJ89" s="2150">
        <f t="shared" ca="1" si="155"/>
        <v>0</v>
      </c>
      <c r="EK89" s="2150">
        <f t="shared" ca="1" si="155"/>
        <v>0</v>
      </c>
      <c r="EL89" s="2151">
        <f t="shared" ca="1" si="155"/>
        <v>0</v>
      </c>
      <c r="EM89" s="2149">
        <f t="shared" ca="1" si="155"/>
        <v>0</v>
      </c>
      <c r="EN89" s="2150">
        <f t="shared" ca="1" si="155"/>
        <v>0</v>
      </c>
      <c r="EO89" s="2150">
        <f t="shared" ca="1" si="155"/>
        <v>0</v>
      </c>
      <c r="EP89" s="2151">
        <f t="shared" ca="1" si="155"/>
        <v>0</v>
      </c>
      <c r="EQ89" s="2149">
        <f t="shared" ca="1" si="155"/>
        <v>0</v>
      </c>
      <c r="ER89" s="2150">
        <f t="shared" ca="1" si="155"/>
        <v>0</v>
      </c>
      <c r="ES89" s="2150">
        <f t="shared" ca="1" si="155"/>
        <v>0</v>
      </c>
      <c r="ET89" s="2151">
        <f t="shared" ca="1" si="155"/>
        <v>0</v>
      </c>
      <c r="EU89" s="2149">
        <f t="shared" ca="1" si="155"/>
        <v>0</v>
      </c>
      <c r="EV89" s="2150">
        <f t="shared" ca="1" si="155"/>
        <v>0</v>
      </c>
      <c r="EW89" s="2150">
        <f t="shared" ca="1" si="155"/>
        <v>0</v>
      </c>
      <c r="EX89" s="2151">
        <f t="shared" ca="1" si="155"/>
        <v>0</v>
      </c>
      <c r="EY89" s="2149">
        <f t="shared" ca="1" si="155"/>
        <v>0</v>
      </c>
      <c r="EZ89" s="2150">
        <f t="shared" ca="1" si="155"/>
        <v>0</v>
      </c>
      <c r="FA89" s="2150">
        <f t="shared" ca="1" si="155"/>
        <v>0</v>
      </c>
      <c r="FB89" s="2151">
        <f t="shared" ca="1" si="155"/>
        <v>0</v>
      </c>
      <c r="FC89" s="2149">
        <f t="shared" ca="1" si="155"/>
        <v>0</v>
      </c>
      <c r="FD89" s="2150">
        <f t="shared" ca="1" si="155"/>
        <v>0</v>
      </c>
      <c r="FE89" s="2150">
        <f t="shared" ca="1" si="155"/>
        <v>0</v>
      </c>
      <c r="FF89" s="2151">
        <f t="shared" ca="1" si="155"/>
        <v>0</v>
      </c>
      <c r="FG89" s="2149">
        <f t="shared" ca="1" si="155"/>
        <v>0</v>
      </c>
      <c r="FH89" s="2150">
        <f t="shared" ca="1" si="155"/>
        <v>0</v>
      </c>
      <c r="FI89" s="2150">
        <f t="shared" ca="1" si="155"/>
        <v>0</v>
      </c>
      <c r="FJ89" s="2151">
        <f t="shared" ca="1" si="155"/>
        <v>0</v>
      </c>
      <c r="FK89" s="2149">
        <f t="shared" ca="1" si="155"/>
        <v>0</v>
      </c>
      <c r="FL89" s="2150">
        <f t="shared" ca="1" si="155"/>
        <v>0</v>
      </c>
      <c r="FM89" s="2150">
        <f t="shared" ca="1" si="155"/>
        <v>0</v>
      </c>
      <c r="FN89" s="2151">
        <f t="shared" ca="1" si="155"/>
        <v>0</v>
      </c>
      <c r="FO89" s="2149">
        <f t="shared" ca="1" si="155"/>
        <v>0</v>
      </c>
      <c r="FP89" s="2150">
        <f t="shared" ca="1" si="155"/>
        <v>0</v>
      </c>
      <c r="FQ89" s="2150">
        <f t="shared" ca="1" si="155"/>
        <v>0</v>
      </c>
      <c r="FR89" s="2151">
        <f t="shared" ca="1" si="155"/>
        <v>0</v>
      </c>
      <c r="FS89" s="2149">
        <f t="shared" ca="1" si="155"/>
        <v>0</v>
      </c>
      <c r="FT89" s="2150">
        <f t="shared" ca="1" si="155"/>
        <v>0</v>
      </c>
      <c r="FU89" s="2150">
        <f t="shared" ca="1" si="155"/>
        <v>0</v>
      </c>
      <c r="FV89" s="2151">
        <f t="shared" ca="1" si="155"/>
        <v>0</v>
      </c>
      <c r="FW89" s="2149">
        <f t="shared" ca="1" si="155"/>
        <v>0</v>
      </c>
      <c r="FX89" s="2150">
        <f t="shared" ca="1" si="155"/>
        <v>0</v>
      </c>
      <c r="FY89" s="2150">
        <f t="shared" ca="1" si="155"/>
        <v>0</v>
      </c>
      <c r="FZ89" s="2151">
        <f t="shared" ca="1" si="155"/>
        <v>0</v>
      </c>
      <c r="GA89" s="2149">
        <f ca="1">IF(ABS(GA86+GA87-GA88)&lt;0.0001,0,GA86+GA87-GA88)</f>
        <v>0</v>
      </c>
      <c r="GB89" s="2150">
        <f ca="1">IF(ABS(GB86+GB87-GB88)&lt;0.0001,0,GB86+GB87-GB88)</f>
        <v>0</v>
      </c>
      <c r="GC89" s="2150">
        <f ca="1">IF(ABS(GC86+GC87-GC88)&lt;0.0001,0,GC86+GC87-GC88)</f>
        <v>0</v>
      </c>
      <c r="GD89" s="2151">
        <f ca="1">IF(ABS(GD86+GD87-GD88)&lt;0.0001,0,GD86+GD87-GD88)</f>
        <v>0</v>
      </c>
    </row>
    <row r="90" spans="1:186" ht="15" customHeight="1">
      <c r="B90" s="2085"/>
      <c r="C90" s="2156" t="s">
        <v>3783</v>
      </c>
      <c r="D90" s="2156"/>
      <c r="E90" s="2173">
        <v>0</v>
      </c>
      <c r="F90" s="2174">
        <f t="shared" ca="1" si="142"/>
        <v>0</v>
      </c>
      <c r="G90" s="2159">
        <f t="shared" ref="G90:AL90" si="156">IF(G5=0,0,G86*$E90*G6/12)</f>
        <v>0</v>
      </c>
      <c r="H90" s="2160">
        <f t="shared" ca="1" si="156"/>
        <v>0</v>
      </c>
      <c r="I90" s="2160">
        <f t="shared" ca="1" si="156"/>
        <v>0</v>
      </c>
      <c r="J90" s="2161">
        <f t="shared" ca="1" si="156"/>
        <v>0</v>
      </c>
      <c r="K90" s="2159">
        <f t="shared" ca="1" si="156"/>
        <v>0</v>
      </c>
      <c r="L90" s="2160">
        <f t="shared" ca="1" si="156"/>
        <v>0</v>
      </c>
      <c r="M90" s="2160">
        <f t="shared" ca="1" si="156"/>
        <v>0</v>
      </c>
      <c r="N90" s="2161">
        <f t="shared" ca="1" si="156"/>
        <v>0</v>
      </c>
      <c r="O90" s="2159">
        <f t="shared" ca="1" si="156"/>
        <v>0</v>
      </c>
      <c r="P90" s="2160">
        <f t="shared" ca="1" si="156"/>
        <v>0</v>
      </c>
      <c r="Q90" s="2160">
        <f t="shared" ca="1" si="156"/>
        <v>0</v>
      </c>
      <c r="R90" s="2161">
        <f t="shared" ca="1" si="156"/>
        <v>0</v>
      </c>
      <c r="S90" s="2159">
        <f t="shared" ca="1" si="156"/>
        <v>0</v>
      </c>
      <c r="T90" s="2160">
        <f t="shared" ca="1" si="156"/>
        <v>0</v>
      </c>
      <c r="U90" s="2160">
        <f t="shared" ca="1" si="156"/>
        <v>0</v>
      </c>
      <c r="V90" s="2161">
        <f t="shared" ca="1" si="156"/>
        <v>0</v>
      </c>
      <c r="W90" s="2159">
        <f t="shared" ca="1" si="156"/>
        <v>0</v>
      </c>
      <c r="X90" s="2160">
        <f t="shared" ca="1" si="156"/>
        <v>0</v>
      </c>
      <c r="Y90" s="2160">
        <f t="shared" ca="1" si="156"/>
        <v>0</v>
      </c>
      <c r="Z90" s="2161">
        <f t="shared" ca="1" si="156"/>
        <v>0</v>
      </c>
      <c r="AA90" s="2159">
        <f t="shared" ca="1" si="156"/>
        <v>0</v>
      </c>
      <c r="AB90" s="2160">
        <f t="shared" ca="1" si="156"/>
        <v>0</v>
      </c>
      <c r="AC90" s="2160">
        <f t="shared" ca="1" si="156"/>
        <v>0</v>
      </c>
      <c r="AD90" s="2161">
        <f t="shared" ca="1" si="156"/>
        <v>0</v>
      </c>
      <c r="AE90" s="2159">
        <f t="shared" ca="1" si="156"/>
        <v>0</v>
      </c>
      <c r="AF90" s="2160">
        <f t="shared" ca="1" si="156"/>
        <v>0</v>
      </c>
      <c r="AG90" s="2160">
        <f t="shared" ca="1" si="156"/>
        <v>0</v>
      </c>
      <c r="AH90" s="2161">
        <f t="shared" ca="1" si="156"/>
        <v>0</v>
      </c>
      <c r="AI90" s="2159">
        <f t="shared" ca="1" si="156"/>
        <v>0</v>
      </c>
      <c r="AJ90" s="2160">
        <f t="shared" ca="1" si="156"/>
        <v>0</v>
      </c>
      <c r="AK90" s="2160">
        <f t="shared" ca="1" si="156"/>
        <v>0</v>
      </c>
      <c r="AL90" s="2175">
        <f t="shared" ca="1" si="156"/>
        <v>0</v>
      </c>
      <c r="AM90" s="2159">
        <f t="shared" ref="AM90:BR90" ca="1" si="157">IF(AM5=0,0,AM86*$E90*AM6/12)</f>
        <v>0</v>
      </c>
      <c r="AN90" s="2160">
        <f t="shared" ca="1" si="157"/>
        <v>0</v>
      </c>
      <c r="AO90" s="2160">
        <f t="shared" ca="1" si="157"/>
        <v>0</v>
      </c>
      <c r="AP90" s="2161">
        <f t="shared" ca="1" si="157"/>
        <v>0</v>
      </c>
      <c r="AQ90" s="2159">
        <f t="shared" ca="1" si="157"/>
        <v>0</v>
      </c>
      <c r="AR90" s="2160">
        <f t="shared" ca="1" si="157"/>
        <v>0</v>
      </c>
      <c r="AS90" s="2160">
        <f t="shared" ca="1" si="157"/>
        <v>0</v>
      </c>
      <c r="AT90" s="2161">
        <f t="shared" ca="1" si="157"/>
        <v>0</v>
      </c>
      <c r="AU90" s="2159">
        <f t="shared" ca="1" si="157"/>
        <v>0</v>
      </c>
      <c r="AV90" s="2160">
        <f t="shared" ca="1" si="157"/>
        <v>0</v>
      </c>
      <c r="AW90" s="2160">
        <f t="shared" ca="1" si="157"/>
        <v>0</v>
      </c>
      <c r="AX90" s="2161">
        <f t="shared" ca="1" si="157"/>
        <v>0</v>
      </c>
      <c r="AY90" s="2159">
        <f t="shared" ca="1" si="157"/>
        <v>0</v>
      </c>
      <c r="AZ90" s="2160">
        <f t="shared" ca="1" si="157"/>
        <v>0</v>
      </c>
      <c r="BA90" s="2160">
        <f t="shared" ca="1" si="157"/>
        <v>0</v>
      </c>
      <c r="BB90" s="2161">
        <f t="shared" ca="1" si="157"/>
        <v>0</v>
      </c>
      <c r="BC90" s="2159">
        <f t="shared" ca="1" si="157"/>
        <v>0</v>
      </c>
      <c r="BD90" s="2160">
        <f t="shared" ca="1" si="157"/>
        <v>0</v>
      </c>
      <c r="BE90" s="2160">
        <f t="shared" ca="1" si="157"/>
        <v>0</v>
      </c>
      <c r="BF90" s="2161">
        <f t="shared" ca="1" si="157"/>
        <v>0</v>
      </c>
      <c r="BG90" s="2159">
        <f t="shared" ca="1" si="157"/>
        <v>0</v>
      </c>
      <c r="BH90" s="2160">
        <f t="shared" ca="1" si="157"/>
        <v>0</v>
      </c>
      <c r="BI90" s="2160">
        <f t="shared" ca="1" si="157"/>
        <v>0</v>
      </c>
      <c r="BJ90" s="2161">
        <f t="shared" ca="1" si="157"/>
        <v>0</v>
      </c>
      <c r="BK90" s="2159">
        <f t="shared" ca="1" si="157"/>
        <v>0</v>
      </c>
      <c r="BL90" s="2160">
        <f t="shared" ca="1" si="157"/>
        <v>0</v>
      </c>
      <c r="BM90" s="2160">
        <f t="shared" ca="1" si="157"/>
        <v>0</v>
      </c>
      <c r="BN90" s="2161">
        <f t="shared" ca="1" si="157"/>
        <v>0</v>
      </c>
      <c r="BO90" s="2159">
        <f t="shared" ca="1" si="157"/>
        <v>0</v>
      </c>
      <c r="BP90" s="2160">
        <f t="shared" ca="1" si="157"/>
        <v>0</v>
      </c>
      <c r="BQ90" s="2160">
        <f t="shared" ca="1" si="157"/>
        <v>0</v>
      </c>
      <c r="BR90" s="2161">
        <f t="shared" ca="1" si="157"/>
        <v>0</v>
      </c>
      <c r="BS90" s="2159">
        <f t="shared" ref="BS90:CB90" ca="1" si="158">IF(BS5=0,0,BS86*$E90*BS6/12)</f>
        <v>0</v>
      </c>
      <c r="BT90" s="2160">
        <f t="shared" ca="1" si="158"/>
        <v>0</v>
      </c>
      <c r="BU90" s="2160">
        <f t="shared" ca="1" si="158"/>
        <v>0</v>
      </c>
      <c r="BV90" s="2161">
        <f t="shared" ca="1" si="158"/>
        <v>0</v>
      </c>
      <c r="BW90" s="2159">
        <f t="shared" ca="1" si="158"/>
        <v>0</v>
      </c>
      <c r="BX90" s="2160">
        <f t="shared" ca="1" si="158"/>
        <v>0</v>
      </c>
      <c r="BY90" s="2160">
        <f t="shared" ca="1" si="158"/>
        <v>0</v>
      </c>
      <c r="BZ90" s="2161">
        <f t="shared" ca="1" si="158"/>
        <v>0</v>
      </c>
      <c r="CA90" s="2159">
        <f t="shared" ca="1" si="158"/>
        <v>0</v>
      </c>
      <c r="CB90" s="2160">
        <f t="shared" ca="1" si="158"/>
        <v>0</v>
      </c>
      <c r="CC90" s="2160"/>
      <c r="CD90" s="2161"/>
      <c r="CE90" s="2159"/>
      <c r="CF90" s="2160"/>
      <c r="CG90" s="2160"/>
      <c r="CH90" s="2161"/>
      <c r="CI90" s="2159"/>
      <c r="CJ90" s="2160"/>
      <c r="CK90" s="2160"/>
      <c r="CL90" s="2161"/>
      <c r="CM90" s="2159"/>
      <c r="CN90" s="2160"/>
      <c r="CO90" s="2160"/>
      <c r="CP90" s="2161"/>
      <c r="CQ90" s="2159"/>
      <c r="CR90" s="2160"/>
      <c r="CS90" s="2160"/>
      <c r="CT90" s="2161"/>
      <c r="CU90" s="2159"/>
      <c r="CV90" s="2160"/>
      <c r="CW90" s="2160"/>
      <c r="CX90" s="2161"/>
      <c r="CY90" s="2159"/>
      <c r="CZ90" s="2160"/>
      <c r="DA90" s="2160"/>
      <c r="DB90" s="2161"/>
      <c r="DC90" s="2159"/>
      <c r="DD90" s="2160"/>
      <c r="DE90" s="2160"/>
      <c r="DF90" s="2161"/>
      <c r="DG90" s="2159"/>
      <c r="DH90" s="2160"/>
      <c r="DI90" s="2160"/>
      <c r="DJ90" s="2161"/>
      <c r="DK90" s="2159"/>
      <c r="DL90" s="2160"/>
      <c r="DM90" s="2160"/>
      <c r="DN90" s="2161"/>
      <c r="DO90" s="2159"/>
      <c r="DP90" s="2160"/>
      <c r="DQ90" s="2160"/>
      <c r="DR90" s="2161"/>
      <c r="DS90" s="2159"/>
      <c r="DT90" s="2160"/>
      <c r="DU90" s="2160"/>
      <c r="DV90" s="2161"/>
      <c r="DW90" s="2159"/>
      <c r="DX90" s="2160"/>
      <c r="DY90" s="2160"/>
      <c r="DZ90" s="2161"/>
      <c r="EA90" s="2159"/>
      <c r="EB90" s="2160"/>
      <c r="EC90" s="2160"/>
      <c r="ED90" s="2161"/>
      <c r="EE90" s="2159"/>
      <c r="EF90" s="2160"/>
      <c r="EG90" s="2160"/>
      <c r="EH90" s="2161"/>
      <c r="EI90" s="2159"/>
      <c r="EJ90" s="2160"/>
      <c r="EK90" s="2160"/>
      <c r="EL90" s="2161"/>
      <c r="EM90" s="2159"/>
      <c r="EN90" s="2160"/>
      <c r="EO90" s="2160"/>
      <c r="EP90" s="2161"/>
      <c r="EQ90" s="2159"/>
      <c r="ER90" s="2160"/>
      <c r="ES90" s="2160"/>
      <c r="ET90" s="2161"/>
      <c r="EU90" s="2159"/>
      <c r="EV90" s="2160"/>
      <c r="EW90" s="2160"/>
      <c r="EX90" s="2161"/>
      <c r="EY90" s="2159"/>
      <c r="EZ90" s="2160"/>
      <c r="FA90" s="2160"/>
      <c r="FB90" s="2161"/>
      <c r="FC90" s="2159"/>
      <c r="FD90" s="2160"/>
      <c r="FE90" s="2160"/>
      <c r="FF90" s="2161"/>
      <c r="FG90" s="2159"/>
      <c r="FH90" s="2160"/>
      <c r="FI90" s="2160"/>
      <c r="FJ90" s="2161"/>
      <c r="FK90" s="2159"/>
      <c r="FL90" s="2160"/>
      <c r="FM90" s="2160"/>
      <c r="FN90" s="2161"/>
      <c r="FO90" s="2159"/>
      <c r="FP90" s="2160"/>
      <c r="FQ90" s="2160"/>
      <c r="FR90" s="2161"/>
      <c r="FS90" s="2159"/>
      <c r="FT90" s="2160"/>
      <c r="FU90" s="2160"/>
      <c r="FV90" s="2161"/>
      <c r="FW90" s="2159"/>
      <c r="FX90" s="2160"/>
      <c r="FY90" s="2160"/>
      <c r="FZ90" s="2161"/>
      <c r="GA90" s="2159"/>
      <c r="GB90" s="2160"/>
      <c r="GC90" s="2160"/>
      <c r="GD90" s="2161"/>
    </row>
    <row r="91" spans="1:186" ht="15" customHeight="1">
      <c r="B91" s="2085"/>
      <c r="C91" s="2176" t="s">
        <v>3784</v>
      </c>
      <c r="D91" s="2176"/>
      <c r="E91" s="2177">
        <f>Sensitivity!J24</f>
        <v>1000</v>
      </c>
      <c r="F91" s="2177">
        <f t="shared" ca="1" si="142"/>
        <v>164000</v>
      </c>
      <c r="G91" s="2178">
        <f>MAX(($E91-G86),0)*(G3&lt;=Sensitivity!$J$25)</f>
        <v>1000</v>
      </c>
      <c r="H91" s="2179">
        <f ca="1">MAX(($E91-H86),0)*(H3&lt;=Sensitivity!$J$25)</f>
        <v>1000</v>
      </c>
      <c r="I91" s="2179">
        <f ca="1">MAX(($E91-I86),0)*(I3&lt;=Sensitivity!$J$25)</f>
        <v>1000</v>
      </c>
      <c r="J91" s="2180">
        <f ca="1">MAX(($E91-J86),0)*(J3&lt;=Sensitivity!$J$25)</f>
        <v>1000</v>
      </c>
      <c r="K91" s="2178">
        <f ca="1">MAX(($E91-K86),0)*(K3&lt;=Sensitivity!$J$25)</f>
        <v>1000</v>
      </c>
      <c r="L91" s="2179">
        <f ca="1">MAX(($E91-L86),0)*(L3&lt;=Sensitivity!$J$25)</f>
        <v>1000</v>
      </c>
      <c r="M91" s="2179">
        <f ca="1">MAX(($E91-M86),0)*(M3&lt;=Sensitivity!$J$25)</f>
        <v>1000</v>
      </c>
      <c r="N91" s="2180">
        <f ca="1">MAX(($E91-N86),0)*(N3&lt;=Sensitivity!$J$25)</f>
        <v>1000</v>
      </c>
      <c r="O91" s="2178">
        <f ca="1">MAX(($E91-O86),0)*(O3&lt;=Sensitivity!$J$25)</f>
        <v>1000</v>
      </c>
      <c r="P91" s="2179">
        <f ca="1">MAX(($E91-P86),0)*(P3&lt;=Sensitivity!$J$25)</f>
        <v>1000</v>
      </c>
      <c r="Q91" s="2179">
        <f ca="1">MAX(($E91-Q86),0)*(Q3&lt;=Sensitivity!$J$25)</f>
        <v>1000</v>
      </c>
      <c r="R91" s="2180">
        <f ca="1">MAX(($E91-R86),0)*(R3&lt;=Sensitivity!$J$25)</f>
        <v>1000</v>
      </c>
      <c r="S91" s="2178">
        <f ca="1">MAX(($E91-S86),0)*(S3&lt;=Sensitivity!$J$25)</f>
        <v>1000</v>
      </c>
      <c r="T91" s="2179">
        <f ca="1">MAX(($E91-T86),0)*(T3&lt;=Sensitivity!$J$25)</f>
        <v>1000</v>
      </c>
      <c r="U91" s="2179">
        <f ca="1">MAX(($E91-U86),0)*(U3&lt;=Sensitivity!$J$25)</f>
        <v>1000</v>
      </c>
      <c r="V91" s="2180">
        <f ca="1">MAX(($E91-V86),0)*(V3&lt;=Sensitivity!$J$25)</f>
        <v>1000</v>
      </c>
      <c r="W91" s="2178">
        <f ca="1">MAX(($E91-W86),0)*(W3&lt;=Sensitivity!$J$25)</f>
        <v>1000</v>
      </c>
      <c r="X91" s="2179">
        <f ca="1">MAX(($E91-X86),0)*(X3&lt;=Sensitivity!$J$25)</f>
        <v>1000</v>
      </c>
      <c r="Y91" s="2179">
        <f ca="1">MAX(($E91-Y86),0)*(Y3&lt;=Sensitivity!$J$25)</f>
        <v>1000</v>
      </c>
      <c r="Z91" s="2180">
        <f ca="1">MAX(($E91-Z86),0)*(Z3&lt;=Sensitivity!$J$25)</f>
        <v>1000</v>
      </c>
      <c r="AA91" s="2178">
        <f ca="1">MAX(($E91-AA86),0)*(AA3&lt;=Sensitivity!$J$25)</f>
        <v>1000</v>
      </c>
      <c r="AB91" s="2179">
        <f ca="1">MAX(($E91-AB86),0)*(AB3&lt;=Sensitivity!$J$25)</f>
        <v>1000</v>
      </c>
      <c r="AC91" s="2179">
        <f ca="1">MAX(($E91-AC86),0)*(AC3&lt;=Sensitivity!$J$25)</f>
        <v>1000</v>
      </c>
      <c r="AD91" s="2180">
        <f ca="1">MAX(($E91-AD86),0)*(AD3&lt;=Sensitivity!$J$25)</f>
        <v>1000</v>
      </c>
      <c r="AE91" s="2178">
        <f ca="1">MAX(($E91-AE86),0)*(AE3&lt;=Sensitivity!$J$25)</f>
        <v>1000</v>
      </c>
      <c r="AF91" s="2179">
        <f ca="1">MAX(($E91-AF86),0)*(AF3&lt;=Sensitivity!$J$25)</f>
        <v>1000</v>
      </c>
      <c r="AG91" s="2179">
        <f ca="1">MAX(($E91-AG86),0)*(AG3&lt;=Sensitivity!$J$25)</f>
        <v>1000</v>
      </c>
      <c r="AH91" s="2180">
        <f ca="1">MAX(($E91-AH86),0)*(AH3&lt;=Sensitivity!$J$25)</f>
        <v>1000</v>
      </c>
      <c r="AI91" s="2178">
        <f ca="1">MAX(($E91-AI86),0)*(AI3&lt;=Sensitivity!$J$25)</f>
        <v>1000</v>
      </c>
      <c r="AJ91" s="2179">
        <f ca="1">MAX(($E91-AJ86),0)*(AJ3&lt;=Sensitivity!$J$25)</f>
        <v>1000</v>
      </c>
      <c r="AK91" s="2179">
        <f ca="1">MAX(($E91-AK86),0)*(AK3&lt;=Sensitivity!$J$25)</f>
        <v>1000</v>
      </c>
      <c r="AL91" s="2180">
        <f ca="1">MAX(($E91-AL86),0)*(AL3&lt;=Sensitivity!$J$25)</f>
        <v>1000</v>
      </c>
      <c r="AM91" s="2178">
        <f ca="1">MAX(($E91-AM86),0)*(AM3&lt;=Sensitivity!$J$25)</f>
        <v>1000</v>
      </c>
      <c r="AN91" s="2179">
        <f ca="1">MAX(($E91-AN86),0)*(AN3&lt;=Sensitivity!$J$25)</f>
        <v>1000</v>
      </c>
      <c r="AO91" s="2179">
        <f ca="1">MAX(($E91-AO86),0)*(AO3&lt;=Sensitivity!$J$25)</f>
        <v>1000</v>
      </c>
      <c r="AP91" s="2180">
        <f ca="1">MAX(($E91-AP86),0)*(AP3&lt;=Sensitivity!$J$25)</f>
        <v>1000</v>
      </c>
      <c r="AQ91" s="2178">
        <f ca="1">MAX(($E91-AQ86),0)*(AQ3&lt;=Sensitivity!$J$25)</f>
        <v>1000</v>
      </c>
      <c r="AR91" s="2179">
        <f ca="1">MAX(($E91-AR86),0)*(AR3&lt;=Sensitivity!$J$25)</f>
        <v>1000</v>
      </c>
      <c r="AS91" s="2179">
        <f ca="1">MAX(($E91-AS86),0)*(AS3&lt;=Sensitivity!$J$25)</f>
        <v>1000</v>
      </c>
      <c r="AT91" s="2180">
        <f ca="1">MAX(($E91-AT86),0)*(AT3&lt;=Sensitivity!$J$25)</f>
        <v>1000</v>
      </c>
      <c r="AU91" s="2178">
        <f ca="1">MAX(($E91-AU86),0)*(AU3&lt;=Sensitivity!$J$25)</f>
        <v>1000</v>
      </c>
      <c r="AV91" s="2179">
        <f ca="1">MAX(($E91-AV86),0)*(AV3&lt;=Sensitivity!$J$25)</f>
        <v>1000</v>
      </c>
      <c r="AW91" s="2179">
        <f ca="1">MAX(($E91-AW86),0)*(AW3&lt;=Sensitivity!$J$25)</f>
        <v>1000</v>
      </c>
      <c r="AX91" s="2180">
        <f ca="1">MAX(($E91-AX86),0)*(AX3&lt;=Sensitivity!$J$25)</f>
        <v>1000</v>
      </c>
      <c r="AY91" s="2178">
        <f ca="1">MAX(($E91-AY86),0)*(AY3&lt;=Sensitivity!$J$25)</f>
        <v>1000</v>
      </c>
      <c r="AZ91" s="2179">
        <f ca="1">MAX(($E91-AZ86),0)*(AZ3&lt;=Sensitivity!$J$25)</f>
        <v>1000</v>
      </c>
      <c r="BA91" s="2179">
        <f ca="1">MAX(($E91-BA86),0)*(BA3&lt;=Sensitivity!$J$25)</f>
        <v>1000</v>
      </c>
      <c r="BB91" s="2180">
        <f ca="1">MAX(($E91-BB86),0)*(BB3&lt;=Sensitivity!$J$25)</f>
        <v>1000</v>
      </c>
      <c r="BC91" s="2178">
        <f ca="1">MAX(($E91-BC86),0)*(BC3&lt;=Sensitivity!$J$25)</f>
        <v>1000</v>
      </c>
      <c r="BD91" s="2179">
        <f ca="1">MAX(($E91-BD86),0)*(BD3&lt;=Sensitivity!$J$25)</f>
        <v>1000</v>
      </c>
      <c r="BE91" s="2179">
        <f ca="1">MAX(($E91-BE86),0)*(BE3&lt;=Sensitivity!$J$25)</f>
        <v>1000</v>
      </c>
      <c r="BF91" s="2180">
        <f ca="1">MAX(($E91-BF86),0)*(BF3&lt;=Sensitivity!$J$25)</f>
        <v>1000</v>
      </c>
      <c r="BG91" s="2178">
        <f ca="1">MAX(($E91-BG86),0)*(BG3&lt;=Sensitivity!$J$25)</f>
        <v>1000</v>
      </c>
      <c r="BH91" s="2179">
        <f ca="1">MAX(($E91-BH86),0)*(BH3&lt;=Sensitivity!$J$25)</f>
        <v>1000</v>
      </c>
      <c r="BI91" s="2179">
        <f ca="1">MAX(($E91-BI86),0)*(BI3&lt;=Sensitivity!$J$25)</f>
        <v>1000</v>
      </c>
      <c r="BJ91" s="2180">
        <f ca="1">MAX(($E91-BJ86),0)*(BJ3&lt;=Sensitivity!$J$25)</f>
        <v>1000</v>
      </c>
      <c r="BK91" s="2178">
        <f ca="1">MAX(($E91-BK86),0)*(BK3&lt;=Sensitivity!$J$25)</f>
        <v>1000</v>
      </c>
      <c r="BL91" s="2179">
        <f ca="1">MAX(($E91-BL86),0)*(BL3&lt;=Sensitivity!$J$25)</f>
        <v>1000</v>
      </c>
      <c r="BM91" s="2179">
        <f ca="1">MAX(($E91-BM86),0)*(BM3&lt;=Sensitivity!$J$25)</f>
        <v>1000</v>
      </c>
      <c r="BN91" s="2180">
        <f ca="1">MAX(($E91-BN86),0)*(BN3&lt;=Sensitivity!$J$25)</f>
        <v>1000</v>
      </c>
      <c r="BO91" s="2178">
        <f ca="1">MAX(($E91-BO86),0)*(BO3&lt;=Sensitivity!$J$25)</f>
        <v>1000</v>
      </c>
      <c r="BP91" s="2179">
        <f ca="1">MAX(($E91-BP86),0)*(BP3&lt;=Sensitivity!$J$25)</f>
        <v>1000</v>
      </c>
      <c r="BQ91" s="2179">
        <f ca="1">MAX(($E91-BQ86),0)*(BQ3&lt;=Sensitivity!$J$25)</f>
        <v>1000</v>
      </c>
      <c r="BR91" s="2180">
        <f ca="1">MAX(($E91-BR86),0)*(BR3&lt;=Sensitivity!$J$25)</f>
        <v>1000</v>
      </c>
      <c r="BS91" s="2178">
        <f ca="1">MAX(($E91-BS86),0)*(BS3&lt;=Sensitivity!$J$25)</f>
        <v>1000</v>
      </c>
      <c r="BT91" s="2179">
        <f ca="1">MAX(($E91-BT86),0)*(BT3&lt;=Sensitivity!$J$25)</f>
        <v>1000</v>
      </c>
      <c r="BU91" s="2179">
        <f ca="1">MAX(($E91-BU86),0)*(BU3&lt;=Sensitivity!$J$25)</f>
        <v>1000</v>
      </c>
      <c r="BV91" s="2180">
        <f ca="1">MAX(($E91-BV86),0)*(BV3&lt;=Sensitivity!$J$25)</f>
        <v>1000</v>
      </c>
      <c r="BW91" s="2178">
        <f ca="1">MAX(($E91-BW86),0)*(BW3&lt;=Sensitivity!$J$25)</f>
        <v>1000</v>
      </c>
      <c r="BX91" s="2179">
        <f ca="1">MAX(($E91-BX86),0)*(BX3&lt;=Sensitivity!$J$25)</f>
        <v>1000</v>
      </c>
      <c r="BY91" s="2179">
        <f ca="1">MAX(($E91-BY86),0)*(BY3&lt;=Sensitivity!$J$25)</f>
        <v>1000</v>
      </c>
      <c r="BZ91" s="2180">
        <f ca="1">MAX(($E91-BZ86),0)*(BZ3&lt;=Sensitivity!$J$25)</f>
        <v>1000</v>
      </c>
      <c r="CA91" s="2178">
        <f ca="1">MAX(($E91-CA86),0)*(CA3&lt;=Sensitivity!$J$25)</f>
        <v>1000</v>
      </c>
      <c r="CB91" s="2179">
        <f ca="1">MAX(($E91-CB86),0)*(CB3&lt;=Sensitivity!$J$25)</f>
        <v>1000</v>
      </c>
      <c r="CC91" s="2179">
        <f ca="1">MAX(($E91-CC86),0)*(CC3&lt;=Sensitivity!$J$25)</f>
        <v>1000</v>
      </c>
      <c r="CD91" s="2180">
        <f ca="1">MAX(($E91-CD86),0)*(CD3&lt;=Sensitivity!$J$25)</f>
        <v>1000</v>
      </c>
      <c r="CE91" s="2178">
        <f ca="1">MAX(($E91-CE86),0)*(CE3&lt;=Sensitivity!$J$25)</f>
        <v>1000</v>
      </c>
      <c r="CF91" s="2179">
        <f ca="1">MAX(($E91-CF86),0)*(CF3&lt;=Sensitivity!$J$25)</f>
        <v>1000</v>
      </c>
      <c r="CG91" s="2179">
        <f ca="1">MAX(($E91-CG86),0)*(CG3&lt;=Sensitivity!$J$25)</f>
        <v>1000</v>
      </c>
      <c r="CH91" s="2180">
        <f ca="1">MAX(($E91-CH86),0)*(CH3&lt;=Sensitivity!$J$25)</f>
        <v>1000</v>
      </c>
      <c r="CI91" s="2178">
        <f ca="1">MAX(($E91-CI86),0)*(CI3&lt;=Sensitivity!$J$25)</f>
        <v>1000</v>
      </c>
      <c r="CJ91" s="2179">
        <f ca="1">MAX(($E91-CJ86),0)*(CJ3&lt;=Sensitivity!$J$25)</f>
        <v>1000</v>
      </c>
      <c r="CK91" s="2179">
        <f ca="1">MAX(($E91-CK86),0)*(CK3&lt;=Sensitivity!$J$25)</f>
        <v>1000</v>
      </c>
      <c r="CL91" s="2180">
        <f ca="1">MAX(($E91-CL86),0)*(CL3&lt;=Sensitivity!$J$25)</f>
        <v>1000</v>
      </c>
      <c r="CM91" s="2178">
        <f ca="1">MAX(($E91-CM86),0)*(CM3&lt;=Sensitivity!$J$25)</f>
        <v>1000</v>
      </c>
      <c r="CN91" s="2179">
        <f ca="1">MAX(($E91-CN86),0)*(CN3&lt;=Sensitivity!$J$25)</f>
        <v>1000</v>
      </c>
      <c r="CO91" s="2179">
        <f ca="1">MAX(($E91-CO86),0)*(CO3&lt;=Sensitivity!$J$25)</f>
        <v>1000</v>
      </c>
      <c r="CP91" s="2180">
        <f ca="1">MAX(($E91-CP86),0)*(CP3&lt;=Sensitivity!$J$25)</f>
        <v>1000</v>
      </c>
      <c r="CQ91" s="2178">
        <f ca="1">MAX(($E91-CQ86),0)*(CQ3&lt;=Sensitivity!$J$25)</f>
        <v>1000</v>
      </c>
      <c r="CR91" s="2179">
        <f ca="1">MAX(($E91-CR86),0)*(CR3&lt;=Sensitivity!$J$25)</f>
        <v>1000</v>
      </c>
      <c r="CS91" s="2179">
        <f ca="1">MAX(($E91-CS86),0)*(CS3&lt;=Sensitivity!$J$25)</f>
        <v>1000</v>
      </c>
      <c r="CT91" s="2180">
        <f ca="1">MAX(($E91-CT86),0)*(CT3&lt;=Sensitivity!$J$25)</f>
        <v>1000</v>
      </c>
      <c r="CU91" s="2178">
        <f ca="1">MAX(($E91-CU86),0)*(CU3&lt;=Sensitivity!$J$25)</f>
        <v>1000</v>
      </c>
      <c r="CV91" s="2179">
        <f ca="1">MAX(($E91-CV86),0)*(CV3&lt;=Sensitivity!$J$25)</f>
        <v>1000</v>
      </c>
      <c r="CW91" s="2179">
        <f ca="1">MAX(($E91-CW86),0)*(CW3&lt;=Sensitivity!$J$25)</f>
        <v>1000</v>
      </c>
      <c r="CX91" s="2180">
        <f ca="1">MAX(($E91-CX86),0)*(CX3&lt;=Sensitivity!$J$25)</f>
        <v>1000</v>
      </c>
      <c r="CY91" s="2178">
        <f ca="1">MAX(($E91-CY86),0)*(CY3&lt;=Sensitivity!$J$25)</f>
        <v>1000</v>
      </c>
      <c r="CZ91" s="2179">
        <f ca="1">MAX(($E91-CZ86),0)*(CZ3&lt;=Sensitivity!$J$25)</f>
        <v>1000</v>
      </c>
      <c r="DA91" s="2179">
        <f ca="1">MAX(($E91-DA86),0)*(DA3&lt;=Sensitivity!$J$25)</f>
        <v>1000</v>
      </c>
      <c r="DB91" s="2180">
        <f ca="1">MAX(($E91-DB86),0)*(DB3&lt;=Sensitivity!$J$25)</f>
        <v>1000</v>
      </c>
      <c r="DC91" s="2178">
        <f ca="1">MAX(($E91-DC86),0)*(DC3&lt;=Sensitivity!$J$25)</f>
        <v>1000</v>
      </c>
      <c r="DD91" s="2179">
        <f ca="1">MAX(($E91-DD86),0)*(DD3&lt;=Sensitivity!$J$25)</f>
        <v>1000</v>
      </c>
      <c r="DE91" s="2179">
        <f ca="1">MAX(($E91-DE86),0)*(DE3&lt;=Sensitivity!$J$25)</f>
        <v>1000</v>
      </c>
      <c r="DF91" s="2180">
        <f ca="1">MAX(($E91-DF86),0)*(DF3&lt;=Sensitivity!$J$25)</f>
        <v>1000</v>
      </c>
      <c r="DG91" s="2178">
        <f ca="1">MAX(($E91-DG86),0)*(DG3&lt;=Sensitivity!$J$25)</f>
        <v>1000</v>
      </c>
      <c r="DH91" s="2179">
        <f ca="1">MAX(($E91-DH86),0)*(DH3&lt;=Sensitivity!$J$25)</f>
        <v>1000</v>
      </c>
      <c r="DI91" s="2179">
        <f ca="1">MAX(($E91-DI86),0)*(DI3&lt;=Sensitivity!$J$25)</f>
        <v>1000</v>
      </c>
      <c r="DJ91" s="2180">
        <f ca="1">MAX(($E91-DJ86),0)*(DJ3&lt;=Sensitivity!$J$25)</f>
        <v>1000</v>
      </c>
      <c r="DK91" s="2178">
        <f ca="1">MAX(($E91-DK86),0)*(DK3&lt;=Sensitivity!$J$25)</f>
        <v>1000</v>
      </c>
      <c r="DL91" s="2179">
        <f ca="1">MAX(($E91-DL86),0)*(DL3&lt;=Sensitivity!$J$25)</f>
        <v>1000</v>
      </c>
      <c r="DM91" s="2179">
        <f ca="1">MAX(($E91-DM86),0)*(DM3&lt;=Sensitivity!$J$25)</f>
        <v>1000</v>
      </c>
      <c r="DN91" s="2180">
        <f ca="1">MAX(($E91-DN86),0)*(DN3&lt;=Sensitivity!$J$25)</f>
        <v>1000</v>
      </c>
      <c r="DO91" s="2178">
        <f ca="1">MAX(($E91-DO86),0)*(DO3&lt;=Sensitivity!$J$25)</f>
        <v>1000</v>
      </c>
      <c r="DP91" s="2179">
        <f ca="1">MAX(($E91-DP86),0)*(DP3&lt;=Sensitivity!$J$25)</f>
        <v>1000</v>
      </c>
      <c r="DQ91" s="2179">
        <f ca="1">MAX(($E91-DQ86),0)*(DQ3&lt;=Sensitivity!$J$25)</f>
        <v>1000</v>
      </c>
      <c r="DR91" s="2180">
        <f ca="1">MAX(($E91-DR86),0)*(DR3&lt;=Sensitivity!$J$25)</f>
        <v>1000</v>
      </c>
      <c r="DS91" s="2178">
        <f ca="1">MAX(($E91-DS86),0)*(DS3&lt;=Sensitivity!$J$25)</f>
        <v>1000</v>
      </c>
      <c r="DT91" s="2179">
        <f ca="1">MAX(($E91-DT86),0)*(DT3&lt;=Sensitivity!$J$25)</f>
        <v>1000</v>
      </c>
      <c r="DU91" s="2179">
        <f ca="1">MAX(($E91-DU86),0)*(DU3&lt;=Sensitivity!$J$25)</f>
        <v>1000</v>
      </c>
      <c r="DV91" s="2180">
        <f ca="1">MAX(($E91-DV86),0)*(DV3&lt;=Sensitivity!$J$25)</f>
        <v>1000</v>
      </c>
      <c r="DW91" s="2178">
        <f ca="1">MAX(($E91-DW86),0)*(DW3&lt;=Sensitivity!$J$25)</f>
        <v>1000</v>
      </c>
      <c r="DX91" s="2179">
        <f ca="1">MAX(($E91-DX86),0)*(DX3&lt;=Sensitivity!$J$25)</f>
        <v>1000</v>
      </c>
      <c r="DY91" s="2179">
        <f ca="1">MAX(($E91-DY86),0)*(DY3&lt;=Sensitivity!$J$25)</f>
        <v>1000</v>
      </c>
      <c r="DZ91" s="2180">
        <f ca="1">MAX(($E91-DZ86),0)*(DZ3&lt;=Sensitivity!$J$25)</f>
        <v>1000</v>
      </c>
      <c r="EA91" s="2178">
        <f ca="1">MAX(($E91-EA86),0)*(EA3&lt;=Sensitivity!$J$25)</f>
        <v>1000</v>
      </c>
      <c r="EB91" s="2179">
        <f ca="1">MAX(($E91-EB86),0)*(EB3&lt;=Sensitivity!$J$25)</f>
        <v>1000</v>
      </c>
      <c r="EC91" s="2179">
        <f ca="1">MAX(($E91-EC86),0)*(EC3&lt;=Sensitivity!$J$25)</f>
        <v>1000</v>
      </c>
      <c r="ED91" s="2180">
        <f ca="1">MAX(($E91-ED86),0)*(ED3&lt;=Sensitivity!$J$25)</f>
        <v>1000</v>
      </c>
      <c r="EE91" s="2178">
        <f ca="1">MAX(($E91-EE86),0)*(EE3&lt;=Sensitivity!$J$25)</f>
        <v>1000</v>
      </c>
      <c r="EF91" s="2179">
        <f ca="1">MAX(($E91-EF86),0)*(EF3&lt;=Sensitivity!$J$25)</f>
        <v>1000</v>
      </c>
      <c r="EG91" s="2179">
        <f ca="1">MAX(($E91-EG86),0)*(EG3&lt;=Sensitivity!$J$25)</f>
        <v>1000</v>
      </c>
      <c r="EH91" s="2180">
        <f ca="1">MAX(($E91-EH86),0)*(EH3&lt;=Sensitivity!$J$25)</f>
        <v>1000</v>
      </c>
      <c r="EI91" s="2178">
        <f ca="1">MAX(($E91-EI86),0)*(EI3&lt;=Sensitivity!$J$25)</f>
        <v>1000</v>
      </c>
      <c r="EJ91" s="2179">
        <f ca="1">MAX(($E91-EJ86),0)*(EJ3&lt;=Sensitivity!$J$25)</f>
        <v>1000</v>
      </c>
      <c r="EK91" s="2179">
        <f ca="1">MAX(($E91-EK86),0)*(EK3&lt;=Sensitivity!$J$25)</f>
        <v>1000</v>
      </c>
      <c r="EL91" s="2180">
        <f ca="1">MAX(($E91-EL86),0)*(EL3&lt;=Sensitivity!$J$25)</f>
        <v>1000</v>
      </c>
      <c r="EM91" s="2178">
        <f ca="1">MAX(($E91-EM86),0)*(EM3&lt;=Sensitivity!$J$25)</f>
        <v>1000</v>
      </c>
      <c r="EN91" s="2179">
        <f ca="1">MAX(($E91-EN86),0)*(EN3&lt;=Sensitivity!$J$25)</f>
        <v>1000</v>
      </c>
      <c r="EO91" s="2179">
        <f ca="1">MAX(($E91-EO86),0)*(EO3&lt;=Sensitivity!$J$25)</f>
        <v>1000</v>
      </c>
      <c r="EP91" s="2180">
        <f ca="1">MAX(($E91-EP86),0)*(EP3&lt;=Sensitivity!$J$25)</f>
        <v>1000</v>
      </c>
      <c r="EQ91" s="2178">
        <f ca="1">MAX(($E91-EQ86),0)*(EQ3&lt;=Sensitivity!$J$25)</f>
        <v>1000</v>
      </c>
      <c r="ER91" s="2179">
        <f ca="1">MAX(($E91-ER86),0)*(ER3&lt;=Sensitivity!$J$25)</f>
        <v>1000</v>
      </c>
      <c r="ES91" s="2179">
        <f ca="1">MAX(($E91-ES86),0)*(ES3&lt;=Sensitivity!$J$25)</f>
        <v>1000</v>
      </c>
      <c r="ET91" s="2180">
        <f ca="1">MAX(($E91-ET86),0)*(ET3&lt;=Sensitivity!$J$25)</f>
        <v>1000</v>
      </c>
      <c r="EU91" s="2178">
        <f ca="1">MAX(($E91-EU86),0)*(EU3&lt;=Sensitivity!$J$25)</f>
        <v>1000</v>
      </c>
      <c r="EV91" s="2179">
        <f ca="1">MAX(($E91-EV86),0)*(EV3&lt;=Sensitivity!$J$25)</f>
        <v>1000</v>
      </c>
      <c r="EW91" s="2179">
        <f ca="1">MAX(($E91-EW86),0)*(EW3&lt;=Sensitivity!$J$25)</f>
        <v>1000</v>
      </c>
      <c r="EX91" s="2180">
        <f ca="1">MAX(($E91-EX86),0)*(EX3&lt;=Sensitivity!$J$25)</f>
        <v>1000</v>
      </c>
      <c r="EY91" s="2178">
        <f ca="1">MAX(($E91-EY86),0)*(EY3&lt;=Sensitivity!$J$25)</f>
        <v>1000</v>
      </c>
      <c r="EZ91" s="2179">
        <f ca="1">MAX(($E91-EZ86),0)*(EZ3&lt;=Sensitivity!$J$25)</f>
        <v>1000</v>
      </c>
      <c r="FA91" s="2179">
        <f ca="1">MAX(($E91-FA86),0)*(FA3&lt;=Sensitivity!$J$25)</f>
        <v>1000</v>
      </c>
      <c r="FB91" s="2180">
        <f ca="1">MAX(($E91-FB86),0)*(FB3&lt;=Sensitivity!$J$25)</f>
        <v>1000</v>
      </c>
      <c r="FC91" s="2178">
        <f ca="1">MAX(($E91-FC86),0)*(FC3&lt;=Sensitivity!$J$25)</f>
        <v>1000</v>
      </c>
      <c r="FD91" s="2179">
        <f ca="1">MAX(($E91-FD86),0)*(FD3&lt;=Sensitivity!$J$25)</f>
        <v>1000</v>
      </c>
      <c r="FE91" s="2179">
        <f ca="1">MAX(($E91-FE86),0)*(FE3&lt;=Sensitivity!$J$25)</f>
        <v>1000</v>
      </c>
      <c r="FF91" s="2180">
        <f ca="1">MAX(($E91-FF86),0)*(FF3&lt;=Sensitivity!$J$25)</f>
        <v>1000</v>
      </c>
      <c r="FG91" s="2178">
        <f ca="1">MAX(($E91-FG86),0)*(FG3&lt;=Sensitivity!$J$25)</f>
        <v>1000</v>
      </c>
      <c r="FH91" s="2179">
        <f ca="1">MAX(($E91-FH86),0)*(FH3&lt;=Sensitivity!$J$25)</f>
        <v>1000</v>
      </c>
      <c r="FI91" s="2179">
        <f ca="1">MAX(($E91-FI86),0)*(FI3&lt;=Sensitivity!$J$25)</f>
        <v>1000</v>
      </c>
      <c r="FJ91" s="2180">
        <f ca="1">MAX(($E91-FJ86),0)*(FJ3&lt;=Sensitivity!$J$25)</f>
        <v>1000</v>
      </c>
      <c r="FK91" s="2178">
        <f ca="1">MAX(($E91-FK86),0)*(FK3&lt;=Sensitivity!$J$25)</f>
        <v>1000</v>
      </c>
      <c r="FL91" s="2179">
        <f ca="1">MAX(($E91-FL86),0)*(FL3&lt;=Sensitivity!$J$25)</f>
        <v>1000</v>
      </c>
      <c r="FM91" s="2179">
        <f ca="1">MAX(($E91-FM86),0)*(FM3&lt;=Sensitivity!$J$25)</f>
        <v>1000</v>
      </c>
      <c r="FN91" s="2180">
        <f ca="1">MAX(($E91-FN86),0)*(FN3&lt;=Sensitivity!$J$25)</f>
        <v>1000</v>
      </c>
      <c r="FO91" s="2178">
        <f ca="1">MAX(($E91-FO86),0)*(FO3&lt;=Sensitivity!$J$25)</f>
        <v>0</v>
      </c>
      <c r="FP91" s="2179">
        <f ca="1">MAX(($E91-FP86),0)*(FP3&lt;=Sensitivity!$J$25)</f>
        <v>0</v>
      </c>
      <c r="FQ91" s="2179">
        <f ca="1">MAX(($E91-FQ86),0)*(FQ3&lt;=Sensitivity!$J$25)</f>
        <v>0</v>
      </c>
      <c r="FR91" s="2180">
        <f ca="1">MAX(($E91-FR86),0)*(FR3&lt;=Sensitivity!$J$25)</f>
        <v>0</v>
      </c>
      <c r="FS91" s="2178">
        <f ca="1">MAX(($E91-FS86),0)*(FS3&lt;=Sensitivity!$J$25)</f>
        <v>0</v>
      </c>
      <c r="FT91" s="2179">
        <f ca="1">MAX(($E91-FT86),0)*(FT3&lt;=Sensitivity!$J$25)</f>
        <v>0</v>
      </c>
      <c r="FU91" s="2179">
        <f ca="1">MAX(($E91-FU86),0)*(FU3&lt;=Sensitivity!$J$25)</f>
        <v>0</v>
      </c>
      <c r="FV91" s="2180">
        <f ca="1">MAX(($E91-FV86),0)*(FV3&lt;=Sensitivity!$J$25)</f>
        <v>0</v>
      </c>
      <c r="FW91" s="2178">
        <f ca="1">MAX(($E91-FW86),0)*(FW3&lt;=Sensitivity!$J$25)</f>
        <v>0</v>
      </c>
      <c r="FX91" s="2179">
        <f ca="1">MAX(($E91-FX86),0)*(FX3&lt;=Sensitivity!$J$25)</f>
        <v>0</v>
      </c>
      <c r="FY91" s="2179">
        <f ca="1">MAX(($E91-FY86),0)*(FY3&lt;=Sensitivity!$J$25)</f>
        <v>0</v>
      </c>
      <c r="FZ91" s="2180">
        <f ca="1">MAX(($E91-FZ86),0)*(FZ3&lt;=Sensitivity!$J$25)</f>
        <v>0</v>
      </c>
      <c r="GA91" s="2178">
        <f ca="1">MAX(($E91-GA86),0)*(GA3&lt;=Sensitivity!$J$25)</f>
        <v>0</v>
      </c>
      <c r="GB91" s="2179">
        <f ca="1">MAX(($E91-GB86),0)*(GB3&lt;=Sensitivity!$J$25)</f>
        <v>0</v>
      </c>
      <c r="GC91" s="2179">
        <f ca="1">MAX(($E91-GC86),0)*(GC3&lt;=Sensitivity!$J$25)</f>
        <v>0</v>
      </c>
      <c r="GD91" s="2180">
        <f ca="1">MAX(($E91-GD86),0)*(GD3&lt;=Sensitivity!$J$25)</f>
        <v>0</v>
      </c>
    </row>
    <row r="92" spans="1:186" ht="15" customHeight="1">
      <c r="B92" s="2085"/>
      <c r="C92" s="2181" t="s">
        <v>3785</v>
      </c>
      <c r="D92" s="2181"/>
      <c r="E92" s="2182">
        <f>Sensitivity!L24</f>
        <v>0</v>
      </c>
      <c r="F92" s="2183">
        <f t="shared" ca="1" si="142"/>
        <v>0</v>
      </c>
      <c r="G92" s="2184">
        <f t="shared" ref="G92:AL92" si="159">IF(G5=0,0,G91*$E92*G6/12)</f>
        <v>0</v>
      </c>
      <c r="H92" s="2185">
        <f t="shared" ca="1" si="159"/>
        <v>0</v>
      </c>
      <c r="I92" s="2185">
        <f t="shared" ca="1" si="159"/>
        <v>0</v>
      </c>
      <c r="J92" s="2186">
        <f t="shared" ca="1" si="159"/>
        <v>0</v>
      </c>
      <c r="K92" s="2184">
        <f t="shared" ca="1" si="159"/>
        <v>0</v>
      </c>
      <c r="L92" s="2185">
        <f t="shared" ca="1" si="159"/>
        <v>0</v>
      </c>
      <c r="M92" s="2185">
        <f t="shared" ca="1" si="159"/>
        <v>0</v>
      </c>
      <c r="N92" s="2186">
        <f t="shared" ca="1" si="159"/>
        <v>0</v>
      </c>
      <c r="O92" s="2184">
        <f t="shared" ca="1" si="159"/>
        <v>0</v>
      </c>
      <c r="P92" s="2185">
        <f t="shared" ca="1" si="159"/>
        <v>0</v>
      </c>
      <c r="Q92" s="2185">
        <f t="shared" ca="1" si="159"/>
        <v>0</v>
      </c>
      <c r="R92" s="2186">
        <f t="shared" ca="1" si="159"/>
        <v>0</v>
      </c>
      <c r="S92" s="2184">
        <f t="shared" ca="1" si="159"/>
        <v>0</v>
      </c>
      <c r="T92" s="2185">
        <f t="shared" ca="1" si="159"/>
        <v>0</v>
      </c>
      <c r="U92" s="2185">
        <f t="shared" ca="1" si="159"/>
        <v>0</v>
      </c>
      <c r="V92" s="2186">
        <f t="shared" ca="1" si="159"/>
        <v>0</v>
      </c>
      <c r="W92" s="2184">
        <f t="shared" ca="1" si="159"/>
        <v>0</v>
      </c>
      <c r="X92" s="2185">
        <f t="shared" ca="1" si="159"/>
        <v>0</v>
      </c>
      <c r="Y92" s="2185">
        <f t="shared" ca="1" si="159"/>
        <v>0</v>
      </c>
      <c r="Z92" s="2186">
        <f t="shared" ca="1" si="159"/>
        <v>0</v>
      </c>
      <c r="AA92" s="2184">
        <f t="shared" ca="1" si="159"/>
        <v>0</v>
      </c>
      <c r="AB92" s="2185">
        <f t="shared" ca="1" si="159"/>
        <v>0</v>
      </c>
      <c r="AC92" s="2185">
        <f t="shared" ca="1" si="159"/>
        <v>0</v>
      </c>
      <c r="AD92" s="2186">
        <f t="shared" ca="1" si="159"/>
        <v>0</v>
      </c>
      <c r="AE92" s="2184">
        <f t="shared" ca="1" si="159"/>
        <v>0</v>
      </c>
      <c r="AF92" s="2185">
        <f t="shared" ca="1" si="159"/>
        <v>0</v>
      </c>
      <c r="AG92" s="2187">
        <f t="shared" ca="1" si="159"/>
        <v>0</v>
      </c>
      <c r="AH92" s="2188">
        <f t="shared" ca="1" si="159"/>
        <v>0</v>
      </c>
      <c r="AI92" s="2189">
        <f t="shared" ca="1" si="159"/>
        <v>0</v>
      </c>
      <c r="AJ92" s="2187">
        <f t="shared" ca="1" si="159"/>
        <v>0</v>
      </c>
      <c r="AK92" s="2187">
        <f t="shared" ca="1" si="159"/>
        <v>0</v>
      </c>
      <c r="AL92" s="2188">
        <f t="shared" ca="1" si="159"/>
        <v>0</v>
      </c>
      <c r="AM92" s="2189">
        <f t="shared" ref="AM92:BR92" ca="1" si="160">IF(AM5=0,0,AM91*$E92*AM6/12)</f>
        <v>0</v>
      </c>
      <c r="AN92" s="2187">
        <f t="shared" ca="1" si="160"/>
        <v>0</v>
      </c>
      <c r="AO92" s="2187">
        <f t="shared" ca="1" si="160"/>
        <v>0</v>
      </c>
      <c r="AP92" s="2188">
        <f t="shared" ca="1" si="160"/>
        <v>0</v>
      </c>
      <c r="AQ92" s="2189">
        <f t="shared" ca="1" si="160"/>
        <v>0</v>
      </c>
      <c r="AR92" s="2187">
        <f t="shared" ca="1" si="160"/>
        <v>0</v>
      </c>
      <c r="AS92" s="2187">
        <f t="shared" ca="1" si="160"/>
        <v>0</v>
      </c>
      <c r="AT92" s="2188">
        <f t="shared" ca="1" si="160"/>
        <v>0</v>
      </c>
      <c r="AU92" s="2189">
        <f t="shared" ca="1" si="160"/>
        <v>0</v>
      </c>
      <c r="AV92" s="2187">
        <f t="shared" ca="1" si="160"/>
        <v>0</v>
      </c>
      <c r="AW92" s="2187">
        <f t="shared" ca="1" si="160"/>
        <v>0</v>
      </c>
      <c r="AX92" s="2188">
        <f t="shared" ca="1" si="160"/>
        <v>0</v>
      </c>
      <c r="AY92" s="2189">
        <f t="shared" ca="1" si="160"/>
        <v>0</v>
      </c>
      <c r="AZ92" s="2187">
        <f t="shared" ca="1" si="160"/>
        <v>0</v>
      </c>
      <c r="BA92" s="2187">
        <f t="shared" ca="1" si="160"/>
        <v>0</v>
      </c>
      <c r="BB92" s="2188">
        <f t="shared" ca="1" si="160"/>
        <v>0</v>
      </c>
      <c r="BC92" s="2189">
        <f t="shared" ca="1" si="160"/>
        <v>0</v>
      </c>
      <c r="BD92" s="2187">
        <f t="shared" ca="1" si="160"/>
        <v>0</v>
      </c>
      <c r="BE92" s="2187">
        <f t="shared" ca="1" si="160"/>
        <v>0</v>
      </c>
      <c r="BF92" s="2188">
        <f t="shared" ca="1" si="160"/>
        <v>0</v>
      </c>
      <c r="BG92" s="2189">
        <f t="shared" ca="1" si="160"/>
        <v>0</v>
      </c>
      <c r="BH92" s="2187">
        <f t="shared" ca="1" si="160"/>
        <v>0</v>
      </c>
      <c r="BI92" s="2187">
        <f t="shared" ca="1" si="160"/>
        <v>0</v>
      </c>
      <c r="BJ92" s="2188">
        <f t="shared" ca="1" si="160"/>
        <v>0</v>
      </c>
      <c r="BK92" s="2189">
        <f t="shared" ca="1" si="160"/>
        <v>0</v>
      </c>
      <c r="BL92" s="2187">
        <f t="shared" ca="1" si="160"/>
        <v>0</v>
      </c>
      <c r="BM92" s="2187">
        <f t="shared" ca="1" si="160"/>
        <v>0</v>
      </c>
      <c r="BN92" s="2188">
        <f t="shared" ca="1" si="160"/>
        <v>0</v>
      </c>
      <c r="BO92" s="2189">
        <f t="shared" ca="1" si="160"/>
        <v>0</v>
      </c>
      <c r="BP92" s="2187">
        <f t="shared" ca="1" si="160"/>
        <v>0</v>
      </c>
      <c r="BQ92" s="2187">
        <f t="shared" ca="1" si="160"/>
        <v>0</v>
      </c>
      <c r="BR92" s="2188">
        <f t="shared" ca="1" si="160"/>
        <v>0</v>
      </c>
      <c r="BS92" s="2189">
        <f t="shared" ref="BS92:CX92" ca="1" si="161">IF(BS5=0,0,BS91*$E92*BS6/12)</f>
        <v>0</v>
      </c>
      <c r="BT92" s="2187">
        <f t="shared" ca="1" si="161"/>
        <v>0</v>
      </c>
      <c r="BU92" s="2187">
        <f t="shared" ca="1" si="161"/>
        <v>0</v>
      </c>
      <c r="BV92" s="2188">
        <f t="shared" ca="1" si="161"/>
        <v>0</v>
      </c>
      <c r="BW92" s="2189">
        <f t="shared" ca="1" si="161"/>
        <v>0</v>
      </c>
      <c r="BX92" s="2187">
        <f t="shared" ca="1" si="161"/>
        <v>0</v>
      </c>
      <c r="BY92" s="2187">
        <f t="shared" ca="1" si="161"/>
        <v>0</v>
      </c>
      <c r="BZ92" s="2188">
        <f t="shared" ca="1" si="161"/>
        <v>0</v>
      </c>
      <c r="CA92" s="2189">
        <f t="shared" ca="1" si="161"/>
        <v>0</v>
      </c>
      <c r="CB92" s="2187">
        <f t="shared" ca="1" si="161"/>
        <v>0</v>
      </c>
      <c r="CC92" s="2187">
        <f t="shared" ca="1" si="161"/>
        <v>0</v>
      </c>
      <c r="CD92" s="2188">
        <f t="shared" ca="1" si="161"/>
        <v>0</v>
      </c>
      <c r="CE92" s="2189">
        <f t="shared" ca="1" si="161"/>
        <v>0</v>
      </c>
      <c r="CF92" s="2187">
        <f t="shared" ca="1" si="161"/>
        <v>0</v>
      </c>
      <c r="CG92" s="2187">
        <f t="shared" ca="1" si="161"/>
        <v>0</v>
      </c>
      <c r="CH92" s="2188">
        <f t="shared" ca="1" si="161"/>
        <v>0</v>
      </c>
      <c r="CI92" s="2189">
        <f t="shared" ca="1" si="161"/>
        <v>0</v>
      </c>
      <c r="CJ92" s="2187">
        <f t="shared" ca="1" si="161"/>
        <v>0</v>
      </c>
      <c r="CK92" s="2187">
        <f t="shared" ca="1" si="161"/>
        <v>0</v>
      </c>
      <c r="CL92" s="2188">
        <f t="shared" ca="1" si="161"/>
        <v>0</v>
      </c>
      <c r="CM92" s="2189">
        <f t="shared" ca="1" si="161"/>
        <v>0</v>
      </c>
      <c r="CN92" s="2187">
        <f t="shared" ca="1" si="161"/>
        <v>0</v>
      </c>
      <c r="CO92" s="2187">
        <f t="shared" ca="1" si="161"/>
        <v>0</v>
      </c>
      <c r="CP92" s="2188">
        <f t="shared" ca="1" si="161"/>
        <v>0</v>
      </c>
      <c r="CQ92" s="2189">
        <f t="shared" ca="1" si="161"/>
        <v>0</v>
      </c>
      <c r="CR92" s="2187">
        <f t="shared" ca="1" si="161"/>
        <v>0</v>
      </c>
      <c r="CS92" s="2187">
        <f t="shared" ca="1" si="161"/>
        <v>0</v>
      </c>
      <c r="CT92" s="2188">
        <f t="shared" ca="1" si="161"/>
        <v>0</v>
      </c>
      <c r="CU92" s="2189">
        <f t="shared" ca="1" si="161"/>
        <v>0</v>
      </c>
      <c r="CV92" s="2187">
        <f t="shared" ca="1" si="161"/>
        <v>0</v>
      </c>
      <c r="CW92" s="2187">
        <f t="shared" ca="1" si="161"/>
        <v>0</v>
      </c>
      <c r="CX92" s="2188">
        <f t="shared" ca="1" si="161"/>
        <v>0</v>
      </c>
      <c r="CY92" s="2189">
        <f t="shared" ref="CY92:ED92" ca="1" si="162">IF(CY5=0,0,CY91*$E92*CY6/12)</f>
        <v>0</v>
      </c>
      <c r="CZ92" s="2187">
        <f t="shared" ca="1" si="162"/>
        <v>0</v>
      </c>
      <c r="DA92" s="2187">
        <f t="shared" ca="1" si="162"/>
        <v>0</v>
      </c>
      <c r="DB92" s="2188">
        <f t="shared" ca="1" si="162"/>
        <v>0</v>
      </c>
      <c r="DC92" s="2189">
        <f t="shared" ca="1" si="162"/>
        <v>0</v>
      </c>
      <c r="DD92" s="2187">
        <f t="shared" ca="1" si="162"/>
        <v>0</v>
      </c>
      <c r="DE92" s="2187">
        <f t="shared" ca="1" si="162"/>
        <v>0</v>
      </c>
      <c r="DF92" s="2188">
        <f t="shared" ca="1" si="162"/>
        <v>0</v>
      </c>
      <c r="DG92" s="2189">
        <f t="shared" ca="1" si="162"/>
        <v>0</v>
      </c>
      <c r="DH92" s="2187">
        <f t="shared" ca="1" si="162"/>
        <v>0</v>
      </c>
      <c r="DI92" s="2187">
        <f t="shared" ca="1" si="162"/>
        <v>0</v>
      </c>
      <c r="DJ92" s="2188">
        <f t="shared" ca="1" si="162"/>
        <v>0</v>
      </c>
      <c r="DK92" s="2189">
        <f t="shared" ca="1" si="162"/>
        <v>0</v>
      </c>
      <c r="DL92" s="2187">
        <f t="shared" ca="1" si="162"/>
        <v>0</v>
      </c>
      <c r="DM92" s="2187">
        <f t="shared" ca="1" si="162"/>
        <v>0</v>
      </c>
      <c r="DN92" s="2188">
        <f t="shared" ca="1" si="162"/>
        <v>0</v>
      </c>
      <c r="DO92" s="2189">
        <f t="shared" ca="1" si="162"/>
        <v>0</v>
      </c>
      <c r="DP92" s="2187">
        <f t="shared" ca="1" si="162"/>
        <v>0</v>
      </c>
      <c r="DQ92" s="2187">
        <f t="shared" ca="1" si="162"/>
        <v>0</v>
      </c>
      <c r="DR92" s="2188">
        <f t="shared" ca="1" si="162"/>
        <v>0</v>
      </c>
      <c r="DS92" s="2189">
        <f t="shared" ca="1" si="162"/>
        <v>0</v>
      </c>
      <c r="DT92" s="2187">
        <f t="shared" ca="1" si="162"/>
        <v>0</v>
      </c>
      <c r="DU92" s="2187">
        <f t="shared" ca="1" si="162"/>
        <v>0</v>
      </c>
      <c r="DV92" s="2188">
        <f t="shared" ca="1" si="162"/>
        <v>0</v>
      </c>
      <c r="DW92" s="2189">
        <f t="shared" ca="1" si="162"/>
        <v>0</v>
      </c>
      <c r="DX92" s="2187">
        <f t="shared" ca="1" si="162"/>
        <v>0</v>
      </c>
      <c r="DY92" s="2187">
        <f t="shared" ca="1" si="162"/>
        <v>0</v>
      </c>
      <c r="DZ92" s="2188">
        <f t="shared" ca="1" si="162"/>
        <v>0</v>
      </c>
      <c r="EA92" s="2189">
        <f t="shared" ca="1" si="162"/>
        <v>0</v>
      </c>
      <c r="EB92" s="2187">
        <f t="shared" ca="1" si="162"/>
        <v>0</v>
      </c>
      <c r="EC92" s="2187">
        <f t="shared" ca="1" si="162"/>
        <v>0</v>
      </c>
      <c r="ED92" s="2188">
        <f t="shared" ca="1" si="162"/>
        <v>0</v>
      </c>
      <c r="EE92" s="2189">
        <f t="shared" ref="EE92:FJ92" ca="1" si="163">IF(EE5=0,0,EE91*$E92*EE6/12)</f>
        <v>0</v>
      </c>
      <c r="EF92" s="2187">
        <f t="shared" ca="1" si="163"/>
        <v>0</v>
      </c>
      <c r="EG92" s="2187">
        <f t="shared" ca="1" si="163"/>
        <v>0</v>
      </c>
      <c r="EH92" s="2188">
        <f t="shared" ca="1" si="163"/>
        <v>0</v>
      </c>
      <c r="EI92" s="2189">
        <f t="shared" ca="1" si="163"/>
        <v>0</v>
      </c>
      <c r="EJ92" s="2187">
        <f t="shared" ca="1" si="163"/>
        <v>0</v>
      </c>
      <c r="EK92" s="2187">
        <f t="shared" ca="1" si="163"/>
        <v>0</v>
      </c>
      <c r="EL92" s="2188">
        <f t="shared" ca="1" si="163"/>
        <v>0</v>
      </c>
      <c r="EM92" s="2189">
        <f t="shared" ca="1" si="163"/>
        <v>0</v>
      </c>
      <c r="EN92" s="2187">
        <f t="shared" ca="1" si="163"/>
        <v>0</v>
      </c>
      <c r="EO92" s="2187">
        <f t="shared" ca="1" si="163"/>
        <v>0</v>
      </c>
      <c r="EP92" s="2188">
        <f t="shared" ca="1" si="163"/>
        <v>0</v>
      </c>
      <c r="EQ92" s="2189">
        <f t="shared" ca="1" si="163"/>
        <v>0</v>
      </c>
      <c r="ER92" s="2187">
        <f t="shared" ca="1" si="163"/>
        <v>0</v>
      </c>
      <c r="ES92" s="2187">
        <f t="shared" ca="1" si="163"/>
        <v>0</v>
      </c>
      <c r="ET92" s="2188">
        <f t="shared" ca="1" si="163"/>
        <v>0</v>
      </c>
      <c r="EU92" s="2189">
        <f t="shared" ca="1" si="163"/>
        <v>0</v>
      </c>
      <c r="EV92" s="2187">
        <f t="shared" ca="1" si="163"/>
        <v>0</v>
      </c>
      <c r="EW92" s="2187">
        <f t="shared" ca="1" si="163"/>
        <v>0</v>
      </c>
      <c r="EX92" s="2188">
        <f t="shared" ca="1" si="163"/>
        <v>0</v>
      </c>
      <c r="EY92" s="2189">
        <f t="shared" ca="1" si="163"/>
        <v>0</v>
      </c>
      <c r="EZ92" s="2187">
        <f t="shared" ca="1" si="163"/>
        <v>0</v>
      </c>
      <c r="FA92" s="2187">
        <f t="shared" ca="1" si="163"/>
        <v>0</v>
      </c>
      <c r="FB92" s="2188">
        <f t="shared" ca="1" si="163"/>
        <v>0</v>
      </c>
      <c r="FC92" s="2189">
        <f t="shared" ca="1" si="163"/>
        <v>0</v>
      </c>
      <c r="FD92" s="2187">
        <f t="shared" ca="1" si="163"/>
        <v>0</v>
      </c>
      <c r="FE92" s="2187">
        <f t="shared" ca="1" si="163"/>
        <v>0</v>
      </c>
      <c r="FF92" s="2188">
        <f t="shared" ca="1" si="163"/>
        <v>0</v>
      </c>
      <c r="FG92" s="2189">
        <f t="shared" ca="1" si="163"/>
        <v>0</v>
      </c>
      <c r="FH92" s="2187">
        <f t="shared" ca="1" si="163"/>
        <v>0</v>
      </c>
      <c r="FI92" s="2187">
        <f t="shared" ca="1" si="163"/>
        <v>0</v>
      </c>
      <c r="FJ92" s="2188">
        <f t="shared" ca="1" si="163"/>
        <v>0</v>
      </c>
      <c r="FK92" s="2189">
        <f t="shared" ref="FK92:GD92" ca="1" si="164">IF(FK5=0,0,FK91*$E92*FK6/12)</f>
        <v>0</v>
      </c>
      <c r="FL92" s="2187">
        <f t="shared" ca="1" si="164"/>
        <v>0</v>
      </c>
      <c r="FM92" s="2187">
        <f t="shared" si="164"/>
        <v>0</v>
      </c>
      <c r="FN92" s="2188">
        <f t="shared" si="164"/>
        <v>0</v>
      </c>
      <c r="FO92" s="2189">
        <f t="shared" si="164"/>
        <v>0</v>
      </c>
      <c r="FP92" s="2187">
        <f t="shared" si="164"/>
        <v>0</v>
      </c>
      <c r="FQ92" s="2187">
        <f t="shared" si="164"/>
        <v>0</v>
      </c>
      <c r="FR92" s="2188">
        <f t="shared" si="164"/>
        <v>0</v>
      </c>
      <c r="FS92" s="2189">
        <f t="shared" si="164"/>
        <v>0</v>
      </c>
      <c r="FT92" s="2187">
        <f t="shared" si="164"/>
        <v>0</v>
      </c>
      <c r="FU92" s="2187">
        <f t="shared" si="164"/>
        <v>0</v>
      </c>
      <c r="FV92" s="2188">
        <f t="shared" si="164"/>
        <v>0</v>
      </c>
      <c r="FW92" s="2189">
        <f t="shared" si="164"/>
        <v>0</v>
      </c>
      <c r="FX92" s="2187">
        <f t="shared" si="164"/>
        <v>0</v>
      </c>
      <c r="FY92" s="2187">
        <f t="shared" si="164"/>
        <v>0</v>
      </c>
      <c r="FZ92" s="2188">
        <f t="shared" si="164"/>
        <v>0</v>
      </c>
      <c r="GA92" s="2189">
        <f t="shared" si="164"/>
        <v>0</v>
      </c>
      <c r="GB92" s="2187">
        <f t="shared" si="164"/>
        <v>0</v>
      </c>
      <c r="GC92" s="2187">
        <f t="shared" si="164"/>
        <v>0</v>
      </c>
      <c r="GD92" s="2188">
        <f t="shared" si="164"/>
        <v>0</v>
      </c>
    </row>
    <row r="93" spans="1:186" ht="15" customHeight="1">
      <c r="B93" s="2085"/>
      <c r="C93" s="2155" t="s">
        <v>3770</v>
      </c>
      <c r="D93" s="2156"/>
      <c r="E93" s="2157" t="s">
        <v>1404</v>
      </c>
      <c r="F93" s="2158">
        <f t="shared" ca="1" si="142"/>
        <v>1107.293656772657</v>
      </c>
      <c r="G93" s="2159"/>
      <c r="H93" s="2160"/>
      <c r="I93" s="2160"/>
      <c r="J93" s="2161"/>
      <c r="K93" s="2159">
        <f>K63</f>
        <v>0</v>
      </c>
      <c r="L93" s="2160">
        <f t="shared" ref="L93:BW93" si="165">L63</f>
        <v>0</v>
      </c>
      <c r="M93" s="2160">
        <f t="shared" si="165"/>
        <v>0</v>
      </c>
      <c r="N93" s="2161">
        <f t="shared" si="165"/>
        <v>0</v>
      </c>
      <c r="O93" s="2159">
        <f t="shared" ca="1" si="165"/>
        <v>0</v>
      </c>
      <c r="P93" s="2160">
        <f t="shared" si="165"/>
        <v>0</v>
      </c>
      <c r="Q93" s="2160">
        <f t="shared" si="165"/>
        <v>0</v>
      </c>
      <c r="R93" s="2161">
        <f t="shared" si="165"/>
        <v>0</v>
      </c>
      <c r="S93" s="2159">
        <f t="shared" ca="1" si="165"/>
        <v>0</v>
      </c>
      <c r="T93" s="2160">
        <f t="shared" si="165"/>
        <v>0</v>
      </c>
      <c r="U93" s="2160">
        <f t="shared" si="165"/>
        <v>0</v>
      </c>
      <c r="V93" s="2161">
        <f t="shared" si="165"/>
        <v>0</v>
      </c>
      <c r="W93" s="2159">
        <f t="shared" ca="1" si="165"/>
        <v>0</v>
      </c>
      <c r="X93" s="2160">
        <f t="shared" si="165"/>
        <v>0</v>
      </c>
      <c r="Y93" s="2160">
        <f t="shared" si="165"/>
        <v>0</v>
      </c>
      <c r="Z93" s="2161">
        <f t="shared" si="165"/>
        <v>0</v>
      </c>
      <c r="AA93" s="2159">
        <f t="shared" ca="1" si="165"/>
        <v>0</v>
      </c>
      <c r="AB93" s="2160">
        <f t="shared" si="165"/>
        <v>0</v>
      </c>
      <c r="AC93" s="2160">
        <f t="shared" si="165"/>
        <v>0</v>
      </c>
      <c r="AD93" s="2161">
        <f t="shared" si="165"/>
        <v>0</v>
      </c>
      <c r="AE93" s="2159">
        <f t="shared" ca="1" si="165"/>
        <v>0</v>
      </c>
      <c r="AF93" s="2160">
        <f t="shared" si="165"/>
        <v>0</v>
      </c>
      <c r="AG93" s="2160">
        <f t="shared" si="165"/>
        <v>0</v>
      </c>
      <c r="AH93" s="2161">
        <f t="shared" si="165"/>
        <v>0</v>
      </c>
      <c r="AI93" s="2159">
        <f t="shared" ca="1" si="165"/>
        <v>0</v>
      </c>
      <c r="AJ93" s="2160">
        <f t="shared" si="165"/>
        <v>0</v>
      </c>
      <c r="AK93" s="2160">
        <f t="shared" si="165"/>
        <v>0</v>
      </c>
      <c r="AL93" s="2161">
        <f t="shared" si="165"/>
        <v>0</v>
      </c>
      <c r="AM93" s="2159">
        <f t="shared" ca="1" si="165"/>
        <v>0</v>
      </c>
      <c r="AN93" s="2160">
        <f t="shared" si="165"/>
        <v>0</v>
      </c>
      <c r="AO93" s="2160">
        <f t="shared" si="165"/>
        <v>0</v>
      </c>
      <c r="AP93" s="2161">
        <f t="shared" si="165"/>
        <v>0</v>
      </c>
      <c r="AQ93" s="2159">
        <f t="shared" ca="1" si="165"/>
        <v>0</v>
      </c>
      <c r="AR93" s="2160">
        <f t="shared" si="165"/>
        <v>0</v>
      </c>
      <c r="AS93" s="2160">
        <f t="shared" si="165"/>
        <v>0</v>
      </c>
      <c r="AT93" s="2161">
        <f t="shared" si="165"/>
        <v>0</v>
      </c>
      <c r="AU93" s="2159">
        <f t="shared" ca="1" si="165"/>
        <v>0</v>
      </c>
      <c r="AV93" s="2160">
        <f t="shared" si="165"/>
        <v>0</v>
      </c>
      <c r="AW93" s="2160">
        <f t="shared" si="165"/>
        <v>0</v>
      </c>
      <c r="AX93" s="2161">
        <f t="shared" si="165"/>
        <v>0</v>
      </c>
      <c r="AY93" s="2159">
        <f t="shared" ca="1" si="165"/>
        <v>0</v>
      </c>
      <c r="AZ93" s="2160">
        <f t="shared" si="165"/>
        <v>0</v>
      </c>
      <c r="BA93" s="2160">
        <f t="shared" si="165"/>
        <v>0</v>
      </c>
      <c r="BB93" s="2161">
        <f t="shared" si="165"/>
        <v>0</v>
      </c>
      <c r="BC93" s="2159">
        <f t="shared" ca="1" si="165"/>
        <v>0</v>
      </c>
      <c r="BD93" s="2160">
        <f t="shared" si="165"/>
        <v>0</v>
      </c>
      <c r="BE93" s="2160">
        <f t="shared" si="165"/>
        <v>0</v>
      </c>
      <c r="BF93" s="2161">
        <f t="shared" si="165"/>
        <v>0</v>
      </c>
      <c r="BG93" s="2159">
        <f t="shared" ca="1" si="165"/>
        <v>0</v>
      </c>
      <c r="BH93" s="2160">
        <f t="shared" si="165"/>
        <v>0</v>
      </c>
      <c r="BI93" s="2160">
        <f t="shared" si="165"/>
        <v>0</v>
      </c>
      <c r="BJ93" s="2161">
        <f t="shared" si="165"/>
        <v>0</v>
      </c>
      <c r="BK93" s="2159">
        <f t="shared" ca="1" si="165"/>
        <v>0</v>
      </c>
      <c r="BL93" s="2160">
        <f t="shared" si="165"/>
        <v>0</v>
      </c>
      <c r="BM93" s="2160">
        <f t="shared" si="165"/>
        <v>0</v>
      </c>
      <c r="BN93" s="2161">
        <f t="shared" si="165"/>
        <v>0</v>
      </c>
      <c r="BO93" s="2159">
        <f t="shared" ca="1" si="165"/>
        <v>6.9601859712643455</v>
      </c>
      <c r="BP93" s="2160">
        <f t="shared" si="165"/>
        <v>0</v>
      </c>
      <c r="BQ93" s="2160">
        <f t="shared" si="165"/>
        <v>0</v>
      </c>
      <c r="BR93" s="2161">
        <f t="shared" si="165"/>
        <v>0</v>
      </c>
      <c r="BS93" s="2159">
        <f t="shared" ca="1" si="165"/>
        <v>21.342732529732551</v>
      </c>
      <c r="BT93" s="2160">
        <f t="shared" si="165"/>
        <v>0</v>
      </c>
      <c r="BU93" s="2160">
        <f t="shared" si="165"/>
        <v>0</v>
      </c>
      <c r="BV93" s="2161">
        <f t="shared" si="165"/>
        <v>0</v>
      </c>
      <c r="BW93" s="2159">
        <f t="shared" ca="1" si="165"/>
        <v>24.911065362358926</v>
      </c>
      <c r="BX93" s="2160">
        <f t="shared" ref="BX93:EI93" si="166">BX63</f>
        <v>0</v>
      </c>
      <c r="BY93" s="2160">
        <f t="shared" si="166"/>
        <v>0</v>
      </c>
      <c r="BZ93" s="2161">
        <f t="shared" si="166"/>
        <v>0</v>
      </c>
      <c r="CA93" s="2159">
        <f t="shared" ca="1" si="166"/>
        <v>43.839672909301257</v>
      </c>
      <c r="CB93" s="2160">
        <f t="shared" si="166"/>
        <v>0</v>
      </c>
      <c r="CC93" s="2160">
        <f t="shared" si="166"/>
        <v>0</v>
      </c>
      <c r="CD93" s="2161">
        <f t="shared" si="166"/>
        <v>0</v>
      </c>
      <c r="CE93" s="2159">
        <f t="shared" ca="1" si="166"/>
        <v>45.92</v>
      </c>
      <c r="CF93" s="2160">
        <f t="shared" si="166"/>
        <v>0</v>
      </c>
      <c r="CG93" s="2160">
        <f t="shared" si="166"/>
        <v>0</v>
      </c>
      <c r="CH93" s="2161">
        <f t="shared" si="166"/>
        <v>0</v>
      </c>
      <c r="CI93" s="2159">
        <f t="shared" ca="1" si="166"/>
        <v>45.92</v>
      </c>
      <c r="CJ93" s="2160">
        <f t="shared" si="166"/>
        <v>0</v>
      </c>
      <c r="CK93" s="2160">
        <f t="shared" si="166"/>
        <v>0</v>
      </c>
      <c r="CL93" s="2161">
        <f t="shared" si="166"/>
        <v>0</v>
      </c>
      <c r="CM93" s="2159">
        <f t="shared" ca="1" si="166"/>
        <v>45.92</v>
      </c>
      <c r="CN93" s="2160">
        <f t="shared" si="166"/>
        <v>0</v>
      </c>
      <c r="CO93" s="2160">
        <f t="shared" si="166"/>
        <v>0</v>
      </c>
      <c r="CP93" s="2161">
        <f t="shared" si="166"/>
        <v>0</v>
      </c>
      <c r="CQ93" s="2159">
        <f t="shared" ca="1" si="166"/>
        <v>45.92</v>
      </c>
      <c r="CR93" s="2160">
        <f t="shared" si="166"/>
        <v>0</v>
      </c>
      <c r="CS93" s="2160">
        <f t="shared" si="166"/>
        <v>0</v>
      </c>
      <c r="CT93" s="2161">
        <f t="shared" si="166"/>
        <v>0</v>
      </c>
      <c r="CU93" s="2159">
        <f t="shared" ca="1" si="166"/>
        <v>45.92</v>
      </c>
      <c r="CV93" s="2160">
        <f t="shared" si="166"/>
        <v>0</v>
      </c>
      <c r="CW93" s="2160">
        <f t="shared" si="166"/>
        <v>0</v>
      </c>
      <c r="CX93" s="2161">
        <f t="shared" si="166"/>
        <v>0</v>
      </c>
      <c r="CY93" s="2159">
        <f t="shared" ca="1" si="166"/>
        <v>45.92</v>
      </c>
      <c r="CZ93" s="2160">
        <f t="shared" si="166"/>
        <v>0</v>
      </c>
      <c r="DA93" s="2160">
        <f t="shared" si="166"/>
        <v>0</v>
      </c>
      <c r="DB93" s="2161">
        <f t="shared" si="166"/>
        <v>0</v>
      </c>
      <c r="DC93" s="2159">
        <f t="shared" ca="1" si="166"/>
        <v>45.92</v>
      </c>
      <c r="DD93" s="2160">
        <f t="shared" si="166"/>
        <v>0</v>
      </c>
      <c r="DE93" s="2160">
        <f t="shared" si="166"/>
        <v>0</v>
      </c>
      <c r="DF93" s="2161">
        <f t="shared" si="166"/>
        <v>0</v>
      </c>
      <c r="DG93" s="2159">
        <f t="shared" ca="1" si="166"/>
        <v>45.92</v>
      </c>
      <c r="DH93" s="2160">
        <f t="shared" si="166"/>
        <v>0</v>
      </c>
      <c r="DI93" s="2160">
        <f t="shared" si="166"/>
        <v>0</v>
      </c>
      <c r="DJ93" s="2161">
        <f t="shared" si="166"/>
        <v>0</v>
      </c>
      <c r="DK93" s="2159">
        <f t="shared" ca="1" si="166"/>
        <v>45.92</v>
      </c>
      <c r="DL93" s="2160">
        <f t="shared" si="166"/>
        <v>0</v>
      </c>
      <c r="DM93" s="2160">
        <f t="shared" si="166"/>
        <v>0</v>
      </c>
      <c r="DN93" s="2161">
        <f t="shared" si="166"/>
        <v>0</v>
      </c>
      <c r="DO93" s="2159">
        <f t="shared" ca="1" si="166"/>
        <v>45.92</v>
      </c>
      <c r="DP93" s="2160">
        <f t="shared" si="166"/>
        <v>0</v>
      </c>
      <c r="DQ93" s="2160">
        <f t="shared" si="166"/>
        <v>0</v>
      </c>
      <c r="DR93" s="2161">
        <f t="shared" si="166"/>
        <v>0</v>
      </c>
      <c r="DS93" s="2159">
        <f t="shared" ca="1" si="166"/>
        <v>45.92</v>
      </c>
      <c r="DT93" s="2160">
        <f t="shared" si="166"/>
        <v>0</v>
      </c>
      <c r="DU93" s="2160">
        <f t="shared" si="166"/>
        <v>0</v>
      </c>
      <c r="DV93" s="2161">
        <f t="shared" si="166"/>
        <v>0</v>
      </c>
      <c r="DW93" s="2159">
        <f t="shared" ca="1" si="166"/>
        <v>45.92</v>
      </c>
      <c r="DX93" s="2160">
        <f t="shared" si="166"/>
        <v>0</v>
      </c>
      <c r="DY93" s="2160">
        <f t="shared" si="166"/>
        <v>0</v>
      </c>
      <c r="DZ93" s="2161">
        <f t="shared" si="166"/>
        <v>0</v>
      </c>
      <c r="EA93" s="2159">
        <f t="shared" ca="1" si="166"/>
        <v>45.92</v>
      </c>
      <c r="EB93" s="2160">
        <f t="shared" si="166"/>
        <v>0</v>
      </c>
      <c r="EC93" s="2160">
        <f t="shared" si="166"/>
        <v>0</v>
      </c>
      <c r="ED93" s="2161">
        <f t="shared" si="166"/>
        <v>0</v>
      </c>
      <c r="EE93" s="2159">
        <f t="shared" ca="1" si="166"/>
        <v>45.92</v>
      </c>
      <c r="EF93" s="2160">
        <f t="shared" si="166"/>
        <v>0</v>
      </c>
      <c r="EG93" s="2160">
        <f t="shared" si="166"/>
        <v>0</v>
      </c>
      <c r="EH93" s="2161">
        <f t="shared" si="166"/>
        <v>0</v>
      </c>
      <c r="EI93" s="2159">
        <f t="shared" ca="1" si="166"/>
        <v>45.92</v>
      </c>
      <c r="EJ93" s="2160">
        <f t="shared" ref="EJ93:GD93" si="167">EJ63</f>
        <v>0</v>
      </c>
      <c r="EK93" s="2160">
        <f t="shared" si="167"/>
        <v>0</v>
      </c>
      <c r="EL93" s="2161">
        <f t="shared" si="167"/>
        <v>0</v>
      </c>
      <c r="EM93" s="2159">
        <f t="shared" ca="1" si="167"/>
        <v>45.92</v>
      </c>
      <c r="EN93" s="2160">
        <f t="shared" si="167"/>
        <v>0</v>
      </c>
      <c r="EO93" s="2160">
        <f t="shared" si="167"/>
        <v>0</v>
      </c>
      <c r="EP93" s="2161">
        <f t="shared" si="167"/>
        <v>0</v>
      </c>
      <c r="EQ93" s="2159">
        <f t="shared" ca="1" si="167"/>
        <v>45.92</v>
      </c>
      <c r="ER93" s="2160">
        <f t="shared" si="167"/>
        <v>0</v>
      </c>
      <c r="ES93" s="2160">
        <f t="shared" si="167"/>
        <v>0</v>
      </c>
      <c r="ET93" s="2161">
        <f t="shared" si="167"/>
        <v>0</v>
      </c>
      <c r="EU93" s="2159">
        <f t="shared" ca="1" si="167"/>
        <v>45.92</v>
      </c>
      <c r="EV93" s="2160">
        <f t="shared" si="167"/>
        <v>0</v>
      </c>
      <c r="EW93" s="2160">
        <f t="shared" si="167"/>
        <v>0</v>
      </c>
      <c r="EX93" s="2161">
        <f t="shared" si="167"/>
        <v>0</v>
      </c>
      <c r="EY93" s="2159">
        <f t="shared" ca="1" si="167"/>
        <v>45.92</v>
      </c>
      <c r="EZ93" s="2160">
        <f t="shared" si="167"/>
        <v>0</v>
      </c>
      <c r="FA93" s="2160">
        <f t="shared" si="167"/>
        <v>0</v>
      </c>
      <c r="FB93" s="2161">
        <f t="shared" si="167"/>
        <v>0</v>
      </c>
      <c r="FC93" s="2159">
        <f t="shared" ca="1" si="167"/>
        <v>45.92</v>
      </c>
      <c r="FD93" s="2160">
        <f t="shared" si="167"/>
        <v>0</v>
      </c>
      <c r="FE93" s="2160">
        <f t="shared" si="167"/>
        <v>0</v>
      </c>
      <c r="FF93" s="2161">
        <f t="shared" si="167"/>
        <v>0</v>
      </c>
      <c r="FG93" s="2159">
        <f t="shared" ca="1" si="167"/>
        <v>45.92</v>
      </c>
      <c r="FH93" s="2160">
        <f t="shared" si="167"/>
        <v>0</v>
      </c>
      <c r="FI93" s="2160">
        <f t="shared" si="167"/>
        <v>0</v>
      </c>
      <c r="FJ93" s="2161">
        <f t="shared" si="167"/>
        <v>0</v>
      </c>
      <c r="FK93" s="2159">
        <f t="shared" ca="1" si="167"/>
        <v>45.92</v>
      </c>
      <c r="FL93" s="2160">
        <f t="shared" si="167"/>
        <v>0</v>
      </c>
      <c r="FM93" s="2160">
        <f t="shared" si="167"/>
        <v>0</v>
      </c>
      <c r="FN93" s="2161">
        <f t="shared" si="167"/>
        <v>0</v>
      </c>
      <c r="FO93" s="2159">
        <f t="shared" ca="1" si="167"/>
        <v>0</v>
      </c>
      <c r="FP93" s="2160">
        <f t="shared" si="167"/>
        <v>0</v>
      </c>
      <c r="FQ93" s="2160">
        <f t="shared" si="167"/>
        <v>0</v>
      </c>
      <c r="FR93" s="2161">
        <f t="shared" si="167"/>
        <v>0</v>
      </c>
      <c r="FS93" s="2159">
        <f t="shared" ca="1" si="167"/>
        <v>0</v>
      </c>
      <c r="FT93" s="2160">
        <f t="shared" si="167"/>
        <v>0</v>
      </c>
      <c r="FU93" s="2160">
        <f t="shared" si="167"/>
        <v>0</v>
      </c>
      <c r="FV93" s="2161">
        <f t="shared" si="167"/>
        <v>0</v>
      </c>
      <c r="FW93" s="2159">
        <f t="shared" ca="1" si="167"/>
        <v>0</v>
      </c>
      <c r="FX93" s="2160">
        <f t="shared" si="167"/>
        <v>0</v>
      </c>
      <c r="FY93" s="2160">
        <f t="shared" si="167"/>
        <v>0</v>
      </c>
      <c r="FZ93" s="2161">
        <f t="shared" si="167"/>
        <v>0</v>
      </c>
      <c r="GA93" s="2159">
        <f t="shared" ca="1" si="167"/>
        <v>0</v>
      </c>
      <c r="GB93" s="2160">
        <f t="shared" si="167"/>
        <v>0</v>
      </c>
      <c r="GC93" s="2160">
        <f t="shared" si="167"/>
        <v>0</v>
      </c>
      <c r="GD93" s="2161">
        <f t="shared" si="167"/>
        <v>0</v>
      </c>
    </row>
    <row r="94" spans="1:186" ht="15" customHeight="1">
      <c r="B94" s="2085"/>
      <c r="C94" s="2145" t="s">
        <v>3786</v>
      </c>
      <c r="D94" s="2146"/>
      <c r="E94" s="2162"/>
      <c r="F94" s="2148">
        <f t="shared" ca="1" si="142"/>
        <v>0</v>
      </c>
      <c r="G94" s="2149">
        <f t="shared" ref="G94:BR94" ca="1" si="168">MIN(G86+G87,G93)</f>
        <v>0</v>
      </c>
      <c r="H94" s="2150">
        <f t="shared" ca="1" si="168"/>
        <v>0</v>
      </c>
      <c r="I94" s="2150">
        <f ca="1">MIN(I86+I87,I93)</f>
        <v>0</v>
      </c>
      <c r="J94" s="2151">
        <f t="shared" ca="1" si="168"/>
        <v>0</v>
      </c>
      <c r="K94" s="2149">
        <f t="shared" ca="1" si="168"/>
        <v>0</v>
      </c>
      <c r="L94" s="2150">
        <f t="shared" ca="1" si="168"/>
        <v>0</v>
      </c>
      <c r="M94" s="2150">
        <f t="shared" ca="1" si="168"/>
        <v>0</v>
      </c>
      <c r="N94" s="2151">
        <f t="shared" ca="1" si="168"/>
        <v>0</v>
      </c>
      <c r="O94" s="2149">
        <f t="shared" ca="1" si="168"/>
        <v>0</v>
      </c>
      <c r="P94" s="2150">
        <f t="shared" ca="1" si="168"/>
        <v>0</v>
      </c>
      <c r="Q94" s="2150">
        <f t="shared" ca="1" si="168"/>
        <v>0</v>
      </c>
      <c r="R94" s="2151">
        <f t="shared" ca="1" si="168"/>
        <v>0</v>
      </c>
      <c r="S94" s="2149">
        <f t="shared" ca="1" si="168"/>
        <v>0</v>
      </c>
      <c r="T94" s="2150">
        <f t="shared" ca="1" si="168"/>
        <v>0</v>
      </c>
      <c r="U94" s="2150">
        <f t="shared" ca="1" si="168"/>
        <v>0</v>
      </c>
      <c r="V94" s="2151">
        <f t="shared" ca="1" si="168"/>
        <v>0</v>
      </c>
      <c r="W94" s="2149">
        <f t="shared" ca="1" si="168"/>
        <v>0</v>
      </c>
      <c r="X94" s="2150">
        <f t="shared" ca="1" si="168"/>
        <v>0</v>
      </c>
      <c r="Y94" s="2150">
        <f t="shared" ca="1" si="168"/>
        <v>0</v>
      </c>
      <c r="Z94" s="2151">
        <f t="shared" ca="1" si="168"/>
        <v>0</v>
      </c>
      <c r="AA94" s="2149">
        <f t="shared" ca="1" si="168"/>
        <v>0</v>
      </c>
      <c r="AB94" s="2150">
        <f t="shared" ca="1" si="168"/>
        <v>0</v>
      </c>
      <c r="AC94" s="2150">
        <f t="shared" ca="1" si="168"/>
        <v>0</v>
      </c>
      <c r="AD94" s="2151">
        <f t="shared" ca="1" si="168"/>
        <v>0</v>
      </c>
      <c r="AE94" s="2149">
        <f t="shared" ca="1" si="168"/>
        <v>0</v>
      </c>
      <c r="AF94" s="2150">
        <f t="shared" ca="1" si="168"/>
        <v>0</v>
      </c>
      <c r="AG94" s="2150">
        <f t="shared" ca="1" si="168"/>
        <v>0</v>
      </c>
      <c r="AH94" s="2151">
        <f t="shared" ca="1" si="168"/>
        <v>0</v>
      </c>
      <c r="AI94" s="2149">
        <f t="shared" ca="1" si="168"/>
        <v>0</v>
      </c>
      <c r="AJ94" s="2150">
        <f t="shared" ca="1" si="168"/>
        <v>0</v>
      </c>
      <c r="AK94" s="2150">
        <f t="shared" ca="1" si="168"/>
        <v>0</v>
      </c>
      <c r="AL94" s="2151">
        <f t="shared" ca="1" si="168"/>
        <v>0</v>
      </c>
      <c r="AM94" s="2149">
        <f t="shared" ca="1" si="168"/>
        <v>0</v>
      </c>
      <c r="AN94" s="2150">
        <f t="shared" ca="1" si="168"/>
        <v>0</v>
      </c>
      <c r="AO94" s="2150">
        <f t="shared" ca="1" si="168"/>
        <v>0</v>
      </c>
      <c r="AP94" s="2151">
        <f t="shared" ca="1" si="168"/>
        <v>0</v>
      </c>
      <c r="AQ94" s="2149">
        <f t="shared" ca="1" si="168"/>
        <v>0</v>
      </c>
      <c r="AR94" s="2150">
        <f t="shared" ca="1" si="168"/>
        <v>0</v>
      </c>
      <c r="AS94" s="2150">
        <f t="shared" ca="1" si="168"/>
        <v>0</v>
      </c>
      <c r="AT94" s="2151">
        <f t="shared" ca="1" si="168"/>
        <v>0</v>
      </c>
      <c r="AU94" s="2149">
        <f t="shared" ca="1" si="168"/>
        <v>0</v>
      </c>
      <c r="AV94" s="2150">
        <f t="shared" ca="1" si="168"/>
        <v>0</v>
      </c>
      <c r="AW94" s="2150">
        <f t="shared" ca="1" si="168"/>
        <v>0</v>
      </c>
      <c r="AX94" s="2151">
        <f t="shared" ca="1" si="168"/>
        <v>0</v>
      </c>
      <c r="AY94" s="2149">
        <f t="shared" ca="1" si="168"/>
        <v>0</v>
      </c>
      <c r="AZ94" s="2150">
        <f t="shared" ca="1" si="168"/>
        <v>0</v>
      </c>
      <c r="BA94" s="2150">
        <f t="shared" ca="1" si="168"/>
        <v>0</v>
      </c>
      <c r="BB94" s="2151">
        <f t="shared" ca="1" si="168"/>
        <v>0</v>
      </c>
      <c r="BC94" s="2149">
        <f t="shared" ca="1" si="168"/>
        <v>0</v>
      </c>
      <c r="BD94" s="2150">
        <f t="shared" ca="1" si="168"/>
        <v>0</v>
      </c>
      <c r="BE94" s="2150">
        <f t="shared" ca="1" si="168"/>
        <v>0</v>
      </c>
      <c r="BF94" s="2151">
        <f t="shared" ca="1" si="168"/>
        <v>0</v>
      </c>
      <c r="BG94" s="2149">
        <f t="shared" ca="1" si="168"/>
        <v>0</v>
      </c>
      <c r="BH94" s="2150">
        <f t="shared" ca="1" si="168"/>
        <v>0</v>
      </c>
      <c r="BI94" s="2150">
        <f t="shared" ca="1" si="168"/>
        <v>0</v>
      </c>
      <c r="BJ94" s="2151">
        <f t="shared" ca="1" si="168"/>
        <v>0</v>
      </c>
      <c r="BK94" s="2149">
        <f t="shared" ca="1" si="168"/>
        <v>0</v>
      </c>
      <c r="BL94" s="2150">
        <f t="shared" ca="1" si="168"/>
        <v>0</v>
      </c>
      <c r="BM94" s="2150">
        <f t="shared" ca="1" si="168"/>
        <v>0</v>
      </c>
      <c r="BN94" s="2151">
        <f t="shared" ca="1" si="168"/>
        <v>0</v>
      </c>
      <c r="BO94" s="2149">
        <f t="shared" ca="1" si="168"/>
        <v>0</v>
      </c>
      <c r="BP94" s="2150">
        <f t="shared" ca="1" si="168"/>
        <v>0</v>
      </c>
      <c r="BQ94" s="2150">
        <f t="shared" ca="1" si="168"/>
        <v>0</v>
      </c>
      <c r="BR94" s="2151">
        <f t="shared" ca="1" si="168"/>
        <v>0</v>
      </c>
      <c r="BS94" s="2149">
        <f t="shared" ref="BS94:ED94" ca="1" si="169">MIN(BS86+BS87,BS93)</f>
        <v>0</v>
      </c>
      <c r="BT94" s="2150">
        <f t="shared" ca="1" si="169"/>
        <v>0</v>
      </c>
      <c r="BU94" s="2150">
        <f t="shared" ca="1" si="169"/>
        <v>0</v>
      </c>
      <c r="BV94" s="2151">
        <f t="shared" ca="1" si="169"/>
        <v>0</v>
      </c>
      <c r="BW94" s="2149">
        <f t="shared" ca="1" si="169"/>
        <v>0</v>
      </c>
      <c r="BX94" s="2150">
        <f t="shared" ca="1" si="169"/>
        <v>0</v>
      </c>
      <c r="BY94" s="2150">
        <f t="shared" ca="1" si="169"/>
        <v>0</v>
      </c>
      <c r="BZ94" s="2151">
        <f t="shared" ca="1" si="169"/>
        <v>0</v>
      </c>
      <c r="CA94" s="2149">
        <f t="shared" ca="1" si="169"/>
        <v>0</v>
      </c>
      <c r="CB94" s="2150">
        <f t="shared" ca="1" si="169"/>
        <v>0</v>
      </c>
      <c r="CC94" s="2150">
        <f t="shared" ca="1" si="169"/>
        <v>0</v>
      </c>
      <c r="CD94" s="2151">
        <f t="shared" ca="1" si="169"/>
        <v>0</v>
      </c>
      <c r="CE94" s="2149">
        <f t="shared" ca="1" si="169"/>
        <v>0</v>
      </c>
      <c r="CF94" s="2150">
        <f t="shared" ca="1" si="169"/>
        <v>0</v>
      </c>
      <c r="CG94" s="2150">
        <f t="shared" ca="1" si="169"/>
        <v>0</v>
      </c>
      <c r="CH94" s="2151">
        <f t="shared" ca="1" si="169"/>
        <v>0</v>
      </c>
      <c r="CI94" s="2149">
        <f t="shared" ca="1" si="169"/>
        <v>0</v>
      </c>
      <c r="CJ94" s="2150">
        <f t="shared" ca="1" si="169"/>
        <v>0</v>
      </c>
      <c r="CK94" s="2150">
        <f t="shared" ca="1" si="169"/>
        <v>0</v>
      </c>
      <c r="CL94" s="2151">
        <f t="shared" ca="1" si="169"/>
        <v>0</v>
      </c>
      <c r="CM94" s="2149">
        <f t="shared" ca="1" si="169"/>
        <v>0</v>
      </c>
      <c r="CN94" s="2150">
        <f t="shared" ca="1" si="169"/>
        <v>0</v>
      </c>
      <c r="CO94" s="2150">
        <f t="shared" ca="1" si="169"/>
        <v>0</v>
      </c>
      <c r="CP94" s="2151">
        <f t="shared" ca="1" si="169"/>
        <v>0</v>
      </c>
      <c r="CQ94" s="2149">
        <f t="shared" ca="1" si="169"/>
        <v>0</v>
      </c>
      <c r="CR94" s="2150">
        <f t="shared" ca="1" si="169"/>
        <v>0</v>
      </c>
      <c r="CS94" s="2150">
        <f t="shared" ca="1" si="169"/>
        <v>0</v>
      </c>
      <c r="CT94" s="2151">
        <f t="shared" ca="1" si="169"/>
        <v>0</v>
      </c>
      <c r="CU94" s="2149">
        <f t="shared" ca="1" si="169"/>
        <v>0</v>
      </c>
      <c r="CV94" s="2150">
        <f t="shared" ca="1" si="169"/>
        <v>0</v>
      </c>
      <c r="CW94" s="2150">
        <f t="shared" ca="1" si="169"/>
        <v>0</v>
      </c>
      <c r="CX94" s="2151">
        <f t="shared" ca="1" si="169"/>
        <v>0</v>
      </c>
      <c r="CY94" s="2149">
        <f t="shared" ca="1" si="169"/>
        <v>0</v>
      </c>
      <c r="CZ94" s="2150">
        <f t="shared" ca="1" si="169"/>
        <v>0</v>
      </c>
      <c r="DA94" s="2150">
        <f t="shared" ca="1" si="169"/>
        <v>0</v>
      </c>
      <c r="DB94" s="2151">
        <f t="shared" ca="1" si="169"/>
        <v>0</v>
      </c>
      <c r="DC94" s="2149">
        <f t="shared" ca="1" si="169"/>
        <v>0</v>
      </c>
      <c r="DD94" s="2150">
        <f t="shared" ca="1" si="169"/>
        <v>0</v>
      </c>
      <c r="DE94" s="2150">
        <f t="shared" ca="1" si="169"/>
        <v>0</v>
      </c>
      <c r="DF94" s="2151">
        <f t="shared" ca="1" si="169"/>
        <v>0</v>
      </c>
      <c r="DG94" s="2149">
        <f t="shared" ca="1" si="169"/>
        <v>0</v>
      </c>
      <c r="DH94" s="2150">
        <f t="shared" ca="1" si="169"/>
        <v>0</v>
      </c>
      <c r="DI94" s="2150">
        <f t="shared" ca="1" si="169"/>
        <v>0</v>
      </c>
      <c r="DJ94" s="2151">
        <f t="shared" ca="1" si="169"/>
        <v>0</v>
      </c>
      <c r="DK94" s="2149">
        <f t="shared" ca="1" si="169"/>
        <v>0</v>
      </c>
      <c r="DL94" s="2150">
        <f t="shared" ca="1" si="169"/>
        <v>0</v>
      </c>
      <c r="DM94" s="2150">
        <f t="shared" ca="1" si="169"/>
        <v>0</v>
      </c>
      <c r="DN94" s="2151">
        <f t="shared" ca="1" si="169"/>
        <v>0</v>
      </c>
      <c r="DO94" s="2149">
        <f t="shared" ca="1" si="169"/>
        <v>0</v>
      </c>
      <c r="DP94" s="2150">
        <f t="shared" ca="1" si="169"/>
        <v>0</v>
      </c>
      <c r="DQ94" s="2150">
        <f t="shared" ca="1" si="169"/>
        <v>0</v>
      </c>
      <c r="DR94" s="2151">
        <f t="shared" ca="1" si="169"/>
        <v>0</v>
      </c>
      <c r="DS94" s="2149">
        <f t="shared" ca="1" si="169"/>
        <v>0</v>
      </c>
      <c r="DT94" s="2150">
        <f t="shared" ca="1" si="169"/>
        <v>0</v>
      </c>
      <c r="DU94" s="2150">
        <f t="shared" ca="1" si="169"/>
        <v>0</v>
      </c>
      <c r="DV94" s="2151">
        <f t="shared" ca="1" si="169"/>
        <v>0</v>
      </c>
      <c r="DW94" s="2149">
        <f t="shared" ca="1" si="169"/>
        <v>0</v>
      </c>
      <c r="DX94" s="2150">
        <f t="shared" ca="1" si="169"/>
        <v>0</v>
      </c>
      <c r="DY94" s="2150">
        <f t="shared" ca="1" si="169"/>
        <v>0</v>
      </c>
      <c r="DZ94" s="2151">
        <f t="shared" ca="1" si="169"/>
        <v>0</v>
      </c>
      <c r="EA94" s="2149">
        <f t="shared" ca="1" si="169"/>
        <v>0</v>
      </c>
      <c r="EB94" s="2150">
        <f t="shared" ca="1" si="169"/>
        <v>0</v>
      </c>
      <c r="EC94" s="2150">
        <f t="shared" ca="1" si="169"/>
        <v>0</v>
      </c>
      <c r="ED94" s="2151">
        <f t="shared" ca="1" si="169"/>
        <v>0</v>
      </c>
      <c r="EE94" s="2149">
        <f t="shared" ref="EE94:EL94" ca="1" si="170">MIN(EE86+EE87,EE93)</f>
        <v>0</v>
      </c>
      <c r="EF94" s="2150">
        <f t="shared" ca="1" si="170"/>
        <v>0</v>
      </c>
      <c r="EG94" s="2150">
        <f t="shared" ca="1" si="170"/>
        <v>0</v>
      </c>
      <c r="EH94" s="2151">
        <f t="shared" ca="1" si="170"/>
        <v>0</v>
      </c>
      <c r="EI94" s="2149">
        <f t="shared" ca="1" si="170"/>
        <v>0</v>
      </c>
      <c r="EJ94" s="2150">
        <f t="shared" ca="1" si="170"/>
        <v>0</v>
      </c>
      <c r="EK94" s="2150">
        <f t="shared" ca="1" si="170"/>
        <v>0</v>
      </c>
      <c r="EL94" s="2151">
        <f t="shared" ca="1" si="170"/>
        <v>0</v>
      </c>
      <c r="EM94" s="2149">
        <f ca="1">MIN(EM86+EM87,EM93)</f>
        <v>0</v>
      </c>
      <c r="EN94" s="2150">
        <f t="shared" ref="EN94:GD94" ca="1" si="171">MIN(EN86+EN87,EN93)</f>
        <v>0</v>
      </c>
      <c r="EO94" s="2150">
        <f t="shared" ca="1" si="171"/>
        <v>0</v>
      </c>
      <c r="EP94" s="2151">
        <f t="shared" ca="1" si="171"/>
        <v>0</v>
      </c>
      <c r="EQ94" s="2149">
        <f t="shared" ca="1" si="171"/>
        <v>0</v>
      </c>
      <c r="ER94" s="2150">
        <f t="shared" ca="1" si="171"/>
        <v>0</v>
      </c>
      <c r="ES94" s="2150">
        <f t="shared" ca="1" si="171"/>
        <v>0</v>
      </c>
      <c r="ET94" s="2151">
        <f t="shared" ca="1" si="171"/>
        <v>0</v>
      </c>
      <c r="EU94" s="2149">
        <f t="shared" ca="1" si="171"/>
        <v>0</v>
      </c>
      <c r="EV94" s="2150">
        <f t="shared" ca="1" si="171"/>
        <v>0</v>
      </c>
      <c r="EW94" s="2150">
        <f t="shared" ca="1" si="171"/>
        <v>0</v>
      </c>
      <c r="EX94" s="2151">
        <f t="shared" ca="1" si="171"/>
        <v>0</v>
      </c>
      <c r="EY94" s="2149">
        <f t="shared" ca="1" si="171"/>
        <v>0</v>
      </c>
      <c r="EZ94" s="2150">
        <f t="shared" ca="1" si="171"/>
        <v>0</v>
      </c>
      <c r="FA94" s="2150">
        <f t="shared" ca="1" si="171"/>
        <v>0</v>
      </c>
      <c r="FB94" s="2151">
        <f t="shared" ca="1" si="171"/>
        <v>0</v>
      </c>
      <c r="FC94" s="2149">
        <f t="shared" ca="1" si="171"/>
        <v>0</v>
      </c>
      <c r="FD94" s="2150">
        <f t="shared" ca="1" si="171"/>
        <v>0</v>
      </c>
      <c r="FE94" s="2150">
        <f t="shared" ca="1" si="171"/>
        <v>0</v>
      </c>
      <c r="FF94" s="2151">
        <f t="shared" ca="1" si="171"/>
        <v>0</v>
      </c>
      <c r="FG94" s="2149">
        <f t="shared" ca="1" si="171"/>
        <v>0</v>
      </c>
      <c r="FH94" s="2150">
        <f t="shared" ca="1" si="171"/>
        <v>0</v>
      </c>
      <c r="FI94" s="2150">
        <f t="shared" ca="1" si="171"/>
        <v>0</v>
      </c>
      <c r="FJ94" s="2151">
        <f t="shared" ca="1" si="171"/>
        <v>0</v>
      </c>
      <c r="FK94" s="2149">
        <f t="shared" ca="1" si="171"/>
        <v>0</v>
      </c>
      <c r="FL94" s="2150">
        <f ca="1">MIN(FL86+FL87,FL52)</f>
        <v>0</v>
      </c>
      <c r="FM94" s="2150">
        <f t="shared" ca="1" si="171"/>
        <v>0</v>
      </c>
      <c r="FN94" s="2151">
        <f t="shared" ca="1" si="171"/>
        <v>0</v>
      </c>
      <c r="FO94" s="2149">
        <f t="shared" ca="1" si="171"/>
        <v>0</v>
      </c>
      <c r="FP94" s="2150">
        <f t="shared" ca="1" si="171"/>
        <v>0</v>
      </c>
      <c r="FQ94" s="2150">
        <f t="shared" ca="1" si="171"/>
        <v>0</v>
      </c>
      <c r="FR94" s="2151">
        <f t="shared" ca="1" si="171"/>
        <v>0</v>
      </c>
      <c r="FS94" s="2149">
        <f t="shared" ca="1" si="171"/>
        <v>0</v>
      </c>
      <c r="FT94" s="2150">
        <f t="shared" ca="1" si="171"/>
        <v>0</v>
      </c>
      <c r="FU94" s="2150">
        <f t="shared" ca="1" si="171"/>
        <v>0</v>
      </c>
      <c r="FV94" s="2151">
        <f t="shared" ca="1" si="171"/>
        <v>0</v>
      </c>
      <c r="FW94" s="2149">
        <f t="shared" ca="1" si="171"/>
        <v>0</v>
      </c>
      <c r="FX94" s="2150">
        <f t="shared" ca="1" si="171"/>
        <v>0</v>
      </c>
      <c r="FY94" s="2150">
        <f t="shared" ca="1" si="171"/>
        <v>0</v>
      </c>
      <c r="FZ94" s="2151">
        <f t="shared" ca="1" si="171"/>
        <v>0</v>
      </c>
      <c r="GA94" s="2149">
        <f t="shared" ca="1" si="171"/>
        <v>0</v>
      </c>
      <c r="GB94" s="2150">
        <f t="shared" ca="1" si="171"/>
        <v>0</v>
      </c>
      <c r="GC94" s="2150">
        <f t="shared" ca="1" si="171"/>
        <v>0</v>
      </c>
      <c r="GD94" s="2151">
        <f t="shared" ca="1" si="171"/>
        <v>0</v>
      </c>
    </row>
    <row r="95" spans="1:186" ht="15" customHeight="1">
      <c r="B95" s="2064"/>
      <c r="C95" s="2064"/>
      <c r="D95" s="2064"/>
      <c r="E95" s="469">
        <f ca="1">ROUND(MAX(G89:GD89),2)</f>
        <v>0</v>
      </c>
      <c r="G95" s="2064"/>
      <c r="H95" s="2064"/>
      <c r="I95" s="2064"/>
      <c r="J95" s="2064"/>
      <c r="K95" s="2064"/>
      <c r="L95" s="2064"/>
      <c r="M95" s="2064"/>
      <c r="N95" s="2064"/>
      <c r="O95" s="2064"/>
      <c r="P95" s="2064"/>
      <c r="Q95" s="2064"/>
      <c r="R95" s="2064"/>
      <c r="S95" s="2064"/>
      <c r="T95" s="2064"/>
      <c r="U95" s="2064"/>
      <c r="V95" s="2064"/>
      <c r="W95" s="2064"/>
      <c r="X95" s="2064"/>
      <c r="Y95" s="2064"/>
      <c r="Z95" s="2064"/>
      <c r="AA95" s="2064"/>
      <c r="AB95" s="2064"/>
      <c r="AC95" s="2064"/>
      <c r="AD95" s="2064"/>
      <c r="AE95" s="2064"/>
      <c r="AF95" s="2064"/>
      <c r="AG95" s="450"/>
      <c r="AH95" s="450"/>
      <c r="AI95" s="450"/>
      <c r="AJ95" s="450"/>
      <c r="AK95" s="450"/>
      <c r="AL95" s="450"/>
      <c r="AM95" s="450"/>
      <c r="AN95" s="450"/>
      <c r="AO95" s="450"/>
      <c r="AP95" s="450"/>
      <c r="AQ95" s="450"/>
      <c r="AR95" s="450"/>
      <c r="AS95" s="450"/>
      <c r="AT95" s="450"/>
      <c r="AU95" s="450"/>
      <c r="AV95" s="450"/>
      <c r="AW95" s="450"/>
      <c r="AX95" s="450"/>
      <c r="AY95" s="450"/>
      <c r="AZ95" s="450"/>
      <c r="BA95" s="450"/>
      <c r="BB95" s="450"/>
      <c r="BC95" s="450"/>
      <c r="BD95" s="450"/>
      <c r="BE95" s="450"/>
      <c r="BF95" s="450"/>
      <c r="BG95" s="450"/>
      <c r="BH95" s="450"/>
      <c r="BI95" s="450"/>
      <c r="BJ95" s="450"/>
      <c r="BK95" s="450"/>
      <c r="BL95" s="450"/>
      <c r="BM95" s="450"/>
      <c r="BN95" s="450"/>
      <c r="BO95" s="450"/>
      <c r="BP95" s="450"/>
      <c r="BQ95" s="450"/>
      <c r="BR95" s="450"/>
      <c r="BS95" s="450"/>
      <c r="BT95" s="450"/>
      <c r="BU95" s="450"/>
      <c r="BV95" s="450"/>
      <c r="BW95" s="450"/>
      <c r="BX95" s="450"/>
      <c r="BY95" s="450"/>
      <c r="BZ95" s="450"/>
      <c r="CA95" s="450"/>
      <c r="CB95" s="450"/>
      <c r="CC95" s="450"/>
      <c r="CD95" s="450"/>
      <c r="CE95" s="450"/>
      <c r="CF95" s="450"/>
      <c r="CG95" s="450"/>
      <c r="CH95" s="450"/>
      <c r="CI95" s="450"/>
      <c r="CJ95" s="450"/>
      <c r="CK95" s="450"/>
      <c r="CL95" s="450"/>
      <c r="CM95" s="450"/>
      <c r="CN95" s="450"/>
      <c r="CO95" s="450"/>
      <c r="CP95" s="450"/>
      <c r="CQ95" s="450"/>
      <c r="CR95" s="450"/>
      <c r="CS95" s="450"/>
      <c r="CT95" s="450"/>
      <c r="CU95" s="450"/>
      <c r="CV95" s="450"/>
      <c r="CW95" s="450"/>
      <c r="CX95" s="450"/>
      <c r="CY95" s="450"/>
      <c r="CZ95" s="450"/>
      <c r="DA95" s="450"/>
      <c r="DB95" s="450"/>
      <c r="DC95" s="450"/>
      <c r="DD95" s="450"/>
      <c r="DE95" s="450"/>
      <c r="DF95" s="450"/>
      <c r="DG95" s="450"/>
      <c r="DH95" s="450"/>
      <c r="DI95" s="450"/>
      <c r="DJ95" s="450"/>
      <c r="DK95" s="450"/>
      <c r="DL95" s="450"/>
      <c r="DM95" s="450"/>
      <c r="DN95" s="450"/>
      <c r="DO95" s="450"/>
      <c r="DP95" s="450"/>
      <c r="DQ95" s="450"/>
      <c r="DR95" s="450"/>
      <c r="DS95" s="450"/>
      <c r="DT95" s="450"/>
      <c r="DU95" s="450"/>
      <c r="DV95" s="450"/>
      <c r="DW95" s="450"/>
      <c r="DX95" s="450"/>
      <c r="DY95" s="450"/>
      <c r="DZ95" s="450"/>
      <c r="EA95" s="450"/>
      <c r="EB95" s="450"/>
      <c r="EC95" s="450"/>
      <c r="ED95" s="450"/>
      <c r="EE95" s="450"/>
      <c r="EF95" s="450"/>
      <c r="EG95" s="450"/>
      <c r="EH95" s="450"/>
      <c r="EI95" s="450"/>
      <c r="EJ95" s="450"/>
      <c r="EK95" s="450"/>
      <c r="EL95" s="450"/>
      <c r="EM95" s="450"/>
      <c r="EN95" s="450"/>
      <c r="EO95" s="450"/>
      <c r="EP95" s="450"/>
      <c r="EQ95" s="450"/>
      <c r="ER95" s="450"/>
      <c r="ES95" s="450"/>
      <c r="ET95" s="450"/>
      <c r="EU95" s="450"/>
      <c r="EV95" s="450"/>
      <c r="EW95" s="450"/>
      <c r="EX95" s="450"/>
      <c r="EY95" s="450"/>
      <c r="EZ95" s="450"/>
      <c r="FA95" s="450"/>
      <c r="FB95" s="450"/>
      <c r="FC95" s="450"/>
      <c r="FD95" s="450"/>
      <c r="FE95" s="450"/>
      <c r="FF95" s="450"/>
      <c r="FG95" s="450"/>
      <c r="FH95" s="450"/>
      <c r="FI95" s="450"/>
      <c r="FJ95" s="450"/>
      <c r="FK95" s="450"/>
      <c r="FL95" s="450"/>
      <c r="FM95" s="450"/>
      <c r="FN95" s="450"/>
      <c r="FO95" s="450"/>
      <c r="FP95" s="450"/>
      <c r="FQ95" s="450"/>
      <c r="FR95" s="450"/>
      <c r="FS95" s="450"/>
      <c r="FT95" s="450"/>
      <c r="FU95" s="450"/>
      <c r="FV95" s="450"/>
      <c r="FW95" s="450"/>
      <c r="FX95" s="450"/>
      <c r="FY95" s="450"/>
      <c r="FZ95" s="450"/>
      <c r="GA95" s="450"/>
      <c r="GB95" s="450"/>
      <c r="GC95" s="450"/>
      <c r="GD95" s="450"/>
    </row>
    <row r="96" spans="1:186" ht="15" customHeight="1">
      <c r="B96" s="2064"/>
      <c r="C96" s="2064"/>
      <c r="D96" s="2064"/>
      <c r="E96" s="476"/>
      <c r="F96" s="2166">
        <f t="shared" ref="F96:F98" ca="1" si="172">SUM(G96:GD96)</f>
        <v>43646</v>
      </c>
      <c r="G96" s="2064"/>
      <c r="H96" s="2064">
        <f ca="1">H81*(ROUND(H89,2)=$E$95)*(SUM($G96:G96)&lt;0.00001)</f>
        <v>43646</v>
      </c>
      <c r="I96" s="2064">
        <f ca="1">I81*(ROUND(I89,2)=$E$95)*(SUM($G96:H96)&lt;0.00001)</f>
        <v>0</v>
      </c>
      <c r="J96" s="2064">
        <f ca="1">J81*(ROUND(J89,2)=$E$95)*(SUM($G96:I96)&lt;0.00001)</f>
        <v>0</v>
      </c>
      <c r="K96" s="2064">
        <f ca="1">K81*(ROUND(K89,2)=$E$95)*(SUM($G96:J96)&lt;0.00001)</f>
        <v>0</v>
      </c>
      <c r="L96" s="2064">
        <f ca="1">L81*(ROUND(L89,2)=$E$95)*(SUM($G96:K96)&lt;0.00001)</f>
        <v>0</v>
      </c>
      <c r="M96" s="2064">
        <f ca="1">M81*(ROUND(M89,2)=$E$95)*(SUM($G96:L96)&lt;0.00001)</f>
        <v>0</v>
      </c>
      <c r="N96" s="2064">
        <f ca="1">N81*(ROUND(N89,2)=$E$95)*(SUM($G96:M96)&lt;0.00001)</f>
        <v>0</v>
      </c>
      <c r="O96" s="2064">
        <f ca="1">O81*(ROUND(O89,2)=$E$95)*(SUM($G96:N96)&lt;0.00001)</f>
        <v>0</v>
      </c>
      <c r="P96" s="2064">
        <f ca="1">P81*(ROUND(P89,2)=$E$95)*(SUM($G96:O96)&lt;0.00001)</f>
        <v>0</v>
      </c>
      <c r="Q96" s="2064">
        <f ca="1">Q81*(ROUND(Q89,2)=$E$95)*(SUM($G96:P96)&lt;0.00001)</f>
        <v>0</v>
      </c>
      <c r="R96" s="2064">
        <f ca="1">R81*(ROUND(R89,2)=$E$95)*(SUM($G96:Q96)&lt;0.00001)</f>
        <v>0</v>
      </c>
      <c r="S96" s="2064">
        <f ca="1">S81*(ROUND(S89,2)=$E$95)*(SUM($G96:R96)&lt;0.00001)</f>
        <v>0</v>
      </c>
      <c r="T96" s="2064">
        <f ca="1">T81*(ROUND(T89,2)=$E$95)*(SUM($G96:S96)&lt;0.00001)</f>
        <v>0</v>
      </c>
      <c r="U96" s="2064">
        <f ca="1">U81*(ROUND(U89,2)=$E$95)*(SUM($G96:T96)&lt;0.00001)</f>
        <v>0</v>
      </c>
      <c r="V96" s="2064">
        <f ca="1">V81*(ROUND(V89,2)=$E$95)*(SUM($G96:U96)&lt;0.00001)</f>
        <v>0</v>
      </c>
      <c r="W96" s="2064">
        <f ca="1">W81*(ROUND(W89,2)=$E$95)*(SUM($G96:V96)&lt;0.00001)</f>
        <v>0</v>
      </c>
      <c r="X96" s="2064">
        <f ca="1">X81*(ROUND(X89,2)=$E$95)*(SUM($G96:W96)&lt;0.00001)</f>
        <v>0</v>
      </c>
      <c r="Y96" s="2064">
        <f ca="1">Y81*(ROUND(Y89,2)=$E$95)*(SUM($G96:X96)&lt;0.00001)</f>
        <v>0</v>
      </c>
      <c r="Z96" s="2064">
        <f ca="1">Z81*(ROUND(Z89,2)=$E$95)*(SUM($G96:Y96)&lt;0.00001)</f>
        <v>0</v>
      </c>
      <c r="AA96" s="2064">
        <f ca="1">AA81*(ROUND(AA89,2)=$E$95)*(SUM($G96:Z96)&lt;0.00001)</f>
        <v>0</v>
      </c>
      <c r="AB96" s="2064">
        <f ca="1">AB81*(ROUND(AB89,2)=$E$95)*(SUM($G96:AA96)&lt;0.00001)</f>
        <v>0</v>
      </c>
      <c r="AC96" s="2064">
        <f ca="1">AC81*(ROUND(AC89,2)=$E$95)*(SUM($G96:AB96)&lt;0.00001)</f>
        <v>0</v>
      </c>
      <c r="AD96" s="2064">
        <f ca="1">AD81*(ROUND(AD89,2)=$E$95)*(SUM($G96:AC96)&lt;0.00001)</f>
        <v>0</v>
      </c>
      <c r="AE96" s="2064">
        <f ca="1">AE81*(ROUND(AE89,2)=$E$95)*(SUM($G96:AD96)&lt;0.00001)</f>
        <v>0</v>
      </c>
      <c r="AF96" s="2064">
        <f ca="1">AF81*(ROUND(AF89,2)=$E$95)*(SUM($G96:AE96)&lt;0.00001)</f>
        <v>0</v>
      </c>
      <c r="AG96" s="450">
        <f ca="1">AG81*(ROUND(AG89,2)=$E$95)*(SUM($G96:AF96)&lt;0.00001)</f>
        <v>0</v>
      </c>
      <c r="AH96" s="450">
        <f ca="1">AH81*(ROUND(AH89,2)=$E$95)*(SUM($G96:AG96)&lt;0.00001)</f>
        <v>0</v>
      </c>
      <c r="AI96" s="450">
        <f ca="1">AI81*(ROUND(AI89,2)=$E$95)*(SUM($G96:AH96)&lt;0.00001)</f>
        <v>0</v>
      </c>
      <c r="AJ96" s="450">
        <f ca="1">AJ81*(ROUND(AJ89,2)=$E$95)*(SUM($G96:AI96)&lt;0.00001)</f>
        <v>0</v>
      </c>
      <c r="AK96" s="450">
        <f ca="1">AK81*(ROUND(AK89,2)=$E$95)*(SUM($G96:AJ96)&lt;0.00001)</f>
        <v>0</v>
      </c>
      <c r="AL96" s="450">
        <f ca="1">AL81*(ROUND(AL89,2)=$E$95)*(SUM($G96:AK96)&lt;0.00001)</f>
        <v>0</v>
      </c>
      <c r="AM96" s="450">
        <f ca="1">AM81*(ROUND(AM89,2)=$E$95)*(SUM($G96:AL96)&lt;0.00001)</f>
        <v>0</v>
      </c>
      <c r="AN96" s="450">
        <f ca="1">AN81*(ROUND(AN89,2)=$E$95)*(SUM($G96:AM96)&lt;0.00001)</f>
        <v>0</v>
      </c>
      <c r="AO96" s="450">
        <f ca="1">AO81*(ROUND(AO89,2)=$E$95)*(SUM($G96:AN96)&lt;0.00001)</f>
        <v>0</v>
      </c>
      <c r="AP96" s="450">
        <f ca="1">AP81*(ROUND(AP89,2)=$E$95)*(SUM($G96:AO96)&lt;0.00001)</f>
        <v>0</v>
      </c>
      <c r="AQ96" s="450">
        <f ca="1">AQ81*(ROUND(AQ89,2)=$E$95)*(SUM($G96:AP96)&lt;0.00001)</f>
        <v>0</v>
      </c>
      <c r="AR96" s="450">
        <f ca="1">AR81*(ROUND(AR89,2)=$E$95)*(SUM($G96:AQ96)&lt;0.00001)</f>
        <v>0</v>
      </c>
      <c r="AS96" s="450">
        <f ca="1">AS81*(ROUND(AS89,2)=$E$95)*(SUM($G96:AR96)&lt;0.00001)</f>
        <v>0</v>
      </c>
      <c r="AT96" s="450">
        <f ca="1">AT81*(ROUND(AT89,2)=$E$95)*(SUM($G96:AS96)&lt;0.00001)</f>
        <v>0</v>
      </c>
      <c r="AU96" s="450">
        <f ca="1">AU81*(ROUND(AU89,2)=$E$95)*(SUM($G96:AT96)&lt;0.00001)</f>
        <v>0</v>
      </c>
      <c r="AV96" s="450">
        <f ca="1">AV81*(ROUND(AV89,2)=$E$95)*(SUM($G96:AU96)&lt;0.00001)</f>
        <v>0</v>
      </c>
      <c r="AW96" s="450">
        <f ca="1">AW81*(ROUND(AW89,2)=$E$95)*(SUM($G96:AV96)&lt;0.00001)</f>
        <v>0</v>
      </c>
      <c r="AX96" s="450">
        <f ca="1">AX81*(ROUND(AX89,2)=$E$95)*(SUM($G96:AW96)&lt;0.00001)</f>
        <v>0</v>
      </c>
      <c r="AY96" s="450">
        <f ca="1">AY81*(ROUND(AY89,2)=$E$95)*(SUM($G96:AX96)&lt;0.00001)</f>
        <v>0</v>
      </c>
      <c r="AZ96" s="450">
        <f ca="1">AZ81*(ROUND(AZ89,2)=$E$95)*(SUM($G96:AY96)&lt;0.00001)</f>
        <v>0</v>
      </c>
      <c r="BA96" s="450">
        <f ca="1">BA81*(ROUND(BA89,2)=$E$95)*(SUM($G96:AZ96)&lt;0.00001)</f>
        <v>0</v>
      </c>
      <c r="BB96" s="450">
        <f ca="1">BB81*(ROUND(BB89,2)=$E$95)*(SUM($G96:BA96)&lt;0.00001)</f>
        <v>0</v>
      </c>
      <c r="BC96" s="450">
        <f ca="1">BC81*(ROUND(BC89,2)=$E$95)*(SUM($G96:BB96)&lt;0.00001)</f>
        <v>0</v>
      </c>
      <c r="BD96" s="450">
        <f ca="1">BD81*(ROUND(BD89,2)=$E$95)*(SUM($G96:BC96)&lt;0.00001)</f>
        <v>0</v>
      </c>
      <c r="BE96" s="450">
        <f ca="1">BE81*(ROUND(BE89,2)=$E$95)*(SUM($G96:BD96)&lt;0.00001)</f>
        <v>0</v>
      </c>
      <c r="BF96" s="450">
        <f ca="1">BF81*(ROUND(BF89,2)=$E$95)*(SUM($G96:BE96)&lt;0.00001)</f>
        <v>0</v>
      </c>
      <c r="BG96" s="450">
        <f ca="1">BG81*(ROUND(BG89,2)=$E$95)*(SUM($G96:BF96)&lt;0.00001)</f>
        <v>0</v>
      </c>
      <c r="BH96" s="450">
        <f ca="1">BH81*(ROUND(BH89,2)=$E$95)*(SUM($G96:BG96)&lt;0.00001)</f>
        <v>0</v>
      </c>
      <c r="BI96" s="450">
        <f ca="1">BI81*(ROUND(BI89,2)=$E$95)*(SUM($G96:BH96)&lt;0.00001)</f>
        <v>0</v>
      </c>
      <c r="BJ96" s="450">
        <f ca="1">BJ81*(ROUND(BJ89,2)=$E$95)*(SUM($G96:BI96)&lt;0.00001)</f>
        <v>0</v>
      </c>
      <c r="BK96" s="450">
        <f ca="1">BK81*(ROUND(BK89,2)=$E$95)*(SUM($G96:BJ96)&lt;0.00001)</f>
        <v>0</v>
      </c>
      <c r="BL96" s="450">
        <f ca="1">BL81*(ROUND(BL89,2)=$E$95)*(SUM($G96:BK96)&lt;0.00001)</f>
        <v>0</v>
      </c>
      <c r="BM96" s="450">
        <f ca="1">BM81*(ROUND(BM89,2)=$E$95)*(SUM($G96:BL96)&lt;0.00001)</f>
        <v>0</v>
      </c>
      <c r="BN96" s="450">
        <f ca="1">BN81*(ROUND(BN89,2)=$E$95)*(SUM($G96:BM96)&lt;0.00001)</f>
        <v>0</v>
      </c>
      <c r="BO96" s="450">
        <f ca="1">BO81*(ROUND(BO89,2)=$E$95)*(SUM($G96:BN96)&lt;0.00001)</f>
        <v>0</v>
      </c>
      <c r="BP96" s="450">
        <f ca="1">BP81*(ROUND(BP89,2)=$E$95)*(SUM($G96:BO96)&lt;0.00001)</f>
        <v>0</v>
      </c>
      <c r="BQ96" s="450">
        <f ca="1">BQ81*(ROUND(BQ89,2)=$E$95)*(SUM($G96:BP96)&lt;0.00001)</f>
        <v>0</v>
      </c>
      <c r="BR96" s="450">
        <f ca="1">BR81*(ROUND(BR89,2)=$E$95)*(SUM($G96:BQ96)&lt;0.00001)</f>
        <v>0</v>
      </c>
      <c r="BS96" s="450">
        <f ca="1">BS81*(ROUND(BS89,2)=$E$95)*(SUM($G96:BR96)&lt;0.00001)</f>
        <v>0</v>
      </c>
      <c r="BT96" s="450">
        <f ca="1">BT81*(ROUND(BT89,2)=$E$95)*(SUM($G96:BS96)&lt;0.00001)</f>
        <v>0</v>
      </c>
      <c r="BU96" s="450">
        <f ca="1">BU81*(ROUND(BU89,2)=$E$95)*(SUM($G96:BT96)&lt;0.00001)</f>
        <v>0</v>
      </c>
      <c r="BV96" s="450">
        <f ca="1">BV81*(ROUND(BV89,2)=$E$95)*(SUM($G96:BU96)&lt;0.00001)</f>
        <v>0</v>
      </c>
      <c r="BW96" s="450">
        <f ca="1">BW81*(ROUND(BW89,2)=$E$95)*(SUM($G96:BV96)&lt;0.00001)</f>
        <v>0</v>
      </c>
      <c r="BX96" s="450">
        <f ca="1">BX81*(ROUND(BX89,2)=$E$95)*(SUM($G96:BW96)&lt;0.00001)</f>
        <v>0</v>
      </c>
      <c r="BY96" s="450">
        <f ca="1">BY81*(ROUND(BY89,2)=$E$95)*(SUM($G96:BX96)&lt;0.00001)</f>
        <v>0</v>
      </c>
      <c r="BZ96" s="450">
        <f ca="1">BZ81*(ROUND(BZ89,2)=$E$95)*(SUM($G96:BY96)&lt;0.00001)</f>
        <v>0</v>
      </c>
      <c r="CA96" s="450">
        <f ca="1">CA81*(ROUND(CA89,2)=$E$95)*(SUM($G96:BZ96)&lt;0.00001)</f>
        <v>0</v>
      </c>
      <c r="CB96" s="450">
        <f ca="1">CB81*(ROUND(CB89,2)=$E$95)*(SUM($G96:CA96)&lt;0.00001)</f>
        <v>0</v>
      </c>
      <c r="CC96" s="450">
        <f ca="1">CC81*(ROUND(CC89,2)=$E$95)*(SUM($G96:CB96)&lt;0.00001)</f>
        <v>0</v>
      </c>
      <c r="CD96" s="450">
        <f ca="1">CD81*(ROUND(CD89,2)=$E$95)*(SUM($G96:CC96)&lt;0.00001)</f>
        <v>0</v>
      </c>
      <c r="CE96" s="450">
        <f ca="1">CE81*(ROUND(CE89,2)=$E$95)*(SUM($G96:CD96)&lt;0.00001)</f>
        <v>0</v>
      </c>
      <c r="CF96" s="450">
        <f ca="1">CF81*(ROUND(CF89,2)=$E$95)*(SUM($G96:CE96)&lt;0.00001)</f>
        <v>0</v>
      </c>
      <c r="CG96" s="450">
        <f ca="1">CG81*(ROUND(CG89,2)=$E$95)*(SUM($G96:CF96)&lt;0.00001)</f>
        <v>0</v>
      </c>
      <c r="CH96" s="450">
        <f ca="1">CH81*(ROUND(CH89,2)=$E$95)*(SUM($G96:CG96)&lt;0.00001)</f>
        <v>0</v>
      </c>
      <c r="CI96" s="450">
        <f ca="1">CI81*(ROUND(CI89,2)=$E$95)*(SUM($G96:CH96)&lt;0.00001)</f>
        <v>0</v>
      </c>
      <c r="CJ96" s="450">
        <f ca="1">CJ81*(ROUND(CJ89,2)=$E$95)*(SUM($G96:CI96)&lt;0.00001)</f>
        <v>0</v>
      </c>
      <c r="CK96" s="450">
        <f ca="1">CK81*(ROUND(CK89,2)=$E$95)*(SUM($G96:CJ96)&lt;0.00001)</f>
        <v>0</v>
      </c>
      <c r="CL96" s="450">
        <f ca="1">CL81*(ROUND(CL89,2)=$E$95)*(SUM($G96:CK96)&lt;0.00001)</f>
        <v>0</v>
      </c>
      <c r="CM96" s="450">
        <f ca="1">CM81*(ROUND(CM89,2)=$E$95)*(SUM($G96:CL96)&lt;0.00001)</f>
        <v>0</v>
      </c>
      <c r="CN96" s="450">
        <f ca="1">CN81*(ROUND(CN89,2)=$E$95)*(SUM($G96:CM96)&lt;0.00001)</f>
        <v>0</v>
      </c>
      <c r="CO96" s="450">
        <f ca="1">CO81*(ROUND(CO89,2)=$E$95)*(SUM($G96:CN96)&lt;0.00001)</f>
        <v>0</v>
      </c>
      <c r="CP96" s="450">
        <f ca="1">CP81*(ROUND(CP89,2)=$E$95)*(SUM($G96:CO96)&lt;0.00001)</f>
        <v>0</v>
      </c>
      <c r="CQ96" s="450">
        <f ca="1">CQ81*(ROUND(CQ89,2)=$E$95)*(SUM($G96:CP96)&lt;0.00001)</f>
        <v>0</v>
      </c>
      <c r="CR96" s="450">
        <f ca="1">CR81*(ROUND(CR89,2)=$E$95)*(SUM($G96:CQ96)&lt;0.00001)</f>
        <v>0</v>
      </c>
      <c r="CS96" s="450">
        <f ca="1">CS81*(ROUND(CS89,2)=$E$95)*(SUM($G96:CR96)&lt;0.00001)</f>
        <v>0</v>
      </c>
      <c r="CT96" s="450">
        <f ca="1">CT81*(ROUND(CT89,2)=$E$95)*(SUM($G96:CS96)&lt;0.00001)</f>
        <v>0</v>
      </c>
      <c r="CU96" s="450">
        <f ca="1">CU81*(ROUND(CU89,2)=$E$95)*(SUM($G96:CT96)&lt;0.00001)</f>
        <v>0</v>
      </c>
      <c r="CV96" s="450">
        <f ca="1">CV81*(ROUND(CV89,2)=$E$95)*(SUM($G96:CU96)&lt;0.00001)</f>
        <v>0</v>
      </c>
      <c r="CW96" s="450">
        <f ca="1">CW81*(ROUND(CW89,2)=$E$95)*(SUM($G96:CV96)&lt;0.00001)</f>
        <v>0</v>
      </c>
      <c r="CX96" s="450">
        <f ca="1">CX81*(ROUND(CX89,2)=$E$95)*(SUM($G96:CW96)&lt;0.00001)</f>
        <v>0</v>
      </c>
      <c r="CY96" s="450">
        <f ca="1">CY81*(ROUND(CY89,2)=$E$95)*(SUM($G96:CX96)&lt;0.00001)</f>
        <v>0</v>
      </c>
      <c r="CZ96" s="450">
        <f ca="1">CZ81*(ROUND(CZ89,2)=$E$95)*(SUM($G96:CY96)&lt;0.00001)</f>
        <v>0</v>
      </c>
      <c r="DA96" s="450">
        <f ca="1">DA81*(ROUND(DA89,2)=$E$95)*(SUM($G96:CZ96)&lt;0.00001)</f>
        <v>0</v>
      </c>
      <c r="DB96" s="450">
        <f ca="1">DB81*(ROUND(DB89,2)=$E$95)*(SUM($G96:DA96)&lt;0.00001)</f>
        <v>0</v>
      </c>
      <c r="DC96" s="450">
        <f ca="1">DC81*(ROUND(DC89,2)=$E$95)*(SUM($G96:DB96)&lt;0.00001)</f>
        <v>0</v>
      </c>
      <c r="DD96" s="450">
        <f ca="1">DD81*(ROUND(DD89,2)=$E$95)*(SUM($G96:DC96)&lt;0.00001)</f>
        <v>0</v>
      </c>
      <c r="DE96" s="450">
        <f ca="1">DE81*(ROUND(DE89,2)=$E$95)*(SUM($G96:DD96)&lt;0.00001)</f>
        <v>0</v>
      </c>
      <c r="DF96" s="450">
        <f ca="1">DF81*(ROUND(DF89,2)=$E$95)*(SUM($G96:DE96)&lt;0.00001)</f>
        <v>0</v>
      </c>
      <c r="DG96" s="450">
        <f ca="1">DG81*(ROUND(DG89,2)=$E$95)*(SUM($G96:DF96)&lt;0.00001)</f>
        <v>0</v>
      </c>
      <c r="DH96" s="450">
        <f ca="1">DH81*(ROUND(DH89,2)=$E$95)*(SUM($G96:DG96)&lt;0.00001)</f>
        <v>0</v>
      </c>
      <c r="DI96" s="450">
        <f ca="1">DI81*(ROUND(DI89,2)=$E$95)*(SUM($G96:DH96)&lt;0.00001)</f>
        <v>0</v>
      </c>
      <c r="DJ96" s="450">
        <f ca="1">DJ81*(ROUND(DJ89,2)=$E$95)*(SUM($G96:DI96)&lt;0.00001)</f>
        <v>0</v>
      </c>
      <c r="DK96" s="450">
        <f ca="1">DK81*(ROUND(DK89,2)=$E$95)*(SUM($G96:DJ96)&lt;0.00001)</f>
        <v>0</v>
      </c>
      <c r="DL96" s="450">
        <f ca="1">DL81*(ROUND(DL89,2)=$E$95)*(SUM($G96:DK96)&lt;0.00001)</f>
        <v>0</v>
      </c>
      <c r="DM96" s="450">
        <f ca="1">DM81*(ROUND(DM89,2)=$E$95)*(SUM($G96:DL96)&lt;0.00001)</f>
        <v>0</v>
      </c>
      <c r="DN96" s="450">
        <f ca="1">DN81*(ROUND(DN89,2)=$E$95)*(SUM($G96:DM96)&lt;0.00001)</f>
        <v>0</v>
      </c>
      <c r="DO96" s="450">
        <f ca="1">DO81*(ROUND(DO89,2)=$E$95)*(SUM($G96:DN96)&lt;0.00001)</f>
        <v>0</v>
      </c>
      <c r="DP96" s="450">
        <f ca="1">DP81*(ROUND(DP89,2)=$E$95)*(SUM($G96:DO96)&lt;0.00001)</f>
        <v>0</v>
      </c>
      <c r="DQ96" s="450">
        <f ca="1">DQ81*(ROUND(DQ89,2)=$E$95)*(SUM($G96:DP96)&lt;0.00001)</f>
        <v>0</v>
      </c>
      <c r="DR96" s="450">
        <f ca="1">DR81*(ROUND(DR89,2)=$E$95)*(SUM($G96:DQ96)&lt;0.00001)</f>
        <v>0</v>
      </c>
      <c r="DS96" s="450">
        <f ca="1">DS81*(ROUND(DS89,2)=$E$95)*(SUM($G96:DR96)&lt;0.00001)</f>
        <v>0</v>
      </c>
      <c r="DT96" s="450">
        <f ca="1">DT81*(ROUND(DT89,2)=$E$95)*(SUM($G96:DS96)&lt;0.00001)</f>
        <v>0</v>
      </c>
      <c r="DU96" s="450">
        <f ca="1">DU81*(ROUND(DU89,2)=$E$95)*(SUM($G96:DT96)&lt;0.00001)</f>
        <v>0</v>
      </c>
      <c r="DV96" s="450">
        <f ca="1">DV81*(ROUND(DV89,2)=$E$95)*(SUM($G96:DU96)&lt;0.00001)</f>
        <v>0</v>
      </c>
      <c r="DW96" s="450">
        <f ca="1">DW81*(ROUND(DW89,2)=$E$95)*(SUM($G96:DV96)&lt;0.00001)</f>
        <v>0</v>
      </c>
      <c r="DX96" s="450">
        <f ca="1">DX81*(ROUND(DX89,2)=$E$95)*(SUM($G96:DW96)&lt;0.00001)</f>
        <v>0</v>
      </c>
      <c r="DY96" s="450">
        <f ca="1">DY81*(ROUND(DY89,2)=$E$95)*(SUM($G96:DX96)&lt;0.00001)</f>
        <v>0</v>
      </c>
      <c r="DZ96" s="450">
        <f ca="1">DZ81*(ROUND(DZ89,2)=$E$95)*(SUM($G96:DY96)&lt;0.00001)</f>
        <v>0</v>
      </c>
      <c r="EA96" s="450">
        <f ca="1">EA81*(ROUND(EA89,2)=$E$95)*(SUM($G96:DZ96)&lt;0.00001)</f>
        <v>0</v>
      </c>
      <c r="EB96" s="450">
        <f ca="1">EB81*(ROUND(EB89,2)=$E$95)*(SUM($G96:EA96)&lt;0.00001)</f>
        <v>0</v>
      </c>
      <c r="EC96" s="450">
        <f ca="1">EC81*(ROUND(EC89,2)=$E$95)*(SUM($G96:EB96)&lt;0.00001)</f>
        <v>0</v>
      </c>
      <c r="ED96" s="450">
        <f ca="1">ED81*(ROUND(ED89,2)=$E$95)*(SUM($G96:EC96)&lt;0.00001)</f>
        <v>0</v>
      </c>
      <c r="EE96" s="450">
        <f ca="1">EE81*(ROUND(EE89,2)=$E$95)*(SUM($G96:ED96)&lt;0.00001)</f>
        <v>0</v>
      </c>
      <c r="EF96" s="450">
        <f ca="1">EF81*(ROUND(EF89,2)=$E$95)*(SUM($G96:EE96)&lt;0.00001)</f>
        <v>0</v>
      </c>
      <c r="EG96" s="450">
        <f ca="1">EG81*(ROUND(EG89,2)=$E$95)*(SUM($G96:EF96)&lt;0.00001)</f>
        <v>0</v>
      </c>
      <c r="EH96" s="450">
        <f ca="1">EH81*(ROUND(EH89,2)=$E$95)*(SUM($G96:EG96)&lt;0.00001)</f>
        <v>0</v>
      </c>
      <c r="EI96" s="450">
        <f ca="1">EI81*(ROUND(EI89,2)=$E$95)*(SUM($G96:EH96)&lt;0.00001)</f>
        <v>0</v>
      </c>
      <c r="EJ96" s="450">
        <f ca="1">EJ81*(ROUND(EJ89,2)=$E$95)*(SUM($G96:EI96)&lt;0.00001)</f>
        <v>0</v>
      </c>
      <c r="EK96" s="450">
        <f ca="1">EK81*(ROUND(EK89,2)=$E$95)*(SUM($G96:EJ96)&lt;0.00001)</f>
        <v>0</v>
      </c>
      <c r="EL96" s="450">
        <f ca="1">EL81*(ROUND(EL89,2)=$E$95)*(SUM($G96:EK96)&lt;0.00001)</f>
        <v>0</v>
      </c>
      <c r="EM96" s="450">
        <f ca="1">EM81*(ROUND(EM89,2)=$E$95)*(SUM($G96:EL96)&lt;0.00001)</f>
        <v>0</v>
      </c>
      <c r="EN96" s="450">
        <f ca="1">EN81*(ROUND(EN89,2)=$E$95)*(SUM($G96:EM96)&lt;0.00001)</f>
        <v>0</v>
      </c>
      <c r="EO96" s="450">
        <f ca="1">EO81*(ROUND(EO89,2)=$E$95)*(SUM($G96:EN96)&lt;0.00001)</f>
        <v>0</v>
      </c>
      <c r="EP96" s="450">
        <f ca="1">EP81*(ROUND(EP89,2)=$E$95)*(SUM($G96:EO96)&lt;0.00001)</f>
        <v>0</v>
      </c>
      <c r="EQ96" s="450">
        <f ca="1">EQ81*(ROUND(EQ89,2)=$E$95)*(SUM($G96:EP96)&lt;0.00001)</f>
        <v>0</v>
      </c>
      <c r="ER96" s="450">
        <f ca="1">ER81*(ROUND(ER89,2)=$E$95)*(SUM($G96:EQ96)&lt;0.00001)</f>
        <v>0</v>
      </c>
      <c r="ES96" s="450">
        <f ca="1">ES81*(ROUND(ES89,2)=$E$95)*(SUM($G96:ER96)&lt;0.00001)</f>
        <v>0</v>
      </c>
      <c r="ET96" s="450">
        <f ca="1">ET81*(ROUND(ET89,2)=$E$95)*(SUM($G96:ES96)&lt;0.00001)</f>
        <v>0</v>
      </c>
      <c r="EU96" s="450">
        <f ca="1">EU81*(ROUND(EU89,2)=$E$95)*(SUM($G96:ET96)&lt;0.00001)</f>
        <v>0</v>
      </c>
      <c r="EV96" s="450">
        <f ca="1">EV81*(ROUND(EV89,2)=$E$95)*(SUM($G96:EU96)&lt;0.00001)</f>
        <v>0</v>
      </c>
      <c r="EW96" s="450">
        <f ca="1">EW81*(ROUND(EW89,2)=$E$95)*(SUM($G96:EV96)&lt;0.00001)</f>
        <v>0</v>
      </c>
      <c r="EX96" s="450">
        <f ca="1">EX81*(ROUND(EX89,2)=$E$95)*(SUM($G96:EW96)&lt;0.00001)</f>
        <v>0</v>
      </c>
      <c r="EY96" s="450">
        <f ca="1">EY81*(ROUND(EY89,2)=$E$95)*(SUM($G96:EX96)&lt;0.00001)</f>
        <v>0</v>
      </c>
      <c r="EZ96" s="450">
        <f ca="1">EZ81*(ROUND(EZ89,2)=$E$95)*(SUM($G96:EY96)&lt;0.00001)</f>
        <v>0</v>
      </c>
      <c r="FA96" s="450">
        <f ca="1">FA81*(ROUND(FA89,2)=$E$95)*(SUM($G96:EZ96)&lt;0.00001)</f>
        <v>0</v>
      </c>
      <c r="FB96" s="450">
        <f ca="1">FB81*(ROUND(FB89,2)=$E$95)*(SUM($G96:FA96)&lt;0.00001)</f>
        <v>0</v>
      </c>
      <c r="FC96" s="450">
        <f ca="1">FC81*(ROUND(FC89,2)=$E$95)*(SUM($G96:FB96)&lt;0.00001)</f>
        <v>0</v>
      </c>
      <c r="FD96" s="450">
        <f ca="1">FD81*(ROUND(FD89,2)=$E$95)*(SUM($G96:FC96)&lt;0.00001)</f>
        <v>0</v>
      </c>
      <c r="FE96" s="450">
        <f ca="1">FE81*(ROUND(FE89,2)=$E$95)*(SUM($G96:FD96)&lt;0.00001)</f>
        <v>0</v>
      </c>
      <c r="FF96" s="450">
        <f ca="1">FF81*(ROUND(FF89,2)=$E$95)*(SUM($G96:FE96)&lt;0.00001)</f>
        <v>0</v>
      </c>
      <c r="FG96" s="450">
        <f ca="1">FG81*(ROUND(FG89,2)=$E$95)*(SUM($G96:FF96)&lt;0.00001)</f>
        <v>0</v>
      </c>
      <c r="FH96" s="450">
        <f ca="1">FH81*(ROUND(FH89,2)=$E$95)*(SUM($G96:FG96)&lt;0.00001)</f>
        <v>0</v>
      </c>
      <c r="FI96" s="450">
        <f ca="1">FI81*(ROUND(FI89,2)=$E$95)*(SUM($G96:FH96)&lt;0.00001)</f>
        <v>0</v>
      </c>
      <c r="FJ96" s="450">
        <f ca="1">FJ81*(ROUND(FJ89,2)=$E$95)*(SUM($G96:FI96)&lt;0.00001)</f>
        <v>0</v>
      </c>
      <c r="FK96" s="450">
        <f ca="1">FK81*(ROUND(FK89,2)=$E$95)*(SUM($G96:FJ96)&lt;0.00001)</f>
        <v>0</v>
      </c>
      <c r="FL96" s="450">
        <f ca="1">FL81*(ROUND(FL89,2)=$E$95)*(SUM($G96:FK96)&lt;0.00001)</f>
        <v>0</v>
      </c>
      <c r="FM96" s="450">
        <f ca="1">FM81*(ROUND(FM89,2)=$E$95)*(SUM($G96:FL96)&lt;0.00001)</f>
        <v>0</v>
      </c>
      <c r="FN96" s="450">
        <f ca="1">FN81*(ROUND(FN89,2)=$E$95)*(SUM($G96:FM96)&lt;0.00001)</f>
        <v>0</v>
      </c>
      <c r="FO96" s="450">
        <f ca="1">FO81*(ROUND(FO89,2)=$E$95)*(SUM($G96:FN96)&lt;0.00001)</f>
        <v>0</v>
      </c>
      <c r="FP96" s="450">
        <f ca="1">FP81*(ROUND(FP89,2)=$E$95)*(SUM($G96:FO96)&lt;0.00001)</f>
        <v>0</v>
      </c>
      <c r="FQ96" s="450">
        <f ca="1">FQ81*(ROUND(FQ89,2)=$E$95)*(SUM($G96:FP96)&lt;0.00001)</f>
        <v>0</v>
      </c>
      <c r="FR96" s="450">
        <f ca="1">FR81*(ROUND(FR89,2)=$E$95)*(SUM($G96:FQ96)&lt;0.00001)</f>
        <v>0</v>
      </c>
      <c r="FS96" s="450">
        <f ca="1">FS81*(ROUND(FS89,2)=$E$95)*(SUM($G96:FR96)&lt;0.00001)</f>
        <v>0</v>
      </c>
      <c r="FT96" s="450">
        <f ca="1">FT81*(ROUND(FT89,2)=$E$95)*(SUM($G96:FS96)&lt;0.00001)</f>
        <v>0</v>
      </c>
      <c r="FU96" s="450">
        <f ca="1">FU81*(ROUND(FU89,2)=$E$95)*(SUM($G96:FT96)&lt;0.00001)</f>
        <v>0</v>
      </c>
      <c r="FV96" s="450">
        <f ca="1">FV81*(ROUND(FV89,2)=$E$95)*(SUM($G96:FU96)&lt;0.00001)</f>
        <v>0</v>
      </c>
      <c r="FW96" s="450">
        <f ca="1">FW81*(ROUND(FW89,2)=$E$95)*(SUM($G96:FV96)&lt;0.00001)</f>
        <v>0</v>
      </c>
      <c r="FX96" s="450">
        <f ca="1">FX81*(ROUND(FX89,2)=$E$95)*(SUM($G96:FW96)&lt;0.00001)</f>
        <v>0</v>
      </c>
      <c r="FY96" s="450">
        <f ca="1">FY81*(ROUND(FY89,2)=$E$95)*(SUM($G96:FX96)&lt;0.00001)</f>
        <v>0</v>
      </c>
      <c r="FZ96" s="450">
        <f ca="1">FZ81*(ROUND(FZ89,2)=$E$95)*(SUM($G96:FY96)&lt;0.00001)</f>
        <v>0</v>
      </c>
      <c r="GA96" s="450">
        <f ca="1">GA81*(ROUND(GA89,2)=$E$95)*(SUM($G96:FZ96)&lt;0.00001)</f>
        <v>0</v>
      </c>
      <c r="GB96" s="450">
        <f ca="1">GB81*(ROUND(GB89,2)=$E$95)*(SUM($G96:GA96)&lt;0.00001)</f>
        <v>0</v>
      </c>
      <c r="GC96" s="450">
        <f ca="1">GC81*(ROUND(GC89,2)=$E$95)*(SUM($G96:GB96)&lt;0.00001)</f>
        <v>0</v>
      </c>
      <c r="GD96" s="450">
        <f ca="1">GD81*(ROUND(GD89,2)=$E$95)*(SUM($G96:GC96)&lt;0.00001)</f>
        <v>0</v>
      </c>
    </row>
    <row r="97" spans="2:186" ht="15" customHeight="1">
      <c r="B97" s="2064"/>
      <c r="C97" s="2064"/>
      <c r="D97" s="2064"/>
      <c r="E97" s="469" t="s">
        <v>3775</v>
      </c>
      <c r="F97" s="2166">
        <f t="shared" ca="1" si="172"/>
        <v>0</v>
      </c>
      <c r="G97" s="2064"/>
      <c r="H97" s="2064"/>
      <c r="I97" s="2064"/>
      <c r="J97" s="2064"/>
      <c r="K97" s="2064"/>
      <c r="L97" s="2064"/>
      <c r="M97" s="2064"/>
      <c r="N97" s="2064"/>
      <c r="O97" s="2064"/>
      <c r="P97" s="2064"/>
      <c r="Q97" s="2064"/>
      <c r="R97" s="2064">
        <f ca="1">R81*(R88&gt;0)*(SUM($G97:Q97)&lt;0.0001)</f>
        <v>0</v>
      </c>
      <c r="S97" s="2064">
        <f ca="1">S81*(S88&gt;0)*(SUM($G97:R97)&lt;0.0001)</f>
        <v>0</v>
      </c>
      <c r="T97" s="2064">
        <f ca="1">T81*(T88&gt;0)*(SUM($G97:S97)&lt;0.0001)</f>
        <v>0</v>
      </c>
      <c r="U97" s="2064">
        <f ca="1">U81*(U88&gt;0)*(SUM($G97:T97)&lt;0.0001)</f>
        <v>0</v>
      </c>
      <c r="V97" s="2064">
        <f ca="1">V81*(V88&gt;0)*(SUM($G97:U97)&lt;0.0001)</f>
        <v>0</v>
      </c>
      <c r="W97" s="2064">
        <f ca="1">W81*(W88&gt;0)*(SUM($G97:V97)&lt;0.0001)</f>
        <v>0</v>
      </c>
      <c r="X97" s="2064">
        <f ca="1">X81*(X88&gt;0)*(SUM($G97:W97)&lt;0.0001)</f>
        <v>0</v>
      </c>
      <c r="Y97" s="2064">
        <f ca="1">Y81*(Y88&gt;0)*(SUM($G97:X97)&lt;0.0001)</f>
        <v>0</v>
      </c>
      <c r="Z97" s="2064">
        <f ca="1">Z81*(Z88&gt;0)*(SUM($G97:Y97)&lt;0.0001)</f>
        <v>0</v>
      </c>
      <c r="AA97" s="2064">
        <f ca="1">AA81*(AA88&gt;0)*(SUM($G97:Z97)&lt;0.0001)</f>
        <v>0</v>
      </c>
      <c r="AB97" s="2064">
        <f ca="1">AB81*(AB88&gt;0)*(SUM($G97:AA97)&lt;0.0001)</f>
        <v>0</v>
      </c>
      <c r="AC97" s="2064">
        <f ca="1">AC81*(AC88&gt;0)*(SUM($G97:AB97)&lt;0.0001)</f>
        <v>0</v>
      </c>
      <c r="AD97" s="2064">
        <f ca="1">AD81*(AD88&gt;0)*(SUM($G97:AC97)&lt;0.0001)</f>
        <v>0</v>
      </c>
      <c r="AE97" s="2064">
        <f ca="1">AE81*(AE88&gt;0)*(SUM($G97:AD97)&lt;0.0001)</f>
        <v>0</v>
      </c>
      <c r="AF97" s="2064">
        <f ca="1">AF81*(AF88&gt;0)*(SUM($G97:AE97)&lt;0.0001)</f>
        <v>0</v>
      </c>
      <c r="AG97" s="2064">
        <f ca="1">AG81*(AG88&gt;0)*(SUM($G97:AF97)&lt;0.0001)</f>
        <v>0</v>
      </c>
      <c r="AH97" s="2064">
        <f ca="1">AH81*(AH88&gt;0)*(SUM($G97:AG97)&lt;0.0001)</f>
        <v>0</v>
      </c>
      <c r="AI97" s="2064">
        <f ca="1">AI81*(AI88&gt;0)*(SUM($G97:AH97)&lt;0.0001)</f>
        <v>0</v>
      </c>
      <c r="AJ97" s="2064">
        <f ca="1">AJ81*(AJ88&gt;0)*(SUM($G97:AI97)&lt;0.0001)</f>
        <v>0</v>
      </c>
      <c r="AK97" s="2064">
        <f ca="1">AK81*(AK88&gt;0)*(SUM($G97:AJ97)&lt;0.0001)</f>
        <v>0</v>
      </c>
      <c r="AL97" s="2064">
        <f ca="1">AL81*(AL88&gt;0)*(SUM($G97:AK97)&lt;0.0001)</f>
        <v>0</v>
      </c>
      <c r="AM97" s="2064">
        <f ca="1">AM81*(AM88&gt;0)*(SUM($G97:AL97)&lt;0.0001)</f>
        <v>0</v>
      </c>
      <c r="AN97" s="2064">
        <f ca="1">AN81*(AN88&gt;0)*(SUM($G97:AM97)&lt;0.0001)</f>
        <v>0</v>
      </c>
      <c r="AO97" s="2064">
        <f ca="1">AO81*(AO88&gt;0)*(SUM($G97:AN97)&lt;0.0001)</f>
        <v>0</v>
      </c>
      <c r="AP97" s="2064">
        <f ca="1">AP81*(AP88&gt;0)*(SUM($G97:AO97)&lt;0.0001)</f>
        <v>0</v>
      </c>
      <c r="AQ97" s="2064">
        <f ca="1">AQ81*(AQ88&gt;0)*(SUM($G97:AP97)&lt;0.0001)</f>
        <v>0</v>
      </c>
      <c r="AR97" s="2064">
        <f ca="1">AR81*(AR88&gt;0)*(SUM($G97:AQ97)&lt;0.0001)</f>
        <v>0</v>
      </c>
      <c r="AS97" s="2064">
        <f ca="1">AS81*(AS88&gt;0)*(SUM($G97:AR97)&lt;0.0001)</f>
        <v>0</v>
      </c>
      <c r="AT97" s="2064">
        <f ca="1">AT81*(AT88&gt;0)*(SUM($G97:AS97)&lt;0.0001)</f>
        <v>0</v>
      </c>
      <c r="AU97" s="2064">
        <f ca="1">AU81*(AU88&gt;0)*(SUM($G97:AT97)&lt;0.0001)</f>
        <v>0</v>
      </c>
      <c r="AV97" s="2064">
        <f ca="1">AV81*(AV88&gt;0)*(SUM($G97:AU97)&lt;0.0001)</f>
        <v>0</v>
      </c>
      <c r="AW97" s="2064">
        <f ca="1">AW81*(AW88&gt;0)*(SUM($G97:AV97)&lt;0.0001)</f>
        <v>0</v>
      </c>
      <c r="AX97" s="2064">
        <f ca="1">AX81*(AX88&gt;0)*(SUM($G97:AW97)&lt;0.0001)</f>
        <v>0</v>
      </c>
      <c r="AY97" s="2064">
        <f ca="1">AY81*(AY88&gt;0)*(SUM($G97:AX97)&lt;0.0001)</f>
        <v>0</v>
      </c>
      <c r="AZ97" s="2064">
        <f ca="1">AZ81*(AZ88&gt;0)*(SUM($G97:AY97)&lt;0.0001)</f>
        <v>0</v>
      </c>
      <c r="BA97" s="2064">
        <f ca="1">BA81*(BA88&gt;0)*(SUM($G97:AZ97)&lt;0.0001)</f>
        <v>0</v>
      </c>
      <c r="BB97" s="2064">
        <f ca="1">BB81*(BB88&gt;0)*(SUM($G97:BA97)&lt;0.0001)</f>
        <v>0</v>
      </c>
      <c r="BC97" s="2064">
        <f ca="1">BC81*(BC88&gt;0)*(SUM($G97:BB97)&lt;0.0001)</f>
        <v>0</v>
      </c>
      <c r="BD97" s="2064">
        <f ca="1">BD81*(BD88&gt;0)*(SUM($G97:BC97)&lt;0.0001)</f>
        <v>0</v>
      </c>
      <c r="BE97" s="2064">
        <f ca="1">BE81*(BE88&gt;0)*(SUM($G97:BD97)&lt;0.0001)</f>
        <v>0</v>
      </c>
      <c r="BF97" s="2064">
        <f ca="1">BF81*(BF88&gt;0)*(SUM($G97:BE97)&lt;0.0001)</f>
        <v>0</v>
      </c>
      <c r="BG97" s="2064">
        <f ca="1">BG81*(BG88&gt;0)*(SUM($G97:BF97)&lt;0.0001)</f>
        <v>0</v>
      </c>
      <c r="BH97" s="2064">
        <f ca="1">BH81*(BH88&gt;0)*(SUM($G97:BG97)&lt;0.0001)</f>
        <v>0</v>
      </c>
      <c r="BI97" s="2064">
        <f ca="1">BI81*(BI88&gt;0)*(SUM($G97:BH97)&lt;0.0001)</f>
        <v>0</v>
      </c>
      <c r="BJ97" s="2064">
        <f ca="1">BJ81*(BJ88&gt;0)*(SUM($G97:BI97)&lt;0.0001)</f>
        <v>0</v>
      </c>
      <c r="BK97" s="2064">
        <f ca="1">BK81*(BK88&gt;0)*(SUM($G97:BJ97)&lt;0.0001)</f>
        <v>0</v>
      </c>
      <c r="BL97" s="2064">
        <f ca="1">BL81*(BL88&gt;0)*(SUM($G97:BK97)&lt;0.0001)</f>
        <v>0</v>
      </c>
      <c r="BM97" s="2064">
        <f ca="1">BM81*(BM88&gt;0)*(SUM($G97:BL97)&lt;0.0001)</f>
        <v>0</v>
      </c>
      <c r="BN97" s="2064">
        <f ca="1">BN81*(BN88&gt;0)*(SUM($G97:BM97)&lt;0.0001)</f>
        <v>0</v>
      </c>
      <c r="BO97" s="2064">
        <f ca="1">BO81*(BO88&gt;0)*(SUM($G97:BN97)&lt;0.0001)</f>
        <v>0</v>
      </c>
      <c r="BP97" s="2064">
        <f ca="1">BP81*(BP88&gt;0)*(SUM($G97:BO97)&lt;0.0001)</f>
        <v>0</v>
      </c>
      <c r="BQ97" s="2064">
        <f ca="1">BQ81*(BQ88&gt;0)*(SUM($G97:BP97)&lt;0.0001)</f>
        <v>0</v>
      </c>
      <c r="BR97" s="2064">
        <f ca="1">BR81*(BR88&gt;0)*(SUM($G97:BQ97)&lt;0.0001)</f>
        <v>0</v>
      </c>
      <c r="BS97" s="2064">
        <f ca="1">BS81*(BS88&gt;0)*(SUM($G97:BR97)&lt;0.0001)</f>
        <v>0</v>
      </c>
      <c r="BT97" s="2064">
        <f ca="1">BT81*(BT88&gt;0)*(SUM($G97:BS97)&lt;0.0001)</f>
        <v>0</v>
      </c>
      <c r="BU97" s="2064">
        <f ca="1">BU81*(BU88&gt;0)*(SUM($G97:BT97)&lt;0.0001)</f>
        <v>0</v>
      </c>
      <c r="BV97" s="2064">
        <f ca="1">BV81*(BV88&gt;0)*(SUM($G97:BU97)&lt;0.0001)</f>
        <v>0</v>
      </c>
      <c r="BW97" s="2064">
        <f ca="1">BW81*(BW88&gt;0)*(SUM($G97:BV97)&lt;0.0001)</f>
        <v>0</v>
      </c>
      <c r="BX97" s="2064">
        <f ca="1">BX81*(BX88&gt;0)*(SUM($G97:BW97)&lt;0.0001)</f>
        <v>0</v>
      </c>
      <c r="BY97" s="2064">
        <f ca="1">BY81*(BY88&gt;0)*(SUM($G97:BX97)&lt;0.0001)</f>
        <v>0</v>
      </c>
      <c r="BZ97" s="2064">
        <f ca="1">BZ81*(BZ88&gt;0)*(SUM($G97:BY97)&lt;0.0001)</f>
        <v>0</v>
      </c>
      <c r="CA97" s="2064">
        <f ca="1">CA81*(CA88&gt;0)*(SUM($G97:BZ97)&lt;0.0001)</f>
        <v>0</v>
      </c>
      <c r="CB97" s="2064">
        <f ca="1">CB81*(CB88&gt;0)*(SUM($G97:CA97)&lt;0.0001)</f>
        <v>0</v>
      </c>
      <c r="CC97" s="2064">
        <f ca="1">CC81*(CC88&gt;0)*(SUM($G97:CB97)&lt;0.0001)</f>
        <v>0</v>
      </c>
      <c r="CD97" s="2064">
        <f ca="1">CD81*(CD88&gt;0)*(SUM($G97:CC97)&lt;0.0001)</f>
        <v>0</v>
      </c>
      <c r="CE97" s="2064">
        <f ca="1">CE81*(CE88&gt;0)*(SUM($G97:CD97)&lt;0.0001)</f>
        <v>0</v>
      </c>
      <c r="CF97" s="2064">
        <f ca="1">CF81*(CF88&gt;0)*(SUM($G97:CE97)&lt;0.0001)</f>
        <v>0</v>
      </c>
      <c r="CG97" s="2064">
        <f ca="1">CG81*(CG88&gt;0)*(SUM($G97:CF97)&lt;0.0001)</f>
        <v>0</v>
      </c>
      <c r="CH97" s="2064">
        <f ca="1">CH81*(CH88&gt;0)*(SUM($G97:CG97)&lt;0.0001)</f>
        <v>0</v>
      </c>
      <c r="CI97" s="2064">
        <f ca="1">CI81*(CI88&gt;0)*(SUM($G97:CH97)&lt;0.0001)</f>
        <v>0</v>
      </c>
      <c r="CJ97" s="2064">
        <f ca="1">CJ81*(CJ88&gt;0)*(SUM($G97:CI97)&lt;0.0001)</f>
        <v>0</v>
      </c>
      <c r="CK97" s="2064">
        <f ca="1">CK81*(CK88&gt;0)*(SUM($G97:CJ97)&lt;0.0001)</f>
        <v>0</v>
      </c>
      <c r="CL97" s="2064">
        <f ca="1">CL81*(CL88&gt;0)*(SUM($G97:CK97)&lt;0.0001)</f>
        <v>0</v>
      </c>
      <c r="CM97" s="2064">
        <f ca="1">CM81*(CM88&gt;0)*(SUM($G97:CL97)&lt;0.0001)</f>
        <v>0</v>
      </c>
      <c r="CN97" s="2064">
        <f ca="1">CN81*(CN88&gt;0)*(SUM($G97:CM97)&lt;0.0001)</f>
        <v>0</v>
      </c>
      <c r="CO97" s="2064">
        <f ca="1">CO81*(CO88&gt;0)*(SUM($G97:CN97)&lt;0.0001)</f>
        <v>0</v>
      </c>
      <c r="CP97" s="2064">
        <f ca="1">CP81*(CP88&gt;0)*(SUM($G97:CO97)&lt;0.0001)</f>
        <v>0</v>
      </c>
      <c r="CQ97" s="2064">
        <f ca="1">CQ81*(CQ88&gt;0)*(SUM($G97:CP97)&lt;0.0001)</f>
        <v>0</v>
      </c>
      <c r="CR97" s="2064">
        <f ca="1">CR81*(CR88&gt;0)*(SUM($G97:CQ97)&lt;0.0001)</f>
        <v>0</v>
      </c>
      <c r="CS97" s="2064">
        <f ca="1">CS81*(CS88&gt;0)*(SUM($G97:CR97)&lt;0.0001)</f>
        <v>0</v>
      </c>
      <c r="CT97" s="2064">
        <f ca="1">CT81*(CT88&gt;0)*(SUM($G97:CS97)&lt;0.0001)</f>
        <v>0</v>
      </c>
      <c r="CU97" s="2064">
        <f ca="1">CU81*(CU88&gt;0)*(SUM($G97:CT97)&lt;0.0001)</f>
        <v>0</v>
      </c>
      <c r="CV97" s="2064">
        <f ca="1">CV81*(CV88&gt;0)*(SUM($G97:CU97)&lt;0.0001)</f>
        <v>0</v>
      </c>
      <c r="CW97" s="2064">
        <f ca="1">CW81*(CW88&gt;0)*(SUM($G97:CV97)&lt;0.0001)</f>
        <v>0</v>
      </c>
      <c r="CX97" s="2064">
        <f ca="1">CX81*(CX88&gt;0)*(SUM($G97:CW97)&lt;0.0001)</f>
        <v>0</v>
      </c>
      <c r="CY97" s="2064">
        <f ca="1">CY81*(CY88&gt;0)*(SUM($G97:CX97)&lt;0.0001)</f>
        <v>0</v>
      </c>
      <c r="CZ97" s="2064">
        <f ca="1">CZ81*(CZ88&gt;0)*(SUM($G97:CY97)&lt;0.0001)</f>
        <v>0</v>
      </c>
      <c r="DA97" s="2064">
        <f ca="1">DA81*(DA88&gt;0)*(SUM($G97:CZ97)&lt;0.0001)</f>
        <v>0</v>
      </c>
      <c r="DB97" s="2064">
        <f ca="1">DB81*(DB88&gt;0)*(SUM($G97:DA97)&lt;0.0001)</f>
        <v>0</v>
      </c>
      <c r="DC97" s="2064">
        <f ca="1">DC81*(DC88&gt;0)*(SUM($G97:DB97)&lt;0.0001)</f>
        <v>0</v>
      </c>
      <c r="DD97" s="2064">
        <f ca="1">DD81*(DD88&gt;0)*(SUM($G97:DC97)&lt;0.0001)</f>
        <v>0</v>
      </c>
      <c r="DE97" s="2064">
        <f ca="1">DE81*(DE88&gt;0)*(SUM($G97:DD97)&lt;0.0001)</f>
        <v>0</v>
      </c>
      <c r="DF97" s="2064">
        <f ca="1">DF81*(DF88&gt;0)*(SUM($G97:DE97)&lt;0.0001)</f>
        <v>0</v>
      </c>
      <c r="DG97" s="2064">
        <f ca="1">DG81*(DG88&gt;0)*(SUM($G97:DF97)&lt;0.0001)</f>
        <v>0</v>
      </c>
      <c r="DH97" s="2064">
        <f ca="1">DH81*(DH88&gt;0)*(SUM($G97:DG97)&lt;0.0001)</f>
        <v>0</v>
      </c>
      <c r="DI97" s="2064">
        <f ca="1">DI81*(DI88&gt;0)*(SUM($G97:DH97)&lt;0.0001)</f>
        <v>0</v>
      </c>
      <c r="DJ97" s="2064">
        <f ca="1">DJ81*(DJ88&gt;0)*(SUM($G97:DI97)&lt;0.0001)</f>
        <v>0</v>
      </c>
      <c r="DK97" s="2064">
        <f ca="1">DK81*(DK88&gt;0)*(SUM($G97:DJ97)&lt;0.0001)</f>
        <v>0</v>
      </c>
      <c r="DL97" s="2064">
        <f ca="1">DL81*(DL88&gt;0)*(SUM($G97:DK97)&lt;0.0001)</f>
        <v>0</v>
      </c>
      <c r="DM97" s="2064">
        <f ca="1">DM81*(DM88&gt;0)*(SUM($G97:DL97)&lt;0.0001)</f>
        <v>0</v>
      </c>
      <c r="DN97" s="2064">
        <f ca="1">DN81*(DN88&gt;0)*(SUM($G97:DM97)&lt;0.0001)</f>
        <v>0</v>
      </c>
      <c r="DO97" s="2064">
        <f ca="1">DO81*(DO88&gt;0)*(SUM($G97:DN97)&lt;0.0001)</f>
        <v>0</v>
      </c>
      <c r="DP97" s="2064">
        <f ca="1">DP81*(DP88&gt;0)*(SUM($G97:DO97)&lt;0.0001)</f>
        <v>0</v>
      </c>
      <c r="DQ97" s="2064">
        <f ca="1">DQ81*(DQ88&gt;0)*(SUM($G97:DP97)&lt;0.0001)</f>
        <v>0</v>
      </c>
      <c r="DR97" s="2064">
        <f ca="1">DR81*(DR88&gt;0)*(SUM($G97:DQ97)&lt;0.0001)</f>
        <v>0</v>
      </c>
      <c r="DS97" s="2064">
        <f ca="1">DS81*(DS88&gt;0)*(SUM($G97:DR97)&lt;0.0001)</f>
        <v>0</v>
      </c>
      <c r="DT97" s="2064">
        <f ca="1">DT81*(DT88&gt;0)*(SUM($G97:DS97)&lt;0.0001)</f>
        <v>0</v>
      </c>
      <c r="DU97" s="2064">
        <f ca="1">DU81*(DU88&gt;0)*(SUM($G97:DT97)&lt;0.0001)</f>
        <v>0</v>
      </c>
      <c r="DV97" s="2064">
        <f ca="1">DV81*(DV88&gt;0)*(SUM($G97:DU97)&lt;0.0001)</f>
        <v>0</v>
      </c>
      <c r="DW97" s="2064">
        <f ca="1">DW81*(DW88&gt;0)*(SUM($G97:DV97)&lt;0.0001)</f>
        <v>0</v>
      </c>
      <c r="DX97" s="2064">
        <f ca="1">DX81*(DX88&gt;0)*(SUM($G97:DW97)&lt;0.0001)</f>
        <v>0</v>
      </c>
      <c r="DY97" s="2064">
        <f ca="1">DY81*(DY88&gt;0)*(SUM($G97:DX97)&lt;0.0001)</f>
        <v>0</v>
      </c>
      <c r="DZ97" s="2064">
        <f ca="1">DZ81*(DZ88&gt;0)*(SUM($G97:DY97)&lt;0.0001)</f>
        <v>0</v>
      </c>
      <c r="EA97" s="2064">
        <f ca="1">EA81*(EA88&gt;0)*(SUM($G97:DZ97)&lt;0.0001)</f>
        <v>0</v>
      </c>
      <c r="EB97" s="2064">
        <f ca="1">EB81*(EB88&gt;0)*(SUM($G97:EA97)&lt;0.0001)</f>
        <v>0</v>
      </c>
      <c r="EC97" s="2064">
        <f ca="1">EC81*(EC88&gt;0)*(SUM($G97:EB97)&lt;0.0001)</f>
        <v>0</v>
      </c>
      <c r="ED97" s="2064">
        <f ca="1">ED81*(ED88&gt;0)*(SUM($G97:EC97)&lt;0.0001)</f>
        <v>0</v>
      </c>
      <c r="EE97" s="2064">
        <f ca="1">EE81*(EE88&gt;0)*(SUM($G97:ED97)&lt;0.0001)</f>
        <v>0</v>
      </c>
      <c r="EF97" s="2064">
        <f ca="1">EF81*(EF88&gt;0)*(SUM($G97:EE97)&lt;0.0001)</f>
        <v>0</v>
      </c>
      <c r="EG97" s="2064">
        <f ca="1">EG81*(EG88&gt;0)*(SUM($G97:EF97)&lt;0.0001)</f>
        <v>0</v>
      </c>
      <c r="EH97" s="2064">
        <f ca="1">EH81*(EH88&gt;0)*(SUM($G97:EG97)&lt;0.0001)</f>
        <v>0</v>
      </c>
      <c r="EI97" s="2064">
        <f ca="1">EI81*(EI88&gt;0)*(SUM($G97:EH97)&lt;0.0001)</f>
        <v>0</v>
      </c>
      <c r="EJ97" s="2064">
        <f ca="1">EJ81*(EJ88&gt;0)*(SUM($G97:EI97)&lt;0.0001)</f>
        <v>0</v>
      </c>
      <c r="EK97" s="2064">
        <f ca="1">EK81*(EK88&gt;0)*(SUM($G97:EJ97)&lt;0.0001)</f>
        <v>0</v>
      </c>
      <c r="EL97" s="2064">
        <f ca="1">EL81*(EL88&gt;0)*(SUM($G97:EK97)&lt;0.0001)</f>
        <v>0</v>
      </c>
      <c r="EM97" s="2064">
        <f ca="1">EM81*(EM88&gt;0)*(SUM($G97:EL97)&lt;0.0001)</f>
        <v>0</v>
      </c>
      <c r="EN97" s="2064">
        <f ca="1">EN81*(EN88&gt;0)*(SUM($G97:EM97)&lt;0.0001)</f>
        <v>0</v>
      </c>
      <c r="EO97" s="2064">
        <f ca="1">EO81*(EO88&gt;0)*(SUM($G97:EN97)&lt;0.0001)</f>
        <v>0</v>
      </c>
      <c r="EP97" s="2064">
        <f ca="1">EP81*(EP88&gt;0)*(SUM($G97:EO97)&lt;0.0001)</f>
        <v>0</v>
      </c>
      <c r="EQ97" s="2064">
        <f ca="1">EQ81*(EQ88&gt;0)*(SUM($G97:EP97)&lt;0.0001)</f>
        <v>0</v>
      </c>
      <c r="ER97" s="2064">
        <f ca="1">ER81*(ER88&gt;0)*(SUM($G97:EQ97)&lt;0.0001)</f>
        <v>0</v>
      </c>
      <c r="ES97" s="2064">
        <f ca="1">ES81*(ES88&gt;0)*(SUM($G97:ER97)&lt;0.0001)</f>
        <v>0</v>
      </c>
      <c r="ET97" s="2064">
        <f ca="1">ET81*(ET88&gt;0)*(SUM($G97:ES97)&lt;0.0001)</f>
        <v>0</v>
      </c>
      <c r="EU97" s="2064">
        <f ca="1">EU81*(EU88&gt;0)*(SUM($G97:ET97)&lt;0.0001)</f>
        <v>0</v>
      </c>
      <c r="EV97" s="2064">
        <f ca="1">EV81*(EV88&gt;0)*(SUM($G97:EU97)&lt;0.0001)</f>
        <v>0</v>
      </c>
      <c r="EW97" s="2064">
        <f ca="1">EW81*(EW88&gt;0)*(SUM($G97:EV97)&lt;0.0001)</f>
        <v>0</v>
      </c>
      <c r="EX97" s="2064">
        <f ca="1">EX81*(EX88&gt;0)*(SUM($G97:EW97)&lt;0.0001)</f>
        <v>0</v>
      </c>
      <c r="EY97" s="2064">
        <f ca="1">EY81*(EY88&gt;0)*(SUM($G97:EX97)&lt;0.0001)</f>
        <v>0</v>
      </c>
      <c r="EZ97" s="2064">
        <f ca="1">EZ81*(EZ88&gt;0)*(SUM($G97:EY97)&lt;0.0001)</f>
        <v>0</v>
      </c>
      <c r="FA97" s="2064">
        <f ca="1">FA81*(FA88&gt;0)*(SUM($G97:EZ97)&lt;0.0001)</f>
        <v>0</v>
      </c>
      <c r="FB97" s="2064">
        <f ca="1">FB81*(FB88&gt;0)*(SUM($G97:FA97)&lt;0.0001)</f>
        <v>0</v>
      </c>
      <c r="FC97" s="2064">
        <f ca="1">FC81*(FC88&gt;0)*(SUM($G97:FB97)&lt;0.0001)</f>
        <v>0</v>
      </c>
      <c r="FD97" s="2064">
        <f ca="1">FD81*(FD88&gt;0)*(SUM($G97:FC97)&lt;0.0001)</f>
        <v>0</v>
      </c>
      <c r="FE97" s="2064">
        <f ca="1">FE81*(FE88&gt;0)*(SUM($G97:FD97)&lt;0.0001)</f>
        <v>0</v>
      </c>
      <c r="FF97" s="2064">
        <f ca="1">FF81*(FF88&gt;0)*(SUM($G97:FE97)&lt;0.0001)</f>
        <v>0</v>
      </c>
      <c r="FG97" s="2064">
        <f ca="1">FG81*(FG88&gt;0)*(SUM($G97:FF97)&lt;0.0001)</f>
        <v>0</v>
      </c>
      <c r="FH97" s="2064">
        <f ca="1">FH81*(FH88&gt;0)*(SUM($G97:FG97)&lt;0.0001)</f>
        <v>0</v>
      </c>
      <c r="FI97" s="2064">
        <f ca="1">FI81*(FI88&gt;0)*(SUM($G97:FH97)&lt;0.0001)</f>
        <v>0</v>
      </c>
      <c r="FJ97" s="2064">
        <f ca="1">FJ81*(FJ88&gt;0)*(SUM($G97:FI97)&lt;0.0001)</f>
        <v>0</v>
      </c>
      <c r="FK97" s="2064">
        <f ca="1">FK81*(FK88&gt;0)*(SUM($G97:FJ97)&lt;0.0001)</f>
        <v>0</v>
      </c>
      <c r="FL97" s="2064">
        <f ca="1">FL81*(FL88&gt;0)*(SUM($G97:FK97)&lt;0.0001)</f>
        <v>0</v>
      </c>
      <c r="FM97" s="2064">
        <f ca="1">FM81*(FM88&gt;0)*(SUM($G97:FL97)&lt;0.0001)</f>
        <v>0</v>
      </c>
      <c r="FN97" s="2064">
        <f ca="1">FN81*(FN88&gt;0)*(SUM($G97:FM97)&lt;0.0001)</f>
        <v>0</v>
      </c>
      <c r="FO97" s="2064">
        <f ca="1">FO81*(FO88&gt;0)*(SUM($G97:FN97)&lt;0.0001)</f>
        <v>0</v>
      </c>
      <c r="FP97" s="2064">
        <f ca="1">FP81*(FP88&gt;0)*(SUM($G97:FO97)&lt;0.0001)</f>
        <v>0</v>
      </c>
      <c r="FQ97" s="2064">
        <f ca="1">FQ81*(FQ88&gt;0)*(SUM($G97:FP97)&lt;0.0001)</f>
        <v>0</v>
      </c>
      <c r="FR97" s="2064">
        <f ca="1">FR81*(FR88&gt;0)*(SUM($G97:FQ97)&lt;0.0001)</f>
        <v>0</v>
      </c>
      <c r="FS97" s="2064">
        <f ca="1">FS81*(FS88&gt;0)*(SUM($G97:FR97)&lt;0.0001)</f>
        <v>0</v>
      </c>
      <c r="FT97" s="2064">
        <f ca="1">FT81*(FT88&gt;0)*(SUM($G97:FS97)&lt;0.0001)</f>
        <v>0</v>
      </c>
      <c r="FU97" s="2064">
        <f ca="1">FU81*(FU88&gt;0)*(SUM($G97:FT97)&lt;0.0001)</f>
        <v>0</v>
      </c>
      <c r="FV97" s="2064">
        <f ca="1">FV81*(FV88&gt;0)*(SUM($G97:FU97)&lt;0.0001)</f>
        <v>0</v>
      </c>
      <c r="FW97" s="2064">
        <f ca="1">FW81*(FW88&gt;0)*(SUM($G97:FV97)&lt;0.0001)</f>
        <v>0</v>
      </c>
      <c r="FX97" s="2064">
        <f ca="1">FX81*(FX88&gt;0)*(SUM($G97:FW97)&lt;0.0001)</f>
        <v>0</v>
      </c>
      <c r="FY97" s="2064">
        <f ca="1">FY81*(FY88&gt;0)*(SUM($G97:FX97)&lt;0.0001)</f>
        <v>0</v>
      </c>
      <c r="FZ97" s="2064">
        <f ca="1">FZ81*(FZ88&gt;0)*(SUM($G97:FY97)&lt;0.0001)</f>
        <v>0</v>
      </c>
      <c r="GA97" s="2064">
        <f ca="1">GA81*(GA88&gt;0)*(SUM($G97:FZ97)&lt;0.0001)</f>
        <v>0</v>
      </c>
      <c r="GB97" s="2064">
        <f ca="1">GB81*(GB88&gt;0)*(SUM($G97:GA97)&lt;0.0001)</f>
        <v>0</v>
      </c>
      <c r="GC97" s="2064">
        <f ca="1">GC81*(GC88&gt;0)*(SUM($G97:GB97)&lt;0.0001)</f>
        <v>0</v>
      </c>
      <c r="GD97" s="2064">
        <f ca="1">GD81*(GD88&gt;0)*(SUM($G97:GC97)&lt;0.0001)</f>
        <v>0</v>
      </c>
    </row>
    <row r="98" spans="2:186" ht="15" customHeight="1">
      <c r="B98" s="2064"/>
      <c r="C98" s="2064"/>
      <c r="D98" s="2064"/>
      <c r="E98" s="469" t="s">
        <v>3776</v>
      </c>
      <c r="F98" s="2166">
        <f t="shared" ca="1" si="172"/>
        <v>44651</v>
      </c>
      <c r="G98" s="2064"/>
      <c r="H98" s="2064"/>
      <c r="I98" s="2064"/>
      <c r="J98" s="2064"/>
      <c r="K98" s="2064"/>
      <c r="L98" s="2064"/>
      <c r="M98" s="2064"/>
      <c r="N98" s="2064"/>
      <c r="O98" s="2064"/>
      <c r="P98" s="2064"/>
      <c r="Q98" s="2064"/>
      <c r="R98" s="2064"/>
      <c r="S98" s="2064">
        <f ca="1">S81*(S89&lt;0.0001)*(SUM($G98:R98)&lt;0.0001)</f>
        <v>44651</v>
      </c>
      <c r="T98" s="2064">
        <f ca="1">T81*(T89&lt;0.0001)*(SUM($G98:S98)&lt;0.0001)</f>
        <v>0</v>
      </c>
      <c r="U98" s="2064">
        <f ca="1">U81*(U89&lt;0.0001)*(SUM($G98:T98)&lt;0.0001)</f>
        <v>0</v>
      </c>
      <c r="V98" s="2064">
        <f ca="1">V81*(V89&lt;0.0001)*(SUM($G98:U98)&lt;0.0001)</f>
        <v>0</v>
      </c>
      <c r="W98" s="2064">
        <f ca="1">W81*(W89&lt;0.0001)*(SUM($G98:V98)&lt;0.0001)</f>
        <v>0</v>
      </c>
      <c r="X98" s="2064">
        <f ca="1">X81*(X89&lt;0.0001)*(SUM($G98:W98)&lt;0.0001)</f>
        <v>0</v>
      </c>
      <c r="Y98" s="2064">
        <f ca="1">Y81*(Y89&lt;0.0001)*(SUM($G98:X98)&lt;0.0001)</f>
        <v>0</v>
      </c>
      <c r="Z98" s="2064">
        <f ca="1">Z81*(Z89&lt;0.0001)*(SUM($G98:Y98)&lt;0.0001)</f>
        <v>0</v>
      </c>
      <c r="AA98" s="2064">
        <f ca="1">AA81*(AA89&lt;0.0001)*(SUM($G98:Z98)&lt;0.0001)</f>
        <v>0</v>
      </c>
      <c r="AB98" s="2064">
        <f ca="1">AB81*(AB89&lt;0.0001)*(SUM($G98:AA98)&lt;0.0001)</f>
        <v>0</v>
      </c>
      <c r="AC98" s="2064">
        <f ca="1">AC81*(AC89&lt;0.0001)*(SUM($G98:AB98)&lt;0.0001)</f>
        <v>0</v>
      </c>
      <c r="AD98" s="2064">
        <f ca="1">AD81*(AD89&lt;0.0001)*(SUM($G98:AC98)&lt;0.0001)</f>
        <v>0</v>
      </c>
      <c r="AE98" s="2064">
        <f ca="1">AE81*(AE89&lt;0.0001)*(SUM($G98:AD98)&lt;0.0001)</f>
        <v>0</v>
      </c>
      <c r="AF98" s="2064">
        <f ca="1">AF81*(AF89&lt;0.0001)*(SUM($G98:AE98)&lt;0.0001)</f>
        <v>0</v>
      </c>
      <c r="AG98" s="2064">
        <f ca="1">AG81*(AG89&lt;0.0001)*(SUM($G98:AF98)&lt;0.0001)</f>
        <v>0</v>
      </c>
      <c r="AH98" s="2064">
        <f ca="1">AH81*(AH89&lt;0.0001)*(SUM($G98:AG98)&lt;0.0001)</f>
        <v>0</v>
      </c>
      <c r="AI98" s="2064">
        <f ca="1">AI81*(AI89&lt;0.0001)*(SUM($G98:AH98)&lt;0.0001)</f>
        <v>0</v>
      </c>
      <c r="AJ98" s="2064">
        <f ca="1">AJ81*(AJ89&lt;0.0001)*(SUM($G98:AI98)&lt;0.0001)</f>
        <v>0</v>
      </c>
      <c r="AK98" s="2064">
        <f ca="1">AK81*(AK89&lt;0.0001)*(SUM($G98:AJ98)&lt;0.0001)</f>
        <v>0</v>
      </c>
      <c r="AL98" s="2064">
        <f ca="1">AL81*(AL89&lt;0.0001)*(SUM($G98:AK98)&lt;0.0001)</f>
        <v>0</v>
      </c>
      <c r="AM98" s="2064">
        <f ca="1">AM81*(AM89&lt;0.0001)*(SUM($G98:AL98)&lt;0.0001)</f>
        <v>0</v>
      </c>
      <c r="AN98" s="2064">
        <f ca="1">AN81*(AN89&lt;0.0001)*(SUM($G98:AM98)&lt;0.0001)</f>
        <v>0</v>
      </c>
      <c r="AO98" s="2064">
        <f ca="1">AO81*(AO89&lt;0.0001)*(SUM($G98:AN98)&lt;0.0001)</f>
        <v>0</v>
      </c>
      <c r="AP98" s="2064">
        <f ca="1">AP81*(AP89&lt;0.0001)*(SUM($G98:AO98)&lt;0.0001)</f>
        <v>0</v>
      </c>
      <c r="AQ98" s="2064">
        <f ca="1">AQ81*(AQ89&lt;0.0001)*(SUM($G98:AP98)&lt;0.0001)</f>
        <v>0</v>
      </c>
      <c r="AR98" s="2064">
        <f ca="1">AR81*(AR89&lt;0.0001)*(SUM($G98:AQ98)&lt;0.0001)</f>
        <v>0</v>
      </c>
      <c r="AS98" s="2064">
        <f ca="1">AS81*(AS89&lt;0.0001)*(SUM($G98:AR98)&lt;0.0001)</f>
        <v>0</v>
      </c>
      <c r="AT98" s="2064">
        <f ca="1">AT81*(AT89&lt;0.0001)*(SUM($G98:AS98)&lt;0.0001)</f>
        <v>0</v>
      </c>
      <c r="AU98" s="2064">
        <f ca="1">AU81*(AU89&lt;0.0001)*(SUM($G98:AT98)&lt;0.0001)</f>
        <v>0</v>
      </c>
      <c r="AV98" s="2064">
        <f ca="1">AV81*(AV89&lt;0.0001)*(SUM($G98:AU98)&lt;0.0001)</f>
        <v>0</v>
      </c>
      <c r="AW98" s="2064">
        <f ca="1">AW81*(AW89&lt;0.0001)*(SUM($G98:AV98)&lt;0.0001)</f>
        <v>0</v>
      </c>
      <c r="AX98" s="2064">
        <f ca="1">AX81*(AX89&lt;0.0001)*(SUM($G98:AW98)&lt;0.0001)</f>
        <v>0</v>
      </c>
      <c r="AY98" s="2064">
        <f ca="1">AY81*(AY89&lt;0.0001)*(SUM($G98:AX98)&lt;0.0001)</f>
        <v>0</v>
      </c>
      <c r="AZ98" s="2064">
        <f ca="1">AZ81*(AZ89&lt;0.0001)*(SUM($G98:AY98)&lt;0.0001)</f>
        <v>0</v>
      </c>
      <c r="BA98" s="2064">
        <f ca="1">BA81*(BA89&lt;0.0001)*(SUM($G98:AZ98)&lt;0.0001)</f>
        <v>0</v>
      </c>
      <c r="BB98" s="2064">
        <f ca="1">BB81*(BB89&lt;0.0001)*(SUM($G98:BA98)&lt;0.0001)</f>
        <v>0</v>
      </c>
      <c r="BC98" s="2064">
        <f ca="1">BC81*(BC89&lt;0.0001)*(SUM($G98:BB98)&lt;0.0001)</f>
        <v>0</v>
      </c>
      <c r="BD98" s="2064">
        <f ca="1">BD81*(BD89&lt;0.0001)*(SUM($G98:BC98)&lt;0.0001)</f>
        <v>0</v>
      </c>
      <c r="BE98" s="2064">
        <f ca="1">BE81*(BE89&lt;0.0001)*(SUM($G98:BD98)&lt;0.0001)</f>
        <v>0</v>
      </c>
      <c r="BF98" s="2064">
        <f ca="1">BF81*(BF89&lt;0.0001)*(SUM($G98:BE98)&lt;0.0001)</f>
        <v>0</v>
      </c>
      <c r="BG98" s="2064">
        <f ca="1">BG81*(BG89&lt;0.0001)*(SUM($G98:BF98)&lt;0.0001)</f>
        <v>0</v>
      </c>
      <c r="BH98" s="2064">
        <f ca="1">BH81*(BH89&lt;0.0001)*(SUM($G98:BG98)&lt;0.0001)</f>
        <v>0</v>
      </c>
      <c r="BI98" s="2064">
        <f ca="1">BI81*(BI89&lt;0.0001)*(SUM($G98:BH98)&lt;0.0001)</f>
        <v>0</v>
      </c>
      <c r="BJ98" s="2064">
        <f ca="1">BJ81*(BJ89&lt;0.0001)*(SUM($G98:BI98)&lt;0.0001)</f>
        <v>0</v>
      </c>
      <c r="BK98" s="2064">
        <f ca="1">BK81*(BK89&lt;0.0001)*(SUM($G98:BJ98)&lt;0.0001)</f>
        <v>0</v>
      </c>
      <c r="BL98" s="2064">
        <f ca="1">BL81*(BL89&lt;0.0001)*(SUM($G98:BK98)&lt;0.0001)</f>
        <v>0</v>
      </c>
      <c r="BM98" s="2064">
        <f ca="1">BM81*(BM89&lt;0.0001)*(SUM($G98:BL98)&lt;0.0001)</f>
        <v>0</v>
      </c>
      <c r="BN98" s="2064">
        <f ca="1">BN81*(BN89&lt;0.0001)*(SUM($G98:BM98)&lt;0.0001)</f>
        <v>0</v>
      </c>
      <c r="BO98" s="2064">
        <f ca="1">BO81*(BO89&lt;0.0001)*(SUM($G98:BN98)&lt;0.0001)</f>
        <v>0</v>
      </c>
      <c r="BP98" s="2064">
        <f ca="1">BP81*(BP89&lt;0.0001)*(SUM($G98:BO98)&lt;0.0001)</f>
        <v>0</v>
      </c>
      <c r="BQ98" s="2064">
        <f ca="1">BQ81*(BQ89&lt;0.0001)*(SUM($G98:BP98)&lt;0.0001)</f>
        <v>0</v>
      </c>
      <c r="BR98" s="2064">
        <f ca="1">BR81*(BR89&lt;0.0001)*(SUM($G98:BQ98)&lt;0.0001)</f>
        <v>0</v>
      </c>
      <c r="BS98" s="2064">
        <f ca="1">BS81*(BS89&lt;0.0001)*(SUM($G98:BR98)&lt;0.0001)</f>
        <v>0</v>
      </c>
      <c r="BT98" s="2064">
        <f ca="1">BT81*(BT89&lt;0.0001)*(SUM($G98:BS98)&lt;0.0001)</f>
        <v>0</v>
      </c>
      <c r="BU98" s="2064">
        <f ca="1">BU81*(BU89&lt;0.0001)*(SUM($G98:BT98)&lt;0.0001)</f>
        <v>0</v>
      </c>
      <c r="BV98" s="2064">
        <f ca="1">BV81*(BV89&lt;0.0001)*(SUM($G98:BU98)&lt;0.0001)</f>
        <v>0</v>
      </c>
      <c r="BW98" s="2064">
        <f ca="1">BW81*(BW89&lt;0.0001)*(SUM($G98:BV98)&lt;0.0001)</f>
        <v>0</v>
      </c>
      <c r="BX98" s="2064">
        <f ca="1">BX81*(BX89&lt;0.0001)*(SUM($G98:BW98)&lt;0.0001)</f>
        <v>0</v>
      </c>
      <c r="BY98" s="2064">
        <f ca="1">BY81*(BY89&lt;0.0001)*(SUM($G98:BX98)&lt;0.0001)</f>
        <v>0</v>
      </c>
      <c r="BZ98" s="2064">
        <f ca="1">BZ81*(BZ89&lt;0.0001)*(SUM($G98:BY98)&lt;0.0001)</f>
        <v>0</v>
      </c>
      <c r="CA98" s="2064">
        <f ca="1">CA81*(CA89&lt;0.0001)*(SUM($G98:BZ98)&lt;0.0001)</f>
        <v>0</v>
      </c>
      <c r="CB98" s="2064">
        <f ca="1">CB81*(CB89&lt;0.0001)*(SUM($G98:CA98)&lt;0.0001)</f>
        <v>0</v>
      </c>
      <c r="CC98" s="2064">
        <f ca="1">CC81*(CC89&lt;0.0001)*(SUM($G98:CB98)&lt;0.0001)</f>
        <v>0</v>
      </c>
      <c r="CD98" s="2064">
        <f ca="1">CD81*(CD89&lt;0.0001)*(SUM($G98:CC98)&lt;0.0001)</f>
        <v>0</v>
      </c>
      <c r="CE98" s="2064">
        <f ca="1">CE81*(CE89&lt;0.0001)*(SUM($G98:CD98)&lt;0.0001)</f>
        <v>0</v>
      </c>
      <c r="CF98" s="2064">
        <f ca="1">CF81*(CF89&lt;0.0001)*(SUM($G98:CE98)&lt;0.0001)</f>
        <v>0</v>
      </c>
      <c r="CG98" s="2064">
        <f ca="1">CG81*(CG89&lt;0.0001)*(SUM($G98:CF98)&lt;0.0001)</f>
        <v>0</v>
      </c>
      <c r="CH98" s="2064">
        <f ca="1">CH81*(CH89&lt;0.0001)*(SUM($G98:CG98)&lt;0.0001)</f>
        <v>0</v>
      </c>
      <c r="CI98" s="2064">
        <f ca="1">CI81*(CI89&lt;0.0001)*(SUM($G98:CH98)&lt;0.0001)</f>
        <v>0</v>
      </c>
      <c r="CJ98" s="2064">
        <f ca="1">CJ81*(CJ89&lt;0.0001)*(SUM($G98:CI98)&lt;0.0001)</f>
        <v>0</v>
      </c>
      <c r="CK98" s="2064">
        <f ca="1">CK81*(CK89&lt;0.0001)*(SUM($G98:CJ98)&lt;0.0001)</f>
        <v>0</v>
      </c>
      <c r="CL98" s="2064">
        <f ca="1">CL81*(CL89&lt;0.0001)*(SUM($G98:CK98)&lt;0.0001)</f>
        <v>0</v>
      </c>
      <c r="CM98" s="2064">
        <f ca="1">CM81*(CM89&lt;0.0001)*(SUM($G98:CL98)&lt;0.0001)</f>
        <v>0</v>
      </c>
      <c r="CN98" s="2064">
        <f ca="1">CN81*(CN89&lt;0.0001)*(SUM($G98:CM98)&lt;0.0001)</f>
        <v>0</v>
      </c>
      <c r="CO98" s="2064">
        <f ca="1">CO81*(CO89&lt;0.0001)*(SUM($G98:CN98)&lt;0.0001)</f>
        <v>0</v>
      </c>
      <c r="CP98" s="2064">
        <f ca="1">CP81*(CP89&lt;0.0001)*(SUM($G98:CO98)&lt;0.0001)</f>
        <v>0</v>
      </c>
      <c r="CQ98" s="2064">
        <f ca="1">CQ81*(CQ89&lt;0.0001)*(SUM($G98:CP98)&lt;0.0001)</f>
        <v>0</v>
      </c>
      <c r="CR98" s="2064">
        <f ca="1">CR81*(CR89&lt;0.0001)*(SUM($G98:CQ98)&lt;0.0001)</f>
        <v>0</v>
      </c>
      <c r="CS98" s="2064">
        <f ca="1">CS81*(CS89&lt;0.0001)*(SUM($G98:CR98)&lt;0.0001)</f>
        <v>0</v>
      </c>
      <c r="CT98" s="2064">
        <f ca="1">CT81*(CT89&lt;0.0001)*(SUM($G98:CS98)&lt;0.0001)</f>
        <v>0</v>
      </c>
      <c r="CU98" s="2064">
        <f ca="1">CU81*(CU89&lt;0.0001)*(SUM($G98:CT98)&lt;0.0001)</f>
        <v>0</v>
      </c>
      <c r="CV98" s="2064">
        <f ca="1">CV81*(CV89&lt;0.0001)*(SUM($G98:CU98)&lt;0.0001)</f>
        <v>0</v>
      </c>
      <c r="CW98" s="2064">
        <f ca="1">CW81*(CW89&lt;0.0001)*(SUM($G98:CV98)&lt;0.0001)</f>
        <v>0</v>
      </c>
      <c r="CX98" s="2064">
        <f ca="1">CX81*(CX89&lt;0.0001)*(SUM($G98:CW98)&lt;0.0001)</f>
        <v>0</v>
      </c>
      <c r="CY98" s="2064">
        <f ca="1">CY81*(CY89&lt;0.0001)*(SUM($G98:CX98)&lt;0.0001)</f>
        <v>0</v>
      </c>
      <c r="CZ98" s="2064">
        <f ca="1">CZ81*(CZ89&lt;0.0001)*(SUM($G98:CY98)&lt;0.0001)</f>
        <v>0</v>
      </c>
      <c r="DA98" s="2064">
        <f ca="1">DA81*(DA89&lt;0.0001)*(SUM($G98:CZ98)&lt;0.0001)</f>
        <v>0</v>
      </c>
      <c r="DB98" s="2064">
        <f ca="1">DB81*(DB89&lt;0.0001)*(SUM($G98:DA98)&lt;0.0001)</f>
        <v>0</v>
      </c>
      <c r="DC98" s="2064">
        <f ca="1">DC81*(DC89&lt;0.0001)*(SUM($G98:DB98)&lt;0.0001)</f>
        <v>0</v>
      </c>
      <c r="DD98" s="2064">
        <f ca="1">DD81*(DD89&lt;0.0001)*(SUM($G98:DC98)&lt;0.0001)</f>
        <v>0</v>
      </c>
      <c r="DE98" s="2064">
        <f ca="1">DE81*(DE89&lt;0.0001)*(SUM($G98:DD98)&lt;0.0001)</f>
        <v>0</v>
      </c>
      <c r="DF98" s="2064">
        <f ca="1">DF81*(DF89&lt;0.0001)*(SUM($G98:DE98)&lt;0.0001)</f>
        <v>0</v>
      </c>
      <c r="DG98" s="2064">
        <f ca="1">DG81*(DG89&lt;0.0001)*(SUM($G98:DF98)&lt;0.0001)</f>
        <v>0</v>
      </c>
      <c r="DH98" s="2064">
        <f ca="1">DH81*(DH89&lt;0.0001)*(SUM($G98:DG98)&lt;0.0001)</f>
        <v>0</v>
      </c>
      <c r="DI98" s="2064">
        <f ca="1">DI81*(DI89&lt;0.0001)*(SUM($G98:DH98)&lt;0.0001)</f>
        <v>0</v>
      </c>
      <c r="DJ98" s="2064">
        <f ca="1">DJ81*(DJ89&lt;0.0001)*(SUM($G98:DI98)&lt;0.0001)</f>
        <v>0</v>
      </c>
      <c r="DK98" s="2064">
        <f ca="1">DK81*(DK89&lt;0.0001)*(SUM($G98:DJ98)&lt;0.0001)</f>
        <v>0</v>
      </c>
      <c r="DL98" s="2064">
        <f ca="1">DL81*(DL89&lt;0.0001)*(SUM($G98:DK98)&lt;0.0001)</f>
        <v>0</v>
      </c>
      <c r="DM98" s="2064">
        <f ca="1">DM81*(DM89&lt;0.0001)*(SUM($G98:DL98)&lt;0.0001)</f>
        <v>0</v>
      </c>
      <c r="DN98" s="2064">
        <f ca="1">DN81*(DN89&lt;0.0001)*(SUM($G98:DM98)&lt;0.0001)</f>
        <v>0</v>
      </c>
      <c r="DO98" s="2064">
        <f ca="1">DO81*(DO89&lt;0.0001)*(SUM($G98:DN98)&lt;0.0001)</f>
        <v>0</v>
      </c>
      <c r="DP98" s="2064">
        <f ca="1">DP81*(DP89&lt;0.0001)*(SUM($G98:DO98)&lt;0.0001)</f>
        <v>0</v>
      </c>
      <c r="DQ98" s="2064">
        <f ca="1">DQ81*(DQ89&lt;0.0001)*(SUM($G98:DP98)&lt;0.0001)</f>
        <v>0</v>
      </c>
      <c r="DR98" s="2064">
        <f ca="1">DR81*(DR89&lt;0.0001)*(SUM($G98:DQ98)&lt;0.0001)</f>
        <v>0</v>
      </c>
      <c r="DS98" s="2064">
        <f ca="1">DS81*(DS89&lt;0.0001)*(SUM($G98:DR98)&lt;0.0001)</f>
        <v>0</v>
      </c>
      <c r="DT98" s="2064">
        <f ca="1">DT81*(DT89&lt;0.0001)*(SUM($G98:DS98)&lt;0.0001)</f>
        <v>0</v>
      </c>
      <c r="DU98" s="2064">
        <f ca="1">DU81*(DU89&lt;0.0001)*(SUM($G98:DT98)&lt;0.0001)</f>
        <v>0</v>
      </c>
      <c r="DV98" s="2064">
        <f ca="1">DV81*(DV89&lt;0.0001)*(SUM($G98:DU98)&lt;0.0001)</f>
        <v>0</v>
      </c>
      <c r="DW98" s="2064">
        <f ca="1">DW81*(DW89&lt;0.0001)*(SUM($G98:DV98)&lt;0.0001)</f>
        <v>0</v>
      </c>
      <c r="DX98" s="2064">
        <f ca="1">DX81*(DX89&lt;0.0001)*(SUM($G98:DW98)&lt;0.0001)</f>
        <v>0</v>
      </c>
      <c r="DY98" s="2064">
        <f ca="1">DY81*(DY89&lt;0.0001)*(SUM($G98:DX98)&lt;0.0001)</f>
        <v>0</v>
      </c>
      <c r="DZ98" s="2064">
        <f ca="1">DZ81*(DZ89&lt;0.0001)*(SUM($G98:DY98)&lt;0.0001)</f>
        <v>0</v>
      </c>
      <c r="EA98" s="2064">
        <f ca="1">EA81*(EA89&lt;0.0001)*(SUM($G98:DZ98)&lt;0.0001)</f>
        <v>0</v>
      </c>
      <c r="EB98" s="2064">
        <f ca="1">EB81*(EB89&lt;0.0001)*(SUM($G98:EA98)&lt;0.0001)</f>
        <v>0</v>
      </c>
      <c r="EC98" s="2064">
        <f ca="1">EC81*(EC89&lt;0.0001)*(SUM($G98:EB98)&lt;0.0001)</f>
        <v>0</v>
      </c>
      <c r="ED98" s="2064">
        <f ca="1">ED81*(ED89&lt;0.0001)*(SUM($G98:EC98)&lt;0.0001)</f>
        <v>0</v>
      </c>
      <c r="EE98" s="2064">
        <f ca="1">EE81*(EE89&lt;0.0001)*(SUM($G98:ED98)&lt;0.0001)</f>
        <v>0</v>
      </c>
      <c r="EF98" s="2064">
        <f ca="1">EF81*(EF89&lt;0.0001)*(SUM($G98:EE98)&lt;0.0001)</f>
        <v>0</v>
      </c>
      <c r="EG98" s="2064">
        <f ca="1">EG81*(EG89&lt;0.0001)*(SUM($G98:EF98)&lt;0.0001)</f>
        <v>0</v>
      </c>
      <c r="EH98" s="2064">
        <f ca="1">EH81*(EH89&lt;0.0001)*(SUM($G98:EG98)&lt;0.0001)</f>
        <v>0</v>
      </c>
      <c r="EI98" s="2064">
        <f ca="1">EI81*(EI89&lt;0.0001)*(SUM($G98:EH98)&lt;0.0001)</f>
        <v>0</v>
      </c>
      <c r="EJ98" s="2064">
        <f ca="1">EJ81*(EJ89&lt;0.0001)*(SUM($G98:EI98)&lt;0.0001)</f>
        <v>0</v>
      </c>
      <c r="EK98" s="2064">
        <f ca="1">EK81*(EK89&lt;0.0001)*(SUM($G98:EJ98)&lt;0.0001)</f>
        <v>0</v>
      </c>
      <c r="EL98" s="2064">
        <f ca="1">EL81*(EL89&lt;0.0001)*(SUM($G98:EK98)&lt;0.0001)</f>
        <v>0</v>
      </c>
      <c r="EM98" s="2064">
        <f ca="1">EM81*(EM89&lt;0.0001)*(SUM($G98:EL98)&lt;0.0001)</f>
        <v>0</v>
      </c>
      <c r="EN98" s="2064">
        <f ca="1">EN81*(EN89&lt;0.0001)*(SUM($G98:EM98)&lt;0.0001)</f>
        <v>0</v>
      </c>
      <c r="EO98" s="2064">
        <f ca="1">EO81*(EO89&lt;0.0001)*(SUM($G98:EN98)&lt;0.0001)</f>
        <v>0</v>
      </c>
      <c r="EP98" s="2064">
        <f ca="1">EP81*(EP89&lt;0.0001)*(SUM($G98:EO98)&lt;0.0001)</f>
        <v>0</v>
      </c>
      <c r="EQ98" s="2064">
        <f ca="1">EQ81*(EQ89&lt;0.0001)*(SUM($G98:EP98)&lt;0.0001)</f>
        <v>0</v>
      </c>
      <c r="ER98" s="2064">
        <f ca="1">ER81*(ER89&lt;0.0001)*(SUM($G98:EQ98)&lt;0.0001)</f>
        <v>0</v>
      </c>
      <c r="ES98" s="2064">
        <f ca="1">ES81*(ES89&lt;0.0001)*(SUM($G98:ER98)&lt;0.0001)</f>
        <v>0</v>
      </c>
      <c r="ET98" s="2064">
        <f ca="1">ET81*(ET89&lt;0.0001)*(SUM($G98:ES98)&lt;0.0001)</f>
        <v>0</v>
      </c>
      <c r="EU98" s="2064">
        <f ca="1">EU81*(EU89&lt;0.0001)*(SUM($G98:ET98)&lt;0.0001)</f>
        <v>0</v>
      </c>
      <c r="EV98" s="2064">
        <f ca="1">EV81*(EV89&lt;0.0001)*(SUM($G98:EU98)&lt;0.0001)</f>
        <v>0</v>
      </c>
      <c r="EW98" s="2064">
        <f ca="1">EW81*(EW89&lt;0.0001)*(SUM($G98:EV98)&lt;0.0001)</f>
        <v>0</v>
      </c>
      <c r="EX98" s="2064">
        <f ca="1">EX81*(EX89&lt;0.0001)*(SUM($G98:EW98)&lt;0.0001)</f>
        <v>0</v>
      </c>
      <c r="EY98" s="2064">
        <f ca="1">EY81*(EY89&lt;0.0001)*(SUM($G98:EX98)&lt;0.0001)</f>
        <v>0</v>
      </c>
      <c r="EZ98" s="2064">
        <f ca="1">EZ81*(EZ89&lt;0.0001)*(SUM($G98:EY98)&lt;0.0001)</f>
        <v>0</v>
      </c>
      <c r="FA98" s="2064">
        <f ca="1">FA81*(FA89&lt;0.0001)*(SUM($G98:EZ98)&lt;0.0001)</f>
        <v>0</v>
      </c>
      <c r="FB98" s="2064">
        <f ca="1">FB81*(FB89&lt;0.0001)*(SUM($G98:FA98)&lt;0.0001)</f>
        <v>0</v>
      </c>
      <c r="FC98" s="2064">
        <f ca="1">FC81*(FC89&lt;0.0001)*(SUM($G98:FB98)&lt;0.0001)</f>
        <v>0</v>
      </c>
      <c r="FD98" s="2064">
        <f ca="1">FD81*(FD89&lt;0.0001)*(SUM($G98:FC98)&lt;0.0001)</f>
        <v>0</v>
      </c>
      <c r="FE98" s="2064">
        <f ca="1">FE81*(FE89&lt;0.0001)*(SUM($G98:FD98)&lt;0.0001)</f>
        <v>0</v>
      </c>
      <c r="FF98" s="2064">
        <f ca="1">FF81*(FF89&lt;0.0001)*(SUM($G98:FE98)&lt;0.0001)</f>
        <v>0</v>
      </c>
      <c r="FG98" s="2064">
        <f ca="1">FG81*(FG89&lt;0.0001)*(SUM($G98:FF98)&lt;0.0001)</f>
        <v>0</v>
      </c>
      <c r="FH98" s="2064">
        <f ca="1">FH81*(FH89&lt;0.0001)*(SUM($G98:FG98)&lt;0.0001)</f>
        <v>0</v>
      </c>
      <c r="FI98" s="2064">
        <f ca="1">FI81*(FI89&lt;0.0001)*(SUM($G98:FH98)&lt;0.0001)</f>
        <v>0</v>
      </c>
      <c r="FJ98" s="2064">
        <f ca="1">FJ81*(FJ89&lt;0.0001)*(SUM($G98:FI98)&lt;0.0001)</f>
        <v>0</v>
      </c>
      <c r="FK98" s="2064">
        <f ca="1">FK81*(FK89&lt;0.0001)*(SUM($G98:FJ98)&lt;0.0001)</f>
        <v>0</v>
      </c>
      <c r="FL98" s="2064">
        <f ca="1">FL81*(FL89&lt;0.0001)*(SUM($G98:FK98)&lt;0.0001)</f>
        <v>0</v>
      </c>
      <c r="FM98" s="2064">
        <f ca="1">FM81*(FM89&lt;0.0001)*(SUM($G98:FL98)&lt;0.0001)</f>
        <v>0</v>
      </c>
      <c r="FN98" s="2064">
        <f ca="1">FN81*(FN89&lt;0.0001)*(SUM($G98:FM98)&lt;0.0001)</f>
        <v>0</v>
      </c>
      <c r="FO98" s="2064">
        <f ca="1">FO81*(FO89&lt;0.0001)*(SUM($G98:FN98)&lt;0.0001)</f>
        <v>0</v>
      </c>
      <c r="FP98" s="2064">
        <f ca="1">FP81*(FP89&lt;0.0001)*(SUM($G98:FO98)&lt;0.0001)</f>
        <v>0</v>
      </c>
      <c r="FQ98" s="2064">
        <f ca="1">FQ81*(FQ89&lt;0.0001)*(SUM($G98:FP98)&lt;0.0001)</f>
        <v>0</v>
      </c>
      <c r="FR98" s="2064">
        <f ca="1">FR81*(FR89&lt;0.0001)*(SUM($G98:FQ98)&lt;0.0001)</f>
        <v>0</v>
      </c>
      <c r="FS98" s="2064">
        <f ca="1">FS81*(FS89&lt;0.0001)*(SUM($G98:FR98)&lt;0.0001)</f>
        <v>0</v>
      </c>
      <c r="FT98" s="2064">
        <f ca="1">FT81*(FT89&lt;0.0001)*(SUM($G98:FS98)&lt;0.0001)</f>
        <v>0</v>
      </c>
      <c r="FU98" s="2064">
        <f ca="1">FU81*(FU89&lt;0.0001)*(SUM($G98:FT98)&lt;0.0001)</f>
        <v>0</v>
      </c>
      <c r="FV98" s="2064">
        <f ca="1">FV81*(FV89&lt;0.0001)*(SUM($G98:FU98)&lt;0.0001)</f>
        <v>0</v>
      </c>
      <c r="FW98" s="2064">
        <f ca="1">FW81*(FW89&lt;0.0001)*(SUM($G98:FV98)&lt;0.0001)</f>
        <v>0</v>
      </c>
      <c r="FX98" s="2064">
        <f ca="1">FX81*(FX89&lt;0.0001)*(SUM($G98:FW98)&lt;0.0001)</f>
        <v>0</v>
      </c>
      <c r="FY98" s="2064">
        <f ca="1">FY81*(FY89&lt;0.0001)*(SUM($G98:FX98)&lt;0.0001)</f>
        <v>0</v>
      </c>
      <c r="FZ98" s="2064">
        <f ca="1">FZ81*(FZ89&lt;0.0001)*(SUM($G98:FY98)&lt;0.0001)</f>
        <v>0</v>
      </c>
      <c r="GA98" s="2064">
        <f ca="1">GA81*(GA89&lt;0.0001)*(SUM($G98:FZ98)&lt;0.0001)</f>
        <v>0</v>
      </c>
      <c r="GB98" s="2064">
        <f ca="1">GB81*(GB89&lt;0.0001)*(SUM($G98:GA98)&lt;0.0001)</f>
        <v>0</v>
      </c>
      <c r="GC98" s="2064">
        <f ca="1">GC81*(GC89&lt;0.0001)*(SUM($G98:GB98)&lt;0.0001)</f>
        <v>0</v>
      </c>
      <c r="GD98" s="2064">
        <f ca="1">GD81*(GD89&lt;0.0001)*(SUM($G98:GC98)&lt;0.0001)</f>
        <v>0</v>
      </c>
    </row>
    <row r="99" spans="2:186" ht="15" customHeight="1">
      <c r="B99" s="2105"/>
      <c r="D99" s="2065"/>
      <c r="E99" s="2106"/>
      <c r="F99" s="469"/>
      <c r="G99" s="2064"/>
      <c r="H99" s="2064"/>
      <c r="I99" s="2064"/>
      <c r="J99" s="2064"/>
      <c r="K99" s="2064"/>
      <c r="L99" s="2064"/>
      <c r="M99" s="2064"/>
      <c r="N99" s="2064"/>
      <c r="O99" s="2064"/>
      <c r="P99" s="2064"/>
      <c r="Q99" s="2064"/>
      <c r="R99" s="2064"/>
      <c r="S99" s="2064"/>
      <c r="T99" s="2064"/>
      <c r="U99" s="2064"/>
      <c r="V99" s="2064"/>
      <c r="W99" s="2064"/>
      <c r="X99" s="2064"/>
      <c r="Y99" s="2064"/>
      <c r="Z99" s="2064"/>
      <c r="AA99" s="2064"/>
      <c r="AB99" s="2064"/>
      <c r="AC99" s="2064"/>
      <c r="AD99" s="2064"/>
      <c r="AE99" s="2064"/>
      <c r="AF99" s="2064"/>
      <c r="AG99" s="450"/>
      <c r="AH99" s="450"/>
      <c r="AI99" s="450"/>
      <c r="AJ99" s="450"/>
      <c r="AK99" s="450"/>
      <c r="AL99" s="450"/>
      <c r="AM99" s="450"/>
      <c r="AN99" s="450"/>
      <c r="AO99" s="450"/>
      <c r="AP99" s="450"/>
      <c r="AQ99" s="450"/>
      <c r="AR99" s="450"/>
      <c r="AS99" s="450"/>
      <c r="AT99" s="450"/>
      <c r="AU99" s="450"/>
      <c r="AV99" s="450"/>
      <c r="AW99" s="450"/>
      <c r="AX99" s="450"/>
      <c r="AY99" s="450"/>
      <c r="AZ99" s="450"/>
      <c r="BA99" s="450"/>
      <c r="BB99" s="450"/>
      <c r="BC99" s="450"/>
      <c r="BD99" s="450"/>
      <c r="BE99" s="450"/>
      <c r="BF99" s="450"/>
      <c r="BG99" s="450"/>
      <c r="BH99" s="450"/>
      <c r="BI99" s="450"/>
      <c r="BJ99" s="450"/>
      <c r="BK99" s="450"/>
      <c r="BL99" s="450"/>
      <c r="BM99" s="450"/>
      <c r="BN99" s="450"/>
      <c r="BO99" s="450"/>
      <c r="BP99" s="450"/>
      <c r="BQ99" s="450"/>
      <c r="BR99" s="450"/>
      <c r="BS99" s="450"/>
      <c r="BT99" s="450"/>
      <c r="BU99" s="450"/>
      <c r="BV99" s="450"/>
      <c r="BW99" s="450"/>
      <c r="BX99" s="450"/>
      <c r="BY99" s="450"/>
      <c r="BZ99" s="450"/>
      <c r="CA99" s="450"/>
      <c r="CB99" s="450"/>
      <c r="CC99" s="450"/>
      <c r="CD99" s="450"/>
      <c r="CE99" s="450"/>
      <c r="CF99" s="450"/>
      <c r="CG99" s="450"/>
      <c r="CH99" s="450"/>
      <c r="CI99" s="450"/>
      <c r="CJ99" s="450"/>
      <c r="CK99" s="450"/>
      <c r="CL99" s="450"/>
      <c r="CM99" s="450"/>
      <c r="CN99" s="450"/>
      <c r="CO99" s="450"/>
      <c r="CP99" s="450"/>
      <c r="CQ99" s="450"/>
      <c r="CR99" s="450"/>
      <c r="CS99" s="450"/>
      <c r="CT99" s="450"/>
      <c r="CU99" s="450"/>
      <c r="CV99" s="450"/>
      <c r="CW99" s="450"/>
      <c r="CX99" s="450"/>
      <c r="CY99" s="450"/>
      <c r="CZ99" s="450"/>
      <c r="DA99" s="450"/>
      <c r="DB99" s="450"/>
      <c r="DC99" s="450"/>
      <c r="DD99" s="450"/>
      <c r="DE99" s="450"/>
      <c r="DF99" s="450"/>
      <c r="DG99" s="450"/>
      <c r="DH99" s="450"/>
      <c r="DI99" s="450"/>
      <c r="DJ99" s="450"/>
      <c r="DK99" s="450"/>
      <c r="DL99" s="450"/>
      <c r="DM99" s="450"/>
      <c r="DN99" s="450"/>
      <c r="DO99" s="450"/>
      <c r="DP99" s="450"/>
      <c r="DQ99" s="450"/>
      <c r="DR99" s="450"/>
      <c r="DS99" s="450"/>
      <c r="DT99" s="450"/>
      <c r="DU99" s="450"/>
      <c r="DV99" s="450"/>
      <c r="DW99" s="450"/>
      <c r="DX99" s="450"/>
      <c r="DY99" s="450"/>
      <c r="DZ99" s="450"/>
      <c r="EA99" s="450"/>
      <c r="EB99" s="450"/>
      <c r="EC99" s="450"/>
      <c r="ED99" s="450"/>
      <c r="EE99" s="450"/>
      <c r="EF99" s="450"/>
      <c r="EG99" s="450"/>
      <c r="EH99" s="450"/>
      <c r="EI99" s="450"/>
      <c r="EJ99" s="450"/>
      <c r="EK99" s="450"/>
      <c r="EL99" s="450"/>
      <c r="EM99" s="450"/>
      <c r="EN99" s="450"/>
      <c r="EO99" s="450"/>
      <c r="EP99" s="450"/>
      <c r="EQ99" s="450"/>
      <c r="ER99" s="450"/>
      <c r="ES99" s="450"/>
      <c r="ET99" s="450"/>
      <c r="EU99" s="450"/>
      <c r="EV99" s="450"/>
      <c r="EW99" s="450"/>
      <c r="EX99" s="450"/>
      <c r="EY99" s="450"/>
      <c r="EZ99" s="450"/>
      <c r="FA99" s="450"/>
      <c r="FB99" s="450"/>
      <c r="FC99" s="450"/>
      <c r="FD99" s="450"/>
      <c r="FE99" s="450"/>
      <c r="FF99" s="450"/>
      <c r="FG99" s="450"/>
      <c r="FH99" s="450"/>
      <c r="FI99" s="450"/>
      <c r="FJ99" s="450"/>
      <c r="FK99" s="450"/>
      <c r="FL99" s="450"/>
      <c r="FM99" s="450"/>
      <c r="FN99" s="450"/>
      <c r="FO99" s="450"/>
      <c r="FP99" s="450"/>
      <c r="FQ99" s="450"/>
      <c r="FR99" s="450"/>
      <c r="FS99" s="450"/>
      <c r="FT99" s="450"/>
      <c r="FU99" s="450"/>
      <c r="FV99" s="450"/>
      <c r="FW99" s="450"/>
      <c r="FX99" s="450"/>
      <c r="FY99" s="450"/>
      <c r="FZ99" s="450"/>
      <c r="GA99" s="450"/>
      <c r="GB99" s="450"/>
      <c r="GC99" s="450"/>
      <c r="GD99" s="450"/>
    </row>
    <row r="100" spans="2:186" ht="15" customHeight="1">
      <c r="B100" s="2105"/>
      <c r="D100" s="2065"/>
      <c r="E100" s="2106"/>
      <c r="F100" s="469"/>
      <c r="G100" s="2064"/>
      <c r="H100" s="2064"/>
      <c r="I100" s="2064"/>
      <c r="J100" s="2064"/>
      <c r="K100" s="2064"/>
      <c r="L100" s="2064"/>
      <c r="M100" s="2064"/>
      <c r="N100" s="2064"/>
      <c r="O100" s="2064"/>
      <c r="P100" s="2064"/>
      <c r="Q100" s="2064"/>
      <c r="R100" s="2064"/>
      <c r="S100" s="2064"/>
      <c r="T100" s="2064"/>
      <c r="U100" s="2064"/>
      <c r="V100" s="2064"/>
      <c r="W100" s="2064"/>
      <c r="X100" s="2064"/>
      <c r="Y100" s="2064"/>
      <c r="Z100" s="2064"/>
      <c r="AA100" s="2064"/>
      <c r="AB100" s="2064"/>
      <c r="AC100" s="2064"/>
      <c r="AD100" s="2064"/>
      <c r="AE100" s="2064"/>
      <c r="AF100" s="2064"/>
      <c r="AG100" s="450"/>
      <c r="AH100" s="450"/>
      <c r="AI100" s="450"/>
      <c r="AJ100" s="450"/>
      <c r="AK100" s="450"/>
      <c r="AL100" s="450"/>
      <c r="AM100" s="450"/>
      <c r="AN100" s="450"/>
      <c r="AO100" s="450"/>
      <c r="AP100" s="450"/>
      <c r="AQ100" s="450"/>
      <c r="AR100" s="450"/>
      <c r="AS100" s="450"/>
      <c r="AT100" s="450"/>
      <c r="AU100" s="450"/>
      <c r="AV100" s="450"/>
      <c r="AW100" s="450"/>
      <c r="AX100" s="450"/>
      <c r="AY100" s="450"/>
      <c r="AZ100" s="450"/>
      <c r="BA100" s="450"/>
      <c r="BB100" s="450"/>
      <c r="BC100" s="450"/>
      <c r="BD100" s="450"/>
      <c r="BE100" s="450"/>
      <c r="BF100" s="450"/>
      <c r="BG100" s="450"/>
      <c r="BH100" s="450"/>
      <c r="BI100" s="450"/>
      <c r="BJ100" s="450"/>
      <c r="BK100" s="450"/>
      <c r="BL100" s="450"/>
      <c r="BM100" s="450"/>
      <c r="BN100" s="450"/>
      <c r="BO100" s="450"/>
      <c r="BP100" s="450"/>
      <c r="BQ100" s="450"/>
      <c r="BR100" s="450"/>
      <c r="BS100" s="450"/>
      <c r="BT100" s="450"/>
      <c r="BU100" s="450"/>
      <c r="BV100" s="450"/>
      <c r="BW100" s="450"/>
      <c r="BX100" s="450"/>
      <c r="BY100" s="450"/>
      <c r="BZ100" s="450"/>
      <c r="CA100" s="450"/>
      <c r="CB100" s="450"/>
      <c r="CC100" s="450"/>
      <c r="CD100" s="450"/>
      <c r="CE100" s="450"/>
      <c r="CF100" s="450"/>
      <c r="CG100" s="450"/>
      <c r="CH100" s="450"/>
      <c r="CI100" s="450"/>
      <c r="CJ100" s="450"/>
      <c r="CK100" s="450"/>
      <c r="CL100" s="450"/>
      <c r="CM100" s="450"/>
      <c r="CN100" s="450"/>
      <c r="CO100" s="450"/>
      <c r="CP100" s="450"/>
      <c r="CQ100" s="450"/>
      <c r="CR100" s="450"/>
      <c r="CS100" s="450"/>
      <c r="CT100" s="450"/>
      <c r="CU100" s="450"/>
      <c r="CV100" s="450"/>
      <c r="CW100" s="450"/>
      <c r="CX100" s="450"/>
      <c r="CY100" s="450"/>
      <c r="CZ100" s="450"/>
      <c r="DA100" s="450"/>
      <c r="DB100" s="450"/>
      <c r="DC100" s="450"/>
      <c r="DD100" s="450"/>
      <c r="DE100" s="450"/>
      <c r="DF100" s="450"/>
      <c r="DG100" s="450"/>
      <c r="DH100" s="450"/>
      <c r="DI100" s="450"/>
      <c r="DJ100" s="450"/>
      <c r="DK100" s="450"/>
      <c r="DL100" s="450"/>
      <c r="DM100" s="450"/>
      <c r="DN100" s="450"/>
      <c r="DO100" s="450"/>
      <c r="DP100" s="450"/>
      <c r="DQ100" s="450"/>
      <c r="DR100" s="450"/>
      <c r="DS100" s="450"/>
      <c r="DT100" s="450"/>
      <c r="DU100" s="450"/>
      <c r="DV100" s="450"/>
      <c r="DW100" s="450"/>
      <c r="DX100" s="450"/>
      <c r="DY100" s="450"/>
      <c r="DZ100" s="450"/>
      <c r="EA100" s="450"/>
      <c r="EB100" s="450"/>
      <c r="EC100" s="450"/>
      <c r="ED100" s="450"/>
      <c r="EE100" s="450"/>
      <c r="EF100" s="450"/>
      <c r="EG100" s="450"/>
      <c r="EH100" s="450"/>
      <c r="EI100" s="450"/>
      <c r="EJ100" s="450"/>
      <c r="EK100" s="450"/>
      <c r="EL100" s="450"/>
      <c r="EM100" s="450"/>
      <c r="EN100" s="450"/>
      <c r="EO100" s="450"/>
      <c r="EP100" s="450"/>
      <c r="EQ100" s="450"/>
      <c r="ER100" s="450"/>
      <c r="ES100" s="450"/>
      <c r="ET100" s="450"/>
      <c r="EU100" s="450"/>
      <c r="EV100" s="450"/>
      <c r="EW100" s="450"/>
      <c r="EX100" s="450"/>
      <c r="EY100" s="450"/>
      <c r="EZ100" s="450"/>
      <c r="FA100" s="450"/>
      <c r="FB100" s="450"/>
      <c r="FC100" s="450"/>
      <c r="FD100" s="450"/>
      <c r="FE100" s="450"/>
      <c r="FF100" s="450"/>
      <c r="FG100" s="450"/>
      <c r="FH100" s="450"/>
      <c r="FI100" s="450"/>
      <c r="FJ100" s="450"/>
      <c r="FK100" s="450"/>
      <c r="FL100" s="450"/>
      <c r="FM100" s="450"/>
      <c r="FN100" s="450"/>
      <c r="FO100" s="450"/>
      <c r="FP100" s="450"/>
      <c r="FQ100" s="450"/>
      <c r="FR100" s="450"/>
      <c r="FS100" s="450"/>
      <c r="FT100" s="450"/>
      <c r="FU100" s="450"/>
      <c r="FV100" s="450"/>
      <c r="FW100" s="450"/>
      <c r="FX100" s="450"/>
      <c r="FY100" s="450"/>
      <c r="FZ100" s="450"/>
      <c r="GA100" s="450"/>
      <c r="GB100" s="450"/>
      <c r="GC100" s="450"/>
      <c r="GD100" s="450"/>
    </row>
    <row r="101" spans="2:186" ht="15" customHeight="1">
      <c r="B101" s="2065" t="s">
        <v>3787</v>
      </c>
      <c r="C101" s="2065" t="s">
        <v>3788</v>
      </c>
      <c r="D101" s="2065"/>
      <c r="E101" s="2106"/>
      <c r="F101" s="469"/>
      <c r="G101" s="2064"/>
      <c r="H101" s="2064"/>
      <c r="I101" s="2064"/>
      <c r="J101" s="2064"/>
      <c r="K101" s="2064"/>
      <c r="L101" s="2064"/>
      <c r="M101" s="2064"/>
      <c r="N101" s="2064"/>
      <c r="O101" s="2064"/>
      <c r="P101" s="2064"/>
      <c r="Q101" s="2064"/>
      <c r="R101" s="2064"/>
      <c r="S101" s="2064"/>
      <c r="T101" s="2064"/>
      <c r="U101" s="2064"/>
      <c r="V101" s="2064"/>
      <c r="W101" s="2064"/>
      <c r="X101" s="2064"/>
      <c r="Y101" s="2064"/>
      <c r="Z101" s="2064"/>
      <c r="AA101" s="2064"/>
      <c r="AB101" s="2064"/>
      <c r="AC101" s="2064">
        <f ca="1">520-AC106</f>
        <v>0</v>
      </c>
      <c r="AD101" s="2064"/>
      <c r="AE101" s="2064"/>
      <c r="AF101" s="2064"/>
      <c r="AG101" s="450"/>
      <c r="AH101" s="450"/>
      <c r="AI101" s="450"/>
      <c r="AJ101" s="450"/>
      <c r="AK101" s="450"/>
      <c r="AL101" s="450"/>
      <c r="AM101" s="450"/>
      <c r="AN101" s="450"/>
      <c r="AO101" s="450"/>
      <c r="AP101" s="450"/>
      <c r="AQ101" s="450"/>
      <c r="AR101" s="450"/>
      <c r="AS101" s="450"/>
      <c r="AT101" s="450"/>
      <c r="AU101" s="450"/>
      <c r="AV101" s="450"/>
      <c r="AW101" s="450"/>
      <c r="AX101" s="450"/>
      <c r="AY101" s="450"/>
      <c r="AZ101" s="450"/>
      <c r="BA101" s="450"/>
      <c r="BB101" s="450"/>
      <c r="BC101" s="450"/>
      <c r="BD101" s="450"/>
      <c r="BE101" s="450"/>
      <c r="BF101" s="450"/>
      <c r="BG101" s="450"/>
      <c r="BH101" s="450"/>
      <c r="BI101" s="450"/>
      <c r="BJ101" s="450"/>
      <c r="BK101" s="450"/>
      <c r="BL101" s="450"/>
      <c r="BM101" s="450"/>
      <c r="BN101" s="450"/>
      <c r="BO101" s="450"/>
      <c r="BP101" s="450"/>
      <c r="BQ101" s="450"/>
      <c r="BR101" s="450"/>
      <c r="BS101" s="450"/>
      <c r="BT101" s="450"/>
      <c r="BU101" s="450"/>
      <c r="BV101" s="450"/>
      <c r="BW101" s="450"/>
      <c r="BX101" s="450"/>
      <c r="BY101" s="450"/>
      <c r="BZ101" s="450"/>
      <c r="CA101" s="450"/>
      <c r="CB101" s="450"/>
      <c r="CC101" s="450"/>
      <c r="CD101" s="450"/>
      <c r="CE101" s="450"/>
      <c r="CF101" s="450"/>
      <c r="CG101" s="450"/>
      <c r="CH101" s="450"/>
      <c r="CI101" s="450"/>
      <c r="CJ101" s="450"/>
      <c r="CK101" s="450"/>
      <c r="CL101" s="450"/>
      <c r="CM101" s="450"/>
      <c r="CN101" s="450"/>
      <c r="CO101" s="450"/>
      <c r="CP101" s="450"/>
      <c r="CQ101" s="450"/>
      <c r="CR101" s="450"/>
      <c r="CS101" s="450"/>
      <c r="CT101" s="450"/>
      <c r="CU101" s="450"/>
      <c r="CV101" s="450"/>
      <c r="CW101" s="450"/>
      <c r="CX101" s="450"/>
      <c r="CY101" s="450"/>
      <c r="CZ101" s="450"/>
      <c r="DA101" s="450"/>
      <c r="DB101" s="450"/>
      <c r="DC101" s="450"/>
      <c r="DD101" s="450"/>
      <c r="DE101" s="450"/>
      <c r="DF101" s="450"/>
      <c r="DG101" s="450"/>
      <c r="DH101" s="450"/>
      <c r="DI101" s="450"/>
      <c r="DJ101" s="450"/>
      <c r="DK101" s="450"/>
      <c r="DL101" s="450"/>
      <c r="DM101" s="450"/>
      <c r="DN101" s="450"/>
      <c r="DO101" s="450"/>
      <c r="DP101" s="450"/>
      <c r="DQ101" s="450"/>
      <c r="DR101" s="450"/>
      <c r="DS101" s="450"/>
      <c r="DT101" s="450"/>
      <c r="DU101" s="450"/>
      <c r="DV101" s="450"/>
      <c r="DW101" s="450"/>
      <c r="DX101" s="450"/>
      <c r="DY101" s="450"/>
      <c r="DZ101" s="450"/>
      <c r="EA101" s="450"/>
      <c r="EB101" s="450"/>
      <c r="EC101" s="450"/>
      <c r="ED101" s="450"/>
      <c r="EE101" s="450"/>
      <c r="EF101" s="450"/>
      <c r="EG101" s="450"/>
      <c r="EH101" s="450"/>
      <c r="EI101" s="450"/>
      <c r="EJ101" s="450"/>
      <c r="EK101" s="450"/>
      <c r="EL101" s="450"/>
      <c r="EM101" s="450"/>
      <c r="EN101" s="450"/>
      <c r="EO101" s="450"/>
      <c r="EP101" s="450"/>
      <c r="EQ101" s="450"/>
      <c r="ER101" s="450"/>
      <c r="ES101" s="450"/>
      <c r="ET101" s="450"/>
      <c r="EU101" s="450"/>
      <c r="EV101" s="450"/>
      <c r="EW101" s="450"/>
      <c r="EX101" s="450"/>
      <c r="EY101" s="450"/>
      <c r="EZ101" s="450"/>
      <c r="FA101" s="450"/>
      <c r="FB101" s="450"/>
      <c r="FC101" s="450"/>
      <c r="FD101" s="450"/>
      <c r="FE101" s="450"/>
      <c r="FF101" s="450"/>
      <c r="FG101" s="450"/>
      <c r="FH101" s="450"/>
      <c r="FI101" s="450"/>
      <c r="FJ101" s="450"/>
      <c r="FK101" s="450"/>
      <c r="FL101" s="450"/>
      <c r="FM101" s="450"/>
      <c r="FN101" s="450"/>
      <c r="FO101" s="450"/>
      <c r="FP101" s="450"/>
      <c r="FQ101" s="450"/>
      <c r="FR101" s="450"/>
      <c r="FS101" s="450"/>
      <c r="FT101" s="450"/>
      <c r="FU101" s="450"/>
      <c r="FV101" s="450"/>
      <c r="FW101" s="450"/>
      <c r="FX101" s="450"/>
      <c r="FY101" s="450"/>
      <c r="FZ101" s="450"/>
      <c r="GA101" s="450"/>
      <c r="GB101" s="450"/>
      <c r="GC101" s="450"/>
      <c r="GD101" s="450"/>
    </row>
    <row r="102" spans="2:186" ht="15" customHeight="1">
      <c r="B102" s="2085"/>
      <c r="C102" s="2067" t="s">
        <v>3789</v>
      </c>
      <c r="D102" s="2068"/>
      <c r="E102" s="2115"/>
      <c r="F102" s="2116">
        <f ca="1">SUM(G102:GD102)</f>
        <v>17562.561579328722</v>
      </c>
      <c r="G102" s="2117"/>
      <c r="H102" s="2118"/>
      <c r="I102" s="2118"/>
      <c r="J102" s="2119"/>
      <c r="K102" s="2117"/>
      <c r="L102" s="2118"/>
      <c r="M102" s="2118"/>
      <c r="N102" s="2119"/>
      <c r="O102" s="2117">
        <f>N105</f>
        <v>312.51240231660006</v>
      </c>
      <c r="P102" s="2118">
        <f t="shared" ref="P102:CA102" si="173">O105</f>
        <v>327.92461041867506</v>
      </c>
      <c r="Q102" s="2118">
        <f t="shared" si="173"/>
        <v>343.33681852075006</v>
      </c>
      <c r="R102" s="2119">
        <f t="shared" si="173"/>
        <v>358.74902662282506</v>
      </c>
      <c r="S102" s="2117">
        <f t="shared" si="173"/>
        <v>374.16123472490005</v>
      </c>
      <c r="T102" s="2118">
        <f t="shared" ca="1" si="173"/>
        <v>388.46957663420005</v>
      </c>
      <c r="U102" s="2118">
        <f t="shared" ca="1" si="173"/>
        <v>402.77791854350005</v>
      </c>
      <c r="V102" s="2119">
        <f t="shared" ca="1" si="173"/>
        <v>375.82024695240466</v>
      </c>
      <c r="W102" s="2117">
        <f t="shared" ca="1" si="173"/>
        <v>336.48864397851719</v>
      </c>
      <c r="X102" s="2118">
        <f t="shared" ca="1" si="173"/>
        <v>336.48864397851725</v>
      </c>
      <c r="Y102" s="2118">
        <f t="shared" ca="1" si="173"/>
        <v>336.48864397851719</v>
      </c>
      <c r="Z102" s="2119">
        <f t="shared" ca="1" si="173"/>
        <v>336.48864397851725</v>
      </c>
      <c r="AA102" s="2117">
        <f t="shared" ca="1" si="173"/>
        <v>336.48864397851719</v>
      </c>
      <c r="AB102" s="2118">
        <f t="shared" ca="1" si="173"/>
        <v>315.29272036968348</v>
      </c>
      <c r="AC102" s="2118">
        <f t="shared" ca="1" si="173"/>
        <v>315.29272036968359</v>
      </c>
      <c r="AD102" s="2119">
        <f t="shared" ca="1" si="173"/>
        <v>315.29272036968359</v>
      </c>
      <c r="AE102" s="2117">
        <f t="shared" ca="1" si="173"/>
        <v>315.29272036968359</v>
      </c>
      <c r="AF102" s="2118">
        <f t="shared" ca="1" si="173"/>
        <v>272.35622966703352</v>
      </c>
      <c r="AG102" s="2118">
        <f t="shared" ca="1" si="173"/>
        <v>272.35622966703352</v>
      </c>
      <c r="AH102" s="2119">
        <f t="shared" ca="1" si="173"/>
        <v>223.44466545625062</v>
      </c>
      <c r="AI102" s="2117">
        <f t="shared" ca="1" si="173"/>
        <v>179.0013701583199</v>
      </c>
      <c r="AJ102" s="2118">
        <f t="shared" ca="1" si="173"/>
        <v>150.78612121692834</v>
      </c>
      <c r="AK102" s="2118">
        <f t="shared" ca="1" si="173"/>
        <v>123.90996236835019</v>
      </c>
      <c r="AL102" s="2119">
        <f t="shared" ca="1" si="173"/>
        <v>91.35288622724272</v>
      </c>
      <c r="AM102" s="2117">
        <f t="shared" ca="1" si="173"/>
        <v>70.418839043664661</v>
      </c>
      <c r="AN102" s="2118">
        <f t="shared" ca="1" si="173"/>
        <v>70.418839043664661</v>
      </c>
      <c r="AO102" s="2118">
        <f t="shared" ca="1" si="173"/>
        <v>70.418839043664661</v>
      </c>
      <c r="AP102" s="2119">
        <f t="shared" ca="1" si="173"/>
        <v>70.418839043664661</v>
      </c>
      <c r="AQ102" s="2117">
        <f t="shared" ca="1" si="173"/>
        <v>70.418839043664661</v>
      </c>
      <c r="AR102" s="2118">
        <f t="shared" ca="1" si="173"/>
        <v>70.418839043664548</v>
      </c>
      <c r="AS102" s="2118">
        <f t="shared" ca="1" si="173"/>
        <v>70.418839043664548</v>
      </c>
      <c r="AT102" s="2119">
        <f t="shared" ca="1" si="173"/>
        <v>70.418839043664548</v>
      </c>
      <c r="AU102" s="2117">
        <f t="shared" ca="1" si="173"/>
        <v>70.418839043664548</v>
      </c>
      <c r="AV102" s="2118">
        <f t="shared" ca="1" si="173"/>
        <v>70.418839043664548</v>
      </c>
      <c r="AW102" s="2118">
        <f t="shared" ca="1" si="173"/>
        <v>70.418839043664548</v>
      </c>
      <c r="AX102" s="2119">
        <f t="shared" ca="1" si="173"/>
        <v>70.418839043664548</v>
      </c>
      <c r="AY102" s="2117">
        <f t="shared" ca="1" si="173"/>
        <v>70.418839043664548</v>
      </c>
      <c r="AZ102" s="2118">
        <f t="shared" ca="1" si="173"/>
        <v>70.418839043664548</v>
      </c>
      <c r="BA102" s="2118">
        <f t="shared" ca="1" si="173"/>
        <v>70.418839043664548</v>
      </c>
      <c r="BB102" s="2119">
        <f t="shared" ca="1" si="173"/>
        <v>70.418839043664548</v>
      </c>
      <c r="BC102" s="2117">
        <f t="shared" ca="1" si="173"/>
        <v>70.418839043664548</v>
      </c>
      <c r="BD102" s="2118">
        <f t="shared" ca="1" si="173"/>
        <v>70.418839043664548</v>
      </c>
      <c r="BE102" s="2118">
        <f t="shared" ca="1" si="173"/>
        <v>70.418839043664548</v>
      </c>
      <c r="BF102" s="2119">
        <f t="shared" ca="1" si="173"/>
        <v>70.418839043664548</v>
      </c>
      <c r="BG102" s="2117">
        <f t="shared" ca="1" si="173"/>
        <v>70.418839043664548</v>
      </c>
      <c r="BH102" s="2118">
        <f t="shared" ca="1" si="173"/>
        <v>70.418839043664548</v>
      </c>
      <c r="BI102" s="2118">
        <f t="shared" ca="1" si="173"/>
        <v>70.418839043664548</v>
      </c>
      <c r="BJ102" s="2119">
        <f t="shared" ca="1" si="173"/>
        <v>70.418839043664548</v>
      </c>
      <c r="BK102" s="2117">
        <f t="shared" ca="1" si="173"/>
        <v>70.418839043664548</v>
      </c>
      <c r="BL102" s="2118">
        <f t="shared" ca="1" si="173"/>
        <v>70.418839043664548</v>
      </c>
      <c r="BM102" s="2118">
        <f t="shared" ca="1" si="173"/>
        <v>70.418839043664548</v>
      </c>
      <c r="BN102" s="2119">
        <f t="shared" ca="1" si="173"/>
        <v>70.418839043664548</v>
      </c>
      <c r="BO102" s="2117">
        <f t="shared" ca="1" si="173"/>
        <v>70.418839043664548</v>
      </c>
      <c r="BP102" s="2118">
        <f t="shared" ca="1" si="173"/>
        <v>70.418839043664548</v>
      </c>
      <c r="BQ102" s="2118">
        <f t="shared" ca="1" si="173"/>
        <v>70.418839043664548</v>
      </c>
      <c r="BR102" s="2119">
        <f t="shared" ca="1" si="173"/>
        <v>70.418839043664548</v>
      </c>
      <c r="BS102" s="2117">
        <f t="shared" ca="1" si="173"/>
        <v>70.418839043664548</v>
      </c>
      <c r="BT102" s="2118">
        <f t="shared" ca="1" si="173"/>
        <v>70.418839043664548</v>
      </c>
      <c r="BU102" s="2118">
        <f t="shared" ca="1" si="173"/>
        <v>70.418839043664548</v>
      </c>
      <c r="BV102" s="2119">
        <f t="shared" ca="1" si="173"/>
        <v>70.418839043664548</v>
      </c>
      <c r="BW102" s="2117">
        <f t="shared" ca="1" si="173"/>
        <v>70.418839043664548</v>
      </c>
      <c r="BX102" s="2118">
        <f t="shared" ca="1" si="173"/>
        <v>70.418839043664548</v>
      </c>
      <c r="BY102" s="2118">
        <f t="shared" ca="1" si="173"/>
        <v>70.418839043664548</v>
      </c>
      <c r="BZ102" s="2119">
        <f t="shared" ca="1" si="173"/>
        <v>70.418839043664548</v>
      </c>
      <c r="CA102" s="2117">
        <f t="shared" ca="1" si="173"/>
        <v>70.418839043664548</v>
      </c>
      <c r="CB102" s="2118">
        <f t="shared" ref="CB102:EM102" ca="1" si="174">CA105</f>
        <v>70.418839043664548</v>
      </c>
      <c r="CC102" s="2118">
        <f t="shared" ca="1" si="174"/>
        <v>70.418839043664548</v>
      </c>
      <c r="CD102" s="2119">
        <f t="shared" ca="1" si="174"/>
        <v>70.418839043664548</v>
      </c>
      <c r="CE102" s="2117">
        <f t="shared" ca="1" si="174"/>
        <v>70.418839043664548</v>
      </c>
      <c r="CF102" s="2118">
        <f t="shared" ca="1" si="174"/>
        <v>70.418839043664548</v>
      </c>
      <c r="CG102" s="2118">
        <f t="shared" ca="1" si="174"/>
        <v>70.418839043664548</v>
      </c>
      <c r="CH102" s="2119">
        <f t="shared" ca="1" si="174"/>
        <v>70.418839043664548</v>
      </c>
      <c r="CI102" s="2117">
        <f t="shared" ca="1" si="174"/>
        <v>70.418839043664548</v>
      </c>
      <c r="CJ102" s="2118">
        <f t="shared" ca="1" si="174"/>
        <v>70.418839043664548</v>
      </c>
      <c r="CK102" s="2118">
        <f t="shared" ca="1" si="174"/>
        <v>70.418839043664548</v>
      </c>
      <c r="CL102" s="2119">
        <f t="shared" ca="1" si="174"/>
        <v>70.418839043664548</v>
      </c>
      <c r="CM102" s="2117">
        <f t="shared" ca="1" si="174"/>
        <v>70.418839043664548</v>
      </c>
      <c r="CN102" s="2118">
        <f t="shared" ca="1" si="174"/>
        <v>70.418839043664548</v>
      </c>
      <c r="CO102" s="2118">
        <f t="shared" ca="1" si="174"/>
        <v>70.418839043664548</v>
      </c>
      <c r="CP102" s="2119">
        <f t="shared" ca="1" si="174"/>
        <v>70.418839043664548</v>
      </c>
      <c r="CQ102" s="2117">
        <f t="shared" ca="1" si="174"/>
        <v>70.418839043664548</v>
      </c>
      <c r="CR102" s="2118">
        <f t="shared" ca="1" si="174"/>
        <v>70.418839043664548</v>
      </c>
      <c r="CS102" s="2118">
        <f t="shared" ca="1" si="174"/>
        <v>70.418839043664548</v>
      </c>
      <c r="CT102" s="2119">
        <f t="shared" ca="1" si="174"/>
        <v>70.418839043664548</v>
      </c>
      <c r="CU102" s="2117">
        <f t="shared" ca="1" si="174"/>
        <v>70.418839043664548</v>
      </c>
      <c r="CV102" s="2118">
        <f t="shared" ca="1" si="174"/>
        <v>70.418839043664548</v>
      </c>
      <c r="CW102" s="2118">
        <f t="shared" ca="1" si="174"/>
        <v>70.418839043664548</v>
      </c>
      <c r="CX102" s="2119">
        <f t="shared" ca="1" si="174"/>
        <v>70.418839043664548</v>
      </c>
      <c r="CY102" s="2117">
        <f t="shared" ca="1" si="174"/>
        <v>70.418839043664548</v>
      </c>
      <c r="CZ102" s="2118">
        <f t="shared" ca="1" si="174"/>
        <v>70.418839043664548</v>
      </c>
      <c r="DA102" s="2118">
        <f t="shared" ca="1" si="174"/>
        <v>70.418839043664548</v>
      </c>
      <c r="DB102" s="2119">
        <f t="shared" ca="1" si="174"/>
        <v>70.418839043664548</v>
      </c>
      <c r="DC102" s="2117">
        <f t="shared" ca="1" si="174"/>
        <v>70.418839043664548</v>
      </c>
      <c r="DD102" s="2118">
        <f t="shared" ca="1" si="174"/>
        <v>70.418839043664548</v>
      </c>
      <c r="DE102" s="2118">
        <f t="shared" ca="1" si="174"/>
        <v>70.418839043664548</v>
      </c>
      <c r="DF102" s="2119">
        <f t="shared" ca="1" si="174"/>
        <v>70.418839043664548</v>
      </c>
      <c r="DG102" s="2117">
        <f t="shared" ca="1" si="174"/>
        <v>70.418839043664548</v>
      </c>
      <c r="DH102" s="2118">
        <f t="shared" ca="1" si="174"/>
        <v>70.418839043664548</v>
      </c>
      <c r="DI102" s="2118">
        <f t="shared" ca="1" si="174"/>
        <v>70.418839043664548</v>
      </c>
      <c r="DJ102" s="2119">
        <f t="shared" ca="1" si="174"/>
        <v>70.418839043664548</v>
      </c>
      <c r="DK102" s="2117">
        <f t="shared" ca="1" si="174"/>
        <v>70.418839043664548</v>
      </c>
      <c r="DL102" s="2118">
        <f t="shared" ca="1" si="174"/>
        <v>70.418839043664548</v>
      </c>
      <c r="DM102" s="2118">
        <f t="shared" ca="1" si="174"/>
        <v>70.418839043664548</v>
      </c>
      <c r="DN102" s="2119">
        <f t="shared" ca="1" si="174"/>
        <v>70.418839043664548</v>
      </c>
      <c r="DO102" s="2117">
        <f t="shared" ca="1" si="174"/>
        <v>70.418839043664548</v>
      </c>
      <c r="DP102" s="2118">
        <f t="shared" ca="1" si="174"/>
        <v>70.418839043664548</v>
      </c>
      <c r="DQ102" s="2118">
        <f t="shared" ca="1" si="174"/>
        <v>70.418839043664548</v>
      </c>
      <c r="DR102" s="2119">
        <f t="shared" ca="1" si="174"/>
        <v>70.418839043664548</v>
      </c>
      <c r="DS102" s="2117">
        <f t="shared" ca="1" si="174"/>
        <v>70.418839043664548</v>
      </c>
      <c r="DT102" s="2118">
        <f t="shared" ca="1" si="174"/>
        <v>70.418839043664548</v>
      </c>
      <c r="DU102" s="2118">
        <f t="shared" ca="1" si="174"/>
        <v>70.418839043664548</v>
      </c>
      <c r="DV102" s="2119">
        <f t="shared" ca="1" si="174"/>
        <v>70.418839043664548</v>
      </c>
      <c r="DW102" s="2117">
        <f t="shared" ca="1" si="174"/>
        <v>70.418839043664548</v>
      </c>
      <c r="DX102" s="2118">
        <f t="shared" ca="1" si="174"/>
        <v>70.418839043664548</v>
      </c>
      <c r="DY102" s="2118">
        <f t="shared" ca="1" si="174"/>
        <v>70.418839043664548</v>
      </c>
      <c r="DZ102" s="2119">
        <f t="shared" ca="1" si="174"/>
        <v>70.418839043664548</v>
      </c>
      <c r="EA102" s="2117">
        <f t="shared" ca="1" si="174"/>
        <v>70.418839043664548</v>
      </c>
      <c r="EB102" s="2118">
        <f t="shared" ca="1" si="174"/>
        <v>70.418839043664548</v>
      </c>
      <c r="EC102" s="2118">
        <f t="shared" ca="1" si="174"/>
        <v>70.418839043664548</v>
      </c>
      <c r="ED102" s="2119">
        <f t="shared" ca="1" si="174"/>
        <v>70.418839043664548</v>
      </c>
      <c r="EE102" s="2117">
        <f t="shared" ca="1" si="174"/>
        <v>70.418839043664548</v>
      </c>
      <c r="EF102" s="2118">
        <f t="shared" ca="1" si="174"/>
        <v>70.418839043664548</v>
      </c>
      <c r="EG102" s="2118">
        <f t="shared" ca="1" si="174"/>
        <v>70.418839043664548</v>
      </c>
      <c r="EH102" s="2119">
        <f t="shared" ca="1" si="174"/>
        <v>70.418839043664548</v>
      </c>
      <c r="EI102" s="2117">
        <f t="shared" ca="1" si="174"/>
        <v>70.418839043664548</v>
      </c>
      <c r="EJ102" s="2118">
        <f t="shared" ca="1" si="174"/>
        <v>70.418839043664548</v>
      </c>
      <c r="EK102" s="2118">
        <f t="shared" ca="1" si="174"/>
        <v>70.418839043664548</v>
      </c>
      <c r="EL102" s="2119">
        <f t="shared" ca="1" si="174"/>
        <v>70.418839043664548</v>
      </c>
      <c r="EM102" s="2117">
        <f t="shared" ca="1" si="174"/>
        <v>70.418839043664548</v>
      </c>
      <c r="EN102" s="2118">
        <f t="shared" ref="EN102:GD102" ca="1" si="175">EM105</f>
        <v>70.418839043664548</v>
      </c>
      <c r="EO102" s="2118">
        <f t="shared" ca="1" si="175"/>
        <v>70.418839043664548</v>
      </c>
      <c r="EP102" s="2119">
        <f t="shared" ca="1" si="175"/>
        <v>70.418839043664548</v>
      </c>
      <c r="EQ102" s="2117">
        <f t="shared" ca="1" si="175"/>
        <v>70.418839043664548</v>
      </c>
      <c r="ER102" s="2118">
        <f t="shared" ca="1" si="175"/>
        <v>70.418839043664548</v>
      </c>
      <c r="ES102" s="2118">
        <f t="shared" ca="1" si="175"/>
        <v>70.418839043664548</v>
      </c>
      <c r="ET102" s="2119">
        <f t="shared" ca="1" si="175"/>
        <v>70.418839043664548</v>
      </c>
      <c r="EU102" s="2117">
        <f t="shared" ca="1" si="175"/>
        <v>70.418839043664548</v>
      </c>
      <c r="EV102" s="2118">
        <f t="shared" ca="1" si="175"/>
        <v>70.418839043664548</v>
      </c>
      <c r="EW102" s="2118">
        <f t="shared" ca="1" si="175"/>
        <v>70.418839043664548</v>
      </c>
      <c r="EX102" s="2119">
        <f t="shared" ca="1" si="175"/>
        <v>70.418839043664548</v>
      </c>
      <c r="EY102" s="2117">
        <f t="shared" ca="1" si="175"/>
        <v>70.418839043664548</v>
      </c>
      <c r="EZ102" s="2118">
        <f t="shared" ca="1" si="175"/>
        <v>70.418839043664548</v>
      </c>
      <c r="FA102" s="2118">
        <f t="shared" ca="1" si="175"/>
        <v>70.418839043664548</v>
      </c>
      <c r="FB102" s="2119">
        <f t="shared" ca="1" si="175"/>
        <v>70.418839043664548</v>
      </c>
      <c r="FC102" s="2117">
        <f t="shared" ca="1" si="175"/>
        <v>70.418839043664548</v>
      </c>
      <c r="FD102" s="2118">
        <f t="shared" ca="1" si="175"/>
        <v>70.418839043664548</v>
      </c>
      <c r="FE102" s="2118">
        <f t="shared" ca="1" si="175"/>
        <v>70.418839043664548</v>
      </c>
      <c r="FF102" s="2119">
        <f t="shared" ca="1" si="175"/>
        <v>70.418839043664548</v>
      </c>
      <c r="FG102" s="2117">
        <f t="shared" ca="1" si="175"/>
        <v>70.418839043664548</v>
      </c>
      <c r="FH102" s="2118">
        <f t="shared" ca="1" si="175"/>
        <v>70.418839043664548</v>
      </c>
      <c r="FI102" s="2118">
        <f t="shared" ca="1" si="175"/>
        <v>70.418839043664548</v>
      </c>
      <c r="FJ102" s="2119">
        <f t="shared" ca="1" si="175"/>
        <v>70.418839043664548</v>
      </c>
      <c r="FK102" s="2117">
        <f t="shared" ca="1" si="175"/>
        <v>70.418839043664548</v>
      </c>
      <c r="FL102" s="2118">
        <f t="shared" ca="1" si="175"/>
        <v>70.418839043664548</v>
      </c>
      <c r="FM102" s="2118">
        <f t="shared" ca="1" si="175"/>
        <v>70.418839043664548</v>
      </c>
      <c r="FN102" s="2119">
        <f t="shared" ca="1" si="175"/>
        <v>70.418839043664548</v>
      </c>
      <c r="FO102" s="2117">
        <f t="shared" ca="1" si="175"/>
        <v>70.418839043664548</v>
      </c>
      <c r="FP102" s="2118">
        <f t="shared" ca="1" si="175"/>
        <v>70.418839043664548</v>
      </c>
      <c r="FQ102" s="2118">
        <f t="shared" ca="1" si="175"/>
        <v>70.418839043664548</v>
      </c>
      <c r="FR102" s="2119">
        <f t="shared" ca="1" si="175"/>
        <v>70.418839043664548</v>
      </c>
      <c r="FS102" s="2117">
        <f t="shared" ca="1" si="175"/>
        <v>70.418839043664548</v>
      </c>
      <c r="FT102" s="2118">
        <f t="shared" ca="1" si="175"/>
        <v>70.418839043664548</v>
      </c>
      <c r="FU102" s="2118">
        <f t="shared" ca="1" si="175"/>
        <v>70.418839043664548</v>
      </c>
      <c r="FV102" s="2119">
        <f t="shared" ca="1" si="175"/>
        <v>70.418839043664548</v>
      </c>
      <c r="FW102" s="2117">
        <f t="shared" ca="1" si="175"/>
        <v>70.418839043664548</v>
      </c>
      <c r="FX102" s="2118">
        <f t="shared" ca="1" si="175"/>
        <v>70.418839043664548</v>
      </c>
      <c r="FY102" s="2118">
        <f t="shared" ca="1" si="175"/>
        <v>70.418839043664548</v>
      </c>
      <c r="FZ102" s="2119">
        <f t="shared" ca="1" si="175"/>
        <v>70.418839043664548</v>
      </c>
      <c r="GA102" s="2117">
        <f t="shared" ca="1" si="175"/>
        <v>70.418839043664548</v>
      </c>
      <c r="GB102" s="2118">
        <f t="shared" ca="1" si="175"/>
        <v>70.418839043664548</v>
      </c>
      <c r="GC102" s="2118">
        <f t="shared" ca="1" si="175"/>
        <v>70.418839043664548</v>
      </c>
      <c r="GD102" s="2119">
        <f t="shared" ca="1" si="175"/>
        <v>70.418839043664548</v>
      </c>
    </row>
    <row r="103" spans="2:186" ht="15" customHeight="1">
      <c r="C103" s="930" t="s">
        <v>3790</v>
      </c>
      <c r="D103" s="2120"/>
      <c r="E103" s="2121"/>
      <c r="F103" s="2122">
        <f>SUM(G103:GD103)+N105</f>
        <v>518.6697914107001</v>
      </c>
      <c r="G103" s="2123"/>
      <c r="H103" s="2124"/>
      <c r="I103" s="2124"/>
      <c r="J103" s="2125"/>
      <c r="K103" s="2123"/>
      <c r="L103" s="2124"/>
      <c r="M103" s="2124"/>
      <c r="N103" s="2125"/>
      <c r="O103" s="2123">
        <f>예정운영비용!J32/4/단위</f>
        <v>15.412208102075001</v>
      </c>
      <c r="P103" s="2124">
        <f>O103</f>
        <v>15.412208102075001</v>
      </c>
      <c r="Q103" s="2124">
        <f t="shared" ref="Q103:R103" si="176">P103</f>
        <v>15.412208102075001</v>
      </c>
      <c r="R103" s="2125">
        <f t="shared" si="176"/>
        <v>15.412208102075001</v>
      </c>
      <c r="S103" s="2123">
        <f>예정운영비용!$K$32/4/단위</f>
        <v>14.308341909300003</v>
      </c>
      <c r="T103" s="2124">
        <f>S103</f>
        <v>14.308341909300003</v>
      </c>
      <c r="U103" s="2124">
        <f t="shared" ref="U103:V103" si="177">T103</f>
        <v>14.308341909300003</v>
      </c>
      <c r="V103" s="2125">
        <f t="shared" si="177"/>
        <v>14.308341909300003</v>
      </c>
      <c r="W103" s="2123">
        <f>예정운영비용!$L$32/4/단위</f>
        <v>15.3950373218</v>
      </c>
      <c r="X103" s="2124">
        <f>W103</f>
        <v>15.3950373218</v>
      </c>
      <c r="Y103" s="2124">
        <f t="shared" ref="Y103:Z103" si="178">X103</f>
        <v>15.3950373218</v>
      </c>
      <c r="Z103" s="2125">
        <f t="shared" si="178"/>
        <v>15.3950373218</v>
      </c>
      <c r="AA103" s="2123">
        <f>예정운영비용!$M$32/2/단위</f>
        <v>12.8475198807</v>
      </c>
      <c r="AB103" s="2124">
        <f>AA103</f>
        <v>12.8475198807</v>
      </c>
      <c r="AC103" s="2124"/>
      <c r="AD103" s="2125"/>
      <c r="AE103" s="2123"/>
      <c r="AF103" s="2124"/>
      <c r="AG103" s="2124"/>
      <c r="AH103" s="2125"/>
      <c r="AI103" s="2123"/>
      <c r="AJ103" s="2124"/>
      <c r="AK103" s="2124"/>
      <c r="AL103" s="2125"/>
      <c r="AM103" s="2123"/>
      <c r="AN103" s="2124"/>
      <c r="AO103" s="2124"/>
      <c r="AP103" s="2125"/>
      <c r="AQ103" s="2123"/>
      <c r="AR103" s="2124"/>
      <c r="AS103" s="2124"/>
      <c r="AT103" s="2125"/>
      <c r="AU103" s="2123"/>
      <c r="AV103" s="2124"/>
      <c r="AW103" s="2124"/>
      <c r="AX103" s="2125"/>
      <c r="AY103" s="2123"/>
      <c r="AZ103" s="2124"/>
      <c r="BA103" s="2124"/>
      <c r="BB103" s="2125"/>
      <c r="BC103" s="2123"/>
      <c r="BD103" s="2124"/>
      <c r="BE103" s="2124"/>
      <c r="BF103" s="2125"/>
      <c r="BG103" s="2123"/>
      <c r="BH103" s="2124"/>
      <c r="BI103" s="2124"/>
      <c r="BJ103" s="2125"/>
      <c r="BK103" s="2123"/>
      <c r="BL103" s="2124"/>
      <c r="BM103" s="2124"/>
      <c r="BN103" s="2125"/>
      <c r="BO103" s="2123"/>
      <c r="BP103" s="2124"/>
      <c r="BQ103" s="2124"/>
      <c r="BR103" s="2125"/>
      <c r="BS103" s="2123"/>
      <c r="BT103" s="2124"/>
      <c r="BU103" s="2124"/>
      <c r="BV103" s="2125"/>
      <c r="BW103" s="2123"/>
      <c r="BX103" s="2124"/>
      <c r="BY103" s="2124"/>
      <c r="BZ103" s="2125"/>
      <c r="CA103" s="2123"/>
      <c r="CB103" s="2124"/>
      <c r="CC103" s="2124"/>
      <c r="CD103" s="2125"/>
      <c r="CE103" s="2123"/>
      <c r="CF103" s="2124"/>
      <c r="CG103" s="2124"/>
      <c r="CH103" s="2125"/>
      <c r="CI103" s="2123"/>
      <c r="CJ103" s="2124"/>
      <c r="CK103" s="2124"/>
      <c r="CL103" s="2125"/>
      <c r="CM103" s="2123"/>
      <c r="CN103" s="2124"/>
      <c r="CO103" s="2124"/>
      <c r="CP103" s="2125"/>
      <c r="CQ103" s="2123"/>
      <c r="CR103" s="2124"/>
      <c r="CS103" s="2124"/>
      <c r="CT103" s="2125"/>
      <c r="CU103" s="2123"/>
      <c r="CV103" s="2124"/>
      <c r="CW103" s="2124"/>
      <c r="CX103" s="2125"/>
      <c r="CY103" s="2123"/>
      <c r="CZ103" s="2124"/>
      <c r="DA103" s="2124"/>
      <c r="DB103" s="2125"/>
      <c r="DC103" s="2123"/>
      <c r="DD103" s="2124"/>
      <c r="DE103" s="2124"/>
      <c r="DF103" s="2125"/>
      <c r="DG103" s="2123"/>
      <c r="DH103" s="2124"/>
      <c r="DI103" s="2124"/>
      <c r="DJ103" s="2125"/>
      <c r="DK103" s="2123"/>
      <c r="DL103" s="2124"/>
      <c r="DM103" s="2124"/>
      <c r="DN103" s="2125"/>
      <c r="DO103" s="2123"/>
      <c r="DP103" s="2124"/>
      <c r="DQ103" s="2124"/>
      <c r="DR103" s="2125"/>
      <c r="DS103" s="2123"/>
      <c r="DT103" s="2124"/>
      <c r="DU103" s="2124"/>
      <c r="DV103" s="2125"/>
      <c r="DW103" s="2123"/>
      <c r="DX103" s="2124"/>
      <c r="DY103" s="2124"/>
      <c r="DZ103" s="2125"/>
      <c r="EA103" s="2123"/>
      <c r="EB103" s="2124"/>
      <c r="EC103" s="2124"/>
      <c r="ED103" s="2125"/>
      <c r="EE103" s="2123"/>
      <c r="EF103" s="2124"/>
      <c r="EG103" s="2124"/>
      <c r="EH103" s="2125"/>
      <c r="EI103" s="2123"/>
      <c r="EJ103" s="2124"/>
      <c r="EK103" s="2124"/>
      <c r="EL103" s="2125"/>
      <c r="EM103" s="2123"/>
      <c r="EN103" s="2124"/>
      <c r="EO103" s="2124"/>
      <c r="EP103" s="2125"/>
      <c r="EQ103" s="2123"/>
      <c r="ER103" s="2124"/>
      <c r="ES103" s="2124"/>
      <c r="ET103" s="2125"/>
      <c r="EU103" s="2123"/>
      <c r="EV103" s="2124"/>
      <c r="EW103" s="2124"/>
      <c r="EX103" s="2125"/>
      <c r="EY103" s="2123"/>
      <c r="EZ103" s="2124"/>
      <c r="FA103" s="2124"/>
      <c r="FB103" s="2125"/>
      <c r="FC103" s="2123"/>
      <c r="FD103" s="2124"/>
      <c r="FE103" s="2124"/>
      <c r="FF103" s="2125"/>
      <c r="FG103" s="2123"/>
      <c r="FH103" s="2124"/>
      <c r="FI103" s="2124"/>
      <c r="FJ103" s="2125"/>
      <c r="FK103" s="2123"/>
      <c r="FL103" s="2124"/>
      <c r="FM103" s="2124"/>
      <c r="FN103" s="2125"/>
      <c r="FO103" s="2123"/>
      <c r="FP103" s="2124"/>
      <c r="FQ103" s="2124"/>
      <c r="FR103" s="2125"/>
      <c r="FS103" s="2123"/>
      <c r="FT103" s="2124"/>
      <c r="FU103" s="2124"/>
      <c r="FV103" s="2125"/>
      <c r="FW103" s="2123"/>
      <c r="FX103" s="2124"/>
      <c r="FY103" s="2124"/>
      <c r="FZ103" s="2125"/>
      <c r="GA103" s="2123"/>
      <c r="GB103" s="2124"/>
      <c r="GC103" s="2124"/>
      <c r="GD103" s="2125"/>
    </row>
    <row r="104" spans="2:186" ht="15" customHeight="1">
      <c r="C104" s="930" t="s">
        <v>3791</v>
      </c>
      <c r="D104" s="931"/>
      <c r="E104" s="2190"/>
      <c r="F104" s="2122">
        <f ca="1">SUM(G104:AT104)</f>
        <v>448.25095236703544</v>
      </c>
      <c r="G104" s="2123"/>
      <c r="H104" s="2124"/>
      <c r="I104" s="2124"/>
      <c r="J104" s="2125"/>
      <c r="K104" s="2123"/>
      <c r="L104" s="2124"/>
      <c r="M104" s="2124"/>
      <c r="N104" s="2125"/>
      <c r="O104" s="2123"/>
      <c r="P104" s="2124"/>
      <c r="Q104" s="2124"/>
      <c r="R104" s="2125"/>
      <c r="S104" s="2123">
        <f t="shared" ref="S104:AT104" ca="1" si="179">MIN(MAX(0,(S102+S103+S62)-520),S102)</f>
        <v>0</v>
      </c>
      <c r="T104" s="2124">
        <f ca="1">MIN(MAX(0,(T102+T103+T62)-520),T102)</f>
        <v>0</v>
      </c>
      <c r="U104" s="2124">
        <f t="shared" ca="1" si="179"/>
        <v>41.266013500395388</v>
      </c>
      <c r="V104" s="2125">
        <f t="shared" ca="1" si="179"/>
        <v>53.639944883187468</v>
      </c>
      <c r="W104" s="2123">
        <f t="shared" ca="1" si="179"/>
        <v>15.395037321799919</v>
      </c>
      <c r="X104" s="2124">
        <f t="shared" ca="1" si="179"/>
        <v>15.395037321800032</v>
      </c>
      <c r="Y104" s="2124">
        <f t="shared" ca="1" si="179"/>
        <v>15.395037321799919</v>
      </c>
      <c r="Z104" s="2125">
        <f t="shared" ca="1" si="179"/>
        <v>15.395037321800032</v>
      </c>
      <c r="AA104" s="2123">
        <f t="shared" ca="1" si="179"/>
        <v>34.043443489533729</v>
      </c>
      <c r="AB104" s="2124">
        <f t="shared" ca="1" si="179"/>
        <v>12.847519880699906</v>
      </c>
      <c r="AC104" s="2124">
        <f t="shared" ca="1" si="179"/>
        <v>0</v>
      </c>
      <c r="AD104" s="2125">
        <f t="shared" ca="1" si="179"/>
        <v>0</v>
      </c>
      <c r="AE104" s="2123">
        <f t="shared" ca="1" si="179"/>
        <v>42.936490702650076</v>
      </c>
      <c r="AF104" s="2124">
        <f t="shared" ca="1" si="179"/>
        <v>0</v>
      </c>
      <c r="AG104" s="2124">
        <f t="shared" ca="1" si="179"/>
        <v>48.911564210782899</v>
      </c>
      <c r="AH104" s="2125">
        <f t="shared" ca="1" si="179"/>
        <v>44.443295297930717</v>
      </c>
      <c r="AI104" s="2123">
        <f t="shared" ca="1" si="179"/>
        <v>28.215248941391565</v>
      </c>
      <c r="AJ104" s="2124">
        <f t="shared" ca="1" si="179"/>
        <v>26.876158848578143</v>
      </c>
      <c r="AK104" s="2124">
        <f t="shared" ca="1" si="179"/>
        <v>32.557076141107473</v>
      </c>
      <c r="AL104" s="2125">
        <f t="shared" ca="1" si="179"/>
        <v>20.934047183578059</v>
      </c>
      <c r="AM104" s="2123">
        <f t="shared" ca="1" si="179"/>
        <v>0</v>
      </c>
      <c r="AN104" s="2124">
        <f t="shared" ca="1" si="179"/>
        <v>0</v>
      </c>
      <c r="AO104" s="2124">
        <f t="shared" ca="1" si="179"/>
        <v>0</v>
      </c>
      <c r="AP104" s="2125">
        <f t="shared" ca="1" si="179"/>
        <v>0</v>
      </c>
      <c r="AQ104" s="2123">
        <f t="shared" ca="1" si="179"/>
        <v>1.1368683772161603E-13</v>
      </c>
      <c r="AR104" s="2124">
        <f t="shared" ca="1" si="179"/>
        <v>0</v>
      </c>
      <c r="AS104" s="2124">
        <f t="shared" ca="1" si="179"/>
        <v>0</v>
      </c>
      <c r="AT104" s="2125">
        <f t="shared" ca="1" si="179"/>
        <v>0</v>
      </c>
      <c r="AU104" s="2123"/>
      <c r="AV104" s="2124"/>
      <c r="AW104" s="2124"/>
      <c r="AX104" s="2125"/>
      <c r="AY104" s="2123"/>
      <c r="AZ104" s="2124"/>
      <c r="BA104" s="2124"/>
      <c r="BB104" s="2125"/>
      <c r="BC104" s="2123"/>
      <c r="BD104" s="2124"/>
      <c r="BE104" s="2124"/>
      <c r="BF104" s="2125"/>
      <c r="BG104" s="2123"/>
      <c r="BH104" s="2124"/>
      <c r="BI104" s="2124"/>
      <c r="BJ104" s="2125"/>
      <c r="BK104" s="2123"/>
      <c r="BL104" s="2124"/>
      <c r="BM104" s="2124"/>
      <c r="BN104" s="2125"/>
      <c r="BO104" s="2123"/>
      <c r="BP104" s="2124"/>
      <c r="BQ104" s="2124"/>
      <c r="BR104" s="2125"/>
      <c r="BS104" s="2123"/>
      <c r="BT104" s="2124"/>
      <c r="BU104" s="2124"/>
      <c r="BV104" s="2125"/>
      <c r="BW104" s="2123"/>
      <c r="BX104" s="2124"/>
      <c r="BY104" s="2124"/>
      <c r="BZ104" s="2125"/>
      <c r="CA104" s="2123"/>
      <c r="CB104" s="2124"/>
      <c r="CC104" s="2124"/>
      <c r="CD104" s="2125"/>
      <c r="CE104" s="2123"/>
      <c r="CF104" s="2124"/>
      <c r="CG104" s="2124"/>
      <c r="CH104" s="2125"/>
      <c r="CI104" s="2123"/>
      <c r="CJ104" s="2124"/>
      <c r="CK104" s="2124"/>
      <c r="CL104" s="2125"/>
      <c r="CM104" s="2123"/>
      <c r="CN104" s="2124"/>
      <c r="CO104" s="2124"/>
      <c r="CP104" s="2125"/>
      <c r="CQ104" s="2123"/>
      <c r="CR104" s="2124"/>
      <c r="CS104" s="2124"/>
      <c r="CT104" s="2125"/>
      <c r="CU104" s="2123"/>
      <c r="CV104" s="2124"/>
      <c r="CW104" s="2124"/>
      <c r="CX104" s="2125"/>
      <c r="CY104" s="2123"/>
      <c r="CZ104" s="2124"/>
      <c r="DA104" s="2124"/>
      <c r="DB104" s="2125"/>
      <c r="DC104" s="2123"/>
      <c r="DD104" s="2124"/>
      <c r="DE104" s="2124"/>
      <c r="DF104" s="2125"/>
      <c r="DG104" s="2123"/>
      <c r="DH104" s="2124"/>
      <c r="DI104" s="2124"/>
      <c r="DJ104" s="2125"/>
      <c r="DK104" s="2123"/>
      <c r="DL104" s="2124"/>
      <c r="DM104" s="2124"/>
      <c r="DN104" s="2125"/>
      <c r="DO104" s="2123"/>
      <c r="DP104" s="2124"/>
      <c r="DQ104" s="2124"/>
      <c r="DR104" s="2125"/>
      <c r="DS104" s="2123"/>
      <c r="DT104" s="2124"/>
      <c r="DU104" s="2124"/>
      <c r="DV104" s="2125"/>
      <c r="DW104" s="2123"/>
      <c r="DX104" s="2124"/>
      <c r="DY104" s="2124"/>
      <c r="DZ104" s="2125"/>
      <c r="EA104" s="2123"/>
      <c r="EB104" s="2124"/>
      <c r="EC104" s="2124"/>
      <c r="ED104" s="2125"/>
      <c r="EE104" s="2123"/>
      <c r="EF104" s="2124"/>
      <c r="EG104" s="2124"/>
      <c r="EH104" s="2125"/>
      <c r="EI104" s="2123"/>
      <c r="EJ104" s="2124"/>
      <c r="EK104" s="2124"/>
      <c r="EL104" s="2125"/>
      <c r="EM104" s="2123"/>
      <c r="EN104" s="2124"/>
      <c r="EO104" s="2124"/>
      <c r="EP104" s="2125"/>
      <c r="EQ104" s="2123"/>
      <c r="ER104" s="2124"/>
      <c r="ES104" s="2124"/>
      <c r="ET104" s="2125"/>
      <c r="EU104" s="2123"/>
      <c r="EV104" s="2124"/>
      <c r="EW104" s="2124"/>
      <c r="EX104" s="2125"/>
      <c r="EY104" s="2123"/>
      <c r="EZ104" s="2124"/>
      <c r="FA104" s="2124"/>
      <c r="FB104" s="2125"/>
      <c r="FC104" s="2123"/>
      <c r="FD104" s="2124"/>
      <c r="FE104" s="2124"/>
      <c r="FF104" s="2125"/>
      <c r="FG104" s="2123"/>
      <c r="FH104" s="2124"/>
      <c r="FI104" s="2124"/>
      <c r="FJ104" s="2125"/>
      <c r="FK104" s="2123"/>
      <c r="FL104" s="2124"/>
      <c r="FM104" s="2124"/>
      <c r="FN104" s="2125"/>
      <c r="FO104" s="2123"/>
      <c r="FP104" s="2124"/>
      <c r="FQ104" s="2124"/>
      <c r="FR104" s="2125"/>
      <c r="FS104" s="2123"/>
      <c r="FT104" s="2124"/>
      <c r="FU104" s="2124"/>
      <c r="FV104" s="2125"/>
      <c r="FW104" s="2123"/>
      <c r="FX104" s="2124"/>
      <c r="FY104" s="2124"/>
      <c r="FZ104" s="2125"/>
      <c r="GA104" s="2123"/>
      <c r="GB104" s="2124"/>
      <c r="GC104" s="2124"/>
      <c r="GD104" s="2125"/>
    </row>
    <row r="105" spans="2:186" ht="15" customHeight="1">
      <c r="B105" s="2064"/>
      <c r="C105" s="2090" t="s">
        <v>3792</v>
      </c>
      <c r="D105" s="2091"/>
      <c r="E105" s="2191"/>
      <c r="F105" s="2093">
        <f ca="1">SUM(G105:GD105)</f>
        <v>17632.980418372386</v>
      </c>
      <c r="G105" s="2094"/>
      <c r="H105" s="2095"/>
      <c r="I105" s="2095"/>
      <c r="J105" s="2096"/>
      <c r="K105" s="2094"/>
      <c r="L105" s="2095"/>
      <c r="M105" s="2095"/>
      <c r="N105" s="2096">
        <f>예정운영비용!$I$33/단위</f>
        <v>312.51240231660006</v>
      </c>
      <c r="O105" s="2094">
        <f t="shared" ref="O105:BZ105" si="180">O102+O103-O104</f>
        <v>327.92461041867506</v>
      </c>
      <c r="P105" s="2095">
        <f t="shared" si="180"/>
        <v>343.33681852075006</v>
      </c>
      <c r="Q105" s="2095">
        <f t="shared" si="180"/>
        <v>358.74902662282506</v>
      </c>
      <c r="R105" s="2096">
        <f t="shared" si="180"/>
        <v>374.16123472490005</v>
      </c>
      <c r="S105" s="2094">
        <f t="shared" ca="1" si="180"/>
        <v>388.46957663420005</v>
      </c>
      <c r="T105" s="2095">
        <f t="shared" ca="1" si="180"/>
        <v>402.77791854350005</v>
      </c>
      <c r="U105" s="2095">
        <f t="shared" ca="1" si="180"/>
        <v>375.82024695240466</v>
      </c>
      <c r="V105" s="2096">
        <f t="shared" ca="1" si="180"/>
        <v>336.48864397851719</v>
      </c>
      <c r="W105" s="2094">
        <f t="shared" ca="1" si="180"/>
        <v>336.48864397851725</v>
      </c>
      <c r="X105" s="2095">
        <f t="shared" ca="1" si="180"/>
        <v>336.48864397851719</v>
      </c>
      <c r="Y105" s="2095">
        <f t="shared" ca="1" si="180"/>
        <v>336.48864397851725</v>
      </c>
      <c r="Z105" s="2096">
        <f t="shared" ca="1" si="180"/>
        <v>336.48864397851719</v>
      </c>
      <c r="AA105" s="2094">
        <f t="shared" ca="1" si="180"/>
        <v>315.29272036968348</v>
      </c>
      <c r="AB105" s="2095">
        <f t="shared" ca="1" si="180"/>
        <v>315.29272036968359</v>
      </c>
      <c r="AC105" s="2095">
        <f t="shared" ca="1" si="180"/>
        <v>315.29272036968359</v>
      </c>
      <c r="AD105" s="2096">
        <f t="shared" ca="1" si="180"/>
        <v>315.29272036968359</v>
      </c>
      <c r="AE105" s="2094">
        <f t="shared" ca="1" si="180"/>
        <v>272.35622966703352</v>
      </c>
      <c r="AF105" s="2095">
        <f t="shared" ca="1" si="180"/>
        <v>272.35622966703352</v>
      </c>
      <c r="AG105" s="2095">
        <f t="shared" ca="1" si="180"/>
        <v>223.44466545625062</v>
      </c>
      <c r="AH105" s="2096">
        <f t="shared" ca="1" si="180"/>
        <v>179.0013701583199</v>
      </c>
      <c r="AI105" s="2094">
        <f t="shared" ca="1" si="180"/>
        <v>150.78612121692834</v>
      </c>
      <c r="AJ105" s="2095">
        <f t="shared" ca="1" si="180"/>
        <v>123.90996236835019</v>
      </c>
      <c r="AK105" s="2095">
        <f t="shared" ca="1" si="180"/>
        <v>91.35288622724272</v>
      </c>
      <c r="AL105" s="2096">
        <f t="shared" ca="1" si="180"/>
        <v>70.418839043664661</v>
      </c>
      <c r="AM105" s="2094">
        <f t="shared" ca="1" si="180"/>
        <v>70.418839043664661</v>
      </c>
      <c r="AN105" s="2095">
        <f t="shared" ca="1" si="180"/>
        <v>70.418839043664661</v>
      </c>
      <c r="AO105" s="2095">
        <f t="shared" ca="1" si="180"/>
        <v>70.418839043664661</v>
      </c>
      <c r="AP105" s="2096">
        <f t="shared" ca="1" si="180"/>
        <v>70.418839043664661</v>
      </c>
      <c r="AQ105" s="2094">
        <f t="shared" ca="1" si="180"/>
        <v>70.418839043664548</v>
      </c>
      <c r="AR105" s="2095">
        <f t="shared" ca="1" si="180"/>
        <v>70.418839043664548</v>
      </c>
      <c r="AS105" s="2095">
        <f t="shared" ca="1" si="180"/>
        <v>70.418839043664548</v>
      </c>
      <c r="AT105" s="2096">
        <f t="shared" ca="1" si="180"/>
        <v>70.418839043664548</v>
      </c>
      <c r="AU105" s="2094">
        <f t="shared" ca="1" si="180"/>
        <v>70.418839043664548</v>
      </c>
      <c r="AV105" s="2095">
        <f t="shared" ca="1" si="180"/>
        <v>70.418839043664548</v>
      </c>
      <c r="AW105" s="2095">
        <f t="shared" ca="1" si="180"/>
        <v>70.418839043664548</v>
      </c>
      <c r="AX105" s="2096">
        <f t="shared" ca="1" si="180"/>
        <v>70.418839043664548</v>
      </c>
      <c r="AY105" s="2094">
        <f t="shared" ca="1" si="180"/>
        <v>70.418839043664548</v>
      </c>
      <c r="AZ105" s="2095">
        <f t="shared" ca="1" si="180"/>
        <v>70.418839043664548</v>
      </c>
      <c r="BA105" s="2095">
        <f t="shared" ca="1" si="180"/>
        <v>70.418839043664548</v>
      </c>
      <c r="BB105" s="2096">
        <f t="shared" ca="1" si="180"/>
        <v>70.418839043664548</v>
      </c>
      <c r="BC105" s="2094">
        <f t="shared" ca="1" si="180"/>
        <v>70.418839043664548</v>
      </c>
      <c r="BD105" s="2095">
        <f t="shared" ca="1" si="180"/>
        <v>70.418839043664548</v>
      </c>
      <c r="BE105" s="2095">
        <f t="shared" ca="1" si="180"/>
        <v>70.418839043664548</v>
      </c>
      <c r="BF105" s="2096">
        <f t="shared" ca="1" si="180"/>
        <v>70.418839043664548</v>
      </c>
      <c r="BG105" s="2094">
        <f t="shared" ca="1" si="180"/>
        <v>70.418839043664548</v>
      </c>
      <c r="BH105" s="2095">
        <f t="shared" ca="1" si="180"/>
        <v>70.418839043664548</v>
      </c>
      <c r="BI105" s="2095">
        <f t="shared" ca="1" si="180"/>
        <v>70.418839043664548</v>
      </c>
      <c r="BJ105" s="2096">
        <f t="shared" ca="1" si="180"/>
        <v>70.418839043664548</v>
      </c>
      <c r="BK105" s="2094">
        <f t="shared" ca="1" si="180"/>
        <v>70.418839043664548</v>
      </c>
      <c r="BL105" s="2095">
        <f t="shared" ca="1" si="180"/>
        <v>70.418839043664548</v>
      </c>
      <c r="BM105" s="2095">
        <f t="shared" ca="1" si="180"/>
        <v>70.418839043664548</v>
      </c>
      <c r="BN105" s="2096">
        <f t="shared" ca="1" si="180"/>
        <v>70.418839043664548</v>
      </c>
      <c r="BO105" s="2094">
        <f t="shared" ca="1" si="180"/>
        <v>70.418839043664548</v>
      </c>
      <c r="BP105" s="2095">
        <f t="shared" ca="1" si="180"/>
        <v>70.418839043664548</v>
      </c>
      <c r="BQ105" s="2095">
        <f t="shared" ca="1" si="180"/>
        <v>70.418839043664548</v>
      </c>
      <c r="BR105" s="2096">
        <f t="shared" ca="1" si="180"/>
        <v>70.418839043664548</v>
      </c>
      <c r="BS105" s="2094">
        <f t="shared" ca="1" si="180"/>
        <v>70.418839043664548</v>
      </c>
      <c r="BT105" s="2095">
        <f t="shared" ca="1" si="180"/>
        <v>70.418839043664548</v>
      </c>
      <c r="BU105" s="2095">
        <f t="shared" ca="1" si="180"/>
        <v>70.418839043664548</v>
      </c>
      <c r="BV105" s="2096">
        <f t="shared" ca="1" si="180"/>
        <v>70.418839043664548</v>
      </c>
      <c r="BW105" s="2094">
        <f t="shared" ca="1" si="180"/>
        <v>70.418839043664548</v>
      </c>
      <c r="BX105" s="2095">
        <f t="shared" ca="1" si="180"/>
        <v>70.418839043664548</v>
      </c>
      <c r="BY105" s="2095">
        <f t="shared" ca="1" si="180"/>
        <v>70.418839043664548</v>
      </c>
      <c r="BZ105" s="2096">
        <f t="shared" ca="1" si="180"/>
        <v>70.418839043664548</v>
      </c>
      <c r="CA105" s="2094">
        <f t="shared" ref="CA105:EL105" ca="1" si="181">CA102+CA103-CA104</f>
        <v>70.418839043664548</v>
      </c>
      <c r="CB105" s="2095">
        <f t="shared" ca="1" si="181"/>
        <v>70.418839043664548</v>
      </c>
      <c r="CC105" s="2095">
        <f t="shared" ca="1" si="181"/>
        <v>70.418839043664548</v>
      </c>
      <c r="CD105" s="2096">
        <f t="shared" ca="1" si="181"/>
        <v>70.418839043664548</v>
      </c>
      <c r="CE105" s="2094">
        <f t="shared" ca="1" si="181"/>
        <v>70.418839043664548</v>
      </c>
      <c r="CF105" s="2095">
        <f t="shared" ca="1" si="181"/>
        <v>70.418839043664548</v>
      </c>
      <c r="CG105" s="2095">
        <f t="shared" ca="1" si="181"/>
        <v>70.418839043664548</v>
      </c>
      <c r="CH105" s="2096">
        <f t="shared" ca="1" si="181"/>
        <v>70.418839043664548</v>
      </c>
      <c r="CI105" s="2094">
        <f t="shared" ca="1" si="181"/>
        <v>70.418839043664548</v>
      </c>
      <c r="CJ105" s="2095">
        <f t="shared" ca="1" si="181"/>
        <v>70.418839043664548</v>
      </c>
      <c r="CK105" s="2095">
        <f t="shared" ca="1" si="181"/>
        <v>70.418839043664548</v>
      </c>
      <c r="CL105" s="2096">
        <f t="shared" ca="1" si="181"/>
        <v>70.418839043664548</v>
      </c>
      <c r="CM105" s="2094">
        <f t="shared" ca="1" si="181"/>
        <v>70.418839043664548</v>
      </c>
      <c r="CN105" s="2095">
        <f t="shared" ca="1" si="181"/>
        <v>70.418839043664548</v>
      </c>
      <c r="CO105" s="2095">
        <f t="shared" ca="1" si="181"/>
        <v>70.418839043664548</v>
      </c>
      <c r="CP105" s="2096">
        <f t="shared" ca="1" si="181"/>
        <v>70.418839043664548</v>
      </c>
      <c r="CQ105" s="2094">
        <f t="shared" ca="1" si="181"/>
        <v>70.418839043664548</v>
      </c>
      <c r="CR105" s="2095">
        <f t="shared" ca="1" si="181"/>
        <v>70.418839043664548</v>
      </c>
      <c r="CS105" s="2095">
        <f t="shared" ca="1" si="181"/>
        <v>70.418839043664548</v>
      </c>
      <c r="CT105" s="2096">
        <f t="shared" ca="1" si="181"/>
        <v>70.418839043664548</v>
      </c>
      <c r="CU105" s="2094">
        <f t="shared" ca="1" si="181"/>
        <v>70.418839043664548</v>
      </c>
      <c r="CV105" s="2095">
        <f t="shared" ca="1" si="181"/>
        <v>70.418839043664548</v>
      </c>
      <c r="CW105" s="2095">
        <f t="shared" ca="1" si="181"/>
        <v>70.418839043664548</v>
      </c>
      <c r="CX105" s="2096">
        <f t="shared" ca="1" si="181"/>
        <v>70.418839043664548</v>
      </c>
      <c r="CY105" s="2094">
        <f t="shared" ca="1" si="181"/>
        <v>70.418839043664548</v>
      </c>
      <c r="CZ105" s="2095">
        <f t="shared" ca="1" si="181"/>
        <v>70.418839043664548</v>
      </c>
      <c r="DA105" s="2095">
        <f t="shared" ca="1" si="181"/>
        <v>70.418839043664548</v>
      </c>
      <c r="DB105" s="2096">
        <f t="shared" ca="1" si="181"/>
        <v>70.418839043664548</v>
      </c>
      <c r="DC105" s="2094">
        <f t="shared" ca="1" si="181"/>
        <v>70.418839043664548</v>
      </c>
      <c r="DD105" s="2095">
        <f t="shared" ca="1" si="181"/>
        <v>70.418839043664548</v>
      </c>
      <c r="DE105" s="2095">
        <f t="shared" ca="1" si="181"/>
        <v>70.418839043664548</v>
      </c>
      <c r="DF105" s="2096">
        <f t="shared" ca="1" si="181"/>
        <v>70.418839043664548</v>
      </c>
      <c r="DG105" s="2094">
        <f t="shared" ca="1" si="181"/>
        <v>70.418839043664548</v>
      </c>
      <c r="DH105" s="2095">
        <f t="shared" ca="1" si="181"/>
        <v>70.418839043664548</v>
      </c>
      <c r="DI105" s="2095">
        <f t="shared" ca="1" si="181"/>
        <v>70.418839043664548</v>
      </c>
      <c r="DJ105" s="2096">
        <f t="shared" ca="1" si="181"/>
        <v>70.418839043664548</v>
      </c>
      <c r="DK105" s="2094">
        <f t="shared" ca="1" si="181"/>
        <v>70.418839043664548</v>
      </c>
      <c r="DL105" s="2095">
        <f t="shared" ca="1" si="181"/>
        <v>70.418839043664548</v>
      </c>
      <c r="DM105" s="2095">
        <f t="shared" ca="1" si="181"/>
        <v>70.418839043664548</v>
      </c>
      <c r="DN105" s="2096">
        <f t="shared" ca="1" si="181"/>
        <v>70.418839043664548</v>
      </c>
      <c r="DO105" s="2094">
        <f t="shared" ca="1" si="181"/>
        <v>70.418839043664548</v>
      </c>
      <c r="DP105" s="2095">
        <f t="shared" ca="1" si="181"/>
        <v>70.418839043664548</v>
      </c>
      <c r="DQ105" s="2095">
        <f t="shared" ca="1" si="181"/>
        <v>70.418839043664548</v>
      </c>
      <c r="DR105" s="2096">
        <f t="shared" ca="1" si="181"/>
        <v>70.418839043664548</v>
      </c>
      <c r="DS105" s="2094">
        <f t="shared" ca="1" si="181"/>
        <v>70.418839043664548</v>
      </c>
      <c r="DT105" s="2095">
        <f t="shared" ca="1" si="181"/>
        <v>70.418839043664548</v>
      </c>
      <c r="DU105" s="2095">
        <f t="shared" ca="1" si="181"/>
        <v>70.418839043664548</v>
      </c>
      <c r="DV105" s="2096">
        <f t="shared" ca="1" si="181"/>
        <v>70.418839043664548</v>
      </c>
      <c r="DW105" s="2094">
        <f t="shared" ca="1" si="181"/>
        <v>70.418839043664548</v>
      </c>
      <c r="DX105" s="2095">
        <f t="shared" ca="1" si="181"/>
        <v>70.418839043664548</v>
      </c>
      <c r="DY105" s="2095">
        <f t="shared" ca="1" si="181"/>
        <v>70.418839043664548</v>
      </c>
      <c r="DZ105" s="2096">
        <f t="shared" ca="1" si="181"/>
        <v>70.418839043664548</v>
      </c>
      <c r="EA105" s="2094">
        <f t="shared" ca="1" si="181"/>
        <v>70.418839043664548</v>
      </c>
      <c r="EB105" s="2095">
        <f t="shared" ca="1" si="181"/>
        <v>70.418839043664548</v>
      </c>
      <c r="EC105" s="2095">
        <f t="shared" ca="1" si="181"/>
        <v>70.418839043664548</v>
      </c>
      <c r="ED105" s="2096">
        <f t="shared" ca="1" si="181"/>
        <v>70.418839043664548</v>
      </c>
      <c r="EE105" s="2094">
        <f t="shared" ca="1" si="181"/>
        <v>70.418839043664548</v>
      </c>
      <c r="EF105" s="2095">
        <f t="shared" ca="1" si="181"/>
        <v>70.418839043664548</v>
      </c>
      <c r="EG105" s="2095">
        <f t="shared" ca="1" si="181"/>
        <v>70.418839043664548</v>
      </c>
      <c r="EH105" s="2096">
        <f t="shared" ca="1" si="181"/>
        <v>70.418839043664548</v>
      </c>
      <c r="EI105" s="2094">
        <f t="shared" ca="1" si="181"/>
        <v>70.418839043664548</v>
      </c>
      <c r="EJ105" s="2095">
        <f t="shared" ca="1" si="181"/>
        <v>70.418839043664548</v>
      </c>
      <c r="EK105" s="2095">
        <f t="shared" ca="1" si="181"/>
        <v>70.418839043664548</v>
      </c>
      <c r="EL105" s="2096">
        <f t="shared" ca="1" si="181"/>
        <v>70.418839043664548</v>
      </c>
      <c r="EM105" s="2094">
        <f t="shared" ref="EM105:GD105" ca="1" si="182">EM102+EM103-EM104</f>
        <v>70.418839043664548</v>
      </c>
      <c r="EN105" s="2095">
        <f t="shared" ca="1" si="182"/>
        <v>70.418839043664548</v>
      </c>
      <c r="EO105" s="2095">
        <f t="shared" ca="1" si="182"/>
        <v>70.418839043664548</v>
      </c>
      <c r="EP105" s="2096">
        <f t="shared" ca="1" si="182"/>
        <v>70.418839043664548</v>
      </c>
      <c r="EQ105" s="2094">
        <f t="shared" ca="1" si="182"/>
        <v>70.418839043664548</v>
      </c>
      <c r="ER105" s="2095">
        <f t="shared" ca="1" si="182"/>
        <v>70.418839043664548</v>
      </c>
      <c r="ES105" s="2095">
        <f t="shared" ca="1" si="182"/>
        <v>70.418839043664548</v>
      </c>
      <c r="ET105" s="2096">
        <f t="shared" ca="1" si="182"/>
        <v>70.418839043664548</v>
      </c>
      <c r="EU105" s="2094">
        <f t="shared" ca="1" si="182"/>
        <v>70.418839043664548</v>
      </c>
      <c r="EV105" s="2095">
        <f t="shared" ca="1" si="182"/>
        <v>70.418839043664548</v>
      </c>
      <c r="EW105" s="2095">
        <f t="shared" ca="1" si="182"/>
        <v>70.418839043664548</v>
      </c>
      <c r="EX105" s="2096">
        <f t="shared" ca="1" si="182"/>
        <v>70.418839043664548</v>
      </c>
      <c r="EY105" s="2094">
        <f t="shared" ca="1" si="182"/>
        <v>70.418839043664548</v>
      </c>
      <c r="EZ105" s="2095">
        <f t="shared" ca="1" si="182"/>
        <v>70.418839043664548</v>
      </c>
      <c r="FA105" s="2095">
        <f t="shared" ca="1" si="182"/>
        <v>70.418839043664548</v>
      </c>
      <c r="FB105" s="2096">
        <f t="shared" ca="1" si="182"/>
        <v>70.418839043664548</v>
      </c>
      <c r="FC105" s="2094">
        <f t="shared" ca="1" si="182"/>
        <v>70.418839043664548</v>
      </c>
      <c r="FD105" s="2095">
        <f t="shared" ca="1" si="182"/>
        <v>70.418839043664548</v>
      </c>
      <c r="FE105" s="2095">
        <f t="shared" ca="1" si="182"/>
        <v>70.418839043664548</v>
      </c>
      <c r="FF105" s="2096">
        <f t="shared" ca="1" si="182"/>
        <v>70.418839043664548</v>
      </c>
      <c r="FG105" s="2094">
        <f t="shared" ca="1" si="182"/>
        <v>70.418839043664548</v>
      </c>
      <c r="FH105" s="2095">
        <f t="shared" ca="1" si="182"/>
        <v>70.418839043664548</v>
      </c>
      <c r="FI105" s="2095">
        <f t="shared" ca="1" si="182"/>
        <v>70.418839043664548</v>
      </c>
      <c r="FJ105" s="2096">
        <f t="shared" ca="1" si="182"/>
        <v>70.418839043664548</v>
      </c>
      <c r="FK105" s="2094">
        <f t="shared" ca="1" si="182"/>
        <v>70.418839043664548</v>
      </c>
      <c r="FL105" s="2095">
        <f t="shared" ca="1" si="182"/>
        <v>70.418839043664548</v>
      </c>
      <c r="FM105" s="2095">
        <f t="shared" ca="1" si="182"/>
        <v>70.418839043664548</v>
      </c>
      <c r="FN105" s="2096">
        <f t="shared" ca="1" si="182"/>
        <v>70.418839043664548</v>
      </c>
      <c r="FO105" s="2094">
        <f t="shared" ca="1" si="182"/>
        <v>70.418839043664548</v>
      </c>
      <c r="FP105" s="2095">
        <f t="shared" ca="1" si="182"/>
        <v>70.418839043664548</v>
      </c>
      <c r="FQ105" s="2095">
        <f t="shared" ca="1" si="182"/>
        <v>70.418839043664548</v>
      </c>
      <c r="FR105" s="2096">
        <f t="shared" ca="1" si="182"/>
        <v>70.418839043664548</v>
      </c>
      <c r="FS105" s="2094">
        <f t="shared" ca="1" si="182"/>
        <v>70.418839043664548</v>
      </c>
      <c r="FT105" s="2095">
        <f t="shared" ca="1" si="182"/>
        <v>70.418839043664548</v>
      </c>
      <c r="FU105" s="2095">
        <f t="shared" ca="1" si="182"/>
        <v>70.418839043664548</v>
      </c>
      <c r="FV105" s="2096">
        <f t="shared" ca="1" si="182"/>
        <v>70.418839043664548</v>
      </c>
      <c r="FW105" s="2094">
        <f t="shared" ca="1" si="182"/>
        <v>70.418839043664548</v>
      </c>
      <c r="FX105" s="2095">
        <f t="shared" ca="1" si="182"/>
        <v>70.418839043664548</v>
      </c>
      <c r="FY105" s="2095">
        <f t="shared" ca="1" si="182"/>
        <v>70.418839043664548</v>
      </c>
      <c r="FZ105" s="2096">
        <f t="shared" ca="1" si="182"/>
        <v>70.418839043664548</v>
      </c>
      <c r="GA105" s="2094">
        <f t="shared" ca="1" si="182"/>
        <v>70.418839043664548</v>
      </c>
      <c r="GB105" s="2095">
        <f t="shared" ca="1" si="182"/>
        <v>70.418839043664548</v>
      </c>
      <c r="GC105" s="2095">
        <f t="shared" ca="1" si="182"/>
        <v>70.418839043664548</v>
      </c>
      <c r="GD105" s="2096">
        <f t="shared" ca="1" si="182"/>
        <v>70.418839043664548</v>
      </c>
    </row>
    <row r="106" spans="2:186" ht="15" customHeight="1">
      <c r="B106" s="2064"/>
      <c r="C106" s="2064"/>
      <c r="D106" s="2064"/>
      <c r="E106" s="2100"/>
      <c r="F106" s="469"/>
      <c r="G106" s="469"/>
      <c r="H106" s="469"/>
      <c r="I106" s="469"/>
      <c r="J106" s="469"/>
      <c r="K106" s="469"/>
      <c r="L106" s="469"/>
      <c r="M106" s="469"/>
      <c r="N106" s="469"/>
      <c r="O106" s="469"/>
      <c r="P106" s="469"/>
      <c r="Q106" s="469"/>
      <c r="R106" s="469"/>
      <c r="S106" s="469">
        <f t="shared" ref="S106:AT106" ca="1" si="183">S105+S62</f>
        <v>498.81283893893004</v>
      </c>
      <c r="T106" s="469">
        <f t="shared" ca="1" si="183"/>
        <v>513.1211808482301</v>
      </c>
      <c r="U106" s="469">
        <f t="shared" ca="1" si="183"/>
        <v>520</v>
      </c>
      <c r="V106" s="469">
        <f t="shared" ca="1" si="183"/>
        <v>520</v>
      </c>
      <c r="W106" s="469">
        <f t="shared" ca="1" si="183"/>
        <v>520</v>
      </c>
      <c r="X106" s="469">
        <f t="shared" ca="1" si="183"/>
        <v>520</v>
      </c>
      <c r="Y106" s="469">
        <f t="shared" ca="1" si="183"/>
        <v>520</v>
      </c>
      <c r="Z106" s="469">
        <f t="shared" ca="1" si="183"/>
        <v>520</v>
      </c>
      <c r="AA106" s="469">
        <f t="shared" ca="1" si="183"/>
        <v>520</v>
      </c>
      <c r="AB106" s="469">
        <f t="shared" ca="1" si="183"/>
        <v>520</v>
      </c>
      <c r="AC106" s="469">
        <f t="shared" ca="1" si="183"/>
        <v>520</v>
      </c>
      <c r="AD106" s="469">
        <f t="shared" ca="1" si="183"/>
        <v>520</v>
      </c>
      <c r="AE106" s="469">
        <f t="shared" ca="1" si="183"/>
        <v>520</v>
      </c>
      <c r="AF106" s="469">
        <f t="shared" ca="1" si="183"/>
        <v>520</v>
      </c>
      <c r="AG106" s="469">
        <f t="shared" ca="1" si="183"/>
        <v>520</v>
      </c>
      <c r="AH106" s="469">
        <f t="shared" ca="1" si="183"/>
        <v>520</v>
      </c>
      <c r="AI106" s="469">
        <f t="shared" ca="1" si="183"/>
        <v>520</v>
      </c>
      <c r="AJ106" s="469">
        <f t="shared" ca="1" si="183"/>
        <v>520</v>
      </c>
      <c r="AK106" s="469">
        <f t="shared" ca="1" si="183"/>
        <v>520</v>
      </c>
      <c r="AL106" s="469">
        <f t="shared" ca="1" si="183"/>
        <v>520</v>
      </c>
      <c r="AM106" s="469">
        <f t="shared" ca="1" si="183"/>
        <v>520</v>
      </c>
      <c r="AN106" s="469">
        <f t="shared" ca="1" si="183"/>
        <v>520</v>
      </c>
      <c r="AO106" s="469">
        <f t="shared" ca="1" si="183"/>
        <v>520</v>
      </c>
      <c r="AP106" s="469">
        <f t="shared" ca="1" si="183"/>
        <v>520</v>
      </c>
      <c r="AQ106" s="469">
        <f t="shared" ca="1" si="183"/>
        <v>520</v>
      </c>
      <c r="AR106" s="469">
        <f t="shared" ca="1" si="183"/>
        <v>520</v>
      </c>
      <c r="AS106" s="469">
        <f t="shared" ca="1" si="183"/>
        <v>520</v>
      </c>
      <c r="AT106" s="469">
        <f t="shared" ca="1" si="183"/>
        <v>520</v>
      </c>
      <c r="AU106" s="469"/>
      <c r="AV106" s="469"/>
      <c r="AW106" s="469"/>
      <c r="AX106" s="469"/>
      <c r="AY106" s="469"/>
      <c r="AZ106" s="469"/>
      <c r="BA106" s="469"/>
      <c r="BB106" s="469"/>
      <c r="BC106" s="469"/>
      <c r="BD106" s="469"/>
      <c r="BE106" s="469"/>
      <c r="BF106" s="469"/>
      <c r="BG106" s="469"/>
      <c r="BH106" s="469"/>
      <c r="BI106" s="469"/>
      <c r="BJ106" s="469"/>
      <c r="BK106" s="469"/>
      <c r="BL106" s="469"/>
      <c r="BM106" s="469"/>
      <c r="BN106" s="469"/>
      <c r="BO106" s="469"/>
      <c r="BP106" s="469"/>
      <c r="BQ106" s="469"/>
      <c r="BR106" s="469"/>
      <c r="BS106" s="469"/>
      <c r="BT106" s="469"/>
      <c r="BU106" s="469"/>
      <c r="BV106" s="469"/>
      <c r="BW106" s="469"/>
      <c r="BX106" s="469"/>
      <c r="BY106" s="469"/>
      <c r="BZ106" s="469"/>
      <c r="CA106" s="469"/>
      <c r="CB106" s="469"/>
      <c r="CC106" s="469"/>
      <c r="CD106" s="469"/>
      <c r="CE106" s="469"/>
      <c r="CF106" s="469"/>
      <c r="CG106" s="469"/>
      <c r="CH106" s="469"/>
      <c r="CI106" s="469"/>
      <c r="CJ106" s="469"/>
      <c r="CK106" s="469"/>
      <c r="CL106" s="469"/>
      <c r="CM106" s="469"/>
      <c r="CN106" s="469"/>
      <c r="CO106" s="469"/>
      <c r="CP106" s="469"/>
      <c r="CQ106" s="469"/>
      <c r="CR106" s="469"/>
      <c r="CS106" s="469"/>
      <c r="CT106" s="469"/>
      <c r="CU106" s="469"/>
      <c r="CV106" s="469"/>
      <c r="CW106" s="469"/>
      <c r="CX106" s="469"/>
      <c r="CY106" s="469"/>
      <c r="CZ106" s="469"/>
      <c r="DA106" s="469"/>
      <c r="DB106" s="469"/>
      <c r="DC106" s="469"/>
      <c r="DD106" s="469"/>
      <c r="DE106" s="469"/>
      <c r="DF106" s="469"/>
      <c r="DG106" s="469"/>
      <c r="DH106" s="469"/>
      <c r="DI106" s="469"/>
      <c r="DJ106" s="469"/>
      <c r="DK106" s="469"/>
      <c r="DL106" s="469"/>
      <c r="DM106" s="469"/>
      <c r="DN106" s="469"/>
      <c r="DO106" s="469"/>
      <c r="DP106" s="469"/>
      <c r="DQ106" s="469"/>
      <c r="DR106" s="469"/>
      <c r="DS106" s="469"/>
      <c r="DT106" s="469"/>
      <c r="DU106" s="469"/>
      <c r="DV106" s="469"/>
      <c r="DW106" s="469"/>
      <c r="DX106" s="469"/>
      <c r="DY106" s="469"/>
      <c r="DZ106" s="469"/>
      <c r="EA106" s="469"/>
      <c r="EB106" s="469"/>
      <c r="EC106" s="469"/>
      <c r="ED106" s="469"/>
      <c r="EE106" s="469"/>
      <c r="EF106" s="469"/>
      <c r="EG106" s="469"/>
      <c r="EH106" s="469"/>
      <c r="EI106" s="469"/>
      <c r="EJ106" s="469"/>
      <c r="EK106" s="469"/>
      <c r="EL106" s="469"/>
      <c r="EM106" s="469"/>
      <c r="EN106" s="469"/>
      <c r="EO106" s="469"/>
      <c r="EP106" s="469"/>
      <c r="EQ106" s="469"/>
      <c r="ER106" s="469"/>
      <c r="ES106" s="469"/>
      <c r="ET106" s="469"/>
      <c r="EU106" s="469"/>
      <c r="EV106" s="469"/>
      <c r="EW106" s="469"/>
      <c r="EX106" s="469"/>
      <c r="EY106" s="469"/>
      <c r="EZ106" s="469"/>
      <c r="FA106" s="469"/>
      <c r="FB106" s="469"/>
      <c r="FC106" s="469"/>
      <c r="FD106" s="469"/>
      <c r="FE106" s="469"/>
      <c r="FF106" s="469"/>
      <c r="FG106" s="469"/>
      <c r="FH106" s="469"/>
      <c r="FI106" s="469"/>
      <c r="FJ106" s="469"/>
      <c r="FK106" s="469"/>
      <c r="FL106" s="469"/>
      <c r="FM106" s="469"/>
      <c r="FN106" s="469"/>
      <c r="FO106" s="469"/>
      <c r="FP106" s="469"/>
      <c r="FQ106" s="469"/>
      <c r="FR106" s="469"/>
      <c r="FS106" s="469"/>
      <c r="FT106" s="469"/>
      <c r="FU106" s="469"/>
      <c r="FV106" s="469"/>
      <c r="FW106" s="469"/>
      <c r="FX106" s="469"/>
      <c r="FY106" s="469"/>
      <c r="FZ106" s="469"/>
      <c r="GA106" s="469"/>
      <c r="GB106" s="469"/>
      <c r="GC106" s="469"/>
      <c r="GD106" s="469"/>
    </row>
    <row r="107" spans="2:186" ht="15" customHeight="1">
      <c r="B107" s="2064"/>
      <c r="C107" s="2064"/>
      <c r="D107" s="2064"/>
      <c r="E107" s="2064"/>
      <c r="F107" s="2064"/>
      <c r="G107" s="2064"/>
      <c r="H107" s="2064"/>
      <c r="I107" s="2064"/>
      <c r="J107" s="2064"/>
      <c r="K107" s="2064"/>
      <c r="L107" s="2064"/>
      <c r="M107" s="2064"/>
      <c r="N107" s="2064"/>
      <c r="O107" s="2064"/>
      <c r="P107" s="2064"/>
      <c r="Q107" s="2064"/>
      <c r="R107" s="2064"/>
      <c r="S107" s="2064"/>
      <c r="T107" s="2064"/>
      <c r="U107" s="2064"/>
      <c r="V107" s="2064"/>
      <c r="W107" s="2064"/>
      <c r="X107" s="2064"/>
      <c r="Y107" s="2064"/>
      <c r="Z107" s="2064"/>
      <c r="AA107" s="2064"/>
      <c r="AB107" s="2064"/>
      <c r="AC107" s="2064"/>
      <c r="AD107" s="2064"/>
      <c r="AE107" s="2064"/>
      <c r="AF107" s="2064"/>
      <c r="AG107" s="2064"/>
      <c r="AH107" s="2064"/>
      <c r="AI107" s="2064"/>
      <c r="AJ107" s="2064"/>
      <c r="AK107" s="2064"/>
      <c r="AL107" s="2064"/>
      <c r="AM107" s="2064"/>
      <c r="AN107" s="2064"/>
      <c r="AO107" s="2064"/>
      <c r="AP107" s="2064"/>
      <c r="AQ107" s="2064"/>
      <c r="AR107" s="2064"/>
      <c r="AS107" s="2064"/>
      <c r="AT107" s="2064"/>
      <c r="AU107" s="2064"/>
      <c r="AV107" s="2064"/>
      <c r="AW107" s="2064"/>
      <c r="AX107" s="2064"/>
      <c r="AY107" s="2064"/>
      <c r="AZ107" s="2064"/>
      <c r="BA107" s="2064"/>
      <c r="BB107" s="2064"/>
      <c r="BC107" s="2064"/>
      <c r="BD107" s="2064"/>
      <c r="BE107" s="2064"/>
      <c r="BF107" s="2064"/>
      <c r="BG107" s="2064"/>
      <c r="BH107" s="2064"/>
      <c r="BI107" s="2064"/>
      <c r="BJ107" s="2064"/>
      <c r="BK107" s="2064"/>
      <c r="BL107" s="2064"/>
      <c r="BM107" s="2064"/>
      <c r="BN107" s="2064"/>
      <c r="BO107" s="2064"/>
      <c r="BP107" s="2064"/>
      <c r="BQ107" s="2064"/>
      <c r="BR107" s="2064"/>
      <c r="BS107" s="2064"/>
      <c r="BT107" s="2064"/>
      <c r="BU107" s="2064"/>
      <c r="BV107" s="2064"/>
      <c r="BW107" s="2064"/>
      <c r="BX107" s="2064"/>
      <c r="BY107" s="2064"/>
      <c r="BZ107" s="2064"/>
      <c r="CA107" s="2064"/>
      <c r="CB107" s="2064"/>
      <c r="CC107" s="2064"/>
      <c r="CD107" s="2064"/>
      <c r="CE107" s="2064"/>
      <c r="CF107" s="2064"/>
      <c r="CG107" s="2064"/>
      <c r="CH107" s="2064"/>
      <c r="CI107" s="2064"/>
      <c r="CJ107" s="2064"/>
      <c r="CK107" s="2064"/>
      <c r="CL107" s="2064"/>
      <c r="CM107" s="2064"/>
      <c r="CN107" s="2064"/>
      <c r="CO107" s="2064"/>
      <c r="CP107" s="2064"/>
      <c r="CQ107" s="2064"/>
      <c r="CR107" s="2064"/>
      <c r="CS107" s="2064"/>
      <c r="CT107" s="2064"/>
      <c r="CU107" s="2064"/>
      <c r="CV107" s="2064"/>
      <c r="CW107" s="2064"/>
      <c r="CX107" s="2064"/>
      <c r="CY107" s="2064"/>
      <c r="CZ107" s="2064"/>
      <c r="DA107" s="2064"/>
      <c r="DB107" s="2064"/>
      <c r="DC107" s="2064"/>
      <c r="DD107" s="2064"/>
      <c r="DE107" s="2064"/>
      <c r="DF107" s="2064"/>
      <c r="DG107" s="2064"/>
      <c r="DH107" s="2064"/>
      <c r="DI107" s="2064"/>
      <c r="DJ107" s="2064"/>
      <c r="DK107" s="2064"/>
      <c r="DL107" s="2064"/>
      <c r="DM107" s="2064"/>
      <c r="DN107" s="2064"/>
      <c r="DO107" s="2064"/>
      <c r="DP107" s="2064"/>
      <c r="DQ107" s="2064"/>
      <c r="DR107" s="2064"/>
      <c r="DS107" s="2064"/>
      <c r="DT107" s="2064"/>
      <c r="DU107" s="2064"/>
      <c r="DV107" s="2064"/>
      <c r="DW107" s="2064"/>
      <c r="DX107" s="2064"/>
      <c r="DY107" s="2064"/>
      <c r="DZ107" s="2064"/>
      <c r="EA107" s="2064"/>
      <c r="EB107" s="2064"/>
      <c r="EC107" s="2064"/>
      <c r="ED107" s="2064"/>
      <c r="EE107" s="2064"/>
      <c r="EF107" s="2064"/>
      <c r="EG107" s="2064"/>
      <c r="EH107" s="2064"/>
      <c r="EI107" s="2064"/>
      <c r="EJ107" s="2064"/>
      <c r="EK107" s="2064"/>
      <c r="EL107" s="2064"/>
      <c r="EM107" s="2064"/>
      <c r="EN107" s="2064"/>
      <c r="EO107" s="2064"/>
      <c r="EP107" s="2064"/>
      <c r="EQ107" s="2064"/>
      <c r="ER107" s="2064"/>
      <c r="ES107" s="2064"/>
      <c r="ET107" s="2064"/>
      <c r="EU107" s="2064"/>
      <c r="EV107" s="2064"/>
      <c r="EW107" s="2064"/>
      <c r="EX107" s="2064"/>
      <c r="EY107" s="2064"/>
      <c r="EZ107" s="2064"/>
      <c r="FA107" s="2064"/>
      <c r="FB107" s="2064"/>
      <c r="FC107" s="2064"/>
      <c r="FD107" s="2064"/>
      <c r="FE107" s="2064"/>
      <c r="FF107" s="2064"/>
      <c r="FG107" s="2064"/>
      <c r="FH107" s="2064"/>
      <c r="FI107" s="2064"/>
      <c r="FJ107" s="2064"/>
      <c r="FK107" s="2064"/>
      <c r="FL107" s="2064"/>
      <c r="FM107" s="2064"/>
      <c r="FN107" s="2064"/>
      <c r="FO107" s="2064"/>
      <c r="FP107" s="2064"/>
      <c r="FQ107" s="2064"/>
      <c r="FR107" s="2064"/>
      <c r="FS107" s="2064"/>
      <c r="FT107" s="2064"/>
      <c r="FU107" s="2064"/>
      <c r="FV107" s="2064"/>
      <c r="FW107" s="2064"/>
      <c r="FX107" s="2064"/>
      <c r="FY107" s="2064"/>
      <c r="FZ107" s="2064"/>
      <c r="GA107" s="2064"/>
      <c r="GB107" s="2064"/>
      <c r="GC107" s="2064"/>
      <c r="GD107" s="2064"/>
    </row>
    <row r="108" spans="2:186" ht="15" customHeight="1">
      <c r="B108" s="2105">
        <v>7</v>
      </c>
      <c r="C108" s="2065" t="s">
        <v>3793</v>
      </c>
      <c r="D108" s="2065"/>
      <c r="E108" s="2106" t="s">
        <v>1325</v>
      </c>
      <c r="F108" s="469"/>
      <c r="G108" s="2064"/>
      <c r="H108" s="2064"/>
      <c r="I108" s="2064"/>
      <c r="J108" s="2064"/>
      <c r="K108" s="2064"/>
      <c r="L108" s="2064"/>
      <c r="M108" s="2064"/>
      <c r="N108" s="2064"/>
      <c r="O108" s="2064"/>
      <c r="P108" s="2064"/>
      <c r="Q108" s="2064"/>
      <c r="R108" s="2064"/>
      <c r="S108" s="2064"/>
      <c r="T108" s="2064"/>
      <c r="U108" s="2064"/>
      <c r="V108" s="2064"/>
      <c r="W108" s="2064"/>
      <c r="X108" s="2064"/>
      <c r="Y108" s="2064"/>
      <c r="Z108" s="2064"/>
      <c r="AA108" s="2064"/>
      <c r="AB108" s="2064"/>
      <c r="AC108" s="2064"/>
      <c r="AD108" s="2064"/>
      <c r="AE108" s="2064"/>
      <c r="AF108" s="2064"/>
      <c r="AG108" s="450"/>
      <c r="AH108" s="450"/>
      <c r="AI108" s="450"/>
      <c r="AJ108" s="450"/>
      <c r="AK108" s="450"/>
      <c r="AL108" s="450"/>
      <c r="AM108" s="450"/>
      <c r="AN108" s="450"/>
      <c r="AO108" s="450"/>
      <c r="AP108" s="450"/>
      <c r="AQ108" s="450"/>
      <c r="AR108" s="450"/>
      <c r="AS108" s="450"/>
      <c r="AT108" s="450"/>
      <c r="AU108" s="450"/>
      <c r="AV108" s="450"/>
      <c r="AW108" s="450"/>
      <c r="AX108" s="450"/>
      <c r="AY108" s="450"/>
      <c r="AZ108" s="450"/>
      <c r="BA108" s="450"/>
      <c r="BB108" s="450"/>
      <c r="BC108" s="450"/>
      <c r="BD108" s="450"/>
      <c r="BE108" s="450"/>
      <c r="BF108" s="450"/>
      <c r="BG108" s="450"/>
      <c r="BH108" s="450"/>
      <c r="BI108" s="450"/>
      <c r="BJ108" s="450"/>
      <c r="BK108" s="450"/>
      <c r="BL108" s="450"/>
      <c r="BM108" s="450"/>
      <c r="BN108" s="450"/>
      <c r="BO108" s="450"/>
      <c r="BP108" s="450"/>
      <c r="BQ108" s="450"/>
      <c r="BR108" s="450"/>
      <c r="BS108" s="450"/>
      <c r="BT108" s="450"/>
      <c r="BU108" s="450"/>
      <c r="BV108" s="450"/>
      <c r="BW108" s="450"/>
      <c r="BX108" s="450"/>
      <c r="BY108" s="450"/>
      <c r="BZ108" s="450"/>
      <c r="CA108" s="450"/>
      <c r="CB108" s="450"/>
      <c r="CC108" s="450"/>
      <c r="CD108" s="450"/>
      <c r="CE108" s="450"/>
      <c r="CF108" s="450"/>
      <c r="CG108" s="450"/>
      <c r="CH108" s="450"/>
      <c r="CI108" s="450"/>
      <c r="CJ108" s="450"/>
      <c r="CK108" s="450"/>
      <c r="CL108" s="450"/>
      <c r="CM108" s="450"/>
      <c r="CN108" s="450"/>
      <c r="CO108" s="450"/>
      <c r="CP108" s="450"/>
      <c r="CQ108" s="450"/>
      <c r="CR108" s="450"/>
      <c r="CS108" s="450"/>
      <c r="CT108" s="450"/>
      <c r="CU108" s="450"/>
      <c r="CV108" s="450"/>
      <c r="CW108" s="450"/>
      <c r="CX108" s="450"/>
      <c r="CY108" s="450"/>
      <c r="CZ108" s="450"/>
      <c r="DA108" s="450"/>
      <c r="DB108" s="450"/>
      <c r="DC108" s="450"/>
      <c r="DD108" s="450"/>
      <c r="DE108" s="450"/>
      <c r="DF108" s="450"/>
      <c r="DG108" s="450"/>
      <c r="DH108" s="450"/>
      <c r="DI108" s="450"/>
      <c r="DJ108" s="450"/>
      <c r="DK108" s="450"/>
      <c r="DL108" s="450"/>
      <c r="DM108" s="450"/>
      <c r="DN108" s="450"/>
      <c r="DO108" s="450"/>
      <c r="DP108" s="450"/>
      <c r="DQ108" s="450"/>
      <c r="DR108" s="450"/>
      <c r="DS108" s="450"/>
      <c r="DT108" s="450"/>
      <c r="DU108" s="450"/>
      <c r="DV108" s="450"/>
      <c r="DW108" s="450"/>
      <c r="DX108" s="450"/>
      <c r="DY108" s="450"/>
      <c r="DZ108" s="450"/>
      <c r="EA108" s="450"/>
      <c r="EB108" s="450"/>
      <c r="EC108" s="450"/>
      <c r="ED108" s="450"/>
      <c r="EE108" s="450"/>
      <c r="EF108" s="450"/>
      <c r="EG108" s="450"/>
      <c r="EH108" s="450"/>
      <c r="EI108" s="450"/>
      <c r="EJ108" s="450"/>
      <c r="EK108" s="450"/>
      <c r="EL108" s="450"/>
      <c r="EM108" s="450"/>
      <c r="EN108" s="450"/>
      <c r="EO108" s="450"/>
      <c r="EP108" s="450"/>
      <c r="EQ108" s="450"/>
      <c r="ER108" s="450"/>
      <c r="ES108" s="450"/>
      <c r="ET108" s="450"/>
      <c r="EU108" s="450"/>
      <c r="EV108" s="450"/>
      <c r="EW108" s="450"/>
      <c r="EX108" s="450"/>
      <c r="EY108" s="450"/>
      <c r="EZ108" s="450"/>
      <c r="FA108" s="450"/>
      <c r="FB108" s="450"/>
      <c r="FC108" s="450"/>
      <c r="FD108" s="450"/>
      <c r="FE108" s="450"/>
      <c r="FF108" s="450"/>
      <c r="FG108" s="450"/>
      <c r="FH108" s="450"/>
      <c r="FI108" s="450"/>
      <c r="FJ108" s="450"/>
      <c r="FK108" s="450"/>
      <c r="FL108" s="450"/>
      <c r="FM108" s="450"/>
      <c r="FN108" s="450"/>
      <c r="FO108" s="450"/>
      <c r="FP108" s="450"/>
      <c r="FQ108" s="450"/>
      <c r="FR108" s="450"/>
      <c r="FS108" s="450"/>
      <c r="FT108" s="450"/>
      <c r="FU108" s="450"/>
      <c r="FV108" s="450"/>
      <c r="FW108" s="450"/>
      <c r="FX108" s="450"/>
      <c r="FY108" s="450"/>
      <c r="FZ108" s="450"/>
      <c r="GA108" s="450"/>
      <c r="GB108" s="450"/>
      <c r="GC108" s="450"/>
      <c r="GD108" s="450"/>
    </row>
    <row r="109" spans="2:186" ht="15" customHeight="1">
      <c r="B109" s="2085"/>
      <c r="C109" s="2067" t="s">
        <v>3794</v>
      </c>
      <c r="D109" s="2068"/>
      <c r="E109" s="2115"/>
      <c r="F109" s="2116">
        <f ca="1">SUM(G109:GD109)</f>
        <v>32970.038530051803</v>
      </c>
      <c r="G109" s="2117">
        <f t="shared" ref="G109:BR109" ca="1" si="184">G84</f>
        <v>136.8718962685542</v>
      </c>
      <c r="H109" s="2118">
        <f t="shared" ca="1" si="184"/>
        <v>108.07529580855416</v>
      </c>
      <c r="I109" s="2118">
        <f t="shared" ca="1" si="184"/>
        <v>58.372855218554164</v>
      </c>
      <c r="J109" s="2119">
        <f t="shared" ca="1" si="184"/>
        <v>16.724687388554173</v>
      </c>
      <c r="K109" s="2117">
        <f t="shared" ca="1" si="184"/>
        <v>101.61547263933335</v>
      </c>
      <c r="L109" s="2118">
        <f t="shared" ca="1" si="184"/>
        <v>170.70014937571219</v>
      </c>
      <c r="M109" s="2118">
        <f t="shared" ca="1" si="184"/>
        <v>136.8702541657122</v>
      </c>
      <c r="N109" s="2119">
        <f t="shared" ca="1" si="184"/>
        <v>89.895936305712198</v>
      </c>
      <c r="O109" s="2117">
        <f t="shared" ca="1" si="184"/>
        <v>4.5257455899999997</v>
      </c>
      <c r="P109" s="2118">
        <f t="shared" ca="1" si="184"/>
        <v>23.430418859999975</v>
      </c>
      <c r="Q109" s="2118">
        <f t="shared" ca="1" si="184"/>
        <v>1.2139970800000022</v>
      </c>
      <c r="R109" s="2119">
        <f t="shared" ca="1" si="184"/>
        <v>7.5680049400000051</v>
      </c>
      <c r="S109" s="2117">
        <f t="shared" ca="1" si="184"/>
        <v>0</v>
      </c>
      <c r="T109" s="2118">
        <f t="shared" ca="1" si="184"/>
        <v>7.703740082373173</v>
      </c>
      <c r="U109" s="2118">
        <f t="shared" ca="1" si="184"/>
        <v>0</v>
      </c>
      <c r="V109" s="2119">
        <f t="shared" ca="1" si="184"/>
        <v>0</v>
      </c>
      <c r="W109" s="2117">
        <f t="shared" ca="1" si="184"/>
        <v>11.006923925605868</v>
      </c>
      <c r="X109" s="2118">
        <f t="shared" ca="1" si="184"/>
        <v>93.321218000074055</v>
      </c>
      <c r="Y109" s="2118">
        <f t="shared" ca="1" si="184"/>
        <v>52.631153866597124</v>
      </c>
      <c r="Z109" s="2119">
        <f t="shared" ca="1" si="184"/>
        <v>14.926766905465378</v>
      </c>
      <c r="AA109" s="2117">
        <f t="shared" ca="1" si="184"/>
        <v>0</v>
      </c>
      <c r="AB109" s="2118">
        <f t="shared" ca="1" si="184"/>
        <v>83.303797979740182</v>
      </c>
      <c r="AC109" s="2118">
        <f t="shared" ca="1" si="184"/>
        <v>43.333557095175998</v>
      </c>
      <c r="AD109" s="2119">
        <f ca="1">AD84</f>
        <v>7.3600855626918715</v>
      </c>
      <c r="AE109" s="2117">
        <f t="shared" ca="1" si="184"/>
        <v>0</v>
      </c>
      <c r="AF109" s="2118">
        <f t="shared" ca="1" si="184"/>
        <v>0.19079295939331331</v>
      </c>
      <c r="AG109" s="2118">
        <f t="shared" ca="1" si="184"/>
        <v>0</v>
      </c>
      <c r="AH109" s="2119">
        <f t="shared" ca="1" si="184"/>
        <v>0</v>
      </c>
      <c r="AI109" s="2117">
        <f t="shared" ca="1" si="184"/>
        <v>0</v>
      </c>
      <c r="AJ109" s="2118">
        <f t="shared" ca="1" si="184"/>
        <v>0</v>
      </c>
      <c r="AK109" s="2118">
        <f t="shared" ca="1" si="184"/>
        <v>0</v>
      </c>
      <c r="AL109" s="2119">
        <f t="shared" ca="1" si="184"/>
        <v>0</v>
      </c>
      <c r="AM109" s="2117">
        <f t="shared" ca="1" si="184"/>
        <v>8.67856165501032</v>
      </c>
      <c r="AN109" s="2118">
        <f t="shared" ca="1" si="184"/>
        <v>12.918193493137032</v>
      </c>
      <c r="AO109" s="2118">
        <f t="shared" ca="1" si="184"/>
        <v>17.055884568440781</v>
      </c>
      <c r="AP109" s="2119">
        <f t="shared" ca="1" si="184"/>
        <v>21.517238126567499</v>
      </c>
      <c r="AQ109" s="2117">
        <f t="shared" ca="1" si="184"/>
        <v>25.330606475395982</v>
      </c>
      <c r="AR109" s="2118">
        <f t="shared" ca="1" si="184"/>
        <v>31.430805957389467</v>
      </c>
      <c r="AS109" s="2118">
        <f t="shared" ca="1" si="184"/>
        <v>37.390219414672714</v>
      </c>
      <c r="AT109" s="2119">
        <f t="shared" ca="1" si="184"/>
        <v>45.297618743233684</v>
      </c>
      <c r="AU109" s="2117">
        <f t="shared" ca="1" si="184"/>
        <v>44.970330946769515</v>
      </c>
      <c r="AV109" s="2118">
        <f t="shared" ca="1" si="184"/>
        <v>17.680676233040678</v>
      </c>
      <c r="AW109" s="2118">
        <f t="shared" ca="1" si="184"/>
        <v>18.444333133922306</v>
      </c>
      <c r="AX109" s="2119">
        <f t="shared" ca="1" si="184"/>
        <v>31.691078883427188</v>
      </c>
      <c r="AY109" s="2117">
        <f t="shared" ca="1" si="184"/>
        <v>45.683881707164836</v>
      </c>
      <c r="AZ109" s="2118">
        <f t="shared" ca="1" si="184"/>
        <v>45.919422720671186</v>
      </c>
      <c r="BA109" s="2118">
        <f t="shared" ca="1" si="184"/>
        <v>59.708989072342298</v>
      </c>
      <c r="BB109" s="2119">
        <f t="shared" ca="1" si="184"/>
        <v>75.701666940570306</v>
      </c>
      <c r="BC109" s="2117">
        <f t="shared" ca="1" si="184"/>
        <v>80.360381654241138</v>
      </c>
      <c r="BD109" s="2118">
        <f t="shared" ca="1" si="184"/>
        <v>62.777983962278377</v>
      </c>
      <c r="BE109" s="2118">
        <f t="shared" ca="1" si="184"/>
        <v>69.535814125151262</v>
      </c>
      <c r="BF109" s="2119">
        <f t="shared" ca="1" si="184"/>
        <v>81.295871253783048</v>
      </c>
      <c r="BG109" s="2117">
        <f t="shared" ca="1" si="184"/>
        <v>93.074365890979522</v>
      </c>
      <c r="BH109" s="2118">
        <f t="shared" ca="1" si="184"/>
        <v>82.996861415805597</v>
      </c>
      <c r="BI109" s="2118">
        <f t="shared" ca="1" si="184"/>
        <v>94.216635462224559</v>
      </c>
      <c r="BJ109" s="2119">
        <f t="shared" ca="1" si="184"/>
        <v>109.17991588362491</v>
      </c>
      <c r="BK109" s="2117">
        <f t="shared" ca="1" si="184"/>
        <v>129.71135565651429</v>
      </c>
      <c r="BL109" s="2118">
        <f t="shared" ca="1" si="184"/>
        <v>127.8643053677356</v>
      </c>
      <c r="BM109" s="2118">
        <f t="shared" ca="1" si="184"/>
        <v>148.638917252798</v>
      </c>
      <c r="BN109" s="2119">
        <f t="shared" ca="1" si="184"/>
        <v>173.4002076250149</v>
      </c>
      <c r="BO109" s="2117">
        <f t="shared" ca="1" si="184"/>
        <v>184.18906155423852</v>
      </c>
      <c r="BP109" s="2118">
        <f t="shared" ca="1" si="184"/>
        <v>168.01476291640151</v>
      </c>
      <c r="BQ109" s="2118">
        <f t="shared" ca="1" si="184"/>
        <v>179.78004869986225</v>
      </c>
      <c r="BR109" s="2119">
        <f t="shared" ca="1" si="184"/>
        <v>196.50844482471453</v>
      </c>
      <c r="BS109" s="2117">
        <f t="shared" ref="BS109:ED109" ca="1" si="185">BS84</f>
        <v>204.88990339444109</v>
      </c>
      <c r="BT109" s="2118">
        <f t="shared" ca="1" si="185"/>
        <v>185.62394994688236</v>
      </c>
      <c r="BU109" s="2118">
        <f t="shared" ca="1" si="185"/>
        <v>193.93969687927529</v>
      </c>
      <c r="BV109" s="2119">
        <f t="shared" ca="1" si="185"/>
        <v>207.15284251572609</v>
      </c>
      <c r="BW109" s="2117">
        <f t="shared" ca="1" si="185"/>
        <v>216.62129440620402</v>
      </c>
      <c r="BX109" s="2118">
        <f t="shared" ca="1" si="185"/>
        <v>195.46131896337619</v>
      </c>
      <c r="BY109" s="2118">
        <f t="shared" ca="1" si="185"/>
        <v>204.19191491429422</v>
      </c>
      <c r="BZ109" s="2119">
        <f t="shared" ca="1" si="185"/>
        <v>217.08205362971017</v>
      </c>
      <c r="CA109" s="2117">
        <f t="shared" ca="1" si="185"/>
        <v>231.91434520697015</v>
      </c>
      <c r="CB109" s="2118">
        <f t="shared" ca="1" si="185"/>
        <v>197.78679807863739</v>
      </c>
      <c r="CC109" s="2118">
        <f t="shared" ca="1" si="185"/>
        <v>213.96723319363338</v>
      </c>
      <c r="CD109" s="2119">
        <f t="shared" ca="1" si="185"/>
        <v>235.65535461086336</v>
      </c>
      <c r="CE109" s="2117">
        <f t="shared" ca="1" si="185"/>
        <v>242.85489402234981</v>
      </c>
      <c r="CF109" s="2118">
        <f t="shared" ca="1" si="185"/>
        <v>197.6497565677231</v>
      </c>
      <c r="CG109" s="2118">
        <f t="shared" ca="1" si="185"/>
        <v>204.59127262933595</v>
      </c>
      <c r="CH109" s="2119">
        <f t="shared" ca="1" si="185"/>
        <v>216.78245164330912</v>
      </c>
      <c r="CI109" s="2117">
        <f t="shared" ca="1" si="185"/>
        <v>206.87298515095512</v>
      </c>
      <c r="CJ109" s="2118">
        <f t="shared" ca="1" si="185"/>
        <v>130.14273947029619</v>
      </c>
      <c r="CK109" s="2118">
        <f t="shared" ca="1" si="185"/>
        <v>119.66342609347414</v>
      </c>
      <c r="CL109" s="2119">
        <f t="shared" ca="1" si="185"/>
        <v>113.86392878454463</v>
      </c>
      <c r="CM109" s="2117">
        <f t="shared" ca="1" si="185"/>
        <v>125.78897643210017</v>
      </c>
      <c r="CN109" s="2118">
        <f t="shared" ca="1" si="185"/>
        <v>69.183316324185839</v>
      </c>
      <c r="CO109" s="2118">
        <f t="shared" ca="1" si="185"/>
        <v>81.195755885627491</v>
      </c>
      <c r="CP109" s="2119">
        <f t="shared" ca="1" si="185"/>
        <v>97.975403428847684</v>
      </c>
      <c r="CQ109" s="2117">
        <f t="shared" ca="1" si="185"/>
        <v>112.12914045040466</v>
      </c>
      <c r="CR109" s="2118">
        <f t="shared" ca="1" si="185"/>
        <v>49.512144184029509</v>
      </c>
      <c r="CS109" s="2118">
        <f t="shared" ca="1" si="185"/>
        <v>65.499466090061816</v>
      </c>
      <c r="CT109" s="2119">
        <f t="shared" ca="1" si="185"/>
        <v>89.787580862347966</v>
      </c>
      <c r="CU109" s="2117">
        <f t="shared" ca="1" si="185"/>
        <v>106.73302458410302</v>
      </c>
      <c r="CV109" s="2118">
        <f t="shared" ca="1" si="185"/>
        <v>43.096257958381145</v>
      </c>
      <c r="CW109" s="2118">
        <f t="shared" ca="1" si="185"/>
        <v>60.486543600551443</v>
      </c>
      <c r="CX109" s="2119">
        <f t="shared" ca="1" si="185"/>
        <v>84.922464029390852</v>
      </c>
      <c r="CY109" s="2117">
        <f t="shared" ca="1" si="185"/>
        <v>104.59861656273756</v>
      </c>
      <c r="CZ109" s="2118">
        <f t="shared" ca="1" si="185"/>
        <v>50.141620073733918</v>
      </c>
      <c r="DA109" s="2118">
        <f t="shared" ca="1" si="185"/>
        <v>71.6896127172663</v>
      </c>
      <c r="DB109" s="2119">
        <f t="shared" ca="1" si="185"/>
        <v>102.15508025765351</v>
      </c>
      <c r="DC109" s="2117">
        <f t="shared" ca="1" si="185"/>
        <v>128.65257679173342</v>
      </c>
      <c r="DD109" s="2118">
        <f t="shared" ca="1" si="185"/>
        <v>61.427511455945478</v>
      </c>
      <c r="DE109" s="2118">
        <f t="shared" ca="1" si="185"/>
        <v>87.682529735490789</v>
      </c>
      <c r="DF109" s="2119">
        <f t="shared" ca="1" si="185"/>
        <v>122.61254465735641</v>
      </c>
      <c r="DG109" s="2117">
        <f t="shared" ca="1" si="185"/>
        <v>150.51464388816601</v>
      </c>
      <c r="DH109" s="2118">
        <f t="shared" ca="1" si="185"/>
        <v>78.860574705321142</v>
      </c>
      <c r="DI109" s="2118">
        <f t="shared" ca="1" si="185"/>
        <v>106.8375961088793</v>
      </c>
      <c r="DJ109" s="2119">
        <f t="shared" ca="1" si="185"/>
        <v>143.56453632750632</v>
      </c>
      <c r="DK109" s="2117">
        <f t="shared" ca="1" si="185"/>
        <v>166.86369078173891</v>
      </c>
      <c r="DL109" s="2118">
        <f t="shared" ca="1" si="185"/>
        <v>95.790029545751921</v>
      </c>
      <c r="DM109" s="2118">
        <f t="shared" ca="1" si="185"/>
        <v>120.00315091334177</v>
      </c>
      <c r="DN109" s="2119">
        <f t="shared" ca="1" si="185"/>
        <v>153.88015800935779</v>
      </c>
      <c r="DO109" s="2117">
        <f t="shared" ca="1" si="185"/>
        <v>177.20828468590821</v>
      </c>
      <c r="DP109" s="2118">
        <f t="shared" ca="1" si="185"/>
        <v>116.99379651688093</v>
      </c>
      <c r="DQ109" s="2118">
        <f t="shared" ca="1" si="185"/>
        <v>140.71324334413302</v>
      </c>
      <c r="DR109" s="2119">
        <f t="shared" ca="1" si="185"/>
        <v>174.48789605051275</v>
      </c>
      <c r="DS109" s="2117">
        <f t="shared" ca="1" si="185"/>
        <v>201.43744653520446</v>
      </c>
      <c r="DT109" s="2118">
        <f t="shared" ca="1" si="185"/>
        <v>175.49136063779196</v>
      </c>
      <c r="DU109" s="2118">
        <f t="shared" ca="1" si="185"/>
        <v>201.81635968733389</v>
      </c>
      <c r="DV109" s="2119">
        <f t="shared" ca="1" si="185"/>
        <v>237.57201318085373</v>
      </c>
      <c r="DW109" s="2117">
        <f t="shared" ca="1" si="185"/>
        <v>255.86125447361357</v>
      </c>
      <c r="DX109" s="2118">
        <f t="shared" ca="1" si="185"/>
        <v>216.20111070040733</v>
      </c>
      <c r="DY109" s="2118">
        <f t="shared" ca="1" si="185"/>
        <v>235.76744179688532</v>
      </c>
      <c r="DZ109" s="2119">
        <f t="shared" ca="1" si="185"/>
        <v>266.04151714105956</v>
      </c>
      <c r="EA109" s="2117">
        <f t="shared" ca="1" si="185"/>
        <v>296.34301503354459</v>
      </c>
      <c r="EB109" s="2118">
        <f t="shared" ca="1" si="185"/>
        <v>272.26056599042494</v>
      </c>
      <c r="EC109" s="2118">
        <f t="shared" ca="1" si="185"/>
        <v>301.47294514680652</v>
      </c>
      <c r="ED109" s="2119">
        <f t="shared" ca="1" si="185"/>
        <v>340.30394981478099</v>
      </c>
      <c r="EE109" s="2117">
        <f t="shared" ref="EE109:GD109" ca="1" si="186">EE84</f>
        <v>359.20197272138859</v>
      </c>
      <c r="EF109" s="2118">
        <f t="shared" ca="1" si="186"/>
        <v>321.31678333508484</v>
      </c>
      <c r="EG109" s="2118">
        <f t="shared" ca="1" si="186"/>
        <v>340.99936846344451</v>
      </c>
      <c r="EH109" s="2119">
        <f t="shared" ca="1" si="186"/>
        <v>371.0851413251491</v>
      </c>
      <c r="EI109" s="2117">
        <f t="shared" ca="1" si="186"/>
        <v>396.56197027400481</v>
      </c>
      <c r="EJ109" s="2118">
        <f t="shared" ca="1" si="186"/>
        <v>358.55860159055152</v>
      </c>
      <c r="EK109" s="2118">
        <f t="shared" ca="1" si="186"/>
        <v>385.36517625917509</v>
      </c>
      <c r="EL109" s="2119">
        <f t="shared" ca="1" si="186"/>
        <v>423.90468438091142</v>
      </c>
      <c r="EM109" s="2117">
        <f t="shared" ca="1" si="186"/>
        <v>453.90171740784365</v>
      </c>
      <c r="EN109" s="2118">
        <f t="shared" ca="1" si="186"/>
        <v>420.75694359357738</v>
      </c>
      <c r="EO109" s="2118">
        <f t="shared" ca="1" si="186"/>
        <v>450.37880093683623</v>
      </c>
      <c r="EP109" s="2119">
        <f t="shared" ca="1" si="186"/>
        <v>491.35841604953441</v>
      </c>
      <c r="EQ109" s="2117">
        <f t="shared" ca="1" si="186"/>
        <v>519.44676676334336</v>
      </c>
      <c r="ER109" s="2118">
        <f t="shared" ca="1" si="186"/>
        <v>484.36706980021887</v>
      </c>
      <c r="ES109" s="2118">
        <f t="shared" ca="1" si="186"/>
        <v>512.54570192452638</v>
      </c>
      <c r="ET109" s="2119">
        <f t="shared" ca="1" si="186"/>
        <v>552.17237322877213</v>
      </c>
      <c r="EU109" s="2117">
        <f t="shared" ca="1" si="186"/>
        <v>581.60735030090586</v>
      </c>
      <c r="EV109" s="2118">
        <f t="shared" ca="1" si="186"/>
        <v>539.53022152000688</v>
      </c>
      <c r="EW109" s="2118">
        <f t="shared" ca="1" si="186"/>
        <v>570.82153128477603</v>
      </c>
      <c r="EX109" s="2119">
        <f t="shared" ca="1" si="186"/>
        <v>615.41721292211844</v>
      </c>
      <c r="EY109" s="2117">
        <f t="shared" ca="1" si="186"/>
        <v>644.68758398326815</v>
      </c>
      <c r="EZ109" s="2118">
        <f t="shared" ca="1" si="186"/>
        <v>600.39560319915688</v>
      </c>
      <c r="FA109" s="2118">
        <f t="shared" ca="1" si="186"/>
        <v>629.70958673103291</v>
      </c>
      <c r="FB109" s="2119">
        <f t="shared" ca="1" si="186"/>
        <v>672.37155460620841</v>
      </c>
      <c r="FC109" s="2117">
        <f t="shared" ca="1" si="186"/>
        <v>704.88431454036277</v>
      </c>
      <c r="FD109" s="2118">
        <f t="shared" ca="1" si="186"/>
        <v>662.47430785551023</v>
      </c>
      <c r="FE109" s="2118">
        <f t="shared" ca="1" si="186"/>
        <v>695.28322592844779</v>
      </c>
      <c r="FF109" s="2119">
        <f t="shared" ca="1" si="186"/>
        <v>741.73628648346823</v>
      </c>
      <c r="FG109" s="2117">
        <f t="shared" ca="1" si="186"/>
        <v>769.1687365523585</v>
      </c>
      <c r="FH109" s="2118">
        <f t="shared" ca="1" si="186"/>
        <v>716.20152107534977</v>
      </c>
      <c r="FI109" s="2118">
        <f t="shared" ca="1" si="186"/>
        <v>744.79915634007875</v>
      </c>
      <c r="FJ109" s="2119">
        <f t="shared" ca="1" si="186"/>
        <v>788.20611928272911</v>
      </c>
      <c r="FK109" s="2117">
        <f t="shared" ca="1" si="186"/>
        <v>784.36420038822143</v>
      </c>
      <c r="FL109" s="2118">
        <f t="shared" ca="1" si="186"/>
        <v>697.58643016835492</v>
      </c>
      <c r="FM109" s="2118">
        <f t="shared" ca="1" si="186"/>
        <v>0</v>
      </c>
      <c r="FN109" s="2119">
        <f t="shared" ca="1" si="186"/>
        <v>0</v>
      </c>
      <c r="FO109" s="2117">
        <f t="shared" ca="1" si="186"/>
        <v>0</v>
      </c>
      <c r="FP109" s="2118">
        <f t="shared" ca="1" si="186"/>
        <v>0</v>
      </c>
      <c r="FQ109" s="2118">
        <f t="shared" ca="1" si="186"/>
        <v>0</v>
      </c>
      <c r="FR109" s="2119">
        <f t="shared" ca="1" si="186"/>
        <v>0</v>
      </c>
      <c r="FS109" s="2117">
        <f t="shared" ca="1" si="186"/>
        <v>0</v>
      </c>
      <c r="FT109" s="2118">
        <f t="shared" ca="1" si="186"/>
        <v>0</v>
      </c>
      <c r="FU109" s="2118">
        <f t="shared" ca="1" si="186"/>
        <v>0</v>
      </c>
      <c r="FV109" s="2119">
        <f t="shared" ca="1" si="186"/>
        <v>0</v>
      </c>
      <c r="FW109" s="2117">
        <f t="shared" ca="1" si="186"/>
        <v>0</v>
      </c>
      <c r="FX109" s="2118">
        <f t="shared" ca="1" si="186"/>
        <v>0</v>
      </c>
      <c r="FY109" s="2118">
        <f t="shared" ca="1" si="186"/>
        <v>0</v>
      </c>
      <c r="FZ109" s="2119">
        <f t="shared" ca="1" si="186"/>
        <v>0</v>
      </c>
      <c r="GA109" s="2117">
        <f t="shared" ca="1" si="186"/>
        <v>0</v>
      </c>
      <c r="GB109" s="2118">
        <f t="shared" ca="1" si="186"/>
        <v>0</v>
      </c>
      <c r="GC109" s="2118">
        <f t="shared" ca="1" si="186"/>
        <v>0</v>
      </c>
      <c r="GD109" s="2119">
        <f t="shared" ca="1" si="186"/>
        <v>0</v>
      </c>
    </row>
    <row r="110" spans="2:186" ht="15" customHeight="1">
      <c r="B110" s="2064"/>
      <c r="C110" s="2073" t="s">
        <v>1384</v>
      </c>
      <c r="D110" s="2064"/>
      <c r="E110" s="2100"/>
      <c r="F110" s="877">
        <f ca="1">SUM(G110:GD110)</f>
        <v>2096.7590232578814</v>
      </c>
      <c r="G110" s="2101">
        <f>SUMIF(BS!229:229,G4,BS!244:244)</f>
        <v>0</v>
      </c>
      <c r="H110" s="2102">
        <f>SUMIF(BS!229:229,H4,BS!244:244)</f>
        <v>0</v>
      </c>
      <c r="I110" s="2102">
        <f>SUMIF(BS!229:229,I4,BS!244:244)</f>
        <v>0</v>
      </c>
      <c r="J110" s="2103">
        <f ca="1">SUMIF(BS!229:229,J4,BS!244:244)</f>
        <v>0</v>
      </c>
      <c r="K110" s="2101">
        <f>SUMIF(BS!229:229,K4,BS!244:244)</f>
        <v>0</v>
      </c>
      <c r="L110" s="2102">
        <f>SUMIF(BS!229:229,L4,BS!244:244)</f>
        <v>0</v>
      </c>
      <c r="M110" s="2102">
        <f>SUMIF(BS!229:229,M4,BS!244:244)</f>
        <v>0</v>
      </c>
      <c r="N110" s="2103">
        <f ca="1">SUMIF(BS!229:229,N4,BS!244:244)</f>
        <v>0</v>
      </c>
      <c r="O110" s="2101">
        <f>SUMIF(BS!229:229,O4,BS!244:244)</f>
        <v>0</v>
      </c>
      <c r="P110" s="2102">
        <f>SUMIF(BS!229:229,P4,BS!244:244)</f>
        <v>0</v>
      </c>
      <c r="Q110" s="2102">
        <f>SUMIF(BS!229:229,Q4,BS!244:244)</f>
        <v>0</v>
      </c>
      <c r="R110" s="2103">
        <f ca="1">SUMIF(BS!229:229,R4,BS!244:244)</f>
        <v>0</v>
      </c>
      <c r="S110" s="2101">
        <f>SUMIF(BS!229:229,S4,BS!244:244)</f>
        <v>0</v>
      </c>
      <c r="T110" s="2102">
        <f>SUMIF(BS!229:229,T4,BS!244:244)</f>
        <v>0</v>
      </c>
      <c r="U110" s="2102">
        <f>SUMIF(BS!229:229,U4,BS!244:244)</f>
        <v>0</v>
      </c>
      <c r="V110" s="2103">
        <f ca="1">SUMIF(BS!229:229,V4,BS!244:244)</f>
        <v>0</v>
      </c>
      <c r="W110" s="2101">
        <f>SUMIF(BS!229:229,W4,BS!244:244)</f>
        <v>0</v>
      </c>
      <c r="X110" s="2102">
        <f>SUMIF(BS!229:229,X4,BS!244:244)</f>
        <v>0</v>
      </c>
      <c r="Y110" s="2102">
        <f>SUMIF(BS!229:229,Y4,BS!244:244)</f>
        <v>0</v>
      </c>
      <c r="Z110" s="2103">
        <f ca="1">SUMIF(BS!229:229,Z4,BS!244:244)</f>
        <v>0</v>
      </c>
      <c r="AA110" s="2101">
        <f>SUMIF(BS!229:229,AA4,BS!244:244)</f>
        <v>0</v>
      </c>
      <c r="AB110" s="2102">
        <f>SUMIF(BS!229:229,AB4,BS!244:244)</f>
        <v>0</v>
      </c>
      <c r="AC110" s="2102">
        <f>SUMIF(BS!229:229,AC4,BS!244:244)</f>
        <v>0</v>
      </c>
      <c r="AD110" s="2103">
        <f ca="1">SUMIF(BS!229:229,AD4,BS!244:244)</f>
        <v>0</v>
      </c>
      <c r="AE110" s="2101">
        <f>SUMIF(BS!229:229,AE4,BS!244:244)</f>
        <v>0</v>
      </c>
      <c r="AF110" s="2102">
        <f>SUMIF(BS!229:229,AF4,BS!244:244)</f>
        <v>0</v>
      </c>
      <c r="AG110" s="2102">
        <f>SUMIF(BS!229:229,AG4,BS!244:244)</f>
        <v>0</v>
      </c>
      <c r="AH110" s="2103">
        <f ca="1">SUMIF(BS!229:229,AH4,BS!244:244)</f>
        <v>0</v>
      </c>
      <c r="AI110" s="2101">
        <f>SUMIF(BS!229:229,AI4,BS!244:244)</f>
        <v>0</v>
      </c>
      <c r="AJ110" s="2102">
        <f>SUMIF(BS!229:229,AJ4,BS!244:244)</f>
        <v>0</v>
      </c>
      <c r="AK110" s="2102">
        <f>SUMIF(BS!229:229,AK4,BS!244:244)</f>
        <v>0</v>
      </c>
      <c r="AL110" s="2103">
        <f ca="1">SUMIF(BS!229:229,AL4,BS!244:244)</f>
        <v>0</v>
      </c>
      <c r="AM110" s="2101">
        <f>SUMIF(BS!229:229,AM4,BS!244:244)</f>
        <v>0</v>
      </c>
      <c r="AN110" s="2102">
        <f>SUMIF(BS!229:229,AN4,BS!244:244)</f>
        <v>0</v>
      </c>
      <c r="AO110" s="2102">
        <f>SUMIF(BS!229:229,AO4,BS!244:244)</f>
        <v>0</v>
      </c>
      <c r="AP110" s="2103">
        <f ca="1">SUMIF(BS!229:229,AP4,BS!244:244)</f>
        <v>1.585478126567498</v>
      </c>
      <c r="AQ110" s="2101">
        <f>SUMIF(BS!229:229,AQ4,BS!244:244)</f>
        <v>0</v>
      </c>
      <c r="AR110" s="2102">
        <f>SUMIF(BS!229:229,AR4,BS!244:244)</f>
        <v>0</v>
      </c>
      <c r="AS110" s="2102">
        <f>SUMIF(BS!229:229,AS4,BS!244:244)</f>
        <v>0</v>
      </c>
      <c r="AT110" s="2103">
        <f ca="1">SUMIF(BS!229:229,AT4,BS!244:244)</f>
        <v>30.34879874323374</v>
      </c>
      <c r="AU110" s="2101">
        <f>SUMIF(BS!229:229,AU4,BS!244:244)</f>
        <v>0</v>
      </c>
      <c r="AV110" s="2102">
        <f>SUMIF(BS!229:229,AV4,BS!244:244)</f>
        <v>0</v>
      </c>
      <c r="AW110" s="2102">
        <f>SUMIF(BS!229:229,AW4,BS!244:244)</f>
        <v>0</v>
      </c>
      <c r="AX110" s="2103">
        <f ca="1">SUMIF(BS!229:229,AX4,BS!244:244)</f>
        <v>15.75713685472163</v>
      </c>
      <c r="AY110" s="2101">
        <f>SUMIF(BS!229:229,AY4,BS!244:244)</f>
        <v>0</v>
      </c>
      <c r="AZ110" s="2102">
        <f>SUMIF(BS!229:229,AZ4,BS!244:244)</f>
        <v>0</v>
      </c>
      <c r="BA110" s="2102">
        <f>SUMIF(BS!229:229,BA4,BS!244:244)</f>
        <v>0</v>
      </c>
      <c r="BB110" s="2103">
        <f ca="1">SUMIF(BS!229:229,BB4,BS!244:244)</f>
        <v>28.642454820594555</v>
      </c>
      <c r="BC110" s="2101">
        <f>SUMIF(BS!229:229,BC4,BS!244:244)</f>
        <v>0</v>
      </c>
      <c r="BD110" s="2102">
        <f>SUMIF(BS!229:229,BD4,BS!244:244)</f>
        <v>0</v>
      </c>
      <c r="BE110" s="2102">
        <f>SUMIF(BS!229:229,BE4,BS!244:244)</f>
        <v>0</v>
      </c>
      <c r="BF110" s="2103">
        <f ca="1">SUMIF(BS!229:229,BF4,BS!244:244)</f>
        <v>25.040784896574287</v>
      </c>
      <c r="BG110" s="2101">
        <f>SUMIF(BS!229:229,BG4,BS!244:244)</f>
        <v>0</v>
      </c>
      <c r="BH110" s="2102">
        <f>SUMIF(BS!229:229,BH4,BS!244:244)</f>
        <v>0</v>
      </c>
      <c r="BI110" s="2102">
        <f>SUMIF(BS!229:229,BI4,BS!244:244)</f>
        <v>0</v>
      </c>
      <c r="BJ110" s="2103">
        <f ca="1">SUMIF(BS!229:229,BJ4,BS!244:244)</f>
        <v>26.608340660995566</v>
      </c>
      <c r="BK110" s="2101">
        <f>SUMIF(BS!229:229,BK4,BS!244:244)</f>
        <v>0</v>
      </c>
      <c r="BL110" s="2102">
        <f>SUMIF(BS!229:229,BL4,BS!244:244)</f>
        <v>0</v>
      </c>
      <c r="BM110" s="2102">
        <f>SUMIF(BS!229:229,BM4,BS!244:244)</f>
        <v>0</v>
      </c>
      <c r="BN110" s="2103">
        <f ca="1">SUMIF(BS!229:229,BN4,BS!244:244)</f>
        <v>32.902694762689322</v>
      </c>
      <c r="BO110" s="2101">
        <f>SUMIF(BS!229:229,BO4,BS!244:244)</f>
        <v>0</v>
      </c>
      <c r="BP110" s="2102">
        <f>SUMIF(BS!229:229,BP4,BS!244:244)</f>
        <v>0</v>
      </c>
      <c r="BQ110" s="2102">
        <f>SUMIF(BS!229:229,BQ4,BS!244:244)</f>
        <v>0</v>
      </c>
      <c r="BR110" s="2103">
        <f ca="1">SUMIF(BS!229:229,BR4,BS!244:244)</f>
        <v>32.479099084009526</v>
      </c>
      <c r="BS110" s="2101">
        <f>SUMIF(BS!229:229,BS4,BS!244:244)</f>
        <v>0</v>
      </c>
      <c r="BT110" s="2102">
        <f>SUMIF(BS!229:229,BT4,BS!244:244)</f>
        <v>0</v>
      </c>
      <c r="BU110" s="2102">
        <f>SUMIF(BS!229:229,BU4,BS!244:244)</f>
        <v>0</v>
      </c>
      <c r="BV110" s="2103">
        <f ca="1">SUMIF(BS!229:229,BV4,BS!244:244)</f>
        <v>34.050114158243836</v>
      </c>
      <c r="BW110" s="2101">
        <f>SUMIF(BS!229:229,BW4,BS!244:244)</f>
        <v>0</v>
      </c>
      <c r="BX110" s="2102">
        <f>SUMIF(BS!229:229,BX4,BS!244:244)</f>
        <v>0</v>
      </c>
      <c r="BY110" s="2102">
        <f>SUMIF(BS!229:229,BY4,BS!244:244)</f>
        <v>0</v>
      </c>
      <c r="BZ110" s="2103">
        <f ca="1">SUMIF(BS!229:229,BZ4,BS!244:244)</f>
        <v>55.81566854556273</v>
      </c>
      <c r="CA110" s="2101">
        <f>SUMIF(BS!229:229,CA4,BS!244:244)</f>
        <v>0</v>
      </c>
      <c r="CB110" s="2102">
        <f>SUMIF(BS!229:229,CB4,BS!244:244)</f>
        <v>0</v>
      </c>
      <c r="CC110" s="2102">
        <f>SUMIF(BS!229:229,CC4,BS!244:244)</f>
        <v>0</v>
      </c>
      <c r="CD110" s="2103">
        <f ca="1">SUMIF(BS!229:229,CD4,BS!244:244)</f>
        <v>57.396316468599899</v>
      </c>
      <c r="CE110" s="2101">
        <f>SUMIF(BS!229:229,CE4,BS!244:244)</f>
        <v>0</v>
      </c>
      <c r="CF110" s="2102">
        <f>SUMIF(BS!229:229,CF4,BS!244:244)</f>
        <v>0</v>
      </c>
      <c r="CG110" s="2102">
        <f>SUMIF(BS!229:229,CG4,BS!244:244)</f>
        <v>0</v>
      </c>
      <c r="CH110" s="2103">
        <f ca="1">SUMIF(BS!229:229,CH4,BS!244:244)</f>
        <v>70.930748371729308</v>
      </c>
      <c r="CI110" s="2101">
        <f>SUMIF(BS!229:229,CI4,BS!244:244)</f>
        <v>0</v>
      </c>
      <c r="CJ110" s="2102">
        <f>SUMIF(BS!229:229,CJ4,BS!244:244)</f>
        <v>0</v>
      </c>
      <c r="CK110" s="2102">
        <f>SUMIF(BS!229:229,CK4,BS!244:244)</f>
        <v>0</v>
      </c>
      <c r="CL110" s="2103">
        <f ca="1">SUMIF(BS!229:229,CL4,BS!244:244)</f>
        <v>73.385307651134539</v>
      </c>
      <c r="CM110" s="2101">
        <f>SUMIF(BS!229:229,CM4,BS!244:244)</f>
        <v>0</v>
      </c>
      <c r="CN110" s="2102">
        <f>SUMIF(BS!229:229,CN4,BS!244:244)</f>
        <v>0</v>
      </c>
      <c r="CO110" s="2102">
        <f>SUMIF(BS!229:229,CO4,BS!244:244)</f>
        <v>0</v>
      </c>
      <c r="CP110" s="2103">
        <f ca="1">SUMIF(BS!229:229,CP4,BS!244:244)</f>
        <v>85.205111038661286</v>
      </c>
      <c r="CQ110" s="2101">
        <f>SUMIF(BS!229:229,CQ4,BS!244:244)</f>
        <v>0</v>
      </c>
      <c r="CR110" s="2102">
        <f>SUMIF(BS!229:229,CR4,BS!244:244)</f>
        <v>0</v>
      </c>
      <c r="CS110" s="2102">
        <f>SUMIF(BS!229:229,CS4,BS!244:244)</f>
        <v>0</v>
      </c>
      <c r="CT110" s="2103">
        <f ca="1">SUMIF(BS!229:229,CT4,BS!244:244)</f>
        <v>88.072687054561314</v>
      </c>
      <c r="CU110" s="2101">
        <f>SUMIF(BS!229:229,CU4,BS!244:244)</f>
        <v>0</v>
      </c>
      <c r="CV110" s="2102">
        <f>SUMIF(BS!229:229,CV4,BS!244:244)</f>
        <v>0</v>
      </c>
      <c r="CW110" s="2102">
        <f>SUMIF(BS!229:229,CW4,BS!244:244)</f>
        <v>0</v>
      </c>
      <c r="CX110" s="2103">
        <f ca="1">SUMIF(BS!229:229,CX4,BS!244:244)</f>
        <v>84.922464029390852</v>
      </c>
      <c r="CY110" s="2101">
        <f>SUMIF(BS!229:229,CY4,BS!244:244)</f>
        <v>0</v>
      </c>
      <c r="CZ110" s="2102">
        <f>SUMIF(BS!229:229,CZ4,BS!244:244)</f>
        <v>0</v>
      </c>
      <c r="DA110" s="2102">
        <f>SUMIF(BS!229:229,DA4,BS!244:244)</f>
        <v>0</v>
      </c>
      <c r="DB110" s="2103">
        <f ca="1">SUMIF(BS!229:229,DB4,BS!244:244)</f>
        <v>102.15508025765351</v>
      </c>
      <c r="DC110" s="2101">
        <f>SUMIF(BS!229:229,DC4,BS!244:244)</f>
        <v>0</v>
      </c>
      <c r="DD110" s="2102">
        <f>SUMIF(BS!229:229,DD4,BS!244:244)</f>
        <v>0</v>
      </c>
      <c r="DE110" s="2102">
        <f>SUMIF(BS!229:229,DE4,BS!244:244)</f>
        <v>0</v>
      </c>
      <c r="DF110" s="2103">
        <f ca="1">SUMIF(BS!229:229,DF4,BS!244:244)</f>
        <v>108.38100940147186</v>
      </c>
      <c r="DG110" s="2101">
        <f>SUMIF(BS!229:229,DG4,BS!244:244)</f>
        <v>0</v>
      </c>
      <c r="DH110" s="2102">
        <f>SUMIF(BS!229:229,DH4,BS!244:244)</f>
        <v>0</v>
      </c>
      <c r="DI110" s="2102">
        <f>SUMIF(BS!229:229,DI4,BS!244:244)</f>
        <v>0</v>
      </c>
      <c r="DJ110" s="2103">
        <f ca="1">SUMIF(BS!229:229,DJ4,BS!244:244)</f>
        <v>104.95066833200305</v>
      </c>
      <c r="DK110" s="2101">
        <f>SUMIF(BS!229:229,DK4,BS!244:244)</f>
        <v>0</v>
      </c>
      <c r="DL110" s="2102">
        <f>SUMIF(BS!229:229,DL4,BS!244:244)</f>
        <v>0</v>
      </c>
      <c r="DM110" s="2102">
        <f>SUMIF(BS!229:229,DM4,BS!244:244)</f>
        <v>0</v>
      </c>
      <c r="DN110" s="2103">
        <f ca="1">SUMIF(BS!229:229,DN4,BS!244:244)</f>
        <v>93.989140875407045</v>
      </c>
      <c r="DO110" s="2101">
        <f>SUMIF(BS!229:229,DO4,BS!244:244)</f>
        <v>0</v>
      </c>
      <c r="DP110" s="2102">
        <f>SUMIF(BS!229:229,DP4,BS!244:244)</f>
        <v>0</v>
      </c>
      <c r="DQ110" s="2102">
        <f>SUMIF(BS!229:229,DQ4,BS!244:244)</f>
        <v>0</v>
      </c>
      <c r="DR110" s="2103">
        <f ca="1">SUMIF(BS!229:229,DR4,BS!244:244)</f>
        <v>61.701739390932381</v>
      </c>
      <c r="DS110" s="2101">
        <f>SUMIF(BS!229:229,DS4,BS!244:244)</f>
        <v>0</v>
      </c>
      <c r="DT110" s="2102">
        <f>SUMIF(BS!229:229,DT4,BS!244:244)</f>
        <v>0</v>
      </c>
      <c r="DU110" s="2102">
        <f>SUMIF(BS!229:229,DU4,BS!244:244)</f>
        <v>0</v>
      </c>
      <c r="DV110" s="2103">
        <f ca="1">SUMIF(BS!229:229,DV4,BS!244:244)</f>
        <v>69.934219117380422</v>
      </c>
      <c r="DW110" s="2101">
        <f>SUMIF(BS!229:229,DW4,BS!244:244)</f>
        <v>0</v>
      </c>
      <c r="DX110" s="2102">
        <f>SUMIF(BS!229:229,DX4,BS!244:244)</f>
        <v>0</v>
      </c>
      <c r="DY110" s="2102">
        <f>SUMIF(BS!229:229,DY4,BS!244:244)</f>
        <v>0</v>
      </c>
      <c r="DZ110" s="2103">
        <f ca="1">SUMIF(BS!229:229,DZ4,BS!244:244)</f>
        <v>62.9134537110941</v>
      </c>
      <c r="EA110" s="2101">
        <f>SUMIF(BS!229:229,EA4,BS!244:244)</f>
        <v>0</v>
      </c>
      <c r="EB110" s="2102">
        <f>SUMIF(BS!229:229,EB4,BS!244:244)</f>
        <v>0</v>
      </c>
      <c r="EC110" s="2102">
        <f>SUMIF(BS!229:229,EC4,BS!244:244)</f>
        <v>0</v>
      </c>
      <c r="ED110" s="2103">
        <f ca="1">SUMIF(BS!229:229,ED4,BS!244:244)</f>
        <v>67.970962248008334</v>
      </c>
      <c r="EE110" s="2101">
        <f>SUMIF(BS!229:229,EE4,BS!244:244)</f>
        <v>0</v>
      </c>
      <c r="EF110" s="2102">
        <f>SUMIF(BS!229:229,EF4,BS!244:244)</f>
        <v>0</v>
      </c>
      <c r="EG110" s="2102">
        <f>SUMIF(BS!229:229,EG4,BS!244:244)</f>
        <v>0</v>
      </c>
      <c r="EH110" s="2103">
        <f ca="1">SUMIF(BS!229:229,EH4,BS!244:244)</f>
        <v>76.542876805189607</v>
      </c>
      <c r="EI110" s="2101">
        <f>SUMIF(BS!229:229,EI4,BS!244:244)</f>
        <v>0</v>
      </c>
      <c r="EJ110" s="2102">
        <f>SUMIF(BS!229:229,EJ4,BS!244:244)</f>
        <v>0</v>
      </c>
      <c r="EK110" s="2102">
        <f>SUMIF(BS!229:229,EK4,BS!244:244)</f>
        <v>0</v>
      </c>
      <c r="EL110" s="2103">
        <f ca="1">SUMIF(BS!229:229,EL4,BS!244:244)</f>
        <v>74.124388926964514</v>
      </c>
      <c r="EM110" s="2101">
        <f>SUMIF(BS!229:229,EM4,BS!244:244)</f>
        <v>0</v>
      </c>
      <c r="EN110" s="2102">
        <f>SUMIF(BS!229:229,EN4,BS!244:244)</f>
        <v>0</v>
      </c>
      <c r="EO110" s="2102">
        <f>SUMIF(BS!229:229,EO4,BS!244:244)</f>
        <v>0</v>
      </c>
      <c r="EP110" s="2103">
        <f ca="1">SUMIF(BS!229:229,EP4,BS!244:244)</f>
        <v>74.706368267369982</v>
      </c>
      <c r="EQ110" s="2101">
        <f>SUMIF(BS!229:229,EQ4,BS!244:244)</f>
        <v>0</v>
      </c>
      <c r="ER110" s="2102">
        <f>SUMIF(BS!229:229,ER4,BS!244:244)</f>
        <v>0</v>
      </c>
      <c r="ES110" s="2102">
        <f>SUMIF(BS!229:229,ES4,BS!244:244)</f>
        <v>0</v>
      </c>
      <c r="ET110" s="2103">
        <f ca="1">SUMIF(BS!229:229,ET4,BS!244:244)</f>
        <v>86.67281041824134</v>
      </c>
      <c r="EU110" s="2101">
        <f>SUMIF(BS!229:229,EU4,BS!244:244)</f>
        <v>0</v>
      </c>
      <c r="EV110" s="2102">
        <f>SUMIF(BS!229:229,EV4,BS!244:244)</f>
        <v>0</v>
      </c>
      <c r="EW110" s="2102">
        <f>SUMIF(BS!229:229,EW4,BS!244:244)</f>
        <v>0</v>
      </c>
      <c r="EX110" s="2103">
        <f ca="1">SUMIF(BS!229:229,EX4,BS!244:244)</f>
        <v>86.953948659286823</v>
      </c>
      <c r="EY110" s="2101">
        <f>SUMIF(BS!229:229,EY4,BS!244:244)</f>
        <v>0</v>
      </c>
      <c r="EZ110" s="2102">
        <f>SUMIF(BS!229:229,EZ4,BS!244:244)</f>
        <v>0</v>
      </c>
      <c r="FA110" s="2102">
        <f>SUMIF(BS!229:229,FA4,BS!244:244)</f>
        <v>0</v>
      </c>
      <c r="FB110" s="2103">
        <f ca="1">SUMIF(BS!229:229,FB4,BS!244:244)</f>
        <v>88.863067239873004</v>
      </c>
      <c r="FC110" s="2101">
        <f>SUMIF(BS!229:229,FC4,BS!244:244)</f>
        <v>0</v>
      </c>
      <c r="FD110" s="2102">
        <f>SUMIF(BS!229:229,FD4,BS!244:244)</f>
        <v>0</v>
      </c>
      <c r="FE110" s="2102">
        <f>SUMIF(BS!229:229,FE4,BS!244:244)</f>
        <v>0</v>
      </c>
      <c r="FF110" s="2103">
        <f ca="1">SUMIF(BS!229:229,FF4,BS!244:244)</f>
        <v>96.374178419659287</v>
      </c>
      <c r="FG110" s="2101">
        <f>SUMIF(BS!229:229,FG4,BS!244:244)</f>
        <v>0</v>
      </c>
      <c r="FH110" s="2102">
        <f>SUMIF(BS!229:229,FH4,BS!244:244)</f>
        <v>0</v>
      </c>
      <c r="FI110" s="2102">
        <f>SUMIF(BS!229:229,FI4,BS!244:244)</f>
        <v>0</v>
      </c>
      <c r="FJ110" s="2103">
        <f ca="1">SUMIF(BS!229:229,FJ4,BS!244:244)</f>
        <v>97.38190592007615</v>
      </c>
      <c r="FK110" s="2101">
        <f>SUMIF(BS!229:229,FK4,BS!244:244)</f>
        <v>0</v>
      </c>
      <c r="FL110" s="2102">
        <f>SUMIF(BS!229:229,FL4,BS!244:244)</f>
        <v>0</v>
      </c>
      <c r="FM110" s="2102">
        <f>SUMIF(BS!229:229,FM4,BS!244:244)</f>
        <v>0</v>
      </c>
      <c r="FN110" s="2103">
        <f ca="1">SUMIF(BS!229:229,FN4,BS!244:244)</f>
        <v>0</v>
      </c>
      <c r="FO110" s="2101">
        <f>SUMIF(BS!229:229,FO4,BS!244:244)</f>
        <v>0</v>
      </c>
      <c r="FP110" s="2102">
        <f>SUMIF(BS!229:229,FP4,BS!244:244)</f>
        <v>0</v>
      </c>
      <c r="FQ110" s="2102">
        <f>SUMIF(BS!229:229,FQ4,BS!244:244)</f>
        <v>0</v>
      </c>
      <c r="FR110" s="2103">
        <f ca="1">SUMIF(BS!229:229,FR4,BS!244:244)</f>
        <v>0</v>
      </c>
      <c r="FS110" s="2101">
        <f>SUMIF(BS!229:229,FS4,BS!244:244)</f>
        <v>0</v>
      </c>
      <c r="FT110" s="2102">
        <f>SUMIF(BS!229:229,FT4,BS!244:244)</f>
        <v>0</v>
      </c>
      <c r="FU110" s="2102">
        <f>SUMIF(BS!229:229,FU4,BS!244:244)</f>
        <v>0</v>
      </c>
      <c r="FV110" s="2103">
        <f ca="1">SUMIF(BS!229:229,FV4,BS!244:244)</f>
        <v>0</v>
      </c>
      <c r="FW110" s="2101">
        <f>SUMIF(BS!229:229,FW4,BS!244:244)</f>
        <v>0</v>
      </c>
      <c r="FX110" s="2102">
        <f>SUMIF(BS!229:229,FX4,BS!244:244)</f>
        <v>0</v>
      </c>
      <c r="FY110" s="2102">
        <f>SUMIF(BS!229:229,FY4,BS!244:244)</f>
        <v>0</v>
      </c>
      <c r="FZ110" s="2103">
        <f ca="1">SUMIF(BS!229:229,FZ4,BS!244:244)</f>
        <v>0</v>
      </c>
      <c r="GA110" s="2101">
        <f>SUMIF(BS!229:229,GA4,BS!244:244)</f>
        <v>0</v>
      </c>
      <c r="GB110" s="2102">
        <f>SUMIF(BS!229:229,GB4,BS!244:244)</f>
        <v>0</v>
      </c>
      <c r="GC110" s="2102">
        <f>SUMIF(BS!229:229,GC4,BS!244:244)</f>
        <v>0</v>
      </c>
      <c r="GD110" s="2103">
        <f ca="1">SUMIF(BS!229:229,GD4,BS!244:244)</f>
        <v>0</v>
      </c>
    </row>
    <row r="111" spans="2:186" s="414" customFormat="1" ht="15" customHeight="1">
      <c r="B111" s="2065"/>
      <c r="C111" s="2078" t="s">
        <v>3795</v>
      </c>
      <c r="D111" s="2079"/>
      <c r="E111" s="2079"/>
      <c r="F111" s="2080">
        <f ca="1">SUM(G111:GD111)</f>
        <v>30873.279506793922</v>
      </c>
      <c r="G111" s="2081">
        <f ca="1">G109-G110</f>
        <v>136.8718962685542</v>
      </c>
      <c r="H111" s="2082">
        <f t="shared" ref="H111:BS111" ca="1" si="187">H109-H110</f>
        <v>108.07529580855416</v>
      </c>
      <c r="I111" s="2082">
        <f t="shared" ca="1" si="187"/>
        <v>58.372855218554164</v>
      </c>
      <c r="J111" s="2083">
        <f t="shared" ca="1" si="187"/>
        <v>16.724687388554173</v>
      </c>
      <c r="K111" s="2081">
        <f t="shared" ca="1" si="187"/>
        <v>101.61547263933335</v>
      </c>
      <c r="L111" s="2082">
        <f t="shared" ca="1" si="187"/>
        <v>170.70014937571219</v>
      </c>
      <c r="M111" s="2082">
        <f t="shared" ca="1" si="187"/>
        <v>136.8702541657122</v>
      </c>
      <c r="N111" s="2083">
        <f t="shared" ca="1" si="187"/>
        <v>89.895936305712198</v>
      </c>
      <c r="O111" s="2081">
        <f t="shared" ca="1" si="187"/>
        <v>4.5257455899999997</v>
      </c>
      <c r="P111" s="2082">
        <f t="shared" ca="1" si="187"/>
        <v>23.430418859999975</v>
      </c>
      <c r="Q111" s="2082">
        <f t="shared" ca="1" si="187"/>
        <v>1.2139970800000022</v>
      </c>
      <c r="R111" s="2083">
        <f t="shared" ca="1" si="187"/>
        <v>7.5680049400000051</v>
      </c>
      <c r="S111" s="2081">
        <f t="shared" ca="1" si="187"/>
        <v>0</v>
      </c>
      <c r="T111" s="2082">
        <f t="shared" ca="1" si="187"/>
        <v>7.703740082373173</v>
      </c>
      <c r="U111" s="2082">
        <f t="shared" ca="1" si="187"/>
        <v>0</v>
      </c>
      <c r="V111" s="2083">
        <f t="shared" ca="1" si="187"/>
        <v>0</v>
      </c>
      <c r="W111" s="2081">
        <f t="shared" ca="1" si="187"/>
        <v>11.006923925605868</v>
      </c>
      <c r="X111" s="2082">
        <f t="shared" ca="1" si="187"/>
        <v>93.321218000074055</v>
      </c>
      <c r="Y111" s="2082">
        <f t="shared" ca="1" si="187"/>
        <v>52.631153866597124</v>
      </c>
      <c r="Z111" s="2083">
        <f t="shared" ca="1" si="187"/>
        <v>14.926766905465378</v>
      </c>
      <c r="AA111" s="2081">
        <f t="shared" ca="1" si="187"/>
        <v>0</v>
      </c>
      <c r="AB111" s="2082">
        <f t="shared" ca="1" si="187"/>
        <v>83.303797979740182</v>
      </c>
      <c r="AC111" s="2082">
        <f t="shared" ca="1" si="187"/>
        <v>43.333557095175998</v>
      </c>
      <c r="AD111" s="2083">
        <f t="shared" ca="1" si="187"/>
        <v>7.3600855626918715</v>
      </c>
      <c r="AE111" s="2081">
        <f t="shared" ca="1" si="187"/>
        <v>0</v>
      </c>
      <c r="AF111" s="2082">
        <f t="shared" ca="1" si="187"/>
        <v>0.19079295939331331</v>
      </c>
      <c r="AG111" s="2082">
        <f t="shared" ca="1" si="187"/>
        <v>0</v>
      </c>
      <c r="AH111" s="2083">
        <f t="shared" ca="1" si="187"/>
        <v>0</v>
      </c>
      <c r="AI111" s="2081">
        <f t="shared" ca="1" si="187"/>
        <v>0</v>
      </c>
      <c r="AJ111" s="2082">
        <f t="shared" ca="1" si="187"/>
        <v>0</v>
      </c>
      <c r="AK111" s="2082">
        <f t="shared" ca="1" si="187"/>
        <v>0</v>
      </c>
      <c r="AL111" s="2083">
        <f t="shared" ca="1" si="187"/>
        <v>0</v>
      </c>
      <c r="AM111" s="2081">
        <f t="shared" ca="1" si="187"/>
        <v>8.67856165501032</v>
      </c>
      <c r="AN111" s="2082">
        <f t="shared" ca="1" si="187"/>
        <v>12.918193493137032</v>
      </c>
      <c r="AO111" s="2082">
        <f t="shared" ca="1" si="187"/>
        <v>17.055884568440781</v>
      </c>
      <c r="AP111" s="2083">
        <f t="shared" ca="1" si="187"/>
        <v>19.931760000000001</v>
      </c>
      <c r="AQ111" s="2081">
        <f t="shared" ca="1" si="187"/>
        <v>25.330606475395982</v>
      </c>
      <c r="AR111" s="2082">
        <f t="shared" ca="1" si="187"/>
        <v>31.430805957389467</v>
      </c>
      <c r="AS111" s="2082">
        <f t="shared" ca="1" si="187"/>
        <v>37.390219414672714</v>
      </c>
      <c r="AT111" s="2083">
        <f t="shared" ca="1" si="187"/>
        <v>14.948819999999944</v>
      </c>
      <c r="AU111" s="2081">
        <f t="shared" ca="1" si="187"/>
        <v>44.970330946769515</v>
      </c>
      <c r="AV111" s="2082">
        <f t="shared" ca="1" si="187"/>
        <v>17.680676233040678</v>
      </c>
      <c r="AW111" s="2082">
        <f t="shared" ca="1" si="187"/>
        <v>18.444333133922306</v>
      </c>
      <c r="AX111" s="2083">
        <f t="shared" ca="1" si="187"/>
        <v>15.933942028705559</v>
      </c>
      <c r="AY111" s="2081">
        <f t="shared" ca="1" si="187"/>
        <v>45.683881707164836</v>
      </c>
      <c r="AZ111" s="2082">
        <f t="shared" ca="1" si="187"/>
        <v>45.919422720671186</v>
      </c>
      <c r="BA111" s="2082">
        <f t="shared" ca="1" si="187"/>
        <v>59.708989072342298</v>
      </c>
      <c r="BB111" s="2083">
        <f t="shared" ca="1" si="187"/>
        <v>47.059212119975754</v>
      </c>
      <c r="BC111" s="2081">
        <f t="shared" ca="1" si="187"/>
        <v>80.360381654241138</v>
      </c>
      <c r="BD111" s="2082">
        <f t="shared" ca="1" si="187"/>
        <v>62.777983962278377</v>
      </c>
      <c r="BE111" s="2082">
        <f t="shared" ca="1" si="187"/>
        <v>69.535814125151262</v>
      </c>
      <c r="BF111" s="2083">
        <f t="shared" ca="1" si="187"/>
        <v>56.255086357208761</v>
      </c>
      <c r="BG111" s="2081">
        <f t="shared" ca="1" si="187"/>
        <v>93.074365890979522</v>
      </c>
      <c r="BH111" s="2082">
        <f t="shared" ca="1" si="187"/>
        <v>82.996861415805597</v>
      </c>
      <c r="BI111" s="2082">
        <f t="shared" ca="1" si="187"/>
        <v>94.216635462224559</v>
      </c>
      <c r="BJ111" s="2083">
        <f t="shared" ca="1" si="187"/>
        <v>82.571575222629349</v>
      </c>
      <c r="BK111" s="2081">
        <f t="shared" ca="1" si="187"/>
        <v>129.71135565651429</v>
      </c>
      <c r="BL111" s="2082">
        <f t="shared" ca="1" si="187"/>
        <v>127.8643053677356</v>
      </c>
      <c r="BM111" s="2082">
        <f t="shared" ca="1" si="187"/>
        <v>148.638917252798</v>
      </c>
      <c r="BN111" s="2083">
        <f t="shared" ca="1" si="187"/>
        <v>140.49751286232558</v>
      </c>
      <c r="BO111" s="2081">
        <f t="shared" ca="1" si="187"/>
        <v>184.18906155423852</v>
      </c>
      <c r="BP111" s="2082">
        <f t="shared" ca="1" si="187"/>
        <v>168.01476291640151</v>
      </c>
      <c r="BQ111" s="2082">
        <f t="shared" ca="1" si="187"/>
        <v>179.78004869986225</v>
      </c>
      <c r="BR111" s="2083">
        <f t="shared" ca="1" si="187"/>
        <v>164.029345740705</v>
      </c>
      <c r="BS111" s="2081">
        <f t="shared" ca="1" si="187"/>
        <v>204.88990339444109</v>
      </c>
      <c r="BT111" s="2082">
        <f t="shared" ref="BT111:EE111" ca="1" si="188">BT109-BT110</f>
        <v>185.62394994688236</v>
      </c>
      <c r="BU111" s="2082">
        <f t="shared" ca="1" si="188"/>
        <v>193.93969687927529</v>
      </c>
      <c r="BV111" s="2083">
        <f t="shared" ca="1" si="188"/>
        <v>173.10272835748225</v>
      </c>
      <c r="BW111" s="2081">
        <f t="shared" ca="1" si="188"/>
        <v>216.62129440620402</v>
      </c>
      <c r="BX111" s="2082">
        <f t="shared" ca="1" si="188"/>
        <v>195.46131896337619</v>
      </c>
      <c r="BY111" s="2082">
        <f t="shared" ca="1" si="188"/>
        <v>204.19191491429422</v>
      </c>
      <c r="BZ111" s="2083">
        <f t="shared" ca="1" si="188"/>
        <v>161.26638508414743</v>
      </c>
      <c r="CA111" s="2081">
        <f t="shared" ca="1" si="188"/>
        <v>231.91434520697015</v>
      </c>
      <c r="CB111" s="2082">
        <f t="shared" ca="1" si="188"/>
        <v>197.78679807863739</v>
      </c>
      <c r="CC111" s="2082">
        <f t="shared" ca="1" si="188"/>
        <v>213.96723319363338</v>
      </c>
      <c r="CD111" s="2083">
        <f t="shared" ca="1" si="188"/>
        <v>178.25903814226345</v>
      </c>
      <c r="CE111" s="2081">
        <f t="shared" ca="1" si="188"/>
        <v>242.85489402234981</v>
      </c>
      <c r="CF111" s="2082">
        <f t="shared" ca="1" si="188"/>
        <v>197.6497565677231</v>
      </c>
      <c r="CG111" s="2082">
        <f t="shared" ca="1" si="188"/>
        <v>204.59127262933595</v>
      </c>
      <c r="CH111" s="2083">
        <f t="shared" ca="1" si="188"/>
        <v>145.85170327157982</v>
      </c>
      <c r="CI111" s="2081">
        <f t="shared" ca="1" si="188"/>
        <v>206.87298515095512</v>
      </c>
      <c r="CJ111" s="2082">
        <f t="shared" ca="1" si="188"/>
        <v>130.14273947029619</v>
      </c>
      <c r="CK111" s="2082">
        <f t="shared" ca="1" si="188"/>
        <v>119.66342609347414</v>
      </c>
      <c r="CL111" s="2083">
        <f t="shared" ca="1" si="188"/>
        <v>40.478621133410087</v>
      </c>
      <c r="CM111" s="2081">
        <f t="shared" ca="1" si="188"/>
        <v>125.78897643210017</v>
      </c>
      <c r="CN111" s="2082">
        <f t="shared" ca="1" si="188"/>
        <v>69.183316324185839</v>
      </c>
      <c r="CO111" s="2082">
        <f t="shared" ca="1" si="188"/>
        <v>81.195755885627491</v>
      </c>
      <c r="CP111" s="2083">
        <f t="shared" ca="1" si="188"/>
        <v>12.770292390186398</v>
      </c>
      <c r="CQ111" s="2081">
        <f t="shared" ca="1" si="188"/>
        <v>112.12914045040466</v>
      </c>
      <c r="CR111" s="2082">
        <f t="shared" ca="1" si="188"/>
        <v>49.512144184029509</v>
      </c>
      <c r="CS111" s="2082">
        <f t="shared" ca="1" si="188"/>
        <v>65.499466090061816</v>
      </c>
      <c r="CT111" s="2083">
        <f t="shared" ca="1" si="188"/>
        <v>1.7148938077866518</v>
      </c>
      <c r="CU111" s="2081">
        <f t="shared" ca="1" si="188"/>
        <v>106.73302458410302</v>
      </c>
      <c r="CV111" s="2082">
        <f t="shared" ca="1" si="188"/>
        <v>43.096257958381145</v>
      </c>
      <c r="CW111" s="2082">
        <f t="shared" ca="1" si="188"/>
        <v>60.486543600551443</v>
      </c>
      <c r="CX111" s="2083">
        <f t="shared" ca="1" si="188"/>
        <v>0</v>
      </c>
      <c r="CY111" s="2081">
        <f t="shared" ca="1" si="188"/>
        <v>104.59861656273756</v>
      </c>
      <c r="CZ111" s="2082">
        <f t="shared" ca="1" si="188"/>
        <v>50.141620073733918</v>
      </c>
      <c r="DA111" s="2082">
        <f t="shared" ca="1" si="188"/>
        <v>71.6896127172663</v>
      </c>
      <c r="DB111" s="2083">
        <f t="shared" ca="1" si="188"/>
        <v>0</v>
      </c>
      <c r="DC111" s="2081">
        <f t="shared" ca="1" si="188"/>
        <v>128.65257679173342</v>
      </c>
      <c r="DD111" s="2082">
        <f t="shared" ca="1" si="188"/>
        <v>61.427511455945478</v>
      </c>
      <c r="DE111" s="2082">
        <f t="shared" ca="1" si="188"/>
        <v>87.682529735490789</v>
      </c>
      <c r="DF111" s="2083">
        <f t="shared" ca="1" si="188"/>
        <v>14.231535255884552</v>
      </c>
      <c r="DG111" s="2081">
        <f t="shared" ca="1" si="188"/>
        <v>150.51464388816601</v>
      </c>
      <c r="DH111" s="2082">
        <f t="shared" ca="1" si="188"/>
        <v>78.860574705321142</v>
      </c>
      <c r="DI111" s="2082">
        <f t="shared" ca="1" si="188"/>
        <v>106.8375961088793</v>
      </c>
      <c r="DJ111" s="2083">
        <f t="shared" ca="1" si="188"/>
        <v>38.61386799550327</v>
      </c>
      <c r="DK111" s="2081">
        <f t="shared" ca="1" si="188"/>
        <v>166.86369078173891</v>
      </c>
      <c r="DL111" s="2082">
        <f t="shared" ca="1" si="188"/>
        <v>95.790029545751921</v>
      </c>
      <c r="DM111" s="2082">
        <f t="shared" ca="1" si="188"/>
        <v>120.00315091334177</v>
      </c>
      <c r="DN111" s="2083">
        <f t="shared" ca="1" si="188"/>
        <v>59.89101713395074</v>
      </c>
      <c r="DO111" s="2081">
        <f t="shared" ca="1" si="188"/>
        <v>177.20828468590821</v>
      </c>
      <c r="DP111" s="2082">
        <f t="shared" ca="1" si="188"/>
        <v>116.99379651688093</v>
      </c>
      <c r="DQ111" s="2082">
        <f t="shared" ca="1" si="188"/>
        <v>140.71324334413302</v>
      </c>
      <c r="DR111" s="2083">
        <f t="shared" ca="1" si="188"/>
        <v>112.78615665958037</v>
      </c>
      <c r="DS111" s="2081">
        <f t="shared" ca="1" si="188"/>
        <v>201.43744653520446</v>
      </c>
      <c r="DT111" s="2082">
        <f t="shared" ca="1" si="188"/>
        <v>175.49136063779196</v>
      </c>
      <c r="DU111" s="2082">
        <f t="shared" ca="1" si="188"/>
        <v>201.81635968733389</v>
      </c>
      <c r="DV111" s="2083">
        <f t="shared" ca="1" si="188"/>
        <v>167.63779406347331</v>
      </c>
      <c r="DW111" s="2081">
        <f t="shared" ca="1" si="188"/>
        <v>255.86125447361357</v>
      </c>
      <c r="DX111" s="2082">
        <f t="shared" ca="1" si="188"/>
        <v>216.20111070040733</v>
      </c>
      <c r="DY111" s="2082">
        <f t="shared" ca="1" si="188"/>
        <v>235.76744179688532</v>
      </c>
      <c r="DZ111" s="2083">
        <f t="shared" ca="1" si="188"/>
        <v>203.12806342996547</v>
      </c>
      <c r="EA111" s="2081">
        <f t="shared" ca="1" si="188"/>
        <v>296.34301503354459</v>
      </c>
      <c r="EB111" s="2082">
        <f t="shared" ca="1" si="188"/>
        <v>272.26056599042494</v>
      </c>
      <c r="EC111" s="2082">
        <f t="shared" ca="1" si="188"/>
        <v>301.47294514680652</v>
      </c>
      <c r="ED111" s="2083">
        <f t="shared" ca="1" si="188"/>
        <v>272.33298756677266</v>
      </c>
      <c r="EE111" s="2081">
        <f t="shared" ca="1" si="188"/>
        <v>359.20197272138859</v>
      </c>
      <c r="EF111" s="2082">
        <f t="shared" ref="EF111:FZ111" ca="1" si="189">EF109-EF110</f>
        <v>321.31678333508484</v>
      </c>
      <c r="EG111" s="2082">
        <f t="shared" ca="1" si="189"/>
        <v>340.99936846344451</v>
      </c>
      <c r="EH111" s="2083">
        <f t="shared" ca="1" si="189"/>
        <v>294.54226451995947</v>
      </c>
      <c r="EI111" s="2081">
        <f t="shared" ca="1" si="189"/>
        <v>396.56197027400481</v>
      </c>
      <c r="EJ111" s="2082">
        <f t="shared" ca="1" si="189"/>
        <v>358.55860159055152</v>
      </c>
      <c r="EK111" s="2082">
        <f t="shared" ca="1" si="189"/>
        <v>385.36517625917509</v>
      </c>
      <c r="EL111" s="2083">
        <f t="shared" ca="1" si="189"/>
        <v>349.78029545394691</v>
      </c>
      <c r="EM111" s="2081">
        <f t="shared" ca="1" si="189"/>
        <v>453.90171740784365</v>
      </c>
      <c r="EN111" s="2082">
        <f t="shared" ca="1" si="189"/>
        <v>420.75694359357738</v>
      </c>
      <c r="EO111" s="2082">
        <f t="shared" ca="1" si="189"/>
        <v>450.37880093683623</v>
      </c>
      <c r="EP111" s="2083">
        <f t="shared" ca="1" si="189"/>
        <v>416.65204778216446</v>
      </c>
      <c r="EQ111" s="2081">
        <f t="shared" ca="1" si="189"/>
        <v>519.44676676334336</v>
      </c>
      <c r="ER111" s="2082">
        <f t="shared" ca="1" si="189"/>
        <v>484.36706980021887</v>
      </c>
      <c r="ES111" s="2082">
        <f t="shared" ca="1" si="189"/>
        <v>512.54570192452638</v>
      </c>
      <c r="ET111" s="2083">
        <f t="shared" ca="1" si="189"/>
        <v>465.49956281053079</v>
      </c>
      <c r="EU111" s="2081">
        <f t="shared" ca="1" si="189"/>
        <v>581.60735030090586</v>
      </c>
      <c r="EV111" s="2082">
        <f t="shared" ca="1" si="189"/>
        <v>539.53022152000688</v>
      </c>
      <c r="EW111" s="2082">
        <f t="shared" ca="1" si="189"/>
        <v>570.82153128477603</v>
      </c>
      <c r="EX111" s="2083">
        <f t="shared" ca="1" si="189"/>
        <v>528.46326426283167</v>
      </c>
      <c r="EY111" s="2081">
        <f t="shared" ca="1" si="189"/>
        <v>644.68758398326815</v>
      </c>
      <c r="EZ111" s="2082">
        <f t="shared" ca="1" si="189"/>
        <v>600.39560319915688</v>
      </c>
      <c r="FA111" s="2082">
        <f t="shared" ca="1" si="189"/>
        <v>629.70958673103291</v>
      </c>
      <c r="FB111" s="2083">
        <f t="shared" ca="1" si="189"/>
        <v>583.50848736633543</v>
      </c>
      <c r="FC111" s="2081">
        <f t="shared" ca="1" si="189"/>
        <v>704.88431454036277</v>
      </c>
      <c r="FD111" s="2082">
        <f t="shared" ca="1" si="189"/>
        <v>662.47430785551023</v>
      </c>
      <c r="FE111" s="2082">
        <f t="shared" ca="1" si="189"/>
        <v>695.28322592844779</v>
      </c>
      <c r="FF111" s="2083">
        <f t="shared" ca="1" si="189"/>
        <v>645.36210806380893</v>
      </c>
      <c r="FG111" s="2081">
        <f t="shared" ca="1" si="189"/>
        <v>769.1687365523585</v>
      </c>
      <c r="FH111" s="2082">
        <f t="shared" ca="1" si="189"/>
        <v>716.20152107534977</v>
      </c>
      <c r="FI111" s="2082">
        <f t="shared" ca="1" si="189"/>
        <v>744.79915634007875</v>
      </c>
      <c r="FJ111" s="2083">
        <f t="shared" ca="1" si="189"/>
        <v>690.82421336265293</v>
      </c>
      <c r="FK111" s="2081">
        <f t="shared" ca="1" si="189"/>
        <v>784.36420038822143</v>
      </c>
      <c r="FL111" s="2082">
        <f t="shared" ca="1" si="189"/>
        <v>697.58643016835492</v>
      </c>
      <c r="FM111" s="2082">
        <f t="shared" ca="1" si="189"/>
        <v>0</v>
      </c>
      <c r="FN111" s="2083">
        <f t="shared" ca="1" si="189"/>
        <v>0</v>
      </c>
      <c r="FO111" s="2081">
        <f t="shared" ca="1" si="189"/>
        <v>0</v>
      </c>
      <c r="FP111" s="2082">
        <f t="shared" ca="1" si="189"/>
        <v>0</v>
      </c>
      <c r="FQ111" s="2082">
        <f t="shared" ca="1" si="189"/>
        <v>0</v>
      </c>
      <c r="FR111" s="2083">
        <f t="shared" ca="1" si="189"/>
        <v>0</v>
      </c>
      <c r="FS111" s="2081">
        <f t="shared" ca="1" si="189"/>
        <v>0</v>
      </c>
      <c r="FT111" s="2082">
        <f t="shared" ca="1" si="189"/>
        <v>0</v>
      </c>
      <c r="FU111" s="2082">
        <f t="shared" ca="1" si="189"/>
        <v>0</v>
      </c>
      <c r="FV111" s="2083">
        <f t="shared" ca="1" si="189"/>
        <v>0</v>
      </c>
      <c r="FW111" s="2081">
        <f t="shared" ca="1" si="189"/>
        <v>0</v>
      </c>
      <c r="FX111" s="2082">
        <f t="shared" ca="1" si="189"/>
        <v>0</v>
      </c>
      <c r="FY111" s="2082">
        <f t="shared" ca="1" si="189"/>
        <v>0</v>
      </c>
      <c r="FZ111" s="2083">
        <f t="shared" ca="1" si="189"/>
        <v>0</v>
      </c>
      <c r="GA111" s="2081">
        <f ca="1">GA109-GA110</f>
        <v>0</v>
      </c>
      <c r="GB111" s="2082">
        <f ca="1">GB109-GB110</f>
        <v>0</v>
      </c>
      <c r="GC111" s="2082">
        <f ca="1">GC109-GC110</f>
        <v>0</v>
      </c>
      <c r="GD111" s="2083">
        <f ca="1">GD109-GD110</f>
        <v>0</v>
      </c>
    </row>
    <row r="112" spans="2:186" ht="15" customHeight="1">
      <c r="B112" s="2064"/>
      <c r="C112" s="2064"/>
      <c r="D112" s="2064"/>
      <c r="E112" s="2100"/>
      <c r="F112" s="469"/>
      <c r="G112" s="469">
        <f ca="1">G111+G110</f>
        <v>136.8718962685542</v>
      </c>
      <c r="H112" s="469">
        <f t="shared" ref="H112:BS112" ca="1" si="190">H111+H110</f>
        <v>108.07529580855416</v>
      </c>
      <c r="I112" s="469">
        <f t="shared" ca="1" si="190"/>
        <v>58.372855218554164</v>
      </c>
      <c r="J112" s="469">
        <f t="shared" ca="1" si="190"/>
        <v>16.724687388554173</v>
      </c>
      <c r="K112" s="469">
        <f t="shared" ca="1" si="190"/>
        <v>101.61547263933335</v>
      </c>
      <c r="L112" s="469">
        <f t="shared" ca="1" si="190"/>
        <v>170.70014937571219</v>
      </c>
      <c r="M112" s="469">
        <f t="shared" ca="1" si="190"/>
        <v>136.8702541657122</v>
      </c>
      <c r="N112" s="469">
        <f t="shared" ca="1" si="190"/>
        <v>89.895936305712198</v>
      </c>
      <c r="O112" s="469">
        <f t="shared" ca="1" si="190"/>
        <v>4.5257455899999997</v>
      </c>
      <c r="P112" s="469">
        <f t="shared" ca="1" si="190"/>
        <v>23.430418859999975</v>
      </c>
      <c r="Q112" s="469">
        <f t="shared" ca="1" si="190"/>
        <v>1.2139970800000022</v>
      </c>
      <c r="R112" s="469">
        <f t="shared" ca="1" si="190"/>
        <v>7.5680049400000051</v>
      </c>
      <c r="S112" s="469">
        <f t="shared" ca="1" si="190"/>
        <v>0</v>
      </c>
      <c r="T112" s="469">
        <f t="shared" ca="1" si="190"/>
        <v>7.703740082373173</v>
      </c>
      <c r="U112" s="469">
        <f t="shared" ca="1" si="190"/>
        <v>0</v>
      </c>
      <c r="V112" s="469">
        <f t="shared" ca="1" si="190"/>
        <v>0</v>
      </c>
      <c r="W112" s="469">
        <f t="shared" ca="1" si="190"/>
        <v>11.006923925605868</v>
      </c>
      <c r="X112" s="469">
        <f t="shared" ca="1" si="190"/>
        <v>93.321218000074055</v>
      </c>
      <c r="Y112" s="469">
        <f t="shared" ca="1" si="190"/>
        <v>52.631153866597124</v>
      </c>
      <c r="Z112" s="469">
        <f t="shared" ca="1" si="190"/>
        <v>14.926766905465378</v>
      </c>
      <c r="AA112" s="469">
        <f t="shared" ca="1" si="190"/>
        <v>0</v>
      </c>
      <c r="AB112" s="469">
        <f t="shared" ca="1" si="190"/>
        <v>83.303797979740182</v>
      </c>
      <c r="AC112" s="469">
        <f t="shared" ca="1" si="190"/>
        <v>43.333557095175998</v>
      </c>
      <c r="AD112" s="469">
        <f t="shared" ca="1" si="190"/>
        <v>7.3600855626918715</v>
      </c>
      <c r="AE112" s="469">
        <f t="shared" ca="1" si="190"/>
        <v>0</v>
      </c>
      <c r="AF112" s="469">
        <f t="shared" ca="1" si="190"/>
        <v>0.19079295939331331</v>
      </c>
      <c r="AG112" s="469">
        <f t="shared" ca="1" si="190"/>
        <v>0</v>
      </c>
      <c r="AH112" s="469">
        <f t="shared" ca="1" si="190"/>
        <v>0</v>
      </c>
      <c r="AI112" s="469">
        <f t="shared" ca="1" si="190"/>
        <v>0</v>
      </c>
      <c r="AJ112" s="469">
        <f t="shared" ca="1" si="190"/>
        <v>0</v>
      </c>
      <c r="AK112" s="469">
        <f t="shared" ca="1" si="190"/>
        <v>0</v>
      </c>
      <c r="AL112" s="469">
        <f t="shared" ca="1" si="190"/>
        <v>0</v>
      </c>
      <c r="AM112" s="469">
        <f t="shared" ca="1" si="190"/>
        <v>8.67856165501032</v>
      </c>
      <c r="AN112" s="469">
        <f t="shared" ca="1" si="190"/>
        <v>12.918193493137032</v>
      </c>
      <c r="AO112" s="469">
        <f t="shared" ca="1" si="190"/>
        <v>17.055884568440781</v>
      </c>
      <c r="AP112" s="2192">
        <f t="shared" ca="1" si="190"/>
        <v>21.517238126567499</v>
      </c>
      <c r="AQ112" s="469">
        <f t="shared" ca="1" si="190"/>
        <v>25.330606475395982</v>
      </c>
      <c r="AR112" s="469">
        <f t="shared" ca="1" si="190"/>
        <v>31.430805957389467</v>
      </c>
      <c r="AS112" s="469">
        <f t="shared" ca="1" si="190"/>
        <v>37.390219414672714</v>
      </c>
      <c r="AT112" s="469">
        <f t="shared" ca="1" si="190"/>
        <v>45.297618743233684</v>
      </c>
      <c r="AU112" s="469">
        <f t="shared" ca="1" si="190"/>
        <v>44.970330946769515</v>
      </c>
      <c r="AV112" s="469">
        <f t="shared" ca="1" si="190"/>
        <v>17.680676233040678</v>
      </c>
      <c r="AW112" s="469">
        <f t="shared" ca="1" si="190"/>
        <v>18.444333133922306</v>
      </c>
      <c r="AX112" s="469">
        <f t="shared" ca="1" si="190"/>
        <v>31.691078883427188</v>
      </c>
      <c r="AY112" s="469">
        <f t="shared" ca="1" si="190"/>
        <v>45.683881707164836</v>
      </c>
      <c r="AZ112" s="469">
        <f t="shared" ca="1" si="190"/>
        <v>45.919422720671186</v>
      </c>
      <c r="BA112" s="469">
        <f t="shared" ca="1" si="190"/>
        <v>59.708989072342298</v>
      </c>
      <c r="BB112" s="469">
        <f t="shared" ca="1" si="190"/>
        <v>75.701666940570306</v>
      </c>
      <c r="BC112" s="469">
        <f t="shared" ca="1" si="190"/>
        <v>80.360381654241138</v>
      </c>
      <c r="BD112" s="469">
        <f t="shared" ca="1" si="190"/>
        <v>62.777983962278377</v>
      </c>
      <c r="BE112" s="469">
        <f t="shared" ca="1" si="190"/>
        <v>69.535814125151262</v>
      </c>
      <c r="BF112" s="469">
        <f t="shared" ca="1" si="190"/>
        <v>81.295871253783048</v>
      </c>
      <c r="BG112" s="469">
        <f t="shared" ca="1" si="190"/>
        <v>93.074365890979522</v>
      </c>
      <c r="BH112" s="469">
        <f t="shared" ca="1" si="190"/>
        <v>82.996861415805597</v>
      </c>
      <c r="BI112" s="469">
        <f t="shared" ca="1" si="190"/>
        <v>94.216635462224559</v>
      </c>
      <c r="BJ112" s="469">
        <f t="shared" ca="1" si="190"/>
        <v>109.17991588362491</v>
      </c>
      <c r="BK112" s="469">
        <f t="shared" ca="1" si="190"/>
        <v>129.71135565651429</v>
      </c>
      <c r="BL112" s="469">
        <f t="shared" ca="1" si="190"/>
        <v>127.8643053677356</v>
      </c>
      <c r="BM112" s="469">
        <f t="shared" ca="1" si="190"/>
        <v>148.638917252798</v>
      </c>
      <c r="BN112" s="469">
        <f t="shared" ca="1" si="190"/>
        <v>173.4002076250149</v>
      </c>
      <c r="BO112" s="469">
        <f t="shared" ca="1" si="190"/>
        <v>184.18906155423852</v>
      </c>
      <c r="BP112" s="469">
        <f t="shared" ca="1" si="190"/>
        <v>168.01476291640151</v>
      </c>
      <c r="BQ112" s="469">
        <f t="shared" ca="1" si="190"/>
        <v>179.78004869986225</v>
      </c>
      <c r="BR112" s="469">
        <f t="shared" ca="1" si="190"/>
        <v>196.50844482471453</v>
      </c>
      <c r="BS112" s="469">
        <f t="shared" ca="1" si="190"/>
        <v>204.88990339444109</v>
      </c>
      <c r="BT112" s="469">
        <f t="shared" ref="BT112:EE112" ca="1" si="191">BT111+BT110</f>
        <v>185.62394994688236</v>
      </c>
      <c r="BU112" s="469">
        <f t="shared" ca="1" si="191"/>
        <v>193.93969687927529</v>
      </c>
      <c r="BV112" s="469">
        <f t="shared" ca="1" si="191"/>
        <v>207.15284251572609</v>
      </c>
      <c r="BW112" s="469">
        <f t="shared" ca="1" si="191"/>
        <v>216.62129440620402</v>
      </c>
      <c r="BX112" s="469">
        <f t="shared" ca="1" si="191"/>
        <v>195.46131896337619</v>
      </c>
      <c r="BY112" s="469">
        <f t="shared" ca="1" si="191"/>
        <v>204.19191491429422</v>
      </c>
      <c r="BZ112" s="469">
        <f t="shared" ca="1" si="191"/>
        <v>217.08205362971017</v>
      </c>
      <c r="CA112" s="469">
        <f t="shared" ca="1" si="191"/>
        <v>231.91434520697015</v>
      </c>
      <c r="CB112" s="469">
        <f t="shared" ca="1" si="191"/>
        <v>197.78679807863739</v>
      </c>
      <c r="CC112" s="469">
        <f t="shared" ca="1" si="191"/>
        <v>213.96723319363338</v>
      </c>
      <c r="CD112" s="469">
        <f t="shared" ca="1" si="191"/>
        <v>235.65535461086336</v>
      </c>
      <c r="CE112" s="469">
        <f t="shared" ca="1" si="191"/>
        <v>242.85489402234981</v>
      </c>
      <c r="CF112" s="469">
        <f t="shared" ca="1" si="191"/>
        <v>197.6497565677231</v>
      </c>
      <c r="CG112" s="469">
        <f t="shared" ca="1" si="191"/>
        <v>204.59127262933595</v>
      </c>
      <c r="CH112" s="469">
        <f t="shared" ca="1" si="191"/>
        <v>216.78245164330912</v>
      </c>
      <c r="CI112" s="469">
        <f t="shared" ca="1" si="191"/>
        <v>206.87298515095512</v>
      </c>
      <c r="CJ112" s="469">
        <f t="shared" ca="1" si="191"/>
        <v>130.14273947029619</v>
      </c>
      <c r="CK112" s="469">
        <f t="shared" ca="1" si="191"/>
        <v>119.66342609347414</v>
      </c>
      <c r="CL112" s="469">
        <f t="shared" ca="1" si="191"/>
        <v>113.86392878454463</v>
      </c>
      <c r="CM112" s="469">
        <f t="shared" ca="1" si="191"/>
        <v>125.78897643210017</v>
      </c>
      <c r="CN112" s="469">
        <f t="shared" ca="1" si="191"/>
        <v>69.183316324185839</v>
      </c>
      <c r="CO112" s="469">
        <f t="shared" ca="1" si="191"/>
        <v>81.195755885627491</v>
      </c>
      <c r="CP112" s="469">
        <f t="shared" ca="1" si="191"/>
        <v>97.975403428847684</v>
      </c>
      <c r="CQ112" s="469">
        <f t="shared" ca="1" si="191"/>
        <v>112.12914045040466</v>
      </c>
      <c r="CR112" s="469">
        <f t="shared" ca="1" si="191"/>
        <v>49.512144184029509</v>
      </c>
      <c r="CS112" s="469">
        <f t="shared" ca="1" si="191"/>
        <v>65.499466090061816</v>
      </c>
      <c r="CT112" s="469">
        <f t="shared" ca="1" si="191"/>
        <v>89.787580862347966</v>
      </c>
      <c r="CU112" s="469">
        <f t="shared" ca="1" si="191"/>
        <v>106.73302458410302</v>
      </c>
      <c r="CV112" s="469">
        <f t="shared" ca="1" si="191"/>
        <v>43.096257958381145</v>
      </c>
      <c r="CW112" s="469">
        <f t="shared" ca="1" si="191"/>
        <v>60.486543600551443</v>
      </c>
      <c r="CX112" s="469">
        <f t="shared" ca="1" si="191"/>
        <v>84.922464029390852</v>
      </c>
      <c r="CY112" s="469">
        <f t="shared" ca="1" si="191"/>
        <v>104.59861656273756</v>
      </c>
      <c r="CZ112" s="469">
        <f t="shared" ca="1" si="191"/>
        <v>50.141620073733918</v>
      </c>
      <c r="DA112" s="469">
        <f t="shared" ca="1" si="191"/>
        <v>71.6896127172663</v>
      </c>
      <c r="DB112" s="469">
        <f t="shared" ca="1" si="191"/>
        <v>102.15508025765351</v>
      </c>
      <c r="DC112" s="469">
        <f t="shared" ca="1" si="191"/>
        <v>128.65257679173342</v>
      </c>
      <c r="DD112" s="469">
        <f t="shared" ca="1" si="191"/>
        <v>61.427511455945478</v>
      </c>
      <c r="DE112" s="469">
        <f t="shared" ca="1" si="191"/>
        <v>87.682529735490789</v>
      </c>
      <c r="DF112" s="469">
        <f t="shared" ca="1" si="191"/>
        <v>122.61254465735641</v>
      </c>
      <c r="DG112" s="469">
        <f t="shared" ca="1" si="191"/>
        <v>150.51464388816601</v>
      </c>
      <c r="DH112" s="469">
        <f t="shared" ca="1" si="191"/>
        <v>78.860574705321142</v>
      </c>
      <c r="DI112" s="469">
        <f t="shared" ca="1" si="191"/>
        <v>106.8375961088793</v>
      </c>
      <c r="DJ112" s="469">
        <f t="shared" ca="1" si="191"/>
        <v>143.56453632750632</v>
      </c>
      <c r="DK112" s="469">
        <f t="shared" ca="1" si="191"/>
        <v>166.86369078173891</v>
      </c>
      <c r="DL112" s="469">
        <f t="shared" ca="1" si="191"/>
        <v>95.790029545751921</v>
      </c>
      <c r="DM112" s="469">
        <f t="shared" ca="1" si="191"/>
        <v>120.00315091334177</v>
      </c>
      <c r="DN112" s="469">
        <f t="shared" ca="1" si="191"/>
        <v>153.88015800935779</v>
      </c>
      <c r="DO112" s="469">
        <f t="shared" ca="1" si="191"/>
        <v>177.20828468590821</v>
      </c>
      <c r="DP112" s="469">
        <f t="shared" ca="1" si="191"/>
        <v>116.99379651688093</v>
      </c>
      <c r="DQ112" s="469">
        <f t="shared" ca="1" si="191"/>
        <v>140.71324334413302</v>
      </c>
      <c r="DR112" s="469">
        <f t="shared" ca="1" si="191"/>
        <v>174.48789605051275</v>
      </c>
      <c r="DS112" s="469">
        <f t="shared" ca="1" si="191"/>
        <v>201.43744653520446</v>
      </c>
      <c r="DT112" s="469">
        <f t="shared" ca="1" si="191"/>
        <v>175.49136063779196</v>
      </c>
      <c r="DU112" s="469">
        <f t="shared" ca="1" si="191"/>
        <v>201.81635968733389</v>
      </c>
      <c r="DV112" s="469">
        <f t="shared" ca="1" si="191"/>
        <v>237.57201318085373</v>
      </c>
      <c r="DW112" s="469">
        <f t="shared" ca="1" si="191"/>
        <v>255.86125447361357</v>
      </c>
      <c r="DX112" s="469">
        <f t="shared" ca="1" si="191"/>
        <v>216.20111070040733</v>
      </c>
      <c r="DY112" s="469">
        <f t="shared" ca="1" si="191"/>
        <v>235.76744179688532</v>
      </c>
      <c r="DZ112" s="469">
        <f t="shared" ca="1" si="191"/>
        <v>266.04151714105956</v>
      </c>
      <c r="EA112" s="469">
        <f t="shared" ca="1" si="191"/>
        <v>296.34301503354459</v>
      </c>
      <c r="EB112" s="469">
        <f t="shared" ca="1" si="191"/>
        <v>272.26056599042494</v>
      </c>
      <c r="EC112" s="469">
        <f t="shared" ca="1" si="191"/>
        <v>301.47294514680652</v>
      </c>
      <c r="ED112" s="469">
        <f t="shared" ca="1" si="191"/>
        <v>340.30394981478099</v>
      </c>
      <c r="EE112" s="469">
        <f t="shared" ca="1" si="191"/>
        <v>359.20197272138859</v>
      </c>
      <c r="EF112" s="469">
        <f t="shared" ref="EF112:GD112" ca="1" si="192">EF111+EF110</f>
        <v>321.31678333508484</v>
      </c>
      <c r="EG112" s="469">
        <f t="shared" ca="1" si="192"/>
        <v>340.99936846344451</v>
      </c>
      <c r="EH112" s="469">
        <f t="shared" ca="1" si="192"/>
        <v>371.0851413251491</v>
      </c>
      <c r="EI112" s="469">
        <f t="shared" ca="1" si="192"/>
        <v>396.56197027400481</v>
      </c>
      <c r="EJ112" s="469">
        <f t="shared" ca="1" si="192"/>
        <v>358.55860159055152</v>
      </c>
      <c r="EK112" s="469">
        <f t="shared" ca="1" si="192"/>
        <v>385.36517625917509</v>
      </c>
      <c r="EL112" s="469">
        <f t="shared" ca="1" si="192"/>
        <v>423.90468438091142</v>
      </c>
      <c r="EM112" s="469">
        <f t="shared" ca="1" si="192"/>
        <v>453.90171740784365</v>
      </c>
      <c r="EN112" s="469">
        <f t="shared" ca="1" si="192"/>
        <v>420.75694359357738</v>
      </c>
      <c r="EO112" s="469">
        <f t="shared" ca="1" si="192"/>
        <v>450.37880093683623</v>
      </c>
      <c r="EP112" s="469">
        <f t="shared" ca="1" si="192"/>
        <v>491.35841604953441</v>
      </c>
      <c r="EQ112" s="469">
        <f t="shared" ca="1" si="192"/>
        <v>519.44676676334336</v>
      </c>
      <c r="ER112" s="469">
        <f t="shared" ca="1" si="192"/>
        <v>484.36706980021887</v>
      </c>
      <c r="ES112" s="469">
        <f t="shared" ca="1" si="192"/>
        <v>512.54570192452638</v>
      </c>
      <c r="ET112" s="469">
        <f t="shared" ca="1" si="192"/>
        <v>552.17237322877213</v>
      </c>
      <c r="EU112" s="469">
        <f t="shared" ca="1" si="192"/>
        <v>581.60735030090586</v>
      </c>
      <c r="EV112" s="469">
        <f t="shared" ca="1" si="192"/>
        <v>539.53022152000688</v>
      </c>
      <c r="EW112" s="469">
        <f t="shared" ca="1" si="192"/>
        <v>570.82153128477603</v>
      </c>
      <c r="EX112" s="469">
        <f t="shared" ca="1" si="192"/>
        <v>615.41721292211855</v>
      </c>
      <c r="EY112" s="469">
        <f t="shared" ca="1" si="192"/>
        <v>644.68758398326815</v>
      </c>
      <c r="EZ112" s="469">
        <f t="shared" ca="1" si="192"/>
        <v>600.39560319915688</v>
      </c>
      <c r="FA112" s="469">
        <f t="shared" ca="1" si="192"/>
        <v>629.70958673103291</v>
      </c>
      <c r="FB112" s="469">
        <f t="shared" ca="1" si="192"/>
        <v>672.37155460620841</v>
      </c>
      <c r="FC112" s="469">
        <f t="shared" ca="1" si="192"/>
        <v>704.88431454036277</v>
      </c>
      <c r="FD112" s="469">
        <f t="shared" ca="1" si="192"/>
        <v>662.47430785551023</v>
      </c>
      <c r="FE112" s="469">
        <f t="shared" ca="1" si="192"/>
        <v>695.28322592844779</v>
      </c>
      <c r="FF112" s="469">
        <f t="shared" ca="1" si="192"/>
        <v>741.73628648346823</v>
      </c>
      <c r="FG112" s="469">
        <f t="shared" ca="1" si="192"/>
        <v>769.1687365523585</v>
      </c>
      <c r="FH112" s="469">
        <f t="shared" ca="1" si="192"/>
        <v>716.20152107534977</v>
      </c>
      <c r="FI112" s="469">
        <f t="shared" ca="1" si="192"/>
        <v>744.79915634007875</v>
      </c>
      <c r="FJ112" s="469">
        <f t="shared" ca="1" si="192"/>
        <v>788.20611928272911</v>
      </c>
      <c r="FK112" s="469">
        <f t="shared" ca="1" si="192"/>
        <v>784.36420038822143</v>
      </c>
      <c r="FL112" s="469">
        <f t="shared" ca="1" si="192"/>
        <v>697.58643016835492</v>
      </c>
      <c r="FM112" s="469">
        <f t="shared" ca="1" si="192"/>
        <v>0</v>
      </c>
      <c r="FN112" s="469">
        <f t="shared" ca="1" si="192"/>
        <v>0</v>
      </c>
      <c r="FO112" s="469">
        <f t="shared" ca="1" si="192"/>
        <v>0</v>
      </c>
      <c r="FP112" s="469">
        <f t="shared" ca="1" si="192"/>
        <v>0</v>
      </c>
      <c r="FQ112" s="469">
        <f t="shared" ca="1" si="192"/>
        <v>0</v>
      </c>
      <c r="FR112" s="469">
        <f t="shared" ca="1" si="192"/>
        <v>0</v>
      </c>
      <c r="FS112" s="469">
        <f t="shared" ca="1" si="192"/>
        <v>0</v>
      </c>
      <c r="FT112" s="469">
        <f t="shared" ca="1" si="192"/>
        <v>0</v>
      </c>
      <c r="FU112" s="469">
        <f t="shared" ca="1" si="192"/>
        <v>0</v>
      </c>
      <c r="FV112" s="469">
        <f t="shared" ca="1" si="192"/>
        <v>0</v>
      </c>
      <c r="FW112" s="469">
        <f t="shared" ca="1" si="192"/>
        <v>0</v>
      </c>
      <c r="FX112" s="469">
        <f t="shared" ca="1" si="192"/>
        <v>0</v>
      </c>
      <c r="FY112" s="469">
        <f t="shared" ca="1" si="192"/>
        <v>0</v>
      </c>
      <c r="FZ112" s="469">
        <f t="shared" ca="1" si="192"/>
        <v>0</v>
      </c>
      <c r="GA112" s="469">
        <f t="shared" ca="1" si="192"/>
        <v>0</v>
      </c>
      <c r="GB112" s="469">
        <f t="shared" ca="1" si="192"/>
        <v>0</v>
      </c>
      <c r="GC112" s="469">
        <f t="shared" ca="1" si="192"/>
        <v>0</v>
      </c>
      <c r="GD112" s="469">
        <f t="shared" ca="1" si="192"/>
        <v>0</v>
      </c>
    </row>
    <row r="113" spans="1:186" ht="15" customHeight="1">
      <c r="B113" s="2064"/>
      <c r="C113" s="2064"/>
      <c r="D113" s="2064"/>
      <c r="E113" s="2100"/>
      <c r="F113" s="469"/>
      <c r="G113" s="469">
        <f ca="1">'CF(Q)'!W50+'CF(Q)'!W45</f>
        <v>136.8718962685542</v>
      </c>
      <c r="H113" s="469">
        <f ca="1">'CF(Q)'!X50</f>
        <v>108.07529580855417</v>
      </c>
      <c r="I113" s="469">
        <f ca="1">'CF(Q)'!Y50</f>
        <v>58.372855218554172</v>
      </c>
      <c r="J113" s="469">
        <f ca="1">'CF(Q)'!Z50</f>
        <v>16.724687388554166</v>
      </c>
      <c r="K113" s="469">
        <f ca="1">'CF(Q)'!AA50+'CF(Q)'!AA45</f>
        <v>101.61547263933335</v>
      </c>
      <c r="L113" s="469">
        <f ca="1">'CF(Q)'!AB50</f>
        <v>170.70014937571219</v>
      </c>
      <c r="M113" s="469">
        <f ca="1">'CF(Q)'!AC50</f>
        <v>136.87025416571217</v>
      </c>
      <c r="N113" s="469">
        <f>'CF(Q)'!AD50</f>
        <v>54.096084490000003</v>
      </c>
      <c r="O113" s="469">
        <f ca="1">'CF(Q)'!AE50+'CF(Q)'!AE45</f>
        <v>4.5257455899999997</v>
      </c>
      <c r="P113" s="469">
        <f ca="1">'CF(Q)'!AF50</f>
        <v>23.43041886</v>
      </c>
      <c r="Q113" s="469">
        <f ca="1">'CF(Q)'!AG50</f>
        <v>1.2139970799999986</v>
      </c>
      <c r="R113" s="469">
        <f ca="1">'CF(Q)'!AH50</f>
        <v>7.568004939999998</v>
      </c>
      <c r="S113" s="469">
        <f ca="1">'CF(Q)'!AI50+'CF(Q)'!AI45</f>
        <v>0</v>
      </c>
      <c r="T113" s="469">
        <f ca="1">'CF(Q)'!AJ50</f>
        <v>7.703740082373173</v>
      </c>
      <c r="U113" s="469">
        <f ca="1">'CF(Q)'!AK50</f>
        <v>0</v>
      </c>
      <c r="V113" s="469">
        <f ca="1">'CF(Q)'!AL50</f>
        <v>0</v>
      </c>
      <c r="W113" s="469">
        <f ca="1">'CF(Q)'!AM50+'CF(Q)'!AM45</f>
        <v>11.006923925605868</v>
      </c>
      <c r="X113" s="469">
        <f ca="1">'CF(Q)'!AN50</f>
        <v>93.321218000074055</v>
      </c>
      <c r="Y113" s="469">
        <f ca="1">'CF(Q)'!AO50</f>
        <v>52.631153866597117</v>
      </c>
      <c r="Z113" s="469">
        <f ca="1">'CF(Q)'!AP50</f>
        <v>14.926766905465385</v>
      </c>
      <c r="AA113" s="469">
        <f ca="1">'CF(Q)'!AQ50+'CF(Q)'!AQ45</f>
        <v>0</v>
      </c>
      <c r="AB113" s="469">
        <f ca="1">'CF(Q)'!AR50</f>
        <v>83.303797979740196</v>
      </c>
      <c r="AC113" s="469">
        <f ca="1">'CF(Q)'!AS50</f>
        <v>43.333557095176019</v>
      </c>
      <c r="AD113" s="469">
        <f ca="1">'CF(Q)'!AT50</f>
        <v>7.3600855626918715</v>
      </c>
      <c r="AE113" s="469">
        <f ca="1">'CF(Q)'!AU50+'CF(Q)'!AU45</f>
        <v>0</v>
      </c>
      <c r="AF113" s="469">
        <f ca="1">'CF(Q)'!AV50</f>
        <v>0.19079295939331331</v>
      </c>
      <c r="AG113" s="469">
        <f ca="1">'CF(Q)'!AW50</f>
        <v>0</v>
      </c>
      <c r="AH113" s="469">
        <f ca="1">'CF(Q)'!AX50</f>
        <v>0</v>
      </c>
      <c r="AI113" s="469">
        <f ca="1">'CF(Q)'!AY50+'CF(Q)'!AY45</f>
        <v>0</v>
      </c>
      <c r="AJ113" s="469">
        <f ca="1">'CF(Q)'!AZ50</f>
        <v>0</v>
      </c>
      <c r="AK113" s="469">
        <f ca="1">'CF(Q)'!BA50</f>
        <v>0</v>
      </c>
      <c r="AL113" s="469">
        <f ca="1">'CF(Q)'!BB50</f>
        <v>0</v>
      </c>
      <c r="AM113" s="469">
        <f ca="1">'CF(Q)'!BC50+'CF(Q)'!BC45</f>
        <v>8.6785616550103146</v>
      </c>
      <c r="AN113" s="469">
        <f ca="1">'CF(Q)'!BD50</f>
        <v>12.918193493137036</v>
      </c>
      <c r="AO113" s="469">
        <f ca="1">'CF(Q)'!BE50</f>
        <v>17.055884568440788</v>
      </c>
      <c r="AP113" s="2192">
        <f ca="1">'CF(Q)'!BF50</f>
        <v>21.517238126567506</v>
      </c>
      <c r="AQ113" s="469">
        <f ca="1">'CF(Q)'!BG50+'CF(Q)'!BG45</f>
        <v>25.330606475395985</v>
      </c>
      <c r="AR113" s="469">
        <f ca="1">'CF(Q)'!BH50</f>
        <v>31.43080595738946</v>
      </c>
      <c r="AS113" s="469">
        <f ca="1">'CF(Q)'!BI50</f>
        <v>37.3902194146727</v>
      </c>
      <c r="AT113" s="469">
        <f ca="1">'CF(Q)'!BJ50</f>
        <v>45.297618743233677</v>
      </c>
      <c r="AU113" s="469">
        <f ca="1">'CF(Q)'!BK50+'CF(Q)'!BK45</f>
        <v>44.970330946769529</v>
      </c>
      <c r="AV113" s="469">
        <f ca="1">'CF(Q)'!BL50</f>
        <v>17.680676233040678</v>
      </c>
      <c r="AW113" s="469">
        <f ca="1">'CF(Q)'!BM50</f>
        <v>18.444333133922292</v>
      </c>
      <c r="AX113" s="469">
        <f ca="1">'CF(Q)'!BN50</f>
        <v>31.691078883427178</v>
      </c>
      <c r="AY113" s="469">
        <f ca="1">'CF(Q)'!BO50+'CF(Q)'!BO45</f>
        <v>45.683881707164822</v>
      </c>
      <c r="AZ113" s="469">
        <f ca="1">'CF(Q)'!BP50</f>
        <v>45.919422720671179</v>
      </c>
      <c r="BA113" s="469">
        <f ca="1">'CF(Q)'!BQ50</f>
        <v>59.708989072342305</v>
      </c>
      <c r="BB113" s="469">
        <f ca="1">'CF(Q)'!BR50</f>
        <v>75.701666940570291</v>
      </c>
      <c r="BC113" s="469">
        <f ca="1">'CF(Q)'!BS50+'CF(Q)'!BS45</f>
        <v>80.360381654241152</v>
      </c>
      <c r="BD113" s="469">
        <f ca="1">'CF(Q)'!BT50</f>
        <v>62.777983962278384</v>
      </c>
      <c r="BE113" s="469">
        <f ca="1">'CF(Q)'!BU50</f>
        <v>69.535814125151276</v>
      </c>
      <c r="BF113" s="469">
        <f ca="1">'CF(Q)'!BV50</f>
        <v>81.295871253783062</v>
      </c>
      <c r="BG113" s="469">
        <f ca="1">'CF(Q)'!BW50+'CF(Q)'!BW45</f>
        <v>93.074365890979522</v>
      </c>
      <c r="BH113" s="469">
        <f ca="1">'CF(Q)'!BX50</f>
        <v>82.996861415805597</v>
      </c>
      <c r="BI113" s="469">
        <f ca="1">'CF(Q)'!BY50</f>
        <v>94.216635462224559</v>
      </c>
      <c r="BJ113" s="469">
        <f ca="1">'CF(Q)'!BZ50</f>
        <v>109.17991588362491</v>
      </c>
      <c r="BK113" s="469">
        <f ca="1">'CF(Q)'!CA50+'CF(Q)'!CA45</f>
        <v>129.71135565651429</v>
      </c>
      <c r="BL113" s="469">
        <f ca="1">'CF(Q)'!CB50</f>
        <v>127.86430536773558</v>
      </c>
      <c r="BM113" s="469">
        <f ca="1">'CF(Q)'!CC50</f>
        <v>148.63891725279802</v>
      </c>
      <c r="BN113" s="469">
        <f ca="1">'CF(Q)'!CD50</f>
        <v>173.4002076250149</v>
      </c>
      <c r="BO113" s="469">
        <f ca="1">'CF(Q)'!CE50+'CF(Q)'!CE45</f>
        <v>184.18906155423852</v>
      </c>
      <c r="BP113" s="469">
        <f ca="1">'CF(Q)'!CF50</f>
        <v>168.01476291640148</v>
      </c>
      <c r="BQ113" s="469">
        <f ca="1">'CF(Q)'!CG50</f>
        <v>179.78004869986222</v>
      </c>
      <c r="BR113" s="469">
        <f ca="1">'CF(Q)'!CH50</f>
        <v>196.5084448247145</v>
      </c>
      <c r="BS113" s="469">
        <f ca="1">'CF(Q)'!CI50+'CF(Q)'!CI45</f>
        <v>204.88990339444109</v>
      </c>
      <c r="BT113" s="469">
        <f ca="1">'CF(Q)'!CJ50</f>
        <v>185.62394994688236</v>
      </c>
      <c r="BU113" s="469">
        <f ca="1">'CF(Q)'!CK50</f>
        <v>193.93969687927529</v>
      </c>
      <c r="BV113" s="469">
        <f ca="1">'CF(Q)'!CL50</f>
        <v>207.15284251572609</v>
      </c>
      <c r="BW113" s="469">
        <f ca="1">'CF(Q)'!CM50+'CF(Q)'!CM45</f>
        <v>216.62129440620402</v>
      </c>
      <c r="BX113" s="469">
        <f ca="1">'CF(Q)'!CN50</f>
        <v>195.46131896337616</v>
      </c>
      <c r="BY113" s="469">
        <f ca="1">'CF(Q)'!CO50</f>
        <v>204.19191491429416</v>
      </c>
      <c r="BZ113" s="469">
        <f ca="1">'CF(Q)'!CP50</f>
        <v>217.08205362971015</v>
      </c>
      <c r="CA113" s="469">
        <f ca="1">'CF(Q)'!CQ50+'CF(Q)'!CQ45</f>
        <v>231.91434520697015</v>
      </c>
      <c r="CB113" s="469">
        <f ca="1">'CF(Q)'!CR50</f>
        <v>197.78679807863739</v>
      </c>
      <c r="CC113" s="469">
        <f ca="1">'CF(Q)'!CS50</f>
        <v>213.96723319363338</v>
      </c>
      <c r="CD113" s="469">
        <f ca="1">'CF(Q)'!CT50</f>
        <v>235.65535461086336</v>
      </c>
      <c r="CE113" s="469">
        <f ca="1">'CF(Q)'!CU50+'CF(Q)'!CU45</f>
        <v>242.85489402234978</v>
      </c>
      <c r="CF113" s="469">
        <f ca="1">'CF(Q)'!CV50</f>
        <v>197.6497565677231</v>
      </c>
      <c r="CG113" s="469">
        <f ca="1">'CF(Q)'!CW50</f>
        <v>204.59127262933592</v>
      </c>
      <c r="CH113" s="469">
        <f ca="1">'CF(Q)'!CX50</f>
        <v>216.78245164330914</v>
      </c>
      <c r="CI113" s="469">
        <f ca="1">'CF(Q)'!CY50+'CF(Q)'!CY45</f>
        <v>206.87298515095506</v>
      </c>
      <c r="CJ113" s="469">
        <f ca="1">'CF(Q)'!CZ50</f>
        <v>130.14273947029619</v>
      </c>
      <c r="CK113" s="469">
        <f ca="1">'CF(Q)'!DA50</f>
        <v>119.66342609347419</v>
      </c>
      <c r="CL113" s="469">
        <f ca="1">'CF(Q)'!DB50</f>
        <v>113.86392878454463</v>
      </c>
      <c r="CM113" s="469">
        <f ca="1">'CF(Q)'!DC50+'CF(Q)'!DC45</f>
        <v>125.78897643210016</v>
      </c>
      <c r="CN113" s="469">
        <f ca="1">'CF(Q)'!DD50</f>
        <v>69.183316324185824</v>
      </c>
      <c r="CO113" s="469">
        <f ca="1">'CF(Q)'!DE50</f>
        <v>81.195755885627463</v>
      </c>
      <c r="CP113" s="469">
        <f ca="1">'CF(Q)'!DF50</f>
        <v>97.97540342884767</v>
      </c>
      <c r="CQ113" s="469">
        <f ca="1">'CF(Q)'!DG50+'CF(Q)'!DG45</f>
        <v>112.12914045040463</v>
      </c>
      <c r="CR113" s="469">
        <f ca="1">'CF(Q)'!DH50</f>
        <v>49.512144184029509</v>
      </c>
      <c r="CS113" s="469">
        <f ca="1">'CF(Q)'!DI50</f>
        <v>65.499466090061802</v>
      </c>
      <c r="CT113" s="469">
        <f ca="1">'CF(Q)'!DJ50</f>
        <v>89.787580862347966</v>
      </c>
      <c r="CU113" s="469">
        <f ca="1">'CF(Q)'!DK50+'CF(Q)'!DK45</f>
        <v>106.73302458410303</v>
      </c>
      <c r="CV113" s="469">
        <f ca="1">'CF(Q)'!DL50</f>
        <v>43.096257958381138</v>
      </c>
      <c r="CW113" s="469">
        <f ca="1">'CF(Q)'!DM50</f>
        <v>60.486543600551428</v>
      </c>
      <c r="CX113" s="469">
        <f ca="1">'CF(Q)'!DN50</f>
        <v>84.922464029390852</v>
      </c>
      <c r="CY113" s="469">
        <f ca="1">'CF(Q)'!DO50+'CF(Q)'!DO45</f>
        <v>104.59861656273758</v>
      </c>
      <c r="CZ113" s="469">
        <f ca="1">'CF(Q)'!DP50</f>
        <v>50.141620073733918</v>
      </c>
      <c r="DA113" s="469">
        <f ca="1">'CF(Q)'!DQ50</f>
        <v>71.689612717266314</v>
      </c>
      <c r="DB113" s="469">
        <f ca="1">'CF(Q)'!DR50</f>
        <v>102.15508025765351</v>
      </c>
      <c r="DC113" s="469">
        <f ca="1">'CF(Q)'!DS50+'CF(Q)'!DS45</f>
        <v>128.6525767917334</v>
      </c>
      <c r="DD113" s="469">
        <f ca="1">'CF(Q)'!DT50</f>
        <v>61.427511455945478</v>
      </c>
      <c r="DE113" s="469">
        <f ca="1">'CF(Q)'!DU50</f>
        <v>87.682529735490817</v>
      </c>
      <c r="DF113" s="469">
        <f ca="1">'CF(Q)'!DV50</f>
        <v>122.61254465735639</v>
      </c>
      <c r="DG113" s="469">
        <f ca="1">'CF(Q)'!DW50+'CF(Q)'!DW45</f>
        <v>150.51464388816601</v>
      </c>
      <c r="DH113" s="469">
        <f ca="1">'CF(Q)'!DX50</f>
        <v>78.860574705321142</v>
      </c>
      <c r="DI113" s="469">
        <f ca="1">'CF(Q)'!DY50</f>
        <v>106.83759610887931</v>
      </c>
      <c r="DJ113" s="469">
        <f ca="1">'CF(Q)'!DZ50</f>
        <v>143.56453632750632</v>
      </c>
      <c r="DK113" s="469">
        <f ca="1">'CF(Q)'!EA50+'CF(Q)'!EA45</f>
        <v>166.86369078173897</v>
      </c>
      <c r="DL113" s="469">
        <f ca="1">'CF(Q)'!EB50</f>
        <v>95.790029545751906</v>
      </c>
      <c r="DM113" s="469">
        <f ca="1">'CF(Q)'!EC50</f>
        <v>120.0031509133418</v>
      </c>
      <c r="DN113" s="469">
        <f ca="1">'CF(Q)'!ED50</f>
        <v>153.88015800935779</v>
      </c>
      <c r="DO113" s="469">
        <f ca="1">'CF(Q)'!EE50+'CF(Q)'!EE45</f>
        <v>177.20828468590821</v>
      </c>
      <c r="DP113" s="469">
        <f ca="1">'CF(Q)'!EF50</f>
        <v>116.99379651688096</v>
      </c>
      <c r="DQ113" s="469">
        <f ca="1">'CF(Q)'!EG50</f>
        <v>140.71324334413299</v>
      </c>
      <c r="DR113" s="469">
        <f ca="1">'CF(Q)'!EH50</f>
        <v>174.48789605051277</v>
      </c>
      <c r="DS113" s="469">
        <f ca="1">'CF(Q)'!EI50+'CF(Q)'!EI45</f>
        <v>201.43744653520446</v>
      </c>
      <c r="DT113" s="469">
        <f ca="1">'CF(Q)'!EJ50</f>
        <v>175.49136063779196</v>
      </c>
      <c r="DU113" s="469">
        <f ca="1">'CF(Q)'!EK50</f>
        <v>201.81635968733386</v>
      </c>
      <c r="DV113" s="469">
        <f ca="1">'CF(Q)'!EL50</f>
        <v>237.57201318085373</v>
      </c>
      <c r="DW113" s="469">
        <f ca="1">'CF(Q)'!EM50+'CF(Q)'!EM45</f>
        <v>255.86125447361354</v>
      </c>
      <c r="DX113" s="469">
        <f ca="1">'CF(Q)'!EN50</f>
        <v>216.20111070040733</v>
      </c>
      <c r="DY113" s="469">
        <f ca="1">'CF(Q)'!EO50</f>
        <v>235.76744179688532</v>
      </c>
      <c r="DZ113" s="469">
        <f ca="1">'CF(Q)'!EP50</f>
        <v>266.0415171410595</v>
      </c>
      <c r="EA113" s="469">
        <f ca="1">'CF(Q)'!EQ50+'CF(Q)'!EQ45</f>
        <v>296.34301503354459</v>
      </c>
      <c r="EB113" s="469">
        <f ca="1">'CF(Q)'!ER50</f>
        <v>272.26056599042488</v>
      </c>
      <c r="EC113" s="469">
        <f ca="1">'CF(Q)'!ES50</f>
        <v>301.47294514680652</v>
      </c>
      <c r="ED113" s="469">
        <f ca="1">'CF(Q)'!ET50</f>
        <v>340.30394981478094</v>
      </c>
      <c r="EE113" s="469">
        <f ca="1">'CF(Q)'!EU50+'CF(Q)'!EU45</f>
        <v>359.20197272138859</v>
      </c>
      <c r="EF113" s="469">
        <f ca="1">'CF(Q)'!EV50</f>
        <v>321.31678333508484</v>
      </c>
      <c r="EG113" s="469">
        <f ca="1">'CF(Q)'!EW50</f>
        <v>340.99936846344451</v>
      </c>
      <c r="EH113" s="469">
        <f ca="1">'CF(Q)'!EX50</f>
        <v>371.0851413251491</v>
      </c>
      <c r="EI113" s="469">
        <f ca="1">'CF(Q)'!EY50+'CF(Q)'!EY45</f>
        <v>396.56197027400486</v>
      </c>
      <c r="EJ113" s="469">
        <f ca="1">'CF(Q)'!EZ50</f>
        <v>358.55860159055158</v>
      </c>
      <c r="EK113" s="469">
        <f ca="1">'CF(Q)'!FA50</f>
        <v>385.36517625917514</v>
      </c>
      <c r="EL113" s="469">
        <f ca="1">'CF(Q)'!FB50</f>
        <v>423.90468438091148</v>
      </c>
      <c r="EM113" s="469">
        <f ca="1">'CF(Q)'!FC50+'CF(Q)'!FC45</f>
        <v>453.90171740784371</v>
      </c>
      <c r="EN113" s="469">
        <f ca="1">'CF(Q)'!FD50</f>
        <v>420.75694359357738</v>
      </c>
      <c r="EO113" s="469">
        <f ca="1">'CF(Q)'!FE50</f>
        <v>450.37880093683623</v>
      </c>
      <c r="EP113" s="469">
        <f ca="1">'CF(Q)'!FF50</f>
        <v>491.35841604953441</v>
      </c>
      <c r="EQ113" s="469">
        <f ca="1">'CF(Q)'!FG50+'CF(Q)'!FG45</f>
        <v>519.44676676334325</v>
      </c>
      <c r="ER113" s="469">
        <f ca="1">'CF(Q)'!FH50</f>
        <v>484.36706980021887</v>
      </c>
      <c r="ES113" s="469">
        <f ca="1">'CF(Q)'!FI50</f>
        <v>512.54570192452638</v>
      </c>
      <c r="ET113" s="469">
        <f ca="1">'CF(Q)'!FJ50</f>
        <v>552.17237322877202</v>
      </c>
      <c r="EU113" s="469">
        <f ca="1">'CF(Q)'!FK50+'CF(Q)'!FK45</f>
        <v>581.60735030090586</v>
      </c>
      <c r="EV113" s="469">
        <f ca="1">'CF(Q)'!FL50</f>
        <v>539.53022152000699</v>
      </c>
      <c r="EW113" s="469">
        <f ca="1">'CF(Q)'!FM50</f>
        <v>570.82153128477603</v>
      </c>
      <c r="EX113" s="469">
        <f ca="1">'CF(Q)'!FN50</f>
        <v>615.41721292211844</v>
      </c>
      <c r="EY113" s="469">
        <f ca="1">'CF(Q)'!FO50+'CF(Q)'!FO45</f>
        <v>644.68758398326827</v>
      </c>
      <c r="EZ113" s="469">
        <f ca="1">'CF(Q)'!FP50</f>
        <v>600.39560319915699</v>
      </c>
      <c r="FA113" s="469">
        <f ca="1">'CF(Q)'!FQ50</f>
        <v>629.70958673103291</v>
      </c>
      <c r="FB113" s="469">
        <f ca="1">'CF(Q)'!FR50</f>
        <v>672.37155460620852</v>
      </c>
      <c r="FC113" s="469">
        <f ca="1">'CF(Q)'!FS50+'CF(Q)'!FS45</f>
        <v>704.88431454036288</v>
      </c>
      <c r="FD113" s="469">
        <f ca="1">'CF(Q)'!FT50</f>
        <v>662.47430785551035</v>
      </c>
      <c r="FE113" s="469">
        <f ca="1">'CF(Q)'!FU50</f>
        <v>695.28322592844791</v>
      </c>
      <c r="FF113" s="469">
        <f ca="1">'CF(Q)'!FV50</f>
        <v>741.73628648346835</v>
      </c>
      <c r="FG113" s="469">
        <f ca="1">'CF(Q)'!FW50+'CF(Q)'!FW45</f>
        <v>769.16873655235861</v>
      </c>
      <c r="FH113" s="469">
        <f ca="1">'CF(Q)'!FX50</f>
        <v>716.20152107534977</v>
      </c>
      <c r="FI113" s="469">
        <f ca="1">'CF(Q)'!FY50</f>
        <v>744.79915634007875</v>
      </c>
      <c r="FJ113" s="469">
        <f ca="1">'CF(Q)'!FZ50</f>
        <v>788.20611928272922</v>
      </c>
      <c r="FK113" s="469">
        <f ca="1">'CF(Q)'!GA50+'CF(Q)'!GA45</f>
        <v>784.36420038822155</v>
      </c>
      <c r="FL113" s="469">
        <f ca="1">'CF(Q)'!GB46</f>
        <v>697.58643016835504</v>
      </c>
      <c r="FM113" s="469">
        <v>0</v>
      </c>
      <c r="FN113" s="469">
        <v>0</v>
      </c>
      <c r="FO113" s="469">
        <v>0</v>
      </c>
      <c r="FP113" s="469">
        <v>0</v>
      </c>
      <c r="FQ113" s="469">
        <v>0</v>
      </c>
      <c r="FR113" s="469">
        <v>0</v>
      </c>
      <c r="FS113" s="469">
        <v>0</v>
      </c>
      <c r="FT113" s="469">
        <v>0</v>
      </c>
      <c r="FU113" s="469">
        <v>0</v>
      </c>
      <c r="FV113" s="469">
        <v>0</v>
      </c>
      <c r="FW113" s="469">
        <v>0</v>
      </c>
      <c r="FX113" s="469">
        <v>0</v>
      </c>
      <c r="FY113" s="469">
        <v>0</v>
      </c>
      <c r="FZ113" s="469">
        <v>0</v>
      </c>
      <c r="GA113" s="469">
        <v>0</v>
      </c>
      <c r="GB113" s="469">
        <v>0</v>
      </c>
      <c r="GC113" s="469">
        <v>0</v>
      </c>
      <c r="GD113" s="469">
        <v>0</v>
      </c>
    </row>
    <row r="114" spans="1:186" ht="15" customHeight="1">
      <c r="E114" s="401" t="s">
        <v>202</v>
      </c>
      <c r="F114" s="2193">
        <f ca="1">ROUND(ABS(SUM(O114:FZ114)),5)</f>
        <v>0</v>
      </c>
      <c r="G114" s="469">
        <f ca="1">G112-G113</f>
        <v>0</v>
      </c>
      <c r="H114" s="435">
        <f t="shared" ref="H114:BS114" ca="1" si="193">H112-H113</f>
        <v>0</v>
      </c>
      <c r="I114" s="469">
        <f t="shared" ca="1" si="193"/>
        <v>0</v>
      </c>
      <c r="J114" s="469">
        <f t="shared" ca="1" si="193"/>
        <v>0</v>
      </c>
      <c r="K114" s="469">
        <f t="shared" ca="1" si="193"/>
        <v>0</v>
      </c>
      <c r="L114" s="469">
        <f t="shared" ca="1" si="193"/>
        <v>0</v>
      </c>
      <c r="M114" s="469">
        <f t="shared" ca="1" si="193"/>
        <v>0</v>
      </c>
      <c r="N114" s="2192">
        <f t="shared" ca="1" si="193"/>
        <v>35.799851815712195</v>
      </c>
      <c r="O114" s="469">
        <f t="shared" ca="1" si="193"/>
        <v>0</v>
      </c>
      <c r="P114" s="469">
        <f t="shared" ca="1" si="193"/>
        <v>0</v>
      </c>
      <c r="Q114" s="469">
        <f t="shared" ca="1" si="193"/>
        <v>3.5527136788005009E-15</v>
      </c>
      <c r="R114" s="469">
        <f t="shared" ca="1" si="193"/>
        <v>7.1054273576010019E-15</v>
      </c>
      <c r="S114" s="469">
        <f t="shared" ca="1" si="193"/>
        <v>0</v>
      </c>
      <c r="T114" s="469">
        <f t="shared" ca="1" si="193"/>
        <v>0</v>
      </c>
      <c r="U114" s="469">
        <f t="shared" ca="1" si="193"/>
        <v>0</v>
      </c>
      <c r="V114" s="469">
        <f t="shared" ca="1" si="193"/>
        <v>0</v>
      </c>
      <c r="W114" s="469">
        <f t="shared" ca="1" si="193"/>
        <v>0</v>
      </c>
      <c r="X114" s="469">
        <f t="shared" ca="1" si="193"/>
        <v>0</v>
      </c>
      <c r="Y114" s="469">
        <f t="shared" ca="1" si="193"/>
        <v>0</v>
      </c>
      <c r="Z114" s="469">
        <f t="shared" ca="1" si="193"/>
        <v>0</v>
      </c>
      <c r="AA114" s="469">
        <f t="shared" ca="1" si="193"/>
        <v>0</v>
      </c>
      <c r="AB114" s="469">
        <f t="shared" ca="1" si="193"/>
        <v>0</v>
      </c>
      <c r="AC114" s="469">
        <f t="shared" ca="1" si="193"/>
        <v>0</v>
      </c>
      <c r="AD114" s="469">
        <f t="shared" ca="1" si="193"/>
        <v>0</v>
      </c>
      <c r="AE114" s="469">
        <f t="shared" ca="1" si="193"/>
        <v>0</v>
      </c>
      <c r="AF114" s="469">
        <f t="shared" ca="1" si="193"/>
        <v>0</v>
      </c>
      <c r="AG114" s="469">
        <f t="shared" ca="1" si="193"/>
        <v>0</v>
      </c>
      <c r="AH114" s="469">
        <f t="shared" ca="1" si="193"/>
        <v>0</v>
      </c>
      <c r="AI114" s="469">
        <f t="shared" ca="1" si="193"/>
        <v>0</v>
      </c>
      <c r="AJ114" s="469">
        <f t="shared" ca="1" si="193"/>
        <v>0</v>
      </c>
      <c r="AK114" s="469">
        <f t="shared" ca="1" si="193"/>
        <v>0</v>
      </c>
      <c r="AL114" s="469">
        <f t="shared" ca="1" si="193"/>
        <v>0</v>
      </c>
      <c r="AM114" s="469">
        <f t="shared" ca="1" si="193"/>
        <v>0</v>
      </c>
      <c r="AN114" s="469">
        <f t="shared" ca="1" si="193"/>
        <v>0</v>
      </c>
      <c r="AO114" s="469">
        <f t="shared" ca="1" si="193"/>
        <v>0</v>
      </c>
      <c r="AP114" s="469">
        <f t="shared" ca="1" si="193"/>
        <v>0</v>
      </c>
      <c r="AQ114" s="469">
        <f t="shared" ca="1" si="193"/>
        <v>0</v>
      </c>
      <c r="AR114" s="469">
        <f t="shared" ca="1" si="193"/>
        <v>0</v>
      </c>
      <c r="AS114" s="469">
        <f t="shared" ca="1" si="193"/>
        <v>0</v>
      </c>
      <c r="AT114" s="469">
        <f t="shared" ca="1" si="193"/>
        <v>0</v>
      </c>
      <c r="AU114" s="469">
        <f t="shared" ca="1" si="193"/>
        <v>0</v>
      </c>
      <c r="AV114" s="469">
        <f t="shared" ca="1" si="193"/>
        <v>0</v>
      </c>
      <c r="AW114" s="469">
        <f t="shared" ca="1" si="193"/>
        <v>0</v>
      </c>
      <c r="AX114" s="469">
        <f t="shared" ca="1" si="193"/>
        <v>0</v>
      </c>
      <c r="AY114" s="469">
        <f t="shared" ca="1" si="193"/>
        <v>0</v>
      </c>
      <c r="AZ114" s="469">
        <f t="shared" ca="1" si="193"/>
        <v>0</v>
      </c>
      <c r="BA114" s="469">
        <f t="shared" ca="1" si="193"/>
        <v>0</v>
      </c>
      <c r="BB114" s="469">
        <f t="shared" ca="1" si="193"/>
        <v>0</v>
      </c>
      <c r="BC114" s="469">
        <f t="shared" ca="1" si="193"/>
        <v>0</v>
      </c>
      <c r="BD114" s="469">
        <f t="shared" ca="1" si="193"/>
        <v>0</v>
      </c>
      <c r="BE114" s="469">
        <f t="shared" ca="1" si="193"/>
        <v>0</v>
      </c>
      <c r="BF114" s="469">
        <f t="shared" ca="1" si="193"/>
        <v>0</v>
      </c>
      <c r="BG114" s="469">
        <f t="shared" ca="1" si="193"/>
        <v>0</v>
      </c>
      <c r="BH114" s="469">
        <f t="shared" ca="1" si="193"/>
        <v>0</v>
      </c>
      <c r="BI114" s="469">
        <f t="shared" ca="1" si="193"/>
        <v>0</v>
      </c>
      <c r="BJ114" s="469">
        <f t="shared" ca="1" si="193"/>
        <v>0</v>
      </c>
      <c r="BK114" s="469">
        <f t="shared" ca="1" si="193"/>
        <v>0</v>
      </c>
      <c r="BL114" s="469">
        <f t="shared" ca="1" si="193"/>
        <v>0</v>
      </c>
      <c r="BM114" s="469">
        <f t="shared" ca="1" si="193"/>
        <v>0</v>
      </c>
      <c r="BN114" s="469">
        <f t="shared" ca="1" si="193"/>
        <v>0</v>
      </c>
      <c r="BO114" s="469">
        <f t="shared" ca="1" si="193"/>
        <v>0</v>
      </c>
      <c r="BP114" s="469">
        <f t="shared" ca="1" si="193"/>
        <v>0</v>
      </c>
      <c r="BQ114" s="469">
        <f t="shared" ca="1" si="193"/>
        <v>0</v>
      </c>
      <c r="BR114" s="469">
        <f t="shared" ca="1" si="193"/>
        <v>0</v>
      </c>
      <c r="BS114" s="469">
        <f t="shared" ca="1" si="193"/>
        <v>0</v>
      </c>
      <c r="BT114" s="469">
        <f t="shared" ref="BT114:EE114" ca="1" si="194">BT112-BT113</f>
        <v>0</v>
      </c>
      <c r="BU114" s="469">
        <f t="shared" ca="1" si="194"/>
        <v>0</v>
      </c>
      <c r="BV114" s="469">
        <f t="shared" ca="1" si="194"/>
        <v>0</v>
      </c>
      <c r="BW114" s="469">
        <f t="shared" ca="1" si="194"/>
        <v>0</v>
      </c>
      <c r="BX114" s="469">
        <f t="shared" ca="1" si="194"/>
        <v>0</v>
      </c>
      <c r="BY114" s="469">
        <f t="shared" ca="1" si="194"/>
        <v>0</v>
      </c>
      <c r="BZ114" s="469">
        <f t="shared" ca="1" si="194"/>
        <v>0</v>
      </c>
      <c r="CA114" s="469">
        <f t="shared" ca="1" si="194"/>
        <v>0</v>
      </c>
      <c r="CB114" s="469">
        <f t="shared" ca="1" si="194"/>
        <v>0</v>
      </c>
      <c r="CC114" s="469">
        <f t="shared" ca="1" si="194"/>
        <v>0</v>
      </c>
      <c r="CD114" s="469">
        <f t="shared" ca="1" si="194"/>
        <v>0</v>
      </c>
      <c r="CE114" s="469">
        <f t="shared" ca="1" si="194"/>
        <v>0</v>
      </c>
      <c r="CF114" s="469">
        <f t="shared" ca="1" si="194"/>
        <v>0</v>
      </c>
      <c r="CG114" s="469">
        <f t="shared" ca="1" si="194"/>
        <v>0</v>
      </c>
      <c r="CH114" s="469">
        <f t="shared" ca="1" si="194"/>
        <v>0</v>
      </c>
      <c r="CI114" s="469">
        <f t="shared" ca="1" si="194"/>
        <v>0</v>
      </c>
      <c r="CJ114" s="469">
        <f t="shared" ca="1" si="194"/>
        <v>0</v>
      </c>
      <c r="CK114" s="469">
        <f t="shared" ca="1" si="194"/>
        <v>0</v>
      </c>
      <c r="CL114" s="469">
        <f t="shared" ca="1" si="194"/>
        <v>0</v>
      </c>
      <c r="CM114" s="469">
        <f t="shared" ca="1" si="194"/>
        <v>0</v>
      </c>
      <c r="CN114" s="469">
        <f t="shared" ca="1" si="194"/>
        <v>0</v>
      </c>
      <c r="CO114" s="469">
        <f t="shared" ca="1" si="194"/>
        <v>0</v>
      </c>
      <c r="CP114" s="469">
        <f t="shared" ca="1" si="194"/>
        <v>0</v>
      </c>
      <c r="CQ114" s="469">
        <f t="shared" ca="1" si="194"/>
        <v>0</v>
      </c>
      <c r="CR114" s="469">
        <f t="shared" ca="1" si="194"/>
        <v>0</v>
      </c>
      <c r="CS114" s="469">
        <f t="shared" ca="1" si="194"/>
        <v>0</v>
      </c>
      <c r="CT114" s="469">
        <f t="shared" ca="1" si="194"/>
        <v>0</v>
      </c>
      <c r="CU114" s="469">
        <f t="shared" ca="1" si="194"/>
        <v>0</v>
      </c>
      <c r="CV114" s="469">
        <f t="shared" ca="1" si="194"/>
        <v>0</v>
      </c>
      <c r="CW114" s="469">
        <f t="shared" ca="1" si="194"/>
        <v>0</v>
      </c>
      <c r="CX114" s="469">
        <f t="shared" ca="1" si="194"/>
        <v>0</v>
      </c>
      <c r="CY114" s="469">
        <f t="shared" ca="1" si="194"/>
        <v>0</v>
      </c>
      <c r="CZ114" s="469">
        <f t="shared" ca="1" si="194"/>
        <v>0</v>
      </c>
      <c r="DA114" s="469">
        <f t="shared" ca="1" si="194"/>
        <v>0</v>
      </c>
      <c r="DB114" s="469">
        <f t="shared" ca="1" si="194"/>
        <v>0</v>
      </c>
      <c r="DC114" s="469">
        <f t="shared" ca="1" si="194"/>
        <v>0</v>
      </c>
      <c r="DD114" s="469">
        <f t="shared" ca="1" si="194"/>
        <v>0</v>
      </c>
      <c r="DE114" s="469">
        <f t="shared" ca="1" si="194"/>
        <v>0</v>
      </c>
      <c r="DF114" s="469">
        <f t="shared" ca="1" si="194"/>
        <v>0</v>
      </c>
      <c r="DG114" s="469">
        <f t="shared" ca="1" si="194"/>
        <v>0</v>
      </c>
      <c r="DH114" s="469">
        <f t="shared" ca="1" si="194"/>
        <v>0</v>
      </c>
      <c r="DI114" s="469">
        <f t="shared" ca="1" si="194"/>
        <v>0</v>
      </c>
      <c r="DJ114" s="469">
        <f t="shared" ca="1" si="194"/>
        <v>0</v>
      </c>
      <c r="DK114" s="469">
        <f t="shared" ca="1" si="194"/>
        <v>0</v>
      </c>
      <c r="DL114" s="469">
        <f t="shared" ca="1" si="194"/>
        <v>0</v>
      </c>
      <c r="DM114" s="469">
        <f t="shared" ca="1" si="194"/>
        <v>0</v>
      </c>
      <c r="DN114" s="469">
        <f t="shared" ca="1" si="194"/>
        <v>0</v>
      </c>
      <c r="DO114" s="469">
        <f t="shared" ca="1" si="194"/>
        <v>0</v>
      </c>
      <c r="DP114" s="469">
        <f t="shared" ca="1" si="194"/>
        <v>0</v>
      </c>
      <c r="DQ114" s="469">
        <f t="shared" ca="1" si="194"/>
        <v>0</v>
      </c>
      <c r="DR114" s="469">
        <f t="shared" ca="1" si="194"/>
        <v>0</v>
      </c>
      <c r="DS114" s="469">
        <f t="shared" ca="1" si="194"/>
        <v>0</v>
      </c>
      <c r="DT114" s="469">
        <f t="shared" ca="1" si="194"/>
        <v>0</v>
      </c>
      <c r="DU114" s="469">
        <f t="shared" ca="1" si="194"/>
        <v>0</v>
      </c>
      <c r="DV114" s="469">
        <f t="shared" ca="1" si="194"/>
        <v>0</v>
      </c>
      <c r="DW114" s="469">
        <f t="shared" ca="1" si="194"/>
        <v>0</v>
      </c>
      <c r="DX114" s="469">
        <f t="shared" ca="1" si="194"/>
        <v>0</v>
      </c>
      <c r="DY114" s="469">
        <f t="shared" ca="1" si="194"/>
        <v>0</v>
      </c>
      <c r="DZ114" s="469">
        <f t="shared" ca="1" si="194"/>
        <v>0</v>
      </c>
      <c r="EA114" s="469">
        <f t="shared" ca="1" si="194"/>
        <v>0</v>
      </c>
      <c r="EB114" s="469">
        <f t="shared" ca="1" si="194"/>
        <v>0</v>
      </c>
      <c r="EC114" s="469">
        <f t="shared" ca="1" si="194"/>
        <v>0</v>
      </c>
      <c r="ED114" s="469">
        <f t="shared" ca="1" si="194"/>
        <v>0</v>
      </c>
      <c r="EE114" s="469">
        <f t="shared" ca="1" si="194"/>
        <v>0</v>
      </c>
      <c r="EF114" s="469">
        <f t="shared" ref="EF114:FK114" ca="1" si="195">EF112-EF113</f>
        <v>0</v>
      </c>
      <c r="EG114" s="469">
        <f t="shared" ca="1" si="195"/>
        <v>0</v>
      </c>
      <c r="EH114" s="469">
        <f t="shared" ca="1" si="195"/>
        <v>0</v>
      </c>
      <c r="EI114" s="469">
        <f t="shared" ca="1" si="195"/>
        <v>0</v>
      </c>
      <c r="EJ114" s="469">
        <f t="shared" ca="1" si="195"/>
        <v>0</v>
      </c>
      <c r="EK114" s="469">
        <f t="shared" ca="1" si="195"/>
        <v>0</v>
      </c>
      <c r="EL114" s="469">
        <f t="shared" ca="1" si="195"/>
        <v>0</v>
      </c>
      <c r="EM114" s="469">
        <f t="shared" ca="1" si="195"/>
        <v>0</v>
      </c>
      <c r="EN114" s="469">
        <f t="shared" ca="1" si="195"/>
        <v>0</v>
      </c>
      <c r="EO114" s="469">
        <f t="shared" ca="1" si="195"/>
        <v>0</v>
      </c>
      <c r="EP114" s="469">
        <f t="shared" ca="1" si="195"/>
        <v>0</v>
      </c>
      <c r="EQ114" s="469">
        <f t="shared" ca="1" si="195"/>
        <v>0</v>
      </c>
      <c r="ER114" s="469">
        <f t="shared" ca="1" si="195"/>
        <v>0</v>
      </c>
      <c r="ES114" s="469">
        <f t="shared" ca="1" si="195"/>
        <v>0</v>
      </c>
      <c r="ET114" s="469">
        <f t="shared" ca="1" si="195"/>
        <v>0</v>
      </c>
      <c r="EU114" s="469">
        <f t="shared" ca="1" si="195"/>
        <v>0</v>
      </c>
      <c r="EV114" s="469">
        <f t="shared" ca="1" si="195"/>
        <v>0</v>
      </c>
      <c r="EW114" s="469">
        <f t="shared" ca="1" si="195"/>
        <v>0</v>
      </c>
      <c r="EX114" s="469">
        <f t="shared" ca="1" si="195"/>
        <v>0</v>
      </c>
      <c r="EY114" s="469">
        <f t="shared" ca="1" si="195"/>
        <v>0</v>
      </c>
      <c r="EZ114" s="469">
        <f t="shared" ca="1" si="195"/>
        <v>0</v>
      </c>
      <c r="FA114" s="469">
        <f t="shared" ca="1" si="195"/>
        <v>0</v>
      </c>
      <c r="FB114" s="469">
        <f t="shared" ca="1" si="195"/>
        <v>0</v>
      </c>
      <c r="FC114" s="469">
        <f t="shared" ca="1" si="195"/>
        <v>0</v>
      </c>
      <c r="FD114" s="469">
        <f t="shared" ca="1" si="195"/>
        <v>0</v>
      </c>
      <c r="FE114" s="469">
        <f t="shared" ca="1" si="195"/>
        <v>0</v>
      </c>
      <c r="FF114" s="469">
        <f t="shared" ca="1" si="195"/>
        <v>0</v>
      </c>
      <c r="FG114" s="469">
        <f t="shared" ca="1" si="195"/>
        <v>0</v>
      </c>
      <c r="FH114" s="469">
        <f t="shared" ca="1" si="195"/>
        <v>0</v>
      </c>
      <c r="FI114" s="469">
        <f t="shared" ca="1" si="195"/>
        <v>0</v>
      </c>
      <c r="FJ114" s="469">
        <f t="shared" ca="1" si="195"/>
        <v>0</v>
      </c>
      <c r="FK114" s="469">
        <f t="shared" ca="1" si="195"/>
        <v>0</v>
      </c>
      <c r="FL114" s="469"/>
      <c r="FM114" s="469">
        <v>0</v>
      </c>
      <c r="FN114" s="469">
        <v>0</v>
      </c>
      <c r="FO114" s="469">
        <v>0</v>
      </c>
      <c r="FP114" s="469">
        <v>0</v>
      </c>
      <c r="FQ114" s="469">
        <v>0</v>
      </c>
      <c r="FR114" s="469">
        <v>0</v>
      </c>
      <c r="FS114" s="469">
        <v>0</v>
      </c>
      <c r="FT114" s="469">
        <v>0</v>
      </c>
      <c r="FU114" s="469">
        <v>0</v>
      </c>
      <c r="FV114" s="469">
        <v>0</v>
      </c>
      <c r="FW114" s="469">
        <v>0</v>
      </c>
      <c r="FX114" s="469">
        <v>0</v>
      </c>
      <c r="FY114" s="469">
        <v>0</v>
      </c>
      <c r="FZ114" s="469">
        <v>0</v>
      </c>
      <c r="GA114" s="469">
        <v>0</v>
      </c>
      <c r="GB114" s="469">
        <v>0</v>
      </c>
      <c r="GC114" s="469">
        <v>0</v>
      </c>
      <c r="GD114" s="469">
        <v>0</v>
      </c>
    </row>
    <row r="115" spans="1:186" ht="15" customHeight="1"/>
    <row r="117" spans="1:186" ht="15" customHeight="1">
      <c r="B117" s="2064"/>
      <c r="C117" s="2067" t="s">
        <v>153</v>
      </c>
      <c r="D117" s="315"/>
      <c r="E117" s="2068" t="str">
        <f>BS!E247</f>
        <v>우선주</v>
      </c>
      <c r="F117" s="2086">
        <f t="shared" ref="F117:F121" ca="1" si="196">SUM(G117:GD117)</f>
        <v>373.12000000000023</v>
      </c>
      <c r="G117" s="2087">
        <f>SUMIF(BS!$229:$229,G$4,BS!246:246)</f>
        <v>0</v>
      </c>
      <c r="H117" s="2088">
        <f>SUMIF(BS!$229:$229,H$4,BS!246:246)</f>
        <v>0</v>
      </c>
      <c r="I117" s="2088">
        <f>SUMIF(BS!$229:$229,I$4,BS!246:246)</f>
        <v>0</v>
      </c>
      <c r="J117" s="2089">
        <f>SUMIF(BS!$229:$229,J$4,BS!246:246)</f>
        <v>0</v>
      </c>
      <c r="K117" s="2087">
        <f>SUMIF(BS!$229:$229,K$4,BS!246:246)</f>
        <v>0</v>
      </c>
      <c r="L117" s="2088">
        <f>SUMIF(BS!$229:$229,L$4,BS!246:246)</f>
        <v>0</v>
      </c>
      <c r="M117" s="2088">
        <f>SUMIF(BS!$229:$229,M$4,BS!246:246)</f>
        <v>0</v>
      </c>
      <c r="N117" s="2089">
        <f ca="1">SUMIF(BS!$229:$229,N$4,BS!246:246)</f>
        <v>0</v>
      </c>
      <c r="O117" s="2087">
        <f>SUMIF(BS!$229:$229,O$4,BS!246:246)</f>
        <v>0</v>
      </c>
      <c r="P117" s="2088">
        <f>SUMIF(BS!$229:$229,P$4,BS!246:246)</f>
        <v>0</v>
      </c>
      <c r="Q117" s="2088">
        <f>SUMIF(BS!$229:$229,Q$4,BS!246:246)</f>
        <v>0</v>
      </c>
      <c r="R117" s="2089">
        <f ca="1">SUMIF(BS!$229:$229,R$4,BS!246:246)</f>
        <v>0</v>
      </c>
      <c r="S117" s="2087">
        <f>SUMIF(BS!$229:$229,S$4,BS!246:246)</f>
        <v>0</v>
      </c>
      <c r="T117" s="2088">
        <f>SUMIF(BS!$229:$229,T$4,BS!246:246)</f>
        <v>0</v>
      </c>
      <c r="U117" s="2088">
        <f>SUMIF(BS!$229:$229,U$4,BS!246:246)</f>
        <v>0</v>
      </c>
      <c r="V117" s="2089">
        <f ca="1">SUMIF(BS!$229:$229,V$4,BS!246:246)</f>
        <v>0</v>
      </c>
      <c r="W117" s="2087">
        <f>SUMIF(BS!$229:$229,W$4,BS!246:246)</f>
        <v>0</v>
      </c>
      <c r="X117" s="2088">
        <f>SUMIF(BS!$229:$229,X$4,BS!246:246)</f>
        <v>0</v>
      </c>
      <c r="Y117" s="2088">
        <f>SUMIF(BS!$229:$229,Y$4,BS!246:246)</f>
        <v>0</v>
      </c>
      <c r="Z117" s="2089">
        <f ca="1">SUMIF(BS!$229:$229,Z$4,BS!246:246)</f>
        <v>0</v>
      </c>
      <c r="AA117" s="2087">
        <f>SUMIF(BS!$229:$229,AA$4,BS!246:246)</f>
        <v>0</v>
      </c>
      <c r="AB117" s="2088">
        <f>SUMIF(BS!$229:$229,AB$4,BS!246:246)</f>
        <v>0</v>
      </c>
      <c r="AC117" s="2088">
        <f>SUMIF(BS!$229:$229,AC$4,BS!246:246)</f>
        <v>0</v>
      </c>
      <c r="AD117" s="2089">
        <f ca="1">SUMIF(BS!$229:$229,AD$4,BS!246:246)</f>
        <v>0</v>
      </c>
      <c r="AE117" s="2087">
        <f>SUMIF(BS!$229:$229,AE$4,BS!246:246)</f>
        <v>0</v>
      </c>
      <c r="AF117" s="2088">
        <f>SUMIF(BS!$229:$229,AF$4,BS!246:246)</f>
        <v>0</v>
      </c>
      <c r="AG117" s="2088">
        <f>SUMIF(BS!$229:$229,AG$4,BS!246:246)</f>
        <v>0</v>
      </c>
      <c r="AH117" s="2089">
        <f ca="1">SUMIF(BS!$229:$229,AH$4,BS!246:246)</f>
        <v>0</v>
      </c>
      <c r="AI117" s="2087">
        <f>SUMIF(BS!$229:$229,AI$4,BS!246:246)</f>
        <v>0</v>
      </c>
      <c r="AJ117" s="2088">
        <f>SUMIF(BS!$229:$229,AJ$4,BS!246:246)</f>
        <v>0</v>
      </c>
      <c r="AK117" s="2088">
        <f>SUMIF(BS!$229:$229,AK$4,BS!246:246)</f>
        <v>0</v>
      </c>
      <c r="AL117" s="2089">
        <f ca="1">SUMIF(BS!$229:$229,AL$4,BS!246:246)</f>
        <v>0</v>
      </c>
      <c r="AM117" s="2087">
        <f>SUMIF(BS!$229:$229,AM$4,BS!246:246)</f>
        <v>0</v>
      </c>
      <c r="AN117" s="2088">
        <f>SUMIF(BS!$229:$229,AN$4,BS!246:246)</f>
        <v>0</v>
      </c>
      <c r="AO117" s="2088">
        <f>SUMIF(BS!$229:$229,AO$4,BS!246:246)</f>
        <v>0</v>
      </c>
      <c r="AP117" s="2089">
        <f ca="1">SUMIF(BS!$229:$229,AP$4,BS!246:246)</f>
        <v>1.585478126567498</v>
      </c>
      <c r="AQ117" s="2087">
        <f>SUMIF(BS!$229:$229,AQ$4,BS!246:246)</f>
        <v>0</v>
      </c>
      <c r="AR117" s="2088">
        <f>SUMIF(BS!$229:$229,AR$4,BS!246:246)</f>
        <v>0</v>
      </c>
      <c r="AS117" s="2088">
        <f>SUMIF(BS!$229:$229,AS$4,BS!246:246)</f>
        <v>0</v>
      </c>
      <c r="AT117" s="2089">
        <f ca="1">SUMIF(BS!$229:$229,AT$4,BS!246:246)</f>
        <v>30.34879874323374</v>
      </c>
      <c r="AU117" s="2087">
        <f>SUMIF(BS!$229:$229,AU$4,BS!246:246)</f>
        <v>0</v>
      </c>
      <c r="AV117" s="2088">
        <f>SUMIF(BS!$229:$229,AV$4,BS!246:246)</f>
        <v>0</v>
      </c>
      <c r="AW117" s="2088">
        <f>SUMIF(BS!$229:$229,AW$4,BS!246:246)</f>
        <v>0</v>
      </c>
      <c r="AX117" s="2089">
        <f ca="1">SUMIF(BS!$229:$229,AX$4,BS!246:246)</f>
        <v>15.75713685472163</v>
      </c>
      <c r="AY117" s="2087">
        <f>SUMIF(BS!$229:$229,AY$4,BS!246:246)</f>
        <v>0</v>
      </c>
      <c r="AZ117" s="2088">
        <f>SUMIF(BS!$229:$229,AZ$4,BS!246:246)</f>
        <v>0</v>
      </c>
      <c r="BA117" s="2088">
        <f>SUMIF(BS!$229:$229,BA$4,BS!246:246)</f>
        <v>0</v>
      </c>
      <c r="BB117" s="2089">
        <f ca="1">SUMIF(BS!$229:$229,BB$4,BS!246:246)</f>
        <v>28.642454820594555</v>
      </c>
      <c r="BC117" s="2087">
        <f>SUMIF(BS!$229:$229,BC$4,BS!246:246)</f>
        <v>0</v>
      </c>
      <c r="BD117" s="2088">
        <f>SUMIF(BS!$229:$229,BD$4,BS!246:246)</f>
        <v>0</v>
      </c>
      <c r="BE117" s="2088">
        <f>SUMIF(BS!$229:$229,BE$4,BS!246:246)</f>
        <v>0</v>
      </c>
      <c r="BF117" s="2089">
        <f ca="1">SUMIF(BS!$229:$229,BF$4,BS!246:246)</f>
        <v>25.040784896574287</v>
      </c>
      <c r="BG117" s="2087">
        <f>SUMIF(BS!$229:$229,BG$4,BS!246:246)</f>
        <v>0</v>
      </c>
      <c r="BH117" s="2088">
        <f>SUMIF(BS!$229:$229,BH$4,BS!246:246)</f>
        <v>0</v>
      </c>
      <c r="BI117" s="2088">
        <f>SUMIF(BS!$229:$229,BI$4,BS!246:246)</f>
        <v>0</v>
      </c>
      <c r="BJ117" s="2089">
        <f ca="1">SUMIF(BS!$229:$229,BJ$4,BS!246:246)</f>
        <v>26.608340660995566</v>
      </c>
      <c r="BK117" s="2087">
        <f>SUMIF(BS!$229:$229,BK$4,BS!246:246)</f>
        <v>0</v>
      </c>
      <c r="BL117" s="2088">
        <f>SUMIF(BS!$229:$229,BL$4,BS!246:246)</f>
        <v>0</v>
      </c>
      <c r="BM117" s="2088">
        <f>SUMIF(BS!$229:$229,BM$4,BS!246:246)</f>
        <v>0</v>
      </c>
      <c r="BN117" s="2089">
        <f ca="1">SUMIF(BS!$229:$229,BN$4,BS!246:246)</f>
        <v>25.942508791424977</v>
      </c>
      <c r="BO117" s="2087">
        <f>SUMIF(BS!$229:$229,BO$4,BS!246:246)</f>
        <v>0</v>
      </c>
      <c r="BP117" s="2088">
        <f>SUMIF(BS!$229:$229,BP$4,BS!246:246)</f>
        <v>0</v>
      </c>
      <c r="BQ117" s="2088">
        <f>SUMIF(BS!$229:$229,BQ$4,BS!246:246)</f>
        <v>0</v>
      </c>
      <c r="BR117" s="2089">
        <f ca="1">SUMIF(BS!$229:$229,BR$4,BS!246:246)</f>
        <v>11.136366554276975</v>
      </c>
      <c r="BS117" s="2087">
        <f>SUMIF(BS!$229:$229,BS$4,BS!246:246)</f>
        <v>0</v>
      </c>
      <c r="BT117" s="2088">
        <f>SUMIF(BS!$229:$229,BT$4,BS!246:246)</f>
        <v>0</v>
      </c>
      <c r="BU117" s="2088">
        <f>SUMIF(BS!$229:$229,BU$4,BS!246:246)</f>
        <v>0</v>
      </c>
      <c r="BV117" s="2089">
        <f ca="1">SUMIF(BS!$229:$229,BV$4,BS!246:246)</f>
        <v>9.1390487958849107</v>
      </c>
      <c r="BW117" s="2087">
        <f>SUMIF(BS!$229:$229,BW$4,BS!246:246)</f>
        <v>0</v>
      </c>
      <c r="BX117" s="2088">
        <f>SUMIF(BS!$229:$229,BX$4,BS!246:246)</f>
        <v>0</v>
      </c>
      <c r="BY117" s="2088">
        <f>SUMIF(BS!$229:$229,BY$4,BS!246:246)</f>
        <v>0</v>
      </c>
      <c r="BZ117" s="2089">
        <f ca="1">SUMIF(BS!$229:$229,BZ$4,BS!246:246)</f>
        <v>11.975995636261473</v>
      </c>
      <c r="CA117" s="2087">
        <f>SUMIF(BS!$229:$229,CA$4,BS!246:246)</f>
        <v>0</v>
      </c>
      <c r="CB117" s="2088">
        <f>SUMIF(BS!$229:$229,CB$4,BS!246:246)</f>
        <v>0</v>
      </c>
      <c r="CC117" s="2088">
        <f>SUMIF(BS!$229:$229,CC$4,BS!246:246)</f>
        <v>0</v>
      </c>
      <c r="CD117" s="2089">
        <f ca="1">SUMIF(BS!$229:$229,CD$4,BS!246:246)</f>
        <v>8.863086119464441</v>
      </c>
      <c r="CE117" s="2087">
        <f>SUMIF(BS!$229:$229,CE$4,BS!246:246)</f>
        <v>0</v>
      </c>
      <c r="CF117" s="2088">
        <f>SUMIF(BS!$229:$229,CF$4,BS!246:246)</f>
        <v>0</v>
      </c>
      <c r="CG117" s="2088">
        <f>SUMIF(BS!$229:$229,CG$4,BS!246:246)</f>
        <v>0</v>
      </c>
      <c r="CH117" s="2089">
        <f ca="1">SUMIF(BS!$229:$229,CH$4,BS!246:246)</f>
        <v>8.48</v>
      </c>
      <c r="CI117" s="2087">
        <f>SUMIF(BS!$229:$229,CI$4,BS!246:246)</f>
        <v>0</v>
      </c>
      <c r="CJ117" s="2088">
        <f>SUMIF(BS!$229:$229,CJ$4,BS!246:246)</f>
        <v>0</v>
      </c>
      <c r="CK117" s="2088">
        <f>SUMIF(BS!$229:$229,CK$4,BS!246:246)</f>
        <v>0</v>
      </c>
      <c r="CL117" s="2089">
        <f ca="1">SUMIF(BS!$229:$229,CL$4,BS!246:246)</f>
        <v>8.48</v>
      </c>
      <c r="CM117" s="2087">
        <f>SUMIF(BS!$229:$229,CM$4,BS!246:246)</f>
        <v>0</v>
      </c>
      <c r="CN117" s="2088">
        <f>SUMIF(BS!$229:$229,CN$4,BS!246:246)</f>
        <v>0</v>
      </c>
      <c r="CO117" s="2088">
        <f>SUMIF(BS!$229:$229,CO$4,BS!246:246)</f>
        <v>0</v>
      </c>
      <c r="CP117" s="2089">
        <f ca="1">SUMIF(BS!$229:$229,CP$4,BS!246:246)</f>
        <v>8.48</v>
      </c>
      <c r="CQ117" s="2087">
        <f>SUMIF(BS!$229:$229,CQ$4,BS!246:246)</f>
        <v>0</v>
      </c>
      <c r="CR117" s="2088">
        <f>SUMIF(BS!$229:$229,CR$4,BS!246:246)</f>
        <v>0</v>
      </c>
      <c r="CS117" s="2088">
        <f>SUMIF(BS!$229:$229,CS$4,BS!246:246)</f>
        <v>0</v>
      </c>
      <c r="CT117" s="2089">
        <f ca="1">SUMIF(BS!$229:$229,CT$4,BS!246:246)</f>
        <v>8.48</v>
      </c>
      <c r="CU117" s="2087">
        <f>SUMIF(BS!$229:$229,CU$4,BS!246:246)</f>
        <v>0</v>
      </c>
      <c r="CV117" s="2088">
        <f>SUMIF(BS!$229:$229,CV$4,BS!246:246)</f>
        <v>0</v>
      </c>
      <c r="CW117" s="2088">
        <f>SUMIF(BS!$229:$229,CW$4,BS!246:246)</f>
        <v>0</v>
      </c>
      <c r="CX117" s="2089">
        <f ca="1">SUMIF(BS!$229:$229,CX$4,BS!246:246)</f>
        <v>8.48</v>
      </c>
      <c r="CY117" s="2087">
        <f>SUMIF(BS!$229:$229,CY$4,BS!246:246)</f>
        <v>0</v>
      </c>
      <c r="CZ117" s="2088">
        <f>SUMIF(BS!$229:$229,CZ$4,BS!246:246)</f>
        <v>0</v>
      </c>
      <c r="DA117" s="2088">
        <f>SUMIF(BS!$229:$229,DA$4,BS!246:246)</f>
        <v>0</v>
      </c>
      <c r="DB117" s="2089">
        <f ca="1">SUMIF(BS!$229:$229,DB$4,BS!246:246)</f>
        <v>8.48</v>
      </c>
      <c r="DC117" s="2087">
        <f>SUMIF(BS!$229:$229,DC$4,BS!246:246)</f>
        <v>0</v>
      </c>
      <c r="DD117" s="2088">
        <f>SUMIF(BS!$229:$229,DD$4,BS!246:246)</f>
        <v>0</v>
      </c>
      <c r="DE117" s="2088">
        <f>SUMIF(BS!$229:$229,DE$4,BS!246:246)</f>
        <v>0</v>
      </c>
      <c r="DF117" s="2089">
        <f ca="1">SUMIF(BS!$229:$229,DF$4,BS!246:246)</f>
        <v>8.48</v>
      </c>
      <c r="DG117" s="2087">
        <f>SUMIF(BS!$229:$229,DG$4,BS!246:246)</f>
        <v>0</v>
      </c>
      <c r="DH117" s="2088">
        <f>SUMIF(BS!$229:$229,DH$4,BS!246:246)</f>
        <v>0</v>
      </c>
      <c r="DI117" s="2088">
        <f>SUMIF(BS!$229:$229,DI$4,BS!246:246)</f>
        <v>0</v>
      </c>
      <c r="DJ117" s="2089">
        <f ca="1">SUMIF(BS!$229:$229,DJ$4,BS!246:246)</f>
        <v>8.48</v>
      </c>
      <c r="DK117" s="2087">
        <f>SUMIF(BS!$229:$229,DK$4,BS!246:246)</f>
        <v>0</v>
      </c>
      <c r="DL117" s="2088">
        <f>SUMIF(BS!$229:$229,DL$4,BS!246:246)</f>
        <v>0</v>
      </c>
      <c r="DM117" s="2088">
        <f>SUMIF(BS!$229:$229,DM$4,BS!246:246)</f>
        <v>0</v>
      </c>
      <c r="DN117" s="2089">
        <f ca="1">SUMIF(BS!$229:$229,DN$4,BS!246:246)</f>
        <v>8.48</v>
      </c>
      <c r="DO117" s="2087">
        <f>SUMIF(BS!$229:$229,DO$4,BS!246:246)</f>
        <v>0</v>
      </c>
      <c r="DP117" s="2088">
        <f>SUMIF(BS!$229:$229,DP$4,BS!246:246)</f>
        <v>0</v>
      </c>
      <c r="DQ117" s="2088">
        <f>SUMIF(BS!$229:$229,DQ$4,BS!246:246)</f>
        <v>0</v>
      </c>
      <c r="DR117" s="2089">
        <f ca="1">SUMIF(BS!$229:$229,DR$4,BS!246:246)</f>
        <v>8.48</v>
      </c>
      <c r="DS117" s="2087">
        <f>SUMIF(BS!$229:$229,DS$4,BS!246:246)</f>
        <v>0</v>
      </c>
      <c r="DT117" s="2088">
        <f>SUMIF(BS!$229:$229,DT$4,BS!246:246)</f>
        <v>0</v>
      </c>
      <c r="DU117" s="2088">
        <f>SUMIF(BS!$229:$229,DU$4,BS!246:246)</f>
        <v>0</v>
      </c>
      <c r="DV117" s="2089">
        <f ca="1">SUMIF(BS!$229:$229,DV$4,BS!246:246)</f>
        <v>8.48</v>
      </c>
      <c r="DW117" s="2087">
        <f>SUMIF(BS!$229:$229,DW$4,BS!246:246)</f>
        <v>0</v>
      </c>
      <c r="DX117" s="2088">
        <f>SUMIF(BS!$229:$229,DX$4,BS!246:246)</f>
        <v>0</v>
      </c>
      <c r="DY117" s="2088">
        <f>SUMIF(BS!$229:$229,DY$4,BS!246:246)</f>
        <v>0</v>
      </c>
      <c r="DZ117" s="2089">
        <f ca="1">SUMIF(BS!$229:$229,DZ$4,BS!246:246)</f>
        <v>8.48</v>
      </c>
      <c r="EA117" s="2087">
        <f>SUMIF(BS!$229:$229,EA$4,BS!246:246)</f>
        <v>0</v>
      </c>
      <c r="EB117" s="2088">
        <f>SUMIF(BS!$229:$229,EB$4,BS!246:246)</f>
        <v>0</v>
      </c>
      <c r="EC117" s="2088">
        <f>SUMIF(BS!$229:$229,EC$4,BS!246:246)</f>
        <v>0</v>
      </c>
      <c r="ED117" s="2089">
        <f ca="1">SUMIF(BS!$229:$229,ED$4,BS!246:246)</f>
        <v>8.48</v>
      </c>
      <c r="EE117" s="2087">
        <f>SUMIF(BS!$229:$229,EE$4,BS!246:246)</f>
        <v>0</v>
      </c>
      <c r="EF117" s="2088">
        <f>SUMIF(BS!$229:$229,EF$4,BS!246:246)</f>
        <v>0</v>
      </c>
      <c r="EG117" s="2088">
        <f>SUMIF(BS!$229:$229,EG$4,BS!246:246)</f>
        <v>0</v>
      </c>
      <c r="EH117" s="2089">
        <f ca="1">SUMIF(BS!$229:$229,EH$4,BS!246:246)</f>
        <v>8.48</v>
      </c>
      <c r="EI117" s="2087">
        <f>SUMIF(BS!$229:$229,EI$4,BS!246:246)</f>
        <v>0</v>
      </c>
      <c r="EJ117" s="2088">
        <f>SUMIF(BS!$229:$229,EJ$4,BS!246:246)</f>
        <v>0</v>
      </c>
      <c r="EK117" s="2088">
        <f>SUMIF(BS!$229:$229,EK$4,BS!246:246)</f>
        <v>0</v>
      </c>
      <c r="EL117" s="2089">
        <f ca="1">SUMIF(BS!$229:$229,EL$4,BS!246:246)</f>
        <v>8.48</v>
      </c>
      <c r="EM117" s="2087">
        <f>SUMIF(BS!$229:$229,EM$4,BS!246:246)</f>
        <v>0</v>
      </c>
      <c r="EN117" s="2088">
        <f>SUMIF(BS!$229:$229,EN$4,BS!246:246)</f>
        <v>0</v>
      </c>
      <c r="EO117" s="2088">
        <f>SUMIF(BS!$229:$229,EO$4,BS!246:246)</f>
        <v>0</v>
      </c>
      <c r="EP117" s="2089">
        <f ca="1">SUMIF(BS!$229:$229,EP$4,BS!246:246)</f>
        <v>8.48</v>
      </c>
      <c r="EQ117" s="2087">
        <f>SUMIF(BS!$229:$229,EQ$4,BS!246:246)</f>
        <v>0</v>
      </c>
      <c r="ER117" s="2088">
        <f>SUMIF(BS!$229:$229,ER$4,BS!246:246)</f>
        <v>0</v>
      </c>
      <c r="ES117" s="2088">
        <f>SUMIF(BS!$229:$229,ES$4,BS!246:246)</f>
        <v>0</v>
      </c>
      <c r="ET117" s="2089">
        <f ca="1">SUMIF(BS!$229:$229,ET$4,BS!246:246)</f>
        <v>8.48</v>
      </c>
      <c r="EU117" s="2087">
        <f>SUMIF(BS!$229:$229,EU$4,BS!246:246)</f>
        <v>0</v>
      </c>
      <c r="EV117" s="2088">
        <f>SUMIF(BS!$229:$229,EV$4,BS!246:246)</f>
        <v>0</v>
      </c>
      <c r="EW117" s="2088">
        <f>SUMIF(BS!$229:$229,EW$4,BS!246:246)</f>
        <v>0</v>
      </c>
      <c r="EX117" s="2089">
        <f ca="1">SUMIF(BS!$229:$229,EX$4,BS!246:246)</f>
        <v>8.48</v>
      </c>
      <c r="EY117" s="2087">
        <f>SUMIF(BS!$229:$229,EY$4,BS!246:246)</f>
        <v>0</v>
      </c>
      <c r="EZ117" s="2088">
        <f>SUMIF(BS!$229:$229,EZ$4,BS!246:246)</f>
        <v>0</v>
      </c>
      <c r="FA117" s="2088">
        <f>SUMIF(BS!$229:$229,FA$4,BS!246:246)</f>
        <v>0</v>
      </c>
      <c r="FB117" s="2089">
        <f ca="1">SUMIF(BS!$229:$229,FB$4,BS!246:246)</f>
        <v>8.48</v>
      </c>
      <c r="FC117" s="2087">
        <f>SUMIF(BS!$229:$229,FC$4,BS!246:246)</f>
        <v>0</v>
      </c>
      <c r="FD117" s="2088">
        <f>SUMIF(BS!$229:$229,FD$4,BS!246:246)</f>
        <v>0</v>
      </c>
      <c r="FE117" s="2088">
        <f>SUMIF(BS!$229:$229,FE$4,BS!246:246)</f>
        <v>0</v>
      </c>
      <c r="FF117" s="2089">
        <f ca="1">SUMIF(BS!$229:$229,FF$4,BS!246:246)</f>
        <v>8.48</v>
      </c>
      <c r="FG117" s="2087">
        <f>SUMIF(BS!$229:$229,FG$4,BS!246:246)</f>
        <v>0</v>
      </c>
      <c r="FH117" s="2088">
        <f>SUMIF(BS!$229:$229,FH$4,BS!246:246)</f>
        <v>0</v>
      </c>
      <c r="FI117" s="2088">
        <f>SUMIF(BS!$229:$229,FI$4,BS!246:246)</f>
        <v>0</v>
      </c>
      <c r="FJ117" s="2089">
        <f ca="1">SUMIF(BS!$229:$229,FJ$4,BS!246:246)</f>
        <v>8.48</v>
      </c>
      <c r="FK117" s="2087">
        <f>SUMIF(BS!$229:$229,FK$4,BS!246:246)</f>
        <v>0</v>
      </c>
      <c r="FL117" s="2088">
        <f>SUMIF(BS!$229:$229,FL$4,BS!246:246)</f>
        <v>0</v>
      </c>
      <c r="FM117" s="2088">
        <f>SUMIF(BS!$229:$229,FM$4,BS!246:246)</f>
        <v>0</v>
      </c>
      <c r="FN117" s="2089">
        <f ca="1">SUMIF(BS!$229:$229,FN$4,BS!246:246)</f>
        <v>0</v>
      </c>
      <c r="FO117" s="2087">
        <f>SUMIF(BS!$229:$229,FO$4,BS!246:246)</f>
        <v>0</v>
      </c>
      <c r="FP117" s="2088">
        <f>SUMIF(BS!$229:$229,FP$4,BS!246:246)</f>
        <v>0</v>
      </c>
      <c r="FQ117" s="2088">
        <f>SUMIF(BS!$229:$229,FQ$4,BS!246:246)</f>
        <v>0</v>
      </c>
      <c r="FR117" s="2089">
        <f ca="1">SUMIF(BS!$229:$229,FR$4,BS!246:246)</f>
        <v>0</v>
      </c>
      <c r="FS117" s="2087">
        <f>SUMIF(BS!$229:$229,FS$4,BS!246:246)</f>
        <v>0</v>
      </c>
      <c r="FT117" s="2088">
        <f>SUMIF(BS!$229:$229,FT$4,BS!246:246)</f>
        <v>0</v>
      </c>
      <c r="FU117" s="2088">
        <f>SUMIF(BS!$229:$229,FU$4,BS!246:246)</f>
        <v>0</v>
      </c>
      <c r="FV117" s="2089">
        <f ca="1">SUMIF(BS!$229:$229,FV$4,BS!246:246)</f>
        <v>0</v>
      </c>
      <c r="FW117" s="2087">
        <f>SUMIF(BS!$229:$229,FW$4,BS!246:246)</f>
        <v>0</v>
      </c>
      <c r="FX117" s="2088">
        <f>SUMIF(BS!$229:$229,FX$4,BS!246:246)</f>
        <v>0</v>
      </c>
      <c r="FY117" s="2088">
        <f>SUMIF(BS!$229:$229,FY$4,BS!246:246)</f>
        <v>0</v>
      </c>
      <c r="FZ117" s="2089">
        <f ca="1">SUMIF(BS!$229:$229,FZ$4,BS!246:246)</f>
        <v>0</v>
      </c>
      <c r="GA117" s="2087">
        <f>SUMIF(BS!$229:$229,GA$4,BS!246:246)</f>
        <v>0</v>
      </c>
      <c r="GB117" s="2088">
        <f>SUMIF(BS!$229:$229,GB$4,BS!246:246)</f>
        <v>0</v>
      </c>
      <c r="GC117" s="2088">
        <f>SUMIF(BS!$229:$229,GC$4,BS!246:246)</f>
        <v>0</v>
      </c>
      <c r="GD117" s="2089">
        <f ca="1">SUMIF(BS!$229:$229,GD$4,BS!246:246)</f>
        <v>0</v>
      </c>
    </row>
    <row r="118" spans="1:186" ht="15" customHeight="1">
      <c r="B118" s="2064"/>
      <c r="C118" s="2067" t="s">
        <v>3796</v>
      </c>
      <c r="D118" s="315"/>
      <c r="E118" s="2068" t="str">
        <f>E117</f>
        <v>우선주</v>
      </c>
      <c r="F118" s="2086">
        <f t="shared" ref="F118" si="197">SUM(G118:GD118)</f>
        <v>0</v>
      </c>
      <c r="G118" s="2087">
        <f>SUMIF(BS!$229:$229,G$4,BS!247:247)</f>
        <v>0</v>
      </c>
      <c r="H118" s="2088">
        <f>SUMIF(BS!$229:$229,H$4,BS!247:247)</f>
        <v>0</v>
      </c>
      <c r="I118" s="2088">
        <f>SUMIF(BS!$229:$229,I$4,BS!247:247)</f>
        <v>0</v>
      </c>
      <c r="J118" s="2089">
        <f>SUMIF(BS!$229:$229,J$4,BS!247:247)</f>
        <v>0</v>
      </c>
      <c r="K118" s="2087">
        <f>SUMIF(BS!$229:$229,K$4,BS!247:247)</f>
        <v>0</v>
      </c>
      <c r="L118" s="2088">
        <f>SUMIF(BS!$229:$229,L$4,BS!247:247)</f>
        <v>0</v>
      </c>
      <c r="M118" s="2088">
        <f>SUMIF(BS!$229:$229,M$4,BS!247:247)</f>
        <v>0</v>
      </c>
      <c r="N118" s="2089">
        <f>SUMIF(BS!$229:$229,N$4,BS!247:247)</f>
        <v>0</v>
      </c>
      <c r="O118" s="2087">
        <f>SUMIF(BS!$229:$229,O$4,BS!247:247)</f>
        <v>0</v>
      </c>
      <c r="P118" s="2088">
        <f>SUMIF(BS!$229:$229,P$4,BS!247:247)</f>
        <v>0</v>
      </c>
      <c r="Q118" s="2088">
        <f>SUMIF(BS!$229:$229,Q$4,BS!247:247)</f>
        <v>0</v>
      </c>
      <c r="R118" s="2089">
        <f>SUMIF(BS!$229:$229,R$4,BS!247:247)</f>
        <v>0</v>
      </c>
      <c r="S118" s="2087">
        <f>SUMIF(BS!$229:$229,S$4,BS!247:247)</f>
        <v>0</v>
      </c>
      <c r="T118" s="2088">
        <f>SUMIF(BS!$229:$229,T$4,BS!247:247)</f>
        <v>0</v>
      </c>
      <c r="U118" s="2088">
        <f>SUMIF(BS!$229:$229,U$4,BS!247:247)</f>
        <v>0</v>
      </c>
      <c r="V118" s="2089">
        <f>SUMIF(BS!$229:$229,V$4,BS!247:247)</f>
        <v>0</v>
      </c>
      <c r="W118" s="2087">
        <f>SUMIF(BS!$229:$229,W$4,BS!247:247)</f>
        <v>0</v>
      </c>
      <c r="X118" s="2088">
        <f>SUMIF(BS!$229:$229,X$4,BS!247:247)</f>
        <v>0</v>
      </c>
      <c r="Y118" s="2088">
        <f>SUMIF(BS!$229:$229,Y$4,BS!247:247)</f>
        <v>0</v>
      </c>
      <c r="Z118" s="2089">
        <f>SUMIF(BS!$229:$229,Z$4,BS!247:247)</f>
        <v>0</v>
      </c>
      <c r="AA118" s="2087">
        <f>SUMIF(BS!$229:$229,AA$4,BS!247:247)</f>
        <v>0</v>
      </c>
      <c r="AB118" s="2088">
        <f>SUMIF(BS!$229:$229,AB$4,BS!247:247)</f>
        <v>0</v>
      </c>
      <c r="AC118" s="2088">
        <f>SUMIF(BS!$229:$229,AC$4,BS!247:247)</f>
        <v>0</v>
      </c>
      <c r="AD118" s="2089">
        <f>SUMIF(BS!$229:$229,AD$4,BS!247:247)</f>
        <v>0</v>
      </c>
      <c r="AE118" s="2087">
        <f>SUMIF(BS!$229:$229,AE$4,BS!247:247)</f>
        <v>0</v>
      </c>
      <c r="AF118" s="2088">
        <f>SUMIF(BS!$229:$229,AF$4,BS!247:247)</f>
        <v>0</v>
      </c>
      <c r="AG118" s="2088">
        <f>SUMIF(BS!$229:$229,AG$4,BS!247:247)</f>
        <v>0</v>
      </c>
      <c r="AH118" s="2089">
        <f>SUMIF(BS!$229:$229,AH$4,BS!247:247)</f>
        <v>0</v>
      </c>
      <c r="AI118" s="2087">
        <f>SUMIF(BS!$229:$229,AI$4,BS!247:247)</f>
        <v>0</v>
      </c>
      <c r="AJ118" s="2088">
        <f>SUMIF(BS!$229:$229,AJ$4,BS!247:247)</f>
        <v>0</v>
      </c>
      <c r="AK118" s="2088">
        <f>SUMIF(BS!$229:$229,AK$4,BS!247:247)</f>
        <v>0</v>
      </c>
      <c r="AL118" s="2089">
        <f>SUMIF(BS!$229:$229,AL$4,BS!247:247)</f>
        <v>0</v>
      </c>
      <c r="AM118" s="2087">
        <f>SUMIF(BS!$229:$229,AM$4,BS!247:247)</f>
        <v>0</v>
      </c>
      <c r="AN118" s="2088">
        <f>SUMIF(BS!$229:$229,AN$4,BS!247:247)</f>
        <v>0</v>
      </c>
      <c r="AO118" s="2088">
        <f>SUMIF(BS!$229:$229,AO$4,BS!247:247)</f>
        <v>0</v>
      </c>
      <c r="AP118" s="2089">
        <f>SUMIF(BS!$229:$229,AP$4,BS!247:247)</f>
        <v>0</v>
      </c>
      <c r="AQ118" s="2087">
        <f>SUMIF(BS!$229:$229,AQ$4,BS!247:247)</f>
        <v>0</v>
      </c>
      <c r="AR118" s="2088">
        <f>SUMIF(BS!$229:$229,AR$4,BS!247:247)</f>
        <v>0</v>
      </c>
      <c r="AS118" s="2088">
        <f>SUMIF(BS!$229:$229,AS$4,BS!247:247)</f>
        <v>0</v>
      </c>
      <c r="AT118" s="2089">
        <f>SUMIF(BS!$229:$229,AT$4,BS!247:247)</f>
        <v>0</v>
      </c>
      <c r="AU118" s="2087">
        <f>SUMIF(BS!$229:$229,AU$4,BS!247:247)</f>
        <v>0</v>
      </c>
      <c r="AV118" s="2088">
        <f>SUMIF(BS!$229:$229,AV$4,BS!247:247)</f>
        <v>0</v>
      </c>
      <c r="AW118" s="2088">
        <f>SUMIF(BS!$229:$229,AW$4,BS!247:247)</f>
        <v>0</v>
      </c>
      <c r="AX118" s="2089">
        <f>SUMIF(BS!$229:$229,AX$4,BS!247:247)</f>
        <v>0</v>
      </c>
      <c r="AY118" s="2087">
        <f>SUMIF(BS!$229:$229,AY$4,BS!247:247)</f>
        <v>0</v>
      </c>
      <c r="AZ118" s="2088">
        <f>SUMIF(BS!$229:$229,AZ$4,BS!247:247)</f>
        <v>0</v>
      </c>
      <c r="BA118" s="2088">
        <f>SUMIF(BS!$229:$229,BA$4,BS!247:247)</f>
        <v>0</v>
      </c>
      <c r="BB118" s="2089">
        <f>SUMIF(BS!$229:$229,BB$4,BS!247:247)</f>
        <v>0</v>
      </c>
      <c r="BC118" s="2087">
        <f>SUMIF(BS!$229:$229,BC$4,BS!247:247)</f>
        <v>0</v>
      </c>
      <c r="BD118" s="2088">
        <f>SUMIF(BS!$229:$229,BD$4,BS!247:247)</f>
        <v>0</v>
      </c>
      <c r="BE118" s="2088">
        <f>SUMIF(BS!$229:$229,BE$4,BS!247:247)</f>
        <v>0</v>
      </c>
      <c r="BF118" s="2089">
        <f>SUMIF(BS!$229:$229,BF$4,BS!247:247)</f>
        <v>0</v>
      </c>
      <c r="BG118" s="2087">
        <f>SUMIF(BS!$229:$229,BG$4,BS!247:247)</f>
        <v>0</v>
      </c>
      <c r="BH118" s="2088">
        <f>SUMIF(BS!$229:$229,BH$4,BS!247:247)</f>
        <v>0</v>
      </c>
      <c r="BI118" s="2088">
        <f>SUMIF(BS!$229:$229,BI$4,BS!247:247)</f>
        <v>0</v>
      </c>
      <c r="BJ118" s="2089">
        <f>SUMIF(BS!$229:$229,BJ$4,BS!247:247)</f>
        <v>0</v>
      </c>
      <c r="BK118" s="2087">
        <f>SUMIF(BS!$229:$229,BK$4,BS!247:247)</f>
        <v>0</v>
      </c>
      <c r="BL118" s="2088">
        <f>SUMIF(BS!$229:$229,BL$4,BS!247:247)</f>
        <v>0</v>
      </c>
      <c r="BM118" s="2088">
        <f>SUMIF(BS!$229:$229,BM$4,BS!247:247)</f>
        <v>0</v>
      </c>
      <c r="BN118" s="2089">
        <f>SUMIF(BS!$229:$229,BN$4,BS!247:247)</f>
        <v>0</v>
      </c>
      <c r="BO118" s="2087">
        <f>SUMIF(BS!$229:$229,BO$4,BS!247:247)</f>
        <v>0</v>
      </c>
      <c r="BP118" s="2088">
        <f>SUMIF(BS!$229:$229,BP$4,BS!247:247)</f>
        <v>0</v>
      </c>
      <c r="BQ118" s="2088">
        <f>SUMIF(BS!$229:$229,BQ$4,BS!247:247)</f>
        <v>0</v>
      </c>
      <c r="BR118" s="2089">
        <f>SUMIF(BS!$229:$229,BR$4,BS!247:247)</f>
        <v>0</v>
      </c>
      <c r="BS118" s="2087">
        <f>SUMIF(BS!$229:$229,BS$4,BS!247:247)</f>
        <v>0</v>
      </c>
      <c r="BT118" s="2088">
        <f>SUMIF(BS!$229:$229,BT$4,BS!247:247)</f>
        <v>0</v>
      </c>
      <c r="BU118" s="2088">
        <f>SUMIF(BS!$229:$229,BU$4,BS!247:247)</f>
        <v>0</v>
      </c>
      <c r="BV118" s="2089">
        <f>SUMIF(BS!$229:$229,BV$4,BS!247:247)</f>
        <v>0</v>
      </c>
      <c r="BW118" s="2087">
        <f>SUMIF(BS!$229:$229,BW$4,BS!247:247)</f>
        <v>0</v>
      </c>
      <c r="BX118" s="2088">
        <f>SUMIF(BS!$229:$229,BX$4,BS!247:247)</f>
        <v>0</v>
      </c>
      <c r="BY118" s="2088">
        <f>SUMIF(BS!$229:$229,BY$4,BS!247:247)</f>
        <v>0</v>
      </c>
      <c r="BZ118" s="2089">
        <f>SUMIF(BS!$229:$229,BZ$4,BS!247:247)</f>
        <v>0</v>
      </c>
      <c r="CA118" s="2087">
        <f>SUMIF(BS!$229:$229,CA$4,BS!247:247)</f>
        <v>0</v>
      </c>
      <c r="CB118" s="2088">
        <f>SUMIF(BS!$229:$229,CB$4,BS!247:247)</f>
        <v>0</v>
      </c>
      <c r="CC118" s="2088">
        <f>SUMIF(BS!$229:$229,CC$4,BS!247:247)</f>
        <v>0</v>
      </c>
      <c r="CD118" s="2089">
        <f>SUMIF(BS!$229:$229,CD$4,BS!247:247)</f>
        <v>0</v>
      </c>
      <c r="CE118" s="2087">
        <f>SUMIF(BS!$229:$229,CE$4,BS!247:247)</f>
        <v>0</v>
      </c>
      <c r="CF118" s="2088">
        <f>SUMIF(BS!$229:$229,CF$4,BS!247:247)</f>
        <v>0</v>
      </c>
      <c r="CG118" s="2088">
        <f>SUMIF(BS!$229:$229,CG$4,BS!247:247)</f>
        <v>0</v>
      </c>
      <c r="CH118" s="2089">
        <f>SUMIF(BS!$229:$229,CH$4,BS!247:247)</f>
        <v>0</v>
      </c>
      <c r="CI118" s="2087">
        <f>SUMIF(BS!$229:$229,CI$4,BS!247:247)</f>
        <v>0</v>
      </c>
      <c r="CJ118" s="2088">
        <f>SUMIF(BS!$229:$229,CJ$4,BS!247:247)</f>
        <v>0</v>
      </c>
      <c r="CK118" s="2088">
        <f>SUMIF(BS!$229:$229,CK$4,BS!247:247)</f>
        <v>0</v>
      </c>
      <c r="CL118" s="2089">
        <f>SUMIF(BS!$229:$229,CL$4,BS!247:247)</f>
        <v>0</v>
      </c>
      <c r="CM118" s="2087">
        <f>SUMIF(BS!$229:$229,CM$4,BS!247:247)</f>
        <v>0</v>
      </c>
      <c r="CN118" s="2088">
        <f>SUMIF(BS!$229:$229,CN$4,BS!247:247)</f>
        <v>0</v>
      </c>
      <c r="CO118" s="2088">
        <f>SUMIF(BS!$229:$229,CO$4,BS!247:247)</f>
        <v>0</v>
      </c>
      <c r="CP118" s="2089">
        <f>SUMIF(BS!$229:$229,CP$4,BS!247:247)</f>
        <v>0</v>
      </c>
      <c r="CQ118" s="2087">
        <f>SUMIF(BS!$229:$229,CQ$4,BS!247:247)</f>
        <v>0</v>
      </c>
      <c r="CR118" s="2088">
        <f>SUMIF(BS!$229:$229,CR$4,BS!247:247)</f>
        <v>0</v>
      </c>
      <c r="CS118" s="2088">
        <f>SUMIF(BS!$229:$229,CS$4,BS!247:247)</f>
        <v>0</v>
      </c>
      <c r="CT118" s="2089">
        <f>SUMIF(BS!$229:$229,CT$4,BS!247:247)</f>
        <v>0</v>
      </c>
      <c r="CU118" s="2087">
        <f>SUMIF(BS!$229:$229,CU$4,BS!247:247)</f>
        <v>0</v>
      </c>
      <c r="CV118" s="2088">
        <f>SUMIF(BS!$229:$229,CV$4,BS!247:247)</f>
        <v>0</v>
      </c>
      <c r="CW118" s="2088">
        <f>SUMIF(BS!$229:$229,CW$4,BS!247:247)</f>
        <v>0</v>
      </c>
      <c r="CX118" s="2089">
        <f>SUMIF(BS!$229:$229,CX$4,BS!247:247)</f>
        <v>0</v>
      </c>
      <c r="CY118" s="2087">
        <f>SUMIF(BS!$229:$229,CY$4,BS!247:247)</f>
        <v>0</v>
      </c>
      <c r="CZ118" s="2088">
        <f>SUMIF(BS!$229:$229,CZ$4,BS!247:247)</f>
        <v>0</v>
      </c>
      <c r="DA118" s="2088">
        <f>SUMIF(BS!$229:$229,DA$4,BS!247:247)</f>
        <v>0</v>
      </c>
      <c r="DB118" s="2089">
        <f>SUMIF(BS!$229:$229,DB$4,BS!247:247)</f>
        <v>0</v>
      </c>
      <c r="DC118" s="2087">
        <f>SUMIF(BS!$229:$229,DC$4,BS!247:247)</f>
        <v>0</v>
      </c>
      <c r="DD118" s="2088">
        <f>SUMIF(BS!$229:$229,DD$4,BS!247:247)</f>
        <v>0</v>
      </c>
      <c r="DE118" s="2088">
        <f>SUMIF(BS!$229:$229,DE$4,BS!247:247)</f>
        <v>0</v>
      </c>
      <c r="DF118" s="2089">
        <f>SUMIF(BS!$229:$229,DF$4,BS!247:247)</f>
        <v>0</v>
      </c>
      <c r="DG118" s="2087">
        <f>SUMIF(BS!$229:$229,DG$4,BS!247:247)</f>
        <v>0</v>
      </c>
      <c r="DH118" s="2088">
        <f>SUMIF(BS!$229:$229,DH$4,BS!247:247)</f>
        <v>0</v>
      </c>
      <c r="DI118" s="2088">
        <f>SUMIF(BS!$229:$229,DI$4,BS!247:247)</f>
        <v>0</v>
      </c>
      <c r="DJ118" s="2089">
        <f>SUMIF(BS!$229:$229,DJ$4,BS!247:247)</f>
        <v>0</v>
      </c>
      <c r="DK118" s="2087">
        <f>SUMIF(BS!$229:$229,DK$4,BS!247:247)</f>
        <v>0</v>
      </c>
      <c r="DL118" s="2088">
        <f>SUMIF(BS!$229:$229,DL$4,BS!247:247)</f>
        <v>0</v>
      </c>
      <c r="DM118" s="2088">
        <f>SUMIF(BS!$229:$229,DM$4,BS!247:247)</f>
        <v>0</v>
      </c>
      <c r="DN118" s="2089">
        <f>SUMIF(BS!$229:$229,DN$4,BS!247:247)</f>
        <v>0</v>
      </c>
      <c r="DO118" s="2087">
        <f>SUMIF(BS!$229:$229,DO$4,BS!247:247)</f>
        <v>0</v>
      </c>
      <c r="DP118" s="2088">
        <f>SUMIF(BS!$229:$229,DP$4,BS!247:247)</f>
        <v>0</v>
      </c>
      <c r="DQ118" s="2088">
        <f>SUMIF(BS!$229:$229,DQ$4,BS!247:247)</f>
        <v>0</v>
      </c>
      <c r="DR118" s="2089">
        <f>SUMIF(BS!$229:$229,DR$4,BS!247:247)</f>
        <v>0</v>
      </c>
      <c r="DS118" s="2087">
        <f>SUMIF(BS!$229:$229,DS$4,BS!247:247)</f>
        <v>0</v>
      </c>
      <c r="DT118" s="2088">
        <f>SUMIF(BS!$229:$229,DT$4,BS!247:247)</f>
        <v>0</v>
      </c>
      <c r="DU118" s="2088">
        <f>SUMIF(BS!$229:$229,DU$4,BS!247:247)</f>
        <v>0</v>
      </c>
      <c r="DV118" s="2089">
        <f>SUMIF(BS!$229:$229,DV$4,BS!247:247)</f>
        <v>0</v>
      </c>
      <c r="DW118" s="2087">
        <f>SUMIF(BS!$229:$229,DW$4,BS!247:247)</f>
        <v>0</v>
      </c>
      <c r="DX118" s="2088">
        <f>SUMIF(BS!$229:$229,DX$4,BS!247:247)</f>
        <v>0</v>
      </c>
      <c r="DY118" s="2088">
        <f>SUMIF(BS!$229:$229,DY$4,BS!247:247)</f>
        <v>0</v>
      </c>
      <c r="DZ118" s="2089">
        <f>SUMIF(BS!$229:$229,DZ$4,BS!247:247)</f>
        <v>0</v>
      </c>
      <c r="EA118" s="2087">
        <f>SUMIF(BS!$229:$229,EA$4,BS!247:247)</f>
        <v>0</v>
      </c>
      <c r="EB118" s="2088">
        <f>SUMIF(BS!$229:$229,EB$4,BS!247:247)</f>
        <v>0</v>
      </c>
      <c r="EC118" s="2088">
        <f>SUMIF(BS!$229:$229,EC$4,BS!247:247)</f>
        <v>0</v>
      </c>
      <c r="ED118" s="2089">
        <f>SUMIF(BS!$229:$229,ED$4,BS!247:247)</f>
        <v>0</v>
      </c>
      <c r="EE118" s="2087">
        <f>SUMIF(BS!$229:$229,EE$4,BS!247:247)</f>
        <v>0</v>
      </c>
      <c r="EF118" s="2088">
        <f>SUMIF(BS!$229:$229,EF$4,BS!247:247)</f>
        <v>0</v>
      </c>
      <c r="EG118" s="2088">
        <f>SUMIF(BS!$229:$229,EG$4,BS!247:247)</f>
        <v>0</v>
      </c>
      <c r="EH118" s="2089">
        <f>SUMIF(BS!$229:$229,EH$4,BS!247:247)</f>
        <v>0</v>
      </c>
      <c r="EI118" s="2087">
        <f>SUMIF(BS!$229:$229,EI$4,BS!247:247)</f>
        <v>0</v>
      </c>
      <c r="EJ118" s="2088">
        <f>SUMIF(BS!$229:$229,EJ$4,BS!247:247)</f>
        <v>0</v>
      </c>
      <c r="EK118" s="2088">
        <f>SUMIF(BS!$229:$229,EK$4,BS!247:247)</f>
        <v>0</v>
      </c>
      <c r="EL118" s="2089">
        <f>SUMIF(BS!$229:$229,EL$4,BS!247:247)</f>
        <v>0</v>
      </c>
      <c r="EM118" s="2087">
        <f>SUMIF(BS!$229:$229,EM$4,BS!247:247)</f>
        <v>0</v>
      </c>
      <c r="EN118" s="2088">
        <f>SUMIF(BS!$229:$229,EN$4,BS!247:247)</f>
        <v>0</v>
      </c>
      <c r="EO118" s="2088">
        <f>SUMIF(BS!$229:$229,EO$4,BS!247:247)</f>
        <v>0</v>
      </c>
      <c r="EP118" s="2089">
        <f>SUMIF(BS!$229:$229,EP$4,BS!247:247)</f>
        <v>0</v>
      </c>
      <c r="EQ118" s="2087">
        <f>SUMIF(BS!$229:$229,EQ$4,BS!247:247)</f>
        <v>0</v>
      </c>
      <c r="ER118" s="2088">
        <f>SUMIF(BS!$229:$229,ER$4,BS!247:247)</f>
        <v>0</v>
      </c>
      <c r="ES118" s="2088">
        <f>SUMIF(BS!$229:$229,ES$4,BS!247:247)</f>
        <v>0</v>
      </c>
      <c r="ET118" s="2089">
        <f>SUMIF(BS!$229:$229,ET$4,BS!247:247)</f>
        <v>0</v>
      </c>
      <c r="EU118" s="2087">
        <f>SUMIF(BS!$229:$229,EU$4,BS!247:247)</f>
        <v>0</v>
      </c>
      <c r="EV118" s="2088">
        <f>SUMIF(BS!$229:$229,EV$4,BS!247:247)</f>
        <v>0</v>
      </c>
      <c r="EW118" s="2088">
        <f>SUMIF(BS!$229:$229,EW$4,BS!247:247)</f>
        <v>0</v>
      </c>
      <c r="EX118" s="2089">
        <f>SUMIF(BS!$229:$229,EX$4,BS!247:247)</f>
        <v>0</v>
      </c>
      <c r="EY118" s="2087">
        <f>SUMIF(BS!$229:$229,EY$4,BS!247:247)</f>
        <v>0</v>
      </c>
      <c r="EZ118" s="2088">
        <f>SUMIF(BS!$229:$229,EZ$4,BS!247:247)</f>
        <v>0</v>
      </c>
      <c r="FA118" s="2088">
        <f>SUMIF(BS!$229:$229,FA$4,BS!247:247)</f>
        <v>0</v>
      </c>
      <c r="FB118" s="2089">
        <f>SUMIF(BS!$229:$229,FB$4,BS!247:247)</f>
        <v>0</v>
      </c>
      <c r="FC118" s="2087">
        <f>SUMIF(BS!$229:$229,FC$4,BS!247:247)</f>
        <v>0</v>
      </c>
      <c r="FD118" s="2088">
        <f>SUMIF(BS!$229:$229,FD$4,BS!247:247)</f>
        <v>0</v>
      </c>
      <c r="FE118" s="2088">
        <f>SUMIF(BS!$229:$229,FE$4,BS!247:247)</f>
        <v>0</v>
      </c>
      <c r="FF118" s="2089">
        <f>SUMIF(BS!$229:$229,FF$4,BS!247:247)</f>
        <v>0</v>
      </c>
      <c r="FG118" s="2087">
        <f>SUMIF(BS!$229:$229,FG$4,BS!247:247)</f>
        <v>0</v>
      </c>
      <c r="FH118" s="2088">
        <f>SUMIF(BS!$229:$229,FH$4,BS!247:247)</f>
        <v>0</v>
      </c>
      <c r="FI118" s="2088">
        <f>SUMIF(BS!$229:$229,FI$4,BS!247:247)</f>
        <v>0</v>
      </c>
      <c r="FJ118" s="2089">
        <f>SUMIF(BS!$229:$229,FJ$4,BS!247:247)</f>
        <v>0</v>
      </c>
      <c r="FK118" s="2087">
        <f>SUMIF(BS!$229:$229,FK$4,BS!247:247)</f>
        <v>0</v>
      </c>
      <c r="FL118" s="2088">
        <f>SUMIF(BS!$229:$229,FL$4,BS!247:247)</f>
        <v>0</v>
      </c>
      <c r="FM118" s="2088">
        <f>SUMIF(BS!$229:$229,FM$4,BS!247:247)</f>
        <v>0</v>
      </c>
      <c r="FN118" s="2089">
        <f>SUMIF(BS!$229:$229,FN$4,BS!247:247)</f>
        <v>0</v>
      </c>
      <c r="FO118" s="2087">
        <f>SUMIF(BS!$229:$229,FO$4,BS!247:247)</f>
        <v>0</v>
      </c>
      <c r="FP118" s="2088">
        <f>SUMIF(BS!$229:$229,FP$4,BS!247:247)</f>
        <v>0</v>
      </c>
      <c r="FQ118" s="2088">
        <f>SUMIF(BS!$229:$229,FQ$4,BS!247:247)</f>
        <v>0</v>
      </c>
      <c r="FR118" s="2089">
        <f>SUMIF(BS!$229:$229,FR$4,BS!247:247)</f>
        <v>0</v>
      </c>
      <c r="FS118" s="2087">
        <f>SUMIF(BS!$229:$229,FS$4,BS!247:247)</f>
        <v>0</v>
      </c>
      <c r="FT118" s="2088">
        <f>SUMIF(BS!$229:$229,FT$4,BS!247:247)</f>
        <v>0</v>
      </c>
      <c r="FU118" s="2088">
        <f>SUMIF(BS!$229:$229,FU$4,BS!247:247)</f>
        <v>0</v>
      </c>
      <c r="FV118" s="2089">
        <f>SUMIF(BS!$229:$229,FV$4,BS!247:247)</f>
        <v>0</v>
      </c>
      <c r="FW118" s="2087">
        <f>SUMIF(BS!$229:$229,FW$4,BS!247:247)</f>
        <v>0</v>
      </c>
      <c r="FX118" s="2088">
        <f>SUMIF(BS!$229:$229,FX$4,BS!247:247)</f>
        <v>0</v>
      </c>
      <c r="FY118" s="2088">
        <f>SUMIF(BS!$229:$229,FY$4,BS!247:247)</f>
        <v>0</v>
      </c>
      <c r="FZ118" s="2089">
        <f>SUMIF(BS!$229:$229,FZ$4,BS!247:247)</f>
        <v>0</v>
      </c>
      <c r="GA118" s="2087">
        <f>SUMIF(BS!$229:$229,GA$4,BS!247:247)</f>
        <v>0</v>
      </c>
      <c r="GB118" s="2088">
        <f>SUMIF(BS!$229:$229,GB$4,BS!247:247)</f>
        <v>0</v>
      </c>
      <c r="GC118" s="2088">
        <f>SUMIF(BS!$229:$229,GC$4,BS!247:247)</f>
        <v>0</v>
      </c>
      <c r="GD118" s="2089">
        <f>SUMIF(BS!$229:$229,GD$4,BS!247:247)</f>
        <v>0</v>
      </c>
    </row>
    <row r="119" spans="1:186" ht="15" customHeight="1">
      <c r="B119" s="2064"/>
      <c r="C119" s="2073"/>
      <c r="E119" s="2064" t="str">
        <f>BS!E248</f>
        <v>보통주</v>
      </c>
      <c r="F119" s="877">
        <f t="shared" ca="1" si="196"/>
        <v>1107.293656772657</v>
      </c>
      <c r="G119" s="2101">
        <f>SUMIF(BS!$229:$229,G$4,BS!248:248)</f>
        <v>0</v>
      </c>
      <c r="H119" s="2102">
        <f>SUMIF(BS!$229:$229,H$4,BS!248:248)</f>
        <v>0</v>
      </c>
      <c r="I119" s="2102">
        <f>SUMIF(BS!$229:$229,I$4,BS!248:248)</f>
        <v>0</v>
      </c>
      <c r="J119" s="2103">
        <f ca="1">SUMIF(BS!$229:$229,J$4,BS!248:248)</f>
        <v>0</v>
      </c>
      <c r="K119" s="2101">
        <f>SUMIF(BS!$229:$229,K$4,BS!248:248)</f>
        <v>0</v>
      </c>
      <c r="L119" s="2102">
        <f>SUMIF(BS!$229:$229,L$4,BS!248:248)</f>
        <v>0</v>
      </c>
      <c r="M119" s="2102">
        <f>SUMIF(BS!$229:$229,M$4,BS!248:248)</f>
        <v>0</v>
      </c>
      <c r="N119" s="2103">
        <f ca="1">SUMIF(BS!$229:$229,N$4,BS!248:248)</f>
        <v>0</v>
      </c>
      <c r="O119" s="2101">
        <f>SUMIF(BS!$229:$229,O$4,BS!248:248)</f>
        <v>0</v>
      </c>
      <c r="P119" s="2102">
        <f>SUMIF(BS!$229:$229,P$4,BS!248:248)</f>
        <v>0</v>
      </c>
      <c r="Q119" s="2102">
        <f>SUMIF(BS!$229:$229,Q$4,BS!248:248)</f>
        <v>0</v>
      </c>
      <c r="R119" s="2103">
        <f ca="1">SUMIF(BS!$229:$229,R$4,BS!248:248)</f>
        <v>0</v>
      </c>
      <c r="S119" s="2101">
        <f>SUMIF(BS!$229:$229,S$4,BS!248:248)</f>
        <v>0</v>
      </c>
      <c r="T119" s="2102">
        <f>SUMIF(BS!$229:$229,T$4,BS!248:248)</f>
        <v>0</v>
      </c>
      <c r="U119" s="2102">
        <f>SUMIF(BS!$229:$229,U$4,BS!248:248)</f>
        <v>0</v>
      </c>
      <c r="V119" s="2103">
        <f ca="1">SUMIF(BS!$229:$229,V$4,BS!248:248)</f>
        <v>0</v>
      </c>
      <c r="W119" s="2101">
        <f>SUMIF(BS!$229:$229,W$4,BS!248:248)</f>
        <v>0</v>
      </c>
      <c r="X119" s="2102">
        <f>SUMIF(BS!$229:$229,X$4,BS!248:248)</f>
        <v>0</v>
      </c>
      <c r="Y119" s="2102">
        <f>SUMIF(BS!$229:$229,Y$4,BS!248:248)</f>
        <v>0</v>
      </c>
      <c r="Z119" s="2103">
        <f ca="1">SUMIF(BS!$229:$229,Z$4,BS!248:248)</f>
        <v>0</v>
      </c>
      <c r="AA119" s="2101">
        <f>SUMIF(BS!$229:$229,AA$4,BS!248:248)</f>
        <v>0</v>
      </c>
      <c r="AB119" s="2102">
        <f>SUMIF(BS!$229:$229,AB$4,BS!248:248)</f>
        <v>0</v>
      </c>
      <c r="AC119" s="2102">
        <f>SUMIF(BS!$229:$229,AC$4,BS!248:248)</f>
        <v>0</v>
      </c>
      <c r="AD119" s="2103">
        <f ca="1">SUMIF(BS!$229:$229,AD$4,BS!248:248)</f>
        <v>0</v>
      </c>
      <c r="AE119" s="2101">
        <f>SUMIF(BS!$229:$229,AE$4,BS!248:248)</f>
        <v>0</v>
      </c>
      <c r="AF119" s="2102">
        <f>SUMIF(BS!$229:$229,AF$4,BS!248:248)</f>
        <v>0</v>
      </c>
      <c r="AG119" s="2102">
        <f>SUMIF(BS!$229:$229,AG$4,BS!248:248)</f>
        <v>0</v>
      </c>
      <c r="AH119" s="2103">
        <f ca="1">SUMIF(BS!$229:$229,AH$4,BS!248:248)</f>
        <v>0</v>
      </c>
      <c r="AI119" s="2101">
        <f>SUMIF(BS!$229:$229,AI$4,BS!248:248)</f>
        <v>0</v>
      </c>
      <c r="AJ119" s="2102">
        <f>SUMIF(BS!$229:$229,AJ$4,BS!248:248)</f>
        <v>0</v>
      </c>
      <c r="AK119" s="2102">
        <f>SUMIF(BS!$229:$229,AK$4,BS!248:248)</f>
        <v>0</v>
      </c>
      <c r="AL119" s="2103">
        <f ca="1">SUMIF(BS!$229:$229,AL$4,BS!248:248)</f>
        <v>0</v>
      </c>
      <c r="AM119" s="2101">
        <f>SUMIF(BS!$229:$229,AM$4,BS!248:248)</f>
        <v>0</v>
      </c>
      <c r="AN119" s="2102">
        <f>SUMIF(BS!$229:$229,AN$4,BS!248:248)</f>
        <v>0</v>
      </c>
      <c r="AO119" s="2102">
        <f>SUMIF(BS!$229:$229,AO$4,BS!248:248)</f>
        <v>0</v>
      </c>
      <c r="AP119" s="2103">
        <f ca="1">SUMIF(BS!$229:$229,AP$4,BS!248:248)</f>
        <v>0</v>
      </c>
      <c r="AQ119" s="2101">
        <f>SUMIF(BS!$229:$229,AQ$4,BS!248:248)</f>
        <v>0</v>
      </c>
      <c r="AR119" s="2102">
        <f>SUMIF(BS!$229:$229,AR$4,BS!248:248)</f>
        <v>0</v>
      </c>
      <c r="AS119" s="2102">
        <f>SUMIF(BS!$229:$229,AS$4,BS!248:248)</f>
        <v>0</v>
      </c>
      <c r="AT119" s="2103">
        <f ca="1">SUMIF(BS!$229:$229,AT$4,BS!248:248)</f>
        <v>0</v>
      </c>
      <c r="AU119" s="2101">
        <f>SUMIF(BS!$229:$229,AU$4,BS!248:248)</f>
        <v>0</v>
      </c>
      <c r="AV119" s="2102">
        <f>SUMIF(BS!$229:$229,AV$4,BS!248:248)</f>
        <v>0</v>
      </c>
      <c r="AW119" s="2102">
        <f>SUMIF(BS!$229:$229,AW$4,BS!248:248)</f>
        <v>0</v>
      </c>
      <c r="AX119" s="2103">
        <f ca="1">SUMIF(BS!$229:$229,AX$4,BS!248:248)</f>
        <v>0</v>
      </c>
      <c r="AY119" s="2101">
        <f>SUMIF(BS!$229:$229,AY$4,BS!248:248)</f>
        <v>0</v>
      </c>
      <c r="AZ119" s="2102">
        <f>SUMIF(BS!$229:$229,AZ$4,BS!248:248)</f>
        <v>0</v>
      </c>
      <c r="BA119" s="2102">
        <f>SUMIF(BS!$229:$229,BA$4,BS!248:248)</f>
        <v>0</v>
      </c>
      <c r="BB119" s="2103">
        <f ca="1">SUMIF(BS!$229:$229,BB$4,BS!248:248)</f>
        <v>0</v>
      </c>
      <c r="BC119" s="2101">
        <f>SUMIF(BS!$229:$229,BC$4,BS!248:248)</f>
        <v>0</v>
      </c>
      <c r="BD119" s="2102">
        <f>SUMIF(BS!$229:$229,BD$4,BS!248:248)</f>
        <v>0</v>
      </c>
      <c r="BE119" s="2102">
        <f>SUMIF(BS!$229:$229,BE$4,BS!248:248)</f>
        <v>0</v>
      </c>
      <c r="BF119" s="2103">
        <f ca="1">SUMIF(BS!$229:$229,BF$4,BS!248:248)</f>
        <v>0</v>
      </c>
      <c r="BG119" s="2101">
        <f>SUMIF(BS!$229:$229,BG$4,BS!248:248)</f>
        <v>0</v>
      </c>
      <c r="BH119" s="2102">
        <f>SUMIF(BS!$229:$229,BH$4,BS!248:248)</f>
        <v>0</v>
      </c>
      <c r="BI119" s="2102">
        <f>SUMIF(BS!$229:$229,BI$4,BS!248:248)</f>
        <v>0</v>
      </c>
      <c r="BJ119" s="2103">
        <f ca="1">SUMIF(BS!$229:$229,BJ$4,BS!248:248)</f>
        <v>0</v>
      </c>
      <c r="BK119" s="2101">
        <f>SUMIF(BS!$229:$229,BK$4,BS!248:248)</f>
        <v>0</v>
      </c>
      <c r="BL119" s="2102">
        <f>SUMIF(BS!$229:$229,BL$4,BS!248:248)</f>
        <v>0</v>
      </c>
      <c r="BM119" s="2102">
        <f>SUMIF(BS!$229:$229,BM$4,BS!248:248)</f>
        <v>0</v>
      </c>
      <c r="BN119" s="2103">
        <f ca="1">SUMIF(BS!$229:$229,BN$4,BS!248:248)</f>
        <v>6.9601859712643455</v>
      </c>
      <c r="BO119" s="2101">
        <f>SUMIF(BS!$229:$229,BO$4,BS!248:248)</f>
        <v>0</v>
      </c>
      <c r="BP119" s="2102">
        <f>SUMIF(BS!$229:$229,BP$4,BS!248:248)</f>
        <v>0</v>
      </c>
      <c r="BQ119" s="2102">
        <f>SUMIF(BS!$229:$229,BQ$4,BS!248:248)</f>
        <v>0</v>
      </c>
      <c r="BR119" s="2103">
        <f ca="1">SUMIF(BS!$229:$229,BR$4,BS!248:248)</f>
        <v>21.342732529732551</v>
      </c>
      <c r="BS119" s="2101">
        <f>SUMIF(BS!$229:$229,BS$4,BS!248:248)</f>
        <v>0</v>
      </c>
      <c r="BT119" s="2102">
        <f>SUMIF(BS!$229:$229,BT$4,BS!248:248)</f>
        <v>0</v>
      </c>
      <c r="BU119" s="2102">
        <f>SUMIF(BS!$229:$229,BU$4,BS!248:248)</f>
        <v>0</v>
      </c>
      <c r="BV119" s="2103">
        <f ca="1">SUMIF(BS!$229:$229,BV$4,BS!248:248)</f>
        <v>24.911065362358926</v>
      </c>
      <c r="BW119" s="2101">
        <f>SUMIF(BS!$229:$229,BW$4,BS!248:248)</f>
        <v>0</v>
      </c>
      <c r="BX119" s="2102">
        <f>SUMIF(BS!$229:$229,BX$4,BS!248:248)</f>
        <v>0</v>
      </c>
      <c r="BY119" s="2102">
        <f>SUMIF(BS!$229:$229,BY$4,BS!248:248)</f>
        <v>0</v>
      </c>
      <c r="BZ119" s="2103">
        <f ca="1">SUMIF(BS!$229:$229,BZ$4,BS!248:248)</f>
        <v>43.839672909301257</v>
      </c>
      <c r="CA119" s="2101">
        <f>SUMIF(BS!$229:$229,CA$4,BS!248:248)</f>
        <v>0</v>
      </c>
      <c r="CB119" s="2102">
        <f>SUMIF(BS!$229:$229,CB$4,BS!248:248)</f>
        <v>0</v>
      </c>
      <c r="CC119" s="2102">
        <f>SUMIF(BS!$229:$229,CC$4,BS!248:248)</f>
        <v>0</v>
      </c>
      <c r="CD119" s="2103">
        <f ca="1">SUMIF(BS!$229:$229,CD$4,BS!248:248)</f>
        <v>45.92</v>
      </c>
      <c r="CE119" s="2101">
        <f>SUMIF(BS!$229:$229,CE$4,BS!248:248)</f>
        <v>0</v>
      </c>
      <c r="CF119" s="2102">
        <f>SUMIF(BS!$229:$229,CF$4,BS!248:248)</f>
        <v>0</v>
      </c>
      <c r="CG119" s="2102">
        <f>SUMIF(BS!$229:$229,CG$4,BS!248:248)</f>
        <v>0</v>
      </c>
      <c r="CH119" s="2103">
        <f ca="1">SUMIF(BS!$229:$229,CH$4,BS!248:248)</f>
        <v>45.92</v>
      </c>
      <c r="CI119" s="2101">
        <f>SUMIF(BS!$229:$229,CI$4,BS!248:248)</f>
        <v>0</v>
      </c>
      <c r="CJ119" s="2102">
        <f>SUMIF(BS!$229:$229,CJ$4,BS!248:248)</f>
        <v>0</v>
      </c>
      <c r="CK119" s="2102">
        <f>SUMIF(BS!$229:$229,CK$4,BS!248:248)</f>
        <v>0</v>
      </c>
      <c r="CL119" s="2103">
        <f ca="1">SUMIF(BS!$229:$229,CL$4,BS!248:248)</f>
        <v>45.92</v>
      </c>
      <c r="CM119" s="2101">
        <f>SUMIF(BS!$229:$229,CM$4,BS!248:248)</f>
        <v>0</v>
      </c>
      <c r="CN119" s="2102">
        <f>SUMIF(BS!$229:$229,CN$4,BS!248:248)</f>
        <v>0</v>
      </c>
      <c r="CO119" s="2102">
        <f>SUMIF(BS!$229:$229,CO$4,BS!248:248)</f>
        <v>0</v>
      </c>
      <c r="CP119" s="2103">
        <f ca="1">SUMIF(BS!$229:$229,CP$4,BS!248:248)</f>
        <v>45.92</v>
      </c>
      <c r="CQ119" s="2101">
        <f>SUMIF(BS!$229:$229,CQ$4,BS!248:248)</f>
        <v>0</v>
      </c>
      <c r="CR119" s="2102">
        <f>SUMIF(BS!$229:$229,CR$4,BS!248:248)</f>
        <v>0</v>
      </c>
      <c r="CS119" s="2102">
        <f>SUMIF(BS!$229:$229,CS$4,BS!248:248)</f>
        <v>0</v>
      </c>
      <c r="CT119" s="2103">
        <f ca="1">SUMIF(BS!$229:$229,CT$4,BS!248:248)</f>
        <v>45.92</v>
      </c>
      <c r="CU119" s="2101">
        <f>SUMIF(BS!$229:$229,CU$4,BS!248:248)</f>
        <v>0</v>
      </c>
      <c r="CV119" s="2102">
        <f>SUMIF(BS!$229:$229,CV$4,BS!248:248)</f>
        <v>0</v>
      </c>
      <c r="CW119" s="2102">
        <f>SUMIF(BS!$229:$229,CW$4,BS!248:248)</f>
        <v>0</v>
      </c>
      <c r="CX119" s="2103">
        <f ca="1">SUMIF(BS!$229:$229,CX$4,BS!248:248)</f>
        <v>45.92</v>
      </c>
      <c r="CY119" s="2101">
        <f>SUMIF(BS!$229:$229,CY$4,BS!248:248)</f>
        <v>0</v>
      </c>
      <c r="CZ119" s="2102">
        <f>SUMIF(BS!$229:$229,CZ$4,BS!248:248)</f>
        <v>0</v>
      </c>
      <c r="DA119" s="2102">
        <f>SUMIF(BS!$229:$229,DA$4,BS!248:248)</f>
        <v>0</v>
      </c>
      <c r="DB119" s="2103">
        <f ca="1">SUMIF(BS!$229:$229,DB$4,BS!248:248)</f>
        <v>45.92</v>
      </c>
      <c r="DC119" s="2101">
        <f>SUMIF(BS!$229:$229,DC$4,BS!248:248)</f>
        <v>0</v>
      </c>
      <c r="DD119" s="2102">
        <f>SUMIF(BS!$229:$229,DD$4,BS!248:248)</f>
        <v>0</v>
      </c>
      <c r="DE119" s="2102">
        <f>SUMIF(BS!$229:$229,DE$4,BS!248:248)</f>
        <v>0</v>
      </c>
      <c r="DF119" s="2103">
        <f ca="1">SUMIF(BS!$229:$229,DF$4,BS!248:248)</f>
        <v>45.92</v>
      </c>
      <c r="DG119" s="2101">
        <f>SUMIF(BS!$229:$229,DG$4,BS!248:248)</f>
        <v>0</v>
      </c>
      <c r="DH119" s="2102">
        <f>SUMIF(BS!$229:$229,DH$4,BS!248:248)</f>
        <v>0</v>
      </c>
      <c r="DI119" s="2102">
        <f>SUMIF(BS!$229:$229,DI$4,BS!248:248)</f>
        <v>0</v>
      </c>
      <c r="DJ119" s="2103">
        <f ca="1">SUMIF(BS!$229:$229,DJ$4,BS!248:248)</f>
        <v>45.92</v>
      </c>
      <c r="DK119" s="2101">
        <f>SUMIF(BS!$229:$229,DK$4,BS!248:248)</f>
        <v>0</v>
      </c>
      <c r="DL119" s="2102">
        <f>SUMIF(BS!$229:$229,DL$4,BS!248:248)</f>
        <v>0</v>
      </c>
      <c r="DM119" s="2102">
        <f>SUMIF(BS!$229:$229,DM$4,BS!248:248)</f>
        <v>0</v>
      </c>
      <c r="DN119" s="2103">
        <f ca="1">SUMIF(BS!$229:$229,DN$4,BS!248:248)</f>
        <v>45.92</v>
      </c>
      <c r="DO119" s="2101">
        <f>SUMIF(BS!$229:$229,DO$4,BS!248:248)</f>
        <v>0</v>
      </c>
      <c r="DP119" s="2102">
        <f>SUMIF(BS!$229:$229,DP$4,BS!248:248)</f>
        <v>0</v>
      </c>
      <c r="DQ119" s="2102">
        <f>SUMIF(BS!$229:$229,DQ$4,BS!248:248)</f>
        <v>0</v>
      </c>
      <c r="DR119" s="2103">
        <f ca="1">SUMIF(BS!$229:$229,DR$4,BS!248:248)</f>
        <v>45.92</v>
      </c>
      <c r="DS119" s="2101">
        <f>SUMIF(BS!$229:$229,DS$4,BS!248:248)</f>
        <v>0</v>
      </c>
      <c r="DT119" s="2102">
        <f>SUMIF(BS!$229:$229,DT$4,BS!248:248)</f>
        <v>0</v>
      </c>
      <c r="DU119" s="2102">
        <f>SUMIF(BS!$229:$229,DU$4,BS!248:248)</f>
        <v>0</v>
      </c>
      <c r="DV119" s="2103">
        <f ca="1">SUMIF(BS!$229:$229,DV$4,BS!248:248)</f>
        <v>45.92</v>
      </c>
      <c r="DW119" s="2101">
        <f>SUMIF(BS!$229:$229,DW$4,BS!248:248)</f>
        <v>0</v>
      </c>
      <c r="DX119" s="2102">
        <f>SUMIF(BS!$229:$229,DX$4,BS!248:248)</f>
        <v>0</v>
      </c>
      <c r="DY119" s="2102">
        <f>SUMIF(BS!$229:$229,DY$4,BS!248:248)</f>
        <v>0</v>
      </c>
      <c r="DZ119" s="2103">
        <f ca="1">SUMIF(BS!$229:$229,DZ$4,BS!248:248)</f>
        <v>45.92</v>
      </c>
      <c r="EA119" s="2101">
        <f>SUMIF(BS!$229:$229,EA$4,BS!248:248)</f>
        <v>0</v>
      </c>
      <c r="EB119" s="2102">
        <f>SUMIF(BS!$229:$229,EB$4,BS!248:248)</f>
        <v>0</v>
      </c>
      <c r="EC119" s="2102">
        <f>SUMIF(BS!$229:$229,EC$4,BS!248:248)</f>
        <v>0</v>
      </c>
      <c r="ED119" s="2103">
        <f ca="1">SUMIF(BS!$229:$229,ED$4,BS!248:248)</f>
        <v>45.92</v>
      </c>
      <c r="EE119" s="2101">
        <f>SUMIF(BS!$229:$229,EE$4,BS!248:248)</f>
        <v>0</v>
      </c>
      <c r="EF119" s="2102">
        <f>SUMIF(BS!$229:$229,EF$4,BS!248:248)</f>
        <v>0</v>
      </c>
      <c r="EG119" s="2102">
        <f>SUMIF(BS!$229:$229,EG$4,BS!248:248)</f>
        <v>0</v>
      </c>
      <c r="EH119" s="2103">
        <f ca="1">SUMIF(BS!$229:$229,EH$4,BS!248:248)</f>
        <v>45.92</v>
      </c>
      <c r="EI119" s="2101">
        <f>SUMIF(BS!$229:$229,EI$4,BS!248:248)</f>
        <v>0</v>
      </c>
      <c r="EJ119" s="2102">
        <f>SUMIF(BS!$229:$229,EJ$4,BS!248:248)</f>
        <v>0</v>
      </c>
      <c r="EK119" s="2102">
        <f>SUMIF(BS!$229:$229,EK$4,BS!248:248)</f>
        <v>0</v>
      </c>
      <c r="EL119" s="2103">
        <f ca="1">SUMIF(BS!$229:$229,EL$4,BS!248:248)</f>
        <v>45.92</v>
      </c>
      <c r="EM119" s="2101">
        <f>SUMIF(BS!$229:$229,EM$4,BS!248:248)</f>
        <v>0</v>
      </c>
      <c r="EN119" s="2102">
        <f>SUMIF(BS!$229:$229,EN$4,BS!248:248)</f>
        <v>0</v>
      </c>
      <c r="EO119" s="2102">
        <f>SUMIF(BS!$229:$229,EO$4,BS!248:248)</f>
        <v>0</v>
      </c>
      <c r="EP119" s="2103">
        <f ca="1">SUMIF(BS!$229:$229,EP$4,BS!248:248)</f>
        <v>45.92</v>
      </c>
      <c r="EQ119" s="2101">
        <f>SUMIF(BS!$229:$229,EQ$4,BS!248:248)</f>
        <v>0</v>
      </c>
      <c r="ER119" s="2102">
        <f>SUMIF(BS!$229:$229,ER$4,BS!248:248)</f>
        <v>0</v>
      </c>
      <c r="ES119" s="2102">
        <f>SUMIF(BS!$229:$229,ES$4,BS!248:248)</f>
        <v>0</v>
      </c>
      <c r="ET119" s="2103">
        <f ca="1">SUMIF(BS!$229:$229,ET$4,BS!248:248)</f>
        <v>45.92</v>
      </c>
      <c r="EU119" s="2101">
        <f>SUMIF(BS!$229:$229,EU$4,BS!248:248)</f>
        <v>0</v>
      </c>
      <c r="EV119" s="2102">
        <f>SUMIF(BS!$229:$229,EV$4,BS!248:248)</f>
        <v>0</v>
      </c>
      <c r="EW119" s="2102">
        <f>SUMIF(BS!$229:$229,EW$4,BS!248:248)</f>
        <v>0</v>
      </c>
      <c r="EX119" s="2103">
        <f ca="1">SUMIF(BS!$229:$229,EX$4,BS!248:248)</f>
        <v>45.92</v>
      </c>
      <c r="EY119" s="2101">
        <f>SUMIF(BS!$229:$229,EY$4,BS!248:248)</f>
        <v>0</v>
      </c>
      <c r="EZ119" s="2102">
        <f>SUMIF(BS!$229:$229,EZ$4,BS!248:248)</f>
        <v>0</v>
      </c>
      <c r="FA119" s="2102">
        <f>SUMIF(BS!$229:$229,FA$4,BS!248:248)</f>
        <v>0</v>
      </c>
      <c r="FB119" s="2103">
        <f ca="1">SUMIF(BS!$229:$229,FB$4,BS!248:248)</f>
        <v>45.92</v>
      </c>
      <c r="FC119" s="2101">
        <f>SUMIF(BS!$229:$229,FC$4,BS!248:248)</f>
        <v>0</v>
      </c>
      <c r="FD119" s="2102">
        <f>SUMIF(BS!$229:$229,FD$4,BS!248:248)</f>
        <v>0</v>
      </c>
      <c r="FE119" s="2102">
        <f>SUMIF(BS!$229:$229,FE$4,BS!248:248)</f>
        <v>0</v>
      </c>
      <c r="FF119" s="2103">
        <f ca="1">SUMIF(BS!$229:$229,FF$4,BS!248:248)</f>
        <v>45.92</v>
      </c>
      <c r="FG119" s="2101">
        <f>SUMIF(BS!$229:$229,FG$4,BS!248:248)</f>
        <v>0</v>
      </c>
      <c r="FH119" s="2102">
        <f>SUMIF(BS!$229:$229,FH$4,BS!248:248)</f>
        <v>0</v>
      </c>
      <c r="FI119" s="2102">
        <f>SUMIF(BS!$229:$229,FI$4,BS!248:248)</f>
        <v>0</v>
      </c>
      <c r="FJ119" s="2103">
        <f ca="1">SUMIF(BS!$229:$229,FJ$4,BS!248:248)</f>
        <v>45.92</v>
      </c>
      <c r="FK119" s="2101">
        <f>SUMIF(BS!$229:$229,FK$4,BS!248:248)</f>
        <v>0</v>
      </c>
      <c r="FL119" s="2102">
        <f>SUMIF(BS!$229:$229,FL$4,BS!248:248)</f>
        <v>0</v>
      </c>
      <c r="FM119" s="2102">
        <f>SUMIF(BS!$229:$229,FM$4,BS!248:248)</f>
        <v>0</v>
      </c>
      <c r="FN119" s="2103">
        <f ca="1">SUMIF(BS!$229:$229,FN$4,BS!248:248)</f>
        <v>0</v>
      </c>
      <c r="FO119" s="2101">
        <f>SUMIF(BS!$229:$229,FO$4,BS!248:248)</f>
        <v>0</v>
      </c>
      <c r="FP119" s="2102">
        <f>SUMIF(BS!$229:$229,FP$4,BS!248:248)</f>
        <v>0</v>
      </c>
      <c r="FQ119" s="2102">
        <f>SUMIF(BS!$229:$229,FQ$4,BS!248:248)</f>
        <v>0</v>
      </c>
      <c r="FR119" s="2103">
        <f ca="1">SUMIF(BS!$229:$229,FR$4,BS!248:248)</f>
        <v>0</v>
      </c>
      <c r="FS119" s="2101">
        <f>SUMIF(BS!$229:$229,FS$4,BS!248:248)</f>
        <v>0</v>
      </c>
      <c r="FT119" s="2102">
        <f>SUMIF(BS!$229:$229,FT$4,BS!248:248)</f>
        <v>0</v>
      </c>
      <c r="FU119" s="2102">
        <f>SUMIF(BS!$229:$229,FU$4,BS!248:248)</f>
        <v>0</v>
      </c>
      <c r="FV119" s="2103">
        <f ca="1">SUMIF(BS!$229:$229,FV$4,BS!248:248)</f>
        <v>0</v>
      </c>
      <c r="FW119" s="2101">
        <f>SUMIF(BS!$229:$229,FW$4,BS!248:248)</f>
        <v>0</v>
      </c>
      <c r="FX119" s="2102">
        <f>SUMIF(BS!$229:$229,FX$4,BS!248:248)</f>
        <v>0</v>
      </c>
      <c r="FY119" s="2102">
        <f>SUMIF(BS!$229:$229,FY$4,BS!248:248)</f>
        <v>0</v>
      </c>
      <c r="FZ119" s="2103">
        <f ca="1">SUMIF(BS!$229:$229,FZ$4,BS!248:248)</f>
        <v>0</v>
      </c>
      <c r="GA119" s="2101">
        <f>SUMIF(BS!$229:$229,GA$4,BS!248:248)</f>
        <v>0</v>
      </c>
      <c r="GB119" s="2102">
        <f>SUMIF(BS!$229:$229,GB$4,BS!248:248)</f>
        <v>0</v>
      </c>
      <c r="GC119" s="2102">
        <f>SUMIF(BS!$229:$229,GC$4,BS!248:248)</f>
        <v>0</v>
      </c>
      <c r="GD119" s="2103">
        <f ca="1">SUMIF(BS!$229:$229,GD$4,BS!248:248)</f>
        <v>0</v>
      </c>
    </row>
    <row r="120" spans="1:186" ht="15" customHeight="1">
      <c r="B120" s="2064"/>
      <c r="C120" s="2073" t="str">
        <f>BS!D249</f>
        <v>참여배당</v>
      </c>
      <c r="E120" s="2064" t="str">
        <f>BS!E249</f>
        <v>우선주</v>
      </c>
      <c r="F120" s="877">
        <f t="shared" ca="1" si="196"/>
        <v>96.088242635046427</v>
      </c>
      <c r="G120" s="2101">
        <f>SUMIF(BS!$229:$229,G$4,BS!249:249)</f>
        <v>0</v>
      </c>
      <c r="H120" s="2102">
        <f>SUMIF(BS!$229:$229,H$4,BS!249:249)</f>
        <v>0</v>
      </c>
      <c r="I120" s="2102">
        <f>SUMIF(BS!$229:$229,I$4,BS!249:249)</f>
        <v>0</v>
      </c>
      <c r="J120" s="2103">
        <f ca="1">SUMIF(BS!$229:$229,J$4,BS!249:249)</f>
        <v>0</v>
      </c>
      <c r="K120" s="2101">
        <f>SUMIF(BS!$229:$229,K$4,BS!249:249)</f>
        <v>0</v>
      </c>
      <c r="L120" s="2102">
        <f>SUMIF(BS!$229:$229,L$4,BS!249:249)</f>
        <v>0</v>
      </c>
      <c r="M120" s="2102">
        <f>SUMIF(BS!$229:$229,M$4,BS!249:249)</f>
        <v>0</v>
      </c>
      <c r="N120" s="2103">
        <f ca="1">SUMIF(BS!$229:$229,N$4,BS!249:249)</f>
        <v>0</v>
      </c>
      <c r="O120" s="2101">
        <f>SUMIF(BS!$229:$229,O$4,BS!249:249)</f>
        <v>0</v>
      </c>
      <c r="P120" s="2102">
        <f>SUMIF(BS!$229:$229,P$4,BS!249:249)</f>
        <v>0</v>
      </c>
      <c r="Q120" s="2102">
        <f>SUMIF(BS!$229:$229,Q$4,BS!249:249)</f>
        <v>0</v>
      </c>
      <c r="R120" s="2103">
        <f ca="1">SUMIF(BS!$229:$229,R$4,BS!249:249)</f>
        <v>0</v>
      </c>
      <c r="S120" s="2101">
        <f>SUMIF(BS!$229:$229,S$4,BS!249:249)</f>
        <v>0</v>
      </c>
      <c r="T120" s="2102">
        <f>SUMIF(BS!$229:$229,T$4,BS!249:249)</f>
        <v>0</v>
      </c>
      <c r="U120" s="2102">
        <f>SUMIF(BS!$229:$229,U$4,BS!249:249)</f>
        <v>0</v>
      </c>
      <c r="V120" s="2103">
        <f ca="1">SUMIF(BS!$229:$229,V$4,BS!249:249)</f>
        <v>0</v>
      </c>
      <c r="W120" s="2101">
        <f>SUMIF(BS!$229:$229,W$4,BS!249:249)</f>
        <v>0</v>
      </c>
      <c r="X120" s="2102">
        <f>SUMIF(BS!$229:$229,X$4,BS!249:249)</f>
        <v>0</v>
      </c>
      <c r="Y120" s="2102">
        <f>SUMIF(BS!$229:$229,Y$4,BS!249:249)</f>
        <v>0</v>
      </c>
      <c r="Z120" s="2103">
        <f ca="1">SUMIF(BS!$229:$229,Z$4,BS!249:249)</f>
        <v>0</v>
      </c>
      <c r="AA120" s="2101">
        <f>SUMIF(BS!$229:$229,AA$4,BS!249:249)</f>
        <v>0</v>
      </c>
      <c r="AB120" s="2102">
        <f>SUMIF(BS!$229:$229,AB$4,BS!249:249)</f>
        <v>0</v>
      </c>
      <c r="AC120" s="2102">
        <f>SUMIF(BS!$229:$229,AC$4,BS!249:249)</f>
        <v>0</v>
      </c>
      <c r="AD120" s="2103">
        <f ca="1">SUMIF(BS!$229:$229,AD$4,BS!249:249)</f>
        <v>0</v>
      </c>
      <c r="AE120" s="2101">
        <f>SUMIF(BS!$229:$229,AE$4,BS!249:249)</f>
        <v>0</v>
      </c>
      <c r="AF120" s="2102">
        <f>SUMIF(BS!$229:$229,AF$4,BS!249:249)</f>
        <v>0</v>
      </c>
      <c r="AG120" s="2102">
        <f>SUMIF(BS!$229:$229,AG$4,BS!249:249)</f>
        <v>0</v>
      </c>
      <c r="AH120" s="2103">
        <f ca="1">SUMIF(BS!$229:$229,AH$4,BS!249:249)</f>
        <v>0</v>
      </c>
      <c r="AI120" s="2101">
        <f>SUMIF(BS!$229:$229,AI$4,BS!249:249)</f>
        <v>0</v>
      </c>
      <c r="AJ120" s="2102">
        <f>SUMIF(BS!$229:$229,AJ$4,BS!249:249)</f>
        <v>0</v>
      </c>
      <c r="AK120" s="2102">
        <f>SUMIF(BS!$229:$229,AK$4,BS!249:249)</f>
        <v>0</v>
      </c>
      <c r="AL120" s="2103">
        <f ca="1">SUMIF(BS!$229:$229,AL$4,BS!249:249)</f>
        <v>0</v>
      </c>
      <c r="AM120" s="2101">
        <f>SUMIF(BS!$229:$229,AM$4,BS!249:249)</f>
        <v>0</v>
      </c>
      <c r="AN120" s="2102">
        <f>SUMIF(BS!$229:$229,AN$4,BS!249:249)</f>
        <v>0</v>
      </c>
      <c r="AO120" s="2102">
        <f>SUMIF(BS!$229:$229,AO$4,BS!249:249)</f>
        <v>0</v>
      </c>
      <c r="AP120" s="2103">
        <f ca="1">SUMIF(BS!$229:$229,AP$4,BS!249:249)</f>
        <v>0</v>
      </c>
      <c r="AQ120" s="2101">
        <f>SUMIF(BS!$229:$229,AQ$4,BS!249:249)</f>
        <v>0</v>
      </c>
      <c r="AR120" s="2102">
        <f>SUMIF(BS!$229:$229,AR$4,BS!249:249)</f>
        <v>0</v>
      </c>
      <c r="AS120" s="2102">
        <f>SUMIF(BS!$229:$229,AS$4,BS!249:249)</f>
        <v>0</v>
      </c>
      <c r="AT120" s="2103">
        <f ca="1">SUMIF(BS!$229:$229,AT$4,BS!249:249)</f>
        <v>0</v>
      </c>
      <c r="AU120" s="2101">
        <f>SUMIF(BS!$229:$229,AU$4,BS!249:249)</f>
        <v>0</v>
      </c>
      <c r="AV120" s="2102">
        <f>SUMIF(BS!$229:$229,AV$4,BS!249:249)</f>
        <v>0</v>
      </c>
      <c r="AW120" s="2102">
        <f>SUMIF(BS!$229:$229,AW$4,BS!249:249)</f>
        <v>0</v>
      </c>
      <c r="AX120" s="2103">
        <f ca="1">SUMIF(BS!$229:$229,AX$4,BS!249:249)</f>
        <v>0</v>
      </c>
      <c r="AY120" s="2101">
        <f>SUMIF(BS!$229:$229,AY$4,BS!249:249)</f>
        <v>0</v>
      </c>
      <c r="AZ120" s="2102">
        <f>SUMIF(BS!$229:$229,AZ$4,BS!249:249)</f>
        <v>0</v>
      </c>
      <c r="BA120" s="2102">
        <f>SUMIF(BS!$229:$229,BA$4,BS!249:249)</f>
        <v>0</v>
      </c>
      <c r="BB120" s="2103">
        <f ca="1">SUMIF(BS!$229:$229,BB$4,BS!249:249)</f>
        <v>0</v>
      </c>
      <c r="BC120" s="2101">
        <f>SUMIF(BS!$229:$229,BC$4,BS!249:249)</f>
        <v>0</v>
      </c>
      <c r="BD120" s="2102">
        <f>SUMIF(BS!$229:$229,BD$4,BS!249:249)</f>
        <v>0</v>
      </c>
      <c r="BE120" s="2102">
        <f>SUMIF(BS!$229:$229,BE$4,BS!249:249)</f>
        <v>0</v>
      </c>
      <c r="BF120" s="2103">
        <f ca="1">SUMIF(BS!$229:$229,BF$4,BS!249:249)</f>
        <v>0</v>
      </c>
      <c r="BG120" s="2101">
        <f>SUMIF(BS!$229:$229,BG$4,BS!249:249)</f>
        <v>0</v>
      </c>
      <c r="BH120" s="2102">
        <f>SUMIF(BS!$229:$229,BH$4,BS!249:249)</f>
        <v>0</v>
      </c>
      <c r="BI120" s="2102">
        <f>SUMIF(BS!$229:$229,BI$4,BS!249:249)</f>
        <v>0</v>
      </c>
      <c r="BJ120" s="2103">
        <f ca="1">SUMIF(BS!$229:$229,BJ$4,BS!249:249)</f>
        <v>0</v>
      </c>
      <c r="BK120" s="2101">
        <f>SUMIF(BS!$229:$229,BK$4,BS!249:249)</f>
        <v>0</v>
      </c>
      <c r="BL120" s="2102">
        <f>SUMIF(BS!$229:$229,BL$4,BS!249:249)</f>
        <v>0</v>
      </c>
      <c r="BM120" s="2102">
        <f>SUMIF(BS!$229:$229,BM$4,BS!249:249)</f>
        <v>0</v>
      </c>
      <c r="BN120" s="2103">
        <f ca="1">SUMIF(BS!$229:$229,BN$4,BS!249:249)</f>
        <v>0</v>
      </c>
      <c r="BO120" s="2101">
        <f>SUMIF(BS!$229:$229,BO$4,BS!249:249)</f>
        <v>0</v>
      </c>
      <c r="BP120" s="2102">
        <f>SUMIF(BS!$229:$229,BP$4,BS!249:249)</f>
        <v>0</v>
      </c>
      <c r="BQ120" s="2102">
        <f>SUMIF(BS!$229:$229,BQ$4,BS!249:249)</f>
        <v>0</v>
      </c>
      <c r="BR120" s="2103">
        <f ca="1">SUMIF(BS!$229:$229,BR$4,BS!249:249)</f>
        <v>0</v>
      </c>
      <c r="BS120" s="2101">
        <f>SUMIF(BS!$229:$229,BS$4,BS!249:249)</f>
        <v>0</v>
      </c>
      <c r="BT120" s="2102">
        <f>SUMIF(BS!$229:$229,BT$4,BS!249:249)</f>
        <v>0</v>
      </c>
      <c r="BU120" s="2102">
        <f>SUMIF(BS!$229:$229,BU$4,BS!249:249)</f>
        <v>0</v>
      </c>
      <c r="BV120" s="2103">
        <f ca="1">SUMIF(BS!$229:$229,BV$4,BS!249:249)</f>
        <v>0</v>
      </c>
      <c r="BW120" s="2101">
        <f>SUMIF(BS!$229:$229,BW$4,BS!249:249)</f>
        <v>0</v>
      </c>
      <c r="BX120" s="2102">
        <f>SUMIF(BS!$229:$229,BX$4,BS!249:249)</f>
        <v>0</v>
      </c>
      <c r="BY120" s="2102">
        <f>SUMIF(BS!$229:$229,BY$4,BS!249:249)</f>
        <v>0</v>
      </c>
      <c r="BZ120" s="2103">
        <f ca="1">SUMIF(BS!$229:$229,BZ$4,BS!249:249)</f>
        <v>0</v>
      </c>
      <c r="CA120" s="2101">
        <f>SUMIF(BS!$229:$229,CA$4,BS!249:249)</f>
        <v>0</v>
      </c>
      <c r="CB120" s="2102">
        <f>SUMIF(BS!$229:$229,CB$4,BS!249:249)</f>
        <v>0</v>
      </c>
      <c r="CC120" s="2102">
        <f>SUMIF(BS!$229:$229,CC$4,BS!249:249)</f>
        <v>0</v>
      </c>
      <c r="CD120" s="2103">
        <f ca="1">SUMIF(BS!$229:$229,CD$4,BS!249:249)</f>
        <v>0.40740261143021655</v>
      </c>
      <c r="CE120" s="2101">
        <f>SUMIF(BS!$229:$229,CE$4,BS!249:249)</f>
        <v>0</v>
      </c>
      <c r="CF120" s="2102">
        <f>SUMIF(BS!$229:$229,CF$4,BS!249:249)</f>
        <v>0</v>
      </c>
      <c r="CG120" s="2102">
        <f>SUMIF(BS!$229:$229,CG$4,BS!249:249)</f>
        <v>0</v>
      </c>
      <c r="CH120" s="2103">
        <f ca="1">SUMIF(BS!$229:$229,CH$4,BS!249:249)</f>
        <v>2.5771436711525983</v>
      </c>
      <c r="CI120" s="2101">
        <f>SUMIF(BS!$229:$229,CI$4,BS!249:249)</f>
        <v>0</v>
      </c>
      <c r="CJ120" s="2102">
        <f>SUMIF(BS!$229:$229,CJ$4,BS!249:249)</f>
        <v>0</v>
      </c>
      <c r="CK120" s="2102">
        <f>SUMIF(BS!$229:$229,CK$4,BS!249:249)</f>
        <v>0</v>
      </c>
      <c r="CL120" s="2103">
        <f ca="1">SUMIF(BS!$229:$229,CL$4,BS!249:249)</f>
        <v>2.9598094628118741</v>
      </c>
      <c r="CM120" s="2101">
        <f>SUMIF(BS!$229:$229,CM$4,BS!249:249)</f>
        <v>0</v>
      </c>
      <c r="CN120" s="2102">
        <f>SUMIF(BS!$229:$229,CN$4,BS!249:249)</f>
        <v>0</v>
      </c>
      <c r="CO120" s="2102">
        <f>SUMIF(BS!$229:$229,CO$4,BS!249:249)</f>
        <v>0</v>
      </c>
      <c r="CP120" s="2103">
        <f ca="1">SUMIF(BS!$229:$229,CP$4,BS!249:249)</f>
        <v>4.802516810927294</v>
      </c>
      <c r="CQ120" s="2101">
        <f>SUMIF(BS!$229:$229,CQ$4,BS!249:249)</f>
        <v>0</v>
      </c>
      <c r="CR120" s="2102">
        <f>SUMIF(BS!$229:$229,CR$4,BS!249:249)</f>
        <v>0</v>
      </c>
      <c r="CS120" s="2102">
        <f>SUMIF(BS!$229:$229,CS$4,BS!249:249)</f>
        <v>0</v>
      </c>
      <c r="CT120" s="2103">
        <f ca="1">SUMIF(BS!$229:$229,CT$4,BS!249:249)</f>
        <v>5.2495719118061084</v>
      </c>
      <c r="CU120" s="2101">
        <f>SUMIF(BS!$229:$229,CU$4,BS!249:249)</f>
        <v>0</v>
      </c>
      <c r="CV120" s="2102">
        <f>SUMIF(BS!$229:$229,CV$4,BS!249:249)</f>
        <v>0</v>
      </c>
      <c r="CW120" s="2102">
        <f>SUMIF(BS!$229:$229,CW$4,BS!249:249)</f>
        <v>0</v>
      </c>
      <c r="CX120" s="2103">
        <f ca="1">SUMIF(BS!$229:$229,CX$4,BS!249:249)</f>
        <v>4.7584521421820334</v>
      </c>
      <c r="CY120" s="2101">
        <f>SUMIF(BS!$229:$229,CY$4,BS!249:249)</f>
        <v>0</v>
      </c>
      <c r="CZ120" s="2102">
        <f>SUMIF(BS!$229:$229,CZ$4,BS!249:249)</f>
        <v>0</v>
      </c>
      <c r="DA120" s="2102">
        <f>SUMIF(BS!$229:$229,DA$4,BS!249:249)</f>
        <v>0</v>
      </c>
      <c r="DB120" s="2103">
        <f ca="1">SUMIF(BS!$229:$229,DB$4,BS!249:249)</f>
        <v>7.445017012168182</v>
      </c>
      <c r="DC120" s="2101">
        <f>SUMIF(BS!$229:$229,DC$4,BS!249:249)</f>
        <v>0</v>
      </c>
      <c r="DD120" s="2102">
        <f>SUMIF(BS!$229:$229,DD$4,BS!249:249)</f>
        <v>0</v>
      </c>
      <c r="DE120" s="2102">
        <f>SUMIF(BS!$229:$229,DE$4,BS!249:249)</f>
        <v>0</v>
      </c>
      <c r="DF120" s="2103">
        <f ca="1">SUMIF(BS!$229:$229,DF$4,BS!249:249)</f>
        <v>8.4156393656894615</v>
      </c>
      <c r="DG120" s="2101">
        <f>SUMIF(BS!$229:$229,DG$4,BS!249:249)</f>
        <v>0</v>
      </c>
      <c r="DH120" s="2102">
        <f>SUMIF(BS!$229:$229,DH$4,BS!249:249)</f>
        <v>0</v>
      </c>
      <c r="DI120" s="2102">
        <f>SUMIF(BS!$229:$229,DI$4,BS!249:249)</f>
        <v>0</v>
      </c>
      <c r="DJ120" s="2103">
        <f ca="1">SUMIF(BS!$229:$229,DJ$4,BS!249:249)</f>
        <v>7.8808491929592748</v>
      </c>
      <c r="DK120" s="2101">
        <f>SUMIF(BS!$229:$229,DK$4,BS!249:249)</f>
        <v>0</v>
      </c>
      <c r="DL120" s="2102">
        <f>SUMIF(BS!$229:$229,DL$4,BS!249:249)</f>
        <v>0</v>
      </c>
      <c r="DM120" s="2102">
        <f>SUMIF(BS!$229:$229,DM$4,BS!249:249)</f>
        <v>0</v>
      </c>
      <c r="DN120" s="2103">
        <f ca="1">SUMIF(BS!$229:$229,DN$4,BS!249:249)</f>
        <v>6.171947062475958</v>
      </c>
      <c r="DO120" s="2101">
        <f>SUMIF(BS!$229:$229,DO$4,BS!249:249)</f>
        <v>0</v>
      </c>
      <c r="DP120" s="2102">
        <f>SUMIF(BS!$229:$229,DP$4,BS!249:249)</f>
        <v>0</v>
      </c>
      <c r="DQ120" s="2102">
        <f>SUMIF(BS!$229:$229,DQ$4,BS!249:249)</f>
        <v>0</v>
      </c>
      <c r="DR120" s="2103">
        <f ca="1">SUMIF(BS!$229:$229,DR$4,BS!249:249)</f>
        <v>1.1383411710463587</v>
      </c>
      <c r="DS120" s="2101">
        <f>SUMIF(BS!$229:$229,DS$4,BS!249:249)</f>
        <v>0</v>
      </c>
      <c r="DT120" s="2102">
        <f>SUMIF(BS!$229:$229,DT$4,BS!249:249)</f>
        <v>0</v>
      </c>
      <c r="DU120" s="2102">
        <f>SUMIF(BS!$229:$229,DU$4,BS!249:249)</f>
        <v>0</v>
      </c>
      <c r="DV120" s="2103">
        <f ca="1">SUMIF(BS!$229:$229,DV$4,BS!249:249)</f>
        <v>2.421784760399607</v>
      </c>
      <c r="DW120" s="2101">
        <f>SUMIF(BS!$229:$229,DW$4,BS!249:249)</f>
        <v>0</v>
      </c>
      <c r="DX120" s="2102">
        <f>SUMIF(BS!$229:$229,DX$4,BS!249:249)</f>
        <v>0</v>
      </c>
      <c r="DY120" s="2102">
        <f>SUMIF(BS!$229:$229,DY$4,BS!249:249)</f>
        <v>0</v>
      </c>
      <c r="DZ120" s="2103">
        <f ca="1">SUMIF(BS!$229:$229,DZ$4,BS!249:249)</f>
        <v>1.3272474335595705</v>
      </c>
      <c r="EA120" s="2101">
        <f>SUMIF(BS!$229:$229,EA$4,BS!249:249)</f>
        <v>0</v>
      </c>
      <c r="EB120" s="2102">
        <f>SUMIF(BS!$229:$229,EB$4,BS!249:249)</f>
        <v>0</v>
      </c>
      <c r="EC120" s="2102">
        <f>SUMIF(BS!$229:$229,EC$4,BS!249:249)</f>
        <v>0</v>
      </c>
      <c r="ED120" s="2103">
        <f ca="1">SUMIF(BS!$229:$229,ED$4,BS!249:249)</f>
        <v>2.1157130144644984</v>
      </c>
      <c r="EE120" s="2101">
        <f>SUMIF(BS!$229:$229,EE$4,BS!249:249)</f>
        <v>0</v>
      </c>
      <c r="EF120" s="2102">
        <f>SUMIF(BS!$229:$229,EF$4,BS!249:249)</f>
        <v>0</v>
      </c>
      <c r="EG120" s="2102">
        <f>SUMIF(BS!$229:$229,EG$4,BS!249:249)</f>
        <v>0</v>
      </c>
      <c r="EH120" s="2103">
        <f ca="1">SUMIF(BS!$229:$229,EH$4,BS!249:249)</f>
        <v>3.4520744939290591</v>
      </c>
      <c r="EI120" s="2101">
        <f>SUMIF(BS!$229:$229,EI$4,BS!249:249)</f>
        <v>0</v>
      </c>
      <c r="EJ120" s="2102">
        <f>SUMIF(BS!$229:$229,EJ$4,BS!249:249)</f>
        <v>0</v>
      </c>
      <c r="EK120" s="2102">
        <f>SUMIF(BS!$229:$229,EK$4,BS!249:249)</f>
        <v>0</v>
      </c>
      <c r="EL120" s="2103">
        <f ca="1">SUMIF(BS!$229:$229,EL$4,BS!249:249)</f>
        <v>3.0750322337137672</v>
      </c>
      <c r="EM120" s="2101">
        <f>SUMIF(BS!$229:$229,EM$4,BS!249:249)</f>
        <v>0</v>
      </c>
      <c r="EN120" s="2102">
        <f>SUMIF(BS!$229:$229,EN$4,BS!249:249)</f>
        <v>0</v>
      </c>
      <c r="EO120" s="2102">
        <f>SUMIF(BS!$229:$229,EO$4,BS!249:249)</f>
        <v>0</v>
      </c>
      <c r="EP120" s="2103">
        <f ca="1">SUMIF(BS!$229:$229,EP$4,BS!249:249)</f>
        <v>3.1657628128829796</v>
      </c>
      <c r="EQ120" s="2101">
        <f>SUMIF(BS!$229:$229,EQ$4,BS!249:249)</f>
        <v>0</v>
      </c>
      <c r="ER120" s="2102">
        <f>SUMIF(BS!$229:$229,ER$4,BS!249:249)</f>
        <v>0</v>
      </c>
      <c r="ES120" s="2102">
        <f>SUMIF(BS!$229:$229,ES$4,BS!249:249)</f>
        <v>0</v>
      </c>
      <c r="ET120" s="2103">
        <f ca="1">SUMIF(BS!$229:$229,ET$4,BS!249:249)</f>
        <v>5.0313311442038247</v>
      </c>
      <c r="EU120" s="2101">
        <f>SUMIF(BS!$229:$229,EU$4,BS!249:249)</f>
        <v>0</v>
      </c>
      <c r="EV120" s="2102">
        <f>SUMIF(BS!$229:$229,EV$4,BS!249:249)</f>
        <v>0</v>
      </c>
      <c r="EW120" s="2102">
        <f>SUMIF(BS!$229:$229,EW$4,BS!249:249)</f>
        <v>0</v>
      </c>
      <c r="EX120" s="2103">
        <f ca="1">SUMIF(BS!$229:$229,EX$4,BS!249:249)</f>
        <v>5.0751605959828154</v>
      </c>
      <c r="EY120" s="2101">
        <f>SUMIF(BS!$229:$229,EY$4,BS!249:249)</f>
        <v>0</v>
      </c>
      <c r="EZ120" s="2102">
        <f>SUMIF(BS!$229:$229,EZ$4,BS!249:249)</f>
        <v>0</v>
      </c>
      <c r="FA120" s="2102">
        <f>SUMIF(BS!$229:$229,FA$4,BS!249:249)</f>
        <v>0</v>
      </c>
      <c r="FB120" s="2103">
        <f ca="1">SUMIF(BS!$229:$229,FB$4,BS!249:249)</f>
        <v>5.3727921826962008</v>
      </c>
      <c r="FC120" s="2101">
        <f>SUMIF(BS!$229:$229,FC$4,BS!249:249)</f>
        <v>0</v>
      </c>
      <c r="FD120" s="2102">
        <f>SUMIF(BS!$229:$229,FD$4,BS!249:249)</f>
        <v>0</v>
      </c>
      <c r="FE120" s="2102">
        <f>SUMIF(BS!$229:$229,FE$4,BS!249:249)</f>
        <v>0</v>
      </c>
      <c r="FF120" s="2103">
        <f ca="1">SUMIF(BS!$229:$229,FF$4,BS!249:249)</f>
        <v>6.543774415624882</v>
      </c>
      <c r="FG120" s="2101">
        <f>SUMIF(BS!$229:$229,FG$4,BS!249:249)</f>
        <v>0</v>
      </c>
      <c r="FH120" s="2102">
        <f>SUMIF(BS!$229:$229,FH$4,BS!249:249)</f>
        <v>0</v>
      </c>
      <c r="FI120" s="2102">
        <f>SUMIF(BS!$229:$229,FI$4,BS!249:249)</f>
        <v>0</v>
      </c>
      <c r="FJ120" s="2103">
        <f ca="1">SUMIF(BS!$229:$229,FJ$4,BS!249:249)</f>
        <v>6.7008791329398711</v>
      </c>
      <c r="FK120" s="2101">
        <f>SUMIF(BS!$229:$229,FK$4,BS!249:249)</f>
        <v>0</v>
      </c>
      <c r="FL120" s="2102">
        <f>SUMIF(BS!$229:$229,FL$4,BS!249:249)</f>
        <v>0</v>
      </c>
      <c r="FM120" s="2102">
        <f>SUMIF(BS!$229:$229,FM$4,BS!249:249)</f>
        <v>0</v>
      </c>
      <c r="FN120" s="2103">
        <f ca="1">SUMIF(BS!$229:$229,FN$4,BS!249:249)</f>
        <v>0</v>
      </c>
      <c r="FO120" s="2101">
        <f>SUMIF(BS!$229:$229,FO$4,BS!249:249)</f>
        <v>0</v>
      </c>
      <c r="FP120" s="2102">
        <f>SUMIF(BS!$229:$229,FP$4,BS!249:249)</f>
        <v>0</v>
      </c>
      <c r="FQ120" s="2102">
        <f>SUMIF(BS!$229:$229,FQ$4,BS!249:249)</f>
        <v>0</v>
      </c>
      <c r="FR120" s="2103">
        <f ca="1">SUMIF(BS!$229:$229,FR$4,BS!249:249)</f>
        <v>0</v>
      </c>
      <c r="FS120" s="2101">
        <f>SUMIF(BS!$229:$229,FS$4,BS!249:249)</f>
        <v>0</v>
      </c>
      <c r="FT120" s="2102">
        <f>SUMIF(BS!$229:$229,FT$4,BS!249:249)</f>
        <v>0</v>
      </c>
      <c r="FU120" s="2102">
        <f>SUMIF(BS!$229:$229,FU$4,BS!249:249)</f>
        <v>0</v>
      </c>
      <c r="FV120" s="2103">
        <f ca="1">SUMIF(BS!$229:$229,FV$4,BS!249:249)</f>
        <v>0</v>
      </c>
      <c r="FW120" s="2101">
        <f>SUMIF(BS!$229:$229,FW$4,BS!249:249)</f>
        <v>0</v>
      </c>
      <c r="FX120" s="2102">
        <f>SUMIF(BS!$229:$229,FX$4,BS!249:249)</f>
        <v>0</v>
      </c>
      <c r="FY120" s="2102">
        <f>SUMIF(BS!$229:$229,FY$4,BS!249:249)</f>
        <v>0</v>
      </c>
      <c r="FZ120" s="2103">
        <f ca="1">SUMIF(BS!$229:$229,FZ$4,BS!249:249)</f>
        <v>0</v>
      </c>
      <c r="GA120" s="2101">
        <f>SUMIF(BS!$229:$229,GA$4,BS!249:249)</f>
        <v>0</v>
      </c>
      <c r="GB120" s="2102">
        <f>SUMIF(BS!$229:$229,GB$4,BS!249:249)</f>
        <v>0</v>
      </c>
      <c r="GC120" s="2102">
        <f>SUMIF(BS!$229:$229,GC$4,BS!249:249)</f>
        <v>0</v>
      </c>
      <c r="GD120" s="2103">
        <f ca="1">SUMIF(BS!$229:$229,GD$4,BS!249:249)</f>
        <v>0</v>
      </c>
    </row>
    <row r="121" spans="1:186" ht="15" customHeight="1">
      <c r="B121" s="2064"/>
      <c r="C121" s="2145"/>
      <c r="D121" s="707"/>
      <c r="E121" s="2146" t="str">
        <f>BS!E250</f>
        <v>보통주</v>
      </c>
      <c r="F121" s="2194">
        <f t="shared" ca="1" si="196"/>
        <v>520.25712385017766</v>
      </c>
      <c r="G121" s="2195">
        <f>SUMIF(BS!$229:$229,G$4,BS!250:250)</f>
        <v>0</v>
      </c>
      <c r="H121" s="2196">
        <f>SUMIF(BS!$229:$229,H$4,BS!250:250)</f>
        <v>0</v>
      </c>
      <c r="I121" s="2196">
        <f>SUMIF(BS!$229:$229,I$4,BS!250:250)</f>
        <v>0</v>
      </c>
      <c r="J121" s="2197">
        <f ca="1">SUMIF(BS!$229:$229,J$4,BS!250:250)</f>
        <v>0</v>
      </c>
      <c r="K121" s="2195">
        <f>SUMIF(BS!$229:$229,K$4,BS!250:250)</f>
        <v>0</v>
      </c>
      <c r="L121" s="2196">
        <f>SUMIF(BS!$229:$229,L$4,BS!250:250)</f>
        <v>0</v>
      </c>
      <c r="M121" s="2196">
        <f>SUMIF(BS!$229:$229,M$4,BS!250:250)</f>
        <v>0</v>
      </c>
      <c r="N121" s="2197">
        <f ca="1">SUMIF(BS!$229:$229,N$4,BS!250:250)</f>
        <v>0</v>
      </c>
      <c r="O121" s="2195">
        <f>SUMIF(BS!$229:$229,O$4,BS!250:250)</f>
        <v>0</v>
      </c>
      <c r="P121" s="2196">
        <f>SUMIF(BS!$229:$229,P$4,BS!250:250)</f>
        <v>0</v>
      </c>
      <c r="Q121" s="2196">
        <f>SUMIF(BS!$229:$229,Q$4,BS!250:250)</f>
        <v>0</v>
      </c>
      <c r="R121" s="2197">
        <f ca="1">SUMIF(BS!$229:$229,R$4,BS!250:250)</f>
        <v>0</v>
      </c>
      <c r="S121" s="2195">
        <f>SUMIF(BS!$229:$229,S$4,BS!250:250)</f>
        <v>0</v>
      </c>
      <c r="T121" s="2196">
        <f>SUMIF(BS!$229:$229,T$4,BS!250:250)</f>
        <v>0</v>
      </c>
      <c r="U121" s="2196">
        <f>SUMIF(BS!$229:$229,U$4,BS!250:250)</f>
        <v>0</v>
      </c>
      <c r="V121" s="2197">
        <f ca="1">SUMIF(BS!$229:$229,V$4,BS!250:250)</f>
        <v>0</v>
      </c>
      <c r="W121" s="2195">
        <f>SUMIF(BS!$229:$229,W$4,BS!250:250)</f>
        <v>0</v>
      </c>
      <c r="X121" s="2196">
        <f>SUMIF(BS!$229:$229,X$4,BS!250:250)</f>
        <v>0</v>
      </c>
      <c r="Y121" s="2196">
        <f>SUMIF(BS!$229:$229,Y$4,BS!250:250)</f>
        <v>0</v>
      </c>
      <c r="Z121" s="2197">
        <f ca="1">SUMIF(BS!$229:$229,Z$4,BS!250:250)</f>
        <v>0</v>
      </c>
      <c r="AA121" s="2195">
        <f>SUMIF(BS!$229:$229,AA$4,BS!250:250)</f>
        <v>0</v>
      </c>
      <c r="AB121" s="2196">
        <f>SUMIF(BS!$229:$229,AB$4,BS!250:250)</f>
        <v>0</v>
      </c>
      <c r="AC121" s="2196">
        <f>SUMIF(BS!$229:$229,AC$4,BS!250:250)</f>
        <v>0</v>
      </c>
      <c r="AD121" s="2197">
        <f ca="1">SUMIF(BS!$229:$229,AD$4,BS!250:250)</f>
        <v>0</v>
      </c>
      <c r="AE121" s="2195">
        <f>SUMIF(BS!$229:$229,AE$4,BS!250:250)</f>
        <v>0</v>
      </c>
      <c r="AF121" s="2196">
        <f>SUMIF(BS!$229:$229,AF$4,BS!250:250)</f>
        <v>0</v>
      </c>
      <c r="AG121" s="2196">
        <f>SUMIF(BS!$229:$229,AG$4,BS!250:250)</f>
        <v>0</v>
      </c>
      <c r="AH121" s="2197">
        <f ca="1">SUMIF(BS!$229:$229,AH$4,BS!250:250)</f>
        <v>0</v>
      </c>
      <c r="AI121" s="2195">
        <f>SUMIF(BS!$229:$229,AI$4,BS!250:250)</f>
        <v>0</v>
      </c>
      <c r="AJ121" s="2196">
        <f>SUMIF(BS!$229:$229,AJ$4,BS!250:250)</f>
        <v>0</v>
      </c>
      <c r="AK121" s="2196">
        <f>SUMIF(BS!$229:$229,AK$4,BS!250:250)</f>
        <v>0</v>
      </c>
      <c r="AL121" s="2197">
        <f ca="1">SUMIF(BS!$229:$229,AL$4,BS!250:250)</f>
        <v>0</v>
      </c>
      <c r="AM121" s="2195">
        <f>SUMIF(BS!$229:$229,AM$4,BS!250:250)</f>
        <v>0</v>
      </c>
      <c r="AN121" s="2196">
        <f>SUMIF(BS!$229:$229,AN$4,BS!250:250)</f>
        <v>0</v>
      </c>
      <c r="AO121" s="2196">
        <f>SUMIF(BS!$229:$229,AO$4,BS!250:250)</f>
        <v>0</v>
      </c>
      <c r="AP121" s="2197">
        <f ca="1">SUMIF(BS!$229:$229,AP$4,BS!250:250)</f>
        <v>0</v>
      </c>
      <c r="AQ121" s="2195">
        <f>SUMIF(BS!$229:$229,AQ$4,BS!250:250)</f>
        <v>0</v>
      </c>
      <c r="AR121" s="2196">
        <f>SUMIF(BS!$229:$229,AR$4,BS!250:250)</f>
        <v>0</v>
      </c>
      <c r="AS121" s="2196">
        <f>SUMIF(BS!$229:$229,AS$4,BS!250:250)</f>
        <v>0</v>
      </c>
      <c r="AT121" s="2197">
        <f ca="1">SUMIF(BS!$229:$229,AT$4,BS!250:250)</f>
        <v>0</v>
      </c>
      <c r="AU121" s="2195">
        <f>SUMIF(BS!$229:$229,AU$4,BS!250:250)</f>
        <v>0</v>
      </c>
      <c r="AV121" s="2196">
        <f>SUMIF(BS!$229:$229,AV$4,BS!250:250)</f>
        <v>0</v>
      </c>
      <c r="AW121" s="2196">
        <f>SUMIF(BS!$229:$229,AW$4,BS!250:250)</f>
        <v>0</v>
      </c>
      <c r="AX121" s="2197">
        <f ca="1">SUMIF(BS!$229:$229,AX$4,BS!250:250)</f>
        <v>0</v>
      </c>
      <c r="AY121" s="2195">
        <f>SUMIF(BS!$229:$229,AY$4,BS!250:250)</f>
        <v>0</v>
      </c>
      <c r="AZ121" s="2196">
        <f>SUMIF(BS!$229:$229,AZ$4,BS!250:250)</f>
        <v>0</v>
      </c>
      <c r="BA121" s="2196">
        <f>SUMIF(BS!$229:$229,BA$4,BS!250:250)</f>
        <v>0</v>
      </c>
      <c r="BB121" s="2197">
        <f ca="1">SUMIF(BS!$229:$229,BB$4,BS!250:250)</f>
        <v>0</v>
      </c>
      <c r="BC121" s="2195">
        <f>SUMIF(BS!$229:$229,BC$4,BS!250:250)</f>
        <v>0</v>
      </c>
      <c r="BD121" s="2196">
        <f>SUMIF(BS!$229:$229,BD$4,BS!250:250)</f>
        <v>0</v>
      </c>
      <c r="BE121" s="2196">
        <f>SUMIF(BS!$229:$229,BE$4,BS!250:250)</f>
        <v>0</v>
      </c>
      <c r="BF121" s="2197">
        <f ca="1">SUMIF(BS!$229:$229,BF$4,BS!250:250)</f>
        <v>0</v>
      </c>
      <c r="BG121" s="2195">
        <f>SUMIF(BS!$229:$229,BG$4,BS!250:250)</f>
        <v>0</v>
      </c>
      <c r="BH121" s="2196">
        <f>SUMIF(BS!$229:$229,BH$4,BS!250:250)</f>
        <v>0</v>
      </c>
      <c r="BI121" s="2196">
        <f>SUMIF(BS!$229:$229,BI$4,BS!250:250)</f>
        <v>0</v>
      </c>
      <c r="BJ121" s="2197">
        <f ca="1">SUMIF(BS!$229:$229,BJ$4,BS!250:250)</f>
        <v>0</v>
      </c>
      <c r="BK121" s="2195">
        <f>SUMIF(BS!$229:$229,BK$4,BS!250:250)</f>
        <v>0</v>
      </c>
      <c r="BL121" s="2196">
        <f>SUMIF(BS!$229:$229,BL$4,BS!250:250)</f>
        <v>0</v>
      </c>
      <c r="BM121" s="2196">
        <f>SUMIF(BS!$229:$229,BM$4,BS!250:250)</f>
        <v>0</v>
      </c>
      <c r="BN121" s="2197">
        <f ca="1">SUMIF(BS!$229:$229,BN$4,BS!250:250)</f>
        <v>0</v>
      </c>
      <c r="BO121" s="2195">
        <f>SUMIF(BS!$229:$229,BO$4,BS!250:250)</f>
        <v>0</v>
      </c>
      <c r="BP121" s="2196">
        <f>SUMIF(BS!$229:$229,BP$4,BS!250:250)</f>
        <v>0</v>
      </c>
      <c r="BQ121" s="2196">
        <f>SUMIF(BS!$229:$229,BQ$4,BS!250:250)</f>
        <v>0</v>
      </c>
      <c r="BR121" s="2197">
        <f ca="1">SUMIF(BS!$229:$229,BR$4,BS!250:250)</f>
        <v>0</v>
      </c>
      <c r="BS121" s="2195">
        <f>SUMIF(BS!$229:$229,BS$4,BS!250:250)</f>
        <v>0</v>
      </c>
      <c r="BT121" s="2196">
        <f>SUMIF(BS!$229:$229,BT$4,BS!250:250)</f>
        <v>0</v>
      </c>
      <c r="BU121" s="2196">
        <f>SUMIF(BS!$229:$229,BU$4,BS!250:250)</f>
        <v>0</v>
      </c>
      <c r="BV121" s="2197">
        <f ca="1">SUMIF(BS!$229:$229,BV$4,BS!250:250)</f>
        <v>0</v>
      </c>
      <c r="BW121" s="2195">
        <f>SUMIF(BS!$229:$229,BW$4,BS!250:250)</f>
        <v>0</v>
      </c>
      <c r="BX121" s="2196">
        <f>SUMIF(BS!$229:$229,BX$4,BS!250:250)</f>
        <v>0</v>
      </c>
      <c r="BY121" s="2196">
        <f>SUMIF(BS!$229:$229,BY$4,BS!250:250)</f>
        <v>0</v>
      </c>
      <c r="BZ121" s="2197">
        <f ca="1">SUMIF(BS!$229:$229,BZ$4,BS!250:250)</f>
        <v>0</v>
      </c>
      <c r="CA121" s="2195">
        <f>SUMIF(BS!$229:$229,CA$4,BS!250:250)</f>
        <v>0</v>
      </c>
      <c r="CB121" s="2196">
        <f>SUMIF(BS!$229:$229,CB$4,BS!250:250)</f>
        <v>0</v>
      </c>
      <c r="CC121" s="2196">
        <f>SUMIF(BS!$229:$229,CC$4,BS!250:250)</f>
        <v>0</v>
      </c>
      <c r="CD121" s="2197">
        <f ca="1">SUMIF(BS!$229:$229,CD$4,BS!250:250)</f>
        <v>2.2058277377052327</v>
      </c>
      <c r="CE121" s="2195">
        <f>SUMIF(BS!$229:$229,CE$4,BS!250:250)</f>
        <v>0</v>
      </c>
      <c r="CF121" s="2196">
        <f>SUMIF(BS!$229:$229,CF$4,BS!250:250)</f>
        <v>0</v>
      </c>
      <c r="CG121" s="2196">
        <f>SUMIF(BS!$229:$229,CG$4,BS!250:250)</f>
        <v>0</v>
      </c>
      <c r="CH121" s="2197">
        <f ca="1">SUMIF(BS!$229:$229,CH$4,BS!250:250)</f>
        <v>13.953604700576705</v>
      </c>
      <c r="CI121" s="2195">
        <f>SUMIF(BS!$229:$229,CI$4,BS!250:250)</f>
        <v>0</v>
      </c>
      <c r="CJ121" s="2196">
        <f>SUMIF(BS!$229:$229,CJ$4,BS!250:250)</f>
        <v>0</v>
      </c>
      <c r="CK121" s="2196">
        <f>SUMIF(BS!$229:$229,CK$4,BS!250:250)</f>
        <v>0</v>
      </c>
      <c r="CL121" s="2197">
        <f ca="1">SUMIF(BS!$229:$229,CL$4,BS!250:250)</f>
        <v>16.025498188322658</v>
      </c>
      <c r="CM121" s="2195">
        <f>SUMIF(BS!$229:$229,CM$4,BS!250:250)</f>
        <v>0</v>
      </c>
      <c r="CN121" s="2196">
        <f>SUMIF(BS!$229:$229,CN$4,BS!250:250)</f>
        <v>0</v>
      </c>
      <c r="CO121" s="2196">
        <f>SUMIF(BS!$229:$229,CO$4,BS!250:250)</f>
        <v>0</v>
      </c>
      <c r="CP121" s="2197">
        <f ca="1">SUMIF(BS!$229:$229,CP$4,BS!250:250)</f>
        <v>26.002594227733987</v>
      </c>
      <c r="CQ121" s="2195">
        <f>SUMIF(BS!$229:$229,CQ$4,BS!250:250)</f>
        <v>0</v>
      </c>
      <c r="CR121" s="2196">
        <f>SUMIF(BS!$229:$229,CR$4,BS!250:250)</f>
        <v>0</v>
      </c>
      <c r="CS121" s="2196">
        <f>SUMIF(BS!$229:$229,CS$4,BS!250:250)</f>
        <v>0</v>
      </c>
      <c r="CT121" s="2197">
        <f ca="1">SUMIF(BS!$229:$229,CT$4,BS!250:250)</f>
        <v>28.423115142755201</v>
      </c>
      <c r="CU121" s="2195">
        <f>SUMIF(BS!$229:$229,CU$4,BS!250:250)</f>
        <v>0</v>
      </c>
      <c r="CV121" s="2196">
        <f>SUMIF(BS!$229:$229,CV$4,BS!250:250)</f>
        <v>0</v>
      </c>
      <c r="CW121" s="2196">
        <f>SUMIF(BS!$229:$229,CW$4,BS!250:250)</f>
        <v>0</v>
      </c>
      <c r="CX121" s="2197">
        <f ca="1">SUMIF(BS!$229:$229,CX$4,BS!250:250)</f>
        <v>25.764011887208813</v>
      </c>
      <c r="CY121" s="2195">
        <f>SUMIF(BS!$229:$229,CY$4,BS!250:250)</f>
        <v>0</v>
      </c>
      <c r="CZ121" s="2196">
        <f>SUMIF(BS!$229:$229,CZ$4,BS!250:250)</f>
        <v>0</v>
      </c>
      <c r="DA121" s="2196">
        <f>SUMIF(BS!$229:$229,DA$4,BS!250:250)</f>
        <v>0</v>
      </c>
      <c r="DB121" s="2197">
        <f ca="1">SUMIF(BS!$229:$229,DB$4,BS!250:250)</f>
        <v>40.310063245485324</v>
      </c>
      <c r="DC121" s="2195">
        <f>SUMIF(BS!$229:$229,DC$4,BS!250:250)</f>
        <v>0</v>
      </c>
      <c r="DD121" s="2196">
        <f>SUMIF(BS!$229:$229,DD$4,BS!250:250)</f>
        <v>0</v>
      </c>
      <c r="DE121" s="2196">
        <f>SUMIF(BS!$229:$229,DE$4,BS!250:250)</f>
        <v>0</v>
      </c>
      <c r="DF121" s="2197">
        <f ca="1">SUMIF(BS!$229:$229,DF$4,BS!250:250)</f>
        <v>45.565370035782394</v>
      </c>
      <c r="DG121" s="2195">
        <f>SUMIF(BS!$229:$229,DG$4,BS!250:250)</f>
        <v>0</v>
      </c>
      <c r="DH121" s="2196">
        <f>SUMIF(BS!$229:$229,DH$4,BS!250:250)</f>
        <v>0</v>
      </c>
      <c r="DI121" s="2196">
        <f>SUMIF(BS!$229:$229,DI$4,BS!250:250)</f>
        <v>0</v>
      </c>
      <c r="DJ121" s="2197">
        <f ca="1">SUMIF(BS!$229:$229,DJ$4,BS!250:250)</f>
        <v>42.669819139043767</v>
      </c>
      <c r="DK121" s="2195">
        <f>SUMIF(BS!$229:$229,DK$4,BS!250:250)</f>
        <v>0</v>
      </c>
      <c r="DL121" s="2196">
        <f>SUMIF(BS!$229:$229,DL$4,BS!250:250)</f>
        <v>0</v>
      </c>
      <c r="DM121" s="2196">
        <f>SUMIF(BS!$229:$229,DM$4,BS!250:250)</f>
        <v>0</v>
      </c>
      <c r="DN121" s="2197">
        <f ca="1">SUMIF(BS!$229:$229,DN$4,BS!250:250)</f>
        <v>33.417193812931082</v>
      </c>
      <c r="DO121" s="2195">
        <f>SUMIF(BS!$229:$229,DO$4,BS!250:250)</f>
        <v>0</v>
      </c>
      <c r="DP121" s="2196">
        <f>SUMIF(BS!$229:$229,DP$4,BS!250:250)</f>
        <v>0</v>
      </c>
      <c r="DQ121" s="2196">
        <f>SUMIF(BS!$229:$229,DQ$4,BS!250:250)</f>
        <v>0</v>
      </c>
      <c r="DR121" s="2197">
        <f ca="1">SUMIF(BS!$229:$229,DR$4,BS!250:250)</f>
        <v>6.163398219886024</v>
      </c>
      <c r="DS121" s="2195">
        <f>SUMIF(BS!$229:$229,DS$4,BS!250:250)</f>
        <v>0</v>
      </c>
      <c r="DT121" s="2196">
        <f>SUMIF(BS!$229:$229,DT$4,BS!250:250)</f>
        <v>0</v>
      </c>
      <c r="DU121" s="2196">
        <f>SUMIF(BS!$229:$229,DU$4,BS!250:250)</f>
        <v>0</v>
      </c>
      <c r="DV121" s="2197">
        <f ca="1">SUMIF(BS!$229:$229,DV$4,BS!250:250)</f>
        <v>13.11243435698081</v>
      </c>
      <c r="DW121" s="2195">
        <f>SUMIF(BS!$229:$229,DW$4,BS!250:250)</f>
        <v>0</v>
      </c>
      <c r="DX121" s="2196">
        <f>SUMIF(BS!$229:$229,DX$4,BS!250:250)</f>
        <v>0</v>
      </c>
      <c r="DY121" s="2196">
        <f>SUMIF(BS!$229:$229,DY$4,BS!250:250)</f>
        <v>0</v>
      </c>
      <c r="DZ121" s="2197">
        <f ca="1">SUMIF(BS!$229:$229,DZ$4,BS!250:250)</f>
        <v>7.1862062775345308</v>
      </c>
      <c r="EA121" s="2195">
        <f>SUMIF(BS!$229:$229,EA$4,BS!250:250)</f>
        <v>0</v>
      </c>
      <c r="EB121" s="2196">
        <f>SUMIF(BS!$229:$229,EB$4,BS!250:250)</f>
        <v>0</v>
      </c>
      <c r="EC121" s="2196">
        <f>SUMIF(BS!$229:$229,EC$4,BS!250:250)</f>
        <v>0</v>
      </c>
      <c r="ED121" s="2197">
        <f ca="1">SUMIF(BS!$229:$229,ED$4,BS!250:250)</f>
        <v>11.45524923354383</v>
      </c>
      <c r="EE121" s="2195">
        <f>SUMIF(BS!$229:$229,EE$4,BS!250:250)</f>
        <v>0</v>
      </c>
      <c r="EF121" s="2196">
        <f>SUMIF(BS!$229:$229,EF$4,BS!250:250)</f>
        <v>0</v>
      </c>
      <c r="EG121" s="2196">
        <f>SUMIF(BS!$229:$229,EG$4,BS!250:250)</f>
        <v>0</v>
      </c>
      <c r="EH121" s="2197">
        <f ca="1">SUMIF(BS!$229:$229,EH$4,BS!250:250)</f>
        <v>18.690802311260541</v>
      </c>
      <c r="EI121" s="2195">
        <f>SUMIF(BS!$229:$229,EI$4,BS!250:250)</f>
        <v>0</v>
      </c>
      <c r="EJ121" s="2196">
        <f>SUMIF(BS!$229:$229,EJ$4,BS!250:250)</f>
        <v>0</v>
      </c>
      <c r="EK121" s="2196">
        <f>SUMIF(BS!$229:$229,EK$4,BS!250:250)</f>
        <v>0</v>
      </c>
      <c r="EL121" s="2197">
        <f ca="1">SUMIF(BS!$229:$229,EL$4,BS!250:250)</f>
        <v>16.649356693250741</v>
      </c>
      <c r="EM121" s="2195">
        <f>SUMIF(BS!$229:$229,EM$4,BS!250:250)</f>
        <v>0</v>
      </c>
      <c r="EN121" s="2196">
        <f>SUMIF(BS!$229:$229,EN$4,BS!250:250)</f>
        <v>0</v>
      </c>
      <c r="EO121" s="2196">
        <f>SUMIF(BS!$229:$229,EO$4,BS!250:250)</f>
        <v>0</v>
      </c>
      <c r="EP121" s="2197">
        <f ca="1">SUMIF(BS!$229:$229,EP$4,BS!250:250)</f>
        <v>17.140605454486995</v>
      </c>
      <c r="EQ121" s="2195">
        <f>SUMIF(BS!$229:$229,EQ$4,BS!250:250)</f>
        <v>0</v>
      </c>
      <c r="ER121" s="2196">
        <f>SUMIF(BS!$229:$229,ER$4,BS!250:250)</f>
        <v>0</v>
      </c>
      <c r="ES121" s="2196">
        <f>SUMIF(BS!$229:$229,ES$4,BS!250:250)</f>
        <v>0</v>
      </c>
      <c r="ET121" s="2197">
        <f ca="1">SUMIF(BS!$229:$229,ET$4,BS!250:250)</f>
        <v>27.241479274037509</v>
      </c>
      <c r="EU121" s="2195">
        <f>SUMIF(BS!$229:$229,EU$4,BS!250:250)</f>
        <v>0</v>
      </c>
      <c r="EV121" s="2196">
        <f>SUMIF(BS!$229:$229,EV$4,BS!250:250)</f>
        <v>0</v>
      </c>
      <c r="EW121" s="2196">
        <f>SUMIF(BS!$229:$229,EW$4,BS!250:250)</f>
        <v>0</v>
      </c>
      <c r="EX121" s="2197">
        <f ca="1">SUMIF(BS!$229:$229,EX$4,BS!250:250)</f>
        <v>27.478788063304002</v>
      </c>
      <c r="EY121" s="2195">
        <f>SUMIF(BS!$229:$229,EY$4,BS!250:250)</f>
        <v>0</v>
      </c>
      <c r="EZ121" s="2196">
        <f>SUMIF(BS!$229:$229,EZ$4,BS!250:250)</f>
        <v>0</v>
      </c>
      <c r="FA121" s="2196">
        <f>SUMIF(BS!$229:$229,FA$4,BS!250:250)</f>
        <v>0</v>
      </c>
      <c r="FB121" s="2197">
        <f ca="1">SUMIF(BS!$229:$229,FB$4,BS!250:250)</f>
        <v>29.090275057176797</v>
      </c>
      <c r="FC121" s="2195">
        <f>SUMIF(BS!$229:$229,FC$4,BS!250:250)</f>
        <v>0</v>
      </c>
      <c r="FD121" s="2196">
        <f>SUMIF(BS!$229:$229,FD$4,BS!250:250)</f>
        <v>0</v>
      </c>
      <c r="FE121" s="2196">
        <f>SUMIF(BS!$229:$229,FE$4,BS!250:250)</f>
        <v>0</v>
      </c>
      <c r="FF121" s="2197">
        <f ca="1">SUMIF(BS!$229:$229,FF$4,BS!250:250)</f>
        <v>35.430404004034401</v>
      </c>
      <c r="FG121" s="2195">
        <f>SUMIF(BS!$229:$229,FG$4,BS!250:250)</f>
        <v>0</v>
      </c>
      <c r="FH121" s="2196">
        <f>SUMIF(BS!$229:$229,FH$4,BS!250:250)</f>
        <v>0</v>
      </c>
      <c r="FI121" s="2196">
        <f>SUMIF(BS!$229:$229,FI$4,BS!250:250)</f>
        <v>0</v>
      </c>
      <c r="FJ121" s="2197">
        <f ca="1">SUMIF(BS!$229:$229,FJ$4,BS!250:250)</f>
        <v>36.28102678713627</v>
      </c>
      <c r="FK121" s="2195">
        <f>SUMIF(BS!$229:$229,FK$4,BS!250:250)</f>
        <v>0</v>
      </c>
      <c r="FL121" s="2196">
        <f>SUMIF(BS!$229:$229,FL$4,BS!250:250)</f>
        <v>0</v>
      </c>
      <c r="FM121" s="2196">
        <f>SUMIF(BS!$229:$229,FM$4,BS!250:250)</f>
        <v>0</v>
      </c>
      <c r="FN121" s="2197">
        <f ca="1">SUMIF(BS!$229:$229,FN$4,BS!250:250)</f>
        <v>0</v>
      </c>
      <c r="FO121" s="2195">
        <f>SUMIF(BS!$229:$229,FO$4,BS!250:250)</f>
        <v>0</v>
      </c>
      <c r="FP121" s="2196">
        <f>SUMIF(BS!$229:$229,FP$4,BS!250:250)</f>
        <v>0</v>
      </c>
      <c r="FQ121" s="2196">
        <f>SUMIF(BS!$229:$229,FQ$4,BS!250:250)</f>
        <v>0</v>
      </c>
      <c r="FR121" s="2197">
        <f ca="1">SUMIF(BS!$229:$229,FR$4,BS!250:250)</f>
        <v>0</v>
      </c>
      <c r="FS121" s="2195">
        <f>SUMIF(BS!$229:$229,FS$4,BS!250:250)</f>
        <v>0</v>
      </c>
      <c r="FT121" s="2196">
        <f>SUMIF(BS!$229:$229,FT$4,BS!250:250)</f>
        <v>0</v>
      </c>
      <c r="FU121" s="2196">
        <f>SUMIF(BS!$229:$229,FU$4,BS!250:250)</f>
        <v>0</v>
      </c>
      <c r="FV121" s="2197">
        <f ca="1">SUMIF(BS!$229:$229,FV$4,BS!250:250)</f>
        <v>0</v>
      </c>
      <c r="FW121" s="2195">
        <f>SUMIF(BS!$229:$229,FW$4,BS!250:250)</f>
        <v>0</v>
      </c>
      <c r="FX121" s="2196">
        <f>SUMIF(BS!$229:$229,FX$4,BS!250:250)</f>
        <v>0</v>
      </c>
      <c r="FY121" s="2196">
        <f>SUMIF(BS!$229:$229,FY$4,BS!250:250)</f>
        <v>0</v>
      </c>
      <c r="FZ121" s="2197">
        <f ca="1">SUMIF(BS!$229:$229,FZ$4,BS!250:250)</f>
        <v>0</v>
      </c>
      <c r="GA121" s="2195">
        <f>SUMIF(BS!$229:$229,GA$4,BS!250:250)</f>
        <v>0</v>
      </c>
      <c r="GB121" s="2196">
        <f>SUMIF(BS!$229:$229,GB$4,BS!250:250)</f>
        <v>0</v>
      </c>
      <c r="GC121" s="2196">
        <f>SUMIF(BS!$229:$229,GC$4,BS!250:250)</f>
        <v>0</v>
      </c>
      <c r="GD121" s="2197">
        <f ca="1">SUMIF(BS!$229:$229,GD$4,BS!250:250)</f>
        <v>0</v>
      </c>
    </row>
    <row r="122" spans="1:186" s="113" customFormat="1" ht="13.5">
      <c r="A122" s="302"/>
      <c r="B122" s="302"/>
      <c r="F122" s="215"/>
    </row>
    <row r="123" spans="1:186" s="113" customFormat="1" ht="13.5">
      <c r="A123" s="302"/>
      <c r="B123" s="302"/>
      <c r="F123" s="136"/>
    </row>
  </sheetData>
  <phoneticPr fontId="12" type="noConversion"/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9EC07-2CD0-4674-8B34-C843D737FB2F}">
  <sheetPr codeName="Sheet30">
    <outlinePr summaryBelow="0"/>
  </sheetPr>
  <dimension ref="A1:GU63"/>
  <sheetViews>
    <sheetView showGridLines="0" showZeros="0" zoomScale="85" zoomScaleNormal="85" zoomScaleSheetLayoutView="85" workbookViewId="0">
      <pane xSplit="30" ySplit="5" topLeftCell="AE6" activePane="bottomRight" state="frozen"/>
      <selection pane="topRight" activeCell="AE1" sqref="AE1"/>
      <selection pane="bottomLeft" activeCell="A6" sqref="A6"/>
      <selection pane="bottomRight" activeCell="AD14" sqref="AD14"/>
    </sheetView>
  </sheetViews>
  <sheetFormatPr defaultColWidth="0" defaultRowHeight="17.100000000000001" customHeight="1" outlineLevelRow="1" outlineLevelCol="1"/>
  <cols>
    <col min="1" max="1" width="1.77734375" style="302" customWidth="1"/>
    <col min="2" max="2" width="1.5546875" style="302" customWidth="1"/>
    <col min="3" max="3" width="4.88671875" style="302" customWidth="1"/>
    <col min="4" max="4" width="15.6640625" style="302" customWidth="1"/>
    <col min="5" max="5" width="4.44140625" style="302" customWidth="1"/>
    <col min="6" max="6" width="8.44140625" style="302" customWidth="1"/>
    <col min="7" max="18" width="6.33203125" style="302" customWidth="1" outlineLevel="1"/>
    <col min="19" max="22" width="6.88671875" style="302" customWidth="1" outlineLevel="1"/>
    <col min="23" max="26" width="7" style="302" customWidth="1" outlineLevel="1"/>
    <col min="27" max="27" width="7" style="302" customWidth="1" outlineLevel="1" collapsed="1"/>
    <col min="28" max="30" width="7" style="302" customWidth="1" outlineLevel="1"/>
    <col min="31" max="186" width="9.6640625" style="302" bestFit="1" customWidth="1"/>
    <col min="187" max="187" width="7" style="302" customWidth="1"/>
    <col min="188" max="202" width="7" style="302" hidden="1" customWidth="1"/>
    <col min="203" max="203" width="9.77734375" style="302" hidden="1" customWidth="1"/>
    <col min="204" max="16384" width="8.88671875" style="302" hidden="1"/>
  </cols>
  <sheetData>
    <row r="1" spans="1:202" ht="8.4499999999999993" customHeight="1"/>
    <row r="2" spans="1:202" s="635" customFormat="1" ht="17.100000000000001" customHeight="1">
      <c r="A2" s="633"/>
      <c r="B2" s="634" t="s">
        <v>1300</v>
      </c>
    </row>
    <row r="3" spans="1:202" ht="16.899999999999999" customHeight="1">
      <c r="B3" s="5592" t="s">
        <v>11</v>
      </c>
      <c r="C3" s="5593"/>
      <c r="D3" s="5593"/>
      <c r="E3" s="5594"/>
      <c r="F3" s="5583" t="s">
        <v>40</v>
      </c>
      <c r="G3" s="5041">
        <f t="shared" ref="G3:R3" si="0">YEAR(G5)</f>
        <v>2015</v>
      </c>
      <c r="H3" s="5042">
        <f t="shared" si="0"/>
        <v>2015</v>
      </c>
      <c r="I3" s="5042">
        <f t="shared" si="0"/>
        <v>2015</v>
      </c>
      <c r="J3" s="4787">
        <f t="shared" si="0"/>
        <v>2015</v>
      </c>
      <c r="K3" s="5041">
        <f t="shared" si="0"/>
        <v>2016</v>
      </c>
      <c r="L3" s="5042">
        <f t="shared" si="0"/>
        <v>2016</v>
      </c>
      <c r="M3" s="5042">
        <f t="shared" si="0"/>
        <v>2016</v>
      </c>
      <c r="N3" s="4787">
        <f t="shared" si="0"/>
        <v>2016</v>
      </c>
      <c r="O3" s="5041">
        <f t="shared" si="0"/>
        <v>2017</v>
      </c>
      <c r="P3" s="5042">
        <f t="shared" si="0"/>
        <v>2017</v>
      </c>
      <c r="Q3" s="5042">
        <f t="shared" si="0"/>
        <v>2017</v>
      </c>
      <c r="R3" s="4787">
        <f t="shared" si="0"/>
        <v>2017</v>
      </c>
      <c r="S3" s="5041">
        <f>YEAR(S5)</f>
        <v>2018</v>
      </c>
      <c r="T3" s="5042">
        <f>YEAR(T5)</f>
        <v>2018</v>
      </c>
      <c r="U3" s="5042">
        <f>YEAR(U5)</f>
        <v>2018</v>
      </c>
      <c r="V3" s="4787">
        <f>YEAR(V5)</f>
        <v>2018</v>
      </c>
      <c r="W3" s="5041">
        <f t="shared" ref="W3:CH3" si="1">YEAR(W5)</f>
        <v>2019</v>
      </c>
      <c r="X3" s="5042">
        <f t="shared" si="1"/>
        <v>2019</v>
      </c>
      <c r="Y3" s="5042">
        <f t="shared" si="1"/>
        <v>2019</v>
      </c>
      <c r="Z3" s="4787">
        <f t="shared" si="1"/>
        <v>2019</v>
      </c>
      <c r="AA3" s="5041">
        <f t="shared" si="1"/>
        <v>2020</v>
      </c>
      <c r="AB3" s="5042">
        <f t="shared" si="1"/>
        <v>2020</v>
      </c>
      <c r="AC3" s="5042">
        <f t="shared" si="1"/>
        <v>2020</v>
      </c>
      <c r="AD3" s="4787">
        <f t="shared" si="1"/>
        <v>2020</v>
      </c>
      <c r="AE3" s="5041">
        <f t="shared" si="1"/>
        <v>2021</v>
      </c>
      <c r="AF3" s="5042">
        <f t="shared" si="1"/>
        <v>2021</v>
      </c>
      <c r="AG3" s="5042">
        <f t="shared" si="1"/>
        <v>2021</v>
      </c>
      <c r="AH3" s="4787">
        <f t="shared" si="1"/>
        <v>2021</v>
      </c>
      <c r="AI3" s="5041">
        <f t="shared" si="1"/>
        <v>2022</v>
      </c>
      <c r="AJ3" s="5042">
        <f t="shared" si="1"/>
        <v>2022</v>
      </c>
      <c r="AK3" s="5042">
        <f t="shared" si="1"/>
        <v>2022</v>
      </c>
      <c r="AL3" s="4787">
        <f t="shared" si="1"/>
        <v>2022</v>
      </c>
      <c r="AM3" s="5041">
        <f t="shared" si="1"/>
        <v>2023</v>
      </c>
      <c r="AN3" s="5042">
        <f t="shared" si="1"/>
        <v>2023</v>
      </c>
      <c r="AO3" s="5042">
        <f t="shared" si="1"/>
        <v>2023</v>
      </c>
      <c r="AP3" s="4787">
        <f t="shared" si="1"/>
        <v>2023</v>
      </c>
      <c r="AQ3" s="5041">
        <f t="shared" si="1"/>
        <v>2024</v>
      </c>
      <c r="AR3" s="5042">
        <f t="shared" si="1"/>
        <v>2024</v>
      </c>
      <c r="AS3" s="5042">
        <f t="shared" si="1"/>
        <v>2024</v>
      </c>
      <c r="AT3" s="4787">
        <f t="shared" si="1"/>
        <v>2024</v>
      </c>
      <c r="AU3" s="5041">
        <f t="shared" si="1"/>
        <v>2025</v>
      </c>
      <c r="AV3" s="5042">
        <f t="shared" si="1"/>
        <v>2025</v>
      </c>
      <c r="AW3" s="5042">
        <f t="shared" si="1"/>
        <v>2025</v>
      </c>
      <c r="AX3" s="4787">
        <f t="shared" si="1"/>
        <v>2025</v>
      </c>
      <c r="AY3" s="5041">
        <f t="shared" si="1"/>
        <v>2026</v>
      </c>
      <c r="AZ3" s="5042">
        <f t="shared" si="1"/>
        <v>2026</v>
      </c>
      <c r="BA3" s="5042">
        <f t="shared" si="1"/>
        <v>2026</v>
      </c>
      <c r="BB3" s="4787">
        <f t="shared" si="1"/>
        <v>2026</v>
      </c>
      <c r="BC3" s="5041">
        <f t="shared" si="1"/>
        <v>2027</v>
      </c>
      <c r="BD3" s="5042">
        <f t="shared" si="1"/>
        <v>2027</v>
      </c>
      <c r="BE3" s="5042">
        <f t="shared" si="1"/>
        <v>2027</v>
      </c>
      <c r="BF3" s="4787">
        <f t="shared" si="1"/>
        <v>2027</v>
      </c>
      <c r="BG3" s="5041">
        <f t="shared" si="1"/>
        <v>2028</v>
      </c>
      <c r="BH3" s="5042">
        <f t="shared" si="1"/>
        <v>2028</v>
      </c>
      <c r="BI3" s="5042">
        <f t="shared" si="1"/>
        <v>2028</v>
      </c>
      <c r="BJ3" s="4787">
        <f t="shared" si="1"/>
        <v>2028</v>
      </c>
      <c r="BK3" s="5041">
        <f t="shared" si="1"/>
        <v>2029</v>
      </c>
      <c r="BL3" s="5042">
        <f t="shared" si="1"/>
        <v>2029</v>
      </c>
      <c r="BM3" s="5042">
        <f t="shared" si="1"/>
        <v>2029</v>
      </c>
      <c r="BN3" s="4787">
        <f t="shared" si="1"/>
        <v>2029</v>
      </c>
      <c r="BO3" s="5041">
        <f t="shared" si="1"/>
        <v>2030</v>
      </c>
      <c r="BP3" s="5042">
        <f t="shared" si="1"/>
        <v>2030</v>
      </c>
      <c r="BQ3" s="5042">
        <f t="shared" si="1"/>
        <v>2030</v>
      </c>
      <c r="BR3" s="4787">
        <f t="shared" si="1"/>
        <v>2030</v>
      </c>
      <c r="BS3" s="5041">
        <f t="shared" si="1"/>
        <v>2031</v>
      </c>
      <c r="BT3" s="5042">
        <f t="shared" si="1"/>
        <v>2031</v>
      </c>
      <c r="BU3" s="5042">
        <f t="shared" si="1"/>
        <v>2031</v>
      </c>
      <c r="BV3" s="4787">
        <f t="shared" si="1"/>
        <v>2031</v>
      </c>
      <c r="BW3" s="5041">
        <f t="shared" si="1"/>
        <v>2032</v>
      </c>
      <c r="BX3" s="5042">
        <f t="shared" si="1"/>
        <v>2032</v>
      </c>
      <c r="BY3" s="5042">
        <f t="shared" si="1"/>
        <v>2032</v>
      </c>
      <c r="BZ3" s="4787">
        <f t="shared" si="1"/>
        <v>2032</v>
      </c>
      <c r="CA3" s="5041">
        <f t="shared" si="1"/>
        <v>2033</v>
      </c>
      <c r="CB3" s="5042">
        <f t="shared" si="1"/>
        <v>2033</v>
      </c>
      <c r="CC3" s="5042">
        <f t="shared" si="1"/>
        <v>2033</v>
      </c>
      <c r="CD3" s="4787">
        <f t="shared" si="1"/>
        <v>2033</v>
      </c>
      <c r="CE3" s="5041">
        <f t="shared" si="1"/>
        <v>2034</v>
      </c>
      <c r="CF3" s="5042">
        <f t="shared" si="1"/>
        <v>2034</v>
      </c>
      <c r="CG3" s="5042">
        <f t="shared" si="1"/>
        <v>2034</v>
      </c>
      <c r="CH3" s="4787">
        <f t="shared" si="1"/>
        <v>2034</v>
      </c>
      <c r="CI3" s="5041">
        <f t="shared" ref="CI3:ET3" si="2">YEAR(CI5)</f>
        <v>2035</v>
      </c>
      <c r="CJ3" s="5042">
        <f t="shared" si="2"/>
        <v>2035</v>
      </c>
      <c r="CK3" s="5042">
        <f t="shared" si="2"/>
        <v>2035</v>
      </c>
      <c r="CL3" s="4787">
        <f t="shared" si="2"/>
        <v>2035</v>
      </c>
      <c r="CM3" s="5041">
        <f t="shared" si="2"/>
        <v>2036</v>
      </c>
      <c r="CN3" s="5042">
        <f t="shared" si="2"/>
        <v>2036</v>
      </c>
      <c r="CO3" s="5042">
        <f t="shared" si="2"/>
        <v>2036</v>
      </c>
      <c r="CP3" s="4787">
        <f t="shared" si="2"/>
        <v>2036</v>
      </c>
      <c r="CQ3" s="5041">
        <f t="shared" si="2"/>
        <v>2037</v>
      </c>
      <c r="CR3" s="5042">
        <f t="shared" si="2"/>
        <v>2037</v>
      </c>
      <c r="CS3" s="5042">
        <f t="shared" si="2"/>
        <v>2037</v>
      </c>
      <c r="CT3" s="4787">
        <f t="shared" si="2"/>
        <v>2037</v>
      </c>
      <c r="CU3" s="5041">
        <f t="shared" si="2"/>
        <v>2038</v>
      </c>
      <c r="CV3" s="5042">
        <f t="shared" si="2"/>
        <v>2038</v>
      </c>
      <c r="CW3" s="5042">
        <f t="shared" si="2"/>
        <v>2038</v>
      </c>
      <c r="CX3" s="4787">
        <f t="shared" si="2"/>
        <v>2038</v>
      </c>
      <c r="CY3" s="5041">
        <f t="shared" si="2"/>
        <v>2039</v>
      </c>
      <c r="CZ3" s="5042">
        <f t="shared" si="2"/>
        <v>2039</v>
      </c>
      <c r="DA3" s="5042">
        <f t="shared" si="2"/>
        <v>2039</v>
      </c>
      <c r="DB3" s="4787">
        <f t="shared" si="2"/>
        <v>2039</v>
      </c>
      <c r="DC3" s="5041">
        <f t="shared" si="2"/>
        <v>2040</v>
      </c>
      <c r="DD3" s="5042">
        <f t="shared" si="2"/>
        <v>2040</v>
      </c>
      <c r="DE3" s="5042">
        <f t="shared" si="2"/>
        <v>2040</v>
      </c>
      <c r="DF3" s="4787">
        <f t="shared" si="2"/>
        <v>2040</v>
      </c>
      <c r="DG3" s="5041">
        <f t="shared" si="2"/>
        <v>2041</v>
      </c>
      <c r="DH3" s="5042">
        <f t="shared" si="2"/>
        <v>2041</v>
      </c>
      <c r="DI3" s="5042">
        <f t="shared" si="2"/>
        <v>2041</v>
      </c>
      <c r="DJ3" s="4787">
        <f t="shared" si="2"/>
        <v>2041</v>
      </c>
      <c r="DK3" s="5041">
        <f t="shared" si="2"/>
        <v>2042</v>
      </c>
      <c r="DL3" s="5042">
        <f t="shared" si="2"/>
        <v>2042</v>
      </c>
      <c r="DM3" s="5042">
        <f t="shared" si="2"/>
        <v>2042</v>
      </c>
      <c r="DN3" s="4787">
        <f t="shared" si="2"/>
        <v>2042</v>
      </c>
      <c r="DO3" s="5041">
        <f t="shared" si="2"/>
        <v>2043</v>
      </c>
      <c r="DP3" s="5042">
        <f t="shared" si="2"/>
        <v>2043</v>
      </c>
      <c r="DQ3" s="5042">
        <f t="shared" si="2"/>
        <v>2043</v>
      </c>
      <c r="DR3" s="4787">
        <f t="shared" si="2"/>
        <v>2043</v>
      </c>
      <c r="DS3" s="5041">
        <f t="shared" si="2"/>
        <v>2044</v>
      </c>
      <c r="DT3" s="5042">
        <f t="shared" si="2"/>
        <v>2044</v>
      </c>
      <c r="DU3" s="5042">
        <f t="shared" si="2"/>
        <v>2044</v>
      </c>
      <c r="DV3" s="4787">
        <f t="shared" si="2"/>
        <v>2044</v>
      </c>
      <c r="DW3" s="5041">
        <f t="shared" si="2"/>
        <v>2045</v>
      </c>
      <c r="DX3" s="5042">
        <f t="shared" si="2"/>
        <v>2045</v>
      </c>
      <c r="DY3" s="5042">
        <f t="shared" si="2"/>
        <v>2045</v>
      </c>
      <c r="DZ3" s="4787">
        <f t="shared" si="2"/>
        <v>2045</v>
      </c>
      <c r="EA3" s="5041">
        <f t="shared" si="2"/>
        <v>2046</v>
      </c>
      <c r="EB3" s="5042">
        <f t="shared" si="2"/>
        <v>2046</v>
      </c>
      <c r="EC3" s="5042">
        <f t="shared" si="2"/>
        <v>2046</v>
      </c>
      <c r="ED3" s="4787">
        <f t="shared" si="2"/>
        <v>2046</v>
      </c>
      <c r="EE3" s="5041">
        <f t="shared" si="2"/>
        <v>2047</v>
      </c>
      <c r="EF3" s="5042">
        <f t="shared" si="2"/>
        <v>2047</v>
      </c>
      <c r="EG3" s="5042">
        <f t="shared" si="2"/>
        <v>2047</v>
      </c>
      <c r="EH3" s="4787">
        <f t="shared" si="2"/>
        <v>2047</v>
      </c>
      <c r="EI3" s="5041">
        <f t="shared" si="2"/>
        <v>2048</v>
      </c>
      <c r="EJ3" s="5042">
        <f t="shared" si="2"/>
        <v>2048</v>
      </c>
      <c r="EK3" s="5042">
        <f t="shared" si="2"/>
        <v>2048</v>
      </c>
      <c r="EL3" s="4787">
        <f t="shared" si="2"/>
        <v>2048</v>
      </c>
      <c r="EM3" s="5041">
        <f t="shared" si="2"/>
        <v>2049</v>
      </c>
      <c r="EN3" s="5042">
        <f t="shared" si="2"/>
        <v>2049</v>
      </c>
      <c r="EO3" s="5042">
        <f t="shared" si="2"/>
        <v>2049</v>
      </c>
      <c r="EP3" s="4787">
        <f t="shared" si="2"/>
        <v>2049</v>
      </c>
      <c r="EQ3" s="5041">
        <f t="shared" si="2"/>
        <v>2050</v>
      </c>
      <c r="ER3" s="5042">
        <f t="shared" si="2"/>
        <v>2050</v>
      </c>
      <c r="ES3" s="5042">
        <f t="shared" si="2"/>
        <v>2050</v>
      </c>
      <c r="ET3" s="4787">
        <f t="shared" si="2"/>
        <v>2050</v>
      </c>
      <c r="EU3" s="5041">
        <f t="shared" ref="EU3:GD3" si="3">YEAR(EU5)</f>
        <v>2051</v>
      </c>
      <c r="EV3" s="5042">
        <f t="shared" si="3"/>
        <v>2051</v>
      </c>
      <c r="EW3" s="5042">
        <f t="shared" si="3"/>
        <v>2051</v>
      </c>
      <c r="EX3" s="4787">
        <f t="shared" si="3"/>
        <v>2051</v>
      </c>
      <c r="EY3" s="5041">
        <f t="shared" si="3"/>
        <v>2052</v>
      </c>
      <c r="EZ3" s="5042">
        <f t="shared" si="3"/>
        <v>2052</v>
      </c>
      <c r="FA3" s="5042">
        <f t="shared" si="3"/>
        <v>2052</v>
      </c>
      <c r="FB3" s="4787">
        <f t="shared" si="3"/>
        <v>2052</v>
      </c>
      <c r="FC3" s="5041">
        <f t="shared" si="3"/>
        <v>2053</v>
      </c>
      <c r="FD3" s="5042">
        <f t="shared" si="3"/>
        <v>2053</v>
      </c>
      <c r="FE3" s="5042">
        <f t="shared" si="3"/>
        <v>2053</v>
      </c>
      <c r="FF3" s="4787">
        <f t="shared" si="3"/>
        <v>2053</v>
      </c>
      <c r="FG3" s="5041">
        <f t="shared" si="3"/>
        <v>2054</v>
      </c>
      <c r="FH3" s="5042">
        <f t="shared" si="3"/>
        <v>2054</v>
      </c>
      <c r="FI3" s="5042">
        <f t="shared" si="3"/>
        <v>2054</v>
      </c>
      <c r="FJ3" s="4787">
        <f t="shared" si="3"/>
        <v>2054</v>
      </c>
      <c r="FK3" s="5041">
        <f t="shared" si="3"/>
        <v>2055</v>
      </c>
      <c r="FL3" s="5042">
        <f t="shared" si="3"/>
        <v>2055</v>
      </c>
      <c r="FM3" s="5042">
        <f t="shared" si="3"/>
        <v>2055</v>
      </c>
      <c r="FN3" s="4787">
        <f t="shared" si="3"/>
        <v>2055</v>
      </c>
      <c r="FO3" s="5041">
        <f t="shared" si="3"/>
        <v>2056</v>
      </c>
      <c r="FP3" s="5042">
        <f t="shared" si="3"/>
        <v>2056</v>
      </c>
      <c r="FQ3" s="5042">
        <f t="shared" si="3"/>
        <v>2056</v>
      </c>
      <c r="FR3" s="4787">
        <f t="shared" si="3"/>
        <v>2056</v>
      </c>
      <c r="FS3" s="5041">
        <f t="shared" si="3"/>
        <v>2057</v>
      </c>
      <c r="FT3" s="5042">
        <f t="shared" si="3"/>
        <v>2057</v>
      </c>
      <c r="FU3" s="5042">
        <f t="shared" si="3"/>
        <v>2057</v>
      </c>
      <c r="FV3" s="4787">
        <f t="shared" si="3"/>
        <v>2057</v>
      </c>
      <c r="FW3" s="5041">
        <f t="shared" si="3"/>
        <v>2058</v>
      </c>
      <c r="FX3" s="5042">
        <f t="shared" si="3"/>
        <v>2058</v>
      </c>
      <c r="FY3" s="5042">
        <f t="shared" si="3"/>
        <v>2058</v>
      </c>
      <c r="FZ3" s="4787">
        <f t="shared" si="3"/>
        <v>2058</v>
      </c>
      <c r="GA3" s="5041">
        <f t="shared" si="3"/>
        <v>2059</v>
      </c>
      <c r="GB3" s="5042">
        <f t="shared" si="3"/>
        <v>2059</v>
      </c>
      <c r="GC3" s="5042">
        <f t="shared" si="3"/>
        <v>2059</v>
      </c>
      <c r="GD3" s="4787">
        <f t="shared" si="3"/>
        <v>2059</v>
      </c>
    </row>
    <row r="4" spans="1:202" ht="17.100000000000001" customHeight="1">
      <c r="B4" s="5595"/>
      <c r="C4" s="5596"/>
      <c r="D4" s="5596"/>
      <c r="E4" s="5597"/>
      <c r="F4" s="5601"/>
      <c r="G4" s="5043">
        <v>1</v>
      </c>
      <c r="H4" s="5044">
        <v>2</v>
      </c>
      <c r="I4" s="5044">
        <v>3</v>
      </c>
      <c r="J4" s="5045">
        <v>4</v>
      </c>
      <c r="K4" s="5043">
        <v>1</v>
      </c>
      <c r="L4" s="5044">
        <v>2</v>
      </c>
      <c r="M4" s="5044">
        <v>3</v>
      </c>
      <c r="N4" s="5045">
        <v>4</v>
      </c>
      <c r="O4" s="5043">
        <v>1</v>
      </c>
      <c r="P4" s="5044">
        <v>2</v>
      </c>
      <c r="Q4" s="5044">
        <v>3</v>
      </c>
      <c r="R4" s="5045">
        <v>4</v>
      </c>
      <c r="S4" s="5043">
        <v>1</v>
      </c>
      <c r="T4" s="5044">
        <v>2</v>
      </c>
      <c r="U4" s="5044">
        <v>3</v>
      </c>
      <c r="V4" s="5045">
        <v>4</v>
      </c>
      <c r="W4" s="5043">
        <v>1</v>
      </c>
      <c r="X4" s="5044">
        <v>2</v>
      </c>
      <c r="Y4" s="5044">
        <v>3</v>
      </c>
      <c r="Z4" s="5045">
        <v>4</v>
      </c>
      <c r="AA4" s="5043">
        <v>1</v>
      </c>
      <c r="AB4" s="5044">
        <v>2</v>
      </c>
      <c r="AC4" s="5044">
        <v>3</v>
      </c>
      <c r="AD4" s="5045">
        <v>4</v>
      </c>
      <c r="AE4" s="5043">
        <v>1</v>
      </c>
      <c r="AF4" s="5044">
        <v>2</v>
      </c>
      <c r="AG4" s="5044">
        <v>3</v>
      </c>
      <c r="AH4" s="5045">
        <v>4</v>
      </c>
      <c r="AI4" s="5043">
        <v>1</v>
      </c>
      <c r="AJ4" s="5044">
        <v>2</v>
      </c>
      <c r="AK4" s="5044">
        <v>3</v>
      </c>
      <c r="AL4" s="5045">
        <v>4</v>
      </c>
      <c r="AM4" s="5043">
        <v>1</v>
      </c>
      <c r="AN4" s="5044">
        <v>2</v>
      </c>
      <c r="AO4" s="5044">
        <v>3</v>
      </c>
      <c r="AP4" s="5045">
        <v>4</v>
      </c>
      <c r="AQ4" s="5043">
        <v>1</v>
      </c>
      <c r="AR4" s="5044">
        <v>2</v>
      </c>
      <c r="AS4" s="5044">
        <v>3</v>
      </c>
      <c r="AT4" s="5045">
        <v>4</v>
      </c>
      <c r="AU4" s="5043">
        <v>1</v>
      </c>
      <c r="AV4" s="5044">
        <v>2</v>
      </c>
      <c r="AW4" s="5044">
        <v>3</v>
      </c>
      <c r="AX4" s="5045">
        <v>4</v>
      </c>
      <c r="AY4" s="5043">
        <v>1</v>
      </c>
      <c r="AZ4" s="5044">
        <v>2</v>
      </c>
      <c r="BA4" s="5044">
        <v>3</v>
      </c>
      <c r="BB4" s="5045">
        <v>4</v>
      </c>
      <c r="BC4" s="5043">
        <v>1</v>
      </c>
      <c r="BD4" s="5044">
        <v>2</v>
      </c>
      <c r="BE4" s="5044">
        <v>3</v>
      </c>
      <c r="BF4" s="5045">
        <v>4</v>
      </c>
      <c r="BG4" s="5043">
        <v>1</v>
      </c>
      <c r="BH4" s="5044">
        <v>2</v>
      </c>
      <c r="BI4" s="5044">
        <v>3</v>
      </c>
      <c r="BJ4" s="5045">
        <v>4</v>
      </c>
      <c r="BK4" s="5043">
        <v>1</v>
      </c>
      <c r="BL4" s="5044">
        <v>2</v>
      </c>
      <c r="BM4" s="5044">
        <v>3</v>
      </c>
      <c r="BN4" s="5045">
        <v>4</v>
      </c>
      <c r="BO4" s="5043">
        <v>1</v>
      </c>
      <c r="BP4" s="5044">
        <v>2</v>
      </c>
      <c r="BQ4" s="5044">
        <v>3</v>
      </c>
      <c r="BR4" s="5045">
        <v>4</v>
      </c>
      <c r="BS4" s="5043">
        <v>1</v>
      </c>
      <c r="BT4" s="5044">
        <v>2</v>
      </c>
      <c r="BU4" s="5044">
        <v>3</v>
      </c>
      <c r="BV4" s="5045">
        <v>4</v>
      </c>
      <c r="BW4" s="5043">
        <v>1</v>
      </c>
      <c r="BX4" s="5044">
        <v>2</v>
      </c>
      <c r="BY4" s="5044">
        <v>3</v>
      </c>
      <c r="BZ4" s="5045">
        <v>4</v>
      </c>
      <c r="CA4" s="5043">
        <v>1</v>
      </c>
      <c r="CB4" s="5044">
        <v>2</v>
      </c>
      <c r="CC4" s="5044">
        <v>3</v>
      </c>
      <c r="CD4" s="5045">
        <v>4</v>
      </c>
      <c r="CE4" s="5043">
        <v>1</v>
      </c>
      <c r="CF4" s="5044">
        <v>2</v>
      </c>
      <c r="CG4" s="5044">
        <v>3</v>
      </c>
      <c r="CH4" s="5045">
        <v>4</v>
      </c>
      <c r="CI4" s="5043">
        <v>1</v>
      </c>
      <c r="CJ4" s="5044">
        <v>2</v>
      </c>
      <c r="CK4" s="5044">
        <v>3</v>
      </c>
      <c r="CL4" s="5045">
        <v>4</v>
      </c>
      <c r="CM4" s="5043">
        <v>1</v>
      </c>
      <c r="CN4" s="5044">
        <v>2</v>
      </c>
      <c r="CO4" s="5044">
        <v>3</v>
      </c>
      <c r="CP4" s="5045">
        <v>4</v>
      </c>
      <c r="CQ4" s="5043">
        <v>1</v>
      </c>
      <c r="CR4" s="5044">
        <v>2</v>
      </c>
      <c r="CS4" s="5044">
        <v>3</v>
      </c>
      <c r="CT4" s="5045">
        <v>4</v>
      </c>
      <c r="CU4" s="5043">
        <v>1</v>
      </c>
      <c r="CV4" s="5044">
        <v>2</v>
      </c>
      <c r="CW4" s="5044">
        <v>3</v>
      </c>
      <c r="CX4" s="5045">
        <v>4</v>
      </c>
      <c r="CY4" s="5043">
        <v>1</v>
      </c>
      <c r="CZ4" s="5044">
        <v>2</v>
      </c>
      <c r="DA4" s="5044">
        <v>3</v>
      </c>
      <c r="DB4" s="5045">
        <v>4</v>
      </c>
      <c r="DC4" s="5043">
        <v>1</v>
      </c>
      <c r="DD4" s="5044">
        <v>2</v>
      </c>
      <c r="DE4" s="5044">
        <v>3</v>
      </c>
      <c r="DF4" s="5045">
        <v>4</v>
      </c>
      <c r="DG4" s="5043">
        <v>1</v>
      </c>
      <c r="DH4" s="5044">
        <v>2</v>
      </c>
      <c r="DI4" s="5044">
        <v>3</v>
      </c>
      <c r="DJ4" s="5045">
        <v>4</v>
      </c>
      <c r="DK4" s="5043">
        <v>1</v>
      </c>
      <c r="DL4" s="5044">
        <v>2</v>
      </c>
      <c r="DM4" s="5044">
        <v>3</v>
      </c>
      <c r="DN4" s="5045">
        <v>4</v>
      </c>
      <c r="DO4" s="5043">
        <v>1</v>
      </c>
      <c r="DP4" s="5044">
        <v>2</v>
      </c>
      <c r="DQ4" s="5044">
        <v>3</v>
      </c>
      <c r="DR4" s="5045">
        <v>4</v>
      </c>
      <c r="DS4" s="5043">
        <v>1</v>
      </c>
      <c r="DT4" s="5044">
        <v>2</v>
      </c>
      <c r="DU4" s="5044">
        <v>3</v>
      </c>
      <c r="DV4" s="5045">
        <v>4</v>
      </c>
      <c r="DW4" s="5043">
        <v>1</v>
      </c>
      <c r="DX4" s="5044">
        <v>2</v>
      </c>
      <c r="DY4" s="5044">
        <v>3</v>
      </c>
      <c r="DZ4" s="5045">
        <v>4</v>
      </c>
      <c r="EA4" s="5043">
        <v>1</v>
      </c>
      <c r="EB4" s="5044">
        <v>2</v>
      </c>
      <c r="EC4" s="5044">
        <v>3</v>
      </c>
      <c r="ED4" s="5045">
        <v>4</v>
      </c>
      <c r="EE4" s="5043">
        <v>1</v>
      </c>
      <c r="EF4" s="5044">
        <v>2</v>
      </c>
      <c r="EG4" s="5044">
        <v>3</v>
      </c>
      <c r="EH4" s="5045">
        <v>4</v>
      </c>
      <c r="EI4" s="5043">
        <v>1</v>
      </c>
      <c r="EJ4" s="5044">
        <v>2</v>
      </c>
      <c r="EK4" s="5044">
        <v>3</v>
      </c>
      <c r="EL4" s="5045">
        <v>4</v>
      </c>
      <c r="EM4" s="5043">
        <v>1</v>
      </c>
      <c r="EN4" s="5044">
        <v>2</v>
      </c>
      <c r="EO4" s="5044">
        <v>3</v>
      </c>
      <c r="EP4" s="5045">
        <v>4</v>
      </c>
      <c r="EQ4" s="5043">
        <v>1</v>
      </c>
      <c r="ER4" s="5044">
        <v>2</v>
      </c>
      <c r="ES4" s="5044">
        <v>3</v>
      </c>
      <c r="ET4" s="5045">
        <v>4</v>
      </c>
      <c r="EU4" s="5043">
        <v>1</v>
      </c>
      <c r="EV4" s="5044">
        <v>2</v>
      </c>
      <c r="EW4" s="5044">
        <v>3</v>
      </c>
      <c r="EX4" s="5045">
        <v>4</v>
      </c>
      <c r="EY4" s="5043">
        <v>1</v>
      </c>
      <c r="EZ4" s="5044">
        <v>2</v>
      </c>
      <c r="FA4" s="5044">
        <v>3</v>
      </c>
      <c r="FB4" s="5045">
        <v>4</v>
      </c>
      <c r="FC4" s="5043">
        <v>1</v>
      </c>
      <c r="FD4" s="5044">
        <v>2</v>
      </c>
      <c r="FE4" s="5044">
        <v>3</v>
      </c>
      <c r="FF4" s="5045">
        <v>4</v>
      </c>
      <c r="FG4" s="5043">
        <v>1</v>
      </c>
      <c r="FH4" s="5044">
        <v>2</v>
      </c>
      <c r="FI4" s="5044">
        <v>3</v>
      </c>
      <c r="FJ4" s="5045">
        <v>4</v>
      </c>
      <c r="FK4" s="5043">
        <v>1</v>
      </c>
      <c r="FL4" s="5044">
        <v>2</v>
      </c>
      <c r="FM4" s="5044">
        <v>3</v>
      </c>
      <c r="FN4" s="5045">
        <v>4</v>
      </c>
      <c r="FO4" s="5043">
        <v>1</v>
      </c>
      <c r="FP4" s="5044">
        <v>2</v>
      </c>
      <c r="FQ4" s="5044">
        <v>3</v>
      </c>
      <c r="FR4" s="5045">
        <v>4</v>
      </c>
      <c r="FS4" s="5043">
        <v>1</v>
      </c>
      <c r="FT4" s="5044">
        <v>2</v>
      </c>
      <c r="FU4" s="5044">
        <v>3</v>
      </c>
      <c r="FV4" s="5045">
        <v>4</v>
      </c>
      <c r="FW4" s="5043">
        <v>1</v>
      </c>
      <c r="FX4" s="5044">
        <v>2</v>
      </c>
      <c r="FY4" s="5044">
        <v>3</v>
      </c>
      <c r="FZ4" s="5045">
        <v>4</v>
      </c>
      <c r="GA4" s="5043">
        <v>1</v>
      </c>
      <c r="GB4" s="5044">
        <v>2</v>
      </c>
      <c r="GC4" s="5044">
        <v>3</v>
      </c>
      <c r="GD4" s="5045">
        <v>4</v>
      </c>
    </row>
    <row r="5" spans="1:202" ht="17.100000000000001" customHeight="1">
      <c r="B5" s="5598"/>
      <c r="C5" s="5599"/>
      <c r="D5" s="5599"/>
      <c r="E5" s="5600"/>
      <c r="F5" s="5584"/>
      <c r="G5" s="4919">
        <f t="shared" ref="G5:T5" si="4">EOMONTH(H5,-3)</f>
        <v>42094</v>
      </c>
      <c r="H5" s="4920">
        <f t="shared" si="4"/>
        <v>42185</v>
      </c>
      <c r="I5" s="4920">
        <f t="shared" si="4"/>
        <v>42277</v>
      </c>
      <c r="J5" s="4921">
        <f t="shared" si="4"/>
        <v>42369</v>
      </c>
      <c r="K5" s="4919">
        <f t="shared" si="4"/>
        <v>42460</v>
      </c>
      <c r="L5" s="4920">
        <f t="shared" si="4"/>
        <v>42551</v>
      </c>
      <c r="M5" s="4920">
        <f t="shared" si="4"/>
        <v>42643</v>
      </c>
      <c r="N5" s="4921">
        <f t="shared" si="4"/>
        <v>42735</v>
      </c>
      <c r="O5" s="4919">
        <f t="shared" si="4"/>
        <v>42825</v>
      </c>
      <c r="P5" s="4920">
        <f t="shared" si="4"/>
        <v>42916</v>
      </c>
      <c r="Q5" s="4920">
        <f t="shared" si="4"/>
        <v>43008</v>
      </c>
      <c r="R5" s="4921">
        <f t="shared" si="4"/>
        <v>43100</v>
      </c>
      <c r="S5" s="4919">
        <f t="shared" si="4"/>
        <v>43190</v>
      </c>
      <c r="T5" s="4920">
        <f t="shared" si="4"/>
        <v>43281</v>
      </c>
      <c r="U5" s="4920">
        <f>EOMONTH(V5,-3)</f>
        <v>43373</v>
      </c>
      <c r="V5" s="4921">
        <v>43465</v>
      </c>
      <c r="W5" s="4919">
        <f>기준분기</f>
        <v>43555</v>
      </c>
      <c r="X5" s="4920">
        <f t="shared" ref="X5:CI5" si="5">EOMONTH(W5,3)</f>
        <v>43646</v>
      </c>
      <c r="Y5" s="4920">
        <f t="shared" si="5"/>
        <v>43738</v>
      </c>
      <c r="Z5" s="4921">
        <f t="shared" si="5"/>
        <v>43830</v>
      </c>
      <c r="AA5" s="4919">
        <f t="shared" si="5"/>
        <v>43921</v>
      </c>
      <c r="AB5" s="4920">
        <f t="shared" si="5"/>
        <v>44012</v>
      </c>
      <c r="AC5" s="4920">
        <f t="shared" si="5"/>
        <v>44104</v>
      </c>
      <c r="AD5" s="4921">
        <f t="shared" si="5"/>
        <v>44196</v>
      </c>
      <c r="AE5" s="4919">
        <f t="shared" si="5"/>
        <v>44286</v>
      </c>
      <c r="AF5" s="4920">
        <f t="shared" si="5"/>
        <v>44377</v>
      </c>
      <c r="AG5" s="4920">
        <f t="shared" si="5"/>
        <v>44469</v>
      </c>
      <c r="AH5" s="4921">
        <f t="shared" si="5"/>
        <v>44561</v>
      </c>
      <c r="AI5" s="4919">
        <f t="shared" si="5"/>
        <v>44651</v>
      </c>
      <c r="AJ5" s="4920">
        <f t="shared" si="5"/>
        <v>44742</v>
      </c>
      <c r="AK5" s="4920">
        <f t="shared" si="5"/>
        <v>44834</v>
      </c>
      <c r="AL5" s="4921">
        <f t="shared" si="5"/>
        <v>44926</v>
      </c>
      <c r="AM5" s="4919">
        <f t="shared" si="5"/>
        <v>45016</v>
      </c>
      <c r="AN5" s="4920">
        <f t="shared" si="5"/>
        <v>45107</v>
      </c>
      <c r="AO5" s="4920">
        <f t="shared" si="5"/>
        <v>45199</v>
      </c>
      <c r="AP5" s="4921">
        <f t="shared" si="5"/>
        <v>45291</v>
      </c>
      <c r="AQ5" s="4919">
        <f t="shared" si="5"/>
        <v>45382</v>
      </c>
      <c r="AR5" s="4920">
        <f t="shared" si="5"/>
        <v>45473</v>
      </c>
      <c r="AS5" s="4920">
        <f t="shared" si="5"/>
        <v>45565</v>
      </c>
      <c r="AT5" s="4921">
        <f t="shared" si="5"/>
        <v>45657</v>
      </c>
      <c r="AU5" s="4919">
        <f t="shared" si="5"/>
        <v>45747</v>
      </c>
      <c r="AV5" s="4920">
        <f t="shared" si="5"/>
        <v>45838</v>
      </c>
      <c r="AW5" s="4920">
        <f t="shared" si="5"/>
        <v>45930</v>
      </c>
      <c r="AX5" s="4921">
        <f t="shared" si="5"/>
        <v>46022</v>
      </c>
      <c r="AY5" s="4919">
        <f t="shared" si="5"/>
        <v>46112</v>
      </c>
      <c r="AZ5" s="4920">
        <f t="shared" si="5"/>
        <v>46203</v>
      </c>
      <c r="BA5" s="4920">
        <f t="shared" si="5"/>
        <v>46295</v>
      </c>
      <c r="BB5" s="4921">
        <f t="shared" si="5"/>
        <v>46387</v>
      </c>
      <c r="BC5" s="4919">
        <f t="shared" si="5"/>
        <v>46477</v>
      </c>
      <c r="BD5" s="4920">
        <f t="shared" si="5"/>
        <v>46568</v>
      </c>
      <c r="BE5" s="4920">
        <f t="shared" si="5"/>
        <v>46660</v>
      </c>
      <c r="BF5" s="4921">
        <f t="shared" si="5"/>
        <v>46752</v>
      </c>
      <c r="BG5" s="4919">
        <f t="shared" si="5"/>
        <v>46843</v>
      </c>
      <c r="BH5" s="4920">
        <f t="shared" si="5"/>
        <v>46934</v>
      </c>
      <c r="BI5" s="4920">
        <f t="shared" si="5"/>
        <v>47026</v>
      </c>
      <c r="BJ5" s="4921">
        <f t="shared" si="5"/>
        <v>47118</v>
      </c>
      <c r="BK5" s="4919">
        <f t="shared" si="5"/>
        <v>47208</v>
      </c>
      <c r="BL5" s="4920">
        <f t="shared" si="5"/>
        <v>47299</v>
      </c>
      <c r="BM5" s="4920">
        <f t="shared" si="5"/>
        <v>47391</v>
      </c>
      <c r="BN5" s="4921">
        <f t="shared" si="5"/>
        <v>47483</v>
      </c>
      <c r="BO5" s="4919">
        <f t="shared" si="5"/>
        <v>47573</v>
      </c>
      <c r="BP5" s="4920">
        <f t="shared" si="5"/>
        <v>47664</v>
      </c>
      <c r="BQ5" s="4920">
        <f t="shared" si="5"/>
        <v>47756</v>
      </c>
      <c r="BR5" s="4921">
        <f t="shared" si="5"/>
        <v>47848</v>
      </c>
      <c r="BS5" s="4919">
        <f t="shared" si="5"/>
        <v>47938</v>
      </c>
      <c r="BT5" s="4920">
        <f t="shared" si="5"/>
        <v>48029</v>
      </c>
      <c r="BU5" s="4920">
        <f t="shared" si="5"/>
        <v>48121</v>
      </c>
      <c r="BV5" s="4921">
        <f t="shared" si="5"/>
        <v>48213</v>
      </c>
      <c r="BW5" s="4919">
        <f t="shared" si="5"/>
        <v>48304</v>
      </c>
      <c r="BX5" s="4920">
        <f t="shared" si="5"/>
        <v>48395</v>
      </c>
      <c r="BY5" s="4920">
        <f t="shared" si="5"/>
        <v>48487</v>
      </c>
      <c r="BZ5" s="4921">
        <f t="shared" si="5"/>
        <v>48579</v>
      </c>
      <c r="CA5" s="4919">
        <f t="shared" si="5"/>
        <v>48669</v>
      </c>
      <c r="CB5" s="4920">
        <f t="shared" si="5"/>
        <v>48760</v>
      </c>
      <c r="CC5" s="4920">
        <f t="shared" si="5"/>
        <v>48852</v>
      </c>
      <c r="CD5" s="4921">
        <f t="shared" si="5"/>
        <v>48944</v>
      </c>
      <c r="CE5" s="4919">
        <f t="shared" si="5"/>
        <v>49034</v>
      </c>
      <c r="CF5" s="4920">
        <f t="shared" si="5"/>
        <v>49125</v>
      </c>
      <c r="CG5" s="4920">
        <f t="shared" si="5"/>
        <v>49217</v>
      </c>
      <c r="CH5" s="4921">
        <f t="shared" si="5"/>
        <v>49309</v>
      </c>
      <c r="CI5" s="4919">
        <f t="shared" si="5"/>
        <v>49399</v>
      </c>
      <c r="CJ5" s="4920">
        <f t="shared" ref="CJ5:EU5" si="6">EOMONTH(CI5,3)</f>
        <v>49490</v>
      </c>
      <c r="CK5" s="4920">
        <f t="shared" si="6"/>
        <v>49582</v>
      </c>
      <c r="CL5" s="4921">
        <f t="shared" si="6"/>
        <v>49674</v>
      </c>
      <c r="CM5" s="4919">
        <f t="shared" si="6"/>
        <v>49765</v>
      </c>
      <c r="CN5" s="4920">
        <f t="shared" si="6"/>
        <v>49856</v>
      </c>
      <c r="CO5" s="4920">
        <f t="shared" si="6"/>
        <v>49948</v>
      </c>
      <c r="CP5" s="4921">
        <f t="shared" si="6"/>
        <v>50040</v>
      </c>
      <c r="CQ5" s="4919">
        <f t="shared" si="6"/>
        <v>50130</v>
      </c>
      <c r="CR5" s="4920">
        <f t="shared" si="6"/>
        <v>50221</v>
      </c>
      <c r="CS5" s="4920">
        <f t="shared" si="6"/>
        <v>50313</v>
      </c>
      <c r="CT5" s="4921">
        <f t="shared" si="6"/>
        <v>50405</v>
      </c>
      <c r="CU5" s="4919">
        <f t="shared" si="6"/>
        <v>50495</v>
      </c>
      <c r="CV5" s="4920">
        <f t="shared" si="6"/>
        <v>50586</v>
      </c>
      <c r="CW5" s="4920">
        <f t="shared" si="6"/>
        <v>50678</v>
      </c>
      <c r="CX5" s="4921">
        <f t="shared" si="6"/>
        <v>50770</v>
      </c>
      <c r="CY5" s="4919">
        <f t="shared" si="6"/>
        <v>50860</v>
      </c>
      <c r="CZ5" s="4920">
        <f t="shared" si="6"/>
        <v>50951</v>
      </c>
      <c r="DA5" s="4920">
        <f t="shared" si="6"/>
        <v>51043</v>
      </c>
      <c r="DB5" s="4921">
        <f t="shared" si="6"/>
        <v>51135</v>
      </c>
      <c r="DC5" s="4919">
        <f t="shared" si="6"/>
        <v>51226</v>
      </c>
      <c r="DD5" s="4920">
        <f t="shared" si="6"/>
        <v>51317</v>
      </c>
      <c r="DE5" s="4920">
        <f t="shared" si="6"/>
        <v>51409</v>
      </c>
      <c r="DF5" s="4921">
        <f t="shared" si="6"/>
        <v>51501</v>
      </c>
      <c r="DG5" s="4919">
        <f t="shared" si="6"/>
        <v>51591</v>
      </c>
      <c r="DH5" s="4920">
        <f t="shared" si="6"/>
        <v>51682</v>
      </c>
      <c r="DI5" s="4920">
        <f t="shared" si="6"/>
        <v>51774</v>
      </c>
      <c r="DJ5" s="4921">
        <f t="shared" si="6"/>
        <v>51866</v>
      </c>
      <c r="DK5" s="4919">
        <f t="shared" si="6"/>
        <v>51956</v>
      </c>
      <c r="DL5" s="4920">
        <f t="shared" si="6"/>
        <v>52047</v>
      </c>
      <c r="DM5" s="4920">
        <f t="shared" si="6"/>
        <v>52139</v>
      </c>
      <c r="DN5" s="4921">
        <f t="shared" si="6"/>
        <v>52231</v>
      </c>
      <c r="DO5" s="4919">
        <f t="shared" si="6"/>
        <v>52321</v>
      </c>
      <c r="DP5" s="4920">
        <f t="shared" si="6"/>
        <v>52412</v>
      </c>
      <c r="DQ5" s="4920">
        <f t="shared" si="6"/>
        <v>52504</v>
      </c>
      <c r="DR5" s="4921">
        <f t="shared" si="6"/>
        <v>52596</v>
      </c>
      <c r="DS5" s="4919">
        <f t="shared" si="6"/>
        <v>52687</v>
      </c>
      <c r="DT5" s="4920">
        <f t="shared" si="6"/>
        <v>52778</v>
      </c>
      <c r="DU5" s="4920">
        <f t="shared" si="6"/>
        <v>52870</v>
      </c>
      <c r="DV5" s="4921">
        <f t="shared" si="6"/>
        <v>52962</v>
      </c>
      <c r="DW5" s="4919">
        <f t="shared" si="6"/>
        <v>53052</v>
      </c>
      <c r="DX5" s="4920">
        <f t="shared" si="6"/>
        <v>53143</v>
      </c>
      <c r="DY5" s="4920">
        <f t="shared" si="6"/>
        <v>53235</v>
      </c>
      <c r="DZ5" s="4921">
        <f t="shared" si="6"/>
        <v>53327</v>
      </c>
      <c r="EA5" s="4919">
        <f t="shared" si="6"/>
        <v>53417</v>
      </c>
      <c r="EB5" s="4920">
        <f t="shared" si="6"/>
        <v>53508</v>
      </c>
      <c r="EC5" s="4920">
        <f t="shared" si="6"/>
        <v>53600</v>
      </c>
      <c r="ED5" s="4921">
        <f t="shared" si="6"/>
        <v>53692</v>
      </c>
      <c r="EE5" s="4919">
        <f t="shared" si="6"/>
        <v>53782</v>
      </c>
      <c r="EF5" s="4920">
        <f t="shared" si="6"/>
        <v>53873</v>
      </c>
      <c r="EG5" s="4920">
        <f t="shared" si="6"/>
        <v>53965</v>
      </c>
      <c r="EH5" s="4921">
        <f t="shared" si="6"/>
        <v>54057</v>
      </c>
      <c r="EI5" s="4919">
        <f t="shared" si="6"/>
        <v>54148</v>
      </c>
      <c r="EJ5" s="4920">
        <f t="shared" si="6"/>
        <v>54239</v>
      </c>
      <c r="EK5" s="4920">
        <f t="shared" si="6"/>
        <v>54331</v>
      </c>
      <c r="EL5" s="4921">
        <f t="shared" si="6"/>
        <v>54423</v>
      </c>
      <c r="EM5" s="4919">
        <f t="shared" si="6"/>
        <v>54513</v>
      </c>
      <c r="EN5" s="4920">
        <f t="shared" si="6"/>
        <v>54604</v>
      </c>
      <c r="EO5" s="4920">
        <f t="shared" si="6"/>
        <v>54696</v>
      </c>
      <c r="EP5" s="4921">
        <f t="shared" si="6"/>
        <v>54788</v>
      </c>
      <c r="EQ5" s="4919">
        <f t="shared" si="6"/>
        <v>54878</v>
      </c>
      <c r="ER5" s="4920">
        <f t="shared" si="6"/>
        <v>54969</v>
      </c>
      <c r="ES5" s="4920">
        <f t="shared" si="6"/>
        <v>55061</v>
      </c>
      <c r="ET5" s="4921">
        <f t="shared" si="6"/>
        <v>55153</v>
      </c>
      <c r="EU5" s="4919">
        <f t="shared" si="6"/>
        <v>55243</v>
      </c>
      <c r="EV5" s="4920">
        <f t="shared" ref="EV5:GD5" si="7">EOMONTH(EU5,3)</f>
        <v>55334</v>
      </c>
      <c r="EW5" s="4920">
        <f t="shared" si="7"/>
        <v>55426</v>
      </c>
      <c r="EX5" s="4921">
        <f t="shared" si="7"/>
        <v>55518</v>
      </c>
      <c r="EY5" s="4919">
        <f t="shared" si="7"/>
        <v>55609</v>
      </c>
      <c r="EZ5" s="4920">
        <f t="shared" si="7"/>
        <v>55700</v>
      </c>
      <c r="FA5" s="4920">
        <f t="shared" si="7"/>
        <v>55792</v>
      </c>
      <c r="FB5" s="4921">
        <f t="shared" si="7"/>
        <v>55884</v>
      </c>
      <c r="FC5" s="4919">
        <f t="shared" si="7"/>
        <v>55974</v>
      </c>
      <c r="FD5" s="4920">
        <f t="shared" si="7"/>
        <v>56065</v>
      </c>
      <c r="FE5" s="4920">
        <f t="shared" si="7"/>
        <v>56157</v>
      </c>
      <c r="FF5" s="4921">
        <f t="shared" si="7"/>
        <v>56249</v>
      </c>
      <c r="FG5" s="4919">
        <f t="shared" si="7"/>
        <v>56339</v>
      </c>
      <c r="FH5" s="4920">
        <f t="shared" si="7"/>
        <v>56430</v>
      </c>
      <c r="FI5" s="4920">
        <f t="shared" si="7"/>
        <v>56522</v>
      </c>
      <c r="FJ5" s="4921">
        <f t="shared" si="7"/>
        <v>56614</v>
      </c>
      <c r="FK5" s="4919">
        <f t="shared" si="7"/>
        <v>56704</v>
      </c>
      <c r="FL5" s="4920">
        <f t="shared" si="7"/>
        <v>56795</v>
      </c>
      <c r="FM5" s="4920">
        <f t="shared" si="7"/>
        <v>56887</v>
      </c>
      <c r="FN5" s="4921">
        <f t="shared" si="7"/>
        <v>56979</v>
      </c>
      <c r="FO5" s="4919">
        <f t="shared" si="7"/>
        <v>57070</v>
      </c>
      <c r="FP5" s="4920">
        <f t="shared" si="7"/>
        <v>57161</v>
      </c>
      <c r="FQ5" s="4920">
        <f t="shared" si="7"/>
        <v>57253</v>
      </c>
      <c r="FR5" s="4921">
        <f t="shared" si="7"/>
        <v>57345</v>
      </c>
      <c r="FS5" s="4919">
        <f t="shared" si="7"/>
        <v>57435</v>
      </c>
      <c r="FT5" s="4920">
        <f t="shared" si="7"/>
        <v>57526</v>
      </c>
      <c r="FU5" s="4920">
        <f t="shared" si="7"/>
        <v>57618</v>
      </c>
      <c r="FV5" s="4921">
        <f t="shared" si="7"/>
        <v>57710</v>
      </c>
      <c r="FW5" s="4919">
        <f t="shared" si="7"/>
        <v>57800</v>
      </c>
      <c r="FX5" s="4920">
        <f t="shared" si="7"/>
        <v>57891</v>
      </c>
      <c r="FY5" s="4920">
        <f t="shared" si="7"/>
        <v>57983</v>
      </c>
      <c r="FZ5" s="4921">
        <f t="shared" si="7"/>
        <v>58075</v>
      </c>
      <c r="GA5" s="4919">
        <f t="shared" si="7"/>
        <v>58165</v>
      </c>
      <c r="GB5" s="4920">
        <f t="shared" si="7"/>
        <v>58256</v>
      </c>
      <c r="GC5" s="4920">
        <f t="shared" si="7"/>
        <v>58348</v>
      </c>
      <c r="GD5" s="4921">
        <f t="shared" si="7"/>
        <v>58440</v>
      </c>
      <c r="GE5" s="4854"/>
      <c r="GF5" s="643"/>
      <c r="GG5" s="643"/>
      <c r="GH5" s="643"/>
      <c r="GI5" s="643"/>
      <c r="GJ5" s="643"/>
      <c r="GK5" s="643"/>
      <c r="GL5" s="643"/>
      <c r="GM5" s="643"/>
      <c r="GN5" s="643"/>
      <c r="GO5" s="643"/>
      <c r="GP5" s="643"/>
      <c r="GQ5" s="643"/>
      <c r="GR5" s="643"/>
      <c r="GS5" s="643"/>
      <c r="GT5" s="643"/>
    </row>
    <row r="6" spans="1:202" ht="17.100000000000001" customHeight="1">
      <c r="B6" s="720" t="s">
        <v>1301</v>
      </c>
      <c r="C6" s="315"/>
      <c r="D6" s="1259"/>
      <c r="E6" s="722"/>
      <c r="F6" s="1501">
        <f ca="1">SUM(AE6:GT6)</f>
        <v>4806.3242477082695</v>
      </c>
      <c r="G6" s="1502">
        <f t="shared" ref="G6:BR6" si="8">G7-G15</f>
        <v>-115.31196772999999</v>
      </c>
      <c r="H6" s="1502">
        <f t="shared" si="8"/>
        <v>-7.3425128800000152</v>
      </c>
      <c r="I6" s="1502">
        <f t="shared" si="8"/>
        <v>-7.9769490700000034</v>
      </c>
      <c r="J6" s="1502">
        <f t="shared" si="8"/>
        <v>137.67713815455582</v>
      </c>
      <c r="K6" s="1502">
        <f t="shared" si="8"/>
        <v>67.375322485444187</v>
      </c>
      <c r="L6" s="1502">
        <f t="shared" si="8"/>
        <v>1.6086142300000006</v>
      </c>
      <c r="M6" s="1502">
        <f t="shared" si="8"/>
        <v>175.85966145</v>
      </c>
      <c r="N6" s="1502">
        <f t="shared" si="8"/>
        <v>1.9148796199098399</v>
      </c>
      <c r="O6" s="1502">
        <f t="shared" si="8"/>
        <v>21.518407639999992</v>
      </c>
      <c r="P6" s="1502">
        <f t="shared" si="8"/>
        <v>-6.0728730201394185</v>
      </c>
      <c r="Q6" s="1502">
        <f t="shared" si="8"/>
        <v>5.9869595200000134</v>
      </c>
      <c r="R6" s="1502">
        <f t="shared" si="8"/>
        <v>198.67090656269355</v>
      </c>
      <c r="S6" s="1502">
        <f t="shared" si="8"/>
        <v>-13.455077100000011</v>
      </c>
      <c r="T6" s="1502">
        <f t="shared" si="8"/>
        <v>187.17515623999998</v>
      </c>
      <c r="U6" s="1502">
        <f t="shared" si="8"/>
        <v>10.725459709999996</v>
      </c>
      <c r="V6" s="1502">
        <f t="shared" si="8"/>
        <v>18.270356715999995</v>
      </c>
      <c r="W6" s="1502">
        <f t="shared" ca="1" si="8"/>
        <v>16.274066830090149</v>
      </c>
      <c r="X6" s="1503">
        <f t="shared" ca="1" si="8"/>
        <v>8.7289995399999754</v>
      </c>
      <c r="Y6" s="1503">
        <f t="shared" ca="1" si="8"/>
        <v>-14.372840590000003</v>
      </c>
      <c r="Z6" s="1504">
        <f t="shared" ca="1" si="8"/>
        <v>12.78713256999999</v>
      </c>
      <c r="AA6" s="1502">
        <f t="shared" ca="1" si="8"/>
        <v>141.14981525077917</v>
      </c>
      <c r="AB6" s="1503">
        <f t="shared" ca="1" si="8"/>
        <v>113.80219673637883</v>
      </c>
      <c r="AC6" s="1503">
        <f t="shared" ca="1" si="8"/>
        <v>18.260527699999983</v>
      </c>
      <c r="AD6" s="1504">
        <f t="shared" ca="1" si="8"/>
        <v>-1.162017860000006</v>
      </c>
      <c r="AE6" s="1505">
        <f t="shared" ca="1" si="8"/>
        <v>8.8859099399999906</v>
      </c>
      <c r="AF6" s="1506">
        <f t="shared" ca="1" si="8"/>
        <v>64.459916478206068</v>
      </c>
      <c r="AG6" s="1506">
        <f t="shared" ca="1" si="8"/>
        <v>37.751973686666666</v>
      </c>
      <c r="AH6" s="1507">
        <f t="shared" ca="1" si="8"/>
        <v>47.363458193255823</v>
      </c>
      <c r="AI6" s="1505">
        <f t="shared" ca="1" si="8"/>
        <v>38.96002506</v>
      </c>
      <c r="AJ6" s="1506">
        <f t="shared" ca="1" si="8"/>
        <v>56.73677008237317</v>
      </c>
      <c r="AK6" s="1506">
        <f t="shared" ca="1" si="8"/>
        <v>32.459779917626832</v>
      </c>
      <c r="AL6" s="1507">
        <f t="shared" ca="1" si="8"/>
        <v>42.194009999999999</v>
      </c>
      <c r="AM6" s="1505">
        <f t="shared" ca="1" si="8"/>
        <v>51.700933925605867</v>
      </c>
      <c r="AN6" s="1506">
        <f t="shared" ca="1" si="8"/>
        <v>123.0083040744682</v>
      </c>
      <c r="AO6" s="1506">
        <f t="shared" ca="1" si="8"/>
        <v>0.83443586652306578</v>
      </c>
      <c r="AP6" s="1507">
        <f t="shared" ca="1" si="8"/>
        <v>4.6506030388682689</v>
      </c>
      <c r="AQ6" s="1505">
        <f t="shared" ca="1" si="8"/>
        <v>23.275773094534614</v>
      </c>
      <c r="AR6" s="1506">
        <f t="shared" ca="1" si="8"/>
        <v>122.33682797974019</v>
      </c>
      <c r="AS6" s="1506">
        <f t="shared" ca="1" si="8"/>
        <v>4.0457291154358188</v>
      </c>
      <c r="AT6" s="1507">
        <f t="shared" ca="1" si="8"/>
        <v>8.8729884675158459</v>
      </c>
      <c r="AU6" s="1505">
        <f t="shared" ca="1" si="8"/>
        <v>45.741237444808128</v>
      </c>
      <c r="AV6" s="1506">
        <f t="shared" ca="1" si="8"/>
        <v>53.292115966893313</v>
      </c>
      <c r="AW6" s="1506">
        <f t="shared" ca="1" si="8"/>
        <v>53.741020048106677</v>
      </c>
      <c r="AX6" s="1507">
        <f t="shared" ca="1" si="8"/>
        <v>54.762303007500002</v>
      </c>
      <c r="AY6" s="1505">
        <f t="shared" ca="1" si="8"/>
        <v>34.457164333992765</v>
      </c>
      <c r="AZ6" s="1506">
        <f t="shared" ca="1" si="8"/>
        <v>39.44010433399275</v>
      </c>
      <c r="BA6" s="1506">
        <f t="shared" ca="1" si="8"/>
        <v>40.270594333992747</v>
      </c>
      <c r="BB6" s="1507">
        <f t="shared" ca="1" si="8"/>
        <v>34.45716433399275</v>
      </c>
      <c r="BC6" s="1505">
        <f t="shared" ca="1" si="8"/>
        <v>20.926709978802464</v>
      </c>
      <c r="BD6" s="1506">
        <f t="shared" ca="1" si="8"/>
        <v>16.48778016191887</v>
      </c>
      <c r="BE6" s="1506">
        <f t="shared" ca="1" si="8"/>
        <v>16.3858393990959</v>
      </c>
      <c r="BF6" s="1507">
        <f t="shared" ca="1" si="8"/>
        <v>16.709501881918868</v>
      </c>
      <c r="BG6" s="1505">
        <f t="shared" ca="1" si="8"/>
        <v>13.886461884039178</v>
      </c>
      <c r="BH6" s="1506">
        <f t="shared" ca="1" si="8"/>
        <v>17.758771143771675</v>
      </c>
      <c r="BI6" s="1506">
        <f t="shared" ca="1" si="8"/>
        <v>16.032506992493943</v>
      </c>
      <c r="BJ6" s="1507">
        <f t="shared" ca="1" si="8"/>
        <v>17.98049286377168</v>
      </c>
      <c r="BK6" s="1505">
        <f t="shared" ca="1" si="8"/>
        <v>14.105376114251683</v>
      </c>
      <c r="BL6" s="1506">
        <f t="shared" ca="1" si="8"/>
        <v>17.491807940220717</v>
      </c>
      <c r="BM6" s="1506">
        <f t="shared" ca="1" si="8"/>
        <v>15.196320811597332</v>
      </c>
      <c r="BN6" s="1507">
        <f t="shared" ca="1" si="8"/>
        <v>17.713529660220715</v>
      </c>
      <c r="BO6" s="1505">
        <f t="shared" ca="1" si="8"/>
        <v>20.554914459843808</v>
      </c>
      <c r="BP6" s="1506">
        <f t="shared" ca="1" si="8"/>
        <v>22.554789504334153</v>
      </c>
      <c r="BQ6" s="1506">
        <f t="shared" ca="1" si="8"/>
        <v>20.351677987777293</v>
      </c>
      <c r="BR6" s="1507">
        <f t="shared" ca="1" si="8"/>
        <v>22.554789504334153</v>
      </c>
      <c r="BS6" s="1505">
        <f t="shared" ref="BS6:ED6" ca="1" si="9">BS7-BS15</f>
        <v>15.237570346521423</v>
      </c>
      <c r="BT6" s="1506">
        <f t="shared" ca="1" si="9"/>
        <v>21.638912761482359</v>
      </c>
      <c r="BU6" s="1506">
        <f t="shared" ca="1" si="9"/>
        <v>17.336685795723454</v>
      </c>
      <c r="BV6" s="1507">
        <f t="shared" ca="1" si="9"/>
        <v>22.338912761482355</v>
      </c>
      <c r="BW6" s="1505">
        <f t="shared" ca="1" si="9"/>
        <v>19.571438038653696</v>
      </c>
      <c r="BX6" s="1506">
        <f t="shared" ca="1" si="9"/>
        <v>22.756223822857592</v>
      </c>
      <c r="BY6" s="1506">
        <f t="shared" ca="1" si="9"/>
        <v>19.012717447876199</v>
      </c>
      <c r="BZ6" s="1507">
        <f t="shared" ca="1" si="9"/>
        <v>22.756223822857592</v>
      </c>
      <c r="CA6" s="1505">
        <f t="shared" ca="1" si="9"/>
        <v>20.756804778915765</v>
      </c>
      <c r="CB6" s="1506">
        <f t="shared" ca="1" si="9"/>
        <v>24.986655378243256</v>
      </c>
      <c r="CC6" s="1506">
        <f t="shared" ca="1" si="9"/>
        <v>20.999976891088821</v>
      </c>
      <c r="CD6" s="1507">
        <f t="shared" ca="1" si="9"/>
        <v>24.986655378243256</v>
      </c>
      <c r="CE6" s="1505">
        <f t="shared" ca="1" si="9"/>
        <v>19.324553532473303</v>
      </c>
      <c r="CF6" s="1506">
        <f t="shared" ca="1" si="9"/>
        <v>25.264095728101964</v>
      </c>
      <c r="CG6" s="1506">
        <f t="shared" ca="1" si="9"/>
        <v>20.300985386710408</v>
      </c>
      <c r="CH6" s="1507">
        <f t="shared" ca="1" si="9"/>
        <v>25.264095728101964</v>
      </c>
      <c r="CI6" s="1505">
        <f t="shared" ca="1" si="9"/>
        <v>19.301463595484009</v>
      </c>
      <c r="CJ6" s="1506">
        <f t="shared" ca="1" si="9"/>
        <v>24.133150662208223</v>
      </c>
      <c r="CK6" s="1506">
        <f t="shared" ca="1" si="9"/>
        <v>19.235751958150331</v>
      </c>
      <c r="CL6" s="1507">
        <f t="shared" ca="1" si="9"/>
        <v>24.133150662208223</v>
      </c>
      <c r="CM6" s="1505">
        <f t="shared" ca="1" si="9"/>
        <v>24.528425082642002</v>
      </c>
      <c r="CN6" s="1506">
        <f t="shared" ca="1" si="9"/>
        <v>27.95011190758008</v>
      </c>
      <c r="CO6" s="1506">
        <f t="shared" ca="1" si="9"/>
        <v>23.790569143082095</v>
      </c>
      <c r="CP6" s="1507">
        <f t="shared" ca="1" si="9"/>
        <v>27.95011190758008</v>
      </c>
      <c r="CQ6" s="1505">
        <f t="shared" ca="1" si="9"/>
        <v>20.80657977314624</v>
      </c>
      <c r="CR6" s="1506">
        <f t="shared" ca="1" si="9"/>
        <v>27.662409613116225</v>
      </c>
      <c r="CS6" s="1506">
        <f t="shared" ca="1" si="9"/>
        <v>22.154723310882233</v>
      </c>
      <c r="CT6" s="1507">
        <f t="shared" ca="1" si="9"/>
        <v>27.662409613116225</v>
      </c>
      <c r="CU6" s="1505">
        <f t="shared" ca="1" si="9"/>
        <v>22.121775246785404</v>
      </c>
      <c r="CV6" s="1506">
        <f t="shared" ca="1" si="9"/>
        <v>27.113414849272203</v>
      </c>
      <c r="CW6" s="1506">
        <f t="shared" ca="1" si="9"/>
        <v>21.863751896911808</v>
      </c>
      <c r="CX6" s="1507">
        <f t="shared" ca="1" si="9"/>
        <v>27.113414849272203</v>
      </c>
      <c r="CY6" s="1505">
        <f t="shared" ca="1" si="9"/>
        <v>24.944775764810743</v>
      </c>
      <c r="CZ6" s="1506">
        <f t="shared" ca="1" si="9"/>
        <v>29.054744948235253</v>
      </c>
      <c r="DA6" s="1506">
        <f t="shared" ca="1" si="9"/>
        <v>24.374928880342807</v>
      </c>
      <c r="DB6" s="1507">
        <f t="shared" ca="1" si="9"/>
        <v>29.054744948235253</v>
      </c>
      <c r="DC6" s="1505">
        <f t="shared" ca="1" si="9"/>
        <v>25.653695733158216</v>
      </c>
      <c r="DD6" s="1506">
        <f t="shared" ca="1" si="9"/>
        <v>30.508295628822893</v>
      </c>
      <c r="DE6" s="1506">
        <f t="shared" ca="1" si="9"/>
        <v>25.741087647044324</v>
      </c>
      <c r="DF6" s="1507">
        <f t="shared" ca="1" si="9"/>
        <v>30.508295628822893</v>
      </c>
      <c r="DG6" s="1505">
        <f t="shared" ca="1" si="9"/>
        <v>21.690728879311564</v>
      </c>
      <c r="DH6" s="1506">
        <f t="shared" ca="1" si="9"/>
        <v>30.125106630040762</v>
      </c>
      <c r="DI6" s="1506">
        <f t="shared" ca="1" si="9"/>
        <v>23.524313763786893</v>
      </c>
      <c r="DJ6" s="1507">
        <f t="shared" ca="1" si="9"/>
        <v>31.825106630040764</v>
      </c>
      <c r="DK6" s="1505">
        <f t="shared" ca="1" si="9"/>
        <v>27.605634005760479</v>
      </c>
      <c r="DL6" s="1506">
        <f t="shared" ca="1" si="9"/>
        <v>35.096110712844833</v>
      </c>
      <c r="DM6" s="1506">
        <f t="shared" ca="1" si="9"/>
        <v>28.050475926175707</v>
      </c>
      <c r="DN6" s="1507">
        <f t="shared" ca="1" si="9"/>
        <v>35.096110712844833</v>
      </c>
      <c r="DO6" s="1505">
        <f t="shared" ca="1" si="9"/>
        <v>23.970422249487399</v>
      </c>
      <c r="DP6" s="1506">
        <f t="shared" ca="1" si="9"/>
        <v>34.75973725652787</v>
      </c>
      <c r="DQ6" s="1506">
        <f t="shared" ca="1" si="9"/>
        <v>25.842262359673072</v>
      </c>
      <c r="DR6" s="1507">
        <f t="shared" ca="1" si="9"/>
        <v>34.75973725652787</v>
      </c>
      <c r="DS6" s="1505">
        <f t="shared" ca="1" si="9"/>
        <v>26.4974965340799</v>
      </c>
      <c r="DT6" s="1506">
        <f t="shared" ca="1" si="9"/>
        <v>34.930014921865578</v>
      </c>
      <c r="DU6" s="1506">
        <f t="shared" ca="1" si="9"/>
        <v>26.25501827954534</v>
      </c>
      <c r="DV6" s="1507">
        <f t="shared" ca="1" si="9"/>
        <v>34.930014921865578</v>
      </c>
      <c r="DW6" s="1505">
        <f t="shared" ca="1" si="9"/>
        <v>28.156046160515984</v>
      </c>
      <c r="DX6" s="1506">
        <f t="shared" ca="1" si="9"/>
        <v>36.98088714833338</v>
      </c>
      <c r="DY6" s="1506">
        <f t="shared" ca="1" si="9"/>
        <v>28.230968333264556</v>
      </c>
      <c r="DZ6" s="1507">
        <f t="shared" ca="1" si="9"/>
        <v>36.98088714833338</v>
      </c>
      <c r="EA6" s="1505">
        <f t="shared" ca="1" si="9"/>
        <v>27.437434258953758</v>
      </c>
      <c r="EB6" s="1506">
        <f t="shared" ca="1" si="9"/>
        <v>38.015286900737109</v>
      </c>
      <c r="EC6" s="1506">
        <f t="shared" ca="1" si="9"/>
        <v>28.351401172311</v>
      </c>
      <c r="ED6" s="1507">
        <f t="shared" ca="1" si="9"/>
        <v>38.015286900737109</v>
      </c>
      <c r="EE6" s="1505">
        <f t="shared" ref="EE6:FZ6" ca="1" si="10">EE7-EE15</f>
        <v>26.177690569478742</v>
      </c>
      <c r="EF6" s="1506">
        <f t="shared" ca="1" si="10"/>
        <v>36.62421659930807</v>
      </c>
      <c r="EG6" s="1506">
        <f t="shared" ca="1" si="10"/>
        <v>26.56901072018033</v>
      </c>
      <c r="EH6" s="1507">
        <f t="shared" ca="1" si="10"/>
        <v>36.62421659930807</v>
      </c>
      <c r="EI6" s="1505">
        <f t="shared" ca="1" si="10"/>
        <v>30.913423385386437</v>
      </c>
      <c r="EJ6" s="1506">
        <f t="shared" ca="1" si="10"/>
        <v>39.719526394214625</v>
      </c>
      <c r="EK6" s="1506">
        <f t="shared" ca="1" si="10"/>
        <v>30.288871950236654</v>
      </c>
      <c r="EL6" s="1507">
        <f t="shared" ca="1" si="10"/>
        <v>39.719526394214625</v>
      </c>
      <c r="EM6" s="1505">
        <f t="shared" ca="1" si="10"/>
        <v>25.391180239837908</v>
      </c>
      <c r="EN6" s="1506">
        <f t="shared" ca="1" si="10"/>
        <v>37.376014291252304</v>
      </c>
      <c r="EO6" s="1506">
        <f t="shared" ca="1" si="10"/>
        <v>26.668270043556106</v>
      </c>
      <c r="EP6" s="1507">
        <f t="shared" ca="1" si="10"/>
        <v>37.376014291252304</v>
      </c>
      <c r="EQ6" s="1505">
        <f t="shared" ca="1" si="10"/>
        <v>30.30149789248506</v>
      </c>
      <c r="ER6" s="1506">
        <f t="shared" ca="1" si="10"/>
        <v>38.83100466797444</v>
      </c>
      <c r="ES6" s="1506">
        <f t="shared" ca="1" si="10"/>
        <v>29.212379156381644</v>
      </c>
      <c r="ET6" s="1507">
        <f t="shared" ca="1" si="10"/>
        <v>38.83100466797444</v>
      </c>
      <c r="EU6" s="1505">
        <f t="shared" ca="1" si="10"/>
        <v>30.727958051593035</v>
      </c>
      <c r="EV6" s="1506">
        <f t="shared" ca="1" si="10"/>
        <v>41.915708006689968</v>
      </c>
      <c r="EW6" s="1506">
        <f t="shared" ca="1" si="10"/>
        <v>31.512520273345089</v>
      </c>
      <c r="EX6" s="1507">
        <f t="shared" ca="1" si="10"/>
        <v>41.915708006689968</v>
      </c>
      <c r="EY6" s="1505">
        <f t="shared" ca="1" si="10"/>
        <v>27.723019166258055</v>
      </c>
      <c r="EZ6" s="1506">
        <f t="shared" ca="1" si="10"/>
        <v>40.785698339138619</v>
      </c>
      <c r="FA6" s="1506">
        <f t="shared" ca="1" si="10"/>
        <v>29.052764886025869</v>
      </c>
      <c r="FB6" s="1507">
        <f t="shared" ca="1" si="10"/>
        <v>40.785698339138619</v>
      </c>
      <c r="FC6" s="1505">
        <f t="shared" ca="1" si="10"/>
        <v>29.997033026932201</v>
      </c>
      <c r="FD6" s="1506">
        <f t="shared" ca="1" si="10"/>
        <v>40.979615112698212</v>
      </c>
      <c r="FE6" s="1506">
        <f t="shared" ca="1" si="10"/>
        <v>29.621857343258853</v>
      </c>
      <c r="FF6" s="1507">
        <f t="shared" ca="1" si="10"/>
        <v>40.979615112698212</v>
      </c>
      <c r="FG6" s="1505">
        <f t="shared" ca="1" si="10"/>
        <v>33.504242046542785</v>
      </c>
      <c r="FH6" s="1506">
        <f t="shared" ca="1" si="10"/>
        <v>45.042562636979639</v>
      </c>
      <c r="FI6" s="1506">
        <f t="shared" ca="1" si="10"/>
        <v>33.594523457041475</v>
      </c>
      <c r="FJ6" s="1507">
        <f t="shared" ca="1" si="10"/>
        <v>45.042562636979639</v>
      </c>
      <c r="FK6" s="1505">
        <f t="shared" ca="1" si="10"/>
        <v>29.434977072133847</v>
      </c>
      <c r="FL6" s="1506">
        <f t="shared" ca="1" si="10"/>
        <v>44.595681637342409</v>
      </c>
      <c r="FM6" s="1506">
        <f t="shared" ca="1" si="10"/>
        <v>31.291309764769068</v>
      </c>
      <c r="FN6" s="1507">
        <f t="shared" ca="1" si="10"/>
        <v>44.595681637342409</v>
      </c>
      <c r="FO6" s="1505">
        <f t="shared" ca="1" si="10"/>
        <v>31.221741357582786</v>
      </c>
      <c r="FP6" s="1506">
        <f t="shared" ca="1" si="10"/>
        <v>44.613338171608675</v>
      </c>
      <c r="FQ6" s="1506">
        <f t="shared" ca="1" si="10"/>
        <v>31.265353828309046</v>
      </c>
      <c r="FR6" s="1507">
        <f t="shared" ca="1" si="10"/>
        <v>44.613338171608675</v>
      </c>
      <c r="FS6" s="1505">
        <f t="shared" ca="1" si="10"/>
        <v>33.049298228001177</v>
      </c>
      <c r="FT6" s="1506">
        <f t="shared" ca="1" si="10"/>
        <v>46.98959884886726</v>
      </c>
      <c r="FU6" s="1506">
        <f t="shared" ca="1" si="10"/>
        <v>33.345456366784404</v>
      </c>
      <c r="FV6" s="1507">
        <f t="shared" ca="1" si="10"/>
        <v>46.98959884886726</v>
      </c>
      <c r="FW6" s="1505">
        <f t="shared" ca="1" si="10"/>
        <v>30.792252864959181</v>
      </c>
      <c r="FX6" s="1506">
        <f t="shared" ca="1" si="10"/>
        <v>46.766765738719386</v>
      </c>
      <c r="FY6" s="1506">
        <f t="shared" ca="1" si="10"/>
        <v>31.957438060797884</v>
      </c>
      <c r="FZ6" s="1507">
        <f t="shared" ca="1" si="10"/>
        <v>46.766765738719386</v>
      </c>
      <c r="GA6" s="1505">
        <f ca="1">GA7-GA15</f>
        <v>31.186734772894837</v>
      </c>
      <c r="GB6" s="1506">
        <f ca="1">GB7-GB15</f>
        <v>45.632789367612219</v>
      </c>
      <c r="GC6" s="1506">
        <f ca="1">GC7-GC15</f>
        <v>0</v>
      </c>
      <c r="GD6" s="1507">
        <f ca="1">GD7-GD15</f>
        <v>0</v>
      </c>
      <c r="GE6" s="1508"/>
      <c r="GF6" s="1509"/>
      <c r="GG6" s="1509"/>
      <c r="GH6" s="1509"/>
      <c r="GI6" s="1509"/>
      <c r="GJ6" s="1509"/>
      <c r="GK6" s="1509"/>
      <c r="GL6" s="1509"/>
      <c r="GM6" s="1509"/>
      <c r="GN6" s="1509"/>
      <c r="GO6" s="1509"/>
      <c r="GP6" s="1509"/>
      <c r="GQ6" s="1509"/>
      <c r="GR6" s="1509"/>
      <c r="GS6" s="1509"/>
      <c r="GT6" s="1509"/>
    </row>
    <row r="7" spans="1:202" ht="17.100000000000001" customHeight="1">
      <c r="B7" s="1510" t="s">
        <v>1302</v>
      </c>
      <c r="C7" s="428"/>
      <c r="D7" s="1511"/>
      <c r="E7" s="1512"/>
      <c r="F7" s="1513">
        <f t="shared" ref="F7:F46" ca="1" si="11">SUM(AE7:GT7)</f>
        <v>16073.708467792352</v>
      </c>
      <c r="G7" s="914">
        <f t="shared" ref="G7:BR7" si="12">SUM(G8:G14)</f>
        <v>37.701686840000008</v>
      </c>
      <c r="H7" s="914">
        <f t="shared" si="12"/>
        <v>78.839822339999998</v>
      </c>
      <c r="I7" s="914">
        <f t="shared" si="12"/>
        <v>39.170377130000006</v>
      </c>
      <c r="J7" s="914">
        <f t="shared" si="12"/>
        <v>169.76106941</v>
      </c>
      <c r="K7" s="914">
        <f t="shared" si="12"/>
        <v>136.48642817999999</v>
      </c>
      <c r="L7" s="914">
        <f t="shared" si="12"/>
        <v>63.682996279999998</v>
      </c>
      <c r="M7" s="914">
        <f t="shared" si="12"/>
        <v>268.24920922000001</v>
      </c>
      <c r="N7" s="914">
        <f t="shared" si="12"/>
        <v>81.054323150000002</v>
      </c>
      <c r="O7" s="914">
        <f t="shared" si="12"/>
        <v>79.212654149999992</v>
      </c>
      <c r="P7" s="914">
        <f t="shared" si="12"/>
        <v>59.056215132727267</v>
      </c>
      <c r="Q7" s="914">
        <f t="shared" si="12"/>
        <v>74.803530590000008</v>
      </c>
      <c r="R7" s="914">
        <f t="shared" si="12"/>
        <v>263.24825411999996</v>
      </c>
      <c r="S7" s="914">
        <f t="shared" si="12"/>
        <v>70.777184419999998</v>
      </c>
      <c r="T7" s="914">
        <f t="shared" si="12"/>
        <v>247.37916374</v>
      </c>
      <c r="U7" s="914">
        <f t="shared" si="12"/>
        <v>80.258722669999997</v>
      </c>
      <c r="V7" s="914">
        <f t="shared" si="12"/>
        <v>82.926046946</v>
      </c>
      <c r="W7" s="914">
        <f t="shared" si="12"/>
        <v>86.769320339999993</v>
      </c>
      <c r="X7" s="915">
        <f t="shared" si="12"/>
        <v>69.216073510000001</v>
      </c>
      <c r="Y7" s="915">
        <f t="shared" si="12"/>
        <v>62.702894280000002</v>
      </c>
      <c r="Z7" s="916">
        <f t="shared" si="12"/>
        <v>58.324454540000005</v>
      </c>
      <c r="AA7" s="914">
        <f t="shared" si="12"/>
        <v>205.46256185999999</v>
      </c>
      <c r="AB7" s="915">
        <f t="shared" si="12"/>
        <v>184.17697178000003</v>
      </c>
      <c r="AC7" s="915">
        <f t="shared" si="12"/>
        <v>83.338324400000005</v>
      </c>
      <c r="AD7" s="916">
        <f t="shared" si="12"/>
        <v>63.274548150000001</v>
      </c>
      <c r="AE7" s="1514">
        <f t="shared" si="12"/>
        <v>64.050939639999996</v>
      </c>
      <c r="AF7" s="1515">
        <f t="shared" si="12"/>
        <v>145.63800913</v>
      </c>
      <c r="AG7" s="1515">
        <f t="shared" si="12"/>
        <v>65.025467930000005</v>
      </c>
      <c r="AH7" s="1516">
        <f t="shared" si="12"/>
        <v>66.519047520000001</v>
      </c>
      <c r="AI7" s="1514">
        <f t="shared" si="12"/>
        <v>61.951725201359693</v>
      </c>
      <c r="AJ7" s="1515">
        <f t="shared" si="12"/>
        <v>123.51215366492741</v>
      </c>
      <c r="AK7" s="1515">
        <f t="shared" si="12"/>
        <v>64.682222526973675</v>
      </c>
      <c r="AL7" s="1516">
        <f t="shared" si="12"/>
        <v>65.860142133666812</v>
      </c>
      <c r="AM7" s="1514">
        <f t="shared" ca="1" si="12"/>
        <v>119.65025053877004</v>
      </c>
      <c r="AN7" s="1515">
        <f t="shared" ca="1" si="12"/>
        <v>186.11419980259996</v>
      </c>
      <c r="AO7" s="1515">
        <f t="shared" ca="1" si="12"/>
        <v>66.841896672000018</v>
      </c>
      <c r="AP7" s="1516">
        <f t="shared" ca="1" si="12"/>
        <v>66.841896672000018</v>
      </c>
      <c r="AQ7" s="1514">
        <f t="shared" ca="1" si="12"/>
        <v>70.177079277276022</v>
      </c>
      <c r="AR7" s="1515">
        <f t="shared" ca="1" si="12"/>
        <v>184.38809028950038</v>
      </c>
      <c r="AS7" s="1515">
        <f t="shared" ca="1" si="12"/>
        <v>70.000410277276032</v>
      </c>
      <c r="AT7" s="1516">
        <f t="shared" ca="1" si="12"/>
        <v>70.000410277276032</v>
      </c>
      <c r="AU7" s="1514">
        <f t="shared" ca="1" si="12"/>
        <v>70.179170518648021</v>
      </c>
      <c r="AV7" s="1515">
        <f t="shared" ca="1" si="12"/>
        <v>114.32555621097202</v>
      </c>
      <c r="AW7" s="1515">
        <f t="shared" ca="1" si="12"/>
        <v>70.179170518648021</v>
      </c>
      <c r="AX7" s="1516">
        <f t="shared" ca="1" si="12"/>
        <v>70.179170518648021</v>
      </c>
      <c r="AY7" s="1514">
        <f t="shared" ca="1" si="12"/>
        <v>72.063150875020042</v>
      </c>
      <c r="AZ7" s="1515">
        <f t="shared" ca="1" si="12"/>
        <v>72.063150875020042</v>
      </c>
      <c r="BA7" s="1515">
        <f t="shared" ca="1" si="12"/>
        <v>72.063150875020042</v>
      </c>
      <c r="BB7" s="1516">
        <f t="shared" ca="1" si="12"/>
        <v>72.063150875020042</v>
      </c>
      <c r="BC7" s="1514">
        <f t="shared" ca="1" si="12"/>
        <v>76.174478573073799</v>
      </c>
      <c r="BD7" s="1515">
        <f t="shared" ca="1" si="12"/>
        <v>76.174478573073799</v>
      </c>
      <c r="BE7" s="1515">
        <f t="shared" ca="1" si="12"/>
        <v>76.174478573073799</v>
      </c>
      <c r="BF7" s="1516">
        <f t="shared" ca="1" si="12"/>
        <v>76.174478573073799</v>
      </c>
      <c r="BG7" s="1514">
        <f t="shared" ca="1" si="12"/>
        <v>78.116588232686937</v>
      </c>
      <c r="BH7" s="1515">
        <f t="shared" ca="1" si="12"/>
        <v>78.116588232686937</v>
      </c>
      <c r="BI7" s="1515">
        <f t="shared" ca="1" si="12"/>
        <v>78.116588232686937</v>
      </c>
      <c r="BJ7" s="1516">
        <f t="shared" ca="1" si="12"/>
        <v>78.116588232686937</v>
      </c>
      <c r="BK7" s="1514">
        <f t="shared" ca="1" si="12"/>
        <v>80.05709077805011</v>
      </c>
      <c r="BL7" s="1515">
        <f t="shared" ca="1" si="12"/>
        <v>80.05709077805011</v>
      </c>
      <c r="BM7" s="1515">
        <f t="shared" ca="1" si="12"/>
        <v>80.05709077805011</v>
      </c>
      <c r="BN7" s="1516">
        <f t="shared" ca="1" si="12"/>
        <v>80.05709077805011</v>
      </c>
      <c r="BO7" s="1514">
        <f t="shared" ca="1" si="12"/>
        <v>84.470249158660693</v>
      </c>
      <c r="BP7" s="1515">
        <f t="shared" ca="1" si="12"/>
        <v>84.470249158660693</v>
      </c>
      <c r="BQ7" s="1515">
        <f t="shared" ca="1" si="12"/>
        <v>84.470249158660693</v>
      </c>
      <c r="BR7" s="1516">
        <f t="shared" ca="1" si="12"/>
        <v>84.470249158660693</v>
      </c>
      <c r="BS7" s="1514">
        <f t="shared" ref="BS7:ED7" ca="1" si="13">SUM(BS8:BS14)</f>
        <v>85.271516736471298</v>
      </c>
      <c r="BT7" s="1515">
        <f t="shared" ca="1" si="13"/>
        <v>85.271516736471298</v>
      </c>
      <c r="BU7" s="1515">
        <f t="shared" ca="1" si="13"/>
        <v>85.271516736471298</v>
      </c>
      <c r="BV7" s="1516">
        <f t="shared" ca="1" si="13"/>
        <v>85.271516736471298</v>
      </c>
      <c r="BW7" s="1514">
        <f t="shared" ca="1" si="13"/>
        <v>86.071096844319413</v>
      </c>
      <c r="BX7" s="1515">
        <f t="shared" ca="1" si="13"/>
        <v>86.071096844319413</v>
      </c>
      <c r="BY7" s="1515">
        <f t="shared" ca="1" si="13"/>
        <v>86.071096844319413</v>
      </c>
      <c r="BZ7" s="1516">
        <f t="shared" ca="1" si="13"/>
        <v>86.071096844319413</v>
      </c>
      <c r="CA7" s="1514">
        <f t="shared" ca="1" si="13"/>
        <v>89.493509658622813</v>
      </c>
      <c r="CB7" s="1515">
        <f t="shared" ca="1" si="13"/>
        <v>89.493509658622813</v>
      </c>
      <c r="CC7" s="1515">
        <f t="shared" ca="1" si="13"/>
        <v>89.493509658622813</v>
      </c>
      <c r="CD7" s="1516">
        <f t="shared" ca="1" si="13"/>
        <v>89.493509658622813</v>
      </c>
      <c r="CE7" s="1514">
        <f t="shared" ca="1" si="13"/>
        <v>90.318852076242763</v>
      </c>
      <c r="CF7" s="1515">
        <f t="shared" ca="1" si="13"/>
        <v>90.318852076242763</v>
      </c>
      <c r="CG7" s="1515">
        <f t="shared" ca="1" si="13"/>
        <v>90.318852076242763</v>
      </c>
      <c r="CH7" s="1516">
        <f t="shared" ca="1" si="13"/>
        <v>90.318852076242763</v>
      </c>
      <c r="CI7" s="1514">
        <f t="shared" ca="1" si="13"/>
        <v>91.142422650402068</v>
      </c>
      <c r="CJ7" s="1515">
        <f t="shared" ca="1" si="13"/>
        <v>91.142422650402068</v>
      </c>
      <c r="CK7" s="1515">
        <f t="shared" ca="1" si="13"/>
        <v>91.142422650402068</v>
      </c>
      <c r="CL7" s="1516">
        <f t="shared" ca="1" si="13"/>
        <v>91.142422650402068</v>
      </c>
      <c r="CM7" s="1514">
        <f t="shared" ca="1" si="13"/>
        <v>94.745868999651009</v>
      </c>
      <c r="CN7" s="1515">
        <f t="shared" ca="1" si="13"/>
        <v>94.745868999651009</v>
      </c>
      <c r="CO7" s="1515">
        <f t="shared" ca="1" si="13"/>
        <v>94.745868999651009</v>
      </c>
      <c r="CP7" s="1516">
        <f t="shared" ca="1" si="13"/>
        <v>94.745868999651009</v>
      </c>
      <c r="CQ7" s="1514">
        <f t="shared" ca="1" si="13"/>
        <v>95.59601034289831</v>
      </c>
      <c r="CR7" s="1515">
        <f t="shared" ca="1" si="13"/>
        <v>95.59601034289831</v>
      </c>
      <c r="CS7" s="1515">
        <f t="shared" ca="1" si="13"/>
        <v>95.59601034289831</v>
      </c>
      <c r="CT7" s="1516">
        <f t="shared" ca="1" si="13"/>
        <v>95.59601034289831</v>
      </c>
      <c r="CU7" s="1514">
        <f t="shared" ca="1" si="13"/>
        <v>96.444291250511924</v>
      </c>
      <c r="CV7" s="1515">
        <f t="shared" ca="1" si="13"/>
        <v>96.444291250511924</v>
      </c>
      <c r="CW7" s="1515">
        <f t="shared" ca="1" si="13"/>
        <v>96.444291250511924</v>
      </c>
      <c r="CX7" s="1516">
        <f t="shared" ca="1" si="13"/>
        <v>96.444291250511924</v>
      </c>
      <c r="CY7" s="1514">
        <f t="shared" ca="1" si="13"/>
        <v>100.23663806070773</v>
      </c>
      <c r="CZ7" s="1515">
        <f t="shared" ca="1" si="13"/>
        <v>100.23663806070773</v>
      </c>
      <c r="DA7" s="1515">
        <f t="shared" ca="1" si="13"/>
        <v>100.23663806070773</v>
      </c>
      <c r="DB7" s="1516">
        <f t="shared" ca="1" si="13"/>
        <v>100.23663806070773</v>
      </c>
      <c r="DC7" s="1514">
        <f t="shared" ca="1" si="13"/>
        <v>101.11232423000611</v>
      </c>
      <c r="DD7" s="1515">
        <f t="shared" ca="1" si="13"/>
        <v>101.11232423000611</v>
      </c>
      <c r="DE7" s="1515">
        <f t="shared" ca="1" si="13"/>
        <v>101.11232423000611</v>
      </c>
      <c r="DF7" s="1516">
        <f t="shared" ca="1" si="13"/>
        <v>101.11232423000611</v>
      </c>
      <c r="DG7" s="1514">
        <f t="shared" ca="1" si="13"/>
        <v>101.98605694188917</v>
      </c>
      <c r="DH7" s="1515">
        <f t="shared" ca="1" si="13"/>
        <v>101.98605694188917</v>
      </c>
      <c r="DI7" s="1515">
        <f t="shared" ca="1" si="13"/>
        <v>101.98605694188917</v>
      </c>
      <c r="DJ7" s="1516">
        <f t="shared" ca="1" si="13"/>
        <v>101.98605694188917</v>
      </c>
      <c r="DK7" s="1514">
        <f t="shared" ca="1" si="13"/>
        <v>105.97548447868373</v>
      </c>
      <c r="DL7" s="1515">
        <f t="shared" ca="1" si="13"/>
        <v>105.97548447868373</v>
      </c>
      <c r="DM7" s="1515">
        <f t="shared" ca="1" si="13"/>
        <v>105.97548447868373</v>
      </c>
      <c r="DN7" s="1516">
        <f t="shared" ca="1" si="13"/>
        <v>105.97548447868373</v>
      </c>
      <c r="DO7" s="1514">
        <f t="shared" ca="1" si="13"/>
        <v>106.87748384810246</v>
      </c>
      <c r="DP7" s="1515">
        <f t="shared" ca="1" si="13"/>
        <v>106.87748384810246</v>
      </c>
      <c r="DQ7" s="1515">
        <f t="shared" ca="1" si="13"/>
        <v>106.87748384810246</v>
      </c>
      <c r="DR7" s="1516">
        <f t="shared" ca="1" si="13"/>
        <v>106.87748384810246</v>
      </c>
      <c r="DS7" s="1514">
        <f t="shared" ca="1" si="13"/>
        <v>107.77743208723508</v>
      </c>
      <c r="DT7" s="1515">
        <f t="shared" ca="1" si="13"/>
        <v>107.77743208723508</v>
      </c>
      <c r="DU7" s="1515">
        <f t="shared" ca="1" si="13"/>
        <v>107.77743208723508</v>
      </c>
      <c r="DV7" s="1516">
        <f t="shared" ca="1" si="13"/>
        <v>107.77743208723508</v>
      </c>
      <c r="DW7" s="1514">
        <f t="shared" ca="1" si="13"/>
        <v>111.97244588878995</v>
      </c>
      <c r="DX7" s="1515">
        <f t="shared" ca="1" si="13"/>
        <v>111.97244588878995</v>
      </c>
      <c r="DY7" s="1515">
        <f t="shared" ca="1" si="13"/>
        <v>111.97244588878995</v>
      </c>
      <c r="DZ7" s="1516">
        <f t="shared" ca="1" si="13"/>
        <v>111.97244588878995</v>
      </c>
      <c r="EA7" s="1514">
        <f t="shared" ca="1" si="13"/>
        <v>112.90154998508467</v>
      </c>
      <c r="EB7" s="1515">
        <f t="shared" ca="1" si="13"/>
        <v>112.90154998508467</v>
      </c>
      <c r="EC7" s="1515">
        <f t="shared" ca="1" si="13"/>
        <v>112.90154998508467</v>
      </c>
      <c r="ED7" s="1516">
        <f t="shared" ca="1" si="13"/>
        <v>112.90154998508467</v>
      </c>
      <c r="EE7" s="1514">
        <f t="shared" ref="EE7:FZ7" ca="1" si="14">SUM(EE8:EE14)</f>
        <v>113.82850039457897</v>
      </c>
      <c r="EF7" s="1515">
        <f t="shared" ca="1" si="14"/>
        <v>113.82850039457897</v>
      </c>
      <c r="EG7" s="1515">
        <f t="shared" ca="1" si="14"/>
        <v>113.82850039457897</v>
      </c>
      <c r="EH7" s="1516">
        <f t="shared" ca="1" si="14"/>
        <v>113.82850039457897</v>
      </c>
      <c r="EI7" s="1514">
        <f t="shared" ca="1" si="14"/>
        <v>118.23794364902629</v>
      </c>
      <c r="EJ7" s="1515">
        <f t="shared" ca="1" si="14"/>
        <v>118.23794364902629</v>
      </c>
      <c r="EK7" s="1515">
        <f t="shared" ca="1" si="14"/>
        <v>118.23794364902629</v>
      </c>
      <c r="EL7" s="1516">
        <f t="shared" ca="1" si="14"/>
        <v>118.23794364902629</v>
      </c>
      <c r="EM7" s="1514">
        <f t="shared" ca="1" si="14"/>
        <v>119.19496785129296</v>
      </c>
      <c r="EN7" s="1515">
        <f t="shared" ca="1" si="14"/>
        <v>119.19496785129296</v>
      </c>
      <c r="EO7" s="1515">
        <f t="shared" ca="1" si="14"/>
        <v>119.19496785129296</v>
      </c>
      <c r="EP7" s="1516">
        <f t="shared" ca="1" si="14"/>
        <v>119.19496785129296</v>
      </c>
      <c r="EQ7" s="1514">
        <f t="shared" ca="1" si="14"/>
        <v>120.14973068241919</v>
      </c>
      <c r="ER7" s="1515">
        <f t="shared" ca="1" si="14"/>
        <v>120.14973068241919</v>
      </c>
      <c r="ES7" s="1515">
        <f t="shared" ca="1" si="14"/>
        <v>120.14973068241919</v>
      </c>
      <c r="ET7" s="1516">
        <f t="shared" ca="1" si="14"/>
        <v>120.14973068241919</v>
      </c>
      <c r="EU7" s="1514">
        <f t="shared" ca="1" si="14"/>
        <v>124.78279706639216</v>
      </c>
      <c r="EV7" s="1515">
        <f t="shared" ca="1" si="14"/>
        <v>124.78279706639216</v>
      </c>
      <c r="EW7" s="1515">
        <f t="shared" ca="1" si="14"/>
        <v>124.78279706639216</v>
      </c>
      <c r="EX7" s="1516">
        <f t="shared" ca="1" si="14"/>
        <v>124.78279706639216</v>
      </c>
      <c r="EY7" s="1514">
        <f t="shared" ca="1" si="14"/>
        <v>125.76858132696408</v>
      </c>
      <c r="EZ7" s="1515">
        <f t="shared" ca="1" si="14"/>
        <v>125.76858132696408</v>
      </c>
      <c r="FA7" s="1515">
        <f t="shared" ca="1" si="14"/>
        <v>125.76858132696408</v>
      </c>
      <c r="FB7" s="1516">
        <f t="shared" ca="1" si="14"/>
        <v>125.76858132696408</v>
      </c>
      <c r="FC7" s="1514">
        <f t="shared" ca="1" si="14"/>
        <v>126.75199114783858</v>
      </c>
      <c r="FD7" s="1515">
        <f t="shared" ca="1" si="14"/>
        <v>126.75199114783858</v>
      </c>
      <c r="FE7" s="1515">
        <f t="shared" ca="1" si="14"/>
        <v>126.75199114783858</v>
      </c>
      <c r="FF7" s="1516">
        <f t="shared" ca="1" si="14"/>
        <v>126.75199114783858</v>
      </c>
      <c r="FG7" s="1514">
        <f t="shared" ca="1" si="14"/>
        <v>131.6182381431548</v>
      </c>
      <c r="FH7" s="1515">
        <f t="shared" ca="1" si="14"/>
        <v>131.6182381431548</v>
      </c>
      <c r="FI7" s="1515">
        <f t="shared" ca="1" si="14"/>
        <v>131.6182381431548</v>
      </c>
      <c r="FJ7" s="1516">
        <f t="shared" ca="1" si="14"/>
        <v>131.6182381431548</v>
      </c>
      <c r="FK7" s="1514">
        <f t="shared" ca="1" si="14"/>
        <v>132.63364773039302</v>
      </c>
      <c r="FL7" s="1515">
        <f t="shared" ca="1" si="14"/>
        <v>132.63364773039302</v>
      </c>
      <c r="FM7" s="1515">
        <f t="shared" ca="1" si="14"/>
        <v>132.63364773039302</v>
      </c>
      <c r="FN7" s="1516">
        <f t="shared" ca="1" si="14"/>
        <v>132.63364773039302</v>
      </c>
      <c r="FO7" s="1514">
        <f t="shared" ca="1" si="14"/>
        <v>133.64656415594897</v>
      </c>
      <c r="FP7" s="1515">
        <f t="shared" ca="1" si="14"/>
        <v>133.64656415594897</v>
      </c>
      <c r="FQ7" s="1515">
        <f t="shared" ca="1" si="14"/>
        <v>133.64656415594897</v>
      </c>
      <c r="FR7" s="1516">
        <f t="shared" ca="1" si="14"/>
        <v>133.64656415594897</v>
      </c>
      <c r="FS7" s="1514">
        <f t="shared" ca="1" si="14"/>
        <v>138.7559268621674</v>
      </c>
      <c r="FT7" s="1515">
        <f t="shared" ca="1" si="14"/>
        <v>138.7559268621674</v>
      </c>
      <c r="FU7" s="1515">
        <f t="shared" ca="1" si="14"/>
        <v>138.7559268621674</v>
      </c>
      <c r="FV7" s="1516">
        <f t="shared" ca="1" si="14"/>
        <v>138.7559268621674</v>
      </c>
      <c r="FW7" s="1514">
        <f t="shared" ca="1" si="14"/>
        <v>139.80185312581435</v>
      </c>
      <c r="FX7" s="1515">
        <f t="shared" ca="1" si="14"/>
        <v>139.80185312581435</v>
      </c>
      <c r="FY7" s="1515">
        <f t="shared" ca="1" si="14"/>
        <v>139.80185312581435</v>
      </c>
      <c r="FZ7" s="1516">
        <f t="shared" ca="1" si="14"/>
        <v>139.80185312581435</v>
      </c>
      <c r="GA7" s="1514">
        <f ca="1">SUM(GA8:GA14)</f>
        <v>140.84516156969488</v>
      </c>
      <c r="GB7" s="1515">
        <f ca="1">SUM(GB8:GB14)</f>
        <v>140.84516156969488</v>
      </c>
      <c r="GC7" s="1515">
        <f ca="1">SUM(GC8:GC14)</f>
        <v>0</v>
      </c>
      <c r="GD7" s="1516">
        <f ca="1">SUM(GD8:GD14)</f>
        <v>0</v>
      </c>
      <c r="GE7" s="1508"/>
      <c r="GF7" s="1509"/>
      <c r="GG7" s="1509"/>
      <c r="GH7" s="1509"/>
      <c r="GI7" s="1509"/>
      <c r="GJ7" s="1509"/>
      <c r="GK7" s="1509"/>
      <c r="GL7" s="1509"/>
      <c r="GM7" s="1509"/>
      <c r="GN7" s="1509"/>
      <c r="GO7" s="1509"/>
      <c r="GP7" s="1509"/>
      <c r="GQ7" s="1509"/>
      <c r="GR7" s="1509"/>
      <c r="GS7" s="1509"/>
      <c r="GT7" s="1509"/>
    </row>
    <row r="8" spans="1:202" ht="17.100000000000001" customHeight="1">
      <c r="B8" s="307"/>
      <c r="C8" s="489" t="str">
        <f>'IS(Q)'!D10</f>
        <v>하역수입</v>
      </c>
      <c r="D8" s="331"/>
      <c r="E8" s="727"/>
      <c r="F8" s="1517">
        <f t="shared" ca="1" si="11"/>
        <v>14433.415324830397</v>
      </c>
      <c r="G8" s="1518">
        <v>35.058778200000006</v>
      </c>
      <c r="H8" s="1518">
        <v>34.122194700000001</v>
      </c>
      <c r="I8" s="1518">
        <v>33.065961700000003</v>
      </c>
      <c r="J8" s="1518">
        <v>35.7840256</v>
      </c>
      <c r="K8" s="1518">
        <v>40.011500499999997</v>
      </c>
      <c r="L8" s="1518">
        <v>39.754010000000001</v>
      </c>
      <c r="M8" s="1518">
        <v>45.618149150000001</v>
      </c>
      <c r="N8" s="1518">
        <v>47.859468200000002</v>
      </c>
      <c r="O8" s="1518">
        <v>46.156211429999999</v>
      </c>
      <c r="P8" s="1518">
        <v>43.234415560000002</v>
      </c>
      <c r="Q8" s="1518">
        <v>45.07990401</v>
      </c>
      <c r="R8" s="1518">
        <v>47.502475359999998</v>
      </c>
      <c r="S8" s="1518">
        <v>43.135083359999996</v>
      </c>
      <c r="T8" s="1518">
        <v>46.59259325</v>
      </c>
      <c r="U8" s="1518">
        <v>43.140436010000002</v>
      </c>
      <c r="V8" s="1518">
        <v>47.754941256000002</v>
      </c>
      <c r="W8" s="1519">
        <f>'IS(Q)'!G10</f>
        <v>46.040464499999999</v>
      </c>
      <c r="X8" s="1520">
        <f>'IS(Q)'!H10</f>
        <v>47.389177440000005</v>
      </c>
      <c r="Y8" s="1520">
        <f>'IS(Q)'!I10</f>
        <v>53.209623180000001</v>
      </c>
      <c r="Z8" s="1521">
        <f>'IS(Q)'!J10</f>
        <v>55.295323000000003</v>
      </c>
      <c r="AA8" s="1519">
        <f>'IS(Q)'!K10</f>
        <v>51.881485609999999</v>
      </c>
      <c r="AB8" s="1520">
        <f>'IS(Q)'!L10</f>
        <v>59.238123010000002</v>
      </c>
      <c r="AC8" s="1520">
        <f>'IS(Q)'!M10</f>
        <v>60.599483800000002</v>
      </c>
      <c r="AD8" s="1521">
        <f>'IS(Q)'!N10</f>
        <v>56.953136499999999</v>
      </c>
      <c r="AE8" s="1522">
        <f>'IS(Q)'!O10</f>
        <v>54.924529559999996</v>
      </c>
      <c r="AF8" s="1523">
        <f>'IS(Q)'!P10</f>
        <v>50.99063572</v>
      </c>
      <c r="AG8" s="1523">
        <f>'IS(Q)'!Q10</f>
        <v>56.071415730000005</v>
      </c>
      <c r="AH8" s="1524">
        <f>'IS(Q)'!R10</f>
        <v>52.595015480000001</v>
      </c>
      <c r="AI8" s="1522">
        <f>'IS(Q)'!S10</f>
        <v>53.122948723359691</v>
      </c>
      <c r="AJ8" s="1523">
        <f>'IS(Q)'!T10</f>
        <v>54.655289076927417</v>
      </c>
      <c r="AK8" s="1523">
        <f>'IS(Q)'!U10</f>
        <v>55.768892808973675</v>
      </c>
      <c r="AL8" s="1524">
        <f>'IS(Q)'!V10</f>
        <v>56.886058069666824</v>
      </c>
      <c r="AM8" s="1522">
        <f ca="1">'IS(Q)'!W10</f>
        <v>58.675224960000008</v>
      </c>
      <c r="AN8" s="1523">
        <f ca="1">'IS(Q)'!X10</f>
        <v>58.675224960000008</v>
      </c>
      <c r="AO8" s="1523">
        <f ca="1">'IS(Q)'!Y10</f>
        <v>58.675224960000008</v>
      </c>
      <c r="AP8" s="1524">
        <f ca="1">'IS(Q)'!Z10</f>
        <v>58.675224960000008</v>
      </c>
      <c r="AQ8" s="1522">
        <f ca="1">'IS(Q)'!AA10</f>
        <v>62.166767565276025</v>
      </c>
      <c r="AR8" s="1523">
        <f ca="1">'IS(Q)'!AB10</f>
        <v>62.166767565276025</v>
      </c>
      <c r="AS8" s="1523">
        <f ca="1">'IS(Q)'!AC10</f>
        <v>62.166767565276025</v>
      </c>
      <c r="AT8" s="1524">
        <f ca="1">'IS(Q)'!AD10</f>
        <v>62.166767565276025</v>
      </c>
      <c r="AU8" s="1522">
        <f ca="1">'IS(Q)'!AE10</f>
        <v>64.050609006648017</v>
      </c>
      <c r="AV8" s="1523">
        <f ca="1">'IS(Q)'!AF10</f>
        <v>64.050609006648017</v>
      </c>
      <c r="AW8" s="1523">
        <f ca="1">'IS(Q)'!AG10</f>
        <v>64.050609006648017</v>
      </c>
      <c r="AX8" s="1524">
        <f ca="1">'IS(Q)'!AH10</f>
        <v>64.050609006648017</v>
      </c>
      <c r="AY8" s="1522">
        <f ca="1">'IS(Q)'!AI10</f>
        <v>65.93445044802003</v>
      </c>
      <c r="AZ8" s="1523">
        <f ca="1">'IS(Q)'!AJ10</f>
        <v>65.93445044802003</v>
      </c>
      <c r="BA8" s="1523">
        <f ca="1">'IS(Q)'!AK10</f>
        <v>65.93445044802003</v>
      </c>
      <c r="BB8" s="1524">
        <f ca="1">'IS(Q)'!AL10</f>
        <v>65.93445044802003</v>
      </c>
      <c r="BC8" s="1522">
        <f ca="1">'IS(Q)'!AM10</f>
        <v>69.852840646073787</v>
      </c>
      <c r="BD8" s="1523">
        <f ca="1">'IS(Q)'!AN10</f>
        <v>69.852840646073787</v>
      </c>
      <c r="BE8" s="1523">
        <f ca="1">'IS(Q)'!AO10</f>
        <v>69.852840646073787</v>
      </c>
      <c r="BF8" s="1524">
        <f ca="1">'IS(Q)'!AP10</f>
        <v>69.852840646073787</v>
      </c>
      <c r="BG8" s="1522">
        <f ca="1">'IS(Q)'!AQ10</f>
        <v>71.793197330686937</v>
      </c>
      <c r="BH8" s="1523">
        <f ca="1">'IS(Q)'!AR10</f>
        <v>71.793197330686937</v>
      </c>
      <c r="BI8" s="1523">
        <f ca="1">'IS(Q)'!AS10</f>
        <v>71.793197330686937</v>
      </c>
      <c r="BJ8" s="1524">
        <f ca="1">'IS(Q)'!AT10</f>
        <v>71.793197330686937</v>
      </c>
      <c r="BK8" s="1522">
        <f ca="1">'IS(Q)'!AU10</f>
        <v>73.733554015300101</v>
      </c>
      <c r="BL8" s="1523">
        <f ca="1">'IS(Q)'!AV10</f>
        <v>73.733554015300101</v>
      </c>
      <c r="BM8" s="1523">
        <f ca="1">'IS(Q)'!AW10</f>
        <v>73.733554015300101</v>
      </c>
      <c r="BN8" s="1524">
        <f ca="1">'IS(Q)'!AX10</f>
        <v>73.733554015300101</v>
      </c>
      <c r="BO8" s="1522">
        <f ca="1">'IS(Q)'!AY10</f>
        <v>77.944128020910682</v>
      </c>
      <c r="BP8" s="1523">
        <f ca="1">'IS(Q)'!AZ10</f>
        <v>77.944128020910682</v>
      </c>
      <c r="BQ8" s="1523">
        <f ca="1">'IS(Q)'!BA10</f>
        <v>77.944128020910682</v>
      </c>
      <c r="BR8" s="1524">
        <f ca="1">'IS(Q)'!BB10</f>
        <v>77.944128020910682</v>
      </c>
      <c r="BS8" s="1522">
        <f ca="1">'IS(Q)'!BC10</f>
        <v>78.743554974971289</v>
      </c>
      <c r="BT8" s="1523">
        <f ca="1">'IS(Q)'!BD10</f>
        <v>78.743554974971289</v>
      </c>
      <c r="BU8" s="1523">
        <f ca="1">'IS(Q)'!BE10</f>
        <v>78.743554974971289</v>
      </c>
      <c r="BV8" s="1524">
        <f ca="1">'IS(Q)'!BF10</f>
        <v>78.743554974971289</v>
      </c>
      <c r="BW8" s="1522">
        <f ca="1">'IS(Q)'!BG10</f>
        <v>79.54298192903191</v>
      </c>
      <c r="BX8" s="1523">
        <f ca="1">'IS(Q)'!BH10</f>
        <v>79.54298192903191</v>
      </c>
      <c r="BY8" s="1523">
        <f ca="1">'IS(Q)'!BI10</f>
        <v>79.54298192903191</v>
      </c>
      <c r="BZ8" s="1524">
        <f ca="1">'IS(Q)'!BJ10</f>
        <v>79.54298192903191</v>
      </c>
      <c r="CA8" s="1522">
        <f ca="1">'IS(Q)'!BK10</f>
        <v>82.752681149585314</v>
      </c>
      <c r="CB8" s="1523">
        <f ca="1">'IS(Q)'!BL10</f>
        <v>82.752681149585314</v>
      </c>
      <c r="CC8" s="1523">
        <f ca="1">'IS(Q)'!BM10</f>
        <v>82.752681149585314</v>
      </c>
      <c r="CD8" s="1524">
        <f ca="1">'IS(Q)'!BN10</f>
        <v>82.752681149585314</v>
      </c>
      <c r="CE8" s="1522">
        <f ca="1">'IS(Q)'!BO10</f>
        <v>83.576090912267759</v>
      </c>
      <c r="CF8" s="1523">
        <f ca="1">'IS(Q)'!BP10</f>
        <v>83.576090912267759</v>
      </c>
      <c r="CG8" s="1523">
        <f ca="1">'IS(Q)'!BQ10</f>
        <v>83.576090912267759</v>
      </c>
      <c r="CH8" s="1524">
        <f ca="1">'IS(Q)'!BR10</f>
        <v>83.576090912267759</v>
      </c>
      <c r="CI8" s="1522">
        <f ca="1">'IS(Q)'!BS10</f>
        <v>84.39950067495019</v>
      </c>
      <c r="CJ8" s="1523">
        <f ca="1">'IS(Q)'!BT10</f>
        <v>84.39950067495019</v>
      </c>
      <c r="CK8" s="1523">
        <f ca="1">'IS(Q)'!BU10</f>
        <v>84.39950067495019</v>
      </c>
      <c r="CL8" s="1524">
        <f ca="1">'IS(Q)'!BV10</f>
        <v>84.39950067495019</v>
      </c>
      <c r="CM8" s="1522">
        <f ca="1">'IS(Q)'!BW10</f>
        <v>87.779597750761624</v>
      </c>
      <c r="CN8" s="1523">
        <f ca="1">'IS(Q)'!BX10</f>
        <v>87.779597750761624</v>
      </c>
      <c r="CO8" s="1523">
        <f ca="1">'IS(Q)'!BY10</f>
        <v>87.779597750761624</v>
      </c>
      <c r="CP8" s="1524">
        <f ca="1">'IS(Q)'!BZ10</f>
        <v>87.779597750761624</v>
      </c>
      <c r="CQ8" s="1522">
        <f ca="1">'IS(Q)'!CA10</f>
        <v>88.627709806324546</v>
      </c>
      <c r="CR8" s="1523">
        <f ca="1">'IS(Q)'!CB10</f>
        <v>88.627709806324546</v>
      </c>
      <c r="CS8" s="1523">
        <f ca="1">'IS(Q)'!CC10</f>
        <v>88.627709806324546</v>
      </c>
      <c r="CT8" s="1524">
        <f ca="1">'IS(Q)'!CD10</f>
        <v>88.627709806324546</v>
      </c>
      <c r="CU8" s="1522">
        <f ca="1">'IS(Q)'!CE10</f>
        <v>89.475821861887439</v>
      </c>
      <c r="CV8" s="1523">
        <f ca="1">'IS(Q)'!CF10</f>
        <v>89.475821861887439</v>
      </c>
      <c r="CW8" s="1523">
        <f ca="1">'IS(Q)'!CG10</f>
        <v>89.475821861887439</v>
      </c>
      <c r="CX8" s="1524">
        <f ca="1">'IS(Q)'!CH10</f>
        <v>89.475821861887439</v>
      </c>
      <c r="CY8" s="1522">
        <f ca="1">'IS(Q)'!CI10</f>
        <v>93.033651934973875</v>
      </c>
      <c r="CZ8" s="1523">
        <f ca="1">'IS(Q)'!CJ10</f>
        <v>93.033651934973875</v>
      </c>
      <c r="DA8" s="1523">
        <f ca="1">'IS(Q)'!CK10</f>
        <v>93.033651934973875</v>
      </c>
      <c r="DB8" s="1524">
        <f ca="1">'IS(Q)'!CL10</f>
        <v>93.033651934973875</v>
      </c>
      <c r="DC8" s="1522">
        <f ca="1">'IS(Q)'!CM10</f>
        <v>93.90720735220367</v>
      </c>
      <c r="DD8" s="1523">
        <f ca="1">'IS(Q)'!CN10</f>
        <v>93.90720735220367</v>
      </c>
      <c r="DE8" s="1523">
        <f ca="1">'IS(Q)'!CO10</f>
        <v>93.90720735220367</v>
      </c>
      <c r="DF8" s="1524">
        <f ca="1">'IS(Q)'!CP10</f>
        <v>93.90720735220367</v>
      </c>
      <c r="DG8" s="1522">
        <f ca="1">'IS(Q)'!CQ10</f>
        <v>94.78076276943348</v>
      </c>
      <c r="DH8" s="1523">
        <f ca="1">'IS(Q)'!CR10</f>
        <v>94.78076276943348</v>
      </c>
      <c r="DI8" s="1523">
        <f ca="1">'IS(Q)'!CS10</f>
        <v>94.78076276943348</v>
      </c>
      <c r="DJ8" s="1524">
        <f ca="1">'IS(Q)'!CT10</f>
        <v>94.78076276943348</v>
      </c>
      <c r="DK8" s="1522">
        <f ca="1">'IS(Q)'!CU10</f>
        <v>98.523947732263181</v>
      </c>
      <c r="DL8" s="1523">
        <f ca="1">'IS(Q)'!CV10</f>
        <v>98.523947732263181</v>
      </c>
      <c r="DM8" s="1523">
        <f ca="1">'IS(Q)'!CW10</f>
        <v>98.523947732263181</v>
      </c>
      <c r="DN8" s="1524">
        <f ca="1">'IS(Q)'!CX10</f>
        <v>98.523947732263181</v>
      </c>
      <c r="DO8" s="1522">
        <f ca="1">'IS(Q)'!CY10</f>
        <v>99.423709812009889</v>
      </c>
      <c r="DP8" s="1523">
        <f ca="1">'IS(Q)'!CZ10</f>
        <v>99.423709812009889</v>
      </c>
      <c r="DQ8" s="1523">
        <f ca="1">'IS(Q)'!DA10</f>
        <v>99.423709812009889</v>
      </c>
      <c r="DR8" s="1524">
        <f ca="1">'IS(Q)'!DB10</f>
        <v>99.423709812009889</v>
      </c>
      <c r="DS8" s="1522">
        <f ca="1">'IS(Q)'!DC10</f>
        <v>100.3234718917566</v>
      </c>
      <c r="DT8" s="1523">
        <f ca="1">'IS(Q)'!DD10</f>
        <v>100.3234718917566</v>
      </c>
      <c r="DU8" s="1523">
        <f ca="1">'IS(Q)'!DE10</f>
        <v>100.3234718917566</v>
      </c>
      <c r="DV8" s="1524">
        <f ca="1">'IS(Q)'!DF10</f>
        <v>100.3234718917566</v>
      </c>
      <c r="DW8" s="1522">
        <f ca="1">'IS(Q)'!DG10</f>
        <v>104.25993099064839</v>
      </c>
      <c r="DX8" s="1523">
        <f ca="1">'IS(Q)'!DH10</f>
        <v>104.25993099064839</v>
      </c>
      <c r="DY8" s="1523">
        <f ca="1">'IS(Q)'!DI10</f>
        <v>104.25993099064839</v>
      </c>
      <c r="DZ8" s="1524">
        <f ca="1">'IS(Q)'!DJ10</f>
        <v>104.25993099064839</v>
      </c>
      <c r="EA8" s="1522">
        <f ca="1">'IS(Q)'!DK10</f>
        <v>105.18668593278748</v>
      </c>
      <c r="EB8" s="1523">
        <f ca="1">'IS(Q)'!DL10</f>
        <v>105.18668593278748</v>
      </c>
      <c r="EC8" s="1523">
        <f ca="1">'IS(Q)'!DM10</f>
        <v>105.18668593278748</v>
      </c>
      <c r="ED8" s="1524">
        <f ca="1">'IS(Q)'!DN10</f>
        <v>105.18668593278748</v>
      </c>
      <c r="EE8" s="1522">
        <f ca="1">'IS(Q)'!DO10</f>
        <v>106.11344087492657</v>
      </c>
      <c r="EF8" s="1523">
        <f ca="1">'IS(Q)'!DP10</f>
        <v>106.11344087492657</v>
      </c>
      <c r="EG8" s="1523">
        <f ca="1">'IS(Q)'!DQ10</f>
        <v>106.11344087492657</v>
      </c>
      <c r="EH8" s="1524">
        <f ca="1">'IS(Q)'!DR10</f>
        <v>106.11344087492657</v>
      </c>
      <c r="EI8" s="1522">
        <f ca="1">'IS(Q)'!DS10</f>
        <v>110.25140169157766</v>
      </c>
      <c r="EJ8" s="1523">
        <f ca="1">'IS(Q)'!DT10</f>
        <v>110.25140169157766</v>
      </c>
      <c r="EK8" s="1523">
        <f ca="1">'IS(Q)'!DU10</f>
        <v>110.25140169157766</v>
      </c>
      <c r="EL8" s="1524">
        <f ca="1">'IS(Q)'!DV10</f>
        <v>110.25140169157766</v>
      </c>
      <c r="EM8" s="1522">
        <f ca="1">'IS(Q)'!DW10</f>
        <v>111.20595928198091</v>
      </c>
      <c r="EN8" s="1523">
        <f ca="1">'IS(Q)'!DX10</f>
        <v>111.20595928198091</v>
      </c>
      <c r="EO8" s="1523">
        <f ca="1">'IS(Q)'!DY10</f>
        <v>111.20595928198091</v>
      </c>
      <c r="EP8" s="1524">
        <f ca="1">'IS(Q)'!DZ10</f>
        <v>111.20595928198091</v>
      </c>
      <c r="EQ8" s="1522">
        <f ca="1">'IS(Q)'!EA10</f>
        <v>112.16051687238416</v>
      </c>
      <c r="ER8" s="1523">
        <f ca="1">'IS(Q)'!EB10</f>
        <v>112.16051687238416</v>
      </c>
      <c r="ES8" s="1523">
        <f ca="1">'IS(Q)'!EC10</f>
        <v>112.16051687238416</v>
      </c>
      <c r="ET8" s="1524">
        <f ca="1">'IS(Q)'!ED10</f>
        <v>112.16051687238416</v>
      </c>
      <c r="EU8" s="1522">
        <f ca="1">'IS(Q)'!EE10</f>
        <v>116.50852669667108</v>
      </c>
      <c r="EV8" s="1523">
        <f ca="1">'IS(Q)'!EF10</f>
        <v>116.50852669667108</v>
      </c>
      <c r="EW8" s="1523">
        <f ca="1">'IS(Q)'!EG10</f>
        <v>116.50852669667108</v>
      </c>
      <c r="EX8" s="1524">
        <f ca="1">'IS(Q)'!EH10</f>
        <v>116.50852669667108</v>
      </c>
      <c r="EY8" s="1522">
        <f ca="1">'IS(Q)'!EI10</f>
        <v>117.49172101478644</v>
      </c>
      <c r="EZ8" s="1523">
        <f ca="1">'IS(Q)'!EJ10</f>
        <v>117.49172101478644</v>
      </c>
      <c r="FA8" s="1523">
        <f ca="1">'IS(Q)'!EK10</f>
        <v>117.49172101478644</v>
      </c>
      <c r="FB8" s="1524">
        <f ca="1">'IS(Q)'!EL10</f>
        <v>117.49172101478644</v>
      </c>
      <c r="FC8" s="1522">
        <f ca="1">'IS(Q)'!EM10</f>
        <v>118.4749153329018</v>
      </c>
      <c r="FD8" s="1523">
        <f ca="1">'IS(Q)'!EN10</f>
        <v>118.4749153329018</v>
      </c>
      <c r="FE8" s="1523">
        <f ca="1">'IS(Q)'!EO10</f>
        <v>118.4749153329018</v>
      </c>
      <c r="FF8" s="1524">
        <f ca="1">'IS(Q)'!EP10</f>
        <v>118.4749153329018</v>
      </c>
      <c r="FG8" s="1522">
        <f ca="1">'IS(Q)'!EQ10</f>
        <v>123.04185294054767</v>
      </c>
      <c r="FH8" s="1523">
        <f ca="1">'IS(Q)'!ER10</f>
        <v>123.04185294054767</v>
      </c>
      <c r="FI8" s="1523">
        <f ca="1">'IS(Q)'!ES10</f>
        <v>123.04185294054767</v>
      </c>
      <c r="FJ8" s="1524">
        <f ca="1">'IS(Q)'!ET10</f>
        <v>123.04185294054767</v>
      </c>
      <c r="FK8" s="1522">
        <f ca="1">'IS(Q)'!EU10</f>
        <v>124.0545430882065</v>
      </c>
      <c r="FL8" s="1523">
        <f ca="1">'IS(Q)'!EV10</f>
        <v>124.0545430882065</v>
      </c>
      <c r="FM8" s="1523">
        <f ca="1">'IS(Q)'!EW10</f>
        <v>124.0545430882065</v>
      </c>
      <c r="FN8" s="1524">
        <f ca="1">'IS(Q)'!EX10</f>
        <v>124.0545430882065</v>
      </c>
      <c r="FO8" s="1522">
        <f ca="1">'IS(Q)'!EY10</f>
        <v>125.06723323586534</v>
      </c>
      <c r="FP8" s="1523">
        <f ca="1">'IS(Q)'!EZ10</f>
        <v>125.06723323586534</v>
      </c>
      <c r="FQ8" s="1523">
        <f ca="1">'IS(Q)'!FA10</f>
        <v>125.06723323586534</v>
      </c>
      <c r="FR8" s="1524">
        <f ca="1">'IS(Q)'!FB10</f>
        <v>125.06723323586534</v>
      </c>
      <c r="FS8" s="1522">
        <f ca="1">'IS(Q)'!FC10</f>
        <v>129.86232108502989</v>
      </c>
      <c r="FT8" s="1523">
        <f ca="1">'IS(Q)'!FD10</f>
        <v>129.86232108502989</v>
      </c>
      <c r="FU8" s="1523">
        <f ca="1">'IS(Q)'!FE10</f>
        <v>129.86232108502989</v>
      </c>
      <c r="FV8" s="1524">
        <f ca="1">'IS(Q)'!FF10</f>
        <v>129.86232108502989</v>
      </c>
      <c r="FW8" s="1522">
        <f ca="1">'IS(Q)'!FG10</f>
        <v>130.90539193711848</v>
      </c>
      <c r="FX8" s="1523">
        <f ca="1">'IS(Q)'!FH10</f>
        <v>130.90539193711848</v>
      </c>
      <c r="FY8" s="1523">
        <f ca="1">'IS(Q)'!FI10</f>
        <v>130.90539193711848</v>
      </c>
      <c r="FZ8" s="1524">
        <f ca="1">'IS(Q)'!FJ10</f>
        <v>130.90539193711848</v>
      </c>
      <c r="GA8" s="1522">
        <f ca="1">'IS(Q)'!FK10</f>
        <v>131.94846278920707</v>
      </c>
      <c r="GB8" s="1523">
        <f ca="1">'IS(Q)'!FL10</f>
        <v>131.94846278920707</v>
      </c>
      <c r="GC8" s="1523">
        <f ca="1">'IS(Q)'!FM10</f>
        <v>0</v>
      </c>
      <c r="GD8" s="1524">
        <f ca="1">'IS(Q)'!FN10</f>
        <v>0</v>
      </c>
      <c r="GE8" s="1508"/>
      <c r="GF8" s="1509"/>
      <c r="GG8" s="1509"/>
      <c r="GH8" s="1509"/>
      <c r="GI8" s="1509"/>
      <c r="GJ8" s="1509"/>
      <c r="GK8" s="1509"/>
      <c r="GL8" s="1509"/>
      <c r="GM8" s="1509"/>
      <c r="GN8" s="1509"/>
      <c r="GO8" s="1509"/>
      <c r="GP8" s="1509"/>
      <c r="GQ8" s="1509"/>
      <c r="GR8" s="1509"/>
      <c r="GS8" s="1509"/>
      <c r="GT8" s="1509"/>
    </row>
    <row r="9" spans="1:202" ht="17.100000000000001" customHeight="1">
      <c r="A9" s="461"/>
      <c r="B9" s="307"/>
      <c r="C9" s="489" t="str">
        <f>'IS(Q)'!D11</f>
        <v>접안료</v>
      </c>
      <c r="D9" s="331"/>
      <c r="E9" s="727"/>
      <c r="F9" s="1517">
        <f t="shared" si="11"/>
        <v>321.13638823999963</v>
      </c>
      <c r="G9" s="1518">
        <v>0.44220500000000001</v>
      </c>
      <c r="H9" s="1518">
        <v>0.46605530000000001</v>
      </c>
      <c r="I9" s="1518">
        <v>0.46016190000000001</v>
      </c>
      <c r="J9" s="1518">
        <v>0.4778811</v>
      </c>
      <c r="K9" s="1518">
        <v>0.95815399999999995</v>
      </c>
      <c r="L9" s="1518">
        <v>1.0001624</v>
      </c>
      <c r="M9" s="1518">
        <v>0.92625500000000005</v>
      </c>
      <c r="N9" s="1518">
        <v>0.94746430000000004</v>
      </c>
      <c r="O9" s="1518">
        <v>1.7912824000000001</v>
      </c>
      <c r="P9" s="1518">
        <v>1.7319401999999999</v>
      </c>
      <c r="Q9" s="1518">
        <v>1.6910472000000001</v>
      </c>
      <c r="R9" s="1518">
        <v>1.7827291999999999</v>
      </c>
      <c r="S9" s="1518">
        <v>2.0485959</v>
      </c>
      <c r="T9" s="1518">
        <v>2.1822376999999999</v>
      </c>
      <c r="U9" s="1518">
        <v>2.1236282000000002</v>
      </c>
      <c r="V9" s="1518">
        <v>2.1382409</v>
      </c>
      <c r="W9" s="1519">
        <f>'IS(Q)'!G11</f>
        <v>2.2596690000000001</v>
      </c>
      <c r="X9" s="1520">
        <f>'IS(Q)'!H11</f>
        <v>2.3151991000000001</v>
      </c>
      <c r="Y9" s="1520">
        <f>'IS(Q)'!I11</f>
        <v>2.4369551</v>
      </c>
      <c r="Z9" s="1521">
        <f>'IS(Q)'!J11</f>
        <v>2.4655201999999998</v>
      </c>
      <c r="AA9" s="1519">
        <f>'IS(Q)'!K11</f>
        <v>3.0230809999999999</v>
      </c>
      <c r="AB9" s="1520">
        <f>'IS(Q)'!L11</f>
        <v>2.4244161000000002</v>
      </c>
      <c r="AC9" s="1520">
        <f>'IS(Q)'!M11</f>
        <v>2.5753281000000001</v>
      </c>
      <c r="AD9" s="1521">
        <f>'IS(Q)'!N11</f>
        <v>2.3385544</v>
      </c>
      <c r="AE9" s="1522">
        <f>'IS(Q)'!O11</f>
        <v>2.1990848000000001</v>
      </c>
      <c r="AF9" s="1523">
        <f>'IS(Q)'!P11</f>
        <v>1.9978662</v>
      </c>
      <c r="AG9" s="1523">
        <f>'IS(Q)'!Q11</f>
        <v>2.0989122</v>
      </c>
      <c r="AH9" s="1524">
        <f>'IS(Q)'!R11</f>
        <v>2.16946824</v>
      </c>
      <c r="AI9" s="1522">
        <f>'IS(Q)'!S11</f>
        <v>2.013436478</v>
      </c>
      <c r="AJ9" s="1523">
        <f>'IS(Q)'!T11</f>
        <v>2.0679245879999999</v>
      </c>
      <c r="AK9" s="1523">
        <f>'IS(Q)'!U11</f>
        <v>2.1073897180000003</v>
      </c>
      <c r="AL9" s="1524">
        <f>'IS(Q)'!V11</f>
        <v>2.1491440639999997</v>
      </c>
      <c r="AM9" s="1522">
        <f>'IS(Q)'!W11</f>
        <v>2.0844737119999999</v>
      </c>
      <c r="AN9" s="1523">
        <f>'IS(Q)'!X11</f>
        <v>2.0844737119999999</v>
      </c>
      <c r="AO9" s="1523">
        <f>'IS(Q)'!Y11</f>
        <v>2.0844737119999999</v>
      </c>
      <c r="AP9" s="1524">
        <f>'IS(Q)'!Z11</f>
        <v>2.0844737119999999</v>
      </c>
      <c r="AQ9" s="1522">
        <f>'IS(Q)'!AA11</f>
        <v>2.0844737119999999</v>
      </c>
      <c r="AR9" s="1523">
        <f>'IS(Q)'!AB11</f>
        <v>2.0844737119999999</v>
      </c>
      <c r="AS9" s="1523">
        <f>'IS(Q)'!AC11</f>
        <v>2.0844737119999999</v>
      </c>
      <c r="AT9" s="1524">
        <f>'IS(Q)'!AD11</f>
        <v>2.0844737119999999</v>
      </c>
      <c r="AU9" s="1522">
        <f>'IS(Q)'!AE11</f>
        <v>2.0844737119999999</v>
      </c>
      <c r="AV9" s="1523">
        <f>'IS(Q)'!AF11</f>
        <v>2.0844737119999999</v>
      </c>
      <c r="AW9" s="1523">
        <f>'IS(Q)'!AG11</f>
        <v>2.0844737119999999</v>
      </c>
      <c r="AX9" s="1524">
        <f>'IS(Q)'!AH11</f>
        <v>2.0844737119999999</v>
      </c>
      <c r="AY9" s="1522">
        <f>'IS(Q)'!AI11</f>
        <v>2.0844737119999999</v>
      </c>
      <c r="AZ9" s="1523">
        <f>'IS(Q)'!AJ11</f>
        <v>2.0844737119999999</v>
      </c>
      <c r="BA9" s="1523">
        <f>'IS(Q)'!AK11</f>
        <v>2.0844737119999999</v>
      </c>
      <c r="BB9" s="1524">
        <f>'IS(Q)'!AL11</f>
        <v>2.0844737119999999</v>
      </c>
      <c r="BC9" s="1522">
        <f>'IS(Q)'!AM11</f>
        <v>2.0844737119999999</v>
      </c>
      <c r="BD9" s="1523">
        <f>'IS(Q)'!AN11</f>
        <v>2.0844737119999999</v>
      </c>
      <c r="BE9" s="1523">
        <f>'IS(Q)'!AO11</f>
        <v>2.0844737119999999</v>
      </c>
      <c r="BF9" s="1524">
        <f>'IS(Q)'!AP11</f>
        <v>2.0844737119999999</v>
      </c>
      <c r="BG9" s="1522">
        <f>'IS(Q)'!AQ11</f>
        <v>2.0844737119999999</v>
      </c>
      <c r="BH9" s="1523">
        <f>'IS(Q)'!AR11</f>
        <v>2.0844737119999999</v>
      </c>
      <c r="BI9" s="1523">
        <f>'IS(Q)'!AS11</f>
        <v>2.0844737119999999</v>
      </c>
      <c r="BJ9" s="1524">
        <f>'IS(Q)'!AT11</f>
        <v>2.0844737119999999</v>
      </c>
      <c r="BK9" s="1522">
        <f>'IS(Q)'!AU11</f>
        <v>2.0844737119999999</v>
      </c>
      <c r="BL9" s="1523">
        <f>'IS(Q)'!AV11</f>
        <v>2.0844737119999999</v>
      </c>
      <c r="BM9" s="1523">
        <f>'IS(Q)'!AW11</f>
        <v>2.0844737119999999</v>
      </c>
      <c r="BN9" s="1524">
        <f>'IS(Q)'!AX11</f>
        <v>2.0844737119999999</v>
      </c>
      <c r="BO9" s="1522">
        <f>'IS(Q)'!AY11</f>
        <v>2.0844737119999999</v>
      </c>
      <c r="BP9" s="1523">
        <f>'IS(Q)'!AZ11</f>
        <v>2.0844737119999999</v>
      </c>
      <c r="BQ9" s="1523">
        <f>'IS(Q)'!BA11</f>
        <v>2.0844737119999999</v>
      </c>
      <c r="BR9" s="1524">
        <f>'IS(Q)'!BB11</f>
        <v>2.0844737119999999</v>
      </c>
      <c r="BS9" s="1522">
        <f>'IS(Q)'!BC11</f>
        <v>2.0844737119999999</v>
      </c>
      <c r="BT9" s="1523">
        <f>'IS(Q)'!BD11</f>
        <v>2.0844737119999999</v>
      </c>
      <c r="BU9" s="1523">
        <f>'IS(Q)'!BE11</f>
        <v>2.0844737119999999</v>
      </c>
      <c r="BV9" s="1524">
        <f>'IS(Q)'!BF11</f>
        <v>2.0844737119999999</v>
      </c>
      <c r="BW9" s="1522">
        <f>'IS(Q)'!BG11</f>
        <v>2.0844737119999999</v>
      </c>
      <c r="BX9" s="1523">
        <f>'IS(Q)'!BH11</f>
        <v>2.0844737119999999</v>
      </c>
      <c r="BY9" s="1523">
        <f>'IS(Q)'!BI11</f>
        <v>2.0844737119999999</v>
      </c>
      <c r="BZ9" s="1524">
        <f>'IS(Q)'!BJ11</f>
        <v>2.0844737119999999</v>
      </c>
      <c r="CA9" s="1522">
        <f>'IS(Q)'!BK11</f>
        <v>2.0844737119999999</v>
      </c>
      <c r="CB9" s="1523">
        <f>'IS(Q)'!BL11</f>
        <v>2.0844737119999999</v>
      </c>
      <c r="CC9" s="1523">
        <f>'IS(Q)'!BM11</f>
        <v>2.0844737119999999</v>
      </c>
      <c r="CD9" s="1524">
        <f>'IS(Q)'!BN11</f>
        <v>2.0844737119999999</v>
      </c>
      <c r="CE9" s="1522">
        <f>'IS(Q)'!BO11</f>
        <v>2.0844737119999999</v>
      </c>
      <c r="CF9" s="1523">
        <f>'IS(Q)'!BP11</f>
        <v>2.0844737119999999</v>
      </c>
      <c r="CG9" s="1523">
        <f>'IS(Q)'!BQ11</f>
        <v>2.0844737119999999</v>
      </c>
      <c r="CH9" s="1524">
        <f>'IS(Q)'!BR11</f>
        <v>2.0844737119999999</v>
      </c>
      <c r="CI9" s="1522">
        <f>'IS(Q)'!BS11</f>
        <v>2.0844737119999999</v>
      </c>
      <c r="CJ9" s="1523">
        <f>'IS(Q)'!BT11</f>
        <v>2.0844737119999999</v>
      </c>
      <c r="CK9" s="1523">
        <f>'IS(Q)'!BU11</f>
        <v>2.0844737119999999</v>
      </c>
      <c r="CL9" s="1524">
        <f>'IS(Q)'!BV11</f>
        <v>2.0844737119999999</v>
      </c>
      <c r="CM9" s="1522">
        <f>'IS(Q)'!BW11</f>
        <v>2.0844737119999999</v>
      </c>
      <c r="CN9" s="1523">
        <f>'IS(Q)'!BX11</f>
        <v>2.0844737119999999</v>
      </c>
      <c r="CO9" s="1523">
        <f>'IS(Q)'!BY11</f>
        <v>2.0844737119999999</v>
      </c>
      <c r="CP9" s="1524">
        <f>'IS(Q)'!BZ11</f>
        <v>2.0844737119999999</v>
      </c>
      <c r="CQ9" s="1522">
        <f>'IS(Q)'!CA11</f>
        <v>2.0844737119999999</v>
      </c>
      <c r="CR9" s="1523">
        <f>'IS(Q)'!CB11</f>
        <v>2.0844737119999999</v>
      </c>
      <c r="CS9" s="1523">
        <f>'IS(Q)'!CC11</f>
        <v>2.0844737119999999</v>
      </c>
      <c r="CT9" s="1524">
        <f>'IS(Q)'!CD11</f>
        <v>2.0844737119999999</v>
      </c>
      <c r="CU9" s="1522">
        <f>'IS(Q)'!CE11</f>
        <v>2.0844737119999999</v>
      </c>
      <c r="CV9" s="1523">
        <f>'IS(Q)'!CF11</f>
        <v>2.0844737119999999</v>
      </c>
      <c r="CW9" s="1523">
        <f>'IS(Q)'!CG11</f>
        <v>2.0844737119999999</v>
      </c>
      <c r="CX9" s="1524">
        <f>'IS(Q)'!CH11</f>
        <v>2.0844737119999999</v>
      </c>
      <c r="CY9" s="1522">
        <f>'IS(Q)'!CI11</f>
        <v>2.0844737119999999</v>
      </c>
      <c r="CZ9" s="1523">
        <f>'IS(Q)'!CJ11</f>
        <v>2.0844737119999999</v>
      </c>
      <c r="DA9" s="1523">
        <f>'IS(Q)'!CK11</f>
        <v>2.0844737119999999</v>
      </c>
      <c r="DB9" s="1524">
        <f>'IS(Q)'!CL11</f>
        <v>2.0844737119999999</v>
      </c>
      <c r="DC9" s="1522">
        <f>'IS(Q)'!CM11</f>
        <v>2.0844737119999999</v>
      </c>
      <c r="DD9" s="1523">
        <f>'IS(Q)'!CN11</f>
        <v>2.0844737119999999</v>
      </c>
      <c r="DE9" s="1523">
        <f>'IS(Q)'!CO11</f>
        <v>2.0844737119999999</v>
      </c>
      <c r="DF9" s="1524">
        <f>'IS(Q)'!CP11</f>
        <v>2.0844737119999999</v>
      </c>
      <c r="DG9" s="1522">
        <f>'IS(Q)'!CQ11</f>
        <v>2.0844737119999999</v>
      </c>
      <c r="DH9" s="1523">
        <f>'IS(Q)'!CR11</f>
        <v>2.0844737119999999</v>
      </c>
      <c r="DI9" s="1523">
        <f>'IS(Q)'!CS11</f>
        <v>2.0844737119999999</v>
      </c>
      <c r="DJ9" s="1524">
        <f>'IS(Q)'!CT11</f>
        <v>2.0844737119999999</v>
      </c>
      <c r="DK9" s="1522">
        <f>'IS(Q)'!CU11</f>
        <v>2.0844737119999999</v>
      </c>
      <c r="DL9" s="1523">
        <f>'IS(Q)'!CV11</f>
        <v>2.0844737119999999</v>
      </c>
      <c r="DM9" s="1523">
        <f>'IS(Q)'!CW11</f>
        <v>2.0844737119999999</v>
      </c>
      <c r="DN9" s="1524">
        <f>'IS(Q)'!CX11</f>
        <v>2.0844737119999999</v>
      </c>
      <c r="DO9" s="1522">
        <f>'IS(Q)'!CY11</f>
        <v>2.0844737119999999</v>
      </c>
      <c r="DP9" s="1523">
        <f>'IS(Q)'!CZ11</f>
        <v>2.0844737119999999</v>
      </c>
      <c r="DQ9" s="1523">
        <f>'IS(Q)'!DA11</f>
        <v>2.0844737119999999</v>
      </c>
      <c r="DR9" s="1524">
        <f>'IS(Q)'!DB11</f>
        <v>2.0844737119999999</v>
      </c>
      <c r="DS9" s="1522">
        <f>'IS(Q)'!DC11</f>
        <v>2.0844737119999999</v>
      </c>
      <c r="DT9" s="1523">
        <f>'IS(Q)'!DD11</f>
        <v>2.0844737119999999</v>
      </c>
      <c r="DU9" s="1523">
        <f>'IS(Q)'!DE11</f>
        <v>2.0844737119999999</v>
      </c>
      <c r="DV9" s="1524">
        <f>'IS(Q)'!DF11</f>
        <v>2.0844737119999999</v>
      </c>
      <c r="DW9" s="1522">
        <f>'IS(Q)'!DG11</f>
        <v>2.0844737119999999</v>
      </c>
      <c r="DX9" s="1523">
        <f>'IS(Q)'!DH11</f>
        <v>2.0844737119999999</v>
      </c>
      <c r="DY9" s="1523">
        <f>'IS(Q)'!DI11</f>
        <v>2.0844737119999999</v>
      </c>
      <c r="DZ9" s="1524">
        <f>'IS(Q)'!DJ11</f>
        <v>2.0844737119999999</v>
      </c>
      <c r="EA9" s="1522">
        <f>'IS(Q)'!DK11</f>
        <v>2.0844737119999999</v>
      </c>
      <c r="EB9" s="1523">
        <f>'IS(Q)'!DL11</f>
        <v>2.0844737119999999</v>
      </c>
      <c r="EC9" s="1523">
        <f>'IS(Q)'!DM11</f>
        <v>2.0844737119999999</v>
      </c>
      <c r="ED9" s="1524">
        <f>'IS(Q)'!DN11</f>
        <v>2.0844737119999999</v>
      </c>
      <c r="EE9" s="1522">
        <f>'IS(Q)'!DO11</f>
        <v>2.0844737119999999</v>
      </c>
      <c r="EF9" s="1523">
        <f>'IS(Q)'!DP11</f>
        <v>2.0844737119999999</v>
      </c>
      <c r="EG9" s="1523">
        <f>'IS(Q)'!DQ11</f>
        <v>2.0844737119999999</v>
      </c>
      <c r="EH9" s="1524">
        <f>'IS(Q)'!DR11</f>
        <v>2.0844737119999999</v>
      </c>
      <c r="EI9" s="1522">
        <f>'IS(Q)'!DS11</f>
        <v>2.0844737119999999</v>
      </c>
      <c r="EJ9" s="1523">
        <f>'IS(Q)'!DT11</f>
        <v>2.0844737119999999</v>
      </c>
      <c r="EK9" s="1523">
        <f>'IS(Q)'!DU11</f>
        <v>2.0844737119999999</v>
      </c>
      <c r="EL9" s="1524">
        <f>'IS(Q)'!DV11</f>
        <v>2.0844737119999999</v>
      </c>
      <c r="EM9" s="1522">
        <f>'IS(Q)'!DW11</f>
        <v>2.0844737119999999</v>
      </c>
      <c r="EN9" s="1523">
        <f>'IS(Q)'!DX11</f>
        <v>2.0844737119999999</v>
      </c>
      <c r="EO9" s="1523">
        <f>'IS(Q)'!DY11</f>
        <v>2.0844737119999999</v>
      </c>
      <c r="EP9" s="1524">
        <f>'IS(Q)'!DZ11</f>
        <v>2.0844737119999999</v>
      </c>
      <c r="EQ9" s="1522">
        <f>'IS(Q)'!EA11</f>
        <v>2.0844737119999999</v>
      </c>
      <c r="ER9" s="1523">
        <f>'IS(Q)'!EB11</f>
        <v>2.0844737119999999</v>
      </c>
      <c r="ES9" s="1523">
        <f>'IS(Q)'!EC11</f>
        <v>2.0844737119999999</v>
      </c>
      <c r="ET9" s="1524">
        <f>'IS(Q)'!ED11</f>
        <v>2.0844737119999999</v>
      </c>
      <c r="EU9" s="1522">
        <f>'IS(Q)'!EE11</f>
        <v>2.0844737119999999</v>
      </c>
      <c r="EV9" s="1523">
        <f>'IS(Q)'!EF11</f>
        <v>2.0844737119999999</v>
      </c>
      <c r="EW9" s="1523">
        <f>'IS(Q)'!EG11</f>
        <v>2.0844737119999999</v>
      </c>
      <c r="EX9" s="1524">
        <f>'IS(Q)'!EH11</f>
        <v>2.0844737119999999</v>
      </c>
      <c r="EY9" s="1522">
        <f>'IS(Q)'!EI11</f>
        <v>2.0844737119999999</v>
      </c>
      <c r="EZ9" s="1523">
        <f>'IS(Q)'!EJ11</f>
        <v>2.0844737119999999</v>
      </c>
      <c r="FA9" s="1523">
        <f>'IS(Q)'!EK11</f>
        <v>2.0844737119999999</v>
      </c>
      <c r="FB9" s="1524">
        <f>'IS(Q)'!EL11</f>
        <v>2.0844737119999999</v>
      </c>
      <c r="FC9" s="1522">
        <f>'IS(Q)'!EM11</f>
        <v>2.0844737119999999</v>
      </c>
      <c r="FD9" s="1523">
        <f>'IS(Q)'!EN11</f>
        <v>2.0844737119999999</v>
      </c>
      <c r="FE9" s="1523">
        <f>'IS(Q)'!EO11</f>
        <v>2.0844737119999999</v>
      </c>
      <c r="FF9" s="1524">
        <f>'IS(Q)'!EP11</f>
        <v>2.0844737119999999</v>
      </c>
      <c r="FG9" s="1522">
        <f>'IS(Q)'!EQ11</f>
        <v>2.0844737119999999</v>
      </c>
      <c r="FH9" s="1523">
        <f>'IS(Q)'!ER11</f>
        <v>2.0844737119999999</v>
      </c>
      <c r="FI9" s="1523">
        <f>'IS(Q)'!ES11</f>
        <v>2.0844737119999999</v>
      </c>
      <c r="FJ9" s="1524">
        <f>'IS(Q)'!ET11</f>
        <v>2.0844737119999999</v>
      </c>
      <c r="FK9" s="1522">
        <f>'IS(Q)'!EU11</f>
        <v>2.0844737119999999</v>
      </c>
      <c r="FL9" s="1523">
        <f>'IS(Q)'!EV11</f>
        <v>2.0844737119999999</v>
      </c>
      <c r="FM9" s="1523">
        <f>'IS(Q)'!EW11</f>
        <v>2.0844737119999999</v>
      </c>
      <c r="FN9" s="1524">
        <f>'IS(Q)'!EX11</f>
        <v>2.0844737119999999</v>
      </c>
      <c r="FO9" s="1522">
        <f>'IS(Q)'!EY11</f>
        <v>2.0844737119999999</v>
      </c>
      <c r="FP9" s="1523">
        <f>'IS(Q)'!EZ11</f>
        <v>2.0844737119999999</v>
      </c>
      <c r="FQ9" s="1523">
        <f>'IS(Q)'!FA11</f>
        <v>2.0844737119999999</v>
      </c>
      <c r="FR9" s="1524">
        <f>'IS(Q)'!FB11</f>
        <v>2.0844737119999999</v>
      </c>
      <c r="FS9" s="1522">
        <f>'IS(Q)'!FC11</f>
        <v>2.0844737119999999</v>
      </c>
      <c r="FT9" s="1523">
        <f>'IS(Q)'!FD11</f>
        <v>2.0844737119999999</v>
      </c>
      <c r="FU9" s="1523">
        <f>'IS(Q)'!FE11</f>
        <v>2.0844737119999999</v>
      </c>
      <c r="FV9" s="1524">
        <f>'IS(Q)'!FF11</f>
        <v>2.0844737119999999</v>
      </c>
      <c r="FW9" s="1522">
        <f>'IS(Q)'!FG11</f>
        <v>2.0844737119999999</v>
      </c>
      <c r="FX9" s="1523">
        <f>'IS(Q)'!FH11</f>
        <v>2.0844737119999999</v>
      </c>
      <c r="FY9" s="1523">
        <f>'IS(Q)'!FI11</f>
        <v>2.0844737119999999</v>
      </c>
      <c r="FZ9" s="1524">
        <f>'IS(Q)'!FJ11</f>
        <v>2.0844737119999999</v>
      </c>
      <c r="GA9" s="1522">
        <f>'IS(Q)'!FK11</f>
        <v>2.0844737119999999</v>
      </c>
      <c r="GB9" s="1523">
        <f>'IS(Q)'!FL11</f>
        <v>2.0844737119999999</v>
      </c>
      <c r="GC9" s="1523">
        <f>'IS(Q)'!FM11</f>
        <v>0</v>
      </c>
      <c r="GD9" s="1524">
        <f>'IS(Q)'!FN11</f>
        <v>0</v>
      </c>
      <c r="GE9" s="1508"/>
      <c r="GF9" s="1509"/>
      <c r="GG9" s="1509"/>
      <c r="GH9" s="1509"/>
      <c r="GI9" s="1509"/>
      <c r="GJ9" s="1509"/>
      <c r="GK9" s="1509"/>
      <c r="GL9" s="1509"/>
      <c r="GM9" s="1509"/>
      <c r="GN9" s="1509"/>
      <c r="GO9" s="1509"/>
      <c r="GP9" s="1509"/>
      <c r="GQ9" s="1509"/>
      <c r="GR9" s="1509"/>
      <c r="GS9" s="1509"/>
      <c r="GT9" s="1509"/>
    </row>
    <row r="10" spans="1:202" ht="17.100000000000001" customHeight="1">
      <c r="A10" s="461"/>
      <c r="B10" s="307"/>
      <c r="C10" s="489" t="str">
        <f>'IS(Q)'!D12</f>
        <v>CFS동 운영 수입</v>
      </c>
      <c r="D10" s="331"/>
      <c r="E10" s="727"/>
      <c r="F10" s="1517">
        <f t="shared" si="11"/>
        <v>9.2785404899999886</v>
      </c>
      <c r="G10" s="1518">
        <v>0.22659230999999999</v>
      </c>
      <c r="H10" s="1518">
        <v>0.32312194</v>
      </c>
      <c r="I10" s="1518">
        <v>0.14729700000000001</v>
      </c>
      <c r="J10" s="1518">
        <v>0.13547419999999999</v>
      </c>
      <c r="K10" s="1518">
        <v>0.19213710000000001</v>
      </c>
      <c r="L10" s="1518">
        <v>0.13046959999999999</v>
      </c>
      <c r="M10" s="1518">
        <v>0.17075699999999999</v>
      </c>
      <c r="N10" s="1518">
        <v>0.144151</v>
      </c>
      <c r="O10" s="1518">
        <v>8.2524E-2</v>
      </c>
      <c r="P10" s="1518">
        <v>9.3060400000000001E-2</v>
      </c>
      <c r="Q10" s="1518">
        <v>9.9075049999999998E-2</v>
      </c>
      <c r="R10" s="1518">
        <v>6.7662959999999994E-2</v>
      </c>
      <c r="S10" s="1518">
        <v>5.4581799999999993E-2</v>
      </c>
      <c r="T10" s="1518">
        <v>4.3912979999999997E-2</v>
      </c>
      <c r="U10" s="1518">
        <v>5.1984199999999994E-2</v>
      </c>
      <c r="V10" s="1518">
        <v>6.8337000000000009E-2</v>
      </c>
      <c r="W10" s="1519">
        <f>'IS(Q)'!G12</f>
        <v>5.7876200000000003E-2</v>
      </c>
      <c r="X10" s="1520">
        <f>'IS(Q)'!H12</f>
        <v>5.3461399999999999E-2</v>
      </c>
      <c r="Y10" s="1520">
        <f>'IS(Q)'!I12</f>
        <v>3.7817999999999997E-2</v>
      </c>
      <c r="Z10" s="1521">
        <f>'IS(Q)'!J12</f>
        <v>0.06</v>
      </c>
      <c r="AA10" s="1519">
        <f>'IS(Q)'!K12</f>
        <v>0.14077054999999999</v>
      </c>
      <c r="AB10" s="1520">
        <f>'IS(Q)'!L12</f>
        <v>0.11409345</v>
      </c>
      <c r="AC10" s="1520">
        <f>'IS(Q)'!M12</f>
        <v>8.7302299999999999E-2</v>
      </c>
      <c r="AD10" s="1521">
        <f>'IS(Q)'!N12</f>
        <v>6.7859249999999996E-2</v>
      </c>
      <c r="AE10" s="1525">
        <f>'IS(Q)'!O12</f>
        <v>6.3013280000000005E-2</v>
      </c>
      <c r="AF10" s="1526">
        <f>'IS(Q)'!P12</f>
        <v>9.5527210000000001E-2</v>
      </c>
      <c r="AG10" s="1526">
        <f>'IS(Q)'!Q12</f>
        <v>0.06</v>
      </c>
      <c r="AH10" s="1527">
        <f>'IS(Q)'!R12</f>
        <v>0.06</v>
      </c>
      <c r="AI10" s="1525">
        <f>'IS(Q)'!S12</f>
        <v>0.06</v>
      </c>
      <c r="AJ10" s="1526">
        <f>'IS(Q)'!T12</f>
        <v>0.06</v>
      </c>
      <c r="AK10" s="1526">
        <f>'IS(Q)'!U12</f>
        <v>0.06</v>
      </c>
      <c r="AL10" s="1527">
        <f>'IS(Q)'!V12</f>
        <v>0.06</v>
      </c>
      <c r="AM10" s="1525">
        <f>'IS(Q)'!W12</f>
        <v>0.06</v>
      </c>
      <c r="AN10" s="1526">
        <f>'IS(Q)'!X12</f>
        <v>0.06</v>
      </c>
      <c r="AO10" s="1526">
        <f>'IS(Q)'!Y12</f>
        <v>0.06</v>
      </c>
      <c r="AP10" s="1527">
        <f>'IS(Q)'!Z12</f>
        <v>0.06</v>
      </c>
      <c r="AQ10" s="1525">
        <f>'IS(Q)'!AA12</f>
        <v>0.06</v>
      </c>
      <c r="AR10" s="1526">
        <f>'IS(Q)'!AB12</f>
        <v>0.06</v>
      </c>
      <c r="AS10" s="1526">
        <f>'IS(Q)'!AC12</f>
        <v>0.06</v>
      </c>
      <c r="AT10" s="1527">
        <f>'IS(Q)'!AD12</f>
        <v>0.06</v>
      </c>
      <c r="AU10" s="1525">
        <f>'IS(Q)'!AE12</f>
        <v>0.06</v>
      </c>
      <c r="AV10" s="1526">
        <f>'IS(Q)'!AF12</f>
        <v>0.06</v>
      </c>
      <c r="AW10" s="1526">
        <f>'IS(Q)'!AG12</f>
        <v>0.06</v>
      </c>
      <c r="AX10" s="1527">
        <f>'IS(Q)'!AH12</f>
        <v>0.06</v>
      </c>
      <c r="AY10" s="1525">
        <f>'IS(Q)'!AI12</f>
        <v>0.06</v>
      </c>
      <c r="AZ10" s="1526">
        <f>'IS(Q)'!AJ12</f>
        <v>0.06</v>
      </c>
      <c r="BA10" s="1526">
        <f>'IS(Q)'!AK12</f>
        <v>0.06</v>
      </c>
      <c r="BB10" s="1527">
        <f>'IS(Q)'!AL12</f>
        <v>0.06</v>
      </c>
      <c r="BC10" s="1525">
        <f>'IS(Q)'!AM12</f>
        <v>0.06</v>
      </c>
      <c r="BD10" s="1526">
        <f>'IS(Q)'!AN12</f>
        <v>0.06</v>
      </c>
      <c r="BE10" s="1526">
        <f>'IS(Q)'!AO12</f>
        <v>0.06</v>
      </c>
      <c r="BF10" s="1527">
        <f>'IS(Q)'!AP12</f>
        <v>0.06</v>
      </c>
      <c r="BG10" s="1525">
        <f>'IS(Q)'!AQ12</f>
        <v>0.06</v>
      </c>
      <c r="BH10" s="1526">
        <f>'IS(Q)'!AR12</f>
        <v>0.06</v>
      </c>
      <c r="BI10" s="1526">
        <f>'IS(Q)'!AS12</f>
        <v>0.06</v>
      </c>
      <c r="BJ10" s="1527">
        <f>'IS(Q)'!AT12</f>
        <v>0.06</v>
      </c>
      <c r="BK10" s="1525">
        <f>'IS(Q)'!AU12</f>
        <v>0.06</v>
      </c>
      <c r="BL10" s="1526">
        <f>'IS(Q)'!AV12</f>
        <v>0.06</v>
      </c>
      <c r="BM10" s="1526">
        <f>'IS(Q)'!AW12</f>
        <v>0.06</v>
      </c>
      <c r="BN10" s="1527">
        <f>'IS(Q)'!AX12</f>
        <v>0.06</v>
      </c>
      <c r="BO10" s="1525">
        <f>'IS(Q)'!AY12</f>
        <v>0.06</v>
      </c>
      <c r="BP10" s="1526">
        <f>'IS(Q)'!AZ12</f>
        <v>0.06</v>
      </c>
      <c r="BQ10" s="1526">
        <f>'IS(Q)'!BA12</f>
        <v>0.06</v>
      </c>
      <c r="BR10" s="1527">
        <f>'IS(Q)'!BB12</f>
        <v>0.06</v>
      </c>
      <c r="BS10" s="1525">
        <f>'IS(Q)'!BC12</f>
        <v>0.06</v>
      </c>
      <c r="BT10" s="1526">
        <f>'IS(Q)'!BD12</f>
        <v>0.06</v>
      </c>
      <c r="BU10" s="1526">
        <f>'IS(Q)'!BE12</f>
        <v>0.06</v>
      </c>
      <c r="BV10" s="1527">
        <f>'IS(Q)'!BF12</f>
        <v>0.06</v>
      </c>
      <c r="BW10" s="1525">
        <f>'IS(Q)'!BG12</f>
        <v>0.06</v>
      </c>
      <c r="BX10" s="1526">
        <f>'IS(Q)'!BH12</f>
        <v>0.06</v>
      </c>
      <c r="BY10" s="1526">
        <f>'IS(Q)'!BI12</f>
        <v>0.06</v>
      </c>
      <c r="BZ10" s="1527">
        <f>'IS(Q)'!BJ12</f>
        <v>0.06</v>
      </c>
      <c r="CA10" s="1525">
        <f>'IS(Q)'!BK12</f>
        <v>0.06</v>
      </c>
      <c r="CB10" s="1526">
        <f>'IS(Q)'!BL12</f>
        <v>0.06</v>
      </c>
      <c r="CC10" s="1526">
        <f>'IS(Q)'!BM12</f>
        <v>0.06</v>
      </c>
      <c r="CD10" s="1527">
        <f>'IS(Q)'!BN12</f>
        <v>0.06</v>
      </c>
      <c r="CE10" s="1525">
        <f>'IS(Q)'!BO12</f>
        <v>0.06</v>
      </c>
      <c r="CF10" s="1526">
        <f>'IS(Q)'!BP12</f>
        <v>0.06</v>
      </c>
      <c r="CG10" s="1526">
        <f>'IS(Q)'!BQ12</f>
        <v>0.06</v>
      </c>
      <c r="CH10" s="1527">
        <f>'IS(Q)'!BR12</f>
        <v>0.06</v>
      </c>
      <c r="CI10" s="1525">
        <f>'IS(Q)'!BS12</f>
        <v>0.06</v>
      </c>
      <c r="CJ10" s="1526">
        <f>'IS(Q)'!BT12</f>
        <v>0.06</v>
      </c>
      <c r="CK10" s="1526">
        <f>'IS(Q)'!BU12</f>
        <v>0.06</v>
      </c>
      <c r="CL10" s="1527">
        <f>'IS(Q)'!BV12</f>
        <v>0.06</v>
      </c>
      <c r="CM10" s="1525">
        <f>'IS(Q)'!BW12</f>
        <v>0.06</v>
      </c>
      <c r="CN10" s="1526">
        <f>'IS(Q)'!BX12</f>
        <v>0.06</v>
      </c>
      <c r="CO10" s="1526">
        <f>'IS(Q)'!BY12</f>
        <v>0.06</v>
      </c>
      <c r="CP10" s="1527">
        <f>'IS(Q)'!BZ12</f>
        <v>0.06</v>
      </c>
      <c r="CQ10" s="1525">
        <f>'IS(Q)'!CA12</f>
        <v>0.06</v>
      </c>
      <c r="CR10" s="1526">
        <f>'IS(Q)'!CB12</f>
        <v>0.06</v>
      </c>
      <c r="CS10" s="1526">
        <f>'IS(Q)'!CC12</f>
        <v>0.06</v>
      </c>
      <c r="CT10" s="1527">
        <f>'IS(Q)'!CD12</f>
        <v>0.06</v>
      </c>
      <c r="CU10" s="1525">
        <f>'IS(Q)'!CE12</f>
        <v>0.06</v>
      </c>
      <c r="CV10" s="1526">
        <f>'IS(Q)'!CF12</f>
        <v>0.06</v>
      </c>
      <c r="CW10" s="1526">
        <f>'IS(Q)'!CG12</f>
        <v>0.06</v>
      </c>
      <c r="CX10" s="1527">
        <f>'IS(Q)'!CH12</f>
        <v>0.06</v>
      </c>
      <c r="CY10" s="1525">
        <f>'IS(Q)'!CI12</f>
        <v>0.06</v>
      </c>
      <c r="CZ10" s="1526">
        <f>'IS(Q)'!CJ12</f>
        <v>0.06</v>
      </c>
      <c r="DA10" s="1526">
        <f>'IS(Q)'!CK12</f>
        <v>0.06</v>
      </c>
      <c r="DB10" s="1527">
        <f>'IS(Q)'!CL12</f>
        <v>0.06</v>
      </c>
      <c r="DC10" s="1525">
        <f>'IS(Q)'!CM12</f>
        <v>0.06</v>
      </c>
      <c r="DD10" s="1526">
        <f>'IS(Q)'!CN12</f>
        <v>0.06</v>
      </c>
      <c r="DE10" s="1526">
        <f>'IS(Q)'!CO12</f>
        <v>0.06</v>
      </c>
      <c r="DF10" s="1527">
        <f>'IS(Q)'!CP12</f>
        <v>0.06</v>
      </c>
      <c r="DG10" s="1525">
        <f>'IS(Q)'!CQ12</f>
        <v>0.06</v>
      </c>
      <c r="DH10" s="1526">
        <f>'IS(Q)'!CR12</f>
        <v>0.06</v>
      </c>
      <c r="DI10" s="1526">
        <f>'IS(Q)'!CS12</f>
        <v>0.06</v>
      </c>
      <c r="DJ10" s="1527">
        <f>'IS(Q)'!CT12</f>
        <v>0.06</v>
      </c>
      <c r="DK10" s="1525">
        <f>'IS(Q)'!CU12</f>
        <v>0.06</v>
      </c>
      <c r="DL10" s="1526">
        <f>'IS(Q)'!CV12</f>
        <v>0.06</v>
      </c>
      <c r="DM10" s="1526">
        <f>'IS(Q)'!CW12</f>
        <v>0.06</v>
      </c>
      <c r="DN10" s="1527">
        <f>'IS(Q)'!CX12</f>
        <v>0.06</v>
      </c>
      <c r="DO10" s="1525">
        <f>'IS(Q)'!CY12</f>
        <v>0.06</v>
      </c>
      <c r="DP10" s="1526">
        <f>'IS(Q)'!CZ12</f>
        <v>0.06</v>
      </c>
      <c r="DQ10" s="1526">
        <f>'IS(Q)'!DA12</f>
        <v>0.06</v>
      </c>
      <c r="DR10" s="1527">
        <f>'IS(Q)'!DB12</f>
        <v>0.06</v>
      </c>
      <c r="DS10" s="1525">
        <f>'IS(Q)'!DC12</f>
        <v>0.06</v>
      </c>
      <c r="DT10" s="1526">
        <f>'IS(Q)'!DD12</f>
        <v>0.06</v>
      </c>
      <c r="DU10" s="1526">
        <f>'IS(Q)'!DE12</f>
        <v>0.06</v>
      </c>
      <c r="DV10" s="1527">
        <f>'IS(Q)'!DF12</f>
        <v>0.06</v>
      </c>
      <c r="DW10" s="1525">
        <f>'IS(Q)'!DG12</f>
        <v>0.06</v>
      </c>
      <c r="DX10" s="1526">
        <f>'IS(Q)'!DH12</f>
        <v>0.06</v>
      </c>
      <c r="DY10" s="1526">
        <f>'IS(Q)'!DI12</f>
        <v>0.06</v>
      </c>
      <c r="DZ10" s="1527">
        <f>'IS(Q)'!DJ12</f>
        <v>0.06</v>
      </c>
      <c r="EA10" s="1525">
        <f>'IS(Q)'!DK12</f>
        <v>0.06</v>
      </c>
      <c r="EB10" s="1526">
        <f>'IS(Q)'!DL12</f>
        <v>0.06</v>
      </c>
      <c r="EC10" s="1526">
        <f>'IS(Q)'!DM12</f>
        <v>0.06</v>
      </c>
      <c r="ED10" s="1527">
        <f>'IS(Q)'!DN12</f>
        <v>0.06</v>
      </c>
      <c r="EE10" s="1525">
        <f>'IS(Q)'!DO12</f>
        <v>0.06</v>
      </c>
      <c r="EF10" s="1526">
        <f>'IS(Q)'!DP12</f>
        <v>0.06</v>
      </c>
      <c r="EG10" s="1526">
        <f>'IS(Q)'!DQ12</f>
        <v>0.06</v>
      </c>
      <c r="EH10" s="1527">
        <f>'IS(Q)'!DR12</f>
        <v>0.06</v>
      </c>
      <c r="EI10" s="1525">
        <f>'IS(Q)'!DS12</f>
        <v>0.06</v>
      </c>
      <c r="EJ10" s="1526">
        <f>'IS(Q)'!DT12</f>
        <v>0.06</v>
      </c>
      <c r="EK10" s="1526">
        <f>'IS(Q)'!DU12</f>
        <v>0.06</v>
      </c>
      <c r="EL10" s="1527">
        <f>'IS(Q)'!DV12</f>
        <v>0.06</v>
      </c>
      <c r="EM10" s="1525">
        <f>'IS(Q)'!DW12</f>
        <v>0.06</v>
      </c>
      <c r="EN10" s="1526">
        <f>'IS(Q)'!DX12</f>
        <v>0.06</v>
      </c>
      <c r="EO10" s="1526">
        <f>'IS(Q)'!DY12</f>
        <v>0.06</v>
      </c>
      <c r="EP10" s="1527">
        <f>'IS(Q)'!DZ12</f>
        <v>0.06</v>
      </c>
      <c r="EQ10" s="1525">
        <f>'IS(Q)'!EA12</f>
        <v>0.06</v>
      </c>
      <c r="ER10" s="1526">
        <f>'IS(Q)'!EB12</f>
        <v>0.06</v>
      </c>
      <c r="ES10" s="1526">
        <f>'IS(Q)'!EC12</f>
        <v>0.06</v>
      </c>
      <c r="ET10" s="1527">
        <f>'IS(Q)'!ED12</f>
        <v>0.06</v>
      </c>
      <c r="EU10" s="1525">
        <f>'IS(Q)'!EE12</f>
        <v>0.06</v>
      </c>
      <c r="EV10" s="1526">
        <f>'IS(Q)'!EF12</f>
        <v>0.06</v>
      </c>
      <c r="EW10" s="1526">
        <f>'IS(Q)'!EG12</f>
        <v>0.06</v>
      </c>
      <c r="EX10" s="1527">
        <f>'IS(Q)'!EH12</f>
        <v>0.06</v>
      </c>
      <c r="EY10" s="1525">
        <f>'IS(Q)'!EI12</f>
        <v>0.06</v>
      </c>
      <c r="EZ10" s="1526">
        <f>'IS(Q)'!EJ12</f>
        <v>0.06</v>
      </c>
      <c r="FA10" s="1526">
        <f>'IS(Q)'!EK12</f>
        <v>0.06</v>
      </c>
      <c r="FB10" s="1527">
        <f>'IS(Q)'!EL12</f>
        <v>0.06</v>
      </c>
      <c r="FC10" s="1525">
        <f>'IS(Q)'!EM12</f>
        <v>0.06</v>
      </c>
      <c r="FD10" s="1526">
        <f>'IS(Q)'!EN12</f>
        <v>0.06</v>
      </c>
      <c r="FE10" s="1526">
        <f>'IS(Q)'!EO12</f>
        <v>0.06</v>
      </c>
      <c r="FF10" s="1527">
        <f>'IS(Q)'!EP12</f>
        <v>0.06</v>
      </c>
      <c r="FG10" s="1525">
        <f>'IS(Q)'!EQ12</f>
        <v>0.06</v>
      </c>
      <c r="FH10" s="1526">
        <f>'IS(Q)'!ER12</f>
        <v>0.06</v>
      </c>
      <c r="FI10" s="1526">
        <f>'IS(Q)'!ES12</f>
        <v>0.06</v>
      </c>
      <c r="FJ10" s="1527">
        <f>'IS(Q)'!ET12</f>
        <v>0.06</v>
      </c>
      <c r="FK10" s="1525">
        <f>'IS(Q)'!EU12</f>
        <v>0.06</v>
      </c>
      <c r="FL10" s="1526">
        <f>'IS(Q)'!EV12</f>
        <v>0.06</v>
      </c>
      <c r="FM10" s="1526">
        <f>'IS(Q)'!EW12</f>
        <v>0.06</v>
      </c>
      <c r="FN10" s="1527">
        <f>'IS(Q)'!EX12</f>
        <v>0.06</v>
      </c>
      <c r="FO10" s="1525">
        <f>'IS(Q)'!EY12</f>
        <v>0.06</v>
      </c>
      <c r="FP10" s="1526">
        <f>'IS(Q)'!EZ12</f>
        <v>0.06</v>
      </c>
      <c r="FQ10" s="1526">
        <f>'IS(Q)'!FA12</f>
        <v>0.06</v>
      </c>
      <c r="FR10" s="1527">
        <f>'IS(Q)'!FB12</f>
        <v>0.06</v>
      </c>
      <c r="FS10" s="1525">
        <f>'IS(Q)'!FC12</f>
        <v>0.06</v>
      </c>
      <c r="FT10" s="1526">
        <f>'IS(Q)'!FD12</f>
        <v>0.06</v>
      </c>
      <c r="FU10" s="1526">
        <f>'IS(Q)'!FE12</f>
        <v>0.06</v>
      </c>
      <c r="FV10" s="1527">
        <f>'IS(Q)'!FF12</f>
        <v>0.06</v>
      </c>
      <c r="FW10" s="1525">
        <f>'IS(Q)'!FG12</f>
        <v>0.06</v>
      </c>
      <c r="FX10" s="1526">
        <f>'IS(Q)'!FH12</f>
        <v>0.06</v>
      </c>
      <c r="FY10" s="1526">
        <f>'IS(Q)'!FI12</f>
        <v>0.06</v>
      </c>
      <c r="FZ10" s="1527">
        <f>'IS(Q)'!FJ12</f>
        <v>0.06</v>
      </c>
      <c r="GA10" s="1525">
        <f>'IS(Q)'!FK12</f>
        <v>0.06</v>
      </c>
      <c r="GB10" s="1526">
        <f>'IS(Q)'!FL12</f>
        <v>0.06</v>
      </c>
      <c r="GC10" s="1526">
        <f>'IS(Q)'!FM12</f>
        <v>0</v>
      </c>
      <c r="GD10" s="1527">
        <f>'IS(Q)'!FN12</f>
        <v>0</v>
      </c>
      <c r="GE10" s="1508"/>
      <c r="GF10" s="1509"/>
      <c r="GG10" s="1509"/>
      <c r="GH10" s="1509"/>
      <c r="GI10" s="1509"/>
      <c r="GJ10" s="1509"/>
      <c r="GK10" s="1509"/>
      <c r="GL10" s="1509"/>
      <c r="GM10" s="1509"/>
      <c r="GN10" s="1509"/>
      <c r="GO10" s="1509"/>
      <c r="GP10" s="1509"/>
      <c r="GQ10" s="1509"/>
      <c r="GR10" s="1509"/>
      <c r="GS10" s="1509"/>
      <c r="GT10" s="1509"/>
    </row>
    <row r="11" spans="1:202" ht="17.100000000000001" customHeight="1">
      <c r="B11" s="307"/>
      <c r="C11" s="489" t="str">
        <f>'IS(Q)'!D13</f>
        <v>4번선석 임대</v>
      </c>
      <c r="D11" s="331"/>
      <c r="E11" s="727"/>
      <c r="F11" s="1517">
        <f t="shared" ca="1" si="11"/>
        <v>793.45799953283131</v>
      </c>
      <c r="G11" s="1518">
        <v>0.18761120000000001</v>
      </c>
      <c r="H11" s="1518">
        <v>2.6526636099999998</v>
      </c>
      <c r="I11" s="1518">
        <v>2.8637818099999999</v>
      </c>
      <c r="J11" s="1518">
        <v>7.2259344700000003</v>
      </c>
      <c r="K11" s="1518">
        <v>2.1375105900000002</v>
      </c>
      <c r="L11" s="1518">
        <v>3.98679067</v>
      </c>
      <c r="M11" s="1518">
        <v>3.40091565</v>
      </c>
      <c r="N11" s="1518">
        <v>3.3384536200000001</v>
      </c>
      <c r="O11" s="1518">
        <v>4.67452472</v>
      </c>
      <c r="P11" s="1518">
        <v>4.5836094000000003</v>
      </c>
      <c r="Q11" s="1518">
        <v>4.6709370000000003</v>
      </c>
      <c r="R11" s="1518">
        <v>5.0223762000000001</v>
      </c>
      <c r="S11" s="1518">
        <v>5.01</v>
      </c>
      <c r="T11" s="1518">
        <v>5.016</v>
      </c>
      <c r="U11" s="1518">
        <v>5.0190000000000001</v>
      </c>
      <c r="V11" s="1518">
        <v>4.9729999999999999</v>
      </c>
      <c r="W11" s="1519">
        <f>'IS(Q)'!G13</f>
        <v>5.01</v>
      </c>
      <c r="X11" s="1520">
        <f>'IS(Q)'!H13</f>
        <v>5.0190000000000001</v>
      </c>
      <c r="Y11" s="1520">
        <f>'IS(Q)'!I13</f>
        <v>5.0190000000000001</v>
      </c>
      <c r="Z11" s="1521">
        <f>'IS(Q)'!J13</f>
        <v>4.97</v>
      </c>
      <c r="AA11" s="1519">
        <f>'IS(Q)'!K13</f>
        <v>5.01</v>
      </c>
      <c r="AB11" s="1520">
        <f>'IS(Q)'!L13</f>
        <v>5.01</v>
      </c>
      <c r="AC11" s="1520">
        <f>'IS(Q)'!M13</f>
        <v>5.01</v>
      </c>
      <c r="AD11" s="1521">
        <f>'IS(Q)'!N13</f>
        <v>4.97</v>
      </c>
      <c r="AE11" s="1522">
        <f>'IS(Q)'!O13</f>
        <v>5.25</v>
      </c>
      <c r="AF11" s="1523">
        <f>'IS(Q)'!P13</f>
        <v>5.25</v>
      </c>
      <c r="AG11" s="1523">
        <f>'IS(Q)'!Q13</f>
        <v>5.25</v>
      </c>
      <c r="AH11" s="1524">
        <f>'IS(Q)'!R13</f>
        <v>5.25</v>
      </c>
      <c r="AI11" s="1522">
        <f>'IS(Q)'!S13</f>
        <v>5.25</v>
      </c>
      <c r="AJ11" s="1523">
        <f>'IS(Q)'!T13</f>
        <v>5.25</v>
      </c>
      <c r="AK11" s="1523">
        <f>'IS(Q)'!U13</f>
        <v>5.25</v>
      </c>
      <c r="AL11" s="1524">
        <f>'IS(Q)'!V13</f>
        <v>5.25</v>
      </c>
      <c r="AM11" s="1522">
        <f ca="1">'IS(Q)'!W13</f>
        <v>5.25</v>
      </c>
      <c r="AN11" s="1523">
        <f ca="1">'IS(Q)'!X13</f>
        <v>5.25</v>
      </c>
      <c r="AO11" s="1523">
        <f ca="1">'IS(Q)'!Y13</f>
        <v>5.25</v>
      </c>
      <c r="AP11" s="1524">
        <f ca="1">'IS(Q)'!Z13</f>
        <v>5.25</v>
      </c>
      <c r="AQ11" s="1522">
        <f ca="1">'IS(Q)'!AA13</f>
        <v>5.5125000000000002</v>
      </c>
      <c r="AR11" s="1523">
        <f ca="1">'IS(Q)'!AB13</f>
        <v>5.5125000000000002</v>
      </c>
      <c r="AS11" s="1523">
        <f ca="1">'IS(Q)'!AC13</f>
        <v>5.5125000000000002</v>
      </c>
      <c r="AT11" s="1524">
        <f ca="1">'IS(Q)'!AD13</f>
        <v>5.5125000000000002</v>
      </c>
      <c r="AU11" s="1522">
        <f ca="1">'IS(Q)'!AE13</f>
        <v>3.8587500000000001</v>
      </c>
      <c r="AV11" s="1523">
        <f ca="1">'IS(Q)'!AF13</f>
        <v>3.8587500000000001</v>
      </c>
      <c r="AW11" s="1523">
        <f ca="1">'IS(Q)'!AG13</f>
        <v>3.8587500000000001</v>
      </c>
      <c r="AX11" s="1524">
        <f ca="1">'IS(Q)'!AH13</f>
        <v>3.8587500000000001</v>
      </c>
      <c r="AY11" s="1522">
        <f ca="1">'IS(Q)'!AI13</f>
        <v>3.8587500000000001</v>
      </c>
      <c r="AZ11" s="1523">
        <f ca="1">'IS(Q)'!AJ13</f>
        <v>3.8587500000000001</v>
      </c>
      <c r="BA11" s="1523">
        <f ca="1">'IS(Q)'!AK13</f>
        <v>3.8587500000000001</v>
      </c>
      <c r="BB11" s="1524">
        <f ca="1">'IS(Q)'!AL13</f>
        <v>3.8587500000000001</v>
      </c>
      <c r="BC11" s="1522">
        <f ca="1">'IS(Q)'!AM13</f>
        <v>4.0516875000000008</v>
      </c>
      <c r="BD11" s="1523">
        <f ca="1">'IS(Q)'!AN13</f>
        <v>4.0516875000000008</v>
      </c>
      <c r="BE11" s="1523">
        <f ca="1">'IS(Q)'!AO13</f>
        <v>4.0516875000000008</v>
      </c>
      <c r="BF11" s="1524">
        <f ca="1">'IS(Q)'!AP13</f>
        <v>4.0516875000000008</v>
      </c>
      <c r="BG11" s="1522">
        <f ca="1">'IS(Q)'!AQ13</f>
        <v>4.0516875000000008</v>
      </c>
      <c r="BH11" s="1523">
        <f ca="1">'IS(Q)'!AR13</f>
        <v>4.0516875000000008</v>
      </c>
      <c r="BI11" s="1523">
        <f ca="1">'IS(Q)'!AS13</f>
        <v>4.0516875000000008</v>
      </c>
      <c r="BJ11" s="1524">
        <f ca="1">'IS(Q)'!AT13</f>
        <v>4.0516875000000008</v>
      </c>
      <c r="BK11" s="1522">
        <f ca="1">'IS(Q)'!AU13</f>
        <v>4.0516875000000008</v>
      </c>
      <c r="BL11" s="1523">
        <f ca="1">'IS(Q)'!AV13</f>
        <v>4.0516875000000008</v>
      </c>
      <c r="BM11" s="1523">
        <f ca="1">'IS(Q)'!AW13</f>
        <v>4.0516875000000008</v>
      </c>
      <c r="BN11" s="1524">
        <f ca="1">'IS(Q)'!AX13</f>
        <v>4.0516875000000008</v>
      </c>
      <c r="BO11" s="1522">
        <f ca="1">'IS(Q)'!AY13</f>
        <v>4.2542718749999997</v>
      </c>
      <c r="BP11" s="1523">
        <f ca="1">'IS(Q)'!AZ13</f>
        <v>4.2542718749999997</v>
      </c>
      <c r="BQ11" s="1523">
        <f ca="1">'IS(Q)'!BA13</f>
        <v>4.2542718749999997</v>
      </c>
      <c r="BR11" s="1524">
        <f ca="1">'IS(Q)'!BB13</f>
        <v>4.2542718749999997</v>
      </c>
      <c r="BS11" s="1522">
        <f ca="1">'IS(Q)'!BC13</f>
        <v>4.2542718749999997</v>
      </c>
      <c r="BT11" s="1523">
        <f ca="1">'IS(Q)'!BD13</f>
        <v>4.2542718749999997</v>
      </c>
      <c r="BU11" s="1523">
        <f ca="1">'IS(Q)'!BE13</f>
        <v>4.2542718749999997</v>
      </c>
      <c r="BV11" s="1524">
        <f ca="1">'IS(Q)'!BF13</f>
        <v>4.2542718749999997</v>
      </c>
      <c r="BW11" s="1522">
        <f ca="1">'IS(Q)'!BG13</f>
        <v>4.2542718749999997</v>
      </c>
      <c r="BX11" s="1523">
        <f ca="1">'IS(Q)'!BH13</f>
        <v>4.2542718749999997</v>
      </c>
      <c r="BY11" s="1523">
        <f ca="1">'IS(Q)'!BI13</f>
        <v>4.2542718749999997</v>
      </c>
      <c r="BZ11" s="1524">
        <f ca="1">'IS(Q)'!BJ13</f>
        <v>4.2542718749999997</v>
      </c>
      <c r="CA11" s="1522">
        <f ca="1">'IS(Q)'!BK13</f>
        <v>4.4669854687500008</v>
      </c>
      <c r="CB11" s="1523">
        <f ca="1">'IS(Q)'!BL13</f>
        <v>4.4669854687500008</v>
      </c>
      <c r="CC11" s="1523">
        <f ca="1">'IS(Q)'!BM13</f>
        <v>4.4669854687500008</v>
      </c>
      <c r="CD11" s="1524">
        <f ca="1">'IS(Q)'!BN13</f>
        <v>4.4669854687500008</v>
      </c>
      <c r="CE11" s="1522">
        <f ca="1">'IS(Q)'!BO13</f>
        <v>4.4669854687500008</v>
      </c>
      <c r="CF11" s="1523">
        <f ca="1">'IS(Q)'!BP13</f>
        <v>4.4669854687500008</v>
      </c>
      <c r="CG11" s="1523">
        <f ca="1">'IS(Q)'!BQ13</f>
        <v>4.4669854687500008</v>
      </c>
      <c r="CH11" s="1524">
        <f ca="1">'IS(Q)'!BR13</f>
        <v>4.4669854687500008</v>
      </c>
      <c r="CI11" s="1522">
        <f ca="1">'IS(Q)'!BS13</f>
        <v>4.4669854687500008</v>
      </c>
      <c r="CJ11" s="1523">
        <f ca="1">'IS(Q)'!BT13</f>
        <v>4.4669854687500008</v>
      </c>
      <c r="CK11" s="1523">
        <f ca="1">'IS(Q)'!BU13</f>
        <v>4.4669854687500008</v>
      </c>
      <c r="CL11" s="1524">
        <f ca="1">'IS(Q)'!BV13</f>
        <v>4.4669854687500008</v>
      </c>
      <c r="CM11" s="1522">
        <f ca="1">'IS(Q)'!BW13</f>
        <v>4.6903347421875017</v>
      </c>
      <c r="CN11" s="1523">
        <f ca="1">'IS(Q)'!BX13</f>
        <v>4.6903347421875017</v>
      </c>
      <c r="CO11" s="1523">
        <f ca="1">'IS(Q)'!BY13</f>
        <v>4.6903347421875017</v>
      </c>
      <c r="CP11" s="1524">
        <f ca="1">'IS(Q)'!BZ13</f>
        <v>4.6903347421875017</v>
      </c>
      <c r="CQ11" s="1522">
        <f ca="1">'IS(Q)'!CA13</f>
        <v>4.6903347421875017</v>
      </c>
      <c r="CR11" s="1523">
        <f ca="1">'IS(Q)'!CB13</f>
        <v>4.6903347421875017</v>
      </c>
      <c r="CS11" s="1523">
        <f ca="1">'IS(Q)'!CC13</f>
        <v>4.6903347421875017</v>
      </c>
      <c r="CT11" s="1524">
        <f ca="1">'IS(Q)'!CD13</f>
        <v>4.6903347421875017</v>
      </c>
      <c r="CU11" s="1522">
        <f ca="1">'IS(Q)'!CE13</f>
        <v>4.6903347421875017</v>
      </c>
      <c r="CV11" s="1523">
        <f ca="1">'IS(Q)'!CF13</f>
        <v>4.6903347421875017</v>
      </c>
      <c r="CW11" s="1523">
        <f ca="1">'IS(Q)'!CG13</f>
        <v>4.6903347421875017</v>
      </c>
      <c r="CX11" s="1524">
        <f ca="1">'IS(Q)'!CH13</f>
        <v>4.6903347421875017</v>
      </c>
      <c r="CY11" s="1522">
        <f ca="1">'IS(Q)'!CI13</f>
        <v>4.9248514792968763</v>
      </c>
      <c r="CZ11" s="1523">
        <f ca="1">'IS(Q)'!CJ13</f>
        <v>4.9248514792968763</v>
      </c>
      <c r="DA11" s="1523">
        <f ca="1">'IS(Q)'!CK13</f>
        <v>4.9248514792968763</v>
      </c>
      <c r="DB11" s="1524">
        <f ca="1">'IS(Q)'!CL13</f>
        <v>4.9248514792968763</v>
      </c>
      <c r="DC11" s="1522">
        <f ca="1">'IS(Q)'!CM13</f>
        <v>4.9248514792968763</v>
      </c>
      <c r="DD11" s="1523">
        <f ca="1">'IS(Q)'!CN13</f>
        <v>4.9248514792968763</v>
      </c>
      <c r="DE11" s="1523">
        <f ca="1">'IS(Q)'!CO13</f>
        <v>4.9248514792968763</v>
      </c>
      <c r="DF11" s="1524">
        <f ca="1">'IS(Q)'!CP13</f>
        <v>4.9248514792968763</v>
      </c>
      <c r="DG11" s="1522">
        <f ca="1">'IS(Q)'!CQ13</f>
        <v>4.9248514792968763</v>
      </c>
      <c r="DH11" s="1523">
        <f ca="1">'IS(Q)'!CR13</f>
        <v>4.9248514792968763</v>
      </c>
      <c r="DI11" s="1523">
        <f ca="1">'IS(Q)'!CS13</f>
        <v>4.9248514792968763</v>
      </c>
      <c r="DJ11" s="1524">
        <f ca="1">'IS(Q)'!CT13</f>
        <v>4.9248514792968763</v>
      </c>
      <c r="DK11" s="1522">
        <f ca="1">'IS(Q)'!CU13</f>
        <v>5.1710940532617204</v>
      </c>
      <c r="DL11" s="1523">
        <f ca="1">'IS(Q)'!CV13</f>
        <v>5.1710940532617204</v>
      </c>
      <c r="DM11" s="1523">
        <f ca="1">'IS(Q)'!CW13</f>
        <v>5.1710940532617204</v>
      </c>
      <c r="DN11" s="1524">
        <f ca="1">'IS(Q)'!CX13</f>
        <v>5.1710940532617204</v>
      </c>
      <c r="DO11" s="1522">
        <f ca="1">'IS(Q)'!CY13</f>
        <v>5.1710940532617204</v>
      </c>
      <c r="DP11" s="1523">
        <f ca="1">'IS(Q)'!CZ13</f>
        <v>5.1710940532617204</v>
      </c>
      <c r="DQ11" s="1523">
        <f ca="1">'IS(Q)'!DA13</f>
        <v>5.1710940532617204</v>
      </c>
      <c r="DR11" s="1524">
        <f ca="1">'IS(Q)'!DB13</f>
        <v>5.1710940532617204</v>
      </c>
      <c r="DS11" s="1522">
        <f ca="1">'IS(Q)'!DC13</f>
        <v>5.1710940532617204</v>
      </c>
      <c r="DT11" s="1523">
        <f ca="1">'IS(Q)'!DD13</f>
        <v>5.1710940532617204</v>
      </c>
      <c r="DU11" s="1523">
        <f ca="1">'IS(Q)'!DE13</f>
        <v>5.1710940532617204</v>
      </c>
      <c r="DV11" s="1524">
        <f ca="1">'IS(Q)'!DF13</f>
        <v>5.1710940532617204</v>
      </c>
      <c r="DW11" s="1522">
        <f ca="1">'IS(Q)'!DG13</f>
        <v>5.4296487559248066</v>
      </c>
      <c r="DX11" s="1523">
        <f ca="1">'IS(Q)'!DH13</f>
        <v>5.4296487559248066</v>
      </c>
      <c r="DY11" s="1523">
        <f ca="1">'IS(Q)'!DI13</f>
        <v>5.4296487559248066</v>
      </c>
      <c r="DZ11" s="1524">
        <f ca="1">'IS(Q)'!DJ13</f>
        <v>5.4296487559248066</v>
      </c>
      <c r="EA11" s="1522">
        <f ca="1">'IS(Q)'!DK13</f>
        <v>5.4296487559248066</v>
      </c>
      <c r="EB11" s="1523">
        <f ca="1">'IS(Q)'!DL13</f>
        <v>5.4296487559248066</v>
      </c>
      <c r="EC11" s="1523">
        <f ca="1">'IS(Q)'!DM13</f>
        <v>5.4296487559248066</v>
      </c>
      <c r="ED11" s="1524">
        <f ca="1">'IS(Q)'!DN13</f>
        <v>5.4296487559248066</v>
      </c>
      <c r="EE11" s="1522">
        <f ca="1">'IS(Q)'!DO13</f>
        <v>5.4296487559248066</v>
      </c>
      <c r="EF11" s="1523">
        <f ca="1">'IS(Q)'!DP13</f>
        <v>5.4296487559248066</v>
      </c>
      <c r="EG11" s="1523">
        <f ca="1">'IS(Q)'!DQ13</f>
        <v>5.4296487559248066</v>
      </c>
      <c r="EH11" s="1524">
        <f ca="1">'IS(Q)'!DR13</f>
        <v>5.4296487559248066</v>
      </c>
      <c r="EI11" s="1522">
        <f ca="1">'IS(Q)'!DS13</f>
        <v>5.7011311937210465</v>
      </c>
      <c r="EJ11" s="1523">
        <f ca="1">'IS(Q)'!DT13</f>
        <v>5.7011311937210465</v>
      </c>
      <c r="EK11" s="1523">
        <f ca="1">'IS(Q)'!DU13</f>
        <v>5.7011311937210465</v>
      </c>
      <c r="EL11" s="1524">
        <f ca="1">'IS(Q)'!DV13</f>
        <v>5.7011311937210465</v>
      </c>
      <c r="EM11" s="1522">
        <f ca="1">'IS(Q)'!DW13</f>
        <v>5.7011311937210465</v>
      </c>
      <c r="EN11" s="1523">
        <f ca="1">'IS(Q)'!DX13</f>
        <v>5.7011311937210465</v>
      </c>
      <c r="EO11" s="1523">
        <f ca="1">'IS(Q)'!DY13</f>
        <v>5.7011311937210465</v>
      </c>
      <c r="EP11" s="1524">
        <f ca="1">'IS(Q)'!DZ13</f>
        <v>5.7011311937210465</v>
      </c>
      <c r="EQ11" s="1522">
        <f ca="1">'IS(Q)'!EA13</f>
        <v>5.7011311937210465</v>
      </c>
      <c r="ER11" s="1523">
        <f ca="1">'IS(Q)'!EB13</f>
        <v>5.7011311937210465</v>
      </c>
      <c r="ES11" s="1523">
        <f ca="1">'IS(Q)'!EC13</f>
        <v>5.7011311937210465</v>
      </c>
      <c r="ET11" s="1524">
        <f ca="1">'IS(Q)'!ED13</f>
        <v>5.7011311937210465</v>
      </c>
      <c r="EU11" s="1522">
        <f ca="1">'IS(Q)'!EE13</f>
        <v>5.9861877534070995</v>
      </c>
      <c r="EV11" s="1523">
        <f ca="1">'IS(Q)'!EF13</f>
        <v>5.9861877534070995</v>
      </c>
      <c r="EW11" s="1523">
        <f ca="1">'IS(Q)'!EG13</f>
        <v>5.9861877534070995</v>
      </c>
      <c r="EX11" s="1524">
        <f ca="1">'IS(Q)'!EH13</f>
        <v>5.9861877534070995</v>
      </c>
      <c r="EY11" s="1522">
        <f ca="1">'IS(Q)'!EI13</f>
        <v>5.9861877534070995</v>
      </c>
      <c r="EZ11" s="1523">
        <f ca="1">'IS(Q)'!EJ13</f>
        <v>5.9861877534070995</v>
      </c>
      <c r="FA11" s="1523">
        <f ca="1">'IS(Q)'!EK13</f>
        <v>5.9861877534070995</v>
      </c>
      <c r="FB11" s="1524">
        <f ca="1">'IS(Q)'!EL13</f>
        <v>5.9861877534070995</v>
      </c>
      <c r="FC11" s="1522">
        <f ca="1">'IS(Q)'!EM13</f>
        <v>5.9861877534070995</v>
      </c>
      <c r="FD11" s="1523">
        <f ca="1">'IS(Q)'!EN13</f>
        <v>5.9861877534070995</v>
      </c>
      <c r="FE11" s="1523">
        <f ca="1">'IS(Q)'!EO13</f>
        <v>5.9861877534070995</v>
      </c>
      <c r="FF11" s="1524">
        <f ca="1">'IS(Q)'!EP13</f>
        <v>5.9861877534070995</v>
      </c>
      <c r="FG11" s="1522">
        <f ca="1">'IS(Q)'!EQ13</f>
        <v>6.2854971410774558</v>
      </c>
      <c r="FH11" s="1523">
        <f ca="1">'IS(Q)'!ER13</f>
        <v>6.2854971410774558</v>
      </c>
      <c r="FI11" s="1523">
        <f ca="1">'IS(Q)'!ES13</f>
        <v>6.2854971410774558</v>
      </c>
      <c r="FJ11" s="1524">
        <f ca="1">'IS(Q)'!ET13</f>
        <v>6.2854971410774558</v>
      </c>
      <c r="FK11" s="1522">
        <f ca="1">'IS(Q)'!EU13</f>
        <v>6.2854971410774558</v>
      </c>
      <c r="FL11" s="1523">
        <f ca="1">'IS(Q)'!EV13</f>
        <v>6.2854971410774558</v>
      </c>
      <c r="FM11" s="1523">
        <f ca="1">'IS(Q)'!EW13</f>
        <v>6.2854971410774558</v>
      </c>
      <c r="FN11" s="1524">
        <f ca="1">'IS(Q)'!EX13</f>
        <v>6.2854971410774558</v>
      </c>
      <c r="FO11" s="1522">
        <f ca="1">'IS(Q)'!EY13</f>
        <v>6.2854971410774558</v>
      </c>
      <c r="FP11" s="1523">
        <f ca="1">'IS(Q)'!EZ13</f>
        <v>6.2854971410774558</v>
      </c>
      <c r="FQ11" s="1523">
        <f ca="1">'IS(Q)'!FA13</f>
        <v>6.2854971410774558</v>
      </c>
      <c r="FR11" s="1524">
        <f ca="1">'IS(Q)'!FB13</f>
        <v>6.2854971410774558</v>
      </c>
      <c r="FS11" s="1522">
        <f ca="1">'IS(Q)'!FC13</f>
        <v>6.5997719981313274</v>
      </c>
      <c r="FT11" s="1523">
        <f ca="1">'IS(Q)'!FD13</f>
        <v>6.5997719981313274</v>
      </c>
      <c r="FU11" s="1523">
        <f ca="1">'IS(Q)'!FE13</f>
        <v>6.5997719981313274</v>
      </c>
      <c r="FV11" s="1524">
        <f ca="1">'IS(Q)'!FF13</f>
        <v>6.5997719981313274</v>
      </c>
      <c r="FW11" s="1522">
        <f ca="1">'IS(Q)'!FG13</f>
        <v>6.5997719981313274</v>
      </c>
      <c r="FX11" s="1523">
        <f ca="1">'IS(Q)'!FH13</f>
        <v>6.5997719981313274</v>
      </c>
      <c r="FY11" s="1523">
        <f ca="1">'IS(Q)'!FI13</f>
        <v>6.5997719981313274</v>
      </c>
      <c r="FZ11" s="1524">
        <f ca="1">'IS(Q)'!FJ13</f>
        <v>6.5997719981313274</v>
      </c>
      <c r="GA11" s="1522">
        <f ca="1">'IS(Q)'!FK13</f>
        <v>6.5997719981313274</v>
      </c>
      <c r="GB11" s="1523">
        <f ca="1">'IS(Q)'!FL13</f>
        <v>6.5997719981313274</v>
      </c>
      <c r="GC11" s="1523">
        <f ca="1">'IS(Q)'!FM13</f>
        <v>0</v>
      </c>
      <c r="GD11" s="1524">
        <f ca="1">'IS(Q)'!FN13</f>
        <v>0</v>
      </c>
      <c r="GE11" s="1508"/>
      <c r="GF11" s="1509"/>
      <c r="GG11" s="1509"/>
      <c r="GH11" s="1509"/>
      <c r="GI11" s="1509"/>
      <c r="GJ11" s="1509"/>
      <c r="GK11" s="1509"/>
      <c r="GL11" s="1509"/>
      <c r="GM11" s="1509"/>
      <c r="GN11" s="1509"/>
      <c r="GO11" s="1509"/>
      <c r="GP11" s="1509"/>
      <c r="GQ11" s="1509"/>
      <c r="GR11" s="1509"/>
      <c r="GS11" s="1509"/>
      <c r="GT11" s="1509"/>
    </row>
    <row r="12" spans="1:202" ht="17.100000000000001" customHeight="1">
      <c r="A12" s="461"/>
      <c r="B12" s="307"/>
      <c r="C12" s="489" t="str">
        <f>'IS(Q)'!D14</f>
        <v>광석부두임대</v>
      </c>
      <c r="D12" s="331"/>
      <c r="E12" s="727"/>
      <c r="F12" s="1517">
        <f t="shared" si="11"/>
        <v>0</v>
      </c>
      <c r="G12" s="1518">
        <v>0</v>
      </c>
      <c r="H12" s="1518">
        <v>39.1</v>
      </c>
      <c r="I12" s="1518">
        <v>0</v>
      </c>
      <c r="J12" s="1518">
        <v>43.762272330000002</v>
      </c>
      <c r="K12" s="1518">
        <v>23.314250529999999</v>
      </c>
      <c r="L12" s="1518">
        <v>16.78461879</v>
      </c>
      <c r="M12" s="1518">
        <v>7.5388583499999999</v>
      </c>
      <c r="N12" s="1518">
        <v>27.124300819999998</v>
      </c>
      <c r="O12" s="1518">
        <v>24.563367499999998</v>
      </c>
      <c r="P12" s="1518">
        <v>7.0524953727272726</v>
      </c>
      <c r="Q12" s="1518">
        <v>20.410384929999999</v>
      </c>
      <c r="R12" s="1518">
        <v>8.24945138</v>
      </c>
      <c r="S12" s="1518">
        <v>0</v>
      </c>
      <c r="T12" s="1518">
        <v>20.681824109999997</v>
      </c>
      <c r="U12" s="1518">
        <v>27.640001160000001</v>
      </c>
      <c r="V12" s="1518">
        <v>24.87042559</v>
      </c>
      <c r="W12" s="1519">
        <f>매출!H41</f>
        <v>27.86771049</v>
      </c>
      <c r="X12" s="1520">
        <f>매출!I41</f>
        <v>12.18445157</v>
      </c>
      <c r="Y12" s="1520">
        <f>매출!J41</f>
        <v>0</v>
      </c>
      <c r="Z12" s="1521">
        <f>매출!K41</f>
        <v>-11.48172866</v>
      </c>
      <c r="AA12" s="1519">
        <f>매출!L41</f>
        <v>12.2546</v>
      </c>
      <c r="AB12" s="1520">
        <f>매출!M41</f>
        <v>0</v>
      </c>
      <c r="AC12" s="1520">
        <f>매출!N41</f>
        <v>0</v>
      </c>
      <c r="AD12" s="1521">
        <f>매출!O41</f>
        <v>0</v>
      </c>
      <c r="AE12" s="1522">
        <f>매출!P41</f>
        <v>0</v>
      </c>
      <c r="AF12" s="1523">
        <f>매출!Q41</f>
        <v>0</v>
      </c>
      <c r="AG12" s="1523">
        <f>매출!R41</f>
        <v>0</v>
      </c>
      <c r="AH12" s="1524">
        <f>매출!S41</f>
        <v>0</v>
      </c>
      <c r="AI12" s="1522">
        <f>매출!T41</f>
        <v>0</v>
      </c>
      <c r="AJ12" s="1523">
        <f>매출!U41</f>
        <v>0</v>
      </c>
      <c r="AK12" s="1523">
        <f>매출!V41</f>
        <v>0</v>
      </c>
      <c r="AL12" s="1524">
        <f>매출!W41</f>
        <v>0</v>
      </c>
      <c r="AM12" s="1522">
        <f>매출!X41</f>
        <v>0</v>
      </c>
      <c r="AN12" s="1523">
        <f>매출!Y41</f>
        <v>0</v>
      </c>
      <c r="AO12" s="1523">
        <f>매출!Z41</f>
        <v>0</v>
      </c>
      <c r="AP12" s="1524">
        <f>매출!AA41</f>
        <v>0</v>
      </c>
      <c r="AQ12" s="1522">
        <f>매출!AB41</f>
        <v>0</v>
      </c>
      <c r="AR12" s="1523">
        <f>매출!AC41</f>
        <v>0</v>
      </c>
      <c r="AS12" s="1523">
        <f>매출!AD41</f>
        <v>0</v>
      </c>
      <c r="AT12" s="1524">
        <f>매출!AE41</f>
        <v>0</v>
      </c>
      <c r="AU12" s="1522">
        <f>매출!AF41</f>
        <v>0</v>
      </c>
      <c r="AV12" s="1523">
        <f>매출!AG41</f>
        <v>0</v>
      </c>
      <c r="AW12" s="1523">
        <f>매출!AH41</f>
        <v>0</v>
      </c>
      <c r="AX12" s="1524">
        <f>매출!AI41</f>
        <v>0</v>
      </c>
      <c r="AY12" s="1522">
        <f>매출!AJ41</f>
        <v>0</v>
      </c>
      <c r="AZ12" s="1523">
        <f>매출!AK41</f>
        <v>0</v>
      </c>
      <c r="BA12" s="1523">
        <f>매출!AL41</f>
        <v>0</v>
      </c>
      <c r="BB12" s="1524">
        <f>매출!AM41</f>
        <v>0</v>
      </c>
      <c r="BC12" s="1522">
        <f>매출!AN41</f>
        <v>0</v>
      </c>
      <c r="BD12" s="1523">
        <f>매출!AO41</f>
        <v>0</v>
      </c>
      <c r="BE12" s="1523">
        <f>매출!AP41</f>
        <v>0</v>
      </c>
      <c r="BF12" s="1524">
        <f>매출!AQ41</f>
        <v>0</v>
      </c>
      <c r="BG12" s="1522">
        <f>매출!AR41</f>
        <v>0</v>
      </c>
      <c r="BH12" s="1523">
        <f>매출!AS41</f>
        <v>0</v>
      </c>
      <c r="BI12" s="1523">
        <f>매출!AT41</f>
        <v>0</v>
      </c>
      <c r="BJ12" s="1524">
        <f>매출!AU41</f>
        <v>0</v>
      </c>
      <c r="BK12" s="1522">
        <f>매출!AV41</f>
        <v>0</v>
      </c>
      <c r="BL12" s="1523">
        <f>매출!AW41</f>
        <v>0</v>
      </c>
      <c r="BM12" s="1523">
        <f>매출!AX41</f>
        <v>0</v>
      </c>
      <c r="BN12" s="1524">
        <f>매출!AY41</f>
        <v>0</v>
      </c>
      <c r="BO12" s="1522">
        <f>매출!AZ41</f>
        <v>0</v>
      </c>
      <c r="BP12" s="1523">
        <f>매출!BA41</f>
        <v>0</v>
      </c>
      <c r="BQ12" s="1523">
        <f>매출!BB41</f>
        <v>0</v>
      </c>
      <c r="BR12" s="1524">
        <f>매출!BC41</f>
        <v>0</v>
      </c>
      <c r="BS12" s="1522">
        <f>매출!BD41</f>
        <v>0</v>
      </c>
      <c r="BT12" s="1523">
        <f>매출!BE41</f>
        <v>0</v>
      </c>
      <c r="BU12" s="1523">
        <f>매출!BF41</f>
        <v>0</v>
      </c>
      <c r="BV12" s="1524">
        <f>매출!BG41</f>
        <v>0</v>
      </c>
      <c r="BW12" s="1522">
        <f>매출!BH41</f>
        <v>0</v>
      </c>
      <c r="BX12" s="1523">
        <f>매출!BI41</f>
        <v>0</v>
      </c>
      <c r="BY12" s="1523">
        <f>매출!BJ41</f>
        <v>0</v>
      </c>
      <c r="BZ12" s="1524">
        <f>매출!BK41</f>
        <v>0</v>
      </c>
      <c r="CA12" s="1522">
        <f>매출!BL41</f>
        <v>0</v>
      </c>
      <c r="CB12" s="1523">
        <f>매출!BM41</f>
        <v>0</v>
      </c>
      <c r="CC12" s="1523">
        <f>매출!BN41</f>
        <v>0</v>
      </c>
      <c r="CD12" s="1524">
        <f>매출!BO41</f>
        <v>0</v>
      </c>
      <c r="CE12" s="1522">
        <f>매출!BP41</f>
        <v>0</v>
      </c>
      <c r="CF12" s="1523">
        <f>매출!BQ41</f>
        <v>0</v>
      </c>
      <c r="CG12" s="1523">
        <f>매출!BR41</f>
        <v>0</v>
      </c>
      <c r="CH12" s="1524">
        <f>매출!BS41</f>
        <v>0</v>
      </c>
      <c r="CI12" s="1522">
        <f>매출!BT41</f>
        <v>0</v>
      </c>
      <c r="CJ12" s="1523">
        <f>매출!BU41</f>
        <v>0</v>
      </c>
      <c r="CK12" s="1523">
        <f>매출!BV41</f>
        <v>0</v>
      </c>
      <c r="CL12" s="1524">
        <f>매출!BW41</f>
        <v>0</v>
      </c>
      <c r="CM12" s="1522">
        <f>매출!BX41</f>
        <v>0</v>
      </c>
      <c r="CN12" s="1523">
        <f>매출!BY41</f>
        <v>0</v>
      </c>
      <c r="CO12" s="1523">
        <f>매출!BZ41</f>
        <v>0</v>
      </c>
      <c r="CP12" s="1524">
        <f>매출!CA41</f>
        <v>0</v>
      </c>
      <c r="CQ12" s="1522">
        <f>매출!CB41</f>
        <v>0</v>
      </c>
      <c r="CR12" s="1523">
        <f>매출!CC41</f>
        <v>0</v>
      </c>
      <c r="CS12" s="1523">
        <f>매출!CD41</f>
        <v>0</v>
      </c>
      <c r="CT12" s="1524">
        <f>매출!CE41</f>
        <v>0</v>
      </c>
      <c r="CU12" s="1522">
        <f>매출!CF41</f>
        <v>0</v>
      </c>
      <c r="CV12" s="1523">
        <f>매출!CG41</f>
        <v>0</v>
      </c>
      <c r="CW12" s="1523">
        <f>매출!CH41</f>
        <v>0</v>
      </c>
      <c r="CX12" s="1524">
        <f>매출!CI41</f>
        <v>0</v>
      </c>
      <c r="CY12" s="1522">
        <f>매출!CJ41</f>
        <v>0</v>
      </c>
      <c r="CZ12" s="1523">
        <f>매출!CK41</f>
        <v>0</v>
      </c>
      <c r="DA12" s="1523">
        <f>매출!CL41</f>
        <v>0</v>
      </c>
      <c r="DB12" s="1524">
        <f>매출!CM41</f>
        <v>0</v>
      </c>
      <c r="DC12" s="1522">
        <f>매출!CN41</f>
        <v>0</v>
      </c>
      <c r="DD12" s="1523">
        <f>매출!CO41</f>
        <v>0</v>
      </c>
      <c r="DE12" s="1523">
        <f>매출!CP41</f>
        <v>0</v>
      </c>
      <c r="DF12" s="1524">
        <f>매출!CQ41</f>
        <v>0</v>
      </c>
      <c r="DG12" s="1522">
        <f>매출!CR41</f>
        <v>0</v>
      </c>
      <c r="DH12" s="1523">
        <f>매출!CS41</f>
        <v>0</v>
      </c>
      <c r="DI12" s="1523">
        <f>매출!CT41</f>
        <v>0</v>
      </c>
      <c r="DJ12" s="1524">
        <f>매출!CU41</f>
        <v>0</v>
      </c>
      <c r="DK12" s="1522">
        <f>매출!CV41</f>
        <v>0</v>
      </c>
      <c r="DL12" s="1523">
        <f>매출!CW41</f>
        <v>0</v>
      </c>
      <c r="DM12" s="1523">
        <f>매출!CX41</f>
        <v>0</v>
      </c>
      <c r="DN12" s="1524">
        <f>매출!CY41</f>
        <v>0</v>
      </c>
      <c r="DO12" s="1522">
        <f>매출!CZ41</f>
        <v>0</v>
      </c>
      <c r="DP12" s="1523">
        <f>매출!DA41</f>
        <v>0</v>
      </c>
      <c r="DQ12" s="1523">
        <f>매출!DB41</f>
        <v>0</v>
      </c>
      <c r="DR12" s="1524">
        <f>매출!DC41</f>
        <v>0</v>
      </c>
      <c r="DS12" s="1522">
        <f>매출!DD41</f>
        <v>0</v>
      </c>
      <c r="DT12" s="1523">
        <f>매출!DE41</f>
        <v>0</v>
      </c>
      <c r="DU12" s="1523">
        <f>매출!DF41</f>
        <v>0</v>
      </c>
      <c r="DV12" s="1524">
        <f>매출!DG41</f>
        <v>0</v>
      </c>
      <c r="DW12" s="1522">
        <f>매출!DH41</f>
        <v>0</v>
      </c>
      <c r="DX12" s="1523">
        <f>매출!DI41</f>
        <v>0</v>
      </c>
      <c r="DY12" s="1523">
        <f>매출!DJ41</f>
        <v>0</v>
      </c>
      <c r="DZ12" s="1524">
        <f>매출!DK41</f>
        <v>0</v>
      </c>
      <c r="EA12" s="1522">
        <f>매출!DL41</f>
        <v>0</v>
      </c>
      <c r="EB12" s="1523">
        <f>매출!DM41</f>
        <v>0</v>
      </c>
      <c r="EC12" s="1523">
        <f>매출!DN41</f>
        <v>0</v>
      </c>
      <c r="ED12" s="1524">
        <f>매출!DO41</f>
        <v>0</v>
      </c>
      <c r="EE12" s="1522">
        <f>매출!DP41</f>
        <v>0</v>
      </c>
      <c r="EF12" s="1523">
        <f>매출!DQ41</f>
        <v>0</v>
      </c>
      <c r="EG12" s="1523">
        <f>매출!DR41</f>
        <v>0</v>
      </c>
      <c r="EH12" s="1524">
        <f>매출!DS41</f>
        <v>0</v>
      </c>
      <c r="EI12" s="1522">
        <f>매출!DT41</f>
        <v>0</v>
      </c>
      <c r="EJ12" s="1523">
        <f>매출!DU41</f>
        <v>0</v>
      </c>
      <c r="EK12" s="1523">
        <f>매출!DV41</f>
        <v>0</v>
      </c>
      <c r="EL12" s="1524">
        <f>매출!DW41</f>
        <v>0</v>
      </c>
      <c r="EM12" s="1522">
        <f>매출!DX41</f>
        <v>0</v>
      </c>
      <c r="EN12" s="1523">
        <f>매출!DY41</f>
        <v>0</v>
      </c>
      <c r="EO12" s="1523">
        <f>매출!DZ41</f>
        <v>0</v>
      </c>
      <c r="EP12" s="1524">
        <f>매출!EA41</f>
        <v>0</v>
      </c>
      <c r="EQ12" s="1522">
        <f>매출!EB41</f>
        <v>0</v>
      </c>
      <c r="ER12" s="1523">
        <f>매출!EC41</f>
        <v>0</v>
      </c>
      <c r="ES12" s="1523">
        <f>매출!ED41</f>
        <v>0</v>
      </c>
      <c r="ET12" s="1524">
        <f>매출!EE41</f>
        <v>0</v>
      </c>
      <c r="EU12" s="1522">
        <f>매출!EF41</f>
        <v>0</v>
      </c>
      <c r="EV12" s="1523">
        <f>매출!EG41</f>
        <v>0</v>
      </c>
      <c r="EW12" s="1523">
        <f>매출!EH41</f>
        <v>0</v>
      </c>
      <c r="EX12" s="1524">
        <f>매출!EI41</f>
        <v>0</v>
      </c>
      <c r="EY12" s="1522">
        <f>매출!EJ41</f>
        <v>0</v>
      </c>
      <c r="EZ12" s="1523">
        <f>매출!EK41</f>
        <v>0</v>
      </c>
      <c r="FA12" s="1523">
        <f>매출!EL41</f>
        <v>0</v>
      </c>
      <c r="FB12" s="1524">
        <f>매출!EM41</f>
        <v>0</v>
      </c>
      <c r="FC12" s="1522">
        <f>매출!EN41</f>
        <v>0</v>
      </c>
      <c r="FD12" s="1523">
        <f>매출!EO41</f>
        <v>0</v>
      </c>
      <c r="FE12" s="1523">
        <f>매출!EP41</f>
        <v>0</v>
      </c>
      <c r="FF12" s="1524">
        <f>매출!EQ41</f>
        <v>0</v>
      </c>
      <c r="FG12" s="1522">
        <f>매출!ER41</f>
        <v>0</v>
      </c>
      <c r="FH12" s="1523">
        <f>매출!ES41</f>
        <v>0</v>
      </c>
      <c r="FI12" s="1523">
        <f>매출!ET41</f>
        <v>0</v>
      </c>
      <c r="FJ12" s="1524">
        <f>매출!EU41</f>
        <v>0</v>
      </c>
      <c r="FK12" s="1522">
        <f>매출!EV41</f>
        <v>0</v>
      </c>
      <c r="FL12" s="1523">
        <f>매출!EW41</f>
        <v>0</v>
      </c>
      <c r="FM12" s="1523">
        <f>매출!EX41</f>
        <v>0</v>
      </c>
      <c r="FN12" s="1524">
        <f>매출!EY41</f>
        <v>0</v>
      </c>
      <c r="FO12" s="1522">
        <f>매출!EZ41</f>
        <v>0</v>
      </c>
      <c r="FP12" s="1523">
        <f>매출!FA41</f>
        <v>0</v>
      </c>
      <c r="FQ12" s="1523">
        <f>매출!FB41</f>
        <v>0</v>
      </c>
      <c r="FR12" s="1524">
        <f>매출!FC41</f>
        <v>0</v>
      </c>
      <c r="FS12" s="1522">
        <f>매출!FD41</f>
        <v>0</v>
      </c>
      <c r="FT12" s="1523">
        <f>매출!FE41</f>
        <v>0</v>
      </c>
      <c r="FU12" s="1523">
        <f>매출!FF41</f>
        <v>0</v>
      </c>
      <c r="FV12" s="1524">
        <f>매출!FG41</f>
        <v>0</v>
      </c>
      <c r="FW12" s="1522">
        <f>매출!FH41</f>
        <v>0</v>
      </c>
      <c r="FX12" s="1523">
        <f>매출!FI41</f>
        <v>0</v>
      </c>
      <c r="FY12" s="1523">
        <f>매출!FJ41</f>
        <v>0</v>
      </c>
      <c r="FZ12" s="1524">
        <f>매출!FK41</f>
        <v>0</v>
      </c>
      <c r="GA12" s="1522">
        <f>매출!FL41</f>
        <v>0</v>
      </c>
      <c r="GB12" s="1523">
        <f>매출!FM41</f>
        <v>0</v>
      </c>
      <c r="GC12" s="1523">
        <f>매출!FN41</f>
        <v>0</v>
      </c>
      <c r="GD12" s="1524">
        <f>매출!FO41</f>
        <v>0</v>
      </c>
      <c r="GE12" s="1508"/>
      <c r="GF12" s="1509"/>
      <c r="GG12" s="1509"/>
      <c r="GH12" s="1509"/>
      <c r="GI12" s="1509"/>
      <c r="GJ12" s="1509"/>
      <c r="GK12" s="1509"/>
      <c r="GL12" s="1509"/>
      <c r="GM12" s="1509"/>
      <c r="GN12" s="1509"/>
      <c r="GO12" s="1509"/>
      <c r="GP12" s="1509"/>
      <c r="GQ12" s="1509"/>
      <c r="GR12" s="1509"/>
      <c r="GS12" s="1509"/>
      <c r="GT12" s="1509"/>
    </row>
    <row r="13" spans="1:202" ht="17.100000000000001" customHeight="1">
      <c r="B13" s="307"/>
      <c r="C13" s="489" t="str">
        <f>'IS(Q)'!D15</f>
        <v>기타경미한수익성사업</v>
      </c>
      <c r="D13" s="331"/>
      <c r="E13" s="727"/>
      <c r="F13" s="1517">
        <f t="shared" si="11"/>
        <v>35.346337197168317</v>
      </c>
      <c r="G13" s="1518">
        <v>1.7865001299999999</v>
      </c>
      <c r="H13" s="1518">
        <v>2.1757867900000005</v>
      </c>
      <c r="I13" s="1518">
        <v>2.6331747200000004</v>
      </c>
      <c r="J13" s="1518">
        <v>2.375481709999999</v>
      </c>
      <c r="K13" s="1518">
        <v>1.9697195399999994</v>
      </c>
      <c r="L13" s="1518">
        <v>2.0269448200000002</v>
      </c>
      <c r="M13" s="1518">
        <v>2.1693904100000001</v>
      </c>
      <c r="N13" s="1518">
        <v>1.6404852099999996</v>
      </c>
      <c r="O13" s="1518">
        <v>1.9447441000000003</v>
      </c>
      <c r="P13" s="1518">
        <v>2.3606941999999993</v>
      </c>
      <c r="Q13" s="1518">
        <v>2.8521823999999993</v>
      </c>
      <c r="R13" s="1518">
        <v>2.9546292999999997</v>
      </c>
      <c r="S13" s="1518">
        <v>2.8623252000000003</v>
      </c>
      <c r="T13" s="1518">
        <v>2.8625956999999995</v>
      </c>
      <c r="U13" s="1518">
        <v>2.2836730999999997</v>
      </c>
      <c r="V13" s="1518">
        <v>3.1211021999999997</v>
      </c>
      <c r="W13" s="1519">
        <f>'IS(Q)'!G15</f>
        <v>2.56962</v>
      </c>
      <c r="X13" s="1520">
        <f>'IS(Q)'!H15</f>
        <v>2.2547839999999999</v>
      </c>
      <c r="Y13" s="1520">
        <f>'IS(Q)'!I15</f>
        <v>1.999498</v>
      </c>
      <c r="Z13" s="1521">
        <f>'IS(Q)'!J15</f>
        <v>2.0153400000000001</v>
      </c>
      <c r="AA13" s="1519">
        <f>'IS(Q)'!K15</f>
        <v>1.5828800000000003</v>
      </c>
      <c r="AB13" s="1520">
        <f>'IS(Q)'!L15</f>
        <v>1.656428</v>
      </c>
      <c r="AC13" s="1520">
        <f>'IS(Q)'!M15</f>
        <v>1.6404800000000002</v>
      </c>
      <c r="AD13" s="1521">
        <f>'IS(Q)'!N15</f>
        <v>1.5276760000000005</v>
      </c>
      <c r="AE13" s="1522">
        <f>'IS(Q)'!O15</f>
        <v>1.614312</v>
      </c>
      <c r="AF13" s="1523">
        <f>'IS(Q)'!P15</f>
        <v>1.5839800000000004</v>
      </c>
      <c r="AG13" s="1523">
        <f>'IS(Q)'!Q15</f>
        <v>1.54514</v>
      </c>
      <c r="AH13" s="1524">
        <f>'IS(Q)'!R15</f>
        <v>1.52874</v>
      </c>
      <c r="AI13" s="1522">
        <f>'IS(Q)'!S15</f>
        <v>1.5053399999999999</v>
      </c>
      <c r="AJ13" s="1523">
        <f>'IS(Q)'!T15</f>
        <v>1.4789399999999997</v>
      </c>
      <c r="AK13" s="1523">
        <f>'IS(Q)'!U15</f>
        <v>1.49594</v>
      </c>
      <c r="AL13" s="1524">
        <f>'IS(Q)'!V15</f>
        <v>1.5149400000000002</v>
      </c>
      <c r="AM13" s="1522">
        <f>'IS(Q)'!W15</f>
        <v>0.77219800000000005</v>
      </c>
      <c r="AN13" s="1523">
        <f>'IS(Q)'!X15</f>
        <v>0.77219800000000005</v>
      </c>
      <c r="AO13" s="1523">
        <f>'IS(Q)'!Y15</f>
        <v>0.77219800000000005</v>
      </c>
      <c r="AP13" s="1524">
        <f>'IS(Q)'!Z15</f>
        <v>0.77219800000000005</v>
      </c>
      <c r="AQ13" s="1525">
        <f>'IS(Q)'!AA15</f>
        <v>0.35333799999999999</v>
      </c>
      <c r="AR13" s="1526">
        <f>'IS(Q)'!AB15</f>
        <v>0.35333799999999999</v>
      </c>
      <c r="AS13" s="1526">
        <f>'IS(Q)'!AC15</f>
        <v>0.17666899999999999</v>
      </c>
      <c r="AT13" s="1527">
        <f>'IS(Q)'!AD15</f>
        <v>0.17666899999999999</v>
      </c>
      <c r="AU13" s="1525">
        <f>'IS(Q)'!AE15</f>
        <v>0.1253378</v>
      </c>
      <c r="AV13" s="1526">
        <f>'IS(Q)'!AF15</f>
        <v>0.1253378</v>
      </c>
      <c r="AW13" s="1526">
        <f>'IS(Q)'!AG15</f>
        <v>0.1253378</v>
      </c>
      <c r="AX13" s="1527">
        <f>'IS(Q)'!AH15</f>
        <v>0.1253378</v>
      </c>
      <c r="AY13" s="1525">
        <f>'IS(Q)'!AI15</f>
        <v>0.12547671499999999</v>
      </c>
      <c r="AZ13" s="1526">
        <f>'IS(Q)'!AJ15</f>
        <v>0.12547671499999999</v>
      </c>
      <c r="BA13" s="1526">
        <f>'IS(Q)'!AK15</f>
        <v>0.12547671499999999</v>
      </c>
      <c r="BB13" s="1527">
        <f>'IS(Q)'!AL15</f>
        <v>0.12547671499999999</v>
      </c>
      <c r="BC13" s="1525">
        <f>'IS(Q)'!AM15</f>
        <v>0.12547671499999999</v>
      </c>
      <c r="BD13" s="1526">
        <f>'IS(Q)'!AN15</f>
        <v>0.12547671499999999</v>
      </c>
      <c r="BE13" s="1526">
        <f>'IS(Q)'!AO15</f>
        <v>0.12547671499999999</v>
      </c>
      <c r="BF13" s="1527">
        <f>'IS(Q)'!AP15</f>
        <v>0.12547671499999999</v>
      </c>
      <c r="BG13" s="1525">
        <f>'IS(Q)'!AQ15</f>
        <v>0.12722968999999998</v>
      </c>
      <c r="BH13" s="1526">
        <f>'IS(Q)'!AR15</f>
        <v>0.12722968999999998</v>
      </c>
      <c r="BI13" s="1526">
        <f>'IS(Q)'!AS15</f>
        <v>0.12722968999999998</v>
      </c>
      <c r="BJ13" s="1527">
        <f>'IS(Q)'!AT15</f>
        <v>0.12722968999999998</v>
      </c>
      <c r="BK13" s="1525">
        <f>'IS(Q)'!AU15</f>
        <v>0.12737555074999998</v>
      </c>
      <c r="BL13" s="1526">
        <f>'IS(Q)'!AV15</f>
        <v>0.12737555074999998</v>
      </c>
      <c r="BM13" s="1526">
        <f>'IS(Q)'!AW15</f>
        <v>0.12737555074999998</v>
      </c>
      <c r="BN13" s="1527">
        <f>'IS(Q)'!AX15</f>
        <v>0.12737555074999998</v>
      </c>
      <c r="BO13" s="1525">
        <f>'IS(Q)'!AY15</f>
        <v>0.12737555074999998</v>
      </c>
      <c r="BP13" s="1526">
        <f>'IS(Q)'!AZ15</f>
        <v>0.12737555074999998</v>
      </c>
      <c r="BQ13" s="1526">
        <f>'IS(Q)'!BA15</f>
        <v>0.12737555074999998</v>
      </c>
      <c r="BR13" s="1527">
        <f>'IS(Q)'!BB15</f>
        <v>0.12737555074999998</v>
      </c>
      <c r="BS13" s="1525">
        <f>'IS(Q)'!BC15</f>
        <v>0.1292161745</v>
      </c>
      <c r="BT13" s="1526">
        <f>'IS(Q)'!BD15</f>
        <v>0.1292161745</v>
      </c>
      <c r="BU13" s="1526">
        <f>'IS(Q)'!BE15</f>
        <v>0.1292161745</v>
      </c>
      <c r="BV13" s="1527">
        <f>'IS(Q)'!BF15</f>
        <v>0.1292161745</v>
      </c>
      <c r="BW13" s="1525">
        <f>'IS(Q)'!BG15</f>
        <v>0.1293693282875</v>
      </c>
      <c r="BX13" s="1526">
        <f>'IS(Q)'!BH15</f>
        <v>0.1293693282875</v>
      </c>
      <c r="BY13" s="1526">
        <f>'IS(Q)'!BI15</f>
        <v>0.1293693282875</v>
      </c>
      <c r="BZ13" s="1527">
        <f>'IS(Q)'!BJ15</f>
        <v>0.1293693282875</v>
      </c>
      <c r="CA13" s="1525">
        <f>'IS(Q)'!BK15</f>
        <v>0.1293693282875</v>
      </c>
      <c r="CB13" s="1526">
        <f>'IS(Q)'!BL15</f>
        <v>0.1293693282875</v>
      </c>
      <c r="CC13" s="1526">
        <f>'IS(Q)'!BM15</f>
        <v>0.1293693282875</v>
      </c>
      <c r="CD13" s="1527">
        <f>'IS(Q)'!BN15</f>
        <v>0.1293693282875</v>
      </c>
      <c r="CE13" s="1525">
        <f>'IS(Q)'!BO15</f>
        <v>0.13130198322499997</v>
      </c>
      <c r="CF13" s="1526">
        <f>'IS(Q)'!BP15</f>
        <v>0.13130198322499997</v>
      </c>
      <c r="CG13" s="1526">
        <f>'IS(Q)'!BQ15</f>
        <v>0.13130198322499997</v>
      </c>
      <c r="CH13" s="1527">
        <f>'IS(Q)'!BR15</f>
        <v>0.13130198322499997</v>
      </c>
      <c r="CI13" s="1525">
        <f>'IS(Q)'!BS15</f>
        <v>0.131462794701875</v>
      </c>
      <c r="CJ13" s="1526">
        <f>'IS(Q)'!BT15</f>
        <v>0.131462794701875</v>
      </c>
      <c r="CK13" s="1526">
        <f>'IS(Q)'!BU15</f>
        <v>0.131462794701875</v>
      </c>
      <c r="CL13" s="1527">
        <f>'IS(Q)'!BV15</f>
        <v>0.131462794701875</v>
      </c>
      <c r="CM13" s="1525">
        <f>'IS(Q)'!BW15</f>
        <v>0.131462794701875</v>
      </c>
      <c r="CN13" s="1526">
        <f>'IS(Q)'!BX15</f>
        <v>0.131462794701875</v>
      </c>
      <c r="CO13" s="1526">
        <f>'IS(Q)'!BY15</f>
        <v>0.131462794701875</v>
      </c>
      <c r="CP13" s="1527">
        <f>'IS(Q)'!BZ15</f>
        <v>0.131462794701875</v>
      </c>
      <c r="CQ13" s="1525">
        <f>'IS(Q)'!CA15</f>
        <v>0.13349208238625002</v>
      </c>
      <c r="CR13" s="1526">
        <f>'IS(Q)'!CB15</f>
        <v>0.13349208238625002</v>
      </c>
      <c r="CS13" s="1526">
        <f>'IS(Q)'!CC15</f>
        <v>0.13349208238625002</v>
      </c>
      <c r="CT13" s="1527">
        <f>'IS(Q)'!CD15</f>
        <v>0.13349208238625002</v>
      </c>
      <c r="CU13" s="1525">
        <f>'IS(Q)'!CE15</f>
        <v>0.13366093443696875</v>
      </c>
      <c r="CV13" s="1526">
        <f>'IS(Q)'!CF15</f>
        <v>0.13366093443696875</v>
      </c>
      <c r="CW13" s="1526">
        <f>'IS(Q)'!CG15</f>
        <v>0.13366093443696875</v>
      </c>
      <c r="CX13" s="1527">
        <f>'IS(Q)'!CH15</f>
        <v>0.13366093443696875</v>
      </c>
      <c r="CY13" s="1525">
        <f>'IS(Q)'!CI15</f>
        <v>0.13366093443696875</v>
      </c>
      <c r="CZ13" s="1526">
        <f>'IS(Q)'!CJ15</f>
        <v>0.13366093443696875</v>
      </c>
      <c r="DA13" s="1526">
        <f>'IS(Q)'!CK15</f>
        <v>0.13366093443696875</v>
      </c>
      <c r="DB13" s="1527">
        <f>'IS(Q)'!CL15</f>
        <v>0.13366093443696875</v>
      </c>
      <c r="DC13" s="1525">
        <f>'IS(Q)'!CM15</f>
        <v>0.1357916865055625</v>
      </c>
      <c r="DD13" s="1526">
        <f>'IS(Q)'!CN15</f>
        <v>0.1357916865055625</v>
      </c>
      <c r="DE13" s="1526">
        <f>'IS(Q)'!CO15</f>
        <v>0.1357916865055625</v>
      </c>
      <c r="DF13" s="1527">
        <f>'IS(Q)'!CP15</f>
        <v>0.1357916865055625</v>
      </c>
      <c r="DG13" s="1525">
        <f>'IS(Q)'!CQ15</f>
        <v>0.1359689811588172</v>
      </c>
      <c r="DH13" s="1526">
        <f>'IS(Q)'!CR15</f>
        <v>0.1359689811588172</v>
      </c>
      <c r="DI13" s="1526">
        <f>'IS(Q)'!CS15</f>
        <v>0.1359689811588172</v>
      </c>
      <c r="DJ13" s="1527">
        <f>'IS(Q)'!CT15</f>
        <v>0.1359689811588172</v>
      </c>
      <c r="DK13" s="1525">
        <f>'IS(Q)'!CU15</f>
        <v>0.1359689811588172</v>
      </c>
      <c r="DL13" s="1526">
        <f>'IS(Q)'!CV15</f>
        <v>0.1359689811588172</v>
      </c>
      <c r="DM13" s="1526">
        <f>'IS(Q)'!CW15</f>
        <v>0.1359689811588172</v>
      </c>
      <c r="DN13" s="1527">
        <f>'IS(Q)'!CX15</f>
        <v>0.1359689811588172</v>
      </c>
      <c r="DO13" s="1525">
        <f>'IS(Q)'!CY15</f>
        <v>0.13820627083084061</v>
      </c>
      <c r="DP13" s="1526">
        <f>'IS(Q)'!CZ15</f>
        <v>0.13820627083084061</v>
      </c>
      <c r="DQ13" s="1526">
        <f>'IS(Q)'!DA15</f>
        <v>0.13820627083084061</v>
      </c>
      <c r="DR13" s="1527">
        <f>'IS(Q)'!DB15</f>
        <v>0.13820627083084061</v>
      </c>
      <c r="DS13" s="1525">
        <f>'IS(Q)'!DC15</f>
        <v>0.13839243021675804</v>
      </c>
      <c r="DT13" s="1526">
        <f>'IS(Q)'!DD15</f>
        <v>0.13839243021675804</v>
      </c>
      <c r="DU13" s="1526">
        <f>'IS(Q)'!DE15</f>
        <v>0.13839243021675804</v>
      </c>
      <c r="DV13" s="1527">
        <f>'IS(Q)'!DF15</f>
        <v>0.13839243021675804</v>
      </c>
      <c r="DW13" s="1525">
        <f>'IS(Q)'!DG15</f>
        <v>0.13839243021675804</v>
      </c>
      <c r="DX13" s="1526">
        <f>'IS(Q)'!DH15</f>
        <v>0.13839243021675804</v>
      </c>
      <c r="DY13" s="1526">
        <f>'IS(Q)'!DI15</f>
        <v>0.13839243021675804</v>
      </c>
      <c r="DZ13" s="1527">
        <f>'IS(Q)'!DJ15</f>
        <v>0.13839243021675804</v>
      </c>
      <c r="EA13" s="1525">
        <f>'IS(Q)'!DK15</f>
        <v>0.14074158437238263</v>
      </c>
      <c r="EB13" s="1526">
        <f>'IS(Q)'!DL15</f>
        <v>0.14074158437238263</v>
      </c>
      <c r="EC13" s="1526">
        <f>'IS(Q)'!DM15</f>
        <v>0.14074158437238263</v>
      </c>
      <c r="ED13" s="1527">
        <f>'IS(Q)'!DN15</f>
        <v>0.14074158437238263</v>
      </c>
      <c r="EE13" s="1525">
        <f>'IS(Q)'!DO15</f>
        <v>0.14093705172759594</v>
      </c>
      <c r="EF13" s="1526">
        <f>'IS(Q)'!DP15</f>
        <v>0.14093705172759594</v>
      </c>
      <c r="EG13" s="1526">
        <f>'IS(Q)'!DQ15</f>
        <v>0.14093705172759594</v>
      </c>
      <c r="EH13" s="1527">
        <f>'IS(Q)'!DR15</f>
        <v>0.14093705172759594</v>
      </c>
      <c r="EI13" s="1525">
        <f>'IS(Q)'!DS15</f>
        <v>0.14093705172759594</v>
      </c>
      <c r="EJ13" s="1526">
        <f>'IS(Q)'!DT15</f>
        <v>0.14093705172759594</v>
      </c>
      <c r="EK13" s="1526">
        <f>'IS(Q)'!DU15</f>
        <v>0.14093705172759594</v>
      </c>
      <c r="EL13" s="1527">
        <f>'IS(Q)'!DV15</f>
        <v>0.14093705172759594</v>
      </c>
      <c r="EM13" s="1525">
        <f>'IS(Q)'!DW15</f>
        <v>0.14340366359100179</v>
      </c>
      <c r="EN13" s="1526">
        <f>'IS(Q)'!DX15</f>
        <v>0.14340366359100179</v>
      </c>
      <c r="EO13" s="1526">
        <f>'IS(Q)'!DY15</f>
        <v>0.14340366359100179</v>
      </c>
      <c r="EP13" s="1527">
        <f>'IS(Q)'!DZ15</f>
        <v>0.14340366359100179</v>
      </c>
      <c r="EQ13" s="1525">
        <f>'IS(Q)'!EA15</f>
        <v>0.14360890431397574</v>
      </c>
      <c r="ER13" s="1526">
        <f>'IS(Q)'!EB15</f>
        <v>0.14360890431397574</v>
      </c>
      <c r="ES13" s="1526">
        <f>'IS(Q)'!EC15</f>
        <v>0.14360890431397574</v>
      </c>
      <c r="ET13" s="1527">
        <f>'IS(Q)'!ED15</f>
        <v>0.14360890431397574</v>
      </c>
      <c r="EU13" s="1525">
        <f>'IS(Q)'!EE15</f>
        <v>0.14360890431397574</v>
      </c>
      <c r="EV13" s="1526">
        <f>'IS(Q)'!EF15</f>
        <v>0.14360890431397574</v>
      </c>
      <c r="EW13" s="1526">
        <f>'IS(Q)'!EG15</f>
        <v>0.14360890431397574</v>
      </c>
      <c r="EX13" s="1527">
        <f>'IS(Q)'!EH15</f>
        <v>0.14360890431397574</v>
      </c>
      <c r="EY13" s="1525">
        <f>'IS(Q)'!EI15</f>
        <v>0.14619884677055187</v>
      </c>
      <c r="EZ13" s="1526">
        <f>'IS(Q)'!EJ15</f>
        <v>0.14619884677055187</v>
      </c>
      <c r="FA13" s="1526">
        <f>'IS(Q)'!EK15</f>
        <v>0.14619884677055187</v>
      </c>
      <c r="FB13" s="1527">
        <f>'IS(Q)'!EL15</f>
        <v>0.14619884677055187</v>
      </c>
      <c r="FC13" s="1525">
        <f>'IS(Q)'!EM15</f>
        <v>0.14641434952967453</v>
      </c>
      <c r="FD13" s="1526">
        <f>'IS(Q)'!EN15</f>
        <v>0.14641434952967453</v>
      </c>
      <c r="FE13" s="1526">
        <f>'IS(Q)'!EO15</f>
        <v>0.14641434952967453</v>
      </c>
      <c r="FF13" s="1527">
        <f>'IS(Q)'!EP15</f>
        <v>0.14641434952967453</v>
      </c>
      <c r="FG13" s="1525">
        <f>'IS(Q)'!EQ15</f>
        <v>0.14641434952967453</v>
      </c>
      <c r="FH13" s="1526">
        <f>'IS(Q)'!ER15</f>
        <v>0.14641434952967453</v>
      </c>
      <c r="FI13" s="1526">
        <f>'IS(Q)'!ES15</f>
        <v>0.14641434952967453</v>
      </c>
      <c r="FJ13" s="1527">
        <f>'IS(Q)'!ET15</f>
        <v>0.14641434952967453</v>
      </c>
      <c r="FK13" s="1525">
        <f>'IS(Q)'!EU15</f>
        <v>0.14913378910907946</v>
      </c>
      <c r="FL13" s="1526">
        <f>'IS(Q)'!EV15</f>
        <v>0.14913378910907946</v>
      </c>
      <c r="FM13" s="1526">
        <f>'IS(Q)'!EW15</f>
        <v>0.14913378910907946</v>
      </c>
      <c r="FN13" s="1527">
        <f>'IS(Q)'!EX15</f>
        <v>0.14913378910907946</v>
      </c>
      <c r="FO13" s="1525">
        <f>'IS(Q)'!EY15</f>
        <v>0.14936006700615825</v>
      </c>
      <c r="FP13" s="1526">
        <f>'IS(Q)'!EZ15</f>
        <v>0.14936006700615825</v>
      </c>
      <c r="FQ13" s="1526">
        <f>'IS(Q)'!FA15</f>
        <v>0.14936006700615825</v>
      </c>
      <c r="FR13" s="1527">
        <f>'IS(Q)'!FB15</f>
        <v>0.14936006700615825</v>
      </c>
      <c r="FS13" s="1525">
        <f>'IS(Q)'!FC15</f>
        <v>0.14936006700615825</v>
      </c>
      <c r="FT13" s="1526">
        <f>'IS(Q)'!FD15</f>
        <v>0.14936006700615825</v>
      </c>
      <c r="FU13" s="1526">
        <f>'IS(Q)'!FE15</f>
        <v>0.14936006700615825</v>
      </c>
      <c r="FV13" s="1527">
        <f>'IS(Q)'!FF15</f>
        <v>0.14936006700615825</v>
      </c>
      <c r="FW13" s="1525">
        <f>'IS(Q)'!FG15</f>
        <v>0.15221547856453346</v>
      </c>
      <c r="FX13" s="1526">
        <f>'IS(Q)'!FH15</f>
        <v>0.15221547856453346</v>
      </c>
      <c r="FY13" s="1526">
        <f>'IS(Q)'!FI15</f>
        <v>0.15221547856453346</v>
      </c>
      <c r="FZ13" s="1527">
        <f>'IS(Q)'!FJ15</f>
        <v>0.15221547856453346</v>
      </c>
      <c r="GA13" s="1525">
        <f>'IS(Q)'!FK15</f>
        <v>0.15245307035646621</v>
      </c>
      <c r="GB13" s="1526">
        <f>'IS(Q)'!FL15</f>
        <v>0.15245307035646621</v>
      </c>
      <c r="GC13" s="1526">
        <f>'IS(Q)'!FM15</f>
        <v>0</v>
      </c>
      <c r="GD13" s="1527">
        <f>'IS(Q)'!FN15</f>
        <v>0</v>
      </c>
      <c r="GE13" s="1508"/>
      <c r="GF13" s="1509"/>
      <c r="GG13" s="1509"/>
      <c r="GH13" s="1509"/>
      <c r="GI13" s="1509"/>
      <c r="GJ13" s="1509"/>
      <c r="GK13" s="1509"/>
      <c r="GL13" s="1509"/>
      <c r="GM13" s="1509"/>
      <c r="GN13" s="1509"/>
      <c r="GO13" s="1509"/>
      <c r="GP13" s="1509"/>
      <c r="GQ13" s="1509"/>
      <c r="GR13" s="1509"/>
      <c r="GS13" s="1509"/>
      <c r="GT13" s="1509"/>
    </row>
    <row r="14" spans="1:202" ht="17.100000000000001" customHeight="1">
      <c r="B14" s="307"/>
      <c r="C14" s="489" t="str">
        <f>'IS(Q)'!D16</f>
        <v>MRG (운영비 정산후)</v>
      </c>
      <c r="D14" s="331"/>
      <c r="E14" s="727"/>
      <c r="F14" s="1517">
        <f t="shared" ca="1" si="11"/>
        <v>481.07387750191828</v>
      </c>
      <c r="G14" s="1518">
        <v>0</v>
      </c>
      <c r="H14" s="1518">
        <v>0</v>
      </c>
      <c r="I14" s="1518">
        <v>0</v>
      </c>
      <c r="J14" s="1518">
        <v>80</v>
      </c>
      <c r="K14" s="1518">
        <v>67.903155920000003</v>
      </c>
      <c r="L14" s="1518">
        <v>0</v>
      </c>
      <c r="M14" s="1518">
        <v>208.42488366000001</v>
      </c>
      <c r="N14" s="1518">
        <v>0</v>
      </c>
      <c r="O14" s="1518">
        <v>0</v>
      </c>
      <c r="P14" s="1518">
        <v>0</v>
      </c>
      <c r="Q14" s="1518">
        <v>0</v>
      </c>
      <c r="R14" s="1518">
        <v>197.66892971999999</v>
      </c>
      <c r="S14" s="1518">
        <v>17.666598159999999</v>
      </c>
      <c r="T14" s="1518">
        <v>170</v>
      </c>
      <c r="U14" s="1518">
        <v>0</v>
      </c>
      <c r="V14" s="1518">
        <v>0</v>
      </c>
      <c r="W14" s="1519">
        <f>매출!H51</f>
        <v>2.9639801499999998</v>
      </c>
      <c r="X14" s="1520">
        <f>매출!I51</f>
        <v>0</v>
      </c>
      <c r="Y14" s="1520">
        <f>매출!J51</f>
        <v>0</v>
      </c>
      <c r="Z14" s="1521">
        <f>매출!K51</f>
        <v>5</v>
      </c>
      <c r="AA14" s="1519">
        <v>131.5697447</v>
      </c>
      <c r="AB14" s="1520">
        <f>매출!M51</f>
        <v>115.73391122000001</v>
      </c>
      <c r="AC14" s="1520">
        <f>매출!N51</f>
        <v>13.4257302</v>
      </c>
      <c r="AD14" s="1521">
        <f>매출!O51</f>
        <v>-2.582678</v>
      </c>
      <c r="AE14" s="1522">
        <f>매출!P51</f>
        <v>0</v>
      </c>
      <c r="AF14" s="1523">
        <f>매출!Q51</f>
        <v>85.72</v>
      </c>
      <c r="AG14" s="1523">
        <f>매출!R51</f>
        <v>0</v>
      </c>
      <c r="AH14" s="1524">
        <f>매출!S51</f>
        <v>4.9158238000000001</v>
      </c>
      <c r="AI14" s="1522">
        <f>매출!T51</f>
        <v>0</v>
      </c>
      <c r="AJ14" s="1523">
        <f>매출!U51</f>
        <v>60</v>
      </c>
      <c r="AK14" s="1523">
        <f>매출!V51</f>
        <v>0</v>
      </c>
      <c r="AL14" s="1524">
        <f>매출!W51</f>
        <v>0</v>
      </c>
      <c r="AM14" s="1522">
        <f ca="1">매출!X51</f>
        <v>52.80835386677002</v>
      </c>
      <c r="AN14" s="1523">
        <f ca="1">매출!Y51</f>
        <v>119.27230313059995</v>
      </c>
      <c r="AO14" s="1523">
        <f>매출!Z51</f>
        <v>0</v>
      </c>
      <c r="AP14" s="1524">
        <f>매출!AA51</f>
        <v>0</v>
      </c>
      <c r="AQ14" s="1522">
        <f>매출!AB51</f>
        <v>0</v>
      </c>
      <c r="AR14" s="1523">
        <f ca="1">매출!AC51</f>
        <v>114.21101101222435</v>
      </c>
      <c r="AS14" s="1523">
        <f>매출!AD51</f>
        <v>0</v>
      </c>
      <c r="AT14" s="1524">
        <f>매출!AE51</f>
        <v>0</v>
      </c>
      <c r="AU14" s="1522">
        <f>매출!AF51</f>
        <v>0</v>
      </c>
      <c r="AV14" s="1523">
        <f ca="1">매출!AG51</f>
        <v>44.146385692323996</v>
      </c>
      <c r="AW14" s="1523">
        <f>매출!AH51</f>
        <v>0</v>
      </c>
      <c r="AX14" s="1524">
        <f>매출!AI51</f>
        <v>0</v>
      </c>
      <c r="AY14" s="1522">
        <f>매출!AJ51</f>
        <v>0</v>
      </c>
      <c r="AZ14" s="1523">
        <f>매출!AK51</f>
        <v>0</v>
      </c>
      <c r="BA14" s="1523">
        <f>매출!AL51</f>
        <v>0</v>
      </c>
      <c r="BB14" s="1524">
        <f>매출!AM51</f>
        <v>0</v>
      </c>
      <c r="BC14" s="1522">
        <f>매출!AN51</f>
        <v>0</v>
      </c>
      <c r="BD14" s="1523">
        <f>매출!AO51</f>
        <v>0</v>
      </c>
      <c r="BE14" s="1523">
        <f>매출!AP51</f>
        <v>0</v>
      </c>
      <c r="BF14" s="1524">
        <f>매출!AQ51</f>
        <v>0</v>
      </c>
      <c r="BG14" s="1522">
        <f>매출!AR51</f>
        <v>0</v>
      </c>
      <c r="BH14" s="1523">
        <f>매출!AS51</f>
        <v>0</v>
      </c>
      <c r="BI14" s="1523">
        <f>매출!AT51</f>
        <v>0</v>
      </c>
      <c r="BJ14" s="1524">
        <f>매출!AU51</f>
        <v>0</v>
      </c>
      <c r="BK14" s="1522">
        <f>매출!AV51</f>
        <v>0</v>
      </c>
      <c r="BL14" s="1523">
        <f>매출!AW51</f>
        <v>0</v>
      </c>
      <c r="BM14" s="1523">
        <f>매출!AX51</f>
        <v>0</v>
      </c>
      <c r="BN14" s="1524">
        <f>매출!AY51</f>
        <v>0</v>
      </c>
      <c r="BO14" s="1522">
        <f>매출!AZ51</f>
        <v>0</v>
      </c>
      <c r="BP14" s="1523">
        <f>매출!BA51</f>
        <v>0</v>
      </c>
      <c r="BQ14" s="1523">
        <f>매출!BB51</f>
        <v>0</v>
      </c>
      <c r="BR14" s="1524">
        <f>매출!BC51</f>
        <v>0</v>
      </c>
      <c r="BS14" s="1522">
        <f>매출!BD51</f>
        <v>0</v>
      </c>
      <c r="BT14" s="1523">
        <f>매출!BE51</f>
        <v>0</v>
      </c>
      <c r="BU14" s="1523">
        <f>매출!BF51</f>
        <v>0</v>
      </c>
      <c r="BV14" s="1524">
        <f>매출!BG51</f>
        <v>0</v>
      </c>
      <c r="BW14" s="1522">
        <f>매출!BH51</f>
        <v>0</v>
      </c>
      <c r="BX14" s="1523">
        <f>매출!BI51</f>
        <v>0</v>
      </c>
      <c r="BY14" s="1523">
        <f>매출!BJ51</f>
        <v>0</v>
      </c>
      <c r="BZ14" s="1524">
        <f>매출!BK51</f>
        <v>0</v>
      </c>
      <c r="CA14" s="1522">
        <f>매출!BL51</f>
        <v>0</v>
      </c>
      <c r="CB14" s="1523">
        <f>매출!BM51</f>
        <v>0</v>
      </c>
      <c r="CC14" s="1523">
        <f>매출!BN51</f>
        <v>0</v>
      </c>
      <c r="CD14" s="1524">
        <f>매출!BO51</f>
        <v>0</v>
      </c>
      <c r="CE14" s="1522">
        <f>매출!BP51</f>
        <v>0</v>
      </c>
      <c r="CF14" s="1523">
        <f>매출!BQ51</f>
        <v>0</v>
      </c>
      <c r="CG14" s="1523">
        <f>매출!BR51</f>
        <v>0</v>
      </c>
      <c r="CH14" s="1524">
        <f>매출!BS51</f>
        <v>0</v>
      </c>
      <c r="CI14" s="1522">
        <f>매출!BT51</f>
        <v>0</v>
      </c>
      <c r="CJ14" s="1523">
        <f>매출!BU51</f>
        <v>0</v>
      </c>
      <c r="CK14" s="1523">
        <f>매출!BV51</f>
        <v>0</v>
      </c>
      <c r="CL14" s="1524">
        <f>매출!BW51</f>
        <v>0</v>
      </c>
      <c r="CM14" s="1522">
        <f>매출!BX51</f>
        <v>0</v>
      </c>
      <c r="CN14" s="1523">
        <f>매출!BY51</f>
        <v>0</v>
      </c>
      <c r="CO14" s="1523">
        <f>매출!BZ51</f>
        <v>0</v>
      </c>
      <c r="CP14" s="1524">
        <f>매출!CA51</f>
        <v>0</v>
      </c>
      <c r="CQ14" s="1522">
        <f>매출!CB51</f>
        <v>0</v>
      </c>
      <c r="CR14" s="1523">
        <f>매출!CC51</f>
        <v>0</v>
      </c>
      <c r="CS14" s="1523">
        <f>매출!CD51</f>
        <v>0</v>
      </c>
      <c r="CT14" s="1524">
        <f>매출!CE51</f>
        <v>0</v>
      </c>
      <c r="CU14" s="1522">
        <f>매출!CF51</f>
        <v>0</v>
      </c>
      <c r="CV14" s="1523">
        <f>매출!CG51</f>
        <v>0</v>
      </c>
      <c r="CW14" s="1523">
        <f>매출!CH51</f>
        <v>0</v>
      </c>
      <c r="CX14" s="1524">
        <f>매출!CI51</f>
        <v>0</v>
      </c>
      <c r="CY14" s="1522">
        <f>매출!CJ51</f>
        <v>0</v>
      </c>
      <c r="CZ14" s="1523">
        <f>매출!CK51</f>
        <v>0</v>
      </c>
      <c r="DA14" s="1523">
        <f>매출!CL51</f>
        <v>0</v>
      </c>
      <c r="DB14" s="1524">
        <f>매출!CM51</f>
        <v>0</v>
      </c>
      <c r="DC14" s="1522">
        <f>매출!CN51</f>
        <v>0</v>
      </c>
      <c r="DD14" s="1523">
        <f>매출!CO51</f>
        <v>0</v>
      </c>
      <c r="DE14" s="1523">
        <f>매출!CP51</f>
        <v>0</v>
      </c>
      <c r="DF14" s="1524">
        <f>매출!CQ51</f>
        <v>0</v>
      </c>
      <c r="DG14" s="1522">
        <f>매출!CR51</f>
        <v>0</v>
      </c>
      <c r="DH14" s="1523">
        <f>매출!CS51</f>
        <v>0</v>
      </c>
      <c r="DI14" s="1523">
        <f>매출!CT51</f>
        <v>0</v>
      </c>
      <c r="DJ14" s="1524">
        <f>매출!CU51</f>
        <v>0</v>
      </c>
      <c r="DK14" s="1522">
        <f>매출!CV51</f>
        <v>0</v>
      </c>
      <c r="DL14" s="1523">
        <f>매출!CW51</f>
        <v>0</v>
      </c>
      <c r="DM14" s="1523">
        <f>매출!CX51</f>
        <v>0</v>
      </c>
      <c r="DN14" s="1524">
        <f>매출!CY51</f>
        <v>0</v>
      </c>
      <c r="DO14" s="1522">
        <f>매출!CZ51</f>
        <v>0</v>
      </c>
      <c r="DP14" s="1523">
        <f>매출!DA51</f>
        <v>0</v>
      </c>
      <c r="DQ14" s="1523">
        <f>매출!DB51</f>
        <v>0</v>
      </c>
      <c r="DR14" s="1524">
        <f>매출!DC51</f>
        <v>0</v>
      </c>
      <c r="DS14" s="1522">
        <f>매출!DD51</f>
        <v>0</v>
      </c>
      <c r="DT14" s="1523">
        <f>매출!DE51</f>
        <v>0</v>
      </c>
      <c r="DU14" s="1523">
        <f>매출!DF51</f>
        <v>0</v>
      </c>
      <c r="DV14" s="1524">
        <f>매출!DG51</f>
        <v>0</v>
      </c>
      <c r="DW14" s="1522">
        <f>매출!DH51</f>
        <v>0</v>
      </c>
      <c r="DX14" s="1523">
        <f>매출!DI51</f>
        <v>0</v>
      </c>
      <c r="DY14" s="1523">
        <f>매출!DJ51</f>
        <v>0</v>
      </c>
      <c r="DZ14" s="1524">
        <f>매출!DK51</f>
        <v>0</v>
      </c>
      <c r="EA14" s="1522">
        <f>매출!DL51</f>
        <v>0</v>
      </c>
      <c r="EB14" s="1523">
        <f>매출!DM51</f>
        <v>0</v>
      </c>
      <c r="EC14" s="1523">
        <f>매출!DN51</f>
        <v>0</v>
      </c>
      <c r="ED14" s="1524">
        <f>매출!DO51</f>
        <v>0</v>
      </c>
      <c r="EE14" s="1522">
        <f>매출!DP51</f>
        <v>0</v>
      </c>
      <c r="EF14" s="1523">
        <f>매출!DQ51</f>
        <v>0</v>
      </c>
      <c r="EG14" s="1523">
        <f>매출!DR51</f>
        <v>0</v>
      </c>
      <c r="EH14" s="1524">
        <f>매출!DS51</f>
        <v>0</v>
      </c>
      <c r="EI14" s="1522">
        <f>매출!DT51</f>
        <v>0</v>
      </c>
      <c r="EJ14" s="1523">
        <f>매출!DU51</f>
        <v>0</v>
      </c>
      <c r="EK14" s="1523">
        <f>매출!DV51</f>
        <v>0</v>
      </c>
      <c r="EL14" s="1524">
        <f>매출!DW51</f>
        <v>0</v>
      </c>
      <c r="EM14" s="1522">
        <f>매출!DX51</f>
        <v>0</v>
      </c>
      <c r="EN14" s="1523">
        <f>매출!DY51</f>
        <v>0</v>
      </c>
      <c r="EO14" s="1523">
        <f>매출!DZ51</f>
        <v>0</v>
      </c>
      <c r="EP14" s="1524">
        <f>매출!EA51</f>
        <v>0</v>
      </c>
      <c r="EQ14" s="1522">
        <f>매출!EB51</f>
        <v>0</v>
      </c>
      <c r="ER14" s="1523">
        <f>매출!EC51</f>
        <v>0</v>
      </c>
      <c r="ES14" s="1523">
        <f>매출!ED51</f>
        <v>0</v>
      </c>
      <c r="ET14" s="1524">
        <f>매출!EE51</f>
        <v>0</v>
      </c>
      <c r="EU14" s="1522">
        <f>매출!EF51</f>
        <v>0</v>
      </c>
      <c r="EV14" s="1523">
        <f>매출!EG51</f>
        <v>0</v>
      </c>
      <c r="EW14" s="1523">
        <f>매출!EH51</f>
        <v>0</v>
      </c>
      <c r="EX14" s="1524">
        <f>매출!EI51</f>
        <v>0</v>
      </c>
      <c r="EY14" s="1522">
        <f>매출!EJ51</f>
        <v>0</v>
      </c>
      <c r="EZ14" s="1523">
        <f>매출!EK51</f>
        <v>0</v>
      </c>
      <c r="FA14" s="1523">
        <f>매출!EL51</f>
        <v>0</v>
      </c>
      <c r="FB14" s="1524">
        <f>매출!EM51</f>
        <v>0</v>
      </c>
      <c r="FC14" s="1522">
        <f>매출!EN51</f>
        <v>0</v>
      </c>
      <c r="FD14" s="1523">
        <f>매출!EO51</f>
        <v>0</v>
      </c>
      <c r="FE14" s="1523">
        <f>매출!EP51</f>
        <v>0</v>
      </c>
      <c r="FF14" s="1524">
        <f>매출!EQ51</f>
        <v>0</v>
      </c>
      <c r="FG14" s="1522">
        <f>매출!ER51</f>
        <v>0</v>
      </c>
      <c r="FH14" s="1523">
        <f>매출!ES51</f>
        <v>0</v>
      </c>
      <c r="FI14" s="1523">
        <f>매출!ET51</f>
        <v>0</v>
      </c>
      <c r="FJ14" s="1524">
        <f>매출!EU51</f>
        <v>0</v>
      </c>
      <c r="FK14" s="1522">
        <f>매출!EV51</f>
        <v>0</v>
      </c>
      <c r="FL14" s="1523">
        <f>매출!EW51</f>
        <v>0</v>
      </c>
      <c r="FM14" s="1523">
        <f>매출!EX51</f>
        <v>0</v>
      </c>
      <c r="FN14" s="1524">
        <f>매출!EY51</f>
        <v>0</v>
      </c>
      <c r="FO14" s="1522">
        <f>매출!EZ51</f>
        <v>0</v>
      </c>
      <c r="FP14" s="1523">
        <f>매출!FA51</f>
        <v>0</v>
      </c>
      <c r="FQ14" s="1523">
        <f>매출!FB51</f>
        <v>0</v>
      </c>
      <c r="FR14" s="1524">
        <f>매출!FC51</f>
        <v>0</v>
      </c>
      <c r="FS14" s="1522">
        <f>매출!FD51</f>
        <v>0</v>
      </c>
      <c r="FT14" s="1523">
        <f>매출!FE51</f>
        <v>0</v>
      </c>
      <c r="FU14" s="1523">
        <f>매출!FF51</f>
        <v>0</v>
      </c>
      <c r="FV14" s="1524">
        <f>매출!FG51</f>
        <v>0</v>
      </c>
      <c r="FW14" s="1522">
        <f>매출!FH51</f>
        <v>0</v>
      </c>
      <c r="FX14" s="1523">
        <f>매출!FI51</f>
        <v>0</v>
      </c>
      <c r="FY14" s="1523">
        <f>매출!FJ51</f>
        <v>0</v>
      </c>
      <c r="FZ14" s="1524">
        <f>매출!FK51</f>
        <v>0</v>
      </c>
      <c r="GA14" s="1522">
        <f>매출!FL51</f>
        <v>0</v>
      </c>
      <c r="GB14" s="1523">
        <f>매출!FM51</f>
        <v>0</v>
      </c>
      <c r="GC14" s="1523">
        <f>매출!FN51</f>
        <v>0</v>
      </c>
      <c r="GD14" s="1524">
        <f>매출!FO51</f>
        <v>0</v>
      </c>
      <c r="GE14" s="1508"/>
      <c r="GF14" s="1509"/>
      <c r="GG14" s="1509"/>
      <c r="GH14" s="1509"/>
      <c r="GI14" s="1509"/>
      <c r="GJ14" s="1509"/>
      <c r="GK14" s="1509"/>
      <c r="GL14" s="1509"/>
      <c r="GM14" s="1509"/>
      <c r="GN14" s="1509"/>
      <c r="GO14" s="1509"/>
      <c r="GP14" s="1509"/>
      <c r="GQ14" s="1509"/>
      <c r="GR14" s="1509"/>
      <c r="GS14" s="1509"/>
      <c r="GT14" s="1509"/>
    </row>
    <row r="15" spans="1:202" ht="17.100000000000001" customHeight="1">
      <c r="B15" s="1510" t="s">
        <v>1303</v>
      </c>
      <c r="C15" s="428"/>
      <c r="D15" s="1511"/>
      <c r="E15" s="1512"/>
      <c r="F15" s="1513">
        <f t="shared" ca="1" si="11"/>
        <v>11267.384220084063</v>
      </c>
      <c r="G15" s="914">
        <f t="shared" ref="G15:BR15" si="15">SUM(G16:G26)</f>
        <v>153.01365457</v>
      </c>
      <c r="H15" s="914">
        <f t="shared" si="15"/>
        <v>86.182335220000013</v>
      </c>
      <c r="I15" s="914">
        <f t="shared" si="15"/>
        <v>47.147326200000009</v>
      </c>
      <c r="J15" s="914">
        <f t="shared" si="15"/>
        <v>32.083931255444185</v>
      </c>
      <c r="K15" s="914">
        <f t="shared" si="15"/>
        <v>69.111105694555803</v>
      </c>
      <c r="L15" s="914">
        <f t="shared" si="15"/>
        <v>62.074382049999997</v>
      </c>
      <c r="M15" s="914">
        <f t="shared" si="15"/>
        <v>92.389547770000007</v>
      </c>
      <c r="N15" s="914">
        <f t="shared" si="15"/>
        <v>79.139443530090162</v>
      </c>
      <c r="O15" s="914">
        <f t="shared" si="15"/>
        <v>57.694246509999999</v>
      </c>
      <c r="P15" s="914">
        <f t="shared" si="15"/>
        <v>65.129088152866686</v>
      </c>
      <c r="Q15" s="914">
        <f t="shared" si="15"/>
        <v>68.816571069999995</v>
      </c>
      <c r="R15" s="914">
        <f t="shared" si="15"/>
        <v>64.57734755730641</v>
      </c>
      <c r="S15" s="914">
        <f t="shared" si="15"/>
        <v>84.232261520000009</v>
      </c>
      <c r="T15" s="914">
        <f t="shared" si="15"/>
        <v>60.204007500000003</v>
      </c>
      <c r="U15" s="914">
        <f t="shared" si="15"/>
        <v>69.533262960000002</v>
      </c>
      <c r="V15" s="914">
        <f t="shared" si="15"/>
        <v>64.655690230000005</v>
      </c>
      <c r="W15" s="914">
        <f t="shared" ca="1" si="15"/>
        <v>70.495253509909844</v>
      </c>
      <c r="X15" s="915">
        <f t="shared" ca="1" si="15"/>
        <v>60.487073970000026</v>
      </c>
      <c r="Y15" s="915">
        <f t="shared" ca="1" si="15"/>
        <v>77.075734870000005</v>
      </c>
      <c r="Z15" s="916">
        <f t="shared" ca="1" si="15"/>
        <v>45.537321970000015</v>
      </c>
      <c r="AA15" s="914">
        <f t="shared" ca="1" si="15"/>
        <v>64.312746609220838</v>
      </c>
      <c r="AB15" s="915">
        <f t="shared" ca="1" si="15"/>
        <v>70.374775043621199</v>
      </c>
      <c r="AC15" s="915">
        <f t="shared" ca="1" si="15"/>
        <v>65.077796700000022</v>
      </c>
      <c r="AD15" s="916">
        <f t="shared" ca="1" si="15"/>
        <v>64.436566010000007</v>
      </c>
      <c r="AE15" s="1514">
        <f t="shared" ca="1" si="15"/>
        <v>55.165029700000005</v>
      </c>
      <c r="AF15" s="1515">
        <f t="shared" ca="1" si="15"/>
        <v>81.178092651793932</v>
      </c>
      <c r="AG15" s="1515">
        <f t="shared" ca="1" si="15"/>
        <v>27.273494243333339</v>
      </c>
      <c r="AH15" s="1516">
        <f t="shared" ca="1" si="15"/>
        <v>19.155589326744177</v>
      </c>
      <c r="AI15" s="1514">
        <f t="shared" ca="1" si="15"/>
        <v>22.991700141359694</v>
      </c>
      <c r="AJ15" s="1515">
        <f t="shared" ca="1" si="15"/>
        <v>66.775383582554241</v>
      </c>
      <c r="AK15" s="1515">
        <f t="shared" ca="1" si="15"/>
        <v>32.222442609346842</v>
      </c>
      <c r="AL15" s="1516">
        <f t="shared" ca="1" si="15"/>
        <v>23.666132133666814</v>
      </c>
      <c r="AM15" s="1514">
        <f t="shared" ca="1" si="15"/>
        <v>67.949316613164171</v>
      </c>
      <c r="AN15" s="1515">
        <f t="shared" ca="1" si="15"/>
        <v>63.105895728131756</v>
      </c>
      <c r="AO15" s="1515">
        <f t="shared" ca="1" si="15"/>
        <v>66.007460805476953</v>
      </c>
      <c r="AP15" s="1516">
        <f t="shared" ca="1" si="15"/>
        <v>62.19129363313175</v>
      </c>
      <c r="AQ15" s="1514">
        <f t="shared" ca="1" si="15"/>
        <v>46.901306182741408</v>
      </c>
      <c r="AR15" s="1515">
        <f t="shared" ca="1" si="15"/>
        <v>62.05126230976019</v>
      </c>
      <c r="AS15" s="1515">
        <f t="shared" ca="1" si="15"/>
        <v>65.954681161840213</v>
      </c>
      <c r="AT15" s="1516">
        <f t="shared" ca="1" si="15"/>
        <v>61.127421809760186</v>
      </c>
      <c r="AU15" s="1514">
        <f t="shared" ca="1" si="15"/>
        <v>24.437933073839893</v>
      </c>
      <c r="AV15" s="1515">
        <f t="shared" ca="1" si="15"/>
        <v>61.033440244078712</v>
      </c>
      <c r="AW15" s="1515">
        <f t="shared" ca="1" si="15"/>
        <v>16.438150470541341</v>
      </c>
      <c r="AX15" s="1516">
        <f t="shared" ca="1" si="15"/>
        <v>15.416867511148022</v>
      </c>
      <c r="AY15" s="1514">
        <f t="shared" ca="1" si="15"/>
        <v>37.605986541027278</v>
      </c>
      <c r="AZ15" s="1515">
        <f t="shared" ca="1" si="15"/>
        <v>32.623046541027293</v>
      </c>
      <c r="BA15" s="1515">
        <f t="shared" ca="1" si="15"/>
        <v>31.792556541027295</v>
      </c>
      <c r="BB15" s="1516">
        <f t="shared" ca="1" si="15"/>
        <v>37.605986541027292</v>
      </c>
      <c r="BC15" s="1514">
        <f t="shared" ca="1" si="15"/>
        <v>55.247768594271335</v>
      </c>
      <c r="BD15" s="1515">
        <f t="shared" ca="1" si="15"/>
        <v>59.686698411154929</v>
      </c>
      <c r="BE15" s="1515">
        <f t="shared" ca="1" si="15"/>
        <v>59.788639173977899</v>
      </c>
      <c r="BF15" s="1516">
        <f t="shared" ca="1" si="15"/>
        <v>59.464976691154931</v>
      </c>
      <c r="BG15" s="1514">
        <f t="shared" ca="1" si="15"/>
        <v>64.230126348647758</v>
      </c>
      <c r="BH15" s="1515">
        <f t="shared" ca="1" si="15"/>
        <v>60.357817088915262</v>
      </c>
      <c r="BI15" s="1515">
        <f t="shared" ca="1" si="15"/>
        <v>62.084081240192994</v>
      </c>
      <c r="BJ15" s="1516">
        <f t="shared" ca="1" si="15"/>
        <v>60.136095368915257</v>
      </c>
      <c r="BK15" s="1514">
        <f t="shared" ca="1" si="15"/>
        <v>65.951714663798427</v>
      </c>
      <c r="BL15" s="1515">
        <f t="shared" ca="1" si="15"/>
        <v>62.565282837829393</v>
      </c>
      <c r="BM15" s="1515">
        <f t="shared" ca="1" si="15"/>
        <v>64.860769966452779</v>
      </c>
      <c r="BN15" s="1516">
        <f t="shared" ca="1" si="15"/>
        <v>62.343561117829395</v>
      </c>
      <c r="BO15" s="1514">
        <f t="shared" ca="1" si="15"/>
        <v>63.915334698816885</v>
      </c>
      <c r="BP15" s="1515">
        <f t="shared" ca="1" si="15"/>
        <v>61.91545965432654</v>
      </c>
      <c r="BQ15" s="1515">
        <f t="shared" ca="1" si="15"/>
        <v>64.118571170883399</v>
      </c>
      <c r="BR15" s="1516">
        <f t="shared" ca="1" si="15"/>
        <v>61.91545965432654</v>
      </c>
      <c r="BS15" s="1514">
        <f t="shared" ref="BS15:ED15" ca="1" si="16">SUM(BS16:BS26)</f>
        <v>70.033946389949875</v>
      </c>
      <c r="BT15" s="1515">
        <f t="shared" ca="1" si="16"/>
        <v>63.632603974988939</v>
      </c>
      <c r="BU15" s="1515">
        <f t="shared" ca="1" si="16"/>
        <v>67.934830940747844</v>
      </c>
      <c r="BV15" s="1516">
        <f t="shared" ca="1" si="16"/>
        <v>62.932603974988943</v>
      </c>
      <c r="BW15" s="1514">
        <f t="shared" ca="1" si="16"/>
        <v>66.499658805665717</v>
      </c>
      <c r="BX15" s="1515">
        <f t="shared" ca="1" si="16"/>
        <v>63.314873021461821</v>
      </c>
      <c r="BY15" s="1515">
        <f t="shared" ca="1" si="16"/>
        <v>67.058379396443215</v>
      </c>
      <c r="BZ15" s="1516">
        <f t="shared" ca="1" si="16"/>
        <v>63.314873021461821</v>
      </c>
      <c r="CA15" s="1514">
        <f t="shared" ca="1" si="16"/>
        <v>68.736704879707048</v>
      </c>
      <c r="CB15" s="1515">
        <f t="shared" ca="1" si="16"/>
        <v>64.506854280379557</v>
      </c>
      <c r="CC15" s="1515">
        <f t="shared" ca="1" si="16"/>
        <v>68.493532767533992</v>
      </c>
      <c r="CD15" s="1516">
        <f t="shared" ca="1" si="16"/>
        <v>64.506854280379557</v>
      </c>
      <c r="CE15" s="1514">
        <f t="shared" ca="1" si="16"/>
        <v>70.99429854376946</v>
      </c>
      <c r="CF15" s="1515">
        <f t="shared" ca="1" si="16"/>
        <v>65.054756348140799</v>
      </c>
      <c r="CG15" s="1515">
        <f t="shared" ca="1" si="16"/>
        <v>70.017866689532354</v>
      </c>
      <c r="CH15" s="1516">
        <f t="shared" ca="1" si="16"/>
        <v>65.054756348140799</v>
      </c>
      <c r="CI15" s="1514">
        <f t="shared" ca="1" si="16"/>
        <v>71.840959054918059</v>
      </c>
      <c r="CJ15" s="1515">
        <f t="shared" ca="1" si="16"/>
        <v>67.009271988193845</v>
      </c>
      <c r="CK15" s="1515">
        <f t="shared" ca="1" si="16"/>
        <v>71.906670692251737</v>
      </c>
      <c r="CL15" s="1516">
        <f t="shared" ca="1" si="16"/>
        <v>67.009271988193845</v>
      </c>
      <c r="CM15" s="1514">
        <f t="shared" ca="1" si="16"/>
        <v>70.217443917009007</v>
      </c>
      <c r="CN15" s="1515">
        <f t="shared" ca="1" si="16"/>
        <v>66.795757092070929</v>
      </c>
      <c r="CO15" s="1515">
        <f t="shared" ca="1" si="16"/>
        <v>70.955299856568914</v>
      </c>
      <c r="CP15" s="1516">
        <f t="shared" ca="1" si="16"/>
        <v>66.795757092070929</v>
      </c>
      <c r="CQ15" s="1514">
        <f t="shared" ca="1" si="16"/>
        <v>74.789430569752071</v>
      </c>
      <c r="CR15" s="1515">
        <f t="shared" ca="1" si="16"/>
        <v>67.933600729782086</v>
      </c>
      <c r="CS15" s="1515">
        <f t="shared" ca="1" si="16"/>
        <v>73.441287032016078</v>
      </c>
      <c r="CT15" s="1516">
        <f t="shared" ca="1" si="16"/>
        <v>67.933600729782086</v>
      </c>
      <c r="CU15" s="1514">
        <f t="shared" ca="1" si="16"/>
        <v>74.32251600372652</v>
      </c>
      <c r="CV15" s="1515">
        <f t="shared" ca="1" si="16"/>
        <v>69.330876401239721</v>
      </c>
      <c r="CW15" s="1515">
        <f t="shared" ca="1" si="16"/>
        <v>74.580539353600116</v>
      </c>
      <c r="CX15" s="1516">
        <f t="shared" ca="1" si="16"/>
        <v>69.330876401239721</v>
      </c>
      <c r="CY15" s="1514">
        <f t="shared" ca="1" si="16"/>
        <v>75.291862295896991</v>
      </c>
      <c r="CZ15" s="1515">
        <f t="shared" ca="1" si="16"/>
        <v>71.18189311247248</v>
      </c>
      <c r="DA15" s="1515">
        <f t="shared" ca="1" si="16"/>
        <v>75.861709180364926</v>
      </c>
      <c r="DB15" s="1516">
        <f t="shared" ca="1" si="16"/>
        <v>71.18189311247248</v>
      </c>
      <c r="DC15" s="1514">
        <f t="shared" ca="1" si="16"/>
        <v>75.458628496847894</v>
      </c>
      <c r="DD15" s="1515">
        <f t="shared" ca="1" si="16"/>
        <v>70.604028601183217</v>
      </c>
      <c r="DE15" s="1515">
        <f t="shared" ca="1" si="16"/>
        <v>75.371236582961785</v>
      </c>
      <c r="DF15" s="1516">
        <f t="shared" ca="1" si="16"/>
        <v>70.604028601183217</v>
      </c>
      <c r="DG15" s="1514">
        <f t="shared" ca="1" si="16"/>
        <v>80.29532806257761</v>
      </c>
      <c r="DH15" s="1515">
        <f t="shared" ca="1" si="16"/>
        <v>71.860950311848413</v>
      </c>
      <c r="DI15" s="1515">
        <f t="shared" ca="1" si="16"/>
        <v>78.461743178102282</v>
      </c>
      <c r="DJ15" s="1516">
        <f t="shared" ca="1" si="16"/>
        <v>70.16095031184841</v>
      </c>
      <c r="DK15" s="1514">
        <f t="shared" ca="1" si="16"/>
        <v>78.369850472923247</v>
      </c>
      <c r="DL15" s="1515">
        <f t="shared" ca="1" si="16"/>
        <v>70.879373765838892</v>
      </c>
      <c r="DM15" s="1515">
        <f t="shared" ca="1" si="16"/>
        <v>77.925008552508018</v>
      </c>
      <c r="DN15" s="1516">
        <f t="shared" ca="1" si="16"/>
        <v>70.879373765838892</v>
      </c>
      <c r="DO15" s="1514">
        <f t="shared" ca="1" si="16"/>
        <v>82.907061598615059</v>
      </c>
      <c r="DP15" s="1515">
        <f t="shared" ca="1" si="16"/>
        <v>72.117746591574587</v>
      </c>
      <c r="DQ15" s="1515">
        <f t="shared" ca="1" si="16"/>
        <v>81.035221488429386</v>
      </c>
      <c r="DR15" s="1516">
        <f t="shared" ca="1" si="16"/>
        <v>72.117746591574587</v>
      </c>
      <c r="DS15" s="1514">
        <f t="shared" ca="1" si="16"/>
        <v>81.279935553155184</v>
      </c>
      <c r="DT15" s="1515">
        <f t="shared" ca="1" si="16"/>
        <v>72.847417165369507</v>
      </c>
      <c r="DU15" s="1515">
        <f t="shared" ca="1" si="16"/>
        <v>81.522413807689745</v>
      </c>
      <c r="DV15" s="1516">
        <f t="shared" ca="1" si="16"/>
        <v>72.847417165369507</v>
      </c>
      <c r="DW15" s="1514">
        <f t="shared" ca="1" si="16"/>
        <v>83.816399728273964</v>
      </c>
      <c r="DX15" s="1515">
        <f t="shared" ca="1" si="16"/>
        <v>74.991558740456568</v>
      </c>
      <c r="DY15" s="1515">
        <f t="shared" ca="1" si="16"/>
        <v>83.741477555525393</v>
      </c>
      <c r="DZ15" s="1516">
        <f t="shared" ca="1" si="16"/>
        <v>74.991558740456568</v>
      </c>
      <c r="EA15" s="1514">
        <f t="shared" ca="1" si="16"/>
        <v>85.464115726130913</v>
      </c>
      <c r="EB15" s="1515">
        <f t="shared" ca="1" si="16"/>
        <v>74.886263084347561</v>
      </c>
      <c r="EC15" s="1515">
        <f t="shared" ca="1" si="16"/>
        <v>84.550148812773671</v>
      </c>
      <c r="ED15" s="1516">
        <f t="shared" ca="1" si="16"/>
        <v>74.886263084347561</v>
      </c>
      <c r="EE15" s="1514">
        <f t="shared" ref="EE15:GD15" ca="1" si="17">SUM(EE16:EE26)</f>
        <v>87.650809825100225</v>
      </c>
      <c r="EF15" s="1515">
        <f t="shared" ca="1" si="17"/>
        <v>77.204283795270896</v>
      </c>
      <c r="EG15" s="1515">
        <f t="shared" ca="1" si="17"/>
        <v>87.259489674398637</v>
      </c>
      <c r="EH15" s="1516">
        <f t="shared" ca="1" si="17"/>
        <v>77.204283795270896</v>
      </c>
      <c r="EI15" s="1514">
        <f t="shared" ca="1" si="17"/>
        <v>87.324520263639855</v>
      </c>
      <c r="EJ15" s="1515">
        <f t="shared" ca="1" si="17"/>
        <v>78.518417254811666</v>
      </c>
      <c r="EK15" s="1515">
        <f t="shared" ca="1" si="17"/>
        <v>87.949071698789638</v>
      </c>
      <c r="EL15" s="1516">
        <f t="shared" ca="1" si="17"/>
        <v>78.518417254811666</v>
      </c>
      <c r="EM15" s="1514">
        <f t="shared" ca="1" si="17"/>
        <v>93.80378761145505</v>
      </c>
      <c r="EN15" s="1515">
        <f t="shared" ca="1" si="17"/>
        <v>81.818953560040654</v>
      </c>
      <c r="EO15" s="1515">
        <f t="shared" ca="1" si="17"/>
        <v>92.526697807736852</v>
      </c>
      <c r="EP15" s="1516">
        <f t="shared" ca="1" si="17"/>
        <v>81.818953560040654</v>
      </c>
      <c r="EQ15" s="1514">
        <f t="shared" ca="1" si="17"/>
        <v>89.84823278993413</v>
      </c>
      <c r="ER15" s="1515">
        <f t="shared" ca="1" si="17"/>
        <v>81.318726014444749</v>
      </c>
      <c r="ES15" s="1515">
        <f t="shared" ca="1" si="17"/>
        <v>90.937351526037546</v>
      </c>
      <c r="ET15" s="1516">
        <f t="shared" ca="1" si="17"/>
        <v>81.318726014444749</v>
      </c>
      <c r="EU15" s="1514">
        <f t="shared" ca="1" si="17"/>
        <v>94.054839014799128</v>
      </c>
      <c r="EV15" s="1515">
        <f t="shared" ca="1" si="17"/>
        <v>82.867089059702195</v>
      </c>
      <c r="EW15" s="1515">
        <f t="shared" ca="1" si="17"/>
        <v>93.270276793047074</v>
      </c>
      <c r="EX15" s="1516">
        <f t="shared" ca="1" si="17"/>
        <v>82.867089059702195</v>
      </c>
      <c r="EY15" s="1514">
        <f t="shared" ca="1" si="17"/>
        <v>98.045562160706027</v>
      </c>
      <c r="EZ15" s="1515">
        <f t="shared" ca="1" si="17"/>
        <v>84.982882987825462</v>
      </c>
      <c r="FA15" s="1515">
        <f t="shared" ca="1" si="17"/>
        <v>96.715816440938212</v>
      </c>
      <c r="FB15" s="1516">
        <f t="shared" ca="1" si="17"/>
        <v>84.982882987825462</v>
      </c>
      <c r="FC15" s="1514">
        <f t="shared" ca="1" si="17"/>
        <v>96.75495812090638</v>
      </c>
      <c r="FD15" s="1515">
        <f t="shared" ca="1" si="17"/>
        <v>85.772376035140368</v>
      </c>
      <c r="FE15" s="1515">
        <f t="shared" ca="1" si="17"/>
        <v>97.130133804579728</v>
      </c>
      <c r="FF15" s="1516">
        <f t="shared" ca="1" si="17"/>
        <v>85.772376035140368</v>
      </c>
      <c r="FG15" s="1514">
        <f t="shared" ca="1" si="17"/>
        <v>98.113996096612013</v>
      </c>
      <c r="FH15" s="1515">
        <f t="shared" ca="1" si="17"/>
        <v>86.575675506175159</v>
      </c>
      <c r="FI15" s="1515">
        <f t="shared" ca="1" si="17"/>
        <v>98.023714686113323</v>
      </c>
      <c r="FJ15" s="1516">
        <f t="shared" ca="1" si="17"/>
        <v>86.575675506175159</v>
      </c>
      <c r="FK15" s="1514">
        <f t="shared" ca="1" si="17"/>
        <v>103.19867065825918</v>
      </c>
      <c r="FL15" s="1515">
        <f t="shared" ca="1" si="17"/>
        <v>88.037966093050613</v>
      </c>
      <c r="FM15" s="1515">
        <f t="shared" ca="1" si="17"/>
        <v>101.34233796562395</v>
      </c>
      <c r="FN15" s="1516">
        <f t="shared" ca="1" si="17"/>
        <v>88.037966093050613</v>
      </c>
      <c r="FO15" s="1514">
        <f t="shared" ca="1" si="17"/>
        <v>102.42482279836618</v>
      </c>
      <c r="FP15" s="1515">
        <f t="shared" ca="1" si="17"/>
        <v>89.033225984340291</v>
      </c>
      <c r="FQ15" s="1515">
        <f t="shared" ca="1" si="17"/>
        <v>102.38121032763992</v>
      </c>
      <c r="FR15" s="1516">
        <f t="shared" ca="1" si="17"/>
        <v>89.033225984340291</v>
      </c>
      <c r="FS15" s="1514">
        <f t="shared" ca="1" si="17"/>
        <v>105.70662863416622</v>
      </c>
      <c r="FT15" s="1515">
        <f t="shared" ca="1" si="17"/>
        <v>91.766328013300139</v>
      </c>
      <c r="FU15" s="1515">
        <f t="shared" ca="1" si="17"/>
        <v>105.410470495383</v>
      </c>
      <c r="FV15" s="1516">
        <f t="shared" ca="1" si="17"/>
        <v>91.766328013300139</v>
      </c>
      <c r="FW15" s="1514">
        <f t="shared" ca="1" si="17"/>
        <v>109.00960026085517</v>
      </c>
      <c r="FX15" s="1515">
        <f t="shared" ca="1" si="17"/>
        <v>93.035087387094961</v>
      </c>
      <c r="FY15" s="1515">
        <f t="shared" ca="1" si="17"/>
        <v>107.84441506501646</v>
      </c>
      <c r="FZ15" s="1516">
        <f t="shared" ca="1" si="17"/>
        <v>93.035087387094961</v>
      </c>
      <c r="GA15" s="1514">
        <f t="shared" ca="1" si="17"/>
        <v>109.65842679680004</v>
      </c>
      <c r="GB15" s="1515">
        <f t="shared" ca="1" si="17"/>
        <v>95.212372202082662</v>
      </c>
      <c r="GC15" s="1515">
        <f t="shared" ca="1" si="17"/>
        <v>0</v>
      </c>
      <c r="GD15" s="1516">
        <f t="shared" ca="1" si="17"/>
        <v>0</v>
      </c>
      <c r="GE15" s="1508"/>
      <c r="GF15" s="1509"/>
      <c r="GG15" s="1509"/>
      <c r="GH15" s="1509"/>
      <c r="GI15" s="1509"/>
      <c r="GJ15" s="1509"/>
      <c r="GK15" s="1509"/>
      <c r="GL15" s="1509"/>
      <c r="GM15" s="1509"/>
      <c r="GN15" s="1509"/>
      <c r="GO15" s="1509"/>
      <c r="GP15" s="1509"/>
      <c r="GQ15" s="1509"/>
      <c r="GR15" s="1509"/>
      <c r="GS15" s="1509"/>
      <c r="GT15" s="1509"/>
    </row>
    <row r="16" spans="1:202" ht="17.100000000000001" customHeight="1">
      <c r="B16" s="307"/>
      <c r="C16" s="489" t="s">
        <v>5133</v>
      </c>
      <c r="D16" s="331"/>
      <c r="E16" s="1528"/>
      <c r="F16" s="1517">
        <f t="shared" ca="1" si="11"/>
        <v>9022.1256968770012</v>
      </c>
      <c r="G16" s="1529">
        <v>37.246887200000003</v>
      </c>
      <c r="H16" s="1529">
        <v>37.123506689999999</v>
      </c>
      <c r="I16" s="1529">
        <v>31.607424030000001</v>
      </c>
      <c r="J16" s="1529">
        <v>35.531944045444185</v>
      </c>
      <c r="K16" s="1518">
        <v>40.317772790000006</v>
      </c>
      <c r="L16" s="1518">
        <v>38.670314359999999</v>
      </c>
      <c r="M16" s="1518">
        <v>43.922087980000001</v>
      </c>
      <c r="N16" s="1518">
        <v>49.432145600090159</v>
      </c>
      <c r="O16" s="1518">
        <v>48.125784080000003</v>
      </c>
      <c r="P16" s="1518">
        <v>47.028013712866674</v>
      </c>
      <c r="Q16" s="1518">
        <v>44.716279150000005</v>
      </c>
      <c r="R16" s="1518">
        <v>48.123029987306417</v>
      </c>
      <c r="S16" s="1518">
        <v>46.897248810000001</v>
      </c>
      <c r="T16" s="1518">
        <v>45.433522190000005</v>
      </c>
      <c r="U16" s="1518">
        <v>49.801117999999995</v>
      </c>
      <c r="V16" s="1518">
        <v>49.290661420000006</v>
      </c>
      <c r="W16" s="1519">
        <f>Waterfall!G51-W17</f>
        <v>38.856991586746418</v>
      </c>
      <c r="X16" s="1520">
        <f>Waterfall!H51-X17</f>
        <v>37.948306606746414</v>
      </c>
      <c r="Y16" s="1520">
        <f>Waterfall!I51-Y17</f>
        <v>41.696378276746415</v>
      </c>
      <c r="Z16" s="1521">
        <f>Waterfall!J51-Z17</f>
        <v>41.013944006746414</v>
      </c>
      <c r="AA16" s="1519">
        <f ca="1">Waterfall!K51-AA17</f>
        <v>40.622801710190231</v>
      </c>
      <c r="AB16" s="1520">
        <f ca="1">Waterfall!L51-AB17</f>
        <v>43.623798510190227</v>
      </c>
      <c r="AC16" s="1520">
        <f ca="1">Waterfall!M51-AC17</f>
        <v>41.344001070190231</v>
      </c>
      <c r="AD16" s="1521">
        <f ca="1">Waterfall!N51-AD17</f>
        <v>43.881986900190228</v>
      </c>
      <c r="AE16" s="1522">
        <f>Waterfall!O51-AE17</f>
        <v>32.935130399999998</v>
      </c>
      <c r="AF16" s="1523">
        <f>Waterfall!P51-AF17</f>
        <v>47.492727049999999</v>
      </c>
      <c r="AG16" s="1523">
        <f>Waterfall!Q51-AG17</f>
        <v>15.53888379</v>
      </c>
      <c r="AH16" s="1524">
        <f>Waterfall!R51-AH17</f>
        <v>5.1796279300000005</v>
      </c>
      <c r="AI16" s="1522">
        <f ca="1">Waterfall!S51-AI17</f>
        <v>4.4344924789810021</v>
      </c>
      <c r="AJ16" s="1523">
        <f ca="1">Waterfall!T51-AJ17</f>
        <v>44.734106664491506</v>
      </c>
      <c r="AK16" s="1523">
        <f ca="1">Waterfall!U51-AK17</f>
        <v>10.897615921626134</v>
      </c>
      <c r="AL16" s="1524">
        <f ca="1">Waterfall!V51-AL17</f>
        <v>5.4025036906040809</v>
      </c>
      <c r="AM16" s="1522">
        <f ca="1">Waterfall!W51-AM17</f>
        <v>45.710835700017235</v>
      </c>
      <c r="AN16" s="1523">
        <f ca="1">Waterfall!X51-AN17</f>
        <v>45.710835700017235</v>
      </c>
      <c r="AO16" s="1523">
        <f ca="1">Waterfall!Y51-AO17</f>
        <v>45.710835700017235</v>
      </c>
      <c r="AP16" s="1524">
        <f ca="1">Waterfall!Z51-AP17</f>
        <v>45.710835700017235</v>
      </c>
      <c r="AQ16" s="1522">
        <f ca="1">Waterfall!AA51-AQ17</f>
        <v>24.933373450699712</v>
      </c>
      <c r="AR16" s="1523">
        <f ca="1">Waterfall!AB51-AR17</f>
        <v>46.12929705953335</v>
      </c>
      <c r="AS16" s="1523">
        <f ca="1">Waterfall!AC51-AS17</f>
        <v>46.12929705953335</v>
      </c>
      <c r="AT16" s="1524">
        <f ca="1">Waterfall!AD51-AT17</f>
        <v>46.12929705953335</v>
      </c>
      <c r="AU16" s="1522">
        <f ca="1">Waterfall!AE51-AU17</f>
        <v>4.2833849409077844</v>
      </c>
      <c r="AV16" s="1523">
        <f ca="1">Waterfall!AF51-AV17</f>
        <v>47.219875643557813</v>
      </c>
      <c r="AW16" s="1523">
        <f ca="1">Waterfall!AG51-AW17</f>
        <v>0</v>
      </c>
      <c r="AX16" s="1524">
        <f ca="1">Waterfall!AH51-AX17</f>
        <v>2.7765803456271252</v>
      </c>
      <c r="AY16" s="1522">
        <f ca="1">Waterfall!AI51-AY17</f>
        <v>19.358777903194476</v>
      </c>
      <c r="AZ16" s="1523">
        <f ca="1">Waterfall!AJ51-AZ17</f>
        <v>20.697867996007922</v>
      </c>
      <c r="BA16" s="1523">
        <f ca="1">Waterfall!AK51-BA17</f>
        <v>15.016950703478393</v>
      </c>
      <c r="BB16" s="1524">
        <f ca="1">Waterfall!AL51-BB17</f>
        <v>26.639979661007921</v>
      </c>
      <c r="BC16" s="1522">
        <f ca="1">Waterfall!AM51-BC17</f>
        <v>48.613971842639081</v>
      </c>
      <c r="BD16" s="1523">
        <f ca="1">Waterfall!AN51-BD17</f>
        <v>48.613971842639081</v>
      </c>
      <c r="BE16" s="1523">
        <f ca="1">Waterfall!AO51-BE17</f>
        <v>48.613971842639081</v>
      </c>
      <c r="BF16" s="1524">
        <f ca="1">Waterfall!AP51-BF17</f>
        <v>48.613971842639081</v>
      </c>
      <c r="BG16" s="1522">
        <f ca="1">Waterfall!AQ51-BG17</f>
        <v>50.087930383989182</v>
      </c>
      <c r="BH16" s="1523">
        <f ca="1">Waterfall!AR51-BH17</f>
        <v>50.087930383989182</v>
      </c>
      <c r="BI16" s="1523">
        <f ca="1">Waterfall!AS51-BI17</f>
        <v>50.087930383989182</v>
      </c>
      <c r="BJ16" s="1524">
        <f ca="1">Waterfall!AT51-BJ17</f>
        <v>50.087930383989182</v>
      </c>
      <c r="BK16" s="1522">
        <f ca="1">Waterfall!AU51-BK17</f>
        <v>51.242281949127893</v>
      </c>
      <c r="BL16" s="1523">
        <f ca="1">Waterfall!AV51-BL17</f>
        <v>51.242281949127893</v>
      </c>
      <c r="BM16" s="1523">
        <f ca="1">Waterfall!AW51-BM17</f>
        <v>51.242281949127893</v>
      </c>
      <c r="BN16" s="1524">
        <f ca="1">Waterfall!AX51-BN17</f>
        <v>51.242281949127893</v>
      </c>
      <c r="BO16" s="1522">
        <f ca="1">Waterfall!AY51-BO17</f>
        <v>52.165659706216118</v>
      </c>
      <c r="BP16" s="1523">
        <f ca="1">Waterfall!AZ51-BP17</f>
        <v>52.165659706216118</v>
      </c>
      <c r="BQ16" s="1523">
        <f ca="1">Waterfall!BA51-BQ17</f>
        <v>52.165659706216118</v>
      </c>
      <c r="BR16" s="1524">
        <f ca="1">Waterfall!BB51-BR17</f>
        <v>52.165659706216118</v>
      </c>
      <c r="BS16" s="1522">
        <f ca="1">Waterfall!BC51-BS17</f>
        <v>53.38112248888261</v>
      </c>
      <c r="BT16" s="1523">
        <f ca="1">Waterfall!BD51-BT17</f>
        <v>53.38112248888261</v>
      </c>
      <c r="BU16" s="1523">
        <f ca="1">Waterfall!BE51-BU17</f>
        <v>53.38112248888261</v>
      </c>
      <c r="BV16" s="1524">
        <f ca="1">Waterfall!BF51-BV17</f>
        <v>53.38112248888261</v>
      </c>
      <c r="BW16" s="1522">
        <f ca="1">Waterfall!BG51-BW17</f>
        <v>54.285825793022127</v>
      </c>
      <c r="BX16" s="1523">
        <f ca="1">Waterfall!BH51-BX17</f>
        <v>54.285825793022127</v>
      </c>
      <c r="BY16" s="1523">
        <f ca="1">Waterfall!BI51-BY17</f>
        <v>54.285825793022127</v>
      </c>
      <c r="BZ16" s="1524">
        <f ca="1">Waterfall!BJ51-BZ17</f>
        <v>54.285825793022127</v>
      </c>
      <c r="CA16" s="1522">
        <f ca="1">Waterfall!BK51-CA17</f>
        <v>55.52883173070424</v>
      </c>
      <c r="CB16" s="1523">
        <f ca="1">Waterfall!BL51-CB17</f>
        <v>55.52883173070424</v>
      </c>
      <c r="CC16" s="1523">
        <f ca="1">Waterfall!BM51-CC17</f>
        <v>55.52883173070424</v>
      </c>
      <c r="CD16" s="1524">
        <f ca="1">Waterfall!BN51-CD17</f>
        <v>55.52883173070424</v>
      </c>
      <c r="CE16" s="1522">
        <f ca="1">Waterfall!BO51-CE17</f>
        <v>55.744779608545272</v>
      </c>
      <c r="CF16" s="1523">
        <f ca="1">Waterfall!BP51-CF17</f>
        <v>55.744779608545272</v>
      </c>
      <c r="CG16" s="1523">
        <f ca="1">Waterfall!BQ51-CG17</f>
        <v>55.744779608545272</v>
      </c>
      <c r="CH16" s="1524">
        <f ca="1">Waterfall!BR51-CH17</f>
        <v>55.744779608545272</v>
      </c>
      <c r="CI16" s="1522">
        <f ca="1">Waterfall!BS51-CI17</f>
        <v>56.697026684238899</v>
      </c>
      <c r="CJ16" s="1523">
        <f ca="1">Waterfall!BT51-CJ17</f>
        <v>56.697026684238899</v>
      </c>
      <c r="CK16" s="1523">
        <f ca="1">Waterfall!BU51-CK17</f>
        <v>56.697026684238899</v>
      </c>
      <c r="CL16" s="1524">
        <f ca="1">Waterfall!BV51-CL17</f>
        <v>56.697026684238899</v>
      </c>
      <c r="CM16" s="1522">
        <f ca="1">Waterfall!BW51-CM17</f>
        <v>57.159978576553627</v>
      </c>
      <c r="CN16" s="1523">
        <f ca="1">Waterfall!BX51-CN17</f>
        <v>57.159978576553627</v>
      </c>
      <c r="CO16" s="1523">
        <f ca="1">Waterfall!BY51-CO17</f>
        <v>57.159978576553627</v>
      </c>
      <c r="CP16" s="1524">
        <f ca="1">Waterfall!BZ51-CP17</f>
        <v>57.159978576553627</v>
      </c>
      <c r="CQ16" s="1522">
        <f ca="1">Waterfall!CA51-CQ17</f>
        <v>58.350598222149607</v>
      </c>
      <c r="CR16" s="1523">
        <f ca="1">Waterfall!CB51-CR17</f>
        <v>58.350598222149607</v>
      </c>
      <c r="CS16" s="1523">
        <f ca="1">Waterfall!CC51-CS17</f>
        <v>58.350598222149607</v>
      </c>
      <c r="CT16" s="1524">
        <f ca="1">Waterfall!CD51-CT17</f>
        <v>58.350598222149607</v>
      </c>
      <c r="CU16" s="1522">
        <f ca="1">Waterfall!CE51-CU17</f>
        <v>59.02873885116329</v>
      </c>
      <c r="CV16" s="1523">
        <f ca="1">Waterfall!CF51-CV17</f>
        <v>59.02873885116329</v>
      </c>
      <c r="CW16" s="1523">
        <f ca="1">Waterfall!CG51-CW17</f>
        <v>59.02873885116329</v>
      </c>
      <c r="CX16" s="1524">
        <f ca="1">Waterfall!CH51-CX17</f>
        <v>59.02873885116329</v>
      </c>
      <c r="CY16" s="1522">
        <f ca="1">Waterfall!CI51-CY17</f>
        <v>60.009687562500318</v>
      </c>
      <c r="CZ16" s="1523">
        <f ca="1">Waterfall!CJ51-CZ17</f>
        <v>60.009687562500318</v>
      </c>
      <c r="DA16" s="1523">
        <f ca="1">Waterfall!CK51-DA17</f>
        <v>60.009687562500318</v>
      </c>
      <c r="DB16" s="1524">
        <f ca="1">Waterfall!CL51-DB17</f>
        <v>60.009687562500318</v>
      </c>
      <c r="DC16" s="1522">
        <f ca="1">Waterfall!CM51-DC17</f>
        <v>60.882081103269336</v>
      </c>
      <c r="DD16" s="1523">
        <f ca="1">Waterfall!CN51-DD17</f>
        <v>60.882081103269336</v>
      </c>
      <c r="DE16" s="1523">
        <f ca="1">Waterfall!CO51-DE17</f>
        <v>60.882081103269336</v>
      </c>
      <c r="DF16" s="1524">
        <f ca="1">Waterfall!CP51-DF17</f>
        <v>60.882081103269336</v>
      </c>
      <c r="DG16" s="1522">
        <f ca="1">Waterfall!CQ51-DG17</f>
        <v>62.039450553550331</v>
      </c>
      <c r="DH16" s="1523">
        <f ca="1">Waterfall!CR51-DH17</f>
        <v>62.039450553550331</v>
      </c>
      <c r="DI16" s="1523">
        <f ca="1">Waterfall!CS51-DI17</f>
        <v>62.039450553550331</v>
      </c>
      <c r="DJ16" s="1524">
        <f ca="1">Waterfall!CT51-DJ17</f>
        <v>62.039450553550331</v>
      </c>
      <c r="DK16" s="1522">
        <f ca="1">Waterfall!CU51-DK17</f>
        <v>62.493148339191734</v>
      </c>
      <c r="DL16" s="1523">
        <f ca="1">Waterfall!CV51-DL17</f>
        <v>62.493148339191734</v>
      </c>
      <c r="DM16" s="1523">
        <f ca="1">Waterfall!CW51-DM17</f>
        <v>62.493148339191734</v>
      </c>
      <c r="DN16" s="1524">
        <f ca="1">Waterfall!CX51-DN17</f>
        <v>62.493148339191734</v>
      </c>
      <c r="DO16" s="1522">
        <f ca="1">Waterfall!CY51-DO17</f>
        <v>63.743685075291737</v>
      </c>
      <c r="DP16" s="1523">
        <f ca="1">Waterfall!CZ51-DP17</f>
        <v>63.743685075291737</v>
      </c>
      <c r="DQ16" s="1523">
        <f ca="1">Waterfall!DA51-DQ17</f>
        <v>63.743685075291737</v>
      </c>
      <c r="DR16" s="1524">
        <f ca="1">Waterfall!DB51-DR17</f>
        <v>63.743685075291737</v>
      </c>
      <c r="DS16" s="1522">
        <f ca="1">Waterfall!DC51-DS17</f>
        <v>63.905603951677527</v>
      </c>
      <c r="DT16" s="1523">
        <f ca="1">Waterfall!DD51-DT17</f>
        <v>63.905603951677527</v>
      </c>
      <c r="DU16" s="1523">
        <f ca="1">Waterfall!DE51-DU17</f>
        <v>63.905603951677527</v>
      </c>
      <c r="DV16" s="1524">
        <f ca="1">Waterfall!DF51-DV17</f>
        <v>63.905603951677527</v>
      </c>
      <c r="DW16" s="1522">
        <f ca="1">Waterfall!DG51-DW17</f>
        <v>65.409352409565727</v>
      </c>
      <c r="DX16" s="1523">
        <f ca="1">Waterfall!DH51-DX17</f>
        <v>65.409352409565727</v>
      </c>
      <c r="DY16" s="1523">
        <f ca="1">Waterfall!DI51-DY17</f>
        <v>65.409352409565727</v>
      </c>
      <c r="DZ16" s="1524">
        <f ca="1">Waterfall!DJ51-DZ17</f>
        <v>65.409352409565727</v>
      </c>
      <c r="EA16" s="1522">
        <f ca="1">Waterfall!DK51-EA17</f>
        <v>65.836210154236454</v>
      </c>
      <c r="EB16" s="1523">
        <f ca="1">Waterfall!DL51-EB17</f>
        <v>65.836210154236454</v>
      </c>
      <c r="EC16" s="1523">
        <f ca="1">Waterfall!DM51-EC17</f>
        <v>65.836210154236454</v>
      </c>
      <c r="ED16" s="1524">
        <f ca="1">Waterfall!DN51-ED17</f>
        <v>65.836210154236454</v>
      </c>
      <c r="EE16" s="1522">
        <f ca="1">Waterfall!DO51-EE17</f>
        <v>66.846407391125922</v>
      </c>
      <c r="EF16" s="1523">
        <f ca="1">Waterfall!DP51-EF17</f>
        <v>66.846407391125922</v>
      </c>
      <c r="EG16" s="1523">
        <f ca="1">Waterfall!DQ51-EG17</f>
        <v>66.846407391125922</v>
      </c>
      <c r="EH16" s="1524">
        <f ca="1">Waterfall!DR51-EH17</f>
        <v>66.846407391125922</v>
      </c>
      <c r="EI16" s="1522">
        <f ca="1">Waterfall!DS51-EI17</f>
        <v>68.758164293048154</v>
      </c>
      <c r="EJ16" s="1523">
        <f ca="1">Waterfall!DT51-EJ17</f>
        <v>68.758164293048154</v>
      </c>
      <c r="EK16" s="1523">
        <f ca="1">Waterfall!DU51-EK17</f>
        <v>68.758164293048154</v>
      </c>
      <c r="EL16" s="1524">
        <f ca="1">Waterfall!DV51-EL17</f>
        <v>68.758164293048154</v>
      </c>
      <c r="EM16" s="1522">
        <f ca="1">Waterfall!DW51-EM17</f>
        <v>70.752769178512864</v>
      </c>
      <c r="EN16" s="1523">
        <f ca="1">Waterfall!DX51-EN17</f>
        <v>70.752769178512864</v>
      </c>
      <c r="EO16" s="1523">
        <f ca="1">Waterfall!DY51-EO17</f>
        <v>70.752769178512864</v>
      </c>
      <c r="EP16" s="1524">
        <f ca="1">Waterfall!DZ51-EP17</f>
        <v>70.752769178512864</v>
      </c>
      <c r="EQ16" s="1522">
        <f ca="1">Waterfall!EA51-EQ17</f>
        <v>71.817712705066725</v>
      </c>
      <c r="ER16" s="1523">
        <f ca="1">Waterfall!EB51-ER17</f>
        <v>71.817712705066725</v>
      </c>
      <c r="ES16" s="1523">
        <f ca="1">Waterfall!EC51-ES17</f>
        <v>71.817712705066725</v>
      </c>
      <c r="ET16" s="1524">
        <f ca="1">Waterfall!ED51-ET17</f>
        <v>71.817712705066725</v>
      </c>
      <c r="EU16" s="1522">
        <f ca="1">Waterfall!EE51-EU17</f>
        <v>73.187798286053109</v>
      </c>
      <c r="EV16" s="1523">
        <f ca="1">Waterfall!EF51-EV17</f>
        <v>73.187798286053109</v>
      </c>
      <c r="EW16" s="1523">
        <f ca="1">Waterfall!EG51-EW17</f>
        <v>73.187798286053109</v>
      </c>
      <c r="EX16" s="1524">
        <f ca="1">Waterfall!EH51-EX17</f>
        <v>73.187798286053109</v>
      </c>
      <c r="EY16" s="1522">
        <f ca="1">Waterfall!EI51-EY17</f>
        <v>74.183710496851958</v>
      </c>
      <c r="EZ16" s="1523">
        <f ca="1">Waterfall!EJ51-EZ17</f>
        <v>74.183710496851958</v>
      </c>
      <c r="FA16" s="1523">
        <f ca="1">Waterfall!EK51-FA17</f>
        <v>74.183710496851958</v>
      </c>
      <c r="FB16" s="1524">
        <f ca="1">Waterfall!EL51-FB17</f>
        <v>74.183710496851958</v>
      </c>
      <c r="FC16" s="1522">
        <f ca="1">Waterfall!EM51-FC17</f>
        <v>75.644275098251399</v>
      </c>
      <c r="FD16" s="1523">
        <f ca="1">Waterfall!EN51-FD17</f>
        <v>75.644275098251399</v>
      </c>
      <c r="FE16" s="1523">
        <f ca="1">Waterfall!EO51-FE17</f>
        <v>75.644275098251399</v>
      </c>
      <c r="FF16" s="1524">
        <f ca="1">Waterfall!EP51-FF17</f>
        <v>75.644275098251399</v>
      </c>
      <c r="FG16" s="1522">
        <f ca="1">Waterfall!EQ51-FG17</f>
        <v>76.159612494017551</v>
      </c>
      <c r="FH16" s="1523">
        <f ca="1">Waterfall!ER51-FH17</f>
        <v>76.159612494017551</v>
      </c>
      <c r="FI16" s="1523">
        <f ca="1">Waterfall!ES51-FI17</f>
        <v>76.159612494017551</v>
      </c>
      <c r="FJ16" s="1524">
        <f ca="1">Waterfall!ET51-FJ17</f>
        <v>76.159612494017551</v>
      </c>
      <c r="FK16" s="1522">
        <f ca="1">Waterfall!EU51-FK17</f>
        <v>77.735156209693059</v>
      </c>
      <c r="FL16" s="1523">
        <f ca="1">Waterfall!EV51-FL17</f>
        <v>77.735156209693059</v>
      </c>
      <c r="FM16" s="1523">
        <f ca="1">Waterfall!EW51-FM17</f>
        <v>77.735156209693059</v>
      </c>
      <c r="FN16" s="1524">
        <f ca="1">Waterfall!EX51-FN17</f>
        <v>77.735156209693059</v>
      </c>
      <c r="FO16" s="1522">
        <f ca="1">Waterfall!EY51-FO17</f>
        <v>78.156217314820267</v>
      </c>
      <c r="FP16" s="1523">
        <f ca="1">Waterfall!EZ51-FP17</f>
        <v>78.156217314820267</v>
      </c>
      <c r="FQ16" s="1523">
        <f ca="1">Waterfall!FA51-FQ17</f>
        <v>78.156217314820267</v>
      </c>
      <c r="FR16" s="1524">
        <f ca="1">Waterfall!FB51-FR17</f>
        <v>78.156217314820267</v>
      </c>
      <c r="FS16" s="1522">
        <f ca="1">Waterfall!FC51-FS17</f>
        <v>79.825537386902013</v>
      </c>
      <c r="FT16" s="1523">
        <f ca="1">Waterfall!FD51-FT17</f>
        <v>79.825537386902013</v>
      </c>
      <c r="FU16" s="1523">
        <f ca="1">Waterfall!FE51-FU17</f>
        <v>79.825537386902013</v>
      </c>
      <c r="FV16" s="1524">
        <f ca="1">Waterfall!FF51-FV17</f>
        <v>79.825537386902013</v>
      </c>
      <c r="FW16" s="1522">
        <f ca="1">Waterfall!FG51-FW17</f>
        <v>82.027578048610167</v>
      </c>
      <c r="FX16" s="1523">
        <f ca="1">Waterfall!FH51-FX17</f>
        <v>82.027578048610167</v>
      </c>
      <c r="FY16" s="1523">
        <f ca="1">Waterfall!FI51-FY17</f>
        <v>82.027578048610167</v>
      </c>
      <c r="FZ16" s="1524">
        <f ca="1">Waterfall!FJ51-FZ17</f>
        <v>82.027578048610167</v>
      </c>
      <c r="GA16" s="1522">
        <f ca="1">Waterfall!FK51-GA17</f>
        <v>83.274484385139132</v>
      </c>
      <c r="GB16" s="1523">
        <f ca="1">Waterfall!FL51-GB17</f>
        <v>83.274484385139132</v>
      </c>
      <c r="GC16" s="1523">
        <f ca="1">Waterfall!FM51-GC17</f>
        <v>0</v>
      </c>
      <c r="GD16" s="1524">
        <f ca="1">Waterfall!FN51-GD17</f>
        <v>0</v>
      </c>
      <c r="GE16" s="1508"/>
      <c r="GF16" s="1509"/>
      <c r="GG16" s="1509"/>
      <c r="GH16" s="1509"/>
      <c r="GI16" s="1509"/>
      <c r="GJ16" s="1509"/>
      <c r="GK16" s="1509"/>
      <c r="GL16" s="1509"/>
      <c r="GM16" s="1509"/>
      <c r="GN16" s="1509"/>
      <c r="GO16" s="1509"/>
      <c r="GP16" s="1509"/>
      <c r="GQ16" s="1509"/>
      <c r="GR16" s="1509"/>
      <c r="GS16" s="1509"/>
      <c r="GT16" s="1509"/>
    </row>
    <row r="17" spans="1:202" ht="17.100000000000001" customHeight="1">
      <c r="B17" s="307"/>
      <c r="C17" s="489" t="s">
        <v>5131</v>
      </c>
      <c r="D17" s="331"/>
      <c r="E17" s="5116"/>
      <c r="F17" s="1517">
        <f ca="1">SUM(AE17:GT17)</f>
        <v>1302.184729891685</v>
      </c>
      <c r="G17" s="1529"/>
      <c r="H17" s="1529"/>
      <c r="I17" s="1529"/>
      <c r="J17" s="1529"/>
      <c r="K17" s="1518"/>
      <c r="L17" s="1518"/>
      <c r="M17" s="1518"/>
      <c r="N17" s="1518"/>
      <c r="O17" s="1518"/>
      <c r="P17" s="1518"/>
      <c r="Q17" s="1518"/>
      <c r="R17" s="1518"/>
      <c r="S17" s="1518"/>
      <c r="T17" s="1518"/>
      <c r="U17" s="1518"/>
      <c r="V17" s="1518"/>
      <c r="W17" s="1519">
        <f>MIN(Waterfall!G48,Waterfall!G51)</f>
        <v>9.1371067732535884</v>
      </c>
      <c r="X17" s="1520">
        <f>MIN(Waterfall!H48,Waterfall!H51)</f>
        <v>9.1371067732535884</v>
      </c>
      <c r="Y17" s="1520">
        <f>MIN(Waterfall!I48,Waterfall!I51)</f>
        <v>9.1371067732535884</v>
      </c>
      <c r="Z17" s="1521">
        <f>MIN(Waterfall!J48,Waterfall!J51)</f>
        <v>9.1371067732535884</v>
      </c>
      <c r="AA17" s="1519">
        <f ca="1">MIN(Waterfall!K48,Waterfall!K51)</f>
        <v>9.4939950598097731</v>
      </c>
      <c r="AB17" s="1520">
        <f ca="1">MIN(Waterfall!L48,Waterfall!L51)</f>
        <v>9.4939950598097731</v>
      </c>
      <c r="AC17" s="1520">
        <f ca="1">MIN(Waterfall!M48,Waterfall!M51)</f>
        <v>9.4939950598097731</v>
      </c>
      <c r="AD17" s="1521">
        <f ca="1">MIN(Waterfall!N48,Waterfall!N51)</f>
        <v>9.4939950598097731</v>
      </c>
      <c r="AE17" s="1522">
        <f>MIN(Waterfall!O48,Waterfall!O51)</f>
        <v>6.0069686000000004</v>
      </c>
      <c r="AF17" s="1523">
        <f>MIN(Waterfall!P48,Waterfall!P51)</f>
        <v>13.774487990000001</v>
      </c>
      <c r="AG17" s="1523">
        <f>MIN(Waterfall!Q48,Waterfall!Q51)</f>
        <v>5.2426435600000003</v>
      </c>
      <c r="AH17" s="1524">
        <f>MIN(Waterfall!R48,Waterfall!R51)</f>
        <v>5.61547017</v>
      </c>
      <c r="AI17" s="1522">
        <f ca="1">MIN(Waterfall!S48,Waterfall!S51)</f>
        <v>6.4513162030627358</v>
      </c>
      <c r="AJ17" s="1523">
        <f ca="1">MIN(Waterfall!T48,Waterfall!T51)</f>
        <v>6.4513162030627358</v>
      </c>
      <c r="AK17" s="1523">
        <f ca="1">MIN(Waterfall!U48,Waterfall!U51)</f>
        <v>6.4513162030627358</v>
      </c>
      <c r="AL17" s="1524">
        <f ca="1">MIN(Waterfall!V48,Waterfall!V51)</f>
        <v>6.4513162030627358</v>
      </c>
      <c r="AM17" s="1522">
        <f ca="1">MIN(Waterfall!W48,Waterfall!W51)</f>
        <v>6.4881114781145213</v>
      </c>
      <c r="AN17" s="1523">
        <f ca="1">MIN(Waterfall!X48,Waterfall!X51)</f>
        <v>6.4881114781145213</v>
      </c>
      <c r="AO17" s="1523">
        <f ca="1">MIN(Waterfall!Y48,Waterfall!Y51)</f>
        <v>6.4881114781145213</v>
      </c>
      <c r="AP17" s="1524">
        <f ca="1">MIN(Waterfall!Z48,Waterfall!Z51)</f>
        <v>6.4881114781145213</v>
      </c>
      <c r="AQ17" s="1522">
        <f ca="1">MIN(Waterfall!AA48,Waterfall!AA51)</f>
        <v>6.8257440802268405</v>
      </c>
      <c r="AR17" s="1523">
        <f ca="1">MIN(Waterfall!AB48,Waterfall!AB51)</f>
        <v>6.8257440802268405</v>
      </c>
      <c r="AS17" s="1523">
        <f ca="1">MIN(Waterfall!AC48,Waterfall!AC51)</f>
        <v>6.8257440802268405</v>
      </c>
      <c r="AT17" s="1524">
        <f ca="1">MIN(Waterfall!AD48,Waterfall!AD51)</f>
        <v>6.8257440802268405</v>
      </c>
      <c r="AU17" s="1522">
        <f ca="1">MIN(Waterfall!AE48,Waterfall!AE51)</f>
        <v>6.7220773155208979</v>
      </c>
      <c r="AV17" s="1523">
        <f ca="1">MIN(Waterfall!AF48,Waterfall!AF51)</f>
        <v>6.7220773155208979</v>
      </c>
      <c r="AW17" s="1523">
        <f ca="1">MIN(Waterfall!AG48,Waterfall!AG51)</f>
        <v>5.0303887482957208</v>
      </c>
      <c r="AX17" s="1524">
        <f ca="1">MIN(Waterfall!AH48,Waterfall!AH51)</f>
        <v>6.7220773155208979</v>
      </c>
      <c r="AY17" s="1522">
        <f ca="1">MIN(Waterfall!AI48,Waterfall!AI51)</f>
        <v>6.9770012200193738</v>
      </c>
      <c r="AZ17" s="1523">
        <f ca="1">MIN(Waterfall!AJ48,Waterfall!AJ51)</f>
        <v>6.9770012200193738</v>
      </c>
      <c r="BA17" s="1523">
        <f ca="1">MIN(Waterfall!AK48,Waterfall!AK51)</f>
        <v>6.9770012200193738</v>
      </c>
      <c r="BB17" s="1524">
        <f ca="1">MIN(Waterfall!AL48,Waterfall!AL51)</f>
        <v>6.9770012200193738</v>
      </c>
      <c r="BC17" s="1522">
        <f ca="1">MIN(Waterfall!AM48,Waterfall!AM51)</f>
        <v>7.0333578932153502</v>
      </c>
      <c r="BD17" s="1523">
        <f ca="1">MIN(Waterfall!AN48,Waterfall!AN51)</f>
        <v>7.0333578932153502</v>
      </c>
      <c r="BE17" s="1523">
        <f ca="1">MIN(Waterfall!AO48,Waterfall!AO51)</f>
        <v>7.0333578932153502</v>
      </c>
      <c r="BF17" s="1524">
        <f ca="1">MIN(Waterfall!AP48,Waterfall!AP51)</f>
        <v>7.0333578932153502</v>
      </c>
      <c r="BG17" s="1522">
        <f ca="1">MIN(Waterfall!AQ48,Waterfall!AQ51)</f>
        <v>7.2047215449260831</v>
      </c>
      <c r="BH17" s="1523">
        <f ca="1">MIN(Waterfall!AR48,Waterfall!AR51)</f>
        <v>7.2047215449260831</v>
      </c>
      <c r="BI17" s="1523">
        <f ca="1">MIN(Waterfall!AS48,Waterfall!AS51)</f>
        <v>7.2047215449260831</v>
      </c>
      <c r="BJ17" s="1524">
        <f ca="1">MIN(Waterfall!AT48,Waterfall!AT51)</f>
        <v>7.2047215449260831</v>
      </c>
      <c r="BK17" s="1522">
        <f ca="1">MIN(Waterfall!AU48,Waterfall!AU51)</f>
        <v>7.466822524285492</v>
      </c>
      <c r="BL17" s="1523">
        <f ca="1">MIN(Waterfall!AV48,Waterfall!AV51)</f>
        <v>7.466822524285492</v>
      </c>
      <c r="BM17" s="1523">
        <f ca="1">MIN(Waterfall!AW48,Waterfall!AW51)</f>
        <v>7.466822524285492</v>
      </c>
      <c r="BN17" s="1524">
        <f ca="1">MIN(Waterfall!AX48,Waterfall!AX51)</f>
        <v>7.466822524285492</v>
      </c>
      <c r="BO17" s="1522">
        <f ca="1">MIN(Waterfall!AY48,Waterfall!AY51)</f>
        <v>7.349799948110423</v>
      </c>
      <c r="BP17" s="1523">
        <f ca="1">MIN(Waterfall!AZ48,Waterfall!AZ51)</f>
        <v>7.349799948110423</v>
      </c>
      <c r="BQ17" s="1523">
        <f ca="1">MIN(Waterfall!BA48,Waterfall!BA51)</f>
        <v>7.349799948110423</v>
      </c>
      <c r="BR17" s="1524">
        <f ca="1">MIN(Waterfall!BB48,Waterfall!BB51)</f>
        <v>7.349799948110423</v>
      </c>
      <c r="BS17" s="1522">
        <f ca="1">MIN(Waterfall!BC48,Waterfall!BC51)</f>
        <v>7.1887082108596108</v>
      </c>
      <c r="BT17" s="1523">
        <f ca="1">MIN(Waterfall!BD48,Waterfall!BD51)</f>
        <v>7.1887082108596108</v>
      </c>
      <c r="BU17" s="1523">
        <f ca="1">MIN(Waterfall!BE48,Waterfall!BE51)</f>
        <v>7.1887082108596108</v>
      </c>
      <c r="BV17" s="1524">
        <f ca="1">MIN(Waterfall!BF48,Waterfall!BF51)</f>
        <v>7.1887082108596108</v>
      </c>
      <c r="BW17" s="1522">
        <f ca="1">MIN(Waterfall!BG48,Waterfall!BG51)</f>
        <v>7.3290472284396913</v>
      </c>
      <c r="BX17" s="1523">
        <f ca="1">MIN(Waterfall!BH48,Waterfall!BH51)</f>
        <v>7.3290472284396913</v>
      </c>
      <c r="BY17" s="1523">
        <f ca="1">MIN(Waterfall!BI48,Waterfall!BI51)</f>
        <v>7.3290472284396913</v>
      </c>
      <c r="BZ17" s="1524">
        <f ca="1">MIN(Waterfall!BJ48,Waterfall!BJ51)</f>
        <v>7.3290472284396913</v>
      </c>
      <c r="CA17" s="1522">
        <f ca="1">MIN(Waterfall!BK48,Waterfall!BK51)</f>
        <v>7.2780225496753106</v>
      </c>
      <c r="CB17" s="1523">
        <f ca="1">MIN(Waterfall!BL48,Waterfall!BL51)</f>
        <v>7.2780225496753106</v>
      </c>
      <c r="CC17" s="1523">
        <f ca="1">MIN(Waterfall!BM48,Waterfall!BM51)</f>
        <v>7.2780225496753106</v>
      </c>
      <c r="CD17" s="1524">
        <f ca="1">MIN(Waterfall!BN48,Waterfall!BN51)</f>
        <v>7.2780225496753106</v>
      </c>
      <c r="CE17" s="1522">
        <f ca="1">MIN(Waterfall!BO48,Waterfall!BO51)</f>
        <v>7.6099767395955205</v>
      </c>
      <c r="CF17" s="1523">
        <f ca="1">MIN(Waterfall!BP48,Waterfall!BP51)</f>
        <v>7.6099767395955205</v>
      </c>
      <c r="CG17" s="1523">
        <f ca="1">MIN(Waterfall!BQ48,Waterfall!BQ51)</f>
        <v>7.6099767395955205</v>
      </c>
      <c r="CH17" s="1524">
        <f ca="1">MIN(Waterfall!BR48,Waterfall!BR51)</f>
        <v>7.6099767395955205</v>
      </c>
      <c r="CI17" s="1522">
        <f ca="1">MIN(Waterfall!BS48,Waterfall!BS51)</f>
        <v>7.7501396440267216</v>
      </c>
      <c r="CJ17" s="1523">
        <f ca="1">MIN(Waterfall!BT48,Waterfall!BT51)</f>
        <v>7.7501396440267216</v>
      </c>
      <c r="CK17" s="1523">
        <f ca="1">MIN(Waterfall!BU48,Waterfall!BU51)</f>
        <v>7.7501396440267216</v>
      </c>
      <c r="CL17" s="1524">
        <f ca="1">MIN(Waterfall!BV48,Waterfall!BV51)</f>
        <v>7.7501396440267216</v>
      </c>
      <c r="CM17" s="1522">
        <f ca="1">MIN(Waterfall!BW48,Waterfall!BW51)</f>
        <v>7.9357785155172955</v>
      </c>
      <c r="CN17" s="1523">
        <f ca="1">MIN(Waterfall!BX48,Waterfall!BX51)</f>
        <v>7.9357785155172955</v>
      </c>
      <c r="CO17" s="1523">
        <f ca="1">MIN(Waterfall!BY48,Waterfall!BY51)</f>
        <v>7.9357785155172955</v>
      </c>
      <c r="CP17" s="1524">
        <f ca="1">MIN(Waterfall!BZ48,Waterfall!BZ51)</f>
        <v>7.9357785155172955</v>
      </c>
      <c r="CQ17" s="1522">
        <f ca="1">MIN(Waterfall!CA48,Waterfall!CA51)</f>
        <v>7.8830025076324741</v>
      </c>
      <c r="CR17" s="1523">
        <f ca="1">MIN(Waterfall!CB48,Waterfall!CB51)</f>
        <v>7.8830025076324741</v>
      </c>
      <c r="CS17" s="1523">
        <f ca="1">MIN(Waterfall!CC48,Waterfall!CC51)</f>
        <v>7.8830025076324741</v>
      </c>
      <c r="CT17" s="1524">
        <f ca="1">MIN(Waterfall!CD48,Waterfall!CD51)</f>
        <v>7.8830025076324741</v>
      </c>
      <c r="CU17" s="1522">
        <f ca="1">MIN(Waterfall!CE48,Waterfall!CE51)</f>
        <v>7.891554891252663</v>
      </c>
      <c r="CV17" s="1523">
        <f ca="1">MIN(Waterfall!CF48,Waterfall!CF51)</f>
        <v>7.891554891252663</v>
      </c>
      <c r="CW17" s="1523">
        <f ca="1">MIN(Waterfall!CG48,Waterfall!CG51)</f>
        <v>7.891554891252663</v>
      </c>
      <c r="CX17" s="1524">
        <f ca="1">MIN(Waterfall!CH48,Waterfall!CH51)</f>
        <v>7.891554891252663</v>
      </c>
      <c r="CY17" s="1522">
        <f ca="1">MIN(Waterfall!CI48,Waterfall!CI51)</f>
        <v>8.1085974276893573</v>
      </c>
      <c r="CZ17" s="1523">
        <f ca="1">MIN(Waterfall!CJ48,Waterfall!CJ51)</f>
        <v>8.1085974276893573</v>
      </c>
      <c r="DA17" s="1523">
        <f ca="1">MIN(Waterfall!CK48,Waterfall!CK51)</f>
        <v>8.1085974276893573</v>
      </c>
      <c r="DB17" s="1524">
        <f ca="1">MIN(Waterfall!CL48,Waterfall!CL51)</f>
        <v>8.1085974276893573</v>
      </c>
      <c r="DC17" s="1522">
        <f ca="1">MIN(Waterfall!CM48,Waterfall!CM51)</f>
        <v>8.0219474979138781</v>
      </c>
      <c r="DD17" s="1523">
        <f ca="1">MIN(Waterfall!CN48,Waterfall!CN51)</f>
        <v>8.0219474979138781</v>
      </c>
      <c r="DE17" s="1523">
        <f ca="1">MIN(Waterfall!CO48,Waterfall!CO51)</f>
        <v>8.0219474979138781</v>
      </c>
      <c r="DF17" s="1524">
        <f ca="1">MIN(Waterfall!CP48,Waterfall!CP51)</f>
        <v>8.0219474979138781</v>
      </c>
      <c r="DG17" s="1522">
        <f ca="1">MIN(Waterfall!CQ48,Waterfall!CQ51)</f>
        <v>8.1214997582980804</v>
      </c>
      <c r="DH17" s="1523">
        <f ca="1">MIN(Waterfall!CR48,Waterfall!CR51)</f>
        <v>8.1214997582980804</v>
      </c>
      <c r="DI17" s="1523">
        <f ca="1">MIN(Waterfall!CS48,Waterfall!CS51)</f>
        <v>8.1214997582980804</v>
      </c>
      <c r="DJ17" s="1524">
        <f ca="1">MIN(Waterfall!CT48,Waterfall!CT51)</f>
        <v>8.1214997582980804</v>
      </c>
      <c r="DK17" s="1522">
        <f ca="1">MIN(Waterfall!CU48,Waterfall!CU51)</f>
        <v>8.3862254266471545</v>
      </c>
      <c r="DL17" s="1523">
        <f ca="1">MIN(Waterfall!CV48,Waterfall!CV51)</f>
        <v>8.3862254266471545</v>
      </c>
      <c r="DM17" s="1523">
        <f ca="1">MIN(Waterfall!CW48,Waterfall!CW51)</f>
        <v>8.3862254266471545</v>
      </c>
      <c r="DN17" s="1524">
        <f ca="1">MIN(Waterfall!CX48,Waterfall!CX51)</f>
        <v>8.3862254266471545</v>
      </c>
      <c r="DO17" s="1522">
        <f ca="1">MIN(Waterfall!CY48,Waterfall!CY51)</f>
        <v>8.3740615162828487</v>
      </c>
      <c r="DP17" s="1523">
        <f ca="1">MIN(Waterfall!CZ48,Waterfall!CZ51)</f>
        <v>8.3740615162828487</v>
      </c>
      <c r="DQ17" s="1523">
        <f ca="1">MIN(Waterfall!DA48,Waterfall!DA51)</f>
        <v>8.3740615162828487</v>
      </c>
      <c r="DR17" s="1524">
        <f ca="1">MIN(Waterfall!DB48,Waterfall!DB51)</f>
        <v>8.3740615162828487</v>
      </c>
      <c r="DS17" s="1522">
        <f ca="1">MIN(Waterfall!DC48,Waterfall!DC51)</f>
        <v>8.9418132136919812</v>
      </c>
      <c r="DT17" s="1523">
        <f ca="1">MIN(Waterfall!DD48,Waterfall!DD51)</f>
        <v>8.9418132136919812</v>
      </c>
      <c r="DU17" s="1523">
        <f ca="1">MIN(Waterfall!DE48,Waterfall!DE51)</f>
        <v>8.9418132136919812</v>
      </c>
      <c r="DV17" s="1524">
        <f ca="1">MIN(Waterfall!DF48,Waterfall!DF51)</f>
        <v>8.9418132136919812</v>
      </c>
      <c r="DW17" s="1522">
        <f ca="1">MIN(Waterfall!DG48,Waterfall!DG51)</f>
        <v>8.8203655417716877</v>
      </c>
      <c r="DX17" s="1523">
        <f ca="1">MIN(Waterfall!DH48,Waterfall!DH51)</f>
        <v>8.8203655417716877</v>
      </c>
      <c r="DY17" s="1523">
        <f ca="1">MIN(Waterfall!DI48,Waterfall!DI51)</f>
        <v>8.8203655417716877</v>
      </c>
      <c r="DZ17" s="1524">
        <f ca="1">MIN(Waterfall!DJ48,Waterfall!DJ51)</f>
        <v>8.8203655417716877</v>
      </c>
      <c r="EA17" s="1522">
        <f ca="1">MIN(Waterfall!DK48,Waterfall!DK51)</f>
        <v>9.0500529301111072</v>
      </c>
      <c r="EB17" s="1523">
        <f ca="1">MIN(Waterfall!DL48,Waterfall!DL51)</f>
        <v>9.0500529301111072</v>
      </c>
      <c r="EC17" s="1523">
        <f ca="1">MIN(Waterfall!DM48,Waterfall!DM51)</f>
        <v>9.0500529301111072</v>
      </c>
      <c r="ED17" s="1524">
        <f ca="1">MIN(Waterfall!DN48,Waterfall!DN51)</f>
        <v>9.0500529301111072</v>
      </c>
      <c r="EE17" s="1522">
        <f ca="1">MIN(Waterfall!DO48,Waterfall!DO51)</f>
        <v>9.3864341679194254</v>
      </c>
      <c r="EF17" s="1523">
        <f ca="1">MIN(Waterfall!DP48,Waterfall!DP51)</f>
        <v>9.3864341679194254</v>
      </c>
      <c r="EG17" s="1523">
        <f ca="1">MIN(Waterfall!DQ48,Waterfall!DQ51)</f>
        <v>9.3864341679194254</v>
      </c>
      <c r="EH17" s="1524">
        <f ca="1">MIN(Waterfall!DR48,Waterfall!DR51)</f>
        <v>9.3864341679194254</v>
      </c>
      <c r="EI17" s="1522">
        <f ca="1">MIN(Waterfall!DS48,Waterfall!DS51)</f>
        <v>9.760252961763511</v>
      </c>
      <c r="EJ17" s="1523">
        <f ca="1">MIN(Waterfall!DT48,Waterfall!DT51)</f>
        <v>9.760252961763511</v>
      </c>
      <c r="EK17" s="1523">
        <f ca="1">MIN(Waterfall!DU48,Waterfall!DU51)</f>
        <v>9.760252961763511</v>
      </c>
      <c r="EL17" s="1524">
        <f ca="1">MIN(Waterfall!DV48,Waterfall!DV51)</f>
        <v>9.760252961763511</v>
      </c>
      <c r="EM17" s="1522">
        <f ca="1">MIN(Waterfall!DW48,Waterfall!DW51)</f>
        <v>9.5599126792637819</v>
      </c>
      <c r="EN17" s="1523">
        <f ca="1">MIN(Waterfall!DX48,Waterfall!DX51)</f>
        <v>9.5599126792637819</v>
      </c>
      <c r="EO17" s="1523">
        <f ca="1">MIN(Waterfall!DY48,Waterfall!DY51)</f>
        <v>9.5599126792637819</v>
      </c>
      <c r="EP17" s="1524">
        <f ca="1">MIN(Waterfall!DZ48,Waterfall!DZ51)</f>
        <v>9.5599126792637819</v>
      </c>
      <c r="EQ17" s="1522">
        <f ca="1">MIN(Waterfall!EA48,Waterfall!EA51)</f>
        <v>9.5010133093780222</v>
      </c>
      <c r="ER17" s="1523">
        <f ca="1">MIN(Waterfall!EB48,Waterfall!EB51)</f>
        <v>9.5010133093780222</v>
      </c>
      <c r="ES17" s="1523">
        <f ca="1">MIN(Waterfall!EC48,Waterfall!EC51)</f>
        <v>9.5010133093780222</v>
      </c>
      <c r="ET17" s="1524">
        <f ca="1">MIN(Waterfall!ED48,Waterfall!ED51)</f>
        <v>9.5010133093780222</v>
      </c>
      <c r="EU17" s="1522">
        <f ca="1">MIN(Waterfall!EE48,Waterfall!EE51)</f>
        <v>9.6792907736490914</v>
      </c>
      <c r="EV17" s="1523">
        <f ca="1">MIN(Waterfall!EF48,Waterfall!EF51)</f>
        <v>9.6792907736490914</v>
      </c>
      <c r="EW17" s="1523">
        <f ca="1">MIN(Waterfall!EG48,Waterfall!EG51)</f>
        <v>9.6792907736490914</v>
      </c>
      <c r="EX17" s="1524">
        <f ca="1">MIN(Waterfall!EH48,Waterfall!EH51)</f>
        <v>9.6792907736490914</v>
      </c>
      <c r="EY17" s="1522">
        <f ca="1">MIN(Waterfall!EI48,Waterfall!EI51)</f>
        <v>9.9823760482817665</v>
      </c>
      <c r="EZ17" s="1523">
        <f ca="1">MIN(Waterfall!EJ48,Waterfall!EJ51)</f>
        <v>9.9823760482817665</v>
      </c>
      <c r="FA17" s="1523">
        <f ca="1">MIN(Waterfall!EK48,Waterfall!EK51)</f>
        <v>9.9823760482817665</v>
      </c>
      <c r="FB17" s="1524">
        <f ca="1">MIN(Waterfall!EL48,Waterfall!EL51)</f>
        <v>9.9823760482817665</v>
      </c>
      <c r="FC17" s="1522">
        <f ca="1">MIN(Waterfall!EM48,Waterfall!EM51)</f>
        <v>10.12810093688897</v>
      </c>
      <c r="FD17" s="1523">
        <f ca="1">MIN(Waterfall!EN48,Waterfall!EN51)</f>
        <v>10.12810093688897</v>
      </c>
      <c r="FE17" s="1523">
        <f ca="1">MIN(Waterfall!EO48,Waterfall!EO51)</f>
        <v>10.12810093688897</v>
      </c>
      <c r="FF17" s="1524">
        <f ca="1">MIN(Waterfall!EP48,Waterfall!EP51)</f>
        <v>10.12810093688897</v>
      </c>
      <c r="FG17" s="1522">
        <f ca="1">MIN(Waterfall!EQ48,Waterfall!EQ51)</f>
        <v>10.416063012157611</v>
      </c>
      <c r="FH17" s="1523">
        <f ca="1">MIN(Waterfall!ER48,Waterfall!ER51)</f>
        <v>10.416063012157611</v>
      </c>
      <c r="FI17" s="1523">
        <f ca="1">MIN(Waterfall!ES48,Waterfall!ES51)</f>
        <v>10.416063012157611</v>
      </c>
      <c r="FJ17" s="1524">
        <f ca="1">MIN(Waterfall!ET48,Waterfall!ET51)</f>
        <v>10.416063012157611</v>
      </c>
      <c r="FK17" s="1522">
        <f ca="1">MIN(Waterfall!EU48,Waterfall!EU51)</f>
        <v>10.302809883357549</v>
      </c>
      <c r="FL17" s="1523">
        <f ca="1">MIN(Waterfall!EV48,Waterfall!EV51)</f>
        <v>10.302809883357549</v>
      </c>
      <c r="FM17" s="1523">
        <f ca="1">MIN(Waterfall!EW48,Waterfall!EW51)</f>
        <v>10.302809883357549</v>
      </c>
      <c r="FN17" s="1524">
        <f ca="1">MIN(Waterfall!EX48,Waterfall!EX51)</f>
        <v>10.302809883357549</v>
      </c>
      <c r="FO17" s="1522">
        <f ca="1">MIN(Waterfall!EY48,Waterfall!EY51)</f>
        <v>10.877008669520023</v>
      </c>
      <c r="FP17" s="1523">
        <f ca="1">MIN(Waterfall!EZ48,Waterfall!EZ51)</f>
        <v>10.877008669520023</v>
      </c>
      <c r="FQ17" s="1523">
        <f ca="1">MIN(Waterfall!FA48,Waterfall!FA51)</f>
        <v>10.877008669520023</v>
      </c>
      <c r="FR17" s="1524">
        <f ca="1">MIN(Waterfall!FB48,Waterfall!FB51)</f>
        <v>10.877008669520023</v>
      </c>
      <c r="FS17" s="1522">
        <f ca="1">MIN(Waterfall!FC48,Waterfall!FC51)</f>
        <v>10.867714038704429</v>
      </c>
      <c r="FT17" s="1523">
        <f ca="1">MIN(Waterfall!FD48,Waterfall!FD51)</f>
        <v>10.867714038704429</v>
      </c>
      <c r="FU17" s="1523">
        <f ca="1">MIN(Waterfall!FE48,Waterfall!FE51)</f>
        <v>10.867714038704429</v>
      </c>
      <c r="FV17" s="1524">
        <f ca="1">MIN(Waterfall!FF48,Waterfall!FF51)</f>
        <v>10.867714038704429</v>
      </c>
      <c r="FW17" s="1522">
        <f ca="1">MIN(Waterfall!FG48,Waterfall!FG51)</f>
        <v>11.007509338484791</v>
      </c>
      <c r="FX17" s="1523">
        <f ca="1">MIN(Waterfall!FH48,Waterfall!FH51)</f>
        <v>11.007509338484791</v>
      </c>
      <c r="FY17" s="1523">
        <f ca="1">MIN(Waterfall!FI48,Waterfall!FI51)</f>
        <v>11.007509338484791</v>
      </c>
      <c r="FZ17" s="1524">
        <f ca="1">MIN(Waterfall!FJ48,Waterfall!FJ51)</f>
        <v>11.007509338484791</v>
      </c>
      <c r="GA17" s="1522">
        <f ca="1">MIN(Waterfall!FK48,Waterfall!FK51)</f>
        <v>11.261960816943338</v>
      </c>
      <c r="GB17" s="1523">
        <f ca="1">MIN(Waterfall!FL48,Waterfall!FL51)</f>
        <v>11.261960816943338</v>
      </c>
      <c r="GC17" s="1523">
        <f ca="1">MIN(Waterfall!FM48,Waterfall!FM51)</f>
        <v>0</v>
      </c>
      <c r="GD17" s="1524">
        <f ca="1">MIN(Waterfall!FN48,Waterfall!FN51)</f>
        <v>0</v>
      </c>
      <c r="GE17" s="1508"/>
      <c r="GF17" s="1509"/>
      <c r="GG17" s="1509"/>
      <c r="GH17" s="1509"/>
      <c r="GI17" s="1509"/>
      <c r="GJ17" s="1509"/>
      <c r="GK17" s="1509"/>
      <c r="GL17" s="1509"/>
      <c r="GM17" s="1509"/>
      <c r="GN17" s="1509"/>
      <c r="GO17" s="1509"/>
      <c r="GP17" s="1509"/>
      <c r="GQ17" s="1509"/>
      <c r="GR17" s="1509"/>
      <c r="GS17" s="1509"/>
      <c r="GT17" s="1509"/>
    </row>
    <row r="18" spans="1:202" ht="17.100000000000001" customHeight="1">
      <c r="B18" s="307"/>
      <c r="C18" s="489" t="s">
        <v>1304</v>
      </c>
      <c r="D18" s="331"/>
      <c r="E18" s="1528"/>
      <c r="F18" s="1517">
        <f t="shared" si="11"/>
        <v>0</v>
      </c>
      <c r="G18" s="1529"/>
      <c r="H18" s="1529"/>
      <c r="I18" s="1529"/>
      <c r="J18" s="1529"/>
      <c r="K18" s="1518"/>
      <c r="L18" s="1518"/>
      <c r="M18" s="1518"/>
      <c r="N18" s="1518"/>
      <c r="O18" s="1518"/>
      <c r="P18" s="1518"/>
      <c r="Q18" s="1518"/>
      <c r="R18" s="1518"/>
      <c r="S18" s="1518"/>
      <c r="T18" s="1518"/>
      <c r="U18" s="1518"/>
      <c r="V18" s="1518"/>
      <c r="W18" s="1519"/>
      <c r="X18" s="1520"/>
      <c r="Y18" s="1520"/>
      <c r="Z18" s="1521"/>
      <c r="AA18" s="1519"/>
      <c r="AB18" s="1520"/>
      <c r="AC18" s="1520"/>
      <c r="AD18" s="1521"/>
      <c r="AE18" s="1522">
        <f>Waterfall!O60</f>
        <v>0</v>
      </c>
      <c r="AF18" s="1523">
        <f>Waterfall!P60</f>
        <v>0</v>
      </c>
      <c r="AG18" s="1523">
        <f>Waterfall!Q60</f>
        <v>0</v>
      </c>
      <c r="AH18" s="1524">
        <f>Waterfall!R60</f>
        <v>0</v>
      </c>
      <c r="AI18" s="1522">
        <f>Waterfall!S60</f>
        <v>0</v>
      </c>
      <c r="AJ18" s="1523">
        <f>Waterfall!T60</f>
        <v>0</v>
      </c>
      <c r="AK18" s="1523">
        <f>Waterfall!U60</f>
        <v>0</v>
      </c>
      <c r="AL18" s="1524">
        <f>Waterfall!V60</f>
        <v>0</v>
      </c>
      <c r="AM18" s="1522">
        <f>Waterfall!W60</f>
        <v>0</v>
      </c>
      <c r="AN18" s="1523">
        <f>Waterfall!X60</f>
        <v>0</v>
      </c>
      <c r="AO18" s="1523">
        <f>Waterfall!Y60</f>
        <v>0</v>
      </c>
      <c r="AP18" s="1524">
        <f>Waterfall!Z60</f>
        <v>0</v>
      </c>
      <c r="AQ18" s="1522">
        <f>Waterfall!AA60</f>
        <v>0</v>
      </c>
      <c r="AR18" s="1523">
        <f>Waterfall!AB60</f>
        <v>0</v>
      </c>
      <c r="AS18" s="1523">
        <f>Waterfall!AC60</f>
        <v>0</v>
      </c>
      <c r="AT18" s="1524">
        <f>Waterfall!AD60</f>
        <v>0</v>
      </c>
      <c r="AU18" s="1522">
        <f>Waterfall!AE60</f>
        <v>0</v>
      </c>
      <c r="AV18" s="1523">
        <f>Waterfall!AF60</f>
        <v>0</v>
      </c>
      <c r="AW18" s="1523">
        <f>Waterfall!AG60</f>
        <v>0</v>
      </c>
      <c r="AX18" s="1524">
        <f>Waterfall!AH60</f>
        <v>0</v>
      </c>
      <c r="AY18" s="1522">
        <f>Waterfall!AI60</f>
        <v>0</v>
      </c>
      <c r="AZ18" s="1523">
        <f>Waterfall!AJ60</f>
        <v>0</v>
      </c>
      <c r="BA18" s="1523">
        <f>Waterfall!AK60</f>
        <v>0</v>
      </c>
      <c r="BB18" s="1524">
        <f>Waterfall!AL60</f>
        <v>0</v>
      </c>
      <c r="BC18" s="1522">
        <f>Waterfall!AM60</f>
        <v>0</v>
      </c>
      <c r="BD18" s="1523">
        <f>Waterfall!AN60</f>
        <v>0</v>
      </c>
      <c r="BE18" s="1523">
        <f>Waterfall!AO60</f>
        <v>0</v>
      </c>
      <c r="BF18" s="1524">
        <f>Waterfall!AP60</f>
        <v>0</v>
      </c>
      <c r="BG18" s="1522">
        <f>Waterfall!AQ60</f>
        <v>0</v>
      </c>
      <c r="BH18" s="1523">
        <f>Waterfall!AR60</f>
        <v>0</v>
      </c>
      <c r="BI18" s="1523">
        <f>Waterfall!AS60</f>
        <v>0</v>
      </c>
      <c r="BJ18" s="1524">
        <f>Waterfall!AT60</f>
        <v>0</v>
      </c>
      <c r="BK18" s="1522">
        <f>Waterfall!AU60</f>
        <v>0</v>
      </c>
      <c r="BL18" s="1523">
        <f>Waterfall!AV60</f>
        <v>0</v>
      </c>
      <c r="BM18" s="1523">
        <f>Waterfall!AW60</f>
        <v>0</v>
      </c>
      <c r="BN18" s="1524">
        <f>Waterfall!AX60</f>
        <v>0</v>
      </c>
      <c r="BO18" s="1522">
        <f>Waterfall!AY60</f>
        <v>0</v>
      </c>
      <c r="BP18" s="1523">
        <f>Waterfall!AZ60</f>
        <v>0</v>
      </c>
      <c r="BQ18" s="1523">
        <f>Waterfall!BA60</f>
        <v>0</v>
      </c>
      <c r="BR18" s="1524">
        <f>Waterfall!BB60</f>
        <v>0</v>
      </c>
      <c r="BS18" s="1522">
        <f>Waterfall!BC60</f>
        <v>0</v>
      </c>
      <c r="BT18" s="1523">
        <f>Waterfall!BD60</f>
        <v>0</v>
      </c>
      <c r="BU18" s="1523">
        <f>Waterfall!BE60</f>
        <v>0</v>
      </c>
      <c r="BV18" s="1524">
        <f>Waterfall!BF60</f>
        <v>0</v>
      </c>
      <c r="BW18" s="1522">
        <f>Waterfall!BG60</f>
        <v>0</v>
      </c>
      <c r="BX18" s="1523">
        <f>Waterfall!BH60</f>
        <v>0</v>
      </c>
      <c r="BY18" s="1523">
        <f>Waterfall!BI60</f>
        <v>0</v>
      </c>
      <c r="BZ18" s="1524">
        <f>Waterfall!BJ60</f>
        <v>0</v>
      </c>
      <c r="CA18" s="1522">
        <f>Waterfall!BK60</f>
        <v>0</v>
      </c>
      <c r="CB18" s="1523">
        <f>Waterfall!BL60</f>
        <v>0</v>
      </c>
      <c r="CC18" s="1523">
        <f>Waterfall!BM60</f>
        <v>0</v>
      </c>
      <c r="CD18" s="1524">
        <f>Waterfall!BN60</f>
        <v>0</v>
      </c>
      <c r="CE18" s="1522">
        <f>Waterfall!BO60</f>
        <v>0</v>
      </c>
      <c r="CF18" s="1523">
        <f>Waterfall!BP60</f>
        <v>0</v>
      </c>
      <c r="CG18" s="1523">
        <f>Waterfall!BQ60</f>
        <v>0</v>
      </c>
      <c r="CH18" s="1524">
        <f>Waterfall!BR60</f>
        <v>0</v>
      </c>
      <c r="CI18" s="1522">
        <f>Waterfall!BS60</f>
        <v>0</v>
      </c>
      <c r="CJ18" s="1523">
        <f>Waterfall!BT60</f>
        <v>0</v>
      </c>
      <c r="CK18" s="1523">
        <f>Waterfall!BU60</f>
        <v>0</v>
      </c>
      <c r="CL18" s="1524">
        <f>Waterfall!BV60</f>
        <v>0</v>
      </c>
      <c r="CM18" s="1522">
        <f>Waterfall!BW60</f>
        <v>0</v>
      </c>
      <c r="CN18" s="1523">
        <f>Waterfall!BX60</f>
        <v>0</v>
      </c>
      <c r="CO18" s="1523">
        <f>Waterfall!BY60</f>
        <v>0</v>
      </c>
      <c r="CP18" s="1524">
        <f>Waterfall!BZ60</f>
        <v>0</v>
      </c>
      <c r="CQ18" s="1522">
        <f>Waterfall!CA60</f>
        <v>0</v>
      </c>
      <c r="CR18" s="1523">
        <f>Waterfall!CB60</f>
        <v>0</v>
      </c>
      <c r="CS18" s="1523">
        <f>Waterfall!CC60</f>
        <v>0</v>
      </c>
      <c r="CT18" s="1524">
        <f>Waterfall!CD60</f>
        <v>0</v>
      </c>
      <c r="CU18" s="1522">
        <f>Waterfall!CE60</f>
        <v>0</v>
      </c>
      <c r="CV18" s="1523">
        <f>Waterfall!CF60</f>
        <v>0</v>
      </c>
      <c r="CW18" s="1523">
        <f>Waterfall!CG60</f>
        <v>0</v>
      </c>
      <c r="CX18" s="1524">
        <f>Waterfall!CH60</f>
        <v>0</v>
      </c>
      <c r="CY18" s="1522">
        <f>Waterfall!CI60</f>
        <v>0</v>
      </c>
      <c r="CZ18" s="1523">
        <f>Waterfall!CJ60</f>
        <v>0</v>
      </c>
      <c r="DA18" s="1523">
        <f>Waterfall!CK60</f>
        <v>0</v>
      </c>
      <c r="DB18" s="1524">
        <f>Waterfall!CL60</f>
        <v>0</v>
      </c>
      <c r="DC18" s="1522">
        <f>Waterfall!CM60</f>
        <v>0</v>
      </c>
      <c r="DD18" s="1523">
        <f>Waterfall!CN60</f>
        <v>0</v>
      </c>
      <c r="DE18" s="1523">
        <f>Waterfall!CO60</f>
        <v>0</v>
      </c>
      <c r="DF18" s="1524">
        <f>Waterfall!CP60</f>
        <v>0</v>
      </c>
      <c r="DG18" s="1522">
        <f>Waterfall!CQ60</f>
        <v>0</v>
      </c>
      <c r="DH18" s="1523">
        <f>Waterfall!CR60</f>
        <v>0</v>
      </c>
      <c r="DI18" s="1523">
        <f>Waterfall!CS60</f>
        <v>0</v>
      </c>
      <c r="DJ18" s="1524">
        <f>Waterfall!CT60</f>
        <v>0</v>
      </c>
      <c r="DK18" s="1522">
        <f>Waterfall!CU60</f>
        <v>0</v>
      </c>
      <c r="DL18" s="1523">
        <f>Waterfall!CV60</f>
        <v>0</v>
      </c>
      <c r="DM18" s="1523">
        <f>Waterfall!CW60</f>
        <v>0</v>
      </c>
      <c r="DN18" s="1524">
        <f>Waterfall!CX60</f>
        <v>0</v>
      </c>
      <c r="DO18" s="1522">
        <f>Waterfall!CY60</f>
        <v>0</v>
      </c>
      <c r="DP18" s="1523">
        <f>Waterfall!CZ60</f>
        <v>0</v>
      </c>
      <c r="DQ18" s="1523">
        <f>Waterfall!DA60</f>
        <v>0</v>
      </c>
      <c r="DR18" s="1524">
        <f>Waterfall!DB60</f>
        <v>0</v>
      </c>
      <c r="DS18" s="1522">
        <f>Waterfall!DC60</f>
        <v>0</v>
      </c>
      <c r="DT18" s="1523">
        <f>Waterfall!DD60</f>
        <v>0</v>
      </c>
      <c r="DU18" s="1523">
        <f>Waterfall!DE60</f>
        <v>0</v>
      </c>
      <c r="DV18" s="1524">
        <f>Waterfall!DF60</f>
        <v>0</v>
      </c>
      <c r="DW18" s="1522">
        <f>Waterfall!DG60</f>
        <v>0</v>
      </c>
      <c r="DX18" s="1523">
        <f>Waterfall!DH60</f>
        <v>0</v>
      </c>
      <c r="DY18" s="1523">
        <f>Waterfall!DI60</f>
        <v>0</v>
      </c>
      <c r="DZ18" s="1524">
        <f>Waterfall!DJ60</f>
        <v>0</v>
      </c>
      <c r="EA18" s="1522">
        <f>Waterfall!DK60</f>
        <v>0</v>
      </c>
      <c r="EB18" s="1523">
        <f>Waterfall!DL60</f>
        <v>0</v>
      </c>
      <c r="EC18" s="1523">
        <f>Waterfall!DM60</f>
        <v>0</v>
      </c>
      <c r="ED18" s="1524">
        <f>Waterfall!DN60</f>
        <v>0</v>
      </c>
      <c r="EE18" s="1522">
        <f>Waterfall!DO60</f>
        <v>0</v>
      </c>
      <c r="EF18" s="1523">
        <f>Waterfall!DP60</f>
        <v>0</v>
      </c>
      <c r="EG18" s="1523">
        <f>Waterfall!DQ60</f>
        <v>0</v>
      </c>
      <c r="EH18" s="1524">
        <f>Waterfall!DR60</f>
        <v>0</v>
      </c>
      <c r="EI18" s="1522">
        <f>Waterfall!DS60</f>
        <v>0</v>
      </c>
      <c r="EJ18" s="1523">
        <f>Waterfall!DT60</f>
        <v>0</v>
      </c>
      <c r="EK18" s="1523">
        <f>Waterfall!DU60</f>
        <v>0</v>
      </c>
      <c r="EL18" s="1524">
        <f>Waterfall!DV60</f>
        <v>0</v>
      </c>
      <c r="EM18" s="1522">
        <f>Waterfall!DW60</f>
        <v>0</v>
      </c>
      <c r="EN18" s="1523">
        <f>Waterfall!DX60</f>
        <v>0</v>
      </c>
      <c r="EO18" s="1523">
        <f>Waterfall!DY60</f>
        <v>0</v>
      </c>
      <c r="EP18" s="1524">
        <f>Waterfall!DZ60</f>
        <v>0</v>
      </c>
      <c r="EQ18" s="1522">
        <f>Waterfall!EA60</f>
        <v>0</v>
      </c>
      <c r="ER18" s="1523">
        <f>Waterfall!EB60</f>
        <v>0</v>
      </c>
      <c r="ES18" s="1523">
        <f>Waterfall!EC60</f>
        <v>0</v>
      </c>
      <c r="ET18" s="1524">
        <f>Waterfall!ED60</f>
        <v>0</v>
      </c>
      <c r="EU18" s="1522">
        <f>Waterfall!EE60</f>
        <v>0</v>
      </c>
      <c r="EV18" s="1523">
        <f>Waterfall!EF60</f>
        <v>0</v>
      </c>
      <c r="EW18" s="1523">
        <f>Waterfall!EG60</f>
        <v>0</v>
      </c>
      <c r="EX18" s="1524">
        <f>Waterfall!EH60</f>
        <v>0</v>
      </c>
      <c r="EY18" s="1522">
        <f>Waterfall!EI60</f>
        <v>0</v>
      </c>
      <c r="EZ18" s="1523">
        <f>Waterfall!EJ60</f>
        <v>0</v>
      </c>
      <c r="FA18" s="1523">
        <f>Waterfall!EK60</f>
        <v>0</v>
      </c>
      <c r="FB18" s="1524">
        <f>Waterfall!EL60</f>
        <v>0</v>
      </c>
      <c r="FC18" s="1522">
        <f>Waterfall!EM60</f>
        <v>0</v>
      </c>
      <c r="FD18" s="1523">
        <f>Waterfall!EN60</f>
        <v>0</v>
      </c>
      <c r="FE18" s="1523">
        <f>Waterfall!EO60</f>
        <v>0</v>
      </c>
      <c r="FF18" s="1524">
        <f>Waterfall!EP60</f>
        <v>0</v>
      </c>
      <c r="FG18" s="1522">
        <f>Waterfall!EQ60</f>
        <v>0</v>
      </c>
      <c r="FH18" s="1523">
        <f>Waterfall!ER60</f>
        <v>0</v>
      </c>
      <c r="FI18" s="1523">
        <f>Waterfall!ES60</f>
        <v>0</v>
      </c>
      <c r="FJ18" s="1524">
        <f>Waterfall!ET60</f>
        <v>0</v>
      </c>
      <c r="FK18" s="1522">
        <f>Waterfall!EU60</f>
        <v>0</v>
      </c>
      <c r="FL18" s="1523">
        <f>Waterfall!EV60</f>
        <v>0</v>
      </c>
      <c r="FM18" s="1523">
        <f>Waterfall!EW60</f>
        <v>0</v>
      </c>
      <c r="FN18" s="1524">
        <f>Waterfall!EX60</f>
        <v>0</v>
      </c>
      <c r="FO18" s="1522">
        <f>Waterfall!EY60</f>
        <v>0</v>
      </c>
      <c r="FP18" s="1523">
        <f>Waterfall!EZ60</f>
        <v>0</v>
      </c>
      <c r="FQ18" s="1523">
        <f>Waterfall!FA60</f>
        <v>0</v>
      </c>
      <c r="FR18" s="1524">
        <f>Waterfall!FB60</f>
        <v>0</v>
      </c>
      <c r="FS18" s="1522">
        <f>Waterfall!FC60</f>
        <v>0</v>
      </c>
      <c r="FT18" s="1523">
        <f>Waterfall!FD60</f>
        <v>0</v>
      </c>
      <c r="FU18" s="1523">
        <f>Waterfall!FE60</f>
        <v>0</v>
      </c>
      <c r="FV18" s="1524">
        <f>Waterfall!FF60</f>
        <v>0</v>
      </c>
      <c r="FW18" s="1522">
        <f>Waterfall!FG60</f>
        <v>0</v>
      </c>
      <c r="FX18" s="1523">
        <f>Waterfall!FH60</f>
        <v>0</v>
      </c>
      <c r="FY18" s="1523">
        <f>Waterfall!FI60</f>
        <v>0</v>
      </c>
      <c r="FZ18" s="1524">
        <f>Waterfall!FJ60</f>
        <v>0</v>
      </c>
      <c r="GA18" s="1522">
        <f>Waterfall!FK60</f>
        <v>0</v>
      </c>
      <c r="GB18" s="1523">
        <f>Waterfall!FL60</f>
        <v>0</v>
      </c>
      <c r="GC18" s="1523">
        <f>Waterfall!FM60</f>
        <v>0</v>
      </c>
      <c r="GD18" s="1524">
        <f>Waterfall!FN60</f>
        <v>0</v>
      </c>
      <c r="GE18" s="1508"/>
      <c r="GF18" s="1509"/>
      <c r="GG18" s="1509"/>
      <c r="GH18" s="1509"/>
      <c r="GI18" s="1509"/>
      <c r="GJ18" s="1509"/>
      <c r="GK18" s="1509"/>
      <c r="GL18" s="1509"/>
      <c r="GM18" s="1509"/>
      <c r="GN18" s="1509"/>
      <c r="GO18" s="1509"/>
      <c r="GP18" s="1509"/>
      <c r="GQ18" s="1509"/>
      <c r="GR18" s="1509"/>
      <c r="GS18" s="1509"/>
      <c r="GT18" s="1509"/>
    </row>
    <row r="19" spans="1:202" ht="17.100000000000001" customHeight="1">
      <c r="B19" s="307"/>
      <c r="C19" s="489" t="str">
        <f>'IS(Y)'!D15</f>
        <v>유지비</v>
      </c>
      <c r="D19" s="331"/>
      <c r="E19" s="742"/>
      <c r="F19" s="1530">
        <f t="shared" ca="1" si="11"/>
        <v>41.97485677596859</v>
      </c>
      <c r="G19" s="1518"/>
      <c r="H19" s="1518"/>
      <c r="I19" s="1518"/>
      <c r="J19" s="1518"/>
      <c r="K19" s="1518"/>
      <c r="L19" s="1518"/>
      <c r="M19" s="1518"/>
      <c r="N19" s="1518"/>
      <c r="O19" s="1518"/>
      <c r="P19" s="1518"/>
      <c r="Q19" s="1518"/>
      <c r="R19" s="1518"/>
      <c r="S19" s="1518"/>
      <c r="T19" s="1518"/>
      <c r="U19" s="1518"/>
      <c r="V19" s="1518"/>
      <c r="W19" s="1519">
        <f ca="1">Waterfall!G46</f>
        <v>0</v>
      </c>
      <c r="X19" s="1520">
        <f ca="1">Waterfall!H46</f>
        <v>0</v>
      </c>
      <c r="Y19" s="1520">
        <f ca="1">Waterfall!I46</f>
        <v>0</v>
      </c>
      <c r="Z19" s="1521">
        <f ca="1">Waterfall!J46</f>
        <v>0</v>
      </c>
      <c r="AA19" s="1519">
        <f ca="1">Waterfall!K46</f>
        <v>0</v>
      </c>
      <c r="AB19" s="1520">
        <f ca="1">Waterfall!L46</f>
        <v>0</v>
      </c>
      <c r="AC19" s="1520">
        <f ca="1">Waterfall!M46</f>
        <v>0</v>
      </c>
      <c r="AD19" s="1521">
        <f ca="1">Waterfall!N46</f>
        <v>0</v>
      </c>
      <c r="AE19" s="1522">
        <f ca="1">Waterfall!O46</f>
        <v>0</v>
      </c>
      <c r="AF19" s="1523">
        <f ca="1">Waterfall!P46</f>
        <v>0</v>
      </c>
      <c r="AG19" s="1523">
        <f ca="1">Waterfall!Q46</f>
        <v>0</v>
      </c>
      <c r="AH19" s="1524">
        <f ca="1">Waterfall!R46</f>
        <v>0</v>
      </c>
      <c r="AI19" s="1522">
        <f ca="1">Waterfall!S46</f>
        <v>0</v>
      </c>
      <c r="AJ19" s="1523">
        <f ca="1">Waterfall!T46</f>
        <v>0</v>
      </c>
      <c r="AK19" s="1523">
        <f ca="1">Waterfall!U46</f>
        <v>0</v>
      </c>
      <c r="AL19" s="1524">
        <f ca="1">Waterfall!V46</f>
        <v>0</v>
      </c>
      <c r="AM19" s="1522">
        <f ca="1">Waterfall!W46</f>
        <v>0</v>
      </c>
      <c r="AN19" s="1523">
        <f ca="1">Waterfall!X46</f>
        <v>0</v>
      </c>
      <c r="AO19" s="1523">
        <f ca="1">Waterfall!Y46</f>
        <v>0</v>
      </c>
      <c r="AP19" s="1524">
        <f ca="1">Waterfall!Z46</f>
        <v>0</v>
      </c>
      <c r="AQ19" s="1522">
        <f ca="1">Waterfall!AA46</f>
        <v>0</v>
      </c>
      <c r="AR19" s="1523">
        <f ca="1">Waterfall!AB46</f>
        <v>0</v>
      </c>
      <c r="AS19" s="1523">
        <f ca="1">Waterfall!AC46</f>
        <v>0</v>
      </c>
      <c r="AT19" s="1524">
        <f ca="1">Waterfall!AD46</f>
        <v>0</v>
      </c>
      <c r="AU19" s="1522">
        <f ca="1">Waterfall!AE46</f>
        <v>0</v>
      </c>
      <c r="AV19" s="1523">
        <f ca="1">Waterfall!AF46</f>
        <v>0</v>
      </c>
      <c r="AW19" s="1523">
        <f ca="1">Waterfall!AG46</f>
        <v>0</v>
      </c>
      <c r="AX19" s="1524">
        <f ca="1">Waterfall!AH46</f>
        <v>0</v>
      </c>
      <c r="AY19" s="1522">
        <f ca="1">Waterfall!AI46</f>
        <v>0</v>
      </c>
      <c r="AZ19" s="1523">
        <f ca="1">Waterfall!AJ46</f>
        <v>0</v>
      </c>
      <c r="BA19" s="1523">
        <f ca="1">Waterfall!AK46</f>
        <v>0</v>
      </c>
      <c r="BB19" s="1524">
        <f ca="1">Waterfall!AL46</f>
        <v>0</v>
      </c>
      <c r="BC19" s="1522">
        <f ca="1">Waterfall!AM46</f>
        <v>0.53076007530049996</v>
      </c>
      <c r="BD19" s="1523">
        <f ca="1">Waterfall!AN46</f>
        <v>0.53076007530049996</v>
      </c>
      <c r="BE19" s="1523">
        <f ca="1">Waterfall!AO46</f>
        <v>0.53076007530049996</v>
      </c>
      <c r="BF19" s="1524">
        <f ca="1">Waterfall!AP46</f>
        <v>0.53076007530049996</v>
      </c>
      <c r="BG19" s="1522">
        <f ca="1">Waterfall!AQ46</f>
        <v>0</v>
      </c>
      <c r="BH19" s="1523">
        <f ca="1">Waterfall!AR46</f>
        <v>0</v>
      </c>
      <c r="BI19" s="1523">
        <f ca="1">Waterfall!AS46</f>
        <v>0</v>
      </c>
      <c r="BJ19" s="1524">
        <f ca="1">Waterfall!AT46</f>
        <v>0</v>
      </c>
      <c r="BK19" s="1522">
        <f ca="1">Waterfall!AU46</f>
        <v>1.2344566444160108</v>
      </c>
      <c r="BL19" s="1523">
        <f ca="1">Waterfall!AV46</f>
        <v>1.2344566444160108</v>
      </c>
      <c r="BM19" s="1523">
        <f ca="1">Waterfall!AW46</f>
        <v>1.2344566444160108</v>
      </c>
      <c r="BN19" s="1524">
        <f ca="1">Waterfall!AX46</f>
        <v>1.2344566444160108</v>
      </c>
      <c r="BO19" s="1522">
        <f ca="1">Waterfall!AY46</f>
        <v>0</v>
      </c>
      <c r="BP19" s="1523">
        <f ca="1">Waterfall!AZ46</f>
        <v>0</v>
      </c>
      <c r="BQ19" s="1523">
        <f ca="1">Waterfall!BA46</f>
        <v>0</v>
      </c>
      <c r="BR19" s="1524">
        <f ca="1">Waterfall!BB46</f>
        <v>0</v>
      </c>
      <c r="BS19" s="1522">
        <f ca="1">Waterfall!BC46</f>
        <v>0.66277327524672269</v>
      </c>
      <c r="BT19" s="1523">
        <f ca="1">Waterfall!BD46</f>
        <v>0.66277327524672269</v>
      </c>
      <c r="BU19" s="1523">
        <f ca="1">Waterfall!BE46</f>
        <v>0.66277327524672269</v>
      </c>
      <c r="BV19" s="1524">
        <f ca="1">Waterfall!BF46</f>
        <v>0.66277327524672269</v>
      </c>
      <c r="BW19" s="1522">
        <f ca="1">Waterfall!BG46</f>
        <v>0</v>
      </c>
      <c r="BX19" s="1523">
        <f ca="1">Waterfall!BH46</f>
        <v>0</v>
      </c>
      <c r="BY19" s="1523">
        <f ca="1">Waterfall!BI46</f>
        <v>0</v>
      </c>
      <c r="BZ19" s="1524">
        <f ca="1">Waterfall!BJ46</f>
        <v>0</v>
      </c>
      <c r="CA19" s="1522">
        <f ca="1">Waterfall!BK46</f>
        <v>0</v>
      </c>
      <c r="CB19" s="1523">
        <f ca="1">Waterfall!BL46</f>
        <v>0</v>
      </c>
      <c r="CC19" s="1523">
        <f ca="1">Waterfall!BM46</f>
        <v>0</v>
      </c>
      <c r="CD19" s="1524">
        <f ca="1">Waterfall!BN46</f>
        <v>0</v>
      </c>
      <c r="CE19" s="1522">
        <f ca="1">Waterfall!BO46</f>
        <v>0</v>
      </c>
      <c r="CF19" s="1523">
        <f ca="1">Waterfall!BP46</f>
        <v>0</v>
      </c>
      <c r="CG19" s="1523">
        <f ca="1">Waterfall!BQ46</f>
        <v>0</v>
      </c>
      <c r="CH19" s="1524">
        <f ca="1">Waterfall!BR46</f>
        <v>0</v>
      </c>
      <c r="CI19" s="1522">
        <f ca="1">Waterfall!BS46</f>
        <v>0.86210565992821786</v>
      </c>
      <c r="CJ19" s="1523">
        <f ca="1">Waterfall!BT46</f>
        <v>0.86210565992821786</v>
      </c>
      <c r="CK19" s="1523">
        <f ca="1">Waterfall!BU46</f>
        <v>0.86210565992821786</v>
      </c>
      <c r="CL19" s="1524">
        <f ca="1">Waterfall!BV46</f>
        <v>0.86210565992821786</v>
      </c>
      <c r="CM19" s="1522">
        <f ca="1">Waterfall!BW46</f>
        <v>0</v>
      </c>
      <c r="CN19" s="1523">
        <f ca="1">Waterfall!BX46</f>
        <v>0</v>
      </c>
      <c r="CO19" s="1523">
        <f ca="1">Waterfall!BY46</f>
        <v>0</v>
      </c>
      <c r="CP19" s="1524">
        <f ca="1">Waterfall!BZ46</f>
        <v>0</v>
      </c>
      <c r="CQ19" s="1522">
        <f ca="1">Waterfall!CA46</f>
        <v>0</v>
      </c>
      <c r="CR19" s="1523">
        <f ca="1">Waterfall!CB46</f>
        <v>0</v>
      </c>
      <c r="CS19" s="1523">
        <f ca="1">Waterfall!CC46</f>
        <v>0</v>
      </c>
      <c r="CT19" s="1524">
        <f ca="1">Waterfall!CD46</f>
        <v>0</v>
      </c>
      <c r="CU19" s="1522">
        <f ca="1">Waterfall!CE46</f>
        <v>0.71058265882376137</v>
      </c>
      <c r="CV19" s="1523">
        <f ca="1">Waterfall!CF46</f>
        <v>0.71058265882376137</v>
      </c>
      <c r="CW19" s="1523">
        <f ca="1">Waterfall!CG46</f>
        <v>0.71058265882376137</v>
      </c>
      <c r="CX19" s="1524">
        <f ca="1">Waterfall!CH46</f>
        <v>0.71058265882376137</v>
      </c>
      <c r="CY19" s="1522">
        <f ca="1">Waterfall!CI46</f>
        <v>1.3636081222827976</v>
      </c>
      <c r="CZ19" s="1523">
        <f ca="1">Waterfall!CJ46</f>
        <v>1.3636081222827976</v>
      </c>
      <c r="DA19" s="1523">
        <f ca="1">Waterfall!CK46</f>
        <v>1.3636081222827976</v>
      </c>
      <c r="DB19" s="1524">
        <f ca="1">Waterfall!CL46</f>
        <v>1.3636081222827976</v>
      </c>
      <c r="DC19" s="1522">
        <f ca="1">Waterfall!CM46</f>
        <v>0</v>
      </c>
      <c r="DD19" s="1523">
        <f ca="1">Waterfall!CN46</f>
        <v>0</v>
      </c>
      <c r="DE19" s="1523">
        <f ca="1">Waterfall!CO46</f>
        <v>0</v>
      </c>
      <c r="DF19" s="1524">
        <f ca="1">Waterfall!CP46</f>
        <v>0</v>
      </c>
      <c r="DG19" s="1522">
        <f ca="1">Waterfall!CQ46</f>
        <v>0</v>
      </c>
      <c r="DH19" s="1523">
        <f ca="1">Waterfall!CR46</f>
        <v>0</v>
      </c>
      <c r="DI19" s="1523">
        <f ca="1">Waterfall!CS46</f>
        <v>0</v>
      </c>
      <c r="DJ19" s="1524">
        <f ca="1">Waterfall!CT46</f>
        <v>0</v>
      </c>
      <c r="DK19" s="1522">
        <f ca="1">Waterfall!CU46</f>
        <v>0</v>
      </c>
      <c r="DL19" s="1523">
        <f ca="1">Waterfall!CV46</f>
        <v>0</v>
      </c>
      <c r="DM19" s="1523">
        <f ca="1">Waterfall!CW46</f>
        <v>0</v>
      </c>
      <c r="DN19" s="1524">
        <f ca="1">Waterfall!CX46</f>
        <v>0</v>
      </c>
      <c r="DO19" s="1522">
        <f ca="1">Waterfall!CY46</f>
        <v>0</v>
      </c>
      <c r="DP19" s="1523">
        <f ca="1">Waterfall!CZ46</f>
        <v>0</v>
      </c>
      <c r="DQ19" s="1523">
        <f ca="1">Waterfall!DA46</f>
        <v>0</v>
      </c>
      <c r="DR19" s="1524">
        <f ca="1">Waterfall!DB46</f>
        <v>0</v>
      </c>
      <c r="DS19" s="1522">
        <f ca="1">Waterfall!DC46</f>
        <v>0</v>
      </c>
      <c r="DT19" s="1523">
        <f ca="1">Waterfall!DD46</f>
        <v>0</v>
      </c>
      <c r="DU19" s="1523">
        <f ca="1">Waterfall!DE46</f>
        <v>0</v>
      </c>
      <c r="DV19" s="1524">
        <f ca="1">Waterfall!DF46</f>
        <v>0</v>
      </c>
      <c r="DW19" s="1522">
        <f ca="1">Waterfall!DG46</f>
        <v>0.76184078911914899</v>
      </c>
      <c r="DX19" s="1523">
        <f ca="1">Waterfall!DH46</f>
        <v>0.76184078911914899</v>
      </c>
      <c r="DY19" s="1523">
        <f ca="1">Waterfall!DI46</f>
        <v>0.76184078911914899</v>
      </c>
      <c r="DZ19" s="1524">
        <f ca="1">Waterfall!DJ46</f>
        <v>0.76184078911914899</v>
      </c>
      <c r="EA19" s="1522">
        <f ca="1">Waterfall!DK46</f>
        <v>0</v>
      </c>
      <c r="EB19" s="1523">
        <f ca="1">Waterfall!DL46</f>
        <v>0</v>
      </c>
      <c r="EC19" s="1523">
        <f ca="1">Waterfall!DM46</f>
        <v>0</v>
      </c>
      <c r="ED19" s="1524">
        <f ca="1">Waterfall!DN46</f>
        <v>0</v>
      </c>
      <c r="EE19" s="1522">
        <f ca="1">Waterfall!DO46</f>
        <v>0.97144223622555481</v>
      </c>
      <c r="EF19" s="1523">
        <f ca="1">Waterfall!DP46</f>
        <v>0.97144223622555481</v>
      </c>
      <c r="EG19" s="1523">
        <f ca="1">Waterfall!DQ46</f>
        <v>0.97144223622555481</v>
      </c>
      <c r="EH19" s="1524">
        <f ca="1">Waterfall!DR46</f>
        <v>0.97144223622555481</v>
      </c>
      <c r="EI19" s="1522">
        <f ca="1">Waterfall!DS46</f>
        <v>0</v>
      </c>
      <c r="EJ19" s="1523">
        <f ca="1">Waterfall!DT46</f>
        <v>0</v>
      </c>
      <c r="EK19" s="1523">
        <f ca="1">Waterfall!DU46</f>
        <v>0</v>
      </c>
      <c r="EL19" s="1524">
        <f ca="1">Waterfall!DV46</f>
        <v>0</v>
      </c>
      <c r="EM19" s="1522">
        <f ca="1">Waterfall!DW46</f>
        <v>1.5062717022640075</v>
      </c>
      <c r="EN19" s="1523">
        <f ca="1">Waterfall!DX46</f>
        <v>1.5062717022640075</v>
      </c>
      <c r="EO19" s="1523">
        <f ca="1">Waterfall!DY46</f>
        <v>1.5062717022640075</v>
      </c>
      <c r="EP19" s="1524">
        <f ca="1">Waterfall!DZ46</f>
        <v>1.5062717022640075</v>
      </c>
      <c r="EQ19" s="1522">
        <f ca="1">Waterfall!EA46</f>
        <v>0</v>
      </c>
      <c r="ER19" s="1523">
        <f ca="1">Waterfall!EB46</f>
        <v>0</v>
      </c>
      <c r="ES19" s="1523">
        <f ca="1">Waterfall!EC46</f>
        <v>0</v>
      </c>
      <c r="ET19" s="1524">
        <f ca="1">Waterfall!ED46</f>
        <v>0</v>
      </c>
      <c r="EU19" s="1522">
        <f ca="1">Waterfall!EE46</f>
        <v>0</v>
      </c>
      <c r="EV19" s="1523">
        <f ca="1">Waterfall!EF46</f>
        <v>0</v>
      </c>
      <c r="EW19" s="1523">
        <f ca="1">Waterfall!EG46</f>
        <v>0</v>
      </c>
      <c r="EX19" s="1524">
        <f ca="1">Waterfall!EH46</f>
        <v>0</v>
      </c>
      <c r="EY19" s="1522">
        <f ca="1">Waterfall!EI46</f>
        <v>0.81679644269174145</v>
      </c>
      <c r="EZ19" s="1523">
        <f ca="1">Waterfall!EJ46</f>
        <v>0.81679644269174145</v>
      </c>
      <c r="FA19" s="1523">
        <f ca="1">Waterfall!EK46</f>
        <v>0.81679644269174145</v>
      </c>
      <c r="FB19" s="1524">
        <f ca="1">Waterfall!EL46</f>
        <v>0.81679644269174145</v>
      </c>
      <c r="FC19" s="1522">
        <f ca="1">Waterfall!EM46</f>
        <v>0</v>
      </c>
      <c r="FD19" s="1523">
        <f ca="1">Waterfall!EN46</f>
        <v>0</v>
      </c>
      <c r="FE19" s="1523">
        <f ca="1">Waterfall!EO46</f>
        <v>0</v>
      </c>
      <c r="FF19" s="1524">
        <f ca="1">Waterfall!EP46</f>
        <v>0</v>
      </c>
      <c r="FG19" s="1522">
        <f ca="1">Waterfall!EQ46</f>
        <v>0</v>
      </c>
      <c r="FH19" s="1523">
        <f ca="1">Waterfall!ER46</f>
        <v>0</v>
      </c>
      <c r="FI19" s="1523">
        <f ca="1">Waterfall!ES46</f>
        <v>0</v>
      </c>
      <c r="FJ19" s="1524">
        <f ca="1">Waterfall!ET46</f>
        <v>0</v>
      </c>
      <c r="FK19" s="1522">
        <f ca="1">Waterfall!EU46</f>
        <v>0</v>
      </c>
      <c r="FL19" s="1523">
        <f ca="1">Waterfall!EV46</f>
        <v>0</v>
      </c>
      <c r="FM19" s="1523">
        <f ca="1">Waterfall!EW46</f>
        <v>0</v>
      </c>
      <c r="FN19" s="1524">
        <f ca="1">Waterfall!EX46</f>
        <v>0</v>
      </c>
      <c r="FO19" s="1522">
        <f ca="1">Waterfall!EY46</f>
        <v>0</v>
      </c>
      <c r="FP19" s="1523">
        <f ca="1">Waterfall!EZ46</f>
        <v>0</v>
      </c>
      <c r="FQ19" s="1523">
        <f ca="1">Waterfall!FA46</f>
        <v>0</v>
      </c>
      <c r="FR19" s="1524">
        <f ca="1">Waterfall!FB46</f>
        <v>0</v>
      </c>
      <c r="FS19" s="1522">
        <f ca="1">Waterfall!FC46</f>
        <v>1.0730765876936859</v>
      </c>
      <c r="FT19" s="1523">
        <f ca="1">Waterfall!FD46</f>
        <v>1.0730765876936859</v>
      </c>
      <c r="FU19" s="1523">
        <f ca="1">Waterfall!FE46</f>
        <v>1.0730765876936859</v>
      </c>
      <c r="FV19" s="1524">
        <f ca="1">Waterfall!FF46</f>
        <v>1.0730765876936859</v>
      </c>
      <c r="FW19" s="1522">
        <f ca="1">Waterfall!FG46</f>
        <v>0</v>
      </c>
      <c r="FX19" s="1523">
        <f ca="1">Waterfall!FH46</f>
        <v>0</v>
      </c>
      <c r="FY19" s="1523">
        <f ca="1">Waterfall!FI46</f>
        <v>0</v>
      </c>
      <c r="FZ19" s="1524">
        <f ca="1">Waterfall!FJ46</f>
        <v>0</v>
      </c>
      <c r="GA19" s="1522">
        <f ca="1">Waterfall!FK46</f>
        <v>0</v>
      </c>
      <c r="GB19" s="1523">
        <f ca="1">Waterfall!FL46</f>
        <v>0</v>
      </c>
      <c r="GC19" s="1523">
        <f ca="1">Waterfall!FM46</f>
        <v>0</v>
      </c>
      <c r="GD19" s="1524">
        <f ca="1">Waterfall!FN46</f>
        <v>0</v>
      </c>
      <c r="GE19" s="1508"/>
      <c r="GF19" s="1509"/>
      <c r="GG19" s="1509"/>
      <c r="GH19" s="1509"/>
      <c r="GI19" s="1509"/>
      <c r="GJ19" s="1509"/>
      <c r="GK19" s="1509"/>
      <c r="GL19" s="1509"/>
      <c r="GM19" s="1509"/>
      <c r="GN19" s="1509"/>
      <c r="GO19" s="1509"/>
      <c r="GP19" s="1509"/>
      <c r="GQ19" s="1509"/>
      <c r="GR19" s="1509"/>
      <c r="GS19" s="1509"/>
      <c r="GT19" s="1509"/>
    </row>
    <row r="20" spans="1:202" ht="16.149999999999999" customHeight="1">
      <c r="B20" s="307"/>
      <c r="C20" s="489" t="str">
        <f>'IS(Y)'!D16</f>
        <v xml:space="preserve">기타 </v>
      </c>
      <c r="D20" s="331"/>
      <c r="E20" s="742"/>
      <c r="F20" s="1530">
        <f t="shared" si="11"/>
        <v>161.59083728187136</v>
      </c>
      <c r="G20" s="1518">
        <f>91.0793193+0.153795399999986</f>
        <v>91.233114699999987</v>
      </c>
      <c r="H20" s="1518">
        <f>8.58219978+0.18190640000001</f>
        <v>8.7641061800000095</v>
      </c>
      <c r="I20" s="1518">
        <f>-4.98130007+0.115839200000002</f>
        <v>-4.8654608699999979</v>
      </c>
      <c r="J20" s="1518">
        <f>0.172976999999996-23.46702387</f>
        <v>-23.294046870000003</v>
      </c>
      <c r="K20" s="1518">
        <f>-0.150411615444202+9.87918447</f>
        <v>9.7287728545557979</v>
      </c>
      <c r="L20" s="1518">
        <v>5.2627657399999999</v>
      </c>
      <c r="M20" s="1518">
        <v>23.890749100000001</v>
      </c>
      <c r="N20" s="1518">
        <v>12.08044376</v>
      </c>
      <c r="O20" s="1518">
        <v>-7.6763994599999998</v>
      </c>
      <c r="P20" s="1518">
        <v>2.59339896</v>
      </c>
      <c r="Q20" s="1518">
        <v>4.4208864600000002</v>
      </c>
      <c r="R20" s="1518">
        <v>-0.87888039999999978</v>
      </c>
      <c r="S20" s="1518">
        <f>-0.4109366+19.31275921</f>
        <v>18.90182261</v>
      </c>
      <c r="T20" s="1518">
        <v>-3.0270333700000003</v>
      </c>
      <c r="U20" s="1518">
        <v>0.34286247000000003</v>
      </c>
      <c r="V20" s="1518">
        <v>-1.7958246900000001</v>
      </c>
      <c r="W20" s="1519">
        <f>비용!H9+비용!H13</f>
        <v>6.5781054799098362</v>
      </c>
      <c r="X20" s="1520">
        <f>비용!I9+비용!I13</f>
        <v>-1.983510009999975</v>
      </c>
      <c r="Y20" s="1520">
        <f>비용!J9+비용!J13</f>
        <v>11.623241019999995</v>
      </c>
      <c r="Z20" s="1521">
        <f>비용!K9+비용!K13</f>
        <v>-18.24182858999999</v>
      </c>
      <c r="AA20" s="1519">
        <f>비용!L9+비용!L13</f>
        <v>0.35176742922082799</v>
      </c>
      <c r="AB20" s="1520">
        <f>비용!M9+비용!M13</f>
        <v>4.5076751536211903</v>
      </c>
      <c r="AC20" s="1520">
        <f>비용!N9+비용!N13</f>
        <v>0.16153716000000884</v>
      </c>
      <c r="AD20" s="1521">
        <f>비용!O9+비용!O13</f>
        <v>-0.80964394999999456</v>
      </c>
      <c r="AE20" s="1522">
        <f>비용!P9+비용!P13</f>
        <v>1.83883767000001</v>
      </c>
      <c r="AF20" s="1523">
        <f>비용!Q9+비용!Q13</f>
        <v>5.2081854417939439</v>
      </c>
      <c r="AG20" s="1523">
        <f>비용!R9+비용!R13</f>
        <v>-7.6051853766666628</v>
      </c>
      <c r="AH20" s="1524">
        <f>비용!S9+비용!S13</f>
        <v>-1.7510004532558243</v>
      </c>
      <c r="AI20" s="1522"/>
      <c r="AJ20" s="1523">
        <f>비용!T9+비용!T13+비용!U9+비용!U13</f>
        <v>5.4</v>
      </c>
      <c r="AK20" s="1523">
        <f>비용!V9+비용!V13</f>
        <v>2.5</v>
      </c>
      <c r="AL20" s="1524">
        <f>비용!W9+비용!W13</f>
        <v>2.5</v>
      </c>
      <c r="AM20" s="1522">
        <f>비용!X9+비용!X13</f>
        <v>2.5</v>
      </c>
      <c r="AN20" s="1523">
        <f>비용!Y9+비용!Y13</f>
        <v>2.5</v>
      </c>
      <c r="AO20" s="1523">
        <f>비용!Z9+비용!Z13</f>
        <v>2.5</v>
      </c>
      <c r="AP20" s="1524">
        <f>비용!AA9+비용!AA13</f>
        <v>2.5</v>
      </c>
      <c r="AQ20" s="1522">
        <f>비용!AB9+비용!AB13</f>
        <v>2.5</v>
      </c>
      <c r="AR20" s="1523">
        <f>비용!AC9+비용!AC13</f>
        <v>2.5</v>
      </c>
      <c r="AS20" s="1523">
        <f>비용!AD9+비용!AD13</f>
        <v>2.5</v>
      </c>
      <c r="AT20" s="1524">
        <f>비용!AE9+비용!AE13</f>
        <v>2.5</v>
      </c>
      <c r="AU20" s="1522">
        <f>비용!AF9+비용!AF13</f>
        <v>2.5</v>
      </c>
      <c r="AV20" s="1523">
        <f>비용!AG9+비용!AG13</f>
        <v>2.5</v>
      </c>
      <c r="AW20" s="1523">
        <f>비용!AH9+비용!AH13</f>
        <v>2.5</v>
      </c>
      <c r="AX20" s="1524">
        <f>비용!AI9+비용!AI13</f>
        <v>2.5</v>
      </c>
      <c r="AY20" s="1522">
        <f>비용!AJ9+비용!AJ13</f>
        <v>2.5</v>
      </c>
      <c r="AZ20" s="1523">
        <f>비용!AK9+비용!AK13</f>
        <v>2.5</v>
      </c>
      <c r="BA20" s="1523">
        <f>비용!AL9+비용!AL13</f>
        <v>2.5</v>
      </c>
      <c r="BB20" s="1524">
        <f>비용!AM9+비용!AM13</f>
        <v>2.4</v>
      </c>
      <c r="BC20" s="1522">
        <f>비용!AN9+비용!AN13</f>
        <v>2.4</v>
      </c>
      <c r="BD20" s="1523">
        <f>비용!AO9+비용!AO13</f>
        <v>2.4</v>
      </c>
      <c r="BE20" s="1523">
        <f>비용!AP9+비용!AP13</f>
        <v>2.4</v>
      </c>
      <c r="BF20" s="1524">
        <f>비용!AQ9+비용!AQ13</f>
        <v>2.4</v>
      </c>
      <c r="BG20" s="1522">
        <f>비용!AR9+비용!AR13</f>
        <v>2.4</v>
      </c>
      <c r="BH20" s="1523">
        <f>비용!AS9+비용!AS13</f>
        <v>2.4</v>
      </c>
      <c r="BI20" s="1523">
        <f>비용!AT9+비용!AT13</f>
        <v>2.4</v>
      </c>
      <c r="BJ20" s="1524">
        <f>비용!AU9+비용!AU13</f>
        <v>2.4</v>
      </c>
      <c r="BK20" s="1522">
        <f>비용!AV9+비용!AV13</f>
        <v>2.4</v>
      </c>
      <c r="BL20" s="1523">
        <f>비용!AW9+비용!AW13</f>
        <v>2.4</v>
      </c>
      <c r="BM20" s="1523">
        <f>비용!AX9+비용!AX13</f>
        <v>2.4</v>
      </c>
      <c r="BN20" s="1524">
        <f>비용!AY9+비용!AY13</f>
        <v>2.4</v>
      </c>
      <c r="BO20" s="1522">
        <f>비용!AZ9+비용!AZ13</f>
        <v>2.4</v>
      </c>
      <c r="BP20" s="1523">
        <f>비용!BA9+비용!BA13</f>
        <v>2.4</v>
      </c>
      <c r="BQ20" s="1523">
        <f>비용!BB9+비용!BB13</f>
        <v>2.4</v>
      </c>
      <c r="BR20" s="1524">
        <f>비용!BC9+비용!BC13</f>
        <v>2.4</v>
      </c>
      <c r="BS20" s="1522">
        <f>비용!BD9+비용!BD13</f>
        <v>2.4</v>
      </c>
      <c r="BT20" s="1523">
        <f>비용!BE9+비용!BE13</f>
        <v>2.4</v>
      </c>
      <c r="BU20" s="1523">
        <f>비용!BF9+비용!BF13</f>
        <v>2.4</v>
      </c>
      <c r="BV20" s="1524">
        <f>비용!BG9+비용!BG13</f>
        <v>1.7</v>
      </c>
      <c r="BW20" s="1522">
        <f>비용!BH9+비용!BH13</f>
        <v>1.7</v>
      </c>
      <c r="BX20" s="1523">
        <f>비용!BI9+비용!BI13</f>
        <v>1.7</v>
      </c>
      <c r="BY20" s="1523">
        <f>비용!BJ9+비용!BJ13</f>
        <v>1.7</v>
      </c>
      <c r="BZ20" s="1524">
        <f>비용!BK9+비용!BK13</f>
        <v>1.7</v>
      </c>
      <c r="CA20" s="1522">
        <f>비용!BL9+비용!BL13</f>
        <v>1.7</v>
      </c>
      <c r="CB20" s="1523">
        <f>비용!BM9+비용!BM13</f>
        <v>1.7</v>
      </c>
      <c r="CC20" s="1523">
        <f>비용!BN9+비용!BN13</f>
        <v>1.7</v>
      </c>
      <c r="CD20" s="1524">
        <f>비용!BO9+비용!BO13</f>
        <v>1.7</v>
      </c>
      <c r="CE20" s="1522">
        <f>비용!BP9+비용!BP13</f>
        <v>1.7</v>
      </c>
      <c r="CF20" s="1523">
        <f>비용!BQ9+비용!BQ13</f>
        <v>1.7</v>
      </c>
      <c r="CG20" s="1523">
        <f>비용!BR9+비용!BR13</f>
        <v>1.7</v>
      </c>
      <c r="CH20" s="1524">
        <f>비용!BS9+비용!BS13</f>
        <v>1.7</v>
      </c>
      <c r="CI20" s="1522">
        <f>비용!BT9+비용!BT13</f>
        <v>1.7</v>
      </c>
      <c r="CJ20" s="1523">
        <f>비용!BU9+비용!BU13</f>
        <v>1.7</v>
      </c>
      <c r="CK20" s="1523">
        <f>비용!BV9+비용!BV13</f>
        <v>1.7</v>
      </c>
      <c r="CL20" s="1524">
        <f>비용!BW9+비용!BW13</f>
        <v>1.7</v>
      </c>
      <c r="CM20" s="1522">
        <f>비용!BX9+비용!BX13</f>
        <v>1.7</v>
      </c>
      <c r="CN20" s="1523">
        <f>비용!BY9+비용!BY13</f>
        <v>1.7</v>
      </c>
      <c r="CO20" s="1523">
        <f>비용!BZ9+비용!BZ13</f>
        <v>1.7</v>
      </c>
      <c r="CP20" s="1524">
        <f>비용!CA9+비용!CA13</f>
        <v>1.7</v>
      </c>
      <c r="CQ20" s="1522">
        <f>비용!CB9+비용!CB13</f>
        <v>1.7</v>
      </c>
      <c r="CR20" s="1523">
        <f>비용!CC9+비용!CC13</f>
        <v>1.7</v>
      </c>
      <c r="CS20" s="1523">
        <f>비용!CD9+비용!CD13</f>
        <v>1.7</v>
      </c>
      <c r="CT20" s="1524">
        <f>비용!CE9+비용!CE13</f>
        <v>1.7</v>
      </c>
      <c r="CU20" s="1522">
        <f>비용!CF9+비용!CF13</f>
        <v>1.7</v>
      </c>
      <c r="CV20" s="1523">
        <f>비용!CG9+비용!CG13</f>
        <v>1.7</v>
      </c>
      <c r="CW20" s="1523">
        <f>비용!CH9+비용!CH13</f>
        <v>1.7</v>
      </c>
      <c r="CX20" s="1524">
        <f>비용!CI9+비용!CI13</f>
        <v>1.7</v>
      </c>
      <c r="CY20" s="1522">
        <f>비용!CJ9+비용!CJ13</f>
        <v>1.7</v>
      </c>
      <c r="CZ20" s="1523">
        <f>비용!CK9+비용!CK13</f>
        <v>1.7</v>
      </c>
      <c r="DA20" s="1523">
        <f>비용!CL9+비용!CL13</f>
        <v>1.7</v>
      </c>
      <c r="DB20" s="1524">
        <f>비용!CM9+비용!CM13</f>
        <v>1.7</v>
      </c>
      <c r="DC20" s="1522">
        <f>비용!CN9+비용!CN13</f>
        <v>1.7</v>
      </c>
      <c r="DD20" s="1523">
        <f>비용!CO9+비용!CO13</f>
        <v>1.7</v>
      </c>
      <c r="DE20" s="1523">
        <f>비용!CP9+비용!CP13</f>
        <v>1.7</v>
      </c>
      <c r="DF20" s="1524">
        <f>비용!CQ9+비용!CQ13</f>
        <v>1.7</v>
      </c>
      <c r="DG20" s="1522">
        <f>비용!CR9+비용!CR13</f>
        <v>1.7</v>
      </c>
      <c r="DH20" s="1523">
        <f>비용!CS9+비용!CS13</f>
        <v>1.7</v>
      </c>
      <c r="DI20" s="1523">
        <f>비용!CT9+비용!CT13</f>
        <v>1.7</v>
      </c>
      <c r="DJ20" s="1524">
        <f>비용!CU9+비용!CU13</f>
        <v>0</v>
      </c>
      <c r="DK20" s="1522">
        <f>비용!CV9+비용!CV13</f>
        <v>0</v>
      </c>
      <c r="DL20" s="1523">
        <f>비용!CW9+비용!CW13</f>
        <v>0</v>
      </c>
      <c r="DM20" s="1523">
        <f>비용!CX9+비용!CX13</f>
        <v>0</v>
      </c>
      <c r="DN20" s="1524">
        <f>비용!CY9+비용!CY13</f>
        <v>0</v>
      </c>
      <c r="DO20" s="1522">
        <f>비용!CZ9+비용!CZ13</f>
        <v>0</v>
      </c>
      <c r="DP20" s="1523">
        <f>비용!DA9+비용!DA13</f>
        <v>0</v>
      </c>
      <c r="DQ20" s="1523">
        <f>비용!DB9+비용!DB13</f>
        <v>0</v>
      </c>
      <c r="DR20" s="1524">
        <f>비용!DC9+비용!DC13</f>
        <v>0</v>
      </c>
      <c r="DS20" s="1522">
        <f>비용!DD9+비용!DD13</f>
        <v>0</v>
      </c>
      <c r="DT20" s="1523">
        <f>비용!DE9+비용!DE13</f>
        <v>0</v>
      </c>
      <c r="DU20" s="1523">
        <f>비용!DF9+비용!DF13</f>
        <v>0</v>
      </c>
      <c r="DV20" s="1524">
        <f>비용!DG9+비용!DG13</f>
        <v>0</v>
      </c>
      <c r="DW20" s="1522">
        <f>비용!DH9+비용!DH13</f>
        <v>0</v>
      </c>
      <c r="DX20" s="1523">
        <f>비용!DI9+비용!DI13</f>
        <v>0</v>
      </c>
      <c r="DY20" s="1523">
        <f>비용!DJ9+비용!DJ13</f>
        <v>0</v>
      </c>
      <c r="DZ20" s="1524">
        <f>비용!DK9+비용!DK13</f>
        <v>0</v>
      </c>
      <c r="EA20" s="1522">
        <f>비용!DL9+비용!DL13</f>
        <v>0</v>
      </c>
      <c r="EB20" s="1523">
        <f>비용!DM9+비용!DM13</f>
        <v>0</v>
      </c>
      <c r="EC20" s="1523">
        <f>비용!DN9+비용!DN13</f>
        <v>0</v>
      </c>
      <c r="ED20" s="1524">
        <f>비용!DO9+비용!DO13</f>
        <v>0</v>
      </c>
      <c r="EE20" s="1522">
        <f>비용!DP9+비용!DP13</f>
        <v>0</v>
      </c>
      <c r="EF20" s="1523">
        <f>비용!DQ9+비용!DQ13</f>
        <v>0</v>
      </c>
      <c r="EG20" s="1523">
        <f>비용!DR9+비용!DR13</f>
        <v>0</v>
      </c>
      <c r="EH20" s="1524">
        <f>비용!DS9+비용!DS13</f>
        <v>0</v>
      </c>
      <c r="EI20" s="1522">
        <f>비용!DT9+비용!DT13</f>
        <v>0</v>
      </c>
      <c r="EJ20" s="1523">
        <f>비용!DU9+비용!DU13</f>
        <v>0</v>
      </c>
      <c r="EK20" s="1523">
        <f>비용!DV9+비용!DV13</f>
        <v>0</v>
      </c>
      <c r="EL20" s="1524">
        <f>비용!DW9+비용!DW13</f>
        <v>0</v>
      </c>
      <c r="EM20" s="1522">
        <f>비용!DX9+비용!DX13</f>
        <v>0</v>
      </c>
      <c r="EN20" s="1523">
        <f>비용!DY9+비용!DY13</f>
        <v>0</v>
      </c>
      <c r="EO20" s="1523">
        <f>비용!DZ9+비용!DZ13</f>
        <v>0</v>
      </c>
      <c r="EP20" s="1524">
        <f>비용!EA9+비용!EA13</f>
        <v>0</v>
      </c>
      <c r="EQ20" s="1522">
        <f>비용!EB9+비용!EB13</f>
        <v>0</v>
      </c>
      <c r="ER20" s="1523">
        <f>비용!EC9+비용!EC13</f>
        <v>0</v>
      </c>
      <c r="ES20" s="1523">
        <f>비용!ED9+비용!ED13</f>
        <v>0</v>
      </c>
      <c r="ET20" s="1524">
        <f>비용!EE9+비용!EE13</f>
        <v>0</v>
      </c>
      <c r="EU20" s="1522">
        <f>비용!EF9+비용!EF13</f>
        <v>0</v>
      </c>
      <c r="EV20" s="1523">
        <f>비용!EG9+비용!EG13</f>
        <v>0</v>
      </c>
      <c r="EW20" s="1523">
        <f>비용!EH9+비용!EH13</f>
        <v>0</v>
      </c>
      <c r="EX20" s="1524">
        <f>비용!EI9+비용!EI13</f>
        <v>0</v>
      </c>
      <c r="EY20" s="1522">
        <f>비용!EJ9+비용!EJ13</f>
        <v>0</v>
      </c>
      <c r="EZ20" s="1523">
        <f>비용!EK9+비용!EK13</f>
        <v>0</v>
      </c>
      <c r="FA20" s="1523">
        <f>비용!EL9+비용!EL13</f>
        <v>0</v>
      </c>
      <c r="FB20" s="1524">
        <f>비용!EM9+비용!EM13</f>
        <v>0</v>
      </c>
      <c r="FC20" s="1522">
        <f>비용!EN9+비용!EN13</f>
        <v>0</v>
      </c>
      <c r="FD20" s="1523">
        <f>비용!EO9+비용!EO13</f>
        <v>0</v>
      </c>
      <c r="FE20" s="1523">
        <f>비용!EP9+비용!EP13</f>
        <v>0</v>
      </c>
      <c r="FF20" s="1524">
        <f>비용!EQ9+비용!EQ13</f>
        <v>0</v>
      </c>
      <c r="FG20" s="1522">
        <f>비용!ER9+비용!ER13</f>
        <v>0</v>
      </c>
      <c r="FH20" s="1523">
        <f>비용!ES9+비용!ES13</f>
        <v>0</v>
      </c>
      <c r="FI20" s="1523">
        <f>비용!ET9+비용!ET13</f>
        <v>0</v>
      </c>
      <c r="FJ20" s="1524">
        <f>비용!EU9+비용!EU13</f>
        <v>0</v>
      </c>
      <c r="FK20" s="1522">
        <f>비용!EV9+비용!EV13</f>
        <v>0</v>
      </c>
      <c r="FL20" s="1523">
        <f>비용!EW9+비용!EW13</f>
        <v>0</v>
      </c>
      <c r="FM20" s="1523">
        <f>비용!EX9+비용!EX13</f>
        <v>0</v>
      </c>
      <c r="FN20" s="1524">
        <f>비용!EY9+비용!EY13</f>
        <v>0</v>
      </c>
      <c r="FO20" s="1522">
        <f>비용!EZ9+비용!EZ13</f>
        <v>0</v>
      </c>
      <c r="FP20" s="1523">
        <f>비용!FA9+비용!FA13</f>
        <v>0</v>
      </c>
      <c r="FQ20" s="1523">
        <f>비용!FB9+비용!FB13</f>
        <v>0</v>
      </c>
      <c r="FR20" s="1524">
        <f>비용!FC9+비용!FC13</f>
        <v>0</v>
      </c>
      <c r="FS20" s="1522">
        <f>비용!FD9+비용!FD13</f>
        <v>0</v>
      </c>
      <c r="FT20" s="1523">
        <f>비용!FE9+비용!FE13</f>
        <v>0</v>
      </c>
      <c r="FU20" s="1523">
        <f>비용!FF9+비용!FF13</f>
        <v>0</v>
      </c>
      <c r="FV20" s="1524">
        <f>비용!FG9+비용!FG13</f>
        <v>0</v>
      </c>
      <c r="FW20" s="1522">
        <f>비용!FH9+비용!FH13</f>
        <v>0</v>
      </c>
      <c r="FX20" s="1523">
        <f>비용!FI9+비용!FI13</f>
        <v>0</v>
      </c>
      <c r="FY20" s="1523">
        <f>비용!FJ9+비용!FJ13</f>
        <v>0</v>
      </c>
      <c r="FZ20" s="1524">
        <f>비용!FK9+비용!FK13</f>
        <v>0</v>
      </c>
      <c r="GA20" s="1522">
        <f>비용!FL9+비용!FL13</f>
        <v>0</v>
      </c>
      <c r="GB20" s="1523">
        <f>비용!FM9+비용!FM13</f>
        <v>0</v>
      </c>
      <c r="GC20" s="1523">
        <f>비용!FN9</f>
        <v>0</v>
      </c>
      <c r="GD20" s="1524">
        <f>비용!FO9</f>
        <v>0</v>
      </c>
      <c r="GE20" s="1508"/>
      <c r="GF20" s="1509"/>
      <c r="GG20" s="1509"/>
      <c r="GH20" s="1509"/>
      <c r="GI20" s="1509"/>
      <c r="GJ20" s="1509"/>
      <c r="GK20" s="1509"/>
      <c r="GL20" s="1509"/>
      <c r="GM20" s="1509"/>
      <c r="GN20" s="1509"/>
      <c r="GO20" s="1509"/>
      <c r="GP20" s="1509"/>
      <c r="GQ20" s="1509"/>
      <c r="GR20" s="1509"/>
      <c r="GS20" s="1509"/>
      <c r="GT20" s="1509"/>
    </row>
    <row r="21" spans="1:202" ht="17.100000000000001" customHeight="1">
      <c r="B21" s="307"/>
      <c r="C21" s="489" t="s">
        <v>1238</v>
      </c>
      <c r="D21" s="331"/>
      <c r="E21" s="727"/>
      <c r="F21" s="1517">
        <f t="shared" ca="1" si="11"/>
        <v>2.6999999999999997</v>
      </c>
      <c r="G21" s="1531">
        <v>0.28021020000000002</v>
      </c>
      <c r="H21" s="1531">
        <v>19.2</v>
      </c>
      <c r="I21" s="1531">
        <v>0</v>
      </c>
      <c r="J21" s="1531">
        <v>0.6</v>
      </c>
      <c r="K21" s="1531">
        <v>0.43604490000000001</v>
      </c>
      <c r="L21" s="1531">
        <v>0</v>
      </c>
      <c r="M21" s="1531">
        <v>0</v>
      </c>
      <c r="N21" s="1531">
        <v>0</v>
      </c>
      <c r="O21" s="1531">
        <v>0.43485360000000001</v>
      </c>
      <c r="P21" s="1531">
        <v>0</v>
      </c>
      <c r="Q21" s="1531">
        <v>0</v>
      </c>
      <c r="R21" s="1531">
        <v>0</v>
      </c>
      <c r="S21" s="1531">
        <v>0.41093659999999999</v>
      </c>
      <c r="T21" s="1531"/>
      <c r="U21" s="1518"/>
      <c r="V21" s="1518"/>
      <c r="W21" s="1519">
        <v>0</v>
      </c>
      <c r="X21" s="1520">
        <v>0</v>
      </c>
      <c r="Y21" s="1520">
        <v>0</v>
      </c>
      <c r="Z21" s="1521">
        <v>0</v>
      </c>
      <c r="AA21" s="1519">
        <v>0</v>
      </c>
      <c r="AB21" s="1520">
        <v>0</v>
      </c>
      <c r="AC21" s="1520">
        <v>0</v>
      </c>
      <c r="AD21" s="1521">
        <v>0</v>
      </c>
      <c r="AE21" s="1525">
        <f ca="1">(민감도!$E$63/100)*(AE$4=1)*('CF(Q)'!AE5&lt;=차입금상환!$D$6)</f>
        <v>0.3</v>
      </c>
      <c r="AF21" s="1526">
        <f ca="1">(민감도!$E$63/100)*(AF$4=1)*('CF(Q)'!AF5&lt;=차입금상환!$D$6)</f>
        <v>0</v>
      </c>
      <c r="AG21" s="1526">
        <f ca="1">(민감도!$E$63/100)*(AG$4=1)*('CF(Q)'!AG5&lt;=차입금상환!$D$6)</f>
        <v>0</v>
      </c>
      <c r="AH21" s="1527">
        <f ca="1">(민감도!$E$63/100)*(AH$4=1)*('CF(Q)'!AH5&lt;=차입금상환!$D$6)</f>
        <v>0</v>
      </c>
      <c r="AI21" s="1525">
        <f ca="1">(민감도!$E$63/100)*(AI$4=1)*('CF(Q)'!AI5&lt;=차입금상환!$D$6)</f>
        <v>0.3</v>
      </c>
      <c r="AJ21" s="1526">
        <f ca="1">(민감도!$E$63/100)*(AJ$4=1)*('CF(Q)'!AJ5&lt;=차입금상환!$D$6)</f>
        <v>0</v>
      </c>
      <c r="AK21" s="1526">
        <f ca="1">(민감도!$E$63/100)*(AK$4=1)*('CF(Q)'!AK5&lt;=차입금상환!$D$6)</f>
        <v>0</v>
      </c>
      <c r="AL21" s="1527">
        <f ca="1">(민감도!$E$63/100)*(AL$4=1)*('CF(Q)'!AL5&lt;=차입금상환!$D$6)</f>
        <v>0</v>
      </c>
      <c r="AM21" s="1525">
        <f ca="1">(민감도!$E$63/100)*(AM$4=1)*('CF(Q)'!AM5&lt;=차입금상환!$D$6)</f>
        <v>0.3</v>
      </c>
      <c r="AN21" s="1526">
        <f ca="1">(민감도!$E$63/100)*(AN$4=1)*('CF(Q)'!AN5&lt;=차입금상환!$D$6)</f>
        <v>0</v>
      </c>
      <c r="AO21" s="1526">
        <f ca="1">(민감도!$E$63/100)*(AO$4=1)*('CF(Q)'!AO5&lt;=차입금상환!$D$6)</f>
        <v>0</v>
      </c>
      <c r="AP21" s="1527">
        <f ca="1">(민감도!$E$63/100)*(AP$4=1)*('CF(Q)'!AP5&lt;=차입금상환!$D$6)</f>
        <v>0</v>
      </c>
      <c r="AQ21" s="1525">
        <f ca="1">(민감도!$E$63/100)*(AQ$4=1)*('CF(Q)'!AQ5&lt;=차입금상환!$D$6)</f>
        <v>0.3</v>
      </c>
      <c r="AR21" s="1526">
        <f ca="1">(민감도!$E$63/100)*(AR$4=1)*('CF(Q)'!AR5&lt;=차입금상환!$D$6)</f>
        <v>0</v>
      </c>
      <c r="AS21" s="1526">
        <f ca="1">(민감도!$E$63/100)*(AS$4=1)*('CF(Q)'!AS5&lt;=차입금상환!$D$6)</f>
        <v>0</v>
      </c>
      <c r="AT21" s="1527">
        <f ca="1">(민감도!$E$63/100)*(AT$4=1)*('CF(Q)'!AT5&lt;=차입금상환!$D$6)</f>
        <v>0</v>
      </c>
      <c r="AU21" s="1525">
        <f ca="1">(민감도!$E$63/100)*(AU$4=1)*('CF(Q)'!AU5&lt;=차입금상환!$D$6)</f>
        <v>0.3</v>
      </c>
      <c r="AV21" s="1526">
        <f ca="1">(민감도!$E$63/100)*(AV$4=1)*('CF(Q)'!AV5&lt;=차입금상환!$D$6)</f>
        <v>0</v>
      </c>
      <c r="AW21" s="1526">
        <f ca="1">(민감도!$E$63/100)*(AW$4=1)*('CF(Q)'!AW5&lt;=차입금상환!$D$6)</f>
        <v>0</v>
      </c>
      <c r="AX21" s="1527">
        <f ca="1">(민감도!$E$63/100)*(AX$4=1)*('CF(Q)'!AX5&lt;=차입금상환!$D$6)</f>
        <v>0</v>
      </c>
      <c r="AY21" s="1525">
        <f ca="1">(민감도!$E$63/100)*(AY$4=1)*('CF(Q)'!AY5&lt;=차입금상환!$D$6)</f>
        <v>0.3</v>
      </c>
      <c r="AZ21" s="1526">
        <f ca="1">(민감도!$E$63/100)*(AZ$4=1)*('CF(Q)'!AZ5&lt;=차입금상환!$D$6)</f>
        <v>0</v>
      </c>
      <c r="BA21" s="1526">
        <f ca="1">(민감도!$E$63/100)*(BA$4=1)*('CF(Q)'!BA5&lt;=차입금상환!$D$6)</f>
        <v>0</v>
      </c>
      <c r="BB21" s="1527">
        <f ca="1">(민감도!$E$63/100)*(BB$4=1)*('CF(Q)'!BB5&lt;=차입금상환!$D$6)</f>
        <v>0</v>
      </c>
      <c r="BC21" s="1525">
        <f ca="1">(민감도!$E$63/100)*(BC$4=1)*('CF(Q)'!BC5&lt;=차입금상환!$D$6)</f>
        <v>0.3</v>
      </c>
      <c r="BD21" s="1526">
        <f ca="1">(민감도!$E$63/100)*(BD$4=1)*('CF(Q)'!BD5&lt;=차입금상환!$D$6)</f>
        <v>0</v>
      </c>
      <c r="BE21" s="1526">
        <f ca="1">(민감도!$E$63/100)*(BE$4=1)*('CF(Q)'!BE5&lt;=차입금상환!$D$6)</f>
        <v>0</v>
      </c>
      <c r="BF21" s="1527">
        <f ca="1">(민감도!$E$63/100)*(BF$4=1)*('CF(Q)'!BF5&lt;=차입금상환!$D$6)</f>
        <v>0</v>
      </c>
      <c r="BG21" s="1525">
        <f ca="1">(민감도!$E$63/100)*(BG$4=1)*('CF(Q)'!BG5&lt;=차입금상환!$D$6)</f>
        <v>0.3</v>
      </c>
      <c r="BH21" s="1526">
        <f ca="1">(민감도!$E$63/100)*(BH$4=1)*('CF(Q)'!BH5&lt;=차입금상환!$D$6)</f>
        <v>0</v>
      </c>
      <c r="BI21" s="1526">
        <f ca="1">(민감도!$E$63/100)*(BI$4=1)*('CF(Q)'!BI5&lt;=차입금상환!$D$6)</f>
        <v>0</v>
      </c>
      <c r="BJ21" s="1527">
        <f ca="1">(민감도!$E$63/100)*(BJ$4=1)*('CF(Q)'!BJ5&lt;=차입금상환!$D$6)</f>
        <v>0</v>
      </c>
      <c r="BK21" s="1525">
        <f ca="1">(민감도!$E$63/100)*(BK$4=1)*('CF(Q)'!BK5&lt;=차입금상환!$D$6)</f>
        <v>0.3</v>
      </c>
      <c r="BL21" s="1526">
        <f ca="1">(민감도!$E$63/100)*(BL$4=1)*('CF(Q)'!BL5&lt;=차입금상환!$D$6)</f>
        <v>0</v>
      </c>
      <c r="BM21" s="1526">
        <f ca="1">(민감도!$E$63/100)*(BM$4=1)*('CF(Q)'!BM5&lt;=차입금상환!$D$6)</f>
        <v>0</v>
      </c>
      <c r="BN21" s="1527">
        <f ca="1">(민감도!$E$63/100)*(BN$4=1)*('CF(Q)'!BN5&lt;=차입금상환!$D$6)</f>
        <v>0</v>
      </c>
      <c r="BO21" s="1525">
        <f ca="1">(민감도!$E$63/100)*(BO$4=1)*('CF(Q)'!BO5&lt;=차입금상환!$D$6)</f>
        <v>0</v>
      </c>
      <c r="BP21" s="1526">
        <f ca="1">(민감도!$E$63/100)*(BP$4=1)*('CF(Q)'!BP5&lt;=차입금상환!$D$6)</f>
        <v>0</v>
      </c>
      <c r="BQ21" s="1526">
        <f ca="1">(민감도!$E$63/100)*(BQ$4=1)*('CF(Q)'!BQ5&lt;=차입금상환!$D$6)</f>
        <v>0</v>
      </c>
      <c r="BR21" s="1527">
        <f ca="1">(민감도!$E$63/100)*(BR$4=1)*('CF(Q)'!BR5&lt;=차입금상환!$D$6)</f>
        <v>0</v>
      </c>
      <c r="BS21" s="1525">
        <f ca="1">(민감도!$E$63/100)*(BS$4=1)*('CF(Q)'!BS5&lt;=차입금상환!$D$6)</f>
        <v>0</v>
      </c>
      <c r="BT21" s="1526">
        <f ca="1">(민감도!$E$63/100)*(BT$4=1)*('CF(Q)'!BT5&lt;=차입금상환!$D$6)</f>
        <v>0</v>
      </c>
      <c r="BU21" s="1526">
        <f ca="1">(민감도!$E$63/100)*(BU$4=1)*('CF(Q)'!BU5&lt;=차입금상환!$D$6)</f>
        <v>0</v>
      </c>
      <c r="BV21" s="1527">
        <f ca="1">(민감도!$E$63/100)*(BV$4=1)*('CF(Q)'!BV5&lt;=차입금상환!$D$6)</f>
        <v>0</v>
      </c>
      <c r="BW21" s="1525">
        <f ca="1">(민감도!$E$63/100)*(BW$4=1)*('CF(Q)'!BW5&lt;=차입금상환!$D$6)</f>
        <v>0</v>
      </c>
      <c r="BX21" s="1526">
        <f ca="1">(민감도!$E$63/100)*(BX$4=1)*('CF(Q)'!BX5&lt;=차입금상환!$D$6)</f>
        <v>0</v>
      </c>
      <c r="BY21" s="1526">
        <f ca="1">(민감도!$E$63/100)*(BY$4=1)*('CF(Q)'!BY5&lt;=차입금상환!$D$6)</f>
        <v>0</v>
      </c>
      <c r="BZ21" s="1527">
        <f ca="1">(민감도!$E$63/100)*(BZ$4=1)*('CF(Q)'!BZ5&lt;=차입금상환!$D$6)</f>
        <v>0</v>
      </c>
      <c r="CA21" s="1525">
        <f ca="1">(민감도!$E$63/100)*(CA$4=1)*('CF(Q)'!CA5&lt;=차입금상환!$D$6)</f>
        <v>0</v>
      </c>
      <c r="CB21" s="1526">
        <f ca="1">(민감도!$E$63/100)*(CB$4=1)*('CF(Q)'!CB5&lt;=차입금상환!$D$6)</f>
        <v>0</v>
      </c>
      <c r="CC21" s="1526">
        <f ca="1">(민감도!$E$63/100)*(CC$4=1)*('CF(Q)'!CC5&lt;=차입금상환!$D$6)</f>
        <v>0</v>
      </c>
      <c r="CD21" s="1527">
        <f ca="1">(민감도!$E$63/100)*(CD$4=1)*('CF(Q)'!CD5&lt;=차입금상환!$D$6)</f>
        <v>0</v>
      </c>
      <c r="CE21" s="1525">
        <f ca="1">(민감도!$E$63/100)*(CE$4=1)*('CF(Q)'!CE5&lt;=차입금상환!$D$6)</f>
        <v>0</v>
      </c>
      <c r="CF21" s="1526">
        <f ca="1">(민감도!$E$63/100)*(CF$4=1)*('CF(Q)'!CF5&lt;=차입금상환!$D$6)</f>
        <v>0</v>
      </c>
      <c r="CG21" s="1526">
        <f ca="1">(민감도!$E$63/100)*(CG$4=1)*('CF(Q)'!CG5&lt;=차입금상환!$D$6)</f>
        <v>0</v>
      </c>
      <c r="CH21" s="1527">
        <f ca="1">(민감도!$E$63/100)*(CH$4=1)*('CF(Q)'!CH5&lt;=차입금상환!$D$6)</f>
        <v>0</v>
      </c>
      <c r="CI21" s="1525">
        <f ca="1">(민감도!$E$63/100)*(CI$4=1)*('CF(Q)'!CI5&lt;=차입금상환!$D$6)</f>
        <v>0</v>
      </c>
      <c r="CJ21" s="1526">
        <f ca="1">(민감도!$E$63/100)*(CJ$4=1)*('CF(Q)'!CJ5&lt;=차입금상환!$D$6)</f>
        <v>0</v>
      </c>
      <c r="CK21" s="1526">
        <f ca="1">(민감도!$E$63/100)*(CK$4=1)*('CF(Q)'!CK5&lt;=차입금상환!$D$6)</f>
        <v>0</v>
      </c>
      <c r="CL21" s="1527">
        <f ca="1">(민감도!$E$63/100)*(CL$4=1)*('CF(Q)'!CL5&lt;=차입금상환!$D$6)</f>
        <v>0</v>
      </c>
      <c r="CM21" s="1525">
        <f ca="1">(민감도!$E$63/100)*(CM$4=1)*('CF(Q)'!CM5&lt;=차입금상환!$D$6)</f>
        <v>0</v>
      </c>
      <c r="CN21" s="1526">
        <f ca="1">(민감도!$E$63/100)*(CN$4=1)*('CF(Q)'!CN5&lt;=차입금상환!$D$6)</f>
        <v>0</v>
      </c>
      <c r="CO21" s="1526">
        <f ca="1">(민감도!$E$63/100)*(CO$4=1)*('CF(Q)'!CO5&lt;=차입금상환!$D$6)</f>
        <v>0</v>
      </c>
      <c r="CP21" s="1527">
        <f ca="1">(민감도!$E$63/100)*(CP$4=1)*('CF(Q)'!CP5&lt;=차입금상환!$D$6)</f>
        <v>0</v>
      </c>
      <c r="CQ21" s="1525">
        <f ca="1">(민감도!$E$63/100)*(CQ$4=1)*('CF(Q)'!CQ5&lt;=차입금상환!$D$6)</f>
        <v>0</v>
      </c>
      <c r="CR21" s="1526">
        <f ca="1">(민감도!$E$63/100)*(CR$4=1)*('CF(Q)'!CR5&lt;=차입금상환!$D$6)</f>
        <v>0</v>
      </c>
      <c r="CS21" s="1526">
        <f ca="1">(민감도!$E$63/100)*(CS$4=1)*('CF(Q)'!CS5&lt;=차입금상환!$D$6)</f>
        <v>0</v>
      </c>
      <c r="CT21" s="1527">
        <f ca="1">(민감도!$E$63/100)*(CT$4=1)*('CF(Q)'!CT5&lt;=차입금상환!$D$6)</f>
        <v>0</v>
      </c>
      <c r="CU21" s="1525">
        <f ca="1">(민감도!$E$63/100)*(CU$4=1)*('CF(Q)'!CU5&lt;=차입금상환!$D$6)</f>
        <v>0</v>
      </c>
      <c r="CV21" s="1526">
        <f ca="1">(민감도!$E$63/100)*(CV$4=1)*('CF(Q)'!CV5&lt;=차입금상환!$D$6)</f>
        <v>0</v>
      </c>
      <c r="CW21" s="1526">
        <f ca="1">(민감도!$E$63/100)*(CW$4=1)*('CF(Q)'!CW5&lt;=차입금상환!$D$6)</f>
        <v>0</v>
      </c>
      <c r="CX21" s="1527">
        <f ca="1">(민감도!$E$63/100)*(CX$4=1)*('CF(Q)'!CX5&lt;=차입금상환!$D$6)</f>
        <v>0</v>
      </c>
      <c r="CY21" s="1525">
        <f ca="1">(민감도!$E$63/100)*(CY$4=1)*('CF(Q)'!CY5&lt;=차입금상환!$D$6)</f>
        <v>0</v>
      </c>
      <c r="CZ21" s="1526">
        <f ca="1">(민감도!$E$63/100)*(CZ$4=1)*('CF(Q)'!CZ5&lt;=차입금상환!$D$6)</f>
        <v>0</v>
      </c>
      <c r="DA21" s="1526">
        <f ca="1">(민감도!$E$63/100)*(DA$4=1)*('CF(Q)'!DA5&lt;=차입금상환!$D$6)</f>
        <v>0</v>
      </c>
      <c r="DB21" s="1527">
        <f ca="1">(민감도!$E$63/100)*(DB$4=1)*('CF(Q)'!DB5&lt;=차입금상환!$D$6)</f>
        <v>0</v>
      </c>
      <c r="DC21" s="1525">
        <f ca="1">(민감도!$E$63/100)*(DC$4=1)*('CF(Q)'!DC5&lt;=차입금상환!$D$6)</f>
        <v>0</v>
      </c>
      <c r="DD21" s="1526">
        <f ca="1">(민감도!$E$63/100)*(DD$4=1)*('CF(Q)'!DD5&lt;=차입금상환!$D$6)</f>
        <v>0</v>
      </c>
      <c r="DE21" s="1526">
        <f ca="1">(민감도!$E$63/100)*(DE$4=1)*('CF(Q)'!DE5&lt;=차입금상환!$D$6)</f>
        <v>0</v>
      </c>
      <c r="DF21" s="1527">
        <f ca="1">(민감도!$E$63/100)*(DF$4=1)*('CF(Q)'!DF5&lt;=차입금상환!$D$6)</f>
        <v>0</v>
      </c>
      <c r="DG21" s="1525">
        <f ca="1">(민감도!$E$63/100)*(DG$4=1)*('CF(Q)'!DG5&lt;=차입금상환!$D$6)</f>
        <v>0</v>
      </c>
      <c r="DH21" s="1526">
        <f ca="1">(민감도!$E$63/100)*(DH$4=1)*('CF(Q)'!DH5&lt;=차입금상환!$D$6)</f>
        <v>0</v>
      </c>
      <c r="DI21" s="1526">
        <f ca="1">(민감도!$E$63/100)*(DI$4=1)*('CF(Q)'!DI5&lt;=차입금상환!$D$6)</f>
        <v>0</v>
      </c>
      <c r="DJ21" s="1527">
        <f ca="1">(민감도!$E$63/100)*(DJ$4=1)*('CF(Q)'!DJ5&lt;=차입금상환!$D$6)</f>
        <v>0</v>
      </c>
      <c r="DK21" s="1525">
        <f ca="1">(민감도!$E$63/100)*(DK$4=1)*('CF(Q)'!DK5&lt;=차입금상환!$D$6)</f>
        <v>0</v>
      </c>
      <c r="DL21" s="1526">
        <f ca="1">(민감도!$E$63/100)*(DL$4=1)*('CF(Q)'!DL5&lt;=차입금상환!$D$6)</f>
        <v>0</v>
      </c>
      <c r="DM21" s="1526">
        <f ca="1">(민감도!$E$63/100)*(DM$4=1)*('CF(Q)'!DM5&lt;=차입금상환!$D$6)</f>
        <v>0</v>
      </c>
      <c r="DN21" s="1527">
        <f ca="1">(민감도!$E$63/100)*(DN$4=1)*('CF(Q)'!DN5&lt;=차입금상환!$D$6)</f>
        <v>0</v>
      </c>
      <c r="DO21" s="1525">
        <f ca="1">(민감도!$E$63/100)*(DO$4=1)*('CF(Q)'!DO5&lt;=차입금상환!$D$6)</f>
        <v>0</v>
      </c>
      <c r="DP21" s="1526">
        <f ca="1">(민감도!$E$63/100)*(DP$4=1)*('CF(Q)'!DP5&lt;=차입금상환!$D$6)</f>
        <v>0</v>
      </c>
      <c r="DQ21" s="1526">
        <f ca="1">(민감도!$E$63/100)*(DQ$4=1)*('CF(Q)'!DQ5&lt;=차입금상환!$D$6)</f>
        <v>0</v>
      </c>
      <c r="DR21" s="1527">
        <f ca="1">(민감도!$E$63/100)*(DR$4=1)*('CF(Q)'!DR5&lt;=차입금상환!$D$6)</f>
        <v>0</v>
      </c>
      <c r="DS21" s="1525">
        <f ca="1">(민감도!$E$63/100)*(DS$4=1)*('CF(Q)'!DS5&lt;=차입금상환!$D$6)</f>
        <v>0</v>
      </c>
      <c r="DT21" s="1526">
        <f ca="1">(민감도!$E$63/100)*(DT$4=1)*('CF(Q)'!DT5&lt;=차입금상환!$D$6)</f>
        <v>0</v>
      </c>
      <c r="DU21" s="1526">
        <f ca="1">(민감도!$E$63/100)*(DU$4=1)*('CF(Q)'!DU5&lt;=차입금상환!$D$6)</f>
        <v>0</v>
      </c>
      <c r="DV21" s="1527">
        <f ca="1">(민감도!$E$63/100)*(DV$4=1)*('CF(Q)'!DV5&lt;=차입금상환!$D$6)</f>
        <v>0</v>
      </c>
      <c r="DW21" s="1525">
        <f ca="1">(민감도!$E$63/100)*(DW$4=1)*('CF(Q)'!DW5&lt;=차입금상환!$D$6)</f>
        <v>0</v>
      </c>
      <c r="DX21" s="1526">
        <f ca="1">(민감도!$E$63/100)*(DX$4=1)*('CF(Q)'!DX5&lt;=차입금상환!$D$6)</f>
        <v>0</v>
      </c>
      <c r="DY21" s="1526">
        <f ca="1">(민감도!$E$63/100)*(DY$4=1)*('CF(Q)'!DY5&lt;=차입금상환!$D$6)</f>
        <v>0</v>
      </c>
      <c r="DZ21" s="1527">
        <f ca="1">(민감도!$E$63/100)*(DZ$4=1)*('CF(Q)'!DZ5&lt;=차입금상환!$D$6)</f>
        <v>0</v>
      </c>
      <c r="EA21" s="1525">
        <f ca="1">(민감도!$E$63/100)*(EA$4=1)*('CF(Q)'!EA5&lt;=차입금상환!$D$6)</f>
        <v>0</v>
      </c>
      <c r="EB21" s="1526">
        <f ca="1">(민감도!$E$63/100)*(EB$4=1)*('CF(Q)'!EB5&lt;=차입금상환!$D$6)</f>
        <v>0</v>
      </c>
      <c r="EC21" s="1526">
        <f ca="1">(민감도!$E$63/100)*(EC$4=1)*('CF(Q)'!EC5&lt;=차입금상환!$D$6)</f>
        <v>0</v>
      </c>
      <c r="ED21" s="1527">
        <f ca="1">(민감도!$E$63/100)*(ED$4=1)*('CF(Q)'!ED5&lt;=차입금상환!$D$6)</f>
        <v>0</v>
      </c>
      <c r="EE21" s="1525">
        <f ca="1">(민감도!$E$63/100)*(EE$4=1)*('CF(Q)'!EE5&lt;=차입금상환!$D$6)</f>
        <v>0</v>
      </c>
      <c r="EF21" s="1526">
        <f ca="1">(민감도!$E$63/100)*(EF$4=1)*('CF(Q)'!EF5&lt;=차입금상환!$D$6)</f>
        <v>0</v>
      </c>
      <c r="EG21" s="1526">
        <f ca="1">(민감도!$E$63/100)*(EG$4=1)*('CF(Q)'!EG5&lt;=차입금상환!$D$6)</f>
        <v>0</v>
      </c>
      <c r="EH21" s="1527">
        <f ca="1">(민감도!$E$63/100)*(EH$4=1)*('CF(Q)'!EH5&lt;=차입금상환!$D$6)</f>
        <v>0</v>
      </c>
      <c r="EI21" s="1525">
        <f ca="1">(민감도!$E$63/100)*(EI$4=1)*('CF(Q)'!EI5&lt;=차입금상환!$D$6)</f>
        <v>0</v>
      </c>
      <c r="EJ21" s="1526">
        <f ca="1">(민감도!$E$63/100)*(EJ$4=1)*('CF(Q)'!EJ5&lt;=차입금상환!$D$6)</f>
        <v>0</v>
      </c>
      <c r="EK21" s="1526">
        <f ca="1">(민감도!$E$63/100)*(EK$4=1)*('CF(Q)'!EK5&lt;=차입금상환!$D$6)</f>
        <v>0</v>
      </c>
      <c r="EL21" s="1527">
        <f ca="1">(민감도!$E$63/100)*(EL$4=1)*('CF(Q)'!EL5&lt;=차입금상환!$D$6)</f>
        <v>0</v>
      </c>
      <c r="EM21" s="1525">
        <f ca="1">(민감도!$E$63/100)*(EM$4=1)*('CF(Q)'!EM5&lt;=차입금상환!$D$6)</f>
        <v>0</v>
      </c>
      <c r="EN21" s="1526">
        <f ca="1">(민감도!$E$63/100)*(EN$4=1)*('CF(Q)'!EN5&lt;=차입금상환!$D$6)</f>
        <v>0</v>
      </c>
      <c r="EO21" s="1526">
        <f ca="1">(민감도!$E$63/100)*(EO$4=1)*('CF(Q)'!EO5&lt;=차입금상환!$D$6)</f>
        <v>0</v>
      </c>
      <c r="EP21" s="1527">
        <f ca="1">(민감도!$E$63/100)*(EP$4=1)*('CF(Q)'!EP5&lt;=차입금상환!$D$6)</f>
        <v>0</v>
      </c>
      <c r="EQ21" s="1525">
        <f ca="1">(민감도!$E$63/100)*(EQ$4=1)*('CF(Q)'!EQ5&lt;=차입금상환!$D$6)</f>
        <v>0</v>
      </c>
      <c r="ER21" s="1526">
        <f ca="1">(민감도!$E$63/100)*(ER$4=1)*('CF(Q)'!ER5&lt;=차입금상환!$D$6)</f>
        <v>0</v>
      </c>
      <c r="ES21" s="1526">
        <f ca="1">(민감도!$E$63/100)*(ES$4=1)*('CF(Q)'!ES5&lt;=차입금상환!$D$6)</f>
        <v>0</v>
      </c>
      <c r="ET21" s="1527">
        <f ca="1">(민감도!$E$63/100)*(ET$4=1)*('CF(Q)'!ET5&lt;=차입금상환!$D$6)</f>
        <v>0</v>
      </c>
      <c r="EU21" s="1525">
        <f ca="1">(민감도!$E$63/100)*(EU$4=1)*('CF(Q)'!EU5&lt;=차입금상환!$D$6)</f>
        <v>0</v>
      </c>
      <c r="EV21" s="1526">
        <f ca="1">(민감도!$E$63/100)*(EV$4=1)*('CF(Q)'!EV5&lt;=차입금상환!$D$6)</f>
        <v>0</v>
      </c>
      <c r="EW21" s="1526">
        <f ca="1">(민감도!$E$63/100)*(EW$4=1)*('CF(Q)'!EW5&lt;=차입금상환!$D$6)</f>
        <v>0</v>
      </c>
      <c r="EX21" s="1527">
        <f ca="1">(민감도!$E$63/100)*(EX$4=1)*('CF(Q)'!EX5&lt;=차입금상환!$D$6)</f>
        <v>0</v>
      </c>
      <c r="EY21" s="1525">
        <f ca="1">(민감도!$E$63/100)*(EY$4=1)*('CF(Q)'!EY5&lt;=차입금상환!$D$6)</f>
        <v>0</v>
      </c>
      <c r="EZ21" s="1526">
        <f ca="1">(민감도!$E$63/100)*(EZ$4=1)*('CF(Q)'!EZ5&lt;=차입금상환!$D$6)</f>
        <v>0</v>
      </c>
      <c r="FA21" s="1526">
        <f ca="1">(민감도!$E$63/100)*(FA$4=1)*('CF(Q)'!FA5&lt;=차입금상환!$D$6)</f>
        <v>0</v>
      </c>
      <c r="FB21" s="1527">
        <f ca="1">(민감도!$E$63/100)*(FB$4=1)*('CF(Q)'!FB5&lt;=차입금상환!$D$6)</f>
        <v>0</v>
      </c>
      <c r="FC21" s="1525">
        <f ca="1">(민감도!$E$63/100)*(FC$4=1)*('CF(Q)'!FC5&lt;=차입금상환!$D$6)</f>
        <v>0</v>
      </c>
      <c r="FD21" s="1526">
        <f ca="1">(민감도!$E$63/100)*(FD$4=1)*('CF(Q)'!FD5&lt;=차입금상환!$D$6)</f>
        <v>0</v>
      </c>
      <c r="FE21" s="1526">
        <f ca="1">(민감도!$E$63/100)*(FE$4=1)*('CF(Q)'!FE5&lt;=차입금상환!$D$6)</f>
        <v>0</v>
      </c>
      <c r="FF21" s="1527">
        <f ca="1">(민감도!$E$63/100)*(FF$4=1)*('CF(Q)'!FF5&lt;=차입금상환!$D$6)</f>
        <v>0</v>
      </c>
      <c r="FG21" s="1525">
        <f ca="1">(민감도!$E$63/100)*(FG$4=1)*('CF(Q)'!FG5&lt;=차입금상환!$D$6)</f>
        <v>0</v>
      </c>
      <c r="FH21" s="1526">
        <f ca="1">(민감도!$E$63/100)*(FH$4=1)*('CF(Q)'!FH5&lt;=차입금상환!$D$6)</f>
        <v>0</v>
      </c>
      <c r="FI21" s="1526">
        <f ca="1">(민감도!$E$63/100)*(FI$4=1)*('CF(Q)'!FI5&lt;=차입금상환!$D$6)</f>
        <v>0</v>
      </c>
      <c r="FJ21" s="1527">
        <f ca="1">(민감도!$E$63/100)*(FJ$4=1)*('CF(Q)'!FJ5&lt;=차입금상환!$D$6)</f>
        <v>0</v>
      </c>
      <c r="FK21" s="1525">
        <f ca="1">(민감도!$E$63/100)*(FK$4=1)*('CF(Q)'!FK5&lt;=차입금상환!$D$6)</f>
        <v>0</v>
      </c>
      <c r="FL21" s="1526">
        <f ca="1">(민감도!$E$63/100)*(FL$4=1)*('CF(Q)'!FL5&lt;=차입금상환!$D$6)</f>
        <v>0</v>
      </c>
      <c r="FM21" s="1526">
        <f ca="1">(민감도!$E$63/100)*(FM$4=1)*('CF(Q)'!FM5&lt;=차입금상환!$D$6)</f>
        <v>0</v>
      </c>
      <c r="FN21" s="1527">
        <f ca="1">(민감도!$E$63/100)*(FN$4=1)*('CF(Q)'!FN5&lt;=차입금상환!$D$6)</f>
        <v>0</v>
      </c>
      <c r="FO21" s="1525">
        <f ca="1">(민감도!$E$63/100)*(FO$4=1)*('CF(Q)'!FO5&lt;=차입금상환!$D$6)</f>
        <v>0</v>
      </c>
      <c r="FP21" s="1526">
        <f ca="1">(민감도!$E$63/100)*(FP$4=1)*('CF(Q)'!FP5&lt;=차입금상환!$D$6)</f>
        <v>0</v>
      </c>
      <c r="FQ21" s="1526">
        <f ca="1">(민감도!$E$63/100)*(FQ$4=1)*('CF(Q)'!FQ5&lt;=차입금상환!$D$6)</f>
        <v>0</v>
      </c>
      <c r="FR21" s="1527">
        <f ca="1">(민감도!$E$63/100)*(FR$4=1)*('CF(Q)'!FR5&lt;=차입금상환!$D$6)</f>
        <v>0</v>
      </c>
      <c r="FS21" s="1525">
        <f ca="1">(민감도!$E$63/100)*(FS$4=1)*('CF(Q)'!FS5&lt;=차입금상환!$D$6)</f>
        <v>0</v>
      </c>
      <c r="FT21" s="1526">
        <f ca="1">(민감도!$E$63/100)*(FT$4=1)*('CF(Q)'!FT5&lt;=차입금상환!$D$6)</f>
        <v>0</v>
      </c>
      <c r="FU21" s="1526">
        <f ca="1">(민감도!$E$63/100)*(FU$4=1)*('CF(Q)'!FU5&lt;=차입금상환!$D$6)</f>
        <v>0</v>
      </c>
      <c r="FV21" s="1527">
        <f ca="1">(민감도!$E$63/100)*(FV$4=1)*('CF(Q)'!FV5&lt;=차입금상환!$D$6)</f>
        <v>0</v>
      </c>
      <c r="FW21" s="1525">
        <f ca="1">(민감도!$E$63/100)*(FW$4=1)*('CF(Q)'!FW5&lt;=차입금상환!$D$6)</f>
        <v>0</v>
      </c>
      <c r="FX21" s="1526">
        <f ca="1">(민감도!$E$63/100)*(FX$4=1)*('CF(Q)'!FX5&lt;=차입금상환!$D$6)</f>
        <v>0</v>
      </c>
      <c r="FY21" s="1526">
        <f ca="1">(민감도!$E$63/100)*(FY$4=1)*('CF(Q)'!FY5&lt;=차입금상환!$D$6)</f>
        <v>0</v>
      </c>
      <c r="FZ21" s="1527">
        <f ca="1">(민감도!$E$63/100)*(FZ$4=1)*('CF(Q)'!FZ5&lt;=차입금상환!$D$6)</f>
        <v>0</v>
      </c>
      <c r="GA21" s="1525">
        <f ca="1">(민감도!$E$63/100)*(GA$4=1)*('CF(Q)'!GA5&lt;=차입금상환!$D$6)</f>
        <v>0</v>
      </c>
      <c r="GB21" s="1526">
        <f ca="1">(민감도!$E$63/100)*(GB$4=1)*('CF(Q)'!GB5&lt;=차입금상환!$D$6)</f>
        <v>0</v>
      </c>
      <c r="GC21" s="1526">
        <f ca="1">(민감도!$E$63/100)*(GC$4=1)*('CF(Q)'!GC5&lt;=차입금상환!$D$6)</f>
        <v>0</v>
      </c>
      <c r="GD21" s="1527">
        <f ca="1">(민감도!$E$63/100)*(GD$4=1)*('CF(Q)'!GD5&lt;=차입금상환!$D$6)</f>
        <v>0</v>
      </c>
      <c r="GE21" s="1508"/>
      <c r="GF21" s="1509"/>
      <c r="GG21" s="1509"/>
      <c r="GH21" s="1509"/>
      <c r="GI21" s="1509"/>
      <c r="GJ21" s="1509"/>
      <c r="GK21" s="1509"/>
      <c r="GL21" s="1509"/>
      <c r="GM21" s="1509"/>
      <c r="GN21" s="1509"/>
      <c r="GO21" s="1509"/>
      <c r="GP21" s="1509"/>
      <c r="GQ21" s="1509"/>
      <c r="GR21" s="1509"/>
      <c r="GS21" s="1509"/>
      <c r="GT21" s="1509"/>
    </row>
    <row r="22" spans="1:202" ht="17.100000000000001" customHeight="1">
      <c r="B22" s="307"/>
      <c r="C22" s="489" t="str">
        <f>'CF(Y)'!C21</f>
        <v>기존차입금</v>
      </c>
      <c r="D22" s="331"/>
      <c r="E22" s="727" t="s">
        <v>238</v>
      </c>
      <c r="F22" s="1517">
        <f t="shared" ca="1" si="11"/>
        <v>175.5209193849999</v>
      </c>
      <c r="G22" s="1529">
        <v>24.25344247</v>
      </c>
      <c r="H22" s="1529">
        <v>21.094722350000001</v>
      </c>
      <c r="I22" s="1529">
        <v>20.405363040000001</v>
      </c>
      <c r="J22" s="1529">
        <v>19.246034080000001</v>
      </c>
      <c r="K22" s="1518">
        <v>18.628515149999998</v>
      </c>
      <c r="L22" s="1518">
        <v>18.141301949999999</v>
      </c>
      <c r="M22" s="1518">
        <v>17.900628690000001</v>
      </c>
      <c r="N22" s="1518">
        <v>17.626854170000001</v>
      </c>
      <c r="O22" s="1518">
        <v>16.810008289999999</v>
      </c>
      <c r="P22" s="1518">
        <v>17.330645570000001</v>
      </c>
      <c r="Q22" s="1518">
        <v>17.473509459999999</v>
      </c>
      <c r="R22" s="1518">
        <v>17.333197970000001</v>
      </c>
      <c r="S22" s="1518">
        <v>16.782412400000002</v>
      </c>
      <c r="T22" s="1518">
        <v>17.452944280000001</v>
      </c>
      <c r="U22" s="1518">
        <v>17.666413990000002</v>
      </c>
      <c r="V22" s="1518">
        <v>17.160853500000002</v>
      </c>
      <c r="W22" s="1519">
        <f>차입금상환!H41</f>
        <v>15.923049670000001</v>
      </c>
      <c r="X22" s="1520">
        <f>차입금상환!I41</f>
        <v>15.385170599999999</v>
      </c>
      <c r="Y22" s="1520">
        <f>차입금상환!J41</f>
        <v>14.6190088</v>
      </c>
      <c r="Z22" s="1521">
        <f>차입금상환!K41</f>
        <v>13.628099779999999</v>
      </c>
      <c r="AA22" s="1519">
        <f>'IS(Q)'!K30</f>
        <v>12.946565509999999</v>
      </c>
      <c r="AB22" s="1520">
        <f>'IS(Q)'!L30</f>
        <v>12.369336519999999</v>
      </c>
      <c r="AC22" s="1520">
        <f>'IS(Q)'!M30</f>
        <v>12.17841821</v>
      </c>
      <c r="AD22" s="1521">
        <f>'IS(Q)'!N30</f>
        <v>11.870227999999999</v>
      </c>
      <c r="AE22" s="1522">
        <f>'IS(Q)'!O30</f>
        <v>11.65615873</v>
      </c>
      <c r="AF22" s="1523">
        <f>'IS(Q)'!P30</f>
        <v>11.599185670000001</v>
      </c>
      <c r="AG22" s="1523">
        <f>'IS(Q)'!Q30</f>
        <v>10.719295369999999</v>
      </c>
      <c r="AH22" s="1524">
        <f>'IS(Q)'!R30</f>
        <v>10.11149168</v>
      </c>
      <c r="AI22" s="1522">
        <f ca="1">'IS(Q)'!S30</f>
        <v>10.624165749999998</v>
      </c>
      <c r="AJ22" s="1523">
        <f ca="1">'IS(Q)'!T30</f>
        <v>10.189960714999998</v>
      </c>
      <c r="AK22" s="1523">
        <f ca="1">'IS(Q)'!U30</f>
        <v>9.7557556799999983</v>
      </c>
      <c r="AL22" s="1524">
        <f ca="1">'IS(Q)'!V30</f>
        <v>9.3123122399999989</v>
      </c>
      <c r="AM22" s="1522">
        <f ca="1">'IS(Q)'!W30</f>
        <v>8.8596303949999999</v>
      </c>
      <c r="AN22" s="1523">
        <f ca="1">'IS(Q)'!X30</f>
        <v>8.4069485499999992</v>
      </c>
      <c r="AO22" s="1523">
        <f ca="1">'IS(Q)'!Y30</f>
        <v>7.9542667049999984</v>
      </c>
      <c r="AP22" s="1524">
        <f ca="1">'IS(Q)'!Z30</f>
        <v>7.4923464549999981</v>
      </c>
      <c r="AQ22" s="1522">
        <f ca="1">'IS(Q)'!AA30</f>
        <v>7.0211877999999972</v>
      </c>
      <c r="AR22" s="1523">
        <f ca="1">'IS(Q)'!AB30</f>
        <v>6.5962211699999989</v>
      </c>
      <c r="AS22" s="1523">
        <f ca="1">'IS(Q)'!AC30</f>
        <v>6.1620161349999982</v>
      </c>
      <c r="AT22" s="1524">
        <f ca="1">'IS(Q)'!AD30</f>
        <v>5.6723806699999981</v>
      </c>
      <c r="AU22" s="1522">
        <f ca="1">'IS(Q)'!AE30</f>
        <v>5.1735067999999984</v>
      </c>
      <c r="AV22" s="1523">
        <f ca="1">'IS(Q)'!AF30</f>
        <v>4.5914872849999986</v>
      </c>
      <c r="AW22" s="1523">
        <f ca="1">'IS(Q)'!AG30</f>
        <v>4.0094677699999988</v>
      </c>
      <c r="AX22" s="1524">
        <f ca="1">'IS(Q)'!AH30</f>
        <v>3.4182098499999989</v>
      </c>
      <c r="AY22" s="1522">
        <f ca="1">'IS(Q)'!AI30</f>
        <v>2.8177135249999989</v>
      </c>
      <c r="AZ22" s="1523">
        <f ca="1">'IS(Q)'!AJ30</f>
        <v>2.4481773249999987</v>
      </c>
      <c r="BA22" s="1523">
        <f ca="1">'IS(Q)'!AK30</f>
        <v>2.0232106949999991</v>
      </c>
      <c r="BB22" s="1524">
        <f ca="1">'IS(Q)'!AL30</f>
        <v>1.5890056599999991</v>
      </c>
      <c r="BC22" s="1522">
        <f ca="1">'IS(Q)'!AM30</f>
        <v>1.2194694599999989</v>
      </c>
      <c r="BD22" s="1523">
        <f ca="1">'IS(Q)'!AN30</f>
        <v>1.1086085999999991</v>
      </c>
      <c r="BE22" s="1523">
        <f ca="1">'IS(Q)'!AO30</f>
        <v>0.99774773999999911</v>
      </c>
      <c r="BF22" s="1524">
        <f ca="1">'IS(Q)'!AP30</f>
        <v>0.88688687999999893</v>
      </c>
      <c r="BG22" s="1522">
        <f ca="1">'IS(Q)'!AQ30</f>
        <v>0.77602601999999898</v>
      </c>
      <c r="BH22" s="1523">
        <f ca="1">'IS(Q)'!AR30</f>
        <v>0.6651651599999987</v>
      </c>
      <c r="BI22" s="1523">
        <f ca="1">'IS(Q)'!AS30</f>
        <v>0.55430429999999886</v>
      </c>
      <c r="BJ22" s="1524">
        <f ca="1">'IS(Q)'!AT30</f>
        <v>0.4434434399999988</v>
      </c>
      <c r="BK22" s="1522">
        <f ca="1">'IS(Q)'!AU30</f>
        <v>0.3325825799999988</v>
      </c>
      <c r="BL22" s="1523">
        <f ca="1">'IS(Q)'!AV30</f>
        <v>0.22172171999999882</v>
      </c>
      <c r="BM22" s="1523">
        <f ca="1">'IS(Q)'!AW30</f>
        <v>0.11086085999999881</v>
      </c>
      <c r="BN22" s="1524">
        <f ca="1">'IS(Q)'!AX30</f>
        <v>0</v>
      </c>
      <c r="BO22" s="1522">
        <f ca="1">'IS(Q)'!AY30</f>
        <v>0</v>
      </c>
      <c r="BP22" s="1523">
        <f ca="1">'IS(Q)'!AZ30</f>
        <v>0</v>
      </c>
      <c r="BQ22" s="1523">
        <f ca="1">'IS(Q)'!BA30</f>
        <v>0</v>
      </c>
      <c r="BR22" s="1524">
        <f ca="1">'IS(Q)'!BB30</f>
        <v>0</v>
      </c>
      <c r="BS22" s="1522">
        <f ca="1">'IS(Q)'!BC30</f>
        <v>0</v>
      </c>
      <c r="BT22" s="1523">
        <f ca="1">'IS(Q)'!BD30</f>
        <v>0</v>
      </c>
      <c r="BU22" s="1523">
        <f ca="1">'IS(Q)'!BE30</f>
        <v>0</v>
      </c>
      <c r="BV22" s="1524">
        <f ca="1">'IS(Q)'!BF30</f>
        <v>0</v>
      </c>
      <c r="BW22" s="1522">
        <f ca="1">'IS(Q)'!BG30</f>
        <v>0</v>
      </c>
      <c r="BX22" s="1523">
        <f ca="1">'IS(Q)'!BH30</f>
        <v>0</v>
      </c>
      <c r="BY22" s="1523">
        <f ca="1">'IS(Q)'!BI30</f>
        <v>0</v>
      </c>
      <c r="BZ22" s="1524">
        <f ca="1">'IS(Q)'!BJ30</f>
        <v>0</v>
      </c>
      <c r="CA22" s="1522">
        <f ca="1">'IS(Q)'!BK30</f>
        <v>0</v>
      </c>
      <c r="CB22" s="1523">
        <f ca="1">'IS(Q)'!BL30</f>
        <v>0</v>
      </c>
      <c r="CC22" s="1523">
        <f ca="1">'IS(Q)'!BM30</f>
        <v>0</v>
      </c>
      <c r="CD22" s="1524">
        <f ca="1">'IS(Q)'!BN30</f>
        <v>0</v>
      </c>
      <c r="CE22" s="1522">
        <f ca="1">'IS(Q)'!BO30</f>
        <v>0</v>
      </c>
      <c r="CF22" s="1523">
        <f ca="1">'IS(Q)'!BP30</f>
        <v>0</v>
      </c>
      <c r="CG22" s="1523">
        <f ca="1">'IS(Q)'!BQ30</f>
        <v>0</v>
      </c>
      <c r="CH22" s="1524">
        <f ca="1">'IS(Q)'!BR30</f>
        <v>0</v>
      </c>
      <c r="CI22" s="1522">
        <f ca="1">'IS(Q)'!BS30</f>
        <v>0</v>
      </c>
      <c r="CJ22" s="1523">
        <f ca="1">'IS(Q)'!BT30</f>
        <v>0</v>
      </c>
      <c r="CK22" s="1523">
        <f ca="1">'IS(Q)'!BU30</f>
        <v>0</v>
      </c>
      <c r="CL22" s="1524">
        <f ca="1">'IS(Q)'!BV30</f>
        <v>0</v>
      </c>
      <c r="CM22" s="1522">
        <f ca="1">'IS(Q)'!BW30</f>
        <v>0</v>
      </c>
      <c r="CN22" s="1523">
        <f ca="1">'IS(Q)'!BX30</f>
        <v>0</v>
      </c>
      <c r="CO22" s="1523">
        <f ca="1">'IS(Q)'!BY30</f>
        <v>0</v>
      </c>
      <c r="CP22" s="1524">
        <f ca="1">'IS(Q)'!BZ30</f>
        <v>0</v>
      </c>
      <c r="CQ22" s="1522">
        <f ca="1">'IS(Q)'!CA30</f>
        <v>0</v>
      </c>
      <c r="CR22" s="1523">
        <f ca="1">'IS(Q)'!CB30</f>
        <v>0</v>
      </c>
      <c r="CS22" s="1523">
        <f ca="1">'IS(Q)'!CC30</f>
        <v>0</v>
      </c>
      <c r="CT22" s="1524">
        <f ca="1">'IS(Q)'!CD30</f>
        <v>0</v>
      </c>
      <c r="CU22" s="1522">
        <f ca="1">'IS(Q)'!CE30</f>
        <v>0</v>
      </c>
      <c r="CV22" s="1523">
        <f ca="1">'IS(Q)'!CF30</f>
        <v>0</v>
      </c>
      <c r="CW22" s="1523">
        <f ca="1">'IS(Q)'!CG30</f>
        <v>0</v>
      </c>
      <c r="CX22" s="1524">
        <f ca="1">'IS(Q)'!CH30</f>
        <v>0</v>
      </c>
      <c r="CY22" s="1522">
        <f ca="1">'IS(Q)'!CI30</f>
        <v>0</v>
      </c>
      <c r="CZ22" s="1523">
        <f ca="1">'IS(Q)'!CJ30</f>
        <v>0</v>
      </c>
      <c r="DA22" s="1523">
        <f ca="1">'IS(Q)'!CK30</f>
        <v>0</v>
      </c>
      <c r="DB22" s="1524">
        <f ca="1">'IS(Q)'!CL30</f>
        <v>0</v>
      </c>
      <c r="DC22" s="1522">
        <f ca="1">'IS(Q)'!CM30</f>
        <v>0</v>
      </c>
      <c r="DD22" s="1523">
        <f ca="1">'IS(Q)'!CN30</f>
        <v>0</v>
      </c>
      <c r="DE22" s="1523">
        <f ca="1">'IS(Q)'!CO30</f>
        <v>0</v>
      </c>
      <c r="DF22" s="1524">
        <f ca="1">'IS(Q)'!CP30</f>
        <v>0</v>
      </c>
      <c r="DG22" s="1522">
        <f ca="1">'IS(Q)'!CQ30</f>
        <v>0</v>
      </c>
      <c r="DH22" s="1523">
        <f ca="1">'IS(Q)'!CR30</f>
        <v>0</v>
      </c>
      <c r="DI22" s="1523">
        <f ca="1">'IS(Q)'!CS30</f>
        <v>0</v>
      </c>
      <c r="DJ22" s="1524">
        <f ca="1">'IS(Q)'!CT30</f>
        <v>0</v>
      </c>
      <c r="DK22" s="1522">
        <f ca="1">'IS(Q)'!CU30</f>
        <v>0</v>
      </c>
      <c r="DL22" s="1523">
        <f ca="1">'IS(Q)'!CV30</f>
        <v>0</v>
      </c>
      <c r="DM22" s="1523">
        <f ca="1">'IS(Q)'!CW30</f>
        <v>0</v>
      </c>
      <c r="DN22" s="1524">
        <f ca="1">'IS(Q)'!CX30</f>
        <v>0</v>
      </c>
      <c r="DO22" s="1522">
        <f ca="1">'IS(Q)'!CY30</f>
        <v>0</v>
      </c>
      <c r="DP22" s="1523">
        <f ca="1">'IS(Q)'!CZ30</f>
        <v>0</v>
      </c>
      <c r="DQ22" s="1523">
        <f ca="1">'IS(Q)'!DA30</f>
        <v>0</v>
      </c>
      <c r="DR22" s="1524">
        <f ca="1">'IS(Q)'!DB30</f>
        <v>0</v>
      </c>
      <c r="DS22" s="1522">
        <f ca="1">'IS(Q)'!DC30</f>
        <v>0</v>
      </c>
      <c r="DT22" s="1523">
        <f ca="1">'IS(Q)'!DD30</f>
        <v>0</v>
      </c>
      <c r="DU22" s="1523">
        <f ca="1">'IS(Q)'!DE30</f>
        <v>0</v>
      </c>
      <c r="DV22" s="1524">
        <f ca="1">'IS(Q)'!DF30</f>
        <v>0</v>
      </c>
      <c r="DW22" s="1522">
        <f ca="1">'IS(Q)'!DG30</f>
        <v>0</v>
      </c>
      <c r="DX22" s="1523">
        <f ca="1">'IS(Q)'!DH30</f>
        <v>0</v>
      </c>
      <c r="DY22" s="1523">
        <f ca="1">'IS(Q)'!DI30</f>
        <v>0</v>
      </c>
      <c r="DZ22" s="1524">
        <f ca="1">'IS(Q)'!DJ30</f>
        <v>0</v>
      </c>
      <c r="EA22" s="1522">
        <f ca="1">'IS(Q)'!DK30</f>
        <v>0</v>
      </c>
      <c r="EB22" s="1523">
        <f ca="1">'IS(Q)'!DL30</f>
        <v>0</v>
      </c>
      <c r="EC22" s="1523">
        <f ca="1">'IS(Q)'!DM30</f>
        <v>0</v>
      </c>
      <c r="ED22" s="1524">
        <f ca="1">'IS(Q)'!DN30</f>
        <v>0</v>
      </c>
      <c r="EE22" s="1522">
        <f ca="1">'IS(Q)'!DO30</f>
        <v>0</v>
      </c>
      <c r="EF22" s="1523">
        <f ca="1">'IS(Q)'!DP30</f>
        <v>0</v>
      </c>
      <c r="EG22" s="1523">
        <f ca="1">'IS(Q)'!DQ30</f>
        <v>0</v>
      </c>
      <c r="EH22" s="1524">
        <f ca="1">'IS(Q)'!DR30</f>
        <v>0</v>
      </c>
      <c r="EI22" s="1522">
        <f ca="1">'IS(Q)'!DS30</f>
        <v>0</v>
      </c>
      <c r="EJ22" s="1523">
        <f ca="1">'IS(Q)'!DT30</f>
        <v>0</v>
      </c>
      <c r="EK22" s="1523">
        <f ca="1">'IS(Q)'!DU30</f>
        <v>0</v>
      </c>
      <c r="EL22" s="1524">
        <f ca="1">'IS(Q)'!DV30</f>
        <v>0</v>
      </c>
      <c r="EM22" s="1522">
        <f ca="1">'IS(Q)'!DW30</f>
        <v>0</v>
      </c>
      <c r="EN22" s="1523">
        <f ca="1">'IS(Q)'!DX30</f>
        <v>0</v>
      </c>
      <c r="EO22" s="1523">
        <f ca="1">'IS(Q)'!DY30</f>
        <v>0</v>
      </c>
      <c r="EP22" s="1524">
        <f ca="1">'IS(Q)'!DZ30</f>
        <v>0</v>
      </c>
      <c r="EQ22" s="1522">
        <f ca="1">'IS(Q)'!EA30</f>
        <v>0</v>
      </c>
      <c r="ER22" s="1523">
        <f ca="1">'IS(Q)'!EB30</f>
        <v>0</v>
      </c>
      <c r="ES22" s="1523">
        <f ca="1">'IS(Q)'!EC30</f>
        <v>0</v>
      </c>
      <c r="ET22" s="1524">
        <f ca="1">'IS(Q)'!ED30</f>
        <v>0</v>
      </c>
      <c r="EU22" s="1522">
        <f ca="1">'IS(Q)'!EE30</f>
        <v>0</v>
      </c>
      <c r="EV22" s="1523">
        <f ca="1">'IS(Q)'!EF30</f>
        <v>0</v>
      </c>
      <c r="EW22" s="1523">
        <f ca="1">'IS(Q)'!EG30</f>
        <v>0</v>
      </c>
      <c r="EX22" s="1524">
        <f ca="1">'IS(Q)'!EH30</f>
        <v>0</v>
      </c>
      <c r="EY22" s="1522">
        <f ca="1">'IS(Q)'!EI30</f>
        <v>0</v>
      </c>
      <c r="EZ22" s="1523">
        <f ca="1">'IS(Q)'!EJ30</f>
        <v>0</v>
      </c>
      <c r="FA22" s="1523">
        <f ca="1">'IS(Q)'!EK30</f>
        <v>0</v>
      </c>
      <c r="FB22" s="1524">
        <f ca="1">'IS(Q)'!EL30</f>
        <v>0</v>
      </c>
      <c r="FC22" s="1522">
        <f ca="1">'IS(Q)'!EM30</f>
        <v>0</v>
      </c>
      <c r="FD22" s="1523">
        <f ca="1">'IS(Q)'!EN30</f>
        <v>0</v>
      </c>
      <c r="FE22" s="1523">
        <f ca="1">'IS(Q)'!EO30</f>
        <v>0</v>
      </c>
      <c r="FF22" s="1524">
        <f ca="1">'IS(Q)'!EP30</f>
        <v>0</v>
      </c>
      <c r="FG22" s="1522">
        <f ca="1">'IS(Q)'!EQ30</f>
        <v>0</v>
      </c>
      <c r="FH22" s="1523">
        <f ca="1">'IS(Q)'!ER30</f>
        <v>0</v>
      </c>
      <c r="FI22" s="1523">
        <f ca="1">'IS(Q)'!ES30</f>
        <v>0</v>
      </c>
      <c r="FJ22" s="1524">
        <f ca="1">'IS(Q)'!ET30</f>
        <v>0</v>
      </c>
      <c r="FK22" s="1522">
        <f ca="1">'IS(Q)'!EU30</f>
        <v>0</v>
      </c>
      <c r="FL22" s="1523">
        <f ca="1">'IS(Q)'!EV30</f>
        <v>0</v>
      </c>
      <c r="FM22" s="1523">
        <f ca="1">'IS(Q)'!EW30</f>
        <v>0</v>
      </c>
      <c r="FN22" s="1524">
        <f ca="1">'IS(Q)'!EX30</f>
        <v>0</v>
      </c>
      <c r="FO22" s="1522">
        <f ca="1">'IS(Q)'!EY30</f>
        <v>0</v>
      </c>
      <c r="FP22" s="1523">
        <f ca="1">'IS(Q)'!EZ30</f>
        <v>0</v>
      </c>
      <c r="FQ22" s="1523">
        <f ca="1">'IS(Q)'!FA30</f>
        <v>0</v>
      </c>
      <c r="FR22" s="1524">
        <f ca="1">'IS(Q)'!FB30</f>
        <v>0</v>
      </c>
      <c r="FS22" s="1522">
        <f ca="1">'IS(Q)'!FC30</f>
        <v>0</v>
      </c>
      <c r="FT22" s="1523">
        <f ca="1">'IS(Q)'!FD30</f>
        <v>0</v>
      </c>
      <c r="FU22" s="1523">
        <f ca="1">'IS(Q)'!FE30</f>
        <v>0</v>
      </c>
      <c r="FV22" s="1524">
        <f ca="1">'IS(Q)'!FF30</f>
        <v>0</v>
      </c>
      <c r="FW22" s="1522">
        <f ca="1">'IS(Q)'!FG30</f>
        <v>0</v>
      </c>
      <c r="FX22" s="1523">
        <f ca="1">'IS(Q)'!FH30</f>
        <v>0</v>
      </c>
      <c r="FY22" s="1523">
        <f ca="1">'IS(Q)'!FI30</f>
        <v>0</v>
      </c>
      <c r="FZ22" s="1524">
        <f ca="1">'IS(Q)'!FJ30</f>
        <v>0</v>
      </c>
      <c r="GA22" s="1522">
        <f ca="1">'IS(Q)'!FK30</f>
        <v>0</v>
      </c>
      <c r="GB22" s="1523">
        <f ca="1">'IS(Q)'!FL30</f>
        <v>0</v>
      </c>
      <c r="GC22" s="1523">
        <f ca="1">'IS(Q)'!FM30</f>
        <v>0</v>
      </c>
      <c r="GD22" s="1524">
        <f ca="1">'IS(Q)'!FN30</f>
        <v>0</v>
      </c>
      <c r="GE22" s="1508"/>
      <c r="GF22" s="1509"/>
      <c r="GG22" s="1509"/>
      <c r="GH22" s="1509"/>
      <c r="GI22" s="1509"/>
      <c r="GJ22" s="1509"/>
      <c r="GK22" s="1509"/>
      <c r="GL22" s="1509"/>
      <c r="GM22" s="1509"/>
      <c r="GN22" s="1509"/>
      <c r="GO22" s="1509"/>
      <c r="GP22" s="1509"/>
      <c r="GQ22" s="1509"/>
      <c r="GR22" s="1509"/>
      <c r="GS22" s="1509"/>
      <c r="GT22" s="1509"/>
    </row>
    <row r="23" spans="1:202" s="4924" customFormat="1" ht="17.100000000000001" customHeight="1" outlineLevel="1">
      <c r="B23" s="5017"/>
      <c r="C23" s="5046" t="str">
        <f>C38</f>
        <v>상환우선주</v>
      </c>
      <c r="D23" s="5047"/>
      <c r="E23" s="727" t="s">
        <v>238</v>
      </c>
      <c r="F23" s="5053">
        <f t="shared" ca="1" si="11"/>
        <v>0</v>
      </c>
      <c r="G23" s="5048"/>
      <c r="H23" s="5048"/>
      <c r="I23" s="5048"/>
      <c r="J23" s="5048"/>
      <c r="K23" s="5048"/>
      <c r="L23" s="5048"/>
      <c r="M23" s="5048"/>
      <c r="N23" s="5048"/>
      <c r="O23" s="5048"/>
      <c r="P23" s="5048"/>
      <c r="Q23" s="5048"/>
      <c r="R23" s="5048"/>
      <c r="S23" s="5048"/>
      <c r="T23" s="5048"/>
      <c r="U23" s="5048"/>
      <c r="V23" s="5048"/>
      <c r="W23" s="917"/>
      <c r="X23" s="918"/>
      <c r="Y23" s="918"/>
      <c r="Z23" s="919"/>
      <c r="AA23" s="917"/>
      <c r="AB23" s="918"/>
      <c r="AC23" s="918"/>
      <c r="AD23" s="919"/>
      <c r="AE23" s="1522"/>
      <c r="AF23" s="1523"/>
      <c r="AG23" s="1523"/>
      <c r="AH23" s="1524"/>
      <c r="AI23" s="1522"/>
      <c r="AJ23" s="1523"/>
      <c r="AK23" s="1523"/>
      <c r="AL23" s="1524"/>
      <c r="AM23" s="1522"/>
      <c r="AN23" s="1523"/>
      <c r="AO23" s="1523"/>
      <c r="AP23" s="1524"/>
      <c r="AQ23" s="1522"/>
      <c r="AR23" s="1523"/>
      <c r="AS23" s="1523"/>
      <c r="AT23" s="1524"/>
      <c r="AU23" s="1522"/>
      <c r="AV23" s="1523"/>
      <c r="AW23" s="1523"/>
      <c r="AX23" s="1524"/>
      <c r="AY23" s="1522"/>
      <c r="AZ23" s="1523">
        <f ca="1">Waterfall!AJ90+Waterfall!AJ95</f>
        <v>0</v>
      </c>
      <c r="BA23" s="1523">
        <f ca="1">Waterfall!AK90+Waterfall!AK95</f>
        <v>0</v>
      </c>
      <c r="BB23" s="1524">
        <f ca="1">Waterfall!AL90+Waterfall!AL95</f>
        <v>0</v>
      </c>
      <c r="BC23" s="1522">
        <f ca="1">Waterfall!AM90+Waterfall!AM95</f>
        <v>0</v>
      </c>
      <c r="BD23" s="1523">
        <f ca="1">Waterfall!AN90+Waterfall!AN95</f>
        <v>0</v>
      </c>
      <c r="BE23" s="1523">
        <f ca="1">Waterfall!AO90+Waterfall!AO95</f>
        <v>0</v>
      </c>
      <c r="BF23" s="1524">
        <f ca="1">Waterfall!AP90+Waterfall!AP95</f>
        <v>0</v>
      </c>
      <c r="BG23" s="1522">
        <f ca="1">Waterfall!AQ90+Waterfall!AQ95</f>
        <v>0</v>
      </c>
      <c r="BH23" s="1523">
        <f ca="1">Waterfall!AR90+Waterfall!AR95</f>
        <v>0</v>
      </c>
      <c r="BI23" s="1523">
        <f ca="1">Waterfall!AS90+Waterfall!AS95</f>
        <v>0</v>
      </c>
      <c r="BJ23" s="1524">
        <f ca="1">Waterfall!AT90+Waterfall!AT95</f>
        <v>0</v>
      </c>
      <c r="BK23" s="1522">
        <f ca="1">Waterfall!AU90+Waterfall!AU95</f>
        <v>0</v>
      </c>
      <c r="BL23" s="1523">
        <f ca="1">Waterfall!AV90+Waterfall!AV95</f>
        <v>0</v>
      </c>
      <c r="BM23" s="1523">
        <f ca="1">Waterfall!AW90+Waterfall!AW95</f>
        <v>0</v>
      </c>
      <c r="BN23" s="1524">
        <f ca="1">Waterfall!AX90+Waterfall!AX95</f>
        <v>0</v>
      </c>
      <c r="BO23" s="1522">
        <f ca="1">Waterfall!AY90</f>
        <v>0</v>
      </c>
      <c r="BP23" s="1523">
        <f ca="1">Waterfall!AZ90</f>
        <v>0</v>
      </c>
      <c r="BQ23" s="1523">
        <f ca="1">Waterfall!BA90</f>
        <v>0</v>
      </c>
      <c r="BR23" s="1524">
        <f ca="1">Waterfall!BB90</f>
        <v>0</v>
      </c>
      <c r="BS23" s="1522">
        <f ca="1">Waterfall!BC90</f>
        <v>0</v>
      </c>
      <c r="BT23" s="1523">
        <f ca="1">Waterfall!BD90</f>
        <v>0</v>
      </c>
      <c r="BU23" s="1523">
        <f ca="1">Waterfall!BE90</f>
        <v>0</v>
      </c>
      <c r="BV23" s="1524">
        <f ca="1">Waterfall!BF90</f>
        <v>0</v>
      </c>
      <c r="BW23" s="1522">
        <f ca="1">Waterfall!BG90</f>
        <v>0</v>
      </c>
      <c r="BX23" s="1523">
        <f ca="1">Waterfall!BH90</f>
        <v>0</v>
      </c>
      <c r="BY23" s="1523">
        <f ca="1">Waterfall!BI90</f>
        <v>0</v>
      </c>
      <c r="BZ23" s="1524">
        <f ca="1">Waterfall!BJ90</f>
        <v>0</v>
      </c>
      <c r="CA23" s="1522">
        <f ca="1">Waterfall!BK90</f>
        <v>0</v>
      </c>
      <c r="CB23" s="1523">
        <f ca="1">Waterfall!BL90</f>
        <v>0</v>
      </c>
      <c r="CC23" s="1523">
        <f ca="1">Waterfall!BM90</f>
        <v>0</v>
      </c>
      <c r="CD23" s="1524">
        <f ca="1">Waterfall!BN90</f>
        <v>0</v>
      </c>
      <c r="CE23" s="1522">
        <f ca="1">Waterfall!BO90</f>
        <v>0</v>
      </c>
      <c r="CF23" s="1523">
        <f ca="1">Waterfall!BP90</f>
        <v>0</v>
      </c>
      <c r="CG23" s="1523">
        <f ca="1">Waterfall!BQ90</f>
        <v>0</v>
      </c>
      <c r="CH23" s="1524">
        <f ca="1">Waterfall!BR90</f>
        <v>0</v>
      </c>
      <c r="CI23" s="1522">
        <f ca="1">Waterfall!BS90</f>
        <v>0</v>
      </c>
      <c r="CJ23" s="1523">
        <f ca="1">Waterfall!BT90</f>
        <v>0</v>
      </c>
      <c r="CK23" s="1523">
        <f ca="1">Waterfall!BU90</f>
        <v>0</v>
      </c>
      <c r="CL23" s="1524">
        <f ca="1">Waterfall!BV90</f>
        <v>0</v>
      </c>
      <c r="CM23" s="1522">
        <f ca="1">Waterfall!BW90</f>
        <v>0</v>
      </c>
      <c r="CN23" s="1523">
        <f ca="1">Waterfall!BX90</f>
        <v>0</v>
      </c>
      <c r="CO23" s="1523">
        <f ca="1">Waterfall!BY90</f>
        <v>0</v>
      </c>
      <c r="CP23" s="1524">
        <f ca="1">Waterfall!BZ90</f>
        <v>0</v>
      </c>
      <c r="CQ23" s="1522">
        <f ca="1">Waterfall!CA90</f>
        <v>0</v>
      </c>
      <c r="CR23" s="1523">
        <f ca="1">Waterfall!CB90</f>
        <v>0</v>
      </c>
      <c r="CS23" s="1523">
        <f>Waterfall!CC90</f>
        <v>0</v>
      </c>
      <c r="CT23" s="1524">
        <f>Waterfall!CD90</f>
        <v>0</v>
      </c>
      <c r="CU23" s="1522">
        <f>Waterfall!CE90</f>
        <v>0</v>
      </c>
      <c r="CV23" s="1523">
        <f>Waterfall!CF90</f>
        <v>0</v>
      </c>
      <c r="CW23" s="1523">
        <f>Waterfall!CG90</f>
        <v>0</v>
      </c>
      <c r="CX23" s="1524">
        <f>Waterfall!CH90</f>
        <v>0</v>
      </c>
      <c r="CY23" s="1522">
        <f>Waterfall!CI90</f>
        <v>0</v>
      </c>
      <c r="CZ23" s="1523">
        <f>Waterfall!CJ90</f>
        <v>0</v>
      </c>
      <c r="DA23" s="1523">
        <f>Waterfall!CK90</f>
        <v>0</v>
      </c>
      <c r="DB23" s="1524">
        <f>Waterfall!CL90</f>
        <v>0</v>
      </c>
      <c r="DC23" s="1522">
        <f>Waterfall!CM90</f>
        <v>0</v>
      </c>
      <c r="DD23" s="1523">
        <f>Waterfall!CN90</f>
        <v>0</v>
      </c>
      <c r="DE23" s="1523">
        <f>Waterfall!CO90</f>
        <v>0</v>
      </c>
      <c r="DF23" s="1524">
        <f>Waterfall!CP90</f>
        <v>0</v>
      </c>
      <c r="DG23" s="1522">
        <f>Waterfall!CQ90</f>
        <v>0</v>
      </c>
      <c r="DH23" s="1523">
        <f>Waterfall!CR90</f>
        <v>0</v>
      </c>
      <c r="DI23" s="1523">
        <f>Waterfall!CS90</f>
        <v>0</v>
      </c>
      <c r="DJ23" s="1524">
        <f>Waterfall!CT90</f>
        <v>0</v>
      </c>
      <c r="DK23" s="1522">
        <f>Waterfall!CU90</f>
        <v>0</v>
      </c>
      <c r="DL23" s="1523">
        <f>Waterfall!CV90</f>
        <v>0</v>
      </c>
      <c r="DM23" s="1523">
        <f>Waterfall!CW90</f>
        <v>0</v>
      </c>
      <c r="DN23" s="1524">
        <f>Waterfall!CX90</f>
        <v>0</v>
      </c>
      <c r="DO23" s="1522">
        <f>Waterfall!CY90</f>
        <v>0</v>
      </c>
      <c r="DP23" s="1523">
        <f>Waterfall!CZ90</f>
        <v>0</v>
      </c>
      <c r="DQ23" s="1523">
        <f>Waterfall!DA90</f>
        <v>0</v>
      </c>
      <c r="DR23" s="1524">
        <f>Waterfall!DB90</f>
        <v>0</v>
      </c>
      <c r="DS23" s="1522">
        <f>Waterfall!DC90</f>
        <v>0</v>
      </c>
      <c r="DT23" s="1523">
        <f>Waterfall!DD90</f>
        <v>0</v>
      </c>
      <c r="DU23" s="1523">
        <f>Waterfall!DE90</f>
        <v>0</v>
      </c>
      <c r="DV23" s="1524">
        <f>Waterfall!DF90</f>
        <v>0</v>
      </c>
      <c r="DW23" s="1522">
        <f>Waterfall!DG90</f>
        <v>0</v>
      </c>
      <c r="DX23" s="1523">
        <f>Waterfall!DH90</f>
        <v>0</v>
      </c>
      <c r="DY23" s="1523">
        <f>Waterfall!DI90</f>
        <v>0</v>
      </c>
      <c r="DZ23" s="1524">
        <f>Waterfall!DJ90</f>
        <v>0</v>
      </c>
      <c r="EA23" s="1522">
        <f>Waterfall!DK90</f>
        <v>0</v>
      </c>
      <c r="EB23" s="1523">
        <f>Waterfall!DL90</f>
        <v>0</v>
      </c>
      <c r="EC23" s="1523">
        <f>Waterfall!DM90</f>
        <v>0</v>
      </c>
      <c r="ED23" s="1524">
        <f>Waterfall!DN90</f>
        <v>0</v>
      </c>
      <c r="EE23" s="1522">
        <f>Waterfall!DO90</f>
        <v>0</v>
      </c>
      <c r="EF23" s="1523">
        <f>Waterfall!DP90</f>
        <v>0</v>
      </c>
      <c r="EG23" s="1523">
        <f>Waterfall!DQ90</f>
        <v>0</v>
      </c>
      <c r="EH23" s="1524">
        <f>Waterfall!DR90</f>
        <v>0</v>
      </c>
      <c r="EI23" s="1522">
        <f>Waterfall!DS90</f>
        <v>0</v>
      </c>
      <c r="EJ23" s="1523">
        <f>Waterfall!DT90</f>
        <v>0</v>
      </c>
      <c r="EK23" s="1523">
        <f>Waterfall!DU90</f>
        <v>0</v>
      </c>
      <c r="EL23" s="1524">
        <f>Waterfall!DV90</f>
        <v>0</v>
      </c>
      <c r="EM23" s="1522">
        <f>Waterfall!DW90</f>
        <v>0</v>
      </c>
      <c r="EN23" s="1523">
        <f>Waterfall!DX90</f>
        <v>0</v>
      </c>
      <c r="EO23" s="1523">
        <f>Waterfall!DY90</f>
        <v>0</v>
      </c>
      <c r="EP23" s="1524">
        <f>Waterfall!DZ90</f>
        <v>0</v>
      </c>
      <c r="EQ23" s="1522">
        <f>Waterfall!EA90</f>
        <v>0</v>
      </c>
      <c r="ER23" s="1523">
        <f>Waterfall!EB90</f>
        <v>0</v>
      </c>
      <c r="ES23" s="1523">
        <f>Waterfall!EC90</f>
        <v>0</v>
      </c>
      <c r="ET23" s="1524">
        <f>Waterfall!ED90</f>
        <v>0</v>
      </c>
      <c r="EU23" s="1522">
        <f>Waterfall!EE90</f>
        <v>0</v>
      </c>
      <c r="EV23" s="1523">
        <f>Waterfall!EF90</f>
        <v>0</v>
      </c>
      <c r="EW23" s="1523">
        <f>Waterfall!EG90</f>
        <v>0</v>
      </c>
      <c r="EX23" s="1524">
        <f>Waterfall!EH90</f>
        <v>0</v>
      </c>
      <c r="EY23" s="1522">
        <f>Waterfall!EI90</f>
        <v>0</v>
      </c>
      <c r="EZ23" s="1523">
        <f>Waterfall!EJ90</f>
        <v>0</v>
      </c>
      <c r="FA23" s="1523">
        <f>Waterfall!EK90</f>
        <v>0</v>
      </c>
      <c r="FB23" s="1524">
        <f>Waterfall!EL90</f>
        <v>0</v>
      </c>
      <c r="FC23" s="1522">
        <f>Waterfall!EM90</f>
        <v>0</v>
      </c>
      <c r="FD23" s="1523">
        <f>Waterfall!EN90</f>
        <v>0</v>
      </c>
      <c r="FE23" s="1523">
        <f>Waterfall!EO90</f>
        <v>0</v>
      </c>
      <c r="FF23" s="1524">
        <f>Waterfall!EP90</f>
        <v>0</v>
      </c>
      <c r="FG23" s="1522">
        <f>Waterfall!EQ90</f>
        <v>0</v>
      </c>
      <c r="FH23" s="1523">
        <f>Waterfall!ER90</f>
        <v>0</v>
      </c>
      <c r="FI23" s="1523">
        <f>Waterfall!ES90</f>
        <v>0</v>
      </c>
      <c r="FJ23" s="1524">
        <f>Waterfall!ET90</f>
        <v>0</v>
      </c>
      <c r="FK23" s="1522">
        <f>Waterfall!EU90</f>
        <v>0</v>
      </c>
      <c r="FL23" s="1523">
        <f>Waterfall!EV90</f>
        <v>0</v>
      </c>
      <c r="FM23" s="1523">
        <f>Waterfall!EW90</f>
        <v>0</v>
      </c>
      <c r="FN23" s="1524">
        <f>Waterfall!EX90</f>
        <v>0</v>
      </c>
      <c r="FO23" s="1522">
        <f>Waterfall!EY90</f>
        <v>0</v>
      </c>
      <c r="FP23" s="1523">
        <f>Waterfall!EZ90</f>
        <v>0</v>
      </c>
      <c r="FQ23" s="1523">
        <f>Waterfall!FA90</f>
        <v>0</v>
      </c>
      <c r="FR23" s="1524">
        <f>Waterfall!FB90</f>
        <v>0</v>
      </c>
      <c r="FS23" s="1522">
        <f>Waterfall!FC90</f>
        <v>0</v>
      </c>
      <c r="FT23" s="1523">
        <f>Waterfall!FD90</f>
        <v>0</v>
      </c>
      <c r="FU23" s="1523">
        <f>Waterfall!FE90</f>
        <v>0</v>
      </c>
      <c r="FV23" s="1524">
        <f>Waterfall!FF90</f>
        <v>0</v>
      </c>
      <c r="FW23" s="1522">
        <f>Waterfall!FG90</f>
        <v>0</v>
      </c>
      <c r="FX23" s="1523">
        <f>Waterfall!FH90</f>
        <v>0</v>
      </c>
      <c r="FY23" s="1523">
        <f>Waterfall!FI90</f>
        <v>0</v>
      </c>
      <c r="FZ23" s="1524">
        <f>Waterfall!FJ90</f>
        <v>0</v>
      </c>
      <c r="GA23" s="1522">
        <f>Waterfall!FK90</f>
        <v>0</v>
      </c>
      <c r="GB23" s="1523">
        <f>Waterfall!FL90</f>
        <v>0</v>
      </c>
      <c r="GC23" s="1523">
        <f>Waterfall!FM90</f>
        <v>0</v>
      </c>
      <c r="GD23" s="1524">
        <f>Waterfall!FN90</f>
        <v>0</v>
      </c>
      <c r="GE23" s="1508"/>
      <c r="GF23" s="1509"/>
      <c r="GG23" s="1509"/>
      <c r="GH23" s="1509"/>
      <c r="GI23" s="1509"/>
      <c r="GJ23" s="1509"/>
      <c r="GK23" s="1509"/>
      <c r="GL23" s="1509"/>
      <c r="GM23" s="1509"/>
      <c r="GN23" s="1509"/>
      <c r="GO23" s="1509"/>
      <c r="GP23" s="1509"/>
      <c r="GQ23" s="1509"/>
      <c r="GR23" s="1509"/>
      <c r="GS23" s="1509"/>
      <c r="GT23" s="1509"/>
    </row>
    <row r="24" spans="1:202" s="4924" customFormat="1" ht="17.100000000000001" customHeight="1" outlineLevel="1">
      <c r="B24" s="5017"/>
      <c r="C24" s="5046" t="s">
        <v>1305</v>
      </c>
      <c r="D24" s="5047"/>
      <c r="E24" s="727" t="s">
        <v>238</v>
      </c>
      <c r="F24" s="5053">
        <f t="shared" si="11"/>
        <v>0</v>
      </c>
      <c r="G24" s="5048"/>
      <c r="H24" s="5048"/>
      <c r="I24" s="5048"/>
      <c r="J24" s="5048"/>
      <c r="K24" s="5048"/>
      <c r="L24" s="5048"/>
      <c r="M24" s="5048"/>
      <c r="N24" s="5048"/>
      <c r="O24" s="5048"/>
      <c r="P24" s="5048"/>
      <c r="Q24" s="5048"/>
      <c r="R24" s="5048"/>
      <c r="S24" s="5048"/>
      <c r="T24" s="5048"/>
      <c r="U24" s="5048"/>
      <c r="V24" s="5048"/>
      <c r="W24" s="917">
        <f>Waterfall!G77</f>
        <v>0</v>
      </c>
      <c r="X24" s="918">
        <f>Waterfall!H77</f>
        <v>0</v>
      </c>
      <c r="Y24" s="918">
        <f>Waterfall!I77</f>
        <v>0</v>
      </c>
      <c r="Z24" s="919">
        <f>Waterfall!J77</f>
        <v>0</v>
      </c>
      <c r="AA24" s="917">
        <f>Waterfall!K77</f>
        <v>0</v>
      </c>
      <c r="AB24" s="918">
        <f>Waterfall!L77</f>
        <v>0</v>
      </c>
      <c r="AC24" s="918">
        <f>Waterfall!M77</f>
        <v>0</v>
      </c>
      <c r="AD24" s="919">
        <f>Waterfall!N77</f>
        <v>0</v>
      </c>
      <c r="AE24" s="1522">
        <f>Waterfall!O77</f>
        <v>0</v>
      </c>
      <c r="AF24" s="1523">
        <f>Waterfall!P77</f>
        <v>0</v>
      </c>
      <c r="AG24" s="1523">
        <f>Waterfall!Q77</f>
        <v>0</v>
      </c>
      <c r="AH24" s="1524">
        <f>Waterfall!R77</f>
        <v>0</v>
      </c>
      <c r="AI24" s="1522">
        <f>Waterfall!S77</f>
        <v>0</v>
      </c>
      <c r="AJ24" s="1523">
        <f>Waterfall!T77</f>
        <v>0</v>
      </c>
      <c r="AK24" s="1523">
        <f>Waterfall!U77</f>
        <v>0</v>
      </c>
      <c r="AL24" s="1524">
        <f>Waterfall!V77</f>
        <v>0</v>
      </c>
      <c r="AM24" s="1522">
        <f>Waterfall!W77</f>
        <v>0</v>
      </c>
      <c r="AN24" s="1523">
        <f>Waterfall!X77</f>
        <v>0</v>
      </c>
      <c r="AO24" s="1523">
        <f>Waterfall!Y77</f>
        <v>0</v>
      </c>
      <c r="AP24" s="1524">
        <f>Waterfall!Z77</f>
        <v>0</v>
      </c>
      <c r="AQ24" s="1522">
        <f>Waterfall!AA77</f>
        <v>0</v>
      </c>
      <c r="AR24" s="1523">
        <f>Waterfall!AB77</f>
        <v>0</v>
      </c>
      <c r="AS24" s="1523">
        <f>Waterfall!AC77</f>
        <v>0</v>
      </c>
      <c r="AT24" s="1524">
        <f>Waterfall!AD77</f>
        <v>0</v>
      </c>
      <c r="AU24" s="1522">
        <f>Waterfall!AE77</f>
        <v>0</v>
      </c>
      <c r="AV24" s="1523">
        <f>Waterfall!AF77</f>
        <v>0</v>
      </c>
      <c r="AW24" s="1523">
        <f>Waterfall!AG77</f>
        <v>0</v>
      </c>
      <c r="AX24" s="1524">
        <f>Waterfall!AH77</f>
        <v>0</v>
      </c>
      <c r="AY24" s="1522">
        <f>Waterfall!AI77</f>
        <v>0</v>
      </c>
      <c r="AZ24" s="1523">
        <f>Waterfall!AJ77</f>
        <v>0</v>
      </c>
      <c r="BA24" s="1523">
        <f>Waterfall!AK77</f>
        <v>0</v>
      </c>
      <c r="BB24" s="1524">
        <f>Waterfall!AL77</f>
        <v>0</v>
      </c>
      <c r="BC24" s="1522">
        <f>Waterfall!AM77</f>
        <v>0</v>
      </c>
      <c r="BD24" s="1523">
        <f>Waterfall!AN77</f>
        <v>0</v>
      </c>
      <c r="BE24" s="1523">
        <f>Waterfall!AO77</f>
        <v>0</v>
      </c>
      <c r="BF24" s="1524">
        <f>Waterfall!AP77</f>
        <v>0</v>
      </c>
      <c r="BG24" s="1522">
        <f>Waterfall!AQ77</f>
        <v>0</v>
      </c>
      <c r="BH24" s="1523">
        <f>Waterfall!AR77</f>
        <v>0</v>
      </c>
      <c r="BI24" s="1523">
        <f>Waterfall!AS77</f>
        <v>0</v>
      </c>
      <c r="BJ24" s="1524">
        <f>Waterfall!AT77</f>
        <v>0</v>
      </c>
      <c r="BK24" s="1522">
        <f>Waterfall!AU77</f>
        <v>0</v>
      </c>
      <c r="BL24" s="1523">
        <f>Waterfall!AV77</f>
        <v>0</v>
      </c>
      <c r="BM24" s="1523">
        <f>Waterfall!AW77</f>
        <v>0</v>
      </c>
      <c r="BN24" s="1524">
        <f>Waterfall!AX77</f>
        <v>0</v>
      </c>
      <c r="BO24" s="1522">
        <f>Waterfall!AY77</f>
        <v>0</v>
      </c>
      <c r="BP24" s="1523">
        <f>Waterfall!AZ77</f>
        <v>0</v>
      </c>
      <c r="BQ24" s="1523">
        <f>Waterfall!BA77</f>
        <v>0</v>
      </c>
      <c r="BR24" s="1524">
        <f>Waterfall!BB77</f>
        <v>0</v>
      </c>
      <c r="BS24" s="1522">
        <f>Waterfall!BC77</f>
        <v>0</v>
      </c>
      <c r="BT24" s="1523">
        <f>Waterfall!BD77</f>
        <v>0</v>
      </c>
      <c r="BU24" s="1523">
        <f>Waterfall!BE77</f>
        <v>0</v>
      </c>
      <c r="BV24" s="1524">
        <f>Waterfall!BF77</f>
        <v>0</v>
      </c>
      <c r="BW24" s="1522">
        <f>Waterfall!BG77</f>
        <v>0</v>
      </c>
      <c r="BX24" s="1523">
        <f>Waterfall!BH77</f>
        <v>0</v>
      </c>
      <c r="BY24" s="1523">
        <f>Waterfall!BI77</f>
        <v>0</v>
      </c>
      <c r="BZ24" s="1524">
        <f>Waterfall!BJ77</f>
        <v>0</v>
      </c>
      <c r="CA24" s="1522">
        <f>Waterfall!BK77</f>
        <v>0</v>
      </c>
      <c r="CB24" s="1523">
        <f>Waterfall!BL77</f>
        <v>0</v>
      </c>
      <c r="CC24" s="1523">
        <f>Waterfall!BM77</f>
        <v>0</v>
      </c>
      <c r="CD24" s="1524">
        <f>Waterfall!BN77</f>
        <v>0</v>
      </c>
      <c r="CE24" s="1522">
        <f>Waterfall!BO77</f>
        <v>0</v>
      </c>
      <c r="CF24" s="1523">
        <f>Waterfall!BP77</f>
        <v>0</v>
      </c>
      <c r="CG24" s="1523">
        <f>Waterfall!BQ77</f>
        <v>0</v>
      </c>
      <c r="CH24" s="1524">
        <f>Waterfall!BR77</f>
        <v>0</v>
      </c>
      <c r="CI24" s="1522">
        <f>Waterfall!BS77</f>
        <v>0</v>
      </c>
      <c r="CJ24" s="1523">
        <f>Waterfall!BT77</f>
        <v>0</v>
      </c>
      <c r="CK24" s="1523">
        <f>Waterfall!BU77</f>
        <v>0</v>
      </c>
      <c r="CL24" s="1524">
        <f>Waterfall!BV77</f>
        <v>0</v>
      </c>
      <c r="CM24" s="1522">
        <f>Waterfall!BW77</f>
        <v>0</v>
      </c>
      <c r="CN24" s="1523">
        <f>Waterfall!BX77</f>
        <v>0</v>
      </c>
      <c r="CO24" s="1523">
        <f>Waterfall!BY77</f>
        <v>0</v>
      </c>
      <c r="CP24" s="1524">
        <f>Waterfall!BZ77</f>
        <v>0</v>
      </c>
      <c r="CQ24" s="1522">
        <f>Waterfall!CA77</f>
        <v>0</v>
      </c>
      <c r="CR24" s="1523">
        <f>Waterfall!CB77</f>
        <v>0</v>
      </c>
      <c r="CS24" s="1523">
        <f>Waterfall!CC77</f>
        <v>0</v>
      </c>
      <c r="CT24" s="1524">
        <f>Waterfall!CD77</f>
        <v>0</v>
      </c>
      <c r="CU24" s="1522">
        <f>Waterfall!CE77</f>
        <v>0</v>
      </c>
      <c r="CV24" s="1523">
        <f>Waterfall!CF77</f>
        <v>0</v>
      </c>
      <c r="CW24" s="1523">
        <f>Waterfall!CG77</f>
        <v>0</v>
      </c>
      <c r="CX24" s="1524">
        <f>Waterfall!CH77</f>
        <v>0</v>
      </c>
      <c r="CY24" s="1522">
        <f>Waterfall!CI77</f>
        <v>0</v>
      </c>
      <c r="CZ24" s="1523">
        <f>Waterfall!CJ77</f>
        <v>0</v>
      </c>
      <c r="DA24" s="1523">
        <f>Waterfall!CK77</f>
        <v>0</v>
      </c>
      <c r="DB24" s="1524">
        <f>Waterfall!CL77</f>
        <v>0</v>
      </c>
      <c r="DC24" s="1522">
        <f>Waterfall!CM77</f>
        <v>0</v>
      </c>
      <c r="DD24" s="1523">
        <f>Waterfall!CN77</f>
        <v>0</v>
      </c>
      <c r="DE24" s="1523">
        <f>Waterfall!CO77</f>
        <v>0</v>
      </c>
      <c r="DF24" s="1524">
        <f>Waterfall!CP77</f>
        <v>0</v>
      </c>
      <c r="DG24" s="1522">
        <f>Waterfall!CQ77</f>
        <v>0</v>
      </c>
      <c r="DH24" s="1523">
        <f>Waterfall!CR77</f>
        <v>0</v>
      </c>
      <c r="DI24" s="1523">
        <f>Waterfall!CS77</f>
        <v>0</v>
      </c>
      <c r="DJ24" s="1524">
        <f>Waterfall!CT77</f>
        <v>0</v>
      </c>
      <c r="DK24" s="1522">
        <f>Waterfall!CU77</f>
        <v>0</v>
      </c>
      <c r="DL24" s="1523">
        <f>Waterfall!CV77</f>
        <v>0</v>
      </c>
      <c r="DM24" s="1523">
        <f>Waterfall!CW77</f>
        <v>0</v>
      </c>
      <c r="DN24" s="1524">
        <f>Waterfall!CX77</f>
        <v>0</v>
      </c>
      <c r="DO24" s="1522">
        <f>Waterfall!CY77</f>
        <v>0</v>
      </c>
      <c r="DP24" s="1523">
        <f>Waterfall!CZ77</f>
        <v>0</v>
      </c>
      <c r="DQ24" s="1523">
        <f>Waterfall!DA77</f>
        <v>0</v>
      </c>
      <c r="DR24" s="1524">
        <f>Waterfall!DB77</f>
        <v>0</v>
      </c>
      <c r="DS24" s="1522">
        <f>Waterfall!DC77</f>
        <v>0</v>
      </c>
      <c r="DT24" s="1523">
        <f>Waterfall!DD77</f>
        <v>0</v>
      </c>
      <c r="DU24" s="1523">
        <f>Waterfall!DE77</f>
        <v>0</v>
      </c>
      <c r="DV24" s="1524">
        <f>Waterfall!DF77</f>
        <v>0</v>
      </c>
      <c r="DW24" s="1522">
        <f>Waterfall!DG77</f>
        <v>0</v>
      </c>
      <c r="DX24" s="1523">
        <f>Waterfall!DH77</f>
        <v>0</v>
      </c>
      <c r="DY24" s="1523">
        <f>Waterfall!DI77</f>
        <v>0</v>
      </c>
      <c r="DZ24" s="1524">
        <f>Waterfall!DJ77</f>
        <v>0</v>
      </c>
      <c r="EA24" s="1522">
        <f>Waterfall!DK77</f>
        <v>0</v>
      </c>
      <c r="EB24" s="1523">
        <f>Waterfall!DL77</f>
        <v>0</v>
      </c>
      <c r="EC24" s="1523">
        <f>Waterfall!DM77</f>
        <v>0</v>
      </c>
      <c r="ED24" s="1524">
        <f>Waterfall!DN77</f>
        <v>0</v>
      </c>
      <c r="EE24" s="1522">
        <f>Waterfall!DO77</f>
        <v>0</v>
      </c>
      <c r="EF24" s="1523">
        <f>Waterfall!DP77</f>
        <v>0</v>
      </c>
      <c r="EG24" s="1523">
        <f>Waterfall!DQ77</f>
        <v>0</v>
      </c>
      <c r="EH24" s="1524">
        <f>Waterfall!DR77</f>
        <v>0</v>
      </c>
      <c r="EI24" s="1522">
        <f>Waterfall!DS77</f>
        <v>0</v>
      </c>
      <c r="EJ24" s="1523">
        <f>Waterfall!DT77</f>
        <v>0</v>
      </c>
      <c r="EK24" s="1523">
        <f>Waterfall!DU77</f>
        <v>0</v>
      </c>
      <c r="EL24" s="1524">
        <f>Waterfall!DV77</f>
        <v>0</v>
      </c>
      <c r="EM24" s="1522">
        <f>Waterfall!DW77</f>
        <v>0</v>
      </c>
      <c r="EN24" s="1523">
        <f>Waterfall!DX77</f>
        <v>0</v>
      </c>
      <c r="EO24" s="1523">
        <f>Waterfall!DY77</f>
        <v>0</v>
      </c>
      <c r="EP24" s="1524">
        <f>Waterfall!DZ77</f>
        <v>0</v>
      </c>
      <c r="EQ24" s="1522">
        <f>Waterfall!EA77</f>
        <v>0</v>
      </c>
      <c r="ER24" s="1523">
        <f>Waterfall!EB77</f>
        <v>0</v>
      </c>
      <c r="ES24" s="1523">
        <f>Waterfall!EC77</f>
        <v>0</v>
      </c>
      <c r="ET24" s="1524">
        <f>Waterfall!ED77</f>
        <v>0</v>
      </c>
      <c r="EU24" s="1522">
        <f>Waterfall!EE77</f>
        <v>0</v>
      </c>
      <c r="EV24" s="1523">
        <f>Waterfall!EF77</f>
        <v>0</v>
      </c>
      <c r="EW24" s="1523">
        <f>Waterfall!EG77</f>
        <v>0</v>
      </c>
      <c r="EX24" s="1524">
        <f>Waterfall!EH77</f>
        <v>0</v>
      </c>
      <c r="EY24" s="1522">
        <f>Waterfall!EI77</f>
        <v>0</v>
      </c>
      <c r="EZ24" s="1523">
        <f>Waterfall!EJ77</f>
        <v>0</v>
      </c>
      <c r="FA24" s="1523">
        <f>Waterfall!EK77</f>
        <v>0</v>
      </c>
      <c r="FB24" s="1524">
        <f>Waterfall!EL77</f>
        <v>0</v>
      </c>
      <c r="FC24" s="1522">
        <f>Waterfall!EM77</f>
        <v>0</v>
      </c>
      <c r="FD24" s="1523">
        <f>Waterfall!EN77</f>
        <v>0</v>
      </c>
      <c r="FE24" s="1523">
        <f>Waterfall!EO77</f>
        <v>0</v>
      </c>
      <c r="FF24" s="1524">
        <f>Waterfall!EP77</f>
        <v>0</v>
      </c>
      <c r="FG24" s="1522">
        <f>Waterfall!EQ77</f>
        <v>0</v>
      </c>
      <c r="FH24" s="1523">
        <f>Waterfall!ER77</f>
        <v>0</v>
      </c>
      <c r="FI24" s="1523">
        <f>Waterfall!ES77</f>
        <v>0</v>
      </c>
      <c r="FJ24" s="1524">
        <f>Waterfall!ET77</f>
        <v>0</v>
      </c>
      <c r="FK24" s="1522">
        <f>Waterfall!EU77</f>
        <v>0</v>
      </c>
      <c r="FL24" s="1523">
        <f>Waterfall!EV77</f>
        <v>0</v>
      </c>
      <c r="FM24" s="1523">
        <f>Waterfall!EW77</f>
        <v>0</v>
      </c>
      <c r="FN24" s="1524">
        <f>Waterfall!EX77</f>
        <v>0</v>
      </c>
      <c r="FO24" s="1522">
        <f>Waterfall!EY77</f>
        <v>0</v>
      </c>
      <c r="FP24" s="1523">
        <f>Waterfall!EZ77</f>
        <v>0</v>
      </c>
      <c r="FQ24" s="1523">
        <f>Waterfall!FA77</f>
        <v>0</v>
      </c>
      <c r="FR24" s="1524">
        <f>Waterfall!FB77</f>
        <v>0</v>
      </c>
      <c r="FS24" s="1522">
        <f>Waterfall!FC77</f>
        <v>0</v>
      </c>
      <c r="FT24" s="1523">
        <f>Waterfall!FD77</f>
        <v>0</v>
      </c>
      <c r="FU24" s="1523">
        <f>Waterfall!FE77</f>
        <v>0</v>
      </c>
      <c r="FV24" s="1524">
        <f>Waterfall!FF77</f>
        <v>0</v>
      </c>
      <c r="FW24" s="1522">
        <f>Waterfall!FG77</f>
        <v>0</v>
      </c>
      <c r="FX24" s="1523">
        <f>Waterfall!FH77</f>
        <v>0</v>
      </c>
      <c r="FY24" s="1523">
        <f>Waterfall!FI77</f>
        <v>0</v>
      </c>
      <c r="FZ24" s="1524">
        <f>Waterfall!FJ77</f>
        <v>0</v>
      </c>
      <c r="GA24" s="1522">
        <f>Waterfall!FK77</f>
        <v>0</v>
      </c>
      <c r="GB24" s="1523">
        <f>Waterfall!FL77</f>
        <v>0</v>
      </c>
      <c r="GC24" s="1523">
        <f>Waterfall!FM77</f>
        <v>0</v>
      </c>
      <c r="GD24" s="1524">
        <f>Waterfall!FN77</f>
        <v>0</v>
      </c>
      <c r="GE24" s="1508"/>
      <c r="GF24" s="1509"/>
      <c r="GG24" s="1509"/>
      <c r="GH24" s="1509"/>
      <c r="GI24" s="1509"/>
      <c r="GJ24" s="1509"/>
      <c r="GK24" s="1509"/>
      <c r="GL24" s="1509"/>
      <c r="GM24" s="1509"/>
      <c r="GN24" s="1509"/>
      <c r="GO24" s="1509"/>
      <c r="GP24" s="1509"/>
      <c r="GQ24" s="1509"/>
      <c r="GR24" s="1509"/>
      <c r="GS24" s="1509"/>
      <c r="GT24" s="1509"/>
    </row>
    <row r="25" spans="1:202" ht="17.100000000000001" customHeight="1">
      <c r="B25" s="307"/>
      <c r="C25" s="489" t="s">
        <v>1306</v>
      </c>
      <c r="D25" s="331"/>
      <c r="E25" s="742"/>
      <c r="F25" s="1517">
        <f t="shared" ca="1" si="11"/>
        <v>0</v>
      </c>
      <c r="G25" s="1518"/>
      <c r="H25" s="1518"/>
      <c r="I25" s="1518"/>
      <c r="J25" s="1518"/>
      <c r="K25" s="1518"/>
      <c r="L25" s="1518"/>
      <c r="M25" s="1518"/>
      <c r="N25" s="1518"/>
      <c r="O25" s="1518"/>
      <c r="P25" s="1518"/>
      <c r="Q25" s="1518"/>
      <c r="R25" s="1518"/>
      <c r="S25" s="1518"/>
      <c r="T25" s="1518"/>
      <c r="U25" s="1518"/>
      <c r="V25" s="1518"/>
      <c r="W25" s="1519">
        <f ca="1">비용!H15*(W3&gt;2025)*(민감도!$E$91=1)</f>
        <v>0</v>
      </c>
      <c r="X25" s="1520">
        <f ca="1">비용!I15*(X3&gt;2025)*(민감도!$E$91=1)</f>
        <v>0</v>
      </c>
      <c r="Y25" s="1520">
        <f ca="1">비용!J15*(Y3&gt;2025)*(민감도!$E$91=1)</f>
        <v>0</v>
      </c>
      <c r="Z25" s="1521">
        <f ca="1">비용!K15*(Z3&gt;2025)*(민감도!$E$91=1)</f>
        <v>0</v>
      </c>
      <c r="AA25" s="1519">
        <f ca="1">비용!L15*(AA3&gt;2025)*(민감도!$E$91=1)</f>
        <v>0</v>
      </c>
      <c r="AB25" s="1520">
        <f ca="1">비용!M15*(AB3&gt;2025)*(민감도!$E$91=1)</f>
        <v>0</v>
      </c>
      <c r="AC25" s="1520">
        <f ca="1">비용!N15*(AC3&gt;2025)*(민감도!$E$91=1)</f>
        <v>0</v>
      </c>
      <c r="AD25" s="1521">
        <f ca="1">비용!O15*(AD3&gt;2025)*(민감도!$E$91=1)</f>
        <v>0</v>
      </c>
      <c r="AE25" s="1522">
        <f ca="1">비용!P15*(AE3&gt;2025)*(민감도!$E$91=1)</f>
        <v>0</v>
      </c>
      <c r="AF25" s="1523">
        <f ca="1">비용!Q15*(AF3&gt;2025)*(민감도!$E$91=1)</f>
        <v>0</v>
      </c>
      <c r="AG25" s="1523">
        <f ca="1">비용!R15*(AG3&gt;2025)*(민감도!$E$91=1)</f>
        <v>0</v>
      </c>
      <c r="AH25" s="1524">
        <f ca="1">비용!S15*(AH3&gt;2025)*(민감도!$E$91=1)</f>
        <v>0</v>
      </c>
      <c r="AI25" s="1522">
        <f ca="1">비용!T15*(AI3&gt;2025)*(민감도!$E$91=1)</f>
        <v>0</v>
      </c>
      <c r="AJ25" s="1523">
        <f ca="1">비용!U15*(AJ3&gt;2025)*(민감도!$E$91=1)</f>
        <v>0</v>
      </c>
      <c r="AK25" s="1523">
        <f ca="1">비용!V15*(AK3&gt;2025)*(민감도!$E$91=1)</f>
        <v>0</v>
      </c>
      <c r="AL25" s="1524">
        <f ca="1">비용!W15*(AL3&gt;2025)*(민감도!$E$91=1)</f>
        <v>0</v>
      </c>
      <c r="AM25" s="1522">
        <f ca="1">비용!X15*(AM3&gt;2025)*(민감도!$E$91=1)</f>
        <v>0</v>
      </c>
      <c r="AN25" s="1523">
        <f ca="1">비용!Y15*(AN3&gt;2025)*(민감도!$E$91=1)</f>
        <v>0</v>
      </c>
      <c r="AO25" s="1523">
        <f ca="1">비용!Z15*(AO3&gt;2025)*(민감도!$E$91=1)</f>
        <v>0</v>
      </c>
      <c r="AP25" s="1524">
        <f ca="1">비용!AA15*(AP3&gt;2025)*(민감도!$E$91=1)</f>
        <v>0</v>
      </c>
      <c r="AQ25" s="1522">
        <f ca="1">비용!AB15*(AQ3&gt;2025)*(민감도!$E$91=1)</f>
        <v>0</v>
      </c>
      <c r="AR25" s="1523">
        <f ca="1">비용!AC15*(AR3&gt;2025)*(민감도!$E$91=1)</f>
        <v>0</v>
      </c>
      <c r="AS25" s="1523">
        <f ca="1">비용!AD15*(AS3&gt;2025)*(민감도!$E$91=1)</f>
        <v>0</v>
      </c>
      <c r="AT25" s="1524">
        <f ca="1">비용!AE15*(AT3&gt;2025)*(민감도!$E$91=1)</f>
        <v>0</v>
      </c>
      <c r="AU25" s="1522">
        <f ca="1">비용!AF15*(AU3&gt;2025)*(민감도!$E$91=1)</f>
        <v>0</v>
      </c>
      <c r="AV25" s="1523">
        <f ca="1">비용!AG15*(AV3&gt;2025)*(민감도!$E$91=1)</f>
        <v>0</v>
      </c>
      <c r="AW25" s="1523">
        <f ca="1">비용!AH15*(AW3&gt;2025)*(민감도!$E$91=1)</f>
        <v>0</v>
      </c>
      <c r="AX25" s="1524">
        <f ca="1">비용!AI15*(AX3&gt;2025)*(민감도!$E$91=1)</f>
        <v>0</v>
      </c>
      <c r="AY25" s="1522">
        <f ca="1">비용!AJ15*(AY3&gt;2025)*(민감도!$E$91=1)</f>
        <v>0</v>
      </c>
      <c r="AZ25" s="1523">
        <f ca="1">비용!AK15*(AZ3&gt;2025)*(민감도!$E$91=1)</f>
        <v>0</v>
      </c>
      <c r="BA25" s="1523">
        <f ca="1">비용!AL15*(BA3&gt;2025)*(민감도!$E$91=1)</f>
        <v>0</v>
      </c>
      <c r="BB25" s="1524">
        <f ca="1">비용!AM15*(BB3&gt;2025)*(민감도!$E$91=1)</f>
        <v>0</v>
      </c>
      <c r="BC25" s="1522">
        <f ca="1">비용!AN15*(BC3&gt;2025)*(민감도!$E$91=1)</f>
        <v>0</v>
      </c>
      <c r="BD25" s="1523">
        <f ca="1">비용!AO15*(BD3&gt;2025)*(민감도!$E$91=1)</f>
        <v>0</v>
      </c>
      <c r="BE25" s="1523">
        <f ca="1">비용!AP15*(BE3&gt;2025)*(민감도!$E$91=1)</f>
        <v>0</v>
      </c>
      <c r="BF25" s="1524">
        <f ca="1">비용!AQ15*(BF3&gt;2025)*(민감도!$E$91=1)</f>
        <v>0</v>
      </c>
      <c r="BG25" s="1522">
        <f ca="1">비용!AR15*(BG3&gt;2025)*(민감도!$E$91=1)</f>
        <v>0</v>
      </c>
      <c r="BH25" s="1523">
        <f ca="1">비용!AS15*(BH3&gt;2025)*(민감도!$E$91=1)</f>
        <v>0</v>
      </c>
      <c r="BI25" s="1523">
        <f ca="1">비용!AT15*(BI3&gt;2025)*(민감도!$E$91=1)</f>
        <v>0</v>
      </c>
      <c r="BJ25" s="1524">
        <f ca="1">비용!AU15*(BJ3&gt;2025)*(민감도!$E$91=1)</f>
        <v>0</v>
      </c>
      <c r="BK25" s="1522">
        <f ca="1">비용!AV15*(BK3&gt;2025)*(민감도!$E$91=1)</f>
        <v>0</v>
      </c>
      <c r="BL25" s="1523">
        <f ca="1">비용!AW15*(BL3&gt;2025)*(민감도!$E$91=1)</f>
        <v>0</v>
      </c>
      <c r="BM25" s="1523">
        <f ca="1">비용!AX15*(BM3&gt;2025)*(민감도!$E$91=1)</f>
        <v>0</v>
      </c>
      <c r="BN25" s="1524">
        <f ca="1">비용!AY15*(BN3&gt;2025)*(민감도!$E$91=1)</f>
        <v>0</v>
      </c>
      <c r="BO25" s="1522">
        <f ca="1">비용!AZ15*(BO3&gt;2025)*(민감도!$E$91=1)</f>
        <v>0</v>
      </c>
      <c r="BP25" s="1523">
        <f ca="1">비용!BA15*(BP3&gt;2025)*(민감도!$E$91=1)</f>
        <v>0</v>
      </c>
      <c r="BQ25" s="1523">
        <f ca="1">비용!BB15*(BQ3&gt;2025)*(민감도!$E$91=1)</f>
        <v>0</v>
      </c>
      <c r="BR25" s="1524">
        <f ca="1">비용!BC15*(BR3&gt;2025)*(민감도!$E$91=1)</f>
        <v>0</v>
      </c>
      <c r="BS25" s="1522">
        <f ca="1">비용!BD15*(BS3&gt;2025)*(민감도!$E$91=1)</f>
        <v>0</v>
      </c>
      <c r="BT25" s="1523">
        <f ca="1">비용!BE15*(BT3&gt;2025)*(민감도!$E$91=1)</f>
        <v>0</v>
      </c>
      <c r="BU25" s="1523">
        <f ca="1">비용!BF15*(BU3&gt;2025)*(민감도!$E$91=1)</f>
        <v>0</v>
      </c>
      <c r="BV25" s="1524">
        <f ca="1">비용!BG15*(BV3&gt;2025)*(민감도!$E$91=1)</f>
        <v>0</v>
      </c>
      <c r="BW25" s="1522">
        <f ca="1">비용!BH15*(BW3&gt;2025)*(민감도!$E$91=1)</f>
        <v>0</v>
      </c>
      <c r="BX25" s="1523">
        <f ca="1">비용!BI15*(BX3&gt;2025)*(민감도!$E$91=1)</f>
        <v>0</v>
      </c>
      <c r="BY25" s="1523">
        <f ca="1">비용!BJ15*(BY3&gt;2025)*(민감도!$E$91=1)</f>
        <v>0</v>
      </c>
      <c r="BZ25" s="1524">
        <f ca="1">비용!BK15*(BZ3&gt;2025)*(민감도!$E$91=1)</f>
        <v>0</v>
      </c>
      <c r="CA25" s="1522">
        <f ca="1">비용!BL15*(CA3&gt;2025)*(민감도!$E$91=1)</f>
        <v>0</v>
      </c>
      <c r="CB25" s="1523">
        <f ca="1">비용!BM15*(CB3&gt;2025)*(민감도!$E$91=1)</f>
        <v>0</v>
      </c>
      <c r="CC25" s="1523">
        <f ca="1">비용!BN15*(CC3&gt;2025)*(민감도!$E$91=1)</f>
        <v>0</v>
      </c>
      <c r="CD25" s="1524">
        <f ca="1">비용!BO15*(CD3&gt;2025)*(민감도!$E$91=1)</f>
        <v>0</v>
      </c>
      <c r="CE25" s="1522">
        <f ca="1">비용!BP15*(CE3&gt;2025)*(민감도!$E$91=1)</f>
        <v>0</v>
      </c>
      <c r="CF25" s="1523">
        <f ca="1">비용!BQ15*(CF3&gt;2025)*(민감도!$E$91=1)</f>
        <v>0</v>
      </c>
      <c r="CG25" s="1523">
        <f ca="1">비용!BR15*(CG3&gt;2025)*(민감도!$E$91=1)</f>
        <v>0</v>
      </c>
      <c r="CH25" s="1524">
        <f ca="1">비용!BS15*(CH3&gt;2025)*(민감도!$E$91=1)</f>
        <v>0</v>
      </c>
      <c r="CI25" s="1522">
        <f ca="1">비용!BT15*(CI3&gt;2025)*(민감도!$E$91=1)</f>
        <v>0</v>
      </c>
      <c r="CJ25" s="1523">
        <f ca="1">비용!BU15*(CJ3&gt;2025)*(민감도!$E$91=1)</f>
        <v>0</v>
      </c>
      <c r="CK25" s="1523">
        <f ca="1">비용!BV15*(CK3&gt;2025)*(민감도!$E$91=1)</f>
        <v>0</v>
      </c>
      <c r="CL25" s="1524">
        <f ca="1">비용!BW15*(CL3&gt;2025)*(민감도!$E$91=1)</f>
        <v>0</v>
      </c>
      <c r="CM25" s="1522">
        <f ca="1">비용!BX15*(CM3&gt;2025)*(민감도!$E$91=1)</f>
        <v>0</v>
      </c>
      <c r="CN25" s="1523">
        <f ca="1">비용!BY15*(CN3&gt;2025)*(민감도!$E$91=1)</f>
        <v>0</v>
      </c>
      <c r="CO25" s="1523">
        <f ca="1">비용!BZ15*(CO3&gt;2025)*(민감도!$E$91=1)</f>
        <v>0</v>
      </c>
      <c r="CP25" s="1524">
        <f ca="1">비용!CA15*(CP3&gt;2025)*(민감도!$E$91=1)</f>
        <v>0</v>
      </c>
      <c r="CQ25" s="1522">
        <f ca="1">비용!CB15*(CQ3&gt;2025)*(민감도!$E$91=1)</f>
        <v>0</v>
      </c>
      <c r="CR25" s="1523">
        <f ca="1">비용!CC15*(CR3&gt;2025)*(민감도!$E$91=1)</f>
        <v>0</v>
      </c>
      <c r="CS25" s="1523">
        <f ca="1">비용!CD15*(CS3&gt;2025)*(민감도!$E$91=1)</f>
        <v>0</v>
      </c>
      <c r="CT25" s="1524">
        <f ca="1">비용!CE15*(CT3&gt;2025)*(민감도!$E$91=1)</f>
        <v>0</v>
      </c>
      <c r="CU25" s="1522">
        <f ca="1">비용!CF15*(CU3&gt;2025)*(민감도!$E$91=1)</f>
        <v>0</v>
      </c>
      <c r="CV25" s="1523">
        <f ca="1">비용!CG15*(CV3&gt;2025)*(민감도!$E$91=1)</f>
        <v>0</v>
      </c>
      <c r="CW25" s="1523">
        <f ca="1">비용!CH15*(CW3&gt;2025)*(민감도!$E$91=1)</f>
        <v>0</v>
      </c>
      <c r="CX25" s="1524">
        <f ca="1">비용!CI15*(CX3&gt;2025)*(민감도!$E$91=1)</f>
        <v>0</v>
      </c>
      <c r="CY25" s="1522">
        <f ca="1">비용!CJ15*(CY3&gt;2025)*(민감도!$E$91=1)</f>
        <v>0</v>
      </c>
      <c r="CZ25" s="1523">
        <f ca="1">비용!CK15*(CZ3&gt;2025)*(민감도!$E$91=1)</f>
        <v>0</v>
      </c>
      <c r="DA25" s="1523">
        <f ca="1">비용!CL15*(DA3&gt;2025)*(민감도!$E$91=1)</f>
        <v>0</v>
      </c>
      <c r="DB25" s="1524">
        <f ca="1">비용!CM15*(DB3&gt;2025)*(민감도!$E$91=1)</f>
        <v>0</v>
      </c>
      <c r="DC25" s="1522">
        <f ca="1">비용!CN15*(DC3&gt;2025)*(민감도!$E$91=1)</f>
        <v>0</v>
      </c>
      <c r="DD25" s="1523">
        <f ca="1">비용!CO15*(DD3&gt;2025)*(민감도!$E$91=1)</f>
        <v>0</v>
      </c>
      <c r="DE25" s="1523">
        <f ca="1">비용!CP15*(DE3&gt;2025)*(민감도!$E$91=1)</f>
        <v>0</v>
      </c>
      <c r="DF25" s="1524">
        <f ca="1">비용!CQ15*(DF3&gt;2025)*(민감도!$E$91=1)</f>
        <v>0</v>
      </c>
      <c r="DG25" s="1522">
        <f ca="1">비용!CR15*(DG3&gt;2025)*(민감도!$E$91=1)</f>
        <v>0</v>
      </c>
      <c r="DH25" s="1523">
        <f ca="1">비용!CS15*(DH3&gt;2025)*(민감도!$E$91=1)</f>
        <v>0</v>
      </c>
      <c r="DI25" s="1523">
        <f ca="1">비용!CT15*(DI3&gt;2025)*(민감도!$E$91=1)</f>
        <v>0</v>
      </c>
      <c r="DJ25" s="1524">
        <f ca="1">비용!CU15*(DJ3&gt;2025)*(민감도!$E$91=1)</f>
        <v>0</v>
      </c>
      <c r="DK25" s="1522">
        <f ca="1">비용!CV15*(DK3&gt;2025)*(민감도!$E$91=1)</f>
        <v>0</v>
      </c>
      <c r="DL25" s="1523">
        <f ca="1">비용!CW15*(DL3&gt;2025)*(민감도!$E$91=1)</f>
        <v>0</v>
      </c>
      <c r="DM25" s="1523">
        <f ca="1">비용!CX15*(DM3&gt;2025)*(민감도!$E$91=1)</f>
        <v>0</v>
      </c>
      <c r="DN25" s="1524">
        <f ca="1">비용!CY15*(DN3&gt;2025)*(민감도!$E$91=1)</f>
        <v>0</v>
      </c>
      <c r="DO25" s="1522">
        <f ca="1">비용!CZ15*(DO3&gt;2025)*(민감도!$E$91=1)</f>
        <v>0</v>
      </c>
      <c r="DP25" s="1523">
        <f ca="1">비용!DA15*(DP3&gt;2025)*(민감도!$E$91=1)</f>
        <v>0</v>
      </c>
      <c r="DQ25" s="1523">
        <f ca="1">비용!DB15*(DQ3&gt;2025)*(민감도!$E$91=1)</f>
        <v>0</v>
      </c>
      <c r="DR25" s="1524">
        <f ca="1">비용!DC15*(DR3&gt;2025)*(민감도!$E$91=1)</f>
        <v>0</v>
      </c>
      <c r="DS25" s="1522">
        <f ca="1">비용!DD15*(DS3&gt;2025)*(민감도!$E$91=1)</f>
        <v>0</v>
      </c>
      <c r="DT25" s="1523">
        <f ca="1">비용!DE15*(DT3&gt;2025)*(민감도!$E$91=1)</f>
        <v>0</v>
      </c>
      <c r="DU25" s="1523">
        <f ca="1">비용!DF15*(DU3&gt;2025)*(민감도!$E$91=1)</f>
        <v>0</v>
      </c>
      <c r="DV25" s="1524">
        <f ca="1">비용!DG15*(DV3&gt;2025)*(민감도!$E$91=1)</f>
        <v>0</v>
      </c>
      <c r="DW25" s="1522">
        <f ca="1">비용!DH15*(DW3&gt;2025)*(민감도!$E$91=1)</f>
        <v>0</v>
      </c>
      <c r="DX25" s="1523">
        <f ca="1">비용!DI15*(DX3&gt;2025)*(민감도!$E$91=1)</f>
        <v>0</v>
      </c>
      <c r="DY25" s="1523">
        <f ca="1">비용!DJ15*(DY3&gt;2025)*(민감도!$E$91=1)</f>
        <v>0</v>
      </c>
      <c r="DZ25" s="1524">
        <f ca="1">비용!DK15*(DZ3&gt;2025)*(민감도!$E$91=1)</f>
        <v>0</v>
      </c>
      <c r="EA25" s="1522">
        <f ca="1">비용!DL15*(EA3&gt;2025)*(민감도!$E$91=1)</f>
        <v>0</v>
      </c>
      <c r="EB25" s="1523">
        <f ca="1">비용!DM15*(EB3&gt;2025)*(민감도!$E$91=1)</f>
        <v>0</v>
      </c>
      <c r="EC25" s="1523">
        <f ca="1">비용!DN15*(EC3&gt;2025)*(민감도!$E$91=1)</f>
        <v>0</v>
      </c>
      <c r="ED25" s="1524">
        <f ca="1">비용!DO15*(ED3&gt;2025)*(민감도!$E$91=1)</f>
        <v>0</v>
      </c>
      <c r="EE25" s="1522">
        <f ca="1">비용!DP15*(EE3&gt;2025)*(민감도!$E$91=1)</f>
        <v>0</v>
      </c>
      <c r="EF25" s="1523">
        <f ca="1">비용!DQ15*(EF3&gt;2025)*(민감도!$E$91=1)</f>
        <v>0</v>
      </c>
      <c r="EG25" s="1523">
        <f ca="1">비용!DR15*(EG3&gt;2025)*(민감도!$E$91=1)</f>
        <v>0</v>
      </c>
      <c r="EH25" s="1524">
        <f ca="1">비용!DS15*(EH3&gt;2025)*(민감도!$E$91=1)</f>
        <v>0</v>
      </c>
      <c r="EI25" s="1522">
        <f ca="1">비용!DT15*(EI3&gt;2025)*(민감도!$E$91=1)</f>
        <v>0</v>
      </c>
      <c r="EJ25" s="1523">
        <f ca="1">비용!DU15*(EJ3&gt;2025)*(민감도!$E$91=1)</f>
        <v>0</v>
      </c>
      <c r="EK25" s="1523">
        <f ca="1">비용!DV15*(EK3&gt;2025)*(민감도!$E$91=1)</f>
        <v>0</v>
      </c>
      <c r="EL25" s="1524">
        <f ca="1">비용!DW15*(EL3&gt;2025)*(민감도!$E$91=1)</f>
        <v>0</v>
      </c>
      <c r="EM25" s="1522">
        <f ca="1">비용!DX15*(EM3&gt;2025)*(민감도!$E$91=1)</f>
        <v>0</v>
      </c>
      <c r="EN25" s="1523">
        <f ca="1">비용!DY15*(EN3&gt;2025)*(민감도!$E$91=1)</f>
        <v>0</v>
      </c>
      <c r="EO25" s="1523">
        <f ca="1">비용!DZ15*(EO3&gt;2025)*(민감도!$E$91=1)</f>
        <v>0</v>
      </c>
      <c r="EP25" s="1524">
        <f ca="1">비용!EA15*(EP3&gt;2025)*(민감도!$E$91=1)</f>
        <v>0</v>
      </c>
      <c r="EQ25" s="1522">
        <f ca="1">비용!EB15*(EQ3&gt;2025)*(민감도!$E$91=1)</f>
        <v>0</v>
      </c>
      <c r="ER25" s="1523">
        <f ca="1">비용!EC15*(ER3&gt;2025)*(민감도!$E$91=1)</f>
        <v>0</v>
      </c>
      <c r="ES25" s="1523">
        <f ca="1">비용!ED15*(ES3&gt;2025)*(민감도!$E$91=1)</f>
        <v>0</v>
      </c>
      <c r="ET25" s="1524">
        <f ca="1">비용!EE15*(ET3&gt;2025)*(민감도!$E$91=1)</f>
        <v>0</v>
      </c>
      <c r="EU25" s="1522">
        <f ca="1">비용!EF15*(EU3&gt;2025)*(민감도!$E$91=1)</f>
        <v>0</v>
      </c>
      <c r="EV25" s="1523">
        <f ca="1">비용!EG15*(EV3&gt;2025)*(민감도!$E$91=1)</f>
        <v>0</v>
      </c>
      <c r="EW25" s="1523">
        <f ca="1">비용!EH15*(EW3&gt;2025)*(민감도!$E$91=1)</f>
        <v>0</v>
      </c>
      <c r="EX25" s="1524">
        <f ca="1">비용!EI15*(EX3&gt;2025)*(민감도!$E$91=1)</f>
        <v>0</v>
      </c>
      <c r="EY25" s="1522">
        <f ca="1">비용!EJ15*(EY3&gt;2025)*(민감도!$E$91=1)</f>
        <v>0</v>
      </c>
      <c r="EZ25" s="1523">
        <f ca="1">비용!EK15*(EZ3&gt;2025)*(민감도!$E$91=1)</f>
        <v>0</v>
      </c>
      <c r="FA25" s="1523">
        <f ca="1">비용!EL15*(FA3&gt;2025)*(민감도!$E$91=1)</f>
        <v>0</v>
      </c>
      <c r="FB25" s="1524">
        <f ca="1">비용!EM15*(FB3&gt;2025)*(민감도!$E$91=1)</f>
        <v>0</v>
      </c>
      <c r="FC25" s="1522">
        <f ca="1">비용!EN15*(FC3&gt;2025)*(민감도!$E$91=1)</f>
        <v>0</v>
      </c>
      <c r="FD25" s="1523">
        <f ca="1">비용!EO15*(FD3&gt;2025)*(민감도!$E$91=1)</f>
        <v>0</v>
      </c>
      <c r="FE25" s="1523">
        <f ca="1">비용!EP15*(FE3&gt;2025)*(민감도!$E$91=1)</f>
        <v>0</v>
      </c>
      <c r="FF25" s="1524">
        <f ca="1">비용!EQ15*(FF3&gt;2025)*(민감도!$E$91=1)</f>
        <v>0</v>
      </c>
      <c r="FG25" s="1522">
        <f ca="1">비용!ER15*(FG3&gt;2025)*(민감도!$E$91=1)</f>
        <v>0</v>
      </c>
      <c r="FH25" s="1523">
        <f ca="1">비용!ES15*(FH3&gt;2025)*(민감도!$E$91=1)</f>
        <v>0</v>
      </c>
      <c r="FI25" s="1523">
        <f ca="1">비용!ET15*(FI3&gt;2025)*(민감도!$E$91=1)</f>
        <v>0</v>
      </c>
      <c r="FJ25" s="1524">
        <f ca="1">비용!EU15*(FJ3&gt;2025)*(민감도!$E$91=1)</f>
        <v>0</v>
      </c>
      <c r="FK25" s="1522">
        <f ca="1">비용!EV15*(FK3&gt;2025)*(민감도!$E$91=1)</f>
        <v>0</v>
      </c>
      <c r="FL25" s="1523">
        <f ca="1">비용!EW15*(FL3&gt;2025)*(민감도!$E$91=1)</f>
        <v>0</v>
      </c>
      <c r="FM25" s="1523">
        <f ca="1">비용!EX15*(FM3&gt;2025)*(민감도!$E$91=1)</f>
        <v>0</v>
      </c>
      <c r="FN25" s="1524">
        <f ca="1">비용!EY15*(FN3&gt;2025)*(민감도!$E$91=1)</f>
        <v>0</v>
      </c>
      <c r="FO25" s="1522">
        <f ca="1">비용!EZ15*(FO3&gt;2025)*(민감도!$E$91=1)</f>
        <v>0</v>
      </c>
      <c r="FP25" s="1523">
        <f ca="1">비용!FA15*(FP3&gt;2025)*(민감도!$E$91=1)</f>
        <v>0</v>
      </c>
      <c r="FQ25" s="1523">
        <f ca="1">비용!FB15*(FQ3&gt;2025)*(민감도!$E$91=1)</f>
        <v>0</v>
      </c>
      <c r="FR25" s="1524">
        <f ca="1">비용!FC15*(FR3&gt;2025)*(민감도!$E$91=1)</f>
        <v>0</v>
      </c>
      <c r="FS25" s="1522">
        <f ca="1">비용!FD15*(FS3&gt;2025)*(민감도!$E$91=1)</f>
        <v>0</v>
      </c>
      <c r="FT25" s="1523">
        <f ca="1">비용!FE15*(FT3&gt;2025)*(민감도!$E$91=1)</f>
        <v>0</v>
      </c>
      <c r="FU25" s="1523">
        <f ca="1">비용!FF15*(FU3&gt;2025)*(민감도!$E$91=1)</f>
        <v>0</v>
      </c>
      <c r="FV25" s="1524">
        <f ca="1">비용!FG15*(FV3&gt;2025)*(민감도!$E$91=1)</f>
        <v>0</v>
      </c>
      <c r="FW25" s="1522">
        <f ca="1">비용!FH15*(FW3&gt;2025)*(민감도!$E$91=1)</f>
        <v>0</v>
      </c>
      <c r="FX25" s="1523">
        <f ca="1">비용!FI15*(FX3&gt;2025)*(민감도!$E$91=1)</f>
        <v>0</v>
      </c>
      <c r="FY25" s="1523">
        <f ca="1">비용!FJ15*(FY3&gt;2025)*(민감도!$E$91=1)</f>
        <v>0</v>
      </c>
      <c r="FZ25" s="1524">
        <f ca="1">비용!FK15*(FZ3&gt;2025)*(민감도!$E$91=1)</f>
        <v>0</v>
      </c>
      <c r="GA25" s="1522">
        <f ca="1">비용!FL15*(GA3&gt;2025)*(민감도!$E$91=1)</f>
        <v>0</v>
      </c>
      <c r="GB25" s="1523">
        <f ca="1">비용!FM15*(GB3&gt;2025)*(민감도!$E$91=1)</f>
        <v>0</v>
      </c>
      <c r="GC25" s="1523">
        <f ca="1">비용!FN15*(GC3&gt;2025)*(민감도!$E$91=1)</f>
        <v>0</v>
      </c>
      <c r="GD25" s="1524">
        <f ca="1">비용!FO15*(GD3&gt;2025)*(민감도!$E$91=1)</f>
        <v>0</v>
      </c>
      <c r="GE25" s="1508"/>
      <c r="GF25" s="1509"/>
      <c r="GG25" s="1509"/>
      <c r="GH25" s="1509"/>
      <c r="GI25" s="1509"/>
      <c r="GJ25" s="1509"/>
      <c r="GK25" s="1509"/>
      <c r="GL25" s="1509"/>
      <c r="GM25" s="1509"/>
      <c r="GN25" s="1509"/>
      <c r="GO25" s="1509"/>
      <c r="GP25" s="1509"/>
      <c r="GQ25" s="1509"/>
      <c r="GR25" s="1509"/>
      <c r="GS25" s="1509"/>
      <c r="GT25" s="1509"/>
    </row>
    <row r="26" spans="1:202" ht="17.100000000000001" customHeight="1">
      <c r="B26" s="307"/>
      <c r="C26" s="489" t="s">
        <v>1307</v>
      </c>
      <c r="D26" s="331"/>
      <c r="E26" s="742"/>
      <c r="F26" s="1530">
        <f t="shared" ca="1" si="11"/>
        <v>561.28717987253322</v>
      </c>
      <c r="G26" s="1518">
        <v>0</v>
      </c>
      <c r="H26" s="1518">
        <v>0</v>
      </c>
      <c r="I26" s="1518">
        <v>0</v>
      </c>
      <c r="J26" s="1518">
        <v>0</v>
      </c>
      <c r="K26" s="1518">
        <v>0</v>
      </c>
      <c r="L26" s="1518">
        <v>0</v>
      </c>
      <c r="M26" s="1518">
        <v>6.6760820000000001</v>
      </c>
      <c r="N26" s="1518">
        <v>0</v>
      </c>
      <c r="O26" s="1518">
        <v>0</v>
      </c>
      <c r="P26" s="1518">
        <v>-1.8229700900000001</v>
      </c>
      <c r="Q26" s="1518">
        <v>2.2058960000000001</v>
      </c>
      <c r="R26" s="1518">
        <v>0</v>
      </c>
      <c r="S26" s="1518">
        <v>1.2398411</v>
      </c>
      <c r="T26" s="1518">
        <v>0.3445744</v>
      </c>
      <c r="U26" s="1518">
        <v>1.7228684999999999</v>
      </c>
      <c r="V26" s="1518">
        <v>0</v>
      </c>
      <c r="W26" s="1519">
        <f>'IS(Q)'!G102</f>
        <v>0</v>
      </c>
      <c r="X26" s="1520">
        <f>'IS(Q)'!H102</f>
        <v>0</v>
      </c>
      <c r="Y26" s="1520">
        <f>'IS(Q)'!I102</f>
        <v>0</v>
      </c>
      <c r="Z26" s="1521">
        <f>'IS(Q)'!J102</f>
        <v>0</v>
      </c>
      <c r="AA26" s="1519">
        <v>0.89761690000000005</v>
      </c>
      <c r="AB26" s="1520">
        <v>0.37996980000000002</v>
      </c>
      <c r="AC26" s="1520">
        <v>1.8998451999999999</v>
      </c>
      <c r="AD26" s="1521">
        <v>0</v>
      </c>
      <c r="AE26" s="1537">
        <f>'자금운영(현금)'!BF93</f>
        <v>2.4279343</v>
      </c>
      <c r="AF26" s="1538">
        <f>'자금운영(현금)'!BG93</f>
        <v>3.1035064999999999</v>
      </c>
      <c r="AG26" s="1538">
        <f>'자금운영(현금)'!BH93</f>
        <v>3.3778568999999998</v>
      </c>
      <c r="AH26" s="1539">
        <f>'자금운영(현금)'!BI93</f>
        <v>0</v>
      </c>
      <c r="AI26" s="1522">
        <f ca="1">'IS(Q)'!S102</f>
        <v>1.1817257093159554</v>
      </c>
      <c r="AJ26" s="1523">
        <f ca="1">'IS(Q)'!T102</f>
        <v>0</v>
      </c>
      <c r="AK26" s="1523">
        <f ca="1">'IS(Q)'!U102</f>
        <v>2.6177548046579777</v>
      </c>
      <c r="AL26" s="1524">
        <f ca="1">'IS(Q)'!V102</f>
        <v>0</v>
      </c>
      <c r="AM26" s="1522">
        <f ca="1">'IS(Q)'!W102</f>
        <v>4.0907390400324157</v>
      </c>
      <c r="AN26" s="1523">
        <f ca="1">'IS(Q)'!X102</f>
        <v>0</v>
      </c>
      <c r="AO26" s="1523">
        <f ca="1">'IS(Q)'!Y102</f>
        <v>3.3542469223451956</v>
      </c>
      <c r="AP26" s="1524">
        <f ca="1">'IS(Q)'!Z102</f>
        <v>0</v>
      </c>
      <c r="AQ26" s="1522">
        <f ca="1">'IS(Q)'!AA102</f>
        <v>5.3210008518148584</v>
      </c>
      <c r="AR26" s="1523">
        <f ca="1">'IS(Q)'!AB102</f>
        <v>0</v>
      </c>
      <c r="AS26" s="1523">
        <f ca="1">'IS(Q)'!AC102</f>
        <v>4.3376238870800288</v>
      </c>
      <c r="AT26" s="1524">
        <f ca="1">'IS(Q)'!AD102</f>
        <v>0</v>
      </c>
      <c r="AU26" s="1522">
        <f ca="1">'IS(Q)'!AE102</f>
        <v>5.458964017411212</v>
      </c>
      <c r="AV26" s="1523">
        <f ca="1">'IS(Q)'!AF102</f>
        <v>0</v>
      </c>
      <c r="AW26" s="1523">
        <f ca="1">'IS(Q)'!AG102</f>
        <v>4.8982939522456208</v>
      </c>
      <c r="AX26" s="1524">
        <f ca="1">'IS(Q)'!AH102</f>
        <v>0</v>
      </c>
      <c r="AY26" s="1522">
        <f ca="1">'IS(Q)'!AI102</f>
        <v>5.6524938928134318</v>
      </c>
      <c r="AZ26" s="1523">
        <f ca="1">'IS(Q)'!AJ102</f>
        <v>0</v>
      </c>
      <c r="BA26" s="1523">
        <f ca="1">'IS(Q)'!AK102</f>
        <v>5.2753939225295294</v>
      </c>
      <c r="BB26" s="1524">
        <f ca="1">'IS(Q)'!AL102</f>
        <v>0</v>
      </c>
      <c r="BC26" s="1522">
        <f ca="1">'IS(Q)'!AM102</f>
        <v>-4.8497906768835932</v>
      </c>
      <c r="BD26" s="1523">
        <f ca="1">'IS(Q)'!AN102</f>
        <v>0</v>
      </c>
      <c r="BE26" s="1523">
        <f ca="1">'IS(Q)'!AO102</f>
        <v>0.21280162282296752</v>
      </c>
      <c r="BF26" s="1524">
        <f ca="1">'IS(Q)'!AP102</f>
        <v>0</v>
      </c>
      <c r="BG26" s="1522">
        <f ca="1">'IS(Q)'!AQ102</f>
        <v>3.4614483997325038</v>
      </c>
      <c r="BH26" s="1523">
        <f ca="1">'IS(Q)'!AR102</f>
        <v>0</v>
      </c>
      <c r="BI26" s="1523">
        <f ca="1">'IS(Q)'!AS102</f>
        <v>1.8371250112777331</v>
      </c>
      <c r="BJ26" s="1524">
        <f ca="1">'IS(Q)'!AT102</f>
        <v>0</v>
      </c>
      <c r="BK26" s="1522">
        <f ca="1">'IS(Q)'!AU102</f>
        <v>2.9755709659690339</v>
      </c>
      <c r="BL26" s="1523">
        <f ca="1">'IS(Q)'!AV102</f>
        <v>0</v>
      </c>
      <c r="BM26" s="1523">
        <f ca="1">'IS(Q)'!AW102</f>
        <v>2.4063479886233838</v>
      </c>
      <c r="BN26" s="1524">
        <f ca="1">'IS(Q)'!AX102</f>
        <v>0</v>
      </c>
      <c r="BO26" s="1522">
        <f ca="1">'IS(Q)'!AY102</f>
        <v>1.999875044490345</v>
      </c>
      <c r="BP26" s="1523">
        <f ca="1">'IS(Q)'!AZ102</f>
        <v>0</v>
      </c>
      <c r="BQ26" s="1523">
        <f ca="1">'IS(Q)'!BA102</f>
        <v>2.2031115165568633</v>
      </c>
      <c r="BR26" s="1524">
        <f ca="1">'IS(Q)'!BB102</f>
        <v>0</v>
      </c>
      <c r="BS26" s="1522">
        <f ca="1">'IS(Q)'!BC102</f>
        <v>6.4013424149609364</v>
      </c>
      <c r="BT26" s="1523">
        <f ca="1">'IS(Q)'!BD102</f>
        <v>0</v>
      </c>
      <c r="BU26" s="1523">
        <f ca="1">'IS(Q)'!BE102</f>
        <v>4.3022269657588987</v>
      </c>
      <c r="BV26" s="1524">
        <f ca="1">'IS(Q)'!BF102</f>
        <v>0</v>
      </c>
      <c r="BW26" s="1522">
        <f ca="1">'IS(Q)'!BG102</f>
        <v>3.1847857842038962</v>
      </c>
      <c r="BX26" s="1523">
        <f ca="1">'IS(Q)'!BH102</f>
        <v>0</v>
      </c>
      <c r="BY26" s="1523">
        <f ca="1">'IS(Q)'!BI102</f>
        <v>3.7435063749813962</v>
      </c>
      <c r="BZ26" s="1524">
        <f ca="1">'IS(Q)'!BJ102</f>
        <v>0</v>
      </c>
      <c r="CA26" s="1522">
        <f ca="1">'IS(Q)'!BK102</f>
        <v>4.2298505993274915</v>
      </c>
      <c r="CB26" s="1523">
        <f ca="1">'IS(Q)'!BL102</f>
        <v>0</v>
      </c>
      <c r="CC26" s="1523">
        <f ca="1">'IS(Q)'!BM102</f>
        <v>3.9866784871544403</v>
      </c>
      <c r="CD26" s="1524">
        <f ca="1">'IS(Q)'!BN102</f>
        <v>0</v>
      </c>
      <c r="CE26" s="1522">
        <f ca="1">'IS(Q)'!BO102</f>
        <v>5.9395421956286611</v>
      </c>
      <c r="CF26" s="1523">
        <f ca="1">'IS(Q)'!BP102</f>
        <v>0</v>
      </c>
      <c r="CG26" s="1523">
        <f ca="1">'IS(Q)'!BQ102</f>
        <v>4.9631103413915492</v>
      </c>
      <c r="CH26" s="1524">
        <f ca="1">'IS(Q)'!BR102</f>
        <v>0</v>
      </c>
      <c r="CI26" s="1522">
        <f ca="1">'IS(Q)'!BS102</f>
        <v>4.8316870667242142</v>
      </c>
      <c r="CJ26" s="1523">
        <f ca="1">'IS(Q)'!BT102</f>
        <v>0</v>
      </c>
      <c r="CK26" s="1523">
        <f ca="1">'IS(Q)'!BU102</f>
        <v>4.8973987040578892</v>
      </c>
      <c r="CL26" s="1524">
        <f ca="1">'IS(Q)'!BV102</f>
        <v>0</v>
      </c>
      <c r="CM26" s="1522">
        <f ca="1">'IS(Q)'!BW102</f>
        <v>3.4216868249380781</v>
      </c>
      <c r="CN26" s="1523">
        <f ca="1">'IS(Q)'!BX102</f>
        <v>0</v>
      </c>
      <c r="CO26" s="1523">
        <f ca="1">'IS(Q)'!BY102</f>
        <v>4.1595427644979823</v>
      </c>
      <c r="CP26" s="1524">
        <f ca="1">'IS(Q)'!BZ102</f>
        <v>0</v>
      </c>
      <c r="CQ26" s="1522">
        <f ca="1">'IS(Q)'!CA102</f>
        <v>6.8558298399699851</v>
      </c>
      <c r="CR26" s="1523">
        <f ca="1">'IS(Q)'!CB102</f>
        <v>0</v>
      </c>
      <c r="CS26" s="1523">
        <f ca="1">'IS(Q)'!CC102</f>
        <v>5.5076863022339877</v>
      </c>
      <c r="CT26" s="1524">
        <f ca="1">'IS(Q)'!CD102</f>
        <v>0</v>
      </c>
      <c r="CU26" s="1522">
        <f ca="1">'IS(Q)'!CE102</f>
        <v>4.9916396024867993</v>
      </c>
      <c r="CV26" s="1523">
        <f ca="1">'IS(Q)'!CF102</f>
        <v>0</v>
      </c>
      <c r="CW26" s="1523">
        <f ca="1">'IS(Q)'!CG102</f>
        <v>5.249662952360393</v>
      </c>
      <c r="CX26" s="1524">
        <f ca="1">'IS(Q)'!CH102</f>
        <v>0</v>
      </c>
      <c r="CY26" s="1522">
        <f ca="1">'IS(Q)'!CI102</f>
        <v>4.1099691834245107</v>
      </c>
      <c r="CZ26" s="1523">
        <f ca="1">'IS(Q)'!CJ102</f>
        <v>0</v>
      </c>
      <c r="DA26" s="1523">
        <f ca="1">'IS(Q)'!CK102</f>
        <v>4.679816067892447</v>
      </c>
      <c r="DB26" s="1524">
        <f ca="1">'IS(Q)'!CL102</f>
        <v>0</v>
      </c>
      <c r="DC26" s="1522">
        <f ca="1">'IS(Q)'!CM102</f>
        <v>4.854599895664677</v>
      </c>
      <c r="DD26" s="1523">
        <f ca="1">'IS(Q)'!CN102</f>
        <v>0</v>
      </c>
      <c r="DE26" s="1523">
        <f ca="1">'IS(Q)'!CO102</f>
        <v>4.7672079817785624</v>
      </c>
      <c r="DF26" s="1524">
        <f ca="1">'IS(Q)'!CP102</f>
        <v>0</v>
      </c>
      <c r="DG26" s="1522">
        <f ca="1">'IS(Q)'!CQ102</f>
        <v>8.4343777507291975</v>
      </c>
      <c r="DH26" s="1523">
        <f ca="1">'IS(Q)'!CR102</f>
        <v>0</v>
      </c>
      <c r="DI26" s="1523">
        <f ca="1">'IS(Q)'!CS102</f>
        <v>6.6007928662538653</v>
      </c>
      <c r="DJ26" s="1524">
        <f ca="1">'IS(Q)'!CT102</f>
        <v>0</v>
      </c>
      <c r="DK26" s="1522">
        <f ca="1">'IS(Q)'!CU102</f>
        <v>7.4904767070843548</v>
      </c>
      <c r="DL26" s="1523">
        <f ca="1">'IS(Q)'!CV102</f>
        <v>0</v>
      </c>
      <c r="DM26" s="1523">
        <f ca="1">'IS(Q)'!CW102</f>
        <v>7.0456347866691296</v>
      </c>
      <c r="DN26" s="1524">
        <f ca="1">'IS(Q)'!CX102</f>
        <v>0</v>
      </c>
      <c r="DO26" s="1522">
        <f ca="1">'IS(Q)'!CY102</f>
        <v>10.789315007040472</v>
      </c>
      <c r="DP26" s="1523">
        <f ca="1">'IS(Q)'!CZ102</f>
        <v>0</v>
      </c>
      <c r="DQ26" s="1523">
        <f ca="1">'IS(Q)'!DA102</f>
        <v>8.9174748968547988</v>
      </c>
      <c r="DR26" s="1524">
        <f ca="1">'IS(Q)'!DB102</f>
        <v>0</v>
      </c>
      <c r="DS26" s="1522">
        <f ca="1">'IS(Q)'!DC102</f>
        <v>8.4325183877856773</v>
      </c>
      <c r="DT26" s="1523">
        <f ca="1">'IS(Q)'!DD102</f>
        <v>0</v>
      </c>
      <c r="DU26" s="1523">
        <f ca="1">'IS(Q)'!DE102</f>
        <v>8.674996642320238</v>
      </c>
      <c r="DV26" s="1524">
        <f ca="1">'IS(Q)'!DF102</f>
        <v>0</v>
      </c>
      <c r="DW26" s="1522">
        <f ca="1">'IS(Q)'!DG102</f>
        <v>8.8248409878173959</v>
      </c>
      <c r="DX26" s="1523">
        <f ca="1">'IS(Q)'!DH102</f>
        <v>0</v>
      </c>
      <c r="DY26" s="1523">
        <f ca="1">'IS(Q)'!DI102</f>
        <v>8.7499188150688294</v>
      </c>
      <c r="DZ26" s="1524">
        <f ca="1">'IS(Q)'!DJ102</f>
        <v>0</v>
      </c>
      <c r="EA26" s="1522">
        <f ca="1">'IS(Q)'!DK102</f>
        <v>10.577852641783352</v>
      </c>
      <c r="EB26" s="1523">
        <f ca="1">'IS(Q)'!DL102</f>
        <v>0</v>
      </c>
      <c r="EC26" s="1523">
        <f ca="1">'IS(Q)'!DM102</f>
        <v>9.6638857284261146</v>
      </c>
      <c r="ED26" s="1524">
        <f ca="1">'IS(Q)'!DN102</f>
        <v>0</v>
      </c>
      <c r="EE26" s="1522">
        <f ca="1">'IS(Q)'!DO102</f>
        <v>10.446526029829329</v>
      </c>
      <c r="EF26" s="1523">
        <f ca="1">'IS(Q)'!DP102</f>
        <v>0</v>
      </c>
      <c r="EG26" s="1523">
        <f ca="1">'IS(Q)'!DQ102</f>
        <v>10.055205879127737</v>
      </c>
      <c r="EH26" s="1524">
        <f ca="1">'IS(Q)'!DR102</f>
        <v>0</v>
      </c>
      <c r="EI26" s="1522">
        <f ca="1">'IS(Q)'!DS102</f>
        <v>8.8061030088281882</v>
      </c>
      <c r="EJ26" s="1523">
        <f ca="1">'IS(Q)'!DT102</f>
        <v>0</v>
      </c>
      <c r="EK26" s="1523">
        <f ca="1">'IS(Q)'!DU102</f>
        <v>9.4306544439779714</v>
      </c>
      <c r="EL26" s="1524">
        <f ca="1">'IS(Q)'!DV102</f>
        <v>0</v>
      </c>
      <c r="EM26" s="1522">
        <f ca="1">'IS(Q)'!DW102</f>
        <v>11.984834051414396</v>
      </c>
      <c r="EN26" s="1523">
        <f ca="1">'IS(Q)'!DX102</f>
        <v>0</v>
      </c>
      <c r="EO26" s="1523">
        <f ca="1">'IS(Q)'!DY102</f>
        <v>10.707744247696194</v>
      </c>
      <c r="EP26" s="1524">
        <f ca="1">'IS(Q)'!DZ102</f>
        <v>0</v>
      </c>
      <c r="EQ26" s="1522">
        <f ca="1">'IS(Q)'!EA102</f>
        <v>8.5295067754893807</v>
      </c>
      <c r="ER26" s="1523">
        <f ca="1">'IS(Q)'!EB102</f>
        <v>0</v>
      </c>
      <c r="ES26" s="1523">
        <f ca="1">'IS(Q)'!EC102</f>
        <v>9.6186255115928017</v>
      </c>
      <c r="ET26" s="1524">
        <f ca="1">'IS(Q)'!ED102</f>
        <v>0</v>
      </c>
      <c r="EU26" s="1522">
        <f ca="1">'IS(Q)'!EE102</f>
        <v>11.187749955096933</v>
      </c>
      <c r="EV26" s="1523">
        <f ca="1">'IS(Q)'!EF102</f>
        <v>0</v>
      </c>
      <c r="EW26" s="1523">
        <f ca="1">'IS(Q)'!EG102</f>
        <v>10.403187733344883</v>
      </c>
      <c r="EX26" s="1524">
        <f ca="1">'IS(Q)'!EH102</f>
        <v>0</v>
      </c>
      <c r="EY26" s="1522">
        <f ca="1">'IS(Q)'!EI102</f>
        <v>13.062679172880564</v>
      </c>
      <c r="EZ26" s="1523">
        <f ca="1">'IS(Q)'!EJ102</f>
        <v>0</v>
      </c>
      <c r="FA26" s="1523">
        <f ca="1">'IS(Q)'!EK102</f>
        <v>11.732933453112745</v>
      </c>
      <c r="FB26" s="1524">
        <f ca="1">'IS(Q)'!EL102</f>
        <v>0</v>
      </c>
      <c r="FC26" s="1522">
        <f ca="1">'IS(Q)'!EM102</f>
        <v>10.982582085766012</v>
      </c>
      <c r="FD26" s="1523">
        <f ca="1">'IS(Q)'!EN102</f>
        <v>0</v>
      </c>
      <c r="FE26" s="1523">
        <f ca="1">'IS(Q)'!EO102</f>
        <v>11.357757769439365</v>
      </c>
      <c r="FF26" s="1524">
        <f ca="1">'IS(Q)'!EP102</f>
        <v>0</v>
      </c>
      <c r="FG26" s="1522">
        <f ca="1">'IS(Q)'!EQ102</f>
        <v>11.538320590436854</v>
      </c>
      <c r="FH26" s="1523">
        <f ca="1">'IS(Q)'!ER102</f>
        <v>0</v>
      </c>
      <c r="FI26" s="1523">
        <f ca="1">'IS(Q)'!ES102</f>
        <v>11.448039179938164</v>
      </c>
      <c r="FJ26" s="1524">
        <f ca="1">'IS(Q)'!ET102</f>
        <v>0</v>
      </c>
      <c r="FK26" s="1522">
        <f ca="1">'IS(Q)'!EU102</f>
        <v>15.160704565208562</v>
      </c>
      <c r="FL26" s="1523">
        <f ca="1">'IS(Q)'!EV102</f>
        <v>0</v>
      </c>
      <c r="FM26" s="1523">
        <f ca="1">'IS(Q)'!EW102</f>
        <v>13.304371872573338</v>
      </c>
      <c r="FN26" s="1524">
        <f ca="1">'IS(Q)'!EX102</f>
        <v>0</v>
      </c>
      <c r="FO26" s="1522">
        <f ca="1">'IS(Q)'!EY102</f>
        <v>13.391596814025888</v>
      </c>
      <c r="FP26" s="1523">
        <f ca="1">'IS(Q)'!EZ102</f>
        <v>0</v>
      </c>
      <c r="FQ26" s="1523">
        <f ca="1">'IS(Q)'!FA102</f>
        <v>13.347984343299624</v>
      </c>
      <c r="FR26" s="1524">
        <f ca="1">'IS(Q)'!FB102</f>
        <v>0</v>
      </c>
      <c r="FS26" s="1522">
        <f ca="1">'IS(Q)'!FC102</f>
        <v>13.940300620866083</v>
      </c>
      <c r="FT26" s="1523">
        <f ca="1">'IS(Q)'!FD102</f>
        <v>0</v>
      </c>
      <c r="FU26" s="1523">
        <f ca="1">'IS(Q)'!FE102</f>
        <v>13.644142482082861</v>
      </c>
      <c r="FV26" s="1524">
        <f ca="1">'IS(Q)'!FF102</f>
        <v>0</v>
      </c>
      <c r="FW26" s="1522">
        <f ca="1">'IS(Q)'!FG102</f>
        <v>15.974512873760204</v>
      </c>
      <c r="FX26" s="1523">
        <f ca="1">'IS(Q)'!FH102</f>
        <v>0</v>
      </c>
      <c r="FY26" s="1523">
        <f ca="1">'IS(Q)'!FI102</f>
        <v>14.809327677921504</v>
      </c>
      <c r="FZ26" s="1524">
        <f ca="1">'IS(Q)'!FJ102</f>
        <v>0</v>
      </c>
      <c r="GA26" s="1522">
        <f ca="1">'IS(Q)'!FK102</f>
        <v>15.121981594717568</v>
      </c>
      <c r="GB26" s="1523">
        <f ca="1">'IS(Q)'!FL102</f>
        <v>0.67592700000019157</v>
      </c>
      <c r="GC26" s="1523">
        <f ca="1">'IS(Q)'!FM102</f>
        <v>0</v>
      </c>
      <c r="GD26" s="1524">
        <f ca="1">'IS(Q)'!FN102</f>
        <v>0</v>
      </c>
      <c r="GE26" s="1508"/>
      <c r="GF26" s="1509"/>
      <c r="GG26" s="1509"/>
      <c r="GH26" s="1509"/>
      <c r="GI26" s="1509"/>
      <c r="GJ26" s="1509"/>
      <c r="GK26" s="1509"/>
      <c r="GL26" s="1509"/>
      <c r="GM26" s="1509"/>
      <c r="GN26" s="1509"/>
      <c r="GO26" s="1509"/>
      <c r="GP26" s="1509"/>
      <c r="GQ26" s="1509"/>
      <c r="GR26" s="1509"/>
      <c r="GS26" s="1509"/>
      <c r="GT26" s="1509"/>
    </row>
    <row r="27" spans="1:202" ht="17.100000000000001" customHeight="1">
      <c r="B27" s="720" t="s">
        <v>1308</v>
      </c>
      <c r="C27" s="315"/>
      <c r="D27" s="1259"/>
      <c r="E27" s="722"/>
      <c r="F27" s="1501">
        <f t="shared" ca="1" si="11"/>
        <v>-950.29425242390755</v>
      </c>
      <c r="G27" s="926">
        <f t="shared" ref="G27:BR27" si="18">G28-G30</f>
        <v>0</v>
      </c>
      <c r="H27" s="926">
        <f t="shared" si="18"/>
        <v>-14.11268482</v>
      </c>
      <c r="I27" s="926">
        <f t="shared" si="18"/>
        <v>0</v>
      </c>
      <c r="J27" s="926">
        <f t="shared" si="18"/>
        <v>-59.166887680000002</v>
      </c>
      <c r="K27" s="926">
        <f t="shared" si="18"/>
        <v>0</v>
      </c>
      <c r="L27" s="926">
        <f t="shared" si="18"/>
        <v>0</v>
      </c>
      <c r="M27" s="926">
        <f t="shared" si="18"/>
        <v>-48.109583700000002</v>
      </c>
      <c r="N27" s="926">
        <f t="shared" si="18"/>
        <v>-16.801091100000001</v>
      </c>
      <c r="O27" s="926">
        <f t="shared" si="18"/>
        <v>-1.6579447</v>
      </c>
      <c r="P27" s="926">
        <f t="shared" si="18"/>
        <v>0</v>
      </c>
      <c r="Q27" s="926">
        <f t="shared" si="18"/>
        <v>0</v>
      </c>
      <c r="R27" s="926">
        <f t="shared" si="18"/>
        <v>-29.232258229999999</v>
      </c>
      <c r="S27" s="926">
        <f t="shared" si="18"/>
        <v>-3.6763216599999997</v>
      </c>
      <c r="T27" s="926">
        <f t="shared" si="18"/>
        <v>-0.54600000000000004</v>
      </c>
      <c r="U27" s="926">
        <f t="shared" si="18"/>
        <v>-9.3792594099999995</v>
      </c>
      <c r="V27" s="926">
        <f t="shared" si="18"/>
        <v>-0.68200000000000005</v>
      </c>
      <c r="W27" s="926">
        <f t="shared" si="18"/>
        <v>0</v>
      </c>
      <c r="X27" s="932">
        <f t="shared" si="18"/>
        <v>-4.306</v>
      </c>
      <c r="Y27" s="932">
        <f t="shared" si="18"/>
        <v>-2.11</v>
      </c>
      <c r="Z27" s="933">
        <f t="shared" si="18"/>
        <v>-19.554720400000001</v>
      </c>
      <c r="AA27" s="926">
        <f t="shared" si="18"/>
        <v>-17.225999999999999</v>
      </c>
      <c r="AB27" s="932">
        <f t="shared" si="18"/>
        <v>-4.8540000000000001</v>
      </c>
      <c r="AC27" s="932">
        <f t="shared" si="18"/>
        <v>-11.39641291</v>
      </c>
      <c r="AD27" s="933">
        <f t="shared" si="18"/>
        <v>-4.2877999999999998</v>
      </c>
      <c r="AE27" s="1540">
        <f t="shared" si="18"/>
        <v>-14.787831500000001</v>
      </c>
      <c r="AF27" s="1541">
        <f t="shared" si="18"/>
        <v>-4.0979999999999999</v>
      </c>
      <c r="AG27" s="1541">
        <f t="shared" si="18"/>
        <v>-17.68</v>
      </c>
      <c r="AH27" s="1542">
        <f t="shared" si="18"/>
        <v>-7.7063800000000002</v>
      </c>
      <c r="AI27" s="1540">
        <f t="shared" si="18"/>
        <v>-7.4950000000000001</v>
      </c>
      <c r="AJ27" s="1541">
        <f t="shared" si="18"/>
        <v>-10</v>
      </c>
      <c r="AK27" s="1541">
        <f t="shared" si="18"/>
        <v>-0.3</v>
      </c>
      <c r="AL27" s="1542">
        <f t="shared" si="18"/>
        <v>-1.5</v>
      </c>
      <c r="AM27" s="1540">
        <f t="shared" ca="1" si="18"/>
        <v>0</v>
      </c>
      <c r="AN27" s="1541">
        <f t="shared" ca="1" si="18"/>
        <v>0</v>
      </c>
      <c r="AO27" s="1541">
        <f t="shared" ca="1" si="18"/>
        <v>0</v>
      </c>
      <c r="AP27" s="1542">
        <f t="shared" ca="1" si="18"/>
        <v>0</v>
      </c>
      <c r="AQ27" s="1540">
        <f t="shared" ca="1" si="18"/>
        <v>0</v>
      </c>
      <c r="AR27" s="1541">
        <f t="shared" ca="1" si="18"/>
        <v>0</v>
      </c>
      <c r="AS27" s="1541">
        <f t="shared" ca="1" si="18"/>
        <v>0</v>
      </c>
      <c r="AT27" s="1542">
        <f t="shared" ca="1" si="18"/>
        <v>0</v>
      </c>
      <c r="AU27" s="1540">
        <f t="shared" ca="1" si="18"/>
        <v>-0.78045300749999991</v>
      </c>
      <c r="AV27" s="1541">
        <f t="shared" ca="1" si="18"/>
        <v>-0.78045300749999991</v>
      </c>
      <c r="AW27" s="1541">
        <f t="shared" ca="1" si="18"/>
        <v>-0.78045300749999991</v>
      </c>
      <c r="AX27" s="1542">
        <f t="shared" ca="1" si="18"/>
        <v>-0.78045300749999991</v>
      </c>
      <c r="AY27" s="1540">
        <f t="shared" ca="1" si="18"/>
        <v>-1.23756433399275</v>
      </c>
      <c r="AZ27" s="1541">
        <f t="shared" ca="1" si="18"/>
        <v>-1.23756433399275</v>
      </c>
      <c r="BA27" s="1541">
        <f t="shared" ca="1" si="18"/>
        <v>-1.23756433399275</v>
      </c>
      <c r="BB27" s="1542">
        <f t="shared" ca="1" si="18"/>
        <v>-1.23756433399275</v>
      </c>
      <c r="BC27" s="1540">
        <f t="shared" ca="1" si="18"/>
        <v>-2.2822683237921497</v>
      </c>
      <c r="BD27" s="1541">
        <f t="shared" ca="1" si="18"/>
        <v>-2.2822683237921497</v>
      </c>
      <c r="BE27" s="1541">
        <f t="shared" ca="1" si="18"/>
        <v>-2.2822683237921497</v>
      </c>
      <c r="BF27" s="1542">
        <f t="shared" ca="1" si="18"/>
        <v>-2.2822683237921497</v>
      </c>
      <c r="BG27" s="1540">
        <f t="shared" ca="1" si="18"/>
        <v>-0.10721353521070098</v>
      </c>
      <c r="BH27" s="1541">
        <f t="shared" ca="1" si="18"/>
        <v>-0.10721353521070098</v>
      </c>
      <c r="BI27" s="1541">
        <f t="shared" ca="1" si="18"/>
        <v>-0.10721353521070098</v>
      </c>
      <c r="BJ27" s="1542">
        <f t="shared" ca="1" si="18"/>
        <v>-0.10721353521070098</v>
      </c>
      <c r="BK27" s="1540">
        <f t="shared" ca="1" si="18"/>
        <v>-4.4667839107158303</v>
      </c>
      <c r="BL27" s="1541">
        <f t="shared" ca="1" si="18"/>
        <v>-4.4667839107158303</v>
      </c>
      <c r="BM27" s="1541">
        <f t="shared" ca="1" si="18"/>
        <v>-4.4667839107158303</v>
      </c>
      <c r="BN27" s="1542">
        <f t="shared" ca="1" si="18"/>
        <v>-4.4667839107158303</v>
      </c>
      <c r="BO27" s="1540">
        <f t="shared" ca="1" si="18"/>
        <v>-6.562111636106164</v>
      </c>
      <c r="BP27" s="1541">
        <f t="shared" ca="1" si="18"/>
        <v>-6.562111636106164</v>
      </c>
      <c r="BQ27" s="1541">
        <f t="shared" ca="1" si="18"/>
        <v>-6.562111636106164</v>
      </c>
      <c r="BR27" s="1542">
        <f t="shared" ca="1" si="18"/>
        <v>-6.562111636106164</v>
      </c>
      <c r="BS27" s="1540">
        <f t="shared" ref="BS27:ED27" ca="1" si="19">BS28-BS30</f>
        <v>-10.578855632850566</v>
      </c>
      <c r="BT27" s="1541">
        <f t="shared" ca="1" si="19"/>
        <v>-10.578855632850566</v>
      </c>
      <c r="BU27" s="1541">
        <f t="shared" ca="1" si="19"/>
        <v>-10.578855632850566</v>
      </c>
      <c r="BV27" s="1542">
        <f t="shared" ca="1" si="19"/>
        <v>-10.578855632850566</v>
      </c>
      <c r="BW27" s="1540">
        <f t="shared" ca="1" si="19"/>
        <v>-7.7929434014572374</v>
      </c>
      <c r="BX27" s="1541">
        <f t="shared" ca="1" si="19"/>
        <v>-7.7929434014572374</v>
      </c>
      <c r="BY27" s="1541">
        <f t="shared" ca="1" si="19"/>
        <v>-7.7929434014572374</v>
      </c>
      <c r="BZ27" s="1542">
        <f t="shared" ca="1" si="19"/>
        <v>-7.7929434014572374</v>
      </c>
      <c r="CA27" s="1540">
        <f t="shared" ca="1" si="19"/>
        <v>-0.22536500602639398</v>
      </c>
      <c r="CB27" s="1541">
        <f t="shared" ca="1" si="19"/>
        <v>-0.22536500602639398</v>
      </c>
      <c r="CC27" s="1541">
        <f t="shared" ca="1" si="19"/>
        <v>-0.22536500602639398</v>
      </c>
      <c r="CD27" s="1542">
        <f t="shared" ca="1" si="19"/>
        <v>-0.22536500602639398</v>
      </c>
      <c r="CE27" s="1540">
        <f t="shared" ca="1" si="19"/>
        <v>-8.5356996032496717</v>
      </c>
      <c r="CF27" s="1541">
        <f t="shared" ca="1" si="19"/>
        <v>-8.5356996032496717</v>
      </c>
      <c r="CG27" s="1541">
        <f t="shared" ca="1" si="19"/>
        <v>-8.5356996032496717</v>
      </c>
      <c r="CH27" s="1542">
        <f t="shared" ca="1" si="19"/>
        <v>-8.5356996032496717</v>
      </c>
      <c r="CI27" s="1540">
        <f t="shared" ca="1" si="19"/>
        <v>-10.920005025757412</v>
      </c>
      <c r="CJ27" s="1541">
        <f t="shared" ca="1" si="19"/>
        <v>-10.920005025757412</v>
      </c>
      <c r="CK27" s="1541">
        <f t="shared" ca="1" si="19"/>
        <v>-10.920005025757412</v>
      </c>
      <c r="CL27" s="1542">
        <f t="shared" ca="1" si="19"/>
        <v>-10.920005025757412</v>
      </c>
      <c r="CM27" s="1540">
        <f t="shared" ca="1" si="19"/>
        <v>-15.059973192164085</v>
      </c>
      <c r="CN27" s="1541">
        <f t="shared" ca="1" si="19"/>
        <v>-15.059973192164085</v>
      </c>
      <c r="CO27" s="1541">
        <f t="shared" ca="1" si="19"/>
        <v>-15.059973192164085</v>
      </c>
      <c r="CP27" s="1542">
        <f t="shared" ca="1" si="19"/>
        <v>-15.059973192164085</v>
      </c>
      <c r="CQ27" s="1540">
        <f t="shared" ca="1" si="19"/>
        <v>-5.9742881958862446</v>
      </c>
      <c r="CR27" s="1541">
        <f t="shared" ca="1" si="19"/>
        <v>-5.9742881958862446</v>
      </c>
      <c r="CS27" s="1541">
        <f t="shared" ca="1" si="19"/>
        <v>-5.9742881958862446</v>
      </c>
      <c r="CT27" s="1542">
        <f t="shared" ca="1" si="19"/>
        <v>-5.9742881958862446</v>
      </c>
      <c r="CU27" s="1540">
        <f t="shared" ca="1" si="19"/>
        <v>-14.922235835298986</v>
      </c>
      <c r="CV27" s="1541">
        <f t="shared" ca="1" si="19"/>
        <v>-14.922235835298986</v>
      </c>
      <c r="CW27" s="1541">
        <f t="shared" ca="1" si="19"/>
        <v>-14.922235835298986</v>
      </c>
      <c r="CX27" s="1542">
        <f t="shared" ca="1" si="19"/>
        <v>-14.922235835298986</v>
      </c>
      <c r="CY27" s="1540">
        <f t="shared" ca="1" si="19"/>
        <v>-34.854242257164813</v>
      </c>
      <c r="CZ27" s="1541">
        <f t="shared" ca="1" si="19"/>
        <v>-34.854242257164813</v>
      </c>
      <c r="DA27" s="1541">
        <f t="shared" ca="1" si="19"/>
        <v>-34.854242257164813</v>
      </c>
      <c r="DB27" s="1542">
        <f t="shared" ca="1" si="19"/>
        <v>-34.854242257164813</v>
      </c>
      <c r="DC27" s="1540">
        <f t="shared" ca="1" si="19"/>
        <v>-13.728648085602682</v>
      </c>
      <c r="DD27" s="1541">
        <f t="shared" ca="1" si="19"/>
        <v>-13.728648085602682</v>
      </c>
      <c r="DE27" s="1541">
        <f t="shared" ca="1" si="19"/>
        <v>-13.728648085602682</v>
      </c>
      <c r="DF27" s="1542">
        <f t="shared" ca="1" si="19"/>
        <v>-13.728648085602682</v>
      </c>
      <c r="DG27" s="1540">
        <f t="shared" ca="1" si="19"/>
        <v>-7.5369918577545976</v>
      </c>
      <c r="DH27" s="1541">
        <f t="shared" ca="1" si="19"/>
        <v>-7.5369918577545976</v>
      </c>
      <c r="DI27" s="1541">
        <f t="shared" ca="1" si="19"/>
        <v>-7.5369918577545976</v>
      </c>
      <c r="DJ27" s="1542">
        <f t="shared" ca="1" si="19"/>
        <v>-7.5369918577545976</v>
      </c>
      <c r="DK27" s="1540">
        <f t="shared" ca="1" si="19"/>
        <v>-10.660190284005415</v>
      </c>
      <c r="DL27" s="1541">
        <f t="shared" ca="1" si="19"/>
        <v>-10.660190284005415</v>
      </c>
      <c r="DM27" s="1541">
        <f t="shared" ca="1" si="19"/>
        <v>-10.660190284005415</v>
      </c>
      <c r="DN27" s="1542">
        <f t="shared" ca="1" si="19"/>
        <v>-10.660190284005415</v>
      </c>
      <c r="DO27" s="1540">
        <f t="shared" ca="1" si="19"/>
        <v>-4.2942697161406791</v>
      </c>
      <c r="DP27" s="1541">
        <f t="shared" ca="1" si="19"/>
        <v>-4.2942697161406791</v>
      </c>
      <c r="DQ27" s="1541">
        <f t="shared" ca="1" si="19"/>
        <v>-4.2942697161406791</v>
      </c>
      <c r="DR27" s="1542">
        <f t="shared" ca="1" si="19"/>
        <v>-4.2942697161406791</v>
      </c>
      <c r="DS27" s="1540">
        <f t="shared" ca="1" si="19"/>
        <v>0</v>
      </c>
      <c r="DT27" s="1541">
        <f t="shared" ca="1" si="19"/>
        <v>0</v>
      </c>
      <c r="DU27" s="1541">
        <f t="shared" ca="1" si="19"/>
        <v>0</v>
      </c>
      <c r="DV27" s="1542">
        <f t="shared" ca="1" si="19"/>
        <v>0</v>
      </c>
      <c r="DW27" s="1540">
        <f t="shared" ca="1" si="19"/>
        <v>-0.253946929706383</v>
      </c>
      <c r="DX27" s="1541">
        <f t="shared" ca="1" si="19"/>
        <v>-0.253946929706383</v>
      </c>
      <c r="DY27" s="1541">
        <f t="shared" ca="1" si="19"/>
        <v>-0.253946929706383</v>
      </c>
      <c r="DZ27" s="1542">
        <f t="shared" ca="1" si="19"/>
        <v>-0.253946929706383</v>
      </c>
      <c r="EA27" s="1540">
        <f t="shared" ca="1" si="19"/>
        <v>-4.1382798047211127</v>
      </c>
      <c r="EB27" s="1541">
        <f t="shared" ca="1" si="19"/>
        <v>-4.1382798047211127</v>
      </c>
      <c r="EC27" s="1541">
        <f t="shared" ca="1" si="19"/>
        <v>-4.1382798047211127</v>
      </c>
      <c r="ED27" s="1542">
        <f t="shared" ca="1" si="19"/>
        <v>-4.1382798047211127</v>
      </c>
      <c r="EE27" s="1540">
        <f t="shared" ref="EE27:GD27" ca="1" si="20">EE28-EE30</f>
        <v>-2.8495638929282943</v>
      </c>
      <c r="EF27" s="1541">
        <f t="shared" ca="1" si="20"/>
        <v>-2.8495638929282943</v>
      </c>
      <c r="EG27" s="1541">
        <f t="shared" ca="1" si="20"/>
        <v>-2.8495638929282943</v>
      </c>
      <c r="EH27" s="1542">
        <f t="shared" ca="1" si="20"/>
        <v>-2.8495638929282943</v>
      </c>
      <c r="EI27" s="1540">
        <f t="shared" ca="1" si="20"/>
        <v>-3.9638729006947533</v>
      </c>
      <c r="EJ27" s="1541">
        <f t="shared" ca="1" si="20"/>
        <v>-3.9638729006947533</v>
      </c>
      <c r="EK27" s="1541">
        <f t="shared" ca="1" si="20"/>
        <v>-3.9638729006947533</v>
      </c>
      <c r="EL27" s="1542">
        <f t="shared" ca="1" si="20"/>
        <v>-3.9638729006947533</v>
      </c>
      <c r="EM27" s="1540">
        <f t="shared" ca="1" si="20"/>
        <v>-7.1019389470781</v>
      </c>
      <c r="EN27" s="1541">
        <f t="shared" ca="1" si="20"/>
        <v>-7.1019389470781</v>
      </c>
      <c r="EO27" s="1541">
        <f t="shared" ca="1" si="20"/>
        <v>-7.1019389470781</v>
      </c>
      <c r="EP27" s="1542">
        <f t="shared" ca="1" si="20"/>
        <v>-7.1019389470781</v>
      </c>
      <c r="EQ27" s="1540">
        <f t="shared" ca="1" si="20"/>
        <v>0</v>
      </c>
      <c r="ER27" s="1541">
        <f t="shared" ca="1" si="20"/>
        <v>0</v>
      </c>
      <c r="ES27" s="1541">
        <f t="shared" ca="1" si="20"/>
        <v>0</v>
      </c>
      <c r="ET27" s="1542">
        <f t="shared" ca="1" si="20"/>
        <v>0</v>
      </c>
      <c r="EU27" s="1540">
        <f t="shared" ca="1" si="20"/>
        <v>-11.829935144985386</v>
      </c>
      <c r="EV27" s="1541">
        <f t="shared" ca="1" si="20"/>
        <v>-11.829935144985386</v>
      </c>
      <c r="EW27" s="1541">
        <f t="shared" ca="1" si="20"/>
        <v>-11.829935144985386</v>
      </c>
      <c r="EX27" s="1542">
        <f t="shared" ca="1" si="20"/>
        <v>-11.829935144985386</v>
      </c>
      <c r="EY27" s="1540">
        <f t="shared" ca="1" si="20"/>
        <v>-2.2461902174022885</v>
      </c>
      <c r="EZ27" s="1541">
        <f t="shared" ca="1" si="20"/>
        <v>-2.2461902174022885</v>
      </c>
      <c r="FA27" s="1541">
        <f t="shared" ca="1" si="20"/>
        <v>-2.2461902174022885</v>
      </c>
      <c r="FB27" s="1542">
        <f t="shared" ca="1" si="20"/>
        <v>-2.2461902174022885</v>
      </c>
      <c r="FC27" s="1540">
        <f t="shared" ca="1" si="20"/>
        <v>0</v>
      </c>
      <c r="FD27" s="1541">
        <f t="shared" ca="1" si="20"/>
        <v>0</v>
      </c>
      <c r="FE27" s="1541">
        <f t="shared" ca="1" si="20"/>
        <v>0</v>
      </c>
      <c r="FF27" s="1542">
        <f t="shared" ca="1" si="20"/>
        <v>0</v>
      </c>
      <c r="FG27" s="1540">
        <f t="shared" ca="1" si="20"/>
        <v>-5.4158913327339944</v>
      </c>
      <c r="FH27" s="1541">
        <f t="shared" ca="1" si="20"/>
        <v>-5.4158913327339944</v>
      </c>
      <c r="FI27" s="1541">
        <f t="shared" ca="1" si="20"/>
        <v>-5.4158913327339944</v>
      </c>
      <c r="FJ27" s="1542">
        <f t="shared" ca="1" si="20"/>
        <v>-5.4158913327339944</v>
      </c>
      <c r="FK27" s="1540">
        <f t="shared" ca="1" si="20"/>
        <v>0</v>
      </c>
      <c r="FL27" s="1541">
        <f t="shared" ca="1" si="20"/>
        <v>0</v>
      </c>
      <c r="FM27" s="1541">
        <f t="shared" ca="1" si="20"/>
        <v>0</v>
      </c>
      <c r="FN27" s="1542">
        <f t="shared" ca="1" si="20"/>
        <v>0</v>
      </c>
      <c r="FO27" s="1540">
        <f t="shared" ca="1" si="20"/>
        <v>-1.9513702964330726</v>
      </c>
      <c r="FP27" s="1541">
        <f t="shared" ca="1" si="20"/>
        <v>-1.9513702964330726</v>
      </c>
      <c r="FQ27" s="1541">
        <f t="shared" ca="1" si="20"/>
        <v>-1.9513702964330726</v>
      </c>
      <c r="FR27" s="1542">
        <f t="shared" ca="1" si="20"/>
        <v>-1.9513702964330726</v>
      </c>
      <c r="FS27" s="1540">
        <f t="shared" ca="1" si="20"/>
        <v>-0.53653829384684293</v>
      </c>
      <c r="FT27" s="1541">
        <f t="shared" ca="1" si="20"/>
        <v>-0.53653829384684293</v>
      </c>
      <c r="FU27" s="1541">
        <f t="shared" ca="1" si="20"/>
        <v>-0.53653829384684293</v>
      </c>
      <c r="FV27" s="1542">
        <f t="shared" ca="1" si="20"/>
        <v>-0.53653829384684293</v>
      </c>
      <c r="FW27" s="1540">
        <f t="shared" ca="1" si="20"/>
        <v>-3.3598027960689301</v>
      </c>
      <c r="FX27" s="1541">
        <f t="shared" ca="1" si="20"/>
        <v>-3.3598027960689301</v>
      </c>
      <c r="FY27" s="1541">
        <f t="shared" ca="1" si="20"/>
        <v>-3.3598027960689301</v>
      </c>
      <c r="FZ27" s="1542">
        <f t="shared" ca="1" si="20"/>
        <v>-3.3598027960689301</v>
      </c>
      <c r="GA27" s="1540">
        <f t="shared" ca="1" si="20"/>
        <v>-35.02865366740253</v>
      </c>
      <c r="GB27" s="1541">
        <f t="shared" ca="1" si="20"/>
        <v>-35.02865366740253</v>
      </c>
      <c r="GC27" s="1541">
        <f t="shared" ca="1" si="20"/>
        <v>0</v>
      </c>
      <c r="GD27" s="1542">
        <f t="shared" ca="1" si="20"/>
        <v>0</v>
      </c>
      <c r="GE27" s="1508"/>
      <c r="GF27" s="1509"/>
      <c r="GG27" s="1509"/>
      <c r="GH27" s="1509"/>
      <c r="GI27" s="1509"/>
      <c r="GJ27" s="1509"/>
      <c r="GK27" s="1509"/>
      <c r="GL27" s="1509"/>
      <c r="GM27" s="1509"/>
      <c r="GN27" s="1509"/>
      <c r="GO27" s="1509"/>
      <c r="GP27" s="1509"/>
      <c r="GQ27" s="1509"/>
      <c r="GR27" s="1509"/>
      <c r="GS27" s="1509"/>
      <c r="GT27" s="1509"/>
    </row>
    <row r="28" spans="1:202" ht="17.100000000000001" customHeight="1">
      <c r="B28" s="720" t="s">
        <v>1309</v>
      </c>
      <c r="C28" s="315"/>
      <c r="D28" s="1259"/>
      <c r="E28" s="722"/>
      <c r="F28" s="1501">
        <f t="shared" si="11"/>
        <v>0</v>
      </c>
      <c r="G28" s="1543"/>
      <c r="H28" s="1543"/>
      <c r="I28" s="1543"/>
      <c r="J28" s="1543"/>
      <c r="K28" s="1543"/>
      <c r="L28" s="1543"/>
      <c r="M28" s="1543"/>
      <c r="N28" s="1543"/>
      <c r="O28" s="1543"/>
      <c r="P28" s="1543"/>
      <c r="Q28" s="1543"/>
      <c r="R28" s="1543"/>
      <c r="S28" s="1543"/>
      <c r="T28" s="1543"/>
      <c r="U28" s="1543"/>
      <c r="V28" s="1543"/>
      <c r="W28" s="1502">
        <f>W29</f>
        <v>0</v>
      </c>
      <c r="X28" s="1503">
        <f t="shared" ref="X28:CI28" si="21">X29</f>
        <v>0</v>
      </c>
      <c r="Y28" s="1503">
        <f t="shared" si="21"/>
        <v>0</v>
      </c>
      <c r="Z28" s="1504">
        <f t="shared" si="21"/>
        <v>0</v>
      </c>
      <c r="AA28" s="1502">
        <f t="shared" si="21"/>
        <v>0</v>
      </c>
      <c r="AB28" s="1503">
        <f t="shared" si="21"/>
        <v>0</v>
      </c>
      <c r="AC28" s="1503">
        <f t="shared" si="21"/>
        <v>0</v>
      </c>
      <c r="AD28" s="1504">
        <f t="shared" si="21"/>
        <v>0</v>
      </c>
      <c r="AE28" s="1505">
        <f t="shared" si="21"/>
        <v>0</v>
      </c>
      <c r="AF28" s="1506">
        <f t="shared" si="21"/>
        <v>0</v>
      </c>
      <c r="AG28" s="1506">
        <f t="shared" si="21"/>
        <v>0</v>
      </c>
      <c r="AH28" s="1507">
        <f t="shared" si="21"/>
        <v>0</v>
      </c>
      <c r="AI28" s="1505">
        <f t="shared" si="21"/>
        <v>0</v>
      </c>
      <c r="AJ28" s="1506">
        <f t="shared" si="21"/>
        <v>0</v>
      </c>
      <c r="AK28" s="1506">
        <f t="shared" si="21"/>
        <v>0</v>
      </c>
      <c r="AL28" s="1507">
        <f t="shared" si="21"/>
        <v>0</v>
      </c>
      <c r="AM28" s="1505">
        <f t="shared" si="21"/>
        <v>0</v>
      </c>
      <c r="AN28" s="1506">
        <f t="shared" si="21"/>
        <v>0</v>
      </c>
      <c r="AO28" s="1506">
        <f t="shared" si="21"/>
        <v>0</v>
      </c>
      <c r="AP28" s="1507">
        <f t="shared" si="21"/>
        <v>0</v>
      </c>
      <c r="AQ28" s="1505">
        <f t="shared" si="21"/>
        <v>0</v>
      </c>
      <c r="AR28" s="1506">
        <f t="shared" si="21"/>
        <v>0</v>
      </c>
      <c r="AS28" s="1506">
        <f t="shared" si="21"/>
        <v>0</v>
      </c>
      <c r="AT28" s="1507">
        <f t="shared" si="21"/>
        <v>0</v>
      </c>
      <c r="AU28" s="1505">
        <f t="shared" si="21"/>
        <v>0</v>
      </c>
      <c r="AV28" s="1506">
        <f t="shared" si="21"/>
        <v>0</v>
      </c>
      <c r="AW28" s="1506">
        <f t="shared" si="21"/>
        <v>0</v>
      </c>
      <c r="AX28" s="1507">
        <f t="shared" si="21"/>
        <v>0</v>
      </c>
      <c r="AY28" s="1505">
        <f t="shared" si="21"/>
        <v>0</v>
      </c>
      <c r="AZ28" s="1506">
        <f t="shared" si="21"/>
        <v>0</v>
      </c>
      <c r="BA28" s="1506">
        <f t="shared" si="21"/>
        <v>0</v>
      </c>
      <c r="BB28" s="1507">
        <f t="shared" si="21"/>
        <v>0</v>
      </c>
      <c r="BC28" s="1505">
        <f t="shared" si="21"/>
        <v>0</v>
      </c>
      <c r="BD28" s="1506">
        <f t="shared" si="21"/>
        <v>0</v>
      </c>
      <c r="BE28" s="1506">
        <f t="shared" si="21"/>
        <v>0</v>
      </c>
      <c r="BF28" s="1507">
        <f t="shared" si="21"/>
        <v>0</v>
      </c>
      <c r="BG28" s="1505">
        <f t="shared" si="21"/>
        <v>0</v>
      </c>
      <c r="BH28" s="1506">
        <f t="shared" si="21"/>
        <v>0</v>
      </c>
      <c r="BI28" s="1506">
        <f t="shared" si="21"/>
        <v>0</v>
      </c>
      <c r="BJ28" s="1507">
        <f t="shared" si="21"/>
        <v>0</v>
      </c>
      <c r="BK28" s="1505">
        <f t="shared" si="21"/>
        <v>0</v>
      </c>
      <c r="BL28" s="1506">
        <f t="shared" si="21"/>
        <v>0</v>
      </c>
      <c r="BM28" s="1506">
        <f t="shared" si="21"/>
        <v>0</v>
      </c>
      <c r="BN28" s="1507">
        <f t="shared" si="21"/>
        <v>0</v>
      </c>
      <c r="BO28" s="1505">
        <f t="shared" si="21"/>
        <v>0</v>
      </c>
      <c r="BP28" s="1506">
        <f t="shared" si="21"/>
        <v>0</v>
      </c>
      <c r="BQ28" s="1506">
        <f t="shared" si="21"/>
        <v>0</v>
      </c>
      <c r="BR28" s="1507">
        <f t="shared" si="21"/>
        <v>0</v>
      </c>
      <c r="BS28" s="1505">
        <f t="shared" si="21"/>
        <v>0</v>
      </c>
      <c r="BT28" s="1506">
        <f t="shared" si="21"/>
        <v>0</v>
      </c>
      <c r="BU28" s="1506">
        <f t="shared" si="21"/>
        <v>0</v>
      </c>
      <c r="BV28" s="1507">
        <f t="shared" si="21"/>
        <v>0</v>
      </c>
      <c r="BW28" s="1505">
        <f t="shared" si="21"/>
        <v>0</v>
      </c>
      <c r="BX28" s="1506">
        <f t="shared" si="21"/>
        <v>0</v>
      </c>
      <c r="BY28" s="1506">
        <f t="shared" si="21"/>
        <v>0</v>
      </c>
      <c r="BZ28" s="1507">
        <f t="shared" si="21"/>
        <v>0</v>
      </c>
      <c r="CA28" s="1505">
        <f t="shared" si="21"/>
        <v>0</v>
      </c>
      <c r="CB28" s="1506">
        <f t="shared" si="21"/>
        <v>0</v>
      </c>
      <c r="CC28" s="1506">
        <f t="shared" si="21"/>
        <v>0</v>
      </c>
      <c r="CD28" s="1507">
        <f t="shared" si="21"/>
        <v>0</v>
      </c>
      <c r="CE28" s="1505">
        <f t="shared" si="21"/>
        <v>0</v>
      </c>
      <c r="CF28" s="1506">
        <f t="shared" si="21"/>
        <v>0</v>
      </c>
      <c r="CG28" s="1506">
        <f t="shared" si="21"/>
        <v>0</v>
      </c>
      <c r="CH28" s="1507">
        <f t="shared" si="21"/>
        <v>0</v>
      </c>
      <c r="CI28" s="1505">
        <f t="shared" si="21"/>
        <v>0</v>
      </c>
      <c r="CJ28" s="1506">
        <f t="shared" ref="CJ28:EU28" si="22">CJ29</f>
        <v>0</v>
      </c>
      <c r="CK28" s="1506">
        <f t="shared" si="22"/>
        <v>0</v>
      </c>
      <c r="CL28" s="1507">
        <f t="shared" si="22"/>
        <v>0</v>
      </c>
      <c r="CM28" s="1505">
        <f t="shared" si="22"/>
        <v>0</v>
      </c>
      <c r="CN28" s="1506">
        <f t="shared" si="22"/>
        <v>0</v>
      </c>
      <c r="CO28" s="1506">
        <f t="shared" si="22"/>
        <v>0</v>
      </c>
      <c r="CP28" s="1507">
        <f t="shared" si="22"/>
        <v>0</v>
      </c>
      <c r="CQ28" s="1505">
        <f t="shared" si="22"/>
        <v>0</v>
      </c>
      <c r="CR28" s="1506">
        <f t="shared" si="22"/>
        <v>0</v>
      </c>
      <c r="CS28" s="1506">
        <f t="shared" si="22"/>
        <v>0</v>
      </c>
      <c r="CT28" s="1507">
        <f t="shared" si="22"/>
        <v>0</v>
      </c>
      <c r="CU28" s="1505">
        <f t="shared" si="22"/>
        <v>0</v>
      </c>
      <c r="CV28" s="1506">
        <f t="shared" si="22"/>
        <v>0</v>
      </c>
      <c r="CW28" s="1506">
        <f t="shared" si="22"/>
        <v>0</v>
      </c>
      <c r="CX28" s="1507">
        <f t="shared" si="22"/>
        <v>0</v>
      </c>
      <c r="CY28" s="1505">
        <f t="shared" si="22"/>
        <v>0</v>
      </c>
      <c r="CZ28" s="1506">
        <f t="shared" si="22"/>
        <v>0</v>
      </c>
      <c r="DA28" s="1506">
        <f t="shared" si="22"/>
        <v>0</v>
      </c>
      <c r="DB28" s="1507">
        <f t="shared" si="22"/>
        <v>0</v>
      </c>
      <c r="DC28" s="1505">
        <f t="shared" si="22"/>
        <v>0</v>
      </c>
      <c r="DD28" s="1506">
        <f t="shared" si="22"/>
        <v>0</v>
      </c>
      <c r="DE28" s="1506">
        <f t="shared" si="22"/>
        <v>0</v>
      </c>
      <c r="DF28" s="1507">
        <f t="shared" si="22"/>
        <v>0</v>
      </c>
      <c r="DG28" s="1505">
        <f t="shared" si="22"/>
        <v>0</v>
      </c>
      <c r="DH28" s="1506">
        <f t="shared" si="22"/>
        <v>0</v>
      </c>
      <c r="DI28" s="1506">
        <f t="shared" si="22"/>
        <v>0</v>
      </c>
      <c r="DJ28" s="1507">
        <f t="shared" si="22"/>
        <v>0</v>
      </c>
      <c r="DK28" s="1505">
        <f t="shared" si="22"/>
        <v>0</v>
      </c>
      <c r="DL28" s="1506">
        <f t="shared" si="22"/>
        <v>0</v>
      </c>
      <c r="DM28" s="1506">
        <f t="shared" si="22"/>
        <v>0</v>
      </c>
      <c r="DN28" s="1507">
        <f t="shared" si="22"/>
        <v>0</v>
      </c>
      <c r="DO28" s="1505">
        <f t="shared" si="22"/>
        <v>0</v>
      </c>
      <c r="DP28" s="1506">
        <f t="shared" si="22"/>
        <v>0</v>
      </c>
      <c r="DQ28" s="1506">
        <f t="shared" si="22"/>
        <v>0</v>
      </c>
      <c r="DR28" s="1507">
        <f t="shared" si="22"/>
        <v>0</v>
      </c>
      <c r="DS28" s="1505">
        <f t="shared" si="22"/>
        <v>0</v>
      </c>
      <c r="DT28" s="1506">
        <f t="shared" si="22"/>
        <v>0</v>
      </c>
      <c r="DU28" s="1506">
        <f t="shared" si="22"/>
        <v>0</v>
      </c>
      <c r="DV28" s="1507">
        <f t="shared" si="22"/>
        <v>0</v>
      </c>
      <c r="DW28" s="1505">
        <f t="shared" si="22"/>
        <v>0</v>
      </c>
      <c r="DX28" s="1506">
        <f t="shared" si="22"/>
        <v>0</v>
      </c>
      <c r="DY28" s="1506">
        <f t="shared" si="22"/>
        <v>0</v>
      </c>
      <c r="DZ28" s="1507">
        <f t="shared" si="22"/>
        <v>0</v>
      </c>
      <c r="EA28" s="1505">
        <f t="shared" si="22"/>
        <v>0</v>
      </c>
      <c r="EB28" s="1506">
        <f t="shared" si="22"/>
        <v>0</v>
      </c>
      <c r="EC28" s="1506">
        <f t="shared" si="22"/>
        <v>0</v>
      </c>
      <c r="ED28" s="1507">
        <f t="shared" si="22"/>
        <v>0</v>
      </c>
      <c r="EE28" s="1505">
        <f t="shared" si="22"/>
        <v>0</v>
      </c>
      <c r="EF28" s="1506">
        <f t="shared" si="22"/>
        <v>0</v>
      </c>
      <c r="EG28" s="1506">
        <f t="shared" si="22"/>
        <v>0</v>
      </c>
      <c r="EH28" s="1507">
        <f t="shared" si="22"/>
        <v>0</v>
      </c>
      <c r="EI28" s="1505">
        <f t="shared" si="22"/>
        <v>0</v>
      </c>
      <c r="EJ28" s="1506">
        <f t="shared" si="22"/>
        <v>0</v>
      </c>
      <c r="EK28" s="1506">
        <f t="shared" si="22"/>
        <v>0</v>
      </c>
      <c r="EL28" s="1507">
        <f t="shared" si="22"/>
        <v>0</v>
      </c>
      <c r="EM28" s="1505">
        <f t="shared" si="22"/>
        <v>0</v>
      </c>
      <c r="EN28" s="1506">
        <f t="shared" si="22"/>
        <v>0</v>
      </c>
      <c r="EO28" s="1506">
        <f t="shared" si="22"/>
        <v>0</v>
      </c>
      <c r="EP28" s="1507">
        <f t="shared" si="22"/>
        <v>0</v>
      </c>
      <c r="EQ28" s="1505">
        <f t="shared" si="22"/>
        <v>0</v>
      </c>
      <c r="ER28" s="1506">
        <f t="shared" si="22"/>
        <v>0</v>
      </c>
      <c r="ES28" s="1506">
        <f t="shared" si="22"/>
        <v>0</v>
      </c>
      <c r="ET28" s="1507">
        <f t="shared" si="22"/>
        <v>0</v>
      </c>
      <c r="EU28" s="1505">
        <f t="shared" si="22"/>
        <v>0</v>
      </c>
      <c r="EV28" s="1506">
        <f t="shared" ref="EV28:GD28" si="23">EV29</f>
        <v>0</v>
      </c>
      <c r="EW28" s="1506">
        <f t="shared" si="23"/>
        <v>0</v>
      </c>
      <c r="EX28" s="1507">
        <f t="shared" si="23"/>
        <v>0</v>
      </c>
      <c r="EY28" s="1505">
        <f t="shared" si="23"/>
        <v>0</v>
      </c>
      <c r="EZ28" s="1506">
        <f t="shared" si="23"/>
        <v>0</v>
      </c>
      <c r="FA28" s="1506">
        <f t="shared" si="23"/>
        <v>0</v>
      </c>
      <c r="FB28" s="1507">
        <f t="shared" si="23"/>
        <v>0</v>
      </c>
      <c r="FC28" s="1505">
        <f t="shared" si="23"/>
        <v>0</v>
      </c>
      <c r="FD28" s="1506">
        <f t="shared" si="23"/>
        <v>0</v>
      </c>
      <c r="FE28" s="1506">
        <f t="shared" si="23"/>
        <v>0</v>
      </c>
      <c r="FF28" s="1507">
        <f t="shared" si="23"/>
        <v>0</v>
      </c>
      <c r="FG28" s="1505">
        <f t="shared" si="23"/>
        <v>0</v>
      </c>
      <c r="FH28" s="1506">
        <f t="shared" si="23"/>
        <v>0</v>
      </c>
      <c r="FI28" s="1506">
        <f t="shared" si="23"/>
        <v>0</v>
      </c>
      <c r="FJ28" s="1507">
        <f t="shared" si="23"/>
        <v>0</v>
      </c>
      <c r="FK28" s="1505">
        <f t="shared" si="23"/>
        <v>0</v>
      </c>
      <c r="FL28" s="1506">
        <f t="shared" si="23"/>
        <v>0</v>
      </c>
      <c r="FM28" s="1506">
        <f t="shared" si="23"/>
        <v>0</v>
      </c>
      <c r="FN28" s="1507">
        <f t="shared" si="23"/>
        <v>0</v>
      </c>
      <c r="FO28" s="1505">
        <f t="shared" si="23"/>
        <v>0</v>
      </c>
      <c r="FP28" s="1506">
        <f t="shared" si="23"/>
        <v>0</v>
      </c>
      <c r="FQ28" s="1506">
        <f t="shared" si="23"/>
        <v>0</v>
      </c>
      <c r="FR28" s="1507">
        <f t="shared" si="23"/>
        <v>0</v>
      </c>
      <c r="FS28" s="1505">
        <f t="shared" si="23"/>
        <v>0</v>
      </c>
      <c r="FT28" s="1506">
        <f t="shared" si="23"/>
        <v>0</v>
      </c>
      <c r="FU28" s="1506">
        <f t="shared" si="23"/>
        <v>0</v>
      </c>
      <c r="FV28" s="1507">
        <f t="shared" si="23"/>
        <v>0</v>
      </c>
      <c r="FW28" s="1505">
        <f t="shared" si="23"/>
        <v>0</v>
      </c>
      <c r="FX28" s="1506">
        <f t="shared" si="23"/>
        <v>0</v>
      </c>
      <c r="FY28" s="1506">
        <f t="shared" si="23"/>
        <v>0</v>
      </c>
      <c r="FZ28" s="1507">
        <f t="shared" si="23"/>
        <v>0</v>
      </c>
      <c r="GA28" s="1505">
        <f t="shared" si="23"/>
        <v>0</v>
      </c>
      <c r="GB28" s="1506">
        <f t="shared" si="23"/>
        <v>0</v>
      </c>
      <c r="GC28" s="1506">
        <f t="shared" si="23"/>
        <v>0</v>
      </c>
      <c r="GD28" s="1507">
        <f t="shared" si="23"/>
        <v>0</v>
      </c>
      <c r="GE28" s="1508"/>
      <c r="GF28" s="1509"/>
      <c r="GG28" s="1509"/>
      <c r="GH28" s="1509"/>
      <c r="GI28" s="1509"/>
      <c r="GJ28" s="1509"/>
      <c r="GK28" s="1509"/>
      <c r="GL28" s="1509"/>
      <c r="GM28" s="1509"/>
      <c r="GN28" s="1509"/>
      <c r="GO28" s="1509"/>
      <c r="GP28" s="1509"/>
      <c r="GQ28" s="1509"/>
      <c r="GR28" s="1509"/>
      <c r="GS28" s="1509"/>
      <c r="GT28" s="1509"/>
    </row>
    <row r="29" spans="1:202" ht="17.100000000000001" hidden="1" customHeight="1">
      <c r="A29" s="1357"/>
      <c r="B29" s="307"/>
      <c r="C29" s="489"/>
      <c r="D29" s="331"/>
      <c r="E29" s="742"/>
      <c r="F29" s="1530">
        <f t="shared" si="11"/>
        <v>0</v>
      </c>
      <c r="G29" s="1518"/>
      <c r="H29" s="1518"/>
      <c r="I29" s="1518"/>
      <c r="J29" s="1518"/>
      <c r="K29" s="1518"/>
      <c r="L29" s="1518"/>
      <c r="M29" s="1518"/>
      <c r="N29" s="1518"/>
      <c r="O29" s="1518"/>
      <c r="P29" s="1518"/>
      <c r="Q29" s="1518"/>
      <c r="R29" s="1518"/>
      <c r="S29" s="1518"/>
      <c r="T29" s="1518"/>
      <c r="U29" s="1518"/>
      <c r="V29" s="1518"/>
      <c r="W29" s="1519"/>
      <c r="X29" s="1520"/>
      <c r="Y29" s="1520"/>
      <c r="Z29" s="1521"/>
      <c r="AA29" s="1519"/>
      <c r="AB29" s="1520"/>
      <c r="AC29" s="1520"/>
      <c r="AD29" s="1521"/>
      <c r="AE29" s="1522"/>
      <c r="AF29" s="1523"/>
      <c r="AG29" s="1523"/>
      <c r="AH29" s="1524"/>
      <c r="AI29" s="1522"/>
      <c r="AJ29" s="1523"/>
      <c r="AK29" s="1523"/>
      <c r="AL29" s="1524"/>
      <c r="AM29" s="1522"/>
      <c r="AN29" s="1523"/>
      <c r="AO29" s="1523"/>
      <c r="AP29" s="1524"/>
      <c r="AQ29" s="1522"/>
      <c r="AR29" s="1523"/>
      <c r="AS29" s="1523"/>
      <c r="AT29" s="1524"/>
      <c r="AU29" s="1522"/>
      <c r="AV29" s="1523"/>
      <c r="AW29" s="1523"/>
      <c r="AX29" s="1524"/>
      <c r="AY29" s="1522"/>
      <c r="AZ29" s="1523"/>
      <c r="BA29" s="1523"/>
      <c r="BB29" s="1524"/>
      <c r="BC29" s="1522"/>
      <c r="BD29" s="1523"/>
      <c r="BE29" s="1523"/>
      <c r="BF29" s="1524"/>
      <c r="BG29" s="1522"/>
      <c r="BH29" s="1523"/>
      <c r="BI29" s="1523"/>
      <c r="BJ29" s="1524"/>
      <c r="BK29" s="1522"/>
      <c r="BL29" s="1523"/>
      <c r="BM29" s="1523"/>
      <c r="BN29" s="1524"/>
      <c r="BO29" s="1522"/>
      <c r="BP29" s="1523"/>
      <c r="BQ29" s="1523"/>
      <c r="BR29" s="1524"/>
      <c r="BS29" s="1522"/>
      <c r="BT29" s="1523"/>
      <c r="BU29" s="1523"/>
      <c r="BV29" s="1524"/>
      <c r="BW29" s="1522"/>
      <c r="BX29" s="1523"/>
      <c r="BY29" s="1523"/>
      <c r="BZ29" s="1524"/>
      <c r="CA29" s="1522"/>
      <c r="CB29" s="1523"/>
      <c r="CC29" s="1523"/>
      <c r="CD29" s="1524"/>
      <c r="CE29" s="1522"/>
      <c r="CF29" s="1523"/>
      <c r="CG29" s="1523"/>
      <c r="CH29" s="1524"/>
      <c r="CI29" s="1522"/>
      <c r="CJ29" s="1523"/>
      <c r="CK29" s="1523"/>
      <c r="CL29" s="1524"/>
      <c r="CM29" s="1522"/>
      <c r="CN29" s="1523"/>
      <c r="CO29" s="1523"/>
      <c r="CP29" s="1524"/>
      <c r="CQ29" s="1522"/>
      <c r="CR29" s="1523"/>
      <c r="CS29" s="1523"/>
      <c r="CT29" s="1524"/>
      <c r="CU29" s="1522"/>
      <c r="CV29" s="1523"/>
      <c r="CW29" s="1523"/>
      <c r="CX29" s="1524"/>
      <c r="CY29" s="1522"/>
      <c r="CZ29" s="1523"/>
      <c r="DA29" s="1523"/>
      <c r="DB29" s="1524"/>
      <c r="DC29" s="1522"/>
      <c r="DD29" s="1523"/>
      <c r="DE29" s="1523"/>
      <c r="DF29" s="1524"/>
      <c r="DG29" s="1522"/>
      <c r="DH29" s="1523"/>
      <c r="DI29" s="1523"/>
      <c r="DJ29" s="1524"/>
      <c r="DK29" s="1522"/>
      <c r="DL29" s="1523"/>
      <c r="DM29" s="1523"/>
      <c r="DN29" s="1524"/>
      <c r="DO29" s="1522"/>
      <c r="DP29" s="1523"/>
      <c r="DQ29" s="1523"/>
      <c r="DR29" s="1524"/>
      <c r="DS29" s="1522"/>
      <c r="DT29" s="1523"/>
      <c r="DU29" s="1523"/>
      <c r="DV29" s="1524"/>
      <c r="DW29" s="1522"/>
      <c r="DX29" s="1523"/>
      <c r="DY29" s="1523"/>
      <c r="DZ29" s="1524"/>
      <c r="EA29" s="1522"/>
      <c r="EB29" s="1523"/>
      <c r="EC29" s="1523"/>
      <c r="ED29" s="1524"/>
      <c r="EE29" s="1522"/>
      <c r="EF29" s="1523"/>
      <c r="EG29" s="1523"/>
      <c r="EH29" s="1524"/>
      <c r="EI29" s="1522"/>
      <c r="EJ29" s="1523"/>
      <c r="EK29" s="1523"/>
      <c r="EL29" s="1524"/>
      <c r="EM29" s="1522"/>
      <c r="EN29" s="1523"/>
      <c r="EO29" s="1523"/>
      <c r="EP29" s="1524"/>
      <c r="EQ29" s="1522"/>
      <c r="ER29" s="1523"/>
      <c r="ES29" s="1523"/>
      <c r="ET29" s="1524"/>
      <c r="EU29" s="1522"/>
      <c r="EV29" s="1523"/>
      <c r="EW29" s="1523"/>
      <c r="EX29" s="1524"/>
      <c r="EY29" s="1522"/>
      <c r="EZ29" s="1523"/>
      <c r="FA29" s="1523"/>
      <c r="FB29" s="1524"/>
      <c r="FC29" s="1522"/>
      <c r="FD29" s="1523"/>
      <c r="FE29" s="1523"/>
      <c r="FF29" s="1524"/>
      <c r="FG29" s="1522"/>
      <c r="FH29" s="1523"/>
      <c r="FI29" s="1523"/>
      <c r="FJ29" s="1524"/>
      <c r="FK29" s="1522"/>
      <c r="FL29" s="1523"/>
      <c r="FM29" s="1523"/>
      <c r="FN29" s="1524"/>
      <c r="FO29" s="1522"/>
      <c r="FP29" s="1523"/>
      <c r="FQ29" s="1523"/>
      <c r="FR29" s="1524"/>
      <c r="FS29" s="1522"/>
      <c r="FT29" s="1523"/>
      <c r="FU29" s="1523"/>
      <c r="FV29" s="1524"/>
      <c r="FW29" s="1522"/>
      <c r="FX29" s="1523"/>
      <c r="FY29" s="1523"/>
      <c r="FZ29" s="1524"/>
      <c r="GA29" s="1522"/>
      <c r="GB29" s="1523"/>
      <c r="GC29" s="1523"/>
      <c r="GD29" s="1524"/>
      <c r="GE29" s="1508"/>
      <c r="GF29" s="1509"/>
      <c r="GG29" s="1509"/>
      <c r="GH29" s="1509"/>
      <c r="GI29" s="1509"/>
      <c r="GJ29" s="1509"/>
      <c r="GK29" s="1509"/>
      <c r="GL29" s="1509"/>
      <c r="GM29" s="1509"/>
      <c r="GN29" s="1509"/>
      <c r="GO29" s="1509"/>
      <c r="GP29" s="1509"/>
      <c r="GQ29" s="1509"/>
      <c r="GR29" s="1509"/>
      <c r="GS29" s="1509"/>
      <c r="GT29" s="1509"/>
    </row>
    <row r="30" spans="1:202" ht="17.100000000000001" customHeight="1">
      <c r="B30" s="1510" t="s">
        <v>1310</v>
      </c>
      <c r="C30" s="428"/>
      <c r="D30" s="1511"/>
      <c r="E30" s="1512"/>
      <c r="F30" s="1513">
        <f t="shared" ca="1" si="11"/>
        <v>950.29425242390755</v>
      </c>
      <c r="G30" s="914">
        <f t="shared" ref="G30:V30" si="24">SUM(G31:G32)</f>
        <v>0</v>
      </c>
      <c r="H30" s="914">
        <f t="shared" si="24"/>
        <v>14.11268482</v>
      </c>
      <c r="I30" s="914">
        <f t="shared" si="24"/>
        <v>0</v>
      </c>
      <c r="J30" s="914">
        <f t="shared" si="24"/>
        <v>59.166887680000002</v>
      </c>
      <c r="K30" s="914">
        <f t="shared" si="24"/>
        <v>0</v>
      </c>
      <c r="L30" s="914">
        <f t="shared" si="24"/>
        <v>0</v>
      </c>
      <c r="M30" s="914">
        <f t="shared" si="24"/>
        <v>48.109583700000002</v>
      </c>
      <c r="N30" s="914">
        <f t="shared" si="24"/>
        <v>16.801091100000001</v>
      </c>
      <c r="O30" s="914">
        <f t="shared" si="24"/>
        <v>1.6579447</v>
      </c>
      <c r="P30" s="914">
        <f t="shared" si="24"/>
        <v>0</v>
      </c>
      <c r="Q30" s="914">
        <f t="shared" si="24"/>
        <v>0</v>
      </c>
      <c r="R30" s="914">
        <f t="shared" si="24"/>
        <v>29.232258229999999</v>
      </c>
      <c r="S30" s="914">
        <f t="shared" si="24"/>
        <v>3.6763216599999997</v>
      </c>
      <c r="T30" s="914">
        <f t="shared" si="24"/>
        <v>0.54600000000000004</v>
      </c>
      <c r="U30" s="914">
        <f t="shared" si="24"/>
        <v>9.3792594099999995</v>
      </c>
      <c r="V30" s="914">
        <f t="shared" si="24"/>
        <v>0.68200000000000005</v>
      </c>
      <c r="W30" s="914">
        <f t="shared" ref="W30:CH30" si="25">SUM(W31:W32)</f>
        <v>0</v>
      </c>
      <c r="X30" s="915">
        <f t="shared" si="25"/>
        <v>4.306</v>
      </c>
      <c r="Y30" s="915">
        <f t="shared" si="25"/>
        <v>2.11</v>
      </c>
      <c r="Z30" s="916">
        <f t="shared" si="25"/>
        <v>19.554720400000001</v>
      </c>
      <c r="AA30" s="914">
        <f t="shared" si="25"/>
        <v>17.225999999999999</v>
      </c>
      <c r="AB30" s="915">
        <f t="shared" si="25"/>
        <v>4.8540000000000001</v>
      </c>
      <c r="AC30" s="915">
        <f t="shared" si="25"/>
        <v>11.39641291</v>
      </c>
      <c r="AD30" s="916">
        <f t="shared" si="25"/>
        <v>4.2877999999999998</v>
      </c>
      <c r="AE30" s="1514">
        <f t="shared" si="25"/>
        <v>14.787831500000001</v>
      </c>
      <c r="AF30" s="1515">
        <f t="shared" si="25"/>
        <v>4.0979999999999999</v>
      </c>
      <c r="AG30" s="1515">
        <f t="shared" si="25"/>
        <v>17.68</v>
      </c>
      <c r="AH30" s="1516">
        <f t="shared" si="25"/>
        <v>7.7063800000000002</v>
      </c>
      <c r="AI30" s="1514">
        <f t="shared" si="25"/>
        <v>7.4950000000000001</v>
      </c>
      <c r="AJ30" s="1515">
        <f t="shared" si="25"/>
        <v>10</v>
      </c>
      <c r="AK30" s="1515">
        <f t="shared" si="25"/>
        <v>0.3</v>
      </c>
      <c r="AL30" s="1516">
        <f t="shared" si="25"/>
        <v>1.5</v>
      </c>
      <c r="AM30" s="1514">
        <f t="shared" ca="1" si="25"/>
        <v>0</v>
      </c>
      <c r="AN30" s="1515">
        <f t="shared" ca="1" si="25"/>
        <v>0</v>
      </c>
      <c r="AO30" s="1515">
        <f t="shared" ca="1" si="25"/>
        <v>0</v>
      </c>
      <c r="AP30" s="1516">
        <f t="shared" ca="1" si="25"/>
        <v>0</v>
      </c>
      <c r="AQ30" s="1514">
        <f t="shared" ca="1" si="25"/>
        <v>0</v>
      </c>
      <c r="AR30" s="1515">
        <f t="shared" ca="1" si="25"/>
        <v>0</v>
      </c>
      <c r="AS30" s="1515">
        <f t="shared" ca="1" si="25"/>
        <v>0</v>
      </c>
      <c r="AT30" s="1516">
        <f t="shared" ca="1" si="25"/>
        <v>0</v>
      </c>
      <c r="AU30" s="1514">
        <f t="shared" ca="1" si="25"/>
        <v>0.78045300749999991</v>
      </c>
      <c r="AV30" s="1515">
        <f t="shared" ca="1" si="25"/>
        <v>0.78045300749999991</v>
      </c>
      <c r="AW30" s="1515">
        <f t="shared" ca="1" si="25"/>
        <v>0.78045300749999991</v>
      </c>
      <c r="AX30" s="1516">
        <f t="shared" ca="1" si="25"/>
        <v>0.78045300749999991</v>
      </c>
      <c r="AY30" s="1514">
        <f t="shared" ca="1" si="25"/>
        <v>1.23756433399275</v>
      </c>
      <c r="AZ30" s="1515">
        <f t="shared" ca="1" si="25"/>
        <v>1.23756433399275</v>
      </c>
      <c r="BA30" s="1515">
        <f t="shared" ca="1" si="25"/>
        <v>1.23756433399275</v>
      </c>
      <c r="BB30" s="1516">
        <f t="shared" ca="1" si="25"/>
        <v>1.23756433399275</v>
      </c>
      <c r="BC30" s="1514">
        <f t="shared" ca="1" si="25"/>
        <v>2.2822683237921497</v>
      </c>
      <c r="BD30" s="1515">
        <f t="shared" ca="1" si="25"/>
        <v>2.2822683237921497</v>
      </c>
      <c r="BE30" s="1515">
        <f t="shared" ca="1" si="25"/>
        <v>2.2822683237921497</v>
      </c>
      <c r="BF30" s="1516">
        <f t="shared" ca="1" si="25"/>
        <v>2.2822683237921497</v>
      </c>
      <c r="BG30" s="1514">
        <f t="shared" ca="1" si="25"/>
        <v>0.10721353521070098</v>
      </c>
      <c r="BH30" s="1515">
        <f t="shared" ca="1" si="25"/>
        <v>0.10721353521070098</v>
      </c>
      <c r="BI30" s="1515">
        <f t="shared" ca="1" si="25"/>
        <v>0.10721353521070098</v>
      </c>
      <c r="BJ30" s="1516">
        <f t="shared" ca="1" si="25"/>
        <v>0.10721353521070098</v>
      </c>
      <c r="BK30" s="1514">
        <f t="shared" ca="1" si="25"/>
        <v>4.4667839107158303</v>
      </c>
      <c r="BL30" s="1515">
        <f t="shared" ca="1" si="25"/>
        <v>4.4667839107158303</v>
      </c>
      <c r="BM30" s="1515">
        <f t="shared" ca="1" si="25"/>
        <v>4.4667839107158303</v>
      </c>
      <c r="BN30" s="1516">
        <f t="shared" ca="1" si="25"/>
        <v>4.4667839107158303</v>
      </c>
      <c r="BO30" s="1514">
        <f t="shared" ca="1" si="25"/>
        <v>6.562111636106164</v>
      </c>
      <c r="BP30" s="1515">
        <f t="shared" ca="1" si="25"/>
        <v>6.562111636106164</v>
      </c>
      <c r="BQ30" s="1515">
        <f t="shared" ca="1" si="25"/>
        <v>6.562111636106164</v>
      </c>
      <c r="BR30" s="1516">
        <f t="shared" ca="1" si="25"/>
        <v>6.562111636106164</v>
      </c>
      <c r="BS30" s="1514">
        <f t="shared" ca="1" si="25"/>
        <v>10.578855632850566</v>
      </c>
      <c r="BT30" s="1515">
        <f t="shared" ca="1" si="25"/>
        <v>10.578855632850566</v>
      </c>
      <c r="BU30" s="1515">
        <f t="shared" ca="1" si="25"/>
        <v>10.578855632850566</v>
      </c>
      <c r="BV30" s="1516">
        <f t="shared" ca="1" si="25"/>
        <v>10.578855632850566</v>
      </c>
      <c r="BW30" s="1514">
        <f t="shared" ca="1" si="25"/>
        <v>7.7929434014572374</v>
      </c>
      <c r="BX30" s="1515">
        <f t="shared" ca="1" si="25"/>
        <v>7.7929434014572374</v>
      </c>
      <c r="BY30" s="1515">
        <f t="shared" ca="1" si="25"/>
        <v>7.7929434014572374</v>
      </c>
      <c r="BZ30" s="1516">
        <f t="shared" ca="1" si="25"/>
        <v>7.7929434014572374</v>
      </c>
      <c r="CA30" s="1514">
        <f t="shared" ca="1" si="25"/>
        <v>0.22536500602639398</v>
      </c>
      <c r="CB30" s="1515">
        <f t="shared" ca="1" si="25"/>
        <v>0.22536500602639398</v>
      </c>
      <c r="CC30" s="1515">
        <f t="shared" ca="1" si="25"/>
        <v>0.22536500602639398</v>
      </c>
      <c r="CD30" s="1516">
        <f t="shared" ca="1" si="25"/>
        <v>0.22536500602639398</v>
      </c>
      <c r="CE30" s="1514">
        <f t="shared" ca="1" si="25"/>
        <v>8.5356996032496717</v>
      </c>
      <c r="CF30" s="1515">
        <f t="shared" ca="1" si="25"/>
        <v>8.5356996032496717</v>
      </c>
      <c r="CG30" s="1515">
        <f t="shared" ca="1" si="25"/>
        <v>8.5356996032496717</v>
      </c>
      <c r="CH30" s="1516">
        <f t="shared" ca="1" si="25"/>
        <v>8.5356996032496717</v>
      </c>
      <c r="CI30" s="1514">
        <f t="shared" ref="CI30:ET30" ca="1" si="26">SUM(CI31:CI32)</f>
        <v>10.920005025757412</v>
      </c>
      <c r="CJ30" s="1515">
        <f t="shared" ca="1" si="26"/>
        <v>10.920005025757412</v>
      </c>
      <c r="CK30" s="1515">
        <f t="shared" ca="1" si="26"/>
        <v>10.920005025757412</v>
      </c>
      <c r="CL30" s="1516">
        <f t="shared" ca="1" si="26"/>
        <v>10.920005025757412</v>
      </c>
      <c r="CM30" s="1514">
        <f t="shared" ca="1" si="26"/>
        <v>15.059973192164085</v>
      </c>
      <c r="CN30" s="1515">
        <f t="shared" ca="1" si="26"/>
        <v>15.059973192164085</v>
      </c>
      <c r="CO30" s="1515">
        <f t="shared" ca="1" si="26"/>
        <v>15.059973192164085</v>
      </c>
      <c r="CP30" s="1516">
        <f t="shared" ca="1" si="26"/>
        <v>15.059973192164085</v>
      </c>
      <c r="CQ30" s="1514">
        <f t="shared" ca="1" si="26"/>
        <v>5.9742881958862446</v>
      </c>
      <c r="CR30" s="1515">
        <f t="shared" ca="1" si="26"/>
        <v>5.9742881958862446</v>
      </c>
      <c r="CS30" s="1515">
        <f t="shared" ca="1" si="26"/>
        <v>5.9742881958862446</v>
      </c>
      <c r="CT30" s="1516">
        <f t="shared" ca="1" si="26"/>
        <v>5.9742881958862446</v>
      </c>
      <c r="CU30" s="1514">
        <f t="shared" ca="1" si="26"/>
        <v>14.922235835298986</v>
      </c>
      <c r="CV30" s="1515">
        <f t="shared" ca="1" si="26"/>
        <v>14.922235835298986</v>
      </c>
      <c r="CW30" s="1515">
        <f t="shared" ca="1" si="26"/>
        <v>14.922235835298986</v>
      </c>
      <c r="CX30" s="1516">
        <f t="shared" ca="1" si="26"/>
        <v>14.922235835298986</v>
      </c>
      <c r="CY30" s="1514">
        <f t="shared" ca="1" si="26"/>
        <v>34.854242257164813</v>
      </c>
      <c r="CZ30" s="1515">
        <f t="shared" ca="1" si="26"/>
        <v>34.854242257164813</v>
      </c>
      <c r="DA30" s="1515">
        <f t="shared" ca="1" si="26"/>
        <v>34.854242257164813</v>
      </c>
      <c r="DB30" s="1516">
        <f t="shared" ca="1" si="26"/>
        <v>34.854242257164813</v>
      </c>
      <c r="DC30" s="1514">
        <f t="shared" ca="1" si="26"/>
        <v>13.728648085602682</v>
      </c>
      <c r="DD30" s="1515">
        <f t="shared" ca="1" si="26"/>
        <v>13.728648085602682</v>
      </c>
      <c r="DE30" s="1515">
        <f t="shared" ca="1" si="26"/>
        <v>13.728648085602682</v>
      </c>
      <c r="DF30" s="1516">
        <f t="shared" ca="1" si="26"/>
        <v>13.728648085602682</v>
      </c>
      <c r="DG30" s="1514">
        <f t="shared" ca="1" si="26"/>
        <v>7.5369918577545976</v>
      </c>
      <c r="DH30" s="1515">
        <f t="shared" ca="1" si="26"/>
        <v>7.5369918577545976</v>
      </c>
      <c r="DI30" s="1515">
        <f t="shared" ca="1" si="26"/>
        <v>7.5369918577545976</v>
      </c>
      <c r="DJ30" s="1516">
        <f t="shared" ca="1" si="26"/>
        <v>7.5369918577545976</v>
      </c>
      <c r="DK30" s="1514">
        <f t="shared" ca="1" si="26"/>
        <v>10.660190284005415</v>
      </c>
      <c r="DL30" s="1515">
        <f t="shared" ca="1" si="26"/>
        <v>10.660190284005415</v>
      </c>
      <c r="DM30" s="1515">
        <f t="shared" ca="1" si="26"/>
        <v>10.660190284005415</v>
      </c>
      <c r="DN30" s="1516">
        <f t="shared" ca="1" si="26"/>
        <v>10.660190284005415</v>
      </c>
      <c r="DO30" s="1514">
        <f t="shared" ca="1" si="26"/>
        <v>4.2942697161406791</v>
      </c>
      <c r="DP30" s="1515">
        <f t="shared" ca="1" si="26"/>
        <v>4.2942697161406791</v>
      </c>
      <c r="DQ30" s="1515">
        <f t="shared" ca="1" si="26"/>
        <v>4.2942697161406791</v>
      </c>
      <c r="DR30" s="1516">
        <f t="shared" ca="1" si="26"/>
        <v>4.2942697161406791</v>
      </c>
      <c r="DS30" s="1514">
        <f t="shared" ca="1" si="26"/>
        <v>0</v>
      </c>
      <c r="DT30" s="1515">
        <f t="shared" ca="1" si="26"/>
        <v>0</v>
      </c>
      <c r="DU30" s="1515">
        <f t="shared" ca="1" si="26"/>
        <v>0</v>
      </c>
      <c r="DV30" s="1516">
        <f t="shared" ca="1" si="26"/>
        <v>0</v>
      </c>
      <c r="DW30" s="1514">
        <f t="shared" ca="1" si="26"/>
        <v>0.253946929706383</v>
      </c>
      <c r="DX30" s="1515">
        <f t="shared" ca="1" si="26"/>
        <v>0.253946929706383</v>
      </c>
      <c r="DY30" s="1515">
        <f t="shared" ca="1" si="26"/>
        <v>0.253946929706383</v>
      </c>
      <c r="DZ30" s="1516">
        <f t="shared" ca="1" si="26"/>
        <v>0.253946929706383</v>
      </c>
      <c r="EA30" s="1514">
        <f t="shared" ca="1" si="26"/>
        <v>4.1382798047211127</v>
      </c>
      <c r="EB30" s="1515">
        <f t="shared" ca="1" si="26"/>
        <v>4.1382798047211127</v>
      </c>
      <c r="EC30" s="1515">
        <f t="shared" ca="1" si="26"/>
        <v>4.1382798047211127</v>
      </c>
      <c r="ED30" s="1516">
        <f t="shared" ca="1" si="26"/>
        <v>4.1382798047211127</v>
      </c>
      <c r="EE30" s="1514">
        <f t="shared" ca="1" si="26"/>
        <v>2.8495638929282943</v>
      </c>
      <c r="EF30" s="1515">
        <f t="shared" ca="1" si="26"/>
        <v>2.8495638929282943</v>
      </c>
      <c r="EG30" s="1515">
        <f t="shared" ca="1" si="26"/>
        <v>2.8495638929282943</v>
      </c>
      <c r="EH30" s="1516">
        <f t="shared" ca="1" si="26"/>
        <v>2.8495638929282943</v>
      </c>
      <c r="EI30" s="1514">
        <f t="shared" ca="1" si="26"/>
        <v>3.9638729006947533</v>
      </c>
      <c r="EJ30" s="1515">
        <f t="shared" ca="1" si="26"/>
        <v>3.9638729006947533</v>
      </c>
      <c r="EK30" s="1515">
        <f t="shared" ca="1" si="26"/>
        <v>3.9638729006947533</v>
      </c>
      <c r="EL30" s="1516">
        <f t="shared" ca="1" si="26"/>
        <v>3.9638729006947533</v>
      </c>
      <c r="EM30" s="1514">
        <f t="shared" ca="1" si="26"/>
        <v>7.1019389470781</v>
      </c>
      <c r="EN30" s="1515">
        <f t="shared" ca="1" si="26"/>
        <v>7.1019389470781</v>
      </c>
      <c r="EO30" s="1515">
        <f t="shared" ca="1" si="26"/>
        <v>7.1019389470781</v>
      </c>
      <c r="EP30" s="1516">
        <f t="shared" ca="1" si="26"/>
        <v>7.1019389470781</v>
      </c>
      <c r="EQ30" s="1514">
        <f t="shared" ca="1" si="26"/>
        <v>0</v>
      </c>
      <c r="ER30" s="1515">
        <f t="shared" ca="1" si="26"/>
        <v>0</v>
      </c>
      <c r="ES30" s="1515">
        <f t="shared" ca="1" si="26"/>
        <v>0</v>
      </c>
      <c r="ET30" s="1516">
        <f t="shared" ca="1" si="26"/>
        <v>0</v>
      </c>
      <c r="EU30" s="1514">
        <f t="shared" ref="EU30:GD30" ca="1" si="27">SUM(EU31:EU32)</f>
        <v>11.829935144985386</v>
      </c>
      <c r="EV30" s="1515">
        <f t="shared" ca="1" si="27"/>
        <v>11.829935144985386</v>
      </c>
      <c r="EW30" s="1515">
        <f t="shared" ca="1" si="27"/>
        <v>11.829935144985386</v>
      </c>
      <c r="EX30" s="1516">
        <f t="shared" ca="1" si="27"/>
        <v>11.829935144985386</v>
      </c>
      <c r="EY30" s="1514">
        <f t="shared" ca="1" si="27"/>
        <v>2.2461902174022885</v>
      </c>
      <c r="EZ30" s="1515">
        <f t="shared" ca="1" si="27"/>
        <v>2.2461902174022885</v>
      </c>
      <c r="FA30" s="1515">
        <f t="shared" ca="1" si="27"/>
        <v>2.2461902174022885</v>
      </c>
      <c r="FB30" s="1516">
        <f t="shared" ca="1" si="27"/>
        <v>2.2461902174022885</v>
      </c>
      <c r="FC30" s="1514">
        <f t="shared" ca="1" si="27"/>
        <v>0</v>
      </c>
      <c r="FD30" s="1515">
        <f t="shared" ca="1" si="27"/>
        <v>0</v>
      </c>
      <c r="FE30" s="1515">
        <f t="shared" ca="1" si="27"/>
        <v>0</v>
      </c>
      <c r="FF30" s="1516">
        <f t="shared" ca="1" si="27"/>
        <v>0</v>
      </c>
      <c r="FG30" s="1514">
        <f t="shared" ca="1" si="27"/>
        <v>5.4158913327339944</v>
      </c>
      <c r="FH30" s="1515">
        <f t="shared" ca="1" si="27"/>
        <v>5.4158913327339944</v>
      </c>
      <c r="FI30" s="1515">
        <f t="shared" ca="1" si="27"/>
        <v>5.4158913327339944</v>
      </c>
      <c r="FJ30" s="1516">
        <f t="shared" ca="1" si="27"/>
        <v>5.4158913327339944</v>
      </c>
      <c r="FK30" s="1514">
        <f t="shared" ca="1" si="27"/>
        <v>0</v>
      </c>
      <c r="FL30" s="1515">
        <f t="shared" ca="1" si="27"/>
        <v>0</v>
      </c>
      <c r="FM30" s="1515">
        <f t="shared" ca="1" si="27"/>
        <v>0</v>
      </c>
      <c r="FN30" s="1516">
        <f t="shared" ca="1" si="27"/>
        <v>0</v>
      </c>
      <c r="FO30" s="1514">
        <f t="shared" ca="1" si="27"/>
        <v>1.9513702964330726</v>
      </c>
      <c r="FP30" s="1515">
        <f t="shared" ca="1" si="27"/>
        <v>1.9513702964330726</v>
      </c>
      <c r="FQ30" s="1515">
        <f t="shared" ca="1" si="27"/>
        <v>1.9513702964330726</v>
      </c>
      <c r="FR30" s="1516">
        <f t="shared" ca="1" si="27"/>
        <v>1.9513702964330726</v>
      </c>
      <c r="FS30" s="1514">
        <f t="shared" ca="1" si="27"/>
        <v>0.53653829384684293</v>
      </c>
      <c r="FT30" s="1515">
        <f t="shared" ca="1" si="27"/>
        <v>0.53653829384684293</v>
      </c>
      <c r="FU30" s="1515">
        <f t="shared" ca="1" si="27"/>
        <v>0.53653829384684293</v>
      </c>
      <c r="FV30" s="1516">
        <f t="shared" ca="1" si="27"/>
        <v>0.53653829384684293</v>
      </c>
      <c r="FW30" s="1514">
        <f t="shared" ca="1" si="27"/>
        <v>3.3598027960689301</v>
      </c>
      <c r="FX30" s="1515">
        <f t="shared" ca="1" si="27"/>
        <v>3.3598027960689301</v>
      </c>
      <c r="FY30" s="1515">
        <f t="shared" ca="1" si="27"/>
        <v>3.3598027960689301</v>
      </c>
      <c r="FZ30" s="1516">
        <f t="shared" ca="1" si="27"/>
        <v>3.3598027960689301</v>
      </c>
      <c r="GA30" s="1514">
        <f t="shared" ca="1" si="27"/>
        <v>35.02865366740253</v>
      </c>
      <c r="GB30" s="1515">
        <f t="shared" ca="1" si="27"/>
        <v>35.02865366740253</v>
      </c>
      <c r="GC30" s="1515">
        <f t="shared" ca="1" si="27"/>
        <v>0</v>
      </c>
      <c r="GD30" s="1516">
        <f t="shared" ca="1" si="27"/>
        <v>0</v>
      </c>
      <c r="GE30" s="1508"/>
      <c r="GF30" s="1509"/>
      <c r="GG30" s="1509"/>
      <c r="GH30" s="1509"/>
      <c r="GI30" s="1509"/>
      <c r="GJ30" s="1509"/>
      <c r="GK30" s="1509"/>
      <c r="GL30" s="1509"/>
      <c r="GM30" s="1509"/>
      <c r="GN30" s="1509"/>
      <c r="GO30" s="1509"/>
      <c r="GP30" s="1509"/>
      <c r="GQ30" s="1509"/>
      <c r="GR30" s="1509"/>
      <c r="GS30" s="1509"/>
      <c r="GT30" s="1509"/>
    </row>
    <row r="31" spans="1:202" ht="17.100000000000001" customHeight="1">
      <c r="A31" s="1357"/>
      <c r="B31" s="307"/>
      <c r="C31" s="489" t="s">
        <v>1311</v>
      </c>
      <c r="D31" s="331"/>
      <c r="E31" s="742"/>
      <c r="F31" s="1530">
        <f t="shared" ca="1" si="11"/>
        <v>950.29425242390755</v>
      </c>
      <c r="G31" s="1518">
        <v>0</v>
      </c>
      <c r="H31" s="1518">
        <v>14.11268482</v>
      </c>
      <c r="I31" s="1518">
        <v>0</v>
      </c>
      <c r="J31" s="1518">
        <v>59.166887680000002</v>
      </c>
      <c r="K31" s="1518">
        <v>0</v>
      </c>
      <c r="L31" s="1518">
        <v>0</v>
      </c>
      <c r="M31" s="1518">
        <v>48.109583700000002</v>
      </c>
      <c r="N31" s="1518">
        <v>16.801091100000001</v>
      </c>
      <c r="O31" s="1518">
        <v>1.6579447</v>
      </c>
      <c r="P31" s="1518">
        <v>0</v>
      </c>
      <c r="Q31" s="1518">
        <v>0</v>
      </c>
      <c r="R31" s="1518">
        <v>29.232258229999999</v>
      </c>
      <c r="S31" s="1518">
        <v>3.6763216599999997</v>
      </c>
      <c r="T31" s="1518">
        <v>0.54600000000000004</v>
      </c>
      <c r="U31" s="1518">
        <v>9.3792594099999995</v>
      </c>
      <c r="V31" s="1518">
        <v>0.68200000000000005</v>
      </c>
      <c r="W31" s="1519">
        <f>Waterfall!G44+Waterfall!G45</f>
        <v>0</v>
      </c>
      <c r="X31" s="1520">
        <f>Waterfall!H44+Waterfall!H45</f>
        <v>4.306</v>
      </c>
      <c r="Y31" s="1520">
        <f>Waterfall!I44+Waterfall!I45</f>
        <v>2.11</v>
      </c>
      <c r="Z31" s="1521">
        <f>Waterfall!J44+Waterfall!J45</f>
        <v>19.554720400000001</v>
      </c>
      <c r="AA31" s="1519">
        <f>Waterfall!K44+Waterfall!K45</f>
        <v>17.225999999999999</v>
      </c>
      <c r="AB31" s="1520">
        <f>Waterfall!L44+Waterfall!L45</f>
        <v>4.8540000000000001</v>
      </c>
      <c r="AC31" s="1520">
        <f>Waterfall!M44+Waterfall!M45</f>
        <v>11.39641291</v>
      </c>
      <c r="AD31" s="1521">
        <f>Waterfall!N44+Waterfall!N45</f>
        <v>4.2877999999999998</v>
      </c>
      <c r="AE31" s="1522">
        <f>Waterfall!O44+Waterfall!O45</f>
        <v>14.787831500000001</v>
      </c>
      <c r="AF31" s="1523">
        <f>Waterfall!P44+Waterfall!P45</f>
        <v>4.0979999999999999</v>
      </c>
      <c r="AG31" s="1523">
        <f>Waterfall!Q44+Waterfall!Q45</f>
        <v>17.68</v>
      </c>
      <c r="AH31" s="1524">
        <f>Waterfall!R44+Waterfall!R45</f>
        <v>7.7063800000000002</v>
      </c>
      <c r="AI31" s="1522">
        <f>Waterfall!S44+Waterfall!S45</f>
        <v>7.4950000000000001</v>
      </c>
      <c r="AJ31" s="1523">
        <f>Waterfall!T44+Waterfall!T45</f>
        <v>10</v>
      </c>
      <c r="AK31" s="1523">
        <f>Waterfall!U44+Waterfall!U45</f>
        <v>0.3</v>
      </c>
      <c r="AL31" s="1524">
        <f>Waterfall!V44+Waterfall!V45</f>
        <v>1.5</v>
      </c>
      <c r="AM31" s="1522">
        <f ca="1">Waterfall!W44+Waterfall!W45</f>
        <v>0</v>
      </c>
      <c r="AN31" s="1523">
        <f ca="1">Waterfall!X44+Waterfall!X45</f>
        <v>0</v>
      </c>
      <c r="AO31" s="1523">
        <f ca="1">Waterfall!Y44+Waterfall!Y45</f>
        <v>0</v>
      </c>
      <c r="AP31" s="1524">
        <f ca="1">Waterfall!Z44+Waterfall!Z45</f>
        <v>0</v>
      </c>
      <c r="AQ31" s="1522">
        <f ca="1">Waterfall!AA44+Waterfall!AA45</f>
        <v>0</v>
      </c>
      <c r="AR31" s="1523">
        <f ca="1">Waterfall!AB44+Waterfall!AB45</f>
        <v>0</v>
      </c>
      <c r="AS31" s="1523">
        <f ca="1">Waterfall!AC44+Waterfall!AC45</f>
        <v>0</v>
      </c>
      <c r="AT31" s="1524">
        <f ca="1">Waterfall!AD44+Waterfall!AD45</f>
        <v>0</v>
      </c>
      <c r="AU31" s="1522">
        <f ca="1">Waterfall!AE44+Waterfall!AE45</f>
        <v>0.78045300749999991</v>
      </c>
      <c r="AV31" s="1523">
        <f ca="1">Waterfall!AF44+Waterfall!AF45</f>
        <v>0.78045300749999991</v>
      </c>
      <c r="AW31" s="1523">
        <f ca="1">Waterfall!AG44+Waterfall!AG45</f>
        <v>0.78045300749999991</v>
      </c>
      <c r="AX31" s="1524">
        <f ca="1">Waterfall!AH44+Waterfall!AH45</f>
        <v>0.78045300749999991</v>
      </c>
      <c r="AY31" s="1522">
        <f ca="1">Waterfall!AI44+Waterfall!AI45</f>
        <v>1.23756433399275</v>
      </c>
      <c r="AZ31" s="1523">
        <f ca="1">Waterfall!AJ44+Waterfall!AJ45</f>
        <v>1.23756433399275</v>
      </c>
      <c r="BA31" s="1523">
        <f ca="1">Waterfall!AK44+Waterfall!AK45</f>
        <v>1.23756433399275</v>
      </c>
      <c r="BB31" s="1524">
        <f ca="1">Waterfall!AL44+Waterfall!AL45</f>
        <v>1.23756433399275</v>
      </c>
      <c r="BC31" s="1522">
        <f ca="1">Waterfall!AM44+Waterfall!AM45</f>
        <v>2.2822683237921497</v>
      </c>
      <c r="BD31" s="1523">
        <f ca="1">Waterfall!AN44+Waterfall!AN45</f>
        <v>2.2822683237921497</v>
      </c>
      <c r="BE31" s="1523">
        <f ca="1">Waterfall!AO44+Waterfall!AO45</f>
        <v>2.2822683237921497</v>
      </c>
      <c r="BF31" s="1524">
        <f ca="1">Waterfall!AP44+Waterfall!AP45</f>
        <v>2.2822683237921497</v>
      </c>
      <c r="BG31" s="1522">
        <f ca="1">Waterfall!AQ44+Waterfall!AQ45</f>
        <v>0.10721353521070098</v>
      </c>
      <c r="BH31" s="1523">
        <f ca="1">Waterfall!AR44+Waterfall!AR45</f>
        <v>0.10721353521070098</v>
      </c>
      <c r="BI31" s="1523">
        <f ca="1">Waterfall!AS44+Waterfall!AS45</f>
        <v>0.10721353521070098</v>
      </c>
      <c r="BJ31" s="1524">
        <f ca="1">Waterfall!AT44+Waterfall!AT45</f>
        <v>0.10721353521070098</v>
      </c>
      <c r="BK31" s="1522">
        <f ca="1">Waterfall!AU44+Waterfall!AU45</f>
        <v>4.4667839107158303</v>
      </c>
      <c r="BL31" s="1523">
        <f ca="1">Waterfall!AV44+Waterfall!AV45</f>
        <v>4.4667839107158303</v>
      </c>
      <c r="BM31" s="1523">
        <f ca="1">Waterfall!AW44+Waterfall!AW45</f>
        <v>4.4667839107158303</v>
      </c>
      <c r="BN31" s="1524">
        <f ca="1">Waterfall!AX44+Waterfall!AX45</f>
        <v>4.4667839107158303</v>
      </c>
      <c r="BO31" s="1522">
        <f ca="1">Waterfall!AY44+Waterfall!AY45</f>
        <v>6.562111636106164</v>
      </c>
      <c r="BP31" s="1523">
        <f ca="1">Waterfall!AZ44+Waterfall!AZ45</f>
        <v>6.562111636106164</v>
      </c>
      <c r="BQ31" s="1523">
        <f ca="1">Waterfall!BA44+Waterfall!BA45</f>
        <v>6.562111636106164</v>
      </c>
      <c r="BR31" s="1524">
        <f ca="1">Waterfall!BB44+Waterfall!BB45</f>
        <v>6.562111636106164</v>
      </c>
      <c r="BS31" s="1522">
        <f ca="1">Waterfall!BC44+Waterfall!BC45</f>
        <v>10.578855632850566</v>
      </c>
      <c r="BT31" s="1523">
        <f ca="1">Waterfall!BD44+Waterfall!BD45</f>
        <v>10.578855632850566</v>
      </c>
      <c r="BU31" s="1523">
        <f ca="1">Waterfall!BE44+Waterfall!BE45</f>
        <v>10.578855632850566</v>
      </c>
      <c r="BV31" s="1524">
        <f ca="1">Waterfall!BF44+Waterfall!BF45</f>
        <v>10.578855632850566</v>
      </c>
      <c r="BW31" s="1522">
        <f ca="1">Waterfall!BG44+Waterfall!BG45</f>
        <v>7.7929434014572374</v>
      </c>
      <c r="BX31" s="1523">
        <f ca="1">Waterfall!BH44+Waterfall!BH45</f>
        <v>7.7929434014572374</v>
      </c>
      <c r="BY31" s="1523">
        <f ca="1">Waterfall!BI44+Waterfall!BI45</f>
        <v>7.7929434014572374</v>
      </c>
      <c r="BZ31" s="1524">
        <f ca="1">Waterfall!BJ44+Waterfall!BJ45</f>
        <v>7.7929434014572374</v>
      </c>
      <c r="CA31" s="1522">
        <f ca="1">Waterfall!BK44+Waterfall!BK45</f>
        <v>0.22536500602639398</v>
      </c>
      <c r="CB31" s="1523">
        <f ca="1">Waterfall!BL44+Waterfall!BL45</f>
        <v>0.22536500602639398</v>
      </c>
      <c r="CC31" s="1523">
        <f ca="1">Waterfall!BM44+Waterfall!BM45</f>
        <v>0.22536500602639398</v>
      </c>
      <c r="CD31" s="1524">
        <f ca="1">Waterfall!BN44+Waterfall!BN45</f>
        <v>0.22536500602639398</v>
      </c>
      <c r="CE31" s="1522">
        <f ca="1">Waterfall!BO44+Waterfall!BO45</f>
        <v>8.5356996032496717</v>
      </c>
      <c r="CF31" s="1523">
        <f ca="1">Waterfall!BP44+Waterfall!BP45</f>
        <v>8.5356996032496717</v>
      </c>
      <c r="CG31" s="1523">
        <f ca="1">Waterfall!BQ44+Waterfall!BQ45</f>
        <v>8.5356996032496717</v>
      </c>
      <c r="CH31" s="1524">
        <f ca="1">Waterfall!BR44+Waterfall!BR45</f>
        <v>8.5356996032496717</v>
      </c>
      <c r="CI31" s="1522">
        <f ca="1">Waterfall!BS44+Waterfall!BS45</f>
        <v>10.920005025757412</v>
      </c>
      <c r="CJ31" s="1523">
        <f ca="1">Waterfall!BT44+Waterfall!BT45</f>
        <v>10.920005025757412</v>
      </c>
      <c r="CK31" s="1523">
        <f ca="1">Waterfall!BU44+Waterfall!BU45</f>
        <v>10.920005025757412</v>
      </c>
      <c r="CL31" s="1524">
        <f ca="1">Waterfall!BV44+Waterfall!BV45</f>
        <v>10.920005025757412</v>
      </c>
      <c r="CM31" s="1522">
        <f ca="1">Waterfall!BW44+Waterfall!BW45</f>
        <v>15.059973192164085</v>
      </c>
      <c r="CN31" s="1523">
        <f ca="1">Waterfall!BX44+Waterfall!BX45</f>
        <v>15.059973192164085</v>
      </c>
      <c r="CO31" s="1523">
        <f ca="1">Waterfall!BY44+Waterfall!BY45</f>
        <v>15.059973192164085</v>
      </c>
      <c r="CP31" s="1524">
        <f ca="1">Waterfall!BZ44+Waterfall!BZ45</f>
        <v>15.059973192164085</v>
      </c>
      <c r="CQ31" s="1522">
        <f ca="1">Waterfall!CA44+Waterfall!CA45</f>
        <v>5.9742881958862446</v>
      </c>
      <c r="CR31" s="1523">
        <f ca="1">Waterfall!CB44+Waterfall!CB45</f>
        <v>5.9742881958862446</v>
      </c>
      <c r="CS31" s="1523">
        <f ca="1">Waterfall!CC44+Waterfall!CC45</f>
        <v>5.9742881958862446</v>
      </c>
      <c r="CT31" s="1524">
        <f ca="1">Waterfall!CD44+Waterfall!CD45</f>
        <v>5.9742881958862446</v>
      </c>
      <c r="CU31" s="1522">
        <f ca="1">Waterfall!CE44+Waterfall!CE45</f>
        <v>14.922235835298986</v>
      </c>
      <c r="CV31" s="1523">
        <f ca="1">Waterfall!CF44+Waterfall!CF45</f>
        <v>14.922235835298986</v>
      </c>
      <c r="CW31" s="1523">
        <f ca="1">Waterfall!CG44+Waterfall!CG45</f>
        <v>14.922235835298986</v>
      </c>
      <c r="CX31" s="1524">
        <f ca="1">Waterfall!CH44+Waterfall!CH45</f>
        <v>14.922235835298986</v>
      </c>
      <c r="CY31" s="1522">
        <f ca="1">Waterfall!CI44+Waterfall!CI45</f>
        <v>34.854242257164813</v>
      </c>
      <c r="CZ31" s="1523">
        <f ca="1">Waterfall!CJ44+Waterfall!CJ45</f>
        <v>34.854242257164813</v>
      </c>
      <c r="DA31" s="1523">
        <f ca="1">Waterfall!CK44+Waterfall!CK45</f>
        <v>34.854242257164813</v>
      </c>
      <c r="DB31" s="1524">
        <f ca="1">Waterfall!CL44+Waterfall!CL45</f>
        <v>34.854242257164813</v>
      </c>
      <c r="DC31" s="1522">
        <f ca="1">Waterfall!CM44+Waterfall!CM45</f>
        <v>13.728648085602682</v>
      </c>
      <c r="DD31" s="1523">
        <f ca="1">Waterfall!CN44+Waterfall!CN45</f>
        <v>13.728648085602682</v>
      </c>
      <c r="DE31" s="1523">
        <f ca="1">Waterfall!CO44+Waterfall!CO45</f>
        <v>13.728648085602682</v>
      </c>
      <c r="DF31" s="1524">
        <f ca="1">Waterfall!CP44+Waterfall!CP45</f>
        <v>13.728648085602682</v>
      </c>
      <c r="DG31" s="1522">
        <f ca="1">Waterfall!CQ44+Waterfall!CQ45</f>
        <v>7.5369918577545976</v>
      </c>
      <c r="DH31" s="1523">
        <f ca="1">Waterfall!CR44+Waterfall!CR45</f>
        <v>7.5369918577545976</v>
      </c>
      <c r="DI31" s="1523">
        <f ca="1">Waterfall!CS44+Waterfall!CS45</f>
        <v>7.5369918577545976</v>
      </c>
      <c r="DJ31" s="1524">
        <f ca="1">Waterfall!CT44+Waterfall!CT45</f>
        <v>7.5369918577545976</v>
      </c>
      <c r="DK31" s="1522">
        <f ca="1">Waterfall!CU44+Waterfall!CU45</f>
        <v>10.660190284005415</v>
      </c>
      <c r="DL31" s="1523">
        <f ca="1">Waterfall!CV44+Waterfall!CV45</f>
        <v>10.660190284005415</v>
      </c>
      <c r="DM31" s="1523">
        <f ca="1">Waterfall!CW44+Waterfall!CW45</f>
        <v>10.660190284005415</v>
      </c>
      <c r="DN31" s="1524">
        <f ca="1">Waterfall!CX44+Waterfall!CX45</f>
        <v>10.660190284005415</v>
      </c>
      <c r="DO31" s="1522">
        <f ca="1">Waterfall!CY44+Waterfall!CY45</f>
        <v>4.2942697161406791</v>
      </c>
      <c r="DP31" s="1523">
        <f ca="1">Waterfall!CZ44+Waterfall!CZ45</f>
        <v>4.2942697161406791</v>
      </c>
      <c r="DQ31" s="1523">
        <f ca="1">Waterfall!DA44+Waterfall!DA45</f>
        <v>4.2942697161406791</v>
      </c>
      <c r="DR31" s="1524">
        <f ca="1">Waterfall!DB44+Waterfall!DB45</f>
        <v>4.2942697161406791</v>
      </c>
      <c r="DS31" s="1522">
        <f ca="1">Waterfall!DC44+Waterfall!DC45</f>
        <v>0</v>
      </c>
      <c r="DT31" s="1523">
        <f ca="1">Waterfall!DD44+Waterfall!DD45</f>
        <v>0</v>
      </c>
      <c r="DU31" s="1523">
        <f ca="1">Waterfall!DE44+Waterfall!DE45</f>
        <v>0</v>
      </c>
      <c r="DV31" s="1524">
        <f ca="1">Waterfall!DF44+Waterfall!DF45</f>
        <v>0</v>
      </c>
      <c r="DW31" s="1522">
        <f ca="1">Waterfall!DG44+Waterfall!DG45</f>
        <v>0.253946929706383</v>
      </c>
      <c r="DX31" s="1523">
        <f ca="1">Waterfall!DH44+Waterfall!DH45</f>
        <v>0.253946929706383</v>
      </c>
      <c r="DY31" s="1523">
        <f ca="1">Waterfall!DI44+Waterfall!DI45</f>
        <v>0.253946929706383</v>
      </c>
      <c r="DZ31" s="1524">
        <f ca="1">Waterfall!DJ44+Waterfall!DJ45</f>
        <v>0.253946929706383</v>
      </c>
      <c r="EA31" s="1522">
        <f ca="1">Waterfall!DK44+Waterfall!DK45</f>
        <v>4.1382798047211127</v>
      </c>
      <c r="EB31" s="1523">
        <f ca="1">Waterfall!DL44+Waterfall!DL45</f>
        <v>4.1382798047211127</v>
      </c>
      <c r="EC31" s="1523">
        <f ca="1">Waterfall!DM44+Waterfall!DM45</f>
        <v>4.1382798047211127</v>
      </c>
      <c r="ED31" s="1524">
        <f ca="1">Waterfall!DN44+Waterfall!DN45</f>
        <v>4.1382798047211127</v>
      </c>
      <c r="EE31" s="1522">
        <f ca="1">Waterfall!DO44+Waterfall!DO45</f>
        <v>2.8495638929282943</v>
      </c>
      <c r="EF31" s="1523">
        <f ca="1">Waterfall!DP44+Waterfall!DP45</f>
        <v>2.8495638929282943</v>
      </c>
      <c r="EG31" s="1523">
        <f ca="1">Waterfall!DQ44+Waterfall!DQ45</f>
        <v>2.8495638929282943</v>
      </c>
      <c r="EH31" s="1524">
        <f ca="1">Waterfall!DR44+Waterfall!DR45</f>
        <v>2.8495638929282943</v>
      </c>
      <c r="EI31" s="1522">
        <f ca="1">Waterfall!DS44+Waterfall!DS45</f>
        <v>3.9638729006947533</v>
      </c>
      <c r="EJ31" s="1523">
        <f ca="1">Waterfall!DT44+Waterfall!DT45</f>
        <v>3.9638729006947533</v>
      </c>
      <c r="EK31" s="1523">
        <f ca="1">Waterfall!DU44+Waterfall!DU45</f>
        <v>3.9638729006947533</v>
      </c>
      <c r="EL31" s="1524">
        <f ca="1">Waterfall!DV44+Waterfall!DV45</f>
        <v>3.9638729006947533</v>
      </c>
      <c r="EM31" s="1522">
        <f ca="1">Waterfall!DW44+Waterfall!DW45</f>
        <v>7.1019389470781</v>
      </c>
      <c r="EN31" s="1523">
        <f ca="1">Waterfall!DX44+Waterfall!DX45</f>
        <v>7.1019389470781</v>
      </c>
      <c r="EO31" s="1523">
        <f ca="1">Waterfall!DY44+Waterfall!DY45</f>
        <v>7.1019389470781</v>
      </c>
      <c r="EP31" s="1524">
        <f ca="1">Waterfall!DZ44+Waterfall!DZ45</f>
        <v>7.1019389470781</v>
      </c>
      <c r="EQ31" s="1522">
        <f ca="1">Waterfall!EA44+Waterfall!EA45</f>
        <v>0</v>
      </c>
      <c r="ER31" s="1523">
        <f ca="1">Waterfall!EB44+Waterfall!EB45</f>
        <v>0</v>
      </c>
      <c r="ES31" s="1523">
        <f ca="1">Waterfall!EC44+Waterfall!EC45</f>
        <v>0</v>
      </c>
      <c r="ET31" s="1524">
        <f ca="1">Waterfall!ED44+Waterfall!ED45</f>
        <v>0</v>
      </c>
      <c r="EU31" s="1522">
        <f ca="1">Waterfall!EE44+Waterfall!EE45</f>
        <v>11.829935144985386</v>
      </c>
      <c r="EV31" s="1523">
        <f ca="1">Waterfall!EF44+Waterfall!EF45</f>
        <v>11.829935144985386</v>
      </c>
      <c r="EW31" s="1523">
        <f ca="1">Waterfall!EG44+Waterfall!EG45</f>
        <v>11.829935144985386</v>
      </c>
      <c r="EX31" s="1524">
        <f ca="1">Waterfall!EH44+Waterfall!EH45</f>
        <v>11.829935144985386</v>
      </c>
      <c r="EY31" s="1522">
        <f ca="1">Waterfall!EI44+Waterfall!EI45</f>
        <v>2.2461902174022885</v>
      </c>
      <c r="EZ31" s="1523">
        <f ca="1">Waterfall!EJ44+Waterfall!EJ45</f>
        <v>2.2461902174022885</v>
      </c>
      <c r="FA31" s="1523">
        <f ca="1">Waterfall!EK44+Waterfall!EK45</f>
        <v>2.2461902174022885</v>
      </c>
      <c r="FB31" s="1524">
        <f ca="1">Waterfall!EL44+Waterfall!EL45</f>
        <v>2.2461902174022885</v>
      </c>
      <c r="FC31" s="1522">
        <f ca="1">Waterfall!EM44+Waterfall!EM45</f>
        <v>0</v>
      </c>
      <c r="FD31" s="1523">
        <f ca="1">Waterfall!EN44+Waterfall!EN45</f>
        <v>0</v>
      </c>
      <c r="FE31" s="1523">
        <f ca="1">Waterfall!EO44+Waterfall!EO45</f>
        <v>0</v>
      </c>
      <c r="FF31" s="1524">
        <f ca="1">Waterfall!EP44+Waterfall!EP45</f>
        <v>0</v>
      </c>
      <c r="FG31" s="1522">
        <f ca="1">Waterfall!EQ44+Waterfall!EQ45</f>
        <v>5.4158913327339944</v>
      </c>
      <c r="FH31" s="1523">
        <f ca="1">Waterfall!ER44+Waterfall!ER45</f>
        <v>5.4158913327339944</v>
      </c>
      <c r="FI31" s="1523">
        <f ca="1">Waterfall!ES44+Waterfall!ES45</f>
        <v>5.4158913327339944</v>
      </c>
      <c r="FJ31" s="1524">
        <f ca="1">Waterfall!ET44+Waterfall!ET45</f>
        <v>5.4158913327339944</v>
      </c>
      <c r="FK31" s="1522">
        <f ca="1">Waterfall!EU44+Waterfall!EU45</f>
        <v>0</v>
      </c>
      <c r="FL31" s="1523">
        <f ca="1">Waterfall!EV44+Waterfall!EV45</f>
        <v>0</v>
      </c>
      <c r="FM31" s="1523">
        <f ca="1">Waterfall!EW44+Waterfall!EW45</f>
        <v>0</v>
      </c>
      <c r="FN31" s="1524">
        <f ca="1">Waterfall!EX44+Waterfall!EX45</f>
        <v>0</v>
      </c>
      <c r="FO31" s="1522">
        <f ca="1">Waterfall!EY44+Waterfall!EY45</f>
        <v>1.9513702964330726</v>
      </c>
      <c r="FP31" s="1523">
        <f ca="1">Waterfall!EZ44+Waterfall!EZ45</f>
        <v>1.9513702964330726</v>
      </c>
      <c r="FQ31" s="1523">
        <f ca="1">Waterfall!FA44+Waterfall!FA45</f>
        <v>1.9513702964330726</v>
      </c>
      <c r="FR31" s="1524">
        <f ca="1">Waterfall!FB44+Waterfall!FB45</f>
        <v>1.9513702964330726</v>
      </c>
      <c r="FS31" s="1522">
        <f ca="1">Waterfall!FC44+Waterfall!FC45</f>
        <v>0.53653829384684293</v>
      </c>
      <c r="FT31" s="1523">
        <f ca="1">Waterfall!FD44+Waterfall!FD45</f>
        <v>0.53653829384684293</v>
      </c>
      <c r="FU31" s="1523">
        <f ca="1">Waterfall!FE44+Waterfall!FE45</f>
        <v>0.53653829384684293</v>
      </c>
      <c r="FV31" s="1524">
        <f ca="1">Waterfall!FF44+Waterfall!FF45</f>
        <v>0.53653829384684293</v>
      </c>
      <c r="FW31" s="1522">
        <f ca="1">Waterfall!FG44+Waterfall!FG45</f>
        <v>3.3598027960689301</v>
      </c>
      <c r="FX31" s="1523">
        <f ca="1">Waterfall!FH44+Waterfall!FH45</f>
        <v>3.3598027960689301</v>
      </c>
      <c r="FY31" s="1523">
        <f ca="1">Waterfall!FI44+Waterfall!FI45</f>
        <v>3.3598027960689301</v>
      </c>
      <c r="FZ31" s="1524">
        <f ca="1">Waterfall!FJ44+Waterfall!FJ45</f>
        <v>3.3598027960689301</v>
      </c>
      <c r="GA31" s="1522">
        <f ca="1">Waterfall!FK44+Waterfall!FK45</f>
        <v>35.02865366740253</v>
      </c>
      <c r="GB31" s="1523">
        <f ca="1">Waterfall!FL44+Waterfall!FL45</f>
        <v>35.02865366740253</v>
      </c>
      <c r="GC31" s="1523">
        <f ca="1">Waterfall!FM44+Waterfall!FM45</f>
        <v>0</v>
      </c>
      <c r="GD31" s="1524">
        <f ca="1">Waterfall!FN44+Waterfall!FN45</f>
        <v>0</v>
      </c>
      <c r="GE31" s="1508"/>
      <c r="GF31" s="1509"/>
      <c r="GG31" s="1509"/>
      <c r="GH31" s="1509"/>
      <c r="GI31" s="1509"/>
      <c r="GJ31" s="1509"/>
      <c r="GK31" s="1509"/>
      <c r="GL31" s="1509"/>
      <c r="GM31" s="1509"/>
      <c r="GN31" s="1509"/>
      <c r="GO31" s="1509"/>
      <c r="GP31" s="1509"/>
      <c r="GQ31" s="1509"/>
      <c r="GR31" s="1509"/>
      <c r="GS31" s="1509"/>
      <c r="GT31" s="1509"/>
    </row>
    <row r="32" spans="1:202" ht="17.100000000000001" hidden="1" customHeight="1">
      <c r="B32" s="307"/>
      <c r="C32" s="489"/>
      <c r="D32" s="331"/>
      <c r="E32" s="742"/>
      <c r="F32" s="1530">
        <f t="shared" si="11"/>
        <v>0</v>
      </c>
      <c r="G32" s="1518"/>
      <c r="H32" s="1518"/>
      <c r="I32" s="1518"/>
      <c r="J32" s="1518"/>
      <c r="K32" s="1518"/>
      <c r="L32" s="1518"/>
      <c r="M32" s="1518"/>
      <c r="N32" s="1518"/>
      <c r="O32" s="1518"/>
      <c r="P32" s="1518"/>
      <c r="Q32" s="1518"/>
      <c r="R32" s="1518"/>
      <c r="S32" s="1518"/>
      <c r="T32" s="1518"/>
      <c r="U32" s="1518"/>
      <c r="V32" s="1518"/>
      <c r="W32" s="1519"/>
      <c r="X32" s="1520"/>
      <c r="Y32" s="1520"/>
      <c r="Z32" s="1521"/>
      <c r="AA32" s="1519"/>
      <c r="AB32" s="1520"/>
      <c r="AC32" s="1520"/>
      <c r="AD32" s="1521"/>
      <c r="AE32" s="1522"/>
      <c r="AF32" s="1523"/>
      <c r="AG32" s="1523"/>
      <c r="AH32" s="1524"/>
      <c r="AI32" s="1522"/>
      <c r="AJ32" s="1523"/>
      <c r="AK32" s="1523"/>
      <c r="AL32" s="1524"/>
      <c r="AM32" s="1522"/>
      <c r="AN32" s="1523"/>
      <c r="AO32" s="1523"/>
      <c r="AP32" s="1524"/>
      <c r="AQ32" s="1522"/>
      <c r="AR32" s="1523"/>
      <c r="AS32" s="1523"/>
      <c r="AT32" s="1524"/>
      <c r="AU32" s="1522"/>
      <c r="AV32" s="1523"/>
      <c r="AW32" s="1523"/>
      <c r="AX32" s="1524"/>
      <c r="AY32" s="1522"/>
      <c r="AZ32" s="1523"/>
      <c r="BA32" s="1523"/>
      <c r="BB32" s="1524"/>
      <c r="BC32" s="1522"/>
      <c r="BD32" s="1523"/>
      <c r="BE32" s="1523"/>
      <c r="BF32" s="1524"/>
      <c r="BG32" s="1522"/>
      <c r="BH32" s="1523"/>
      <c r="BI32" s="1523"/>
      <c r="BJ32" s="1524"/>
      <c r="BK32" s="1522"/>
      <c r="BL32" s="1523"/>
      <c r="BM32" s="1523"/>
      <c r="BN32" s="1524"/>
      <c r="BO32" s="1522"/>
      <c r="BP32" s="1523"/>
      <c r="BQ32" s="1523"/>
      <c r="BR32" s="1524"/>
      <c r="BS32" s="1522"/>
      <c r="BT32" s="1523"/>
      <c r="BU32" s="1523"/>
      <c r="BV32" s="1524"/>
      <c r="BW32" s="1522"/>
      <c r="BX32" s="1523"/>
      <c r="BY32" s="1523"/>
      <c r="BZ32" s="1524"/>
      <c r="CA32" s="1522"/>
      <c r="CB32" s="1523"/>
      <c r="CC32" s="1523"/>
      <c r="CD32" s="1524"/>
      <c r="CE32" s="1522"/>
      <c r="CF32" s="1523"/>
      <c r="CG32" s="1523"/>
      <c r="CH32" s="1524"/>
      <c r="CI32" s="1522"/>
      <c r="CJ32" s="1523"/>
      <c r="CK32" s="1523"/>
      <c r="CL32" s="1524"/>
      <c r="CM32" s="1522"/>
      <c r="CN32" s="1523"/>
      <c r="CO32" s="1523"/>
      <c r="CP32" s="1524"/>
      <c r="CQ32" s="1522"/>
      <c r="CR32" s="1523"/>
      <c r="CS32" s="1523"/>
      <c r="CT32" s="1524"/>
      <c r="CU32" s="1522"/>
      <c r="CV32" s="1523"/>
      <c r="CW32" s="1523"/>
      <c r="CX32" s="1524"/>
      <c r="CY32" s="1522"/>
      <c r="CZ32" s="1523"/>
      <c r="DA32" s="1523"/>
      <c r="DB32" s="1524"/>
      <c r="DC32" s="1522"/>
      <c r="DD32" s="1523"/>
      <c r="DE32" s="1523"/>
      <c r="DF32" s="1524"/>
      <c r="DG32" s="1522"/>
      <c r="DH32" s="1523"/>
      <c r="DI32" s="1523"/>
      <c r="DJ32" s="1524"/>
      <c r="DK32" s="1522"/>
      <c r="DL32" s="1523"/>
      <c r="DM32" s="1523"/>
      <c r="DN32" s="1524"/>
      <c r="DO32" s="1522"/>
      <c r="DP32" s="1523"/>
      <c r="DQ32" s="1523"/>
      <c r="DR32" s="1524"/>
      <c r="DS32" s="1522"/>
      <c r="DT32" s="1523"/>
      <c r="DU32" s="1523"/>
      <c r="DV32" s="1524"/>
      <c r="DW32" s="1522"/>
      <c r="DX32" s="1523"/>
      <c r="DY32" s="1523"/>
      <c r="DZ32" s="1524"/>
      <c r="EA32" s="1522"/>
      <c r="EB32" s="1523"/>
      <c r="EC32" s="1523"/>
      <c r="ED32" s="1524"/>
      <c r="EE32" s="1522"/>
      <c r="EF32" s="1523"/>
      <c r="EG32" s="1523"/>
      <c r="EH32" s="1524"/>
      <c r="EI32" s="1522"/>
      <c r="EJ32" s="1523"/>
      <c r="EK32" s="1523"/>
      <c r="EL32" s="1524"/>
      <c r="EM32" s="1522"/>
      <c r="EN32" s="1523"/>
      <c r="EO32" s="1523"/>
      <c r="EP32" s="1524"/>
      <c r="EQ32" s="1522"/>
      <c r="ER32" s="1523"/>
      <c r="ES32" s="1523"/>
      <c r="ET32" s="1524"/>
      <c r="EU32" s="1522"/>
      <c r="EV32" s="1523"/>
      <c r="EW32" s="1523"/>
      <c r="EX32" s="1524"/>
      <c r="EY32" s="1522"/>
      <c r="EZ32" s="1523"/>
      <c r="FA32" s="1523"/>
      <c r="FB32" s="1524"/>
      <c r="FC32" s="1522"/>
      <c r="FD32" s="1523"/>
      <c r="FE32" s="1523"/>
      <c r="FF32" s="1524"/>
      <c r="FG32" s="1522"/>
      <c r="FH32" s="1523"/>
      <c r="FI32" s="1523"/>
      <c r="FJ32" s="1524"/>
      <c r="FK32" s="1522"/>
      <c r="FL32" s="1523"/>
      <c r="FM32" s="1523"/>
      <c r="FN32" s="1524"/>
      <c r="FO32" s="1522"/>
      <c r="FP32" s="1523"/>
      <c r="FQ32" s="1523"/>
      <c r="FR32" s="1524"/>
      <c r="FS32" s="1522"/>
      <c r="FT32" s="1523"/>
      <c r="FU32" s="1523"/>
      <c r="FV32" s="1524"/>
      <c r="FW32" s="1522"/>
      <c r="FX32" s="1523"/>
      <c r="FY32" s="1523"/>
      <c r="FZ32" s="1524"/>
      <c r="GA32" s="1522"/>
      <c r="GB32" s="1523"/>
      <c r="GC32" s="1523"/>
      <c r="GD32" s="1524"/>
      <c r="GE32" s="1508"/>
      <c r="GF32" s="1509"/>
      <c r="GG32" s="1509"/>
      <c r="GH32" s="1509"/>
      <c r="GI32" s="1509"/>
      <c r="GJ32" s="1509"/>
      <c r="GK32" s="1509"/>
      <c r="GL32" s="1509"/>
      <c r="GM32" s="1509"/>
      <c r="GN32" s="1509"/>
      <c r="GO32" s="1509"/>
      <c r="GP32" s="1509"/>
      <c r="GQ32" s="1509"/>
      <c r="GR32" s="1509"/>
      <c r="GS32" s="1509"/>
      <c r="GT32" s="1509"/>
    </row>
    <row r="33" spans="2:202" ht="17.100000000000001" customHeight="1">
      <c r="B33" s="720" t="s">
        <v>1312</v>
      </c>
      <c r="C33" s="315"/>
      <c r="D33" s="1259"/>
      <c r="E33" s="722"/>
      <c r="F33" s="1501">
        <f t="shared" ca="1" si="11"/>
        <v>-3922.1508734262356</v>
      </c>
      <c r="G33" s="926">
        <f t="shared" ref="G33:BR33" si="28">G34-G39</f>
        <v>150</v>
      </c>
      <c r="H33" s="926">
        <f t="shared" si="28"/>
        <v>0</v>
      </c>
      <c r="I33" s="926">
        <f t="shared" si="28"/>
        <v>0</v>
      </c>
      <c r="J33" s="926">
        <f t="shared" si="28"/>
        <v>-65.25</v>
      </c>
      <c r="K33" s="926">
        <f t="shared" si="28"/>
        <v>-63.05</v>
      </c>
      <c r="L33" s="926">
        <f t="shared" si="28"/>
        <v>0</v>
      </c>
      <c r="M33" s="926">
        <f t="shared" si="28"/>
        <v>0</v>
      </c>
      <c r="N33" s="926">
        <f t="shared" si="28"/>
        <v>-72.67</v>
      </c>
      <c r="O33" s="926">
        <f t="shared" si="28"/>
        <v>-10.44</v>
      </c>
      <c r="P33" s="926">
        <f t="shared" si="28"/>
        <v>-31.32</v>
      </c>
      <c r="Q33" s="926">
        <f t="shared" si="28"/>
        <v>-18.27</v>
      </c>
      <c r="R33" s="926">
        <f t="shared" si="28"/>
        <v>-91.353899999999996</v>
      </c>
      <c r="S33" s="926">
        <f t="shared" si="28"/>
        <v>-29.067150000000002</v>
      </c>
      <c r="T33" s="926">
        <f t="shared" si="28"/>
        <v>-29.067150000000002</v>
      </c>
      <c r="U33" s="926">
        <f t="shared" si="28"/>
        <v>-29.897640000000003</v>
      </c>
      <c r="V33" s="926">
        <f t="shared" si="28"/>
        <v>-58.134300000000003</v>
      </c>
      <c r="W33" s="926">
        <f t="shared" ca="1" si="28"/>
        <v>-33.2196</v>
      </c>
      <c r="X33" s="932">
        <f t="shared" ca="1" si="28"/>
        <v>-33.2196</v>
      </c>
      <c r="Y33" s="932">
        <f t="shared" ca="1" si="28"/>
        <v>-33.2196</v>
      </c>
      <c r="Z33" s="933">
        <f t="shared" ca="1" si="28"/>
        <v>-34.880579999999995</v>
      </c>
      <c r="AA33" s="926">
        <f t="shared" ca="1" si="28"/>
        <v>-39.033029999999997</v>
      </c>
      <c r="AB33" s="932">
        <f t="shared" ca="1" si="28"/>
        <v>-39.863520000000001</v>
      </c>
      <c r="AC33" s="932">
        <f t="shared" ca="1" si="28"/>
        <v>-40.694009999999999</v>
      </c>
      <c r="AD33" s="933">
        <f t="shared" ca="1" si="28"/>
        <v>-41.524500000000003</v>
      </c>
      <c r="AE33" s="1540">
        <f t="shared" ca="1" si="28"/>
        <v>-42.354990000000001</v>
      </c>
      <c r="AF33" s="1541">
        <f t="shared" ca="1" si="28"/>
        <v>-43.185479999999998</v>
      </c>
      <c r="AG33" s="1541">
        <f t="shared" ca="1" si="28"/>
        <v>-43.185479999999998</v>
      </c>
      <c r="AH33" s="1542">
        <f t="shared" ca="1" si="28"/>
        <v>-44.015969999999996</v>
      </c>
      <c r="AI33" s="1540">
        <f t="shared" ca="1" si="28"/>
        <v>-39.033029999999997</v>
      </c>
      <c r="AJ33" s="1541">
        <f t="shared" ca="1" si="28"/>
        <v>-39.033029999999997</v>
      </c>
      <c r="AK33" s="1541">
        <f t="shared" ca="1" si="28"/>
        <v>-39.863520000000001</v>
      </c>
      <c r="AL33" s="1542">
        <f t="shared" ca="1" si="28"/>
        <v>-40.694009999999999</v>
      </c>
      <c r="AM33" s="1540">
        <f t="shared" ca="1" si="28"/>
        <v>-40.694009999999999</v>
      </c>
      <c r="AN33" s="1541">
        <f t="shared" ca="1" si="28"/>
        <v>-40.694009999999999</v>
      </c>
      <c r="AO33" s="1541">
        <f t="shared" ca="1" si="28"/>
        <v>-41.524500000000003</v>
      </c>
      <c r="AP33" s="1542">
        <f t="shared" ca="1" si="28"/>
        <v>-42.354990000000001</v>
      </c>
      <c r="AQ33" s="1540">
        <f t="shared" ca="1" si="28"/>
        <v>-38.202539999999999</v>
      </c>
      <c r="AR33" s="1541">
        <f t="shared" ca="1" si="28"/>
        <v>-39.033029999999997</v>
      </c>
      <c r="AS33" s="1541">
        <f t="shared" ca="1" si="28"/>
        <v>-44.015969999999996</v>
      </c>
      <c r="AT33" s="1542">
        <f t="shared" ca="1" si="28"/>
        <v>-44.846459999999993</v>
      </c>
      <c r="AU33" s="1540">
        <f t="shared" ca="1" si="28"/>
        <v>-52.320869999999999</v>
      </c>
      <c r="AV33" s="1541">
        <f t="shared" ca="1" si="28"/>
        <v>-52.320869999999999</v>
      </c>
      <c r="AW33" s="1541">
        <f t="shared" ca="1" si="28"/>
        <v>-53.151359999999997</v>
      </c>
      <c r="AX33" s="1542">
        <f t="shared" ca="1" si="28"/>
        <v>-53.981850000000001</v>
      </c>
      <c r="AY33" s="1540">
        <f t="shared" ca="1" si="28"/>
        <v>-33.2196</v>
      </c>
      <c r="AZ33" s="1541">
        <f t="shared" ca="1" si="28"/>
        <v>-38.202539999999999</v>
      </c>
      <c r="BA33" s="1541">
        <f t="shared" ca="1" si="28"/>
        <v>-39.033029999999997</v>
      </c>
      <c r="BB33" s="1542">
        <f t="shared" ca="1" si="28"/>
        <v>-33.2196</v>
      </c>
      <c r="BC33" s="1540">
        <f t="shared" ca="1" si="28"/>
        <v>-9.9658800000000003</v>
      </c>
      <c r="BD33" s="1541">
        <f t="shared" ca="1" si="28"/>
        <v>-9.9658800000000003</v>
      </c>
      <c r="BE33" s="1541">
        <f t="shared" ca="1" si="28"/>
        <v>-9.9658800000000003</v>
      </c>
      <c r="BF33" s="1542">
        <f t="shared" ca="1" si="28"/>
        <v>-9.9658800000000003</v>
      </c>
      <c r="BG33" s="1540">
        <f t="shared" ca="1" si="28"/>
        <v>-11.551358126567498</v>
      </c>
      <c r="BH33" s="1541">
        <f t="shared" ca="1" si="28"/>
        <v>-9.9658800000000003</v>
      </c>
      <c r="BI33" s="1541">
        <f t="shared" ca="1" si="28"/>
        <v>-9.9658800000000003</v>
      </c>
      <c r="BJ33" s="1542">
        <f t="shared" ca="1" si="28"/>
        <v>-9.9658800000000003</v>
      </c>
      <c r="BK33" s="1540">
        <f t="shared" ca="1" si="28"/>
        <v>-40.314678743233742</v>
      </c>
      <c r="BL33" s="1541">
        <f t="shared" ca="1" si="28"/>
        <v>-9.9658800000000003</v>
      </c>
      <c r="BM33" s="1541">
        <f t="shared" ca="1" si="28"/>
        <v>-9.9658799999998866</v>
      </c>
      <c r="BN33" s="1542">
        <f t="shared" ca="1" si="28"/>
        <v>0</v>
      </c>
      <c r="BO33" s="1540">
        <f t="shared" ca="1" si="28"/>
        <v>-15.75713685472163</v>
      </c>
      <c r="BP33" s="1541">
        <f t="shared" ca="1" si="28"/>
        <v>0</v>
      </c>
      <c r="BQ33" s="1541">
        <f t="shared" ca="1" si="28"/>
        <v>0</v>
      </c>
      <c r="BR33" s="1542">
        <f t="shared" ca="1" si="28"/>
        <v>0</v>
      </c>
      <c r="BS33" s="1540">
        <f t="shared" ref="BS33:ED33" ca="1" si="29">BS34-BS39</f>
        <v>-28.642454820594555</v>
      </c>
      <c r="BT33" s="1541">
        <f t="shared" ca="1" si="29"/>
        <v>0</v>
      </c>
      <c r="BU33" s="1541">
        <f t="shared" ca="1" si="29"/>
        <v>0</v>
      </c>
      <c r="BV33" s="1542">
        <f t="shared" ca="1" si="29"/>
        <v>0</v>
      </c>
      <c r="BW33" s="1540">
        <f t="shared" ca="1" si="29"/>
        <v>-25.040784896574287</v>
      </c>
      <c r="BX33" s="1541">
        <f t="shared" ca="1" si="29"/>
        <v>0</v>
      </c>
      <c r="BY33" s="1541">
        <f t="shared" ca="1" si="29"/>
        <v>0</v>
      </c>
      <c r="BZ33" s="1542">
        <f t="shared" ca="1" si="29"/>
        <v>0</v>
      </c>
      <c r="CA33" s="1540">
        <f t="shared" ca="1" si="29"/>
        <v>-26.608340660995566</v>
      </c>
      <c r="CB33" s="1541">
        <f t="shared" ca="1" si="29"/>
        <v>0</v>
      </c>
      <c r="CC33" s="1541">
        <f t="shared" ca="1" si="29"/>
        <v>0</v>
      </c>
      <c r="CD33" s="1542">
        <f t="shared" ca="1" si="29"/>
        <v>0</v>
      </c>
      <c r="CE33" s="1540">
        <f t="shared" ca="1" si="29"/>
        <v>-32.902694762689322</v>
      </c>
      <c r="CF33" s="1541">
        <f t="shared" ca="1" si="29"/>
        <v>0</v>
      </c>
      <c r="CG33" s="1541">
        <f t="shared" ca="1" si="29"/>
        <v>0</v>
      </c>
      <c r="CH33" s="1542">
        <f t="shared" ca="1" si="29"/>
        <v>0</v>
      </c>
      <c r="CI33" s="1540">
        <f t="shared" ca="1" si="29"/>
        <v>-32.479099084009526</v>
      </c>
      <c r="CJ33" s="1541">
        <f t="shared" ca="1" si="29"/>
        <v>0</v>
      </c>
      <c r="CK33" s="1541">
        <f t="shared" ca="1" si="29"/>
        <v>0</v>
      </c>
      <c r="CL33" s="1542">
        <f t="shared" ca="1" si="29"/>
        <v>0</v>
      </c>
      <c r="CM33" s="1540">
        <f t="shared" ca="1" si="29"/>
        <v>-34.050114158243836</v>
      </c>
      <c r="CN33" s="1541">
        <f t="shared" ca="1" si="29"/>
        <v>0</v>
      </c>
      <c r="CO33" s="1541">
        <f t="shared" ca="1" si="29"/>
        <v>0</v>
      </c>
      <c r="CP33" s="1542">
        <f t="shared" ca="1" si="29"/>
        <v>0</v>
      </c>
      <c r="CQ33" s="1540">
        <f t="shared" ca="1" si="29"/>
        <v>-55.81566854556273</v>
      </c>
      <c r="CR33" s="1541">
        <f t="shared" ca="1" si="29"/>
        <v>0</v>
      </c>
      <c r="CS33" s="1541">
        <f t="shared" ca="1" si="29"/>
        <v>0</v>
      </c>
      <c r="CT33" s="1542">
        <f t="shared" ca="1" si="29"/>
        <v>0</v>
      </c>
      <c r="CU33" s="1540">
        <f t="shared" ca="1" si="29"/>
        <v>-57.396316468599899</v>
      </c>
      <c r="CV33" s="1541">
        <f t="shared" ca="1" si="29"/>
        <v>0</v>
      </c>
      <c r="CW33" s="1541">
        <f t="shared" ca="1" si="29"/>
        <v>0</v>
      </c>
      <c r="CX33" s="1542">
        <f t="shared" ca="1" si="29"/>
        <v>0</v>
      </c>
      <c r="CY33" s="1540">
        <f t="shared" ca="1" si="29"/>
        <v>-70.930748371729308</v>
      </c>
      <c r="CZ33" s="1541">
        <f t="shared" ca="1" si="29"/>
        <v>0</v>
      </c>
      <c r="DA33" s="1541">
        <f t="shared" ca="1" si="29"/>
        <v>0</v>
      </c>
      <c r="DB33" s="1542">
        <f t="shared" ca="1" si="29"/>
        <v>0</v>
      </c>
      <c r="DC33" s="1540">
        <f t="shared" ca="1" si="29"/>
        <v>-73.385307651134539</v>
      </c>
      <c r="DD33" s="1541">
        <f t="shared" ca="1" si="29"/>
        <v>0</v>
      </c>
      <c r="DE33" s="1541">
        <f t="shared" ca="1" si="29"/>
        <v>0</v>
      </c>
      <c r="DF33" s="1542">
        <f t="shared" ca="1" si="29"/>
        <v>0</v>
      </c>
      <c r="DG33" s="1540">
        <f t="shared" ca="1" si="29"/>
        <v>-85.205111038661286</v>
      </c>
      <c r="DH33" s="1541">
        <f t="shared" ca="1" si="29"/>
        <v>0</v>
      </c>
      <c r="DI33" s="1541">
        <f t="shared" ca="1" si="29"/>
        <v>0</v>
      </c>
      <c r="DJ33" s="1542">
        <f t="shared" ca="1" si="29"/>
        <v>0</v>
      </c>
      <c r="DK33" s="1540">
        <f t="shared" ca="1" si="29"/>
        <v>-88.072687054561314</v>
      </c>
      <c r="DL33" s="1541">
        <f t="shared" ca="1" si="29"/>
        <v>0</v>
      </c>
      <c r="DM33" s="1541">
        <f t="shared" ca="1" si="29"/>
        <v>0</v>
      </c>
      <c r="DN33" s="1542">
        <f t="shared" ca="1" si="29"/>
        <v>0</v>
      </c>
      <c r="DO33" s="1540">
        <f t="shared" ca="1" si="29"/>
        <v>-84.922464029390852</v>
      </c>
      <c r="DP33" s="1541">
        <f t="shared" ca="1" si="29"/>
        <v>0</v>
      </c>
      <c r="DQ33" s="1541">
        <f t="shared" ca="1" si="29"/>
        <v>0</v>
      </c>
      <c r="DR33" s="1542">
        <f t="shared" ca="1" si="29"/>
        <v>0</v>
      </c>
      <c r="DS33" s="1540">
        <f t="shared" ca="1" si="29"/>
        <v>-102.15508025765351</v>
      </c>
      <c r="DT33" s="1541">
        <f t="shared" ca="1" si="29"/>
        <v>0</v>
      </c>
      <c r="DU33" s="1541">
        <f t="shared" ca="1" si="29"/>
        <v>0</v>
      </c>
      <c r="DV33" s="1542">
        <f t="shared" ca="1" si="29"/>
        <v>0</v>
      </c>
      <c r="DW33" s="1540">
        <f t="shared" ca="1" si="29"/>
        <v>-108.38100940147186</v>
      </c>
      <c r="DX33" s="1541">
        <f t="shared" ca="1" si="29"/>
        <v>0</v>
      </c>
      <c r="DY33" s="1541">
        <f t="shared" ca="1" si="29"/>
        <v>0</v>
      </c>
      <c r="DZ33" s="1542">
        <f t="shared" ca="1" si="29"/>
        <v>0</v>
      </c>
      <c r="EA33" s="1540">
        <f t="shared" ca="1" si="29"/>
        <v>-104.95066833200305</v>
      </c>
      <c r="EB33" s="1541">
        <f t="shared" ca="1" si="29"/>
        <v>0</v>
      </c>
      <c r="EC33" s="1541">
        <f t="shared" ca="1" si="29"/>
        <v>0</v>
      </c>
      <c r="ED33" s="1542">
        <f t="shared" ca="1" si="29"/>
        <v>0</v>
      </c>
      <c r="EE33" s="1540">
        <f t="shared" ref="EE33:GD33" ca="1" si="30">EE34-EE39</f>
        <v>-93.989140875407045</v>
      </c>
      <c r="EF33" s="1541">
        <f t="shared" ca="1" si="30"/>
        <v>0</v>
      </c>
      <c r="EG33" s="1541">
        <f t="shared" ca="1" si="30"/>
        <v>0</v>
      </c>
      <c r="EH33" s="1542">
        <f t="shared" ca="1" si="30"/>
        <v>0</v>
      </c>
      <c r="EI33" s="1540">
        <f t="shared" ca="1" si="30"/>
        <v>-61.701739390932381</v>
      </c>
      <c r="EJ33" s="1541">
        <f t="shared" ca="1" si="30"/>
        <v>0</v>
      </c>
      <c r="EK33" s="1541">
        <f t="shared" ca="1" si="30"/>
        <v>0</v>
      </c>
      <c r="EL33" s="1542">
        <f t="shared" ca="1" si="30"/>
        <v>0</v>
      </c>
      <c r="EM33" s="1540">
        <f t="shared" ca="1" si="30"/>
        <v>-69.934219117380422</v>
      </c>
      <c r="EN33" s="1541">
        <f t="shared" ca="1" si="30"/>
        <v>0</v>
      </c>
      <c r="EO33" s="1541">
        <f t="shared" ca="1" si="30"/>
        <v>0</v>
      </c>
      <c r="EP33" s="1542">
        <f t="shared" ca="1" si="30"/>
        <v>0</v>
      </c>
      <c r="EQ33" s="1540">
        <f t="shared" ca="1" si="30"/>
        <v>-62.9134537110941</v>
      </c>
      <c r="ER33" s="1541">
        <f t="shared" ca="1" si="30"/>
        <v>0</v>
      </c>
      <c r="ES33" s="1541">
        <f t="shared" ca="1" si="30"/>
        <v>0</v>
      </c>
      <c r="ET33" s="1542">
        <f t="shared" ca="1" si="30"/>
        <v>0</v>
      </c>
      <c r="EU33" s="1540">
        <f t="shared" ca="1" si="30"/>
        <v>-67.970962248008334</v>
      </c>
      <c r="EV33" s="1541">
        <f t="shared" ca="1" si="30"/>
        <v>0</v>
      </c>
      <c r="EW33" s="1541">
        <f t="shared" ca="1" si="30"/>
        <v>0</v>
      </c>
      <c r="EX33" s="1542">
        <f t="shared" ca="1" si="30"/>
        <v>0</v>
      </c>
      <c r="EY33" s="1540">
        <f t="shared" ca="1" si="30"/>
        <v>-76.542876805189607</v>
      </c>
      <c r="EZ33" s="1541">
        <f t="shared" ca="1" si="30"/>
        <v>0</v>
      </c>
      <c r="FA33" s="1541">
        <f t="shared" ca="1" si="30"/>
        <v>0</v>
      </c>
      <c r="FB33" s="1542">
        <f t="shared" ca="1" si="30"/>
        <v>0</v>
      </c>
      <c r="FC33" s="1540">
        <f t="shared" ca="1" si="30"/>
        <v>-74.124388926964514</v>
      </c>
      <c r="FD33" s="1541">
        <f t="shared" ca="1" si="30"/>
        <v>0</v>
      </c>
      <c r="FE33" s="1541">
        <f t="shared" ca="1" si="30"/>
        <v>0</v>
      </c>
      <c r="FF33" s="1542">
        <f t="shared" ca="1" si="30"/>
        <v>0</v>
      </c>
      <c r="FG33" s="1540">
        <f t="shared" ca="1" si="30"/>
        <v>-74.706368267369982</v>
      </c>
      <c r="FH33" s="1541">
        <f t="shared" ca="1" si="30"/>
        <v>0</v>
      </c>
      <c r="FI33" s="1541">
        <f t="shared" ca="1" si="30"/>
        <v>0</v>
      </c>
      <c r="FJ33" s="1542">
        <f t="shared" ca="1" si="30"/>
        <v>0</v>
      </c>
      <c r="FK33" s="1540">
        <f t="shared" ca="1" si="30"/>
        <v>-86.67281041824134</v>
      </c>
      <c r="FL33" s="1541">
        <f t="shared" ca="1" si="30"/>
        <v>0</v>
      </c>
      <c r="FM33" s="1541">
        <f t="shared" ca="1" si="30"/>
        <v>0</v>
      </c>
      <c r="FN33" s="1542">
        <f t="shared" ca="1" si="30"/>
        <v>0</v>
      </c>
      <c r="FO33" s="1540">
        <f t="shared" ca="1" si="30"/>
        <v>-86.953948659286823</v>
      </c>
      <c r="FP33" s="1541">
        <f t="shared" ca="1" si="30"/>
        <v>0</v>
      </c>
      <c r="FQ33" s="1541">
        <f t="shared" ca="1" si="30"/>
        <v>0</v>
      </c>
      <c r="FR33" s="1542">
        <f t="shared" ca="1" si="30"/>
        <v>0</v>
      </c>
      <c r="FS33" s="1540">
        <f t="shared" ca="1" si="30"/>
        <v>-88.863067239873004</v>
      </c>
      <c r="FT33" s="1541">
        <f t="shared" ca="1" si="30"/>
        <v>0</v>
      </c>
      <c r="FU33" s="1541">
        <f t="shared" ca="1" si="30"/>
        <v>0</v>
      </c>
      <c r="FV33" s="1542">
        <f t="shared" ca="1" si="30"/>
        <v>0</v>
      </c>
      <c r="FW33" s="1540">
        <f t="shared" ca="1" si="30"/>
        <v>-96.374178419659287</v>
      </c>
      <c r="FX33" s="1541">
        <f t="shared" ca="1" si="30"/>
        <v>0</v>
      </c>
      <c r="FY33" s="1541">
        <f t="shared" ca="1" si="30"/>
        <v>0</v>
      </c>
      <c r="FZ33" s="1542">
        <f t="shared" ca="1" si="30"/>
        <v>0</v>
      </c>
      <c r="GA33" s="1540">
        <f t="shared" ca="1" si="30"/>
        <v>-97.38190592007615</v>
      </c>
      <c r="GB33" s="1541">
        <f t="shared" ca="1" si="30"/>
        <v>-697.58643016835504</v>
      </c>
      <c r="GC33" s="1541">
        <f t="shared" ca="1" si="30"/>
        <v>0</v>
      </c>
      <c r="GD33" s="1542">
        <f t="shared" ca="1" si="30"/>
        <v>0</v>
      </c>
      <c r="GE33" s="1508"/>
      <c r="GF33" s="1509"/>
      <c r="GG33" s="1509"/>
      <c r="GH33" s="1509"/>
      <c r="GI33" s="1509"/>
      <c r="GJ33" s="1509"/>
      <c r="GK33" s="1509"/>
      <c r="GL33" s="1509"/>
      <c r="GM33" s="1509"/>
      <c r="GN33" s="1509"/>
      <c r="GO33" s="1509"/>
      <c r="GP33" s="1509"/>
      <c r="GQ33" s="1509"/>
      <c r="GR33" s="1509"/>
      <c r="GS33" s="1509"/>
      <c r="GT33" s="1509"/>
    </row>
    <row r="34" spans="2:202" ht="17.100000000000001" customHeight="1">
      <c r="B34" s="1510" t="s">
        <v>1313</v>
      </c>
      <c r="C34" s="428"/>
      <c r="D34" s="1511"/>
      <c r="E34" s="1512"/>
      <c r="F34" s="1513">
        <f t="shared" ca="1" si="11"/>
        <v>0</v>
      </c>
      <c r="G34" s="1544">
        <f t="shared" ref="G34:AL34" si="31">SUM(G35:G38)</f>
        <v>150</v>
      </c>
      <c r="H34" s="914">
        <f t="shared" si="31"/>
        <v>0</v>
      </c>
      <c r="I34" s="914">
        <f t="shared" si="31"/>
        <v>0</v>
      </c>
      <c r="J34" s="914">
        <f t="shared" si="31"/>
        <v>0</v>
      </c>
      <c r="K34" s="914">
        <f t="shared" si="31"/>
        <v>0</v>
      </c>
      <c r="L34" s="914">
        <f t="shared" si="31"/>
        <v>0</v>
      </c>
      <c r="M34" s="914">
        <f t="shared" si="31"/>
        <v>0</v>
      </c>
      <c r="N34" s="914">
        <f t="shared" si="31"/>
        <v>0</v>
      </c>
      <c r="O34" s="914">
        <f t="shared" si="31"/>
        <v>0</v>
      </c>
      <c r="P34" s="914">
        <f t="shared" si="31"/>
        <v>0</v>
      </c>
      <c r="Q34" s="914">
        <f t="shared" si="31"/>
        <v>0</v>
      </c>
      <c r="R34" s="914">
        <f t="shared" si="31"/>
        <v>0</v>
      </c>
      <c r="S34" s="914">
        <f t="shared" si="31"/>
        <v>0</v>
      </c>
      <c r="T34" s="914">
        <f t="shared" si="31"/>
        <v>0</v>
      </c>
      <c r="U34" s="914">
        <f t="shared" si="31"/>
        <v>0</v>
      </c>
      <c r="V34" s="914">
        <f t="shared" si="31"/>
        <v>0</v>
      </c>
      <c r="W34" s="914">
        <f t="shared" ca="1" si="31"/>
        <v>0</v>
      </c>
      <c r="X34" s="915">
        <f t="shared" ca="1" si="31"/>
        <v>0</v>
      </c>
      <c r="Y34" s="915">
        <f t="shared" ca="1" si="31"/>
        <v>0</v>
      </c>
      <c r="Z34" s="916">
        <f t="shared" ca="1" si="31"/>
        <v>0</v>
      </c>
      <c r="AA34" s="914">
        <f t="shared" ca="1" si="31"/>
        <v>0</v>
      </c>
      <c r="AB34" s="915">
        <f t="shared" ca="1" si="31"/>
        <v>0</v>
      </c>
      <c r="AC34" s="915">
        <f t="shared" ca="1" si="31"/>
        <v>0</v>
      </c>
      <c r="AD34" s="916">
        <f t="shared" ca="1" si="31"/>
        <v>0</v>
      </c>
      <c r="AE34" s="1514">
        <f t="shared" ca="1" si="31"/>
        <v>0</v>
      </c>
      <c r="AF34" s="1515">
        <f t="shared" ca="1" si="31"/>
        <v>0</v>
      </c>
      <c r="AG34" s="1515">
        <f t="shared" ca="1" si="31"/>
        <v>0</v>
      </c>
      <c r="AH34" s="1516">
        <f t="shared" ca="1" si="31"/>
        <v>0</v>
      </c>
      <c r="AI34" s="1514">
        <f t="shared" ca="1" si="31"/>
        <v>0</v>
      </c>
      <c r="AJ34" s="1515">
        <f t="shared" ca="1" si="31"/>
        <v>0</v>
      </c>
      <c r="AK34" s="1515">
        <f t="shared" ca="1" si="31"/>
        <v>0</v>
      </c>
      <c r="AL34" s="1516">
        <f t="shared" ca="1" si="31"/>
        <v>0</v>
      </c>
      <c r="AM34" s="1514">
        <f t="shared" ref="AM34:CX34" ca="1" si="32">SUM(AM35:AM38)</f>
        <v>0</v>
      </c>
      <c r="AN34" s="1515">
        <f t="shared" ca="1" si="32"/>
        <v>0</v>
      </c>
      <c r="AO34" s="1515">
        <f t="shared" ca="1" si="32"/>
        <v>0</v>
      </c>
      <c r="AP34" s="1516">
        <f t="shared" ca="1" si="32"/>
        <v>0</v>
      </c>
      <c r="AQ34" s="1514">
        <f t="shared" ca="1" si="32"/>
        <v>0</v>
      </c>
      <c r="AR34" s="1515">
        <f t="shared" ca="1" si="32"/>
        <v>0</v>
      </c>
      <c r="AS34" s="1515">
        <f t="shared" ca="1" si="32"/>
        <v>0</v>
      </c>
      <c r="AT34" s="1516">
        <f t="shared" ca="1" si="32"/>
        <v>0</v>
      </c>
      <c r="AU34" s="1514">
        <f t="shared" ca="1" si="32"/>
        <v>0</v>
      </c>
      <c r="AV34" s="1515">
        <f t="shared" ca="1" si="32"/>
        <v>0</v>
      </c>
      <c r="AW34" s="1515">
        <f t="shared" ca="1" si="32"/>
        <v>0</v>
      </c>
      <c r="AX34" s="1516">
        <f t="shared" ca="1" si="32"/>
        <v>0</v>
      </c>
      <c r="AY34" s="1514">
        <f t="shared" ca="1" si="32"/>
        <v>0</v>
      </c>
      <c r="AZ34" s="1515">
        <f t="shared" ca="1" si="32"/>
        <v>0</v>
      </c>
      <c r="BA34" s="1515">
        <f t="shared" ca="1" si="32"/>
        <v>0</v>
      </c>
      <c r="BB34" s="1516">
        <f t="shared" ca="1" si="32"/>
        <v>0</v>
      </c>
      <c r="BC34" s="1514">
        <f t="shared" ca="1" si="32"/>
        <v>0</v>
      </c>
      <c r="BD34" s="1515">
        <f t="shared" ca="1" si="32"/>
        <v>0</v>
      </c>
      <c r="BE34" s="1515">
        <f t="shared" ca="1" si="32"/>
        <v>0</v>
      </c>
      <c r="BF34" s="1516">
        <f t="shared" ca="1" si="32"/>
        <v>0</v>
      </c>
      <c r="BG34" s="1514">
        <f t="shared" ca="1" si="32"/>
        <v>0</v>
      </c>
      <c r="BH34" s="1515">
        <f t="shared" ca="1" si="32"/>
        <v>0</v>
      </c>
      <c r="BI34" s="1515">
        <f t="shared" ca="1" si="32"/>
        <v>0</v>
      </c>
      <c r="BJ34" s="1516">
        <f t="shared" ca="1" si="32"/>
        <v>0</v>
      </c>
      <c r="BK34" s="1514">
        <f t="shared" ca="1" si="32"/>
        <v>0</v>
      </c>
      <c r="BL34" s="1515">
        <f t="shared" ca="1" si="32"/>
        <v>0</v>
      </c>
      <c r="BM34" s="1515">
        <f t="shared" ca="1" si="32"/>
        <v>0</v>
      </c>
      <c r="BN34" s="1516">
        <f t="shared" ca="1" si="32"/>
        <v>0</v>
      </c>
      <c r="BO34" s="1514">
        <f t="shared" ca="1" si="32"/>
        <v>0</v>
      </c>
      <c r="BP34" s="1515">
        <f t="shared" ca="1" si="32"/>
        <v>0</v>
      </c>
      <c r="BQ34" s="1515">
        <f t="shared" ca="1" si="32"/>
        <v>0</v>
      </c>
      <c r="BR34" s="1516">
        <f t="shared" ca="1" si="32"/>
        <v>0</v>
      </c>
      <c r="BS34" s="1514">
        <f t="shared" ca="1" si="32"/>
        <v>0</v>
      </c>
      <c r="BT34" s="1515">
        <f t="shared" ca="1" si="32"/>
        <v>0</v>
      </c>
      <c r="BU34" s="1515">
        <f t="shared" ca="1" si="32"/>
        <v>0</v>
      </c>
      <c r="BV34" s="1516">
        <f t="shared" ca="1" si="32"/>
        <v>0</v>
      </c>
      <c r="BW34" s="1514">
        <f t="shared" ca="1" si="32"/>
        <v>0</v>
      </c>
      <c r="BX34" s="1515">
        <f t="shared" ca="1" si="32"/>
        <v>0</v>
      </c>
      <c r="BY34" s="1515">
        <f t="shared" ca="1" si="32"/>
        <v>0</v>
      </c>
      <c r="BZ34" s="1516">
        <f t="shared" ca="1" si="32"/>
        <v>0</v>
      </c>
      <c r="CA34" s="1514">
        <f t="shared" ca="1" si="32"/>
        <v>0</v>
      </c>
      <c r="CB34" s="1515">
        <f t="shared" ca="1" si="32"/>
        <v>0</v>
      </c>
      <c r="CC34" s="1515">
        <f t="shared" ca="1" si="32"/>
        <v>0</v>
      </c>
      <c r="CD34" s="1516">
        <f t="shared" ca="1" si="32"/>
        <v>0</v>
      </c>
      <c r="CE34" s="1514">
        <f t="shared" ca="1" si="32"/>
        <v>0</v>
      </c>
      <c r="CF34" s="1515">
        <f t="shared" ca="1" si="32"/>
        <v>0</v>
      </c>
      <c r="CG34" s="1515">
        <f t="shared" ca="1" si="32"/>
        <v>0</v>
      </c>
      <c r="CH34" s="1516">
        <f t="shared" ca="1" si="32"/>
        <v>0</v>
      </c>
      <c r="CI34" s="1514">
        <f t="shared" ca="1" si="32"/>
        <v>0</v>
      </c>
      <c r="CJ34" s="1515">
        <f t="shared" ca="1" si="32"/>
        <v>0</v>
      </c>
      <c r="CK34" s="1515">
        <f t="shared" ca="1" si="32"/>
        <v>0</v>
      </c>
      <c r="CL34" s="1516">
        <f t="shared" ca="1" si="32"/>
        <v>0</v>
      </c>
      <c r="CM34" s="1514">
        <f t="shared" ca="1" si="32"/>
        <v>0</v>
      </c>
      <c r="CN34" s="1515">
        <f t="shared" ca="1" si="32"/>
        <v>0</v>
      </c>
      <c r="CO34" s="1515">
        <f t="shared" ca="1" si="32"/>
        <v>0</v>
      </c>
      <c r="CP34" s="1516">
        <f t="shared" ca="1" si="32"/>
        <v>0</v>
      </c>
      <c r="CQ34" s="1514">
        <f t="shared" ca="1" si="32"/>
        <v>0</v>
      </c>
      <c r="CR34" s="1515">
        <f t="shared" ca="1" si="32"/>
        <v>0</v>
      </c>
      <c r="CS34" s="1515">
        <f t="shared" ca="1" si="32"/>
        <v>0</v>
      </c>
      <c r="CT34" s="1516">
        <f t="shared" ca="1" si="32"/>
        <v>0</v>
      </c>
      <c r="CU34" s="1514">
        <f t="shared" ca="1" si="32"/>
        <v>0</v>
      </c>
      <c r="CV34" s="1515">
        <f t="shared" ca="1" si="32"/>
        <v>0</v>
      </c>
      <c r="CW34" s="1515">
        <f t="shared" ca="1" si="32"/>
        <v>0</v>
      </c>
      <c r="CX34" s="1516">
        <f t="shared" ca="1" si="32"/>
        <v>0</v>
      </c>
      <c r="CY34" s="1514">
        <f t="shared" ref="CY34:FJ34" ca="1" si="33">SUM(CY35:CY38)</f>
        <v>0</v>
      </c>
      <c r="CZ34" s="1515">
        <f t="shared" ca="1" si="33"/>
        <v>0</v>
      </c>
      <c r="DA34" s="1515">
        <f t="shared" ca="1" si="33"/>
        <v>0</v>
      </c>
      <c r="DB34" s="1516">
        <f t="shared" ca="1" si="33"/>
        <v>0</v>
      </c>
      <c r="DC34" s="1514">
        <f t="shared" ca="1" si="33"/>
        <v>0</v>
      </c>
      <c r="DD34" s="1515">
        <f t="shared" ca="1" si="33"/>
        <v>0</v>
      </c>
      <c r="DE34" s="1515">
        <f t="shared" ca="1" si="33"/>
        <v>0</v>
      </c>
      <c r="DF34" s="1516">
        <f t="shared" ca="1" si="33"/>
        <v>0</v>
      </c>
      <c r="DG34" s="1514">
        <f t="shared" ca="1" si="33"/>
        <v>0</v>
      </c>
      <c r="DH34" s="1515">
        <f t="shared" ca="1" si="33"/>
        <v>0</v>
      </c>
      <c r="DI34" s="1515">
        <f t="shared" ca="1" si="33"/>
        <v>0</v>
      </c>
      <c r="DJ34" s="1516">
        <f t="shared" ca="1" si="33"/>
        <v>0</v>
      </c>
      <c r="DK34" s="1514">
        <f t="shared" ca="1" si="33"/>
        <v>0</v>
      </c>
      <c r="DL34" s="1515">
        <f t="shared" ca="1" si="33"/>
        <v>0</v>
      </c>
      <c r="DM34" s="1515">
        <f t="shared" ca="1" si="33"/>
        <v>0</v>
      </c>
      <c r="DN34" s="1516">
        <f t="shared" ca="1" si="33"/>
        <v>0</v>
      </c>
      <c r="DO34" s="1514">
        <f t="shared" ca="1" si="33"/>
        <v>0</v>
      </c>
      <c r="DP34" s="1515">
        <f t="shared" ca="1" si="33"/>
        <v>0</v>
      </c>
      <c r="DQ34" s="1515">
        <f t="shared" ca="1" si="33"/>
        <v>0</v>
      </c>
      <c r="DR34" s="1516">
        <f t="shared" ca="1" si="33"/>
        <v>0</v>
      </c>
      <c r="DS34" s="1514">
        <f t="shared" ca="1" si="33"/>
        <v>0</v>
      </c>
      <c r="DT34" s="1515">
        <f t="shared" ca="1" si="33"/>
        <v>0</v>
      </c>
      <c r="DU34" s="1515">
        <f t="shared" ca="1" si="33"/>
        <v>0</v>
      </c>
      <c r="DV34" s="1516">
        <f t="shared" ca="1" si="33"/>
        <v>0</v>
      </c>
      <c r="DW34" s="1514">
        <f t="shared" ca="1" si="33"/>
        <v>0</v>
      </c>
      <c r="DX34" s="1515">
        <f t="shared" ca="1" si="33"/>
        <v>0</v>
      </c>
      <c r="DY34" s="1515">
        <f t="shared" ca="1" si="33"/>
        <v>0</v>
      </c>
      <c r="DZ34" s="1516">
        <f t="shared" ca="1" si="33"/>
        <v>0</v>
      </c>
      <c r="EA34" s="1514">
        <f t="shared" ca="1" si="33"/>
        <v>0</v>
      </c>
      <c r="EB34" s="1515">
        <f t="shared" ca="1" si="33"/>
        <v>0</v>
      </c>
      <c r="EC34" s="1515">
        <f t="shared" ca="1" si="33"/>
        <v>0</v>
      </c>
      <c r="ED34" s="1516">
        <f t="shared" ca="1" si="33"/>
        <v>0</v>
      </c>
      <c r="EE34" s="1514">
        <f t="shared" ca="1" si="33"/>
        <v>0</v>
      </c>
      <c r="EF34" s="1515">
        <f t="shared" ca="1" si="33"/>
        <v>0</v>
      </c>
      <c r="EG34" s="1515">
        <f t="shared" ca="1" si="33"/>
        <v>0</v>
      </c>
      <c r="EH34" s="1516">
        <f t="shared" ca="1" si="33"/>
        <v>0</v>
      </c>
      <c r="EI34" s="1514">
        <f t="shared" ca="1" si="33"/>
        <v>0</v>
      </c>
      <c r="EJ34" s="1515">
        <f t="shared" ca="1" si="33"/>
        <v>0</v>
      </c>
      <c r="EK34" s="1515">
        <f t="shared" ca="1" si="33"/>
        <v>0</v>
      </c>
      <c r="EL34" s="1516">
        <f t="shared" ca="1" si="33"/>
        <v>0</v>
      </c>
      <c r="EM34" s="1514">
        <f t="shared" ca="1" si="33"/>
        <v>0</v>
      </c>
      <c r="EN34" s="1515">
        <f t="shared" ca="1" si="33"/>
        <v>0</v>
      </c>
      <c r="EO34" s="1515">
        <f t="shared" ca="1" si="33"/>
        <v>0</v>
      </c>
      <c r="EP34" s="1516">
        <f t="shared" ca="1" si="33"/>
        <v>0</v>
      </c>
      <c r="EQ34" s="1514">
        <f t="shared" ca="1" si="33"/>
        <v>0</v>
      </c>
      <c r="ER34" s="1515">
        <f t="shared" ca="1" si="33"/>
        <v>0</v>
      </c>
      <c r="ES34" s="1515">
        <f t="shared" ca="1" si="33"/>
        <v>0</v>
      </c>
      <c r="ET34" s="1516">
        <f t="shared" ca="1" si="33"/>
        <v>0</v>
      </c>
      <c r="EU34" s="1514">
        <f t="shared" ca="1" si="33"/>
        <v>0</v>
      </c>
      <c r="EV34" s="1515">
        <f t="shared" ca="1" si="33"/>
        <v>0</v>
      </c>
      <c r="EW34" s="1515">
        <f t="shared" ca="1" si="33"/>
        <v>0</v>
      </c>
      <c r="EX34" s="1516">
        <f t="shared" ca="1" si="33"/>
        <v>0</v>
      </c>
      <c r="EY34" s="1514">
        <f t="shared" ca="1" si="33"/>
        <v>0</v>
      </c>
      <c r="EZ34" s="1515">
        <f t="shared" ca="1" si="33"/>
        <v>0</v>
      </c>
      <c r="FA34" s="1515">
        <f t="shared" ca="1" si="33"/>
        <v>0</v>
      </c>
      <c r="FB34" s="1516">
        <f t="shared" ca="1" si="33"/>
        <v>0</v>
      </c>
      <c r="FC34" s="1514">
        <f t="shared" ca="1" si="33"/>
        <v>0</v>
      </c>
      <c r="FD34" s="1515">
        <f t="shared" ca="1" si="33"/>
        <v>0</v>
      </c>
      <c r="FE34" s="1515">
        <f t="shared" ca="1" si="33"/>
        <v>0</v>
      </c>
      <c r="FF34" s="1516">
        <f t="shared" ca="1" si="33"/>
        <v>0</v>
      </c>
      <c r="FG34" s="1514">
        <f t="shared" ca="1" si="33"/>
        <v>0</v>
      </c>
      <c r="FH34" s="1515">
        <f t="shared" ca="1" si="33"/>
        <v>0</v>
      </c>
      <c r="FI34" s="1515">
        <f t="shared" ca="1" si="33"/>
        <v>0</v>
      </c>
      <c r="FJ34" s="1516">
        <f t="shared" ca="1" si="33"/>
        <v>0</v>
      </c>
      <c r="FK34" s="1514">
        <f t="shared" ref="FK34:GD34" ca="1" si="34">SUM(FK35:FK38)</f>
        <v>0</v>
      </c>
      <c r="FL34" s="1515">
        <f t="shared" ca="1" si="34"/>
        <v>0</v>
      </c>
      <c r="FM34" s="1515">
        <f t="shared" ca="1" si="34"/>
        <v>0</v>
      </c>
      <c r="FN34" s="1516">
        <f t="shared" ca="1" si="34"/>
        <v>0</v>
      </c>
      <c r="FO34" s="1514">
        <f t="shared" ca="1" si="34"/>
        <v>0</v>
      </c>
      <c r="FP34" s="1515">
        <f t="shared" ca="1" si="34"/>
        <v>0</v>
      </c>
      <c r="FQ34" s="1515">
        <f t="shared" ca="1" si="34"/>
        <v>0</v>
      </c>
      <c r="FR34" s="1516">
        <f t="shared" ca="1" si="34"/>
        <v>0</v>
      </c>
      <c r="FS34" s="1514">
        <f t="shared" ca="1" si="34"/>
        <v>0</v>
      </c>
      <c r="FT34" s="1515">
        <f t="shared" ca="1" si="34"/>
        <v>0</v>
      </c>
      <c r="FU34" s="1515">
        <f t="shared" ca="1" si="34"/>
        <v>0</v>
      </c>
      <c r="FV34" s="1516">
        <f t="shared" ca="1" si="34"/>
        <v>0</v>
      </c>
      <c r="FW34" s="1514">
        <f t="shared" ca="1" si="34"/>
        <v>0</v>
      </c>
      <c r="FX34" s="1515">
        <f t="shared" ca="1" si="34"/>
        <v>0</v>
      </c>
      <c r="FY34" s="1515">
        <f t="shared" ca="1" si="34"/>
        <v>0</v>
      </c>
      <c r="FZ34" s="1516">
        <f t="shared" ca="1" si="34"/>
        <v>0</v>
      </c>
      <c r="GA34" s="1514">
        <f t="shared" ca="1" si="34"/>
        <v>0</v>
      </c>
      <c r="GB34" s="1515">
        <f t="shared" ca="1" si="34"/>
        <v>0</v>
      </c>
      <c r="GC34" s="1515">
        <f t="shared" ca="1" si="34"/>
        <v>0</v>
      </c>
      <c r="GD34" s="1516">
        <f t="shared" ca="1" si="34"/>
        <v>0</v>
      </c>
      <c r="GE34" s="1508"/>
      <c r="GF34" s="1509"/>
      <c r="GG34" s="1509"/>
      <c r="GH34" s="1509"/>
      <c r="GI34" s="1509"/>
      <c r="GJ34" s="1509"/>
      <c r="GK34" s="1509"/>
      <c r="GL34" s="1509"/>
      <c r="GM34" s="1509"/>
      <c r="GN34" s="1509"/>
      <c r="GO34" s="1509"/>
      <c r="GP34" s="1509"/>
      <c r="GQ34" s="1509"/>
      <c r="GR34" s="1509"/>
      <c r="GS34" s="1509"/>
      <c r="GT34" s="1509"/>
    </row>
    <row r="35" spans="2:202" ht="17.100000000000001" customHeight="1" outlineLevel="1">
      <c r="B35" s="307"/>
      <c r="C35" s="489" t="s">
        <v>1314</v>
      </c>
      <c r="D35" s="331"/>
      <c r="E35" s="742"/>
      <c r="F35" s="1530">
        <f t="shared" si="11"/>
        <v>0</v>
      </c>
      <c r="G35" s="1518">
        <v>150</v>
      </c>
      <c r="H35" s="1518">
        <v>0</v>
      </c>
      <c r="I35" s="1518">
        <v>0</v>
      </c>
      <c r="J35" s="1518">
        <v>0</v>
      </c>
      <c r="K35" s="1518"/>
      <c r="L35" s="1518"/>
      <c r="M35" s="1518"/>
      <c r="N35" s="1518"/>
      <c r="O35" s="1518"/>
      <c r="P35" s="1518"/>
      <c r="Q35" s="1518"/>
      <c r="R35" s="1518"/>
      <c r="S35" s="1518"/>
      <c r="T35" s="1518"/>
      <c r="U35" s="1518"/>
      <c r="V35" s="1518"/>
      <c r="W35" s="1519">
        <f>$E35*(W5=차입금상환!$D$6)</f>
        <v>0</v>
      </c>
      <c r="X35" s="1520">
        <f>$E35*(X5=차입금상환!$D$6)</f>
        <v>0</v>
      </c>
      <c r="Y35" s="1520">
        <f>$E35*(Y5=차입금상환!$D$6)</f>
        <v>0</v>
      </c>
      <c r="Z35" s="1521">
        <f>$E35*(Z5=차입금상환!$D$6)</f>
        <v>0</v>
      </c>
      <c r="AA35" s="1519">
        <f>$E35*(AA5=차입금상환!$D$6)</f>
        <v>0</v>
      </c>
      <c r="AB35" s="1520">
        <f>$E35*(AB5=차입금상환!$D$6)</f>
        <v>0</v>
      </c>
      <c r="AC35" s="1520">
        <f>$E35*(AC5=차입금상환!$D$6)</f>
        <v>0</v>
      </c>
      <c r="AD35" s="1521">
        <f>$E35*(AD5=차입금상환!$D$6)</f>
        <v>0</v>
      </c>
      <c r="AE35" s="1522">
        <f>$E35*(AE5=차입금상환!$D$6)</f>
        <v>0</v>
      </c>
      <c r="AF35" s="1523">
        <f>$E35*(AF5=차입금상환!$D$6)</f>
        <v>0</v>
      </c>
      <c r="AG35" s="1523">
        <f>$E35*(AG5=차입금상환!$D$6)</f>
        <v>0</v>
      </c>
      <c r="AH35" s="1524">
        <f>$E35*(AH5=차입금상환!$D$6)</f>
        <v>0</v>
      </c>
      <c r="AI35" s="1522">
        <f>$E35*(AI5=차입금상환!$D$6)</f>
        <v>0</v>
      </c>
      <c r="AJ35" s="1523">
        <f>$E35*(AJ5=차입금상환!$D$6)</f>
        <v>0</v>
      </c>
      <c r="AK35" s="1523">
        <f>$E35*(AK5=차입금상환!$D$6)</f>
        <v>0</v>
      </c>
      <c r="AL35" s="1524">
        <f>$E35*(AL5=차입금상환!$D$6)</f>
        <v>0</v>
      </c>
      <c r="AM35" s="1522">
        <f>$E35*(AM5=차입금상환!$D$6)</f>
        <v>0</v>
      </c>
      <c r="AN35" s="1523">
        <f>$E35*(AN5=차입금상환!$D$6)</f>
        <v>0</v>
      </c>
      <c r="AO35" s="1523">
        <f>$E35*(AO5=차입금상환!$D$6)</f>
        <v>0</v>
      </c>
      <c r="AP35" s="1524">
        <f>$E35*(AP5=차입금상환!$D$6)</f>
        <v>0</v>
      </c>
      <c r="AQ35" s="1522">
        <f>$E35*(AQ5=차입금상환!$D$6)</f>
        <v>0</v>
      </c>
      <c r="AR35" s="1523">
        <f>$E35*(AR5=차입금상환!$D$6)</f>
        <v>0</v>
      </c>
      <c r="AS35" s="1523">
        <f>$E35*(AS5=차입금상환!$D$6)</f>
        <v>0</v>
      </c>
      <c r="AT35" s="1524">
        <f>$E35*(AT5=차입금상환!$D$6)</f>
        <v>0</v>
      </c>
      <c r="AU35" s="1522">
        <f>$E35*(AU5=차입금상환!$D$6)</f>
        <v>0</v>
      </c>
      <c r="AV35" s="1523">
        <f>$E35*(AV5=차입금상환!$D$6)</f>
        <v>0</v>
      </c>
      <c r="AW35" s="1523">
        <f>$E35*(AW5=차입금상환!$D$6)</f>
        <v>0</v>
      </c>
      <c r="AX35" s="1524">
        <f>$E35*(AX5=차입금상환!$D$6)</f>
        <v>0</v>
      </c>
      <c r="AY35" s="1522">
        <f>$E35*(AY5=차입금상환!$D$6)</f>
        <v>0</v>
      </c>
      <c r="AZ35" s="1523">
        <f>$E35*(AZ5=차입금상환!$D$6)</f>
        <v>0</v>
      </c>
      <c r="BA35" s="1523">
        <f>$E35*(BA5=차입금상환!$D$6)</f>
        <v>0</v>
      </c>
      <c r="BB35" s="1524">
        <f>$E35*(BB5=차입금상환!$D$6)</f>
        <v>0</v>
      </c>
      <c r="BC35" s="1522">
        <f>$E35*(BC5=차입금상환!$D$6)</f>
        <v>0</v>
      </c>
      <c r="BD35" s="1523">
        <f>$E35*(BD5=차입금상환!$D$6)</f>
        <v>0</v>
      </c>
      <c r="BE35" s="1523">
        <f>$E35*(BE5=차입금상환!$D$6)</f>
        <v>0</v>
      </c>
      <c r="BF35" s="1524">
        <f>$E35*(BF5=차입금상환!$D$6)</f>
        <v>0</v>
      </c>
      <c r="BG35" s="1522">
        <f>$E35*(BG5=차입금상환!$D$6)</f>
        <v>0</v>
      </c>
      <c r="BH35" s="1523">
        <f>$E35*(BH5=차입금상환!$D$6)</f>
        <v>0</v>
      </c>
      <c r="BI35" s="1523">
        <f>$E35*(BI5=차입금상환!$D$6)</f>
        <v>0</v>
      </c>
      <c r="BJ35" s="1524">
        <f>$E35*(BJ5=차입금상환!$D$6)</f>
        <v>0</v>
      </c>
      <c r="BK35" s="1522">
        <f>$E35*(BK5=차입금상환!$D$6)</f>
        <v>0</v>
      </c>
      <c r="BL35" s="1523">
        <f>$E35*(BL5=차입금상환!$D$6)</f>
        <v>0</v>
      </c>
      <c r="BM35" s="1523">
        <f>$E35*(BM5=차입금상환!$D$6)</f>
        <v>0</v>
      </c>
      <c r="BN35" s="1524">
        <f>$E35*(BN5=차입금상환!$D$6)</f>
        <v>0</v>
      </c>
      <c r="BO35" s="1522">
        <f>$E35*(BO5=차입금상환!$D$6)</f>
        <v>0</v>
      </c>
      <c r="BP35" s="1523">
        <f>$E35*(BP5=차입금상환!$D$6)</f>
        <v>0</v>
      </c>
      <c r="BQ35" s="1523">
        <f>$E35*(BQ5=차입금상환!$D$6)</f>
        <v>0</v>
      </c>
      <c r="BR35" s="1524">
        <f>$E35*(BR5=차입금상환!$D$6)</f>
        <v>0</v>
      </c>
      <c r="BS35" s="1522">
        <f>$E35*(BS5=차입금상환!$D$6)</f>
        <v>0</v>
      </c>
      <c r="BT35" s="1523">
        <f>$E35*(BT5=차입금상환!$D$6)</f>
        <v>0</v>
      </c>
      <c r="BU35" s="1523">
        <f>$E35*(BU5=차입금상환!$D$6)</f>
        <v>0</v>
      </c>
      <c r="BV35" s="1524">
        <f>$E35*(BV5=차입금상환!$D$6)</f>
        <v>0</v>
      </c>
      <c r="BW35" s="1522">
        <f>$E35*(BW5=차입금상환!$D$6)</f>
        <v>0</v>
      </c>
      <c r="BX35" s="1523">
        <f>$E35*(BX5=차입금상환!$D$6)</f>
        <v>0</v>
      </c>
      <c r="BY35" s="1523">
        <f>$E35*(BY5=차입금상환!$D$6)</f>
        <v>0</v>
      </c>
      <c r="BZ35" s="1524">
        <f>$E35*(BZ5=차입금상환!$D$6)</f>
        <v>0</v>
      </c>
      <c r="CA35" s="1522">
        <f>$E35*(CA5=차입금상환!$D$6)</f>
        <v>0</v>
      </c>
      <c r="CB35" s="1523">
        <f>$E35*(CB5=차입금상환!$D$6)</f>
        <v>0</v>
      </c>
      <c r="CC35" s="1523">
        <f>$E35*(CC5=차입금상환!$D$6)</f>
        <v>0</v>
      </c>
      <c r="CD35" s="1524">
        <f>$E35*(CD5=차입금상환!$D$6)</f>
        <v>0</v>
      </c>
      <c r="CE35" s="1522">
        <f>$E35*(CE5=차입금상환!$D$6)</f>
        <v>0</v>
      </c>
      <c r="CF35" s="1523">
        <f>$E35*(CF5=차입금상환!$D$6)</f>
        <v>0</v>
      </c>
      <c r="CG35" s="1523">
        <f>$E35*(CG5=차입금상환!$D$6)</f>
        <v>0</v>
      </c>
      <c r="CH35" s="1524">
        <f>$E35*(CH5=차입금상환!$D$6)</f>
        <v>0</v>
      </c>
      <c r="CI35" s="1522">
        <f>$E35*(CI5=차입금상환!$D$6)</f>
        <v>0</v>
      </c>
      <c r="CJ35" s="1523">
        <f>$E35*(CJ5=차입금상환!$D$6)</f>
        <v>0</v>
      </c>
      <c r="CK35" s="1523">
        <f>$E35*(CK5=차입금상환!$D$6)</f>
        <v>0</v>
      </c>
      <c r="CL35" s="1524">
        <f>$E35*(CL5=차입금상환!$D$6)</f>
        <v>0</v>
      </c>
      <c r="CM35" s="1522">
        <f>$E35*(CM5=차입금상환!$D$6)</f>
        <v>0</v>
      </c>
      <c r="CN35" s="1523">
        <f>$E35*(CN5=차입금상환!$D$6)</f>
        <v>0</v>
      </c>
      <c r="CO35" s="1523">
        <f>$E35*(CO5=차입금상환!$D$6)</f>
        <v>0</v>
      </c>
      <c r="CP35" s="1524">
        <f>$E35*(CP5=차입금상환!$D$6)</f>
        <v>0</v>
      </c>
      <c r="CQ35" s="1522">
        <f>$E35*(CQ5=차입금상환!$D$6)</f>
        <v>0</v>
      </c>
      <c r="CR35" s="1523">
        <f>$E35*(CR5=차입금상환!$D$6)</f>
        <v>0</v>
      </c>
      <c r="CS35" s="1523">
        <f>$E35*(CS5=차입금상환!$D$6)</f>
        <v>0</v>
      </c>
      <c r="CT35" s="1524">
        <f>$E35*(CT5=차입금상환!$D$6)</f>
        <v>0</v>
      </c>
      <c r="CU35" s="1522">
        <f>$E35*(CU5=차입금상환!$D$6)</f>
        <v>0</v>
      </c>
      <c r="CV35" s="1523">
        <f>$E35*(CV5=차입금상환!$D$6)</f>
        <v>0</v>
      </c>
      <c r="CW35" s="1523">
        <f>$E35*(CW5=차입금상환!$D$6)</f>
        <v>0</v>
      </c>
      <c r="CX35" s="1524">
        <f>$E35*(CX5=차입금상환!$D$6)</f>
        <v>0</v>
      </c>
      <c r="CY35" s="1522">
        <f>$E35*(CY5=차입금상환!$D$6)</f>
        <v>0</v>
      </c>
      <c r="CZ35" s="1523">
        <f>$E35*(CZ5=차입금상환!$D$6)</f>
        <v>0</v>
      </c>
      <c r="DA35" s="1523">
        <f>$E35*(DA5=차입금상환!$D$6)</f>
        <v>0</v>
      </c>
      <c r="DB35" s="1524">
        <f>$E35*(DB5=차입금상환!$D$6)</f>
        <v>0</v>
      </c>
      <c r="DC35" s="1522">
        <f>$E35*(DC5=차입금상환!$D$6)</f>
        <v>0</v>
      </c>
      <c r="DD35" s="1523">
        <f>$E35*(DD5=차입금상환!$D$6)</f>
        <v>0</v>
      </c>
      <c r="DE35" s="1523">
        <f>$E35*(DE5=차입금상환!$D$6)</f>
        <v>0</v>
      </c>
      <c r="DF35" s="1524">
        <f>$E35*(DF5=차입금상환!$D$6)</f>
        <v>0</v>
      </c>
      <c r="DG35" s="1522">
        <f>$E35*(DG5=차입금상환!$D$6)</f>
        <v>0</v>
      </c>
      <c r="DH35" s="1523">
        <f>$E35*(DH5=차입금상환!$D$6)</f>
        <v>0</v>
      </c>
      <c r="DI35" s="1523">
        <f>$E35*(DI5=차입금상환!$D$6)</f>
        <v>0</v>
      </c>
      <c r="DJ35" s="1524">
        <f>$E35*(DJ5=차입금상환!$D$6)</f>
        <v>0</v>
      </c>
      <c r="DK35" s="1522">
        <f>$E35*(DK5=차입금상환!$D$6)</f>
        <v>0</v>
      </c>
      <c r="DL35" s="1523">
        <f>$E35*(DL5=차입금상환!$D$6)</f>
        <v>0</v>
      </c>
      <c r="DM35" s="1523">
        <f>$E35*(DM5=차입금상환!$D$6)</f>
        <v>0</v>
      </c>
      <c r="DN35" s="1524">
        <f>$E35*(DN5=차입금상환!$D$6)</f>
        <v>0</v>
      </c>
      <c r="DO35" s="1522">
        <f>$E35*(DO5=차입금상환!$D$6)</f>
        <v>0</v>
      </c>
      <c r="DP35" s="1523">
        <f>$E35*(DP5=차입금상환!$D$6)</f>
        <v>0</v>
      </c>
      <c r="DQ35" s="1523">
        <f>$E35*(DQ5=차입금상환!$D$6)</f>
        <v>0</v>
      </c>
      <c r="DR35" s="1524">
        <f>$E35*(DR5=차입금상환!$D$6)</f>
        <v>0</v>
      </c>
      <c r="DS35" s="1522">
        <f>$E35*(DS5=차입금상환!$D$6)</f>
        <v>0</v>
      </c>
      <c r="DT35" s="1523">
        <f>$E35*(DT5=차입금상환!$D$6)</f>
        <v>0</v>
      </c>
      <c r="DU35" s="1523">
        <f>$E35*(DU5=차입금상환!$D$6)</f>
        <v>0</v>
      </c>
      <c r="DV35" s="1524">
        <f>$E35*(DV5=차입금상환!$D$6)</f>
        <v>0</v>
      </c>
      <c r="DW35" s="1522">
        <f>$E35*(DW5=차입금상환!$D$6)</f>
        <v>0</v>
      </c>
      <c r="DX35" s="1523">
        <f>$E35*(DX5=차입금상환!$D$6)</f>
        <v>0</v>
      </c>
      <c r="DY35" s="1523">
        <f>$E35*(DY5=차입금상환!$D$6)</f>
        <v>0</v>
      </c>
      <c r="DZ35" s="1524">
        <f>$E35*(DZ5=차입금상환!$D$6)</f>
        <v>0</v>
      </c>
      <c r="EA35" s="1522">
        <f>$E35*(EA5=차입금상환!$D$6)</f>
        <v>0</v>
      </c>
      <c r="EB35" s="1523">
        <f>$E35*(EB5=차입금상환!$D$6)</f>
        <v>0</v>
      </c>
      <c r="EC35" s="1523">
        <f>$E35*(EC5=차입금상환!$D$6)</f>
        <v>0</v>
      </c>
      <c r="ED35" s="1524">
        <f>$E35*(ED5=차입금상환!$D$6)</f>
        <v>0</v>
      </c>
      <c r="EE35" s="1522">
        <f>$E35*(EE5=차입금상환!$D$6)</f>
        <v>0</v>
      </c>
      <c r="EF35" s="1523">
        <f>$E35*(EF5=차입금상환!$D$6)</f>
        <v>0</v>
      </c>
      <c r="EG35" s="1523">
        <f>$E35*(EG5=차입금상환!$D$6)</f>
        <v>0</v>
      </c>
      <c r="EH35" s="1524">
        <f>$E35*(EH5=차입금상환!$D$6)</f>
        <v>0</v>
      </c>
      <c r="EI35" s="1522">
        <f>$E35*(EI5=차입금상환!$D$6)</f>
        <v>0</v>
      </c>
      <c r="EJ35" s="1523">
        <f>$E35*(EJ5=차입금상환!$D$6)</f>
        <v>0</v>
      </c>
      <c r="EK35" s="1523">
        <f>$E35*(EK5=차입금상환!$D$6)</f>
        <v>0</v>
      </c>
      <c r="EL35" s="1524">
        <f>$E35*(EL5=차입금상환!$D$6)</f>
        <v>0</v>
      </c>
      <c r="EM35" s="1522">
        <f>$E35*(EM5=차입금상환!$D$6)</f>
        <v>0</v>
      </c>
      <c r="EN35" s="1523">
        <f>$E35*(EN5=차입금상환!$D$6)</f>
        <v>0</v>
      </c>
      <c r="EO35" s="1523">
        <f>$E35*(EO5=차입금상환!$D$6)</f>
        <v>0</v>
      </c>
      <c r="EP35" s="1524">
        <f>$E35*(EP5=차입금상환!$D$6)</f>
        <v>0</v>
      </c>
      <c r="EQ35" s="1522">
        <f>$E35*(EQ5=차입금상환!$D$6)</f>
        <v>0</v>
      </c>
      <c r="ER35" s="1523">
        <f>$E35*(ER5=차입금상환!$D$6)</f>
        <v>0</v>
      </c>
      <c r="ES35" s="1523">
        <f>$E35*(ES5=차입금상환!$D$6)</f>
        <v>0</v>
      </c>
      <c r="ET35" s="1524">
        <f>$E35*(ET5=차입금상환!$D$6)</f>
        <v>0</v>
      </c>
      <c r="EU35" s="1522">
        <f>$E35*(EU5=차입금상환!$D$6)</f>
        <v>0</v>
      </c>
      <c r="EV35" s="1523">
        <f>$E35*(EV5=차입금상환!$D$6)</f>
        <v>0</v>
      </c>
      <c r="EW35" s="1523">
        <f>$E35*(EW5=차입금상환!$D$6)</f>
        <v>0</v>
      </c>
      <c r="EX35" s="1524">
        <f>$E35*(EX5=차입금상환!$D$6)</f>
        <v>0</v>
      </c>
      <c r="EY35" s="1522">
        <f>$E35*(EY5=차입금상환!$D$6)</f>
        <v>0</v>
      </c>
      <c r="EZ35" s="1523">
        <f>$E35*(EZ5=차입금상환!$D$6)</f>
        <v>0</v>
      </c>
      <c r="FA35" s="1523">
        <f>$E35*(FA5=차입금상환!$D$6)</f>
        <v>0</v>
      </c>
      <c r="FB35" s="1524">
        <f>$E35*(FB5=차입금상환!$D$6)</f>
        <v>0</v>
      </c>
      <c r="FC35" s="1522">
        <f>$E35*(FC5=차입금상환!$D$6)</f>
        <v>0</v>
      </c>
      <c r="FD35" s="1523">
        <f>$E35*(FD5=차입금상환!$D$6)</f>
        <v>0</v>
      </c>
      <c r="FE35" s="1523">
        <f>$E35*(FE5=차입금상환!$D$6)</f>
        <v>0</v>
      </c>
      <c r="FF35" s="1524">
        <f>$E35*(FF5=차입금상환!$D$6)</f>
        <v>0</v>
      </c>
      <c r="FG35" s="1522">
        <f>$E35*(FG5=차입금상환!$D$6)</f>
        <v>0</v>
      </c>
      <c r="FH35" s="1523">
        <f>$E35*(FH5=차입금상환!$D$6)</f>
        <v>0</v>
      </c>
      <c r="FI35" s="1523">
        <f>$E35*(FI5=차입금상환!$D$6)</f>
        <v>0</v>
      </c>
      <c r="FJ35" s="1524">
        <f>$E35*(FJ5=차입금상환!$D$6)</f>
        <v>0</v>
      </c>
      <c r="FK35" s="1522">
        <f>$E35*(FK5=차입금상환!$D$6)</f>
        <v>0</v>
      </c>
      <c r="FL35" s="1523">
        <f>$E35*(FL5=차입금상환!$D$6)</f>
        <v>0</v>
      </c>
      <c r="FM35" s="1523">
        <f>$E35*(FM5=차입금상환!$D$6)</f>
        <v>0</v>
      </c>
      <c r="FN35" s="1524">
        <f>$E35*(FN5=차입금상환!$D$6)</f>
        <v>0</v>
      </c>
      <c r="FO35" s="1522">
        <f>$E35*(FO5=차입금상환!$D$6)</f>
        <v>0</v>
      </c>
      <c r="FP35" s="1523">
        <f>$E35*(FP5=차입금상환!$D$6)</f>
        <v>0</v>
      </c>
      <c r="FQ35" s="1523">
        <f>$E35*(FQ5=차입금상환!$D$6)</f>
        <v>0</v>
      </c>
      <c r="FR35" s="1524">
        <f>$E35*(FR5=차입금상환!$D$6)</f>
        <v>0</v>
      </c>
      <c r="FS35" s="1522">
        <f>$E35*(FS5=차입금상환!$D$6)</f>
        <v>0</v>
      </c>
      <c r="FT35" s="1523">
        <f>$E35*(FT5=차입금상환!$D$6)</f>
        <v>0</v>
      </c>
      <c r="FU35" s="1523">
        <f>$E35*(FU5=차입금상환!$D$6)</f>
        <v>0</v>
      </c>
      <c r="FV35" s="1524">
        <f>$E35*(FV5=차입금상환!$D$6)</f>
        <v>0</v>
      </c>
      <c r="FW35" s="1522">
        <f>$E35*(FW5=차입금상환!$D$6)</f>
        <v>0</v>
      </c>
      <c r="FX35" s="1523">
        <f>$E35*(FX5=차입금상환!$D$6)</f>
        <v>0</v>
      </c>
      <c r="FY35" s="1523">
        <f>$E35*(FY5=차입금상환!$D$6)</f>
        <v>0</v>
      </c>
      <c r="FZ35" s="1524">
        <f>$E35*(FZ5=차입금상환!$D$6)</f>
        <v>0</v>
      </c>
      <c r="GA35" s="1522">
        <f>$E35*(GA5=차입금상환!$D$6)</f>
        <v>0</v>
      </c>
      <c r="GB35" s="1523">
        <f>$E35*(GB5=차입금상환!$D$6)</f>
        <v>0</v>
      </c>
      <c r="GC35" s="1523">
        <f>$E35*(GC5=차입금상환!$D$6)</f>
        <v>0</v>
      </c>
      <c r="GD35" s="1524">
        <f>$E35*(GD5=차입금상환!$D$6)</f>
        <v>0</v>
      </c>
      <c r="GE35" s="1508">
        <f>$E35*(GE5=차입금상환!$D$6)</f>
        <v>0</v>
      </c>
      <c r="GF35" s="1509"/>
      <c r="GG35" s="1509"/>
      <c r="GH35" s="1509"/>
      <c r="GI35" s="1509"/>
      <c r="GJ35" s="1509"/>
      <c r="GK35" s="1509"/>
      <c r="GL35" s="1509"/>
      <c r="GM35" s="1509"/>
      <c r="GN35" s="1509"/>
      <c r="GO35" s="1509"/>
      <c r="GP35" s="1509"/>
      <c r="GQ35" s="1509"/>
      <c r="GR35" s="1509"/>
      <c r="GS35" s="1509"/>
      <c r="GT35" s="1509"/>
    </row>
    <row r="36" spans="2:202" s="4924" customFormat="1" ht="17.100000000000001" customHeight="1" outlineLevel="1">
      <c r="B36" s="5017"/>
      <c r="C36" s="5046" t="s">
        <v>1315</v>
      </c>
      <c r="D36" s="5047"/>
      <c r="E36" s="727" t="s">
        <v>1316</v>
      </c>
      <c r="F36" s="1517">
        <f t="shared" si="11"/>
        <v>0</v>
      </c>
      <c r="G36" s="5048"/>
      <c r="H36" s="5048"/>
      <c r="I36" s="5048"/>
      <c r="J36" s="5048"/>
      <c r="K36" s="5048"/>
      <c r="L36" s="5048"/>
      <c r="M36" s="5048"/>
      <c r="N36" s="5048"/>
      <c r="O36" s="5048"/>
      <c r="P36" s="5048"/>
      <c r="Q36" s="5048"/>
      <c r="R36" s="5048"/>
      <c r="S36" s="5048"/>
      <c r="T36" s="5048"/>
      <c r="U36" s="5048"/>
      <c r="V36" s="5048"/>
      <c r="W36" s="917"/>
      <c r="X36" s="918"/>
      <c r="Y36" s="918"/>
      <c r="Z36" s="919"/>
      <c r="AA36" s="917"/>
      <c r="AB36" s="918"/>
      <c r="AC36" s="918"/>
      <c r="AD36" s="919"/>
      <c r="AE36" s="1522">
        <f>차입금상환!P39</f>
        <v>0</v>
      </c>
      <c r="AF36" s="1523">
        <f>차입금상환!Q39</f>
        <v>0</v>
      </c>
      <c r="AG36" s="1523">
        <f>차입금상환!R39</f>
        <v>0</v>
      </c>
      <c r="AH36" s="1524">
        <f>차입금상환!S39</f>
        <v>0</v>
      </c>
      <c r="AI36" s="1522">
        <f>차입금상환!T39</f>
        <v>0</v>
      </c>
      <c r="AJ36" s="1523">
        <f>차입금상환!U39</f>
        <v>0</v>
      </c>
      <c r="AK36" s="1523">
        <f>차입금상환!V39</f>
        <v>0</v>
      </c>
      <c r="AL36" s="1524">
        <f>차입금상환!W39</f>
        <v>0</v>
      </c>
      <c r="AM36" s="1522">
        <f>차입금상환!X39</f>
        <v>0</v>
      </c>
      <c r="AN36" s="1523">
        <f>차입금상환!Y39</f>
        <v>0</v>
      </c>
      <c r="AO36" s="1523">
        <f>차입금상환!Z39</f>
        <v>0</v>
      </c>
      <c r="AP36" s="1524">
        <f>차입금상환!AA39</f>
        <v>0</v>
      </c>
      <c r="AQ36" s="1522">
        <f>차입금상환!AB39</f>
        <v>0</v>
      </c>
      <c r="AR36" s="1523">
        <f>차입금상환!AC39</f>
        <v>0</v>
      </c>
      <c r="AS36" s="1523">
        <f>차입금상환!AD39</f>
        <v>0</v>
      </c>
      <c r="AT36" s="1524">
        <f>차입금상환!AE39</f>
        <v>0</v>
      </c>
      <c r="AU36" s="1522">
        <f>차입금상환!AF39</f>
        <v>0</v>
      </c>
      <c r="AV36" s="1523">
        <f>차입금상환!AG39</f>
        <v>0</v>
      </c>
      <c r="AW36" s="1523">
        <f>차입금상환!AH39</f>
        <v>0</v>
      </c>
      <c r="AX36" s="1524">
        <f>차입금상환!AI39</f>
        <v>0</v>
      </c>
      <c r="AY36" s="1522">
        <f>차입금상환!AJ39</f>
        <v>0</v>
      </c>
      <c r="AZ36" s="1523">
        <f>차입금상환!AK39</f>
        <v>0</v>
      </c>
      <c r="BA36" s="1523">
        <f>차입금상환!AL39</f>
        <v>0</v>
      </c>
      <c r="BB36" s="1524">
        <f>차입금상환!AM39</f>
        <v>0</v>
      </c>
      <c r="BC36" s="1522">
        <f>차입금상환!AN39</f>
        <v>0</v>
      </c>
      <c r="BD36" s="1523">
        <f>차입금상환!AO39</f>
        <v>0</v>
      </c>
      <c r="BE36" s="1523">
        <f>차입금상환!AP39</f>
        <v>0</v>
      </c>
      <c r="BF36" s="1524">
        <f>차입금상환!AQ39</f>
        <v>0</v>
      </c>
      <c r="BG36" s="1522">
        <f>차입금상환!AR39</f>
        <v>0</v>
      </c>
      <c r="BH36" s="1523">
        <f>차입금상환!AS39</f>
        <v>0</v>
      </c>
      <c r="BI36" s="1523">
        <f>차입금상환!AT39</f>
        <v>0</v>
      </c>
      <c r="BJ36" s="1524">
        <f>차입금상환!AU39</f>
        <v>0</v>
      </c>
      <c r="BK36" s="1522">
        <f>차입금상환!AV39</f>
        <v>0</v>
      </c>
      <c r="BL36" s="1523">
        <f>차입금상환!AW39</f>
        <v>0</v>
      </c>
      <c r="BM36" s="1523">
        <f>차입금상환!AX39</f>
        <v>0</v>
      </c>
      <c r="BN36" s="1524">
        <f>차입금상환!AY39</f>
        <v>0</v>
      </c>
      <c r="BO36" s="1522">
        <f>차입금상환!AZ39</f>
        <v>0</v>
      </c>
      <c r="BP36" s="1523">
        <f>차입금상환!BA39</f>
        <v>0</v>
      </c>
      <c r="BQ36" s="1523">
        <f>차입금상환!BB39</f>
        <v>0</v>
      </c>
      <c r="BR36" s="1524">
        <f>차입금상환!BC39</f>
        <v>0</v>
      </c>
      <c r="BS36" s="1522">
        <f>차입금상환!BD39</f>
        <v>0</v>
      </c>
      <c r="BT36" s="1523">
        <f>차입금상환!BE39</f>
        <v>0</v>
      </c>
      <c r="BU36" s="1523">
        <f>차입금상환!BF39</f>
        <v>0</v>
      </c>
      <c r="BV36" s="1524">
        <f>차입금상환!BG39</f>
        <v>0</v>
      </c>
      <c r="BW36" s="1522">
        <f>차입금상환!BH39</f>
        <v>0</v>
      </c>
      <c r="BX36" s="1523">
        <f>차입금상환!BI39</f>
        <v>0</v>
      </c>
      <c r="BY36" s="1523">
        <f>차입금상환!BJ39</f>
        <v>0</v>
      </c>
      <c r="BZ36" s="1524">
        <f>차입금상환!BK39</f>
        <v>0</v>
      </c>
      <c r="CA36" s="1522">
        <f>차입금상환!BL39</f>
        <v>0</v>
      </c>
      <c r="CB36" s="1523">
        <f>차입금상환!BM39</f>
        <v>0</v>
      </c>
      <c r="CC36" s="1523">
        <f>차입금상환!BN39</f>
        <v>0</v>
      </c>
      <c r="CD36" s="1524">
        <f>차입금상환!BO39</f>
        <v>0</v>
      </c>
      <c r="CE36" s="1522">
        <f>차입금상환!BP39</f>
        <v>0</v>
      </c>
      <c r="CF36" s="1523">
        <f>차입금상환!BQ39</f>
        <v>0</v>
      </c>
      <c r="CG36" s="1523">
        <f>차입금상환!BR39</f>
        <v>0</v>
      </c>
      <c r="CH36" s="1524">
        <f>차입금상환!BS39</f>
        <v>0</v>
      </c>
      <c r="CI36" s="1522">
        <f>차입금상환!BT39</f>
        <v>0</v>
      </c>
      <c r="CJ36" s="1523">
        <f>차입금상환!BU39</f>
        <v>0</v>
      </c>
      <c r="CK36" s="1523">
        <f>차입금상환!BV39</f>
        <v>0</v>
      </c>
      <c r="CL36" s="1524">
        <f>차입금상환!BW39</f>
        <v>0</v>
      </c>
      <c r="CM36" s="1522">
        <f>차입금상환!BX39</f>
        <v>0</v>
      </c>
      <c r="CN36" s="1523">
        <f>차입금상환!BY39</f>
        <v>0</v>
      </c>
      <c r="CO36" s="1523">
        <f>차입금상환!BZ39</f>
        <v>0</v>
      </c>
      <c r="CP36" s="1524">
        <f>차입금상환!CA39</f>
        <v>0</v>
      </c>
      <c r="CQ36" s="1522">
        <f>차입금상환!CB39</f>
        <v>0</v>
      </c>
      <c r="CR36" s="1523">
        <f>차입금상환!CC39</f>
        <v>0</v>
      </c>
      <c r="CS36" s="1523">
        <f>차입금상환!CD39</f>
        <v>0</v>
      </c>
      <c r="CT36" s="1524">
        <f>차입금상환!CE39</f>
        <v>0</v>
      </c>
      <c r="CU36" s="1522">
        <f>차입금상환!CF39</f>
        <v>0</v>
      </c>
      <c r="CV36" s="1523">
        <f>차입금상환!CG39</f>
        <v>0</v>
      </c>
      <c r="CW36" s="1523">
        <f>차입금상환!CH39</f>
        <v>0</v>
      </c>
      <c r="CX36" s="1524">
        <f>차입금상환!CI39</f>
        <v>0</v>
      </c>
      <c r="CY36" s="1522">
        <f>차입금상환!CJ39</f>
        <v>0</v>
      </c>
      <c r="CZ36" s="1523">
        <f>차입금상환!CK39</f>
        <v>0</v>
      </c>
      <c r="DA36" s="1523">
        <f>차입금상환!CL39</f>
        <v>0</v>
      </c>
      <c r="DB36" s="1524">
        <f>차입금상환!CM39</f>
        <v>0</v>
      </c>
      <c r="DC36" s="1522">
        <f>차입금상환!CN39</f>
        <v>0</v>
      </c>
      <c r="DD36" s="1523">
        <f>차입금상환!CO39</f>
        <v>0</v>
      </c>
      <c r="DE36" s="1523">
        <f>차입금상환!CP39</f>
        <v>0</v>
      </c>
      <c r="DF36" s="1524">
        <f>차입금상환!CQ39</f>
        <v>0</v>
      </c>
      <c r="DG36" s="1522">
        <f>차입금상환!CR39</f>
        <v>0</v>
      </c>
      <c r="DH36" s="1523">
        <f>차입금상환!CS39</f>
        <v>0</v>
      </c>
      <c r="DI36" s="1523">
        <f>차입금상환!CT39</f>
        <v>0</v>
      </c>
      <c r="DJ36" s="1524">
        <f>차입금상환!CU39</f>
        <v>0</v>
      </c>
      <c r="DK36" s="1522">
        <f>차입금상환!CV39</f>
        <v>0</v>
      </c>
      <c r="DL36" s="1523">
        <f>차입금상환!CW39</f>
        <v>0</v>
      </c>
      <c r="DM36" s="1523">
        <f>차입금상환!CX39</f>
        <v>0</v>
      </c>
      <c r="DN36" s="1524">
        <f>차입금상환!CY39</f>
        <v>0</v>
      </c>
      <c r="DO36" s="1522">
        <f>차입금상환!CZ39</f>
        <v>0</v>
      </c>
      <c r="DP36" s="1523">
        <f>차입금상환!DA39</f>
        <v>0</v>
      </c>
      <c r="DQ36" s="1523">
        <f>차입금상환!DB39</f>
        <v>0</v>
      </c>
      <c r="DR36" s="1524">
        <f>차입금상환!DC39</f>
        <v>0</v>
      </c>
      <c r="DS36" s="1522">
        <f>차입금상환!DD39</f>
        <v>0</v>
      </c>
      <c r="DT36" s="1523">
        <f>차입금상환!DE39</f>
        <v>0</v>
      </c>
      <c r="DU36" s="1523">
        <f>차입금상환!DF39</f>
        <v>0</v>
      </c>
      <c r="DV36" s="1524">
        <f>차입금상환!DG39</f>
        <v>0</v>
      </c>
      <c r="DW36" s="1522">
        <f>차입금상환!DH39</f>
        <v>0</v>
      </c>
      <c r="DX36" s="1523">
        <f>차입금상환!DI39</f>
        <v>0</v>
      </c>
      <c r="DY36" s="1523">
        <f>차입금상환!DJ39</f>
        <v>0</v>
      </c>
      <c r="DZ36" s="1524">
        <f>차입금상환!DK39</f>
        <v>0</v>
      </c>
      <c r="EA36" s="1522">
        <f>차입금상환!DL39</f>
        <v>0</v>
      </c>
      <c r="EB36" s="1523">
        <f>차입금상환!DM39</f>
        <v>0</v>
      </c>
      <c r="EC36" s="1523">
        <f>차입금상환!DN39</f>
        <v>0</v>
      </c>
      <c r="ED36" s="1524">
        <f>차입금상환!DO39</f>
        <v>0</v>
      </c>
      <c r="EE36" s="1522">
        <f>차입금상환!DP39</f>
        <v>0</v>
      </c>
      <c r="EF36" s="1523">
        <f>차입금상환!DQ39</f>
        <v>0</v>
      </c>
      <c r="EG36" s="1523">
        <f>차입금상환!DR39</f>
        <v>0</v>
      </c>
      <c r="EH36" s="1524">
        <f>차입금상환!DS39</f>
        <v>0</v>
      </c>
      <c r="EI36" s="1522">
        <f>차입금상환!DT39</f>
        <v>0</v>
      </c>
      <c r="EJ36" s="1523">
        <f>차입금상환!DU39</f>
        <v>0</v>
      </c>
      <c r="EK36" s="1523">
        <f>차입금상환!DV39</f>
        <v>0</v>
      </c>
      <c r="EL36" s="1524">
        <f>차입금상환!DW39</f>
        <v>0</v>
      </c>
      <c r="EM36" s="1522">
        <f>차입금상환!DX39</f>
        <v>0</v>
      </c>
      <c r="EN36" s="1523">
        <f>차입금상환!DY39</f>
        <v>0</v>
      </c>
      <c r="EO36" s="1523">
        <f>차입금상환!DZ39</f>
        <v>0</v>
      </c>
      <c r="EP36" s="1524">
        <f>차입금상환!EA39</f>
        <v>0</v>
      </c>
      <c r="EQ36" s="1522">
        <f>차입금상환!EB39</f>
        <v>0</v>
      </c>
      <c r="ER36" s="1523">
        <f>차입금상환!EC39</f>
        <v>0</v>
      </c>
      <c r="ES36" s="1523">
        <f>차입금상환!ED39</f>
        <v>0</v>
      </c>
      <c r="ET36" s="1524">
        <f>차입금상환!EE39</f>
        <v>0</v>
      </c>
      <c r="EU36" s="1522">
        <f>차입금상환!EF39</f>
        <v>0</v>
      </c>
      <c r="EV36" s="1523">
        <f>차입금상환!EG39</f>
        <v>0</v>
      </c>
      <c r="EW36" s="1523">
        <f>차입금상환!EH39</f>
        <v>0</v>
      </c>
      <c r="EX36" s="1524">
        <f>차입금상환!EI39</f>
        <v>0</v>
      </c>
      <c r="EY36" s="1522">
        <f>차입금상환!EJ39</f>
        <v>0</v>
      </c>
      <c r="EZ36" s="1523">
        <f>차입금상환!EK39</f>
        <v>0</v>
      </c>
      <c r="FA36" s="1523">
        <f>차입금상환!EL39</f>
        <v>0</v>
      </c>
      <c r="FB36" s="1524">
        <f>차입금상환!EM39</f>
        <v>0</v>
      </c>
      <c r="FC36" s="1522">
        <f>차입금상환!EN39</f>
        <v>0</v>
      </c>
      <c r="FD36" s="1523">
        <f>차입금상환!EO39</f>
        <v>0</v>
      </c>
      <c r="FE36" s="1523">
        <f>차입금상환!EP39</f>
        <v>0</v>
      </c>
      <c r="FF36" s="1524">
        <f>차입금상환!EQ39</f>
        <v>0</v>
      </c>
      <c r="FG36" s="1522">
        <f>차입금상환!ER39</f>
        <v>0</v>
      </c>
      <c r="FH36" s="1523">
        <f>차입금상환!ES39</f>
        <v>0</v>
      </c>
      <c r="FI36" s="1523">
        <f>차입금상환!ET39</f>
        <v>0</v>
      </c>
      <c r="FJ36" s="1524">
        <f>차입금상환!EU39</f>
        <v>0</v>
      </c>
      <c r="FK36" s="1522">
        <f>차입금상환!EV39</f>
        <v>0</v>
      </c>
      <c r="FL36" s="1523">
        <f>차입금상환!EW39</f>
        <v>0</v>
      </c>
      <c r="FM36" s="1523">
        <f>차입금상환!EX39</f>
        <v>0</v>
      </c>
      <c r="FN36" s="1524">
        <f>차입금상환!EY39</f>
        <v>0</v>
      </c>
      <c r="FO36" s="1522">
        <f>차입금상환!EZ39</f>
        <v>0</v>
      </c>
      <c r="FP36" s="1523">
        <f>차입금상환!FA39</f>
        <v>0</v>
      </c>
      <c r="FQ36" s="1523">
        <f>차입금상환!FB39</f>
        <v>0</v>
      </c>
      <c r="FR36" s="1524">
        <f>차입금상환!FC39</f>
        <v>0</v>
      </c>
      <c r="FS36" s="1522">
        <f>차입금상환!FD39</f>
        <v>0</v>
      </c>
      <c r="FT36" s="1523">
        <f>차입금상환!FE39</f>
        <v>0</v>
      </c>
      <c r="FU36" s="1523">
        <f>차입금상환!FF39</f>
        <v>0</v>
      </c>
      <c r="FV36" s="1524">
        <f>차입금상환!FG39</f>
        <v>0</v>
      </c>
      <c r="FW36" s="1522">
        <f>차입금상환!FH39</f>
        <v>0</v>
      </c>
      <c r="FX36" s="1523">
        <f>차입금상환!FI39</f>
        <v>0</v>
      </c>
      <c r="FY36" s="1523">
        <f>차입금상환!FJ39</f>
        <v>0</v>
      </c>
      <c r="FZ36" s="1524">
        <f>차입금상환!FK39</f>
        <v>0</v>
      </c>
      <c r="GA36" s="1522">
        <f>차입금상환!FL39</f>
        <v>0</v>
      </c>
      <c r="GB36" s="1523">
        <f>차입금상환!FM39</f>
        <v>0</v>
      </c>
      <c r="GC36" s="1523">
        <f>차입금상환!FN39</f>
        <v>0</v>
      </c>
      <c r="GD36" s="1524">
        <f>차입금상환!FO39</f>
        <v>0</v>
      </c>
      <c r="GE36" s="1508"/>
      <c r="GF36" s="1509"/>
      <c r="GG36" s="1509"/>
      <c r="GH36" s="1509"/>
      <c r="GI36" s="1509"/>
      <c r="GJ36" s="1509"/>
      <c r="GK36" s="1509"/>
      <c r="GL36" s="1509"/>
      <c r="GM36" s="1509"/>
      <c r="GN36" s="1509"/>
      <c r="GO36" s="1509"/>
      <c r="GP36" s="1509"/>
      <c r="GQ36" s="1509"/>
      <c r="GR36" s="1509"/>
      <c r="GS36" s="1509"/>
      <c r="GT36" s="1509"/>
    </row>
    <row r="37" spans="2:202" s="4924" customFormat="1" ht="17.100000000000001" customHeight="1" outlineLevel="1">
      <c r="B37" s="5017"/>
      <c r="C37" s="5046" t="s">
        <v>1317</v>
      </c>
      <c r="D37" s="5047"/>
      <c r="E37" s="727"/>
      <c r="F37" s="1517">
        <f t="shared" ca="1" si="11"/>
        <v>0</v>
      </c>
      <c r="G37" s="5048"/>
      <c r="H37" s="5048"/>
      <c r="I37" s="5048"/>
      <c r="J37" s="5048"/>
      <c r="K37" s="5048"/>
      <c r="L37" s="5048"/>
      <c r="M37" s="5048"/>
      <c r="N37" s="5048"/>
      <c r="O37" s="5048"/>
      <c r="P37" s="5048"/>
      <c r="Q37" s="5048"/>
      <c r="R37" s="5048"/>
      <c r="S37" s="5048"/>
      <c r="T37" s="5048"/>
      <c r="U37" s="5048"/>
      <c r="V37" s="5048"/>
      <c r="W37" s="917">
        <f ca="1">Waterfall!G29</f>
        <v>0</v>
      </c>
      <c r="X37" s="918">
        <f ca="1">Waterfall!H29</f>
        <v>0</v>
      </c>
      <c r="Y37" s="918">
        <f ca="1">Waterfall!I29</f>
        <v>0</v>
      </c>
      <c r="Z37" s="1206">
        <f ca="1">Waterfall!J29</f>
        <v>0</v>
      </c>
      <c r="AA37" s="917">
        <f ca="1">Waterfall!K29</f>
        <v>0</v>
      </c>
      <c r="AB37" s="918">
        <f ca="1">Waterfall!L29</f>
        <v>0</v>
      </c>
      <c r="AC37" s="918">
        <f ca="1">Waterfall!M29</f>
        <v>0</v>
      </c>
      <c r="AD37" s="919">
        <f ca="1">Waterfall!N29</f>
        <v>0</v>
      </c>
      <c r="AE37" s="1522">
        <f ca="1">Waterfall!O29</f>
        <v>0</v>
      </c>
      <c r="AF37" s="1523">
        <f ca="1">Waterfall!P29</f>
        <v>0</v>
      </c>
      <c r="AG37" s="1523">
        <f ca="1">Waterfall!Q29</f>
        <v>0</v>
      </c>
      <c r="AH37" s="1524">
        <f ca="1">Waterfall!R29</f>
        <v>0</v>
      </c>
      <c r="AI37" s="1522">
        <f ca="1">Waterfall!S29</f>
        <v>0</v>
      </c>
      <c r="AJ37" s="1523">
        <f ca="1">Waterfall!T29</f>
        <v>0</v>
      </c>
      <c r="AK37" s="1523">
        <f ca="1">Waterfall!U29</f>
        <v>0</v>
      </c>
      <c r="AL37" s="1524">
        <f ca="1">Waterfall!V29</f>
        <v>0</v>
      </c>
      <c r="AM37" s="1522">
        <f ca="1">Waterfall!W29</f>
        <v>0</v>
      </c>
      <c r="AN37" s="1523">
        <f ca="1">Waterfall!X29</f>
        <v>0</v>
      </c>
      <c r="AO37" s="1523">
        <f ca="1">Waterfall!Y29</f>
        <v>0</v>
      </c>
      <c r="AP37" s="1524">
        <f ca="1">Waterfall!Z29</f>
        <v>0</v>
      </c>
      <c r="AQ37" s="1522">
        <f ca="1">Waterfall!AA29</f>
        <v>0</v>
      </c>
      <c r="AR37" s="1523">
        <f ca="1">Waterfall!AB29</f>
        <v>0</v>
      </c>
      <c r="AS37" s="1523">
        <f ca="1">Waterfall!AC29</f>
        <v>0</v>
      </c>
      <c r="AT37" s="1524">
        <f ca="1">Waterfall!AD29</f>
        <v>0</v>
      </c>
      <c r="AU37" s="1522">
        <f ca="1">Waterfall!AE29</f>
        <v>0</v>
      </c>
      <c r="AV37" s="1523">
        <f ca="1">Waterfall!AF29</f>
        <v>0</v>
      </c>
      <c r="AW37" s="1523">
        <f ca="1">Waterfall!AG29</f>
        <v>0</v>
      </c>
      <c r="AX37" s="1524">
        <f ca="1">Waterfall!AH29</f>
        <v>0</v>
      </c>
      <c r="AY37" s="1522">
        <f ca="1">Waterfall!AI29</f>
        <v>0</v>
      </c>
      <c r="AZ37" s="1523">
        <f ca="1">Waterfall!AJ29</f>
        <v>0</v>
      </c>
      <c r="BA37" s="1523">
        <f ca="1">Waterfall!AK29</f>
        <v>0</v>
      </c>
      <c r="BB37" s="1524">
        <f ca="1">Waterfall!AL29</f>
        <v>0</v>
      </c>
      <c r="BC37" s="1522">
        <f ca="1">Waterfall!AM29</f>
        <v>0</v>
      </c>
      <c r="BD37" s="1523">
        <f ca="1">Waterfall!AN29</f>
        <v>0</v>
      </c>
      <c r="BE37" s="1523">
        <f ca="1">Waterfall!AO29</f>
        <v>0</v>
      </c>
      <c r="BF37" s="1524">
        <f ca="1">Waterfall!AP29</f>
        <v>0</v>
      </c>
      <c r="BG37" s="1522">
        <f ca="1">Waterfall!AQ29</f>
        <v>0</v>
      </c>
      <c r="BH37" s="1523">
        <f ca="1">Waterfall!AR29</f>
        <v>0</v>
      </c>
      <c r="BI37" s="1523">
        <f ca="1">Waterfall!AS29</f>
        <v>0</v>
      </c>
      <c r="BJ37" s="1524">
        <f ca="1">Waterfall!AT29</f>
        <v>0</v>
      </c>
      <c r="BK37" s="1522">
        <f ca="1">Waterfall!AU29</f>
        <v>0</v>
      </c>
      <c r="BL37" s="1523">
        <f ca="1">Waterfall!AV29</f>
        <v>0</v>
      </c>
      <c r="BM37" s="1523">
        <f ca="1">Waterfall!AW29</f>
        <v>0</v>
      </c>
      <c r="BN37" s="1524">
        <f ca="1">Waterfall!AX29</f>
        <v>0</v>
      </c>
      <c r="BO37" s="1522">
        <f ca="1">Waterfall!AY29</f>
        <v>0</v>
      </c>
      <c r="BP37" s="1523">
        <f ca="1">Waterfall!AZ29</f>
        <v>0</v>
      </c>
      <c r="BQ37" s="1523">
        <f ca="1">Waterfall!BA29</f>
        <v>0</v>
      </c>
      <c r="BR37" s="1524">
        <f ca="1">Waterfall!BB29</f>
        <v>0</v>
      </c>
      <c r="BS37" s="1522">
        <f ca="1">Waterfall!BC29</f>
        <v>0</v>
      </c>
      <c r="BT37" s="1523">
        <f ca="1">Waterfall!BD29</f>
        <v>0</v>
      </c>
      <c r="BU37" s="1523">
        <f ca="1">Waterfall!BE29</f>
        <v>0</v>
      </c>
      <c r="BV37" s="1524">
        <f ca="1">Waterfall!BF29</f>
        <v>0</v>
      </c>
      <c r="BW37" s="1522">
        <f ca="1">Waterfall!BG29</f>
        <v>0</v>
      </c>
      <c r="BX37" s="1523">
        <f ca="1">Waterfall!BH29</f>
        <v>0</v>
      </c>
      <c r="BY37" s="1523">
        <f ca="1">Waterfall!BI29</f>
        <v>0</v>
      </c>
      <c r="BZ37" s="1524">
        <f ca="1">Waterfall!BJ29</f>
        <v>0</v>
      </c>
      <c r="CA37" s="1522">
        <f ca="1">Waterfall!BK29</f>
        <v>0</v>
      </c>
      <c r="CB37" s="1523">
        <f ca="1">Waterfall!BL29</f>
        <v>0</v>
      </c>
      <c r="CC37" s="1523">
        <f ca="1">Waterfall!BM29</f>
        <v>0</v>
      </c>
      <c r="CD37" s="1524">
        <f ca="1">Waterfall!BN29</f>
        <v>0</v>
      </c>
      <c r="CE37" s="1522">
        <f ca="1">Waterfall!BO29</f>
        <v>0</v>
      </c>
      <c r="CF37" s="1523">
        <f ca="1">Waterfall!BP29</f>
        <v>0</v>
      </c>
      <c r="CG37" s="1523">
        <f ca="1">Waterfall!BQ29</f>
        <v>0</v>
      </c>
      <c r="CH37" s="1524">
        <f ca="1">Waterfall!BR29</f>
        <v>0</v>
      </c>
      <c r="CI37" s="1522">
        <f ca="1">Waterfall!BS29</f>
        <v>0</v>
      </c>
      <c r="CJ37" s="1523">
        <f ca="1">Waterfall!BT29</f>
        <v>0</v>
      </c>
      <c r="CK37" s="1523">
        <f ca="1">Waterfall!BU29</f>
        <v>0</v>
      </c>
      <c r="CL37" s="1524">
        <f ca="1">Waterfall!BV29</f>
        <v>0</v>
      </c>
      <c r="CM37" s="1522">
        <f ca="1">Waterfall!BW29</f>
        <v>0</v>
      </c>
      <c r="CN37" s="1523">
        <f ca="1">Waterfall!BX29</f>
        <v>0</v>
      </c>
      <c r="CO37" s="1523">
        <f ca="1">Waterfall!BY29</f>
        <v>0</v>
      </c>
      <c r="CP37" s="1524">
        <f ca="1">Waterfall!BZ29</f>
        <v>0</v>
      </c>
      <c r="CQ37" s="1522">
        <f ca="1">Waterfall!CA29</f>
        <v>0</v>
      </c>
      <c r="CR37" s="1523">
        <f ca="1">Waterfall!CB29</f>
        <v>0</v>
      </c>
      <c r="CS37" s="1523">
        <f ca="1">Waterfall!CC29</f>
        <v>0</v>
      </c>
      <c r="CT37" s="1524">
        <f ca="1">Waterfall!CD29</f>
        <v>0</v>
      </c>
      <c r="CU37" s="1522">
        <f ca="1">Waterfall!CE29</f>
        <v>0</v>
      </c>
      <c r="CV37" s="1523">
        <f ca="1">Waterfall!CF29</f>
        <v>0</v>
      </c>
      <c r="CW37" s="1523">
        <f ca="1">Waterfall!CG29</f>
        <v>0</v>
      </c>
      <c r="CX37" s="1524">
        <f ca="1">Waterfall!CH29</f>
        <v>0</v>
      </c>
      <c r="CY37" s="1522">
        <f ca="1">Waterfall!CI29</f>
        <v>0</v>
      </c>
      <c r="CZ37" s="1523">
        <f ca="1">Waterfall!CJ29</f>
        <v>0</v>
      </c>
      <c r="DA37" s="1523">
        <f ca="1">Waterfall!CK29</f>
        <v>0</v>
      </c>
      <c r="DB37" s="1524">
        <f ca="1">Waterfall!CL29</f>
        <v>0</v>
      </c>
      <c r="DC37" s="1522">
        <f ca="1">Waterfall!CM29</f>
        <v>0</v>
      </c>
      <c r="DD37" s="1523">
        <f ca="1">Waterfall!CN29</f>
        <v>0</v>
      </c>
      <c r="DE37" s="1523">
        <f ca="1">Waterfall!CO29</f>
        <v>0</v>
      </c>
      <c r="DF37" s="1524">
        <f ca="1">Waterfall!CP29</f>
        <v>0</v>
      </c>
      <c r="DG37" s="1522">
        <f ca="1">Waterfall!CQ29</f>
        <v>0</v>
      </c>
      <c r="DH37" s="1523">
        <f ca="1">Waterfall!CR29</f>
        <v>0</v>
      </c>
      <c r="DI37" s="1523">
        <f ca="1">Waterfall!CS29</f>
        <v>0</v>
      </c>
      <c r="DJ37" s="1524">
        <f ca="1">Waterfall!CT29</f>
        <v>0</v>
      </c>
      <c r="DK37" s="1522">
        <f ca="1">Waterfall!CU29</f>
        <v>0</v>
      </c>
      <c r="DL37" s="1523">
        <f ca="1">Waterfall!CV29</f>
        <v>0</v>
      </c>
      <c r="DM37" s="1523">
        <f ca="1">Waterfall!CW29</f>
        <v>0</v>
      </c>
      <c r="DN37" s="1524">
        <f ca="1">Waterfall!CX29</f>
        <v>0</v>
      </c>
      <c r="DO37" s="1522">
        <f ca="1">Waterfall!CY29</f>
        <v>0</v>
      </c>
      <c r="DP37" s="1523">
        <f ca="1">Waterfall!CZ29</f>
        <v>0</v>
      </c>
      <c r="DQ37" s="1523">
        <f ca="1">Waterfall!DA29</f>
        <v>0</v>
      </c>
      <c r="DR37" s="1524">
        <f ca="1">Waterfall!DB29</f>
        <v>0</v>
      </c>
      <c r="DS37" s="1522">
        <f ca="1">Waterfall!DC29</f>
        <v>0</v>
      </c>
      <c r="DT37" s="1523">
        <f ca="1">Waterfall!DD29</f>
        <v>0</v>
      </c>
      <c r="DU37" s="1523">
        <f ca="1">Waterfall!DE29</f>
        <v>0</v>
      </c>
      <c r="DV37" s="1524">
        <f ca="1">Waterfall!DF29</f>
        <v>0</v>
      </c>
      <c r="DW37" s="1522">
        <f ca="1">Waterfall!DG29</f>
        <v>0</v>
      </c>
      <c r="DX37" s="1523">
        <f ca="1">Waterfall!DH29</f>
        <v>0</v>
      </c>
      <c r="DY37" s="1523">
        <f ca="1">Waterfall!DI29</f>
        <v>0</v>
      </c>
      <c r="DZ37" s="1524">
        <f ca="1">Waterfall!DJ29</f>
        <v>0</v>
      </c>
      <c r="EA37" s="1522">
        <f ca="1">Waterfall!DK29</f>
        <v>0</v>
      </c>
      <c r="EB37" s="1523">
        <f ca="1">Waterfall!DL29</f>
        <v>0</v>
      </c>
      <c r="EC37" s="1523">
        <f ca="1">Waterfall!DM29</f>
        <v>0</v>
      </c>
      <c r="ED37" s="1524">
        <f ca="1">Waterfall!DN29</f>
        <v>0</v>
      </c>
      <c r="EE37" s="1522">
        <f ca="1">Waterfall!DO29</f>
        <v>0</v>
      </c>
      <c r="EF37" s="1523">
        <f ca="1">Waterfall!DP29</f>
        <v>0</v>
      </c>
      <c r="EG37" s="1523">
        <f ca="1">Waterfall!DQ29</f>
        <v>0</v>
      </c>
      <c r="EH37" s="1524">
        <f ca="1">Waterfall!DR29</f>
        <v>0</v>
      </c>
      <c r="EI37" s="1522">
        <f ca="1">Waterfall!DS29</f>
        <v>0</v>
      </c>
      <c r="EJ37" s="1523">
        <f ca="1">Waterfall!DT29</f>
        <v>0</v>
      </c>
      <c r="EK37" s="1523">
        <f ca="1">Waterfall!DU29</f>
        <v>0</v>
      </c>
      <c r="EL37" s="1524">
        <f ca="1">Waterfall!DV29</f>
        <v>0</v>
      </c>
      <c r="EM37" s="1522">
        <f ca="1">Waterfall!DW29</f>
        <v>0</v>
      </c>
      <c r="EN37" s="1523">
        <f ca="1">Waterfall!DX29</f>
        <v>0</v>
      </c>
      <c r="EO37" s="1523">
        <f ca="1">Waterfall!DY29</f>
        <v>0</v>
      </c>
      <c r="EP37" s="1524">
        <f ca="1">Waterfall!DZ29</f>
        <v>0</v>
      </c>
      <c r="EQ37" s="1522">
        <f ca="1">Waterfall!EA29</f>
        <v>0</v>
      </c>
      <c r="ER37" s="1523">
        <f ca="1">Waterfall!EB29</f>
        <v>0</v>
      </c>
      <c r="ES37" s="1523">
        <f ca="1">Waterfall!EC29</f>
        <v>0</v>
      </c>
      <c r="ET37" s="1524">
        <f ca="1">Waterfall!ED29</f>
        <v>0</v>
      </c>
      <c r="EU37" s="1522">
        <f ca="1">Waterfall!EE29</f>
        <v>0</v>
      </c>
      <c r="EV37" s="1523">
        <f ca="1">Waterfall!EF29</f>
        <v>0</v>
      </c>
      <c r="EW37" s="1523">
        <f ca="1">Waterfall!EG29</f>
        <v>0</v>
      </c>
      <c r="EX37" s="1524">
        <f ca="1">Waterfall!EH29</f>
        <v>0</v>
      </c>
      <c r="EY37" s="1522">
        <f ca="1">Waterfall!EI29</f>
        <v>0</v>
      </c>
      <c r="EZ37" s="1523">
        <f ca="1">Waterfall!EJ29</f>
        <v>0</v>
      </c>
      <c r="FA37" s="1523">
        <f ca="1">Waterfall!EK29</f>
        <v>0</v>
      </c>
      <c r="FB37" s="1524">
        <f ca="1">Waterfall!EL29</f>
        <v>0</v>
      </c>
      <c r="FC37" s="1522">
        <f ca="1">Waterfall!EM29</f>
        <v>0</v>
      </c>
      <c r="FD37" s="1523">
        <f ca="1">Waterfall!EN29</f>
        <v>0</v>
      </c>
      <c r="FE37" s="1523">
        <f ca="1">Waterfall!EO29</f>
        <v>0</v>
      </c>
      <c r="FF37" s="1524">
        <f ca="1">Waterfall!EP29</f>
        <v>0</v>
      </c>
      <c r="FG37" s="1522">
        <f ca="1">Waterfall!EQ29</f>
        <v>0</v>
      </c>
      <c r="FH37" s="1523">
        <f ca="1">Waterfall!ER29</f>
        <v>0</v>
      </c>
      <c r="FI37" s="1523">
        <f ca="1">Waterfall!ES29</f>
        <v>0</v>
      </c>
      <c r="FJ37" s="1524">
        <f ca="1">Waterfall!ET29</f>
        <v>0</v>
      </c>
      <c r="FK37" s="1522">
        <f ca="1">Waterfall!EU29</f>
        <v>0</v>
      </c>
      <c r="FL37" s="1523">
        <f ca="1">Waterfall!EV29</f>
        <v>0</v>
      </c>
      <c r="FM37" s="1523">
        <f ca="1">Waterfall!EW29</f>
        <v>0</v>
      </c>
      <c r="FN37" s="1524">
        <f ca="1">Waterfall!EX29</f>
        <v>0</v>
      </c>
      <c r="FO37" s="1522">
        <f ca="1">Waterfall!EY29</f>
        <v>0</v>
      </c>
      <c r="FP37" s="1523">
        <f ca="1">Waterfall!EZ29</f>
        <v>0</v>
      </c>
      <c r="FQ37" s="1523">
        <f ca="1">Waterfall!FA29</f>
        <v>0</v>
      </c>
      <c r="FR37" s="1524">
        <f ca="1">Waterfall!FB29</f>
        <v>0</v>
      </c>
      <c r="FS37" s="1522">
        <f ca="1">Waterfall!FC29</f>
        <v>0</v>
      </c>
      <c r="FT37" s="1523">
        <f ca="1">Waterfall!FD29</f>
        <v>0</v>
      </c>
      <c r="FU37" s="1523">
        <f ca="1">Waterfall!FE29</f>
        <v>0</v>
      </c>
      <c r="FV37" s="1524">
        <f ca="1">Waterfall!FF29</f>
        <v>0</v>
      </c>
      <c r="FW37" s="1522">
        <f ca="1">Waterfall!FG29</f>
        <v>0</v>
      </c>
      <c r="FX37" s="1523">
        <f ca="1">Waterfall!FH29</f>
        <v>0</v>
      </c>
      <c r="FY37" s="1523">
        <f ca="1">Waterfall!FI29</f>
        <v>0</v>
      </c>
      <c r="FZ37" s="1524">
        <f ca="1">Waterfall!FJ29</f>
        <v>0</v>
      </c>
      <c r="GA37" s="1522">
        <f ca="1">Waterfall!FK29</f>
        <v>0</v>
      </c>
      <c r="GB37" s="1523">
        <f ca="1">Waterfall!FL29</f>
        <v>0</v>
      </c>
      <c r="GC37" s="1523">
        <f ca="1">Waterfall!FM29</f>
        <v>0</v>
      </c>
      <c r="GD37" s="1524">
        <f ca="1">Waterfall!FN29</f>
        <v>0</v>
      </c>
      <c r="GE37" s="1508"/>
      <c r="GF37" s="1509"/>
      <c r="GG37" s="1509"/>
      <c r="GH37" s="1509"/>
      <c r="GI37" s="1509"/>
      <c r="GJ37" s="1509"/>
      <c r="GK37" s="1509"/>
      <c r="GL37" s="1509"/>
      <c r="GM37" s="1509"/>
      <c r="GN37" s="1509"/>
      <c r="GO37" s="1509"/>
      <c r="GP37" s="1509"/>
      <c r="GQ37" s="1509"/>
      <c r="GR37" s="1509"/>
      <c r="GS37" s="1509"/>
      <c r="GT37" s="1509"/>
    </row>
    <row r="38" spans="2:202" s="4924" customFormat="1" ht="17.100000000000001" customHeight="1">
      <c r="B38" s="5017"/>
      <c r="C38" s="5046" t="s">
        <v>135</v>
      </c>
      <c r="D38" s="5047"/>
      <c r="E38" s="727" t="s">
        <v>1318</v>
      </c>
      <c r="F38" s="1517">
        <f t="shared" ca="1" si="11"/>
        <v>0</v>
      </c>
      <c r="G38" s="5048"/>
      <c r="H38" s="5048"/>
      <c r="I38" s="5048"/>
      <c r="J38" s="5048"/>
      <c r="K38" s="5048"/>
      <c r="L38" s="5048"/>
      <c r="M38" s="5048"/>
      <c r="N38" s="5048"/>
      <c r="O38" s="5048"/>
      <c r="P38" s="5048"/>
      <c r="Q38" s="5048"/>
      <c r="R38" s="5048"/>
      <c r="S38" s="5048"/>
      <c r="T38" s="5048"/>
      <c r="U38" s="5048"/>
      <c r="V38" s="5048"/>
      <c r="W38" s="917">
        <f ca="1">Waterfall!G83</f>
        <v>0</v>
      </c>
      <c r="X38" s="918">
        <f ca="1">Waterfall!H83</f>
        <v>0</v>
      </c>
      <c r="Y38" s="918">
        <f ca="1">Waterfall!I83</f>
        <v>0</v>
      </c>
      <c r="Z38" s="919">
        <f ca="1">Waterfall!J83</f>
        <v>0</v>
      </c>
      <c r="AA38" s="917">
        <f ca="1">Waterfall!K83</f>
        <v>0</v>
      </c>
      <c r="AB38" s="918">
        <f ca="1">Waterfall!L83</f>
        <v>0</v>
      </c>
      <c r="AC38" s="918">
        <f ca="1">Waterfall!M83</f>
        <v>0</v>
      </c>
      <c r="AD38" s="5049">
        <f ca="1">Waterfall!N83</f>
        <v>0</v>
      </c>
      <c r="AE38" s="5050">
        <f ca="1">Waterfall!O83</f>
        <v>0</v>
      </c>
      <c r="AF38" s="5051">
        <f ca="1">Waterfall!P83</f>
        <v>0</v>
      </c>
      <c r="AG38" s="5051">
        <f ca="1">Waterfall!Q83</f>
        <v>0</v>
      </c>
      <c r="AH38" s="5052">
        <f ca="1">Waterfall!R83</f>
        <v>0</v>
      </c>
      <c r="AI38" s="5050">
        <f ca="1">Waterfall!S83</f>
        <v>0</v>
      </c>
      <c r="AJ38" s="5051">
        <f ca="1">Waterfall!T83</f>
        <v>0</v>
      </c>
      <c r="AK38" s="5051">
        <f ca="1">Waterfall!U83</f>
        <v>0</v>
      </c>
      <c r="AL38" s="5052">
        <f ca="1">Waterfall!V83</f>
        <v>0</v>
      </c>
      <c r="AM38" s="5050">
        <f ca="1">Waterfall!W83</f>
        <v>0</v>
      </c>
      <c r="AN38" s="5051">
        <f ca="1">Waterfall!X83</f>
        <v>0</v>
      </c>
      <c r="AO38" s="5051">
        <f ca="1">Waterfall!Y83</f>
        <v>0</v>
      </c>
      <c r="AP38" s="5052">
        <f ca="1">Waterfall!Z83</f>
        <v>0</v>
      </c>
      <c r="AQ38" s="5050">
        <f ca="1">Waterfall!AA83</f>
        <v>0</v>
      </c>
      <c r="AR38" s="1523">
        <f ca="1">Waterfall!AB83</f>
        <v>0</v>
      </c>
      <c r="AS38" s="1523">
        <f ca="1">Waterfall!AC83</f>
        <v>0</v>
      </c>
      <c r="AT38" s="1524">
        <f ca="1">Waterfall!AD83</f>
        <v>0</v>
      </c>
      <c r="AU38" s="1522">
        <f ca="1">Waterfall!AE83</f>
        <v>0</v>
      </c>
      <c r="AV38" s="1523">
        <f ca="1">Waterfall!AF83</f>
        <v>0</v>
      </c>
      <c r="AW38" s="1523">
        <f ca="1">Waterfall!AG83</f>
        <v>0</v>
      </c>
      <c r="AX38" s="1524">
        <f ca="1">Waterfall!AH83</f>
        <v>0</v>
      </c>
      <c r="AY38" s="1522">
        <f ca="1">Waterfall!AI83</f>
        <v>0</v>
      </c>
      <c r="AZ38" s="1523">
        <f ca="1">Waterfall!AJ83</f>
        <v>0</v>
      </c>
      <c r="BA38" s="1523">
        <f ca="1">Waterfall!AK83</f>
        <v>0</v>
      </c>
      <c r="BB38" s="1524">
        <f ca="1">Waterfall!AL83</f>
        <v>0</v>
      </c>
      <c r="BC38" s="1522">
        <f ca="1">Waterfall!AM83</f>
        <v>0</v>
      </c>
      <c r="BD38" s="1523">
        <f ca="1">Waterfall!AN83</f>
        <v>0</v>
      </c>
      <c r="BE38" s="1523">
        <f ca="1">Waterfall!AO83</f>
        <v>0</v>
      </c>
      <c r="BF38" s="1524">
        <f ca="1">Waterfall!AP83</f>
        <v>0</v>
      </c>
      <c r="BG38" s="1522">
        <f ca="1">Waterfall!AQ83</f>
        <v>0</v>
      </c>
      <c r="BH38" s="1523">
        <f ca="1">Waterfall!AR83</f>
        <v>0</v>
      </c>
      <c r="BI38" s="1523">
        <f ca="1">Waterfall!AS83</f>
        <v>0</v>
      </c>
      <c r="BJ38" s="1524">
        <f ca="1">Waterfall!AT83</f>
        <v>0</v>
      </c>
      <c r="BK38" s="1522">
        <f ca="1">Waterfall!AU83</f>
        <v>0</v>
      </c>
      <c r="BL38" s="1523">
        <f ca="1">Waterfall!AV83</f>
        <v>0</v>
      </c>
      <c r="BM38" s="1523">
        <f ca="1">Waterfall!AW83</f>
        <v>0</v>
      </c>
      <c r="BN38" s="1524">
        <f ca="1">Waterfall!AX83</f>
        <v>0</v>
      </c>
      <c r="BO38" s="1522">
        <f ca="1">Waterfall!AY83</f>
        <v>0</v>
      </c>
      <c r="BP38" s="1523">
        <f ca="1">Waterfall!AZ83</f>
        <v>0</v>
      </c>
      <c r="BQ38" s="1523">
        <f ca="1">Waterfall!BA83</f>
        <v>0</v>
      </c>
      <c r="BR38" s="1524">
        <f ca="1">Waterfall!BB83</f>
        <v>0</v>
      </c>
      <c r="BS38" s="1522">
        <f ca="1">Waterfall!BC83</f>
        <v>0</v>
      </c>
      <c r="BT38" s="1523">
        <f ca="1">Waterfall!BD83</f>
        <v>0</v>
      </c>
      <c r="BU38" s="1523">
        <f ca="1">Waterfall!BE83</f>
        <v>0</v>
      </c>
      <c r="BV38" s="1524">
        <f ca="1">Waterfall!BF83</f>
        <v>0</v>
      </c>
      <c r="BW38" s="1522">
        <f ca="1">Waterfall!BG83</f>
        <v>0</v>
      </c>
      <c r="BX38" s="1523">
        <f ca="1">Waterfall!BH83</f>
        <v>0</v>
      </c>
      <c r="BY38" s="1523">
        <f ca="1">Waterfall!BI83</f>
        <v>0</v>
      </c>
      <c r="BZ38" s="1524">
        <f ca="1">Waterfall!BJ83</f>
        <v>0</v>
      </c>
      <c r="CA38" s="1522">
        <f ca="1">Waterfall!BK83</f>
        <v>0</v>
      </c>
      <c r="CB38" s="1523">
        <f ca="1">Waterfall!BL83</f>
        <v>0</v>
      </c>
      <c r="CC38" s="1523">
        <f ca="1">Waterfall!BM83</f>
        <v>0</v>
      </c>
      <c r="CD38" s="1524">
        <f ca="1">Waterfall!BN83</f>
        <v>0</v>
      </c>
      <c r="CE38" s="1522">
        <f ca="1">Waterfall!BO83</f>
        <v>0</v>
      </c>
      <c r="CF38" s="1523">
        <f ca="1">Waterfall!BP83</f>
        <v>0</v>
      </c>
      <c r="CG38" s="1523">
        <f ca="1">Waterfall!BQ83</f>
        <v>0</v>
      </c>
      <c r="CH38" s="1524">
        <f ca="1">Waterfall!BR83</f>
        <v>0</v>
      </c>
      <c r="CI38" s="1522">
        <f ca="1">Waterfall!BS83</f>
        <v>0</v>
      </c>
      <c r="CJ38" s="1523">
        <f ca="1">Waterfall!BT83</f>
        <v>0</v>
      </c>
      <c r="CK38" s="1523">
        <f ca="1">Waterfall!BU83</f>
        <v>0</v>
      </c>
      <c r="CL38" s="1524">
        <f ca="1">Waterfall!BV83</f>
        <v>0</v>
      </c>
      <c r="CM38" s="1522">
        <f ca="1">Waterfall!BW83</f>
        <v>0</v>
      </c>
      <c r="CN38" s="1523">
        <f ca="1">Waterfall!BX83</f>
        <v>0</v>
      </c>
      <c r="CO38" s="1523">
        <f ca="1">Waterfall!BY83</f>
        <v>0</v>
      </c>
      <c r="CP38" s="1524">
        <f ca="1">Waterfall!BZ83</f>
        <v>0</v>
      </c>
      <c r="CQ38" s="1522">
        <f ca="1">Waterfall!CA83</f>
        <v>0</v>
      </c>
      <c r="CR38" s="1523">
        <f ca="1">Waterfall!CB83</f>
        <v>0</v>
      </c>
      <c r="CS38" s="1523">
        <f ca="1">Waterfall!CC83</f>
        <v>0</v>
      </c>
      <c r="CT38" s="1524">
        <f ca="1">Waterfall!CD83</f>
        <v>0</v>
      </c>
      <c r="CU38" s="1522">
        <f ca="1">Waterfall!CE83</f>
        <v>0</v>
      </c>
      <c r="CV38" s="1523">
        <f ca="1">Waterfall!CF83</f>
        <v>0</v>
      </c>
      <c r="CW38" s="1523">
        <f ca="1">Waterfall!CG83</f>
        <v>0</v>
      </c>
      <c r="CX38" s="1524">
        <f ca="1">Waterfall!CH83</f>
        <v>0</v>
      </c>
      <c r="CY38" s="1522">
        <f ca="1">Waterfall!CI83</f>
        <v>0</v>
      </c>
      <c r="CZ38" s="1523">
        <f ca="1">Waterfall!CJ83</f>
        <v>0</v>
      </c>
      <c r="DA38" s="1523">
        <f ca="1">Waterfall!CK83</f>
        <v>0</v>
      </c>
      <c r="DB38" s="1524">
        <f ca="1">Waterfall!CL83</f>
        <v>0</v>
      </c>
      <c r="DC38" s="1522">
        <f ca="1">Waterfall!CM83</f>
        <v>0</v>
      </c>
      <c r="DD38" s="1523">
        <f ca="1">Waterfall!CN83</f>
        <v>0</v>
      </c>
      <c r="DE38" s="1523">
        <f ca="1">Waterfall!CO83</f>
        <v>0</v>
      </c>
      <c r="DF38" s="1524">
        <f ca="1">Waterfall!CP83</f>
        <v>0</v>
      </c>
      <c r="DG38" s="1522">
        <f ca="1">Waterfall!CQ83</f>
        <v>0</v>
      </c>
      <c r="DH38" s="1523">
        <f ca="1">Waterfall!CR83</f>
        <v>0</v>
      </c>
      <c r="DI38" s="1523">
        <f ca="1">Waterfall!CS83</f>
        <v>0</v>
      </c>
      <c r="DJ38" s="1524">
        <f ca="1">Waterfall!CT83</f>
        <v>0</v>
      </c>
      <c r="DK38" s="1522">
        <f ca="1">Waterfall!CU83</f>
        <v>0</v>
      </c>
      <c r="DL38" s="1523">
        <f ca="1">Waterfall!CV83</f>
        <v>0</v>
      </c>
      <c r="DM38" s="1523">
        <f ca="1">Waterfall!CW83</f>
        <v>0</v>
      </c>
      <c r="DN38" s="1524">
        <f ca="1">Waterfall!CX83</f>
        <v>0</v>
      </c>
      <c r="DO38" s="1522">
        <f ca="1">Waterfall!CY83</f>
        <v>0</v>
      </c>
      <c r="DP38" s="1523">
        <f ca="1">Waterfall!CZ83</f>
        <v>0</v>
      </c>
      <c r="DQ38" s="1523">
        <f ca="1">Waterfall!DA83</f>
        <v>0</v>
      </c>
      <c r="DR38" s="1524">
        <f ca="1">Waterfall!DB83</f>
        <v>0</v>
      </c>
      <c r="DS38" s="1522">
        <f ca="1">Waterfall!DC83</f>
        <v>0</v>
      </c>
      <c r="DT38" s="1523">
        <f ca="1">Waterfall!DD83</f>
        <v>0</v>
      </c>
      <c r="DU38" s="1523">
        <f ca="1">Waterfall!DE83</f>
        <v>0</v>
      </c>
      <c r="DV38" s="1524">
        <f ca="1">Waterfall!DF83</f>
        <v>0</v>
      </c>
      <c r="DW38" s="1522">
        <f ca="1">Waterfall!DG83</f>
        <v>0</v>
      </c>
      <c r="DX38" s="1523">
        <f ca="1">Waterfall!DH83</f>
        <v>0</v>
      </c>
      <c r="DY38" s="1523">
        <f ca="1">Waterfall!DI83</f>
        <v>0</v>
      </c>
      <c r="DZ38" s="1524">
        <f ca="1">Waterfall!DJ83</f>
        <v>0</v>
      </c>
      <c r="EA38" s="1522">
        <f ca="1">Waterfall!DK83</f>
        <v>0</v>
      </c>
      <c r="EB38" s="1523">
        <f ca="1">Waterfall!DL83</f>
        <v>0</v>
      </c>
      <c r="EC38" s="1523">
        <f ca="1">Waterfall!DM83</f>
        <v>0</v>
      </c>
      <c r="ED38" s="1524">
        <f ca="1">Waterfall!DN83</f>
        <v>0</v>
      </c>
      <c r="EE38" s="1522">
        <f ca="1">Waterfall!DO83</f>
        <v>0</v>
      </c>
      <c r="EF38" s="1523">
        <f ca="1">Waterfall!DP83</f>
        <v>0</v>
      </c>
      <c r="EG38" s="1523">
        <f ca="1">Waterfall!DQ83</f>
        <v>0</v>
      </c>
      <c r="EH38" s="1524">
        <f ca="1">Waterfall!DR83</f>
        <v>0</v>
      </c>
      <c r="EI38" s="1522">
        <f ca="1">Waterfall!DS83</f>
        <v>0</v>
      </c>
      <c r="EJ38" s="1523">
        <f ca="1">Waterfall!DT83</f>
        <v>0</v>
      </c>
      <c r="EK38" s="1523">
        <f ca="1">Waterfall!DU83</f>
        <v>0</v>
      </c>
      <c r="EL38" s="1524">
        <f ca="1">Waterfall!DV83</f>
        <v>0</v>
      </c>
      <c r="EM38" s="1522">
        <f ca="1">Waterfall!DW83</f>
        <v>0</v>
      </c>
      <c r="EN38" s="1523">
        <f ca="1">Waterfall!DX83</f>
        <v>0</v>
      </c>
      <c r="EO38" s="1523">
        <f ca="1">Waterfall!DY83</f>
        <v>0</v>
      </c>
      <c r="EP38" s="1524">
        <f ca="1">Waterfall!DZ83</f>
        <v>0</v>
      </c>
      <c r="EQ38" s="1522">
        <f ca="1">Waterfall!EA83</f>
        <v>0</v>
      </c>
      <c r="ER38" s="1523">
        <f ca="1">Waterfall!EB83</f>
        <v>0</v>
      </c>
      <c r="ES38" s="1523">
        <f ca="1">Waterfall!EC83</f>
        <v>0</v>
      </c>
      <c r="ET38" s="1524">
        <f ca="1">Waterfall!ED83</f>
        <v>0</v>
      </c>
      <c r="EU38" s="1522">
        <f ca="1">Waterfall!EE83</f>
        <v>0</v>
      </c>
      <c r="EV38" s="1523">
        <f ca="1">Waterfall!EF83</f>
        <v>0</v>
      </c>
      <c r="EW38" s="1523">
        <f ca="1">Waterfall!EG83</f>
        <v>0</v>
      </c>
      <c r="EX38" s="1524">
        <f ca="1">Waterfall!EH83</f>
        <v>0</v>
      </c>
      <c r="EY38" s="1522">
        <f ca="1">Waterfall!EI83</f>
        <v>0</v>
      </c>
      <c r="EZ38" s="1523">
        <f ca="1">Waterfall!EJ83</f>
        <v>0</v>
      </c>
      <c r="FA38" s="1523">
        <f ca="1">Waterfall!EK83</f>
        <v>0</v>
      </c>
      <c r="FB38" s="1524">
        <f ca="1">Waterfall!EL83</f>
        <v>0</v>
      </c>
      <c r="FC38" s="1522">
        <f ca="1">Waterfall!EM83</f>
        <v>0</v>
      </c>
      <c r="FD38" s="1523">
        <f ca="1">Waterfall!EN83</f>
        <v>0</v>
      </c>
      <c r="FE38" s="1523">
        <f ca="1">Waterfall!EO83</f>
        <v>0</v>
      </c>
      <c r="FF38" s="1524">
        <f ca="1">Waterfall!EP83</f>
        <v>0</v>
      </c>
      <c r="FG38" s="1522">
        <f ca="1">Waterfall!EQ83</f>
        <v>0</v>
      </c>
      <c r="FH38" s="1523">
        <f ca="1">Waterfall!ER83</f>
        <v>0</v>
      </c>
      <c r="FI38" s="1523">
        <f ca="1">Waterfall!ES83</f>
        <v>0</v>
      </c>
      <c r="FJ38" s="1524">
        <f ca="1">Waterfall!ET83</f>
        <v>0</v>
      </c>
      <c r="FK38" s="1522">
        <f ca="1">Waterfall!EU83</f>
        <v>0</v>
      </c>
      <c r="FL38" s="1523">
        <f ca="1">Waterfall!EV83</f>
        <v>0</v>
      </c>
      <c r="FM38" s="1523">
        <f ca="1">Waterfall!EW83</f>
        <v>0</v>
      </c>
      <c r="FN38" s="1524">
        <f ca="1">Waterfall!EX83</f>
        <v>0</v>
      </c>
      <c r="FO38" s="1522">
        <f ca="1">Waterfall!EY83</f>
        <v>0</v>
      </c>
      <c r="FP38" s="1523">
        <f ca="1">Waterfall!EZ83</f>
        <v>0</v>
      </c>
      <c r="FQ38" s="1523">
        <f ca="1">Waterfall!FA83</f>
        <v>0</v>
      </c>
      <c r="FR38" s="1524">
        <f ca="1">Waterfall!FB83</f>
        <v>0</v>
      </c>
      <c r="FS38" s="1522">
        <f ca="1">Waterfall!FC83</f>
        <v>0</v>
      </c>
      <c r="FT38" s="1523">
        <f ca="1">Waterfall!FD83</f>
        <v>0</v>
      </c>
      <c r="FU38" s="1523">
        <f ca="1">Waterfall!FE83</f>
        <v>0</v>
      </c>
      <c r="FV38" s="1524">
        <f ca="1">Waterfall!FF83</f>
        <v>0</v>
      </c>
      <c r="FW38" s="1522">
        <f ca="1">Waterfall!FG83</f>
        <v>0</v>
      </c>
      <c r="FX38" s="1523">
        <f ca="1">Waterfall!FH83</f>
        <v>0</v>
      </c>
      <c r="FY38" s="1523">
        <f ca="1">Waterfall!FI83</f>
        <v>0</v>
      </c>
      <c r="FZ38" s="1524">
        <f ca="1">Waterfall!FJ83</f>
        <v>0</v>
      </c>
      <c r="GA38" s="1522">
        <f ca="1">Waterfall!FK83</f>
        <v>0</v>
      </c>
      <c r="GB38" s="1523">
        <f ca="1">Waterfall!FL83</f>
        <v>0</v>
      </c>
      <c r="GC38" s="1523">
        <f ca="1">Waterfall!FM83</f>
        <v>0</v>
      </c>
      <c r="GD38" s="1524">
        <f ca="1">Waterfall!FN83</f>
        <v>0</v>
      </c>
      <c r="GE38" s="1508"/>
      <c r="GF38" s="1509"/>
      <c r="GG38" s="1509"/>
      <c r="GH38" s="1509"/>
      <c r="GI38" s="1509"/>
      <c r="GJ38" s="1509"/>
      <c r="GK38" s="1509"/>
      <c r="GL38" s="1509"/>
      <c r="GM38" s="1509"/>
      <c r="GN38" s="1509"/>
      <c r="GO38" s="1509"/>
      <c r="GP38" s="1509"/>
      <c r="GQ38" s="1509"/>
      <c r="GR38" s="1509"/>
      <c r="GS38" s="1509"/>
      <c r="GT38" s="1509"/>
    </row>
    <row r="39" spans="2:202" ht="17.100000000000001" customHeight="1">
      <c r="B39" s="1510" t="s">
        <v>1319</v>
      </c>
      <c r="C39" s="428"/>
      <c r="D39" s="1511"/>
      <c r="E39" s="1512"/>
      <c r="F39" s="1513">
        <f t="shared" ca="1" si="11"/>
        <v>3922.1508734262356</v>
      </c>
      <c r="G39" s="914">
        <f t="shared" ref="G39:AL39" si="35">SUM(G40:G44)</f>
        <v>0</v>
      </c>
      <c r="H39" s="914">
        <f t="shared" si="35"/>
        <v>0</v>
      </c>
      <c r="I39" s="914">
        <f t="shared" si="35"/>
        <v>0</v>
      </c>
      <c r="J39" s="914">
        <f t="shared" si="35"/>
        <v>65.25</v>
      </c>
      <c r="K39" s="914">
        <f t="shared" si="35"/>
        <v>63.05</v>
      </c>
      <c r="L39" s="914">
        <f t="shared" si="35"/>
        <v>0</v>
      </c>
      <c r="M39" s="914">
        <f t="shared" si="35"/>
        <v>0</v>
      </c>
      <c r="N39" s="914">
        <f t="shared" si="35"/>
        <v>72.67</v>
      </c>
      <c r="O39" s="914">
        <f t="shared" si="35"/>
        <v>10.44</v>
      </c>
      <c r="P39" s="914">
        <f t="shared" si="35"/>
        <v>31.32</v>
      </c>
      <c r="Q39" s="914">
        <f t="shared" si="35"/>
        <v>18.27</v>
      </c>
      <c r="R39" s="914">
        <f t="shared" si="35"/>
        <v>91.353899999999996</v>
      </c>
      <c r="S39" s="914">
        <f t="shared" si="35"/>
        <v>29.067150000000002</v>
      </c>
      <c r="T39" s="914">
        <f t="shared" si="35"/>
        <v>29.067150000000002</v>
      </c>
      <c r="U39" s="914">
        <f t="shared" si="35"/>
        <v>29.897640000000003</v>
      </c>
      <c r="V39" s="914">
        <f t="shared" si="35"/>
        <v>58.134300000000003</v>
      </c>
      <c r="W39" s="914">
        <f t="shared" ca="1" si="35"/>
        <v>33.2196</v>
      </c>
      <c r="X39" s="915">
        <f t="shared" ca="1" si="35"/>
        <v>33.2196</v>
      </c>
      <c r="Y39" s="915">
        <f t="shared" ca="1" si="35"/>
        <v>33.2196</v>
      </c>
      <c r="Z39" s="916">
        <f t="shared" ca="1" si="35"/>
        <v>34.880579999999995</v>
      </c>
      <c r="AA39" s="914">
        <f t="shared" ca="1" si="35"/>
        <v>39.033029999999997</v>
      </c>
      <c r="AB39" s="915">
        <f t="shared" ca="1" si="35"/>
        <v>39.863520000000001</v>
      </c>
      <c r="AC39" s="915">
        <f t="shared" ca="1" si="35"/>
        <v>40.694009999999999</v>
      </c>
      <c r="AD39" s="916">
        <f t="shared" ca="1" si="35"/>
        <v>41.524500000000003</v>
      </c>
      <c r="AE39" s="1514">
        <f t="shared" ca="1" si="35"/>
        <v>42.354990000000001</v>
      </c>
      <c r="AF39" s="1515">
        <f t="shared" ca="1" si="35"/>
        <v>43.185479999999998</v>
      </c>
      <c r="AG39" s="1515">
        <f t="shared" ca="1" si="35"/>
        <v>43.185479999999998</v>
      </c>
      <c r="AH39" s="1516">
        <f t="shared" ca="1" si="35"/>
        <v>44.015969999999996</v>
      </c>
      <c r="AI39" s="1514">
        <f t="shared" ca="1" si="35"/>
        <v>39.033029999999997</v>
      </c>
      <c r="AJ39" s="1515">
        <f t="shared" ca="1" si="35"/>
        <v>39.033029999999997</v>
      </c>
      <c r="AK39" s="1515">
        <f t="shared" ca="1" si="35"/>
        <v>39.863520000000001</v>
      </c>
      <c r="AL39" s="1516">
        <f t="shared" ca="1" si="35"/>
        <v>40.694009999999999</v>
      </c>
      <c r="AM39" s="1514">
        <f t="shared" ref="AM39:CX39" ca="1" si="36">SUM(AM40:AM44)</f>
        <v>40.694009999999999</v>
      </c>
      <c r="AN39" s="1515">
        <f t="shared" ca="1" si="36"/>
        <v>40.694009999999999</v>
      </c>
      <c r="AO39" s="1515">
        <f t="shared" ca="1" si="36"/>
        <v>41.524500000000003</v>
      </c>
      <c r="AP39" s="1516">
        <f t="shared" ca="1" si="36"/>
        <v>42.354990000000001</v>
      </c>
      <c r="AQ39" s="1514">
        <f t="shared" ca="1" si="36"/>
        <v>38.202539999999999</v>
      </c>
      <c r="AR39" s="1515">
        <f t="shared" ca="1" si="36"/>
        <v>39.033029999999997</v>
      </c>
      <c r="AS39" s="1515">
        <f t="shared" ca="1" si="36"/>
        <v>44.015969999999996</v>
      </c>
      <c r="AT39" s="1516">
        <f t="shared" ca="1" si="36"/>
        <v>44.846459999999993</v>
      </c>
      <c r="AU39" s="1514">
        <f t="shared" ca="1" si="36"/>
        <v>52.320869999999999</v>
      </c>
      <c r="AV39" s="1515">
        <f t="shared" ca="1" si="36"/>
        <v>52.320869999999999</v>
      </c>
      <c r="AW39" s="1515">
        <f t="shared" ca="1" si="36"/>
        <v>53.151359999999997</v>
      </c>
      <c r="AX39" s="1516">
        <f t="shared" ca="1" si="36"/>
        <v>53.981850000000001</v>
      </c>
      <c r="AY39" s="1514">
        <f t="shared" ca="1" si="36"/>
        <v>33.2196</v>
      </c>
      <c r="AZ39" s="1515">
        <f t="shared" ca="1" si="36"/>
        <v>38.202539999999999</v>
      </c>
      <c r="BA39" s="1515">
        <f t="shared" ca="1" si="36"/>
        <v>39.033029999999997</v>
      </c>
      <c r="BB39" s="1516">
        <f t="shared" ca="1" si="36"/>
        <v>33.2196</v>
      </c>
      <c r="BC39" s="1514">
        <f t="shared" ca="1" si="36"/>
        <v>9.9658800000000003</v>
      </c>
      <c r="BD39" s="1515">
        <f t="shared" ca="1" si="36"/>
        <v>9.9658800000000003</v>
      </c>
      <c r="BE39" s="1515">
        <f t="shared" ca="1" si="36"/>
        <v>9.9658800000000003</v>
      </c>
      <c r="BF39" s="1516">
        <f t="shared" ca="1" si="36"/>
        <v>9.9658800000000003</v>
      </c>
      <c r="BG39" s="1514">
        <f t="shared" ca="1" si="36"/>
        <v>11.551358126567498</v>
      </c>
      <c r="BH39" s="1515">
        <f t="shared" ca="1" si="36"/>
        <v>9.9658800000000003</v>
      </c>
      <c r="BI39" s="1515">
        <f t="shared" ca="1" si="36"/>
        <v>9.9658800000000003</v>
      </c>
      <c r="BJ39" s="1516">
        <f t="shared" ca="1" si="36"/>
        <v>9.9658800000000003</v>
      </c>
      <c r="BK39" s="1514">
        <f t="shared" ca="1" si="36"/>
        <v>40.314678743233742</v>
      </c>
      <c r="BL39" s="1515">
        <f t="shared" ca="1" si="36"/>
        <v>9.9658800000000003</v>
      </c>
      <c r="BM39" s="1515">
        <f t="shared" ca="1" si="36"/>
        <v>9.9658799999998866</v>
      </c>
      <c r="BN39" s="1516">
        <f t="shared" ca="1" si="36"/>
        <v>0</v>
      </c>
      <c r="BO39" s="1514">
        <f t="shared" ca="1" si="36"/>
        <v>15.75713685472163</v>
      </c>
      <c r="BP39" s="1515">
        <f t="shared" ca="1" si="36"/>
        <v>0</v>
      </c>
      <c r="BQ39" s="1515">
        <f t="shared" ca="1" si="36"/>
        <v>0</v>
      </c>
      <c r="BR39" s="1516">
        <f t="shared" ca="1" si="36"/>
        <v>0</v>
      </c>
      <c r="BS39" s="1514">
        <f t="shared" ca="1" si="36"/>
        <v>28.642454820594555</v>
      </c>
      <c r="BT39" s="1515">
        <f t="shared" ca="1" si="36"/>
        <v>0</v>
      </c>
      <c r="BU39" s="1515">
        <f t="shared" ca="1" si="36"/>
        <v>0</v>
      </c>
      <c r="BV39" s="1516">
        <f t="shared" ca="1" si="36"/>
        <v>0</v>
      </c>
      <c r="BW39" s="1514">
        <f t="shared" ca="1" si="36"/>
        <v>25.040784896574287</v>
      </c>
      <c r="BX39" s="1515">
        <f t="shared" ca="1" si="36"/>
        <v>0</v>
      </c>
      <c r="BY39" s="1515">
        <f t="shared" ca="1" si="36"/>
        <v>0</v>
      </c>
      <c r="BZ39" s="1516">
        <f t="shared" ca="1" si="36"/>
        <v>0</v>
      </c>
      <c r="CA39" s="1514">
        <f t="shared" ca="1" si="36"/>
        <v>26.608340660995566</v>
      </c>
      <c r="CB39" s="1515">
        <f t="shared" ca="1" si="36"/>
        <v>0</v>
      </c>
      <c r="CC39" s="1515">
        <f t="shared" ca="1" si="36"/>
        <v>0</v>
      </c>
      <c r="CD39" s="1516">
        <f t="shared" ca="1" si="36"/>
        <v>0</v>
      </c>
      <c r="CE39" s="1514">
        <f t="shared" ca="1" si="36"/>
        <v>32.902694762689322</v>
      </c>
      <c r="CF39" s="1515">
        <f t="shared" ca="1" si="36"/>
        <v>0</v>
      </c>
      <c r="CG39" s="1515">
        <f t="shared" ca="1" si="36"/>
        <v>0</v>
      </c>
      <c r="CH39" s="1516">
        <f t="shared" ca="1" si="36"/>
        <v>0</v>
      </c>
      <c r="CI39" s="1514">
        <f t="shared" ca="1" si="36"/>
        <v>32.479099084009526</v>
      </c>
      <c r="CJ39" s="1515">
        <f t="shared" ca="1" si="36"/>
        <v>0</v>
      </c>
      <c r="CK39" s="1515">
        <f t="shared" ca="1" si="36"/>
        <v>0</v>
      </c>
      <c r="CL39" s="1516">
        <f t="shared" ca="1" si="36"/>
        <v>0</v>
      </c>
      <c r="CM39" s="1514">
        <f t="shared" ca="1" si="36"/>
        <v>34.050114158243836</v>
      </c>
      <c r="CN39" s="1515">
        <f t="shared" ca="1" si="36"/>
        <v>0</v>
      </c>
      <c r="CO39" s="1515">
        <f t="shared" ca="1" si="36"/>
        <v>0</v>
      </c>
      <c r="CP39" s="1516">
        <f t="shared" ca="1" si="36"/>
        <v>0</v>
      </c>
      <c r="CQ39" s="1514">
        <f t="shared" ca="1" si="36"/>
        <v>55.81566854556273</v>
      </c>
      <c r="CR39" s="1515">
        <f t="shared" ca="1" si="36"/>
        <v>0</v>
      </c>
      <c r="CS39" s="1515">
        <f t="shared" ca="1" si="36"/>
        <v>0</v>
      </c>
      <c r="CT39" s="1516">
        <f t="shared" ca="1" si="36"/>
        <v>0</v>
      </c>
      <c r="CU39" s="1514">
        <f t="shared" ca="1" si="36"/>
        <v>57.396316468599899</v>
      </c>
      <c r="CV39" s="1515">
        <f t="shared" ca="1" si="36"/>
        <v>0</v>
      </c>
      <c r="CW39" s="1515">
        <f t="shared" ca="1" si="36"/>
        <v>0</v>
      </c>
      <c r="CX39" s="1516">
        <f t="shared" ca="1" si="36"/>
        <v>0</v>
      </c>
      <c r="CY39" s="1514">
        <f t="shared" ref="CY39:FJ39" ca="1" si="37">SUM(CY40:CY44)</f>
        <v>70.930748371729308</v>
      </c>
      <c r="CZ39" s="1515">
        <f t="shared" ca="1" si="37"/>
        <v>0</v>
      </c>
      <c r="DA39" s="1515">
        <f t="shared" ca="1" si="37"/>
        <v>0</v>
      </c>
      <c r="DB39" s="1516">
        <f t="shared" ca="1" si="37"/>
        <v>0</v>
      </c>
      <c r="DC39" s="1514">
        <f t="shared" ca="1" si="37"/>
        <v>73.385307651134539</v>
      </c>
      <c r="DD39" s="1515">
        <f t="shared" ca="1" si="37"/>
        <v>0</v>
      </c>
      <c r="DE39" s="1515">
        <f t="shared" ca="1" si="37"/>
        <v>0</v>
      </c>
      <c r="DF39" s="1516">
        <f t="shared" ca="1" si="37"/>
        <v>0</v>
      </c>
      <c r="DG39" s="1514">
        <f t="shared" ca="1" si="37"/>
        <v>85.205111038661286</v>
      </c>
      <c r="DH39" s="1515">
        <f t="shared" ca="1" si="37"/>
        <v>0</v>
      </c>
      <c r="DI39" s="1515">
        <f t="shared" ca="1" si="37"/>
        <v>0</v>
      </c>
      <c r="DJ39" s="1516">
        <f t="shared" ca="1" si="37"/>
        <v>0</v>
      </c>
      <c r="DK39" s="1514">
        <f t="shared" ca="1" si="37"/>
        <v>88.072687054561314</v>
      </c>
      <c r="DL39" s="1515">
        <f t="shared" ca="1" si="37"/>
        <v>0</v>
      </c>
      <c r="DM39" s="1515">
        <f t="shared" ca="1" si="37"/>
        <v>0</v>
      </c>
      <c r="DN39" s="1516">
        <f t="shared" ca="1" si="37"/>
        <v>0</v>
      </c>
      <c r="DO39" s="1514">
        <f t="shared" ca="1" si="37"/>
        <v>84.922464029390852</v>
      </c>
      <c r="DP39" s="1515">
        <f t="shared" ca="1" si="37"/>
        <v>0</v>
      </c>
      <c r="DQ39" s="1515">
        <f t="shared" ca="1" si="37"/>
        <v>0</v>
      </c>
      <c r="DR39" s="1516">
        <f t="shared" ca="1" si="37"/>
        <v>0</v>
      </c>
      <c r="DS39" s="1514">
        <f t="shared" ca="1" si="37"/>
        <v>102.15508025765351</v>
      </c>
      <c r="DT39" s="1515">
        <f t="shared" ca="1" si="37"/>
        <v>0</v>
      </c>
      <c r="DU39" s="1515">
        <f t="shared" ca="1" si="37"/>
        <v>0</v>
      </c>
      <c r="DV39" s="1516">
        <f t="shared" ca="1" si="37"/>
        <v>0</v>
      </c>
      <c r="DW39" s="1514">
        <f t="shared" ca="1" si="37"/>
        <v>108.38100940147186</v>
      </c>
      <c r="DX39" s="1515">
        <f t="shared" ca="1" si="37"/>
        <v>0</v>
      </c>
      <c r="DY39" s="1515">
        <f t="shared" ca="1" si="37"/>
        <v>0</v>
      </c>
      <c r="DZ39" s="1516">
        <f t="shared" ca="1" si="37"/>
        <v>0</v>
      </c>
      <c r="EA39" s="1514">
        <f t="shared" ca="1" si="37"/>
        <v>104.95066833200305</v>
      </c>
      <c r="EB39" s="1515">
        <f t="shared" ca="1" si="37"/>
        <v>0</v>
      </c>
      <c r="EC39" s="1515">
        <f t="shared" ca="1" si="37"/>
        <v>0</v>
      </c>
      <c r="ED39" s="1516">
        <f t="shared" ca="1" si="37"/>
        <v>0</v>
      </c>
      <c r="EE39" s="1514">
        <f t="shared" ca="1" si="37"/>
        <v>93.989140875407045</v>
      </c>
      <c r="EF39" s="1515">
        <f t="shared" ca="1" si="37"/>
        <v>0</v>
      </c>
      <c r="EG39" s="1515">
        <f t="shared" ca="1" si="37"/>
        <v>0</v>
      </c>
      <c r="EH39" s="1516">
        <f t="shared" ca="1" si="37"/>
        <v>0</v>
      </c>
      <c r="EI39" s="1514">
        <f t="shared" ca="1" si="37"/>
        <v>61.701739390932381</v>
      </c>
      <c r="EJ39" s="1515">
        <f t="shared" ca="1" si="37"/>
        <v>0</v>
      </c>
      <c r="EK39" s="1515">
        <f t="shared" ca="1" si="37"/>
        <v>0</v>
      </c>
      <c r="EL39" s="1516">
        <f t="shared" ca="1" si="37"/>
        <v>0</v>
      </c>
      <c r="EM39" s="1514">
        <f t="shared" ca="1" si="37"/>
        <v>69.934219117380422</v>
      </c>
      <c r="EN39" s="1515">
        <f t="shared" ca="1" si="37"/>
        <v>0</v>
      </c>
      <c r="EO39" s="1515">
        <f t="shared" ca="1" si="37"/>
        <v>0</v>
      </c>
      <c r="EP39" s="1516">
        <f t="shared" ca="1" si="37"/>
        <v>0</v>
      </c>
      <c r="EQ39" s="1514">
        <f t="shared" ca="1" si="37"/>
        <v>62.9134537110941</v>
      </c>
      <c r="ER39" s="1515">
        <f t="shared" ca="1" si="37"/>
        <v>0</v>
      </c>
      <c r="ES39" s="1515">
        <f t="shared" ca="1" si="37"/>
        <v>0</v>
      </c>
      <c r="ET39" s="1516">
        <f t="shared" ca="1" si="37"/>
        <v>0</v>
      </c>
      <c r="EU39" s="1514">
        <f t="shared" ca="1" si="37"/>
        <v>67.970962248008334</v>
      </c>
      <c r="EV39" s="1515">
        <f t="shared" ca="1" si="37"/>
        <v>0</v>
      </c>
      <c r="EW39" s="1515">
        <f t="shared" ca="1" si="37"/>
        <v>0</v>
      </c>
      <c r="EX39" s="1516">
        <f t="shared" ca="1" si="37"/>
        <v>0</v>
      </c>
      <c r="EY39" s="1514">
        <f t="shared" ca="1" si="37"/>
        <v>76.542876805189607</v>
      </c>
      <c r="EZ39" s="1515">
        <f t="shared" ca="1" si="37"/>
        <v>0</v>
      </c>
      <c r="FA39" s="1515">
        <f t="shared" ca="1" si="37"/>
        <v>0</v>
      </c>
      <c r="FB39" s="1516">
        <f t="shared" ca="1" si="37"/>
        <v>0</v>
      </c>
      <c r="FC39" s="1514">
        <f t="shared" ca="1" si="37"/>
        <v>74.124388926964514</v>
      </c>
      <c r="FD39" s="1515">
        <f t="shared" ca="1" si="37"/>
        <v>0</v>
      </c>
      <c r="FE39" s="1515">
        <f t="shared" ca="1" si="37"/>
        <v>0</v>
      </c>
      <c r="FF39" s="1516">
        <f t="shared" ca="1" si="37"/>
        <v>0</v>
      </c>
      <c r="FG39" s="1514">
        <f t="shared" ca="1" si="37"/>
        <v>74.706368267369982</v>
      </c>
      <c r="FH39" s="1515">
        <f t="shared" ca="1" si="37"/>
        <v>0</v>
      </c>
      <c r="FI39" s="1515">
        <f t="shared" ca="1" si="37"/>
        <v>0</v>
      </c>
      <c r="FJ39" s="1516">
        <f t="shared" ca="1" si="37"/>
        <v>0</v>
      </c>
      <c r="FK39" s="1514">
        <f t="shared" ref="FK39:GD39" ca="1" si="38">SUM(FK40:FK44)</f>
        <v>86.67281041824134</v>
      </c>
      <c r="FL39" s="1515">
        <f t="shared" ca="1" si="38"/>
        <v>0</v>
      </c>
      <c r="FM39" s="1515">
        <f t="shared" ca="1" si="38"/>
        <v>0</v>
      </c>
      <c r="FN39" s="1516">
        <f t="shared" ca="1" si="38"/>
        <v>0</v>
      </c>
      <c r="FO39" s="1514">
        <f t="shared" ca="1" si="38"/>
        <v>86.953948659286823</v>
      </c>
      <c r="FP39" s="1515">
        <f t="shared" ca="1" si="38"/>
        <v>0</v>
      </c>
      <c r="FQ39" s="1515">
        <f t="shared" ca="1" si="38"/>
        <v>0</v>
      </c>
      <c r="FR39" s="1516">
        <f t="shared" ca="1" si="38"/>
        <v>0</v>
      </c>
      <c r="FS39" s="1514">
        <f t="shared" ca="1" si="38"/>
        <v>88.863067239873004</v>
      </c>
      <c r="FT39" s="1515">
        <f t="shared" ca="1" si="38"/>
        <v>0</v>
      </c>
      <c r="FU39" s="1515">
        <f t="shared" ca="1" si="38"/>
        <v>0</v>
      </c>
      <c r="FV39" s="1516">
        <f t="shared" ca="1" si="38"/>
        <v>0</v>
      </c>
      <c r="FW39" s="1514">
        <f t="shared" ca="1" si="38"/>
        <v>96.374178419659287</v>
      </c>
      <c r="FX39" s="1515">
        <f t="shared" ca="1" si="38"/>
        <v>0</v>
      </c>
      <c r="FY39" s="1515">
        <f t="shared" ca="1" si="38"/>
        <v>0</v>
      </c>
      <c r="FZ39" s="1516">
        <f t="shared" ca="1" si="38"/>
        <v>0</v>
      </c>
      <c r="GA39" s="1514">
        <f t="shared" ca="1" si="38"/>
        <v>97.38190592007615</v>
      </c>
      <c r="GB39" s="1515">
        <f t="shared" ca="1" si="38"/>
        <v>697.58643016835504</v>
      </c>
      <c r="GC39" s="1515">
        <f t="shared" ca="1" si="38"/>
        <v>0</v>
      </c>
      <c r="GD39" s="1516">
        <f t="shared" ca="1" si="38"/>
        <v>0</v>
      </c>
      <c r="GE39" s="1508"/>
      <c r="GF39" s="1509"/>
      <c r="GG39" s="1509"/>
      <c r="GH39" s="1509"/>
      <c r="GI39" s="1509"/>
      <c r="GJ39" s="1509"/>
      <c r="GK39" s="1509"/>
      <c r="GL39" s="1509"/>
      <c r="GM39" s="1509"/>
      <c r="GN39" s="1509"/>
      <c r="GO39" s="1509"/>
      <c r="GP39" s="1509"/>
      <c r="GQ39" s="1509"/>
      <c r="GR39" s="1509"/>
      <c r="GS39" s="1509"/>
      <c r="GT39" s="1509"/>
    </row>
    <row r="40" spans="2:202" ht="17.100000000000001" customHeight="1">
      <c r="B40" s="307"/>
      <c r="C40" s="489" t="s">
        <v>1320</v>
      </c>
      <c r="D40" s="331"/>
      <c r="E40" s="1197"/>
      <c r="F40" s="1517">
        <f t="shared" si="11"/>
        <v>0</v>
      </c>
      <c r="G40" s="1518"/>
      <c r="H40" s="1518"/>
      <c r="I40" s="1518"/>
      <c r="J40" s="1518"/>
      <c r="K40" s="1518"/>
      <c r="L40" s="1518"/>
      <c r="M40" s="1518"/>
      <c r="N40" s="1518"/>
      <c r="O40" s="1518"/>
      <c r="P40" s="1518"/>
      <c r="Q40" s="1518"/>
      <c r="R40" s="1518"/>
      <c r="S40" s="1518"/>
      <c r="T40" s="1518"/>
      <c r="U40" s="1518"/>
      <c r="V40" s="1518"/>
      <c r="W40" s="1519">
        <f>(BS!$I$193+BS!$I$200)*(W5=Sensitivity!$E$9)</f>
        <v>0</v>
      </c>
      <c r="X40" s="1520">
        <f>(BS!$I$193+BS!$I$200)*(X5=Sensitivity!$E$9)</f>
        <v>0</v>
      </c>
      <c r="Y40" s="1520">
        <f>(BS!$I$193+BS!$I$200)*(Y5=Sensitivity!$E$9)</f>
        <v>0</v>
      </c>
      <c r="Z40" s="1521">
        <f>(BS!$I$193+BS!$I$200)*(Z5=Sensitivity!$E$9)</f>
        <v>0</v>
      </c>
      <c r="AA40" s="1519">
        <f>(BS!$I$193+BS!$I$200)*(AA5=Sensitivity!$E$9)</f>
        <v>0</v>
      </c>
      <c r="AB40" s="1520">
        <f>(BS!$I$193+BS!$I$200)*(AB5=Sensitivity!$E$9)</f>
        <v>0</v>
      </c>
      <c r="AC40" s="1520">
        <f>(BS!$I$193+BS!$I$200)*(AC5=Sensitivity!$E$9)</f>
        <v>0</v>
      </c>
      <c r="AD40" s="1521">
        <f>(BS!$I$193+BS!$I$200)*(AD5=Sensitivity!$E$9)</f>
        <v>0</v>
      </c>
      <c r="AE40" s="1522">
        <f>(BS!$I$193+BS!$I$200)*(AE5=Sensitivity!$E$9)</f>
        <v>0</v>
      </c>
      <c r="AF40" s="1523">
        <f>(BS!$I$193+BS!$I$200)*(AF5=Sensitivity!$E$9)</f>
        <v>0</v>
      </c>
      <c r="AG40" s="1523">
        <f>(BS!$I$193+BS!$I$200)*(AG5=Sensitivity!$E$9)</f>
        <v>0</v>
      </c>
      <c r="AH40" s="1524">
        <f>(BS!$I$193+BS!$I$200)*(AH5=Sensitivity!$E$9)</f>
        <v>0</v>
      </c>
      <c r="AI40" s="1522"/>
      <c r="AJ40" s="1523"/>
      <c r="AK40" s="1523"/>
      <c r="AL40" s="1524"/>
      <c r="AM40" s="1522"/>
      <c r="AN40" s="1523"/>
      <c r="AO40" s="1523"/>
      <c r="AP40" s="1524"/>
      <c r="AQ40" s="1522"/>
      <c r="AR40" s="1523"/>
      <c r="AS40" s="1523"/>
      <c r="AT40" s="1524"/>
      <c r="AU40" s="1522"/>
      <c r="AV40" s="1523"/>
      <c r="AW40" s="1523"/>
      <c r="AX40" s="1524"/>
      <c r="AY40" s="1522"/>
      <c r="AZ40" s="1523"/>
      <c r="BA40" s="1523"/>
      <c r="BB40" s="1524"/>
      <c r="BC40" s="1522"/>
      <c r="BD40" s="1523"/>
      <c r="BE40" s="1523"/>
      <c r="BF40" s="1524"/>
      <c r="BG40" s="1522"/>
      <c r="BH40" s="1523"/>
      <c r="BI40" s="1523"/>
      <c r="BJ40" s="1524"/>
      <c r="BK40" s="1522"/>
      <c r="BL40" s="1523"/>
      <c r="BM40" s="1523"/>
      <c r="BN40" s="1524"/>
      <c r="BO40" s="1522"/>
      <c r="BP40" s="1523"/>
      <c r="BQ40" s="1523"/>
      <c r="BR40" s="1524"/>
      <c r="BS40" s="1522"/>
      <c r="BT40" s="1523"/>
      <c r="BU40" s="1523"/>
      <c r="BV40" s="1524"/>
      <c r="BW40" s="1522"/>
      <c r="BX40" s="1523"/>
      <c r="BY40" s="1523"/>
      <c r="BZ40" s="1524"/>
      <c r="CA40" s="1522"/>
      <c r="CB40" s="1523"/>
      <c r="CC40" s="1523"/>
      <c r="CD40" s="1524"/>
      <c r="CE40" s="1522"/>
      <c r="CF40" s="1523"/>
      <c r="CG40" s="1523"/>
      <c r="CH40" s="1524"/>
      <c r="CI40" s="1522"/>
      <c r="CJ40" s="1523"/>
      <c r="CK40" s="1523"/>
      <c r="CL40" s="1524"/>
      <c r="CM40" s="1522"/>
      <c r="CN40" s="1523"/>
      <c r="CO40" s="1523"/>
      <c r="CP40" s="1524"/>
      <c r="CQ40" s="1522"/>
      <c r="CR40" s="1523"/>
      <c r="CS40" s="1523"/>
      <c r="CT40" s="1524"/>
      <c r="CU40" s="1522"/>
      <c r="CV40" s="1523"/>
      <c r="CW40" s="1523"/>
      <c r="CX40" s="1524"/>
      <c r="CY40" s="1522"/>
      <c r="CZ40" s="1523"/>
      <c r="DA40" s="1523"/>
      <c r="DB40" s="1524"/>
      <c r="DC40" s="1522"/>
      <c r="DD40" s="1523"/>
      <c r="DE40" s="1523"/>
      <c r="DF40" s="1524"/>
      <c r="DG40" s="1522"/>
      <c r="DH40" s="1523"/>
      <c r="DI40" s="1523"/>
      <c r="DJ40" s="1524"/>
      <c r="DK40" s="1522"/>
      <c r="DL40" s="1523"/>
      <c r="DM40" s="1523"/>
      <c r="DN40" s="1524"/>
      <c r="DO40" s="1522"/>
      <c r="DP40" s="1523"/>
      <c r="DQ40" s="1523"/>
      <c r="DR40" s="1524"/>
      <c r="DS40" s="1522"/>
      <c r="DT40" s="1523"/>
      <c r="DU40" s="1523"/>
      <c r="DV40" s="1524"/>
      <c r="DW40" s="1522"/>
      <c r="DX40" s="1523"/>
      <c r="DY40" s="1523"/>
      <c r="DZ40" s="1524"/>
      <c r="EA40" s="1522"/>
      <c r="EB40" s="1523"/>
      <c r="EC40" s="1523"/>
      <c r="ED40" s="1524"/>
      <c r="EE40" s="1522"/>
      <c r="EF40" s="1523"/>
      <c r="EG40" s="1523"/>
      <c r="EH40" s="1524"/>
      <c r="EI40" s="1522"/>
      <c r="EJ40" s="1523"/>
      <c r="EK40" s="1523"/>
      <c r="EL40" s="1524"/>
      <c r="EM40" s="1522"/>
      <c r="EN40" s="1523"/>
      <c r="EO40" s="1523"/>
      <c r="EP40" s="1524"/>
      <c r="EQ40" s="1522"/>
      <c r="ER40" s="1523"/>
      <c r="ES40" s="1523"/>
      <c r="ET40" s="1524"/>
      <c r="EU40" s="1522"/>
      <c r="EV40" s="1523"/>
      <c r="EW40" s="1523"/>
      <c r="EX40" s="1524"/>
      <c r="EY40" s="1522"/>
      <c r="EZ40" s="1523"/>
      <c r="FA40" s="1523"/>
      <c r="FB40" s="1524"/>
      <c r="FC40" s="1522"/>
      <c r="FD40" s="1523"/>
      <c r="FE40" s="1523"/>
      <c r="FF40" s="1524"/>
      <c r="FG40" s="1522"/>
      <c r="FH40" s="1523"/>
      <c r="FI40" s="1523"/>
      <c r="FJ40" s="1524"/>
      <c r="FK40" s="1522"/>
      <c r="FL40" s="1523"/>
      <c r="FM40" s="1523"/>
      <c r="FN40" s="1524"/>
      <c r="FO40" s="1522"/>
      <c r="FP40" s="1523"/>
      <c r="FQ40" s="1523"/>
      <c r="FR40" s="1524"/>
      <c r="FS40" s="1522"/>
      <c r="FT40" s="1523"/>
      <c r="FU40" s="1523"/>
      <c r="FV40" s="1524"/>
      <c r="FW40" s="1522"/>
      <c r="FX40" s="1523"/>
      <c r="FY40" s="1523"/>
      <c r="FZ40" s="1524"/>
      <c r="GA40" s="1522"/>
      <c r="GB40" s="1523"/>
      <c r="GC40" s="1523"/>
      <c r="GD40" s="1524"/>
      <c r="GE40" s="1508"/>
      <c r="GF40" s="1509"/>
      <c r="GG40" s="1509"/>
      <c r="GH40" s="1509"/>
      <c r="GI40" s="1509"/>
      <c r="GJ40" s="1509"/>
      <c r="GK40" s="1509"/>
      <c r="GL40" s="1509"/>
      <c r="GM40" s="1509"/>
      <c r="GN40" s="1509"/>
      <c r="GO40" s="1509"/>
      <c r="GP40" s="1509"/>
      <c r="GQ40" s="1509"/>
      <c r="GR40" s="1509"/>
      <c r="GS40" s="1509"/>
      <c r="GT40" s="1509"/>
    </row>
    <row r="41" spans="2:202" ht="17.100000000000001" customHeight="1">
      <c r="B41" s="307"/>
      <c r="C41" s="489" t="s">
        <v>1261</v>
      </c>
      <c r="D41" s="331"/>
      <c r="E41" s="727" t="s">
        <v>1321</v>
      </c>
      <c r="F41" s="1530">
        <f t="shared" si="11"/>
        <v>1127.8054199999999</v>
      </c>
      <c r="G41" s="1518">
        <v>0</v>
      </c>
      <c r="H41" s="1518">
        <v>0</v>
      </c>
      <c r="I41" s="1518">
        <v>0</v>
      </c>
      <c r="J41" s="1518">
        <v>65.25</v>
      </c>
      <c r="K41" s="1518">
        <v>63.05</v>
      </c>
      <c r="L41" s="1518">
        <v>0</v>
      </c>
      <c r="M41" s="1518">
        <v>0</v>
      </c>
      <c r="N41" s="1518">
        <v>72.67</v>
      </c>
      <c r="O41" s="1518">
        <v>10.44</v>
      </c>
      <c r="P41" s="1518">
        <v>31.32</v>
      </c>
      <c r="Q41" s="1518">
        <v>18.27</v>
      </c>
      <c r="R41" s="1518">
        <v>91.353899999999996</v>
      </c>
      <c r="S41" s="1518">
        <v>29.067150000000002</v>
      </c>
      <c r="T41" s="1518">
        <v>29.067150000000002</v>
      </c>
      <c r="U41" s="1518">
        <v>29.897640000000003</v>
      </c>
      <c r="V41" s="1518">
        <v>58.134300000000003</v>
      </c>
      <c r="W41" s="1519">
        <f>차입금상환!H40</f>
        <v>33.2196</v>
      </c>
      <c r="X41" s="1520">
        <f>차입금상환!I40</f>
        <v>33.2196</v>
      </c>
      <c r="Y41" s="1520">
        <f>차입금상환!J40</f>
        <v>33.2196</v>
      </c>
      <c r="Z41" s="1521">
        <f>차입금상환!K40</f>
        <v>34.880579999999995</v>
      </c>
      <c r="AA41" s="1519">
        <f>차입금상환!L40</f>
        <v>39.033029999999997</v>
      </c>
      <c r="AB41" s="1520">
        <f>차입금상환!M40</f>
        <v>39.863520000000001</v>
      </c>
      <c r="AC41" s="1520">
        <f>차입금상환!N40</f>
        <v>40.694009999999999</v>
      </c>
      <c r="AD41" s="1521">
        <f>차입금상환!O40</f>
        <v>41.524500000000003</v>
      </c>
      <c r="AE41" s="1522">
        <f>차입금상환!P40</f>
        <v>42.354990000000001</v>
      </c>
      <c r="AF41" s="1523">
        <f>차입금상환!Q40</f>
        <v>43.185479999999998</v>
      </c>
      <c r="AG41" s="1523">
        <f>차입금상환!R40</f>
        <v>43.185479999999998</v>
      </c>
      <c r="AH41" s="1524">
        <f>차입금상환!S40</f>
        <v>44.015969999999996</v>
      </c>
      <c r="AI41" s="1522">
        <f>차입금상환!T40</f>
        <v>39.033029999999997</v>
      </c>
      <c r="AJ41" s="1523">
        <f>차입금상환!U40</f>
        <v>39.033029999999997</v>
      </c>
      <c r="AK41" s="1523">
        <f>차입금상환!V40</f>
        <v>39.863520000000001</v>
      </c>
      <c r="AL41" s="1524">
        <f>차입금상환!W40</f>
        <v>40.694009999999999</v>
      </c>
      <c r="AM41" s="1522">
        <f>차입금상환!X40</f>
        <v>40.694009999999999</v>
      </c>
      <c r="AN41" s="1523">
        <f>차입금상환!Y40</f>
        <v>40.694009999999999</v>
      </c>
      <c r="AO41" s="1523">
        <f>차입금상환!Z40</f>
        <v>41.524500000000003</v>
      </c>
      <c r="AP41" s="1524">
        <f>차입금상환!AA40</f>
        <v>42.354990000000001</v>
      </c>
      <c r="AQ41" s="1522">
        <f>차입금상환!AB40</f>
        <v>38.202539999999999</v>
      </c>
      <c r="AR41" s="1523">
        <f>차입금상환!AC40</f>
        <v>39.033029999999997</v>
      </c>
      <c r="AS41" s="1523">
        <f>차입금상환!AD40</f>
        <v>44.015969999999996</v>
      </c>
      <c r="AT41" s="1524">
        <f>차입금상환!AE40</f>
        <v>44.846459999999993</v>
      </c>
      <c r="AU41" s="1522">
        <f>차입금상환!AF40</f>
        <v>52.320869999999999</v>
      </c>
      <c r="AV41" s="1523">
        <f>차입금상환!AG40</f>
        <v>52.320869999999999</v>
      </c>
      <c r="AW41" s="1523">
        <f>차입금상환!AH40</f>
        <v>53.151359999999997</v>
      </c>
      <c r="AX41" s="1524">
        <f>차입금상환!AI40</f>
        <v>53.981850000000001</v>
      </c>
      <c r="AY41" s="1522">
        <f>차입금상환!AJ40</f>
        <v>33.2196</v>
      </c>
      <c r="AZ41" s="1523">
        <f>차입금상환!AK40</f>
        <v>38.202539999999999</v>
      </c>
      <c r="BA41" s="1523">
        <f>차입금상환!AL40</f>
        <v>39.033029999999997</v>
      </c>
      <c r="BB41" s="1524">
        <f>차입금상환!AM40</f>
        <v>33.2196</v>
      </c>
      <c r="BC41" s="1522">
        <f>차입금상환!AN40</f>
        <v>9.9658800000000003</v>
      </c>
      <c r="BD41" s="1523">
        <f>차입금상환!AO40</f>
        <v>9.9658800000000003</v>
      </c>
      <c r="BE41" s="1523">
        <f>차입금상환!AP40</f>
        <v>9.9658800000000003</v>
      </c>
      <c r="BF41" s="1524">
        <f>차입금상환!AQ40</f>
        <v>9.9658800000000003</v>
      </c>
      <c r="BG41" s="1522">
        <f>차입금상환!AR40</f>
        <v>9.9658800000000003</v>
      </c>
      <c r="BH41" s="1523">
        <f>차입금상환!AS40</f>
        <v>9.9658800000000003</v>
      </c>
      <c r="BI41" s="1523">
        <f>차입금상환!AT40</f>
        <v>9.9658800000000003</v>
      </c>
      <c r="BJ41" s="1524">
        <f>차입금상환!AU40</f>
        <v>9.9658800000000003</v>
      </c>
      <c r="BK41" s="1522">
        <f>차입금상환!AV40</f>
        <v>9.9658800000000003</v>
      </c>
      <c r="BL41" s="1523">
        <f>차입금상환!AW40</f>
        <v>9.9658800000000003</v>
      </c>
      <c r="BM41" s="1523">
        <f>차입금상환!AX40</f>
        <v>9.9658799999998866</v>
      </c>
      <c r="BN41" s="1524">
        <f>차입금상환!AY40</f>
        <v>0</v>
      </c>
      <c r="BO41" s="1522">
        <f>차입금상환!AZ40</f>
        <v>0</v>
      </c>
      <c r="BP41" s="1523">
        <f>차입금상환!BA40</f>
        <v>0</v>
      </c>
      <c r="BQ41" s="1523">
        <f>차입금상환!BB40</f>
        <v>0</v>
      </c>
      <c r="BR41" s="1524">
        <f>차입금상환!BC40</f>
        <v>0</v>
      </c>
      <c r="BS41" s="1522">
        <f>차입금상환!BD40</f>
        <v>0</v>
      </c>
      <c r="BT41" s="1523">
        <f>차입금상환!BE40</f>
        <v>0</v>
      </c>
      <c r="BU41" s="1523">
        <f>차입금상환!BF40</f>
        <v>0</v>
      </c>
      <c r="BV41" s="1524">
        <f>차입금상환!BG40</f>
        <v>0</v>
      </c>
      <c r="BW41" s="1522">
        <f>차입금상환!BH40</f>
        <v>0</v>
      </c>
      <c r="BX41" s="1523">
        <f>차입금상환!BI40</f>
        <v>0</v>
      </c>
      <c r="BY41" s="1523">
        <f>차입금상환!BJ40</f>
        <v>0</v>
      </c>
      <c r="BZ41" s="1524">
        <f>차입금상환!BK40</f>
        <v>0</v>
      </c>
      <c r="CA41" s="1522">
        <f>차입금상환!BL40</f>
        <v>0</v>
      </c>
      <c r="CB41" s="1523">
        <f>차입금상환!BM40</f>
        <v>0</v>
      </c>
      <c r="CC41" s="1523">
        <f>차입금상환!BN40</f>
        <v>0</v>
      </c>
      <c r="CD41" s="1524">
        <f>차입금상환!BO40</f>
        <v>0</v>
      </c>
      <c r="CE41" s="1522">
        <f>차입금상환!BP40</f>
        <v>0</v>
      </c>
      <c r="CF41" s="1523">
        <f>차입금상환!BQ40</f>
        <v>0</v>
      </c>
      <c r="CG41" s="1523">
        <f>차입금상환!BR40</f>
        <v>0</v>
      </c>
      <c r="CH41" s="1524">
        <f>차입금상환!BS40</f>
        <v>0</v>
      </c>
      <c r="CI41" s="1522">
        <f>차입금상환!BT40</f>
        <v>0</v>
      </c>
      <c r="CJ41" s="1523">
        <f>차입금상환!BU40</f>
        <v>0</v>
      </c>
      <c r="CK41" s="1523">
        <f>차입금상환!BV40</f>
        <v>0</v>
      </c>
      <c r="CL41" s="1524">
        <f>차입금상환!BW40</f>
        <v>0</v>
      </c>
      <c r="CM41" s="1522">
        <f>차입금상환!BX40</f>
        <v>0</v>
      </c>
      <c r="CN41" s="1523">
        <f>차입금상환!BY40</f>
        <v>0</v>
      </c>
      <c r="CO41" s="1523">
        <f>차입금상환!BZ40</f>
        <v>0</v>
      </c>
      <c r="CP41" s="1524">
        <f>차입금상환!CA40</f>
        <v>0</v>
      </c>
      <c r="CQ41" s="1522">
        <f>차입금상환!CB40</f>
        <v>0</v>
      </c>
      <c r="CR41" s="1523">
        <f>차입금상환!CC40</f>
        <v>0</v>
      </c>
      <c r="CS41" s="1523">
        <f>차입금상환!CD40</f>
        <v>0</v>
      </c>
      <c r="CT41" s="1524">
        <f>차입금상환!CE40</f>
        <v>0</v>
      </c>
      <c r="CU41" s="1522">
        <f>차입금상환!CF40</f>
        <v>0</v>
      </c>
      <c r="CV41" s="1523">
        <f>차입금상환!CG40</f>
        <v>0</v>
      </c>
      <c r="CW41" s="1523">
        <f>차입금상환!CH40</f>
        <v>0</v>
      </c>
      <c r="CX41" s="1524">
        <f>차입금상환!CI40</f>
        <v>0</v>
      </c>
      <c r="CY41" s="1522">
        <f>차입금상환!CJ40</f>
        <v>0</v>
      </c>
      <c r="CZ41" s="1523">
        <f>차입금상환!CK40</f>
        <v>0</v>
      </c>
      <c r="DA41" s="1523">
        <f>차입금상환!CL40</f>
        <v>0</v>
      </c>
      <c r="DB41" s="1524">
        <f>차입금상환!CM40</f>
        <v>0</v>
      </c>
      <c r="DC41" s="1522">
        <f>차입금상환!CN40</f>
        <v>0</v>
      </c>
      <c r="DD41" s="1523">
        <f>차입금상환!CO40</f>
        <v>0</v>
      </c>
      <c r="DE41" s="1523">
        <f>차입금상환!CP40</f>
        <v>0</v>
      </c>
      <c r="DF41" s="1524">
        <f>차입금상환!CQ40</f>
        <v>0</v>
      </c>
      <c r="DG41" s="1522">
        <f>차입금상환!CR40</f>
        <v>0</v>
      </c>
      <c r="DH41" s="1523">
        <f>차입금상환!CS40</f>
        <v>0</v>
      </c>
      <c r="DI41" s="1523">
        <f>차입금상환!CT40</f>
        <v>0</v>
      </c>
      <c r="DJ41" s="1524">
        <f>차입금상환!CU40</f>
        <v>0</v>
      </c>
      <c r="DK41" s="1522">
        <f>차입금상환!CV40</f>
        <v>0</v>
      </c>
      <c r="DL41" s="1523">
        <f>차입금상환!CW40</f>
        <v>0</v>
      </c>
      <c r="DM41" s="1523">
        <f>차입금상환!CX40</f>
        <v>0</v>
      </c>
      <c r="DN41" s="1524">
        <f>차입금상환!CY40</f>
        <v>0</v>
      </c>
      <c r="DO41" s="1522">
        <f>차입금상환!CZ40</f>
        <v>0</v>
      </c>
      <c r="DP41" s="1523">
        <f>차입금상환!DA40</f>
        <v>0</v>
      </c>
      <c r="DQ41" s="1523">
        <f>차입금상환!DB40</f>
        <v>0</v>
      </c>
      <c r="DR41" s="1524">
        <f>차입금상환!DC40</f>
        <v>0</v>
      </c>
      <c r="DS41" s="1522">
        <f>차입금상환!DD40</f>
        <v>0</v>
      </c>
      <c r="DT41" s="1523">
        <f>차입금상환!DE40</f>
        <v>0</v>
      </c>
      <c r="DU41" s="1523">
        <f>차입금상환!DF40</f>
        <v>0</v>
      </c>
      <c r="DV41" s="1524">
        <f>차입금상환!DG40</f>
        <v>0</v>
      </c>
      <c r="DW41" s="1522">
        <f>차입금상환!DH40</f>
        <v>0</v>
      </c>
      <c r="DX41" s="1523">
        <f>차입금상환!DI40</f>
        <v>0</v>
      </c>
      <c r="DY41" s="1523">
        <f>차입금상환!DJ40</f>
        <v>0</v>
      </c>
      <c r="DZ41" s="1524">
        <f>차입금상환!DK40</f>
        <v>0</v>
      </c>
      <c r="EA41" s="1522">
        <f>차입금상환!DL40</f>
        <v>0</v>
      </c>
      <c r="EB41" s="1523">
        <f>차입금상환!DM40</f>
        <v>0</v>
      </c>
      <c r="EC41" s="1523">
        <f>차입금상환!DN40</f>
        <v>0</v>
      </c>
      <c r="ED41" s="1524">
        <f>차입금상환!DO40</f>
        <v>0</v>
      </c>
      <c r="EE41" s="1522">
        <f>차입금상환!DP40</f>
        <v>0</v>
      </c>
      <c r="EF41" s="1523">
        <f>차입금상환!DQ40</f>
        <v>0</v>
      </c>
      <c r="EG41" s="1523">
        <f>차입금상환!DR40</f>
        <v>0</v>
      </c>
      <c r="EH41" s="1524">
        <f>차입금상환!DS40</f>
        <v>0</v>
      </c>
      <c r="EI41" s="1522">
        <f>차입금상환!DT40</f>
        <v>0</v>
      </c>
      <c r="EJ41" s="1523">
        <f>차입금상환!DU40</f>
        <v>0</v>
      </c>
      <c r="EK41" s="1523">
        <f>차입금상환!DV40</f>
        <v>0</v>
      </c>
      <c r="EL41" s="1524">
        <f>차입금상환!DW40</f>
        <v>0</v>
      </c>
      <c r="EM41" s="1522">
        <f>차입금상환!DX40</f>
        <v>0</v>
      </c>
      <c r="EN41" s="1523">
        <f>차입금상환!DY40</f>
        <v>0</v>
      </c>
      <c r="EO41" s="1523">
        <f>차입금상환!DZ40</f>
        <v>0</v>
      </c>
      <c r="EP41" s="1524">
        <f>차입금상환!EA40</f>
        <v>0</v>
      </c>
      <c r="EQ41" s="1522">
        <f>차입금상환!EB40</f>
        <v>0</v>
      </c>
      <c r="ER41" s="1523">
        <f>차입금상환!EC40</f>
        <v>0</v>
      </c>
      <c r="ES41" s="1523">
        <f>차입금상환!ED40</f>
        <v>0</v>
      </c>
      <c r="ET41" s="1524">
        <f>차입금상환!EE40</f>
        <v>0</v>
      </c>
      <c r="EU41" s="1522">
        <f>차입금상환!EF40</f>
        <v>0</v>
      </c>
      <c r="EV41" s="1523">
        <f>차입금상환!EG40</f>
        <v>0</v>
      </c>
      <c r="EW41" s="1523">
        <f>차입금상환!EH40</f>
        <v>0</v>
      </c>
      <c r="EX41" s="1524">
        <f>차입금상환!EI40</f>
        <v>0</v>
      </c>
      <c r="EY41" s="1522">
        <f>차입금상환!EJ40</f>
        <v>0</v>
      </c>
      <c r="EZ41" s="1523">
        <f>차입금상환!EK40</f>
        <v>0</v>
      </c>
      <c r="FA41" s="1523">
        <f>차입금상환!EL40</f>
        <v>0</v>
      </c>
      <c r="FB41" s="1524">
        <f>차입금상환!EM40</f>
        <v>0</v>
      </c>
      <c r="FC41" s="1522">
        <f>차입금상환!EN40</f>
        <v>0</v>
      </c>
      <c r="FD41" s="1523">
        <f>차입금상환!EO40</f>
        <v>0</v>
      </c>
      <c r="FE41" s="1523">
        <f>차입금상환!EP40</f>
        <v>0</v>
      </c>
      <c r="FF41" s="1524">
        <f>차입금상환!EQ40</f>
        <v>0</v>
      </c>
      <c r="FG41" s="1522">
        <f>차입금상환!ER40</f>
        <v>0</v>
      </c>
      <c r="FH41" s="1523">
        <f>차입금상환!ES40</f>
        <v>0</v>
      </c>
      <c r="FI41" s="1523">
        <f>차입금상환!ET40</f>
        <v>0</v>
      </c>
      <c r="FJ41" s="1524">
        <f>차입금상환!EU40</f>
        <v>0</v>
      </c>
      <c r="FK41" s="1522">
        <f>차입금상환!EV40</f>
        <v>0</v>
      </c>
      <c r="FL41" s="1523">
        <f>차입금상환!EW40</f>
        <v>0</v>
      </c>
      <c r="FM41" s="1523">
        <f>차입금상환!EX40</f>
        <v>0</v>
      </c>
      <c r="FN41" s="1524">
        <f>차입금상환!EY40</f>
        <v>0</v>
      </c>
      <c r="FO41" s="1522">
        <f>차입금상환!EZ40</f>
        <v>0</v>
      </c>
      <c r="FP41" s="1523">
        <f>차입금상환!FA40</f>
        <v>0</v>
      </c>
      <c r="FQ41" s="1523">
        <f>차입금상환!FB40</f>
        <v>0</v>
      </c>
      <c r="FR41" s="1524">
        <f>차입금상환!FC40</f>
        <v>0</v>
      </c>
      <c r="FS41" s="1522">
        <f>차입금상환!FD40</f>
        <v>0</v>
      </c>
      <c r="FT41" s="1523">
        <f>차입금상환!FE40</f>
        <v>0</v>
      </c>
      <c r="FU41" s="1523">
        <f>차입금상환!FF40</f>
        <v>0</v>
      </c>
      <c r="FV41" s="1524">
        <f>차입금상환!FG40</f>
        <v>0</v>
      </c>
      <c r="FW41" s="1522">
        <f>차입금상환!FH40</f>
        <v>0</v>
      </c>
      <c r="FX41" s="1523">
        <f>차입금상환!FI40</f>
        <v>0</v>
      </c>
      <c r="FY41" s="1523">
        <f>차입금상환!FJ40</f>
        <v>0</v>
      </c>
      <c r="FZ41" s="1524">
        <f>차입금상환!FK40</f>
        <v>0</v>
      </c>
      <c r="GA41" s="1522">
        <f>차입금상환!FL40</f>
        <v>0</v>
      </c>
      <c r="GB41" s="1523">
        <f>차입금상환!FM40</f>
        <v>0</v>
      </c>
      <c r="GC41" s="1523">
        <f>차입금상환!FN40</f>
        <v>0</v>
      </c>
      <c r="GD41" s="1524">
        <f>차입금상환!FO40</f>
        <v>0</v>
      </c>
      <c r="GE41" s="1508"/>
      <c r="GF41" s="1509"/>
      <c r="GG41" s="1509"/>
      <c r="GH41" s="1509"/>
      <c r="GI41" s="1509"/>
      <c r="GJ41" s="1509"/>
      <c r="GK41" s="1509"/>
      <c r="GL41" s="1509"/>
      <c r="GM41" s="1509"/>
      <c r="GN41" s="1509"/>
      <c r="GO41" s="1509"/>
      <c r="GP41" s="1509"/>
      <c r="GQ41" s="1509"/>
      <c r="GR41" s="1509"/>
      <c r="GS41" s="1509"/>
      <c r="GT41" s="1509"/>
    </row>
    <row r="42" spans="2:202" s="4924" customFormat="1" ht="17.100000000000001" customHeight="1">
      <c r="B42" s="5017"/>
      <c r="C42" s="5046" t="str">
        <f>C38</f>
        <v>상환우선주</v>
      </c>
      <c r="D42" s="5047"/>
      <c r="E42" s="727" t="s">
        <v>1322</v>
      </c>
      <c r="F42" s="1517">
        <f t="shared" ca="1" si="11"/>
        <v>0</v>
      </c>
      <c r="G42" s="5048"/>
      <c r="H42" s="5048"/>
      <c r="I42" s="5048"/>
      <c r="J42" s="5048"/>
      <c r="K42" s="5048"/>
      <c r="L42" s="5048"/>
      <c r="M42" s="5048"/>
      <c r="N42" s="5048"/>
      <c r="O42" s="5048"/>
      <c r="P42" s="5048"/>
      <c r="Q42" s="5048"/>
      <c r="R42" s="5048"/>
      <c r="S42" s="5048"/>
      <c r="T42" s="5048"/>
      <c r="U42" s="5048"/>
      <c r="V42" s="5048"/>
      <c r="W42" s="917"/>
      <c r="X42" s="918"/>
      <c r="Y42" s="918"/>
      <c r="Z42" s="919"/>
      <c r="AA42" s="917"/>
      <c r="AB42" s="918"/>
      <c r="AC42" s="918"/>
      <c r="AD42" s="919"/>
      <c r="AE42" s="1522"/>
      <c r="AF42" s="1523"/>
      <c r="AG42" s="1523"/>
      <c r="AH42" s="1524"/>
      <c r="AI42" s="1522"/>
      <c r="AJ42" s="1523"/>
      <c r="AK42" s="1523"/>
      <c r="AL42" s="1524"/>
      <c r="AM42" s="1522"/>
      <c r="AN42" s="1523"/>
      <c r="AO42" s="1523"/>
      <c r="AP42" s="1524"/>
      <c r="AQ42" s="1522"/>
      <c r="AR42" s="1523"/>
      <c r="AS42" s="1523"/>
      <c r="AT42" s="1524"/>
      <c r="AU42" s="1522"/>
      <c r="AV42" s="1523"/>
      <c r="AW42" s="1523"/>
      <c r="AX42" s="1524"/>
      <c r="AY42" s="1522"/>
      <c r="AZ42" s="1523"/>
      <c r="BA42" s="1523"/>
      <c r="BB42" s="1524"/>
      <c r="BC42" s="1522"/>
      <c r="BD42" s="1523"/>
      <c r="BE42" s="1523"/>
      <c r="BF42" s="1524"/>
      <c r="BG42" s="1522"/>
      <c r="BH42" s="1523"/>
      <c r="BI42" s="1523"/>
      <c r="BJ42" s="1524"/>
      <c r="BK42" s="1522"/>
      <c r="BL42" s="1523"/>
      <c r="BM42" s="1523"/>
      <c r="BN42" s="1524"/>
      <c r="BO42" s="1522"/>
      <c r="BP42" s="1523"/>
      <c r="BQ42" s="1523"/>
      <c r="BR42" s="1524"/>
      <c r="BS42" s="1522"/>
      <c r="BT42" s="1523"/>
      <c r="BU42" s="1523"/>
      <c r="BV42" s="1524"/>
      <c r="BW42" s="1522"/>
      <c r="BX42" s="1523"/>
      <c r="BY42" s="1523"/>
      <c r="BZ42" s="1524"/>
      <c r="CA42" s="1522"/>
      <c r="CB42" s="1523"/>
      <c r="CC42" s="1523"/>
      <c r="CD42" s="1524"/>
      <c r="CE42" s="1522"/>
      <c r="CF42" s="1523"/>
      <c r="CG42" s="1523"/>
      <c r="CH42" s="1524"/>
      <c r="CI42" s="1522"/>
      <c r="CJ42" s="1523"/>
      <c r="CK42" s="1523"/>
      <c r="CL42" s="1524"/>
      <c r="CM42" s="1522"/>
      <c r="CN42" s="1523"/>
      <c r="CO42" s="1523"/>
      <c r="CP42" s="1524"/>
      <c r="CQ42" s="1522"/>
      <c r="CR42" s="1523"/>
      <c r="CS42" s="1523"/>
      <c r="CT42" s="1524"/>
      <c r="CU42" s="1522"/>
      <c r="CV42" s="1523"/>
      <c r="CW42" s="1523"/>
      <c r="CX42" s="1524"/>
      <c r="CY42" s="1522"/>
      <c r="CZ42" s="1523"/>
      <c r="DA42" s="1523"/>
      <c r="DB42" s="1524"/>
      <c r="DC42" s="1522"/>
      <c r="DD42" s="1523"/>
      <c r="DE42" s="1523"/>
      <c r="DF42" s="1524"/>
      <c r="DG42" s="1522"/>
      <c r="DH42" s="1523"/>
      <c r="DI42" s="1523"/>
      <c r="DJ42" s="1524"/>
      <c r="DK42" s="1522"/>
      <c r="DL42" s="1523"/>
      <c r="DM42" s="1523"/>
      <c r="DN42" s="1524"/>
      <c r="DO42" s="1522"/>
      <c r="DP42" s="1523"/>
      <c r="DQ42" s="1523"/>
      <c r="DR42" s="1524"/>
      <c r="DS42" s="1522"/>
      <c r="DT42" s="1523"/>
      <c r="DU42" s="1523"/>
      <c r="DV42" s="1524"/>
      <c r="DW42" s="1522"/>
      <c r="DX42" s="1523"/>
      <c r="DY42" s="1523"/>
      <c r="DZ42" s="1524"/>
      <c r="EA42" s="1522"/>
      <c r="EB42" s="1523"/>
      <c r="EC42" s="1523"/>
      <c r="ED42" s="1524"/>
      <c r="EE42" s="1522"/>
      <c r="EF42" s="1523"/>
      <c r="EG42" s="1523"/>
      <c r="EH42" s="1524"/>
      <c r="EI42" s="1522"/>
      <c r="EJ42" s="1523"/>
      <c r="EK42" s="1523"/>
      <c r="EL42" s="1524"/>
      <c r="EM42" s="1522"/>
      <c r="EN42" s="1523"/>
      <c r="EO42" s="1523"/>
      <c r="EP42" s="1524"/>
      <c r="EQ42" s="1522"/>
      <c r="ER42" s="1523"/>
      <c r="ES42" s="1523"/>
      <c r="ET42" s="1524"/>
      <c r="EU42" s="1522"/>
      <c r="EV42" s="1523"/>
      <c r="EW42" s="1523"/>
      <c r="EX42" s="1524"/>
      <c r="EY42" s="1522"/>
      <c r="EZ42" s="1523"/>
      <c r="FA42" s="1523"/>
      <c r="FB42" s="1524"/>
      <c r="FC42" s="1522"/>
      <c r="FD42" s="1523"/>
      <c r="FE42" s="1523"/>
      <c r="FF42" s="1524"/>
      <c r="FG42" s="1522"/>
      <c r="FH42" s="1523"/>
      <c r="FI42" s="1523"/>
      <c r="FJ42" s="1524"/>
      <c r="FK42" s="1522"/>
      <c r="FL42" s="1523"/>
      <c r="FM42" s="1523"/>
      <c r="FN42" s="1524"/>
      <c r="FO42" s="1522"/>
      <c r="FP42" s="1523"/>
      <c r="FQ42" s="1523"/>
      <c r="FR42" s="1524"/>
      <c r="FS42" s="1522"/>
      <c r="FT42" s="1523"/>
      <c r="FU42" s="1523"/>
      <c r="FV42" s="1524"/>
      <c r="FW42" s="1522"/>
      <c r="FX42" s="1523"/>
      <c r="FY42" s="1523"/>
      <c r="FZ42" s="1524"/>
      <c r="GA42" s="1522"/>
      <c r="GB42" s="1523">
        <f ca="1">Waterfall!FL88</f>
        <v>0</v>
      </c>
      <c r="GC42" s="1523">
        <f ca="1">Waterfall!FM88</f>
        <v>0</v>
      </c>
      <c r="GD42" s="1524">
        <f ca="1">Waterfall!FN88</f>
        <v>0</v>
      </c>
      <c r="GE42" s="1508"/>
      <c r="GF42" s="1509"/>
      <c r="GG42" s="1509"/>
      <c r="GH42" s="1509"/>
      <c r="GI42" s="1509"/>
      <c r="GJ42" s="1509"/>
      <c r="GK42" s="1509"/>
      <c r="GL42" s="1509"/>
      <c r="GM42" s="1509"/>
      <c r="GN42" s="1509"/>
      <c r="GO42" s="1509"/>
      <c r="GP42" s="1509"/>
      <c r="GQ42" s="1509"/>
      <c r="GR42" s="1509"/>
      <c r="GS42" s="1509"/>
      <c r="GT42" s="1509"/>
    </row>
    <row r="43" spans="2:202" ht="17.100000000000001" customHeight="1">
      <c r="B43" s="307"/>
      <c r="C43" s="489" t="s">
        <v>1323</v>
      </c>
      <c r="E43" s="742">
        <f ca="1">MAX(G42:GB42)</f>
        <v>0</v>
      </c>
      <c r="F43" s="1530">
        <f t="shared" ca="1" si="11"/>
        <v>0</v>
      </c>
      <c r="G43" s="1518"/>
      <c r="H43" s="1518"/>
      <c r="I43" s="1518"/>
      <c r="J43" s="1518"/>
      <c r="K43" s="1518"/>
      <c r="L43" s="1518"/>
      <c r="M43" s="1518"/>
      <c r="N43" s="1518"/>
      <c r="O43" s="1518"/>
      <c r="P43" s="1518"/>
      <c r="Q43" s="1518"/>
      <c r="R43" s="1518"/>
      <c r="S43" s="1518"/>
      <c r="T43" s="1518"/>
      <c r="U43" s="1518"/>
      <c r="V43" s="1518"/>
      <c r="W43" s="1519">
        <f ca="1">Waterfall!G28</f>
        <v>0</v>
      </c>
      <c r="X43" s="1208">
        <f ca="1">Waterfall!H28</f>
        <v>0</v>
      </c>
      <c r="Y43" s="1520">
        <f ca="1">Waterfall!I28</f>
        <v>0</v>
      </c>
      <c r="Z43" s="1521">
        <f ca="1">Waterfall!J28</f>
        <v>0</v>
      </c>
      <c r="AA43" s="1519">
        <f ca="1">Waterfall!K28</f>
        <v>0</v>
      </c>
      <c r="AB43" s="1520">
        <f ca="1">Waterfall!L28</f>
        <v>0</v>
      </c>
      <c r="AC43" s="1520">
        <f ca="1">Waterfall!M28</f>
        <v>0</v>
      </c>
      <c r="AD43" s="1521">
        <f ca="1">Waterfall!N28</f>
        <v>0</v>
      </c>
      <c r="AE43" s="1522">
        <f ca="1">Waterfall!O28</f>
        <v>0</v>
      </c>
      <c r="AF43" s="1523">
        <f ca="1">Waterfall!P28</f>
        <v>0</v>
      </c>
      <c r="AG43" s="1523">
        <f ca="1">Waterfall!Q28</f>
        <v>0</v>
      </c>
      <c r="AH43" s="1524">
        <f ca="1">Waterfall!R28</f>
        <v>0</v>
      </c>
      <c r="AI43" s="1522">
        <f ca="1">Waterfall!S28</f>
        <v>0</v>
      </c>
      <c r="AJ43" s="1523">
        <f ca="1">Waterfall!T28</f>
        <v>0</v>
      </c>
      <c r="AK43" s="1523">
        <f ca="1">Waterfall!U28</f>
        <v>0</v>
      </c>
      <c r="AL43" s="1524">
        <f ca="1">Waterfall!V28</f>
        <v>0</v>
      </c>
      <c r="AM43" s="1522">
        <f ca="1">Waterfall!W28</f>
        <v>0</v>
      </c>
      <c r="AN43" s="1523">
        <f ca="1">Waterfall!X28</f>
        <v>0</v>
      </c>
      <c r="AO43" s="1523">
        <f ca="1">Waterfall!Y28</f>
        <v>0</v>
      </c>
      <c r="AP43" s="1524">
        <f ca="1">Waterfall!Z28</f>
        <v>0</v>
      </c>
      <c r="AQ43" s="1522">
        <f ca="1">Waterfall!AA28</f>
        <v>0</v>
      </c>
      <c r="AR43" s="1523">
        <f ca="1">Waterfall!AB28</f>
        <v>0</v>
      </c>
      <c r="AS43" s="1523">
        <f ca="1">Waterfall!AC28</f>
        <v>0</v>
      </c>
      <c r="AT43" s="1524">
        <f ca="1">Waterfall!AD28</f>
        <v>0</v>
      </c>
      <c r="AU43" s="1522">
        <f ca="1">Waterfall!AE28</f>
        <v>0</v>
      </c>
      <c r="AV43" s="1523">
        <f ca="1">Waterfall!AF28</f>
        <v>0</v>
      </c>
      <c r="AW43" s="1523">
        <f ca="1">Waterfall!AG28</f>
        <v>0</v>
      </c>
      <c r="AX43" s="1524">
        <f ca="1">Waterfall!AH28</f>
        <v>0</v>
      </c>
      <c r="AY43" s="1522">
        <f ca="1">Waterfall!AI28</f>
        <v>0</v>
      </c>
      <c r="AZ43" s="1523">
        <f ca="1">Waterfall!AJ28</f>
        <v>0</v>
      </c>
      <c r="BA43" s="1523">
        <f ca="1">Waterfall!AK28</f>
        <v>0</v>
      </c>
      <c r="BB43" s="1524">
        <f ca="1">Waterfall!AL28</f>
        <v>0</v>
      </c>
      <c r="BC43" s="1522">
        <f ca="1">Waterfall!AM28</f>
        <v>0</v>
      </c>
      <c r="BD43" s="1523">
        <f ca="1">Waterfall!AN28</f>
        <v>0</v>
      </c>
      <c r="BE43" s="1523">
        <f ca="1">Waterfall!AO28</f>
        <v>0</v>
      </c>
      <c r="BF43" s="1524">
        <f ca="1">Waterfall!AP28</f>
        <v>0</v>
      </c>
      <c r="BG43" s="1522">
        <f ca="1">Waterfall!AQ28</f>
        <v>0</v>
      </c>
      <c r="BH43" s="1523">
        <f ca="1">Waterfall!AR28</f>
        <v>0</v>
      </c>
      <c r="BI43" s="1523">
        <f ca="1">Waterfall!AS28</f>
        <v>0</v>
      </c>
      <c r="BJ43" s="1524">
        <f ca="1">Waterfall!AT28</f>
        <v>0</v>
      </c>
      <c r="BK43" s="1522">
        <f ca="1">Waterfall!AU28</f>
        <v>0</v>
      </c>
      <c r="BL43" s="1523">
        <f ca="1">Waterfall!AV28</f>
        <v>0</v>
      </c>
      <c r="BM43" s="1523">
        <f ca="1">Waterfall!AW28</f>
        <v>0</v>
      </c>
      <c r="BN43" s="1524">
        <f ca="1">Waterfall!AX28</f>
        <v>0</v>
      </c>
      <c r="BO43" s="1522">
        <f ca="1">Waterfall!AY28</f>
        <v>0</v>
      </c>
      <c r="BP43" s="1523">
        <f ca="1">Waterfall!AZ28</f>
        <v>0</v>
      </c>
      <c r="BQ43" s="1523">
        <f ca="1">Waterfall!BA28</f>
        <v>0</v>
      </c>
      <c r="BR43" s="1524">
        <f ca="1">Waterfall!BB28</f>
        <v>0</v>
      </c>
      <c r="BS43" s="1522">
        <f ca="1">Waterfall!BC28</f>
        <v>0</v>
      </c>
      <c r="BT43" s="1523">
        <f ca="1">Waterfall!BD28</f>
        <v>0</v>
      </c>
      <c r="BU43" s="1523">
        <f ca="1">Waterfall!BE28</f>
        <v>0</v>
      </c>
      <c r="BV43" s="1524">
        <f ca="1">Waterfall!BF28</f>
        <v>0</v>
      </c>
      <c r="BW43" s="1522">
        <f ca="1">Waterfall!BG28</f>
        <v>0</v>
      </c>
      <c r="BX43" s="1523">
        <f ca="1">Waterfall!BH28</f>
        <v>0</v>
      </c>
      <c r="BY43" s="1523">
        <f ca="1">Waterfall!BI28</f>
        <v>0</v>
      </c>
      <c r="BZ43" s="1524">
        <f ca="1">Waterfall!BJ28</f>
        <v>0</v>
      </c>
      <c r="CA43" s="1522">
        <f ca="1">Waterfall!BK28</f>
        <v>0</v>
      </c>
      <c r="CB43" s="1523">
        <f ca="1">Waterfall!BL28</f>
        <v>0</v>
      </c>
      <c r="CC43" s="1523">
        <f ca="1">Waterfall!BM28</f>
        <v>0</v>
      </c>
      <c r="CD43" s="1524">
        <f ca="1">Waterfall!BN28</f>
        <v>0</v>
      </c>
      <c r="CE43" s="1522">
        <f ca="1">Waterfall!BO28</f>
        <v>0</v>
      </c>
      <c r="CF43" s="1523">
        <f ca="1">Waterfall!BP28</f>
        <v>0</v>
      </c>
      <c r="CG43" s="1523">
        <f ca="1">Waterfall!BQ28</f>
        <v>0</v>
      </c>
      <c r="CH43" s="1524">
        <f ca="1">Waterfall!BR28</f>
        <v>0</v>
      </c>
      <c r="CI43" s="1522">
        <f ca="1">Waterfall!BS28</f>
        <v>0</v>
      </c>
      <c r="CJ43" s="1523">
        <f ca="1">Waterfall!BT28</f>
        <v>0</v>
      </c>
      <c r="CK43" s="1523">
        <f ca="1">Waterfall!BU28</f>
        <v>0</v>
      </c>
      <c r="CL43" s="1524">
        <f ca="1">Waterfall!BV28</f>
        <v>0</v>
      </c>
      <c r="CM43" s="1522">
        <f ca="1">Waterfall!BW28</f>
        <v>0</v>
      </c>
      <c r="CN43" s="1523">
        <f ca="1">Waterfall!BX28</f>
        <v>0</v>
      </c>
      <c r="CO43" s="1523">
        <f ca="1">Waterfall!BY28</f>
        <v>0</v>
      </c>
      <c r="CP43" s="1524">
        <f ca="1">Waterfall!BZ28</f>
        <v>0</v>
      </c>
      <c r="CQ43" s="1522">
        <f ca="1">Waterfall!CA28</f>
        <v>0</v>
      </c>
      <c r="CR43" s="1523">
        <f ca="1">Waterfall!CB28</f>
        <v>0</v>
      </c>
      <c r="CS43" s="1523">
        <f ca="1">Waterfall!CC28</f>
        <v>0</v>
      </c>
      <c r="CT43" s="1524">
        <f ca="1">Waterfall!CD28</f>
        <v>0</v>
      </c>
      <c r="CU43" s="1522">
        <f ca="1">Waterfall!CE28</f>
        <v>0</v>
      </c>
      <c r="CV43" s="1523">
        <f ca="1">Waterfall!CF28</f>
        <v>0</v>
      </c>
      <c r="CW43" s="1523">
        <f ca="1">Waterfall!CG28</f>
        <v>0</v>
      </c>
      <c r="CX43" s="1524">
        <f ca="1">Waterfall!CH28</f>
        <v>0</v>
      </c>
      <c r="CY43" s="1522">
        <f ca="1">Waterfall!CI28</f>
        <v>0</v>
      </c>
      <c r="CZ43" s="1523">
        <f ca="1">Waterfall!CJ28</f>
        <v>0</v>
      </c>
      <c r="DA43" s="1523">
        <f ca="1">Waterfall!CK28</f>
        <v>0</v>
      </c>
      <c r="DB43" s="1524">
        <f ca="1">Waterfall!CL28</f>
        <v>0</v>
      </c>
      <c r="DC43" s="1522">
        <f ca="1">Waterfall!CM28</f>
        <v>0</v>
      </c>
      <c r="DD43" s="1523">
        <f ca="1">Waterfall!CN28</f>
        <v>0</v>
      </c>
      <c r="DE43" s="1523">
        <f ca="1">Waterfall!CO28</f>
        <v>0</v>
      </c>
      <c r="DF43" s="1524">
        <f ca="1">Waterfall!CP28</f>
        <v>0</v>
      </c>
      <c r="DG43" s="1522">
        <f ca="1">Waterfall!CQ28</f>
        <v>0</v>
      </c>
      <c r="DH43" s="1523">
        <f ca="1">Waterfall!CR28</f>
        <v>0</v>
      </c>
      <c r="DI43" s="1523">
        <f ca="1">Waterfall!CS28</f>
        <v>0</v>
      </c>
      <c r="DJ43" s="1524">
        <f ca="1">Waterfall!CT28</f>
        <v>0</v>
      </c>
      <c r="DK43" s="1522">
        <f ca="1">Waterfall!CU28</f>
        <v>0</v>
      </c>
      <c r="DL43" s="1523">
        <f ca="1">Waterfall!CV28</f>
        <v>0</v>
      </c>
      <c r="DM43" s="1523">
        <f ca="1">Waterfall!CW28</f>
        <v>0</v>
      </c>
      <c r="DN43" s="1524">
        <f ca="1">Waterfall!CX28</f>
        <v>0</v>
      </c>
      <c r="DO43" s="1522">
        <f ca="1">Waterfall!CY28</f>
        <v>0</v>
      </c>
      <c r="DP43" s="1523">
        <f ca="1">Waterfall!CZ28</f>
        <v>0</v>
      </c>
      <c r="DQ43" s="1523">
        <f ca="1">Waterfall!DA28</f>
        <v>0</v>
      </c>
      <c r="DR43" s="1524">
        <f ca="1">Waterfall!DB28</f>
        <v>0</v>
      </c>
      <c r="DS43" s="1522">
        <f ca="1">Waterfall!DC28</f>
        <v>0</v>
      </c>
      <c r="DT43" s="1523">
        <f ca="1">Waterfall!DD28</f>
        <v>0</v>
      </c>
      <c r="DU43" s="1523">
        <f ca="1">Waterfall!DE28</f>
        <v>0</v>
      </c>
      <c r="DV43" s="1524">
        <f ca="1">Waterfall!DF28</f>
        <v>0</v>
      </c>
      <c r="DW43" s="1522">
        <f ca="1">Waterfall!DG28</f>
        <v>0</v>
      </c>
      <c r="DX43" s="1523">
        <f ca="1">Waterfall!DH28</f>
        <v>0</v>
      </c>
      <c r="DY43" s="1523">
        <f ca="1">Waterfall!DI28</f>
        <v>0</v>
      </c>
      <c r="DZ43" s="1524">
        <f ca="1">Waterfall!DJ28</f>
        <v>0</v>
      </c>
      <c r="EA43" s="1522">
        <f ca="1">Waterfall!DK28</f>
        <v>0</v>
      </c>
      <c r="EB43" s="1523">
        <f ca="1">Waterfall!DL28</f>
        <v>0</v>
      </c>
      <c r="EC43" s="1523">
        <f ca="1">Waterfall!DM28</f>
        <v>0</v>
      </c>
      <c r="ED43" s="1524">
        <f ca="1">Waterfall!DN28</f>
        <v>0</v>
      </c>
      <c r="EE43" s="1522">
        <f ca="1">Waterfall!DO28</f>
        <v>0</v>
      </c>
      <c r="EF43" s="1523">
        <f ca="1">Waterfall!DP28</f>
        <v>0</v>
      </c>
      <c r="EG43" s="1523">
        <f ca="1">Waterfall!DQ28</f>
        <v>0</v>
      </c>
      <c r="EH43" s="1524">
        <f ca="1">Waterfall!DR28</f>
        <v>0</v>
      </c>
      <c r="EI43" s="1522">
        <f ca="1">Waterfall!DS28</f>
        <v>0</v>
      </c>
      <c r="EJ43" s="1523">
        <f ca="1">Waterfall!DT28</f>
        <v>0</v>
      </c>
      <c r="EK43" s="1523">
        <f ca="1">Waterfall!DU28</f>
        <v>0</v>
      </c>
      <c r="EL43" s="1524">
        <f ca="1">Waterfall!DV28</f>
        <v>0</v>
      </c>
      <c r="EM43" s="1522">
        <f ca="1">Waterfall!DW28</f>
        <v>0</v>
      </c>
      <c r="EN43" s="1523">
        <f ca="1">Waterfall!DX28</f>
        <v>0</v>
      </c>
      <c r="EO43" s="1523">
        <f ca="1">Waterfall!DY28</f>
        <v>0</v>
      </c>
      <c r="EP43" s="1524">
        <f ca="1">Waterfall!DZ28</f>
        <v>0</v>
      </c>
      <c r="EQ43" s="1522">
        <f ca="1">Waterfall!EA28</f>
        <v>0</v>
      </c>
      <c r="ER43" s="1523">
        <f ca="1">Waterfall!EB28</f>
        <v>0</v>
      </c>
      <c r="ES43" s="1523">
        <f ca="1">Waterfall!EC28</f>
        <v>0</v>
      </c>
      <c r="ET43" s="1524">
        <f ca="1">Waterfall!ED28</f>
        <v>0</v>
      </c>
      <c r="EU43" s="1522">
        <f ca="1">Waterfall!EE28</f>
        <v>0</v>
      </c>
      <c r="EV43" s="1523">
        <f ca="1">Waterfall!EF28</f>
        <v>0</v>
      </c>
      <c r="EW43" s="1523">
        <f ca="1">Waterfall!EG28</f>
        <v>0</v>
      </c>
      <c r="EX43" s="1524">
        <f ca="1">Waterfall!EH28</f>
        <v>0</v>
      </c>
      <c r="EY43" s="1522">
        <f ca="1">Waterfall!EI28</f>
        <v>0</v>
      </c>
      <c r="EZ43" s="1523">
        <f ca="1">Waterfall!EJ28</f>
        <v>0</v>
      </c>
      <c r="FA43" s="1523">
        <f ca="1">Waterfall!EK28</f>
        <v>0</v>
      </c>
      <c r="FB43" s="1524">
        <f ca="1">Waterfall!EL28</f>
        <v>0</v>
      </c>
      <c r="FC43" s="1522">
        <f ca="1">Waterfall!EM28</f>
        <v>0</v>
      </c>
      <c r="FD43" s="1523">
        <f ca="1">Waterfall!EN28</f>
        <v>0</v>
      </c>
      <c r="FE43" s="1523">
        <f ca="1">Waterfall!EO28</f>
        <v>0</v>
      </c>
      <c r="FF43" s="1524">
        <f ca="1">Waterfall!EP28</f>
        <v>0</v>
      </c>
      <c r="FG43" s="1522">
        <f ca="1">Waterfall!EQ28</f>
        <v>0</v>
      </c>
      <c r="FH43" s="1523">
        <f ca="1">Waterfall!ER28</f>
        <v>0</v>
      </c>
      <c r="FI43" s="1523">
        <f ca="1">Waterfall!ES28</f>
        <v>0</v>
      </c>
      <c r="FJ43" s="1524">
        <f ca="1">Waterfall!ET28</f>
        <v>0</v>
      </c>
      <c r="FK43" s="1522">
        <f ca="1">Waterfall!EU28</f>
        <v>0</v>
      </c>
      <c r="FL43" s="1523">
        <f ca="1">Waterfall!EV28</f>
        <v>0</v>
      </c>
      <c r="FM43" s="1523">
        <f ca="1">Waterfall!EW28</f>
        <v>0</v>
      </c>
      <c r="FN43" s="1524">
        <f ca="1">Waterfall!EX28</f>
        <v>0</v>
      </c>
      <c r="FO43" s="1522">
        <f ca="1">Waterfall!EY28</f>
        <v>0</v>
      </c>
      <c r="FP43" s="1523">
        <f ca="1">Waterfall!EZ28</f>
        <v>0</v>
      </c>
      <c r="FQ43" s="1523">
        <f ca="1">Waterfall!FA28</f>
        <v>0</v>
      </c>
      <c r="FR43" s="1524">
        <f ca="1">Waterfall!FB28</f>
        <v>0</v>
      </c>
      <c r="FS43" s="1522">
        <f ca="1">Waterfall!FC28</f>
        <v>0</v>
      </c>
      <c r="FT43" s="1523">
        <f ca="1">Waterfall!FD28</f>
        <v>0</v>
      </c>
      <c r="FU43" s="1523">
        <f ca="1">Waterfall!FE28</f>
        <v>0</v>
      </c>
      <c r="FV43" s="1524">
        <f ca="1">Waterfall!FF28</f>
        <v>0</v>
      </c>
      <c r="FW43" s="1522">
        <f ca="1">Waterfall!FG28</f>
        <v>0</v>
      </c>
      <c r="FX43" s="1523">
        <f ca="1">Waterfall!FH28</f>
        <v>0</v>
      </c>
      <c r="FY43" s="1523">
        <f ca="1">Waterfall!FI28</f>
        <v>0</v>
      </c>
      <c r="FZ43" s="1524">
        <f ca="1">Waterfall!FJ28</f>
        <v>0</v>
      </c>
      <c r="GA43" s="1522">
        <f ca="1">Waterfall!FK28</f>
        <v>0</v>
      </c>
      <c r="GB43" s="1523">
        <f ca="1">Waterfall!FL28</f>
        <v>0</v>
      </c>
      <c r="GC43" s="1523">
        <f ca="1">Waterfall!FM28</f>
        <v>0</v>
      </c>
      <c r="GD43" s="1524">
        <f ca="1">Waterfall!FN28</f>
        <v>0</v>
      </c>
      <c r="GE43" s="1508"/>
      <c r="GF43" s="1509"/>
      <c r="GG43" s="1509"/>
      <c r="GH43" s="1509"/>
      <c r="GI43" s="1509"/>
      <c r="GJ43" s="1509"/>
      <c r="GK43" s="1509"/>
      <c r="GL43" s="1509"/>
      <c r="GM43" s="1509"/>
      <c r="GN43" s="1509"/>
      <c r="GO43" s="1509"/>
      <c r="GP43" s="1509"/>
      <c r="GQ43" s="1509"/>
      <c r="GR43" s="1509"/>
      <c r="GS43" s="1509"/>
      <c r="GT43" s="1509"/>
    </row>
    <row r="44" spans="2:202" ht="17.100000000000001" customHeight="1">
      <c r="B44" s="307"/>
      <c r="C44" s="489" t="s">
        <v>1324</v>
      </c>
      <c r="D44" s="331"/>
      <c r="E44" s="1546"/>
      <c r="F44" s="1517">
        <f t="shared" ca="1" si="11"/>
        <v>2794.3454534262364</v>
      </c>
      <c r="G44" s="1519">
        <f t="shared" ref="G44:BR44" si="39">SUM(G45:G46)</f>
        <v>0</v>
      </c>
      <c r="H44" s="1519">
        <f t="shared" si="39"/>
        <v>0</v>
      </c>
      <c r="I44" s="1519">
        <f t="shared" si="39"/>
        <v>0</v>
      </c>
      <c r="J44" s="1519">
        <f t="shared" si="39"/>
        <v>0</v>
      </c>
      <c r="K44" s="1519">
        <f t="shared" si="39"/>
        <v>0</v>
      </c>
      <c r="L44" s="1519">
        <f t="shared" si="39"/>
        <v>0</v>
      </c>
      <c r="M44" s="1519">
        <f t="shared" si="39"/>
        <v>0</v>
      </c>
      <c r="N44" s="1519">
        <f t="shared" si="39"/>
        <v>0</v>
      </c>
      <c r="O44" s="1519">
        <f t="shared" si="39"/>
        <v>0</v>
      </c>
      <c r="P44" s="1519">
        <f t="shared" si="39"/>
        <v>0</v>
      </c>
      <c r="Q44" s="1519">
        <f t="shared" si="39"/>
        <v>0</v>
      </c>
      <c r="R44" s="1519">
        <f t="shared" si="39"/>
        <v>0</v>
      </c>
      <c r="S44" s="1519">
        <f t="shared" si="39"/>
        <v>0</v>
      </c>
      <c r="T44" s="1519">
        <f t="shared" si="39"/>
        <v>0</v>
      </c>
      <c r="U44" s="1519">
        <f t="shared" si="39"/>
        <v>0</v>
      </c>
      <c r="V44" s="1519">
        <f t="shared" si="39"/>
        <v>0</v>
      </c>
      <c r="W44" s="1519">
        <f t="shared" ca="1" si="39"/>
        <v>0</v>
      </c>
      <c r="X44" s="1520">
        <f t="shared" ca="1" si="39"/>
        <v>0</v>
      </c>
      <c r="Y44" s="1520">
        <f t="shared" ca="1" si="39"/>
        <v>0</v>
      </c>
      <c r="Z44" s="1521">
        <f t="shared" ca="1" si="39"/>
        <v>0</v>
      </c>
      <c r="AA44" s="1519">
        <f t="shared" ca="1" si="39"/>
        <v>0</v>
      </c>
      <c r="AB44" s="1520">
        <f t="shared" ca="1" si="39"/>
        <v>0</v>
      </c>
      <c r="AC44" s="1520">
        <f t="shared" ca="1" si="39"/>
        <v>0</v>
      </c>
      <c r="AD44" s="1521">
        <f t="shared" ca="1" si="39"/>
        <v>0</v>
      </c>
      <c r="AE44" s="1522">
        <f t="shared" ca="1" si="39"/>
        <v>0</v>
      </c>
      <c r="AF44" s="1523">
        <f t="shared" ca="1" si="39"/>
        <v>0</v>
      </c>
      <c r="AG44" s="1523">
        <f t="shared" ca="1" si="39"/>
        <v>0</v>
      </c>
      <c r="AH44" s="1524">
        <f t="shared" ca="1" si="39"/>
        <v>0</v>
      </c>
      <c r="AI44" s="1522">
        <f t="shared" ca="1" si="39"/>
        <v>0</v>
      </c>
      <c r="AJ44" s="1523">
        <f t="shared" ca="1" si="39"/>
        <v>0</v>
      </c>
      <c r="AK44" s="1523">
        <f t="shared" ca="1" si="39"/>
        <v>0</v>
      </c>
      <c r="AL44" s="1524">
        <f t="shared" ca="1" si="39"/>
        <v>0</v>
      </c>
      <c r="AM44" s="1522">
        <f t="shared" ca="1" si="39"/>
        <v>0</v>
      </c>
      <c r="AN44" s="1523">
        <f t="shared" ca="1" si="39"/>
        <v>0</v>
      </c>
      <c r="AO44" s="1523">
        <f t="shared" ca="1" si="39"/>
        <v>0</v>
      </c>
      <c r="AP44" s="1524">
        <f t="shared" ca="1" si="39"/>
        <v>0</v>
      </c>
      <c r="AQ44" s="1522">
        <f t="shared" ca="1" si="39"/>
        <v>0</v>
      </c>
      <c r="AR44" s="1523">
        <f t="shared" ca="1" si="39"/>
        <v>0</v>
      </c>
      <c r="AS44" s="1523">
        <f t="shared" ca="1" si="39"/>
        <v>0</v>
      </c>
      <c r="AT44" s="1524">
        <f t="shared" ca="1" si="39"/>
        <v>0</v>
      </c>
      <c r="AU44" s="1522">
        <f t="shared" ca="1" si="39"/>
        <v>0</v>
      </c>
      <c r="AV44" s="1523">
        <f t="shared" ca="1" si="39"/>
        <v>0</v>
      </c>
      <c r="AW44" s="1523">
        <f t="shared" ca="1" si="39"/>
        <v>0</v>
      </c>
      <c r="AX44" s="1524">
        <f t="shared" ca="1" si="39"/>
        <v>0</v>
      </c>
      <c r="AY44" s="1522">
        <f t="shared" ca="1" si="39"/>
        <v>0</v>
      </c>
      <c r="AZ44" s="1523">
        <f t="shared" ca="1" si="39"/>
        <v>0</v>
      </c>
      <c r="BA44" s="1523">
        <f t="shared" ca="1" si="39"/>
        <v>0</v>
      </c>
      <c r="BB44" s="1524">
        <f t="shared" ca="1" si="39"/>
        <v>0</v>
      </c>
      <c r="BC44" s="1522">
        <f t="shared" ca="1" si="39"/>
        <v>0</v>
      </c>
      <c r="BD44" s="1523">
        <f t="shared" ca="1" si="39"/>
        <v>0</v>
      </c>
      <c r="BE44" s="1523">
        <f t="shared" ca="1" si="39"/>
        <v>0</v>
      </c>
      <c r="BF44" s="1524">
        <f t="shared" ca="1" si="39"/>
        <v>0</v>
      </c>
      <c r="BG44" s="1522">
        <f t="shared" ca="1" si="39"/>
        <v>1.585478126567498</v>
      </c>
      <c r="BH44" s="1523">
        <f t="shared" ca="1" si="39"/>
        <v>0</v>
      </c>
      <c r="BI44" s="1523">
        <f t="shared" ca="1" si="39"/>
        <v>0</v>
      </c>
      <c r="BJ44" s="1524">
        <f t="shared" ca="1" si="39"/>
        <v>0</v>
      </c>
      <c r="BK44" s="1522">
        <f t="shared" ca="1" si="39"/>
        <v>30.34879874323374</v>
      </c>
      <c r="BL44" s="1523">
        <f t="shared" ca="1" si="39"/>
        <v>0</v>
      </c>
      <c r="BM44" s="1523">
        <f t="shared" ca="1" si="39"/>
        <v>0</v>
      </c>
      <c r="BN44" s="1524">
        <f t="shared" ca="1" si="39"/>
        <v>0</v>
      </c>
      <c r="BO44" s="1522">
        <f t="shared" ca="1" si="39"/>
        <v>15.75713685472163</v>
      </c>
      <c r="BP44" s="1523">
        <f t="shared" ca="1" si="39"/>
        <v>0</v>
      </c>
      <c r="BQ44" s="1523">
        <f t="shared" ca="1" si="39"/>
        <v>0</v>
      </c>
      <c r="BR44" s="1524">
        <f t="shared" ca="1" si="39"/>
        <v>0</v>
      </c>
      <c r="BS44" s="1522">
        <f t="shared" ref="BS44:ED44" ca="1" si="40">SUM(BS45:BS46)</f>
        <v>28.642454820594555</v>
      </c>
      <c r="BT44" s="1523">
        <f t="shared" ca="1" si="40"/>
        <v>0</v>
      </c>
      <c r="BU44" s="1523">
        <f t="shared" ca="1" si="40"/>
        <v>0</v>
      </c>
      <c r="BV44" s="1524">
        <f t="shared" ca="1" si="40"/>
        <v>0</v>
      </c>
      <c r="BW44" s="1522">
        <f t="shared" ca="1" si="40"/>
        <v>25.040784896574287</v>
      </c>
      <c r="BX44" s="1523">
        <f t="shared" ca="1" si="40"/>
        <v>0</v>
      </c>
      <c r="BY44" s="1523">
        <f t="shared" ca="1" si="40"/>
        <v>0</v>
      </c>
      <c r="BZ44" s="1524">
        <f t="shared" ca="1" si="40"/>
        <v>0</v>
      </c>
      <c r="CA44" s="1522">
        <f t="shared" ca="1" si="40"/>
        <v>26.608340660995566</v>
      </c>
      <c r="CB44" s="1523">
        <f t="shared" ca="1" si="40"/>
        <v>0</v>
      </c>
      <c r="CC44" s="1523">
        <f t="shared" ca="1" si="40"/>
        <v>0</v>
      </c>
      <c r="CD44" s="1524">
        <f t="shared" ca="1" si="40"/>
        <v>0</v>
      </c>
      <c r="CE44" s="1522">
        <f t="shared" ca="1" si="40"/>
        <v>32.902694762689322</v>
      </c>
      <c r="CF44" s="1523">
        <f t="shared" ca="1" si="40"/>
        <v>0</v>
      </c>
      <c r="CG44" s="1523">
        <f t="shared" ca="1" si="40"/>
        <v>0</v>
      </c>
      <c r="CH44" s="1524">
        <f t="shared" ca="1" si="40"/>
        <v>0</v>
      </c>
      <c r="CI44" s="1522">
        <f t="shared" ca="1" si="40"/>
        <v>32.479099084009526</v>
      </c>
      <c r="CJ44" s="1523">
        <f t="shared" ca="1" si="40"/>
        <v>0</v>
      </c>
      <c r="CK44" s="1523">
        <f t="shared" ca="1" si="40"/>
        <v>0</v>
      </c>
      <c r="CL44" s="1524">
        <f t="shared" ca="1" si="40"/>
        <v>0</v>
      </c>
      <c r="CM44" s="1522">
        <f t="shared" ca="1" si="40"/>
        <v>34.050114158243836</v>
      </c>
      <c r="CN44" s="1523">
        <f t="shared" ca="1" si="40"/>
        <v>0</v>
      </c>
      <c r="CO44" s="1523">
        <f t="shared" ca="1" si="40"/>
        <v>0</v>
      </c>
      <c r="CP44" s="1524">
        <f t="shared" ca="1" si="40"/>
        <v>0</v>
      </c>
      <c r="CQ44" s="1522">
        <f t="shared" ca="1" si="40"/>
        <v>55.81566854556273</v>
      </c>
      <c r="CR44" s="1523">
        <f t="shared" ca="1" si="40"/>
        <v>0</v>
      </c>
      <c r="CS44" s="1523">
        <f t="shared" ca="1" si="40"/>
        <v>0</v>
      </c>
      <c r="CT44" s="1524">
        <f t="shared" ca="1" si="40"/>
        <v>0</v>
      </c>
      <c r="CU44" s="1522">
        <f t="shared" ca="1" si="40"/>
        <v>57.396316468599899</v>
      </c>
      <c r="CV44" s="1523">
        <f t="shared" ca="1" si="40"/>
        <v>0</v>
      </c>
      <c r="CW44" s="1523">
        <f t="shared" ca="1" si="40"/>
        <v>0</v>
      </c>
      <c r="CX44" s="1524">
        <f t="shared" ca="1" si="40"/>
        <v>0</v>
      </c>
      <c r="CY44" s="1522">
        <f t="shared" ca="1" si="40"/>
        <v>70.930748371729308</v>
      </c>
      <c r="CZ44" s="1523">
        <f t="shared" ca="1" si="40"/>
        <v>0</v>
      </c>
      <c r="DA44" s="1523">
        <f t="shared" ca="1" si="40"/>
        <v>0</v>
      </c>
      <c r="DB44" s="1524">
        <f t="shared" ca="1" si="40"/>
        <v>0</v>
      </c>
      <c r="DC44" s="1522">
        <f t="shared" ca="1" si="40"/>
        <v>73.385307651134539</v>
      </c>
      <c r="DD44" s="1523">
        <f t="shared" ca="1" si="40"/>
        <v>0</v>
      </c>
      <c r="DE44" s="1523">
        <f t="shared" ca="1" si="40"/>
        <v>0</v>
      </c>
      <c r="DF44" s="1524">
        <f t="shared" ca="1" si="40"/>
        <v>0</v>
      </c>
      <c r="DG44" s="1522">
        <f t="shared" ca="1" si="40"/>
        <v>85.205111038661286</v>
      </c>
      <c r="DH44" s="1523">
        <f t="shared" ca="1" si="40"/>
        <v>0</v>
      </c>
      <c r="DI44" s="1523">
        <f t="shared" ca="1" si="40"/>
        <v>0</v>
      </c>
      <c r="DJ44" s="1524">
        <f t="shared" ca="1" si="40"/>
        <v>0</v>
      </c>
      <c r="DK44" s="1522">
        <f t="shared" ca="1" si="40"/>
        <v>88.072687054561314</v>
      </c>
      <c r="DL44" s="1523">
        <f t="shared" ca="1" si="40"/>
        <v>0</v>
      </c>
      <c r="DM44" s="1523">
        <f t="shared" ca="1" si="40"/>
        <v>0</v>
      </c>
      <c r="DN44" s="1524">
        <f t="shared" ca="1" si="40"/>
        <v>0</v>
      </c>
      <c r="DO44" s="1522">
        <f t="shared" ca="1" si="40"/>
        <v>84.922464029390852</v>
      </c>
      <c r="DP44" s="1523">
        <f t="shared" ca="1" si="40"/>
        <v>0</v>
      </c>
      <c r="DQ44" s="1523">
        <f t="shared" ca="1" si="40"/>
        <v>0</v>
      </c>
      <c r="DR44" s="1524">
        <f t="shared" ca="1" si="40"/>
        <v>0</v>
      </c>
      <c r="DS44" s="1522">
        <f t="shared" ca="1" si="40"/>
        <v>102.15508025765351</v>
      </c>
      <c r="DT44" s="1523">
        <f t="shared" ca="1" si="40"/>
        <v>0</v>
      </c>
      <c r="DU44" s="1523">
        <f t="shared" ca="1" si="40"/>
        <v>0</v>
      </c>
      <c r="DV44" s="1524">
        <f t="shared" ca="1" si="40"/>
        <v>0</v>
      </c>
      <c r="DW44" s="1522">
        <f t="shared" ca="1" si="40"/>
        <v>108.38100940147186</v>
      </c>
      <c r="DX44" s="1523">
        <f t="shared" ca="1" si="40"/>
        <v>0</v>
      </c>
      <c r="DY44" s="1523">
        <f t="shared" ca="1" si="40"/>
        <v>0</v>
      </c>
      <c r="DZ44" s="1524">
        <f t="shared" ca="1" si="40"/>
        <v>0</v>
      </c>
      <c r="EA44" s="1522">
        <f t="shared" ca="1" si="40"/>
        <v>104.95066833200305</v>
      </c>
      <c r="EB44" s="1523">
        <f t="shared" ca="1" si="40"/>
        <v>0</v>
      </c>
      <c r="EC44" s="1523">
        <f t="shared" ca="1" si="40"/>
        <v>0</v>
      </c>
      <c r="ED44" s="1524">
        <f t="shared" ca="1" si="40"/>
        <v>0</v>
      </c>
      <c r="EE44" s="1522">
        <f t="shared" ref="EE44:GD44" ca="1" si="41">SUM(EE45:EE46)</f>
        <v>93.989140875407045</v>
      </c>
      <c r="EF44" s="1523">
        <f t="shared" ca="1" si="41"/>
        <v>0</v>
      </c>
      <c r="EG44" s="1523">
        <f t="shared" ca="1" si="41"/>
        <v>0</v>
      </c>
      <c r="EH44" s="1524">
        <f t="shared" ca="1" si="41"/>
        <v>0</v>
      </c>
      <c r="EI44" s="1522">
        <f t="shared" ca="1" si="41"/>
        <v>61.701739390932381</v>
      </c>
      <c r="EJ44" s="1523">
        <f t="shared" ca="1" si="41"/>
        <v>0</v>
      </c>
      <c r="EK44" s="1523">
        <f t="shared" ca="1" si="41"/>
        <v>0</v>
      </c>
      <c r="EL44" s="1524">
        <f t="shared" ca="1" si="41"/>
        <v>0</v>
      </c>
      <c r="EM44" s="1522">
        <f t="shared" ca="1" si="41"/>
        <v>69.934219117380422</v>
      </c>
      <c r="EN44" s="1523">
        <f t="shared" ca="1" si="41"/>
        <v>0</v>
      </c>
      <c r="EO44" s="1523">
        <f t="shared" ca="1" si="41"/>
        <v>0</v>
      </c>
      <c r="EP44" s="1524">
        <f t="shared" ca="1" si="41"/>
        <v>0</v>
      </c>
      <c r="EQ44" s="1522">
        <f t="shared" ca="1" si="41"/>
        <v>62.9134537110941</v>
      </c>
      <c r="ER44" s="1523">
        <f t="shared" ca="1" si="41"/>
        <v>0</v>
      </c>
      <c r="ES44" s="1523">
        <f t="shared" ca="1" si="41"/>
        <v>0</v>
      </c>
      <c r="ET44" s="1524">
        <f t="shared" ca="1" si="41"/>
        <v>0</v>
      </c>
      <c r="EU44" s="1522">
        <f t="shared" ca="1" si="41"/>
        <v>67.970962248008334</v>
      </c>
      <c r="EV44" s="1523">
        <f t="shared" ca="1" si="41"/>
        <v>0</v>
      </c>
      <c r="EW44" s="1523">
        <f t="shared" ca="1" si="41"/>
        <v>0</v>
      </c>
      <c r="EX44" s="1524">
        <f t="shared" ca="1" si="41"/>
        <v>0</v>
      </c>
      <c r="EY44" s="1522">
        <f t="shared" ca="1" si="41"/>
        <v>76.542876805189607</v>
      </c>
      <c r="EZ44" s="1523">
        <f t="shared" ca="1" si="41"/>
        <v>0</v>
      </c>
      <c r="FA44" s="1523">
        <f t="shared" ca="1" si="41"/>
        <v>0</v>
      </c>
      <c r="FB44" s="1524">
        <f t="shared" ca="1" si="41"/>
        <v>0</v>
      </c>
      <c r="FC44" s="1522">
        <f t="shared" ca="1" si="41"/>
        <v>74.124388926964514</v>
      </c>
      <c r="FD44" s="1523">
        <f t="shared" ca="1" si="41"/>
        <v>0</v>
      </c>
      <c r="FE44" s="1523">
        <f t="shared" ca="1" si="41"/>
        <v>0</v>
      </c>
      <c r="FF44" s="1524">
        <f t="shared" ca="1" si="41"/>
        <v>0</v>
      </c>
      <c r="FG44" s="1522">
        <f t="shared" ca="1" si="41"/>
        <v>74.706368267369982</v>
      </c>
      <c r="FH44" s="1523">
        <f t="shared" ca="1" si="41"/>
        <v>0</v>
      </c>
      <c r="FI44" s="1523">
        <f t="shared" ca="1" si="41"/>
        <v>0</v>
      </c>
      <c r="FJ44" s="1524">
        <f t="shared" ca="1" si="41"/>
        <v>0</v>
      </c>
      <c r="FK44" s="1522">
        <f t="shared" ca="1" si="41"/>
        <v>86.67281041824134</v>
      </c>
      <c r="FL44" s="1523">
        <f t="shared" ca="1" si="41"/>
        <v>0</v>
      </c>
      <c r="FM44" s="1523">
        <f t="shared" ca="1" si="41"/>
        <v>0</v>
      </c>
      <c r="FN44" s="1524">
        <f t="shared" ca="1" si="41"/>
        <v>0</v>
      </c>
      <c r="FO44" s="1522">
        <f t="shared" ca="1" si="41"/>
        <v>86.953948659286823</v>
      </c>
      <c r="FP44" s="1523">
        <f t="shared" ca="1" si="41"/>
        <v>0</v>
      </c>
      <c r="FQ44" s="1523">
        <f t="shared" ca="1" si="41"/>
        <v>0</v>
      </c>
      <c r="FR44" s="1524">
        <f t="shared" ca="1" si="41"/>
        <v>0</v>
      </c>
      <c r="FS44" s="1522">
        <f t="shared" ca="1" si="41"/>
        <v>88.863067239873004</v>
      </c>
      <c r="FT44" s="1523">
        <f t="shared" ca="1" si="41"/>
        <v>0</v>
      </c>
      <c r="FU44" s="1523">
        <f t="shared" ca="1" si="41"/>
        <v>0</v>
      </c>
      <c r="FV44" s="1524">
        <f t="shared" ca="1" si="41"/>
        <v>0</v>
      </c>
      <c r="FW44" s="1522">
        <f t="shared" ca="1" si="41"/>
        <v>96.374178419659287</v>
      </c>
      <c r="FX44" s="1523">
        <f t="shared" ca="1" si="41"/>
        <v>0</v>
      </c>
      <c r="FY44" s="1523">
        <f t="shared" ca="1" si="41"/>
        <v>0</v>
      </c>
      <c r="FZ44" s="1524">
        <f t="shared" ca="1" si="41"/>
        <v>0</v>
      </c>
      <c r="GA44" s="1522">
        <f t="shared" ca="1" si="41"/>
        <v>97.38190592007615</v>
      </c>
      <c r="GB44" s="1523">
        <f t="shared" ca="1" si="41"/>
        <v>697.58643016835504</v>
      </c>
      <c r="GC44" s="1523">
        <f t="shared" ca="1" si="41"/>
        <v>0</v>
      </c>
      <c r="GD44" s="1524">
        <f t="shared" ca="1" si="41"/>
        <v>0</v>
      </c>
      <c r="GE44" s="1508"/>
      <c r="GF44" s="1509"/>
      <c r="GG44" s="1509"/>
      <c r="GH44" s="1509"/>
      <c r="GI44" s="1509"/>
      <c r="GJ44" s="1509"/>
      <c r="GK44" s="1509"/>
      <c r="GL44" s="1509"/>
      <c r="GM44" s="1509"/>
      <c r="GN44" s="1509"/>
      <c r="GO44" s="1509"/>
      <c r="GP44" s="1509"/>
      <c r="GQ44" s="1509"/>
      <c r="GR44" s="1509"/>
      <c r="GS44" s="1509"/>
      <c r="GT44" s="1509"/>
    </row>
    <row r="45" spans="2:202" ht="17.100000000000001" customHeight="1">
      <c r="B45" s="307"/>
      <c r="C45" s="489"/>
      <c r="D45" s="342" t="s">
        <v>1325</v>
      </c>
      <c r="E45" s="1547"/>
      <c r="F45" s="1548">
        <f t="shared" ca="1" si="11"/>
        <v>2096.7590232578814</v>
      </c>
      <c r="G45" s="1549"/>
      <c r="H45" s="1549"/>
      <c r="I45" s="1549"/>
      <c r="J45" s="1549"/>
      <c r="K45" s="1549"/>
      <c r="L45" s="1549"/>
      <c r="M45" s="1549"/>
      <c r="N45" s="1549"/>
      <c r="O45" s="1549"/>
      <c r="P45" s="1549"/>
      <c r="Q45" s="1549"/>
      <c r="R45" s="1549"/>
      <c r="S45" s="1549"/>
      <c r="T45" s="1549"/>
      <c r="U45" s="1549"/>
      <c r="V45" s="1549"/>
      <c r="W45" s="920">
        <v>0</v>
      </c>
      <c r="X45" s="921">
        <f>Waterfall!G110</f>
        <v>0</v>
      </c>
      <c r="Y45" s="921">
        <f>Waterfall!H110</f>
        <v>0</v>
      </c>
      <c r="Z45" s="922">
        <f>Waterfall!I110</f>
        <v>0</v>
      </c>
      <c r="AA45" s="920">
        <f ca="1">Waterfall!J110</f>
        <v>0</v>
      </c>
      <c r="AB45" s="921">
        <f>Waterfall!K110</f>
        <v>0</v>
      </c>
      <c r="AC45" s="921">
        <f>Waterfall!L110</f>
        <v>0</v>
      </c>
      <c r="AD45" s="922">
        <f>Waterfall!M110</f>
        <v>0</v>
      </c>
      <c r="AE45" s="1550">
        <f ca="1">Waterfall!N110</f>
        <v>0</v>
      </c>
      <c r="AF45" s="1551">
        <f>Waterfall!O110</f>
        <v>0</v>
      </c>
      <c r="AG45" s="1551">
        <f>Waterfall!P110</f>
        <v>0</v>
      </c>
      <c r="AH45" s="1552">
        <f>Waterfall!Q110</f>
        <v>0</v>
      </c>
      <c r="AI45" s="1550">
        <f ca="1">Waterfall!R110</f>
        <v>0</v>
      </c>
      <c r="AJ45" s="1551">
        <f>Waterfall!S110</f>
        <v>0</v>
      </c>
      <c r="AK45" s="1551">
        <f>Waterfall!T110</f>
        <v>0</v>
      </c>
      <c r="AL45" s="1552">
        <f>Waterfall!U110</f>
        <v>0</v>
      </c>
      <c r="AM45" s="1550">
        <f ca="1">Waterfall!V110</f>
        <v>0</v>
      </c>
      <c r="AN45" s="1551">
        <f>Waterfall!W110</f>
        <v>0</v>
      </c>
      <c r="AO45" s="1551">
        <f>Waterfall!X110</f>
        <v>0</v>
      </c>
      <c r="AP45" s="1552">
        <f>Waterfall!Y110</f>
        <v>0</v>
      </c>
      <c r="AQ45" s="1550">
        <f ca="1">Waterfall!Z110</f>
        <v>0</v>
      </c>
      <c r="AR45" s="1551">
        <f>Waterfall!AA110</f>
        <v>0</v>
      </c>
      <c r="AS45" s="1551">
        <f>Waterfall!AB110</f>
        <v>0</v>
      </c>
      <c r="AT45" s="1552">
        <f>Waterfall!AC110</f>
        <v>0</v>
      </c>
      <c r="AU45" s="1550">
        <f ca="1">Waterfall!AD110</f>
        <v>0</v>
      </c>
      <c r="AV45" s="1551">
        <f>Waterfall!AE110</f>
        <v>0</v>
      </c>
      <c r="AW45" s="1551">
        <f>Waterfall!AF110</f>
        <v>0</v>
      </c>
      <c r="AX45" s="1552">
        <f>Waterfall!AG110</f>
        <v>0</v>
      </c>
      <c r="AY45" s="1550">
        <f ca="1">Waterfall!AH110</f>
        <v>0</v>
      </c>
      <c r="AZ45" s="1551">
        <f>Waterfall!AI110</f>
        <v>0</v>
      </c>
      <c r="BA45" s="1551">
        <f>Waterfall!AJ110</f>
        <v>0</v>
      </c>
      <c r="BB45" s="1552">
        <f>Waterfall!AK110</f>
        <v>0</v>
      </c>
      <c r="BC45" s="1550">
        <f ca="1">Waterfall!AL110</f>
        <v>0</v>
      </c>
      <c r="BD45" s="1551">
        <f>Waterfall!AM110</f>
        <v>0</v>
      </c>
      <c r="BE45" s="1551">
        <f>Waterfall!AN110</f>
        <v>0</v>
      </c>
      <c r="BF45" s="1552">
        <f>Waterfall!AO110</f>
        <v>0</v>
      </c>
      <c r="BG45" s="1550">
        <f ca="1">Waterfall!AP110</f>
        <v>1.585478126567498</v>
      </c>
      <c r="BH45" s="1551">
        <f>Waterfall!AQ110</f>
        <v>0</v>
      </c>
      <c r="BI45" s="1551">
        <f>Waterfall!AR110</f>
        <v>0</v>
      </c>
      <c r="BJ45" s="1552">
        <f>Waterfall!AS110</f>
        <v>0</v>
      </c>
      <c r="BK45" s="1550">
        <f ca="1">Waterfall!AT110</f>
        <v>30.34879874323374</v>
      </c>
      <c r="BL45" s="1551">
        <f>Waterfall!AU110</f>
        <v>0</v>
      </c>
      <c r="BM45" s="1551">
        <f>Waterfall!AV110</f>
        <v>0</v>
      </c>
      <c r="BN45" s="1552">
        <f>Waterfall!AW110</f>
        <v>0</v>
      </c>
      <c r="BO45" s="1550">
        <f ca="1">Waterfall!AX110</f>
        <v>15.75713685472163</v>
      </c>
      <c r="BP45" s="1551">
        <f>Waterfall!AY110</f>
        <v>0</v>
      </c>
      <c r="BQ45" s="1551">
        <f>Waterfall!AZ110</f>
        <v>0</v>
      </c>
      <c r="BR45" s="1552">
        <f>Waterfall!BA110</f>
        <v>0</v>
      </c>
      <c r="BS45" s="1550">
        <f ca="1">Waterfall!BB110</f>
        <v>28.642454820594555</v>
      </c>
      <c r="BT45" s="1551">
        <f>Waterfall!BC110</f>
        <v>0</v>
      </c>
      <c r="BU45" s="1551">
        <f>Waterfall!BD110</f>
        <v>0</v>
      </c>
      <c r="BV45" s="1552">
        <f>Waterfall!BE110</f>
        <v>0</v>
      </c>
      <c r="BW45" s="1550">
        <f ca="1">Waterfall!BF110</f>
        <v>25.040784896574287</v>
      </c>
      <c r="BX45" s="1551">
        <f>Waterfall!BG110</f>
        <v>0</v>
      </c>
      <c r="BY45" s="1551">
        <f>Waterfall!BH110</f>
        <v>0</v>
      </c>
      <c r="BZ45" s="1552">
        <f>Waterfall!BI110</f>
        <v>0</v>
      </c>
      <c r="CA45" s="1550">
        <f ca="1">Waterfall!BJ110</f>
        <v>26.608340660995566</v>
      </c>
      <c r="CB45" s="1551">
        <f>Waterfall!BK110</f>
        <v>0</v>
      </c>
      <c r="CC45" s="1551">
        <f>Waterfall!BL110</f>
        <v>0</v>
      </c>
      <c r="CD45" s="1552">
        <f>Waterfall!BM110</f>
        <v>0</v>
      </c>
      <c r="CE45" s="1550">
        <f ca="1">Waterfall!BN110</f>
        <v>32.902694762689322</v>
      </c>
      <c r="CF45" s="1551">
        <f>Waterfall!BO110</f>
        <v>0</v>
      </c>
      <c r="CG45" s="1551">
        <f>Waterfall!BP110</f>
        <v>0</v>
      </c>
      <c r="CH45" s="1552">
        <f>Waterfall!BQ110</f>
        <v>0</v>
      </c>
      <c r="CI45" s="1550">
        <f ca="1">Waterfall!BR110</f>
        <v>32.479099084009526</v>
      </c>
      <c r="CJ45" s="1551">
        <f>Waterfall!BS110</f>
        <v>0</v>
      </c>
      <c r="CK45" s="1551">
        <f>Waterfall!BT110</f>
        <v>0</v>
      </c>
      <c r="CL45" s="1552">
        <f>Waterfall!BU110</f>
        <v>0</v>
      </c>
      <c r="CM45" s="1550">
        <f ca="1">Waterfall!BV110</f>
        <v>34.050114158243836</v>
      </c>
      <c r="CN45" s="1551">
        <f>Waterfall!BW110</f>
        <v>0</v>
      </c>
      <c r="CO45" s="1551">
        <f>Waterfall!BX110</f>
        <v>0</v>
      </c>
      <c r="CP45" s="1552">
        <f>Waterfall!BY110</f>
        <v>0</v>
      </c>
      <c r="CQ45" s="1550">
        <f ca="1">Waterfall!BZ110</f>
        <v>55.81566854556273</v>
      </c>
      <c r="CR45" s="1551">
        <f>Waterfall!CA110</f>
        <v>0</v>
      </c>
      <c r="CS45" s="1551">
        <f>Waterfall!CB110</f>
        <v>0</v>
      </c>
      <c r="CT45" s="1552">
        <f>Waterfall!CC110</f>
        <v>0</v>
      </c>
      <c r="CU45" s="1550">
        <f ca="1">Waterfall!CD110</f>
        <v>57.396316468599899</v>
      </c>
      <c r="CV45" s="1551">
        <f>Waterfall!CE110</f>
        <v>0</v>
      </c>
      <c r="CW45" s="1551">
        <f>Waterfall!CF110</f>
        <v>0</v>
      </c>
      <c r="CX45" s="1552">
        <f>Waterfall!CG110</f>
        <v>0</v>
      </c>
      <c r="CY45" s="1550">
        <f ca="1">Waterfall!CH110</f>
        <v>70.930748371729308</v>
      </c>
      <c r="CZ45" s="1551">
        <f>Waterfall!CI110</f>
        <v>0</v>
      </c>
      <c r="DA45" s="1551">
        <f>Waterfall!CJ110</f>
        <v>0</v>
      </c>
      <c r="DB45" s="1552">
        <f>Waterfall!CK110</f>
        <v>0</v>
      </c>
      <c r="DC45" s="1550">
        <f ca="1">Waterfall!CL110</f>
        <v>73.385307651134539</v>
      </c>
      <c r="DD45" s="1551">
        <f>Waterfall!CM110</f>
        <v>0</v>
      </c>
      <c r="DE45" s="1551">
        <f>Waterfall!CN110</f>
        <v>0</v>
      </c>
      <c r="DF45" s="1552">
        <f>Waterfall!CO110</f>
        <v>0</v>
      </c>
      <c r="DG45" s="1550">
        <f ca="1">Waterfall!CP110</f>
        <v>85.205111038661286</v>
      </c>
      <c r="DH45" s="1551">
        <f>Waterfall!CQ110</f>
        <v>0</v>
      </c>
      <c r="DI45" s="1551">
        <f>Waterfall!CR110</f>
        <v>0</v>
      </c>
      <c r="DJ45" s="1552">
        <f>Waterfall!CS110</f>
        <v>0</v>
      </c>
      <c r="DK45" s="1550">
        <f ca="1">Waterfall!CT110</f>
        <v>88.072687054561314</v>
      </c>
      <c r="DL45" s="1551">
        <f>Waterfall!CU110</f>
        <v>0</v>
      </c>
      <c r="DM45" s="1551">
        <f>Waterfall!CV110</f>
        <v>0</v>
      </c>
      <c r="DN45" s="1552">
        <f>Waterfall!CW110</f>
        <v>0</v>
      </c>
      <c r="DO45" s="1550">
        <f ca="1">Waterfall!CX110</f>
        <v>84.922464029390852</v>
      </c>
      <c r="DP45" s="1551">
        <f>Waterfall!CY110</f>
        <v>0</v>
      </c>
      <c r="DQ45" s="1551">
        <f>Waterfall!CZ110</f>
        <v>0</v>
      </c>
      <c r="DR45" s="1552">
        <f>Waterfall!DA110</f>
        <v>0</v>
      </c>
      <c r="DS45" s="1550">
        <f ca="1">Waterfall!DB110</f>
        <v>102.15508025765351</v>
      </c>
      <c r="DT45" s="1551">
        <f>Waterfall!DC110</f>
        <v>0</v>
      </c>
      <c r="DU45" s="1551">
        <f>Waterfall!DD110</f>
        <v>0</v>
      </c>
      <c r="DV45" s="1552">
        <f>Waterfall!DE110</f>
        <v>0</v>
      </c>
      <c r="DW45" s="1550">
        <f ca="1">Waterfall!DF110</f>
        <v>108.38100940147186</v>
      </c>
      <c r="DX45" s="1551">
        <f>Waterfall!DG110</f>
        <v>0</v>
      </c>
      <c r="DY45" s="1551">
        <f>Waterfall!DH110</f>
        <v>0</v>
      </c>
      <c r="DZ45" s="1552">
        <f>Waterfall!DI110</f>
        <v>0</v>
      </c>
      <c r="EA45" s="1550">
        <f ca="1">Waterfall!DJ110</f>
        <v>104.95066833200305</v>
      </c>
      <c r="EB45" s="1551">
        <f>Waterfall!DK110</f>
        <v>0</v>
      </c>
      <c r="EC45" s="1551">
        <f>Waterfall!DL110</f>
        <v>0</v>
      </c>
      <c r="ED45" s="1552">
        <f>Waterfall!DM110</f>
        <v>0</v>
      </c>
      <c r="EE45" s="1550">
        <f ca="1">Waterfall!DN110</f>
        <v>93.989140875407045</v>
      </c>
      <c r="EF45" s="1551">
        <f>Waterfall!DO110</f>
        <v>0</v>
      </c>
      <c r="EG45" s="1551">
        <f>Waterfall!DP110</f>
        <v>0</v>
      </c>
      <c r="EH45" s="1552">
        <f>Waterfall!DQ110</f>
        <v>0</v>
      </c>
      <c r="EI45" s="1550">
        <f ca="1">Waterfall!DR110</f>
        <v>61.701739390932381</v>
      </c>
      <c r="EJ45" s="1551">
        <f>Waterfall!DS110</f>
        <v>0</v>
      </c>
      <c r="EK45" s="1551">
        <f>Waterfall!DT110</f>
        <v>0</v>
      </c>
      <c r="EL45" s="1552">
        <f>Waterfall!DU110</f>
        <v>0</v>
      </c>
      <c r="EM45" s="1550">
        <f ca="1">Waterfall!DV110</f>
        <v>69.934219117380422</v>
      </c>
      <c r="EN45" s="1551">
        <f>Waterfall!DW110</f>
        <v>0</v>
      </c>
      <c r="EO45" s="1551">
        <f>Waterfall!DX110</f>
        <v>0</v>
      </c>
      <c r="EP45" s="1552">
        <f>Waterfall!DY110</f>
        <v>0</v>
      </c>
      <c r="EQ45" s="1550">
        <f ca="1">Waterfall!DZ110</f>
        <v>62.9134537110941</v>
      </c>
      <c r="ER45" s="1551">
        <f>Waterfall!EA110</f>
        <v>0</v>
      </c>
      <c r="ES45" s="1551">
        <f>Waterfall!EB110</f>
        <v>0</v>
      </c>
      <c r="ET45" s="1552">
        <f>Waterfall!EC110</f>
        <v>0</v>
      </c>
      <c r="EU45" s="1550">
        <f ca="1">Waterfall!ED110</f>
        <v>67.970962248008334</v>
      </c>
      <c r="EV45" s="1551">
        <f>Waterfall!EE110</f>
        <v>0</v>
      </c>
      <c r="EW45" s="1551">
        <f>Waterfall!EF110</f>
        <v>0</v>
      </c>
      <c r="EX45" s="1552">
        <f>Waterfall!EG110</f>
        <v>0</v>
      </c>
      <c r="EY45" s="1550">
        <f ca="1">Waterfall!EH110</f>
        <v>76.542876805189607</v>
      </c>
      <c r="EZ45" s="1551">
        <f>Waterfall!EI110</f>
        <v>0</v>
      </c>
      <c r="FA45" s="1551">
        <f>Waterfall!EJ110</f>
        <v>0</v>
      </c>
      <c r="FB45" s="1552">
        <f>Waterfall!EK110</f>
        <v>0</v>
      </c>
      <c r="FC45" s="1550">
        <f ca="1">Waterfall!EL110</f>
        <v>74.124388926964514</v>
      </c>
      <c r="FD45" s="1551">
        <f>Waterfall!EM110</f>
        <v>0</v>
      </c>
      <c r="FE45" s="1551">
        <f>Waterfall!EN110</f>
        <v>0</v>
      </c>
      <c r="FF45" s="1552">
        <f>Waterfall!EO110</f>
        <v>0</v>
      </c>
      <c r="FG45" s="1550">
        <f ca="1">Waterfall!EP110</f>
        <v>74.706368267369982</v>
      </c>
      <c r="FH45" s="1551">
        <f>Waterfall!EQ110</f>
        <v>0</v>
      </c>
      <c r="FI45" s="1551">
        <f>Waterfall!ER110</f>
        <v>0</v>
      </c>
      <c r="FJ45" s="1552">
        <f>Waterfall!ES110</f>
        <v>0</v>
      </c>
      <c r="FK45" s="1550">
        <f ca="1">Waterfall!ET110</f>
        <v>86.67281041824134</v>
      </c>
      <c r="FL45" s="1551">
        <f>Waterfall!EU110</f>
        <v>0</v>
      </c>
      <c r="FM45" s="1551">
        <f>Waterfall!EV110</f>
        <v>0</v>
      </c>
      <c r="FN45" s="1552">
        <f>Waterfall!EW110</f>
        <v>0</v>
      </c>
      <c r="FO45" s="1550">
        <f ca="1">Waterfall!EX110</f>
        <v>86.953948659286823</v>
      </c>
      <c r="FP45" s="1551">
        <f>Waterfall!EY110</f>
        <v>0</v>
      </c>
      <c r="FQ45" s="1551">
        <f>Waterfall!EZ110</f>
        <v>0</v>
      </c>
      <c r="FR45" s="1552">
        <f>Waterfall!FA110</f>
        <v>0</v>
      </c>
      <c r="FS45" s="1550">
        <f ca="1">Waterfall!FB110</f>
        <v>88.863067239873004</v>
      </c>
      <c r="FT45" s="1551">
        <f>Waterfall!FC110</f>
        <v>0</v>
      </c>
      <c r="FU45" s="1551">
        <f>Waterfall!FD110</f>
        <v>0</v>
      </c>
      <c r="FV45" s="1552">
        <f>Waterfall!FE110</f>
        <v>0</v>
      </c>
      <c r="FW45" s="1550">
        <f ca="1">Waterfall!FF110</f>
        <v>96.374178419659287</v>
      </c>
      <c r="FX45" s="1551">
        <f>Waterfall!FG110</f>
        <v>0</v>
      </c>
      <c r="FY45" s="1551">
        <f>Waterfall!FH110</f>
        <v>0</v>
      </c>
      <c r="FZ45" s="1552">
        <f>Waterfall!FI110</f>
        <v>0</v>
      </c>
      <c r="GA45" s="1550">
        <f ca="1">Waterfall!FJ110</f>
        <v>97.38190592007615</v>
      </c>
      <c r="GB45" s="1551">
        <f>Waterfall!FK110</f>
        <v>0</v>
      </c>
      <c r="GC45" s="1551">
        <f>Waterfall!FL110</f>
        <v>0</v>
      </c>
      <c r="GD45" s="1552">
        <f>Waterfall!FM110</f>
        <v>0</v>
      </c>
      <c r="GE45" s="1508"/>
      <c r="GF45" s="1509"/>
      <c r="GG45" s="1509"/>
      <c r="GH45" s="1509"/>
      <c r="GI45" s="1509"/>
      <c r="GJ45" s="1509"/>
      <c r="GK45" s="1509"/>
      <c r="GL45" s="1509"/>
      <c r="GM45" s="1509"/>
      <c r="GN45" s="1509"/>
      <c r="GO45" s="1509"/>
      <c r="GP45" s="1509"/>
      <c r="GQ45" s="1509"/>
      <c r="GR45" s="1509"/>
      <c r="GS45" s="1509"/>
      <c r="GT45" s="1509"/>
    </row>
    <row r="46" spans="2:202" ht="17.100000000000001" customHeight="1">
      <c r="B46" s="952"/>
      <c r="C46" s="1553"/>
      <c r="D46" s="1282" t="s">
        <v>1326</v>
      </c>
      <c r="E46" s="1554"/>
      <c r="F46" s="1555">
        <f t="shared" ca="1" si="11"/>
        <v>697.58643016835504</v>
      </c>
      <c r="G46" s="1556"/>
      <c r="H46" s="1556"/>
      <c r="I46" s="1556"/>
      <c r="J46" s="1556"/>
      <c r="K46" s="1556"/>
      <c r="L46" s="1556"/>
      <c r="M46" s="1556"/>
      <c r="N46" s="1556"/>
      <c r="O46" s="1556"/>
      <c r="P46" s="1556"/>
      <c r="Q46" s="1556"/>
      <c r="R46" s="1556"/>
      <c r="S46" s="1556"/>
      <c r="T46" s="1556"/>
      <c r="U46" s="1556"/>
      <c r="V46" s="1556"/>
      <c r="W46" s="929">
        <f t="shared" ref="W46:BB46" ca="1" si="42">MAX(SUM(W49,W6,W27,W35:W37)-SUM(W40:W43,W45:W45),0)*(W5=운영종료)</f>
        <v>0</v>
      </c>
      <c r="X46" s="927">
        <f t="shared" ca="1" si="42"/>
        <v>0</v>
      </c>
      <c r="Y46" s="927">
        <f t="shared" ca="1" si="42"/>
        <v>0</v>
      </c>
      <c r="Z46" s="928">
        <f t="shared" ca="1" si="42"/>
        <v>0</v>
      </c>
      <c r="AA46" s="929">
        <f t="shared" ca="1" si="42"/>
        <v>0</v>
      </c>
      <c r="AB46" s="927">
        <f t="shared" ca="1" si="42"/>
        <v>0</v>
      </c>
      <c r="AC46" s="927">
        <f t="shared" ca="1" si="42"/>
        <v>0</v>
      </c>
      <c r="AD46" s="928">
        <f t="shared" ca="1" si="42"/>
        <v>0</v>
      </c>
      <c r="AE46" s="1557">
        <f t="shared" ca="1" si="42"/>
        <v>0</v>
      </c>
      <c r="AF46" s="1558">
        <f t="shared" ca="1" si="42"/>
        <v>0</v>
      </c>
      <c r="AG46" s="1558">
        <f t="shared" ca="1" si="42"/>
        <v>0</v>
      </c>
      <c r="AH46" s="1559">
        <f t="shared" ca="1" si="42"/>
        <v>0</v>
      </c>
      <c r="AI46" s="1557">
        <f t="shared" ca="1" si="42"/>
        <v>0</v>
      </c>
      <c r="AJ46" s="1558">
        <f t="shared" ca="1" si="42"/>
        <v>0</v>
      </c>
      <c r="AK46" s="1558">
        <f t="shared" ca="1" si="42"/>
        <v>0</v>
      </c>
      <c r="AL46" s="1559">
        <f t="shared" ca="1" si="42"/>
        <v>0</v>
      </c>
      <c r="AM46" s="1557">
        <f t="shared" ca="1" si="42"/>
        <v>0</v>
      </c>
      <c r="AN46" s="1558">
        <f t="shared" ca="1" si="42"/>
        <v>0</v>
      </c>
      <c r="AO46" s="1558">
        <f t="shared" ca="1" si="42"/>
        <v>0</v>
      </c>
      <c r="AP46" s="1559">
        <f t="shared" ca="1" si="42"/>
        <v>0</v>
      </c>
      <c r="AQ46" s="1557">
        <f t="shared" ca="1" si="42"/>
        <v>0</v>
      </c>
      <c r="AR46" s="1558">
        <f t="shared" ca="1" si="42"/>
        <v>0</v>
      </c>
      <c r="AS46" s="1558">
        <f t="shared" ca="1" si="42"/>
        <v>0</v>
      </c>
      <c r="AT46" s="1559">
        <f t="shared" ca="1" si="42"/>
        <v>0</v>
      </c>
      <c r="AU46" s="1557">
        <f t="shared" ca="1" si="42"/>
        <v>0</v>
      </c>
      <c r="AV46" s="1558">
        <f t="shared" ca="1" si="42"/>
        <v>0</v>
      </c>
      <c r="AW46" s="1558">
        <f t="shared" ca="1" si="42"/>
        <v>0</v>
      </c>
      <c r="AX46" s="1559">
        <f t="shared" ca="1" si="42"/>
        <v>0</v>
      </c>
      <c r="AY46" s="1557">
        <f t="shared" ca="1" si="42"/>
        <v>0</v>
      </c>
      <c r="AZ46" s="1558">
        <f t="shared" ca="1" si="42"/>
        <v>0</v>
      </c>
      <c r="BA46" s="1558">
        <f t="shared" ca="1" si="42"/>
        <v>0</v>
      </c>
      <c r="BB46" s="1559">
        <f t="shared" ca="1" si="42"/>
        <v>0</v>
      </c>
      <c r="BC46" s="1557">
        <f t="shared" ref="BC46:CH46" ca="1" si="43">MAX(SUM(BC49,BC6,BC27,BC35:BC37)-SUM(BC40:BC43,BC45:BC45),0)*(BC5=운영종료)</f>
        <v>0</v>
      </c>
      <c r="BD46" s="1558">
        <f t="shared" ca="1" si="43"/>
        <v>0</v>
      </c>
      <c r="BE46" s="1558">
        <f t="shared" ca="1" si="43"/>
        <v>0</v>
      </c>
      <c r="BF46" s="1559">
        <f t="shared" ca="1" si="43"/>
        <v>0</v>
      </c>
      <c r="BG46" s="1557">
        <f t="shared" ca="1" si="43"/>
        <v>0</v>
      </c>
      <c r="BH46" s="1558">
        <f t="shared" ca="1" si="43"/>
        <v>0</v>
      </c>
      <c r="BI46" s="1558">
        <f t="shared" ca="1" si="43"/>
        <v>0</v>
      </c>
      <c r="BJ46" s="1559">
        <f t="shared" ca="1" si="43"/>
        <v>0</v>
      </c>
      <c r="BK46" s="1557">
        <f t="shared" ca="1" si="43"/>
        <v>0</v>
      </c>
      <c r="BL46" s="1558">
        <f t="shared" ca="1" si="43"/>
        <v>0</v>
      </c>
      <c r="BM46" s="1558">
        <f t="shared" ca="1" si="43"/>
        <v>0</v>
      </c>
      <c r="BN46" s="1559">
        <f t="shared" ca="1" si="43"/>
        <v>0</v>
      </c>
      <c r="BO46" s="1557">
        <f t="shared" ca="1" si="43"/>
        <v>0</v>
      </c>
      <c r="BP46" s="1558">
        <f t="shared" ca="1" si="43"/>
        <v>0</v>
      </c>
      <c r="BQ46" s="1558">
        <f t="shared" ca="1" si="43"/>
        <v>0</v>
      </c>
      <c r="BR46" s="1559">
        <f t="shared" ca="1" si="43"/>
        <v>0</v>
      </c>
      <c r="BS46" s="1557">
        <f t="shared" ca="1" si="43"/>
        <v>0</v>
      </c>
      <c r="BT46" s="1558">
        <f t="shared" ca="1" si="43"/>
        <v>0</v>
      </c>
      <c r="BU46" s="1558">
        <f t="shared" ca="1" si="43"/>
        <v>0</v>
      </c>
      <c r="BV46" s="1559">
        <f t="shared" ca="1" si="43"/>
        <v>0</v>
      </c>
      <c r="BW46" s="1557">
        <f t="shared" ca="1" si="43"/>
        <v>0</v>
      </c>
      <c r="BX46" s="1558">
        <f t="shared" ca="1" si="43"/>
        <v>0</v>
      </c>
      <c r="BY46" s="1558">
        <f t="shared" ca="1" si="43"/>
        <v>0</v>
      </c>
      <c r="BZ46" s="1559">
        <f t="shared" ca="1" si="43"/>
        <v>0</v>
      </c>
      <c r="CA46" s="1557">
        <f t="shared" ca="1" si="43"/>
        <v>0</v>
      </c>
      <c r="CB46" s="1558">
        <f t="shared" ca="1" si="43"/>
        <v>0</v>
      </c>
      <c r="CC46" s="1558">
        <f t="shared" ca="1" si="43"/>
        <v>0</v>
      </c>
      <c r="CD46" s="1559">
        <f t="shared" ca="1" si="43"/>
        <v>0</v>
      </c>
      <c r="CE46" s="1557">
        <f t="shared" ca="1" si="43"/>
        <v>0</v>
      </c>
      <c r="CF46" s="1558">
        <f t="shared" ca="1" si="43"/>
        <v>0</v>
      </c>
      <c r="CG46" s="1558">
        <f t="shared" ca="1" si="43"/>
        <v>0</v>
      </c>
      <c r="CH46" s="1559">
        <f t="shared" ca="1" si="43"/>
        <v>0</v>
      </c>
      <c r="CI46" s="1557">
        <f t="shared" ref="CI46:DN46" ca="1" si="44">MAX(SUM(CI49,CI6,CI27,CI35:CI37)-SUM(CI40:CI43,CI45:CI45),0)*(CI5=운영종료)</f>
        <v>0</v>
      </c>
      <c r="CJ46" s="1558">
        <f t="shared" ca="1" si="44"/>
        <v>0</v>
      </c>
      <c r="CK46" s="1558">
        <f t="shared" ca="1" si="44"/>
        <v>0</v>
      </c>
      <c r="CL46" s="1559">
        <f t="shared" ca="1" si="44"/>
        <v>0</v>
      </c>
      <c r="CM46" s="1557">
        <f t="shared" ca="1" si="44"/>
        <v>0</v>
      </c>
      <c r="CN46" s="1558">
        <f t="shared" ca="1" si="44"/>
        <v>0</v>
      </c>
      <c r="CO46" s="1558">
        <f t="shared" ca="1" si="44"/>
        <v>0</v>
      </c>
      <c r="CP46" s="1559">
        <f t="shared" ca="1" si="44"/>
        <v>0</v>
      </c>
      <c r="CQ46" s="1557">
        <f t="shared" ca="1" si="44"/>
        <v>0</v>
      </c>
      <c r="CR46" s="1558">
        <f t="shared" ca="1" si="44"/>
        <v>0</v>
      </c>
      <c r="CS46" s="1558">
        <f t="shared" ca="1" si="44"/>
        <v>0</v>
      </c>
      <c r="CT46" s="1559">
        <f t="shared" ca="1" si="44"/>
        <v>0</v>
      </c>
      <c r="CU46" s="1557">
        <f t="shared" ca="1" si="44"/>
        <v>0</v>
      </c>
      <c r="CV46" s="1558">
        <f t="shared" ca="1" si="44"/>
        <v>0</v>
      </c>
      <c r="CW46" s="1558">
        <f t="shared" ca="1" si="44"/>
        <v>0</v>
      </c>
      <c r="CX46" s="1559">
        <f t="shared" ca="1" si="44"/>
        <v>0</v>
      </c>
      <c r="CY46" s="1557">
        <f t="shared" ca="1" si="44"/>
        <v>0</v>
      </c>
      <c r="CZ46" s="1558">
        <f t="shared" ca="1" si="44"/>
        <v>0</v>
      </c>
      <c r="DA46" s="1558">
        <f t="shared" ca="1" si="44"/>
        <v>0</v>
      </c>
      <c r="DB46" s="1559">
        <f t="shared" ca="1" si="44"/>
        <v>0</v>
      </c>
      <c r="DC46" s="1557">
        <f t="shared" ca="1" si="44"/>
        <v>0</v>
      </c>
      <c r="DD46" s="1558">
        <f t="shared" ca="1" si="44"/>
        <v>0</v>
      </c>
      <c r="DE46" s="1558">
        <f t="shared" ca="1" si="44"/>
        <v>0</v>
      </c>
      <c r="DF46" s="1559">
        <f t="shared" ca="1" si="44"/>
        <v>0</v>
      </c>
      <c r="DG46" s="1557">
        <f t="shared" ca="1" si="44"/>
        <v>0</v>
      </c>
      <c r="DH46" s="1558">
        <f t="shared" ca="1" si="44"/>
        <v>0</v>
      </c>
      <c r="DI46" s="1558">
        <f t="shared" ca="1" si="44"/>
        <v>0</v>
      </c>
      <c r="DJ46" s="1559">
        <f t="shared" ca="1" si="44"/>
        <v>0</v>
      </c>
      <c r="DK46" s="1557">
        <f t="shared" ca="1" si="44"/>
        <v>0</v>
      </c>
      <c r="DL46" s="1558">
        <f t="shared" ca="1" si="44"/>
        <v>0</v>
      </c>
      <c r="DM46" s="1558">
        <f t="shared" ca="1" si="44"/>
        <v>0</v>
      </c>
      <c r="DN46" s="1559">
        <f t="shared" ca="1" si="44"/>
        <v>0</v>
      </c>
      <c r="DO46" s="1557">
        <f t="shared" ref="DO46:ET46" ca="1" si="45">MAX(SUM(DO49,DO6,DO27,DO35:DO37)-SUM(DO40:DO43,DO45:DO45),0)*(DO5=운영종료)</f>
        <v>0</v>
      </c>
      <c r="DP46" s="1558">
        <f t="shared" ca="1" si="45"/>
        <v>0</v>
      </c>
      <c r="DQ46" s="1558">
        <f t="shared" ca="1" si="45"/>
        <v>0</v>
      </c>
      <c r="DR46" s="1559">
        <f t="shared" ca="1" si="45"/>
        <v>0</v>
      </c>
      <c r="DS46" s="1557">
        <f t="shared" ca="1" si="45"/>
        <v>0</v>
      </c>
      <c r="DT46" s="1558">
        <f t="shared" ca="1" si="45"/>
        <v>0</v>
      </c>
      <c r="DU46" s="1558">
        <f t="shared" ca="1" si="45"/>
        <v>0</v>
      </c>
      <c r="DV46" s="1559">
        <f t="shared" ca="1" si="45"/>
        <v>0</v>
      </c>
      <c r="DW46" s="1557">
        <f t="shared" ca="1" si="45"/>
        <v>0</v>
      </c>
      <c r="DX46" s="1558">
        <f t="shared" ca="1" si="45"/>
        <v>0</v>
      </c>
      <c r="DY46" s="1558">
        <f t="shared" ca="1" si="45"/>
        <v>0</v>
      </c>
      <c r="DZ46" s="1559">
        <f t="shared" ca="1" si="45"/>
        <v>0</v>
      </c>
      <c r="EA46" s="1557">
        <f t="shared" ca="1" si="45"/>
        <v>0</v>
      </c>
      <c r="EB46" s="1558">
        <f t="shared" ca="1" si="45"/>
        <v>0</v>
      </c>
      <c r="EC46" s="1558">
        <f t="shared" ca="1" si="45"/>
        <v>0</v>
      </c>
      <c r="ED46" s="1559">
        <f t="shared" ca="1" si="45"/>
        <v>0</v>
      </c>
      <c r="EE46" s="1557">
        <f t="shared" ca="1" si="45"/>
        <v>0</v>
      </c>
      <c r="EF46" s="1558">
        <f t="shared" ca="1" si="45"/>
        <v>0</v>
      </c>
      <c r="EG46" s="1558">
        <f t="shared" ca="1" si="45"/>
        <v>0</v>
      </c>
      <c r="EH46" s="1559">
        <f t="shared" ca="1" si="45"/>
        <v>0</v>
      </c>
      <c r="EI46" s="1557">
        <f t="shared" ca="1" si="45"/>
        <v>0</v>
      </c>
      <c r="EJ46" s="1558">
        <f t="shared" ca="1" si="45"/>
        <v>0</v>
      </c>
      <c r="EK46" s="1558">
        <f t="shared" ca="1" si="45"/>
        <v>0</v>
      </c>
      <c r="EL46" s="1559">
        <f t="shared" ca="1" si="45"/>
        <v>0</v>
      </c>
      <c r="EM46" s="1557">
        <f t="shared" ca="1" si="45"/>
        <v>0</v>
      </c>
      <c r="EN46" s="1558">
        <f t="shared" ca="1" si="45"/>
        <v>0</v>
      </c>
      <c r="EO46" s="1558">
        <f t="shared" ca="1" si="45"/>
        <v>0</v>
      </c>
      <c r="EP46" s="1559">
        <f t="shared" ca="1" si="45"/>
        <v>0</v>
      </c>
      <c r="EQ46" s="1557">
        <f t="shared" ca="1" si="45"/>
        <v>0</v>
      </c>
      <c r="ER46" s="1558">
        <f t="shared" ca="1" si="45"/>
        <v>0</v>
      </c>
      <c r="ES46" s="1558">
        <f t="shared" ca="1" si="45"/>
        <v>0</v>
      </c>
      <c r="ET46" s="1559">
        <f t="shared" ca="1" si="45"/>
        <v>0</v>
      </c>
      <c r="EU46" s="1557">
        <f t="shared" ref="EU46:FZ46" ca="1" si="46">MAX(SUM(EU49,EU6,EU27,EU35:EU37)-SUM(EU40:EU43,EU45:EU45),0)*(EU5=운영종료)</f>
        <v>0</v>
      </c>
      <c r="EV46" s="1558">
        <f t="shared" ca="1" si="46"/>
        <v>0</v>
      </c>
      <c r="EW46" s="1558">
        <f t="shared" ca="1" si="46"/>
        <v>0</v>
      </c>
      <c r="EX46" s="1559">
        <f t="shared" ca="1" si="46"/>
        <v>0</v>
      </c>
      <c r="EY46" s="1557">
        <f t="shared" ca="1" si="46"/>
        <v>0</v>
      </c>
      <c r="EZ46" s="1558">
        <f t="shared" ca="1" si="46"/>
        <v>0</v>
      </c>
      <c r="FA46" s="1558">
        <f t="shared" ca="1" si="46"/>
        <v>0</v>
      </c>
      <c r="FB46" s="1559">
        <f t="shared" ca="1" si="46"/>
        <v>0</v>
      </c>
      <c r="FC46" s="1557">
        <f t="shared" ca="1" si="46"/>
        <v>0</v>
      </c>
      <c r="FD46" s="1558">
        <f t="shared" ca="1" si="46"/>
        <v>0</v>
      </c>
      <c r="FE46" s="1558">
        <f t="shared" ca="1" si="46"/>
        <v>0</v>
      </c>
      <c r="FF46" s="1559">
        <f t="shared" ca="1" si="46"/>
        <v>0</v>
      </c>
      <c r="FG46" s="1557">
        <f t="shared" ca="1" si="46"/>
        <v>0</v>
      </c>
      <c r="FH46" s="1558">
        <f t="shared" ca="1" si="46"/>
        <v>0</v>
      </c>
      <c r="FI46" s="1558">
        <f t="shared" ca="1" si="46"/>
        <v>0</v>
      </c>
      <c r="FJ46" s="1559">
        <f t="shared" ca="1" si="46"/>
        <v>0</v>
      </c>
      <c r="FK46" s="1557">
        <f t="shared" ca="1" si="46"/>
        <v>0</v>
      </c>
      <c r="FL46" s="1558">
        <f t="shared" ca="1" si="46"/>
        <v>0</v>
      </c>
      <c r="FM46" s="1558">
        <f t="shared" ca="1" si="46"/>
        <v>0</v>
      </c>
      <c r="FN46" s="1559">
        <f t="shared" ca="1" si="46"/>
        <v>0</v>
      </c>
      <c r="FO46" s="1557">
        <f t="shared" ca="1" si="46"/>
        <v>0</v>
      </c>
      <c r="FP46" s="1558">
        <f t="shared" ca="1" si="46"/>
        <v>0</v>
      </c>
      <c r="FQ46" s="1558">
        <f t="shared" ca="1" si="46"/>
        <v>0</v>
      </c>
      <c r="FR46" s="1559">
        <f t="shared" ca="1" si="46"/>
        <v>0</v>
      </c>
      <c r="FS46" s="1557">
        <f t="shared" ca="1" si="46"/>
        <v>0</v>
      </c>
      <c r="FT46" s="1558">
        <f t="shared" ca="1" si="46"/>
        <v>0</v>
      </c>
      <c r="FU46" s="1558">
        <f t="shared" ca="1" si="46"/>
        <v>0</v>
      </c>
      <c r="FV46" s="1559">
        <f t="shared" ca="1" si="46"/>
        <v>0</v>
      </c>
      <c r="FW46" s="1557">
        <f t="shared" ca="1" si="46"/>
        <v>0</v>
      </c>
      <c r="FX46" s="1558">
        <f t="shared" ca="1" si="46"/>
        <v>0</v>
      </c>
      <c r="FY46" s="1558">
        <f t="shared" ca="1" si="46"/>
        <v>0</v>
      </c>
      <c r="FZ46" s="1559">
        <f t="shared" ca="1" si="46"/>
        <v>0</v>
      </c>
      <c r="GA46" s="1557">
        <f t="shared" ref="GA46:GD46" ca="1" si="47">MAX(SUM(GA49,GA6,GA27,GA35:GA37)-SUM(GA40:GA43,GA45:GA45),0)*(GA5=운영종료)</f>
        <v>0</v>
      </c>
      <c r="GB46" s="1558">
        <f t="shared" ca="1" si="47"/>
        <v>697.58643016835504</v>
      </c>
      <c r="GC46" s="1558">
        <f t="shared" ca="1" si="47"/>
        <v>0</v>
      </c>
      <c r="GD46" s="1559">
        <f t="shared" ca="1" si="47"/>
        <v>0</v>
      </c>
      <c r="GE46" s="1508"/>
      <c r="GF46" s="1509"/>
      <c r="GG46" s="1509"/>
      <c r="GH46" s="1509"/>
      <c r="GI46" s="1509"/>
      <c r="GJ46" s="1509"/>
      <c r="GK46" s="1509"/>
      <c r="GL46" s="1509"/>
      <c r="GM46" s="1509"/>
      <c r="GN46" s="1509"/>
      <c r="GO46" s="1509"/>
      <c r="GP46" s="1509"/>
      <c r="GQ46" s="1509"/>
      <c r="GR46" s="1509"/>
      <c r="GS46" s="1509"/>
      <c r="GT46" s="1509"/>
    </row>
    <row r="47" spans="2:202" s="768" customFormat="1" ht="17.100000000000001" customHeight="1">
      <c r="B47" s="1305" t="s">
        <v>1327</v>
      </c>
      <c r="C47" s="1532"/>
      <c r="D47" s="1533"/>
      <c r="E47" s="1560"/>
      <c r="F47" s="1545">
        <f ca="1">SUM(AE47:GT47)</f>
        <v>12.024793651871445</v>
      </c>
      <c r="G47" s="1561"/>
      <c r="H47" s="1561"/>
      <c r="I47" s="1561"/>
      <c r="J47" s="1561"/>
      <c r="K47" s="1561"/>
      <c r="L47" s="1561"/>
      <c r="M47" s="1561"/>
      <c r="N47" s="1561"/>
      <c r="O47" s="1561"/>
      <c r="P47" s="1561"/>
      <c r="Q47" s="1561"/>
      <c r="R47" s="1561"/>
      <c r="S47" s="1561"/>
      <c r="T47" s="1561"/>
      <c r="U47" s="1561"/>
      <c r="V47" s="1561"/>
      <c r="W47" s="1562"/>
      <c r="X47" s="1563"/>
      <c r="Y47" s="1563"/>
      <c r="Z47" s="1564"/>
      <c r="AA47" s="1562"/>
      <c r="AB47" s="1563"/>
      <c r="AC47" s="1563"/>
      <c r="AD47" s="1564"/>
      <c r="AE47" s="1534">
        <f ca="1">-SUM(AE6,AE27,AE33)+'자금운영(현금)'!BF107</f>
        <v>-1.3134273399999898</v>
      </c>
      <c r="AF47" s="1535">
        <f ca="1">-SUM(AF6,AF27,AF33)+'자금운영(현금)'!BG107</f>
        <v>1.728236791793929</v>
      </c>
      <c r="AG47" s="1535">
        <f ca="1">-SUM(AG6,AG27,AG33)+'자금운영(현금)'!BH107</f>
        <v>0.89708453333333082</v>
      </c>
      <c r="AH47" s="1536">
        <f ca="1">-SUM(AH6,AH27,AH33)+'자금운영(현금)'!BI107</f>
        <v>10.712899666744175</v>
      </c>
      <c r="AI47" s="1534"/>
      <c r="AJ47" s="1535"/>
      <c r="AK47" s="1535"/>
      <c r="AL47" s="1536"/>
      <c r="AM47" s="1534"/>
      <c r="AN47" s="1535"/>
      <c r="AO47" s="1535"/>
      <c r="AP47" s="1536"/>
      <c r="AQ47" s="1534"/>
      <c r="AR47" s="1535"/>
      <c r="AS47" s="1535"/>
      <c r="AT47" s="1536"/>
      <c r="AU47" s="1534"/>
      <c r="AV47" s="1535"/>
      <c r="AW47" s="1535"/>
      <c r="AX47" s="1536"/>
      <c r="AY47" s="1534"/>
      <c r="AZ47" s="1535"/>
      <c r="BA47" s="1535"/>
      <c r="BB47" s="1536"/>
      <c r="BC47" s="1534"/>
      <c r="BD47" s="1535"/>
      <c r="BE47" s="1535"/>
      <c r="BF47" s="1536"/>
      <c r="BG47" s="1534"/>
      <c r="BH47" s="1535"/>
      <c r="BI47" s="1535"/>
      <c r="BJ47" s="1536"/>
      <c r="BK47" s="1534"/>
      <c r="BL47" s="1535"/>
      <c r="BM47" s="1535"/>
      <c r="BN47" s="1536"/>
      <c r="BO47" s="1534"/>
      <c r="BP47" s="1535"/>
      <c r="BQ47" s="1535"/>
      <c r="BR47" s="1536"/>
      <c r="BS47" s="1534"/>
      <c r="BT47" s="1535"/>
      <c r="BU47" s="1535"/>
      <c r="BV47" s="1536"/>
      <c r="BW47" s="1534"/>
      <c r="BX47" s="1535"/>
      <c r="BY47" s="1535"/>
      <c r="BZ47" s="1536"/>
      <c r="CA47" s="1534"/>
      <c r="CB47" s="1535"/>
      <c r="CC47" s="1535"/>
      <c r="CD47" s="1536"/>
      <c r="CE47" s="1534"/>
      <c r="CF47" s="1535"/>
      <c r="CG47" s="1535"/>
      <c r="CH47" s="1536"/>
      <c r="CI47" s="1534"/>
      <c r="CJ47" s="1535"/>
      <c r="CK47" s="1535"/>
      <c r="CL47" s="1536"/>
      <c r="CM47" s="1534"/>
      <c r="CN47" s="1535"/>
      <c r="CO47" s="1535"/>
      <c r="CP47" s="1536"/>
      <c r="CQ47" s="1534"/>
      <c r="CR47" s="1535"/>
      <c r="CS47" s="1535"/>
      <c r="CT47" s="1536"/>
      <c r="CU47" s="1534"/>
      <c r="CV47" s="1535"/>
      <c r="CW47" s="1535"/>
      <c r="CX47" s="1536"/>
      <c r="CY47" s="1534"/>
      <c r="CZ47" s="1535"/>
      <c r="DA47" s="1535"/>
      <c r="DB47" s="1536"/>
      <c r="DC47" s="1534"/>
      <c r="DD47" s="1535"/>
      <c r="DE47" s="1535"/>
      <c r="DF47" s="1536"/>
      <c r="DG47" s="1534"/>
      <c r="DH47" s="1535"/>
      <c r="DI47" s="1535"/>
      <c r="DJ47" s="1536"/>
      <c r="DK47" s="1534"/>
      <c r="DL47" s="1535"/>
      <c r="DM47" s="1535"/>
      <c r="DN47" s="1536"/>
      <c r="DO47" s="1534"/>
      <c r="DP47" s="1535"/>
      <c r="DQ47" s="1535"/>
      <c r="DR47" s="1536"/>
      <c r="DS47" s="1534"/>
      <c r="DT47" s="1535"/>
      <c r="DU47" s="1535"/>
      <c r="DV47" s="1536"/>
      <c r="DW47" s="1534"/>
      <c r="DX47" s="1535"/>
      <c r="DY47" s="1535"/>
      <c r="DZ47" s="1536"/>
      <c r="EA47" s="1534"/>
      <c r="EB47" s="1535"/>
      <c r="EC47" s="1535"/>
      <c r="ED47" s="1536"/>
      <c r="EE47" s="1534"/>
      <c r="EF47" s="1535"/>
      <c r="EG47" s="1535"/>
      <c r="EH47" s="1536"/>
      <c r="EI47" s="1534"/>
      <c r="EJ47" s="1535"/>
      <c r="EK47" s="1535"/>
      <c r="EL47" s="1536"/>
      <c r="EM47" s="1534"/>
      <c r="EN47" s="1535"/>
      <c r="EO47" s="1535"/>
      <c r="EP47" s="1536"/>
      <c r="EQ47" s="1534"/>
      <c r="ER47" s="1535"/>
      <c r="ES47" s="1535"/>
      <c r="ET47" s="1536"/>
      <c r="EU47" s="1534"/>
      <c r="EV47" s="1535"/>
      <c r="EW47" s="1535"/>
      <c r="EX47" s="1536"/>
      <c r="EY47" s="1534"/>
      <c r="EZ47" s="1535"/>
      <c r="FA47" s="1535"/>
      <c r="FB47" s="1536"/>
      <c r="FC47" s="1534"/>
      <c r="FD47" s="1535"/>
      <c r="FE47" s="1535"/>
      <c r="FF47" s="1536"/>
      <c r="FG47" s="1534"/>
      <c r="FH47" s="1535"/>
      <c r="FI47" s="1535"/>
      <c r="FJ47" s="1536"/>
      <c r="FK47" s="1534"/>
      <c r="FL47" s="1535"/>
      <c r="FM47" s="1535"/>
      <c r="FN47" s="1536"/>
      <c r="FO47" s="1534"/>
      <c r="FP47" s="1535"/>
      <c r="FQ47" s="1535"/>
      <c r="FR47" s="1536"/>
      <c r="FS47" s="1534"/>
      <c r="FT47" s="1535"/>
      <c r="FU47" s="1535"/>
      <c r="FV47" s="1536"/>
      <c r="FW47" s="1534"/>
      <c r="FX47" s="1535"/>
      <c r="FY47" s="1535"/>
      <c r="FZ47" s="1536"/>
      <c r="GA47" s="1534"/>
      <c r="GB47" s="1535"/>
      <c r="GC47" s="1535"/>
      <c r="GD47" s="1536"/>
      <c r="GE47" s="1565"/>
      <c r="GF47" s="1566"/>
      <c r="GG47" s="1566"/>
      <c r="GH47" s="1566"/>
      <c r="GI47" s="1566"/>
      <c r="GJ47" s="1566"/>
      <c r="GK47" s="1566"/>
      <c r="GL47" s="1566"/>
      <c r="GM47" s="1566"/>
      <c r="GN47" s="1566"/>
      <c r="GO47" s="1566"/>
      <c r="GP47" s="1566"/>
      <c r="GQ47" s="1566"/>
      <c r="GR47" s="1566"/>
      <c r="GS47" s="1566"/>
      <c r="GT47" s="1566"/>
    </row>
    <row r="48" spans="2:202" ht="17.100000000000001" customHeight="1">
      <c r="B48" s="720" t="s">
        <v>1328</v>
      </c>
      <c r="C48" s="315"/>
      <c r="D48" s="1259"/>
      <c r="E48" s="738"/>
      <c r="F48" s="1567">
        <f ca="1">SUM(AE48:GT48)</f>
        <v>-54.096084490000067</v>
      </c>
      <c r="G48" s="1502">
        <f t="shared" ref="G48:AD48" si="48">SUM(G6,G27,G33)</f>
        <v>34.688032270000008</v>
      </c>
      <c r="H48" s="1502">
        <f t="shared" si="48"/>
        <v>-21.455197700000014</v>
      </c>
      <c r="I48" s="1502">
        <f t="shared" si="48"/>
        <v>-7.9769490700000034</v>
      </c>
      <c r="J48" s="1502">
        <f t="shared" si="48"/>
        <v>13.260250474555818</v>
      </c>
      <c r="K48" s="1502">
        <f t="shared" si="48"/>
        <v>4.3253224854441896</v>
      </c>
      <c r="L48" s="1502">
        <f t="shared" si="48"/>
        <v>1.6086142300000006</v>
      </c>
      <c r="M48" s="1502">
        <f t="shared" si="48"/>
        <v>127.75007775</v>
      </c>
      <c r="N48" s="1502">
        <f t="shared" si="48"/>
        <v>-87.556211480090155</v>
      </c>
      <c r="O48" s="1502">
        <f t="shared" si="48"/>
        <v>9.4204629399999913</v>
      </c>
      <c r="P48" s="1502">
        <f t="shared" si="48"/>
        <v>-37.392873020139419</v>
      </c>
      <c r="Q48" s="1502">
        <f t="shared" si="48"/>
        <v>-12.283040479999986</v>
      </c>
      <c r="R48" s="1502">
        <f t="shared" si="48"/>
        <v>78.084748332693565</v>
      </c>
      <c r="S48" s="1502">
        <f t="shared" si="48"/>
        <v>-46.198548760000008</v>
      </c>
      <c r="T48" s="1502">
        <f t="shared" si="48"/>
        <v>157.56200623999999</v>
      </c>
      <c r="U48" s="1502">
        <f t="shared" si="48"/>
        <v>-28.551439700000007</v>
      </c>
      <c r="V48" s="1502">
        <f t="shared" si="48"/>
        <v>-40.545943284000003</v>
      </c>
      <c r="W48" s="1502">
        <f t="shared" ca="1" si="48"/>
        <v>-16.945533169909851</v>
      </c>
      <c r="X48" s="1503">
        <f t="shared" ca="1" si="48"/>
        <v>-28.796600460000025</v>
      </c>
      <c r="Y48" s="1503">
        <f t="shared" ca="1" si="48"/>
        <v>-49.702440590000002</v>
      </c>
      <c r="Z48" s="1504">
        <f t="shared" ca="1" si="48"/>
        <v>-41.648167830000006</v>
      </c>
      <c r="AA48" s="1502">
        <f t="shared" ca="1" si="48"/>
        <v>84.890785250779174</v>
      </c>
      <c r="AB48" s="1503">
        <f t="shared" ca="1" si="48"/>
        <v>69.084676736378839</v>
      </c>
      <c r="AC48" s="1503">
        <f t="shared" ca="1" si="48"/>
        <v>-33.829895210000018</v>
      </c>
      <c r="AD48" s="1504">
        <f t="shared" ca="1" si="48"/>
        <v>-46.974317860000006</v>
      </c>
      <c r="AE48" s="1505">
        <f ca="1">SUM(AE6,AE27,AE33,AE47)</f>
        <v>-49.570338900000003</v>
      </c>
      <c r="AF48" s="1506">
        <f ca="1">SUM(AF6,AF27,AF33,AF47)</f>
        <v>18.90467327</v>
      </c>
      <c r="AG48" s="1506">
        <f ca="1">SUM(AG6,AG27,AG33,AG47)</f>
        <v>-22.216421780000001</v>
      </c>
      <c r="AH48" s="1507">
        <f ca="1">SUM(AH6,AH27,AH33,AH47)</f>
        <v>6.3540078599999994</v>
      </c>
      <c r="AI48" s="1505">
        <f t="shared" ref="AI48:CT48" ca="1" si="49">SUM(AI6,AI27,AI33)</f>
        <v>-7.568004939999998</v>
      </c>
      <c r="AJ48" s="1506">
        <f t="shared" ca="1" si="49"/>
        <v>7.703740082373173</v>
      </c>
      <c r="AK48" s="1506">
        <f t="shared" ca="1" si="49"/>
        <v>-7.7037400823731659</v>
      </c>
      <c r="AL48" s="1507">
        <f t="shared" ca="1" si="49"/>
        <v>0</v>
      </c>
      <c r="AM48" s="1505">
        <f t="shared" ca="1" si="49"/>
        <v>11.006923925605868</v>
      </c>
      <c r="AN48" s="1506">
        <f t="shared" ca="1" si="49"/>
        <v>82.314294074468194</v>
      </c>
      <c r="AO48" s="1506">
        <f t="shared" ca="1" si="49"/>
        <v>-40.690064133476938</v>
      </c>
      <c r="AP48" s="1507">
        <f t="shared" ca="1" si="49"/>
        <v>-37.704386961131732</v>
      </c>
      <c r="AQ48" s="1505">
        <f t="shared" ca="1" si="49"/>
        <v>-14.926766905465385</v>
      </c>
      <c r="AR48" s="1506">
        <f t="shared" ca="1" si="49"/>
        <v>83.303797979740196</v>
      </c>
      <c r="AS48" s="1506">
        <f t="shared" ca="1" si="49"/>
        <v>-39.970240884564177</v>
      </c>
      <c r="AT48" s="1507">
        <f t="shared" ca="1" si="49"/>
        <v>-35.973471532484147</v>
      </c>
      <c r="AU48" s="1505">
        <f t="shared" ca="1" si="49"/>
        <v>-7.3600855626918715</v>
      </c>
      <c r="AV48" s="1506">
        <f t="shared" ca="1" si="49"/>
        <v>0.19079295939331331</v>
      </c>
      <c r="AW48" s="1506">
        <f t="shared" ca="1" si="49"/>
        <v>-0.19079295939332042</v>
      </c>
      <c r="AX48" s="1507">
        <f t="shared" ca="1" si="49"/>
        <v>0</v>
      </c>
      <c r="AY48" s="1505">
        <f t="shared" ca="1" si="49"/>
        <v>0</v>
      </c>
      <c r="AZ48" s="1506">
        <f t="shared" ca="1" si="49"/>
        <v>0</v>
      </c>
      <c r="BA48" s="1506">
        <f t="shared" ca="1" si="49"/>
        <v>0</v>
      </c>
      <c r="BB48" s="1507">
        <f t="shared" ca="1" si="49"/>
        <v>0</v>
      </c>
      <c r="BC48" s="1505">
        <f t="shared" ca="1" si="49"/>
        <v>8.6785616550103146</v>
      </c>
      <c r="BD48" s="1506">
        <f t="shared" ca="1" si="49"/>
        <v>4.2396318381267211</v>
      </c>
      <c r="BE48" s="1506">
        <f t="shared" ca="1" si="49"/>
        <v>4.137691075303751</v>
      </c>
      <c r="BF48" s="1507">
        <f t="shared" ca="1" si="49"/>
        <v>4.461353558126719</v>
      </c>
      <c r="BG48" s="1505">
        <f t="shared" ca="1" si="49"/>
        <v>2.2278902222609798</v>
      </c>
      <c r="BH48" s="1506">
        <f t="shared" ca="1" si="49"/>
        <v>7.6856776085609742</v>
      </c>
      <c r="BI48" s="1506">
        <f t="shared" ca="1" si="49"/>
        <v>5.959413457283242</v>
      </c>
      <c r="BJ48" s="1507">
        <f t="shared" ca="1" si="49"/>
        <v>7.9073993285609792</v>
      </c>
      <c r="BK48" s="1505">
        <f t="shared" ca="1" si="49"/>
        <v>-30.676086539697888</v>
      </c>
      <c r="BL48" s="1506">
        <f t="shared" ca="1" si="49"/>
        <v>3.0591440295048873</v>
      </c>
      <c r="BM48" s="1506">
        <f t="shared" ca="1" si="49"/>
        <v>0.76365690088161564</v>
      </c>
      <c r="BN48" s="1507">
        <f t="shared" ca="1" si="49"/>
        <v>13.246745749504885</v>
      </c>
      <c r="BO48" s="1505">
        <f t="shared" ca="1" si="49"/>
        <v>-1.764334030983985</v>
      </c>
      <c r="BP48" s="1506">
        <f t="shared" ca="1" si="49"/>
        <v>15.99267786822799</v>
      </c>
      <c r="BQ48" s="1506">
        <f t="shared" ca="1" si="49"/>
        <v>13.78956635167113</v>
      </c>
      <c r="BR48" s="1507">
        <f t="shared" ca="1" si="49"/>
        <v>15.99267786822799</v>
      </c>
      <c r="BS48" s="1505">
        <f t="shared" ca="1" si="49"/>
        <v>-23.983740106923698</v>
      </c>
      <c r="BT48" s="1506">
        <f t="shared" ca="1" si="49"/>
        <v>11.060057128631794</v>
      </c>
      <c r="BU48" s="1506">
        <f t="shared" ca="1" si="49"/>
        <v>6.7578301628728887</v>
      </c>
      <c r="BV48" s="1507">
        <f t="shared" ca="1" si="49"/>
        <v>11.760057128631789</v>
      </c>
      <c r="BW48" s="1505">
        <f t="shared" ca="1" si="49"/>
        <v>-13.262290259377828</v>
      </c>
      <c r="BX48" s="1506">
        <f t="shared" ca="1" si="49"/>
        <v>14.963280421400356</v>
      </c>
      <c r="BY48" s="1506">
        <f t="shared" ca="1" si="49"/>
        <v>11.219774046418962</v>
      </c>
      <c r="BZ48" s="1507">
        <f t="shared" ca="1" si="49"/>
        <v>14.963280421400356</v>
      </c>
      <c r="CA48" s="1505">
        <f t="shared" ca="1" si="49"/>
        <v>-6.076900888106195</v>
      </c>
      <c r="CB48" s="1506">
        <f t="shared" ca="1" si="49"/>
        <v>24.761290372216862</v>
      </c>
      <c r="CC48" s="1506">
        <f t="shared" ca="1" si="49"/>
        <v>20.774611885062427</v>
      </c>
      <c r="CD48" s="1507">
        <f t="shared" ca="1" si="49"/>
        <v>24.761290372216862</v>
      </c>
      <c r="CE48" s="1505">
        <f t="shared" ca="1" si="49"/>
        <v>-22.113840833465691</v>
      </c>
      <c r="CF48" s="1506">
        <f t="shared" ca="1" si="49"/>
        <v>16.728396124852292</v>
      </c>
      <c r="CG48" s="1506">
        <f t="shared" ca="1" si="49"/>
        <v>11.765285783460737</v>
      </c>
      <c r="CH48" s="1507">
        <f t="shared" ca="1" si="49"/>
        <v>16.728396124852292</v>
      </c>
      <c r="CI48" s="1505">
        <f t="shared" ca="1" si="49"/>
        <v>-24.097640514282929</v>
      </c>
      <c r="CJ48" s="1506">
        <f t="shared" ca="1" si="49"/>
        <v>13.213145636450811</v>
      </c>
      <c r="CK48" s="1506">
        <f t="shared" ca="1" si="49"/>
        <v>8.3157469323929192</v>
      </c>
      <c r="CL48" s="1507">
        <f t="shared" ca="1" si="49"/>
        <v>13.213145636450811</v>
      </c>
      <c r="CM48" s="1505">
        <f t="shared" ca="1" si="49"/>
        <v>-24.581662267765921</v>
      </c>
      <c r="CN48" s="1506">
        <f t="shared" ca="1" si="49"/>
        <v>12.890138715415995</v>
      </c>
      <c r="CO48" s="1506">
        <f t="shared" ca="1" si="49"/>
        <v>8.7305959509180102</v>
      </c>
      <c r="CP48" s="1507">
        <f t="shared" ca="1" si="49"/>
        <v>12.890138715415995</v>
      </c>
      <c r="CQ48" s="1505">
        <f t="shared" ca="1" si="49"/>
        <v>-40.983376968302736</v>
      </c>
      <c r="CR48" s="1506">
        <f t="shared" ca="1" si="49"/>
        <v>21.688121417229979</v>
      </c>
      <c r="CS48" s="1506">
        <f t="shared" ca="1" si="49"/>
        <v>16.180435114995987</v>
      </c>
      <c r="CT48" s="1507">
        <f t="shared" ca="1" si="49"/>
        <v>21.688121417229979</v>
      </c>
      <c r="CU48" s="1505">
        <f t="shared" ref="CU48:FF48" ca="1" si="50">SUM(CU6,CU27,CU33)</f>
        <v>-50.196777057113479</v>
      </c>
      <c r="CV48" s="1506">
        <f t="shared" ca="1" si="50"/>
        <v>12.191179013973217</v>
      </c>
      <c r="CW48" s="1506">
        <f t="shared" ca="1" si="50"/>
        <v>6.9415160616128215</v>
      </c>
      <c r="CX48" s="1507">
        <f t="shared" ca="1" si="50"/>
        <v>12.191179013973217</v>
      </c>
      <c r="CY48" s="1505">
        <f t="shared" ca="1" si="50"/>
        <v>-80.840214864083379</v>
      </c>
      <c r="CZ48" s="1506">
        <f t="shared" ca="1" si="50"/>
        <v>-5.7994973089295598</v>
      </c>
      <c r="DA48" s="1506">
        <f t="shared" ca="1" si="50"/>
        <v>-10.479313376822006</v>
      </c>
      <c r="DB48" s="1507">
        <f t="shared" ca="1" si="50"/>
        <v>-5.7994973089295598</v>
      </c>
      <c r="DC48" s="1505">
        <f t="shared" ca="1" si="50"/>
        <v>-61.460260003579009</v>
      </c>
      <c r="DD48" s="1506">
        <f t="shared" ca="1" si="50"/>
        <v>16.779647543220211</v>
      </c>
      <c r="DE48" s="1506">
        <f t="shared" ca="1" si="50"/>
        <v>12.012439561441642</v>
      </c>
      <c r="DF48" s="1507">
        <f t="shared" ca="1" si="50"/>
        <v>16.779647543220211</v>
      </c>
      <c r="DG48" s="1505">
        <f t="shared" ca="1" si="50"/>
        <v>-71.051374017104322</v>
      </c>
      <c r="DH48" s="1506">
        <f t="shared" ca="1" si="50"/>
        <v>22.588114772286165</v>
      </c>
      <c r="DI48" s="1506">
        <f t="shared" ca="1" si="50"/>
        <v>15.987321906032296</v>
      </c>
      <c r="DJ48" s="1507">
        <f t="shared" ca="1" si="50"/>
        <v>24.288114772286168</v>
      </c>
      <c r="DK48" s="1505">
        <f t="shared" ca="1" si="50"/>
        <v>-71.127243332806245</v>
      </c>
      <c r="DL48" s="1506">
        <f t="shared" ca="1" si="50"/>
        <v>24.435920428839417</v>
      </c>
      <c r="DM48" s="1506">
        <f t="shared" ca="1" si="50"/>
        <v>17.390285642170291</v>
      </c>
      <c r="DN48" s="1507">
        <f t="shared" ca="1" si="50"/>
        <v>24.435920428839417</v>
      </c>
      <c r="DO48" s="1505">
        <f t="shared" ca="1" si="50"/>
        <v>-65.246311496044129</v>
      </c>
      <c r="DP48" s="1506">
        <f t="shared" ca="1" si="50"/>
        <v>30.465467540387191</v>
      </c>
      <c r="DQ48" s="1506">
        <f t="shared" ca="1" si="50"/>
        <v>21.547992643532393</v>
      </c>
      <c r="DR48" s="1507">
        <f t="shared" ca="1" si="50"/>
        <v>30.465467540387191</v>
      </c>
      <c r="DS48" s="1505">
        <f t="shared" ca="1" si="50"/>
        <v>-75.657583723573609</v>
      </c>
      <c r="DT48" s="1506">
        <f t="shared" ca="1" si="50"/>
        <v>34.930014921865578</v>
      </c>
      <c r="DU48" s="1506">
        <f t="shared" ca="1" si="50"/>
        <v>26.25501827954534</v>
      </c>
      <c r="DV48" s="1507">
        <f t="shared" ca="1" si="50"/>
        <v>34.930014921865578</v>
      </c>
      <c r="DW48" s="1505">
        <f t="shared" ca="1" si="50"/>
        <v>-80.47891017066226</v>
      </c>
      <c r="DX48" s="1506">
        <f t="shared" ca="1" si="50"/>
        <v>36.726940218627</v>
      </c>
      <c r="DY48" s="1506">
        <f t="shared" ca="1" si="50"/>
        <v>27.977021403558172</v>
      </c>
      <c r="DZ48" s="1507">
        <f t="shared" ca="1" si="50"/>
        <v>36.726940218627</v>
      </c>
      <c r="EA48" s="1505">
        <f t="shared" ca="1" si="50"/>
        <v>-81.651513877770398</v>
      </c>
      <c r="EB48" s="1506">
        <f t="shared" ca="1" si="50"/>
        <v>33.877007096015994</v>
      </c>
      <c r="EC48" s="1506">
        <f t="shared" ca="1" si="50"/>
        <v>24.213121367589888</v>
      </c>
      <c r="ED48" s="1507">
        <f t="shared" ca="1" si="50"/>
        <v>33.877007096015994</v>
      </c>
      <c r="EE48" s="1505">
        <f t="shared" ca="1" si="50"/>
        <v>-70.661014198856606</v>
      </c>
      <c r="EF48" s="1506">
        <f t="shared" ca="1" si="50"/>
        <v>33.774652706379776</v>
      </c>
      <c r="EG48" s="1506">
        <f t="shared" ca="1" si="50"/>
        <v>23.719446827252035</v>
      </c>
      <c r="EH48" s="1507">
        <f t="shared" ca="1" si="50"/>
        <v>33.774652706379776</v>
      </c>
      <c r="EI48" s="1505">
        <f t="shared" ca="1" si="50"/>
        <v>-34.752188906240697</v>
      </c>
      <c r="EJ48" s="1506">
        <f t="shared" ca="1" si="50"/>
        <v>35.755653493519873</v>
      </c>
      <c r="EK48" s="1506">
        <f t="shared" ca="1" si="50"/>
        <v>26.324999049541901</v>
      </c>
      <c r="EL48" s="1507">
        <f t="shared" ca="1" si="50"/>
        <v>35.755653493519873</v>
      </c>
      <c r="EM48" s="1505">
        <f t="shared" ca="1" si="50"/>
        <v>-51.644977824620611</v>
      </c>
      <c r="EN48" s="1506">
        <f t="shared" ca="1" si="50"/>
        <v>30.274075344174204</v>
      </c>
      <c r="EO48" s="1506">
        <f t="shared" ca="1" si="50"/>
        <v>19.566331096478006</v>
      </c>
      <c r="EP48" s="1507">
        <f t="shared" ca="1" si="50"/>
        <v>30.274075344174204</v>
      </c>
      <c r="EQ48" s="1505">
        <f t="shared" ca="1" si="50"/>
        <v>-32.61195581860904</v>
      </c>
      <c r="ER48" s="1506">
        <f t="shared" ca="1" si="50"/>
        <v>38.83100466797444</v>
      </c>
      <c r="ES48" s="1506">
        <f t="shared" ca="1" si="50"/>
        <v>29.212379156381644</v>
      </c>
      <c r="ET48" s="1507">
        <f t="shared" ca="1" si="50"/>
        <v>38.83100466797444</v>
      </c>
      <c r="EU48" s="1505">
        <f t="shared" ca="1" si="50"/>
        <v>-49.072939341400684</v>
      </c>
      <c r="EV48" s="1506">
        <f t="shared" ca="1" si="50"/>
        <v>30.085772861704584</v>
      </c>
      <c r="EW48" s="1506">
        <f t="shared" ca="1" si="50"/>
        <v>19.682585128359705</v>
      </c>
      <c r="EX48" s="1507">
        <f t="shared" ca="1" si="50"/>
        <v>30.085772861704584</v>
      </c>
      <c r="EY48" s="1505">
        <f t="shared" ca="1" si="50"/>
        <v>-51.066047856333839</v>
      </c>
      <c r="EZ48" s="1506">
        <f t="shared" ca="1" si="50"/>
        <v>38.539508121736333</v>
      </c>
      <c r="FA48" s="1506">
        <f t="shared" ca="1" si="50"/>
        <v>26.806574668623583</v>
      </c>
      <c r="FB48" s="1507">
        <f t="shared" ca="1" si="50"/>
        <v>38.539508121736333</v>
      </c>
      <c r="FC48" s="1505">
        <f t="shared" ca="1" si="50"/>
        <v>-44.127355900032313</v>
      </c>
      <c r="FD48" s="1506">
        <f t="shared" ca="1" si="50"/>
        <v>40.979615112698212</v>
      </c>
      <c r="FE48" s="1506">
        <f t="shared" ca="1" si="50"/>
        <v>29.621857343258853</v>
      </c>
      <c r="FF48" s="1507">
        <f t="shared" ca="1" si="50"/>
        <v>40.979615112698212</v>
      </c>
      <c r="FG48" s="1505">
        <f t="shared" ref="FG48:GD48" ca="1" si="51">SUM(FG6,FG27,FG33)</f>
        <v>-46.618017553561188</v>
      </c>
      <c r="FH48" s="1506">
        <f t="shared" ca="1" si="51"/>
        <v>39.626671304245647</v>
      </c>
      <c r="FI48" s="1506">
        <f t="shared" ca="1" si="51"/>
        <v>28.17863212430748</v>
      </c>
      <c r="FJ48" s="1507">
        <f t="shared" ca="1" si="51"/>
        <v>39.626671304245647</v>
      </c>
      <c r="FK48" s="1505">
        <f t="shared" ca="1" si="51"/>
        <v>-57.237833346107493</v>
      </c>
      <c r="FL48" s="1506">
        <f t="shared" ca="1" si="51"/>
        <v>44.595681637342409</v>
      </c>
      <c r="FM48" s="1506">
        <f t="shared" ca="1" si="51"/>
        <v>31.291309764769068</v>
      </c>
      <c r="FN48" s="1507">
        <f t="shared" ca="1" si="51"/>
        <v>44.595681637342409</v>
      </c>
      <c r="FO48" s="1505">
        <f t="shared" ca="1" si="51"/>
        <v>-57.683577598137106</v>
      </c>
      <c r="FP48" s="1506">
        <f t="shared" ca="1" si="51"/>
        <v>42.661967875175606</v>
      </c>
      <c r="FQ48" s="1506">
        <f t="shared" ca="1" si="51"/>
        <v>29.313983531875973</v>
      </c>
      <c r="FR48" s="1507">
        <f t="shared" ca="1" si="51"/>
        <v>42.661967875175606</v>
      </c>
      <c r="FS48" s="1505">
        <f t="shared" ca="1" si="51"/>
        <v>-56.350307305718673</v>
      </c>
      <c r="FT48" s="1506">
        <f t="shared" ca="1" si="51"/>
        <v>46.453060555020414</v>
      </c>
      <c r="FU48" s="1506">
        <f t="shared" ca="1" si="51"/>
        <v>32.808918072937558</v>
      </c>
      <c r="FV48" s="1507">
        <f t="shared" ca="1" si="51"/>
        <v>46.453060555020414</v>
      </c>
      <c r="FW48" s="1505">
        <f t="shared" ca="1" si="51"/>
        <v>-68.94172835076904</v>
      </c>
      <c r="FX48" s="1506">
        <f t="shared" ca="1" si="51"/>
        <v>43.406962942650452</v>
      </c>
      <c r="FY48" s="1506">
        <f t="shared" ca="1" si="51"/>
        <v>28.597635264728954</v>
      </c>
      <c r="FZ48" s="1507">
        <f t="shared" ca="1" si="51"/>
        <v>43.406962942650452</v>
      </c>
      <c r="GA48" s="1505">
        <f t="shared" ca="1" si="51"/>
        <v>-101.22382481458385</v>
      </c>
      <c r="GB48" s="1506">
        <f t="shared" ca="1" si="51"/>
        <v>-686.98229446814537</v>
      </c>
      <c r="GC48" s="1506">
        <f t="shared" ca="1" si="51"/>
        <v>0</v>
      </c>
      <c r="GD48" s="1507">
        <f t="shared" ca="1" si="51"/>
        <v>0</v>
      </c>
      <c r="GE48" s="1508"/>
      <c r="GF48" s="1509"/>
      <c r="GG48" s="1509"/>
      <c r="GH48" s="1509"/>
      <c r="GI48" s="1509"/>
      <c r="GJ48" s="1509"/>
      <c r="GK48" s="1509"/>
      <c r="GL48" s="1509"/>
      <c r="GM48" s="1509"/>
      <c r="GN48" s="1509"/>
      <c r="GO48" s="1509"/>
      <c r="GP48" s="1509"/>
      <c r="GQ48" s="1509"/>
      <c r="GR48" s="1509"/>
      <c r="GS48" s="1509"/>
      <c r="GT48" s="1509"/>
    </row>
    <row r="49" spans="2:202" ht="17.100000000000001" customHeight="1">
      <c r="B49" s="307" t="s">
        <v>1329</v>
      </c>
      <c r="D49" s="331"/>
      <c r="E49" s="727"/>
      <c r="F49" s="1517">
        <f>AE49</f>
        <v>54.096084490000003</v>
      </c>
      <c r="G49" s="1518">
        <v>9.0781182099999995</v>
      </c>
      <c r="H49" s="1518">
        <f>G50</f>
        <v>43.766150480000007</v>
      </c>
      <c r="I49" s="1518">
        <f t="shared" ref="I49:V49" si="52">H50</f>
        <v>22.310952779999994</v>
      </c>
      <c r="J49" s="1518">
        <f t="shared" si="52"/>
        <v>14.33400370999999</v>
      </c>
      <c r="K49" s="1518">
        <f t="shared" si="52"/>
        <v>27.594254184555808</v>
      </c>
      <c r="L49" s="1518">
        <f t="shared" si="52"/>
        <v>31.919576669999998</v>
      </c>
      <c r="M49" s="1518">
        <f t="shared" si="52"/>
        <v>33.528190899999998</v>
      </c>
      <c r="N49" s="1518">
        <f t="shared" si="52"/>
        <v>161.27826865</v>
      </c>
      <c r="O49" s="1518">
        <f t="shared" si="52"/>
        <v>73.722057169909846</v>
      </c>
      <c r="P49" s="1518">
        <f t="shared" si="52"/>
        <v>83.142520109909839</v>
      </c>
      <c r="Q49" s="1518">
        <f t="shared" si="52"/>
        <v>45.74964708977042</v>
      </c>
      <c r="R49" s="1518">
        <f t="shared" si="52"/>
        <v>33.466606609770437</v>
      </c>
      <c r="S49" s="1518">
        <f t="shared" si="52"/>
        <v>111.551354942464</v>
      </c>
      <c r="T49" s="1518">
        <f t="shared" si="52"/>
        <v>65.352806182463993</v>
      </c>
      <c r="U49" s="1518">
        <f t="shared" si="52"/>
        <v>222.91481242246397</v>
      </c>
      <c r="V49" s="1518">
        <f t="shared" si="52"/>
        <v>194.36337272246396</v>
      </c>
      <c r="W49" s="1519">
        <f>'CF(Y)'!K46</f>
        <v>153.81742943846405</v>
      </c>
      <c r="X49" s="1520">
        <f t="shared" ref="X49:CI49" ca="1" si="53">W50</f>
        <v>136.8718962685542</v>
      </c>
      <c r="Y49" s="1520">
        <f t="shared" ca="1" si="53"/>
        <v>108.07529580855417</v>
      </c>
      <c r="Z49" s="1521">
        <f t="shared" ca="1" si="53"/>
        <v>58.372855218554172</v>
      </c>
      <c r="AA49" s="1519">
        <f ca="1">Z50</f>
        <v>16.724687388554166</v>
      </c>
      <c r="AB49" s="1520">
        <f t="shared" ca="1" si="53"/>
        <v>101.61547263933335</v>
      </c>
      <c r="AC49" s="1520">
        <f t="shared" ca="1" si="53"/>
        <v>170.70014937571219</v>
      </c>
      <c r="AD49" s="1521">
        <f t="shared" ca="1" si="53"/>
        <v>136.87025416571217</v>
      </c>
      <c r="AE49" s="1522">
        <f t="shared" si="53"/>
        <v>54.096084490000003</v>
      </c>
      <c r="AF49" s="1523">
        <f t="shared" ca="1" si="53"/>
        <v>4.5257455899999997</v>
      </c>
      <c r="AG49" s="1523">
        <f t="shared" ca="1" si="53"/>
        <v>23.43041886</v>
      </c>
      <c r="AH49" s="1524">
        <f t="shared" ca="1" si="53"/>
        <v>1.2139970799999986</v>
      </c>
      <c r="AI49" s="1522">
        <f t="shared" ca="1" si="53"/>
        <v>7.568004939999998</v>
      </c>
      <c r="AJ49" s="1523">
        <f t="shared" ca="1" si="53"/>
        <v>0</v>
      </c>
      <c r="AK49" s="1523">
        <f t="shared" ca="1" si="53"/>
        <v>7.703740082373173</v>
      </c>
      <c r="AL49" s="1524">
        <f t="shared" ca="1" si="53"/>
        <v>0</v>
      </c>
      <c r="AM49" s="1522">
        <f t="shared" ca="1" si="53"/>
        <v>0</v>
      </c>
      <c r="AN49" s="1523">
        <f t="shared" ca="1" si="53"/>
        <v>11.006923925605868</v>
      </c>
      <c r="AO49" s="1523">
        <f t="shared" ca="1" si="53"/>
        <v>93.321218000074055</v>
      </c>
      <c r="AP49" s="1524">
        <f t="shared" ca="1" si="53"/>
        <v>52.631153866597117</v>
      </c>
      <c r="AQ49" s="1522">
        <f t="shared" ca="1" si="53"/>
        <v>14.926766905465385</v>
      </c>
      <c r="AR49" s="1523">
        <f t="shared" ca="1" si="53"/>
        <v>0</v>
      </c>
      <c r="AS49" s="1523">
        <f t="shared" ca="1" si="53"/>
        <v>83.303797979740196</v>
      </c>
      <c r="AT49" s="1524">
        <f t="shared" ca="1" si="53"/>
        <v>43.333557095176019</v>
      </c>
      <c r="AU49" s="1522">
        <f t="shared" ca="1" si="53"/>
        <v>7.3600855626918715</v>
      </c>
      <c r="AV49" s="1523">
        <f t="shared" ca="1" si="53"/>
        <v>0</v>
      </c>
      <c r="AW49" s="1523">
        <f t="shared" ca="1" si="53"/>
        <v>0.19079295939331331</v>
      </c>
      <c r="AX49" s="1524">
        <f t="shared" ca="1" si="53"/>
        <v>0</v>
      </c>
      <c r="AY49" s="1522">
        <f t="shared" ca="1" si="53"/>
        <v>0</v>
      </c>
      <c r="AZ49" s="1523">
        <f t="shared" ca="1" si="53"/>
        <v>0</v>
      </c>
      <c r="BA49" s="1523">
        <f t="shared" ca="1" si="53"/>
        <v>0</v>
      </c>
      <c r="BB49" s="1524">
        <f t="shared" ca="1" si="53"/>
        <v>0</v>
      </c>
      <c r="BC49" s="1522">
        <f t="shared" ca="1" si="53"/>
        <v>0</v>
      </c>
      <c r="BD49" s="1523">
        <f t="shared" ca="1" si="53"/>
        <v>8.6785616550103146</v>
      </c>
      <c r="BE49" s="1523">
        <f t="shared" ca="1" si="53"/>
        <v>12.918193493137036</v>
      </c>
      <c r="BF49" s="1524">
        <f t="shared" ca="1" si="53"/>
        <v>17.055884568440788</v>
      </c>
      <c r="BG49" s="1522">
        <f t="shared" ca="1" si="53"/>
        <v>21.517238126567506</v>
      </c>
      <c r="BH49" s="1523">
        <f t="shared" ca="1" si="53"/>
        <v>23.745128348828487</v>
      </c>
      <c r="BI49" s="1523">
        <f t="shared" ca="1" si="53"/>
        <v>31.43080595738946</v>
      </c>
      <c r="BJ49" s="1524">
        <f t="shared" ca="1" si="53"/>
        <v>37.3902194146727</v>
      </c>
      <c r="BK49" s="1522">
        <f t="shared" ca="1" si="53"/>
        <v>45.297618743233677</v>
      </c>
      <c r="BL49" s="1523">
        <f t="shared" ca="1" si="53"/>
        <v>14.621532203535789</v>
      </c>
      <c r="BM49" s="1523">
        <f t="shared" ca="1" si="53"/>
        <v>17.680676233040678</v>
      </c>
      <c r="BN49" s="1524">
        <f t="shared" ca="1" si="53"/>
        <v>18.444333133922292</v>
      </c>
      <c r="BO49" s="1522">
        <f t="shared" ca="1" si="53"/>
        <v>31.691078883427178</v>
      </c>
      <c r="BP49" s="1523">
        <f t="shared" ca="1" si="53"/>
        <v>29.926744852443193</v>
      </c>
      <c r="BQ49" s="1523">
        <f t="shared" ca="1" si="53"/>
        <v>45.919422720671179</v>
      </c>
      <c r="BR49" s="1524">
        <f t="shared" ca="1" si="53"/>
        <v>59.708989072342305</v>
      </c>
      <c r="BS49" s="1522">
        <f t="shared" ca="1" si="53"/>
        <v>75.701666940570291</v>
      </c>
      <c r="BT49" s="1523">
        <f t="shared" ca="1" si="53"/>
        <v>51.717926833646594</v>
      </c>
      <c r="BU49" s="1523">
        <f t="shared" ca="1" si="53"/>
        <v>62.777983962278384</v>
      </c>
      <c r="BV49" s="1524">
        <f t="shared" ca="1" si="53"/>
        <v>69.535814125151276</v>
      </c>
      <c r="BW49" s="1522">
        <f t="shared" ca="1" si="53"/>
        <v>81.295871253783062</v>
      </c>
      <c r="BX49" s="1523">
        <f t="shared" ca="1" si="53"/>
        <v>68.033580994405241</v>
      </c>
      <c r="BY49" s="1523">
        <f t="shared" ca="1" si="53"/>
        <v>82.996861415805597</v>
      </c>
      <c r="BZ49" s="1524">
        <f t="shared" ca="1" si="53"/>
        <v>94.216635462224559</v>
      </c>
      <c r="CA49" s="1522">
        <f t="shared" ca="1" si="53"/>
        <v>109.17991588362491</v>
      </c>
      <c r="CB49" s="1523">
        <f t="shared" ca="1" si="53"/>
        <v>103.10301499551872</v>
      </c>
      <c r="CC49" s="1523">
        <f t="shared" ca="1" si="53"/>
        <v>127.86430536773558</v>
      </c>
      <c r="CD49" s="1524">
        <f t="shared" ca="1" si="53"/>
        <v>148.63891725279802</v>
      </c>
      <c r="CE49" s="1522">
        <f t="shared" ca="1" si="53"/>
        <v>173.4002076250149</v>
      </c>
      <c r="CF49" s="1523">
        <f t="shared" ca="1" si="53"/>
        <v>151.2863667915492</v>
      </c>
      <c r="CG49" s="1523">
        <f t="shared" ca="1" si="53"/>
        <v>168.01476291640148</v>
      </c>
      <c r="CH49" s="1524">
        <f t="shared" ca="1" si="53"/>
        <v>179.78004869986222</v>
      </c>
      <c r="CI49" s="1522">
        <f t="shared" ca="1" si="53"/>
        <v>196.5084448247145</v>
      </c>
      <c r="CJ49" s="1523">
        <f t="shared" ref="CJ49:EU49" ca="1" si="54">CI50</f>
        <v>172.41080431043156</v>
      </c>
      <c r="CK49" s="1523">
        <f t="shared" ca="1" si="54"/>
        <v>185.62394994688236</v>
      </c>
      <c r="CL49" s="1524">
        <f t="shared" ca="1" si="54"/>
        <v>193.93969687927529</v>
      </c>
      <c r="CM49" s="1522">
        <f t="shared" ca="1" si="54"/>
        <v>207.15284251572609</v>
      </c>
      <c r="CN49" s="1523">
        <f t="shared" ca="1" si="54"/>
        <v>182.57118024796017</v>
      </c>
      <c r="CO49" s="1523">
        <f t="shared" ca="1" si="54"/>
        <v>195.46131896337616</v>
      </c>
      <c r="CP49" s="1524">
        <f t="shared" ca="1" si="54"/>
        <v>204.19191491429416</v>
      </c>
      <c r="CQ49" s="1522">
        <f t="shared" ca="1" si="54"/>
        <v>217.08205362971015</v>
      </c>
      <c r="CR49" s="1523">
        <f t="shared" ca="1" si="54"/>
        <v>176.09867666140741</v>
      </c>
      <c r="CS49" s="1523">
        <f t="shared" ca="1" si="54"/>
        <v>197.78679807863739</v>
      </c>
      <c r="CT49" s="1524">
        <f t="shared" ca="1" si="54"/>
        <v>213.96723319363338</v>
      </c>
      <c r="CU49" s="1522">
        <f t="shared" ca="1" si="54"/>
        <v>235.65535461086336</v>
      </c>
      <c r="CV49" s="1523">
        <f t="shared" ca="1" si="54"/>
        <v>185.45857755374988</v>
      </c>
      <c r="CW49" s="1523">
        <f t="shared" ca="1" si="54"/>
        <v>197.6497565677231</v>
      </c>
      <c r="CX49" s="1524">
        <f t="shared" ca="1" si="54"/>
        <v>204.59127262933592</v>
      </c>
      <c r="CY49" s="1522">
        <f t="shared" ca="1" si="54"/>
        <v>216.78245164330914</v>
      </c>
      <c r="CZ49" s="1523">
        <f t="shared" ca="1" si="54"/>
        <v>135.94223677922577</v>
      </c>
      <c r="DA49" s="1523">
        <f t="shared" ca="1" si="54"/>
        <v>130.14273947029619</v>
      </c>
      <c r="DB49" s="1524">
        <f t="shared" ca="1" si="54"/>
        <v>119.66342609347419</v>
      </c>
      <c r="DC49" s="1522">
        <f t="shared" ca="1" si="54"/>
        <v>113.86392878454463</v>
      </c>
      <c r="DD49" s="1523">
        <f t="shared" ca="1" si="54"/>
        <v>52.403668780965617</v>
      </c>
      <c r="DE49" s="1523">
        <f t="shared" ca="1" si="54"/>
        <v>69.183316324185824</v>
      </c>
      <c r="DF49" s="1524">
        <f t="shared" ca="1" si="54"/>
        <v>81.195755885627463</v>
      </c>
      <c r="DG49" s="1522">
        <f t="shared" ca="1" si="54"/>
        <v>97.97540342884767</v>
      </c>
      <c r="DH49" s="1523">
        <f t="shared" ca="1" si="54"/>
        <v>26.924029411743348</v>
      </c>
      <c r="DI49" s="1523">
        <f t="shared" ca="1" si="54"/>
        <v>49.512144184029509</v>
      </c>
      <c r="DJ49" s="1524">
        <f t="shared" ca="1" si="54"/>
        <v>65.499466090061802</v>
      </c>
      <c r="DK49" s="1522">
        <f t="shared" ca="1" si="54"/>
        <v>89.787580862347966</v>
      </c>
      <c r="DL49" s="1523">
        <f t="shared" ca="1" si="54"/>
        <v>18.660337529541721</v>
      </c>
      <c r="DM49" s="1523">
        <f t="shared" ca="1" si="54"/>
        <v>43.096257958381138</v>
      </c>
      <c r="DN49" s="1524">
        <f t="shared" ca="1" si="54"/>
        <v>60.486543600551428</v>
      </c>
      <c r="DO49" s="1522">
        <f t="shared" ca="1" si="54"/>
        <v>84.922464029390852</v>
      </c>
      <c r="DP49" s="1523">
        <f t="shared" ca="1" si="54"/>
        <v>19.676152533346723</v>
      </c>
      <c r="DQ49" s="1523">
        <f t="shared" ca="1" si="54"/>
        <v>50.141620073733918</v>
      </c>
      <c r="DR49" s="1524">
        <f t="shared" ca="1" si="54"/>
        <v>71.689612717266314</v>
      </c>
      <c r="DS49" s="1522">
        <f t="shared" ca="1" si="54"/>
        <v>102.15508025765351</v>
      </c>
      <c r="DT49" s="1523">
        <f t="shared" ca="1" si="54"/>
        <v>26.4974965340799</v>
      </c>
      <c r="DU49" s="1523">
        <f t="shared" ca="1" si="54"/>
        <v>61.427511455945478</v>
      </c>
      <c r="DV49" s="1524">
        <f t="shared" ca="1" si="54"/>
        <v>87.682529735490817</v>
      </c>
      <c r="DW49" s="1522">
        <f t="shared" ca="1" si="54"/>
        <v>122.61254465735639</v>
      </c>
      <c r="DX49" s="1523">
        <f t="shared" ca="1" si="54"/>
        <v>42.133634486694135</v>
      </c>
      <c r="DY49" s="1523">
        <f t="shared" ca="1" si="54"/>
        <v>78.860574705321142</v>
      </c>
      <c r="DZ49" s="1524">
        <f t="shared" ca="1" si="54"/>
        <v>106.83759610887931</v>
      </c>
      <c r="EA49" s="1522">
        <f t="shared" ca="1" si="54"/>
        <v>143.56453632750632</v>
      </c>
      <c r="EB49" s="1523">
        <f t="shared" ca="1" si="54"/>
        <v>61.913022449735919</v>
      </c>
      <c r="EC49" s="1523">
        <f t="shared" ca="1" si="54"/>
        <v>95.790029545751906</v>
      </c>
      <c r="ED49" s="1524">
        <f t="shared" ca="1" si="54"/>
        <v>120.0031509133418</v>
      </c>
      <c r="EE49" s="1522">
        <f t="shared" ca="1" si="54"/>
        <v>153.88015800935779</v>
      </c>
      <c r="EF49" s="1523">
        <f t="shared" ca="1" si="54"/>
        <v>83.21914381050118</v>
      </c>
      <c r="EG49" s="1523">
        <f t="shared" ca="1" si="54"/>
        <v>116.99379651688096</v>
      </c>
      <c r="EH49" s="1524">
        <f t="shared" ca="1" si="54"/>
        <v>140.71324334413299</v>
      </c>
      <c r="EI49" s="1522">
        <f t="shared" ca="1" si="54"/>
        <v>174.48789605051277</v>
      </c>
      <c r="EJ49" s="1523">
        <f t="shared" ca="1" si="54"/>
        <v>139.73570714427208</v>
      </c>
      <c r="EK49" s="1523">
        <f t="shared" ca="1" si="54"/>
        <v>175.49136063779196</v>
      </c>
      <c r="EL49" s="1524">
        <f t="shared" ca="1" si="54"/>
        <v>201.81635968733386</v>
      </c>
      <c r="EM49" s="1522">
        <f t="shared" ca="1" si="54"/>
        <v>237.57201318085373</v>
      </c>
      <c r="EN49" s="1523">
        <f t="shared" ca="1" si="54"/>
        <v>185.92703535623312</v>
      </c>
      <c r="EO49" s="1523">
        <f t="shared" ca="1" si="54"/>
        <v>216.20111070040733</v>
      </c>
      <c r="EP49" s="1524">
        <f t="shared" ca="1" si="54"/>
        <v>235.76744179688532</v>
      </c>
      <c r="EQ49" s="1522">
        <f t="shared" ca="1" si="54"/>
        <v>266.0415171410595</v>
      </c>
      <c r="ER49" s="1523">
        <f t="shared" ca="1" si="54"/>
        <v>233.42956132245047</v>
      </c>
      <c r="ES49" s="1523">
        <f t="shared" ca="1" si="54"/>
        <v>272.26056599042488</v>
      </c>
      <c r="ET49" s="1524">
        <f t="shared" ca="1" si="54"/>
        <v>301.47294514680652</v>
      </c>
      <c r="EU49" s="1522">
        <f t="shared" ca="1" si="54"/>
        <v>340.30394981478094</v>
      </c>
      <c r="EV49" s="1523">
        <f t="shared" ref="EV49:GB49" ca="1" si="55">EU50</f>
        <v>291.23101047338025</v>
      </c>
      <c r="EW49" s="1523">
        <f t="shared" ca="1" si="55"/>
        <v>321.31678333508484</v>
      </c>
      <c r="EX49" s="1524">
        <f t="shared" ca="1" si="55"/>
        <v>340.99936846344451</v>
      </c>
      <c r="EY49" s="1522">
        <f t="shared" ca="1" si="55"/>
        <v>371.0851413251491</v>
      </c>
      <c r="EZ49" s="1523">
        <f t="shared" ca="1" si="55"/>
        <v>320.01909346881524</v>
      </c>
      <c r="FA49" s="1523">
        <f t="shared" ca="1" si="55"/>
        <v>358.55860159055158</v>
      </c>
      <c r="FB49" s="1524">
        <f t="shared" ca="1" si="55"/>
        <v>385.36517625917514</v>
      </c>
      <c r="FC49" s="1522">
        <f t="shared" ca="1" si="55"/>
        <v>423.90468438091148</v>
      </c>
      <c r="FD49" s="1523">
        <f t="shared" ca="1" si="55"/>
        <v>379.77732848087919</v>
      </c>
      <c r="FE49" s="1523">
        <f t="shared" ca="1" si="55"/>
        <v>420.75694359357738</v>
      </c>
      <c r="FF49" s="1524">
        <f t="shared" ca="1" si="55"/>
        <v>450.37880093683623</v>
      </c>
      <c r="FG49" s="1522">
        <f t="shared" ca="1" si="55"/>
        <v>491.35841604953441</v>
      </c>
      <c r="FH49" s="1523">
        <f t="shared" ca="1" si="55"/>
        <v>444.74039849597324</v>
      </c>
      <c r="FI49" s="1523">
        <f t="shared" ca="1" si="55"/>
        <v>484.36706980021887</v>
      </c>
      <c r="FJ49" s="1524">
        <f t="shared" ca="1" si="55"/>
        <v>512.54570192452638</v>
      </c>
      <c r="FK49" s="1522">
        <f t="shared" ca="1" si="55"/>
        <v>552.17237322877202</v>
      </c>
      <c r="FL49" s="1523">
        <f t="shared" ca="1" si="55"/>
        <v>494.93453988266452</v>
      </c>
      <c r="FM49" s="1523">
        <f t="shared" ca="1" si="55"/>
        <v>539.53022152000699</v>
      </c>
      <c r="FN49" s="1524">
        <f t="shared" ca="1" si="55"/>
        <v>570.82153128477603</v>
      </c>
      <c r="FO49" s="1522">
        <f t="shared" ca="1" si="55"/>
        <v>615.41721292211844</v>
      </c>
      <c r="FP49" s="1523">
        <f t="shared" ca="1" si="55"/>
        <v>557.73363532398139</v>
      </c>
      <c r="FQ49" s="1523">
        <f t="shared" ca="1" si="55"/>
        <v>600.39560319915699</v>
      </c>
      <c r="FR49" s="1524">
        <f t="shared" ca="1" si="55"/>
        <v>629.70958673103291</v>
      </c>
      <c r="FS49" s="1522">
        <f t="shared" ca="1" si="55"/>
        <v>672.37155460620852</v>
      </c>
      <c r="FT49" s="1523">
        <f t="shared" ca="1" si="55"/>
        <v>616.0212473004899</v>
      </c>
      <c r="FU49" s="1523">
        <f t="shared" ca="1" si="55"/>
        <v>662.47430785551035</v>
      </c>
      <c r="FV49" s="1524">
        <f t="shared" ca="1" si="55"/>
        <v>695.28322592844791</v>
      </c>
      <c r="FW49" s="1522">
        <f t="shared" ca="1" si="55"/>
        <v>741.73628648346835</v>
      </c>
      <c r="FX49" s="1523">
        <f t="shared" ca="1" si="55"/>
        <v>672.79455813269931</v>
      </c>
      <c r="FY49" s="1523">
        <f t="shared" ca="1" si="55"/>
        <v>716.20152107534977</v>
      </c>
      <c r="FZ49" s="1524">
        <f t="shared" ca="1" si="55"/>
        <v>744.79915634007875</v>
      </c>
      <c r="GA49" s="1522">
        <f t="shared" ca="1" si="55"/>
        <v>788.20611928272922</v>
      </c>
      <c r="GB49" s="1523">
        <f t="shared" ca="1" si="55"/>
        <v>686.98229446814537</v>
      </c>
      <c r="GC49" s="1523"/>
      <c r="GD49" s="1524"/>
      <c r="GE49" s="1508"/>
      <c r="GF49" s="1509"/>
      <c r="GG49" s="1509"/>
      <c r="GH49" s="1509"/>
      <c r="GI49" s="1509"/>
      <c r="GJ49" s="1509"/>
      <c r="GK49" s="1509"/>
      <c r="GL49" s="1509"/>
      <c r="GM49" s="1509"/>
      <c r="GN49" s="1509"/>
      <c r="GO49" s="1509"/>
      <c r="GP49" s="1509"/>
      <c r="GQ49" s="1509"/>
      <c r="GR49" s="1509"/>
      <c r="GS49" s="1509"/>
      <c r="GT49" s="1509"/>
    </row>
    <row r="50" spans="2:202" s="1568" customFormat="1" ht="17.100000000000001" customHeight="1">
      <c r="B50" s="1569" t="s">
        <v>1330</v>
      </c>
      <c r="C50" s="1570"/>
      <c r="D50" s="1571"/>
      <c r="E50" s="1572"/>
      <c r="F50" s="1573">
        <f ca="1">MIN(AE50:GD50)</f>
        <v>0</v>
      </c>
      <c r="G50" s="1574">
        <f t="shared" ref="G50:V50" si="56">IF(ABS(G48+G49)&lt;0.001,0,G48+G49)</f>
        <v>43.766150480000007</v>
      </c>
      <c r="H50" s="1574">
        <f t="shared" si="56"/>
        <v>22.310952779999994</v>
      </c>
      <c r="I50" s="1574">
        <f t="shared" si="56"/>
        <v>14.33400370999999</v>
      </c>
      <c r="J50" s="1574">
        <f t="shared" si="56"/>
        <v>27.594254184555808</v>
      </c>
      <c r="K50" s="1574">
        <f t="shared" si="56"/>
        <v>31.919576669999998</v>
      </c>
      <c r="L50" s="1574">
        <f t="shared" si="56"/>
        <v>33.528190899999998</v>
      </c>
      <c r="M50" s="1574">
        <f t="shared" si="56"/>
        <v>161.27826865</v>
      </c>
      <c r="N50" s="1574">
        <f t="shared" si="56"/>
        <v>73.722057169909846</v>
      </c>
      <c r="O50" s="1574">
        <f t="shared" si="56"/>
        <v>83.142520109909839</v>
      </c>
      <c r="P50" s="1574">
        <f t="shared" si="56"/>
        <v>45.74964708977042</v>
      </c>
      <c r="Q50" s="1574">
        <f t="shared" si="56"/>
        <v>33.466606609770437</v>
      </c>
      <c r="R50" s="1574">
        <f t="shared" si="56"/>
        <v>111.551354942464</v>
      </c>
      <c r="S50" s="1574">
        <f t="shared" si="56"/>
        <v>65.352806182463993</v>
      </c>
      <c r="T50" s="1574">
        <f t="shared" si="56"/>
        <v>222.91481242246397</v>
      </c>
      <c r="U50" s="1574">
        <f t="shared" si="56"/>
        <v>194.36337272246396</v>
      </c>
      <c r="V50" s="1574">
        <f t="shared" si="56"/>
        <v>153.81742943846396</v>
      </c>
      <c r="W50" s="1574">
        <f ca="1">IF(ABS(W48+W49)&lt;0.001,0,W48+W49)</f>
        <v>136.8718962685542</v>
      </c>
      <c r="X50" s="1575">
        <f t="shared" ref="X50:CI50" ca="1" si="57">IF(ABS(X48+X49)&lt;0.001,0,X48+X49)</f>
        <v>108.07529580855417</v>
      </c>
      <c r="Y50" s="1575">
        <f t="shared" ca="1" si="57"/>
        <v>58.372855218554172</v>
      </c>
      <c r="Z50" s="1576">
        <f t="shared" ca="1" si="57"/>
        <v>16.724687388554166</v>
      </c>
      <c r="AA50" s="1574">
        <f t="shared" ca="1" si="57"/>
        <v>101.61547263933335</v>
      </c>
      <c r="AB50" s="1575">
        <f t="shared" ca="1" si="57"/>
        <v>170.70014937571219</v>
      </c>
      <c r="AC50" s="1575">
        <f t="shared" ca="1" si="57"/>
        <v>136.87025416571217</v>
      </c>
      <c r="AD50" s="1577">
        <f>BS!K67</f>
        <v>54.096084490000003</v>
      </c>
      <c r="AE50" s="1578">
        <f t="shared" ca="1" si="57"/>
        <v>4.5257455899999997</v>
      </c>
      <c r="AF50" s="1579">
        <f t="shared" ca="1" si="57"/>
        <v>23.43041886</v>
      </c>
      <c r="AG50" s="1579">
        <f t="shared" ca="1" si="57"/>
        <v>1.2139970799999986</v>
      </c>
      <c r="AH50" s="1580">
        <f ca="1">IF(ABS(AH48+AH49)&lt;0.001,0,AH48+AH49)</f>
        <v>7.568004939999998</v>
      </c>
      <c r="AI50" s="1578">
        <f t="shared" ca="1" si="57"/>
        <v>0</v>
      </c>
      <c r="AJ50" s="1579">
        <f t="shared" ca="1" si="57"/>
        <v>7.703740082373173</v>
      </c>
      <c r="AK50" s="1579">
        <f t="shared" ca="1" si="57"/>
        <v>0</v>
      </c>
      <c r="AL50" s="1581">
        <f t="shared" ca="1" si="57"/>
        <v>0</v>
      </c>
      <c r="AM50" s="1578">
        <f t="shared" ca="1" si="57"/>
        <v>11.006923925605868</v>
      </c>
      <c r="AN50" s="1579">
        <f t="shared" ca="1" si="57"/>
        <v>93.321218000074055</v>
      </c>
      <c r="AO50" s="1579">
        <f t="shared" ca="1" si="57"/>
        <v>52.631153866597117</v>
      </c>
      <c r="AP50" s="1581">
        <f t="shared" ca="1" si="57"/>
        <v>14.926766905465385</v>
      </c>
      <c r="AQ50" s="1578">
        <f ca="1">IF(ABS(AQ48+AQ49)&lt;0.001,0,AQ48+AQ49)</f>
        <v>0</v>
      </c>
      <c r="AR50" s="1579">
        <f t="shared" ca="1" si="57"/>
        <v>83.303797979740196</v>
      </c>
      <c r="AS50" s="1579">
        <f t="shared" ca="1" si="57"/>
        <v>43.333557095176019</v>
      </c>
      <c r="AT50" s="1581">
        <f t="shared" ca="1" si="57"/>
        <v>7.3600855626918715</v>
      </c>
      <c r="AU50" s="1578">
        <f t="shared" ca="1" si="57"/>
        <v>0</v>
      </c>
      <c r="AV50" s="1579">
        <f t="shared" ca="1" si="57"/>
        <v>0.19079295939331331</v>
      </c>
      <c r="AW50" s="1579">
        <f t="shared" ca="1" si="57"/>
        <v>0</v>
      </c>
      <c r="AX50" s="1581">
        <f t="shared" ca="1" si="57"/>
        <v>0</v>
      </c>
      <c r="AY50" s="1578">
        <f t="shared" ca="1" si="57"/>
        <v>0</v>
      </c>
      <c r="AZ50" s="1579">
        <f t="shared" ca="1" si="57"/>
        <v>0</v>
      </c>
      <c r="BA50" s="1579">
        <f t="shared" ca="1" si="57"/>
        <v>0</v>
      </c>
      <c r="BB50" s="1581">
        <f t="shared" ca="1" si="57"/>
        <v>0</v>
      </c>
      <c r="BC50" s="1578">
        <f t="shared" ca="1" si="57"/>
        <v>8.6785616550103146</v>
      </c>
      <c r="BD50" s="1579">
        <f t="shared" ca="1" si="57"/>
        <v>12.918193493137036</v>
      </c>
      <c r="BE50" s="1579">
        <f t="shared" ca="1" si="57"/>
        <v>17.055884568440788</v>
      </c>
      <c r="BF50" s="1581">
        <f t="shared" ca="1" si="57"/>
        <v>21.517238126567506</v>
      </c>
      <c r="BG50" s="1578">
        <f t="shared" ca="1" si="57"/>
        <v>23.745128348828487</v>
      </c>
      <c r="BH50" s="1579">
        <f t="shared" ca="1" si="57"/>
        <v>31.43080595738946</v>
      </c>
      <c r="BI50" s="1579">
        <f t="shared" ca="1" si="57"/>
        <v>37.3902194146727</v>
      </c>
      <c r="BJ50" s="1581">
        <f t="shared" ca="1" si="57"/>
        <v>45.297618743233677</v>
      </c>
      <c r="BK50" s="1578">
        <f t="shared" ca="1" si="57"/>
        <v>14.621532203535789</v>
      </c>
      <c r="BL50" s="1579">
        <f t="shared" ca="1" si="57"/>
        <v>17.680676233040678</v>
      </c>
      <c r="BM50" s="1579">
        <f t="shared" ca="1" si="57"/>
        <v>18.444333133922292</v>
      </c>
      <c r="BN50" s="1581">
        <f t="shared" ca="1" si="57"/>
        <v>31.691078883427178</v>
      </c>
      <c r="BO50" s="1578">
        <f t="shared" ca="1" si="57"/>
        <v>29.926744852443193</v>
      </c>
      <c r="BP50" s="1579">
        <f t="shared" ca="1" si="57"/>
        <v>45.919422720671179</v>
      </c>
      <c r="BQ50" s="1579">
        <f t="shared" ca="1" si="57"/>
        <v>59.708989072342305</v>
      </c>
      <c r="BR50" s="1581">
        <f t="shared" ca="1" si="57"/>
        <v>75.701666940570291</v>
      </c>
      <c r="BS50" s="1578">
        <f t="shared" ca="1" si="57"/>
        <v>51.717926833646594</v>
      </c>
      <c r="BT50" s="1579">
        <f t="shared" ca="1" si="57"/>
        <v>62.777983962278384</v>
      </c>
      <c r="BU50" s="1579">
        <f t="shared" ca="1" si="57"/>
        <v>69.535814125151276</v>
      </c>
      <c r="BV50" s="1581">
        <f t="shared" ca="1" si="57"/>
        <v>81.295871253783062</v>
      </c>
      <c r="BW50" s="1578">
        <f t="shared" ca="1" si="57"/>
        <v>68.033580994405241</v>
      </c>
      <c r="BX50" s="1579">
        <f t="shared" ca="1" si="57"/>
        <v>82.996861415805597</v>
      </c>
      <c r="BY50" s="1579">
        <f t="shared" ca="1" si="57"/>
        <v>94.216635462224559</v>
      </c>
      <c r="BZ50" s="1581">
        <f t="shared" ca="1" si="57"/>
        <v>109.17991588362491</v>
      </c>
      <c r="CA50" s="1578">
        <f t="shared" ca="1" si="57"/>
        <v>103.10301499551872</v>
      </c>
      <c r="CB50" s="1579">
        <f t="shared" ca="1" si="57"/>
        <v>127.86430536773558</v>
      </c>
      <c r="CC50" s="1579">
        <f t="shared" ca="1" si="57"/>
        <v>148.63891725279802</v>
      </c>
      <c r="CD50" s="1581">
        <f t="shared" ca="1" si="57"/>
        <v>173.4002076250149</v>
      </c>
      <c r="CE50" s="1578">
        <f t="shared" ca="1" si="57"/>
        <v>151.2863667915492</v>
      </c>
      <c r="CF50" s="1579">
        <f t="shared" ca="1" si="57"/>
        <v>168.01476291640148</v>
      </c>
      <c r="CG50" s="1579">
        <f t="shared" ca="1" si="57"/>
        <v>179.78004869986222</v>
      </c>
      <c r="CH50" s="1581">
        <f t="shared" ca="1" si="57"/>
        <v>196.5084448247145</v>
      </c>
      <c r="CI50" s="1578">
        <f t="shared" ca="1" si="57"/>
        <v>172.41080431043156</v>
      </c>
      <c r="CJ50" s="1579">
        <f t="shared" ref="CJ50:EU50" ca="1" si="58">IF(ABS(CJ48+CJ49)&lt;0.001,0,CJ48+CJ49)</f>
        <v>185.62394994688236</v>
      </c>
      <c r="CK50" s="1579">
        <f t="shared" ca="1" si="58"/>
        <v>193.93969687927529</v>
      </c>
      <c r="CL50" s="1581">
        <f t="shared" ca="1" si="58"/>
        <v>207.15284251572609</v>
      </c>
      <c r="CM50" s="1578">
        <f t="shared" ca="1" si="58"/>
        <v>182.57118024796017</v>
      </c>
      <c r="CN50" s="1579">
        <f t="shared" ca="1" si="58"/>
        <v>195.46131896337616</v>
      </c>
      <c r="CO50" s="1579">
        <f t="shared" ca="1" si="58"/>
        <v>204.19191491429416</v>
      </c>
      <c r="CP50" s="1581">
        <f t="shared" ca="1" si="58"/>
        <v>217.08205362971015</v>
      </c>
      <c r="CQ50" s="1578">
        <f t="shared" ca="1" si="58"/>
        <v>176.09867666140741</v>
      </c>
      <c r="CR50" s="1579">
        <f t="shared" ca="1" si="58"/>
        <v>197.78679807863739</v>
      </c>
      <c r="CS50" s="1579">
        <f t="shared" ca="1" si="58"/>
        <v>213.96723319363338</v>
      </c>
      <c r="CT50" s="1581">
        <f t="shared" ca="1" si="58"/>
        <v>235.65535461086336</v>
      </c>
      <c r="CU50" s="1578">
        <f t="shared" ca="1" si="58"/>
        <v>185.45857755374988</v>
      </c>
      <c r="CV50" s="1579">
        <f t="shared" ca="1" si="58"/>
        <v>197.6497565677231</v>
      </c>
      <c r="CW50" s="1579">
        <f t="shared" ca="1" si="58"/>
        <v>204.59127262933592</v>
      </c>
      <c r="CX50" s="1581">
        <f t="shared" ca="1" si="58"/>
        <v>216.78245164330914</v>
      </c>
      <c r="CY50" s="1578">
        <f t="shared" ca="1" si="58"/>
        <v>135.94223677922577</v>
      </c>
      <c r="CZ50" s="1579">
        <f t="shared" ca="1" si="58"/>
        <v>130.14273947029619</v>
      </c>
      <c r="DA50" s="1579">
        <f t="shared" ca="1" si="58"/>
        <v>119.66342609347419</v>
      </c>
      <c r="DB50" s="1581">
        <f t="shared" ca="1" si="58"/>
        <v>113.86392878454463</v>
      </c>
      <c r="DC50" s="1578">
        <f t="shared" ca="1" si="58"/>
        <v>52.403668780965617</v>
      </c>
      <c r="DD50" s="1579">
        <f t="shared" ca="1" si="58"/>
        <v>69.183316324185824</v>
      </c>
      <c r="DE50" s="1579">
        <f t="shared" ca="1" si="58"/>
        <v>81.195755885627463</v>
      </c>
      <c r="DF50" s="1581">
        <f t="shared" ca="1" si="58"/>
        <v>97.97540342884767</v>
      </c>
      <c r="DG50" s="1578">
        <f t="shared" ca="1" si="58"/>
        <v>26.924029411743348</v>
      </c>
      <c r="DH50" s="1579">
        <f t="shared" ca="1" si="58"/>
        <v>49.512144184029509</v>
      </c>
      <c r="DI50" s="1579">
        <f t="shared" ca="1" si="58"/>
        <v>65.499466090061802</v>
      </c>
      <c r="DJ50" s="1581">
        <f t="shared" ca="1" si="58"/>
        <v>89.787580862347966</v>
      </c>
      <c r="DK50" s="1578">
        <f t="shared" ca="1" si="58"/>
        <v>18.660337529541721</v>
      </c>
      <c r="DL50" s="1579">
        <f t="shared" ca="1" si="58"/>
        <v>43.096257958381138</v>
      </c>
      <c r="DM50" s="1579">
        <f t="shared" ca="1" si="58"/>
        <v>60.486543600551428</v>
      </c>
      <c r="DN50" s="1581">
        <f t="shared" ca="1" si="58"/>
        <v>84.922464029390852</v>
      </c>
      <c r="DO50" s="1578">
        <f t="shared" ca="1" si="58"/>
        <v>19.676152533346723</v>
      </c>
      <c r="DP50" s="1579">
        <f t="shared" ca="1" si="58"/>
        <v>50.141620073733918</v>
      </c>
      <c r="DQ50" s="1579">
        <f t="shared" ca="1" si="58"/>
        <v>71.689612717266314</v>
      </c>
      <c r="DR50" s="1581">
        <f t="shared" ca="1" si="58"/>
        <v>102.15508025765351</v>
      </c>
      <c r="DS50" s="1578">
        <f t="shared" ca="1" si="58"/>
        <v>26.4974965340799</v>
      </c>
      <c r="DT50" s="1579">
        <f t="shared" ca="1" si="58"/>
        <v>61.427511455945478</v>
      </c>
      <c r="DU50" s="1579">
        <f t="shared" ca="1" si="58"/>
        <v>87.682529735490817</v>
      </c>
      <c r="DV50" s="1581">
        <f t="shared" ca="1" si="58"/>
        <v>122.61254465735639</v>
      </c>
      <c r="DW50" s="1578">
        <f t="shared" ca="1" si="58"/>
        <v>42.133634486694135</v>
      </c>
      <c r="DX50" s="1579">
        <f t="shared" ca="1" si="58"/>
        <v>78.860574705321142</v>
      </c>
      <c r="DY50" s="1579">
        <f t="shared" ca="1" si="58"/>
        <v>106.83759610887931</v>
      </c>
      <c r="DZ50" s="1581">
        <f t="shared" ca="1" si="58"/>
        <v>143.56453632750632</v>
      </c>
      <c r="EA50" s="1578">
        <f t="shared" ca="1" si="58"/>
        <v>61.913022449735919</v>
      </c>
      <c r="EB50" s="1579">
        <f t="shared" ca="1" si="58"/>
        <v>95.790029545751906</v>
      </c>
      <c r="EC50" s="1579">
        <f t="shared" ca="1" si="58"/>
        <v>120.0031509133418</v>
      </c>
      <c r="ED50" s="1581">
        <f t="shared" ca="1" si="58"/>
        <v>153.88015800935779</v>
      </c>
      <c r="EE50" s="1578">
        <f t="shared" ca="1" si="58"/>
        <v>83.21914381050118</v>
      </c>
      <c r="EF50" s="1579">
        <f t="shared" ca="1" si="58"/>
        <v>116.99379651688096</v>
      </c>
      <c r="EG50" s="1579">
        <f t="shared" ca="1" si="58"/>
        <v>140.71324334413299</v>
      </c>
      <c r="EH50" s="1581">
        <f t="shared" ca="1" si="58"/>
        <v>174.48789605051277</v>
      </c>
      <c r="EI50" s="1578">
        <f t="shared" ca="1" si="58"/>
        <v>139.73570714427208</v>
      </c>
      <c r="EJ50" s="1579">
        <f t="shared" ca="1" si="58"/>
        <v>175.49136063779196</v>
      </c>
      <c r="EK50" s="1579">
        <f t="shared" ca="1" si="58"/>
        <v>201.81635968733386</v>
      </c>
      <c r="EL50" s="1581">
        <f t="shared" ca="1" si="58"/>
        <v>237.57201318085373</v>
      </c>
      <c r="EM50" s="1578">
        <f t="shared" ca="1" si="58"/>
        <v>185.92703535623312</v>
      </c>
      <c r="EN50" s="1579">
        <f t="shared" ca="1" si="58"/>
        <v>216.20111070040733</v>
      </c>
      <c r="EO50" s="1579">
        <f t="shared" ca="1" si="58"/>
        <v>235.76744179688532</v>
      </c>
      <c r="EP50" s="1581">
        <f t="shared" ca="1" si="58"/>
        <v>266.0415171410595</v>
      </c>
      <c r="EQ50" s="1578">
        <f t="shared" ca="1" si="58"/>
        <v>233.42956132245047</v>
      </c>
      <c r="ER50" s="1579">
        <f t="shared" ca="1" si="58"/>
        <v>272.26056599042488</v>
      </c>
      <c r="ES50" s="1579">
        <f t="shared" ca="1" si="58"/>
        <v>301.47294514680652</v>
      </c>
      <c r="ET50" s="1581">
        <f t="shared" ca="1" si="58"/>
        <v>340.30394981478094</v>
      </c>
      <c r="EU50" s="1578">
        <f t="shared" ca="1" si="58"/>
        <v>291.23101047338025</v>
      </c>
      <c r="EV50" s="1579">
        <f t="shared" ref="EV50:GB50" ca="1" si="59">IF(ABS(EV48+EV49)&lt;0.001,0,EV48+EV49)</f>
        <v>321.31678333508484</v>
      </c>
      <c r="EW50" s="1579">
        <f t="shared" ca="1" si="59"/>
        <v>340.99936846344451</v>
      </c>
      <c r="EX50" s="1581">
        <f t="shared" ca="1" si="59"/>
        <v>371.0851413251491</v>
      </c>
      <c r="EY50" s="1578">
        <f t="shared" ca="1" si="59"/>
        <v>320.01909346881524</v>
      </c>
      <c r="EZ50" s="1579">
        <f t="shared" ca="1" si="59"/>
        <v>358.55860159055158</v>
      </c>
      <c r="FA50" s="1579">
        <f t="shared" ca="1" si="59"/>
        <v>385.36517625917514</v>
      </c>
      <c r="FB50" s="1581">
        <f t="shared" ca="1" si="59"/>
        <v>423.90468438091148</v>
      </c>
      <c r="FC50" s="1578">
        <f t="shared" ca="1" si="59"/>
        <v>379.77732848087919</v>
      </c>
      <c r="FD50" s="1579">
        <f t="shared" ca="1" si="59"/>
        <v>420.75694359357738</v>
      </c>
      <c r="FE50" s="1579">
        <f t="shared" ca="1" si="59"/>
        <v>450.37880093683623</v>
      </c>
      <c r="FF50" s="1581">
        <f t="shared" ca="1" si="59"/>
        <v>491.35841604953441</v>
      </c>
      <c r="FG50" s="1578">
        <f t="shared" ca="1" si="59"/>
        <v>444.74039849597324</v>
      </c>
      <c r="FH50" s="1579">
        <f t="shared" ca="1" si="59"/>
        <v>484.36706980021887</v>
      </c>
      <c r="FI50" s="1579">
        <f t="shared" ca="1" si="59"/>
        <v>512.54570192452638</v>
      </c>
      <c r="FJ50" s="1581">
        <f t="shared" ca="1" si="59"/>
        <v>552.17237322877202</v>
      </c>
      <c r="FK50" s="1578">
        <f t="shared" ca="1" si="59"/>
        <v>494.93453988266452</v>
      </c>
      <c r="FL50" s="1579">
        <f t="shared" ca="1" si="59"/>
        <v>539.53022152000699</v>
      </c>
      <c r="FM50" s="1579">
        <f t="shared" ca="1" si="59"/>
        <v>570.82153128477603</v>
      </c>
      <c r="FN50" s="1581">
        <f t="shared" ca="1" si="59"/>
        <v>615.41721292211844</v>
      </c>
      <c r="FO50" s="1578">
        <f t="shared" ca="1" si="59"/>
        <v>557.73363532398139</v>
      </c>
      <c r="FP50" s="1579">
        <f t="shared" ca="1" si="59"/>
        <v>600.39560319915699</v>
      </c>
      <c r="FQ50" s="1579">
        <f t="shared" ca="1" si="59"/>
        <v>629.70958673103291</v>
      </c>
      <c r="FR50" s="1581">
        <f t="shared" ca="1" si="59"/>
        <v>672.37155460620852</v>
      </c>
      <c r="FS50" s="1578">
        <f t="shared" ca="1" si="59"/>
        <v>616.0212473004899</v>
      </c>
      <c r="FT50" s="1579">
        <f t="shared" ca="1" si="59"/>
        <v>662.47430785551035</v>
      </c>
      <c r="FU50" s="1579">
        <f t="shared" ca="1" si="59"/>
        <v>695.28322592844791</v>
      </c>
      <c r="FV50" s="1581">
        <f t="shared" ca="1" si="59"/>
        <v>741.73628648346835</v>
      </c>
      <c r="FW50" s="1578">
        <f t="shared" ca="1" si="59"/>
        <v>672.79455813269931</v>
      </c>
      <c r="FX50" s="1579">
        <f t="shared" ca="1" si="59"/>
        <v>716.20152107534977</v>
      </c>
      <c r="FY50" s="1579">
        <f t="shared" ca="1" si="59"/>
        <v>744.79915634007875</v>
      </c>
      <c r="FZ50" s="1581">
        <f t="shared" ca="1" si="59"/>
        <v>788.20611928272922</v>
      </c>
      <c r="GA50" s="1578">
        <f t="shared" ca="1" si="59"/>
        <v>686.98229446814537</v>
      </c>
      <c r="GB50" s="1579">
        <f t="shared" ca="1" si="59"/>
        <v>0</v>
      </c>
      <c r="GC50" s="1579"/>
      <c r="GD50" s="1581"/>
      <c r="GE50" s="1582"/>
      <c r="GF50" s="1583"/>
      <c r="GG50" s="1583"/>
      <c r="GH50" s="1583"/>
      <c r="GI50" s="1583"/>
      <c r="GJ50" s="1583"/>
      <c r="GK50" s="1583"/>
      <c r="GL50" s="1583"/>
      <c r="GM50" s="1583"/>
      <c r="GN50" s="1583"/>
      <c r="GO50" s="1583"/>
      <c r="GP50" s="1583"/>
      <c r="GQ50" s="1583"/>
      <c r="GR50" s="1583"/>
      <c r="GS50" s="1583"/>
      <c r="GT50" s="1583"/>
    </row>
    <row r="51" spans="2:202" s="1568" customFormat="1" ht="17.100000000000001" customHeight="1">
      <c r="D51" s="1584"/>
      <c r="E51" s="1585"/>
      <c r="F51" s="1586"/>
      <c r="G51" s="1583"/>
      <c r="H51" s="1583"/>
      <c r="I51" s="1583"/>
      <c r="J51" s="1583"/>
      <c r="K51" s="1583"/>
      <c r="L51" s="1583"/>
      <c r="M51" s="1583"/>
      <c r="N51" s="1583"/>
      <c r="O51" s="1583"/>
      <c r="P51" s="1583"/>
      <c r="Q51" s="1583"/>
      <c r="R51" s="1583"/>
      <c r="S51" s="1583"/>
      <c r="T51" s="1583"/>
      <c r="U51" s="1583"/>
      <c r="V51" s="1583"/>
      <c r="W51" s="1583"/>
      <c r="X51" s="1583"/>
      <c r="Y51" s="1583"/>
      <c r="Z51" s="1585">
        <f ca="1">Z50</f>
        <v>16.724687388554166</v>
      </c>
      <c r="AA51" s="1583">
        <v>101.61547263933335</v>
      </c>
      <c r="AB51" s="1583">
        <v>134.90029755900002</v>
      </c>
      <c r="AC51" s="1587">
        <v>101.07040234900002</v>
      </c>
      <c r="AD51" s="1587">
        <v>54.096084489000013</v>
      </c>
      <c r="AE51" s="1588">
        <f>'자금운영(현금)'!BF108</f>
        <v>4.5257455899999997</v>
      </c>
      <c r="AF51" s="1588">
        <f>'자금운영(현금)'!BG108</f>
        <v>23.43041886</v>
      </c>
      <c r="AG51" s="1588">
        <f>'자금운영(현금)'!BH108</f>
        <v>1.21399708</v>
      </c>
      <c r="AH51" s="1588">
        <f>'자금운영(현금)'!BI108</f>
        <v>7.5680049399999998</v>
      </c>
      <c r="AI51" s="1587"/>
      <c r="AJ51" s="1587"/>
      <c r="AK51" s="1587"/>
      <c r="AL51" s="1587"/>
      <c r="AM51" s="1587"/>
      <c r="AN51" s="1587"/>
      <c r="AO51" s="1587"/>
      <c r="AP51" s="1587"/>
      <c r="AQ51" s="1587"/>
      <c r="AR51" s="1587"/>
      <c r="AS51" s="1587"/>
      <c r="AT51" s="1587"/>
      <c r="AU51" s="1587"/>
      <c r="AV51" s="1583"/>
      <c r="AW51" s="1583"/>
      <c r="AX51" s="1583"/>
      <c r="AY51" s="1583"/>
      <c r="AZ51" s="1583"/>
      <c r="BA51" s="1583"/>
      <c r="BB51" s="1583"/>
      <c r="BC51" s="1583"/>
      <c r="BD51" s="1583"/>
      <c r="BE51" s="1583"/>
      <c r="BF51" s="1589"/>
      <c r="BG51" s="1583"/>
      <c r="BH51" s="1583"/>
      <c r="BI51" s="1583"/>
      <c r="BJ51" s="1589"/>
      <c r="BK51" s="1583"/>
      <c r="BL51" s="1583"/>
      <c r="BM51" s="1583"/>
      <c r="BN51" s="1583"/>
      <c r="BO51" s="1586">
        <f>2030-2015</f>
        <v>15</v>
      </c>
      <c r="BP51" s="1586">
        <f ca="1">IF(BP42=$E$43,BP5,0)</f>
        <v>47664</v>
      </c>
      <c r="BQ51" s="1586">
        <f ca="1">IF(BQ42=$E$43,BQ5,0)</f>
        <v>47756</v>
      </c>
      <c r="BR51" s="1586">
        <f ca="1">IF(BR42=$E$43,BR5,0)</f>
        <v>47848</v>
      </c>
      <c r="BS51" s="1586">
        <f>2031-2015</f>
        <v>16</v>
      </c>
      <c r="BT51" s="1586">
        <f ca="1">IF(BT42=$E$43,BT5,0)</f>
        <v>48029</v>
      </c>
      <c r="BU51" s="1586">
        <f ca="1">IF(BU42=$E$43,BU5,0)</f>
        <v>48121</v>
      </c>
      <c r="BV51" s="1586">
        <f ca="1">IF(BV42=$E$43,BV5,0)</f>
        <v>48213</v>
      </c>
      <c r="BW51" s="1586">
        <f>2032-2015</f>
        <v>17</v>
      </c>
      <c r="BX51" s="1586">
        <f t="shared" ref="BX51:EI51" ca="1" si="60">IF(BX42=$E$43,BX5,0)</f>
        <v>48395</v>
      </c>
      <c r="BY51" s="1586">
        <f t="shared" ca="1" si="60"/>
        <v>48487</v>
      </c>
      <c r="BZ51" s="1586">
        <f t="shared" ca="1" si="60"/>
        <v>48579</v>
      </c>
      <c r="CA51" s="1586">
        <f t="shared" ca="1" si="60"/>
        <v>48669</v>
      </c>
      <c r="CB51" s="1586">
        <f t="shared" ca="1" si="60"/>
        <v>48760</v>
      </c>
      <c r="CC51" s="1586">
        <f t="shared" ca="1" si="60"/>
        <v>48852</v>
      </c>
      <c r="CD51" s="1586">
        <f t="shared" ca="1" si="60"/>
        <v>48944</v>
      </c>
      <c r="CE51" s="1586">
        <f t="shared" ca="1" si="60"/>
        <v>49034</v>
      </c>
      <c r="CF51" s="1586">
        <f t="shared" ca="1" si="60"/>
        <v>49125</v>
      </c>
      <c r="CG51" s="1586">
        <f t="shared" ca="1" si="60"/>
        <v>49217</v>
      </c>
      <c r="CH51" s="1586">
        <f t="shared" ca="1" si="60"/>
        <v>49309</v>
      </c>
      <c r="CI51" s="1586">
        <f t="shared" ca="1" si="60"/>
        <v>49399</v>
      </c>
      <c r="CJ51" s="1586">
        <f t="shared" ca="1" si="60"/>
        <v>49490</v>
      </c>
      <c r="CK51" s="1586">
        <f t="shared" ca="1" si="60"/>
        <v>49582</v>
      </c>
      <c r="CL51" s="1586">
        <f t="shared" ca="1" si="60"/>
        <v>49674</v>
      </c>
      <c r="CM51" s="1586">
        <f t="shared" ca="1" si="60"/>
        <v>49765</v>
      </c>
      <c r="CN51" s="1586">
        <f t="shared" ca="1" si="60"/>
        <v>49856</v>
      </c>
      <c r="CO51" s="1586">
        <f t="shared" ca="1" si="60"/>
        <v>49948</v>
      </c>
      <c r="CP51" s="1586">
        <f t="shared" ca="1" si="60"/>
        <v>50040</v>
      </c>
      <c r="CQ51" s="1586">
        <f t="shared" ca="1" si="60"/>
        <v>50130</v>
      </c>
      <c r="CR51" s="1586">
        <f t="shared" ca="1" si="60"/>
        <v>50221</v>
      </c>
      <c r="CS51" s="1586">
        <f t="shared" ca="1" si="60"/>
        <v>50313</v>
      </c>
      <c r="CT51" s="1586">
        <f t="shared" ca="1" si="60"/>
        <v>50405</v>
      </c>
      <c r="CU51" s="1586">
        <f t="shared" ca="1" si="60"/>
        <v>50495</v>
      </c>
      <c r="CV51" s="1586">
        <f t="shared" ca="1" si="60"/>
        <v>50586</v>
      </c>
      <c r="CW51" s="1586">
        <f t="shared" ca="1" si="60"/>
        <v>50678</v>
      </c>
      <c r="CX51" s="1586">
        <f t="shared" ca="1" si="60"/>
        <v>50770</v>
      </c>
      <c r="CY51" s="1586">
        <f t="shared" ca="1" si="60"/>
        <v>50860</v>
      </c>
      <c r="CZ51" s="1586">
        <f t="shared" ca="1" si="60"/>
        <v>50951</v>
      </c>
      <c r="DA51" s="1586">
        <f t="shared" ca="1" si="60"/>
        <v>51043</v>
      </c>
      <c r="DB51" s="1586">
        <f t="shared" ca="1" si="60"/>
        <v>51135</v>
      </c>
      <c r="DC51" s="1586">
        <f t="shared" ca="1" si="60"/>
        <v>51226</v>
      </c>
      <c r="DD51" s="1586">
        <f t="shared" ca="1" si="60"/>
        <v>51317</v>
      </c>
      <c r="DE51" s="1586">
        <f t="shared" ca="1" si="60"/>
        <v>51409</v>
      </c>
      <c r="DF51" s="1586">
        <f t="shared" ca="1" si="60"/>
        <v>51501</v>
      </c>
      <c r="DG51" s="1586">
        <f t="shared" ca="1" si="60"/>
        <v>51591</v>
      </c>
      <c r="DH51" s="1586">
        <f t="shared" ca="1" si="60"/>
        <v>51682</v>
      </c>
      <c r="DI51" s="1586">
        <f t="shared" ca="1" si="60"/>
        <v>51774</v>
      </c>
      <c r="DJ51" s="1586">
        <f t="shared" ca="1" si="60"/>
        <v>51866</v>
      </c>
      <c r="DK51" s="1586">
        <f t="shared" ca="1" si="60"/>
        <v>51956</v>
      </c>
      <c r="DL51" s="1586">
        <f t="shared" ca="1" si="60"/>
        <v>52047</v>
      </c>
      <c r="DM51" s="1586">
        <f t="shared" ca="1" si="60"/>
        <v>52139</v>
      </c>
      <c r="DN51" s="1586">
        <f t="shared" ca="1" si="60"/>
        <v>52231</v>
      </c>
      <c r="DO51" s="1586">
        <f t="shared" ca="1" si="60"/>
        <v>52321</v>
      </c>
      <c r="DP51" s="1586">
        <f t="shared" ca="1" si="60"/>
        <v>52412</v>
      </c>
      <c r="DQ51" s="1586">
        <f t="shared" ca="1" si="60"/>
        <v>52504</v>
      </c>
      <c r="DR51" s="1586">
        <f t="shared" ca="1" si="60"/>
        <v>52596</v>
      </c>
      <c r="DS51" s="1586">
        <f t="shared" ca="1" si="60"/>
        <v>52687</v>
      </c>
      <c r="DT51" s="1586">
        <f t="shared" ca="1" si="60"/>
        <v>52778</v>
      </c>
      <c r="DU51" s="1586">
        <f t="shared" ca="1" si="60"/>
        <v>52870</v>
      </c>
      <c r="DV51" s="1586">
        <f t="shared" ca="1" si="60"/>
        <v>52962</v>
      </c>
      <c r="DW51" s="1586">
        <f t="shared" ca="1" si="60"/>
        <v>53052</v>
      </c>
      <c r="DX51" s="1586">
        <f t="shared" ca="1" si="60"/>
        <v>53143</v>
      </c>
      <c r="DY51" s="1586">
        <f t="shared" ca="1" si="60"/>
        <v>53235</v>
      </c>
      <c r="DZ51" s="1586">
        <f t="shared" ca="1" si="60"/>
        <v>53327</v>
      </c>
      <c r="EA51" s="1586">
        <f t="shared" ca="1" si="60"/>
        <v>53417</v>
      </c>
      <c r="EB51" s="1586">
        <f t="shared" ca="1" si="60"/>
        <v>53508</v>
      </c>
      <c r="EC51" s="1586">
        <f t="shared" ca="1" si="60"/>
        <v>53600</v>
      </c>
      <c r="ED51" s="1586">
        <f t="shared" ca="1" si="60"/>
        <v>53692</v>
      </c>
      <c r="EE51" s="1586">
        <f t="shared" ca="1" si="60"/>
        <v>53782</v>
      </c>
      <c r="EF51" s="1586">
        <f t="shared" ca="1" si="60"/>
        <v>53873</v>
      </c>
      <c r="EG51" s="1586">
        <f t="shared" ca="1" si="60"/>
        <v>53965</v>
      </c>
      <c r="EH51" s="1586">
        <f t="shared" ca="1" si="60"/>
        <v>54057</v>
      </c>
      <c r="EI51" s="1586">
        <f t="shared" ca="1" si="60"/>
        <v>54148</v>
      </c>
      <c r="EJ51" s="1586">
        <f t="shared" ref="EJ51:GB51" ca="1" si="61">IF(EJ42=$E$43,EJ5,0)</f>
        <v>54239</v>
      </c>
      <c r="EK51" s="1586">
        <f t="shared" ca="1" si="61"/>
        <v>54331</v>
      </c>
      <c r="EL51" s="1586">
        <f t="shared" ca="1" si="61"/>
        <v>54423</v>
      </c>
      <c r="EM51" s="1586">
        <f t="shared" ca="1" si="61"/>
        <v>54513</v>
      </c>
      <c r="EN51" s="1586">
        <f t="shared" ca="1" si="61"/>
        <v>54604</v>
      </c>
      <c r="EO51" s="1586">
        <f t="shared" ca="1" si="61"/>
        <v>54696</v>
      </c>
      <c r="EP51" s="1586">
        <f t="shared" ca="1" si="61"/>
        <v>54788</v>
      </c>
      <c r="EQ51" s="1586">
        <f t="shared" ca="1" si="61"/>
        <v>54878</v>
      </c>
      <c r="ER51" s="1586">
        <f t="shared" ca="1" si="61"/>
        <v>54969</v>
      </c>
      <c r="ES51" s="1586">
        <f t="shared" ca="1" si="61"/>
        <v>55061</v>
      </c>
      <c r="ET51" s="1586">
        <f t="shared" ca="1" si="61"/>
        <v>55153</v>
      </c>
      <c r="EU51" s="1586">
        <f t="shared" ca="1" si="61"/>
        <v>55243</v>
      </c>
      <c r="EV51" s="1586">
        <f t="shared" ca="1" si="61"/>
        <v>55334</v>
      </c>
      <c r="EW51" s="1586">
        <f t="shared" ca="1" si="61"/>
        <v>55426</v>
      </c>
      <c r="EX51" s="1586">
        <f t="shared" ca="1" si="61"/>
        <v>55518</v>
      </c>
      <c r="EY51" s="1586">
        <f t="shared" ca="1" si="61"/>
        <v>55609</v>
      </c>
      <c r="EZ51" s="1586">
        <f t="shared" ca="1" si="61"/>
        <v>55700</v>
      </c>
      <c r="FA51" s="1586">
        <f t="shared" ca="1" si="61"/>
        <v>55792</v>
      </c>
      <c r="FB51" s="1586">
        <f t="shared" ca="1" si="61"/>
        <v>55884</v>
      </c>
      <c r="FC51" s="1586">
        <f t="shared" ca="1" si="61"/>
        <v>55974</v>
      </c>
      <c r="FD51" s="1586">
        <f t="shared" ca="1" si="61"/>
        <v>56065</v>
      </c>
      <c r="FE51" s="1586">
        <f t="shared" ca="1" si="61"/>
        <v>56157</v>
      </c>
      <c r="FF51" s="1586">
        <f t="shared" ca="1" si="61"/>
        <v>56249</v>
      </c>
      <c r="FG51" s="1586">
        <f t="shared" ca="1" si="61"/>
        <v>56339</v>
      </c>
      <c r="FH51" s="1586">
        <f t="shared" ca="1" si="61"/>
        <v>56430</v>
      </c>
      <c r="FI51" s="1586">
        <f t="shared" ca="1" si="61"/>
        <v>56522</v>
      </c>
      <c r="FJ51" s="1586">
        <f t="shared" ca="1" si="61"/>
        <v>56614</v>
      </c>
      <c r="FK51" s="1586">
        <f t="shared" ca="1" si="61"/>
        <v>56704</v>
      </c>
      <c r="FL51" s="1586">
        <f t="shared" ca="1" si="61"/>
        <v>56795</v>
      </c>
      <c r="FM51" s="1586">
        <f t="shared" ca="1" si="61"/>
        <v>56887</v>
      </c>
      <c r="FN51" s="1586">
        <f t="shared" ca="1" si="61"/>
        <v>56979</v>
      </c>
      <c r="FO51" s="1586">
        <f t="shared" ca="1" si="61"/>
        <v>57070</v>
      </c>
      <c r="FP51" s="1586">
        <f t="shared" ca="1" si="61"/>
        <v>57161</v>
      </c>
      <c r="FQ51" s="1586">
        <f t="shared" ca="1" si="61"/>
        <v>57253</v>
      </c>
      <c r="FR51" s="1586">
        <f t="shared" ca="1" si="61"/>
        <v>57345</v>
      </c>
      <c r="FS51" s="1586">
        <f t="shared" ca="1" si="61"/>
        <v>57435</v>
      </c>
      <c r="FT51" s="1586">
        <f t="shared" ca="1" si="61"/>
        <v>57526</v>
      </c>
      <c r="FU51" s="1586">
        <f t="shared" ca="1" si="61"/>
        <v>57618</v>
      </c>
      <c r="FV51" s="1586">
        <f t="shared" ca="1" si="61"/>
        <v>57710</v>
      </c>
      <c r="FW51" s="1586">
        <f t="shared" ca="1" si="61"/>
        <v>57800</v>
      </c>
      <c r="FX51" s="1586">
        <f t="shared" ca="1" si="61"/>
        <v>57891</v>
      </c>
      <c r="FY51" s="1586">
        <f t="shared" ca="1" si="61"/>
        <v>57983</v>
      </c>
      <c r="FZ51" s="1586">
        <f t="shared" ca="1" si="61"/>
        <v>58075</v>
      </c>
      <c r="GA51" s="1586">
        <f t="shared" ca="1" si="61"/>
        <v>58165</v>
      </c>
      <c r="GB51" s="1586">
        <f t="shared" ca="1" si="61"/>
        <v>58256</v>
      </c>
      <c r="GC51" s="1583"/>
      <c r="GD51" s="1583"/>
      <c r="GE51" s="1583"/>
      <c r="GF51" s="1583"/>
      <c r="GG51" s="1583"/>
      <c r="GH51" s="1583"/>
      <c r="GI51" s="1583"/>
      <c r="GJ51" s="1583"/>
      <c r="GK51" s="1583"/>
      <c r="GL51" s="1583"/>
      <c r="GM51" s="1583"/>
      <c r="GN51" s="1583"/>
      <c r="GO51" s="1583"/>
      <c r="GP51" s="1583"/>
      <c r="GQ51" s="1583"/>
      <c r="GR51" s="1583"/>
      <c r="GS51" s="1583"/>
      <c r="GT51" s="1583"/>
    </row>
    <row r="52" spans="2:202" ht="17.100000000000001" customHeight="1">
      <c r="D52" s="331"/>
      <c r="F52" s="1590"/>
      <c r="G52" s="1591"/>
      <c r="H52" s="1591"/>
      <c r="I52" s="1591"/>
      <c r="J52" s="1591"/>
      <c r="K52" s="1591"/>
      <c r="L52" s="1591"/>
      <c r="M52" s="1591"/>
      <c r="N52" s="1591"/>
      <c r="O52" s="1591"/>
      <c r="P52" s="1591"/>
      <c r="Q52" s="1591"/>
      <c r="R52" s="1591"/>
      <c r="S52" s="1591"/>
      <c r="T52" s="1591"/>
      <c r="U52" s="1591"/>
      <c r="V52" s="1591"/>
      <c r="W52" s="1592"/>
      <c r="X52" s="1592"/>
      <c r="Y52" s="1593"/>
      <c r="Z52" s="1592"/>
      <c r="AA52" s="1592"/>
      <c r="AB52" s="1592"/>
      <c r="AC52" s="1592"/>
      <c r="AD52" s="1592"/>
      <c r="AE52" s="1592">
        <f ca="1">AE50-AE51</f>
        <v>0</v>
      </c>
      <c r="AF52" s="1592">
        <f t="shared" ref="AF52:AH52" ca="1" si="62">AF50-AF51</f>
        <v>0</v>
      </c>
      <c r="AG52" s="1592">
        <f t="shared" ca="1" si="62"/>
        <v>0</v>
      </c>
      <c r="AH52" s="1592">
        <f t="shared" ca="1" si="62"/>
        <v>0</v>
      </c>
      <c r="AI52" s="1594"/>
      <c r="AJ52" s="1594"/>
      <c r="AK52" s="1594"/>
      <c r="AL52" s="1594"/>
      <c r="AM52" s="1591"/>
      <c r="AN52" s="1591"/>
      <c r="AO52" s="1591"/>
      <c r="AP52" s="1591"/>
      <c r="AQ52" s="1592"/>
      <c r="AR52" s="1591"/>
      <c r="AS52" s="1591"/>
      <c r="AT52" s="1591"/>
      <c r="AU52" s="1591"/>
      <c r="AV52" s="1591"/>
      <c r="AW52" s="1591"/>
      <c r="AX52" s="1591"/>
      <c r="AY52" s="1591"/>
      <c r="AZ52" s="1591"/>
      <c r="BA52" s="1591"/>
      <c r="BB52" s="1591"/>
      <c r="BC52" s="1591"/>
      <c r="BD52" s="1591"/>
      <c r="BE52" s="1591"/>
      <c r="BF52" s="1591"/>
      <c r="BG52" s="1591"/>
      <c r="BH52" s="1591"/>
      <c r="BI52" s="1591"/>
      <c r="BJ52" s="1591"/>
      <c r="BK52" s="1591"/>
      <c r="BL52" s="1591"/>
      <c r="BM52" s="788"/>
      <c r="BN52" s="788"/>
      <c r="BO52" s="788">
        <f>BO51*8.2</f>
        <v>122.99999999999999</v>
      </c>
      <c r="BP52" s="788"/>
      <c r="BQ52" s="788"/>
      <c r="BR52" s="788"/>
      <c r="BS52" s="788">
        <f>BS51*8.2</f>
        <v>131.19999999999999</v>
      </c>
      <c r="BT52" s="788"/>
      <c r="BU52" s="788"/>
      <c r="BV52" s="788"/>
      <c r="BW52" s="788">
        <f>BW51*8.2</f>
        <v>139.39999999999998</v>
      </c>
      <c r="BX52" s="788"/>
      <c r="BY52" s="788"/>
      <c r="BZ52" s="788"/>
      <c r="CA52" s="788"/>
      <c r="CB52" s="788"/>
      <c r="CC52" s="788"/>
      <c r="CD52" s="788"/>
      <c r="CE52" s="788"/>
      <c r="CF52" s="788"/>
      <c r="CG52" s="788"/>
      <c r="CH52" s="788"/>
      <c r="CI52" s="788"/>
      <c r="CJ52" s="788"/>
      <c r="CK52" s="788"/>
      <c r="CL52" s="788"/>
      <c r="CM52" s="788"/>
      <c r="CN52" s="788"/>
      <c r="CO52" s="788"/>
      <c r="CP52" s="788"/>
      <c r="CQ52" s="788"/>
      <c r="CR52" s="788"/>
      <c r="CS52" s="788"/>
      <c r="CT52" s="788"/>
      <c r="CU52" s="788"/>
      <c r="CV52" s="788"/>
      <c r="CW52" s="788"/>
      <c r="CX52" s="788"/>
      <c r="CY52" s="788"/>
      <c r="CZ52" s="788"/>
      <c r="DA52" s="788"/>
      <c r="DB52" s="788"/>
      <c r="DC52" s="788"/>
      <c r="DD52" s="788"/>
      <c r="DE52" s="788"/>
      <c r="DF52" s="788"/>
      <c r="DG52" s="788"/>
      <c r="DH52" s="788"/>
      <c r="DI52" s="788"/>
      <c r="DJ52" s="788"/>
      <c r="DK52" s="788"/>
      <c r="DL52" s="788"/>
      <c r="DM52" s="788"/>
      <c r="DN52" s="788"/>
      <c r="DO52" s="788"/>
      <c r="DP52" s="788"/>
      <c r="DQ52" s="788"/>
      <c r="DR52" s="788"/>
      <c r="DS52" s="788"/>
      <c r="DT52" s="788"/>
      <c r="DU52" s="788"/>
      <c r="DV52" s="788"/>
      <c r="DW52" s="788"/>
      <c r="DX52" s="788"/>
      <c r="DY52" s="788"/>
      <c r="DZ52" s="1595"/>
      <c r="EA52" s="788"/>
      <c r="EB52" s="788"/>
      <c r="EC52" s="788"/>
      <c r="ED52" s="788"/>
      <c r="EE52" s="788"/>
      <c r="EF52" s="788"/>
      <c r="EG52" s="788"/>
      <c r="EH52" s="788"/>
      <c r="EI52" s="788"/>
      <c r="EJ52" s="788"/>
      <c r="EK52" s="788"/>
      <c r="EL52" s="788"/>
      <c r="EM52" s="788"/>
      <c r="EN52" s="788"/>
      <c r="EO52" s="788"/>
      <c r="EP52" s="788"/>
      <c r="EQ52" s="788"/>
      <c r="ER52" s="788"/>
      <c r="ES52" s="788"/>
      <c r="ET52" s="788"/>
      <c r="EU52" s="788"/>
      <c r="EV52" s="788"/>
      <c r="EW52" s="788"/>
      <c r="EX52" s="788"/>
      <c r="EY52" s="788"/>
      <c r="EZ52" s="788"/>
      <c r="FA52" s="788"/>
      <c r="FB52" s="788"/>
      <c r="FC52" s="788"/>
      <c r="FD52" s="788"/>
      <c r="FE52" s="788"/>
      <c r="FF52" s="788"/>
      <c r="FG52" s="788"/>
      <c r="FH52" s="788"/>
      <c r="FI52" s="788"/>
      <c r="FJ52" s="788"/>
      <c r="FK52" s="788"/>
      <c r="FL52" s="788"/>
      <c r="FM52" s="788"/>
      <c r="FN52" s="788"/>
      <c r="FO52" s="788"/>
      <c r="FP52" s="788"/>
      <c r="FQ52" s="788"/>
      <c r="FR52" s="788"/>
      <c r="FS52" s="788"/>
      <c r="FT52" s="788"/>
      <c r="FU52" s="788"/>
      <c r="FV52" s="788"/>
      <c r="FW52" s="788"/>
      <c r="FX52" s="788"/>
      <c r="FY52" s="788"/>
      <c r="FZ52" s="788"/>
      <c r="GA52" s="788"/>
      <c r="GB52" s="788"/>
      <c r="GC52" s="1509"/>
      <c r="GD52" s="1509"/>
      <c r="GE52" s="1509"/>
      <c r="GF52" s="1509"/>
      <c r="GG52" s="1509"/>
      <c r="GH52" s="1509"/>
      <c r="GI52" s="1509"/>
      <c r="GJ52" s="1509"/>
      <c r="GK52" s="1509"/>
      <c r="GL52" s="1509"/>
      <c r="GM52" s="1509"/>
      <c r="GN52" s="1509"/>
      <c r="GO52" s="1509"/>
      <c r="GP52" s="1509"/>
      <c r="GQ52" s="1509"/>
      <c r="GR52" s="1509"/>
      <c r="GS52" s="1509"/>
      <c r="GT52" s="1509"/>
    </row>
    <row r="53" spans="2:202" ht="17.100000000000001" customHeight="1">
      <c r="C53" s="331"/>
      <c r="G53" s="1197"/>
      <c r="H53" s="1197"/>
      <c r="I53" s="1197"/>
      <c r="J53" s="1197"/>
      <c r="K53" s="1596"/>
      <c r="L53" s="1596"/>
      <c r="M53" s="1596"/>
      <c r="N53" s="1596"/>
      <c r="O53" s="1197"/>
      <c r="P53" s="1197"/>
      <c r="Q53" s="1197"/>
      <c r="R53" s="1197"/>
      <c r="S53" s="1197"/>
      <c r="T53" s="1197"/>
      <c r="U53" s="1197"/>
      <c r="V53" s="1197"/>
      <c r="W53" s="1509"/>
      <c r="X53" s="1509"/>
      <c r="Y53" s="1509"/>
      <c r="Z53" s="1509"/>
      <c r="AA53" s="1592"/>
      <c r="AB53" s="1592"/>
      <c r="AC53" s="1592"/>
      <c r="AD53" s="1592"/>
      <c r="AE53" s="1592"/>
      <c r="AF53" s="1592"/>
      <c r="AG53" s="1592"/>
      <c r="AH53" s="1592"/>
      <c r="AI53" s="1592"/>
      <c r="AJ53" s="1592"/>
      <c r="AK53" s="1592"/>
      <c r="AL53" s="1592"/>
      <c r="AM53" s="1592"/>
      <c r="AN53" s="1592"/>
      <c r="AO53" s="1592"/>
      <c r="AP53" s="1592"/>
      <c r="AQ53" s="1592"/>
      <c r="AR53" s="1592"/>
      <c r="AS53" s="1592"/>
      <c r="AT53" s="1592"/>
      <c r="AU53" s="1591"/>
      <c r="AV53" s="1591"/>
      <c r="AW53" s="1591"/>
      <c r="AX53" s="1591"/>
      <c r="AY53" s="1591"/>
      <c r="AZ53" s="1591"/>
      <c r="BA53" s="1591"/>
      <c r="BB53" s="1591"/>
      <c r="BC53" s="1591"/>
      <c r="BD53" s="1591"/>
      <c r="BE53" s="1591"/>
      <c r="BF53" s="1591"/>
      <c r="BG53" s="1591"/>
      <c r="BH53" s="1591"/>
      <c r="BI53" s="1591"/>
      <c r="BJ53" s="1591"/>
      <c r="BK53" s="1591"/>
      <c r="BL53" s="1591"/>
      <c r="BM53" s="788"/>
      <c r="BN53" s="788"/>
      <c r="BO53" s="788"/>
      <c r="BP53" s="788"/>
      <c r="BQ53" s="788"/>
      <c r="BR53" s="788">
        <f ca="1">SUM($BG$45:BR45)</f>
        <v>47.691413724522867</v>
      </c>
      <c r="BS53" s="788">
        <f ca="1">SUM($BG$45:BS45)</f>
        <v>76.333868545117426</v>
      </c>
      <c r="BT53" s="788"/>
      <c r="BU53" s="788"/>
      <c r="BV53" s="788"/>
      <c r="BW53" s="788">
        <f ca="1">SUM($BG$45:BW45)</f>
        <v>101.37465344169172</v>
      </c>
      <c r="BX53" s="788"/>
      <c r="BY53" s="788"/>
      <c r="BZ53" s="788"/>
      <c r="CA53" s="788">
        <f ca="1">SUM($BG$45:CA45)</f>
        <v>127.98299410268729</v>
      </c>
      <c r="CB53" s="788"/>
      <c r="CC53" s="788"/>
      <c r="CD53" s="788"/>
      <c r="CE53" s="788"/>
      <c r="CF53" s="788"/>
      <c r="CG53" s="788"/>
      <c r="CH53" s="788"/>
      <c r="CI53" s="788"/>
      <c r="CJ53" s="788"/>
      <c r="CK53" s="788"/>
      <c r="CL53" s="788"/>
      <c r="CM53" s="788"/>
      <c r="CN53" s="788"/>
      <c r="CO53" s="788"/>
      <c r="CP53" s="788"/>
      <c r="CQ53" s="788"/>
      <c r="CR53" s="788"/>
      <c r="CS53" s="788"/>
      <c r="CT53" s="788"/>
      <c r="CU53" s="788"/>
      <c r="CV53" s="788"/>
      <c r="CW53" s="788"/>
      <c r="CX53" s="788"/>
      <c r="CY53" s="788"/>
      <c r="CZ53" s="788"/>
      <c r="DA53" s="788"/>
      <c r="DB53" s="788"/>
      <c r="DC53" s="788"/>
      <c r="DD53" s="788"/>
      <c r="DE53" s="788"/>
      <c r="DF53" s="788"/>
      <c r="DG53" s="788"/>
      <c r="DH53" s="788"/>
      <c r="DI53" s="788"/>
      <c r="DJ53" s="788"/>
      <c r="DK53" s="788"/>
      <c r="DL53" s="788"/>
      <c r="DM53" s="788"/>
      <c r="DN53" s="788"/>
      <c r="DO53" s="788"/>
      <c r="DP53" s="788"/>
      <c r="DQ53" s="788"/>
      <c r="DR53" s="788"/>
      <c r="DS53" s="788"/>
      <c r="DT53" s="788"/>
      <c r="DU53" s="788"/>
      <c r="DV53" s="788"/>
      <c r="DW53" s="788"/>
      <c r="DX53" s="788"/>
      <c r="DY53" s="788"/>
      <c r="DZ53" s="788"/>
      <c r="EA53" s="788"/>
      <c r="EB53" s="788"/>
      <c r="EC53" s="788"/>
      <c r="ED53" s="788"/>
      <c r="EE53" s="788"/>
      <c r="EF53" s="788"/>
      <c r="EG53" s="788"/>
      <c r="EH53" s="788"/>
      <c r="EI53" s="788"/>
      <c r="EJ53" s="788"/>
      <c r="EK53" s="788"/>
      <c r="EL53" s="788"/>
      <c r="EM53" s="788"/>
      <c r="EN53" s="788"/>
      <c r="EO53" s="788"/>
      <c r="EP53" s="788"/>
      <c r="EQ53" s="788"/>
      <c r="ER53" s="788"/>
      <c r="ES53" s="788"/>
      <c r="ET53" s="788"/>
      <c r="EU53" s="788"/>
      <c r="EV53" s="788"/>
      <c r="EW53" s="788"/>
      <c r="EX53" s="788"/>
      <c r="EY53" s="788"/>
      <c r="EZ53" s="788"/>
      <c r="FA53" s="788"/>
      <c r="FB53" s="788"/>
      <c r="FC53" s="788"/>
      <c r="FD53" s="788"/>
      <c r="FE53" s="788"/>
      <c r="FF53" s="788"/>
      <c r="FG53" s="788"/>
      <c r="FH53" s="788"/>
      <c r="FI53" s="788"/>
      <c r="FJ53" s="788"/>
      <c r="FK53" s="788"/>
      <c r="FL53" s="788"/>
      <c r="FM53" s="788"/>
      <c r="FN53" s="788"/>
      <c r="FO53" s="788"/>
      <c r="FP53" s="788"/>
      <c r="FQ53" s="788"/>
      <c r="FR53" s="788"/>
      <c r="FS53" s="788"/>
      <c r="FT53" s="788"/>
      <c r="FU53" s="788"/>
      <c r="FV53" s="788"/>
      <c r="FW53" s="788"/>
      <c r="FX53" s="788"/>
      <c r="FY53" s="788"/>
      <c r="FZ53" s="788"/>
      <c r="GA53" s="788"/>
      <c r="GB53" s="788"/>
      <c r="GC53" s="788"/>
      <c r="GD53" s="788"/>
      <c r="GE53" s="788"/>
      <c r="GF53" s="788"/>
      <c r="GG53" s="788"/>
      <c r="GH53" s="788"/>
      <c r="GI53" s="788"/>
      <c r="GJ53" s="788"/>
      <c r="GK53" s="788"/>
      <c r="GL53" s="788"/>
      <c r="GM53" s="788"/>
      <c r="GN53" s="788"/>
      <c r="GO53" s="788"/>
      <c r="GP53" s="788"/>
      <c r="GQ53" s="788"/>
      <c r="GR53" s="788"/>
      <c r="GS53" s="788"/>
      <c r="GT53" s="788"/>
    </row>
    <row r="54" spans="2:202" ht="17.100000000000001" customHeight="1">
      <c r="C54" s="331"/>
      <c r="G54" s="1197"/>
      <c r="H54" s="1197"/>
      <c r="I54" s="1197"/>
      <c r="J54" s="1197"/>
      <c r="K54" s="1596"/>
      <c r="L54" s="1596"/>
      <c r="M54" s="1596"/>
      <c r="N54" s="1596"/>
      <c r="O54" s="1197"/>
      <c r="P54" s="1197"/>
      <c r="Q54" s="1197"/>
      <c r="R54" s="1197"/>
      <c r="S54" s="1197"/>
      <c r="T54" s="1197"/>
      <c r="U54" s="1197"/>
      <c r="V54" s="1197"/>
      <c r="W54" s="788"/>
      <c r="X54" s="788"/>
      <c r="Y54" s="788"/>
      <c r="Z54" s="788"/>
      <c r="AA54" s="1592"/>
      <c r="AB54" s="1592"/>
      <c r="AC54" s="1592"/>
      <c r="AD54" s="1592"/>
      <c r="AE54" s="1592"/>
      <c r="AF54" s="1592"/>
      <c r="AG54" s="1592"/>
      <c r="AH54" s="1592"/>
      <c r="AI54" s="1592"/>
      <c r="AJ54" s="1592"/>
      <c r="AK54" s="1592"/>
      <c r="AL54" s="1592"/>
      <c r="AM54" s="1592"/>
      <c r="AN54" s="1592"/>
      <c r="AO54" s="1592"/>
      <c r="AP54" s="1592"/>
      <c r="AQ54" s="1592"/>
      <c r="AR54" s="1592"/>
      <c r="AS54" s="1592"/>
      <c r="AT54" s="1592"/>
      <c r="AU54" s="1591"/>
      <c r="AV54" s="1591"/>
      <c r="AW54" s="1591"/>
      <c r="AX54" s="1591"/>
      <c r="AY54" s="1591"/>
      <c r="AZ54" s="1591"/>
      <c r="BA54" s="1591"/>
      <c r="BB54" s="1591"/>
      <c r="BC54" s="1591"/>
      <c r="BD54" s="1591"/>
      <c r="BE54" s="1591"/>
      <c r="BF54" s="1591"/>
      <c r="BG54" s="1591"/>
      <c r="BH54" s="1591"/>
      <c r="BI54" s="1591"/>
      <c r="BJ54" s="1591"/>
      <c r="BK54" s="1591"/>
      <c r="BL54" s="1591"/>
      <c r="BM54" s="788"/>
      <c r="BN54" s="788"/>
      <c r="BO54" s="788"/>
      <c r="BP54" s="788"/>
      <c r="BQ54" s="788"/>
      <c r="BR54" s="788"/>
      <c r="BS54" s="788"/>
      <c r="BT54" s="788"/>
      <c r="BU54" s="788"/>
      <c r="BV54" s="788"/>
      <c r="BW54" s="788"/>
      <c r="BX54" s="788"/>
      <c r="BY54" s="788"/>
      <c r="BZ54" s="788"/>
      <c r="CA54" s="788"/>
      <c r="CB54" s="788"/>
      <c r="CC54" s="788"/>
      <c r="CD54" s="788"/>
      <c r="CE54" s="788"/>
      <c r="CF54" s="788"/>
      <c r="CG54" s="788"/>
      <c r="CH54" s="788"/>
      <c r="CI54" s="788"/>
      <c r="CJ54" s="788"/>
      <c r="CK54" s="788"/>
      <c r="CL54" s="788"/>
      <c r="CM54" s="788"/>
      <c r="CN54" s="788"/>
      <c r="CO54" s="788"/>
      <c r="CP54" s="788"/>
      <c r="CQ54" s="788"/>
      <c r="CR54" s="788"/>
      <c r="CS54" s="788"/>
      <c r="CT54" s="788"/>
      <c r="CU54" s="788"/>
      <c r="CV54" s="788"/>
      <c r="CW54" s="788"/>
      <c r="CX54" s="788"/>
      <c r="CY54" s="788"/>
      <c r="CZ54" s="788"/>
      <c r="DA54" s="788"/>
      <c r="DB54" s="788"/>
      <c r="DC54" s="788"/>
      <c r="DD54" s="788"/>
      <c r="DE54" s="788"/>
      <c r="DF54" s="788"/>
      <c r="DG54" s="788"/>
      <c r="DH54" s="788"/>
      <c r="DI54" s="788"/>
      <c r="DJ54" s="788"/>
      <c r="DK54" s="788"/>
      <c r="DL54" s="788"/>
      <c r="DM54" s="788"/>
      <c r="DN54" s="788"/>
      <c r="DO54" s="788"/>
      <c r="DP54" s="788"/>
      <c r="DQ54" s="788"/>
      <c r="DR54" s="788"/>
      <c r="DS54" s="788"/>
      <c r="DT54" s="788"/>
      <c r="DU54" s="788"/>
      <c r="DV54" s="788"/>
      <c r="DW54" s="788"/>
      <c r="DX54" s="788"/>
      <c r="DY54" s="788"/>
      <c r="DZ54" s="788"/>
      <c r="EA54" s="788"/>
      <c r="EB54" s="788"/>
      <c r="EC54" s="788"/>
      <c r="ED54" s="788"/>
      <c r="EE54" s="788"/>
      <c r="EF54" s="788"/>
      <c r="EG54" s="788"/>
      <c r="EH54" s="788"/>
      <c r="EI54" s="788"/>
      <c r="EJ54" s="788"/>
      <c r="EK54" s="788"/>
      <c r="EL54" s="788"/>
      <c r="EM54" s="788"/>
      <c r="EN54" s="788"/>
      <c r="EO54" s="788"/>
      <c r="EP54" s="788"/>
      <c r="EQ54" s="788"/>
      <c r="ER54" s="788"/>
      <c r="ES54" s="788"/>
      <c r="ET54" s="788"/>
      <c r="EU54" s="788"/>
      <c r="EV54" s="788"/>
      <c r="EW54" s="788"/>
      <c r="EX54" s="788"/>
      <c r="EY54" s="788"/>
      <c r="EZ54" s="788"/>
      <c r="FA54" s="788"/>
      <c r="FB54" s="788"/>
      <c r="FC54" s="788"/>
      <c r="FD54" s="788"/>
      <c r="FE54" s="788"/>
      <c r="FF54" s="788"/>
      <c r="FG54" s="788"/>
      <c r="FH54" s="788"/>
      <c r="FI54" s="788"/>
      <c r="FJ54" s="788"/>
      <c r="FK54" s="788"/>
      <c r="FL54" s="788"/>
      <c r="FM54" s="788"/>
      <c r="FN54" s="788"/>
      <c r="FO54" s="788"/>
      <c r="FP54" s="788"/>
      <c r="FQ54" s="788"/>
      <c r="FR54" s="788"/>
      <c r="FS54" s="788"/>
      <c r="FT54" s="788"/>
      <c r="FU54" s="788"/>
      <c r="FV54" s="788"/>
      <c r="FW54" s="788"/>
      <c r="FX54" s="788"/>
      <c r="FY54" s="788"/>
      <c r="FZ54" s="788"/>
      <c r="GA54" s="788"/>
      <c r="GB54" s="788"/>
      <c r="GC54" s="788"/>
      <c r="GD54" s="788"/>
      <c r="GE54" s="788"/>
      <c r="GF54" s="788"/>
      <c r="GG54" s="788"/>
      <c r="GH54" s="788"/>
      <c r="GI54" s="788"/>
      <c r="GJ54" s="788"/>
      <c r="GK54" s="788"/>
      <c r="GL54" s="788"/>
      <c r="GM54" s="788"/>
      <c r="GN54" s="788"/>
      <c r="GO54" s="788"/>
      <c r="GP54" s="788"/>
      <c r="GQ54" s="788"/>
      <c r="GR54" s="788"/>
      <c r="GS54" s="788"/>
      <c r="GT54" s="788"/>
    </row>
    <row r="55" spans="2:202" ht="17.100000000000001" customHeight="1">
      <c r="D55" s="1597" t="s">
        <v>1331</v>
      </c>
      <c r="E55" s="1598"/>
      <c r="G55" s="1598"/>
      <c r="H55" s="1598"/>
      <c r="I55" s="1598"/>
      <c r="J55" s="1598"/>
      <c r="K55" s="1598"/>
      <c r="L55" s="1598"/>
      <c r="M55" s="1598"/>
      <c r="N55" s="1598"/>
      <c r="O55" s="1598"/>
      <c r="P55" s="1598"/>
      <c r="Q55" s="1598"/>
      <c r="R55" s="1598"/>
      <c r="S55" s="1598"/>
      <c r="T55" s="1598"/>
      <c r="U55" s="1598"/>
      <c r="V55" s="1598"/>
      <c r="W55" s="1599"/>
      <c r="X55" s="1599"/>
      <c r="Y55" s="1599"/>
      <c r="Z55" s="1599"/>
      <c r="AA55" s="1599"/>
      <c r="AB55" s="1599"/>
      <c r="AC55" s="1599"/>
      <c r="AE55" s="1599">
        <f ca="1">SUM($AE$44:AE44)</f>
        <v>0</v>
      </c>
      <c r="AF55" s="1599">
        <f ca="1">SUM($AE$44:AF44)</f>
        <v>0</v>
      </c>
      <c r="AG55" s="1599">
        <f ca="1">SUM($AE$44:AG44)</f>
        <v>0</v>
      </c>
      <c r="AH55" s="1599">
        <f ca="1">SUM($AE$44:AH44)</f>
        <v>0</v>
      </c>
      <c r="AI55" s="1599">
        <f ca="1">SUM($AE$44:AI44)</f>
        <v>0</v>
      </c>
      <c r="AJ55" s="1599">
        <f ca="1">SUM($AE$44:AJ44)</f>
        <v>0</v>
      </c>
      <c r="AK55" s="1599">
        <f ca="1">SUM($AE$44:AK44)</f>
        <v>0</v>
      </c>
      <c r="AL55" s="1599">
        <f ca="1">SUM($AE$44:AL44)</f>
        <v>0</v>
      </c>
      <c r="AM55" s="1599">
        <f ca="1">SUM($AE$44:AM44)</f>
        <v>0</v>
      </c>
      <c r="AN55" s="1599">
        <f ca="1">SUM($AE$44:AN44)</f>
        <v>0</v>
      </c>
      <c r="AO55" s="1599">
        <f ca="1">SUM($AE$44:AO44)</f>
        <v>0</v>
      </c>
      <c r="AP55" s="1599">
        <f ca="1">SUM($AE$44:AP44)</f>
        <v>0</v>
      </c>
      <c r="AQ55" s="1599">
        <f ca="1">SUM($AE$44:AQ44)</f>
        <v>0</v>
      </c>
      <c r="AR55" s="1599">
        <f ca="1">SUM($AE$44:AR44)</f>
        <v>0</v>
      </c>
      <c r="AS55" s="1599">
        <f ca="1">SUM($AE$44:AS44)</f>
        <v>0</v>
      </c>
      <c r="AT55" s="1599">
        <f ca="1">SUM($AE$44:AT44)</f>
        <v>0</v>
      </c>
      <c r="AU55" s="1599">
        <f ca="1">SUM($AE$44:AU44)</f>
        <v>0</v>
      </c>
      <c r="AV55" s="1599">
        <f ca="1">SUM($AE$44:AV44)</f>
        <v>0</v>
      </c>
      <c r="AW55" s="1599">
        <f ca="1">SUM($AE$44:AW44)</f>
        <v>0</v>
      </c>
      <c r="AX55" s="1599">
        <f ca="1">SUM($AE$44:AX44)</f>
        <v>0</v>
      </c>
      <c r="AY55" s="1599">
        <f ca="1">SUM($AE$44:AY44)</f>
        <v>0</v>
      </c>
      <c r="AZ55" s="1599">
        <f ca="1">SUM($AE$44:AZ44)</f>
        <v>0</v>
      </c>
      <c r="BA55" s="1599">
        <f ca="1">SUM($AE$44:BA44)</f>
        <v>0</v>
      </c>
      <c r="BB55" s="1599">
        <f ca="1">SUM($AE$44:BB44)</f>
        <v>0</v>
      </c>
      <c r="BC55" s="1599">
        <f ca="1">SUM($AE$44:BC44)</f>
        <v>0</v>
      </c>
      <c r="BD55" s="1599">
        <f ca="1">SUM($AE$44:BD44)</f>
        <v>0</v>
      </c>
      <c r="BE55" s="1599">
        <f ca="1">SUM($AE$44:BE44)</f>
        <v>0</v>
      </c>
      <c r="BF55" s="1599">
        <f ca="1">SUM($AE$44:BF44)</f>
        <v>0</v>
      </c>
      <c r="BG55" s="1599">
        <f ca="1">SUM($AE$44:BG44)</f>
        <v>1.585478126567498</v>
      </c>
      <c r="BH55" s="1599">
        <f ca="1">SUM($AE$44:BH44)</f>
        <v>1.585478126567498</v>
      </c>
      <c r="BI55" s="1599">
        <f ca="1">SUM($AE$44:BI44)</f>
        <v>1.585478126567498</v>
      </c>
      <c r="BJ55" s="1599">
        <f ca="1">SUM($AE$44:BJ44)</f>
        <v>1.585478126567498</v>
      </c>
      <c r="BK55" s="1599">
        <f ca="1">SUM($AE$44:BK44)</f>
        <v>31.934276869801238</v>
      </c>
      <c r="BL55" s="1599">
        <f ca="1">SUM($AE$44:BL44)</f>
        <v>31.934276869801238</v>
      </c>
      <c r="BM55" s="1599">
        <f ca="1">SUM($AE$44:BM44)</f>
        <v>31.934276869801238</v>
      </c>
      <c r="BN55" s="1599">
        <f ca="1">SUM($AE$44:BN44)</f>
        <v>31.934276869801238</v>
      </c>
      <c r="BO55" s="1599">
        <f ca="1">SUM($AE$44:BO44)</f>
        <v>47.691413724522867</v>
      </c>
      <c r="BP55" s="1599">
        <f ca="1">SUM($AE$44:BP44)</f>
        <v>47.691413724522867</v>
      </c>
      <c r="BQ55" s="1599">
        <f ca="1">SUM($AE$44:BQ44)</f>
        <v>47.691413724522867</v>
      </c>
      <c r="BR55" s="1599">
        <f ca="1">SUM($AE$44:BR44)</f>
        <v>47.691413724522867</v>
      </c>
      <c r="BS55" s="1599">
        <f ca="1">SUM($AE$44:BS44)</f>
        <v>76.333868545117426</v>
      </c>
      <c r="BT55" s="1599">
        <f ca="1">SUM($AE$44:BT44)</f>
        <v>76.333868545117426</v>
      </c>
      <c r="BU55" s="1599">
        <f ca="1">SUM($AE$44:BU44)</f>
        <v>76.333868545117426</v>
      </c>
      <c r="BV55" s="1599">
        <f ca="1">SUM($AE$44:BV44)</f>
        <v>76.333868545117426</v>
      </c>
      <c r="BW55" s="1599">
        <f ca="1">SUM($AE$44:BW44)</f>
        <v>101.37465344169172</v>
      </c>
      <c r="BX55" s="1599">
        <f ca="1">SUM($AE$44:BX44)</f>
        <v>101.37465344169172</v>
      </c>
      <c r="BY55" s="1599">
        <f ca="1">SUM($AE$44:BY44)</f>
        <v>101.37465344169172</v>
      </c>
      <c r="BZ55" s="1599">
        <f ca="1">SUM($AE$44:BZ44)</f>
        <v>101.37465344169172</v>
      </c>
      <c r="CA55" s="1599">
        <f ca="1">SUM($AE$44:CA44)</f>
        <v>127.98299410268729</v>
      </c>
      <c r="CB55" s="1599">
        <f ca="1">SUM($AE$44:CB44)</f>
        <v>127.98299410268729</v>
      </c>
      <c r="CC55" s="1599">
        <f ca="1">SUM($AE$44:CC44)</f>
        <v>127.98299410268729</v>
      </c>
      <c r="CD55" s="1599">
        <f ca="1">SUM($AE$44:CD44)</f>
        <v>127.98299410268729</v>
      </c>
      <c r="CE55" s="1599">
        <f ca="1">SUM($AE$44:CE44)</f>
        <v>160.88568886537661</v>
      </c>
      <c r="CF55" s="1599">
        <f ca="1">SUM($AE$44:CF44)</f>
        <v>160.88568886537661</v>
      </c>
      <c r="CG55" s="1599">
        <f ca="1">SUM($AE$44:CG44)</f>
        <v>160.88568886537661</v>
      </c>
      <c r="CH55" s="1599">
        <f ca="1">SUM($AE$44:CH44)</f>
        <v>160.88568886537661</v>
      </c>
      <c r="CI55" s="1599">
        <f ca="1">SUM($AE$44:CI44)</f>
        <v>193.36478794938614</v>
      </c>
      <c r="CJ55" s="1599">
        <f ca="1">SUM($AE$44:CJ44)</f>
        <v>193.36478794938614</v>
      </c>
      <c r="CK55" s="1599">
        <f ca="1">SUM($AE$44:CK44)</f>
        <v>193.36478794938614</v>
      </c>
      <c r="CL55" s="1599">
        <f ca="1">SUM($AE$44:CL44)</f>
        <v>193.36478794938614</v>
      </c>
      <c r="CM55" s="1599">
        <f ca="1">SUM($AE$44:CM44)</f>
        <v>227.41490210762998</v>
      </c>
      <c r="CN55" s="1599">
        <f ca="1">SUM($AE$44:CN44)</f>
        <v>227.41490210762998</v>
      </c>
      <c r="CO55" s="1599">
        <f ca="1">SUM($AE$44:CO44)</f>
        <v>227.41490210762998</v>
      </c>
      <c r="CP55" s="1599">
        <f ca="1">SUM($AE$44:CP44)</f>
        <v>227.41490210762998</v>
      </c>
      <c r="CQ55" s="1599">
        <f ca="1">SUM($AE$44:CQ44)</f>
        <v>283.23057065319273</v>
      </c>
      <c r="CR55" s="1599">
        <f ca="1">SUM($AE$44:CR44)</f>
        <v>283.23057065319273</v>
      </c>
      <c r="CS55" s="1599">
        <f ca="1">SUM($AE$44:CS44)</f>
        <v>283.23057065319273</v>
      </c>
      <c r="CT55" s="1599">
        <f ca="1">SUM($AE$44:CT44)</f>
        <v>283.23057065319273</v>
      </c>
      <c r="CU55" s="1599">
        <f ca="1">SUM($AE$44:CU44)</f>
        <v>340.62688712179261</v>
      </c>
      <c r="CV55" s="1599">
        <f ca="1">SUM($AE$44:CV44)</f>
        <v>340.62688712179261</v>
      </c>
      <c r="CW55" s="1599">
        <f ca="1">SUM($AE$44:CW44)</f>
        <v>340.62688712179261</v>
      </c>
      <c r="CX55" s="1599">
        <f ca="1">SUM($AE$44:CX44)</f>
        <v>340.62688712179261</v>
      </c>
      <c r="CY55" s="1599">
        <f ca="1">SUM($AE$44:CY44)</f>
        <v>411.5576354935219</v>
      </c>
      <c r="CZ55" s="1599">
        <f ca="1">SUM($AE$44:CZ44)</f>
        <v>411.5576354935219</v>
      </c>
      <c r="DA55" s="1599">
        <f ca="1">SUM($AE$44:DA44)</f>
        <v>411.5576354935219</v>
      </c>
      <c r="DB55" s="1599">
        <f ca="1">SUM($AE$44:DB44)</f>
        <v>411.5576354935219</v>
      </c>
      <c r="DC55" s="1599">
        <f ca="1">SUM($AE$44:DC44)</f>
        <v>484.94294314465645</v>
      </c>
      <c r="DD55" s="1599">
        <f ca="1">SUM($AE$44:DD44)</f>
        <v>484.94294314465645</v>
      </c>
      <c r="DE55" s="1599">
        <f ca="1">SUM($AE$44:DE44)</f>
        <v>484.94294314465645</v>
      </c>
      <c r="DF55" s="1599">
        <f ca="1">SUM($AE$44:DF44)</f>
        <v>484.94294314465645</v>
      </c>
      <c r="DG55" s="1599">
        <f ca="1">SUM($AE$44:DG44)</f>
        <v>570.14805418331775</v>
      </c>
      <c r="DH55" s="1599">
        <f ca="1">SUM($AE$44:DH44)</f>
        <v>570.14805418331775</v>
      </c>
      <c r="DI55" s="1599">
        <f ca="1">SUM($AE$44:DI44)</f>
        <v>570.14805418331775</v>
      </c>
      <c r="DJ55" s="1599">
        <f ca="1">SUM($AE$44:DJ44)</f>
        <v>570.14805418331775</v>
      </c>
      <c r="DK55" s="1599">
        <f ca="1">SUM($AE$44:DK44)</f>
        <v>658.22074123787911</v>
      </c>
      <c r="DL55" s="1599">
        <f ca="1">SUM($AE$44:DL44)</f>
        <v>658.22074123787911</v>
      </c>
      <c r="DM55" s="1599">
        <f ca="1">SUM($AE$44:DM44)</f>
        <v>658.22074123787911</v>
      </c>
      <c r="DN55" s="1599">
        <f ca="1">SUM($AE$44:DN44)</f>
        <v>658.22074123787911</v>
      </c>
      <c r="DO55" s="1599">
        <f ca="1">SUM($AE$44:DO44)</f>
        <v>743.14320526726999</v>
      </c>
      <c r="DP55" s="1599">
        <f ca="1">SUM($AE$44:DP44)</f>
        <v>743.14320526726999</v>
      </c>
      <c r="DQ55" s="1599">
        <f ca="1">SUM($AE$44:DQ44)</f>
        <v>743.14320526726999</v>
      </c>
      <c r="DR55" s="1599">
        <f ca="1">SUM($AE$44:DR44)</f>
        <v>743.14320526726999</v>
      </c>
      <c r="DS55" s="1599">
        <f ca="1">SUM($AE$44:DS44)</f>
        <v>845.29828552492347</v>
      </c>
      <c r="DT55" s="1599">
        <f ca="1">SUM($AE$44:DT44)</f>
        <v>845.29828552492347</v>
      </c>
      <c r="DU55" s="1599">
        <f ca="1">SUM($AE$44:DU44)</f>
        <v>845.29828552492347</v>
      </c>
      <c r="DV55" s="1599">
        <f ca="1">SUM($AE$44:DV44)</f>
        <v>845.29828552492347</v>
      </c>
      <c r="DW55" s="1599">
        <f ca="1">SUM($AE$44:DW44)</f>
        <v>953.6792949263953</v>
      </c>
      <c r="DX55" s="1599">
        <f ca="1">SUM($AE$44:DX44)</f>
        <v>953.6792949263953</v>
      </c>
      <c r="DY55" s="1599">
        <f ca="1">SUM($AE$44:DY44)</f>
        <v>953.6792949263953</v>
      </c>
      <c r="DZ55" s="1599">
        <f ca="1">SUM($AE$44:DZ44)</f>
        <v>953.6792949263953</v>
      </c>
      <c r="EA55" s="1599">
        <f ca="1">SUM($AE$44:EA44)</f>
        <v>1058.6299632583984</v>
      </c>
      <c r="EB55" s="1599">
        <f ca="1">SUM($AE$44:EB44)</f>
        <v>1058.6299632583984</v>
      </c>
      <c r="EC55" s="1599">
        <f ca="1">SUM($AE$44:EC44)</f>
        <v>1058.6299632583984</v>
      </c>
      <c r="ED55" s="1599">
        <f ca="1">SUM($AE$44:ED44)</f>
        <v>1058.6299632583984</v>
      </c>
      <c r="EE55" s="1599">
        <f ca="1">SUM($AE$44:EE44)</f>
        <v>1152.6191041338054</v>
      </c>
      <c r="EF55" s="1599">
        <f ca="1">SUM($AE$44:EF44)</f>
        <v>1152.6191041338054</v>
      </c>
      <c r="EG55" s="1599">
        <f ca="1">SUM($AE$44:EG44)</f>
        <v>1152.6191041338054</v>
      </c>
      <c r="EH55" s="1599">
        <f ca="1">SUM($AE$44:EH44)</f>
        <v>1152.6191041338054</v>
      </c>
      <c r="EI55" s="1599">
        <f ca="1">SUM($AE$44:EI44)</f>
        <v>1214.3208435247377</v>
      </c>
      <c r="EJ55" s="1599">
        <f ca="1">SUM($AE$44:EJ44)</f>
        <v>1214.3208435247377</v>
      </c>
      <c r="EK55" s="1599">
        <f ca="1">SUM($AE$44:EK44)</f>
        <v>1214.3208435247377</v>
      </c>
      <c r="EL55" s="1599">
        <f ca="1">SUM($AE$44:EL44)</f>
        <v>1214.3208435247377</v>
      </c>
      <c r="EM55" s="1599">
        <f ca="1">SUM($AE$44:EM44)</f>
        <v>1284.2550626421182</v>
      </c>
      <c r="EN55" s="1599">
        <f ca="1">SUM($AE$44:EN44)</f>
        <v>1284.2550626421182</v>
      </c>
      <c r="EO55" s="1599">
        <f ca="1">SUM($AE$44:EO44)</f>
        <v>1284.2550626421182</v>
      </c>
      <c r="EP55" s="1599">
        <f ca="1">SUM($AE$44:EP44)</f>
        <v>1284.2550626421182</v>
      </c>
      <c r="EQ55" s="1599">
        <f ca="1">SUM($AE$44:EQ44)</f>
        <v>1347.1685163532122</v>
      </c>
      <c r="ER55" s="1599">
        <f ca="1">SUM($AE$44:ER44)</f>
        <v>1347.1685163532122</v>
      </c>
      <c r="ES55" s="1599">
        <f ca="1">SUM($AE$44:ES44)</f>
        <v>1347.1685163532122</v>
      </c>
      <c r="ET55" s="1599">
        <f ca="1">SUM($AE$44:ET44)</f>
        <v>1347.1685163532122</v>
      </c>
      <c r="EU55" s="1599">
        <f ca="1">SUM($AE$44:EU44)</f>
        <v>1415.1394786012206</v>
      </c>
      <c r="EV55" s="1599">
        <f ca="1">SUM($AE$44:EV44)</f>
        <v>1415.1394786012206</v>
      </c>
      <c r="EW55" s="1599">
        <f ca="1">SUM($AE$44:EW44)</f>
        <v>1415.1394786012206</v>
      </c>
      <c r="EX55" s="1599">
        <f ca="1">SUM($AE$44:EX44)</f>
        <v>1415.1394786012206</v>
      </c>
      <c r="EY55" s="1599">
        <f ca="1">SUM($AE$44:EY44)</f>
        <v>1491.6823554064101</v>
      </c>
      <c r="EZ55" s="1599">
        <f ca="1">SUM($AE$44:EZ44)</f>
        <v>1491.6823554064101</v>
      </c>
      <c r="FA55" s="1599">
        <f ca="1">SUM($AE$44:FA44)</f>
        <v>1491.6823554064101</v>
      </c>
      <c r="FB55" s="1599">
        <f ca="1">SUM($AE$44:FB44)</f>
        <v>1491.6823554064101</v>
      </c>
      <c r="FC55" s="1599">
        <f ca="1">SUM($AE$44:FC44)</f>
        <v>1565.8067443333746</v>
      </c>
      <c r="FD55" s="1599">
        <f ca="1">SUM($AE$44:FD44)</f>
        <v>1565.8067443333746</v>
      </c>
      <c r="FE55" s="1599">
        <f ca="1">SUM($AE$44:FE44)</f>
        <v>1565.8067443333746</v>
      </c>
      <c r="FF55" s="1599">
        <f ca="1">SUM($AE$44:FF44)</f>
        <v>1565.8067443333746</v>
      </c>
      <c r="FG55" s="1599">
        <f ca="1">SUM($AE$44:FG44)</f>
        <v>1640.5131126007445</v>
      </c>
      <c r="FH55" s="1599">
        <f ca="1">SUM($AE$44:FH44)</f>
        <v>1640.5131126007445</v>
      </c>
      <c r="FI55" s="1599">
        <f ca="1">SUM($AE$44:FI44)</f>
        <v>1640.5131126007445</v>
      </c>
      <c r="FJ55" s="1599">
        <f ca="1">SUM($AE$44:FJ44)</f>
        <v>1640.5131126007445</v>
      </c>
      <c r="FK55" s="1599">
        <f ca="1">SUM($AE$44:FK44)</f>
        <v>1727.1859230189859</v>
      </c>
      <c r="FL55" s="1599">
        <f ca="1">SUM($AE$44:FL44)</f>
        <v>1727.1859230189859</v>
      </c>
      <c r="FM55" s="1599">
        <f ca="1">SUM($AE$44:FM44)</f>
        <v>1727.1859230189859</v>
      </c>
      <c r="FN55" s="1599">
        <f ca="1">SUM($AE$44:FN44)</f>
        <v>1727.1859230189859</v>
      </c>
      <c r="FO55" s="1599">
        <f ca="1">SUM($AE$44:FO44)</f>
        <v>1814.1398716782728</v>
      </c>
      <c r="FP55" s="1599">
        <f ca="1">SUM($AE$44:FP44)</f>
        <v>1814.1398716782728</v>
      </c>
      <c r="FQ55" s="1599">
        <f ca="1">SUM($AE$44:FQ44)</f>
        <v>1814.1398716782728</v>
      </c>
      <c r="FR55" s="1599">
        <f ca="1">SUM($AE$44:FR44)</f>
        <v>1814.1398716782728</v>
      </c>
      <c r="FS55" s="1599">
        <f ca="1">SUM($AE$44:FS44)</f>
        <v>1903.0029389181459</v>
      </c>
      <c r="FT55" s="1599">
        <f ca="1">SUM($AE$44:FT44)</f>
        <v>1903.0029389181459</v>
      </c>
      <c r="FU55" s="1599">
        <f ca="1">SUM($AE$44:FU44)</f>
        <v>1903.0029389181459</v>
      </c>
      <c r="FV55" s="1599">
        <f ca="1">SUM($AE$44:FV44)</f>
        <v>1903.0029389181459</v>
      </c>
      <c r="FW55" s="1599">
        <f ca="1">SUM($AE$44:FW44)</f>
        <v>1999.3771173378052</v>
      </c>
      <c r="FX55" s="1599">
        <f ca="1">SUM($AE$44:FX44)</f>
        <v>1999.3771173378052</v>
      </c>
      <c r="FY55" s="1599">
        <f ca="1">SUM($AE$44:FY44)</f>
        <v>1999.3771173378052</v>
      </c>
      <c r="FZ55" s="1599">
        <f ca="1">SUM($AE$44:FZ44)</f>
        <v>1999.3771173378052</v>
      </c>
      <c r="GA55" s="1599">
        <f ca="1">SUM($AE$44:GA44)</f>
        <v>2096.7590232578814</v>
      </c>
      <c r="GB55" s="1599">
        <f ca="1">SUM($AE$44:GB44)</f>
        <v>2794.3454534262364</v>
      </c>
    </row>
    <row r="56" spans="2:202" ht="17.100000000000001" customHeight="1">
      <c r="D56" s="1597" t="s">
        <v>1332</v>
      </c>
      <c r="E56" s="791">
        <f>106*8%</f>
        <v>8.48</v>
      </c>
      <c r="W56" s="1599"/>
      <c r="X56" s="1197"/>
      <c r="Y56" s="1599"/>
      <c r="Z56" s="1599"/>
      <c r="AA56" s="1599"/>
      <c r="AB56" s="1599"/>
      <c r="AC56" s="1599"/>
      <c r="AD56" s="1599"/>
      <c r="AE56" s="1599">
        <f>(AE5-$K$5)/365+1</f>
        <v>6.0027397260273974</v>
      </c>
      <c r="AF56" s="1599"/>
      <c r="AG56" s="1599"/>
      <c r="AH56" s="1599"/>
      <c r="AI56" s="1599">
        <f>(AI5-$K$5)/365+1</f>
        <v>7.0027397260273974</v>
      </c>
      <c r="AJ56" s="1599"/>
      <c r="AK56" s="1599"/>
      <c r="AL56" s="1599"/>
      <c r="AM56" s="1599">
        <f>(AM5-$K$5)/365+1</f>
        <v>8.0027397260273965</v>
      </c>
      <c r="AN56" s="1599"/>
      <c r="AO56" s="1599"/>
      <c r="AP56" s="1599"/>
      <c r="AQ56" s="1599">
        <f>(AQ5-$K$5)/365+1</f>
        <v>9.0054794520547947</v>
      </c>
      <c r="AR56" s="1599"/>
      <c r="AS56" s="1599"/>
      <c r="AT56" s="1599"/>
      <c r="AU56" s="1599">
        <f>(AU5-$K$5)/365+1</f>
        <v>10.005479452054795</v>
      </c>
      <c r="AY56" s="1599">
        <f>(AY5-$K$5)/365+1</f>
        <v>11.005479452054795</v>
      </c>
      <c r="AZ56" s="1599"/>
      <c r="BA56" s="1599"/>
      <c r="BB56" s="1599"/>
      <c r="BC56" s="1599">
        <f>(BC5-$K$5)/365+1</f>
        <v>12.005479452054795</v>
      </c>
      <c r="BD56" s="1599"/>
      <c r="BE56" s="1599"/>
      <c r="BF56" s="1599"/>
      <c r="BG56" s="1599">
        <f>(BG5-$K$5)/365+1</f>
        <v>13.008219178082191</v>
      </c>
      <c r="BH56" s="1599"/>
      <c r="BI56" s="1599"/>
      <c r="BJ56" s="1599"/>
      <c r="BK56" s="1599">
        <f>(BK5-$K$5)/365+1</f>
        <v>14.008219178082191</v>
      </c>
      <c r="BO56" s="1599">
        <f>(BO5-$K$5)/365+1</f>
        <v>15.008219178082191</v>
      </c>
      <c r="BP56" s="1599"/>
      <c r="BQ56" s="1599"/>
      <c r="BR56" s="1599"/>
      <c r="BS56" s="1599">
        <f>(BS5-$K$5)/365+1</f>
        <v>16.008219178082193</v>
      </c>
      <c r="BT56" s="1599"/>
      <c r="BU56" s="1599"/>
      <c r="BV56" s="1599"/>
      <c r="BW56" s="1599">
        <f>(BW5-$K$5)/365+1</f>
        <v>17.010958904109589</v>
      </c>
      <c r="BX56" s="1599"/>
      <c r="BY56" s="1599"/>
      <c r="BZ56" s="1599"/>
      <c r="CA56" s="1599">
        <f>(CA5-$K$5)/365+1</f>
        <v>18.010958904109589</v>
      </c>
      <c r="CE56" s="1599">
        <f>(CE5-$K$5)/365+1</f>
        <v>19.010958904109589</v>
      </c>
      <c r="CF56" s="1599"/>
      <c r="CG56" s="1599"/>
      <c r="CH56" s="1599"/>
      <c r="CI56" s="1599">
        <f>(CI5-$K$5)/365+1</f>
        <v>20.010958904109589</v>
      </c>
      <c r="CJ56" s="1599"/>
      <c r="CK56" s="1599"/>
      <c r="CL56" s="1599"/>
      <c r="CM56" s="1599">
        <f>(CM5-$K$5)/365+1</f>
        <v>21.013698630136986</v>
      </c>
      <c r="CN56" s="1599"/>
      <c r="CO56" s="1599"/>
      <c r="CP56" s="1599"/>
      <c r="CQ56" s="1599">
        <f>(CQ5-$K$5)/365+1</f>
        <v>22.013698630136986</v>
      </c>
      <c r="CU56" s="1599">
        <f>(CU5-$K$5)/365+1</f>
        <v>23.013698630136986</v>
      </c>
      <c r="CV56" s="1599"/>
      <c r="CW56" s="1599"/>
      <c r="CX56" s="1599"/>
      <c r="CY56" s="1599">
        <f>(CY5-$K$5)/365+1</f>
        <v>24.013698630136986</v>
      </c>
      <c r="CZ56" s="1599"/>
      <c r="DA56" s="1599"/>
      <c r="DB56" s="1599"/>
      <c r="DC56" s="1599">
        <f>(DC5-$K$5)/365+1</f>
        <v>25.016438356164382</v>
      </c>
      <c r="DD56" s="1599"/>
      <c r="DE56" s="1599"/>
      <c r="DF56" s="1599"/>
      <c r="DG56" s="1599">
        <f>(DG5-$K$5)/365+1</f>
        <v>26.016438356164382</v>
      </c>
      <c r="DK56" s="1599">
        <f>(DK5-$K$5)/365+1</f>
        <v>27.016438356164382</v>
      </c>
      <c r="DL56" s="1599"/>
      <c r="DM56" s="1599"/>
      <c r="DN56" s="1599"/>
      <c r="DO56" s="1599">
        <f>(DO5-$K$5)/365+1</f>
        <v>28.016438356164382</v>
      </c>
      <c r="DP56" s="1599"/>
      <c r="DQ56" s="1599"/>
      <c r="DR56" s="1599"/>
      <c r="DS56" s="1599">
        <f>(DS5-$K$5)/365+1</f>
        <v>29.019178082191782</v>
      </c>
      <c r="DT56" s="1599"/>
      <c r="DU56" s="1599"/>
      <c r="DV56" s="1599"/>
      <c r="DW56" s="1599">
        <f>(DW5-$K$5)/365+1</f>
        <v>30.019178082191782</v>
      </c>
      <c r="EA56" s="1599">
        <f>(EA5-$K$5)/365+1</f>
        <v>31.019178082191782</v>
      </c>
      <c r="EB56" s="1599"/>
      <c r="EC56" s="1599"/>
      <c r="ED56" s="1599"/>
      <c r="EE56" s="1599">
        <f>(EE5-$K$5)/365+1</f>
        <v>32.019178082191786</v>
      </c>
      <c r="EF56" s="1599"/>
      <c r="EG56" s="1599"/>
      <c r="EH56" s="1599"/>
      <c r="EI56" s="1599">
        <f>(EI5-$K$5)/365+1</f>
        <v>33.021917808219179</v>
      </c>
      <c r="EJ56" s="1599"/>
      <c r="EK56" s="1599"/>
      <c r="EL56" s="1599"/>
      <c r="EM56" s="1599">
        <f>(EM5-$K$5)/365+1</f>
        <v>34.021917808219179</v>
      </c>
      <c r="EQ56" s="1599">
        <f>(EQ5-$K$5)/365+1</f>
        <v>35.021917808219179</v>
      </c>
      <c r="ER56" s="1599"/>
      <c r="ES56" s="1599"/>
      <c r="ET56" s="1599"/>
      <c r="EU56" s="1599">
        <f>(EU5-$K$5)/365+1</f>
        <v>36.021917808219179</v>
      </c>
      <c r="EV56" s="1599"/>
      <c r="EW56" s="1599"/>
      <c r="EX56" s="1599"/>
      <c r="EY56" s="1599">
        <f>(EY5-$K$5)/365+1</f>
        <v>37.024657534246572</v>
      </c>
      <c r="EZ56" s="1599"/>
      <c r="FA56" s="1599"/>
      <c r="FB56" s="1599"/>
      <c r="FC56" s="1599">
        <f>(FC5-$K$5)/365+1</f>
        <v>38.024657534246572</v>
      </c>
      <c r="FG56" s="1599">
        <f>(FG5-$K$5)/365+1</f>
        <v>39.024657534246572</v>
      </c>
      <c r="FH56" s="1599"/>
      <c r="FI56" s="1599"/>
      <c r="FJ56" s="1599"/>
      <c r="FK56" s="1599">
        <f>(FK5-$K$5)/365+1</f>
        <v>40.024657534246572</v>
      </c>
      <c r="FL56" s="1599"/>
      <c r="FM56" s="1599"/>
      <c r="FN56" s="1599"/>
      <c r="FO56" s="1599">
        <f>(FO5-$K$5)/365+1</f>
        <v>41.027397260273972</v>
      </c>
      <c r="FP56" s="1599"/>
      <c r="FQ56" s="1599"/>
      <c r="FR56" s="1599"/>
      <c r="FS56" s="1599">
        <f>(FS5-$K$5)/365+1</f>
        <v>42.027397260273972</v>
      </c>
      <c r="FW56" s="1599">
        <f>(FW5-$K$5)/365+1</f>
        <v>43.027397260273972</v>
      </c>
      <c r="FX56" s="1599"/>
      <c r="FY56" s="1599"/>
      <c r="FZ56" s="1599"/>
      <c r="GA56" s="1599">
        <f>(GA5-$K$5)/365+1</f>
        <v>44.027397260273972</v>
      </c>
      <c r="GB56" s="1599"/>
      <c r="GC56" s="1599"/>
      <c r="GD56" s="1599"/>
      <c r="GE56" s="1599"/>
      <c r="GF56" s="1599"/>
      <c r="GG56" s="1599"/>
      <c r="GH56" s="1599"/>
      <c r="GI56" s="1599">
        <f>(GI5-$K$5)/365+1</f>
        <v>-115.32876712328768</v>
      </c>
    </row>
    <row r="57" spans="2:202" ht="17.100000000000001" customHeight="1">
      <c r="F57" s="1598"/>
      <c r="W57" s="1598"/>
      <c r="X57" s="1598"/>
      <c r="Y57" s="1598"/>
      <c r="Z57" s="1598"/>
      <c r="AA57" s="1598"/>
      <c r="AB57" s="1600"/>
      <c r="AC57" s="1599"/>
      <c r="AD57" s="1599"/>
      <c r="AE57" s="1599">
        <f>$E$56*AE56</f>
        <v>50.90323287671233</v>
      </c>
      <c r="AF57" s="1599"/>
      <c r="AG57" s="1599"/>
      <c r="AH57" s="1599"/>
      <c r="AI57" s="1599">
        <f>$E$56*AI56</f>
        <v>59.383232876712334</v>
      </c>
      <c r="AJ57" s="1599"/>
      <c r="AK57" s="1599"/>
      <c r="AL57" s="1599"/>
      <c r="AM57" s="1599">
        <f>$E$56*AM56</f>
        <v>67.863232876712331</v>
      </c>
      <c r="AN57" s="1599"/>
      <c r="AO57" s="1599"/>
      <c r="AP57" s="1599"/>
      <c r="AQ57" s="1599">
        <f>$E$56*AQ56</f>
        <v>76.366465753424663</v>
      </c>
      <c r="AR57" s="1599"/>
      <c r="AS57" s="1599"/>
      <c r="AT57" s="1599"/>
      <c r="AU57" s="1599">
        <f>$E$56*AU56</f>
        <v>84.846465753424667</v>
      </c>
      <c r="AV57" s="1599"/>
      <c r="AW57" s="1599"/>
      <c r="AX57" s="1599"/>
      <c r="AY57" s="1599">
        <f>$E$56*AY56</f>
        <v>93.326465753424671</v>
      </c>
      <c r="AZ57" s="1599"/>
      <c r="BA57" s="1599"/>
      <c r="BB57" s="1599"/>
      <c r="BC57" s="1599">
        <f>$E$56*BC56</f>
        <v>101.80646575342466</v>
      </c>
      <c r="BD57" s="1599"/>
      <c r="BE57" s="1599"/>
      <c r="BF57" s="1599"/>
      <c r="BG57" s="1599">
        <f>$E$56*BG56</f>
        <v>110.30969863013699</v>
      </c>
      <c r="BH57" s="1599"/>
      <c r="BI57" s="1599"/>
      <c r="BJ57" s="1599"/>
      <c r="BK57" s="1599">
        <f>$E$56*BK56</f>
        <v>118.78969863013698</v>
      </c>
      <c r="BL57" s="1599"/>
      <c r="BM57" s="1599"/>
      <c r="BN57" s="1599"/>
      <c r="BO57" s="1599">
        <f>$E$56*BO56</f>
        <v>127.26969863013699</v>
      </c>
      <c r="BP57" s="1599"/>
      <c r="BQ57" s="1599"/>
      <c r="BR57" s="1599"/>
      <c r="BS57" s="1599">
        <f>$E$56*BS56</f>
        <v>135.749698630137</v>
      </c>
      <c r="BT57" s="1599"/>
      <c r="BU57" s="1599"/>
      <c r="BV57" s="1599"/>
      <c r="BW57" s="1599">
        <f>$E$56*BW56</f>
        <v>144.25293150684934</v>
      </c>
      <c r="BX57" s="1599"/>
      <c r="BY57" s="1599"/>
      <c r="BZ57" s="1599"/>
      <c r="CA57" s="1599">
        <f>$E$56*CA56</f>
        <v>152.73293150684933</v>
      </c>
      <c r="CB57" s="1599"/>
      <c r="CC57" s="1599"/>
      <c r="CD57" s="1599"/>
      <c r="CE57" s="1599">
        <f>$E$56*CE56</f>
        <v>161.21293150684932</v>
      </c>
      <c r="CF57" s="1599"/>
      <c r="CG57" s="1599"/>
      <c r="CH57" s="1599"/>
      <c r="CI57" s="1599">
        <f>$E$56*CI56</f>
        <v>169.69293150684933</v>
      </c>
      <c r="CJ57" s="1599"/>
      <c r="CK57" s="1599"/>
      <c r="CL57" s="1599"/>
      <c r="CM57" s="1599">
        <f>$E$56*CM56</f>
        <v>178.19616438356164</v>
      </c>
      <c r="CN57" s="1599"/>
      <c r="CO57" s="1599"/>
      <c r="CP57" s="1599"/>
      <c r="CQ57" s="1599">
        <f>$E$56*CQ56</f>
        <v>186.67616438356166</v>
      </c>
      <c r="CR57" s="1599"/>
      <c r="CS57" s="1599"/>
      <c r="CT57" s="1599"/>
      <c r="CU57" s="1599">
        <f>$E$56*CU56</f>
        <v>195.15616438356165</v>
      </c>
      <c r="CV57" s="1599"/>
      <c r="CW57" s="1599"/>
      <c r="CX57" s="1599"/>
      <c r="CY57" s="1599">
        <f>$E$56*CY56</f>
        <v>203.63616438356166</v>
      </c>
      <c r="CZ57" s="1599"/>
      <c r="DA57" s="1599"/>
      <c r="DB57" s="1599"/>
      <c r="DC57" s="1599">
        <f>$E$56*DC56</f>
        <v>212.13939726027397</v>
      </c>
      <c r="DD57" s="1599"/>
      <c r="DE57" s="1599"/>
      <c r="DF57" s="1599"/>
      <c r="DG57" s="1599">
        <f>$E$56*DG56</f>
        <v>220.61939726027398</v>
      </c>
      <c r="DH57" s="1599"/>
      <c r="DI57" s="1599"/>
      <c r="DJ57" s="1599"/>
      <c r="DK57" s="1599">
        <f>$E$56*DK56</f>
        <v>229.09939726027397</v>
      </c>
      <c r="DL57" s="1599"/>
      <c r="DM57" s="1599"/>
      <c r="DN57" s="1599"/>
      <c r="DO57" s="1599">
        <f>$E$56*DO56</f>
        <v>237.57939726027396</v>
      </c>
      <c r="DP57" s="1599"/>
      <c r="DQ57" s="1599"/>
      <c r="DR57" s="1599"/>
      <c r="DS57" s="1599">
        <f>$E$56*DS56</f>
        <v>246.08263013698632</v>
      </c>
      <c r="DT57" s="1599"/>
      <c r="DU57" s="1599"/>
      <c r="DV57" s="1599"/>
      <c r="DW57" s="1599">
        <f>$E$56*DW56</f>
        <v>254.56263013698631</v>
      </c>
      <c r="DX57" s="1599"/>
      <c r="DY57" s="1599"/>
      <c r="DZ57" s="1599"/>
      <c r="EA57" s="1599">
        <f>$E$56*EA56</f>
        <v>263.0426301369863</v>
      </c>
      <c r="EB57" s="1599"/>
      <c r="EC57" s="1599"/>
      <c r="ED57" s="1599"/>
      <c r="EE57" s="1599">
        <f>$E$56*EE56</f>
        <v>271.52263013698638</v>
      </c>
      <c r="EF57" s="1599"/>
      <c r="EG57" s="1599"/>
      <c r="EH57" s="1599"/>
      <c r="EI57" s="1599">
        <f>$E$56*EI56</f>
        <v>280.02586301369865</v>
      </c>
      <c r="EJ57" s="1599"/>
      <c r="EK57" s="1599"/>
      <c r="EL57" s="1599"/>
      <c r="EM57" s="1599">
        <f>$E$56*EM56</f>
        <v>288.50586301369867</v>
      </c>
      <c r="EN57" s="1599"/>
      <c r="EO57" s="1599"/>
      <c r="EP57" s="1599"/>
      <c r="EQ57" s="1599">
        <f>$E$56*EQ56</f>
        <v>296.98586301369863</v>
      </c>
      <c r="ER57" s="1599"/>
      <c r="ES57" s="1599"/>
      <c r="ET57" s="1599"/>
      <c r="EU57" s="1599">
        <f>$E$56*EU56</f>
        <v>305.46586301369865</v>
      </c>
      <c r="EV57" s="1599"/>
      <c r="EW57" s="1599"/>
      <c r="EX57" s="1599"/>
      <c r="EY57" s="1599">
        <f>$E$56*EY56</f>
        <v>313.96909589041093</v>
      </c>
      <c r="EZ57" s="1599"/>
      <c r="FA57" s="1599"/>
      <c r="FB57" s="1599"/>
      <c r="FC57" s="1599">
        <f>$E$56*FC56</f>
        <v>322.44909589041094</v>
      </c>
      <c r="FD57" s="1599"/>
      <c r="FE57" s="1599"/>
      <c r="FF57" s="1599"/>
      <c r="FG57" s="1599">
        <f>$E$56*FG56</f>
        <v>330.92909589041096</v>
      </c>
      <c r="FH57" s="1599"/>
      <c r="FI57" s="1599"/>
      <c r="FJ57" s="1599"/>
      <c r="FK57" s="1599">
        <f>$E$56*FK56</f>
        <v>339.40909589041092</v>
      </c>
      <c r="FL57" s="1599"/>
      <c r="FM57" s="1599"/>
      <c r="FN57" s="1599"/>
      <c r="FO57" s="1599">
        <f>$E$56*FO56</f>
        <v>347.91232876712331</v>
      </c>
      <c r="FP57" s="1599"/>
      <c r="FQ57" s="1599"/>
      <c r="FR57" s="1599"/>
      <c r="FS57" s="1599">
        <f>$E$56*FS56</f>
        <v>356.39232876712327</v>
      </c>
      <c r="FT57" s="1599"/>
      <c r="FU57" s="1599"/>
      <c r="FV57" s="1599"/>
      <c r="FW57" s="1599">
        <f>$E$56*FW56</f>
        <v>364.87232876712329</v>
      </c>
      <c r="FX57" s="1599"/>
      <c r="FY57" s="1599"/>
      <c r="FZ57" s="1599"/>
      <c r="GA57" s="1599">
        <f>$E$56*GA56</f>
        <v>373.35232876712331</v>
      </c>
      <c r="GB57" s="1599"/>
      <c r="GC57" s="1599"/>
      <c r="GD57" s="1599"/>
      <c r="GE57" s="1599"/>
      <c r="GF57" s="1599"/>
      <c r="GG57" s="1599"/>
      <c r="GH57" s="1599"/>
      <c r="GI57" s="1599">
        <f>$E$56*GI56</f>
        <v>-977.98794520547949</v>
      </c>
      <c r="GJ57" s="1599"/>
      <c r="GK57" s="1599"/>
      <c r="GL57" s="1599"/>
      <c r="GM57" s="1599"/>
      <c r="GN57" s="1599"/>
      <c r="GO57" s="1599"/>
      <c r="GP57" s="1599"/>
      <c r="GQ57" s="1599"/>
      <c r="GR57" s="1599"/>
      <c r="GS57" s="1599"/>
      <c r="GT57" s="1599"/>
    </row>
    <row r="58" spans="2:202" ht="17.100000000000001" customHeight="1">
      <c r="F58" s="1599"/>
      <c r="W58" s="1599"/>
      <c r="X58" s="1599"/>
      <c r="Y58" s="1599"/>
      <c r="Z58" s="1599"/>
      <c r="AA58" s="1599"/>
      <c r="AB58" s="1599"/>
      <c r="AC58" s="495"/>
      <c r="AD58" s="495"/>
      <c r="AE58" s="495"/>
      <c r="AF58" s="495"/>
      <c r="AG58" s="495"/>
      <c r="AH58" s="495"/>
      <c r="AI58" s="495"/>
      <c r="AJ58" s="495"/>
      <c r="AK58" s="495"/>
      <c r="AL58" s="495"/>
      <c r="AM58" s="495"/>
      <c r="AN58" s="495"/>
      <c r="AO58" s="495"/>
      <c r="AP58" s="495"/>
      <c r="AQ58" s="495"/>
      <c r="AR58" s="495"/>
      <c r="AS58" s="495"/>
      <c r="AT58" s="495"/>
      <c r="AU58" s="494"/>
      <c r="AV58" s="1599"/>
      <c r="AW58" s="1599"/>
      <c r="DK58" s="1599">
        <f ca="1">DK57-DK55</f>
        <v>-429.12134397760514</v>
      </c>
      <c r="DO58" s="1599">
        <f ca="1">DO57-DO55</f>
        <v>-505.56380800699606</v>
      </c>
      <c r="DS58" s="1599">
        <f ca="1">DS57-DS55</f>
        <v>-599.2156553879372</v>
      </c>
      <c r="DW58" s="1599">
        <f ca="1">DW57-DW55</f>
        <v>-699.11666478940901</v>
      </c>
      <c r="EA58" s="1599">
        <f ca="1">EA57-EA55</f>
        <v>-795.58733312141214</v>
      </c>
      <c r="EE58" s="1599">
        <f ca="1">EE57-EE55</f>
        <v>-881.09647399681899</v>
      </c>
      <c r="EI58" s="1599">
        <f ca="1">EI57-EI55</f>
        <v>-934.29498051103906</v>
      </c>
      <c r="EM58" s="1599">
        <f ca="1">EM57-EM55</f>
        <v>-995.74919962841955</v>
      </c>
      <c r="EQ58" s="1599">
        <f ca="1">EQ57-EQ55</f>
        <v>-1050.1826533395135</v>
      </c>
      <c r="EU58" s="1599">
        <f ca="1">EU57-EU55</f>
        <v>-1109.6736155875219</v>
      </c>
      <c r="EY58" s="1599">
        <f ca="1">EY57-EY55</f>
        <v>-1177.7132595159992</v>
      </c>
      <c r="FC58" s="1599">
        <f ca="1">FC57-FC55</f>
        <v>-1243.3576484429636</v>
      </c>
      <c r="FG58" s="1599">
        <f ca="1">FG57-FG55</f>
        <v>-1309.5840167103336</v>
      </c>
      <c r="FK58" s="1599">
        <f ca="1">FK57-FK55</f>
        <v>-1387.776827128575</v>
      </c>
      <c r="FO58" s="1599">
        <f ca="1">FO57-FO55</f>
        <v>-1466.2275429111496</v>
      </c>
      <c r="FS58" s="1599">
        <f ca="1">FS57-FS55</f>
        <v>-1546.6106101510227</v>
      </c>
      <c r="FW58" s="1599">
        <f ca="1">FW57-FW55</f>
        <v>-1634.504788570682</v>
      </c>
      <c r="GA58" s="1599">
        <f ca="1">GA57-GA55</f>
        <v>-1723.4066944907581</v>
      </c>
    </row>
    <row r="59" spans="2:202" ht="17.100000000000001" customHeight="1">
      <c r="F59" s="1599"/>
      <c r="W59" s="1599"/>
      <c r="X59" s="1599"/>
      <c r="Y59" s="1599"/>
      <c r="Z59" s="1599"/>
      <c r="AA59" s="1599"/>
      <c r="AB59" s="1599"/>
      <c r="AC59" s="495"/>
      <c r="AD59" s="495"/>
      <c r="AE59" s="495"/>
      <c r="AF59" s="495"/>
      <c r="AG59" s="495"/>
      <c r="AH59" s="495"/>
      <c r="AI59" s="495"/>
      <c r="AJ59" s="495"/>
      <c r="AK59" s="495"/>
      <c r="AL59" s="495"/>
      <c r="AM59" s="495"/>
      <c r="AN59" s="495"/>
      <c r="AO59" s="495"/>
      <c r="AP59" s="495"/>
      <c r="AQ59" s="495"/>
      <c r="AR59" s="495"/>
      <c r="AS59" s="495"/>
      <c r="AT59" s="495"/>
      <c r="AU59" s="1601"/>
      <c r="AV59" s="788"/>
      <c r="AW59" s="788"/>
      <c r="AX59" s="788"/>
      <c r="AY59" s="788"/>
      <c r="AZ59" s="788"/>
      <c r="BA59" s="788"/>
      <c r="BB59" s="788"/>
      <c r="BC59" s="788"/>
      <c r="BD59" s="788"/>
      <c r="BE59" s="788"/>
      <c r="BF59" s="788"/>
      <c r="BG59" s="788"/>
      <c r="BH59" s="788"/>
      <c r="BI59" s="788"/>
      <c r="BJ59" s="788"/>
      <c r="BK59" s="788"/>
      <c r="BL59" s="788"/>
      <c r="BM59" s="788"/>
      <c r="BN59" s="788"/>
      <c r="BO59" s="788"/>
      <c r="BP59" s="788"/>
      <c r="BQ59" s="788"/>
      <c r="BR59" s="788"/>
      <c r="BS59" s="788"/>
      <c r="BT59" s="788"/>
      <c r="BU59" s="788"/>
      <c r="BV59" s="788"/>
      <c r="BW59" s="788"/>
      <c r="BX59" s="788"/>
      <c r="BY59" s="788"/>
      <c r="BZ59" s="788"/>
      <c r="CA59" s="788"/>
      <c r="CB59" s="788"/>
      <c r="CC59" s="788"/>
      <c r="CD59" s="788"/>
      <c r="CE59" s="788"/>
      <c r="CF59" s="788"/>
      <c r="CG59" s="788"/>
      <c r="CH59" s="788"/>
      <c r="CI59" s="788"/>
      <c r="CJ59" s="788"/>
      <c r="CK59" s="788"/>
      <c r="CL59" s="788"/>
      <c r="CM59" s="788"/>
      <c r="CN59" s="788"/>
      <c r="CO59" s="788"/>
      <c r="CP59" s="788"/>
      <c r="CQ59" s="788"/>
      <c r="CR59" s="788"/>
      <c r="CS59" s="788"/>
      <c r="CT59" s="788"/>
      <c r="CU59" s="788"/>
      <c r="CV59" s="788"/>
      <c r="CW59" s="788"/>
      <c r="CX59" s="788"/>
      <c r="CY59" s="788"/>
      <c r="CZ59" s="788"/>
      <c r="DA59" s="788"/>
      <c r="DB59" s="788"/>
      <c r="DC59" s="788"/>
      <c r="DD59" s="788"/>
      <c r="DE59" s="788"/>
      <c r="DF59" s="788"/>
      <c r="DG59" s="788"/>
      <c r="DH59" s="788"/>
      <c r="DI59" s="788"/>
      <c r="DJ59" s="788"/>
      <c r="DK59" s="788"/>
      <c r="DL59" s="788"/>
      <c r="DM59" s="788"/>
      <c r="DN59" s="788"/>
      <c r="DO59" s="788"/>
      <c r="DP59" s="788"/>
      <c r="DQ59" s="788"/>
      <c r="DR59" s="788"/>
      <c r="DS59" s="788"/>
      <c r="DT59" s="788"/>
      <c r="DU59" s="788"/>
      <c r="DV59" s="788"/>
      <c r="DW59" s="788"/>
      <c r="DX59" s="788"/>
      <c r="DY59" s="788"/>
      <c r="DZ59" s="788"/>
      <c r="EA59" s="788"/>
      <c r="EB59" s="788"/>
      <c r="EC59" s="788"/>
      <c r="ED59" s="788"/>
      <c r="EE59" s="788"/>
      <c r="EF59" s="788"/>
      <c r="EG59" s="788"/>
      <c r="EH59" s="788"/>
      <c r="EI59" s="788"/>
      <c r="EJ59" s="788"/>
      <c r="EK59" s="788"/>
      <c r="EL59" s="788"/>
      <c r="EM59" s="788"/>
      <c r="EN59" s="788"/>
      <c r="EO59" s="788"/>
      <c r="EP59" s="788"/>
      <c r="EQ59" s="788"/>
      <c r="ER59" s="788"/>
      <c r="ES59" s="788"/>
      <c r="ET59" s="788"/>
      <c r="EU59" s="788"/>
      <c r="EV59" s="788"/>
      <c r="EW59" s="788"/>
      <c r="EX59" s="788"/>
      <c r="EY59" s="788"/>
      <c r="EZ59" s="788"/>
      <c r="FA59" s="788"/>
      <c r="FB59" s="788"/>
      <c r="FC59" s="788"/>
      <c r="FD59" s="788"/>
      <c r="FE59" s="788"/>
      <c r="FF59" s="788"/>
      <c r="FG59" s="788"/>
      <c r="FH59" s="788"/>
      <c r="FI59" s="788"/>
      <c r="FJ59" s="788"/>
      <c r="FK59" s="788"/>
      <c r="FL59" s="788"/>
      <c r="FM59" s="788"/>
      <c r="FN59" s="788"/>
      <c r="FO59" s="788"/>
      <c r="FP59" s="788"/>
      <c r="FQ59" s="788"/>
      <c r="FR59" s="788"/>
      <c r="FS59" s="788"/>
      <c r="FT59" s="788"/>
      <c r="FU59" s="788"/>
      <c r="FV59" s="788"/>
      <c r="FW59" s="788"/>
      <c r="FX59" s="788"/>
      <c r="FY59" s="788"/>
      <c r="FZ59" s="788"/>
      <c r="GA59" s="788"/>
      <c r="GB59" s="788"/>
      <c r="GC59" s="788"/>
      <c r="GD59" s="788"/>
    </row>
    <row r="60" spans="2:202" ht="17.100000000000001" customHeight="1">
      <c r="F60" s="1598"/>
      <c r="W60" s="1598"/>
      <c r="X60" s="1598"/>
      <c r="Y60" s="1598"/>
      <c r="Z60" s="1598"/>
      <c r="AA60" s="1598"/>
      <c r="AB60" s="1598"/>
      <c r="AC60" s="1598"/>
      <c r="AD60" s="1598"/>
      <c r="AE60" s="1598"/>
      <c r="AF60" s="1598"/>
      <c r="AG60" s="1598"/>
      <c r="AH60" s="1598"/>
      <c r="AI60" s="1598"/>
      <c r="AJ60" s="1598"/>
      <c r="AK60" s="1598"/>
      <c r="AL60" s="1598"/>
      <c r="AM60" s="1598"/>
      <c r="AN60" s="1598"/>
      <c r="AO60" s="1598"/>
      <c r="AP60" s="1598"/>
      <c r="AQ60" s="1598"/>
      <c r="AR60" s="1598"/>
      <c r="AS60" s="1598"/>
      <c r="AT60" s="1598"/>
      <c r="AU60" s="788"/>
      <c r="AV60" s="788"/>
      <c r="AW60" s="788"/>
      <c r="AX60" s="788"/>
      <c r="AY60" s="788"/>
      <c r="AZ60" s="788"/>
      <c r="BA60" s="788"/>
      <c r="BB60" s="788"/>
      <c r="BC60" s="788"/>
      <c r="BD60" s="788"/>
      <c r="BE60" s="788"/>
      <c r="BF60" s="788"/>
      <c r="BG60" s="788"/>
      <c r="BH60" s="788"/>
      <c r="BI60" s="788"/>
      <c r="BJ60" s="788"/>
      <c r="BK60" s="788"/>
      <c r="BL60" s="788"/>
      <c r="BM60" s="788"/>
      <c r="BN60" s="788"/>
      <c r="BO60" s="788"/>
      <c r="BP60" s="788"/>
      <c r="BQ60" s="788"/>
      <c r="BR60" s="788"/>
      <c r="BS60" s="788"/>
      <c r="BT60" s="788"/>
      <c r="BU60" s="788"/>
      <c r="BV60" s="788"/>
      <c r="BW60" s="788"/>
      <c r="BX60" s="788"/>
      <c r="BY60" s="788"/>
      <c r="BZ60" s="788"/>
      <c r="CA60" s="788"/>
      <c r="CB60" s="788"/>
      <c r="CC60" s="788"/>
      <c r="CD60" s="788"/>
      <c r="CE60" s="788"/>
      <c r="CF60" s="788"/>
      <c r="CG60" s="788"/>
      <c r="CH60" s="788"/>
      <c r="CI60" s="788"/>
      <c r="CJ60" s="788"/>
      <c r="CK60" s="788"/>
      <c r="CL60" s="788"/>
      <c r="CM60" s="788"/>
      <c r="CN60" s="788"/>
      <c r="CO60" s="788"/>
      <c r="CP60" s="788"/>
      <c r="CQ60" s="788"/>
      <c r="CR60" s="788"/>
      <c r="CS60" s="788"/>
      <c r="CT60" s="788"/>
      <c r="CU60" s="788"/>
      <c r="CV60" s="788"/>
      <c r="CW60" s="788"/>
      <c r="CX60" s="788"/>
      <c r="CY60" s="788"/>
      <c r="CZ60" s="788"/>
      <c r="DA60" s="788"/>
      <c r="DB60" s="788"/>
      <c r="DC60" s="788"/>
      <c r="DD60" s="788"/>
      <c r="DE60" s="788"/>
      <c r="DF60" s="788"/>
      <c r="DG60" s="788"/>
      <c r="DH60" s="788"/>
      <c r="DI60" s="788"/>
      <c r="DJ60" s="788"/>
      <c r="DK60" s="788"/>
      <c r="DL60" s="788"/>
      <c r="DM60" s="788"/>
      <c r="DN60" s="788"/>
      <c r="DO60" s="788"/>
      <c r="DP60" s="788"/>
      <c r="DQ60" s="788"/>
      <c r="DR60" s="788"/>
      <c r="DS60" s="788"/>
      <c r="DT60" s="788"/>
      <c r="DU60" s="788"/>
      <c r="DV60" s="788"/>
      <c r="DW60" s="788"/>
      <c r="DX60" s="788"/>
      <c r="DY60" s="788"/>
      <c r="DZ60" s="788"/>
      <c r="EA60" s="788"/>
      <c r="EB60" s="788"/>
      <c r="EC60" s="788"/>
      <c r="ED60" s="788"/>
      <c r="EE60" s="788"/>
      <c r="EF60" s="788"/>
      <c r="EG60" s="788"/>
      <c r="EH60" s="788"/>
      <c r="EI60" s="788"/>
      <c r="EJ60" s="788"/>
      <c r="EK60" s="788"/>
      <c r="EL60" s="788"/>
      <c r="EM60" s="788"/>
      <c r="EN60" s="788"/>
      <c r="EO60" s="788"/>
      <c r="EP60" s="788"/>
      <c r="EQ60" s="788"/>
      <c r="ER60" s="788"/>
      <c r="ES60" s="788"/>
      <c r="ET60" s="788"/>
      <c r="EU60" s="788"/>
      <c r="EV60" s="788"/>
      <c r="EW60" s="788"/>
      <c r="EX60" s="788"/>
      <c r="EY60" s="788"/>
      <c r="EZ60" s="788"/>
      <c r="FA60" s="788"/>
      <c r="FB60" s="788"/>
      <c r="FC60" s="788"/>
      <c r="FD60" s="788"/>
      <c r="FE60" s="788"/>
      <c r="FF60" s="788"/>
      <c r="FG60" s="788"/>
      <c r="FH60" s="788"/>
      <c r="FI60" s="788"/>
      <c r="FJ60" s="788"/>
      <c r="FK60" s="788"/>
      <c r="FL60" s="788"/>
      <c r="FM60" s="788"/>
      <c r="FN60" s="788"/>
      <c r="FO60" s="788"/>
      <c r="FP60" s="788"/>
      <c r="FQ60" s="788"/>
      <c r="FR60" s="788"/>
      <c r="FS60" s="788"/>
      <c r="FT60" s="788"/>
      <c r="FU60" s="788"/>
      <c r="FV60" s="788"/>
      <c r="FW60" s="788"/>
      <c r="FX60" s="788"/>
      <c r="FY60" s="788"/>
      <c r="FZ60" s="788"/>
      <c r="GA60" s="788"/>
      <c r="GB60" s="788"/>
      <c r="GC60" s="788"/>
      <c r="GD60" s="788"/>
    </row>
    <row r="61" spans="2:202" ht="17.100000000000001" customHeight="1">
      <c r="E61" s="1602"/>
      <c r="AD61" s="644"/>
      <c r="AE61" s="644"/>
      <c r="AF61" s="644"/>
      <c r="AG61" s="644"/>
      <c r="AH61" s="644"/>
      <c r="AI61" s="644"/>
      <c r="AJ61" s="644"/>
      <c r="AK61" s="644"/>
      <c r="AL61" s="644"/>
      <c r="AM61" s="644"/>
      <c r="AN61" s="644"/>
      <c r="AO61" s="644"/>
      <c r="AP61" s="644"/>
      <c r="AQ61" s="644"/>
      <c r="AR61" s="644"/>
      <c r="AS61" s="644"/>
      <c r="AT61" s="644"/>
      <c r="AU61" s="788"/>
      <c r="AV61" s="788"/>
      <c r="AW61" s="788"/>
      <c r="AX61" s="788"/>
      <c r="AY61" s="788"/>
      <c r="AZ61" s="788"/>
      <c r="BA61" s="788"/>
      <c r="BB61" s="788"/>
      <c r="BC61" s="788"/>
      <c r="BD61" s="788"/>
      <c r="BE61" s="788"/>
      <c r="BF61" s="788"/>
      <c r="BG61" s="788"/>
      <c r="BH61" s="788"/>
      <c r="BI61" s="788"/>
      <c r="BJ61" s="788"/>
      <c r="BK61" s="788"/>
      <c r="BL61" s="788"/>
      <c r="BM61" s="788"/>
      <c r="BN61" s="788"/>
      <c r="BO61" s="788"/>
      <c r="BP61" s="788"/>
      <c r="BQ61" s="788"/>
      <c r="BR61" s="788"/>
      <c r="BS61" s="788"/>
      <c r="BT61" s="788"/>
      <c r="BU61" s="788"/>
      <c r="BV61" s="788"/>
      <c r="BW61" s="788"/>
      <c r="BX61" s="788"/>
      <c r="BY61" s="788"/>
      <c r="BZ61" s="788"/>
      <c r="CA61" s="788"/>
      <c r="CB61" s="788"/>
      <c r="CC61" s="788"/>
      <c r="CD61" s="788"/>
      <c r="CE61" s="788"/>
      <c r="CF61" s="788"/>
      <c r="CG61" s="788"/>
      <c r="CH61" s="788"/>
      <c r="CI61" s="788"/>
      <c r="CJ61" s="788"/>
      <c r="CK61" s="788"/>
      <c r="CL61" s="788"/>
      <c r="CM61" s="788"/>
      <c r="CN61" s="788"/>
      <c r="CO61" s="788"/>
      <c r="CP61" s="788"/>
      <c r="CQ61" s="788"/>
      <c r="CR61" s="788"/>
      <c r="CS61" s="788"/>
      <c r="CT61" s="788"/>
      <c r="CU61" s="788"/>
      <c r="CV61" s="788"/>
      <c r="CW61" s="788"/>
      <c r="CX61" s="788"/>
      <c r="CY61" s="788"/>
      <c r="CZ61" s="788"/>
      <c r="DA61" s="788"/>
      <c r="DB61" s="788"/>
      <c r="DC61" s="788"/>
      <c r="DD61" s="788"/>
      <c r="DE61" s="788"/>
      <c r="DF61" s="788"/>
      <c r="DG61" s="788"/>
      <c r="DH61" s="788"/>
      <c r="DI61" s="788"/>
      <c r="DJ61" s="788"/>
      <c r="DK61" s="788"/>
      <c r="DL61" s="788"/>
      <c r="DM61" s="788"/>
      <c r="DN61" s="788"/>
      <c r="DO61" s="788"/>
      <c r="DP61" s="788"/>
      <c r="DQ61" s="788"/>
      <c r="DR61" s="788"/>
      <c r="DS61" s="788"/>
      <c r="DT61" s="788"/>
      <c r="DU61" s="788"/>
      <c r="DV61" s="788"/>
      <c r="DW61" s="788"/>
      <c r="DX61" s="788"/>
      <c r="DY61" s="788"/>
      <c r="DZ61" s="788"/>
      <c r="EA61" s="788"/>
      <c r="EB61" s="788"/>
      <c r="EC61" s="788"/>
      <c r="ED61" s="788"/>
      <c r="EE61" s="788"/>
      <c r="EF61" s="788"/>
      <c r="EG61" s="788"/>
      <c r="EH61" s="788"/>
      <c r="EI61" s="788"/>
      <c r="EJ61" s="788"/>
      <c r="EK61" s="788"/>
      <c r="EL61" s="788"/>
      <c r="EM61" s="788"/>
      <c r="EN61" s="788"/>
      <c r="EO61" s="788"/>
      <c r="EP61" s="788"/>
      <c r="EQ61" s="788"/>
      <c r="ER61" s="788"/>
      <c r="ES61" s="788"/>
      <c r="ET61" s="788"/>
      <c r="EU61" s="788"/>
      <c r="EV61" s="788"/>
      <c r="EW61" s="788"/>
      <c r="EX61" s="788"/>
      <c r="EY61" s="788"/>
      <c r="EZ61" s="788"/>
      <c r="FA61" s="788"/>
      <c r="FB61" s="788"/>
      <c r="FC61" s="788"/>
      <c r="FD61" s="788"/>
      <c r="FE61" s="788"/>
      <c r="FF61" s="788"/>
      <c r="FG61" s="788"/>
      <c r="FH61" s="788"/>
      <c r="FI61" s="788"/>
      <c r="FJ61" s="788"/>
      <c r="FK61" s="788"/>
      <c r="FL61" s="788"/>
      <c r="FM61" s="788"/>
      <c r="FN61" s="788"/>
      <c r="FO61" s="788"/>
      <c r="FP61" s="788"/>
      <c r="FQ61" s="788"/>
      <c r="FR61" s="788"/>
      <c r="FS61" s="788"/>
      <c r="FT61" s="788"/>
      <c r="FU61" s="788"/>
      <c r="FV61" s="788"/>
      <c r="FW61" s="788"/>
      <c r="FX61" s="788"/>
      <c r="FY61" s="788"/>
      <c r="FZ61" s="788"/>
      <c r="GA61" s="788"/>
      <c r="GB61" s="788"/>
      <c r="GC61" s="788"/>
      <c r="GD61" s="788"/>
    </row>
    <row r="62" spans="2:202" ht="17.100000000000001" customHeight="1">
      <c r="E62" s="1603"/>
      <c r="F62" s="1604"/>
      <c r="AB62" s="787"/>
      <c r="AC62" s="787"/>
      <c r="AD62" s="787"/>
      <c r="AE62" s="787"/>
      <c r="AF62" s="787"/>
      <c r="AG62" s="787"/>
      <c r="AH62" s="787"/>
      <c r="AI62" s="787"/>
      <c r="AJ62" s="787"/>
      <c r="AK62" s="787"/>
      <c r="AL62" s="787"/>
      <c r="AM62" s="787"/>
      <c r="AN62" s="787"/>
      <c r="AO62" s="787"/>
      <c r="AP62" s="787"/>
      <c r="AQ62" s="787"/>
      <c r="AR62" s="787"/>
      <c r="AS62" s="787"/>
      <c r="AT62" s="787"/>
      <c r="AU62" s="1197"/>
      <c r="AV62" s="788"/>
      <c r="AW62" s="788"/>
      <c r="AX62" s="788"/>
      <c r="AY62" s="788"/>
      <c r="AZ62" s="788"/>
      <c r="BA62" s="788"/>
      <c r="BB62" s="788"/>
      <c r="BC62" s="788"/>
      <c r="BD62" s="788"/>
      <c r="BE62" s="788"/>
      <c r="BF62" s="788"/>
      <c r="BG62" s="788"/>
      <c r="BH62" s="788"/>
      <c r="BI62" s="788"/>
      <c r="BJ62" s="788"/>
      <c r="BK62" s="788"/>
      <c r="BL62" s="788"/>
      <c r="BM62" s="788"/>
      <c r="BN62" s="788"/>
      <c r="BO62" s="788"/>
      <c r="BP62" s="788"/>
      <c r="BQ62" s="788"/>
      <c r="BR62" s="788"/>
      <c r="BS62" s="788"/>
      <c r="BT62" s="788"/>
      <c r="BU62" s="788"/>
      <c r="BV62" s="788"/>
      <c r="BW62" s="788"/>
      <c r="BX62" s="788"/>
      <c r="BY62" s="788"/>
      <c r="BZ62" s="788"/>
      <c r="CA62" s="788"/>
      <c r="CB62" s="788"/>
      <c r="CC62" s="788"/>
      <c r="CD62" s="788"/>
      <c r="CE62" s="788"/>
      <c r="CF62" s="788"/>
      <c r="CG62" s="788"/>
      <c r="CH62" s="788"/>
      <c r="CI62" s="788"/>
      <c r="CJ62" s="788"/>
      <c r="CK62" s="788"/>
      <c r="CL62" s="788"/>
      <c r="CM62" s="788"/>
      <c r="CN62" s="788"/>
      <c r="CO62" s="788"/>
      <c r="CP62" s="788"/>
      <c r="CQ62" s="788"/>
      <c r="CR62" s="788"/>
      <c r="CS62" s="788"/>
      <c r="CT62" s="788"/>
      <c r="CU62" s="788"/>
      <c r="CV62" s="788"/>
      <c r="CW62" s="788"/>
      <c r="CX62" s="788"/>
      <c r="CY62" s="788"/>
      <c r="CZ62" s="788"/>
      <c r="DA62" s="788"/>
      <c r="DB62" s="788"/>
      <c r="DC62" s="788"/>
      <c r="DD62" s="788"/>
      <c r="DE62" s="788"/>
      <c r="DF62" s="788"/>
      <c r="DG62" s="788"/>
      <c r="DH62" s="788"/>
      <c r="DI62" s="788"/>
      <c r="DJ62" s="788"/>
      <c r="DK62" s="788"/>
      <c r="DL62" s="788"/>
      <c r="DM62" s="788"/>
      <c r="DN62" s="788"/>
      <c r="DO62" s="788"/>
      <c r="DP62" s="788"/>
      <c r="DQ62" s="788"/>
      <c r="DR62" s="788"/>
      <c r="DS62" s="788"/>
      <c r="DT62" s="788"/>
      <c r="DU62" s="788"/>
      <c r="DV62" s="788"/>
      <c r="DW62" s="788"/>
      <c r="DX62" s="788"/>
      <c r="DY62" s="788"/>
      <c r="DZ62" s="788"/>
      <c r="EA62" s="788"/>
      <c r="EB62" s="788"/>
      <c r="EC62" s="788"/>
      <c r="ED62" s="788"/>
      <c r="EE62" s="788"/>
      <c r="EF62" s="788"/>
      <c r="EG62" s="788"/>
      <c r="EH62" s="788"/>
      <c r="EI62" s="788"/>
      <c r="EJ62" s="788"/>
      <c r="EK62" s="788"/>
      <c r="EL62" s="788"/>
      <c r="EM62" s="788"/>
      <c r="EN62" s="788"/>
      <c r="EO62" s="788"/>
      <c r="EP62" s="788"/>
      <c r="EQ62" s="788"/>
      <c r="ER62" s="788"/>
      <c r="ES62" s="788"/>
      <c r="ET62" s="788"/>
      <c r="EU62" s="788"/>
      <c r="EV62" s="788"/>
      <c r="EW62" s="788"/>
      <c r="EX62" s="788"/>
      <c r="EY62" s="788"/>
      <c r="EZ62" s="788"/>
      <c r="FA62" s="788"/>
      <c r="FB62" s="788"/>
      <c r="FC62" s="788"/>
      <c r="FD62" s="788"/>
      <c r="FE62" s="788"/>
      <c r="FF62" s="788"/>
      <c r="FG62" s="788"/>
      <c r="FH62" s="788"/>
      <c r="FI62" s="788"/>
      <c r="FJ62" s="788"/>
      <c r="FK62" s="788"/>
      <c r="FL62" s="788"/>
      <c r="FM62" s="788"/>
      <c r="FN62" s="788"/>
      <c r="FO62" s="788"/>
      <c r="FP62" s="788"/>
      <c r="FQ62" s="788"/>
      <c r="FR62" s="788"/>
      <c r="FS62" s="788"/>
      <c r="FT62" s="788"/>
      <c r="FU62" s="788"/>
      <c r="FV62" s="788"/>
      <c r="FW62" s="788"/>
      <c r="FX62" s="788"/>
      <c r="FY62" s="788"/>
      <c r="FZ62" s="788"/>
      <c r="GA62" s="788"/>
      <c r="GB62" s="788"/>
      <c r="GC62" s="788"/>
      <c r="GD62" s="788"/>
    </row>
    <row r="63" spans="2:202" ht="17.100000000000001" customHeight="1">
      <c r="AA63" s="653"/>
      <c r="AB63" s="653"/>
      <c r="AC63" s="653"/>
      <c r="AD63" s="653"/>
      <c r="AE63" s="653"/>
      <c r="AF63" s="653"/>
      <c r="AG63" s="653"/>
      <c r="AH63" s="653"/>
      <c r="AI63" s="653"/>
      <c r="AJ63" s="653"/>
      <c r="AK63" s="653"/>
      <c r="AL63" s="653"/>
      <c r="AM63" s="653"/>
      <c r="AN63" s="653"/>
      <c r="AO63" s="653"/>
      <c r="AP63" s="653"/>
      <c r="AQ63" s="653"/>
      <c r="AR63" s="653"/>
      <c r="AS63" s="653"/>
      <c r="AT63" s="653"/>
      <c r="AU63" s="714"/>
      <c r="AV63" s="714"/>
      <c r="AW63" s="714"/>
      <c r="AX63" s="714"/>
      <c r="AY63" s="714"/>
      <c r="AZ63" s="714"/>
      <c r="BA63" s="714"/>
      <c r="BB63" s="714"/>
      <c r="BC63" s="714"/>
      <c r="BD63" s="714"/>
      <c r="BE63" s="714"/>
      <c r="BF63" s="714"/>
      <c r="BG63" s="714"/>
      <c r="BH63" s="714"/>
      <c r="BI63" s="714"/>
      <c r="BJ63" s="714"/>
      <c r="BK63" s="714"/>
      <c r="BL63" s="714"/>
      <c r="BM63" s="714"/>
      <c r="BN63" s="714"/>
      <c r="BO63" s="714"/>
      <c r="BP63" s="714"/>
      <c r="BQ63" s="714"/>
      <c r="BR63" s="714"/>
      <c r="BS63" s="714"/>
      <c r="BT63" s="714"/>
      <c r="BU63" s="714"/>
      <c r="BV63" s="714"/>
      <c r="BW63" s="714"/>
      <c r="BX63" s="714"/>
      <c r="BY63" s="714"/>
      <c r="BZ63" s="714"/>
      <c r="CA63" s="714"/>
      <c r="CB63" s="714"/>
      <c r="CC63" s="714"/>
      <c r="CD63" s="714"/>
      <c r="CE63" s="714"/>
      <c r="CF63" s="714"/>
      <c r="CG63" s="714"/>
      <c r="CH63" s="714"/>
      <c r="CI63" s="714"/>
      <c r="CJ63" s="714"/>
      <c r="CK63" s="714"/>
      <c r="CL63" s="714"/>
      <c r="CM63" s="714"/>
      <c r="CN63" s="714"/>
      <c r="CO63" s="714"/>
      <c r="CP63" s="714"/>
      <c r="CQ63" s="714"/>
      <c r="CR63" s="714"/>
      <c r="CS63" s="714"/>
      <c r="CT63" s="714"/>
      <c r="CU63" s="714"/>
      <c r="CV63" s="714"/>
      <c r="CW63" s="714"/>
      <c r="CX63" s="714"/>
      <c r="CY63" s="714"/>
      <c r="CZ63" s="714"/>
      <c r="DA63" s="714"/>
      <c r="DB63" s="714"/>
      <c r="DC63" s="714"/>
      <c r="DD63" s="714"/>
      <c r="DE63" s="714"/>
      <c r="DF63" s="714"/>
      <c r="DG63" s="714"/>
      <c r="DH63" s="714"/>
      <c r="DI63" s="714"/>
      <c r="DJ63" s="714"/>
      <c r="DK63" s="714"/>
      <c r="DL63" s="714"/>
      <c r="DM63" s="714"/>
      <c r="DN63" s="714"/>
      <c r="DO63" s="714"/>
      <c r="DP63" s="714"/>
      <c r="DQ63" s="714"/>
      <c r="DR63" s="714"/>
      <c r="DS63" s="714"/>
      <c r="DT63" s="714"/>
      <c r="DU63" s="714"/>
      <c r="DV63" s="714"/>
      <c r="DW63" s="714"/>
      <c r="DX63" s="714"/>
      <c r="DY63" s="714"/>
      <c r="DZ63" s="714"/>
      <c r="EA63" s="714"/>
      <c r="EB63" s="714"/>
      <c r="EC63" s="714"/>
      <c r="ED63" s="714"/>
      <c r="EE63" s="714"/>
      <c r="EF63" s="714"/>
      <c r="EG63" s="714"/>
      <c r="EH63" s="714"/>
      <c r="EI63" s="714"/>
      <c r="EJ63" s="714"/>
      <c r="EK63" s="714"/>
      <c r="EL63" s="714"/>
      <c r="EM63" s="714"/>
      <c r="EN63" s="714"/>
      <c r="EO63" s="714"/>
      <c r="EP63" s="714"/>
      <c r="EQ63" s="714"/>
      <c r="ER63" s="714"/>
      <c r="ES63" s="714"/>
      <c r="ET63" s="714"/>
      <c r="EU63" s="714"/>
      <c r="EV63" s="714"/>
      <c r="EW63" s="714"/>
      <c r="EX63" s="714"/>
      <c r="EY63" s="714"/>
      <c r="EZ63" s="714"/>
      <c r="FA63" s="714"/>
      <c r="FB63" s="714"/>
      <c r="FC63" s="714"/>
      <c r="FD63" s="714"/>
      <c r="FE63" s="714"/>
      <c r="FF63" s="714"/>
      <c r="FG63" s="714"/>
      <c r="FH63" s="714"/>
      <c r="FI63" s="714"/>
      <c r="FJ63" s="714"/>
      <c r="FK63" s="714"/>
      <c r="FL63" s="714"/>
      <c r="FM63" s="714"/>
      <c r="FN63" s="714"/>
      <c r="FO63" s="714"/>
      <c r="FP63" s="714"/>
      <c r="FQ63" s="714"/>
      <c r="FR63" s="714"/>
      <c r="FS63" s="714"/>
      <c r="FT63" s="714"/>
      <c r="FU63" s="714"/>
      <c r="FV63" s="714"/>
      <c r="FW63" s="714"/>
      <c r="FX63" s="714"/>
      <c r="FY63" s="714"/>
      <c r="FZ63" s="714"/>
      <c r="GA63" s="714"/>
      <c r="GB63" s="714"/>
      <c r="GC63" s="714"/>
      <c r="GD63" s="714"/>
    </row>
  </sheetData>
  <mergeCells count="2">
    <mergeCell ref="B3:E5"/>
    <mergeCell ref="F3:F5"/>
  </mergeCells>
  <phoneticPr fontId="12" type="noConversion"/>
  <pageMargins left="0.59055118110236227" right="0.59055118110236227" top="0.59055118110236227" bottom="0.59055118110236227" header="0.51181102362204722" footer="0.39370078740157483"/>
  <pageSetup paperSize="8" scale="85" firstPageNumber="10" orientation="landscape" useFirstPageNumber="1" r:id="rId1"/>
  <headerFooter alignWithMargins="0">
    <oddFooter>&amp;RⅢ -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2E0A9-3905-4C70-9C6B-46FF3040ECA4}">
  <sheetPr codeName="Sheet28"/>
  <dimension ref="A1:GU122"/>
  <sheetViews>
    <sheetView showGridLines="0" zoomScale="88" zoomScaleNormal="88" workbookViewId="0">
      <pane xSplit="12" ySplit="4" topLeftCell="M26" activePane="bottomRight" state="frozen"/>
      <selection activeCell="C10" sqref="C10"/>
      <selection pane="topRight" activeCell="C10" sqref="C10"/>
      <selection pane="bottomLeft" activeCell="C10" sqref="C10"/>
      <selection pane="bottomRight" activeCell="G56" sqref="G56"/>
    </sheetView>
  </sheetViews>
  <sheetFormatPr defaultColWidth="0" defaultRowHeight="12" outlineLevelCol="1"/>
  <cols>
    <col min="1" max="1" width="1.77734375" style="302" customWidth="1"/>
    <col min="2" max="2" width="1.5546875" style="302" customWidth="1"/>
    <col min="3" max="3" width="4.88671875" style="302" customWidth="1"/>
    <col min="4" max="4" width="15.6640625" style="302" customWidth="1"/>
    <col min="5" max="5" width="4.44140625" style="302" customWidth="1"/>
    <col min="6" max="6" width="8.44140625" style="302" customWidth="1"/>
    <col min="7" max="12" width="6.33203125" style="302" customWidth="1" outlineLevel="1"/>
    <col min="13" max="18" width="6.33203125" style="302" customWidth="1"/>
    <col min="19" max="22" width="6.88671875" style="302" customWidth="1"/>
    <col min="23" max="26" width="7" style="302" customWidth="1"/>
    <col min="27" max="27" width="7" style="302" customWidth="1" collapsed="1"/>
    <col min="28" max="30" width="7" style="302" customWidth="1"/>
    <col min="31" max="31" width="7" style="302" customWidth="1" collapsed="1"/>
    <col min="32" max="56" width="7" style="302" customWidth="1"/>
    <col min="57" max="202" width="7" style="302" hidden="1" customWidth="1"/>
    <col min="203" max="203" width="9.77734375" style="302" hidden="1" customWidth="1"/>
    <col min="204" max="16384" width="8.88671875" style="302" hidden="1"/>
  </cols>
  <sheetData>
    <row r="1" spans="1:55">
      <c r="M1" s="302" t="b">
        <f ca="1">M2=M13</f>
        <v>0</v>
      </c>
      <c r="N1" s="302" t="b">
        <f t="shared" ref="N1:Q1" ca="1" si="0">N2=N13</f>
        <v>0</v>
      </c>
      <c r="O1" s="302" t="b">
        <f t="shared" ca="1" si="0"/>
        <v>0</v>
      </c>
      <c r="P1" s="302" t="b">
        <f t="shared" ca="1" si="0"/>
        <v>1</v>
      </c>
      <c r="Q1" s="302" t="b">
        <f t="shared" ca="1" si="0"/>
        <v>1</v>
      </c>
    </row>
    <row r="2" spans="1:55" ht="36" customHeight="1">
      <c r="M2" s="302">
        <f ca="1">MRG!P65/100000000</f>
        <v>90.635823873885059</v>
      </c>
      <c r="N2" s="302">
        <f ca="1">MRG!Q65/100000000</f>
        <v>112.80835386677002</v>
      </c>
      <c r="O2" s="302">
        <f ca="1">MRG!R65/100000000</f>
        <v>119.27230313059994</v>
      </c>
      <c r="P2" s="302">
        <f ca="1">MRG!S65/100000000</f>
        <v>114.21101101222435</v>
      </c>
      <c r="Q2" s="302">
        <f ca="1">MRG!T65/100000000</f>
        <v>44.146385692323996</v>
      </c>
    </row>
    <row r="3" spans="1:55" s="635" customFormat="1" ht="17.100000000000001" customHeight="1">
      <c r="A3" s="633"/>
      <c r="B3" s="634" t="s">
        <v>3699</v>
      </c>
    </row>
    <row r="4" spans="1:55" ht="17.100000000000001" customHeight="1">
      <c r="B4" s="717"/>
      <c r="C4" s="937"/>
      <c r="D4" s="718" t="s">
        <v>11</v>
      </c>
      <c r="E4" s="719"/>
      <c r="F4" s="719" t="s">
        <v>5100</v>
      </c>
      <c r="G4" s="719">
        <v>2015</v>
      </c>
      <c r="H4" s="719">
        <v>2016</v>
      </c>
      <c r="I4" s="719">
        <v>2017</v>
      </c>
      <c r="J4" s="719">
        <v>2018</v>
      </c>
      <c r="K4" s="766">
        <f>기준년도</f>
        <v>2019</v>
      </c>
      <c r="L4" s="766">
        <f t="shared" ref="L4:BC4" si="1">K4+1</f>
        <v>2020</v>
      </c>
      <c r="M4" s="766">
        <f t="shared" si="1"/>
        <v>2021</v>
      </c>
      <c r="N4" s="766">
        <f t="shared" si="1"/>
        <v>2022</v>
      </c>
      <c r="O4" s="766">
        <f t="shared" si="1"/>
        <v>2023</v>
      </c>
      <c r="P4" s="766">
        <f t="shared" si="1"/>
        <v>2024</v>
      </c>
      <c r="Q4" s="766">
        <f t="shared" si="1"/>
        <v>2025</v>
      </c>
      <c r="R4" s="766">
        <f t="shared" si="1"/>
        <v>2026</v>
      </c>
      <c r="S4" s="766">
        <f t="shared" si="1"/>
        <v>2027</v>
      </c>
      <c r="T4" s="766">
        <f t="shared" si="1"/>
        <v>2028</v>
      </c>
      <c r="U4" s="766">
        <f t="shared" si="1"/>
        <v>2029</v>
      </c>
      <c r="V4" s="766">
        <f t="shared" si="1"/>
        <v>2030</v>
      </c>
      <c r="W4" s="766">
        <f t="shared" si="1"/>
        <v>2031</v>
      </c>
      <c r="X4" s="766">
        <f t="shared" si="1"/>
        <v>2032</v>
      </c>
      <c r="Y4" s="766">
        <f t="shared" si="1"/>
        <v>2033</v>
      </c>
      <c r="Z4" s="766">
        <f t="shared" si="1"/>
        <v>2034</v>
      </c>
      <c r="AA4" s="766">
        <f t="shared" si="1"/>
        <v>2035</v>
      </c>
      <c r="AB4" s="766">
        <f t="shared" si="1"/>
        <v>2036</v>
      </c>
      <c r="AC4" s="766">
        <f t="shared" si="1"/>
        <v>2037</v>
      </c>
      <c r="AD4" s="766">
        <f t="shared" si="1"/>
        <v>2038</v>
      </c>
      <c r="AE4" s="766">
        <f t="shared" si="1"/>
        <v>2039</v>
      </c>
      <c r="AF4" s="766">
        <f t="shared" si="1"/>
        <v>2040</v>
      </c>
      <c r="AG4" s="766">
        <f t="shared" si="1"/>
        <v>2041</v>
      </c>
      <c r="AH4" s="766">
        <f t="shared" si="1"/>
        <v>2042</v>
      </c>
      <c r="AI4" s="766">
        <f t="shared" si="1"/>
        <v>2043</v>
      </c>
      <c r="AJ4" s="766">
        <f t="shared" si="1"/>
        <v>2044</v>
      </c>
      <c r="AK4" s="766">
        <f t="shared" si="1"/>
        <v>2045</v>
      </c>
      <c r="AL4" s="766">
        <f t="shared" si="1"/>
        <v>2046</v>
      </c>
      <c r="AM4" s="766">
        <f t="shared" si="1"/>
        <v>2047</v>
      </c>
      <c r="AN4" s="766">
        <f t="shared" si="1"/>
        <v>2048</v>
      </c>
      <c r="AO4" s="766">
        <f t="shared" si="1"/>
        <v>2049</v>
      </c>
      <c r="AP4" s="766">
        <f t="shared" si="1"/>
        <v>2050</v>
      </c>
      <c r="AQ4" s="766">
        <f t="shared" si="1"/>
        <v>2051</v>
      </c>
      <c r="AR4" s="766">
        <f t="shared" si="1"/>
        <v>2052</v>
      </c>
      <c r="AS4" s="766">
        <f t="shared" si="1"/>
        <v>2053</v>
      </c>
      <c r="AT4" s="766">
        <f t="shared" si="1"/>
        <v>2054</v>
      </c>
      <c r="AU4" s="766">
        <f t="shared" si="1"/>
        <v>2055</v>
      </c>
      <c r="AV4" s="766">
        <f t="shared" si="1"/>
        <v>2056</v>
      </c>
      <c r="AW4" s="766">
        <f t="shared" si="1"/>
        <v>2057</v>
      </c>
      <c r="AX4" s="766">
        <f t="shared" si="1"/>
        <v>2058</v>
      </c>
      <c r="AY4" s="766">
        <f t="shared" si="1"/>
        <v>2059</v>
      </c>
      <c r="AZ4" s="766">
        <f t="shared" si="1"/>
        <v>2060</v>
      </c>
      <c r="BA4" s="766">
        <f t="shared" si="1"/>
        <v>2061</v>
      </c>
      <c r="BB4" s="766">
        <f t="shared" si="1"/>
        <v>2062</v>
      </c>
      <c r="BC4" s="766">
        <f t="shared" si="1"/>
        <v>2063</v>
      </c>
    </row>
    <row r="5" spans="1:55" ht="17.100000000000001" customHeight="1">
      <c r="B5" s="720" t="s">
        <v>1301</v>
      </c>
      <c r="C5" s="315"/>
      <c r="D5" s="1259"/>
      <c r="E5" s="722"/>
      <c r="F5" s="1260">
        <f t="shared" ref="F5:F45" ca="1" si="2">SUM(M5:BC5)</f>
        <v>4806.3242477082722</v>
      </c>
      <c r="G5" s="1606">
        <f t="shared" ref="G5:BC5" si="3">G6-G14</f>
        <v>7.0457084745557381</v>
      </c>
      <c r="H5" s="1606">
        <f t="shared" si="3"/>
        <v>246.75847778535405</v>
      </c>
      <c r="I5" s="1606">
        <f t="shared" si="3"/>
        <v>220.10340070255421</v>
      </c>
      <c r="J5" s="1606">
        <f t="shared" si="3"/>
        <v>202.71589556600003</v>
      </c>
      <c r="K5" s="1606">
        <f t="shared" ca="1" si="3"/>
        <v>23.417358350090154</v>
      </c>
      <c r="L5" s="1606">
        <f t="shared" ca="1" si="3"/>
        <v>272.05052182715809</v>
      </c>
      <c r="M5" s="1491">
        <f t="shared" ca="1" si="3"/>
        <v>158.46125829812857</v>
      </c>
      <c r="N5" s="1491">
        <f t="shared" ca="1" si="3"/>
        <v>170.35058506000001</v>
      </c>
      <c r="O5" s="1491">
        <f t="shared" ca="1" si="3"/>
        <v>180.19427690546541</v>
      </c>
      <c r="P5" s="1491">
        <f t="shared" ca="1" si="3"/>
        <v>158.53131865722645</v>
      </c>
      <c r="Q5" s="1491">
        <f t="shared" ca="1" si="3"/>
        <v>207.5366764673081</v>
      </c>
      <c r="R5" s="1491">
        <f t="shared" ca="1" si="3"/>
        <v>148.625027335971</v>
      </c>
      <c r="S5" s="1491">
        <f t="shared" ca="1" si="3"/>
        <v>70.509831421736067</v>
      </c>
      <c r="T5" s="1491">
        <f t="shared" ca="1" si="3"/>
        <v>65.658232884076455</v>
      </c>
      <c r="U5" s="1491">
        <f t="shared" ca="1" si="3"/>
        <v>64.507034526290454</v>
      </c>
      <c r="V5" s="1491">
        <f t="shared" ca="1" si="3"/>
        <v>86.016171456289413</v>
      </c>
      <c r="W5" s="1491">
        <f t="shared" ca="1" si="3"/>
        <v>76.552081665209585</v>
      </c>
      <c r="X5" s="1491">
        <f t="shared" ca="1" si="3"/>
        <v>84.096603132245093</v>
      </c>
      <c r="Y5" s="1491">
        <f t="shared" ca="1" si="3"/>
        <v>91.730092426491069</v>
      </c>
      <c r="Z5" s="1491">
        <f t="shared" ca="1" si="3"/>
        <v>90.153730375387624</v>
      </c>
      <c r="AA5" s="1491">
        <f t="shared" ca="1" si="3"/>
        <v>86.8035168780508</v>
      </c>
      <c r="AB5" s="1491">
        <f t="shared" ca="1" si="3"/>
        <v>104.21921804088424</v>
      </c>
      <c r="AC5" s="1491">
        <f t="shared" ca="1" si="3"/>
        <v>98.286122310260907</v>
      </c>
      <c r="AD5" s="1491">
        <f t="shared" ca="1" si="3"/>
        <v>98.212356842241604</v>
      </c>
      <c r="AE5" s="1491">
        <f t="shared" ca="1" si="3"/>
        <v>107.42919454162404</v>
      </c>
      <c r="AF5" s="1491">
        <f t="shared" ca="1" si="3"/>
        <v>112.41137463784833</v>
      </c>
      <c r="AG5" s="1491">
        <f t="shared" ca="1" si="3"/>
        <v>107.16525590317997</v>
      </c>
      <c r="AH5" s="1491">
        <f t="shared" ca="1" si="3"/>
        <v>125.84833135762585</v>
      </c>
      <c r="AI5" s="1491">
        <f t="shared" ca="1" si="3"/>
        <v>119.33215912221624</v>
      </c>
      <c r="AJ5" s="1491">
        <f t="shared" ca="1" si="3"/>
        <v>122.61254465735641</v>
      </c>
      <c r="AK5" s="1491">
        <f t="shared" ca="1" si="3"/>
        <v>130.34878879044732</v>
      </c>
      <c r="AL5" s="1491">
        <f t="shared" ca="1" si="3"/>
        <v>131.81940923273896</v>
      </c>
      <c r="AM5" s="1491">
        <f t="shared" ca="1" si="3"/>
        <v>125.9951344882752</v>
      </c>
      <c r="AN5" s="1491">
        <f t="shared" ca="1" si="3"/>
        <v>140.64134812405234</v>
      </c>
      <c r="AO5" s="1491">
        <f t="shared" ca="1" si="3"/>
        <v>126.81147886589861</v>
      </c>
      <c r="AP5" s="1491">
        <f t="shared" ca="1" si="3"/>
        <v>137.17588638481556</v>
      </c>
      <c r="AQ5" s="1491">
        <f t="shared" ca="1" si="3"/>
        <v>146.07189433831803</v>
      </c>
      <c r="AR5" s="1491">
        <f t="shared" ca="1" si="3"/>
        <v>138.34718073056115</v>
      </c>
      <c r="AS5" s="1491">
        <f t="shared" ca="1" si="3"/>
        <v>141.57812059558745</v>
      </c>
      <c r="AT5" s="1491">
        <f t="shared" ca="1" si="3"/>
        <v>157.18389077754352</v>
      </c>
      <c r="AU5" s="1491">
        <f t="shared" ca="1" si="3"/>
        <v>149.91765011158776</v>
      </c>
      <c r="AV5" s="1491">
        <f t="shared" ca="1" si="3"/>
        <v>151.71377152910918</v>
      </c>
      <c r="AW5" s="1491">
        <f t="shared" ca="1" si="3"/>
        <v>160.37395229252007</v>
      </c>
      <c r="AX5" s="1491">
        <f t="shared" ca="1" si="3"/>
        <v>156.28322240319585</v>
      </c>
      <c r="AY5" s="1491">
        <f t="shared" ca="1" si="3"/>
        <v>76.819524140507042</v>
      </c>
      <c r="AZ5" s="1491">
        <f t="shared" si="3"/>
        <v>0</v>
      </c>
      <c r="BA5" s="1491">
        <f t="shared" si="3"/>
        <v>0</v>
      </c>
      <c r="BB5" s="1491">
        <f t="shared" si="3"/>
        <v>0</v>
      </c>
      <c r="BC5" s="1491">
        <f t="shared" si="3"/>
        <v>0</v>
      </c>
    </row>
    <row r="6" spans="1:55" ht="17.100000000000001" customHeight="1">
      <c r="B6" s="1510" t="s">
        <v>1302</v>
      </c>
      <c r="C6" s="428"/>
      <c r="D6" s="1511"/>
      <c r="E6" s="1512"/>
      <c r="F6" s="1867">
        <f t="shared" ca="1" si="2"/>
        <v>16073.708467792336</v>
      </c>
      <c r="G6" s="1648">
        <f t="shared" ref="G6:BC6" si="4">SUM(G7:G13)</f>
        <v>325.47295571999996</v>
      </c>
      <c r="H6" s="1648">
        <f t="shared" si="4"/>
        <v>549.47295683000004</v>
      </c>
      <c r="I6" s="1648">
        <f t="shared" si="4"/>
        <v>476.32065399272727</v>
      </c>
      <c r="J6" s="1648">
        <f t="shared" si="4"/>
        <v>481.34111777600003</v>
      </c>
      <c r="K6" s="1648">
        <f t="shared" si="4"/>
        <v>277.01274267000002</v>
      </c>
      <c r="L6" s="1648">
        <f t="shared" si="4"/>
        <v>536.2524061900001</v>
      </c>
      <c r="M6" s="1650">
        <f t="shared" si="4"/>
        <v>341.23346422000003</v>
      </c>
      <c r="N6" s="1650">
        <f t="shared" si="4"/>
        <v>316.00624352692762</v>
      </c>
      <c r="O6" s="1650">
        <f t="shared" ca="1" si="4"/>
        <v>439.44824368537002</v>
      </c>
      <c r="P6" s="1650">
        <f t="shared" ca="1" si="4"/>
        <v>394.56599012132847</v>
      </c>
      <c r="Q6" s="1650">
        <f t="shared" ca="1" si="4"/>
        <v>324.86306776691606</v>
      </c>
      <c r="R6" s="1650">
        <f t="shared" ca="1" si="4"/>
        <v>288.25260350008017</v>
      </c>
      <c r="S6" s="1650">
        <f t="shared" ca="1" si="4"/>
        <v>304.6979142922952</v>
      </c>
      <c r="T6" s="1650">
        <f t="shared" ca="1" si="4"/>
        <v>312.46635293074775</v>
      </c>
      <c r="U6" s="1650">
        <f t="shared" ca="1" si="4"/>
        <v>320.22836311220044</v>
      </c>
      <c r="V6" s="1650">
        <f t="shared" ca="1" si="4"/>
        <v>337.88099663464277</v>
      </c>
      <c r="W6" s="1650">
        <f t="shared" ca="1" si="4"/>
        <v>341.08606694588519</v>
      </c>
      <c r="X6" s="1650">
        <f t="shared" ca="1" si="4"/>
        <v>344.28438737727765</v>
      </c>
      <c r="Y6" s="1650">
        <f t="shared" ca="1" si="4"/>
        <v>357.97403863449125</v>
      </c>
      <c r="Z6" s="1650">
        <f t="shared" ca="1" si="4"/>
        <v>361.27540830497105</v>
      </c>
      <c r="AA6" s="1650">
        <f t="shared" ca="1" si="4"/>
        <v>364.56969060160827</v>
      </c>
      <c r="AB6" s="1650">
        <f t="shared" ca="1" si="4"/>
        <v>378.98347599860404</v>
      </c>
      <c r="AC6" s="1650">
        <f t="shared" ca="1" si="4"/>
        <v>382.38404137159324</v>
      </c>
      <c r="AD6" s="1650">
        <f t="shared" ca="1" si="4"/>
        <v>385.7771650020477</v>
      </c>
      <c r="AE6" s="1650">
        <f t="shared" ca="1" si="4"/>
        <v>400.94655224283093</v>
      </c>
      <c r="AF6" s="1650">
        <f t="shared" ca="1" si="4"/>
        <v>404.44929692002444</v>
      </c>
      <c r="AG6" s="1650">
        <f t="shared" ca="1" si="4"/>
        <v>407.9442277675567</v>
      </c>
      <c r="AH6" s="1650">
        <f t="shared" ca="1" si="4"/>
        <v>423.9019379147349</v>
      </c>
      <c r="AI6" s="1650">
        <f t="shared" ca="1" si="4"/>
        <v>427.50993539240983</v>
      </c>
      <c r="AJ6" s="1650">
        <f t="shared" ca="1" si="4"/>
        <v>431.10972834894034</v>
      </c>
      <c r="AK6" s="1650">
        <f t="shared" ca="1" si="4"/>
        <v>447.8897835551598</v>
      </c>
      <c r="AL6" s="1650">
        <f t="shared" ca="1" si="4"/>
        <v>451.60619994033868</v>
      </c>
      <c r="AM6" s="1650">
        <f t="shared" ca="1" si="4"/>
        <v>455.31400157831587</v>
      </c>
      <c r="AN6" s="1650">
        <f t="shared" ca="1" si="4"/>
        <v>472.95177459610517</v>
      </c>
      <c r="AO6" s="1650">
        <f t="shared" ca="1" si="4"/>
        <v>476.77987140517183</v>
      </c>
      <c r="AP6" s="1650">
        <f t="shared" ca="1" si="4"/>
        <v>480.59892272967676</v>
      </c>
      <c r="AQ6" s="1650">
        <f t="shared" ca="1" si="4"/>
        <v>499.13118826556865</v>
      </c>
      <c r="AR6" s="1650">
        <f t="shared" ca="1" si="4"/>
        <v>503.07432530785633</v>
      </c>
      <c r="AS6" s="1650">
        <f t="shared" ca="1" si="4"/>
        <v>507.00796459135432</v>
      </c>
      <c r="AT6" s="1650">
        <f t="shared" ca="1" si="4"/>
        <v>526.47295257261919</v>
      </c>
      <c r="AU6" s="1650">
        <f t="shared" ca="1" si="4"/>
        <v>530.53459092157209</v>
      </c>
      <c r="AV6" s="1650">
        <f t="shared" ca="1" si="4"/>
        <v>534.58625662379586</v>
      </c>
      <c r="AW6" s="1650">
        <f t="shared" ca="1" si="4"/>
        <v>555.0237074486696</v>
      </c>
      <c r="AX6" s="1650">
        <f t="shared" ca="1" si="4"/>
        <v>559.20741250325739</v>
      </c>
      <c r="AY6" s="1650">
        <f t="shared" ca="1" si="4"/>
        <v>281.69032313938976</v>
      </c>
      <c r="AZ6" s="1650">
        <f t="shared" si="4"/>
        <v>0</v>
      </c>
      <c r="BA6" s="1650">
        <f t="shared" si="4"/>
        <v>0</v>
      </c>
      <c r="BB6" s="1650">
        <f t="shared" si="4"/>
        <v>0</v>
      </c>
      <c r="BC6" s="1650">
        <f t="shared" si="4"/>
        <v>0</v>
      </c>
    </row>
    <row r="7" spans="1:55" ht="17.100000000000001" customHeight="1">
      <c r="B7" s="307"/>
      <c r="C7" s="489" t="str">
        <f>'IS(Q)'!D10</f>
        <v>하역수입</v>
      </c>
      <c r="D7" s="331"/>
      <c r="E7" s="1868"/>
      <c r="F7" s="1207">
        <f t="shared" ca="1" si="2"/>
        <v>14433.415324830419</v>
      </c>
      <c r="G7" s="1609">
        <f>SUMIF('CF(Q)'!$3:$3,G$4,'CF(Q)'!8:8)</f>
        <v>138.03096020000001</v>
      </c>
      <c r="H7" s="1609">
        <f>SUMIF('CF(Q)'!$3:$3,H$4,'CF(Q)'!8:8)</f>
        <v>173.24312785000001</v>
      </c>
      <c r="I7" s="1609">
        <f>SUMIF('CF(Q)'!$3:$3,I$4,'CF(Q)'!8:8)</f>
        <v>181.97300636</v>
      </c>
      <c r="J7" s="1609">
        <f>SUMIF('CF(Q)'!$3:$3,J$4,'CF(Q)'!8:8)</f>
        <v>180.623053876</v>
      </c>
      <c r="K7" s="1609">
        <f>SUMIF('CF(Q)'!$3:$3,K$4,'CF(Q)'!8:8)</f>
        <v>201.93458812</v>
      </c>
      <c r="L7" s="1609">
        <f>SUMIF('CF(Q)'!$3:$3,L$4,'CF(Q)'!8:8)</f>
        <v>228.67222892000001</v>
      </c>
      <c r="M7" s="1204">
        <f>SUMIF('CF(Q)'!$3:$3,M$4,'CF(Q)'!8:8)</f>
        <v>214.58159649000001</v>
      </c>
      <c r="N7" s="1204">
        <f>SUMIF('CF(Q)'!$3:$3,N$4,'CF(Q)'!8:8)</f>
        <v>220.43318867892762</v>
      </c>
      <c r="O7" s="1204">
        <f ca="1">SUMIF('CF(Q)'!$3:$3,O$4,'CF(Q)'!8:8)</f>
        <v>234.70089984000003</v>
      </c>
      <c r="P7" s="1204">
        <f ca="1">SUMIF('CF(Q)'!$3:$3,P$4,'CF(Q)'!8:8)</f>
        <v>248.6670702611041</v>
      </c>
      <c r="Q7" s="1204">
        <f ca="1">SUMIF('CF(Q)'!$3:$3,Q$4,'CF(Q)'!8:8)</f>
        <v>256.20243602659207</v>
      </c>
      <c r="R7" s="1204">
        <f ca="1">SUMIF('CF(Q)'!$3:$3,R$4,'CF(Q)'!8:8)</f>
        <v>263.73780179208012</v>
      </c>
      <c r="S7" s="1204">
        <f ca="1">SUMIF('CF(Q)'!$3:$3,S$4,'CF(Q)'!8:8)</f>
        <v>279.41136258429515</v>
      </c>
      <c r="T7" s="1204">
        <f ca="1">SUMIF('CF(Q)'!$3:$3,T$4,'CF(Q)'!8:8)</f>
        <v>287.17278932274775</v>
      </c>
      <c r="U7" s="1204">
        <f ca="1">SUMIF('CF(Q)'!$3:$3,U$4,'CF(Q)'!8:8)</f>
        <v>294.9342160612004</v>
      </c>
      <c r="V7" s="1204">
        <f ca="1">SUMIF('CF(Q)'!$3:$3,V$4,'CF(Q)'!8:8)</f>
        <v>311.77651208364273</v>
      </c>
      <c r="W7" s="1204">
        <f ca="1">SUMIF('CF(Q)'!$3:$3,W$4,'CF(Q)'!8:8)</f>
        <v>314.97421989988516</v>
      </c>
      <c r="X7" s="1204">
        <f ca="1">SUMIF('CF(Q)'!$3:$3,X$4,'CF(Q)'!8:8)</f>
        <v>318.17192771612764</v>
      </c>
      <c r="Y7" s="1204">
        <f ca="1">SUMIF('CF(Q)'!$3:$3,Y$4,'CF(Q)'!8:8)</f>
        <v>331.01072459834126</v>
      </c>
      <c r="Z7" s="1204">
        <f ca="1">SUMIF('CF(Q)'!$3:$3,Z$4,'CF(Q)'!8:8)</f>
        <v>334.30436364907104</v>
      </c>
      <c r="AA7" s="1204">
        <f ca="1">SUMIF('CF(Q)'!$3:$3,AA$4,'CF(Q)'!8:8)</f>
        <v>337.59800269980076</v>
      </c>
      <c r="AB7" s="1204">
        <f ca="1">SUMIF('CF(Q)'!$3:$3,AB$4,'CF(Q)'!8:8)</f>
        <v>351.1183910030465</v>
      </c>
      <c r="AC7" s="1204">
        <f ca="1">SUMIF('CF(Q)'!$3:$3,AC$4,'CF(Q)'!8:8)</f>
        <v>354.51083922529818</v>
      </c>
      <c r="AD7" s="1204">
        <f ca="1">SUMIF('CF(Q)'!$3:$3,AD$4,'CF(Q)'!8:8)</f>
        <v>357.90328744754976</v>
      </c>
      <c r="AE7" s="1204">
        <f ca="1">SUMIF('CF(Q)'!$3:$3,AE$4,'CF(Q)'!8:8)</f>
        <v>372.1346077398955</v>
      </c>
      <c r="AF7" s="1204">
        <f ca="1">SUMIF('CF(Q)'!$3:$3,AF$4,'CF(Q)'!8:8)</f>
        <v>375.62882940881468</v>
      </c>
      <c r="AG7" s="1204">
        <f ca="1">SUMIF('CF(Q)'!$3:$3,AG$4,'CF(Q)'!8:8)</f>
        <v>379.12305107773392</v>
      </c>
      <c r="AH7" s="1204">
        <f ca="1">SUMIF('CF(Q)'!$3:$3,AH$4,'CF(Q)'!8:8)</f>
        <v>394.09579092905273</v>
      </c>
      <c r="AI7" s="1204">
        <f ca="1">SUMIF('CF(Q)'!$3:$3,AI$4,'CF(Q)'!8:8)</f>
        <v>397.69483924803956</v>
      </c>
      <c r="AJ7" s="1204">
        <f ca="1">SUMIF('CF(Q)'!$3:$3,AJ$4,'CF(Q)'!8:8)</f>
        <v>401.29388756702639</v>
      </c>
      <c r="AK7" s="1204">
        <f ca="1">SUMIF('CF(Q)'!$3:$3,AK$4,'CF(Q)'!8:8)</f>
        <v>417.03972396259354</v>
      </c>
      <c r="AL7" s="1204">
        <f ca="1">SUMIF('CF(Q)'!$3:$3,AL$4,'CF(Q)'!8:8)</f>
        <v>420.74674373114993</v>
      </c>
      <c r="AM7" s="1204">
        <f ca="1">SUMIF('CF(Q)'!$3:$3,AM$4,'CF(Q)'!8:8)</f>
        <v>424.45376349970627</v>
      </c>
      <c r="AN7" s="1204">
        <f ca="1">SUMIF('CF(Q)'!$3:$3,AN$4,'CF(Q)'!8:8)</f>
        <v>441.00560676631062</v>
      </c>
      <c r="AO7" s="1204">
        <f ca="1">SUMIF('CF(Q)'!$3:$3,AO$4,'CF(Q)'!8:8)</f>
        <v>444.82383712792364</v>
      </c>
      <c r="AP7" s="1204">
        <f ca="1">SUMIF('CF(Q)'!$3:$3,AP$4,'CF(Q)'!8:8)</f>
        <v>448.64206748953666</v>
      </c>
      <c r="AQ7" s="1204">
        <f ca="1">SUMIF('CF(Q)'!$3:$3,AQ$4,'CF(Q)'!8:8)</f>
        <v>466.03410678668433</v>
      </c>
      <c r="AR7" s="1204">
        <f ca="1">SUMIF('CF(Q)'!$3:$3,AR$4,'CF(Q)'!8:8)</f>
        <v>469.96688405914574</v>
      </c>
      <c r="AS7" s="1204">
        <f ca="1">SUMIF('CF(Q)'!$3:$3,AS$4,'CF(Q)'!8:8)</f>
        <v>473.89966133160721</v>
      </c>
      <c r="AT7" s="1204">
        <f ca="1">SUMIF('CF(Q)'!$3:$3,AT$4,'CF(Q)'!8:8)</f>
        <v>492.16741176219068</v>
      </c>
      <c r="AU7" s="1204">
        <f ca="1">SUMIF('CF(Q)'!$3:$3,AU$4,'CF(Q)'!8:8)</f>
        <v>496.218172352826</v>
      </c>
      <c r="AV7" s="1204">
        <f ca="1">SUMIF('CF(Q)'!$3:$3,AV$4,'CF(Q)'!8:8)</f>
        <v>500.26893294346138</v>
      </c>
      <c r="AW7" s="1204">
        <f ca="1">SUMIF('CF(Q)'!$3:$3,AW$4,'CF(Q)'!8:8)</f>
        <v>519.44928434011956</v>
      </c>
      <c r="AX7" s="1204">
        <f ca="1">SUMIF('CF(Q)'!$3:$3,AX$4,'CF(Q)'!8:8)</f>
        <v>523.62156774847392</v>
      </c>
      <c r="AY7" s="1204">
        <f ca="1">SUMIF('CF(Q)'!$3:$3,AY$4,'CF(Q)'!8:8)</f>
        <v>263.89692557841414</v>
      </c>
      <c r="AZ7" s="1204">
        <f>SUMIF('CF(Q)'!$3:$3,AZ$4,'CF(Q)'!8:8)</f>
        <v>0</v>
      </c>
      <c r="BA7" s="1204">
        <f>SUMIF('CF(Q)'!$3:$3,BA$4,'CF(Q)'!8:8)</f>
        <v>0</v>
      </c>
      <c r="BB7" s="1204">
        <f>SUMIF('CF(Q)'!$3:$3,BB$4,'CF(Q)'!8:8)</f>
        <v>0</v>
      </c>
      <c r="BC7" s="1204">
        <f>SUMIF('CF(Q)'!$3:$3,BC$4,'CF(Q)'!8:8)</f>
        <v>0</v>
      </c>
    </row>
    <row r="8" spans="1:55" ht="17.100000000000001" customHeight="1">
      <c r="B8" s="307"/>
      <c r="C8" s="489" t="str">
        <f>'IS(Q)'!D11</f>
        <v>접안료</v>
      </c>
      <c r="D8" s="331"/>
      <c r="E8" s="1868"/>
      <c r="F8" s="1207">
        <f t="shared" si="2"/>
        <v>321.13638824000003</v>
      </c>
      <c r="G8" s="1609">
        <f>SUMIF('CF(Q)'!$3:$3,G$4,'CF(Q)'!9:9)</f>
        <v>1.8463033</v>
      </c>
      <c r="H8" s="1609">
        <f>SUMIF('CF(Q)'!$3:$3,H$4,'CF(Q)'!9:9)</f>
        <v>3.8320357</v>
      </c>
      <c r="I8" s="1609">
        <f>SUMIF('CF(Q)'!$3:$3,I$4,'CF(Q)'!9:9)</f>
        <v>6.9969990000000006</v>
      </c>
      <c r="J8" s="1609">
        <f>SUMIF('CF(Q)'!$3:$3,J$4,'CF(Q)'!9:9)</f>
        <v>8.4927027000000006</v>
      </c>
      <c r="K8" s="1609">
        <f>SUMIF('CF(Q)'!$3:$3,K$4,'CF(Q)'!9:9)</f>
        <v>9.4773434000000005</v>
      </c>
      <c r="L8" s="1609">
        <f>SUMIF('CF(Q)'!$3:$3,L$4,'CF(Q)'!9:9)</f>
        <v>10.361379599999999</v>
      </c>
      <c r="M8" s="1204">
        <f>SUMIF('CF(Q)'!$3:$3,M$4,'CF(Q)'!9:9)</f>
        <v>8.4653314399999999</v>
      </c>
      <c r="N8" s="1204">
        <f>SUMIF('CF(Q)'!$3:$3,N$4,'CF(Q)'!9:9)</f>
        <v>8.3378948479999995</v>
      </c>
      <c r="O8" s="1204">
        <f>SUMIF('CF(Q)'!$3:$3,O$4,'CF(Q)'!9:9)</f>
        <v>8.3378948479999995</v>
      </c>
      <c r="P8" s="1204">
        <f>SUMIF('CF(Q)'!$3:$3,P$4,'CF(Q)'!9:9)</f>
        <v>8.3378948479999995</v>
      </c>
      <c r="Q8" s="1204">
        <f>SUMIF('CF(Q)'!$3:$3,Q$4,'CF(Q)'!9:9)</f>
        <v>8.3378948479999995</v>
      </c>
      <c r="R8" s="1204">
        <f>SUMIF('CF(Q)'!$3:$3,R$4,'CF(Q)'!9:9)</f>
        <v>8.3378948479999995</v>
      </c>
      <c r="S8" s="1204">
        <f>SUMIF('CF(Q)'!$3:$3,S$4,'CF(Q)'!9:9)</f>
        <v>8.3378948479999995</v>
      </c>
      <c r="T8" s="1204">
        <f>SUMIF('CF(Q)'!$3:$3,T$4,'CF(Q)'!9:9)</f>
        <v>8.3378948479999995</v>
      </c>
      <c r="U8" s="1204">
        <f>SUMIF('CF(Q)'!$3:$3,U$4,'CF(Q)'!9:9)</f>
        <v>8.3378948479999995</v>
      </c>
      <c r="V8" s="1204">
        <f>SUMIF('CF(Q)'!$3:$3,V$4,'CF(Q)'!9:9)</f>
        <v>8.3378948479999995</v>
      </c>
      <c r="W8" s="1204">
        <f>SUMIF('CF(Q)'!$3:$3,W$4,'CF(Q)'!9:9)</f>
        <v>8.3378948479999995</v>
      </c>
      <c r="X8" s="1204">
        <f>SUMIF('CF(Q)'!$3:$3,X$4,'CF(Q)'!9:9)</f>
        <v>8.3378948479999995</v>
      </c>
      <c r="Y8" s="1204">
        <f>SUMIF('CF(Q)'!$3:$3,Y$4,'CF(Q)'!9:9)</f>
        <v>8.3378948479999995</v>
      </c>
      <c r="Z8" s="1204">
        <f>SUMIF('CF(Q)'!$3:$3,Z$4,'CF(Q)'!9:9)</f>
        <v>8.3378948479999995</v>
      </c>
      <c r="AA8" s="1204">
        <f>SUMIF('CF(Q)'!$3:$3,AA$4,'CF(Q)'!9:9)</f>
        <v>8.3378948479999995</v>
      </c>
      <c r="AB8" s="1204">
        <f>SUMIF('CF(Q)'!$3:$3,AB$4,'CF(Q)'!9:9)</f>
        <v>8.3378948479999995</v>
      </c>
      <c r="AC8" s="1204">
        <f>SUMIF('CF(Q)'!$3:$3,AC$4,'CF(Q)'!9:9)</f>
        <v>8.3378948479999995</v>
      </c>
      <c r="AD8" s="1204">
        <f>SUMIF('CF(Q)'!$3:$3,AD$4,'CF(Q)'!9:9)</f>
        <v>8.3378948479999995</v>
      </c>
      <c r="AE8" s="1204">
        <f>SUMIF('CF(Q)'!$3:$3,AE$4,'CF(Q)'!9:9)</f>
        <v>8.3378948479999995</v>
      </c>
      <c r="AF8" s="1204">
        <f>SUMIF('CF(Q)'!$3:$3,AF$4,'CF(Q)'!9:9)</f>
        <v>8.3378948479999995</v>
      </c>
      <c r="AG8" s="1204">
        <f>SUMIF('CF(Q)'!$3:$3,AG$4,'CF(Q)'!9:9)</f>
        <v>8.3378948479999995</v>
      </c>
      <c r="AH8" s="1204">
        <f>SUMIF('CF(Q)'!$3:$3,AH$4,'CF(Q)'!9:9)</f>
        <v>8.3378948479999995</v>
      </c>
      <c r="AI8" s="1204">
        <f>SUMIF('CF(Q)'!$3:$3,AI$4,'CF(Q)'!9:9)</f>
        <v>8.3378948479999995</v>
      </c>
      <c r="AJ8" s="1204">
        <f>SUMIF('CF(Q)'!$3:$3,AJ$4,'CF(Q)'!9:9)</f>
        <v>8.3378948479999995</v>
      </c>
      <c r="AK8" s="1204">
        <f>SUMIF('CF(Q)'!$3:$3,AK$4,'CF(Q)'!9:9)</f>
        <v>8.3378948479999995</v>
      </c>
      <c r="AL8" s="1204">
        <f>SUMIF('CF(Q)'!$3:$3,AL$4,'CF(Q)'!9:9)</f>
        <v>8.3378948479999995</v>
      </c>
      <c r="AM8" s="1204">
        <f>SUMIF('CF(Q)'!$3:$3,AM$4,'CF(Q)'!9:9)</f>
        <v>8.3378948479999995</v>
      </c>
      <c r="AN8" s="1204">
        <f>SUMIF('CF(Q)'!$3:$3,AN$4,'CF(Q)'!9:9)</f>
        <v>8.3378948479999995</v>
      </c>
      <c r="AO8" s="1204">
        <f>SUMIF('CF(Q)'!$3:$3,AO$4,'CF(Q)'!9:9)</f>
        <v>8.3378948479999995</v>
      </c>
      <c r="AP8" s="1204">
        <f>SUMIF('CF(Q)'!$3:$3,AP$4,'CF(Q)'!9:9)</f>
        <v>8.3378948479999995</v>
      </c>
      <c r="AQ8" s="1204">
        <f>SUMIF('CF(Q)'!$3:$3,AQ$4,'CF(Q)'!9:9)</f>
        <v>8.3378948479999995</v>
      </c>
      <c r="AR8" s="1204">
        <f>SUMIF('CF(Q)'!$3:$3,AR$4,'CF(Q)'!9:9)</f>
        <v>8.3378948479999995</v>
      </c>
      <c r="AS8" s="1204">
        <f>SUMIF('CF(Q)'!$3:$3,AS$4,'CF(Q)'!9:9)</f>
        <v>8.3378948479999995</v>
      </c>
      <c r="AT8" s="1204">
        <f>SUMIF('CF(Q)'!$3:$3,AT$4,'CF(Q)'!9:9)</f>
        <v>8.3378948479999995</v>
      </c>
      <c r="AU8" s="1204">
        <f>SUMIF('CF(Q)'!$3:$3,AU$4,'CF(Q)'!9:9)</f>
        <v>8.3378948479999995</v>
      </c>
      <c r="AV8" s="1204">
        <f>SUMIF('CF(Q)'!$3:$3,AV$4,'CF(Q)'!9:9)</f>
        <v>8.3378948479999995</v>
      </c>
      <c r="AW8" s="1204">
        <f>SUMIF('CF(Q)'!$3:$3,AW$4,'CF(Q)'!9:9)</f>
        <v>8.3378948479999995</v>
      </c>
      <c r="AX8" s="1204">
        <f>SUMIF('CF(Q)'!$3:$3,AX$4,'CF(Q)'!9:9)</f>
        <v>8.3378948479999995</v>
      </c>
      <c r="AY8" s="1204">
        <f>SUMIF('CF(Q)'!$3:$3,AY$4,'CF(Q)'!9:9)</f>
        <v>4.1689474239999997</v>
      </c>
      <c r="AZ8" s="1204">
        <f>SUMIF('CF(Q)'!$3:$3,AZ$4,'CF(Q)'!9:9)</f>
        <v>0</v>
      </c>
      <c r="BA8" s="1204">
        <f>SUMIF('CF(Q)'!$3:$3,BA$4,'CF(Q)'!9:9)</f>
        <v>0</v>
      </c>
      <c r="BB8" s="1204">
        <f>SUMIF('CF(Q)'!$3:$3,BB$4,'CF(Q)'!9:9)</f>
        <v>0</v>
      </c>
      <c r="BC8" s="1204">
        <f>SUMIF('CF(Q)'!$3:$3,BC$4,'CF(Q)'!9:9)</f>
        <v>0</v>
      </c>
    </row>
    <row r="9" spans="1:55" ht="17.100000000000001" customHeight="1">
      <c r="B9" s="307"/>
      <c r="C9" s="489" t="str">
        <f>'IS(Q)'!D12</f>
        <v>CFS동 운영 수입</v>
      </c>
      <c r="D9" s="331"/>
      <c r="E9" s="1868"/>
      <c r="F9" s="1207">
        <f t="shared" si="2"/>
        <v>9.2785404900000046</v>
      </c>
      <c r="G9" s="1609">
        <f>SUMIF('CF(Q)'!$3:$3,G$4,'CF(Q)'!10:10)</f>
        <v>0.83248544999999996</v>
      </c>
      <c r="H9" s="1609">
        <f>SUMIF('CF(Q)'!$3:$3,H$4,'CF(Q)'!10:10)</f>
        <v>0.63751469999999999</v>
      </c>
      <c r="I9" s="1609">
        <f>SUMIF('CF(Q)'!$3:$3,I$4,'CF(Q)'!10:10)</f>
        <v>0.34232241000000002</v>
      </c>
      <c r="J9" s="1609">
        <f>SUMIF('CF(Q)'!$3:$3,J$4,'CF(Q)'!10:10)</f>
        <v>0.21881597999999999</v>
      </c>
      <c r="K9" s="1609">
        <f>SUMIF('CF(Q)'!$3:$3,K$4,'CF(Q)'!10:10)</f>
        <v>0.2091556</v>
      </c>
      <c r="L9" s="1609">
        <f>SUMIF('CF(Q)'!$3:$3,L$4,'CF(Q)'!10:10)</f>
        <v>0.41002554999999996</v>
      </c>
      <c r="M9" s="1204">
        <f>SUMIF('CF(Q)'!$3:$3,M$4,'CF(Q)'!10:10)</f>
        <v>0.27854049000000003</v>
      </c>
      <c r="N9" s="1204">
        <f>SUMIF('CF(Q)'!$3:$3,N$4,'CF(Q)'!10:10)</f>
        <v>0.24</v>
      </c>
      <c r="O9" s="1204">
        <f>SUMIF('CF(Q)'!$3:$3,O$4,'CF(Q)'!10:10)</f>
        <v>0.24</v>
      </c>
      <c r="P9" s="1204">
        <f>SUMIF('CF(Q)'!$3:$3,P$4,'CF(Q)'!10:10)</f>
        <v>0.24</v>
      </c>
      <c r="Q9" s="1204">
        <f>SUMIF('CF(Q)'!$3:$3,Q$4,'CF(Q)'!10:10)</f>
        <v>0.24</v>
      </c>
      <c r="R9" s="1204">
        <f>SUMIF('CF(Q)'!$3:$3,R$4,'CF(Q)'!10:10)</f>
        <v>0.24</v>
      </c>
      <c r="S9" s="1204">
        <f>SUMIF('CF(Q)'!$3:$3,S$4,'CF(Q)'!10:10)</f>
        <v>0.24</v>
      </c>
      <c r="T9" s="1204">
        <f>SUMIF('CF(Q)'!$3:$3,T$4,'CF(Q)'!10:10)</f>
        <v>0.24</v>
      </c>
      <c r="U9" s="1204">
        <f>SUMIF('CF(Q)'!$3:$3,U$4,'CF(Q)'!10:10)</f>
        <v>0.24</v>
      </c>
      <c r="V9" s="1204">
        <f>SUMIF('CF(Q)'!$3:$3,V$4,'CF(Q)'!10:10)</f>
        <v>0.24</v>
      </c>
      <c r="W9" s="1204">
        <f>SUMIF('CF(Q)'!$3:$3,W$4,'CF(Q)'!10:10)</f>
        <v>0.24</v>
      </c>
      <c r="X9" s="1204">
        <f>SUMIF('CF(Q)'!$3:$3,X$4,'CF(Q)'!10:10)</f>
        <v>0.24</v>
      </c>
      <c r="Y9" s="1204">
        <f>SUMIF('CF(Q)'!$3:$3,Y$4,'CF(Q)'!10:10)</f>
        <v>0.24</v>
      </c>
      <c r="Z9" s="1204">
        <f>SUMIF('CF(Q)'!$3:$3,Z$4,'CF(Q)'!10:10)</f>
        <v>0.24</v>
      </c>
      <c r="AA9" s="1204">
        <f>SUMIF('CF(Q)'!$3:$3,AA$4,'CF(Q)'!10:10)</f>
        <v>0.24</v>
      </c>
      <c r="AB9" s="1204">
        <f>SUMIF('CF(Q)'!$3:$3,AB$4,'CF(Q)'!10:10)</f>
        <v>0.24</v>
      </c>
      <c r="AC9" s="1204">
        <f>SUMIF('CF(Q)'!$3:$3,AC$4,'CF(Q)'!10:10)</f>
        <v>0.24</v>
      </c>
      <c r="AD9" s="1204">
        <f>SUMIF('CF(Q)'!$3:$3,AD$4,'CF(Q)'!10:10)</f>
        <v>0.24</v>
      </c>
      <c r="AE9" s="1204">
        <f>SUMIF('CF(Q)'!$3:$3,AE$4,'CF(Q)'!10:10)</f>
        <v>0.24</v>
      </c>
      <c r="AF9" s="1204">
        <f>SUMIF('CF(Q)'!$3:$3,AF$4,'CF(Q)'!10:10)</f>
        <v>0.24</v>
      </c>
      <c r="AG9" s="1204">
        <f>SUMIF('CF(Q)'!$3:$3,AG$4,'CF(Q)'!10:10)</f>
        <v>0.24</v>
      </c>
      <c r="AH9" s="1204">
        <f>SUMIF('CF(Q)'!$3:$3,AH$4,'CF(Q)'!10:10)</f>
        <v>0.24</v>
      </c>
      <c r="AI9" s="1204">
        <f>SUMIF('CF(Q)'!$3:$3,AI$4,'CF(Q)'!10:10)</f>
        <v>0.24</v>
      </c>
      <c r="AJ9" s="1204">
        <f>SUMIF('CF(Q)'!$3:$3,AJ$4,'CF(Q)'!10:10)</f>
        <v>0.24</v>
      </c>
      <c r="AK9" s="1204">
        <f>SUMIF('CF(Q)'!$3:$3,AK$4,'CF(Q)'!10:10)</f>
        <v>0.24</v>
      </c>
      <c r="AL9" s="1204">
        <f>SUMIF('CF(Q)'!$3:$3,AL$4,'CF(Q)'!10:10)</f>
        <v>0.24</v>
      </c>
      <c r="AM9" s="1204">
        <f>SUMIF('CF(Q)'!$3:$3,AM$4,'CF(Q)'!10:10)</f>
        <v>0.24</v>
      </c>
      <c r="AN9" s="1204">
        <f>SUMIF('CF(Q)'!$3:$3,AN$4,'CF(Q)'!10:10)</f>
        <v>0.24</v>
      </c>
      <c r="AO9" s="1204">
        <f>SUMIF('CF(Q)'!$3:$3,AO$4,'CF(Q)'!10:10)</f>
        <v>0.24</v>
      </c>
      <c r="AP9" s="1204">
        <f>SUMIF('CF(Q)'!$3:$3,AP$4,'CF(Q)'!10:10)</f>
        <v>0.24</v>
      </c>
      <c r="AQ9" s="1204">
        <f>SUMIF('CF(Q)'!$3:$3,AQ$4,'CF(Q)'!10:10)</f>
        <v>0.24</v>
      </c>
      <c r="AR9" s="1204">
        <f>SUMIF('CF(Q)'!$3:$3,AR$4,'CF(Q)'!10:10)</f>
        <v>0.24</v>
      </c>
      <c r="AS9" s="1204">
        <f>SUMIF('CF(Q)'!$3:$3,AS$4,'CF(Q)'!10:10)</f>
        <v>0.24</v>
      </c>
      <c r="AT9" s="1204">
        <f>SUMIF('CF(Q)'!$3:$3,AT$4,'CF(Q)'!10:10)</f>
        <v>0.24</v>
      </c>
      <c r="AU9" s="1204">
        <f>SUMIF('CF(Q)'!$3:$3,AU$4,'CF(Q)'!10:10)</f>
        <v>0.24</v>
      </c>
      <c r="AV9" s="1204">
        <f>SUMIF('CF(Q)'!$3:$3,AV$4,'CF(Q)'!10:10)</f>
        <v>0.24</v>
      </c>
      <c r="AW9" s="1204">
        <f>SUMIF('CF(Q)'!$3:$3,AW$4,'CF(Q)'!10:10)</f>
        <v>0.24</v>
      </c>
      <c r="AX9" s="1204">
        <f>SUMIF('CF(Q)'!$3:$3,AX$4,'CF(Q)'!10:10)</f>
        <v>0.24</v>
      </c>
      <c r="AY9" s="1204">
        <f>SUMIF('CF(Q)'!$3:$3,AY$4,'CF(Q)'!10:10)</f>
        <v>0.12</v>
      </c>
      <c r="AZ9" s="1204">
        <f>SUMIF('CF(Q)'!$3:$3,AZ$4,'CF(Q)'!10:10)</f>
        <v>0</v>
      </c>
      <c r="BA9" s="1204">
        <f>SUMIF('CF(Q)'!$3:$3,BA$4,'CF(Q)'!10:10)</f>
        <v>0</v>
      </c>
      <c r="BB9" s="1204">
        <f>SUMIF('CF(Q)'!$3:$3,BB$4,'CF(Q)'!10:10)</f>
        <v>0</v>
      </c>
      <c r="BC9" s="1204">
        <f>SUMIF('CF(Q)'!$3:$3,BC$4,'CF(Q)'!10:10)</f>
        <v>0</v>
      </c>
    </row>
    <row r="10" spans="1:55" ht="17.100000000000001" customHeight="1">
      <c r="B10" s="307"/>
      <c r="C10" s="489" t="str">
        <f>'IS(Q)'!D13</f>
        <v>4번선석 임대</v>
      </c>
      <c r="D10" s="331"/>
      <c r="E10" s="1868"/>
      <c r="F10" s="1207">
        <f t="shared" ca="1" si="2"/>
        <v>793.45799953283142</v>
      </c>
      <c r="G10" s="1609">
        <f>SUMIF('CF(Q)'!$3:$3,G$4,'CF(Q)'!11:11)</f>
        <v>12.92999109</v>
      </c>
      <c r="H10" s="1609">
        <f>SUMIF('CF(Q)'!$3:$3,H$4,'CF(Q)'!11:11)</f>
        <v>12.86367053</v>
      </c>
      <c r="I10" s="1609">
        <f>SUMIF('CF(Q)'!$3:$3,I$4,'CF(Q)'!11:11)</f>
        <v>18.95144732</v>
      </c>
      <c r="J10" s="1609">
        <f>SUMIF('CF(Q)'!$3:$3,J$4,'CF(Q)'!11:11)</f>
        <v>20.018000000000001</v>
      </c>
      <c r="K10" s="1609">
        <f>SUMIF('CF(Q)'!$3:$3,K$4,'CF(Q)'!11:11)</f>
        <v>20.018000000000001</v>
      </c>
      <c r="L10" s="1609">
        <f>SUMIF('CF(Q)'!$3:$3,L$4,'CF(Q)'!11:11)</f>
        <v>20</v>
      </c>
      <c r="M10" s="1204">
        <f>SUMIF('CF(Q)'!$3:$3,M$4,'CF(Q)'!11:11)</f>
        <v>21</v>
      </c>
      <c r="N10" s="1204">
        <f>SUMIF('CF(Q)'!$3:$3,N$4,'CF(Q)'!11:11)</f>
        <v>21</v>
      </c>
      <c r="O10" s="1204">
        <f ca="1">SUMIF('CF(Q)'!$3:$3,O$4,'CF(Q)'!11:11)</f>
        <v>21</v>
      </c>
      <c r="P10" s="1204">
        <f ca="1">SUMIF('CF(Q)'!$3:$3,P$4,'CF(Q)'!11:11)</f>
        <v>22.05</v>
      </c>
      <c r="Q10" s="1204">
        <f ca="1">SUMIF('CF(Q)'!$3:$3,Q$4,'CF(Q)'!11:11)</f>
        <v>15.435</v>
      </c>
      <c r="R10" s="1204">
        <f ca="1">SUMIF('CF(Q)'!$3:$3,R$4,'CF(Q)'!11:11)</f>
        <v>15.435</v>
      </c>
      <c r="S10" s="1204">
        <f ca="1">SUMIF('CF(Q)'!$3:$3,S$4,'CF(Q)'!11:11)</f>
        <v>16.206750000000003</v>
      </c>
      <c r="T10" s="1204">
        <f ca="1">SUMIF('CF(Q)'!$3:$3,T$4,'CF(Q)'!11:11)</f>
        <v>16.206750000000003</v>
      </c>
      <c r="U10" s="1204">
        <f ca="1">SUMIF('CF(Q)'!$3:$3,U$4,'CF(Q)'!11:11)</f>
        <v>16.206750000000003</v>
      </c>
      <c r="V10" s="1204">
        <f ca="1">SUMIF('CF(Q)'!$3:$3,V$4,'CF(Q)'!11:11)</f>
        <v>17.017087499999999</v>
      </c>
      <c r="W10" s="1204">
        <f ca="1">SUMIF('CF(Q)'!$3:$3,W$4,'CF(Q)'!11:11)</f>
        <v>17.017087499999999</v>
      </c>
      <c r="X10" s="1204">
        <f ca="1">SUMIF('CF(Q)'!$3:$3,X$4,'CF(Q)'!11:11)</f>
        <v>17.017087499999999</v>
      </c>
      <c r="Y10" s="1204">
        <f ca="1">SUMIF('CF(Q)'!$3:$3,Y$4,'CF(Q)'!11:11)</f>
        <v>17.867941875000003</v>
      </c>
      <c r="Z10" s="1204">
        <f ca="1">SUMIF('CF(Q)'!$3:$3,Z$4,'CF(Q)'!11:11)</f>
        <v>17.867941875000003</v>
      </c>
      <c r="AA10" s="1204">
        <f ca="1">SUMIF('CF(Q)'!$3:$3,AA$4,'CF(Q)'!11:11)</f>
        <v>17.867941875000003</v>
      </c>
      <c r="AB10" s="1204">
        <f ca="1">SUMIF('CF(Q)'!$3:$3,AB$4,'CF(Q)'!11:11)</f>
        <v>18.761338968750007</v>
      </c>
      <c r="AC10" s="1204">
        <f ca="1">SUMIF('CF(Q)'!$3:$3,AC$4,'CF(Q)'!11:11)</f>
        <v>18.761338968750007</v>
      </c>
      <c r="AD10" s="1204">
        <f ca="1">SUMIF('CF(Q)'!$3:$3,AD$4,'CF(Q)'!11:11)</f>
        <v>18.761338968750007</v>
      </c>
      <c r="AE10" s="1204">
        <f ca="1">SUMIF('CF(Q)'!$3:$3,AE$4,'CF(Q)'!11:11)</f>
        <v>19.699405917187505</v>
      </c>
      <c r="AF10" s="1204">
        <f ca="1">SUMIF('CF(Q)'!$3:$3,AF$4,'CF(Q)'!11:11)</f>
        <v>19.699405917187505</v>
      </c>
      <c r="AG10" s="1204">
        <f ca="1">SUMIF('CF(Q)'!$3:$3,AG$4,'CF(Q)'!11:11)</f>
        <v>19.699405917187505</v>
      </c>
      <c r="AH10" s="1204">
        <f ca="1">SUMIF('CF(Q)'!$3:$3,AH$4,'CF(Q)'!11:11)</f>
        <v>20.684376213046882</v>
      </c>
      <c r="AI10" s="1204">
        <f ca="1">SUMIF('CF(Q)'!$3:$3,AI$4,'CF(Q)'!11:11)</f>
        <v>20.684376213046882</v>
      </c>
      <c r="AJ10" s="1204">
        <f ca="1">SUMIF('CF(Q)'!$3:$3,AJ$4,'CF(Q)'!11:11)</f>
        <v>20.684376213046882</v>
      </c>
      <c r="AK10" s="1204">
        <f ca="1">SUMIF('CF(Q)'!$3:$3,AK$4,'CF(Q)'!11:11)</f>
        <v>21.718595023699226</v>
      </c>
      <c r="AL10" s="1204">
        <f ca="1">SUMIF('CF(Q)'!$3:$3,AL$4,'CF(Q)'!11:11)</f>
        <v>21.718595023699226</v>
      </c>
      <c r="AM10" s="1204">
        <f ca="1">SUMIF('CF(Q)'!$3:$3,AM$4,'CF(Q)'!11:11)</f>
        <v>21.718595023699226</v>
      </c>
      <c r="AN10" s="1204">
        <f ca="1">SUMIF('CF(Q)'!$3:$3,AN$4,'CF(Q)'!11:11)</f>
        <v>22.804524774884186</v>
      </c>
      <c r="AO10" s="1204">
        <f ca="1">SUMIF('CF(Q)'!$3:$3,AO$4,'CF(Q)'!11:11)</f>
        <v>22.804524774884186</v>
      </c>
      <c r="AP10" s="1204">
        <f ca="1">SUMIF('CF(Q)'!$3:$3,AP$4,'CF(Q)'!11:11)</f>
        <v>22.804524774884186</v>
      </c>
      <c r="AQ10" s="1204">
        <f ca="1">SUMIF('CF(Q)'!$3:$3,AQ$4,'CF(Q)'!11:11)</f>
        <v>23.944751013628398</v>
      </c>
      <c r="AR10" s="1204">
        <f ca="1">SUMIF('CF(Q)'!$3:$3,AR$4,'CF(Q)'!11:11)</f>
        <v>23.944751013628398</v>
      </c>
      <c r="AS10" s="1204">
        <f ca="1">SUMIF('CF(Q)'!$3:$3,AS$4,'CF(Q)'!11:11)</f>
        <v>23.944751013628398</v>
      </c>
      <c r="AT10" s="1204">
        <f ca="1">SUMIF('CF(Q)'!$3:$3,AT$4,'CF(Q)'!11:11)</f>
        <v>25.141988564309823</v>
      </c>
      <c r="AU10" s="1204">
        <f ca="1">SUMIF('CF(Q)'!$3:$3,AU$4,'CF(Q)'!11:11)</f>
        <v>25.141988564309823</v>
      </c>
      <c r="AV10" s="1204">
        <f ca="1">SUMIF('CF(Q)'!$3:$3,AV$4,'CF(Q)'!11:11)</f>
        <v>25.141988564309823</v>
      </c>
      <c r="AW10" s="1204">
        <f ca="1">SUMIF('CF(Q)'!$3:$3,AW$4,'CF(Q)'!11:11)</f>
        <v>26.39908799252531</v>
      </c>
      <c r="AX10" s="1204">
        <f ca="1">SUMIF('CF(Q)'!$3:$3,AX$4,'CF(Q)'!11:11)</f>
        <v>26.39908799252531</v>
      </c>
      <c r="AY10" s="1204">
        <f ca="1">SUMIF('CF(Q)'!$3:$3,AY$4,'CF(Q)'!11:11)</f>
        <v>13.199543996262655</v>
      </c>
      <c r="AZ10" s="1204">
        <f>SUMIF('CF(Q)'!$3:$3,AZ$4,'CF(Q)'!11:11)</f>
        <v>0</v>
      </c>
      <c r="BA10" s="1204">
        <f>SUMIF('CF(Q)'!$3:$3,BA$4,'CF(Q)'!11:11)</f>
        <v>0</v>
      </c>
      <c r="BB10" s="1204">
        <f>SUMIF('CF(Q)'!$3:$3,BB$4,'CF(Q)'!11:11)</f>
        <v>0</v>
      </c>
      <c r="BC10" s="1204">
        <f>SUMIF('CF(Q)'!$3:$3,BC$4,'CF(Q)'!11:11)</f>
        <v>0</v>
      </c>
    </row>
    <row r="11" spans="1:55" ht="17.100000000000001" customHeight="1">
      <c r="B11" s="307"/>
      <c r="C11" s="489" t="str">
        <f>'IS(Q)'!D14</f>
        <v>광석부두임대</v>
      </c>
      <c r="D11" s="331"/>
      <c r="E11" s="1868"/>
      <c r="F11" s="1207">
        <f t="shared" si="2"/>
        <v>0</v>
      </c>
      <c r="G11" s="1609">
        <f>SUMIF('CF(Q)'!$3:$3,G$4,'CF(Q)'!12:12)</f>
        <v>82.862272329999996</v>
      </c>
      <c r="H11" s="1609">
        <f>SUMIF('CF(Q)'!$3:$3,H$4,'CF(Q)'!12:12)</f>
        <v>74.762028489999992</v>
      </c>
      <c r="I11" s="1609">
        <f>SUMIF('CF(Q)'!$3:$3,I$4,'CF(Q)'!12:12)</f>
        <v>60.275699182727266</v>
      </c>
      <c r="J11" s="1609">
        <f>SUMIF('CF(Q)'!$3:$3,J$4,'CF(Q)'!12:12)</f>
        <v>73.192250860000001</v>
      </c>
      <c r="K11" s="1609">
        <f>SUMIF('CF(Q)'!$3:$3,K$4,'CF(Q)'!12:12)</f>
        <v>28.570433399999999</v>
      </c>
      <c r="L11" s="1609">
        <f>SUMIF('CF(Q)'!$3:$3,L$4,'CF(Q)'!12:12)</f>
        <v>12.2546</v>
      </c>
      <c r="M11" s="1204">
        <f>SUMIF('CF(Q)'!$3:$3,M$4,'CF(Q)'!12:12)</f>
        <v>0</v>
      </c>
      <c r="N11" s="1204">
        <f>SUMIF('CF(Q)'!$3:$3,N$4,'CF(Q)'!12:12)</f>
        <v>0</v>
      </c>
      <c r="O11" s="1204">
        <f>SUMIF('CF(Q)'!$3:$3,O$4,'CF(Q)'!12:12)</f>
        <v>0</v>
      </c>
      <c r="P11" s="1204">
        <f>SUMIF('CF(Q)'!$3:$3,P$4,'CF(Q)'!12:12)</f>
        <v>0</v>
      </c>
      <c r="Q11" s="1204">
        <f>SUMIF('CF(Q)'!$3:$3,Q$4,'CF(Q)'!12:12)</f>
        <v>0</v>
      </c>
      <c r="R11" s="1204">
        <f>SUMIF('CF(Q)'!$3:$3,R$4,'CF(Q)'!12:12)</f>
        <v>0</v>
      </c>
      <c r="S11" s="1204">
        <f>SUMIF('CF(Q)'!$3:$3,S$4,'CF(Q)'!12:12)</f>
        <v>0</v>
      </c>
      <c r="T11" s="1204">
        <f>SUMIF('CF(Q)'!$3:$3,T$4,'CF(Q)'!12:12)</f>
        <v>0</v>
      </c>
      <c r="U11" s="1204">
        <f>SUMIF('CF(Q)'!$3:$3,U$4,'CF(Q)'!12:12)</f>
        <v>0</v>
      </c>
      <c r="V11" s="1204">
        <f>SUMIF('CF(Q)'!$3:$3,V$4,'CF(Q)'!12:12)</f>
        <v>0</v>
      </c>
      <c r="W11" s="1204">
        <f>SUMIF('CF(Q)'!$3:$3,W$4,'CF(Q)'!12:12)</f>
        <v>0</v>
      </c>
      <c r="X11" s="1204">
        <f>SUMIF('CF(Q)'!$3:$3,X$4,'CF(Q)'!12:12)</f>
        <v>0</v>
      </c>
      <c r="Y11" s="1204">
        <f>SUMIF('CF(Q)'!$3:$3,Y$4,'CF(Q)'!12:12)</f>
        <v>0</v>
      </c>
      <c r="Z11" s="1204">
        <f>SUMIF('CF(Q)'!$3:$3,Z$4,'CF(Q)'!12:12)</f>
        <v>0</v>
      </c>
      <c r="AA11" s="1204">
        <f>SUMIF('CF(Q)'!$3:$3,AA$4,'CF(Q)'!12:12)</f>
        <v>0</v>
      </c>
      <c r="AB11" s="1204">
        <f>SUMIF('CF(Q)'!$3:$3,AB$4,'CF(Q)'!12:12)</f>
        <v>0</v>
      </c>
      <c r="AC11" s="1204">
        <f>SUMIF('CF(Q)'!$3:$3,AC$4,'CF(Q)'!12:12)</f>
        <v>0</v>
      </c>
      <c r="AD11" s="1204">
        <f>SUMIF('CF(Q)'!$3:$3,AD$4,'CF(Q)'!12:12)</f>
        <v>0</v>
      </c>
      <c r="AE11" s="1204">
        <f>SUMIF('CF(Q)'!$3:$3,AE$4,'CF(Q)'!12:12)</f>
        <v>0</v>
      </c>
      <c r="AF11" s="1204">
        <f>SUMIF('CF(Q)'!$3:$3,AF$4,'CF(Q)'!12:12)</f>
        <v>0</v>
      </c>
      <c r="AG11" s="1204">
        <f>SUMIF('CF(Q)'!$3:$3,AG$4,'CF(Q)'!12:12)</f>
        <v>0</v>
      </c>
      <c r="AH11" s="1204">
        <f>SUMIF('CF(Q)'!$3:$3,AH$4,'CF(Q)'!12:12)</f>
        <v>0</v>
      </c>
      <c r="AI11" s="1204">
        <f>SUMIF('CF(Q)'!$3:$3,AI$4,'CF(Q)'!12:12)</f>
        <v>0</v>
      </c>
      <c r="AJ11" s="1204">
        <f>SUMIF('CF(Q)'!$3:$3,AJ$4,'CF(Q)'!12:12)</f>
        <v>0</v>
      </c>
      <c r="AK11" s="1204">
        <f>SUMIF('CF(Q)'!$3:$3,AK$4,'CF(Q)'!12:12)</f>
        <v>0</v>
      </c>
      <c r="AL11" s="1204">
        <f>SUMIF('CF(Q)'!$3:$3,AL$4,'CF(Q)'!12:12)</f>
        <v>0</v>
      </c>
      <c r="AM11" s="1204">
        <f>SUMIF('CF(Q)'!$3:$3,AM$4,'CF(Q)'!12:12)</f>
        <v>0</v>
      </c>
      <c r="AN11" s="1204">
        <f>SUMIF('CF(Q)'!$3:$3,AN$4,'CF(Q)'!12:12)</f>
        <v>0</v>
      </c>
      <c r="AO11" s="1204">
        <f>SUMIF('CF(Q)'!$3:$3,AO$4,'CF(Q)'!12:12)</f>
        <v>0</v>
      </c>
      <c r="AP11" s="1204">
        <f>SUMIF('CF(Q)'!$3:$3,AP$4,'CF(Q)'!12:12)</f>
        <v>0</v>
      </c>
      <c r="AQ11" s="1204">
        <f>SUMIF('CF(Q)'!$3:$3,AQ$4,'CF(Q)'!12:12)</f>
        <v>0</v>
      </c>
      <c r="AR11" s="1204">
        <f>SUMIF('CF(Q)'!$3:$3,AR$4,'CF(Q)'!12:12)</f>
        <v>0</v>
      </c>
      <c r="AS11" s="1204">
        <f>SUMIF('CF(Q)'!$3:$3,AS$4,'CF(Q)'!12:12)</f>
        <v>0</v>
      </c>
      <c r="AT11" s="1204">
        <f>SUMIF('CF(Q)'!$3:$3,AT$4,'CF(Q)'!12:12)</f>
        <v>0</v>
      </c>
      <c r="AU11" s="1204">
        <f>SUMIF('CF(Q)'!$3:$3,AU$4,'CF(Q)'!12:12)</f>
        <v>0</v>
      </c>
      <c r="AV11" s="1204">
        <f>SUMIF('CF(Q)'!$3:$3,AV$4,'CF(Q)'!12:12)</f>
        <v>0</v>
      </c>
      <c r="AW11" s="1204">
        <f>SUMIF('CF(Q)'!$3:$3,AW$4,'CF(Q)'!12:12)</f>
        <v>0</v>
      </c>
      <c r="AX11" s="1204">
        <f>SUMIF('CF(Q)'!$3:$3,AX$4,'CF(Q)'!12:12)</f>
        <v>0</v>
      </c>
      <c r="AY11" s="1204">
        <f>SUMIF('CF(Q)'!$3:$3,AY$4,'CF(Q)'!12:12)</f>
        <v>0</v>
      </c>
      <c r="AZ11" s="1204">
        <f>SUMIF('CF(Q)'!$3:$3,AZ$4,'CF(Q)'!12:12)</f>
        <v>0</v>
      </c>
      <c r="BA11" s="1204">
        <f>SUMIF('CF(Q)'!$3:$3,BA$4,'CF(Q)'!12:12)</f>
        <v>0</v>
      </c>
      <c r="BB11" s="1204">
        <f>SUMIF('CF(Q)'!$3:$3,BB$4,'CF(Q)'!12:12)</f>
        <v>0</v>
      </c>
      <c r="BC11" s="1204">
        <f>SUMIF('CF(Q)'!$3:$3,BC$4,'CF(Q)'!12:12)</f>
        <v>0</v>
      </c>
    </row>
    <row r="12" spans="1:55" ht="17.100000000000001" customHeight="1">
      <c r="B12" s="307"/>
      <c r="C12" s="489" t="str">
        <f>'IS(Q)'!D15</f>
        <v>기타경미한수익성사업</v>
      </c>
      <c r="D12" s="331"/>
      <c r="E12" s="1868"/>
      <c r="F12" s="1207">
        <f t="shared" si="2"/>
        <v>35.346337197168324</v>
      </c>
      <c r="G12" s="1609">
        <f>SUMIF('CF(Q)'!$3:$3,G$4,'CF(Q)'!13:13)</f>
        <v>8.9709433499999989</v>
      </c>
      <c r="H12" s="1609">
        <f>SUMIF('CF(Q)'!$3:$3,H$4,'CF(Q)'!13:13)</f>
        <v>7.8065399799999993</v>
      </c>
      <c r="I12" s="1609">
        <f>SUMIF('CF(Q)'!$3:$3,I$4,'CF(Q)'!13:13)</f>
        <v>10.11225</v>
      </c>
      <c r="J12" s="1609">
        <f>SUMIF('CF(Q)'!$3:$3,J$4,'CF(Q)'!13:13)</f>
        <v>11.129696199999998</v>
      </c>
      <c r="K12" s="1609">
        <f>SUMIF('CF(Q)'!$3:$3,K$4,'CF(Q)'!13:13)</f>
        <v>8.8392419999999987</v>
      </c>
      <c r="L12" s="1609">
        <f>SUMIF('CF(Q)'!$3:$3,L$4,'CF(Q)'!13:13)</f>
        <v>6.4074640000000009</v>
      </c>
      <c r="M12" s="1204">
        <f>SUMIF('CF(Q)'!$3:$3,M$4,'CF(Q)'!13:13)</f>
        <v>6.2721720000000003</v>
      </c>
      <c r="N12" s="1204">
        <f>SUMIF('CF(Q)'!$3:$3,N$4,'CF(Q)'!13:13)</f>
        <v>5.9951599999999994</v>
      </c>
      <c r="O12" s="1204">
        <f>SUMIF('CF(Q)'!$3:$3,O$4,'CF(Q)'!13:13)</f>
        <v>3.0887920000000002</v>
      </c>
      <c r="P12" s="1204">
        <f>SUMIF('CF(Q)'!$3:$3,P$4,'CF(Q)'!13:13)</f>
        <v>1.060014</v>
      </c>
      <c r="Q12" s="1204">
        <f>SUMIF('CF(Q)'!$3:$3,Q$4,'CF(Q)'!13:13)</f>
        <v>0.5013512</v>
      </c>
      <c r="R12" s="1204">
        <f>SUMIF('CF(Q)'!$3:$3,R$4,'CF(Q)'!13:13)</f>
        <v>0.50190685999999995</v>
      </c>
      <c r="S12" s="1204">
        <f>SUMIF('CF(Q)'!$3:$3,S$4,'CF(Q)'!13:13)</f>
        <v>0.50190685999999995</v>
      </c>
      <c r="T12" s="1204">
        <f>SUMIF('CF(Q)'!$3:$3,T$4,'CF(Q)'!13:13)</f>
        <v>0.50891875999999991</v>
      </c>
      <c r="U12" s="1204">
        <f>SUMIF('CF(Q)'!$3:$3,U$4,'CF(Q)'!13:13)</f>
        <v>0.50950220299999993</v>
      </c>
      <c r="V12" s="1204">
        <f>SUMIF('CF(Q)'!$3:$3,V$4,'CF(Q)'!13:13)</f>
        <v>0.50950220299999993</v>
      </c>
      <c r="W12" s="1204">
        <f>SUMIF('CF(Q)'!$3:$3,W$4,'CF(Q)'!13:13)</f>
        <v>0.51686469800000001</v>
      </c>
      <c r="X12" s="1204">
        <f>SUMIF('CF(Q)'!$3:$3,X$4,'CF(Q)'!13:13)</f>
        <v>0.51747731315000001</v>
      </c>
      <c r="Y12" s="1204">
        <f>SUMIF('CF(Q)'!$3:$3,Y$4,'CF(Q)'!13:13)</f>
        <v>0.51747731315000001</v>
      </c>
      <c r="Z12" s="1204">
        <f>SUMIF('CF(Q)'!$3:$3,Z$4,'CF(Q)'!13:13)</f>
        <v>0.5252079328999999</v>
      </c>
      <c r="AA12" s="1204">
        <f>SUMIF('CF(Q)'!$3:$3,AA$4,'CF(Q)'!13:13)</f>
        <v>0.52585117880749999</v>
      </c>
      <c r="AB12" s="1204">
        <f>SUMIF('CF(Q)'!$3:$3,AB$4,'CF(Q)'!13:13)</f>
        <v>0.52585117880749999</v>
      </c>
      <c r="AC12" s="1204">
        <f>SUMIF('CF(Q)'!$3:$3,AC$4,'CF(Q)'!13:13)</f>
        <v>0.53396832954500006</v>
      </c>
      <c r="AD12" s="1204">
        <f>SUMIF('CF(Q)'!$3:$3,AD$4,'CF(Q)'!13:13)</f>
        <v>0.53464373774787499</v>
      </c>
      <c r="AE12" s="1204">
        <f>SUMIF('CF(Q)'!$3:$3,AE$4,'CF(Q)'!13:13)</f>
        <v>0.53464373774787499</v>
      </c>
      <c r="AF12" s="1204">
        <f>SUMIF('CF(Q)'!$3:$3,AF$4,'CF(Q)'!13:13)</f>
        <v>0.54316674602225001</v>
      </c>
      <c r="AG12" s="1204">
        <f>SUMIF('CF(Q)'!$3:$3,AG$4,'CF(Q)'!13:13)</f>
        <v>0.54387592463526879</v>
      </c>
      <c r="AH12" s="1204">
        <f>SUMIF('CF(Q)'!$3:$3,AH$4,'CF(Q)'!13:13)</f>
        <v>0.54387592463526879</v>
      </c>
      <c r="AI12" s="1204">
        <f>SUMIF('CF(Q)'!$3:$3,AI$4,'CF(Q)'!13:13)</f>
        <v>0.55282508332336244</v>
      </c>
      <c r="AJ12" s="1204">
        <f>SUMIF('CF(Q)'!$3:$3,AJ$4,'CF(Q)'!13:13)</f>
        <v>0.55356972086703216</v>
      </c>
      <c r="AK12" s="1204">
        <f>SUMIF('CF(Q)'!$3:$3,AK$4,'CF(Q)'!13:13)</f>
        <v>0.55356972086703216</v>
      </c>
      <c r="AL12" s="1204">
        <f>SUMIF('CF(Q)'!$3:$3,AL$4,'CF(Q)'!13:13)</f>
        <v>0.56296633748953051</v>
      </c>
      <c r="AM12" s="1204">
        <f>SUMIF('CF(Q)'!$3:$3,AM$4,'CF(Q)'!13:13)</f>
        <v>0.56374820691038374</v>
      </c>
      <c r="AN12" s="1204">
        <f>SUMIF('CF(Q)'!$3:$3,AN$4,'CF(Q)'!13:13)</f>
        <v>0.56374820691038374</v>
      </c>
      <c r="AO12" s="1204">
        <f>SUMIF('CF(Q)'!$3:$3,AO$4,'CF(Q)'!13:13)</f>
        <v>0.57361465436400716</v>
      </c>
      <c r="AP12" s="1204">
        <f>SUMIF('CF(Q)'!$3:$3,AP$4,'CF(Q)'!13:13)</f>
        <v>0.57443561725590297</v>
      </c>
      <c r="AQ12" s="1204">
        <f>SUMIF('CF(Q)'!$3:$3,AQ$4,'CF(Q)'!13:13)</f>
        <v>0.57443561725590297</v>
      </c>
      <c r="AR12" s="1204">
        <f>SUMIF('CF(Q)'!$3:$3,AR$4,'CF(Q)'!13:13)</f>
        <v>0.58479538708220746</v>
      </c>
      <c r="AS12" s="1204">
        <f>SUMIF('CF(Q)'!$3:$3,AS$4,'CF(Q)'!13:13)</f>
        <v>0.5856573981186981</v>
      </c>
      <c r="AT12" s="1204">
        <f>SUMIF('CF(Q)'!$3:$3,AT$4,'CF(Q)'!13:13)</f>
        <v>0.5856573981186981</v>
      </c>
      <c r="AU12" s="1204">
        <f>SUMIF('CF(Q)'!$3:$3,AU$4,'CF(Q)'!13:13)</f>
        <v>0.59653515643631783</v>
      </c>
      <c r="AV12" s="1204">
        <f>SUMIF('CF(Q)'!$3:$3,AV$4,'CF(Q)'!13:13)</f>
        <v>0.59744026802463301</v>
      </c>
      <c r="AW12" s="1204">
        <f>SUMIF('CF(Q)'!$3:$3,AW$4,'CF(Q)'!13:13)</f>
        <v>0.59744026802463301</v>
      </c>
      <c r="AX12" s="1204">
        <f>SUMIF('CF(Q)'!$3:$3,AX$4,'CF(Q)'!13:13)</f>
        <v>0.60886191425813385</v>
      </c>
      <c r="AY12" s="1204">
        <f>SUMIF('CF(Q)'!$3:$3,AY$4,'CF(Q)'!13:13)</f>
        <v>0.30490614071293243</v>
      </c>
      <c r="AZ12" s="1204">
        <f>SUMIF('CF(Q)'!$3:$3,AZ$4,'CF(Q)'!13:13)</f>
        <v>0</v>
      </c>
      <c r="BA12" s="1204">
        <f>SUMIF('CF(Q)'!$3:$3,BA$4,'CF(Q)'!13:13)</f>
        <v>0</v>
      </c>
      <c r="BB12" s="1204">
        <f>SUMIF('CF(Q)'!$3:$3,BB$4,'CF(Q)'!13:13)</f>
        <v>0</v>
      </c>
      <c r="BC12" s="1204">
        <f>SUMIF('CF(Q)'!$3:$3,BC$4,'CF(Q)'!13:13)</f>
        <v>0</v>
      </c>
    </row>
    <row r="13" spans="1:55" ht="17.100000000000001" customHeight="1">
      <c r="B13" s="307"/>
      <c r="C13" s="489" t="str">
        <f>'IS(Q)'!D16</f>
        <v>MRG (운영비 정산후)</v>
      </c>
      <c r="D13" s="331"/>
      <c r="E13" s="1869"/>
      <c r="F13" s="1204">
        <f t="shared" ca="1" si="2"/>
        <v>481.07387750191828</v>
      </c>
      <c r="G13" s="1609">
        <f>SUMIF('CF(Q)'!$3:$3,G$4,'CF(Q)'!14:14)</f>
        <v>80</v>
      </c>
      <c r="H13" s="1609">
        <f>SUMIF('CF(Q)'!$3:$3,H$4,'CF(Q)'!14:14)</f>
        <v>276.32803958</v>
      </c>
      <c r="I13" s="1609">
        <f>SUMIF('CF(Q)'!$3:$3,I$4,'CF(Q)'!14:14)</f>
        <v>197.66892971999999</v>
      </c>
      <c r="J13" s="1609">
        <f>SUMIF('CF(Q)'!$3:$3,J$4,'CF(Q)'!14:14)</f>
        <v>187.66659816000001</v>
      </c>
      <c r="K13" s="1609">
        <f>SUMIF('CF(Q)'!$3:$3,K$4,'CF(Q)'!14:14)</f>
        <v>7.9639801499999994</v>
      </c>
      <c r="L13" s="1609">
        <f>SUMIF('CF(Q)'!$3:$3,L$4,'CF(Q)'!14:14)</f>
        <v>258.14670812000003</v>
      </c>
      <c r="M13" s="1204">
        <f>SUMIF('CF(Q)'!$3:$3,M$4,'CF(Q)'!14:14)</f>
        <v>90.635823799999997</v>
      </c>
      <c r="N13" s="1204">
        <f>SUMIF('CF(Q)'!$3:$3,N$4,'CF(Q)'!14:14)</f>
        <v>60</v>
      </c>
      <c r="O13" s="1204">
        <f ca="1">SUMIF('CF(Q)'!$3:$3,O$4,'CF(Q)'!14:14)</f>
        <v>172.08065699736997</v>
      </c>
      <c r="P13" s="1204">
        <f ca="1">SUMIF('CF(Q)'!$3:$3,P$4,'CF(Q)'!14:14)</f>
        <v>114.21101101222435</v>
      </c>
      <c r="Q13" s="1204">
        <f ca="1">SUMIF('CF(Q)'!$3:$3,Q$4,'CF(Q)'!14:14)</f>
        <v>44.146385692323996</v>
      </c>
      <c r="R13" s="1204">
        <f>SUMIF('CF(Q)'!$3:$3,R$4,'CF(Q)'!14:14)</f>
        <v>0</v>
      </c>
      <c r="S13" s="1204">
        <f>SUMIF('CF(Q)'!$3:$3,S$4,'CF(Q)'!14:14)</f>
        <v>0</v>
      </c>
      <c r="T13" s="1204">
        <f>SUMIF('CF(Q)'!$3:$3,T$4,'CF(Q)'!14:14)</f>
        <v>0</v>
      </c>
      <c r="U13" s="1204">
        <f>SUMIF('CF(Q)'!$3:$3,U$4,'CF(Q)'!14:14)</f>
        <v>0</v>
      </c>
      <c r="V13" s="1204">
        <f>SUMIF('CF(Q)'!$3:$3,V$4,'CF(Q)'!14:14)</f>
        <v>0</v>
      </c>
      <c r="W13" s="1204">
        <f>SUMIF('CF(Q)'!$3:$3,W$4,'CF(Q)'!14:14)</f>
        <v>0</v>
      </c>
      <c r="X13" s="1204">
        <f>SUMIF('CF(Q)'!$3:$3,X$4,'CF(Q)'!14:14)</f>
        <v>0</v>
      </c>
      <c r="Y13" s="1204">
        <f>SUMIF('CF(Q)'!$3:$3,Y$4,'CF(Q)'!14:14)</f>
        <v>0</v>
      </c>
      <c r="Z13" s="1204">
        <f>SUMIF('CF(Q)'!$3:$3,Z$4,'CF(Q)'!14:14)</f>
        <v>0</v>
      </c>
      <c r="AA13" s="1204">
        <f>SUMIF('CF(Q)'!$3:$3,AA$4,'CF(Q)'!14:14)</f>
        <v>0</v>
      </c>
      <c r="AB13" s="1204">
        <f>SUMIF('CF(Q)'!$3:$3,AB$4,'CF(Q)'!14:14)</f>
        <v>0</v>
      </c>
      <c r="AC13" s="1204">
        <f>SUMIF('CF(Q)'!$3:$3,AC$4,'CF(Q)'!14:14)</f>
        <v>0</v>
      </c>
      <c r="AD13" s="1204">
        <f>SUMIF('CF(Q)'!$3:$3,AD$4,'CF(Q)'!14:14)</f>
        <v>0</v>
      </c>
      <c r="AE13" s="1204">
        <f>SUMIF('CF(Q)'!$3:$3,AE$4,'CF(Q)'!14:14)</f>
        <v>0</v>
      </c>
      <c r="AF13" s="1204">
        <f>SUMIF('CF(Q)'!$3:$3,AF$4,'CF(Q)'!14:14)</f>
        <v>0</v>
      </c>
      <c r="AG13" s="1204">
        <f>SUMIF('CF(Q)'!$3:$3,AG$4,'CF(Q)'!14:14)</f>
        <v>0</v>
      </c>
      <c r="AH13" s="1204">
        <f>SUMIF('CF(Q)'!$3:$3,AH$4,'CF(Q)'!14:14)</f>
        <v>0</v>
      </c>
      <c r="AI13" s="1204">
        <f>SUMIF('CF(Q)'!$3:$3,AI$4,'CF(Q)'!14:14)</f>
        <v>0</v>
      </c>
      <c r="AJ13" s="1204">
        <f>SUMIF('CF(Q)'!$3:$3,AJ$4,'CF(Q)'!14:14)</f>
        <v>0</v>
      </c>
      <c r="AK13" s="1204">
        <f>SUMIF('CF(Q)'!$3:$3,AK$4,'CF(Q)'!14:14)</f>
        <v>0</v>
      </c>
      <c r="AL13" s="1204">
        <f>SUMIF('CF(Q)'!$3:$3,AL$4,'CF(Q)'!14:14)</f>
        <v>0</v>
      </c>
      <c r="AM13" s="1204">
        <f>SUMIF('CF(Q)'!$3:$3,AM$4,'CF(Q)'!14:14)</f>
        <v>0</v>
      </c>
      <c r="AN13" s="1204">
        <f>SUMIF('CF(Q)'!$3:$3,AN$4,'CF(Q)'!14:14)</f>
        <v>0</v>
      </c>
      <c r="AO13" s="1204">
        <f>SUMIF('CF(Q)'!$3:$3,AO$4,'CF(Q)'!14:14)</f>
        <v>0</v>
      </c>
      <c r="AP13" s="1204">
        <f>SUMIF('CF(Q)'!$3:$3,AP$4,'CF(Q)'!14:14)</f>
        <v>0</v>
      </c>
      <c r="AQ13" s="1204">
        <f>SUMIF('CF(Q)'!$3:$3,AQ$4,'CF(Q)'!14:14)</f>
        <v>0</v>
      </c>
      <c r="AR13" s="1204">
        <f>SUMIF('CF(Q)'!$3:$3,AR$4,'CF(Q)'!14:14)</f>
        <v>0</v>
      </c>
      <c r="AS13" s="1204">
        <f>SUMIF('CF(Q)'!$3:$3,AS$4,'CF(Q)'!14:14)</f>
        <v>0</v>
      </c>
      <c r="AT13" s="1204">
        <f>SUMIF('CF(Q)'!$3:$3,AT$4,'CF(Q)'!14:14)</f>
        <v>0</v>
      </c>
      <c r="AU13" s="1204">
        <f>SUMIF('CF(Q)'!$3:$3,AU$4,'CF(Q)'!14:14)</f>
        <v>0</v>
      </c>
      <c r="AV13" s="1204">
        <f>SUMIF('CF(Q)'!$3:$3,AV$4,'CF(Q)'!14:14)</f>
        <v>0</v>
      </c>
      <c r="AW13" s="1204">
        <f>SUMIF('CF(Q)'!$3:$3,AW$4,'CF(Q)'!14:14)</f>
        <v>0</v>
      </c>
      <c r="AX13" s="1204">
        <f>SUMIF('CF(Q)'!$3:$3,AX$4,'CF(Q)'!14:14)</f>
        <v>0</v>
      </c>
      <c r="AY13" s="1204">
        <f>SUMIF('CF(Q)'!$3:$3,AY$4,'CF(Q)'!14:14)</f>
        <v>0</v>
      </c>
      <c r="AZ13" s="1204">
        <f>SUMIF('CF(Q)'!$3:$3,AZ$4,'CF(Q)'!14:14)</f>
        <v>0</v>
      </c>
      <c r="BA13" s="1204">
        <f>SUMIF('CF(Q)'!$3:$3,BA$4,'CF(Q)'!14:14)</f>
        <v>0</v>
      </c>
      <c r="BB13" s="1204">
        <f>SUMIF('CF(Q)'!$3:$3,BB$4,'CF(Q)'!14:14)</f>
        <v>0</v>
      </c>
      <c r="BC13" s="1204">
        <f>SUMIF('CF(Q)'!$3:$3,BC$4,'CF(Q)'!14:14)</f>
        <v>0</v>
      </c>
    </row>
    <row r="14" spans="1:55" ht="17.100000000000001" customHeight="1">
      <c r="B14" s="1510" t="s">
        <v>1303</v>
      </c>
      <c r="C14" s="428"/>
      <c r="D14" s="1511"/>
      <c r="E14" s="1512"/>
      <c r="F14" s="1867">
        <f t="shared" ca="1" si="2"/>
        <v>11267.384220084066</v>
      </c>
      <c r="G14" s="1648">
        <f t="shared" ref="G14:AL14" si="5">SUM(G15:G25)</f>
        <v>318.42724724544422</v>
      </c>
      <c r="H14" s="1648">
        <f t="shared" si="5"/>
        <v>302.714479044646</v>
      </c>
      <c r="I14" s="1648">
        <f t="shared" si="5"/>
        <v>256.21725329017306</v>
      </c>
      <c r="J14" s="1648">
        <f t="shared" si="5"/>
        <v>278.62522221</v>
      </c>
      <c r="K14" s="1648">
        <f t="shared" ca="1" si="5"/>
        <v>253.59538431990987</v>
      </c>
      <c r="L14" s="1648">
        <f t="shared" ca="1" si="5"/>
        <v>264.20188436284201</v>
      </c>
      <c r="M14" s="1650">
        <f t="shared" ca="1" si="5"/>
        <v>182.77220592187146</v>
      </c>
      <c r="N14" s="1650">
        <f t="shared" ca="1" si="5"/>
        <v>145.6556584669276</v>
      </c>
      <c r="O14" s="1650">
        <f t="shared" ca="1" si="5"/>
        <v>259.2539667799046</v>
      </c>
      <c r="P14" s="1650">
        <f t="shared" ca="1" si="5"/>
        <v>236.03467146410202</v>
      </c>
      <c r="Q14" s="1650">
        <f t="shared" ca="1" si="5"/>
        <v>117.32639129960796</v>
      </c>
      <c r="R14" s="1650">
        <f t="shared" ca="1" si="5"/>
        <v>139.62757616410917</v>
      </c>
      <c r="S14" s="1650">
        <f t="shared" ca="1" si="5"/>
        <v>234.18808287055913</v>
      </c>
      <c r="T14" s="1650">
        <f t="shared" ca="1" si="5"/>
        <v>246.80812004667129</v>
      </c>
      <c r="U14" s="1650">
        <f t="shared" ca="1" si="5"/>
        <v>255.72132858590999</v>
      </c>
      <c r="V14" s="1650">
        <f t="shared" ca="1" si="5"/>
        <v>251.86482517835336</v>
      </c>
      <c r="W14" s="1650">
        <f t="shared" ca="1" si="5"/>
        <v>264.53398528067561</v>
      </c>
      <c r="X14" s="1650">
        <f t="shared" ca="1" si="5"/>
        <v>260.18778424503256</v>
      </c>
      <c r="Y14" s="1650">
        <f t="shared" ca="1" si="5"/>
        <v>266.24394620800018</v>
      </c>
      <c r="Z14" s="1650">
        <f t="shared" ca="1" si="5"/>
        <v>271.12167792958343</v>
      </c>
      <c r="AA14" s="1650">
        <f t="shared" ca="1" si="5"/>
        <v>277.76617372355747</v>
      </c>
      <c r="AB14" s="1650">
        <f t="shared" ca="1" si="5"/>
        <v>274.76425795771979</v>
      </c>
      <c r="AC14" s="1650">
        <f t="shared" ca="1" si="5"/>
        <v>284.09791906133233</v>
      </c>
      <c r="AD14" s="1650">
        <f t="shared" ca="1" si="5"/>
        <v>287.56480815980609</v>
      </c>
      <c r="AE14" s="1650">
        <f t="shared" ca="1" si="5"/>
        <v>293.51735770120689</v>
      </c>
      <c r="AF14" s="1650">
        <f t="shared" ca="1" si="5"/>
        <v>292.03792228217611</v>
      </c>
      <c r="AG14" s="1650">
        <f t="shared" ca="1" si="5"/>
        <v>300.77897186437673</v>
      </c>
      <c r="AH14" s="1650">
        <f t="shared" ca="1" si="5"/>
        <v>298.05360655710905</v>
      </c>
      <c r="AI14" s="1650">
        <f t="shared" ca="1" si="5"/>
        <v>308.17777627019359</v>
      </c>
      <c r="AJ14" s="1650">
        <f t="shared" ca="1" si="5"/>
        <v>308.49718369158393</v>
      </c>
      <c r="AK14" s="1650">
        <f t="shared" ca="1" si="5"/>
        <v>317.54099476471248</v>
      </c>
      <c r="AL14" s="1650">
        <f t="shared" ca="1" si="5"/>
        <v>319.78679070759972</v>
      </c>
      <c r="AM14" s="1650">
        <f t="shared" ref="AM14:BC14" ca="1" si="6">SUM(AM15:AM25)</f>
        <v>329.31886709004067</v>
      </c>
      <c r="AN14" s="1650">
        <f t="shared" ca="1" si="6"/>
        <v>332.31042647205282</v>
      </c>
      <c r="AO14" s="1650">
        <f t="shared" ca="1" si="6"/>
        <v>349.96839253927322</v>
      </c>
      <c r="AP14" s="1650">
        <f t="shared" ca="1" si="6"/>
        <v>343.4230363448612</v>
      </c>
      <c r="AQ14" s="1650">
        <f t="shared" ca="1" si="6"/>
        <v>353.05929392725062</v>
      </c>
      <c r="AR14" s="1650">
        <f t="shared" ca="1" si="6"/>
        <v>364.72714457729518</v>
      </c>
      <c r="AS14" s="1650">
        <f t="shared" ca="1" si="6"/>
        <v>365.42984399576687</v>
      </c>
      <c r="AT14" s="1650">
        <f t="shared" ca="1" si="6"/>
        <v>369.28906179507567</v>
      </c>
      <c r="AU14" s="1650">
        <f t="shared" ca="1" si="6"/>
        <v>380.61694080998433</v>
      </c>
      <c r="AV14" s="1650">
        <f t="shared" ca="1" si="6"/>
        <v>382.87248509468668</v>
      </c>
      <c r="AW14" s="1650">
        <f t="shared" ca="1" si="6"/>
        <v>394.64975515614952</v>
      </c>
      <c r="AX14" s="1650">
        <f t="shared" ca="1" si="6"/>
        <v>402.92419010006154</v>
      </c>
      <c r="AY14" s="1650">
        <f t="shared" ca="1" si="6"/>
        <v>204.87079899888272</v>
      </c>
      <c r="AZ14" s="1650">
        <f t="shared" si="6"/>
        <v>0</v>
      </c>
      <c r="BA14" s="1650">
        <f t="shared" si="6"/>
        <v>0</v>
      </c>
      <c r="BB14" s="1650">
        <f t="shared" si="6"/>
        <v>0</v>
      </c>
      <c r="BC14" s="1650">
        <f t="shared" si="6"/>
        <v>0</v>
      </c>
    </row>
    <row r="15" spans="1:55" s="4924" customFormat="1" ht="17.100000000000001" customHeight="1">
      <c r="B15" s="5017"/>
      <c r="C15" s="5046" t="str">
        <f>'CF(Q)'!C16</f>
        <v>운영비용(운영위탁수수료)</v>
      </c>
      <c r="D15" s="5047"/>
      <c r="E15" s="1869"/>
      <c r="F15" s="1204">
        <f t="shared" ca="1" si="2"/>
        <v>9022.1256968770012</v>
      </c>
      <c r="G15" s="1204">
        <f>SUMIF('CF(Q)'!$3:$3,G$4,'CF(Q)'!16:16)</f>
        <v>141.5097619654442</v>
      </c>
      <c r="H15" s="1204">
        <f>SUMIF('CF(Q)'!$3:$3,H$4,'CF(Q)'!16:16)</f>
        <v>172.34232073009017</v>
      </c>
      <c r="I15" s="1204">
        <f>SUMIF('CF(Q)'!$3:$3,I$4,'CF(Q)'!16:16)</f>
        <v>187.99310693017307</v>
      </c>
      <c r="J15" s="1204">
        <f>SUMIF('CF(Q)'!$3:$3,J$4,'CF(Q)'!16:16)</f>
        <v>191.42255041999999</v>
      </c>
      <c r="K15" s="948">
        <f>SUMIF('CF(Q)'!$3:$3,K$4,'CF(Q)'!16:16)</f>
        <v>159.51562047698565</v>
      </c>
      <c r="L15" s="1204">
        <f ca="1">SUMIF('CF(Q)'!$3:$3,L$4,'CF(Q)'!16:16)</f>
        <v>169.47258819076092</v>
      </c>
      <c r="M15" s="1204">
        <f>SUMIF('CF(Q)'!$3:$3,M$4,'CF(Q)'!16:16)</f>
        <v>101.14636917</v>
      </c>
      <c r="N15" s="1204">
        <f ca="1">SUMIF('CF(Q)'!$3:$3,N$4,'CF(Q)'!16:16)</f>
        <v>65.468718755702724</v>
      </c>
      <c r="O15" s="1204">
        <f ca="1">SUMIF('CF(Q)'!$3:$3,O$4,'CF(Q)'!16:16)</f>
        <v>182.84334280006894</v>
      </c>
      <c r="P15" s="1204">
        <f ca="1">SUMIF('CF(Q)'!$3:$3,P$4,'CF(Q)'!16:16)</f>
        <v>163.32126462929975</v>
      </c>
      <c r="Q15" s="1204">
        <f ca="1">SUMIF('CF(Q)'!$3:$3,Q$4,'CF(Q)'!16:16)</f>
        <v>54.279840930092725</v>
      </c>
      <c r="R15" s="1204">
        <f ca="1">SUMIF('CF(Q)'!$3:$3,R$4,'CF(Q)'!16:16)</f>
        <v>81.713576263688708</v>
      </c>
      <c r="S15" s="1204">
        <f ca="1">SUMIF('CF(Q)'!$3:$3,S$4,'CF(Q)'!16:16)</f>
        <v>194.45588737055633</v>
      </c>
      <c r="T15" s="1204">
        <f ca="1">SUMIF('CF(Q)'!$3:$3,T$4,'CF(Q)'!16:16)</f>
        <v>200.35172153595673</v>
      </c>
      <c r="U15" s="1204">
        <f ca="1">SUMIF('CF(Q)'!$3:$3,U$4,'CF(Q)'!16:16)</f>
        <v>204.96912779651157</v>
      </c>
      <c r="V15" s="1204">
        <f ca="1">SUMIF('CF(Q)'!$3:$3,V$4,'CF(Q)'!16:16)</f>
        <v>208.66263882486447</v>
      </c>
      <c r="W15" s="1204">
        <f ca="1">SUMIF('CF(Q)'!$3:$3,W$4,'CF(Q)'!16:16)</f>
        <v>213.52448995553044</v>
      </c>
      <c r="X15" s="1204">
        <f ca="1">SUMIF('CF(Q)'!$3:$3,X$4,'CF(Q)'!16:16)</f>
        <v>217.14330317208851</v>
      </c>
      <c r="Y15" s="1204">
        <f ca="1">SUMIF('CF(Q)'!$3:$3,Y$4,'CF(Q)'!16:16)</f>
        <v>222.11532692281696</v>
      </c>
      <c r="Z15" s="1204">
        <f ca="1">SUMIF('CF(Q)'!$3:$3,Z$4,'CF(Q)'!16:16)</f>
        <v>222.97911843418109</v>
      </c>
      <c r="AA15" s="1204">
        <f ca="1">SUMIF('CF(Q)'!$3:$3,AA$4,'CF(Q)'!16:16)</f>
        <v>226.7881067369556</v>
      </c>
      <c r="AB15" s="1204">
        <f ca="1">SUMIF('CF(Q)'!$3:$3,AB$4,'CF(Q)'!16:16)</f>
        <v>228.63991430621451</v>
      </c>
      <c r="AC15" s="1204">
        <f ca="1">SUMIF('CF(Q)'!$3:$3,AC$4,'CF(Q)'!16:16)</f>
        <v>233.40239288859843</v>
      </c>
      <c r="AD15" s="1204">
        <f ca="1">SUMIF('CF(Q)'!$3:$3,AD$4,'CF(Q)'!16:16)</f>
        <v>236.11495540465316</v>
      </c>
      <c r="AE15" s="1204">
        <f ca="1">SUMIF('CF(Q)'!$3:$3,AE$4,'CF(Q)'!16:16)</f>
        <v>240.03875025000127</v>
      </c>
      <c r="AF15" s="1204">
        <f ca="1">SUMIF('CF(Q)'!$3:$3,AF$4,'CF(Q)'!16:16)</f>
        <v>243.52832441307734</v>
      </c>
      <c r="AG15" s="1204">
        <f ca="1">SUMIF('CF(Q)'!$3:$3,AG$4,'CF(Q)'!16:16)</f>
        <v>248.15780221420133</v>
      </c>
      <c r="AH15" s="1204">
        <f ca="1">SUMIF('CF(Q)'!$3:$3,AH$4,'CF(Q)'!16:16)</f>
        <v>249.97259335676694</v>
      </c>
      <c r="AI15" s="1204">
        <f ca="1">SUMIF('CF(Q)'!$3:$3,AI$4,'CF(Q)'!16:16)</f>
        <v>254.97474030116695</v>
      </c>
      <c r="AJ15" s="1204">
        <f ca="1">SUMIF('CF(Q)'!$3:$3,AJ$4,'CF(Q)'!16:16)</f>
        <v>255.62241580671011</v>
      </c>
      <c r="AK15" s="1204">
        <f ca="1">SUMIF('CF(Q)'!$3:$3,AK$4,'CF(Q)'!16:16)</f>
        <v>261.63740963826291</v>
      </c>
      <c r="AL15" s="1204">
        <f ca="1">SUMIF('CF(Q)'!$3:$3,AL$4,'CF(Q)'!16:16)</f>
        <v>263.34484061694582</v>
      </c>
      <c r="AM15" s="1204">
        <f ca="1">SUMIF('CF(Q)'!$3:$3,AM$4,'CF(Q)'!16:16)</f>
        <v>267.38562956450369</v>
      </c>
      <c r="AN15" s="1204">
        <f ca="1">SUMIF('CF(Q)'!$3:$3,AN$4,'CF(Q)'!16:16)</f>
        <v>275.03265717219261</v>
      </c>
      <c r="AO15" s="1204">
        <f ca="1">SUMIF('CF(Q)'!$3:$3,AO$4,'CF(Q)'!16:16)</f>
        <v>283.01107671405146</v>
      </c>
      <c r="AP15" s="1204">
        <f ca="1">SUMIF('CF(Q)'!$3:$3,AP$4,'CF(Q)'!16:16)</f>
        <v>287.2708508202669</v>
      </c>
      <c r="AQ15" s="1204">
        <f ca="1">SUMIF('CF(Q)'!$3:$3,AQ$4,'CF(Q)'!16:16)</f>
        <v>292.75119314421244</v>
      </c>
      <c r="AR15" s="1204">
        <f ca="1">SUMIF('CF(Q)'!$3:$3,AR$4,'CF(Q)'!16:16)</f>
        <v>296.73484198740783</v>
      </c>
      <c r="AS15" s="1204">
        <f ca="1">SUMIF('CF(Q)'!$3:$3,AS$4,'CF(Q)'!16:16)</f>
        <v>302.57710039300559</v>
      </c>
      <c r="AT15" s="1204">
        <f ca="1">SUMIF('CF(Q)'!$3:$3,AT$4,'CF(Q)'!16:16)</f>
        <v>304.63844997607021</v>
      </c>
      <c r="AU15" s="1204">
        <f ca="1">SUMIF('CF(Q)'!$3:$3,AU$4,'CF(Q)'!16:16)</f>
        <v>310.94062483877224</v>
      </c>
      <c r="AV15" s="1204">
        <f ca="1">SUMIF('CF(Q)'!$3:$3,AV$4,'CF(Q)'!16:16)</f>
        <v>312.62486925928107</v>
      </c>
      <c r="AW15" s="1204">
        <f ca="1">SUMIF('CF(Q)'!$3:$3,AW$4,'CF(Q)'!16:16)</f>
        <v>319.30214954760805</v>
      </c>
      <c r="AX15" s="1204">
        <f ca="1">SUMIF('CF(Q)'!$3:$3,AX$4,'CF(Q)'!16:16)</f>
        <v>328.11031219444067</v>
      </c>
      <c r="AY15" s="1204">
        <f ca="1">SUMIF('CF(Q)'!$3:$3,AY$4,'CF(Q)'!16:16)</f>
        <v>166.54896877027826</v>
      </c>
      <c r="AZ15" s="1204">
        <f>SUMIF('CF(Q)'!$3:$3,AZ$4,'CF(Q)'!16:16)</f>
        <v>0</v>
      </c>
      <c r="BA15" s="1204">
        <f>SUMIF('CF(Q)'!$3:$3,BA$4,'CF(Q)'!16:16)</f>
        <v>0</v>
      </c>
      <c r="BB15" s="1204">
        <f>SUMIF('CF(Q)'!$3:$3,BB$4,'CF(Q)'!16:16)</f>
        <v>0</v>
      </c>
      <c r="BC15" s="1204">
        <f>SUMIF('CF(Q)'!$3:$3,BC$4,'CF(Q)'!16:16)</f>
        <v>0</v>
      </c>
    </row>
    <row r="16" spans="1:55" s="4924" customFormat="1" ht="17.100000000000001" customHeight="1">
      <c r="B16" s="5017"/>
      <c r="C16" s="5046" t="str">
        <f>'CF(Q)'!C17</f>
        <v>법인운영비</v>
      </c>
      <c r="D16" s="5047"/>
      <c r="E16" s="1869"/>
      <c r="F16" s="1204">
        <f t="shared" ref="F16" ca="1" si="7">SUM(M16:BC16)</f>
        <v>1302.1847298916857</v>
      </c>
      <c r="G16" s="1204">
        <f>SUMIF('CF(Q)'!$3:$3,G$4,'CF(Q)'!17:17)</f>
        <v>0</v>
      </c>
      <c r="H16" s="1204">
        <f>SUMIF('CF(Q)'!$3:$3,H$4,'CF(Q)'!17:17)</f>
        <v>0</v>
      </c>
      <c r="I16" s="1204">
        <f>SUMIF('CF(Q)'!$3:$3,I$4,'CF(Q)'!17:17)</f>
        <v>0</v>
      </c>
      <c r="J16" s="1204">
        <f>SUMIF('CF(Q)'!$3:$3,J$4,'CF(Q)'!17:17)</f>
        <v>0</v>
      </c>
      <c r="K16" s="948">
        <f>SUMIF('CF(Q)'!$3:$3,K$4,'CF(Q)'!17:17)</f>
        <v>36.548427093014354</v>
      </c>
      <c r="L16" s="1204">
        <f ca="1">SUMIF('CF(Q)'!$3:$3,L$4,'CF(Q)'!17:17)</f>
        <v>37.975980239239092</v>
      </c>
      <c r="M16" s="1204">
        <f>SUMIF('CF(Q)'!$3:$3,M$4,'CF(Q)'!17:17)</f>
        <v>30.639570320000004</v>
      </c>
      <c r="N16" s="1204">
        <f ca="1">SUMIF('CF(Q)'!$3:$3,N$4,'CF(Q)'!17:17)</f>
        <v>25.805264812250943</v>
      </c>
      <c r="O16" s="1204">
        <f ca="1">SUMIF('CF(Q)'!$3:$3,O$4,'CF(Q)'!17:17)</f>
        <v>25.952445912458085</v>
      </c>
      <c r="P16" s="1204">
        <f ca="1">SUMIF('CF(Q)'!$3:$3,P$4,'CF(Q)'!17:17)</f>
        <v>27.302976320907362</v>
      </c>
      <c r="Q16" s="1204">
        <f ca="1">SUMIF('CF(Q)'!$3:$3,Q$4,'CF(Q)'!17:17)</f>
        <v>25.196620694858417</v>
      </c>
      <c r="R16" s="1204">
        <f ca="1">SUMIF('CF(Q)'!$3:$3,R$4,'CF(Q)'!17:17)</f>
        <v>27.908004880077495</v>
      </c>
      <c r="S16" s="1204">
        <f ca="1">SUMIF('CF(Q)'!$3:$3,S$4,'CF(Q)'!17:17)</f>
        <v>28.133431572861401</v>
      </c>
      <c r="T16" s="1204">
        <f ca="1">SUMIF('CF(Q)'!$3:$3,T$4,'CF(Q)'!17:17)</f>
        <v>28.818886179704332</v>
      </c>
      <c r="U16" s="1204">
        <f ca="1">SUMIF('CF(Q)'!$3:$3,U$4,'CF(Q)'!17:17)</f>
        <v>29.867290097141968</v>
      </c>
      <c r="V16" s="1204">
        <f ca="1">SUMIF('CF(Q)'!$3:$3,V$4,'CF(Q)'!17:17)</f>
        <v>29.399199792441692</v>
      </c>
      <c r="W16" s="1204">
        <f ca="1">SUMIF('CF(Q)'!$3:$3,W$4,'CF(Q)'!17:17)</f>
        <v>28.754832843438443</v>
      </c>
      <c r="X16" s="1204">
        <f ca="1">SUMIF('CF(Q)'!$3:$3,X$4,'CF(Q)'!17:17)</f>
        <v>29.316188913758765</v>
      </c>
      <c r="Y16" s="1204">
        <f ca="1">SUMIF('CF(Q)'!$3:$3,Y$4,'CF(Q)'!17:17)</f>
        <v>29.112090198701242</v>
      </c>
      <c r="Z16" s="1204">
        <f ca="1">SUMIF('CF(Q)'!$3:$3,Z$4,'CF(Q)'!17:17)</f>
        <v>30.439906958382082</v>
      </c>
      <c r="AA16" s="1204">
        <f ca="1">SUMIF('CF(Q)'!$3:$3,AA$4,'CF(Q)'!17:17)</f>
        <v>31.000558576106886</v>
      </c>
      <c r="AB16" s="1204">
        <f ca="1">SUMIF('CF(Q)'!$3:$3,AB$4,'CF(Q)'!17:17)</f>
        <v>31.743114062069182</v>
      </c>
      <c r="AC16" s="1204">
        <f ca="1">SUMIF('CF(Q)'!$3:$3,AC$4,'CF(Q)'!17:17)</f>
        <v>31.532010030529896</v>
      </c>
      <c r="AD16" s="1204">
        <f ca="1">SUMIF('CF(Q)'!$3:$3,AD$4,'CF(Q)'!17:17)</f>
        <v>31.566219565010652</v>
      </c>
      <c r="AE16" s="1204">
        <f ca="1">SUMIF('CF(Q)'!$3:$3,AE$4,'CF(Q)'!17:17)</f>
        <v>32.434389710757429</v>
      </c>
      <c r="AF16" s="1204">
        <f ca="1">SUMIF('CF(Q)'!$3:$3,AF$4,'CF(Q)'!17:17)</f>
        <v>32.087789991655512</v>
      </c>
      <c r="AG16" s="1204">
        <f ca="1">SUMIF('CF(Q)'!$3:$3,AG$4,'CF(Q)'!17:17)</f>
        <v>32.485999033192321</v>
      </c>
      <c r="AH16" s="1204">
        <f ca="1">SUMIF('CF(Q)'!$3:$3,AH$4,'CF(Q)'!17:17)</f>
        <v>33.544901706588618</v>
      </c>
      <c r="AI16" s="1204">
        <f ca="1">SUMIF('CF(Q)'!$3:$3,AI$4,'CF(Q)'!17:17)</f>
        <v>33.496246065131395</v>
      </c>
      <c r="AJ16" s="1204">
        <f ca="1">SUMIF('CF(Q)'!$3:$3,AJ$4,'CF(Q)'!17:17)</f>
        <v>35.767252854767925</v>
      </c>
      <c r="AK16" s="1204">
        <f ca="1">SUMIF('CF(Q)'!$3:$3,AK$4,'CF(Q)'!17:17)</f>
        <v>35.281462167086751</v>
      </c>
      <c r="AL16" s="1204">
        <f ca="1">SUMIF('CF(Q)'!$3:$3,AL$4,'CF(Q)'!17:17)</f>
        <v>36.200211720444429</v>
      </c>
      <c r="AM16" s="1204">
        <f ca="1">SUMIF('CF(Q)'!$3:$3,AM$4,'CF(Q)'!17:17)</f>
        <v>37.545736671677702</v>
      </c>
      <c r="AN16" s="1204">
        <f ca="1">SUMIF('CF(Q)'!$3:$3,AN$4,'CF(Q)'!17:17)</f>
        <v>39.041011847054044</v>
      </c>
      <c r="AO16" s="1204">
        <f ca="1">SUMIF('CF(Q)'!$3:$3,AO$4,'CF(Q)'!17:17)</f>
        <v>38.239650717055127</v>
      </c>
      <c r="AP16" s="1204">
        <f ca="1">SUMIF('CF(Q)'!$3:$3,AP$4,'CF(Q)'!17:17)</f>
        <v>38.004053237512089</v>
      </c>
      <c r="AQ16" s="1204">
        <f ca="1">SUMIF('CF(Q)'!$3:$3,AQ$4,'CF(Q)'!17:17)</f>
        <v>38.717163094596366</v>
      </c>
      <c r="AR16" s="1204">
        <f ca="1">SUMIF('CF(Q)'!$3:$3,AR$4,'CF(Q)'!17:17)</f>
        <v>39.929504193127066</v>
      </c>
      <c r="AS16" s="1204">
        <f ca="1">SUMIF('CF(Q)'!$3:$3,AS$4,'CF(Q)'!17:17)</f>
        <v>40.512403747555879</v>
      </c>
      <c r="AT16" s="1204">
        <f ca="1">SUMIF('CF(Q)'!$3:$3,AT$4,'CF(Q)'!17:17)</f>
        <v>41.664252048630445</v>
      </c>
      <c r="AU16" s="1204">
        <f ca="1">SUMIF('CF(Q)'!$3:$3,AU$4,'CF(Q)'!17:17)</f>
        <v>41.211239533430195</v>
      </c>
      <c r="AV16" s="1204">
        <f ca="1">SUMIF('CF(Q)'!$3:$3,AV$4,'CF(Q)'!17:17)</f>
        <v>43.508034678080094</v>
      </c>
      <c r="AW16" s="1204">
        <f ca="1">SUMIF('CF(Q)'!$3:$3,AW$4,'CF(Q)'!17:17)</f>
        <v>43.470856154817717</v>
      </c>
      <c r="AX16" s="1204">
        <f ca="1">SUMIF('CF(Q)'!$3:$3,AX$4,'CF(Q)'!17:17)</f>
        <v>44.030037353939164</v>
      </c>
      <c r="AY16" s="1204">
        <f ca="1">SUMIF('CF(Q)'!$3:$3,AY$4,'CF(Q)'!17:17)</f>
        <v>22.523921633886676</v>
      </c>
      <c r="AZ16" s="1204">
        <f>SUMIF('CF(Q)'!$3:$3,AZ$4,'CF(Q)'!17:17)</f>
        <v>0</v>
      </c>
      <c r="BA16" s="1204">
        <f>SUMIF('CF(Q)'!$3:$3,BA$4,'CF(Q)'!17:17)</f>
        <v>0</v>
      </c>
      <c r="BB16" s="1204">
        <f>SUMIF('CF(Q)'!$3:$3,BB$4,'CF(Q)'!17:17)</f>
        <v>0</v>
      </c>
      <c r="BC16" s="1204">
        <f>SUMIF('CF(Q)'!$3:$3,BC$4,'CF(Q)'!17:17)</f>
        <v>0</v>
      </c>
    </row>
    <row r="17" spans="2:55" s="4924" customFormat="1" ht="17.100000000000001" customHeight="1">
      <c r="B17" s="5017"/>
      <c r="C17" s="5046" t="str">
        <f>'CF(Q)'!C18</f>
        <v>미지급운영비 지급</v>
      </c>
      <c r="D17" s="5047"/>
      <c r="E17" s="1869"/>
      <c r="F17" s="1204">
        <f t="shared" ref="F17" si="8">SUM(M17:BC17)</f>
        <v>0</v>
      </c>
      <c r="G17" s="1204">
        <f>SUMIF('CF(Q)'!$3:$3,G$4,'CF(Q)'!18:18)</f>
        <v>0</v>
      </c>
      <c r="H17" s="1204">
        <f>SUMIF('CF(Q)'!$3:$3,H$4,'CF(Q)'!18:18)</f>
        <v>0</v>
      </c>
      <c r="I17" s="1204">
        <f>SUMIF('CF(Q)'!$3:$3,I$4,'CF(Q)'!18:18)</f>
        <v>0</v>
      </c>
      <c r="J17" s="1204">
        <f>SUMIF('CF(Q)'!$3:$3,J$4,'CF(Q)'!18:18)</f>
        <v>0</v>
      </c>
      <c r="K17" s="948">
        <f>SUMIF('CF(Q)'!$3:$3,K$4,'CF(Q)'!18:18)</f>
        <v>0</v>
      </c>
      <c r="L17" s="1204">
        <f>SUMIF('CF(Q)'!$3:$3,L$4,'CF(Q)'!18:18)</f>
        <v>0</v>
      </c>
      <c r="M17" s="1204">
        <f>SUMIF('CF(Q)'!$3:$3,M$4,'CF(Q)'!18:18)</f>
        <v>0</v>
      </c>
      <c r="N17" s="1204">
        <f>SUMIF('CF(Q)'!$3:$3,N$4,'CF(Q)'!18:18)</f>
        <v>0</v>
      </c>
      <c r="O17" s="1204">
        <f>SUMIF('CF(Q)'!$3:$3,O$4,'CF(Q)'!18:18)</f>
        <v>0</v>
      </c>
      <c r="P17" s="1204">
        <f>SUMIF('CF(Q)'!$3:$3,P$4,'CF(Q)'!18:18)</f>
        <v>0</v>
      </c>
      <c r="Q17" s="1204">
        <f>SUMIF('CF(Q)'!$3:$3,Q$4,'CF(Q)'!18:18)</f>
        <v>0</v>
      </c>
      <c r="R17" s="1204">
        <f>SUMIF('CF(Q)'!$3:$3,R$4,'CF(Q)'!18:18)</f>
        <v>0</v>
      </c>
      <c r="S17" s="1204">
        <f>SUMIF('CF(Q)'!$3:$3,S$4,'CF(Q)'!18:18)</f>
        <v>0</v>
      </c>
      <c r="T17" s="1204">
        <f>SUMIF('CF(Q)'!$3:$3,T$4,'CF(Q)'!18:18)</f>
        <v>0</v>
      </c>
      <c r="U17" s="1204">
        <f>SUMIF('CF(Q)'!$3:$3,U$4,'CF(Q)'!18:18)</f>
        <v>0</v>
      </c>
      <c r="V17" s="1204">
        <f>SUMIF('CF(Q)'!$3:$3,V$4,'CF(Q)'!18:18)</f>
        <v>0</v>
      </c>
      <c r="W17" s="1204">
        <f>SUMIF('CF(Q)'!$3:$3,W$4,'CF(Q)'!18:18)</f>
        <v>0</v>
      </c>
      <c r="X17" s="1204">
        <f>SUMIF('CF(Q)'!$3:$3,X$4,'CF(Q)'!18:18)</f>
        <v>0</v>
      </c>
      <c r="Y17" s="1204">
        <f>SUMIF('CF(Q)'!$3:$3,Y$4,'CF(Q)'!18:18)</f>
        <v>0</v>
      </c>
      <c r="Z17" s="1204">
        <f>SUMIF('CF(Q)'!$3:$3,Z$4,'CF(Q)'!18:18)</f>
        <v>0</v>
      </c>
      <c r="AA17" s="1204">
        <f>SUMIF('CF(Q)'!$3:$3,AA$4,'CF(Q)'!18:18)</f>
        <v>0</v>
      </c>
      <c r="AB17" s="1204">
        <f>SUMIF('CF(Q)'!$3:$3,AB$4,'CF(Q)'!18:18)</f>
        <v>0</v>
      </c>
      <c r="AC17" s="1204">
        <f>SUMIF('CF(Q)'!$3:$3,AC$4,'CF(Q)'!18:18)</f>
        <v>0</v>
      </c>
      <c r="AD17" s="1204">
        <f>SUMIF('CF(Q)'!$3:$3,AD$4,'CF(Q)'!18:18)</f>
        <v>0</v>
      </c>
      <c r="AE17" s="1204">
        <f>SUMIF('CF(Q)'!$3:$3,AE$4,'CF(Q)'!18:18)</f>
        <v>0</v>
      </c>
      <c r="AF17" s="1204">
        <f>SUMIF('CF(Q)'!$3:$3,AF$4,'CF(Q)'!18:18)</f>
        <v>0</v>
      </c>
      <c r="AG17" s="1204">
        <f>SUMIF('CF(Q)'!$3:$3,AG$4,'CF(Q)'!18:18)</f>
        <v>0</v>
      </c>
      <c r="AH17" s="1204">
        <f>SUMIF('CF(Q)'!$3:$3,AH$4,'CF(Q)'!18:18)</f>
        <v>0</v>
      </c>
      <c r="AI17" s="1204">
        <f>SUMIF('CF(Q)'!$3:$3,AI$4,'CF(Q)'!18:18)</f>
        <v>0</v>
      </c>
      <c r="AJ17" s="1204">
        <f>SUMIF('CF(Q)'!$3:$3,AJ$4,'CF(Q)'!18:18)</f>
        <v>0</v>
      </c>
      <c r="AK17" s="1204">
        <f>SUMIF('CF(Q)'!$3:$3,AK$4,'CF(Q)'!18:18)</f>
        <v>0</v>
      </c>
      <c r="AL17" s="1204">
        <f>SUMIF('CF(Q)'!$3:$3,AL$4,'CF(Q)'!18:18)</f>
        <v>0</v>
      </c>
      <c r="AM17" s="1204">
        <f>SUMIF('CF(Q)'!$3:$3,AM$4,'CF(Q)'!18:18)</f>
        <v>0</v>
      </c>
      <c r="AN17" s="1204">
        <f>SUMIF('CF(Q)'!$3:$3,AN$4,'CF(Q)'!18:18)</f>
        <v>0</v>
      </c>
      <c r="AO17" s="1204">
        <f>SUMIF('CF(Q)'!$3:$3,AO$4,'CF(Q)'!18:18)</f>
        <v>0</v>
      </c>
      <c r="AP17" s="1204">
        <f>SUMIF('CF(Q)'!$3:$3,AP$4,'CF(Q)'!18:18)</f>
        <v>0</v>
      </c>
      <c r="AQ17" s="1204">
        <f>SUMIF('CF(Q)'!$3:$3,AQ$4,'CF(Q)'!18:18)</f>
        <v>0</v>
      </c>
      <c r="AR17" s="1204">
        <f>SUMIF('CF(Q)'!$3:$3,AR$4,'CF(Q)'!18:18)</f>
        <v>0</v>
      </c>
      <c r="AS17" s="1204">
        <f>SUMIF('CF(Q)'!$3:$3,AS$4,'CF(Q)'!18:18)</f>
        <v>0</v>
      </c>
      <c r="AT17" s="1204">
        <f>SUMIF('CF(Q)'!$3:$3,AT$4,'CF(Q)'!18:18)</f>
        <v>0</v>
      </c>
      <c r="AU17" s="1204">
        <f>SUMIF('CF(Q)'!$3:$3,AU$4,'CF(Q)'!18:18)</f>
        <v>0</v>
      </c>
      <c r="AV17" s="1204">
        <f>SUMIF('CF(Q)'!$3:$3,AV$4,'CF(Q)'!18:18)</f>
        <v>0</v>
      </c>
      <c r="AW17" s="1204">
        <f>SUMIF('CF(Q)'!$3:$3,AW$4,'CF(Q)'!18:18)</f>
        <v>0</v>
      </c>
      <c r="AX17" s="1204">
        <f>SUMIF('CF(Q)'!$3:$3,AX$4,'CF(Q)'!18:18)</f>
        <v>0</v>
      </c>
      <c r="AY17" s="1204">
        <f>SUMIF('CF(Q)'!$3:$3,AY$4,'CF(Q)'!18:18)</f>
        <v>0</v>
      </c>
      <c r="AZ17" s="1204">
        <f>SUMIF('CF(Q)'!$3:$3,AZ$4,'CF(Q)'!18:18)</f>
        <v>0</v>
      </c>
      <c r="BA17" s="1204">
        <f>SUMIF('CF(Q)'!$3:$3,BA$4,'CF(Q)'!18:18)</f>
        <v>0</v>
      </c>
      <c r="BB17" s="1204">
        <f>SUMIF('CF(Q)'!$3:$3,BB$4,'CF(Q)'!18:18)</f>
        <v>0</v>
      </c>
      <c r="BC17" s="1204">
        <f>SUMIF('CF(Q)'!$3:$3,BC$4,'CF(Q)'!18:18)</f>
        <v>0</v>
      </c>
    </row>
    <row r="18" spans="2:55" ht="17.100000000000001" customHeight="1">
      <c r="B18" s="307"/>
      <c r="C18" s="489" t="str">
        <f>'CF(Q)'!C19</f>
        <v>유지비</v>
      </c>
      <c r="D18" s="331"/>
      <c r="E18" s="1868"/>
      <c r="F18" s="1207">
        <f t="shared" ca="1" si="2"/>
        <v>41.97485677596859</v>
      </c>
      <c r="G18" s="1609">
        <f>SUMIF('CF(Q)'!$3:$3,G$4,'CF(Q)'!19:19)</f>
        <v>0</v>
      </c>
      <c r="H18" s="1609">
        <f>SUMIF('CF(Q)'!$3:$3,H$4,'CF(Q)'!19:19)</f>
        <v>0</v>
      </c>
      <c r="I18" s="1609">
        <f>SUMIF('CF(Q)'!$3:$3,I$4,'CF(Q)'!19:19)</f>
        <v>0</v>
      </c>
      <c r="J18" s="1609">
        <f>SUMIF('CF(Q)'!$3:$3,J$4,'CF(Q)'!19:19)</f>
        <v>0</v>
      </c>
      <c r="K18" s="1609">
        <f ca="1">SUMIF('CF(Q)'!$3:$3,K$4,'CF(Q)'!19:19)</f>
        <v>0</v>
      </c>
      <c r="L18" s="1609">
        <f ca="1">SUMIF('CF(Q)'!$3:$3,L$4,'CF(Q)'!19:19)</f>
        <v>0</v>
      </c>
      <c r="M18" s="1204">
        <f ca="1">SUMIF('CF(Q)'!$3:$3,M$4,'CF(Q)'!19:19)</f>
        <v>0</v>
      </c>
      <c r="N18" s="1204">
        <f ca="1">SUMIF('CF(Q)'!$3:$3,N$4,'CF(Q)'!19:19)</f>
        <v>0</v>
      </c>
      <c r="O18" s="1204">
        <f ca="1">SUMIF('CF(Q)'!$3:$3,O$4,'CF(Q)'!19:19)</f>
        <v>0</v>
      </c>
      <c r="P18" s="1204">
        <f ca="1">SUMIF('CF(Q)'!$3:$3,P$4,'CF(Q)'!19:19)</f>
        <v>0</v>
      </c>
      <c r="Q18" s="1204">
        <f ca="1">SUMIF('CF(Q)'!$3:$3,Q$4,'CF(Q)'!19:19)</f>
        <v>0</v>
      </c>
      <c r="R18" s="1204">
        <f ca="1">SUMIF('CF(Q)'!$3:$3,R$4,'CF(Q)'!19:19)</f>
        <v>0</v>
      </c>
      <c r="S18" s="1204">
        <f ca="1">SUMIF('CF(Q)'!$3:$3,S$4,'CF(Q)'!19:19)</f>
        <v>2.1230403012019998</v>
      </c>
      <c r="T18" s="1204">
        <f ca="1">SUMIF('CF(Q)'!$3:$3,T$4,'CF(Q)'!19:19)</f>
        <v>0</v>
      </c>
      <c r="U18" s="1204">
        <f ca="1">SUMIF('CF(Q)'!$3:$3,U$4,'CF(Q)'!19:19)</f>
        <v>4.9378265776640431</v>
      </c>
      <c r="V18" s="1204">
        <f ca="1">SUMIF('CF(Q)'!$3:$3,V$4,'CF(Q)'!19:19)</f>
        <v>0</v>
      </c>
      <c r="W18" s="1204">
        <f ca="1">SUMIF('CF(Q)'!$3:$3,W$4,'CF(Q)'!19:19)</f>
        <v>2.6510931009868908</v>
      </c>
      <c r="X18" s="1204">
        <f ca="1">SUMIF('CF(Q)'!$3:$3,X$4,'CF(Q)'!19:19)</f>
        <v>0</v>
      </c>
      <c r="Y18" s="1204">
        <f ca="1">SUMIF('CF(Q)'!$3:$3,Y$4,'CF(Q)'!19:19)</f>
        <v>0</v>
      </c>
      <c r="Z18" s="1204">
        <f ca="1">SUMIF('CF(Q)'!$3:$3,Z$4,'CF(Q)'!19:19)</f>
        <v>0</v>
      </c>
      <c r="AA18" s="1204">
        <f ca="1">SUMIF('CF(Q)'!$3:$3,AA$4,'CF(Q)'!19:19)</f>
        <v>3.4484226397128714</v>
      </c>
      <c r="AB18" s="1204">
        <f ca="1">SUMIF('CF(Q)'!$3:$3,AB$4,'CF(Q)'!19:19)</f>
        <v>0</v>
      </c>
      <c r="AC18" s="1204">
        <f ca="1">SUMIF('CF(Q)'!$3:$3,AC$4,'CF(Q)'!19:19)</f>
        <v>0</v>
      </c>
      <c r="AD18" s="1204">
        <f ca="1">SUMIF('CF(Q)'!$3:$3,AD$4,'CF(Q)'!19:19)</f>
        <v>2.8423306352950455</v>
      </c>
      <c r="AE18" s="1204">
        <f ca="1">SUMIF('CF(Q)'!$3:$3,AE$4,'CF(Q)'!19:19)</f>
        <v>5.4544324891311904</v>
      </c>
      <c r="AF18" s="1204">
        <f ca="1">SUMIF('CF(Q)'!$3:$3,AF$4,'CF(Q)'!19:19)</f>
        <v>0</v>
      </c>
      <c r="AG18" s="1204">
        <f ca="1">SUMIF('CF(Q)'!$3:$3,AG$4,'CF(Q)'!19:19)</f>
        <v>0</v>
      </c>
      <c r="AH18" s="1204">
        <f ca="1">SUMIF('CF(Q)'!$3:$3,AH$4,'CF(Q)'!19:19)</f>
        <v>0</v>
      </c>
      <c r="AI18" s="1204">
        <f ca="1">SUMIF('CF(Q)'!$3:$3,AI$4,'CF(Q)'!19:19)</f>
        <v>0</v>
      </c>
      <c r="AJ18" s="1204">
        <f ca="1">SUMIF('CF(Q)'!$3:$3,AJ$4,'CF(Q)'!19:19)</f>
        <v>0</v>
      </c>
      <c r="AK18" s="1204">
        <f ca="1">SUMIF('CF(Q)'!$3:$3,AK$4,'CF(Q)'!19:19)</f>
        <v>3.0473631564765959</v>
      </c>
      <c r="AL18" s="1204">
        <f ca="1">SUMIF('CF(Q)'!$3:$3,AL$4,'CF(Q)'!19:19)</f>
        <v>0</v>
      </c>
      <c r="AM18" s="1204">
        <f ca="1">SUMIF('CF(Q)'!$3:$3,AM$4,'CF(Q)'!19:19)</f>
        <v>3.8857689449022192</v>
      </c>
      <c r="AN18" s="1204">
        <f ca="1">SUMIF('CF(Q)'!$3:$3,AN$4,'CF(Q)'!19:19)</f>
        <v>0</v>
      </c>
      <c r="AO18" s="1204">
        <f ca="1">SUMIF('CF(Q)'!$3:$3,AO$4,'CF(Q)'!19:19)</f>
        <v>6.0250868090560301</v>
      </c>
      <c r="AP18" s="1204">
        <f ca="1">SUMIF('CF(Q)'!$3:$3,AP$4,'CF(Q)'!19:19)</f>
        <v>0</v>
      </c>
      <c r="AQ18" s="1204">
        <f ca="1">SUMIF('CF(Q)'!$3:$3,AQ$4,'CF(Q)'!19:19)</f>
        <v>0</v>
      </c>
      <c r="AR18" s="1204">
        <f ca="1">SUMIF('CF(Q)'!$3:$3,AR$4,'CF(Q)'!19:19)</f>
        <v>3.2671857707669658</v>
      </c>
      <c r="AS18" s="1204">
        <f ca="1">SUMIF('CF(Q)'!$3:$3,AS$4,'CF(Q)'!19:19)</f>
        <v>0</v>
      </c>
      <c r="AT18" s="1204">
        <f ca="1">SUMIF('CF(Q)'!$3:$3,AT$4,'CF(Q)'!19:19)</f>
        <v>0</v>
      </c>
      <c r="AU18" s="1204">
        <f ca="1">SUMIF('CF(Q)'!$3:$3,AU$4,'CF(Q)'!19:19)</f>
        <v>0</v>
      </c>
      <c r="AV18" s="1204">
        <f ca="1">SUMIF('CF(Q)'!$3:$3,AV$4,'CF(Q)'!19:19)</f>
        <v>0</v>
      </c>
      <c r="AW18" s="1204">
        <f ca="1">SUMIF('CF(Q)'!$3:$3,AW$4,'CF(Q)'!19:19)</f>
        <v>4.2923063507747434</v>
      </c>
      <c r="AX18" s="1204">
        <f ca="1">SUMIF('CF(Q)'!$3:$3,AX$4,'CF(Q)'!19:19)</f>
        <v>0</v>
      </c>
      <c r="AY18" s="1204">
        <f ca="1">SUMIF('CF(Q)'!$3:$3,AY$4,'CF(Q)'!19:19)</f>
        <v>0</v>
      </c>
      <c r="AZ18" s="1204">
        <f>SUMIF('CF(Q)'!$3:$3,AZ$4,'CF(Q)'!19:19)</f>
        <v>0</v>
      </c>
      <c r="BA18" s="1204">
        <f>SUMIF('CF(Q)'!$3:$3,BA$4,'CF(Q)'!19:19)</f>
        <v>0</v>
      </c>
      <c r="BB18" s="1204">
        <f>SUMIF('CF(Q)'!$3:$3,BB$4,'CF(Q)'!19:19)</f>
        <v>0</v>
      </c>
      <c r="BC18" s="1204">
        <f>SUMIF('CF(Q)'!$3:$3,BC$4,'CF(Q)'!19:19)</f>
        <v>0</v>
      </c>
    </row>
    <row r="19" spans="2:55" ht="17.100000000000001" customHeight="1">
      <c r="B19" s="307"/>
      <c r="C19" s="489" t="str">
        <f>'CF(Q)'!C20</f>
        <v xml:space="preserve">기타 </v>
      </c>
      <c r="D19" s="331"/>
      <c r="E19" s="1868"/>
      <c r="F19" s="1207">
        <f t="shared" si="2"/>
        <v>161.5908372818715</v>
      </c>
      <c r="G19" s="1609">
        <f>SUMIF('CF(Q)'!$3:$3,G$4,'CF(Q)'!20:20)</f>
        <v>71.837713140000005</v>
      </c>
      <c r="H19" s="1609">
        <f>SUMIF('CF(Q)'!$3:$3,H$4,'CF(Q)'!20:20)</f>
        <v>50.962731454555801</v>
      </c>
      <c r="I19" s="1609">
        <f>SUMIF('CF(Q)'!$3:$3,I$4,'CF(Q)'!20:20)</f>
        <v>-1.5409944399999995</v>
      </c>
      <c r="J19" s="1609">
        <f>SUMIF('CF(Q)'!$3:$3,J$4,'CF(Q)'!20:20)</f>
        <v>14.421827019999998</v>
      </c>
      <c r="K19" s="1609">
        <f>SUMIF('CF(Q)'!$3:$3,K$4,'CF(Q)'!20:20)</f>
        <v>-2.0239921000901333</v>
      </c>
      <c r="L19" s="1609">
        <f>SUMIF('CF(Q)'!$3:$3,L$4,'CF(Q)'!20:20)</f>
        <v>4.211335792842033</v>
      </c>
      <c r="M19" s="1204">
        <f>SUMIF('CF(Q)'!$3:$3,M$4,'CF(Q)'!20:20)</f>
        <v>-2.3091627181285332</v>
      </c>
      <c r="N19" s="1204">
        <f>SUMIF('CF(Q)'!$3:$3,N$4,'CF(Q)'!20:20)</f>
        <v>10.4</v>
      </c>
      <c r="O19" s="1204">
        <f>SUMIF('CF(Q)'!$3:$3,O$4,'CF(Q)'!20:20)</f>
        <v>10</v>
      </c>
      <c r="P19" s="1204">
        <f>SUMIF('CF(Q)'!$3:$3,P$4,'CF(Q)'!20:20)</f>
        <v>10</v>
      </c>
      <c r="Q19" s="1204">
        <f>SUMIF('CF(Q)'!$3:$3,Q$4,'CF(Q)'!20:20)</f>
        <v>10</v>
      </c>
      <c r="R19" s="1204">
        <f>SUMIF('CF(Q)'!$3:$3,R$4,'CF(Q)'!20:20)</f>
        <v>9.9</v>
      </c>
      <c r="S19" s="1204">
        <f>SUMIF('CF(Q)'!$3:$3,S$4,'CF(Q)'!20:20)</f>
        <v>9.6</v>
      </c>
      <c r="T19" s="1204">
        <f>SUMIF('CF(Q)'!$3:$3,T$4,'CF(Q)'!20:20)</f>
        <v>9.6</v>
      </c>
      <c r="U19" s="1204">
        <f>SUMIF('CF(Q)'!$3:$3,U$4,'CF(Q)'!20:20)</f>
        <v>9.6</v>
      </c>
      <c r="V19" s="1204">
        <f>SUMIF('CF(Q)'!$3:$3,V$4,'CF(Q)'!20:20)</f>
        <v>9.6</v>
      </c>
      <c r="W19" s="1204">
        <f>SUMIF('CF(Q)'!$3:$3,W$4,'CF(Q)'!20:20)</f>
        <v>8.8999999999999986</v>
      </c>
      <c r="X19" s="1204">
        <f>SUMIF('CF(Q)'!$3:$3,X$4,'CF(Q)'!20:20)</f>
        <v>6.8</v>
      </c>
      <c r="Y19" s="1204">
        <f>SUMIF('CF(Q)'!$3:$3,Y$4,'CF(Q)'!20:20)</f>
        <v>6.8</v>
      </c>
      <c r="Z19" s="1204">
        <f>SUMIF('CF(Q)'!$3:$3,Z$4,'CF(Q)'!20:20)</f>
        <v>6.8</v>
      </c>
      <c r="AA19" s="1204">
        <f>SUMIF('CF(Q)'!$3:$3,AA$4,'CF(Q)'!20:20)</f>
        <v>6.8</v>
      </c>
      <c r="AB19" s="1204">
        <f>SUMIF('CF(Q)'!$3:$3,AB$4,'CF(Q)'!20:20)</f>
        <v>6.8</v>
      </c>
      <c r="AC19" s="1204">
        <f>SUMIF('CF(Q)'!$3:$3,AC$4,'CF(Q)'!20:20)</f>
        <v>6.8</v>
      </c>
      <c r="AD19" s="1204">
        <f>SUMIF('CF(Q)'!$3:$3,AD$4,'CF(Q)'!20:20)</f>
        <v>6.8</v>
      </c>
      <c r="AE19" s="1204">
        <f>SUMIF('CF(Q)'!$3:$3,AE$4,'CF(Q)'!20:20)</f>
        <v>6.8</v>
      </c>
      <c r="AF19" s="1204">
        <f>SUMIF('CF(Q)'!$3:$3,AF$4,'CF(Q)'!20:20)</f>
        <v>6.8</v>
      </c>
      <c r="AG19" s="1204">
        <f>SUMIF('CF(Q)'!$3:$3,AG$4,'CF(Q)'!20:20)</f>
        <v>5.0999999999999996</v>
      </c>
      <c r="AH19" s="1204">
        <f>SUMIF('CF(Q)'!$3:$3,AH$4,'CF(Q)'!20:20)</f>
        <v>0</v>
      </c>
      <c r="AI19" s="1204">
        <f>SUMIF('CF(Q)'!$3:$3,AI$4,'CF(Q)'!20:20)</f>
        <v>0</v>
      </c>
      <c r="AJ19" s="1204">
        <f>SUMIF('CF(Q)'!$3:$3,AJ$4,'CF(Q)'!20:20)</f>
        <v>0</v>
      </c>
      <c r="AK19" s="1204">
        <f>SUMIF('CF(Q)'!$3:$3,AK$4,'CF(Q)'!20:20)</f>
        <v>0</v>
      </c>
      <c r="AL19" s="1204">
        <f>SUMIF('CF(Q)'!$3:$3,AL$4,'CF(Q)'!20:20)</f>
        <v>0</v>
      </c>
      <c r="AM19" s="1204">
        <f>SUMIF('CF(Q)'!$3:$3,AM$4,'CF(Q)'!20:20)</f>
        <v>0</v>
      </c>
      <c r="AN19" s="1204">
        <f>SUMIF('CF(Q)'!$3:$3,AN$4,'CF(Q)'!20:20)</f>
        <v>0</v>
      </c>
      <c r="AO19" s="1204">
        <f>SUMIF('CF(Q)'!$3:$3,AO$4,'CF(Q)'!20:20)</f>
        <v>0</v>
      </c>
      <c r="AP19" s="1204">
        <f>SUMIF('CF(Q)'!$3:$3,AP$4,'CF(Q)'!20:20)</f>
        <v>0</v>
      </c>
      <c r="AQ19" s="1204">
        <f>SUMIF('CF(Q)'!$3:$3,AQ$4,'CF(Q)'!20:20)</f>
        <v>0</v>
      </c>
      <c r="AR19" s="1204">
        <f>SUMIF('CF(Q)'!$3:$3,AR$4,'CF(Q)'!20:20)</f>
        <v>0</v>
      </c>
      <c r="AS19" s="1204">
        <f>SUMIF('CF(Q)'!$3:$3,AS$4,'CF(Q)'!20:20)</f>
        <v>0</v>
      </c>
      <c r="AT19" s="1204">
        <f>SUMIF('CF(Q)'!$3:$3,AT$4,'CF(Q)'!20:20)</f>
        <v>0</v>
      </c>
      <c r="AU19" s="1204">
        <f>SUMIF('CF(Q)'!$3:$3,AU$4,'CF(Q)'!20:20)</f>
        <v>0</v>
      </c>
      <c r="AV19" s="1204">
        <f>SUMIF('CF(Q)'!$3:$3,AV$4,'CF(Q)'!20:20)</f>
        <v>0</v>
      </c>
      <c r="AW19" s="1204">
        <f>SUMIF('CF(Q)'!$3:$3,AW$4,'CF(Q)'!20:20)</f>
        <v>0</v>
      </c>
      <c r="AX19" s="1204">
        <f>SUMIF('CF(Q)'!$3:$3,AX$4,'CF(Q)'!20:20)</f>
        <v>0</v>
      </c>
      <c r="AY19" s="1204">
        <f>SUMIF('CF(Q)'!$3:$3,AY$4,'CF(Q)'!20:20)</f>
        <v>0</v>
      </c>
      <c r="AZ19" s="1204">
        <f>SUMIF('CF(Q)'!$3:$3,AZ$4,'CF(Q)'!20:20)</f>
        <v>0</v>
      </c>
      <c r="BA19" s="1204">
        <f>SUMIF('CF(Q)'!$3:$3,BA$4,'CF(Q)'!20:20)</f>
        <v>0</v>
      </c>
      <c r="BB19" s="1204">
        <f>SUMIF('CF(Q)'!$3:$3,BB$4,'CF(Q)'!20:20)</f>
        <v>0</v>
      </c>
      <c r="BC19" s="1204">
        <f>SUMIF('CF(Q)'!$3:$3,BC$4,'CF(Q)'!20:20)</f>
        <v>0</v>
      </c>
    </row>
    <row r="20" spans="2:55" ht="17.100000000000001" customHeight="1">
      <c r="B20" s="307"/>
      <c r="C20" s="489" t="str">
        <f>'CF(Q)'!C21</f>
        <v>금융수수료</v>
      </c>
      <c r="D20" s="331"/>
      <c r="E20" s="1868"/>
      <c r="F20" s="1207">
        <f t="shared" ca="1" si="2"/>
        <v>2.6999999999999997</v>
      </c>
      <c r="G20" s="1609">
        <f>SUMIF('CF(Q)'!$3:$3,G$4,'CF(Q)'!21:21)</f>
        <v>20.0802102</v>
      </c>
      <c r="H20" s="1609">
        <f>SUMIF('CF(Q)'!$3:$3,H$4,'CF(Q)'!21:21)</f>
        <v>0.43604490000000001</v>
      </c>
      <c r="I20" s="1609">
        <f>SUMIF('CF(Q)'!$3:$3,I$4,'CF(Q)'!21:21)</f>
        <v>0.43485360000000001</v>
      </c>
      <c r="J20" s="1609">
        <f>SUMIF('CF(Q)'!$3:$3,J$4,'CF(Q)'!21:21)</f>
        <v>0.41093659999999999</v>
      </c>
      <c r="K20" s="1609">
        <f>SUMIF('CF(Q)'!$3:$3,K$4,'CF(Q)'!21:21)</f>
        <v>0</v>
      </c>
      <c r="L20" s="1609">
        <f>SUMIF('CF(Q)'!$3:$3,L$4,'CF(Q)'!21:21)</f>
        <v>0</v>
      </c>
      <c r="M20" s="1204">
        <f ca="1">SUMIF('CF(Q)'!$3:$3,M$4,'CF(Q)'!21:21)</f>
        <v>0.3</v>
      </c>
      <c r="N20" s="1204">
        <f ca="1">SUMIF('CF(Q)'!$3:$3,N$4,'CF(Q)'!21:21)</f>
        <v>0.3</v>
      </c>
      <c r="O20" s="1204">
        <f ca="1">SUMIF('CF(Q)'!$3:$3,O$4,'CF(Q)'!21:21)</f>
        <v>0.3</v>
      </c>
      <c r="P20" s="1204">
        <f ca="1">SUMIF('CF(Q)'!$3:$3,P$4,'CF(Q)'!21:21)</f>
        <v>0.3</v>
      </c>
      <c r="Q20" s="1204">
        <f ca="1">SUMIF('CF(Q)'!$3:$3,Q$4,'CF(Q)'!21:21)</f>
        <v>0.3</v>
      </c>
      <c r="R20" s="1204">
        <f ca="1">SUMIF('CF(Q)'!$3:$3,R$4,'CF(Q)'!21:21)</f>
        <v>0.3</v>
      </c>
      <c r="S20" s="1204">
        <f ca="1">SUMIF('CF(Q)'!$3:$3,S$4,'CF(Q)'!21:21)</f>
        <v>0.3</v>
      </c>
      <c r="T20" s="1204">
        <f ca="1">SUMIF('CF(Q)'!$3:$3,T$4,'CF(Q)'!21:21)</f>
        <v>0.3</v>
      </c>
      <c r="U20" s="1204">
        <f ca="1">SUMIF('CF(Q)'!$3:$3,U$4,'CF(Q)'!21:21)</f>
        <v>0.3</v>
      </c>
      <c r="V20" s="1204">
        <f ca="1">SUMIF('CF(Q)'!$3:$3,V$4,'CF(Q)'!21:21)</f>
        <v>0</v>
      </c>
      <c r="W20" s="1204">
        <f ca="1">SUMIF('CF(Q)'!$3:$3,W$4,'CF(Q)'!21:21)</f>
        <v>0</v>
      </c>
      <c r="X20" s="1204">
        <f ca="1">SUMIF('CF(Q)'!$3:$3,X$4,'CF(Q)'!21:21)</f>
        <v>0</v>
      </c>
      <c r="Y20" s="1204">
        <f ca="1">SUMIF('CF(Q)'!$3:$3,Y$4,'CF(Q)'!21:21)</f>
        <v>0</v>
      </c>
      <c r="Z20" s="1204">
        <f ca="1">SUMIF('CF(Q)'!$3:$3,Z$4,'CF(Q)'!21:21)</f>
        <v>0</v>
      </c>
      <c r="AA20" s="1204">
        <f ca="1">SUMIF('CF(Q)'!$3:$3,AA$4,'CF(Q)'!21:21)</f>
        <v>0</v>
      </c>
      <c r="AB20" s="1204">
        <f ca="1">SUMIF('CF(Q)'!$3:$3,AB$4,'CF(Q)'!21:21)</f>
        <v>0</v>
      </c>
      <c r="AC20" s="1204">
        <f ca="1">SUMIF('CF(Q)'!$3:$3,AC$4,'CF(Q)'!21:21)</f>
        <v>0</v>
      </c>
      <c r="AD20" s="1204">
        <f ca="1">SUMIF('CF(Q)'!$3:$3,AD$4,'CF(Q)'!21:21)</f>
        <v>0</v>
      </c>
      <c r="AE20" s="1204">
        <f ca="1">SUMIF('CF(Q)'!$3:$3,AE$4,'CF(Q)'!21:21)</f>
        <v>0</v>
      </c>
      <c r="AF20" s="1204">
        <f ca="1">SUMIF('CF(Q)'!$3:$3,AF$4,'CF(Q)'!21:21)</f>
        <v>0</v>
      </c>
      <c r="AG20" s="1204">
        <f ca="1">SUMIF('CF(Q)'!$3:$3,AG$4,'CF(Q)'!21:21)</f>
        <v>0</v>
      </c>
      <c r="AH20" s="1204">
        <f ca="1">SUMIF('CF(Q)'!$3:$3,AH$4,'CF(Q)'!21:21)</f>
        <v>0</v>
      </c>
      <c r="AI20" s="1204">
        <f ca="1">SUMIF('CF(Q)'!$3:$3,AI$4,'CF(Q)'!21:21)</f>
        <v>0</v>
      </c>
      <c r="AJ20" s="1204">
        <f ca="1">SUMIF('CF(Q)'!$3:$3,AJ$4,'CF(Q)'!21:21)</f>
        <v>0</v>
      </c>
      <c r="AK20" s="1204">
        <f ca="1">SUMIF('CF(Q)'!$3:$3,AK$4,'CF(Q)'!21:21)</f>
        <v>0</v>
      </c>
      <c r="AL20" s="1204">
        <f ca="1">SUMIF('CF(Q)'!$3:$3,AL$4,'CF(Q)'!21:21)</f>
        <v>0</v>
      </c>
      <c r="AM20" s="1204">
        <f ca="1">SUMIF('CF(Q)'!$3:$3,AM$4,'CF(Q)'!21:21)</f>
        <v>0</v>
      </c>
      <c r="AN20" s="1204">
        <f ca="1">SUMIF('CF(Q)'!$3:$3,AN$4,'CF(Q)'!21:21)</f>
        <v>0</v>
      </c>
      <c r="AO20" s="1204">
        <f ca="1">SUMIF('CF(Q)'!$3:$3,AO$4,'CF(Q)'!21:21)</f>
        <v>0</v>
      </c>
      <c r="AP20" s="1204">
        <f ca="1">SUMIF('CF(Q)'!$3:$3,AP$4,'CF(Q)'!21:21)</f>
        <v>0</v>
      </c>
      <c r="AQ20" s="1204">
        <f ca="1">SUMIF('CF(Q)'!$3:$3,AQ$4,'CF(Q)'!21:21)</f>
        <v>0</v>
      </c>
      <c r="AR20" s="1204">
        <f ca="1">SUMIF('CF(Q)'!$3:$3,AR$4,'CF(Q)'!21:21)</f>
        <v>0</v>
      </c>
      <c r="AS20" s="1204">
        <f ca="1">SUMIF('CF(Q)'!$3:$3,AS$4,'CF(Q)'!21:21)</f>
        <v>0</v>
      </c>
      <c r="AT20" s="1204">
        <f ca="1">SUMIF('CF(Q)'!$3:$3,AT$4,'CF(Q)'!21:21)</f>
        <v>0</v>
      </c>
      <c r="AU20" s="1204">
        <f ca="1">SUMIF('CF(Q)'!$3:$3,AU$4,'CF(Q)'!21:21)</f>
        <v>0</v>
      </c>
      <c r="AV20" s="1204">
        <f ca="1">SUMIF('CF(Q)'!$3:$3,AV$4,'CF(Q)'!21:21)</f>
        <v>0</v>
      </c>
      <c r="AW20" s="1204">
        <f ca="1">SUMIF('CF(Q)'!$3:$3,AW$4,'CF(Q)'!21:21)</f>
        <v>0</v>
      </c>
      <c r="AX20" s="1204">
        <f ca="1">SUMIF('CF(Q)'!$3:$3,AX$4,'CF(Q)'!21:21)</f>
        <v>0</v>
      </c>
      <c r="AY20" s="1204">
        <f ca="1">SUMIF('CF(Q)'!$3:$3,AY$4,'CF(Q)'!21:21)</f>
        <v>0</v>
      </c>
      <c r="AZ20" s="1204">
        <f>SUMIF('CF(Q)'!$3:$3,AZ$4,'CF(Q)'!21:21)</f>
        <v>0</v>
      </c>
      <c r="BA20" s="1204">
        <f>SUMIF('CF(Q)'!$3:$3,BA$4,'CF(Q)'!21:21)</f>
        <v>0</v>
      </c>
      <c r="BB20" s="1204">
        <f>SUMIF('CF(Q)'!$3:$3,BB$4,'CF(Q)'!21:21)</f>
        <v>0</v>
      </c>
      <c r="BC20" s="1204">
        <f>SUMIF('CF(Q)'!$3:$3,BC$4,'CF(Q)'!21:21)</f>
        <v>0</v>
      </c>
    </row>
    <row r="21" spans="2:55" ht="17.100000000000001" customHeight="1">
      <c r="B21" s="307"/>
      <c r="C21" s="489" t="str">
        <f>'IS(Y)'!D29</f>
        <v>기존차입금</v>
      </c>
      <c r="D21" s="331"/>
      <c r="E21" s="1869" t="s">
        <v>1244</v>
      </c>
      <c r="F21" s="1204">
        <f t="shared" ca="1" si="2"/>
        <v>175.52091938499993</v>
      </c>
      <c r="G21" s="1609">
        <f>SUMIF('CF(Q)'!$3:$3,G$4,'CF(Q)'!22:22)</f>
        <v>84.999561940000007</v>
      </c>
      <c r="H21" s="1609">
        <f>SUMIF('CF(Q)'!$3:$3,H$4,'CF(Q)'!22:22)</f>
        <v>72.297299960000004</v>
      </c>
      <c r="I21" s="1609">
        <f>SUMIF('CF(Q)'!$3:$3,I$4,'CF(Q)'!22:22)</f>
        <v>68.947361290000003</v>
      </c>
      <c r="J21" s="1609">
        <f>SUMIF('CF(Q)'!$3:$3,J$4,'CF(Q)'!22:22)</f>
        <v>69.062624170000007</v>
      </c>
      <c r="K21" s="1609">
        <f>SUMIF('CF(Q)'!$3:$3,K$4,'CF(Q)'!22:22)</f>
        <v>59.555328849999995</v>
      </c>
      <c r="L21" s="1609">
        <f>SUMIF('CF(Q)'!$3:$3,L$4,'CF(Q)'!22:22)</f>
        <v>49.364548239999991</v>
      </c>
      <c r="M21" s="1204">
        <f>SUMIF('CF(Q)'!$3:$3,M$4,'CF(Q)'!22:22)</f>
        <v>44.086131449999996</v>
      </c>
      <c r="N21" s="1204">
        <f ca="1">SUMIF('CF(Q)'!$3:$3,N$4,'CF(Q)'!22:22)</f>
        <v>39.882194384999991</v>
      </c>
      <c r="O21" s="1204">
        <f ca="1">SUMIF('CF(Q)'!$3:$3,O$4,'CF(Q)'!22:22)</f>
        <v>32.713192104999997</v>
      </c>
      <c r="P21" s="1204">
        <f ca="1">SUMIF('CF(Q)'!$3:$3,P$4,'CF(Q)'!22:22)</f>
        <v>25.451805774999993</v>
      </c>
      <c r="Q21" s="1204">
        <f ca="1">SUMIF('CF(Q)'!$3:$3,Q$4,'CF(Q)'!22:22)</f>
        <v>17.192671704999995</v>
      </c>
      <c r="R21" s="1204">
        <f ca="1">SUMIF('CF(Q)'!$3:$3,R$4,'CF(Q)'!22:22)</f>
        <v>8.8781072049999974</v>
      </c>
      <c r="S21" s="1204">
        <f ca="1">SUMIF('CF(Q)'!$3:$3,S$4,'CF(Q)'!22:22)</f>
        <v>4.2127126799999957</v>
      </c>
      <c r="T21" s="1204">
        <f ca="1">SUMIF('CF(Q)'!$3:$3,T$4,'CF(Q)'!22:22)</f>
        <v>2.4389389199999956</v>
      </c>
      <c r="U21" s="1204">
        <f ca="1">SUMIF('CF(Q)'!$3:$3,U$4,'CF(Q)'!22:22)</f>
        <v>0.66516515999999648</v>
      </c>
      <c r="V21" s="1204">
        <f ca="1">SUMIF('CF(Q)'!$3:$3,V$4,'CF(Q)'!22:22)</f>
        <v>0</v>
      </c>
      <c r="W21" s="1204">
        <f ca="1">SUMIF('CF(Q)'!$3:$3,W$4,'CF(Q)'!22:22)</f>
        <v>0</v>
      </c>
      <c r="X21" s="1204">
        <f ca="1">SUMIF('CF(Q)'!$3:$3,X$4,'CF(Q)'!22:22)</f>
        <v>0</v>
      </c>
      <c r="Y21" s="1204">
        <f ca="1">SUMIF('CF(Q)'!$3:$3,Y$4,'CF(Q)'!22:22)</f>
        <v>0</v>
      </c>
      <c r="Z21" s="1204">
        <f ca="1">SUMIF('CF(Q)'!$3:$3,Z$4,'CF(Q)'!22:22)</f>
        <v>0</v>
      </c>
      <c r="AA21" s="1204">
        <f ca="1">SUMIF('CF(Q)'!$3:$3,AA$4,'CF(Q)'!22:22)</f>
        <v>0</v>
      </c>
      <c r="AB21" s="1204">
        <f ca="1">SUMIF('CF(Q)'!$3:$3,AB$4,'CF(Q)'!22:22)</f>
        <v>0</v>
      </c>
      <c r="AC21" s="1204">
        <f ca="1">SUMIF('CF(Q)'!$3:$3,AC$4,'CF(Q)'!22:22)</f>
        <v>0</v>
      </c>
      <c r="AD21" s="1204">
        <f ca="1">SUMIF('CF(Q)'!$3:$3,AD$4,'CF(Q)'!22:22)</f>
        <v>0</v>
      </c>
      <c r="AE21" s="1204">
        <f ca="1">SUMIF('CF(Q)'!$3:$3,AE$4,'CF(Q)'!22:22)</f>
        <v>0</v>
      </c>
      <c r="AF21" s="1204">
        <f ca="1">SUMIF('CF(Q)'!$3:$3,AF$4,'CF(Q)'!22:22)</f>
        <v>0</v>
      </c>
      <c r="AG21" s="1204">
        <f ca="1">SUMIF('CF(Q)'!$3:$3,AG$4,'CF(Q)'!22:22)</f>
        <v>0</v>
      </c>
      <c r="AH21" s="1204">
        <f ca="1">SUMIF('CF(Q)'!$3:$3,AH$4,'CF(Q)'!22:22)</f>
        <v>0</v>
      </c>
      <c r="AI21" s="1204">
        <f ca="1">SUMIF('CF(Q)'!$3:$3,AI$4,'CF(Q)'!22:22)</f>
        <v>0</v>
      </c>
      <c r="AJ21" s="1204">
        <f ca="1">SUMIF('CF(Q)'!$3:$3,AJ$4,'CF(Q)'!22:22)</f>
        <v>0</v>
      </c>
      <c r="AK21" s="1204">
        <f ca="1">SUMIF('CF(Q)'!$3:$3,AK$4,'CF(Q)'!22:22)</f>
        <v>0</v>
      </c>
      <c r="AL21" s="1204">
        <f ca="1">SUMIF('CF(Q)'!$3:$3,AL$4,'CF(Q)'!22:22)</f>
        <v>0</v>
      </c>
      <c r="AM21" s="1204">
        <f ca="1">SUMIF('CF(Q)'!$3:$3,AM$4,'CF(Q)'!22:22)</f>
        <v>0</v>
      </c>
      <c r="AN21" s="1204">
        <f ca="1">SUMIF('CF(Q)'!$3:$3,AN$4,'CF(Q)'!22:22)</f>
        <v>0</v>
      </c>
      <c r="AO21" s="1204">
        <f ca="1">SUMIF('CF(Q)'!$3:$3,AO$4,'CF(Q)'!22:22)</f>
        <v>0</v>
      </c>
      <c r="AP21" s="1204">
        <f ca="1">SUMIF('CF(Q)'!$3:$3,AP$4,'CF(Q)'!22:22)</f>
        <v>0</v>
      </c>
      <c r="AQ21" s="1204">
        <f ca="1">SUMIF('CF(Q)'!$3:$3,AQ$4,'CF(Q)'!22:22)</f>
        <v>0</v>
      </c>
      <c r="AR21" s="1204">
        <f ca="1">SUMIF('CF(Q)'!$3:$3,AR$4,'CF(Q)'!22:22)</f>
        <v>0</v>
      </c>
      <c r="AS21" s="1204">
        <f ca="1">SUMIF('CF(Q)'!$3:$3,AS$4,'CF(Q)'!22:22)</f>
        <v>0</v>
      </c>
      <c r="AT21" s="1204">
        <f ca="1">SUMIF('CF(Q)'!$3:$3,AT$4,'CF(Q)'!22:22)</f>
        <v>0</v>
      </c>
      <c r="AU21" s="1204">
        <f ca="1">SUMIF('CF(Q)'!$3:$3,AU$4,'CF(Q)'!22:22)</f>
        <v>0</v>
      </c>
      <c r="AV21" s="1204">
        <f ca="1">SUMIF('CF(Q)'!$3:$3,AV$4,'CF(Q)'!22:22)</f>
        <v>0</v>
      </c>
      <c r="AW21" s="1204">
        <f ca="1">SUMIF('CF(Q)'!$3:$3,AW$4,'CF(Q)'!22:22)</f>
        <v>0</v>
      </c>
      <c r="AX21" s="1204">
        <f ca="1">SUMIF('CF(Q)'!$3:$3,AX$4,'CF(Q)'!22:22)</f>
        <v>0</v>
      </c>
      <c r="AY21" s="1204">
        <f ca="1">SUMIF('CF(Q)'!$3:$3,AY$4,'CF(Q)'!22:22)</f>
        <v>0</v>
      </c>
      <c r="AZ21" s="1204">
        <f>SUMIF('CF(Q)'!$3:$3,AZ$4,'CF(Q)'!22:22)</f>
        <v>0</v>
      </c>
      <c r="BA21" s="1204">
        <f>SUMIF('CF(Q)'!$3:$3,BA$4,'CF(Q)'!22:22)</f>
        <v>0</v>
      </c>
      <c r="BB21" s="1204">
        <f>SUMIF('CF(Q)'!$3:$3,BB$4,'CF(Q)'!22:22)</f>
        <v>0</v>
      </c>
      <c r="BC21" s="1204">
        <f>SUMIF('CF(Q)'!$3:$3,BC$4,'CF(Q)'!22:22)</f>
        <v>0</v>
      </c>
    </row>
    <row r="22" spans="2:55" ht="17.100000000000001" customHeight="1">
      <c r="B22" s="307"/>
      <c r="C22" s="489" t="str">
        <f>C37</f>
        <v>상환우선주</v>
      </c>
      <c r="D22" s="331"/>
      <c r="E22" s="1869" t="s">
        <v>1244</v>
      </c>
      <c r="F22" s="1870">
        <f t="shared" ca="1" si="2"/>
        <v>0</v>
      </c>
      <c r="G22" s="1609">
        <f>SUMIF('CF(Q)'!$3:$3,G$4,'CF(Q)'!23:23)</f>
        <v>0</v>
      </c>
      <c r="H22" s="1609">
        <f>SUMIF('CF(Q)'!$3:$3,H$4,'CF(Q)'!23:23)</f>
        <v>0</v>
      </c>
      <c r="I22" s="1609">
        <f>SUMIF('CF(Q)'!$3:$3,I$4,'CF(Q)'!23:23)</f>
        <v>0</v>
      </c>
      <c r="J22" s="1609">
        <f>SUMIF('CF(Q)'!$3:$3,J$4,'CF(Q)'!23:23)</f>
        <v>0</v>
      </c>
      <c r="K22" s="1609">
        <f>SUMIF('CF(Q)'!$3:$3,K$4,'CF(Q)'!23:23)</f>
        <v>0</v>
      </c>
      <c r="L22" s="1609">
        <f>SUMIF('CF(Q)'!$3:$3,L$4,'CF(Q)'!23:23)</f>
        <v>0</v>
      </c>
      <c r="M22" s="1204">
        <f>SUMIF('CF(Q)'!$3:$3,M$4,'CF(Q)'!23:23)</f>
        <v>0</v>
      </c>
      <c r="N22" s="1204">
        <f>SUMIF('CF(Q)'!$3:$3,N$4,'CF(Q)'!23:23)</f>
        <v>0</v>
      </c>
      <c r="O22" s="1204">
        <f>SUMIF('CF(Q)'!$3:$3,O$4,'CF(Q)'!23:23)</f>
        <v>0</v>
      </c>
      <c r="P22" s="1204">
        <f>SUMIF('CF(Q)'!$3:$3,P$4,'CF(Q)'!23:23)</f>
        <v>0</v>
      </c>
      <c r="Q22" s="1204">
        <f>SUMIF('CF(Q)'!$3:$3,Q$4,'CF(Q)'!23:23)</f>
        <v>0</v>
      </c>
      <c r="R22" s="1204">
        <f ca="1">SUMIF('CF(Q)'!$3:$3,R$4,'CF(Q)'!23:23)</f>
        <v>0</v>
      </c>
      <c r="S22" s="1204">
        <f ca="1">SUMIF('CF(Q)'!$3:$3,S$4,'CF(Q)'!23:23)</f>
        <v>0</v>
      </c>
      <c r="T22" s="1204">
        <f ca="1">SUMIF('CF(Q)'!$3:$3,T$4,'CF(Q)'!23:23)</f>
        <v>0</v>
      </c>
      <c r="U22" s="1204">
        <f ca="1">SUMIF('CF(Q)'!$3:$3,U$4,'CF(Q)'!23:23)</f>
        <v>0</v>
      </c>
      <c r="V22" s="1204">
        <f ca="1">SUMIF('CF(Q)'!$3:$3,V$4,'CF(Q)'!23:23)</f>
        <v>0</v>
      </c>
      <c r="W22" s="1204">
        <f ca="1">SUMIF('CF(Q)'!$3:$3,W$4,'CF(Q)'!23:23)</f>
        <v>0</v>
      </c>
      <c r="X22" s="1204">
        <f ca="1">SUMIF('CF(Q)'!$3:$3,X$4,'CF(Q)'!23:23)</f>
        <v>0</v>
      </c>
      <c r="Y22" s="1204">
        <f ca="1">SUMIF('CF(Q)'!$3:$3,Y$4,'CF(Q)'!23:23)</f>
        <v>0</v>
      </c>
      <c r="Z22" s="1204">
        <f ca="1">SUMIF('CF(Q)'!$3:$3,Z$4,'CF(Q)'!23:23)</f>
        <v>0</v>
      </c>
      <c r="AA22" s="1204">
        <f ca="1">SUMIF('CF(Q)'!$3:$3,AA$4,'CF(Q)'!23:23)</f>
        <v>0</v>
      </c>
      <c r="AB22" s="1204">
        <f ca="1">SUMIF('CF(Q)'!$3:$3,AB$4,'CF(Q)'!23:23)</f>
        <v>0</v>
      </c>
      <c r="AC22" s="1204">
        <f ca="1">SUMIF('CF(Q)'!$3:$3,AC$4,'CF(Q)'!23:23)</f>
        <v>0</v>
      </c>
      <c r="AD22" s="1204">
        <f>SUMIF('CF(Q)'!$3:$3,AD$4,'CF(Q)'!23:23)</f>
        <v>0</v>
      </c>
      <c r="AE22" s="1204">
        <f>SUMIF('CF(Q)'!$3:$3,AE$4,'CF(Q)'!23:23)</f>
        <v>0</v>
      </c>
      <c r="AF22" s="1204">
        <f>SUMIF('CF(Q)'!$3:$3,AF$4,'CF(Q)'!23:23)</f>
        <v>0</v>
      </c>
      <c r="AG22" s="1204">
        <f>SUMIF('CF(Q)'!$3:$3,AG$4,'CF(Q)'!23:23)</f>
        <v>0</v>
      </c>
      <c r="AH22" s="1204">
        <f>SUMIF('CF(Q)'!$3:$3,AH$4,'CF(Q)'!23:23)</f>
        <v>0</v>
      </c>
      <c r="AI22" s="1204">
        <f>SUMIF('CF(Q)'!$3:$3,AI$4,'CF(Q)'!23:23)</f>
        <v>0</v>
      </c>
      <c r="AJ22" s="1204">
        <f>SUMIF('CF(Q)'!$3:$3,AJ$4,'CF(Q)'!23:23)</f>
        <v>0</v>
      </c>
      <c r="AK22" s="1204">
        <f>SUMIF('CF(Q)'!$3:$3,AK$4,'CF(Q)'!23:23)</f>
        <v>0</v>
      </c>
      <c r="AL22" s="1204">
        <f>SUMIF('CF(Q)'!$3:$3,AL$4,'CF(Q)'!23:23)</f>
        <v>0</v>
      </c>
      <c r="AM22" s="1204">
        <f>SUMIF('CF(Q)'!$3:$3,AM$4,'CF(Q)'!23:23)</f>
        <v>0</v>
      </c>
      <c r="AN22" s="1204">
        <f>SUMIF('CF(Q)'!$3:$3,AN$4,'CF(Q)'!23:23)</f>
        <v>0</v>
      </c>
      <c r="AO22" s="1204">
        <f>SUMIF('CF(Q)'!$3:$3,AO$4,'CF(Q)'!23:23)</f>
        <v>0</v>
      </c>
      <c r="AP22" s="1204">
        <f>SUMIF('CF(Q)'!$3:$3,AP$4,'CF(Q)'!23:23)</f>
        <v>0</v>
      </c>
      <c r="AQ22" s="1204">
        <f>SUMIF('CF(Q)'!$3:$3,AQ$4,'CF(Q)'!23:23)</f>
        <v>0</v>
      </c>
      <c r="AR22" s="1204">
        <f>SUMIF('CF(Q)'!$3:$3,AR$4,'CF(Q)'!23:23)</f>
        <v>0</v>
      </c>
      <c r="AS22" s="1204">
        <f>SUMIF('CF(Q)'!$3:$3,AS$4,'CF(Q)'!23:23)</f>
        <v>0</v>
      </c>
      <c r="AT22" s="1204">
        <f>SUMIF('CF(Q)'!$3:$3,AT$4,'CF(Q)'!23:23)</f>
        <v>0</v>
      </c>
      <c r="AU22" s="1204">
        <f>SUMIF('CF(Q)'!$3:$3,AU$4,'CF(Q)'!23:23)</f>
        <v>0</v>
      </c>
      <c r="AV22" s="1204">
        <f>SUMIF('CF(Q)'!$3:$3,AV$4,'CF(Q)'!23:23)</f>
        <v>0</v>
      </c>
      <c r="AW22" s="1204">
        <f>SUMIF('CF(Q)'!$3:$3,AW$4,'CF(Q)'!23:23)</f>
        <v>0</v>
      </c>
      <c r="AX22" s="1204">
        <f>SUMIF('CF(Q)'!$3:$3,AX$4,'CF(Q)'!23:23)</f>
        <v>0</v>
      </c>
      <c r="AY22" s="1204">
        <f>SUMIF('CF(Q)'!$3:$3,AY$4,'CF(Q)'!23:23)</f>
        <v>0</v>
      </c>
      <c r="AZ22" s="1204">
        <f>SUMIF('CF(Q)'!$3:$3,AZ$4,'CF(Q)'!23:23)</f>
        <v>0</v>
      </c>
      <c r="BA22" s="1204">
        <f>SUMIF('CF(Q)'!$3:$3,BA$4,'CF(Q)'!23:23)</f>
        <v>0</v>
      </c>
      <c r="BB22" s="1204">
        <f>SUMIF('CF(Q)'!$3:$3,BB$4,'CF(Q)'!23:23)</f>
        <v>0</v>
      </c>
      <c r="BC22" s="1204">
        <f>SUMIF('CF(Q)'!$3:$3,BC$4,'CF(Q)'!23:23)</f>
        <v>0</v>
      </c>
    </row>
    <row r="23" spans="2:55" ht="17.100000000000001" customHeight="1">
      <c r="B23" s="307"/>
      <c r="C23" s="489" t="s">
        <v>3700</v>
      </c>
      <c r="D23" s="331"/>
      <c r="E23" s="1869" t="s">
        <v>1244</v>
      </c>
      <c r="F23" s="1870">
        <f t="shared" si="2"/>
        <v>0</v>
      </c>
      <c r="G23" s="1609">
        <f>SUMIF('CF(Q)'!$3:$3,G$4,'CF(Q)'!24:24)</f>
        <v>0</v>
      </c>
      <c r="H23" s="1609">
        <f>SUMIF('CF(Q)'!$3:$3,H$4,'CF(Q)'!24:24)</f>
        <v>0</v>
      </c>
      <c r="I23" s="1609">
        <f>SUMIF('CF(Q)'!$3:$3,I$4,'CF(Q)'!24:24)</f>
        <v>0</v>
      </c>
      <c r="J23" s="1609">
        <f>SUMIF('CF(Q)'!$3:$3,J$4,'CF(Q)'!24:24)</f>
        <v>0</v>
      </c>
      <c r="K23" s="1609">
        <f>SUMIF('CF(Q)'!$3:$3,K$4,'CF(Q)'!24:24)</f>
        <v>0</v>
      </c>
      <c r="L23" s="1609">
        <f>SUMIF('CF(Q)'!$3:$3,L$4,'CF(Q)'!24:24)</f>
        <v>0</v>
      </c>
      <c r="M23" s="1204">
        <f>SUMIF('CF(Q)'!$3:$3,M$4,'CF(Q)'!24:24)</f>
        <v>0</v>
      </c>
      <c r="N23" s="1204">
        <f>SUMIF('CF(Q)'!$3:$3,N$4,'CF(Q)'!24:24)</f>
        <v>0</v>
      </c>
      <c r="O23" s="1204">
        <f>SUMIF('CF(Q)'!$3:$3,O$4,'CF(Q)'!24:24)</f>
        <v>0</v>
      </c>
      <c r="P23" s="1204">
        <f>SUMIF('CF(Q)'!$3:$3,P$4,'CF(Q)'!24:24)</f>
        <v>0</v>
      </c>
      <c r="Q23" s="1204">
        <f>SUMIF('CF(Q)'!$3:$3,Q$4,'CF(Q)'!24:24)</f>
        <v>0</v>
      </c>
      <c r="R23" s="1204">
        <f>SUMIF('CF(Q)'!$3:$3,R$4,'CF(Q)'!24:24)</f>
        <v>0</v>
      </c>
      <c r="S23" s="1204">
        <f>SUMIF('CF(Q)'!$3:$3,S$4,'CF(Q)'!24:24)</f>
        <v>0</v>
      </c>
      <c r="T23" s="1204">
        <f>SUMIF('CF(Q)'!$3:$3,T$4,'CF(Q)'!24:24)</f>
        <v>0</v>
      </c>
      <c r="U23" s="1204">
        <f>SUMIF('CF(Q)'!$3:$3,U$4,'CF(Q)'!24:24)</f>
        <v>0</v>
      </c>
      <c r="V23" s="1204">
        <f>SUMIF('CF(Q)'!$3:$3,V$4,'CF(Q)'!24:24)</f>
        <v>0</v>
      </c>
      <c r="W23" s="1204">
        <f>SUMIF('CF(Q)'!$3:$3,W$4,'CF(Q)'!24:24)</f>
        <v>0</v>
      </c>
      <c r="X23" s="1204">
        <f>SUMIF('CF(Q)'!$3:$3,X$4,'CF(Q)'!24:24)</f>
        <v>0</v>
      </c>
      <c r="Y23" s="1204">
        <f>SUMIF('CF(Q)'!$3:$3,Y$4,'CF(Q)'!24:24)</f>
        <v>0</v>
      </c>
      <c r="Z23" s="1204">
        <f>SUMIF('CF(Q)'!$3:$3,Z$4,'CF(Q)'!24:24)</f>
        <v>0</v>
      </c>
      <c r="AA23" s="1204">
        <f>SUMIF('CF(Q)'!$3:$3,AA$4,'CF(Q)'!24:24)</f>
        <v>0</v>
      </c>
      <c r="AB23" s="1204">
        <f>SUMIF('CF(Q)'!$3:$3,AB$4,'CF(Q)'!24:24)</f>
        <v>0</v>
      </c>
      <c r="AC23" s="1204">
        <f>SUMIF('CF(Q)'!$3:$3,AC$4,'CF(Q)'!24:24)</f>
        <v>0</v>
      </c>
      <c r="AD23" s="1204">
        <f>SUMIF('CF(Q)'!$3:$3,AD$4,'CF(Q)'!24:24)</f>
        <v>0</v>
      </c>
      <c r="AE23" s="1204">
        <f>SUMIF('CF(Q)'!$3:$3,AE$4,'CF(Q)'!24:24)</f>
        <v>0</v>
      </c>
      <c r="AF23" s="1204">
        <f>SUMIF('CF(Q)'!$3:$3,AF$4,'CF(Q)'!24:24)</f>
        <v>0</v>
      </c>
      <c r="AG23" s="1204">
        <f>SUMIF('CF(Q)'!$3:$3,AG$4,'CF(Q)'!24:24)</f>
        <v>0</v>
      </c>
      <c r="AH23" s="1204">
        <f>SUMIF('CF(Q)'!$3:$3,AH$4,'CF(Q)'!24:24)</f>
        <v>0</v>
      </c>
      <c r="AI23" s="1204">
        <f>SUMIF('CF(Q)'!$3:$3,AI$4,'CF(Q)'!24:24)</f>
        <v>0</v>
      </c>
      <c r="AJ23" s="1204">
        <f>SUMIF('CF(Q)'!$3:$3,AJ$4,'CF(Q)'!24:24)</f>
        <v>0</v>
      </c>
      <c r="AK23" s="1204">
        <f>SUMIF('CF(Q)'!$3:$3,AK$4,'CF(Q)'!24:24)</f>
        <v>0</v>
      </c>
      <c r="AL23" s="1204">
        <f>SUMIF('CF(Q)'!$3:$3,AL$4,'CF(Q)'!24:24)</f>
        <v>0</v>
      </c>
      <c r="AM23" s="1204">
        <f>SUMIF('CF(Q)'!$3:$3,AM$4,'CF(Q)'!24:24)</f>
        <v>0</v>
      </c>
      <c r="AN23" s="1204">
        <f>SUMIF('CF(Q)'!$3:$3,AN$4,'CF(Q)'!24:24)</f>
        <v>0</v>
      </c>
      <c r="AO23" s="1204">
        <f>SUMIF('CF(Q)'!$3:$3,AO$4,'CF(Q)'!24:24)</f>
        <v>0</v>
      </c>
      <c r="AP23" s="1204">
        <f>SUMIF('CF(Q)'!$3:$3,AP$4,'CF(Q)'!24:24)</f>
        <v>0</v>
      </c>
      <c r="AQ23" s="1204">
        <f>SUMIF('CF(Q)'!$3:$3,AQ$4,'CF(Q)'!24:24)</f>
        <v>0</v>
      </c>
      <c r="AR23" s="1204">
        <f>SUMIF('CF(Q)'!$3:$3,AR$4,'CF(Q)'!24:24)</f>
        <v>0</v>
      </c>
      <c r="AS23" s="1204">
        <f>SUMIF('CF(Q)'!$3:$3,AS$4,'CF(Q)'!24:24)</f>
        <v>0</v>
      </c>
      <c r="AT23" s="1204">
        <f>SUMIF('CF(Q)'!$3:$3,AT$4,'CF(Q)'!24:24)</f>
        <v>0</v>
      </c>
      <c r="AU23" s="1204">
        <f>SUMIF('CF(Q)'!$3:$3,AU$4,'CF(Q)'!24:24)</f>
        <v>0</v>
      </c>
      <c r="AV23" s="1204">
        <f>SUMIF('CF(Q)'!$3:$3,AV$4,'CF(Q)'!24:24)</f>
        <v>0</v>
      </c>
      <c r="AW23" s="1204">
        <f>SUMIF('CF(Q)'!$3:$3,AW$4,'CF(Q)'!24:24)</f>
        <v>0</v>
      </c>
      <c r="AX23" s="1204">
        <f>SUMIF('CF(Q)'!$3:$3,AX$4,'CF(Q)'!24:24)</f>
        <v>0</v>
      </c>
      <c r="AY23" s="1204">
        <f>SUMIF('CF(Q)'!$3:$3,AY$4,'CF(Q)'!24:24)</f>
        <v>0</v>
      </c>
      <c r="AZ23" s="1204">
        <f>SUMIF('CF(Q)'!$3:$3,AZ$4,'CF(Q)'!24:24)</f>
        <v>0</v>
      </c>
      <c r="BA23" s="1204">
        <f>SUMIF('CF(Q)'!$3:$3,BA$4,'CF(Q)'!24:24)</f>
        <v>0</v>
      </c>
      <c r="BB23" s="1204">
        <f>SUMIF('CF(Q)'!$3:$3,BB$4,'CF(Q)'!24:24)</f>
        <v>0</v>
      </c>
      <c r="BC23" s="1204">
        <f>SUMIF('CF(Q)'!$3:$3,BC$4,'CF(Q)'!24:24)</f>
        <v>0</v>
      </c>
    </row>
    <row r="24" spans="2:55" ht="16.899999999999999" customHeight="1">
      <c r="B24" s="307"/>
      <c r="C24" s="489" t="s">
        <v>1306</v>
      </c>
      <c r="D24" s="331"/>
      <c r="E24" s="1868"/>
      <c r="F24" s="1207">
        <f t="shared" ca="1" si="2"/>
        <v>0</v>
      </c>
      <c r="G24" s="1609">
        <f>SUMIF('CF(Q)'!$3:$3,G$4,'CF(Q)'!25:25)</f>
        <v>0</v>
      </c>
      <c r="H24" s="1609">
        <f>SUMIF('CF(Q)'!$3:$3,H$4,'CF(Q)'!25:25)</f>
        <v>0</v>
      </c>
      <c r="I24" s="1609">
        <f>SUMIF('CF(Q)'!$3:$3,I$4,'CF(Q)'!25:25)</f>
        <v>0</v>
      </c>
      <c r="J24" s="1609">
        <f>SUMIF('CF(Q)'!$3:$3,J$4,'CF(Q)'!25:25)</f>
        <v>0</v>
      </c>
      <c r="K24" s="1609">
        <f ca="1">SUMIF('CF(Q)'!$3:$3,K$4,'CF(Q)'!25:25)</f>
        <v>0</v>
      </c>
      <c r="L24" s="1609">
        <f ca="1">SUMIF('CF(Q)'!$3:$3,L$4,'CF(Q)'!25:25)</f>
        <v>0</v>
      </c>
      <c r="M24" s="1204">
        <f ca="1">SUMIF('CF(Q)'!$3:$3,M$4,'CF(Q)'!25:25)</f>
        <v>0</v>
      </c>
      <c r="N24" s="1204">
        <f ca="1">SUMIF('CF(Q)'!$3:$3,N$4,'CF(Q)'!25:25)</f>
        <v>0</v>
      </c>
      <c r="O24" s="1204">
        <f ca="1">SUMIF('CF(Q)'!$3:$3,O$4,'CF(Q)'!25:25)</f>
        <v>0</v>
      </c>
      <c r="P24" s="1204">
        <f ca="1">SUMIF('CF(Q)'!$3:$3,P$4,'CF(Q)'!25:25)</f>
        <v>0</v>
      </c>
      <c r="Q24" s="1204">
        <f ca="1">SUMIF('CF(Q)'!$3:$3,Q$4,'CF(Q)'!25:25)</f>
        <v>0</v>
      </c>
      <c r="R24" s="1204">
        <f ca="1">SUMIF('CF(Q)'!$3:$3,R$4,'CF(Q)'!25:25)</f>
        <v>0</v>
      </c>
      <c r="S24" s="1204">
        <f ca="1">SUMIF('CF(Q)'!$3:$3,S$4,'CF(Q)'!25:25)</f>
        <v>0</v>
      </c>
      <c r="T24" s="1204">
        <f ca="1">SUMIF('CF(Q)'!$3:$3,T$4,'CF(Q)'!25:25)</f>
        <v>0</v>
      </c>
      <c r="U24" s="1204">
        <f ca="1">SUMIF('CF(Q)'!$3:$3,U$4,'CF(Q)'!25:25)</f>
        <v>0</v>
      </c>
      <c r="V24" s="1204">
        <f ca="1">SUMIF('CF(Q)'!$3:$3,V$4,'CF(Q)'!25:25)</f>
        <v>0</v>
      </c>
      <c r="W24" s="1204">
        <f ca="1">SUMIF('CF(Q)'!$3:$3,W$4,'CF(Q)'!25:25)</f>
        <v>0</v>
      </c>
      <c r="X24" s="1204">
        <f ca="1">SUMIF('CF(Q)'!$3:$3,X$4,'CF(Q)'!25:25)</f>
        <v>0</v>
      </c>
      <c r="Y24" s="1204">
        <f ca="1">SUMIF('CF(Q)'!$3:$3,Y$4,'CF(Q)'!25:25)</f>
        <v>0</v>
      </c>
      <c r="Z24" s="1204">
        <f ca="1">SUMIF('CF(Q)'!$3:$3,Z$4,'CF(Q)'!25:25)</f>
        <v>0</v>
      </c>
      <c r="AA24" s="1204">
        <f ca="1">SUMIF('CF(Q)'!$3:$3,AA$4,'CF(Q)'!25:25)</f>
        <v>0</v>
      </c>
      <c r="AB24" s="1204">
        <f ca="1">SUMIF('CF(Q)'!$3:$3,AB$4,'CF(Q)'!25:25)</f>
        <v>0</v>
      </c>
      <c r="AC24" s="1204">
        <f ca="1">SUMIF('CF(Q)'!$3:$3,AC$4,'CF(Q)'!25:25)</f>
        <v>0</v>
      </c>
      <c r="AD24" s="1204">
        <f ca="1">SUMIF('CF(Q)'!$3:$3,AD$4,'CF(Q)'!25:25)</f>
        <v>0</v>
      </c>
      <c r="AE24" s="1204">
        <f ca="1">SUMIF('CF(Q)'!$3:$3,AE$4,'CF(Q)'!25:25)</f>
        <v>0</v>
      </c>
      <c r="AF24" s="1204">
        <f ca="1">SUMIF('CF(Q)'!$3:$3,AF$4,'CF(Q)'!25:25)</f>
        <v>0</v>
      </c>
      <c r="AG24" s="1204">
        <f ca="1">SUMIF('CF(Q)'!$3:$3,AG$4,'CF(Q)'!25:25)</f>
        <v>0</v>
      </c>
      <c r="AH24" s="1204">
        <f ca="1">SUMIF('CF(Q)'!$3:$3,AH$4,'CF(Q)'!25:25)</f>
        <v>0</v>
      </c>
      <c r="AI24" s="1204">
        <f ca="1">SUMIF('CF(Q)'!$3:$3,AI$4,'CF(Q)'!25:25)</f>
        <v>0</v>
      </c>
      <c r="AJ24" s="1204">
        <f ca="1">SUMIF('CF(Q)'!$3:$3,AJ$4,'CF(Q)'!25:25)</f>
        <v>0</v>
      </c>
      <c r="AK24" s="1204">
        <f ca="1">SUMIF('CF(Q)'!$3:$3,AK$4,'CF(Q)'!25:25)</f>
        <v>0</v>
      </c>
      <c r="AL24" s="1204">
        <f ca="1">SUMIF('CF(Q)'!$3:$3,AL$4,'CF(Q)'!25:25)</f>
        <v>0</v>
      </c>
      <c r="AM24" s="1204">
        <f ca="1">SUMIF('CF(Q)'!$3:$3,AM$4,'CF(Q)'!25:25)</f>
        <v>0</v>
      </c>
      <c r="AN24" s="1204">
        <f ca="1">SUMIF('CF(Q)'!$3:$3,AN$4,'CF(Q)'!25:25)</f>
        <v>0</v>
      </c>
      <c r="AO24" s="1204">
        <f ca="1">SUMIF('CF(Q)'!$3:$3,AO$4,'CF(Q)'!25:25)</f>
        <v>0</v>
      </c>
      <c r="AP24" s="1204">
        <f ca="1">SUMIF('CF(Q)'!$3:$3,AP$4,'CF(Q)'!25:25)</f>
        <v>0</v>
      </c>
      <c r="AQ24" s="1204">
        <f ca="1">SUMIF('CF(Q)'!$3:$3,AQ$4,'CF(Q)'!25:25)</f>
        <v>0</v>
      </c>
      <c r="AR24" s="1204">
        <f ca="1">SUMIF('CF(Q)'!$3:$3,AR$4,'CF(Q)'!25:25)</f>
        <v>0</v>
      </c>
      <c r="AS24" s="1204">
        <f ca="1">SUMIF('CF(Q)'!$3:$3,AS$4,'CF(Q)'!25:25)</f>
        <v>0</v>
      </c>
      <c r="AT24" s="1204">
        <f ca="1">SUMIF('CF(Q)'!$3:$3,AT$4,'CF(Q)'!25:25)</f>
        <v>0</v>
      </c>
      <c r="AU24" s="1204">
        <f ca="1">SUMIF('CF(Q)'!$3:$3,AU$4,'CF(Q)'!25:25)</f>
        <v>0</v>
      </c>
      <c r="AV24" s="1204">
        <f ca="1">SUMIF('CF(Q)'!$3:$3,AV$4,'CF(Q)'!25:25)</f>
        <v>0</v>
      </c>
      <c r="AW24" s="1204">
        <f ca="1">SUMIF('CF(Q)'!$3:$3,AW$4,'CF(Q)'!25:25)</f>
        <v>0</v>
      </c>
      <c r="AX24" s="1204">
        <f ca="1">SUMIF('CF(Q)'!$3:$3,AX$4,'CF(Q)'!25:25)</f>
        <v>0</v>
      </c>
      <c r="AY24" s="1204">
        <f ca="1">SUMIF('CF(Q)'!$3:$3,AY$4,'CF(Q)'!25:25)</f>
        <v>0</v>
      </c>
      <c r="AZ24" s="1204">
        <f>SUMIF('CF(Q)'!$3:$3,AZ$4,'CF(Q)'!25:25)</f>
        <v>0</v>
      </c>
      <c r="BA24" s="1204">
        <f>SUMIF('CF(Q)'!$3:$3,BA$4,'CF(Q)'!25:25)</f>
        <v>0</v>
      </c>
      <c r="BB24" s="1204">
        <f>SUMIF('CF(Q)'!$3:$3,BB$4,'CF(Q)'!25:25)</f>
        <v>0</v>
      </c>
      <c r="BC24" s="1204">
        <f>SUMIF('CF(Q)'!$3:$3,BC$4,'CF(Q)'!25:25)</f>
        <v>0</v>
      </c>
    </row>
    <row r="25" spans="2:55" ht="17.100000000000001" customHeight="1">
      <c r="B25" s="307"/>
      <c r="C25" s="489" t="s">
        <v>1307</v>
      </c>
      <c r="D25" s="331"/>
      <c r="E25" s="1868"/>
      <c r="F25" s="767">
        <f t="shared" ca="1" si="2"/>
        <v>561.28717987253322</v>
      </c>
      <c r="G25" s="947">
        <f>SUMIF('CF(Q)'!$3:$3,G$4,'CF(Q)'!26:26)</f>
        <v>0</v>
      </c>
      <c r="H25" s="947">
        <f>SUMIF('CF(Q)'!$3:$3,H$4,'CF(Q)'!26:26)</f>
        <v>6.6760820000000001</v>
      </c>
      <c r="I25" s="947">
        <f>SUMIF('CF(Q)'!$3:$3,I$4,'CF(Q)'!26:26)</f>
        <v>0.38292590999999998</v>
      </c>
      <c r="J25" s="947">
        <f>SUMIF('CF(Q)'!$3:$3,J$4,'CF(Q)'!26:26)</f>
        <v>3.3072840000000001</v>
      </c>
      <c r="K25" s="1609">
        <f>SUMIF('CF(Q)'!$3:$3,K$4,'CF(Q)'!26:26)</f>
        <v>0</v>
      </c>
      <c r="L25" s="1609">
        <f>SUMIF('CF(Q)'!$3:$3,L$4,'CF(Q)'!26:26)</f>
        <v>3.1774319000000002</v>
      </c>
      <c r="M25" s="1204">
        <f>SUMIF('CF(Q)'!$3:$3,M$4,'CF(Q)'!26:26)</f>
        <v>8.9092976999999998</v>
      </c>
      <c r="N25" s="1204">
        <f ca="1">SUMIF('CF(Q)'!$3:$3,N$4,'CF(Q)'!26:26)</f>
        <v>3.7994805139739332</v>
      </c>
      <c r="O25" s="1611">
        <f ca="1">SUMIF('CF(Q)'!$3:$3,O$4,'CF(Q)'!26:26)</f>
        <v>7.4449859623776113</v>
      </c>
      <c r="P25" s="1204">
        <f ca="1">SUMIF('CF(Q)'!$3:$3,P$4,'CF(Q)'!26:26)</f>
        <v>9.6586247388948863</v>
      </c>
      <c r="Q25" s="1204">
        <f ca="1">SUMIF('CF(Q)'!$3:$3,Q$4,'CF(Q)'!26:26)</f>
        <v>10.357257969656832</v>
      </c>
      <c r="R25" s="1204">
        <f ca="1">SUMIF('CF(Q)'!$3:$3,R$4,'CF(Q)'!26:26)</f>
        <v>10.927887815342961</v>
      </c>
      <c r="S25" s="1204">
        <f ca="1">SUMIF('CF(Q)'!$3:$3,S$4,'CF(Q)'!26:26)</f>
        <v>-4.636989054060626</v>
      </c>
      <c r="T25" s="1204">
        <f ca="1">SUMIF('CF(Q)'!$3:$3,T$4,'CF(Q)'!26:26)</f>
        <v>5.2985734110102367</v>
      </c>
      <c r="U25" s="1204">
        <f ca="1">SUMIF('CF(Q)'!$3:$3,U$4,'CF(Q)'!26:26)</f>
        <v>5.3819189545924182</v>
      </c>
      <c r="V25" s="1204">
        <f ca="1">SUMIF('CF(Q)'!$3:$3,V$4,'CF(Q)'!26:26)</f>
        <v>4.2029865610472079</v>
      </c>
      <c r="W25" s="1204">
        <f ca="1">SUMIF('CF(Q)'!$3:$3,W$4,'CF(Q)'!26:26)</f>
        <v>10.703569380719834</v>
      </c>
      <c r="X25" s="1204">
        <f ca="1">SUMIF('CF(Q)'!$3:$3,X$4,'CF(Q)'!26:26)</f>
        <v>6.9282921591852924</v>
      </c>
      <c r="Y25" s="1204">
        <f ca="1">SUMIF('CF(Q)'!$3:$3,Y$4,'CF(Q)'!26:26)</f>
        <v>8.2165290864819323</v>
      </c>
      <c r="Z25" s="1204">
        <f ca="1">SUMIF('CF(Q)'!$3:$3,Z$4,'CF(Q)'!26:26)</f>
        <v>10.902652537020209</v>
      </c>
      <c r="AA25" s="1204">
        <f ca="1">SUMIF('CF(Q)'!$3:$3,AA$4,'CF(Q)'!26:26)</f>
        <v>9.7290857707821026</v>
      </c>
      <c r="AB25" s="1204">
        <f ca="1">SUMIF('CF(Q)'!$3:$3,AB$4,'CF(Q)'!26:26)</f>
        <v>7.5812295894360604</v>
      </c>
      <c r="AC25" s="1204">
        <f ca="1">SUMIF('CF(Q)'!$3:$3,AC$4,'CF(Q)'!26:26)</f>
        <v>12.363516142203974</v>
      </c>
      <c r="AD25" s="1204">
        <f ca="1">SUMIF('CF(Q)'!$3:$3,AD$4,'CF(Q)'!26:26)</f>
        <v>10.241302554847191</v>
      </c>
      <c r="AE25" s="1204">
        <f ca="1">SUMIF('CF(Q)'!$3:$3,AE$4,'CF(Q)'!26:26)</f>
        <v>8.7897852513169568</v>
      </c>
      <c r="AF25" s="1204">
        <f ca="1">SUMIF('CF(Q)'!$3:$3,AF$4,'CF(Q)'!26:26)</f>
        <v>9.6218078774432385</v>
      </c>
      <c r="AG25" s="1204">
        <f ca="1">SUMIF('CF(Q)'!$3:$3,AG$4,'CF(Q)'!26:26)</f>
        <v>15.035170616983063</v>
      </c>
      <c r="AH25" s="1204">
        <f ca="1">SUMIF('CF(Q)'!$3:$3,AH$4,'CF(Q)'!26:26)</f>
        <v>14.536111493753484</v>
      </c>
      <c r="AI25" s="1204">
        <f ca="1">SUMIF('CF(Q)'!$3:$3,AI$4,'CF(Q)'!26:26)</f>
        <v>19.70678990389527</v>
      </c>
      <c r="AJ25" s="1204">
        <f ca="1">SUMIF('CF(Q)'!$3:$3,AJ$4,'CF(Q)'!26:26)</f>
        <v>17.107515030105915</v>
      </c>
      <c r="AK25" s="1204">
        <f ca="1">SUMIF('CF(Q)'!$3:$3,AK$4,'CF(Q)'!26:26)</f>
        <v>17.574759802886227</v>
      </c>
      <c r="AL25" s="1204">
        <f ca="1">SUMIF('CF(Q)'!$3:$3,AL$4,'CF(Q)'!26:26)</f>
        <v>20.241738370209468</v>
      </c>
      <c r="AM25" s="1204">
        <f ca="1">SUMIF('CF(Q)'!$3:$3,AM$4,'CF(Q)'!26:26)</f>
        <v>20.501731908957066</v>
      </c>
      <c r="AN25" s="1204">
        <f ca="1">SUMIF('CF(Q)'!$3:$3,AN$4,'CF(Q)'!26:26)</f>
        <v>18.23675745280616</v>
      </c>
      <c r="AO25" s="1204">
        <f ca="1">SUMIF('CF(Q)'!$3:$3,AO$4,'CF(Q)'!26:26)</f>
        <v>22.69257829911059</v>
      </c>
      <c r="AP25" s="1204">
        <f ca="1">SUMIF('CF(Q)'!$3:$3,AP$4,'CF(Q)'!26:26)</f>
        <v>18.148132287082184</v>
      </c>
      <c r="AQ25" s="1204">
        <f ca="1">SUMIF('CF(Q)'!$3:$3,AQ$4,'CF(Q)'!26:26)</f>
        <v>21.590937688441816</v>
      </c>
      <c r="AR25" s="1204">
        <f ca="1">SUMIF('CF(Q)'!$3:$3,AR$4,'CF(Q)'!26:26)</f>
        <v>24.795612625993307</v>
      </c>
      <c r="AS25" s="1204">
        <f ca="1">SUMIF('CF(Q)'!$3:$3,AS$4,'CF(Q)'!26:26)</f>
        <v>22.340339855205379</v>
      </c>
      <c r="AT25" s="1204">
        <f ca="1">SUMIF('CF(Q)'!$3:$3,AT$4,'CF(Q)'!26:26)</f>
        <v>22.986359770375017</v>
      </c>
      <c r="AU25" s="1204">
        <f ca="1">SUMIF('CF(Q)'!$3:$3,AU$4,'CF(Q)'!26:26)</f>
        <v>28.465076437781899</v>
      </c>
      <c r="AV25" s="1204">
        <f ca="1">SUMIF('CF(Q)'!$3:$3,AV$4,'CF(Q)'!26:26)</f>
        <v>26.73958115732551</v>
      </c>
      <c r="AW25" s="1204">
        <f ca="1">SUMIF('CF(Q)'!$3:$3,AW$4,'CF(Q)'!26:26)</f>
        <v>27.584443102948946</v>
      </c>
      <c r="AX25" s="1204">
        <f ca="1">SUMIF('CF(Q)'!$3:$3,AX$4,'CF(Q)'!26:26)</f>
        <v>30.783840551681706</v>
      </c>
      <c r="AY25" s="1204">
        <f ca="1">SUMIF('CF(Q)'!$3:$3,AY$4,'CF(Q)'!26:26)</f>
        <v>15.797908594717759</v>
      </c>
      <c r="AZ25" s="1204">
        <f>SUMIF('CF(Q)'!$3:$3,AZ$4,'CF(Q)'!26:26)</f>
        <v>0</v>
      </c>
      <c r="BA25" s="1204">
        <f>SUMIF('CF(Q)'!$3:$3,BA$4,'CF(Q)'!26:26)</f>
        <v>0</v>
      </c>
      <c r="BB25" s="1204">
        <f>SUMIF('CF(Q)'!$3:$3,BB$4,'CF(Q)'!26:26)</f>
        <v>0</v>
      </c>
      <c r="BC25" s="1204">
        <f>SUMIF('CF(Q)'!$3:$3,BC$4,'CF(Q)'!26:26)</f>
        <v>0</v>
      </c>
    </row>
    <row r="26" spans="2:55" ht="17.100000000000001" customHeight="1">
      <c r="B26" s="720" t="s">
        <v>1308</v>
      </c>
      <c r="C26" s="315"/>
      <c r="D26" s="1259"/>
      <c r="E26" s="722"/>
      <c r="F26" s="1260">
        <f t="shared" ca="1" si="2"/>
        <v>-950.29425242390732</v>
      </c>
      <c r="G26" s="1606">
        <f t="shared" ref="G26:BC26" si="9">G27-G29</f>
        <v>-73.2795725</v>
      </c>
      <c r="H26" s="1606">
        <f t="shared" si="9"/>
        <v>-64.91067480000001</v>
      </c>
      <c r="I26" s="1606">
        <f t="shared" si="9"/>
        <v>-30.890202930000001</v>
      </c>
      <c r="J26" s="1606">
        <f t="shared" si="9"/>
        <v>-14.283581069999999</v>
      </c>
      <c r="K26" s="1606">
        <f t="shared" si="9"/>
        <v>-25.970720400000001</v>
      </c>
      <c r="L26" s="1606">
        <f t="shared" si="9"/>
        <v>-37.764212909999998</v>
      </c>
      <c r="M26" s="1491">
        <f t="shared" si="9"/>
        <v>-44.272211500000004</v>
      </c>
      <c r="N26" s="1491">
        <f t="shared" si="9"/>
        <v>-19.295000000000002</v>
      </c>
      <c r="O26" s="1491">
        <f t="shared" ca="1" si="9"/>
        <v>0</v>
      </c>
      <c r="P26" s="1491">
        <f t="shared" ca="1" si="9"/>
        <v>0</v>
      </c>
      <c r="Q26" s="1491">
        <f t="shared" ca="1" si="9"/>
        <v>-3.1218120299999996</v>
      </c>
      <c r="R26" s="1491">
        <f t="shared" ca="1" si="9"/>
        <v>-4.950257335971</v>
      </c>
      <c r="S26" s="1491">
        <f t="shared" ca="1" si="9"/>
        <v>-9.1290732951685989</v>
      </c>
      <c r="T26" s="1491">
        <f t="shared" ca="1" si="9"/>
        <v>-0.42885414084280393</v>
      </c>
      <c r="U26" s="1491">
        <f t="shared" ca="1" si="9"/>
        <v>-17.867135642863321</v>
      </c>
      <c r="V26" s="1491">
        <f t="shared" ca="1" si="9"/>
        <v>-26.248446544424656</v>
      </c>
      <c r="W26" s="1491">
        <f t="shared" ca="1" si="9"/>
        <v>-42.315422531402263</v>
      </c>
      <c r="X26" s="1491">
        <f t="shared" ca="1" si="9"/>
        <v>-31.17177360582895</v>
      </c>
      <c r="Y26" s="1491">
        <f t="shared" ca="1" si="9"/>
        <v>-0.90146002410557591</v>
      </c>
      <c r="Z26" s="1491">
        <f t="shared" ca="1" si="9"/>
        <v>-34.142798412998687</v>
      </c>
      <c r="AA26" s="1491">
        <f t="shared" ca="1" si="9"/>
        <v>-43.680020103029648</v>
      </c>
      <c r="AB26" s="1491">
        <f t="shared" ca="1" si="9"/>
        <v>-60.23989276865634</v>
      </c>
      <c r="AC26" s="1491">
        <f t="shared" ca="1" si="9"/>
        <v>-23.897152783544978</v>
      </c>
      <c r="AD26" s="1491">
        <f t="shared" ca="1" si="9"/>
        <v>-59.688943341195944</v>
      </c>
      <c r="AE26" s="1491">
        <f t="shared" ca="1" si="9"/>
        <v>-139.41696902865925</v>
      </c>
      <c r="AF26" s="1491">
        <f t="shared" ca="1" si="9"/>
        <v>-54.914592342410728</v>
      </c>
      <c r="AG26" s="1491">
        <f t="shared" ca="1" si="9"/>
        <v>-30.14796743101839</v>
      </c>
      <c r="AH26" s="1491">
        <f t="shared" ca="1" si="9"/>
        <v>-42.640761136021659</v>
      </c>
      <c r="AI26" s="1491">
        <f t="shared" ca="1" si="9"/>
        <v>-17.177078864562716</v>
      </c>
      <c r="AJ26" s="1491">
        <f t="shared" ca="1" si="9"/>
        <v>0</v>
      </c>
      <c r="AK26" s="1491">
        <f t="shared" ca="1" si="9"/>
        <v>-1.015787718825532</v>
      </c>
      <c r="AL26" s="1491">
        <f t="shared" ca="1" si="9"/>
        <v>-16.553119218884451</v>
      </c>
      <c r="AM26" s="1491">
        <f t="shared" ca="1" si="9"/>
        <v>-11.398255571713177</v>
      </c>
      <c r="AN26" s="1491">
        <f t="shared" ca="1" si="9"/>
        <v>-15.855491602779013</v>
      </c>
      <c r="AO26" s="1491">
        <f t="shared" ca="1" si="9"/>
        <v>-28.4077557883124</v>
      </c>
      <c r="AP26" s="1491">
        <f t="shared" ca="1" si="9"/>
        <v>0</v>
      </c>
      <c r="AQ26" s="1491">
        <f t="shared" ca="1" si="9"/>
        <v>-47.319740579941545</v>
      </c>
      <c r="AR26" s="1491">
        <f t="shared" ca="1" si="9"/>
        <v>-8.9847608696091541</v>
      </c>
      <c r="AS26" s="1491">
        <f t="shared" ca="1" si="9"/>
        <v>0</v>
      </c>
      <c r="AT26" s="1491">
        <f t="shared" ca="1" si="9"/>
        <v>-21.663565330935977</v>
      </c>
      <c r="AU26" s="1491">
        <f t="shared" ca="1" si="9"/>
        <v>0</v>
      </c>
      <c r="AV26" s="1491">
        <f t="shared" ca="1" si="9"/>
        <v>-7.8054811857322903</v>
      </c>
      <c r="AW26" s="1491">
        <f t="shared" ca="1" si="9"/>
        <v>-2.1461531753873717</v>
      </c>
      <c r="AX26" s="1491">
        <f t="shared" ca="1" si="9"/>
        <v>-13.43921118427572</v>
      </c>
      <c r="AY26" s="1491">
        <f t="shared" ca="1" si="9"/>
        <v>-70.05730733480506</v>
      </c>
      <c r="AZ26" s="1491">
        <f t="shared" si="9"/>
        <v>0</v>
      </c>
      <c r="BA26" s="1491">
        <f t="shared" si="9"/>
        <v>0</v>
      </c>
      <c r="BB26" s="1491">
        <f t="shared" si="9"/>
        <v>0</v>
      </c>
      <c r="BC26" s="1491">
        <f t="shared" si="9"/>
        <v>0</v>
      </c>
    </row>
    <row r="27" spans="2:55" ht="17.100000000000001" hidden="1" customHeight="1">
      <c r="B27" s="720" t="s">
        <v>1309</v>
      </c>
      <c r="C27" s="315"/>
      <c r="D27" s="1259"/>
      <c r="E27" s="722"/>
      <c r="F27" s="1260">
        <f t="shared" si="2"/>
        <v>0</v>
      </c>
      <c r="G27" s="1606">
        <f t="shared" ref="G27:BC27" si="10">G28</f>
        <v>0</v>
      </c>
      <c r="H27" s="1606">
        <f t="shared" si="10"/>
        <v>0</v>
      </c>
      <c r="I27" s="1606">
        <f t="shared" si="10"/>
        <v>0</v>
      </c>
      <c r="J27" s="1606">
        <f t="shared" si="10"/>
        <v>0</v>
      </c>
      <c r="K27" s="1606">
        <f t="shared" si="10"/>
        <v>0</v>
      </c>
      <c r="L27" s="1606">
        <f t="shared" si="10"/>
        <v>0</v>
      </c>
      <c r="M27" s="1491">
        <f t="shared" si="10"/>
        <v>0</v>
      </c>
      <c r="N27" s="1491">
        <f t="shared" si="10"/>
        <v>0</v>
      </c>
      <c r="O27" s="1491">
        <f t="shared" si="10"/>
        <v>0</v>
      </c>
      <c r="P27" s="1491">
        <f t="shared" si="10"/>
        <v>0</v>
      </c>
      <c r="Q27" s="1491">
        <f t="shared" si="10"/>
        <v>0</v>
      </c>
      <c r="R27" s="1491">
        <f t="shared" si="10"/>
        <v>0</v>
      </c>
      <c r="S27" s="1491">
        <f t="shared" si="10"/>
        <v>0</v>
      </c>
      <c r="T27" s="1491">
        <f t="shared" si="10"/>
        <v>0</v>
      </c>
      <c r="U27" s="1491">
        <f t="shared" si="10"/>
        <v>0</v>
      </c>
      <c r="V27" s="1491">
        <f t="shared" si="10"/>
        <v>0</v>
      </c>
      <c r="W27" s="1491">
        <f t="shared" si="10"/>
        <v>0</v>
      </c>
      <c r="X27" s="1491">
        <f t="shared" si="10"/>
        <v>0</v>
      </c>
      <c r="Y27" s="1491">
        <f t="shared" si="10"/>
        <v>0</v>
      </c>
      <c r="Z27" s="1491">
        <f t="shared" si="10"/>
        <v>0</v>
      </c>
      <c r="AA27" s="1491">
        <f t="shared" si="10"/>
        <v>0</v>
      </c>
      <c r="AB27" s="1491">
        <f t="shared" si="10"/>
        <v>0</v>
      </c>
      <c r="AC27" s="1491">
        <f t="shared" si="10"/>
        <v>0</v>
      </c>
      <c r="AD27" s="1491">
        <f t="shared" si="10"/>
        <v>0</v>
      </c>
      <c r="AE27" s="1491">
        <f t="shared" si="10"/>
        <v>0</v>
      </c>
      <c r="AF27" s="1491">
        <f t="shared" si="10"/>
        <v>0</v>
      </c>
      <c r="AG27" s="1491">
        <f t="shared" si="10"/>
        <v>0</v>
      </c>
      <c r="AH27" s="1491">
        <f t="shared" si="10"/>
        <v>0</v>
      </c>
      <c r="AI27" s="1491">
        <f t="shared" si="10"/>
        <v>0</v>
      </c>
      <c r="AJ27" s="1491">
        <f t="shared" si="10"/>
        <v>0</v>
      </c>
      <c r="AK27" s="1491">
        <f t="shared" si="10"/>
        <v>0</v>
      </c>
      <c r="AL27" s="1491">
        <f t="shared" si="10"/>
        <v>0</v>
      </c>
      <c r="AM27" s="1491">
        <f t="shared" si="10"/>
        <v>0</v>
      </c>
      <c r="AN27" s="1491">
        <f t="shared" si="10"/>
        <v>0</v>
      </c>
      <c r="AO27" s="1491">
        <f t="shared" si="10"/>
        <v>0</v>
      </c>
      <c r="AP27" s="1491">
        <f t="shared" si="10"/>
        <v>0</v>
      </c>
      <c r="AQ27" s="1491">
        <f t="shared" si="10"/>
        <v>0</v>
      </c>
      <c r="AR27" s="1491">
        <f t="shared" si="10"/>
        <v>0</v>
      </c>
      <c r="AS27" s="1491">
        <f t="shared" si="10"/>
        <v>0</v>
      </c>
      <c r="AT27" s="1491">
        <f t="shared" si="10"/>
        <v>0</v>
      </c>
      <c r="AU27" s="1491">
        <f t="shared" si="10"/>
        <v>0</v>
      </c>
      <c r="AV27" s="1491">
        <f t="shared" si="10"/>
        <v>0</v>
      </c>
      <c r="AW27" s="1491">
        <f t="shared" si="10"/>
        <v>0</v>
      </c>
      <c r="AX27" s="1491">
        <f t="shared" si="10"/>
        <v>0</v>
      </c>
      <c r="AY27" s="1491">
        <f t="shared" si="10"/>
        <v>0</v>
      </c>
      <c r="AZ27" s="1491">
        <f t="shared" si="10"/>
        <v>0</v>
      </c>
      <c r="BA27" s="1491">
        <f t="shared" si="10"/>
        <v>0</v>
      </c>
      <c r="BB27" s="1491">
        <f t="shared" si="10"/>
        <v>0</v>
      </c>
      <c r="BC27" s="1491">
        <f t="shared" si="10"/>
        <v>0</v>
      </c>
    </row>
    <row r="28" spans="2:55" ht="17.100000000000001" hidden="1" customHeight="1">
      <c r="B28" s="307"/>
      <c r="C28" s="489">
        <f>'CF(Q)'!C29</f>
        <v>0</v>
      </c>
      <c r="D28" s="331"/>
      <c r="E28" s="1868"/>
      <c r="F28" s="1207">
        <f t="shared" si="2"/>
        <v>0</v>
      </c>
      <c r="G28" s="1609">
        <f>SUMIF('CF(Q)'!$3:$3,G$4,'CF(Q)'!29:29)</f>
        <v>0</v>
      </c>
      <c r="H28" s="1609">
        <f>SUMIF('CF(Q)'!$3:$3,H$4,'CF(Q)'!29:29)</f>
        <v>0</v>
      </c>
      <c r="I28" s="1609">
        <f>SUMIF('CF(Q)'!$3:$3,I$4,'CF(Q)'!29:29)</f>
        <v>0</v>
      </c>
      <c r="J28" s="1609">
        <f>SUMIF('CF(Q)'!$3:$3,J$4,'CF(Q)'!29:29)</f>
        <v>0</v>
      </c>
      <c r="K28" s="1609">
        <f>SUMIF('CF(Q)'!$3:$3,K$4,'CF(Q)'!29:29)</f>
        <v>0</v>
      </c>
      <c r="L28" s="1609">
        <f>SUMIF('CF(Q)'!$3:$3,L$4,'CF(Q)'!29:29)</f>
        <v>0</v>
      </c>
      <c r="M28" s="1204">
        <f>SUMIF('CF(Q)'!$3:$3,M$4,'CF(Q)'!29:29)</f>
        <v>0</v>
      </c>
      <c r="N28" s="1204">
        <f>SUMIF('CF(Q)'!$3:$3,N$4,'CF(Q)'!29:29)</f>
        <v>0</v>
      </c>
      <c r="O28" s="1204">
        <f>SUMIF('CF(Q)'!$3:$3,O$4,'CF(Q)'!29:29)</f>
        <v>0</v>
      </c>
      <c r="P28" s="1204">
        <f>SUMIF('CF(Q)'!$3:$3,P$4,'CF(Q)'!29:29)</f>
        <v>0</v>
      </c>
      <c r="Q28" s="1204">
        <f>SUMIF('CF(Q)'!$3:$3,Q$4,'CF(Q)'!29:29)</f>
        <v>0</v>
      </c>
      <c r="R28" s="1204">
        <f>SUMIF('CF(Q)'!$3:$3,R$4,'CF(Q)'!29:29)</f>
        <v>0</v>
      </c>
      <c r="S28" s="1204">
        <f>SUMIF('CF(Q)'!$3:$3,S$4,'CF(Q)'!29:29)</f>
        <v>0</v>
      </c>
      <c r="T28" s="1204">
        <f>SUMIF('CF(Q)'!$3:$3,T$4,'CF(Q)'!29:29)</f>
        <v>0</v>
      </c>
      <c r="U28" s="1204">
        <f>SUMIF('CF(Q)'!$3:$3,U$4,'CF(Q)'!29:29)</f>
        <v>0</v>
      </c>
      <c r="V28" s="1204">
        <f>SUMIF('CF(Q)'!$3:$3,V$4,'CF(Q)'!29:29)</f>
        <v>0</v>
      </c>
      <c r="W28" s="1204">
        <f>SUMIF('CF(Q)'!$3:$3,W$4,'CF(Q)'!29:29)</f>
        <v>0</v>
      </c>
      <c r="X28" s="1204">
        <f>SUMIF('CF(Q)'!$3:$3,X$4,'CF(Q)'!29:29)</f>
        <v>0</v>
      </c>
      <c r="Y28" s="1204">
        <f>SUMIF('CF(Q)'!$3:$3,Y$4,'CF(Q)'!29:29)</f>
        <v>0</v>
      </c>
      <c r="Z28" s="1204">
        <f>SUMIF('CF(Q)'!$3:$3,Z$4,'CF(Q)'!29:29)</f>
        <v>0</v>
      </c>
      <c r="AA28" s="1204">
        <f>SUMIF('CF(Q)'!$3:$3,AA$4,'CF(Q)'!29:29)</f>
        <v>0</v>
      </c>
      <c r="AB28" s="1204">
        <f>SUMIF('CF(Q)'!$3:$3,AB$4,'CF(Q)'!29:29)</f>
        <v>0</v>
      </c>
      <c r="AC28" s="1204">
        <f>SUMIF('CF(Q)'!$3:$3,AC$4,'CF(Q)'!29:29)</f>
        <v>0</v>
      </c>
      <c r="AD28" s="1204">
        <f>SUMIF('CF(Q)'!$3:$3,AD$4,'CF(Q)'!29:29)</f>
        <v>0</v>
      </c>
      <c r="AE28" s="1204">
        <f>SUMIF('CF(Q)'!$3:$3,AE$4,'CF(Q)'!29:29)</f>
        <v>0</v>
      </c>
      <c r="AF28" s="1204">
        <f>SUMIF('CF(Q)'!$3:$3,AF$4,'CF(Q)'!29:29)</f>
        <v>0</v>
      </c>
      <c r="AG28" s="1204">
        <f>SUMIF('CF(Q)'!$3:$3,AG$4,'CF(Q)'!29:29)</f>
        <v>0</v>
      </c>
      <c r="AH28" s="1204">
        <f>SUMIF('CF(Q)'!$3:$3,AH$4,'CF(Q)'!29:29)</f>
        <v>0</v>
      </c>
      <c r="AI28" s="1204">
        <f>SUMIF('CF(Q)'!$3:$3,AI$4,'CF(Q)'!29:29)</f>
        <v>0</v>
      </c>
      <c r="AJ28" s="1204">
        <f>SUMIF('CF(Q)'!$3:$3,AJ$4,'CF(Q)'!29:29)</f>
        <v>0</v>
      </c>
      <c r="AK28" s="1204">
        <f>SUMIF('CF(Q)'!$3:$3,AK$4,'CF(Q)'!29:29)</f>
        <v>0</v>
      </c>
      <c r="AL28" s="1204">
        <f>SUMIF('CF(Q)'!$3:$3,AL$4,'CF(Q)'!29:29)</f>
        <v>0</v>
      </c>
      <c r="AM28" s="1204">
        <f>SUMIF('CF(Q)'!$3:$3,AM$4,'CF(Q)'!29:29)</f>
        <v>0</v>
      </c>
      <c r="AN28" s="1204">
        <f>SUMIF('CF(Q)'!$3:$3,AN$4,'CF(Q)'!29:29)</f>
        <v>0</v>
      </c>
      <c r="AO28" s="1204">
        <f>SUMIF('CF(Q)'!$3:$3,AO$4,'CF(Q)'!29:29)</f>
        <v>0</v>
      </c>
      <c r="AP28" s="1204">
        <f>SUMIF('CF(Q)'!$3:$3,AP$4,'CF(Q)'!29:29)</f>
        <v>0</v>
      </c>
      <c r="AQ28" s="1204">
        <f>SUMIF('CF(Q)'!$3:$3,AQ$4,'CF(Q)'!29:29)</f>
        <v>0</v>
      </c>
      <c r="AR28" s="1204">
        <f>SUMIF('CF(Q)'!$3:$3,AR$4,'CF(Q)'!29:29)</f>
        <v>0</v>
      </c>
      <c r="AS28" s="1204">
        <f>SUMIF('CF(Q)'!$3:$3,AS$4,'CF(Q)'!29:29)</f>
        <v>0</v>
      </c>
      <c r="AT28" s="1204">
        <f>SUMIF('CF(Q)'!$3:$3,AT$4,'CF(Q)'!29:29)</f>
        <v>0</v>
      </c>
      <c r="AU28" s="1204">
        <f>SUMIF('CF(Q)'!$3:$3,AU$4,'CF(Q)'!29:29)</f>
        <v>0</v>
      </c>
      <c r="AV28" s="1204">
        <f>SUMIF('CF(Q)'!$3:$3,AV$4,'CF(Q)'!29:29)</f>
        <v>0</v>
      </c>
      <c r="AW28" s="1204">
        <f>SUMIF('CF(Q)'!$3:$3,AW$4,'CF(Q)'!29:29)</f>
        <v>0</v>
      </c>
      <c r="AX28" s="1204">
        <f>SUMIF('CF(Q)'!$3:$3,AX$4,'CF(Q)'!29:29)</f>
        <v>0</v>
      </c>
      <c r="AY28" s="1204">
        <f>SUMIF('CF(Q)'!$3:$3,AY$4,'CF(Q)'!29:29)</f>
        <v>0</v>
      </c>
      <c r="AZ28" s="1204">
        <f>SUMIF('CF(Q)'!$3:$3,AZ$4,'CF(Q)'!29:29)</f>
        <v>0</v>
      </c>
      <c r="BA28" s="1204">
        <f>SUMIF('CF(Q)'!$3:$3,BA$4,'CF(Q)'!29:29)</f>
        <v>0</v>
      </c>
      <c r="BB28" s="1204">
        <f>SUMIF('CF(Q)'!$3:$3,BB$4,'CF(Q)'!29:29)</f>
        <v>0</v>
      </c>
      <c r="BC28" s="1204">
        <f>SUMIF('CF(Q)'!$3:$3,BC$4,'CF(Q)'!29:29)</f>
        <v>0</v>
      </c>
    </row>
    <row r="29" spans="2:55" ht="17.100000000000001" customHeight="1">
      <c r="B29" s="1510" t="s">
        <v>1310</v>
      </c>
      <c r="C29" s="428"/>
      <c r="D29" s="1511"/>
      <c r="E29" s="1512"/>
      <c r="F29" s="1867">
        <f t="shared" ca="1" si="2"/>
        <v>950.29425242390732</v>
      </c>
      <c r="G29" s="1648">
        <f t="shared" ref="G29:AL29" si="11">SUM(G30:G31)</f>
        <v>73.2795725</v>
      </c>
      <c r="H29" s="1648">
        <f t="shared" si="11"/>
        <v>64.91067480000001</v>
      </c>
      <c r="I29" s="1648">
        <f t="shared" si="11"/>
        <v>30.890202930000001</v>
      </c>
      <c r="J29" s="1648">
        <f t="shared" si="11"/>
        <v>14.283581069999999</v>
      </c>
      <c r="K29" s="1648">
        <f t="shared" si="11"/>
        <v>25.970720400000001</v>
      </c>
      <c r="L29" s="1648">
        <f t="shared" si="11"/>
        <v>37.764212909999998</v>
      </c>
      <c r="M29" s="1650">
        <f t="shared" si="11"/>
        <v>44.272211500000004</v>
      </c>
      <c r="N29" s="1650">
        <f t="shared" si="11"/>
        <v>19.295000000000002</v>
      </c>
      <c r="O29" s="1650">
        <f t="shared" ca="1" si="11"/>
        <v>0</v>
      </c>
      <c r="P29" s="1650">
        <f t="shared" ca="1" si="11"/>
        <v>0</v>
      </c>
      <c r="Q29" s="1650">
        <f t="shared" ca="1" si="11"/>
        <v>3.1218120299999996</v>
      </c>
      <c r="R29" s="1650">
        <f t="shared" ca="1" si="11"/>
        <v>4.950257335971</v>
      </c>
      <c r="S29" s="1650">
        <f t="shared" ca="1" si="11"/>
        <v>9.1290732951685989</v>
      </c>
      <c r="T29" s="1650">
        <f t="shared" ca="1" si="11"/>
        <v>0.42885414084280393</v>
      </c>
      <c r="U29" s="1650">
        <f t="shared" ca="1" si="11"/>
        <v>17.867135642863321</v>
      </c>
      <c r="V29" s="1650">
        <f t="shared" ca="1" si="11"/>
        <v>26.248446544424656</v>
      </c>
      <c r="W29" s="1650">
        <f t="shared" ca="1" si="11"/>
        <v>42.315422531402263</v>
      </c>
      <c r="X29" s="1650">
        <f t="shared" ca="1" si="11"/>
        <v>31.17177360582895</v>
      </c>
      <c r="Y29" s="1650">
        <f t="shared" ca="1" si="11"/>
        <v>0.90146002410557591</v>
      </c>
      <c r="Z29" s="1650">
        <f t="shared" ca="1" si="11"/>
        <v>34.142798412998687</v>
      </c>
      <c r="AA29" s="1650">
        <f t="shared" ca="1" si="11"/>
        <v>43.680020103029648</v>
      </c>
      <c r="AB29" s="1650">
        <f t="shared" ca="1" si="11"/>
        <v>60.23989276865634</v>
      </c>
      <c r="AC29" s="1650">
        <f t="shared" ca="1" si="11"/>
        <v>23.897152783544978</v>
      </c>
      <c r="AD29" s="1650">
        <f t="shared" ca="1" si="11"/>
        <v>59.688943341195944</v>
      </c>
      <c r="AE29" s="1650">
        <f t="shared" ca="1" si="11"/>
        <v>139.41696902865925</v>
      </c>
      <c r="AF29" s="1650">
        <f t="shared" ca="1" si="11"/>
        <v>54.914592342410728</v>
      </c>
      <c r="AG29" s="1650">
        <f t="shared" ca="1" si="11"/>
        <v>30.14796743101839</v>
      </c>
      <c r="AH29" s="1650">
        <f t="shared" ca="1" si="11"/>
        <v>42.640761136021659</v>
      </c>
      <c r="AI29" s="1650">
        <f t="shared" ca="1" si="11"/>
        <v>17.177078864562716</v>
      </c>
      <c r="AJ29" s="1650">
        <f t="shared" ca="1" si="11"/>
        <v>0</v>
      </c>
      <c r="AK29" s="1650">
        <f t="shared" ca="1" si="11"/>
        <v>1.015787718825532</v>
      </c>
      <c r="AL29" s="1650">
        <f t="shared" ca="1" si="11"/>
        <v>16.553119218884451</v>
      </c>
      <c r="AM29" s="1650">
        <f t="shared" ref="AM29:BC29" ca="1" si="12">SUM(AM30:AM31)</f>
        <v>11.398255571713177</v>
      </c>
      <c r="AN29" s="1650">
        <f t="shared" ca="1" si="12"/>
        <v>15.855491602779013</v>
      </c>
      <c r="AO29" s="1650">
        <f t="shared" ca="1" si="12"/>
        <v>28.4077557883124</v>
      </c>
      <c r="AP29" s="1650">
        <f t="shared" ca="1" si="12"/>
        <v>0</v>
      </c>
      <c r="AQ29" s="1650">
        <f t="shared" ca="1" si="12"/>
        <v>47.319740579941545</v>
      </c>
      <c r="AR29" s="1650">
        <f t="shared" ca="1" si="12"/>
        <v>8.9847608696091541</v>
      </c>
      <c r="AS29" s="1650">
        <f t="shared" ca="1" si="12"/>
        <v>0</v>
      </c>
      <c r="AT29" s="1650">
        <f t="shared" ca="1" si="12"/>
        <v>21.663565330935977</v>
      </c>
      <c r="AU29" s="1650">
        <f t="shared" ca="1" si="12"/>
        <v>0</v>
      </c>
      <c r="AV29" s="1650">
        <f t="shared" ca="1" si="12"/>
        <v>7.8054811857322903</v>
      </c>
      <c r="AW29" s="1650">
        <f t="shared" ca="1" si="12"/>
        <v>2.1461531753873717</v>
      </c>
      <c r="AX29" s="1650">
        <f t="shared" ca="1" si="12"/>
        <v>13.43921118427572</v>
      </c>
      <c r="AY29" s="1650">
        <f t="shared" ca="1" si="12"/>
        <v>70.05730733480506</v>
      </c>
      <c r="AZ29" s="1650">
        <f t="shared" si="12"/>
        <v>0</v>
      </c>
      <c r="BA29" s="1650">
        <f t="shared" si="12"/>
        <v>0</v>
      </c>
      <c r="BB29" s="1650">
        <f t="shared" si="12"/>
        <v>0</v>
      </c>
      <c r="BC29" s="1650">
        <f t="shared" si="12"/>
        <v>0</v>
      </c>
    </row>
    <row r="30" spans="2:55" ht="17.100000000000001" customHeight="1">
      <c r="B30" s="307"/>
      <c r="C30" s="489" t="s">
        <v>231</v>
      </c>
      <c r="D30" s="331"/>
      <c r="E30" s="1869"/>
      <c r="F30" s="1204">
        <f t="shared" ca="1" si="2"/>
        <v>950.29425242390732</v>
      </c>
      <c r="G30" s="1609">
        <f>SUMIF('CF(Q)'!$3:$3,G$4,'CF(Q)'!31:31)</f>
        <v>73.2795725</v>
      </c>
      <c r="H30" s="1609">
        <f>SUMIF('CF(Q)'!$3:$3,H$4,'CF(Q)'!31:31)</f>
        <v>64.91067480000001</v>
      </c>
      <c r="I30" s="1609">
        <f>SUMIF('CF(Q)'!$3:$3,I$4,'CF(Q)'!31:31)</f>
        <v>30.890202930000001</v>
      </c>
      <c r="J30" s="1609">
        <f>SUMIF('CF(Q)'!$3:$3,J$4,'CF(Q)'!31:31)</f>
        <v>14.283581069999999</v>
      </c>
      <c r="K30" s="1609">
        <f>SUMIF('CF(Q)'!$3:$3,K$4,'CF(Q)'!31:31)</f>
        <v>25.970720400000001</v>
      </c>
      <c r="L30" s="1609">
        <f>SUMIF('CF(Q)'!$3:$3,L$4,'CF(Q)'!31:31)</f>
        <v>37.764212909999998</v>
      </c>
      <c r="M30" s="1204">
        <f>SUMIF('CF(Q)'!$3:$3,M$4,'CF(Q)'!31:31)</f>
        <v>44.272211500000004</v>
      </c>
      <c r="N30" s="1204">
        <f>SUMIF('CF(Q)'!$3:$3,N$4,'CF(Q)'!31:31)</f>
        <v>19.295000000000002</v>
      </c>
      <c r="O30" s="1204">
        <f ca="1">SUMIF('CF(Q)'!$3:$3,O$4,'CF(Q)'!31:31)</f>
        <v>0</v>
      </c>
      <c r="P30" s="1204">
        <f ca="1">SUMIF('CF(Q)'!$3:$3,P$4,'CF(Q)'!31:31)</f>
        <v>0</v>
      </c>
      <c r="Q30" s="1204">
        <f ca="1">SUMIF('CF(Q)'!$3:$3,Q$4,'CF(Q)'!31:31)</f>
        <v>3.1218120299999996</v>
      </c>
      <c r="R30" s="1204">
        <f ca="1">SUMIF('CF(Q)'!$3:$3,R$4,'CF(Q)'!31:31)</f>
        <v>4.950257335971</v>
      </c>
      <c r="S30" s="1204">
        <f ca="1">SUMIF('CF(Q)'!$3:$3,S$4,'CF(Q)'!31:31)</f>
        <v>9.1290732951685989</v>
      </c>
      <c r="T30" s="1204">
        <f ca="1">SUMIF('CF(Q)'!$3:$3,T$4,'CF(Q)'!31:31)</f>
        <v>0.42885414084280393</v>
      </c>
      <c r="U30" s="1204">
        <f ca="1">SUMIF('CF(Q)'!$3:$3,U$4,'CF(Q)'!31:31)</f>
        <v>17.867135642863321</v>
      </c>
      <c r="V30" s="1204">
        <f ca="1">SUMIF('CF(Q)'!$3:$3,V$4,'CF(Q)'!31:31)</f>
        <v>26.248446544424656</v>
      </c>
      <c r="W30" s="1204">
        <f ca="1">SUMIF('CF(Q)'!$3:$3,W$4,'CF(Q)'!31:31)</f>
        <v>42.315422531402263</v>
      </c>
      <c r="X30" s="1204">
        <f ca="1">SUMIF('CF(Q)'!$3:$3,X$4,'CF(Q)'!31:31)</f>
        <v>31.17177360582895</v>
      </c>
      <c r="Y30" s="1204">
        <f ca="1">SUMIF('CF(Q)'!$3:$3,Y$4,'CF(Q)'!31:31)</f>
        <v>0.90146002410557591</v>
      </c>
      <c r="Z30" s="1204">
        <f ca="1">SUMIF('CF(Q)'!$3:$3,Z$4,'CF(Q)'!31:31)</f>
        <v>34.142798412998687</v>
      </c>
      <c r="AA30" s="1204">
        <f ca="1">SUMIF('CF(Q)'!$3:$3,AA$4,'CF(Q)'!31:31)</f>
        <v>43.680020103029648</v>
      </c>
      <c r="AB30" s="1204">
        <f ca="1">SUMIF('CF(Q)'!$3:$3,AB$4,'CF(Q)'!31:31)</f>
        <v>60.23989276865634</v>
      </c>
      <c r="AC30" s="1204">
        <f ca="1">SUMIF('CF(Q)'!$3:$3,AC$4,'CF(Q)'!31:31)</f>
        <v>23.897152783544978</v>
      </c>
      <c r="AD30" s="1204">
        <f ca="1">SUMIF('CF(Q)'!$3:$3,AD$4,'CF(Q)'!31:31)</f>
        <v>59.688943341195944</v>
      </c>
      <c r="AE30" s="1204">
        <f ca="1">SUMIF('CF(Q)'!$3:$3,AE$4,'CF(Q)'!31:31)</f>
        <v>139.41696902865925</v>
      </c>
      <c r="AF30" s="1204">
        <f ca="1">SUMIF('CF(Q)'!$3:$3,AF$4,'CF(Q)'!31:31)</f>
        <v>54.914592342410728</v>
      </c>
      <c r="AG30" s="1204">
        <f ca="1">SUMIF('CF(Q)'!$3:$3,AG$4,'CF(Q)'!31:31)</f>
        <v>30.14796743101839</v>
      </c>
      <c r="AH30" s="1204">
        <f ca="1">SUMIF('CF(Q)'!$3:$3,AH$4,'CF(Q)'!31:31)</f>
        <v>42.640761136021659</v>
      </c>
      <c r="AI30" s="1204">
        <f ca="1">SUMIF('CF(Q)'!$3:$3,AI$4,'CF(Q)'!31:31)</f>
        <v>17.177078864562716</v>
      </c>
      <c r="AJ30" s="1204">
        <f ca="1">SUMIF('CF(Q)'!$3:$3,AJ$4,'CF(Q)'!31:31)</f>
        <v>0</v>
      </c>
      <c r="AK30" s="1204">
        <f ca="1">SUMIF('CF(Q)'!$3:$3,AK$4,'CF(Q)'!31:31)</f>
        <v>1.015787718825532</v>
      </c>
      <c r="AL30" s="1204">
        <f ca="1">SUMIF('CF(Q)'!$3:$3,AL$4,'CF(Q)'!31:31)</f>
        <v>16.553119218884451</v>
      </c>
      <c r="AM30" s="1204">
        <f ca="1">SUMIF('CF(Q)'!$3:$3,AM$4,'CF(Q)'!31:31)</f>
        <v>11.398255571713177</v>
      </c>
      <c r="AN30" s="1204">
        <f ca="1">SUMIF('CF(Q)'!$3:$3,AN$4,'CF(Q)'!31:31)</f>
        <v>15.855491602779013</v>
      </c>
      <c r="AO30" s="1204">
        <f ca="1">SUMIF('CF(Q)'!$3:$3,AO$4,'CF(Q)'!31:31)</f>
        <v>28.4077557883124</v>
      </c>
      <c r="AP30" s="1204">
        <f ca="1">SUMIF('CF(Q)'!$3:$3,AP$4,'CF(Q)'!31:31)</f>
        <v>0</v>
      </c>
      <c r="AQ30" s="1204">
        <f ca="1">SUMIF('CF(Q)'!$3:$3,AQ$4,'CF(Q)'!31:31)</f>
        <v>47.319740579941545</v>
      </c>
      <c r="AR30" s="1204">
        <f ca="1">SUMIF('CF(Q)'!$3:$3,AR$4,'CF(Q)'!31:31)</f>
        <v>8.9847608696091541</v>
      </c>
      <c r="AS30" s="1204">
        <f ca="1">SUMIF('CF(Q)'!$3:$3,AS$4,'CF(Q)'!31:31)</f>
        <v>0</v>
      </c>
      <c r="AT30" s="1204">
        <f ca="1">SUMIF('CF(Q)'!$3:$3,AT$4,'CF(Q)'!31:31)</f>
        <v>21.663565330935977</v>
      </c>
      <c r="AU30" s="1204">
        <f ca="1">SUMIF('CF(Q)'!$3:$3,AU$4,'CF(Q)'!31:31)</f>
        <v>0</v>
      </c>
      <c r="AV30" s="1204">
        <f ca="1">SUMIF('CF(Q)'!$3:$3,AV$4,'CF(Q)'!31:31)</f>
        <v>7.8054811857322903</v>
      </c>
      <c r="AW30" s="1204">
        <f ca="1">SUMIF('CF(Q)'!$3:$3,AW$4,'CF(Q)'!31:31)</f>
        <v>2.1461531753873717</v>
      </c>
      <c r="AX30" s="1204">
        <f ca="1">SUMIF('CF(Q)'!$3:$3,AX$4,'CF(Q)'!31:31)</f>
        <v>13.43921118427572</v>
      </c>
      <c r="AY30" s="1204">
        <f ca="1">SUMIF('CF(Q)'!$3:$3,AY$4,'CF(Q)'!31:31)</f>
        <v>70.05730733480506</v>
      </c>
      <c r="AZ30" s="1204">
        <f>SUMIF('CF(Q)'!$3:$3,AZ$4,'CF(Q)'!31:31)</f>
        <v>0</v>
      </c>
      <c r="BA30" s="1204">
        <f>SUMIF('CF(Q)'!$3:$3,BA$4,'CF(Q)'!31:31)</f>
        <v>0</v>
      </c>
      <c r="BB30" s="1204">
        <f>SUMIF('CF(Q)'!$3:$3,BB$4,'CF(Q)'!31:31)</f>
        <v>0</v>
      </c>
      <c r="BC30" s="1204">
        <f>SUMIF('CF(Q)'!$3:$3,BC$4,'CF(Q)'!31:31)</f>
        <v>0</v>
      </c>
    </row>
    <row r="31" spans="2:55" ht="17.100000000000001" hidden="1" customHeight="1">
      <c r="B31" s="307"/>
      <c r="C31" s="489"/>
      <c r="D31" s="331"/>
      <c r="E31" s="1868"/>
      <c r="F31" s="1207">
        <f t="shared" si="2"/>
        <v>0</v>
      </c>
      <c r="G31" s="1609">
        <f>SUMIF('CF(Q)'!$3:$3,G$4,'CF(Q)'!32:32)</f>
        <v>0</v>
      </c>
      <c r="H31" s="1609">
        <f>SUMIF('CF(Q)'!$3:$3,H$4,'CF(Q)'!32:32)</f>
        <v>0</v>
      </c>
      <c r="I31" s="1609">
        <f>SUMIF('CF(Q)'!$3:$3,I$4,'CF(Q)'!32:32)</f>
        <v>0</v>
      </c>
      <c r="J31" s="1609">
        <f>SUMIF('CF(Q)'!$3:$3,J$4,'CF(Q)'!32:32)</f>
        <v>0</v>
      </c>
      <c r="K31" s="1609">
        <f>SUMIF('CF(Q)'!$3:$3,K$4,'CF(Q)'!32:32)</f>
        <v>0</v>
      </c>
      <c r="L31" s="1609">
        <f>SUMIF('CF(Q)'!$3:$3,L$4,'CF(Q)'!32:32)</f>
        <v>0</v>
      </c>
      <c r="M31" s="1204">
        <f>SUMIF('CF(Q)'!$3:$3,M$4,'CF(Q)'!32:32)</f>
        <v>0</v>
      </c>
      <c r="N31" s="1204">
        <f>SUMIF('CF(Q)'!$3:$3,N$4,'CF(Q)'!32:32)</f>
        <v>0</v>
      </c>
      <c r="O31" s="1204">
        <f>SUMIF('CF(Q)'!$3:$3,O$4,'CF(Q)'!32:32)</f>
        <v>0</v>
      </c>
      <c r="P31" s="1204">
        <f>SUMIF('CF(Q)'!$3:$3,P$4,'CF(Q)'!32:32)</f>
        <v>0</v>
      </c>
      <c r="Q31" s="1204">
        <f>SUMIF('CF(Q)'!$3:$3,Q$4,'CF(Q)'!32:32)</f>
        <v>0</v>
      </c>
      <c r="R31" s="1204">
        <f>SUMIF('CF(Q)'!$3:$3,R$4,'CF(Q)'!32:32)</f>
        <v>0</v>
      </c>
      <c r="S31" s="1204">
        <f>SUMIF('CF(Q)'!$3:$3,S$4,'CF(Q)'!32:32)</f>
        <v>0</v>
      </c>
      <c r="T31" s="1204">
        <f>SUMIF('CF(Q)'!$3:$3,T$4,'CF(Q)'!32:32)</f>
        <v>0</v>
      </c>
      <c r="U31" s="1204">
        <f>SUMIF('CF(Q)'!$3:$3,U$4,'CF(Q)'!32:32)</f>
        <v>0</v>
      </c>
      <c r="V31" s="1204">
        <f>SUMIF('CF(Q)'!$3:$3,V$4,'CF(Q)'!32:32)</f>
        <v>0</v>
      </c>
      <c r="W31" s="1204">
        <f>SUMIF('CF(Q)'!$3:$3,W$4,'CF(Q)'!32:32)</f>
        <v>0</v>
      </c>
      <c r="X31" s="1204">
        <f>SUMIF('CF(Q)'!$3:$3,X$4,'CF(Q)'!32:32)</f>
        <v>0</v>
      </c>
      <c r="Y31" s="1204">
        <f>SUMIF('CF(Q)'!$3:$3,Y$4,'CF(Q)'!32:32)</f>
        <v>0</v>
      </c>
      <c r="Z31" s="1204">
        <f>SUMIF('CF(Q)'!$3:$3,Z$4,'CF(Q)'!32:32)</f>
        <v>0</v>
      </c>
      <c r="AA31" s="1204">
        <f>SUMIF('CF(Q)'!$3:$3,AA$4,'CF(Q)'!32:32)</f>
        <v>0</v>
      </c>
      <c r="AB31" s="1204">
        <f>SUMIF('CF(Q)'!$3:$3,AB$4,'CF(Q)'!32:32)</f>
        <v>0</v>
      </c>
      <c r="AC31" s="1204">
        <f>SUMIF('CF(Q)'!$3:$3,AC$4,'CF(Q)'!32:32)</f>
        <v>0</v>
      </c>
      <c r="AD31" s="1204">
        <f>SUMIF('CF(Q)'!$3:$3,AD$4,'CF(Q)'!32:32)</f>
        <v>0</v>
      </c>
      <c r="AE31" s="1204">
        <f>SUMIF('CF(Q)'!$3:$3,AE$4,'CF(Q)'!32:32)</f>
        <v>0</v>
      </c>
      <c r="AF31" s="1204">
        <f>SUMIF('CF(Q)'!$3:$3,AF$4,'CF(Q)'!32:32)</f>
        <v>0</v>
      </c>
      <c r="AG31" s="1204">
        <f>SUMIF('CF(Q)'!$3:$3,AG$4,'CF(Q)'!32:32)</f>
        <v>0</v>
      </c>
      <c r="AH31" s="1204">
        <f>SUMIF('CF(Q)'!$3:$3,AH$4,'CF(Q)'!32:32)</f>
        <v>0</v>
      </c>
      <c r="AI31" s="1204">
        <f>SUMIF('CF(Q)'!$3:$3,AI$4,'CF(Q)'!32:32)</f>
        <v>0</v>
      </c>
      <c r="AJ31" s="1204">
        <f>SUMIF('CF(Q)'!$3:$3,AJ$4,'CF(Q)'!32:32)</f>
        <v>0</v>
      </c>
      <c r="AK31" s="1204">
        <f>SUMIF('CF(Q)'!$3:$3,AK$4,'CF(Q)'!32:32)</f>
        <v>0</v>
      </c>
      <c r="AL31" s="1204">
        <f>SUMIF('CF(Q)'!$3:$3,AL$4,'CF(Q)'!32:32)</f>
        <v>0</v>
      </c>
      <c r="AM31" s="1204">
        <f>SUMIF('CF(Q)'!$3:$3,AM$4,'CF(Q)'!32:32)</f>
        <v>0</v>
      </c>
      <c r="AN31" s="1204">
        <f>SUMIF('CF(Q)'!$3:$3,AN$4,'CF(Q)'!32:32)</f>
        <v>0</v>
      </c>
      <c r="AO31" s="1204">
        <f>SUMIF('CF(Q)'!$3:$3,AO$4,'CF(Q)'!32:32)</f>
        <v>0</v>
      </c>
      <c r="AP31" s="1204">
        <f>SUMIF('CF(Q)'!$3:$3,AP$4,'CF(Q)'!32:32)</f>
        <v>0</v>
      </c>
      <c r="AQ31" s="1204">
        <f>SUMIF('CF(Q)'!$3:$3,AQ$4,'CF(Q)'!32:32)</f>
        <v>0</v>
      </c>
      <c r="AR31" s="1204">
        <f>SUMIF('CF(Q)'!$3:$3,AR$4,'CF(Q)'!32:32)</f>
        <v>0</v>
      </c>
      <c r="AS31" s="1204">
        <f>SUMIF('CF(Q)'!$3:$3,AS$4,'CF(Q)'!32:32)</f>
        <v>0</v>
      </c>
      <c r="AT31" s="1204">
        <f>SUMIF('CF(Q)'!$3:$3,AT$4,'CF(Q)'!32:32)</f>
        <v>0</v>
      </c>
      <c r="AU31" s="1204">
        <f>SUMIF('CF(Q)'!$3:$3,AU$4,'CF(Q)'!32:32)</f>
        <v>0</v>
      </c>
      <c r="AV31" s="1204">
        <f>SUMIF('CF(Q)'!$3:$3,AV$4,'CF(Q)'!32:32)</f>
        <v>0</v>
      </c>
      <c r="AW31" s="1204">
        <f>SUMIF('CF(Q)'!$3:$3,AW$4,'CF(Q)'!32:32)</f>
        <v>0</v>
      </c>
      <c r="AX31" s="1204">
        <f>SUMIF('CF(Q)'!$3:$3,AX$4,'CF(Q)'!32:32)</f>
        <v>0</v>
      </c>
      <c r="AY31" s="1204">
        <f>SUMIF('CF(Q)'!$3:$3,AY$4,'CF(Q)'!32:32)</f>
        <v>0</v>
      </c>
      <c r="AZ31" s="1204">
        <f>SUMIF('CF(Q)'!$3:$3,AZ$4,'CF(Q)'!32:32)</f>
        <v>0</v>
      </c>
      <c r="BA31" s="1204">
        <f>SUMIF('CF(Q)'!$3:$3,BA$4,'CF(Q)'!32:32)</f>
        <v>0</v>
      </c>
      <c r="BB31" s="1204">
        <f>SUMIF('CF(Q)'!$3:$3,BB$4,'CF(Q)'!32:32)</f>
        <v>0</v>
      </c>
      <c r="BC31" s="1204">
        <f>SUMIF('CF(Q)'!$3:$3,BC$4,'CF(Q)'!32:32)</f>
        <v>0</v>
      </c>
    </row>
    <row r="32" spans="2:55" ht="17.100000000000001" customHeight="1">
      <c r="B32" s="720" t="s">
        <v>1312</v>
      </c>
      <c r="C32" s="315"/>
      <c r="D32" s="1259"/>
      <c r="E32" s="722"/>
      <c r="F32" s="1260">
        <f t="shared" ca="1" si="2"/>
        <v>-3922.1508734262352</v>
      </c>
      <c r="G32" s="1606">
        <f t="shared" ref="G32:BC32" si="13">G33-G38</f>
        <v>84.75</v>
      </c>
      <c r="H32" s="1606">
        <f t="shared" si="13"/>
        <v>-135.72</v>
      </c>
      <c r="I32" s="1606">
        <f t="shared" si="13"/>
        <v>-151.38389999999998</v>
      </c>
      <c r="J32" s="1606">
        <f t="shared" si="13"/>
        <v>-146.16624000000002</v>
      </c>
      <c r="K32" s="1606">
        <f t="shared" ca="1" si="13"/>
        <v>-134.53937999999999</v>
      </c>
      <c r="L32" s="1606">
        <f t="shared" ca="1" si="13"/>
        <v>-161.11505999999997</v>
      </c>
      <c r="M32" s="1491">
        <f t="shared" ca="1" si="13"/>
        <v>-172.74191999999999</v>
      </c>
      <c r="N32" s="1491">
        <f t="shared" ca="1" si="13"/>
        <v>-158.62358999999998</v>
      </c>
      <c r="O32" s="1491">
        <f t="shared" ca="1" si="13"/>
        <v>-165.26751000000002</v>
      </c>
      <c r="P32" s="1491">
        <f t="shared" ca="1" si="13"/>
        <v>-166.09799999999998</v>
      </c>
      <c r="Q32" s="1491">
        <f t="shared" ca="1" si="13"/>
        <v>-211.77494999999999</v>
      </c>
      <c r="R32" s="1491">
        <f t="shared" ca="1" si="13"/>
        <v>-143.67477</v>
      </c>
      <c r="S32" s="1491">
        <f t="shared" ca="1" si="13"/>
        <v>-39.863520000000001</v>
      </c>
      <c r="T32" s="1491">
        <f t="shared" ca="1" si="13"/>
        <v>-41.448998126567503</v>
      </c>
      <c r="U32" s="1491">
        <f t="shared" ca="1" si="13"/>
        <v>-60.246438743233625</v>
      </c>
      <c r="V32" s="1491">
        <f t="shared" ca="1" si="13"/>
        <v>-15.75713685472163</v>
      </c>
      <c r="W32" s="1491">
        <f t="shared" ca="1" si="13"/>
        <v>-28.642454820594555</v>
      </c>
      <c r="X32" s="1491">
        <f t="shared" ca="1" si="13"/>
        <v>-25.040784896574287</v>
      </c>
      <c r="Y32" s="1491">
        <f t="shared" ca="1" si="13"/>
        <v>-26.608340660995566</v>
      </c>
      <c r="Z32" s="1491">
        <f t="shared" ca="1" si="13"/>
        <v>-32.902694762689322</v>
      </c>
      <c r="AA32" s="1491">
        <f t="shared" ca="1" si="13"/>
        <v>-32.479099084009526</v>
      </c>
      <c r="AB32" s="1491">
        <f t="shared" ca="1" si="13"/>
        <v>-34.050114158243836</v>
      </c>
      <c r="AC32" s="1491">
        <f t="shared" ca="1" si="13"/>
        <v>-55.81566854556273</v>
      </c>
      <c r="AD32" s="1491">
        <f t="shared" ca="1" si="13"/>
        <v>-57.396316468599899</v>
      </c>
      <c r="AE32" s="1491">
        <f t="shared" ca="1" si="13"/>
        <v>-70.930748371729308</v>
      </c>
      <c r="AF32" s="1491">
        <f t="shared" ca="1" si="13"/>
        <v>-73.385307651134539</v>
      </c>
      <c r="AG32" s="1491">
        <f t="shared" ca="1" si="13"/>
        <v>-85.205111038661286</v>
      </c>
      <c r="AH32" s="1491">
        <f t="shared" ca="1" si="13"/>
        <v>-88.072687054561314</v>
      </c>
      <c r="AI32" s="1491">
        <f t="shared" ca="1" si="13"/>
        <v>-84.922464029390852</v>
      </c>
      <c r="AJ32" s="1491">
        <f t="shared" ca="1" si="13"/>
        <v>-102.15508025765351</v>
      </c>
      <c r="AK32" s="1491">
        <f t="shared" ca="1" si="13"/>
        <v>-108.38100940147186</v>
      </c>
      <c r="AL32" s="1491">
        <f t="shared" ca="1" si="13"/>
        <v>-104.95066833200305</v>
      </c>
      <c r="AM32" s="1491">
        <f t="shared" ca="1" si="13"/>
        <v>-93.989140875407045</v>
      </c>
      <c r="AN32" s="1491">
        <f t="shared" ca="1" si="13"/>
        <v>-61.701739390932381</v>
      </c>
      <c r="AO32" s="1491">
        <f t="shared" ca="1" si="13"/>
        <v>-69.934219117380422</v>
      </c>
      <c r="AP32" s="1491">
        <f t="shared" ca="1" si="13"/>
        <v>-62.9134537110941</v>
      </c>
      <c r="AQ32" s="1491">
        <f t="shared" ca="1" si="13"/>
        <v>-67.970962248008334</v>
      </c>
      <c r="AR32" s="1491">
        <f t="shared" ca="1" si="13"/>
        <v>-76.542876805189607</v>
      </c>
      <c r="AS32" s="1491">
        <f t="shared" ca="1" si="13"/>
        <v>-74.124388926964514</v>
      </c>
      <c r="AT32" s="1491">
        <f t="shared" ca="1" si="13"/>
        <v>-74.706368267369982</v>
      </c>
      <c r="AU32" s="1491">
        <f t="shared" ca="1" si="13"/>
        <v>-86.67281041824134</v>
      </c>
      <c r="AV32" s="1491">
        <f t="shared" ca="1" si="13"/>
        <v>-86.953948659286823</v>
      </c>
      <c r="AW32" s="1491">
        <f t="shared" ca="1" si="13"/>
        <v>-88.863067239873004</v>
      </c>
      <c r="AX32" s="1491">
        <f t="shared" ca="1" si="13"/>
        <v>-96.374178419659287</v>
      </c>
      <c r="AY32" s="1491">
        <f t="shared" ca="1" si="13"/>
        <v>-794.96833608843122</v>
      </c>
      <c r="AZ32" s="1491">
        <f t="shared" si="13"/>
        <v>0</v>
      </c>
      <c r="BA32" s="1491">
        <f t="shared" si="13"/>
        <v>0</v>
      </c>
      <c r="BB32" s="1491">
        <f t="shared" si="13"/>
        <v>0</v>
      </c>
      <c r="BC32" s="1491">
        <f t="shared" si="13"/>
        <v>0</v>
      </c>
    </row>
    <row r="33" spans="2:55" ht="17.100000000000001" customHeight="1">
      <c r="B33" s="1510" t="s">
        <v>1313</v>
      </c>
      <c r="C33" s="428"/>
      <c r="D33" s="1511"/>
      <c r="E33" s="1512"/>
      <c r="F33" s="1867">
        <f t="shared" ca="1" si="2"/>
        <v>0</v>
      </c>
      <c r="G33" s="1648">
        <f t="shared" ref="G33:AL33" si="14">SUM(G34:G37)</f>
        <v>150</v>
      </c>
      <c r="H33" s="1648">
        <f t="shared" si="14"/>
        <v>0</v>
      </c>
      <c r="I33" s="1648">
        <f t="shared" si="14"/>
        <v>0</v>
      </c>
      <c r="J33" s="1648">
        <f t="shared" si="14"/>
        <v>0</v>
      </c>
      <c r="K33" s="1648">
        <f t="shared" ca="1" si="14"/>
        <v>0</v>
      </c>
      <c r="L33" s="1648">
        <f t="shared" ca="1" si="14"/>
        <v>0</v>
      </c>
      <c r="M33" s="1650">
        <f t="shared" ca="1" si="14"/>
        <v>0</v>
      </c>
      <c r="N33" s="1650">
        <f t="shared" ca="1" si="14"/>
        <v>0</v>
      </c>
      <c r="O33" s="1650">
        <f t="shared" ca="1" si="14"/>
        <v>0</v>
      </c>
      <c r="P33" s="1650">
        <f t="shared" ca="1" si="14"/>
        <v>0</v>
      </c>
      <c r="Q33" s="1650">
        <f t="shared" ca="1" si="14"/>
        <v>0</v>
      </c>
      <c r="R33" s="1650">
        <f t="shared" ca="1" si="14"/>
        <v>0</v>
      </c>
      <c r="S33" s="1650">
        <f t="shared" ca="1" si="14"/>
        <v>0</v>
      </c>
      <c r="T33" s="1650">
        <f t="shared" ca="1" si="14"/>
        <v>0</v>
      </c>
      <c r="U33" s="1650">
        <f t="shared" ca="1" si="14"/>
        <v>0</v>
      </c>
      <c r="V33" s="1650">
        <f t="shared" ca="1" si="14"/>
        <v>0</v>
      </c>
      <c r="W33" s="1650">
        <f t="shared" ca="1" si="14"/>
        <v>0</v>
      </c>
      <c r="X33" s="1650">
        <f t="shared" ca="1" si="14"/>
        <v>0</v>
      </c>
      <c r="Y33" s="1650">
        <f t="shared" ca="1" si="14"/>
        <v>0</v>
      </c>
      <c r="Z33" s="1650">
        <f t="shared" ca="1" si="14"/>
        <v>0</v>
      </c>
      <c r="AA33" s="1650">
        <f t="shared" ca="1" si="14"/>
        <v>0</v>
      </c>
      <c r="AB33" s="1650">
        <f t="shared" ca="1" si="14"/>
        <v>0</v>
      </c>
      <c r="AC33" s="1650">
        <f t="shared" ca="1" si="14"/>
        <v>0</v>
      </c>
      <c r="AD33" s="1650">
        <f t="shared" ca="1" si="14"/>
        <v>0</v>
      </c>
      <c r="AE33" s="1650">
        <f t="shared" ca="1" si="14"/>
        <v>0</v>
      </c>
      <c r="AF33" s="1650">
        <f t="shared" ca="1" si="14"/>
        <v>0</v>
      </c>
      <c r="AG33" s="1650">
        <f t="shared" ca="1" si="14"/>
        <v>0</v>
      </c>
      <c r="AH33" s="1650">
        <f t="shared" ca="1" si="14"/>
        <v>0</v>
      </c>
      <c r="AI33" s="1650">
        <f t="shared" ca="1" si="14"/>
        <v>0</v>
      </c>
      <c r="AJ33" s="1650">
        <f t="shared" ca="1" si="14"/>
        <v>0</v>
      </c>
      <c r="AK33" s="1650">
        <f t="shared" ca="1" si="14"/>
        <v>0</v>
      </c>
      <c r="AL33" s="1650">
        <f t="shared" ca="1" si="14"/>
        <v>0</v>
      </c>
      <c r="AM33" s="1650">
        <f t="shared" ref="AM33:BC33" ca="1" si="15">SUM(AM34:AM37)</f>
        <v>0</v>
      </c>
      <c r="AN33" s="1650">
        <f t="shared" ca="1" si="15"/>
        <v>0</v>
      </c>
      <c r="AO33" s="1650">
        <f t="shared" ca="1" si="15"/>
        <v>0</v>
      </c>
      <c r="AP33" s="1650">
        <f t="shared" ca="1" si="15"/>
        <v>0</v>
      </c>
      <c r="AQ33" s="1650">
        <f t="shared" ca="1" si="15"/>
        <v>0</v>
      </c>
      <c r="AR33" s="1650">
        <f t="shared" ca="1" si="15"/>
        <v>0</v>
      </c>
      <c r="AS33" s="1650">
        <f t="shared" ca="1" si="15"/>
        <v>0</v>
      </c>
      <c r="AT33" s="1650">
        <f t="shared" ca="1" si="15"/>
        <v>0</v>
      </c>
      <c r="AU33" s="1650">
        <f t="shared" ca="1" si="15"/>
        <v>0</v>
      </c>
      <c r="AV33" s="1650">
        <f t="shared" ca="1" si="15"/>
        <v>0</v>
      </c>
      <c r="AW33" s="1650">
        <f t="shared" ca="1" si="15"/>
        <v>0</v>
      </c>
      <c r="AX33" s="1650">
        <f t="shared" ca="1" si="15"/>
        <v>0</v>
      </c>
      <c r="AY33" s="1650">
        <f t="shared" ca="1" si="15"/>
        <v>0</v>
      </c>
      <c r="AZ33" s="1650">
        <f t="shared" si="15"/>
        <v>0</v>
      </c>
      <c r="BA33" s="1650">
        <f t="shared" si="15"/>
        <v>0</v>
      </c>
      <c r="BB33" s="1650">
        <f t="shared" si="15"/>
        <v>0</v>
      </c>
      <c r="BC33" s="1650">
        <f t="shared" si="15"/>
        <v>0</v>
      </c>
    </row>
    <row r="34" spans="2:55" ht="17.100000000000001" customHeight="1">
      <c r="B34" s="307"/>
      <c r="C34" s="489" t="s">
        <v>3701</v>
      </c>
      <c r="D34" s="331"/>
      <c r="E34" s="1868"/>
      <c r="F34" s="1207">
        <f t="shared" si="2"/>
        <v>0</v>
      </c>
      <c r="G34" s="1609">
        <f>SUMIF('CF(Q)'!$3:$3,G$4,'CF(Q)'!35:35)</f>
        <v>150</v>
      </c>
      <c r="H34" s="1609">
        <f>SUMIF('CF(Q)'!$3:$3,H$4,'CF(Q)'!35:35)</f>
        <v>0</v>
      </c>
      <c r="I34" s="1609">
        <f>SUMIF('CF(Q)'!$3:$3,I$4,'CF(Q)'!35:35)</f>
        <v>0</v>
      </c>
      <c r="J34" s="1609">
        <f>SUMIF('CF(Q)'!$3:$3,J$4,'CF(Q)'!35:35)</f>
        <v>0</v>
      </c>
      <c r="K34" s="1609">
        <f>SUMIF('CF(Q)'!$3:$3,K$4,'CF(Q)'!35:35)</f>
        <v>0</v>
      </c>
      <c r="L34" s="1609">
        <f>SUMIF('CF(Q)'!$3:$3,L$4,'CF(Q)'!35:35)</f>
        <v>0</v>
      </c>
      <c r="M34" s="1204">
        <f>SUMIF('CF(Q)'!$3:$3,M$4,'CF(Q)'!35:35)</f>
        <v>0</v>
      </c>
      <c r="N34" s="1204">
        <f>SUMIF('CF(Q)'!$3:$3,N$4,'CF(Q)'!35:35)</f>
        <v>0</v>
      </c>
      <c r="O34" s="1204">
        <f>SUMIF('CF(Q)'!$3:$3,O$4,'CF(Q)'!35:35)</f>
        <v>0</v>
      </c>
      <c r="P34" s="1204">
        <f>SUMIF('CF(Q)'!$3:$3,P$4,'CF(Q)'!35:35)</f>
        <v>0</v>
      </c>
      <c r="Q34" s="1204">
        <f>SUMIF('CF(Q)'!$3:$3,Q$4,'CF(Q)'!35:35)</f>
        <v>0</v>
      </c>
      <c r="R34" s="948">
        <f>SUMIF('CF(Q)'!$3:$3,R$4,'CF(Q)'!35:35)</f>
        <v>0</v>
      </c>
      <c r="S34" s="1204">
        <f>SUMIF('CF(Q)'!$3:$3,S$4,'CF(Q)'!35:35)</f>
        <v>0</v>
      </c>
      <c r="T34" s="1204">
        <f>SUMIF('CF(Q)'!$3:$3,T$4,'CF(Q)'!35:35)</f>
        <v>0</v>
      </c>
      <c r="U34" s="1204">
        <f>SUMIF('CF(Q)'!$3:$3,U$4,'CF(Q)'!35:35)</f>
        <v>0</v>
      </c>
      <c r="V34" s="1204">
        <f>SUMIF('CF(Q)'!$3:$3,V$4,'CF(Q)'!35:35)</f>
        <v>0</v>
      </c>
      <c r="W34" s="1204">
        <f>SUMIF('CF(Q)'!$3:$3,W$4,'CF(Q)'!35:35)</f>
        <v>0</v>
      </c>
      <c r="X34" s="1204">
        <f>SUMIF('CF(Q)'!$3:$3,X$4,'CF(Q)'!35:35)</f>
        <v>0</v>
      </c>
      <c r="Y34" s="1204">
        <f>SUMIF('CF(Q)'!$3:$3,Y$4,'CF(Q)'!35:35)</f>
        <v>0</v>
      </c>
      <c r="Z34" s="1204">
        <f>SUMIF('CF(Q)'!$3:$3,Z$4,'CF(Q)'!35:35)</f>
        <v>0</v>
      </c>
      <c r="AA34" s="1204">
        <f>SUMIF('CF(Q)'!$3:$3,AA$4,'CF(Q)'!35:35)</f>
        <v>0</v>
      </c>
      <c r="AB34" s="1204">
        <f>SUMIF('CF(Q)'!$3:$3,AB$4,'CF(Q)'!35:35)</f>
        <v>0</v>
      </c>
      <c r="AC34" s="1204">
        <f>SUMIF('CF(Q)'!$3:$3,AC$4,'CF(Q)'!35:35)</f>
        <v>0</v>
      </c>
      <c r="AD34" s="1204">
        <f>SUMIF('CF(Q)'!$3:$3,AD$4,'CF(Q)'!35:35)</f>
        <v>0</v>
      </c>
      <c r="AE34" s="1204">
        <f>SUMIF('CF(Q)'!$3:$3,AE$4,'CF(Q)'!35:35)</f>
        <v>0</v>
      </c>
      <c r="AF34" s="1204">
        <f>SUMIF('CF(Q)'!$3:$3,AF$4,'CF(Q)'!35:35)</f>
        <v>0</v>
      </c>
      <c r="AG34" s="1204">
        <f>SUMIF('CF(Q)'!$3:$3,AG$4,'CF(Q)'!35:35)</f>
        <v>0</v>
      </c>
      <c r="AH34" s="1204">
        <f>SUMIF('CF(Q)'!$3:$3,AH$4,'CF(Q)'!35:35)</f>
        <v>0</v>
      </c>
      <c r="AI34" s="1204">
        <f>SUMIF('CF(Q)'!$3:$3,AI$4,'CF(Q)'!35:35)</f>
        <v>0</v>
      </c>
      <c r="AJ34" s="1204">
        <f>SUMIF('CF(Q)'!$3:$3,AJ$4,'CF(Q)'!35:35)</f>
        <v>0</v>
      </c>
      <c r="AK34" s="1204">
        <f>SUMIF('CF(Q)'!$3:$3,AK$4,'CF(Q)'!35:35)</f>
        <v>0</v>
      </c>
      <c r="AL34" s="1204">
        <f>SUMIF('CF(Q)'!$3:$3,AL$4,'CF(Q)'!35:35)</f>
        <v>0</v>
      </c>
      <c r="AM34" s="1204">
        <f>SUMIF('CF(Q)'!$3:$3,AM$4,'CF(Q)'!35:35)</f>
        <v>0</v>
      </c>
      <c r="AN34" s="1204">
        <f>SUMIF('CF(Q)'!$3:$3,AN$4,'CF(Q)'!35:35)</f>
        <v>0</v>
      </c>
      <c r="AO34" s="1204">
        <f>SUMIF('CF(Q)'!$3:$3,AO$4,'CF(Q)'!35:35)</f>
        <v>0</v>
      </c>
      <c r="AP34" s="1204">
        <f>SUMIF('CF(Q)'!$3:$3,AP$4,'CF(Q)'!35:35)</f>
        <v>0</v>
      </c>
      <c r="AQ34" s="1204">
        <f>SUMIF('CF(Q)'!$3:$3,AQ$4,'CF(Q)'!35:35)</f>
        <v>0</v>
      </c>
      <c r="AR34" s="1204">
        <f>SUMIF('CF(Q)'!$3:$3,AR$4,'CF(Q)'!35:35)</f>
        <v>0</v>
      </c>
      <c r="AS34" s="1204">
        <f>SUMIF('CF(Q)'!$3:$3,AS$4,'CF(Q)'!35:35)</f>
        <v>0</v>
      </c>
      <c r="AT34" s="1204">
        <f>SUMIF('CF(Q)'!$3:$3,AT$4,'CF(Q)'!35:35)</f>
        <v>0</v>
      </c>
      <c r="AU34" s="1204">
        <f>SUMIF('CF(Q)'!$3:$3,AU$4,'CF(Q)'!35:35)</f>
        <v>0</v>
      </c>
      <c r="AV34" s="1204">
        <f>SUMIF('CF(Q)'!$3:$3,AV$4,'CF(Q)'!35:35)</f>
        <v>0</v>
      </c>
      <c r="AW34" s="1204">
        <f>SUMIF('CF(Q)'!$3:$3,AW$4,'CF(Q)'!35:35)</f>
        <v>0</v>
      </c>
      <c r="AX34" s="1204">
        <f>SUMIF('CF(Q)'!$3:$3,AX$4,'CF(Q)'!35:35)</f>
        <v>0</v>
      </c>
      <c r="AY34" s="1204">
        <f>SUMIF('CF(Q)'!$3:$3,AY$4,'CF(Q)'!35:35)</f>
        <v>0</v>
      </c>
      <c r="AZ34" s="1204">
        <f>SUMIF('CF(Q)'!$3:$3,AZ$4,'CF(Q)'!35:35)</f>
        <v>0</v>
      </c>
      <c r="BA34" s="1204">
        <f>SUMIF('CF(Q)'!$3:$3,BA$4,'CF(Q)'!35:35)</f>
        <v>0</v>
      </c>
      <c r="BB34" s="1204">
        <f>SUMIF('CF(Q)'!$3:$3,BB$4,'CF(Q)'!35:35)</f>
        <v>0</v>
      </c>
      <c r="BC34" s="1204">
        <f>SUMIF('CF(Q)'!$3:$3,BC$4,'CF(Q)'!35:35)</f>
        <v>0</v>
      </c>
    </row>
    <row r="35" spans="2:55" s="4924" customFormat="1" ht="17.100000000000001" customHeight="1">
      <c r="B35" s="5017"/>
      <c r="C35" s="5046" t="s">
        <v>1315</v>
      </c>
      <c r="D35" s="5047"/>
      <c r="E35" s="5054" t="s">
        <v>1316</v>
      </c>
      <c r="F35" s="1204">
        <f t="shared" si="2"/>
        <v>0</v>
      </c>
      <c r="G35" s="1204">
        <f>SUMIF('CF(Q)'!$3:$3,G$4,'CF(Q)'!36:36)</f>
        <v>0</v>
      </c>
      <c r="H35" s="1204">
        <f>SUMIF('CF(Q)'!$3:$3,H$4,'CF(Q)'!36:36)</f>
        <v>0</v>
      </c>
      <c r="I35" s="1204">
        <f>SUMIF('CF(Q)'!$3:$3,I$4,'CF(Q)'!36:36)</f>
        <v>0</v>
      </c>
      <c r="J35" s="1204">
        <f>SUMIF('CF(Q)'!$3:$3,J$4,'CF(Q)'!36:36)</f>
        <v>0</v>
      </c>
      <c r="K35" s="1204">
        <f>SUMIF('CF(Q)'!$3:$3,K$4,'CF(Q)'!36:36)</f>
        <v>0</v>
      </c>
      <c r="L35" s="1204">
        <f>SUMIF('CF(Q)'!$3:$3,L$4,'CF(Q)'!36:36)</f>
        <v>0</v>
      </c>
      <c r="M35" s="1204">
        <f>SUMIF('CF(Q)'!$3:$3,M$4,'CF(Q)'!36:36)</f>
        <v>0</v>
      </c>
      <c r="N35" s="1204">
        <f>SUMIF('CF(Q)'!$3:$3,N$4,'CF(Q)'!36:36)</f>
        <v>0</v>
      </c>
      <c r="O35" s="1204">
        <f>SUMIF('CF(Q)'!$3:$3,O$4,'CF(Q)'!36:36)</f>
        <v>0</v>
      </c>
      <c r="P35" s="1204">
        <f>SUMIF('CF(Q)'!$3:$3,P$4,'CF(Q)'!36:36)</f>
        <v>0</v>
      </c>
      <c r="Q35" s="1204">
        <f>SUMIF('CF(Q)'!$3:$3,Q$4,'CF(Q)'!36:36)</f>
        <v>0</v>
      </c>
      <c r="R35" s="1204">
        <f>SUMIF('CF(Q)'!$3:$3,R$4,'CF(Q)'!36:36)</f>
        <v>0</v>
      </c>
      <c r="S35" s="1204">
        <f>SUMIF('CF(Q)'!$3:$3,S$4,'CF(Q)'!36:36)</f>
        <v>0</v>
      </c>
      <c r="T35" s="1204">
        <f>SUMIF('CF(Q)'!$3:$3,T$4,'CF(Q)'!36:36)</f>
        <v>0</v>
      </c>
      <c r="U35" s="1204">
        <f>SUMIF('CF(Q)'!$3:$3,U$4,'CF(Q)'!36:36)</f>
        <v>0</v>
      </c>
      <c r="V35" s="1204">
        <f>SUMIF('CF(Q)'!$3:$3,V$4,'CF(Q)'!36:36)</f>
        <v>0</v>
      </c>
      <c r="W35" s="1204">
        <f>SUMIF('CF(Q)'!$3:$3,W$4,'CF(Q)'!36:36)</f>
        <v>0</v>
      </c>
      <c r="X35" s="1204">
        <f>SUMIF('CF(Q)'!$3:$3,X$4,'CF(Q)'!36:36)</f>
        <v>0</v>
      </c>
      <c r="Y35" s="1204">
        <f>SUMIF('CF(Q)'!$3:$3,Y$4,'CF(Q)'!36:36)</f>
        <v>0</v>
      </c>
      <c r="Z35" s="1204">
        <f>SUMIF('CF(Q)'!$3:$3,Z$4,'CF(Q)'!36:36)</f>
        <v>0</v>
      </c>
      <c r="AA35" s="1204">
        <f>SUMIF('CF(Q)'!$3:$3,AA$4,'CF(Q)'!36:36)</f>
        <v>0</v>
      </c>
      <c r="AB35" s="1204">
        <f>SUMIF('CF(Q)'!$3:$3,AB$4,'CF(Q)'!36:36)</f>
        <v>0</v>
      </c>
      <c r="AC35" s="1204">
        <f>SUMIF('CF(Q)'!$3:$3,AC$4,'CF(Q)'!36:36)</f>
        <v>0</v>
      </c>
      <c r="AD35" s="1204">
        <f>SUMIF('CF(Q)'!$3:$3,AD$4,'CF(Q)'!36:36)</f>
        <v>0</v>
      </c>
      <c r="AE35" s="1204">
        <f>SUMIF('CF(Q)'!$3:$3,AE$4,'CF(Q)'!36:36)</f>
        <v>0</v>
      </c>
      <c r="AF35" s="1204">
        <f>SUMIF('CF(Q)'!$3:$3,AF$4,'CF(Q)'!36:36)</f>
        <v>0</v>
      </c>
      <c r="AG35" s="1204">
        <f>SUMIF('CF(Q)'!$3:$3,AG$4,'CF(Q)'!36:36)</f>
        <v>0</v>
      </c>
      <c r="AH35" s="1204">
        <f>SUMIF('CF(Q)'!$3:$3,AH$4,'CF(Q)'!36:36)</f>
        <v>0</v>
      </c>
      <c r="AI35" s="1204">
        <f>SUMIF('CF(Q)'!$3:$3,AI$4,'CF(Q)'!36:36)</f>
        <v>0</v>
      </c>
      <c r="AJ35" s="1204">
        <f>SUMIF('CF(Q)'!$3:$3,AJ$4,'CF(Q)'!36:36)</f>
        <v>0</v>
      </c>
      <c r="AK35" s="1204">
        <f>SUMIF('CF(Q)'!$3:$3,AK$4,'CF(Q)'!36:36)</f>
        <v>0</v>
      </c>
      <c r="AL35" s="1204">
        <f>SUMIF('CF(Q)'!$3:$3,AL$4,'CF(Q)'!36:36)</f>
        <v>0</v>
      </c>
      <c r="AM35" s="1204">
        <f>SUMIF('CF(Q)'!$3:$3,AM$4,'CF(Q)'!36:36)</f>
        <v>0</v>
      </c>
      <c r="AN35" s="1204">
        <f>SUMIF('CF(Q)'!$3:$3,AN$4,'CF(Q)'!36:36)</f>
        <v>0</v>
      </c>
      <c r="AO35" s="1204">
        <f>SUMIF('CF(Q)'!$3:$3,AO$4,'CF(Q)'!36:36)</f>
        <v>0</v>
      </c>
      <c r="AP35" s="1204">
        <f>SUMIF('CF(Q)'!$3:$3,AP$4,'CF(Q)'!36:36)</f>
        <v>0</v>
      </c>
      <c r="AQ35" s="1204">
        <f>SUMIF('CF(Q)'!$3:$3,AQ$4,'CF(Q)'!36:36)</f>
        <v>0</v>
      </c>
      <c r="AR35" s="1204">
        <f>SUMIF('CF(Q)'!$3:$3,AR$4,'CF(Q)'!36:36)</f>
        <v>0</v>
      </c>
      <c r="AS35" s="1204">
        <f>SUMIF('CF(Q)'!$3:$3,AS$4,'CF(Q)'!36:36)</f>
        <v>0</v>
      </c>
      <c r="AT35" s="1204">
        <f>SUMIF('CF(Q)'!$3:$3,AT$4,'CF(Q)'!36:36)</f>
        <v>0</v>
      </c>
      <c r="AU35" s="1204">
        <f>SUMIF('CF(Q)'!$3:$3,AU$4,'CF(Q)'!36:36)</f>
        <v>0</v>
      </c>
      <c r="AV35" s="1204">
        <f>SUMIF('CF(Q)'!$3:$3,AV$4,'CF(Q)'!36:36)</f>
        <v>0</v>
      </c>
      <c r="AW35" s="1204">
        <f>SUMIF('CF(Q)'!$3:$3,AW$4,'CF(Q)'!36:36)</f>
        <v>0</v>
      </c>
      <c r="AX35" s="1204">
        <f>SUMIF('CF(Q)'!$3:$3,AX$4,'CF(Q)'!36:36)</f>
        <v>0</v>
      </c>
      <c r="AY35" s="1204">
        <f>SUMIF('CF(Q)'!$3:$3,AY$4,'CF(Q)'!36:36)</f>
        <v>0</v>
      </c>
      <c r="AZ35" s="1204">
        <f>SUMIF('CF(Q)'!$3:$3,AZ$4,'CF(Q)'!36:36)</f>
        <v>0</v>
      </c>
      <c r="BA35" s="1204">
        <f>SUMIF('CF(Q)'!$3:$3,BA$4,'CF(Q)'!36:36)</f>
        <v>0</v>
      </c>
      <c r="BB35" s="1204">
        <f>SUMIF('CF(Q)'!$3:$3,BB$4,'CF(Q)'!36:36)</f>
        <v>0</v>
      </c>
      <c r="BC35" s="1204">
        <f>SUMIF('CF(Q)'!$3:$3,BC$4,'CF(Q)'!36:36)</f>
        <v>0</v>
      </c>
    </row>
    <row r="36" spans="2:55" s="4924" customFormat="1" ht="17.100000000000001" customHeight="1">
      <c r="B36" s="5017"/>
      <c r="C36" s="5046" t="str">
        <f>'CF(Q)'!C37</f>
        <v>선순위 DSRA 감소</v>
      </c>
      <c r="D36" s="5047"/>
      <c r="E36" s="1869"/>
      <c r="F36" s="1204">
        <f t="shared" ca="1" si="2"/>
        <v>0</v>
      </c>
      <c r="G36" s="1204">
        <f>SUMIF('CF(Q)'!$3:$3,G$4,'CF(Q)'!37:37)</f>
        <v>0</v>
      </c>
      <c r="H36" s="1204">
        <f>SUMIF('CF(Q)'!$3:$3,H$4,'CF(Q)'!37:37)</f>
        <v>0</v>
      </c>
      <c r="I36" s="1204">
        <f>SUMIF('CF(Q)'!$3:$3,I$4,'CF(Q)'!37:37)</f>
        <v>0</v>
      </c>
      <c r="J36" s="1204">
        <f>SUMIF('CF(Q)'!$3:$3,J$4,'CF(Q)'!37:37)</f>
        <v>0</v>
      </c>
      <c r="K36" s="1204">
        <f ca="1">SUMIF('CF(Q)'!$3:$3,K$4,'CF(Q)'!37:37)</f>
        <v>0</v>
      </c>
      <c r="L36" s="1204">
        <f ca="1">SUMIF('CF(Q)'!$3:$3,L$4,'CF(Q)'!37:37)</f>
        <v>0</v>
      </c>
      <c r="M36" s="1204">
        <f ca="1">SUMIF('CF(Q)'!$3:$3,M$4,'CF(Q)'!37:37)</f>
        <v>0</v>
      </c>
      <c r="N36" s="1204">
        <f ca="1">SUMIF('CF(Q)'!$3:$3,N$4,'CF(Q)'!37:37)</f>
        <v>0</v>
      </c>
      <c r="O36" s="1204">
        <f ca="1">SUMIF('CF(Q)'!$3:$3,O$4,'CF(Q)'!37:37)</f>
        <v>0</v>
      </c>
      <c r="P36" s="1204">
        <f ca="1">SUMIF('CF(Q)'!$3:$3,P$4,'CF(Q)'!37:37)</f>
        <v>0</v>
      </c>
      <c r="Q36" s="1204">
        <f ca="1">SUMIF('CF(Q)'!$3:$3,Q$4,'CF(Q)'!37:37)</f>
        <v>0</v>
      </c>
      <c r="R36" s="1204">
        <f ca="1">SUMIF('CF(Q)'!$3:$3,R$4,'CF(Q)'!37:37)</f>
        <v>0</v>
      </c>
      <c r="S36" s="1204">
        <f ca="1">SUMIF('CF(Q)'!$3:$3,S$4,'CF(Q)'!37:37)</f>
        <v>0</v>
      </c>
      <c r="T36" s="1204">
        <f ca="1">SUMIF('CF(Q)'!$3:$3,T$4,'CF(Q)'!37:37)</f>
        <v>0</v>
      </c>
      <c r="U36" s="1204">
        <f ca="1">SUMIF('CF(Q)'!$3:$3,U$4,'CF(Q)'!37:37)</f>
        <v>0</v>
      </c>
      <c r="V36" s="1204">
        <f ca="1">SUMIF('CF(Q)'!$3:$3,V$4,'CF(Q)'!37:37)</f>
        <v>0</v>
      </c>
      <c r="W36" s="1204">
        <f ca="1">SUMIF('CF(Q)'!$3:$3,W$4,'CF(Q)'!37:37)</f>
        <v>0</v>
      </c>
      <c r="X36" s="1204">
        <f ca="1">SUMIF('CF(Q)'!$3:$3,X$4,'CF(Q)'!37:37)</f>
        <v>0</v>
      </c>
      <c r="Y36" s="1204">
        <f ca="1">SUMIF('CF(Q)'!$3:$3,Y$4,'CF(Q)'!37:37)</f>
        <v>0</v>
      </c>
      <c r="Z36" s="1204">
        <f ca="1">SUMIF('CF(Q)'!$3:$3,Z$4,'CF(Q)'!37:37)</f>
        <v>0</v>
      </c>
      <c r="AA36" s="1204">
        <f ca="1">SUMIF('CF(Q)'!$3:$3,AA$4,'CF(Q)'!37:37)</f>
        <v>0</v>
      </c>
      <c r="AB36" s="1204">
        <f ca="1">SUMIF('CF(Q)'!$3:$3,AB$4,'CF(Q)'!37:37)</f>
        <v>0</v>
      </c>
      <c r="AC36" s="1204">
        <f ca="1">SUMIF('CF(Q)'!$3:$3,AC$4,'CF(Q)'!37:37)</f>
        <v>0</v>
      </c>
      <c r="AD36" s="1204">
        <f ca="1">SUMIF('CF(Q)'!$3:$3,AD$4,'CF(Q)'!37:37)</f>
        <v>0</v>
      </c>
      <c r="AE36" s="1204">
        <f ca="1">SUMIF('CF(Q)'!$3:$3,AE$4,'CF(Q)'!37:37)</f>
        <v>0</v>
      </c>
      <c r="AF36" s="1204">
        <f ca="1">SUMIF('CF(Q)'!$3:$3,AF$4,'CF(Q)'!37:37)</f>
        <v>0</v>
      </c>
      <c r="AG36" s="1204">
        <f ca="1">SUMIF('CF(Q)'!$3:$3,AG$4,'CF(Q)'!37:37)</f>
        <v>0</v>
      </c>
      <c r="AH36" s="1204">
        <f ca="1">SUMIF('CF(Q)'!$3:$3,AH$4,'CF(Q)'!37:37)</f>
        <v>0</v>
      </c>
      <c r="AI36" s="1204">
        <f ca="1">SUMIF('CF(Q)'!$3:$3,AI$4,'CF(Q)'!37:37)</f>
        <v>0</v>
      </c>
      <c r="AJ36" s="1204">
        <f ca="1">SUMIF('CF(Q)'!$3:$3,AJ$4,'CF(Q)'!37:37)</f>
        <v>0</v>
      </c>
      <c r="AK36" s="1204">
        <f ca="1">SUMIF('CF(Q)'!$3:$3,AK$4,'CF(Q)'!37:37)</f>
        <v>0</v>
      </c>
      <c r="AL36" s="1204">
        <f ca="1">SUMIF('CF(Q)'!$3:$3,AL$4,'CF(Q)'!37:37)</f>
        <v>0</v>
      </c>
      <c r="AM36" s="1204">
        <f ca="1">SUMIF('CF(Q)'!$3:$3,AM$4,'CF(Q)'!37:37)</f>
        <v>0</v>
      </c>
      <c r="AN36" s="1204">
        <f ca="1">SUMIF('CF(Q)'!$3:$3,AN$4,'CF(Q)'!37:37)</f>
        <v>0</v>
      </c>
      <c r="AO36" s="1204">
        <f ca="1">SUMIF('CF(Q)'!$3:$3,AO$4,'CF(Q)'!37:37)</f>
        <v>0</v>
      </c>
      <c r="AP36" s="1204">
        <f ca="1">SUMIF('CF(Q)'!$3:$3,AP$4,'CF(Q)'!37:37)</f>
        <v>0</v>
      </c>
      <c r="AQ36" s="1204">
        <f ca="1">SUMIF('CF(Q)'!$3:$3,AQ$4,'CF(Q)'!37:37)</f>
        <v>0</v>
      </c>
      <c r="AR36" s="1204">
        <f ca="1">SUMIF('CF(Q)'!$3:$3,AR$4,'CF(Q)'!37:37)</f>
        <v>0</v>
      </c>
      <c r="AS36" s="1204">
        <f ca="1">SUMIF('CF(Q)'!$3:$3,AS$4,'CF(Q)'!37:37)</f>
        <v>0</v>
      </c>
      <c r="AT36" s="1204">
        <f ca="1">SUMIF('CF(Q)'!$3:$3,AT$4,'CF(Q)'!37:37)</f>
        <v>0</v>
      </c>
      <c r="AU36" s="1204">
        <f ca="1">SUMIF('CF(Q)'!$3:$3,AU$4,'CF(Q)'!37:37)</f>
        <v>0</v>
      </c>
      <c r="AV36" s="1204">
        <f ca="1">SUMIF('CF(Q)'!$3:$3,AV$4,'CF(Q)'!37:37)</f>
        <v>0</v>
      </c>
      <c r="AW36" s="1204">
        <f ca="1">SUMIF('CF(Q)'!$3:$3,AW$4,'CF(Q)'!37:37)</f>
        <v>0</v>
      </c>
      <c r="AX36" s="1204">
        <f ca="1">SUMIF('CF(Q)'!$3:$3,AX$4,'CF(Q)'!37:37)</f>
        <v>0</v>
      </c>
      <c r="AY36" s="1204">
        <f ca="1">SUMIF('CF(Q)'!$3:$3,AY$4,'CF(Q)'!37:37)</f>
        <v>0</v>
      </c>
      <c r="AZ36" s="1204">
        <f>SUMIF('CF(Q)'!$3:$3,AZ$4,'CF(Q)'!37:37)</f>
        <v>0</v>
      </c>
      <c r="BA36" s="1204">
        <f>SUMIF('CF(Q)'!$3:$3,BA$4,'CF(Q)'!37:37)</f>
        <v>0</v>
      </c>
      <c r="BB36" s="1204">
        <f>SUMIF('CF(Q)'!$3:$3,BB$4,'CF(Q)'!37:37)</f>
        <v>0</v>
      </c>
      <c r="BC36" s="1204">
        <f>SUMIF('CF(Q)'!$3:$3,BC$4,'CF(Q)'!37:37)</f>
        <v>0</v>
      </c>
    </row>
    <row r="37" spans="2:55" s="4924" customFormat="1" ht="17.100000000000001" customHeight="1">
      <c r="B37" s="5017"/>
      <c r="C37" s="5046" t="str">
        <f>'CF(Q)'!C38</f>
        <v>상환우선주</v>
      </c>
      <c r="D37" s="5047"/>
      <c r="E37" s="1869" t="s">
        <v>3702</v>
      </c>
      <c r="F37" s="1664">
        <f t="shared" ca="1" si="2"/>
        <v>0</v>
      </c>
      <c r="G37" s="1204">
        <f>SUMIF('CF(Q)'!$3:$3,G$4,'CF(Q)'!38:38)</f>
        <v>0</v>
      </c>
      <c r="H37" s="1204">
        <f>SUMIF('CF(Q)'!$3:$3,H$4,'CF(Q)'!38:38)</f>
        <v>0</v>
      </c>
      <c r="I37" s="1204">
        <f>SUMIF('CF(Q)'!$3:$3,I$4,'CF(Q)'!38:38)</f>
        <v>0</v>
      </c>
      <c r="J37" s="1204">
        <f>SUMIF('CF(Q)'!$3:$3,J$4,'CF(Q)'!38:38)</f>
        <v>0</v>
      </c>
      <c r="K37" s="1204">
        <f ca="1">SUMIF('CF(Q)'!$3:$3,K$4,'CF(Q)'!38:38)</f>
        <v>0</v>
      </c>
      <c r="L37" s="1204">
        <f ca="1">SUMIF('CF(Q)'!$3:$3,L$4,'CF(Q)'!38:38)</f>
        <v>0</v>
      </c>
      <c r="M37" s="1204">
        <f ca="1">SUMIF('CF(Q)'!$3:$3,M$4,'CF(Q)'!38:38)</f>
        <v>0</v>
      </c>
      <c r="N37" s="1204">
        <f ca="1">SUMIF('CF(Q)'!$3:$3,N$4,'CF(Q)'!38:38)</f>
        <v>0</v>
      </c>
      <c r="O37" s="1204">
        <f ca="1">SUMIF('CF(Q)'!$3:$3,O$4,'CF(Q)'!38:38)</f>
        <v>0</v>
      </c>
      <c r="P37" s="1204">
        <f ca="1">SUMIF('CF(Q)'!$3:$3,P$4,'CF(Q)'!38:38)</f>
        <v>0</v>
      </c>
      <c r="Q37" s="1204">
        <f ca="1">SUMIF('CF(Q)'!$3:$3,Q$4,'CF(Q)'!38:38)</f>
        <v>0</v>
      </c>
      <c r="R37" s="1204">
        <f ca="1">SUMIF('CF(Q)'!$3:$3,R$4,'CF(Q)'!38:38)</f>
        <v>0</v>
      </c>
      <c r="S37" s="1204">
        <f ca="1">SUMIF('CF(Q)'!$3:$3,S$4,'CF(Q)'!38:38)</f>
        <v>0</v>
      </c>
      <c r="T37" s="1204">
        <f ca="1">SUMIF('CF(Q)'!$3:$3,T$4,'CF(Q)'!38:38)</f>
        <v>0</v>
      </c>
      <c r="U37" s="1204">
        <f ca="1">SUMIF('CF(Q)'!$3:$3,U$4,'CF(Q)'!38:38)</f>
        <v>0</v>
      </c>
      <c r="V37" s="1204">
        <f ca="1">SUMIF('CF(Q)'!$3:$3,V$4,'CF(Q)'!38:38)</f>
        <v>0</v>
      </c>
      <c r="W37" s="1204">
        <f ca="1">SUMIF('CF(Q)'!$3:$3,W$4,'CF(Q)'!38:38)</f>
        <v>0</v>
      </c>
      <c r="X37" s="1204">
        <f ca="1">SUMIF('CF(Q)'!$3:$3,X$4,'CF(Q)'!38:38)</f>
        <v>0</v>
      </c>
      <c r="Y37" s="1204">
        <f ca="1">SUMIF('CF(Q)'!$3:$3,Y$4,'CF(Q)'!38:38)</f>
        <v>0</v>
      </c>
      <c r="Z37" s="1204">
        <f ca="1">SUMIF('CF(Q)'!$3:$3,Z$4,'CF(Q)'!38:38)</f>
        <v>0</v>
      </c>
      <c r="AA37" s="1204">
        <f ca="1">SUMIF('CF(Q)'!$3:$3,AA$4,'CF(Q)'!38:38)</f>
        <v>0</v>
      </c>
      <c r="AB37" s="1204">
        <f ca="1">SUMIF('CF(Q)'!$3:$3,AB$4,'CF(Q)'!38:38)</f>
        <v>0</v>
      </c>
      <c r="AC37" s="1204">
        <f ca="1">SUMIF('CF(Q)'!$3:$3,AC$4,'CF(Q)'!38:38)</f>
        <v>0</v>
      </c>
      <c r="AD37" s="1204">
        <f ca="1">SUMIF('CF(Q)'!$3:$3,AD$4,'CF(Q)'!38:38)</f>
        <v>0</v>
      </c>
      <c r="AE37" s="1204">
        <f ca="1">SUMIF('CF(Q)'!$3:$3,AE$4,'CF(Q)'!38:38)</f>
        <v>0</v>
      </c>
      <c r="AF37" s="1204">
        <f ca="1">SUMIF('CF(Q)'!$3:$3,AF$4,'CF(Q)'!38:38)</f>
        <v>0</v>
      </c>
      <c r="AG37" s="1204">
        <f ca="1">SUMIF('CF(Q)'!$3:$3,AG$4,'CF(Q)'!38:38)</f>
        <v>0</v>
      </c>
      <c r="AH37" s="1204">
        <f ca="1">SUMIF('CF(Q)'!$3:$3,AH$4,'CF(Q)'!38:38)</f>
        <v>0</v>
      </c>
      <c r="AI37" s="1204">
        <f ca="1">SUMIF('CF(Q)'!$3:$3,AI$4,'CF(Q)'!38:38)</f>
        <v>0</v>
      </c>
      <c r="AJ37" s="1204">
        <f ca="1">SUMIF('CF(Q)'!$3:$3,AJ$4,'CF(Q)'!38:38)</f>
        <v>0</v>
      </c>
      <c r="AK37" s="1204">
        <f ca="1">SUMIF('CF(Q)'!$3:$3,AK$4,'CF(Q)'!38:38)</f>
        <v>0</v>
      </c>
      <c r="AL37" s="1204">
        <f ca="1">SUMIF('CF(Q)'!$3:$3,AL$4,'CF(Q)'!38:38)</f>
        <v>0</v>
      </c>
      <c r="AM37" s="1204">
        <f ca="1">SUMIF('CF(Q)'!$3:$3,AM$4,'CF(Q)'!38:38)</f>
        <v>0</v>
      </c>
      <c r="AN37" s="1204">
        <f ca="1">SUMIF('CF(Q)'!$3:$3,AN$4,'CF(Q)'!38:38)</f>
        <v>0</v>
      </c>
      <c r="AO37" s="1204">
        <f ca="1">SUMIF('CF(Q)'!$3:$3,AO$4,'CF(Q)'!38:38)</f>
        <v>0</v>
      </c>
      <c r="AP37" s="1204">
        <f ca="1">SUMIF('CF(Q)'!$3:$3,AP$4,'CF(Q)'!38:38)</f>
        <v>0</v>
      </c>
      <c r="AQ37" s="1204">
        <f ca="1">SUMIF('CF(Q)'!$3:$3,AQ$4,'CF(Q)'!38:38)</f>
        <v>0</v>
      </c>
      <c r="AR37" s="1204">
        <f ca="1">SUMIF('CF(Q)'!$3:$3,AR$4,'CF(Q)'!38:38)</f>
        <v>0</v>
      </c>
      <c r="AS37" s="1204">
        <f ca="1">SUMIF('CF(Q)'!$3:$3,AS$4,'CF(Q)'!38:38)</f>
        <v>0</v>
      </c>
      <c r="AT37" s="1204">
        <f ca="1">SUMIF('CF(Q)'!$3:$3,AT$4,'CF(Q)'!38:38)</f>
        <v>0</v>
      </c>
      <c r="AU37" s="1204">
        <f ca="1">SUMIF('CF(Q)'!$3:$3,AU$4,'CF(Q)'!38:38)</f>
        <v>0</v>
      </c>
      <c r="AV37" s="1204">
        <f ca="1">SUMIF('CF(Q)'!$3:$3,AV$4,'CF(Q)'!38:38)</f>
        <v>0</v>
      </c>
      <c r="AW37" s="1204">
        <f ca="1">SUMIF('CF(Q)'!$3:$3,AW$4,'CF(Q)'!38:38)</f>
        <v>0</v>
      </c>
      <c r="AX37" s="1204">
        <f ca="1">SUMIF('CF(Q)'!$3:$3,AX$4,'CF(Q)'!38:38)</f>
        <v>0</v>
      </c>
      <c r="AY37" s="1204">
        <f ca="1">SUMIF('CF(Q)'!$3:$3,AY$4,'CF(Q)'!38:38)</f>
        <v>0</v>
      </c>
      <c r="AZ37" s="1204">
        <f>SUMIF('CF(Q)'!$3:$3,AZ$4,'CF(Q)'!38:38)</f>
        <v>0</v>
      </c>
      <c r="BA37" s="1204">
        <f>SUMIF('CF(Q)'!$3:$3,BA$4,'CF(Q)'!38:38)</f>
        <v>0</v>
      </c>
      <c r="BB37" s="1204">
        <f>SUMIF('CF(Q)'!$3:$3,BB$4,'CF(Q)'!38:38)</f>
        <v>0</v>
      </c>
      <c r="BC37" s="1204">
        <f>SUMIF('CF(Q)'!$3:$3,BC$4,'CF(Q)'!38:38)</f>
        <v>0</v>
      </c>
    </row>
    <row r="38" spans="2:55" s="4924" customFormat="1" ht="17.100000000000001" customHeight="1">
      <c r="B38" s="5055" t="s">
        <v>1319</v>
      </c>
      <c r="C38" s="5056"/>
      <c r="D38" s="5057"/>
      <c r="E38" s="1655"/>
      <c r="F38" s="1650">
        <f t="shared" ca="1" si="2"/>
        <v>3922.1508734262352</v>
      </c>
      <c r="G38" s="1650">
        <f t="shared" ref="G38:AL38" si="16">SUM(G39:G43)</f>
        <v>65.25</v>
      </c>
      <c r="H38" s="1650">
        <f t="shared" si="16"/>
        <v>135.72</v>
      </c>
      <c r="I38" s="1650">
        <f t="shared" si="16"/>
        <v>151.38389999999998</v>
      </c>
      <c r="J38" s="1650">
        <f t="shared" si="16"/>
        <v>146.16624000000002</v>
      </c>
      <c r="K38" s="1650">
        <f t="shared" ca="1" si="16"/>
        <v>134.53937999999999</v>
      </c>
      <c r="L38" s="1650">
        <f t="shared" ca="1" si="16"/>
        <v>161.11505999999997</v>
      </c>
      <c r="M38" s="1650">
        <f t="shared" ca="1" si="16"/>
        <v>172.74191999999999</v>
      </c>
      <c r="N38" s="1650">
        <f t="shared" ca="1" si="16"/>
        <v>158.62358999999998</v>
      </c>
      <c r="O38" s="1650">
        <f t="shared" ca="1" si="16"/>
        <v>165.26751000000002</v>
      </c>
      <c r="P38" s="1650">
        <f t="shared" ca="1" si="16"/>
        <v>166.09799999999998</v>
      </c>
      <c r="Q38" s="1650">
        <f t="shared" ca="1" si="16"/>
        <v>211.77494999999999</v>
      </c>
      <c r="R38" s="1650">
        <f t="shared" ca="1" si="16"/>
        <v>143.67477</v>
      </c>
      <c r="S38" s="1650">
        <f t="shared" ca="1" si="16"/>
        <v>39.863520000000001</v>
      </c>
      <c r="T38" s="1650">
        <f t="shared" ca="1" si="16"/>
        <v>41.448998126567503</v>
      </c>
      <c r="U38" s="1650">
        <f t="shared" ca="1" si="16"/>
        <v>60.246438743233625</v>
      </c>
      <c r="V38" s="1650">
        <f t="shared" ca="1" si="16"/>
        <v>15.75713685472163</v>
      </c>
      <c r="W38" s="1650">
        <f t="shared" ca="1" si="16"/>
        <v>28.642454820594555</v>
      </c>
      <c r="X38" s="1650">
        <f t="shared" ca="1" si="16"/>
        <v>25.040784896574287</v>
      </c>
      <c r="Y38" s="1650">
        <f t="shared" ca="1" si="16"/>
        <v>26.608340660995566</v>
      </c>
      <c r="Z38" s="1650">
        <f t="shared" ca="1" si="16"/>
        <v>32.902694762689322</v>
      </c>
      <c r="AA38" s="1650">
        <f t="shared" ca="1" si="16"/>
        <v>32.479099084009526</v>
      </c>
      <c r="AB38" s="1650">
        <f t="shared" ca="1" si="16"/>
        <v>34.050114158243836</v>
      </c>
      <c r="AC38" s="1650">
        <f t="shared" ca="1" si="16"/>
        <v>55.81566854556273</v>
      </c>
      <c r="AD38" s="1650">
        <f t="shared" ca="1" si="16"/>
        <v>57.396316468599899</v>
      </c>
      <c r="AE38" s="1650">
        <f t="shared" ca="1" si="16"/>
        <v>70.930748371729308</v>
      </c>
      <c r="AF38" s="1650">
        <f t="shared" ca="1" si="16"/>
        <v>73.385307651134539</v>
      </c>
      <c r="AG38" s="1650">
        <f t="shared" ca="1" si="16"/>
        <v>85.205111038661286</v>
      </c>
      <c r="AH38" s="1650">
        <f t="shared" ca="1" si="16"/>
        <v>88.072687054561314</v>
      </c>
      <c r="AI38" s="1650">
        <f t="shared" ca="1" si="16"/>
        <v>84.922464029390852</v>
      </c>
      <c r="AJ38" s="1650">
        <f t="shared" ca="1" si="16"/>
        <v>102.15508025765351</v>
      </c>
      <c r="AK38" s="1650">
        <f t="shared" ca="1" si="16"/>
        <v>108.38100940147186</v>
      </c>
      <c r="AL38" s="1650">
        <f t="shared" ca="1" si="16"/>
        <v>104.95066833200305</v>
      </c>
      <c r="AM38" s="1650">
        <f t="shared" ref="AM38:BC38" ca="1" si="17">SUM(AM39:AM43)</f>
        <v>93.989140875407045</v>
      </c>
      <c r="AN38" s="1650">
        <f t="shared" ca="1" si="17"/>
        <v>61.701739390932381</v>
      </c>
      <c r="AO38" s="1650">
        <f t="shared" ca="1" si="17"/>
        <v>69.934219117380422</v>
      </c>
      <c r="AP38" s="1650">
        <f t="shared" ca="1" si="17"/>
        <v>62.9134537110941</v>
      </c>
      <c r="AQ38" s="1650">
        <f t="shared" ca="1" si="17"/>
        <v>67.970962248008334</v>
      </c>
      <c r="AR38" s="1650">
        <f t="shared" ca="1" si="17"/>
        <v>76.542876805189607</v>
      </c>
      <c r="AS38" s="1650">
        <f t="shared" ca="1" si="17"/>
        <v>74.124388926964514</v>
      </c>
      <c r="AT38" s="1650">
        <f t="shared" ca="1" si="17"/>
        <v>74.706368267369982</v>
      </c>
      <c r="AU38" s="1650">
        <f t="shared" ca="1" si="17"/>
        <v>86.67281041824134</v>
      </c>
      <c r="AV38" s="1650">
        <f t="shared" ca="1" si="17"/>
        <v>86.953948659286823</v>
      </c>
      <c r="AW38" s="1650">
        <f t="shared" ca="1" si="17"/>
        <v>88.863067239873004</v>
      </c>
      <c r="AX38" s="1650">
        <f t="shared" ca="1" si="17"/>
        <v>96.374178419659287</v>
      </c>
      <c r="AY38" s="1650">
        <f t="shared" ca="1" si="17"/>
        <v>794.96833608843122</v>
      </c>
      <c r="AZ38" s="1650">
        <f t="shared" si="17"/>
        <v>0</v>
      </c>
      <c r="BA38" s="1650">
        <f t="shared" si="17"/>
        <v>0</v>
      </c>
      <c r="BB38" s="1650">
        <f t="shared" si="17"/>
        <v>0</v>
      </c>
      <c r="BC38" s="1650">
        <f t="shared" si="17"/>
        <v>0</v>
      </c>
    </row>
    <row r="39" spans="2:55" s="4924" customFormat="1" ht="17.100000000000001" customHeight="1">
      <c r="B39" s="5017"/>
      <c r="C39" s="5046" t="s">
        <v>3703</v>
      </c>
      <c r="D39" s="5047"/>
      <c r="E39" s="1869"/>
      <c r="F39" s="1204">
        <f t="shared" si="2"/>
        <v>0</v>
      </c>
      <c r="G39" s="1204">
        <f>SUMIF('CF(Q)'!$3:$3,G$4,'CF(Q)'!40:40)</f>
        <v>0</v>
      </c>
      <c r="H39" s="1204">
        <f>SUMIF('CF(Q)'!$3:$3,H$4,'CF(Q)'!40:40)</f>
        <v>0</v>
      </c>
      <c r="I39" s="1204">
        <f>SUMIF('CF(Q)'!$3:$3,I$4,'CF(Q)'!40:40)</f>
        <v>0</v>
      </c>
      <c r="J39" s="1204">
        <f>SUMIF('CF(Q)'!$3:$3,J$4,'CF(Q)'!40:40)</f>
        <v>0</v>
      </c>
      <c r="K39" s="1204">
        <f>SUMIF('CF(Q)'!$3:$3,K$4,'CF(Q)'!40:40)</f>
        <v>0</v>
      </c>
      <c r="L39" s="1204">
        <f>SUMIF('CF(Q)'!$3:$3,L$4,'CF(Q)'!40:40)</f>
        <v>0</v>
      </c>
      <c r="M39" s="1204">
        <f>SUMIF('CF(Q)'!$3:$3,M$4,'CF(Q)'!40:40)</f>
        <v>0</v>
      </c>
      <c r="N39" s="1204">
        <f>SUMIF('CF(Q)'!$3:$3,N$4,'CF(Q)'!40:40)</f>
        <v>0</v>
      </c>
      <c r="O39" s="1204">
        <f>SUMIF('CF(Q)'!$3:$3,O$4,'CF(Q)'!40:40)</f>
        <v>0</v>
      </c>
      <c r="P39" s="1204">
        <f>SUMIF('CF(Q)'!$3:$3,P$4,'CF(Q)'!40:40)</f>
        <v>0</v>
      </c>
      <c r="Q39" s="1204">
        <f>SUMIF('CF(Q)'!$3:$3,Q$4,'CF(Q)'!40:40)</f>
        <v>0</v>
      </c>
      <c r="R39" s="1204">
        <f>SUMIF('CF(Q)'!$3:$3,R$4,'CF(Q)'!40:40)</f>
        <v>0</v>
      </c>
      <c r="S39" s="1204">
        <f>SUMIF('CF(Q)'!$3:$3,S$4,'CF(Q)'!40:40)</f>
        <v>0</v>
      </c>
      <c r="T39" s="1204">
        <f>SUMIF('CF(Q)'!$3:$3,T$4,'CF(Q)'!40:40)</f>
        <v>0</v>
      </c>
      <c r="U39" s="1204">
        <f>SUMIF('CF(Q)'!$3:$3,U$4,'CF(Q)'!40:40)</f>
        <v>0</v>
      </c>
      <c r="V39" s="1204">
        <f>SUMIF('CF(Q)'!$3:$3,V$4,'CF(Q)'!40:40)</f>
        <v>0</v>
      </c>
      <c r="W39" s="1204">
        <f>SUMIF('CF(Q)'!$3:$3,W$4,'CF(Q)'!40:40)</f>
        <v>0</v>
      </c>
      <c r="X39" s="1204">
        <f>SUMIF('CF(Q)'!$3:$3,X$4,'CF(Q)'!40:40)</f>
        <v>0</v>
      </c>
      <c r="Y39" s="1204">
        <f>SUMIF('CF(Q)'!$3:$3,Y$4,'CF(Q)'!40:40)</f>
        <v>0</v>
      </c>
      <c r="Z39" s="1204">
        <f>SUMIF('CF(Q)'!$3:$3,Z$4,'CF(Q)'!40:40)</f>
        <v>0</v>
      </c>
      <c r="AA39" s="1204">
        <f>SUMIF('CF(Q)'!$3:$3,AA$4,'CF(Q)'!40:40)</f>
        <v>0</v>
      </c>
      <c r="AB39" s="1204">
        <f>SUMIF('CF(Q)'!$3:$3,AB$4,'CF(Q)'!40:40)</f>
        <v>0</v>
      </c>
      <c r="AC39" s="1204">
        <f>SUMIF('CF(Q)'!$3:$3,AC$4,'CF(Q)'!40:40)</f>
        <v>0</v>
      </c>
      <c r="AD39" s="1204">
        <f>SUMIF('CF(Q)'!$3:$3,AD$4,'CF(Q)'!40:40)</f>
        <v>0</v>
      </c>
      <c r="AE39" s="1204">
        <f>SUMIF('CF(Q)'!$3:$3,AE$4,'CF(Q)'!40:40)</f>
        <v>0</v>
      </c>
      <c r="AF39" s="1204">
        <f>SUMIF('CF(Q)'!$3:$3,AF$4,'CF(Q)'!40:40)</f>
        <v>0</v>
      </c>
      <c r="AG39" s="1204">
        <f>SUMIF('CF(Q)'!$3:$3,AG$4,'CF(Q)'!40:40)</f>
        <v>0</v>
      </c>
      <c r="AH39" s="1204">
        <f>SUMIF('CF(Q)'!$3:$3,AH$4,'CF(Q)'!40:40)</f>
        <v>0</v>
      </c>
      <c r="AI39" s="1204">
        <f>SUMIF('CF(Q)'!$3:$3,AI$4,'CF(Q)'!40:40)</f>
        <v>0</v>
      </c>
      <c r="AJ39" s="1204">
        <f>SUMIF('CF(Q)'!$3:$3,AJ$4,'CF(Q)'!40:40)</f>
        <v>0</v>
      </c>
      <c r="AK39" s="1204">
        <f>SUMIF('CF(Q)'!$3:$3,AK$4,'CF(Q)'!40:40)</f>
        <v>0</v>
      </c>
      <c r="AL39" s="1204">
        <f>SUMIF('CF(Q)'!$3:$3,AL$4,'CF(Q)'!40:40)</f>
        <v>0</v>
      </c>
      <c r="AM39" s="1204">
        <f>SUMIF('CF(Q)'!$3:$3,AM$4,'CF(Q)'!40:40)</f>
        <v>0</v>
      </c>
      <c r="AN39" s="1204">
        <f>SUMIF('CF(Q)'!$3:$3,AN$4,'CF(Q)'!40:40)</f>
        <v>0</v>
      </c>
      <c r="AO39" s="1204">
        <f>SUMIF('CF(Q)'!$3:$3,AO$4,'CF(Q)'!40:40)</f>
        <v>0</v>
      </c>
      <c r="AP39" s="1204">
        <f>SUMIF('CF(Q)'!$3:$3,AP$4,'CF(Q)'!40:40)</f>
        <v>0</v>
      </c>
      <c r="AQ39" s="1204">
        <f>SUMIF('CF(Q)'!$3:$3,AQ$4,'CF(Q)'!40:40)</f>
        <v>0</v>
      </c>
      <c r="AR39" s="1204">
        <f>SUMIF('CF(Q)'!$3:$3,AR$4,'CF(Q)'!40:40)</f>
        <v>0</v>
      </c>
      <c r="AS39" s="1204">
        <f>SUMIF('CF(Q)'!$3:$3,AS$4,'CF(Q)'!40:40)</f>
        <v>0</v>
      </c>
      <c r="AT39" s="1204">
        <f>SUMIF('CF(Q)'!$3:$3,AT$4,'CF(Q)'!40:40)</f>
        <v>0</v>
      </c>
      <c r="AU39" s="1204">
        <f>SUMIF('CF(Q)'!$3:$3,AU$4,'CF(Q)'!40:40)</f>
        <v>0</v>
      </c>
      <c r="AV39" s="1204">
        <f>SUMIF('CF(Q)'!$3:$3,AV$4,'CF(Q)'!40:40)</f>
        <v>0</v>
      </c>
      <c r="AW39" s="1204">
        <f>SUMIF('CF(Q)'!$3:$3,AW$4,'CF(Q)'!40:40)</f>
        <v>0</v>
      </c>
      <c r="AX39" s="1204">
        <f>SUMIF('CF(Q)'!$3:$3,AX$4,'CF(Q)'!40:40)</f>
        <v>0</v>
      </c>
      <c r="AY39" s="1204">
        <f>SUMIF('CF(Q)'!$3:$3,AY$4,'CF(Q)'!40:40)</f>
        <v>0</v>
      </c>
      <c r="AZ39" s="1204">
        <f>SUMIF('CF(Q)'!$3:$3,AZ$4,'CF(Q)'!40:40)</f>
        <v>0</v>
      </c>
      <c r="BA39" s="1204">
        <f>SUMIF('CF(Q)'!$3:$3,BA$4,'CF(Q)'!40:40)</f>
        <v>0</v>
      </c>
      <c r="BB39" s="1204">
        <f>SUMIF('CF(Q)'!$3:$3,BB$4,'CF(Q)'!40:40)</f>
        <v>0</v>
      </c>
      <c r="BC39" s="1204">
        <f>SUMIF('CF(Q)'!$3:$3,BC$4,'CF(Q)'!40:40)</f>
        <v>0</v>
      </c>
    </row>
    <row r="40" spans="2:55" s="4924" customFormat="1" ht="17.100000000000001" customHeight="1">
      <c r="B40" s="5017"/>
      <c r="C40" s="5046" t="str">
        <f>C21</f>
        <v>기존차입금</v>
      </c>
      <c r="D40" s="5047"/>
      <c r="E40" s="1869" t="s">
        <v>1321</v>
      </c>
      <c r="F40" s="1204">
        <f t="shared" si="2"/>
        <v>1127.8054199999999</v>
      </c>
      <c r="G40" s="1204">
        <f>SUMIF('CF(Q)'!$3:$3,G$4,'CF(Q)'!41:41)</f>
        <v>65.25</v>
      </c>
      <c r="H40" s="1204">
        <f>SUMIF('CF(Q)'!$3:$3,H$4,'CF(Q)'!41:41)</f>
        <v>135.72</v>
      </c>
      <c r="I40" s="1204">
        <f>SUMIF('CF(Q)'!$3:$3,I$4,'CF(Q)'!41:41)</f>
        <v>151.38389999999998</v>
      </c>
      <c r="J40" s="1204">
        <f>SUMIF('CF(Q)'!$3:$3,J$4,'CF(Q)'!41:41)</f>
        <v>146.16624000000002</v>
      </c>
      <c r="K40" s="1204">
        <f>SUMIF('CF(Q)'!$3:$3,K$4,'CF(Q)'!41:41)</f>
        <v>134.53937999999999</v>
      </c>
      <c r="L40" s="1204">
        <f>SUMIF('CF(Q)'!$3:$3,L$4,'CF(Q)'!41:41)</f>
        <v>161.11505999999997</v>
      </c>
      <c r="M40" s="1204">
        <f>SUMIF('CF(Q)'!$3:$3,M$4,'CF(Q)'!41:41)</f>
        <v>172.74191999999999</v>
      </c>
      <c r="N40" s="1204">
        <f>SUMIF('CF(Q)'!$3:$3,N$4,'CF(Q)'!41:41)</f>
        <v>158.62358999999998</v>
      </c>
      <c r="O40" s="1204">
        <f>SUMIF('CF(Q)'!$3:$3,O$4,'CF(Q)'!41:41)</f>
        <v>165.26751000000002</v>
      </c>
      <c r="P40" s="1204">
        <f>SUMIF('CF(Q)'!$3:$3,P$4,'CF(Q)'!41:41)</f>
        <v>166.09799999999998</v>
      </c>
      <c r="Q40" s="1204">
        <f>SUMIF('CF(Q)'!$3:$3,Q$4,'CF(Q)'!41:41)</f>
        <v>211.77494999999999</v>
      </c>
      <c r="R40" s="1204">
        <f>SUMIF('CF(Q)'!$3:$3,R$4,'CF(Q)'!41:41)</f>
        <v>143.67477</v>
      </c>
      <c r="S40" s="1204">
        <f>SUMIF('CF(Q)'!$3:$3,S$4,'CF(Q)'!41:41)</f>
        <v>39.863520000000001</v>
      </c>
      <c r="T40" s="1204">
        <f>SUMIF('CF(Q)'!$3:$3,T$4,'CF(Q)'!41:41)</f>
        <v>39.863520000000001</v>
      </c>
      <c r="U40" s="1204">
        <f>SUMIF('CF(Q)'!$3:$3,U$4,'CF(Q)'!41:41)</f>
        <v>29.897639999999889</v>
      </c>
      <c r="V40" s="1204">
        <f>SUMIF('CF(Q)'!$3:$3,V$4,'CF(Q)'!41:41)</f>
        <v>0</v>
      </c>
      <c r="W40" s="1204">
        <f>SUMIF('CF(Q)'!$3:$3,W$4,'CF(Q)'!41:41)</f>
        <v>0</v>
      </c>
      <c r="X40" s="1204">
        <f>SUMIF('CF(Q)'!$3:$3,X$4,'CF(Q)'!41:41)</f>
        <v>0</v>
      </c>
      <c r="Y40" s="1204">
        <f>SUMIF('CF(Q)'!$3:$3,Y$4,'CF(Q)'!41:41)</f>
        <v>0</v>
      </c>
      <c r="Z40" s="1204">
        <f>SUMIF('CF(Q)'!$3:$3,Z$4,'CF(Q)'!41:41)</f>
        <v>0</v>
      </c>
      <c r="AA40" s="1204">
        <f>SUMIF('CF(Q)'!$3:$3,AA$4,'CF(Q)'!41:41)</f>
        <v>0</v>
      </c>
      <c r="AB40" s="1204">
        <f>SUMIF('CF(Q)'!$3:$3,AB$4,'CF(Q)'!41:41)</f>
        <v>0</v>
      </c>
      <c r="AC40" s="1204">
        <f>SUMIF('CF(Q)'!$3:$3,AC$4,'CF(Q)'!41:41)</f>
        <v>0</v>
      </c>
      <c r="AD40" s="1204">
        <f>SUMIF('CF(Q)'!$3:$3,AD$4,'CF(Q)'!41:41)</f>
        <v>0</v>
      </c>
      <c r="AE40" s="1204">
        <f>SUMIF('CF(Q)'!$3:$3,AE$4,'CF(Q)'!41:41)</f>
        <v>0</v>
      </c>
      <c r="AF40" s="1204">
        <f>SUMIF('CF(Q)'!$3:$3,AF$4,'CF(Q)'!41:41)</f>
        <v>0</v>
      </c>
      <c r="AG40" s="1204">
        <f>SUMIF('CF(Q)'!$3:$3,AG$4,'CF(Q)'!41:41)</f>
        <v>0</v>
      </c>
      <c r="AH40" s="1204">
        <f>SUMIF('CF(Q)'!$3:$3,AH$4,'CF(Q)'!41:41)</f>
        <v>0</v>
      </c>
      <c r="AI40" s="1204">
        <f>SUMIF('CF(Q)'!$3:$3,AI$4,'CF(Q)'!41:41)</f>
        <v>0</v>
      </c>
      <c r="AJ40" s="1204">
        <f>SUMIF('CF(Q)'!$3:$3,AJ$4,'CF(Q)'!41:41)</f>
        <v>0</v>
      </c>
      <c r="AK40" s="1204">
        <f>SUMIF('CF(Q)'!$3:$3,AK$4,'CF(Q)'!41:41)</f>
        <v>0</v>
      </c>
      <c r="AL40" s="1204">
        <f>SUMIF('CF(Q)'!$3:$3,AL$4,'CF(Q)'!41:41)</f>
        <v>0</v>
      </c>
      <c r="AM40" s="1204">
        <f>SUMIF('CF(Q)'!$3:$3,AM$4,'CF(Q)'!41:41)</f>
        <v>0</v>
      </c>
      <c r="AN40" s="1204">
        <f>SUMIF('CF(Q)'!$3:$3,AN$4,'CF(Q)'!41:41)</f>
        <v>0</v>
      </c>
      <c r="AO40" s="1204">
        <f>SUMIF('CF(Q)'!$3:$3,AO$4,'CF(Q)'!41:41)</f>
        <v>0</v>
      </c>
      <c r="AP40" s="1204">
        <f>SUMIF('CF(Q)'!$3:$3,AP$4,'CF(Q)'!41:41)</f>
        <v>0</v>
      </c>
      <c r="AQ40" s="1204">
        <f>SUMIF('CF(Q)'!$3:$3,AQ$4,'CF(Q)'!41:41)</f>
        <v>0</v>
      </c>
      <c r="AR40" s="1204">
        <f>SUMIF('CF(Q)'!$3:$3,AR$4,'CF(Q)'!41:41)</f>
        <v>0</v>
      </c>
      <c r="AS40" s="1204">
        <f>SUMIF('CF(Q)'!$3:$3,AS$4,'CF(Q)'!41:41)</f>
        <v>0</v>
      </c>
      <c r="AT40" s="1204">
        <f>SUMIF('CF(Q)'!$3:$3,AT$4,'CF(Q)'!41:41)</f>
        <v>0</v>
      </c>
      <c r="AU40" s="1204">
        <f>SUMIF('CF(Q)'!$3:$3,AU$4,'CF(Q)'!41:41)</f>
        <v>0</v>
      </c>
      <c r="AV40" s="1204">
        <f>SUMIF('CF(Q)'!$3:$3,AV$4,'CF(Q)'!41:41)</f>
        <v>0</v>
      </c>
      <c r="AW40" s="1204">
        <f>SUMIF('CF(Q)'!$3:$3,AW$4,'CF(Q)'!41:41)</f>
        <v>0</v>
      </c>
      <c r="AX40" s="1204">
        <f>SUMIF('CF(Q)'!$3:$3,AX$4,'CF(Q)'!41:41)</f>
        <v>0</v>
      </c>
      <c r="AY40" s="1204">
        <f>SUMIF('CF(Q)'!$3:$3,AY$4,'CF(Q)'!41:41)</f>
        <v>0</v>
      </c>
      <c r="AZ40" s="1204">
        <f>SUMIF('CF(Q)'!$3:$3,AZ$4,'CF(Q)'!41:41)</f>
        <v>0</v>
      </c>
      <c r="BA40" s="1204">
        <f>SUMIF('CF(Q)'!$3:$3,BA$4,'CF(Q)'!41:41)</f>
        <v>0</v>
      </c>
      <c r="BB40" s="1204">
        <f>SUMIF('CF(Q)'!$3:$3,BB$4,'CF(Q)'!41:41)</f>
        <v>0</v>
      </c>
      <c r="BC40" s="1204">
        <f>SUMIF('CF(Q)'!$3:$3,BC$4,'CF(Q)'!41:41)</f>
        <v>0</v>
      </c>
    </row>
    <row r="41" spans="2:55" s="4924" customFormat="1" ht="17.100000000000001" customHeight="1">
      <c r="B41" s="5017"/>
      <c r="C41" s="5046" t="str">
        <f>C37</f>
        <v>상환우선주</v>
      </c>
      <c r="D41" s="5047"/>
      <c r="E41" s="1869" t="s">
        <v>1322</v>
      </c>
      <c r="F41" s="1204">
        <f t="shared" ca="1" si="2"/>
        <v>0</v>
      </c>
      <c r="G41" s="1204">
        <f>SUMIF('CF(Q)'!$3:$3,G$4,'CF(Q)'!42:42)</f>
        <v>0</v>
      </c>
      <c r="H41" s="1204">
        <f>SUMIF('CF(Q)'!$3:$3,H$4,'CF(Q)'!42:42)</f>
        <v>0</v>
      </c>
      <c r="I41" s="1204">
        <f>SUMIF('CF(Q)'!$3:$3,I$4,'CF(Q)'!42:42)</f>
        <v>0</v>
      </c>
      <c r="J41" s="1204">
        <f>SUMIF('CF(Q)'!$3:$3,J$4,'CF(Q)'!42:42)</f>
        <v>0</v>
      </c>
      <c r="K41" s="1204">
        <f>SUMIF('CF(Q)'!$3:$3,K$4,'CF(Q)'!42:42)</f>
        <v>0</v>
      </c>
      <c r="L41" s="1204">
        <f>SUMIF('CF(Q)'!$3:$3,L$4,'CF(Q)'!42:42)</f>
        <v>0</v>
      </c>
      <c r="M41" s="1204">
        <f>SUMIF('CF(Q)'!$3:$3,M$4,'CF(Q)'!42:42)</f>
        <v>0</v>
      </c>
      <c r="N41" s="1204">
        <f>SUMIF('CF(Q)'!$3:$3,N$4,'CF(Q)'!42:42)</f>
        <v>0</v>
      </c>
      <c r="O41" s="1204">
        <f>SUMIF('CF(Q)'!$3:$3,O$4,'CF(Q)'!42:42)</f>
        <v>0</v>
      </c>
      <c r="P41" s="1204">
        <f>SUMIF('CF(Q)'!$3:$3,P$4,'CF(Q)'!42:42)</f>
        <v>0</v>
      </c>
      <c r="Q41" s="1204">
        <f>SUMIF('CF(Q)'!$3:$3,Q$4,'CF(Q)'!42:42)</f>
        <v>0</v>
      </c>
      <c r="R41" s="1204">
        <f>SUMIF('CF(Q)'!$3:$3,R$4,'CF(Q)'!42:42)</f>
        <v>0</v>
      </c>
      <c r="S41" s="1204">
        <f>SUMIF('CF(Q)'!$3:$3,S$4,'CF(Q)'!42:42)</f>
        <v>0</v>
      </c>
      <c r="T41" s="1204">
        <f>SUMIF('CF(Q)'!$3:$3,T$4,'CF(Q)'!42:42)</f>
        <v>0</v>
      </c>
      <c r="U41" s="1204">
        <f>SUMIF('CF(Q)'!$3:$3,U$4,'CF(Q)'!42:42)</f>
        <v>0</v>
      </c>
      <c r="V41" s="1204">
        <f>SUMIF('CF(Q)'!$3:$3,V$4,'CF(Q)'!42:42)</f>
        <v>0</v>
      </c>
      <c r="W41" s="1204">
        <f>SUMIF('CF(Q)'!$3:$3,W$4,'CF(Q)'!42:42)</f>
        <v>0</v>
      </c>
      <c r="X41" s="1204">
        <f>SUMIF('CF(Q)'!$3:$3,X$4,'CF(Q)'!42:42)</f>
        <v>0</v>
      </c>
      <c r="Y41" s="1204">
        <f>SUMIF('CF(Q)'!$3:$3,Y$4,'CF(Q)'!42:42)</f>
        <v>0</v>
      </c>
      <c r="Z41" s="1204">
        <f>SUMIF('CF(Q)'!$3:$3,Z$4,'CF(Q)'!42:42)</f>
        <v>0</v>
      </c>
      <c r="AA41" s="1204">
        <f>SUMIF('CF(Q)'!$3:$3,AA$4,'CF(Q)'!42:42)</f>
        <v>0</v>
      </c>
      <c r="AB41" s="1204">
        <f>SUMIF('CF(Q)'!$3:$3,AB$4,'CF(Q)'!42:42)</f>
        <v>0</v>
      </c>
      <c r="AC41" s="1204">
        <f>SUMIF('CF(Q)'!$3:$3,AC$4,'CF(Q)'!42:42)</f>
        <v>0</v>
      </c>
      <c r="AD41" s="1204">
        <f>SUMIF('CF(Q)'!$3:$3,AD$4,'CF(Q)'!42:42)</f>
        <v>0</v>
      </c>
      <c r="AE41" s="1204">
        <f>SUMIF('CF(Q)'!$3:$3,AE$4,'CF(Q)'!42:42)</f>
        <v>0</v>
      </c>
      <c r="AF41" s="1204">
        <f>SUMIF('CF(Q)'!$3:$3,AF$4,'CF(Q)'!42:42)</f>
        <v>0</v>
      </c>
      <c r="AG41" s="1204">
        <f>SUMIF('CF(Q)'!$3:$3,AG$4,'CF(Q)'!42:42)</f>
        <v>0</v>
      </c>
      <c r="AH41" s="1204">
        <f>SUMIF('CF(Q)'!$3:$3,AH$4,'CF(Q)'!42:42)</f>
        <v>0</v>
      </c>
      <c r="AI41" s="1204">
        <f>SUMIF('CF(Q)'!$3:$3,AI$4,'CF(Q)'!42:42)</f>
        <v>0</v>
      </c>
      <c r="AJ41" s="1204">
        <f>SUMIF('CF(Q)'!$3:$3,AJ$4,'CF(Q)'!42:42)</f>
        <v>0</v>
      </c>
      <c r="AK41" s="1204">
        <f>SUMIF('CF(Q)'!$3:$3,AK$4,'CF(Q)'!42:42)</f>
        <v>0</v>
      </c>
      <c r="AL41" s="1204">
        <f>SUMIF('CF(Q)'!$3:$3,AL$4,'CF(Q)'!42:42)</f>
        <v>0</v>
      </c>
      <c r="AM41" s="1204">
        <f>SUMIF('CF(Q)'!$3:$3,AM$4,'CF(Q)'!42:42)</f>
        <v>0</v>
      </c>
      <c r="AN41" s="1204">
        <f>SUMIF('CF(Q)'!$3:$3,AN$4,'CF(Q)'!42:42)</f>
        <v>0</v>
      </c>
      <c r="AO41" s="1204">
        <f>SUMIF('CF(Q)'!$3:$3,AO$4,'CF(Q)'!42:42)</f>
        <v>0</v>
      </c>
      <c r="AP41" s="1204">
        <f>SUMIF('CF(Q)'!$3:$3,AP$4,'CF(Q)'!42:42)</f>
        <v>0</v>
      </c>
      <c r="AQ41" s="1204">
        <f>SUMIF('CF(Q)'!$3:$3,AQ$4,'CF(Q)'!42:42)</f>
        <v>0</v>
      </c>
      <c r="AR41" s="1204">
        <f>SUMIF('CF(Q)'!$3:$3,AR$4,'CF(Q)'!42:42)</f>
        <v>0</v>
      </c>
      <c r="AS41" s="1204">
        <f>SUMIF('CF(Q)'!$3:$3,AS$4,'CF(Q)'!42:42)</f>
        <v>0</v>
      </c>
      <c r="AT41" s="1204">
        <f>SUMIF('CF(Q)'!$3:$3,AT$4,'CF(Q)'!42:42)</f>
        <v>0</v>
      </c>
      <c r="AU41" s="1204">
        <f>SUMIF('CF(Q)'!$3:$3,AU$4,'CF(Q)'!42:42)</f>
        <v>0</v>
      </c>
      <c r="AV41" s="1204">
        <f>SUMIF('CF(Q)'!$3:$3,AV$4,'CF(Q)'!42:42)</f>
        <v>0</v>
      </c>
      <c r="AW41" s="1204">
        <f>SUMIF('CF(Q)'!$3:$3,AW$4,'CF(Q)'!42:42)</f>
        <v>0</v>
      </c>
      <c r="AX41" s="1204">
        <f>SUMIF('CF(Q)'!$3:$3,AX$4,'CF(Q)'!42:42)</f>
        <v>0</v>
      </c>
      <c r="AY41" s="1204">
        <f ca="1">SUMIF('CF(Q)'!$3:$3,AY$4,'CF(Q)'!42:42)</f>
        <v>0</v>
      </c>
      <c r="AZ41" s="1204">
        <f>SUMIF('CF(Q)'!$3:$3,AZ$4,'CF(Q)'!42:42)</f>
        <v>0</v>
      </c>
      <c r="BA41" s="1204">
        <f>SUMIF('CF(Q)'!$3:$3,BA$4,'CF(Q)'!42:42)</f>
        <v>0</v>
      </c>
      <c r="BB41" s="1204">
        <f>SUMIF('CF(Q)'!$3:$3,BB$4,'CF(Q)'!42:42)</f>
        <v>0</v>
      </c>
      <c r="BC41" s="1204">
        <f>SUMIF('CF(Q)'!$3:$3,BC$4,'CF(Q)'!42:42)</f>
        <v>0</v>
      </c>
    </row>
    <row r="42" spans="2:55" s="4924" customFormat="1" ht="17.100000000000001" customHeight="1">
      <c r="B42" s="5017"/>
      <c r="C42" s="5046" t="s">
        <v>1323</v>
      </c>
      <c r="D42" s="5047"/>
      <c r="E42" s="1869"/>
      <c r="F42" s="1204">
        <f t="shared" ca="1" si="2"/>
        <v>0</v>
      </c>
      <c r="G42" s="1204">
        <f>SUMIF('CF(Q)'!$3:$3,G$4,'CF(Q)'!43:43)</f>
        <v>0</v>
      </c>
      <c r="H42" s="1204">
        <f>SUMIF('CF(Q)'!$3:$3,H$4,'CF(Q)'!43:43)</f>
        <v>0</v>
      </c>
      <c r="I42" s="1204">
        <f>SUMIF('CF(Q)'!$3:$3,I$4,'CF(Q)'!43:43)</f>
        <v>0</v>
      </c>
      <c r="J42" s="1204">
        <f>SUMIF('CF(Q)'!$3:$3,J$4,'CF(Q)'!43:43)</f>
        <v>0</v>
      </c>
      <c r="K42" s="1204">
        <f ca="1">SUMIF('CF(Q)'!$3:$3,K$4,'CF(Q)'!43:43)</f>
        <v>0</v>
      </c>
      <c r="L42" s="1204">
        <f ca="1">SUMIF('CF(Q)'!$3:$3,L$4,'CF(Q)'!43:43)</f>
        <v>0</v>
      </c>
      <c r="M42" s="1204">
        <f ca="1">SUMIF('CF(Q)'!$3:$3,M$4,'CF(Q)'!43:43)</f>
        <v>0</v>
      </c>
      <c r="N42" s="1204">
        <f ca="1">SUMIF('CF(Q)'!$3:$3,N$4,'CF(Q)'!43:43)</f>
        <v>0</v>
      </c>
      <c r="O42" s="1204">
        <f ca="1">SUMIF('CF(Q)'!$3:$3,O$4,'CF(Q)'!43:43)</f>
        <v>0</v>
      </c>
      <c r="P42" s="1204">
        <f ca="1">SUMIF('CF(Q)'!$3:$3,P$4,'CF(Q)'!43:43)</f>
        <v>0</v>
      </c>
      <c r="Q42" s="1204">
        <f ca="1">SUMIF('CF(Q)'!$3:$3,Q$4,'CF(Q)'!43:43)</f>
        <v>0</v>
      </c>
      <c r="R42" s="1204">
        <f ca="1">SUMIF('CF(Q)'!$3:$3,R$4,'CF(Q)'!43:43)</f>
        <v>0</v>
      </c>
      <c r="S42" s="1204">
        <f ca="1">SUMIF('CF(Q)'!$3:$3,S$4,'CF(Q)'!43:43)</f>
        <v>0</v>
      </c>
      <c r="T42" s="1204">
        <f ca="1">SUMIF('CF(Q)'!$3:$3,T$4,'CF(Q)'!43:43)</f>
        <v>0</v>
      </c>
      <c r="U42" s="1204">
        <f ca="1">SUMIF('CF(Q)'!$3:$3,U$4,'CF(Q)'!43:43)</f>
        <v>0</v>
      </c>
      <c r="V42" s="1204">
        <f ca="1">SUMIF('CF(Q)'!$3:$3,V$4,'CF(Q)'!43:43)</f>
        <v>0</v>
      </c>
      <c r="W42" s="1204">
        <f ca="1">SUMIF('CF(Q)'!$3:$3,W$4,'CF(Q)'!43:43)</f>
        <v>0</v>
      </c>
      <c r="X42" s="1204">
        <f ca="1">SUMIF('CF(Q)'!$3:$3,X$4,'CF(Q)'!43:43)</f>
        <v>0</v>
      </c>
      <c r="Y42" s="1204">
        <f ca="1">SUMIF('CF(Q)'!$3:$3,Y$4,'CF(Q)'!43:43)</f>
        <v>0</v>
      </c>
      <c r="Z42" s="1204">
        <f ca="1">SUMIF('CF(Q)'!$3:$3,Z$4,'CF(Q)'!43:43)</f>
        <v>0</v>
      </c>
      <c r="AA42" s="1204">
        <f ca="1">SUMIF('CF(Q)'!$3:$3,AA$4,'CF(Q)'!43:43)</f>
        <v>0</v>
      </c>
      <c r="AB42" s="1204">
        <f ca="1">SUMIF('CF(Q)'!$3:$3,AB$4,'CF(Q)'!43:43)</f>
        <v>0</v>
      </c>
      <c r="AC42" s="1204">
        <f ca="1">SUMIF('CF(Q)'!$3:$3,AC$4,'CF(Q)'!43:43)</f>
        <v>0</v>
      </c>
      <c r="AD42" s="1204">
        <f ca="1">SUMIF('CF(Q)'!$3:$3,AD$4,'CF(Q)'!43:43)</f>
        <v>0</v>
      </c>
      <c r="AE42" s="1204">
        <f ca="1">SUMIF('CF(Q)'!$3:$3,AE$4,'CF(Q)'!43:43)</f>
        <v>0</v>
      </c>
      <c r="AF42" s="1204">
        <f ca="1">SUMIF('CF(Q)'!$3:$3,AF$4,'CF(Q)'!43:43)</f>
        <v>0</v>
      </c>
      <c r="AG42" s="1204">
        <f ca="1">SUMIF('CF(Q)'!$3:$3,AG$4,'CF(Q)'!43:43)</f>
        <v>0</v>
      </c>
      <c r="AH42" s="1204">
        <f ca="1">SUMIF('CF(Q)'!$3:$3,AH$4,'CF(Q)'!43:43)</f>
        <v>0</v>
      </c>
      <c r="AI42" s="1204">
        <f ca="1">SUMIF('CF(Q)'!$3:$3,AI$4,'CF(Q)'!43:43)</f>
        <v>0</v>
      </c>
      <c r="AJ42" s="1204">
        <f ca="1">SUMIF('CF(Q)'!$3:$3,AJ$4,'CF(Q)'!43:43)</f>
        <v>0</v>
      </c>
      <c r="AK42" s="1204">
        <f ca="1">SUMIF('CF(Q)'!$3:$3,AK$4,'CF(Q)'!43:43)</f>
        <v>0</v>
      </c>
      <c r="AL42" s="1204">
        <f ca="1">SUMIF('CF(Q)'!$3:$3,AL$4,'CF(Q)'!43:43)</f>
        <v>0</v>
      </c>
      <c r="AM42" s="1204">
        <f ca="1">SUMIF('CF(Q)'!$3:$3,AM$4,'CF(Q)'!43:43)</f>
        <v>0</v>
      </c>
      <c r="AN42" s="1204">
        <f ca="1">SUMIF('CF(Q)'!$3:$3,AN$4,'CF(Q)'!43:43)</f>
        <v>0</v>
      </c>
      <c r="AO42" s="1204">
        <f ca="1">SUMIF('CF(Q)'!$3:$3,AO$4,'CF(Q)'!43:43)</f>
        <v>0</v>
      </c>
      <c r="AP42" s="1204">
        <f ca="1">SUMIF('CF(Q)'!$3:$3,AP$4,'CF(Q)'!43:43)</f>
        <v>0</v>
      </c>
      <c r="AQ42" s="1204">
        <f ca="1">SUMIF('CF(Q)'!$3:$3,AQ$4,'CF(Q)'!43:43)</f>
        <v>0</v>
      </c>
      <c r="AR42" s="1204">
        <f ca="1">SUMIF('CF(Q)'!$3:$3,AR$4,'CF(Q)'!43:43)</f>
        <v>0</v>
      </c>
      <c r="AS42" s="1204">
        <f ca="1">SUMIF('CF(Q)'!$3:$3,AS$4,'CF(Q)'!43:43)</f>
        <v>0</v>
      </c>
      <c r="AT42" s="1204">
        <f ca="1">SUMIF('CF(Q)'!$3:$3,AT$4,'CF(Q)'!43:43)</f>
        <v>0</v>
      </c>
      <c r="AU42" s="1204">
        <f ca="1">SUMIF('CF(Q)'!$3:$3,AU$4,'CF(Q)'!43:43)</f>
        <v>0</v>
      </c>
      <c r="AV42" s="1204">
        <f ca="1">SUMIF('CF(Q)'!$3:$3,AV$4,'CF(Q)'!43:43)</f>
        <v>0</v>
      </c>
      <c r="AW42" s="1204">
        <f ca="1">SUMIF('CF(Q)'!$3:$3,AW$4,'CF(Q)'!43:43)</f>
        <v>0</v>
      </c>
      <c r="AX42" s="1204">
        <f ca="1">SUMIF('CF(Q)'!$3:$3,AX$4,'CF(Q)'!43:43)</f>
        <v>0</v>
      </c>
      <c r="AY42" s="1204">
        <f ca="1">SUMIF('CF(Q)'!$3:$3,AY$4,'CF(Q)'!43:43)</f>
        <v>0</v>
      </c>
      <c r="AZ42" s="1204">
        <f>SUMIF('CF(Q)'!$3:$3,AZ$4,'CF(Q)'!43:43)</f>
        <v>0</v>
      </c>
      <c r="BA42" s="1204">
        <f>SUMIF('CF(Q)'!$3:$3,BA$4,'CF(Q)'!43:43)</f>
        <v>0</v>
      </c>
      <c r="BB42" s="1204">
        <f>SUMIF('CF(Q)'!$3:$3,BB$4,'CF(Q)'!43:43)</f>
        <v>0</v>
      </c>
      <c r="BC42" s="1204">
        <f>SUMIF('CF(Q)'!$3:$3,BC$4,'CF(Q)'!43:43)</f>
        <v>0</v>
      </c>
    </row>
    <row r="43" spans="2:55" s="4924" customFormat="1" ht="17.100000000000001" customHeight="1">
      <c r="B43" s="4930"/>
      <c r="C43" s="5058" t="s">
        <v>3704</v>
      </c>
      <c r="D43" s="5059"/>
      <c r="E43" s="734"/>
      <c r="F43" s="1493">
        <f t="shared" ca="1" si="2"/>
        <v>2794.3454534262364</v>
      </c>
      <c r="G43" s="1493">
        <f>SUMIF('CF(Q)'!$3:$3,G$4,'CF(Q)'!44:44)</f>
        <v>0</v>
      </c>
      <c r="H43" s="1493">
        <f>SUMIF('CF(Q)'!$3:$3,H$4,'CF(Q)'!44:44)</f>
        <v>0</v>
      </c>
      <c r="I43" s="1493">
        <f>SUMIF('CF(Q)'!$3:$3,I$4,'CF(Q)'!44:44)</f>
        <v>0</v>
      </c>
      <c r="J43" s="1493">
        <f>SUMIF('CF(Q)'!$3:$3,J$4,'CF(Q)'!44:44)</f>
        <v>0</v>
      </c>
      <c r="K43" s="1493">
        <f ca="1">SUMIF('CF(Q)'!$3:$3,K$4,'CF(Q)'!44:44)</f>
        <v>0</v>
      </c>
      <c r="L43" s="1493">
        <f ca="1">SUMIF('CF(Q)'!$3:$3,L$4,'CF(Q)'!44:44)</f>
        <v>0</v>
      </c>
      <c r="M43" s="1493">
        <f ca="1">SUMIF('CF(Q)'!$3:$3,M$4,'CF(Q)'!44:44)</f>
        <v>0</v>
      </c>
      <c r="N43" s="1493">
        <f ca="1">SUMIF('CF(Q)'!$3:$3,N$4,'CF(Q)'!44:44)</f>
        <v>0</v>
      </c>
      <c r="O43" s="1493">
        <f ca="1">SUMIF('CF(Q)'!$3:$3,O$4,'CF(Q)'!44:44)</f>
        <v>0</v>
      </c>
      <c r="P43" s="1493">
        <f ca="1">SUMIF('CF(Q)'!$3:$3,P$4,'CF(Q)'!44:44)</f>
        <v>0</v>
      </c>
      <c r="Q43" s="1493">
        <f ca="1">SUMIF('CF(Q)'!$3:$3,Q$4,'CF(Q)'!44:44)</f>
        <v>0</v>
      </c>
      <c r="R43" s="1493">
        <f ca="1">SUMIF('CF(Q)'!$3:$3,R$4,'CF(Q)'!44:44)</f>
        <v>0</v>
      </c>
      <c r="S43" s="1493">
        <f ca="1">SUMIF('CF(Q)'!$3:$3,S$4,'CF(Q)'!44:44)</f>
        <v>0</v>
      </c>
      <c r="T43" s="1493">
        <f ca="1">SUMIF('CF(Q)'!$3:$3,T$4,'CF(Q)'!44:44)</f>
        <v>1.585478126567498</v>
      </c>
      <c r="U43" s="1493">
        <f ca="1">SUMIF('CF(Q)'!$3:$3,U$4,'CF(Q)'!44:44)</f>
        <v>30.34879874323374</v>
      </c>
      <c r="V43" s="1493">
        <f ca="1">SUMIF('CF(Q)'!$3:$3,V$4,'CF(Q)'!44:44)</f>
        <v>15.75713685472163</v>
      </c>
      <c r="W43" s="1493">
        <f ca="1">SUMIF('CF(Q)'!$3:$3,W$4,'CF(Q)'!44:44)</f>
        <v>28.642454820594555</v>
      </c>
      <c r="X43" s="1493">
        <f ca="1">SUMIF('CF(Q)'!$3:$3,X$4,'CF(Q)'!44:44)</f>
        <v>25.040784896574287</v>
      </c>
      <c r="Y43" s="1493">
        <f ca="1">SUMIF('CF(Q)'!$3:$3,Y$4,'CF(Q)'!44:44)</f>
        <v>26.608340660995566</v>
      </c>
      <c r="Z43" s="1493">
        <f ca="1">SUMIF('CF(Q)'!$3:$3,Z$4,'CF(Q)'!44:44)</f>
        <v>32.902694762689322</v>
      </c>
      <c r="AA43" s="1493">
        <f ca="1">SUMIF('CF(Q)'!$3:$3,AA$4,'CF(Q)'!44:44)</f>
        <v>32.479099084009526</v>
      </c>
      <c r="AB43" s="1493">
        <f ca="1">SUMIF('CF(Q)'!$3:$3,AB$4,'CF(Q)'!44:44)</f>
        <v>34.050114158243836</v>
      </c>
      <c r="AC43" s="1493">
        <f ca="1">SUMIF('CF(Q)'!$3:$3,AC$4,'CF(Q)'!44:44)</f>
        <v>55.81566854556273</v>
      </c>
      <c r="AD43" s="1493">
        <f ca="1">SUMIF('CF(Q)'!$3:$3,AD$4,'CF(Q)'!44:44)</f>
        <v>57.396316468599899</v>
      </c>
      <c r="AE43" s="1493">
        <f ca="1">SUMIF('CF(Q)'!$3:$3,AE$4,'CF(Q)'!44:44)</f>
        <v>70.930748371729308</v>
      </c>
      <c r="AF43" s="1493">
        <f ca="1">SUMIF('CF(Q)'!$3:$3,AF$4,'CF(Q)'!44:44)</f>
        <v>73.385307651134539</v>
      </c>
      <c r="AG43" s="1493">
        <f ca="1">SUMIF('CF(Q)'!$3:$3,AG$4,'CF(Q)'!44:44)</f>
        <v>85.205111038661286</v>
      </c>
      <c r="AH43" s="1493">
        <f ca="1">SUMIF('CF(Q)'!$3:$3,AH$4,'CF(Q)'!44:44)</f>
        <v>88.072687054561314</v>
      </c>
      <c r="AI43" s="1493">
        <f ca="1">SUMIF('CF(Q)'!$3:$3,AI$4,'CF(Q)'!44:44)</f>
        <v>84.922464029390852</v>
      </c>
      <c r="AJ43" s="1493">
        <f ca="1">SUMIF('CF(Q)'!$3:$3,AJ$4,'CF(Q)'!44:44)</f>
        <v>102.15508025765351</v>
      </c>
      <c r="AK43" s="1493">
        <f ca="1">SUMIF('CF(Q)'!$3:$3,AK$4,'CF(Q)'!44:44)</f>
        <v>108.38100940147186</v>
      </c>
      <c r="AL43" s="1493">
        <f ca="1">SUMIF('CF(Q)'!$3:$3,AL$4,'CF(Q)'!44:44)</f>
        <v>104.95066833200305</v>
      </c>
      <c r="AM43" s="1493">
        <f ca="1">SUMIF('CF(Q)'!$3:$3,AM$4,'CF(Q)'!44:44)</f>
        <v>93.989140875407045</v>
      </c>
      <c r="AN43" s="1493">
        <f ca="1">SUMIF('CF(Q)'!$3:$3,AN$4,'CF(Q)'!44:44)</f>
        <v>61.701739390932381</v>
      </c>
      <c r="AO43" s="1493">
        <f ca="1">SUMIF('CF(Q)'!$3:$3,AO$4,'CF(Q)'!44:44)</f>
        <v>69.934219117380422</v>
      </c>
      <c r="AP43" s="1493">
        <f ca="1">SUMIF('CF(Q)'!$3:$3,AP$4,'CF(Q)'!44:44)</f>
        <v>62.9134537110941</v>
      </c>
      <c r="AQ43" s="1493">
        <f ca="1">SUMIF('CF(Q)'!$3:$3,AQ$4,'CF(Q)'!44:44)</f>
        <v>67.970962248008334</v>
      </c>
      <c r="AR43" s="1493">
        <f ca="1">SUMIF('CF(Q)'!$3:$3,AR$4,'CF(Q)'!44:44)</f>
        <v>76.542876805189607</v>
      </c>
      <c r="AS43" s="1493">
        <f ca="1">SUMIF('CF(Q)'!$3:$3,AS$4,'CF(Q)'!44:44)</f>
        <v>74.124388926964514</v>
      </c>
      <c r="AT43" s="1493">
        <f ca="1">SUMIF('CF(Q)'!$3:$3,AT$4,'CF(Q)'!44:44)</f>
        <v>74.706368267369982</v>
      </c>
      <c r="AU43" s="1493">
        <f ca="1">SUMIF('CF(Q)'!$3:$3,AU$4,'CF(Q)'!44:44)</f>
        <v>86.67281041824134</v>
      </c>
      <c r="AV43" s="1493">
        <f ca="1">SUMIF('CF(Q)'!$3:$3,AV$4,'CF(Q)'!44:44)</f>
        <v>86.953948659286823</v>
      </c>
      <c r="AW43" s="1493">
        <f ca="1">SUMIF('CF(Q)'!$3:$3,AW$4,'CF(Q)'!44:44)</f>
        <v>88.863067239873004</v>
      </c>
      <c r="AX43" s="1493">
        <f ca="1">SUMIF('CF(Q)'!$3:$3,AX$4,'CF(Q)'!44:44)</f>
        <v>96.374178419659287</v>
      </c>
      <c r="AY43" s="1493">
        <f ca="1">SUMIF('CF(Q)'!$3:$3,AY$4,'CF(Q)'!44:44)</f>
        <v>794.96833608843122</v>
      </c>
      <c r="AZ43" s="1493">
        <f>SUMIF('CF(Q)'!$3:$3,AZ$4,'CF(Q)'!44:44)</f>
        <v>0</v>
      </c>
      <c r="BA43" s="1493">
        <f>SUMIF('CF(Q)'!$3:$3,BA$4,'CF(Q)'!44:44)</f>
        <v>0</v>
      </c>
      <c r="BB43" s="1493">
        <f>SUMIF('CF(Q)'!$3:$3,BB$4,'CF(Q)'!44:44)</f>
        <v>0</v>
      </c>
      <c r="BC43" s="1493">
        <f>SUMIF('CF(Q)'!$3:$3,BC$4,'CF(Q)'!44:44)</f>
        <v>0</v>
      </c>
    </row>
    <row r="44" spans="2:55" s="4924" customFormat="1" ht="17.100000000000001" customHeight="1">
      <c r="B44" s="5017" t="s">
        <v>1327</v>
      </c>
      <c r="C44" s="5046"/>
      <c r="D44" s="5047"/>
      <c r="E44" s="1869"/>
      <c r="F44" s="1204">
        <f t="shared" ca="1" si="2"/>
        <v>12.024793651871445</v>
      </c>
      <c r="G44" s="1204">
        <f>SUMIF('CF(Q)'!$3:$3,G$4,'CF(Q)'!47:47)</f>
        <v>0</v>
      </c>
      <c r="H44" s="1204">
        <f>SUMIF('CF(Q)'!$3:$3,H$4,'CF(Q)'!47:47)</f>
        <v>0</v>
      </c>
      <c r="I44" s="1204">
        <f>SUMIF('CF(Q)'!$3:$3,I$4,'CF(Q)'!47:47)</f>
        <v>0</v>
      </c>
      <c r="J44" s="1204">
        <f>SUMIF('CF(Q)'!$3:$3,J$4,'CF(Q)'!47:47)</f>
        <v>0</v>
      </c>
      <c r="K44" s="1204">
        <f>SUMIF('CF(Q)'!$3:$3,K$4,'CF(Q)'!47:47)</f>
        <v>0</v>
      </c>
      <c r="L44" s="1204">
        <f>SUMIF('CF(Q)'!$3:$3,L$4,'CF(Q)'!47:47)</f>
        <v>0</v>
      </c>
      <c r="M44" s="1204">
        <f ca="1">SUMIF('CF(Q)'!$3:$3,M$4,'CF(Q)'!47:47)</f>
        <v>12.024793651871445</v>
      </c>
      <c r="N44" s="1204">
        <f>SUMIF('CF(Q)'!$3:$3,N$4,'CF(Q)'!47:47)</f>
        <v>0</v>
      </c>
      <c r="O44" s="1204">
        <f>SUMIF('CF(Q)'!$3:$3,O$4,'CF(Q)'!47:47)</f>
        <v>0</v>
      </c>
      <c r="P44" s="1204">
        <f>SUMIF('CF(Q)'!$3:$3,P$4,'CF(Q)'!47:47)</f>
        <v>0</v>
      </c>
      <c r="Q44" s="1204">
        <f>SUMIF('CF(Q)'!$3:$3,Q$4,'CF(Q)'!47:47)</f>
        <v>0</v>
      </c>
      <c r="R44" s="1204">
        <f>SUMIF('CF(Q)'!$3:$3,R$4,'CF(Q)'!47:47)</f>
        <v>0</v>
      </c>
      <c r="S44" s="1204">
        <f>SUMIF('CF(Q)'!$3:$3,S$4,'CF(Q)'!47:47)</f>
        <v>0</v>
      </c>
      <c r="T44" s="1204">
        <f>SUMIF('CF(Q)'!$3:$3,T$4,'CF(Q)'!47:47)</f>
        <v>0</v>
      </c>
      <c r="U44" s="1204">
        <f>SUMIF('CF(Q)'!$3:$3,U$4,'CF(Q)'!47:47)</f>
        <v>0</v>
      </c>
      <c r="V44" s="1204">
        <f>SUMIF('CF(Q)'!$3:$3,V$4,'CF(Q)'!47:47)</f>
        <v>0</v>
      </c>
      <c r="W44" s="1204">
        <f>SUMIF('CF(Q)'!$3:$3,W$4,'CF(Q)'!47:47)</f>
        <v>0</v>
      </c>
      <c r="X44" s="1204">
        <f>SUMIF('CF(Q)'!$3:$3,X$4,'CF(Q)'!47:47)</f>
        <v>0</v>
      </c>
      <c r="Y44" s="1204">
        <f>SUMIF('CF(Q)'!$3:$3,Y$4,'CF(Q)'!47:47)</f>
        <v>0</v>
      </c>
      <c r="Z44" s="1204">
        <f>SUMIF('CF(Q)'!$3:$3,Z$4,'CF(Q)'!47:47)</f>
        <v>0</v>
      </c>
      <c r="AA44" s="1204">
        <f>SUMIF('CF(Q)'!$3:$3,AA$4,'CF(Q)'!47:47)</f>
        <v>0</v>
      </c>
      <c r="AB44" s="1204">
        <f>SUMIF('CF(Q)'!$3:$3,AB$4,'CF(Q)'!47:47)</f>
        <v>0</v>
      </c>
      <c r="AC44" s="1204">
        <f>SUMIF('CF(Q)'!$3:$3,AC$4,'CF(Q)'!47:47)</f>
        <v>0</v>
      </c>
      <c r="AD44" s="1204">
        <f>SUMIF('CF(Q)'!$3:$3,AD$4,'CF(Q)'!47:47)</f>
        <v>0</v>
      </c>
      <c r="AE44" s="1204">
        <f>SUMIF('CF(Q)'!$3:$3,AE$4,'CF(Q)'!47:47)</f>
        <v>0</v>
      </c>
      <c r="AF44" s="1204">
        <f>SUMIF('CF(Q)'!$3:$3,AF$4,'CF(Q)'!47:47)</f>
        <v>0</v>
      </c>
      <c r="AG44" s="1204">
        <f>SUMIF('CF(Q)'!$3:$3,AG$4,'CF(Q)'!47:47)</f>
        <v>0</v>
      </c>
      <c r="AH44" s="1204">
        <f>SUMIF('CF(Q)'!$3:$3,AH$4,'CF(Q)'!47:47)</f>
        <v>0</v>
      </c>
      <c r="AI44" s="1204">
        <f>SUMIF('CF(Q)'!$3:$3,AI$4,'CF(Q)'!47:47)</f>
        <v>0</v>
      </c>
      <c r="AJ44" s="1204">
        <f>SUMIF('CF(Q)'!$3:$3,AJ$4,'CF(Q)'!47:47)</f>
        <v>0</v>
      </c>
      <c r="AK44" s="1204">
        <f>SUMIF('CF(Q)'!$3:$3,AK$4,'CF(Q)'!47:47)</f>
        <v>0</v>
      </c>
      <c r="AL44" s="1204">
        <f>SUMIF('CF(Q)'!$3:$3,AL$4,'CF(Q)'!47:47)</f>
        <v>0</v>
      </c>
      <c r="AM44" s="1204">
        <f>SUMIF('CF(Q)'!$3:$3,AM$4,'CF(Q)'!47:47)</f>
        <v>0</v>
      </c>
      <c r="AN44" s="1204">
        <f>SUMIF('CF(Q)'!$3:$3,AN$4,'CF(Q)'!47:47)</f>
        <v>0</v>
      </c>
      <c r="AO44" s="1204">
        <f>SUMIF('CF(Q)'!$3:$3,AO$4,'CF(Q)'!47:47)</f>
        <v>0</v>
      </c>
      <c r="AP44" s="1204">
        <f>SUMIF('CF(Q)'!$3:$3,AP$4,'CF(Q)'!47:47)</f>
        <v>0</v>
      </c>
      <c r="AQ44" s="1204">
        <f>SUMIF('CF(Q)'!$3:$3,AQ$4,'CF(Q)'!47:47)</f>
        <v>0</v>
      </c>
      <c r="AR44" s="1204">
        <f>SUMIF('CF(Q)'!$3:$3,AR$4,'CF(Q)'!47:47)</f>
        <v>0</v>
      </c>
      <c r="AS44" s="1204">
        <f>SUMIF('CF(Q)'!$3:$3,AS$4,'CF(Q)'!47:47)</f>
        <v>0</v>
      </c>
      <c r="AT44" s="1204">
        <f>SUMIF('CF(Q)'!$3:$3,AT$4,'CF(Q)'!47:47)</f>
        <v>0</v>
      </c>
      <c r="AU44" s="1204">
        <f>SUMIF('CF(Q)'!$3:$3,AU$4,'CF(Q)'!47:47)</f>
        <v>0</v>
      </c>
      <c r="AV44" s="1204">
        <f>SUMIF('CF(Q)'!$3:$3,AV$4,'CF(Q)'!47:47)</f>
        <v>0</v>
      </c>
      <c r="AW44" s="1204">
        <f>SUMIF('CF(Q)'!$3:$3,AW$4,'CF(Q)'!47:47)</f>
        <v>0</v>
      </c>
      <c r="AX44" s="1204">
        <f>SUMIF('CF(Q)'!$3:$3,AX$4,'CF(Q)'!47:47)</f>
        <v>0</v>
      </c>
      <c r="AY44" s="1204">
        <f>SUMIF('CF(Q)'!$3:$3,AY$4,'CF(Q)'!47:47)</f>
        <v>0</v>
      </c>
      <c r="AZ44" s="1204">
        <f>SUMIF('CF(Q)'!$3:$3,AZ$4,'CF(Q)'!47:47)</f>
        <v>0</v>
      </c>
      <c r="BA44" s="1204">
        <f>SUMIF('CF(Q)'!$3:$3,BA$4,'CF(Q)'!47:47)</f>
        <v>0</v>
      </c>
      <c r="BB44" s="1204">
        <f>SUMIF('CF(Q)'!$3:$3,BB$4,'CF(Q)'!47:47)</f>
        <v>0</v>
      </c>
      <c r="BC44" s="1204">
        <f>SUMIF('CF(Q)'!$3:$3,BC$4,'CF(Q)'!47:47)</f>
        <v>0</v>
      </c>
    </row>
    <row r="45" spans="2:55" ht="17.100000000000001" customHeight="1">
      <c r="B45" s="720" t="s">
        <v>1328</v>
      </c>
      <c r="C45" s="315"/>
      <c r="D45" s="1259"/>
      <c r="E45" s="738"/>
      <c r="F45" s="1491">
        <f t="shared" ca="1" si="2"/>
        <v>-54.09608449000018</v>
      </c>
      <c r="G45" s="1606">
        <f t="shared" ref="G45:BC45" si="18">SUM(G5,G26,G32,G44)</f>
        <v>18.516135974555738</v>
      </c>
      <c r="H45" s="1606">
        <f t="shared" si="18"/>
        <v>46.127802985354037</v>
      </c>
      <c r="I45" s="1606">
        <f t="shared" si="18"/>
        <v>37.829297772554241</v>
      </c>
      <c r="J45" s="1606">
        <f t="shared" si="18"/>
        <v>42.266074496000016</v>
      </c>
      <c r="K45" s="1606">
        <f t="shared" ca="1" si="18"/>
        <v>-137.09274204990984</v>
      </c>
      <c r="L45" s="1606">
        <f t="shared" ca="1" si="18"/>
        <v>73.171248917158124</v>
      </c>
      <c r="M45" s="1491">
        <f t="shared" ca="1" si="18"/>
        <v>-46.528079549999973</v>
      </c>
      <c r="N45" s="1491">
        <f t="shared" ca="1" si="18"/>
        <v>-7.5680049399999803</v>
      </c>
      <c r="O45" s="1491">
        <f t="shared" ca="1" si="18"/>
        <v>14.926766905465399</v>
      </c>
      <c r="P45" s="1491">
        <f t="shared" ca="1" si="18"/>
        <v>-7.5666813427735349</v>
      </c>
      <c r="Q45" s="1491">
        <f t="shared" ca="1" si="18"/>
        <v>-7.3600855626918928</v>
      </c>
      <c r="R45" s="1491">
        <f t="shared" ca="1" si="18"/>
        <v>0</v>
      </c>
      <c r="S45" s="1491">
        <f t="shared" ca="1" si="18"/>
        <v>21.51723812656747</v>
      </c>
      <c r="T45" s="1491">
        <f t="shared" ca="1" si="18"/>
        <v>23.78038061666615</v>
      </c>
      <c r="U45" s="1491">
        <f t="shared" ca="1" si="18"/>
        <v>-13.606539859806489</v>
      </c>
      <c r="V45" s="1491">
        <f t="shared" ca="1" si="18"/>
        <v>44.010588057143131</v>
      </c>
      <c r="W45" s="1491">
        <f t="shared" ca="1" si="18"/>
        <v>5.5942043132127672</v>
      </c>
      <c r="X45" s="1491">
        <f t="shared" ca="1" si="18"/>
        <v>27.88404462984186</v>
      </c>
      <c r="Y45" s="1491">
        <f t="shared" ca="1" si="18"/>
        <v>64.220291741389929</v>
      </c>
      <c r="Z45" s="1491">
        <f t="shared" ca="1" si="18"/>
        <v>23.108237199699616</v>
      </c>
      <c r="AA45" s="1491">
        <f t="shared" ca="1" si="18"/>
        <v>10.644397691011626</v>
      </c>
      <c r="AB45" s="1491">
        <f t="shared" ca="1" si="18"/>
        <v>9.9292111139840671</v>
      </c>
      <c r="AC45" s="1491">
        <f t="shared" ca="1" si="18"/>
        <v>18.573300981153196</v>
      </c>
      <c r="AD45" s="1491">
        <f t="shared" ca="1" si="18"/>
        <v>-18.872902967554239</v>
      </c>
      <c r="AE45" s="1491">
        <f t="shared" ca="1" si="18"/>
        <v>-102.91852285876452</v>
      </c>
      <c r="AF45" s="1491">
        <f t="shared" ca="1" si="18"/>
        <v>-15.888525355696942</v>
      </c>
      <c r="AG45" s="1491">
        <f t="shared" ca="1" si="18"/>
        <v>-8.1878225664997046</v>
      </c>
      <c r="AH45" s="1491">
        <f t="shared" ca="1" si="18"/>
        <v>-4.8651168329571277</v>
      </c>
      <c r="AI45" s="1491">
        <f t="shared" ca="1" si="18"/>
        <v>17.232616228262671</v>
      </c>
      <c r="AJ45" s="1491">
        <f t="shared" ca="1" si="18"/>
        <v>20.4574643997029</v>
      </c>
      <c r="AK45" s="1491">
        <f t="shared" ca="1" si="18"/>
        <v>20.951991670149937</v>
      </c>
      <c r="AL45" s="1491">
        <f t="shared" ca="1" si="18"/>
        <v>10.315621681851468</v>
      </c>
      <c r="AM45" s="1491">
        <f t="shared" ca="1" si="18"/>
        <v>20.607738041154974</v>
      </c>
      <c r="AN45" s="1491">
        <f t="shared" ca="1" si="18"/>
        <v>63.08411713034095</v>
      </c>
      <c r="AO45" s="1491">
        <f t="shared" ca="1" si="18"/>
        <v>28.469503960205785</v>
      </c>
      <c r="AP45" s="1491">
        <f t="shared" ca="1" si="18"/>
        <v>74.262432673721463</v>
      </c>
      <c r="AQ45" s="1491">
        <f t="shared" ca="1" si="18"/>
        <v>30.78119151036816</v>
      </c>
      <c r="AR45" s="1491">
        <f t="shared" ca="1" si="18"/>
        <v>52.819543055762395</v>
      </c>
      <c r="AS45" s="1491">
        <f t="shared" ca="1" si="18"/>
        <v>67.453731668622936</v>
      </c>
      <c r="AT45" s="1491">
        <f t="shared" ca="1" si="18"/>
        <v>60.813957179237576</v>
      </c>
      <c r="AU45" s="1491">
        <f t="shared" ca="1" si="18"/>
        <v>63.244839693346421</v>
      </c>
      <c r="AV45" s="1491">
        <f t="shared" ca="1" si="18"/>
        <v>56.954341684090082</v>
      </c>
      <c r="AW45" s="1491">
        <f t="shared" ca="1" si="18"/>
        <v>69.364731877259686</v>
      </c>
      <c r="AX45" s="1491">
        <f t="shared" ca="1" si="18"/>
        <v>46.469832799260828</v>
      </c>
      <c r="AY45" s="1491">
        <f t="shared" ca="1" si="18"/>
        <v>-788.20611928272922</v>
      </c>
      <c r="AZ45" s="1491">
        <f t="shared" si="18"/>
        <v>0</v>
      </c>
      <c r="BA45" s="1491">
        <f t="shared" si="18"/>
        <v>0</v>
      </c>
      <c r="BB45" s="1491">
        <f t="shared" si="18"/>
        <v>0</v>
      </c>
      <c r="BC45" s="1491">
        <f t="shared" si="18"/>
        <v>0</v>
      </c>
    </row>
    <row r="46" spans="2:55" ht="17.100000000000001" customHeight="1">
      <c r="B46" s="307" t="s">
        <v>1329</v>
      </c>
      <c r="D46" s="331"/>
      <c r="E46" s="1869"/>
      <c r="F46" s="1204">
        <f>'CF(Q)'!AE49</f>
        <v>54.096084490000003</v>
      </c>
      <c r="G46" s="1609">
        <f>'CF(Q)'!G49</f>
        <v>9.0781182099999995</v>
      </c>
      <c r="H46" s="1609">
        <f>G47*(H$4&lt;=YEAR(Sensitivity!$E$13))</f>
        <v>27.594254184555737</v>
      </c>
      <c r="I46" s="1609">
        <f>H47*(I$4&lt;=YEAR(Sensitivity!$E$13))</f>
        <v>73.722057169909775</v>
      </c>
      <c r="J46" s="1609">
        <f>I47*(J$4&lt;=YEAR(Sensitivity!$E$13))</f>
        <v>111.55135494246402</v>
      </c>
      <c r="K46" s="1609">
        <f>J47*(K$4&lt;=YEAR(Sensitivity!$E$13))</f>
        <v>153.81742943846405</v>
      </c>
      <c r="L46" s="1609">
        <f ca="1">'CF(Q)'!Z51*(L$4&lt;=YEAR(Sensitivity!$E$13))</f>
        <v>16.724687388554166</v>
      </c>
      <c r="M46" s="1204">
        <f>L47*(M$4&lt;=YEAR(Sensitivity!$E$13))</f>
        <v>54.096084490000003</v>
      </c>
      <c r="N46" s="1204">
        <f ca="1">M47*(N$4&lt;=YEAR(Sensitivity!$E$13))</f>
        <v>7.56800494000003</v>
      </c>
      <c r="O46" s="1204">
        <f ca="1">N47*(O$4&lt;=YEAR(Sensitivity!$E$13))</f>
        <v>0</v>
      </c>
      <c r="P46" s="1204">
        <f ca="1">O47*(P$4&lt;=YEAR(Sensitivity!$E$13))</f>
        <v>14.926766905465399</v>
      </c>
      <c r="Q46" s="1204">
        <f ca="1">P47*(Q$4&lt;=YEAR(Sensitivity!$E$13))</f>
        <v>7.3600855626918644</v>
      </c>
      <c r="R46" s="1204">
        <f ca="1">Q47*(R$4&lt;=YEAR(Sensitivity!$E$13))</f>
        <v>0</v>
      </c>
      <c r="S46" s="1204">
        <f ca="1">R47*(S$4&lt;=YEAR(Sensitivity!$E$13))</f>
        <v>0</v>
      </c>
      <c r="T46" s="1204">
        <f ca="1">S47*(T$4&lt;=YEAR(Sensitivity!$E$13))</f>
        <v>21.51723812656747</v>
      </c>
      <c r="U46" s="1204">
        <f ca="1">T47*(U$4&lt;=YEAR(Sensitivity!$E$13))</f>
        <v>45.29761874323362</v>
      </c>
      <c r="V46" s="1204">
        <f ca="1">U47*(V$4&lt;=YEAR(Sensitivity!$E$13))</f>
        <v>31.691078883427132</v>
      </c>
      <c r="W46" s="1204">
        <f ca="1">V47*(W$4&lt;=YEAR(Sensitivity!$E$13))</f>
        <v>75.701666940570263</v>
      </c>
      <c r="X46" s="1204">
        <f ca="1">W47*(X$4&lt;=YEAR(Sensitivity!$E$13))</f>
        <v>81.295871253783034</v>
      </c>
      <c r="Y46" s="1204">
        <f ca="1">X47*(Y$4&lt;=YEAR(Sensitivity!$E$13))</f>
        <v>109.17991588362489</v>
      </c>
      <c r="Z46" s="1204">
        <f ca="1">Y47*(Z$4&lt;=YEAR(Sensitivity!$E$13))</f>
        <v>173.40020762501481</v>
      </c>
      <c r="AA46" s="1204">
        <f ca="1">Z47*(AA$4&lt;=YEAR(Sensitivity!$E$13))</f>
        <v>196.50844482471445</v>
      </c>
      <c r="AB46" s="1204">
        <f ca="1">AA47*(AB$4&lt;=YEAR(Sensitivity!$E$13))</f>
        <v>207.15284251572606</v>
      </c>
      <c r="AC46" s="1204">
        <f ca="1">AB47*(AC$4&lt;=YEAR(Sensitivity!$E$13))</f>
        <v>217.08205362971012</v>
      </c>
      <c r="AD46" s="1204">
        <f ca="1">AC47*(AD$4&lt;=YEAR(Sensitivity!$E$13))</f>
        <v>235.6553546108633</v>
      </c>
      <c r="AE46" s="1204">
        <f ca="1">AD47*(AE$4&lt;=YEAR(Sensitivity!$E$13))</f>
        <v>216.78245164330906</v>
      </c>
      <c r="AF46" s="1204">
        <f ca="1">AE47*(AF$4&lt;=YEAR(Sensitivity!$E$13))</f>
        <v>113.86392878454454</v>
      </c>
      <c r="AG46" s="1204">
        <f ca="1">AF47*(AG$4&lt;=YEAR(Sensitivity!$E$13))</f>
        <v>97.975403428847599</v>
      </c>
      <c r="AH46" s="1204">
        <f ca="1">AG47*(AH$4&lt;=YEAR(Sensitivity!$E$13))</f>
        <v>89.787580862347895</v>
      </c>
      <c r="AI46" s="1204">
        <f ca="1">AH47*(AI$4&lt;=YEAR(Sensitivity!$E$13))</f>
        <v>84.922464029390767</v>
      </c>
      <c r="AJ46" s="1204">
        <f ca="1">AI47*(AJ$4&lt;=YEAR(Sensitivity!$E$13))</f>
        <v>102.15508025765344</v>
      </c>
      <c r="AK46" s="1204">
        <f ca="1">AJ47*(AK$4&lt;=YEAR(Sensitivity!$E$13))</f>
        <v>122.61254465735634</v>
      </c>
      <c r="AL46" s="1204">
        <f ca="1">AK47*(AL$4&lt;=YEAR(Sensitivity!$E$13))</f>
        <v>143.56453632750629</v>
      </c>
      <c r="AM46" s="1204">
        <f ca="1">AL47*(AM$4&lt;=YEAR(Sensitivity!$E$13))</f>
        <v>153.88015800935776</v>
      </c>
      <c r="AN46" s="1204">
        <f ca="1">AM47*(AN$4&lt;=YEAR(Sensitivity!$E$13))</f>
        <v>174.48789605051275</v>
      </c>
      <c r="AO46" s="1204">
        <f ca="1">AN47*(AO$4&lt;=YEAR(Sensitivity!$E$13))</f>
        <v>237.5720131808537</v>
      </c>
      <c r="AP46" s="1204">
        <f ca="1">AO47*(AP$4&lt;=YEAR(Sensitivity!$E$13))</f>
        <v>266.0415171410595</v>
      </c>
      <c r="AQ46" s="1204">
        <f ca="1">AP47*(AQ$4&lt;=YEAR(Sensitivity!$E$13))</f>
        <v>340.30394981478094</v>
      </c>
      <c r="AR46" s="1204">
        <f ca="1">AQ47*(AR$4&lt;=YEAR(Sensitivity!$E$13))</f>
        <v>371.0851413251491</v>
      </c>
      <c r="AS46" s="1204">
        <f ca="1">AR47*(AS$4&lt;=YEAR(Sensitivity!$E$13))</f>
        <v>423.90468438091148</v>
      </c>
      <c r="AT46" s="1204">
        <f ca="1">AS47*(AT$4&lt;=YEAR(Sensitivity!$E$13))</f>
        <v>491.35841604953441</v>
      </c>
      <c r="AU46" s="1204">
        <f ca="1">AT47*(AU$4&lt;=YEAR(Sensitivity!$E$13))</f>
        <v>552.17237322877202</v>
      </c>
      <c r="AV46" s="1204">
        <f ca="1">AU47*(AV$4&lt;=YEAR(Sensitivity!$E$13))</f>
        <v>615.41721292211844</v>
      </c>
      <c r="AW46" s="1204">
        <f ca="1">AV47*(AW$4&lt;=YEAR(Sensitivity!$E$13))</f>
        <v>672.37155460620852</v>
      </c>
      <c r="AX46" s="1204">
        <f ca="1">AW47*(AX$4&lt;=YEAR(Sensitivity!$E$13))</f>
        <v>741.73628648346823</v>
      </c>
      <c r="AY46" s="1204">
        <f ca="1">AX47*(AY$4&lt;=YEAR(Sensitivity!$E$13))</f>
        <v>788.20611928272911</v>
      </c>
      <c r="AZ46" s="1204">
        <f ca="1">AY47*(AZ$4&lt;=YEAR(Sensitivity!$E$13))</f>
        <v>0</v>
      </c>
      <c r="BA46" s="1204">
        <f ca="1">AZ47*(BA$4&lt;=YEAR(Sensitivity!$E$13))</f>
        <v>0</v>
      </c>
      <c r="BB46" s="1204">
        <f ca="1">BA47*(BB$4&lt;=YEAR(Sensitivity!$E$13))</f>
        <v>0</v>
      </c>
      <c r="BC46" s="1204">
        <f ca="1">BB47*(BC$4&lt;=YEAR(Sensitivity!$E$13))</f>
        <v>0</v>
      </c>
    </row>
    <row r="47" spans="2:55" s="1871" customFormat="1" ht="17.100000000000001" customHeight="1">
      <c r="B47" s="1872" t="s">
        <v>1330</v>
      </c>
      <c r="C47" s="1873"/>
      <c r="D47" s="1874"/>
      <c r="E47" s="1875"/>
      <c r="F47" s="1876">
        <f ca="1">SUM(M47:BC47)</f>
        <v>8224.5384629118053</v>
      </c>
      <c r="G47" s="1877">
        <f t="shared" ref="G47:BC47" si="19">IF(ABS(G45+G46)&lt;0.00001,0,G45+G46)</f>
        <v>27.594254184555737</v>
      </c>
      <c r="H47" s="1877">
        <f t="shared" si="19"/>
        <v>73.722057169909775</v>
      </c>
      <c r="I47" s="1877">
        <f t="shared" si="19"/>
        <v>111.55135494246402</v>
      </c>
      <c r="J47" s="1877">
        <f t="shared" si="19"/>
        <v>153.81742943846405</v>
      </c>
      <c r="K47" s="1877">
        <f t="shared" ca="1" si="19"/>
        <v>16.724687388554202</v>
      </c>
      <c r="L47" s="1877">
        <f>BS!K67</f>
        <v>54.096084490000003</v>
      </c>
      <c r="M47" s="1878">
        <f t="shared" ca="1" si="19"/>
        <v>7.56800494000003</v>
      </c>
      <c r="N47" s="4622">
        <f ca="1">IF(ABS(N45+N46)&lt;0.00001,0,N45+N46)</f>
        <v>0</v>
      </c>
      <c r="O47" s="1876">
        <f t="shared" ca="1" si="19"/>
        <v>14.926766905465399</v>
      </c>
      <c r="P47" s="4622">
        <f t="shared" ca="1" si="19"/>
        <v>7.3600855626918644</v>
      </c>
      <c r="Q47" s="4622">
        <f t="shared" ca="1" si="19"/>
        <v>0</v>
      </c>
      <c r="R47" s="4622">
        <f t="shared" ca="1" si="19"/>
        <v>0</v>
      </c>
      <c r="S47" s="4622">
        <f t="shared" ca="1" si="19"/>
        <v>21.51723812656747</v>
      </c>
      <c r="T47" s="4622">
        <f t="shared" ca="1" si="19"/>
        <v>45.29761874323362</v>
      </c>
      <c r="U47" s="1876">
        <f t="shared" ca="1" si="19"/>
        <v>31.691078883427132</v>
      </c>
      <c r="V47" s="1876">
        <f t="shared" ca="1" si="19"/>
        <v>75.701666940570263</v>
      </c>
      <c r="W47" s="1876">
        <f t="shared" ca="1" si="19"/>
        <v>81.295871253783034</v>
      </c>
      <c r="X47" s="1876">
        <f t="shared" ca="1" si="19"/>
        <v>109.17991588362489</v>
      </c>
      <c r="Y47" s="1876">
        <f t="shared" ca="1" si="19"/>
        <v>173.40020762501481</v>
      </c>
      <c r="Z47" s="1876">
        <f t="shared" ca="1" si="19"/>
        <v>196.50844482471445</v>
      </c>
      <c r="AA47" s="1876">
        <f t="shared" ca="1" si="19"/>
        <v>207.15284251572606</v>
      </c>
      <c r="AB47" s="1876">
        <f t="shared" ca="1" si="19"/>
        <v>217.08205362971012</v>
      </c>
      <c r="AC47" s="1876">
        <f t="shared" ca="1" si="19"/>
        <v>235.6553546108633</v>
      </c>
      <c r="AD47" s="1876">
        <f t="shared" ca="1" si="19"/>
        <v>216.78245164330906</v>
      </c>
      <c r="AE47" s="1876">
        <f t="shared" ca="1" si="19"/>
        <v>113.86392878454454</v>
      </c>
      <c r="AF47" s="1876">
        <f t="shared" ca="1" si="19"/>
        <v>97.975403428847599</v>
      </c>
      <c r="AG47" s="1876">
        <f t="shared" ca="1" si="19"/>
        <v>89.787580862347895</v>
      </c>
      <c r="AH47" s="1876">
        <f t="shared" ca="1" si="19"/>
        <v>84.922464029390767</v>
      </c>
      <c r="AI47" s="1876">
        <f t="shared" ca="1" si="19"/>
        <v>102.15508025765344</v>
      </c>
      <c r="AJ47" s="1876">
        <f t="shared" ca="1" si="19"/>
        <v>122.61254465735634</v>
      </c>
      <c r="AK47" s="1876">
        <f t="shared" ca="1" si="19"/>
        <v>143.56453632750629</v>
      </c>
      <c r="AL47" s="1876">
        <f t="shared" ca="1" si="19"/>
        <v>153.88015800935776</v>
      </c>
      <c r="AM47" s="1876">
        <f t="shared" ca="1" si="19"/>
        <v>174.48789605051275</v>
      </c>
      <c r="AN47" s="1876">
        <f t="shared" ca="1" si="19"/>
        <v>237.5720131808537</v>
      </c>
      <c r="AO47" s="1876">
        <f t="shared" ca="1" si="19"/>
        <v>266.0415171410595</v>
      </c>
      <c r="AP47" s="1876">
        <f t="shared" ca="1" si="19"/>
        <v>340.30394981478094</v>
      </c>
      <c r="AQ47" s="1876">
        <f t="shared" ca="1" si="19"/>
        <v>371.0851413251491</v>
      </c>
      <c r="AR47" s="1876">
        <f t="shared" ca="1" si="19"/>
        <v>423.90468438091148</v>
      </c>
      <c r="AS47" s="1876">
        <f t="shared" ca="1" si="19"/>
        <v>491.35841604953441</v>
      </c>
      <c r="AT47" s="1876">
        <f t="shared" ca="1" si="19"/>
        <v>552.17237322877202</v>
      </c>
      <c r="AU47" s="1876">
        <f t="shared" ca="1" si="19"/>
        <v>615.41721292211844</v>
      </c>
      <c r="AV47" s="1876">
        <f t="shared" ca="1" si="19"/>
        <v>672.37155460620852</v>
      </c>
      <c r="AW47" s="1876">
        <f t="shared" ca="1" si="19"/>
        <v>741.73628648346823</v>
      </c>
      <c r="AX47" s="1876">
        <f t="shared" ca="1" si="19"/>
        <v>788.20611928272911</v>
      </c>
      <c r="AY47" s="4622">
        <f t="shared" ca="1" si="19"/>
        <v>0</v>
      </c>
      <c r="AZ47" s="1876">
        <f t="shared" ca="1" si="19"/>
        <v>0</v>
      </c>
      <c r="BA47" s="1876">
        <f t="shared" ca="1" si="19"/>
        <v>0</v>
      </c>
      <c r="BB47" s="1876">
        <f t="shared" ca="1" si="19"/>
        <v>0</v>
      </c>
      <c r="BC47" s="1876">
        <f t="shared" ca="1" si="19"/>
        <v>0</v>
      </c>
    </row>
    <row r="48" spans="2:55" ht="17.100000000000001" customHeight="1">
      <c r="B48" s="720" t="s">
        <v>3705</v>
      </c>
      <c r="C48" s="315"/>
      <c r="D48" s="1259"/>
      <c r="E48" s="738"/>
      <c r="F48" s="1700">
        <f ca="1">MIN(M48:BC48)</f>
        <v>1.3735820263812935</v>
      </c>
      <c r="G48" s="1699">
        <f t="shared" ref="G48:L48" si="20">IF(SUM(G21:G21)&gt;0.1,SUM(G5,G21:G22,G15:G16,G44,G18:G20)/SUM(G21,G40),"")</f>
        <v>2.1662156715636409</v>
      </c>
      <c r="H48" s="1699">
        <f t="shared" si="20"/>
        <v>2.6093833298210063</v>
      </c>
      <c r="I48" s="1699">
        <f t="shared" si="20"/>
        <v>2.1601007741534146</v>
      </c>
      <c r="J48" s="1699">
        <f t="shared" si="20"/>
        <v>2.2210489081911509</v>
      </c>
      <c r="K48" s="1699">
        <f t="shared" ca="1" si="20"/>
        <v>1.4272039887706607</v>
      </c>
      <c r="L48" s="4688">
        <f t="shared" ca="1" si="20"/>
        <v>2.5326680277842399</v>
      </c>
      <c r="M48" s="1700">
        <f ca="1">IF(SUM(M21:M21)&gt;0.1,SUM(M5,M21:M22,M15:M16,M44,M18:M20)/SUM(M21,M40),"")</f>
        <v>1.5881199774157337</v>
      </c>
      <c r="N48" s="1700">
        <f t="shared" ref="N48:BC48" ca="1" si="21">IF(SUM(N21:N21)&gt;0.1,SUM(N5,N21:N22,N15:N16,N44,N18:N20)/SUM(N21,N40),"")</f>
        <v>1.5727842086829662</v>
      </c>
      <c r="O48" s="1700">
        <f t="shared" ca="1" si="21"/>
        <v>2.1820473062767372</v>
      </c>
      <c r="P48" s="1700">
        <f t="shared" ca="1" si="21"/>
        <v>2.0094375132625144</v>
      </c>
      <c r="Q48" s="1700">
        <f t="shared" ca="1" si="21"/>
        <v>1.3735820263812935</v>
      </c>
      <c r="R48" s="1700">
        <f t="shared" ca="1" si="21"/>
        <v>1.8178923974804437</v>
      </c>
      <c r="S48" s="1700">
        <f t="shared" ca="1" si="21"/>
        <v>7.0181792893274988</v>
      </c>
      <c r="T48" s="1700">
        <f t="shared" ca="1" si="21"/>
        <v>7.261227535274859</v>
      </c>
      <c r="U48" s="1700">
        <f t="shared" ca="1" si="21"/>
        <v>10.301621284739729</v>
      </c>
      <c r="V48" s="1700" t="str">
        <f t="shared" ca="1" si="21"/>
        <v/>
      </c>
      <c r="W48" s="1700" t="str">
        <f t="shared" ca="1" si="21"/>
        <v/>
      </c>
      <c r="X48" s="1700" t="str">
        <f t="shared" ca="1" si="21"/>
        <v/>
      </c>
      <c r="Y48" s="1700" t="str">
        <f t="shared" ca="1" si="21"/>
        <v/>
      </c>
      <c r="Z48" s="1700" t="str">
        <f t="shared" ca="1" si="21"/>
        <v/>
      </c>
      <c r="AA48" s="1700" t="str">
        <f t="shared" ca="1" si="21"/>
        <v/>
      </c>
      <c r="AB48" s="1700" t="str">
        <f t="shared" ca="1" si="21"/>
        <v/>
      </c>
      <c r="AC48" s="1700" t="str">
        <f t="shared" ca="1" si="21"/>
        <v/>
      </c>
      <c r="AD48" s="1700" t="str">
        <f t="shared" ca="1" si="21"/>
        <v/>
      </c>
      <c r="AE48" s="1700" t="str">
        <f t="shared" ca="1" si="21"/>
        <v/>
      </c>
      <c r="AF48" s="1700" t="str">
        <f t="shared" ca="1" si="21"/>
        <v/>
      </c>
      <c r="AG48" s="1700" t="str">
        <f t="shared" ca="1" si="21"/>
        <v/>
      </c>
      <c r="AH48" s="1700" t="str">
        <f t="shared" ca="1" si="21"/>
        <v/>
      </c>
      <c r="AI48" s="1700" t="str">
        <f t="shared" ca="1" si="21"/>
        <v/>
      </c>
      <c r="AJ48" s="1700" t="str">
        <f t="shared" ca="1" si="21"/>
        <v/>
      </c>
      <c r="AK48" s="1700" t="str">
        <f t="shared" ca="1" si="21"/>
        <v/>
      </c>
      <c r="AL48" s="1700" t="str">
        <f t="shared" ca="1" si="21"/>
        <v/>
      </c>
      <c r="AM48" s="1700" t="str">
        <f t="shared" ca="1" si="21"/>
        <v/>
      </c>
      <c r="AN48" s="1700" t="str">
        <f t="shared" ca="1" si="21"/>
        <v/>
      </c>
      <c r="AO48" s="1700" t="str">
        <f t="shared" ca="1" si="21"/>
        <v/>
      </c>
      <c r="AP48" s="1700" t="str">
        <f t="shared" ca="1" si="21"/>
        <v/>
      </c>
      <c r="AQ48" s="1700" t="str">
        <f t="shared" ca="1" si="21"/>
        <v/>
      </c>
      <c r="AR48" s="1700" t="str">
        <f t="shared" ca="1" si="21"/>
        <v/>
      </c>
      <c r="AS48" s="1700" t="str">
        <f t="shared" ca="1" si="21"/>
        <v/>
      </c>
      <c r="AT48" s="1700" t="str">
        <f t="shared" ca="1" si="21"/>
        <v/>
      </c>
      <c r="AU48" s="1700" t="str">
        <f t="shared" ca="1" si="21"/>
        <v/>
      </c>
      <c r="AV48" s="1700" t="str">
        <f t="shared" ca="1" si="21"/>
        <v/>
      </c>
      <c r="AW48" s="1700" t="str">
        <f t="shared" ca="1" si="21"/>
        <v/>
      </c>
      <c r="AX48" s="1700" t="str">
        <f t="shared" ca="1" si="21"/>
        <v/>
      </c>
      <c r="AY48" s="1700" t="str">
        <f t="shared" ca="1" si="21"/>
        <v/>
      </c>
      <c r="AZ48" s="1700" t="str">
        <f t="shared" si="21"/>
        <v/>
      </c>
      <c r="BA48" s="1700" t="str">
        <f t="shared" si="21"/>
        <v/>
      </c>
      <c r="BB48" s="1700" t="str">
        <f t="shared" si="21"/>
        <v/>
      </c>
      <c r="BC48" s="1700" t="str">
        <f t="shared" si="21"/>
        <v/>
      </c>
    </row>
    <row r="49" spans="1:202" ht="17.100000000000001" customHeight="1">
      <c r="B49" s="952" t="s">
        <v>3706</v>
      </c>
      <c r="C49" s="707"/>
      <c r="D49" s="1238"/>
      <c r="E49" s="734"/>
      <c r="F49" s="1707">
        <f ca="1">MIN(M49:BC49)</f>
        <v>1.4057266829396537</v>
      </c>
      <c r="G49" s="1879">
        <f t="shared" ref="G49:L49" si="22">IF(SUM(G21:G21)&gt;0.1,SUM(G5,G21:G22,G15:G16,G44,G46,G18:G20)/SUM(G21,G40),"")</f>
        <v>2.2266359356415171</v>
      </c>
      <c r="H49" s="1879">
        <f t="shared" si="22"/>
        <v>2.7420369802138436</v>
      </c>
      <c r="I49" s="1879">
        <f t="shared" si="22"/>
        <v>2.4946972210592255</v>
      </c>
      <c r="J49" s="1879">
        <f t="shared" si="22"/>
        <v>2.7393407059602199</v>
      </c>
      <c r="K49" s="1879">
        <f t="shared" ca="1" si="22"/>
        <v>2.2196904524657479</v>
      </c>
      <c r="L49" s="4689">
        <f t="shared" ca="1" si="22"/>
        <v>2.6121279219203206</v>
      </c>
      <c r="M49" s="1707">
        <f ca="1">IF(SUM(M21:M21)&gt;0.1,SUM(M5,M21:M22,M15:M16,M44,M46,M18:M20)/SUM(M21,M40),"")</f>
        <v>1.8376083813756545</v>
      </c>
      <c r="N49" s="1707">
        <f t="shared" ref="N49:BC49" ca="1" si="23">IF(SUM(N21:N21)&gt;0.1,SUM(N5,N21:N22,N15:N16,N44,N46,N18:N20)/SUM(N21,N40),"")</f>
        <v>1.6109090671773765</v>
      </c>
      <c r="O49" s="1707">
        <f t="shared" ca="1" si="23"/>
        <v>2.1820473062767372</v>
      </c>
      <c r="P49" s="1707">
        <f t="shared" ca="1" si="23"/>
        <v>2.0873638094812574</v>
      </c>
      <c r="Q49" s="1707">
        <f t="shared" ca="1" si="23"/>
        <v>1.4057266829396537</v>
      </c>
      <c r="R49" s="1707">
        <f t="shared" ca="1" si="23"/>
        <v>1.8178923974804437</v>
      </c>
      <c r="S49" s="1707">
        <f t="shared" ca="1" si="23"/>
        <v>7.0181792893274988</v>
      </c>
      <c r="T49" s="1707">
        <f t="shared" ca="1" si="23"/>
        <v>7.7698797194719909</v>
      </c>
      <c r="U49" s="1707">
        <f t="shared" ca="1" si="23"/>
        <v>11.783737160756189</v>
      </c>
      <c r="V49" s="1707" t="str">
        <f t="shared" ca="1" si="23"/>
        <v/>
      </c>
      <c r="W49" s="1707" t="str">
        <f t="shared" ca="1" si="23"/>
        <v/>
      </c>
      <c r="X49" s="1707" t="str">
        <f t="shared" ca="1" si="23"/>
        <v/>
      </c>
      <c r="Y49" s="1707" t="str">
        <f t="shared" ca="1" si="23"/>
        <v/>
      </c>
      <c r="Z49" s="1707" t="str">
        <f t="shared" ca="1" si="23"/>
        <v/>
      </c>
      <c r="AA49" s="1707" t="str">
        <f t="shared" ca="1" si="23"/>
        <v/>
      </c>
      <c r="AB49" s="1707" t="str">
        <f t="shared" ca="1" si="23"/>
        <v/>
      </c>
      <c r="AC49" s="1707" t="str">
        <f t="shared" ca="1" si="23"/>
        <v/>
      </c>
      <c r="AD49" s="1707" t="str">
        <f t="shared" ca="1" si="23"/>
        <v/>
      </c>
      <c r="AE49" s="1707" t="str">
        <f t="shared" ca="1" si="23"/>
        <v/>
      </c>
      <c r="AF49" s="1707" t="str">
        <f t="shared" ca="1" si="23"/>
        <v/>
      </c>
      <c r="AG49" s="1707" t="str">
        <f t="shared" ca="1" si="23"/>
        <v/>
      </c>
      <c r="AH49" s="1707" t="str">
        <f t="shared" ca="1" si="23"/>
        <v/>
      </c>
      <c r="AI49" s="1707" t="str">
        <f t="shared" ca="1" si="23"/>
        <v/>
      </c>
      <c r="AJ49" s="1707" t="str">
        <f t="shared" ca="1" si="23"/>
        <v/>
      </c>
      <c r="AK49" s="1707" t="str">
        <f t="shared" ca="1" si="23"/>
        <v/>
      </c>
      <c r="AL49" s="1707" t="str">
        <f t="shared" ca="1" si="23"/>
        <v/>
      </c>
      <c r="AM49" s="1707" t="str">
        <f t="shared" ca="1" si="23"/>
        <v/>
      </c>
      <c r="AN49" s="1707" t="str">
        <f t="shared" ca="1" si="23"/>
        <v/>
      </c>
      <c r="AO49" s="1707" t="str">
        <f t="shared" ca="1" si="23"/>
        <v/>
      </c>
      <c r="AP49" s="1707" t="str">
        <f t="shared" ca="1" si="23"/>
        <v/>
      </c>
      <c r="AQ49" s="1707" t="str">
        <f t="shared" ca="1" si="23"/>
        <v/>
      </c>
      <c r="AR49" s="1707" t="str">
        <f t="shared" ca="1" si="23"/>
        <v/>
      </c>
      <c r="AS49" s="1707" t="str">
        <f t="shared" ca="1" si="23"/>
        <v/>
      </c>
      <c r="AT49" s="1707" t="str">
        <f t="shared" ca="1" si="23"/>
        <v/>
      </c>
      <c r="AU49" s="1707" t="str">
        <f t="shared" ca="1" si="23"/>
        <v/>
      </c>
      <c r="AV49" s="1707" t="str">
        <f t="shared" ca="1" si="23"/>
        <v/>
      </c>
      <c r="AW49" s="1707" t="str">
        <f t="shared" ca="1" si="23"/>
        <v/>
      </c>
      <c r="AX49" s="1707" t="str">
        <f t="shared" ca="1" si="23"/>
        <v/>
      </c>
      <c r="AY49" s="1707" t="str">
        <f t="shared" ca="1" si="23"/>
        <v/>
      </c>
      <c r="AZ49" s="1707" t="str">
        <f t="shared" si="23"/>
        <v/>
      </c>
      <c r="BA49" s="1707" t="str">
        <f t="shared" si="23"/>
        <v/>
      </c>
      <c r="BB49" s="1707" t="str">
        <f t="shared" si="23"/>
        <v/>
      </c>
      <c r="BC49" s="1707" t="str">
        <f t="shared" si="23"/>
        <v/>
      </c>
    </row>
    <row r="50" spans="1:202" ht="17.100000000000001" customHeight="1">
      <c r="B50" s="952" t="s">
        <v>3707</v>
      </c>
      <c r="C50" s="707"/>
      <c r="D50" s="1238"/>
      <c r="E50" s="734"/>
      <c r="F50" s="1707">
        <f ca="1">MIN(M50:BC50)</f>
        <v>1.4057266829396537</v>
      </c>
      <c r="G50" s="1879">
        <f>IF(SUM(G21:G21)&gt;0.1,SUM(G5,G21:G22,G15:G16,G44,G46,G18:G20,BS!E11)/SUM(G21,G40),"")</f>
        <v>2.2266359356415171</v>
      </c>
      <c r="H50" s="1879">
        <f>IF(SUM(H21:H21)&gt;0.1,SUM(H5,H21:H22,H15:H16,H44,H46,H18:H20,BS!F11)/SUM(H21,H40),"")</f>
        <v>2.7420369802138436</v>
      </c>
      <c r="I50" s="1879">
        <f>IF(SUM(I21:I21)&gt;0.1,SUM(I5,I21:I22,I15:I16,I44,I46,I18:I20,BS!G11)/SUM(I21,I40),"")</f>
        <v>2.4946972210592255</v>
      </c>
      <c r="J50" s="1879">
        <f>IF(SUM(J21:J21)&gt;0.1,SUM(J5,J21:J22,J15:J16,J44,J46,J18:J20,BS!H11)/SUM(J21,J40),"")</f>
        <v>2.7393407059602199</v>
      </c>
      <c r="K50" s="1879">
        <f ca="1">IF(SUM(K21:K21)&gt;0.1,SUM(K5,K21:K22,K15:K16,K44,K46,K18:K20,BS!I11)/SUM(K21,K40),"")</f>
        <v>2.2196904524657479</v>
      </c>
      <c r="L50" s="4689">
        <f ca="1">IF(SUM(L21:L21)&gt;0.1,SUM(L5,L21:L22,L15:L16,L44,L46,L18:L20,BS!J11)/SUM(L21,L40),"")</f>
        <v>2.6121279219203206</v>
      </c>
      <c r="M50" s="1707">
        <f ca="1">IF(SUM(M21:M21)&gt;0.1,SUM(M5,M21:M22,M15:M16,M44,M46,M18:M20,BS!K11)/SUM(M21,M40),"")</f>
        <v>1.8376083813756545</v>
      </c>
      <c r="N50" s="1707">
        <f ca="1">IF(SUM(N21:N21)&gt;0.1,SUM(N5,N21:N22,N15:N16,N44,N46,N18:N20,BS!L11)/SUM(N21,N40),"")</f>
        <v>1.6109090671773765</v>
      </c>
      <c r="O50" s="1707">
        <f ca="1">IF(SUM(O21:O21)&gt;0.1,SUM(O5,O21:O22,O15:O16,O44,O46,O18:O20,BS!M11)/SUM(O21,O40),"")</f>
        <v>2.1820473062767372</v>
      </c>
      <c r="P50" s="1707">
        <f ca="1">IF(SUM(P21:P21)&gt;0.1,SUM(P5,P21:P22,P15:P16,P44,P46,P18:P20,BS!N11)/SUM(P21,P40),"")</f>
        <v>2.0873638094812574</v>
      </c>
      <c r="Q50" s="1707">
        <f ca="1">IF(SUM(Q21:Q21)&gt;0.1,SUM(Q5,Q21:Q22,Q15:Q16,Q44,Q46,Q18:Q20,BS!O11)/SUM(Q21,Q40),"")</f>
        <v>1.4057266829396537</v>
      </c>
      <c r="R50" s="1707">
        <f ca="1">IF(SUM(R21:R21)&gt;0.1,SUM(R5,R21:R22,R15:R16,R44,R46,R18:R20,BS!P11)/SUM(R21,R40),"")</f>
        <v>1.8178923974804437</v>
      </c>
      <c r="S50" s="1707">
        <f ca="1">IF(SUM(S21:S21)&gt;0.1,SUM(S5,S21:S22,S15:S16,S44,S46,S18:S20,BS!Q11)/SUM(S21,S40),"")</f>
        <v>7.0181792893274988</v>
      </c>
      <c r="T50" s="1707">
        <f ca="1">IF(SUM(T21:T21)&gt;0.1,SUM(T5,T21:T22,T15:T16,T44,T46,T18:T20,BS!R11)/SUM(T21,T40),"")</f>
        <v>7.7698797194719909</v>
      </c>
      <c r="U50" s="1707">
        <f ca="1">IF(SUM(U21:U21)&gt;0.1,SUM(U5,U21:U22,U15:U16,U44,U46,U18:U20,BS!S11)/SUM(U21,U40),"")</f>
        <v>11.783737160756189</v>
      </c>
      <c r="V50" s="1707" t="str">
        <f ca="1">IF(SUM(V21:V21)&gt;0.1,SUM(V5,V21:V22,V15:V16,V44,V46,V18:V20,BS!T11)/SUM(V21,V40),"")</f>
        <v/>
      </c>
      <c r="W50" s="1707" t="str">
        <f ca="1">IF(SUM(W21:W21)&gt;0.1,SUM(W5,W21:W22,W15:W16,W44,W46,W18:W20,BS!U11)/SUM(W21,W40),"")</f>
        <v/>
      </c>
      <c r="X50" s="1707" t="str">
        <f ca="1">IF(SUM(X21:X21)&gt;0.1,SUM(X5,X21:X22,X15:X16,X44,X46,X18:X20,BS!V11)/SUM(X21,X40),"")</f>
        <v/>
      </c>
      <c r="Y50" s="1707" t="str">
        <f ca="1">IF(SUM(Y21:Y21)&gt;0.1,SUM(Y5,Y21:Y22,Y15:Y16,Y44,Y46,Y18:Y20,BS!W11)/SUM(Y21,Y40),"")</f>
        <v/>
      </c>
      <c r="Z50" s="1707" t="str">
        <f ca="1">IF(SUM(Z21:Z21)&gt;0.1,SUM(Z5,Z21:Z22,Z15:Z16,Z44,Z46,Z18:Z20,BS!X11)/SUM(Z21,Z40),"")</f>
        <v/>
      </c>
      <c r="AA50" s="1707" t="str">
        <f ca="1">IF(SUM(AA21:AA21)&gt;0.1,SUM(AA5,AA21:AA22,AA15:AA16,AA44,AA46,AA18:AA20,BS!Y11)/SUM(AA21,AA40),"")</f>
        <v/>
      </c>
      <c r="AB50" s="1707" t="str">
        <f ca="1">IF(SUM(AB21:AB21)&gt;0.1,SUM(AB5,AB21:AB22,AB15:AB16,AB44,AB46,AB18:AB20,BS!Z11)/SUM(AB21,AB40),"")</f>
        <v/>
      </c>
      <c r="AC50" s="1707" t="str">
        <f ca="1">IF(SUM(AC21:AC21)&gt;0.1,SUM(AC5,AC21:AC22,AC15:AC16,AC44,AC46,AC18:AC20,BS!AA11)/SUM(AC21,AC40),"")</f>
        <v/>
      </c>
      <c r="AD50" s="1707" t="str">
        <f ca="1">IF(SUM(AD21:AD21)&gt;0.1,SUM(AD5,AD21:AD22,AD15:AD16,AD44,AD46,AD18:AD20,BS!AB11)/SUM(AD21,AD40),"")</f>
        <v/>
      </c>
      <c r="AE50" s="1707" t="str">
        <f ca="1">IF(SUM(AE21:AE21)&gt;0.1,SUM(AE5,AE21:AE22,AE15:AE16,AE44,AE46,AE18:AE20,BS!AC11)/SUM(AE21,AE40),"")</f>
        <v/>
      </c>
      <c r="AF50" s="1707" t="str">
        <f ca="1">IF(SUM(AF21:AF21)&gt;0.1,SUM(AF5,AF21:AF22,AF15:AF16,AF44,AF46,AF18:AF20,BS!AD11)/SUM(AF21,AF40),"")</f>
        <v/>
      </c>
      <c r="AG50" s="1707" t="str">
        <f ca="1">IF(SUM(AG21:AG21)&gt;0.1,SUM(AG5,AG21:AG22,AG15:AG16,AG44,AG46,AG18:AG20,BS!AE11)/SUM(AG21,AG40),"")</f>
        <v/>
      </c>
      <c r="AH50" s="1707" t="str">
        <f ca="1">IF(SUM(AH21:AH21)&gt;0.1,SUM(AH5,AH21:AH22,AH15:AH16,AH44,AH46,AH18:AH20,BS!AF11)/SUM(AH21,AH40),"")</f>
        <v/>
      </c>
      <c r="AI50" s="1707" t="str">
        <f ca="1">IF(SUM(AI21:AI21)&gt;0.1,SUM(AI5,AI21:AI22,AI15:AI16,AI44,AI46,AI18:AI20,BS!AG11)/SUM(AI21,AI40),"")</f>
        <v/>
      </c>
      <c r="AJ50" s="1707" t="str">
        <f ca="1">IF(SUM(AJ21:AJ21)&gt;0.1,SUM(AJ5,AJ21:AJ22,AJ15:AJ16,AJ44,AJ46,AJ18:AJ20,BS!AH11)/SUM(AJ21,AJ40),"")</f>
        <v/>
      </c>
      <c r="AK50" s="1707" t="str">
        <f ca="1">IF(SUM(AK21:AK21)&gt;0.1,SUM(AK5,AK21:AK22,AK15:AK16,AK44,AK46,AK18:AK20,BS!AI11)/SUM(AK21,AK40),"")</f>
        <v/>
      </c>
      <c r="AL50" s="1707" t="str">
        <f ca="1">IF(SUM(AL21:AL21)&gt;0.1,SUM(AL5,AL21:AL22,AL15:AL16,AL44,AL46,AL18:AL20,BS!AJ11)/SUM(AL21,AL40),"")</f>
        <v/>
      </c>
      <c r="AM50" s="1707" t="str">
        <f ca="1">IF(SUM(AM21:AM21)&gt;0.1,SUM(AM5,AM21:AM22,AM15:AM16,AM44,AM46,AM18:AM20,BS!AK11)/SUM(AM21,AM40),"")</f>
        <v/>
      </c>
      <c r="AN50" s="1707" t="str">
        <f ca="1">IF(SUM(AN21:AN21)&gt;0.1,SUM(AN5,AN21:AN22,AN15:AN16,AN44,AN46,AN18:AN20,BS!AL11)/SUM(AN21,AN40),"")</f>
        <v/>
      </c>
      <c r="AO50" s="1707" t="str">
        <f ca="1">IF(SUM(AO21:AO21)&gt;0.1,SUM(AO5,AO21:AO22,AO15:AO16,AO44,AO46,AO18:AO20,BS!AM11)/SUM(AO21,AO40),"")</f>
        <v/>
      </c>
      <c r="AP50" s="1707" t="str">
        <f ca="1">IF(SUM(AP21:AP21)&gt;0.1,SUM(AP5,AP21:AP22,AP15:AP16,AP44,AP46,AP18:AP20,BS!AN11)/SUM(AP21,AP40),"")</f>
        <v/>
      </c>
      <c r="AQ50" s="1707" t="str">
        <f ca="1">IF(SUM(AQ21:AQ21)&gt;0.1,SUM(AQ5,AQ21:AQ22,AQ15:AQ16,AQ44,AQ46,AQ18:AQ20,BS!AO11)/SUM(AQ21,AQ40),"")</f>
        <v/>
      </c>
      <c r="AR50" s="1707" t="str">
        <f ca="1">IF(SUM(AR21:AR21)&gt;0.1,SUM(AR5,AR21:AR22,AR15:AR16,AR44,AR46,AR18:AR20,BS!AP11)/SUM(AR21,AR40),"")</f>
        <v/>
      </c>
      <c r="AS50" s="1707" t="str">
        <f ca="1">IF(SUM(AS21:AS21)&gt;0.1,SUM(AS5,AS21:AS22,AS15:AS16,AS44,AS46,AS18:AS20,BS!AQ11)/SUM(AS21,AS40),"")</f>
        <v/>
      </c>
      <c r="AT50" s="1707" t="str">
        <f ca="1">IF(SUM(AT21:AT21)&gt;0.1,SUM(AT5,AT21:AT22,AT15:AT16,AT44,AT46,AT18:AT20,BS!AR11)/SUM(AT21,AT40),"")</f>
        <v/>
      </c>
      <c r="AU50" s="1707" t="str">
        <f ca="1">IF(SUM(AU21:AU21)&gt;0.1,SUM(AU5,AU21:AU22,AU15:AU16,AU44,AU46,AU18:AU20,BS!AS11)/SUM(AU21,AU40),"")</f>
        <v/>
      </c>
      <c r="AV50" s="1707" t="str">
        <f ca="1">IF(SUM(AV21:AV21)&gt;0.1,SUM(AV5,AV21:AV22,AV15:AV16,AV44,AV46,AV18:AV20,BS!AT11)/SUM(AV21,AV40),"")</f>
        <v/>
      </c>
      <c r="AW50" s="1707" t="str">
        <f ca="1">IF(SUM(AW21:AW21)&gt;0.1,SUM(AW5,AW21:AW22,AW15:AW16,AW44,AW46,AW18:AW20,BS!AU11)/SUM(AW21,AW40),"")</f>
        <v/>
      </c>
      <c r="AX50" s="1707" t="str">
        <f ca="1">IF(SUM(AX21:AX21)&gt;0.1,SUM(AX5,AX21:AX22,AX15:AX16,AX44,AX46,AX18:AX20,BS!AV11)/SUM(AX21,AX40),"")</f>
        <v/>
      </c>
      <c r="AY50" s="1707" t="str">
        <f ca="1">IF(SUM(AY21:AY21)&gt;0.1,SUM(AY5,AY21:AY22,AY15:AY16,AY44,AY46,AY18:AY20,BS!AW11)/SUM(AY21,AY40),"")</f>
        <v/>
      </c>
      <c r="AZ50" s="1707" t="str">
        <f>IF(SUM(AZ21:AZ21)&gt;0.1,SUM(AZ5,AZ21:AZ22,AZ15:AZ16,AZ44,AZ46,AZ18:AZ20,BS!AX11)/SUM(AZ21,AZ40),"")</f>
        <v/>
      </c>
      <c r="BA50" s="1707" t="str">
        <f>IF(SUM(BA21:BA21)&gt;0.1,SUM(BA5,BA21:BA22,BA15:BA16,BA44,BA46,BA18:BA20,BS!AY11)/SUM(BA21,BA40),"")</f>
        <v/>
      </c>
      <c r="BB50" s="1707" t="str">
        <f>IF(SUM(BB21:BB21)&gt;0.1,SUM(BB5,BB21:BB22,BB15:BB16,BB44,BB46,BB18:BB20,BS!AZ11)/SUM(BB21,BB40),"")</f>
        <v/>
      </c>
      <c r="BC50" s="1707" t="str">
        <f>IF(SUM(BC21:BC21)&gt;0.1,SUM(BC5,BC21:BC22,BC15:BC16,BC44,BC46,BC18:BC20,BS!BA11)/SUM(BC21,BC40),"")</f>
        <v/>
      </c>
    </row>
    <row r="51" spans="1:202" ht="17.100000000000001" customHeight="1">
      <c r="B51" s="720" t="s">
        <v>5259</v>
      </c>
      <c r="C51" s="315"/>
      <c r="D51" s="1259"/>
      <c r="E51" s="738"/>
      <c r="F51" s="1700">
        <f ca="1">MIN(M51:BC51)</f>
        <v>0.785414851819903</v>
      </c>
      <c r="G51" s="1699">
        <f t="shared" ref="G51:L51" si="24">IF(SUM(G21:G21)&gt;0.1,SUM(G5,G21:G22,-G30,G44)/SUM(G21,G40),"")</f>
        <v>0.12489685608567401</v>
      </c>
      <c r="H51" s="1699">
        <f t="shared" si="24"/>
        <v>1.2217498400095761</v>
      </c>
      <c r="I51" s="1699">
        <f t="shared" si="24"/>
        <v>1.1716928299283111</v>
      </c>
      <c r="J51" s="1699">
        <f t="shared" si="24"/>
        <v>1.196377352354635</v>
      </c>
      <c r="K51" s="1699">
        <f t="shared" ca="1" si="24"/>
        <v>0.29368119892512023</v>
      </c>
      <c r="L51" s="4688">
        <f t="shared" ca="1" si="24"/>
        <v>1.3476405601901558</v>
      </c>
      <c r="M51" s="1700">
        <f ca="1">IF(SUM(M21:M21)&gt;0.1,SUM(M5,M21:M22,-M30,M44)/SUM(M21,M40),"")</f>
        <v>0.785414851819903</v>
      </c>
      <c r="N51" s="1700">
        <f t="shared" ref="N51:BC51" ca="1" si="25">IF(SUM(N21:N21)&gt;0.1,SUM(N5,N21:N22,-N30,N44)/SUM(N21,N40),"")</f>
        <v>0.96187514150559006</v>
      </c>
      <c r="O51" s="1700">
        <f t="shared" ca="1" si="25"/>
        <v>1.0753950599566462</v>
      </c>
      <c r="P51" s="1700">
        <f t="shared" ca="1" si="25"/>
        <v>0.9604975775769693</v>
      </c>
      <c r="Q51" s="1700">
        <f t="shared" ca="1" si="25"/>
        <v>0.96785534344163926</v>
      </c>
      <c r="R51" s="1700">
        <f t="shared" ca="1" si="25"/>
        <v>1</v>
      </c>
      <c r="S51" s="1700">
        <f t="shared" ca="1" si="25"/>
        <v>1.488182333612444</v>
      </c>
      <c r="T51" s="1700">
        <f t="shared" ca="1" si="25"/>
        <v>1.5996308344913026</v>
      </c>
      <c r="U51" s="1700">
        <f t="shared" ca="1" si="25"/>
        <v>1.5477985019954665</v>
      </c>
      <c r="V51" s="1700" t="str">
        <f t="shared" ca="1" si="25"/>
        <v/>
      </c>
      <c r="W51" s="1700" t="str">
        <f t="shared" ca="1" si="25"/>
        <v/>
      </c>
      <c r="X51" s="1700" t="str">
        <f t="shared" ca="1" si="25"/>
        <v/>
      </c>
      <c r="Y51" s="1700" t="str">
        <f t="shared" ca="1" si="25"/>
        <v/>
      </c>
      <c r="Z51" s="1700" t="str">
        <f t="shared" ca="1" si="25"/>
        <v/>
      </c>
      <c r="AA51" s="1700" t="str">
        <f t="shared" ca="1" si="25"/>
        <v/>
      </c>
      <c r="AB51" s="1700" t="str">
        <f t="shared" ca="1" si="25"/>
        <v/>
      </c>
      <c r="AC51" s="1700" t="str">
        <f t="shared" ca="1" si="25"/>
        <v/>
      </c>
      <c r="AD51" s="1700" t="str">
        <f t="shared" ca="1" si="25"/>
        <v/>
      </c>
      <c r="AE51" s="1700" t="str">
        <f t="shared" ca="1" si="25"/>
        <v/>
      </c>
      <c r="AF51" s="1700" t="str">
        <f t="shared" ca="1" si="25"/>
        <v/>
      </c>
      <c r="AG51" s="1700" t="str">
        <f t="shared" ca="1" si="25"/>
        <v/>
      </c>
      <c r="AH51" s="1700" t="str">
        <f t="shared" ca="1" si="25"/>
        <v/>
      </c>
      <c r="AI51" s="1700" t="str">
        <f t="shared" ca="1" si="25"/>
        <v/>
      </c>
      <c r="AJ51" s="1700" t="str">
        <f t="shared" ca="1" si="25"/>
        <v/>
      </c>
      <c r="AK51" s="1700" t="str">
        <f t="shared" ca="1" si="25"/>
        <v/>
      </c>
      <c r="AL51" s="1700" t="str">
        <f t="shared" ca="1" si="25"/>
        <v/>
      </c>
      <c r="AM51" s="1700" t="str">
        <f t="shared" ca="1" si="25"/>
        <v/>
      </c>
      <c r="AN51" s="1700" t="str">
        <f t="shared" ca="1" si="25"/>
        <v/>
      </c>
      <c r="AO51" s="1700" t="str">
        <f t="shared" ca="1" si="25"/>
        <v/>
      </c>
      <c r="AP51" s="1700" t="str">
        <f t="shared" ca="1" si="25"/>
        <v/>
      </c>
      <c r="AQ51" s="1700" t="str">
        <f t="shared" ca="1" si="25"/>
        <v/>
      </c>
      <c r="AR51" s="1700" t="str">
        <f t="shared" ca="1" si="25"/>
        <v/>
      </c>
      <c r="AS51" s="1700" t="str">
        <f t="shared" ca="1" si="25"/>
        <v/>
      </c>
      <c r="AT51" s="1700" t="str">
        <f t="shared" ca="1" si="25"/>
        <v/>
      </c>
      <c r="AU51" s="1700" t="str">
        <f t="shared" ca="1" si="25"/>
        <v/>
      </c>
      <c r="AV51" s="1700" t="str">
        <f t="shared" ca="1" si="25"/>
        <v/>
      </c>
      <c r="AW51" s="1700" t="str">
        <f t="shared" ca="1" si="25"/>
        <v/>
      </c>
      <c r="AX51" s="1700" t="str">
        <f t="shared" ca="1" si="25"/>
        <v/>
      </c>
      <c r="AY51" s="1700" t="str">
        <f t="shared" ca="1" si="25"/>
        <v/>
      </c>
      <c r="AZ51" s="1700" t="str">
        <f t="shared" si="25"/>
        <v/>
      </c>
      <c r="BA51" s="1700" t="str">
        <f t="shared" si="25"/>
        <v/>
      </c>
      <c r="BB51" s="1700" t="str">
        <f t="shared" si="25"/>
        <v/>
      </c>
      <c r="BC51" s="1700" t="str">
        <f t="shared" si="25"/>
        <v/>
      </c>
    </row>
    <row r="52" spans="1:202" ht="17.100000000000001" customHeight="1">
      <c r="B52" s="952" t="s">
        <v>5258</v>
      </c>
      <c r="C52" s="707"/>
      <c r="D52" s="1238"/>
      <c r="E52" s="734"/>
      <c r="F52" s="1707">
        <f ca="1">MIN(M52:BC52)</f>
        <v>0.99999999999999989</v>
      </c>
      <c r="G52" s="1879">
        <f t="shared" ref="G52:L52" si="26">IF(SUM(G21:G21)&gt;0.1,SUM(G5,G21:G22,-G30,G44,G46)/SUM(G21,G40),"")</f>
        <v>0.18531712016355009</v>
      </c>
      <c r="H52" s="1879">
        <f t="shared" si="26"/>
        <v>1.3544034904024131</v>
      </c>
      <c r="I52" s="1879">
        <f t="shared" si="26"/>
        <v>1.5062892768341216</v>
      </c>
      <c r="J52" s="1879">
        <f t="shared" si="26"/>
        <v>1.7146691501237037</v>
      </c>
      <c r="K52" s="1879">
        <f t="shared" ca="1" si="26"/>
        <v>1.0861676626202075</v>
      </c>
      <c r="L52" s="4689">
        <f t="shared" ca="1" si="26"/>
        <v>1.4271004543262367</v>
      </c>
      <c r="M52" s="1707">
        <f ca="1">IF(SUM(M21:M21)&gt;0.1,SUM(M5,M21:M22,-M30,M44,M46)/SUM(M21,M40),"")</f>
        <v>1.0349032557798234</v>
      </c>
      <c r="N52" s="1707">
        <f t="shared" ref="N52:BC52" ca="1" si="27">IF(SUM(N21:N21)&gt;0.1,SUM(N5,N21:N22,-N30,N44,N46)/SUM(N21,N40),"")</f>
        <v>1.0000000000000002</v>
      </c>
      <c r="O52" s="1707">
        <f t="shared" ca="1" si="27"/>
        <v>1.0753950599566462</v>
      </c>
      <c r="P52" s="1707">
        <f t="shared" ca="1" si="27"/>
        <v>1.0384238737957125</v>
      </c>
      <c r="Q52" s="1707">
        <f t="shared" ca="1" si="27"/>
        <v>0.99999999999999989</v>
      </c>
      <c r="R52" s="1707">
        <f t="shared" ca="1" si="27"/>
        <v>1</v>
      </c>
      <c r="S52" s="1707">
        <f t="shared" ca="1" si="27"/>
        <v>1.488182333612444</v>
      </c>
      <c r="T52" s="1707">
        <f t="shared" ca="1" si="27"/>
        <v>2.1082830186884354</v>
      </c>
      <c r="U52" s="1707">
        <f t="shared" ca="1" si="27"/>
        <v>3.0299143780119264</v>
      </c>
      <c r="V52" s="1707" t="str">
        <f t="shared" ca="1" si="27"/>
        <v/>
      </c>
      <c r="W52" s="1707" t="str">
        <f t="shared" ca="1" si="27"/>
        <v/>
      </c>
      <c r="X52" s="1707" t="str">
        <f t="shared" ca="1" si="27"/>
        <v/>
      </c>
      <c r="Y52" s="1707" t="str">
        <f t="shared" ca="1" si="27"/>
        <v/>
      </c>
      <c r="Z52" s="1707" t="str">
        <f t="shared" ca="1" si="27"/>
        <v/>
      </c>
      <c r="AA52" s="1707" t="str">
        <f t="shared" ca="1" si="27"/>
        <v/>
      </c>
      <c r="AB52" s="1707" t="str">
        <f t="shared" ca="1" si="27"/>
        <v/>
      </c>
      <c r="AC52" s="1707" t="str">
        <f t="shared" ca="1" si="27"/>
        <v/>
      </c>
      <c r="AD52" s="1707" t="str">
        <f t="shared" ca="1" si="27"/>
        <v/>
      </c>
      <c r="AE52" s="1707" t="str">
        <f t="shared" ca="1" si="27"/>
        <v/>
      </c>
      <c r="AF52" s="1707" t="str">
        <f t="shared" ca="1" si="27"/>
        <v/>
      </c>
      <c r="AG52" s="1707" t="str">
        <f t="shared" ca="1" si="27"/>
        <v/>
      </c>
      <c r="AH52" s="1707" t="str">
        <f t="shared" ca="1" si="27"/>
        <v/>
      </c>
      <c r="AI52" s="1707" t="str">
        <f t="shared" ca="1" si="27"/>
        <v/>
      </c>
      <c r="AJ52" s="1707" t="str">
        <f t="shared" ca="1" si="27"/>
        <v/>
      </c>
      <c r="AK52" s="1707" t="str">
        <f t="shared" ca="1" si="27"/>
        <v/>
      </c>
      <c r="AL52" s="1707" t="str">
        <f t="shared" ca="1" si="27"/>
        <v/>
      </c>
      <c r="AM52" s="1707" t="str">
        <f t="shared" ca="1" si="27"/>
        <v/>
      </c>
      <c r="AN52" s="1707" t="str">
        <f t="shared" ca="1" si="27"/>
        <v/>
      </c>
      <c r="AO52" s="1707" t="str">
        <f t="shared" ca="1" si="27"/>
        <v/>
      </c>
      <c r="AP52" s="1707" t="str">
        <f t="shared" ca="1" si="27"/>
        <v/>
      </c>
      <c r="AQ52" s="1707" t="str">
        <f t="shared" ca="1" si="27"/>
        <v/>
      </c>
      <c r="AR52" s="1707" t="str">
        <f t="shared" ca="1" si="27"/>
        <v/>
      </c>
      <c r="AS52" s="1707" t="str">
        <f t="shared" ca="1" si="27"/>
        <v/>
      </c>
      <c r="AT52" s="1707" t="str">
        <f t="shared" ca="1" si="27"/>
        <v/>
      </c>
      <c r="AU52" s="1707" t="str">
        <f t="shared" ca="1" si="27"/>
        <v/>
      </c>
      <c r="AV52" s="1707" t="str">
        <f t="shared" ca="1" si="27"/>
        <v/>
      </c>
      <c r="AW52" s="1707" t="str">
        <f t="shared" ca="1" si="27"/>
        <v/>
      </c>
      <c r="AX52" s="1707" t="str">
        <f t="shared" ca="1" si="27"/>
        <v/>
      </c>
      <c r="AY52" s="1707" t="str">
        <f t="shared" ca="1" si="27"/>
        <v/>
      </c>
      <c r="AZ52" s="1707" t="str">
        <f t="shared" si="27"/>
        <v/>
      </c>
      <c r="BA52" s="1707" t="str">
        <f t="shared" si="27"/>
        <v/>
      </c>
      <c r="BB52" s="1707" t="str">
        <f t="shared" si="27"/>
        <v/>
      </c>
      <c r="BC52" s="1707" t="str">
        <f t="shared" si="27"/>
        <v/>
      </c>
    </row>
    <row r="53" spans="1:202" s="346" customFormat="1" ht="17.100000000000001" customHeight="1">
      <c r="E53" s="1880"/>
      <c r="F53" s="1881">
        <f ca="1">SUM(K53:GH53)</f>
        <v>261.18364680987185</v>
      </c>
      <c r="G53" s="1881"/>
      <c r="H53" s="1881"/>
      <c r="I53" s="1881"/>
      <c r="J53" s="1881"/>
      <c r="K53" s="1882">
        <f>IF(K15&lt;운영비용!G6/10^8,K15-운영비용!G6/10^8,0)</f>
        <v>0</v>
      </c>
      <c r="L53" s="1882"/>
      <c r="M53" s="1882">
        <f ca="1">SUM(M5,M21:M22,M15:M16,M44,M18:M20)</f>
        <v>344.34896017187151</v>
      </c>
      <c r="N53" s="1882"/>
      <c r="O53" s="1882">
        <f ca="1">IF(O15&lt;운영비용!K6/10^8,O15-운영비용!K6/10^8,0)</f>
        <v>0</v>
      </c>
      <c r="P53" s="1882">
        <f ca="1">IF(P15&lt;운영비용!L6/10^8,P15-운영비용!L6/10^8,0)</f>
        <v>0</v>
      </c>
      <c r="Q53" s="1882">
        <f ca="1">IF(Q15&lt;운영비용!M6/10^8,Q15-운영비용!M6/10^8,0)</f>
        <v>-53.838384540618996</v>
      </c>
      <c r="R53" s="1882">
        <f ca="1">IF(R15&lt;운영비용!N6/10^8,R15-운영비용!N6/10^8,0)</f>
        <v>-29.326928821380648</v>
      </c>
      <c r="S53" s="1882">
        <f ca="1">IF(S15&lt;운영비용!O6/10^8,S15-운영비용!O6/10^8,0)</f>
        <v>0</v>
      </c>
      <c r="T53" s="1882">
        <f ca="1">IF(T15&lt;운영비용!P6/10^8,T15-운영비용!P6/10^8,0)</f>
        <v>0</v>
      </c>
      <c r="U53" s="1882">
        <f ca="1">IF(U15&lt;운영비용!Q6/10^8,U15-운영비용!Q6/10^8,0)</f>
        <v>0</v>
      </c>
      <c r="V53" s="1882">
        <f ca="1">IF(V15&lt;운영비용!R6/10^8,V15-운영비용!R6/10^8,0)</f>
        <v>0</v>
      </c>
      <c r="W53" s="1882">
        <f ca="1">IF(W15&lt;운영비용!S6/10^8,W15-운영비용!S6/10^8,0)</f>
        <v>0</v>
      </c>
      <c r="X53" s="1882">
        <f ca="1">IF(X15&lt;운영비용!T6/10^8,X15-운영비용!T6/10^8,0)</f>
        <v>0</v>
      </c>
      <c r="Y53" s="1882">
        <f ca="1">IF(Y15&lt;운영비용!U6/10^8,Y15-운영비용!U6/10^8,0)</f>
        <v>0</v>
      </c>
      <c r="Z53" s="1882">
        <f ca="1">IF(Z15&lt;운영비용!V6/10^8,Z15-운영비용!V6/10^8,0)</f>
        <v>0</v>
      </c>
      <c r="AA53" s="1882">
        <f ca="1">IF(AA15&lt;운영비용!W6/10^8,AA15-운영비용!W6/10^8,0)</f>
        <v>0</v>
      </c>
      <c r="AB53" s="1882">
        <f ca="1">IF(AB15&lt;운영비용!X6/10^8,AB15-운영비용!X6/10^8,0)</f>
        <v>0</v>
      </c>
      <c r="AC53" s="1882">
        <f ca="1">IF(AC15&lt;운영비용!Y6/10^8,AC15-운영비용!Y6/10^8,0)</f>
        <v>0</v>
      </c>
      <c r="AD53" s="1882">
        <f ca="1">IF(AD15&lt;운영비용!Z6/10^8,AD15-운영비용!Z6/10^8,0)</f>
        <v>0</v>
      </c>
      <c r="AE53" s="1882">
        <f ca="1">IF(AE15&lt;운영비용!AA6/10^8,AE15-운영비용!AA6/10^8,0)</f>
        <v>0</v>
      </c>
      <c r="AF53" s="1882">
        <f ca="1">IF(AF15&lt;운영비용!AB6/10^8,AF15-운영비용!AB6/10^8,0)</f>
        <v>0</v>
      </c>
      <c r="AG53" s="1882">
        <f ca="1">IF(AG15&lt;운영비용!AC6/10^8,AG15-운영비용!AC6/10^8,0)</f>
        <v>0</v>
      </c>
      <c r="AH53" s="1882">
        <f ca="1">IF(AH15&lt;운영비용!AD6/10^8,AH15-운영비용!AD6/10^8,0)</f>
        <v>0</v>
      </c>
      <c r="AI53" s="1882">
        <f ca="1">IF(AI15&lt;운영비용!AE6/10^8,AI15-운영비용!AE6/10^8,0)</f>
        <v>0</v>
      </c>
      <c r="AJ53" s="1882">
        <f ca="1">IF(AJ15&lt;운영비용!AF6/10^8,AJ15-운영비용!AF6/10^8,0)</f>
        <v>0</v>
      </c>
      <c r="AK53" s="1882">
        <f ca="1">IF(AK15&lt;운영비용!AG6/10^8,AK15-운영비용!AG6/10^8,0)</f>
        <v>0</v>
      </c>
      <c r="AL53" s="1882">
        <f ca="1">IF(AL15&lt;운영비용!AH6/10^8,AL15-운영비용!AH6/10^8,0)</f>
        <v>0</v>
      </c>
      <c r="AM53" s="1882">
        <f ca="1">IF(AM15&lt;운영비용!AI6/10^8,AM15-운영비용!AI6/10^8,0)</f>
        <v>0</v>
      </c>
      <c r="AN53" s="1882">
        <f ca="1">IF(AN15&lt;운영비용!AJ6/10^8,AN15-운영비용!AJ6/10^8,0)</f>
        <v>0</v>
      </c>
      <c r="AO53" s="1882">
        <f ca="1">IF(AO15&lt;운영비용!AK6/10^8,AO15-운영비용!AK6/10^8,0)</f>
        <v>0</v>
      </c>
      <c r="AP53" s="1882">
        <f ca="1">IF(AP15&lt;운영비용!AL6/10^8,AP15-운영비용!AL6/10^8,0)</f>
        <v>0</v>
      </c>
      <c r="AQ53" s="1882">
        <f ca="1">IF(AQ15&lt;운영비용!AM6/10^8,AQ15-운영비용!AM6/10^8,0)</f>
        <v>0</v>
      </c>
      <c r="AR53" s="1882">
        <f ca="1">IF(AR15&lt;운영비용!AN6/10^8,AR15-운영비용!AN6/10^8,0)</f>
        <v>0</v>
      </c>
      <c r="AS53" s="1882">
        <f ca="1">IF(AS15&lt;운영비용!AO6/10^8,AS15-운영비용!AO6/10^8,0)</f>
        <v>0</v>
      </c>
      <c r="AT53" s="1882">
        <f ca="1">IF(AT15&lt;운영비용!AP6/10^8,AT15-운영비용!AP6/10^8,0)</f>
        <v>0</v>
      </c>
      <c r="AU53" s="1882">
        <f ca="1">IF(AU15&lt;운영비용!AQ6/10^8,AU15-운영비용!AQ6/10^8,0)</f>
        <v>0</v>
      </c>
      <c r="AV53" s="1882">
        <f ca="1">IF(AV15&lt;운영비용!AR6/10^8,AV15-운영비용!AR6/10^8,0)</f>
        <v>0</v>
      </c>
      <c r="AW53" s="1882">
        <f ca="1">IF(AW15&lt;운영비용!AS6/10^8,AW15-운영비용!AS6/10^8,0)</f>
        <v>0</v>
      </c>
      <c r="AX53" s="1882">
        <f ca="1">IF(AX15&lt;운영비용!AT6/10^8,AX15-운영비용!AT6/10^8,0)</f>
        <v>0</v>
      </c>
      <c r="AY53" s="1883"/>
      <c r="AZ53" s="1883">
        <f>IF(AZ15&lt;운영비용!AV6/10^8,AZ15-운영비용!AV6/10^8,0)</f>
        <v>0</v>
      </c>
      <c r="BA53" s="1883">
        <f>IF(BA15&lt;운영비용!AW6/10^8,BA15-운영비용!AW6/10^8,0)</f>
        <v>0</v>
      </c>
      <c r="BB53" s="1883">
        <f>IF(BB15&lt;운영비용!AX6/10^8,BB15-운영비용!AX6/10^8,0)</f>
        <v>0</v>
      </c>
      <c r="BC53" s="1883">
        <f>IF(BC15&lt;운영비용!AY6/10^8,BC15-운영비용!AY6/10^8,0)</f>
        <v>0</v>
      </c>
    </row>
    <row r="54" spans="1:202" s="346" customFormat="1" ht="17.100000000000001" customHeight="1">
      <c r="E54" s="1880"/>
      <c r="F54" s="1881"/>
      <c r="G54" s="1881"/>
      <c r="H54" s="1881"/>
      <c r="I54" s="1881"/>
      <c r="J54" s="1881"/>
      <c r="K54" s="1882"/>
      <c r="L54" s="1882"/>
      <c r="M54" s="644"/>
      <c r="N54" s="644"/>
      <c r="O54" s="644"/>
      <c r="P54" s="644"/>
      <c r="Q54" s="644"/>
      <c r="R54" s="644"/>
      <c r="S54" s="644"/>
      <c r="T54" s="644"/>
      <c r="U54" s="644"/>
      <c r="V54" s="5090"/>
      <c r="W54" s="5090"/>
      <c r="X54" s="1882"/>
      <c r="Y54" s="1882"/>
      <c r="Z54" s="1882"/>
      <c r="AA54" s="1882"/>
      <c r="AB54" s="1882"/>
      <c r="AC54" s="1882"/>
      <c r="AD54" s="1882"/>
      <c r="AE54" s="1882"/>
      <c r="AF54" s="1882"/>
      <c r="AG54" s="1882"/>
      <c r="AH54" s="1882"/>
      <c r="AI54" s="1882"/>
      <c r="AJ54" s="1882"/>
      <c r="AK54" s="1882"/>
      <c r="AL54" s="1882"/>
      <c r="AM54" s="1882"/>
      <c r="AN54" s="1882"/>
      <c r="AO54" s="1882"/>
      <c r="AP54" s="1882"/>
      <c r="AQ54" s="1882"/>
      <c r="AR54" s="1882"/>
      <c r="AS54" s="1882"/>
      <c r="AT54" s="1882"/>
      <c r="AU54" s="1882"/>
      <c r="AV54" s="1882"/>
      <c r="AW54" s="1882"/>
      <c r="AX54" s="1882"/>
      <c r="AY54" s="1883"/>
      <c r="AZ54" s="1883"/>
      <c r="BA54" s="1883"/>
      <c r="BB54" s="1883"/>
      <c r="BC54" s="1883"/>
    </row>
    <row r="55" spans="1:202" s="346" customFormat="1" ht="17.100000000000001" customHeight="1">
      <c r="E55" s="1880"/>
      <c r="F55" s="1881"/>
      <c r="G55" s="1881"/>
      <c r="H55" s="1881"/>
      <c r="I55" s="1881"/>
      <c r="J55" s="1881"/>
      <c r="K55" s="1882"/>
      <c r="L55" s="1882"/>
      <c r="M55" s="1745"/>
      <c r="N55" s="1745"/>
      <c r="O55" s="1745" t="b">
        <f ca="1">SUM(Waterfall!W12:Z15,Waterfall!W11)/SUM(Waterfall!W35:Z35)=O49</f>
        <v>1</v>
      </c>
      <c r="P55" s="1745" t="b">
        <f ca="1">SUM(Waterfall!AA12:AD15,Waterfall!AA11)/SUM(Waterfall!AA35:AD35)=P49</f>
        <v>1</v>
      </c>
      <c r="Q55" s="1745" t="b">
        <f ca="1">SUM(Waterfall!AE12:AH15,Waterfall!AE11)/SUM(Waterfall!AE35:AH35)=Q49</f>
        <v>1</v>
      </c>
      <c r="R55" s="1745" t="b">
        <f ca="1">SUM(Waterfall!AI12:AL15,Waterfall!AI11)/SUM(Waterfall!AI35:AL35)=R49</f>
        <v>1</v>
      </c>
      <c r="S55" s="1745" t="b">
        <f ca="1">SUM(Waterfall!AM12:AP15,Waterfall!AM11)/SUM(Waterfall!AM35:AP35)=S49</f>
        <v>1</v>
      </c>
      <c r="T55" s="1745" t="b">
        <f ca="1">SUM(Waterfall!AQ12:AT15,Waterfall!AQ11)/SUM(Waterfall!AQ35:AT35)=T49</f>
        <v>1</v>
      </c>
      <c r="U55" s="1745" t="b">
        <f ca="1">SUM(Waterfall!AU12:AX15,Waterfall!AU11)/SUM(Waterfall!AU35:AX35)=U49</f>
        <v>1</v>
      </c>
      <c r="Y55" s="1882"/>
      <c r="Z55" s="1882"/>
      <c r="AA55" s="1882"/>
      <c r="AB55" s="1882"/>
      <c r="AC55" s="1882"/>
      <c r="AD55" s="1882"/>
      <c r="AE55" s="1882"/>
      <c r="AF55" s="1882"/>
      <c r="AG55" s="1882"/>
      <c r="AH55" s="1882"/>
      <c r="AI55" s="1882"/>
      <c r="AJ55" s="1882"/>
      <c r="AK55" s="1882"/>
      <c r="AL55" s="1882"/>
      <c r="AM55" s="1882"/>
      <c r="AN55" s="1882"/>
      <c r="AO55" s="1882"/>
      <c r="AP55" s="1882"/>
      <c r="AQ55" s="1882"/>
      <c r="AR55" s="1882"/>
      <c r="AS55" s="1882"/>
      <c r="AT55" s="1882"/>
      <c r="AU55" s="1882"/>
      <c r="AV55" s="1882"/>
      <c r="AW55" s="1882"/>
      <c r="AX55" s="1882"/>
      <c r="AY55" s="1883"/>
      <c r="AZ55" s="1883"/>
      <c r="BA55" s="1883"/>
      <c r="BB55" s="1883"/>
      <c r="BC55" s="1883"/>
    </row>
    <row r="56" spans="1:202" s="4665" customFormat="1" ht="17.100000000000001" customHeight="1">
      <c r="E56" s="1884"/>
      <c r="F56" s="4666"/>
      <c r="G56" s="4666"/>
      <c r="H56" s="4666"/>
      <c r="I56" s="4666"/>
      <c r="J56" s="4666"/>
      <c r="K56" s="4667"/>
      <c r="L56" s="4667"/>
      <c r="M56" s="4690"/>
      <c r="N56" s="4690"/>
      <c r="O56" s="4690"/>
      <c r="P56" s="4690"/>
      <c r="Q56" s="4690"/>
      <c r="R56" s="4690"/>
      <c r="S56" s="4677"/>
      <c r="T56" s="4677"/>
      <c r="U56" s="4677"/>
      <c r="V56" s="4677"/>
      <c r="W56" s="4677"/>
      <c r="X56" s="4667"/>
      <c r="Y56" s="4667"/>
      <c r="Z56" s="4667"/>
      <c r="AA56" s="4667"/>
      <c r="AB56" s="4667"/>
      <c r="AC56" s="4667"/>
      <c r="AD56" s="4667"/>
      <c r="AE56" s="4667"/>
      <c r="AF56" s="4667"/>
      <c r="AG56" s="4667"/>
      <c r="AH56" s="4667"/>
      <c r="AI56" s="4667"/>
      <c r="AJ56" s="4667"/>
      <c r="AK56" s="4667"/>
      <c r="AL56" s="4667"/>
      <c r="AM56" s="4667"/>
      <c r="AN56" s="4667"/>
      <c r="AO56" s="4667"/>
      <c r="AP56" s="4667"/>
      <c r="AQ56" s="4667"/>
      <c r="AR56" s="4667"/>
      <c r="AS56" s="4667"/>
      <c r="AT56" s="4667"/>
      <c r="AU56" s="4667"/>
      <c r="AV56" s="4667"/>
      <c r="AW56" s="4667"/>
      <c r="AX56" s="4667"/>
    </row>
    <row r="57" spans="1:202" s="4665" customFormat="1" ht="17.100000000000001" customHeight="1">
      <c r="B57" s="4668"/>
      <c r="C57" s="4668"/>
      <c r="D57" s="4668"/>
      <c r="E57" s="4669"/>
      <c r="S57" s="4677"/>
      <c r="T57" s="4677"/>
      <c r="U57" s="4677"/>
      <c r="V57" s="4677"/>
      <c r="W57" s="4677"/>
      <c r="X57" s="4665">
        <v>39243</v>
      </c>
      <c r="Y57" s="4665">
        <v>35001</v>
      </c>
      <c r="Z57" s="4670"/>
    </row>
    <row r="58" spans="1:202" s="4665" customFormat="1" ht="12" customHeight="1">
      <c r="S58" s="4677"/>
      <c r="T58" s="4677"/>
      <c r="U58" s="4677"/>
      <c r="V58" s="4677"/>
      <c r="W58" s="4677"/>
      <c r="X58" s="4665">
        <v>12529</v>
      </c>
      <c r="Y58" s="4665">
        <v>8499</v>
      </c>
      <c r="AH58" s="4671"/>
      <c r="AI58" s="4671"/>
      <c r="AL58" s="4671"/>
      <c r="AP58" s="4671"/>
      <c r="AS58" s="789"/>
      <c r="AT58" s="4671"/>
      <c r="AU58" s="4672"/>
      <c r="AW58" s="789"/>
      <c r="AX58" s="4671"/>
      <c r="BA58" s="789"/>
      <c r="BB58" s="4671"/>
      <c r="BE58" s="789"/>
      <c r="BF58" s="4671"/>
      <c r="BI58" s="789"/>
      <c r="BJ58" s="4671"/>
      <c r="BM58" s="789"/>
      <c r="BN58" s="4671"/>
      <c r="BR58" s="4671"/>
      <c r="BV58" s="4671"/>
      <c r="BZ58" s="4671"/>
      <c r="CD58" s="4671"/>
      <c r="CH58" s="4671"/>
      <c r="CL58" s="4671"/>
      <c r="CP58" s="4671"/>
      <c r="CT58" s="4671"/>
      <c r="CX58" s="4671"/>
      <c r="DB58" s="4671"/>
      <c r="DF58" s="4671"/>
      <c r="DJ58" s="4671"/>
    </row>
    <row r="59" spans="1:202" s="4665" customFormat="1" ht="17.100000000000001" customHeight="1">
      <c r="B59" s="4673"/>
      <c r="C59" s="4673"/>
      <c r="D59" s="4674"/>
      <c r="E59" s="4674"/>
      <c r="F59" s="4674"/>
      <c r="G59" s="4675"/>
      <c r="H59" s="4675"/>
      <c r="I59" s="4675"/>
      <c r="J59" s="4675"/>
      <c r="K59" s="4675"/>
      <c r="L59" s="4675"/>
      <c r="M59" s="4675"/>
      <c r="N59" s="4675"/>
      <c r="O59" s="4675"/>
      <c r="P59" s="4675"/>
      <c r="Q59" s="4675"/>
      <c r="R59" s="4675"/>
      <c r="S59" s="4677"/>
      <c r="T59" s="4677"/>
      <c r="U59" s="4677"/>
      <c r="V59" s="5091"/>
      <c r="W59" s="5091"/>
      <c r="X59" s="5485">
        <f>X58/X57</f>
        <v>0.31926713044364602</v>
      </c>
      <c r="Y59" s="5485">
        <f>Y58/Y57</f>
        <v>0.2428216336676095</v>
      </c>
      <c r="Z59" s="4675"/>
      <c r="AA59" s="4675"/>
      <c r="AB59" s="4675"/>
      <c r="AC59" s="4675"/>
      <c r="AD59" s="4675"/>
      <c r="AE59" s="4675"/>
      <c r="AF59" s="4675"/>
      <c r="AG59" s="4675"/>
      <c r="AH59" s="4675"/>
      <c r="AI59" s="4675"/>
      <c r="AJ59" s="4675"/>
      <c r="AK59" s="4675"/>
      <c r="AL59" s="4675"/>
      <c r="AM59" s="4675"/>
      <c r="AN59" s="4675"/>
      <c r="AO59" s="4675"/>
      <c r="AP59" s="4675"/>
      <c r="AQ59" s="4675"/>
      <c r="AR59" s="4675"/>
      <c r="AS59" s="4675"/>
      <c r="AT59" s="4675"/>
      <c r="AU59" s="4675"/>
      <c r="AV59" s="4675"/>
      <c r="AW59" s="4675"/>
      <c r="AX59" s="4675"/>
      <c r="AY59" s="4675"/>
      <c r="AZ59" s="4675"/>
      <c r="BA59" s="4675"/>
      <c r="BB59" s="4675"/>
      <c r="BC59" s="4675"/>
      <c r="BD59" s="4675"/>
      <c r="BE59" s="4675"/>
      <c r="BF59" s="4675"/>
      <c r="BG59" s="4675"/>
      <c r="BH59" s="4675"/>
      <c r="BI59" s="4675"/>
      <c r="BJ59" s="4675"/>
      <c r="BK59" s="4675"/>
      <c r="BL59" s="4675"/>
      <c r="BM59" s="4675"/>
      <c r="BN59" s="4675"/>
      <c r="BO59" s="4675"/>
      <c r="BP59" s="4675"/>
      <c r="BQ59" s="4675"/>
      <c r="BR59" s="4675"/>
      <c r="BS59" s="4675"/>
      <c r="BT59" s="4675"/>
      <c r="BU59" s="4675"/>
      <c r="BV59" s="4675"/>
      <c r="BW59" s="4675"/>
      <c r="BX59" s="4675"/>
      <c r="BY59" s="4675"/>
      <c r="BZ59" s="4675"/>
      <c r="CA59" s="4675"/>
      <c r="CB59" s="4675"/>
      <c r="CC59" s="4675"/>
      <c r="CD59" s="4675"/>
      <c r="CE59" s="4675"/>
      <c r="CF59" s="4675"/>
      <c r="CG59" s="4675"/>
      <c r="CH59" s="4675"/>
      <c r="CI59" s="4675"/>
      <c r="CJ59" s="4675"/>
      <c r="CK59" s="4675"/>
      <c r="CL59" s="4675"/>
      <c r="CM59" s="4675"/>
      <c r="CN59" s="4675"/>
      <c r="CO59" s="4675"/>
      <c r="CP59" s="4675"/>
      <c r="CQ59" s="4675"/>
      <c r="CR59" s="4675"/>
      <c r="CS59" s="4675"/>
      <c r="CT59" s="4675"/>
      <c r="CU59" s="4675"/>
      <c r="CV59" s="4675"/>
      <c r="CW59" s="4675"/>
      <c r="CX59" s="4675"/>
      <c r="CY59" s="4675"/>
      <c r="CZ59" s="4675"/>
      <c r="DA59" s="4675"/>
      <c r="DB59" s="4675"/>
      <c r="DC59" s="4675"/>
      <c r="DD59" s="4675"/>
      <c r="DE59" s="4675"/>
      <c r="DF59" s="4675"/>
      <c r="DG59" s="4675"/>
      <c r="DH59" s="4675"/>
      <c r="DI59" s="4675"/>
      <c r="DJ59" s="4675"/>
      <c r="DK59" s="4675"/>
      <c r="DL59" s="4675"/>
      <c r="DM59" s="4675"/>
      <c r="DN59" s="4675"/>
      <c r="DO59" s="4675"/>
      <c r="DP59" s="4675"/>
      <c r="DQ59" s="4675"/>
      <c r="DR59" s="4675"/>
      <c r="DS59" s="4675"/>
      <c r="DT59" s="4675"/>
      <c r="DU59" s="4675"/>
      <c r="DV59" s="4675"/>
      <c r="DW59" s="4675"/>
      <c r="DX59" s="4675"/>
      <c r="DY59" s="4675"/>
      <c r="DZ59" s="4675"/>
      <c r="EA59" s="4675"/>
      <c r="EB59" s="4675"/>
      <c r="EC59" s="4675"/>
      <c r="ED59" s="4675"/>
      <c r="EE59" s="4675"/>
      <c r="EF59" s="4675"/>
      <c r="EG59" s="4675"/>
      <c r="EH59" s="4675"/>
      <c r="EI59" s="4675"/>
      <c r="EJ59" s="4675"/>
      <c r="EK59" s="4675"/>
      <c r="EL59" s="4675"/>
      <c r="EM59" s="4675"/>
      <c r="EN59" s="4675"/>
      <c r="EO59" s="4675"/>
      <c r="EP59" s="4675"/>
      <c r="EQ59" s="4675"/>
      <c r="ER59" s="4675"/>
      <c r="ES59" s="4675"/>
      <c r="ET59" s="4675"/>
      <c r="EU59" s="4675"/>
      <c r="EV59" s="4675"/>
      <c r="EW59" s="4675"/>
      <c r="EX59" s="4675"/>
      <c r="EY59" s="4675"/>
      <c r="EZ59" s="4675"/>
      <c r="FA59" s="4675"/>
      <c r="FB59" s="4675"/>
      <c r="FC59" s="4675"/>
      <c r="FD59" s="4675"/>
      <c r="FE59" s="4675"/>
      <c r="FF59" s="4675"/>
      <c r="FG59" s="4675"/>
      <c r="FH59" s="4675"/>
      <c r="FI59" s="4675"/>
      <c r="FJ59" s="4675"/>
      <c r="FK59" s="4675"/>
      <c r="FL59" s="4675"/>
      <c r="FM59" s="4675"/>
      <c r="FN59" s="4675"/>
      <c r="FO59" s="4675"/>
      <c r="FP59" s="4675"/>
      <c r="FQ59" s="4675"/>
      <c r="FR59" s="4675"/>
      <c r="FS59" s="4675"/>
      <c r="FT59" s="4675"/>
      <c r="FU59" s="4675"/>
      <c r="FV59" s="4675"/>
      <c r="FW59" s="4675"/>
      <c r="FX59" s="4675"/>
      <c r="FY59" s="4675"/>
      <c r="FZ59" s="4675"/>
      <c r="GA59" s="4675"/>
      <c r="GB59" s="4675"/>
      <c r="GC59" s="4675"/>
      <c r="GD59" s="4675"/>
      <c r="GE59" s="4675"/>
      <c r="GF59" s="4675"/>
      <c r="GG59" s="4675"/>
      <c r="GH59" s="4675"/>
      <c r="GI59" s="4675"/>
      <c r="GJ59" s="4675"/>
      <c r="GK59" s="4675"/>
      <c r="GL59" s="4675"/>
      <c r="GM59" s="4675"/>
      <c r="GN59" s="4675"/>
      <c r="GO59" s="4675"/>
      <c r="GP59" s="4675"/>
      <c r="GQ59" s="4675"/>
      <c r="GR59" s="4675"/>
      <c r="GS59" s="4675"/>
      <c r="GT59" s="4675"/>
    </row>
    <row r="60" spans="1:202" s="4665" customFormat="1" ht="17.100000000000001" customHeight="1">
      <c r="D60" s="4676"/>
      <c r="E60" s="787"/>
      <c r="F60" s="4677"/>
      <c r="G60" s="1509"/>
      <c r="H60" s="1509"/>
      <c r="I60" s="1509"/>
      <c r="J60" s="1509"/>
      <c r="K60" s="1509"/>
      <c r="L60" s="1509"/>
      <c r="M60" s="1509"/>
      <c r="N60" s="1509"/>
      <c r="O60" s="1509"/>
      <c r="P60" s="1509"/>
      <c r="Q60" s="1509"/>
      <c r="R60" s="1509"/>
      <c r="S60" s="4677"/>
      <c r="T60" s="4677"/>
      <c r="U60" s="4677"/>
      <c r="V60" s="5092"/>
      <c r="W60" s="5092"/>
      <c r="X60" s="1509"/>
      <c r="Y60" s="1509"/>
      <c r="Z60" s="1509"/>
      <c r="AA60" s="1509"/>
      <c r="AB60" s="1509"/>
      <c r="AC60" s="1509"/>
      <c r="AD60" s="1509"/>
      <c r="AE60" s="1509"/>
      <c r="AF60" s="1509"/>
      <c r="AG60" s="1509"/>
      <c r="AH60" s="1509"/>
      <c r="AI60" s="1509"/>
      <c r="AJ60" s="1509"/>
      <c r="AK60" s="1509"/>
      <c r="AL60" s="1509"/>
      <c r="AM60" s="1509"/>
      <c r="AN60" s="1509"/>
      <c r="AO60" s="1509"/>
      <c r="AP60" s="1509"/>
      <c r="AQ60" s="1509"/>
      <c r="AR60" s="1509"/>
      <c r="AS60" s="1509"/>
      <c r="AT60" s="1509"/>
      <c r="AU60" s="1509"/>
      <c r="AV60" s="1509"/>
      <c r="AW60" s="1509"/>
      <c r="AX60" s="1509"/>
      <c r="AY60" s="1509"/>
      <c r="AZ60" s="1509"/>
      <c r="BA60" s="1509"/>
      <c r="BB60" s="1509"/>
      <c r="BC60" s="1509"/>
      <c r="BD60" s="1509"/>
      <c r="BE60" s="1509"/>
      <c r="BF60" s="1509"/>
      <c r="BG60" s="1509"/>
      <c r="BH60" s="1509"/>
      <c r="BI60" s="1509"/>
      <c r="BJ60" s="1509"/>
      <c r="BK60" s="1509"/>
      <c r="BL60" s="1509"/>
      <c r="BM60" s="1509"/>
      <c r="BN60" s="1509"/>
      <c r="BO60" s="1509"/>
      <c r="BP60" s="1509"/>
      <c r="BQ60" s="1509"/>
      <c r="BR60" s="1509"/>
      <c r="BS60" s="1509"/>
      <c r="BT60" s="1509"/>
      <c r="BU60" s="1509"/>
      <c r="BV60" s="1509"/>
      <c r="BW60" s="1509"/>
      <c r="BX60" s="1509"/>
      <c r="BY60" s="1509"/>
      <c r="BZ60" s="1509"/>
      <c r="CA60" s="1509"/>
      <c r="CB60" s="1509"/>
      <c r="CC60" s="1509"/>
      <c r="CD60" s="1509"/>
      <c r="CE60" s="1509"/>
      <c r="CF60" s="1509"/>
      <c r="CG60" s="1509"/>
      <c r="CH60" s="1509"/>
      <c r="CI60" s="1509"/>
      <c r="CJ60" s="1509"/>
      <c r="CK60" s="1509"/>
      <c r="CL60" s="1509"/>
      <c r="CM60" s="1509"/>
      <c r="CN60" s="1509"/>
      <c r="CO60" s="1509"/>
      <c r="CP60" s="1509"/>
      <c r="CQ60" s="1509"/>
      <c r="CR60" s="1509"/>
      <c r="CS60" s="1509"/>
      <c r="CT60" s="1509"/>
      <c r="CU60" s="1509"/>
      <c r="CV60" s="1509"/>
      <c r="CW60" s="1509"/>
      <c r="CX60" s="1509"/>
      <c r="CY60" s="1509"/>
      <c r="CZ60" s="1509"/>
      <c r="DA60" s="1509"/>
      <c r="DB60" s="1509"/>
      <c r="DC60" s="1509"/>
      <c r="DD60" s="1509"/>
      <c r="DE60" s="1509"/>
      <c r="DF60" s="1509"/>
      <c r="DG60" s="1509"/>
      <c r="DH60" s="1509"/>
      <c r="DI60" s="1509"/>
      <c r="DJ60" s="1509"/>
      <c r="DK60" s="1509"/>
      <c r="DL60" s="1509"/>
      <c r="DM60" s="1509"/>
      <c r="DN60" s="1509"/>
      <c r="DO60" s="1509"/>
      <c r="DP60" s="1509"/>
      <c r="DQ60" s="1509"/>
      <c r="DR60" s="1509"/>
      <c r="DS60" s="1509"/>
      <c r="DT60" s="1509"/>
      <c r="DU60" s="1509"/>
      <c r="DV60" s="1509"/>
      <c r="DW60" s="1509"/>
      <c r="DX60" s="1509"/>
      <c r="DY60" s="1509"/>
      <c r="DZ60" s="1509"/>
      <c r="EA60" s="1509"/>
      <c r="EB60" s="1509"/>
      <c r="EC60" s="1509"/>
      <c r="ED60" s="1509"/>
      <c r="EE60" s="1509"/>
      <c r="EF60" s="1509"/>
      <c r="EG60" s="1509"/>
      <c r="EH60" s="1509"/>
      <c r="EI60" s="1509"/>
      <c r="EJ60" s="1509"/>
      <c r="EK60" s="1509"/>
      <c r="EL60" s="1509"/>
      <c r="EM60" s="1509"/>
      <c r="EN60" s="1509"/>
      <c r="EO60" s="1509"/>
      <c r="EP60" s="1509"/>
      <c r="EQ60" s="1509"/>
      <c r="ER60" s="1509"/>
      <c r="ES60" s="1509"/>
      <c r="ET60" s="1509"/>
      <c r="EU60" s="1509"/>
      <c r="EV60" s="1509"/>
      <c r="EW60" s="1509"/>
      <c r="EX60" s="1509"/>
      <c r="EY60" s="1509"/>
      <c r="EZ60" s="1509"/>
      <c r="FA60" s="1509"/>
      <c r="FB60" s="1509"/>
      <c r="FC60" s="1509"/>
      <c r="FD60" s="1509"/>
      <c r="FE60" s="1509"/>
      <c r="FF60" s="1509"/>
      <c r="FG60" s="1509"/>
      <c r="FH60" s="1509"/>
      <c r="FI60" s="1509"/>
      <c r="FJ60" s="1509"/>
      <c r="FK60" s="1509"/>
      <c r="FL60" s="1509"/>
      <c r="FM60" s="1509"/>
      <c r="FN60" s="1509"/>
      <c r="FO60" s="1509"/>
      <c r="FP60" s="1509"/>
      <c r="FQ60" s="1509"/>
      <c r="FR60" s="1509"/>
      <c r="FS60" s="1509"/>
      <c r="FT60" s="1509"/>
      <c r="FU60" s="1509"/>
      <c r="FV60" s="1509"/>
      <c r="FW60" s="1509"/>
      <c r="FX60" s="1509"/>
      <c r="FY60" s="1509"/>
      <c r="FZ60" s="1509"/>
      <c r="GA60" s="1509"/>
      <c r="GB60" s="1509"/>
      <c r="GC60" s="1509"/>
      <c r="GD60" s="1509"/>
      <c r="GE60" s="1509"/>
      <c r="GF60" s="1509"/>
      <c r="GG60" s="1509"/>
      <c r="GH60" s="1509"/>
      <c r="GI60" s="1509"/>
      <c r="GJ60" s="1509"/>
      <c r="GK60" s="1509"/>
      <c r="GL60" s="1509"/>
      <c r="GM60" s="1509"/>
      <c r="GN60" s="1509"/>
      <c r="GO60" s="1509"/>
      <c r="GP60" s="1509"/>
      <c r="GQ60" s="1509"/>
      <c r="GR60" s="1509"/>
      <c r="GS60" s="1509"/>
      <c r="GT60" s="1509"/>
    </row>
    <row r="61" spans="1:202" s="4665" customFormat="1" ht="17.100000000000001" customHeight="1">
      <c r="D61" s="4676"/>
      <c r="E61" s="787"/>
      <c r="F61" s="4677"/>
      <c r="G61" s="1509"/>
      <c r="H61" s="1509"/>
      <c r="I61" s="1509"/>
      <c r="J61" s="1509"/>
      <c r="K61" s="1509"/>
      <c r="L61" s="1509"/>
      <c r="M61" s="1509"/>
      <c r="N61" s="1509"/>
      <c r="O61" s="1509"/>
      <c r="P61" s="1509"/>
      <c r="Q61" s="1509"/>
      <c r="R61" s="1509"/>
      <c r="S61" s="4677"/>
      <c r="T61" s="4677"/>
      <c r="U61" s="4677"/>
      <c r="V61" s="5092"/>
      <c r="W61" s="5092"/>
      <c r="X61" s="1509"/>
      <c r="Y61" s="1509"/>
      <c r="Z61" s="1509"/>
      <c r="AA61" s="1509"/>
      <c r="AB61" s="1509"/>
      <c r="AC61" s="1509"/>
      <c r="AD61" s="1509"/>
      <c r="AE61" s="1509"/>
      <c r="AF61" s="1509"/>
      <c r="AG61" s="1509"/>
      <c r="AH61" s="1509"/>
      <c r="AI61" s="1509"/>
      <c r="AJ61" s="1509"/>
      <c r="AK61" s="1509"/>
      <c r="AL61" s="1509"/>
      <c r="AM61" s="1509"/>
      <c r="AN61" s="1509"/>
      <c r="AO61" s="1509"/>
      <c r="AP61" s="1509"/>
      <c r="AQ61" s="1509"/>
      <c r="AR61" s="1509"/>
      <c r="AS61" s="1509"/>
      <c r="AT61" s="1509"/>
      <c r="AU61" s="1509"/>
      <c r="AV61" s="1509"/>
      <c r="AW61" s="1509"/>
      <c r="AX61" s="1509"/>
      <c r="AY61" s="1509"/>
      <c r="AZ61" s="1509"/>
      <c r="BA61" s="1509"/>
      <c r="BB61" s="1509"/>
      <c r="BC61" s="1509"/>
      <c r="BD61" s="1509"/>
      <c r="BE61" s="1509"/>
      <c r="BF61" s="1509"/>
      <c r="BG61" s="1509"/>
      <c r="BH61" s="1509"/>
      <c r="BI61" s="1509"/>
      <c r="BJ61" s="1509"/>
      <c r="BK61" s="1509"/>
      <c r="BL61" s="1509"/>
      <c r="BM61" s="1509"/>
      <c r="BN61" s="1509"/>
      <c r="BO61" s="1509"/>
      <c r="BP61" s="1509"/>
      <c r="BQ61" s="1509"/>
      <c r="BR61" s="1509"/>
      <c r="BS61" s="1509"/>
      <c r="BT61" s="1509"/>
      <c r="BU61" s="1509"/>
      <c r="BV61" s="1509"/>
      <c r="BW61" s="1509"/>
      <c r="BX61" s="1509"/>
      <c r="BY61" s="1509"/>
      <c r="BZ61" s="1509"/>
      <c r="CA61" s="1509"/>
      <c r="CB61" s="1509"/>
      <c r="CC61" s="1509"/>
      <c r="CD61" s="1509"/>
      <c r="CE61" s="1509"/>
      <c r="CF61" s="1509"/>
      <c r="CG61" s="1509"/>
      <c r="CH61" s="1509"/>
      <c r="CI61" s="1509"/>
      <c r="CJ61" s="1509"/>
      <c r="CK61" s="1509"/>
      <c r="CL61" s="1509"/>
      <c r="CM61" s="1509"/>
      <c r="CN61" s="1509"/>
      <c r="CO61" s="1509"/>
      <c r="CP61" s="1509"/>
      <c r="CQ61" s="1509"/>
      <c r="CR61" s="1509"/>
      <c r="CS61" s="1509"/>
      <c r="CT61" s="1509"/>
      <c r="CU61" s="1509"/>
      <c r="CV61" s="1509"/>
      <c r="CW61" s="1509"/>
      <c r="CX61" s="1509"/>
      <c r="CY61" s="1509"/>
      <c r="CZ61" s="1509"/>
      <c r="DA61" s="1509"/>
      <c r="DB61" s="1509"/>
      <c r="DC61" s="1509"/>
      <c r="DD61" s="1509"/>
      <c r="DE61" s="1509"/>
      <c r="DF61" s="1509"/>
      <c r="DG61" s="1509"/>
      <c r="DH61" s="1509"/>
      <c r="DI61" s="1509"/>
      <c r="DJ61" s="1509"/>
      <c r="DK61" s="1509"/>
      <c r="DL61" s="1509"/>
      <c r="DM61" s="1509"/>
      <c r="DN61" s="1509"/>
      <c r="DO61" s="1509"/>
      <c r="DP61" s="1509"/>
      <c r="DQ61" s="1509"/>
      <c r="DR61" s="1509"/>
      <c r="DS61" s="1509"/>
      <c r="DT61" s="1509"/>
      <c r="DU61" s="1509"/>
      <c r="DV61" s="1509"/>
      <c r="DW61" s="1509"/>
      <c r="DX61" s="1509"/>
      <c r="DY61" s="1509"/>
      <c r="DZ61" s="1509"/>
      <c r="EA61" s="1509"/>
      <c r="EB61" s="1509"/>
      <c r="EC61" s="1509"/>
      <c r="ED61" s="1509"/>
      <c r="EE61" s="1509"/>
      <c r="EF61" s="1509"/>
      <c r="EG61" s="1509"/>
      <c r="EH61" s="1509"/>
      <c r="EI61" s="1509"/>
      <c r="EJ61" s="1509"/>
      <c r="EK61" s="1509"/>
      <c r="EL61" s="1509"/>
      <c r="EM61" s="1509"/>
      <c r="EN61" s="1509"/>
      <c r="EO61" s="1509"/>
      <c r="EP61" s="1509"/>
      <c r="EQ61" s="1509"/>
      <c r="ER61" s="1509"/>
      <c r="ES61" s="1509"/>
      <c r="ET61" s="1509"/>
      <c r="EU61" s="1509"/>
      <c r="EV61" s="1509"/>
      <c r="EW61" s="1509"/>
      <c r="EX61" s="1509"/>
      <c r="EY61" s="1509"/>
      <c r="EZ61" s="1509"/>
      <c r="FA61" s="1509"/>
      <c r="FB61" s="1509"/>
      <c r="FC61" s="1509"/>
      <c r="FD61" s="1509"/>
      <c r="FE61" s="1509"/>
      <c r="FF61" s="1509"/>
      <c r="FG61" s="1509"/>
      <c r="FH61" s="1509"/>
      <c r="FI61" s="1509"/>
      <c r="FJ61" s="1509"/>
      <c r="FK61" s="1509"/>
      <c r="FL61" s="1509"/>
      <c r="FM61" s="1509"/>
      <c r="FN61" s="1509"/>
      <c r="FO61" s="1509"/>
      <c r="FP61" s="1509"/>
      <c r="FQ61" s="1509"/>
      <c r="FR61" s="1509"/>
      <c r="FS61" s="1509"/>
      <c r="FT61" s="1509"/>
      <c r="FU61" s="1509"/>
      <c r="FV61" s="1509"/>
      <c r="FW61" s="1509"/>
      <c r="FX61" s="1509"/>
      <c r="FY61" s="1509"/>
      <c r="FZ61" s="1509"/>
      <c r="GA61" s="1509"/>
      <c r="GB61" s="1509"/>
      <c r="GC61" s="1509"/>
      <c r="GD61" s="1509"/>
      <c r="GE61" s="1509"/>
      <c r="GF61" s="1509"/>
      <c r="GG61" s="1509"/>
      <c r="GH61" s="1509"/>
      <c r="GI61" s="1509"/>
      <c r="GJ61" s="1509"/>
      <c r="GK61" s="1509"/>
      <c r="GL61" s="1509"/>
      <c r="GM61" s="1509"/>
      <c r="GN61" s="1509"/>
      <c r="GO61" s="1509"/>
      <c r="GP61" s="1509"/>
      <c r="GQ61" s="1509"/>
      <c r="GR61" s="1509"/>
      <c r="GS61" s="1509"/>
      <c r="GT61" s="1509"/>
    </row>
    <row r="62" spans="1:202" s="4665" customFormat="1" ht="17.100000000000001" customHeight="1">
      <c r="C62" s="4678"/>
      <c r="D62" s="4676"/>
      <c r="E62" s="787"/>
      <c r="F62" s="4677"/>
      <c r="G62" s="4677"/>
      <c r="H62" s="4677"/>
      <c r="I62" s="4677"/>
      <c r="J62" s="4677"/>
      <c r="K62" s="4677"/>
      <c r="L62" s="4677"/>
      <c r="M62" s="4677"/>
      <c r="N62" s="4677"/>
      <c r="O62" s="4677"/>
      <c r="P62" s="4677"/>
      <c r="Q62" s="4677"/>
      <c r="R62" s="4677"/>
      <c r="S62" s="4677"/>
      <c r="T62" s="4677"/>
      <c r="U62" s="4677"/>
      <c r="V62" s="4677"/>
      <c r="W62" s="1509"/>
      <c r="X62" s="1509"/>
      <c r="Y62" s="1509"/>
      <c r="Z62" s="1509"/>
      <c r="AA62" s="1509"/>
      <c r="AB62" s="1509"/>
      <c r="AC62" s="1509"/>
      <c r="AD62" s="1509"/>
      <c r="AE62" s="1509"/>
      <c r="AF62" s="1509"/>
      <c r="AG62" s="1509"/>
      <c r="AH62" s="1509"/>
      <c r="AI62" s="1509"/>
      <c r="AJ62" s="1509"/>
      <c r="AK62" s="1509"/>
      <c r="AL62" s="1509"/>
      <c r="AM62" s="1509"/>
      <c r="AN62" s="1509"/>
      <c r="AO62" s="1509"/>
      <c r="AP62" s="1509"/>
      <c r="AQ62" s="1509"/>
      <c r="AR62" s="1509"/>
      <c r="AS62" s="1509"/>
      <c r="AT62" s="1509"/>
      <c r="AU62" s="1509"/>
      <c r="AV62" s="1509"/>
      <c r="AW62" s="1509"/>
      <c r="AX62" s="1509"/>
      <c r="AY62" s="1509"/>
      <c r="AZ62" s="1509"/>
      <c r="BA62" s="1509"/>
      <c r="BB62" s="1509"/>
      <c r="BC62" s="1509"/>
      <c r="BD62" s="1509"/>
      <c r="BE62" s="1509"/>
      <c r="BF62" s="1509"/>
      <c r="BG62" s="1509"/>
      <c r="BH62" s="1509"/>
      <c r="BI62" s="1509"/>
      <c r="BJ62" s="1509"/>
      <c r="BK62" s="1509"/>
      <c r="BL62" s="1509"/>
      <c r="BM62" s="1509"/>
      <c r="BN62" s="1509"/>
      <c r="BO62" s="1509"/>
      <c r="BP62" s="1509"/>
      <c r="BQ62" s="1509"/>
      <c r="BR62" s="1509"/>
      <c r="BS62" s="1509"/>
      <c r="BT62" s="1509"/>
      <c r="BU62" s="1509"/>
      <c r="BV62" s="1509"/>
      <c r="BW62" s="1509"/>
      <c r="BX62" s="1509"/>
      <c r="BY62" s="1509"/>
      <c r="BZ62" s="1509"/>
      <c r="CA62" s="1509"/>
      <c r="CB62" s="1509"/>
      <c r="CC62" s="1509"/>
      <c r="CD62" s="1509"/>
      <c r="CE62" s="1509"/>
      <c r="CF62" s="1509"/>
      <c r="CG62" s="1509"/>
      <c r="CH62" s="1509"/>
      <c r="CI62" s="1509"/>
      <c r="CJ62" s="1509"/>
      <c r="CK62" s="1509"/>
      <c r="CL62" s="1509"/>
      <c r="CM62" s="1509"/>
      <c r="CN62" s="1509"/>
      <c r="CO62" s="1509"/>
      <c r="CP62" s="1509"/>
      <c r="CQ62" s="1509"/>
      <c r="CR62" s="1509"/>
      <c r="CS62" s="1509"/>
      <c r="CT62" s="1509"/>
      <c r="CU62" s="1509"/>
      <c r="CV62" s="1509"/>
      <c r="CW62" s="1509"/>
      <c r="CX62" s="1509"/>
      <c r="CY62" s="1509"/>
      <c r="CZ62" s="1509"/>
      <c r="DA62" s="1509"/>
      <c r="DB62" s="1509"/>
      <c r="DC62" s="1509"/>
      <c r="DD62" s="1509"/>
      <c r="DE62" s="1509"/>
      <c r="DF62" s="1509"/>
      <c r="DG62" s="1509"/>
      <c r="DH62" s="1509"/>
      <c r="DI62" s="1509"/>
      <c r="DJ62" s="1509"/>
      <c r="DK62" s="1509"/>
      <c r="DL62" s="1509"/>
      <c r="DM62" s="1509"/>
      <c r="DN62" s="1509"/>
      <c r="DO62" s="1509"/>
      <c r="DP62" s="1509"/>
      <c r="DQ62" s="1509"/>
      <c r="DR62" s="1509"/>
      <c r="DS62" s="1509"/>
      <c r="DT62" s="1509"/>
      <c r="DU62" s="1509"/>
      <c r="DV62" s="1509"/>
      <c r="DW62" s="1509"/>
      <c r="DX62" s="1509"/>
      <c r="DY62" s="1509"/>
      <c r="DZ62" s="1509"/>
      <c r="EA62" s="1509"/>
      <c r="EB62" s="1509"/>
      <c r="EC62" s="1509"/>
      <c r="ED62" s="1509"/>
      <c r="EE62" s="1509"/>
      <c r="EF62" s="1509"/>
      <c r="EG62" s="1509"/>
      <c r="EH62" s="1509"/>
      <c r="EI62" s="1509"/>
      <c r="EJ62" s="1509"/>
      <c r="EK62" s="1509"/>
      <c r="EL62" s="1509"/>
      <c r="EM62" s="1509"/>
      <c r="EN62" s="1509"/>
      <c r="EO62" s="1509"/>
      <c r="EP62" s="1509"/>
      <c r="EQ62" s="1509"/>
      <c r="ER62" s="1509"/>
      <c r="ES62" s="1509"/>
      <c r="ET62" s="1509"/>
      <c r="EU62" s="1509"/>
      <c r="EV62" s="1509"/>
      <c r="EW62" s="1509"/>
      <c r="EX62" s="1509"/>
      <c r="EY62" s="1509"/>
      <c r="EZ62" s="1509"/>
      <c r="FA62" s="1509"/>
      <c r="FB62" s="1509"/>
      <c r="FC62" s="1509"/>
      <c r="FD62" s="1509"/>
      <c r="FE62" s="1509"/>
      <c r="FF62" s="1509"/>
      <c r="FG62" s="1509"/>
      <c r="FH62" s="1509"/>
      <c r="FI62" s="1509"/>
      <c r="FJ62" s="1509"/>
      <c r="FK62" s="1509"/>
      <c r="FL62" s="1509"/>
      <c r="FM62" s="1509"/>
      <c r="FN62" s="1509"/>
      <c r="FO62" s="1509"/>
      <c r="FP62" s="1509"/>
      <c r="FQ62" s="1509"/>
      <c r="FR62" s="1509"/>
      <c r="FS62" s="1509"/>
      <c r="FT62" s="1509"/>
      <c r="FU62" s="1509"/>
      <c r="FV62" s="1509"/>
      <c r="FW62" s="1509"/>
      <c r="FX62" s="1509"/>
      <c r="FY62" s="1509"/>
      <c r="FZ62" s="1509"/>
      <c r="GA62" s="1509"/>
      <c r="GB62" s="1509"/>
      <c r="GC62" s="1509"/>
      <c r="GD62" s="1509"/>
      <c r="GE62" s="1509"/>
      <c r="GF62" s="1509"/>
      <c r="GG62" s="1509"/>
      <c r="GH62" s="1509"/>
      <c r="GI62" s="1509"/>
      <c r="GJ62" s="1509"/>
      <c r="GK62" s="1509"/>
      <c r="GL62" s="1509"/>
      <c r="GM62" s="1509"/>
      <c r="GN62" s="1509"/>
      <c r="GO62" s="1509"/>
      <c r="GP62" s="1509"/>
      <c r="GQ62" s="1509"/>
      <c r="GR62" s="1509"/>
      <c r="GS62" s="1509"/>
      <c r="GT62" s="1509"/>
    </row>
    <row r="63" spans="1:202" s="4665" customFormat="1" ht="17.100000000000001" customHeight="1">
      <c r="A63" s="4679"/>
      <c r="C63" s="4678"/>
      <c r="D63" s="4676"/>
      <c r="E63" s="787"/>
      <c r="F63" s="4677"/>
      <c r="G63" s="4677"/>
      <c r="H63" s="4677"/>
      <c r="I63" s="4677"/>
      <c r="J63" s="4677"/>
      <c r="K63" s="4677"/>
      <c r="L63" s="4677"/>
      <c r="M63" s="4677"/>
      <c r="N63" s="4677"/>
      <c r="O63" s="4677"/>
      <c r="P63" s="4677"/>
      <c r="Q63" s="4677"/>
      <c r="R63" s="4677"/>
      <c r="S63" s="4677"/>
      <c r="T63" s="4677"/>
      <c r="U63" s="4677"/>
      <c r="V63" s="4677"/>
      <c r="W63" s="1509"/>
      <c r="X63" s="1509"/>
      <c r="Y63" s="1509"/>
      <c r="Z63" s="1509"/>
      <c r="AA63" s="1509"/>
      <c r="AB63" s="1509"/>
      <c r="AC63" s="1509"/>
      <c r="AD63" s="1509"/>
      <c r="AE63" s="1509"/>
      <c r="AF63" s="1509"/>
      <c r="AG63" s="1509"/>
      <c r="AH63" s="1509"/>
      <c r="AI63" s="1509"/>
      <c r="AJ63" s="1509"/>
      <c r="AK63" s="1509"/>
      <c r="AL63" s="1509"/>
      <c r="AM63" s="1509"/>
      <c r="AN63" s="1509"/>
      <c r="AO63" s="1509"/>
      <c r="AP63" s="1509"/>
      <c r="AQ63" s="1509"/>
      <c r="AR63" s="1509"/>
      <c r="AS63" s="1509"/>
      <c r="AT63" s="1509"/>
      <c r="AU63" s="1509"/>
      <c r="AV63" s="1509"/>
      <c r="AW63" s="1509"/>
      <c r="AX63" s="1509"/>
      <c r="AY63" s="1509"/>
      <c r="AZ63" s="1509"/>
      <c r="BA63" s="1509"/>
      <c r="BB63" s="1509"/>
      <c r="BC63" s="1509"/>
      <c r="BD63" s="1509"/>
      <c r="BE63" s="1509"/>
      <c r="BF63" s="1509"/>
      <c r="BG63" s="1509"/>
      <c r="BH63" s="1509"/>
      <c r="BI63" s="1509"/>
      <c r="BJ63" s="1509"/>
      <c r="BK63" s="1509"/>
      <c r="BL63" s="1509"/>
      <c r="BM63" s="1509"/>
      <c r="BN63" s="1509"/>
      <c r="BO63" s="1509"/>
      <c r="BP63" s="1509"/>
      <c r="BQ63" s="1509"/>
      <c r="BR63" s="1509"/>
      <c r="BS63" s="1509"/>
      <c r="BT63" s="1509"/>
      <c r="BU63" s="1509"/>
      <c r="BV63" s="1509"/>
      <c r="BW63" s="1509"/>
      <c r="BX63" s="1509"/>
      <c r="BY63" s="1509"/>
      <c r="BZ63" s="1509"/>
      <c r="CA63" s="1509"/>
      <c r="CB63" s="1509"/>
      <c r="CC63" s="1509"/>
      <c r="CD63" s="1509"/>
      <c r="CE63" s="1509"/>
      <c r="CF63" s="1509"/>
      <c r="CG63" s="1509"/>
      <c r="CH63" s="1509"/>
      <c r="CI63" s="1509"/>
      <c r="CJ63" s="1509"/>
      <c r="CK63" s="1509"/>
      <c r="CL63" s="1509"/>
      <c r="CM63" s="1509"/>
      <c r="CN63" s="1509"/>
      <c r="CO63" s="1509"/>
      <c r="CP63" s="1509"/>
      <c r="CQ63" s="1509"/>
      <c r="CR63" s="1509"/>
      <c r="CS63" s="1509"/>
      <c r="CT63" s="1509"/>
      <c r="CU63" s="1509"/>
      <c r="CV63" s="1509"/>
      <c r="CW63" s="1509"/>
      <c r="CX63" s="1509"/>
      <c r="CY63" s="1509"/>
      <c r="CZ63" s="1509"/>
      <c r="DA63" s="1509"/>
      <c r="DB63" s="1509"/>
      <c r="DC63" s="1509"/>
      <c r="DD63" s="1509"/>
      <c r="DE63" s="1509"/>
      <c r="DF63" s="1509"/>
      <c r="DG63" s="1509"/>
      <c r="DH63" s="1509"/>
      <c r="DI63" s="1509"/>
      <c r="DJ63" s="1509"/>
      <c r="DK63" s="1509"/>
      <c r="DL63" s="1509"/>
      <c r="DM63" s="1509"/>
      <c r="DN63" s="1509"/>
      <c r="DO63" s="1509"/>
      <c r="DP63" s="1509"/>
      <c r="DQ63" s="1509"/>
      <c r="DR63" s="1509"/>
      <c r="DS63" s="1509"/>
      <c r="DT63" s="1509"/>
      <c r="DU63" s="1509"/>
      <c r="DV63" s="1509"/>
      <c r="DW63" s="1509"/>
      <c r="DX63" s="1509"/>
      <c r="DY63" s="1509"/>
      <c r="DZ63" s="1509"/>
      <c r="EA63" s="1509"/>
      <c r="EB63" s="1509"/>
      <c r="EC63" s="1509"/>
      <c r="ED63" s="1509"/>
      <c r="EE63" s="1509"/>
      <c r="EF63" s="1509"/>
      <c r="EG63" s="1509"/>
      <c r="EH63" s="1509"/>
      <c r="EI63" s="1509"/>
      <c r="EJ63" s="1509"/>
      <c r="EK63" s="1509"/>
      <c r="EL63" s="1509"/>
      <c r="EM63" s="1509"/>
      <c r="EN63" s="1509"/>
      <c r="EO63" s="1509"/>
      <c r="EP63" s="1509"/>
      <c r="EQ63" s="1509"/>
      <c r="ER63" s="1509"/>
      <c r="ES63" s="1509"/>
      <c r="ET63" s="1509"/>
      <c r="EU63" s="1509"/>
      <c r="EV63" s="1509"/>
      <c r="EW63" s="1509"/>
      <c r="EX63" s="1509"/>
      <c r="EY63" s="1509"/>
      <c r="EZ63" s="1509"/>
      <c r="FA63" s="1509"/>
      <c r="FB63" s="1509"/>
      <c r="FC63" s="1509"/>
      <c r="FD63" s="1509"/>
      <c r="FE63" s="1509"/>
      <c r="FF63" s="1509"/>
      <c r="FG63" s="1509"/>
      <c r="FH63" s="1509"/>
      <c r="FI63" s="1509"/>
      <c r="FJ63" s="1509"/>
      <c r="FK63" s="1509"/>
      <c r="FL63" s="1509"/>
      <c r="FM63" s="1509"/>
      <c r="FN63" s="1509"/>
      <c r="FO63" s="1509"/>
      <c r="FP63" s="1509"/>
      <c r="FQ63" s="1509"/>
      <c r="FR63" s="1509"/>
      <c r="FS63" s="1509"/>
      <c r="FT63" s="1509"/>
      <c r="FU63" s="1509"/>
      <c r="FV63" s="1509"/>
      <c r="FW63" s="1509"/>
      <c r="FX63" s="1509"/>
      <c r="FY63" s="1509"/>
      <c r="FZ63" s="1509"/>
      <c r="GA63" s="1509"/>
      <c r="GB63" s="1509"/>
      <c r="GC63" s="1509"/>
      <c r="GD63" s="1509"/>
      <c r="GE63" s="1509"/>
      <c r="GF63" s="1509"/>
      <c r="GG63" s="1509"/>
      <c r="GH63" s="1509"/>
      <c r="GI63" s="1509"/>
      <c r="GJ63" s="1509"/>
      <c r="GK63" s="1509"/>
      <c r="GL63" s="1509"/>
      <c r="GM63" s="1509"/>
      <c r="GN63" s="1509"/>
      <c r="GO63" s="1509"/>
      <c r="GP63" s="1509"/>
      <c r="GQ63" s="1509"/>
      <c r="GR63" s="1509"/>
      <c r="GS63" s="1509"/>
      <c r="GT63" s="1509"/>
    </row>
    <row r="64" spans="1:202" s="4665" customFormat="1" ht="17.100000000000001" customHeight="1">
      <c r="A64" s="4679"/>
      <c r="C64" s="4678"/>
      <c r="D64" s="4676"/>
      <c r="E64" s="787"/>
      <c r="F64" s="4677"/>
      <c r="G64" s="4677"/>
      <c r="H64" s="4677"/>
      <c r="I64" s="4677"/>
      <c r="J64" s="4677"/>
      <c r="K64" s="4677"/>
      <c r="L64" s="4677"/>
      <c r="M64" s="4677"/>
      <c r="N64" s="4677"/>
      <c r="O64" s="4677"/>
      <c r="P64" s="4677"/>
      <c r="Q64" s="4677"/>
      <c r="R64" s="4677"/>
      <c r="S64" s="4677"/>
      <c r="T64" s="4677"/>
      <c r="U64" s="4677"/>
      <c r="V64" s="4677"/>
      <c r="W64" s="1509"/>
      <c r="X64" s="1509"/>
      <c r="Y64" s="1509"/>
      <c r="Z64" s="1509"/>
      <c r="AA64" s="1509"/>
      <c r="AB64" s="1509"/>
      <c r="AC64" s="1509"/>
      <c r="AD64" s="1509"/>
      <c r="AE64" s="1509"/>
      <c r="AF64" s="1509"/>
      <c r="AG64" s="1509"/>
      <c r="AH64" s="1509"/>
      <c r="AI64" s="1509"/>
      <c r="AJ64" s="1509"/>
      <c r="AK64" s="1509"/>
      <c r="AL64" s="1509"/>
      <c r="AM64" s="1509"/>
      <c r="AN64" s="1509"/>
      <c r="AO64" s="1509"/>
      <c r="AP64" s="1509"/>
      <c r="AQ64" s="1509"/>
      <c r="AR64" s="1509"/>
      <c r="AS64" s="1509"/>
      <c r="AT64" s="1509"/>
      <c r="AU64" s="1509"/>
      <c r="AV64" s="1509"/>
      <c r="AW64" s="1509"/>
      <c r="AX64" s="1509"/>
      <c r="AY64" s="1509"/>
      <c r="AZ64" s="1509"/>
      <c r="BA64" s="1509"/>
      <c r="BB64" s="1509"/>
      <c r="BC64" s="1509"/>
      <c r="BD64" s="1509"/>
      <c r="BE64" s="1509"/>
      <c r="BF64" s="1509"/>
      <c r="BG64" s="1509"/>
      <c r="BH64" s="1509"/>
      <c r="BI64" s="1509"/>
      <c r="BJ64" s="1509"/>
      <c r="BK64" s="1509"/>
      <c r="BL64" s="1509"/>
      <c r="BM64" s="1509"/>
      <c r="BN64" s="1509"/>
      <c r="BO64" s="1509"/>
      <c r="BP64" s="1509"/>
      <c r="BQ64" s="1509"/>
      <c r="BR64" s="1509"/>
      <c r="BS64" s="1509"/>
      <c r="BT64" s="1509"/>
      <c r="BU64" s="1509"/>
      <c r="BV64" s="1509"/>
      <c r="BW64" s="1509"/>
      <c r="BX64" s="1509"/>
      <c r="BY64" s="1509"/>
      <c r="BZ64" s="1509"/>
      <c r="CA64" s="1509"/>
      <c r="CB64" s="1509"/>
      <c r="CC64" s="1509"/>
      <c r="CD64" s="1509"/>
      <c r="CE64" s="1509"/>
      <c r="CF64" s="1509"/>
      <c r="CG64" s="1509"/>
      <c r="CH64" s="1509"/>
      <c r="CI64" s="1509"/>
      <c r="CJ64" s="1509"/>
      <c r="CK64" s="1509"/>
      <c r="CL64" s="1509"/>
      <c r="CM64" s="1509"/>
      <c r="CN64" s="1509"/>
      <c r="CO64" s="1509"/>
      <c r="CP64" s="1509"/>
      <c r="CQ64" s="1509"/>
      <c r="CR64" s="1509"/>
      <c r="CS64" s="1509"/>
      <c r="CT64" s="1509"/>
      <c r="CU64" s="1509"/>
      <c r="CV64" s="1509"/>
      <c r="CW64" s="1509"/>
      <c r="CX64" s="1509"/>
      <c r="CY64" s="1509"/>
      <c r="CZ64" s="1509"/>
      <c r="DA64" s="1509"/>
      <c r="DB64" s="1509"/>
      <c r="DC64" s="1509"/>
      <c r="DD64" s="1509"/>
      <c r="DE64" s="1509"/>
      <c r="DF64" s="1509"/>
      <c r="DG64" s="1509"/>
      <c r="DH64" s="1509"/>
      <c r="DI64" s="1509"/>
      <c r="DJ64" s="1509"/>
      <c r="DK64" s="1509"/>
      <c r="DL64" s="1509"/>
      <c r="DM64" s="1509"/>
      <c r="DN64" s="1509"/>
      <c r="DO64" s="1509"/>
      <c r="DP64" s="1509"/>
      <c r="DQ64" s="1509"/>
      <c r="DR64" s="1509"/>
      <c r="DS64" s="1509"/>
      <c r="DT64" s="1509"/>
      <c r="DU64" s="1509"/>
      <c r="DV64" s="1509"/>
      <c r="DW64" s="1509"/>
      <c r="DX64" s="1509"/>
      <c r="DY64" s="1509"/>
      <c r="DZ64" s="1509"/>
      <c r="EA64" s="1509"/>
      <c r="EB64" s="1509"/>
      <c r="EC64" s="1509"/>
      <c r="ED64" s="1509"/>
      <c r="EE64" s="1509"/>
      <c r="EF64" s="1509"/>
      <c r="EG64" s="1509"/>
      <c r="EH64" s="1509"/>
      <c r="EI64" s="1509"/>
      <c r="EJ64" s="1509"/>
      <c r="EK64" s="1509"/>
      <c r="EL64" s="1509"/>
      <c r="EM64" s="1509"/>
      <c r="EN64" s="1509"/>
      <c r="EO64" s="1509"/>
      <c r="EP64" s="1509"/>
      <c r="EQ64" s="1509"/>
      <c r="ER64" s="1509"/>
      <c r="ES64" s="1509"/>
      <c r="ET64" s="1509"/>
      <c r="EU64" s="1509"/>
      <c r="EV64" s="1509"/>
      <c r="EW64" s="1509"/>
      <c r="EX64" s="1509"/>
      <c r="EY64" s="1509"/>
      <c r="EZ64" s="1509"/>
      <c r="FA64" s="1509"/>
      <c r="FB64" s="1509"/>
      <c r="FC64" s="1509"/>
      <c r="FD64" s="1509"/>
      <c r="FE64" s="1509"/>
      <c r="FF64" s="1509"/>
      <c r="FG64" s="1509"/>
      <c r="FH64" s="1509"/>
      <c r="FI64" s="1509"/>
      <c r="FJ64" s="1509"/>
      <c r="FK64" s="1509"/>
      <c r="FL64" s="1509"/>
      <c r="FM64" s="1509"/>
      <c r="FN64" s="1509"/>
      <c r="FO64" s="1509"/>
      <c r="FP64" s="1509"/>
      <c r="FQ64" s="1509"/>
      <c r="FR64" s="1509"/>
      <c r="FS64" s="1509"/>
      <c r="FT64" s="1509"/>
      <c r="FU64" s="1509"/>
      <c r="FV64" s="1509"/>
      <c r="FW64" s="1509"/>
      <c r="FX64" s="1509"/>
      <c r="FY64" s="1509"/>
      <c r="FZ64" s="1509"/>
      <c r="GA64" s="1509"/>
      <c r="GB64" s="1509"/>
      <c r="GC64" s="1509"/>
      <c r="GD64" s="1509"/>
      <c r="GE64" s="1509"/>
      <c r="GF64" s="1509"/>
      <c r="GG64" s="1509"/>
      <c r="GH64" s="1509"/>
      <c r="GI64" s="1509"/>
      <c r="GJ64" s="1509"/>
      <c r="GK64" s="1509"/>
      <c r="GL64" s="1509"/>
      <c r="GM64" s="1509"/>
      <c r="GN64" s="1509"/>
      <c r="GO64" s="1509"/>
      <c r="GP64" s="1509"/>
      <c r="GQ64" s="1509"/>
      <c r="GR64" s="1509"/>
      <c r="GS64" s="1509"/>
      <c r="GT64" s="1509"/>
    </row>
    <row r="65" spans="1:202" s="4665" customFormat="1" ht="17.100000000000001" customHeight="1">
      <c r="C65" s="4678"/>
      <c r="D65" s="4676"/>
      <c r="E65" s="787"/>
      <c r="F65" s="4677"/>
      <c r="G65" s="4677"/>
      <c r="H65" s="4677"/>
      <c r="I65" s="4677"/>
      <c r="J65" s="4677"/>
      <c r="K65" s="4677"/>
      <c r="L65" s="4677"/>
      <c r="M65" s="4677"/>
      <c r="N65" s="4677"/>
      <c r="O65" s="4677"/>
      <c r="P65" s="4677"/>
      <c r="Q65" s="4677"/>
      <c r="R65" s="4677"/>
      <c r="S65" s="4677"/>
      <c r="T65" s="4677"/>
      <c r="U65" s="4677"/>
      <c r="V65" s="4677"/>
      <c r="W65" s="1509"/>
      <c r="X65" s="1509"/>
      <c r="Y65" s="1509"/>
      <c r="Z65" s="1509"/>
      <c r="AA65" s="1509"/>
      <c r="AB65" s="1509"/>
      <c r="AC65" s="1509"/>
      <c r="AD65" s="1509"/>
      <c r="AE65" s="1509"/>
      <c r="AF65" s="1509"/>
      <c r="AG65" s="1509"/>
      <c r="AH65" s="1509"/>
      <c r="AI65" s="1509"/>
      <c r="AJ65" s="1509"/>
      <c r="AK65" s="1509"/>
      <c r="AL65" s="1509"/>
      <c r="AM65" s="1509"/>
      <c r="AN65" s="1509"/>
      <c r="AO65" s="1509"/>
      <c r="AP65" s="1509"/>
      <c r="AQ65" s="1509"/>
      <c r="AR65" s="1509"/>
      <c r="AS65" s="1509"/>
      <c r="AT65" s="1509"/>
      <c r="AU65" s="1509"/>
      <c r="AV65" s="1509"/>
      <c r="AW65" s="1509"/>
      <c r="AX65" s="1509"/>
      <c r="AY65" s="1509"/>
      <c r="AZ65" s="1509"/>
      <c r="BA65" s="1509"/>
      <c r="BB65" s="1509"/>
      <c r="BC65" s="1509"/>
      <c r="BD65" s="1509"/>
      <c r="BE65" s="1509"/>
      <c r="BF65" s="1509"/>
      <c r="BG65" s="1509"/>
      <c r="BH65" s="1509"/>
      <c r="BI65" s="1509"/>
      <c r="BJ65" s="1509"/>
      <c r="BK65" s="1509"/>
      <c r="BL65" s="1509"/>
      <c r="BM65" s="1509"/>
      <c r="BN65" s="1509"/>
      <c r="BO65" s="1509"/>
      <c r="BP65" s="1509"/>
      <c r="BQ65" s="1509"/>
      <c r="BR65" s="1509"/>
      <c r="BS65" s="1509"/>
      <c r="BT65" s="1509"/>
      <c r="BU65" s="1509"/>
      <c r="BV65" s="1509"/>
      <c r="BW65" s="1509"/>
      <c r="BX65" s="1509"/>
      <c r="BY65" s="1509"/>
      <c r="BZ65" s="1509"/>
      <c r="CA65" s="1509"/>
      <c r="CB65" s="1509"/>
      <c r="CC65" s="1509"/>
      <c r="CD65" s="1509"/>
      <c r="CE65" s="1509"/>
      <c r="CF65" s="1509"/>
      <c r="CG65" s="1509"/>
      <c r="CH65" s="1509"/>
      <c r="CI65" s="1509"/>
      <c r="CJ65" s="1509"/>
      <c r="CK65" s="1509"/>
      <c r="CL65" s="1509"/>
      <c r="CM65" s="1509"/>
      <c r="CN65" s="1509"/>
      <c r="CO65" s="1509"/>
      <c r="CP65" s="1509"/>
      <c r="CQ65" s="1509"/>
      <c r="CR65" s="1509"/>
      <c r="CS65" s="1509"/>
      <c r="CT65" s="1509"/>
      <c r="CU65" s="1509"/>
      <c r="CV65" s="1509"/>
      <c r="CW65" s="1509"/>
      <c r="CX65" s="1509"/>
      <c r="CY65" s="1509"/>
      <c r="CZ65" s="1509"/>
      <c r="DA65" s="1509"/>
      <c r="DB65" s="1509"/>
      <c r="DC65" s="1509"/>
      <c r="DD65" s="1509"/>
      <c r="DE65" s="1509"/>
      <c r="DF65" s="1509"/>
      <c r="DG65" s="1509"/>
      <c r="DH65" s="1509"/>
      <c r="DI65" s="1509"/>
      <c r="DJ65" s="1509"/>
      <c r="DK65" s="1509"/>
      <c r="DL65" s="1509"/>
      <c r="DM65" s="1509"/>
      <c r="DN65" s="1509"/>
      <c r="DO65" s="1509"/>
      <c r="DP65" s="1509"/>
      <c r="DQ65" s="1509"/>
      <c r="DR65" s="1509"/>
      <c r="DS65" s="1509"/>
      <c r="DT65" s="1509"/>
      <c r="DU65" s="1509"/>
      <c r="DV65" s="1509"/>
      <c r="DW65" s="1509"/>
      <c r="DX65" s="1509"/>
      <c r="DY65" s="1509"/>
      <c r="DZ65" s="1509"/>
      <c r="EA65" s="1509"/>
      <c r="EB65" s="1509"/>
      <c r="EC65" s="1509"/>
      <c r="ED65" s="1509"/>
      <c r="EE65" s="1509"/>
      <c r="EF65" s="1509"/>
      <c r="EG65" s="1509"/>
      <c r="EH65" s="1509"/>
      <c r="EI65" s="1509"/>
      <c r="EJ65" s="1509"/>
      <c r="EK65" s="1509"/>
      <c r="EL65" s="1509"/>
      <c r="EM65" s="1509"/>
      <c r="EN65" s="1509"/>
      <c r="EO65" s="1509"/>
      <c r="EP65" s="1509"/>
      <c r="EQ65" s="1509"/>
      <c r="ER65" s="1509"/>
      <c r="ES65" s="1509"/>
      <c r="ET65" s="1509"/>
      <c r="EU65" s="1509"/>
      <c r="EV65" s="1509"/>
      <c r="EW65" s="1509"/>
      <c r="EX65" s="1509"/>
      <c r="EY65" s="1509"/>
      <c r="EZ65" s="1509"/>
      <c r="FA65" s="1509"/>
      <c r="FB65" s="1509"/>
      <c r="FC65" s="1509"/>
      <c r="FD65" s="1509"/>
      <c r="FE65" s="1509"/>
      <c r="FF65" s="1509"/>
      <c r="FG65" s="1509"/>
      <c r="FH65" s="1509"/>
      <c r="FI65" s="1509"/>
      <c r="FJ65" s="1509"/>
      <c r="FK65" s="1509"/>
      <c r="FL65" s="1509"/>
      <c r="FM65" s="1509"/>
      <c r="FN65" s="1509"/>
      <c r="FO65" s="1509"/>
      <c r="FP65" s="1509"/>
      <c r="FQ65" s="1509"/>
      <c r="FR65" s="1509"/>
      <c r="FS65" s="1509"/>
      <c r="FT65" s="1509"/>
      <c r="FU65" s="1509"/>
      <c r="FV65" s="1509"/>
      <c r="FW65" s="1509"/>
      <c r="FX65" s="1509"/>
      <c r="FY65" s="1509"/>
      <c r="FZ65" s="1509"/>
      <c r="GA65" s="1509"/>
      <c r="GB65" s="1509"/>
      <c r="GC65" s="1509"/>
      <c r="GD65" s="1509"/>
      <c r="GE65" s="1509"/>
      <c r="GF65" s="1509"/>
      <c r="GG65" s="1509"/>
      <c r="GH65" s="1509"/>
      <c r="GI65" s="1509"/>
      <c r="GJ65" s="1509"/>
      <c r="GK65" s="1509"/>
      <c r="GL65" s="1509"/>
      <c r="GM65" s="1509"/>
      <c r="GN65" s="1509"/>
      <c r="GO65" s="1509"/>
      <c r="GP65" s="1509"/>
      <c r="GQ65" s="1509"/>
      <c r="GR65" s="1509"/>
      <c r="GS65" s="1509"/>
      <c r="GT65" s="1509"/>
    </row>
    <row r="66" spans="1:202" s="4665" customFormat="1" ht="17.100000000000001" customHeight="1">
      <c r="A66" s="4679"/>
      <c r="C66" s="4678"/>
      <c r="D66" s="4676"/>
      <c r="E66" s="787"/>
      <c r="F66" s="4677"/>
      <c r="G66" s="4677"/>
      <c r="H66" s="4677"/>
      <c r="I66" s="4677"/>
      <c r="J66" s="4677"/>
      <c r="K66" s="4677"/>
      <c r="L66" s="4677"/>
      <c r="M66" s="4677"/>
      <c r="N66" s="4677"/>
      <c r="O66" s="4677"/>
      <c r="P66" s="4677"/>
      <c r="Q66" s="4677"/>
      <c r="R66" s="4677"/>
      <c r="S66" s="4677"/>
      <c r="T66" s="4677"/>
      <c r="U66" s="4677"/>
      <c r="V66" s="4677"/>
      <c r="W66" s="1509"/>
      <c r="X66" s="1509"/>
      <c r="Y66" s="1509"/>
      <c r="Z66" s="1509"/>
      <c r="AA66" s="1509"/>
      <c r="AB66" s="1509"/>
      <c r="AC66" s="1509"/>
      <c r="AD66" s="1509"/>
      <c r="AE66" s="1509"/>
      <c r="AF66" s="1509"/>
      <c r="AG66" s="1509"/>
      <c r="AH66" s="1509"/>
      <c r="AI66" s="1509"/>
      <c r="AJ66" s="1509"/>
      <c r="AK66" s="1509"/>
      <c r="AL66" s="1509"/>
      <c r="AM66" s="1509"/>
      <c r="AN66" s="1509"/>
      <c r="AO66" s="1509"/>
      <c r="AP66" s="1509"/>
      <c r="AQ66" s="1509"/>
      <c r="AR66" s="1509"/>
      <c r="AS66" s="1509"/>
      <c r="AT66" s="1509"/>
      <c r="AU66" s="1509"/>
      <c r="AV66" s="1509"/>
      <c r="AW66" s="1509"/>
      <c r="AX66" s="1509"/>
      <c r="AY66" s="1509"/>
      <c r="AZ66" s="1509"/>
      <c r="BA66" s="1509"/>
      <c r="BB66" s="1509"/>
      <c r="BC66" s="1509"/>
      <c r="BD66" s="1509"/>
      <c r="BE66" s="1509"/>
      <c r="BF66" s="1509"/>
      <c r="BG66" s="1509"/>
      <c r="BH66" s="1509"/>
      <c r="BI66" s="1509"/>
      <c r="BJ66" s="1509"/>
      <c r="BK66" s="1509"/>
      <c r="BL66" s="1509"/>
      <c r="BM66" s="1509"/>
      <c r="BN66" s="1509"/>
      <c r="BO66" s="1509"/>
      <c r="BP66" s="1509"/>
      <c r="BQ66" s="1509"/>
      <c r="BR66" s="1509"/>
      <c r="BS66" s="1509"/>
      <c r="BT66" s="1509"/>
      <c r="BU66" s="1509"/>
      <c r="BV66" s="1509"/>
      <c r="BW66" s="1509"/>
      <c r="BX66" s="1509"/>
      <c r="BY66" s="1509"/>
      <c r="BZ66" s="1509"/>
      <c r="CA66" s="1509"/>
      <c r="CB66" s="1509"/>
      <c r="CC66" s="1509"/>
      <c r="CD66" s="1509"/>
      <c r="CE66" s="1509"/>
      <c r="CF66" s="1509"/>
      <c r="CG66" s="1509"/>
      <c r="CH66" s="1509"/>
      <c r="CI66" s="1509"/>
      <c r="CJ66" s="1509"/>
      <c r="CK66" s="1509"/>
      <c r="CL66" s="1509"/>
      <c r="CM66" s="1509"/>
      <c r="CN66" s="1509"/>
      <c r="CO66" s="1509"/>
      <c r="CP66" s="1509"/>
      <c r="CQ66" s="1509"/>
      <c r="CR66" s="1509"/>
      <c r="CS66" s="1509"/>
      <c r="CT66" s="1509"/>
      <c r="CU66" s="1509"/>
      <c r="CV66" s="1509"/>
      <c r="CW66" s="1509"/>
      <c r="CX66" s="1509"/>
      <c r="CY66" s="1509"/>
      <c r="CZ66" s="1509"/>
      <c r="DA66" s="1509"/>
      <c r="DB66" s="1509"/>
      <c r="DC66" s="1509"/>
      <c r="DD66" s="1509"/>
      <c r="DE66" s="1509"/>
      <c r="DF66" s="1509"/>
      <c r="DG66" s="1509"/>
      <c r="DH66" s="1509"/>
      <c r="DI66" s="1509"/>
      <c r="DJ66" s="1509"/>
      <c r="DK66" s="1509"/>
      <c r="DL66" s="1509"/>
      <c r="DM66" s="1509"/>
      <c r="DN66" s="1509"/>
      <c r="DO66" s="1509"/>
      <c r="DP66" s="1509"/>
      <c r="DQ66" s="1509"/>
      <c r="DR66" s="1509"/>
      <c r="DS66" s="1509"/>
      <c r="DT66" s="1509"/>
      <c r="DU66" s="1509"/>
      <c r="DV66" s="1509"/>
      <c r="DW66" s="1509"/>
      <c r="DX66" s="1509"/>
      <c r="DY66" s="1509"/>
      <c r="DZ66" s="1509"/>
      <c r="EA66" s="1509"/>
      <c r="EB66" s="1509"/>
      <c r="EC66" s="1509"/>
      <c r="ED66" s="1509"/>
      <c r="EE66" s="1509"/>
      <c r="EF66" s="1509"/>
      <c r="EG66" s="1509"/>
      <c r="EH66" s="1509"/>
      <c r="EI66" s="1509"/>
      <c r="EJ66" s="1509"/>
      <c r="EK66" s="1509"/>
      <c r="EL66" s="1509"/>
      <c r="EM66" s="1509"/>
      <c r="EN66" s="1509"/>
      <c r="EO66" s="1509"/>
      <c r="EP66" s="1509"/>
      <c r="EQ66" s="1509"/>
      <c r="ER66" s="1509"/>
      <c r="ES66" s="1509"/>
      <c r="ET66" s="1509"/>
      <c r="EU66" s="1509"/>
      <c r="EV66" s="1509"/>
      <c r="EW66" s="1509"/>
      <c r="EX66" s="1509"/>
      <c r="EY66" s="1509"/>
      <c r="EZ66" s="1509"/>
      <c r="FA66" s="1509"/>
      <c r="FB66" s="1509"/>
      <c r="FC66" s="1509"/>
      <c r="FD66" s="1509"/>
      <c r="FE66" s="1509"/>
      <c r="FF66" s="1509"/>
      <c r="FG66" s="1509"/>
      <c r="FH66" s="1509"/>
      <c r="FI66" s="1509"/>
      <c r="FJ66" s="1509"/>
      <c r="FK66" s="1509"/>
      <c r="FL66" s="1509"/>
      <c r="FM66" s="1509"/>
      <c r="FN66" s="1509"/>
      <c r="FO66" s="1509"/>
      <c r="FP66" s="1509"/>
      <c r="FQ66" s="1509"/>
      <c r="FR66" s="1509"/>
      <c r="FS66" s="1509"/>
      <c r="FT66" s="1509"/>
      <c r="FU66" s="1509"/>
      <c r="FV66" s="1509"/>
      <c r="FW66" s="1509"/>
      <c r="FX66" s="1509"/>
      <c r="FY66" s="1509"/>
      <c r="FZ66" s="1509"/>
      <c r="GA66" s="1509"/>
      <c r="GB66" s="1509"/>
      <c r="GC66" s="1509"/>
      <c r="GD66" s="1509"/>
      <c r="GE66" s="1509"/>
      <c r="GF66" s="1509"/>
      <c r="GG66" s="1509"/>
      <c r="GH66" s="1509"/>
      <c r="GI66" s="1509"/>
      <c r="GJ66" s="1509"/>
      <c r="GK66" s="1509"/>
      <c r="GL66" s="1509"/>
      <c r="GM66" s="1509"/>
      <c r="GN66" s="1509"/>
      <c r="GO66" s="1509"/>
      <c r="GP66" s="1509"/>
      <c r="GQ66" s="1509"/>
      <c r="GR66" s="1509"/>
      <c r="GS66" s="1509"/>
      <c r="GT66" s="1509"/>
    </row>
    <row r="67" spans="1:202" s="4665" customFormat="1" ht="17.100000000000001" customHeight="1">
      <c r="C67" s="4678"/>
      <c r="D67" s="4676"/>
      <c r="E67" s="787"/>
      <c r="F67" s="4677"/>
      <c r="G67" s="4677"/>
      <c r="H67" s="4677"/>
      <c r="I67" s="4677"/>
      <c r="J67" s="4677"/>
      <c r="K67" s="4677"/>
      <c r="L67" s="4677"/>
      <c r="M67" s="4677"/>
      <c r="N67" s="4677"/>
      <c r="O67" s="4677"/>
      <c r="P67" s="4677"/>
      <c r="Q67" s="4677"/>
      <c r="R67" s="4677"/>
      <c r="S67" s="4677"/>
      <c r="T67" s="4677"/>
      <c r="U67" s="4677"/>
      <c r="V67" s="4677"/>
      <c r="W67" s="1509"/>
      <c r="X67" s="1509"/>
      <c r="Y67" s="1509"/>
      <c r="Z67" s="1509"/>
      <c r="AA67" s="1509"/>
      <c r="AB67" s="1509"/>
      <c r="AC67" s="1509"/>
      <c r="AD67" s="1509"/>
      <c r="AE67" s="1509"/>
      <c r="AF67" s="1509"/>
      <c r="AG67" s="1509"/>
      <c r="AH67" s="1509"/>
      <c r="AI67" s="1509"/>
      <c r="AJ67" s="1509"/>
      <c r="AK67" s="1509"/>
      <c r="AL67" s="1509"/>
      <c r="AM67" s="1509"/>
      <c r="AN67" s="1509"/>
      <c r="AO67" s="1509"/>
      <c r="AP67" s="1509"/>
      <c r="AQ67" s="1509"/>
      <c r="AR67" s="1509"/>
      <c r="AS67" s="1509"/>
      <c r="AT67" s="1509"/>
      <c r="AU67" s="1509"/>
      <c r="AV67" s="1509"/>
      <c r="AW67" s="1509"/>
      <c r="AX67" s="1509"/>
      <c r="AY67" s="1509"/>
      <c r="AZ67" s="1509"/>
      <c r="BA67" s="1509"/>
      <c r="BB67" s="1509"/>
      <c r="BC67" s="1509"/>
      <c r="BD67" s="1509"/>
      <c r="BE67" s="1509"/>
      <c r="BF67" s="1509"/>
      <c r="BG67" s="1509"/>
      <c r="BH67" s="1509"/>
      <c r="BI67" s="1509"/>
      <c r="BJ67" s="1509"/>
      <c r="BK67" s="1509"/>
      <c r="BL67" s="1509"/>
      <c r="BM67" s="1509"/>
      <c r="BN67" s="1509"/>
      <c r="BO67" s="1509"/>
      <c r="BP67" s="1509"/>
      <c r="BQ67" s="1509"/>
      <c r="BR67" s="1509"/>
      <c r="BS67" s="1509"/>
      <c r="BT67" s="1509"/>
      <c r="BU67" s="1509"/>
      <c r="BV67" s="1509"/>
      <c r="BW67" s="1509"/>
      <c r="BX67" s="1509"/>
      <c r="BY67" s="1509"/>
      <c r="BZ67" s="1509"/>
      <c r="CA67" s="1509"/>
      <c r="CB67" s="1509"/>
      <c r="CC67" s="1509"/>
      <c r="CD67" s="1509"/>
      <c r="CE67" s="1509"/>
      <c r="CF67" s="1509"/>
      <c r="CG67" s="1509"/>
      <c r="CH67" s="1509"/>
      <c r="CI67" s="1509"/>
      <c r="CJ67" s="1509"/>
      <c r="CK67" s="1509"/>
      <c r="CL67" s="1509"/>
      <c r="CM67" s="1509"/>
      <c r="CN67" s="1509"/>
      <c r="CO67" s="1509"/>
      <c r="CP67" s="1509"/>
      <c r="CQ67" s="1509"/>
      <c r="CR67" s="1509"/>
      <c r="CS67" s="1509"/>
      <c r="CT67" s="1509"/>
      <c r="CU67" s="1509"/>
      <c r="CV67" s="1509"/>
      <c r="CW67" s="1509"/>
      <c r="CX67" s="1509"/>
      <c r="CY67" s="1509"/>
      <c r="CZ67" s="1509"/>
      <c r="DA67" s="1509"/>
      <c r="DB67" s="1509"/>
      <c r="DC67" s="1509"/>
      <c r="DD67" s="1509"/>
      <c r="DE67" s="1509"/>
      <c r="DF67" s="1509"/>
      <c r="DG67" s="1509"/>
      <c r="DH67" s="1509"/>
      <c r="DI67" s="1509"/>
      <c r="DJ67" s="1509"/>
      <c r="DK67" s="1509"/>
      <c r="DL67" s="1509"/>
      <c r="DM67" s="1509"/>
      <c r="DN67" s="1509"/>
      <c r="DO67" s="1509"/>
      <c r="DP67" s="1509"/>
      <c r="DQ67" s="1509"/>
      <c r="DR67" s="1509"/>
      <c r="DS67" s="1509"/>
      <c r="DT67" s="1509"/>
      <c r="DU67" s="1509"/>
      <c r="DV67" s="1509"/>
      <c r="DW67" s="1509"/>
      <c r="DX67" s="1509"/>
      <c r="DY67" s="1509"/>
      <c r="DZ67" s="1509"/>
      <c r="EA67" s="1509"/>
      <c r="EB67" s="1509"/>
      <c r="EC67" s="1509"/>
      <c r="ED67" s="1509"/>
      <c r="EE67" s="1509"/>
      <c r="EF67" s="1509"/>
      <c r="EG67" s="1509"/>
      <c r="EH67" s="1509"/>
      <c r="EI67" s="1509"/>
      <c r="EJ67" s="1509"/>
      <c r="EK67" s="1509"/>
      <c r="EL67" s="1509"/>
      <c r="EM67" s="1509"/>
      <c r="EN67" s="1509"/>
      <c r="EO67" s="1509"/>
      <c r="EP67" s="1509"/>
      <c r="EQ67" s="1509"/>
      <c r="ER67" s="1509"/>
      <c r="ES67" s="1509"/>
      <c r="ET67" s="1509"/>
      <c r="EU67" s="1509"/>
      <c r="EV67" s="1509"/>
      <c r="EW67" s="1509"/>
      <c r="EX67" s="1509"/>
      <c r="EY67" s="1509"/>
      <c r="EZ67" s="1509"/>
      <c r="FA67" s="1509"/>
      <c r="FB67" s="1509"/>
      <c r="FC67" s="1509"/>
      <c r="FD67" s="1509"/>
      <c r="FE67" s="1509"/>
      <c r="FF67" s="1509"/>
      <c r="FG67" s="1509"/>
      <c r="FH67" s="1509"/>
      <c r="FI67" s="1509"/>
      <c r="FJ67" s="1509"/>
      <c r="FK67" s="1509"/>
      <c r="FL67" s="1509"/>
      <c r="FM67" s="1509"/>
      <c r="FN67" s="1509"/>
      <c r="FO67" s="1509"/>
      <c r="FP67" s="1509"/>
      <c r="FQ67" s="1509"/>
      <c r="FR67" s="1509"/>
      <c r="FS67" s="1509"/>
      <c r="FT67" s="1509"/>
      <c r="FU67" s="1509"/>
      <c r="FV67" s="1509"/>
      <c r="FW67" s="1509"/>
      <c r="FX67" s="1509"/>
      <c r="FY67" s="1509"/>
      <c r="FZ67" s="1509"/>
      <c r="GA67" s="1509"/>
      <c r="GB67" s="1509"/>
      <c r="GC67" s="1509"/>
      <c r="GD67" s="1509"/>
      <c r="GE67" s="1509"/>
      <c r="GF67" s="1509"/>
      <c r="GG67" s="1509"/>
      <c r="GH67" s="1509"/>
      <c r="GI67" s="1509"/>
      <c r="GJ67" s="1509"/>
      <c r="GK67" s="1509"/>
      <c r="GL67" s="1509"/>
      <c r="GM67" s="1509"/>
      <c r="GN67" s="1509"/>
      <c r="GO67" s="1509"/>
      <c r="GP67" s="1509"/>
      <c r="GQ67" s="1509"/>
      <c r="GR67" s="1509"/>
      <c r="GS67" s="1509"/>
      <c r="GT67" s="1509"/>
    </row>
    <row r="68" spans="1:202" s="4665" customFormat="1" ht="17.100000000000001" customHeight="1">
      <c r="C68" s="4678"/>
      <c r="D68" s="4676"/>
      <c r="E68" s="787"/>
      <c r="F68" s="4677"/>
      <c r="G68" s="4677"/>
      <c r="H68" s="4677"/>
      <c r="I68" s="4677"/>
      <c r="J68" s="4677"/>
      <c r="K68" s="4677"/>
      <c r="L68" s="4677"/>
      <c r="M68" s="4677"/>
      <c r="N68" s="4677"/>
      <c r="O68" s="4677"/>
      <c r="P68" s="4677"/>
      <c r="Q68" s="4677"/>
      <c r="R68" s="4677"/>
      <c r="S68" s="4677"/>
      <c r="T68" s="4677"/>
      <c r="U68" s="4677"/>
      <c r="V68" s="4677"/>
      <c r="W68" s="1509"/>
      <c r="X68" s="1509"/>
      <c r="Y68" s="1509"/>
      <c r="Z68" s="1509"/>
      <c r="AA68" s="1509"/>
      <c r="AB68" s="1509"/>
      <c r="AC68" s="1509"/>
      <c r="AD68" s="1509"/>
      <c r="AE68" s="1509"/>
      <c r="AF68" s="1509"/>
      <c r="AG68" s="1509"/>
      <c r="AH68" s="1509"/>
      <c r="AI68" s="1509"/>
      <c r="AJ68" s="1509"/>
      <c r="AK68" s="1509"/>
      <c r="AL68" s="1509"/>
      <c r="AM68" s="1509"/>
      <c r="AN68" s="1509"/>
      <c r="AO68" s="1509"/>
      <c r="AP68" s="1509"/>
      <c r="AQ68" s="1509"/>
      <c r="AR68" s="1509"/>
      <c r="AS68" s="1509"/>
      <c r="AT68" s="1509"/>
      <c r="AU68" s="1509"/>
      <c r="AV68" s="1509"/>
      <c r="AW68" s="1509"/>
      <c r="AX68" s="1509"/>
      <c r="AY68" s="1509"/>
      <c r="AZ68" s="1509"/>
      <c r="BA68" s="1509"/>
      <c r="BB68" s="1509"/>
      <c r="BC68" s="1509"/>
      <c r="BD68" s="1509"/>
      <c r="BE68" s="1509"/>
      <c r="BF68" s="1509"/>
      <c r="BG68" s="1509"/>
      <c r="BH68" s="1509"/>
      <c r="BI68" s="1509"/>
      <c r="BJ68" s="1509"/>
      <c r="BK68" s="1509"/>
      <c r="BL68" s="1509"/>
      <c r="BM68" s="1509"/>
      <c r="BN68" s="1509"/>
      <c r="BO68" s="1509"/>
      <c r="BP68" s="1509"/>
      <c r="BQ68" s="1509"/>
      <c r="BR68" s="1509"/>
      <c r="BS68" s="1509"/>
      <c r="BT68" s="1509"/>
      <c r="BU68" s="1509"/>
      <c r="BV68" s="1509"/>
      <c r="BW68" s="1509"/>
      <c r="BX68" s="1509"/>
      <c r="BY68" s="1509"/>
      <c r="BZ68" s="1509"/>
      <c r="CA68" s="1509"/>
      <c r="CB68" s="1509"/>
      <c r="CC68" s="1509"/>
      <c r="CD68" s="1509"/>
      <c r="CE68" s="1509"/>
      <c r="CF68" s="1509"/>
      <c r="CG68" s="1509"/>
      <c r="CH68" s="1509"/>
      <c r="CI68" s="1509"/>
      <c r="CJ68" s="1509"/>
      <c r="CK68" s="1509"/>
      <c r="CL68" s="1509"/>
      <c r="CM68" s="1509"/>
      <c r="CN68" s="1509"/>
      <c r="CO68" s="1509"/>
      <c r="CP68" s="1509"/>
      <c r="CQ68" s="1509"/>
      <c r="CR68" s="1509"/>
      <c r="CS68" s="1509"/>
      <c r="CT68" s="1509"/>
      <c r="CU68" s="1509"/>
      <c r="CV68" s="1509"/>
      <c r="CW68" s="1509"/>
      <c r="CX68" s="1509"/>
      <c r="CY68" s="1509"/>
      <c r="CZ68" s="1509"/>
      <c r="DA68" s="1509"/>
      <c r="DB68" s="1509"/>
      <c r="DC68" s="1509"/>
      <c r="DD68" s="1509"/>
      <c r="DE68" s="1509"/>
      <c r="DF68" s="1509"/>
      <c r="DG68" s="1509"/>
      <c r="DH68" s="1509"/>
      <c r="DI68" s="1509"/>
      <c r="DJ68" s="1509"/>
      <c r="DK68" s="1509"/>
      <c r="DL68" s="1509"/>
      <c r="DM68" s="1509"/>
      <c r="DN68" s="1509"/>
      <c r="DO68" s="1509"/>
      <c r="DP68" s="1509"/>
      <c r="DQ68" s="1509"/>
      <c r="DR68" s="1509"/>
      <c r="DS68" s="1509"/>
      <c r="DT68" s="1509"/>
      <c r="DU68" s="1509"/>
      <c r="DV68" s="1509"/>
      <c r="DW68" s="1509"/>
      <c r="DX68" s="1509"/>
      <c r="DY68" s="1509"/>
      <c r="DZ68" s="1509"/>
      <c r="EA68" s="1509"/>
      <c r="EB68" s="1509"/>
      <c r="EC68" s="1509"/>
      <c r="ED68" s="1509"/>
      <c r="EE68" s="1509"/>
      <c r="EF68" s="1509"/>
      <c r="EG68" s="1509"/>
      <c r="EH68" s="1509"/>
      <c r="EI68" s="1509"/>
      <c r="EJ68" s="1509"/>
      <c r="EK68" s="1509"/>
      <c r="EL68" s="1509"/>
      <c r="EM68" s="1509"/>
      <c r="EN68" s="1509"/>
      <c r="EO68" s="1509"/>
      <c r="EP68" s="1509"/>
      <c r="EQ68" s="1509"/>
      <c r="ER68" s="1509"/>
      <c r="ES68" s="1509"/>
      <c r="ET68" s="1509"/>
      <c r="EU68" s="1509"/>
      <c r="EV68" s="1509"/>
      <c r="EW68" s="1509"/>
      <c r="EX68" s="1509"/>
      <c r="EY68" s="1509"/>
      <c r="EZ68" s="1509"/>
      <c r="FA68" s="1509"/>
      <c r="FB68" s="1509"/>
      <c r="FC68" s="1509"/>
      <c r="FD68" s="1509"/>
      <c r="FE68" s="1509"/>
      <c r="FF68" s="1509"/>
      <c r="FG68" s="1509"/>
      <c r="FH68" s="1509"/>
      <c r="FI68" s="1509"/>
      <c r="FJ68" s="1509"/>
      <c r="FK68" s="1509"/>
      <c r="FL68" s="1509"/>
      <c r="FM68" s="1509"/>
      <c r="FN68" s="1509"/>
      <c r="FO68" s="1509"/>
      <c r="FP68" s="1509"/>
      <c r="FQ68" s="1509"/>
      <c r="FR68" s="1509"/>
      <c r="FS68" s="1509"/>
      <c r="FT68" s="1509"/>
      <c r="FU68" s="1509"/>
      <c r="FV68" s="1509"/>
      <c r="FW68" s="1509"/>
      <c r="FX68" s="1509"/>
      <c r="FY68" s="1509"/>
      <c r="FZ68" s="1509"/>
      <c r="GA68" s="1509"/>
      <c r="GB68" s="1509"/>
      <c r="GC68" s="1509"/>
      <c r="GD68" s="1509"/>
      <c r="GE68" s="1509"/>
      <c r="GF68" s="1509"/>
      <c r="GG68" s="1509"/>
      <c r="GH68" s="1509"/>
      <c r="GI68" s="1509"/>
      <c r="GJ68" s="1509"/>
      <c r="GK68" s="1509"/>
      <c r="GL68" s="1509"/>
      <c r="GM68" s="1509"/>
      <c r="GN68" s="1509"/>
      <c r="GO68" s="1509"/>
      <c r="GP68" s="1509"/>
      <c r="GQ68" s="1509"/>
      <c r="GR68" s="1509"/>
      <c r="GS68" s="1509"/>
      <c r="GT68" s="1509"/>
    </row>
    <row r="69" spans="1:202" s="4665" customFormat="1" ht="17.100000000000001" customHeight="1">
      <c r="D69" s="4676"/>
      <c r="E69" s="787"/>
      <c r="F69" s="4677"/>
      <c r="G69" s="1509"/>
      <c r="H69" s="1509"/>
      <c r="I69" s="1509"/>
      <c r="J69" s="1509"/>
      <c r="K69" s="1509"/>
      <c r="L69" s="1509"/>
      <c r="M69" s="1509"/>
      <c r="N69" s="1509"/>
      <c r="O69" s="1509"/>
      <c r="P69" s="1509"/>
      <c r="Q69" s="1509"/>
      <c r="R69" s="1509"/>
      <c r="S69" s="1509"/>
      <c r="T69" s="1509"/>
      <c r="U69" s="1509"/>
      <c r="V69" s="1509"/>
      <c r="W69" s="1509"/>
      <c r="X69" s="1509"/>
      <c r="Y69" s="1509"/>
      <c r="Z69" s="1509"/>
      <c r="AA69" s="1509"/>
      <c r="AB69" s="1509"/>
      <c r="AC69" s="1509"/>
      <c r="AD69" s="1509"/>
      <c r="AE69" s="1509"/>
      <c r="AF69" s="1509"/>
      <c r="AG69" s="1509"/>
      <c r="AH69" s="1509"/>
      <c r="AI69" s="1509"/>
      <c r="AJ69" s="1509"/>
      <c r="AK69" s="1509"/>
      <c r="AL69" s="1509"/>
      <c r="AM69" s="1509"/>
      <c r="AN69" s="1509"/>
      <c r="AO69" s="1509"/>
      <c r="AP69" s="1509"/>
      <c r="AQ69" s="1509"/>
      <c r="AR69" s="1509"/>
      <c r="AS69" s="1509"/>
      <c r="AT69" s="1509"/>
      <c r="AU69" s="1509"/>
      <c r="AV69" s="1509"/>
      <c r="AW69" s="1509"/>
      <c r="AX69" s="1509"/>
      <c r="AY69" s="1509"/>
      <c r="AZ69" s="1509"/>
      <c r="BA69" s="1509"/>
      <c r="BB69" s="1509"/>
      <c r="BC69" s="1509"/>
      <c r="BD69" s="1509"/>
      <c r="BE69" s="1509"/>
      <c r="BF69" s="1509"/>
      <c r="BG69" s="1509"/>
      <c r="BH69" s="1509"/>
      <c r="BI69" s="1509"/>
      <c r="BJ69" s="1509"/>
      <c r="BK69" s="1509"/>
      <c r="BL69" s="1509"/>
      <c r="BM69" s="1509"/>
      <c r="BN69" s="1509"/>
      <c r="BO69" s="1509"/>
      <c r="BP69" s="1509"/>
      <c r="BQ69" s="1509"/>
      <c r="BR69" s="1509"/>
      <c r="BS69" s="1509"/>
      <c r="BT69" s="1509"/>
      <c r="BU69" s="1509"/>
      <c r="BV69" s="1509"/>
      <c r="BW69" s="1509"/>
      <c r="BX69" s="1509"/>
      <c r="BY69" s="1509"/>
      <c r="BZ69" s="1509"/>
      <c r="CA69" s="1509"/>
      <c r="CB69" s="1509"/>
      <c r="CC69" s="1509"/>
      <c r="CD69" s="1509"/>
      <c r="CE69" s="1509"/>
      <c r="CF69" s="1509"/>
      <c r="CG69" s="1509"/>
      <c r="CH69" s="1509"/>
      <c r="CI69" s="1509"/>
      <c r="CJ69" s="1509"/>
      <c r="CK69" s="1509"/>
      <c r="CL69" s="1509"/>
      <c r="CM69" s="1509"/>
      <c r="CN69" s="1509"/>
      <c r="CO69" s="1509"/>
      <c r="CP69" s="1509"/>
      <c r="CQ69" s="1509"/>
      <c r="CR69" s="1509"/>
      <c r="CS69" s="1509"/>
      <c r="CT69" s="1509"/>
      <c r="CU69" s="1509"/>
      <c r="CV69" s="1509"/>
      <c r="CW69" s="1509"/>
      <c r="CX69" s="1509"/>
      <c r="CY69" s="1509"/>
      <c r="CZ69" s="1509"/>
      <c r="DA69" s="1509"/>
      <c r="DB69" s="1509"/>
      <c r="DC69" s="1509"/>
      <c r="DD69" s="1509"/>
      <c r="DE69" s="1509"/>
      <c r="DF69" s="1509"/>
      <c r="DG69" s="1509"/>
      <c r="DH69" s="1509"/>
      <c r="DI69" s="1509"/>
      <c r="DJ69" s="1509"/>
      <c r="DK69" s="1509"/>
      <c r="DL69" s="1509"/>
      <c r="DM69" s="1509"/>
      <c r="DN69" s="1509"/>
      <c r="DO69" s="1509"/>
      <c r="DP69" s="1509"/>
      <c r="DQ69" s="1509"/>
      <c r="DR69" s="1509"/>
      <c r="DS69" s="1509"/>
      <c r="DT69" s="1509"/>
      <c r="DU69" s="1509"/>
      <c r="DV69" s="1509"/>
      <c r="DW69" s="1509"/>
      <c r="DX69" s="1509"/>
      <c r="DY69" s="1509"/>
      <c r="DZ69" s="1509"/>
      <c r="EA69" s="1509"/>
      <c r="EB69" s="1509"/>
      <c r="EC69" s="1509"/>
      <c r="ED69" s="1509"/>
      <c r="EE69" s="1509"/>
      <c r="EF69" s="1509"/>
      <c r="EG69" s="1509"/>
      <c r="EH69" s="1509"/>
      <c r="EI69" s="1509"/>
      <c r="EJ69" s="1509"/>
      <c r="EK69" s="1509"/>
      <c r="EL69" s="1509"/>
      <c r="EM69" s="1509"/>
      <c r="EN69" s="1509"/>
      <c r="EO69" s="1509"/>
      <c r="EP69" s="1509"/>
      <c r="EQ69" s="1509"/>
      <c r="ER69" s="1509"/>
      <c r="ES69" s="1509"/>
      <c r="ET69" s="1509"/>
      <c r="EU69" s="1509"/>
      <c r="EV69" s="1509"/>
      <c r="EW69" s="1509"/>
      <c r="EX69" s="1509"/>
      <c r="EY69" s="1509"/>
      <c r="EZ69" s="1509"/>
      <c r="FA69" s="1509"/>
      <c r="FB69" s="1509"/>
      <c r="FC69" s="1509"/>
      <c r="FD69" s="1509"/>
      <c r="FE69" s="1509"/>
      <c r="FF69" s="1509"/>
      <c r="FG69" s="1509"/>
      <c r="FH69" s="1509"/>
      <c r="FI69" s="1509"/>
      <c r="FJ69" s="1509"/>
      <c r="FK69" s="1509"/>
      <c r="FL69" s="1509"/>
      <c r="FM69" s="1509"/>
      <c r="FN69" s="1509"/>
      <c r="FO69" s="1509"/>
      <c r="FP69" s="1509"/>
      <c r="FQ69" s="1509"/>
      <c r="FR69" s="1509"/>
      <c r="FS69" s="1509"/>
      <c r="FT69" s="1509"/>
      <c r="FU69" s="1509"/>
      <c r="FV69" s="1509"/>
      <c r="FW69" s="1509"/>
      <c r="FX69" s="1509"/>
      <c r="FY69" s="1509"/>
      <c r="FZ69" s="1509"/>
      <c r="GA69" s="1509"/>
      <c r="GB69" s="1509"/>
      <c r="GC69" s="1509"/>
      <c r="GD69" s="1509"/>
      <c r="GE69" s="1509"/>
      <c r="GF69" s="1509"/>
      <c r="GG69" s="1509"/>
      <c r="GH69" s="1509"/>
      <c r="GI69" s="1509"/>
      <c r="GJ69" s="1509"/>
      <c r="GK69" s="1509"/>
      <c r="GL69" s="1509"/>
      <c r="GM69" s="1509"/>
      <c r="GN69" s="1509"/>
      <c r="GO69" s="1509"/>
      <c r="GP69" s="1509"/>
      <c r="GQ69" s="1509"/>
      <c r="GR69" s="1509"/>
      <c r="GS69" s="1509"/>
      <c r="GT69" s="1509"/>
    </row>
    <row r="70" spans="1:202" s="4665" customFormat="1" ht="17.100000000000001" customHeight="1">
      <c r="C70" s="4678"/>
      <c r="D70" s="4676"/>
      <c r="E70" s="1884"/>
      <c r="F70" s="4677"/>
      <c r="G70" s="1509"/>
      <c r="H70" s="1509"/>
      <c r="I70" s="1509"/>
      <c r="J70" s="1509"/>
      <c r="K70" s="4677"/>
      <c r="L70" s="4677"/>
      <c r="M70" s="4677"/>
      <c r="N70" s="4677"/>
      <c r="O70" s="4677"/>
      <c r="P70" s="4677"/>
      <c r="Q70" s="4677"/>
      <c r="R70" s="4677"/>
      <c r="S70" s="4677"/>
      <c r="T70" s="4677"/>
      <c r="U70" s="4677"/>
      <c r="V70" s="4677"/>
      <c r="W70" s="1509"/>
      <c r="X70" s="1509"/>
      <c r="Y70" s="1509"/>
      <c r="Z70" s="1509"/>
      <c r="AA70" s="1509"/>
      <c r="AB70" s="1509"/>
      <c r="AC70" s="1509"/>
      <c r="AD70" s="1509"/>
      <c r="AE70" s="1509"/>
      <c r="AF70" s="1509"/>
      <c r="AG70" s="1509"/>
      <c r="AH70" s="1509"/>
      <c r="AI70" s="1509"/>
      <c r="AJ70" s="1509"/>
      <c r="AK70" s="1509"/>
      <c r="AL70" s="1509"/>
      <c r="AM70" s="1509"/>
      <c r="AN70" s="1509"/>
      <c r="AO70" s="1509"/>
      <c r="AP70" s="1509"/>
      <c r="AQ70" s="1509"/>
      <c r="AR70" s="1509"/>
      <c r="AS70" s="1509"/>
      <c r="AT70" s="1509"/>
      <c r="AU70" s="1509"/>
      <c r="AV70" s="1509"/>
      <c r="AW70" s="1509"/>
      <c r="AX70" s="1509"/>
      <c r="AY70" s="1509"/>
      <c r="AZ70" s="1509"/>
      <c r="BA70" s="1509"/>
      <c r="BB70" s="1509"/>
      <c r="BC70" s="1509"/>
      <c r="BD70" s="1509"/>
      <c r="BE70" s="1509"/>
      <c r="BF70" s="1509"/>
      <c r="BG70" s="1509"/>
      <c r="BH70" s="1509"/>
      <c r="BI70" s="1509"/>
      <c r="BJ70" s="1509"/>
      <c r="BK70" s="1509"/>
      <c r="BL70" s="1509"/>
      <c r="BM70" s="1509"/>
      <c r="BN70" s="1509"/>
      <c r="BO70" s="1509"/>
      <c r="BP70" s="1509"/>
      <c r="BQ70" s="1509"/>
      <c r="BR70" s="1509"/>
      <c r="BS70" s="1509"/>
      <c r="BT70" s="1509"/>
      <c r="BU70" s="1509"/>
      <c r="BV70" s="1509"/>
      <c r="BW70" s="1509"/>
      <c r="BX70" s="1509"/>
      <c r="BY70" s="1509"/>
      <c r="BZ70" s="1509"/>
      <c r="CA70" s="1509"/>
      <c r="CB70" s="1509"/>
      <c r="CC70" s="1509"/>
      <c r="CD70" s="1509"/>
      <c r="CE70" s="1509"/>
      <c r="CF70" s="1509"/>
      <c r="CG70" s="1509"/>
      <c r="CH70" s="1509"/>
      <c r="CI70" s="1509"/>
      <c r="CJ70" s="1509"/>
      <c r="CK70" s="1509"/>
      <c r="CL70" s="1509"/>
      <c r="CM70" s="1509"/>
      <c r="CN70" s="1509"/>
      <c r="CO70" s="1509"/>
      <c r="CP70" s="1509"/>
      <c r="CQ70" s="1509"/>
      <c r="CR70" s="1509"/>
      <c r="CS70" s="1509"/>
      <c r="CT70" s="1509"/>
      <c r="CU70" s="1509"/>
      <c r="CV70" s="1509"/>
      <c r="CW70" s="1509"/>
      <c r="CX70" s="1509"/>
      <c r="CY70" s="1509"/>
      <c r="CZ70" s="1509"/>
      <c r="DA70" s="1509"/>
      <c r="DB70" s="1509"/>
      <c r="DC70" s="1509"/>
      <c r="DD70" s="1509"/>
      <c r="DE70" s="1509"/>
      <c r="DF70" s="1509"/>
      <c r="DG70" s="1509"/>
      <c r="DH70" s="1509"/>
      <c r="DI70" s="1509"/>
      <c r="DJ70" s="1509"/>
      <c r="DK70" s="1509"/>
      <c r="DL70" s="1509"/>
      <c r="DM70" s="1509"/>
      <c r="DN70" s="1509"/>
      <c r="DO70" s="1509"/>
      <c r="DP70" s="1509"/>
      <c r="DQ70" s="1509"/>
      <c r="DR70" s="1509"/>
      <c r="DS70" s="1509"/>
      <c r="DT70" s="1509"/>
      <c r="DU70" s="1509"/>
      <c r="DV70" s="1509"/>
      <c r="DW70" s="1509"/>
      <c r="DX70" s="1509"/>
      <c r="DY70" s="1509"/>
      <c r="DZ70" s="1509"/>
      <c r="EA70" s="1509"/>
      <c r="EB70" s="1509"/>
      <c r="EC70" s="1509"/>
      <c r="ED70" s="1509"/>
      <c r="EE70" s="1509"/>
      <c r="EF70" s="1509"/>
      <c r="EG70" s="1509"/>
      <c r="EH70" s="1509"/>
      <c r="EI70" s="1509"/>
      <c r="EJ70" s="1509"/>
      <c r="EK70" s="1509"/>
      <c r="EL70" s="1509"/>
      <c r="EM70" s="1509"/>
      <c r="EN70" s="1509"/>
      <c r="EO70" s="1509"/>
      <c r="EP70" s="1509"/>
      <c r="EQ70" s="1509"/>
      <c r="ER70" s="1509"/>
      <c r="ES70" s="1509"/>
      <c r="ET70" s="1509"/>
      <c r="EU70" s="1509"/>
      <c r="EV70" s="1509"/>
      <c r="EW70" s="1509"/>
      <c r="EX70" s="1509"/>
      <c r="EY70" s="1509"/>
      <c r="EZ70" s="1509"/>
      <c r="FA70" s="1509"/>
      <c r="FB70" s="1509"/>
      <c r="FC70" s="1509"/>
      <c r="FD70" s="1509"/>
      <c r="FE70" s="1509"/>
      <c r="FF70" s="1509"/>
      <c r="FG70" s="1509"/>
      <c r="FH70" s="1509"/>
      <c r="FI70" s="1509"/>
      <c r="FJ70" s="1509"/>
      <c r="FK70" s="1509"/>
      <c r="FL70" s="1509"/>
      <c r="FM70" s="1509"/>
      <c r="FN70" s="1509"/>
      <c r="FO70" s="1509"/>
      <c r="FP70" s="1509"/>
      <c r="FQ70" s="1509"/>
      <c r="FR70" s="1509"/>
      <c r="FS70" s="1509"/>
      <c r="FT70" s="1509"/>
      <c r="FU70" s="1509"/>
      <c r="FV70" s="1509"/>
      <c r="FW70" s="1509"/>
      <c r="FX70" s="1509"/>
      <c r="FY70" s="1509"/>
      <c r="FZ70" s="1509"/>
      <c r="GA70" s="1509"/>
      <c r="GB70" s="1509"/>
      <c r="GC70" s="1509"/>
      <c r="GD70" s="1509"/>
      <c r="GE70" s="1509"/>
      <c r="GF70" s="1509"/>
      <c r="GG70" s="1509"/>
      <c r="GH70" s="1509"/>
      <c r="GI70" s="1509"/>
      <c r="GJ70" s="1509"/>
      <c r="GK70" s="1509"/>
      <c r="GL70" s="1509"/>
      <c r="GM70" s="1509"/>
      <c r="GN70" s="1509"/>
      <c r="GO70" s="1509"/>
      <c r="GP70" s="1509"/>
      <c r="GQ70" s="1509"/>
      <c r="GR70" s="1509"/>
      <c r="GS70" s="1509"/>
      <c r="GT70" s="1509"/>
    </row>
    <row r="71" spans="1:202" s="4665" customFormat="1" ht="17.100000000000001" customHeight="1">
      <c r="C71" s="4678"/>
      <c r="D71" s="4676"/>
      <c r="E71" s="787"/>
      <c r="F71" s="4677"/>
      <c r="G71" s="4677"/>
      <c r="H71" s="4677"/>
      <c r="I71" s="4677"/>
      <c r="J71" s="4677"/>
      <c r="K71" s="4677"/>
      <c r="L71" s="4677"/>
      <c r="M71" s="4677"/>
      <c r="N71" s="4677"/>
      <c r="O71" s="4677"/>
      <c r="P71" s="4677"/>
      <c r="Q71" s="4677"/>
      <c r="R71" s="4677"/>
      <c r="S71" s="4677"/>
      <c r="T71" s="4677"/>
      <c r="U71" s="4677"/>
      <c r="V71" s="4677"/>
      <c r="W71" s="1509"/>
      <c r="X71" s="1509"/>
      <c r="Y71" s="1509"/>
      <c r="Z71" s="1509"/>
      <c r="AA71" s="1509"/>
      <c r="AB71" s="1509"/>
      <c r="AC71" s="1509"/>
      <c r="AD71" s="1509"/>
      <c r="AE71" s="1509"/>
      <c r="AF71" s="1509"/>
      <c r="AG71" s="1509"/>
      <c r="AH71" s="1509"/>
      <c r="AI71" s="1509"/>
      <c r="AJ71" s="1509"/>
      <c r="AK71" s="1509"/>
      <c r="AL71" s="1509"/>
      <c r="AM71" s="1509"/>
      <c r="AN71" s="1509"/>
      <c r="AO71" s="1509"/>
      <c r="AP71" s="1509"/>
      <c r="AQ71" s="1509"/>
      <c r="AR71" s="1509"/>
      <c r="AS71" s="1509"/>
      <c r="AT71" s="1509"/>
      <c r="AU71" s="1509"/>
      <c r="AV71" s="1509"/>
      <c r="AW71" s="1509"/>
      <c r="AX71" s="1509"/>
      <c r="AY71" s="1509"/>
      <c r="AZ71" s="1509"/>
      <c r="BA71" s="1509"/>
      <c r="BB71" s="1509"/>
      <c r="BC71" s="1509"/>
      <c r="BD71" s="1509"/>
      <c r="BE71" s="1509"/>
      <c r="BF71" s="1509"/>
      <c r="BG71" s="1509"/>
      <c r="BH71" s="1509"/>
      <c r="BI71" s="1509"/>
      <c r="BJ71" s="1509"/>
      <c r="BK71" s="1509"/>
      <c r="BL71" s="1509"/>
      <c r="BM71" s="1509"/>
      <c r="BN71" s="1509"/>
      <c r="BO71" s="1509"/>
      <c r="BP71" s="1509"/>
      <c r="BQ71" s="1509"/>
      <c r="BR71" s="1509"/>
      <c r="BS71" s="1509"/>
      <c r="BT71" s="1509"/>
      <c r="BU71" s="1509"/>
      <c r="BV71" s="1509"/>
      <c r="BW71" s="1509"/>
      <c r="BX71" s="1509"/>
      <c r="BY71" s="1509"/>
      <c r="BZ71" s="1509"/>
      <c r="CA71" s="1509"/>
      <c r="CB71" s="1509"/>
      <c r="CC71" s="1509"/>
      <c r="CD71" s="1509"/>
      <c r="CE71" s="1509"/>
      <c r="CF71" s="1509"/>
      <c r="CG71" s="1509"/>
      <c r="CH71" s="1509"/>
      <c r="CI71" s="1509"/>
      <c r="CJ71" s="1509"/>
      <c r="CK71" s="1509"/>
      <c r="CL71" s="1509"/>
      <c r="CM71" s="1509"/>
      <c r="CN71" s="1509"/>
      <c r="CO71" s="1509"/>
      <c r="CP71" s="1509"/>
      <c r="CQ71" s="1509"/>
      <c r="CR71" s="1509"/>
      <c r="CS71" s="1509"/>
      <c r="CT71" s="1509"/>
      <c r="CU71" s="1509"/>
      <c r="CV71" s="1509"/>
      <c r="CW71" s="1509"/>
      <c r="CX71" s="1509"/>
      <c r="CY71" s="1509"/>
      <c r="CZ71" s="1509"/>
      <c r="DA71" s="1509"/>
      <c r="DB71" s="1509"/>
      <c r="DC71" s="1509"/>
      <c r="DD71" s="1509"/>
      <c r="DE71" s="1509"/>
      <c r="DF71" s="1509"/>
      <c r="DG71" s="1509"/>
      <c r="DH71" s="1509"/>
      <c r="DI71" s="1509"/>
      <c r="DJ71" s="1509"/>
      <c r="DK71" s="1509"/>
      <c r="DL71" s="1509"/>
      <c r="DM71" s="1509"/>
      <c r="DN71" s="1509"/>
      <c r="DO71" s="1509"/>
      <c r="DP71" s="1509"/>
      <c r="DQ71" s="1509"/>
      <c r="DR71" s="1509"/>
      <c r="DS71" s="1509"/>
      <c r="DT71" s="1509"/>
      <c r="DU71" s="1509"/>
      <c r="DV71" s="1509"/>
      <c r="DW71" s="1509"/>
      <c r="DX71" s="1509"/>
      <c r="DY71" s="1509"/>
      <c r="DZ71" s="1509"/>
      <c r="EA71" s="1509"/>
      <c r="EB71" s="1509"/>
      <c r="EC71" s="1509"/>
      <c r="ED71" s="1509"/>
      <c r="EE71" s="1509"/>
      <c r="EF71" s="1509"/>
      <c r="EG71" s="1509"/>
      <c r="EH71" s="1509"/>
      <c r="EI71" s="1509"/>
      <c r="EJ71" s="1509"/>
      <c r="EK71" s="1509"/>
      <c r="EL71" s="1509"/>
      <c r="EM71" s="1509"/>
      <c r="EN71" s="1509"/>
      <c r="EO71" s="1509"/>
      <c r="EP71" s="1509"/>
      <c r="EQ71" s="1509"/>
      <c r="ER71" s="1509"/>
      <c r="ES71" s="1509"/>
      <c r="ET71" s="1509"/>
      <c r="EU71" s="1509"/>
      <c r="EV71" s="1509"/>
      <c r="EW71" s="1509"/>
      <c r="EX71" s="1509"/>
      <c r="EY71" s="1509"/>
      <c r="EZ71" s="1509"/>
      <c r="FA71" s="1509"/>
      <c r="FB71" s="1509"/>
      <c r="FC71" s="1509"/>
      <c r="FD71" s="1509"/>
      <c r="FE71" s="1509"/>
      <c r="FF71" s="1509"/>
      <c r="FG71" s="1509"/>
      <c r="FH71" s="1509"/>
      <c r="FI71" s="1509"/>
      <c r="FJ71" s="1509"/>
      <c r="FK71" s="1509"/>
      <c r="FL71" s="1509"/>
      <c r="FM71" s="1509"/>
      <c r="FN71" s="1509"/>
      <c r="FO71" s="1509"/>
      <c r="FP71" s="1509"/>
      <c r="FQ71" s="1509"/>
      <c r="FR71" s="1509"/>
      <c r="FS71" s="1509"/>
      <c r="FT71" s="1509"/>
      <c r="FU71" s="1509"/>
      <c r="FV71" s="1509"/>
      <c r="FW71" s="1509"/>
      <c r="FX71" s="1509"/>
      <c r="FY71" s="1509"/>
      <c r="FZ71" s="1509"/>
      <c r="GA71" s="1509"/>
      <c r="GB71" s="1509"/>
      <c r="GC71" s="1509"/>
      <c r="GD71" s="1509"/>
      <c r="GE71" s="1509"/>
      <c r="GF71" s="1509"/>
      <c r="GG71" s="1509"/>
      <c r="GH71" s="1509"/>
      <c r="GI71" s="1509"/>
      <c r="GJ71" s="1509"/>
      <c r="GK71" s="1509"/>
      <c r="GL71" s="1509"/>
      <c r="GM71" s="1509"/>
      <c r="GN71" s="1509"/>
      <c r="GO71" s="1509"/>
      <c r="GP71" s="1509"/>
      <c r="GQ71" s="1509"/>
      <c r="GR71" s="1509"/>
      <c r="GS71" s="1509"/>
      <c r="GT71" s="1509"/>
    </row>
    <row r="72" spans="1:202" s="4665" customFormat="1" ht="17.100000000000001" customHeight="1">
      <c r="C72" s="4678"/>
      <c r="D72" s="4676"/>
      <c r="E72" s="787"/>
      <c r="F72" s="4677"/>
      <c r="G72" s="4677"/>
      <c r="H72" s="4677"/>
      <c r="I72" s="4677"/>
      <c r="J72" s="4677"/>
      <c r="K72" s="4677"/>
      <c r="L72" s="4677"/>
      <c r="M72" s="4677"/>
      <c r="N72" s="4677"/>
      <c r="O72" s="4677"/>
      <c r="P72" s="4677"/>
      <c r="Q72" s="4677"/>
      <c r="R72" s="4677"/>
      <c r="S72" s="4677"/>
      <c r="T72" s="4677"/>
      <c r="U72" s="4677"/>
      <c r="V72" s="4677"/>
      <c r="W72" s="1509"/>
      <c r="X72" s="1509"/>
      <c r="Y72" s="1509"/>
      <c r="Z72" s="1509"/>
      <c r="AA72" s="1509"/>
      <c r="AB72" s="1509"/>
      <c r="AC72" s="1509"/>
      <c r="AD72" s="1509"/>
      <c r="AE72" s="1509"/>
      <c r="AF72" s="1509"/>
      <c r="AG72" s="1509"/>
      <c r="AH72" s="1509"/>
      <c r="AI72" s="1509"/>
      <c r="AJ72" s="1509"/>
      <c r="AK72" s="1509"/>
      <c r="AL72" s="1509"/>
      <c r="AM72" s="1509"/>
      <c r="AN72" s="1509"/>
      <c r="AO72" s="1509"/>
      <c r="AP72" s="1509"/>
      <c r="AQ72" s="1509"/>
      <c r="AR72" s="1509"/>
      <c r="AS72" s="1509"/>
      <c r="AT72" s="1509"/>
      <c r="AU72" s="1509"/>
      <c r="AV72" s="1509"/>
      <c r="AW72" s="1509"/>
      <c r="AX72" s="1509"/>
      <c r="AY72" s="1509"/>
      <c r="AZ72" s="1509"/>
      <c r="BA72" s="1509"/>
      <c r="BB72" s="1509"/>
      <c r="BC72" s="1509"/>
      <c r="BD72" s="1509"/>
      <c r="BE72" s="1509"/>
      <c r="BF72" s="1509"/>
      <c r="BG72" s="1509"/>
      <c r="BH72" s="1509"/>
      <c r="BI72" s="1509"/>
      <c r="BJ72" s="1509"/>
      <c r="BK72" s="1509"/>
      <c r="BL72" s="1509"/>
      <c r="BM72" s="1509"/>
      <c r="BN72" s="1509"/>
      <c r="BO72" s="1509"/>
      <c r="BP72" s="1509"/>
      <c r="BQ72" s="1509"/>
      <c r="BR72" s="1509"/>
      <c r="BS72" s="1509"/>
      <c r="BT72" s="1509"/>
      <c r="BU72" s="1509"/>
      <c r="BV72" s="1509"/>
      <c r="BW72" s="1509"/>
      <c r="BX72" s="1509"/>
      <c r="BY72" s="1509"/>
      <c r="BZ72" s="1509"/>
      <c r="CA72" s="1509"/>
      <c r="CB72" s="1509"/>
      <c r="CC72" s="1509"/>
      <c r="CD72" s="1509"/>
      <c r="CE72" s="1509"/>
      <c r="CF72" s="1509"/>
      <c r="CG72" s="1509"/>
      <c r="CH72" s="1509"/>
      <c r="CI72" s="1509"/>
      <c r="CJ72" s="1509"/>
      <c r="CK72" s="1509"/>
      <c r="CL72" s="1509"/>
      <c r="CM72" s="1509"/>
      <c r="CN72" s="1509"/>
      <c r="CO72" s="1509"/>
      <c r="CP72" s="1509"/>
      <c r="CQ72" s="1509"/>
      <c r="CR72" s="1509"/>
      <c r="CS72" s="1509"/>
      <c r="CT72" s="1509"/>
      <c r="CU72" s="1509"/>
      <c r="CV72" s="1509"/>
      <c r="CW72" s="1509"/>
      <c r="CX72" s="1509"/>
      <c r="CY72" s="1509"/>
      <c r="CZ72" s="1509"/>
      <c r="DA72" s="1509"/>
      <c r="DB72" s="1509"/>
      <c r="DC72" s="1509"/>
      <c r="DD72" s="1509"/>
      <c r="DE72" s="1509"/>
      <c r="DF72" s="1509"/>
      <c r="DG72" s="1509"/>
      <c r="DH72" s="1509"/>
      <c r="DI72" s="1509"/>
      <c r="DJ72" s="1509"/>
      <c r="DK72" s="1509"/>
      <c r="DL72" s="1509"/>
      <c r="DM72" s="1509"/>
      <c r="DN72" s="1509"/>
      <c r="DO72" s="1509"/>
      <c r="DP72" s="1509"/>
      <c r="DQ72" s="1509"/>
      <c r="DR72" s="1509"/>
      <c r="DS72" s="1509"/>
      <c r="DT72" s="1509"/>
      <c r="DU72" s="1509"/>
      <c r="DV72" s="1509"/>
      <c r="DW72" s="1509"/>
      <c r="DX72" s="1509"/>
      <c r="DY72" s="1509"/>
      <c r="DZ72" s="1509"/>
      <c r="EA72" s="1509"/>
      <c r="EB72" s="1509"/>
      <c r="EC72" s="1509"/>
      <c r="ED72" s="1509"/>
      <c r="EE72" s="1509"/>
      <c r="EF72" s="1509"/>
      <c r="EG72" s="1509"/>
      <c r="EH72" s="1509"/>
      <c r="EI72" s="1509"/>
      <c r="EJ72" s="1509"/>
      <c r="EK72" s="1509"/>
      <c r="EL72" s="1509"/>
      <c r="EM72" s="1509"/>
      <c r="EN72" s="1509"/>
      <c r="EO72" s="1509"/>
      <c r="EP72" s="1509"/>
      <c r="EQ72" s="1509"/>
      <c r="ER72" s="1509"/>
      <c r="ES72" s="1509"/>
      <c r="ET72" s="1509"/>
      <c r="EU72" s="1509"/>
      <c r="EV72" s="1509"/>
      <c r="EW72" s="1509"/>
      <c r="EX72" s="1509"/>
      <c r="EY72" s="1509"/>
      <c r="EZ72" s="1509"/>
      <c r="FA72" s="1509"/>
      <c r="FB72" s="1509"/>
      <c r="FC72" s="1509"/>
      <c r="FD72" s="1509"/>
      <c r="FE72" s="1509"/>
      <c r="FF72" s="1509"/>
      <c r="FG72" s="1509"/>
      <c r="FH72" s="1509"/>
      <c r="FI72" s="1509"/>
      <c r="FJ72" s="1509"/>
      <c r="FK72" s="1509"/>
      <c r="FL72" s="1509"/>
      <c r="FM72" s="1509"/>
      <c r="FN72" s="1509"/>
      <c r="FO72" s="1509"/>
      <c r="FP72" s="1509"/>
      <c r="FQ72" s="1509"/>
      <c r="FR72" s="1509"/>
      <c r="FS72" s="1509"/>
      <c r="FT72" s="1509"/>
      <c r="FU72" s="1509"/>
      <c r="FV72" s="1509"/>
      <c r="FW72" s="1509"/>
      <c r="FX72" s="1509"/>
      <c r="FY72" s="1509"/>
      <c r="FZ72" s="1509"/>
      <c r="GA72" s="1509"/>
      <c r="GB72" s="1509"/>
      <c r="GC72" s="1509"/>
      <c r="GD72" s="1509"/>
      <c r="GE72" s="1509"/>
      <c r="GF72" s="1509"/>
      <c r="GG72" s="1509"/>
      <c r="GH72" s="1509"/>
      <c r="GI72" s="1509"/>
      <c r="GJ72" s="1509"/>
      <c r="GK72" s="1509"/>
      <c r="GL72" s="1509"/>
      <c r="GM72" s="1509"/>
      <c r="GN72" s="1509"/>
      <c r="GO72" s="1509"/>
      <c r="GP72" s="1509"/>
      <c r="GQ72" s="1509"/>
      <c r="GR72" s="1509"/>
      <c r="GS72" s="1509"/>
      <c r="GT72" s="1509"/>
    </row>
    <row r="73" spans="1:202" s="4665" customFormat="1" ht="17.100000000000001" customHeight="1">
      <c r="C73" s="4678"/>
      <c r="D73" s="4676"/>
      <c r="E73" s="787"/>
      <c r="F73" s="4677"/>
      <c r="G73" s="4677"/>
      <c r="H73" s="4677"/>
      <c r="I73" s="4677"/>
      <c r="J73" s="4677"/>
      <c r="K73" s="4677"/>
      <c r="L73" s="4677"/>
      <c r="M73" s="4677"/>
      <c r="N73" s="4677"/>
      <c r="O73" s="4677"/>
      <c r="P73" s="4677"/>
      <c r="Q73" s="4677"/>
      <c r="R73" s="4677"/>
      <c r="S73" s="4677"/>
      <c r="T73" s="4677"/>
      <c r="U73" s="4677"/>
      <c r="V73" s="4677"/>
      <c r="W73" s="1509"/>
      <c r="X73" s="1509"/>
      <c r="Y73" s="1509"/>
      <c r="Z73" s="1509"/>
      <c r="AA73" s="1509"/>
      <c r="AB73" s="1509"/>
      <c r="AC73" s="1509"/>
      <c r="AD73" s="1509"/>
      <c r="AE73" s="1509"/>
      <c r="AF73" s="1509"/>
      <c r="AG73" s="1509"/>
      <c r="AH73" s="1509"/>
      <c r="AI73" s="1509"/>
      <c r="AJ73" s="1509"/>
      <c r="AK73" s="1509"/>
      <c r="AL73" s="1509"/>
      <c r="AM73" s="1509"/>
      <c r="AN73" s="1509"/>
      <c r="AO73" s="1509"/>
      <c r="AP73" s="1509"/>
      <c r="AQ73" s="1509"/>
      <c r="AR73" s="1509"/>
      <c r="AS73" s="1509"/>
      <c r="AT73" s="1509"/>
      <c r="AU73" s="1509"/>
      <c r="AV73" s="1509"/>
      <c r="AW73" s="1509"/>
      <c r="AX73" s="1509"/>
      <c r="AY73" s="1509"/>
      <c r="AZ73" s="1509"/>
      <c r="BA73" s="1509"/>
      <c r="BB73" s="1509"/>
      <c r="BC73" s="1509"/>
      <c r="BD73" s="1509"/>
      <c r="BE73" s="1509"/>
      <c r="BF73" s="1509"/>
      <c r="BG73" s="1509"/>
      <c r="BH73" s="1509"/>
      <c r="BI73" s="1509"/>
      <c r="BJ73" s="1509"/>
      <c r="BK73" s="1509"/>
      <c r="BL73" s="1509"/>
      <c r="BM73" s="1509"/>
      <c r="BN73" s="1509"/>
      <c r="BO73" s="1509"/>
      <c r="BP73" s="1509"/>
      <c r="BQ73" s="1509"/>
      <c r="BR73" s="1509"/>
      <c r="BS73" s="1509"/>
      <c r="BT73" s="1509"/>
      <c r="BU73" s="1509"/>
      <c r="BV73" s="1509"/>
      <c r="BW73" s="1509"/>
      <c r="BX73" s="1509"/>
      <c r="BY73" s="1509"/>
      <c r="BZ73" s="1509"/>
      <c r="CA73" s="1509"/>
      <c r="CB73" s="1509"/>
      <c r="CC73" s="1509"/>
      <c r="CD73" s="1509"/>
      <c r="CE73" s="1509"/>
      <c r="CF73" s="1509"/>
      <c r="CG73" s="1509"/>
      <c r="CH73" s="1509"/>
      <c r="CI73" s="1509"/>
      <c r="CJ73" s="1509"/>
      <c r="CK73" s="1509"/>
      <c r="CL73" s="1509"/>
      <c r="CM73" s="1509"/>
      <c r="CN73" s="1509"/>
      <c r="CO73" s="1509"/>
      <c r="CP73" s="1509"/>
      <c r="CQ73" s="1509"/>
      <c r="CR73" s="1509"/>
      <c r="CS73" s="1509"/>
      <c r="CT73" s="1509"/>
      <c r="CU73" s="1509"/>
      <c r="CV73" s="1509"/>
      <c r="CW73" s="1509"/>
      <c r="CX73" s="1509"/>
      <c r="CY73" s="1509"/>
      <c r="CZ73" s="1509"/>
      <c r="DA73" s="1509"/>
      <c r="DB73" s="1509"/>
      <c r="DC73" s="1509"/>
      <c r="DD73" s="1509"/>
      <c r="DE73" s="1509"/>
      <c r="DF73" s="1509"/>
      <c r="DG73" s="1509"/>
      <c r="DH73" s="1509"/>
      <c r="DI73" s="1509"/>
      <c r="DJ73" s="1509"/>
      <c r="DK73" s="1509"/>
      <c r="DL73" s="1509"/>
      <c r="DM73" s="1509"/>
      <c r="DN73" s="1509"/>
      <c r="DO73" s="1509"/>
      <c r="DP73" s="1509"/>
      <c r="DQ73" s="1509"/>
      <c r="DR73" s="1509"/>
      <c r="DS73" s="1509"/>
      <c r="DT73" s="1509"/>
      <c r="DU73" s="1509"/>
      <c r="DV73" s="1509"/>
      <c r="DW73" s="1509"/>
      <c r="DX73" s="1509"/>
      <c r="DY73" s="1509"/>
      <c r="DZ73" s="1509"/>
      <c r="EA73" s="1509"/>
      <c r="EB73" s="1509"/>
      <c r="EC73" s="1509"/>
      <c r="ED73" s="1509"/>
      <c r="EE73" s="1509"/>
      <c r="EF73" s="1509"/>
      <c r="EG73" s="1509"/>
      <c r="EH73" s="1509"/>
      <c r="EI73" s="1509"/>
      <c r="EJ73" s="1509"/>
      <c r="EK73" s="1509"/>
      <c r="EL73" s="1509"/>
      <c r="EM73" s="1509"/>
      <c r="EN73" s="1509"/>
      <c r="EO73" s="1509"/>
      <c r="EP73" s="1509"/>
      <c r="EQ73" s="1509"/>
      <c r="ER73" s="1509"/>
      <c r="ES73" s="1509"/>
      <c r="ET73" s="1509"/>
      <c r="EU73" s="1509"/>
      <c r="EV73" s="1509"/>
      <c r="EW73" s="1509"/>
      <c r="EX73" s="1509"/>
      <c r="EY73" s="1509"/>
      <c r="EZ73" s="1509"/>
      <c r="FA73" s="1509"/>
      <c r="FB73" s="1509"/>
      <c r="FC73" s="1509"/>
      <c r="FD73" s="1509"/>
      <c r="FE73" s="1509"/>
      <c r="FF73" s="1509"/>
      <c r="FG73" s="1509"/>
      <c r="FH73" s="1509"/>
      <c r="FI73" s="1509"/>
      <c r="FJ73" s="1509"/>
      <c r="FK73" s="1509"/>
      <c r="FL73" s="1509"/>
      <c r="FM73" s="1509"/>
      <c r="FN73" s="1509"/>
      <c r="FO73" s="1509"/>
      <c r="FP73" s="1509"/>
      <c r="FQ73" s="1509"/>
      <c r="FR73" s="1509"/>
      <c r="FS73" s="1509"/>
      <c r="FT73" s="1509"/>
      <c r="FU73" s="1509"/>
      <c r="FV73" s="1509"/>
      <c r="FW73" s="1509"/>
      <c r="FX73" s="1509"/>
      <c r="FY73" s="1509"/>
      <c r="FZ73" s="1509"/>
      <c r="GA73" s="1509"/>
      <c r="GB73" s="1509"/>
      <c r="GC73" s="1509"/>
      <c r="GD73" s="1509"/>
      <c r="GE73" s="1509"/>
      <c r="GF73" s="1509"/>
      <c r="GG73" s="1509"/>
      <c r="GH73" s="1509"/>
      <c r="GI73" s="1509"/>
      <c r="GJ73" s="1509"/>
      <c r="GK73" s="1509"/>
      <c r="GL73" s="1509"/>
      <c r="GM73" s="1509"/>
      <c r="GN73" s="1509"/>
      <c r="GO73" s="1509"/>
      <c r="GP73" s="1509"/>
      <c r="GQ73" s="1509"/>
      <c r="GR73" s="1509"/>
      <c r="GS73" s="1509"/>
      <c r="GT73" s="1509"/>
    </row>
    <row r="74" spans="1:202" s="4665" customFormat="1" ht="17.100000000000001" customHeight="1">
      <c r="C74" s="4678"/>
      <c r="D74" s="4676"/>
      <c r="E74" s="787"/>
      <c r="F74" s="4677"/>
      <c r="G74" s="1509"/>
      <c r="H74" s="1509"/>
      <c r="I74" s="1509"/>
      <c r="J74" s="1509"/>
      <c r="K74" s="4677"/>
      <c r="L74" s="4677"/>
      <c r="M74" s="4677"/>
      <c r="N74" s="4677"/>
      <c r="O74" s="4677"/>
      <c r="P74" s="4677"/>
      <c r="Q74" s="4677"/>
      <c r="R74" s="4677"/>
      <c r="S74" s="4677"/>
      <c r="T74" s="4677"/>
      <c r="U74" s="4677"/>
      <c r="V74" s="4677"/>
      <c r="W74" s="1509"/>
      <c r="X74" s="1509"/>
      <c r="Y74" s="1509"/>
      <c r="Z74" s="1509"/>
      <c r="AA74" s="1509"/>
      <c r="AB74" s="1509"/>
      <c r="AC74" s="1509"/>
      <c r="AD74" s="1509"/>
      <c r="AE74" s="1509"/>
      <c r="AF74" s="1509"/>
      <c r="AG74" s="1509"/>
      <c r="AH74" s="1509"/>
      <c r="AI74" s="1509"/>
      <c r="AJ74" s="1509"/>
      <c r="AK74" s="1509"/>
      <c r="AL74" s="1509"/>
      <c r="AM74" s="1509"/>
      <c r="AN74" s="1509"/>
      <c r="AO74" s="1509"/>
      <c r="AP74" s="1509"/>
      <c r="AQ74" s="1509"/>
      <c r="AR74" s="1509"/>
      <c r="AS74" s="1509"/>
      <c r="AT74" s="1509"/>
      <c r="AU74" s="1509"/>
      <c r="AV74" s="1509"/>
      <c r="AW74" s="1509"/>
      <c r="AX74" s="1509"/>
      <c r="AY74" s="1509"/>
      <c r="AZ74" s="1509"/>
      <c r="BA74" s="1509"/>
      <c r="BB74" s="1509"/>
      <c r="BC74" s="1509"/>
      <c r="BD74" s="1509"/>
      <c r="BE74" s="1509"/>
      <c r="BF74" s="1509"/>
      <c r="BG74" s="1509"/>
      <c r="BH74" s="1509"/>
      <c r="BI74" s="1509"/>
      <c r="BJ74" s="1509"/>
      <c r="BK74" s="1509"/>
      <c r="BL74" s="1509"/>
      <c r="BM74" s="1509"/>
      <c r="BN74" s="1509"/>
      <c r="BO74" s="1509"/>
      <c r="BP74" s="1509"/>
      <c r="BQ74" s="1509"/>
      <c r="BR74" s="1509"/>
      <c r="BS74" s="1509"/>
      <c r="BT74" s="1509"/>
      <c r="BU74" s="1509"/>
      <c r="BV74" s="1509"/>
      <c r="BW74" s="1509"/>
      <c r="BX74" s="1509"/>
      <c r="BY74" s="1509"/>
      <c r="BZ74" s="1509"/>
      <c r="CA74" s="1509"/>
      <c r="CB74" s="1509"/>
      <c r="CC74" s="1509"/>
      <c r="CD74" s="1509"/>
      <c r="CE74" s="1509"/>
      <c r="CF74" s="1509"/>
      <c r="CG74" s="1509"/>
      <c r="CH74" s="1509"/>
      <c r="CI74" s="1509"/>
      <c r="CJ74" s="1509"/>
      <c r="CK74" s="1509"/>
      <c r="CL74" s="1509"/>
      <c r="CM74" s="1509"/>
      <c r="CN74" s="1509"/>
      <c r="CO74" s="1509"/>
      <c r="CP74" s="1509"/>
      <c r="CQ74" s="1509"/>
      <c r="CR74" s="1509"/>
      <c r="CS74" s="1509"/>
      <c r="CT74" s="1509"/>
      <c r="CU74" s="1509"/>
      <c r="CV74" s="1509"/>
      <c r="CW74" s="1509"/>
      <c r="CX74" s="1509"/>
      <c r="CY74" s="1509"/>
      <c r="CZ74" s="1509"/>
      <c r="DA74" s="1509"/>
      <c r="DB74" s="1509"/>
      <c r="DC74" s="1509"/>
      <c r="DD74" s="1509"/>
      <c r="DE74" s="1509"/>
      <c r="DF74" s="1509"/>
      <c r="DG74" s="1509"/>
      <c r="DH74" s="1509"/>
      <c r="DI74" s="1509"/>
      <c r="DJ74" s="1509"/>
      <c r="DK74" s="1509"/>
      <c r="DL74" s="1509"/>
      <c r="DM74" s="1509"/>
      <c r="DN74" s="1509"/>
      <c r="DO74" s="1509"/>
      <c r="DP74" s="1509"/>
      <c r="DQ74" s="1509"/>
      <c r="DR74" s="1509"/>
      <c r="DS74" s="1509"/>
      <c r="DT74" s="1509"/>
      <c r="DU74" s="1509"/>
      <c r="DV74" s="1509"/>
      <c r="DW74" s="1509"/>
      <c r="DX74" s="1509"/>
      <c r="DY74" s="1509"/>
      <c r="DZ74" s="1509"/>
      <c r="EA74" s="1509"/>
      <c r="EB74" s="1509"/>
      <c r="EC74" s="1509"/>
      <c r="ED74" s="1509"/>
      <c r="EE74" s="1509"/>
      <c r="EF74" s="1509"/>
      <c r="EG74" s="1509"/>
      <c r="EH74" s="1509"/>
      <c r="EI74" s="1509"/>
      <c r="EJ74" s="1509"/>
      <c r="EK74" s="1509"/>
      <c r="EL74" s="1509"/>
      <c r="EM74" s="1509"/>
      <c r="EN74" s="1509"/>
      <c r="EO74" s="1509"/>
      <c r="EP74" s="1509"/>
      <c r="EQ74" s="1509"/>
      <c r="ER74" s="1509"/>
      <c r="ES74" s="1509"/>
      <c r="ET74" s="1509"/>
      <c r="EU74" s="1509"/>
      <c r="EV74" s="1509"/>
      <c r="EW74" s="1509"/>
      <c r="EX74" s="1509"/>
      <c r="EY74" s="1509"/>
      <c r="EZ74" s="1509"/>
      <c r="FA74" s="1509"/>
      <c r="FB74" s="1509"/>
      <c r="FC74" s="1509"/>
      <c r="FD74" s="1509"/>
      <c r="FE74" s="1509"/>
      <c r="FF74" s="1509"/>
      <c r="FG74" s="1509"/>
      <c r="FH74" s="1509"/>
      <c r="FI74" s="1509"/>
      <c r="FJ74" s="1509"/>
      <c r="FK74" s="1509"/>
      <c r="FL74" s="1509"/>
      <c r="FM74" s="1509"/>
      <c r="FN74" s="1509"/>
      <c r="FO74" s="1509"/>
      <c r="FP74" s="1509"/>
      <c r="FQ74" s="1509"/>
      <c r="FR74" s="1509"/>
      <c r="FS74" s="1509"/>
      <c r="FT74" s="1509"/>
      <c r="FU74" s="1509"/>
      <c r="FV74" s="1509"/>
      <c r="FW74" s="1509"/>
      <c r="FX74" s="1509"/>
      <c r="FY74" s="1509"/>
      <c r="FZ74" s="1509"/>
      <c r="GA74" s="1509"/>
      <c r="GB74" s="1509"/>
      <c r="GC74" s="1509"/>
      <c r="GD74" s="1509"/>
      <c r="GE74" s="1509"/>
      <c r="GF74" s="1509"/>
      <c r="GG74" s="1509"/>
      <c r="GH74" s="1509"/>
      <c r="GI74" s="1509"/>
      <c r="GJ74" s="1509"/>
      <c r="GK74" s="1509"/>
      <c r="GL74" s="1509"/>
      <c r="GM74" s="1509"/>
      <c r="GN74" s="1509"/>
      <c r="GO74" s="1509"/>
      <c r="GP74" s="1509"/>
      <c r="GQ74" s="1509"/>
      <c r="GR74" s="1509"/>
      <c r="GS74" s="1509"/>
      <c r="GT74" s="1509"/>
    </row>
    <row r="75" spans="1:202" s="4665" customFormat="1" ht="17.100000000000001" customHeight="1">
      <c r="C75" s="4678"/>
      <c r="D75" s="4676"/>
      <c r="E75" s="787"/>
      <c r="F75" s="4677"/>
      <c r="G75" s="4677"/>
      <c r="H75" s="4677"/>
      <c r="I75" s="4677"/>
      <c r="J75" s="4677"/>
      <c r="K75" s="4677"/>
      <c r="L75" s="4677"/>
      <c r="M75" s="4677"/>
      <c r="N75" s="4677"/>
      <c r="O75" s="4677"/>
      <c r="P75" s="4677"/>
      <c r="Q75" s="4677"/>
      <c r="R75" s="4677"/>
      <c r="S75" s="4677"/>
      <c r="T75" s="4677"/>
      <c r="U75" s="4677"/>
      <c r="V75" s="4677"/>
      <c r="W75" s="1509"/>
      <c r="X75" s="1509"/>
      <c r="Y75" s="1509"/>
      <c r="Z75" s="1509"/>
      <c r="AA75" s="1509"/>
      <c r="AB75" s="1509"/>
      <c r="AC75" s="1509"/>
      <c r="AD75" s="1509"/>
      <c r="AE75" s="1509"/>
      <c r="AF75" s="1509"/>
      <c r="AG75" s="1509"/>
      <c r="AH75" s="1509"/>
      <c r="AI75" s="1509"/>
      <c r="AJ75" s="1509"/>
      <c r="AK75" s="1509"/>
      <c r="AL75" s="1509"/>
      <c r="AM75" s="1509"/>
      <c r="AN75" s="1509"/>
      <c r="AO75" s="1509"/>
      <c r="AP75" s="1509"/>
      <c r="AQ75" s="1509"/>
      <c r="AR75" s="1509"/>
      <c r="AS75" s="1509"/>
      <c r="AT75" s="1509"/>
      <c r="AU75" s="1509"/>
      <c r="AV75" s="1509"/>
      <c r="AW75" s="1509"/>
      <c r="AX75" s="1509"/>
      <c r="AY75" s="1509"/>
      <c r="AZ75" s="1509"/>
      <c r="BA75" s="1509"/>
      <c r="BB75" s="1509"/>
      <c r="BC75" s="1509"/>
      <c r="BD75" s="1509"/>
      <c r="BE75" s="1509"/>
      <c r="BF75" s="1509"/>
      <c r="BG75" s="1509"/>
      <c r="BH75" s="1509"/>
      <c r="BI75" s="1509"/>
      <c r="BJ75" s="1509"/>
      <c r="BK75" s="1509"/>
      <c r="BL75" s="1509"/>
      <c r="BM75" s="1509"/>
      <c r="BN75" s="1509"/>
      <c r="BO75" s="1509"/>
      <c r="BP75" s="1509"/>
      <c r="BQ75" s="1509"/>
      <c r="BR75" s="1509"/>
      <c r="BS75" s="1509"/>
      <c r="BT75" s="1509"/>
      <c r="BU75" s="1509"/>
      <c r="BV75" s="1509"/>
      <c r="BW75" s="1509"/>
      <c r="BX75" s="1509"/>
      <c r="BY75" s="1509"/>
      <c r="BZ75" s="1509"/>
      <c r="CA75" s="1509"/>
      <c r="CB75" s="1509"/>
      <c r="CC75" s="1509"/>
      <c r="CD75" s="1509"/>
      <c r="CE75" s="1509"/>
      <c r="CF75" s="1509"/>
      <c r="CG75" s="1509"/>
      <c r="CH75" s="1509"/>
      <c r="CI75" s="1509"/>
      <c r="CJ75" s="1509"/>
      <c r="CK75" s="1509"/>
      <c r="CL75" s="1509"/>
      <c r="CM75" s="1509"/>
      <c r="CN75" s="1509"/>
      <c r="CO75" s="1509"/>
      <c r="CP75" s="1509"/>
      <c r="CQ75" s="1509"/>
      <c r="CR75" s="1509"/>
      <c r="CS75" s="1509"/>
      <c r="CT75" s="1509"/>
      <c r="CU75" s="1509"/>
      <c r="CV75" s="1509"/>
      <c r="CW75" s="1509"/>
      <c r="CX75" s="1509"/>
      <c r="CY75" s="1509"/>
      <c r="CZ75" s="1509"/>
      <c r="DA75" s="1509"/>
      <c r="DB75" s="1509"/>
      <c r="DC75" s="1509"/>
      <c r="DD75" s="1509"/>
      <c r="DE75" s="1509"/>
      <c r="DF75" s="1509"/>
      <c r="DG75" s="1509"/>
      <c r="DH75" s="1509"/>
      <c r="DI75" s="1509"/>
      <c r="DJ75" s="1509"/>
      <c r="DK75" s="1509"/>
      <c r="DL75" s="1509"/>
      <c r="DM75" s="1509"/>
      <c r="DN75" s="1509"/>
      <c r="DO75" s="1509"/>
      <c r="DP75" s="1509"/>
      <c r="DQ75" s="1509"/>
      <c r="DR75" s="1509"/>
      <c r="DS75" s="1509"/>
      <c r="DT75" s="1509"/>
      <c r="DU75" s="1509"/>
      <c r="DV75" s="1509"/>
      <c r="DW75" s="1509"/>
      <c r="DX75" s="1509"/>
      <c r="DY75" s="1509"/>
      <c r="DZ75" s="1509"/>
      <c r="EA75" s="1509"/>
      <c r="EB75" s="1509"/>
      <c r="EC75" s="1509"/>
      <c r="ED75" s="1509"/>
      <c r="EE75" s="1509"/>
      <c r="EF75" s="1509"/>
      <c r="EG75" s="1509"/>
      <c r="EH75" s="1509"/>
      <c r="EI75" s="1509"/>
      <c r="EJ75" s="1509"/>
      <c r="EK75" s="1509"/>
      <c r="EL75" s="1509"/>
      <c r="EM75" s="1509"/>
      <c r="EN75" s="1509"/>
      <c r="EO75" s="1509"/>
      <c r="EP75" s="1509"/>
      <c r="EQ75" s="1509"/>
      <c r="ER75" s="1509"/>
      <c r="ES75" s="1509"/>
      <c r="ET75" s="1509"/>
      <c r="EU75" s="1509"/>
      <c r="EV75" s="1509"/>
      <c r="EW75" s="1509"/>
      <c r="EX75" s="1509"/>
      <c r="EY75" s="1509"/>
      <c r="EZ75" s="1509"/>
      <c r="FA75" s="1509"/>
      <c r="FB75" s="1509"/>
      <c r="FC75" s="1509"/>
      <c r="FD75" s="1509"/>
      <c r="FE75" s="1509"/>
      <c r="FF75" s="1509"/>
      <c r="FG75" s="1509"/>
      <c r="FH75" s="1509"/>
      <c r="FI75" s="1509"/>
      <c r="FJ75" s="1509"/>
      <c r="FK75" s="1509"/>
      <c r="FL75" s="1509"/>
      <c r="FM75" s="1509"/>
      <c r="FN75" s="1509"/>
      <c r="FO75" s="1509"/>
      <c r="FP75" s="1509"/>
      <c r="FQ75" s="1509"/>
      <c r="FR75" s="1509"/>
      <c r="FS75" s="1509"/>
      <c r="FT75" s="1509"/>
      <c r="FU75" s="1509"/>
      <c r="FV75" s="1509"/>
      <c r="FW75" s="1509"/>
      <c r="FX75" s="1509"/>
      <c r="FY75" s="1509"/>
      <c r="FZ75" s="1509"/>
      <c r="GA75" s="1509"/>
      <c r="GB75" s="1509"/>
      <c r="GC75" s="1509"/>
      <c r="GD75" s="1509"/>
      <c r="GE75" s="1509"/>
      <c r="GF75" s="1509"/>
      <c r="GG75" s="1509"/>
      <c r="GH75" s="1509"/>
      <c r="GI75" s="1509"/>
      <c r="GJ75" s="1509"/>
      <c r="GK75" s="1509"/>
      <c r="GL75" s="1509"/>
      <c r="GM75" s="1509"/>
      <c r="GN75" s="1509"/>
      <c r="GO75" s="1509"/>
      <c r="GP75" s="1509"/>
      <c r="GQ75" s="1509"/>
      <c r="GR75" s="1509"/>
      <c r="GS75" s="1509"/>
      <c r="GT75" s="1509"/>
    </row>
    <row r="76" spans="1:202" s="4665" customFormat="1" ht="17.100000000000001" customHeight="1">
      <c r="C76" s="4678"/>
      <c r="D76" s="4676"/>
      <c r="E76" s="787"/>
      <c r="F76" s="4677"/>
      <c r="G76" s="4677"/>
      <c r="H76" s="4677"/>
      <c r="I76" s="4677"/>
      <c r="J76" s="4677"/>
      <c r="K76" s="4677"/>
      <c r="L76" s="4677"/>
      <c r="M76" s="4677"/>
      <c r="N76" s="4677"/>
      <c r="O76" s="4677"/>
      <c r="P76" s="4677"/>
      <c r="Q76" s="4677"/>
      <c r="R76" s="4677"/>
      <c r="S76" s="4677"/>
      <c r="T76" s="4677"/>
      <c r="U76" s="4677"/>
      <c r="V76" s="4677"/>
      <c r="W76" s="1509"/>
      <c r="X76" s="1509"/>
      <c r="Y76" s="1509"/>
      <c r="Z76" s="1509"/>
      <c r="AA76" s="1509"/>
      <c r="AB76" s="1509"/>
      <c r="AC76" s="1509"/>
      <c r="AD76" s="1509"/>
      <c r="AE76" s="1509"/>
      <c r="AF76" s="1509"/>
      <c r="AG76" s="1509"/>
      <c r="AH76" s="1509"/>
      <c r="AI76" s="1509"/>
      <c r="AJ76" s="1509"/>
      <c r="AK76" s="1509"/>
      <c r="AL76" s="1509"/>
      <c r="AM76" s="1509"/>
      <c r="AN76" s="1509"/>
      <c r="AO76" s="1509"/>
      <c r="AP76" s="1509"/>
      <c r="AQ76" s="1509"/>
      <c r="AR76" s="1509"/>
      <c r="AS76" s="1509"/>
      <c r="AT76" s="1509"/>
      <c r="AU76" s="1509"/>
      <c r="AV76" s="1509"/>
      <c r="AW76" s="1509"/>
      <c r="AX76" s="1509"/>
      <c r="AY76" s="1509"/>
      <c r="AZ76" s="1509"/>
      <c r="BA76" s="1509"/>
      <c r="BB76" s="1509"/>
      <c r="BC76" s="1509"/>
      <c r="BD76" s="1509"/>
      <c r="BE76" s="1509"/>
      <c r="BF76" s="1509"/>
      <c r="BG76" s="1509"/>
      <c r="BH76" s="1509"/>
      <c r="BI76" s="1509"/>
      <c r="BJ76" s="1509"/>
      <c r="BK76" s="1509"/>
      <c r="BL76" s="1509"/>
      <c r="BM76" s="1509"/>
      <c r="BN76" s="1509"/>
      <c r="BO76" s="1509"/>
      <c r="BP76" s="1509"/>
      <c r="BQ76" s="1509"/>
      <c r="BR76" s="1509"/>
      <c r="BS76" s="1509"/>
      <c r="BT76" s="1509"/>
      <c r="BU76" s="1509"/>
      <c r="BV76" s="1509"/>
      <c r="BW76" s="1509"/>
      <c r="BX76" s="1509"/>
      <c r="BY76" s="1509"/>
      <c r="BZ76" s="1509"/>
      <c r="CA76" s="1509"/>
      <c r="CB76" s="1509"/>
      <c r="CC76" s="1509"/>
      <c r="CD76" s="1509"/>
      <c r="CE76" s="1509"/>
      <c r="CF76" s="1509"/>
      <c r="CG76" s="1509"/>
      <c r="CH76" s="1509"/>
      <c r="CI76" s="1509"/>
      <c r="CJ76" s="1509"/>
      <c r="CK76" s="1509"/>
      <c r="CL76" s="1509"/>
      <c r="CM76" s="1509"/>
      <c r="CN76" s="1509"/>
      <c r="CO76" s="1509"/>
      <c r="CP76" s="1509"/>
      <c r="CQ76" s="1509"/>
      <c r="CR76" s="1509"/>
      <c r="CS76" s="1509"/>
      <c r="CT76" s="1509"/>
      <c r="CU76" s="1509"/>
      <c r="CV76" s="1509"/>
      <c r="CW76" s="1509"/>
      <c r="CX76" s="1509"/>
      <c r="CY76" s="1509"/>
      <c r="CZ76" s="1509"/>
      <c r="DA76" s="1509"/>
      <c r="DB76" s="1509"/>
      <c r="DC76" s="1509"/>
      <c r="DD76" s="1509"/>
      <c r="DE76" s="1509"/>
      <c r="DF76" s="1509"/>
      <c r="DG76" s="1509"/>
      <c r="DH76" s="1509"/>
      <c r="DI76" s="1509"/>
      <c r="DJ76" s="1509"/>
      <c r="DK76" s="1509"/>
      <c r="DL76" s="1509"/>
      <c r="DM76" s="1509"/>
      <c r="DN76" s="1509"/>
      <c r="DO76" s="1509"/>
      <c r="DP76" s="1509"/>
      <c r="DQ76" s="1509"/>
      <c r="DR76" s="1509"/>
      <c r="DS76" s="1509"/>
      <c r="DT76" s="1509"/>
      <c r="DU76" s="1509"/>
      <c r="DV76" s="1509"/>
      <c r="DW76" s="1509"/>
      <c r="DX76" s="1509"/>
      <c r="DY76" s="1509"/>
      <c r="DZ76" s="1509"/>
      <c r="EA76" s="1509"/>
      <c r="EB76" s="1509"/>
      <c r="EC76" s="1509"/>
      <c r="ED76" s="1509"/>
      <c r="EE76" s="1509"/>
      <c r="EF76" s="1509"/>
      <c r="EG76" s="1509"/>
      <c r="EH76" s="1509"/>
      <c r="EI76" s="1509"/>
      <c r="EJ76" s="1509"/>
      <c r="EK76" s="1509"/>
      <c r="EL76" s="1509"/>
      <c r="EM76" s="1509"/>
      <c r="EN76" s="1509"/>
      <c r="EO76" s="1509"/>
      <c r="EP76" s="1509"/>
      <c r="EQ76" s="1509"/>
      <c r="ER76" s="1509"/>
      <c r="ES76" s="1509"/>
      <c r="ET76" s="1509"/>
      <c r="EU76" s="1509"/>
      <c r="EV76" s="1509"/>
      <c r="EW76" s="1509"/>
      <c r="EX76" s="1509"/>
      <c r="EY76" s="1509"/>
      <c r="EZ76" s="1509"/>
      <c r="FA76" s="1509"/>
      <c r="FB76" s="1509"/>
      <c r="FC76" s="1509"/>
      <c r="FD76" s="1509"/>
      <c r="FE76" s="1509"/>
      <c r="FF76" s="1509"/>
      <c r="FG76" s="1509"/>
      <c r="FH76" s="1509"/>
      <c r="FI76" s="1509"/>
      <c r="FJ76" s="1509"/>
      <c r="FK76" s="1509"/>
      <c r="FL76" s="1509"/>
      <c r="FM76" s="1509"/>
      <c r="FN76" s="1509"/>
      <c r="FO76" s="1509"/>
      <c r="FP76" s="1509"/>
      <c r="FQ76" s="1509"/>
      <c r="FR76" s="1509"/>
      <c r="FS76" s="1509"/>
      <c r="FT76" s="1509"/>
      <c r="FU76" s="1509"/>
      <c r="FV76" s="1509"/>
      <c r="FW76" s="1509"/>
      <c r="FX76" s="1509"/>
      <c r="FY76" s="1509"/>
      <c r="FZ76" s="1509"/>
      <c r="GA76" s="1509"/>
      <c r="GB76" s="1509"/>
      <c r="GC76" s="1509"/>
      <c r="GD76" s="1509"/>
      <c r="GE76" s="1509"/>
      <c r="GF76" s="1509"/>
      <c r="GG76" s="1509"/>
      <c r="GH76" s="1509"/>
      <c r="GI76" s="1509"/>
      <c r="GJ76" s="1509"/>
      <c r="GK76" s="1509"/>
      <c r="GL76" s="1509"/>
      <c r="GM76" s="1509"/>
      <c r="GN76" s="1509"/>
      <c r="GO76" s="1509"/>
      <c r="GP76" s="1509"/>
      <c r="GQ76" s="1509"/>
      <c r="GR76" s="1509"/>
      <c r="GS76" s="1509"/>
      <c r="GT76" s="1509"/>
    </row>
    <row r="77" spans="1:202" s="4665" customFormat="1" ht="17.100000000000001" customHeight="1">
      <c r="C77" s="4678"/>
      <c r="D77" s="4676"/>
      <c r="E77" s="787"/>
      <c r="F77" s="4677"/>
      <c r="G77" s="4677"/>
      <c r="H77" s="4677"/>
      <c r="I77" s="4677"/>
      <c r="J77" s="4677"/>
      <c r="K77" s="4677"/>
      <c r="L77" s="4677"/>
      <c r="M77" s="4677"/>
      <c r="N77" s="4677"/>
      <c r="O77" s="4677"/>
      <c r="P77" s="4677"/>
      <c r="Q77" s="4677"/>
      <c r="R77" s="4677"/>
      <c r="S77" s="4677"/>
      <c r="T77" s="4677"/>
      <c r="U77" s="4677"/>
      <c r="V77" s="4677"/>
      <c r="W77" s="4680"/>
      <c r="X77" s="644"/>
      <c r="Y77" s="644"/>
      <c r="Z77" s="644"/>
      <c r="AA77" s="644"/>
      <c r="AB77" s="644"/>
      <c r="AC77" s="644"/>
      <c r="AD77" s="644"/>
      <c r="AE77" s="644"/>
      <c r="AF77" s="644"/>
      <c r="AG77" s="644"/>
      <c r="AH77" s="644"/>
      <c r="AI77" s="644"/>
      <c r="AJ77" s="644"/>
      <c r="AK77" s="644"/>
      <c r="AL77" s="644"/>
      <c r="AM77" s="644"/>
      <c r="AN77" s="644"/>
      <c r="AO77" s="644"/>
      <c r="AP77" s="644"/>
      <c r="AQ77" s="644"/>
      <c r="AR77" s="644"/>
      <c r="AS77" s="644"/>
      <c r="AT77" s="644"/>
      <c r="AU77" s="644"/>
      <c r="AV77" s="644"/>
      <c r="AW77" s="644"/>
      <c r="AX77" s="644"/>
      <c r="AY77" s="644"/>
      <c r="AZ77" s="644"/>
      <c r="BA77" s="644"/>
      <c r="BB77" s="644"/>
      <c r="BC77" s="644"/>
      <c r="BD77" s="644"/>
      <c r="BE77" s="644"/>
      <c r="BF77" s="644"/>
      <c r="BG77" s="644"/>
      <c r="BH77" s="644"/>
      <c r="BI77" s="644"/>
      <c r="BJ77" s="644"/>
      <c r="BK77" s="644"/>
      <c r="BL77" s="644"/>
      <c r="BM77" s="644"/>
      <c r="BN77" s="644"/>
      <c r="BO77" s="644"/>
      <c r="BP77" s="644"/>
      <c r="BQ77" s="644"/>
      <c r="BR77" s="644"/>
      <c r="BS77" s="644"/>
      <c r="BT77" s="644"/>
      <c r="BU77" s="644"/>
      <c r="BV77" s="644"/>
      <c r="BW77" s="644"/>
      <c r="BX77" s="644"/>
      <c r="BY77" s="644"/>
      <c r="BZ77" s="644"/>
      <c r="CA77" s="644"/>
      <c r="CB77" s="644"/>
      <c r="CC77" s="644"/>
      <c r="CD77" s="644"/>
      <c r="CE77" s="644"/>
      <c r="CF77" s="644"/>
      <c r="CG77" s="644"/>
      <c r="CH77" s="644"/>
      <c r="CI77" s="644"/>
      <c r="CJ77" s="644"/>
      <c r="CK77" s="644"/>
      <c r="CL77" s="644"/>
      <c r="CM77" s="644"/>
      <c r="CN77" s="644"/>
      <c r="CO77" s="644"/>
      <c r="CP77" s="644"/>
      <c r="CQ77" s="644"/>
      <c r="CR77" s="644"/>
      <c r="CS77" s="644"/>
      <c r="CT77" s="644"/>
      <c r="CU77" s="644"/>
      <c r="CV77" s="644"/>
      <c r="CW77" s="644"/>
      <c r="CX77" s="644"/>
      <c r="CY77" s="644"/>
      <c r="CZ77" s="644"/>
      <c r="DA77" s="644"/>
      <c r="DB77" s="644"/>
      <c r="DC77" s="644"/>
      <c r="DD77" s="644"/>
      <c r="DE77" s="644"/>
      <c r="DF77" s="644"/>
      <c r="DG77" s="644"/>
      <c r="DH77" s="644"/>
      <c r="DI77" s="644"/>
      <c r="DJ77" s="644"/>
      <c r="DK77" s="644"/>
      <c r="DL77" s="644"/>
      <c r="DM77" s="644"/>
      <c r="DN77" s="644"/>
      <c r="DO77" s="644"/>
      <c r="DP77" s="644"/>
      <c r="DQ77" s="644"/>
      <c r="DR77" s="644"/>
      <c r="DS77" s="644"/>
      <c r="DT77" s="644"/>
      <c r="DU77" s="644"/>
      <c r="DV77" s="644"/>
      <c r="DW77" s="644"/>
      <c r="DX77" s="644"/>
      <c r="DY77" s="644"/>
      <c r="DZ77" s="644"/>
      <c r="EA77" s="644"/>
      <c r="EB77" s="644"/>
      <c r="EC77" s="644"/>
      <c r="ED77" s="644"/>
      <c r="EE77" s="644"/>
      <c r="EF77" s="644"/>
      <c r="EG77" s="644"/>
      <c r="EH77" s="644"/>
      <c r="EI77" s="644"/>
      <c r="EJ77" s="644"/>
      <c r="EK77" s="644"/>
      <c r="EL77" s="644"/>
      <c r="EM77" s="644"/>
      <c r="EN77" s="644"/>
      <c r="EO77" s="644"/>
      <c r="EP77" s="644"/>
      <c r="EQ77" s="644"/>
      <c r="ER77" s="644"/>
      <c r="ES77" s="644"/>
      <c r="ET77" s="644"/>
      <c r="EU77" s="644"/>
      <c r="EV77" s="644"/>
      <c r="EW77" s="644"/>
      <c r="EX77" s="644"/>
      <c r="EY77" s="644"/>
      <c r="EZ77" s="644"/>
      <c r="FA77" s="644"/>
      <c r="FB77" s="644"/>
      <c r="FC77" s="644"/>
      <c r="FD77" s="644"/>
      <c r="FE77" s="644"/>
      <c r="FF77" s="644"/>
      <c r="FG77" s="644"/>
      <c r="FH77" s="644"/>
      <c r="FI77" s="644"/>
      <c r="FJ77" s="644"/>
      <c r="FK77" s="644"/>
      <c r="FL77" s="644"/>
      <c r="FM77" s="644"/>
      <c r="FN77" s="644"/>
      <c r="FO77" s="644"/>
      <c r="FP77" s="644"/>
      <c r="FQ77" s="644"/>
      <c r="FR77" s="644"/>
      <c r="FS77" s="644"/>
      <c r="FT77" s="644"/>
      <c r="FU77" s="644"/>
      <c r="FV77" s="644"/>
      <c r="FW77" s="644"/>
      <c r="FX77" s="644"/>
      <c r="FY77" s="644"/>
      <c r="FZ77" s="644"/>
      <c r="GA77" s="644"/>
      <c r="GB77" s="644"/>
      <c r="GC77" s="1509"/>
      <c r="GD77" s="1509"/>
      <c r="GE77" s="1509"/>
      <c r="GF77" s="1509"/>
      <c r="GG77" s="1509"/>
      <c r="GH77" s="1509"/>
      <c r="GI77" s="1509"/>
      <c r="GJ77" s="1509"/>
      <c r="GK77" s="1509"/>
      <c r="GL77" s="1509"/>
      <c r="GM77" s="1509"/>
      <c r="GN77" s="1509"/>
      <c r="GO77" s="1509"/>
      <c r="GP77" s="1509"/>
      <c r="GQ77" s="1509"/>
      <c r="GR77" s="1509"/>
      <c r="GS77" s="1509"/>
      <c r="GT77" s="1509"/>
    </row>
    <row r="78" spans="1:202" s="4665" customFormat="1" ht="17.100000000000001" customHeight="1">
      <c r="C78" s="4678"/>
      <c r="D78" s="4676"/>
      <c r="E78" s="787"/>
      <c r="F78" s="4681"/>
      <c r="G78" s="4677"/>
      <c r="H78" s="4677"/>
      <c r="I78" s="4677"/>
      <c r="J78" s="4677"/>
      <c r="K78" s="4677"/>
      <c r="L78" s="4677"/>
      <c r="M78" s="4677"/>
      <c r="N78" s="4677"/>
      <c r="O78" s="4677"/>
      <c r="P78" s="4677"/>
      <c r="Q78" s="4677"/>
      <c r="R78" s="4677"/>
      <c r="S78" s="4677"/>
      <c r="T78" s="4677"/>
      <c r="U78" s="4677"/>
      <c r="V78" s="4677"/>
      <c r="W78" s="1509"/>
      <c r="X78" s="1509"/>
      <c r="Y78" s="1509"/>
      <c r="Z78" s="1509"/>
      <c r="AA78" s="1509"/>
      <c r="AB78" s="1509"/>
      <c r="AC78" s="1509"/>
      <c r="AD78" s="1509"/>
      <c r="AE78" s="1509"/>
      <c r="AF78" s="1509"/>
      <c r="AG78" s="1509"/>
      <c r="AH78" s="1509"/>
      <c r="AI78" s="1509"/>
      <c r="AJ78" s="1509"/>
      <c r="AK78" s="1509"/>
      <c r="AL78" s="1509"/>
      <c r="AM78" s="1509"/>
      <c r="AN78" s="1509"/>
      <c r="AO78" s="1509"/>
      <c r="AP78" s="1509"/>
      <c r="AQ78" s="1509"/>
      <c r="AR78" s="1509"/>
      <c r="AS78" s="1509"/>
      <c r="AT78" s="1509"/>
      <c r="AU78" s="1509"/>
      <c r="AV78" s="1509"/>
      <c r="AW78" s="1509"/>
      <c r="AX78" s="1509"/>
      <c r="AY78" s="1509"/>
      <c r="AZ78" s="1509"/>
      <c r="BA78" s="1509"/>
      <c r="BB78" s="1509"/>
      <c r="BC78" s="1509"/>
      <c r="BD78" s="1509"/>
      <c r="BE78" s="1509"/>
      <c r="BF78" s="1509"/>
      <c r="BG78" s="1509"/>
      <c r="BH78" s="1509"/>
      <c r="BI78" s="1509"/>
      <c r="BJ78" s="1509"/>
      <c r="BK78" s="1509"/>
      <c r="BL78" s="1509"/>
      <c r="BM78" s="1509"/>
      <c r="BN78" s="1509"/>
      <c r="BO78" s="1509"/>
      <c r="BP78" s="1509"/>
      <c r="BQ78" s="1509"/>
      <c r="BR78" s="1509"/>
      <c r="BS78" s="1509"/>
      <c r="BT78" s="1509"/>
      <c r="BU78" s="1509"/>
      <c r="BV78" s="1509"/>
      <c r="BW78" s="1509"/>
      <c r="BX78" s="1509"/>
      <c r="BY78" s="1509"/>
      <c r="BZ78" s="1509"/>
      <c r="CA78" s="1509"/>
      <c r="CB78" s="1509"/>
      <c r="CC78" s="1509"/>
      <c r="CD78" s="1509"/>
      <c r="CE78" s="1509"/>
      <c r="CF78" s="1509"/>
      <c r="CG78" s="1509"/>
      <c r="CH78" s="1509"/>
      <c r="CI78" s="1509"/>
      <c r="CJ78" s="1509"/>
      <c r="CK78" s="1509"/>
      <c r="CL78" s="1509"/>
      <c r="CM78" s="1509"/>
      <c r="CN78" s="1509"/>
      <c r="CO78" s="1509"/>
      <c r="CP78" s="1509"/>
      <c r="CQ78" s="1509"/>
      <c r="CR78" s="1509"/>
      <c r="CS78" s="1509"/>
      <c r="CT78" s="1509"/>
      <c r="CU78" s="1509"/>
      <c r="CV78" s="1509"/>
      <c r="CW78" s="1509"/>
      <c r="CX78" s="1509"/>
      <c r="CY78" s="1509"/>
      <c r="CZ78" s="1509"/>
      <c r="DA78" s="1509"/>
      <c r="DB78" s="1509"/>
      <c r="DC78" s="1509"/>
      <c r="DD78" s="1509"/>
      <c r="DE78" s="1509"/>
      <c r="DF78" s="1509"/>
      <c r="DG78" s="1509"/>
      <c r="DH78" s="1509"/>
      <c r="DI78" s="1509"/>
      <c r="DJ78" s="1509"/>
      <c r="DK78" s="1509"/>
      <c r="DL78" s="1509"/>
      <c r="DM78" s="1509"/>
      <c r="DN78" s="1509"/>
      <c r="DO78" s="1509"/>
      <c r="DP78" s="1509"/>
      <c r="DQ78" s="1509"/>
      <c r="DR78" s="1509"/>
      <c r="DS78" s="1509"/>
      <c r="DT78" s="1509"/>
      <c r="DU78" s="1509"/>
      <c r="DV78" s="1509"/>
      <c r="DW78" s="1509"/>
      <c r="DX78" s="1509"/>
      <c r="DY78" s="1509"/>
      <c r="DZ78" s="1509"/>
      <c r="EA78" s="1509"/>
      <c r="EB78" s="1509"/>
      <c r="EC78" s="1509"/>
      <c r="ED78" s="1509"/>
      <c r="EE78" s="1509"/>
      <c r="EF78" s="1509"/>
      <c r="EG78" s="1509"/>
      <c r="EH78" s="1509"/>
      <c r="EI78" s="1509"/>
      <c r="EJ78" s="1509"/>
      <c r="EK78" s="1509"/>
      <c r="EL78" s="1509"/>
      <c r="EM78" s="1509"/>
      <c r="EN78" s="1509"/>
      <c r="EO78" s="1509"/>
      <c r="EP78" s="1509"/>
      <c r="EQ78" s="1509"/>
      <c r="ER78" s="1509"/>
      <c r="ES78" s="1509"/>
      <c r="ET78" s="1509"/>
      <c r="EU78" s="1509"/>
      <c r="EV78" s="1509"/>
      <c r="EW78" s="1509"/>
      <c r="EX78" s="1509"/>
      <c r="EY78" s="1509"/>
      <c r="EZ78" s="1509"/>
      <c r="FA78" s="1509"/>
      <c r="FB78" s="1509"/>
      <c r="FC78" s="1509"/>
      <c r="FD78" s="1509"/>
      <c r="FE78" s="1509"/>
      <c r="FF78" s="1509"/>
      <c r="FG78" s="1509"/>
      <c r="FH78" s="1509"/>
      <c r="FI78" s="1509"/>
      <c r="FJ78" s="1509"/>
      <c r="FK78" s="1509"/>
      <c r="FL78" s="1509"/>
      <c r="FM78" s="1509"/>
      <c r="FN78" s="1509"/>
      <c r="FO78" s="1509"/>
      <c r="FP78" s="1509"/>
      <c r="FQ78" s="1509"/>
      <c r="FR78" s="1509"/>
      <c r="FS78" s="1509"/>
      <c r="FT78" s="1509"/>
      <c r="FU78" s="1509"/>
      <c r="FV78" s="1509"/>
      <c r="FW78" s="1509"/>
      <c r="FX78" s="1509"/>
      <c r="FY78" s="1509"/>
      <c r="FZ78" s="1509"/>
      <c r="GA78" s="1509"/>
      <c r="GB78" s="1509"/>
      <c r="GC78" s="1509"/>
      <c r="GD78" s="1509"/>
      <c r="GE78" s="1509"/>
      <c r="GF78" s="1509"/>
      <c r="GG78" s="1509"/>
      <c r="GH78" s="1509"/>
      <c r="GI78" s="1509"/>
      <c r="GJ78" s="1509"/>
      <c r="GK78" s="1509"/>
      <c r="GL78" s="1509"/>
      <c r="GM78" s="1509"/>
      <c r="GN78" s="1509"/>
      <c r="GO78" s="1509"/>
      <c r="GP78" s="1509"/>
      <c r="GQ78" s="1509"/>
      <c r="GR78" s="1509"/>
      <c r="GS78" s="1509"/>
      <c r="GT78" s="1509"/>
    </row>
    <row r="79" spans="1:202" s="4665" customFormat="1" ht="17.100000000000001" customHeight="1">
      <c r="C79" s="4678"/>
      <c r="D79" s="4676"/>
      <c r="E79" s="787"/>
      <c r="F79" s="4681"/>
      <c r="G79" s="4677"/>
      <c r="H79" s="4677"/>
      <c r="I79" s="4677"/>
      <c r="J79" s="4677"/>
      <c r="K79" s="4677"/>
      <c r="L79" s="4677"/>
      <c r="M79" s="4677"/>
      <c r="N79" s="4677"/>
      <c r="O79" s="4677"/>
      <c r="P79" s="4677"/>
      <c r="Q79" s="4677"/>
      <c r="R79" s="4677"/>
      <c r="S79" s="4677"/>
      <c r="T79" s="4677"/>
      <c r="U79" s="4677"/>
      <c r="V79" s="4677"/>
      <c r="W79" s="1509"/>
      <c r="X79" s="1509"/>
      <c r="Y79" s="1509"/>
      <c r="Z79" s="1509"/>
      <c r="AA79" s="1509"/>
      <c r="AB79" s="1509"/>
      <c r="AC79" s="1509"/>
      <c r="AD79" s="1509"/>
      <c r="AE79" s="1509"/>
      <c r="AF79" s="1509"/>
      <c r="AG79" s="1509"/>
      <c r="AH79" s="1509"/>
      <c r="AI79" s="1509"/>
      <c r="AJ79" s="1509"/>
      <c r="AK79" s="1509"/>
      <c r="AL79" s="1509"/>
      <c r="AM79" s="1509"/>
      <c r="AN79" s="1509"/>
      <c r="AO79" s="1509"/>
      <c r="AP79" s="1509"/>
      <c r="AQ79" s="1509"/>
      <c r="AR79" s="1509"/>
      <c r="AS79" s="1509"/>
      <c r="AT79" s="1509"/>
      <c r="AU79" s="1509"/>
      <c r="AV79" s="1509"/>
      <c r="AW79" s="1509"/>
      <c r="AX79" s="1509"/>
      <c r="AY79" s="1509"/>
      <c r="AZ79" s="1509"/>
      <c r="BA79" s="1509"/>
      <c r="BB79" s="1509"/>
      <c r="BC79" s="1509"/>
      <c r="BD79" s="1509"/>
      <c r="BE79" s="1509"/>
      <c r="BF79" s="1509"/>
      <c r="BG79" s="1509"/>
      <c r="BH79" s="1509"/>
      <c r="BI79" s="1509"/>
      <c r="BJ79" s="1509"/>
      <c r="BK79" s="1509"/>
      <c r="BL79" s="1509"/>
      <c r="BM79" s="1509"/>
      <c r="BN79" s="1509"/>
      <c r="BO79" s="1509"/>
      <c r="BP79" s="1509"/>
      <c r="BQ79" s="1509"/>
      <c r="BR79" s="1509"/>
      <c r="BS79" s="1509"/>
      <c r="BT79" s="1509"/>
      <c r="BU79" s="1509"/>
      <c r="BV79" s="1509"/>
      <c r="BW79" s="1509"/>
      <c r="BX79" s="1509"/>
      <c r="BY79" s="1509"/>
      <c r="BZ79" s="1509"/>
      <c r="CA79" s="1509"/>
      <c r="CB79" s="1509"/>
      <c r="CC79" s="1509"/>
      <c r="CD79" s="1509"/>
      <c r="CE79" s="1509"/>
      <c r="CF79" s="1509"/>
      <c r="CG79" s="1509"/>
      <c r="CH79" s="1509"/>
      <c r="CI79" s="1509"/>
      <c r="CJ79" s="1509"/>
      <c r="CK79" s="1509"/>
      <c r="CL79" s="1509"/>
      <c r="CM79" s="1509"/>
      <c r="CN79" s="1509"/>
      <c r="CO79" s="1509"/>
      <c r="CP79" s="1509"/>
      <c r="CQ79" s="1509"/>
      <c r="CR79" s="1509"/>
      <c r="CS79" s="1509"/>
      <c r="CT79" s="1509"/>
      <c r="CU79" s="1509"/>
      <c r="CV79" s="1509"/>
      <c r="CW79" s="1509"/>
      <c r="CX79" s="1509"/>
      <c r="CY79" s="1509"/>
      <c r="CZ79" s="1509"/>
      <c r="DA79" s="1509"/>
      <c r="DB79" s="1509"/>
      <c r="DC79" s="1509"/>
      <c r="DD79" s="1509"/>
      <c r="DE79" s="1509"/>
      <c r="DF79" s="1509"/>
      <c r="DG79" s="1509"/>
      <c r="DH79" s="1509"/>
      <c r="DI79" s="1509"/>
      <c r="DJ79" s="1509"/>
      <c r="DK79" s="1509"/>
      <c r="DL79" s="1509"/>
      <c r="DM79" s="1509"/>
      <c r="DN79" s="1509"/>
      <c r="DO79" s="1509"/>
      <c r="DP79" s="1509"/>
      <c r="DQ79" s="1509"/>
      <c r="DR79" s="1509"/>
      <c r="DS79" s="1509"/>
      <c r="DT79" s="1509"/>
      <c r="DU79" s="1509"/>
      <c r="DV79" s="1509"/>
      <c r="DW79" s="1509"/>
      <c r="DX79" s="1509"/>
      <c r="DY79" s="1509"/>
      <c r="DZ79" s="1509"/>
      <c r="EA79" s="1509"/>
      <c r="EB79" s="1509"/>
      <c r="EC79" s="1509"/>
      <c r="ED79" s="1509"/>
      <c r="EE79" s="1509"/>
      <c r="EF79" s="1509"/>
      <c r="EG79" s="1509"/>
      <c r="EH79" s="1509"/>
      <c r="EI79" s="1509"/>
      <c r="EJ79" s="1509"/>
      <c r="EK79" s="1509"/>
      <c r="EL79" s="1509"/>
      <c r="EM79" s="1509"/>
      <c r="EN79" s="1509"/>
      <c r="EO79" s="1509"/>
      <c r="EP79" s="1509"/>
      <c r="EQ79" s="1509"/>
      <c r="ER79" s="1509"/>
      <c r="ES79" s="1509"/>
      <c r="ET79" s="1509"/>
      <c r="EU79" s="1509"/>
      <c r="EV79" s="1509"/>
      <c r="EW79" s="1509"/>
      <c r="EX79" s="1509"/>
      <c r="EY79" s="1509"/>
      <c r="EZ79" s="1509"/>
      <c r="FA79" s="1509"/>
      <c r="FB79" s="1509"/>
      <c r="FC79" s="1509"/>
      <c r="FD79" s="1509"/>
      <c r="FE79" s="1509"/>
      <c r="FF79" s="1509"/>
      <c r="FG79" s="1509"/>
      <c r="FH79" s="1509"/>
      <c r="FI79" s="1509"/>
      <c r="FJ79" s="1509"/>
      <c r="FK79" s="1509"/>
      <c r="FL79" s="1509"/>
      <c r="FM79" s="1509"/>
      <c r="FN79" s="1509"/>
      <c r="FO79" s="1509"/>
      <c r="FP79" s="1509"/>
      <c r="FQ79" s="1509"/>
      <c r="FR79" s="1509"/>
      <c r="FS79" s="1509"/>
      <c r="FT79" s="1509"/>
      <c r="FU79" s="1509"/>
      <c r="FV79" s="1509"/>
      <c r="FW79" s="1509"/>
      <c r="FX79" s="1509"/>
      <c r="FY79" s="1509"/>
      <c r="FZ79" s="1509"/>
      <c r="GA79" s="1509"/>
      <c r="GB79" s="1509"/>
      <c r="GC79" s="1509"/>
      <c r="GD79" s="1509"/>
      <c r="GE79" s="1509"/>
      <c r="GF79" s="1509"/>
      <c r="GG79" s="1509"/>
      <c r="GH79" s="1509"/>
      <c r="GI79" s="1509"/>
      <c r="GJ79" s="1509"/>
      <c r="GK79" s="1509"/>
      <c r="GL79" s="1509"/>
      <c r="GM79" s="1509"/>
      <c r="GN79" s="1509"/>
      <c r="GO79" s="1509"/>
      <c r="GP79" s="1509"/>
      <c r="GQ79" s="1509"/>
      <c r="GR79" s="1509"/>
      <c r="GS79" s="1509"/>
      <c r="GT79" s="1509"/>
    </row>
    <row r="80" spans="1:202" s="4665" customFormat="1" ht="17.100000000000001" customHeight="1">
      <c r="C80" s="4678"/>
      <c r="D80" s="4676"/>
      <c r="E80" s="787"/>
      <c r="F80" s="4677"/>
      <c r="G80" s="4677"/>
      <c r="H80" s="4677"/>
      <c r="I80" s="4677"/>
      <c r="J80" s="4677"/>
      <c r="K80" s="4677"/>
      <c r="L80" s="4677"/>
      <c r="M80" s="4677"/>
      <c r="N80" s="4677"/>
      <c r="O80" s="4677"/>
      <c r="P80" s="4677"/>
      <c r="Q80" s="4677"/>
      <c r="R80" s="4677"/>
      <c r="S80" s="4677"/>
      <c r="T80" s="4677"/>
      <c r="U80" s="4677"/>
      <c r="V80" s="4677"/>
      <c r="W80" s="1509"/>
      <c r="X80" s="1509"/>
      <c r="Y80" s="1509"/>
      <c r="Z80" s="1509"/>
      <c r="AA80" s="1509"/>
      <c r="AB80" s="1509"/>
      <c r="AC80" s="1509"/>
      <c r="AD80" s="1509"/>
      <c r="AE80" s="1509"/>
      <c r="AF80" s="1509"/>
      <c r="AG80" s="1509"/>
      <c r="AH80" s="1509"/>
      <c r="AI80" s="1509"/>
      <c r="AJ80" s="1509"/>
      <c r="AK80" s="1509"/>
      <c r="AL80" s="1509"/>
      <c r="AM80" s="1509"/>
      <c r="AN80" s="1509"/>
      <c r="AO80" s="1509"/>
      <c r="AP80" s="1509"/>
      <c r="AQ80" s="1509"/>
      <c r="AR80" s="1509"/>
      <c r="AS80" s="1509"/>
      <c r="AT80" s="1509"/>
      <c r="AU80" s="1509"/>
      <c r="AV80" s="1509"/>
      <c r="AW80" s="1509"/>
      <c r="AX80" s="1509"/>
      <c r="AY80" s="1509"/>
      <c r="AZ80" s="1509"/>
      <c r="BA80" s="1509"/>
      <c r="BB80" s="1509"/>
      <c r="BC80" s="1509"/>
      <c r="BD80" s="1509"/>
      <c r="BE80" s="1509"/>
      <c r="BF80" s="1509"/>
      <c r="BG80" s="1509"/>
      <c r="BH80" s="1509"/>
      <c r="BI80" s="1509"/>
      <c r="BJ80" s="1509"/>
      <c r="BK80" s="1509"/>
      <c r="BL80" s="1509"/>
      <c r="BM80" s="1509"/>
      <c r="BN80" s="1509"/>
      <c r="BO80" s="1509"/>
      <c r="BP80" s="1509"/>
      <c r="BQ80" s="1509"/>
      <c r="BR80" s="1509"/>
      <c r="BS80" s="1509"/>
      <c r="BT80" s="1509"/>
      <c r="BU80" s="1509"/>
      <c r="BV80" s="1509"/>
      <c r="BW80" s="1509"/>
      <c r="BX80" s="1509"/>
      <c r="BY80" s="1509"/>
      <c r="BZ80" s="1509"/>
      <c r="CA80" s="1509"/>
      <c r="CB80" s="1509"/>
      <c r="CC80" s="1509"/>
      <c r="CD80" s="1509"/>
      <c r="CE80" s="1509"/>
      <c r="CF80" s="1509"/>
      <c r="CG80" s="1509"/>
      <c r="CH80" s="1509"/>
      <c r="CI80" s="1509"/>
      <c r="CJ80" s="1509"/>
      <c r="CK80" s="1509"/>
      <c r="CL80" s="1509"/>
      <c r="CM80" s="1509"/>
      <c r="CN80" s="1509"/>
      <c r="CO80" s="1509"/>
      <c r="CP80" s="1509"/>
      <c r="CQ80" s="1509"/>
      <c r="CR80" s="1509"/>
      <c r="CS80" s="1509"/>
      <c r="CT80" s="1509"/>
      <c r="CU80" s="1509"/>
      <c r="CV80" s="1509"/>
      <c r="CW80" s="1509"/>
      <c r="CX80" s="1509"/>
      <c r="CY80" s="1509"/>
      <c r="CZ80" s="1509"/>
      <c r="DA80" s="1509"/>
      <c r="DB80" s="1509"/>
      <c r="DC80" s="1509"/>
      <c r="DD80" s="1509"/>
      <c r="DE80" s="1509"/>
      <c r="DF80" s="1509"/>
      <c r="DG80" s="1509"/>
      <c r="DH80" s="1509"/>
      <c r="DI80" s="1509"/>
      <c r="DJ80" s="1509"/>
      <c r="DK80" s="1509"/>
      <c r="DL80" s="1509"/>
      <c r="DM80" s="1509"/>
      <c r="DN80" s="1509"/>
      <c r="DO80" s="1509"/>
      <c r="DP80" s="1509"/>
      <c r="DQ80" s="1509"/>
      <c r="DR80" s="1509"/>
      <c r="DS80" s="1509"/>
      <c r="DT80" s="1509"/>
      <c r="DU80" s="1509"/>
      <c r="DV80" s="1509"/>
      <c r="DW80" s="1509"/>
      <c r="DX80" s="1509"/>
      <c r="DY80" s="1509"/>
      <c r="DZ80" s="1509"/>
      <c r="EA80" s="1509"/>
      <c r="EB80" s="1509"/>
      <c r="EC80" s="1509"/>
      <c r="ED80" s="1509"/>
      <c r="EE80" s="1509"/>
      <c r="EF80" s="1509"/>
      <c r="EG80" s="1509"/>
      <c r="EH80" s="1509"/>
      <c r="EI80" s="1509"/>
      <c r="EJ80" s="1509"/>
      <c r="EK80" s="1509"/>
      <c r="EL80" s="1509"/>
      <c r="EM80" s="1509"/>
      <c r="EN80" s="1509"/>
      <c r="EO80" s="1509"/>
      <c r="EP80" s="1509"/>
      <c r="EQ80" s="1509"/>
      <c r="ER80" s="1509"/>
      <c r="ES80" s="1509"/>
      <c r="ET80" s="1509"/>
      <c r="EU80" s="1509"/>
      <c r="EV80" s="1509"/>
      <c r="EW80" s="1509"/>
      <c r="EX80" s="1509"/>
      <c r="EY80" s="1509"/>
      <c r="EZ80" s="1509"/>
      <c r="FA80" s="1509"/>
      <c r="FB80" s="1509"/>
      <c r="FC80" s="1509"/>
      <c r="FD80" s="1509"/>
      <c r="FE80" s="1509"/>
      <c r="FF80" s="1509"/>
      <c r="FG80" s="1509"/>
      <c r="FH80" s="1509"/>
      <c r="FI80" s="1509"/>
      <c r="FJ80" s="1509"/>
      <c r="FK80" s="1509"/>
      <c r="FL80" s="1509"/>
      <c r="FM80" s="1509"/>
      <c r="FN80" s="1509"/>
      <c r="FO80" s="1509"/>
      <c r="FP80" s="1509"/>
      <c r="FQ80" s="1509"/>
      <c r="FR80" s="1509"/>
      <c r="FS80" s="1509"/>
      <c r="FT80" s="1509"/>
      <c r="FU80" s="1509"/>
      <c r="FV80" s="1509"/>
      <c r="FW80" s="1509"/>
      <c r="FX80" s="1509"/>
      <c r="FY80" s="1509"/>
      <c r="FZ80" s="1509"/>
      <c r="GA80" s="1509"/>
      <c r="GB80" s="1509"/>
      <c r="GC80" s="1509"/>
      <c r="GD80" s="1509"/>
      <c r="GE80" s="1509"/>
      <c r="GF80" s="1509"/>
      <c r="GG80" s="1509"/>
      <c r="GH80" s="1509"/>
      <c r="GI80" s="1509"/>
      <c r="GJ80" s="1509"/>
      <c r="GK80" s="1509"/>
      <c r="GL80" s="1509"/>
      <c r="GM80" s="1509"/>
      <c r="GN80" s="1509"/>
      <c r="GO80" s="1509"/>
      <c r="GP80" s="1509"/>
      <c r="GQ80" s="1509"/>
      <c r="GR80" s="1509"/>
      <c r="GS80" s="1509"/>
      <c r="GT80" s="1509"/>
    </row>
    <row r="81" spans="1:202" s="4665" customFormat="1" ht="17.100000000000001" customHeight="1">
      <c r="C81" s="4678"/>
      <c r="D81" s="4676"/>
      <c r="E81" s="787"/>
      <c r="F81" s="4677"/>
      <c r="G81" s="4677"/>
      <c r="H81" s="4677"/>
      <c r="I81" s="4677"/>
      <c r="J81" s="4677"/>
      <c r="K81" s="4677"/>
      <c r="L81" s="4677"/>
      <c r="M81" s="4677"/>
      <c r="N81" s="4677"/>
      <c r="O81" s="4677"/>
      <c r="P81" s="4677"/>
      <c r="Q81" s="4677"/>
      <c r="R81" s="4677"/>
      <c r="S81" s="4677"/>
      <c r="T81" s="4677"/>
      <c r="U81" s="4677"/>
      <c r="V81" s="4677"/>
      <c r="W81" s="1509"/>
      <c r="X81" s="1509"/>
      <c r="Y81" s="1509"/>
      <c r="Z81" s="1509"/>
      <c r="AA81" s="1509"/>
      <c r="AB81" s="1509"/>
      <c r="AC81" s="1509"/>
      <c r="AD81" s="1509"/>
      <c r="AE81" s="1509"/>
      <c r="AF81" s="1509"/>
      <c r="AG81" s="1509"/>
      <c r="AH81" s="1509"/>
      <c r="AI81" s="1509"/>
      <c r="AJ81" s="1509"/>
      <c r="AK81" s="1509"/>
      <c r="AL81" s="1509"/>
      <c r="AM81" s="1509"/>
      <c r="AN81" s="1509"/>
      <c r="AO81" s="1509"/>
      <c r="AP81" s="1509"/>
      <c r="AQ81" s="4682"/>
      <c r="AR81" s="1509"/>
      <c r="AS81" s="1509"/>
      <c r="AT81" s="1509"/>
      <c r="AU81" s="1509"/>
      <c r="AV81" s="1509"/>
      <c r="AW81" s="1509"/>
      <c r="AX81" s="1509"/>
      <c r="AY81" s="1509"/>
      <c r="AZ81" s="1509"/>
      <c r="BA81" s="1509"/>
      <c r="BB81" s="1509"/>
      <c r="BC81" s="1509"/>
      <c r="BD81" s="1509"/>
      <c r="BE81" s="1509"/>
      <c r="BF81" s="1509"/>
      <c r="BG81" s="1509"/>
      <c r="BH81" s="1509"/>
      <c r="BI81" s="1509"/>
      <c r="BJ81" s="1509"/>
      <c r="BK81" s="1509"/>
      <c r="BL81" s="1509"/>
      <c r="BM81" s="1509"/>
      <c r="BN81" s="1509"/>
      <c r="BO81" s="1509"/>
      <c r="BP81" s="1509"/>
      <c r="BQ81" s="1509"/>
      <c r="BR81" s="1509"/>
      <c r="BS81" s="1509"/>
      <c r="BT81" s="1509"/>
      <c r="BU81" s="1509"/>
      <c r="BV81" s="1509"/>
      <c r="BW81" s="1509"/>
      <c r="BX81" s="1509"/>
      <c r="BY81" s="1509"/>
      <c r="BZ81" s="1509"/>
      <c r="CA81" s="1509"/>
      <c r="CB81" s="1509"/>
      <c r="CC81" s="1509"/>
      <c r="CD81" s="1509"/>
      <c r="CE81" s="1509"/>
      <c r="CF81" s="1509"/>
      <c r="CG81" s="1509"/>
      <c r="CH81" s="1509"/>
      <c r="CI81" s="1509"/>
      <c r="CJ81" s="1509"/>
      <c r="CK81" s="1509"/>
      <c r="CL81" s="1509"/>
      <c r="CM81" s="1509"/>
      <c r="CN81" s="1509"/>
      <c r="CO81" s="1509"/>
      <c r="CP81" s="1509"/>
      <c r="CQ81" s="1509"/>
      <c r="CR81" s="1509"/>
      <c r="CS81" s="1509"/>
      <c r="CT81" s="1509"/>
      <c r="CU81" s="1509"/>
      <c r="CV81" s="1509"/>
      <c r="CW81" s="1509"/>
      <c r="CX81" s="1509"/>
      <c r="CY81" s="1509"/>
      <c r="CZ81" s="1509"/>
      <c r="DA81" s="1509"/>
      <c r="DB81" s="1509"/>
      <c r="DC81" s="1509"/>
      <c r="DD81" s="1509"/>
      <c r="DE81" s="1509"/>
      <c r="DF81" s="1509"/>
      <c r="DG81" s="1509"/>
      <c r="DH81" s="1509"/>
      <c r="DI81" s="1509"/>
      <c r="DJ81" s="1509"/>
      <c r="DK81" s="1509"/>
      <c r="DL81" s="1509"/>
      <c r="DM81" s="1509"/>
      <c r="DN81" s="1509"/>
      <c r="DO81" s="1509"/>
      <c r="DP81" s="1509"/>
      <c r="DQ81" s="1509"/>
      <c r="DR81" s="1509"/>
      <c r="DS81" s="1509"/>
      <c r="DT81" s="1509"/>
      <c r="DU81" s="1509"/>
      <c r="DV81" s="1509"/>
      <c r="DW81" s="1509"/>
      <c r="DX81" s="1509"/>
      <c r="DY81" s="1509"/>
      <c r="DZ81" s="1509"/>
      <c r="EA81" s="1509"/>
      <c r="EB81" s="1509"/>
      <c r="EC81" s="1509"/>
      <c r="ED81" s="1509"/>
      <c r="EE81" s="1509"/>
      <c r="EF81" s="1509"/>
      <c r="EG81" s="1509"/>
      <c r="EH81" s="1509"/>
      <c r="EI81" s="1509"/>
      <c r="EJ81" s="1509"/>
      <c r="EK81" s="1509"/>
      <c r="EL81" s="1509"/>
      <c r="EM81" s="1509"/>
      <c r="EN81" s="1509"/>
      <c r="EO81" s="1509"/>
      <c r="EP81" s="1509"/>
      <c r="EQ81" s="1509"/>
      <c r="ER81" s="1509"/>
      <c r="ES81" s="1509"/>
      <c r="ET81" s="1509"/>
      <c r="EU81" s="1509"/>
      <c r="EV81" s="1509"/>
      <c r="EW81" s="1509"/>
      <c r="EX81" s="1509"/>
      <c r="EY81" s="1509"/>
      <c r="EZ81" s="1509"/>
      <c r="FA81" s="1509"/>
      <c r="FB81" s="1509"/>
      <c r="FC81" s="1509"/>
      <c r="FD81" s="1509"/>
      <c r="FE81" s="1509"/>
      <c r="FF81" s="1509"/>
      <c r="FG81" s="1509"/>
      <c r="FH81" s="1509"/>
      <c r="FI81" s="1509"/>
      <c r="FJ81" s="1509"/>
      <c r="FK81" s="1509"/>
      <c r="FL81" s="1509"/>
      <c r="FM81" s="1509"/>
      <c r="FN81" s="1509"/>
      <c r="FO81" s="1509"/>
      <c r="FP81" s="1509"/>
      <c r="FQ81" s="1509"/>
      <c r="FR81" s="1509"/>
      <c r="FS81" s="1509"/>
      <c r="FT81" s="1509"/>
      <c r="FU81" s="1509"/>
      <c r="FV81" s="1509"/>
      <c r="FW81" s="1509"/>
      <c r="FX81" s="1509"/>
      <c r="FY81" s="1509"/>
      <c r="FZ81" s="1509"/>
      <c r="GA81" s="1509"/>
      <c r="GB81" s="1509"/>
      <c r="GC81" s="1509"/>
      <c r="GD81" s="1509"/>
      <c r="GE81" s="1509"/>
      <c r="GF81" s="1509"/>
      <c r="GG81" s="1509"/>
      <c r="GH81" s="1509"/>
      <c r="GI81" s="1509"/>
      <c r="GJ81" s="1509"/>
      <c r="GK81" s="1509"/>
      <c r="GL81" s="1509"/>
      <c r="GM81" s="1509"/>
      <c r="GN81" s="1509"/>
      <c r="GO81" s="1509"/>
      <c r="GP81" s="1509"/>
      <c r="GQ81" s="1509"/>
      <c r="GR81" s="1509"/>
      <c r="GS81" s="1509"/>
      <c r="GT81" s="1509"/>
    </row>
    <row r="82" spans="1:202" s="4665" customFormat="1" ht="17.100000000000001" customHeight="1">
      <c r="D82" s="4676"/>
      <c r="E82" s="787"/>
      <c r="F82" s="4677"/>
      <c r="G82" s="1509"/>
      <c r="H82" s="1509"/>
      <c r="I82" s="1509"/>
      <c r="J82" s="1509"/>
      <c r="K82" s="1509"/>
      <c r="L82" s="1509"/>
      <c r="M82" s="1509"/>
      <c r="N82" s="1509"/>
      <c r="O82" s="1509"/>
      <c r="P82" s="1509"/>
      <c r="Q82" s="1509"/>
      <c r="R82" s="1509"/>
      <c r="S82" s="1509"/>
      <c r="T82" s="1509"/>
      <c r="U82" s="1509"/>
      <c r="V82" s="1509"/>
      <c r="W82" s="1509"/>
      <c r="X82" s="1509"/>
      <c r="Y82" s="1509"/>
      <c r="Z82" s="1509"/>
      <c r="AA82" s="1509"/>
      <c r="AB82" s="1509"/>
      <c r="AC82" s="1509"/>
      <c r="AD82" s="1509"/>
      <c r="AE82" s="1509"/>
      <c r="AF82" s="1509"/>
      <c r="AG82" s="1509"/>
      <c r="AH82" s="1509"/>
      <c r="AI82" s="1509"/>
      <c r="AJ82" s="1509"/>
      <c r="AK82" s="1509"/>
      <c r="AL82" s="1509"/>
      <c r="AM82" s="1509"/>
      <c r="AN82" s="1509"/>
      <c r="AO82" s="1509"/>
      <c r="AP82" s="1509"/>
      <c r="AQ82" s="1509"/>
      <c r="AR82" s="1509"/>
      <c r="AS82" s="1509"/>
      <c r="AT82" s="1509"/>
      <c r="AU82" s="1509"/>
      <c r="AV82" s="1509"/>
      <c r="AW82" s="1509"/>
      <c r="AX82" s="1509"/>
      <c r="AY82" s="1509"/>
      <c r="AZ82" s="1509"/>
      <c r="BA82" s="1509"/>
      <c r="BB82" s="1509"/>
      <c r="BC82" s="1509"/>
      <c r="BD82" s="1509"/>
      <c r="BE82" s="1509"/>
      <c r="BF82" s="1509"/>
      <c r="BG82" s="1509"/>
      <c r="BH82" s="1509"/>
      <c r="BI82" s="1509"/>
      <c r="BJ82" s="1509"/>
      <c r="BK82" s="1509"/>
      <c r="BL82" s="1509"/>
      <c r="BM82" s="1509"/>
      <c r="BN82" s="1509"/>
      <c r="BO82" s="1509"/>
      <c r="BP82" s="1509"/>
      <c r="BQ82" s="1509"/>
      <c r="BR82" s="1509"/>
      <c r="BS82" s="1509"/>
      <c r="BT82" s="1509"/>
      <c r="BU82" s="1509"/>
      <c r="BV82" s="1509"/>
      <c r="BW82" s="1509"/>
      <c r="BX82" s="1509"/>
      <c r="BY82" s="1509"/>
      <c r="BZ82" s="1509"/>
      <c r="CA82" s="1509"/>
      <c r="CB82" s="1509"/>
      <c r="CC82" s="1509"/>
      <c r="CD82" s="1509"/>
      <c r="CE82" s="1509"/>
      <c r="CF82" s="1509"/>
      <c r="CG82" s="1509"/>
      <c r="CH82" s="1509"/>
      <c r="CI82" s="1509"/>
      <c r="CJ82" s="1509"/>
      <c r="CK82" s="1509"/>
      <c r="CL82" s="1509"/>
      <c r="CM82" s="1509"/>
      <c r="CN82" s="1509"/>
      <c r="CO82" s="1509"/>
      <c r="CP82" s="1509"/>
      <c r="CQ82" s="1509"/>
      <c r="CR82" s="1509"/>
      <c r="CS82" s="1509"/>
      <c r="CT82" s="1509"/>
      <c r="CU82" s="1509"/>
      <c r="CV82" s="1509"/>
      <c r="CW82" s="1509"/>
      <c r="CX82" s="1509"/>
      <c r="CY82" s="1509"/>
      <c r="CZ82" s="1509"/>
      <c r="DA82" s="1509"/>
      <c r="DB82" s="1509"/>
      <c r="DC82" s="1509"/>
      <c r="DD82" s="1509"/>
      <c r="DE82" s="1509"/>
      <c r="DF82" s="1509"/>
      <c r="DG82" s="1509"/>
      <c r="DH82" s="1509"/>
      <c r="DI82" s="1509"/>
      <c r="DJ82" s="1509"/>
      <c r="DK82" s="1509"/>
      <c r="DL82" s="1509"/>
      <c r="DM82" s="1509"/>
      <c r="DN82" s="1509"/>
      <c r="DO82" s="1509"/>
      <c r="DP82" s="1509"/>
      <c r="DQ82" s="1509"/>
      <c r="DR82" s="1509"/>
      <c r="DS82" s="1509"/>
      <c r="DT82" s="1509"/>
      <c r="DU82" s="1509"/>
      <c r="DV82" s="1509"/>
      <c r="DW82" s="1509"/>
      <c r="DX82" s="1509"/>
      <c r="DY82" s="1509"/>
      <c r="DZ82" s="1509"/>
      <c r="EA82" s="1509"/>
      <c r="EB82" s="1509"/>
      <c r="EC82" s="1509"/>
      <c r="ED82" s="1509"/>
      <c r="EE82" s="1509"/>
      <c r="EF82" s="1509"/>
      <c r="EG82" s="1509"/>
      <c r="EH82" s="1509"/>
      <c r="EI82" s="1509"/>
      <c r="EJ82" s="1509"/>
      <c r="EK82" s="1509"/>
      <c r="EL82" s="1509"/>
      <c r="EM82" s="1509"/>
      <c r="EN82" s="1509"/>
      <c r="EO82" s="1509"/>
      <c r="EP82" s="1509"/>
      <c r="EQ82" s="1509"/>
      <c r="ER82" s="1509"/>
      <c r="ES82" s="1509"/>
      <c r="ET82" s="1509"/>
      <c r="EU82" s="1509"/>
      <c r="EV82" s="1509"/>
      <c r="EW82" s="1509"/>
      <c r="EX82" s="1509"/>
      <c r="EY82" s="1509"/>
      <c r="EZ82" s="1509"/>
      <c r="FA82" s="1509"/>
      <c r="FB82" s="1509"/>
      <c r="FC82" s="1509"/>
      <c r="FD82" s="1509"/>
      <c r="FE82" s="1509"/>
      <c r="FF82" s="1509"/>
      <c r="FG82" s="1509"/>
      <c r="FH82" s="1509"/>
      <c r="FI82" s="1509"/>
      <c r="FJ82" s="1509"/>
      <c r="FK82" s="1509"/>
      <c r="FL82" s="1509"/>
      <c r="FM82" s="1509"/>
      <c r="FN82" s="1509"/>
      <c r="FO82" s="1509"/>
      <c r="FP82" s="1509"/>
      <c r="FQ82" s="1509"/>
      <c r="FR82" s="1509"/>
      <c r="FS82" s="1509"/>
      <c r="FT82" s="1509"/>
      <c r="FU82" s="1509"/>
      <c r="FV82" s="1509"/>
      <c r="FW82" s="1509"/>
      <c r="FX82" s="1509"/>
      <c r="FY82" s="1509"/>
      <c r="FZ82" s="1509"/>
      <c r="GA82" s="1509"/>
      <c r="GB82" s="1509"/>
      <c r="GC82" s="1509"/>
      <c r="GD82" s="1509"/>
      <c r="GE82" s="1509"/>
      <c r="GF82" s="1509"/>
      <c r="GG82" s="1509"/>
      <c r="GH82" s="1509"/>
      <c r="GI82" s="1509"/>
      <c r="GJ82" s="1509"/>
      <c r="GK82" s="1509"/>
      <c r="GL82" s="1509"/>
      <c r="GM82" s="1509"/>
      <c r="GN82" s="1509"/>
      <c r="GO82" s="1509"/>
      <c r="GP82" s="1509"/>
      <c r="GQ82" s="1509"/>
      <c r="GR82" s="1509"/>
      <c r="GS82" s="1509"/>
      <c r="GT82" s="1509"/>
    </row>
    <row r="83" spans="1:202" s="4665" customFormat="1" ht="17.100000000000001" customHeight="1">
      <c r="D83" s="4676"/>
      <c r="E83" s="787"/>
      <c r="F83" s="4677"/>
      <c r="G83" s="4677"/>
      <c r="H83" s="4677"/>
      <c r="I83" s="4677"/>
      <c r="J83" s="4677"/>
      <c r="K83" s="4677"/>
      <c r="L83" s="4677"/>
      <c r="M83" s="4677"/>
      <c r="N83" s="4677"/>
      <c r="O83" s="4677"/>
      <c r="P83" s="4677"/>
      <c r="Q83" s="4677"/>
      <c r="R83" s="4677"/>
      <c r="S83" s="4677"/>
      <c r="T83" s="4677"/>
      <c r="U83" s="4677"/>
      <c r="V83" s="4677"/>
      <c r="W83" s="1509"/>
      <c r="X83" s="1509"/>
      <c r="Y83" s="1509"/>
      <c r="Z83" s="1509"/>
      <c r="AA83" s="1509"/>
      <c r="AB83" s="1509"/>
      <c r="AC83" s="1509"/>
      <c r="AD83" s="1509"/>
      <c r="AE83" s="1509"/>
      <c r="AF83" s="1509"/>
      <c r="AG83" s="1509"/>
      <c r="AH83" s="1509"/>
      <c r="AI83" s="1509"/>
      <c r="AJ83" s="1509"/>
      <c r="AK83" s="1509"/>
      <c r="AL83" s="1509"/>
      <c r="AM83" s="1509"/>
      <c r="AN83" s="1509"/>
      <c r="AO83" s="1509"/>
      <c r="AP83" s="1509"/>
      <c r="AQ83" s="1509"/>
      <c r="AR83" s="1509"/>
      <c r="AS83" s="1509"/>
      <c r="AT83" s="1509"/>
      <c r="AU83" s="1509"/>
      <c r="AV83" s="1509"/>
      <c r="AW83" s="1509"/>
      <c r="AX83" s="1509"/>
      <c r="AY83" s="1509"/>
      <c r="AZ83" s="1509"/>
      <c r="BA83" s="1509"/>
      <c r="BB83" s="1509"/>
      <c r="BC83" s="1509"/>
      <c r="BD83" s="1509"/>
      <c r="BE83" s="1509"/>
      <c r="BF83" s="1509"/>
      <c r="BG83" s="1509"/>
      <c r="BH83" s="1509"/>
      <c r="BI83" s="1509"/>
      <c r="BJ83" s="1509"/>
      <c r="BK83" s="1509"/>
      <c r="BL83" s="1509"/>
      <c r="BM83" s="1509"/>
      <c r="BN83" s="1509"/>
      <c r="BO83" s="1509"/>
      <c r="BP83" s="1509"/>
      <c r="BQ83" s="1509"/>
      <c r="BR83" s="1509"/>
      <c r="BS83" s="1509"/>
      <c r="BT83" s="1509"/>
      <c r="BU83" s="1509"/>
      <c r="BV83" s="1509"/>
      <c r="BW83" s="1509"/>
      <c r="BX83" s="1509"/>
      <c r="BY83" s="1509"/>
      <c r="BZ83" s="1509"/>
      <c r="CA83" s="1509"/>
      <c r="CB83" s="1509"/>
      <c r="CC83" s="1509"/>
      <c r="CD83" s="1509"/>
      <c r="CE83" s="1509"/>
      <c r="CF83" s="1509"/>
      <c r="CG83" s="1509"/>
      <c r="CH83" s="1509"/>
      <c r="CI83" s="1509"/>
      <c r="CJ83" s="1509"/>
      <c r="CK83" s="1509"/>
      <c r="CL83" s="1509"/>
      <c r="CM83" s="1509"/>
      <c r="CN83" s="1509"/>
      <c r="CO83" s="1509"/>
      <c r="CP83" s="1509"/>
      <c r="CQ83" s="1509"/>
      <c r="CR83" s="1509"/>
      <c r="CS83" s="1509"/>
      <c r="CT83" s="1509"/>
      <c r="CU83" s="1509"/>
      <c r="CV83" s="1509"/>
      <c r="CW83" s="1509"/>
      <c r="CX83" s="1509"/>
      <c r="CY83" s="1509"/>
      <c r="CZ83" s="1509"/>
      <c r="DA83" s="1509"/>
      <c r="DB83" s="1509"/>
      <c r="DC83" s="1509"/>
      <c r="DD83" s="1509"/>
      <c r="DE83" s="1509"/>
      <c r="DF83" s="1509"/>
      <c r="DG83" s="1509"/>
      <c r="DH83" s="1509"/>
      <c r="DI83" s="1509"/>
      <c r="DJ83" s="1509"/>
      <c r="DK83" s="1509"/>
      <c r="DL83" s="1509"/>
      <c r="DM83" s="1509"/>
      <c r="DN83" s="1509"/>
      <c r="DO83" s="1509"/>
      <c r="DP83" s="1509"/>
      <c r="DQ83" s="1509"/>
      <c r="DR83" s="1509"/>
      <c r="DS83" s="1509"/>
      <c r="DT83" s="1509"/>
      <c r="DU83" s="1509"/>
      <c r="DV83" s="1509"/>
      <c r="DW83" s="1509"/>
      <c r="DX83" s="1509"/>
      <c r="DY83" s="1509"/>
      <c r="DZ83" s="1509"/>
      <c r="EA83" s="1509"/>
      <c r="EB83" s="1509"/>
      <c r="EC83" s="1509"/>
      <c r="ED83" s="1509"/>
      <c r="EE83" s="1509"/>
      <c r="EF83" s="1509"/>
      <c r="EG83" s="1509"/>
      <c r="EH83" s="1509"/>
      <c r="EI83" s="1509"/>
      <c r="EJ83" s="1509"/>
      <c r="EK83" s="1509"/>
      <c r="EL83" s="1509"/>
      <c r="EM83" s="1509"/>
      <c r="EN83" s="1509"/>
      <c r="EO83" s="1509"/>
      <c r="EP83" s="1509"/>
      <c r="EQ83" s="1509"/>
      <c r="ER83" s="1509"/>
      <c r="ES83" s="1509"/>
      <c r="ET83" s="1509"/>
      <c r="EU83" s="1509"/>
      <c r="EV83" s="1509"/>
      <c r="EW83" s="1509"/>
      <c r="EX83" s="1509"/>
      <c r="EY83" s="1509"/>
      <c r="EZ83" s="1509"/>
      <c r="FA83" s="1509"/>
      <c r="FB83" s="1509"/>
      <c r="FC83" s="1509"/>
      <c r="FD83" s="1509"/>
      <c r="FE83" s="1509"/>
      <c r="FF83" s="1509"/>
      <c r="FG83" s="1509"/>
      <c r="FH83" s="1509"/>
      <c r="FI83" s="1509"/>
      <c r="FJ83" s="1509"/>
      <c r="FK83" s="1509"/>
      <c r="FL83" s="1509"/>
      <c r="FM83" s="1509"/>
      <c r="FN83" s="1509"/>
      <c r="FO83" s="1509"/>
      <c r="FP83" s="1509"/>
      <c r="FQ83" s="1509"/>
      <c r="FR83" s="1509"/>
      <c r="FS83" s="1509"/>
      <c r="FT83" s="1509"/>
      <c r="FU83" s="1509"/>
      <c r="FV83" s="1509"/>
      <c r="FW83" s="1509"/>
      <c r="FX83" s="1509"/>
      <c r="FY83" s="1509"/>
      <c r="FZ83" s="1509"/>
      <c r="GA83" s="1509"/>
      <c r="GB83" s="1509"/>
      <c r="GC83" s="1509"/>
      <c r="GD83" s="1509"/>
      <c r="GE83" s="1509"/>
      <c r="GF83" s="1509"/>
      <c r="GG83" s="1509"/>
      <c r="GH83" s="1509"/>
      <c r="GI83" s="1509"/>
      <c r="GJ83" s="1509"/>
      <c r="GK83" s="1509"/>
      <c r="GL83" s="1509"/>
      <c r="GM83" s="1509"/>
      <c r="GN83" s="1509"/>
      <c r="GO83" s="1509"/>
      <c r="GP83" s="1509"/>
      <c r="GQ83" s="1509"/>
      <c r="GR83" s="1509"/>
      <c r="GS83" s="1509"/>
      <c r="GT83" s="1509"/>
    </row>
    <row r="84" spans="1:202" s="4665" customFormat="1" ht="17.100000000000001" customHeight="1">
      <c r="A84" s="4670"/>
      <c r="C84" s="4678"/>
      <c r="D84" s="4676"/>
      <c r="E84" s="787"/>
      <c r="F84" s="4677"/>
      <c r="G84" s="4677"/>
      <c r="H84" s="4677"/>
      <c r="I84" s="4677"/>
      <c r="J84" s="4677"/>
      <c r="K84" s="4677"/>
      <c r="L84" s="4677"/>
      <c r="M84" s="4677"/>
      <c r="N84" s="4677"/>
      <c r="O84" s="4677"/>
      <c r="P84" s="4677"/>
      <c r="Q84" s="4677"/>
      <c r="R84" s="4677"/>
      <c r="S84" s="4677"/>
      <c r="T84" s="4677"/>
      <c r="U84" s="4677"/>
      <c r="V84" s="4677"/>
      <c r="W84" s="1509"/>
      <c r="X84" s="1509"/>
      <c r="Y84" s="1509"/>
      <c r="Z84" s="1509"/>
      <c r="AA84" s="1509"/>
      <c r="AB84" s="1509"/>
      <c r="AC84" s="1509"/>
      <c r="AD84" s="1509"/>
      <c r="AE84" s="1509"/>
      <c r="AF84" s="1509"/>
      <c r="AG84" s="1509"/>
      <c r="AH84" s="1509"/>
      <c r="AI84" s="1509"/>
      <c r="AJ84" s="1509"/>
      <c r="AK84" s="1509"/>
      <c r="AL84" s="1509"/>
      <c r="AM84" s="1509"/>
      <c r="AN84" s="1509"/>
      <c r="AO84" s="1509"/>
      <c r="AP84" s="1509"/>
      <c r="AQ84" s="1509"/>
      <c r="AR84" s="1509"/>
      <c r="AS84" s="1509"/>
      <c r="AT84" s="1509"/>
      <c r="AU84" s="1509"/>
      <c r="AV84" s="1509"/>
      <c r="AW84" s="1509"/>
      <c r="AX84" s="1509"/>
      <c r="AY84" s="1509"/>
      <c r="AZ84" s="1509"/>
      <c r="BA84" s="1509"/>
      <c r="BB84" s="1509"/>
      <c r="BC84" s="1509"/>
      <c r="BD84" s="1509"/>
      <c r="BE84" s="1509"/>
      <c r="BF84" s="1509"/>
      <c r="BG84" s="1509"/>
      <c r="BH84" s="1509"/>
      <c r="BI84" s="1509"/>
      <c r="BJ84" s="1509"/>
      <c r="BK84" s="1509"/>
      <c r="BL84" s="1509"/>
      <c r="BM84" s="1509"/>
      <c r="BN84" s="1509"/>
      <c r="BO84" s="1509"/>
      <c r="BP84" s="1509"/>
      <c r="BQ84" s="1509"/>
      <c r="BR84" s="1509"/>
      <c r="BS84" s="1509"/>
      <c r="BT84" s="1509"/>
      <c r="BU84" s="1509"/>
      <c r="BV84" s="1509"/>
      <c r="BW84" s="1509"/>
      <c r="BX84" s="1509"/>
      <c r="BY84" s="1509"/>
      <c r="BZ84" s="1509"/>
      <c r="CA84" s="1509"/>
      <c r="CB84" s="1509"/>
      <c r="CC84" s="1509"/>
      <c r="CD84" s="1509"/>
      <c r="CE84" s="1509"/>
      <c r="CF84" s="1509"/>
      <c r="CG84" s="1509"/>
      <c r="CH84" s="1509"/>
      <c r="CI84" s="1509"/>
      <c r="CJ84" s="1509"/>
      <c r="CK84" s="1509"/>
      <c r="CL84" s="1509"/>
      <c r="CM84" s="1509"/>
      <c r="CN84" s="1509"/>
      <c r="CO84" s="1509"/>
      <c r="CP84" s="1509"/>
      <c r="CQ84" s="1509"/>
      <c r="CR84" s="1509"/>
      <c r="CS84" s="1509"/>
      <c r="CT84" s="1509"/>
      <c r="CU84" s="1509"/>
      <c r="CV84" s="1509"/>
      <c r="CW84" s="1509"/>
      <c r="CX84" s="1509"/>
      <c r="CY84" s="1509"/>
      <c r="CZ84" s="1509"/>
      <c r="DA84" s="1509"/>
      <c r="DB84" s="1509"/>
      <c r="DC84" s="1509"/>
      <c r="DD84" s="1509"/>
      <c r="DE84" s="1509"/>
      <c r="DF84" s="1509"/>
      <c r="DG84" s="1509"/>
      <c r="DH84" s="1509"/>
      <c r="DI84" s="1509"/>
      <c r="DJ84" s="1509"/>
      <c r="DK84" s="1509"/>
      <c r="DL84" s="1509"/>
      <c r="DM84" s="1509"/>
      <c r="DN84" s="1509"/>
      <c r="DO84" s="1509"/>
      <c r="DP84" s="1509"/>
      <c r="DQ84" s="1509"/>
      <c r="DR84" s="1509"/>
      <c r="DS84" s="1509"/>
      <c r="DT84" s="1509"/>
      <c r="DU84" s="1509"/>
      <c r="DV84" s="1509"/>
      <c r="DW84" s="1509"/>
      <c r="DX84" s="1509"/>
      <c r="DY84" s="1509"/>
      <c r="DZ84" s="1509"/>
      <c r="EA84" s="1509"/>
      <c r="EB84" s="1509"/>
      <c r="EC84" s="1509"/>
      <c r="ED84" s="1509"/>
      <c r="EE84" s="1509"/>
      <c r="EF84" s="1509"/>
      <c r="EG84" s="1509"/>
      <c r="EH84" s="1509"/>
      <c r="EI84" s="1509"/>
      <c r="EJ84" s="1509"/>
      <c r="EK84" s="1509"/>
      <c r="EL84" s="1509"/>
      <c r="EM84" s="1509"/>
      <c r="EN84" s="1509"/>
      <c r="EO84" s="1509"/>
      <c r="EP84" s="1509"/>
      <c r="EQ84" s="1509"/>
      <c r="ER84" s="1509"/>
      <c r="ES84" s="1509"/>
      <c r="ET84" s="1509"/>
      <c r="EU84" s="1509"/>
      <c r="EV84" s="1509"/>
      <c r="EW84" s="1509"/>
      <c r="EX84" s="1509"/>
      <c r="EY84" s="1509"/>
      <c r="EZ84" s="1509"/>
      <c r="FA84" s="1509"/>
      <c r="FB84" s="1509"/>
      <c r="FC84" s="1509"/>
      <c r="FD84" s="1509"/>
      <c r="FE84" s="1509"/>
      <c r="FF84" s="1509"/>
      <c r="FG84" s="1509"/>
      <c r="FH84" s="1509"/>
      <c r="FI84" s="1509"/>
      <c r="FJ84" s="1509"/>
      <c r="FK84" s="1509"/>
      <c r="FL84" s="1509"/>
      <c r="FM84" s="1509"/>
      <c r="FN84" s="1509"/>
      <c r="FO84" s="1509"/>
      <c r="FP84" s="1509"/>
      <c r="FQ84" s="1509"/>
      <c r="FR84" s="1509"/>
      <c r="FS84" s="1509"/>
      <c r="FT84" s="1509"/>
      <c r="FU84" s="1509"/>
      <c r="FV84" s="1509"/>
      <c r="FW84" s="1509"/>
      <c r="FX84" s="1509"/>
      <c r="FY84" s="1509"/>
      <c r="FZ84" s="1509"/>
      <c r="GA84" s="1509"/>
      <c r="GB84" s="1509"/>
      <c r="GC84" s="1509"/>
      <c r="GD84" s="1509"/>
      <c r="GE84" s="1509"/>
      <c r="GF84" s="1509"/>
      <c r="GG84" s="1509"/>
      <c r="GH84" s="1509"/>
      <c r="GI84" s="1509"/>
      <c r="GJ84" s="1509"/>
      <c r="GK84" s="1509"/>
      <c r="GL84" s="1509"/>
      <c r="GM84" s="1509"/>
      <c r="GN84" s="1509"/>
      <c r="GO84" s="1509"/>
      <c r="GP84" s="1509"/>
      <c r="GQ84" s="1509"/>
      <c r="GR84" s="1509"/>
      <c r="GS84" s="1509"/>
      <c r="GT84" s="1509"/>
    </row>
    <row r="85" spans="1:202" s="4665" customFormat="1" ht="17.100000000000001" customHeight="1">
      <c r="D85" s="4676"/>
      <c r="E85" s="787"/>
      <c r="F85" s="4677"/>
      <c r="G85" s="1509"/>
      <c r="H85" s="1509"/>
      <c r="I85" s="1509"/>
      <c r="J85" s="1509"/>
      <c r="K85" s="1509"/>
      <c r="L85" s="1509"/>
      <c r="M85" s="1509"/>
      <c r="N85" s="1509"/>
      <c r="O85" s="1509"/>
      <c r="P85" s="1509"/>
      <c r="Q85" s="1509"/>
      <c r="R85" s="1509"/>
      <c r="S85" s="1509"/>
      <c r="T85" s="1509"/>
      <c r="U85" s="1509"/>
      <c r="V85" s="1509"/>
      <c r="W85" s="1509"/>
      <c r="X85" s="1509"/>
      <c r="Y85" s="1509"/>
      <c r="Z85" s="1509"/>
      <c r="AA85" s="1509"/>
      <c r="AB85" s="1509"/>
      <c r="AC85" s="1509"/>
      <c r="AD85" s="1509"/>
      <c r="AE85" s="1509"/>
      <c r="AF85" s="1509"/>
      <c r="AG85" s="1509"/>
      <c r="AH85" s="1509"/>
      <c r="AI85" s="1509"/>
      <c r="AJ85" s="1509"/>
      <c r="AK85" s="1509"/>
      <c r="AL85" s="1509"/>
      <c r="AM85" s="1509"/>
      <c r="AN85" s="1509"/>
      <c r="AO85" s="1509"/>
      <c r="AP85" s="1509"/>
      <c r="AQ85" s="1509"/>
      <c r="AR85" s="1509"/>
      <c r="AS85" s="1509"/>
      <c r="AT85" s="1509"/>
      <c r="AU85" s="1509"/>
      <c r="AV85" s="1509"/>
      <c r="AW85" s="1509"/>
      <c r="AX85" s="1509"/>
      <c r="AY85" s="1509"/>
      <c r="AZ85" s="1509"/>
      <c r="BA85" s="1509"/>
      <c r="BB85" s="1509"/>
      <c r="BC85" s="1509"/>
      <c r="BD85" s="1509"/>
      <c r="BE85" s="1509"/>
      <c r="BF85" s="1509"/>
      <c r="BG85" s="1509"/>
      <c r="BH85" s="1509"/>
      <c r="BI85" s="1509"/>
      <c r="BJ85" s="1509"/>
      <c r="BK85" s="1509"/>
      <c r="BL85" s="1509"/>
      <c r="BM85" s="1509"/>
      <c r="BN85" s="1509"/>
      <c r="BO85" s="1509"/>
      <c r="BP85" s="1509"/>
      <c r="BQ85" s="1509"/>
      <c r="BR85" s="1509"/>
      <c r="BS85" s="1509"/>
      <c r="BT85" s="1509"/>
      <c r="BU85" s="1509"/>
      <c r="BV85" s="1509"/>
      <c r="BW85" s="1509"/>
      <c r="BX85" s="1509"/>
      <c r="BY85" s="1509"/>
      <c r="BZ85" s="1509"/>
      <c r="CA85" s="1509"/>
      <c r="CB85" s="1509"/>
      <c r="CC85" s="1509"/>
      <c r="CD85" s="1509"/>
      <c r="CE85" s="1509"/>
      <c r="CF85" s="1509"/>
      <c r="CG85" s="1509"/>
      <c r="CH85" s="1509"/>
      <c r="CI85" s="1509"/>
      <c r="CJ85" s="1509"/>
      <c r="CK85" s="1509"/>
      <c r="CL85" s="1509"/>
      <c r="CM85" s="1509"/>
      <c r="CN85" s="1509"/>
      <c r="CO85" s="1509"/>
      <c r="CP85" s="1509"/>
      <c r="CQ85" s="1509"/>
      <c r="CR85" s="1509"/>
      <c r="CS85" s="1509"/>
      <c r="CT85" s="1509"/>
      <c r="CU85" s="1509"/>
      <c r="CV85" s="1509"/>
      <c r="CW85" s="1509"/>
      <c r="CX85" s="1509"/>
      <c r="CY85" s="1509"/>
      <c r="CZ85" s="1509"/>
      <c r="DA85" s="1509"/>
      <c r="DB85" s="1509"/>
      <c r="DC85" s="1509"/>
      <c r="DD85" s="1509"/>
      <c r="DE85" s="1509"/>
      <c r="DF85" s="1509"/>
      <c r="DG85" s="1509"/>
      <c r="DH85" s="1509"/>
      <c r="DI85" s="1509"/>
      <c r="DJ85" s="1509"/>
      <c r="DK85" s="1509"/>
      <c r="DL85" s="1509"/>
      <c r="DM85" s="1509"/>
      <c r="DN85" s="1509"/>
      <c r="DO85" s="1509"/>
      <c r="DP85" s="1509"/>
      <c r="DQ85" s="1509"/>
      <c r="DR85" s="1509"/>
      <c r="DS85" s="1509"/>
      <c r="DT85" s="1509"/>
      <c r="DU85" s="1509"/>
      <c r="DV85" s="1509"/>
      <c r="DW85" s="1509"/>
      <c r="DX85" s="1509"/>
      <c r="DY85" s="1509"/>
      <c r="DZ85" s="1509"/>
      <c r="EA85" s="1509"/>
      <c r="EB85" s="1509"/>
      <c r="EC85" s="1509"/>
      <c r="ED85" s="1509"/>
      <c r="EE85" s="1509"/>
      <c r="EF85" s="1509"/>
      <c r="EG85" s="1509"/>
      <c r="EH85" s="1509"/>
      <c r="EI85" s="1509"/>
      <c r="EJ85" s="1509"/>
      <c r="EK85" s="1509"/>
      <c r="EL85" s="1509"/>
      <c r="EM85" s="1509"/>
      <c r="EN85" s="1509"/>
      <c r="EO85" s="1509"/>
      <c r="EP85" s="1509"/>
      <c r="EQ85" s="1509"/>
      <c r="ER85" s="1509"/>
      <c r="ES85" s="1509"/>
      <c r="ET85" s="1509"/>
      <c r="EU85" s="1509"/>
      <c r="EV85" s="1509"/>
      <c r="EW85" s="1509"/>
      <c r="EX85" s="1509"/>
      <c r="EY85" s="1509"/>
      <c r="EZ85" s="1509"/>
      <c r="FA85" s="1509"/>
      <c r="FB85" s="1509"/>
      <c r="FC85" s="1509"/>
      <c r="FD85" s="1509"/>
      <c r="FE85" s="1509"/>
      <c r="FF85" s="1509"/>
      <c r="FG85" s="1509"/>
      <c r="FH85" s="1509"/>
      <c r="FI85" s="1509"/>
      <c r="FJ85" s="1509"/>
      <c r="FK85" s="1509"/>
      <c r="FL85" s="1509"/>
      <c r="FM85" s="1509"/>
      <c r="FN85" s="1509"/>
      <c r="FO85" s="1509"/>
      <c r="FP85" s="1509"/>
      <c r="FQ85" s="1509"/>
      <c r="FR85" s="1509"/>
      <c r="FS85" s="1509"/>
      <c r="FT85" s="1509"/>
      <c r="FU85" s="1509"/>
      <c r="FV85" s="1509"/>
      <c r="FW85" s="1509"/>
      <c r="FX85" s="1509"/>
      <c r="FY85" s="1509"/>
      <c r="FZ85" s="1509"/>
      <c r="GA85" s="1509"/>
      <c r="GB85" s="1509"/>
      <c r="GC85" s="1509"/>
      <c r="GD85" s="1509"/>
      <c r="GE85" s="1509"/>
      <c r="GF85" s="1509"/>
      <c r="GG85" s="1509"/>
      <c r="GH85" s="1509"/>
      <c r="GI85" s="1509"/>
      <c r="GJ85" s="1509"/>
      <c r="GK85" s="1509"/>
      <c r="GL85" s="1509"/>
      <c r="GM85" s="1509"/>
      <c r="GN85" s="1509"/>
      <c r="GO85" s="1509"/>
      <c r="GP85" s="1509"/>
      <c r="GQ85" s="1509"/>
      <c r="GR85" s="1509"/>
      <c r="GS85" s="1509"/>
      <c r="GT85" s="1509"/>
    </row>
    <row r="86" spans="1:202" s="4665" customFormat="1" ht="17.100000000000001" customHeight="1">
      <c r="A86" s="4670"/>
      <c r="C86" s="4678"/>
      <c r="D86" s="4676"/>
      <c r="E86" s="787"/>
      <c r="F86" s="4677"/>
      <c r="G86" s="4677"/>
      <c r="H86" s="4677"/>
      <c r="I86" s="4677"/>
      <c r="J86" s="4677"/>
      <c r="K86" s="4677"/>
      <c r="L86" s="4677"/>
      <c r="M86" s="4677"/>
      <c r="N86" s="4677"/>
      <c r="O86" s="4677"/>
      <c r="P86" s="4677"/>
      <c r="Q86" s="4677"/>
      <c r="R86" s="4677"/>
      <c r="S86" s="4677"/>
      <c r="T86" s="4677"/>
      <c r="U86" s="4677"/>
      <c r="V86" s="4677"/>
      <c r="W86" s="1509"/>
      <c r="X86" s="1509"/>
      <c r="Y86" s="1509"/>
      <c r="Z86" s="1509"/>
      <c r="AA86" s="1509"/>
      <c r="AB86" s="1509"/>
      <c r="AC86" s="1509"/>
      <c r="AD86" s="1509"/>
      <c r="AE86" s="1509"/>
      <c r="AF86" s="1509"/>
      <c r="AG86" s="1509"/>
      <c r="AH86" s="1509"/>
      <c r="AI86" s="1509"/>
      <c r="AJ86" s="1509"/>
      <c r="AK86" s="1509"/>
      <c r="AL86" s="1509"/>
      <c r="AM86" s="1509"/>
      <c r="AN86" s="1509"/>
      <c r="AO86" s="1509"/>
      <c r="AP86" s="1509"/>
      <c r="AQ86" s="1509"/>
      <c r="AR86" s="1509"/>
      <c r="AS86" s="1509"/>
      <c r="AT86" s="1509"/>
      <c r="AU86" s="1509"/>
      <c r="AV86" s="1509"/>
      <c r="AW86" s="1509"/>
      <c r="AX86" s="1509"/>
      <c r="AY86" s="1509"/>
      <c r="AZ86" s="1509"/>
      <c r="BA86" s="1509"/>
      <c r="BB86" s="1509"/>
      <c r="BC86" s="1509"/>
      <c r="BD86" s="1509"/>
      <c r="BE86" s="1509"/>
      <c r="BF86" s="1509"/>
      <c r="BG86" s="1509"/>
      <c r="BH86" s="1509"/>
      <c r="BI86" s="1509"/>
      <c r="BJ86" s="1509"/>
      <c r="BK86" s="1509"/>
      <c r="BL86" s="1509"/>
      <c r="BM86" s="1509"/>
      <c r="BN86" s="1509"/>
      <c r="BO86" s="1509"/>
      <c r="BP86" s="1509"/>
      <c r="BQ86" s="1509"/>
      <c r="BR86" s="1509"/>
      <c r="BS86" s="1509"/>
      <c r="BT86" s="1509"/>
      <c r="BU86" s="1509"/>
      <c r="BV86" s="1509"/>
      <c r="BW86" s="1509"/>
      <c r="BX86" s="1509"/>
      <c r="BY86" s="1509"/>
      <c r="BZ86" s="1509"/>
      <c r="CA86" s="1509"/>
      <c r="CB86" s="1509"/>
      <c r="CC86" s="1509"/>
      <c r="CD86" s="1509"/>
      <c r="CE86" s="1509"/>
      <c r="CF86" s="1509"/>
      <c r="CG86" s="1509"/>
      <c r="CH86" s="1509"/>
      <c r="CI86" s="1509"/>
      <c r="CJ86" s="1509"/>
      <c r="CK86" s="1509"/>
      <c r="CL86" s="1509"/>
      <c r="CM86" s="1509"/>
      <c r="CN86" s="1509"/>
      <c r="CO86" s="1509"/>
      <c r="CP86" s="1509"/>
      <c r="CQ86" s="1509"/>
      <c r="CR86" s="1509"/>
      <c r="CS86" s="1509"/>
      <c r="CT86" s="1509"/>
      <c r="CU86" s="1509"/>
      <c r="CV86" s="1509"/>
      <c r="CW86" s="1509"/>
      <c r="CX86" s="1509"/>
      <c r="CY86" s="1509"/>
      <c r="CZ86" s="1509"/>
      <c r="DA86" s="1509"/>
      <c r="DB86" s="1509"/>
      <c r="DC86" s="1509"/>
      <c r="DD86" s="1509"/>
      <c r="DE86" s="1509"/>
      <c r="DF86" s="1509"/>
      <c r="DG86" s="1509"/>
      <c r="DH86" s="1509"/>
      <c r="DI86" s="1509"/>
      <c r="DJ86" s="1509"/>
      <c r="DK86" s="1509"/>
      <c r="DL86" s="1509"/>
      <c r="DM86" s="1509"/>
      <c r="DN86" s="1509"/>
      <c r="DO86" s="1509"/>
      <c r="DP86" s="1509"/>
      <c r="DQ86" s="1509"/>
      <c r="DR86" s="1509"/>
      <c r="DS86" s="1509"/>
      <c r="DT86" s="1509"/>
      <c r="DU86" s="1509"/>
      <c r="DV86" s="1509"/>
      <c r="DW86" s="1509"/>
      <c r="DX86" s="1509"/>
      <c r="DY86" s="1509"/>
      <c r="DZ86" s="1509"/>
      <c r="EA86" s="1509"/>
      <c r="EB86" s="1509"/>
      <c r="EC86" s="1509"/>
      <c r="ED86" s="1509"/>
      <c r="EE86" s="1509"/>
      <c r="EF86" s="1509"/>
      <c r="EG86" s="1509"/>
      <c r="EH86" s="1509"/>
      <c r="EI86" s="1509"/>
      <c r="EJ86" s="1509"/>
      <c r="EK86" s="1509"/>
      <c r="EL86" s="1509"/>
      <c r="EM86" s="1509"/>
      <c r="EN86" s="1509"/>
      <c r="EO86" s="1509"/>
      <c r="EP86" s="1509"/>
      <c r="EQ86" s="1509"/>
      <c r="ER86" s="1509"/>
      <c r="ES86" s="1509"/>
      <c r="ET86" s="1509"/>
      <c r="EU86" s="1509"/>
      <c r="EV86" s="1509"/>
      <c r="EW86" s="1509"/>
      <c r="EX86" s="1509"/>
      <c r="EY86" s="1509"/>
      <c r="EZ86" s="1509"/>
      <c r="FA86" s="1509"/>
      <c r="FB86" s="1509"/>
      <c r="FC86" s="1509"/>
      <c r="FD86" s="1509"/>
      <c r="FE86" s="1509"/>
      <c r="FF86" s="1509"/>
      <c r="FG86" s="1509"/>
      <c r="FH86" s="1509"/>
      <c r="FI86" s="1509"/>
      <c r="FJ86" s="1509"/>
      <c r="FK86" s="1509"/>
      <c r="FL86" s="1509"/>
      <c r="FM86" s="1509"/>
      <c r="FN86" s="1509"/>
      <c r="FO86" s="1509"/>
      <c r="FP86" s="1509"/>
      <c r="FQ86" s="1509"/>
      <c r="FR86" s="1509"/>
      <c r="FS86" s="1509"/>
      <c r="FT86" s="1509"/>
      <c r="FU86" s="1509"/>
      <c r="FV86" s="1509"/>
      <c r="FW86" s="1509"/>
      <c r="FX86" s="1509"/>
      <c r="FY86" s="1509"/>
      <c r="FZ86" s="1509"/>
      <c r="GA86" s="1509"/>
      <c r="GB86" s="1509"/>
      <c r="GC86" s="1509"/>
      <c r="GD86" s="1509"/>
      <c r="GE86" s="1509"/>
      <c r="GF86" s="1509"/>
      <c r="GG86" s="1509"/>
      <c r="GH86" s="1509"/>
      <c r="GI86" s="1509"/>
      <c r="GJ86" s="1509"/>
      <c r="GK86" s="1509"/>
      <c r="GL86" s="1509"/>
      <c r="GM86" s="1509"/>
      <c r="GN86" s="1509"/>
      <c r="GO86" s="1509"/>
      <c r="GP86" s="1509"/>
      <c r="GQ86" s="1509"/>
      <c r="GR86" s="1509"/>
      <c r="GS86" s="1509"/>
      <c r="GT86" s="1509"/>
    </row>
    <row r="87" spans="1:202" s="4665" customFormat="1" ht="17.100000000000001" customHeight="1">
      <c r="C87" s="4678"/>
      <c r="D87" s="4676"/>
      <c r="E87" s="787"/>
      <c r="F87" s="4677"/>
      <c r="G87" s="4677"/>
      <c r="H87" s="4677"/>
      <c r="I87" s="4677"/>
      <c r="J87" s="4677"/>
      <c r="K87" s="4677"/>
      <c r="L87" s="4677"/>
      <c r="M87" s="4677"/>
      <c r="N87" s="4677"/>
      <c r="O87" s="4677"/>
      <c r="P87" s="4677"/>
      <c r="Q87" s="4677"/>
      <c r="R87" s="4677"/>
      <c r="S87" s="4677"/>
      <c r="T87" s="4677"/>
      <c r="U87" s="4677"/>
      <c r="V87" s="4677"/>
      <c r="W87" s="1509"/>
      <c r="X87" s="1509"/>
      <c r="Y87" s="1509"/>
      <c r="Z87" s="1509"/>
      <c r="AA87" s="1509"/>
      <c r="AB87" s="1509"/>
      <c r="AC87" s="1509"/>
      <c r="AD87" s="1509"/>
      <c r="AE87" s="1509"/>
      <c r="AF87" s="1509"/>
      <c r="AG87" s="1509"/>
      <c r="AH87" s="1509"/>
      <c r="AI87" s="1509"/>
      <c r="AJ87" s="1509"/>
      <c r="AK87" s="1509"/>
      <c r="AL87" s="1509"/>
      <c r="AM87" s="1509"/>
      <c r="AN87" s="1509"/>
      <c r="AO87" s="1509"/>
      <c r="AP87" s="1509"/>
      <c r="AQ87" s="1509"/>
      <c r="AR87" s="1509"/>
      <c r="AS87" s="1509"/>
      <c r="AT87" s="1509"/>
      <c r="AU87" s="1509"/>
      <c r="AV87" s="1509"/>
      <c r="AW87" s="1509"/>
      <c r="AX87" s="1509"/>
      <c r="AY87" s="1509"/>
      <c r="AZ87" s="1509"/>
      <c r="BA87" s="1509"/>
      <c r="BB87" s="1509"/>
      <c r="BC87" s="1509"/>
      <c r="BD87" s="1509"/>
      <c r="BE87" s="1509"/>
      <c r="BF87" s="1509"/>
      <c r="BG87" s="1509"/>
      <c r="BH87" s="1509"/>
      <c r="BI87" s="1509"/>
      <c r="BJ87" s="1509"/>
      <c r="BK87" s="1509"/>
      <c r="BL87" s="1509"/>
      <c r="BM87" s="1509"/>
      <c r="BN87" s="1509"/>
      <c r="BO87" s="1509"/>
      <c r="BP87" s="1509"/>
      <c r="BQ87" s="1509"/>
      <c r="BR87" s="1509"/>
      <c r="BS87" s="1509"/>
      <c r="BT87" s="1509"/>
      <c r="BU87" s="1509"/>
      <c r="BV87" s="1509"/>
      <c r="BW87" s="1509"/>
      <c r="BX87" s="1509"/>
      <c r="BY87" s="1509"/>
      <c r="BZ87" s="1509"/>
      <c r="CA87" s="1509"/>
      <c r="CB87" s="1509"/>
      <c r="CC87" s="1509"/>
      <c r="CD87" s="1509"/>
      <c r="CE87" s="1509"/>
      <c r="CF87" s="1509"/>
      <c r="CG87" s="1509"/>
      <c r="CH87" s="1509"/>
      <c r="CI87" s="1509"/>
      <c r="CJ87" s="1509"/>
      <c r="CK87" s="1509"/>
      <c r="CL87" s="1509"/>
      <c r="CM87" s="1509"/>
      <c r="CN87" s="1509"/>
      <c r="CO87" s="1509"/>
      <c r="CP87" s="1509"/>
      <c r="CQ87" s="1509"/>
      <c r="CR87" s="1509"/>
      <c r="CS87" s="1509"/>
      <c r="CT87" s="1509"/>
      <c r="CU87" s="1509"/>
      <c r="CV87" s="1509"/>
      <c r="CW87" s="1509"/>
      <c r="CX87" s="1509"/>
      <c r="CY87" s="1509"/>
      <c r="CZ87" s="1509"/>
      <c r="DA87" s="1509"/>
      <c r="DB87" s="1509"/>
      <c r="DC87" s="1509"/>
      <c r="DD87" s="1509"/>
      <c r="DE87" s="1509"/>
      <c r="DF87" s="1509"/>
      <c r="DG87" s="1509"/>
      <c r="DH87" s="1509"/>
      <c r="DI87" s="1509"/>
      <c r="DJ87" s="1509"/>
      <c r="DK87" s="1509"/>
      <c r="DL87" s="1509"/>
      <c r="DM87" s="1509"/>
      <c r="DN87" s="1509"/>
      <c r="DO87" s="1509"/>
      <c r="DP87" s="1509"/>
      <c r="DQ87" s="1509"/>
      <c r="DR87" s="1509"/>
      <c r="DS87" s="1509"/>
      <c r="DT87" s="1509"/>
      <c r="DU87" s="1509"/>
      <c r="DV87" s="1509"/>
      <c r="DW87" s="1509"/>
      <c r="DX87" s="1509"/>
      <c r="DY87" s="1509"/>
      <c r="DZ87" s="1509"/>
      <c r="EA87" s="1509"/>
      <c r="EB87" s="1509"/>
      <c r="EC87" s="1509"/>
      <c r="ED87" s="1509"/>
      <c r="EE87" s="1509"/>
      <c r="EF87" s="1509"/>
      <c r="EG87" s="1509"/>
      <c r="EH87" s="1509"/>
      <c r="EI87" s="1509"/>
      <c r="EJ87" s="1509"/>
      <c r="EK87" s="1509"/>
      <c r="EL87" s="1509"/>
      <c r="EM87" s="1509"/>
      <c r="EN87" s="1509"/>
      <c r="EO87" s="1509"/>
      <c r="EP87" s="1509"/>
      <c r="EQ87" s="1509"/>
      <c r="ER87" s="1509"/>
      <c r="ES87" s="1509"/>
      <c r="ET87" s="1509"/>
      <c r="EU87" s="1509"/>
      <c r="EV87" s="1509"/>
      <c r="EW87" s="1509"/>
      <c r="EX87" s="1509"/>
      <c r="EY87" s="1509"/>
      <c r="EZ87" s="1509"/>
      <c r="FA87" s="1509"/>
      <c r="FB87" s="1509"/>
      <c r="FC87" s="1509"/>
      <c r="FD87" s="1509"/>
      <c r="FE87" s="1509"/>
      <c r="FF87" s="1509"/>
      <c r="FG87" s="1509"/>
      <c r="FH87" s="1509"/>
      <c r="FI87" s="1509"/>
      <c r="FJ87" s="1509"/>
      <c r="FK87" s="1509"/>
      <c r="FL87" s="1509"/>
      <c r="FM87" s="1509"/>
      <c r="FN87" s="1509"/>
      <c r="FO87" s="1509"/>
      <c r="FP87" s="1509"/>
      <c r="FQ87" s="1509"/>
      <c r="FR87" s="1509"/>
      <c r="FS87" s="1509"/>
      <c r="FT87" s="1509"/>
      <c r="FU87" s="1509"/>
      <c r="FV87" s="1509"/>
      <c r="FW87" s="1509"/>
      <c r="FX87" s="1509"/>
      <c r="FY87" s="1509"/>
      <c r="FZ87" s="1509"/>
      <c r="GA87" s="1509"/>
      <c r="GB87" s="1509"/>
      <c r="GC87" s="1509"/>
      <c r="GD87" s="1509"/>
      <c r="GE87" s="1509"/>
      <c r="GF87" s="1509"/>
      <c r="GG87" s="1509"/>
      <c r="GH87" s="1509"/>
      <c r="GI87" s="1509"/>
      <c r="GJ87" s="1509"/>
      <c r="GK87" s="1509"/>
      <c r="GL87" s="1509"/>
      <c r="GM87" s="1509"/>
      <c r="GN87" s="1509"/>
      <c r="GO87" s="1509"/>
      <c r="GP87" s="1509"/>
      <c r="GQ87" s="1509"/>
      <c r="GR87" s="1509"/>
      <c r="GS87" s="1509"/>
      <c r="GT87" s="1509"/>
    </row>
    <row r="88" spans="1:202" s="4665" customFormat="1" ht="17.100000000000001" customHeight="1">
      <c r="D88" s="4676"/>
      <c r="E88" s="787"/>
      <c r="F88" s="4677"/>
      <c r="G88" s="1509"/>
      <c r="H88" s="1509"/>
      <c r="I88" s="1509"/>
      <c r="J88" s="1509"/>
      <c r="K88" s="1509"/>
      <c r="L88" s="1509"/>
      <c r="M88" s="1509"/>
      <c r="N88" s="1509"/>
      <c r="O88" s="1509"/>
      <c r="P88" s="1509"/>
      <c r="Q88" s="1509"/>
      <c r="R88" s="1509"/>
      <c r="S88" s="1509"/>
      <c r="T88" s="1509"/>
      <c r="U88" s="1509"/>
      <c r="V88" s="1509"/>
      <c r="W88" s="1509"/>
      <c r="X88" s="1509"/>
      <c r="Y88" s="1509"/>
      <c r="Z88" s="1509"/>
      <c r="AA88" s="1509"/>
      <c r="AB88" s="1509"/>
      <c r="AC88" s="1509"/>
      <c r="AD88" s="1509"/>
      <c r="AE88" s="1509"/>
      <c r="AF88" s="1509"/>
      <c r="AG88" s="1509"/>
      <c r="AH88" s="1509"/>
      <c r="AI88" s="1509"/>
      <c r="AJ88" s="1509"/>
      <c r="AK88" s="1509"/>
      <c r="AL88" s="1509"/>
      <c r="AM88" s="1509"/>
      <c r="AN88" s="1509"/>
      <c r="AO88" s="1509"/>
      <c r="AP88" s="1509"/>
      <c r="AQ88" s="1509"/>
      <c r="AR88" s="1509"/>
      <c r="AS88" s="1509"/>
      <c r="AT88" s="1509"/>
      <c r="AU88" s="1509"/>
      <c r="AV88" s="1509"/>
      <c r="AW88" s="1509"/>
      <c r="AX88" s="1509"/>
      <c r="AY88" s="1509"/>
      <c r="AZ88" s="1509"/>
      <c r="BA88" s="1509"/>
      <c r="BB88" s="1509"/>
      <c r="BC88" s="1509"/>
      <c r="BD88" s="1509"/>
      <c r="BE88" s="1509"/>
      <c r="BF88" s="1509"/>
      <c r="BG88" s="1509"/>
      <c r="BH88" s="1509"/>
      <c r="BI88" s="1509"/>
      <c r="BJ88" s="1509"/>
      <c r="BK88" s="1509"/>
      <c r="BL88" s="1509"/>
      <c r="BM88" s="1509"/>
      <c r="BN88" s="1509"/>
      <c r="BO88" s="1509"/>
      <c r="BP88" s="1509"/>
      <c r="BQ88" s="1509"/>
      <c r="BR88" s="1509"/>
      <c r="BS88" s="1509"/>
      <c r="BT88" s="1509"/>
      <c r="BU88" s="1509"/>
      <c r="BV88" s="1509"/>
      <c r="BW88" s="1509"/>
      <c r="BX88" s="1509"/>
      <c r="BY88" s="1509"/>
      <c r="BZ88" s="1509"/>
      <c r="CA88" s="1509"/>
      <c r="CB88" s="1509"/>
      <c r="CC88" s="1509"/>
      <c r="CD88" s="1509"/>
      <c r="CE88" s="1509"/>
      <c r="CF88" s="1509"/>
      <c r="CG88" s="1509"/>
      <c r="CH88" s="1509"/>
      <c r="CI88" s="1509"/>
      <c r="CJ88" s="1509"/>
      <c r="CK88" s="1509"/>
      <c r="CL88" s="1509"/>
      <c r="CM88" s="1509"/>
      <c r="CN88" s="1509"/>
      <c r="CO88" s="1509"/>
      <c r="CP88" s="1509"/>
      <c r="CQ88" s="1509"/>
      <c r="CR88" s="1509"/>
      <c r="CS88" s="1509"/>
      <c r="CT88" s="1509"/>
      <c r="CU88" s="1509"/>
      <c r="CV88" s="1509"/>
      <c r="CW88" s="1509"/>
      <c r="CX88" s="1509"/>
      <c r="CY88" s="1509"/>
      <c r="CZ88" s="1509"/>
      <c r="DA88" s="1509"/>
      <c r="DB88" s="1509"/>
      <c r="DC88" s="1509"/>
      <c r="DD88" s="1509"/>
      <c r="DE88" s="1509"/>
      <c r="DF88" s="1509"/>
      <c r="DG88" s="1509"/>
      <c r="DH88" s="1509"/>
      <c r="DI88" s="1509"/>
      <c r="DJ88" s="1509"/>
      <c r="DK88" s="1509"/>
      <c r="DL88" s="1509"/>
      <c r="DM88" s="1509"/>
      <c r="DN88" s="1509"/>
      <c r="DO88" s="1509"/>
      <c r="DP88" s="1509"/>
      <c r="DQ88" s="1509"/>
      <c r="DR88" s="1509"/>
      <c r="DS88" s="1509"/>
      <c r="DT88" s="1509"/>
      <c r="DU88" s="1509"/>
      <c r="DV88" s="1509"/>
      <c r="DW88" s="1509"/>
      <c r="DX88" s="1509"/>
      <c r="DY88" s="1509"/>
      <c r="DZ88" s="1509"/>
      <c r="EA88" s="1509"/>
      <c r="EB88" s="1509"/>
      <c r="EC88" s="1509"/>
      <c r="ED88" s="1509"/>
      <c r="EE88" s="1509"/>
      <c r="EF88" s="1509"/>
      <c r="EG88" s="1509"/>
      <c r="EH88" s="1509"/>
      <c r="EI88" s="1509"/>
      <c r="EJ88" s="1509"/>
      <c r="EK88" s="1509"/>
      <c r="EL88" s="1509"/>
      <c r="EM88" s="1509"/>
      <c r="EN88" s="1509"/>
      <c r="EO88" s="1509"/>
      <c r="EP88" s="1509"/>
      <c r="EQ88" s="1509"/>
      <c r="ER88" s="1509"/>
      <c r="ES88" s="1509"/>
      <c r="ET88" s="1509"/>
      <c r="EU88" s="1509"/>
      <c r="EV88" s="1509"/>
      <c r="EW88" s="1509"/>
      <c r="EX88" s="1509"/>
      <c r="EY88" s="1509"/>
      <c r="EZ88" s="1509"/>
      <c r="FA88" s="1509"/>
      <c r="FB88" s="1509"/>
      <c r="FC88" s="1509"/>
      <c r="FD88" s="1509"/>
      <c r="FE88" s="1509"/>
      <c r="FF88" s="1509"/>
      <c r="FG88" s="1509"/>
      <c r="FH88" s="1509"/>
      <c r="FI88" s="1509"/>
      <c r="FJ88" s="1509"/>
      <c r="FK88" s="1509"/>
      <c r="FL88" s="1509"/>
      <c r="FM88" s="1509"/>
      <c r="FN88" s="1509"/>
      <c r="FO88" s="1509"/>
      <c r="FP88" s="1509"/>
      <c r="FQ88" s="1509"/>
      <c r="FR88" s="1509"/>
      <c r="FS88" s="1509"/>
      <c r="FT88" s="1509"/>
      <c r="FU88" s="1509"/>
      <c r="FV88" s="1509"/>
      <c r="FW88" s="1509"/>
      <c r="FX88" s="1509"/>
      <c r="FY88" s="1509"/>
      <c r="FZ88" s="1509"/>
      <c r="GA88" s="1509"/>
      <c r="GB88" s="1509"/>
      <c r="GC88" s="1509"/>
      <c r="GD88" s="1509"/>
      <c r="GE88" s="1509"/>
      <c r="GF88" s="1509"/>
      <c r="GG88" s="1509"/>
      <c r="GH88" s="1509"/>
      <c r="GI88" s="1509"/>
      <c r="GJ88" s="1509"/>
      <c r="GK88" s="1509"/>
      <c r="GL88" s="1509"/>
      <c r="GM88" s="1509"/>
      <c r="GN88" s="1509"/>
      <c r="GO88" s="1509"/>
      <c r="GP88" s="1509"/>
      <c r="GQ88" s="1509"/>
      <c r="GR88" s="1509"/>
      <c r="GS88" s="1509"/>
      <c r="GT88" s="1509"/>
    </row>
    <row r="89" spans="1:202" s="4665" customFormat="1" ht="17.100000000000001" customHeight="1">
      <c r="D89" s="4676"/>
      <c r="E89" s="787"/>
      <c r="F89" s="4677"/>
      <c r="G89" s="4677"/>
      <c r="H89" s="1509"/>
      <c r="I89" s="1509"/>
      <c r="J89" s="1509"/>
      <c r="K89" s="1509"/>
      <c r="L89" s="1509"/>
      <c r="M89" s="1509"/>
      <c r="N89" s="1509"/>
      <c r="O89" s="1509"/>
      <c r="P89" s="1509"/>
      <c r="Q89" s="1509"/>
      <c r="R89" s="1509"/>
      <c r="S89" s="1509"/>
      <c r="T89" s="1509"/>
      <c r="U89" s="1509"/>
      <c r="V89" s="1509"/>
      <c r="W89" s="1509"/>
      <c r="X89" s="1509"/>
      <c r="Y89" s="1509"/>
      <c r="Z89" s="1509"/>
      <c r="AA89" s="1509"/>
      <c r="AB89" s="1509"/>
      <c r="AC89" s="1509"/>
      <c r="AD89" s="1509"/>
      <c r="AE89" s="1509"/>
      <c r="AF89" s="1509"/>
      <c r="AG89" s="1509"/>
      <c r="AH89" s="1509"/>
      <c r="AI89" s="1509"/>
      <c r="AJ89" s="1509"/>
      <c r="AK89" s="1509"/>
      <c r="AL89" s="1509"/>
      <c r="AM89" s="1509"/>
      <c r="AN89" s="1509"/>
      <c r="AO89" s="1509"/>
      <c r="AP89" s="1509"/>
      <c r="AQ89" s="1509"/>
      <c r="AR89" s="1509"/>
      <c r="AS89" s="1509"/>
      <c r="AT89" s="1509"/>
      <c r="AU89" s="1509"/>
      <c r="AV89" s="1509"/>
      <c r="AW89" s="1509"/>
      <c r="AX89" s="1509"/>
      <c r="AY89" s="1509"/>
      <c r="AZ89" s="1509"/>
      <c r="BA89" s="1509"/>
      <c r="BB89" s="1509"/>
      <c r="BC89" s="1509"/>
      <c r="BD89" s="1509"/>
      <c r="BE89" s="1509"/>
      <c r="BF89" s="1509"/>
      <c r="BG89" s="1509"/>
      <c r="BH89" s="1509"/>
      <c r="BI89" s="1509"/>
      <c r="BJ89" s="1509"/>
      <c r="BK89" s="1509"/>
      <c r="BL89" s="1509"/>
      <c r="BM89" s="1509"/>
      <c r="BN89" s="1509"/>
      <c r="BO89" s="1509"/>
      <c r="BP89" s="1509"/>
      <c r="BQ89" s="1509"/>
      <c r="BR89" s="1509"/>
      <c r="BS89" s="1509"/>
      <c r="BT89" s="1509"/>
      <c r="BU89" s="1509"/>
      <c r="BV89" s="1509"/>
      <c r="BW89" s="1509"/>
      <c r="BX89" s="1509"/>
      <c r="BY89" s="1509"/>
      <c r="BZ89" s="1509"/>
      <c r="CA89" s="1509"/>
      <c r="CB89" s="1509"/>
      <c r="CC89" s="1509"/>
      <c r="CD89" s="1509"/>
      <c r="CE89" s="1509"/>
      <c r="CF89" s="1509"/>
      <c r="CG89" s="1509"/>
      <c r="CH89" s="1509"/>
      <c r="CI89" s="1509"/>
      <c r="CJ89" s="1509"/>
      <c r="CK89" s="1509"/>
      <c r="CL89" s="1509"/>
      <c r="CM89" s="1509"/>
      <c r="CN89" s="1509"/>
      <c r="CO89" s="1509"/>
      <c r="CP89" s="1509"/>
      <c r="CQ89" s="1509"/>
      <c r="CR89" s="1509"/>
      <c r="CS89" s="1509"/>
      <c r="CT89" s="1509"/>
      <c r="CU89" s="1509"/>
      <c r="CV89" s="1509"/>
      <c r="CW89" s="1509"/>
      <c r="CX89" s="1509"/>
      <c r="CY89" s="1509"/>
      <c r="CZ89" s="1509"/>
      <c r="DA89" s="1509"/>
      <c r="DB89" s="1509"/>
      <c r="DC89" s="1509"/>
      <c r="DD89" s="1509"/>
      <c r="DE89" s="1509"/>
      <c r="DF89" s="1509"/>
      <c r="DG89" s="1509"/>
      <c r="DH89" s="1509"/>
      <c r="DI89" s="1509"/>
      <c r="DJ89" s="1509"/>
      <c r="DK89" s="1509"/>
      <c r="DL89" s="1509"/>
      <c r="DM89" s="1509"/>
      <c r="DN89" s="1509"/>
      <c r="DO89" s="1509"/>
      <c r="DP89" s="1509"/>
      <c r="DQ89" s="1509"/>
      <c r="DR89" s="1509"/>
      <c r="DS89" s="1509"/>
      <c r="DT89" s="1509"/>
      <c r="DU89" s="1509"/>
      <c r="DV89" s="1509"/>
      <c r="DW89" s="1509"/>
      <c r="DX89" s="1509"/>
      <c r="DY89" s="1509"/>
      <c r="DZ89" s="1509"/>
      <c r="EA89" s="1509"/>
      <c r="EB89" s="1509"/>
      <c r="EC89" s="1509"/>
      <c r="ED89" s="1509"/>
      <c r="EE89" s="1509"/>
      <c r="EF89" s="1509"/>
      <c r="EG89" s="1509"/>
      <c r="EH89" s="1509"/>
      <c r="EI89" s="1509"/>
      <c r="EJ89" s="1509"/>
      <c r="EK89" s="1509"/>
      <c r="EL89" s="1509"/>
      <c r="EM89" s="1509"/>
      <c r="EN89" s="1509"/>
      <c r="EO89" s="1509"/>
      <c r="EP89" s="1509"/>
      <c r="EQ89" s="1509"/>
      <c r="ER89" s="1509"/>
      <c r="ES89" s="1509"/>
      <c r="ET89" s="1509"/>
      <c r="EU89" s="1509"/>
      <c r="EV89" s="1509"/>
      <c r="EW89" s="1509"/>
      <c r="EX89" s="1509"/>
      <c r="EY89" s="1509"/>
      <c r="EZ89" s="1509"/>
      <c r="FA89" s="1509"/>
      <c r="FB89" s="1509"/>
      <c r="FC89" s="1509"/>
      <c r="FD89" s="1509"/>
      <c r="FE89" s="1509"/>
      <c r="FF89" s="1509"/>
      <c r="FG89" s="1509"/>
      <c r="FH89" s="1509"/>
      <c r="FI89" s="1509"/>
      <c r="FJ89" s="1509"/>
      <c r="FK89" s="1509"/>
      <c r="FL89" s="1509"/>
      <c r="FM89" s="1509"/>
      <c r="FN89" s="1509"/>
      <c r="FO89" s="1509"/>
      <c r="FP89" s="1509"/>
      <c r="FQ89" s="1509"/>
      <c r="FR89" s="1509"/>
      <c r="FS89" s="1509"/>
      <c r="FT89" s="1509"/>
      <c r="FU89" s="1509"/>
      <c r="FV89" s="1509"/>
      <c r="FW89" s="1509"/>
      <c r="FX89" s="1509"/>
      <c r="FY89" s="1509"/>
      <c r="FZ89" s="1509"/>
      <c r="GA89" s="1509"/>
      <c r="GB89" s="1509"/>
      <c r="GC89" s="1509"/>
      <c r="GD89" s="1509"/>
      <c r="GE89" s="1509"/>
      <c r="GF89" s="1509"/>
      <c r="GG89" s="1509"/>
      <c r="GH89" s="1509"/>
      <c r="GI89" s="1509"/>
      <c r="GJ89" s="1509"/>
      <c r="GK89" s="1509"/>
      <c r="GL89" s="1509"/>
      <c r="GM89" s="1509"/>
      <c r="GN89" s="1509"/>
      <c r="GO89" s="1509"/>
      <c r="GP89" s="1509"/>
      <c r="GQ89" s="1509"/>
      <c r="GR89" s="1509"/>
      <c r="GS89" s="1509"/>
      <c r="GT89" s="1509"/>
    </row>
    <row r="90" spans="1:202" s="4665" customFormat="1" ht="17.100000000000001" customHeight="1">
      <c r="C90" s="4678"/>
      <c r="D90" s="4676"/>
      <c r="E90" s="787"/>
      <c r="F90" s="4677"/>
      <c r="G90" s="4677"/>
      <c r="H90" s="4677"/>
      <c r="I90" s="4677"/>
      <c r="J90" s="4677"/>
      <c r="K90" s="4677"/>
      <c r="L90" s="4677"/>
      <c r="M90" s="4677"/>
      <c r="N90" s="4677"/>
      <c r="O90" s="4677"/>
      <c r="P90" s="4677"/>
      <c r="Q90" s="4677"/>
      <c r="R90" s="4677"/>
      <c r="S90" s="4677"/>
      <c r="T90" s="4677"/>
      <c r="U90" s="4677"/>
      <c r="V90" s="4677"/>
      <c r="W90" s="1509"/>
      <c r="X90" s="1509"/>
      <c r="Y90" s="1509"/>
      <c r="Z90" s="1509"/>
      <c r="AA90" s="1509"/>
      <c r="AB90" s="1509"/>
      <c r="AC90" s="1509"/>
      <c r="AD90" s="1509"/>
      <c r="AE90" s="1509"/>
      <c r="AF90" s="1509"/>
      <c r="AG90" s="1509"/>
      <c r="AH90" s="1509"/>
      <c r="AI90" s="1509"/>
      <c r="AJ90" s="1509"/>
      <c r="AK90" s="1509"/>
      <c r="AL90" s="1509"/>
      <c r="AM90" s="1509"/>
      <c r="AN90" s="1509"/>
      <c r="AO90" s="1509"/>
      <c r="AP90" s="1509"/>
      <c r="AQ90" s="1509"/>
      <c r="AR90" s="1509"/>
      <c r="AS90" s="1509"/>
      <c r="AT90" s="1509"/>
      <c r="AU90" s="1509"/>
      <c r="AV90" s="1509"/>
      <c r="AW90" s="1509"/>
      <c r="AX90" s="1509"/>
      <c r="AY90" s="1509"/>
      <c r="AZ90" s="1509"/>
      <c r="BA90" s="1509"/>
      <c r="BB90" s="1509"/>
      <c r="BC90" s="1509"/>
      <c r="BD90" s="1509"/>
      <c r="BE90" s="1509"/>
      <c r="BF90" s="1509"/>
      <c r="BG90" s="1509"/>
      <c r="BH90" s="1509"/>
      <c r="BI90" s="1509"/>
      <c r="BJ90" s="1509"/>
      <c r="BK90" s="1509"/>
      <c r="BL90" s="1509"/>
      <c r="BM90" s="1509"/>
      <c r="BN90" s="1509"/>
      <c r="BO90" s="1509"/>
      <c r="BP90" s="1509"/>
      <c r="BQ90" s="1509"/>
      <c r="BR90" s="1509"/>
      <c r="BS90" s="1509"/>
      <c r="BT90" s="1509"/>
      <c r="BU90" s="1509"/>
      <c r="BV90" s="1509"/>
      <c r="BW90" s="1509"/>
      <c r="BX90" s="1509"/>
      <c r="BY90" s="1509"/>
      <c r="BZ90" s="1509"/>
      <c r="CA90" s="1509"/>
      <c r="CB90" s="1509"/>
      <c r="CC90" s="1509"/>
      <c r="CD90" s="1509"/>
      <c r="CE90" s="1509"/>
      <c r="CF90" s="1509"/>
      <c r="CG90" s="1509"/>
      <c r="CH90" s="1509"/>
      <c r="CI90" s="1509"/>
      <c r="CJ90" s="1509"/>
      <c r="CK90" s="1509"/>
      <c r="CL90" s="1509"/>
      <c r="CM90" s="1509"/>
      <c r="CN90" s="1509"/>
      <c r="CO90" s="1509"/>
      <c r="CP90" s="1509"/>
      <c r="CQ90" s="1509"/>
      <c r="CR90" s="1509"/>
      <c r="CS90" s="1509"/>
      <c r="CT90" s="1509"/>
      <c r="CU90" s="1509"/>
      <c r="CV90" s="1509"/>
      <c r="CW90" s="1509"/>
      <c r="CX90" s="1509"/>
      <c r="CY90" s="1509"/>
      <c r="CZ90" s="1509"/>
      <c r="DA90" s="1509"/>
      <c r="DB90" s="1509"/>
      <c r="DC90" s="1509"/>
      <c r="DD90" s="1509"/>
      <c r="DE90" s="1509"/>
      <c r="DF90" s="1509"/>
      <c r="DG90" s="1509"/>
      <c r="DH90" s="1509"/>
      <c r="DI90" s="1509"/>
      <c r="DJ90" s="1509"/>
      <c r="DK90" s="1509"/>
      <c r="DL90" s="1509"/>
      <c r="DM90" s="1509"/>
      <c r="DN90" s="1509"/>
      <c r="DO90" s="1509"/>
      <c r="DP90" s="1509"/>
      <c r="DQ90" s="1509"/>
      <c r="DR90" s="1509"/>
      <c r="DS90" s="1509"/>
      <c r="DT90" s="1509"/>
      <c r="DU90" s="1509"/>
      <c r="DV90" s="1509"/>
      <c r="DW90" s="1509"/>
      <c r="DX90" s="1509"/>
      <c r="DY90" s="1509"/>
      <c r="DZ90" s="1509"/>
      <c r="EA90" s="1509"/>
      <c r="EB90" s="1509"/>
      <c r="EC90" s="1509"/>
      <c r="ED90" s="1509"/>
      <c r="EE90" s="1509"/>
      <c r="EF90" s="1509"/>
      <c r="EG90" s="1509"/>
      <c r="EH90" s="1509"/>
      <c r="EI90" s="1509"/>
      <c r="EJ90" s="1509"/>
      <c r="EK90" s="1509"/>
      <c r="EL90" s="1509"/>
      <c r="EM90" s="1509"/>
      <c r="EN90" s="1509"/>
      <c r="EO90" s="1509"/>
      <c r="EP90" s="1509"/>
      <c r="EQ90" s="1509"/>
      <c r="ER90" s="1509"/>
      <c r="ES90" s="1509"/>
      <c r="ET90" s="1509"/>
      <c r="EU90" s="1509"/>
      <c r="EV90" s="1509"/>
      <c r="EW90" s="1509"/>
      <c r="EX90" s="1509"/>
      <c r="EY90" s="1509"/>
      <c r="EZ90" s="1509"/>
      <c r="FA90" s="1509"/>
      <c r="FB90" s="1509"/>
      <c r="FC90" s="1509"/>
      <c r="FD90" s="1509"/>
      <c r="FE90" s="1509"/>
      <c r="FF90" s="1509"/>
      <c r="FG90" s="1509"/>
      <c r="FH90" s="1509"/>
      <c r="FI90" s="1509"/>
      <c r="FJ90" s="1509"/>
      <c r="FK90" s="1509"/>
      <c r="FL90" s="1509"/>
      <c r="FM90" s="1509"/>
      <c r="FN90" s="1509"/>
      <c r="FO90" s="1509"/>
      <c r="FP90" s="1509"/>
      <c r="FQ90" s="1509"/>
      <c r="FR90" s="1509"/>
      <c r="FS90" s="1509"/>
      <c r="FT90" s="1509"/>
      <c r="FU90" s="1509"/>
      <c r="FV90" s="1509"/>
      <c r="FW90" s="1509"/>
      <c r="FX90" s="1509"/>
      <c r="FY90" s="1509"/>
      <c r="FZ90" s="1509"/>
      <c r="GA90" s="1509"/>
      <c r="GB90" s="1509"/>
      <c r="GC90" s="1509"/>
      <c r="GD90" s="1509"/>
      <c r="GE90" s="1509"/>
      <c r="GF90" s="1509"/>
      <c r="GG90" s="1509"/>
      <c r="GH90" s="1509"/>
      <c r="GI90" s="1509"/>
      <c r="GJ90" s="1509"/>
      <c r="GK90" s="1509"/>
      <c r="GL90" s="1509"/>
      <c r="GM90" s="1509"/>
      <c r="GN90" s="1509"/>
      <c r="GO90" s="1509"/>
      <c r="GP90" s="1509"/>
      <c r="GQ90" s="1509"/>
      <c r="GR90" s="1509"/>
      <c r="GS90" s="1509"/>
      <c r="GT90" s="1509"/>
    </row>
    <row r="91" spans="1:202" s="4665" customFormat="1" ht="17.100000000000001" customHeight="1">
      <c r="C91" s="4678"/>
      <c r="D91" s="4676"/>
      <c r="E91" s="787"/>
      <c r="F91" s="4677"/>
      <c r="G91" s="4677"/>
      <c r="H91" s="4677"/>
      <c r="I91" s="4677"/>
      <c r="J91" s="4677"/>
      <c r="K91" s="4677"/>
      <c r="L91" s="4677"/>
      <c r="M91" s="4677"/>
      <c r="N91" s="4677"/>
      <c r="O91" s="4677"/>
      <c r="P91" s="4677"/>
      <c r="Q91" s="4677"/>
      <c r="R91" s="4677"/>
      <c r="S91" s="4677"/>
      <c r="T91" s="4677"/>
      <c r="U91" s="4677"/>
      <c r="V91" s="4677"/>
      <c r="W91" s="1509"/>
      <c r="X91" s="1509"/>
      <c r="Y91" s="1509"/>
      <c r="Z91" s="1509"/>
      <c r="AA91" s="1509"/>
      <c r="AB91" s="1509"/>
      <c r="AC91" s="1509"/>
      <c r="AD91" s="1509"/>
      <c r="AE91" s="1509"/>
      <c r="AF91" s="1509"/>
      <c r="AG91" s="1509"/>
      <c r="AH91" s="1509"/>
      <c r="AI91" s="1509"/>
      <c r="AJ91" s="1509"/>
      <c r="AK91" s="1509"/>
      <c r="AL91" s="1509"/>
      <c r="AM91" s="1509"/>
      <c r="AN91" s="1509"/>
      <c r="AO91" s="1509"/>
      <c r="AP91" s="1509"/>
      <c r="AQ91" s="1509"/>
      <c r="AR91" s="1509"/>
      <c r="AS91" s="1509"/>
      <c r="AT91" s="1509"/>
      <c r="AU91" s="1509"/>
      <c r="AV91" s="1509"/>
      <c r="AW91" s="1509"/>
      <c r="AX91" s="1509"/>
      <c r="AY91" s="1509"/>
      <c r="AZ91" s="1509"/>
      <c r="BA91" s="1509"/>
      <c r="BB91" s="1509"/>
      <c r="BC91" s="1509"/>
      <c r="BD91" s="1509"/>
      <c r="BE91" s="1509"/>
      <c r="BF91" s="1509"/>
      <c r="BG91" s="1509"/>
      <c r="BH91" s="1509"/>
      <c r="BI91" s="1509"/>
      <c r="BJ91" s="1509"/>
      <c r="BK91" s="1509"/>
      <c r="BL91" s="1509"/>
      <c r="BM91" s="1509"/>
      <c r="BN91" s="1509"/>
      <c r="BO91" s="1509"/>
      <c r="BP91" s="1509"/>
      <c r="BQ91" s="1509"/>
      <c r="BR91" s="1509"/>
      <c r="BS91" s="1509"/>
      <c r="BT91" s="1509"/>
      <c r="BU91" s="1509"/>
      <c r="BV91" s="1509"/>
      <c r="BW91" s="1509"/>
      <c r="BX91" s="1509"/>
      <c r="BY91" s="1509"/>
      <c r="BZ91" s="1509"/>
      <c r="CA91" s="1509"/>
      <c r="CB91" s="1509"/>
      <c r="CC91" s="1509"/>
      <c r="CD91" s="1509"/>
      <c r="CE91" s="1509"/>
      <c r="CF91" s="1509"/>
      <c r="CG91" s="1509"/>
      <c r="CH91" s="1509"/>
      <c r="CI91" s="1509"/>
      <c r="CJ91" s="1509"/>
      <c r="CK91" s="1509"/>
      <c r="CL91" s="1509"/>
      <c r="CM91" s="1509"/>
      <c r="CN91" s="1509"/>
      <c r="CO91" s="1509"/>
      <c r="CP91" s="1509"/>
      <c r="CQ91" s="1509"/>
      <c r="CR91" s="1509"/>
      <c r="CS91" s="1509"/>
      <c r="CT91" s="1509"/>
      <c r="CU91" s="1509"/>
      <c r="CV91" s="1509"/>
      <c r="CW91" s="1509"/>
      <c r="CX91" s="1509"/>
      <c r="CY91" s="1509"/>
      <c r="CZ91" s="1509"/>
      <c r="DA91" s="1509"/>
      <c r="DB91" s="1509"/>
      <c r="DC91" s="1509"/>
      <c r="DD91" s="1509"/>
      <c r="DE91" s="1509"/>
      <c r="DF91" s="1509"/>
      <c r="DG91" s="1509"/>
      <c r="DH91" s="1509"/>
      <c r="DI91" s="1509"/>
      <c r="DJ91" s="1509"/>
      <c r="DK91" s="1509"/>
      <c r="DL91" s="1509"/>
      <c r="DM91" s="1509"/>
      <c r="DN91" s="1509"/>
      <c r="DO91" s="1509"/>
      <c r="DP91" s="1509"/>
      <c r="DQ91" s="1509"/>
      <c r="DR91" s="1509"/>
      <c r="DS91" s="1509"/>
      <c r="DT91" s="1509"/>
      <c r="DU91" s="1509"/>
      <c r="DV91" s="1509"/>
      <c r="DW91" s="1509"/>
      <c r="DX91" s="1509"/>
      <c r="DY91" s="1509"/>
      <c r="DZ91" s="1509"/>
      <c r="EA91" s="1509"/>
      <c r="EB91" s="1509"/>
      <c r="EC91" s="1509"/>
      <c r="ED91" s="1509"/>
      <c r="EE91" s="1509"/>
      <c r="EF91" s="1509"/>
      <c r="EG91" s="1509"/>
      <c r="EH91" s="1509"/>
      <c r="EI91" s="1509"/>
      <c r="EJ91" s="1509"/>
      <c r="EK91" s="1509"/>
      <c r="EL91" s="1509"/>
      <c r="EM91" s="1509"/>
      <c r="EN91" s="1509"/>
      <c r="EO91" s="1509"/>
      <c r="EP91" s="1509"/>
      <c r="EQ91" s="1509"/>
      <c r="ER91" s="1509"/>
      <c r="ES91" s="1509"/>
      <c r="ET91" s="1509"/>
      <c r="EU91" s="1509"/>
      <c r="EV91" s="1509"/>
      <c r="EW91" s="1509"/>
      <c r="EX91" s="1509"/>
      <c r="EY91" s="1509"/>
      <c r="EZ91" s="1509"/>
      <c r="FA91" s="1509"/>
      <c r="FB91" s="1509"/>
      <c r="FC91" s="1509"/>
      <c r="FD91" s="1509"/>
      <c r="FE91" s="1509"/>
      <c r="FF91" s="1509"/>
      <c r="FG91" s="1509"/>
      <c r="FH91" s="1509"/>
      <c r="FI91" s="1509"/>
      <c r="FJ91" s="1509"/>
      <c r="FK91" s="1509"/>
      <c r="FL91" s="1509"/>
      <c r="FM91" s="1509"/>
      <c r="FN91" s="1509"/>
      <c r="FO91" s="1509"/>
      <c r="FP91" s="1509"/>
      <c r="FQ91" s="1509"/>
      <c r="FR91" s="1509"/>
      <c r="FS91" s="1509"/>
      <c r="FT91" s="1509"/>
      <c r="FU91" s="1509"/>
      <c r="FV91" s="1509"/>
      <c r="FW91" s="1509"/>
      <c r="FX91" s="1509"/>
      <c r="FY91" s="1509"/>
      <c r="FZ91" s="1509"/>
      <c r="GA91" s="1509"/>
      <c r="GB91" s="1509"/>
      <c r="GC91" s="1509"/>
      <c r="GD91" s="1509"/>
      <c r="GE91" s="1509"/>
      <c r="GF91" s="1509"/>
      <c r="GG91" s="1509"/>
      <c r="GH91" s="1509"/>
      <c r="GI91" s="1509"/>
      <c r="GJ91" s="1509"/>
      <c r="GK91" s="1509"/>
      <c r="GL91" s="1509"/>
      <c r="GM91" s="1509"/>
      <c r="GN91" s="1509"/>
      <c r="GO91" s="1509"/>
      <c r="GP91" s="1509"/>
      <c r="GQ91" s="1509"/>
      <c r="GR91" s="1509"/>
      <c r="GS91" s="1509"/>
      <c r="GT91" s="1509"/>
    </row>
    <row r="92" spans="1:202" s="4665" customFormat="1" ht="17.100000000000001" customHeight="1">
      <c r="C92" s="4678"/>
      <c r="D92" s="4676"/>
      <c r="E92" s="787"/>
      <c r="F92" s="4677"/>
      <c r="G92" s="4677"/>
      <c r="H92" s="4677"/>
      <c r="I92" s="4677"/>
      <c r="J92" s="4677"/>
      <c r="K92" s="4677"/>
      <c r="L92" s="4677"/>
      <c r="M92" s="4677"/>
      <c r="N92" s="4677"/>
      <c r="O92" s="4677"/>
      <c r="P92" s="4677"/>
      <c r="Q92" s="4677"/>
      <c r="R92" s="4677"/>
      <c r="S92" s="4677"/>
      <c r="T92" s="4677"/>
      <c r="U92" s="4677"/>
      <c r="V92" s="4677"/>
      <c r="W92" s="1509"/>
      <c r="X92" s="1509"/>
      <c r="Y92" s="1509"/>
      <c r="Z92" s="1509"/>
      <c r="AA92" s="1509"/>
      <c r="AB92" s="1509"/>
      <c r="AC92" s="1509"/>
      <c r="AD92" s="1509"/>
      <c r="AE92" s="1509"/>
      <c r="AF92" s="1509"/>
      <c r="AG92" s="1509"/>
      <c r="AH92" s="1509"/>
      <c r="AI92" s="1509"/>
      <c r="AJ92" s="1509"/>
      <c r="AK92" s="1509"/>
      <c r="AL92" s="1509"/>
      <c r="AM92" s="1509"/>
      <c r="AN92" s="1509"/>
      <c r="AO92" s="1509"/>
      <c r="AP92" s="1509"/>
      <c r="AQ92" s="1509"/>
      <c r="AR92" s="1509"/>
      <c r="AS92" s="1509"/>
      <c r="AT92" s="1509"/>
      <c r="AU92" s="1509"/>
      <c r="AV92" s="1509"/>
      <c r="AW92" s="1509"/>
      <c r="AX92" s="1509"/>
      <c r="AY92" s="1509"/>
      <c r="AZ92" s="1509"/>
      <c r="BA92" s="1509"/>
      <c r="BB92" s="1509"/>
      <c r="BC92" s="1509"/>
      <c r="BD92" s="1509"/>
      <c r="BE92" s="1509"/>
      <c r="BF92" s="1509"/>
      <c r="BG92" s="1509"/>
      <c r="BH92" s="1509"/>
      <c r="BI92" s="1509"/>
      <c r="BJ92" s="1509"/>
      <c r="BK92" s="1509"/>
      <c r="BL92" s="1509"/>
      <c r="BM92" s="1509"/>
      <c r="BN92" s="1509"/>
      <c r="BO92" s="1509"/>
      <c r="BP92" s="1509"/>
      <c r="BQ92" s="1509"/>
      <c r="BR92" s="1509"/>
      <c r="BS92" s="1509"/>
      <c r="BT92" s="1509"/>
      <c r="BU92" s="1509"/>
      <c r="BV92" s="1509"/>
      <c r="BW92" s="1509"/>
      <c r="BX92" s="1509"/>
      <c r="BY92" s="1509"/>
      <c r="BZ92" s="1509"/>
      <c r="CA92" s="1509"/>
      <c r="CB92" s="1509"/>
      <c r="CC92" s="1509"/>
      <c r="CD92" s="1509"/>
      <c r="CE92" s="1509"/>
      <c r="CF92" s="1509"/>
      <c r="CG92" s="1509"/>
      <c r="CH92" s="1509"/>
      <c r="CI92" s="1509"/>
      <c r="CJ92" s="1509"/>
      <c r="CK92" s="1509"/>
      <c r="CL92" s="1509"/>
      <c r="CM92" s="1509"/>
      <c r="CN92" s="1509"/>
      <c r="CO92" s="1509"/>
      <c r="CP92" s="1509"/>
      <c r="CQ92" s="1509"/>
      <c r="CR92" s="1509"/>
      <c r="CS92" s="1509"/>
      <c r="CT92" s="1509"/>
      <c r="CU92" s="1509"/>
      <c r="CV92" s="1509"/>
      <c r="CW92" s="1509"/>
      <c r="CX92" s="1509"/>
      <c r="CY92" s="1509"/>
      <c r="CZ92" s="1509"/>
      <c r="DA92" s="1509"/>
      <c r="DB92" s="1509"/>
      <c r="DC92" s="1509"/>
      <c r="DD92" s="1509"/>
      <c r="DE92" s="1509"/>
      <c r="DF92" s="1509"/>
      <c r="DG92" s="1509"/>
      <c r="DH92" s="1509"/>
      <c r="DI92" s="1509"/>
      <c r="DJ92" s="1509"/>
      <c r="DK92" s="1509"/>
      <c r="DL92" s="1509"/>
      <c r="DM92" s="1509"/>
      <c r="DN92" s="1509"/>
      <c r="DO92" s="1509"/>
      <c r="DP92" s="1509"/>
      <c r="DQ92" s="1509"/>
      <c r="DR92" s="1509"/>
      <c r="DS92" s="1509"/>
      <c r="DT92" s="1509"/>
      <c r="DU92" s="1509"/>
      <c r="DV92" s="1509"/>
      <c r="DW92" s="1509"/>
      <c r="DX92" s="1509"/>
      <c r="DY92" s="1509"/>
      <c r="DZ92" s="1509"/>
      <c r="EA92" s="1509"/>
      <c r="EB92" s="1509"/>
      <c r="EC92" s="1509"/>
      <c r="ED92" s="1509"/>
      <c r="EE92" s="1509"/>
      <c r="EF92" s="1509"/>
      <c r="EG92" s="1509"/>
      <c r="EH92" s="1509"/>
      <c r="EI92" s="1509"/>
      <c r="EJ92" s="1509"/>
      <c r="EK92" s="1509"/>
      <c r="EL92" s="1509"/>
      <c r="EM92" s="1509"/>
      <c r="EN92" s="1509"/>
      <c r="EO92" s="1509"/>
      <c r="EP92" s="1509"/>
      <c r="EQ92" s="1509"/>
      <c r="ER92" s="1509"/>
      <c r="ES92" s="1509"/>
      <c r="ET92" s="1509"/>
      <c r="EU92" s="1509"/>
      <c r="EV92" s="1509"/>
      <c r="EW92" s="1509"/>
      <c r="EX92" s="1509"/>
      <c r="EY92" s="1509"/>
      <c r="EZ92" s="1509"/>
      <c r="FA92" s="1509"/>
      <c r="FB92" s="1509"/>
      <c r="FC92" s="1509"/>
      <c r="FD92" s="1509"/>
      <c r="FE92" s="1509"/>
      <c r="FF92" s="1509"/>
      <c r="FG92" s="1509"/>
      <c r="FH92" s="1509"/>
      <c r="FI92" s="1509"/>
      <c r="FJ92" s="1509"/>
      <c r="FK92" s="1509"/>
      <c r="FL92" s="1509"/>
      <c r="FM92" s="1509"/>
      <c r="FN92" s="1509"/>
      <c r="FO92" s="1509"/>
      <c r="FP92" s="1509"/>
      <c r="FQ92" s="1509"/>
      <c r="FR92" s="1509"/>
      <c r="FS92" s="1509"/>
      <c r="FT92" s="1509"/>
      <c r="FU92" s="1509"/>
      <c r="FV92" s="1509"/>
      <c r="FW92" s="1509"/>
      <c r="FX92" s="1509"/>
      <c r="FY92" s="1509"/>
      <c r="FZ92" s="1509"/>
      <c r="GA92" s="1509"/>
      <c r="GB92" s="1509"/>
      <c r="GC92" s="1509"/>
      <c r="GD92" s="1509"/>
      <c r="GE92" s="1509"/>
      <c r="GF92" s="1509"/>
      <c r="GG92" s="1509"/>
      <c r="GH92" s="1509"/>
      <c r="GI92" s="1509"/>
      <c r="GJ92" s="1509"/>
      <c r="GK92" s="1509"/>
      <c r="GL92" s="1509"/>
      <c r="GM92" s="1509"/>
      <c r="GN92" s="1509"/>
      <c r="GO92" s="1509"/>
      <c r="GP92" s="1509"/>
      <c r="GQ92" s="1509"/>
      <c r="GR92" s="1509"/>
      <c r="GS92" s="1509"/>
      <c r="GT92" s="1509"/>
    </row>
    <row r="93" spans="1:202" s="4665" customFormat="1" ht="17.100000000000001" customHeight="1">
      <c r="C93" s="4678"/>
      <c r="D93" s="4676"/>
      <c r="E93" s="787"/>
      <c r="F93" s="4677"/>
      <c r="G93" s="4677"/>
      <c r="H93" s="4677"/>
      <c r="I93" s="4677"/>
      <c r="J93" s="4677"/>
      <c r="K93" s="4677"/>
      <c r="L93" s="4677"/>
      <c r="M93" s="4677"/>
      <c r="N93" s="4677"/>
      <c r="O93" s="4677"/>
      <c r="P93" s="4677"/>
      <c r="Q93" s="4677"/>
      <c r="R93" s="4677"/>
      <c r="S93" s="4677"/>
      <c r="T93" s="4677"/>
      <c r="U93" s="4677"/>
      <c r="V93" s="4677"/>
      <c r="W93" s="1509"/>
      <c r="X93" s="1509"/>
      <c r="Y93" s="1509"/>
      <c r="Z93" s="1509"/>
      <c r="AA93" s="1509"/>
      <c r="AB93" s="1509"/>
      <c r="AC93" s="1509"/>
      <c r="AD93" s="1509"/>
      <c r="AE93" s="1509"/>
      <c r="AF93" s="1509"/>
      <c r="AG93" s="1509"/>
      <c r="AH93" s="1509"/>
      <c r="AI93" s="1509"/>
      <c r="AJ93" s="1509"/>
      <c r="AK93" s="1509"/>
      <c r="AL93" s="1509"/>
      <c r="AM93" s="1509"/>
      <c r="AN93" s="1509"/>
      <c r="AO93" s="1509"/>
      <c r="AP93" s="1509"/>
      <c r="AQ93" s="1509"/>
      <c r="AR93" s="1509"/>
      <c r="AS93" s="1509"/>
      <c r="AT93" s="1509"/>
      <c r="AU93" s="1509"/>
      <c r="AV93" s="1509"/>
      <c r="AW93" s="1509"/>
      <c r="AX93" s="1509"/>
      <c r="AY93" s="1509"/>
      <c r="AZ93" s="1509"/>
      <c r="BA93" s="1509"/>
      <c r="BB93" s="1509"/>
      <c r="BC93" s="1509"/>
      <c r="BD93" s="1509"/>
      <c r="BE93" s="1509"/>
      <c r="BF93" s="1509"/>
      <c r="BG93" s="1509"/>
      <c r="BH93" s="1509"/>
      <c r="BI93" s="1509"/>
      <c r="BJ93" s="1509"/>
      <c r="BK93" s="1509"/>
      <c r="BL93" s="1509"/>
      <c r="BM93" s="1509"/>
      <c r="BN93" s="1509"/>
      <c r="BO93" s="1509"/>
      <c r="BP93" s="1509"/>
      <c r="BQ93" s="1509"/>
      <c r="BR93" s="1509"/>
      <c r="BS93" s="1509"/>
      <c r="BT93" s="1509"/>
      <c r="BU93" s="1509"/>
      <c r="BV93" s="1509"/>
      <c r="BW93" s="1509"/>
      <c r="BX93" s="1509"/>
      <c r="BY93" s="1509"/>
      <c r="BZ93" s="1509"/>
      <c r="CA93" s="1509"/>
      <c r="CB93" s="1509"/>
      <c r="CC93" s="1509"/>
      <c r="CD93" s="1509"/>
      <c r="CE93" s="1509"/>
      <c r="CF93" s="1509"/>
      <c r="CG93" s="1509"/>
      <c r="CH93" s="1509"/>
      <c r="CI93" s="1509"/>
      <c r="CJ93" s="1509"/>
      <c r="CK93" s="1509"/>
      <c r="CL93" s="1509"/>
      <c r="CM93" s="1509"/>
      <c r="CN93" s="1509"/>
      <c r="CO93" s="1509"/>
      <c r="CP93" s="1509"/>
      <c r="CQ93" s="1509"/>
      <c r="CR93" s="1509"/>
      <c r="CS93" s="1509"/>
      <c r="CT93" s="1509"/>
      <c r="CU93" s="1509"/>
      <c r="CV93" s="1509"/>
      <c r="CW93" s="1509"/>
      <c r="CX93" s="1509"/>
      <c r="CY93" s="1509"/>
      <c r="CZ93" s="1509"/>
      <c r="DA93" s="1509"/>
      <c r="DB93" s="1509"/>
      <c r="DC93" s="1509"/>
      <c r="DD93" s="1509"/>
      <c r="DE93" s="1509"/>
      <c r="DF93" s="1509"/>
      <c r="DG93" s="1509"/>
      <c r="DH93" s="1509"/>
      <c r="DI93" s="1509"/>
      <c r="DJ93" s="1509"/>
      <c r="DK93" s="1509"/>
      <c r="DL93" s="1509"/>
      <c r="DM93" s="1509"/>
      <c r="DN93" s="1509"/>
      <c r="DO93" s="1509"/>
      <c r="DP93" s="1509"/>
      <c r="DQ93" s="1509"/>
      <c r="DR93" s="1509"/>
      <c r="DS93" s="1509"/>
      <c r="DT93" s="1509"/>
      <c r="DU93" s="1509"/>
      <c r="DV93" s="1509"/>
      <c r="DW93" s="1509"/>
      <c r="DX93" s="1509"/>
      <c r="DY93" s="1509"/>
      <c r="DZ93" s="1509"/>
      <c r="EA93" s="1509"/>
      <c r="EB93" s="1509"/>
      <c r="EC93" s="1509"/>
      <c r="ED93" s="1509"/>
      <c r="EE93" s="1509"/>
      <c r="EF93" s="1509"/>
      <c r="EG93" s="1509"/>
      <c r="EH93" s="1509"/>
      <c r="EI93" s="1509"/>
      <c r="EJ93" s="1509"/>
      <c r="EK93" s="1509"/>
      <c r="EL93" s="1509"/>
      <c r="EM93" s="1509"/>
      <c r="EN93" s="1509"/>
      <c r="EO93" s="1509"/>
      <c r="EP93" s="1509"/>
      <c r="EQ93" s="1509"/>
      <c r="ER93" s="1509"/>
      <c r="ES93" s="1509"/>
      <c r="ET93" s="1509"/>
      <c r="EU93" s="1509"/>
      <c r="EV93" s="1509"/>
      <c r="EW93" s="1509"/>
      <c r="EX93" s="1509"/>
      <c r="EY93" s="1509"/>
      <c r="EZ93" s="1509"/>
      <c r="FA93" s="1509"/>
      <c r="FB93" s="1509"/>
      <c r="FC93" s="1509"/>
      <c r="FD93" s="1509"/>
      <c r="FE93" s="1509"/>
      <c r="FF93" s="1509"/>
      <c r="FG93" s="1509"/>
      <c r="FH93" s="1509"/>
      <c r="FI93" s="1509"/>
      <c r="FJ93" s="1509"/>
      <c r="FK93" s="1509"/>
      <c r="FL93" s="1509"/>
      <c r="FM93" s="1509"/>
      <c r="FN93" s="1509"/>
      <c r="FO93" s="1509"/>
      <c r="FP93" s="1509"/>
      <c r="FQ93" s="1509"/>
      <c r="FR93" s="1509"/>
      <c r="FS93" s="1509"/>
      <c r="FT93" s="1509"/>
      <c r="FU93" s="1509"/>
      <c r="FV93" s="1509"/>
      <c r="FW93" s="1509"/>
      <c r="FX93" s="1509"/>
      <c r="FY93" s="1509"/>
      <c r="FZ93" s="1509"/>
      <c r="GA93" s="1509"/>
      <c r="GB93" s="1509"/>
      <c r="GC93" s="1509"/>
      <c r="GD93" s="1509"/>
      <c r="GE93" s="1509"/>
      <c r="GF93" s="1509"/>
      <c r="GG93" s="1509"/>
      <c r="GH93" s="1509"/>
      <c r="GI93" s="1509"/>
      <c r="GJ93" s="1509"/>
      <c r="GK93" s="1509"/>
      <c r="GL93" s="1509"/>
      <c r="GM93" s="1509"/>
      <c r="GN93" s="1509"/>
      <c r="GO93" s="1509"/>
      <c r="GP93" s="1509"/>
      <c r="GQ93" s="1509"/>
      <c r="GR93" s="1509"/>
      <c r="GS93" s="1509"/>
      <c r="GT93" s="1509"/>
    </row>
    <row r="94" spans="1:202" s="4665" customFormat="1" ht="17.100000000000001" customHeight="1">
      <c r="C94" s="4678"/>
      <c r="D94" s="4676"/>
      <c r="E94" s="787"/>
      <c r="F94" s="4677"/>
      <c r="G94" s="4677"/>
      <c r="H94" s="4677"/>
      <c r="I94" s="4677"/>
      <c r="J94" s="4677"/>
      <c r="K94" s="4677"/>
      <c r="L94" s="4677"/>
      <c r="M94" s="4677"/>
      <c r="N94" s="4677"/>
      <c r="O94" s="4677"/>
      <c r="P94" s="4677"/>
      <c r="Q94" s="4677"/>
      <c r="R94" s="4677"/>
      <c r="S94" s="4677"/>
      <c r="T94" s="4677"/>
      <c r="U94" s="4677"/>
      <c r="V94" s="4677"/>
      <c r="W94" s="1509"/>
      <c r="X94" s="1509"/>
      <c r="Y94" s="1509"/>
      <c r="Z94" s="644"/>
      <c r="AA94" s="1509"/>
      <c r="AB94" s="1509"/>
      <c r="AC94" s="1509"/>
      <c r="AD94" s="1509"/>
      <c r="AE94" s="1509"/>
      <c r="AF94" s="1509"/>
      <c r="AG94" s="1509"/>
      <c r="AH94" s="1509"/>
      <c r="AI94" s="1509"/>
      <c r="AJ94" s="1509"/>
      <c r="AK94" s="1509"/>
      <c r="AL94" s="1509"/>
      <c r="AM94" s="1509"/>
      <c r="AN94" s="1509"/>
      <c r="AO94" s="1509"/>
      <c r="AP94" s="1509"/>
      <c r="AQ94" s="1509"/>
      <c r="AR94" s="1509"/>
      <c r="AS94" s="1509"/>
      <c r="AT94" s="1509"/>
      <c r="AU94" s="1509"/>
      <c r="AV94" s="1509"/>
      <c r="AW94" s="1509"/>
      <c r="AX94" s="1509"/>
      <c r="AY94" s="1509"/>
      <c r="AZ94" s="1509"/>
      <c r="BA94" s="1509"/>
      <c r="BB94" s="1509"/>
      <c r="BC94" s="1509"/>
      <c r="BD94" s="1509"/>
      <c r="BE94" s="1509"/>
      <c r="BF94" s="1509"/>
      <c r="BG94" s="1509"/>
      <c r="BH94" s="1509"/>
      <c r="BI94" s="1509"/>
      <c r="BJ94" s="1509"/>
      <c r="BK94" s="1509"/>
      <c r="BL94" s="1509"/>
      <c r="BM94" s="1509"/>
      <c r="BN94" s="1509"/>
      <c r="BO94" s="1509"/>
      <c r="BP94" s="1509"/>
      <c r="BQ94" s="1509"/>
      <c r="BR94" s="1509"/>
      <c r="BS94" s="1509"/>
      <c r="BT94" s="1509"/>
      <c r="BU94" s="1509"/>
      <c r="BV94" s="1509"/>
      <c r="BW94" s="1509"/>
      <c r="BX94" s="1509"/>
      <c r="BY94" s="1509"/>
      <c r="BZ94" s="1509"/>
      <c r="CA94" s="1509"/>
      <c r="CB94" s="1509"/>
      <c r="CC94" s="1509"/>
      <c r="CD94" s="1509"/>
      <c r="CE94" s="1509"/>
      <c r="CF94" s="1509"/>
      <c r="CG94" s="1509"/>
      <c r="CH94" s="1509"/>
      <c r="CI94" s="1509"/>
      <c r="CJ94" s="1509"/>
      <c r="CK94" s="1509"/>
      <c r="CL94" s="1509"/>
      <c r="CM94" s="1509"/>
      <c r="CN94" s="1509"/>
      <c r="CO94" s="1509"/>
      <c r="CP94" s="1509"/>
      <c r="CQ94" s="1509"/>
      <c r="CR94" s="1509"/>
      <c r="CS94" s="1509"/>
      <c r="CT94" s="1509"/>
      <c r="CU94" s="1509"/>
      <c r="CV94" s="1509"/>
      <c r="CW94" s="1509"/>
      <c r="CX94" s="1509"/>
      <c r="CY94" s="1509"/>
      <c r="CZ94" s="1509"/>
      <c r="DA94" s="1509"/>
      <c r="DB94" s="1509"/>
      <c r="DC94" s="1509"/>
      <c r="DD94" s="1509"/>
      <c r="DE94" s="1509"/>
      <c r="DF94" s="1509"/>
      <c r="DG94" s="1509"/>
      <c r="DH94" s="1509"/>
      <c r="DI94" s="1509"/>
      <c r="DJ94" s="1509"/>
      <c r="DK94" s="1509"/>
      <c r="DL94" s="1509"/>
      <c r="DM94" s="1509"/>
      <c r="DN94" s="1509"/>
      <c r="DO94" s="1509"/>
      <c r="DP94" s="1509"/>
      <c r="DQ94" s="1509"/>
      <c r="DR94" s="1509"/>
      <c r="DS94" s="1509"/>
      <c r="DT94" s="1509"/>
      <c r="DU94" s="1509"/>
      <c r="DV94" s="1509"/>
      <c r="DW94" s="1509"/>
      <c r="DX94" s="1509"/>
      <c r="DY94" s="1509"/>
      <c r="DZ94" s="1509"/>
      <c r="EA94" s="1509"/>
      <c r="EB94" s="1509"/>
      <c r="EC94" s="1509"/>
      <c r="ED94" s="1509"/>
      <c r="EE94" s="1509"/>
      <c r="EF94" s="1509"/>
      <c r="EG94" s="1509"/>
      <c r="EH94" s="1509"/>
      <c r="EI94" s="1509"/>
      <c r="EJ94" s="1509"/>
      <c r="EK94" s="1509"/>
      <c r="EL94" s="1509"/>
      <c r="EM94" s="1509"/>
      <c r="EN94" s="1509"/>
      <c r="EO94" s="1509"/>
      <c r="EP94" s="1509"/>
      <c r="EQ94" s="1509"/>
      <c r="ER94" s="1509"/>
      <c r="ES94" s="1509"/>
      <c r="ET94" s="1509"/>
      <c r="EU94" s="1509"/>
      <c r="EV94" s="1509"/>
      <c r="EW94" s="1509"/>
      <c r="EX94" s="1509"/>
      <c r="EY94" s="1509"/>
      <c r="EZ94" s="1509"/>
      <c r="FA94" s="1509"/>
      <c r="FB94" s="1509"/>
      <c r="FC94" s="1509"/>
      <c r="FD94" s="1509"/>
      <c r="FE94" s="1509"/>
      <c r="FF94" s="1509"/>
      <c r="FG94" s="1509"/>
      <c r="FH94" s="1509"/>
      <c r="FI94" s="1509"/>
      <c r="FJ94" s="1509"/>
      <c r="FK94" s="1509"/>
      <c r="FL94" s="1509"/>
      <c r="FM94" s="1509"/>
      <c r="FN94" s="1509"/>
      <c r="FO94" s="1509"/>
      <c r="FP94" s="1509"/>
      <c r="FQ94" s="1509"/>
      <c r="FR94" s="1509"/>
      <c r="FS94" s="1509"/>
      <c r="FT94" s="1509"/>
      <c r="FU94" s="1509"/>
      <c r="FV94" s="1509"/>
      <c r="FW94" s="1509"/>
      <c r="FX94" s="1509"/>
      <c r="FY94" s="1509"/>
      <c r="FZ94" s="1509"/>
      <c r="GA94" s="1509"/>
      <c r="GB94" s="1509"/>
      <c r="GC94" s="1509"/>
      <c r="GD94" s="1509"/>
      <c r="GE94" s="1509"/>
      <c r="GF94" s="1509"/>
      <c r="GG94" s="1509"/>
      <c r="GH94" s="1509"/>
      <c r="GI94" s="1509"/>
      <c r="GJ94" s="1509"/>
      <c r="GK94" s="1509"/>
      <c r="GL94" s="1509"/>
      <c r="GM94" s="1509"/>
      <c r="GN94" s="1509"/>
      <c r="GO94" s="1509"/>
      <c r="GP94" s="1509"/>
      <c r="GQ94" s="1509"/>
      <c r="GR94" s="1509"/>
      <c r="GS94" s="1509"/>
      <c r="GT94" s="1509"/>
    </row>
    <row r="95" spans="1:202" s="4665" customFormat="1" ht="17.100000000000001" customHeight="1">
      <c r="C95" s="4678"/>
      <c r="D95" s="4676"/>
      <c r="E95" s="787"/>
      <c r="F95" s="4677"/>
      <c r="G95" s="4677"/>
      <c r="H95" s="4677"/>
      <c r="I95" s="4677"/>
      <c r="J95" s="4677"/>
      <c r="K95" s="4677"/>
      <c r="L95" s="4677"/>
      <c r="M95" s="4677"/>
      <c r="N95" s="4677"/>
      <c r="O95" s="4677"/>
      <c r="P95" s="4677"/>
      <c r="Q95" s="4677"/>
      <c r="R95" s="4677"/>
      <c r="S95" s="4677"/>
      <c r="T95" s="4677"/>
      <c r="U95" s="4677"/>
      <c r="V95" s="4677"/>
      <c r="W95" s="1509"/>
      <c r="X95" s="1509"/>
      <c r="Y95" s="1509"/>
      <c r="Z95" s="1509"/>
      <c r="AA95" s="1509"/>
      <c r="AB95" s="1509"/>
      <c r="AC95" s="1509"/>
      <c r="AD95" s="4683"/>
      <c r="AE95" s="4683"/>
      <c r="AF95" s="4683"/>
      <c r="AG95" s="4683"/>
      <c r="AH95" s="4683"/>
      <c r="AI95" s="4683"/>
      <c r="AJ95" s="4683"/>
      <c r="AK95" s="4683"/>
      <c r="AL95" s="4683"/>
      <c r="AM95" s="4683"/>
      <c r="AN95" s="4683"/>
      <c r="AO95" s="4683"/>
      <c r="AP95" s="4683"/>
      <c r="AQ95" s="4683"/>
      <c r="AR95" s="1509"/>
      <c r="AS95" s="1509"/>
      <c r="AT95" s="1509"/>
      <c r="AU95" s="1509"/>
      <c r="AV95" s="1509"/>
      <c r="AW95" s="1509"/>
      <c r="AX95" s="1509"/>
      <c r="AY95" s="1509"/>
      <c r="AZ95" s="1509"/>
      <c r="BA95" s="1509"/>
      <c r="BB95" s="1509"/>
      <c r="BC95" s="1509"/>
      <c r="BD95" s="1509"/>
      <c r="BE95" s="1509"/>
      <c r="BF95" s="1509"/>
      <c r="BG95" s="1509"/>
      <c r="BH95" s="1509"/>
      <c r="BI95" s="1509"/>
      <c r="BJ95" s="1509"/>
      <c r="BK95" s="1509"/>
      <c r="BL95" s="1509"/>
      <c r="BM95" s="1509"/>
      <c r="BN95" s="1509"/>
      <c r="BO95" s="1509"/>
      <c r="BP95" s="1509"/>
      <c r="BQ95" s="1509"/>
      <c r="BR95" s="1509"/>
      <c r="BS95" s="1509"/>
      <c r="BT95" s="1509"/>
      <c r="BU95" s="1509"/>
      <c r="BV95" s="1509"/>
      <c r="BW95" s="1509"/>
      <c r="BX95" s="1509"/>
      <c r="BY95" s="1509"/>
      <c r="BZ95" s="1509"/>
      <c r="CA95" s="1509"/>
      <c r="CB95" s="1509"/>
      <c r="CC95" s="1509"/>
      <c r="CD95" s="1509"/>
      <c r="CE95" s="1509"/>
      <c r="CF95" s="1509"/>
      <c r="CG95" s="1509"/>
      <c r="CH95" s="1509"/>
      <c r="CI95" s="1509"/>
      <c r="CJ95" s="1509"/>
      <c r="CK95" s="1509"/>
      <c r="CL95" s="1509"/>
      <c r="CM95" s="1509"/>
      <c r="CN95" s="1509"/>
      <c r="CO95" s="1509"/>
      <c r="CP95" s="1509"/>
      <c r="CQ95" s="1509"/>
      <c r="CR95" s="1509"/>
      <c r="CS95" s="1509"/>
      <c r="CT95" s="1509"/>
      <c r="CU95" s="1509"/>
      <c r="CV95" s="1509"/>
      <c r="CW95" s="1509"/>
      <c r="CX95" s="1509"/>
      <c r="CY95" s="1509"/>
      <c r="CZ95" s="1509"/>
      <c r="DA95" s="1509"/>
      <c r="DB95" s="1509"/>
      <c r="DC95" s="1509"/>
      <c r="DD95" s="1509"/>
      <c r="DE95" s="1509"/>
      <c r="DF95" s="1509"/>
      <c r="DG95" s="1509"/>
      <c r="DH95" s="1509"/>
      <c r="DI95" s="1509"/>
      <c r="DJ95" s="1509"/>
      <c r="DK95" s="1509"/>
      <c r="DL95" s="1509"/>
      <c r="DM95" s="1509"/>
      <c r="DN95" s="1509"/>
      <c r="DO95" s="1509"/>
      <c r="DP95" s="1509"/>
      <c r="DQ95" s="1509"/>
      <c r="DR95" s="1509"/>
      <c r="DS95" s="1509"/>
      <c r="DT95" s="1509"/>
      <c r="DU95" s="1509"/>
      <c r="DV95" s="1509"/>
      <c r="DW95" s="1509"/>
      <c r="DX95" s="1509"/>
      <c r="DY95" s="1509"/>
      <c r="DZ95" s="1509"/>
      <c r="EA95" s="1509"/>
      <c r="EB95" s="1509"/>
      <c r="EC95" s="1509"/>
      <c r="ED95" s="1509"/>
      <c r="EE95" s="1509"/>
      <c r="EF95" s="1509"/>
      <c r="EG95" s="1509"/>
      <c r="EH95" s="1509"/>
      <c r="EI95" s="1509"/>
      <c r="EJ95" s="1509"/>
      <c r="EK95" s="1509"/>
      <c r="EL95" s="1509"/>
      <c r="EM95" s="1509"/>
      <c r="EN95" s="1509"/>
      <c r="EO95" s="1509"/>
      <c r="EP95" s="1509"/>
      <c r="EQ95" s="1509"/>
      <c r="ER95" s="1509"/>
      <c r="ES95" s="1509"/>
      <c r="ET95" s="1509"/>
      <c r="EU95" s="1509"/>
      <c r="EV95" s="1509"/>
      <c r="EW95" s="1509"/>
      <c r="EX95" s="1509"/>
      <c r="EY95" s="1509"/>
      <c r="EZ95" s="1509"/>
      <c r="FA95" s="1509"/>
      <c r="FB95" s="1509"/>
      <c r="FC95" s="1509"/>
      <c r="FD95" s="1509"/>
      <c r="FE95" s="1509"/>
      <c r="FF95" s="1509"/>
      <c r="FG95" s="1509"/>
      <c r="FH95" s="1509"/>
      <c r="FI95" s="1509"/>
      <c r="FJ95" s="1509"/>
      <c r="FK95" s="1509"/>
      <c r="FL95" s="1509"/>
      <c r="FM95" s="1509"/>
      <c r="FN95" s="1509"/>
      <c r="FO95" s="1509"/>
      <c r="FP95" s="1509"/>
      <c r="FQ95" s="1509"/>
      <c r="FR95" s="1509"/>
      <c r="FS95" s="1509"/>
      <c r="FT95" s="1509"/>
      <c r="FU95" s="1509"/>
      <c r="FV95" s="1509"/>
      <c r="FW95" s="1509"/>
      <c r="FX95" s="1509"/>
      <c r="FY95" s="1509"/>
      <c r="FZ95" s="1509"/>
      <c r="GA95" s="1509"/>
      <c r="GB95" s="1509"/>
      <c r="GC95" s="1509"/>
      <c r="GD95" s="1509"/>
      <c r="GE95" s="1509"/>
      <c r="GF95" s="1509"/>
      <c r="GG95" s="1509"/>
      <c r="GH95" s="1509"/>
      <c r="GI95" s="1509"/>
      <c r="GJ95" s="1509"/>
      <c r="GK95" s="1509"/>
      <c r="GL95" s="1509"/>
      <c r="GM95" s="1509"/>
      <c r="GN95" s="1509"/>
      <c r="GO95" s="1509"/>
      <c r="GP95" s="1509"/>
      <c r="GQ95" s="1509"/>
      <c r="GR95" s="1509"/>
      <c r="GS95" s="1509"/>
      <c r="GT95" s="1509"/>
    </row>
    <row r="96" spans="1:202" s="4665" customFormat="1" ht="17.100000000000001" customHeight="1">
      <c r="D96" s="4676"/>
      <c r="E96" s="787"/>
      <c r="F96" s="4677"/>
      <c r="G96" s="1509"/>
      <c r="H96" s="1509"/>
      <c r="I96" s="1509"/>
      <c r="J96" s="1509"/>
      <c r="K96" s="1509"/>
      <c r="L96" s="1509"/>
      <c r="M96" s="1509"/>
      <c r="N96" s="1509"/>
      <c r="O96" s="1509"/>
      <c r="P96" s="1509"/>
      <c r="Q96" s="1509"/>
      <c r="R96" s="1509"/>
      <c r="S96" s="1509"/>
      <c r="T96" s="1509"/>
      <c r="U96" s="1509"/>
      <c r="V96" s="1509"/>
      <c r="W96" s="1509"/>
      <c r="X96" s="1509"/>
      <c r="Y96" s="1509"/>
      <c r="Z96" s="1509"/>
      <c r="AA96" s="1509"/>
      <c r="AB96" s="1509"/>
      <c r="AC96" s="1509"/>
      <c r="AD96" s="1509"/>
      <c r="AE96" s="1509"/>
      <c r="AF96" s="1509"/>
      <c r="AG96" s="1509"/>
      <c r="AH96" s="1509"/>
      <c r="AI96" s="1509"/>
      <c r="AJ96" s="1509"/>
      <c r="AK96" s="1509"/>
      <c r="AL96" s="1509"/>
      <c r="AM96" s="1509"/>
      <c r="AN96" s="1509"/>
      <c r="AO96" s="1509"/>
      <c r="AP96" s="1509"/>
      <c r="AQ96" s="1509"/>
      <c r="AR96" s="1509"/>
      <c r="AS96" s="1509"/>
      <c r="AT96" s="1509"/>
      <c r="AU96" s="1509"/>
      <c r="AV96" s="1509"/>
      <c r="AW96" s="1509"/>
      <c r="AX96" s="1509"/>
      <c r="AY96" s="1509"/>
      <c r="AZ96" s="1509"/>
      <c r="BA96" s="1509"/>
      <c r="BB96" s="1509"/>
      <c r="BC96" s="1509"/>
      <c r="BD96" s="1509"/>
      <c r="BE96" s="1509"/>
      <c r="BF96" s="1509"/>
      <c r="BG96" s="1509"/>
      <c r="BH96" s="1509"/>
      <c r="BI96" s="1509"/>
      <c r="BJ96" s="1509"/>
      <c r="BK96" s="1509"/>
      <c r="BL96" s="1509"/>
      <c r="BM96" s="1509"/>
      <c r="BN96" s="1509"/>
      <c r="BO96" s="1509"/>
      <c r="BP96" s="1509"/>
      <c r="BQ96" s="1509"/>
      <c r="BR96" s="1509"/>
      <c r="BS96" s="1509"/>
      <c r="BT96" s="1509"/>
      <c r="BU96" s="1509"/>
      <c r="BV96" s="1509"/>
      <c r="BW96" s="1509"/>
      <c r="BX96" s="1509"/>
      <c r="BY96" s="1509"/>
      <c r="BZ96" s="1509"/>
      <c r="CA96" s="1509"/>
      <c r="CB96" s="1509"/>
      <c r="CC96" s="1509"/>
      <c r="CD96" s="1509"/>
      <c r="CE96" s="1509"/>
      <c r="CF96" s="1509"/>
      <c r="CG96" s="1509"/>
      <c r="CH96" s="1509"/>
      <c r="CI96" s="1509"/>
      <c r="CJ96" s="1509"/>
      <c r="CK96" s="1509"/>
      <c r="CL96" s="1509"/>
      <c r="CM96" s="1509"/>
      <c r="CN96" s="1509"/>
      <c r="CO96" s="1509"/>
      <c r="CP96" s="1509"/>
      <c r="CQ96" s="1509"/>
      <c r="CR96" s="1509"/>
      <c r="CS96" s="1509"/>
      <c r="CT96" s="1509"/>
      <c r="CU96" s="1509"/>
      <c r="CV96" s="1509"/>
      <c r="CW96" s="1509"/>
      <c r="CX96" s="1509"/>
      <c r="CY96" s="1509"/>
      <c r="CZ96" s="1509"/>
      <c r="DA96" s="1509"/>
      <c r="DB96" s="1509"/>
      <c r="DC96" s="1509"/>
      <c r="DD96" s="1509"/>
      <c r="DE96" s="1509"/>
      <c r="DF96" s="1509"/>
      <c r="DG96" s="1509"/>
      <c r="DH96" s="1509"/>
      <c r="DI96" s="1509"/>
      <c r="DJ96" s="1509"/>
      <c r="DK96" s="1509"/>
      <c r="DL96" s="1509"/>
      <c r="DM96" s="1509"/>
      <c r="DN96" s="1509"/>
      <c r="DO96" s="1509"/>
      <c r="DP96" s="1509"/>
      <c r="DQ96" s="1509"/>
      <c r="DR96" s="1509"/>
      <c r="DS96" s="1509"/>
      <c r="DT96" s="1509"/>
      <c r="DU96" s="1509"/>
      <c r="DV96" s="1509"/>
      <c r="DW96" s="1509"/>
      <c r="DX96" s="1509"/>
      <c r="DY96" s="1509"/>
      <c r="DZ96" s="1509"/>
      <c r="EA96" s="1509"/>
      <c r="EB96" s="1509"/>
      <c r="EC96" s="1509"/>
      <c r="ED96" s="1509"/>
      <c r="EE96" s="1509"/>
      <c r="EF96" s="1509"/>
      <c r="EG96" s="1509"/>
      <c r="EH96" s="1509"/>
      <c r="EI96" s="1509"/>
      <c r="EJ96" s="1509"/>
      <c r="EK96" s="1509"/>
      <c r="EL96" s="1509"/>
      <c r="EM96" s="1509"/>
      <c r="EN96" s="1509"/>
      <c r="EO96" s="1509"/>
      <c r="EP96" s="1509"/>
      <c r="EQ96" s="1509"/>
      <c r="ER96" s="1509"/>
      <c r="ES96" s="1509"/>
      <c r="ET96" s="1509"/>
      <c r="EU96" s="1509"/>
      <c r="EV96" s="1509"/>
      <c r="EW96" s="1509"/>
      <c r="EX96" s="1509"/>
      <c r="EY96" s="1509"/>
      <c r="EZ96" s="1509"/>
      <c r="FA96" s="1509"/>
      <c r="FB96" s="1509"/>
      <c r="FC96" s="1509"/>
      <c r="FD96" s="1509"/>
      <c r="FE96" s="1509"/>
      <c r="FF96" s="1509"/>
      <c r="FG96" s="1509"/>
      <c r="FH96" s="1509"/>
      <c r="FI96" s="1509"/>
      <c r="FJ96" s="1509"/>
      <c r="FK96" s="1509"/>
      <c r="FL96" s="1509"/>
      <c r="FM96" s="1509"/>
      <c r="FN96" s="1509"/>
      <c r="FO96" s="1509"/>
      <c r="FP96" s="1509"/>
      <c r="FQ96" s="1509"/>
      <c r="FR96" s="1509"/>
      <c r="FS96" s="1509"/>
      <c r="FT96" s="1509"/>
      <c r="FU96" s="1509"/>
      <c r="FV96" s="1509"/>
      <c r="FW96" s="1509"/>
      <c r="FX96" s="1509"/>
      <c r="FY96" s="1509"/>
      <c r="FZ96" s="1509"/>
      <c r="GA96" s="1509"/>
      <c r="GB96" s="1509"/>
      <c r="GC96" s="1509"/>
      <c r="GD96" s="1509"/>
      <c r="GE96" s="1509"/>
      <c r="GF96" s="1509"/>
      <c r="GG96" s="1509"/>
      <c r="GH96" s="1509"/>
      <c r="GI96" s="1509"/>
      <c r="GJ96" s="1509"/>
      <c r="GK96" s="1509"/>
      <c r="GL96" s="1509"/>
      <c r="GM96" s="1509"/>
      <c r="GN96" s="1509"/>
      <c r="GO96" s="1509"/>
      <c r="GP96" s="1509"/>
      <c r="GQ96" s="1509"/>
      <c r="GR96" s="1509"/>
      <c r="GS96" s="1509"/>
      <c r="GT96" s="1509"/>
    </row>
    <row r="97" spans="3:202" s="4665" customFormat="1" ht="17.100000000000001" customHeight="1">
      <c r="C97" s="4678"/>
      <c r="D97" s="4676"/>
      <c r="E97" s="4672"/>
      <c r="F97" s="4677"/>
      <c r="G97" s="4677"/>
      <c r="H97" s="4677"/>
      <c r="I97" s="4677"/>
      <c r="J97" s="4677"/>
      <c r="K97" s="4677"/>
      <c r="L97" s="4677"/>
      <c r="M97" s="4677"/>
      <c r="N97" s="4677"/>
      <c r="O97" s="4677"/>
      <c r="P97" s="4677"/>
      <c r="Q97" s="4677"/>
      <c r="R97" s="4677"/>
      <c r="S97" s="4677"/>
      <c r="T97" s="4677"/>
      <c r="U97" s="4677"/>
      <c r="V97" s="4677"/>
      <c r="W97" s="1509"/>
      <c r="X97" s="1509"/>
      <c r="Y97" s="1509"/>
      <c r="Z97" s="1509"/>
      <c r="AA97" s="1509"/>
      <c r="AB97" s="1509"/>
      <c r="AC97" s="1509"/>
      <c r="AD97" s="1509"/>
      <c r="AE97" s="1509"/>
      <c r="AF97" s="1509"/>
      <c r="AG97" s="1509"/>
      <c r="AH97" s="1509"/>
      <c r="AI97" s="1509"/>
      <c r="AJ97" s="1509"/>
      <c r="AK97" s="1509"/>
      <c r="AL97" s="1509"/>
      <c r="AM97" s="1509"/>
      <c r="AN97" s="1509"/>
      <c r="AO97" s="1509"/>
      <c r="AP97" s="1509"/>
      <c r="AQ97" s="1509"/>
      <c r="AR97" s="1509"/>
      <c r="AS97" s="1509"/>
      <c r="AT97" s="1509"/>
      <c r="AU97" s="1509"/>
      <c r="AV97" s="1509"/>
      <c r="AW97" s="1509"/>
      <c r="AX97" s="1509"/>
      <c r="AY97" s="1509"/>
      <c r="AZ97" s="1509"/>
      <c r="BA97" s="1509"/>
      <c r="BB97" s="1509"/>
      <c r="BC97" s="1509"/>
      <c r="BD97" s="1509"/>
      <c r="BE97" s="1509"/>
      <c r="BF97" s="1509"/>
      <c r="BG97" s="1509"/>
      <c r="BH97" s="1509"/>
      <c r="BI97" s="1509"/>
      <c r="BJ97" s="1509"/>
      <c r="BK97" s="1509"/>
      <c r="BL97" s="1509"/>
      <c r="BM97" s="1509"/>
      <c r="BN97" s="1509"/>
      <c r="BO97" s="1509"/>
      <c r="BP97" s="1509"/>
      <c r="BQ97" s="1509"/>
      <c r="BR97" s="1509"/>
      <c r="BS97" s="1509"/>
      <c r="BT97" s="1509"/>
      <c r="BU97" s="1509"/>
      <c r="BV97" s="1509"/>
      <c r="BW97" s="1509"/>
      <c r="BX97" s="1509"/>
      <c r="BY97" s="1509"/>
      <c r="BZ97" s="1509"/>
      <c r="CA97" s="1509"/>
      <c r="CB97" s="1509"/>
      <c r="CC97" s="1509"/>
      <c r="CD97" s="1509"/>
      <c r="CE97" s="1509"/>
      <c r="CF97" s="1509"/>
      <c r="CG97" s="1509"/>
      <c r="CH97" s="1509"/>
      <c r="CI97" s="1509"/>
      <c r="CJ97" s="1509"/>
      <c r="CK97" s="1509"/>
      <c r="CL97" s="1509"/>
      <c r="CM97" s="1509"/>
      <c r="CN97" s="1509"/>
      <c r="CO97" s="1509"/>
      <c r="CP97" s="1509"/>
      <c r="CQ97" s="1509"/>
      <c r="CR97" s="1509"/>
      <c r="CS97" s="1509"/>
      <c r="CT97" s="1509"/>
      <c r="CU97" s="1509"/>
      <c r="CV97" s="1509"/>
      <c r="CW97" s="1509"/>
      <c r="CX97" s="1509"/>
      <c r="CY97" s="1509"/>
      <c r="CZ97" s="1509"/>
      <c r="DA97" s="1509"/>
      <c r="DB97" s="1509"/>
      <c r="DC97" s="1509"/>
      <c r="DD97" s="1509"/>
      <c r="DE97" s="1509"/>
      <c r="DF97" s="1509"/>
      <c r="DG97" s="1509"/>
      <c r="DH97" s="1509"/>
      <c r="DI97" s="1509"/>
      <c r="DJ97" s="1509"/>
      <c r="DK97" s="1509"/>
      <c r="DL97" s="1509"/>
      <c r="DM97" s="1509"/>
      <c r="DN97" s="1509"/>
      <c r="DO97" s="1509"/>
      <c r="DP97" s="1509"/>
      <c r="DQ97" s="1509"/>
      <c r="DR97" s="1509"/>
      <c r="DS97" s="1509"/>
      <c r="DT97" s="1509"/>
      <c r="DU97" s="1509"/>
      <c r="DV97" s="1509"/>
      <c r="DW97" s="1509"/>
      <c r="DX97" s="1509"/>
      <c r="DY97" s="1509"/>
      <c r="DZ97" s="1509"/>
      <c r="EA97" s="1509"/>
      <c r="EB97" s="1509"/>
      <c r="EC97" s="1509"/>
      <c r="ED97" s="1509"/>
      <c r="EE97" s="1509"/>
      <c r="EF97" s="1509"/>
      <c r="EG97" s="1509"/>
      <c r="EH97" s="1509"/>
      <c r="EI97" s="1509"/>
      <c r="EJ97" s="1509"/>
      <c r="EK97" s="1509"/>
      <c r="EL97" s="1509"/>
      <c r="EM97" s="1509"/>
      <c r="EN97" s="1509"/>
      <c r="EO97" s="1509"/>
      <c r="EP97" s="1509"/>
      <c r="EQ97" s="1509"/>
      <c r="ER97" s="1509"/>
      <c r="ES97" s="1509"/>
      <c r="ET97" s="1509"/>
      <c r="EU97" s="1509"/>
      <c r="EV97" s="1509"/>
      <c r="EW97" s="1509"/>
      <c r="EX97" s="1509"/>
      <c r="EY97" s="1509"/>
      <c r="EZ97" s="1509"/>
      <c r="FA97" s="1509"/>
      <c r="FB97" s="1509"/>
      <c r="FC97" s="1509"/>
      <c r="FD97" s="1509"/>
      <c r="FE97" s="1509"/>
      <c r="FF97" s="1509"/>
      <c r="FG97" s="1509"/>
      <c r="FH97" s="1509"/>
      <c r="FI97" s="1509"/>
      <c r="FJ97" s="1509"/>
      <c r="FK97" s="1509"/>
      <c r="FL97" s="1509"/>
      <c r="FM97" s="1509"/>
      <c r="FN97" s="1509"/>
      <c r="FO97" s="1509"/>
      <c r="FP97" s="1509"/>
      <c r="FQ97" s="1509"/>
      <c r="FR97" s="1509"/>
      <c r="FS97" s="1509"/>
      <c r="FT97" s="1509"/>
      <c r="FU97" s="1509"/>
      <c r="FV97" s="1509"/>
      <c r="FW97" s="1509"/>
      <c r="FX97" s="1509"/>
      <c r="FY97" s="1509"/>
      <c r="FZ97" s="1509"/>
      <c r="GA97" s="1509"/>
      <c r="GB97" s="1509"/>
      <c r="GC97" s="1509"/>
      <c r="GD97" s="1509"/>
      <c r="GE97" s="1509"/>
      <c r="GF97" s="1509"/>
      <c r="GG97" s="1509"/>
      <c r="GH97" s="1509"/>
      <c r="GI97" s="1509"/>
      <c r="GJ97" s="1509"/>
      <c r="GK97" s="1509"/>
      <c r="GL97" s="1509"/>
      <c r="GM97" s="1509"/>
      <c r="GN97" s="1509"/>
      <c r="GO97" s="1509"/>
      <c r="GP97" s="1509"/>
      <c r="GQ97" s="1509"/>
      <c r="GR97" s="1509"/>
      <c r="GS97" s="1509"/>
      <c r="GT97" s="1509"/>
    </row>
    <row r="98" spans="3:202" s="4665" customFormat="1" ht="17.100000000000001" customHeight="1">
      <c r="C98" s="4678"/>
      <c r="D98" s="4676"/>
      <c r="E98" s="787"/>
      <c r="F98" s="4677"/>
      <c r="G98" s="4677"/>
      <c r="H98" s="4677"/>
      <c r="I98" s="4677"/>
      <c r="J98" s="4677"/>
      <c r="K98" s="4677"/>
      <c r="L98" s="4677"/>
      <c r="M98" s="4677"/>
      <c r="N98" s="4677"/>
      <c r="O98" s="4677"/>
      <c r="P98" s="4677"/>
      <c r="Q98" s="4677"/>
      <c r="R98" s="4677"/>
      <c r="S98" s="4677"/>
      <c r="T98" s="4677"/>
      <c r="U98" s="4677"/>
      <c r="V98" s="4677"/>
      <c r="W98" s="1509"/>
      <c r="X98" s="1509"/>
      <c r="Y98" s="1509"/>
      <c r="Z98" s="1509"/>
      <c r="AA98" s="1509"/>
      <c r="AB98" s="1509"/>
      <c r="AC98" s="1509"/>
      <c r="AD98" s="1509"/>
      <c r="AE98" s="1509"/>
      <c r="AF98" s="1509"/>
      <c r="AG98" s="1509"/>
      <c r="AH98" s="1509"/>
      <c r="AI98" s="1509"/>
      <c r="AJ98" s="1509"/>
      <c r="AK98" s="1509"/>
      <c r="AL98" s="1509"/>
      <c r="AM98" s="1509"/>
      <c r="AN98" s="1509"/>
      <c r="AO98" s="1509"/>
      <c r="AP98" s="1509"/>
      <c r="AQ98" s="1509"/>
      <c r="AR98" s="1509"/>
      <c r="AS98" s="1509"/>
      <c r="AT98" s="1509"/>
      <c r="AU98" s="1509"/>
      <c r="AV98" s="1509"/>
      <c r="AW98" s="1509"/>
      <c r="AX98" s="1509"/>
      <c r="AY98" s="1509"/>
      <c r="AZ98" s="1509"/>
      <c r="BA98" s="1509"/>
      <c r="BB98" s="1509"/>
      <c r="BC98" s="1509"/>
      <c r="BD98" s="1509"/>
      <c r="BE98" s="1509"/>
      <c r="BF98" s="1509"/>
      <c r="BG98" s="1509"/>
      <c r="BH98" s="1509"/>
      <c r="BI98" s="1509"/>
      <c r="BJ98" s="1509"/>
      <c r="BK98" s="1509"/>
      <c r="BL98" s="1509"/>
      <c r="BM98" s="1509"/>
      <c r="BN98" s="1509"/>
      <c r="BO98" s="1509"/>
      <c r="BP98" s="1509"/>
      <c r="BQ98" s="1509"/>
      <c r="BR98" s="1509"/>
      <c r="BS98" s="1509"/>
      <c r="BT98" s="1509"/>
      <c r="BU98" s="1509"/>
      <c r="BV98" s="1509"/>
      <c r="BW98" s="1509"/>
      <c r="BX98" s="1509"/>
      <c r="BY98" s="1509"/>
      <c r="BZ98" s="1509"/>
      <c r="CA98" s="1509"/>
      <c r="CB98" s="1509"/>
      <c r="CC98" s="1509"/>
      <c r="CD98" s="1509"/>
      <c r="CE98" s="1509"/>
      <c r="CF98" s="1509"/>
      <c r="CG98" s="1509"/>
      <c r="CH98" s="1509"/>
      <c r="CI98" s="1509"/>
      <c r="CJ98" s="1509"/>
      <c r="CK98" s="1509"/>
      <c r="CL98" s="1509"/>
      <c r="CM98" s="1509"/>
      <c r="CN98" s="1509"/>
      <c r="CO98" s="1509"/>
      <c r="CP98" s="1509"/>
      <c r="CQ98" s="1509"/>
      <c r="CR98" s="1509"/>
      <c r="CS98" s="1509"/>
      <c r="CT98" s="1509"/>
      <c r="CU98" s="1509"/>
      <c r="CV98" s="1509"/>
      <c r="CW98" s="1509"/>
      <c r="CX98" s="1509"/>
      <c r="CY98" s="1509"/>
      <c r="CZ98" s="1509"/>
      <c r="DA98" s="1509"/>
      <c r="DB98" s="1509"/>
      <c r="DC98" s="1509"/>
      <c r="DD98" s="1509"/>
      <c r="DE98" s="1509"/>
      <c r="DF98" s="1509"/>
      <c r="DG98" s="1509"/>
      <c r="DH98" s="1509"/>
      <c r="DI98" s="1509"/>
      <c r="DJ98" s="1509"/>
      <c r="DK98" s="1509"/>
      <c r="DL98" s="1509"/>
      <c r="DM98" s="1509"/>
      <c r="DN98" s="1509"/>
      <c r="DO98" s="1509"/>
      <c r="DP98" s="1509"/>
      <c r="DQ98" s="1509"/>
      <c r="DR98" s="1509"/>
      <c r="DS98" s="1509"/>
      <c r="DT98" s="1509"/>
      <c r="DU98" s="1509"/>
      <c r="DV98" s="1509"/>
      <c r="DW98" s="1509"/>
      <c r="DX98" s="1509"/>
      <c r="DY98" s="1509"/>
      <c r="DZ98" s="1509"/>
      <c r="EA98" s="1509"/>
      <c r="EB98" s="1509"/>
      <c r="EC98" s="1509"/>
      <c r="ED98" s="1509"/>
      <c r="EE98" s="1509"/>
      <c r="EF98" s="1509"/>
      <c r="EG98" s="1509"/>
      <c r="EH98" s="1509"/>
      <c r="EI98" s="1509"/>
      <c r="EJ98" s="1509"/>
      <c r="EK98" s="1509"/>
      <c r="EL98" s="1509"/>
      <c r="EM98" s="1509"/>
      <c r="EN98" s="1509"/>
      <c r="EO98" s="1509"/>
      <c r="EP98" s="1509"/>
      <c r="EQ98" s="1509"/>
      <c r="ER98" s="1509"/>
      <c r="ES98" s="1509"/>
      <c r="ET98" s="1509"/>
      <c r="EU98" s="1509"/>
      <c r="EV98" s="1509"/>
      <c r="EW98" s="1509"/>
      <c r="EX98" s="1509"/>
      <c r="EY98" s="1509"/>
      <c r="EZ98" s="1509"/>
      <c r="FA98" s="1509"/>
      <c r="FB98" s="1509"/>
      <c r="FC98" s="1509"/>
      <c r="FD98" s="1509"/>
      <c r="FE98" s="1509"/>
      <c r="FF98" s="1509"/>
      <c r="FG98" s="1509"/>
      <c r="FH98" s="1509"/>
      <c r="FI98" s="1509"/>
      <c r="FJ98" s="1509"/>
      <c r="FK98" s="1509"/>
      <c r="FL98" s="1509"/>
      <c r="FM98" s="1509"/>
      <c r="FN98" s="1509"/>
      <c r="FO98" s="1509"/>
      <c r="FP98" s="1509"/>
      <c r="FQ98" s="1509"/>
      <c r="FR98" s="1509"/>
      <c r="FS98" s="1509"/>
      <c r="FT98" s="1509"/>
      <c r="FU98" s="1509"/>
      <c r="FV98" s="1509"/>
      <c r="FW98" s="1509"/>
      <c r="FX98" s="1509"/>
      <c r="FY98" s="1509"/>
      <c r="FZ98" s="1509"/>
      <c r="GA98" s="1509"/>
      <c r="GB98" s="1509"/>
      <c r="GC98" s="1509"/>
      <c r="GD98" s="1509"/>
      <c r="GE98" s="1509"/>
      <c r="GF98" s="1509"/>
      <c r="GG98" s="1509"/>
      <c r="GH98" s="1509"/>
      <c r="GI98" s="1509"/>
      <c r="GJ98" s="1509"/>
      <c r="GK98" s="1509"/>
      <c r="GL98" s="1509"/>
      <c r="GM98" s="1509"/>
      <c r="GN98" s="1509"/>
      <c r="GO98" s="1509"/>
      <c r="GP98" s="1509"/>
      <c r="GQ98" s="1509"/>
      <c r="GR98" s="1509"/>
      <c r="GS98" s="1509"/>
      <c r="GT98" s="1509"/>
    </row>
    <row r="99" spans="3:202" s="4665" customFormat="1" ht="17.100000000000001" customHeight="1">
      <c r="C99" s="4678"/>
      <c r="D99" s="4676"/>
      <c r="E99" s="4684"/>
      <c r="F99" s="4677"/>
      <c r="G99" s="4677"/>
      <c r="H99" s="4677"/>
      <c r="I99" s="4677"/>
      <c r="J99" s="4677"/>
      <c r="K99" s="4677"/>
      <c r="L99" s="4677"/>
      <c r="M99" s="4677"/>
      <c r="N99" s="4677"/>
      <c r="O99" s="4677"/>
      <c r="P99" s="4677"/>
      <c r="Q99" s="4677"/>
      <c r="R99" s="4677"/>
      <c r="S99" s="4677"/>
      <c r="T99" s="4677"/>
      <c r="U99" s="4677"/>
      <c r="V99" s="4677"/>
      <c r="W99" s="1509"/>
      <c r="X99" s="1509"/>
      <c r="Y99" s="1509"/>
      <c r="Z99" s="1509"/>
      <c r="AA99" s="1509"/>
      <c r="AB99" s="1509"/>
      <c r="AC99" s="1509"/>
      <c r="AD99" s="1509"/>
      <c r="AE99" s="1509"/>
      <c r="AF99" s="1509"/>
      <c r="AG99" s="1509"/>
      <c r="AH99" s="1509"/>
      <c r="AI99" s="1509"/>
      <c r="AJ99" s="1509"/>
      <c r="AK99" s="1509"/>
      <c r="AL99" s="1509"/>
      <c r="AM99" s="1509"/>
      <c r="AN99" s="1509"/>
      <c r="AO99" s="1509"/>
      <c r="AP99" s="1509"/>
      <c r="AQ99" s="1509"/>
      <c r="AR99" s="1509"/>
      <c r="AS99" s="1509"/>
      <c r="AT99" s="1509"/>
      <c r="AU99" s="1509"/>
      <c r="AV99" s="1509"/>
      <c r="AW99" s="1509"/>
      <c r="AX99" s="1509"/>
      <c r="AY99" s="1509"/>
      <c r="AZ99" s="1509"/>
      <c r="BA99" s="1509"/>
      <c r="BB99" s="1509"/>
      <c r="BC99" s="1509"/>
      <c r="BD99" s="1509"/>
      <c r="BE99" s="1509"/>
      <c r="BF99" s="1509"/>
      <c r="BG99" s="1509"/>
      <c r="BH99" s="1509"/>
      <c r="BI99" s="1509"/>
      <c r="BJ99" s="1509"/>
      <c r="BK99" s="1509"/>
      <c r="BL99" s="1509"/>
      <c r="BM99" s="1509"/>
      <c r="BN99" s="1509"/>
      <c r="BO99" s="1509"/>
      <c r="BP99" s="1509"/>
      <c r="BQ99" s="1509"/>
      <c r="BR99" s="1509"/>
      <c r="BS99" s="1509"/>
      <c r="BT99" s="1509"/>
      <c r="BU99" s="1509"/>
      <c r="BV99" s="1509"/>
      <c r="BW99" s="1509"/>
      <c r="BX99" s="1509"/>
      <c r="BY99" s="1509"/>
      <c r="BZ99" s="1509"/>
      <c r="CA99" s="1509"/>
      <c r="CB99" s="1509"/>
      <c r="CC99" s="1509"/>
      <c r="CD99" s="1509"/>
      <c r="CE99" s="1509"/>
      <c r="CF99" s="1509"/>
      <c r="CG99" s="1509"/>
      <c r="CH99" s="1509"/>
      <c r="CI99" s="1509"/>
      <c r="CJ99" s="1509"/>
      <c r="CK99" s="1509"/>
      <c r="CL99" s="1509"/>
      <c r="CM99" s="1509"/>
      <c r="CN99" s="1509"/>
      <c r="CO99" s="1509"/>
      <c r="CP99" s="1509"/>
      <c r="CQ99" s="1509"/>
      <c r="CR99" s="1509"/>
      <c r="CS99" s="1509"/>
      <c r="CT99" s="1509"/>
      <c r="CU99" s="1509"/>
      <c r="CV99" s="1509"/>
      <c r="CW99" s="1509"/>
      <c r="CX99" s="1509"/>
      <c r="CY99" s="1509"/>
      <c r="CZ99" s="1509"/>
      <c r="DA99" s="1509"/>
      <c r="DB99" s="1509"/>
      <c r="DC99" s="1509"/>
      <c r="DD99" s="1509"/>
      <c r="DE99" s="1509"/>
      <c r="DF99" s="1509"/>
      <c r="DG99" s="1509"/>
      <c r="DH99" s="1509"/>
      <c r="DI99" s="1509"/>
      <c r="DJ99" s="1509"/>
      <c r="DK99" s="1509"/>
      <c r="DL99" s="1509"/>
      <c r="DM99" s="1509"/>
      <c r="DN99" s="1509"/>
      <c r="DO99" s="1509"/>
      <c r="DP99" s="1509"/>
      <c r="DQ99" s="1509"/>
      <c r="DR99" s="1509"/>
      <c r="DS99" s="1509"/>
      <c r="DT99" s="1509"/>
      <c r="DU99" s="1509"/>
      <c r="DV99" s="1509"/>
      <c r="DW99" s="1509"/>
      <c r="DX99" s="1509"/>
      <c r="DY99" s="1509"/>
      <c r="DZ99" s="1509"/>
      <c r="EA99" s="1509"/>
      <c r="EB99" s="1509"/>
      <c r="EC99" s="1509"/>
      <c r="ED99" s="1509"/>
      <c r="EE99" s="1509"/>
      <c r="EF99" s="1509"/>
      <c r="EG99" s="1509"/>
      <c r="EH99" s="1509"/>
      <c r="EI99" s="1509"/>
      <c r="EJ99" s="1509"/>
      <c r="EK99" s="1509"/>
      <c r="EL99" s="1509"/>
      <c r="EM99" s="1509"/>
      <c r="EN99" s="1509"/>
      <c r="EO99" s="1509"/>
      <c r="EP99" s="1509"/>
      <c r="EQ99" s="1509"/>
      <c r="ER99" s="1509"/>
      <c r="ES99" s="1509"/>
      <c r="ET99" s="1509"/>
      <c r="EU99" s="1509"/>
      <c r="EV99" s="1509"/>
      <c r="EW99" s="1509"/>
      <c r="EX99" s="1509"/>
      <c r="EY99" s="1509"/>
      <c r="EZ99" s="1509"/>
      <c r="FA99" s="1509"/>
      <c r="FB99" s="1509"/>
      <c r="FC99" s="1509"/>
      <c r="FD99" s="1509"/>
      <c r="FE99" s="1509"/>
      <c r="FF99" s="1509"/>
      <c r="FG99" s="1509"/>
      <c r="FH99" s="1509"/>
      <c r="FI99" s="1509"/>
      <c r="FJ99" s="1509"/>
      <c r="FK99" s="1509"/>
      <c r="FL99" s="1509"/>
      <c r="FM99" s="1509"/>
      <c r="FN99" s="1509"/>
      <c r="FO99" s="1509"/>
      <c r="FP99" s="1509"/>
      <c r="FQ99" s="1509"/>
      <c r="FR99" s="1509"/>
      <c r="FS99" s="1509"/>
      <c r="FT99" s="1509"/>
      <c r="FU99" s="1509"/>
      <c r="FV99" s="1509"/>
      <c r="FW99" s="1509"/>
      <c r="FX99" s="1509"/>
      <c r="FY99" s="1509"/>
      <c r="FZ99" s="1509"/>
      <c r="GA99" s="1509"/>
      <c r="GB99" s="1509"/>
      <c r="GC99" s="1509"/>
      <c r="GD99" s="1509"/>
      <c r="GE99" s="1509"/>
      <c r="GF99" s="1509"/>
      <c r="GG99" s="1509"/>
      <c r="GH99" s="1509"/>
      <c r="GI99" s="1509"/>
      <c r="GJ99" s="1509"/>
      <c r="GK99" s="1509"/>
      <c r="GL99" s="1509"/>
      <c r="GM99" s="1509"/>
      <c r="GN99" s="1509"/>
      <c r="GO99" s="1509"/>
      <c r="GP99" s="1509"/>
      <c r="GQ99" s="1509"/>
      <c r="GR99" s="1509"/>
      <c r="GS99" s="1509"/>
      <c r="GT99" s="1509"/>
    </row>
    <row r="100" spans="3:202" s="4665" customFormat="1" ht="17.100000000000001" customHeight="1">
      <c r="C100" s="4678"/>
      <c r="D100" s="4676"/>
      <c r="E100" s="4684"/>
      <c r="F100" s="4677"/>
      <c r="G100" s="4677"/>
      <c r="H100" s="4677"/>
      <c r="I100" s="4677"/>
      <c r="J100" s="4677"/>
      <c r="K100" s="4677"/>
      <c r="L100" s="4677"/>
      <c r="M100" s="4677"/>
      <c r="N100" s="4677"/>
      <c r="O100" s="4677"/>
      <c r="P100" s="4677"/>
      <c r="Q100" s="4677"/>
      <c r="R100" s="4677"/>
      <c r="S100" s="4677"/>
      <c r="T100" s="4677"/>
      <c r="U100" s="4677"/>
      <c r="V100" s="4677"/>
      <c r="W100" s="1509"/>
      <c r="X100" s="1509"/>
      <c r="Y100" s="1509"/>
      <c r="Z100" s="1509"/>
      <c r="AA100" s="1509"/>
      <c r="AB100" s="1509"/>
      <c r="AC100" s="1509"/>
      <c r="AD100" s="1509"/>
      <c r="AE100" s="1509"/>
      <c r="AF100" s="1509"/>
      <c r="AG100" s="1509"/>
      <c r="AH100" s="1509"/>
      <c r="AI100" s="1509"/>
      <c r="AJ100" s="1509"/>
      <c r="AK100" s="1509"/>
      <c r="AL100" s="1509"/>
      <c r="AM100" s="1509"/>
      <c r="AN100" s="1509"/>
      <c r="AO100" s="1509"/>
      <c r="AP100" s="1509"/>
      <c r="AQ100" s="1509"/>
      <c r="AR100" s="1509"/>
      <c r="AS100" s="1509"/>
      <c r="AT100" s="1509"/>
      <c r="AU100" s="1509"/>
      <c r="AV100" s="1509"/>
      <c r="AW100" s="1509"/>
      <c r="AX100" s="1509"/>
      <c r="AY100" s="1509"/>
      <c r="AZ100" s="1509"/>
      <c r="BA100" s="1509"/>
      <c r="BB100" s="1509"/>
      <c r="BC100" s="1509"/>
      <c r="BD100" s="1509"/>
      <c r="BE100" s="1509"/>
      <c r="BF100" s="1509"/>
      <c r="BG100" s="1509"/>
      <c r="BH100" s="1509"/>
      <c r="BI100" s="1509"/>
      <c r="BJ100" s="1509"/>
      <c r="BK100" s="1509"/>
      <c r="BL100" s="1509"/>
      <c r="BM100" s="1509"/>
      <c r="BN100" s="1509"/>
      <c r="BO100" s="1509"/>
      <c r="BP100" s="1509"/>
      <c r="BQ100" s="1509"/>
      <c r="BR100" s="1509"/>
      <c r="BS100" s="1509"/>
      <c r="BT100" s="1509"/>
      <c r="BU100" s="1509"/>
      <c r="BV100" s="1509"/>
      <c r="BW100" s="1509"/>
      <c r="BX100" s="1509"/>
      <c r="BY100" s="1509"/>
      <c r="BZ100" s="1509"/>
      <c r="CA100" s="1509"/>
      <c r="CB100" s="1509"/>
      <c r="CC100" s="1509"/>
      <c r="CD100" s="1509"/>
      <c r="CE100" s="1509"/>
      <c r="CF100" s="1509"/>
      <c r="CG100" s="1509"/>
      <c r="CH100" s="1509"/>
      <c r="CI100" s="1509"/>
      <c r="CJ100" s="1509"/>
      <c r="CK100" s="1509"/>
      <c r="CL100" s="1509"/>
      <c r="CM100" s="1509"/>
      <c r="CN100" s="1509"/>
      <c r="CO100" s="1509"/>
      <c r="CP100" s="1509"/>
      <c r="CQ100" s="1509"/>
      <c r="CR100" s="1509"/>
      <c r="CS100" s="1509"/>
      <c r="CT100" s="1509"/>
      <c r="CU100" s="1509"/>
      <c r="CV100" s="1509"/>
      <c r="CW100" s="1509"/>
      <c r="CX100" s="1509"/>
      <c r="CY100" s="1509"/>
      <c r="CZ100" s="1509"/>
      <c r="DA100" s="1509"/>
      <c r="DB100" s="1509"/>
      <c r="DC100" s="1509"/>
      <c r="DD100" s="1509"/>
      <c r="DE100" s="1509"/>
      <c r="DF100" s="1509"/>
      <c r="DG100" s="1509"/>
      <c r="DH100" s="1509"/>
      <c r="DI100" s="1509"/>
      <c r="DJ100" s="1509"/>
      <c r="DK100" s="1509"/>
      <c r="DL100" s="1509"/>
      <c r="DM100" s="1509"/>
      <c r="DN100" s="1509"/>
      <c r="DO100" s="1509"/>
      <c r="DP100" s="1509"/>
      <c r="DQ100" s="1509"/>
      <c r="DR100" s="1509"/>
      <c r="DS100" s="1509"/>
      <c r="DT100" s="1509"/>
      <c r="DU100" s="1509"/>
      <c r="DV100" s="1509"/>
      <c r="DW100" s="1509"/>
      <c r="DX100" s="1509"/>
      <c r="DY100" s="1509"/>
      <c r="DZ100" s="1509"/>
      <c r="EA100" s="1509"/>
      <c r="EB100" s="1509"/>
      <c r="EC100" s="1509"/>
      <c r="ED100" s="1509"/>
      <c r="EE100" s="1509"/>
      <c r="EF100" s="1509"/>
      <c r="EG100" s="1509"/>
      <c r="EH100" s="1509"/>
      <c r="EI100" s="1509"/>
      <c r="EJ100" s="1509"/>
      <c r="EK100" s="1509"/>
      <c r="EL100" s="1509"/>
      <c r="EM100" s="1509"/>
      <c r="EN100" s="1509"/>
      <c r="EO100" s="1509"/>
      <c r="EP100" s="1509"/>
      <c r="EQ100" s="1509"/>
      <c r="ER100" s="1509"/>
      <c r="ES100" s="1509"/>
      <c r="ET100" s="1509"/>
      <c r="EU100" s="1509"/>
      <c r="EV100" s="1509"/>
      <c r="EW100" s="1509"/>
      <c r="EX100" s="1509"/>
      <c r="EY100" s="1509"/>
      <c r="EZ100" s="1509"/>
      <c r="FA100" s="1509"/>
      <c r="FB100" s="1509"/>
      <c r="FC100" s="1509"/>
      <c r="FD100" s="1509"/>
      <c r="FE100" s="1509"/>
      <c r="FF100" s="1509"/>
      <c r="FG100" s="1509"/>
      <c r="FH100" s="1509"/>
      <c r="FI100" s="1509"/>
      <c r="FJ100" s="1509"/>
      <c r="FK100" s="1509"/>
      <c r="FL100" s="1509"/>
      <c r="FM100" s="1509"/>
      <c r="FN100" s="1509"/>
      <c r="FO100" s="1509"/>
      <c r="FP100" s="1509"/>
      <c r="FQ100" s="1509"/>
      <c r="FR100" s="1509"/>
      <c r="FS100" s="1509"/>
      <c r="FT100" s="1509"/>
      <c r="FU100" s="1509"/>
      <c r="FV100" s="1509"/>
      <c r="FW100" s="1509"/>
      <c r="FX100" s="1509"/>
      <c r="FY100" s="1509"/>
      <c r="FZ100" s="1509"/>
      <c r="GA100" s="1509"/>
      <c r="GB100" s="1509"/>
      <c r="GC100" s="1509"/>
      <c r="GD100" s="1509"/>
      <c r="GE100" s="1509"/>
      <c r="GF100" s="1509"/>
      <c r="GG100" s="1509"/>
      <c r="GH100" s="1509"/>
      <c r="GI100" s="1509"/>
      <c r="GJ100" s="1509"/>
      <c r="GK100" s="1509"/>
      <c r="GL100" s="1509"/>
      <c r="GM100" s="1509"/>
      <c r="GN100" s="1509"/>
      <c r="GO100" s="1509"/>
      <c r="GP100" s="1509"/>
      <c r="GQ100" s="1509"/>
      <c r="GR100" s="1509"/>
      <c r="GS100" s="1509"/>
      <c r="GT100" s="1509"/>
    </row>
    <row r="101" spans="3:202" s="4665" customFormat="1" ht="17.100000000000001" customHeight="1">
      <c r="C101" s="4678"/>
      <c r="D101" s="4676"/>
      <c r="E101" s="787"/>
      <c r="F101" s="4677"/>
      <c r="G101" s="4677"/>
      <c r="H101" s="4677"/>
      <c r="I101" s="4677"/>
      <c r="J101" s="4677"/>
      <c r="K101" s="4677"/>
      <c r="L101" s="4677"/>
      <c r="M101" s="4677"/>
      <c r="N101" s="4677"/>
      <c r="O101" s="4677"/>
      <c r="P101" s="4677"/>
      <c r="Q101" s="4677"/>
      <c r="R101" s="4677"/>
      <c r="S101" s="4677"/>
      <c r="T101" s="4677"/>
      <c r="U101" s="4677"/>
      <c r="V101" s="4677"/>
      <c r="W101" s="1509"/>
      <c r="X101" s="1509"/>
      <c r="Y101" s="1509"/>
      <c r="Z101" s="1509"/>
      <c r="AA101" s="1509"/>
      <c r="AB101" s="1509"/>
      <c r="AC101" s="1509"/>
      <c r="AD101" s="1509"/>
      <c r="AE101" s="1509"/>
      <c r="AF101" s="1509"/>
      <c r="AG101" s="1509"/>
      <c r="AH101" s="1509"/>
      <c r="AI101" s="1509"/>
      <c r="AJ101" s="1509"/>
      <c r="AK101" s="1509"/>
      <c r="AL101" s="1509"/>
      <c r="AM101" s="1509"/>
      <c r="AN101" s="1509"/>
      <c r="AO101" s="1509"/>
      <c r="AP101" s="1509"/>
      <c r="AQ101" s="1509"/>
      <c r="AR101" s="1509"/>
      <c r="AS101" s="1509"/>
      <c r="AT101" s="1509"/>
      <c r="AU101" s="1509"/>
      <c r="AV101" s="1509"/>
      <c r="AW101" s="1509"/>
      <c r="AX101" s="1509"/>
      <c r="AY101" s="1509"/>
      <c r="AZ101" s="1509"/>
      <c r="BA101" s="1509"/>
      <c r="BB101" s="1509"/>
      <c r="BC101" s="1509"/>
      <c r="BD101" s="1509"/>
      <c r="BE101" s="1509"/>
      <c r="BF101" s="1509"/>
      <c r="BG101" s="1509"/>
      <c r="BH101" s="1509"/>
      <c r="BI101" s="1509"/>
      <c r="BJ101" s="1509"/>
      <c r="BK101" s="1509"/>
      <c r="BL101" s="1509"/>
      <c r="BM101" s="1509"/>
      <c r="BN101" s="1509"/>
      <c r="BO101" s="1509"/>
      <c r="BP101" s="1509"/>
      <c r="BQ101" s="1509"/>
      <c r="BR101" s="1509"/>
      <c r="BS101" s="1509"/>
      <c r="BT101" s="1509"/>
      <c r="BU101" s="1509"/>
      <c r="BV101" s="1509"/>
      <c r="BW101" s="1509"/>
      <c r="BX101" s="1509"/>
      <c r="BY101" s="1509"/>
      <c r="BZ101" s="1509"/>
      <c r="CA101" s="1509"/>
      <c r="CB101" s="1509"/>
      <c r="CC101" s="1509"/>
      <c r="CD101" s="1509"/>
      <c r="CE101" s="1509"/>
      <c r="CF101" s="1509"/>
      <c r="CG101" s="1509"/>
      <c r="CH101" s="1509"/>
      <c r="CI101" s="1509"/>
      <c r="CJ101" s="1509"/>
      <c r="CK101" s="1509"/>
      <c r="CL101" s="1509"/>
      <c r="CM101" s="1509"/>
      <c r="CN101" s="1509"/>
      <c r="CO101" s="1509"/>
      <c r="CP101" s="1509"/>
      <c r="CQ101" s="1509"/>
      <c r="CR101" s="1509"/>
      <c r="CS101" s="1509"/>
      <c r="CT101" s="1509"/>
      <c r="CU101" s="1509"/>
      <c r="CV101" s="1509"/>
      <c r="CW101" s="1509"/>
      <c r="CX101" s="1509"/>
      <c r="CY101" s="1509"/>
      <c r="CZ101" s="1509"/>
      <c r="DA101" s="1509"/>
      <c r="DB101" s="1509"/>
      <c r="DC101" s="1509"/>
      <c r="DD101" s="1509"/>
      <c r="DE101" s="1509"/>
      <c r="DF101" s="1509"/>
      <c r="DG101" s="1509"/>
      <c r="DH101" s="1509"/>
      <c r="DI101" s="1509"/>
      <c r="DJ101" s="1509"/>
      <c r="DK101" s="1509"/>
      <c r="DL101" s="1509"/>
      <c r="DM101" s="1509"/>
      <c r="DN101" s="1509"/>
      <c r="DO101" s="1509"/>
      <c r="DP101" s="1509"/>
      <c r="DQ101" s="1509"/>
      <c r="DR101" s="1509"/>
      <c r="DS101" s="1509"/>
      <c r="DT101" s="1509"/>
      <c r="DU101" s="1509"/>
      <c r="DV101" s="1509"/>
      <c r="DW101" s="1509"/>
      <c r="DX101" s="1509"/>
      <c r="DY101" s="1509"/>
      <c r="DZ101" s="1509"/>
      <c r="EA101" s="1509"/>
      <c r="EB101" s="1509"/>
      <c r="EC101" s="1509"/>
      <c r="ED101" s="1509"/>
      <c r="EE101" s="1509"/>
      <c r="EF101" s="1509"/>
      <c r="EG101" s="1509"/>
      <c r="EH101" s="1509"/>
      <c r="EI101" s="1509"/>
      <c r="EJ101" s="1509"/>
      <c r="EK101" s="1509"/>
      <c r="EL101" s="1509"/>
      <c r="EM101" s="1509"/>
      <c r="EN101" s="1509"/>
      <c r="EO101" s="1509"/>
      <c r="EP101" s="1509"/>
      <c r="EQ101" s="1509"/>
      <c r="ER101" s="1509"/>
      <c r="ES101" s="1509"/>
      <c r="ET101" s="1509"/>
      <c r="EU101" s="1509"/>
      <c r="EV101" s="1509"/>
      <c r="EW101" s="1509"/>
      <c r="EX101" s="1509"/>
      <c r="EY101" s="1509"/>
      <c r="EZ101" s="1509"/>
      <c r="FA101" s="1509"/>
      <c r="FB101" s="1509"/>
      <c r="FC101" s="1509"/>
      <c r="FD101" s="1509"/>
      <c r="FE101" s="1509"/>
      <c r="FF101" s="1509"/>
      <c r="FG101" s="1509"/>
      <c r="FH101" s="1509"/>
      <c r="FI101" s="1509"/>
      <c r="FJ101" s="1509"/>
      <c r="FK101" s="1509"/>
      <c r="FL101" s="1509"/>
      <c r="FM101" s="1509"/>
      <c r="FN101" s="1509"/>
      <c r="FO101" s="1509"/>
      <c r="FP101" s="1509"/>
      <c r="FQ101" s="1509"/>
      <c r="FR101" s="1509"/>
      <c r="FS101" s="1509"/>
      <c r="FT101" s="1509"/>
      <c r="FU101" s="1509"/>
      <c r="FV101" s="1509"/>
      <c r="FW101" s="1509"/>
      <c r="FX101" s="1509"/>
      <c r="FY101" s="1509"/>
      <c r="FZ101" s="1509"/>
      <c r="GA101" s="1509"/>
      <c r="GB101" s="1509"/>
      <c r="GC101" s="1509"/>
      <c r="GD101" s="1509"/>
      <c r="GE101" s="1509"/>
      <c r="GF101" s="1509"/>
      <c r="GG101" s="1509"/>
      <c r="GH101" s="1509"/>
      <c r="GI101" s="1509"/>
      <c r="GJ101" s="1509"/>
      <c r="GK101" s="1509"/>
      <c r="GL101" s="1509"/>
      <c r="GM101" s="1509"/>
      <c r="GN101" s="1509"/>
      <c r="GO101" s="1509"/>
      <c r="GP101" s="1509"/>
      <c r="GQ101" s="1509"/>
      <c r="GR101" s="1509"/>
      <c r="GS101" s="1509"/>
      <c r="GT101" s="1509"/>
    </row>
    <row r="102" spans="3:202" s="4665" customFormat="1" ht="17.100000000000001" customHeight="1">
      <c r="C102" s="4678"/>
      <c r="D102" s="4676"/>
      <c r="E102" s="787"/>
      <c r="F102" s="4677"/>
      <c r="G102" s="4677"/>
      <c r="H102" s="4677"/>
      <c r="I102" s="4677"/>
      <c r="J102" s="4677"/>
      <c r="K102" s="4677"/>
      <c r="L102" s="4677"/>
      <c r="M102" s="4677"/>
      <c r="N102" s="4677"/>
      <c r="O102" s="4677"/>
      <c r="P102" s="4677"/>
      <c r="Q102" s="4677"/>
      <c r="R102" s="4677"/>
      <c r="S102" s="4677"/>
      <c r="T102" s="4677"/>
      <c r="U102" s="4677"/>
      <c r="V102" s="4677"/>
      <c r="W102" s="1509"/>
      <c r="X102" s="1509"/>
      <c r="Y102" s="1509"/>
      <c r="Z102" s="1509"/>
      <c r="AA102" s="1509"/>
      <c r="AB102" s="1509"/>
      <c r="AC102" s="1509"/>
      <c r="AD102" s="1509"/>
      <c r="AE102" s="1509"/>
      <c r="AF102" s="1509"/>
      <c r="AG102" s="1509"/>
      <c r="AH102" s="1509"/>
      <c r="AI102" s="1509"/>
      <c r="AJ102" s="1509"/>
      <c r="AK102" s="1509"/>
      <c r="AL102" s="1509"/>
      <c r="AM102" s="1509"/>
      <c r="AN102" s="1509"/>
      <c r="AO102" s="1509"/>
      <c r="AP102" s="1509"/>
      <c r="AQ102" s="1509"/>
      <c r="AR102" s="1509"/>
      <c r="AS102" s="1509"/>
      <c r="AT102" s="1509"/>
      <c r="AU102" s="1509"/>
      <c r="AV102" s="1509"/>
      <c r="AW102" s="1509"/>
      <c r="AX102" s="1509"/>
      <c r="AY102" s="1509"/>
      <c r="AZ102" s="1509"/>
      <c r="BA102" s="1509"/>
      <c r="BB102" s="1509"/>
      <c r="BC102" s="1509"/>
      <c r="BD102" s="1509"/>
      <c r="BE102" s="1509"/>
      <c r="BF102" s="1509"/>
      <c r="BG102" s="1509"/>
      <c r="BH102" s="1509"/>
      <c r="BI102" s="1509"/>
      <c r="BJ102" s="1509"/>
      <c r="BK102" s="1509"/>
      <c r="BL102" s="1509"/>
      <c r="BM102" s="1509"/>
      <c r="BN102" s="1509"/>
      <c r="BO102" s="1509"/>
      <c r="BP102" s="1509"/>
      <c r="BQ102" s="1509"/>
      <c r="BR102" s="1509"/>
      <c r="BS102" s="1509"/>
      <c r="BT102" s="1509"/>
      <c r="BU102" s="1509"/>
      <c r="BV102" s="1509"/>
      <c r="BW102" s="1509"/>
      <c r="BX102" s="1509"/>
      <c r="BY102" s="1509"/>
      <c r="BZ102" s="1509"/>
      <c r="CA102" s="1509"/>
      <c r="CB102" s="1509"/>
      <c r="CC102" s="1509"/>
      <c r="CD102" s="1509"/>
      <c r="CE102" s="1509"/>
      <c r="CF102" s="1509"/>
      <c r="CG102" s="1509"/>
      <c r="CH102" s="1509"/>
      <c r="CI102" s="1509"/>
      <c r="CJ102" s="1509"/>
      <c r="CK102" s="1509"/>
      <c r="CL102" s="1509"/>
      <c r="CM102" s="1509"/>
      <c r="CN102" s="1509"/>
      <c r="CO102" s="1509"/>
      <c r="CP102" s="1509"/>
      <c r="CQ102" s="1509"/>
      <c r="CR102" s="1509"/>
      <c r="CS102" s="1509"/>
      <c r="CT102" s="1509"/>
      <c r="CU102" s="1509"/>
      <c r="CV102" s="1509"/>
      <c r="CW102" s="1509"/>
      <c r="CX102" s="1509"/>
      <c r="CY102" s="1509"/>
      <c r="CZ102" s="1509"/>
      <c r="DA102" s="1509"/>
      <c r="DB102" s="1509"/>
      <c r="DC102" s="1509"/>
      <c r="DD102" s="1509"/>
      <c r="DE102" s="1509"/>
      <c r="DF102" s="1509"/>
      <c r="DG102" s="1509"/>
      <c r="DH102" s="1509"/>
      <c r="DI102" s="1509"/>
      <c r="DJ102" s="1509"/>
      <c r="DK102" s="1509"/>
      <c r="DL102" s="1509"/>
      <c r="DM102" s="1509"/>
      <c r="DN102" s="1509"/>
      <c r="DO102" s="1509"/>
      <c r="DP102" s="1509"/>
      <c r="DQ102" s="1509"/>
      <c r="DR102" s="1509"/>
      <c r="DS102" s="1509"/>
      <c r="DT102" s="1509"/>
      <c r="DU102" s="1509"/>
      <c r="DV102" s="1509"/>
      <c r="DW102" s="1509"/>
      <c r="DX102" s="1509"/>
      <c r="DY102" s="1509"/>
      <c r="DZ102" s="1509"/>
      <c r="EA102" s="1509"/>
      <c r="EB102" s="1509"/>
      <c r="EC102" s="1509"/>
      <c r="ED102" s="1509"/>
      <c r="EE102" s="1509"/>
      <c r="EF102" s="1509"/>
      <c r="EG102" s="1509"/>
      <c r="EH102" s="1509"/>
      <c r="EI102" s="1509"/>
      <c r="EJ102" s="1509"/>
      <c r="EK102" s="1509"/>
      <c r="EL102" s="1509"/>
      <c r="EM102" s="1509"/>
      <c r="EN102" s="1509"/>
      <c r="EO102" s="1509"/>
      <c r="EP102" s="1509"/>
      <c r="EQ102" s="1509"/>
      <c r="ER102" s="1509"/>
      <c r="ES102" s="1509"/>
      <c r="ET102" s="1509"/>
      <c r="EU102" s="1509"/>
      <c r="EV102" s="1509"/>
      <c r="EW102" s="1509"/>
      <c r="EX102" s="1509"/>
      <c r="EY102" s="1509"/>
      <c r="EZ102" s="1509"/>
      <c r="FA102" s="1509"/>
      <c r="FB102" s="1509"/>
      <c r="FC102" s="1509"/>
      <c r="FD102" s="1509"/>
      <c r="FE102" s="1509"/>
      <c r="FF102" s="1509"/>
      <c r="FG102" s="1509"/>
      <c r="FH102" s="1509"/>
      <c r="FI102" s="1509"/>
      <c r="FJ102" s="1509"/>
      <c r="FK102" s="1509"/>
      <c r="FL102" s="1509"/>
      <c r="FM102" s="1509"/>
      <c r="FN102" s="1509"/>
      <c r="FO102" s="1509"/>
      <c r="FP102" s="1509"/>
      <c r="FQ102" s="1509"/>
      <c r="FR102" s="1509"/>
      <c r="FS102" s="1509"/>
      <c r="FT102" s="1509"/>
      <c r="FU102" s="1509"/>
      <c r="FV102" s="1509"/>
      <c r="FW102" s="1509"/>
      <c r="FX102" s="1509"/>
      <c r="FY102" s="1509"/>
      <c r="FZ102" s="1509"/>
      <c r="GA102" s="1509"/>
      <c r="GB102" s="1509"/>
      <c r="GC102" s="1509"/>
      <c r="GD102" s="1509"/>
      <c r="GE102" s="1509"/>
      <c r="GF102" s="1509"/>
      <c r="GG102" s="1509"/>
      <c r="GH102" s="1509"/>
      <c r="GI102" s="1509"/>
      <c r="GJ102" s="1509"/>
      <c r="GK102" s="1509"/>
      <c r="GL102" s="1509"/>
      <c r="GM102" s="1509"/>
      <c r="GN102" s="1509"/>
      <c r="GO102" s="1509"/>
      <c r="GP102" s="1509"/>
      <c r="GQ102" s="1509"/>
      <c r="GR102" s="1509"/>
      <c r="GS102" s="1509"/>
      <c r="GT102" s="1509"/>
    </row>
    <row r="103" spans="3:202" s="4665" customFormat="1" ht="17.100000000000001" customHeight="1">
      <c r="C103" s="4678"/>
      <c r="E103" s="787"/>
      <c r="F103" s="4677"/>
      <c r="G103" s="4677"/>
      <c r="H103" s="4677"/>
      <c r="I103" s="4677"/>
      <c r="J103" s="4677"/>
      <c r="K103" s="4677"/>
      <c r="L103" s="4677"/>
      <c r="M103" s="4677"/>
      <c r="N103" s="4677"/>
      <c r="O103" s="4677"/>
      <c r="P103" s="4677"/>
      <c r="Q103" s="4677"/>
      <c r="R103" s="4677"/>
      <c r="S103" s="4677"/>
      <c r="T103" s="4677"/>
      <c r="U103" s="4677"/>
      <c r="V103" s="4677"/>
      <c r="W103" s="1509"/>
      <c r="X103" s="644"/>
      <c r="Y103" s="1509"/>
      <c r="Z103" s="1509"/>
      <c r="AA103" s="1509"/>
      <c r="AB103" s="1509"/>
      <c r="AC103" s="1509"/>
      <c r="AD103" s="1509"/>
      <c r="AE103" s="1509"/>
      <c r="AF103" s="1509"/>
      <c r="AG103" s="1509"/>
      <c r="AH103" s="1509"/>
      <c r="AI103" s="1509"/>
      <c r="AJ103" s="1509"/>
      <c r="AK103" s="1509"/>
      <c r="AL103" s="1509"/>
      <c r="AM103" s="1509"/>
      <c r="AN103" s="1509"/>
      <c r="AO103" s="1509"/>
      <c r="AP103" s="1509"/>
      <c r="AQ103" s="1509"/>
      <c r="AR103" s="1509"/>
      <c r="AS103" s="1509"/>
      <c r="AT103" s="1509"/>
      <c r="AU103" s="1509"/>
      <c r="AV103" s="1509"/>
      <c r="AW103" s="1509"/>
      <c r="AX103" s="1509"/>
      <c r="AY103" s="1509"/>
      <c r="AZ103" s="1509"/>
      <c r="BA103" s="1509"/>
      <c r="BB103" s="1509"/>
      <c r="BC103" s="1509"/>
      <c r="BD103" s="1509"/>
      <c r="BE103" s="1509"/>
      <c r="BF103" s="1509"/>
      <c r="BG103" s="1509"/>
      <c r="BH103" s="1509"/>
      <c r="BI103" s="1509"/>
      <c r="BJ103" s="1509"/>
      <c r="BK103" s="1509"/>
      <c r="BL103" s="1509"/>
      <c r="BM103" s="1509"/>
      <c r="BN103" s="1509"/>
      <c r="BO103" s="1509"/>
      <c r="BP103" s="1509"/>
      <c r="BQ103" s="1509"/>
      <c r="BR103" s="1509"/>
      <c r="BS103" s="1509"/>
      <c r="BT103" s="1509"/>
      <c r="BU103" s="1509"/>
      <c r="BV103" s="1509"/>
      <c r="BW103" s="1509"/>
      <c r="BX103" s="1509"/>
      <c r="BY103" s="1509"/>
      <c r="BZ103" s="1509"/>
      <c r="CA103" s="1509"/>
      <c r="CB103" s="1509"/>
      <c r="CC103" s="1509"/>
      <c r="CD103" s="1509"/>
      <c r="CE103" s="1509"/>
      <c r="CF103" s="1509"/>
      <c r="CG103" s="1509"/>
      <c r="CH103" s="1509"/>
      <c r="CI103" s="1509"/>
      <c r="CJ103" s="1509"/>
      <c r="CK103" s="1509"/>
      <c r="CL103" s="1509"/>
      <c r="CM103" s="1509"/>
      <c r="CN103" s="1509"/>
      <c r="CO103" s="1509"/>
      <c r="CP103" s="1509"/>
      <c r="CQ103" s="1509"/>
      <c r="CR103" s="1509"/>
      <c r="CS103" s="1509"/>
      <c r="CT103" s="1509"/>
      <c r="CU103" s="1509"/>
      <c r="CV103" s="1509"/>
      <c r="CW103" s="1509"/>
      <c r="CX103" s="1509"/>
      <c r="CY103" s="1509"/>
      <c r="CZ103" s="1509"/>
      <c r="DA103" s="1509"/>
      <c r="DB103" s="1509"/>
      <c r="DC103" s="1509"/>
      <c r="DD103" s="1509"/>
      <c r="DE103" s="1509"/>
      <c r="DF103" s="1509"/>
      <c r="DG103" s="1509"/>
      <c r="DH103" s="1509"/>
      <c r="DI103" s="1509"/>
      <c r="DJ103" s="1509"/>
      <c r="DK103" s="1509"/>
      <c r="DL103" s="1509"/>
      <c r="DM103" s="1509"/>
      <c r="DN103" s="1509"/>
      <c r="DO103" s="1509"/>
      <c r="DP103" s="1509"/>
      <c r="DQ103" s="1509"/>
      <c r="DR103" s="1509"/>
      <c r="DS103" s="1509"/>
      <c r="DT103" s="1509"/>
      <c r="DU103" s="1509"/>
      <c r="DV103" s="1509"/>
      <c r="DW103" s="1509"/>
      <c r="DX103" s="1509"/>
      <c r="DY103" s="1509"/>
      <c r="DZ103" s="1509"/>
      <c r="EA103" s="1509"/>
      <c r="EB103" s="1509"/>
      <c r="EC103" s="1509"/>
      <c r="ED103" s="1509"/>
      <c r="EE103" s="1509"/>
      <c r="EF103" s="1509"/>
      <c r="EG103" s="1509"/>
      <c r="EH103" s="1509"/>
      <c r="EI103" s="1509"/>
      <c r="EJ103" s="1509"/>
      <c r="EK103" s="1509"/>
      <c r="EL103" s="1509"/>
      <c r="EM103" s="1509"/>
      <c r="EN103" s="1509"/>
      <c r="EO103" s="1509"/>
      <c r="EP103" s="1509"/>
      <c r="EQ103" s="1509"/>
      <c r="ER103" s="1509"/>
      <c r="ES103" s="1509"/>
      <c r="ET103" s="1509"/>
      <c r="EU103" s="1509"/>
      <c r="EV103" s="1509"/>
      <c r="EW103" s="1509"/>
      <c r="EX103" s="1509"/>
      <c r="EY103" s="1509"/>
      <c r="EZ103" s="1509"/>
      <c r="FA103" s="1509"/>
      <c r="FB103" s="1509"/>
      <c r="FC103" s="1509"/>
      <c r="FD103" s="1509"/>
      <c r="FE103" s="1509"/>
      <c r="FF103" s="1509"/>
      <c r="FG103" s="1509"/>
      <c r="FH103" s="1509"/>
      <c r="FI103" s="1509"/>
      <c r="FJ103" s="1509"/>
      <c r="FK103" s="1509"/>
      <c r="FL103" s="1509"/>
      <c r="FM103" s="1509"/>
      <c r="FN103" s="1509"/>
      <c r="FO103" s="1509"/>
      <c r="FP103" s="1509"/>
      <c r="FQ103" s="1509"/>
      <c r="FR103" s="1509"/>
      <c r="FS103" s="1509"/>
      <c r="FT103" s="1509"/>
      <c r="FU103" s="1509"/>
      <c r="FV103" s="1509"/>
      <c r="FW103" s="1509"/>
      <c r="FX103" s="1509"/>
      <c r="FY103" s="1509"/>
      <c r="FZ103" s="1509"/>
      <c r="GA103" s="1509"/>
      <c r="GB103" s="1509"/>
      <c r="GC103" s="1509"/>
      <c r="GD103" s="1509"/>
      <c r="GE103" s="1509"/>
      <c r="GF103" s="1509"/>
      <c r="GG103" s="1509"/>
      <c r="GH103" s="1509"/>
      <c r="GI103" s="1509"/>
      <c r="GJ103" s="1509"/>
      <c r="GK103" s="1509"/>
      <c r="GL103" s="1509"/>
      <c r="GM103" s="1509"/>
      <c r="GN103" s="1509"/>
      <c r="GO103" s="1509"/>
      <c r="GP103" s="1509"/>
      <c r="GQ103" s="1509"/>
      <c r="GR103" s="1509"/>
      <c r="GS103" s="1509"/>
      <c r="GT103" s="1509"/>
    </row>
    <row r="104" spans="3:202" s="4665" customFormat="1" ht="17.100000000000001" customHeight="1">
      <c r="C104" s="4678"/>
      <c r="D104" s="4676"/>
      <c r="E104" s="1591"/>
      <c r="F104" s="4677"/>
      <c r="G104" s="1509"/>
      <c r="H104" s="1509"/>
      <c r="I104" s="1509"/>
      <c r="J104" s="1509"/>
      <c r="K104" s="1509"/>
      <c r="L104" s="1509"/>
      <c r="M104" s="1509"/>
      <c r="N104" s="1509"/>
      <c r="O104" s="1509"/>
      <c r="P104" s="1509"/>
      <c r="Q104" s="1509"/>
      <c r="R104" s="1509"/>
      <c r="S104" s="1509"/>
      <c r="T104" s="1509"/>
      <c r="U104" s="1509"/>
      <c r="V104" s="1509"/>
      <c r="W104" s="1509"/>
      <c r="X104" s="1509"/>
      <c r="Y104" s="1509"/>
      <c r="Z104" s="1509"/>
      <c r="AA104" s="1509"/>
      <c r="AB104" s="1509"/>
      <c r="AC104" s="1509"/>
      <c r="AD104" s="1509"/>
      <c r="AE104" s="1509"/>
      <c r="AF104" s="1509"/>
      <c r="AG104" s="1509"/>
      <c r="AH104" s="1509"/>
      <c r="AI104" s="1509"/>
      <c r="AJ104" s="1509"/>
      <c r="AK104" s="1509"/>
      <c r="AL104" s="1509"/>
      <c r="AM104" s="1509"/>
      <c r="AN104" s="1509"/>
      <c r="AO104" s="1509"/>
      <c r="AP104" s="1509"/>
      <c r="AQ104" s="1509"/>
      <c r="AR104" s="1509"/>
      <c r="AS104" s="1509"/>
      <c r="AT104" s="1509"/>
      <c r="AU104" s="1509"/>
      <c r="AV104" s="1509"/>
      <c r="AW104" s="1509"/>
      <c r="AX104" s="1509"/>
      <c r="AY104" s="1509"/>
      <c r="AZ104" s="1509"/>
      <c r="BA104" s="1509"/>
      <c r="BB104" s="1509"/>
      <c r="BC104" s="1509"/>
      <c r="BD104" s="1509"/>
      <c r="BE104" s="1509"/>
      <c r="BF104" s="1509"/>
      <c r="BG104" s="1509"/>
      <c r="BH104" s="1509"/>
      <c r="BI104" s="1509"/>
      <c r="BJ104" s="1509"/>
      <c r="BK104" s="1509"/>
      <c r="BL104" s="1509"/>
      <c r="BM104" s="1509"/>
      <c r="BN104" s="1509"/>
      <c r="BO104" s="1509"/>
      <c r="BP104" s="1509"/>
      <c r="BQ104" s="1509"/>
      <c r="BR104" s="1509"/>
      <c r="BS104" s="1509"/>
      <c r="BT104" s="1509"/>
      <c r="BU104" s="1509"/>
      <c r="BV104" s="1509"/>
      <c r="BW104" s="1509"/>
      <c r="BX104" s="1509"/>
      <c r="BY104" s="1509"/>
      <c r="BZ104" s="1509"/>
      <c r="CA104" s="1509"/>
      <c r="CB104" s="1509"/>
      <c r="CC104" s="1509"/>
      <c r="CD104" s="1509"/>
      <c r="CE104" s="1509"/>
      <c r="CF104" s="1509"/>
      <c r="CG104" s="1509"/>
      <c r="CH104" s="1509"/>
      <c r="CI104" s="1509"/>
      <c r="CJ104" s="1509"/>
      <c r="CK104" s="1509"/>
      <c r="CL104" s="1509"/>
      <c r="CM104" s="1509"/>
      <c r="CN104" s="1509"/>
      <c r="CO104" s="1509"/>
      <c r="CP104" s="1509"/>
      <c r="CQ104" s="1509"/>
      <c r="CR104" s="1509"/>
      <c r="CS104" s="1509"/>
      <c r="CT104" s="1509"/>
      <c r="CU104" s="1509"/>
      <c r="CV104" s="1509"/>
      <c r="CW104" s="1509"/>
      <c r="CX104" s="1509"/>
      <c r="CY104" s="1509"/>
      <c r="CZ104" s="1509"/>
      <c r="DA104" s="1509"/>
      <c r="DB104" s="1509"/>
      <c r="DC104" s="1509"/>
      <c r="DD104" s="1509"/>
      <c r="DE104" s="1509"/>
      <c r="DF104" s="1509"/>
      <c r="DG104" s="1509"/>
      <c r="DH104" s="1509"/>
      <c r="DI104" s="1509"/>
      <c r="DJ104" s="1509"/>
      <c r="DK104" s="1509"/>
      <c r="DL104" s="1509"/>
      <c r="DM104" s="1509"/>
      <c r="DN104" s="1509"/>
      <c r="DO104" s="1509"/>
      <c r="DP104" s="1509"/>
      <c r="DQ104" s="1509"/>
      <c r="DR104" s="1509"/>
      <c r="DS104" s="1509"/>
      <c r="DT104" s="1509"/>
      <c r="DU104" s="1509"/>
      <c r="DV104" s="1509"/>
      <c r="DW104" s="1509"/>
      <c r="DX104" s="1509"/>
      <c r="DY104" s="1509"/>
      <c r="DZ104" s="1509"/>
      <c r="EA104" s="1509"/>
      <c r="EB104" s="1509"/>
      <c r="EC104" s="1509"/>
      <c r="ED104" s="1509"/>
      <c r="EE104" s="1509"/>
      <c r="EF104" s="1509"/>
      <c r="EG104" s="1509"/>
      <c r="EH104" s="1509"/>
      <c r="EI104" s="1509"/>
      <c r="EJ104" s="1509"/>
      <c r="EK104" s="1509"/>
      <c r="EL104" s="1509"/>
      <c r="EM104" s="1509"/>
      <c r="EN104" s="1509"/>
      <c r="EO104" s="1509"/>
      <c r="EP104" s="1509"/>
      <c r="EQ104" s="1509"/>
      <c r="ER104" s="1509"/>
      <c r="ES104" s="1509"/>
      <c r="ET104" s="1509"/>
      <c r="EU104" s="1509"/>
      <c r="EV104" s="1509"/>
      <c r="EW104" s="1509"/>
      <c r="EX104" s="1509"/>
      <c r="EY104" s="1509"/>
      <c r="EZ104" s="1509"/>
      <c r="FA104" s="1509"/>
      <c r="FB104" s="1509"/>
      <c r="FC104" s="1509"/>
      <c r="FD104" s="1509"/>
      <c r="FE104" s="1509"/>
      <c r="FF104" s="1509"/>
      <c r="FG104" s="1509"/>
      <c r="FH104" s="1509"/>
      <c r="FI104" s="1509"/>
      <c r="FJ104" s="1509"/>
      <c r="FK104" s="1509"/>
      <c r="FL104" s="1509"/>
      <c r="FM104" s="1509"/>
      <c r="FN104" s="1509"/>
      <c r="FO104" s="1509"/>
      <c r="FP104" s="1509"/>
      <c r="FQ104" s="1509"/>
      <c r="FR104" s="1509"/>
      <c r="FS104" s="1509"/>
      <c r="FT104" s="1509"/>
      <c r="FU104" s="1509"/>
      <c r="FV104" s="1509"/>
      <c r="FW104" s="1509"/>
      <c r="FX104" s="1509"/>
      <c r="FY104" s="1509"/>
      <c r="FZ104" s="1509"/>
      <c r="GA104" s="1509"/>
      <c r="GB104" s="1509"/>
      <c r="GC104" s="1509"/>
      <c r="GD104" s="1509"/>
      <c r="GE104" s="1509"/>
      <c r="GF104" s="1509"/>
      <c r="GG104" s="1509"/>
      <c r="GH104" s="1509"/>
      <c r="GI104" s="1509"/>
      <c r="GJ104" s="1509"/>
      <c r="GK104" s="1509"/>
      <c r="GL104" s="1509"/>
      <c r="GM104" s="1509"/>
      <c r="GN104" s="1509"/>
      <c r="GO104" s="1509"/>
      <c r="GP104" s="1509"/>
      <c r="GQ104" s="1509"/>
      <c r="GR104" s="1509"/>
      <c r="GS104" s="1509"/>
      <c r="GT104" s="1509"/>
    </row>
    <row r="105" spans="3:202" s="4665" customFormat="1" ht="17.100000000000001" customHeight="1">
      <c r="C105" s="4678"/>
      <c r="D105" s="4676"/>
      <c r="E105" s="1591"/>
      <c r="F105" s="4677"/>
      <c r="G105" s="4677"/>
      <c r="H105" s="4677"/>
      <c r="I105" s="4677"/>
      <c r="J105" s="4677"/>
      <c r="K105" s="4677"/>
      <c r="L105" s="4677"/>
      <c r="M105" s="4677"/>
      <c r="N105" s="4677"/>
      <c r="O105" s="4677"/>
      <c r="P105" s="4677"/>
      <c r="Q105" s="4677"/>
      <c r="R105" s="4677"/>
      <c r="S105" s="4677"/>
      <c r="T105" s="4677"/>
      <c r="U105" s="4677"/>
      <c r="V105" s="4677"/>
      <c r="W105" s="1509"/>
      <c r="X105" s="1509"/>
      <c r="Y105" s="1509"/>
      <c r="Z105" s="1509"/>
      <c r="AA105" s="1509"/>
      <c r="AB105" s="1509"/>
      <c r="AC105" s="1509"/>
      <c r="AD105" s="1509"/>
      <c r="AE105" s="1509"/>
      <c r="AF105" s="1509"/>
      <c r="AG105" s="1509"/>
      <c r="AH105" s="1509"/>
      <c r="AI105" s="1509"/>
      <c r="AJ105" s="1509"/>
      <c r="AK105" s="1509"/>
      <c r="AL105" s="1509"/>
      <c r="AM105" s="1509"/>
      <c r="AN105" s="1509"/>
      <c r="AO105" s="1509"/>
      <c r="AP105" s="1509"/>
      <c r="AQ105" s="1509"/>
      <c r="AR105" s="1509"/>
      <c r="AS105" s="1509"/>
      <c r="AT105" s="1509"/>
      <c r="AU105" s="1509"/>
      <c r="AV105" s="1509"/>
      <c r="AW105" s="1509"/>
      <c r="AX105" s="1509"/>
      <c r="AY105" s="1509"/>
      <c r="AZ105" s="1509"/>
      <c r="BA105" s="1509"/>
      <c r="BB105" s="1509"/>
      <c r="BC105" s="1509"/>
      <c r="BD105" s="1509"/>
      <c r="BE105" s="1509"/>
      <c r="BF105" s="1509"/>
      <c r="BG105" s="1509"/>
      <c r="BH105" s="1509"/>
      <c r="BI105" s="1509"/>
      <c r="BJ105" s="1509"/>
      <c r="BK105" s="1509"/>
      <c r="BL105" s="1509"/>
      <c r="BM105" s="1509"/>
      <c r="BN105" s="1509"/>
      <c r="BO105" s="1509"/>
      <c r="BP105" s="1509"/>
      <c r="BQ105" s="1509"/>
      <c r="BR105" s="1509"/>
      <c r="BS105" s="1509"/>
      <c r="BT105" s="1509"/>
      <c r="BU105" s="1509"/>
      <c r="BV105" s="1509"/>
      <c r="BW105" s="1509"/>
      <c r="BX105" s="1509"/>
      <c r="BY105" s="1509"/>
      <c r="BZ105" s="1509"/>
      <c r="CA105" s="1509"/>
      <c r="CB105" s="1509"/>
      <c r="CC105" s="1509"/>
      <c r="CD105" s="1509"/>
      <c r="CE105" s="1509"/>
      <c r="CF105" s="1509"/>
      <c r="CG105" s="1509"/>
      <c r="CH105" s="1509"/>
      <c r="CI105" s="1509"/>
      <c r="CJ105" s="1509"/>
      <c r="CK105" s="1509"/>
      <c r="CL105" s="1509"/>
      <c r="CM105" s="1509"/>
      <c r="CN105" s="1509"/>
      <c r="CO105" s="1509"/>
      <c r="CP105" s="1509"/>
      <c r="CQ105" s="1509"/>
      <c r="CR105" s="1509"/>
      <c r="CS105" s="1509"/>
      <c r="CT105" s="1509"/>
      <c r="CU105" s="1509"/>
      <c r="CV105" s="1509"/>
      <c r="CW105" s="1509"/>
      <c r="CX105" s="1509"/>
      <c r="CY105" s="1509"/>
      <c r="CZ105" s="1509"/>
      <c r="DA105" s="1509"/>
      <c r="DB105" s="1509"/>
      <c r="DC105" s="1509"/>
      <c r="DD105" s="1509"/>
      <c r="DE105" s="1509"/>
      <c r="DF105" s="1509"/>
      <c r="DG105" s="1509"/>
      <c r="DH105" s="1509"/>
      <c r="DI105" s="1509"/>
      <c r="DJ105" s="1509"/>
      <c r="DK105" s="1509"/>
      <c r="DL105" s="1509"/>
      <c r="DM105" s="1509"/>
      <c r="DN105" s="1509"/>
      <c r="DO105" s="1509"/>
      <c r="DP105" s="1509"/>
      <c r="DQ105" s="1509"/>
      <c r="DR105" s="1509"/>
      <c r="DS105" s="1509"/>
      <c r="DT105" s="1509"/>
      <c r="DU105" s="1509"/>
      <c r="DV105" s="1509"/>
      <c r="DW105" s="1509"/>
      <c r="DX105" s="1509"/>
      <c r="DY105" s="1509"/>
      <c r="DZ105" s="1509"/>
      <c r="EA105" s="1509"/>
      <c r="EB105" s="1509"/>
      <c r="EC105" s="1509"/>
      <c r="ED105" s="1509"/>
      <c r="EE105" s="1509"/>
      <c r="EF105" s="1509"/>
      <c r="EG105" s="1509"/>
      <c r="EH105" s="1509"/>
      <c r="EI105" s="1509"/>
      <c r="EJ105" s="1509"/>
      <c r="EK105" s="1509"/>
      <c r="EL105" s="1509"/>
      <c r="EM105" s="1509"/>
      <c r="EN105" s="1509"/>
      <c r="EO105" s="1509"/>
      <c r="EP105" s="1509"/>
      <c r="EQ105" s="1509"/>
      <c r="ER105" s="1509"/>
      <c r="ES105" s="1509"/>
      <c r="ET105" s="1509"/>
      <c r="EU105" s="1509"/>
      <c r="EV105" s="1509"/>
      <c r="EW105" s="1509"/>
      <c r="EX105" s="1509"/>
      <c r="EY105" s="1509"/>
      <c r="EZ105" s="1509"/>
      <c r="FA105" s="1509"/>
      <c r="FB105" s="1509"/>
      <c r="FC105" s="1509"/>
      <c r="FD105" s="1509"/>
      <c r="FE105" s="1509"/>
      <c r="FF105" s="1509"/>
      <c r="FG105" s="1509"/>
      <c r="FH105" s="1509"/>
      <c r="FI105" s="1509"/>
      <c r="FJ105" s="1509"/>
      <c r="FK105" s="1509"/>
      <c r="FL105" s="1509"/>
      <c r="FM105" s="1509"/>
      <c r="FN105" s="1509"/>
      <c r="FO105" s="1509"/>
      <c r="FP105" s="1509"/>
      <c r="FQ105" s="1509"/>
      <c r="FR105" s="1509"/>
      <c r="FS105" s="1509"/>
      <c r="FT105" s="1509"/>
      <c r="FU105" s="1509"/>
      <c r="FV105" s="1509"/>
      <c r="FW105" s="1509"/>
      <c r="FX105" s="1509"/>
      <c r="FY105" s="1509"/>
      <c r="FZ105" s="1509"/>
      <c r="GA105" s="1509"/>
      <c r="GB105" s="1509"/>
      <c r="GC105" s="1509"/>
      <c r="GD105" s="1509"/>
      <c r="GE105" s="1509"/>
      <c r="GF105" s="1509"/>
      <c r="GG105" s="1509"/>
      <c r="GH105" s="1509"/>
      <c r="GI105" s="1509"/>
      <c r="GJ105" s="1509"/>
      <c r="GK105" s="1509"/>
      <c r="GL105" s="1509"/>
      <c r="GM105" s="1509"/>
      <c r="GN105" s="1509"/>
      <c r="GO105" s="1509"/>
      <c r="GP105" s="1509"/>
      <c r="GQ105" s="1509"/>
      <c r="GR105" s="1509"/>
      <c r="GS105" s="1509"/>
      <c r="GT105" s="1509"/>
    </row>
    <row r="106" spans="3:202" s="4665" customFormat="1" ht="17.100000000000001" customHeight="1">
      <c r="C106" s="4678"/>
      <c r="D106" s="4676"/>
      <c r="E106" s="1591"/>
      <c r="F106" s="4677"/>
      <c r="G106" s="4677"/>
      <c r="H106" s="4677"/>
      <c r="I106" s="4677"/>
      <c r="J106" s="4677"/>
      <c r="K106" s="4677"/>
      <c r="L106" s="4677"/>
      <c r="M106" s="4677"/>
      <c r="N106" s="4677"/>
      <c r="O106" s="4677"/>
      <c r="P106" s="4677"/>
      <c r="Q106" s="4677"/>
      <c r="R106" s="4677"/>
      <c r="S106" s="4677"/>
      <c r="T106" s="4677"/>
      <c r="U106" s="4677"/>
      <c r="V106" s="4677"/>
      <c r="W106" s="1509"/>
      <c r="X106" s="1509"/>
      <c r="Y106" s="1509"/>
      <c r="Z106" s="1509"/>
      <c r="AA106" s="1509"/>
      <c r="AB106" s="1509"/>
      <c r="AC106" s="1509"/>
      <c r="AD106" s="1509"/>
      <c r="AE106" s="1509"/>
      <c r="AF106" s="1509"/>
      <c r="AG106" s="1509"/>
      <c r="AH106" s="1509"/>
      <c r="AI106" s="1509"/>
      <c r="AJ106" s="1509"/>
      <c r="AK106" s="1509"/>
      <c r="AL106" s="1509"/>
      <c r="AM106" s="1509"/>
      <c r="AN106" s="1509"/>
      <c r="AO106" s="1509"/>
      <c r="AP106" s="1509"/>
      <c r="AQ106" s="1509"/>
      <c r="AR106" s="1509"/>
      <c r="AS106" s="1509"/>
      <c r="AT106" s="1509"/>
      <c r="AU106" s="1509"/>
      <c r="AV106" s="1509"/>
      <c r="AW106" s="1509"/>
      <c r="AX106" s="1509"/>
      <c r="AY106" s="1509"/>
      <c r="AZ106" s="1509"/>
      <c r="BA106" s="1509"/>
      <c r="BB106" s="1509"/>
      <c r="BC106" s="1509"/>
      <c r="BD106" s="1509"/>
      <c r="BE106" s="1509"/>
      <c r="BF106" s="1509"/>
      <c r="BG106" s="1509"/>
      <c r="BH106" s="1509"/>
      <c r="BI106" s="1509"/>
      <c r="BJ106" s="1509"/>
      <c r="BK106" s="1509"/>
      <c r="BL106" s="1509"/>
      <c r="BM106" s="1509"/>
      <c r="BN106" s="1509"/>
      <c r="BO106" s="1509"/>
      <c r="BP106" s="1509"/>
      <c r="BQ106" s="1509"/>
      <c r="BR106" s="1509"/>
      <c r="BS106" s="1509"/>
      <c r="BT106" s="1509"/>
      <c r="BU106" s="1509"/>
      <c r="BV106" s="1509"/>
      <c r="BW106" s="1509"/>
      <c r="BX106" s="1509"/>
      <c r="BY106" s="1509"/>
      <c r="BZ106" s="1509"/>
      <c r="CA106" s="1509"/>
      <c r="CB106" s="1509"/>
      <c r="CC106" s="1509"/>
      <c r="CD106" s="1509"/>
      <c r="CE106" s="1509"/>
      <c r="CF106" s="1509"/>
      <c r="CG106" s="1509"/>
      <c r="CH106" s="1509"/>
      <c r="CI106" s="1509"/>
      <c r="CJ106" s="1509"/>
      <c r="CK106" s="1509"/>
      <c r="CL106" s="1509"/>
      <c r="CM106" s="1509"/>
      <c r="CN106" s="1509"/>
      <c r="CO106" s="1509"/>
      <c r="CP106" s="1509"/>
      <c r="CQ106" s="1509"/>
      <c r="CR106" s="1509"/>
      <c r="CS106" s="1509"/>
      <c r="CT106" s="1509"/>
      <c r="CU106" s="1509"/>
      <c r="CV106" s="1509"/>
      <c r="CW106" s="1509"/>
      <c r="CX106" s="1509"/>
      <c r="CY106" s="1509"/>
      <c r="CZ106" s="1509"/>
      <c r="DA106" s="1509"/>
      <c r="DB106" s="1509"/>
      <c r="DC106" s="1509"/>
      <c r="DD106" s="1509"/>
      <c r="DE106" s="1509"/>
      <c r="DF106" s="1509"/>
      <c r="DG106" s="1509"/>
      <c r="DH106" s="1509"/>
      <c r="DI106" s="1509"/>
      <c r="DJ106" s="1509"/>
      <c r="DK106" s="1509"/>
      <c r="DL106" s="1509"/>
      <c r="DM106" s="1509"/>
      <c r="DN106" s="1509"/>
      <c r="DO106" s="1509"/>
      <c r="DP106" s="1509"/>
      <c r="DQ106" s="1509"/>
      <c r="DR106" s="1509"/>
      <c r="DS106" s="1509"/>
      <c r="DT106" s="1509"/>
      <c r="DU106" s="1509"/>
      <c r="DV106" s="1509"/>
      <c r="DW106" s="1509"/>
      <c r="DX106" s="1509"/>
      <c r="DY106" s="1509"/>
      <c r="DZ106" s="1509"/>
      <c r="EA106" s="1509"/>
      <c r="EB106" s="1509"/>
      <c r="EC106" s="1509"/>
      <c r="ED106" s="1509"/>
      <c r="EE106" s="1509"/>
      <c r="EF106" s="1509"/>
      <c r="EG106" s="1509"/>
      <c r="EH106" s="1509"/>
      <c r="EI106" s="1509"/>
      <c r="EJ106" s="1509"/>
      <c r="EK106" s="1509"/>
      <c r="EL106" s="1509"/>
      <c r="EM106" s="1509"/>
      <c r="EN106" s="1509"/>
      <c r="EO106" s="1509"/>
      <c r="EP106" s="1509"/>
      <c r="EQ106" s="1509"/>
      <c r="ER106" s="1509"/>
      <c r="ES106" s="1509"/>
      <c r="ET106" s="1509"/>
      <c r="EU106" s="1509"/>
      <c r="EV106" s="1509"/>
      <c r="EW106" s="1509"/>
      <c r="EX106" s="1509"/>
      <c r="EY106" s="1509"/>
      <c r="EZ106" s="1509"/>
      <c r="FA106" s="1509"/>
      <c r="FB106" s="1509"/>
      <c r="FC106" s="1509"/>
      <c r="FD106" s="1509"/>
      <c r="FE106" s="1509"/>
      <c r="FF106" s="1509"/>
      <c r="FG106" s="1509"/>
      <c r="FH106" s="1509"/>
      <c r="FI106" s="1509"/>
      <c r="FJ106" s="1509"/>
      <c r="FK106" s="1509"/>
      <c r="FL106" s="1509"/>
      <c r="FM106" s="1509"/>
      <c r="FN106" s="1509"/>
      <c r="FO106" s="1509"/>
      <c r="FP106" s="1509"/>
      <c r="FQ106" s="1509"/>
      <c r="FR106" s="1509"/>
      <c r="FS106" s="1509"/>
      <c r="FT106" s="1509"/>
      <c r="FU106" s="1509"/>
      <c r="FV106" s="1509"/>
      <c r="FW106" s="1509"/>
      <c r="FX106" s="1509"/>
      <c r="FY106" s="1509"/>
      <c r="FZ106" s="1509"/>
      <c r="GA106" s="1509"/>
      <c r="GB106" s="1509"/>
      <c r="GC106" s="1509"/>
      <c r="GD106" s="1509"/>
      <c r="GE106" s="1509"/>
      <c r="GF106" s="1509"/>
      <c r="GG106" s="1509"/>
      <c r="GH106" s="1509"/>
      <c r="GI106" s="1509"/>
      <c r="GJ106" s="1509"/>
      <c r="GK106" s="1509"/>
      <c r="GL106" s="1509"/>
      <c r="GM106" s="1509"/>
      <c r="GN106" s="1509"/>
      <c r="GO106" s="1509"/>
      <c r="GP106" s="1509"/>
      <c r="GQ106" s="1509"/>
      <c r="GR106" s="1509"/>
      <c r="GS106" s="1509"/>
      <c r="GT106" s="1509"/>
    </row>
    <row r="107" spans="3:202" s="4665" customFormat="1" ht="17.100000000000001" customHeight="1">
      <c r="D107" s="4676"/>
      <c r="E107" s="787"/>
      <c r="F107" s="4677"/>
      <c r="G107" s="1509"/>
      <c r="H107" s="1509"/>
      <c r="I107" s="1509"/>
      <c r="J107" s="1509"/>
      <c r="K107" s="1509"/>
      <c r="L107" s="1509"/>
      <c r="M107" s="1509"/>
      <c r="N107" s="1509"/>
      <c r="O107" s="1509"/>
      <c r="P107" s="1509"/>
      <c r="Q107" s="1509"/>
      <c r="R107" s="1509"/>
      <c r="S107" s="1509"/>
      <c r="T107" s="1509"/>
      <c r="U107" s="1509"/>
      <c r="V107" s="1509"/>
      <c r="W107" s="1509"/>
      <c r="X107" s="1509"/>
      <c r="Y107" s="1509"/>
      <c r="Z107" s="1509"/>
      <c r="AA107" s="1509"/>
      <c r="AB107" s="1509"/>
      <c r="AC107" s="1509"/>
      <c r="AD107" s="1509"/>
      <c r="AE107" s="1509"/>
      <c r="AF107" s="1509"/>
      <c r="AG107" s="1509"/>
      <c r="AH107" s="1509"/>
      <c r="AI107" s="1509"/>
      <c r="AJ107" s="1509"/>
      <c r="AK107" s="1509"/>
      <c r="AL107" s="1509"/>
      <c r="AM107" s="1509"/>
      <c r="AN107" s="1509"/>
      <c r="AO107" s="1509"/>
      <c r="AP107" s="1509"/>
      <c r="AQ107" s="1509"/>
      <c r="AR107" s="1509"/>
      <c r="AS107" s="1509"/>
      <c r="AT107" s="1509"/>
      <c r="AU107" s="1509"/>
      <c r="AV107" s="1509"/>
      <c r="AW107" s="1509"/>
      <c r="AX107" s="1509"/>
      <c r="AY107" s="1509"/>
      <c r="AZ107" s="1509"/>
      <c r="BA107" s="1509"/>
      <c r="BB107" s="1509"/>
      <c r="BC107" s="1509"/>
      <c r="BD107" s="1509"/>
      <c r="BE107" s="1509"/>
      <c r="BF107" s="1509"/>
      <c r="BG107" s="1509"/>
      <c r="BH107" s="1509"/>
      <c r="BI107" s="1509"/>
      <c r="BJ107" s="1509"/>
      <c r="BK107" s="1509"/>
      <c r="BL107" s="1509"/>
      <c r="BM107" s="1509"/>
      <c r="BN107" s="1509"/>
      <c r="BO107" s="1509"/>
      <c r="BP107" s="1509"/>
      <c r="BQ107" s="1509"/>
      <c r="BR107" s="1509"/>
      <c r="BS107" s="1509"/>
      <c r="BT107" s="1509"/>
      <c r="BU107" s="1509"/>
      <c r="BV107" s="1509"/>
      <c r="BW107" s="1509"/>
      <c r="BX107" s="1509"/>
      <c r="BY107" s="1509"/>
      <c r="BZ107" s="1509"/>
      <c r="CA107" s="1509"/>
      <c r="CB107" s="1509"/>
      <c r="CC107" s="1509"/>
      <c r="CD107" s="1509"/>
      <c r="CE107" s="1509"/>
      <c r="CF107" s="1509"/>
      <c r="CG107" s="1509"/>
      <c r="CH107" s="1509"/>
      <c r="CI107" s="1509"/>
      <c r="CJ107" s="1509"/>
      <c r="CK107" s="1509"/>
      <c r="CL107" s="1509"/>
      <c r="CM107" s="1509"/>
      <c r="CN107" s="1509"/>
      <c r="CO107" s="1509"/>
      <c r="CP107" s="1509"/>
      <c r="CQ107" s="1509"/>
      <c r="CR107" s="1509"/>
      <c r="CS107" s="1509"/>
      <c r="CT107" s="1509"/>
      <c r="CU107" s="1509"/>
      <c r="CV107" s="1509"/>
      <c r="CW107" s="1509"/>
      <c r="CX107" s="1509"/>
      <c r="CY107" s="1509"/>
      <c r="CZ107" s="1509"/>
      <c r="DA107" s="1509"/>
      <c r="DB107" s="1509"/>
      <c r="DC107" s="1509"/>
      <c r="DD107" s="1509"/>
      <c r="DE107" s="1509"/>
      <c r="DF107" s="1509"/>
      <c r="DG107" s="1509"/>
      <c r="DH107" s="1509"/>
      <c r="DI107" s="1509"/>
      <c r="DJ107" s="1509"/>
      <c r="DK107" s="1509"/>
      <c r="DL107" s="1509"/>
      <c r="DM107" s="1509"/>
      <c r="DN107" s="1509"/>
      <c r="DO107" s="1509"/>
      <c r="DP107" s="1509"/>
      <c r="DQ107" s="1509"/>
      <c r="DR107" s="1509"/>
      <c r="DS107" s="1509"/>
      <c r="DT107" s="1509"/>
      <c r="DU107" s="1509"/>
      <c r="DV107" s="1509"/>
      <c r="DW107" s="1509"/>
      <c r="DX107" s="1509"/>
      <c r="DY107" s="1509"/>
      <c r="DZ107" s="1509"/>
      <c r="EA107" s="1509"/>
      <c r="EB107" s="1509"/>
      <c r="EC107" s="1509"/>
      <c r="ED107" s="1509"/>
      <c r="EE107" s="1509"/>
      <c r="EF107" s="1509"/>
      <c r="EG107" s="1509"/>
      <c r="EH107" s="1509"/>
      <c r="EI107" s="1509"/>
      <c r="EJ107" s="1509"/>
      <c r="EK107" s="1509"/>
      <c r="EL107" s="1509"/>
      <c r="EM107" s="1509"/>
      <c r="EN107" s="1509"/>
      <c r="EO107" s="1509"/>
      <c r="EP107" s="1509"/>
      <c r="EQ107" s="1509"/>
      <c r="ER107" s="1509"/>
      <c r="ES107" s="1509"/>
      <c r="ET107" s="1509"/>
      <c r="EU107" s="1509"/>
      <c r="EV107" s="1509"/>
      <c r="EW107" s="1509"/>
      <c r="EX107" s="1509"/>
      <c r="EY107" s="1509"/>
      <c r="EZ107" s="1509"/>
      <c r="FA107" s="1509"/>
      <c r="FB107" s="1509"/>
      <c r="FC107" s="1509"/>
      <c r="FD107" s="1509"/>
      <c r="FE107" s="1509"/>
      <c r="FF107" s="1509"/>
      <c r="FG107" s="1509"/>
      <c r="FH107" s="1509"/>
      <c r="FI107" s="1509"/>
      <c r="FJ107" s="1509"/>
      <c r="FK107" s="1509"/>
      <c r="FL107" s="1509"/>
      <c r="FM107" s="1509"/>
      <c r="FN107" s="1509"/>
      <c r="FO107" s="1509"/>
      <c r="FP107" s="1509"/>
      <c r="FQ107" s="1509"/>
      <c r="FR107" s="1509"/>
      <c r="FS107" s="1509"/>
      <c r="FT107" s="1509"/>
      <c r="FU107" s="1509"/>
      <c r="FV107" s="1509"/>
      <c r="FW107" s="1509"/>
      <c r="FX107" s="1509"/>
      <c r="FY107" s="1509"/>
      <c r="FZ107" s="1509"/>
      <c r="GA107" s="1509"/>
      <c r="GB107" s="1509"/>
      <c r="GC107" s="1509"/>
      <c r="GD107" s="1509"/>
      <c r="GE107" s="1509"/>
      <c r="GF107" s="1509"/>
      <c r="GG107" s="1509"/>
      <c r="GH107" s="1509"/>
      <c r="GI107" s="1509"/>
      <c r="GJ107" s="1509"/>
      <c r="GK107" s="1509"/>
      <c r="GL107" s="1509"/>
      <c r="GM107" s="1509"/>
      <c r="GN107" s="1509"/>
      <c r="GO107" s="1509"/>
      <c r="GP107" s="1509"/>
      <c r="GQ107" s="1509"/>
      <c r="GR107" s="1509"/>
      <c r="GS107" s="1509"/>
      <c r="GT107" s="1509"/>
    </row>
    <row r="108" spans="3:202" s="4665" customFormat="1" ht="17.100000000000001" customHeight="1">
      <c r="D108" s="4676"/>
      <c r="E108" s="787"/>
      <c r="F108" s="4677"/>
      <c r="G108" s="4677"/>
      <c r="H108" s="4677"/>
      <c r="I108" s="4677"/>
      <c r="J108" s="4677"/>
      <c r="K108" s="4677"/>
      <c r="L108" s="4677"/>
      <c r="M108" s="4677"/>
      <c r="N108" s="4677"/>
      <c r="O108" s="4677"/>
      <c r="P108" s="4677"/>
      <c r="Q108" s="4677"/>
      <c r="R108" s="4677"/>
      <c r="S108" s="4677"/>
      <c r="T108" s="4677"/>
      <c r="U108" s="4677"/>
      <c r="V108" s="4677"/>
      <c r="W108" s="1509"/>
      <c r="X108" s="1509"/>
      <c r="Y108" s="1509"/>
      <c r="Z108" s="1509"/>
      <c r="AA108" s="1509"/>
      <c r="AB108" s="1509"/>
      <c r="AC108" s="1509"/>
      <c r="AD108" s="1509"/>
      <c r="AE108" s="1509"/>
      <c r="AF108" s="1509"/>
      <c r="AG108" s="1509"/>
      <c r="AH108" s="1509"/>
      <c r="AI108" s="1509"/>
      <c r="AJ108" s="1509"/>
      <c r="AK108" s="1509"/>
      <c r="AL108" s="1509"/>
      <c r="AM108" s="1509"/>
      <c r="AN108" s="1509"/>
      <c r="AO108" s="1509"/>
      <c r="AP108" s="1509"/>
      <c r="AQ108" s="1509"/>
      <c r="AR108" s="1509"/>
      <c r="AS108" s="1509"/>
      <c r="AT108" s="1509"/>
      <c r="AU108" s="1509"/>
      <c r="AV108" s="1509"/>
      <c r="AW108" s="1509"/>
      <c r="AX108" s="1509"/>
      <c r="AY108" s="1509"/>
      <c r="AZ108" s="1509"/>
      <c r="BA108" s="1509"/>
      <c r="BB108" s="1509"/>
      <c r="BC108" s="1509"/>
      <c r="BD108" s="1509"/>
      <c r="BE108" s="1509"/>
      <c r="BF108" s="1509"/>
      <c r="BG108" s="1509"/>
      <c r="BH108" s="1509"/>
      <c r="BI108" s="1509"/>
      <c r="BJ108" s="1509"/>
      <c r="BK108" s="1509"/>
      <c r="BL108" s="1509"/>
      <c r="BM108" s="1509"/>
      <c r="BN108" s="1509"/>
      <c r="BO108" s="1509"/>
      <c r="BP108" s="1509"/>
      <c r="BQ108" s="1509"/>
      <c r="BR108" s="1509"/>
      <c r="BS108" s="1509"/>
      <c r="BT108" s="1509"/>
      <c r="BU108" s="1509"/>
      <c r="BV108" s="1509"/>
      <c r="BW108" s="1509"/>
      <c r="BX108" s="1509"/>
      <c r="BY108" s="1509"/>
      <c r="BZ108" s="1509"/>
      <c r="CA108" s="1509"/>
      <c r="CB108" s="1509"/>
      <c r="CC108" s="1509"/>
      <c r="CD108" s="1509"/>
      <c r="CE108" s="1509"/>
      <c r="CF108" s="1509"/>
      <c r="CG108" s="1509"/>
      <c r="CH108" s="1509"/>
      <c r="CI108" s="1509"/>
      <c r="CJ108" s="1509"/>
      <c r="CK108" s="1509"/>
      <c r="CL108" s="1509"/>
      <c r="CM108" s="1509"/>
      <c r="CN108" s="1509"/>
      <c r="CO108" s="1509"/>
      <c r="CP108" s="1509"/>
      <c r="CQ108" s="1509"/>
      <c r="CR108" s="1509"/>
      <c r="CS108" s="1509"/>
      <c r="CT108" s="1509"/>
      <c r="CU108" s="1509"/>
      <c r="CV108" s="1509"/>
      <c r="CW108" s="1509"/>
      <c r="CX108" s="1509"/>
      <c r="CY108" s="1509"/>
      <c r="CZ108" s="1509"/>
      <c r="DA108" s="1509"/>
      <c r="DB108" s="1509"/>
      <c r="DC108" s="1509"/>
      <c r="DD108" s="1509"/>
      <c r="DE108" s="1509"/>
      <c r="DF108" s="1509"/>
      <c r="DG108" s="1509"/>
      <c r="DH108" s="1509"/>
      <c r="DI108" s="1509"/>
      <c r="DJ108" s="1509"/>
      <c r="DK108" s="1509"/>
      <c r="DL108" s="1509"/>
      <c r="DM108" s="1509"/>
      <c r="DN108" s="1509"/>
      <c r="DO108" s="1509"/>
      <c r="DP108" s="1509"/>
      <c r="DQ108" s="1509"/>
      <c r="DR108" s="1509"/>
      <c r="DS108" s="1509"/>
      <c r="DT108" s="1509"/>
      <c r="DU108" s="1509"/>
      <c r="DV108" s="1509"/>
      <c r="DW108" s="1509"/>
      <c r="DX108" s="1509"/>
      <c r="DY108" s="1509"/>
      <c r="DZ108" s="1509"/>
      <c r="EA108" s="1509"/>
      <c r="EB108" s="1509"/>
      <c r="EC108" s="1509"/>
      <c r="ED108" s="1509"/>
      <c r="EE108" s="1509"/>
      <c r="EF108" s="1509"/>
      <c r="EG108" s="1509"/>
      <c r="EH108" s="1509"/>
      <c r="EI108" s="1509"/>
      <c r="EJ108" s="1509"/>
      <c r="EK108" s="1509"/>
      <c r="EL108" s="1509"/>
      <c r="EM108" s="1509"/>
      <c r="EN108" s="1509"/>
      <c r="EO108" s="1509"/>
      <c r="EP108" s="1509"/>
      <c r="EQ108" s="1509"/>
      <c r="ER108" s="1509"/>
      <c r="ES108" s="1509"/>
      <c r="ET108" s="1509"/>
      <c r="EU108" s="1509"/>
      <c r="EV108" s="1509"/>
      <c r="EW108" s="1509"/>
      <c r="EX108" s="1509"/>
      <c r="EY108" s="1509"/>
      <c r="EZ108" s="1509"/>
      <c r="FA108" s="1509"/>
      <c r="FB108" s="1509"/>
      <c r="FC108" s="1509"/>
      <c r="FD108" s="1509"/>
      <c r="FE108" s="1509"/>
      <c r="FF108" s="1509"/>
      <c r="FG108" s="1509"/>
      <c r="FH108" s="1509"/>
      <c r="FI108" s="1509"/>
      <c r="FJ108" s="1509"/>
      <c r="FK108" s="1509"/>
      <c r="FL108" s="1509"/>
      <c r="FM108" s="1509"/>
      <c r="FN108" s="1509"/>
      <c r="FO108" s="1509"/>
      <c r="FP108" s="1509"/>
      <c r="FQ108" s="1509"/>
      <c r="FR108" s="1509"/>
      <c r="FS108" s="1509"/>
      <c r="FT108" s="1509"/>
      <c r="FU108" s="1509"/>
      <c r="FV108" s="1509"/>
      <c r="FW108" s="1509"/>
      <c r="FX108" s="1509"/>
      <c r="FY108" s="1509"/>
      <c r="FZ108" s="1509"/>
      <c r="GA108" s="1509"/>
      <c r="GB108" s="1509"/>
      <c r="GC108" s="1509"/>
      <c r="GD108" s="1509"/>
      <c r="GE108" s="1509"/>
      <c r="GF108" s="1509"/>
      <c r="GG108" s="1509"/>
      <c r="GH108" s="1509"/>
      <c r="GI108" s="1509"/>
      <c r="GJ108" s="1509"/>
      <c r="GK108" s="1509"/>
      <c r="GL108" s="1509"/>
      <c r="GM108" s="1509"/>
      <c r="GN108" s="1509"/>
      <c r="GO108" s="1509"/>
      <c r="GP108" s="1509"/>
      <c r="GQ108" s="1509"/>
      <c r="GR108" s="1509"/>
      <c r="GS108" s="1509"/>
      <c r="GT108" s="1509"/>
    </row>
    <row r="109" spans="3:202" s="4685" customFormat="1" ht="17.100000000000001" customHeight="1">
      <c r="D109" s="4686"/>
      <c r="E109" s="1585"/>
      <c r="F109" s="1586"/>
      <c r="G109" s="1583"/>
      <c r="H109" s="1583"/>
      <c r="I109" s="1583"/>
      <c r="J109" s="1583"/>
      <c r="K109" s="1583"/>
      <c r="L109" s="1583"/>
      <c r="M109" s="1583"/>
      <c r="N109" s="1583"/>
      <c r="O109" s="1583"/>
      <c r="P109" s="1583"/>
      <c r="Q109" s="1583"/>
      <c r="R109" s="1583"/>
      <c r="S109" s="1583"/>
      <c r="T109" s="1583"/>
      <c r="U109" s="1583"/>
      <c r="V109" s="1583"/>
      <c r="W109" s="1583"/>
      <c r="X109" s="1583"/>
      <c r="Y109" s="1583"/>
      <c r="Z109" s="1583"/>
      <c r="AA109" s="1583"/>
      <c r="AB109" s="1583"/>
      <c r="AC109" s="1583"/>
      <c r="AD109" s="1589"/>
      <c r="AE109" s="1583"/>
      <c r="AF109" s="1583"/>
      <c r="AG109" s="1583"/>
      <c r="AH109" s="1583"/>
      <c r="AI109" s="1583"/>
      <c r="AJ109" s="1583"/>
      <c r="AK109" s="1583"/>
      <c r="AL109" s="1583"/>
      <c r="AM109" s="1583"/>
      <c r="AN109" s="1583"/>
      <c r="AO109" s="1583"/>
      <c r="AP109" s="1583"/>
      <c r="AQ109" s="1583"/>
      <c r="AR109" s="1583"/>
      <c r="AS109" s="1583"/>
      <c r="AT109" s="1583"/>
      <c r="AU109" s="1583"/>
      <c r="AV109" s="1583"/>
      <c r="AW109" s="1583"/>
      <c r="AX109" s="1583"/>
      <c r="AY109" s="1583"/>
      <c r="AZ109" s="1583"/>
      <c r="BA109" s="1583"/>
      <c r="BB109" s="1583"/>
      <c r="BC109" s="1583"/>
      <c r="BD109" s="1583"/>
      <c r="BE109" s="1583"/>
      <c r="BF109" s="1589"/>
      <c r="BG109" s="1583"/>
      <c r="BH109" s="1583"/>
      <c r="BI109" s="1583"/>
      <c r="BJ109" s="1589"/>
      <c r="BK109" s="1583"/>
      <c r="BL109" s="1583"/>
      <c r="BM109" s="1583"/>
      <c r="BN109" s="1583"/>
      <c r="BO109" s="1583"/>
      <c r="BP109" s="1583"/>
      <c r="BQ109" s="1583"/>
      <c r="BR109" s="1583"/>
      <c r="BS109" s="1583"/>
      <c r="BT109" s="1583"/>
      <c r="BU109" s="1583"/>
      <c r="BV109" s="1583"/>
      <c r="BW109" s="1583"/>
      <c r="BX109" s="1583"/>
      <c r="BY109" s="1583"/>
      <c r="BZ109" s="1583"/>
      <c r="CA109" s="1583"/>
      <c r="CB109" s="1583"/>
      <c r="CC109" s="1583"/>
      <c r="CD109" s="1583"/>
      <c r="CE109" s="1583"/>
      <c r="CF109" s="1583"/>
      <c r="CG109" s="1583"/>
      <c r="CH109" s="1583"/>
      <c r="CI109" s="1583"/>
      <c r="CJ109" s="1583"/>
      <c r="CK109" s="1583"/>
      <c r="CL109" s="1583"/>
      <c r="CM109" s="1583"/>
      <c r="CN109" s="1583"/>
      <c r="CO109" s="1583"/>
      <c r="CP109" s="1583"/>
      <c r="CQ109" s="1583"/>
      <c r="CR109" s="1583"/>
      <c r="CS109" s="1583"/>
      <c r="CT109" s="1583"/>
      <c r="CU109" s="1583"/>
      <c r="CV109" s="1583"/>
      <c r="CW109" s="1583"/>
      <c r="CX109" s="1583"/>
      <c r="CY109" s="1583"/>
      <c r="CZ109" s="1583"/>
      <c r="DA109" s="1583"/>
      <c r="DB109" s="1583"/>
      <c r="DC109" s="1583"/>
      <c r="DD109" s="1583"/>
      <c r="DE109" s="1583"/>
      <c r="DF109" s="1583"/>
      <c r="DG109" s="1583"/>
      <c r="DH109" s="1583"/>
      <c r="DI109" s="1583"/>
      <c r="DJ109" s="1583"/>
      <c r="DK109" s="1583"/>
      <c r="DL109" s="1583"/>
      <c r="DM109" s="1583"/>
      <c r="DN109" s="1583"/>
      <c r="DO109" s="1583"/>
      <c r="DP109" s="1583"/>
      <c r="DQ109" s="1583"/>
      <c r="DR109" s="1583"/>
      <c r="DS109" s="1583"/>
      <c r="DT109" s="1583"/>
      <c r="DU109" s="1583"/>
      <c r="DV109" s="1583"/>
      <c r="DW109" s="1583"/>
      <c r="DX109" s="1583"/>
      <c r="DY109" s="1583"/>
      <c r="DZ109" s="1583"/>
      <c r="EA109" s="1583"/>
      <c r="EB109" s="1583"/>
      <c r="EC109" s="1583"/>
      <c r="ED109" s="1583"/>
      <c r="EE109" s="1583"/>
      <c r="EF109" s="1583"/>
      <c r="EG109" s="1583"/>
      <c r="EH109" s="1583"/>
      <c r="EI109" s="1583"/>
      <c r="EJ109" s="1583"/>
      <c r="EK109" s="1583"/>
      <c r="EL109" s="1583"/>
      <c r="EM109" s="1583"/>
      <c r="EN109" s="1583"/>
      <c r="EO109" s="1583"/>
      <c r="EP109" s="1583"/>
      <c r="EQ109" s="1583"/>
      <c r="ER109" s="1583"/>
      <c r="ES109" s="1583"/>
      <c r="ET109" s="1583"/>
      <c r="EU109" s="1583"/>
      <c r="EV109" s="1583"/>
      <c r="EW109" s="1583"/>
      <c r="EX109" s="1583"/>
      <c r="EY109" s="1583"/>
      <c r="EZ109" s="1583"/>
      <c r="FA109" s="1583"/>
      <c r="FB109" s="1583"/>
      <c r="FC109" s="1583"/>
      <c r="FD109" s="1583"/>
      <c r="FE109" s="1583"/>
      <c r="FF109" s="1583"/>
      <c r="FG109" s="1583"/>
      <c r="FH109" s="1583"/>
      <c r="FI109" s="1583"/>
      <c r="FJ109" s="1583"/>
      <c r="FK109" s="1583"/>
      <c r="FL109" s="1583"/>
      <c r="FM109" s="1583"/>
      <c r="FN109" s="1583"/>
      <c r="FO109" s="1583"/>
      <c r="FP109" s="1583"/>
      <c r="FQ109" s="1583"/>
      <c r="FR109" s="1583"/>
      <c r="FS109" s="1583"/>
      <c r="FT109" s="1583"/>
      <c r="FU109" s="1583"/>
      <c r="FV109" s="1583"/>
      <c r="FW109" s="1583"/>
      <c r="FX109" s="1583"/>
      <c r="FY109" s="1583"/>
      <c r="FZ109" s="1583"/>
      <c r="GA109" s="1583"/>
      <c r="GB109" s="1583"/>
      <c r="GC109" s="1583"/>
      <c r="GD109" s="1583"/>
      <c r="GE109" s="1583"/>
      <c r="GF109" s="1583"/>
      <c r="GG109" s="1583"/>
      <c r="GH109" s="1583"/>
      <c r="GI109" s="1583"/>
      <c r="GJ109" s="1583"/>
      <c r="GK109" s="1583"/>
      <c r="GL109" s="1583"/>
      <c r="GM109" s="1583"/>
      <c r="GN109" s="1583"/>
      <c r="GO109" s="1583"/>
      <c r="GP109" s="1583"/>
      <c r="GQ109" s="1583"/>
      <c r="GR109" s="1583"/>
      <c r="GS109" s="1583"/>
      <c r="GT109" s="1583"/>
    </row>
    <row r="110" spans="3:202" s="4685" customFormat="1" ht="17.100000000000001" customHeight="1">
      <c r="D110" s="4686"/>
      <c r="E110" s="1585"/>
      <c r="F110" s="1586"/>
      <c r="G110" s="1583"/>
      <c r="H110" s="1583"/>
      <c r="I110" s="1583"/>
      <c r="J110" s="1583"/>
      <c r="K110" s="1583"/>
      <c r="L110" s="1583"/>
      <c r="M110" s="1583"/>
      <c r="N110" s="1583"/>
      <c r="O110" s="1583"/>
      <c r="P110" s="1583"/>
      <c r="Q110" s="1583"/>
      <c r="R110" s="1583"/>
      <c r="S110" s="1583"/>
      <c r="T110" s="1583"/>
      <c r="U110" s="1583"/>
      <c r="V110" s="1583"/>
      <c r="W110" s="1583"/>
      <c r="X110" s="1583"/>
      <c r="Y110" s="1583"/>
      <c r="Z110" s="1585"/>
      <c r="AA110" s="1583"/>
      <c r="AB110" s="1583"/>
      <c r="AC110" s="1587"/>
      <c r="AD110" s="1587"/>
      <c r="AE110" s="1587"/>
      <c r="AF110" s="1587"/>
      <c r="AG110" s="1587"/>
      <c r="AH110" s="1587"/>
      <c r="AI110" s="1587"/>
      <c r="AJ110" s="1587"/>
      <c r="AK110" s="1587"/>
      <c r="AL110" s="1587"/>
      <c r="AM110" s="1587"/>
      <c r="AN110" s="1587"/>
      <c r="AO110" s="1587"/>
      <c r="AP110" s="1587"/>
      <c r="AQ110" s="1587"/>
      <c r="AR110" s="1587"/>
      <c r="AS110" s="1587"/>
      <c r="AT110" s="1587"/>
      <c r="AU110" s="1587"/>
      <c r="AV110" s="1583"/>
      <c r="AW110" s="1583"/>
      <c r="AX110" s="1583"/>
      <c r="AY110" s="1583"/>
      <c r="AZ110" s="1583"/>
      <c r="BA110" s="1583"/>
      <c r="BB110" s="1583"/>
      <c r="BC110" s="1583"/>
      <c r="BD110" s="1583"/>
      <c r="BE110" s="1583"/>
      <c r="BF110" s="1589"/>
      <c r="BG110" s="1583"/>
      <c r="BH110" s="1583"/>
      <c r="BI110" s="1583"/>
      <c r="BJ110" s="1589"/>
      <c r="BK110" s="1583"/>
      <c r="BL110" s="1583"/>
      <c r="BM110" s="1583"/>
      <c r="BN110" s="1583"/>
      <c r="BO110" s="1586"/>
      <c r="BP110" s="1586"/>
      <c r="BQ110" s="1586"/>
      <c r="BR110" s="1586"/>
      <c r="BS110" s="1586"/>
      <c r="BT110" s="1586"/>
      <c r="BU110" s="1586"/>
      <c r="BV110" s="1586"/>
      <c r="BW110" s="1586"/>
      <c r="BX110" s="1586"/>
      <c r="BY110" s="1586"/>
      <c r="BZ110" s="1586"/>
      <c r="CA110" s="1586"/>
      <c r="CB110" s="1586"/>
      <c r="CC110" s="1586"/>
      <c r="CD110" s="1586"/>
      <c r="CE110" s="1586"/>
      <c r="CF110" s="1586"/>
      <c r="CG110" s="1586"/>
      <c r="CH110" s="1586"/>
      <c r="CI110" s="1586"/>
      <c r="CJ110" s="1586"/>
      <c r="CK110" s="1586"/>
      <c r="CL110" s="1586"/>
      <c r="CM110" s="1586"/>
      <c r="CN110" s="1586"/>
      <c r="CO110" s="1586"/>
      <c r="CP110" s="1586"/>
      <c r="CQ110" s="1586"/>
      <c r="CR110" s="1586"/>
      <c r="CS110" s="1586"/>
      <c r="CT110" s="1586"/>
      <c r="CU110" s="1586"/>
      <c r="CV110" s="1586"/>
      <c r="CW110" s="1586"/>
      <c r="CX110" s="1586"/>
      <c r="CY110" s="1586"/>
      <c r="CZ110" s="1586"/>
      <c r="DA110" s="1586"/>
      <c r="DB110" s="1586"/>
      <c r="DC110" s="1586"/>
      <c r="DD110" s="1586"/>
      <c r="DE110" s="1586"/>
      <c r="DF110" s="1586"/>
      <c r="DG110" s="1586"/>
      <c r="DH110" s="1586"/>
      <c r="DI110" s="1586"/>
      <c r="DJ110" s="1586"/>
      <c r="DK110" s="1586"/>
      <c r="DL110" s="1586"/>
      <c r="DM110" s="1586"/>
      <c r="DN110" s="1586"/>
      <c r="DO110" s="1586"/>
      <c r="DP110" s="1586"/>
      <c r="DQ110" s="1586"/>
      <c r="DR110" s="1586"/>
      <c r="DS110" s="1586"/>
      <c r="DT110" s="1586"/>
      <c r="DU110" s="1586"/>
      <c r="DV110" s="1586"/>
      <c r="DW110" s="1586"/>
      <c r="DX110" s="1586"/>
      <c r="DY110" s="1586"/>
      <c r="DZ110" s="1586"/>
      <c r="EA110" s="1586"/>
      <c r="EB110" s="1586"/>
      <c r="EC110" s="1586"/>
      <c r="ED110" s="1586"/>
      <c r="EE110" s="1586"/>
      <c r="EF110" s="1586"/>
      <c r="EG110" s="1586"/>
      <c r="EH110" s="1586"/>
      <c r="EI110" s="1586"/>
      <c r="EJ110" s="1586"/>
      <c r="EK110" s="1586"/>
      <c r="EL110" s="1586"/>
      <c r="EM110" s="1586"/>
      <c r="EN110" s="1586"/>
      <c r="EO110" s="1586"/>
      <c r="EP110" s="1586"/>
      <c r="EQ110" s="1586"/>
      <c r="ER110" s="1586"/>
      <c r="ES110" s="1586"/>
      <c r="ET110" s="1586"/>
      <c r="EU110" s="1586"/>
      <c r="EV110" s="1586"/>
      <c r="EW110" s="1586"/>
      <c r="EX110" s="1586"/>
      <c r="EY110" s="1586"/>
      <c r="EZ110" s="1586"/>
      <c r="FA110" s="1586"/>
      <c r="FB110" s="1586"/>
      <c r="FC110" s="1586"/>
      <c r="FD110" s="1586"/>
      <c r="FE110" s="1586"/>
      <c r="FF110" s="1586"/>
      <c r="FG110" s="1586"/>
      <c r="FH110" s="1586"/>
      <c r="FI110" s="1586"/>
      <c r="FJ110" s="1586"/>
      <c r="FK110" s="1586"/>
      <c r="FL110" s="1586"/>
      <c r="FM110" s="1586"/>
      <c r="FN110" s="1586"/>
      <c r="FO110" s="1586"/>
      <c r="FP110" s="1586"/>
      <c r="FQ110" s="1586"/>
      <c r="FR110" s="1586"/>
      <c r="FS110" s="1586"/>
      <c r="FT110" s="1586"/>
      <c r="FU110" s="1586"/>
      <c r="FV110" s="1586"/>
      <c r="FW110" s="1586"/>
      <c r="FX110" s="1586"/>
      <c r="FY110" s="1586"/>
      <c r="FZ110" s="1586"/>
      <c r="GA110" s="1586"/>
      <c r="GB110" s="1586"/>
      <c r="GC110" s="1583"/>
      <c r="GD110" s="1583"/>
      <c r="GE110" s="1583"/>
      <c r="GF110" s="1583"/>
      <c r="GG110" s="1583"/>
      <c r="GH110" s="1583"/>
      <c r="GI110" s="1583"/>
      <c r="GJ110" s="1583"/>
      <c r="GK110" s="1583"/>
      <c r="GL110" s="1583"/>
      <c r="GM110" s="1583"/>
      <c r="GN110" s="1583"/>
      <c r="GO110" s="1583"/>
      <c r="GP110" s="1583"/>
      <c r="GQ110" s="1583"/>
      <c r="GR110" s="1583"/>
      <c r="GS110" s="1583"/>
      <c r="GT110" s="1583"/>
    </row>
    <row r="111" spans="3:202" s="4665" customFormat="1" ht="17.100000000000001" customHeight="1">
      <c r="D111" s="4676"/>
      <c r="F111" s="4687"/>
      <c r="G111" s="1591"/>
      <c r="H111" s="1591"/>
      <c r="I111" s="1591"/>
      <c r="J111" s="1591"/>
      <c r="K111" s="1591"/>
      <c r="L111" s="1591"/>
      <c r="M111" s="1591"/>
      <c r="N111" s="1591"/>
      <c r="O111" s="1591"/>
      <c r="P111" s="1591"/>
      <c r="Q111" s="1591"/>
      <c r="R111" s="1591"/>
      <c r="S111" s="1591"/>
      <c r="T111" s="1591"/>
      <c r="U111" s="1591"/>
      <c r="V111" s="1591"/>
      <c r="W111" s="1592"/>
      <c r="X111" s="1592"/>
      <c r="Y111" s="1593"/>
      <c r="Z111" s="1592"/>
      <c r="AA111" s="1592"/>
      <c r="AB111" s="1592"/>
      <c r="AC111" s="1592"/>
      <c r="AD111" s="1592"/>
      <c r="AE111" s="1592"/>
      <c r="AF111" s="1592"/>
      <c r="AG111" s="1592"/>
      <c r="AH111" s="1592"/>
      <c r="AI111" s="1594"/>
      <c r="AJ111" s="1594"/>
      <c r="AK111" s="1594"/>
      <c r="AL111" s="1594"/>
      <c r="AM111" s="1591"/>
      <c r="AN111" s="1591"/>
      <c r="AO111" s="1591"/>
      <c r="AP111" s="1591"/>
      <c r="AQ111" s="1592"/>
      <c r="AR111" s="1591"/>
      <c r="AS111" s="1591"/>
      <c r="AT111" s="1591"/>
      <c r="AU111" s="1591"/>
      <c r="AV111" s="1591"/>
      <c r="AW111" s="1591"/>
      <c r="AX111" s="1591"/>
      <c r="AY111" s="1591"/>
      <c r="AZ111" s="1591"/>
      <c r="BA111" s="1591"/>
      <c r="BB111" s="1591"/>
      <c r="BC111" s="1591"/>
      <c r="BD111" s="1591"/>
      <c r="BE111" s="1591"/>
      <c r="BF111" s="1591"/>
      <c r="BG111" s="1591"/>
      <c r="BH111" s="1591"/>
      <c r="BI111" s="1591"/>
      <c r="BJ111" s="1591"/>
      <c r="BK111" s="1591"/>
      <c r="BL111" s="1591"/>
      <c r="BM111" s="788"/>
      <c r="BN111" s="788"/>
      <c r="BO111" s="788"/>
      <c r="BP111" s="788"/>
      <c r="BQ111" s="788"/>
      <c r="BR111" s="788"/>
      <c r="BS111" s="788"/>
      <c r="BT111" s="788"/>
      <c r="BU111" s="788"/>
      <c r="BV111" s="788"/>
      <c r="BW111" s="788"/>
      <c r="BX111" s="788"/>
      <c r="BY111" s="788"/>
      <c r="BZ111" s="788"/>
      <c r="CA111" s="788"/>
      <c r="CB111" s="788"/>
      <c r="CC111" s="788"/>
      <c r="CD111" s="788"/>
      <c r="CE111" s="788"/>
      <c r="CF111" s="788"/>
      <c r="CG111" s="788"/>
      <c r="CH111" s="788"/>
      <c r="CI111" s="788"/>
      <c r="CJ111" s="788"/>
      <c r="CK111" s="788"/>
      <c r="CL111" s="788"/>
      <c r="CM111" s="788"/>
      <c r="CN111" s="788"/>
      <c r="CO111" s="788"/>
      <c r="CP111" s="788"/>
      <c r="CQ111" s="788"/>
      <c r="CR111" s="788"/>
      <c r="CS111" s="788"/>
      <c r="CT111" s="788"/>
      <c r="CU111" s="788"/>
      <c r="CV111" s="788"/>
      <c r="CW111" s="788"/>
      <c r="CX111" s="788"/>
      <c r="CY111" s="788"/>
      <c r="CZ111" s="788"/>
      <c r="DA111" s="788"/>
      <c r="DB111" s="788"/>
      <c r="DC111" s="788"/>
      <c r="DD111" s="788"/>
      <c r="DE111" s="788"/>
      <c r="DF111" s="788"/>
      <c r="DG111" s="788"/>
      <c r="DH111" s="788"/>
      <c r="DI111" s="788"/>
      <c r="DJ111" s="788"/>
      <c r="DK111" s="788"/>
      <c r="DL111" s="788"/>
      <c r="DM111" s="788"/>
      <c r="DN111" s="788"/>
      <c r="DO111" s="788"/>
      <c r="DP111" s="788"/>
      <c r="DQ111" s="788"/>
      <c r="DR111" s="788"/>
      <c r="DS111" s="788"/>
      <c r="DT111" s="788"/>
      <c r="DU111" s="788"/>
      <c r="DV111" s="788"/>
      <c r="DW111" s="788"/>
      <c r="DX111" s="788"/>
      <c r="DY111" s="788"/>
      <c r="DZ111" s="1595"/>
      <c r="EA111" s="788"/>
      <c r="EB111" s="788"/>
      <c r="EC111" s="788"/>
      <c r="ED111" s="788"/>
      <c r="EE111" s="788"/>
      <c r="EF111" s="788"/>
      <c r="EG111" s="788"/>
      <c r="EH111" s="788"/>
      <c r="EI111" s="788"/>
      <c r="EJ111" s="788"/>
      <c r="EK111" s="788"/>
      <c r="EL111" s="788"/>
      <c r="EM111" s="788"/>
      <c r="EN111" s="788"/>
      <c r="EO111" s="788"/>
      <c r="EP111" s="788"/>
      <c r="EQ111" s="788"/>
      <c r="ER111" s="788"/>
      <c r="ES111" s="788"/>
      <c r="ET111" s="788"/>
      <c r="EU111" s="788"/>
      <c r="EV111" s="788"/>
      <c r="EW111" s="788"/>
      <c r="EX111" s="788"/>
      <c r="EY111" s="788"/>
      <c r="EZ111" s="788"/>
      <c r="FA111" s="788"/>
      <c r="FB111" s="788"/>
      <c r="FC111" s="788"/>
      <c r="FD111" s="788"/>
      <c r="FE111" s="788"/>
      <c r="FF111" s="788"/>
      <c r="FG111" s="788"/>
      <c r="FH111" s="788"/>
      <c r="FI111" s="788"/>
      <c r="FJ111" s="788"/>
      <c r="FK111" s="788"/>
      <c r="FL111" s="788"/>
      <c r="FM111" s="788"/>
      <c r="FN111" s="788"/>
      <c r="FO111" s="788"/>
      <c r="FP111" s="788"/>
      <c r="FQ111" s="788"/>
      <c r="FR111" s="788"/>
      <c r="FS111" s="788"/>
      <c r="FT111" s="788"/>
      <c r="FU111" s="788"/>
      <c r="FV111" s="788"/>
      <c r="FW111" s="788"/>
      <c r="FX111" s="788"/>
      <c r="FY111" s="788"/>
      <c r="FZ111" s="788"/>
      <c r="GA111" s="788"/>
      <c r="GB111" s="788"/>
      <c r="GC111" s="1509"/>
      <c r="GD111" s="1509"/>
      <c r="GE111" s="1509"/>
      <c r="GF111" s="1509"/>
      <c r="GG111" s="1509"/>
      <c r="GH111" s="1509"/>
      <c r="GI111" s="1509"/>
      <c r="GJ111" s="1509"/>
      <c r="GK111" s="1509"/>
      <c r="GL111" s="1509"/>
      <c r="GM111" s="1509"/>
      <c r="GN111" s="1509"/>
      <c r="GO111" s="1509"/>
      <c r="GP111" s="1509"/>
      <c r="GQ111" s="1509"/>
      <c r="GR111" s="1509"/>
      <c r="GS111" s="1509"/>
      <c r="GT111" s="1509"/>
    </row>
    <row r="112" spans="3:202" s="4665" customFormat="1" ht="17.100000000000001" customHeight="1">
      <c r="C112" s="4676"/>
      <c r="G112" s="4672"/>
      <c r="H112" s="4672"/>
      <c r="I112" s="4672"/>
      <c r="J112" s="4672"/>
      <c r="K112" s="1596"/>
      <c r="L112" s="1596"/>
      <c r="M112" s="1596"/>
      <c r="N112" s="1596"/>
      <c r="O112" s="1596"/>
      <c r="P112" s="1596"/>
      <c r="Q112" s="1596"/>
      <c r="R112" s="1596"/>
      <c r="S112" s="1596"/>
      <c r="T112" s="1596"/>
      <c r="U112" s="1596"/>
      <c r="V112" s="1596"/>
      <c r="W112" s="1596"/>
      <c r="X112" s="1596"/>
      <c r="Y112" s="1596"/>
      <c r="Z112" s="1596"/>
      <c r="AA112" s="1596"/>
      <c r="AB112" s="1596"/>
      <c r="AC112" s="1596"/>
      <c r="AD112" s="1596"/>
      <c r="AE112" s="1596"/>
      <c r="AF112" s="1596"/>
      <c r="AG112" s="1596"/>
      <c r="AH112" s="1596"/>
      <c r="AI112" s="1596"/>
      <c r="AJ112" s="1596"/>
      <c r="AK112" s="1596"/>
      <c r="AL112" s="1596"/>
      <c r="AM112" s="1596"/>
      <c r="AN112" s="1596"/>
      <c r="AO112" s="1596"/>
      <c r="AP112" s="1596"/>
      <c r="AQ112" s="1596"/>
      <c r="AR112" s="1596"/>
      <c r="AS112" s="1596"/>
      <c r="AT112" s="1596"/>
      <c r="AU112" s="1596"/>
      <c r="AV112" s="1596"/>
      <c r="AW112" s="1596"/>
      <c r="AX112" s="1596"/>
      <c r="AY112" s="1596"/>
      <c r="AZ112" s="1596"/>
      <c r="BA112" s="1596"/>
      <c r="BB112" s="1596"/>
      <c r="BC112" s="1596"/>
      <c r="BD112" s="1591"/>
      <c r="BE112" s="1591"/>
      <c r="BF112" s="1591"/>
      <c r="BG112" s="1591"/>
      <c r="BH112" s="1591"/>
      <c r="BI112" s="1591"/>
      <c r="BJ112" s="1591"/>
      <c r="BK112" s="1591"/>
      <c r="BL112" s="1591"/>
      <c r="BM112" s="788"/>
      <c r="BN112" s="788"/>
      <c r="BO112" s="788"/>
      <c r="BP112" s="788"/>
      <c r="BQ112" s="788"/>
      <c r="BR112" s="788"/>
      <c r="BS112" s="788"/>
      <c r="BT112" s="788"/>
      <c r="BU112" s="788"/>
      <c r="BV112" s="788"/>
      <c r="BW112" s="788"/>
      <c r="BX112" s="788"/>
      <c r="BY112" s="788"/>
      <c r="BZ112" s="788"/>
      <c r="CA112" s="788"/>
      <c r="CB112" s="788"/>
      <c r="CC112" s="788"/>
      <c r="CD112" s="788"/>
      <c r="CE112" s="788"/>
      <c r="CF112" s="788"/>
      <c r="CG112" s="788"/>
      <c r="CH112" s="788"/>
      <c r="CI112" s="788"/>
      <c r="CJ112" s="788"/>
      <c r="CK112" s="788"/>
      <c r="CL112" s="788"/>
      <c r="CM112" s="788"/>
      <c r="CN112" s="788"/>
      <c r="CO112" s="788"/>
      <c r="CP112" s="788"/>
      <c r="CQ112" s="788"/>
      <c r="CR112" s="788"/>
      <c r="CS112" s="788"/>
      <c r="CT112" s="788"/>
      <c r="CU112" s="788"/>
      <c r="CV112" s="788"/>
      <c r="CW112" s="788"/>
      <c r="CX112" s="788"/>
      <c r="CY112" s="788"/>
      <c r="CZ112" s="788"/>
      <c r="DA112" s="788"/>
      <c r="DB112" s="788"/>
      <c r="DC112" s="788"/>
      <c r="DD112" s="788"/>
      <c r="DE112" s="788"/>
      <c r="DF112" s="788"/>
      <c r="DG112" s="788"/>
      <c r="DH112" s="788"/>
      <c r="DI112" s="788"/>
      <c r="DJ112" s="788"/>
      <c r="DK112" s="788"/>
      <c r="DL112" s="788"/>
      <c r="DM112" s="788"/>
      <c r="DN112" s="788"/>
      <c r="DO112" s="788"/>
      <c r="DP112" s="788"/>
      <c r="DQ112" s="788"/>
      <c r="DR112" s="788"/>
      <c r="DS112" s="788"/>
      <c r="DT112" s="788"/>
      <c r="DU112" s="788"/>
      <c r="DV112" s="788"/>
      <c r="DW112" s="788"/>
      <c r="DX112" s="788"/>
      <c r="DY112" s="788"/>
      <c r="DZ112" s="788"/>
      <c r="EA112" s="788"/>
      <c r="EB112" s="788"/>
      <c r="EC112" s="788"/>
      <c r="ED112" s="788"/>
      <c r="EE112" s="788"/>
      <c r="EF112" s="788"/>
      <c r="EG112" s="788"/>
      <c r="EH112" s="788"/>
      <c r="EI112" s="788"/>
      <c r="EJ112" s="788"/>
      <c r="EK112" s="788"/>
      <c r="EL112" s="788"/>
      <c r="EM112" s="788"/>
      <c r="EN112" s="788"/>
      <c r="EO112" s="788"/>
      <c r="EP112" s="788"/>
      <c r="EQ112" s="788"/>
      <c r="ER112" s="788"/>
      <c r="ES112" s="788"/>
      <c r="ET112" s="788"/>
      <c r="EU112" s="788"/>
      <c r="EV112" s="788"/>
      <c r="EW112" s="788"/>
      <c r="EX112" s="788"/>
      <c r="EY112" s="788"/>
      <c r="EZ112" s="788"/>
      <c r="FA112" s="788"/>
      <c r="FB112" s="788"/>
      <c r="FC112" s="788"/>
      <c r="FD112" s="788"/>
      <c r="FE112" s="788"/>
      <c r="FF112" s="788"/>
      <c r="FG112" s="788"/>
      <c r="FH112" s="788"/>
      <c r="FI112" s="788"/>
      <c r="FJ112" s="788"/>
      <c r="FK112" s="788"/>
      <c r="FL112" s="788"/>
      <c r="FM112" s="788"/>
      <c r="FN112" s="788"/>
      <c r="FO112" s="788"/>
      <c r="FP112" s="788"/>
      <c r="FQ112" s="788"/>
      <c r="FR112" s="788"/>
      <c r="FS112" s="788"/>
      <c r="FT112" s="788"/>
      <c r="FU112" s="788"/>
      <c r="FV112" s="788"/>
      <c r="FW112" s="788"/>
      <c r="FX112" s="788"/>
      <c r="FY112" s="788"/>
      <c r="FZ112" s="788"/>
      <c r="GA112" s="788"/>
      <c r="GB112" s="788"/>
      <c r="GC112" s="788"/>
      <c r="GD112" s="788"/>
      <c r="GE112" s="788"/>
      <c r="GF112" s="788"/>
      <c r="GG112" s="788"/>
      <c r="GH112" s="788"/>
      <c r="GI112" s="788"/>
      <c r="GJ112" s="788"/>
      <c r="GK112" s="788"/>
      <c r="GL112" s="788"/>
      <c r="GM112" s="788"/>
      <c r="GN112" s="788"/>
      <c r="GO112" s="788"/>
      <c r="GP112" s="788"/>
      <c r="GQ112" s="788"/>
      <c r="GR112" s="788"/>
      <c r="GS112" s="788"/>
      <c r="GT112" s="788"/>
    </row>
    <row r="113" spans="3:202" ht="17.100000000000001" customHeight="1">
      <c r="C113" s="331"/>
      <c r="G113" s="1197"/>
      <c r="H113" s="1197"/>
      <c r="I113" s="1197"/>
      <c r="J113" s="1197"/>
      <c r="K113" s="1596"/>
      <c r="L113" s="1596"/>
      <c r="M113" s="1596"/>
      <c r="N113" s="1596"/>
      <c r="O113" s="1596"/>
      <c r="P113" s="1596"/>
      <c r="Q113" s="1596"/>
      <c r="R113" s="1596"/>
      <c r="S113" s="1596"/>
      <c r="T113" s="1596"/>
      <c r="U113" s="1596"/>
      <c r="V113" s="1596"/>
      <c r="W113" s="1596"/>
      <c r="X113" s="1596"/>
      <c r="Y113" s="1596"/>
      <c r="Z113" s="1596"/>
      <c r="AA113" s="1596"/>
      <c r="AB113" s="1596"/>
      <c r="AC113" s="1596"/>
      <c r="AD113" s="1596"/>
      <c r="AE113" s="1596"/>
      <c r="AF113" s="1596"/>
      <c r="AG113" s="1596"/>
      <c r="AH113" s="1596"/>
      <c r="AI113" s="1596"/>
      <c r="AJ113" s="1596"/>
      <c r="AK113" s="1596"/>
      <c r="AL113" s="1596"/>
      <c r="AM113" s="1596"/>
      <c r="AN113" s="1596"/>
      <c r="AO113" s="1596"/>
      <c r="AP113" s="1596"/>
      <c r="AQ113" s="1596"/>
      <c r="AR113" s="1596"/>
      <c r="AS113" s="1596"/>
      <c r="AT113" s="1596"/>
      <c r="AU113" s="1596"/>
      <c r="AV113" s="1596"/>
      <c r="AW113" s="1596"/>
      <c r="AX113" s="1596"/>
      <c r="AY113" s="1596"/>
      <c r="AZ113" s="1596"/>
      <c r="BA113" s="1596"/>
      <c r="BB113" s="1596"/>
      <c r="BC113" s="1596"/>
      <c r="BD113" s="1591"/>
      <c r="BE113" s="1591"/>
      <c r="BF113" s="1591"/>
      <c r="BG113" s="1591"/>
      <c r="BH113" s="1591"/>
      <c r="BI113" s="1591"/>
      <c r="BJ113" s="1591"/>
      <c r="BK113" s="1591"/>
      <c r="BL113" s="1591"/>
      <c r="BM113" s="788"/>
      <c r="BN113" s="788"/>
      <c r="BO113" s="788"/>
      <c r="BP113" s="788"/>
      <c r="BQ113" s="788"/>
      <c r="BR113" s="788"/>
      <c r="BS113" s="788"/>
      <c r="BT113" s="788"/>
      <c r="BU113" s="788"/>
      <c r="BV113" s="788"/>
      <c r="BW113" s="788"/>
      <c r="BX113" s="788"/>
      <c r="BY113" s="788"/>
      <c r="BZ113" s="788"/>
      <c r="CA113" s="788"/>
      <c r="CB113" s="788"/>
      <c r="CC113" s="788"/>
      <c r="CD113" s="788"/>
      <c r="CE113" s="788"/>
      <c r="CF113" s="788"/>
      <c r="CG113" s="788"/>
      <c r="CH113" s="788"/>
      <c r="CI113" s="788"/>
      <c r="CJ113" s="788"/>
      <c r="CK113" s="788"/>
      <c r="CL113" s="788"/>
      <c r="CM113" s="788"/>
      <c r="CN113" s="788"/>
      <c r="CO113" s="788"/>
      <c r="CP113" s="788"/>
      <c r="CQ113" s="788"/>
      <c r="CR113" s="788"/>
      <c r="CS113" s="788"/>
      <c r="CT113" s="788"/>
      <c r="CU113" s="788"/>
      <c r="CV113" s="788"/>
      <c r="CW113" s="788"/>
      <c r="CX113" s="788"/>
      <c r="CY113" s="788"/>
      <c r="CZ113" s="788"/>
      <c r="DA113" s="788"/>
      <c r="DB113" s="788"/>
      <c r="DC113" s="788"/>
      <c r="DD113" s="788"/>
      <c r="DE113" s="788"/>
      <c r="DF113" s="788"/>
      <c r="DG113" s="788"/>
      <c r="DH113" s="788"/>
      <c r="DI113" s="788"/>
      <c r="DJ113" s="788"/>
      <c r="DK113" s="788"/>
      <c r="DL113" s="788"/>
      <c r="DM113" s="788"/>
      <c r="DN113" s="788"/>
      <c r="DO113" s="788"/>
      <c r="DP113" s="788"/>
      <c r="DQ113" s="788"/>
      <c r="DR113" s="788"/>
      <c r="DS113" s="788"/>
      <c r="DT113" s="788"/>
      <c r="DU113" s="788"/>
      <c r="DV113" s="788"/>
      <c r="DW113" s="788"/>
      <c r="DX113" s="788"/>
      <c r="DY113" s="788"/>
      <c r="DZ113" s="788"/>
      <c r="EA113" s="788"/>
      <c r="EB113" s="788"/>
      <c r="EC113" s="788"/>
      <c r="ED113" s="788"/>
      <c r="EE113" s="788"/>
      <c r="EF113" s="788"/>
      <c r="EG113" s="788"/>
      <c r="EH113" s="788"/>
      <c r="EI113" s="788"/>
      <c r="EJ113" s="788"/>
      <c r="EK113" s="788"/>
      <c r="EL113" s="788"/>
      <c r="EM113" s="788"/>
      <c r="EN113" s="788"/>
      <c r="EO113" s="788"/>
      <c r="EP113" s="788"/>
      <c r="EQ113" s="788"/>
      <c r="ER113" s="788"/>
      <c r="ES113" s="788"/>
      <c r="ET113" s="788"/>
      <c r="EU113" s="788"/>
      <c r="EV113" s="788"/>
      <c r="EW113" s="788"/>
      <c r="EX113" s="788"/>
      <c r="EY113" s="788"/>
      <c r="EZ113" s="788"/>
      <c r="FA113" s="788"/>
      <c r="FB113" s="788"/>
      <c r="FC113" s="788"/>
      <c r="FD113" s="788"/>
      <c r="FE113" s="788"/>
      <c r="FF113" s="788"/>
      <c r="FG113" s="788"/>
      <c r="FH113" s="788"/>
      <c r="FI113" s="788"/>
      <c r="FJ113" s="788"/>
      <c r="FK113" s="788"/>
      <c r="FL113" s="788"/>
      <c r="FM113" s="788"/>
      <c r="FN113" s="788"/>
      <c r="FO113" s="788"/>
      <c r="FP113" s="788"/>
      <c r="FQ113" s="788"/>
      <c r="FR113" s="788"/>
      <c r="FS113" s="788"/>
      <c r="FT113" s="788"/>
      <c r="FU113" s="788"/>
      <c r="FV113" s="788"/>
      <c r="FW113" s="788"/>
      <c r="FX113" s="788"/>
      <c r="FY113" s="788"/>
      <c r="FZ113" s="788"/>
      <c r="GA113" s="788"/>
      <c r="GB113" s="788"/>
      <c r="GC113" s="788"/>
      <c r="GD113" s="788"/>
      <c r="GE113" s="788"/>
      <c r="GF113" s="788"/>
      <c r="GG113" s="788"/>
      <c r="GH113" s="788"/>
      <c r="GI113" s="788"/>
      <c r="GJ113" s="788"/>
      <c r="GK113" s="788"/>
      <c r="GL113" s="788"/>
      <c r="GM113" s="788"/>
      <c r="GN113" s="788"/>
      <c r="GO113" s="788"/>
      <c r="GP113" s="788"/>
      <c r="GQ113" s="788"/>
      <c r="GR113" s="788"/>
      <c r="GS113" s="788"/>
      <c r="GT113" s="788"/>
    </row>
    <row r="114" spans="3:202" ht="17.100000000000001" customHeight="1">
      <c r="D114" s="1597"/>
      <c r="E114" s="1598"/>
      <c r="G114" s="1598"/>
      <c r="H114" s="1598"/>
      <c r="I114" s="1598"/>
      <c r="J114" s="1598"/>
      <c r="K114" s="1598"/>
      <c r="L114" s="1598"/>
      <c r="M114" s="791"/>
      <c r="N114" s="791"/>
      <c r="O114" s="791"/>
      <c r="P114" s="791"/>
      <c r="Q114" s="791"/>
      <c r="R114" s="791"/>
      <c r="S114" s="791"/>
      <c r="T114" s="791"/>
      <c r="U114" s="791"/>
      <c r="V114" s="791"/>
      <c r="W114" s="791"/>
      <c r="X114" s="791"/>
      <c r="Y114" s="791"/>
      <c r="Z114" s="791"/>
      <c r="AA114" s="791"/>
      <c r="AB114" s="791"/>
      <c r="AC114" s="791"/>
      <c r="AD114" s="791"/>
      <c r="AE114" s="791"/>
      <c r="AF114" s="791"/>
      <c r="AG114" s="791"/>
      <c r="AH114" s="791"/>
      <c r="AI114" s="791"/>
      <c r="AJ114" s="791"/>
      <c r="AK114" s="791"/>
      <c r="AL114" s="791"/>
      <c r="AM114" s="791"/>
      <c r="AN114" s="791"/>
      <c r="AO114" s="791"/>
      <c r="AP114" s="791"/>
      <c r="AQ114" s="791"/>
      <c r="AR114" s="791"/>
      <c r="AS114" s="791"/>
      <c r="AT114" s="791"/>
      <c r="AU114" s="791"/>
      <c r="AV114" s="791"/>
      <c r="AW114" s="791"/>
      <c r="AX114" s="791"/>
      <c r="AY114" s="791"/>
      <c r="AZ114" s="791"/>
      <c r="BA114" s="791"/>
      <c r="BB114" s="791"/>
      <c r="BC114" s="791"/>
      <c r="BD114" s="1599"/>
      <c r="BE114" s="1599"/>
      <c r="BF114" s="1599"/>
      <c r="BG114" s="1599"/>
      <c r="BH114" s="1599"/>
      <c r="BI114" s="1599"/>
      <c r="BJ114" s="1599"/>
      <c r="BK114" s="1599"/>
      <c r="BL114" s="1599"/>
      <c r="BM114" s="1599"/>
      <c r="BN114" s="1599"/>
      <c r="BO114" s="1599"/>
      <c r="BP114" s="1599"/>
      <c r="BQ114" s="1599"/>
      <c r="BR114" s="1599"/>
      <c r="BS114" s="1599"/>
      <c r="BT114" s="1599"/>
      <c r="BU114" s="1599"/>
      <c r="BV114" s="1599"/>
      <c r="BW114" s="1599"/>
      <c r="BX114" s="1599"/>
      <c r="BY114" s="1599"/>
      <c r="BZ114" s="1599"/>
      <c r="CA114" s="1599"/>
      <c r="CB114" s="1599"/>
      <c r="CC114" s="1599"/>
      <c r="CD114" s="1599"/>
      <c r="CE114" s="1599"/>
      <c r="CF114" s="1599"/>
      <c r="CG114" s="1599"/>
      <c r="CH114" s="1599"/>
      <c r="CI114" s="1599"/>
      <c r="CJ114" s="1599"/>
      <c r="CK114" s="1599"/>
      <c r="CL114" s="1599"/>
      <c r="CM114" s="1599"/>
      <c r="CN114" s="1599"/>
      <c r="CO114" s="1599"/>
      <c r="CP114" s="1599"/>
      <c r="CQ114" s="1599"/>
      <c r="CR114" s="1599"/>
      <c r="CS114" s="1599"/>
      <c r="CT114" s="1599"/>
      <c r="CU114" s="1599"/>
      <c r="CV114" s="1599"/>
      <c r="CW114" s="1599"/>
      <c r="CX114" s="1599"/>
      <c r="CY114" s="1599"/>
      <c r="CZ114" s="1599"/>
      <c r="DA114" s="1599"/>
      <c r="DB114" s="1599"/>
      <c r="DC114" s="1599"/>
      <c r="DD114" s="1599"/>
      <c r="DE114" s="1599"/>
      <c r="DF114" s="1599"/>
      <c r="DG114" s="1599"/>
      <c r="DH114" s="1599"/>
      <c r="DI114" s="1599"/>
      <c r="DJ114" s="1599"/>
      <c r="DK114" s="1599"/>
      <c r="DL114" s="1599"/>
      <c r="DM114" s="1599"/>
      <c r="DN114" s="1599"/>
      <c r="DO114" s="1599"/>
      <c r="DP114" s="1599"/>
      <c r="DQ114" s="1599"/>
      <c r="DR114" s="1599"/>
      <c r="DS114" s="1599"/>
      <c r="DT114" s="1599"/>
      <c r="DU114" s="1599"/>
      <c r="DV114" s="1599"/>
      <c r="DW114" s="1599"/>
      <c r="DX114" s="1599"/>
      <c r="DY114" s="1599"/>
      <c r="DZ114" s="1599"/>
      <c r="EA114" s="1599"/>
      <c r="EB114" s="1599"/>
      <c r="EC114" s="1599"/>
      <c r="ED114" s="1599"/>
      <c r="EE114" s="1599"/>
      <c r="EF114" s="1599"/>
      <c r="EG114" s="1599"/>
      <c r="EH114" s="1599"/>
      <c r="EI114" s="1599"/>
      <c r="EJ114" s="1599"/>
      <c r="EK114" s="1599"/>
      <c r="EL114" s="1599"/>
      <c r="EM114" s="1599"/>
      <c r="EN114" s="1599"/>
      <c r="EO114" s="1599"/>
      <c r="EP114" s="1599"/>
      <c r="EQ114" s="1599"/>
      <c r="ER114" s="1599"/>
      <c r="ES114" s="1599"/>
      <c r="ET114" s="1599"/>
      <c r="EU114" s="1599"/>
      <c r="EV114" s="1599"/>
      <c r="EW114" s="1599"/>
      <c r="EX114" s="1599"/>
      <c r="EY114" s="1599"/>
      <c r="EZ114" s="1599"/>
      <c r="FA114" s="1599"/>
      <c r="FB114" s="1599"/>
      <c r="FC114" s="1599"/>
      <c r="FD114" s="1599"/>
      <c r="FE114" s="1599"/>
      <c r="FF114" s="1599"/>
      <c r="FG114" s="1599"/>
      <c r="FH114" s="1599"/>
      <c r="FI114" s="1599"/>
      <c r="FJ114" s="1599"/>
      <c r="FK114" s="1599"/>
      <c r="FL114" s="1599"/>
      <c r="FM114" s="1599"/>
      <c r="FN114" s="1599"/>
      <c r="FO114" s="1599"/>
      <c r="FP114" s="1599"/>
      <c r="FQ114" s="1599"/>
      <c r="FR114" s="1599"/>
      <c r="FS114" s="1599"/>
      <c r="FT114" s="1599"/>
      <c r="FU114" s="1599"/>
      <c r="FV114" s="1599"/>
      <c r="FW114" s="1599"/>
      <c r="FX114" s="1599"/>
      <c r="FY114" s="1599"/>
      <c r="FZ114" s="1599"/>
      <c r="GA114" s="1599"/>
      <c r="GB114" s="1599"/>
    </row>
    <row r="115" spans="3:202" ht="17.100000000000001" customHeight="1">
      <c r="D115" s="1597"/>
      <c r="E115" s="791"/>
      <c r="M115" s="4664"/>
      <c r="N115" s="4664"/>
      <c r="O115" s="4664"/>
      <c r="P115" s="4664"/>
      <c r="Q115" s="4664"/>
      <c r="R115" s="4664"/>
      <c r="S115" s="4664"/>
      <c r="T115" s="4664"/>
      <c r="U115" s="4664"/>
      <c r="V115" s="4664"/>
      <c r="W115" s="4664"/>
      <c r="X115" s="4664"/>
      <c r="Y115" s="4664"/>
      <c r="Z115" s="4664"/>
      <c r="AA115" s="4664"/>
      <c r="AB115" s="4664"/>
      <c r="AC115" s="4664"/>
      <c r="AD115" s="4664"/>
      <c r="AE115" s="4664"/>
      <c r="AF115" s="4664"/>
      <c r="AG115" s="4664"/>
      <c r="AH115" s="4664"/>
      <c r="AI115" s="4664"/>
      <c r="AJ115" s="4664"/>
      <c r="AK115" s="4664"/>
      <c r="AL115" s="4664"/>
      <c r="AM115" s="4664"/>
      <c r="AN115" s="4664"/>
      <c r="AO115" s="4664"/>
      <c r="AP115" s="4664"/>
      <c r="AQ115" s="4664"/>
      <c r="AR115" s="4664"/>
      <c r="AS115" s="4664"/>
      <c r="AT115" s="4664"/>
      <c r="AU115" s="4664"/>
      <c r="AV115" s="4664"/>
      <c r="AW115" s="4664"/>
      <c r="AX115" s="4664"/>
      <c r="AY115" s="4664"/>
      <c r="AZ115" s="4664"/>
      <c r="BA115" s="4664"/>
      <c r="BB115" s="4664"/>
      <c r="BC115" s="4664"/>
      <c r="BD115" s="1599"/>
      <c r="BE115" s="1599"/>
      <c r="BF115" s="1599"/>
      <c r="BG115" s="1599"/>
      <c r="BH115" s="1599"/>
      <c r="BI115" s="1599"/>
      <c r="BJ115" s="1599"/>
      <c r="BK115" s="1599"/>
      <c r="BO115" s="1599"/>
      <c r="BP115" s="1599"/>
      <c r="BQ115" s="1599"/>
      <c r="BR115" s="1599"/>
      <c r="BS115" s="1599"/>
      <c r="BT115" s="1599"/>
      <c r="BU115" s="1599"/>
      <c r="BV115" s="1599"/>
      <c r="BW115" s="1599"/>
      <c r="BX115" s="1599"/>
      <c r="BY115" s="1599"/>
      <c r="BZ115" s="1599"/>
      <c r="CA115" s="1599"/>
      <c r="CE115" s="1599"/>
      <c r="CF115" s="1599"/>
      <c r="CG115" s="1599"/>
      <c r="CH115" s="1599"/>
      <c r="CI115" s="1599"/>
      <c r="CJ115" s="1599"/>
      <c r="CK115" s="1599"/>
      <c r="CL115" s="1599"/>
      <c r="CM115" s="1599"/>
      <c r="CN115" s="1599"/>
      <c r="CO115" s="1599"/>
      <c r="CP115" s="1599"/>
      <c r="CQ115" s="1599"/>
      <c r="CU115" s="1599"/>
      <c r="CV115" s="1599"/>
      <c r="CW115" s="1599"/>
      <c r="CX115" s="1599"/>
      <c r="CY115" s="1599"/>
      <c r="CZ115" s="1599"/>
      <c r="DA115" s="1599"/>
      <c r="DB115" s="1599"/>
      <c r="DC115" s="1599"/>
      <c r="DD115" s="1599"/>
      <c r="DE115" s="1599"/>
      <c r="DF115" s="1599"/>
      <c r="DG115" s="1599"/>
      <c r="DK115" s="1599"/>
      <c r="DL115" s="1599"/>
      <c r="DM115" s="1599"/>
      <c r="DN115" s="1599"/>
      <c r="DO115" s="1599"/>
      <c r="DP115" s="1599"/>
      <c r="DQ115" s="1599"/>
      <c r="DR115" s="1599"/>
      <c r="DS115" s="1599"/>
      <c r="DT115" s="1599"/>
      <c r="DU115" s="1599"/>
      <c r="DV115" s="1599"/>
      <c r="DW115" s="1599"/>
      <c r="EA115" s="1599"/>
      <c r="EB115" s="1599"/>
      <c r="EC115" s="1599"/>
      <c r="ED115" s="1599"/>
      <c r="EE115" s="1599"/>
      <c r="EF115" s="1599"/>
      <c r="EG115" s="1599"/>
      <c r="EH115" s="1599"/>
      <c r="EI115" s="1599"/>
      <c r="EJ115" s="1599"/>
      <c r="EK115" s="1599"/>
      <c r="EL115" s="1599"/>
      <c r="EM115" s="1599"/>
      <c r="EQ115" s="1599"/>
      <c r="ER115" s="1599"/>
      <c r="ES115" s="1599"/>
      <c r="ET115" s="1599"/>
      <c r="EU115" s="1599"/>
      <c r="EV115" s="1599"/>
      <c r="EW115" s="1599"/>
      <c r="EX115" s="1599"/>
      <c r="EY115" s="1599"/>
      <c r="EZ115" s="1599"/>
      <c r="FA115" s="1599"/>
      <c r="FB115" s="1599"/>
      <c r="FC115" s="1599"/>
      <c r="FG115" s="1599"/>
      <c r="FH115" s="1599"/>
      <c r="FI115" s="1599"/>
      <c r="FJ115" s="1599"/>
      <c r="FK115" s="1599"/>
      <c r="FL115" s="1599"/>
      <c r="FM115" s="1599"/>
      <c r="FN115" s="1599"/>
      <c r="FO115" s="1599"/>
      <c r="FP115" s="1599"/>
      <c r="FQ115" s="1599"/>
      <c r="FR115" s="1599"/>
      <c r="FS115" s="1599"/>
      <c r="FW115" s="1599"/>
      <c r="FX115" s="1599"/>
      <c r="FY115" s="1599"/>
      <c r="FZ115" s="1599"/>
      <c r="GA115" s="1599"/>
      <c r="GB115" s="1599"/>
      <c r="GC115" s="1599"/>
      <c r="GD115" s="1599"/>
      <c r="GE115" s="1599"/>
      <c r="GF115" s="1599"/>
      <c r="GG115" s="1599"/>
      <c r="GH115" s="1599"/>
      <c r="GI115" s="1599"/>
    </row>
    <row r="116" spans="3:202" ht="17.100000000000001" customHeight="1">
      <c r="F116" s="1598"/>
      <c r="W116" s="1598"/>
      <c r="X116" s="1598"/>
      <c r="Y116" s="1598"/>
      <c r="Z116" s="1598"/>
      <c r="AA116" s="1598"/>
      <c r="AB116" s="1600"/>
      <c r="AC116" s="1599"/>
      <c r="AD116" s="1599"/>
      <c r="AE116" s="1599"/>
      <c r="AF116" s="1599"/>
      <c r="AG116" s="1599"/>
      <c r="AH116" s="1599"/>
      <c r="AI116" s="1599"/>
      <c r="AJ116" s="1599"/>
      <c r="AK116" s="1599"/>
      <c r="AL116" s="1599"/>
      <c r="AM116" s="1599"/>
      <c r="AN116" s="1599"/>
      <c r="AO116" s="1599"/>
      <c r="AP116" s="1599"/>
      <c r="AQ116" s="1599"/>
      <c r="AR116" s="1599"/>
      <c r="AS116" s="1599"/>
      <c r="AT116" s="1599"/>
      <c r="AU116" s="1599"/>
      <c r="AV116" s="1599"/>
      <c r="AW116" s="1599"/>
      <c r="AX116" s="1599"/>
      <c r="AY116" s="1599"/>
      <c r="AZ116" s="1599"/>
      <c r="BA116" s="1599"/>
      <c r="BB116" s="1599"/>
      <c r="BC116" s="1599"/>
      <c r="BD116" s="1599"/>
      <c r="BE116" s="1599"/>
      <c r="BF116" s="1599"/>
      <c r="BG116" s="1599"/>
      <c r="BH116" s="1599"/>
      <c r="BI116" s="1599"/>
      <c r="BJ116" s="1599"/>
      <c r="BK116" s="1599"/>
      <c r="BL116" s="1599"/>
      <c r="BM116" s="1599"/>
      <c r="BN116" s="1599"/>
      <c r="BO116" s="1599"/>
      <c r="BP116" s="1599"/>
      <c r="BQ116" s="1599"/>
      <c r="BR116" s="1599"/>
      <c r="BS116" s="1599"/>
      <c r="BT116" s="1599"/>
      <c r="BU116" s="1599"/>
      <c r="BV116" s="1599"/>
      <c r="BW116" s="1599"/>
      <c r="BX116" s="1599"/>
      <c r="BY116" s="1599"/>
      <c r="BZ116" s="1599"/>
      <c r="CA116" s="1599"/>
      <c r="CB116" s="1599"/>
      <c r="CC116" s="1599"/>
      <c r="CD116" s="1599"/>
      <c r="CE116" s="1599"/>
      <c r="CF116" s="1599"/>
      <c r="CG116" s="1599"/>
      <c r="CH116" s="1599"/>
      <c r="CI116" s="1599"/>
      <c r="CJ116" s="1599"/>
      <c r="CK116" s="1599"/>
      <c r="CL116" s="1599"/>
      <c r="CM116" s="1599"/>
      <c r="CN116" s="1599"/>
      <c r="CO116" s="1599"/>
      <c r="CP116" s="1599"/>
      <c r="CQ116" s="1599"/>
      <c r="CR116" s="1599"/>
      <c r="CS116" s="1599"/>
      <c r="CT116" s="1599"/>
      <c r="CU116" s="1599"/>
      <c r="CV116" s="1599"/>
      <c r="CW116" s="1599"/>
      <c r="CX116" s="1599"/>
      <c r="CY116" s="1599"/>
      <c r="CZ116" s="1599"/>
      <c r="DA116" s="1599"/>
      <c r="DB116" s="1599"/>
      <c r="DC116" s="1599"/>
      <c r="DD116" s="1599"/>
      <c r="DE116" s="1599"/>
      <c r="DF116" s="1599"/>
      <c r="DG116" s="1599"/>
      <c r="DH116" s="1599"/>
      <c r="DI116" s="1599"/>
      <c r="DJ116" s="1599"/>
      <c r="DK116" s="1599"/>
      <c r="DL116" s="1599"/>
      <c r="DM116" s="1599"/>
      <c r="DN116" s="1599"/>
      <c r="DO116" s="1599"/>
      <c r="DP116" s="1599"/>
      <c r="DQ116" s="1599"/>
      <c r="DR116" s="1599"/>
      <c r="DS116" s="1599"/>
      <c r="DT116" s="1599"/>
      <c r="DU116" s="1599"/>
      <c r="DV116" s="1599"/>
      <c r="DW116" s="1599"/>
      <c r="DX116" s="1599"/>
      <c r="DY116" s="1599"/>
      <c r="DZ116" s="1599"/>
      <c r="EA116" s="1599"/>
      <c r="EB116" s="1599"/>
      <c r="EC116" s="1599"/>
      <c r="ED116" s="1599"/>
      <c r="EE116" s="1599"/>
      <c r="EF116" s="1599"/>
      <c r="EG116" s="1599"/>
      <c r="EH116" s="1599"/>
      <c r="EI116" s="1599"/>
      <c r="EJ116" s="1599"/>
      <c r="EK116" s="1599"/>
      <c r="EL116" s="1599"/>
      <c r="EM116" s="1599"/>
      <c r="EN116" s="1599"/>
      <c r="EO116" s="1599"/>
      <c r="EP116" s="1599"/>
      <c r="EQ116" s="1599"/>
      <c r="ER116" s="1599"/>
      <c r="ES116" s="1599"/>
      <c r="ET116" s="1599"/>
      <c r="EU116" s="1599"/>
      <c r="EV116" s="1599"/>
      <c r="EW116" s="1599"/>
      <c r="EX116" s="1599"/>
      <c r="EY116" s="1599"/>
      <c r="EZ116" s="1599"/>
      <c r="FA116" s="1599"/>
      <c r="FB116" s="1599"/>
      <c r="FC116" s="1599"/>
      <c r="FD116" s="1599"/>
      <c r="FE116" s="1599"/>
      <c r="FF116" s="1599"/>
      <c r="FG116" s="1599"/>
      <c r="FH116" s="1599"/>
      <c r="FI116" s="1599"/>
      <c r="FJ116" s="1599"/>
      <c r="FK116" s="1599"/>
      <c r="FL116" s="1599"/>
      <c r="FM116" s="1599"/>
      <c r="FN116" s="1599"/>
      <c r="FO116" s="1599"/>
      <c r="FP116" s="1599"/>
      <c r="FQ116" s="1599"/>
      <c r="FR116" s="1599"/>
      <c r="FS116" s="1599"/>
      <c r="FT116" s="1599"/>
      <c r="FU116" s="1599"/>
      <c r="FV116" s="1599"/>
      <c r="FW116" s="1599"/>
      <c r="FX116" s="1599"/>
      <c r="FY116" s="1599"/>
      <c r="FZ116" s="1599"/>
      <c r="GA116" s="1599"/>
      <c r="GB116" s="1599"/>
      <c r="GC116" s="1599"/>
      <c r="GD116" s="1599"/>
      <c r="GE116" s="1599"/>
      <c r="GF116" s="1599"/>
      <c r="GG116" s="1599"/>
      <c r="GH116" s="1599"/>
      <c r="GI116" s="1599"/>
      <c r="GJ116" s="1599"/>
      <c r="GK116" s="1599"/>
      <c r="GL116" s="1599"/>
      <c r="GM116" s="1599"/>
      <c r="GN116" s="1599"/>
      <c r="GO116" s="1599"/>
      <c r="GP116" s="1599"/>
      <c r="GQ116" s="1599"/>
      <c r="GR116" s="1599"/>
      <c r="GS116" s="1599"/>
      <c r="GT116" s="1599"/>
    </row>
    <row r="117" spans="3:202" ht="17.100000000000001" customHeight="1">
      <c r="F117" s="1599"/>
      <c r="W117" s="1599"/>
      <c r="X117" s="1599"/>
      <c r="Y117" s="1599"/>
      <c r="Z117" s="1599"/>
      <c r="AA117" s="1599"/>
      <c r="AB117" s="1599"/>
      <c r="AC117" s="495"/>
      <c r="AD117" s="495"/>
      <c r="AE117" s="495"/>
      <c r="AF117" s="495"/>
      <c r="AG117" s="495"/>
      <c r="AH117" s="495"/>
      <c r="AI117" s="495"/>
      <c r="AJ117" s="495"/>
      <c r="AK117" s="495"/>
      <c r="AL117" s="495"/>
      <c r="AM117" s="495"/>
      <c r="AN117" s="495"/>
      <c r="AO117" s="495"/>
      <c r="AP117" s="495"/>
      <c r="AQ117" s="495"/>
      <c r="AR117" s="495"/>
      <c r="AS117" s="495"/>
      <c r="AT117" s="495"/>
      <c r="AU117" s="494"/>
      <c r="AV117" s="1599"/>
      <c r="AW117" s="1599"/>
      <c r="DK117" s="1599"/>
      <c r="DO117" s="1599"/>
      <c r="DS117" s="1599"/>
      <c r="DW117" s="1599"/>
      <c r="EA117" s="1599"/>
      <c r="EE117" s="1599"/>
      <c r="EI117" s="1599"/>
      <c r="EM117" s="1599"/>
      <c r="EQ117" s="1599"/>
      <c r="EU117" s="1599"/>
      <c r="EY117" s="1599"/>
      <c r="FC117" s="1599"/>
      <c r="FG117" s="1599"/>
      <c r="FK117" s="1599"/>
      <c r="FO117" s="1599"/>
      <c r="FS117" s="1599"/>
      <c r="FW117" s="1599"/>
      <c r="GA117" s="1599"/>
    </row>
    <row r="118" spans="3:202" ht="17.100000000000001" customHeight="1">
      <c r="F118" s="1599"/>
      <c r="W118" s="1599"/>
      <c r="X118" s="1599"/>
      <c r="Y118" s="1599"/>
      <c r="Z118" s="1599"/>
      <c r="AA118" s="1599"/>
      <c r="AB118" s="1599"/>
      <c r="AC118" s="495"/>
      <c r="AD118" s="495"/>
      <c r="AE118" s="495"/>
      <c r="AF118" s="495"/>
      <c r="AG118" s="495"/>
      <c r="AH118" s="495"/>
      <c r="AI118" s="495"/>
      <c r="AJ118" s="495"/>
      <c r="AK118" s="495"/>
      <c r="AL118" s="495"/>
      <c r="AM118" s="495"/>
      <c r="AN118" s="495"/>
      <c r="AO118" s="495"/>
      <c r="AP118" s="495"/>
      <c r="AQ118" s="495"/>
      <c r="AR118" s="495"/>
      <c r="AS118" s="495"/>
      <c r="AT118" s="495"/>
      <c r="AU118" s="1601"/>
      <c r="AV118" s="788"/>
      <c r="AW118" s="788"/>
      <c r="AX118" s="788"/>
      <c r="AY118" s="788"/>
      <c r="AZ118" s="788"/>
      <c r="BA118" s="788"/>
      <c r="BB118" s="788"/>
      <c r="BC118" s="788"/>
      <c r="BD118" s="788"/>
      <c r="BE118" s="788"/>
      <c r="BF118" s="788"/>
      <c r="BG118" s="788"/>
      <c r="BH118" s="788"/>
      <c r="BI118" s="788"/>
      <c r="BJ118" s="788"/>
      <c r="BK118" s="788"/>
      <c r="BL118" s="788"/>
      <c r="BM118" s="788"/>
      <c r="BN118" s="788"/>
      <c r="BO118" s="788"/>
      <c r="BP118" s="788"/>
      <c r="BQ118" s="788"/>
      <c r="BR118" s="788"/>
      <c r="BS118" s="788"/>
      <c r="BT118" s="788"/>
      <c r="BU118" s="788"/>
      <c r="BV118" s="788"/>
      <c r="BW118" s="788"/>
      <c r="BX118" s="788"/>
      <c r="BY118" s="788"/>
      <c r="BZ118" s="788"/>
      <c r="CA118" s="788"/>
      <c r="CB118" s="788"/>
      <c r="CC118" s="788"/>
      <c r="CD118" s="788"/>
      <c r="CE118" s="788"/>
      <c r="CF118" s="788"/>
      <c r="CG118" s="788"/>
      <c r="CH118" s="788"/>
      <c r="CI118" s="788"/>
      <c r="CJ118" s="788"/>
      <c r="CK118" s="788"/>
      <c r="CL118" s="788"/>
      <c r="CM118" s="788"/>
      <c r="CN118" s="788"/>
      <c r="CO118" s="788"/>
      <c r="CP118" s="788"/>
      <c r="CQ118" s="788"/>
      <c r="CR118" s="788"/>
      <c r="CS118" s="788"/>
      <c r="CT118" s="788"/>
      <c r="CU118" s="788"/>
      <c r="CV118" s="788"/>
      <c r="CW118" s="788"/>
      <c r="CX118" s="788"/>
      <c r="CY118" s="788"/>
      <c r="CZ118" s="788"/>
      <c r="DA118" s="788"/>
      <c r="DB118" s="788"/>
      <c r="DC118" s="788"/>
      <c r="DD118" s="788"/>
      <c r="DE118" s="788"/>
      <c r="DF118" s="788"/>
      <c r="DG118" s="788"/>
      <c r="DH118" s="788"/>
      <c r="DI118" s="788"/>
      <c r="DJ118" s="788"/>
      <c r="DK118" s="788"/>
      <c r="DL118" s="788"/>
      <c r="DM118" s="788"/>
      <c r="DN118" s="788"/>
      <c r="DO118" s="788"/>
      <c r="DP118" s="788"/>
      <c r="DQ118" s="788"/>
      <c r="DR118" s="788"/>
      <c r="DS118" s="788"/>
      <c r="DT118" s="788"/>
      <c r="DU118" s="788"/>
      <c r="DV118" s="788"/>
      <c r="DW118" s="788"/>
      <c r="DX118" s="788"/>
      <c r="DY118" s="788"/>
      <c r="DZ118" s="788"/>
      <c r="EA118" s="788"/>
      <c r="EB118" s="788"/>
      <c r="EC118" s="788"/>
      <c r="ED118" s="788"/>
      <c r="EE118" s="788"/>
      <c r="EF118" s="788"/>
      <c r="EG118" s="788"/>
      <c r="EH118" s="788"/>
      <c r="EI118" s="788"/>
      <c r="EJ118" s="788"/>
      <c r="EK118" s="788"/>
      <c r="EL118" s="788"/>
      <c r="EM118" s="788"/>
      <c r="EN118" s="788"/>
      <c r="EO118" s="788"/>
      <c r="EP118" s="788"/>
      <c r="EQ118" s="788"/>
      <c r="ER118" s="788"/>
      <c r="ES118" s="788"/>
      <c r="ET118" s="788"/>
      <c r="EU118" s="788"/>
      <c r="EV118" s="788"/>
      <c r="EW118" s="788"/>
      <c r="EX118" s="788"/>
      <c r="EY118" s="788"/>
      <c r="EZ118" s="788"/>
      <c r="FA118" s="788"/>
      <c r="FB118" s="788"/>
      <c r="FC118" s="788"/>
      <c r="FD118" s="788"/>
      <c r="FE118" s="788"/>
      <c r="FF118" s="788"/>
      <c r="FG118" s="788"/>
      <c r="FH118" s="788"/>
      <c r="FI118" s="788"/>
      <c r="FJ118" s="788"/>
      <c r="FK118" s="788"/>
      <c r="FL118" s="788"/>
      <c r="FM118" s="788"/>
      <c r="FN118" s="788"/>
      <c r="FO118" s="788"/>
      <c r="FP118" s="788"/>
      <c r="FQ118" s="788"/>
      <c r="FR118" s="788"/>
      <c r="FS118" s="788"/>
      <c r="FT118" s="788"/>
      <c r="FU118" s="788"/>
      <c r="FV118" s="788"/>
      <c r="FW118" s="788"/>
      <c r="FX118" s="788"/>
      <c r="FY118" s="788"/>
      <c r="FZ118" s="788"/>
      <c r="GA118" s="788"/>
      <c r="GB118" s="788"/>
      <c r="GC118" s="788"/>
      <c r="GD118" s="788"/>
    </row>
    <row r="119" spans="3:202" ht="17.100000000000001" customHeight="1">
      <c r="F119" s="1598"/>
      <c r="W119" s="1598"/>
      <c r="X119" s="1598"/>
      <c r="Y119" s="1598"/>
      <c r="Z119" s="1598"/>
      <c r="AA119" s="1598"/>
      <c r="AB119" s="1598"/>
      <c r="AC119" s="1598"/>
      <c r="AD119" s="1598"/>
      <c r="AE119" s="1598"/>
      <c r="AF119" s="1598"/>
      <c r="AG119" s="1598"/>
      <c r="AH119" s="1598"/>
      <c r="AI119" s="1598"/>
      <c r="AJ119" s="1598"/>
      <c r="AK119" s="1598"/>
      <c r="AL119" s="1598"/>
      <c r="AM119" s="1598"/>
      <c r="AN119" s="1598"/>
      <c r="AO119" s="1598"/>
      <c r="AP119" s="1598"/>
      <c r="AQ119" s="1598"/>
      <c r="AR119" s="1598"/>
      <c r="AS119" s="1598"/>
      <c r="AT119" s="1598"/>
      <c r="AU119" s="788"/>
      <c r="AV119" s="788"/>
      <c r="AW119" s="788"/>
      <c r="AX119" s="788"/>
      <c r="AY119" s="788"/>
      <c r="AZ119" s="788"/>
      <c r="BA119" s="788"/>
      <c r="BB119" s="788"/>
      <c r="BC119" s="788"/>
      <c r="BD119" s="788"/>
      <c r="BE119" s="788"/>
      <c r="BF119" s="788"/>
      <c r="BG119" s="788"/>
      <c r="BH119" s="788"/>
      <c r="BI119" s="788"/>
      <c r="BJ119" s="788"/>
      <c r="BK119" s="788"/>
      <c r="BL119" s="788"/>
      <c r="BM119" s="788"/>
      <c r="BN119" s="788"/>
      <c r="BO119" s="788"/>
      <c r="BP119" s="788"/>
      <c r="BQ119" s="788"/>
      <c r="BR119" s="788"/>
      <c r="BS119" s="788"/>
      <c r="BT119" s="788"/>
      <c r="BU119" s="788"/>
      <c r="BV119" s="788"/>
      <c r="BW119" s="788"/>
      <c r="BX119" s="788"/>
      <c r="BY119" s="788"/>
      <c r="BZ119" s="788"/>
      <c r="CA119" s="788"/>
      <c r="CB119" s="788"/>
      <c r="CC119" s="788"/>
      <c r="CD119" s="788"/>
      <c r="CE119" s="788"/>
      <c r="CF119" s="788"/>
      <c r="CG119" s="788"/>
      <c r="CH119" s="788"/>
      <c r="CI119" s="788"/>
      <c r="CJ119" s="788"/>
      <c r="CK119" s="788"/>
      <c r="CL119" s="788"/>
      <c r="CM119" s="788"/>
      <c r="CN119" s="788"/>
      <c r="CO119" s="788"/>
      <c r="CP119" s="788"/>
      <c r="CQ119" s="788"/>
      <c r="CR119" s="788"/>
      <c r="CS119" s="788"/>
      <c r="CT119" s="788"/>
      <c r="CU119" s="788"/>
      <c r="CV119" s="788"/>
      <c r="CW119" s="788"/>
      <c r="CX119" s="788"/>
      <c r="CY119" s="788"/>
      <c r="CZ119" s="788"/>
      <c r="DA119" s="788"/>
      <c r="DB119" s="788"/>
      <c r="DC119" s="788"/>
      <c r="DD119" s="788"/>
      <c r="DE119" s="788"/>
      <c r="DF119" s="788"/>
      <c r="DG119" s="788"/>
      <c r="DH119" s="788"/>
      <c r="DI119" s="788"/>
      <c r="DJ119" s="788"/>
      <c r="DK119" s="788"/>
      <c r="DL119" s="788"/>
      <c r="DM119" s="788"/>
      <c r="DN119" s="788"/>
      <c r="DO119" s="788"/>
      <c r="DP119" s="788"/>
      <c r="DQ119" s="788"/>
      <c r="DR119" s="788"/>
      <c r="DS119" s="788"/>
      <c r="DT119" s="788"/>
      <c r="DU119" s="788"/>
      <c r="DV119" s="788"/>
      <c r="DW119" s="788"/>
      <c r="DX119" s="788"/>
      <c r="DY119" s="788"/>
      <c r="DZ119" s="788"/>
      <c r="EA119" s="788"/>
      <c r="EB119" s="788"/>
      <c r="EC119" s="788"/>
      <c r="ED119" s="788"/>
      <c r="EE119" s="788"/>
      <c r="EF119" s="788"/>
      <c r="EG119" s="788"/>
      <c r="EH119" s="788"/>
      <c r="EI119" s="788"/>
      <c r="EJ119" s="788"/>
      <c r="EK119" s="788"/>
      <c r="EL119" s="788"/>
      <c r="EM119" s="788"/>
      <c r="EN119" s="788"/>
      <c r="EO119" s="788"/>
      <c r="EP119" s="788"/>
      <c r="EQ119" s="788"/>
      <c r="ER119" s="788"/>
      <c r="ES119" s="788"/>
      <c r="ET119" s="788"/>
      <c r="EU119" s="788"/>
      <c r="EV119" s="788"/>
      <c r="EW119" s="788"/>
      <c r="EX119" s="788"/>
      <c r="EY119" s="788"/>
      <c r="EZ119" s="788"/>
      <c r="FA119" s="788"/>
      <c r="FB119" s="788"/>
      <c r="FC119" s="788"/>
      <c r="FD119" s="788"/>
      <c r="FE119" s="788"/>
      <c r="FF119" s="788"/>
      <c r="FG119" s="788"/>
      <c r="FH119" s="788"/>
      <c r="FI119" s="788"/>
      <c r="FJ119" s="788"/>
      <c r="FK119" s="788"/>
      <c r="FL119" s="788"/>
      <c r="FM119" s="788"/>
      <c r="FN119" s="788"/>
      <c r="FO119" s="788"/>
      <c r="FP119" s="788"/>
      <c r="FQ119" s="788"/>
      <c r="FR119" s="788"/>
      <c r="FS119" s="788"/>
      <c r="FT119" s="788"/>
      <c r="FU119" s="788"/>
      <c r="FV119" s="788"/>
      <c r="FW119" s="788"/>
      <c r="FX119" s="788"/>
      <c r="FY119" s="788"/>
      <c r="FZ119" s="788"/>
      <c r="GA119" s="788"/>
      <c r="GB119" s="788"/>
      <c r="GC119" s="788"/>
      <c r="GD119" s="788"/>
    </row>
    <row r="120" spans="3:202" ht="17.100000000000001" customHeight="1">
      <c r="E120" s="1602"/>
      <c r="AD120" s="644"/>
      <c r="AE120" s="644"/>
      <c r="AF120" s="644"/>
      <c r="AG120" s="644"/>
      <c r="AH120" s="644"/>
      <c r="AI120" s="644"/>
      <c r="AJ120" s="644"/>
      <c r="AK120" s="644"/>
      <c r="AL120" s="644"/>
      <c r="AM120" s="644"/>
      <c r="AN120" s="644"/>
      <c r="AO120" s="644"/>
      <c r="AP120" s="644"/>
      <c r="AQ120" s="644"/>
      <c r="AR120" s="644"/>
      <c r="AS120" s="644"/>
      <c r="AT120" s="644"/>
      <c r="AU120" s="788"/>
      <c r="AV120" s="788"/>
      <c r="AW120" s="788"/>
      <c r="AX120" s="788"/>
      <c r="AY120" s="788"/>
      <c r="AZ120" s="788"/>
      <c r="BA120" s="788"/>
      <c r="BB120" s="788"/>
      <c r="BC120" s="788"/>
      <c r="BD120" s="788"/>
      <c r="BE120" s="788"/>
      <c r="BF120" s="788"/>
      <c r="BG120" s="788"/>
      <c r="BH120" s="788"/>
      <c r="BI120" s="788"/>
      <c r="BJ120" s="788"/>
      <c r="BK120" s="788"/>
      <c r="BL120" s="788"/>
      <c r="BM120" s="788"/>
      <c r="BN120" s="788"/>
      <c r="BO120" s="788"/>
      <c r="BP120" s="788"/>
      <c r="BQ120" s="788"/>
      <c r="BR120" s="788"/>
      <c r="BS120" s="788"/>
      <c r="BT120" s="788"/>
      <c r="BU120" s="788"/>
      <c r="BV120" s="788"/>
      <c r="BW120" s="788"/>
      <c r="BX120" s="788"/>
      <c r="BY120" s="788"/>
      <c r="BZ120" s="788"/>
      <c r="CA120" s="788"/>
      <c r="CB120" s="788"/>
      <c r="CC120" s="788"/>
      <c r="CD120" s="788"/>
      <c r="CE120" s="788"/>
      <c r="CF120" s="788"/>
      <c r="CG120" s="788"/>
      <c r="CH120" s="788"/>
      <c r="CI120" s="788"/>
      <c r="CJ120" s="788"/>
      <c r="CK120" s="788"/>
      <c r="CL120" s="788"/>
      <c r="CM120" s="788"/>
      <c r="CN120" s="788"/>
      <c r="CO120" s="788"/>
      <c r="CP120" s="788"/>
      <c r="CQ120" s="788"/>
      <c r="CR120" s="788"/>
      <c r="CS120" s="788"/>
      <c r="CT120" s="788"/>
      <c r="CU120" s="788"/>
      <c r="CV120" s="788"/>
      <c r="CW120" s="788"/>
      <c r="CX120" s="788"/>
      <c r="CY120" s="788"/>
      <c r="CZ120" s="788"/>
      <c r="DA120" s="788"/>
      <c r="DB120" s="788"/>
      <c r="DC120" s="788"/>
      <c r="DD120" s="788"/>
      <c r="DE120" s="788"/>
      <c r="DF120" s="788"/>
      <c r="DG120" s="788"/>
      <c r="DH120" s="788"/>
      <c r="DI120" s="788"/>
      <c r="DJ120" s="788"/>
      <c r="DK120" s="788"/>
      <c r="DL120" s="788"/>
      <c r="DM120" s="788"/>
      <c r="DN120" s="788"/>
      <c r="DO120" s="788"/>
      <c r="DP120" s="788"/>
      <c r="DQ120" s="788"/>
      <c r="DR120" s="788"/>
      <c r="DS120" s="788"/>
      <c r="DT120" s="788"/>
      <c r="DU120" s="788"/>
      <c r="DV120" s="788"/>
      <c r="DW120" s="788"/>
      <c r="DX120" s="788"/>
      <c r="DY120" s="788"/>
      <c r="DZ120" s="788"/>
      <c r="EA120" s="788"/>
      <c r="EB120" s="788"/>
      <c r="EC120" s="788"/>
      <c r="ED120" s="788"/>
      <c r="EE120" s="788"/>
      <c r="EF120" s="788"/>
      <c r="EG120" s="788"/>
      <c r="EH120" s="788"/>
      <c r="EI120" s="788"/>
      <c r="EJ120" s="788"/>
      <c r="EK120" s="788"/>
      <c r="EL120" s="788"/>
      <c r="EM120" s="788"/>
      <c r="EN120" s="788"/>
      <c r="EO120" s="788"/>
      <c r="EP120" s="788"/>
      <c r="EQ120" s="788"/>
      <c r="ER120" s="788"/>
      <c r="ES120" s="788"/>
      <c r="ET120" s="788"/>
      <c r="EU120" s="788"/>
      <c r="EV120" s="788"/>
      <c r="EW120" s="788"/>
      <c r="EX120" s="788"/>
      <c r="EY120" s="788"/>
      <c r="EZ120" s="788"/>
      <c r="FA120" s="788"/>
      <c r="FB120" s="788"/>
      <c r="FC120" s="788"/>
      <c r="FD120" s="788"/>
      <c r="FE120" s="788"/>
      <c r="FF120" s="788"/>
      <c r="FG120" s="788"/>
      <c r="FH120" s="788"/>
      <c r="FI120" s="788"/>
      <c r="FJ120" s="788"/>
      <c r="FK120" s="788"/>
      <c r="FL120" s="788"/>
      <c r="FM120" s="788"/>
      <c r="FN120" s="788"/>
      <c r="FO120" s="788"/>
      <c r="FP120" s="788"/>
      <c r="FQ120" s="788"/>
      <c r="FR120" s="788"/>
      <c r="FS120" s="788"/>
      <c r="FT120" s="788"/>
      <c r="FU120" s="788"/>
      <c r="FV120" s="788"/>
      <c r="FW120" s="788"/>
      <c r="FX120" s="788"/>
      <c r="FY120" s="788"/>
      <c r="FZ120" s="788"/>
      <c r="GA120" s="788"/>
      <c r="GB120" s="788"/>
      <c r="GC120" s="788"/>
      <c r="GD120" s="788"/>
    </row>
    <row r="121" spans="3:202" ht="17.100000000000001" customHeight="1">
      <c r="E121" s="1603"/>
      <c r="F121" s="1604"/>
      <c r="AB121" s="787"/>
      <c r="AC121" s="787"/>
      <c r="AD121" s="787"/>
      <c r="AE121" s="787"/>
      <c r="AF121" s="787"/>
      <c r="AG121" s="787"/>
      <c r="AH121" s="787"/>
      <c r="AI121" s="787"/>
      <c r="AJ121" s="787"/>
      <c r="AK121" s="787"/>
      <c r="AL121" s="787"/>
      <c r="AM121" s="787"/>
      <c r="AN121" s="787"/>
      <c r="AO121" s="787"/>
      <c r="AP121" s="787"/>
      <c r="AQ121" s="787"/>
      <c r="AR121" s="787"/>
      <c r="AS121" s="787"/>
      <c r="AT121" s="787"/>
      <c r="AU121" s="1197"/>
      <c r="AV121" s="788"/>
      <c r="AW121" s="788"/>
      <c r="AX121" s="788"/>
      <c r="AY121" s="788"/>
      <c r="AZ121" s="788"/>
      <c r="BA121" s="788"/>
      <c r="BB121" s="788"/>
      <c r="BC121" s="788"/>
      <c r="BD121" s="788"/>
      <c r="BE121" s="788"/>
      <c r="BF121" s="788"/>
      <c r="BG121" s="788"/>
      <c r="BH121" s="788"/>
      <c r="BI121" s="788"/>
      <c r="BJ121" s="788"/>
      <c r="BK121" s="788"/>
      <c r="BL121" s="788"/>
      <c r="BM121" s="788"/>
      <c r="BN121" s="788"/>
      <c r="BO121" s="788"/>
      <c r="BP121" s="788"/>
      <c r="BQ121" s="788"/>
      <c r="BR121" s="788"/>
      <c r="BS121" s="788"/>
      <c r="BT121" s="788"/>
      <c r="BU121" s="788"/>
      <c r="BV121" s="788"/>
      <c r="BW121" s="788"/>
      <c r="BX121" s="788"/>
      <c r="BY121" s="788"/>
      <c r="BZ121" s="788"/>
      <c r="CA121" s="788"/>
      <c r="CB121" s="788"/>
      <c r="CC121" s="788"/>
      <c r="CD121" s="788"/>
      <c r="CE121" s="788"/>
      <c r="CF121" s="788"/>
      <c r="CG121" s="788"/>
      <c r="CH121" s="788"/>
      <c r="CI121" s="788"/>
      <c r="CJ121" s="788"/>
      <c r="CK121" s="788"/>
      <c r="CL121" s="788"/>
      <c r="CM121" s="788"/>
      <c r="CN121" s="788"/>
      <c r="CO121" s="788"/>
      <c r="CP121" s="788"/>
      <c r="CQ121" s="788"/>
      <c r="CR121" s="788"/>
      <c r="CS121" s="788"/>
      <c r="CT121" s="788"/>
      <c r="CU121" s="788"/>
      <c r="CV121" s="788"/>
      <c r="CW121" s="788"/>
      <c r="CX121" s="788"/>
      <c r="CY121" s="788"/>
      <c r="CZ121" s="788"/>
      <c r="DA121" s="788"/>
      <c r="DB121" s="788"/>
      <c r="DC121" s="788"/>
      <c r="DD121" s="788"/>
      <c r="DE121" s="788"/>
      <c r="DF121" s="788"/>
      <c r="DG121" s="788"/>
      <c r="DH121" s="788"/>
      <c r="DI121" s="788"/>
      <c r="DJ121" s="788"/>
      <c r="DK121" s="788"/>
      <c r="DL121" s="788"/>
      <c r="DM121" s="788"/>
      <c r="DN121" s="788"/>
      <c r="DO121" s="788"/>
      <c r="DP121" s="788"/>
      <c r="DQ121" s="788"/>
      <c r="DR121" s="788"/>
      <c r="DS121" s="788"/>
      <c r="DT121" s="788"/>
      <c r="DU121" s="788"/>
      <c r="DV121" s="788"/>
      <c r="DW121" s="788"/>
      <c r="DX121" s="788"/>
      <c r="DY121" s="788"/>
      <c r="DZ121" s="788"/>
      <c r="EA121" s="788"/>
      <c r="EB121" s="788"/>
      <c r="EC121" s="788"/>
      <c r="ED121" s="788"/>
      <c r="EE121" s="788"/>
      <c r="EF121" s="788"/>
      <c r="EG121" s="788"/>
      <c r="EH121" s="788"/>
      <c r="EI121" s="788"/>
      <c r="EJ121" s="788"/>
      <c r="EK121" s="788"/>
      <c r="EL121" s="788"/>
      <c r="EM121" s="788"/>
      <c r="EN121" s="788"/>
      <c r="EO121" s="788"/>
      <c r="EP121" s="788"/>
      <c r="EQ121" s="788"/>
      <c r="ER121" s="788"/>
      <c r="ES121" s="788"/>
      <c r="ET121" s="788"/>
      <c r="EU121" s="788"/>
      <c r="EV121" s="788"/>
      <c r="EW121" s="788"/>
      <c r="EX121" s="788"/>
      <c r="EY121" s="788"/>
      <c r="EZ121" s="788"/>
      <c r="FA121" s="788"/>
      <c r="FB121" s="788"/>
      <c r="FC121" s="788"/>
      <c r="FD121" s="788"/>
      <c r="FE121" s="788"/>
      <c r="FF121" s="788"/>
      <c r="FG121" s="788"/>
      <c r="FH121" s="788"/>
      <c r="FI121" s="788"/>
      <c r="FJ121" s="788"/>
      <c r="FK121" s="788"/>
      <c r="FL121" s="788"/>
      <c r="FM121" s="788"/>
      <c r="FN121" s="788"/>
      <c r="FO121" s="788"/>
      <c r="FP121" s="788"/>
      <c r="FQ121" s="788"/>
      <c r="FR121" s="788"/>
      <c r="FS121" s="788"/>
      <c r="FT121" s="788"/>
      <c r="FU121" s="788"/>
      <c r="FV121" s="788"/>
      <c r="FW121" s="788"/>
      <c r="FX121" s="788"/>
      <c r="FY121" s="788"/>
      <c r="FZ121" s="788"/>
      <c r="GA121" s="788"/>
      <c r="GB121" s="788"/>
      <c r="GC121" s="788"/>
      <c r="GD121" s="788"/>
    </row>
    <row r="122" spans="3:202" ht="17.100000000000001" customHeight="1">
      <c r="AA122" s="653"/>
      <c r="AB122" s="653"/>
      <c r="AC122" s="653"/>
      <c r="AD122" s="653"/>
      <c r="AE122" s="653"/>
      <c r="AF122" s="653"/>
      <c r="AG122" s="653"/>
      <c r="AH122" s="653"/>
      <c r="AI122" s="653"/>
      <c r="AJ122" s="653"/>
      <c r="AK122" s="653"/>
      <c r="AL122" s="653"/>
      <c r="AM122" s="653"/>
      <c r="AN122" s="653"/>
      <c r="AO122" s="653"/>
      <c r="AP122" s="653"/>
      <c r="AQ122" s="653"/>
      <c r="AR122" s="653"/>
      <c r="AS122" s="653"/>
      <c r="AT122" s="653"/>
      <c r="AU122" s="714"/>
      <c r="AV122" s="714"/>
      <c r="AW122" s="714"/>
      <c r="AX122" s="714"/>
      <c r="AY122" s="714"/>
      <c r="AZ122" s="714"/>
      <c r="BA122" s="714"/>
      <c r="BB122" s="714"/>
      <c r="BC122" s="714"/>
      <c r="BD122" s="714"/>
      <c r="BE122" s="714"/>
      <c r="BF122" s="714"/>
      <c r="BG122" s="714"/>
      <c r="BH122" s="714"/>
      <c r="BI122" s="714"/>
      <c r="BJ122" s="714"/>
      <c r="BK122" s="714"/>
      <c r="BL122" s="714"/>
      <c r="BM122" s="714"/>
      <c r="BN122" s="714"/>
      <c r="BO122" s="714"/>
      <c r="BP122" s="714"/>
      <c r="BQ122" s="714"/>
      <c r="BR122" s="714"/>
      <c r="BS122" s="714"/>
      <c r="BT122" s="714"/>
      <c r="BU122" s="714"/>
      <c r="BV122" s="714"/>
      <c r="BW122" s="714"/>
      <c r="BX122" s="714"/>
      <c r="BY122" s="714"/>
      <c r="BZ122" s="714"/>
      <c r="CA122" s="714"/>
      <c r="CB122" s="714"/>
      <c r="CC122" s="714"/>
      <c r="CD122" s="714"/>
      <c r="CE122" s="714"/>
      <c r="CF122" s="714"/>
      <c r="CG122" s="714"/>
      <c r="CH122" s="714"/>
      <c r="CI122" s="714"/>
      <c r="CJ122" s="714"/>
      <c r="CK122" s="714"/>
      <c r="CL122" s="714"/>
      <c r="CM122" s="714"/>
      <c r="CN122" s="714"/>
      <c r="CO122" s="714"/>
      <c r="CP122" s="714"/>
      <c r="CQ122" s="714"/>
      <c r="CR122" s="714"/>
      <c r="CS122" s="714"/>
      <c r="CT122" s="714"/>
      <c r="CU122" s="714"/>
      <c r="CV122" s="714"/>
      <c r="CW122" s="714"/>
      <c r="CX122" s="714"/>
      <c r="CY122" s="714"/>
      <c r="CZ122" s="714"/>
      <c r="DA122" s="714"/>
      <c r="DB122" s="714"/>
      <c r="DC122" s="714"/>
      <c r="DD122" s="714"/>
      <c r="DE122" s="714"/>
      <c r="DF122" s="714"/>
      <c r="DG122" s="714"/>
      <c r="DH122" s="714"/>
      <c r="DI122" s="714"/>
      <c r="DJ122" s="714"/>
      <c r="DK122" s="714"/>
      <c r="DL122" s="714"/>
      <c r="DM122" s="714"/>
      <c r="DN122" s="714"/>
      <c r="DO122" s="714"/>
      <c r="DP122" s="714"/>
      <c r="DQ122" s="714"/>
      <c r="DR122" s="714"/>
      <c r="DS122" s="714"/>
      <c r="DT122" s="714"/>
      <c r="DU122" s="714"/>
      <c r="DV122" s="714"/>
      <c r="DW122" s="714"/>
      <c r="DX122" s="714"/>
      <c r="DY122" s="714"/>
      <c r="DZ122" s="714"/>
      <c r="EA122" s="714"/>
      <c r="EB122" s="714"/>
      <c r="EC122" s="714"/>
      <c r="ED122" s="714"/>
      <c r="EE122" s="714"/>
      <c r="EF122" s="714"/>
      <c r="EG122" s="714"/>
      <c r="EH122" s="714"/>
      <c r="EI122" s="714"/>
      <c r="EJ122" s="714"/>
      <c r="EK122" s="714"/>
      <c r="EL122" s="714"/>
      <c r="EM122" s="714"/>
      <c r="EN122" s="714"/>
      <c r="EO122" s="714"/>
      <c r="EP122" s="714"/>
      <c r="EQ122" s="714"/>
      <c r="ER122" s="714"/>
      <c r="ES122" s="714"/>
      <c r="ET122" s="714"/>
      <c r="EU122" s="714"/>
      <c r="EV122" s="714"/>
      <c r="EW122" s="714"/>
      <c r="EX122" s="714"/>
      <c r="EY122" s="714"/>
      <c r="EZ122" s="714"/>
      <c r="FA122" s="714"/>
      <c r="FB122" s="714"/>
      <c r="FC122" s="714"/>
      <c r="FD122" s="714"/>
      <c r="FE122" s="714"/>
      <c r="FF122" s="714"/>
      <c r="FG122" s="714"/>
      <c r="FH122" s="714"/>
      <c r="FI122" s="714"/>
      <c r="FJ122" s="714"/>
      <c r="FK122" s="714"/>
      <c r="FL122" s="714"/>
      <c r="FM122" s="714"/>
      <c r="FN122" s="714"/>
      <c r="FO122" s="714"/>
      <c r="FP122" s="714"/>
      <c r="FQ122" s="714"/>
      <c r="FR122" s="714"/>
      <c r="FS122" s="714"/>
      <c r="FT122" s="714"/>
      <c r="FU122" s="714"/>
      <c r="FV122" s="714"/>
      <c r="FW122" s="714"/>
      <c r="FX122" s="714"/>
      <c r="FY122" s="714"/>
      <c r="FZ122" s="714"/>
      <c r="GA122" s="714"/>
      <c r="GB122" s="714"/>
      <c r="GC122" s="714"/>
      <c r="GD122" s="714"/>
    </row>
  </sheetData>
  <phoneticPr fontId="12" type="noConversion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58347-9D94-4EAF-B58F-8E7F25825475}">
  <sheetPr codeName="Sheet24"/>
  <dimension ref="A1:XFC141"/>
  <sheetViews>
    <sheetView showGridLines="0" zoomScale="85" zoomScaleNormal="85" workbookViewId="0">
      <pane xSplit="14" ySplit="8" topLeftCell="O37" activePane="bottomRight" state="frozen"/>
      <selection activeCell="C10" sqref="C10"/>
      <selection pane="topRight" activeCell="C10" sqref="C10"/>
      <selection pane="bottomLeft" activeCell="C10" sqref="C10"/>
      <selection pane="bottomRight" activeCell="L48" sqref="L48"/>
    </sheetView>
  </sheetViews>
  <sheetFormatPr defaultColWidth="0" defaultRowHeight="17.100000000000001" customHeight="1" outlineLevelRow="1" outlineLevelCol="1"/>
  <cols>
    <col min="1" max="1" width="1.44140625" style="302" customWidth="1"/>
    <col min="2" max="3" width="2" style="302" customWidth="1"/>
    <col min="4" max="4" width="20" style="302" customWidth="1"/>
    <col min="5" max="5" width="6.77734375" style="302" customWidth="1"/>
    <col min="6" max="6" width="7.5546875" style="302" customWidth="1"/>
    <col min="7" max="14" width="9.6640625" style="302" customWidth="1" outlineLevel="1"/>
    <col min="15" max="186" width="9.6640625" style="302" bestFit="1" customWidth="1"/>
    <col min="187" max="187" width="6.109375" style="302" customWidth="1"/>
    <col min="188" max="16383" width="0" style="302" hidden="1"/>
    <col min="16384" max="16384" width="8.88671875" style="302" hidden="1"/>
  </cols>
  <sheetData>
    <row r="1" spans="1:190" ht="8.4499999999999993" customHeight="1"/>
    <row r="2" spans="1:190" s="635" customFormat="1" ht="17.100000000000001" customHeight="1">
      <c r="A2" s="633"/>
      <c r="B2" s="634" t="s">
        <v>1234</v>
      </c>
    </row>
    <row r="3" spans="1:190" ht="17.100000000000001" customHeight="1" outlineLevel="1">
      <c r="D3" s="396"/>
      <c r="F3" s="1256"/>
      <c r="G3" s="1257">
        <f>YEAR(G8)</f>
        <v>2019</v>
      </c>
      <c r="H3" s="1257">
        <f>YEAR(H8)</f>
        <v>2019</v>
      </c>
      <c r="I3" s="1257">
        <f>YEAR(I8)</f>
        <v>2019</v>
      </c>
      <c r="J3" s="1257">
        <f>YEAR(J8)</f>
        <v>2019</v>
      </c>
      <c r="K3" s="1257">
        <f>YEAR(K8)</f>
        <v>2020</v>
      </c>
      <c r="L3" s="1257">
        <f t="shared" ref="L3:BW3" si="0">YEAR(L8)</f>
        <v>2020</v>
      </c>
      <c r="M3" s="1257">
        <f t="shared" si="0"/>
        <v>2020</v>
      </c>
      <c r="N3" s="1257">
        <f t="shared" si="0"/>
        <v>2020</v>
      </c>
      <c r="O3" s="1257">
        <f t="shared" si="0"/>
        <v>2021</v>
      </c>
      <c r="P3" s="1257">
        <f t="shared" si="0"/>
        <v>2021</v>
      </c>
      <c r="Q3" s="1257">
        <f t="shared" si="0"/>
        <v>2021</v>
      </c>
      <c r="R3" s="1257">
        <f t="shared" si="0"/>
        <v>2021</v>
      </c>
      <c r="S3" s="1257">
        <f t="shared" si="0"/>
        <v>2022</v>
      </c>
      <c r="T3" s="1257">
        <f t="shared" si="0"/>
        <v>2022</v>
      </c>
      <c r="U3" s="1257">
        <f t="shared" si="0"/>
        <v>2022</v>
      </c>
      <c r="V3" s="1257">
        <f t="shared" si="0"/>
        <v>2022</v>
      </c>
      <c r="W3" s="1257">
        <f t="shared" si="0"/>
        <v>2023</v>
      </c>
      <c r="X3" s="1257">
        <f t="shared" si="0"/>
        <v>2023</v>
      </c>
      <c r="Y3" s="1257">
        <f t="shared" si="0"/>
        <v>2023</v>
      </c>
      <c r="Z3" s="1257">
        <f t="shared" si="0"/>
        <v>2023</v>
      </c>
      <c r="AA3" s="1257">
        <f t="shared" si="0"/>
        <v>2024</v>
      </c>
      <c r="AB3" s="1257">
        <f t="shared" si="0"/>
        <v>2024</v>
      </c>
      <c r="AC3" s="1257">
        <f t="shared" si="0"/>
        <v>2024</v>
      </c>
      <c r="AD3" s="1257">
        <f t="shared" si="0"/>
        <v>2024</v>
      </c>
      <c r="AE3" s="1257">
        <f t="shared" si="0"/>
        <v>2025</v>
      </c>
      <c r="AF3" s="1257">
        <f t="shared" si="0"/>
        <v>2025</v>
      </c>
      <c r="AG3" s="1257">
        <f t="shared" si="0"/>
        <v>2025</v>
      </c>
      <c r="AH3" s="1257">
        <f t="shared" si="0"/>
        <v>2025</v>
      </c>
      <c r="AI3" s="1257">
        <f t="shared" si="0"/>
        <v>2026</v>
      </c>
      <c r="AJ3" s="1257">
        <f t="shared" si="0"/>
        <v>2026</v>
      </c>
      <c r="AK3" s="1257">
        <f t="shared" si="0"/>
        <v>2026</v>
      </c>
      <c r="AL3" s="1257">
        <f t="shared" si="0"/>
        <v>2026</v>
      </c>
      <c r="AM3" s="1257">
        <f t="shared" si="0"/>
        <v>2027</v>
      </c>
      <c r="AN3" s="1257">
        <f t="shared" si="0"/>
        <v>2027</v>
      </c>
      <c r="AO3" s="1257">
        <f t="shared" si="0"/>
        <v>2027</v>
      </c>
      <c r="AP3" s="1257">
        <f t="shared" si="0"/>
        <v>2027</v>
      </c>
      <c r="AQ3" s="1257">
        <f t="shared" si="0"/>
        <v>2028</v>
      </c>
      <c r="AR3" s="1257">
        <f t="shared" si="0"/>
        <v>2028</v>
      </c>
      <c r="AS3" s="1257">
        <f t="shared" si="0"/>
        <v>2028</v>
      </c>
      <c r="AT3" s="1257">
        <f t="shared" si="0"/>
        <v>2028</v>
      </c>
      <c r="AU3" s="1257">
        <f t="shared" si="0"/>
        <v>2029</v>
      </c>
      <c r="AV3" s="1257">
        <f t="shared" si="0"/>
        <v>2029</v>
      </c>
      <c r="AW3" s="1257">
        <f t="shared" si="0"/>
        <v>2029</v>
      </c>
      <c r="AX3" s="1257">
        <f t="shared" si="0"/>
        <v>2029</v>
      </c>
      <c r="AY3" s="1257">
        <f t="shared" si="0"/>
        <v>2030</v>
      </c>
      <c r="AZ3" s="1257">
        <f t="shared" si="0"/>
        <v>2030</v>
      </c>
      <c r="BA3" s="1257">
        <f t="shared" si="0"/>
        <v>2030</v>
      </c>
      <c r="BB3" s="1257">
        <f t="shared" si="0"/>
        <v>2030</v>
      </c>
      <c r="BC3" s="1257">
        <f t="shared" si="0"/>
        <v>2031</v>
      </c>
      <c r="BD3" s="1257">
        <f t="shared" si="0"/>
        <v>2031</v>
      </c>
      <c r="BE3" s="1257">
        <f t="shared" si="0"/>
        <v>2031</v>
      </c>
      <c r="BF3" s="1257">
        <f t="shared" si="0"/>
        <v>2031</v>
      </c>
      <c r="BG3" s="1257">
        <f t="shared" si="0"/>
        <v>2032</v>
      </c>
      <c r="BH3" s="1257">
        <f t="shared" si="0"/>
        <v>2032</v>
      </c>
      <c r="BI3" s="1257">
        <f t="shared" si="0"/>
        <v>2032</v>
      </c>
      <c r="BJ3" s="1257">
        <f t="shared" si="0"/>
        <v>2032</v>
      </c>
      <c r="BK3" s="1257">
        <f t="shared" si="0"/>
        <v>2033</v>
      </c>
      <c r="BL3" s="1257">
        <f t="shared" si="0"/>
        <v>2033</v>
      </c>
      <c r="BM3" s="1257">
        <f t="shared" si="0"/>
        <v>2033</v>
      </c>
      <c r="BN3" s="1257">
        <f t="shared" si="0"/>
        <v>2033</v>
      </c>
      <c r="BO3" s="1257">
        <f t="shared" si="0"/>
        <v>2034</v>
      </c>
      <c r="BP3" s="1257">
        <f t="shared" si="0"/>
        <v>2034</v>
      </c>
      <c r="BQ3" s="1257">
        <f t="shared" si="0"/>
        <v>2034</v>
      </c>
      <c r="BR3" s="1257">
        <f t="shared" si="0"/>
        <v>2034</v>
      </c>
      <c r="BS3" s="1257">
        <f t="shared" si="0"/>
        <v>2035</v>
      </c>
      <c r="BT3" s="1257">
        <f t="shared" si="0"/>
        <v>2035</v>
      </c>
      <c r="BU3" s="1257">
        <f t="shared" si="0"/>
        <v>2035</v>
      </c>
      <c r="BV3" s="1257">
        <f t="shared" si="0"/>
        <v>2035</v>
      </c>
      <c r="BW3" s="1257">
        <f t="shared" si="0"/>
        <v>2036</v>
      </c>
      <c r="BX3" s="1257">
        <f t="shared" ref="BX3:EI3" si="1">YEAR(BX8)</f>
        <v>2036</v>
      </c>
      <c r="BY3" s="1257">
        <f t="shared" si="1"/>
        <v>2036</v>
      </c>
      <c r="BZ3" s="1257">
        <f t="shared" si="1"/>
        <v>2036</v>
      </c>
      <c r="CA3" s="1257">
        <f t="shared" si="1"/>
        <v>2037</v>
      </c>
      <c r="CB3" s="1257">
        <f t="shared" si="1"/>
        <v>2037</v>
      </c>
      <c r="CC3" s="1257">
        <f t="shared" si="1"/>
        <v>2037</v>
      </c>
      <c r="CD3" s="1257">
        <f t="shared" si="1"/>
        <v>2037</v>
      </c>
      <c r="CE3" s="1257">
        <f t="shared" si="1"/>
        <v>2038</v>
      </c>
      <c r="CF3" s="1257">
        <f t="shared" si="1"/>
        <v>2038</v>
      </c>
      <c r="CG3" s="1257">
        <f t="shared" si="1"/>
        <v>2038</v>
      </c>
      <c r="CH3" s="1257">
        <f t="shared" si="1"/>
        <v>2038</v>
      </c>
      <c r="CI3" s="1257">
        <f t="shared" si="1"/>
        <v>2039</v>
      </c>
      <c r="CJ3" s="1257">
        <f t="shared" si="1"/>
        <v>2039</v>
      </c>
      <c r="CK3" s="1257">
        <f t="shared" si="1"/>
        <v>2039</v>
      </c>
      <c r="CL3" s="1257">
        <f t="shared" si="1"/>
        <v>2039</v>
      </c>
      <c r="CM3" s="1257">
        <f t="shared" si="1"/>
        <v>2040</v>
      </c>
      <c r="CN3" s="1257">
        <f t="shared" si="1"/>
        <v>2040</v>
      </c>
      <c r="CO3" s="1257">
        <f t="shared" si="1"/>
        <v>2040</v>
      </c>
      <c r="CP3" s="1257">
        <f t="shared" si="1"/>
        <v>2040</v>
      </c>
      <c r="CQ3" s="1257">
        <f t="shared" si="1"/>
        <v>2041</v>
      </c>
      <c r="CR3" s="1257">
        <f t="shared" si="1"/>
        <v>2041</v>
      </c>
      <c r="CS3" s="1257">
        <f t="shared" si="1"/>
        <v>2041</v>
      </c>
      <c r="CT3" s="1257">
        <f t="shared" si="1"/>
        <v>2041</v>
      </c>
      <c r="CU3" s="1257">
        <f t="shared" si="1"/>
        <v>2042</v>
      </c>
      <c r="CV3" s="1257">
        <f t="shared" si="1"/>
        <v>2042</v>
      </c>
      <c r="CW3" s="1257">
        <f t="shared" si="1"/>
        <v>2042</v>
      </c>
      <c r="CX3" s="1257">
        <f t="shared" si="1"/>
        <v>2042</v>
      </c>
      <c r="CY3" s="1257">
        <f t="shared" si="1"/>
        <v>2043</v>
      </c>
      <c r="CZ3" s="1257">
        <f t="shared" si="1"/>
        <v>2043</v>
      </c>
      <c r="DA3" s="1257">
        <f t="shared" si="1"/>
        <v>2043</v>
      </c>
      <c r="DB3" s="1257">
        <f t="shared" si="1"/>
        <v>2043</v>
      </c>
      <c r="DC3" s="1257">
        <f t="shared" si="1"/>
        <v>2044</v>
      </c>
      <c r="DD3" s="1257">
        <f t="shared" si="1"/>
        <v>2044</v>
      </c>
      <c r="DE3" s="1257">
        <f t="shared" si="1"/>
        <v>2044</v>
      </c>
      <c r="DF3" s="1257">
        <f t="shared" si="1"/>
        <v>2044</v>
      </c>
      <c r="DG3" s="1257">
        <f t="shared" si="1"/>
        <v>2045</v>
      </c>
      <c r="DH3" s="1257">
        <f t="shared" si="1"/>
        <v>2045</v>
      </c>
      <c r="DI3" s="1257">
        <f t="shared" si="1"/>
        <v>2045</v>
      </c>
      <c r="DJ3" s="1257">
        <f t="shared" si="1"/>
        <v>2045</v>
      </c>
      <c r="DK3" s="1257">
        <f t="shared" si="1"/>
        <v>2046</v>
      </c>
      <c r="DL3" s="1257">
        <f t="shared" si="1"/>
        <v>2046</v>
      </c>
      <c r="DM3" s="1257">
        <f t="shared" si="1"/>
        <v>2046</v>
      </c>
      <c r="DN3" s="1257">
        <f t="shared" si="1"/>
        <v>2046</v>
      </c>
      <c r="DO3" s="1257">
        <f t="shared" si="1"/>
        <v>2047</v>
      </c>
      <c r="DP3" s="1257">
        <f t="shared" si="1"/>
        <v>2047</v>
      </c>
      <c r="DQ3" s="1257">
        <f t="shared" si="1"/>
        <v>2047</v>
      </c>
      <c r="DR3" s="1257">
        <f t="shared" si="1"/>
        <v>2047</v>
      </c>
      <c r="DS3" s="1257">
        <f t="shared" si="1"/>
        <v>2048</v>
      </c>
      <c r="DT3" s="1257">
        <f t="shared" si="1"/>
        <v>2048</v>
      </c>
      <c r="DU3" s="1257">
        <f t="shared" si="1"/>
        <v>2048</v>
      </c>
      <c r="DV3" s="1257">
        <f t="shared" si="1"/>
        <v>2048</v>
      </c>
      <c r="DW3" s="1257">
        <f t="shared" si="1"/>
        <v>2049</v>
      </c>
      <c r="DX3" s="1257">
        <f t="shared" si="1"/>
        <v>2049</v>
      </c>
      <c r="DY3" s="1257">
        <f t="shared" si="1"/>
        <v>2049</v>
      </c>
      <c r="DZ3" s="1257">
        <f t="shared" si="1"/>
        <v>2049</v>
      </c>
      <c r="EA3" s="1257">
        <f t="shared" si="1"/>
        <v>2050</v>
      </c>
      <c r="EB3" s="1257">
        <f t="shared" si="1"/>
        <v>2050</v>
      </c>
      <c r="EC3" s="1257">
        <f t="shared" si="1"/>
        <v>2050</v>
      </c>
      <c r="ED3" s="1257">
        <f t="shared" si="1"/>
        <v>2050</v>
      </c>
      <c r="EE3" s="1257">
        <f t="shared" si="1"/>
        <v>2051</v>
      </c>
      <c r="EF3" s="1257">
        <f t="shared" si="1"/>
        <v>2051</v>
      </c>
      <c r="EG3" s="1257">
        <f t="shared" si="1"/>
        <v>2051</v>
      </c>
      <c r="EH3" s="1257">
        <f t="shared" si="1"/>
        <v>2051</v>
      </c>
      <c r="EI3" s="1257">
        <f t="shared" si="1"/>
        <v>2052</v>
      </c>
      <c r="EJ3" s="1257">
        <f t="shared" ref="EJ3:GE3" si="2">YEAR(EJ8)</f>
        <v>2052</v>
      </c>
      <c r="EK3" s="1257">
        <f t="shared" si="2"/>
        <v>2052</v>
      </c>
      <c r="EL3" s="1257">
        <f t="shared" si="2"/>
        <v>2052</v>
      </c>
      <c r="EM3" s="1257">
        <f t="shared" si="2"/>
        <v>2053</v>
      </c>
      <c r="EN3" s="1257">
        <f t="shared" si="2"/>
        <v>2053</v>
      </c>
      <c r="EO3" s="1257">
        <f t="shared" si="2"/>
        <v>2053</v>
      </c>
      <c r="EP3" s="1257">
        <f t="shared" si="2"/>
        <v>2053</v>
      </c>
      <c r="EQ3" s="1257">
        <f t="shared" si="2"/>
        <v>2054</v>
      </c>
      <c r="ER3" s="1257">
        <f t="shared" si="2"/>
        <v>2054</v>
      </c>
      <c r="ES3" s="1257">
        <f t="shared" si="2"/>
        <v>2054</v>
      </c>
      <c r="ET3" s="1257">
        <f t="shared" si="2"/>
        <v>2054</v>
      </c>
      <c r="EU3" s="1257">
        <f t="shared" si="2"/>
        <v>2055</v>
      </c>
      <c r="EV3" s="1257">
        <f t="shared" si="2"/>
        <v>2055</v>
      </c>
      <c r="EW3" s="1257">
        <f t="shared" si="2"/>
        <v>2055</v>
      </c>
      <c r="EX3" s="1257">
        <f t="shared" si="2"/>
        <v>2055</v>
      </c>
      <c r="EY3" s="1257">
        <f t="shared" si="2"/>
        <v>2056</v>
      </c>
      <c r="EZ3" s="1257">
        <f t="shared" si="2"/>
        <v>2056</v>
      </c>
      <c r="FA3" s="1257">
        <f t="shared" si="2"/>
        <v>2056</v>
      </c>
      <c r="FB3" s="1257">
        <f t="shared" si="2"/>
        <v>2056</v>
      </c>
      <c r="FC3" s="1257">
        <f t="shared" si="2"/>
        <v>2057</v>
      </c>
      <c r="FD3" s="1257">
        <f t="shared" si="2"/>
        <v>2057</v>
      </c>
      <c r="FE3" s="1257">
        <f t="shared" si="2"/>
        <v>2057</v>
      </c>
      <c r="FF3" s="1257">
        <f t="shared" si="2"/>
        <v>2057</v>
      </c>
      <c r="FG3" s="1257">
        <f t="shared" si="2"/>
        <v>2058</v>
      </c>
      <c r="FH3" s="1257">
        <f t="shared" si="2"/>
        <v>2058</v>
      </c>
      <c r="FI3" s="1257">
        <f t="shared" si="2"/>
        <v>2058</v>
      </c>
      <c r="FJ3" s="1257">
        <f t="shared" si="2"/>
        <v>2058</v>
      </c>
      <c r="FK3" s="1257">
        <f t="shared" si="2"/>
        <v>2059</v>
      </c>
      <c r="FL3" s="1257">
        <f t="shared" si="2"/>
        <v>2059</v>
      </c>
      <c r="FM3" s="1257">
        <f t="shared" si="2"/>
        <v>2059</v>
      </c>
      <c r="FN3" s="1257">
        <f t="shared" si="2"/>
        <v>2059</v>
      </c>
      <c r="FO3" s="1257">
        <f t="shared" si="2"/>
        <v>2060</v>
      </c>
      <c r="FP3" s="1257">
        <f t="shared" si="2"/>
        <v>2060</v>
      </c>
      <c r="FQ3" s="1257">
        <f t="shared" si="2"/>
        <v>2060</v>
      </c>
      <c r="FR3" s="1257">
        <f t="shared" si="2"/>
        <v>2060</v>
      </c>
      <c r="FS3" s="1257">
        <f t="shared" si="2"/>
        <v>2061</v>
      </c>
      <c r="FT3" s="1257">
        <f t="shared" si="2"/>
        <v>2061</v>
      </c>
      <c r="FU3" s="1257">
        <f t="shared" si="2"/>
        <v>2061</v>
      </c>
      <c r="FV3" s="1257">
        <f t="shared" si="2"/>
        <v>2061</v>
      </c>
      <c r="FW3" s="1257">
        <f t="shared" si="2"/>
        <v>2062</v>
      </c>
      <c r="FX3" s="1257">
        <f t="shared" si="2"/>
        <v>2062</v>
      </c>
      <c r="FY3" s="1257">
        <f t="shared" si="2"/>
        <v>2062</v>
      </c>
      <c r="FZ3" s="1257">
        <f t="shared" si="2"/>
        <v>2062</v>
      </c>
      <c r="GA3" s="1257">
        <f t="shared" si="2"/>
        <v>2063</v>
      </c>
      <c r="GB3" s="1257">
        <f t="shared" si="2"/>
        <v>2063</v>
      </c>
      <c r="GC3" s="1257">
        <f t="shared" si="2"/>
        <v>2063</v>
      </c>
      <c r="GD3" s="1257">
        <f t="shared" si="2"/>
        <v>2063</v>
      </c>
      <c r="GE3" s="1257">
        <f t="shared" si="2"/>
        <v>1900</v>
      </c>
      <c r="GF3" s="1257">
        <f>YEAR(GB8)</f>
        <v>2063</v>
      </c>
      <c r="GG3" s="1257">
        <f>YEAR(GC8)</f>
        <v>2063</v>
      </c>
      <c r="GH3" s="1257">
        <f>YEAR(GD8)</f>
        <v>2063</v>
      </c>
    </row>
    <row r="4" spans="1:190" ht="17.100000000000001" customHeight="1" outlineLevel="1">
      <c r="D4" s="396"/>
      <c r="G4" s="302">
        <f>YEAR(G8)</f>
        <v>2019</v>
      </c>
      <c r="H4" s="302">
        <f t="shared" ref="H4:BS4" si="3">YEAR(H8)</f>
        <v>2019</v>
      </c>
      <c r="I4" s="302">
        <f t="shared" si="3"/>
        <v>2019</v>
      </c>
      <c r="J4" s="302">
        <f t="shared" si="3"/>
        <v>2019</v>
      </c>
      <c r="K4" s="396">
        <f t="shared" si="3"/>
        <v>2020</v>
      </c>
      <c r="L4" s="396">
        <f t="shared" si="3"/>
        <v>2020</v>
      </c>
      <c r="M4" s="396">
        <f t="shared" si="3"/>
        <v>2020</v>
      </c>
      <c r="N4" s="396">
        <f t="shared" si="3"/>
        <v>2020</v>
      </c>
      <c r="O4" s="396">
        <f t="shared" si="3"/>
        <v>2021</v>
      </c>
      <c r="P4" s="396">
        <f t="shared" si="3"/>
        <v>2021</v>
      </c>
      <c r="Q4" s="396">
        <f t="shared" si="3"/>
        <v>2021</v>
      </c>
      <c r="R4" s="396">
        <f t="shared" si="3"/>
        <v>2021</v>
      </c>
      <c r="S4" s="396">
        <f t="shared" si="3"/>
        <v>2022</v>
      </c>
      <c r="T4" s="396">
        <f t="shared" si="3"/>
        <v>2022</v>
      </c>
      <c r="U4" s="396">
        <f t="shared" si="3"/>
        <v>2022</v>
      </c>
      <c r="V4" s="396">
        <f t="shared" si="3"/>
        <v>2022</v>
      </c>
      <c r="W4" s="396">
        <f t="shared" si="3"/>
        <v>2023</v>
      </c>
      <c r="X4" s="396">
        <f t="shared" si="3"/>
        <v>2023</v>
      </c>
      <c r="Y4" s="396">
        <f t="shared" si="3"/>
        <v>2023</v>
      </c>
      <c r="Z4" s="396">
        <f t="shared" si="3"/>
        <v>2023</v>
      </c>
      <c r="AA4" s="396">
        <f t="shared" si="3"/>
        <v>2024</v>
      </c>
      <c r="AB4" s="396">
        <f t="shared" si="3"/>
        <v>2024</v>
      </c>
      <c r="AC4" s="396">
        <f t="shared" si="3"/>
        <v>2024</v>
      </c>
      <c r="AD4" s="396">
        <f t="shared" si="3"/>
        <v>2024</v>
      </c>
      <c r="AE4" s="396">
        <f t="shared" si="3"/>
        <v>2025</v>
      </c>
      <c r="AF4" s="396">
        <f t="shared" si="3"/>
        <v>2025</v>
      </c>
      <c r="AG4" s="396">
        <f t="shared" si="3"/>
        <v>2025</v>
      </c>
      <c r="AH4" s="396">
        <f t="shared" si="3"/>
        <v>2025</v>
      </c>
      <c r="AI4" s="396">
        <f t="shared" si="3"/>
        <v>2026</v>
      </c>
      <c r="AJ4" s="396">
        <f t="shared" si="3"/>
        <v>2026</v>
      </c>
      <c r="AK4" s="396">
        <f t="shared" si="3"/>
        <v>2026</v>
      </c>
      <c r="AL4" s="396">
        <f t="shared" si="3"/>
        <v>2026</v>
      </c>
      <c r="AM4" s="396">
        <f t="shared" si="3"/>
        <v>2027</v>
      </c>
      <c r="AN4" s="396">
        <f t="shared" si="3"/>
        <v>2027</v>
      </c>
      <c r="AO4" s="396">
        <f t="shared" si="3"/>
        <v>2027</v>
      </c>
      <c r="AP4" s="396">
        <f t="shared" si="3"/>
        <v>2027</v>
      </c>
      <c r="AQ4" s="396">
        <f t="shared" si="3"/>
        <v>2028</v>
      </c>
      <c r="AR4" s="396">
        <f t="shared" si="3"/>
        <v>2028</v>
      </c>
      <c r="AS4" s="396">
        <f t="shared" si="3"/>
        <v>2028</v>
      </c>
      <c r="AT4" s="396">
        <f t="shared" si="3"/>
        <v>2028</v>
      </c>
      <c r="AU4" s="396">
        <f t="shared" si="3"/>
        <v>2029</v>
      </c>
      <c r="AV4" s="396">
        <f t="shared" si="3"/>
        <v>2029</v>
      </c>
      <c r="AW4" s="396">
        <f t="shared" si="3"/>
        <v>2029</v>
      </c>
      <c r="AX4" s="396">
        <f t="shared" si="3"/>
        <v>2029</v>
      </c>
      <c r="AY4" s="396">
        <f t="shared" si="3"/>
        <v>2030</v>
      </c>
      <c r="AZ4" s="396">
        <f t="shared" si="3"/>
        <v>2030</v>
      </c>
      <c r="BA4" s="396">
        <f t="shared" si="3"/>
        <v>2030</v>
      </c>
      <c r="BB4" s="396">
        <f t="shared" si="3"/>
        <v>2030</v>
      </c>
      <c r="BC4" s="396">
        <f t="shared" si="3"/>
        <v>2031</v>
      </c>
      <c r="BD4" s="396">
        <f t="shared" si="3"/>
        <v>2031</v>
      </c>
      <c r="BE4" s="396">
        <f t="shared" si="3"/>
        <v>2031</v>
      </c>
      <c r="BF4" s="396">
        <f t="shared" si="3"/>
        <v>2031</v>
      </c>
      <c r="BG4" s="396">
        <f t="shared" si="3"/>
        <v>2032</v>
      </c>
      <c r="BH4" s="396">
        <f t="shared" si="3"/>
        <v>2032</v>
      </c>
      <c r="BI4" s="396">
        <f t="shared" si="3"/>
        <v>2032</v>
      </c>
      <c r="BJ4" s="396">
        <f t="shared" si="3"/>
        <v>2032</v>
      </c>
      <c r="BK4" s="396">
        <f t="shared" si="3"/>
        <v>2033</v>
      </c>
      <c r="BL4" s="396">
        <f t="shared" si="3"/>
        <v>2033</v>
      </c>
      <c r="BM4" s="396">
        <f t="shared" si="3"/>
        <v>2033</v>
      </c>
      <c r="BN4" s="396">
        <f t="shared" si="3"/>
        <v>2033</v>
      </c>
      <c r="BO4" s="396">
        <f t="shared" si="3"/>
        <v>2034</v>
      </c>
      <c r="BP4" s="396">
        <f t="shared" si="3"/>
        <v>2034</v>
      </c>
      <c r="BQ4" s="396">
        <f t="shared" si="3"/>
        <v>2034</v>
      </c>
      <c r="BR4" s="396">
        <f t="shared" si="3"/>
        <v>2034</v>
      </c>
      <c r="BS4" s="396">
        <f t="shared" si="3"/>
        <v>2035</v>
      </c>
      <c r="BT4" s="396">
        <f t="shared" ref="BT4:EE4" si="4">YEAR(BT8)</f>
        <v>2035</v>
      </c>
      <c r="BU4" s="396">
        <f t="shared" si="4"/>
        <v>2035</v>
      </c>
      <c r="BV4" s="396">
        <f t="shared" si="4"/>
        <v>2035</v>
      </c>
      <c r="BW4" s="396">
        <f t="shared" si="4"/>
        <v>2036</v>
      </c>
      <c r="BX4" s="396">
        <f t="shared" si="4"/>
        <v>2036</v>
      </c>
      <c r="BY4" s="396">
        <f t="shared" si="4"/>
        <v>2036</v>
      </c>
      <c r="BZ4" s="396">
        <f t="shared" si="4"/>
        <v>2036</v>
      </c>
      <c r="CA4" s="396">
        <f t="shared" si="4"/>
        <v>2037</v>
      </c>
      <c r="CB4" s="396">
        <f t="shared" si="4"/>
        <v>2037</v>
      </c>
      <c r="CC4" s="396">
        <f t="shared" si="4"/>
        <v>2037</v>
      </c>
      <c r="CD4" s="396">
        <f t="shared" si="4"/>
        <v>2037</v>
      </c>
      <c r="CE4" s="396">
        <f t="shared" si="4"/>
        <v>2038</v>
      </c>
      <c r="CF4" s="396">
        <f t="shared" si="4"/>
        <v>2038</v>
      </c>
      <c r="CG4" s="396">
        <f t="shared" si="4"/>
        <v>2038</v>
      </c>
      <c r="CH4" s="396">
        <f t="shared" si="4"/>
        <v>2038</v>
      </c>
      <c r="CI4" s="396">
        <f t="shared" si="4"/>
        <v>2039</v>
      </c>
      <c r="CJ4" s="396">
        <f t="shared" si="4"/>
        <v>2039</v>
      </c>
      <c r="CK4" s="396">
        <f t="shared" si="4"/>
        <v>2039</v>
      </c>
      <c r="CL4" s="396">
        <f t="shared" si="4"/>
        <v>2039</v>
      </c>
      <c r="CM4" s="396">
        <f t="shared" si="4"/>
        <v>2040</v>
      </c>
      <c r="CN4" s="396">
        <f t="shared" si="4"/>
        <v>2040</v>
      </c>
      <c r="CO4" s="396">
        <f t="shared" si="4"/>
        <v>2040</v>
      </c>
      <c r="CP4" s="396">
        <f t="shared" si="4"/>
        <v>2040</v>
      </c>
      <c r="CQ4" s="396">
        <f t="shared" si="4"/>
        <v>2041</v>
      </c>
      <c r="CR4" s="396">
        <f t="shared" si="4"/>
        <v>2041</v>
      </c>
      <c r="CS4" s="396">
        <f t="shared" si="4"/>
        <v>2041</v>
      </c>
      <c r="CT4" s="396">
        <f t="shared" si="4"/>
        <v>2041</v>
      </c>
      <c r="CU4" s="396">
        <f t="shared" si="4"/>
        <v>2042</v>
      </c>
      <c r="CV4" s="396">
        <f t="shared" si="4"/>
        <v>2042</v>
      </c>
      <c r="CW4" s="396">
        <f t="shared" si="4"/>
        <v>2042</v>
      </c>
      <c r="CX4" s="396">
        <f t="shared" si="4"/>
        <v>2042</v>
      </c>
      <c r="CY4" s="396">
        <f t="shared" si="4"/>
        <v>2043</v>
      </c>
      <c r="CZ4" s="396">
        <f t="shared" si="4"/>
        <v>2043</v>
      </c>
      <c r="DA4" s="396">
        <f t="shared" si="4"/>
        <v>2043</v>
      </c>
      <c r="DB4" s="396">
        <f t="shared" si="4"/>
        <v>2043</v>
      </c>
      <c r="DC4" s="396">
        <f t="shared" si="4"/>
        <v>2044</v>
      </c>
      <c r="DD4" s="396">
        <f t="shared" si="4"/>
        <v>2044</v>
      </c>
      <c r="DE4" s="396">
        <f t="shared" si="4"/>
        <v>2044</v>
      </c>
      <c r="DF4" s="396">
        <f t="shared" si="4"/>
        <v>2044</v>
      </c>
      <c r="DG4" s="396">
        <f t="shared" si="4"/>
        <v>2045</v>
      </c>
      <c r="DH4" s="396">
        <f t="shared" si="4"/>
        <v>2045</v>
      </c>
      <c r="DI4" s="396">
        <f t="shared" si="4"/>
        <v>2045</v>
      </c>
      <c r="DJ4" s="396">
        <f t="shared" si="4"/>
        <v>2045</v>
      </c>
      <c r="DK4" s="396">
        <f t="shared" si="4"/>
        <v>2046</v>
      </c>
      <c r="DL4" s="396">
        <f t="shared" si="4"/>
        <v>2046</v>
      </c>
      <c r="DM4" s="396">
        <f t="shared" si="4"/>
        <v>2046</v>
      </c>
      <c r="DN4" s="396">
        <f t="shared" si="4"/>
        <v>2046</v>
      </c>
      <c r="DO4" s="396">
        <f t="shared" si="4"/>
        <v>2047</v>
      </c>
      <c r="DP4" s="396">
        <f t="shared" si="4"/>
        <v>2047</v>
      </c>
      <c r="DQ4" s="396">
        <f t="shared" si="4"/>
        <v>2047</v>
      </c>
      <c r="DR4" s="396">
        <f t="shared" si="4"/>
        <v>2047</v>
      </c>
      <c r="DS4" s="396">
        <f t="shared" si="4"/>
        <v>2048</v>
      </c>
      <c r="DT4" s="396">
        <f t="shared" si="4"/>
        <v>2048</v>
      </c>
      <c r="DU4" s="396">
        <f t="shared" si="4"/>
        <v>2048</v>
      </c>
      <c r="DV4" s="396">
        <f t="shared" si="4"/>
        <v>2048</v>
      </c>
      <c r="DW4" s="396">
        <f t="shared" si="4"/>
        <v>2049</v>
      </c>
      <c r="DX4" s="396">
        <f t="shared" si="4"/>
        <v>2049</v>
      </c>
      <c r="DY4" s="396">
        <f t="shared" si="4"/>
        <v>2049</v>
      </c>
      <c r="DZ4" s="396">
        <f t="shared" si="4"/>
        <v>2049</v>
      </c>
      <c r="EA4" s="396">
        <f t="shared" si="4"/>
        <v>2050</v>
      </c>
      <c r="EB4" s="396">
        <f t="shared" si="4"/>
        <v>2050</v>
      </c>
      <c r="EC4" s="396">
        <f t="shared" si="4"/>
        <v>2050</v>
      </c>
      <c r="ED4" s="396">
        <f t="shared" si="4"/>
        <v>2050</v>
      </c>
      <c r="EE4" s="396">
        <f t="shared" si="4"/>
        <v>2051</v>
      </c>
      <c r="EF4" s="396">
        <f t="shared" ref="EF4:GE4" si="5">YEAR(EF8)</f>
        <v>2051</v>
      </c>
      <c r="EG4" s="396">
        <f t="shared" si="5"/>
        <v>2051</v>
      </c>
      <c r="EH4" s="396">
        <f t="shared" si="5"/>
        <v>2051</v>
      </c>
      <c r="EI4" s="396">
        <f t="shared" si="5"/>
        <v>2052</v>
      </c>
      <c r="EJ4" s="396">
        <f t="shared" si="5"/>
        <v>2052</v>
      </c>
      <c r="EK4" s="396">
        <f t="shared" si="5"/>
        <v>2052</v>
      </c>
      <c r="EL4" s="396">
        <f t="shared" si="5"/>
        <v>2052</v>
      </c>
      <c r="EM4" s="396">
        <f t="shared" si="5"/>
        <v>2053</v>
      </c>
      <c r="EN4" s="396">
        <f t="shared" si="5"/>
        <v>2053</v>
      </c>
      <c r="EO4" s="396">
        <f t="shared" si="5"/>
        <v>2053</v>
      </c>
      <c r="EP4" s="396">
        <f t="shared" si="5"/>
        <v>2053</v>
      </c>
      <c r="EQ4" s="396">
        <f t="shared" si="5"/>
        <v>2054</v>
      </c>
      <c r="ER4" s="396">
        <f t="shared" si="5"/>
        <v>2054</v>
      </c>
      <c r="ES4" s="396">
        <f t="shared" si="5"/>
        <v>2054</v>
      </c>
      <c r="ET4" s="396">
        <f t="shared" si="5"/>
        <v>2054</v>
      </c>
      <c r="EU4" s="396">
        <f t="shared" si="5"/>
        <v>2055</v>
      </c>
      <c r="EV4" s="396">
        <f t="shared" si="5"/>
        <v>2055</v>
      </c>
      <c r="EW4" s="396">
        <f t="shared" si="5"/>
        <v>2055</v>
      </c>
      <c r="EX4" s="396">
        <f t="shared" si="5"/>
        <v>2055</v>
      </c>
      <c r="EY4" s="396">
        <f t="shared" si="5"/>
        <v>2056</v>
      </c>
      <c r="EZ4" s="396">
        <f t="shared" si="5"/>
        <v>2056</v>
      </c>
      <c r="FA4" s="396">
        <f t="shared" si="5"/>
        <v>2056</v>
      </c>
      <c r="FB4" s="396">
        <f t="shared" si="5"/>
        <v>2056</v>
      </c>
      <c r="FC4" s="396">
        <f t="shared" si="5"/>
        <v>2057</v>
      </c>
      <c r="FD4" s="396">
        <f t="shared" si="5"/>
        <v>2057</v>
      </c>
      <c r="FE4" s="396">
        <f t="shared" si="5"/>
        <v>2057</v>
      </c>
      <c r="FF4" s="396">
        <f t="shared" si="5"/>
        <v>2057</v>
      </c>
      <c r="FG4" s="396">
        <f t="shared" si="5"/>
        <v>2058</v>
      </c>
      <c r="FH4" s="396">
        <f t="shared" si="5"/>
        <v>2058</v>
      </c>
      <c r="FI4" s="396">
        <f t="shared" si="5"/>
        <v>2058</v>
      </c>
      <c r="FJ4" s="396">
        <f t="shared" si="5"/>
        <v>2058</v>
      </c>
      <c r="FK4" s="396">
        <f t="shared" si="5"/>
        <v>2059</v>
      </c>
      <c r="FL4" s="396">
        <f t="shared" si="5"/>
        <v>2059</v>
      </c>
      <c r="FM4" s="396">
        <f t="shared" si="5"/>
        <v>2059</v>
      </c>
      <c r="FN4" s="396">
        <f t="shared" si="5"/>
        <v>2059</v>
      </c>
      <c r="FO4" s="396">
        <f t="shared" si="5"/>
        <v>2060</v>
      </c>
      <c r="FP4" s="396">
        <f t="shared" si="5"/>
        <v>2060</v>
      </c>
      <c r="FQ4" s="396">
        <f t="shared" si="5"/>
        <v>2060</v>
      </c>
      <c r="FR4" s="396">
        <f t="shared" si="5"/>
        <v>2060</v>
      </c>
      <c r="FS4" s="396">
        <f t="shared" si="5"/>
        <v>2061</v>
      </c>
      <c r="FT4" s="396">
        <f t="shared" si="5"/>
        <v>2061</v>
      </c>
      <c r="FU4" s="396">
        <f t="shared" si="5"/>
        <v>2061</v>
      </c>
      <c r="FV4" s="396">
        <f t="shared" si="5"/>
        <v>2061</v>
      </c>
      <c r="FW4" s="396">
        <f t="shared" si="5"/>
        <v>2062</v>
      </c>
      <c r="FX4" s="396">
        <f t="shared" si="5"/>
        <v>2062</v>
      </c>
      <c r="FY4" s="396">
        <f t="shared" si="5"/>
        <v>2062</v>
      </c>
      <c r="FZ4" s="396">
        <f t="shared" si="5"/>
        <v>2062</v>
      </c>
      <c r="GA4" s="396">
        <f t="shared" si="5"/>
        <v>2063</v>
      </c>
      <c r="GB4" s="396">
        <f t="shared" si="5"/>
        <v>2063</v>
      </c>
      <c r="GC4" s="396">
        <f t="shared" si="5"/>
        <v>2063</v>
      </c>
      <c r="GD4" s="396">
        <f t="shared" si="5"/>
        <v>2063</v>
      </c>
      <c r="GE4" s="396">
        <f t="shared" si="5"/>
        <v>1900</v>
      </c>
      <c r="GF4" s="396">
        <f>YEAR(GB40)</f>
        <v>2063</v>
      </c>
      <c r="GG4" s="396">
        <f>YEAR(GC40)</f>
        <v>2063</v>
      </c>
      <c r="GH4" s="396">
        <f>YEAR(GD40)</f>
        <v>2063</v>
      </c>
    </row>
    <row r="5" spans="1:190" ht="17.100000000000001" customHeight="1" outlineLevel="1">
      <c r="D5" s="396" t="s">
        <v>777</v>
      </c>
      <c r="F5" s="1256">
        <f>SUM(K5:FF5)</f>
        <v>456</v>
      </c>
      <c r="G5" s="1256"/>
      <c r="H5" s="1256"/>
      <c r="I5" s="1256"/>
      <c r="J5" s="1256"/>
      <c r="K5" s="1258">
        <f>Index!G10</f>
        <v>3</v>
      </c>
      <c r="L5" s="1258">
        <f>Index!H10</f>
        <v>3</v>
      </c>
      <c r="M5" s="1258">
        <f>Index!I10</f>
        <v>3</v>
      </c>
      <c r="N5" s="1258">
        <f>Index!J10</f>
        <v>3</v>
      </c>
      <c r="O5" s="1258">
        <f>Index!K10</f>
        <v>3</v>
      </c>
      <c r="P5" s="1258">
        <f>Index!L10</f>
        <v>3</v>
      </c>
      <c r="Q5" s="1258">
        <f>Index!M10</f>
        <v>3</v>
      </c>
      <c r="R5" s="1258">
        <f>Index!N10</f>
        <v>3</v>
      </c>
      <c r="S5" s="1258">
        <f>Index!O10</f>
        <v>3</v>
      </c>
      <c r="T5" s="1258">
        <f>Index!P10</f>
        <v>3</v>
      </c>
      <c r="U5" s="1258">
        <f>Index!Q10</f>
        <v>3</v>
      </c>
      <c r="V5" s="1258">
        <f>Index!R10</f>
        <v>3</v>
      </c>
      <c r="W5" s="1258">
        <f>Index!S10</f>
        <v>3</v>
      </c>
      <c r="X5" s="1258">
        <f>Index!T10</f>
        <v>3</v>
      </c>
      <c r="Y5" s="1258">
        <f>Index!U10</f>
        <v>3</v>
      </c>
      <c r="Z5" s="1258">
        <f>Index!V10</f>
        <v>3</v>
      </c>
      <c r="AA5" s="1258">
        <f>Index!W10</f>
        <v>3</v>
      </c>
      <c r="AB5" s="1258">
        <f>Index!X10</f>
        <v>3</v>
      </c>
      <c r="AC5" s="1258">
        <f>Index!Y10</f>
        <v>3</v>
      </c>
      <c r="AD5" s="1258">
        <f>Index!Z10</f>
        <v>3</v>
      </c>
      <c r="AE5" s="1258">
        <f>Index!AA10</f>
        <v>3</v>
      </c>
      <c r="AF5" s="1258">
        <f>Index!AB10</f>
        <v>3</v>
      </c>
      <c r="AG5" s="1258">
        <f>Index!AC10</f>
        <v>3</v>
      </c>
      <c r="AH5" s="1258">
        <f>Index!AD10</f>
        <v>3</v>
      </c>
      <c r="AI5" s="1258">
        <f>Index!AE10</f>
        <v>3</v>
      </c>
      <c r="AJ5" s="1258">
        <f>Index!AF10</f>
        <v>3</v>
      </c>
      <c r="AK5" s="1258">
        <f>Index!AG10</f>
        <v>3</v>
      </c>
      <c r="AL5" s="1258">
        <f>Index!AH10</f>
        <v>3</v>
      </c>
      <c r="AM5" s="1258">
        <f>Index!AI10</f>
        <v>3</v>
      </c>
      <c r="AN5" s="1258">
        <f>Index!AJ10</f>
        <v>3</v>
      </c>
      <c r="AO5" s="1258">
        <f>Index!AK10</f>
        <v>3</v>
      </c>
      <c r="AP5" s="1258">
        <f>Index!AL10</f>
        <v>3</v>
      </c>
      <c r="AQ5" s="1258">
        <f>Index!AM10</f>
        <v>3</v>
      </c>
      <c r="AR5" s="1258">
        <f>Index!AN10</f>
        <v>3</v>
      </c>
      <c r="AS5" s="1258">
        <f>Index!AO10</f>
        <v>3</v>
      </c>
      <c r="AT5" s="1258">
        <f>Index!AP10</f>
        <v>3</v>
      </c>
      <c r="AU5" s="1258">
        <f>Index!AQ10</f>
        <v>3</v>
      </c>
      <c r="AV5" s="1258">
        <f>Index!AR10</f>
        <v>3</v>
      </c>
      <c r="AW5" s="1258">
        <f>Index!AS10</f>
        <v>3</v>
      </c>
      <c r="AX5" s="1258">
        <f>Index!AT10</f>
        <v>3</v>
      </c>
      <c r="AY5" s="1258">
        <f>Index!AU10</f>
        <v>3</v>
      </c>
      <c r="AZ5" s="1258">
        <f>Index!AV10</f>
        <v>3</v>
      </c>
      <c r="BA5" s="1258">
        <f>Index!AW10</f>
        <v>3</v>
      </c>
      <c r="BB5" s="1258">
        <f>Index!AX10</f>
        <v>3</v>
      </c>
      <c r="BC5" s="1258">
        <f>Index!AY10</f>
        <v>3</v>
      </c>
      <c r="BD5" s="1258">
        <f>Index!AZ10</f>
        <v>3</v>
      </c>
      <c r="BE5" s="1258">
        <f>Index!BA10</f>
        <v>3</v>
      </c>
      <c r="BF5" s="1258">
        <f>Index!BB10</f>
        <v>3</v>
      </c>
      <c r="BG5" s="1258">
        <f>Index!BC10</f>
        <v>3</v>
      </c>
      <c r="BH5" s="1258">
        <f>Index!BD10</f>
        <v>3</v>
      </c>
      <c r="BI5" s="1258">
        <f>Index!BE10</f>
        <v>3</v>
      </c>
      <c r="BJ5" s="1258">
        <f>Index!BF10</f>
        <v>3</v>
      </c>
      <c r="BK5" s="1258">
        <f>Index!BG10</f>
        <v>3</v>
      </c>
      <c r="BL5" s="1258">
        <f>Index!BH10</f>
        <v>3</v>
      </c>
      <c r="BM5" s="1258">
        <f>Index!BI10</f>
        <v>3</v>
      </c>
      <c r="BN5" s="1258">
        <f>Index!BJ10</f>
        <v>3</v>
      </c>
      <c r="BO5" s="1258">
        <f>Index!BK10</f>
        <v>3</v>
      </c>
      <c r="BP5" s="1258">
        <f>Index!BL10</f>
        <v>3</v>
      </c>
      <c r="BQ5" s="1258">
        <f>Index!BM10</f>
        <v>3</v>
      </c>
      <c r="BR5" s="1258">
        <f>Index!BN10</f>
        <v>3</v>
      </c>
      <c r="BS5" s="1258">
        <f>Index!BO10</f>
        <v>3</v>
      </c>
      <c r="BT5" s="1258">
        <f>Index!BP10</f>
        <v>3</v>
      </c>
      <c r="BU5" s="1258">
        <f>Index!BQ10</f>
        <v>3</v>
      </c>
      <c r="BV5" s="1258">
        <f>Index!BR10</f>
        <v>3</v>
      </c>
      <c r="BW5" s="1258">
        <f>Index!BS10</f>
        <v>3</v>
      </c>
      <c r="BX5" s="1258">
        <f>Index!BT10</f>
        <v>3</v>
      </c>
      <c r="BY5" s="1258">
        <f>Index!BU10</f>
        <v>3</v>
      </c>
      <c r="BZ5" s="1258">
        <f>Index!BV10</f>
        <v>3</v>
      </c>
      <c r="CA5" s="1258">
        <f>Index!BW10</f>
        <v>3</v>
      </c>
      <c r="CB5" s="1258">
        <f>Index!BX10</f>
        <v>3</v>
      </c>
      <c r="CC5" s="1258">
        <f>Index!BY10</f>
        <v>3</v>
      </c>
      <c r="CD5" s="1258">
        <f>Index!BZ10</f>
        <v>3</v>
      </c>
      <c r="CE5" s="1258">
        <f>Index!CA10</f>
        <v>3</v>
      </c>
      <c r="CF5" s="1258">
        <f>Index!CB10</f>
        <v>3</v>
      </c>
      <c r="CG5" s="1258">
        <f>Index!CC10</f>
        <v>3</v>
      </c>
      <c r="CH5" s="1258">
        <f>Index!CD10</f>
        <v>3</v>
      </c>
      <c r="CI5" s="1258">
        <f>Index!CE10</f>
        <v>3</v>
      </c>
      <c r="CJ5" s="1258">
        <f>Index!CF10</f>
        <v>3</v>
      </c>
      <c r="CK5" s="1258">
        <f>Index!CG10</f>
        <v>3</v>
      </c>
      <c r="CL5" s="1258">
        <f>Index!CH10</f>
        <v>3</v>
      </c>
      <c r="CM5" s="1258">
        <f>Index!CI10</f>
        <v>3</v>
      </c>
      <c r="CN5" s="1258">
        <f>Index!CJ10</f>
        <v>3</v>
      </c>
      <c r="CO5" s="1258">
        <f>Index!CK10</f>
        <v>3</v>
      </c>
      <c r="CP5" s="1258">
        <f>Index!CL10</f>
        <v>3</v>
      </c>
      <c r="CQ5" s="1258">
        <f>Index!CM10</f>
        <v>3</v>
      </c>
      <c r="CR5" s="1258">
        <f>Index!CN10</f>
        <v>3</v>
      </c>
      <c r="CS5" s="1258">
        <f>Index!CO10</f>
        <v>3</v>
      </c>
      <c r="CT5" s="1258">
        <f>Index!CP10</f>
        <v>3</v>
      </c>
      <c r="CU5" s="1258">
        <f>Index!CQ10</f>
        <v>3</v>
      </c>
      <c r="CV5" s="1258">
        <f>Index!CR10</f>
        <v>3</v>
      </c>
      <c r="CW5" s="1258">
        <f>Index!CS10</f>
        <v>3</v>
      </c>
      <c r="CX5" s="1258">
        <f>Index!CT10</f>
        <v>3</v>
      </c>
      <c r="CY5" s="1258">
        <f>Index!CU10</f>
        <v>3</v>
      </c>
      <c r="CZ5" s="1258">
        <f>Index!CV10</f>
        <v>3</v>
      </c>
      <c r="DA5" s="1258">
        <f>Index!CW10</f>
        <v>3</v>
      </c>
      <c r="DB5" s="1258">
        <f>Index!CX10</f>
        <v>3</v>
      </c>
      <c r="DC5" s="1258">
        <f>Index!CY10</f>
        <v>3</v>
      </c>
      <c r="DD5" s="1258">
        <f>Index!CZ10</f>
        <v>3</v>
      </c>
      <c r="DE5" s="1258">
        <f>Index!DA10</f>
        <v>3</v>
      </c>
      <c r="DF5" s="1258">
        <f>Index!DB10</f>
        <v>3</v>
      </c>
      <c r="DG5" s="1258">
        <f>Index!DC10</f>
        <v>3</v>
      </c>
      <c r="DH5" s="1258">
        <f>Index!DD10</f>
        <v>3</v>
      </c>
      <c r="DI5" s="1258">
        <f>Index!DE10</f>
        <v>3</v>
      </c>
      <c r="DJ5" s="1258">
        <f>Index!DF10</f>
        <v>3</v>
      </c>
      <c r="DK5" s="1258">
        <f>Index!DG10</f>
        <v>3</v>
      </c>
      <c r="DL5" s="1258">
        <f>Index!DH10</f>
        <v>3</v>
      </c>
      <c r="DM5" s="1258">
        <f>Index!DI10</f>
        <v>3</v>
      </c>
      <c r="DN5" s="1258">
        <f>Index!DJ10</f>
        <v>3</v>
      </c>
      <c r="DO5" s="1258">
        <f>Index!DK10</f>
        <v>3</v>
      </c>
      <c r="DP5" s="1258">
        <f>Index!DL10</f>
        <v>3</v>
      </c>
      <c r="DQ5" s="1258">
        <f>Index!DM10</f>
        <v>3</v>
      </c>
      <c r="DR5" s="1258">
        <f>Index!DN10</f>
        <v>3</v>
      </c>
      <c r="DS5" s="1258">
        <f>Index!DO10</f>
        <v>3</v>
      </c>
      <c r="DT5" s="1258">
        <f>Index!DP10</f>
        <v>3</v>
      </c>
      <c r="DU5" s="1258">
        <f>Index!DQ10</f>
        <v>3</v>
      </c>
      <c r="DV5" s="1258">
        <f>Index!DR10</f>
        <v>3</v>
      </c>
      <c r="DW5" s="1258">
        <f>Index!DS10</f>
        <v>3</v>
      </c>
      <c r="DX5" s="1258">
        <f>Index!DT10</f>
        <v>3</v>
      </c>
      <c r="DY5" s="1258">
        <f>Index!DU10</f>
        <v>3</v>
      </c>
      <c r="DZ5" s="1258">
        <f>Index!DV10</f>
        <v>3</v>
      </c>
      <c r="EA5" s="1258">
        <f>Index!DW10</f>
        <v>3</v>
      </c>
      <c r="EB5" s="1258">
        <f>Index!DX10</f>
        <v>3</v>
      </c>
      <c r="EC5" s="1258">
        <f>Index!DY10</f>
        <v>3</v>
      </c>
      <c r="ED5" s="1258">
        <f>Index!DZ10</f>
        <v>3</v>
      </c>
      <c r="EE5" s="1258">
        <f>Index!EA10</f>
        <v>3</v>
      </c>
      <c r="EF5" s="1258">
        <f>Index!EB10</f>
        <v>3</v>
      </c>
      <c r="EG5" s="1258">
        <f>Index!EC10</f>
        <v>3</v>
      </c>
      <c r="EH5" s="1258">
        <f>Index!ED10</f>
        <v>3</v>
      </c>
      <c r="EI5" s="1258">
        <f>Index!EE10</f>
        <v>3</v>
      </c>
      <c r="EJ5" s="1258">
        <f>Index!EF10</f>
        <v>3</v>
      </c>
      <c r="EK5" s="1258">
        <f>Index!EG10</f>
        <v>3</v>
      </c>
      <c r="EL5" s="1258">
        <f>Index!EH10</f>
        <v>3</v>
      </c>
      <c r="EM5" s="1258">
        <f>Index!EI10</f>
        <v>3</v>
      </c>
      <c r="EN5" s="1258">
        <f>Index!EJ10</f>
        <v>3</v>
      </c>
      <c r="EO5" s="1258">
        <f>Index!EK10</f>
        <v>3</v>
      </c>
      <c r="EP5" s="1258">
        <f>Index!EL10</f>
        <v>3</v>
      </c>
      <c r="EQ5" s="1258">
        <f>Index!EM10</f>
        <v>3</v>
      </c>
      <c r="ER5" s="1258">
        <f>Index!EN10</f>
        <v>3</v>
      </c>
      <c r="ES5" s="1258">
        <f>Index!EO10</f>
        <v>3</v>
      </c>
      <c r="ET5" s="1258">
        <f>Index!EP10</f>
        <v>3</v>
      </c>
      <c r="EU5" s="1258">
        <f>Index!EQ10</f>
        <v>3</v>
      </c>
      <c r="EV5" s="1258">
        <f>Index!ER10</f>
        <v>3</v>
      </c>
      <c r="EW5" s="1258">
        <f>Index!ES10</f>
        <v>3</v>
      </c>
      <c r="EX5" s="1258">
        <f>Index!ET10</f>
        <v>3</v>
      </c>
      <c r="EY5" s="1258">
        <f>Index!EU10</f>
        <v>3</v>
      </c>
      <c r="EZ5" s="1258">
        <f>Index!EV10</f>
        <v>3</v>
      </c>
      <c r="FA5" s="1258">
        <f>Index!EW10</f>
        <v>3</v>
      </c>
      <c r="FB5" s="1258">
        <f>Index!EX10</f>
        <v>3</v>
      </c>
      <c r="FC5" s="1258">
        <f>Index!EY10</f>
        <v>3</v>
      </c>
      <c r="FD5" s="1258">
        <f>Index!EZ10</f>
        <v>3</v>
      </c>
      <c r="FE5" s="1258">
        <f>Index!FA10</f>
        <v>3</v>
      </c>
      <c r="FF5" s="1258">
        <f>Index!FB10</f>
        <v>3</v>
      </c>
      <c r="FG5" s="1258">
        <f>Index!FC10</f>
        <v>3</v>
      </c>
      <c r="FH5" s="1258">
        <f>Index!FD10</f>
        <v>3</v>
      </c>
      <c r="FI5" s="1258">
        <f>Index!FE10</f>
        <v>3</v>
      </c>
      <c r="FJ5" s="1258">
        <f>Index!FF10</f>
        <v>3</v>
      </c>
      <c r="FK5" s="1258">
        <f>Index!FG10</f>
        <v>3</v>
      </c>
      <c r="FL5" s="1258">
        <f>Index!FH10</f>
        <v>3</v>
      </c>
      <c r="FM5" s="1258">
        <f>Index!FI10</f>
        <v>3</v>
      </c>
      <c r="FN5" s="1258">
        <f>Index!FJ10</f>
        <v>3</v>
      </c>
      <c r="FO5" s="1258">
        <f>Index!FK10</f>
        <v>3</v>
      </c>
      <c r="FP5" s="1258">
        <f>Index!FL10</f>
        <v>3</v>
      </c>
      <c r="FQ5" s="1258">
        <f>Index!FM10</f>
        <v>0</v>
      </c>
      <c r="FR5" s="1258">
        <f>Index!FN10</f>
        <v>0</v>
      </c>
      <c r="FS5" s="1258">
        <f>Index!FO10</f>
        <v>0</v>
      </c>
      <c r="FT5" s="1258">
        <f>Index!FP10</f>
        <v>0</v>
      </c>
      <c r="FU5" s="1258">
        <f>Index!FQ10</f>
        <v>0</v>
      </c>
      <c r="FV5" s="1258">
        <f>Index!FR10</f>
        <v>0</v>
      </c>
      <c r="FW5" s="1258">
        <f>Index!FS10</f>
        <v>0</v>
      </c>
      <c r="FX5" s="1258">
        <f>Index!FT10</f>
        <v>0</v>
      </c>
      <c r="FY5" s="1258">
        <f>Index!FU10</f>
        <v>0</v>
      </c>
      <c r="FZ5" s="1258">
        <f>Index!FV10</f>
        <v>0</v>
      </c>
      <c r="GA5" s="1258">
        <f>Index!FW10</f>
        <v>0</v>
      </c>
      <c r="GB5" s="1258">
        <f>Index!FX10</f>
        <v>0</v>
      </c>
      <c r="GC5" s="1258">
        <f>Index!FY10</f>
        <v>0</v>
      </c>
      <c r="GD5" s="1258">
        <f>Index!FZ10</f>
        <v>0</v>
      </c>
      <c r="GE5" s="1258">
        <f>Index!GA10</f>
        <v>0</v>
      </c>
      <c r="GF5" s="1258">
        <f>Index!GB10</f>
        <v>0</v>
      </c>
      <c r="GG5" s="1258">
        <f>Index!GC10</f>
        <v>0</v>
      </c>
      <c r="GH5" s="1258">
        <f>Index!GD10</f>
        <v>0</v>
      </c>
    </row>
    <row r="6" spans="1:190" ht="17.100000000000001" customHeight="1" outlineLevel="1">
      <c r="A6" s="707"/>
      <c r="B6" s="707"/>
      <c r="C6" s="707"/>
      <c r="D6" s="707"/>
      <c r="E6" s="707"/>
      <c r="F6" s="707"/>
      <c r="G6" s="707"/>
      <c r="H6" s="707"/>
      <c r="I6" s="707"/>
      <c r="J6" s="707"/>
      <c r="K6" s="707"/>
      <c r="L6" s="707"/>
      <c r="M6" s="707"/>
      <c r="N6" s="707"/>
      <c r="O6" s="707"/>
      <c r="P6" s="707"/>
      <c r="Q6" s="707"/>
      <c r="R6" s="707"/>
      <c r="S6" s="707"/>
      <c r="T6" s="707"/>
      <c r="U6" s="707"/>
      <c r="V6" s="707"/>
      <c r="W6" s="707"/>
      <c r="X6" s="707"/>
      <c r="Y6" s="707"/>
      <c r="Z6" s="707"/>
      <c r="AA6" s="707"/>
      <c r="AB6" s="707"/>
      <c r="AC6" s="707"/>
      <c r="AD6" s="707"/>
      <c r="AE6" s="707"/>
      <c r="AF6" s="707"/>
      <c r="AG6" s="707"/>
      <c r="AH6" s="707"/>
      <c r="AI6" s="707"/>
      <c r="AJ6" s="707"/>
      <c r="AK6" s="707"/>
      <c r="AL6" s="707"/>
      <c r="AM6" s="707"/>
      <c r="AN6" s="707"/>
      <c r="AO6" s="707"/>
      <c r="AP6" s="707"/>
      <c r="AQ6" s="707"/>
      <c r="AR6" s="707"/>
      <c r="AS6" s="707"/>
      <c r="AT6" s="707"/>
      <c r="AU6" s="707"/>
      <c r="AV6" s="707"/>
      <c r="AW6" s="707"/>
      <c r="AX6" s="707"/>
      <c r="AY6" s="707"/>
      <c r="AZ6" s="707"/>
      <c r="BA6" s="707"/>
      <c r="BB6" s="707"/>
      <c r="BC6" s="707"/>
      <c r="BD6" s="707"/>
      <c r="BE6" s="707"/>
      <c r="BF6" s="707"/>
      <c r="BG6" s="707"/>
      <c r="BH6" s="707"/>
      <c r="BI6" s="707"/>
      <c r="BJ6" s="707"/>
      <c r="BK6" s="707"/>
      <c r="BL6" s="707"/>
      <c r="BM6" s="707"/>
      <c r="BN6" s="707"/>
      <c r="BO6" s="707"/>
      <c r="BP6" s="707"/>
      <c r="BQ6" s="707"/>
      <c r="BR6" s="707"/>
      <c r="BS6" s="707"/>
      <c r="BT6" s="707"/>
      <c r="BU6" s="707"/>
      <c r="BV6" s="707"/>
      <c r="BW6" s="707"/>
      <c r="BX6" s="707"/>
      <c r="BY6" s="707"/>
      <c r="BZ6" s="707"/>
      <c r="CA6" s="707"/>
      <c r="CB6" s="707"/>
      <c r="CC6" s="707"/>
      <c r="CD6" s="707"/>
      <c r="CE6" s="707"/>
      <c r="CF6" s="707"/>
      <c r="CG6" s="707"/>
      <c r="CH6" s="707"/>
      <c r="CI6" s="707"/>
      <c r="CJ6" s="707"/>
      <c r="CK6" s="707"/>
      <c r="CL6" s="707"/>
      <c r="CM6" s="707"/>
      <c r="CN6" s="707"/>
      <c r="CO6" s="707"/>
      <c r="CP6" s="707"/>
      <c r="CQ6" s="707"/>
      <c r="CR6" s="707"/>
      <c r="CS6" s="707"/>
      <c r="CT6" s="707"/>
      <c r="CU6" s="707"/>
      <c r="CV6" s="707"/>
      <c r="CW6" s="707"/>
      <c r="CX6" s="707"/>
      <c r="CY6" s="707"/>
      <c r="CZ6" s="707"/>
      <c r="DA6" s="707"/>
      <c r="DB6" s="707"/>
      <c r="DC6" s="707"/>
      <c r="DD6" s="707"/>
      <c r="DE6" s="707"/>
      <c r="DF6" s="707"/>
      <c r="DG6" s="707"/>
      <c r="DH6" s="707"/>
      <c r="DI6" s="707"/>
      <c r="DJ6" s="707"/>
      <c r="DK6" s="707"/>
      <c r="DL6" s="707"/>
      <c r="DM6" s="707"/>
      <c r="DN6" s="707"/>
      <c r="DO6" s="707"/>
      <c r="DP6" s="707"/>
      <c r="DQ6" s="707"/>
      <c r="DR6" s="707"/>
      <c r="DS6" s="707"/>
      <c r="DT6" s="707"/>
      <c r="DU6" s="707"/>
      <c r="DV6" s="707"/>
      <c r="DW6" s="707"/>
      <c r="DX6" s="707"/>
      <c r="DY6" s="707"/>
      <c r="DZ6" s="707"/>
      <c r="EA6" s="707"/>
      <c r="EB6" s="707"/>
      <c r="EC6" s="707"/>
      <c r="ED6" s="707"/>
      <c r="EE6" s="707"/>
      <c r="EF6" s="707"/>
      <c r="EG6" s="707"/>
      <c r="EH6" s="707"/>
      <c r="EI6" s="707"/>
      <c r="EJ6" s="707"/>
      <c r="EK6" s="707"/>
      <c r="EL6" s="707"/>
      <c r="EM6" s="707"/>
      <c r="EN6" s="707"/>
      <c r="EO6" s="707"/>
      <c r="EP6" s="707"/>
      <c r="EQ6" s="707"/>
      <c r="ER6" s="707"/>
      <c r="ES6" s="707"/>
      <c r="ET6" s="707"/>
      <c r="EU6" s="707"/>
      <c r="EV6" s="707"/>
      <c r="EW6" s="707"/>
      <c r="EX6" s="707"/>
      <c r="EY6" s="707"/>
      <c r="EZ6" s="707"/>
      <c r="FA6" s="707"/>
      <c r="FB6" s="707"/>
      <c r="FC6" s="707"/>
      <c r="FD6" s="707"/>
      <c r="FE6" s="707"/>
      <c r="FF6" s="707"/>
      <c r="FG6" s="707"/>
      <c r="FH6" s="707"/>
      <c r="FI6" s="707"/>
      <c r="FJ6" s="707"/>
      <c r="FK6" s="707"/>
      <c r="FL6" s="707"/>
      <c r="FM6" s="707"/>
      <c r="FN6" s="707"/>
      <c r="FO6" s="707"/>
      <c r="FP6" s="707"/>
      <c r="FQ6" s="707"/>
      <c r="FR6" s="707"/>
      <c r="FS6" s="707"/>
      <c r="FT6" s="707"/>
      <c r="FU6" s="707"/>
      <c r="FV6" s="707"/>
      <c r="FW6" s="707"/>
      <c r="FX6" s="707"/>
      <c r="FY6" s="707"/>
      <c r="FZ6" s="707"/>
      <c r="GA6" s="707"/>
      <c r="GB6" s="707"/>
      <c r="GC6" s="707"/>
      <c r="GD6" s="707"/>
      <c r="GE6" s="707"/>
    </row>
    <row r="7" spans="1:190" ht="17.100000000000001" customHeight="1">
      <c r="D7" s="331"/>
      <c r="E7" s="755"/>
      <c r="F7" s="934"/>
      <c r="G7" s="934"/>
      <c r="H7" s="934"/>
      <c r="I7" s="934"/>
      <c r="J7" s="934"/>
      <c r="K7" s="935"/>
      <c r="L7" s="935"/>
      <c r="M7" s="935"/>
      <c r="N7" s="935"/>
      <c r="O7" s="935"/>
      <c r="P7" s="935"/>
      <c r="Q7" s="935"/>
      <c r="R7" s="935"/>
      <c r="S7" s="935"/>
      <c r="T7" s="935"/>
      <c r="U7" s="935"/>
      <c r="V7" s="935"/>
      <c r="W7" s="935"/>
      <c r="X7" s="788"/>
      <c r="Y7" s="935"/>
      <c r="Z7" s="935"/>
      <c r="AA7" s="935"/>
      <c r="AB7" s="935"/>
      <c r="AC7" s="935"/>
      <c r="AD7" s="935"/>
      <c r="AE7" s="935"/>
      <c r="AF7" s="935"/>
      <c r="AG7" s="935"/>
      <c r="AH7" s="935"/>
      <c r="AI7" s="935"/>
      <c r="AJ7" s="935"/>
      <c r="AK7" s="935"/>
      <c r="AL7" s="935"/>
      <c r="AM7" s="935"/>
      <c r="AN7" s="935"/>
      <c r="AO7" s="935"/>
      <c r="AP7" s="935"/>
      <c r="AQ7" s="935"/>
      <c r="AR7" s="935"/>
      <c r="AS7" s="935"/>
      <c r="AT7" s="935"/>
      <c r="AU7" s="935"/>
      <c r="AV7" s="935"/>
      <c r="AW7" s="935"/>
      <c r="AX7" s="935"/>
      <c r="AY7" s="935"/>
      <c r="AZ7" s="935"/>
      <c r="BA7" s="935"/>
      <c r="BB7" s="935"/>
      <c r="BC7" s="935"/>
    </row>
    <row r="8" spans="1:190" ht="17.100000000000001" customHeight="1">
      <c r="B8" s="717"/>
      <c r="C8" s="937"/>
      <c r="D8" s="718" t="s">
        <v>780</v>
      </c>
      <c r="E8" s="719"/>
      <c r="F8" s="719" t="s">
        <v>774</v>
      </c>
      <c r="G8" s="5038">
        <f>기준분기</f>
        <v>43555</v>
      </c>
      <c r="H8" s="5039">
        <f t="shared" ref="H8:BS8" si="6">EOMONTH(G8,3)</f>
        <v>43646</v>
      </c>
      <c r="I8" s="5039">
        <f t="shared" si="6"/>
        <v>43738</v>
      </c>
      <c r="J8" s="5040">
        <f t="shared" si="6"/>
        <v>43830</v>
      </c>
      <c r="K8" s="5038">
        <f t="shared" si="6"/>
        <v>43921</v>
      </c>
      <c r="L8" s="5039">
        <f t="shared" si="6"/>
        <v>44012</v>
      </c>
      <c r="M8" s="5039">
        <f t="shared" si="6"/>
        <v>44104</v>
      </c>
      <c r="N8" s="5040">
        <f t="shared" si="6"/>
        <v>44196</v>
      </c>
      <c r="O8" s="5038">
        <f t="shared" si="6"/>
        <v>44286</v>
      </c>
      <c r="P8" s="5039">
        <f t="shared" si="6"/>
        <v>44377</v>
      </c>
      <c r="Q8" s="5039">
        <f t="shared" si="6"/>
        <v>44469</v>
      </c>
      <c r="R8" s="5040">
        <f t="shared" si="6"/>
        <v>44561</v>
      </c>
      <c r="S8" s="5038">
        <f t="shared" si="6"/>
        <v>44651</v>
      </c>
      <c r="T8" s="5039">
        <f t="shared" si="6"/>
        <v>44742</v>
      </c>
      <c r="U8" s="5039">
        <f t="shared" si="6"/>
        <v>44834</v>
      </c>
      <c r="V8" s="5040">
        <f t="shared" si="6"/>
        <v>44926</v>
      </c>
      <c r="W8" s="5038">
        <f t="shared" si="6"/>
        <v>45016</v>
      </c>
      <c r="X8" s="5039">
        <f t="shared" si="6"/>
        <v>45107</v>
      </c>
      <c r="Y8" s="5039">
        <f t="shared" si="6"/>
        <v>45199</v>
      </c>
      <c r="Z8" s="5040">
        <f t="shared" si="6"/>
        <v>45291</v>
      </c>
      <c r="AA8" s="5038">
        <f t="shared" si="6"/>
        <v>45382</v>
      </c>
      <c r="AB8" s="5039">
        <f t="shared" si="6"/>
        <v>45473</v>
      </c>
      <c r="AC8" s="5039">
        <f t="shared" si="6"/>
        <v>45565</v>
      </c>
      <c r="AD8" s="5040">
        <f t="shared" si="6"/>
        <v>45657</v>
      </c>
      <c r="AE8" s="5038">
        <f t="shared" si="6"/>
        <v>45747</v>
      </c>
      <c r="AF8" s="5039">
        <f t="shared" si="6"/>
        <v>45838</v>
      </c>
      <c r="AG8" s="5039">
        <f t="shared" si="6"/>
        <v>45930</v>
      </c>
      <c r="AH8" s="5040">
        <f t="shared" si="6"/>
        <v>46022</v>
      </c>
      <c r="AI8" s="5038">
        <f t="shared" si="6"/>
        <v>46112</v>
      </c>
      <c r="AJ8" s="5039">
        <f t="shared" si="6"/>
        <v>46203</v>
      </c>
      <c r="AK8" s="5039">
        <f t="shared" si="6"/>
        <v>46295</v>
      </c>
      <c r="AL8" s="5040">
        <f t="shared" si="6"/>
        <v>46387</v>
      </c>
      <c r="AM8" s="5038">
        <f t="shared" si="6"/>
        <v>46477</v>
      </c>
      <c r="AN8" s="5039">
        <f t="shared" si="6"/>
        <v>46568</v>
      </c>
      <c r="AO8" s="5039">
        <f t="shared" si="6"/>
        <v>46660</v>
      </c>
      <c r="AP8" s="5040">
        <f t="shared" si="6"/>
        <v>46752</v>
      </c>
      <c r="AQ8" s="5038">
        <f t="shared" si="6"/>
        <v>46843</v>
      </c>
      <c r="AR8" s="5039">
        <f t="shared" si="6"/>
        <v>46934</v>
      </c>
      <c r="AS8" s="5039">
        <f t="shared" si="6"/>
        <v>47026</v>
      </c>
      <c r="AT8" s="5040">
        <f t="shared" si="6"/>
        <v>47118</v>
      </c>
      <c r="AU8" s="5038">
        <f t="shared" si="6"/>
        <v>47208</v>
      </c>
      <c r="AV8" s="5039">
        <f t="shared" si="6"/>
        <v>47299</v>
      </c>
      <c r="AW8" s="5039">
        <f t="shared" si="6"/>
        <v>47391</v>
      </c>
      <c r="AX8" s="5040">
        <f t="shared" si="6"/>
        <v>47483</v>
      </c>
      <c r="AY8" s="5038">
        <f t="shared" si="6"/>
        <v>47573</v>
      </c>
      <c r="AZ8" s="5039">
        <f t="shared" si="6"/>
        <v>47664</v>
      </c>
      <c r="BA8" s="5039">
        <f t="shared" si="6"/>
        <v>47756</v>
      </c>
      <c r="BB8" s="5040">
        <f t="shared" si="6"/>
        <v>47848</v>
      </c>
      <c r="BC8" s="5038">
        <f t="shared" si="6"/>
        <v>47938</v>
      </c>
      <c r="BD8" s="5039">
        <f t="shared" si="6"/>
        <v>48029</v>
      </c>
      <c r="BE8" s="5039">
        <f t="shared" si="6"/>
        <v>48121</v>
      </c>
      <c r="BF8" s="5040">
        <f t="shared" si="6"/>
        <v>48213</v>
      </c>
      <c r="BG8" s="5038">
        <f t="shared" si="6"/>
        <v>48304</v>
      </c>
      <c r="BH8" s="5039">
        <f t="shared" si="6"/>
        <v>48395</v>
      </c>
      <c r="BI8" s="5039">
        <f t="shared" si="6"/>
        <v>48487</v>
      </c>
      <c r="BJ8" s="5040">
        <f t="shared" si="6"/>
        <v>48579</v>
      </c>
      <c r="BK8" s="5038">
        <f t="shared" si="6"/>
        <v>48669</v>
      </c>
      <c r="BL8" s="5039">
        <f t="shared" si="6"/>
        <v>48760</v>
      </c>
      <c r="BM8" s="5039">
        <f t="shared" si="6"/>
        <v>48852</v>
      </c>
      <c r="BN8" s="5040">
        <f t="shared" si="6"/>
        <v>48944</v>
      </c>
      <c r="BO8" s="5038">
        <f t="shared" si="6"/>
        <v>49034</v>
      </c>
      <c r="BP8" s="5039">
        <f t="shared" si="6"/>
        <v>49125</v>
      </c>
      <c r="BQ8" s="5039">
        <f t="shared" si="6"/>
        <v>49217</v>
      </c>
      <c r="BR8" s="5040">
        <f t="shared" si="6"/>
        <v>49309</v>
      </c>
      <c r="BS8" s="5038">
        <f t="shared" si="6"/>
        <v>49399</v>
      </c>
      <c r="BT8" s="5039">
        <f t="shared" ref="BT8:EE8" si="7">EOMONTH(BS8,3)</f>
        <v>49490</v>
      </c>
      <c r="BU8" s="5039">
        <f t="shared" si="7"/>
        <v>49582</v>
      </c>
      <c r="BV8" s="5040">
        <f t="shared" si="7"/>
        <v>49674</v>
      </c>
      <c r="BW8" s="5038">
        <f t="shared" si="7"/>
        <v>49765</v>
      </c>
      <c r="BX8" s="5039">
        <f t="shared" si="7"/>
        <v>49856</v>
      </c>
      <c r="BY8" s="5039">
        <f t="shared" si="7"/>
        <v>49948</v>
      </c>
      <c r="BZ8" s="5040">
        <f t="shared" si="7"/>
        <v>50040</v>
      </c>
      <c r="CA8" s="5038">
        <f t="shared" si="7"/>
        <v>50130</v>
      </c>
      <c r="CB8" s="5039">
        <f t="shared" si="7"/>
        <v>50221</v>
      </c>
      <c r="CC8" s="5039">
        <f t="shared" si="7"/>
        <v>50313</v>
      </c>
      <c r="CD8" s="5040">
        <f t="shared" si="7"/>
        <v>50405</v>
      </c>
      <c r="CE8" s="5038">
        <f t="shared" si="7"/>
        <v>50495</v>
      </c>
      <c r="CF8" s="5039">
        <f t="shared" si="7"/>
        <v>50586</v>
      </c>
      <c r="CG8" s="5039">
        <f t="shared" si="7"/>
        <v>50678</v>
      </c>
      <c r="CH8" s="5040">
        <f t="shared" si="7"/>
        <v>50770</v>
      </c>
      <c r="CI8" s="5038">
        <f t="shared" si="7"/>
        <v>50860</v>
      </c>
      <c r="CJ8" s="5039">
        <f t="shared" si="7"/>
        <v>50951</v>
      </c>
      <c r="CK8" s="5039">
        <f t="shared" si="7"/>
        <v>51043</v>
      </c>
      <c r="CL8" s="5040">
        <f t="shared" si="7"/>
        <v>51135</v>
      </c>
      <c r="CM8" s="5038">
        <f t="shared" si="7"/>
        <v>51226</v>
      </c>
      <c r="CN8" s="5039">
        <f t="shared" si="7"/>
        <v>51317</v>
      </c>
      <c r="CO8" s="5039">
        <f t="shared" si="7"/>
        <v>51409</v>
      </c>
      <c r="CP8" s="5040">
        <f t="shared" si="7"/>
        <v>51501</v>
      </c>
      <c r="CQ8" s="5038">
        <f t="shared" si="7"/>
        <v>51591</v>
      </c>
      <c r="CR8" s="5039">
        <f t="shared" si="7"/>
        <v>51682</v>
      </c>
      <c r="CS8" s="5039">
        <f t="shared" si="7"/>
        <v>51774</v>
      </c>
      <c r="CT8" s="5040">
        <f t="shared" si="7"/>
        <v>51866</v>
      </c>
      <c r="CU8" s="5038">
        <f t="shared" si="7"/>
        <v>51956</v>
      </c>
      <c r="CV8" s="5039">
        <f t="shared" si="7"/>
        <v>52047</v>
      </c>
      <c r="CW8" s="5039">
        <f t="shared" si="7"/>
        <v>52139</v>
      </c>
      <c r="CX8" s="5040">
        <f t="shared" si="7"/>
        <v>52231</v>
      </c>
      <c r="CY8" s="5038">
        <f t="shared" si="7"/>
        <v>52321</v>
      </c>
      <c r="CZ8" s="5039">
        <f t="shared" si="7"/>
        <v>52412</v>
      </c>
      <c r="DA8" s="5039">
        <f t="shared" si="7"/>
        <v>52504</v>
      </c>
      <c r="DB8" s="5040">
        <f t="shared" si="7"/>
        <v>52596</v>
      </c>
      <c r="DC8" s="5038">
        <f t="shared" si="7"/>
        <v>52687</v>
      </c>
      <c r="DD8" s="5039">
        <f t="shared" si="7"/>
        <v>52778</v>
      </c>
      <c r="DE8" s="5039">
        <f t="shared" si="7"/>
        <v>52870</v>
      </c>
      <c r="DF8" s="5040">
        <f t="shared" si="7"/>
        <v>52962</v>
      </c>
      <c r="DG8" s="5038">
        <f t="shared" si="7"/>
        <v>53052</v>
      </c>
      <c r="DH8" s="5039">
        <f t="shared" si="7"/>
        <v>53143</v>
      </c>
      <c r="DI8" s="5039">
        <f t="shared" si="7"/>
        <v>53235</v>
      </c>
      <c r="DJ8" s="5040">
        <f t="shared" si="7"/>
        <v>53327</v>
      </c>
      <c r="DK8" s="5038">
        <f t="shared" si="7"/>
        <v>53417</v>
      </c>
      <c r="DL8" s="5039">
        <f t="shared" si="7"/>
        <v>53508</v>
      </c>
      <c r="DM8" s="5039">
        <f t="shared" si="7"/>
        <v>53600</v>
      </c>
      <c r="DN8" s="5040">
        <f t="shared" si="7"/>
        <v>53692</v>
      </c>
      <c r="DO8" s="5038">
        <f t="shared" si="7"/>
        <v>53782</v>
      </c>
      <c r="DP8" s="5039">
        <f t="shared" si="7"/>
        <v>53873</v>
      </c>
      <c r="DQ8" s="5039">
        <f t="shared" si="7"/>
        <v>53965</v>
      </c>
      <c r="DR8" s="5040">
        <f t="shared" si="7"/>
        <v>54057</v>
      </c>
      <c r="DS8" s="5038">
        <f t="shared" si="7"/>
        <v>54148</v>
      </c>
      <c r="DT8" s="5039">
        <f t="shared" si="7"/>
        <v>54239</v>
      </c>
      <c r="DU8" s="5039">
        <f t="shared" si="7"/>
        <v>54331</v>
      </c>
      <c r="DV8" s="5040">
        <f t="shared" si="7"/>
        <v>54423</v>
      </c>
      <c r="DW8" s="5038">
        <f t="shared" si="7"/>
        <v>54513</v>
      </c>
      <c r="DX8" s="5039">
        <f t="shared" si="7"/>
        <v>54604</v>
      </c>
      <c r="DY8" s="5039">
        <f t="shared" si="7"/>
        <v>54696</v>
      </c>
      <c r="DZ8" s="5040">
        <f t="shared" si="7"/>
        <v>54788</v>
      </c>
      <c r="EA8" s="5038">
        <f t="shared" si="7"/>
        <v>54878</v>
      </c>
      <c r="EB8" s="5039">
        <f t="shared" si="7"/>
        <v>54969</v>
      </c>
      <c r="EC8" s="5039">
        <f t="shared" si="7"/>
        <v>55061</v>
      </c>
      <c r="ED8" s="5040">
        <f t="shared" si="7"/>
        <v>55153</v>
      </c>
      <c r="EE8" s="5038">
        <f t="shared" si="7"/>
        <v>55243</v>
      </c>
      <c r="EF8" s="5039">
        <f t="shared" ref="EF8:GD8" si="8">EOMONTH(EE8,3)</f>
        <v>55334</v>
      </c>
      <c r="EG8" s="5039">
        <f t="shared" si="8"/>
        <v>55426</v>
      </c>
      <c r="EH8" s="5040">
        <f t="shared" si="8"/>
        <v>55518</v>
      </c>
      <c r="EI8" s="5038">
        <f t="shared" si="8"/>
        <v>55609</v>
      </c>
      <c r="EJ8" s="5039">
        <f t="shared" si="8"/>
        <v>55700</v>
      </c>
      <c r="EK8" s="5039">
        <f t="shared" si="8"/>
        <v>55792</v>
      </c>
      <c r="EL8" s="5040">
        <f t="shared" si="8"/>
        <v>55884</v>
      </c>
      <c r="EM8" s="5038">
        <f t="shared" si="8"/>
        <v>55974</v>
      </c>
      <c r="EN8" s="5039">
        <f t="shared" si="8"/>
        <v>56065</v>
      </c>
      <c r="EO8" s="5039">
        <f t="shared" si="8"/>
        <v>56157</v>
      </c>
      <c r="EP8" s="5040">
        <f t="shared" si="8"/>
        <v>56249</v>
      </c>
      <c r="EQ8" s="5038">
        <f t="shared" si="8"/>
        <v>56339</v>
      </c>
      <c r="ER8" s="5039">
        <f t="shared" si="8"/>
        <v>56430</v>
      </c>
      <c r="ES8" s="5039">
        <f t="shared" si="8"/>
        <v>56522</v>
      </c>
      <c r="ET8" s="5040">
        <f t="shared" si="8"/>
        <v>56614</v>
      </c>
      <c r="EU8" s="5038">
        <f t="shared" si="8"/>
        <v>56704</v>
      </c>
      <c r="EV8" s="5039">
        <f t="shared" si="8"/>
        <v>56795</v>
      </c>
      <c r="EW8" s="5039">
        <f t="shared" si="8"/>
        <v>56887</v>
      </c>
      <c r="EX8" s="5040">
        <f t="shared" si="8"/>
        <v>56979</v>
      </c>
      <c r="EY8" s="5038">
        <f t="shared" si="8"/>
        <v>57070</v>
      </c>
      <c r="EZ8" s="5039">
        <f t="shared" si="8"/>
        <v>57161</v>
      </c>
      <c r="FA8" s="5039">
        <f t="shared" si="8"/>
        <v>57253</v>
      </c>
      <c r="FB8" s="5040">
        <f t="shared" si="8"/>
        <v>57345</v>
      </c>
      <c r="FC8" s="5038">
        <f t="shared" si="8"/>
        <v>57435</v>
      </c>
      <c r="FD8" s="5039">
        <f t="shared" si="8"/>
        <v>57526</v>
      </c>
      <c r="FE8" s="5039">
        <f t="shared" si="8"/>
        <v>57618</v>
      </c>
      <c r="FF8" s="5040">
        <f t="shared" si="8"/>
        <v>57710</v>
      </c>
      <c r="FG8" s="5038">
        <f t="shared" si="8"/>
        <v>57800</v>
      </c>
      <c r="FH8" s="5039">
        <f t="shared" si="8"/>
        <v>57891</v>
      </c>
      <c r="FI8" s="5039">
        <f t="shared" si="8"/>
        <v>57983</v>
      </c>
      <c r="FJ8" s="5040">
        <f t="shared" si="8"/>
        <v>58075</v>
      </c>
      <c r="FK8" s="5038">
        <f t="shared" si="8"/>
        <v>58165</v>
      </c>
      <c r="FL8" s="5039">
        <f t="shared" si="8"/>
        <v>58256</v>
      </c>
      <c r="FM8" s="5039">
        <f t="shared" si="8"/>
        <v>58348</v>
      </c>
      <c r="FN8" s="5040">
        <f t="shared" si="8"/>
        <v>58440</v>
      </c>
      <c r="FO8" s="5038">
        <f t="shared" si="8"/>
        <v>58531</v>
      </c>
      <c r="FP8" s="5039">
        <f t="shared" si="8"/>
        <v>58622</v>
      </c>
      <c r="FQ8" s="5039">
        <f t="shared" si="8"/>
        <v>58714</v>
      </c>
      <c r="FR8" s="5040">
        <f t="shared" si="8"/>
        <v>58806</v>
      </c>
      <c r="FS8" s="5038">
        <f t="shared" si="8"/>
        <v>58896</v>
      </c>
      <c r="FT8" s="5039">
        <f t="shared" si="8"/>
        <v>58987</v>
      </c>
      <c r="FU8" s="5039">
        <f t="shared" si="8"/>
        <v>59079</v>
      </c>
      <c r="FV8" s="5040">
        <f t="shared" si="8"/>
        <v>59171</v>
      </c>
      <c r="FW8" s="5038">
        <f t="shared" si="8"/>
        <v>59261</v>
      </c>
      <c r="FX8" s="5039">
        <f t="shared" si="8"/>
        <v>59352</v>
      </c>
      <c r="FY8" s="5039">
        <f t="shared" si="8"/>
        <v>59444</v>
      </c>
      <c r="FZ8" s="5040">
        <f t="shared" si="8"/>
        <v>59536</v>
      </c>
      <c r="GA8" s="5038">
        <f t="shared" si="8"/>
        <v>59626</v>
      </c>
      <c r="GB8" s="5039">
        <f t="shared" si="8"/>
        <v>59717</v>
      </c>
      <c r="GC8" s="5039">
        <f t="shared" si="8"/>
        <v>59809</v>
      </c>
      <c r="GD8" s="5040">
        <f t="shared" si="8"/>
        <v>59901</v>
      </c>
    </row>
    <row r="9" spans="1:190" ht="17.100000000000001" customHeight="1">
      <c r="B9" s="720"/>
      <c r="C9" s="315" t="s">
        <v>1235</v>
      </c>
      <c r="D9" s="1259"/>
      <c r="E9" s="722"/>
      <c r="F9" s="1260">
        <f ca="1">SUM(O9:GD9)</f>
        <v>16148.199110754289</v>
      </c>
      <c r="G9" s="1261">
        <f t="shared" ref="G9:BR9" si="9">SUM(G10:G16)</f>
        <v>86.769320339999993</v>
      </c>
      <c r="H9" s="1262">
        <f t="shared" si="9"/>
        <v>205.78581829239997</v>
      </c>
      <c r="I9" s="1262">
        <f t="shared" si="9"/>
        <v>62.702894280000002</v>
      </c>
      <c r="J9" s="1263">
        <f t="shared" si="9"/>
        <v>17.826184540000007</v>
      </c>
      <c r="K9" s="1261">
        <f t="shared" si="9"/>
        <v>73.892817159999993</v>
      </c>
      <c r="L9" s="1262">
        <f t="shared" ca="1" si="9"/>
        <v>-6.0475824019365376</v>
      </c>
      <c r="M9" s="1262">
        <f t="shared" si="9"/>
        <v>199.07223561672885</v>
      </c>
      <c r="N9" s="1263">
        <f t="shared" si="9"/>
        <v>65.857226150000002</v>
      </c>
      <c r="O9" s="1264">
        <f t="shared" si="9"/>
        <v>64.050939639999996</v>
      </c>
      <c r="P9" s="1265">
        <f t="shared" si="9"/>
        <v>163.91645235999999</v>
      </c>
      <c r="Q9" s="1265">
        <f t="shared" si="9"/>
        <v>65.025467930000005</v>
      </c>
      <c r="R9" s="1266">
        <f t="shared" si="9"/>
        <v>61.603223720000003</v>
      </c>
      <c r="S9" s="1264">
        <f t="shared" si="9"/>
        <v>61.951725201359693</v>
      </c>
      <c r="T9" s="1265">
        <f t="shared" ca="1" si="9"/>
        <v>190.92160820698277</v>
      </c>
      <c r="U9" s="1265">
        <f t="shared" si="9"/>
        <v>64.682222526973675</v>
      </c>
      <c r="V9" s="1266">
        <f t="shared" si="9"/>
        <v>65.860142133666812</v>
      </c>
      <c r="W9" s="1264">
        <f t="shared" ca="1" si="9"/>
        <v>66.841896672000018</v>
      </c>
      <c r="X9" s="1265">
        <f t="shared" ca="1" si="9"/>
        <v>201.40966938782555</v>
      </c>
      <c r="Y9" s="1265">
        <f t="shared" ca="1" si="9"/>
        <v>66.841896672000018</v>
      </c>
      <c r="Z9" s="1266">
        <f t="shared" ca="1" si="9"/>
        <v>66.841896672000018</v>
      </c>
      <c r="AA9" s="1264">
        <f t="shared" ca="1" si="9"/>
        <v>70.177079277276022</v>
      </c>
      <c r="AB9" s="1265">
        <f t="shared" ca="1" si="9"/>
        <v>199.91623490872669</v>
      </c>
      <c r="AC9" s="1265">
        <f t="shared" ca="1" si="9"/>
        <v>70.000410277276032</v>
      </c>
      <c r="AD9" s="1266">
        <f t="shared" ca="1" si="9"/>
        <v>70.000410277276032</v>
      </c>
      <c r="AE9" s="1264">
        <f t="shared" ca="1" si="9"/>
        <v>70.179170518648021</v>
      </c>
      <c r="AF9" s="1265">
        <f t="shared" ca="1" si="9"/>
        <v>130.02886486317132</v>
      </c>
      <c r="AG9" s="1265">
        <f t="shared" ca="1" si="9"/>
        <v>70.179170518648021</v>
      </c>
      <c r="AH9" s="1266">
        <f t="shared" ca="1" si="9"/>
        <v>70.179170518648021</v>
      </c>
      <c r="AI9" s="1264">
        <f t="shared" ca="1" si="9"/>
        <v>72.063150875020042</v>
      </c>
      <c r="AJ9" s="1265">
        <f t="shared" ca="1" si="9"/>
        <v>72.063150875020042</v>
      </c>
      <c r="AK9" s="1265">
        <f t="shared" ca="1" si="9"/>
        <v>72.063150875020042</v>
      </c>
      <c r="AL9" s="1266">
        <f t="shared" ca="1" si="9"/>
        <v>72.063150875020042</v>
      </c>
      <c r="AM9" s="1264">
        <f t="shared" ca="1" si="9"/>
        <v>76.174478573073799</v>
      </c>
      <c r="AN9" s="1265">
        <f t="shared" ca="1" si="9"/>
        <v>76.174478573073799</v>
      </c>
      <c r="AO9" s="1265">
        <f t="shared" ca="1" si="9"/>
        <v>76.174478573073799</v>
      </c>
      <c r="AP9" s="1266">
        <f t="shared" ca="1" si="9"/>
        <v>76.174478573073799</v>
      </c>
      <c r="AQ9" s="1264">
        <f t="shared" ca="1" si="9"/>
        <v>78.116588232686937</v>
      </c>
      <c r="AR9" s="1265">
        <f t="shared" ca="1" si="9"/>
        <v>78.116588232686937</v>
      </c>
      <c r="AS9" s="1265">
        <f t="shared" ca="1" si="9"/>
        <v>78.116588232686937</v>
      </c>
      <c r="AT9" s="1266">
        <f t="shared" ca="1" si="9"/>
        <v>78.116588232686937</v>
      </c>
      <c r="AU9" s="1264">
        <f t="shared" ca="1" si="9"/>
        <v>80.05709077805011</v>
      </c>
      <c r="AV9" s="1265">
        <f t="shared" ca="1" si="9"/>
        <v>80.05709077805011</v>
      </c>
      <c r="AW9" s="1265">
        <f t="shared" ca="1" si="9"/>
        <v>80.05709077805011</v>
      </c>
      <c r="AX9" s="1266">
        <f t="shared" ca="1" si="9"/>
        <v>80.05709077805011</v>
      </c>
      <c r="AY9" s="1264">
        <f t="shared" ca="1" si="9"/>
        <v>84.470249158660693</v>
      </c>
      <c r="AZ9" s="1265">
        <f t="shared" ca="1" si="9"/>
        <v>84.470249158660693</v>
      </c>
      <c r="BA9" s="1265">
        <f t="shared" ca="1" si="9"/>
        <v>84.470249158660693</v>
      </c>
      <c r="BB9" s="1266">
        <f t="shared" ca="1" si="9"/>
        <v>84.470249158660693</v>
      </c>
      <c r="BC9" s="1264">
        <f t="shared" ca="1" si="9"/>
        <v>85.271516736471298</v>
      </c>
      <c r="BD9" s="1265">
        <f t="shared" ca="1" si="9"/>
        <v>85.271516736471298</v>
      </c>
      <c r="BE9" s="1265">
        <f t="shared" ca="1" si="9"/>
        <v>85.271516736471298</v>
      </c>
      <c r="BF9" s="1266">
        <f t="shared" ca="1" si="9"/>
        <v>85.271516736471298</v>
      </c>
      <c r="BG9" s="1264">
        <f t="shared" ca="1" si="9"/>
        <v>86.071096844319413</v>
      </c>
      <c r="BH9" s="1265">
        <f t="shared" ca="1" si="9"/>
        <v>86.071096844319413</v>
      </c>
      <c r="BI9" s="1265">
        <f t="shared" ca="1" si="9"/>
        <v>86.071096844319413</v>
      </c>
      <c r="BJ9" s="1266">
        <f t="shared" ca="1" si="9"/>
        <v>86.071096844319413</v>
      </c>
      <c r="BK9" s="1264">
        <f t="shared" ca="1" si="9"/>
        <v>89.493509658622813</v>
      </c>
      <c r="BL9" s="1265">
        <f t="shared" ca="1" si="9"/>
        <v>89.493509658622813</v>
      </c>
      <c r="BM9" s="1265">
        <f t="shared" ca="1" si="9"/>
        <v>89.493509658622813</v>
      </c>
      <c r="BN9" s="1266">
        <f t="shared" ca="1" si="9"/>
        <v>89.493509658622813</v>
      </c>
      <c r="BO9" s="1264">
        <f t="shared" ca="1" si="9"/>
        <v>90.318852076242763</v>
      </c>
      <c r="BP9" s="1265">
        <f t="shared" ca="1" si="9"/>
        <v>90.318852076242763</v>
      </c>
      <c r="BQ9" s="1265">
        <f t="shared" ca="1" si="9"/>
        <v>90.318852076242763</v>
      </c>
      <c r="BR9" s="1266">
        <f t="shared" ca="1" si="9"/>
        <v>90.318852076242763</v>
      </c>
      <c r="BS9" s="1264">
        <f t="shared" ref="BS9:ED9" ca="1" si="10">SUM(BS10:BS16)</f>
        <v>91.142422650402068</v>
      </c>
      <c r="BT9" s="1265">
        <f t="shared" ca="1" si="10"/>
        <v>91.142422650402068</v>
      </c>
      <c r="BU9" s="1265">
        <f t="shared" ca="1" si="10"/>
        <v>91.142422650402068</v>
      </c>
      <c r="BV9" s="1266">
        <f t="shared" ca="1" si="10"/>
        <v>91.142422650402068</v>
      </c>
      <c r="BW9" s="1264">
        <f t="shared" ca="1" si="10"/>
        <v>94.745868999651009</v>
      </c>
      <c r="BX9" s="1265">
        <f t="shared" ca="1" si="10"/>
        <v>94.745868999651009</v>
      </c>
      <c r="BY9" s="1265">
        <f t="shared" ca="1" si="10"/>
        <v>94.745868999651009</v>
      </c>
      <c r="BZ9" s="1266">
        <f t="shared" ca="1" si="10"/>
        <v>94.745868999651009</v>
      </c>
      <c r="CA9" s="1264">
        <f t="shared" ca="1" si="10"/>
        <v>95.59601034289831</v>
      </c>
      <c r="CB9" s="1265">
        <f t="shared" ca="1" si="10"/>
        <v>95.59601034289831</v>
      </c>
      <c r="CC9" s="1265">
        <f t="shared" ca="1" si="10"/>
        <v>95.59601034289831</v>
      </c>
      <c r="CD9" s="1266">
        <f t="shared" ca="1" si="10"/>
        <v>95.59601034289831</v>
      </c>
      <c r="CE9" s="1264">
        <f t="shared" ca="1" si="10"/>
        <v>96.444291250511924</v>
      </c>
      <c r="CF9" s="1265">
        <f t="shared" ca="1" si="10"/>
        <v>96.444291250511924</v>
      </c>
      <c r="CG9" s="1265">
        <f t="shared" ca="1" si="10"/>
        <v>96.444291250511924</v>
      </c>
      <c r="CH9" s="1266">
        <f t="shared" ca="1" si="10"/>
        <v>96.444291250511924</v>
      </c>
      <c r="CI9" s="1264">
        <f t="shared" ca="1" si="10"/>
        <v>100.23663806070773</v>
      </c>
      <c r="CJ9" s="1265">
        <f t="shared" ca="1" si="10"/>
        <v>100.23663806070773</v>
      </c>
      <c r="CK9" s="1265">
        <f t="shared" ca="1" si="10"/>
        <v>100.23663806070773</v>
      </c>
      <c r="CL9" s="1266">
        <f t="shared" ca="1" si="10"/>
        <v>100.23663806070773</v>
      </c>
      <c r="CM9" s="1264">
        <f t="shared" ca="1" si="10"/>
        <v>101.11232423000611</v>
      </c>
      <c r="CN9" s="1265">
        <f t="shared" ca="1" si="10"/>
        <v>101.11232423000611</v>
      </c>
      <c r="CO9" s="1265">
        <f t="shared" ca="1" si="10"/>
        <v>101.11232423000611</v>
      </c>
      <c r="CP9" s="1266">
        <f t="shared" ca="1" si="10"/>
        <v>101.11232423000611</v>
      </c>
      <c r="CQ9" s="1264">
        <f t="shared" ca="1" si="10"/>
        <v>101.98605694188917</v>
      </c>
      <c r="CR9" s="1265">
        <f t="shared" ca="1" si="10"/>
        <v>101.98605694188917</v>
      </c>
      <c r="CS9" s="1265">
        <f t="shared" ca="1" si="10"/>
        <v>101.98605694188917</v>
      </c>
      <c r="CT9" s="1266">
        <f t="shared" ca="1" si="10"/>
        <v>101.98605694188917</v>
      </c>
      <c r="CU9" s="1264">
        <f t="shared" ca="1" si="10"/>
        <v>105.97548447868373</v>
      </c>
      <c r="CV9" s="1265">
        <f t="shared" ca="1" si="10"/>
        <v>105.97548447868373</v>
      </c>
      <c r="CW9" s="1265">
        <f t="shared" ca="1" si="10"/>
        <v>105.97548447868373</v>
      </c>
      <c r="CX9" s="1266">
        <f t="shared" ca="1" si="10"/>
        <v>105.97548447868373</v>
      </c>
      <c r="CY9" s="1264">
        <f t="shared" ca="1" si="10"/>
        <v>106.87748384810246</v>
      </c>
      <c r="CZ9" s="1265">
        <f t="shared" ca="1" si="10"/>
        <v>106.87748384810246</v>
      </c>
      <c r="DA9" s="1265">
        <f t="shared" ca="1" si="10"/>
        <v>106.87748384810246</v>
      </c>
      <c r="DB9" s="1266">
        <f t="shared" ca="1" si="10"/>
        <v>106.87748384810246</v>
      </c>
      <c r="DC9" s="1264">
        <f t="shared" ca="1" si="10"/>
        <v>107.77743208723508</v>
      </c>
      <c r="DD9" s="1265">
        <f t="shared" ca="1" si="10"/>
        <v>107.77743208723508</v>
      </c>
      <c r="DE9" s="1265">
        <f t="shared" ca="1" si="10"/>
        <v>107.77743208723508</v>
      </c>
      <c r="DF9" s="1266">
        <f t="shared" ca="1" si="10"/>
        <v>107.77743208723508</v>
      </c>
      <c r="DG9" s="1264">
        <f t="shared" ca="1" si="10"/>
        <v>111.97244588878995</v>
      </c>
      <c r="DH9" s="1265">
        <f t="shared" ca="1" si="10"/>
        <v>111.97244588878995</v>
      </c>
      <c r="DI9" s="1265">
        <f t="shared" ca="1" si="10"/>
        <v>111.97244588878995</v>
      </c>
      <c r="DJ9" s="1266">
        <f t="shared" ca="1" si="10"/>
        <v>111.97244588878995</v>
      </c>
      <c r="DK9" s="1264">
        <f t="shared" ca="1" si="10"/>
        <v>112.90154998508467</v>
      </c>
      <c r="DL9" s="1265">
        <f t="shared" ca="1" si="10"/>
        <v>112.90154998508467</v>
      </c>
      <c r="DM9" s="1265">
        <f t="shared" ca="1" si="10"/>
        <v>112.90154998508467</v>
      </c>
      <c r="DN9" s="1266">
        <f t="shared" ca="1" si="10"/>
        <v>112.90154998508467</v>
      </c>
      <c r="DO9" s="1264">
        <f t="shared" ca="1" si="10"/>
        <v>113.82850039457897</v>
      </c>
      <c r="DP9" s="1265">
        <f t="shared" ca="1" si="10"/>
        <v>113.82850039457897</v>
      </c>
      <c r="DQ9" s="1265">
        <f t="shared" ca="1" si="10"/>
        <v>113.82850039457897</v>
      </c>
      <c r="DR9" s="1266">
        <f t="shared" ca="1" si="10"/>
        <v>113.82850039457897</v>
      </c>
      <c r="DS9" s="1264">
        <f t="shared" ca="1" si="10"/>
        <v>118.23794364902629</v>
      </c>
      <c r="DT9" s="1265">
        <f t="shared" ca="1" si="10"/>
        <v>118.23794364902629</v>
      </c>
      <c r="DU9" s="1265">
        <f t="shared" ca="1" si="10"/>
        <v>118.23794364902629</v>
      </c>
      <c r="DV9" s="1266">
        <f t="shared" ca="1" si="10"/>
        <v>118.23794364902629</v>
      </c>
      <c r="DW9" s="1264">
        <f t="shared" ca="1" si="10"/>
        <v>119.19496785129296</v>
      </c>
      <c r="DX9" s="1265">
        <f t="shared" ca="1" si="10"/>
        <v>119.19496785129296</v>
      </c>
      <c r="DY9" s="1265">
        <f t="shared" ca="1" si="10"/>
        <v>119.19496785129296</v>
      </c>
      <c r="DZ9" s="1266">
        <f t="shared" ca="1" si="10"/>
        <v>119.19496785129296</v>
      </c>
      <c r="EA9" s="1264">
        <f t="shared" ca="1" si="10"/>
        <v>120.14973068241919</v>
      </c>
      <c r="EB9" s="1265">
        <f t="shared" ca="1" si="10"/>
        <v>120.14973068241919</v>
      </c>
      <c r="EC9" s="1265">
        <f t="shared" ca="1" si="10"/>
        <v>120.14973068241919</v>
      </c>
      <c r="ED9" s="1266">
        <f t="shared" ca="1" si="10"/>
        <v>120.14973068241919</v>
      </c>
      <c r="EE9" s="1264">
        <f t="shared" ref="EE9:FZ9" ca="1" si="11">SUM(EE10:EE16)</f>
        <v>124.78279706639216</v>
      </c>
      <c r="EF9" s="1265">
        <f t="shared" ca="1" si="11"/>
        <v>124.78279706639216</v>
      </c>
      <c r="EG9" s="1265">
        <f t="shared" ca="1" si="11"/>
        <v>124.78279706639216</v>
      </c>
      <c r="EH9" s="1266">
        <f t="shared" ca="1" si="11"/>
        <v>124.78279706639216</v>
      </c>
      <c r="EI9" s="1264">
        <f t="shared" ca="1" si="11"/>
        <v>125.76858132696408</v>
      </c>
      <c r="EJ9" s="1265">
        <f t="shared" ca="1" si="11"/>
        <v>125.76858132696408</v>
      </c>
      <c r="EK9" s="1265">
        <f t="shared" ca="1" si="11"/>
        <v>125.76858132696408</v>
      </c>
      <c r="EL9" s="1266">
        <f t="shared" ca="1" si="11"/>
        <v>125.76858132696408</v>
      </c>
      <c r="EM9" s="1264">
        <f t="shared" ca="1" si="11"/>
        <v>126.75199114783858</v>
      </c>
      <c r="EN9" s="1265">
        <f t="shared" ca="1" si="11"/>
        <v>126.75199114783858</v>
      </c>
      <c r="EO9" s="1265">
        <f t="shared" ca="1" si="11"/>
        <v>126.75199114783858</v>
      </c>
      <c r="EP9" s="1266">
        <f t="shared" ca="1" si="11"/>
        <v>126.75199114783858</v>
      </c>
      <c r="EQ9" s="1264">
        <f t="shared" ca="1" si="11"/>
        <v>131.6182381431548</v>
      </c>
      <c r="ER9" s="1265">
        <f t="shared" ca="1" si="11"/>
        <v>131.6182381431548</v>
      </c>
      <c r="ES9" s="1265">
        <f t="shared" ca="1" si="11"/>
        <v>131.6182381431548</v>
      </c>
      <c r="ET9" s="1266">
        <f t="shared" ca="1" si="11"/>
        <v>131.6182381431548</v>
      </c>
      <c r="EU9" s="1264">
        <f t="shared" ca="1" si="11"/>
        <v>132.63364773039302</v>
      </c>
      <c r="EV9" s="1265">
        <f t="shared" ca="1" si="11"/>
        <v>132.63364773039302</v>
      </c>
      <c r="EW9" s="1265">
        <f t="shared" ca="1" si="11"/>
        <v>132.63364773039302</v>
      </c>
      <c r="EX9" s="1266">
        <f t="shared" ca="1" si="11"/>
        <v>132.63364773039302</v>
      </c>
      <c r="EY9" s="1264">
        <f t="shared" ca="1" si="11"/>
        <v>133.64656415594897</v>
      </c>
      <c r="EZ9" s="1265">
        <f t="shared" ca="1" si="11"/>
        <v>133.64656415594897</v>
      </c>
      <c r="FA9" s="1265">
        <f t="shared" ca="1" si="11"/>
        <v>133.64656415594897</v>
      </c>
      <c r="FB9" s="1266">
        <f t="shared" ca="1" si="11"/>
        <v>133.64656415594897</v>
      </c>
      <c r="FC9" s="1264">
        <f t="shared" ca="1" si="11"/>
        <v>138.7559268621674</v>
      </c>
      <c r="FD9" s="1265">
        <f t="shared" ca="1" si="11"/>
        <v>138.7559268621674</v>
      </c>
      <c r="FE9" s="1265">
        <f t="shared" ca="1" si="11"/>
        <v>138.7559268621674</v>
      </c>
      <c r="FF9" s="1266">
        <f t="shared" ca="1" si="11"/>
        <v>138.7559268621674</v>
      </c>
      <c r="FG9" s="1264">
        <f t="shared" ca="1" si="11"/>
        <v>139.80185312581435</v>
      </c>
      <c r="FH9" s="1265">
        <f t="shared" ca="1" si="11"/>
        <v>139.80185312581435</v>
      </c>
      <c r="FI9" s="1265">
        <f t="shared" ca="1" si="11"/>
        <v>139.80185312581435</v>
      </c>
      <c r="FJ9" s="1266">
        <f t="shared" ca="1" si="11"/>
        <v>139.80185312581435</v>
      </c>
      <c r="FK9" s="1264">
        <f t="shared" ca="1" si="11"/>
        <v>140.84516156969488</v>
      </c>
      <c r="FL9" s="1265">
        <f t="shared" ca="1" si="11"/>
        <v>140.84516156969488</v>
      </c>
      <c r="FM9" s="1265">
        <f t="shared" ca="1" si="11"/>
        <v>0</v>
      </c>
      <c r="FN9" s="1266">
        <f t="shared" ca="1" si="11"/>
        <v>0</v>
      </c>
      <c r="FO9" s="1264">
        <f t="shared" si="11"/>
        <v>0</v>
      </c>
      <c r="FP9" s="1265">
        <f t="shared" si="11"/>
        <v>0</v>
      </c>
      <c r="FQ9" s="1265">
        <f t="shared" si="11"/>
        <v>0</v>
      </c>
      <c r="FR9" s="1266">
        <f t="shared" si="11"/>
        <v>0</v>
      </c>
      <c r="FS9" s="1264">
        <f t="shared" si="11"/>
        <v>0</v>
      </c>
      <c r="FT9" s="1265">
        <f t="shared" si="11"/>
        <v>0</v>
      </c>
      <c r="FU9" s="1265">
        <f t="shared" si="11"/>
        <v>0</v>
      </c>
      <c r="FV9" s="1266">
        <f t="shared" si="11"/>
        <v>0</v>
      </c>
      <c r="FW9" s="1264">
        <f t="shared" si="11"/>
        <v>0</v>
      </c>
      <c r="FX9" s="1265">
        <f t="shared" si="11"/>
        <v>0</v>
      </c>
      <c r="FY9" s="1265">
        <f t="shared" si="11"/>
        <v>0</v>
      </c>
      <c r="FZ9" s="1266">
        <f t="shared" si="11"/>
        <v>0</v>
      </c>
      <c r="GA9" s="1264"/>
      <c r="GB9" s="1265"/>
      <c r="GC9" s="1265"/>
      <c r="GD9" s="1266"/>
    </row>
    <row r="10" spans="1:190" ht="17.100000000000001" customHeight="1">
      <c r="B10" s="307"/>
      <c r="D10" s="342" t="str">
        <f>D42</f>
        <v>하역수입</v>
      </c>
      <c r="E10" s="943"/>
      <c r="F10" s="1267">
        <f t="shared" ref="F10:F36" ca="1" si="12">SUM(O10:GD10)</f>
        <v>14433.415324830397</v>
      </c>
      <c r="G10" s="1268">
        <f>'IS(Q)'!G42</f>
        <v>46.040464499999999</v>
      </c>
      <c r="H10" s="1269">
        <f>'IS(Q)'!H42</f>
        <v>47.389177440000005</v>
      </c>
      <c r="I10" s="1269">
        <f>'IS(Q)'!I42</f>
        <v>53.209623180000001</v>
      </c>
      <c r="J10" s="1270">
        <f>'IS(Q)'!J42</f>
        <v>55.295323000000003</v>
      </c>
      <c r="K10" s="1268">
        <f>'IS(Q)'!K42</f>
        <v>51.881485609999999</v>
      </c>
      <c r="L10" s="1269">
        <f>'IS(Q)'!L42</f>
        <v>59.238123010000002</v>
      </c>
      <c r="M10" s="1269">
        <f>'IS(Q)'!M42</f>
        <v>60.599483800000002</v>
      </c>
      <c r="N10" s="1270">
        <f>'IS(Q)'!N42</f>
        <v>56.953136499999999</v>
      </c>
      <c r="O10" s="1271">
        <f>'IS(Q)'!O42</f>
        <v>54.924529559999996</v>
      </c>
      <c r="P10" s="1272">
        <f>'IS(Q)'!P42</f>
        <v>50.99063572</v>
      </c>
      <c r="Q10" s="1272">
        <f>'IS(Q)'!Q42</f>
        <v>56.071415730000005</v>
      </c>
      <c r="R10" s="1273">
        <f>'IS(Q)'!R42</f>
        <v>52.595015480000001</v>
      </c>
      <c r="S10" s="1271">
        <f>'IS(Q)'!S42</f>
        <v>53.122948723359691</v>
      </c>
      <c r="T10" s="1272">
        <f>'IS(Q)'!T42</f>
        <v>54.655289076927417</v>
      </c>
      <c r="U10" s="1272">
        <f>'IS(Q)'!U42</f>
        <v>55.768892808973675</v>
      </c>
      <c r="V10" s="1273">
        <f>'IS(Q)'!V42</f>
        <v>56.886058069666824</v>
      </c>
      <c r="W10" s="1271">
        <f ca="1">'IS(Q)'!W42</f>
        <v>58.675224960000008</v>
      </c>
      <c r="X10" s="1272">
        <f ca="1">'IS(Q)'!X42</f>
        <v>58.675224960000008</v>
      </c>
      <c r="Y10" s="1272">
        <f ca="1">'IS(Q)'!Y42</f>
        <v>58.675224960000008</v>
      </c>
      <c r="Z10" s="1273">
        <f ca="1">'IS(Q)'!Z42</f>
        <v>58.675224960000008</v>
      </c>
      <c r="AA10" s="1271">
        <f ca="1">'IS(Q)'!AA42</f>
        <v>62.166767565276025</v>
      </c>
      <c r="AB10" s="1272">
        <f ca="1">'IS(Q)'!AB42</f>
        <v>62.166767565276025</v>
      </c>
      <c r="AC10" s="1272">
        <f ca="1">'IS(Q)'!AC42</f>
        <v>62.166767565276025</v>
      </c>
      <c r="AD10" s="1273">
        <f ca="1">'IS(Q)'!AD42</f>
        <v>62.166767565276025</v>
      </c>
      <c r="AE10" s="1271">
        <f ca="1">'IS(Q)'!AE42</f>
        <v>64.050609006648017</v>
      </c>
      <c r="AF10" s="1272">
        <f ca="1">'IS(Q)'!AF42</f>
        <v>64.050609006648017</v>
      </c>
      <c r="AG10" s="1272">
        <f ca="1">'IS(Q)'!AG42</f>
        <v>64.050609006648017</v>
      </c>
      <c r="AH10" s="1273">
        <f ca="1">'IS(Q)'!AH42</f>
        <v>64.050609006648017</v>
      </c>
      <c r="AI10" s="1271">
        <f ca="1">'IS(Q)'!AI42</f>
        <v>65.93445044802003</v>
      </c>
      <c r="AJ10" s="1272">
        <f ca="1">'IS(Q)'!AJ42</f>
        <v>65.93445044802003</v>
      </c>
      <c r="AK10" s="1272">
        <f ca="1">'IS(Q)'!AK42</f>
        <v>65.93445044802003</v>
      </c>
      <c r="AL10" s="1273">
        <f ca="1">'IS(Q)'!AL42</f>
        <v>65.93445044802003</v>
      </c>
      <c r="AM10" s="1271">
        <f ca="1">'IS(Q)'!AM42</f>
        <v>69.852840646073787</v>
      </c>
      <c r="AN10" s="1272">
        <f ca="1">'IS(Q)'!AN42</f>
        <v>69.852840646073787</v>
      </c>
      <c r="AO10" s="1272">
        <f ca="1">'IS(Q)'!AO42</f>
        <v>69.852840646073787</v>
      </c>
      <c r="AP10" s="1273">
        <f ca="1">'IS(Q)'!AP42</f>
        <v>69.852840646073787</v>
      </c>
      <c r="AQ10" s="1271">
        <f ca="1">'IS(Q)'!AQ42</f>
        <v>71.793197330686937</v>
      </c>
      <c r="AR10" s="1272">
        <f ca="1">'IS(Q)'!AR42</f>
        <v>71.793197330686937</v>
      </c>
      <c r="AS10" s="1272">
        <f ca="1">'IS(Q)'!AS42</f>
        <v>71.793197330686937</v>
      </c>
      <c r="AT10" s="1273">
        <f ca="1">'IS(Q)'!AT42</f>
        <v>71.793197330686937</v>
      </c>
      <c r="AU10" s="1271">
        <f ca="1">'IS(Q)'!AU42</f>
        <v>73.733554015300101</v>
      </c>
      <c r="AV10" s="1272">
        <f ca="1">'IS(Q)'!AV42</f>
        <v>73.733554015300101</v>
      </c>
      <c r="AW10" s="1272">
        <f ca="1">'IS(Q)'!AW42</f>
        <v>73.733554015300101</v>
      </c>
      <c r="AX10" s="1273">
        <f ca="1">'IS(Q)'!AX42</f>
        <v>73.733554015300101</v>
      </c>
      <c r="AY10" s="1271">
        <f ca="1">'IS(Q)'!AY42</f>
        <v>77.944128020910682</v>
      </c>
      <c r="AZ10" s="1272">
        <f ca="1">'IS(Q)'!AZ42</f>
        <v>77.944128020910682</v>
      </c>
      <c r="BA10" s="1272">
        <f ca="1">'IS(Q)'!BA42</f>
        <v>77.944128020910682</v>
      </c>
      <c r="BB10" s="1273">
        <f ca="1">'IS(Q)'!BB42</f>
        <v>77.944128020910682</v>
      </c>
      <c r="BC10" s="1271">
        <f ca="1">'IS(Q)'!BC42</f>
        <v>78.743554974971289</v>
      </c>
      <c r="BD10" s="1272">
        <f ca="1">'IS(Q)'!BD42</f>
        <v>78.743554974971289</v>
      </c>
      <c r="BE10" s="1272">
        <f ca="1">'IS(Q)'!BE42</f>
        <v>78.743554974971289</v>
      </c>
      <c r="BF10" s="1273">
        <f ca="1">'IS(Q)'!BF42</f>
        <v>78.743554974971289</v>
      </c>
      <c r="BG10" s="1271">
        <f ca="1">'IS(Q)'!BG42</f>
        <v>79.54298192903191</v>
      </c>
      <c r="BH10" s="1272">
        <f ca="1">'IS(Q)'!BH42</f>
        <v>79.54298192903191</v>
      </c>
      <c r="BI10" s="1272">
        <f ca="1">'IS(Q)'!BI42</f>
        <v>79.54298192903191</v>
      </c>
      <c r="BJ10" s="1273">
        <f ca="1">'IS(Q)'!BJ42</f>
        <v>79.54298192903191</v>
      </c>
      <c r="BK10" s="1271">
        <f ca="1">'IS(Q)'!BK42</f>
        <v>82.752681149585314</v>
      </c>
      <c r="BL10" s="1272">
        <f ca="1">'IS(Q)'!BL42</f>
        <v>82.752681149585314</v>
      </c>
      <c r="BM10" s="1272">
        <f ca="1">'IS(Q)'!BM42</f>
        <v>82.752681149585314</v>
      </c>
      <c r="BN10" s="1273">
        <f ca="1">'IS(Q)'!BN42</f>
        <v>82.752681149585314</v>
      </c>
      <c r="BO10" s="1271">
        <f ca="1">'IS(Q)'!BO42</f>
        <v>83.576090912267759</v>
      </c>
      <c r="BP10" s="1272">
        <f ca="1">'IS(Q)'!BP42</f>
        <v>83.576090912267759</v>
      </c>
      <c r="BQ10" s="1272">
        <f ca="1">'IS(Q)'!BQ42</f>
        <v>83.576090912267759</v>
      </c>
      <c r="BR10" s="1273">
        <f ca="1">'IS(Q)'!BR42</f>
        <v>83.576090912267759</v>
      </c>
      <c r="BS10" s="1271">
        <f ca="1">'IS(Q)'!BS42</f>
        <v>84.39950067495019</v>
      </c>
      <c r="BT10" s="1272">
        <f ca="1">'IS(Q)'!BT42</f>
        <v>84.39950067495019</v>
      </c>
      <c r="BU10" s="1272">
        <f ca="1">'IS(Q)'!BU42</f>
        <v>84.39950067495019</v>
      </c>
      <c r="BV10" s="1273">
        <f ca="1">'IS(Q)'!BV42</f>
        <v>84.39950067495019</v>
      </c>
      <c r="BW10" s="1271">
        <f ca="1">'IS(Q)'!BW42</f>
        <v>87.779597750761624</v>
      </c>
      <c r="BX10" s="1272">
        <f ca="1">'IS(Q)'!BX42</f>
        <v>87.779597750761624</v>
      </c>
      <c r="BY10" s="1272">
        <f ca="1">'IS(Q)'!BY42</f>
        <v>87.779597750761624</v>
      </c>
      <c r="BZ10" s="1273">
        <f ca="1">'IS(Q)'!BZ42</f>
        <v>87.779597750761624</v>
      </c>
      <c r="CA10" s="1271">
        <f ca="1">'IS(Q)'!CA42</f>
        <v>88.627709806324546</v>
      </c>
      <c r="CB10" s="1272">
        <f ca="1">'IS(Q)'!CB42</f>
        <v>88.627709806324546</v>
      </c>
      <c r="CC10" s="1272">
        <f ca="1">'IS(Q)'!CC42</f>
        <v>88.627709806324546</v>
      </c>
      <c r="CD10" s="1273">
        <f ca="1">'IS(Q)'!CD42</f>
        <v>88.627709806324546</v>
      </c>
      <c r="CE10" s="1271">
        <f ca="1">'IS(Q)'!CE42</f>
        <v>89.475821861887439</v>
      </c>
      <c r="CF10" s="1272">
        <f ca="1">'IS(Q)'!CF42</f>
        <v>89.475821861887439</v>
      </c>
      <c r="CG10" s="1272">
        <f ca="1">'IS(Q)'!CG42</f>
        <v>89.475821861887439</v>
      </c>
      <c r="CH10" s="1273">
        <f ca="1">'IS(Q)'!CH42</f>
        <v>89.475821861887439</v>
      </c>
      <c r="CI10" s="1271">
        <f ca="1">'IS(Q)'!CI42</f>
        <v>93.033651934973875</v>
      </c>
      <c r="CJ10" s="1272">
        <f ca="1">'IS(Q)'!CJ42</f>
        <v>93.033651934973875</v>
      </c>
      <c r="CK10" s="1272">
        <f ca="1">'IS(Q)'!CK42</f>
        <v>93.033651934973875</v>
      </c>
      <c r="CL10" s="1273">
        <f ca="1">'IS(Q)'!CL42</f>
        <v>93.033651934973875</v>
      </c>
      <c r="CM10" s="1271">
        <f ca="1">'IS(Q)'!CM42</f>
        <v>93.90720735220367</v>
      </c>
      <c r="CN10" s="1272">
        <f ca="1">'IS(Q)'!CN42</f>
        <v>93.90720735220367</v>
      </c>
      <c r="CO10" s="1272">
        <f ca="1">'IS(Q)'!CO42</f>
        <v>93.90720735220367</v>
      </c>
      <c r="CP10" s="1273">
        <f ca="1">'IS(Q)'!CP42</f>
        <v>93.90720735220367</v>
      </c>
      <c r="CQ10" s="1271">
        <f ca="1">'IS(Q)'!CQ42</f>
        <v>94.78076276943348</v>
      </c>
      <c r="CR10" s="1272">
        <f ca="1">'IS(Q)'!CR42</f>
        <v>94.78076276943348</v>
      </c>
      <c r="CS10" s="1272">
        <f ca="1">'IS(Q)'!CS42</f>
        <v>94.78076276943348</v>
      </c>
      <c r="CT10" s="1273">
        <f ca="1">'IS(Q)'!CT42</f>
        <v>94.78076276943348</v>
      </c>
      <c r="CU10" s="1271">
        <f ca="1">'IS(Q)'!CU42</f>
        <v>98.523947732263181</v>
      </c>
      <c r="CV10" s="1272">
        <f ca="1">'IS(Q)'!CV42</f>
        <v>98.523947732263181</v>
      </c>
      <c r="CW10" s="1272">
        <f ca="1">'IS(Q)'!CW42</f>
        <v>98.523947732263181</v>
      </c>
      <c r="CX10" s="1273">
        <f ca="1">'IS(Q)'!CX42</f>
        <v>98.523947732263181</v>
      </c>
      <c r="CY10" s="1271">
        <f ca="1">'IS(Q)'!CY42</f>
        <v>99.423709812009889</v>
      </c>
      <c r="CZ10" s="1272">
        <f ca="1">'IS(Q)'!CZ42</f>
        <v>99.423709812009889</v>
      </c>
      <c r="DA10" s="1272">
        <f ca="1">'IS(Q)'!DA42</f>
        <v>99.423709812009889</v>
      </c>
      <c r="DB10" s="1273">
        <f ca="1">'IS(Q)'!DB42</f>
        <v>99.423709812009889</v>
      </c>
      <c r="DC10" s="1271">
        <f ca="1">'IS(Q)'!DC42</f>
        <v>100.3234718917566</v>
      </c>
      <c r="DD10" s="1272">
        <f ca="1">'IS(Q)'!DD42</f>
        <v>100.3234718917566</v>
      </c>
      <c r="DE10" s="1272">
        <f ca="1">'IS(Q)'!DE42</f>
        <v>100.3234718917566</v>
      </c>
      <c r="DF10" s="1273">
        <f ca="1">'IS(Q)'!DF42</f>
        <v>100.3234718917566</v>
      </c>
      <c r="DG10" s="1271">
        <f ca="1">'IS(Q)'!DG42</f>
        <v>104.25993099064839</v>
      </c>
      <c r="DH10" s="1272">
        <f ca="1">'IS(Q)'!DH42</f>
        <v>104.25993099064839</v>
      </c>
      <c r="DI10" s="1272">
        <f ca="1">'IS(Q)'!DI42</f>
        <v>104.25993099064839</v>
      </c>
      <c r="DJ10" s="1273">
        <f ca="1">'IS(Q)'!DJ42</f>
        <v>104.25993099064839</v>
      </c>
      <c r="DK10" s="1271">
        <f ca="1">'IS(Q)'!DK42</f>
        <v>105.18668593278748</v>
      </c>
      <c r="DL10" s="1272">
        <f ca="1">'IS(Q)'!DL42</f>
        <v>105.18668593278748</v>
      </c>
      <c r="DM10" s="1272">
        <f ca="1">'IS(Q)'!DM42</f>
        <v>105.18668593278748</v>
      </c>
      <c r="DN10" s="1273">
        <f ca="1">'IS(Q)'!DN42</f>
        <v>105.18668593278748</v>
      </c>
      <c r="DO10" s="1271">
        <f ca="1">'IS(Q)'!DO42</f>
        <v>106.11344087492657</v>
      </c>
      <c r="DP10" s="1272">
        <f ca="1">'IS(Q)'!DP42</f>
        <v>106.11344087492657</v>
      </c>
      <c r="DQ10" s="1272">
        <f ca="1">'IS(Q)'!DQ42</f>
        <v>106.11344087492657</v>
      </c>
      <c r="DR10" s="1273">
        <f ca="1">'IS(Q)'!DR42</f>
        <v>106.11344087492657</v>
      </c>
      <c r="DS10" s="1271">
        <f ca="1">'IS(Q)'!DS42</f>
        <v>110.25140169157766</v>
      </c>
      <c r="DT10" s="1272">
        <f ca="1">'IS(Q)'!DT42</f>
        <v>110.25140169157766</v>
      </c>
      <c r="DU10" s="1272">
        <f ca="1">'IS(Q)'!DU42</f>
        <v>110.25140169157766</v>
      </c>
      <c r="DV10" s="1273">
        <f ca="1">'IS(Q)'!DV42</f>
        <v>110.25140169157766</v>
      </c>
      <c r="DW10" s="1271">
        <f ca="1">'IS(Q)'!DW42</f>
        <v>111.20595928198091</v>
      </c>
      <c r="DX10" s="1272">
        <f ca="1">'IS(Q)'!DX42</f>
        <v>111.20595928198091</v>
      </c>
      <c r="DY10" s="1272">
        <f ca="1">'IS(Q)'!DY42</f>
        <v>111.20595928198091</v>
      </c>
      <c r="DZ10" s="1273">
        <f ca="1">'IS(Q)'!DZ42</f>
        <v>111.20595928198091</v>
      </c>
      <c r="EA10" s="1271">
        <f ca="1">'IS(Q)'!EA42</f>
        <v>112.16051687238416</v>
      </c>
      <c r="EB10" s="1272">
        <f ca="1">'IS(Q)'!EB42</f>
        <v>112.16051687238416</v>
      </c>
      <c r="EC10" s="1272">
        <f ca="1">'IS(Q)'!EC42</f>
        <v>112.16051687238416</v>
      </c>
      <c r="ED10" s="1273">
        <f ca="1">'IS(Q)'!ED42</f>
        <v>112.16051687238416</v>
      </c>
      <c r="EE10" s="1271">
        <f ca="1">'IS(Q)'!EE42</f>
        <v>116.50852669667108</v>
      </c>
      <c r="EF10" s="1272">
        <f ca="1">'IS(Q)'!EF42</f>
        <v>116.50852669667108</v>
      </c>
      <c r="EG10" s="1272">
        <f ca="1">'IS(Q)'!EG42</f>
        <v>116.50852669667108</v>
      </c>
      <c r="EH10" s="1273">
        <f ca="1">'IS(Q)'!EH42</f>
        <v>116.50852669667108</v>
      </c>
      <c r="EI10" s="1271">
        <f ca="1">'IS(Q)'!EI42</f>
        <v>117.49172101478644</v>
      </c>
      <c r="EJ10" s="1272">
        <f ca="1">'IS(Q)'!EJ42</f>
        <v>117.49172101478644</v>
      </c>
      <c r="EK10" s="1272">
        <f ca="1">'IS(Q)'!EK42</f>
        <v>117.49172101478644</v>
      </c>
      <c r="EL10" s="1273">
        <f ca="1">'IS(Q)'!EL42</f>
        <v>117.49172101478644</v>
      </c>
      <c r="EM10" s="1271">
        <f ca="1">'IS(Q)'!EM42</f>
        <v>118.4749153329018</v>
      </c>
      <c r="EN10" s="1272">
        <f ca="1">'IS(Q)'!EN42</f>
        <v>118.4749153329018</v>
      </c>
      <c r="EO10" s="1272">
        <f ca="1">'IS(Q)'!EO42</f>
        <v>118.4749153329018</v>
      </c>
      <c r="EP10" s="1273">
        <f ca="1">'IS(Q)'!EP42</f>
        <v>118.4749153329018</v>
      </c>
      <c r="EQ10" s="1271">
        <f ca="1">'IS(Q)'!EQ42</f>
        <v>123.04185294054767</v>
      </c>
      <c r="ER10" s="1272">
        <f ca="1">'IS(Q)'!ER42</f>
        <v>123.04185294054767</v>
      </c>
      <c r="ES10" s="1272">
        <f ca="1">'IS(Q)'!ES42</f>
        <v>123.04185294054767</v>
      </c>
      <c r="ET10" s="1273">
        <f ca="1">'IS(Q)'!ET42</f>
        <v>123.04185294054767</v>
      </c>
      <c r="EU10" s="1271">
        <f ca="1">'IS(Q)'!EU42</f>
        <v>124.0545430882065</v>
      </c>
      <c r="EV10" s="1272">
        <f ca="1">'IS(Q)'!EV42</f>
        <v>124.0545430882065</v>
      </c>
      <c r="EW10" s="1272">
        <f ca="1">'IS(Q)'!EW42</f>
        <v>124.0545430882065</v>
      </c>
      <c r="EX10" s="1273">
        <f ca="1">'IS(Q)'!EX42</f>
        <v>124.0545430882065</v>
      </c>
      <c r="EY10" s="1271">
        <f ca="1">'IS(Q)'!EY42</f>
        <v>125.06723323586534</v>
      </c>
      <c r="EZ10" s="1272">
        <f ca="1">'IS(Q)'!EZ42</f>
        <v>125.06723323586534</v>
      </c>
      <c r="FA10" s="1272">
        <f ca="1">'IS(Q)'!FA42</f>
        <v>125.06723323586534</v>
      </c>
      <c r="FB10" s="1273">
        <f ca="1">'IS(Q)'!FB42</f>
        <v>125.06723323586534</v>
      </c>
      <c r="FC10" s="1271">
        <f ca="1">'IS(Q)'!FC42</f>
        <v>129.86232108502989</v>
      </c>
      <c r="FD10" s="1272">
        <f ca="1">'IS(Q)'!FD42</f>
        <v>129.86232108502989</v>
      </c>
      <c r="FE10" s="1272">
        <f ca="1">'IS(Q)'!FE42</f>
        <v>129.86232108502989</v>
      </c>
      <c r="FF10" s="1273">
        <f ca="1">'IS(Q)'!FF42</f>
        <v>129.86232108502989</v>
      </c>
      <c r="FG10" s="1271">
        <f ca="1">'IS(Q)'!FG42</f>
        <v>130.90539193711848</v>
      </c>
      <c r="FH10" s="1272">
        <f ca="1">'IS(Q)'!FH42</f>
        <v>130.90539193711848</v>
      </c>
      <c r="FI10" s="1272">
        <f ca="1">'IS(Q)'!FI42</f>
        <v>130.90539193711848</v>
      </c>
      <c r="FJ10" s="1273">
        <f ca="1">'IS(Q)'!FJ42</f>
        <v>130.90539193711848</v>
      </c>
      <c r="FK10" s="1271">
        <f ca="1">'IS(Q)'!FK42</f>
        <v>131.94846278920707</v>
      </c>
      <c r="FL10" s="1272">
        <f ca="1">'IS(Q)'!FL42</f>
        <v>131.94846278920707</v>
      </c>
      <c r="FM10" s="1272">
        <f ca="1">'IS(Q)'!FM42</f>
        <v>0</v>
      </c>
      <c r="FN10" s="1273">
        <f ca="1">'IS(Q)'!FN42</f>
        <v>0</v>
      </c>
      <c r="FO10" s="1271">
        <f>'IS(Q)'!FO42</f>
        <v>0</v>
      </c>
      <c r="FP10" s="1272">
        <f>'IS(Q)'!FP42</f>
        <v>0</v>
      </c>
      <c r="FQ10" s="1272">
        <f>'IS(Q)'!FQ42</f>
        <v>0</v>
      </c>
      <c r="FR10" s="1273">
        <f>'IS(Q)'!FR42</f>
        <v>0</v>
      </c>
      <c r="FS10" s="1271">
        <f>'IS(Q)'!FS42</f>
        <v>0</v>
      </c>
      <c r="FT10" s="1272">
        <f>'IS(Q)'!FT42</f>
        <v>0</v>
      </c>
      <c r="FU10" s="1272">
        <f>'IS(Q)'!FU42</f>
        <v>0</v>
      </c>
      <c r="FV10" s="1273">
        <f>'IS(Q)'!FV42</f>
        <v>0</v>
      </c>
      <c r="FW10" s="1271">
        <f>'IS(Q)'!FW42</f>
        <v>0</v>
      </c>
      <c r="FX10" s="1272">
        <f>'IS(Q)'!FX42</f>
        <v>0</v>
      </c>
      <c r="FY10" s="1272">
        <f>'IS(Q)'!FY42</f>
        <v>0</v>
      </c>
      <c r="FZ10" s="1273">
        <f>'IS(Q)'!FZ42</f>
        <v>0</v>
      </c>
      <c r="GA10" s="1271"/>
      <c r="GB10" s="1272"/>
      <c r="GC10" s="1272"/>
      <c r="GD10" s="1273"/>
    </row>
    <row r="11" spans="1:190" ht="17.100000000000001" customHeight="1">
      <c r="B11" s="307"/>
      <c r="D11" s="1274" t="str">
        <f t="shared" ref="D11:D16" si="13">D43</f>
        <v>접안료</v>
      </c>
      <c r="E11" s="742"/>
      <c r="F11" s="1207">
        <f t="shared" si="12"/>
        <v>321.13638823999963</v>
      </c>
      <c r="G11" s="1275">
        <f>'IS(Q)'!G43</f>
        <v>2.2596690000000001</v>
      </c>
      <c r="H11" s="1276">
        <f>'IS(Q)'!H43</f>
        <v>2.3151991000000001</v>
      </c>
      <c r="I11" s="1276">
        <f>'IS(Q)'!I43</f>
        <v>2.4369551</v>
      </c>
      <c r="J11" s="1277">
        <f>'IS(Q)'!J43</f>
        <v>2.4655201999999998</v>
      </c>
      <c r="K11" s="1278">
        <f>'IS(Q)'!K43</f>
        <v>3.0230809999999999</v>
      </c>
      <c r="L11" s="1276">
        <f>'IS(Q)'!L43</f>
        <v>2.4244161000000002</v>
      </c>
      <c r="M11" s="1276">
        <f>'IS(Q)'!M43</f>
        <v>2.5753281000000001</v>
      </c>
      <c r="N11" s="1277">
        <f>'IS(Q)'!N43</f>
        <v>2.3385544</v>
      </c>
      <c r="O11" s="1279">
        <f>'IS(Q)'!O43</f>
        <v>2.1990848000000001</v>
      </c>
      <c r="P11" s="1280">
        <f>'IS(Q)'!P43</f>
        <v>1.9978662</v>
      </c>
      <c r="Q11" s="1280">
        <f>'IS(Q)'!Q43</f>
        <v>2.0989122</v>
      </c>
      <c r="R11" s="1281">
        <f>'IS(Q)'!R43</f>
        <v>2.16946824</v>
      </c>
      <c r="S11" s="1279">
        <f>'IS(Q)'!S43</f>
        <v>2.013436478</v>
      </c>
      <c r="T11" s="1280">
        <f>'IS(Q)'!T43</f>
        <v>2.0679245879999999</v>
      </c>
      <c r="U11" s="1280">
        <f>'IS(Q)'!U43</f>
        <v>2.1073897180000003</v>
      </c>
      <c r="V11" s="1281">
        <f>'IS(Q)'!V43</f>
        <v>2.1491440639999997</v>
      </c>
      <c r="W11" s="1279">
        <f>'IS(Q)'!W43</f>
        <v>2.0844737119999999</v>
      </c>
      <c r="X11" s="1280">
        <f>'IS(Q)'!X43</f>
        <v>2.0844737119999999</v>
      </c>
      <c r="Y11" s="1280">
        <f>'IS(Q)'!Y43</f>
        <v>2.0844737119999999</v>
      </c>
      <c r="Z11" s="1281">
        <f>'IS(Q)'!Z43</f>
        <v>2.0844737119999999</v>
      </c>
      <c r="AA11" s="1279">
        <f>'IS(Q)'!AA43</f>
        <v>2.0844737119999999</v>
      </c>
      <c r="AB11" s="1280">
        <f>'IS(Q)'!AB43</f>
        <v>2.0844737119999999</v>
      </c>
      <c r="AC11" s="1280">
        <f>'IS(Q)'!AC43</f>
        <v>2.0844737119999999</v>
      </c>
      <c r="AD11" s="1281">
        <f>'IS(Q)'!AD43</f>
        <v>2.0844737119999999</v>
      </c>
      <c r="AE11" s="1279">
        <f>'IS(Q)'!AE43</f>
        <v>2.0844737119999999</v>
      </c>
      <c r="AF11" s="1280">
        <f>'IS(Q)'!AF43</f>
        <v>2.0844737119999999</v>
      </c>
      <c r="AG11" s="1280">
        <f>'IS(Q)'!AG43</f>
        <v>2.0844737119999999</v>
      </c>
      <c r="AH11" s="1281">
        <f>'IS(Q)'!AH43</f>
        <v>2.0844737119999999</v>
      </c>
      <c r="AI11" s="1279">
        <f>'IS(Q)'!AI43</f>
        <v>2.0844737119999999</v>
      </c>
      <c r="AJ11" s="1280">
        <f>'IS(Q)'!AJ43</f>
        <v>2.0844737119999999</v>
      </c>
      <c r="AK11" s="1280">
        <f>'IS(Q)'!AK43</f>
        <v>2.0844737119999999</v>
      </c>
      <c r="AL11" s="1281">
        <f>'IS(Q)'!AL43</f>
        <v>2.0844737119999999</v>
      </c>
      <c r="AM11" s="1279">
        <f>'IS(Q)'!AM43</f>
        <v>2.0844737119999999</v>
      </c>
      <c r="AN11" s="1280">
        <f>'IS(Q)'!AN43</f>
        <v>2.0844737119999999</v>
      </c>
      <c r="AO11" s="1280">
        <f>'IS(Q)'!AO43</f>
        <v>2.0844737119999999</v>
      </c>
      <c r="AP11" s="1281">
        <f>'IS(Q)'!AP43</f>
        <v>2.0844737119999999</v>
      </c>
      <c r="AQ11" s="1279">
        <f>'IS(Q)'!AQ43</f>
        <v>2.0844737119999999</v>
      </c>
      <c r="AR11" s="1280">
        <f>'IS(Q)'!AR43</f>
        <v>2.0844737119999999</v>
      </c>
      <c r="AS11" s="1280">
        <f>'IS(Q)'!AS43</f>
        <v>2.0844737119999999</v>
      </c>
      <c r="AT11" s="1281">
        <f>'IS(Q)'!AT43</f>
        <v>2.0844737119999999</v>
      </c>
      <c r="AU11" s="1279">
        <f>'IS(Q)'!AU43</f>
        <v>2.0844737119999999</v>
      </c>
      <c r="AV11" s="1280">
        <f>'IS(Q)'!AV43</f>
        <v>2.0844737119999999</v>
      </c>
      <c r="AW11" s="1280">
        <f>'IS(Q)'!AW43</f>
        <v>2.0844737119999999</v>
      </c>
      <c r="AX11" s="1281">
        <f>'IS(Q)'!AX43</f>
        <v>2.0844737119999999</v>
      </c>
      <c r="AY11" s="1279">
        <f>'IS(Q)'!AY43</f>
        <v>2.0844737119999999</v>
      </c>
      <c r="AZ11" s="1280">
        <f>'IS(Q)'!AZ43</f>
        <v>2.0844737119999999</v>
      </c>
      <c r="BA11" s="1280">
        <f>'IS(Q)'!BA43</f>
        <v>2.0844737119999999</v>
      </c>
      <c r="BB11" s="1281">
        <f>'IS(Q)'!BB43</f>
        <v>2.0844737119999999</v>
      </c>
      <c r="BC11" s="1279">
        <f>'IS(Q)'!BC43</f>
        <v>2.0844737119999999</v>
      </c>
      <c r="BD11" s="1280">
        <f>'IS(Q)'!BD43</f>
        <v>2.0844737119999999</v>
      </c>
      <c r="BE11" s="1280">
        <f>'IS(Q)'!BE43</f>
        <v>2.0844737119999999</v>
      </c>
      <c r="BF11" s="1281">
        <f>'IS(Q)'!BF43</f>
        <v>2.0844737119999999</v>
      </c>
      <c r="BG11" s="1279">
        <f>'IS(Q)'!BG43</f>
        <v>2.0844737119999999</v>
      </c>
      <c r="BH11" s="1280">
        <f>'IS(Q)'!BH43</f>
        <v>2.0844737119999999</v>
      </c>
      <c r="BI11" s="1280">
        <f>'IS(Q)'!BI43</f>
        <v>2.0844737119999999</v>
      </c>
      <c r="BJ11" s="1281">
        <f>'IS(Q)'!BJ43</f>
        <v>2.0844737119999999</v>
      </c>
      <c r="BK11" s="1279">
        <f>'IS(Q)'!BK43</f>
        <v>2.0844737119999999</v>
      </c>
      <c r="BL11" s="1280">
        <f>'IS(Q)'!BL43</f>
        <v>2.0844737119999999</v>
      </c>
      <c r="BM11" s="1280">
        <f>'IS(Q)'!BM43</f>
        <v>2.0844737119999999</v>
      </c>
      <c r="BN11" s="1281">
        <f>'IS(Q)'!BN43</f>
        <v>2.0844737119999999</v>
      </c>
      <c r="BO11" s="1279">
        <f>'IS(Q)'!BO43</f>
        <v>2.0844737119999999</v>
      </c>
      <c r="BP11" s="1280">
        <f>'IS(Q)'!BP43</f>
        <v>2.0844737119999999</v>
      </c>
      <c r="BQ11" s="1280">
        <f>'IS(Q)'!BQ43</f>
        <v>2.0844737119999999</v>
      </c>
      <c r="BR11" s="1281">
        <f>'IS(Q)'!BR43</f>
        <v>2.0844737119999999</v>
      </c>
      <c r="BS11" s="1279">
        <f>'IS(Q)'!BS43</f>
        <v>2.0844737119999999</v>
      </c>
      <c r="BT11" s="1280">
        <f>'IS(Q)'!BT43</f>
        <v>2.0844737119999999</v>
      </c>
      <c r="BU11" s="1280">
        <f>'IS(Q)'!BU43</f>
        <v>2.0844737119999999</v>
      </c>
      <c r="BV11" s="1281">
        <f>'IS(Q)'!BV43</f>
        <v>2.0844737119999999</v>
      </c>
      <c r="BW11" s="1279">
        <f>'IS(Q)'!BW43</f>
        <v>2.0844737119999999</v>
      </c>
      <c r="BX11" s="1280">
        <f>'IS(Q)'!BX43</f>
        <v>2.0844737119999999</v>
      </c>
      <c r="BY11" s="1280">
        <f>'IS(Q)'!BY43</f>
        <v>2.0844737119999999</v>
      </c>
      <c r="BZ11" s="1281">
        <f>'IS(Q)'!BZ43</f>
        <v>2.0844737119999999</v>
      </c>
      <c r="CA11" s="1279">
        <f>'IS(Q)'!CA43</f>
        <v>2.0844737119999999</v>
      </c>
      <c r="CB11" s="1280">
        <f>'IS(Q)'!CB43</f>
        <v>2.0844737119999999</v>
      </c>
      <c r="CC11" s="1280">
        <f>'IS(Q)'!CC43</f>
        <v>2.0844737119999999</v>
      </c>
      <c r="CD11" s="1281">
        <f>'IS(Q)'!CD43</f>
        <v>2.0844737119999999</v>
      </c>
      <c r="CE11" s="1279">
        <f>'IS(Q)'!CE43</f>
        <v>2.0844737119999999</v>
      </c>
      <c r="CF11" s="1280">
        <f>'IS(Q)'!CF43</f>
        <v>2.0844737119999999</v>
      </c>
      <c r="CG11" s="1280">
        <f>'IS(Q)'!CG43</f>
        <v>2.0844737119999999</v>
      </c>
      <c r="CH11" s="1281">
        <f>'IS(Q)'!CH43</f>
        <v>2.0844737119999999</v>
      </c>
      <c r="CI11" s="1279">
        <f>'IS(Q)'!CI43</f>
        <v>2.0844737119999999</v>
      </c>
      <c r="CJ11" s="1280">
        <f>'IS(Q)'!CJ43</f>
        <v>2.0844737119999999</v>
      </c>
      <c r="CK11" s="1280">
        <f>'IS(Q)'!CK43</f>
        <v>2.0844737119999999</v>
      </c>
      <c r="CL11" s="1281">
        <f>'IS(Q)'!CL43</f>
        <v>2.0844737119999999</v>
      </c>
      <c r="CM11" s="1279">
        <f>'IS(Q)'!CM43</f>
        <v>2.0844737119999999</v>
      </c>
      <c r="CN11" s="1280">
        <f>'IS(Q)'!CN43</f>
        <v>2.0844737119999999</v>
      </c>
      <c r="CO11" s="1280">
        <f>'IS(Q)'!CO43</f>
        <v>2.0844737119999999</v>
      </c>
      <c r="CP11" s="1281">
        <f>'IS(Q)'!CP43</f>
        <v>2.0844737119999999</v>
      </c>
      <c r="CQ11" s="1279">
        <f>'IS(Q)'!CQ43</f>
        <v>2.0844737119999999</v>
      </c>
      <c r="CR11" s="1280">
        <f>'IS(Q)'!CR43</f>
        <v>2.0844737119999999</v>
      </c>
      <c r="CS11" s="1280">
        <f>'IS(Q)'!CS43</f>
        <v>2.0844737119999999</v>
      </c>
      <c r="CT11" s="1281">
        <f>'IS(Q)'!CT43</f>
        <v>2.0844737119999999</v>
      </c>
      <c r="CU11" s="1279">
        <f>'IS(Q)'!CU43</f>
        <v>2.0844737119999999</v>
      </c>
      <c r="CV11" s="1280">
        <f>'IS(Q)'!CV43</f>
        <v>2.0844737119999999</v>
      </c>
      <c r="CW11" s="1280">
        <f>'IS(Q)'!CW43</f>
        <v>2.0844737119999999</v>
      </c>
      <c r="CX11" s="1281">
        <f>'IS(Q)'!CX43</f>
        <v>2.0844737119999999</v>
      </c>
      <c r="CY11" s="1279">
        <f>'IS(Q)'!CY43</f>
        <v>2.0844737119999999</v>
      </c>
      <c r="CZ11" s="1280">
        <f>'IS(Q)'!CZ43</f>
        <v>2.0844737119999999</v>
      </c>
      <c r="DA11" s="1280">
        <f>'IS(Q)'!DA43</f>
        <v>2.0844737119999999</v>
      </c>
      <c r="DB11" s="1281">
        <f>'IS(Q)'!DB43</f>
        <v>2.0844737119999999</v>
      </c>
      <c r="DC11" s="1279">
        <f>'IS(Q)'!DC43</f>
        <v>2.0844737119999999</v>
      </c>
      <c r="DD11" s="1280">
        <f>'IS(Q)'!DD43</f>
        <v>2.0844737119999999</v>
      </c>
      <c r="DE11" s="1280">
        <f>'IS(Q)'!DE43</f>
        <v>2.0844737119999999</v>
      </c>
      <c r="DF11" s="1281">
        <f>'IS(Q)'!DF43</f>
        <v>2.0844737119999999</v>
      </c>
      <c r="DG11" s="1279">
        <f>'IS(Q)'!DG43</f>
        <v>2.0844737119999999</v>
      </c>
      <c r="DH11" s="1280">
        <f>'IS(Q)'!DH43</f>
        <v>2.0844737119999999</v>
      </c>
      <c r="DI11" s="1280">
        <f>'IS(Q)'!DI43</f>
        <v>2.0844737119999999</v>
      </c>
      <c r="DJ11" s="1281">
        <f>'IS(Q)'!DJ43</f>
        <v>2.0844737119999999</v>
      </c>
      <c r="DK11" s="1279">
        <f>'IS(Q)'!DK43</f>
        <v>2.0844737119999999</v>
      </c>
      <c r="DL11" s="1280">
        <f>'IS(Q)'!DL43</f>
        <v>2.0844737119999999</v>
      </c>
      <c r="DM11" s="1280">
        <f>'IS(Q)'!DM43</f>
        <v>2.0844737119999999</v>
      </c>
      <c r="DN11" s="1281">
        <f>'IS(Q)'!DN43</f>
        <v>2.0844737119999999</v>
      </c>
      <c r="DO11" s="1279">
        <f>'IS(Q)'!DO43</f>
        <v>2.0844737119999999</v>
      </c>
      <c r="DP11" s="1280">
        <f>'IS(Q)'!DP43</f>
        <v>2.0844737119999999</v>
      </c>
      <c r="DQ11" s="1280">
        <f>'IS(Q)'!DQ43</f>
        <v>2.0844737119999999</v>
      </c>
      <c r="DR11" s="1281">
        <f>'IS(Q)'!DR43</f>
        <v>2.0844737119999999</v>
      </c>
      <c r="DS11" s="1279">
        <f>'IS(Q)'!DS43</f>
        <v>2.0844737119999999</v>
      </c>
      <c r="DT11" s="1280">
        <f>'IS(Q)'!DT43</f>
        <v>2.0844737119999999</v>
      </c>
      <c r="DU11" s="1280">
        <f>'IS(Q)'!DU43</f>
        <v>2.0844737119999999</v>
      </c>
      <c r="DV11" s="1281">
        <f>'IS(Q)'!DV43</f>
        <v>2.0844737119999999</v>
      </c>
      <c r="DW11" s="1279">
        <f>'IS(Q)'!DW43</f>
        <v>2.0844737119999999</v>
      </c>
      <c r="DX11" s="1280">
        <f>'IS(Q)'!DX43</f>
        <v>2.0844737119999999</v>
      </c>
      <c r="DY11" s="1280">
        <f>'IS(Q)'!DY43</f>
        <v>2.0844737119999999</v>
      </c>
      <c r="DZ11" s="1281">
        <f>'IS(Q)'!DZ43</f>
        <v>2.0844737119999999</v>
      </c>
      <c r="EA11" s="1279">
        <f>'IS(Q)'!EA43</f>
        <v>2.0844737119999999</v>
      </c>
      <c r="EB11" s="1280">
        <f>'IS(Q)'!EB43</f>
        <v>2.0844737119999999</v>
      </c>
      <c r="EC11" s="1280">
        <f>'IS(Q)'!EC43</f>
        <v>2.0844737119999999</v>
      </c>
      <c r="ED11" s="1281">
        <f>'IS(Q)'!ED43</f>
        <v>2.0844737119999999</v>
      </c>
      <c r="EE11" s="1279">
        <f>'IS(Q)'!EE43</f>
        <v>2.0844737119999999</v>
      </c>
      <c r="EF11" s="1280">
        <f>'IS(Q)'!EF43</f>
        <v>2.0844737119999999</v>
      </c>
      <c r="EG11" s="1280">
        <f>'IS(Q)'!EG43</f>
        <v>2.0844737119999999</v>
      </c>
      <c r="EH11" s="1281">
        <f>'IS(Q)'!EH43</f>
        <v>2.0844737119999999</v>
      </c>
      <c r="EI11" s="1279">
        <f>'IS(Q)'!EI43</f>
        <v>2.0844737119999999</v>
      </c>
      <c r="EJ11" s="1280">
        <f>'IS(Q)'!EJ43</f>
        <v>2.0844737119999999</v>
      </c>
      <c r="EK11" s="1280">
        <f>'IS(Q)'!EK43</f>
        <v>2.0844737119999999</v>
      </c>
      <c r="EL11" s="1281">
        <f>'IS(Q)'!EL43</f>
        <v>2.0844737119999999</v>
      </c>
      <c r="EM11" s="1279">
        <f>'IS(Q)'!EM43</f>
        <v>2.0844737119999999</v>
      </c>
      <c r="EN11" s="1280">
        <f>'IS(Q)'!EN43</f>
        <v>2.0844737119999999</v>
      </c>
      <c r="EO11" s="1280">
        <f>'IS(Q)'!EO43</f>
        <v>2.0844737119999999</v>
      </c>
      <c r="EP11" s="1281">
        <f>'IS(Q)'!EP43</f>
        <v>2.0844737119999999</v>
      </c>
      <c r="EQ11" s="1279">
        <f>'IS(Q)'!EQ43</f>
        <v>2.0844737119999999</v>
      </c>
      <c r="ER11" s="1280">
        <f>'IS(Q)'!ER43</f>
        <v>2.0844737119999999</v>
      </c>
      <c r="ES11" s="1280">
        <f>'IS(Q)'!ES43</f>
        <v>2.0844737119999999</v>
      </c>
      <c r="ET11" s="1281">
        <f>'IS(Q)'!ET43</f>
        <v>2.0844737119999999</v>
      </c>
      <c r="EU11" s="1279">
        <f>'IS(Q)'!EU43</f>
        <v>2.0844737119999999</v>
      </c>
      <c r="EV11" s="1280">
        <f>'IS(Q)'!EV43</f>
        <v>2.0844737119999999</v>
      </c>
      <c r="EW11" s="1280">
        <f>'IS(Q)'!EW43</f>
        <v>2.0844737119999999</v>
      </c>
      <c r="EX11" s="1281">
        <f>'IS(Q)'!EX43</f>
        <v>2.0844737119999999</v>
      </c>
      <c r="EY11" s="1279">
        <f>'IS(Q)'!EY43</f>
        <v>2.0844737119999999</v>
      </c>
      <c r="EZ11" s="1280">
        <f>'IS(Q)'!EZ43</f>
        <v>2.0844737119999999</v>
      </c>
      <c r="FA11" s="1280">
        <f>'IS(Q)'!FA43</f>
        <v>2.0844737119999999</v>
      </c>
      <c r="FB11" s="1281">
        <f>'IS(Q)'!FB43</f>
        <v>2.0844737119999999</v>
      </c>
      <c r="FC11" s="1279">
        <f>'IS(Q)'!FC43</f>
        <v>2.0844737119999999</v>
      </c>
      <c r="FD11" s="1280">
        <f>'IS(Q)'!FD43</f>
        <v>2.0844737119999999</v>
      </c>
      <c r="FE11" s="1280">
        <f>'IS(Q)'!FE43</f>
        <v>2.0844737119999999</v>
      </c>
      <c r="FF11" s="1281">
        <f>'IS(Q)'!FF43</f>
        <v>2.0844737119999999</v>
      </c>
      <c r="FG11" s="1279">
        <f>'IS(Q)'!FG43</f>
        <v>2.0844737119999999</v>
      </c>
      <c r="FH11" s="1280">
        <f>'IS(Q)'!FH43</f>
        <v>2.0844737119999999</v>
      </c>
      <c r="FI11" s="1280">
        <f>'IS(Q)'!FI43</f>
        <v>2.0844737119999999</v>
      </c>
      <c r="FJ11" s="1281">
        <f>'IS(Q)'!FJ43</f>
        <v>2.0844737119999999</v>
      </c>
      <c r="FK11" s="1279">
        <f>'IS(Q)'!FK43</f>
        <v>2.0844737119999999</v>
      </c>
      <c r="FL11" s="1280">
        <f>'IS(Q)'!FL43</f>
        <v>2.0844737119999999</v>
      </c>
      <c r="FM11" s="1280">
        <f>'IS(Q)'!FM43</f>
        <v>0</v>
      </c>
      <c r="FN11" s="1281">
        <f>'IS(Q)'!FN43</f>
        <v>0</v>
      </c>
      <c r="FO11" s="1279">
        <f>'IS(Q)'!FO43</f>
        <v>0</v>
      </c>
      <c r="FP11" s="1280">
        <f>'IS(Q)'!FP43</f>
        <v>0</v>
      </c>
      <c r="FQ11" s="1280">
        <f>'IS(Q)'!FQ43</f>
        <v>0</v>
      </c>
      <c r="FR11" s="1281">
        <f>'IS(Q)'!FR43</f>
        <v>0</v>
      </c>
      <c r="FS11" s="1279">
        <f>'IS(Q)'!FS43</f>
        <v>0</v>
      </c>
      <c r="FT11" s="1280">
        <f>'IS(Q)'!FT43</f>
        <v>0</v>
      </c>
      <c r="FU11" s="1280">
        <f>'IS(Q)'!FU43</f>
        <v>0</v>
      </c>
      <c r="FV11" s="1281">
        <f>'IS(Q)'!FV43</f>
        <v>0</v>
      </c>
      <c r="FW11" s="1279">
        <f>'IS(Q)'!FW43</f>
        <v>0</v>
      </c>
      <c r="FX11" s="1280">
        <f>'IS(Q)'!FX43</f>
        <v>0</v>
      </c>
      <c r="FY11" s="1280">
        <f>'IS(Q)'!FY43</f>
        <v>0</v>
      </c>
      <c r="FZ11" s="1281">
        <f>'IS(Q)'!FZ43</f>
        <v>0</v>
      </c>
      <c r="GA11" s="1279"/>
      <c r="GB11" s="1280"/>
      <c r="GC11" s="1280"/>
      <c r="GD11" s="1281"/>
    </row>
    <row r="12" spans="1:190" ht="17.100000000000001" customHeight="1">
      <c r="B12" s="307"/>
      <c r="D12" s="1274" t="str">
        <f t="shared" si="13"/>
        <v>CFS동 운영 수입</v>
      </c>
      <c r="E12" s="742"/>
      <c r="F12" s="1207">
        <f t="shared" si="12"/>
        <v>9.2785404899999886</v>
      </c>
      <c r="G12" s="1275">
        <f>'IS(Q)'!G44</f>
        <v>5.7876200000000003E-2</v>
      </c>
      <c r="H12" s="1276">
        <f>'IS(Q)'!H44</f>
        <v>5.3461399999999999E-2</v>
      </c>
      <c r="I12" s="1276">
        <f>'IS(Q)'!I44</f>
        <v>3.7817999999999997E-2</v>
      </c>
      <c r="J12" s="1277">
        <f>'IS(Q)'!J44</f>
        <v>0.06</v>
      </c>
      <c r="K12" s="1278">
        <f>'IS(Q)'!K44</f>
        <v>0.14077054999999999</v>
      </c>
      <c r="L12" s="1276">
        <f>'IS(Q)'!L44</f>
        <v>0.11409345</v>
      </c>
      <c r="M12" s="1276">
        <f>'IS(Q)'!M44</f>
        <v>8.7302299999999999E-2</v>
      </c>
      <c r="N12" s="1277">
        <f>'IS(Q)'!N44</f>
        <v>6.7859249999999996E-2</v>
      </c>
      <c r="O12" s="5014">
        <f>'IS(Q)'!O44</f>
        <v>6.3013280000000005E-2</v>
      </c>
      <c r="P12" s="5015">
        <f>'IS(Q)'!P44</f>
        <v>9.5527210000000001E-2</v>
      </c>
      <c r="Q12" s="5015">
        <f>'IS(Q)'!Q44</f>
        <v>0.06</v>
      </c>
      <c r="R12" s="5016">
        <f>'IS(Q)'!R44</f>
        <v>0.06</v>
      </c>
      <c r="S12" s="5014">
        <f>'IS(Q)'!S44</f>
        <v>0.06</v>
      </c>
      <c r="T12" s="5015">
        <f>'IS(Q)'!T44</f>
        <v>0.06</v>
      </c>
      <c r="U12" s="5015">
        <f>'IS(Q)'!U44</f>
        <v>0.06</v>
      </c>
      <c r="V12" s="5016">
        <f>'IS(Q)'!V44</f>
        <v>0.06</v>
      </c>
      <c r="W12" s="5014">
        <f>'IS(Q)'!W44</f>
        <v>0.06</v>
      </c>
      <c r="X12" s="5015">
        <f>'IS(Q)'!X44</f>
        <v>0.06</v>
      </c>
      <c r="Y12" s="5015">
        <f>'IS(Q)'!Y44</f>
        <v>0.06</v>
      </c>
      <c r="Z12" s="5016">
        <f>'IS(Q)'!Z44</f>
        <v>0.06</v>
      </c>
      <c r="AA12" s="5014">
        <f>'IS(Q)'!AA44</f>
        <v>0.06</v>
      </c>
      <c r="AB12" s="5015">
        <f>'IS(Q)'!AB44</f>
        <v>0.06</v>
      </c>
      <c r="AC12" s="5015">
        <f>'IS(Q)'!AC44</f>
        <v>0.06</v>
      </c>
      <c r="AD12" s="5016">
        <f>'IS(Q)'!AD44</f>
        <v>0.06</v>
      </c>
      <c r="AE12" s="5014">
        <f>'IS(Q)'!AE44</f>
        <v>0.06</v>
      </c>
      <c r="AF12" s="5015">
        <f>'IS(Q)'!AF44</f>
        <v>0.06</v>
      </c>
      <c r="AG12" s="5015">
        <f>'IS(Q)'!AG44</f>
        <v>0.06</v>
      </c>
      <c r="AH12" s="5016">
        <f>'IS(Q)'!AH44</f>
        <v>0.06</v>
      </c>
      <c r="AI12" s="5014">
        <f>'IS(Q)'!AI44</f>
        <v>0.06</v>
      </c>
      <c r="AJ12" s="5015">
        <f>'IS(Q)'!AJ44</f>
        <v>0.06</v>
      </c>
      <c r="AK12" s="5015">
        <f>'IS(Q)'!AK44</f>
        <v>0.06</v>
      </c>
      <c r="AL12" s="5016">
        <f>'IS(Q)'!AL44</f>
        <v>0.06</v>
      </c>
      <c r="AM12" s="5014">
        <f>'IS(Q)'!AM44</f>
        <v>0.06</v>
      </c>
      <c r="AN12" s="5015">
        <f>'IS(Q)'!AN44</f>
        <v>0.06</v>
      </c>
      <c r="AO12" s="5015">
        <f>'IS(Q)'!AO44</f>
        <v>0.06</v>
      </c>
      <c r="AP12" s="5016">
        <f>'IS(Q)'!AP44</f>
        <v>0.06</v>
      </c>
      <c r="AQ12" s="5014">
        <f>'IS(Q)'!AQ44</f>
        <v>0.06</v>
      </c>
      <c r="AR12" s="5015">
        <f>'IS(Q)'!AR44</f>
        <v>0.06</v>
      </c>
      <c r="AS12" s="5015">
        <f>'IS(Q)'!AS44</f>
        <v>0.06</v>
      </c>
      <c r="AT12" s="5016">
        <f>'IS(Q)'!AT44</f>
        <v>0.06</v>
      </c>
      <c r="AU12" s="5014">
        <f>'IS(Q)'!AU44</f>
        <v>0.06</v>
      </c>
      <c r="AV12" s="5015">
        <f>'IS(Q)'!AV44</f>
        <v>0.06</v>
      </c>
      <c r="AW12" s="5015">
        <f>'IS(Q)'!AW44</f>
        <v>0.06</v>
      </c>
      <c r="AX12" s="5016">
        <f>'IS(Q)'!AX44</f>
        <v>0.06</v>
      </c>
      <c r="AY12" s="5014">
        <f>'IS(Q)'!AY44</f>
        <v>0.06</v>
      </c>
      <c r="AZ12" s="5015">
        <f>'IS(Q)'!AZ44</f>
        <v>0.06</v>
      </c>
      <c r="BA12" s="5015">
        <f>'IS(Q)'!BA44</f>
        <v>0.06</v>
      </c>
      <c r="BB12" s="5016">
        <f>'IS(Q)'!BB44</f>
        <v>0.06</v>
      </c>
      <c r="BC12" s="5014">
        <f>'IS(Q)'!BC44</f>
        <v>0.06</v>
      </c>
      <c r="BD12" s="5015">
        <f>'IS(Q)'!BD44</f>
        <v>0.06</v>
      </c>
      <c r="BE12" s="5015">
        <f>'IS(Q)'!BE44</f>
        <v>0.06</v>
      </c>
      <c r="BF12" s="5016">
        <f>'IS(Q)'!BF44</f>
        <v>0.06</v>
      </c>
      <c r="BG12" s="5014">
        <f>'IS(Q)'!BG44</f>
        <v>0.06</v>
      </c>
      <c r="BH12" s="5015">
        <f>'IS(Q)'!BH44</f>
        <v>0.06</v>
      </c>
      <c r="BI12" s="5015">
        <f>'IS(Q)'!BI44</f>
        <v>0.06</v>
      </c>
      <c r="BJ12" s="5016">
        <f>'IS(Q)'!BJ44</f>
        <v>0.06</v>
      </c>
      <c r="BK12" s="5014">
        <f>'IS(Q)'!BK44</f>
        <v>0.06</v>
      </c>
      <c r="BL12" s="5015">
        <f>'IS(Q)'!BL44</f>
        <v>0.06</v>
      </c>
      <c r="BM12" s="5015">
        <f>'IS(Q)'!BM44</f>
        <v>0.06</v>
      </c>
      <c r="BN12" s="5016">
        <f>'IS(Q)'!BN44</f>
        <v>0.06</v>
      </c>
      <c r="BO12" s="5014">
        <f>'IS(Q)'!BO44</f>
        <v>0.06</v>
      </c>
      <c r="BP12" s="5015">
        <f>'IS(Q)'!BP44</f>
        <v>0.06</v>
      </c>
      <c r="BQ12" s="5015">
        <f>'IS(Q)'!BQ44</f>
        <v>0.06</v>
      </c>
      <c r="BR12" s="5016">
        <f>'IS(Q)'!BR44</f>
        <v>0.06</v>
      </c>
      <c r="BS12" s="5014">
        <f>'IS(Q)'!BS44</f>
        <v>0.06</v>
      </c>
      <c r="BT12" s="5015">
        <f>'IS(Q)'!BT44</f>
        <v>0.06</v>
      </c>
      <c r="BU12" s="5015">
        <f>'IS(Q)'!BU44</f>
        <v>0.06</v>
      </c>
      <c r="BV12" s="5016">
        <f>'IS(Q)'!BV44</f>
        <v>0.06</v>
      </c>
      <c r="BW12" s="5014">
        <f>'IS(Q)'!BW44</f>
        <v>0.06</v>
      </c>
      <c r="BX12" s="5015">
        <f>'IS(Q)'!BX44</f>
        <v>0.06</v>
      </c>
      <c r="BY12" s="5015">
        <f>'IS(Q)'!BY44</f>
        <v>0.06</v>
      </c>
      <c r="BZ12" s="5016">
        <f>'IS(Q)'!BZ44</f>
        <v>0.06</v>
      </c>
      <c r="CA12" s="5014">
        <f>'IS(Q)'!CA44</f>
        <v>0.06</v>
      </c>
      <c r="CB12" s="5015">
        <f>'IS(Q)'!CB44</f>
        <v>0.06</v>
      </c>
      <c r="CC12" s="5015">
        <f>'IS(Q)'!CC44</f>
        <v>0.06</v>
      </c>
      <c r="CD12" s="5016">
        <f>'IS(Q)'!CD44</f>
        <v>0.06</v>
      </c>
      <c r="CE12" s="5014">
        <f>'IS(Q)'!CE44</f>
        <v>0.06</v>
      </c>
      <c r="CF12" s="5015">
        <f>'IS(Q)'!CF44</f>
        <v>0.06</v>
      </c>
      <c r="CG12" s="5015">
        <f>'IS(Q)'!CG44</f>
        <v>0.06</v>
      </c>
      <c r="CH12" s="5016">
        <f>'IS(Q)'!CH44</f>
        <v>0.06</v>
      </c>
      <c r="CI12" s="5014">
        <f>'IS(Q)'!CI44</f>
        <v>0.06</v>
      </c>
      <c r="CJ12" s="5015">
        <f>'IS(Q)'!CJ44</f>
        <v>0.06</v>
      </c>
      <c r="CK12" s="5015">
        <f>'IS(Q)'!CK44</f>
        <v>0.06</v>
      </c>
      <c r="CL12" s="5016">
        <f>'IS(Q)'!CL44</f>
        <v>0.06</v>
      </c>
      <c r="CM12" s="5014">
        <f>'IS(Q)'!CM44</f>
        <v>0.06</v>
      </c>
      <c r="CN12" s="5015">
        <f>'IS(Q)'!CN44</f>
        <v>0.06</v>
      </c>
      <c r="CO12" s="5015">
        <f>'IS(Q)'!CO44</f>
        <v>0.06</v>
      </c>
      <c r="CP12" s="5016">
        <f>'IS(Q)'!CP44</f>
        <v>0.06</v>
      </c>
      <c r="CQ12" s="5014">
        <f>'IS(Q)'!CQ44</f>
        <v>0.06</v>
      </c>
      <c r="CR12" s="5015">
        <f>'IS(Q)'!CR44</f>
        <v>0.06</v>
      </c>
      <c r="CS12" s="5015">
        <f>'IS(Q)'!CS44</f>
        <v>0.06</v>
      </c>
      <c r="CT12" s="5016">
        <f>'IS(Q)'!CT44</f>
        <v>0.06</v>
      </c>
      <c r="CU12" s="5014">
        <f>'IS(Q)'!CU44</f>
        <v>0.06</v>
      </c>
      <c r="CV12" s="5015">
        <f>'IS(Q)'!CV44</f>
        <v>0.06</v>
      </c>
      <c r="CW12" s="5015">
        <f>'IS(Q)'!CW44</f>
        <v>0.06</v>
      </c>
      <c r="CX12" s="5016">
        <f>'IS(Q)'!CX44</f>
        <v>0.06</v>
      </c>
      <c r="CY12" s="5014">
        <f>'IS(Q)'!CY44</f>
        <v>0.06</v>
      </c>
      <c r="CZ12" s="5015">
        <f>'IS(Q)'!CZ44</f>
        <v>0.06</v>
      </c>
      <c r="DA12" s="5015">
        <f>'IS(Q)'!DA44</f>
        <v>0.06</v>
      </c>
      <c r="DB12" s="5016">
        <f>'IS(Q)'!DB44</f>
        <v>0.06</v>
      </c>
      <c r="DC12" s="5014">
        <f>'IS(Q)'!DC44</f>
        <v>0.06</v>
      </c>
      <c r="DD12" s="5015">
        <f>'IS(Q)'!DD44</f>
        <v>0.06</v>
      </c>
      <c r="DE12" s="5015">
        <f>'IS(Q)'!DE44</f>
        <v>0.06</v>
      </c>
      <c r="DF12" s="5016">
        <f>'IS(Q)'!DF44</f>
        <v>0.06</v>
      </c>
      <c r="DG12" s="5014">
        <f>'IS(Q)'!DG44</f>
        <v>0.06</v>
      </c>
      <c r="DH12" s="5015">
        <f>'IS(Q)'!DH44</f>
        <v>0.06</v>
      </c>
      <c r="DI12" s="5015">
        <f>'IS(Q)'!DI44</f>
        <v>0.06</v>
      </c>
      <c r="DJ12" s="5016">
        <f>'IS(Q)'!DJ44</f>
        <v>0.06</v>
      </c>
      <c r="DK12" s="5014">
        <f>'IS(Q)'!DK44</f>
        <v>0.06</v>
      </c>
      <c r="DL12" s="5015">
        <f>'IS(Q)'!DL44</f>
        <v>0.06</v>
      </c>
      <c r="DM12" s="5015">
        <f>'IS(Q)'!DM44</f>
        <v>0.06</v>
      </c>
      <c r="DN12" s="5016">
        <f>'IS(Q)'!DN44</f>
        <v>0.06</v>
      </c>
      <c r="DO12" s="5014">
        <f>'IS(Q)'!DO44</f>
        <v>0.06</v>
      </c>
      <c r="DP12" s="5015">
        <f>'IS(Q)'!DP44</f>
        <v>0.06</v>
      </c>
      <c r="DQ12" s="5015">
        <f>'IS(Q)'!DQ44</f>
        <v>0.06</v>
      </c>
      <c r="DR12" s="5016">
        <f>'IS(Q)'!DR44</f>
        <v>0.06</v>
      </c>
      <c r="DS12" s="5014">
        <f>'IS(Q)'!DS44</f>
        <v>0.06</v>
      </c>
      <c r="DT12" s="5015">
        <f>'IS(Q)'!DT44</f>
        <v>0.06</v>
      </c>
      <c r="DU12" s="5015">
        <f>'IS(Q)'!DU44</f>
        <v>0.06</v>
      </c>
      <c r="DV12" s="5016">
        <f>'IS(Q)'!DV44</f>
        <v>0.06</v>
      </c>
      <c r="DW12" s="5014">
        <f>'IS(Q)'!DW44</f>
        <v>0.06</v>
      </c>
      <c r="DX12" s="5015">
        <f>'IS(Q)'!DX44</f>
        <v>0.06</v>
      </c>
      <c r="DY12" s="5015">
        <f>'IS(Q)'!DY44</f>
        <v>0.06</v>
      </c>
      <c r="DZ12" s="5016">
        <f>'IS(Q)'!DZ44</f>
        <v>0.06</v>
      </c>
      <c r="EA12" s="5014">
        <f>'IS(Q)'!EA44</f>
        <v>0.06</v>
      </c>
      <c r="EB12" s="5015">
        <f>'IS(Q)'!EB44</f>
        <v>0.06</v>
      </c>
      <c r="EC12" s="5015">
        <f>'IS(Q)'!EC44</f>
        <v>0.06</v>
      </c>
      <c r="ED12" s="5016">
        <f>'IS(Q)'!ED44</f>
        <v>0.06</v>
      </c>
      <c r="EE12" s="5014">
        <f>'IS(Q)'!EE44</f>
        <v>0.06</v>
      </c>
      <c r="EF12" s="5015">
        <f>'IS(Q)'!EF44</f>
        <v>0.06</v>
      </c>
      <c r="EG12" s="5015">
        <f>'IS(Q)'!EG44</f>
        <v>0.06</v>
      </c>
      <c r="EH12" s="5016">
        <f>'IS(Q)'!EH44</f>
        <v>0.06</v>
      </c>
      <c r="EI12" s="5014">
        <f>'IS(Q)'!EI44</f>
        <v>0.06</v>
      </c>
      <c r="EJ12" s="5015">
        <f>'IS(Q)'!EJ44</f>
        <v>0.06</v>
      </c>
      <c r="EK12" s="5015">
        <f>'IS(Q)'!EK44</f>
        <v>0.06</v>
      </c>
      <c r="EL12" s="5016">
        <f>'IS(Q)'!EL44</f>
        <v>0.06</v>
      </c>
      <c r="EM12" s="5014">
        <f>'IS(Q)'!EM44</f>
        <v>0.06</v>
      </c>
      <c r="EN12" s="5015">
        <f>'IS(Q)'!EN44</f>
        <v>0.06</v>
      </c>
      <c r="EO12" s="5015">
        <f>'IS(Q)'!EO44</f>
        <v>0.06</v>
      </c>
      <c r="EP12" s="5016">
        <f>'IS(Q)'!EP44</f>
        <v>0.06</v>
      </c>
      <c r="EQ12" s="5014">
        <f>'IS(Q)'!EQ44</f>
        <v>0.06</v>
      </c>
      <c r="ER12" s="5015">
        <f>'IS(Q)'!ER44</f>
        <v>0.06</v>
      </c>
      <c r="ES12" s="5015">
        <f>'IS(Q)'!ES44</f>
        <v>0.06</v>
      </c>
      <c r="ET12" s="5016">
        <f>'IS(Q)'!ET44</f>
        <v>0.06</v>
      </c>
      <c r="EU12" s="5014">
        <f>'IS(Q)'!EU44</f>
        <v>0.06</v>
      </c>
      <c r="EV12" s="5015">
        <f>'IS(Q)'!EV44</f>
        <v>0.06</v>
      </c>
      <c r="EW12" s="5015">
        <f>'IS(Q)'!EW44</f>
        <v>0.06</v>
      </c>
      <c r="EX12" s="5016">
        <f>'IS(Q)'!EX44</f>
        <v>0.06</v>
      </c>
      <c r="EY12" s="5014">
        <f>'IS(Q)'!EY44</f>
        <v>0.06</v>
      </c>
      <c r="EZ12" s="5015">
        <f>'IS(Q)'!EZ44</f>
        <v>0.06</v>
      </c>
      <c r="FA12" s="5015">
        <f>'IS(Q)'!FA44</f>
        <v>0.06</v>
      </c>
      <c r="FB12" s="5016">
        <f>'IS(Q)'!FB44</f>
        <v>0.06</v>
      </c>
      <c r="FC12" s="5014">
        <f>'IS(Q)'!FC44</f>
        <v>0.06</v>
      </c>
      <c r="FD12" s="5015">
        <f>'IS(Q)'!FD44</f>
        <v>0.06</v>
      </c>
      <c r="FE12" s="5015">
        <f>'IS(Q)'!FE44</f>
        <v>0.06</v>
      </c>
      <c r="FF12" s="5016">
        <f>'IS(Q)'!FF44</f>
        <v>0.06</v>
      </c>
      <c r="FG12" s="5014">
        <f>'IS(Q)'!FG44</f>
        <v>0.06</v>
      </c>
      <c r="FH12" s="5015">
        <f>'IS(Q)'!FH44</f>
        <v>0.06</v>
      </c>
      <c r="FI12" s="5015">
        <f>'IS(Q)'!FI44</f>
        <v>0.06</v>
      </c>
      <c r="FJ12" s="5016">
        <f>'IS(Q)'!FJ44</f>
        <v>0.06</v>
      </c>
      <c r="FK12" s="5014">
        <f>'IS(Q)'!FK44</f>
        <v>0.06</v>
      </c>
      <c r="FL12" s="5015">
        <f>'IS(Q)'!FL44</f>
        <v>0.06</v>
      </c>
      <c r="FM12" s="5015">
        <f>'IS(Q)'!FM44</f>
        <v>0</v>
      </c>
      <c r="FN12" s="5016">
        <f>'IS(Q)'!FN44</f>
        <v>0</v>
      </c>
      <c r="FO12" s="5014">
        <f>'IS(Q)'!FO44</f>
        <v>0</v>
      </c>
      <c r="FP12" s="5015">
        <f>'IS(Q)'!FP44</f>
        <v>0</v>
      </c>
      <c r="FQ12" s="5015">
        <f>'IS(Q)'!FQ44</f>
        <v>0</v>
      </c>
      <c r="FR12" s="5016">
        <f>'IS(Q)'!FR44</f>
        <v>0</v>
      </c>
      <c r="FS12" s="5014">
        <f>'IS(Q)'!FS44</f>
        <v>0</v>
      </c>
      <c r="FT12" s="5015">
        <f>'IS(Q)'!FT44</f>
        <v>0</v>
      </c>
      <c r="FU12" s="5015">
        <f>'IS(Q)'!FU44</f>
        <v>0</v>
      </c>
      <c r="FV12" s="5016">
        <f>'IS(Q)'!FV44</f>
        <v>0</v>
      </c>
      <c r="FW12" s="5014">
        <f>'IS(Q)'!FW44</f>
        <v>0</v>
      </c>
      <c r="FX12" s="5015">
        <f>'IS(Q)'!FX44</f>
        <v>0</v>
      </c>
      <c r="FY12" s="5015">
        <f>'IS(Q)'!FY44</f>
        <v>0</v>
      </c>
      <c r="FZ12" s="5016">
        <f>'IS(Q)'!FZ44</f>
        <v>0</v>
      </c>
      <c r="GA12" s="1279"/>
      <c r="GB12" s="1280"/>
      <c r="GC12" s="1280"/>
      <c r="GD12" s="1281"/>
    </row>
    <row r="13" spans="1:190" ht="17.100000000000001" customHeight="1">
      <c r="B13" s="307"/>
      <c r="D13" s="1274" t="str">
        <f t="shared" si="13"/>
        <v>4번선석 임대</v>
      </c>
      <c r="E13" s="742"/>
      <c r="F13" s="1207">
        <f t="shared" ca="1" si="12"/>
        <v>793.45799953283131</v>
      </c>
      <c r="G13" s="1275">
        <f>'IS(Q)'!G45</f>
        <v>5.01</v>
      </c>
      <c r="H13" s="1276">
        <f>'IS(Q)'!H45</f>
        <v>5.0190000000000001</v>
      </c>
      <c r="I13" s="1276">
        <f>'IS(Q)'!I45</f>
        <v>5.0190000000000001</v>
      </c>
      <c r="J13" s="1277">
        <f>'IS(Q)'!J45</f>
        <v>4.97</v>
      </c>
      <c r="K13" s="1278">
        <f>'IS(Q)'!K45</f>
        <v>5.01</v>
      </c>
      <c r="L13" s="1276">
        <f>'IS(Q)'!L45</f>
        <v>5.01</v>
      </c>
      <c r="M13" s="1276">
        <f>'IS(Q)'!M45</f>
        <v>5.01</v>
      </c>
      <c r="N13" s="1277">
        <f>'IS(Q)'!N45</f>
        <v>4.97</v>
      </c>
      <c r="O13" s="1279">
        <f>'IS(Q)'!O45</f>
        <v>5.25</v>
      </c>
      <c r="P13" s="1280">
        <f>'IS(Q)'!P45</f>
        <v>5.25</v>
      </c>
      <c r="Q13" s="1280">
        <f>'IS(Q)'!Q45</f>
        <v>5.25</v>
      </c>
      <c r="R13" s="1281">
        <f>'IS(Q)'!R45</f>
        <v>5.25</v>
      </c>
      <c r="S13" s="1279">
        <f>'IS(Q)'!S45</f>
        <v>5.25</v>
      </c>
      <c r="T13" s="1280">
        <f>'IS(Q)'!T45</f>
        <v>5.25</v>
      </c>
      <c r="U13" s="1280">
        <f>'IS(Q)'!U45</f>
        <v>5.25</v>
      </c>
      <c r="V13" s="1281">
        <f>'IS(Q)'!V45</f>
        <v>5.25</v>
      </c>
      <c r="W13" s="1279">
        <f ca="1">'IS(Q)'!W45</f>
        <v>5.25</v>
      </c>
      <c r="X13" s="1280">
        <f ca="1">'IS(Q)'!X45</f>
        <v>5.25</v>
      </c>
      <c r="Y13" s="1280">
        <f ca="1">'IS(Q)'!Y45</f>
        <v>5.25</v>
      </c>
      <c r="Z13" s="1281">
        <f ca="1">'IS(Q)'!Z45</f>
        <v>5.25</v>
      </c>
      <c r="AA13" s="1279">
        <f ca="1">'IS(Q)'!AA45</f>
        <v>5.5125000000000002</v>
      </c>
      <c r="AB13" s="1280">
        <f ca="1">'IS(Q)'!AB45</f>
        <v>5.5125000000000002</v>
      </c>
      <c r="AC13" s="1280">
        <f ca="1">'IS(Q)'!AC45</f>
        <v>5.5125000000000002</v>
      </c>
      <c r="AD13" s="1281">
        <f ca="1">'IS(Q)'!AD45</f>
        <v>5.5125000000000002</v>
      </c>
      <c r="AE13" s="1279">
        <f ca="1">'IS(Q)'!AE45</f>
        <v>3.8587500000000001</v>
      </c>
      <c r="AF13" s="1280">
        <f ca="1">'IS(Q)'!AF45</f>
        <v>3.8587500000000001</v>
      </c>
      <c r="AG13" s="1280">
        <f ca="1">'IS(Q)'!AG45</f>
        <v>3.8587500000000001</v>
      </c>
      <c r="AH13" s="1281">
        <f ca="1">'IS(Q)'!AH45</f>
        <v>3.8587500000000001</v>
      </c>
      <c r="AI13" s="1279">
        <f ca="1">'IS(Q)'!AI45</f>
        <v>3.8587500000000001</v>
      </c>
      <c r="AJ13" s="1280">
        <f ca="1">'IS(Q)'!AJ45</f>
        <v>3.8587500000000001</v>
      </c>
      <c r="AK13" s="1280">
        <f ca="1">'IS(Q)'!AK45</f>
        <v>3.8587500000000001</v>
      </c>
      <c r="AL13" s="1281">
        <f ca="1">'IS(Q)'!AL45</f>
        <v>3.8587500000000001</v>
      </c>
      <c r="AM13" s="1279">
        <f ca="1">'IS(Q)'!AM45</f>
        <v>4.0516875000000008</v>
      </c>
      <c r="AN13" s="1280">
        <f ca="1">'IS(Q)'!AN45</f>
        <v>4.0516875000000008</v>
      </c>
      <c r="AO13" s="1280">
        <f ca="1">'IS(Q)'!AO45</f>
        <v>4.0516875000000008</v>
      </c>
      <c r="AP13" s="1281">
        <f ca="1">'IS(Q)'!AP45</f>
        <v>4.0516875000000008</v>
      </c>
      <c r="AQ13" s="1279">
        <f ca="1">'IS(Q)'!AQ45</f>
        <v>4.0516875000000008</v>
      </c>
      <c r="AR13" s="1280">
        <f ca="1">'IS(Q)'!AR45</f>
        <v>4.0516875000000008</v>
      </c>
      <c r="AS13" s="1280">
        <f ca="1">'IS(Q)'!AS45</f>
        <v>4.0516875000000008</v>
      </c>
      <c r="AT13" s="1281">
        <f ca="1">'IS(Q)'!AT45</f>
        <v>4.0516875000000008</v>
      </c>
      <c r="AU13" s="1279">
        <f ca="1">'IS(Q)'!AU45</f>
        <v>4.0516875000000008</v>
      </c>
      <c r="AV13" s="1280">
        <f ca="1">'IS(Q)'!AV45</f>
        <v>4.0516875000000008</v>
      </c>
      <c r="AW13" s="1280">
        <f ca="1">'IS(Q)'!AW45</f>
        <v>4.0516875000000008</v>
      </c>
      <c r="AX13" s="1281">
        <f ca="1">'IS(Q)'!AX45</f>
        <v>4.0516875000000008</v>
      </c>
      <c r="AY13" s="1279">
        <f ca="1">'IS(Q)'!AY45</f>
        <v>4.2542718749999997</v>
      </c>
      <c r="AZ13" s="1280">
        <f ca="1">'IS(Q)'!AZ45</f>
        <v>4.2542718749999997</v>
      </c>
      <c r="BA13" s="1280">
        <f ca="1">'IS(Q)'!BA45</f>
        <v>4.2542718749999997</v>
      </c>
      <c r="BB13" s="1281">
        <f ca="1">'IS(Q)'!BB45</f>
        <v>4.2542718749999997</v>
      </c>
      <c r="BC13" s="1279">
        <f ca="1">'IS(Q)'!BC45</f>
        <v>4.2542718749999997</v>
      </c>
      <c r="BD13" s="1280">
        <f ca="1">'IS(Q)'!BD45</f>
        <v>4.2542718749999997</v>
      </c>
      <c r="BE13" s="1280">
        <f ca="1">'IS(Q)'!BE45</f>
        <v>4.2542718749999997</v>
      </c>
      <c r="BF13" s="1281">
        <f ca="1">'IS(Q)'!BF45</f>
        <v>4.2542718749999997</v>
      </c>
      <c r="BG13" s="1279">
        <f ca="1">'IS(Q)'!BG45</f>
        <v>4.2542718749999997</v>
      </c>
      <c r="BH13" s="1280">
        <f ca="1">'IS(Q)'!BH45</f>
        <v>4.2542718749999997</v>
      </c>
      <c r="BI13" s="1280">
        <f ca="1">'IS(Q)'!BI45</f>
        <v>4.2542718749999997</v>
      </c>
      <c r="BJ13" s="1281">
        <f ca="1">'IS(Q)'!BJ45</f>
        <v>4.2542718749999997</v>
      </c>
      <c r="BK13" s="1279">
        <f ca="1">'IS(Q)'!BK45</f>
        <v>4.4669854687500008</v>
      </c>
      <c r="BL13" s="1280">
        <f ca="1">'IS(Q)'!BL45</f>
        <v>4.4669854687500008</v>
      </c>
      <c r="BM13" s="1280">
        <f ca="1">'IS(Q)'!BM45</f>
        <v>4.4669854687500008</v>
      </c>
      <c r="BN13" s="1281">
        <f ca="1">'IS(Q)'!BN45</f>
        <v>4.4669854687500008</v>
      </c>
      <c r="BO13" s="1279">
        <f ca="1">'IS(Q)'!BO45</f>
        <v>4.4669854687500008</v>
      </c>
      <c r="BP13" s="1280">
        <f ca="1">'IS(Q)'!BP45</f>
        <v>4.4669854687500008</v>
      </c>
      <c r="BQ13" s="1280">
        <f ca="1">'IS(Q)'!BQ45</f>
        <v>4.4669854687500008</v>
      </c>
      <c r="BR13" s="1281">
        <f ca="1">'IS(Q)'!BR45</f>
        <v>4.4669854687500008</v>
      </c>
      <c r="BS13" s="1279">
        <f ca="1">'IS(Q)'!BS45</f>
        <v>4.4669854687500008</v>
      </c>
      <c r="BT13" s="1280">
        <f ca="1">'IS(Q)'!BT45</f>
        <v>4.4669854687500008</v>
      </c>
      <c r="BU13" s="1280">
        <f ca="1">'IS(Q)'!BU45</f>
        <v>4.4669854687500008</v>
      </c>
      <c r="BV13" s="1281">
        <f ca="1">'IS(Q)'!BV45</f>
        <v>4.4669854687500008</v>
      </c>
      <c r="BW13" s="1279">
        <f ca="1">'IS(Q)'!BW45</f>
        <v>4.6903347421875017</v>
      </c>
      <c r="BX13" s="1280">
        <f ca="1">'IS(Q)'!BX45</f>
        <v>4.6903347421875017</v>
      </c>
      <c r="BY13" s="1280">
        <f ca="1">'IS(Q)'!BY45</f>
        <v>4.6903347421875017</v>
      </c>
      <c r="BZ13" s="1281">
        <f ca="1">'IS(Q)'!BZ45</f>
        <v>4.6903347421875017</v>
      </c>
      <c r="CA13" s="1279">
        <f ca="1">'IS(Q)'!CA45</f>
        <v>4.6903347421875017</v>
      </c>
      <c r="CB13" s="1280">
        <f ca="1">'IS(Q)'!CB45</f>
        <v>4.6903347421875017</v>
      </c>
      <c r="CC13" s="1280">
        <f ca="1">'IS(Q)'!CC45</f>
        <v>4.6903347421875017</v>
      </c>
      <c r="CD13" s="1281">
        <f ca="1">'IS(Q)'!CD45</f>
        <v>4.6903347421875017</v>
      </c>
      <c r="CE13" s="1279">
        <f ca="1">'IS(Q)'!CE45</f>
        <v>4.6903347421875017</v>
      </c>
      <c r="CF13" s="1280">
        <f ca="1">'IS(Q)'!CF45</f>
        <v>4.6903347421875017</v>
      </c>
      <c r="CG13" s="1280">
        <f ca="1">'IS(Q)'!CG45</f>
        <v>4.6903347421875017</v>
      </c>
      <c r="CH13" s="1281">
        <f ca="1">'IS(Q)'!CH45</f>
        <v>4.6903347421875017</v>
      </c>
      <c r="CI13" s="1279">
        <f ca="1">'IS(Q)'!CI45</f>
        <v>4.9248514792968763</v>
      </c>
      <c r="CJ13" s="1280">
        <f ca="1">'IS(Q)'!CJ45</f>
        <v>4.9248514792968763</v>
      </c>
      <c r="CK13" s="1280">
        <f ca="1">'IS(Q)'!CK45</f>
        <v>4.9248514792968763</v>
      </c>
      <c r="CL13" s="1281">
        <f ca="1">'IS(Q)'!CL45</f>
        <v>4.9248514792968763</v>
      </c>
      <c r="CM13" s="1279">
        <f ca="1">'IS(Q)'!CM45</f>
        <v>4.9248514792968763</v>
      </c>
      <c r="CN13" s="1280">
        <f ca="1">'IS(Q)'!CN45</f>
        <v>4.9248514792968763</v>
      </c>
      <c r="CO13" s="1280">
        <f ca="1">'IS(Q)'!CO45</f>
        <v>4.9248514792968763</v>
      </c>
      <c r="CP13" s="1281">
        <f ca="1">'IS(Q)'!CP45</f>
        <v>4.9248514792968763</v>
      </c>
      <c r="CQ13" s="1279">
        <f ca="1">'IS(Q)'!CQ45</f>
        <v>4.9248514792968763</v>
      </c>
      <c r="CR13" s="1280">
        <f ca="1">'IS(Q)'!CR45</f>
        <v>4.9248514792968763</v>
      </c>
      <c r="CS13" s="1280">
        <f ca="1">'IS(Q)'!CS45</f>
        <v>4.9248514792968763</v>
      </c>
      <c r="CT13" s="1281">
        <f ca="1">'IS(Q)'!CT45</f>
        <v>4.9248514792968763</v>
      </c>
      <c r="CU13" s="1279">
        <f ca="1">'IS(Q)'!CU45</f>
        <v>5.1710940532617204</v>
      </c>
      <c r="CV13" s="1280">
        <f ca="1">'IS(Q)'!CV45</f>
        <v>5.1710940532617204</v>
      </c>
      <c r="CW13" s="1280">
        <f ca="1">'IS(Q)'!CW45</f>
        <v>5.1710940532617204</v>
      </c>
      <c r="CX13" s="1281">
        <f ca="1">'IS(Q)'!CX45</f>
        <v>5.1710940532617204</v>
      </c>
      <c r="CY13" s="1279">
        <f ca="1">'IS(Q)'!CY45</f>
        <v>5.1710940532617204</v>
      </c>
      <c r="CZ13" s="1280">
        <f ca="1">'IS(Q)'!CZ45</f>
        <v>5.1710940532617204</v>
      </c>
      <c r="DA13" s="1280">
        <f ca="1">'IS(Q)'!DA45</f>
        <v>5.1710940532617204</v>
      </c>
      <c r="DB13" s="1281">
        <f ca="1">'IS(Q)'!DB45</f>
        <v>5.1710940532617204</v>
      </c>
      <c r="DC13" s="1279">
        <f ca="1">'IS(Q)'!DC45</f>
        <v>5.1710940532617204</v>
      </c>
      <c r="DD13" s="1280">
        <f ca="1">'IS(Q)'!DD45</f>
        <v>5.1710940532617204</v>
      </c>
      <c r="DE13" s="1280">
        <f ca="1">'IS(Q)'!DE45</f>
        <v>5.1710940532617204</v>
      </c>
      <c r="DF13" s="1281">
        <f ca="1">'IS(Q)'!DF45</f>
        <v>5.1710940532617204</v>
      </c>
      <c r="DG13" s="1279">
        <f ca="1">'IS(Q)'!DG45</f>
        <v>5.4296487559248066</v>
      </c>
      <c r="DH13" s="1280">
        <f ca="1">'IS(Q)'!DH45</f>
        <v>5.4296487559248066</v>
      </c>
      <c r="DI13" s="1280">
        <f ca="1">'IS(Q)'!DI45</f>
        <v>5.4296487559248066</v>
      </c>
      <c r="DJ13" s="1281">
        <f ca="1">'IS(Q)'!DJ45</f>
        <v>5.4296487559248066</v>
      </c>
      <c r="DK13" s="1279">
        <f ca="1">'IS(Q)'!DK45</f>
        <v>5.4296487559248066</v>
      </c>
      <c r="DL13" s="1280">
        <f ca="1">'IS(Q)'!DL45</f>
        <v>5.4296487559248066</v>
      </c>
      <c r="DM13" s="1280">
        <f ca="1">'IS(Q)'!DM45</f>
        <v>5.4296487559248066</v>
      </c>
      <c r="DN13" s="1281">
        <f ca="1">'IS(Q)'!DN45</f>
        <v>5.4296487559248066</v>
      </c>
      <c r="DO13" s="1279">
        <f ca="1">'IS(Q)'!DO45</f>
        <v>5.4296487559248066</v>
      </c>
      <c r="DP13" s="1280">
        <f ca="1">'IS(Q)'!DP45</f>
        <v>5.4296487559248066</v>
      </c>
      <c r="DQ13" s="1280">
        <f ca="1">'IS(Q)'!DQ45</f>
        <v>5.4296487559248066</v>
      </c>
      <c r="DR13" s="1281">
        <f ca="1">'IS(Q)'!DR45</f>
        <v>5.4296487559248066</v>
      </c>
      <c r="DS13" s="1279">
        <f ca="1">'IS(Q)'!DS45</f>
        <v>5.7011311937210465</v>
      </c>
      <c r="DT13" s="1280">
        <f ca="1">'IS(Q)'!DT45</f>
        <v>5.7011311937210465</v>
      </c>
      <c r="DU13" s="1280">
        <f ca="1">'IS(Q)'!DU45</f>
        <v>5.7011311937210465</v>
      </c>
      <c r="DV13" s="1281">
        <f ca="1">'IS(Q)'!DV45</f>
        <v>5.7011311937210465</v>
      </c>
      <c r="DW13" s="1279">
        <f ca="1">'IS(Q)'!DW45</f>
        <v>5.7011311937210465</v>
      </c>
      <c r="DX13" s="1280">
        <f ca="1">'IS(Q)'!DX45</f>
        <v>5.7011311937210465</v>
      </c>
      <c r="DY13" s="1280">
        <f ca="1">'IS(Q)'!DY45</f>
        <v>5.7011311937210465</v>
      </c>
      <c r="DZ13" s="1281">
        <f ca="1">'IS(Q)'!DZ45</f>
        <v>5.7011311937210465</v>
      </c>
      <c r="EA13" s="1279">
        <f ca="1">'IS(Q)'!EA45</f>
        <v>5.7011311937210465</v>
      </c>
      <c r="EB13" s="1280">
        <f ca="1">'IS(Q)'!EB45</f>
        <v>5.7011311937210465</v>
      </c>
      <c r="EC13" s="1280">
        <f ca="1">'IS(Q)'!EC45</f>
        <v>5.7011311937210465</v>
      </c>
      <c r="ED13" s="1281">
        <f ca="1">'IS(Q)'!ED45</f>
        <v>5.7011311937210465</v>
      </c>
      <c r="EE13" s="1279">
        <f ca="1">'IS(Q)'!EE45</f>
        <v>5.9861877534070995</v>
      </c>
      <c r="EF13" s="1280">
        <f ca="1">'IS(Q)'!EF45</f>
        <v>5.9861877534070995</v>
      </c>
      <c r="EG13" s="1280">
        <f ca="1">'IS(Q)'!EG45</f>
        <v>5.9861877534070995</v>
      </c>
      <c r="EH13" s="1281">
        <f ca="1">'IS(Q)'!EH45</f>
        <v>5.9861877534070995</v>
      </c>
      <c r="EI13" s="1279">
        <f ca="1">'IS(Q)'!EI45</f>
        <v>5.9861877534070995</v>
      </c>
      <c r="EJ13" s="1280">
        <f ca="1">'IS(Q)'!EJ45</f>
        <v>5.9861877534070995</v>
      </c>
      <c r="EK13" s="1280">
        <f ca="1">'IS(Q)'!EK45</f>
        <v>5.9861877534070995</v>
      </c>
      <c r="EL13" s="1281">
        <f ca="1">'IS(Q)'!EL45</f>
        <v>5.9861877534070995</v>
      </c>
      <c r="EM13" s="1279">
        <f ca="1">'IS(Q)'!EM45</f>
        <v>5.9861877534070995</v>
      </c>
      <c r="EN13" s="1280">
        <f ca="1">'IS(Q)'!EN45</f>
        <v>5.9861877534070995</v>
      </c>
      <c r="EO13" s="1280">
        <f ca="1">'IS(Q)'!EO45</f>
        <v>5.9861877534070995</v>
      </c>
      <c r="EP13" s="1281">
        <f ca="1">'IS(Q)'!EP45</f>
        <v>5.9861877534070995</v>
      </c>
      <c r="EQ13" s="1279">
        <f ca="1">'IS(Q)'!EQ45</f>
        <v>6.2854971410774558</v>
      </c>
      <c r="ER13" s="1280">
        <f ca="1">'IS(Q)'!ER45</f>
        <v>6.2854971410774558</v>
      </c>
      <c r="ES13" s="1280">
        <f ca="1">'IS(Q)'!ES45</f>
        <v>6.2854971410774558</v>
      </c>
      <c r="ET13" s="1281">
        <f ca="1">'IS(Q)'!ET45</f>
        <v>6.2854971410774558</v>
      </c>
      <c r="EU13" s="1279">
        <f ca="1">'IS(Q)'!EU45</f>
        <v>6.2854971410774558</v>
      </c>
      <c r="EV13" s="1280">
        <f ca="1">'IS(Q)'!EV45</f>
        <v>6.2854971410774558</v>
      </c>
      <c r="EW13" s="1280">
        <f ca="1">'IS(Q)'!EW45</f>
        <v>6.2854971410774558</v>
      </c>
      <c r="EX13" s="1281">
        <f ca="1">'IS(Q)'!EX45</f>
        <v>6.2854971410774558</v>
      </c>
      <c r="EY13" s="1279">
        <f ca="1">'IS(Q)'!EY45</f>
        <v>6.2854971410774558</v>
      </c>
      <c r="EZ13" s="1280">
        <f ca="1">'IS(Q)'!EZ45</f>
        <v>6.2854971410774558</v>
      </c>
      <c r="FA13" s="1280">
        <f ca="1">'IS(Q)'!FA45</f>
        <v>6.2854971410774558</v>
      </c>
      <c r="FB13" s="1281">
        <f ca="1">'IS(Q)'!FB45</f>
        <v>6.2854971410774558</v>
      </c>
      <c r="FC13" s="1279">
        <f ca="1">'IS(Q)'!FC45</f>
        <v>6.5997719981313274</v>
      </c>
      <c r="FD13" s="1280">
        <f ca="1">'IS(Q)'!FD45</f>
        <v>6.5997719981313274</v>
      </c>
      <c r="FE13" s="1280">
        <f ca="1">'IS(Q)'!FE45</f>
        <v>6.5997719981313274</v>
      </c>
      <c r="FF13" s="1281">
        <f ca="1">'IS(Q)'!FF45</f>
        <v>6.5997719981313274</v>
      </c>
      <c r="FG13" s="1279">
        <f ca="1">'IS(Q)'!FG45</f>
        <v>6.5997719981313274</v>
      </c>
      <c r="FH13" s="1280">
        <f ca="1">'IS(Q)'!FH45</f>
        <v>6.5997719981313274</v>
      </c>
      <c r="FI13" s="1280">
        <f ca="1">'IS(Q)'!FI45</f>
        <v>6.5997719981313274</v>
      </c>
      <c r="FJ13" s="1281">
        <f ca="1">'IS(Q)'!FJ45</f>
        <v>6.5997719981313274</v>
      </c>
      <c r="FK13" s="1279">
        <f ca="1">'IS(Q)'!FK45</f>
        <v>6.5997719981313274</v>
      </c>
      <c r="FL13" s="1280">
        <f ca="1">'IS(Q)'!FL45</f>
        <v>6.5997719981313274</v>
      </c>
      <c r="FM13" s="1280">
        <f ca="1">'IS(Q)'!FM45</f>
        <v>0</v>
      </c>
      <c r="FN13" s="1281">
        <f ca="1">'IS(Q)'!FN45</f>
        <v>0</v>
      </c>
      <c r="FO13" s="1279">
        <f>'IS(Q)'!FO45</f>
        <v>0</v>
      </c>
      <c r="FP13" s="1280">
        <f>'IS(Q)'!FP45</f>
        <v>0</v>
      </c>
      <c r="FQ13" s="1280">
        <f>'IS(Q)'!FQ45</f>
        <v>0</v>
      </c>
      <c r="FR13" s="1281">
        <f>'IS(Q)'!FR45</f>
        <v>0</v>
      </c>
      <c r="FS13" s="1279">
        <f>'IS(Q)'!FS45</f>
        <v>0</v>
      </c>
      <c r="FT13" s="1280">
        <f>'IS(Q)'!FT45</f>
        <v>0</v>
      </c>
      <c r="FU13" s="1280">
        <f>'IS(Q)'!FU45</f>
        <v>0</v>
      </c>
      <c r="FV13" s="1281">
        <f>'IS(Q)'!FV45</f>
        <v>0</v>
      </c>
      <c r="FW13" s="1279">
        <f>'IS(Q)'!FW45</f>
        <v>0</v>
      </c>
      <c r="FX13" s="1280">
        <f>'IS(Q)'!FX45</f>
        <v>0</v>
      </c>
      <c r="FY13" s="1280">
        <f>'IS(Q)'!FY45</f>
        <v>0</v>
      </c>
      <c r="FZ13" s="1281">
        <f>'IS(Q)'!FZ45</f>
        <v>0</v>
      </c>
      <c r="GA13" s="1279"/>
      <c r="GB13" s="1280"/>
      <c r="GC13" s="1280"/>
      <c r="GD13" s="1281"/>
    </row>
    <row r="14" spans="1:190" ht="17.100000000000001" customHeight="1">
      <c r="B14" s="307"/>
      <c r="D14" s="1274" t="str">
        <f t="shared" si="13"/>
        <v>광석부두임대</v>
      </c>
      <c r="E14" s="742" t="s">
        <v>1236</v>
      </c>
      <c r="F14" s="1207">
        <f t="shared" si="12"/>
        <v>0</v>
      </c>
      <c r="G14" s="1275">
        <f>'IS(Q)'!G46</f>
        <v>27.86771049</v>
      </c>
      <c r="H14" s="1276">
        <f>'IS(Q)'!H46</f>
        <v>12.18445157</v>
      </c>
      <c r="I14" s="1276">
        <f>'IS(Q)'!I46</f>
        <v>0</v>
      </c>
      <c r="J14" s="1277">
        <f>'IS(Q)'!J46</f>
        <v>-46.97999866</v>
      </c>
      <c r="K14" s="1278">
        <f>'IS(Q)'!K46</f>
        <v>12.2546</v>
      </c>
      <c r="L14" s="1276">
        <f>'IS(Q)'!L46</f>
        <v>0</v>
      </c>
      <c r="M14" s="1276">
        <f>'IS(Q)'!M46</f>
        <v>0</v>
      </c>
      <c r="N14" s="1277">
        <f>'IS(Q)'!N46</f>
        <v>0</v>
      </c>
      <c r="O14" s="1279">
        <f>'IS(Q)'!O46</f>
        <v>0</v>
      </c>
      <c r="P14" s="1280">
        <f>'IS(Q)'!P46</f>
        <v>0</v>
      </c>
      <c r="Q14" s="1280">
        <f>'IS(Q)'!Q46</f>
        <v>0</v>
      </c>
      <c r="R14" s="1281">
        <f>'IS(Q)'!R46</f>
        <v>0</v>
      </c>
      <c r="S14" s="1279">
        <f>'IS(Q)'!S46</f>
        <v>0</v>
      </c>
      <c r="T14" s="1280">
        <f>'IS(Q)'!T46</f>
        <v>0</v>
      </c>
      <c r="U14" s="1280">
        <f>'IS(Q)'!U46</f>
        <v>0</v>
      </c>
      <c r="V14" s="1281">
        <f>'IS(Q)'!V46</f>
        <v>0</v>
      </c>
      <c r="W14" s="1279">
        <f>'IS(Q)'!W46</f>
        <v>0</v>
      </c>
      <c r="X14" s="1280">
        <f>'IS(Q)'!X46</f>
        <v>0</v>
      </c>
      <c r="Y14" s="1280">
        <f>'IS(Q)'!Y46</f>
        <v>0</v>
      </c>
      <c r="Z14" s="1281">
        <f>'IS(Q)'!Z46</f>
        <v>0</v>
      </c>
      <c r="AA14" s="1279">
        <f>'IS(Q)'!AA46</f>
        <v>0</v>
      </c>
      <c r="AB14" s="1280">
        <f>'IS(Q)'!AB46</f>
        <v>0</v>
      </c>
      <c r="AC14" s="1280">
        <f>'IS(Q)'!AC46</f>
        <v>0</v>
      </c>
      <c r="AD14" s="1281">
        <f>'IS(Q)'!AD46</f>
        <v>0</v>
      </c>
      <c r="AE14" s="1279">
        <f>'IS(Q)'!AE46</f>
        <v>0</v>
      </c>
      <c r="AF14" s="1280">
        <f>'IS(Q)'!AF46</f>
        <v>0</v>
      </c>
      <c r="AG14" s="1280">
        <f>'IS(Q)'!AG46</f>
        <v>0</v>
      </c>
      <c r="AH14" s="1281">
        <f>'IS(Q)'!AH46</f>
        <v>0</v>
      </c>
      <c r="AI14" s="1279">
        <f>'IS(Q)'!AI46</f>
        <v>0</v>
      </c>
      <c r="AJ14" s="1280">
        <f>'IS(Q)'!AJ46</f>
        <v>0</v>
      </c>
      <c r="AK14" s="1280">
        <f>'IS(Q)'!AK46</f>
        <v>0</v>
      </c>
      <c r="AL14" s="1281">
        <f>'IS(Q)'!AL46</f>
        <v>0</v>
      </c>
      <c r="AM14" s="1279">
        <f>'IS(Q)'!AM46</f>
        <v>0</v>
      </c>
      <c r="AN14" s="1280">
        <f>'IS(Q)'!AN46</f>
        <v>0</v>
      </c>
      <c r="AO14" s="1280">
        <f>'IS(Q)'!AO46</f>
        <v>0</v>
      </c>
      <c r="AP14" s="1281">
        <f>'IS(Q)'!AP46</f>
        <v>0</v>
      </c>
      <c r="AQ14" s="1279">
        <f>'IS(Q)'!AQ46</f>
        <v>0</v>
      </c>
      <c r="AR14" s="1280">
        <f>'IS(Q)'!AR46</f>
        <v>0</v>
      </c>
      <c r="AS14" s="1280">
        <f>'IS(Q)'!AS46</f>
        <v>0</v>
      </c>
      <c r="AT14" s="1281">
        <f>'IS(Q)'!AT46</f>
        <v>0</v>
      </c>
      <c r="AU14" s="1279">
        <f>'IS(Q)'!AU46</f>
        <v>0</v>
      </c>
      <c r="AV14" s="1280">
        <f>'IS(Q)'!AV46</f>
        <v>0</v>
      </c>
      <c r="AW14" s="1280">
        <f>'IS(Q)'!AW46</f>
        <v>0</v>
      </c>
      <c r="AX14" s="1281">
        <f>'IS(Q)'!AX46</f>
        <v>0</v>
      </c>
      <c r="AY14" s="1279">
        <f>'IS(Q)'!AY46</f>
        <v>0</v>
      </c>
      <c r="AZ14" s="1280">
        <f>'IS(Q)'!AZ46</f>
        <v>0</v>
      </c>
      <c r="BA14" s="1280">
        <f>'IS(Q)'!BA46</f>
        <v>0</v>
      </c>
      <c r="BB14" s="1281">
        <f>'IS(Q)'!BB46</f>
        <v>0</v>
      </c>
      <c r="BC14" s="1279">
        <f>'IS(Q)'!BC46</f>
        <v>0</v>
      </c>
      <c r="BD14" s="1280">
        <f>'IS(Q)'!BD46</f>
        <v>0</v>
      </c>
      <c r="BE14" s="1280">
        <f>'IS(Q)'!BE46</f>
        <v>0</v>
      </c>
      <c r="BF14" s="1281">
        <f>'IS(Q)'!BF46</f>
        <v>0</v>
      </c>
      <c r="BG14" s="1279">
        <f>'IS(Q)'!BG46</f>
        <v>0</v>
      </c>
      <c r="BH14" s="1280">
        <f>'IS(Q)'!BH46</f>
        <v>0</v>
      </c>
      <c r="BI14" s="1280">
        <f>'IS(Q)'!BI46</f>
        <v>0</v>
      </c>
      <c r="BJ14" s="1281">
        <f>'IS(Q)'!BJ46</f>
        <v>0</v>
      </c>
      <c r="BK14" s="1279">
        <f>'IS(Q)'!BK46</f>
        <v>0</v>
      </c>
      <c r="BL14" s="1280">
        <f>'IS(Q)'!BL46</f>
        <v>0</v>
      </c>
      <c r="BM14" s="1280">
        <f>'IS(Q)'!BM46</f>
        <v>0</v>
      </c>
      <c r="BN14" s="1281">
        <f>'IS(Q)'!BN46</f>
        <v>0</v>
      </c>
      <c r="BO14" s="1279">
        <f>'IS(Q)'!BO46</f>
        <v>0</v>
      </c>
      <c r="BP14" s="1280">
        <f>'IS(Q)'!BP46</f>
        <v>0</v>
      </c>
      <c r="BQ14" s="1280">
        <f>'IS(Q)'!BQ46</f>
        <v>0</v>
      </c>
      <c r="BR14" s="1281">
        <f>'IS(Q)'!BR46</f>
        <v>0</v>
      </c>
      <c r="BS14" s="1279">
        <f>'IS(Q)'!BS46</f>
        <v>0</v>
      </c>
      <c r="BT14" s="1280">
        <f>'IS(Q)'!BT46</f>
        <v>0</v>
      </c>
      <c r="BU14" s="1280">
        <f>'IS(Q)'!BU46</f>
        <v>0</v>
      </c>
      <c r="BV14" s="1281">
        <f>'IS(Q)'!BV46</f>
        <v>0</v>
      </c>
      <c r="BW14" s="1279">
        <f>'IS(Q)'!BW46</f>
        <v>0</v>
      </c>
      <c r="BX14" s="1280">
        <f>'IS(Q)'!BX46</f>
        <v>0</v>
      </c>
      <c r="BY14" s="1280">
        <f>'IS(Q)'!BY46</f>
        <v>0</v>
      </c>
      <c r="BZ14" s="1281">
        <f>'IS(Q)'!BZ46</f>
        <v>0</v>
      </c>
      <c r="CA14" s="1279">
        <f>'IS(Q)'!CA46</f>
        <v>0</v>
      </c>
      <c r="CB14" s="1280">
        <f>'IS(Q)'!CB46</f>
        <v>0</v>
      </c>
      <c r="CC14" s="1280">
        <f>'IS(Q)'!CC46</f>
        <v>0</v>
      </c>
      <c r="CD14" s="1281">
        <f>'IS(Q)'!CD46</f>
        <v>0</v>
      </c>
      <c r="CE14" s="1279">
        <f>'IS(Q)'!CE46</f>
        <v>0</v>
      </c>
      <c r="CF14" s="1280">
        <f>'IS(Q)'!CF46</f>
        <v>0</v>
      </c>
      <c r="CG14" s="1280">
        <f>'IS(Q)'!CG46</f>
        <v>0</v>
      </c>
      <c r="CH14" s="1281">
        <f>'IS(Q)'!CH46</f>
        <v>0</v>
      </c>
      <c r="CI14" s="1279">
        <f>'IS(Q)'!CI46</f>
        <v>0</v>
      </c>
      <c r="CJ14" s="1280">
        <f>'IS(Q)'!CJ46</f>
        <v>0</v>
      </c>
      <c r="CK14" s="1280">
        <f>'IS(Q)'!CK46</f>
        <v>0</v>
      </c>
      <c r="CL14" s="1281">
        <f>'IS(Q)'!CL46</f>
        <v>0</v>
      </c>
      <c r="CM14" s="1279">
        <f>'IS(Q)'!CM46</f>
        <v>0</v>
      </c>
      <c r="CN14" s="1280">
        <f>'IS(Q)'!CN46</f>
        <v>0</v>
      </c>
      <c r="CO14" s="1280">
        <f>'IS(Q)'!CO46</f>
        <v>0</v>
      </c>
      <c r="CP14" s="1281">
        <f>'IS(Q)'!CP46</f>
        <v>0</v>
      </c>
      <c r="CQ14" s="1279">
        <f>'IS(Q)'!CQ46</f>
        <v>0</v>
      </c>
      <c r="CR14" s="1280">
        <f>'IS(Q)'!CR46</f>
        <v>0</v>
      </c>
      <c r="CS14" s="1280">
        <f>'IS(Q)'!CS46</f>
        <v>0</v>
      </c>
      <c r="CT14" s="1281">
        <f>'IS(Q)'!CT46</f>
        <v>0</v>
      </c>
      <c r="CU14" s="1279">
        <f>'IS(Q)'!CU46</f>
        <v>0</v>
      </c>
      <c r="CV14" s="1280">
        <f>'IS(Q)'!CV46</f>
        <v>0</v>
      </c>
      <c r="CW14" s="1280">
        <f>'IS(Q)'!CW46</f>
        <v>0</v>
      </c>
      <c r="CX14" s="1281">
        <f>'IS(Q)'!CX46</f>
        <v>0</v>
      </c>
      <c r="CY14" s="1279">
        <f>'IS(Q)'!CY46</f>
        <v>0</v>
      </c>
      <c r="CZ14" s="1280">
        <f>'IS(Q)'!CZ46</f>
        <v>0</v>
      </c>
      <c r="DA14" s="1280">
        <f>'IS(Q)'!DA46</f>
        <v>0</v>
      </c>
      <c r="DB14" s="1281">
        <f>'IS(Q)'!DB46</f>
        <v>0</v>
      </c>
      <c r="DC14" s="1279">
        <f>'IS(Q)'!DC46</f>
        <v>0</v>
      </c>
      <c r="DD14" s="1280">
        <f>'IS(Q)'!DD46</f>
        <v>0</v>
      </c>
      <c r="DE14" s="1280">
        <f>'IS(Q)'!DE46</f>
        <v>0</v>
      </c>
      <c r="DF14" s="1281">
        <f>'IS(Q)'!DF46</f>
        <v>0</v>
      </c>
      <c r="DG14" s="1279">
        <f>'IS(Q)'!DG46</f>
        <v>0</v>
      </c>
      <c r="DH14" s="1280">
        <f>'IS(Q)'!DH46</f>
        <v>0</v>
      </c>
      <c r="DI14" s="1280">
        <f>'IS(Q)'!DI46</f>
        <v>0</v>
      </c>
      <c r="DJ14" s="1281">
        <f>'IS(Q)'!DJ46</f>
        <v>0</v>
      </c>
      <c r="DK14" s="1279">
        <f>'IS(Q)'!DK46</f>
        <v>0</v>
      </c>
      <c r="DL14" s="1280">
        <f>'IS(Q)'!DL46</f>
        <v>0</v>
      </c>
      <c r="DM14" s="1280">
        <f>'IS(Q)'!DM46</f>
        <v>0</v>
      </c>
      <c r="DN14" s="1281">
        <f>'IS(Q)'!DN46</f>
        <v>0</v>
      </c>
      <c r="DO14" s="1279">
        <f>'IS(Q)'!DO46</f>
        <v>0</v>
      </c>
      <c r="DP14" s="1280">
        <f>'IS(Q)'!DP46</f>
        <v>0</v>
      </c>
      <c r="DQ14" s="1280">
        <f>'IS(Q)'!DQ46</f>
        <v>0</v>
      </c>
      <c r="DR14" s="1281">
        <f>'IS(Q)'!DR46</f>
        <v>0</v>
      </c>
      <c r="DS14" s="1279">
        <f>'IS(Q)'!DS46</f>
        <v>0</v>
      </c>
      <c r="DT14" s="1280">
        <f>'IS(Q)'!DT46</f>
        <v>0</v>
      </c>
      <c r="DU14" s="1280">
        <f>'IS(Q)'!DU46</f>
        <v>0</v>
      </c>
      <c r="DV14" s="1281">
        <f>'IS(Q)'!DV46</f>
        <v>0</v>
      </c>
      <c r="DW14" s="1279">
        <f>'IS(Q)'!DW46</f>
        <v>0</v>
      </c>
      <c r="DX14" s="1280">
        <f>'IS(Q)'!DX46</f>
        <v>0</v>
      </c>
      <c r="DY14" s="1280">
        <f>'IS(Q)'!DY46</f>
        <v>0</v>
      </c>
      <c r="DZ14" s="1281">
        <f>'IS(Q)'!DZ46</f>
        <v>0</v>
      </c>
      <c r="EA14" s="1279">
        <f>'IS(Q)'!EA46</f>
        <v>0</v>
      </c>
      <c r="EB14" s="1280">
        <f>'IS(Q)'!EB46</f>
        <v>0</v>
      </c>
      <c r="EC14" s="1280">
        <f>'IS(Q)'!EC46</f>
        <v>0</v>
      </c>
      <c r="ED14" s="1281">
        <f>'IS(Q)'!ED46</f>
        <v>0</v>
      </c>
      <c r="EE14" s="1279">
        <f>'IS(Q)'!EE46</f>
        <v>0</v>
      </c>
      <c r="EF14" s="1280">
        <f>'IS(Q)'!EF46</f>
        <v>0</v>
      </c>
      <c r="EG14" s="1280">
        <f>'IS(Q)'!EG46</f>
        <v>0</v>
      </c>
      <c r="EH14" s="1281">
        <f>'IS(Q)'!EH46</f>
        <v>0</v>
      </c>
      <c r="EI14" s="1279">
        <f>'IS(Q)'!EI46</f>
        <v>0</v>
      </c>
      <c r="EJ14" s="1280">
        <f>'IS(Q)'!EJ46</f>
        <v>0</v>
      </c>
      <c r="EK14" s="1280">
        <f>'IS(Q)'!EK46</f>
        <v>0</v>
      </c>
      <c r="EL14" s="1281">
        <f>'IS(Q)'!EL46</f>
        <v>0</v>
      </c>
      <c r="EM14" s="1279">
        <f>'IS(Q)'!EM46</f>
        <v>0</v>
      </c>
      <c r="EN14" s="1280">
        <f>'IS(Q)'!EN46</f>
        <v>0</v>
      </c>
      <c r="EO14" s="1280">
        <f>'IS(Q)'!EO46</f>
        <v>0</v>
      </c>
      <c r="EP14" s="1281">
        <f>'IS(Q)'!EP46</f>
        <v>0</v>
      </c>
      <c r="EQ14" s="1279">
        <f>'IS(Q)'!EQ46</f>
        <v>0</v>
      </c>
      <c r="ER14" s="1280">
        <f>'IS(Q)'!ER46</f>
        <v>0</v>
      </c>
      <c r="ES14" s="1280">
        <f>'IS(Q)'!ES46</f>
        <v>0</v>
      </c>
      <c r="ET14" s="1281">
        <f>'IS(Q)'!ET46</f>
        <v>0</v>
      </c>
      <c r="EU14" s="1279">
        <f>'IS(Q)'!EU46</f>
        <v>0</v>
      </c>
      <c r="EV14" s="1280">
        <f>'IS(Q)'!EV46</f>
        <v>0</v>
      </c>
      <c r="EW14" s="1280">
        <f>'IS(Q)'!EW46</f>
        <v>0</v>
      </c>
      <c r="EX14" s="1281">
        <f>'IS(Q)'!EX46</f>
        <v>0</v>
      </c>
      <c r="EY14" s="1279">
        <f>'IS(Q)'!EY46</f>
        <v>0</v>
      </c>
      <c r="EZ14" s="1280">
        <f>'IS(Q)'!EZ46</f>
        <v>0</v>
      </c>
      <c r="FA14" s="1280">
        <f>'IS(Q)'!FA46</f>
        <v>0</v>
      </c>
      <c r="FB14" s="1281">
        <f>'IS(Q)'!FB46</f>
        <v>0</v>
      </c>
      <c r="FC14" s="1279">
        <f>'IS(Q)'!FC46</f>
        <v>0</v>
      </c>
      <c r="FD14" s="1280">
        <f>'IS(Q)'!FD46</f>
        <v>0</v>
      </c>
      <c r="FE14" s="1280">
        <f>'IS(Q)'!FE46</f>
        <v>0</v>
      </c>
      <c r="FF14" s="1281">
        <f>'IS(Q)'!FF46</f>
        <v>0</v>
      </c>
      <c r="FG14" s="1279">
        <f>'IS(Q)'!FG46</f>
        <v>0</v>
      </c>
      <c r="FH14" s="1280">
        <f>'IS(Q)'!FH46</f>
        <v>0</v>
      </c>
      <c r="FI14" s="1280">
        <f>'IS(Q)'!FI46</f>
        <v>0</v>
      </c>
      <c r="FJ14" s="1281">
        <f>'IS(Q)'!FJ46</f>
        <v>0</v>
      </c>
      <c r="FK14" s="1279">
        <f>'IS(Q)'!FK46</f>
        <v>0</v>
      </c>
      <c r="FL14" s="1280">
        <f>'IS(Q)'!FL46</f>
        <v>0</v>
      </c>
      <c r="FM14" s="1280">
        <f>'IS(Q)'!FM46</f>
        <v>0</v>
      </c>
      <c r="FN14" s="1281">
        <f>'IS(Q)'!FN46</f>
        <v>0</v>
      </c>
      <c r="FO14" s="1279">
        <f>'IS(Q)'!FO46</f>
        <v>0</v>
      </c>
      <c r="FP14" s="1280">
        <f>'IS(Q)'!FP46</f>
        <v>0</v>
      </c>
      <c r="FQ14" s="1280">
        <f>'IS(Q)'!FQ46</f>
        <v>0</v>
      </c>
      <c r="FR14" s="1281">
        <f>'IS(Q)'!FR46</f>
        <v>0</v>
      </c>
      <c r="FS14" s="1279">
        <f>'IS(Q)'!FS46</f>
        <v>0</v>
      </c>
      <c r="FT14" s="1280">
        <f>'IS(Q)'!FT46</f>
        <v>0</v>
      </c>
      <c r="FU14" s="1280">
        <f>'IS(Q)'!FU46</f>
        <v>0</v>
      </c>
      <c r="FV14" s="1281">
        <f>'IS(Q)'!FV46</f>
        <v>0</v>
      </c>
      <c r="FW14" s="1279">
        <f>'IS(Q)'!FW46</f>
        <v>0</v>
      </c>
      <c r="FX14" s="1280">
        <f>'IS(Q)'!FX46</f>
        <v>0</v>
      </c>
      <c r="FY14" s="1280">
        <f>'IS(Q)'!FY46</f>
        <v>0</v>
      </c>
      <c r="FZ14" s="1281">
        <f>'IS(Q)'!FZ46</f>
        <v>0</v>
      </c>
      <c r="GA14" s="1279"/>
      <c r="GB14" s="1280"/>
      <c r="GC14" s="1280"/>
      <c r="GD14" s="1281"/>
    </row>
    <row r="15" spans="1:190" ht="17.100000000000001" customHeight="1">
      <c r="B15" s="307"/>
      <c r="D15" s="1274" t="str">
        <f t="shared" si="13"/>
        <v>기타경미한수익성사업</v>
      </c>
      <c r="E15" s="742"/>
      <c r="F15" s="1207">
        <f t="shared" si="12"/>
        <v>35.346337197168317</v>
      </c>
      <c r="G15" s="1275">
        <f>'IS(Q)'!G47</f>
        <v>2.56962</v>
      </c>
      <c r="H15" s="1276">
        <f>'IS(Q)'!H47</f>
        <v>2.2547839999999999</v>
      </c>
      <c r="I15" s="1276">
        <f>'IS(Q)'!I47</f>
        <v>1.999498</v>
      </c>
      <c r="J15" s="1277">
        <f>'IS(Q)'!J47</f>
        <v>2.0153400000000001</v>
      </c>
      <c r="K15" s="1278">
        <f>'IS(Q)'!K47</f>
        <v>1.5828800000000003</v>
      </c>
      <c r="L15" s="1276">
        <f>'IS(Q)'!L47</f>
        <v>1.656428</v>
      </c>
      <c r="M15" s="1276">
        <f>'IS(Q)'!M47</f>
        <v>1.6404800000000002</v>
      </c>
      <c r="N15" s="1277">
        <f>'IS(Q)'!N47</f>
        <v>1.5276760000000005</v>
      </c>
      <c r="O15" s="5014">
        <f>'IS(Q)'!O47</f>
        <v>1.614312</v>
      </c>
      <c r="P15" s="5015">
        <f>'IS(Q)'!P47</f>
        <v>1.5839800000000004</v>
      </c>
      <c r="Q15" s="5015">
        <f>'IS(Q)'!Q47</f>
        <v>1.54514</v>
      </c>
      <c r="R15" s="5016">
        <f>'IS(Q)'!R47</f>
        <v>1.52874</v>
      </c>
      <c r="S15" s="5014">
        <f>'IS(Q)'!S47</f>
        <v>1.5053399999999999</v>
      </c>
      <c r="T15" s="5015">
        <f>'IS(Q)'!T47</f>
        <v>1.4789399999999997</v>
      </c>
      <c r="U15" s="5015">
        <f>'IS(Q)'!U47</f>
        <v>1.49594</v>
      </c>
      <c r="V15" s="5016">
        <f>'IS(Q)'!V47</f>
        <v>1.5149400000000002</v>
      </c>
      <c r="W15" s="5014">
        <f>'IS(Q)'!W47</f>
        <v>0.77219800000000005</v>
      </c>
      <c r="X15" s="5015">
        <f>'IS(Q)'!X47</f>
        <v>0.77219800000000005</v>
      </c>
      <c r="Y15" s="5015">
        <f>'IS(Q)'!Y47</f>
        <v>0.77219800000000005</v>
      </c>
      <c r="Z15" s="5016">
        <f>'IS(Q)'!Z47</f>
        <v>0.77219800000000005</v>
      </c>
      <c r="AA15" s="5014">
        <f>'IS(Q)'!AA47</f>
        <v>0.35333799999999999</v>
      </c>
      <c r="AB15" s="5015">
        <f>'IS(Q)'!AB47</f>
        <v>0.35333799999999999</v>
      </c>
      <c r="AC15" s="5015">
        <f>'IS(Q)'!AC47</f>
        <v>0.17666899999999999</v>
      </c>
      <c r="AD15" s="5016">
        <f>'IS(Q)'!AD47</f>
        <v>0.17666899999999999</v>
      </c>
      <c r="AE15" s="5014">
        <f>'IS(Q)'!AE47</f>
        <v>0.1253378</v>
      </c>
      <c r="AF15" s="5015">
        <f>'IS(Q)'!AF47</f>
        <v>0.1253378</v>
      </c>
      <c r="AG15" s="5015">
        <f>'IS(Q)'!AG47</f>
        <v>0.1253378</v>
      </c>
      <c r="AH15" s="5016">
        <f>'IS(Q)'!AH47</f>
        <v>0.1253378</v>
      </c>
      <c r="AI15" s="5014">
        <f>'IS(Q)'!AI47</f>
        <v>0.12547671499999999</v>
      </c>
      <c r="AJ15" s="5015">
        <f>'IS(Q)'!AJ47</f>
        <v>0.12547671499999999</v>
      </c>
      <c r="AK15" s="5015">
        <f>'IS(Q)'!AK47</f>
        <v>0.12547671499999999</v>
      </c>
      <c r="AL15" s="5016">
        <f>'IS(Q)'!AL47</f>
        <v>0.12547671499999999</v>
      </c>
      <c r="AM15" s="5014">
        <f>'IS(Q)'!AM47</f>
        <v>0.12547671499999999</v>
      </c>
      <c r="AN15" s="5015">
        <f>'IS(Q)'!AN47</f>
        <v>0.12547671499999999</v>
      </c>
      <c r="AO15" s="5015">
        <f>'IS(Q)'!AO47</f>
        <v>0.12547671499999999</v>
      </c>
      <c r="AP15" s="5016">
        <f>'IS(Q)'!AP47</f>
        <v>0.12547671499999999</v>
      </c>
      <c r="AQ15" s="5014">
        <f>'IS(Q)'!AQ47</f>
        <v>0.12722968999999998</v>
      </c>
      <c r="AR15" s="5015">
        <f>'IS(Q)'!AR47</f>
        <v>0.12722968999999998</v>
      </c>
      <c r="AS15" s="5015">
        <f>'IS(Q)'!AS47</f>
        <v>0.12722968999999998</v>
      </c>
      <c r="AT15" s="5016">
        <f>'IS(Q)'!AT47</f>
        <v>0.12722968999999998</v>
      </c>
      <c r="AU15" s="5014">
        <f>'IS(Q)'!AU47</f>
        <v>0.12737555074999998</v>
      </c>
      <c r="AV15" s="5015">
        <f>'IS(Q)'!AV47</f>
        <v>0.12737555074999998</v>
      </c>
      <c r="AW15" s="5015">
        <f>'IS(Q)'!AW47</f>
        <v>0.12737555074999998</v>
      </c>
      <c r="AX15" s="5016">
        <f>'IS(Q)'!AX47</f>
        <v>0.12737555074999998</v>
      </c>
      <c r="AY15" s="5014">
        <f>'IS(Q)'!AY47</f>
        <v>0.12737555074999998</v>
      </c>
      <c r="AZ15" s="5015">
        <f>'IS(Q)'!AZ47</f>
        <v>0.12737555074999998</v>
      </c>
      <c r="BA15" s="5015">
        <f>'IS(Q)'!BA47</f>
        <v>0.12737555074999998</v>
      </c>
      <c r="BB15" s="5016">
        <f>'IS(Q)'!BB47</f>
        <v>0.12737555074999998</v>
      </c>
      <c r="BC15" s="5014">
        <f>'IS(Q)'!BC47</f>
        <v>0.1292161745</v>
      </c>
      <c r="BD15" s="5015">
        <f>'IS(Q)'!BD47</f>
        <v>0.1292161745</v>
      </c>
      <c r="BE15" s="5015">
        <f>'IS(Q)'!BE47</f>
        <v>0.1292161745</v>
      </c>
      <c r="BF15" s="5016">
        <f>'IS(Q)'!BF47</f>
        <v>0.1292161745</v>
      </c>
      <c r="BG15" s="5014">
        <f>'IS(Q)'!BG47</f>
        <v>0.1293693282875</v>
      </c>
      <c r="BH15" s="5015">
        <f>'IS(Q)'!BH47</f>
        <v>0.1293693282875</v>
      </c>
      <c r="BI15" s="5015">
        <f>'IS(Q)'!BI47</f>
        <v>0.1293693282875</v>
      </c>
      <c r="BJ15" s="5016">
        <f>'IS(Q)'!BJ47</f>
        <v>0.1293693282875</v>
      </c>
      <c r="BK15" s="5014">
        <f>'IS(Q)'!BK47</f>
        <v>0.1293693282875</v>
      </c>
      <c r="BL15" s="5015">
        <f>'IS(Q)'!BL47</f>
        <v>0.1293693282875</v>
      </c>
      <c r="BM15" s="5015">
        <f>'IS(Q)'!BM47</f>
        <v>0.1293693282875</v>
      </c>
      <c r="BN15" s="5016">
        <f>'IS(Q)'!BN47</f>
        <v>0.1293693282875</v>
      </c>
      <c r="BO15" s="5014">
        <f>'IS(Q)'!BO47</f>
        <v>0.13130198322499997</v>
      </c>
      <c r="BP15" s="5015">
        <f>'IS(Q)'!BP47</f>
        <v>0.13130198322499997</v>
      </c>
      <c r="BQ15" s="5015">
        <f>'IS(Q)'!BQ47</f>
        <v>0.13130198322499997</v>
      </c>
      <c r="BR15" s="5016">
        <f>'IS(Q)'!BR47</f>
        <v>0.13130198322499997</v>
      </c>
      <c r="BS15" s="5014">
        <f>'IS(Q)'!BS47</f>
        <v>0.131462794701875</v>
      </c>
      <c r="BT15" s="5015">
        <f>'IS(Q)'!BT47</f>
        <v>0.131462794701875</v>
      </c>
      <c r="BU15" s="5015">
        <f>'IS(Q)'!BU47</f>
        <v>0.131462794701875</v>
      </c>
      <c r="BV15" s="5016">
        <f>'IS(Q)'!BV47</f>
        <v>0.131462794701875</v>
      </c>
      <c r="BW15" s="5014">
        <f>'IS(Q)'!BW47</f>
        <v>0.131462794701875</v>
      </c>
      <c r="BX15" s="5015">
        <f>'IS(Q)'!BX47</f>
        <v>0.131462794701875</v>
      </c>
      <c r="BY15" s="5015">
        <f>'IS(Q)'!BY47</f>
        <v>0.131462794701875</v>
      </c>
      <c r="BZ15" s="5016">
        <f>'IS(Q)'!BZ47</f>
        <v>0.131462794701875</v>
      </c>
      <c r="CA15" s="5014">
        <f>'IS(Q)'!CA47</f>
        <v>0.13349208238625002</v>
      </c>
      <c r="CB15" s="5015">
        <f>'IS(Q)'!CB47</f>
        <v>0.13349208238625002</v>
      </c>
      <c r="CC15" s="5015">
        <f>'IS(Q)'!CC47</f>
        <v>0.13349208238625002</v>
      </c>
      <c r="CD15" s="5016">
        <f>'IS(Q)'!CD47</f>
        <v>0.13349208238625002</v>
      </c>
      <c r="CE15" s="5014">
        <f>'IS(Q)'!CE47</f>
        <v>0.13366093443696875</v>
      </c>
      <c r="CF15" s="5015">
        <f>'IS(Q)'!CF47</f>
        <v>0.13366093443696875</v>
      </c>
      <c r="CG15" s="5015">
        <f>'IS(Q)'!CG47</f>
        <v>0.13366093443696875</v>
      </c>
      <c r="CH15" s="5016">
        <f>'IS(Q)'!CH47</f>
        <v>0.13366093443696875</v>
      </c>
      <c r="CI15" s="5014">
        <f>'IS(Q)'!CI47</f>
        <v>0.13366093443696875</v>
      </c>
      <c r="CJ15" s="5015">
        <f>'IS(Q)'!CJ47</f>
        <v>0.13366093443696875</v>
      </c>
      <c r="CK15" s="5015">
        <f>'IS(Q)'!CK47</f>
        <v>0.13366093443696875</v>
      </c>
      <c r="CL15" s="5016">
        <f>'IS(Q)'!CL47</f>
        <v>0.13366093443696875</v>
      </c>
      <c r="CM15" s="5014">
        <f>'IS(Q)'!CM47</f>
        <v>0.1357916865055625</v>
      </c>
      <c r="CN15" s="5015">
        <f>'IS(Q)'!CN47</f>
        <v>0.1357916865055625</v>
      </c>
      <c r="CO15" s="5015">
        <f>'IS(Q)'!CO47</f>
        <v>0.1357916865055625</v>
      </c>
      <c r="CP15" s="5016">
        <f>'IS(Q)'!CP47</f>
        <v>0.1357916865055625</v>
      </c>
      <c r="CQ15" s="5014">
        <f>'IS(Q)'!CQ47</f>
        <v>0.1359689811588172</v>
      </c>
      <c r="CR15" s="5015">
        <f>'IS(Q)'!CR47</f>
        <v>0.1359689811588172</v>
      </c>
      <c r="CS15" s="5015">
        <f>'IS(Q)'!CS47</f>
        <v>0.1359689811588172</v>
      </c>
      <c r="CT15" s="5016">
        <f>'IS(Q)'!CT47</f>
        <v>0.1359689811588172</v>
      </c>
      <c r="CU15" s="5014">
        <f>'IS(Q)'!CU47</f>
        <v>0.1359689811588172</v>
      </c>
      <c r="CV15" s="5015">
        <f>'IS(Q)'!CV47</f>
        <v>0.1359689811588172</v>
      </c>
      <c r="CW15" s="5015">
        <f>'IS(Q)'!CW47</f>
        <v>0.1359689811588172</v>
      </c>
      <c r="CX15" s="5016">
        <f>'IS(Q)'!CX47</f>
        <v>0.1359689811588172</v>
      </c>
      <c r="CY15" s="5014">
        <f>'IS(Q)'!CY47</f>
        <v>0.13820627083084061</v>
      </c>
      <c r="CZ15" s="5015">
        <f>'IS(Q)'!CZ47</f>
        <v>0.13820627083084061</v>
      </c>
      <c r="DA15" s="5015">
        <f>'IS(Q)'!DA47</f>
        <v>0.13820627083084061</v>
      </c>
      <c r="DB15" s="5016">
        <f>'IS(Q)'!DB47</f>
        <v>0.13820627083084061</v>
      </c>
      <c r="DC15" s="5014">
        <f>'IS(Q)'!DC47</f>
        <v>0.13839243021675804</v>
      </c>
      <c r="DD15" s="5015">
        <f>'IS(Q)'!DD47</f>
        <v>0.13839243021675804</v>
      </c>
      <c r="DE15" s="5015">
        <f>'IS(Q)'!DE47</f>
        <v>0.13839243021675804</v>
      </c>
      <c r="DF15" s="5016">
        <f>'IS(Q)'!DF47</f>
        <v>0.13839243021675804</v>
      </c>
      <c r="DG15" s="5014">
        <f>'IS(Q)'!DG47</f>
        <v>0.13839243021675804</v>
      </c>
      <c r="DH15" s="5015">
        <f>'IS(Q)'!DH47</f>
        <v>0.13839243021675804</v>
      </c>
      <c r="DI15" s="5015">
        <f>'IS(Q)'!DI47</f>
        <v>0.13839243021675804</v>
      </c>
      <c r="DJ15" s="5016">
        <f>'IS(Q)'!DJ47</f>
        <v>0.13839243021675804</v>
      </c>
      <c r="DK15" s="5014">
        <f>'IS(Q)'!DK47</f>
        <v>0.14074158437238263</v>
      </c>
      <c r="DL15" s="5015">
        <f>'IS(Q)'!DL47</f>
        <v>0.14074158437238263</v>
      </c>
      <c r="DM15" s="5015">
        <f>'IS(Q)'!DM47</f>
        <v>0.14074158437238263</v>
      </c>
      <c r="DN15" s="5016">
        <f>'IS(Q)'!DN47</f>
        <v>0.14074158437238263</v>
      </c>
      <c r="DO15" s="5014">
        <f>'IS(Q)'!DO47</f>
        <v>0.14093705172759594</v>
      </c>
      <c r="DP15" s="5015">
        <f>'IS(Q)'!DP47</f>
        <v>0.14093705172759594</v>
      </c>
      <c r="DQ15" s="5015">
        <f>'IS(Q)'!DQ47</f>
        <v>0.14093705172759594</v>
      </c>
      <c r="DR15" s="5016">
        <f>'IS(Q)'!DR47</f>
        <v>0.14093705172759594</v>
      </c>
      <c r="DS15" s="5014">
        <f>'IS(Q)'!DS47</f>
        <v>0.14093705172759594</v>
      </c>
      <c r="DT15" s="5015">
        <f>'IS(Q)'!DT47</f>
        <v>0.14093705172759594</v>
      </c>
      <c r="DU15" s="5015">
        <f>'IS(Q)'!DU47</f>
        <v>0.14093705172759594</v>
      </c>
      <c r="DV15" s="5016">
        <f>'IS(Q)'!DV47</f>
        <v>0.14093705172759594</v>
      </c>
      <c r="DW15" s="5014">
        <f>'IS(Q)'!DW47</f>
        <v>0.14340366359100179</v>
      </c>
      <c r="DX15" s="5015">
        <f>'IS(Q)'!DX47</f>
        <v>0.14340366359100179</v>
      </c>
      <c r="DY15" s="5015">
        <f>'IS(Q)'!DY47</f>
        <v>0.14340366359100179</v>
      </c>
      <c r="DZ15" s="5016">
        <f>'IS(Q)'!DZ47</f>
        <v>0.14340366359100179</v>
      </c>
      <c r="EA15" s="5014">
        <f>'IS(Q)'!EA47</f>
        <v>0.14360890431397574</v>
      </c>
      <c r="EB15" s="5015">
        <f>'IS(Q)'!EB47</f>
        <v>0.14360890431397574</v>
      </c>
      <c r="EC15" s="5015">
        <f>'IS(Q)'!EC47</f>
        <v>0.14360890431397574</v>
      </c>
      <c r="ED15" s="5016">
        <f>'IS(Q)'!ED47</f>
        <v>0.14360890431397574</v>
      </c>
      <c r="EE15" s="5014">
        <f>'IS(Q)'!EE47</f>
        <v>0.14360890431397574</v>
      </c>
      <c r="EF15" s="5015">
        <f>'IS(Q)'!EF47</f>
        <v>0.14360890431397574</v>
      </c>
      <c r="EG15" s="5015">
        <f>'IS(Q)'!EG47</f>
        <v>0.14360890431397574</v>
      </c>
      <c r="EH15" s="5016">
        <f>'IS(Q)'!EH47</f>
        <v>0.14360890431397574</v>
      </c>
      <c r="EI15" s="5014">
        <f>'IS(Q)'!EI47</f>
        <v>0.14619884677055187</v>
      </c>
      <c r="EJ15" s="5015">
        <f>'IS(Q)'!EJ47</f>
        <v>0.14619884677055187</v>
      </c>
      <c r="EK15" s="5015">
        <f>'IS(Q)'!EK47</f>
        <v>0.14619884677055187</v>
      </c>
      <c r="EL15" s="5016">
        <f>'IS(Q)'!EL47</f>
        <v>0.14619884677055187</v>
      </c>
      <c r="EM15" s="5014">
        <f>'IS(Q)'!EM47</f>
        <v>0.14641434952967453</v>
      </c>
      <c r="EN15" s="5015">
        <f>'IS(Q)'!EN47</f>
        <v>0.14641434952967453</v>
      </c>
      <c r="EO15" s="5015">
        <f>'IS(Q)'!EO47</f>
        <v>0.14641434952967453</v>
      </c>
      <c r="EP15" s="5016">
        <f>'IS(Q)'!EP47</f>
        <v>0.14641434952967453</v>
      </c>
      <c r="EQ15" s="5014">
        <f>'IS(Q)'!EQ47</f>
        <v>0.14641434952967453</v>
      </c>
      <c r="ER15" s="5015">
        <f>'IS(Q)'!ER47</f>
        <v>0.14641434952967453</v>
      </c>
      <c r="ES15" s="5015">
        <f>'IS(Q)'!ES47</f>
        <v>0.14641434952967453</v>
      </c>
      <c r="ET15" s="5016">
        <f>'IS(Q)'!ET47</f>
        <v>0.14641434952967453</v>
      </c>
      <c r="EU15" s="5014">
        <f>'IS(Q)'!EU47</f>
        <v>0.14913378910907946</v>
      </c>
      <c r="EV15" s="5015">
        <f>'IS(Q)'!EV47</f>
        <v>0.14913378910907946</v>
      </c>
      <c r="EW15" s="5015">
        <f>'IS(Q)'!EW47</f>
        <v>0.14913378910907946</v>
      </c>
      <c r="EX15" s="5016">
        <f>'IS(Q)'!EX47</f>
        <v>0.14913378910907946</v>
      </c>
      <c r="EY15" s="5014">
        <f>'IS(Q)'!EY47</f>
        <v>0.14936006700615825</v>
      </c>
      <c r="EZ15" s="5015">
        <f>'IS(Q)'!EZ47</f>
        <v>0.14936006700615825</v>
      </c>
      <c r="FA15" s="5015">
        <f>'IS(Q)'!FA47</f>
        <v>0.14936006700615825</v>
      </c>
      <c r="FB15" s="5016">
        <f>'IS(Q)'!FB47</f>
        <v>0.14936006700615825</v>
      </c>
      <c r="FC15" s="5014">
        <f>'IS(Q)'!FC47</f>
        <v>0.14936006700615825</v>
      </c>
      <c r="FD15" s="5015">
        <f>'IS(Q)'!FD47</f>
        <v>0.14936006700615825</v>
      </c>
      <c r="FE15" s="5015">
        <f>'IS(Q)'!FE47</f>
        <v>0.14936006700615825</v>
      </c>
      <c r="FF15" s="5016">
        <f>'IS(Q)'!FF47</f>
        <v>0.14936006700615825</v>
      </c>
      <c r="FG15" s="5014">
        <f>'IS(Q)'!FG47</f>
        <v>0.15221547856453346</v>
      </c>
      <c r="FH15" s="5015">
        <f>'IS(Q)'!FH47</f>
        <v>0.15221547856453346</v>
      </c>
      <c r="FI15" s="5015">
        <f>'IS(Q)'!FI47</f>
        <v>0.15221547856453346</v>
      </c>
      <c r="FJ15" s="5016">
        <f>'IS(Q)'!FJ47</f>
        <v>0.15221547856453346</v>
      </c>
      <c r="FK15" s="5014">
        <f>'IS(Q)'!FK47</f>
        <v>0.15245307035646621</v>
      </c>
      <c r="FL15" s="5015">
        <f>'IS(Q)'!FL47</f>
        <v>0.15245307035646621</v>
      </c>
      <c r="FM15" s="5015">
        <f>'IS(Q)'!FM47</f>
        <v>0</v>
      </c>
      <c r="FN15" s="5016">
        <f>'IS(Q)'!FN47</f>
        <v>0</v>
      </c>
      <c r="FO15" s="5014">
        <f>'IS(Q)'!FO47</f>
        <v>0</v>
      </c>
      <c r="FP15" s="5015">
        <f>'IS(Q)'!FP47</f>
        <v>0</v>
      </c>
      <c r="FQ15" s="5015">
        <f>'IS(Q)'!FQ47</f>
        <v>0</v>
      </c>
      <c r="FR15" s="5016">
        <f>'IS(Q)'!FR47</f>
        <v>0</v>
      </c>
      <c r="FS15" s="5014">
        <f>'IS(Q)'!FS47</f>
        <v>0</v>
      </c>
      <c r="FT15" s="5015">
        <f>'IS(Q)'!FT47</f>
        <v>0</v>
      </c>
      <c r="FU15" s="5015">
        <f>'IS(Q)'!FU47</f>
        <v>0</v>
      </c>
      <c r="FV15" s="5016">
        <f>'IS(Q)'!FV47</f>
        <v>0</v>
      </c>
      <c r="FW15" s="5014">
        <f>'IS(Q)'!FW47</f>
        <v>0</v>
      </c>
      <c r="FX15" s="5015">
        <f>'IS(Q)'!FX47</f>
        <v>0</v>
      </c>
      <c r="FY15" s="5015">
        <f>'IS(Q)'!FY47</f>
        <v>0</v>
      </c>
      <c r="FZ15" s="5016">
        <f>'IS(Q)'!FZ47</f>
        <v>0</v>
      </c>
      <c r="GA15" s="1279"/>
      <c r="GB15" s="1280"/>
      <c r="GC15" s="1280"/>
      <c r="GD15" s="1281"/>
    </row>
    <row r="16" spans="1:190" ht="17.100000000000001" customHeight="1">
      <c r="B16" s="307"/>
      <c r="D16" s="1282" t="str">
        <f t="shared" si="13"/>
        <v>MRG (운영비 정산후)</v>
      </c>
      <c r="E16" s="747"/>
      <c r="F16" s="1283">
        <f t="shared" ca="1" si="12"/>
        <v>555.56452046385482</v>
      </c>
      <c r="G16" s="1284">
        <f>'IS(Q)'!G48</f>
        <v>2.9639801499999998</v>
      </c>
      <c r="H16" s="1285">
        <f>'IS(Q)'!H48</f>
        <v>136.56974478239997</v>
      </c>
      <c r="I16" s="1285">
        <f>'IS(Q)'!I48</f>
        <v>0</v>
      </c>
      <c r="J16" s="1286">
        <f>'IS(Q)'!J48</f>
        <v>0</v>
      </c>
      <c r="K16" s="1284">
        <f>'IS(Q)'!K48</f>
        <v>0</v>
      </c>
      <c r="L16" s="1285">
        <f ca="1">'IS(Q)'!L48</f>
        <v>-74.490642961936544</v>
      </c>
      <c r="M16" s="1285">
        <f>'IS(Q)'!M48</f>
        <v>129.15964141672885</v>
      </c>
      <c r="N16" s="1286">
        <f>'IS(Q)'!N48</f>
        <v>0</v>
      </c>
      <c r="O16" s="1287">
        <f>'IS(Q)'!O48</f>
        <v>0</v>
      </c>
      <c r="P16" s="1288">
        <f>'IS(Q)'!P48</f>
        <v>103.99844322999999</v>
      </c>
      <c r="Q16" s="1288">
        <f>'IS(Q)'!Q48</f>
        <v>0</v>
      </c>
      <c r="R16" s="1289">
        <f>'IS(Q)'!R48</f>
        <v>0</v>
      </c>
      <c r="S16" s="1287">
        <f>'IS(Q)'!S48</f>
        <v>0</v>
      </c>
      <c r="T16" s="1288">
        <f ca="1">'IS(Q)'!T48</f>
        <v>127.40945454205534</v>
      </c>
      <c r="U16" s="1288">
        <f>'IS(Q)'!U48</f>
        <v>0</v>
      </c>
      <c r="V16" s="1289">
        <f>'IS(Q)'!V48</f>
        <v>0</v>
      </c>
      <c r="W16" s="1287">
        <f>'IS(Q)'!W48</f>
        <v>0</v>
      </c>
      <c r="X16" s="1288">
        <f ca="1">'IS(Q)'!X48</f>
        <v>134.56777271582553</v>
      </c>
      <c r="Y16" s="1288">
        <f>'IS(Q)'!Y48</f>
        <v>0</v>
      </c>
      <c r="Z16" s="1289">
        <f>'IS(Q)'!Z48</f>
        <v>0</v>
      </c>
      <c r="AA16" s="1287">
        <f>'IS(Q)'!AA48</f>
        <v>0</v>
      </c>
      <c r="AB16" s="1288">
        <f ca="1">'IS(Q)'!AB48</f>
        <v>129.73915563145067</v>
      </c>
      <c r="AC16" s="1288">
        <f>'IS(Q)'!AC48</f>
        <v>0</v>
      </c>
      <c r="AD16" s="1289">
        <f>'IS(Q)'!AD48</f>
        <v>0</v>
      </c>
      <c r="AE16" s="1287">
        <f>'IS(Q)'!AE48</f>
        <v>0</v>
      </c>
      <c r="AF16" s="1288">
        <f ca="1">'IS(Q)'!AF48</f>
        <v>59.849694344523293</v>
      </c>
      <c r="AG16" s="1288">
        <f>'IS(Q)'!AG48</f>
        <v>0</v>
      </c>
      <c r="AH16" s="1289">
        <f>'IS(Q)'!AH48</f>
        <v>0</v>
      </c>
      <c r="AI16" s="1287">
        <f>'IS(Q)'!AI48</f>
        <v>0</v>
      </c>
      <c r="AJ16" s="1288">
        <f>'IS(Q)'!AJ48</f>
        <v>0</v>
      </c>
      <c r="AK16" s="1288">
        <f>'IS(Q)'!AK48</f>
        <v>0</v>
      </c>
      <c r="AL16" s="1289">
        <f>'IS(Q)'!AL48</f>
        <v>0</v>
      </c>
      <c r="AM16" s="1287">
        <f>'IS(Q)'!AM48</f>
        <v>0</v>
      </c>
      <c r="AN16" s="1288">
        <f>'IS(Q)'!AN48</f>
        <v>0</v>
      </c>
      <c r="AO16" s="1288">
        <f>'IS(Q)'!AO48</f>
        <v>0</v>
      </c>
      <c r="AP16" s="1289">
        <f>'IS(Q)'!AP48</f>
        <v>0</v>
      </c>
      <c r="AQ16" s="1287">
        <f>'IS(Q)'!AQ48</f>
        <v>0</v>
      </c>
      <c r="AR16" s="1288">
        <f>'IS(Q)'!AR48</f>
        <v>0</v>
      </c>
      <c r="AS16" s="1288">
        <f>'IS(Q)'!AS48</f>
        <v>0</v>
      </c>
      <c r="AT16" s="1289">
        <f>'IS(Q)'!AT48</f>
        <v>0</v>
      </c>
      <c r="AU16" s="1287">
        <f>'IS(Q)'!AU48</f>
        <v>0</v>
      </c>
      <c r="AV16" s="1288">
        <f>'IS(Q)'!AV48</f>
        <v>0</v>
      </c>
      <c r="AW16" s="1288">
        <f>'IS(Q)'!AW48</f>
        <v>0</v>
      </c>
      <c r="AX16" s="1289">
        <f>'IS(Q)'!AX48</f>
        <v>0</v>
      </c>
      <c r="AY16" s="1287">
        <f>'IS(Q)'!AY48</f>
        <v>0</v>
      </c>
      <c r="AZ16" s="1288">
        <f>'IS(Q)'!AZ48</f>
        <v>0</v>
      </c>
      <c r="BA16" s="1288">
        <f>'IS(Q)'!BA48</f>
        <v>0</v>
      </c>
      <c r="BB16" s="1289">
        <f>'IS(Q)'!BB48</f>
        <v>0</v>
      </c>
      <c r="BC16" s="1287">
        <f>'IS(Q)'!BC48</f>
        <v>0</v>
      </c>
      <c r="BD16" s="1288">
        <f>'IS(Q)'!BD48</f>
        <v>0</v>
      </c>
      <c r="BE16" s="1288">
        <f>'IS(Q)'!BE48</f>
        <v>0</v>
      </c>
      <c r="BF16" s="1289">
        <f>'IS(Q)'!BF48</f>
        <v>0</v>
      </c>
      <c r="BG16" s="1287">
        <f>'IS(Q)'!BG48</f>
        <v>0</v>
      </c>
      <c r="BH16" s="1288">
        <f>'IS(Q)'!BH48</f>
        <v>0</v>
      </c>
      <c r="BI16" s="1288">
        <f>'IS(Q)'!BI48</f>
        <v>0</v>
      </c>
      <c r="BJ16" s="1289">
        <f>'IS(Q)'!BJ48</f>
        <v>0</v>
      </c>
      <c r="BK16" s="1287">
        <f>'IS(Q)'!BK48</f>
        <v>0</v>
      </c>
      <c r="BL16" s="1288">
        <f>'IS(Q)'!BL48</f>
        <v>0</v>
      </c>
      <c r="BM16" s="1288">
        <f>'IS(Q)'!BM48</f>
        <v>0</v>
      </c>
      <c r="BN16" s="1289">
        <f>'IS(Q)'!BN48</f>
        <v>0</v>
      </c>
      <c r="BO16" s="1287">
        <f>'IS(Q)'!BO48</f>
        <v>0</v>
      </c>
      <c r="BP16" s="1288">
        <f>'IS(Q)'!BP48</f>
        <v>0</v>
      </c>
      <c r="BQ16" s="1288">
        <f>'IS(Q)'!BQ48</f>
        <v>0</v>
      </c>
      <c r="BR16" s="1289">
        <f>'IS(Q)'!BR48</f>
        <v>0</v>
      </c>
      <c r="BS16" s="1287">
        <f>'IS(Q)'!BS48</f>
        <v>0</v>
      </c>
      <c r="BT16" s="1288">
        <f>'IS(Q)'!BT48</f>
        <v>0</v>
      </c>
      <c r="BU16" s="1288">
        <f>'IS(Q)'!BU48</f>
        <v>0</v>
      </c>
      <c r="BV16" s="1289">
        <f>'IS(Q)'!BV48</f>
        <v>0</v>
      </c>
      <c r="BW16" s="1287">
        <f>'IS(Q)'!BW48</f>
        <v>0</v>
      </c>
      <c r="BX16" s="1288">
        <f>'IS(Q)'!BX48</f>
        <v>0</v>
      </c>
      <c r="BY16" s="1288">
        <f>'IS(Q)'!BY48</f>
        <v>0</v>
      </c>
      <c r="BZ16" s="1289">
        <f>'IS(Q)'!BZ48</f>
        <v>0</v>
      </c>
      <c r="CA16" s="1287">
        <f>'IS(Q)'!CA48</f>
        <v>0</v>
      </c>
      <c r="CB16" s="1288">
        <f>'IS(Q)'!CB48</f>
        <v>0</v>
      </c>
      <c r="CC16" s="1288">
        <f>'IS(Q)'!CC48</f>
        <v>0</v>
      </c>
      <c r="CD16" s="1289">
        <f>'IS(Q)'!CD48</f>
        <v>0</v>
      </c>
      <c r="CE16" s="1287">
        <f>'IS(Q)'!CE48</f>
        <v>0</v>
      </c>
      <c r="CF16" s="1288">
        <f>'IS(Q)'!CF48</f>
        <v>0</v>
      </c>
      <c r="CG16" s="1288">
        <f>'IS(Q)'!CG48</f>
        <v>0</v>
      </c>
      <c r="CH16" s="1289">
        <f>'IS(Q)'!CH48</f>
        <v>0</v>
      </c>
      <c r="CI16" s="1287">
        <f>'IS(Q)'!CI48</f>
        <v>0</v>
      </c>
      <c r="CJ16" s="1288">
        <f>'IS(Q)'!CJ48</f>
        <v>0</v>
      </c>
      <c r="CK16" s="1288">
        <f>'IS(Q)'!CK48</f>
        <v>0</v>
      </c>
      <c r="CL16" s="1289">
        <f>'IS(Q)'!CL48</f>
        <v>0</v>
      </c>
      <c r="CM16" s="1287">
        <f>'IS(Q)'!CM48</f>
        <v>0</v>
      </c>
      <c r="CN16" s="1288">
        <f>'IS(Q)'!CN48</f>
        <v>0</v>
      </c>
      <c r="CO16" s="1288">
        <f>'IS(Q)'!CO48</f>
        <v>0</v>
      </c>
      <c r="CP16" s="1289">
        <f>'IS(Q)'!CP48</f>
        <v>0</v>
      </c>
      <c r="CQ16" s="1287">
        <f>'IS(Q)'!CQ48</f>
        <v>0</v>
      </c>
      <c r="CR16" s="1288">
        <f>'IS(Q)'!CR48</f>
        <v>0</v>
      </c>
      <c r="CS16" s="1288">
        <f>'IS(Q)'!CS48</f>
        <v>0</v>
      </c>
      <c r="CT16" s="1289">
        <f>'IS(Q)'!CT48</f>
        <v>0</v>
      </c>
      <c r="CU16" s="1287">
        <f>'IS(Q)'!CU48</f>
        <v>0</v>
      </c>
      <c r="CV16" s="1288">
        <f>'IS(Q)'!CV48</f>
        <v>0</v>
      </c>
      <c r="CW16" s="1288">
        <f>'IS(Q)'!CW48</f>
        <v>0</v>
      </c>
      <c r="CX16" s="1289">
        <f>'IS(Q)'!CX48</f>
        <v>0</v>
      </c>
      <c r="CY16" s="1287">
        <f>'IS(Q)'!CY48</f>
        <v>0</v>
      </c>
      <c r="CZ16" s="1288">
        <f>'IS(Q)'!CZ48</f>
        <v>0</v>
      </c>
      <c r="DA16" s="1288">
        <f>'IS(Q)'!DA48</f>
        <v>0</v>
      </c>
      <c r="DB16" s="1289">
        <f>'IS(Q)'!DB48</f>
        <v>0</v>
      </c>
      <c r="DC16" s="1287">
        <f>'IS(Q)'!DC48</f>
        <v>0</v>
      </c>
      <c r="DD16" s="1288">
        <f>'IS(Q)'!DD48</f>
        <v>0</v>
      </c>
      <c r="DE16" s="1288">
        <f>'IS(Q)'!DE48</f>
        <v>0</v>
      </c>
      <c r="DF16" s="1289">
        <f>'IS(Q)'!DF48</f>
        <v>0</v>
      </c>
      <c r="DG16" s="1287">
        <f>'IS(Q)'!DG48</f>
        <v>0</v>
      </c>
      <c r="DH16" s="1288">
        <f>'IS(Q)'!DH48</f>
        <v>0</v>
      </c>
      <c r="DI16" s="1288">
        <f>'IS(Q)'!DI48</f>
        <v>0</v>
      </c>
      <c r="DJ16" s="1289">
        <f>'IS(Q)'!DJ48</f>
        <v>0</v>
      </c>
      <c r="DK16" s="1287">
        <f>'IS(Q)'!DK48</f>
        <v>0</v>
      </c>
      <c r="DL16" s="1288">
        <f>'IS(Q)'!DL48</f>
        <v>0</v>
      </c>
      <c r="DM16" s="1288">
        <f>'IS(Q)'!DM48</f>
        <v>0</v>
      </c>
      <c r="DN16" s="1289">
        <f>'IS(Q)'!DN48</f>
        <v>0</v>
      </c>
      <c r="DO16" s="1287">
        <f>'IS(Q)'!DO48</f>
        <v>0</v>
      </c>
      <c r="DP16" s="1288">
        <f>'IS(Q)'!DP48</f>
        <v>0</v>
      </c>
      <c r="DQ16" s="1288">
        <f>'IS(Q)'!DQ48</f>
        <v>0</v>
      </c>
      <c r="DR16" s="1289">
        <f>'IS(Q)'!DR48</f>
        <v>0</v>
      </c>
      <c r="DS16" s="1287">
        <f>'IS(Q)'!DS48</f>
        <v>0</v>
      </c>
      <c r="DT16" s="1288">
        <f>'IS(Q)'!DT48</f>
        <v>0</v>
      </c>
      <c r="DU16" s="1288">
        <f>'IS(Q)'!DU48</f>
        <v>0</v>
      </c>
      <c r="DV16" s="1289">
        <f>'IS(Q)'!DV48</f>
        <v>0</v>
      </c>
      <c r="DW16" s="1287">
        <f>'IS(Q)'!DW48</f>
        <v>0</v>
      </c>
      <c r="DX16" s="1288">
        <f>'IS(Q)'!DX48</f>
        <v>0</v>
      </c>
      <c r="DY16" s="1288">
        <f>'IS(Q)'!DY48</f>
        <v>0</v>
      </c>
      <c r="DZ16" s="1289">
        <f>'IS(Q)'!DZ48</f>
        <v>0</v>
      </c>
      <c r="EA16" s="1287">
        <f>'IS(Q)'!EA48</f>
        <v>0</v>
      </c>
      <c r="EB16" s="1288">
        <f>'IS(Q)'!EB48</f>
        <v>0</v>
      </c>
      <c r="EC16" s="1288">
        <f>'IS(Q)'!EC48</f>
        <v>0</v>
      </c>
      <c r="ED16" s="1289">
        <f>'IS(Q)'!ED48</f>
        <v>0</v>
      </c>
      <c r="EE16" s="1287">
        <f>'IS(Q)'!EE48</f>
        <v>0</v>
      </c>
      <c r="EF16" s="1288">
        <f>'IS(Q)'!EF48</f>
        <v>0</v>
      </c>
      <c r="EG16" s="1288">
        <f>'IS(Q)'!EG48</f>
        <v>0</v>
      </c>
      <c r="EH16" s="1289">
        <f>'IS(Q)'!EH48</f>
        <v>0</v>
      </c>
      <c r="EI16" s="1287">
        <f>'IS(Q)'!EI48</f>
        <v>0</v>
      </c>
      <c r="EJ16" s="1288">
        <f>'IS(Q)'!EJ48</f>
        <v>0</v>
      </c>
      <c r="EK16" s="1288">
        <f>'IS(Q)'!EK48</f>
        <v>0</v>
      </c>
      <c r="EL16" s="1289">
        <f>'IS(Q)'!EL48</f>
        <v>0</v>
      </c>
      <c r="EM16" s="1287">
        <f>'IS(Q)'!EM48</f>
        <v>0</v>
      </c>
      <c r="EN16" s="1288">
        <f>'IS(Q)'!EN48</f>
        <v>0</v>
      </c>
      <c r="EO16" s="1288">
        <f>'IS(Q)'!EO48</f>
        <v>0</v>
      </c>
      <c r="EP16" s="1289">
        <f>'IS(Q)'!EP48</f>
        <v>0</v>
      </c>
      <c r="EQ16" s="1287">
        <f>'IS(Q)'!EQ48</f>
        <v>0</v>
      </c>
      <c r="ER16" s="1288">
        <f>'IS(Q)'!ER48</f>
        <v>0</v>
      </c>
      <c r="ES16" s="1288">
        <f>'IS(Q)'!ES48</f>
        <v>0</v>
      </c>
      <c r="ET16" s="1289">
        <f>'IS(Q)'!ET48</f>
        <v>0</v>
      </c>
      <c r="EU16" s="1287">
        <f>'IS(Q)'!EU48</f>
        <v>0</v>
      </c>
      <c r="EV16" s="1288">
        <f>'IS(Q)'!EV48</f>
        <v>0</v>
      </c>
      <c r="EW16" s="1288">
        <f>'IS(Q)'!EW48</f>
        <v>0</v>
      </c>
      <c r="EX16" s="1289">
        <f>'IS(Q)'!EX48</f>
        <v>0</v>
      </c>
      <c r="EY16" s="1287">
        <f>'IS(Q)'!EY48</f>
        <v>0</v>
      </c>
      <c r="EZ16" s="1288">
        <f>'IS(Q)'!EZ48</f>
        <v>0</v>
      </c>
      <c r="FA16" s="1288">
        <f>'IS(Q)'!FA48</f>
        <v>0</v>
      </c>
      <c r="FB16" s="1289">
        <f>'IS(Q)'!FB48</f>
        <v>0</v>
      </c>
      <c r="FC16" s="1287">
        <f>'IS(Q)'!FC48</f>
        <v>0</v>
      </c>
      <c r="FD16" s="1288">
        <f>'IS(Q)'!FD48</f>
        <v>0</v>
      </c>
      <c r="FE16" s="1288">
        <f>'IS(Q)'!FE48</f>
        <v>0</v>
      </c>
      <c r="FF16" s="1289">
        <f>'IS(Q)'!FF48</f>
        <v>0</v>
      </c>
      <c r="FG16" s="1287">
        <f>'IS(Q)'!FG48</f>
        <v>0</v>
      </c>
      <c r="FH16" s="1288">
        <f>'IS(Q)'!FH48</f>
        <v>0</v>
      </c>
      <c r="FI16" s="1288">
        <f>'IS(Q)'!FI48</f>
        <v>0</v>
      </c>
      <c r="FJ16" s="1289">
        <f>'IS(Q)'!FJ48</f>
        <v>0</v>
      </c>
      <c r="FK16" s="1287">
        <f>'IS(Q)'!FK48</f>
        <v>0</v>
      </c>
      <c r="FL16" s="1288">
        <f>'IS(Q)'!FL48</f>
        <v>0</v>
      </c>
      <c r="FM16" s="1288">
        <f>'IS(Q)'!FM48</f>
        <v>0</v>
      </c>
      <c r="FN16" s="1289">
        <f>'IS(Q)'!FN48</f>
        <v>0</v>
      </c>
      <c r="FO16" s="1287">
        <f>'IS(Q)'!FO48</f>
        <v>0</v>
      </c>
      <c r="FP16" s="1288">
        <f>'IS(Q)'!FP48</f>
        <v>0</v>
      </c>
      <c r="FQ16" s="1288">
        <f>'IS(Q)'!FQ48</f>
        <v>0</v>
      </c>
      <c r="FR16" s="1289">
        <f>'IS(Q)'!FR48</f>
        <v>0</v>
      </c>
      <c r="FS16" s="1287">
        <f>'IS(Q)'!FS48</f>
        <v>0</v>
      </c>
      <c r="FT16" s="1288">
        <f>'IS(Q)'!FT48</f>
        <v>0</v>
      </c>
      <c r="FU16" s="1288">
        <f>'IS(Q)'!FU48</f>
        <v>0</v>
      </c>
      <c r="FV16" s="1289">
        <f>'IS(Q)'!FV48</f>
        <v>0</v>
      </c>
      <c r="FW16" s="1287">
        <f>'IS(Q)'!FW48</f>
        <v>0</v>
      </c>
      <c r="FX16" s="1288">
        <f>'IS(Q)'!FX48</f>
        <v>0</v>
      </c>
      <c r="FY16" s="1288">
        <f>'IS(Q)'!FY48</f>
        <v>0</v>
      </c>
      <c r="FZ16" s="1289">
        <f>'IS(Q)'!FZ48</f>
        <v>0</v>
      </c>
      <c r="GA16" s="1287"/>
      <c r="GB16" s="1288"/>
      <c r="GC16" s="1288"/>
      <c r="GD16" s="1289"/>
    </row>
    <row r="17" spans="2:186" ht="17.100000000000001" customHeight="1">
      <c r="B17" s="720"/>
      <c r="C17" s="315" t="s">
        <v>1237</v>
      </c>
      <c r="D17" s="1259"/>
      <c r="E17" s="722"/>
      <c r="F17" s="1260">
        <f t="shared" ca="1" si="12"/>
        <v>13308.118287826785</v>
      </c>
      <c r="G17" s="1261">
        <f t="shared" ref="G17:BR17" ca="1" si="14">SUM(G18:G25)</f>
        <v>65.878731299485466</v>
      </c>
      <c r="H17" s="1262">
        <f t="shared" ca="1" si="14"/>
        <v>56.40843082957565</v>
      </c>
      <c r="I17" s="1262">
        <f t="shared" ca="1" si="14"/>
        <v>73.763253529575607</v>
      </c>
      <c r="J17" s="1263">
        <f t="shared" ca="1" si="14"/>
        <v>43.215749649575635</v>
      </c>
      <c r="K17" s="1261">
        <f t="shared" ca="1" si="14"/>
        <v>61.982557907646161</v>
      </c>
      <c r="L17" s="1262">
        <f t="shared" ca="1" si="14"/>
        <v>69.139462432046514</v>
      </c>
      <c r="M17" s="1262">
        <f t="shared" ca="1" si="14"/>
        <v>62.513526998425341</v>
      </c>
      <c r="N17" s="1263">
        <f t="shared" ca="1" si="14"/>
        <v>64.080331718425327</v>
      </c>
      <c r="O17" s="1264">
        <f t="shared" ca="1" si="14"/>
        <v>62.269588378425333</v>
      </c>
      <c r="P17" s="1265">
        <f t="shared" ca="1" si="14"/>
        <v>68.314736200219258</v>
      </c>
      <c r="Q17" s="1265">
        <f t="shared" ca="1" si="14"/>
        <v>53.608465171758674</v>
      </c>
      <c r="R17" s="1266">
        <f t="shared" ca="1" si="14"/>
        <v>61.683609974388979</v>
      </c>
      <c r="S17" s="1264">
        <f t="shared" ca="1" si="14"/>
        <v>63.240604075979562</v>
      </c>
      <c r="T17" s="1265">
        <f t="shared" ca="1" si="14"/>
        <v>68.34060407597957</v>
      </c>
      <c r="U17" s="1265">
        <f t="shared" ca="1" si="14"/>
        <v>65.440604075979564</v>
      </c>
      <c r="V17" s="1266">
        <f t="shared" ca="1" si="14"/>
        <v>65.440604075979564</v>
      </c>
      <c r="W17" s="1264">
        <f t="shared" ca="1" si="14"/>
        <v>66.754128386557085</v>
      </c>
      <c r="X17" s="1265">
        <f t="shared" ca="1" si="14"/>
        <v>66.454128386557088</v>
      </c>
      <c r="Y17" s="1265">
        <f t="shared" ca="1" si="14"/>
        <v>66.454128386557088</v>
      </c>
      <c r="Z17" s="1266">
        <f t="shared" ca="1" si="14"/>
        <v>66.454128386557088</v>
      </c>
      <c r="AA17" s="1264">
        <f t="shared" ca="1" si="14"/>
        <v>67.510222348185508</v>
      </c>
      <c r="AB17" s="1265">
        <f t="shared" ca="1" si="14"/>
        <v>67.210222348185511</v>
      </c>
      <c r="AC17" s="1265">
        <f t="shared" ca="1" si="14"/>
        <v>67.210222348185511</v>
      </c>
      <c r="AD17" s="1266">
        <f t="shared" ca="1" si="14"/>
        <v>67.210222348185511</v>
      </c>
      <c r="AE17" s="1264">
        <f t="shared" ca="1" si="14"/>
        <v>68.536156817879032</v>
      </c>
      <c r="AF17" s="1265">
        <f t="shared" ca="1" si="14"/>
        <v>68.236156817879049</v>
      </c>
      <c r="AG17" s="1265">
        <f t="shared" ca="1" si="14"/>
        <v>68.236156817879049</v>
      </c>
      <c r="AH17" s="1266">
        <f t="shared" ca="1" si="14"/>
        <v>68.236156817879049</v>
      </c>
      <c r="AI17" s="1264">
        <f t="shared" ca="1" si="14"/>
        <v>69.207110140105343</v>
      </c>
      <c r="AJ17" s="1265">
        <f t="shared" ca="1" si="14"/>
        <v>68.907110140105345</v>
      </c>
      <c r="AK17" s="1265">
        <f t="shared" ca="1" si="14"/>
        <v>68.907110140105345</v>
      </c>
      <c r="AL17" s="1266">
        <f t="shared" ca="1" si="14"/>
        <v>68.807110140105337</v>
      </c>
      <c r="AM17" s="1264">
        <f t="shared" ca="1" si="14"/>
        <v>70.848285302844502</v>
      </c>
      <c r="AN17" s="1265">
        <f t="shared" ca="1" si="14"/>
        <v>70.548285302844505</v>
      </c>
      <c r="AO17" s="1265">
        <f t="shared" ca="1" si="14"/>
        <v>70.548285302844505</v>
      </c>
      <c r="AP17" s="1266">
        <f t="shared" ca="1" si="14"/>
        <v>70.548285302844505</v>
      </c>
      <c r="AQ17" s="1264">
        <f t="shared" ca="1" si="14"/>
        <v>71.968208097365363</v>
      </c>
      <c r="AR17" s="1265">
        <f t="shared" ca="1" si="14"/>
        <v>71.668208097365365</v>
      </c>
      <c r="AS17" s="1265">
        <f t="shared" ca="1" si="14"/>
        <v>71.668208097365365</v>
      </c>
      <c r="AT17" s="1266">
        <f t="shared" ca="1" si="14"/>
        <v>71.668208097365365</v>
      </c>
      <c r="AU17" s="1264">
        <f t="shared" ca="1" si="14"/>
        <v>74.84245648181529</v>
      </c>
      <c r="AV17" s="1265">
        <f t="shared" ca="1" si="14"/>
        <v>74.542456481815293</v>
      </c>
      <c r="AW17" s="1265">
        <f t="shared" ca="1" si="14"/>
        <v>74.542456481815293</v>
      </c>
      <c r="AX17" s="1266">
        <f t="shared" ca="1" si="14"/>
        <v>74.542456481815293</v>
      </c>
      <c r="AY17" s="1264">
        <f t="shared" ca="1" si="14"/>
        <v>74.442460600117741</v>
      </c>
      <c r="AZ17" s="1265">
        <f t="shared" ca="1" si="14"/>
        <v>74.442460600117741</v>
      </c>
      <c r="BA17" s="1265">
        <f t="shared" ca="1" si="14"/>
        <v>74.442460600117741</v>
      </c>
      <c r="BB17" s="1266">
        <f t="shared" ca="1" si="14"/>
        <v>74.442460600117741</v>
      </c>
      <c r="BC17" s="1264">
        <f t="shared" ca="1" si="14"/>
        <v>76.688547702422667</v>
      </c>
      <c r="BD17" s="1265">
        <f t="shared" ca="1" si="14"/>
        <v>76.688547702422667</v>
      </c>
      <c r="BE17" s="1265">
        <f t="shared" ca="1" si="14"/>
        <v>76.688547702422667</v>
      </c>
      <c r="BF17" s="1266">
        <f t="shared" ca="1" si="14"/>
        <v>75.988547702422679</v>
      </c>
      <c r="BG17" s="1264">
        <f t="shared" ca="1" si="14"/>
        <v>76.760463918968412</v>
      </c>
      <c r="BH17" s="1265">
        <f t="shared" ca="1" si="14"/>
        <v>76.760463918968412</v>
      </c>
      <c r="BI17" s="1265">
        <f t="shared" ca="1" si="14"/>
        <v>76.760463918968412</v>
      </c>
      <c r="BJ17" s="1266">
        <f t="shared" ca="1" si="14"/>
        <v>76.760463918968412</v>
      </c>
      <c r="BK17" s="1264">
        <f t="shared" ca="1" si="14"/>
        <v>77.963713428187475</v>
      </c>
      <c r="BL17" s="1265">
        <f t="shared" ca="1" si="14"/>
        <v>77.963713428187475</v>
      </c>
      <c r="BM17" s="1265">
        <f t="shared" ca="1" si="14"/>
        <v>77.963713428187475</v>
      </c>
      <c r="BN17" s="1266">
        <f t="shared" ca="1" si="14"/>
        <v>77.963713428187475</v>
      </c>
      <c r="BO17" s="1264">
        <f t="shared" ca="1" si="14"/>
        <v>78.938400476111198</v>
      </c>
      <c r="BP17" s="1265">
        <f t="shared" ca="1" si="14"/>
        <v>78.938400476111198</v>
      </c>
      <c r="BQ17" s="1265">
        <f t="shared" ca="1" si="14"/>
        <v>78.938400476111198</v>
      </c>
      <c r="BR17" s="1266">
        <f t="shared" ca="1" si="14"/>
        <v>78.938400476111198</v>
      </c>
      <c r="BS17" s="1264">
        <f t="shared" ref="BS17:ED17" ca="1" si="15">SUM(BS18:BS25)</f>
        <v>81.438916367452109</v>
      </c>
      <c r="BT17" s="1265">
        <f t="shared" ca="1" si="15"/>
        <v>81.438916367452109</v>
      </c>
      <c r="BU17" s="1265">
        <f t="shared" ca="1" si="15"/>
        <v>81.438916367452109</v>
      </c>
      <c r="BV17" s="1266">
        <f t="shared" ca="1" si="15"/>
        <v>81.438916367452109</v>
      </c>
      <c r="BW17" s="1264">
        <f t="shared" ca="1" si="15"/>
        <v>81.978400130937402</v>
      </c>
      <c r="BX17" s="1265">
        <f t="shared" ca="1" si="15"/>
        <v>81.978400130937402</v>
      </c>
      <c r="BY17" s="1265">
        <f t="shared" ca="1" si="15"/>
        <v>81.978400130937402</v>
      </c>
      <c r="BZ17" s="1266">
        <f t="shared" ca="1" si="15"/>
        <v>81.978400130937402</v>
      </c>
      <c r="CA17" s="1264">
        <f t="shared" ca="1" si="15"/>
        <v>83.414958178442873</v>
      </c>
      <c r="CB17" s="1265">
        <f t="shared" ca="1" si="15"/>
        <v>83.414958178442873</v>
      </c>
      <c r="CC17" s="1265">
        <f t="shared" ca="1" si="15"/>
        <v>83.414958178442873</v>
      </c>
      <c r="CD17" s="1266">
        <f t="shared" ca="1" si="15"/>
        <v>83.414958178442873</v>
      </c>
      <c r="CE17" s="1264">
        <f t="shared" ca="1" si="15"/>
        <v>85.558345641665454</v>
      </c>
      <c r="CF17" s="1265">
        <f t="shared" ca="1" si="15"/>
        <v>85.558345641665454</v>
      </c>
      <c r="CG17" s="1265">
        <f t="shared" ca="1" si="15"/>
        <v>85.558345641665454</v>
      </c>
      <c r="CH17" s="1266">
        <f t="shared" ca="1" si="15"/>
        <v>85.558345641665454</v>
      </c>
      <c r="CI17" s="1264">
        <f t="shared" ca="1" si="15"/>
        <v>89.152074465756456</v>
      </c>
      <c r="CJ17" s="1265">
        <f t="shared" ca="1" si="15"/>
        <v>89.152074465756456</v>
      </c>
      <c r="CK17" s="1265">
        <f t="shared" ca="1" si="15"/>
        <v>89.152074465756456</v>
      </c>
      <c r="CL17" s="1266">
        <f t="shared" ca="1" si="15"/>
        <v>89.152074465756456</v>
      </c>
      <c r="CM17" s="1264">
        <f t="shared" ca="1" si="15"/>
        <v>85.860522261247326</v>
      </c>
      <c r="CN17" s="1265">
        <f t="shared" ca="1" si="15"/>
        <v>85.860522261247326</v>
      </c>
      <c r="CO17" s="1265">
        <f t="shared" ca="1" si="15"/>
        <v>85.860522261247326</v>
      </c>
      <c r="CP17" s="1266">
        <f t="shared" ca="1" si="15"/>
        <v>85.860522261247326</v>
      </c>
      <c r="CQ17" s="1264">
        <f t="shared" ca="1" si="15"/>
        <v>86.148250608550256</v>
      </c>
      <c r="CR17" s="1265">
        <f t="shared" ca="1" si="15"/>
        <v>86.148250608550256</v>
      </c>
      <c r="CS17" s="1265">
        <f t="shared" ca="1" si="15"/>
        <v>86.148250608550256</v>
      </c>
      <c r="CT17" s="1266">
        <f t="shared" ca="1" si="15"/>
        <v>84.448250608550239</v>
      </c>
      <c r="CU17" s="1264">
        <f t="shared" ca="1" si="15"/>
        <v>85.458496076741</v>
      </c>
      <c r="CV17" s="1265">
        <f t="shared" ca="1" si="15"/>
        <v>85.458496076741</v>
      </c>
      <c r="CW17" s="1265">
        <f t="shared" ca="1" si="15"/>
        <v>85.458496076741</v>
      </c>
      <c r="CX17" s="1266">
        <f t="shared" ca="1" si="15"/>
        <v>85.458496076741</v>
      </c>
      <c r="CY17" s="1264">
        <f t="shared" ca="1" si="15"/>
        <v>86.911582388283733</v>
      </c>
      <c r="CZ17" s="1265">
        <f t="shared" ca="1" si="15"/>
        <v>86.911582388283733</v>
      </c>
      <c r="DA17" s="1265">
        <f t="shared" ca="1" si="15"/>
        <v>86.911582388283733</v>
      </c>
      <c r="DB17" s="1266">
        <f t="shared" ca="1" si="15"/>
        <v>86.911582388283733</v>
      </c>
      <c r="DC17" s="1264">
        <f t="shared" ca="1" si="15"/>
        <v>87.641252962078653</v>
      </c>
      <c r="DD17" s="1265">
        <f t="shared" ca="1" si="15"/>
        <v>87.641252962078653</v>
      </c>
      <c r="DE17" s="1265">
        <f t="shared" ca="1" si="15"/>
        <v>87.641252962078653</v>
      </c>
      <c r="DF17" s="1266">
        <f t="shared" ca="1" si="15"/>
        <v>87.641252962078653</v>
      </c>
      <c r="DG17" s="1264">
        <f t="shared" ca="1" si="15"/>
        <v>89.759069233276051</v>
      </c>
      <c r="DH17" s="1265">
        <f t="shared" ca="1" si="15"/>
        <v>89.759069233276051</v>
      </c>
      <c r="DI17" s="1265">
        <f t="shared" ca="1" si="15"/>
        <v>89.759069233276051</v>
      </c>
      <c r="DJ17" s="1266">
        <f t="shared" ca="1" si="15"/>
        <v>89.759069233276051</v>
      </c>
      <c r="DK17" s="1264">
        <f t="shared" ca="1" si="15"/>
        <v>89.798809350703451</v>
      </c>
      <c r="DL17" s="1265">
        <f t="shared" ca="1" si="15"/>
        <v>89.798809350703451</v>
      </c>
      <c r="DM17" s="1265">
        <f t="shared" ca="1" si="15"/>
        <v>89.798809350703451</v>
      </c>
      <c r="DN17" s="1266">
        <f t="shared" ca="1" si="15"/>
        <v>89.798809350703451</v>
      </c>
      <c r="DO17" s="1264">
        <f t="shared" ca="1" si="15"/>
        <v>92.145194840083576</v>
      </c>
      <c r="DP17" s="1265">
        <f t="shared" ca="1" si="15"/>
        <v>92.145194840083576</v>
      </c>
      <c r="DQ17" s="1265">
        <f t="shared" ca="1" si="15"/>
        <v>92.145194840083576</v>
      </c>
      <c r="DR17" s="1266">
        <f t="shared" ca="1" si="15"/>
        <v>92.145194840083576</v>
      </c>
      <c r="DS17" s="1264">
        <f t="shared" ca="1" si="15"/>
        <v>93.652161267898578</v>
      </c>
      <c r="DT17" s="1265">
        <f t="shared" ca="1" si="15"/>
        <v>93.652161267898578</v>
      </c>
      <c r="DU17" s="1265">
        <f t="shared" ca="1" si="15"/>
        <v>93.652161267898578</v>
      </c>
      <c r="DV17" s="1266">
        <f t="shared" ca="1" si="15"/>
        <v>93.652161267898578</v>
      </c>
      <c r="DW17" s="1264">
        <f t="shared" ca="1" si="15"/>
        <v>97.084455324945679</v>
      </c>
      <c r="DX17" s="1265">
        <f t="shared" ca="1" si="15"/>
        <v>97.084455324945679</v>
      </c>
      <c r="DY17" s="1265">
        <f t="shared" ca="1" si="15"/>
        <v>97.084455324945679</v>
      </c>
      <c r="DZ17" s="1266">
        <f t="shared" ca="1" si="15"/>
        <v>97.084455324945679</v>
      </c>
      <c r="EA17" s="1264">
        <f t="shared" ca="1" si="15"/>
        <v>96.256122197544457</v>
      </c>
      <c r="EB17" s="1265">
        <f t="shared" ca="1" si="15"/>
        <v>96.256122197544457</v>
      </c>
      <c r="EC17" s="1265">
        <f t="shared" ca="1" si="15"/>
        <v>96.256122197544457</v>
      </c>
      <c r="ED17" s="1266">
        <f t="shared" ca="1" si="15"/>
        <v>96.256122197544457</v>
      </c>
      <c r="EE17" s="1264">
        <f t="shared" ref="EE17:FZ17" ca="1" si="16">SUM(EE18:EE25)</f>
        <v>97.86703921840865</v>
      </c>
      <c r="EF17" s="1265">
        <f t="shared" ca="1" si="16"/>
        <v>97.86703921840865</v>
      </c>
      <c r="EG17" s="1265">
        <f t="shared" ca="1" si="16"/>
        <v>97.86703921840865</v>
      </c>
      <c r="EH17" s="1266">
        <f t="shared" ca="1" si="16"/>
        <v>97.86703921840865</v>
      </c>
      <c r="EI17" s="1264">
        <f t="shared" ca="1" si="16"/>
        <v>99.705495487329159</v>
      </c>
      <c r="EJ17" s="1265">
        <f t="shared" ca="1" si="16"/>
        <v>99.705495487329159</v>
      </c>
      <c r="EK17" s="1265">
        <f t="shared" ca="1" si="16"/>
        <v>99.705495487329159</v>
      </c>
      <c r="EL17" s="1266">
        <f t="shared" ca="1" si="16"/>
        <v>99.705495487329159</v>
      </c>
      <c r="EM17" s="1264">
        <f t="shared" ca="1" si="16"/>
        <v>100.48372028434275</v>
      </c>
      <c r="EN17" s="1265">
        <f t="shared" ca="1" si="16"/>
        <v>100.48372028434275</v>
      </c>
      <c r="EO17" s="1265">
        <f t="shared" ca="1" si="16"/>
        <v>100.48372028434275</v>
      </c>
      <c r="EP17" s="1266">
        <f t="shared" ca="1" si="16"/>
        <v>100.48372028434275</v>
      </c>
      <c r="EQ17" s="1264">
        <f t="shared" ca="1" si="16"/>
        <v>101.13102934185176</v>
      </c>
      <c r="ER17" s="1265">
        <f t="shared" ca="1" si="16"/>
        <v>101.13102934185176</v>
      </c>
      <c r="ES17" s="1265">
        <f t="shared" ca="1" si="16"/>
        <v>101.13102934185176</v>
      </c>
      <c r="ET17" s="1266">
        <f t="shared" ca="1" si="16"/>
        <v>101.13102934185176</v>
      </c>
      <c r="EU17" s="1264">
        <f t="shared" ca="1" si="16"/>
        <v>102.04731967743933</v>
      </c>
      <c r="EV17" s="1265">
        <f t="shared" ca="1" si="16"/>
        <v>102.04731967743933</v>
      </c>
      <c r="EW17" s="1265">
        <f t="shared" ca="1" si="16"/>
        <v>102.04731967743933</v>
      </c>
      <c r="EX17" s="1266">
        <f t="shared" ca="1" si="16"/>
        <v>102.04731967743933</v>
      </c>
      <c r="EY17" s="1264">
        <f t="shared" ca="1" si="16"/>
        <v>102.38714942394246</v>
      </c>
      <c r="EZ17" s="1265">
        <f t="shared" ca="1" si="16"/>
        <v>102.38714942394246</v>
      </c>
      <c r="FA17" s="1265">
        <f t="shared" ca="1" si="16"/>
        <v>102.38714942394246</v>
      </c>
      <c r="FB17" s="1266">
        <f t="shared" ca="1" si="16"/>
        <v>102.38714942394246</v>
      </c>
      <c r="FC17" s="1264">
        <f t="shared" ca="1" si="16"/>
        <v>104.84836395780034</v>
      </c>
      <c r="FD17" s="1265">
        <f t="shared" ca="1" si="16"/>
        <v>104.84836395780034</v>
      </c>
      <c r="FE17" s="1265">
        <f t="shared" ca="1" si="16"/>
        <v>104.84836395780034</v>
      </c>
      <c r="FF17" s="1266">
        <f t="shared" ca="1" si="16"/>
        <v>104.84836395780034</v>
      </c>
      <c r="FG17" s="1264">
        <f t="shared" ca="1" si="16"/>
        <v>105.53900167963366</v>
      </c>
      <c r="FH17" s="1265">
        <f t="shared" ca="1" si="16"/>
        <v>105.53900167963366</v>
      </c>
      <c r="FI17" s="1265">
        <f t="shared" ca="1" si="16"/>
        <v>105.53900167963366</v>
      </c>
      <c r="FJ17" s="1266">
        <f t="shared" ca="1" si="16"/>
        <v>105.53900167963366</v>
      </c>
      <c r="FK17" s="1264">
        <f t="shared" ca="1" si="16"/>
        <v>148.68520648364216</v>
      </c>
      <c r="FL17" s="1265">
        <f t="shared" ca="1" si="16"/>
        <v>148.68520648364216</v>
      </c>
      <c r="FM17" s="1265">
        <f t="shared" ca="1" si="16"/>
        <v>54.148761281559693</v>
      </c>
      <c r="FN17" s="1266">
        <f t="shared" ca="1" si="16"/>
        <v>54.148761281559693</v>
      </c>
      <c r="FO17" s="1264">
        <f t="shared" ca="1" si="16"/>
        <v>0</v>
      </c>
      <c r="FP17" s="1265">
        <f t="shared" ca="1" si="16"/>
        <v>0</v>
      </c>
      <c r="FQ17" s="1265">
        <f t="shared" ca="1" si="16"/>
        <v>0</v>
      </c>
      <c r="FR17" s="1266">
        <f t="shared" ca="1" si="16"/>
        <v>0</v>
      </c>
      <c r="FS17" s="1264">
        <f t="shared" ca="1" si="16"/>
        <v>0</v>
      </c>
      <c r="FT17" s="1265">
        <f t="shared" ca="1" si="16"/>
        <v>0</v>
      </c>
      <c r="FU17" s="1265">
        <f t="shared" ca="1" si="16"/>
        <v>0</v>
      </c>
      <c r="FV17" s="1266">
        <f t="shared" ca="1" si="16"/>
        <v>0</v>
      </c>
      <c r="FW17" s="1264">
        <f t="shared" ca="1" si="16"/>
        <v>0</v>
      </c>
      <c r="FX17" s="1265">
        <f t="shared" ca="1" si="16"/>
        <v>0</v>
      </c>
      <c r="FY17" s="1265">
        <f t="shared" ca="1" si="16"/>
        <v>0</v>
      </c>
      <c r="FZ17" s="1266">
        <f t="shared" ca="1" si="16"/>
        <v>0</v>
      </c>
      <c r="GA17" s="1264"/>
      <c r="GB17" s="1265"/>
      <c r="GC17" s="1265"/>
      <c r="GD17" s="1266"/>
    </row>
    <row r="18" spans="2:186" ht="17.100000000000001" customHeight="1">
      <c r="B18" s="307"/>
      <c r="D18" s="342" t="str">
        <f>D56</f>
        <v>운영위탁수수료</v>
      </c>
      <c r="E18" s="943"/>
      <c r="F18" s="1267">
        <f t="shared" ca="1" si="12"/>
        <v>9470.0151692661111</v>
      </c>
      <c r="G18" s="1268">
        <f>'IS(Q)'!G56</f>
        <v>38.856991586746418</v>
      </c>
      <c r="H18" s="1269">
        <f>'IS(Q)'!H56</f>
        <v>37.948306606746414</v>
      </c>
      <c r="I18" s="1269">
        <f>'IS(Q)'!I56</f>
        <v>41.696378276746415</v>
      </c>
      <c r="J18" s="1270">
        <f>'IS(Q)'!J56</f>
        <v>41.013944006746414</v>
      </c>
      <c r="K18" s="1268">
        <f ca="1">'IS(Q)'!K56</f>
        <v>40.622801710190231</v>
      </c>
      <c r="L18" s="1269">
        <f ca="1">'IS(Q)'!L56</f>
        <v>43.623798510190227</v>
      </c>
      <c r="M18" s="1269">
        <f ca="1">'IS(Q)'!M56</f>
        <v>41.344001070190231</v>
      </c>
      <c r="N18" s="1270">
        <f ca="1">'IS(Q)'!N56</f>
        <v>43.881986900190228</v>
      </c>
      <c r="O18" s="1271">
        <f>'IS(Q)'!O56</f>
        <v>42.609788399999999</v>
      </c>
      <c r="P18" s="1272">
        <f>'IS(Q)'!P56</f>
        <v>37.818069059999999</v>
      </c>
      <c r="Q18" s="1272">
        <f>'IS(Q)'!Q56</f>
        <v>44.457013280000005</v>
      </c>
      <c r="R18" s="1273">
        <f>'IS(Q)'!R56</f>
        <v>46.305146549219479</v>
      </c>
      <c r="S18" s="1271">
        <f ca="1">'IS(Q)'!S56</f>
        <v>44.734106664491506</v>
      </c>
      <c r="T18" s="1272">
        <f ca="1">'IS(Q)'!T56</f>
        <v>44.734106664491506</v>
      </c>
      <c r="U18" s="1272">
        <f ca="1">'IS(Q)'!U56</f>
        <v>44.734106664491506</v>
      </c>
      <c r="V18" s="1273">
        <f ca="1">'IS(Q)'!V56</f>
        <v>44.734106664491506</v>
      </c>
      <c r="W18" s="1271">
        <f ca="1">'IS(Q)'!W56</f>
        <v>45.710835700017235</v>
      </c>
      <c r="X18" s="1272">
        <f ca="1">'IS(Q)'!X56</f>
        <v>45.710835700017235</v>
      </c>
      <c r="Y18" s="1272">
        <f ca="1">'IS(Q)'!Y56</f>
        <v>45.710835700017235</v>
      </c>
      <c r="Z18" s="1273">
        <f ca="1">'IS(Q)'!Z56</f>
        <v>45.710835700017235</v>
      </c>
      <c r="AA18" s="1271">
        <f ca="1">'IS(Q)'!AA56</f>
        <v>46.12929705953335</v>
      </c>
      <c r="AB18" s="1272">
        <f ca="1">'IS(Q)'!AB56</f>
        <v>46.12929705953335</v>
      </c>
      <c r="AC18" s="1272">
        <f ca="1">'IS(Q)'!AC56</f>
        <v>46.12929705953335</v>
      </c>
      <c r="AD18" s="1273">
        <f ca="1">'IS(Q)'!AD56</f>
        <v>46.12929705953335</v>
      </c>
      <c r="AE18" s="1271">
        <f ca="1">'IS(Q)'!AE56</f>
        <v>47.219875643557813</v>
      </c>
      <c r="AF18" s="1272">
        <f ca="1">'IS(Q)'!AF56</f>
        <v>47.219875643557813</v>
      </c>
      <c r="AG18" s="1272">
        <f ca="1">'IS(Q)'!AG56</f>
        <v>47.219875643557813</v>
      </c>
      <c r="AH18" s="1273">
        <f ca="1">'IS(Q)'!AH56</f>
        <v>47.219875643557813</v>
      </c>
      <c r="AI18" s="1271">
        <f ca="1">'IS(Q)'!AI56</f>
        <v>47.574026844586008</v>
      </c>
      <c r="AJ18" s="1272">
        <f ca="1">'IS(Q)'!AJ56</f>
        <v>47.574026844586008</v>
      </c>
      <c r="AK18" s="1272">
        <f ca="1">'IS(Q)'!AK56</f>
        <v>47.574026844586008</v>
      </c>
      <c r="AL18" s="1273">
        <f ca="1">'IS(Q)'!AL56</f>
        <v>47.574026844586008</v>
      </c>
      <c r="AM18" s="1271">
        <f ca="1">'IS(Q)'!AM56</f>
        <v>48.613971842639081</v>
      </c>
      <c r="AN18" s="1272">
        <f ca="1">'IS(Q)'!AN56</f>
        <v>48.613971842639081</v>
      </c>
      <c r="AO18" s="1272">
        <f ca="1">'IS(Q)'!AO56</f>
        <v>48.613971842639081</v>
      </c>
      <c r="AP18" s="1273">
        <f ca="1">'IS(Q)'!AP56</f>
        <v>48.613971842639081</v>
      </c>
      <c r="AQ18" s="1271">
        <f ca="1">'IS(Q)'!AQ56</f>
        <v>50.087930383989182</v>
      </c>
      <c r="AR18" s="1272">
        <f ca="1">'IS(Q)'!AR56</f>
        <v>50.087930383989182</v>
      </c>
      <c r="AS18" s="1272">
        <f ca="1">'IS(Q)'!AS56</f>
        <v>50.087930383989182</v>
      </c>
      <c r="AT18" s="1273">
        <f ca="1">'IS(Q)'!AT56</f>
        <v>50.087930383989182</v>
      </c>
      <c r="AU18" s="1271">
        <f ca="1">'IS(Q)'!AU56</f>
        <v>51.242281949127893</v>
      </c>
      <c r="AV18" s="1272">
        <f ca="1">'IS(Q)'!AV56</f>
        <v>51.242281949127893</v>
      </c>
      <c r="AW18" s="1272">
        <f ca="1">'IS(Q)'!AW56</f>
        <v>51.242281949127893</v>
      </c>
      <c r="AX18" s="1273">
        <f ca="1">'IS(Q)'!AX56</f>
        <v>51.242281949127893</v>
      </c>
      <c r="AY18" s="1271">
        <f ca="1">'IS(Q)'!AY56</f>
        <v>52.165659706216118</v>
      </c>
      <c r="AZ18" s="1272">
        <f ca="1">'IS(Q)'!AZ56</f>
        <v>52.165659706216118</v>
      </c>
      <c r="BA18" s="1272">
        <f ca="1">'IS(Q)'!BA56</f>
        <v>52.165659706216118</v>
      </c>
      <c r="BB18" s="1273">
        <f ca="1">'IS(Q)'!BB56</f>
        <v>52.165659706216118</v>
      </c>
      <c r="BC18" s="1271">
        <f ca="1">'IS(Q)'!BC56</f>
        <v>53.38112248888261</v>
      </c>
      <c r="BD18" s="1272">
        <f ca="1">'IS(Q)'!BD56</f>
        <v>53.38112248888261</v>
      </c>
      <c r="BE18" s="1272">
        <f ca="1">'IS(Q)'!BE56</f>
        <v>53.38112248888261</v>
      </c>
      <c r="BF18" s="1273">
        <f ca="1">'IS(Q)'!BF56</f>
        <v>53.38112248888261</v>
      </c>
      <c r="BG18" s="1271">
        <f ca="1">'IS(Q)'!BG56</f>
        <v>54.285825793022127</v>
      </c>
      <c r="BH18" s="1272">
        <f ca="1">'IS(Q)'!BH56</f>
        <v>54.285825793022127</v>
      </c>
      <c r="BI18" s="1272">
        <f ca="1">'IS(Q)'!BI56</f>
        <v>54.285825793022127</v>
      </c>
      <c r="BJ18" s="1273">
        <f ca="1">'IS(Q)'!BJ56</f>
        <v>54.285825793022127</v>
      </c>
      <c r="BK18" s="1271">
        <f ca="1">'IS(Q)'!BK56</f>
        <v>55.52883173070424</v>
      </c>
      <c r="BL18" s="1272">
        <f ca="1">'IS(Q)'!BL56</f>
        <v>55.52883173070424</v>
      </c>
      <c r="BM18" s="1272">
        <f ca="1">'IS(Q)'!BM56</f>
        <v>55.52883173070424</v>
      </c>
      <c r="BN18" s="1273">
        <f ca="1">'IS(Q)'!BN56</f>
        <v>55.52883173070424</v>
      </c>
      <c r="BO18" s="1271">
        <f ca="1">'IS(Q)'!BO56</f>
        <v>55.744779608545272</v>
      </c>
      <c r="BP18" s="1272">
        <f ca="1">'IS(Q)'!BP56</f>
        <v>55.744779608545272</v>
      </c>
      <c r="BQ18" s="1272">
        <f ca="1">'IS(Q)'!BQ56</f>
        <v>55.744779608545272</v>
      </c>
      <c r="BR18" s="1273">
        <f ca="1">'IS(Q)'!BR56</f>
        <v>55.744779608545272</v>
      </c>
      <c r="BS18" s="1271">
        <f ca="1">'IS(Q)'!BS56</f>
        <v>56.697026684238899</v>
      </c>
      <c r="BT18" s="1272">
        <f ca="1">'IS(Q)'!BT56</f>
        <v>56.697026684238899</v>
      </c>
      <c r="BU18" s="1272">
        <f ca="1">'IS(Q)'!BU56</f>
        <v>56.697026684238899</v>
      </c>
      <c r="BV18" s="1273">
        <f ca="1">'IS(Q)'!BV56</f>
        <v>56.697026684238899</v>
      </c>
      <c r="BW18" s="1271">
        <f ca="1">'IS(Q)'!BW56</f>
        <v>57.159978576553627</v>
      </c>
      <c r="BX18" s="1272">
        <f ca="1">'IS(Q)'!BX56</f>
        <v>57.159978576553627</v>
      </c>
      <c r="BY18" s="1272">
        <f ca="1">'IS(Q)'!BY56</f>
        <v>57.159978576553627</v>
      </c>
      <c r="BZ18" s="1273">
        <f ca="1">'IS(Q)'!BZ56</f>
        <v>57.159978576553627</v>
      </c>
      <c r="CA18" s="1271">
        <f ca="1">'IS(Q)'!CA56</f>
        <v>58.350598222149607</v>
      </c>
      <c r="CB18" s="1272">
        <f ca="1">'IS(Q)'!CB56</f>
        <v>58.350598222149607</v>
      </c>
      <c r="CC18" s="1272">
        <f ca="1">'IS(Q)'!CC56</f>
        <v>58.350598222149607</v>
      </c>
      <c r="CD18" s="1273">
        <f ca="1">'IS(Q)'!CD56</f>
        <v>58.350598222149607</v>
      </c>
      <c r="CE18" s="1271">
        <f ca="1">'IS(Q)'!CE56</f>
        <v>59.02873885116329</v>
      </c>
      <c r="CF18" s="1272">
        <f ca="1">'IS(Q)'!CF56</f>
        <v>59.02873885116329</v>
      </c>
      <c r="CG18" s="1272">
        <f ca="1">'IS(Q)'!CG56</f>
        <v>59.02873885116329</v>
      </c>
      <c r="CH18" s="1273">
        <f ca="1">'IS(Q)'!CH56</f>
        <v>59.02873885116329</v>
      </c>
      <c r="CI18" s="1271">
        <f ca="1">'IS(Q)'!CI56</f>
        <v>60.009687562500318</v>
      </c>
      <c r="CJ18" s="1272">
        <f ca="1">'IS(Q)'!CJ56</f>
        <v>60.009687562500318</v>
      </c>
      <c r="CK18" s="1272">
        <f ca="1">'IS(Q)'!CK56</f>
        <v>60.009687562500318</v>
      </c>
      <c r="CL18" s="1273">
        <f ca="1">'IS(Q)'!CL56</f>
        <v>60.009687562500318</v>
      </c>
      <c r="CM18" s="1271">
        <f ca="1">'IS(Q)'!CM56</f>
        <v>60.882081103269336</v>
      </c>
      <c r="CN18" s="1272">
        <f ca="1">'IS(Q)'!CN56</f>
        <v>60.882081103269336</v>
      </c>
      <c r="CO18" s="1272">
        <f ca="1">'IS(Q)'!CO56</f>
        <v>60.882081103269336</v>
      </c>
      <c r="CP18" s="1273">
        <f ca="1">'IS(Q)'!CP56</f>
        <v>60.882081103269336</v>
      </c>
      <c r="CQ18" s="1271">
        <f ca="1">'IS(Q)'!CQ56</f>
        <v>62.039450553550331</v>
      </c>
      <c r="CR18" s="1272">
        <f ca="1">'IS(Q)'!CR56</f>
        <v>62.039450553550331</v>
      </c>
      <c r="CS18" s="1272">
        <f ca="1">'IS(Q)'!CS56</f>
        <v>62.039450553550331</v>
      </c>
      <c r="CT18" s="1273">
        <f ca="1">'IS(Q)'!CT56</f>
        <v>62.039450553550331</v>
      </c>
      <c r="CU18" s="1271">
        <f ca="1">'IS(Q)'!CU56</f>
        <v>62.493148339191734</v>
      </c>
      <c r="CV18" s="1272">
        <f ca="1">'IS(Q)'!CV56</f>
        <v>62.493148339191734</v>
      </c>
      <c r="CW18" s="1272">
        <f ca="1">'IS(Q)'!CW56</f>
        <v>62.493148339191734</v>
      </c>
      <c r="CX18" s="1273">
        <f ca="1">'IS(Q)'!CX56</f>
        <v>62.493148339191734</v>
      </c>
      <c r="CY18" s="1271">
        <f ca="1">'IS(Q)'!CY56</f>
        <v>63.743685075291737</v>
      </c>
      <c r="CZ18" s="1272">
        <f ca="1">'IS(Q)'!CZ56</f>
        <v>63.743685075291737</v>
      </c>
      <c r="DA18" s="1272">
        <f ca="1">'IS(Q)'!DA56</f>
        <v>63.743685075291737</v>
      </c>
      <c r="DB18" s="1273">
        <f ca="1">'IS(Q)'!DB56</f>
        <v>63.743685075291737</v>
      </c>
      <c r="DC18" s="1271">
        <f ca="1">'IS(Q)'!DC56</f>
        <v>63.905603951677527</v>
      </c>
      <c r="DD18" s="1272">
        <f ca="1">'IS(Q)'!DD56</f>
        <v>63.905603951677527</v>
      </c>
      <c r="DE18" s="1272">
        <f ca="1">'IS(Q)'!DE56</f>
        <v>63.905603951677527</v>
      </c>
      <c r="DF18" s="1273">
        <f ca="1">'IS(Q)'!DF56</f>
        <v>63.905603951677527</v>
      </c>
      <c r="DG18" s="1271">
        <f ca="1">'IS(Q)'!DG56</f>
        <v>65.409352409565727</v>
      </c>
      <c r="DH18" s="1272">
        <f ca="1">'IS(Q)'!DH56</f>
        <v>65.409352409565727</v>
      </c>
      <c r="DI18" s="1272">
        <f ca="1">'IS(Q)'!DI56</f>
        <v>65.409352409565727</v>
      </c>
      <c r="DJ18" s="1273">
        <f ca="1">'IS(Q)'!DJ56</f>
        <v>65.409352409565727</v>
      </c>
      <c r="DK18" s="1271">
        <f ca="1">'IS(Q)'!DK56</f>
        <v>65.836210154236454</v>
      </c>
      <c r="DL18" s="1272">
        <f ca="1">'IS(Q)'!DL56</f>
        <v>65.836210154236454</v>
      </c>
      <c r="DM18" s="1272">
        <f ca="1">'IS(Q)'!DM56</f>
        <v>65.836210154236454</v>
      </c>
      <c r="DN18" s="1273">
        <f ca="1">'IS(Q)'!DN56</f>
        <v>65.836210154236454</v>
      </c>
      <c r="DO18" s="1271">
        <f ca="1">'IS(Q)'!DO56</f>
        <v>66.846407391125922</v>
      </c>
      <c r="DP18" s="1272">
        <f ca="1">'IS(Q)'!DP56</f>
        <v>66.846407391125922</v>
      </c>
      <c r="DQ18" s="1272">
        <f ca="1">'IS(Q)'!DQ56</f>
        <v>66.846407391125922</v>
      </c>
      <c r="DR18" s="1273">
        <f ca="1">'IS(Q)'!DR56</f>
        <v>66.846407391125922</v>
      </c>
      <c r="DS18" s="1271">
        <f ca="1">'IS(Q)'!DS56</f>
        <v>68.758164293048154</v>
      </c>
      <c r="DT18" s="1272">
        <f ca="1">'IS(Q)'!DT56</f>
        <v>68.758164293048154</v>
      </c>
      <c r="DU18" s="1272">
        <f ca="1">'IS(Q)'!DU56</f>
        <v>68.758164293048154</v>
      </c>
      <c r="DV18" s="1273">
        <f ca="1">'IS(Q)'!DV56</f>
        <v>68.758164293048154</v>
      </c>
      <c r="DW18" s="1271">
        <f ca="1">'IS(Q)'!DW56</f>
        <v>70.752769178512864</v>
      </c>
      <c r="DX18" s="1272">
        <f ca="1">'IS(Q)'!DX56</f>
        <v>70.752769178512864</v>
      </c>
      <c r="DY18" s="1272">
        <f ca="1">'IS(Q)'!DY56</f>
        <v>70.752769178512864</v>
      </c>
      <c r="DZ18" s="1273">
        <f ca="1">'IS(Q)'!DZ56</f>
        <v>70.752769178512864</v>
      </c>
      <c r="EA18" s="1271">
        <f ca="1">'IS(Q)'!EA56</f>
        <v>71.817712705066725</v>
      </c>
      <c r="EB18" s="1272">
        <f ca="1">'IS(Q)'!EB56</f>
        <v>71.817712705066725</v>
      </c>
      <c r="EC18" s="1272">
        <f ca="1">'IS(Q)'!EC56</f>
        <v>71.817712705066725</v>
      </c>
      <c r="ED18" s="1273">
        <f ca="1">'IS(Q)'!ED56</f>
        <v>71.817712705066725</v>
      </c>
      <c r="EE18" s="1271">
        <f ca="1">'IS(Q)'!EE56</f>
        <v>73.187798286053109</v>
      </c>
      <c r="EF18" s="1272">
        <f ca="1">'IS(Q)'!EF56</f>
        <v>73.187798286053109</v>
      </c>
      <c r="EG18" s="1272">
        <f ca="1">'IS(Q)'!EG56</f>
        <v>73.187798286053109</v>
      </c>
      <c r="EH18" s="1273">
        <f ca="1">'IS(Q)'!EH56</f>
        <v>73.187798286053109</v>
      </c>
      <c r="EI18" s="1271">
        <f ca="1">'IS(Q)'!EI56</f>
        <v>74.183710496851958</v>
      </c>
      <c r="EJ18" s="1272">
        <f ca="1">'IS(Q)'!EJ56</f>
        <v>74.183710496851958</v>
      </c>
      <c r="EK18" s="1272">
        <f ca="1">'IS(Q)'!EK56</f>
        <v>74.183710496851958</v>
      </c>
      <c r="EL18" s="1273">
        <f ca="1">'IS(Q)'!EL56</f>
        <v>74.183710496851958</v>
      </c>
      <c r="EM18" s="1271">
        <f ca="1">'IS(Q)'!EM56</f>
        <v>75.644275098251399</v>
      </c>
      <c r="EN18" s="1272">
        <f ca="1">'IS(Q)'!EN56</f>
        <v>75.644275098251399</v>
      </c>
      <c r="EO18" s="1272">
        <f ca="1">'IS(Q)'!EO56</f>
        <v>75.644275098251399</v>
      </c>
      <c r="EP18" s="1273">
        <f ca="1">'IS(Q)'!EP56</f>
        <v>75.644275098251399</v>
      </c>
      <c r="EQ18" s="1271">
        <f ca="1">'IS(Q)'!EQ56</f>
        <v>76.159612494017551</v>
      </c>
      <c r="ER18" s="1272">
        <f ca="1">'IS(Q)'!ER56</f>
        <v>76.159612494017551</v>
      </c>
      <c r="ES18" s="1272">
        <f ca="1">'IS(Q)'!ES56</f>
        <v>76.159612494017551</v>
      </c>
      <c r="ET18" s="1273">
        <f ca="1">'IS(Q)'!ET56</f>
        <v>76.159612494017551</v>
      </c>
      <c r="EU18" s="1271">
        <f ca="1">'IS(Q)'!EU56</f>
        <v>77.735156209693059</v>
      </c>
      <c r="EV18" s="1272">
        <f ca="1">'IS(Q)'!EV56</f>
        <v>77.735156209693059</v>
      </c>
      <c r="EW18" s="1272">
        <f ca="1">'IS(Q)'!EW56</f>
        <v>77.735156209693059</v>
      </c>
      <c r="EX18" s="1273">
        <f ca="1">'IS(Q)'!EX56</f>
        <v>77.735156209693059</v>
      </c>
      <c r="EY18" s="1271">
        <f ca="1">'IS(Q)'!EY56</f>
        <v>78.156217314820267</v>
      </c>
      <c r="EZ18" s="1272">
        <f ca="1">'IS(Q)'!EZ56</f>
        <v>78.156217314820267</v>
      </c>
      <c r="FA18" s="1272">
        <f ca="1">'IS(Q)'!FA56</f>
        <v>78.156217314820267</v>
      </c>
      <c r="FB18" s="1273">
        <f ca="1">'IS(Q)'!FB56</f>
        <v>78.156217314820267</v>
      </c>
      <c r="FC18" s="1271">
        <f ca="1">'IS(Q)'!FC56</f>
        <v>79.825537386902013</v>
      </c>
      <c r="FD18" s="1272">
        <f ca="1">'IS(Q)'!FD56</f>
        <v>79.825537386902013</v>
      </c>
      <c r="FE18" s="1272">
        <f ca="1">'IS(Q)'!FE56</f>
        <v>79.825537386902013</v>
      </c>
      <c r="FF18" s="1273">
        <f ca="1">'IS(Q)'!FF56</f>
        <v>79.825537386902013</v>
      </c>
      <c r="FG18" s="1271">
        <f ca="1">'IS(Q)'!FG56</f>
        <v>82.027578048610167</v>
      </c>
      <c r="FH18" s="1272">
        <f ca="1">'IS(Q)'!FH56</f>
        <v>82.027578048610167</v>
      </c>
      <c r="FI18" s="1272">
        <f ca="1">'IS(Q)'!FI56</f>
        <v>82.027578048610167</v>
      </c>
      <c r="FJ18" s="1273">
        <f ca="1">'IS(Q)'!FJ56</f>
        <v>82.027578048610167</v>
      </c>
      <c r="FK18" s="1271">
        <f ca="1">'IS(Q)'!FK56</f>
        <v>83.274484385139132</v>
      </c>
      <c r="FL18" s="1272">
        <f ca="1">'IS(Q)'!FL56</f>
        <v>83.274484385139132</v>
      </c>
      <c r="FM18" s="1272">
        <f ca="1">'IS(Q)'!FM56</f>
        <v>0</v>
      </c>
      <c r="FN18" s="1273">
        <f ca="1">'IS(Q)'!FN56</f>
        <v>0</v>
      </c>
      <c r="FO18" s="1271">
        <f>'IS(Q)'!FO56</f>
        <v>0</v>
      </c>
      <c r="FP18" s="1272">
        <f>'IS(Q)'!FP56</f>
        <v>0</v>
      </c>
      <c r="FQ18" s="1272">
        <f>'IS(Q)'!FQ56</f>
        <v>0</v>
      </c>
      <c r="FR18" s="1273">
        <f>'IS(Q)'!FR56</f>
        <v>0</v>
      </c>
      <c r="FS18" s="1271">
        <f>'IS(Q)'!FS56</f>
        <v>0</v>
      </c>
      <c r="FT18" s="1272">
        <f>'IS(Q)'!FT56</f>
        <v>0</v>
      </c>
      <c r="FU18" s="1272">
        <f>'IS(Q)'!FU56</f>
        <v>0</v>
      </c>
      <c r="FV18" s="1273">
        <f>'IS(Q)'!FV56</f>
        <v>0</v>
      </c>
      <c r="FW18" s="1271">
        <f>'IS(Q)'!FW56</f>
        <v>0</v>
      </c>
      <c r="FX18" s="1272">
        <f>'IS(Q)'!FX56</f>
        <v>0</v>
      </c>
      <c r="FY18" s="1272">
        <f>'IS(Q)'!FY56</f>
        <v>0</v>
      </c>
      <c r="FZ18" s="1273">
        <f>'IS(Q)'!FZ56</f>
        <v>0</v>
      </c>
      <c r="GA18" s="1271"/>
      <c r="GB18" s="1272"/>
      <c r="GC18" s="1272"/>
      <c r="GD18" s="1273"/>
    </row>
    <row r="19" spans="2:186" ht="17.100000000000001" customHeight="1">
      <c r="B19" s="307"/>
      <c r="D19" s="1274" t="s">
        <v>5131</v>
      </c>
      <c r="E19" s="1868"/>
      <c r="F19" s="1207">
        <f t="shared" ca="1" si="12"/>
        <v>1303.8764184589104</v>
      </c>
      <c r="G19" s="1278">
        <f>'IS(Q)'!G57</f>
        <v>9.1371067732535884</v>
      </c>
      <c r="H19" s="1276">
        <f>'IS(Q)'!H57</f>
        <v>9.1371067732535884</v>
      </c>
      <c r="I19" s="1276">
        <f>'IS(Q)'!I57</f>
        <v>9.1371067732535884</v>
      </c>
      <c r="J19" s="1277">
        <f>'IS(Q)'!J57</f>
        <v>9.1371067732535884</v>
      </c>
      <c r="K19" s="1278">
        <f ca="1">'IS(Q)'!K57</f>
        <v>9.4939950598097731</v>
      </c>
      <c r="L19" s="1276">
        <f ca="1">'IS(Q)'!L57</f>
        <v>9.4939950598097731</v>
      </c>
      <c r="M19" s="1276">
        <f ca="1">'IS(Q)'!M57</f>
        <v>9.4939950598097731</v>
      </c>
      <c r="N19" s="1277">
        <f ca="1">'IS(Q)'!N57</f>
        <v>9.4939950598097731</v>
      </c>
      <c r="O19" s="1279">
        <f>'IS(Q)'!O57</f>
        <v>6.0069686000000004</v>
      </c>
      <c r="P19" s="1280">
        <f>'IS(Q)'!P57</f>
        <v>13.774487990000001</v>
      </c>
      <c r="Q19" s="1280">
        <f>'IS(Q)'!Q57</f>
        <v>5.2426435600000003</v>
      </c>
      <c r="R19" s="1281">
        <f>'IS(Q)'!R57</f>
        <v>5.61547017</v>
      </c>
      <c r="S19" s="1279">
        <f ca="1">'IS(Q)'!S57</f>
        <v>6.4513162030627358</v>
      </c>
      <c r="T19" s="1280">
        <f ca="1">'IS(Q)'!T57</f>
        <v>6.4513162030627358</v>
      </c>
      <c r="U19" s="1280">
        <f ca="1">'IS(Q)'!U57</f>
        <v>6.4513162030627358</v>
      </c>
      <c r="V19" s="1281">
        <f ca="1">'IS(Q)'!V57</f>
        <v>6.4513162030627358</v>
      </c>
      <c r="W19" s="1279">
        <f ca="1">'IS(Q)'!W57</f>
        <v>6.4881114781145213</v>
      </c>
      <c r="X19" s="1280">
        <f ca="1">'IS(Q)'!X57</f>
        <v>6.4881114781145213</v>
      </c>
      <c r="Y19" s="1280">
        <f ca="1">'IS(Q)'!Y57</f>
        <v>6.4881114781145213</v>
      </c>
      <c r="Z19" s="1281">
        <f ca="1">'IS(Q)'!Z57</f>
        <v>6.4881114781145213</v>
      </c>
      <c r="AA19" s="1279">
        <f ca="1">'IS(Q)'!AA57</f>
        <v>6.8257440802268405</v>
      </c>
      <c r="AB19" s="1280">
        <f ca="1">'IS(Q)'!AB57</f>
        <v>6.8257440802268405</v>
      </c>
      <c r="AC19" s="1280">
        <f ca="1">'IS(Q)'!AC57</f>
        <v>6.8257440802268405</v>
      </c>
      <c r="AD19" s="1281">
        <f ca="1">'IS(Q)'!AD57</f>
        <v>6.8257440802268405</v>
      </c>
      <c r="AE19" s="1279">
        <f ca="1">'IS(Q)'!AE57</f>
        <v>6.7220773155208979</v>
      </c>
      <c r="AF19" s="1280">
        <f ca="1">'IS(Q)'!AF57</f>
        <v>6.7220773155208979</v>
      </c>
      <c r="AG19" s="1280">
        <f ca="1">'IS(Q)'!AG57</f>
        <v>6.7220773155208979</v>
      </c>
      <c r="AH19" s="1281">
        <f ca="1">'IS(Q)'!AH57</f>
        <v>6.7220773155208979</v>
      </c>
      <c r="AI19" s="1279">
        <f ca="1">'IS(Q)'!AI57</f>
        <v>6.9770012200193738</v>
      </c>
      <c r="AJ19" s="1280">
        <f ca="1">'IS(Q)'!AJ57</f>
        <v>6.9770012200193738</v>
      </c>
      <c r="AK19" s="1280">
        <f ca="1">'IS(Q)'!AK57</f>
        <v>6.9770012200193738</v>
      </c>
      <c r="AL19" s="1281">
        <f ca="1">'IS(Q)'!AL57</f>
        <v>6.9770012200193738</v>
      </c>
      <c r="AM19" s="1279">
        <f ca="1">'IS(Q)'!AM57</f>
        <v>7.0333578932153502</v>
      </c>
      <c r="AN19" s="1280">
        <f ca="1">'IS(Q)'!AN57</f>
        <v>7.0333578932153502</v>
      </c>
      <c r="AO19" s="1280">
        <f ca="1">'IS(Q)'!AO57</f>
        <v>7.0333578932153502</v>
      </c>
      <c r="AP19" s="1281">
        <f ca="1">'IS(Q)'!AP57</f>
        <v>7.0333578932153502</v>
      </c>
      <c r="AQ19" s="1279">
        <f ca="1">'IS(Q)'!AQ57</f>
        <v>7.2047215449260831</v>
      </c>
      <c r="AR19" s="1280">
        <f ca="1">'IS(Q)'!AR57</f>
        <v>7.2047215449260831</v>
      </c>
      <c r="AS19" s="1280">
        <f ca="1">'IS(Q)'!AS57</f>
        <v>7.2047215449260831</v>
      </c>
      <c r="AT19" s="1281">
        <f ca="1">'IS(Q)'!AT57</f>
        <v>7.2047215449260831</v>
      </c>
      <c r="AU19" s="1279">
        <f ca="1">'IS(Q)'!AU57</f>
        <v>7.466822524285492</v>
      </c>
      <c r="AV19" s="1280">
        <f ca="1">'IS(Q)'!AV57</f>
        <v>7.466822524285492</v>
      </c>
      <c r="AW19" s="1280">
        <f ca="1">'IS(Q)'!AW57</f>
        <v>7.466822524285492</v>
      </c>
      <c r="AX19" s="1281">
        <f ca="1">'IS(Q)'!AX57</f>
        <v>7.466822524285492</v>
      </c>
      <c r="AY19" s="1279">
        <f ca="1">'IS(Q)'!AY57</f>
        <v>7.349799948110423</v>
      </c>
      <c r="AZ19" s="1280">
        <f ca="1">'IS(Q)'!AZ57</f>
        <v>7.349799948110423</v>
      </c>
      <c r="BA19" s="1280">
        <f ca="1">'IS(Q)'!BA57</f>
        <v>7.349799948110423</v>
      </c>
      <c r="BB19" s="1281">
        <f ca="1">'IS(Q)'!BB57</f>
        <v>7.349799948110423</v>
      </c>
      <c r="BC19" s="1279">
        <f ca="1">'IS(Q)'!BC57</f>
        <v>7.1887082108596108</v>
      </c>
      <c r="BD19" s="1280">
        <f ca="1">'IS(Q)'!BD57</f>
        <v>7.1887082108596108</v>
      </c>
      <c r="BE19" s="1280">
        <f ca="1">'IS(Q)'!BE57</f>
        <v>7.1887082108596108</v>
      </c>
      <c r="BF19" s="1281">
        <f ca="1">'IS(Q)'!BF57</f>
        <v>7.1887082108596108</v>
      </c>
      <c r="BG19" s="1279">
        <f ca="1">'IS(Q)'!BG57</f>
        <v>7.3290472284396913</v>
      </c>
      <c r="BH19" s="1280">
        <f ca="1">'IS(Q)'!BH57</f>
        <v>7.3290472284396913</v>
      </c>
      <c r="BI19" s="1280">
        <f ca="1">'IS(Q)'!BI57</f>
        <v>7.3290472284396913</v>
      </c>
      <c r="BJ19" s="1281">
        <f ca="1">'IS(Q)'!BJ57</f>
        <v>7.3290472284396913</v>
      </c>
      <c r="BK19" s="1279">
        <f ca="1">'IS(Q)'!BK57</f>
        <v>7.2780225496753106</v>
      </c>
      <c r="BL19" s="1280">
        <f ca="1">'IS(Q)'!BL57</f>
        <v>7.2780225496753106</v>
      </c>
      <c r="BM19" s="1280">
        <f ca="1">'IS(Q)'!BM57</f>
        <v>7.2780225496753106</v>
      </c>
      <c r="BN19" s="1281">
        <f ca="1">'IS(Q)'!BN57</f>
        <v>7.2780225496753106</v>
      </c>
      <c r="BO19" s="1279">
        <f ca="1">'IS(Q)'!BO57</f>
        <v>7.6099767395955205</v>
      </c>
      <c r="BP19" s="1280">
        <f ca="1">'IS(Q)'!BP57</f>
        <v>7.6099767395955205</v>
      </c>
      <c r="BQ19" s="1280">
        <f ca="1">'IS(Q)'!BQ57</f>
        <v>7.6099767395955205</v>
      </c>
      <c r="BR19" s="1281">
        <f ca="1">'IS(Q)'!BR57</f>
        <v>7.6099767395955205</v>
      </c>
      <c r="BS19" s="1279">
        <f ca="1">'IS(Q)'!BS57</f>
        <v>7.7501396440267216</v>
      </c>
      <c r="BT19" s="1280">
        <f ca="1">'IS(Q)'!BT57</f>
        <v>7.7501396440267216</v>
      </c>
      <c r="BU19" s="1280">
        <f ca="1">'IS(Q)'!BU57</f>
        <v>7.7501396440267216</v>
      </c>
      <c r="BV19" s="1281">
        <f ca="1">'IS(Q)'!BV57</f>
        <v>7.7501396440267216</v>
      </c>
      <c r="BW19" s="1279">
        <f ca="1">'IS(Q)'!BW57</f>
        <v>7.9357785155172955</v>
      </c>
      <c r="BX19" s="1280">
        <f ca="1">'IS(Q)'!BX57</f>
        <v>7.9357785155172955</v>
      </c>
      <c r="BY19" s="1280">
        <f ca="1">'IS(Q)'!BY57</f>
        <v>7.9357785155172955</v>
      </c>
      <c r="BZ19" s="1281">
        <f ca="1">'IS(Q)'!BZ57</f>
        <v>7.9357785155172955</v>
      </c>
      <c r="CA19" s="1279">
        <f ca="1">'IS(Q)'!CA57</f>
        <v>7.8830025076324741</v>
      </c>
      <c r="CB19" s="1280">
        <f ca="1">'IS(Q)'!CB57</f>
        <v>7.8830025076324741</v>
      </c>
      <c r="CC19" s="1280">
        <f ca="1">'IS(Q)'!CC57</f>
        <v>7.8830025076324741</v>
      </c>
      <c r="CD19" s="1281">
        <f ca="1">'IS(Q)'!CD57</f>
        <v>7.8830025076324741</v>
      </c>
      <c r="CE19" s="1279">
        <f ca="1">'IS(Q)'!CE57</f>
        <v>7.891554891252663</v>
      </c>
      <c r="CF19" s="1280">
        <f ca="1">'IS(Q)'!CF57</f>
        <v>7.891554891252663</v>
      </c>
      <c r="CG19" s="1280">
        <f ca="1">'IS(Q)'!CG57</f>
        <v>7.891554891252663</v>
      </c>
      <c r="CH19" s="1281">
        <f ca="1">'IS(Q)'!CH57</f>
        <v>7.891554891252663</v>
      </c>
      <c r="CI19" s="1279">
        <f ca="1">'IS(Q)'!CI57</f>
        <v>8.1085974276893573</v>
      </c>
      <c r="CJ19" s="1280">
        <f ca="1">'IS(Q)'!CJ57</f>
        <v>8.1085974276893573</v>
      </c>
      <c r="CK19" s="1280">
        <f ca="1">'IS(Q)'!CK57</f>
        <v>8.1085974276893573</v>
      </c>
      <c r="CL19" s="1281">
        <f ca="1">'IS(Q)'!CL57</f>
        <v>8.1085974276893573</v>
      </c>
      <c r="CM19" s="1279">
        <f ca="1">'IS(Q)'!CM57</f>
        <v>8.0219474979138781</v>
      </c>
      <c r="CN19" s="1280">
        <f ca="1">'IS(Q)'!CN57</f>
        <v>8.0219474979138781</v>
      </c>
      <c r="CO19" s="1280">
        <f ca="1">'IS(Q)'!CO57</f>
        <v>8.0219474979138781</v>
      </c>
      <c r="CP19" s="1281">
        <f ca="1">'IS(Q)'!CP57</f>
        <v>8.0219474979138781</v>
      </c>
      <c r="CQ19" s="1279">
        <f ca="1">'IS(Q)'!CQ57</f>
        <v>8.1214997582980804</v>
      </c>
      <c r="CR19" s="1280">
        <f ca="1">'IS(Q)'!CR57</f>
        <v>8.1214997582980804</v>
      </c>
      <c r="CS19" s="1280">
        <f ca="1">'IS(Q)'!CS57</f>
        <v>8.1214997582980804</v>
      </c>
      <c r="CT19" s="1281">
        <f ca="1">'IS(Q)'!CT57</f>
        <v>8.1214997582980804</v>
      </c>
      <c r="CU19" s="1279">
        <f ca="1">'IS(Q)'!CU57</f>
        <v>8.3862254266471545</v>
      </c>
      <c r="CV19" s="1280">
        <f ca="1">'IS(Q)'!CV57</f>
        <v>8.3862254266471545</v>
      </c>
      <c r="CW19" s="1280">
        <f ca="1">'IS(Q)'!CW57</f>
        <v>8.3862254266471545</v>
      </c>
      <c r="CX19" s="1281">
        <f ca="1">'IS(Q)'!CX57</f>
        <v>8.3862254266471545</v>
      </c>
      <c r="CY19" s="1279">
        <f ca="1">'IS(Q)'!CY57</f>
        <v>8.3740615162828487</v>
      </c>
      <c r="CZ19" s="1280">
        <f ca="1">'IS(Q)'!CZ57</f>
        <v>8.3740615162828487</v>
      </c>
      <c r="DA19" s="1280">
        <f ca="1">'IS(Q)'!DA57</f>
        <v>8.3740615162828487</v>
      </c>
      <c r="DB19" s="1281">
        <f ca="1">'IS(Q)'!DB57</f>
        <v>8.3740615162828487</v>
      </c>
      <c r="DC19" s="1279">
        <f ca="1">'IS(Q)'!DC57</f>
        <v>8.9418132136919812</v>
      </c>
      <c r="DD19" s="1280">
        <f ca="1">'IS(Q)'!DD57</f>
        <v>8.9418132136919812</v>
      </c>
      <c r="DE19" s="1280">
        <f ca="1">'IS(Q)'!DE57</f>
        <v>8.9418132136919812</v>
      </c>
      <c r="DF19" s="1281">
        <f ca="1">'IS(Q)'!DF57</f>
        <v>8.9418132136919812</v>
      </c>
      <c r="DG19" s="1279">
        <f ca="1">'IS(Q)'!DG57</f>
        <v>8.8203655417716877</v>
      </c>
      <c r="DH19" s="1280">
        <f ca="1">'IS(Q)'!DH57</f>
        <v>8.8203655417716877</v>
      </c>
      <c r="DI19" s="1280">
        <f ca="1">'IS(Q)'!DI57</f>
        <v>8.8203655417716877</v>
      </c>
      <c r="DJ19" s="1281">
        <f ca="1">'IS(Q)'!DJ57</f>
        <v>8.8203655417716877</v>
      </c>
      <c r="DK19" s="1279">
        <f ca="1">'IS(Q)'!DK57</f>
        <v>9.0500529301111072</v>
      </c>
      <c r="DL19" s="1280">
        <f ca="1">'IS(Q)'!DL57</f>
        <v>9.0500529301111072</v>
      </c>
      <c r="DM19" s="1280">
        <f ca="1">'IS(Q)'!DM57</f>
        <v>9.0500529301111072</v>
      </c>
      <c r="DN19" s="1281">
        <f ca="1">'IS(Q)'!DN57</f>
        <v>9.0500529301111072</v>
      </c>
      <c r="DO19" s="1279">
        <f ca="1">'IS(Q)'!DO57</f>
        <v>9.3864341679194254</v>
      </c>
      <c r="DP19" s="1280">
        <f ca="1">'IS(Q)'!DP57</f>
        <v>9.3864341679194254</v>
      </c>
      <c r="DQ19" s="1280">
        <f ca="1">'IS(Q)'!DQ57</f>
        <v>9.3864341679194254</v>
      </c>
      <c r="DR19" s="1281">
        <f ca="1">'IS(Q)'!DR57</f>
        <v>9.3864341679194254</v>
      </c>
      <c r="DS19" s="1279">
        <f ca="1">'IS(Q)'!DS57</f>
        <v>9.760252961763511</v>
      </c>
      <c r="DT19" s="1280">
        <f ca="1">'IS(Q)'!DT57</f>
        <v>9.760252961763511</v>
      </c>
      <c r="DU19" s="1280">
        <f ca="1">'IS(Q)'!DU57</f>
        <v>9.760252961763511</v>
      </c>
      <c r="DV19" s="1281">
        <f ca="1">'IS(Q)'!DV57</f>
        <v>9.760252961763511</v>
      </c>
      <c r="DW19" s="1279">
        <f ca="1">'IS(Q)'!DW57</f>
        <v>9.5599126792637819</v>
      </c>
      <c r="DX19" s="1280">
        <f ca="1">'IS(Q)'!DX57</f>
        <v>9.5599126792637819</v>
      </c>
      <c r="DY19" s="1280">
        <f ca="1">'IS(Q)'!DY57</f>
        <v>9.5599126792637819</v>
      </c>
      <c r="DZ19" s="1281">
        <f ca="1">'IS(Q)'!DZ57</f>
        <v>9.5599126792637819</v>
      </c>
      <c r="EA19" s="1279">
        <f ca="1">'IS(Q)'!EA57</f>
        <v>9.5010133093780222</v>
      </c>
      <c r="EB19" s="1280">
        <f ca="1">'IS(Q)'!EB57</f>
        <v>9.5010133093780222</v>
      </c>
      <c r="EC19" s="1280">
        <f ca="1">'IS(Q)'!EC57</f>
        <v>9.5010133093780222</v>
      </c>
      <c r="ED19" s="1281">
        <f ca="1">'IS(Q)'!ED57</f>
        <v>9.5010133093780222</v>
      </c>
      <c r="EE19" s="1279">
        <f ca="1">'IS(Q)'!EE57</f>
        <v>9.6792907736490914</v>
      </c>
      <c r="EF19" s="1280">
        <f ca="1">'IS(Q)'!EF57</f>
        <v>9.6792907736490914</v>
      </c>
      <c r="EG19" s="1280">
        <f ca="1">'IS(Q)'!EG57</f>
        <v>9.6792907736490914</v>
      </c>
      <c r="EH19" s="1281">
        <f ca="1">'IS(Q)'!EH57</f>
        <v>9.6792907736490914</v>
      </c>
      <c r="EI19" s="1279">
        <f ca="1">'IS(Q)'!EI57</f>
        <v>9.9823760482817665</v>
      </c>
      <c r="EJ19" s="1280">
        <f ca="1">'IS(Q)'!EJ57</f>
        <v>9.9823760482817665</v>
      </c>
      <c r="EK19" s="1280">
        <f ca="1">'IS(Q)'!EK57</f>
        <v>9.9823760482817665</v>
      </c>
      <c r="EL19" s="1281">
        <f ca="1">'IS(Q)'!EL57</f>
        <v>9.9823760482817665</v>
      </c>
      <c r="EM19" s="1279">
        <f ca="1">'IS(Q)'!EM57</f>
        <v>10.12810093688897</v>
      </c>
      <c r="EN19" s="1280">
        <f ca="1">'IS(Q)'!EN57</f>
        <v>10.12810093688897</v>
      </c>
      <c r="EO19" s="1280">
        <f ca="1">'IS(Q)'!EO57</f>
        <v>10.12810093688897</v>
      </c>
      <c r="EP19" s="1281">
        <f ca="1">'IS(Q)'!EP57</f>
        <v>10.12810093688897</v>
      </c>
      <c r="EQ19" s="1279">
        <f ca="1">'IS(Q)'!EQ57</f>
        <v>10.416063012157611</v>
      </c>
      <c r="ER19" s="1280">
        <f ca="1">'IS(Q)'!ER57</f>
        <v>10.416063012157611</v>
      </c>
      <c r="ES19" s="1280">
        <f ca="1">'IS(Q)'!ES57</f>
        <v>10.416063012157611</v>
      </c>
      <c r="ET19" s="1281">
        <f ca="1">'IS(Q)'!ET57</f>
        <v>10.416063012157611</v>
      </c>
      <c r="EU19" s="1279">
        <f ca="1">'IS(Q)'!EU57</f>
        <v>10.302809883357549</v>
      </c>
      <c r="EV19" s="1280">
        <f ca="1">'IS(Q)'!EV57</f>
        <v>10.302809883357549</v>
      </c>
      <c r="EW19" s="1280">
        <f ca="1">'IS(Q)'!EW57</f>
        <v>10.302809883357549</v>
      </c>
      <c r="EX19" s="1281">
        <f ca="1">'IS(Q)'!EX57</f>
        <v>10.302809883357549</v>
      </c>
      <c r="EY19" s="1279">
        <f ca="1">'IS(Q)'!EY57</f>
        <v>10.877008669520023</v>
      </c>
      <c r="EZ19" s="1280">
        <f ca="1">'IS(Q)'!EZ57</f>
        <v>10.877008669520023</v>
      </c>
      <c r="FA19" s="1280">
        <f ca="1">'IS(Q)'!FA57</f>
        <v>10.877008669520023</v>
      </c>
      <c r="FB19" s="1281">
        <f ca="1">'IS(Q)'!FB57</f>
        <v>10.877008669520023</v>
      </c>
      <c r="FC19" s="1279">
        <f ca="1">'IS(Q)'!FC57</f>
        <v>10.867714038704429</v>
      </c>
      <c r="FD19" s="1280">
        <f ca="1">'IS(Q)'!FD57</f>
        <v>10.867714038704429</v>
      </c>
      <c r="FE19" s="1280">
        <f ca="1">'IS(Q)'!FE57</f>
        <v>10.867714038704429</v>
      </c>
      <c r="FF19" s="1281">
        <f ca="1">'IS(Q)'!FF57</f>
        <v>10.867714038704429</v>
      </c>
      <c r="FG19" s="1279">
        <f ca="1">'IS(Q)'!FG57</f>
        <v>11.007509338484791</v>
      </c>
      <c r="FH19" s="1280">
        <f ca="1">'IS(Q)'!FH57</f>
        <v>11.007509338484791</v>
      </c>
      <c r="FI19" s="1280">
        <f ca="1">'IS(Q)'!FI57</f>
        <v>11.007509338484791</v>
      </c>
      <c r="FJ19" s="1281">
        <f ca="1">'IS(Q)'!FJ57</f>
        <v>11.007509338484791</v>
      </c>
      <c r="FK19" s="1279">
        <f ca="1">'IS(Q)'!FK57</f>
        <v>11.261960816943338</v>
      </c>
      <c r="FL19" s="1280">
        <f ca="1">'IS(Q)'!FL57</f>
        <v>11.261960816943338</v>
      </c>
      <c r="FM19" s="1280">
        <f ca="1">'IS(Q)'!FM57</f>
        <v>0</v>
      </c>
      <c r="FN19" s="1281">
        <f ca="1">'IS(Q)'!FN57</f>
        <v>0</v>
      </c>
      <c r="FO19" s="1279">
        <f>'IS(Q)'!FO57</f>
        <v>0</v>
      </c>
      <c r="FP19" s="1280">
        <f>'IS(Q)'!FP57</f>
        <v>0</v>
      </c>
      <c r="FQ19" s="1280">
        <f>'IS(Q)'!FQ57</f>
        <v>0</v>
      </c>
      <c r="FR19" s="1281">
        <f>'IS(Q)'!FR57</f>
        <v>0</v>
      </c>
      <c r="FS19" s="1279">
        <f>'IS(Q)'!FS57</f>
        <v>0</v>
      </c>
      <c r="FT19" s="1280">
        <f>'IS(Q)'!FT57</f>
        <v>0</v>
      </c>
      <c r="FU19" s="1280">
        <f>'IS(Q)'!FU57</f>
        <v>0</v>
      </c>
      <c r="FV19" s="1281">
        <f>'IS(Q)'!FV57</f>
        <v>0</v>
      </c>
      <c r="FW19" s="1279">
        <f>'IS(Q)'!FW57</f>
        <v>0</v>
      </c>
      <c r="FX19" s="1280">
        <f>'IS(Q)'!FX57</f>
        <v>0</v>
      </c>
      <c r="FY19" s="1280">
        <f>'IS(Q)'!FY57</f>
        <v>0</v>
      </c>
      <c r="FZ19" s="1281">
        <f>'IS(Q)'!FZ57</f>
        <v>0</v>
      </c>
      <c r="GA19" s="1279"/>
      <c r="GB19" s="1280"/>
      <c r="GC19" s="1280"/>
      <c r="GD19" s="1281"/>
    </row>
    <row r="20" spans="2:186" ht="17.100000000000001" customHeight="1">
      <c r="B20" s="307"/>
      <c r="D20" s="1274" t="str">
        <f>D58</f>
        <v>유지비</v>
      </c>
      <c r="E20" s="742"/>
      <c r="F20" s="1207">
        <f t="shared" ca="1" si="12"/>
        <v>41.97485677596859</v>
      </c>
      <c r="G20" s="1278">
        <f ca="1">'IS(Q)'!G58</f>
        <v>0</v>
      </c>
      <c r="H20" s="1276">
        <f ca="1">'IS(Q)'!H58</f>
        <v>0</v>
      </c>
      <c r="I20" s="1276">
        <f ca="1">'IS(Q)'!I58</f>
        <v>0</v>
      </c>
      <c r="J20" s="1277">
        <f ca="1">'IS(Q)'!J58</f>
        <v>0</v>
      </c>
      <c r="K20" s="1278">
        <f ca="1">'IS(Q)'!K58</f>
        <v>0</v>
      </c>
      <c r="L20" s="1276">
        <f ca="1">'IS(Q)'!L58</f>
        <v>0</v>
      </c>
      <c r="M20" s="1276">
        <f ca="1">'IS(Q)'!M58</f>
        <v>0</v>
      </c>
      <c r="N20" s="1277">
        <f ca="1">'IS(Q)'!N58</f>
        <v>0</v>
      </c>
      <c r="O20" s="1279">
        <f ca="1">'IS(Q)'!O58</f>
        <v>0</v>
      </c>
      <c r="P20" s="1280">
        <f ca="1">'IS(Q)'!P58</f>
        <v>0</v>
      </c>
      <c r="Q20" s="1280">
        <f ca="1">'IS(Q)'!Q58</f>
        <v>0</v>
      </c>
      <c r="R20" s="1281">
        <f ca="1">'IS(Q)'!R58</f>
        <v>0</v>
      </c>
      <c r="S20" s="1279">
        <f ca="1">'IS(Q)'!S58</f>
        <v>0</v>
      </c>
      <c r="T20" s="1280">
        <f ca="1">'IS(Q)'!T58</f>
        <v>0</v>
      </c>
      <c r="U20" s="1280">
        <f ca="1">'IS(Q)'!U58</f>
        <v>0</v>
      </c>
      <c r="V20" s="1281">
        <f ca="1">'IS(Q)'!V58</f>
        <v>0</v>
      </c>
      <c r="W20" s="1279">
        <f ca="1">'IS(Q)'!W58</f>
        <v>0</v>
      </c>
      <c r="X20" s="1280">
        <f ca="1">'IS(Q)'!X58</f>
        <v>0</v>
      </c>
      <c r="Y20" s="1280">
        <f ca="1">'IS(Q)'!Y58</f>
        <v>0</v>
      </c>
      <c r="Z20" s="1281">
        <f ca="1">'IS(Q)'!Z58</f>
        <v>0</v>
      </c>
      <c r="AA20" s="1279">
        <f ca="1">'IS(Q)'!AA58</f>
        <v>0</v>
      </c>
      <c r="AB20" s="1280">
        <f ca="1">'IS(Q)'!AB58</f>
        <v>0</v>
      </c>
      <c r="AC20" s="1280">
        <f ca="1">'IS(Q)'!AC58</f>
        <v>0</v>
      </c>
      <c r="AD20" s="1281">
        <f ca="1">'IS(Q)'!AD58</f>
        <v>0</v>
      </c>
      <c r="AE20" s="1279">
        <f ca="1">'IS(Q)'!AE58</f>
        <v>0</v>
      </c>
      <c r="AF20" s="1280">
        <f ca="1">'IS(Q)'!AF58</f>
        <v>0</v>
      </c>
      <c r="AG20" s="1280">
        <f ca="1">'IS(Q)'!AG58</f>
        <v>0</v>
      </c>
      <c r="AH20" s="1281">
        <f ca="1">'IS(Q)'!AH58</f>
        <v>0</v>
      </c>
      <c r="AI20" s="1279">
        <f ca="1">'IS(Q)'!AI58</f>
        <v>0</v>
      </c>
      <c r="AJ20" s="1280">
        <f ca="1">'IS(Q)'!AJ58</f>
        <v>0</v>
      </c>
      <c r="AK20" s="1280">
        <f ca="1">'IS(Q)'!AK58</f>
        <v>0</v>
      </c>
      <c r="AL20" s="1281">
        <f ca="1">'IS(Q)'!AL58</f>
        <v>0</v>
      </c>
      <c r="AM20" s="1279">
        <f ca="1">'IS(Q)'!AM58</f>
        <v>0.53076007530049996</v>
      </c>
      <c r="AN20" s="1280">
        <f ca="1">'IS(Q)'!AN58</f>
        <v>0.53076007530049996</v>
      </c>
      <c r="AO20" s="1280">
        <f ca="1">'IS(Q)'!AO58</f>
        <v>0.53076007530049996</v>
      </c>
      <c r="AP20" s="1281">
        <f ca="1">'IS(Q)'!AP58</f>
        <v>0.53076007530049996</v>
      </c>
      <c r="AQ20" s="1279">
        <f ca="1">'IS(Q)'!AQ58</f>
        <v>0</v>
      </c>
      <c r="AR20" s="1280">
        <f ca="1">'IS(Q)'!AR58</f>
        <v>0</v>
      </c>
      <c r="AS20" s="1280">
        <f ca="1">'IS(Q)'!AS58</f>
        <v>0</v>
      </c>
      <c r="AT20" s="1281">
        <f ca="1">'IS(Q)'!AT58</f>
        <v>0</v>
      </c>
      <c r="AU20" s="1279">
        <f ca="1">'IS(Q)'!AU58</f>
        <v>1.2344566444160108</v>
      </c>
      <c r="AV20" s="1280">
        <f ca="1">'IS(Q)'!AV58</f>
        <v>1.2344566444160108</v>
      </c>
      <c r="AW20" s="1280">
        <f ca="1">'IS(Q)'!AW58</f>
        <v>1.2344566444160108</v>
      </c>
      <c r="AX20" s="1281">
        <f ca="1">'IS(Q)'!AX58</f>
        <v>1.2344566444160108</v>
      </c>
      <c r="AY20" s="1279">
        <f ca="1">'IS(Q)'!AY58</f>
        <v>0</v>
      </c>
      <c r="AZ20" s="1280">
        <f ca="1">'IS(Q)'!AZ58</f>
        <v>0</v>
      </c>
      <c r="BA20" s="1280">
        <f ca="1">'IS(Q)'!BA58</f>
        <v>0</v>
      </c>
      <c r="BB20" s="1281">
        <f ca="1">'IS(Q)'!BB58</f>
        <v>0</v>
      </c>
      <c r="BC20" s="1279">
        <f ca="1">'IS(Q)'!BC58</f>
        <v>0.66277327524672269</v>
      </c>
      <c r="BD20" s="1280">
        <f ca="1">'IS(Q)'!BD58</f>
        <v>0.66277327524672269</v>
      </c>
      <c r="BE20" s="1280">
        <f ca="1">'IS(Q)'!BE58</f>
        <v>0.66277327524672269</v>
      </c>
      <c r="BF20" s="1281">
        <f ca="1">'IS(Q)'!BF58</f>
        <v>0.66277327524672269</v>
      </c>
      <c r="BG20" s="1279">
        <f ca="1">'IS(Q)'!BG58</f>
        <v>0</v>
      </c>
      <c r="BH20" s="1280">
        <f ca="1">'IS(Q)'!BH58</f>
        <v>0</v>
      </c>
      <c r="BI20" s="1280">
        <f ca="1">'IS(Q)'!BI58</f>
        <v>0</v>
      </c>
      <c r="BJ20" s="1281">
        <f ca="1">'IS(Q)'!BJ58</f>
        <v>0</v>
      </c>
      <c r="BK20" s="1279">
        <f ca="1">'IS(Q)'!BK58</f>
        <v>0</v>
      </c>
      <c r="BL20" s="1280">
        <f ca="1">'IS(Q)'!BL58</f>
        <v>0</v>
      </c>
      <c r="BM20" s="1280">
        <f ca="1">'IS(Q)'!BM58</f>
        <v>0</v>
      </c>
      <c r="BN20" s="1281">
        <f ca="1">'IS(Q)'!BN58</f>
        <v>0</v>
      </c>
      <c r="BO20" s="1279">
        <f ca="1">'IS(Q)'!BO58</f>
        <v>0</v>
      </c>
      <c r="BP20" s="1280">
        <f ca="1">'IS(Q)'!BP58</f>
        <v>0</v>
      </c>
      <c r="BQ20" s="1280">
        <f ca="1">'IS(Q)'!BQ58</f>
        <v>0</v>
      </c>
      <c r="BR20" s="1281">
        <f ca="1">'IS(Q)'!BR58</f>
        <v>0</v>
      </c>
      <c r="BS20" s="1279">
        <f ca="1">'IS(Q)'!BS58</f>
        <v>0.86210565992821786</v>
      </c>
      <c r="BT20" s="1280">
        <f ca="1">'IS(Q)'!BT58</f>
        <v>0.86210565992821786</v>
      </c>
      <c r="BU20" s="1280">
        <f ca="1">'IS(Q)'!BU58</f>
        <v>0.86210565992821786</v>
      </c>
      <c r="BV20" s="1281">
        <f ca="1">'IS(Q)'!BV58</f>
        <v>0.86210565992821786</v>
      </c>
      <c r="BW20" s="1279">
        <f ca="1">'IS(Q)'!BW58</f>
        <v>0</v>
      </c>
      <c r="BX20" s="1280">
        <f ca="1">'IS(Q)'!BX58</f>
        <v>0</v>
      </c>
      <c r="BY20" s="1280">
        <f ca="1">'IS(Q)'!BY58</f>
        <v>0</v>
      </c>
      <c r="BZ20" s="1281">
        <f ca="1">'IS(Q)'!BZ58</f>
        <v>0</v>
      </c>
      <c r="CA20" s="1279">
        <f ca="1">'IS(Q)'!CA58</f>
        <v>0</v>
      </c>
      <c r="CB20" s="1280">
        <f ca="1">'IS(Q)'!CB58</f>
        <v>0</v>
      </c>
      <c r="CC20" s="1280">
        <f ca="1">'IS(Q)'!CC58</f>
        <v>0</v>
      </c>
      <c r="CD20" s="1281">
        <f ca="1">'IS(Q)'!CD58</f>
        <v>0</v>
      </c>
      <c r="CE20" s="1279">
        <f ca="1">'IS(Q)'!CE58</f>
        <v>0.71058265882376137</v>
      </c>
      <c r="CF20" s="1280">
        <f ca="1">'IS(Q)'!CF58</f>
        <v>0.71058265882376137</v>
      </c>
      <c r="CG20" s="1280">
        <f ca="1">'IS(Q)'!CG58</f>
        <v>0.71058265882376137</v>
      </c>
      <c r="CH20" s="1281">
        <f ca="1">'IS(Q)'!CH58</f>
        <v>0.71058265882376137</v>
      </c>
      <c r="CI20" s="1279">
        <f ca="1">'IS(Q)'!CI58</f>
        <v>1.3636081222827976</v>
      </c>
      <c r="CJ20" s="1280">
        <f ca="1">'IS(Q)'!CJ58</f>
        <v>1.3636081222827976</v>
      </c>
      <c r="CK20" s="1280">
        <f ca="1">'IS(Q)'!CK58</f>
        <v>1.3636081222827976</v>
      </c>
      <c r="CL20" s="1281">
        <f ca="1">'IS(Q)'!CL58</f>
        <v>1.3636081222827976</v>
      </c>
      <c r="CM20" s="1279">
        <f ca="1">'IS(Q)'!CM58</f>
        <v>0</v>
      </c>
      <c r="CN20" s="1280">
        <f ca="1">'IS(Q)'!CN58</f>
        <v>0</v>
      </c>
      <c r="CO20" s="1280">
        <f ca="1">'IS(Q)'!CO58</f>
        <v>0</v>
      </c>
      <c r="CP20" s="1281">
        <f ca="1">'IS(Q)'!CP58</f>
        <v>0</v>
      </c>
      <c r="CQ20" s="1279">
        <f ca="1">'IS(Q)'!CQ58</f>
        <v>0</v>
      </c>
      <c r="CR20" s="1280">
        <f ca="1">'IS(Q)'!CR58</f>
        <v>0</v>
      </c>
      <c r="CS20" s="1280">
        <f ca="1">'IS(Q)'!CS58</f>
        <v>0</v>
      </c>
      <c r="CT20" s="1281">
        <f ca="1">'IS(Q)'!CT58</f>
        <v>0</v>
      </c>
      <c r="CU20" s="1279">
        <f ca="1">'IS(Q)'!CU58</f>
        <v>0</v>
      </c>
      <c r="CV20" s="1280">
        <f ca="1">'IS(Q)'!CV58</f>
        <v>0</v>
      </c>
      <c r="CW20" s="1280">
        <f ca="1">'IS(Q)'!CW58</f>
        <v>0</v>
      </c>
      <c r="CX20" s="1281">
        <f ca="1">'IS(Q)'!CX58</f>
        <v>0</v>
      </c>
      <c r="CY20" s="1279">
        <f ca="1">'IS(Q)'!CY58</f>
        <v>0</v>
      </c>
      <c r="CZ20" s="1280">
        <f ca="1">'IS(Q)'!CZ58</f>
        <v>0</v>
      </c>
      <c r="DA20" s="1280">
        <f ca="1">'IS(Q)'!DA58</f>
        <v>0</v>
      </c>
      <c r="DB20" s="1281">
        <f ca="1">'IS(Q)'!DB58</f>
        <v>0</v>
      </c>
      <c r="DC20" s="1279">
        <f ca="1">'IS(Q)'!DC58</f>
        <v>0</v>
      </c>
      <c r="DD20" s="1280">
        <f ca="1">'IS(Q)'!DD58</f>
        <v>0</v>
      </c>
      <c r="DE20" s="1280">
        <f ca="1">'IS(Q)'!DE58</f>
        <v>0</v>
      </c>
      <c r="DF20" s="1281">
        <f ca="1">'IS(Q)'!DF58</f>
        <v>0</v>
      </c>
      <c r="DG20" s="1279">
        <f ca="1">'IS(Q)'!DG58</f>
        <v>0.76184078911914899</v>
      </c>
      <c r="DH20" s="1280">
        <f ca="1">'IS(Q)'!DH58</f>
        <v>0.76184078911914899</v>
      </c>
      <c r="DI20" s="1280">
        <f ca="1">'IS(Q)'!DI58</f>
        <v>0.76184078911914899</v>
      </c>
      <c r="DJ20" s="1281">
        <f ca="1">'IS(Q)'!DJ58</f>
        <v>0.76184078911914899</v>
      </c>
      <c r="DK20" s="1279">
        <f ca="1">'IS(Q)'!DK58</f>
        <v>0</v>
      </c>
      <c r="DL20" s="1280">
        <f ca="1">'IS(Q)'!DL58</f>
        <v>0</v>
      </c>
      <c r="DM20" s="1280">
        <f ca="1">'IS(Q)'!DM58</f>
        <v>0</v>
      </c>
      <c r="DN20" s="1281">
        <f ca="1">'IS(Q)'!DN58</f>
        <v>0</v>
      </c>
      <c r="DO20" s="1279">
        <f ca="1">'IS(Q)'!DO58</f>
        <v>0.97144223622555481</v>
      </c>
      <c r="DP20" s="1280">
        <f ca="1">'IS(Q)'!DP58</f>
        <v>0.97144223622555481</v>
      </c>
      <c r="DQ20" s="1280">
        <f ca="1">'IS(Q)'!DQ58</f>
        <v>0.97144223622555481</v>
      </c>
      <c r="DR20" s="1281">
        <f ca="1">'IS(Q)'!DR58</f>
        <v>0.97144223622555481</v>
      </c>
      <c r="DS20" s="1279">
        <f ca="1">'IS(Q)'!DS58</f>
        <v>0</v>
      </c>
      <c r="DT20" s="1280">
        <f ca="1">'IS(Q)'!DT58</f>
        <v>0</v>
      </c>
      <c r="DU20" s="1280">
        <f ca="1">'IS(Q)'!DU58</f>
        <v>0</v>
      </c>
      <c r="DV20" s="1281">
        <f ca="1">'IS(Q)'!DV58</f>
        <v>0</v>
      </c>
      <c r="DW20" s="1279">
        <f ca="1">'IS(Q)'!DW58</f>
        <v>1.5062717022640075</v>
      </c>
      <c r="DX20" s="1280">
        <f ca="1">'IS(Q)'!DX58</f>
        <v>1.5062717022640075</v>
      </c>
      <c r="DY20" s="1280">
        <f ca="1">'IS(Q)'!DY58</f>
        <v>1.5062717022640075</v>
      </c>
      <c r="DZ20" s="1281">
        <f ca="1">'IS(Q)'!DZ58</f>
        <v>1.5062717022640075</v>
      </c>
      <c r="EA20" s="1279">
        <f ca="1">'IS(Q)'!EA58</f>
        <v>0</v>
      </c>
      <c r="EB20" s="1280">
        <f ca="1">'IS(Q)'!EB58</f>
        <v>0</v>
      </c>
      <c r="EC20" s="1280">
        <f ca="1">'IS(Q)'!EC58</f>
        <v>0</v>
      </c>
      <c r="ED20" s="1281">
        <f ca="1">'IS(Q)'!ED58</f>
        <v>0</v>
      </c>
      <c r="EE20" s="1279">
        <f ca="1">'IS(Q)'!EE58</f>
        <v>0</v>
      </c>
      <c r="EF20" s="1280">
        <f ca="1">'IS(Q)'!EF58</f>
        <v>0</v>
      </c>
      <c r="EG20" s="1280">
        <f ca="1">'IS(Q)'!EG58</f>
        <v>0</v>
      </c>
      <c r="EH20" s="1281">
        <f ca="1">'IS(Q)'!EH58</f>
        <v>0</v>
      </c>
      <c r="EI20" s="1279">
        <f ca="1">'IS(Q)'!EI58</f>
        <v>0.81679644269174145</v>
      </c>
      <c r="EJ20" s="1280">
        <f ca="1">'IS(Q)'!EJ58</f>
        <v>0.81679644269174145</v>
      </c>
      <c r="EK20" s="1280">
        <f ca="1">'IS(Q)'!EK58</f>
        <v>0.81679644269174145</v>
      </c>
      <c r="EL20" s="1281">
        <f ca="1">'IS(Q)'!EL58</f>
        <v>0.81679644269174145</v>
      </c>
      <c r="EM20" s="1279">
        <f ca="1">'IS(Q)'!EM58</f>
        <v>0</v>
      </c>
      <c r="EN20" s="1280">
        <f ca="1">'IS(Q)'!EN58</f>
        <v>0</v>
      </c>
      <c r="EO20" s="1280">
        <f ca="1">'IS(Q)'!EO58</f>
        <v>0</v>
      </c>
      <c r="EP20" s="1281">
        <f ca="1">'IS(Q)'!EP58</f>
        <v>0</v>
      </c>
      <c r="EQ20" s="1279">
        <f ca="1">'IS(Q)'!EQ58</f>
        <v>0</v>
      </c>
      <c r="ER20" s="1280">
        <f ca="1">'IS(Q)'!ER58</f>
        <v>0</v>
      </c>
      <c r="ES20" s="1280">
        <f ca="1">'IS(Q)'!ES58</f>
        <v>0</v>
      </c>
      <c r="ET20" s="1281">
        <f ca="1">'IS(Q)'!ET58</f>
        <v>0</v>
      </c>
      <c r="EU20" s="1279">
        <f ca="1">'IS(Q)'!EU58</f>
        <v>0</v>
      </c>
      <c r="EV20" s="1280">
        <f ca="1">'IS(Q)'!EV58</f>
        <v>0</v>
      </c>
      <c r="EW20" s="1280">
        <f ca="1">'IS(Q)'!EW58</f>
        <v>0</v>
      </c>
      <c r="EX20" s="1281">
        <f ca="1">'IS(Q)'!EX58</f>
        <v>0</v>
      </c>
      <c r="EY20" s="1279">
        <f ca="1">'IS(Q)'!EY58</f>
        <v>0</v>
      </c>
      <c r="EZ20" s="1280">
        <f ca="1">'IS(Q)'!EZ58</f>
        <v>0</v>
      </c>
      <c r="FA20" s="1280">
        <f ca="1">'IS(Q)'!FA58</f>
        <v>0</v>
      </c>
      <c r="FB20" s="1281">
        <f ca="1">'IS(Q)'!FB58</f>
        <v>0</v>
      </c>
      <c r="FC20" s="1279">
        <f ca="1">'IS(Q)'!FC58</f>
        <v>1.0730765876936859</v>
      </c>
      <c r="FD20" s="1280">
        <f ca="1">'IS(Q)'!FD58</f>
        <v>1.0730765876936859</v>
      </c>
      <c r="FE20" s="1280">
        <f ca="1">'IS(Q)'!FE58</f>
        <v>1.0730765876936859</v>
      </c>
      <c r="FF20" s="1281">
        <f ca="1">'IS(Q)'!FF58</f>
        <v>1.0730765876936859</v>
      </c>
      <c r="FG20" s="1279">
        <f ca="1">'IS(Q)'!FG58</f>
        <v>0</v>
      </c>
      <c r="FH20" s="1280">
        <f ca="1">'IS(Q)'!FH58</f>
        <v>0</v>
      </c>
      <c r="FI20" s="1280">
        <f ca="1">'IS(Q)'!FI58</f>
        <v>0</v>
      </c>
      <c r="FJ20" s="1281">
        <f ca="1">'IS(Q)'!FJ58</f>
        <v>0</v>
      </c>
      <c r="FK20" s="1279">
        <f ca="1">'IS(Q)'!FK58</f>
        <v>0</v>
      </c>
      <c r="FL20" s="1280">
        <f ca="1">'IS(Q)'!FL58</f>
        <v>0</v>
      </c>
      <c r="FM20" s="1280">
        <f ca="1">'IS(Q)'!FM58</f>
        <v>0</v>
      </c>
      <c r="FN20" s="1281">
        <f ca="1">'IS(Q)'!FN58</f>
        <v>0</v>
      </c>
      <c r="FO20" s="1279">
        <f ca="1">'IS(Q)'!FO58</f>
        <v>0</v>
      </c>
      <c r="FP20" s="1280">
        <f ca="1">'IS(Q)'!FP58</f>
        <v>0</v>
      </c>
      <c r="FQ20" s="1280">
        <f ca="1">'IS(Q)'!FQ58</f>
        <v>0</v>
      </c>
      <c r="FR20" s="1281">
        <f ca="1">'IS(Q)'!FR58</f>
        <v>0</v>
      </c>
      <c r="FS20" s="1279">
        <f ca="1">'IS(Q)'!FS58</f>
        <v>0</v>
      </c>
      <c r="FT20" s="1280">
        <f ca="1">'IS(Q)'!FT58</f>
        <v>0</v>
      </c>
      <c r="FU20" s="1280">
        <f ca="1">'IS(Q)'!FU58</f>
        <v>0</v>
      </c>
      <c r="FV20" s="1281">
        <f ca="1">'IS(Q)'!FV58</f>
        <v>0</v>
      </c>
      <c r="FW20" s="1279">
        <f ca="1">'IS(Q)'!FW58</f>
        <v>0</v>
      </c>
      <c r="FX20" s="1280">
        <f ca="1">'IS(Q)'!FX58</f>
        <v>0</v>
      </c>
      <c r="FY20" s="1280">
        <f ca="1">'IS(Q)'!FY58</f>
        <v>0</v>
      </c>
      <c r="FZ20" s="1281">
        <f ca="1">'IS(Q)'!FZ58</f>
        <v>0</v>
      </c>
      <c r="GA20" s="1279"/>
      <c r="GB20" s="1280"/>
      <c r="GC20" s="1280"/>
      <c r="GD20" s="1281"/>
    </row>
    <row r="21" spans="2:186" ht="17.100000000000001" customHeight="1">
      <c r="B21" s="307"/>
      <c r="D21" s="1274" t="str">
        <f>D59</f>
        <v xml:space="preserve">기타 </v>
      </c>
      <c r="E21" s="742"/>
      <c r="F21" s="1207">
        <f t="shared" si="12"/>
        <v>161.59083728187136</v>
      </c>
      <c r="G21" s="1278">
        <f>'IS(Q)'!G59</f>
        <v>6.5781054799098362</v>
      </c>
      <c r="H21" s="1276">
        <f>'IS(Q)'!H59</f>
        <v>-1.983510009999975</v>
      </c>
      <c r="I21" s="1276">
        <f>'IS(Q)'!I59</f>
        <v>11.623241019999995</v>
      </c>
      <c r="J21" s="1277">
        <f>'IS(Q)'!J59</f>
        <v>-18.24182858999999</v>
      </c>
      <c r="K21" s="1278">
        <f>'IS(Q)'!K59</f>
        <v>0.35176742922082799</v>
      </c>
      <c r="L21" s="1276">
        <f>'IS(Q)'!L59</f>
        <v>4.5076751536211903</v>
      </c>
      <c r="M21" s="1276">
        <f>'IS(Q)'!M59</f>
        <v>0.16153716000000884</v>
      </c>
      <c r="N21" s="1277">
        <f>'IS(Q)'!N59</f>
        <v>-0.80964394999999456</v>
      </c>
      <c r="O21" s="1279">
        <f>'CF(Q)'!AE20</f>
        <v>1.83883767000001</v>
      </c>
      <c r="P21" s="1280">
        <f>'CF(Q)'!AF20</f>
        <v>5.2081854417939439</v>
      </c>
      <c r="Q21" s="1280">
        <f>'CF(Q)'!AG20</f>
        <v>-7.6051853766666628</v>
      </c>
      <c r="R21" s="1281">
        <f>'CF(Q)'!AH20</f>
        <v>-1.7510004532558243</v>
      </c>
      <c r="S21" s="1279">
        <f>'CF(Q)'!AI20</f>
        <v>0</v>
      </c>
      <c r="T21" s="1280">
        <f>'CF(Q)'!AJ20</f>
        <v>5.4</v>
      </c>
      <c r="U21" s="1280">
        <f>'CF(Q)'!AK20</f>
        <v>2.5</v>
      </c>
      <c r="V21" s="1281">
        <f>'CF(Q)'!AL20</f>
        <v>2.5</v>
      </c>
      <c r="W21" s="1279">
        <f>'CF(Q)'!AM20</f>
        <v>2.5</v>
      </c>
      <c r="X21" s="1280">
        <f>'CF(Q)'!AN20</f>
        <v>2.5</v>
      </c>
      <c r="Y21" s="1280">
        <f>'CF(Q)'!AO20</f>
        <v>2.5</v>
      </c>
      <c r="Z21" s="1281">
        <f>'CF(Q)'!AP20</f>
        <v>2.5</v>
      </c>
      <c r="AA21" s="1279">
        <f>'CF(Q)'!AQ20</f>
        <v>2.5</v>
      </c>
      <c r="AB21" s="1280">
        <f>'CF(Q)'!AR20</f>
        <v>2.5</v>
      </c>
      <c r="AC21" s="1280">
        <f>'CF(Q)'!AS20</f>
        <v>2.5</v>
      </c>
      <c r="AD21" s="1281">
        <f>'CF(Q)'!AT20</f>
        <v>2.5</v>
      </c>
      <c r="AE21" s="1279">
        <f>'CF(Q)'!AU20</f>
        <v>2.5</v>
      </c>
      <c r="AF21" s="1280">
        <f>'CF(Q)'!AV20</f>
        <v>2.5</v>
      </c>
      <c r="AG21" s="1280">
        <f>'CF(Q)'!AW20</f>
        <v>2.5</v>
      </c>
      <c r="AH21" s="1281">
        <f>'CF(Q)'!AX20</f>
        <v>2.5</v>
      </c>
      <c r="AI21" s="1279">
        <f>'CF(Q)'!AY20</f>
        <v>2.5</v>
      </c>
      <c r="AJ21" s="1280">
        <f>'CF(Q)'!AZ20</f>
        <v>2.5</v>
      </c>
      <c r="AK21" s="1280">
        <f>'CF(Q)'!BA20</f>
        <v>2.5</v>
      </c>
      <c r="AL21" s="1281">
        <f>'CF(Q)'!BB20</f>
        <v>2.4</v>
      </c>
      <c r="AM21" s="1279">
        <f>'CF(Q)'!BC20</f>
        <v>2.4</v>
      </c>
      <c r="AN21" s="1280">
        <f>'CF(Q)'!BD20</f>
        <v>2.4</v>
      </c>
      <c r="AO21" s="1280">
        <f>'CF(Q)'!BE20</f>
        <v>2.4</v>
      </c>
      <c r="AP21" s="1281">
        <f>'CF(Q)'!BF20</f>
        <v>2.4</v>
      </c>
      <c r="AQ21" s="1279">
        <f>'CF(Q)'!BG20</f>
        <v>2.4</v>
      </c>
      <c r="AR21" s="1280">
        <f>'CF(Q)'!BH20</f>
        <v>2.4</v>
      </c>
      <c r="AS21" s="1280">
        <f>'CF(Q)'!BI20</f>
        <v>2.4</v>
      </c>
      <c r="AT21" s="1281">
        <f>'CF(Q)'!BJ20</f>
        <v>2.4</v>
      </c>
      <c r="AU21" s="1279">
        <f>'CF(Q)'!BK20</f>
        <v>2.4</v>
      </c>
      <c r="AV21" s="1280">
        <f>'CF(Q)'!BL20</f>
        <v>2.4</v>
      </c>
      <c r="AW21" s="1280">
        <f>'CF(Q)'!BM20</f>
        <v>2.4</v>
      </c>
      <c r="AX21" s="1281">
        <f>'CF(Q)'!BN20</f>
        <v>2.4</v>
      </c>
      <c r="AY21" s="1279">
        <f>'CF(Q)'!BO20</f>
        <v>2.4</v>
      </c>
      <c r="AZ21" s="1280">
        <f>'CF(Q)'!BP20</f>
        <v>2.4</v>
      </c>
      <c r="BA21" s="1280">
        <f>'CF(Q)'!BQ20</f>
        <v>2.4</v>
      </c>
      <c r="BB21" s="1281">
        <f>'CF(Q)'!BR20</f>
        <v>2.4</v>
      </c>
      <c r="BC21" s="1279">
        <f>'CF(Q)'!BS20</f>
        <v>2.4</v>
      </c>
      <c r="BD21" s="1280">
        <f>'CF(Q)'!BT20</f>
        <v>2.4</v>
      </c>
      <c r="BE21" s="1280">
        <f>'CF(Q)'!BU20</f>
        <v>2.4</v>
      </c>
      <c r="BF21" s="1281">
        <f>'CF(Q)'!BV20</f>
        <v>1.7</v>
      </c>
      <c r="BG21" s="1279">
        <f>'CF(Q)'!BW20</f>
        <v>1.7</v>
      </c>
      <c r="BH21" s="1280">
        <f>'CF(Q)'!BX20</f>
        <v>1.7</v>
      </c>
      <c r="BI21" s="1280">
        <f>'CF(Q)'!BY20</f>
        <v>1.7</v>
      </c>
      <c r="BJ21" s="1281">
        <f>'CF(Q)'!BZ20</f>
        <v>1.7</v>
      </c>
      <c r="BK21" s="1279">
        <f>'CF(Q)'!CA20</f>
        <v>1.7</v>
      </c>
      <c r="BL21" s="1280">
        <f>'CF(Q)'!CB20</f>
        <v>1.7</v>
      </c>
      <c r="BM21" s="1280">
        <f>'CF(Q)'!CC20</f>
        <v>1.7</v>
      </c>
      <c r="BN21" s="1281">
        <f>'CF(Q)'!CD20</f>
        <v>1.7</v>
      </c>
      <c r="BO21" s="1279">
        <f>'CF(Q)'!CE20</f>
        <v>1.7</v>
      </c>
      <c r="BP21" s="1280">
        <f>'CF(Q)'!CF20</f>
        <v>1.7</v>
      </c>
      <c r="BQ21" s="1280">
        <f>'CF(Q)'!CG20</f>
        <v>1.7</v>
      </c>
      <c r="BR21" s="1281">
        <f>'CF(Q)'!CH20</f>
        <v>1.7</v>
      </c>
      <c r="BS21" s="1279">
        <f>'CF(Q)'!CI20</f>
        <v>1.7</v>
      </c>
      <c r="BT21" s="1280">
        <f>'CF(Q)'!CJ20</f>
        <v>1.7</v>
      </c>
      <c r="BU21" s="1280">
        <f>'CF(Q)'!CK20</f>
        <v>1.7</v>
      </c>
      <c r="BV21" s="1281">
        <f>'CF(Q)'!CL20</f>
        <v>1.7</v>
      </c>
      <c r="BW21" s="1279">
        <f>'CF(Q)'!CM20</f>
        <v>1.7</v>
      </c>
      <c r="BX21" s="1280">
        <f>'CF(Q)'!CN20</f>
        <v>1.7</v>
      </c>
      <c r="BY21" s="1280">
        <f>'CF(Q)'!CO20</f>
        <v>1.7</v>
      </c>
      <c r="BZ21" s="1281">
        <f>'CF(Q)'!CP20</f>
        <v>1.7</v>
      </c>
      <c r="CA21" s="1279">
        <f>'CF(Q)'!CQ20</f>
        <v>1.7</v>
      </c>
      <c r="CB21" s="1280">
        <f>'CF(Q)'!CR20</f>
        <v>1.7</v>
      </c>
      <c r="CC21" s="1280">
        <f>'CF(Q)'!CS20</f>
        <v>1.7</v>
      </c>
      <c r="CD21" s="1281">
        <f>'CF(Q)'!CT20</f>
        <v>1.7</v>
      </c>
      <c r="CE21" s="1279">
        <f>'CF(Q)'!CU20</f>
        <v>1.7</v>
      </c>
      <c r="CF21" s="1280">
        <f>'CF(Q)'!CV20</f>
        <v>1.7</v>
      </c>
      <c r="CG21" s="1280">
        <f>'CF(Q)'!CW20</f>
        <v>1.7</v>
      </c>
      <c r="CH21" s="1281">
        <f>'CF(Q)'!CX20</f>
        <v>1.7</v>
      </c>
      <c r="CI21" s="1279">
        <f>'CF(Q)'!CY20</f>
        <v>1.7</v>
      </c>
      <c r="CJ21" s="1280">
        <f>'CF(Q)'!CZ20</f>
        <v>1.7</v>
      </c>
      <c r="CK21" s="1280">
        <f>'CF(Q)'!DA20</f>
        <v>1.7</v>
      </c>
      <c r="CL21" s="1281">
        <f>'CF(Q)'!DB20</f>
        <v>1.7</v>
      </c>
      <c r="CM21" s="1279">
        <f>'CF(Q)'!DC20</f>
        <v>1.7</v>
      </c>
      <c r="CN21" s="1280">
        <f>'CF(Q)'!DD20</f>
        <v>1.7</v>
      </c>
      <c r="CO21" s="1280">
        <f>'CF(Q)'!DE20</f>
        <v>1.7</v>
      </c>
      <c r="CP21" s="1281">
        <f>'CF(Q)'!DF20</f>
        <v>1.7</v>
      </c>
      <c r="CQ21" s="1279">
        <f>'CF(Q)'!DG20</f>
        <v>1.7</v>
      </c>
      <c r="CR21" s="1280">
        <f>'CF(Q)'!DH20</f>
        <v>1.7</v>
      </c>
      <c r="CS21" s="1280">
        <f>'CF(Q)'!DI20</f>
        <v>1.7</v>
      </c>
      <c r="CT21" s="1281">
        <f>'CF(Q)'!DJ20</f>
        <v>0</v>
      </c>
      <c r="CU21" s="1279">
        <f>'CF(Q)'!DK20</f>
        <v>0</v>
      </c>
      <c r="CV21" s="1280">
        <f>'CF(Q)'!DL20</f>
        <v>0</v>
      </c>
      <c r="CW21" s="1280">
        <f>'CF(Q)'!DM20</f>
        <v>0</v>
      </c>
      <c r="CX21" s="1281">
        <f>'CF(Q)'!DN20</f>
        <v>0</v>
      </c>
      <c r="CY21" s="1279">
        <f>'CF(Q)'!DO20</f>
        <v>0</v>
      </c>
      <c r="CZ21" s="1280">
        <f>'CF(Q)'!DP20</f>
        <v>0</v>
      </c>
      <c r="DA21" s="1280">
        <f>'CF(Q)'!DQ20</f>
        <v>0</v>
      </c>
      <c r="DB21" s="1281">
        <f>'CF(Q)'!DR20</f>
        <v>0</v>
      </c>
      <c r="DC21" s="1279">
        <f>'CF(Q)'!DS20</f>
        <v>0</v>
      </c>
      <c r="DD21" s="1280">
        <f>'CF(Q)'!DT20</f>
        <v>0</v>
      </c>
      <c r="DE21" s="1280">
        <f>'CF(Q)'!DU20</f>
        <v>0</v>
      </c>
      <c r="DF21" s="1281">
        <f>'CF(Q)'!DV20</f>
        <v>0</v>
      </c>
      <c r="DG21" s="1279">
        <f>'CF(Q)'!DW20</f>
        <v>0</v>
      </c>
      <c r="DH21" s="1280">
        <f>'CF(Q)'!DX20</f>
        <v>0</v>
      </c>
      <c r="DI21" s="1280">
        <f>'CF(Q)'!DY20</f>
        <v>0</v>
      </c>
      <c r="DJ21" s="1281">
        <f>'CF(Q)'!DZ20</f>
        <v>0</v>
      </c>
      <c r="DK21" s="1279">
        <f>'CF(Q)'!EA20</f>
        <v>0</v>
      </c>
      <c r="DL21" s="1280">
        <f>'CF(Q)'!EB20</f>
        <v>0</v>
      </c>
      <c r="DM21" s="1280">
        <f>'CF(Q)'!EC20</f>
        <v>0</v>
      </c>
      <c r="DN21" s="1281">
        <f>'CF(Q)'!ED20</f>
        <v>0</v>
      </c>
      <c r="DO21" s="1279">
        <f>'CF(Q)'!EE20</f>
        <v>0</v>
      </c>
      <c r="DP21" s="1280">
        <f>'CF(Q)'!EF20</f>
        <v>0</v>
      </c>
      <c r="DQ21" s="1280">
        <f>'CF(Q)'!EG20</f>
        <v>0</v>
      </c>
      <c r="DR21" s="1281">
        <f>'CF(Q)'!EH20</f>
        <v>0</v>
      </c>
      <c r="DS21" s="1279">
        <f>'CF(Q)'!EI20</f>
        <v>0</v>
      </c>
      <c r="DT21" s="1280">
        <f>'CF(Q)'!EJ20</f>
        <v>0</v>
      </c>
      <c r="DU21" s="1280">
        <f>'CF(Q)'!EK20</f>
        <v>0</v>
      </c>
      <c r="DV21" s="1281">
        <f>'CF(Q)'!EL20</f>
        <v>0</v>
      </c>
      <c r="DW21" s="1279">
        <f>'CF(Q)'!EM20</f>
        <v>0</v>
      </c>
      <c r="DX21" s="1280">
        <f>'CF(Q)'!EN20</f>
        <v>0</v>
      </c>
      <c r="DY21" s="1280">
        <f>'CF(Q)'!EO20</f>
        <v>0</v>
      </c>
      <c r="DZ21" s="1281">
        <f>'CF(Q)'!EP20</f>
        <v>0</v>
      </c>
      <c r="EA21" s="1279">
        <f>'CF(Q)'!EQ20</f>
        <v>0</v>
      </c>
      <c r="EB21" s="1280">
        <f>'CF(Q)'!ER20</f>
        <v>0</v>
      </c>
      <c r="EC21" s="1280">
        <f>'CF(Q)'!ES20</f>
        <v>0</v>
      </c>
      <c r="ED21" s="1281">
        <f>'CF(Q)'!ET20</f>
        <v>0</v>
      </c>
      <c r="EE21" s="1279">
        <f>'CF(Q)'!EU20</f>
        <v>0</v>
      </c>
      <c r="EF21" s="1280">
        <f>'CF(Q)'!EV20</f>
        <v>0</v>
      </c>
      <c r="EG21" s="1280">
        <f>'CF(Q)'!EW20</f>
        <v>0</v>
      </c>
      <c r="EH21" s="1281">
        <f>'CF(Q)'!EX20</f>
        <v>0</v>
      </c>
      <c r="EI21" s="1279">
        <f>'CF(Q)'!EY20</f>
        <v>0</v>
      </c>
      <c r="EJ21" s="1280">
        <f>'CF(Q)'!EZ20</f>
        <v>0</v>
      </c>
      <c r="EK21" s="1280">
        <f>'CF(Q)'!FA20</f>
        <v>0</v>
      </c>
      <c r="EL21" s="1281">
        <f>'CF(Q)'!FB20</f>
        <v>0</v>
      </c>
      <c r="EM21" s="1279">
        <f>'CF(Q)'!FC20</f>
        <v>0</v>
      </c>
      <c r="EN21" s="1280">
        <f>'CF(Q)'!FD20</f>
        <v>0</v>
      </c>
      <c r="EO21" s="1280">
        <f>'CF(Q)'!FE20</f>
        <v>0</v>
      </c>
      <c r="EP21" s="1281">
        <f>'CF(Q)'!FF20</f>
        <v>0</v>
      </c>
      <c r="EQ21" s="1279">
        <f>'CF(Q)'!FG20</f>
        <v>0</v>
      </c>
      <c r="ER21" s="1280">
        <f>'CF(Q)'!FH20</f>
        <v>0</v>
      </c>
      <c r="ES21" s="1280">
        <f>'CF(Q)'!FI20</f>
        <v>0</v>
      </c>
      <c r="ET21" s="1281">
        <f>'CF(Q)'!FJ20</f>
        <v>0</v>
      </c>
      <c r="EU21" s="1279">
        <f>'CF(Q)'!FK20</f>
        <v>0</v>
      </c>
      <c r="EV21" s="1280">
        <f>'CF(Q)'!FL20</f>
        <v>0</v>
      </c>
      <c r="EW21" s="1280">
        <f>'CF(Q)'!FM20</f>
        <v>0</v>
      </c>
      <c r="EX21" s="1281">
        <f>'CF(Q)'!FN20</f>
        <v>0</v>
      </c>
      <c r="EY21" s="1279">
        <f>'CF(Q)'!FO20</f>
        <v>0</v>
      </c>
      <c r="EZ21" s="1280">
        <f>'CF(Q)'!FP20</f>
        <v>0</v>
      </c>
      <c r="FA21" s="1280">
        <f>'CF(Q)'!FQ20</f>
        <v>0</v>
      </c>
      <c r="FB21" s="1281">
        <f>'CF(Q)'!FR20</f>
        <v>0</v>
      </c>
      <c r="FC21" s="1279">
        <f>'CF(Q)'!FS20</f>
        <v>0</v>
      </c>
      <c r="FD21" s="1280">
        <f>'CF(Q)'!FT20</f>
        <v>0</v>
      </c>
      <c r="FE21" s="1280">
        <f>'CF(Q)'!FU20</f>
        <v>0</v>
      </c>
      <c r="FF21" s="1281">
        <f>'CF(Q)'!FV20</f>
        <v>0</v>
      </c>
      <c r="FG21" s="1279">
        <f>'CF(Q)'!FW20</f>
        <v>0</v>
      </c>
      <c r="FH21" s="1280">
        <f>'CF(Q)'!FX20</f>
        <v>0</v>
      </c>
      <c r="FI21" s="1280">
        <f>'CF(Q)'!FY20</f>
        <v>0</v>
      </c>
      <c r="FJ21" s="1281">
        <f>'CF(Q)'!FZ20</f>
        <v>0</v>
      </c>
      <c r="FK21" s="1279">
        <f>'CF(Q)'!GA20</f>
        <v>0</v>
      </c>
      <c r="FL21" s="1280">
        <f>'CF(Q)'!GB20</f>
        <v>0</v>
      </c>
      <c r="FM21" s="1280">
        <f>'CF(Q)'!GC20</f>
        <v>0</v>
      </c>
      <c r="FN21" s="1281">
        <f>'CF(Q)'!GD20</f>
        <v>0</v>
      </c>
      <c r="FO21" s="1279">
        <f>'CF(Q)'!GE20</f>
        <v>0</v>
      </c>
      <c r="FP21" s="1280">
        <f>'CF(Q)'!GF20</f>
        <v>0</v>
      </c>
      <c r="FQ21" s="1280">
        <f>'CF(Q)'!GG20</f>
        <v>0</v>
      </c>
      <c r="FR21" s="1281">
        <f>'CF(Q)'!GH20</f>
        <v>0</v>
      </c>
      <c r="FS21" s="1279">
        <f>'CF(Q)'!GI20</f>
        <v>0</v>
      </c>
      <c r="FT21" s="1280">
        <f>'CF(Q)'!GJ20</f>
        <v>0</v>
      </c>
      <c r="FU21" s="1280">
        <f>'CF(Q)'!GK20</f>
        <v>0</v>
      </c>
      <c r="FV21" s="1281">
        <f>'CF(Q)'!GL20</f>
        <v>0</v>
      </c>
      <c r="FW21" s="1279">
        <f>'CF(Q)'!GM20</f>
        <v>0</v>
      </c>
      <c r="FX21" s="1280">
        <f>'CF(Q)'!GN20</f>
        <v>0</v>
      </c>
      <c r="FY21" s="1280">
        <f>'CF(Q)'!GO20</f>
        <v>0</v>
      </c>
      <c r="FZ21" s="1281">
        <f>'CF(Q)'!GP20</f>
        <v>0</v>
      </c>
      <c r="GA21" s="1279"/>
      <c r="GB21" s="1280"/>
      <c r="GC21" s="1280"/>
      <c r="GD21" s="1281"/>
    </row>
    <row r="22" spans="2:186" ht="17.100000000000001" customHeight="1">
      <c r="B22" s="307"/>
      <c r="D22" s="1274" t="s">
        <v>1238</v>
      </c>
      <c r="E22" s="742"/>
      <c r="F22" s="1207">
        <f ca="1">SUM(O22:GD22)</f>
        <v>2.6999999999999997</v>
      </c>
      <c r="G22" s="1278"/>
      <c r="H22" s="1276"/>
      <c r="I22" s="1276"/>
      <c r="J22" s="1277"/>
      <c r="K22" s="1278"/>
      <c r="L22" s="1276"/>
      <c r="M22" s="1276"/>
      <c r="N22" s="1277"/>
      <c r="O22" s="1279">
        <f ca="1">SUMIFS('CF(Q)'!21:21,'CF(Q)'!5:5,'IS(Q)'!O8)</f>
        <v>0.3</v>
      </c>
      <c r="P22" s="1280">
        <f ca="1">SUMIFS('CF(Q)'!21:21,'CF(Q)'!5:5,'IS(Q)'!P8)</f>
        <v>0</v>
      </c>
      <c r="Q22" s="1280">
        <f ca="1">SUMIFS('CF(Q)'!21:21,'CF(Q)'!5:5,'IS(Q)'!Q8)</f>
        <v>0</v>
      </c>
      <c r="R22" s="1281">
        <f ca="1">SUMIFS('CF(Q)'!21:21,'CF(Q)'!5:5,'IS(Q)'!R8)</f>
        <v>0</v>
      </c>
      <c r="S22" s="1279">
        <f ca="1">SUMIFS('CF(Q)'!21:21,'CF(Q)'!5:5,'IS(Q)'!S8)</f>
        <v>0.3</v>
      </c>
      <c r="T22" s="1280">
        <f ca="1">SUMIFS('CF(Q)'!21:21,'CF(Q)'!5:5,'IS(Q)'!T8)</f>
        <v>0</v>
      </c>
      <c r="U22" s="1280">
        <f ca="1">SUMIFS('CF(Q)'!21:21,'CF(Q)'!5:5,'IS(Q)'!U8)</f>
        <v>0</v>
      </c>
      <c r="V22" s="1281">
        <f ca="1">SUMIFS('CF(Q)'!21:21,'CF(Q)'!5:5,'IS(Q)'!V8)</f>
        <v>0</v>
      </c>
      <c r="W22" s="1279">
        <f ca="1">SUMIFS('CF(Q)'!21:21,'CF(Q)'!5:5,'IS(Q)'!W8)</f>
        <v>0.3</v>
      </c>
      <c r="X22" s="1280">
        <f ca="1">SUMIFS('CF(Q)'!21:21,'CF(Q)'!5:5,'IS(Q)'!X8)</f>
        <v>0</v>
      </c>
      <c r="Y22" s="1280">
        <f ca="1">SUMIFS('CF(Q)'!21:21,'CF(Q)'!5:5,'IS(Q)'!Y8)</f>
        <v>0</v>
      </c>
      <c r="Z22" s="1281">
        <f ca="1">SUMIFS('CF(Q)'!21:21,'CF(Q)'!5:5,'IS(Q)'!Z8)</f>
        <v>0</v>
      </c>
      <c r="AA22" s="1279">
        <f ca="1">SUMIFS('CF(Q)'!21:21,'CF(Q)'!5:5,'IS(Q)'!AA8)</f>
        <v>0.3</v>
      </c>
      <c r="AB22" s="1280">
        <f ca="1">SUMIFS('CF(Q)'!21:21,'CF(Q)'!5:5,'IS(Q)'!AB8)</f>
        <v>0</v>
      </c>
      <c r="AC22" s="1280">
        <f ca="1">SUMIFS('CF(Q)'!21:21,'CF(Q)'!5:5,'IS(Q)'!AC8)</f>
        <v>0</v>
      </c>
      <c r="AD22" s="1281">
        <f ca="1">SUMIFS('CF(Q)'!21:21,'CF(Q)'!5:5,'IS(Q)'!AD8)</f>
        <v>0</v>
      </c>
      <c r="AE22" s="1279">
        <f ca="1">SUMIFS('CF(Q)'!21:21,'CF(Q)'!5:5,'IS(Q)'!AE8)</f>
        <v>0.3</v>
      </c>
      <c r="AF22" s="1280">
        <f ca="1">SUMIFS('CF(Q)'!21:21,'CF(Q)'!5:5,'IS(Q)'!AF8)</f>
        <v>0</v>
      </c>
      <c r="AG22" s="1280">
        <f ca="1">SUMIFS('CF(Q)'!21:21,'CF(Q)'!5:5,'IS(Q)'!AG8)</f>
        <v>0</v>
      </c>
      <c r="AH22" s="1281">
        <f ca="1">SUMIFS('CF(Q)'!21:21,'CF(Q)'!5:5,'IS(Q)'!AH8)</f>
        <v>0</v>
      </c>
      <c r="AI22" s="1279">
        <f ca="1">SUMIFS('CF(Q)'!21:21,'CF(Q)'!5:5,'IS(Q)'!AI8)</f>
        <v>0.3</v>
      </c>
      <c r="AJ22" s="1280">
        <f ca="1">SUMIFS('CF(Q)'!21:21,'CF(Q)'!5:5,'IS(Q)'!AJ8)</f>
        <v>0</v>
      </c>
      <c r="AK22" s="1280">
        <f ca="1">SUMIFS('CF(Q)'!21:21,'CF(Q)'!5:5,'IS(Q)'!AK8)</f>
        <v>0</v>
      </c>
      <c r="AL22" s="1281">
        <f ca="1">SUMIFS('CF(Q)'!21:21,'CF(Q)'!5:5,'IS(Q)'!AL8)</f>
        <v>0</v>
      </c>
      <c r="AM22" s="1279">
        <f ca="1">SUMIFS('CF(Q)'!21:21,'CF(Q)'!5:5,'IS(Q)'!AM8)</f>
        <v>0.3</v>
      </c>
      <c r="AN22" s="1280">
        <f ca="1">SUMIFS('CF(Q)'!21:21,'CF(Q)'!5:5,'IS(Q)'!AN8)</f>
        <v>0</v>
      </c>
      <c r="AO22" s="1280">
        <f ca="1">SUMIFS('CF(Q)'!21:21,'CF(Q)'!5:5,'IS(Q)'!AO8)</f>
        <v>0</v>
      </c>
      <c r="AP22" s="1281">
        <f ca="1">SUMIFS('CF(Q)'!21:21,'CF(Q)'!5:5,'IS(Q)'!AP8)</f>
        <v>0</v>
      </c>
      <c r="AQ22" s="1279">
        <f ca="1">SUMIFS('CF(Q)'!21:21,'CF(Q)'!5:5,'IS(Q)'!AQ8)</f>
        <v>0.3</v>
      </c>
      <c r="AR22" s="1280">
        <f ca="1">SUMIFS('CF(Q)'!21:21,'CF(Q)'!5:5,'IS(Q)'!AR8)</f>
        <v>0</v>
      </c>
      <c r="AS22" s="1280">
        <f ca="1">SUMIFS('CF(Q)'!21:21,'CF(Q)'!5:5,'IS(Q)'!AS8)</f>
        <v>0</v>
      </c>
      <c r="AT22" s="1281">
        <f ca="1">SUMIFS('CF(Q)'!21:21,'CF(Q)'!5:5,'IS(Q)'!AT8)</f>
        <v>0</v>
      </c>
      <c r="AU22" s="1279">
        <f ca="1">SUMIFS('CF(Q)'!21:21,'CF(Q)'!5:5,'IS(Q)'!AU8)</f>
        <v>0.3</v>
      </c>
      <c r="AV22" s="1280">
        <f ca="1">SUMIFS('CF(Q)'!21:21,'CF(Q)'!5:5,'IS(Q)'!AV8)</f>
        <v>0</v>
      </c>
      <c r="AW22" s="1280">
        <f ca="1">SUMIFS('CF(Q)'!21:21,'CF(Q)'!5:5,'IS(Q)'!AW8)</f>
        <v>0</v>
      </c>
      <c r="AX22" s="1281">
        <f ca="1">SUMIFS('CF(Q)'!21:21,'CF(Q)'!5:5,'IS(Q)'!AX8)</f>
        <v>0</v>
      </c>
      <c r="AY22" s="1279">
        <f ca="1">SUMIFS('CF(Q)'!21:21,'CF(Q)'!5:5,'IS(Q)'!AY8)</f>
        <v>0</v>
      </c>
      <c r="AZ22" s="1280">
        <f ca="1">SUMIFS('CF(Q)'!21:21,'CF(Q)'!5:5,'IS(Q)'!AZ8)</f>
        <v>0</v>
      </c>
      <c r="BA22" s="1280">
        <f ca="1">SUMIFS('CF(Q)'!21:21,'CF(Q)'!5:5,'IS(Q)'!BA8)</f>
        <v>0</v>
      </c>
      <c r="BB22" s="1281">
        <f ca="1">SUMIFS('CF(Q)'!21:21,'CF(Q)'!5:5,'IS(Q)'!BB8)</f>
        <v>0</v>
      </c>
      <c r="BC22" s="1279">
        <f ca="1">SUMIFS('CF(Q)'!21:21,'CF(Q)'!5:5,'IS(Q)'!BC8)</f>
        <v>0</v>
      </c>
      <c r="BD22" s="1280">
        <f ca="1">SUMIFS('CF(Q)'!21:21,'CF(Q)'!5:5,'IS(Q)'!BD8)</f>
        <v>0</v>
      </c>
      <c r="BE22" s="1280">
        <f ca="1">SUMIFS('CF(Q)'!21:21,'CF(Q)'!5:5,'IS(Q)'!BE8)</f>
        <v>0</v>
      </c>
      <c r="BF22" s="1281">
        <f ca="1">SUMIFS('CF(Q)'!21:21,'CF(Q)'!5:5,'IS(Q)'!BF8)</f>
        <v>0</v>
      </c>
      <c r="BG22" s="1279">
        <f ca="1">SUMIFS('CF(Q)'!21:21,'CF(Q)'!5:5,'IS(Q)'!BG8)</f>
        <v>0</v>
      </c>
      <c r="BH22" s="1280">
        <f ca="1">SUMIFS('CF(Q)'!21:21,'CF(Q)'!5:5,'IS(Q)'!BH8)</f>
        <v>0</v>
      </c>
      <c r="BI22" s="1280">
        <f ca="1">SUMIFS('CF(Q)'!21:21,'CF(Q)'!5:5,'IS(Q)'!BI8)</f>
        <v>0</v>
      </c>
      <c r="BJ22" s="1281">
        <f ca="1">SUMIFS('CF(Q)'!21:21,'CF(Q)'!5:5,'IS(Q)'!BJ8)</f>
        <v>0</v>
      </c>
      <c r="BK22" s="1279">
        <f ca="1">SUMIFS('CF(Q)'!21:21,'CF(Q)'!5:5,'IS(Q)'!BK8)</f>
        <v>0</v>
      </c>
      <c r="BL22" s="1280">
        <f ca="1">SUMIFS('CF(Q)'!21:21,'CF(Q)'!5:5,'IS(Q)'!BL8)</f>
        <v>0</v>
      </c>
      <c r="BM22" s="1280">
        <f ca="1">SUMIFS('CF(Q)'!21:21,'CF(Q)'!5:5,'IS(Q)'!BM8)</f>
        <v>0</v>
      </c>
      <c r="BN22" s="1281">
        <f ca="1">SUMIFS('CF(Q)'!21:21,'CF(Q)'!5:5,'IS(Q)'!BN8)</f>
        <v>0</v>
      </c>
      <c r="BO22" s="1279">
        <f ca="1">SUMIFS('CF(Q)'!21:21,'CF(Q)'!5:5,'IS(Q)'!BO8)</f>
        <v>0</v>
      </c>
      <c r="BP22" s="1280">
        <f ca="1">SUMIFS('CF(Q)'!21:21,'CF(Q)'!5:5,'IS(Q)'!BP8)</f>
        <v>0</v>
      </c>
      <c r="BQ22" s="1280">
        <f ca="1">SUMIFS('CF(Q)'!21:21,'CF(Q)'!5:5,'IS(Q)'!BQ8)</f>
        <v>0</v>
      </c>
      <c r="BR22" s="1281">
        <f ca="1">SUMIFS('CF(Q)'!21:21,'CF(Q)'!5:5,'IS(Q)'!BR8)</f>
        <v>0</v>
      </c>
      <c r="BS22" s="1279">
        <f ca="1">SUMIFS('CF(Q)'!21:21,'CF(Q)'!5:5,'IS(Q)'!BS8)</f>
        <v>0</v>
      </c>
      <c r="BT22" s="1280">
        <f ca="1">SUMIFS('CF(Q)'!21:21,'CF(Q)'!5:5,'IS(Q)'!BT8)</f>
        <v>0</v>
      </c>
      <c r="BU22" s="1280">
        <f ca="1">SUMIFS('CF(Q)'!21:21,'CF(Q)'!5:5,'IS(Q)'!BU8)</f>
        <v>0</v>
      </c>
      <c r="BV22" s="1281">
        <f ca="1">SUMIFS('CF(Q)'!21:21,'CF(Q)'!5:5,'IS(Q)'!BV8)</f>
        <v>0</v>
      </c>
      <c r="BW22" s="1279">
        <f ca="1">SUMIFS('CF(Q)'!21:21,'CF(Q)'!5:5,'IS(Q)'!BW8)</f>
        <v>0</v>
      </c>
      <c r="BX22" s="1280">
        <f ca="1">SUMIFS('CF(Q)'!21:21,'CF(Q)'!5:5,'IS(Q)'!BX8)</f>
        <v>0</v>
      </c>
      <c r="BY22" s="1280">
        <f ca="1">SUMIFS('CF(Q)'!21:21,'CF(Q)'!5:5,'IS(Q)'!BY8)</f>
        <v>0</v>
      </c>
      <c r="BZ22" s="1281">
        <f ca="1">SUMIFS('CF(Q)'!21:21,'CF(Q)'!5:5,'IS(Q)'!BZ8)</f>
        <v>0</v>
      </c>
      <c r="CA22" s="1279">
        <f ca="1">SUMIFS('CF(Q)'!21:21,'CF(Q)'!5:5,'IS(Q)'!CA8)</f>
        <v>0</v>
      </c>
      <c r="CB22" s="1280">
        <f ca="1">SUMIFS('CF(Q)'!21:21,'CF(Q)'!5:5,'IS(Q)'!CB8)</f>
        <v>0</v>
      </c>
      <c r="CC22" s="1280">
        <f ca="1">SUMIFS('CF(Q)'!21:21,'CF(Q)'!5:5,'IS(Q)'!CC8)</f>
        <v>0</v>
      </c>
      <c r="CD22" s="1281">
        <f ca="1">SUMIFS('CF(Q)'!21:21,'CF(Q)'!5:5,'IS(Q)'!CD8)</f>
        <v>0</v>
      </c>
      <c r="CE22" s="1279">
        <f ca="1">SUMIFS('CF(Q)'!21:21,'CF(Q)'!5:5,'IS(Q)'!CE8)</f>
        <v>0</v>
      </c>
      <c r="CF22" s="1280">
        <f ca="1">SUMIFS('CF(Q)'!21:21,'CF(Q)'!5:5,'IS(Q)'!CF8)</f>
        <v>0</v>
      </c>
      <c r="CG22" s="1280">
        <f ca="1">SUMIFS('CF(Q)'!21:21,'CF(Q)'!5:5,'IS(Q)'!CG8)</f>
        <v>0</v>
      </c>
      <c r="CH22" s="1281">
        <f ca="1">SUMIFS('CF(Q)'!21:21,'CF(Q)'!5:5,'IS(Q)'!CH8)</f>
        <v>0</v>
      </c>
      <c r="CI22" s="1279">
        <f ca="1">SUMIFS('CF(Q)'!21:21,'CF(Q)'!5:5,'IS(Q)'!CI8)</f>
        <v>0</v>
      </c>
      <c r="CJ22" s="1280">
        <f ca="1">SUMIFS('CF(Q)'!21:21,'CF(Q)'!5:5,'IS(Q)'!CJ8)</f>
        <v>0</v>
      </c>
      <c r="CK22" s="1280">
        <f ca="1">SUMIFS('CF(Q)'!21:21,'CF(Q)'!5:5,'IS(Q)'!CK8)</f>
        <v>0</v>
      </c>
      <c r="CL22" s="1281">
        <f ca="1">SUMIFS('CF(Q)'!21:21,'CF(Q)'!5:5,'IS(Q)'!CL8)</f>
        <v>0</v>
      </c>
      <c r="CM22" s="1279">
        <f ca="1">SUMIFS('CF(Q)'!21:21,'CF(Q)'!5:5,'IS(Q)'!CM8)</f>
        <v>0</v>
      </c>
      <c r="CN22" s="1280">
        <f ca="1">SUMIFS('CF(Q)'!21:21,'CF(Q)'!5:5,'IS(Q)'!CN8)</f>
        <v>0</v>
      </c>
      <c r="CO22" s="1280">
        <f ca="1">SUMIFS('CF(Q)'!21:21,'CF(Q)'!5:5,'IS(Q)'!CO8)</f>
        <v>0</v>
      </c>
      <c r="CP22" s="1281">
        <f ca="1">SUMIFS('CF(Q)'!21:21,'CF(Q)'!5:5,'IS(Q)'!CP8)</f>
        <v>0</v>
      </c>
      <c r="CQ22" s="1279">
        <f ca="1">SUMIFS('CF(Q)'!21:21,'CF(Q)'!5:5,'IS(Q)'!CQ8)</f>
        <v>0</v>
      </c>
      <c r="CR22" s="1280">
        <f ca="1">SUMIFS('CF(Q)'!21:21,'CF(Q)'!5:5,'IS(Q)'!CR8)</f>
        <v>0</v>
      </c>
      <c r="CS22" s="1280">
        <f ca="1">SUMIFS('CF(Q)'!21:21,'CF(Q)'!5:5,'IS(Q)'!CS8)</f>
        <v>0</v>
      </c>
      <c r="CT22" s="1281">
        <f ca="1">SUMIFS('CF(Q)'!21:21,'CF(Q)'!5:5,'IS(Q)'!CT8)</f>
        <v>0</v>
      </c>
      <c r="CU22" s="1279">
        <f ca="1">SUMIFS('CF(Q)'!21:21,'CF(Q)'!5:5,'IS(Q)'!CU8)</f>
        <v>0</v>
      </c>
      <c r="CV22" s="1280">
        <f ca="1">SUMIFS('CF(Q)'!21:21,'CF(Q)'!5:5,'IS(Q)'!CV8)</f>
        <v>0</v>
      </c>
      <c r="CW22" s="1280">
        <f ca="1">SUMIFS('CF(Q)'!21:21,'CF(Q)'!5:5,'IS(Q)'!CW8)</f>
        <v>0</v>
      </c>
      <c r="CX22" s="1281">
        <f ca="1">SUMIFS('CF(Q)'!21:21,'CF(Q)'!5:5,'IS(Q)'!CX8)</f>
        <v>0</v>
      </c>
      <c r="CY22" s="1279">
        <f ca="1">SUMIFS('CF(Q)'!21:21,'CF(Q)'!5:5,'IS(Q)'!CY8)</f>
        <v>0</v>
      </c>
      <c r="CZ22" s="1280">
        <f ca="1">SUMIFS('CF(Q)'!21:21,'CF(Q)'!5:5,'IS(Q)'!CZ8)</f>
        <v>0</v>
      </c>
      <c r="DA22" s="1280">
        <f ca="1">SUMIFS('CF(Q)'!21:21,'CF(Q)'!5:5,'IS(Q)'!DA8)</f>
        <v>0</v>
      </c>
      <c r="DB22" s="1281">
        <f ca="1">SUMIFS('CF(Q)'!21:21,'CF(Q)'!5:5,'IS(Q)'!DB8)</f>
        <v>0</v>
      </c>
      <c r="DC22" s="1279">
        <f ca="1">SUMIFS('CF(Q)'!21:21,'CF(Q)'!5:5,'IS(Q)'!DC8)</f>
        <v>0</v>
      </c>
      <c r="DD22" s="1280">
        <f ca="1">SUMIFS('CF(Q)'!21:21,'CF(Q)'!5:5,'IS(Q)'!DD8)</f>
        <v>0</v>
      </c>
      <c r="DE22" s="1280">
        <f ca="1">SUMIFS('CF(Q)'!21:21,'CF(Q)'!5:5,'IS(Q)'!DE8)</f>
        <v>0</v>
      </c>
      <c r="DF22" s="1281">
        <f ca="1">SUMIFS('CF(Q)'!21:21,'CF(Q)'!5:5,'IS(Q)'!DF8)</f>
        <v>0</v>
      </c>
      <c r="DG22" s="1279">
        <f ca="1">SUMIFS('CF(Q)'!21:21,'CF(Q)'!5:5,'IS(Q)'!DG8)</f>
        <v>0</v>
      </c>
      <c r="DH22" s="1280">
        <f ca="1">SUMIFS('CF(Q)'!21:21,'CF(Q)'!5:5,'IS(Q)'!DH8)</f>
        <v>0</v>
      </c>
      <c r="DI22" s="1280">
        <f ca="1">SUMIFS('CF(Q)'!21:21,'CF(Q)'!5:5,'IS(Q)'!DI8)</f>
        <v>0</v>
      </c>
      <c r="DJ22" s="1281">
        <f ca="1">SUMIFS('CF(Q)'!21:21,'CF(Q)'!5:5,'IS(Q)'!DJ8)</f>
        <v>0</v>
      </c>
      <c r="DK22" s="1279">
        <f ca="1">SUMIFS('CF(Q)'!21:21,'CF(Q)'!5:5,'IS(Q)'!DK8)</f>
        <v>0</v>
      </c>
      <c r="DL22" s="1280">
        <f ca="1">SUMIFS('CF(Q)'!21:21,'CF(Q)'!5:5,'IS(Q)'!DL8)</f>
        <v>0</v>
      </c>
      <c r="DM22" s="1280">
        <f ca="1">SUMIFS('CF(Q)'!21:21,'CF(Q)'!5:5,'IS(Q)'!DM8)</f>
        <v>0</v>
      </c>
      <c r="DN22" s="1281">
        <f ca="1">SUMIFS('CF(Q)'!21:21,'CF(Q)'!5:5,'IS(Q)'!DN8)</f>
        <v>0</v>
      </c>
      <c r="DO22" s="1279">
        <f ca="1">SUMIFS('CF(Q)'!21:21,'CF(Q)'!5:5,'IS(Q)'!DO8)</f>
        <v>0</v>
      </c>
      <c r="DP22" s="1280">
        <f ca="1">SUMIFS('CF(Q)'!21:21,'CF(Q)'!5:5,'IS(Q)'!DP8)</f>
        <v>0</v>
      </c>
      <c r="DQ22" s="1280">
        <f ca="1">SUMIFS('CF(Q)'!21:21,'CF(Q)'!5:5,'IS(Q)'!DQ8)</f>
        <v>0</v>
      </c>
      <c r="DR22" s="1281">
        <f ca="1">SUMIFS('CF(Q)'!21:21,'CF(Q)'!5:5,'IS(Q)'!DR8)</f>
        <v>0</v>
      </c>
      <c r="DS22" s="1279">
        <f ca="1">SUMIFS('CF(Q)'!21:21,'CF(Q)'!5:5,'IS(Q)'!DS8)</f>
        <v>0</v>
      </c>
      <c r="DT22" s="1280">
        <f ca="1">SUMIFS('CF(Q)'!21:21,'CF(Q)'!5:5,'IS(Q)'!DT8)</f>
        <v>0</v>
      </c>
      <c r="DU22" s="1280">
        <f ca="1">SUMIFS('CF(Q)'!21:21,'CF(Q)'!5:5,'IS(Q)'!DU8)</f>
        <v>0</v>
      </c>
      <c r="DV22" s="1281">
        <f ca="1">SUMIFS('CF(Q)'!21:21,'CF(Q)'!5:5,'IS(Q)'!DV8)</f>
        <v>0</v>
      </c>
      <c r="DW22" s="1279">
        <f ca="1">SUMIFS('CF(Q)'!21:21,'CF(Q)'!5:5,'IS(Q)'!DW8)</f>
        <v>0</v>
      </c>
      <c r="DX22" s="1280">
        <f ca="1">SUMIFS('CF(Q)'!21:21,'CF(Q)'!5:5,'IS(Q)'!DX8)</f>
        <v>0</v>
      </c>
      <c r="DY22" s="1280">
        <f ca="1">SUMIFS('CF(Q)'!21:21,'CF(Q)'!5:5,'IS(Q)'!DY8)</f>
        <v>0</v>
      </c>
      <c r="DZ22" s="1281">
        <f ca="1">SUMIFS('CF(Q)'!21:21,'CF(Q)'!5:5,'IS(Q)'!DZ8)</f>
        <v>0</v>
      </c>
      <c r="EA22" s="1279">
        <f ca="1">SUMIFS('CF(Q)'!21:21,'CF(Q)'!5:5,'IS(Q)'!EA8)</f>
        <v>0</v>
      </c>
      <c r="EB22" s="1280">
        <f ca="1">SUMIFS('CF(Q)'!21:21,'CF(Q)'!5:5,'IS(Q)'!EB8)</f>
        <v>0</v>
      </c>
      <c r="EC22" s="1280">
        <f ca="1">SUMIFS('CF(Q)'!21:21,'CF(Q)'!5:5,'IS(Q)'!EC8)</f>
        <v>0</v>
      </c>
      <c r="ED22" s="1281">
        <f ca="1">SUMIFS('CF(Q)'!21:21,'CF(Q)'!5:5,'IS(Q)'!ED8)</f>
        <v>0</v>
      </c>
      <c r="EE22" s="1279">
        <f ca="1">SUMIFS('CF(Q)'!21:21,'CF(Q)'!5:5,'IS(Q)'!EE8)</f>
        <v>0</v>
      </c>
      <c r="EF22" s="1280">
        <f ca="1">SUMIFS('CF(Q)'!21:21,'CF(Q)'!5:5,'IS(Q)'!EF8)</f>
        <v>0</v>
      </c>
      <c r="EG22" s="1280">
        <f ca="1">SUMIFS('CF(Q)'!21:21,'CF(Q)'!5:5,'IS(Q)'!EG8)</f>
        <v>0</v>
      </c>
      <c r="EH22" s="1281">
        <f ca="1">SUMIFS('CF(Q)'!21:21,'CF(Q)'!5:5,'IS(Q)'!EH8)</f>
        <v>0</v>
      </c>
      <c r="EI22" s="1279">
        <f ca="1">SUMIFS('CF(Q)'!21:21,'CF(Q)'!5:5,'IS(Q)'!EI8)</f>
        <v>0</v>
      </c>
      <c r="EJ22" s="1280">
        <f ca="1">SUMIFS('CF(Q)'!21:21,'CF(Q)'!5:5,'IS(Q)'!EJ8)</f>
        <v>0</v>
      </c>
      <c r="EK22" s="1280">
        <f ca="1">SUMIFS('CF(Q)'!21:21,'CF(Q)'!5:5,'IS(Q)'!EK8)</f>
        <v>0</v>
      </c>
      <c r="EL22" s="1281">
        <f ca="1">SUMIFS('CF(Q)'!21:21,'CF(Q)'!5:5,'IS(Q)'!EL8)</f>
        <v>0</v>
      </c>
      <c r="EM22" s="1279">
        <f ca="1">SUMIFS('CF(Q)'!21:21,'CF(Q)'!5:5,'IS(Q)'!EM8)</f>
        <v>0</v>
      </c>
      <c r="EN22" s="1280">
        <f ca="1">SUMIFS('CF(Q)'!21:21,'CF(Q)'!5:5,'IS(Q)'!EN8)</f>
        <v>0</v>
      </c>
      <c r="EO22" s="1280">
        <f ca="1">SUMIFS('CF(Q)'!21:21,'CF(Q)'!5:5,'IS(Q)'!EO8)</f>
        <v>0</v>
      </c>
      <c r="EP22" s="1281">
        <f ca="1">SUMIFS('CF(Q)'!21:21,'CF(Q)'!5:5,'IS(Q)'!EP8)</f>
        <v>0</v>
      </c>
      <c r="EQ22" s="1279">
        <f ca="1">SUMIFS('CF(Q)'!21:21,'CF(Q)'!5:5,'IS(Q)'!EQ8)</f>
        <v>0</v>
      </c>
      <c r="ER22" s="1280">
        <f ca="1">SUMIFS('CF(Q)'!21:21,'CF(Q)'!5:5,'IS(Q)'!ER8)</f>
        <v>0</v>
      </c>
      <c r="ES22" s="1280">
        <f ca="1">SUMIFS('CF(Q)'!21:21,'CF(Q)'!5:5,'IS(Q)'!ES8)</f>
        <v>0</v>
      </c>
      <c r="ET22" s="1281">
        <f ca="1">SUMIFS('CF(Q)'!21:21,'CF(Q)'!5:5,'IS(Q)'!ET8)</f>
        <v>0</v>
      </c>
      <c r="EU22" s="1279">
        <f ca="1">SUMIFS('CF(Q)'!21:21,'CF(Q)'!5:5,'IS(Q)'!EU8)</f>
        <v>0</v>
      </c>
      <c r="EV22" s="1280">
        <f ca="1">SUMIFS('CF(Q)'!21:21,'CF(Q)'!5:5,'IS(Q)'!EV8)</f>
        <v>0</v>
      </c>
      <c r="EW22" s="1280">
        <f ca="1">SUMIFS('CF(Q)'!21:21,'CF(Q)'!5:5,'IS(Q)'!EW8)</f>
        <v>0</v>
      </c>
      <c r="EX22" s="1281">
        <f ca="1">SUMIFS('CF(Q)'!21:21,'CF(Q)'!5:5,'IS(Q)'!EX8)</f>
        <v>0</v>
      </c>
      <c r="EY22" s="1279">
        <f ca="1">SUMIFS('CF(Q)'!21:21,'CF(Q)'!5:5,'IS(Q)'!EY8)</f>
        <v>0</v>
      </c>
      <c r="EZ22" s="1280">
        <f ca="1">SUMIFS('CF(Q)'!21:21,'CF(Q)'!5:5,'IS(Q)'!EZ8)</f>
        <v>0</v>
      </c>
      <c r="FA22" s="1280">
        <f ca="1">SUMIFS('CF(Q)'!21:21,'CF(Q)'!5:5,'IS(Q)'!FA8)</f>
        <v>0</v>
      </c>
      <c r="FB22" s="1281">
        <f ca="1">SUMIFS('CF(Q)'!21:21,'CF(Q)'!5:5,'IS(Q)'!FB8)</f>
        <v>0</v>
      </c>
      <c r="FC22" s="1279">
        <f ca="1">SUMIFS('CF(Q)'!21:21,'CF(Q)'!5:5,'IS(Q)'!FC8)</f>
        <v>0</v>
      </c>
      <c r="FD22" s="1280">
        <f ca="1">SUMIFS('CF(Q)'!21:21,'CF(Q)'!5:5,'IS(Q)'!FD8)</f>
        <v>0</v>
      </c>
      <c r="FE22" s="1280">
        <f ca="1">SUMIFS('CF(Q)'!21:21,'CF(Q)'!5:5,'IS(Q)'!FE8)</f>
        <v>0</v>
      </c>
      <c r="FF22" s="1281">
        <f ca="1">SUMIFS('CF(Q)'!21:21,'CF(Q)'!5:5,'IS(Q)'!FF8)</f>
        <v>0</v>
      </c>
      <c r="FG22" s="1279">
        <f ca="1">SUMIFS('CF(Q)'!21:21,'CF(Q)'!5:5,'IS(Q)'!FG8)</f>
        <v>0</v>
      </c>
      <c r="FH22" s="1280">
        <f ca="1">SUMIFS('CF(Q)'!21:21,'CF(Q)'!5:5,'IS(Q)'!FH8)</f>
        <v>0</v>
      </c>
      <c r="FI22" s="1280">
        <f ca="1">SUMIFS('CF(Q)'!21:21,'CF(Q)'!5:5,'IS(Q)'!FI8)</f>
        <v>0</v>
      </c>
      <c r="FJ22" s="1281">
        <f ca="1">SUMIFS('CF(Q)'!21:21,'CF(Q)'!5:5,'IS(Q)'!FJ8)</f>
        <v>0</v>
      </c>
      <c r="FK22" s="1279">
        <f ca="1">SUMIFS('CF(Q)'!21:21,'CF(Q)'!5:5,'IS(Q)'!FK8)</f>
        <v>0</v>
      </c>
      <c r="FL22" s="1280">
        <f ca="1">SUMIFS('CF(Q)'!21:21,'CF(Q)'!5:5,'IS(Q)'!FL8)</f>
        <v>0</v>
      </c>
      <c r="FM22" s="1280">
        <f ca="1">SUMIFS('CF(Q)'!21:21,'CF(Q)'!5:5,'IS(Q)'!FM8)</f>
        <v>0</v>
      </c>
      <c r="FN22" s="1281">
        <f ca="1">SUMIFS('CF(Q)'!21:21,'CF(Q)'!5:5,'IS(Q)'!FN8)</f>
        <v>0</v>
      </c>
      <c r="FO22" s="1279">
        <f>SUMIFS('CF(Q)'!21:21,'CF(Q)'!5:5,'IS(Q)'!FO8)</f>
        <v>0</v>
      </c>
      <c r="FP22" s="1280">
        <f>SUMIFS('CF(Q)'!21:21,'CF(Q)'!5:5,'IS(Q)'!FP8)</f>
        <v>0</v>
      </c>
      <c r="FQ22" s="1280">
        <f>SUMIFS('CF(Q)'!21:21,'CF(Q)'!5:5,'IS(Q)'!FQ8)</f>
        <v>0</v>
      </c>
      <c r="FR22" s="1281">
        <f>SUMIFS('CF(Q)'!21:21,'CF(Q)'!5:5,'IS(Q)'!FR8)</f>
        <v>0</v>
      </c>
      <c r="FS22" s="1279">
        <f>SUMIFS('CF(Q)'!21:21,'CF(Q)'!5:5,'IS(Q)'!FS8)</f>
        <v>0</v>
      </c>
      <c r="FT22" s="1280">
        <f>SUMIFS('CF(Q)'!21:21,'CF(Q)'!5:5,'IS(Q)'!FT8)</f>
        <v>0</v>
      </c>
      <c r="FU22" s="1280">
        <f>SUMIFS('CF(Q)'!21:21,'CF(Q)'!5:5,'IS(Q)'!FU8)</f>
        <v>0</v>
      </c>
      <c r="FV22" s="1281">
        <f>SUMIFS('CF(Q)'!21:21,'CF(Q)'!5:5,'IS(Q)'!FV8)</f>
        <v>0</v>
      </c>
      <c r="FW22" s="1279">
        <f>SUMIFS('CF(Q)'!21:21,'CF(Q)'!5:5,'IS(Q)'!FW8)</f>
        <v>0</v>
      </c>
      <c r="FX22" s="1280">
        <f>SUMIFS('CF(Q)'!21:21,'CF(Q)'!5:5,'IS(Q)'!FX8)</f>
        <v>0</v>
      </c>
      <c r="FY22" s="1280">
        <f>SUMIFS('CF(Q)'!21:21,'CF(Q)'!5:5,'IS(Q)'!FY8)</f>
        <v>0</v>
      </c>
      <c r="FZ22" s="1281">
        <f>SUMIFS('CF(Q)'!21:21,'CF(Q)'!5:5,'IS(Q)'!FZ8)</f>
        <v>0</v>
      </c>
      <c r="GA22" s="1279"/>
      <c r="GB22" s="1280"/>
      <c r="GC22" s="1280"/>
      <c r="GD22" s="1281"/>
    </row>
    <row r="23" spans="2:186" ht="17.100000000000001" customHeight="1">
      <c r="B23" s="307"/>
      <c r="D23" s="1274" t="str">
        <f t="shared" ref="D23:D25" si="17">D60</f>
        <v>무형자산상각비</v>
      </c>
      <c r="E23" s="742"/>
      <c r="F23" s="1207">
        <f t="shared" si="12"/>
        <v>1042.24592082</v>
      </c>
      <c r="G23" s="1275">
        <f>SUMIF('IS(Y)'!3:3,K4,'IS(Y)'!18:18)/4</f>
        <v>6.7678306539506172</v>
      </c>
      <c r="H23" s="1290">
        <f>SUMIF('IS(Y)'!3:3,L4,'IS(Y)'!18:18)/4</f>
        <v>6.7678306539506172</v>
      </c>
      <c r="I23" s="1290">
        <f>SUMIF('IS(Y)'!3:3,M4,'IS(Y)'!18:18)/4</f>
        <v>6.7678306539506172</v>
      </c>
      <c r="J23" s="1291">
        <f>SUMIF('IS(Y)'!3:3,N4,'IS(Y)'!18:18)/4</f>
        <v>6.7678306539506172</v>
      </c>
      <c r="K23" s="1275">
        <f>SUMIF('IS(Y)'!3:3,O4,'IS(Y)'!18:18)/4</f>
        <v>6.7678306546753255</v>
      </c>
      <c r="L23" s="1290">
        <f>SUMIF('IS(Y)'!3:3,P4,'IS(Y)'!18:18)/4</f>
        <v>6.7678306546753255</v>
      </c>
      <c r="M23" s="1290">
        <f>SUMIF('IS(Y)'!3:3,Q4,'IS(Y)'!18:18)/4</f>
        <v>6.7678306546753255</v>
      </c>
      <c r="N23" s="1291">
        <f>SUMIF('IS(Y)'!3:3,R4,'IS(Y)'!18:18)/4</f>
        <v>6.7678306546753255</v>
      </c>
      <c r="O23" s="728">
        <f>SUMIF('IS(Y)'!3:3,O4,'IS(Y)'!18:18)/4</f>
        <v>6.7678306546753255</v>
      </c>
      <c r="P23" s="729">
        <f>SUMIF('IS(Y)'!3:3,P4,'IS(Y)'!18:18)/4</f>
        <v>6.7678306546753255</v>
      </c>
      <c r="Q23" s="729">
        <f>SUMIF('IS(Y)'!3:3,Q4,'IS(Y)'!18:18)/4</f>
        <v>6.7678306546753255</v>
      </c>
      <c r="R23" s="730">
        <f>SUMIF('IS(Y)'!3:3,R4,'IS(Y)'!18:18)/4</f>
        <v>6.7678306546753255</v>
      </c>
      <c r="S23" s="728">
        <f>SUMIF('IS(Y)'!3:3,S4,'IS(Y)'!18:18)/4</f>
        <v>6.7678306546753246</v>
      </c>
      <c r="T23" s="729">
        <f>SUMIF('IS(Y)'!3:3,T4,'IS(Y)'!18:18)/4</f>
        <v>6.7678306546753246</v>
      </c>
      <c r="U23" s="729">
        <f>SUMIF('IS(Y)'!3:3,U4,'IS(Y)'!18:18)/4</f>
        <v>6.7678306546753246</v>
      </c>
      <c r="V23" s="730">
        <f>SUMIF('IS(Y)'!3:3,V4,'IS(Y)'!18:18)/4</f>
        <v>6.7678306546753246</v>
      </c>
      <c r="W23" s="728">
        <f>SUMIF('IS(Y)'!3:3,W4,'IS(Y)'!18:18)/4</f>
        <v>6.7678306546753255</v>
      </c>
      <c r="X23" s="729">
        <f>SUMIF('IS(Y)'!3:3,X4,'IS(Y)'!18:18)/4</f>
        <v>6.7678306546753255</v>
      </c>
      <c r="Y23" s="729">
        <f>SUMIF('IS(Y)'!3:3,Y4,'IS(Y)'!18:18)/4</f>
        <v>6.7678306546753255</v>
      </c>
      <c r="Z23" s="730">
        <f>SUMIF('IS(Y)'!3:3,Z4,'IS(Y)'!18:18)/4</f>
        <v>6.7678306546753255</v>
      </c>
      <c r="AA23" s="728">
        <f>SUMIF('IS(Y)'!3:3,AA4,'IS(Y)'!18:18)/4</f>
        <v>6.7678306546753246</v>
      </c>
      <c r="AB23" s="729">
        <f>SUMIF('IS(Y)'!3:3,AB4,'IS(Y)'!18:18)/4</f>
        <v>6.7678306546753246</v>
      </c>
      <c r="AC23" s="729">
        <f>SUMIF('IS(Y)'!3:3,AC4,'IS(Y)'!18:18)/4</f>
        <v>6.7678306546753246</v>
      </c>
      <c r="AD23" s="730">
        <f>SUMIF('IS(Y)'!3:3,AD4,'IS(Y)'!18:18)/4</f>
        <v>6.7678306546753246</v>
      </c>
      <c r="AE23" s="728">
        <f>SUMIF('IS(Y)'!3:3,AE4,'IS(Y)'!18:18)/4</f>
        <v>6.7678306546753255</v>
      </c>
      <c r="AF23" s="729">
        <f>SUMIF('IS(Y)'!3:3,AF4,'IS(Y)'!18:18)/4</f>
        <v>6.7678306546753255</v>
      </c>
      <c r="AG23" s="729">
        <f>SUMIF('IS(Y)'!3:3,AG4,'IS(Y)'!18:18)/4</f>
        <v>6.7678306546753255</v>
      </c>
      <c r="AH23" s="730">
        <f>SUMIF('IS(Y)'!3:3,AH4,'IS(Y)'!18:18)/4</f>
        <v>6.7678306546753255</v>
      </c>
      <c r="AI23" s="728">
        <f>SUMIF('IS(Y)'!3:3,AI4,'IS(Y)'!18:18)/4</f>
        <v>6.7678306546753246</v>
      </c>
      <c r="AJ23" s="729">
        <f>SUMIF('IS(Y)'!3:3,AJ4,'IS(Y)'!18:18)/4</f>
        <v>6.7678306546753246</v>
      </c>
      <c r="AK23" s="729">
        <f>SUMIF('IS(Y)'!3:3,AK4,'IS(Y)'!18:18)/4</f>
        <v>6.7678306546753246</v>
      </c>
      <c r="AL23" s="730">
        <f>SUMIF('IS(Y)'!3:3,AL4,'IS(Y)'!18:18)/4</f>
        <v>6.7678306546753246</v>
      </c>
      <c r="AM23" s="728">
        <f>SUMIF('IS(Y)'!3:3,AM4,'IS(Y)'!18:18)/4</f>
        <v>6.7678306546753264</v>
      </c>
      <c r="AN23" s="729">
        <f>SUMIF('IS(Y)'!3:3,AN4,'IS(Y)'!18:18)/4</f>
        <v>6.7678306546753264</v>
      </c>
      <c r="AO23" s="729">
        <f>SUMIF('IS(Y)'!3:3,AO4,'IS(Y)'!18:18)/4</f>
        <v>6.7678306546753264</v>
      </c>
      <c r="AP23" s="730">
        <f>SUMIF('IS(Y)'!3:3,AP4,'IS(Y)'!18:18)/4</f>
        <v>6.7678306546753264</v>
      </c>
      <c r="AQ23" s="728">
        <f>SUMIF('IS(Y)'!3:3,AQ4,'IS(Y)'!18:18)/4</f>
        <v>6.7678306546753246</v>
      </c>
      <c r="AR23" s="729">
        <f>SUMIF('IS(Y)'!3:3,AR4,'IS(Y)'!18:18)/4</f>
        <v>6.7678306546753246</v>
      </c>
      <c r="AS23" s="729">
        <f>SUMIF('IS(Y)'!3:3,AS4,'IS(Y)'!18:18)/4</f>
        <v>6.7678306546753246</v>
      </c>
      <c r="AT23" s="730">
        <f>SUMIF('IS(Y)'!3:3,AT4,'IS(Y)'!18:18)/4</f>
        <v>6.7678306546753246</v>
      </c>
      <c r="AU23" s="728">
        <f>SUMIF('IS(Y)'!3:3,AU4,'IS(Y)'!18:18)/4</f>
        <v>6.7678306546753264</v>
      </c>
      <c r="AV23" s="729">
        <f>SUMIF('IS(Y)'!3:3,AV4,'IS(Y)'!18:18)/4</f>
        <v>6.7678306546753264</v>
      </c>
      <c r="AW23" s="729">
        <f>SUMIF('IS(Y)'!3:3,AW4,'IS(Y)'!18:18)/4</f>
        <v>6.7678306546753264</v>
      </c>
      <c r="AX23" s="730">
        <f>SUMIF('IS(Y)'!3:3,AX4,'IS(Y)'!18:18)/4</f>
        <v>6.7678306546753264</v>
      </c>
      <c r="AY23" s="728">
        <f>SUMIF('IS(Y)'!3:3,AY4,'IS(Y)'!18:18)/4</f>
        <v>6.7678306546753255</v>
      </c>
      <c r="AZ23" s="729">
        <f>SUMIF('IS(Y)'!3:3,AZ4,'IS(Y)'!18:18)/4</f>
        <v>6.7678306546753255</v>
      </c>
      <c r="BA23" s="729">
        <f>SUMIF('IS(Y)'!3:3,BA4,'IS(Y)'!18:18)/4</f>
        <v>6.7678306546753255</v>
      </c>
      <c r="BB23" s="730">
        <f>SUMIF('IS(Y)'!3:3,BB4,'IS(Y)'!18:18)/4</f>
        <v>6.7678306546753255</v>
      </c>
      <c r="BC23" s="728">
        <f>SUMIF('IS(Y)'!3:3,BC4,'IS(Y)'!18:18)/4</f>
        <v>6.7678306546753264</v>
      </c>
      <c r="BD23" s="729">
        <f>SUMIF('IS(Y)'!3:3,BD4,'IS(Y)'!18:18)/4</f>
        <v>6.7678306546753264</v>
      </c>
      <c r="BE23" s="729">
        <f>SUMIF('IS(Y)'!3:3,BE4,'IS(Y)'!18:18)/4</f>
        <v>6.7678306546753264</v>
      </c>
      <c r="BF23" s="730">
        <f>SUMIF('IS(Y)'!3:3,BF4,'IS(Y)'!18:18)/4</f>
        <v>6.7678306546753264</v>
      </c>
      <c r="BG23" s="728">
        <f>SUMIF('IS(Y)'!3:3,BG4,'IS(Y)'!18:18)/4</f>
        <v>6.7678306546753255</v>
      </c>
      <c r="BH23" s="729">
        <f>SUMIF('IS(Y)'!3:3,BH4,'IS(Y)'!18:18)/4</f>
        <v>6.7678306546753255</v>
      </c>
      <c r="BI23" s="729">
        <f>SUMIF('IS(Y)'!3:3,BI4,'IS(Y)'!18:18)/4</f>
        <v>6.7678306546753255</v>
      </c>
      <c r="BJ23" s="730">
        <f>SUMIF('IS(Y)'!3:3,BJ4,'IS(Y)'!18:18)/4</f>
        <v>6.7678306546753255</v>
      </c>
      <c r="BK23" s="728">
        <f>SUMIF('IS(Y)'!3:3,BK4,'IS(Y)'!18:18)/4</f>
        <v>6.7678306546753273</v>
      </c>
      <c r="BL23" s="729">
        <f>SUMIF('IS(Y)'!3:3,BL4,'IS(Y)'!18:18)/4</f>
        <v>6.7678306546753273</v>
      </c>
      <c r="BM23" s="729">
        <f>SUMIF('IS(Y)'!3:3,BM4,'IS(Y)'!18:18)/4</f>
        <v>6.7678306546753273</v>
      </c>
      <c r="BN23" s="730">
        <f>SUMIF('IS(Y)'!3:3,BN4,'IS(Y)'!18:18)/4</f>
        <v>6.7678306546753273</v>
      </c>
      <c r="BO23" s="728">
        <f>SUMIF('IS(Y)'!3:3,BO4,'IS(Y)'!18:18)/4</f>
        <v>6.7678306546753255</v>
      </c>
      <c r="BP23" s="729">
        <f>SUMIF('IS(Y)'!3:3,BP4,'IS(Y)'!18:18)/4</f>
        <v>6.7678306546753255</v>
      </c>
      <c r="BQ23" s="729">
        <f>SUMIF('IS(Y)'!3:3,BQ4,'IS(Y)'!18:18)/4</f>
        <v>6.7678306546753255</v>
      </c>
      <c r="BR23" s="730">
        <f>SUMIF('IS(Y)'!3:3,BR4,'IS(Y)'!18:18)/4</f>
        <v>6.7678306546753255</v>
      </c>
      <c r="BS23" s="728">
        <f>SUMIF('IS(Y)'!3:3,BS4,'IS(Y)'!18:18)/4</f>
        <v>6.7678306546753264</v>
      </c>
      <c r="BT23" s="729">
        <f>SUMIF('IS(Y)'!3:3,BT4,'IS(Y)'!18:18)/4</f>
        <v>6.7678306546753264</v>
      </c>
      <c r="BU23" s="729">
        <f>SUMIF('IS(Y)'!3:3,BU4,'IS(Y)'!18:18)/4</f>
        <v>6.7678306546753264</v>
      </c>
      <c r="BV23" s="730">
        <f>SUMIF('IS(Y)'!3:3,BV4,'IS(Y)'!18:18)/4</f>
        <v>6.7678306546753264</v>
      </c>
      <c r="BW23" s="728">
        <f>SUMIF('IS(Y)'!3:3,BW4,'IS(Y)'!18:18)/4</f>
        <v>6.7678306546753264</v>
      </c>
      <c r="BX23" s="729">
        <f>SUMIF('IS(Y)'!3:3,BX4,'IS(Y)'!18:18)/4</f>
        <v>6.7678306546753264</v>
      </c>
      <c r="BY23" s="729">
        <f>SUMIF('IS(Y)'!3:3,BY4,'IS(Y)'!18:18)/4</f>
        <v>6.7678306546753264</v>
      </c>
      <c r="BZ23" s="730">
        <f>SUMIF('IS(Y)'!3:3,BZ4,'IS(Y)'!18:18)/4</f>
        <v>6.7678306546753264</v>
      </c>
      <c r="CA23" s="728">
        <f>SUMIF('IS(Y)'!3:3,CA4,'IS(Y)'!18:18)/4</f>
        <v>6.7678306546753273</v>
      </c>
      <c r="CB23" s="729">
        <f>SUMIF('IS(Y)'!3:3,CB4,'IS(Y)'!18:18)/4</f>
        <v>6.7678306546753273</v>
      </c>
      <c r="CC23" s="729">
        <f>SUMIF('IS(Y)'!3:3,CC4,'IS(Y)'!18:18)/4</f>
        <v>6.7678306546753273</v>
      </c>
      <c r="CD23" s="730">
        <f>SUMIF('IS(Y)'!3:3,CD4,'IS(Y)'!18:18)/4</f>
        <v>6.7678306546753273</v>
      </c>
      <c r="CE23" s="728">
        <f>SUMIF('IS(Y)'!3:3,CE4,'IS(Y)'!18:18)/4</f>
        <v>6.7678306546753273</v>
      </c>
      <c r="CF23" s="729">
        <f>SUMIF('IS(Y)'!3:3,CF4,'IS(Y)'!18:18)/4</f>
        <v>6.7678306546753273</v>
      </c>
      <c r="CG23" s="729">
        <f>SUMIF('IS(Y)'!3:3,CG4,'IS(Y)'!18:18)/4</f>
        <v>6.7678306546753273</v>
      </c>
      <c r="CH23" s="730">
        <f>SUMIF('IS(Y)'!3:3,CH4,'IS(Y)'!18:18)/4</f>
        <v>6.7678306546753273</v>
      </c>
      <c r="CI23" s="728">
        <f>SUMIF('IS(Y)'!3:3,CI4,'IS(Y)'!18:18)/4</f>
        <v>6.7678306546753273</v>
      </c>
      <c r="CJ23" s="729">
        <f>SUMIF('IS(Y)'!3:3,CJ4,'IS(Y)'!18:18)/4</f>
        <v>6.7678306546753273</v>
      </c>
      <c r="CK23" s="729">
        <f>SUMIF('IS(Y)'!3:3,CK4,'IS(Y)'!18:18)/4</f>
        <v>6.7678306546753273</v>
      </c>
      <c r="CL23" s="730">
        <f>SUMIF('IS(Y)'!3:3,CL4,'IS(Y)'!18:18)/4</f>
        <v>6.7678306546753273</v>
      </c>
      <c r="CM23" s="728">
        <f>SUMIF('IS(Y)'!3:3,CM4,'IS(Y)'!18:18)/4</f>
        <v>6.7678306546753282</v>
      </c>
      <c r="CN23" s="729">
        <f>SUMIF('IS(Y)'!3:3,CN4,'IS(Y)'!18:18)/4</f>
        <v>6.7678306546753282</v>
      </c>
      <c r="CO23" s="729">
        <f>SUMIF('IS(Y)'!3:3,CO4,'IS(Y)'!18:18)/4</f>
        <v>6.7678306546753282</v>
      </c>
      <c r="CP23" s="730">
        <f>SUMIF('IS(Y)'!3:3,CP4,'IS(Y)'!18:18)/4</f>
        <v>6.7678306546753282</v>
      </c>
      <c r="CQ23" s="728">
        <f>SUMIF('IS(Y)'!3:3,CQ4,'IS(Y)'!18:18)/4</f>
        <v>6.7678306546753282</v>
      </c>
      <c r="CR23" s="729">
        <f>SUMIF('IS(Y)'!3:3,CR4,'IS(Y)'!18:18)/4</f>
        <v>6.7678306546753282</v>
      </c>
      <c r="CS23" s="729">
        <f>SUMIF('IS(Y)'!3:3,CS4,'IS(Y)'!18:18)/4</f>
        <v>6.7678306546753282</v>
      </c>
      <c r="CT23" s="730">
        <f>SUMIF('IS(Y)'!3:3,CT4,'IS(Y)'!18:18)/4</f>
        <v>6.7678306546753282</v>
      </c>
      <c r="CU23" s="728">
        <f>SUMIF('IS(Y)'!3:3,CU4,'IS(Y)'!18:18)/4</f>
        <v>6.7678306546753282</v>
      </c>
      <c r="CV23" s="729">
        <f>SUMIF('IS(Y)'!3:3,CV4,'IS(Y)'!18:18)/4</f>
        <v>6.7678306546753282</v>
      </c>
      <c r="CW23" s="729">
        <f>SUMIF('IS(Y)'!3:3,CW4,'IS(Y)'!18:18)/4</f>
        <v>6.7678306546753282</v>
      </c>
      <c r="CX23" s="730">
        <f>SUMIF('IS(Y)'!3:3,CX4,'IS(Y)'!18:18)/4</f>
        <v>6.7678306546753282</v>
      </c>
      <c r="CY23" s="728">
        <f>SUMIF('IS(Y)'!3:3,CY4,'IS(Y)'!18:18)/4</f>
        <v>6.7678306546753291</v>
      </c>
      <c r="CZ23" s="729">
        <f>SUMIF('IS(Y)'!3:3,CZ4,'IS(Y)'!18:18)/4</f>
        <v>6.7678306546753291</v>
      </c>
      <c r="DA23" s="729">
        <f>SUMIF('IS(Y)'!3:3,DA4,'IS(Y)'!18:18)/4</f>
        <v>6.7678306546753291</v>
      </c>
      <c r="DB23" s="730">
        <f>SUMIF('IS(Y)'!3:3,DB4,'IS(Y)'!18:18)/4</f>
        <v>6.7678306546753291</v>
      </c>
      <c r="DC23" s="728">
        <f>SUMIF('IS(Y)'!3:3,DC4,'IS(Y)'!18:18)/4</f>
        <v>6.7678306546753291</v>
      </c>
      <c r="DD23" s="729">
        <f>SUMIF('IS(Y)'!3:3,DD4,'IS(Y)'!18:18)/4</f>
        <v>6.7678306546753291</v>
      </c>
      <c r="DE23" s="729">
        <f>SUMIF('IS(Y)'!3:3,DE4,'IS(Y)'!18:18)/4</f>
        <v>6.7678306546753291</v>
      </c>
      <c r="DF23" s="730">
        <f>SUMIF('IS(Y)'!3:3,DF4,'IS(Y)'!18:18)/4</f>
        <v>6.7678306546753291</v>
      </c>
      <c r="DG23" s="728">
        <f>SUMIF('IS(Y)'!3:3,DG4,'IS(Y)'!18:18)/4</f>
        <v>6.76783065467533</v>
      </c>
      <c r="DH23" s="729">
        <f>SUMIF('IS(Y)'!3:3,DH4,'IS(Y)'!18:18)/4</f>
        <v>6.76783065467533</v>
      </c>
      <c r="DI23" s="729">
        <f>SUMIF('IS(Y)'!3:3,DI4,'IS(Y)'!18:18)/4</f>
        <v>6.76783065467533</v>
      </c>
      <c r="DJ23" s="730">
        <f>SUMIF('IS(Y)'!3:3,DJ4,'IS(Y)'!18:18)/4</f>
        <v>6.76783065467533</v>
      </c>
      <c r="DK23" s="728">
        <f>SUMIF('IS(Y)'!3:3,DK4,'IS(Y)'!18:18)/4</f>
        <v>6.7678306546753291</v>
      </c>
      <c r="DL23" s="729">
        <f>SUMIF('IS(Y)'!3:3,DL4,'IS(Y)'!18:18)/4</f>
        <v>6.7678306546753291</v>
      </c>
      <c r="DM23" s="729">
        <f>SUMIF('IS(Y)'!3:3,DM4,'IS(Y)'!18:18)/4</f>
        <v>6.7678306546753291</v>
      </c>
      <c r="DN23" s="730">
        <f>SUMIF('IS(Y)'!3:3,DN4,'IS(Y)'!18:18)/4</f>
        <v>6.7678306546753291</v>
      </c>
      <c r="DO23" s="728">
        <f>SUMIF('IS(Y)'!3:3,DO4,'IS(Y)'!18:18)/4</f>
        <v>6.7678306546753291</v>
      </c>
      <c r="DP23" s="729">
        <f>SUMIF('IS(Y)'!3:3,DP4,'IS(Y)'!18:18)/4</f>
        <v>6.7678306546753291</v>
      </c>
      <c r="DQ23" s="729">
        <f>SUMIF('IS(Y)'!3:3,DQ4,'IS(Y)'!18:18)/4</f>
        <v>6.7678306546753291</v>
      </c>
      <c r="DR23" s="730">
        <f>SUMIF('IS(Y)'!3:3,DR4,'IS(Y)'!18:18)/4</f>
        <v>6.7678306546753291</v>
      </c>
      <c r="DS23" s="728">
        <f>SUMIF('IS(Y)'!3:3,DS4,'IS(Y)'!18:18)/4</f>
        <v>6.7678306546753291</v>
      </c>
      <c r="DT23" s="729">
        <f>SUMIF('IS(Y)'!3:3,DT4,'IS(Y)'!18:18)/4</f>
        <v>6.7678306546753291</v>
      </c>
      <c r="DU23" s="729">
        <f>SUMIF('IS(Y)'!3:3,DU4,'IS(Y)'!18:18)/4</f>
        <v>6.7678306546753291</v>
      </c>
      <c r="DV23" s="730">
        <f>SUMIF('IS(Y)'!3:3,DV4,'IS(Y)'!18:18)/4</f>
        <v>6.7678306546753291</v>
      </c>
      <c r="DW23" s="728">
        <f>SUMIF('IS(Y)'!3:3,DW4,'IS(Y)'!18:18)/4</f>
        <v>6.76783065467533</v>
      </c>
      <c r="DX23" s="729">
        <f>SUMIF('IS(Y)'!3:3,DX4,'IS(Y)'!18:18)/4</f>
        <v>6.76783065467533</v>
      </c>
      <c r="DY23" s="729">
        <f>SUMIF('IS(Y)'!3:3,DY4,'IS(Y)'!18:18)/4</f>
        <v>6.76783065467533</v>
      </c>
      <c r="DZ23" s="730">
        <f>SUMIF('IS(Y)'!3:3,DZ4,'IS(Y)'!18:18)/4</f>
        <v>6.76783065467533</v>
      </c>
      <c r="EA23" s="728">
        <f>SUMIF('IS(Y)'!3:3,EA4,'IS(Y)'!18:18)/4</f>
        <v>6.76783065467533</v>
      </c>
      <c r="EB23" s="729">
        <f>SUMIF('IS(Y)'!3:3,EB4,'IS(Y)'!18:18)/4</f>
        <v>6.76783065467533</v>
      </c>
      <c r="EC23" s="729">
        <f>SUMIF('IS(Y)'!3:3,EC4,'IS(Y)'!18:18)/4</f>
        <v>6.76783065467533</v>
      </c>
      <c r="ED23" s="730">
        <f>SUMIF('IS(Y)'!3:3,ED4,'IS(Y)'!18:18)/4</f>
        <v>6.76783065467533</v>
      </c>
      <c r="EE23" s="728">
        <f>SUMIF('IS(Y)'!3:3,EE4,'IS(Y)'!18:18)/4</f>
        <v>6.76783065467533</v>
      </c>
      <c r="EF23" s="729">
        <f>SUMIF('IS(Y)'!3:3,EF4,'IS(Y)'!18:18)/4</f>
        <v>6.76783065467533</v>
      </c>
      <c r="EG23" s="729">
        <f>SUMIF('IS(Y)'!3:3,EG4,'IS(Y)'!18:18)/4</f>
        <v>6.76783065467533</v>
      </c>
      <c r="EH23" s="730">
        <f>SUMIF('IS(Y)'!3:3,EH4,'IS(Y)'!18:18)/4</f>
        <v>6.76783065467533</v>
      </c>
      <c r="EI23" s="728">
        <f>SUMIF('IS(Y)'!3:3,EI4,'IS(Y)'!18:18)/4</f>
        <v>6.76783065467533</v>
      </c>
      <c r="EJ23" s="729">
        <f>SUMIF('IS(Y)'!3:3,EJ4,'IS(Y)'!18:18)/4</f>
        <v>6.76783065467533</v>
      </c>
      <c r="EK23" s="729">
        <f>SUMIF('IS(Y)'!3:3,EK4,'IS(Y)'!18:18)/4</f>
        <v>6.76783065467533</v>
      </c>
      <c r="EL23" s="730">
        <f>SUMIF('IS(Y)'!3:3,EL4,'IS(Y)'!18:18)/4</f>
        <v>6.76783065467533</v>
      </c>
      <c r="EM23" s="728">
        <f>SUMIF('IS(Y)'!3:3,EM4,'IS(Y)'!18:18)/4</f>
        <v>6.7678306546753291</v>
      </c>
      <c r="EN23" s="729">
        <f>SUMIF('IS(Y)'!3:3,EN4,'IS(Y)'!18:18)/4</f>
        <v>6.7678306546753291</v>
      </c>
      <c r="EO23" s="729">
        <f>SUMIF('IS(Y)'!3:3,EO4,'IS(Y)'!18:18)/4</f>
        <v>6.7678306546753291</v>
      </c>
      <c r="EP23" s="730">
        <f>SUMIF('IS(Y)'!3:3,EP4,'IS(Y)'!18:18)/4</f>
        <v>6.7678306546753291</v>
      </c>
      <c r="EQ23" s="728">
        <f>SUMIF('IS(Y)'!3:3,EQ4,'IS(Y)'!18:18)/4</f>
        <v>6.76783065467533</v>
      </c>
      <c r="ER23" s="729">
        <f>SUMIF('IS(Y)'!3:3,ER4,'IS(Y)'!18:18)/4</f>
        <v>6.76783065467533</v>
      </c>
      <c r="ES23" s="729">
        <f>SUMIF('IS(Y)'!3:3,ES4,'IS(Y)'!18:18)/4</f>
        <v>6.76783065467533</v>
      </c>
      <c r="ET23" s="730">
        <f>SUMIF('IS(Y)'!3:3,ET4,'IS(Y)'!18:18)/4</f>
        <v>6.76783065467533</v>
      </c>
      <c r="EU23" s="728">
        <f>SUMIF('IS(Y)'!3:3,EU4,'IS(Y)'!18:18)/4</f>
        <v>6.76783065467533</v>
      </c>
      <c r="EV23" s="729">
        <f>SUMIF('IS(Y)'!3:3,EV4,'IS(Y)'!18:18)/4</f>
        <v>6.76783065467533</v>
      </c>
      <c r="EW23" s="729">
        <f>SUMIF('IS(Y)'!3:3,EW4,'IS(Y)'!18:18)/4</f>
        <v>6.76783065467533</v>
      </c>
      <c r="EX23" s="730">
        <f>SUMIF('IS(Y)'!3:3,EX4,'IS(Y)'!18:18)/4</f>
        <v>6.76783065467533</v>
      </c>
      <c r="EY23" s="728">
        <f>SUMIF('IS(Y)'!3:3,EY4,'IS(Y)'!18:18)/4</f>
        <v>6.76783065467533</v>
      </c>
      <c r="EZ23" s="729">
        <f>SUMIF('IS(Y)'!3:3,EZ4,'IS(Y)'!18:18)/4</f>
        <v>6.76783065467533</v>
      </c>
      <c r="FA23" s="729">
        <f>SUMIF('IS(Y)'!3:3,FA4,'IS(Y)'!18:18)/4</f>
        <v>6.76783065467533</v>
      </c>
      <c r="FB23" s="730">
        <f>SUMIF('IS(Y)'!3:3,FB4,'IS(Y)'!18:18)/4</f>
        <v>6.76783065467533</v>
      </c>
      <c r="FC23" s="728">
        <f>SUMIF('IS(Y)'!3:3,FC4,'IS(Y)'!18:18)/4</f>
        <v>6.7678306546753308</v>
      </c>
      <c r="FD23" s="729">
        <f>SUMIF('IS(Y)'!3:3,FD4,'IS(Y)'!18:18)/4</f>
        <v>6.7678306546753308</v>
      </c>
      <c r="FE23" s="729">
        <f>SUMIF('IS(Y)'!3:3,FE4,'IS(Y)'!18:18)/4</f>
        <v>6.7678306546753308</v>
      </c>
      <c r="FF23" s="730">
        <f>SUMIF('IS(Y)'!3:3,FF4,'IS(Y)'!18:18)/4</f>
        <v>6.7678306546753308</v>
      </c>
      <c r="FG23" s="728">
        <f>SUMIF('IS(Y)'!3:3,FG4,'IS(Y)'!18:18)/4</f>
        <v>6.76783065467533</v>
      </c>
      <c r="FH23" s="729">
        <f>SUMIF('IS(Y)'!3:3,FH4,'IS(Y)'!18:18)/4</f>
        <v>6.76783065467533</v>
      </c>
      <c r="FI23" s="729">
        <f>SUMIF('IS(Y)'!3:3,FI4,'IS(Y)'!18:18)/4</f>
        <v>6.76783065467533</v>
      </c>
      <c r="FJ23" s="730">
        <f>SUMIF('IS(Y)'!3:3,FJ4,'IS(Y)'!18:18)/4</f>
        <v>6.76783065467533</v>
      </c>
      <c r="FK23" s="728">
        <f>SUMIF('IS(Y)'!3:3,FK4,'IS(Y)'!18:18)/4</f>
        <v>3.3839153273376659</v>
      </c>
      <c r="FL23" s="729">
        <f>SUMIF('IS(Y)'!3:3,FL4,'IS(Y)'!18:18)/4</f>
        <v>3.3839153273376659</v>
      </c>
      <c r="FM23" s="729">
        <f>SUMIF('IS(Y)'!3:3,FM4,'IS(Y)'!18:18)/4</f>
        <v>3.3839153273376659</v>
      </c>
      <c r="FN23" s="730">
        <f>SUMIF('IS(Y)'!3:3,FN4,'IS(Y)'!18:18)/4</f>
        <v>3.3839153273376659</v>
      </c>
      <c r="FO23" s="728">
        <f>SUMIF('IS(Y)'!3:3,FO4,'IS(Y)'!18:18)/4</f>
        <v>0</v>
      </c>
      <c r="FP23" s="729">
        <f>SUMIF('IS(Y)'!3:3,FP4,'IS(Y)'!18:18)/4</f>
        <v>0</v>
      </c>
      <c r="FQ23" s="729">
        <f>SUMIF('IS(Y)'!3:3,FQ4,'IS(Y)'!18:18)/4</f>
        <v>0</v>
      </c>
      <c r="FR23" s="730">
        <f>SUMIF('IS(Y)'!3:3,FR4,'IS(Y)'!18:18)/4</f>
        <v>0</v>
      </c>
      <c r="FS23" s="728">
        <f>SUMIF('IS(Y)'!3:3,FS4,'IS(Y)'!18:18)/4</f>
        <v>0</v>
      </c>
      <c r="FT23" s="729">
        <f>SUMIF('IS(Y)'!3:3,FT4,'IS(Y)'!18:18)/4</f>
        <v>0</v>
      </c>
      <c r="FU23" s="729">
        <f>SUMIF('IS(Y)'!3:3,FU4,'IS(Y)'!18:18)/4</f>
        <v>0</v>
      </c>
      <c r="FV23" s="730">
        <f>SUMIF('IS(Y)'!3:3,FV4,'IS(Y)'!18:18)/4</f>
        <v>0</v>
      </c>
      <c r="FW23" s="728">
        <f>SUMIF('IS(Y)'!3:3,FW4,'IS(Y)'!18:18)/4</f>
        <v>0</v>
      </c>
      <c r="FX23" s="729">
        <f>SUMIF('IS(Y)'!3:3,FX4,'IS(Y)'!18:18)/4</f>
        <v>0</v>
      </c>
      <c r="FY23" s="729">
        <f>SUMIF('IS(Y)'!3:3,FY4,'IS(Y)'!18:18)/4</f>
        <v>0</v>
      </c>
      <c r="FZ23" s="730">
        <f>SUMIF('IS(Y)'!3:3,FZ4,'IS(Y)'!18:18)/4</f>
        <v>0</v>
      </c>
      <c r="GA23" s="728"/>
      <c r="GB23" s="729"/>
      <c r="GC23" s="729"/>
      <c r="GD23" s="730"/>
    </row>
    <row r="24" spans="2:186" ht="17.100000000000001" customHeight="1">
      <c r="B24" s="307"/>
      <c r="D24" s="1274" t="str">
        <f t="shared" si="17"/>
        <v>유형자산상각비</v>
      </c>
      <c r="E24" s="742"/>
      <c r="F24" s="1207">
        <f t="shared" ca="1" si="12"/>
        <v>1285.7150852239072</v>
      </c>
      <c r="G24" s="1275">
        <f ca="1">SUMIF('IS(Y)'!3:3,2019,'IS(Y)'!19:19)/4</f>
        <v>4.5386968056249994</v>
      </c>
      <c r="H24" s="1290">
        <f ca="1">SUMIF('IS(Y)'!3:3,2019,'IS(Y)'!19:19)/4</f>
        <v>4.5386968056249994</v>
      </c>
      <c r="I24" s="1290">
        <f ca="1">SUMIF('IS(Y)'!3:3,2019,'IS(Y)'!19:19)/4</f>
        <v>4.5386968056249994</v>
      </c>
      <c r="J24" s="1291">
        <f ca="1">SUMIF('IS(Y)'!3:3,2019,'IS(Y)'!19:19)/4</f>
        <v>4.5386968056249994</v>
      </c>
      <c r="K24" s="1275">
        <f ca="1">SUMIF('IS(Y)'!3:3,O4,'IS(Y)'!19:19)/4</f>
        <v>4.7461630537500001</v>
      </c>
      <c r="L24" s="1290">
        <f ca="1">SUMIF('IS(Y)'!3:3,P4,'IS(Y)'!19:19)/4</f>
        <v>4.7461630537500001</v>
      </c>
      <c r="M24" s="1290">
        <f ca="1">SUMIF('IS(Y)'!3:3,Q4,'IS(Y)'!19:19)/4</f>
        <v>4.7461630537500001</v>
      </c>
      <c r="N24" s="1291">
        <f ca="1">SUMIF('IS(Y)'!3:3,R4,'IS(Y)'!19:19)/4</f>
        <v>4.7461630537500001</v>
      </c>
      <c r="O24" s="728">
        <f ca="1">SUMIF('IS(Y)'!3:3,O4,'IS(Y)'!19:19)/4</f>
        <v>4.7461630537500001</v>
      </c>
      <c r="P24" s="729">
        <f ca="1">SUMIF('IS(Y)'!3:3,P4,'IS(Y)'!19:19)/4</f>
        <v>4.7461630537500001</v>
      </c>
      <c r="Q24" s="729">
        <f ca="1">SUMIF('IS(Y)'!3:3,Q4,'IS(Y)'!19:19)/4</f>
        <v>4.7461630537500001</v>
      </c>
      <c r="R24" s="730">
        <f ca="1">SUMIF('IS(Y)'!3:3,R4,'IS(Y)'!19:19)/4</f>
        <v>4.7461630537500001</v>
      </c>
      <c r="S24" s="728">
        <f ca="1">SUMIF('IS(Y)'!3:3,S4,'IS(Y)'!19:19)/4</f>
        <v>4.9873505537500007</v>
      </c>
      <c r="T24" s="729">
        <f ca="1">SUMIF('IS(Y)'!3:3,T4,'IS(Y)'!19:19)/4</f>
        <v>4.9873505537500007</v>
      </c>
      <c r="U24" s="729">
        <f ca="1">SUMIF('IS(Y)'!3:3,U4,'IS(Y)'!19:19)/4</f>
        <v>4.9873505537500007</v>
      </c>
      <c r="V24" s="730">
        <f ca="1">SUMIF('IS(Y)'!3:3,V4,'IS(Y)'!19:19)/4</f>
        <v>4.9873505537500007</v>
      </c>
      <c r="W24" s="728">
        <f ca="1">SUMIF('IS(Y)'!3:3,W4,'IS(Y)'!19:19)/4</f>
        <v>4.9873505537500007</v>
      </c>
      <c r="X24" s="729">
        <f ca="1">SUMIF('IS(Y)'!3:3,X4,'IS(Y)'!19:19)/4</f>
        <v>4.9873505537500007</v>
      </c>
      <c r="Y24" s="729">
        <f ca="1">SUMIF('IS(Y)'!3:3,Y4,'IS(Y)'!19:19)/4</f>
        <v>4.9873505537500007</v>
      </c>
      <c r="Z24" s="730">
        <f ca="1">SUMIF('IS(Y)'!3:3,Z4,'IS(Y)'!19:19)/4</f>
        <v>4.9873505537500007</v>
      </c>
      <c r="AA24" s="728">
        <f ca="1">SUMIF('IS(Y)'!3:3,AA4,'IS(Y)'!19:19)/4</f>
        <v>4.9873505537500007</v>
      </c>
      <c r="AB24" s="729">
        <f ca="1">SUMIF('IS(Y)'!3:3,AB4,'IS(Y)'!19:19)/4</f>
        <v>4.9873505537500007</v>
      </c>
      <c r="AC24" s="729">
        <f ca="1">SUMIF('IS(Y)'!3:3,AC4,'IS(Y)'!19:19)/4</f>
        <v>4.9873505537500007</v>
      </c>
      <c r="AD24" s="730">
        <f ca="1">SUMIF('IS(Y)'!3:3,AD4,'IS(Y)'!19:19)/4</f>
        <v>4.9873505537500007</v>
      </c>
      <c r="AE24" s="728">
        <f ca="1">SUMIF('IS(Y)'!3:3,AE4,'IS(Y)'!19:19)/4</f>
        <v>5.0263732041250009</v>
      </c>
      <c r="AF24" s="729">
        <f ca="1">SUMIF('IS(Y)'!3:3,AF4,'IS(Y)'!19:19)/4</f>
        <v>5.0263732041250009</v>
      </c>
      <c r="AG24" s="729">
        <f ca="1">SUMIF('IS(Y)'!3:3,AG4,'IS(Y)'!19:19)/4</f>
        <v>5.0263732041250009</v>
      </c>
      <c r="AH24" s="730">
        <f ca="1">SUMIF('IS(Y)'!3:3,AH4,'IS(Y)'!19:19)/4</f>
        <v>5.0263732041250009</v>
      </c>
      <c r="AI24" s="728">
        <f ca="1">SUMIF('IS(Y)'!3:3,AI4,'IS(Y)'!19:19)/4</f>
        <v>5.0882514208246379</v>
      </c>
      <c r="AJ24" s="729">
        <f ca="1">SUMIF('IS(Y)'!3:3,AJ4,'IS(Y)'!19:19)/4</f>
        <v>5.0882514208246379</v>
      </c>
      <c r="AK24" s="729">
        <f ca="1">SUMIF('IS(Y)'!3:3,AK4,'IS(Y)'!19:19)/4</f>
        <v>5.0882514208246379</v>
      </c>
      <c r="AL24" s="730">
        <f ca="1">SUMIF('IS(Y)'!3:3,AL4,'IS(Y)'!19:19)/4</f>
        <v>5.0882514208246379</v>
      </c>
      <c r="AM24" s="728">
        <f ca="1">SUMIF('IS(Y)'!3:3,AM4,'IS(Y)'!19:19)/4</f>
        <v>5.2023648370142457</v>
      </c>
      <c r="AN24" s="729">
        <f ca="1">SUMIF('IS(Y)'!3:3,AN4,'IS(Y)'!19:19)/4</f>
        <v>5.2023648370142457</v>
      </c>
      <c r="AO24" s="729">
        <f ca="1">SUMIF('IS(Y)'!3:3,AO4,'IS(Y)'!19:19)/4</f>
        <v>5.2023648370142457</v>
      </c>
      <c r="AP24" s="730">
        <f ca="1">SUMIF('IS(Y)'!3:3,AP4,'IS(Y)'!19:19)/4</f>
        <v>5.2023648370142457</v>
      </c>
      <c r="AQ24" s="728">
        <f ca="1">SUMIF('IS(Y)'!3:3,AQ4,'IS(Y)'!19:19)/4</f>
        <v>5.2077255137747809</v>
      </c>
      <c r="AR24" s="729">
        <f ca="1">SUMIF('IS(Y)'!3:3,AR4,'IS(Y)'!19:19)/4</f>
        <v>5.2077255137747809</v>
      </c>
      <c r="AS24" s="729">
        <f ca="1">SUMIF('IS(Y)'!3:3,AS4,'IS(Y)'!19:19)/4</f>
        <v>5.2077255137747809</v>
      </c>
      <c r="AT24" s="730">
        <f ca="1">SUMIF('IS(Y)'!3:3,AT4,'IS(Y)'!19:19)/4</f>
        <v>5.2077255137747809</v>
      </c>
      <c r="AU24" s="728">
        <f ca="1">SUMIF('IS(Y)'!3:3,AU4,'IS(Y)'!19:19)/4</f>
        <v>5.4310647093105722</v>
      </c>
      <c r="AV24" s="729">
        <f ca="1">SUMIF('IS(Y)'!3:3,AV4,'IS(Y)'!19:19)/4</f>
        <v>5.4310647093105722</v>
      </c>
      <c r="AW24" s="729">
        <f ca="1">SUMIF('IS(Y)'!3:3,AW4,'IS(Y)'!19:19)/4</f>
        <v>5.4310647093105722</v>
      </c>
      <c r="AX24" s="730">
        <f ca="1">SUMIF('IS(Y)'!3:3,AX4,'IS(Y)'!19:19)/4</f>
        <v>5.4310647093105722</v>
      </c>
      <c r="AY24" s="728">
        <f ca="1">SUMIF('IS(Y)'!3:3,AY4,'IS(Y)'!19:19)/4</f>
        <v>5.7591702911158809</v>
      </c>
      <c r="AZ24" s="729">
        <f ca="1">SUMIF('IS(Y)'!3:3,AZ4,'IS(Y)'!19:19)/4</f>
        <v>5.7591702911158809</v>
      </c>
      <c r="BA24" s="729">
        <f ca="1">SUMIF('IS(Y)'!3:3,BA4,'IS(Y)'!19:19)/4</f>
        <v>5.7591702911158809</v>
      </c>
      <c r="BB24" s="730">
        <f ca="1">SUMIF('IS(Y)'!3:3,BB4,'IS(Y)'!19:19)/4</f>
        <v>5.7591702911158809</v>
      </c>
      <c r="BC24" s="728">
        <f ca="1">SUMIF('IS(Y)'!3:3,BC4,'IS(Y)'!19:19)/4</f>
        <v>6.2881130727584091</v>
      </c>
      <c r="BD24" s="729">
        <f ca="1">SUMIF('IS(Y)'!3:3,BD4,'IS(Y)'!19:19)/4</f>
        <v>6.2881130727584091</v>
      </c>
      <c r="BE24" s="729">
        <f ca="1">SUMIF('IS(Y)'!3:3,BE4,'IS(Y)'!19:19)/4</f>
        <v>6.2881130727584091</v>
      </c>
      <c r="BF24" s="730">
        <f ca="1">SUMIF('IS(Y)'!3:3,BF4,'IS(Y)'!19:19)/4</f>
        <v>6.2881130727584091</v>
      </c>
      <c r="BG24" s="728">
        <f ca="1">SUMIF('IS(Y)'!3:3,BG4,'IS(Y)'!19:19)/4</f>
        <v>6.6777602428312717</v>
      </c>
      <c r="BH24" s="729">
        <f ca="1">SUMIF('IS(Y)'!3:3,BH4,'IS(Y)'!19:19)/4</f>
        <v>6.6777602428312717</v>
      </c>
      <c r="BI24" s="729">
        <f ca="1">SUMIF('IS(Y)'!3:3,BI4,'IS(Y)'!19:19)/4</f>
        <v>6.6777602428312717</v>
      </c>
      <c r="BJ24" s="730">
        <f ca="1">SUMIF('IS(Y)'!3:3,BJ4,'IS(Y)'!19:19)/4</f>
        <v>6.6777602428312717</v>
      </c>
      <c r="BK24" s="728">
        <f ca="1">SUMIF('IS(Y)'!3:3,BK4,'IS(Y)'!19:19)/4</f>
        <v>6.6890284931325921</v>
      </c>
      <c r="BL24" s="729">
        <f ca="1">SUMIF('IS(Y)'!3:3,BL4,'IS(Y)'!19:19)/4</f>
        <v>6.6890284931325921</v>
      </c>
      <c r="BM24" s="729">
        <f ca="1">SUMIF('IS(Y)'!3:3,BM4,'IS(Y)'!19:19)/4</f>
        <v>6.6890284931325921</v>
      </c>
      <c r="BN24" s="730">
        <f ca="1">SUMIF('IS(Y)'!3:3,BN4,'IS(Y)'!19:19)/4</f>
        <v>6.6890284931325921</v>
      </c>
      <c r="BO24" s="728">
        <f ca="1">SUMIF('IS(Y)'!3:3,BO4,'IS(Y)'!19:19)/4</f>
        <v>7.1158134732950753</v>
      </c>
      <c r="BP24" s="729">
        <f ca="1">SUMIF('IS(Y)'!3:3,BP4,'IS(Y)'!19:19)/4</f>
        <v>7.1158134732950753</v>
      </c>
      <c r="BQ24" s="729">
        <f ca="1">SUMIF('IS(Y)'!3:3,BQ4,'IS(Y)'!19:19)/4</f>
        <v>7.1158134732950753</v>
      </c>
      <c r="BR24" s="730">
        <f ca="1">SUMIF('IS(Y)'!3:3,BR4,'IS(Y)'!19:19)/4</f>
        <v>7.1158134732950753</v>
      </c>
      <c r="BS24" s="728">
        <f ca="1">SUMIF('IS(Y)'!3:3,BS4,'IS(Y)'!19:19)/4</f>
        <v>7.6618137245829452</v>
      </c>
      <c r="BT24" s="729">
        <f ca="1">SUMIF('IS(Y)'!3:3,BT4,'IS(Y)'!19:19)/4</f>
        <v>7.6618137245829452</v>
      </c>
      <c r="BU24" s="729">
        <f ca="1">SUMIF('IS(Y)'!3:3,BU4,'IS(Y)'!19:19)/4</f>
        <v>7.6618137245829452</v>
      </c>
      <c r="BV24" s="730">
        <f ca="1">SUMIF('IS(Y)'!3:3,BV4,'IS(Y)'!19:19)/4</f>
        <v>7.6618137245829452</v>
      </c>
      <c r="BW24" s="728">
        <f ca="1">SUMIF('IS(Y)'!3:3,BW4,'IS(Y)'!19:19)/4</f>
        <v>8.4148123841911495</v>
      </c>
      <c r="BX24" s="729">
        <f ca="1">SUMIF('IS(Y)'!3:3,BX4,'IS(Y)'!19:19)/4</f>
        <v>8.4148123841911495</v>
      </c>
      <c r="BY24" s="729">
        <f ca="1">SUMIF('IS(Y)'!3:3,BY4,'IS(Y)'!19:19)/4</f>
        <v>8.4148123841911495</v>
      </c>
      <c r="BZ24" s="730">
        <f ca="1">SUMIF('IS(Y)'!3:3,BZ4,'IS(Y)'!19:19)/4</f>
        <v>8.4148123841911495</v>
      </c>
      <c r="CA24" s="728">
        <f ca="1">SUMIF('IS(Y)'!3:3,CA4,'IS(Y)'!19:19)/4</f>
        <v>8.7135267939854604</v>
      </c>
      <c r="CB24" s="729">
        <f ca="1">SUMIF('IS(Y)'!3:3,CB4,'IS(Y)'!19:19)/4</f>
        <v>8.7135267939854604</v>
      </c>
      <c r="CC24" s="729">
        <f ca="1">SUMIF('IS(Y)'!3:3,CC4,'IS(Y)'!19:19)/4</f>
        <v>8.7135267939854604</v>
      </c>
      <c r="CD24" s="730">
        <f ca="1">SUMIF('IS(Y)'!3:3,CD4,'IS(Y)'!19:19)/4</f>
        <v>8.7135267939854604</v>
      </c>
      <c r="CE24" s="728">
        <f ca="1">SUMIF('IS(Y)'!3:3,CE4,'IS(Y)'!19:19)/4</f>
        <v>9.4596385857504099</v>
      </c>
      <c r="CF24" s="729">
        <f ca="1">SUMIF('IS(Y)'!3:3,CF4,'IS(Y)'!19:19)/4</f>
        <v>9.4596385857504099</v>
      </c>
      <c r="CG24" s="729">
        <f ca="1">SUMIF('IS(Y)'!3:3,CG4,'IS(Y)'!19:19)/4</f>
        <v>9.4596385857504099</v>
      </c>
      <c r="CH24" s="730">
        <f ca="1">SUMIF('IS(Y)'!3:3,CH4,'IS(Y)'!19:19)/4</f>
        <v>9.4596385857504099</v>
      </c>
      <c r="CI24" s="728">
        <f ca="1">SUMIF('IS(Y)'!3:3,CI4,'IS(Y)'!19:19)/4</f>
        <v>11.202350698608649</v>
      </c>
      <c r="CJ24" s="729">
        <f ca="1">SUMIF('IS(Y)'!3:3,CJ4,'IS(Y)'!19:19)/4</f>
        <v>11.202350698608649</v>
      </c>
      <c r="CK24" s="729">
        <f ca="1">SUMIF('IS(Y)'!3:3,CK4,'IS(Y)'!19:19)/4</f>
        <v>11.202350698608649</v>
      </c>
      <c r="CL24" s="730">
        <f ca="1">SUMIF('IS(Y)'!3:3,CL4,'IS(Y)'!19:19)/4</f>
        <v>11.202350698608649</v>
      </c>
      <c r="CM24" s="728">
        <f ca="1">SUMIF('IS(Y)'!3:3,CM4,'IS(Y)'!19:19)/4</f>
        <v>8.4886630053887853</v>
      </c>
      <c r="CN24" s="729">
        <f ca="1">SUMIF('IS(Y)'!3:3,CN4,'IS(Y)'!19:19)/4</f>
        <v>8.4886630053887853</v>
      </c>
      <c r="CO24" s="729">
        <f ca="1">SUMIF('IS(Y)'!3:3,CO4,'IS(Y)'!19:19)/4</f>
        <v>8.4886630053887853</v>
      </c>
      <c r="CP24" s="730">
        <f ca="1">SUMIF('IS(Y)'!3:3,CP4,'IS(Y)'!19:19)/4</f>
        <v>8.4886630053887853</v>
      </c>
      <c r="CQ24" s="728">
        <f ca="1">SUMIF('IS(Y)'!3:3,CQ4,'IS(Y)'!19:19)/4</f>
        <v>7.5194696420265146</v>
      </c>
      <c r="CR24" s="729">
        <f ca="1">SUMIF('IS(Y)'!3:3,CR4,'IS(Y)'!19:19)/4</f>
        <v>7.5194696420265146</v>
      </c>
      <c r="CS24" s="729">
        <f ca="1">SUMIF('IS(Y)'!3:3,CS4,'IS(Y)'!19:19)/4</f>
        <v>7.5194696420265146</v>
      </c>
      <c r="CT24" s="730">
        <f ca="1">SUMIF('IS(Y)'!3:3,CT4,'IS(Y)'!19:19)/4</f>
        <v>7.5194696420265146</v>
      </c>
      <c r="CU24" s="728">
        <f ca="1">SUMIF('IS(Y)'!3:3,CU4,'IS(Y)'!19:19)/4</f>
        <v>7.8112916562267856</v>
      </c>
      <c r="CV24" s="729">
        <f ca="1">SUMIF('IS(Y)'!3:3,CV4,'IS(Y)'!19:19)/4</f>
        <v>7.8112916562267856</v>
      </c>
      <c r="CW24" s="729">
        <f ca="1">SUMIF('IS(Y)'!3:3,CW4,'IS(Y)'!19:19)/4</f>
        <v>7.8112916562267856</v>
      </c>
      <c r="CX24" s="730">
        <f ca="1">SUMIF('IS(Y)'!3:3,CX4,'IS(Y)'!19:19)/4</f>
        <v>7.8112916562267856</v>
      </c>
      <c r="CY24" s="728">
        <f ca="1">SUMIF('IS(Y)'!3:3,CY4,'IS(Y)'!19:19)/4</f>
        <v>8.0260051420338208</v>
      </c>
      <c r="CZ24" s="729">
        <f ca="1">SUMIF('IS(Y)'!3:3,CZ4,'IS(Y)'!19:19)/4</f>
        <v>8.0260051420338208</v>
      </c>
      <c r="DA24" s="729">
        <f ca="1">SUMIF('IS(Y)'!3:3,DA4,'IS(Y)'!19:19)/4</f>
        <v>8.0260051420338208</v>
      </c>
      <c r="DB24" s="730">
        <f ca="1">SUMIF('IS(Y)'!3:3,DB4,'IS(Y)'!19:19)/4</f>
        <v>8.0260051420338208</v>
      </c>
      <c r="DC24" s="728">
        <f ca="1">SUMIF('IS(Y)'!3:3,DC4,'IS(Y)'!19:19)/4</f>
        <v>8.0260051420338208</v>
      </c>
      <c r="DD24" s="729">
        <f ca="1">SUMIF('IS(Y)'!3:3,DD4,'IS(Y)'!19:19)/4</f>
        <v>8.0260051420338208</v>
      </c>
      <c r="DE24" s="729">
        <f ca="1">SUMIF('IS(Y)'!3:3,DE4,'IS(Y)'!19:19)/4</f>
        <v>8.0260051420338208</v>
      </c>
      <c r="DF24" s="730">
        <f ca="1">SUMIF('IS(Y)'!3:3,DF4,'IS(Y)'!19:19)/4</f>
        <v>8.0260051420338208</v>
      </c>
      <c r="DG24" s="728">
        <f ca="1">SUMIF('IS(Y)'!3:3,DG4,'IS(Y)'!19:19)/4</f>
        <v>7.9996798381441394</v>
      </c>
      <c r="DH24" s="729">
        <f ca="1">SUMIF('IS(Y)'!3:3,DH4,'IS(Y)'!19:19)/4</f>
        <v>7.9996798381441394</v>
      </c>
      <c r="DI24" s="729">
        <f ca="1">SUMIF('IS(Y)'!3:3,DI4,'IS(Y)'!19:19)/4</f>
        <v>7.9996798381441394</v>
      </c>
      <c r="DJ24" s="730">
        <f ca="1">SUMIF('IS(Y)'!3:3,DJ4,'IS(Y)'!19:19)/4</f>
        <v>7.9996798381441394</v>
      </c>
      <c r="DK24" s="728">
        <f ca="1">SUMIF('IS(Y)'!3:3,DK4,'IS(Y)'!19:19)/4</f>
        <v>8.1447156116805566</v>
      </c>
      <c r="DL24" s="729">
        <f ca="1">SUMIF('IS(Y)'!3:3,DL4,'IS(Y)'!19:19)/4</f>
        <v>8.1447156116805566</v>
      </c>
      <c r="DM24" s="729">
        <f ca="1">SUMIF('IS(Y)'!3:3,DM4,'IS(Y)'!19:19)/4</f>
        <v>8.1447156116805566</v>
      </c>
      <c r="DN24" s="730">
        <f ca="1">SUMIF('IS(Y)'!3:3,DN4,'IS(Y)'!19:19)/4</f>
        <v>8.1447156116805566</v>
      </c>
      <c r="DO24" s="728">
        <f ca="1">SUMIF('IS(Y)'!3:3,DO4,'IS(Y)'!19:19)/4</f>
        <v>8.1730803901373648</v>
      </c>
      <c r="DP24" s="729">
        <f ca="1">SUMIF('IS(Y)'!3:3,DP4,'IS(Y)'!19:19)/4</f>
        <v>8.1730803901373648</v>
      </c>
      <c r="DQ24" s="729">
        <f ca="1">SUMIF('IS(Y)'!3:3,DQ4,'IS(Y)'!19:19)/4</f>
        <v>8.1730803901373648</v>
      </c>
      <c r="DR24" s="730">
        <f ca="1">SUMIF('IS(Y)'!3:3,DR4,'IS(Y)'!19:19)/4</f>
        <v>8.1730803901373648</v>
      </c>
      <c r="DS24" s="728">
        <f ca="1">SUMIF('IS(Y)'!3:3,DS4,'IS(Y)'!19:19)/4</f>
        <v>8.3659133584115679</v>
      </c>
      <c r="DT24" s="729">
        <f ca="1">SUMIF('IS(Y)'!3:3,DT4,'IS(Y)'!19:19)/4</f>
        <v>8.3659133584115679</v>
      </c>
      <c r="DU24" s="729">
        <f ca="1">SUMIF('IS(Y)'!3:3,DU4,'IS(Y)'!19:19)/4</f>
        <v>8.3659133584115679</v>
      </c>
      <c r="DV24" s="730">
        <f ca="1">SUMIF('IS(Y)'!3:3,DV4,'IS(Y)'!19:19)/4</f>
        <v>8.3659133584115679</v>
      </c>
      <c r="DW24" s="728">
        <f ca="1">SUMIF('IS(Y)'!3:3,DW4,'IS(Y)'!19:19)/4</f>
        <v>8.4976711102296818</v>
      </c>
      <c r="DX24" s="729">
        <f ca="1">SUMIF('IS(Y)'!3:3,DX4,'IS(Y)'!19:19)/4</f>
        <v>8.4976711102296818</v>
      </c>
      <c r="DY24" s="729">
        <f ca="1">SUMIF('IS(Y)'!3:3,DY4,'IS(Y)'!19:19)/4</f>
        <v>8.4976711102296818</v>
      </c>
      <c r="DZ24" s="730">
        <f ca="1">SUMIF('IS(Y)'!3:3,DZ4,'IS(Y)'!19:19)/4</f>
        <v>8.4976711102296818</v>
      </c>
      <c r="EA24" s="728">
        <f ca="1">SUMIF('IS(Y)'!3:3,EA4,'IS(Y)'!19:19)/4</f>
        <v>8.1695655284243731</v>
      </c>
      <c r="EB24" s="729">
        <f ca="1">SUMIF('IS(Y)'!3:3,EB4,'IS(Y)'!19:19)/4</f>
        <v>8.1695655284243731</v>
      </c>
      <c r="EC24" s="729">
        <f ca="1">SUMIF('IS(Y)'!3:3,EC4,'IS(Y)'!19:19)/4</f>
        <v>8.1695655284243731</v>
      </c>
      <c r="ED24" s="730">
        <f ca="1">SUMIF('IS(Y)'!3:3,ED4,'IS(Y)'!19:19)/4</f>
        <v>8.1695655284243731</v>
      </c>
      <c r="EE24" s="728">
        <f ca="1">SUMIF('IS(Y)'!3:3,EE4,'IS(Y)'!19:19)/4</f>
        <v>8.2321195040311146</v>
      </c>
      <c r="EF24" s="729">
        <f ca="1">SUMIF('IS(Y)'!3:3,EF4,'IS(Y)'!19:19)/4</f>
        <v>8.2321195040311146</v>
      </c>
      <c r="EG24" s="729">
        <f ca="1">SUMIF('IS(Y)'!3:3,EG4,'IS(Y)'!19:19)/4</f>
        <v>8.2321195040311146</v>
      </c>
      <c r="EH24" s="730">
        <f ca="1">SUMIF('IS(Y)'!3:3,EH4,'IS(Y)'!19:19)/4</f>
        <v>8.2321195040311146</v>
      </c>
      <c r="EI24" s="728">
        <f ca="1">SUMIF('IS(Y)'!3:3,EI4,'IS(Y)'!19:19)/4</f>
        <v>7.954781844828366</v>
      </c>
      <c r="EJ24" s="729">
        <f ca="1">SUMIF('IS(Y)'!3:3,EJ4,'IS(Y)'!19:19)/4</f>
        <v>7.954781844828366</v>
      </c>
      <c r="EK24" s="729">
        <f ca="1">SUMIF('IS(Y)'!3:3,EK4,'IS(Y)'!19:19)/4</f>
        <v>7.954781844828366</v>
      </c>
      <c r="EL24" s="730">
        <f ca="1">SUMIF('IS(Y)'!3:3,EL4,'IS(Y)'!19:19)/4</f>
        <v>7.954781844828366</v>
      </c>
      <c r="EM24" s="728">
        <f ca="1">SUMIF('IS(Y)'!3:3,EM4,'IS(Y)'!19:19)/4</f>
        <v>7.9435135945270474</v>
      </c>
      <c r="EN24" s="729">
        <f ca="1">SUMIF('IS(Y)'!3:3,EN4,'IS(Y)'!19:19)/4</f>
        <v>7.9435135945270474</v>
      </c>
      <c r="EO24" s="729">
        <f ca="1">SUMIF('IS(Y)'!3:3,EO4,'IS(Y)'!19:19)/4</f>
        <v>7.9435135945270474</v>
      </c>
      <c r="EP24" s="730">
        <f ca="1">SUMIF('IS(Y)'!3:3,EP4,'IS(Y)'!19:19)/4</f>
        <v>7.9435135945270474</v>
      </c>
      <c r="EQ24" s="728">
        <f ca="1">SUMIF('IS(Y)'!3:3,EQ4,'IS(Y)'!19:19)/4</f>
        <v>7.7875231810012639</v>
      </c>
      <c r="ER24" s="729">
        <f ca="1">SUMIF('IS(Y)'!3:3,ER4,'IS(Y)'!19:19)/4</f>
        <v>7.7875231810012639</v>
      </c>
      <c r="ES24" s="729">
        <f ca="1">SUMIF('IS(Y)'!3:3,ES4,'IS(Y)'!19:19)/4</f>
        <v>7.7875231810012639</v>
      </c>
      <c r="ET24" s="730">
        <f ca="1">SUMIF('IS(Y)'!3:3,ET4,'IS(Y)'!19:19)/4</f>
        <v>7.7875231810012639</v>
      </c>
      <c r="EU24" s="728">
        <f ca="1">SUMIF('IS(Y)'!3:3,EU4,'IS(Y)'!19:19)/4</f>
        <v>7.2415229297133905</v>
      </c>
      <c r="EV24" s="729">
        <f ca="1">SUMIF('IS(Y)'!3:3,EV4,'IS(Y)'!19:19)/4</f>
        <v>7.2415229297133905</v>
      </c>
      <c r="EW24" s="729">
        <f ca="1">SUMIF('IS(Y)'!3:3,EW4,'IS(Y)'!19:19)/4</f>
        <v>7.2415229297133905</v>
      </c>
      <c r="EX24" s="730">
        <f ca="1">SUMIF('IS(Y)'!3:3,EX4,'IS(Y)'!19:19)/4</f>
        <v>7.2415229297133905</v>
      </c>
      <c r="EY24" s="728">
        <f ca="1">SUMIF('IS(Y)'!3:3,EY4,'IS(Y)'!19:19)/4</f>
        <v>6.5860927849268389</v>
      </c>
      <c r="EZ24" s="729">
        <f ca="1">SUMIF('IS(Y)'!3:3,EZ4,'IS(Y)'!19:19)/4</f>
        <v>6.5860927849268389</v>
      </c>
      <c r="FA24" s="729">
        <f ca="1">SUMIF('IS(Y)'!3:3,FA4,'IS(Y)'!19:19)/4</f>
        <v>6.5860927849268389</v>
      </c>
      <c r="FB24" s="730">
        <f ca="1">SUMIF('IS(Y)'!3:3,FB4,'IS(Y)'!19:19)/4</f>
        <v>6.5860927849268389</v>
      </c>
      <c r="FC24" s="728">
        <f ca="1">SUMIF('IS(Y)'!3:3,FC4,'IS(Y)'!19:19)/4</f>
        <v>6.3142052898248684</v>
      </c>
      <c r="FD24" s="729">
        <f ca="1">SUMIF('IS(Y)'!3:3,FD4,'IS(Y)'!19:19)/4</f>
        <v>6.3142052898248684</v>
      </c>
      <c r="FE24" s="729">
        <f ca="1">SUMIF('IS(Y)'!3:3,FE4,'IS(Y)'!19:19)/4</f>
        <v>6.3142052898248684</v>
      </c>
      <c r="FF24" s="730">
        <f ca="1">SUMIF('IS(Y)'!3:3,FF4,'IS(Y)'!19:19)/4</f>
        <v>6.3142052898248684</v>
      </c>
      <c r="FG24" s="728">
        <f ca="1">SUMIF('IS(Y)'!3:3,FG4,'IS(Y)'!19:19)/4</f>
        <v>5.7360836378633664</v>
      </c>
      <c r="FH24" s="729">
        <f ca="1">SUMIF('IS(Y)'!3:3,FH4,'IS(Y)'!19:19)/4</f>
        <v>5.7360836378633664</v>
      </c>
      <c r="FI24" s="729">
        <f ca="1">SUMIF('IS(Y)'!3:3,FI4,'IS(Y)'!19:19)/4</f>
        <v>5.7360836378633664</v>
      </c>
      <c r="FJ24" s="730">
        <f ca="1">SUMIF('IS(Y)'!3:3,FJ4,'IS(Y)'!19:19)/4</f>
        <v>5.7360836378633664</v>
      </c>
      <c r="FK24" s="728">
        <f ca="1">SUMIF('IS(Y)'!3:3,FK4,'IS(Y)'!19:19)/4</f>
        <v>50.764845954222025</v>
      </c>
      <c r="FL24" s="729">
        <f ca="1">SUMIF('IS(Y)'!3:3,FL4,'IS(Y)'!19:19)/4</f>
        <v>50.764845954222025</v>
      </c>
      <c r="FM24" s="729">
        <f ca="1">SUMIF('IS(Y)'!3:3,FM4,'IS(Y)'!19:19)/4</f>
        <v>50.764845954222025</v>
      </c>
      <c r="FN24" s="730">
        <f ca="1">SUMIF('IS(Y)'!3:3,FN4,'IS(Y)'!19:19)/4</f>
        <v>50.764845954222025</v>
      </c>
      <c r="FO24" s="728">
        <f ca="1">SUMIF('IS(Y)'!3:3,FO4,'IS(Y)'!19:19)/4</f>
        <v>0</v>
      </c>
      <c r="FP24" s="729">
        <f ca="1">SUMIF('IS(Y)'!3:3,FP4,'IS(Y)'!19:19)/4</f>
        <v>0</v>
      </c>
      <c r="FQ24" s="729">
        <f ca="1">SUMIF('IS(Y)'!3:3,FQ4,'IS(Y)'!19:19)/4</f>
        <v>0</v>
      </c>
      <c r="FR24" s="730">
        <f ca="1">SUMIF('IS(Y)'!3:3,FR4,'IS(Y)'!19:19)/4</f>
        <v>0</v>
      </c>
      <c r="FS24" s="728">
        <f ca="1">SUMIF('IS(Y)'!3:3,FS4,'IS(Y)'!19:19)/4</f>
        <v>0</v>
      </c>
      <c r="FT24" s="729">
        <f ca="1">SUMIF('IS(Y)'!3:3,FT4,'IS(Y)'!19:19)/4</f>
        <v>0</v>
      </c>
      <c r="FU24" s="729">
        <f ca="1">SUMIF('IS(Y)'!3:3,FU4,'IS(Y)'!19:19)/4</f>
        <v>0</v>
      </c>
      <c r="FV24" s="730">
        <f ca="1">SUMIF('IS(Y)'!3:3,FV4,'IS(Y)'!19:19)/4</f>
        <v>0</v>
      </c>
      <c r="FW24" s="728">
        <f ca="1">SUMIF('IS(Y)'!3:3,FW4,'IS(Y)'!19:19)/4</f>
        <v>0</v>
      </c>
      <c r="FX24" s="729">
        <f ca="1">SUMIF('IS(Y)'!3:3,FX4,'IS(Y)'!19:19)/4</f>
        <v>0</v>
      </c>
      <c r="FY24" s="729">
        <f ca="1">SUMIF('IS(Y)'!3:3,FY4,'IS(Y)'!19:19)/4</f>
        <v>0</v>
      </c>
      <c r="FZ24" s="730">
        <f ca="1">SUMIF('IS(Y)'!3:3,FZ4,'IS(Y)'!19:19)/4</f>
        <v>0</v>
      </c>
      <c r="GA24" s="728"/>
      <c r="GB24" s="729"/>
      <c r="GC24" s="729"/>
      <c r="GD24" s="730"/>
    </row>
    <row r="25" spans="2:186" ht="17.100000000000001" customHeight="1">
      <c r="B25" s="307"/>
      <c r="D25" s="1282" t="str">
        <f t="shared" si="17"/>
        <v>법인세정산</v>
      </c>
      <c r="E25" s="747"/>
      <c r="F25" s="1283">
        <f t="shared" ca="1" si="12"/>
        <v>0</v>
      </c>
      <c r="G25" s="1292">
        <f ca="1">'IS(Q)'!G62</f>
        <v>0</v>
      </c>
      <c r="H25" s="1293">
        <f ca="1">'IS(Q)'!H62</f>
        <v>0</v>
      </c>
      <c r="I25" s="1293">
        <f ca="1">'IS(Q)'!I62</f>
        <v>0</v>
      </c>
      <c r="J25" s="1294">
        <f ca="1">'IS(Q)'!J62</f>
        <v>0</v>
      </c>
      <c r="K25" s="1292">
        <f ca="1">'IS(Q)'!K62</f>
        <v>0</v>
      </c>
      <c r="L25" s="1293">
        <f ca="1">'IS(Q)'!L62</f>
        <v>0</v>
      </c>
      <c r="M25" s="1293">
        <f ca="1">'IS(Q)'!M62</f>
        <v>0</v>
      </c>
      <c r="N25" s="1294">
        <f ca="1">'IS(Q)'!N62</f>
        <v>0</v>
      </c>
      <c r="O25" s="1295">
        <f ca="1">'IS(Q)'!O62</f>
        <v>0</v>
      </c>
      <c r="P25" s="1296">
        <f ca="1">'IS(Q)'!P62</f>
        <v>0</v>
      </c>
      <c r="Q25" s="1296">
        <f ca="1">'IS(Q)'!Q62</f>
        <v>0</v>
      </c>
      <c r="R25" s="1297">
        <f ca="1">'IS(Q)'!R62</f>
        <v>0</v>
      </c>
      <c r="S25" s="1295">
        <f ca="1">'IS(Q)'!S62</f>
        <v>0</v>
      </c>
      <c r="T25" s="1296">
        <f ca="1">'IS(Q)'!T62</f>
        <v>0</v>
      </c>
      <c r="U25" s="1296">
        <f ca="1">'IS(Q)'!U62</f>
        <v>0</v>
      </c>
      <c r="V25" s="1297">
        <f ca="1">'IS(Q)'!V62</f>
        <v>0</v>
      </c>
      <c r="W25" s="1295">
        <f ca="1">'IS(Q)'!W62</f>
        <v>0</v>
      </c>
      <c r="X25" s="1296">
        <f ca="1">'IS(Q)'!X62</f>
        <v>0</v>
      </c>
      <c r="Y25" s="1296">
        <f ca="1">'IS(Q)'!Y62</f>
        <v>0</v>
      </c>
      <c r="Z25" s="1297">
        <f ca="1">'IS(Q)'!Z62</f>
        <v>0</v>
      </c>
      <c r="AA25" s="1295">
        <f ca="1">'IS(Q)'!AA62</f>
        <v>0</v>
      </c>
      <c r="AB25" s="1296">
        <f ca="1">'IS(Q)'!AB62</f>
        <v>0</v>
      </c>
      <c r="AC25" s="1296">
        <f ca="1">'IS(Q)'!AC62</f>
        <v>0</v>
      </c>
      <c r="AD25" s="1297">
        <f ca="1">'IS(Q)'!AD62</f>
        <v>0</v>
      </c>
      <c r="AE25" s="1295">
        <f ca="1">'IS(Q)'!AE62</f>
        <v>0</v>
      </c>
      <c r="AF25" s="1296">
        <f ca="1">'IS(Q)'!AF62</f>
        <v>0</v>
      </c>
      <c r="AG25" s="1296">
        <f ca="1">'IS(Q)'!AG62</f>
        <v>0</v>
      </c>
      <c r="AH25" s="1297">
        <f ca="1">'IS(Q)'!AH62</f>
        <v>0</v>
      </c>
      <c r="AI25" s="1295">
        <f ca="1">'IS(Q)'!AI62</f>
        <v>0</v>
      </c>
      <c r="AJ25" s="1296">
        <f ca="1">'IS(Q)'!AJ62</f>
        <v>0</v>
      </c>
      <c r="AK25" s="1296">
        <f ca="1">'IS(Q)'!AK62</f>
        <v>0</v>
      </c>
      <c r="AL25" s="1297">
        <f ca="1">'IS(Q)'!AL62</f>
        <v>0</v>
      </c>
      <c r="AM25" s="1295">
        <f ca="1">'IS(Q)'!AM62</f>
        <v>0</v>
      </c>
      <c r="AN25" s="1296">
        <f ca="1">'IS(Q)'!AN62</f>
        <v>0</v>
      </c>
      <c r="AO25" s="1296">
        <f ca="1">'IS(Q)'!AO62</f>
        <v>0</v>
      </c>
      <c r="AP25" s="1297">
        <f ca="1">'IS(Q)'!AP62</f>
        <v>0</v>
      </c>
      <c r="AQ25" s="1295">
        <f ca="1">'IS(Q)'!AQ62</f>
        <v>0</v>
      </c>
      <c r="AR25" s="1296">
        <f ca="1">'IS(Q)'!AR62</f>
        <v>0</v>
      </c>
      <c r="AS25" s="1296">
        <f ca="1">'IS(Q)'!AS62</f>
        <v>0</v>
      </c>
      <c r="AT25" s="1297">
        <f ca="1">'IS(Q)'!AT62</f>
        <v>0</v>
      </c>
      <c r="AU25" s="1295">
        <f ca="1">'IS(Q)'!AU62</f>
        <v>0</v>
      </c>
      <c r="AV25" s="1296">
        <f ca="1">'IS(Q)'!AV62</f>
        <v>0</v>
      </c>
      <c r="AW25" s="1296">
        <f ca="1">'IS(Q)'!AW62</f>
        <v>0</v>
      </c>
      <c r="AX25" s="1297">
        <f ca="1">'IS(Q)'!AX62</f>
        <v>0</v>
      </c>
      <c r="AY25" s="1295">
        <f ca="1">'IS(Q)'!AY62</f>
        <v>0</v>
      </c>
      <c r="AZ25" s="1296">
        <f ca="1">'IS(Q)'!AZ62</f>
        <v>0</v>
      </c>
      <c r="BA25" s="1296">
        <f ca="1">'IS(Q)'!BA62</f>
        <v>0</v>
      </c>
      <c r="BB25" s="1297">
        <f ca="1">'IS(Q)'!BB62</f>
        <v>0</v>
      </c>
      <c r="BC25" s="1295">
        <f ca="1">'IS(Q)'!BC62</f>
        <v>0</v>
      </c>
      <c r="BD25" s="1296">
        <f ca="1">'IS(Q)'!BD62</f>
        <v>0</v>
      </c>
      <c r="BE25" s="1296">
        <f ca="1">'IS(Q)'!BE62</f>
        <v>0</v>
      </c>
      <c r="BF25" s="1297">
        <f ca="1">'IS(Q)'!BF62</f>
        <v>0</v>
      </c>
      <c r="BG25" s="1295">
        <f ca="1">'IS(Q)'!BG62</f>
        <v>0</v>
      </c>
      <c r="BH25" s="1296">
        <f ca="1">'IS(Q)'!BH62</f>
        <v>0</v>
      </c>
      <c r="BI25" s="1296">
        <f ca="1">'IS(Q)'!BI62</f>
        <v>0</v>
      </c>
      <c r="BJ25" s="1297">
        <f ca="1">'IS(Q)'!BJ62</f>
        <v>0</v>
      </c>
      <c r="BK25" s="1295">
        <f ca="1">'IS(Q)'!BK62</f>
        <v>0</v>
      </c>
      <c r="BL25" s="1296">
        <f ca="1">'IS(Q)'!BL62</f>
        <v>0</v>
      </c>
      <c r="BM25" s="1296">
        <f ca="1">'IS(Q)'!BM62</f>
        <v>0</v>
      </c>
      <c r="BN25" s="1297">
        <f ca="1">'IS(Q)'!BN62</f>
        <v>0</v>
      </c>
      <c r="BO25" s="1295">
        <f ca="1">'IS(Q)'!BO62</f>
        <v>0</v>
      </c>
      <c r="BP25" s="1296">
        <f ca="1">'IS(Q)'!BP62</f>
        <v>0</v>
      </c>
      <c r="BQ25" s="1296">
        <f ca="1">'IS(Q)'!BQ62</f>
        <v>0</v>
      </c>
      <c r="BR25" s="1297">
        <f ca="1">'IS(Q)'!BR62</f>
        <v>0</v>
      </c>
      <c r="BS25" s="1295">
        <f ca="1">'IS(Q)'!BS62</f>
        <v>0</v>
      </c>
      <c r="BT25" s="1296">
        <f ca="1">'IS(Q)'!BT62</f>
        <v>0</v>
      </c>
      <c r="BU25" s="1296">
        <f ca="1">'IS(Q)'!BU62</f>
        <v>0</v>
      </c>
      <c r="BV25" s="1297">
        <f ca="1">'IS(Q)'!BV62</f>
        <v>0</v>
      </c>
      <c r="BW25" s="1295">
        <f ca="1">'IS(Q)'!BW62</f>
        <v>0</v>
      </c>
      <c r="BX25" s="1296">
        <f ca="1">'IS(Q)'!BX62</f>
        <v>0</v>
      </c>
      <c r="BY25" s="1296">
        <f ca="1">'IS(Q)'!BY62</f>
        <v>0</v>
      </c>
      <c r="BZ25" s="1297">
        <f ca="1">'IS(Q)'!BZ62</f>
        <v>0</v>
      </c>
      <c r="CA25" s="1295">
        <f ca="1">'IS(Q)'!CA62</f>
        <v>0</v>
      </c>
      <c r="CB25" s="1296">
        <f ca="1">'IS(Q)'!CB62</f>
        <v>0</v>
      </c>
      <c r="CC25" s="1296">
        <f ca="1">'IS(Q)'!CC62</f>
        <v>0</v>
      </c>
      <c r="CD25" s="1297">
        <f ca="1">'IS(Q)'!CD62</f>
        <v>0</v>
      </c>
      <c r="CE25" s="1295">
        <f ca="1">'IS(Q)'!CE62</f>
        <v>0</v>
      </c>
      <c r="CF25" s="1296">
        <f ca="1">'IS(Q)'!CF62</f>
        <v>0</v>
      </c>
      <c r="CG25" s="1296">
        <f ca="1">'IS(Q)'!CG62</f>
        <v>0</v>
      </c>
      <c r="CH25" s="1297">
        <f ca="1">'IS(Q)'!CH62</f>
        <v>0</v>
      </c>
      <c r="CI25" s="1295">
        <f ca="1">'IS(Q)'!CI62</f>
        <v>0</v>
      </c>
      <c r="CJ25" s="1296">
        <f ca="1">'IS(Q)'!CJ62</f>
        <v>0</v>
      </c>
      <c r="CK25" s="1296">
        <f ca="1">'IS(Q)'!CK62</f>
        <v>0</v>
      </c>
      <c r="CL25" s="1297">
        <f ca="1">'IS(Q)'!CL62</f>
        <v>0</v>
      </c>
      <c r="CM25" s="1295">
        <f ca="1">'IS(Q)'!CM62</f>
        <v>0</v>
      </c>
      <c r="CN25" s="1296">
        <f ca="1">'IS(Q)'!CN62</f>
        <v>0</v>
      </c>
      <c r="CO25" s="1296">
        <f ca="1">'IS(Q)'!CO62</f>
        <v>0</v>
      </c>
      <c r="CP25" s="1297">
        <f ca="1">'IS(Q)'!CP62</f>
        <v>0</v>
      </c>
      <c r="CQ25" s="1295">
        <f ca="1">'IS(Q)'!CQ62</f>
        <v>0</v>
      </c>
      <c r="CR25" s="1296">
        <f ca="1">'IS(Q)'!CR62</f>
        <v>0</v>
      </c>
      <c r="CS25" s="1296">
        <f ca="1">'IS(Q)'!CS62</f>
        <v>0</v>
      </c>
      <c r="CT25" s="1297">
        <f ca="1">'IS(Q)'!CT62</f>
        <v>0</v>
      </c>
      <c r="CU25" s="1295">
        <f ca="1">'IS(Q)'!CU62</f>
        <v>0</v>
      </c>
      <c r="CV25" s="1296">
        <f ca="1">'IS(Q)'!CV62</f>
        <v>0</v>
      </c>
      <c r="CW25" s="1296">
        <f ca="1">'IS(Q)'!CW62</f>
        <v>0</v>
      </c>
      <c r="CX25" s="1297">
        <f ca="1">'IS(Q)'!CX62</f>
        <v>0</v>
      </c>
      <c r="CY25" s="1295">
        <f ca="1">'IS(Q)'!CY62</f>
        <v>0</v>
      </c>
      <c r="CZ25" s="1296">
        <f ca="1">'IS(Q)'!CZ62</f>
        <v>0</v>
      </c>
      <c r="DA25" s="1296">
        <f ca="1">'IS(Q)'!DA62</f>
        <v>0</v>
      </c>
      <c r="DB25" s="1297">
        <f ca="1">'IS(Q)'!DB62</f>
        <v>0</v>
      </c>
      <c r="DC25" s="1295">
        <f ca="1">'IS(Q)'!DC62</f>
        <v>0</v>
      </c>
      <c r="DD25" s="1296">
        <f ca="1">'IS(Q)'!DD62</f>
        <v>0</v>
      </c>
      <c r="DE25" s="1296">
        <f ca="1">'IS(Q)'!DE62</f>
        <v>0</v>
      </c>
      <c r="DF25" s="1297">
        <f ca="1">'IS(Q)'!DF62</f>
        <v>0</v>
      </c>
      <c r="DG25" s="1295">
        <f ca="1">'IS(Q)'!DG62</f>
        <v>0</v>
      </c>
      <c r="DH25" s="1296">
        <f ca="1">'IS(Q)'!DH62</f>
        <v>0</v>
      </c>
      <c r="DI25" s="1296">
        <f ca="1">'IS(Q)'!DI62</f>
        <v>0</v>
      </c>
      <c r="DJ25" s="1297">
        <f ca="1">'IS(Q)'!DJ62</f>
        <v>0</v>
      </c>
      <c r="DK25" s="1295">
        <f ca="1">'IS(Q)'!DK62</f>
        <v>0</v>
      </c>
      <c r="DL25" s="1296">
        <f ca="1">'IS(Q)'!DL62</f>
        <v>0</v>
      </c>
      <c r="DM25" s="1296">
        <f ca="1">'IS(Q)'!DM62</f>
        <v>0</v>
      </c>
      <c r="DN25" s="1297">
        <f ca="1">'IS(Q)'!DN62</f>
        <v>0</v>
      </c>
      <c r="DO25" s="1295">
        <f ca="1">'IS(Q)'!DO62</f>
        <v>0</v>
      </c>
      <c r="DP25" s="1296">
        <f ca="1">'IS(Q)'!DP62</f>
        <v>0</v>
      </c>
      <c r="DQ25" s="1296">
        <f ca="1">'IS(Q)'!DQ62</f>
        <v>0</v>
      </c>
      <c r="DR25" s="1297">
        <f ca="1">'IS(Q)'!DR62</f>
        <v>0</v>
      </c>
      <c r="DS25" s="1295">
        <f ca="1">'IS(Q)'!DS62</f>
        <v>0</v>
      </c>
      <c r="DT25" s="1296">
        <f ca="1">'IS(Q)'!DT62</f>
        <v>0</v>
      </c>
      <c r="DU25" s="1296">
        <f ca="1">'IS(Q)'!DU62</f>
        <v>0</v>
      </c>
      <c r="DV25" s="1297">
        <f ca="1">'IS(Q)'!DV62</f>
        <v>0</v>
      </c>
      <c r="DW25" s="1295">
        <f ca="1">'IS(Q)'!DW62</f>
        <v>0</v>
      </c>
      <c r="DX25" s="1296">
        <f ca="1">'IS(Q)'!DX62</f>
        <v>0</v>
      </c>
      <c r="DY25" s="1296">
        <f ca="1">'IS(Q)'!DY62</f>
        <v>0</v>
      </c>
      <c r="DZ25" s="1297">
        <f ca="1">'IS(Q)'!DZ62</f>
        <v>0</v>
      </c>
      <c r="EA25" s="1295">
        <f ca="1">'IS(Q)'!EA62</f>
        <v>0</v>
      </c>
      <c r="EB25" s="1296">
        <f ca="1">'IS(Q)'!EB62</f>
        <v>0</v>
      </c>
      <c r="EC25" s="1296">
        <f ca="1">'IS(Q)'!EC62</f>
        <v>0</v>
      </c>
      <c r="ED25" s="1297">
        <f ca="1">'IS(Q)'!ED62</f>
        <v>0</v>
      </c>
      <c r="EE25" s="1295">
        <f ca="1">'IS(Q)'!EE62</f>
        <v>0</v>
      </c>
      <c r="EF25" s="1296">
        <f ca="1">'IS(Q)'!EF62</f>
        <v>0</v>
      </c>
      <c r="EG25" s="1296">
        <f ca="1">'IS(Q)'!EG62</f>
        <v>0</v>
      </c>
      <c r="EH25" s="1297">
        <f ca="1">'IS(Q)'!EH62</f>
        <v>0</v>
      </c>
      <c r="EI25" s="1295">
        <f ca="1">'IS(Q)'!EI62</f>
        <v>0</v>
      </c>
      <c r="EJ25" s="1296">
        <f ca="1">'IS(Q)'!EJ62</f>
        <v>0</v>
      </c>
      <c r="EK25" s="1296">
        <f ca="1">'IS(Q)'!EK62</f>
        <v>0</v>
      </c>
      <c r="EL25" s="1297">
        <f ca="1">'IS(Q)'!EL62</f>
        <v>0</v>
      </c>
      <c r="EM25" s="1295">
        <f ca="1">'IS(Q)'!EM62</f>
        <v>0</v>
      </c>
      <c r="EN25" s="1296">
        <f ca="1">'IS(Q)'!EN62</f>
        <v>0</v>
      </c>
      <c r="EO25" s="1296">
        <f ca="1">'IS(Q)'!EO62</f>
        <v>0</v>
      </c>
      <c r="EP25" s="1297">
        <f ca="1">'IS(Q)'!EP62</f>
        <v>0</v>
      </c>
      <c r="EQ25" s="1295">
        <f ca="1">'IS(Q)'!EQ62</f>
        <v>0</v>
      </c>
      <c r="ER25" s="1296">
        <f ca="1">'IS(Q)'!ER62</f>
        <v>0</v>
      </c>
      <c r="ES25" s="1296">
        <f ca="1">'IS(Q)'!ES62</f>
        <v>0</v>
      </c>
      <c r="ET25" s="1297">
        <f ca="1">'IS(Q)'!ET62</f>
        <v>0</v>
      </c>
      <c r="EU25" s="1295">
        <f ca="1">'IS(Q)'!EU62</f>
        <v>0</v>
      </c>
      <c r="EV25" s="1296">
        <f ca="1">'IS(Q)'!EV62</f>
        <v>0</v>
      </c>
      <c r="EW25" s="1296">
        <f ca="1">'IS(Q)'!EW62</f>
        <v>0</v>
      </c>
      <c r="EX25" s="1297">
        <f ca="1">'IS(Q)'!EX62</f>
        <v>0</v>
      </c>
      <c r="EY25" s="1295">
        <f ca="1">'IS(Q)'!EY62</f>
        <v>0</v>
      </c>
      <c r="EZ25" s="1296">
        <f ca="1">'IS(Q)'!EZ62</f>
        <v>0</v>
      </c>
      <c r="FA25" s="1296">
        <f ca="1">'IS(Q)'!FA62</f>
        <v>0</v>
      </c>
      <c r="FB25" s="1297">
        <f ca="1">'IS(Q)'!FB62</f>
        <v>0</v>
      </c>
      <c r="FC25" s="1295">
        <f ca="1">'IS(Q)'!FC62</f>
        <v>0</v>
      </c>
      <c r="FD25" s="1296">
        <f ca="1">'IS(Q)'!FD62</f>
        <v>0</v>
      </c>
      <c r="FE25" s="1296">
        <f ca="1">'IS(Q)'!FE62</f>
        <v>0</v>
      </c>
      <c r="FF25" s="1297">
        <f ca="1">'IS(Q)'!FF62</f>
        <v>0</v>
      </c>
      <c r="FG25" s="1295">
        <f ca="1">'IS(Q)'!FG62</f>
        <v>0</v>
      </c>
      <c r="FH25" s="1296">
        <f ca="1">'IS(Q)'!FH62</f>
        <v>0</v>
      </c>
      <c r="FI25" s="1296">
        <f ca="1">'IS(Q)'!FI62</f>
        <v>0</v>
      </c>
      <c r="FJ25" s="1297">
        <f ca="1">'IS(Q)'!FJ62</f>
        <v>0</v>
      </c>
      <c r="FK25" s="1295">
        <f ca="1">'IS(Q)'!FK62</f>
        <v>0</v>
      </c>
      <c r="FL25" s="1296">
        <f ca="1">'IS(Q)'!FL62</f>
        <v>0</v>
      </c>
      <c r="FM25" s="1296">
        <f ca="1">'IS(Q)'!FM62</f>
        <v>0</v>
      </c>
      <c r="FN25" s="1297">
        <f ca="1">'IS(Q)'!FN62</f>
        <v>0</v>
      </c>
      <c r="FO25" s="1295">
        <f>'IS(Q)'!FO62</f>
        <v>0</v>
      </c>
      <c r="FP25" s="1296">
        <f>'IS(Q)'!FP62</f>
        <v>0</v>
      </c>
      <c r="FQ25" s="1296">
        <f>'IS(Q)'!FQ62</f>
        <v>0</v>
      </c>
      <c r="FR25" s="1297">
        <f>'IS(Q)'!FR62</f>
        <v>0</v>
      </c>
      <c r="FS25" s="1295">
        <f>'IS(Q)'!FS62</f>
        <v>0</v>
      </c>
      <c r="FT25" s="1296">
        <f>'IS(Q)'!FT62</f>
        <v>0</v>
      </c>
      <c r="FU25" s="1296">
        <f>'IS(Q)'!FU62</f>
        <v>0</v>
      </c>
      <c r="FV25" s="1297">
        <f>'IS(Q)'!FV62</f>
        <v>0</v>
      </c>
      <c r="FW25" s="1295">
        <f>'IS(Q)'!FW62</f>
        <v>0</v>
      </c>
      <c r="FX25" s="1296">
        <f>'IS(Q)'!FX62</f>
        <v>0</v>
      </c>
      <c r="FY25" s="1296">
        <f>'IS(Q)'!FY62</f>
        <v>0</v>
      </c>
      <c r="FZ25" s="1297">
        <f>'IS(Q)'!FZ62</f>
        <v>0</v>
      </c>
      <c r="GA25" s="1295"/>
      <c r="GB25" s="1296"/>
      <c r="GC25" s="1296"/>
      <c r="GD25" s="1297"/>
    </row>
    <row r="26" spans="2:186" ht="17.100000000000001" customHeight="1">
      <c r="B26" s="720"/>
      <c r="C26" s="315" t="s">
        <v>1239</v>
      </c>
      <c r="D26" s="1259"/>
      <c r="E26" s="722"/>
      <c r="F26" s="1260">
        <f t="shared" ca="1" si="12"/>
        <v>2840.0808229274971</v>
      </c>
      <c r="G26" s="1261">
        <f t="shared" ref="G26:BR26" ca="1" si="18">G9-G17</f>
        <v>20.890589040514527</v>
      </c>
      <c r="H26" s="1262">
        <f t="shared" ca="1" si="18"/>
        <v>149.37738746282432</v>
      </c>
      <c r="I26" s="1262">
        <f t="shared" ca="1" si="18"/>
        <v>-11.060359249575605</v>
      </c>
      <c r="J26" s="1263">
        <f t="shared" ca="1" si="18"/>
        <v>-25.389565109575628</v>
      </c>
      <c r="K26" s="1261">
        <f t="shared" ca="1" si="18"/>
        <v>11.910259252353832</v>
      </c>
      <c r="L26" s="1262">
        <f t="shared" ca="1" si="18"/>
        <v>-75.187044833983052</v>
      </c>
      <c r="M26" s="1262">
        <f t="shared" ca="1" si="18"/>
        <v>136.55870861830351</v>
      </c>
      <c r="N26" s="1263">
        <f t="shared" ca="1" si="18"/>
        <v>1.7768944315746751</v>
      </c>
      <c r="O26" s="1264">
        <f t="shared" ca="1" si="18"/>
        <v>1.7813512615746632</v>
      </c>
      <c r="P26" s="1265">
        <f t="shared" ca="1" si="18"/>
        <v>95.601716159780736</v>
      </c>
      <c r="Q26" s="1265">
        <f t="shared" ca="1" si="18"/>
        <v>11.417002758241331</v>
      </c>
      <c r="R26" s="1266">
        <f t="shared" ca="1" si="18"/>
        <v>-8.0386254388976397E-2</v>
      </c>
      <c r="S26" s="1264">
        <f t="shared" ca="1" si="18"/>
        <v>-1.2888788746198685</v>
      </c>
      <c r="T26" s="1265">
        <f t="shared" ca="1" si="18"/>
        <v>122.5810041310032</v>
      </c>
      <c r="U26" s="1265">
        <f t="shared" ca="1" si="18"/>
        <v>-0.75838154900588961</v>
      </c>
      <c r="V26" s="1266">
        <f t="shared" ca="1" si="18"/>
        <v>0.41953805768724806</v>
      </c>
      <c r="W26" s="1264">
        <f t="shared" ca="1" si="18"/>
        <v>8.7768285442933802E-2</v>
      </c>
      <c r="X26" s="1265">
        <f t="shared" ca="1" si="18"/>
        <v>134.95554100126844</v>
      </c>
      <c r="Y26" s="1265">
        <f t="shared" ca="1" si="18"/>
        <v>0.38776828544293096</v>
      </c>
      <c r="Z26" s="1266">
        <f t="shared" ca="1" si="18"/>
        <v>0.38776828544293096</v>
      </c>
      <c r="AA26" s="1264">
        <f t="shared" ca="1" si="18"/>
        <v>2.666856929090514</v>
      </c>
      <c r="AB26" s="1265">
        <f t="shared" ca="1" si="18"/>
        <v>132.70601256054118</v>
      </c>
      <c r="AC26" s="1265">
        <f t="shared" ca="1" si="18"/>
        <v>2.7901879290905214</v>
      </c>
      <c r="AD26" s="1266">
        <f t="shared" ca="1" si="18"/>
        <v>2.7901879290905214</v>
      </c>
      <c r="AE26" s="1264">
        <f t="shared" ca="1" si="18"/>
        <v>1.6430137007689893</v>
      </c>
      <c r="AF26" s="1265">
        <f t="shared" ca="1" si="18"/>
        <v>61.792708045292272</v>
      </c>
      <c r="AG26" s="1265">
        <f t="shared" ca="1" si="18"/>
        <v>1.9430137007689723</v>
      </c>
      <c r="AH26" s="1266">
        <f t="shared" ca="1" si="18"/>
        <v>1.9430137007689723</v>
      </c>
      <c r="AI26" s="1264">
        <f t="shared" ca="1" si="18"/>
        <v>2.8560407349146999</v>
      </c>
      <c r="AJ26" s="1265">
        <f t="shared" ca="1" si="18"/>
        <v>3.1560407349146971</v>
      </c>
      <c r="AK26" s="1265">
        <f t="shared" ca="1" si="18"/>
        <v>3.1560407349146971</v>
      </c>
      <c r="AL26" s="1266">
        <f t="shared" ca="1" si="18"/>
        <v>3.2560407349147056</v>
      </c>
      <c r="AM26" s="1264">
        <f t="shared" ca="1" si="18"/>
        <v>5.3261932702292967</v>
      </c>
      <c r="AN26" s="1265">
        <f t="shared" ca="1" si="18"/>
        <v>5.6261932702292938</v>
      </c>
      <c r="AO26" s="1265">
        <f t="shared" ca="1" si="18"/>
        <v>5.6261932702292938</v>
      </c>
      <c r="AP26" s="1266">
        <f t="shared" ca="1" si="18"/>
        <v>5.6261932702292938</v>
      </c>
      <c r="AQ26" s="1264">
        <f t="shared" ca="1" si="18"/>
        <v>6.1483801353215739</v>
      </c>
      <c r="AR26" s="1265">
        <f t="shared" ca="1" si="18"/>
        <v>6.4483801353215711</v>
      </c>
      <c r="AS26" s="1265">
        <f t="shared" ca="1" si="18"/>
        <v>6.4483801353215711</v>
      </c>
      <c r="AT26" s="1266">
        <f t="shared" ca="1" si="18"/>
        <v>6.4483801353215711</v>
      </c>
      <c r="AU26" s="1264">
        <f t="shared" ca="1" si="18"/>
        <v>5.21463429623482</v>
      </c>
      <c r="AV26" s="1265">
        <f t="shared" ca="1" si="18"/>
        <v>5.5146342962348172</v>
      </c>
      <c r="AW26" s="1265">
        <f t="shared" ca="1" si="18"/>
        <v>5.5146342962348172</v>
      </c>
      <c r="AX26" s="1266">
        <f t="shared" ca="1" si="18"/>
        <v>5.5146342962348172</v>
      </c>
      <c r="AY26" s="1264">
        <f t="shared" ca="1" si="18"/>
        <v>10.027788558542952</v>
      </c>
      <c r="AZ26" s="1265">
        <f t="shared" ca="1" si="18"/>
        <v>10.027788558542952</v>
      </c>
      <c r="BA26" s="1265">
        <f t="shared" ca="1" si="18"/>
        <v>10.027788558542952</v>
      </c>
      <c r="BB26" s="1266">
        <f t="shared" ca="1" si="18"/>
        <v>10.027788558542952</v>
      </c>
      <c r="BC26" s="1264">
        <f t="shared" ca="1" si="18"/>
        <v>8.5829690340486309</v>
      </c>
      <c r="BD26" s="1265">
        <f t="shared" ca="1" si="18"/>
        <v>8.5829690340486309</v>
      </c>
      <c r="BE26" s="1265">
        <f t="shared" ca="1" si="18"/>
        <v>8.5829690340486309</v>
      </c>
      <c r="BF26" s="1266">
        <f t="shared" ca="1" si="18"/>
        <v>9.2829690340486195</v>
      </c>
      <c r="BG26" s="1264">
        <f t="shared" ca="1" si="18"/>
        <v>9.3106329253510012</v>
      </c>
      <c r="BH26" s="1265">
        <f t="shared" ca="1" si="18"/>
        <v>9.3106329253510012</v>
      </c>
      <c r="BI26" s="1265">
        <f t="shared" ca="1" si="18"/>
        <v>9.3106329253510012</v>
      </c>
      <c r="BJ26" s="1266">
        <f t="shared" ca="1" si="18"/>
        <v>9.3106329253510012</v>
      </c>
      <c r="BK26" s="1264">
        <f t="shared" ca="1" si="18"/>
        <v>11.529796230435338</v>
      </c>
      <c r="BL26" s="1265">
        <f t="shared" ca="1" si="18"/>
        <v>11.529796230435338</v>
      </c>
      <c r="BM26" s="1265">
        <f t="shared" ca="1" si="18"/>
        <v>11.529796230435338</v>
      </c>
      <c r="BN26" s="1266">
        <f t="shared" ca="1" si="18"/>
        <v>11.529796230435338</v>
      </c>
      <c r="BO26" s="1264">
        <f t="shared" ca="1" si="18"/>
        <v>11.380451600131565</v>
      </c>
      <c r="BP26" s="1265">
        <f t="shared" ca="1" si="18"/>
        <v>11.380451600131565</v>
      </c>
      <c r="BQ26" s="1265">
        <f t="shared" ca="1" si="18"/>
        <v>11.380451600131565</v>
      </c>
      <c r="BR26" s="1266">
        <f t="shared" ca="1" si="18"/>
        <v>11.380451600131565</v>
      </c>
      <c r="BS26" s="1264">
        <f t="shared" ref="BS26:ED26" ca="1" si="19">BS9-BS17</f>
        <v>9.7035062829499594</v>
      </c>
      <c r="BT26" s="1265">
        <f t="shared" ca="1" si="19"/>
        <v>9.7035062829499594</v>
      </c>
      <c r="BU26" s="1265">
        <f t="shared" ca="1" si="19"/>
        <v>9.7035062829499594</v>
      </c>
      <c r="BV26" s="1266">
        <f t="shared" ca="1" si="19"/>
        <v>9.7035062829499594</v>
      </c>
      <c r="BW26" s="1264">
        <f t="shared" ca="1" si="19"/>
        <v>12.767468868713607</v>
      </c>
      <c r="BX26" s="1265">
        <f t="shared" ca="1" si="19"/>
        <v>12.767468868713607</v>
      </c>
      <c r="BY26" s="1265">
        <f t="shared" ca="1" si="19"/>
        <v>12.767468868713607</v>
      </c>
      <c r="BZ26" s="1266">
        <f t="shared" ca="1" si="19"/>
        <v>12.767468868713607</v>
      </c>
      <c r="CA26" s="1264">
        <f t="shared" ca="1" si="19"/>
        <v>12.181052164455437</v>
      </c>
      <c r="CB26" s="1265">
        <f t="shared" ca="1" si="19"/>
        <v>12.181052164455437</v>
      </c>
      <c r="CC26" s="1265">
        <f t="shared" ca="1" si="19"/>
        <v>12.181052164455437</v>
      </c>
      <c r="CD26" s="1266">
        <f t="shared" ca="1" si="19"/>
        <v>12.181052164455437</v>
      </c>
      <c r="CE26" s="1264">
        <f t="shared" ca="1" si="19"/>
        <v>10.88594560884647</v>
      </c>
      <c r="CF26" s="1265">
        <f t="shared" ca="1" si="19"/>
        <v>10.88594560884647</v>
      </c>
      <c r="CG26" s="1265">
        <f t="shared" ca="1" si="19"/>
        <v>10.88594560884647</v>
      </c>
      <c r="CH26" s="1266">
        <f t="shared" ca="1" si="19"/>
        <v>10.88594560884647</v>
      </c>
      <c r="CI26" s="1264">
        <f t="shared" ca="1" si="19"/>
        <v>11.084563594951277</v>
      </c>
      <c r="CJ26" s="1265">
        <f t="shared" ca="1" si="19"/>
        <v>11.084563594951277</v>
      </c>
      <c r="CK26" s="1265">
        <f t="shared" ca="1" si="19"/>
        <v>11.084563594951277</v>
      </c>
      <c r="CL26" s="1266">
        <f t="shared" ca="1" si="19"/>
        <v>11.084563594951277</v>
      </c>
      <c r="CM26" s="1264">
        <f t="shared" ca="1" si="19"/>
        <v>15.251801968758784</v>
      </c>
      <c r="CN26" s="1265">
        <f t="shared" ca="1" si="19"/>
        <v>15.251801968758784</v>
      </c>
      <c r="CO26" s="1265">
        <f t="shared" ca="1" si="19"/>
        <v>15.251801968758784</v>
      </c>
      <c r="CP26" s="1266">
        <f t="shared" ca="1" si="19"/>
        <v>15.251801968758784</v>
      </c>
      <c r="CQ26" s="1264">
        <f t="shared" ca="1" si="19"/>
        <v>15.837806333338918</v>
      </c>
      <c r="CR26" s="1265">
        <f t="shared" ca="1" si="19"/>
        <v>15.837806333338918</v>
      </c>
      <c r="CS26" s="1265">
        <f t="shared" ca="1" si="19"/>
        <v>15.837806333338918</v>
      </c>
      <c r="CT26" s="1266">
        <f t="shared" ca="1" si="19"/>
        <v>17.537806333338935</v>
      </c>
      <c r="CU26" s="1264">
        <f t="shared" ca="1" si="19"/>
        <v>20.516988401942726</v>
      </c>
      <c r="CV26" s="1265">
        <f t="shared" ca="1" si="19"/>
        <v>20.516988401942726</v>
      </c>
      <c r="CW26" s="1265">
        <f t="shared" ca="1" si="19"/>
        <v>20.516988401942726</v>
      </c>
      <c r="CX26" s="1266">
        <f t="shared" ca="1" si="19"/>
        <v>20.516988401942726</v>
      </c>
      <c r="CY26" s="1264">
        <f t="shared" ca="1" si="19"/>
        <v>19.965901459818724</v>
      </c>
      <c r="CZ26" s="1265">
        <f t="shared" ca="1" si="19"/>
        <v>19.965901459818724</v>
      </c>
      <c r="DA26" s="1265">
        <f t="shared" ca="1" si="19"/>
        <v>19.965901459818724</v>
      </c>
      <c r="DB26" s="1266">
        <f t="shared" ca="1" si="19"/>
        <v>19.965901459818724</v>
      </c>
      <c r="DC26" s="1264">
        <f t="shared" ca="1" si="19"/>
        <v>20.136179125156431</v>
      </c>
      <c r="DD26" s="1265">
        <f t="shared" ca="1" si="19"/>
        <v>20.136179125156431</v>
      </c>
      <c r="DE26" s="1265">
        <f t="shared" ca="1" si="19"/>
        <v>20.136179125156431</v>
      </c>
      <c r="DF26" s="1266">
        <f t="shared" ca="1" si="19"/>
        <v>20.136179125156431</v>
      </c>
      <c r="DG26" s="1264">
        <f t="shared" ca="1" si="19"/>
        <v>22.213376655513898</v>
      </c>
      <c r="DH26" s="1265">
        <f t="shared" ca="1" si="19"/>
        <v>22.213376655513898</v>
      </c>
      <c r="DI26" s="1265">
        <f t="shared" ca="1" si="19"/>
        <v>22.213376655513898</v>
      </c>
      <c r="DJ26" s="1266">
        <f t="shared" ca="1" si="19"/>
        <v>22.213376655513898</v>
      </c>
      <c r="DK26" s="1264">
        <f t="shared" ca="1" si="19"/>
        <v>23.10274063438122</v>
      </c>
      <c r="DL26" s="1265">
        <f t="shared" ca="1" si="19"/>
        <v>23.10274063438122</v>
      </c>
      <c r="DM26" s="1265">
        <f t="shared" ca="1" si="19"/>
        <v>23.10274063438122</v>
      </c>
      <c r="DN26" s="1266">
        <f t="shared" ca="1" si="19"/>
        <v>23.10274063438122</v>
      </c>
      <c r="DO26" s="1264">
        <f t="shared" ca="1" si="19"/>
        <v>21.683305554495391</v>
      </c>
      <c r="DP26" s="1265">
        <f t="shared" ca="1" si="19"/>
        <v>21.683305554495391</v>
      </c>
      <c r="DQ26" s="1265">
        <f t="shared" ca="1" si="19"/>
        <v>21.683305554495391</v>
      </c>
      <c r="DR26" s="1266">
        <f t="shared" ca="1" si="19"/>
        <v>21.683305554495391</v>
      </c>
      <c r="DS26" s="1264">
        <f t="shared" ca="1" si="19"/>
        <v>24.585782381127714</v>
      </c>
      <c r="DT26" s="1265">
        <f t="shared" ca="1" si="19"/>
        <v>24.585782381127714</v>
      </c>
      <c r="DU26" s="1265">
        <f t="shared" ca="1" si="19"/>
        <v>24.585782381127714</v>
      </c>
      <c r="DV26" s="1266">
        <f t="shared" ca="1" si="19"/>
        <v>24.585782381127714</v>
      </c>
      <c r="DW26" s="1264">
        <f t="shared" ca="1" si="19"/>
        <v>22.110512526347279</v>
      </c>
      <c r="DX26" s="1265">
        <f t="shared" ca="1" si="19"/>
        <v>22.110512526347279</v>
      </c>
      <c r="DY26" s="1265">
        <f t="shared" ca="1" si="19"/>
        <v>22.110512526347279</v>
      </c>
      <c r="DZ26" s="1266">
        <f t="shared" ca="1" si="19"/>
        <v>22.110512526347279</v>
      </c>
      <c r="EA26" s="1264">
        <f t="shared" ca="1" si="19"/>
        <v>23.893608484874733</v>
      </c>
      <c r="EB26" s="1265">
        <f t="shared" ca="1" si="19"/>
        <v>23.893608484874733</v>
      </c>
      <c r="EC26" s="1265">
        <f t="shared" ca="1" si="19"/>
        <v>23.893608484874733</v>
      </c>
      <c r="ED26" s="1266">
        <f t="shared" ca="1" si="19"/>
        <v>23.893608484874733</v>
      </c>
      <c r="EE26" s="1264">
        <f t="shared" ref="EE26:FZ26" ca="1" si="20">EE9-EE17</f>
        <v>26.915757847983514</v>
      </c>
      <c r="EF26" s="1265">
        <f t="shared" ca="1" si="20"/>
        <v>26.915757847983514</v>
      </c>
      <c r="EG26" s="1265">
        <f t="shared" ca="1" si="20"/>
        <v>26.915757847983514</v>
      </c>
      <c r="EH26" s="1266">
        <f t="shared" ca="1" si="20"/>
        <v>26.915757847983514</v>
      </c>
      <c r="EI26" s="1264">
        <f t="shared" ca="1" si="20"/>
        <v>26.063085839634923</v>
      </c>
      <c r="EJ26" s="1265">
        <f t="shared" ca="1" si="20"/>
        <v>26.063085839634923</v>
      </c>
      <c r="EK26" s="1265">
        <f t="shared" ca="1" si="20"/>
        <v>26.063085839634923</v>
      </c>
      <c r="EL26" s="1266">
        <f t="shared" ca="1" si="20"/>
        <v>26.063085839634923</v>
      </c>
      <c r="EM26" s="1264">
        <f t="shared" ca="1" si="20"/>
        <v>26.268270863495829</v>
      </c>
      <c r="EN26" s="1265">
        <f t="shared" ca="1" si="20"/>
        <v>26.268270863495829</v>
      </c>
      <c r="EO26" s="1265">
        <f t="shared" ca="1" si="20"/>
        <v>26.268270863495829</v>
      </c>
      <c r="EP26" s="1266">
        <f t="shared" ca="1" si="20"/>
        <v>26.268270863495829</v>
      </c>
      <c r="EQ26" s="1264">
        <f t="shared" ca="1" si="20"/>
        <v>30.487208801303041</v>
      </c>
      <c r="ER26" s="1265">
        <f t="shared" ca="1" si="20"/>
        <v>30.487208801303041</v>
      </c>
      <c r="ES26" s="1265">
        <f t="shared" ca="1" si="20"/>
        <v>30.487208801303041</v>
      </c>
      <c r="ET26" s="1266">
        <f t="shared" ca="1" si="20"/>
        <v>30.487208801303041</v>
      </c>
      <c r="EU26" s="1264">
        <f t="shared" ca="1" si="20"/>
        <v>30.586328052953689</v>
      </c>
      <c r="EV26" s="1265">
        <f t="shared" ca="1" si="20"/>
        <v>30.586328052953689</v>
      </c>
      <c r="EW26" s="1265">
        <f t="shared" ca="1" si="20"/>
        <v>30.586328052953689</v>
      </c>
      <c r="EX26" s="1266">
        <f t="shared" ca="1" si="20"/>
        <v>30.586328052953689</v>
      </c>
      <c r="EY26" s="1264">
        <f t="shared" ca="1" si="20"/>
        <v>31.259414732006505</v>
      </c>
      <c r="EZ26" s="1265">
        <f t="shared" ca="1" si="20"/>
        <v>31.259414732006505</v>
      </c>
      <c r="FA26" s="1265">
        <f t="shared" ca="1" si="20"/>
        <v>31.259414732006505</v>
      </c>
      <c r="FB26" s="1266">
        <f t="shared" ca="1" si="20"/>
        <v>31.259414732006505</v>
      </c>
      <c r="FC26" s="1264">
        <f t="shared" ca="1" si="20"/>
        <v>33.907562904367055</v>
      </c>
      <c r="FD26" s="1265">
        <f t="shared" ca="1" si="20"/>
        <v>33.907562904367055</v>
      </c>
      <c r="FE26" s="1265">
        <f t="shared" ca="1" si="20"/>
        <v>33.907562904367055</v>
      </c>
      <c r="FF26" s="1266">
        <f t="shared" ca="1" si="20"/>
        <v>33.907562904367055</v>
      </c>
      <c r="FG26" s="1264">
        <f t="shared" ca="1" si="20"/>
        <v>34.26285144618069</v>
      </c>
      <c r="FH26" s="1265">
        <f t="shared" ca="1" si="20"/>
        <v>34.26285144618069</v>
      </c>
      <c r="FI26" s="1265">
        <f t="shared" ca="1" si="20"/>
        <v>34.26285144618069</v>
      </c>
      <c r="FJ26" s="1266">
        <f t="shared" ca="1" si="20"/>
        <v>34.26285144618069</v>
      </c>
      <c r="FK26" s="1264">
        <f t="shared" ca="1" si="20"/>
        <v>-7.8400449139472812</v>
      </c>
      <c r="FL26" s="1265">
        <f t="shared" ca="1" si="20"/>
        <v>-7.8400449139472812</v>
      </c>
      <c r="FM26" s="1265">
        <f t="shared" ca="1" si="20"/>
        <v>-54.148761281559693</v>
      </c>
      <c r="FN26" s="1266">
        <f t="shared" ca="1" si="20"/>
        <v>-54.148761281559693</v>
      </c>
      <c r="FO26" s="1264">
        <f t="shared" ca="1" si="20"/>
        <v>0</v>
      </c>
      <c r="FP26" s="1265">
        <f t="shared" ca="1" si="20"/>
        <v>0</v>
      </c>
      <c r="FQ26" s="1265">
        <f t="shared" ca="1" si="20"/>
        <v>0</v>
      </c>
      <c r="FR26" s="1266">
        <f t="shared" ca="1" si="20"/>
        <v>0</v>
      </c>
      <c r="FS26" s="1264">
        <f t="shared" ca="1" si="20"/>
        <v>0</v>
      </c>
      <c r="FT26" s="1265">
        <f t="shared" ca="1" si="20"/>
        <v>0</v>
      </c>
      <c r="FU26" s="1265">
        <f t="shared" ca="1" si="20"/>
        <v>0</v>
      </c>
      <c r="FV26" s="1266">
        <f t="shared" ca="1" si="20"/>
        <v>0</v>
      </c>
      <c r="FW26" s="1264">
        <f t="shared" ca="1" si="20"/>
        <v>0</v>
      </c>
      <c r="FX26" s="1265">
        <f t="shared" ca="1" si="20"/>
        <v>0</v>
      </c>
      <c r="FY26" s="1265">
        <f t="shared" ca="1" si="20"/>
        <v>0</v>
      </c>
      <c r="FZ26" s="1266">
        <f t="shared" ca="1" si="20"/>
        <v>0</v>
      </c>
      <c r="GA26" s="1264"/>
      <c r="GB26" s="1265"/>
      <c r="GC26" s="1265"/>
      <c r="GD26" s="1266"/>
    </row>
    <row r="27" spans="2:186" ht="17.100000000000001" customHeight="1">
      <c r="B27" s="720"/>
      <c r="C27" s="315" t="s">
        <v>1240</v>
      </c>
      <c r="D27" s="1259"/>
      <c r="E27" s="722"/>
      <c r="F27" s="1260">
        <f t="shared" si="12"/>
        <v>0</v>
      </c>
      <c r="G27" s="1261">
        <f t="shared" ref="G27:AL27" si="21">SUM(G28:G28)</f>
        <v>0</v>
      </c>
      <c r="H27" s="1262">
        <f t="shared" si="21"/>
        <v>0</v>
      </c>
      <c r="I27" s="1262">
        <f t="shared" si="21"/>
        <v>0</v>
      </c>
      <c r="J27" s="1263">
        <f t="shared" si="21"/>
        <v>0</v>
      </c>
      <c r="K27" s="1261">
        <f t="shared" si="21"/>
        <v>0</v>
      </c>
      <c r="L27" s="1262">
        <f t="shared" si="21"/>
        <v>0</v>
      </c>
      <c r="M27" s="1262">
        <f t="shared" si="21"/>
        <v>0</v>
      </c>
      <c r="N27" s="1263">
        <f t="shared" si="21"/>
        <v>0</v>
      </c>
      <c r="O27" s="1264">
        <f t="shared" si="21"/>
        <v>0</v>
      </c>
      <c r="P27" s="1265">
        <f t="shared" si="21"/>
        <v>0</v>
      </c>
      <c r="Q27" s="1265">
        <f t="shared" si="21"/>
        <v>0</v>
      </c>
      <c r="R27" s="1266">
        <f t="shared" si="21"/>
        <v>0</v>
      </c>
      <c r="S27" s="1264">
        <f t="shared" si="21"/>
        <v>0</v>
      </c>
      <c r="T27" s="1265">
        <f t="shared" si="21"/>
        <v>0</v>
      </c>
      <c r="U27" s="1265">
        <f t="shared" si="21"/>
        <v>0</v>
      </c>
      <c r="V27" s="1266">
        <f t="shared" si="21"/>
        <v>0</v>
      </c>
      <c r="W27" s="1264">
        <f t="shared" si="21"/>
        <v>0</v>
      </c>
      <c r="X27" s="1265">
        <f t="shared" si="21"/>
        <v>0</v>
      </c>
      <c r="Y27" s="1265">
        <f t="shared" si="21"/>
        <v>0</v>
      </c>
      <c r="Z27" s="1266">
        <f t="shared" si="21"/>
        <v>0</v>
      </c>
      <c r="AA27" s="1264">
        <f t="shared" si="21"/>
        <v>0</v>
      </c>
      <c r="AB27" s="1265">
        <f t="shared" si="21"/>
        <v>0</v>
      </c>
      <c r="AC27" s="1265">
        <f t="shared" si="21"/>
        <v>0</v>
      </c>
      <c r="AD27" s="1266">
        <f t="shared" si="21"/>
        <v>0</v>
      </c>
      <c r="AE27" s="1264">
        <f t="shared" si="21"/>
        <v>0</v>
      </c>
      <c r="AF27" s="1265">
        <f t="shared" si="21"/>
        <v>0</v>
      </c>
      <c r="AG27" s="1265">
        <f t="shared" si="21"/>
        <v>0</v>
      </c>
      <c r="AH27" s="1266">
        <f t="shared" si="21"/>
        <v>0</v>
      </c>
      <c r="AI27" s="1264">
        <f t="shared" si="21"/>
        <v>0</v>
      </c>
      <c r="AJ27" s="1265">
        <f t="shared" si="21"/>
        <v>0</v>
      </c>
      <c r="AK27" s="1265">
        <f t="shared" si="21"/>
        <v>0</v>
      </c>
      <c r="AL27" s="1266">
        <f t="shared" si="21"/>
        <v>0</v>
      </c>
      <c r="AM27" s="1264">
        <f t="shared" ref="AM27:CX27" si="22">SUM(AM28:AM28)</f>
        <v>0</v>
      </c>
      <c r="AN27" s="1265">
        <f t="shared" si="22"/>
        <v>0</v>
      </c>
      <c r="AO27" s="1265">
        <f t="shared" si="22"/>
        <v>0</v>
      </c>
      <c r="AP27" s="1266">
        <f t="shared" si="22"/>
        <v>0</v>
      </c>
      <c r="AQ27" s="1264">
        <f t="shared" si="22"/>
        <v>0</v>
      </c>
      <c r="AR27" s="1265">
        <f t="shared" si="22"/>
        <v>0</v>
      </c>
      <c r="AS27" s="1265">
        <f t="shared" si="22"/>
        <v>0</v>
      </c>
      <c r="AT27" s="1266">
        <f t="shared" si="22"/>
        <v>0</v>
      </c>
      <c r="AU27" s="1264">
        <f t="shared" si="22"/>
        <v>0</v>
      </c>
      <c r="AV27" s="1265">
        <f t="shared" si="22"/>
        <v>0</v>
      </c>
      <c r="AW27" s="1265">
        <f t="shared" si="22"/>
        <v>0</v>
      </c>
      <c r="AX27" s="1266">
        <f t="shared" si="22"/>
        <v>0</v>
      </c>
      <c r="AY27" s="1264">
        <f t="shared" si="22"/>
        <v>0</v>
      </c>
      <c r="AZ27" s="1265">
        <f t="shared" si="22"/>
        <v>0</v>
      </c>
      <c r="BA27" s="1265">
        <f t="shared" si="22"/>
        <v>0</v>
      </c>
      <c r="BB27" s="1266">
        <f t="shared" si="22"/>
        <v>0</v>
      </c>
      <c r="BC27" s="1264">
        <f t="shared" si="22"/>
        <v>0</v>
      </c>
      <c r="BD27" s="1265">
        <f t="shared" si="22"/>
        <v>0</v>
      </c>
      <c r="BE27" s="1265">
        <f t="shared" si="22"/>
        <v>0</v>
      </c>
      <c r="BF27" s="1266">
        <f t="shared" si="22"/>
        <v>0</v>
      </c>
      <c r="BG27" s="1264">
        <f t="shared" si="22"/>
        <v>0</v>
      </c>
      <c r="BH27" s="1265">
        <f t="shared" si="22"/>
        <v>0</v>
      </c>
      <c r="BI27" s="1265">
        <f t="shared" si="22"/>
        <v>0</v>
      </c>
      <c r="BJ27" s="1266">
        <f t="shared" si="22"/>
        <v>0</v>
      </c>
      <c r="BK27" s="1264">
        <f t="shared" si="22"/>
        <v>0</v>
      </c>
      <c r="BL27" s="1265">
        <f t="shared" si="22"/>
        <v>0</v>
      </c>
      <c r="BM27" s="1265">
        <f t="shared" si="22"/>
        <v>0</v>
      </c>
      <c r="BN27" s="1266">
        <f t="shared" si="22"/>
        <v>0</v>
      </c>
      <c r="BO27" s="1264">
        <f t="shared" si="22"/>
        <v>0</v>
      </c>
      <c r="BP27" s="1265">
        <f t="shared" si="22"/>
        <v>0</v>
      </c>
      <c r="BQ27" s="1265">
        <f t="shared" si="22"/>
        <v>0</v>
      </c>
      <c r="BR27" s="1266">
        <f t="shared" si="22"/>
        <v>0</v>
      </c>
      <c r="BS27" s="1264">
        <f t="shared" si="22"/>
        <v>0</v>
      </c>
      <c r="BT27" s="1265">
        <f t="shared" si="22"/>
        <v>0</v>
      </c>
      <c r="BU27" s="1265">
        <f t="shared" si="22"/>
        <v>0</v>
      </c>
      <c r="BV27" s="1266">
        <f t="shared" si="22"/>
        <v>0</v>
      </c>
      <c r="BW27" s="1264">
        <f t="shared" si="22"/>
        <v>0</v>
      </c>
      <c r="BX27" s="1265">
        <f t="shared" si="22"/>
        <v>0</v>
      </c>
      <c r="BY27" s="1265">
        <f t="shared" si="22"/>
        <v>0</v>
      </c>
      <c r="BZ27" s="1266">
        <f t="shared" si="22"/>
        <v>0</v>
      </c>
      <c r="CA27" s="1264">
        <f t="shared" si="22"/>
        <v>0</v>
      </c>
      <c r="CB27" s="1265">
        <f t="shared" si="22"/>
        <v>0</v>
      </c>
      <c r="CC27" s="1265">
        <f t="shared" si="22"/>
        <v>0</v>
      </c>
      <c r="CD27" s="1266">
        <f t="shared" si="22"/>
        <v>0</v>
      </c>
      <c r="CE27" s="1264">
        <f t="shared" si="22"/>
        <v>0</v>
      </c>
      <c r="CF27" s="1265">
        <f t="shared" si="22"/>
        <v>0</v>
      </c>
      <c r="CG27" s="1265">
        <f t="shared" si="22"/>
        <v>0</v>
      </c>
      <c r="CH27" s="1266">
        <f t="shared" si="22"/>
        <v>0</v>
      </c>
      <c r="CI27" s="1264">
        <f t="shared" si="22"/>
        <v>0</v>
      </c>
      <c r="CJ27" s="1265">
        <f t="shared" si="22"/>
        <v>0</v>
      </c>
      <c r="CK27" s="1265">
        <f t="shared" si="22"/>
        <v>0</v>
      </c>
      <c r="CL27" s="1266">
        <f t="shared" si="22"/>
        <v>0</v>
      </c>
      <c r="CM27" s="1264">
        <f t="shared" si="22"/>
        <v>0</v>
      </c>
      <c r="CN27" s="1265">
        <f t="shared" si="22"/>
        <v>0</v>
      </c>
      <c r="CO27" s="1265">
        <f t="shared" si="22"/>
        <v>0</v>
      </c>
      <c r="CP27" s="1266">
        <f t="shared" si="22"/>
        <v>0</v>
      </c>
      <c r="CQ27" s="1264">
        <f t="shared" si="22"/>
        <v>0</v>
      </c>
      <c r="CR27" s="1265">
        <f t="shared" si="22"/>
        <v>0</v>
      </c>
      <c r="CS27" s="1265">
        <f t="shared" si="22"/>
        <v>0</v>
      </c>
      <c r="CT27" s="1266">
        <f t="shared" si="22"/>
        <v>0</v>
      </c>
      <c r="CU27" s="1264">
        <f t="shared" si="22"/>
        <v>0</v>
      </c>
      <c r="CV27" s="1265">
        <f t="shared" si="22"/>
        <v>0</v>
      </c>
      <c r="CW27" s="1265">
        <f t="shared" si="22"/>
        <v>0</v>
      </c>
      <c r="CX27" s="1266">
        <f t="shared" si="22"/>
        <v>0</v>
      </c>
      <c r="CY27" s="1264">
        <f t="shared" ref="CY27:FJ27" si="23">SUM(CY28:CY28)</f>
        <v>0</v>
      </c>
      <c r="CZ27" s="1265">
        <f t="shared" si="23"/>
        <v>0</v>
      </c>
      <c r="DA27" s="1265">
        <f t="shared" si="23"/>
        <v>0</v>
      </c>
      <c r="DB27" s="1266">
        <f t="shared" si="23"/>
        <v>0</v>
      </c>
      <c r="DC27" s="1264">
        <f t="shared" si="23"/>
        <v>0</v>
      </c>
      <c r="DD27" s="1265">
        <f t="shared" si="23"/>
        <v>0</v>
      </c>
      <c r="DE27" s="1265">
        <f t="shared" si="23"/>
        <v>0</v>
      </c>
      <c r="DF27" s="1266">
        <f t="shared" si="23"/>
        <v>0</v>
      </c>
      <c r="DG27" s="1264">
        <f t="shared" si="23"/>
        <v>0</v>
      </c>
      <c r="DH27" s="1265">
        <f t="shared" si="23"/>
        <v>0</v>
      </c>
      <c r="DI27" s="1265">
        <f t="shared" si="23"/>
        <v>0</v>
      </c>
      <c r="DJ27" s="1266">
        <f t="shared" si="23"/>
        <v>0</v>
      </c>
      <c r="DK27" s="1264">
        <f t="shared" si="23"/>
        <v>0</v>
      </c>
      <c r="DL27" s="1265">
        <f t="shared" si="23"/>
        <v>0</v>
      </c>
      <c r="DM27" s="1265">
        <f t="shared" si="23"/>
        <v>0</v>
      </c>
      <c r="DN27" s="1266">
        <f t="shared" si="23"/>
        <v>0</v>
      </c>
      <c r="DO27" s="1264">
        <f t="shared" si="23"/>
        <v>0</v>
      </c>
      <c r="DP27" s="1265">
        <f t="shared" si="23"/>
        <v>0</v>
      </c>
      <c r="DQ27" s="1265">
        <f t="shared" si="23"/>
        <v>0</v>
      </c>
      <c r="DR27" s="1266">
        <f t="shared" si="23"/>
        <v>0</v>
      </c>
      <c r="DS27" s="1264">
        <f t="shared" si="23"/>
        <v>0</v>
      </c>
      <c r="DT27" s="1265">
        <f t="shared" si="23"/>
        <v>0</v>
      </c>
      <c r="DU27" s="1265">
        <f t="shared" si="23"/>
        <v>0</v>
      </c>
      <c r="DV27" s="1266">
        <f t="shared" si="23"/>
        <v>0</v>
      </c>
      <c r="DW27" s="1264">
        <f t="shared" si="23"/>
        <v>0</v>
      </c>
      <c r="DX27" s="1265">
        <f t="shared" si="23"/>
        <v>0</v>
      </c>
      <c r="DY27" s="1265">
        <f t="shared" si="23"/>
        <v>0</v>
      </c>
      <c r="DZ27" s="1266">
        <f t="shared" si="23"/>
        <v>0</v>
      </c>
      <c r="EA27" s="1264">
        <f t="shared" si="23"/>
        <v>0</v>
      </c>
      <c r="EB27" s="1265">
        <f t="shared" si="23"/>
        <v>0</v>
      </c>
      <c r="EC27" s="1265">
        <f t="shared" si="23"/>
        <v>0</v>
      </c>
      <c r="ED27" s="1266">
        <f t="shared" si="23"/>
        <v>0</v>
      </c>
      <c r="EE27" s="1264">
        <f t="shared" si="23"/>
        <v>0</v>
      </c>
      <c r="EF27" s="1265">
        <f t="shared" si="23"/>
        <v>0</v>
      </c>
      <c r="EG27" s="1265">
        <f t="shared" si="23"/>
        <v>0</v>
      </c>
      <c r="EH27" s="1266">
        <f t="shared" si="23"/>
        <v>0</v>
      </c>
      <c r="EI27" s="1264">
        <f t="shared" si="23"/>
        <v>0</v>
      </c>
      <c r="EJ27" s="1265">
        <f t="shared" si="23"/>
        <v>0</v>
      </c>
      <c r="EK27" s="1265">
        <f t="shared" si="23"/>
        <v>0</v>
      </c>
      <c r="EL27" s="1266">
        <f t="shared" si="23"/>
        <v>0</v>
      </c>
      <c r="EM27" s="1264">
        <f t="shared" si="23"/>
        <v>0</v>
      </c>
      <c r="EN27" s="1265">
        <f t="shared" si="23"/>
        <v>0</v>
      </c>
      <c r="EO27" s="1265">
        <f t="shared" si="23"/>
        <v>0</v>
      </c>
      <c r="EP27" s="1266">
        <f t="shared" si="23"/>
        <v>0</v>
      </c>
      <c r="EQ27" s="1264">
        <f t="shared" si="23"/>
        <v>0</v>
      </c>
      <c r="ER27" s="1265">
        <f t="shared" si="23"/>
        <v>0</v>
      </c>
      <c r="ES27" s="1265">
        <f t="shared" si="23"/>
        <v>0</v>
      </c>
      <c r="ET27" s="1266">
        <f t="shared" si="23"/>
        <v>0</v>
      </c>
      <c r="EU27" s="1264">
        <f t="shared" si="23"/>
        <v>0</v>
      </c>
      <c r="EV27" s="1265">
        <f t="shared" si="23"/>
        <v>0</v>
      </c>
      <c r="EW27" s="1265">
        <f t="shared" si="23"/>
        <v>0</v>
      </c>
      <c r="EX27" s="1266">
        <f t="shared" si="23"/>
        <v>0</v>
      </c>
      <c r="EY27" s="1264">
        <f t="shared" si="23"/>
        <v>0</v>
      </c>
      <c r="EZ27" s="1265">
        <f t="shared" si="23"/>
        <v>0</v>
      </c>
      <c r="FA27" s="1265">
        <f t="shared" si="23"/>
        <v>0</v>
      </c>
      <c r="FB27" s="1266">
        <f t="shared" si="23"/>
        <v>0</v>
      </c>
      <c r="FC27" s="1264">
        <f t="shared" si="23"/>
        <v>0</v>
      </c>
      <c r="FD27" s="1265">
        <f t="shared" si="23"/>
        <v>0</v>
      </c>
      <c r="FE27" s="1265">
        <f t="shared" si="23"/>
        <v>0</v>
      </c>
      <c r="FF27" s="1266">
        <f t="shared" si="23"/>
        <v>0</v>
      </c>
      <c r="FG27" s="1264">
        <f t="shared" si="23"/>
        <v>0</v>
      </c>
      <c r="FH27" s="1265">
        <f t="shared" si="23"/>
        <v>0</v>
      </c>
      <c r="FI27" s="1265">
        <f t="shared" si="23"/>
        <v>0</v>
      </c>
      <c r="FJ27" s="1266">
        <f t="shared" si="23"/>
        <v>0</v>
      </c>
      <c r="FK27" s="1264">
        <f t="shared" ref="FK27:FZ27" si="24">SUM(FK28:FK28)</f>
        <v>0</v>
      </c>
      <c r="FL27" s="1265">
        <f t="shared" si="24"/>
        <v>0</v>
      </c>
      <c r="FM27" s="1265">
        <f t="shared" si="24"/>
        <v>0</v>
      </c>
      <c r="FN27" s="1266">
        <f t="shared" si="24"/>
        <v>0</v>
      </c>
      <c r="FO27" s="1264">
        <f t="shared" si="24"/>
        <v>0</v>
      </c>
      <c r="FP27" s="1265">
        <f t="shared" si="24"/>
        <v>0</v>
      </c>
      <c r="FQ27" s="1265">
        <f t="shared" si="24"/>
        <v>0</v>
      </c>
      <c r="FR27" s="1266">
        <f t="shared" si="24"/>
        <v>0</v>
      </c>
      <c r="FS27" s="1264">
        <f t="shared" si="24"/>
        <v>0</v>
      </c>
      <c r="FT27" s="1265">
        <f t="shared" si="24"/>
        <v>0</v>
      </c>
      <c r="FU27" s="1265">
        <f t="shared" si="24"/>
        <v>0</v>
      </c>
      <c r="FV27" s="1266">
        <f t="shared" si="24"/>
        <v>0</v>
      </c>
      <c r="FW27" s="1264">
        <f t="shared" si="24"/>
        <v>0</v>
      </c>
      <c r="FX27" s="1265">
        <f t="shared" si="24"/>
        <v>0</v>
      </c>
      <c r="FY27" s="1265">
        <f t="shared" si="24"/>
        <v>0</v>
      </c>
      <c r="FZ27" s="1266">
        <f t="shared" si="24"/>
        <v>0</v>
      </c>
      <c r="GA27" s="1264"/>
      <c r="GB27" s="1265"/>
      <c r="GC27" s="1265"/>
      <c r="GD27" s="1266"/>
    </row>
    <row r="28" spans="2:186" ht="17.100000000000001" customHeight="1">
      <c r="B28" s="307"/>
      <c r="D28" s="342" t="s">
        <v>1241</v>
      </c>
      <c r="E28" s="943"/>
      <c r="F28" s="1267">
        <f t="shared" si="12"/>
        <v>0</v>
      </c>
      <c r="G28" s="1268">
        <v>0</v>
      </c>
      <c r="H28" s="1269">
        <v>0</v>
      </c>
      <c r="I28" s="1269">
        <v>0</v>
      </c>
      <c r="J28" s="1270">
        <v>0</v>
      </c>
      <c r="K28" s="1268">
        <v>0</v>
      </c>
      <c r="L28" s="1269">
        <v>0</v>
      </c>
      <c r="M28" s="1269">
        <v>0</v>
      </c>
      <c r="N28" s="1270">
        <v>0</v>
      </c>
      <c r="O28" s="1271">
        <v>0</v>
      </c>
      <c r="P28" s="1272">
        <v>0</v>
      </c>
      <c r="Q28" s="1272">
        <v>0</v>
      </c>
      <c r="R28" s="1273">
        <v>0</v>
      </c>
      <c r="S28" s="1271">
        <v>0</v>
      </c>
      <c r="T28" s="1272">
        <v>0</v>
      </c>
      <c r="U28" s="1272">
        <v>0</v>
      </c>
      <c r="V28" s="1273">
        <v>0</v>
      </c>
      <c r="W28" s="1271">
        <v>0</v>
      </c>
      <c r="X28" s="1272">
        <v>0</v>
      </c>
      <c r="Y28" s="1272">
        <v>0</v>
      </c>
      <c r="Z28" s="1273">
        <v>0</v>
      </c>
      <c r="AA28" s="1271">
        <v>0</v>
      </c>
      <c r="AB28" s="1272">
        <v>0</v>
      </c>
      <c r="AC28" s="1272">
        <v>0</v>
      </c>
      <c r="AD28" s="1273">
        <v>0</v>
      </c>
      <c r="AE28" s="1271">
        <v>0</v>
      </c>
      <c r="AF28" s="1272">
        <v>0</v>
      </c>
      <c r="AG28" s="1272">
        <v>0</v>
      </c>
      <c r="AH28" s="1273">
        <v>0</v>
      </c>
      <c r="AI28" s="1271">
        <v>0</v>
      </c>
      <c r="AJ28" s="1272">
        <v>0</v>
      </c>
      <c r="AK28" s="1272">
        <v>0</v>
      </c>
      <c r="AL28" s="1273">
        <v>0</v>
      </c>
      <c r="AM28" s="1271">
        <v>0</v>
      </c>
      <c r="AN28" s="1272">
        <v>0</v>
      </c>
      <c r="AO28" s="1272">
        <v>0</v>
      </c>
      <c r="AP28" s="1273">
        <v>0</v>
      </c>
      <c r="AQ28" s="1271">
        <v>0</v>
      </c>
      <c r="AR28" s="1272">
        <v>0</v>
      </c>
      <c r="AS28" s="1272">
        <v>0</v>
      </c>
      <c r="AT28" s="1273">
        <v>0</v>
      </c>
      <c r="AU28" s="1271">
        <v>0</v>
      </c>
      <c r="AV28" s="1272">
        <v>0</v>
      </c>
      <c r="AW28" s="1272">
        <v>0</v>
      </c>
      <c r="AX28" s="1273">
        <v>0</v>
      </c>
      <c r="AY28" s="1271">
        <v>0</v>
      </c>
      <c r="AZ28" s="1272">
        <v>0</v>
      </c>
      <c r="BA28" s="1272">
        <v>0</v>
      </c>
      <c r="BB28" s="1273">
        <v>0</v>
      </c>
      <c r="BC28" s="1271">
        <v>0</v>
      </c>
      <c r="BD28" s="1272">
        <v>0</v>
      </c>
      <c r="BE28" s="1272">
        <v>0</v>
      </c>
      <c r="BF28" s="1273">
        <v>0</v>
      </c>
      <c r="BG28" s="1271">
        <v>0</v>
      </c>
      <c r="BH28" s="1272">
        <v>0</v>
      </c>
      <c r="BI28" s="1272">
        <v>0</v>
      </c>
      <c r="BJ28" s="1273">
        <v>0</v>
      </c>
      <c r="BK28" s="1271">
        <v>0</v>
      </c>
      <c r="BL28" s="1272">
        <v>0</v>
      </c>
      <c r="BM28" s="1272">
        <v>0</v>
      </c>
      <c r="BN28" s="1273">
        <v>0</v>
      </c>
      <c r="BO28" s="1271">
        <v>0</v>
      </c>
      <c r="BP28" s="1272">
        <v>0</v>
      </c>
      <c r="BQ28" s="1272">
        <v>0</v>
      </c>
      <c r="BR28" s="1273">
        <v>0</v>
      </c>
      <c r="BS28" s="1271">
        <v>0</v>
      </c>
      <c r="BT28" s="1272">
        <v>0</v>
      </c>
      <c r="BU28" s="1272">
        <v>0</v>
      </c>
      <c r="BV28" s="1273">
        <v>0</v>
      </c>
      <c r="BW28" s="1271">
        <v>0</v>
      </c>
      <c r="BX28" s="1272">
        <v>0</v>
      </c>
      <c r="BY28" s="1272">
        <v>0</v>
      </c>
      <c r="BZ28" s="1273">
        <v>0</v>
      </c>
      <c r="CA28" s="1271">
        <v>0</v>
      </c>
      <c r="CB28" s="1272">
        <v>0</v>
      </c>
      <c r="CC28" s="1272">
        <v>0</v>
      </c>
      <c r="CD28" s="1273">
        <v>0</v>
      </c>
      <c r="CE28" s="1271">
        <v>0</v>
      </c>
      <c r="CF28" s="1272">
        <v>0</v>
      </c>
      <c r="CG28" s="1272">
        <v>0</v>
      </c>
      <c r="CH28" s="1273">
        <v>0</v>
      </c>
      <c r="CI28" s="1271">
        <v>0</v>
      </c>
      <c r="CJ28" s="1272">
        <v>0</v>
      </c>
      <c r="CK28" s="1272">
        <v>0</v>
      </c>
      <c r="CL28" s="1273">
        <v>0</v>
      </c>
      <c r="CM28" s="1271">
        <v>0</v>
      </c>
      <c r="CN28" s="1272">
        <v>0</v>
      </c>
      <c r="CO28" s="1272">
        <v>0</v>
      </c>
      <c r="CP28" s="1273">
        <v>0</v>
      </c>
      <c r="CQ28" s="1271">
        <v>0</v>
      </c>
      <c r="CR28" s="1272">
        <v>0</v>
      </c>
      <c r="CS28" s="1272">
        <v>0</v>
      </c>
      <c r="CT28" s="1273">
        <v>0</v>
      </c>
      <c r="CU28" s="1271">
        <v>0</v>
      </c>
      <c r="CV28" s="1272">
        <v>0</v>
      </c>
      <c r="CW28" s="1272">
        <v>0</v>
      </c>
      <c r="CX28" s="1273">
        <v>0</v>
      </c>
      <c r="CY28" s="1271">
        <v>0</v>
      </c>
      <c r="CZ28" s="1272">
        <v>0</v>
      </c>
      <c r="DA28" s="1272">
        <v>0</v>
      </c>
      <c r="DB28" s="1273">
        <v>0</v>
      </c>
      <c r="DC28" s="1271">
        <v>0</v>
      </c>
      <c r="DD28" s="1272">
        <v>0</v>
      </c>
      <c r="DE28" s="1272">
        <v>0</v>
      </c>
      <c r="DF28" s="1273">
        <v>0</v>
      </c>
      <c r="DG28" s="1271">
        <v>0</v>
      </c>
      <c r="DH28" s="1272">
        <v>0</v>
      </c>
      <c r="DI28" s="1272">
        <v>0</v>
      </c>
      <c r="DJ28" s="1273">
        <v>0</v>
      </c>
      <c r="DK28" s="1271">
        <v>0</v>
      </c>
      <c r="DL28" s="1272">
        <v>0</v>
      </c>
      <c r="DM28" s="1272">
        <v>0</v>
      </c>
      <c r="DN28" s="1273">
        <v>0</v>
      </c>
      <c r="DO28" s="1271">
        <v>0</v>
      </c>
      <c r="DP28" s="1272">
        <v>0</v>
      </c>
      <c r="DQ28" s="1272">
        <v>0</v>
      </c>
      <c r="DR28" s="1273">
        <v>0</v>
      </c>
      <c r="DS28" s="1271">
        <v>0</v>
      </c>
      <c r="DT28" s="1272">
        <v>0</v>
      </c>
      <c r="DU28" s="1272">
        <v>0</v>
      </c>
      <c r="DV28" s="1273">
        <v>0</v>
      </c>
      <c r="DW28" s="1271">
        <v>0</v>
      </c>
      <c r="DX28" s="1272">
        <v>0</v>
      </c>
      <c r="DY28" s="1272">
        <v>0</v>
      </c>
      <c r="DZ28" s="1273">
        <v>0</v>
      </c>
      <c r="EA28" s="1271">
        <v>0</v>
      </c>
      <c r="EB28" s="1272">
        <v>0</v>
      </c>
      <c r="EC28" s="1272">
        <v>0</v>
      </c>
      <c r="ED28" s="1273">
        <v>0</v>
      </c>
      <c r="EE28" s="1271">
        <v>0</v>
      </c>
      <c r="EF28" s="1272">
        <v>0</v>
      </c>
      <c r="EG28" s="1272">
        <v>0</v>
      </c>
      <c r="EH28" s="1273">
        <v>0</v>
      </c>
      <c r="EI28" s="1271">
        <v>0</v>
      </c>
      <c r="EJ28" s="1272">
        <v>0</v>
      </c>
      <c r="EK28" s="1272">
        <v>0</v>
      </c>
      <c r="EL28" s="1273">
        <v>0</v>
      </c>
      <c r="EM28" s="1271">
        <v>0</v>
      </c>
      <c r="EN28" s="1272">
        <v>0</v>
      </c>
      <c r="EO28" s="1272">
        <v>0</v>
      </c>
      <c r="EP28" s="1273">
        <v>0</v>
      </c>
      <c r="EQ28" s="1271">
        <v>0</v>
      </c>
      <c r="ER28" s="1272">
        <v>0</v>
      </c>
      <c r="ES28" s="1272">
        <v>0</v>
      </c>
      <c r="ET28" s="1273">
        <v>0</v>
      </c>
      <c r="EU28" s="1271">
        <v>0</v>
      </c>
      <c r="EV28" s="1272">
        <v>0</v>
      </c>
      <c r="EW28" s="1272">
        <v>0</v>
      </c>
      <c r="EX28" s="1273">
        <v>0</v>
      </c>
      <c r="EY28" s="1271">
        <v>0</v>
      </c>
      <c r="EZ28" s="1272">
        <v>0</v>
      </c>
      <c r="FA28" s="1272">
        <v>0</v>
      </c>
      <c r="FB28" s="1273">
        <v>0</v>
      </c>
      <c r="FC28" s="1271">
        <v>0</v>
      </c>
      <c r="FD28" s="1272">
        <v>0</v>
      </c>
      <c r="FE28" s="1272">
        <v>0</v>
      </c>
      <c r="FF28" s="1273">
        <v>0</v>
      </c>
      <c r="FG28" s="1271">
        <v>0</v>
      </c>
      <c r="FH28" s="1272">
        <v>0</v>
      </c>
      <c r="FI28" s="1272">
        <v>0</v>
      </c>
      <c r="FJ28" s="1273">
        <v>0</v>
      </c>
      <c r="FK28" s="1271">
        <v>0</v>
      </c>
      <c r="FL28" s="1272">
        <v>0</v>
      </c>
      <c r="FM28" s="1272">
        <v>0</v>
      </c>
      <c r="FN28" s="1273">
        <v>0</v>
      </c>
      <c r="FO28" s="1271">
        <v>0</v>
      </c>
      <c r="FP28" s="1272">
        <v>0</v>
      </c>
      <c r="FQ28" s="1272">
        <v>0</v>
      </c>
      <c r="FR28" s="1273">
        <v>0</v>
      </c>
      <c r="FS28" s="1271">
        <v>0</v>
      </c>
      <c r="FT28" s="1272">
        <v>0</v>
      </c>
      <c r="FU28" s="1272">
        <v>0</v>
      </c>
      <c r="FV28" s="1273">
        <v>0</v>
      </c>
      <c r="FW28" s="1271">
        <v>0</v>
      </c>
      <c r="FX28" s="1272">
        <v>0</v>
      </c>
      <c r="FY28" s="1272">
        <v>0</v>
      </c>
      <c r="FZ28" s="1273">
        <v>0</v>
      </c>
      <c r="GA28" s="1271"/>
      <c r="GB28" s="1272"/>
      <c r="GC28" s="1272"/>
      <c r="GD28" s="1273"/>
    </row>
    <row r="29" spans="2:186" ht="17.100000000000001" customHeight="1">
      <c r="B29" s="720"/>
      <c r="C29" s="315" t="s">
        <v>1242</v>
      </c>
      <c r="D29" s="1259"/>
      <c r="E29" s="722"/>
      <c r="F29" s="1260">
        <f t="shared" ca="1" si="12"/>
        <v>186.51526362978728</v>
      </c>
      <c r="G29" s="1261">
        <f t="shared" ref="G29:BR29" si="25">SUM(G30:G33)</f>
        <v>15.923049670000001</v>
      </c>
      <c r="H29" s="1262">
        <f t="shared" si="25"/>
        <v>15.385170599999999</v>
      </c>
      <c r="I29" s="1262">
        <f t="shared" si="25"/>
        <v>14.6190088</v>
      </c>
      <c r="J29" s="1263">
        <f t="shared" si="25"/>
        <v>13.628099779999999</v>
      </c>
      <c r="K29" s="1261">
        <f t="shared" si="25"/>
        <v>12.946565509999999</v>
      </c>
      <c r="L29" s="1262">
        <f t="shared" si="25"/>
        <v>12.369336519999999</v>
      </c>
      <c r="M29" s="1262">
        <f t="shared" si="25"/>
        <v>12.17841821</v>
      </c>
      <c r="N29" s="1263">
        <f t="shared" si="25"/>
        <v>11.870227999999999</v>
      </c>
      <c r="O29" s="1264">
        <f t="shared" si="25"/>
        <v>12.314466489332316</v>
      </c>
      <c r="P29" s="1265">
        <f t="shared" si="25"/>
        <v>12.263490071585837</v>
      </c>
      <c r="Q29" s="1265">
        <f t="shared" si="25"/>
        <v>11.387349350257761</v>
      </c>
      <c r="R29" s="1266">
        <f t="shared" si="25"/>
        <v>10.759950635441449</v>
      </c>
      <c r="S29" s="1264">
        <f t="shared" ca="1" si="25"/>
        <v>11.209905156026746</v>
      </c>
      <c r="T29" s="1265">
        <f t="shared" ca="1" si="25"/>
        <v>10.779098814221355</v>
      </c>
      <c r="U29" s="1265">
        <f t="shared" ca="1" si="25"/>
        <v>10.346848908115454</v>
      </c>
      <c r="V29" s="1266">
        <f t="shared" ca="1" si="25"/>
        <v>9.8845442879466727</v>
      </c>
      <c r="W29" s="1264">
        <f t="shared" ca="1" si="25"/>
        <v>9.3762108011312701</v>
      </c>
      <c r="X29" s="1265">
        <f t="shared" ca="1" si="25"/>
        <v>8.9202129042708052</v>
      </c>
      <c r="Y29" s="1265">
        <f t="shared" ca="1" si="25"/>
        <v>8.4624406788759057</v>
      </c>
      <c r="Z29" s="1266">
        <f t="shared" ca="1" si="25"/>
        <v>7.9776204033186175</v>
      </c>
      <c r="AA29" s="1264">
        <f t="shared" ca="1" si="25"/>
        <v>7.4678002311447793</v>
      </c>
      <c r="AB29" s="1265">
        <f t="shared" ca="1" si="25"/>
        <v>7.0219315675779344</v>
      </c>
      <c r="AC29" s="1265">
        <f t="shared" ca="1" si="25"/>
        <v>6.5781335584378962</v>
      </c>
      <c r="AD29" s="1266">
        <f t="shared" ca="1" si="25"/>
        <v>6.060517439615305</v>
      </c>
      <c r="AE29" s="1264">
        <f t="shared" ca="1" si="25"/>
        <v>5.5105610905346198</v>
      </c>
      <c r="AF29" s="1265">
        <f t="shared" ca="1" si="25"/>
        <v>4.9024441789678797</v>
      </c>
      <c r="AG29" s="1265">
        <f t="shared" ca="1" si="25"/>
        <v>4.2911704941727322</v>
      </c>
      <c r="AH29" s="1266">
        <f t="shared" ca="1" si="25"/>
        <v>3.6594468154737374</v>
      </c>
      <c r="AI29" s="1264">
        <f t="shared" ca="1" si="25"/>
        <v>3.0047147866053301</v>
      </c>
      <c r="AJ29" s="1265">
        <f t="shared" ca="1" si="25"/>
        <v>2.6168690257344522</v>
      </c>
      <c r="AK29" s="1265">
        <f t="shared" ca="1" si="25"/>
        <v>2.1669256917150013</v>
      </c>
      <c r="AL29" s="1266">
        <f t="shared" ca="1" si="25"/>
        <v>1.7010932281224909</v>
      </c>
      <c r="AM29" s="1264">
        <f t="shared" ca="1" si="25"/>
        <v>1.2992577810396166</v>
      </c>
      <c r="AN29" s="1265">
        <f t="shared" ca="1" si="25"/>
        <v>1.184382193462667</v>
      </c>
      <c r="AO29" s="1265">
        <f t="shared" ca="1" si="25"/>
        <v>1.0689444869942102</v>
      </c>
      <c r="AP29" s="1266">
        <f t="shared" ca="1" si="25"/>
        <v>0.95105215325945958</v>
      </c>
      <c r="AQ29" s="1264">
        <f t="shared" ca="1" si="25"/>
        <v>0.83130125976892011</v>
      </c>
      <c r="AR29" s="1265">
        <f t="shared" ca="1" si="25"/>
        <v>0.71315575762721195</v>
      </c>
      <c r="AS29" s="1265">
        <f t="shared" ca="1" si="25"/>
        <v>0.59597899644202879</v>
      </c>
      <c r="AT29" s="1266">
        <f t="shared" ca="1" si="25"/>
        <v>0.47719372178098762</v>
      </c>
      <c r="AU29" s="1264">
        <f t="shared" ca="1" si="25"/>
        <v>0.35673210461235955</v>
      </c>
      <c r="AV29" s="1265">
        <f t="shared" ca="1" si="25"/>
        <v>0.23837371734516136</v>
      </c>
      <c r="AW29" s="1265">
        <f t="shared" ca="1" si="25"/>
        <v>0.13514484882843256</v>
      </c>
      <c r="AX29" s="1266">
        <f t="shared" ca="1" si="25"/>
        <v>0</v>
      </c>
      <c r="AY29" s="1264">
        <f t="shared" ca="1" si="25"/>
        <v>0</v>
      </c>
      <c r="AZ29" s="1265">
        <f t="shared" ca="1" si="25"/>
        <v>0</v>
      </c>
      <c r="BA29" s="1265">
        <f t="shared" ca="1" si="25"/>
        <v>0</v>
      </c>
      <c r="BB29" s="1266">
        <f t="shared" ca="1" si="25"/>
        <v>0</v>
      </c>
      <c r="BC29" s="1264">
        <f t="shared" ca="1" si="25"/>
        <v>0</v>
      </c>
      <c r="BD29" s="1265">
        <f t="shared" ca="1" si="25"/>
        <v>0</v>
      </c>
      <c r="BE29" s="1265">
        <f t="shared" ca="1" si="25"/>
        <v>0</v>
      </c>
      <c r="BF29" s="1266">
        <f t="shared" ca="1" si="25"/>
        <v>0</v>
      </c>
      <c r="BG29" s="1264">
        <f t="shared" ca="1" si="25"/>
        <v>0</v>
      </c>
      <c r="BH29" s="1265">
        <f t="shared" ca="1" si="25"/>
        <v>0</v>
      </c>
      <c r="BI29" s="1265">
        <f t="shared" ca="1" si="25"/>
        <v>0</v>
      </c>
      <c r="BJ29" s="1266">
        <f t="shared" ca="1" si="25"/>
        <v>0</v>
      </c>
      <c r="BK29" s="1264">
        <f t="shared" ca="1" si="25"/>
        <v>0</v>
      </c>
      <c r="BL29" s="1265">
        <f t="shared" ca="1" si="25"/>
        <v>0</v>
      </c>
      <c r="BM29" s="1265">
        <f t="shared" ca="1" si="25"/>
        <v>0</v>
      </c>
      <c r="BN29" s="1266">
        <f t="shared" ca="1" si="25"/>
        <v>0</v>
      </c>
      <c r="BO29" s="1264">
        <f t="shared" ca="1" si="25"/>
        <v>0</v>
      </c>
      <c r="BP29" s="1265">
        <f t="shared" ca="1" si="25"/>
        <v>0</v>
      </c>
      <c r="BQ29" s="1265">
        <f t="shared" ca="1" si="25"/>
        <v>0</v>
      </c>
      <c r="BR29" s="1266">
        <f t="shared" ca="1" si="25"/>
        <v>0</v>
      </c>
      <c r="BS29" s="1264">
        <f t="shared" ref="BS29:ED29" ca="1" si="26">SUM(BS30:BS33)</f>
        <v>0</v>
      </c>
      <c r="BT29" s="1265">
        <f t="shared" ca="1" si="26"/>
        <v>0</v>
      </c>
      <c r="BU29" s="1265">
        <f t="shared" ca="1" si="26"/>
        <v>0</v>
      </c>
      <c r="BV29" s="1266">
        <f t="shared" ca="1" si="26"/>
        <v>0</v>
      </c>
      <c r="BW29" s="1264">
        <f t="shared" ca="1" si="26"/>
        <v>0</v>
      </c>
      <c r="BX29" s="1265">
        <f t="shared" ca="1" si="26"/>
        <v>0</v>
      </c>
      <c r="BY29" s="1265">
        <f t="shared" ca="1" si="26"/>
        <v>0</v>
      </c>
      <c r="BZ29" s="1266">
        <f t="shared" ca="1" si="26"/>
        <v>0</v>
      </c>
      <c r="CA29" s="1264">
        <f t="shared" ca="1" si="26"/>
        <v>0</v>
      </c>
      <c r="CB29" s="1265">
        <f t="shared" ca="1" si="26"/>
        <v>0</v>
      </c>
      <c r="CC29" s="1265">
        <f t="shared" ca="1" si="26"/>
        <v>0</v>
      </c>
      <c r="CD29" s="1266">
        <f t="shared" ca="1" si="26"/>
        <v>0</v>
      </c>
      <c r="CE29" s="1264">
        <f t="shared" ca="1" si="26"/>
        <v>0</v>
      </c>
      <c r="CF29" s="1265">
        <f t="shared" ca="1" si="26"/>
        <v>0</v>
      </c>
      <c r="CG29" s="1265">
        <f t="shared" ca="1" si="26"/>
        <v>0</v>
      </c>
      <c r="CH29" s="1266">
        <f t="shared" ca="1" si="26"/>
        <v>0</v>
      </c>
      <c r="CI29" s="1264">
        <f t="shared" ca="1" si="26"/>
        <v>0</v>
      </c>
      <c r="CJ29" s="1265">
        <f t="shared" ca="1" si="26"/>
        <v>0</v>
      </c>
      <c r="CK29" s="1265">
        <f t="shared" ca="1" si="26"/>
        <v>0</v>
      </c>
      <c r="CL29" s="1266">
        <f t="shared" ca="1" si="26"/>
        <v>0</v>
      </c>
      <c r="CM29" s="1264">
        <f t="shared" ca="1" si="26"/>
        <v>0</v>
      </c>
      <c r="CN29" s="1265">
        <f t="shared" ca="1" si="26"/>
        <v>0</v>
      </c>
      <c r="CO29" s="1265">
        <f t="shared" ca="1" si="26"/>
        <v>0</v>
      </c>
      <c r="CP29" s="1266">
        <f t="shared" ca="1" si="26"/>
        <v>0</v>
      </c>
      <c r="CQ29" s="1264">
        <f t="shared" ca="1" si="26"/>
        <v>0</v>
      </c>
      <c r="CR29" s="1265">
        <f t="shared" ca="1" si="26"/>
        <v>0</v>
      </c>
      <c r="CS29" s="1265">
        <f t="shared" ca="1" si="26"/>
        <v>0</v>
      </c>
      <c r="CT29" s="1266">
        <f t="shared" ca="1" si="26"/>
        <v>0</v>
      </c>
      <c r="CU29" s="1264">
        <f t="shared" ca="1" si="26"/>
        <v>0</v>
      </c>
      <c r="CV29" s="1265">
        <f t="shared" ca="1" si="26"/>
        <v>0</v>
      </c>
      <c r="CW29" s="1265">
        <f t="shared" ca="1" si="26"/>
        <v>0</v>
      </c>
      <c r="CX29" s="1266">
        <f t="shared" ca="1" si="26"/>
        <v>0</v>
      </c>
      <c r="CY29" s="1264">
        <f t="shared" ca="1" si="26"/>
        <v>0</v>
      </c>
      <c r="CZ29" s="1265">
        <f t="shared" ca="1" si="26"/>
        <v>0</v>
      </c>
      <c r="DA29" s="1265">
        <f t="shared" ca="1" si="26"/>
        <v>0</v>
      </c>
      <c r="DB29" s="1266">
        <f t="shared" ca="1" si="26"/>
        <v>0</v>
      </c>
      <c r="DC29" s="1264">
        <f t="shared" ca="1" si="26"/>
        <v>0</v>
      </c>
      <c r="DD29" s="1265">
        <f t="shared" ca="1" si="26"/>
        <v>0</v>
      </c>
      <c r="DE29" s="1265">
        <f t="shared" ca="1" si="26"/>
        <v>0</v>
      </c>
      <c r="DF29" s="1266">
        <f t="shared" ca="1" si="26"/>
        <v>0</v>
      </c>
      <c r="DG29" s="1264">
        <f t="shared" ca="1" si="26"/>
        <v>0</v>
      </c>
      <c r="DH29" s="1265">
        <f t="shared" ca="1" si="26"/>
        <v>0</v>
      </c>
      <c r="DI29" s="1265">
        <f t="shared" ca="1" si="26"/>
        <v>0</v>
      </c>
      <c r="DJ29" s="1266">
        <f t="shared" ca="1" si="26"/>
        <v>0</v>
      </c>
      <c r="DK29" s="1264">
        <f t="shared" ca="1" si="26"/>
        <v>0</v>
      </c>
      <c r="DL29" s="1265">
        <f t="shared" ca="1" si="26"/>
        <v>0</v>
      </c>
      <c r="DM29" s="1265">
        <f t="shared" ca="1" si="26"/>
        <v>0</v>
      </c>
      <c r="DN29" s="1266">
        <f t="shared" ca="1" si="26"/>
        <v>0</v>
      </c>
      <c r="DO29" s="1264">
        <f t="shared" ca="1" si="26"/>
        <v>0</v>
      </c>
      <c r="DP29" s="1265">
        <f t="shared" ca="1" si="26"/>
        <v>0</v>
      </c>
      <c r="DQ29" s="1265">
        <f t="shared" ca="1" si="26"/>
        <v>0</v>
      </c>
      <c r="DR29" s="1266">
        <f t="shared" ca="1" si="26"/>
        <v>0</v>
      </c>
      <c r="DS29" s="1264">
        <f t="shared" ca="1" si="26"/>
        <v>0</v>
      </c>
      <c r="DT29" s="1265">
        <f t="shared" ca="1" si="26"/>
        <v>0</v>
      </c>
      <c r="DU29" s="1265">
        <f t="shared" ca="1" si="26"/>
        <v>0</v>
      </c>
      <c r="DV29" s="1266">
        <f t="shared" ca="1" si="26"/>
        <v>0</v>
      </c>
      <c r="DW29" s="1264">
        <f t="shared" ca="1" si="26"/>
        <v>0</v>
      </c>
      <c r="DX29" s="1265">
        <f t="shared" ca="1" si="26"/>
        <v>0</v>
      </c>
      <c r="DY29" s="1265">
        <f t="shared" ca="1" si="26"/>
        <v>0</v>
      </c>
      <c r="DZ29" s="1266">
        <f t="shared" ca="1" si="26"/>
        <v>0</v>
      </c>
      <c r="EA29" s="1264">
        <f t="shared" ca="1" si="26"/>
        <v>0</v>
      </c>
      <c r="EB29" s="1265">
        <f t="shared" ca="1" si="26"/>
        <v>0</v>
      </c>
      <c r="EC29" s="1265">
        <f t="shared" ca="1" si="26"/>
        <v>0</v>
      </c>
      <c r="ED29" s="1266">
        <f t="shared" ca="1" si="26"/>
        <v>0</v>
      </c>
      <c r="EE29" s="1264">
        <f t="shared" ref="EE29:FZ29" ca="1" si="27">SUM(EE30:EE33)</f>
        <v>0</v>
      </c>
      <c r="EF29" s="1265">
        <f t="shared" ca="1" si="27"/>
        <v>0</v>
      </c>
      <c r="EG29" s="1265">
        <f t="shared" ca="1" si="27"/>
        <v>0</v>
      </c>
      <c r="EH29" s="1266">
        <f t="shared" ca="1" si="27"/>
        <v>0</v>
      </c>
      <c r="EI29" s="1264">
        <f t="shared" ca="1" si="27"/>
        <v>0</v>
      </c>
      <c r="EJ29" s="1265">
        <f t="shared" ca="1" si="27"/>
        <v>0</v>
      </c>
      <c r="EK29" s="1265">
        <f t="shared" ca="1" si="27"/>
        <v>0</v>
      </c>
      <c r="EL29" s="1266">
        <f t="shared" ca="1" si="27"/>
        <v>0</v>
      </c>
      <c r="EM29" s="1264">
        <f t="shared" ca="1" si="27"/>
        <v>0</v>
      </c>
      <c r="EN29" s="1265">
        <f t="shared" ca="1" si="27"/>
        <v>0</v>
      </c>
      <c r="EO29" s="1265">
        <f t="shared" ca="1" si="27"/>
        <v>0</v>
      </c>
      <c r="EP29" s="1266">
        <f t="shared" ca="1" si="27"/>
        <v>0</v>
      </c>
      <c r="EQ29" s="1264">
        <f t="shared" ca="1" si="27"/>
        <v>0</v>
      </c>
      <c r="ER29" s="1265">
        <f t="shared" ca="1" si="27"/>
        <v>0</v>
      </c>
      <c r="ES29" s="1265">
        <f t="shared" ca="1" si="27"/>
        <v>0</v>
      </c>
      <c r="ET29" s="1266">
        <f t="shared" ca="1" si="27"/>
        <v>0</v>
      </c>
      <c r="EU29" s="1264">
        <f t="shared" ca="1" si="27"/>
        <v>0</v>
      </c>
      <c r="EV29" s="1265">
        <f t="shared" ca="1" si="27"/>
        <v>0</v>
      </c>
      <c r="EW29" s="1265">
        <f t="shared" ca="1" si="27"/>
        <v>0</v>
      </c>
      <c r="EX29" s="1266">
        <f t="shared" ca="1" si="27"/>
        <v>0</v>
      </c>
      <c r="EY29" s="1264">
        <f t="shared" ca="1" si="27"/>
        <v>0</v>
      </c>
      <c r="EZ29" s="1265">
        <f t="shared" ca="1" si="27"/>
        <v>0</v>
      </c>
      <c r="FA29" s="1265">
        <f t="shared" ca="1" si="27"/>
        <v>0</v>
      </c>
      <c r="FB29" s="1266">
        <f t="shared" ca="1" si="27"/>
        <v>0</v>
      </c>
      <c r="FC29" s="1264">
        <f t="shared" ca="1" si="27"/>
        <v>0</v>
      </c>
      <c r="FD29" s="1265">
        <f t="shared" ca="1" si="27"/>
        <v>0</v>
      </c>
      <c r="FE29" s="1265">
        <f t="shared" ca="1" si="27"/>
        <v>0</v>
      </c>
      <c r="FF29" s="1266">
        <f t="shared" ca="1" si="27"/>
        <v>0</v>
      </c>
      <c r="FG29" s="1264">
        <f t="shared" ca="1" si="27"/>
        <v>0</v>
      </c>
      <c r="FH29" s="1265">
        <f t="shared" ca="1" si="27"/>
        <v>0</v>
      </c>
      <c r="FI29" s="1265">
        <f t="shared" ca="1" si="27"/>
        <v>0</v>
      </c>
      <c r="FJ29" s="1266">
        <f t="shared" ca="1" si="27"/>
        <v>0</v>
      </c>
      <c r="FK29" s="1264">
        <f t="shared" ca="1" si="27"/>
        <v>0</v>
      </c>
      <c r="FL29" s="1265">
        <f t="shared" ca="1" si="27"/>
        <v>0</v>
      </c>
      <c r="FM29" s="1265">
        <f t="shared" ca="1" si="27"/>
        <v>0</v>
      </c>
      <c r="FN29" s="1266">
        <f t="shared" ca="1" si="27"/>
        <v>0</v>
      </c>
      <c r="FO29" s="1264">
        <f t="shared" ca="1" si="27"/>
        <v>0</v>
      </c>
      <c r="FP29" s="1265">
        <f t="shared" ca="1" si="27"/>
        <v>0</v>
      </c>
      <c r="FQ29" s="1265">
        <f t="shared" ca="1" si="27"/>
        <v>0</v>
      </c>
      <c r="FR29" s="1266">
        <f t="shared" ca="1" si="27"/>
        <v>0</v>
      </c>
      <c r="FS29" s="1264">
        <f t="shared" ca="1" si="27"/>
        <v>0</v>
      </c>
      <c r="FT29" s="1265">
        <f t="shared" ca="1" si="27"/>
        <v>0</v>
      </c>
      <c r="FU29" s="1265">
        <f t="shared" ca="1" si="27"/>
        <v>0</v>
      </c>
      <c r="FV29" s="1266">
        <f t="shared" ca="1" si="27"/>
        <v>0</v>
      </c>
      <c r="FW29" s="1264">
        <f t="shared" ca="1" si="27"/>
        <v>0</v>
      </c>
      <c r="FX29" s="1265">
        <f t="shared" ca="1" si="27"/>
        <v>0</v>
      </c>
      <c r="FY29" s="1265">
        <f t="shared" ca="1" si="27"/>
        <v>0</v>
      </c>
      <c r="FZ29" s="1266">
        <f t="shared" ca="1" si="27"/>
        <v>0</v>
      </c>
      <c r="GA29" s="1264"/>
      <c r="GB29" s="1265"/>
      <c r="GC29" s="1265"/>
      <c r="GD29" s="1266"/>
    </row>
    <row r="30" spans="2:186" ht="17.100000000000001" customHeight="1">
      <c r="B30" s="307"/>
      <c r="D30" s="1298" t="str">
        <f>D74</f>
        <v>기존차입금</v>
      </c>
      <c r="E30" s="943" t="s">
        <v>238</v>
      </c>
      <c r="F30" s="1267">
        <f t="shared" ca="1" si="12"/>
        <v>175.5209193849999</v>
      </c>
      <c r="G30" s="1268">
        <f>'IS(Q)'!G74</f>
        <v>15.923049670000001</v>
      </c>
      <c r="H30" s="1269">
        <f>'IS(Q)'!H74</f>
        <v>15.385170599999999</v>
      </c>
      <c r="I30" s="1269">
        <f>'IS(Q)'!I74</f>
        <v>14.6190088</v>
      </c>
      <c r="J30" s="1270">
        <f>'IS(Q)'!J74</f>
        <v>13.628099779999999</v>
      </c>
      <c r="K30" s="1268">
        <f>'IS(Q)'!K74</f>
        <v>12.946565509999999</v>
      </c>
      <c r="L30" s="1269">
        <f>'IS(Q)'!L74</f>
        <v>12.369336519999999</v>
      </c>
      <c r="M30" s="1269">
        <f>'IS(Q)'!M74</f>
        <v>12.17841821</v>
      </c>
      <c r="N30" s="1270">
        <f>'IS(Q)'!N74</f>
        <v>11.870227999999999</v>
      </c>
      <c r="O30" s="1271">
        <f>'IS(Q)'!O74</f>
        <v>11.65615873</v>
      </c>
      <c r="P30" s="1272">
        <f>'IS(Q)'!P74</f>
        <v>11.599185670000001</v>
      </c>
      <c r="Q30" s="1272">
        <f>'IS(Q)'!Q74</f>
        <v>10.719295369999999</v>
      </c>
      <c r="R30" s="1273">
        <f>'IS(Q)'!R74</f>
        <v>10.11149168</v>
      </c>
      <c r="S30" s="1271">
        <f ca="1">'IS(Q)'!S74</f>
        <v>10.624165749999998</v>
      </c>
      <c r="T30" s="1272">
        <f ca="1">'IS(Q)'!T74</f>
        <v>10.189960714999998</v>
      </c>
      <c r="U30" s="1272">
        <f ca="1">'IS(Q)'!U74</f>
        <v>9.7557556799999983</v>
      </c>
      <c r="V30" s="1273">
        <f ca="1">'IS(Q)'!V74</f>
        <v>9.3123122399999989</v>
      </c>
      <c r="W30" s="1271">
        <f ca="1">'IS(Q)'!W74</f>
        <v>8.8596303949999999</v>
      </c>
      <c r="X30" s="1272">
        <f ca="1">'IS(Q)'!X74</f>
        <v>8.4069485499999992</v>
      </c>
      <c r="Y30" s="1272">
        <f ca="1">'IS(Q)'!Y74</f>
        <v>7.9542667049999984</v>
      </c>
      <c r="Z30" s="1273">
        <f ca="1">'IS(Q)'!Z74</f>
        <v>7.4923464549999981</v>
      </c>
      <c r="AA30" s="1271">
        <f ca="1">'IS(Q)'!AA74</f>
        <v>7.0211877999999972</v>
      </c>
      <c r="AB30" s="1272">
        <f ca="1">'IS(Q)'!AB74</f>
        <v>6.5962211699999989</v>
      </c>
      <c r="AC30" s="1272">
        <f ca="1">'IS(Q)'!AC74</f>
        <v>6.1620161349999982</v>
      </c>
      <c r="AD30" s="1273">
        <f ca="1">'IS(Q)'!AD74</f>
        <v>5.6723806699999981</v>
      </c>
      <c r="AE30" s="1271">
        <f ca="1">'IS(Q)'!AE74</f>
        <v>5.1735067999999984</v>
      </c>
      <c r="AF30" s="1272">
        <f ca="1">'IS(Q)'!AF74</f>
        <v>4.5914872849999986</v>
      </c>
      <c r="AG30" s="1272">
        <f ca="1">'IS(Q)'!AG74</f>
        <v>4.0094677699999988</v>
      </c>
      <c r="AH30" s="1273">
        <f ca="1">'IS(Q)'!AH74</f>
        <v>3.4182098499999989</v>
      </c>
      <c r="AI30" s="1271">
        <f ca="1">'IS(Q)'!AI74</f>
        <v>2.8177135249999989</v>
      </c>
      <c r="AJ30" s="1272">
        <f ca="1">'IS(Q)'!AJ74</f>
        <v>2.4481773249999987</v>
      </c>
      <c r="AK30" s="1272">
        <f ca="1">'IS(Q)'!AK74</f>
        <v>2.0232106949999991</v>
      </c>
      <c r="AL30" s="1273">
        <f ca="1">'IS(Q)'!AL74</f>
        <v>1.5890056599999991</v>
      </c>
      <c r="AM30" s="1271">
        <f ca="1">'IS(Q)'!AM74</f>
        <v>1.2194694599999989</v>
      </c>
      <c r="AN30" s="1272">
        <f ca="1">'IS(Q)'!AN74</f>
        <v>1.1086085999999991</v>
      </c>
      <c r="AO30" s="1272">
        <f ca="1">'IS(Q)'!AO74</f>
        <v>0.99774773999999911</v>
      </c>
      <c r="AP30" s="1273">
        <f ca="1">'IS(Q)'!AP74</f>
        <v>0.88688687999999893</v>
      </c>
      <c r="AQ30" s="1271">
        <f ca="1">'IS(Q)'!AQ74</f>
        <v>0.77602601999999898</v>
      </c>
      <c r="AR30" s="1272">
        <f ca="1">'IS(Q)'!AR74</f>
        <v>0.6651651599999987</v>
      </c>
      <c r="AS30" s="1272">
        <f ca="1">'IS(Q)'!AS74</f>
        <v>0.55430429999999886</v>
      </c>
      <c r="AT30" s="1273">
        <f ca="1">'IS(Q)'!AT74</f>
        <v>0.4434434399999988</v>
      </c>
      <c r="AU30" s="1271">
        <f ca="1">'IS(Q)'!AU74</f>
        <v>0.3325825799999988</v>
      </c>
      <c r="AV30" s="1272">
        <f ca="1">'IS(Q)'!AV74</f>
        <v>0.22172171999999882</v>
      </c>
      <c r="AW30" s="1272">
        <f ca="1">'IS(Q)'!AW74</f>
        <v>0.11086085999999881</v>
      </c>
      <c r="AX30" s="1273">
        <f ca="1">'IS(Q)'!AX74</f>
        <v>0</v>
      </c>
      <c r="AY30" s="1271">
        <f ca="1">'IS(Q)'!AY74</f>
        <v>0</v>
      </c>
      <c r="AZ30" s="1272">
        <f ca="1">'IS(Q)'!AZ74</f>
        <v>0</v>
      </c>
      <c r="BA30" s="1272">
        <f ca="1">'IS(Q)'!BA74</f>
        <v>0</v>
      </c>
      <c r="BB30" s="1273">
        <f ca="1">'IS(Q)'!BB74</f>
        <v>0</v>
      </c>
      <c r="BC30" s="1271">
        <f ca="1">'IS(Q)'!BC74</f>
        <v>0</v>
      </c>
      <c r="BD30" s="1272">
        <f ca="1">'IS(Q)'!BD74</f>
        <v>0</v>
      </c>
      <c r="BE30" s="1272">
        <f ca="1">'IS(Q)'!BE74</f>
        <v>0</v>
      </c>
      <c r="BF30" s="1273">
        <f ca="1">'IS(Q)'!BF74</f>
        <v>0</v>
      </c>
      <c r="BG30" s="1271">
        <f ca="1">'IS(Q)'!BG74</f>
        <v>0</v>
      </c>
      <c r="BH30" s="1272">
        <f ca="1">'IS(Q)'!BH74</f>
        <v>0</v>
      </c>
      <c r="BI30" s="1272">
        <f ca="1">'IS(Q)'!BI74</f>
        <v>0</v>
      </c>
      <c r="BJ30" s="1273">
        <f ca="1">'IS(Q)'!BJ74</f>
        <v>0</v>
      </c>
      <c r="BK30" s="1271">
        <f ca="1">'IS(Q)'!BK74</f>
        <v>0</v>
      </c>
      <c r="BL30" s="1272">
        <f ca="1">'IS(Q)'!BL74</f>
        <v>0</v>
      </c>
      <c r="BM30" s="1272">
        <f ca="1">'IS(Q)'!BM74</f>
        <v>0</v>
      </c>
      <c r="BN30" s="1273">
        <f ca="1">'IS(Q)'!BN74</f>
        <v>0</v>
      </c>
      <c r="BO30" s="1271">
        <f ca="1">'IS(Q)'!BO74</f>
        <v>0</v>
      </c>
      <c r="BP30" s="1272">
        <f ca="1">'IS(Q)'!BP74</f>
        <v>0</v>
      </c>
      <c r="BQ30" s="1272">
        <f ca="1">'IS(Q)'!BQ74</f>
        <v>0</v>
      </c>
      <c r="BR30" s="1273">
        <f ca="1">'IS(Q)'!BR74</f>
        <v>0</v>
      </c>
      <c r="BS30" s="1271">
        <f ca="1">'IS(Q)'!BS74</f>
        <v>0</v>
      </c>
      <c r="BT30" s="1272">
        <f ca="1">'IS(Q)'!BT74</f>
        <v>0</v>
      </c>
      <c r="BU30" s="1272">
        <f ca="1">'IS(Q)'!BU74</f>
        <v>0</v>
      </c>
      <c r="BV30" s="1273">
        <f ca="1">'IS(Q)'!BV74</f>
        <v>0</v>
      </c>
      <c r="BW30" s="1271">
        <f ca="1">'IS(Q)'!BW74</f>
        <v>0</v>
      </c>
      <c r="BX30" s="1272">
        <f ca="1">'IS(Q)'!BX74</f>
        <v>0</v>
      </c>
      <c r="BY30" s="1272">
        <f ca="1">'IS(Q)'!BY74</f>
        <v>0</v>
      </c>
      <c r="BZ30" s="1273">
        <f ca="1">'IS(Q)'!BZ74</f>
        <v>0</v>
      </c>
      <c r="CA30" s="1271">
        <f ca="1">'IS(Q)'!CA74</f>
        <v>0</v>
      </c>
      <c r="CB30" s="1272">
        <f ca="1">'IS(Q)'!CB74</f>
        <v>0</v>
      </c>
      <c r="CC30" s="1272">
        <f ca="1">'IS(Q)'!CC74</f>
        <v>0</v>
      </c>
      <c r="CD30" s="1273">
        <f ca="1">'IS(Q)'!CD74</f>
        <v>0</v>
      </c>
      <c r="CE30" s="1271">
        <f ca="1">'IS(Q)'!CE74</f>
        <v>0</v>
      </c>
      <c r="CF30" s="1272">
        <f ca="1">'IS(Q)'!CF74</f>
        <v>0</v>
      </c>
      <c r="CG30" s="1272">
        <f ca="1">'IS(Q)'!CG74</f>
        <v>0</v>
      </c>
      <c r="CH30" s="1273">
        <f ca="1">'IS(Q)'!CH74</f>
        <v>0</v>
      </c>
      <c r="CI30" s="1271">
        <f ca="1">'IS(Q)'!CI74</f>
        <v>0</v>
      </c>
      <c r="CJ30" s="1272">
        <f ca="1">'IS(Q)'!CJ74</f>
        <v>0</v>
      </c>
      <c r="CK30" s="1272">
        <f ca="1">'IS(Q)'!CK74</f>
        <v>0</v>
      </c>
      <c r="CL30" s="1273">
        <f ca="1">'IS(Q)'!CL74</f>
        <v>0</v>
      </c>
      <c r="CM30" s="1271">
        <f ca="1">'IS(Q)'!CM74</f>
        <v>0</v>
      </c>
      <c r="CN30" s="1272">
        <f ca="1">'IS(Q)'!CN74</f>
        <v>0</v>
      </c>
      <c r="CO30" s="1272">
        <f ca="1">'IS(Q)'!CO74</f>
        <v>0</v>
      </c>
      <c r="CP30" s="1273">
        <f ca="1">'IS(Q)'!CP74</f>
        <v>0</v>
      </c>
      <c r="CQ30" s="1271">
        <f ca="1">'IS(Q)'!CQ74</f>
        <v>0</v>
      </c>
      <c r="CR30" s="1272">
        <f ca="1">'IS(Q)'!CR74</f>
        <v>0</v>
      </c>
      <c r="CS30" s="1272">
        <f ca="1">'IS(Q)'!CS74</f>
        <v>0</v>
      </c>
      <c r="CT30" s="1273">
        <f ca="1">'IS(Q)'!CT74</f>
        <v>0</v>
      </c>
      <c r="CU30" s="1271">
        <f ca="1">'IS(Q)'!CU74</f>
        <v>0</v>
      </c>
      <c r="CV30" s="1272">
        <f ca="1">'IS(Q)'!CV74</f>
        <v>0</v>
      </c>
      <c r="CW30" s="1272">
        <f ca="1">'IS(Q)'!CW74</f>
        <v>0</v>
      </c>
      <c r="CX30" s="1273">
        <f ca="1">'IS(Q)'!CX74</f>
        <v>0</v>
      </c>
      <c r="CY30" s="1271">
        <f ca="1">'IS(Q)'!CY74</f>
        <v>0</v>
      </c>
      <c r="CZ30" s="1272">
        <f ca="1">'IS(Q)'!CZ74</f>
        <v>0</v>
      </c>
      <c r="DA30" s="1272">
        <f ca="1">'IS(Q)'!DA74</f>
        <v>0</v>
      </c>
      <c r="DB30" s="1273">
        <f ca="1">'IS(Q)'!DB74</f>
        <v>0</v>
      </c>
      <c r="DC30" s="1271">
        <f ca="1">'IS(Q)'!DC74</f>
        <v>0</v>
      </c>
      <c r="DD30" s="1272">
        <f ca="1">'IS(Q)'!DD74</f>
        <v>0</v>
      </c>
      <c r="DE30" s="1272">
        <f ca="1">'IS(Q)'!DE74</f>
        <v>0</v>
      </c>
      <c r="DF30" s="1273">
        <f ca="1">'IS(Q)'!DF74</f>
        <v>0</v>
      </c>
      <c r="DG30" s="1271">
        <f ca="1">'IS(Q)'!DG74</f>
        <v>0</v>
      </c>
      <c r="DH30" s="1272">
        <f ca="1">'IS(Q)'!DH74</f>
        <v>0</v>
      </c>
      <c r="DI30" s="1272">
        <f ca="1">'IS(Q)'!DI74</f>
        <v>0</v>
      </c>
      <c r="DJ30" s="1273">
        <f ca="1">'IS(Q)'!DJ74</f>
        <v>0</v>
      </c>
      <c r="DK30" s="1271">
        <f ca="1">'IS(Q)'!DK74</f>
        <v>0</v>
      </c>
      <c r="DL30" s="1272">
        <f ca="1">'IS(Q)'!DL74</f>
        <v>0</v>
      </c>
      <c r="DM30" s="1272">
        <f ca="1">'IS(Q)'!DM74</f>
        <v>0</v>
      </c>
      <c r="DN30" s="1273">
        <f ca="1">'IS(Q)'!DN74</f>
        <v>0</v>
      </c>
      <c r="DO30" s="1271">
        <f ca="1">'IS(Q)'!DO74</f>
        <v>0</v>
      </c>
      <c r="DP30" s="1272">
        <f ca="1">'IS(Q)'!DP74</f>
        <v>0</v>
      </c>
      <c r="DQ30" s="1272">
        <f ca="1">'IS(Q)'!DQ74</f>
        <v>0</v>
      </c>
      <c r="DR30" s="1273">
        <f ca="1">'IS(Q)'!DR74</f>
        <v>0</v>
      </c>
      <c r="DS30" s="1271">
        <f ca="1">'IS(Q)'!DS74</f>
        <v>0</v>
      </c>
      <c r="DT30" s="1272">
        <f ca="1">'IS(Q)'!DT74</f>
        <v>0</v>
      </c>
      <c r="DU30" s="1272">
        <f ca="1">'IS(Q)'!DU74</f>
        <v>0</v>
      </c>
      <c r="DV30" s="1273">
        <f ca="1">'IS(Q)'!DV74</f>
        <v>0</v>
      </c>
      <c r="DW30" s="1271">
        <f ca="1">'IS(Q)'!DW74</f>
        <v>0</v>
      </c>
      <c r="DX30" s="1272">
        <f ca="1">'IS(Q)'!DX74</f>
        <v>0</v>
      </c>
      <c r="DY30" s="1272">
        <f ca="1">'IS(Q)'!DY74</f>
        <v>0</v>
      </c>
      <c r="DZ30" s="1273">
        <f ca="1">'IS(Q)'!DZ74</f>
        <v>0</v>
      </c>
      <c r="EA30" s="1271">
        <f ca="1">'IS(Q)'!EA74</f>
        <v>0</v>
      </c>
      <c r="EB30" s="1272">
        <f ca="1">'IS(Q)'!EB74</f>
        <v>0</v>
      </c>
      <c r="EC30" s="1272">
        <f ca="1">'IS(Q)'!EC74</f>
        <v>0</v>
      </c>
      <c r="ED30" s="1273">
        <f ca="1">'IS(Q)'!ED74</f>
        <v>0</v>
      </c>
      <c r="EE30" s="1271">
        <f ca="1">'IS(Q)'!EE74</f>
        <v>0</v>
      </c>
      <c r="EF30" s="1272">
        <f ca="1">'IS(Q)'!EF74</f>
        <v>0</v>
      </c>
      <c r="EG30" s="1272">
        <f ca="1">'IS(Q)'!EG74</f>
        <v>0</v>
      </c>
      <c r="EH30" s="1273">
        <f ca="1">'IS(Q)'!EH74</f>
        <v>0</v>
      </c>
      <c r="EI30" s="1271">
        <f ca="1">'IS(Q)'!EI74</f>
        <v>0</v>
      </c>
      <c r="EJ30" s="1272">
        <f ca="1">'IS(Q)'!EJ74</f>
        <v>0</v>
      </c>
      <c r="EK30" s="1272">
        <f ca="1">'IS(Q)'!EK74</f>
        <v>0</v>
      </c>
      <c r="EL30" s="1273">
        <f ca="1">'IS(Q)'!EL74</f>
        <v>0</v>
      </c>
      <c r="EM30" s="1271">
        <f ca="1">'IS(Q)'!EM74</f>
        <v>0</v>
      </c>
      <c r="EN30" s="1272">
        <f ca="1">'IS(Q)'!EN74</f>
        <v>0</v>
      </c>
      <c r="EO30" s="1272">
        <f ca="1">'IS(Q)'!EO74</f>
        <v>0</v>
      </c>
      <c r="EP30" s="1273">
        <f ca="1">'IS(Q)'!EP74</f>
        <v>0</v>
      </c>
      <c r="EQ30" s="1271">
        <f ca="1">'IS(Q)'!EQ74</f>
        <v>0</v>
      </c>
      <c r="ER30" s="1272">
        <f ca="1">'IS(Q)'!ER74</f>
        <v>0</v>
      </c>
      <c r="ES30" s="1272">
        <f ca="1">'IS(Q)'!ES74</f>
        <v>0</v>
      </c>
      <c r="ET30" s="1273">
        <f ca="1">'IS(Q)'!ET74</f>
        <v>0</v>
      </c>
      <c r="EU30" s="1271">
        <f ca="1">'IS(Q)'!EU74</f>
        <v>0</v>
      </c>
      <c r="EV30" s="1272">
        <f ca="1">'IS(Q)'!EV74</f>
        <v>0</v>
      </c>
      <c r="EW30" s="1272">
        <f ca="1">'IS(Q)'!EW74</f>
        <v>0</v>
      </c>
      <c r="EX30" s="1273">
        <f ca="1">'IS(Q)'!EX74</f>
        <v>0</v>
      </c>
      <c r="EY30" s="1271">
        <f ca="1">'IS(Q)'!EY74</f>
        <v>0</v>
      </c>
      <c r="EZ30" s="1272">
        <f ca="1">'IS(Q)'!EZ74</f>
        <v>0</v>
      </c>
      <c r="FA30" s="1272">
        <f ca="1">'IS(Q)'!FA74</f>
        <v>0</v>
      </c>
      <c r="FB30" s="1273">
        <f ca="1">'IS(Q)'!FB74</f>
        <v>0</v>
      </c>
      <c r="FC30" s="1271">
        <f ca="1">'IS(Q)'!FC74</f>
        <v>0</v>
      </c>
      <c r="FD30" s="1272">
        <f ca="1">'IS(Q)'!FD74</f>
        <v>0</v>
      </c>
      <c r="FE30" s="1272">
        <f ca="1">'IS(Q)'!FE74</f>
        <v>0</v>
      </c>
      <c r="FF30" s="1273">
        <f ca="1">'IS(Q)'!FF74</f>
        <v>0</v>
      </c>
      <c r="FG30" s="1271">
        <f ca="1">'IS(Q)'!FG74</f>
        <v>0</v>
      </c>
      <c r="FH30" s="1272">
        <f ca="1">'IS(Q)'!FH74</f>
        <v>0</v>
      </c>
      <c r="FI30" s="1272">
        <f ca="1">'IS(Q)'!FI74</f>
        <v>0</v>
      </c>
      <c r="FJ30" s="1273">
        <f ca="1">'IS(Q)'!FJ74</f>
        <v>0</v>
      </c>
      <c r="FK30" s="1271">
        <f ca="1">'IS(Q)'!FK74</f>
        <v>0</v>
      </c>
      <c r="FL30" s="1272">
        <f ca="1">'IS(Q)'!FL74</f>
        <v>0</v>
      </c>
      <c r="FM30" s="1272">
        <f ca="1">'IS(Q)'!FM74</f>
        <v>0</v>
      </c>
      <c r="FN30" s="1273">
        <f ca="1">'IS(Q)'!FN74</f>
        <v>0</v>
      </c>
      <c r="FO30" s="1271">
        <f ca="1">'IS(Q)'!FO74</f>
        <v>0</v>
      </c>
      <c r="FP30" s="1272">
        <f ca="1">'IS(Q)'!FP74</f>
        <v>0</v>
      </c>
      <c r="FQ30" s="1272">
        <f ca="1">'IS(Q)'!FQ74</f>
        <v>0</v>
      </c>
      <c r="FR30" s="1273">
        <f ca="1">'IS(Q)'!FR74</f>
        <v>0</v>
      </c>
      <c r="FS30" s="1271">
        <f ca="1">'IS(Q)'!FS74</f>
        <v>0</v>
      </c>
      <c r="FT30" s="1272">
        <f ca="1">'IS(Q)'!FT74</f>
        <v>0</v>
      </c>
      <c r="FU30" s="1272">
        <f ca="1">'IS(Q)'!FU74</f>
        <v>0</v>
      </c>
      <c r="FV30" s="1273">
        <f ca="1">'IS(Q)'!FV74</f>
        <v>0</v>
      </c>
      <c r="FW30" s="1271">
        <f ca="1">'IS(Q)'!FW74</f>
        <v>0</v>
      </c>
      <c r="FX30" s="1272">
        <f ca="1">'IS(Q)'!FX74</f>
        <v>0</v>
      </c>
      <c r="FY30" s="1272">
        <f ca="1">'IS(Q)'!FY74</f>
        <v>0</v>
      </c>
      <c r="FZ30" s="1273">
        <f ca="1">'IS(Q)'!FZ74</f>
        <v>0</v>
      </c>
      <c r="GA30" s="1271"/>
      <c r="GB30" s="1272"/>
      <c r="GC30" s="1272"/>
      <c r="GD30" s="1273"/>
    </row>
    <row r="31" spans="2:186" ht="17.100000000000001" customHeight="1">
      <c r="B31" s="307"/>
      <c r="D31" s="1274" t="str">
        <f>D75</f>
        <v>위탁수수료미지급금</v>
      </c>
      <c r="E31" s="742" t="str">
        <f>E32</f>
        <v>이자</v>
      </c>
      <c r="F31" s="1207">
        <f t="shared" si="12"/>
        <v>0</v>
      </c>
      <c r="G31" s="1299">
        <f>'IS(Q)'!G75</f>
        <v>0</v>
      </c>
      <c r="H31" s="1300">
        <f>'IS(Q)'!H75</f>
        <v>0</v>
      </c>
      <c r="I31" s="1300">
        <f>'IS(Q)'!I75</f>
        <v>0</v>
      </c>
      <c r="J31" s="1301">
        <f>'IS(Q)'!J75</f>
        <v>0</v>
      </c>
      <c r="K31" s="1299">
        <f>'IS(Q)'!K75</f>
        <v>0</v>
      </c>
      <c r="L31" s="1300">
        <f>'IS(Q)'!L75</f>
        <v>0</v>
      </c>
      <c r="M31" s="1300">
        <f>'IS(Q)'!M75</f>
        <v>0</v>
      </c>
      <c r="N31" s="1301">
        <f>'IS(Q)'!N75</f>
        <v>0</v>
      </c>
      <c r="O31" s="1302">
        <f>'IS(Q)'!O75</f>
        <v>0</v>
      </c>
      <c r="P31" s="1303">
        <f>'IS(Q)'!P75</f>
        <v>0</v>
      </c>
      <c r="Q31" s="1303">
        <f>'IS(Q)'!Q75</f>
        <v>0</v>
      </c>
      <c r="R31" s="1304">
        <f>'IS(Q)'!R75</f>
        <v>0</v>
      </c>
      <c r="S31" s="1302">
        <f>'IS(Q)'!S75</f>
        <v>0</v>
      </c>
      <c r="T31" s="1303">
        <f>'IS(Q)'!T75</f>
        <v>0</v>
      </c>
      <c r="U31" s="1303">
        <f>'IS(Q)'!U75</f>
        <v>0</v>
      </c>
      <c r="V31" s="1304">
        <f>'IS(Q)'!V75</f>
        <v>0</v>
      </c>
      <c r="W31" s="1302">
        <f>'IS(Q)'!W75</f>
        <v>0</v>
      </c>
      <c r="X31" s="1303">
        <f>'IS(Q)'!X75</f>
        <v>0</v>
      </c>
      <c r="Y31" s="1303">
        <f>'IS(Q)'!Y75</f>
        <v>0</v>
      </c>
      <c r="Z31" s="1304">
        <f>'IS(Q)'!Z75</f>
        <v>0</v>
      </c>
      <c r="AA31" s="1302">
        <f>'IS(Q)'!AA75</f>
        <v>0</v>
      </c>
      <c r="AB31" s="1303">
        <f>'IS(Q)'!AB75</f>
        <v>0</v>
      </c>
      <c r="AC31" s="1303">
        <f>'IS(Q)'!AC75</f>
        <v>0</v>
      </c>
      <c r="AD31" s="1304">
        <f>'IS(Q)'!AD75</f>
        <v>0</v>
      </c>
      <c r="AE31" s="1302">
        <f>'IS(Q)'!AE75</f>
        <v>0</v>
      </c>
      <c r="AF31" s="1303">
        <f>'IS(Q)'!AF75</f>
        <v>0</v>
      </c>
      <c r="AG31" s="1303">
        <f>'IS(Q)'!AG75</f>
        <v>0</v>
      </c>
      <c r="AH31" s="1304">
        <f>'IS(Q)'!AH75</f>
        <v>0</v>
      </c>
      <c r="AI31" s="1302">
        <f>'IS(Q)'!AI75</f>
        <v>0</v>
      </c>
      <c r="AJ31" s="1303">
        <f>'IS(Q)'!AJ75</f>
        <v>0</v>
      </c>
      <c r="AK31" s="1303">
        <f>'IS(Q)'!AK75</f>
        <v>0</v>
      </c>
      <c r="AL31" s="1304">
        <f>'IS(Q)'!AL75</f>
        <v>0</v>
      </c>
      <c r="AM31" s="1302">
        <f>'IS(Q)'!AM75</f>
        <v>0</v>
      </c>
      <c r="AN31" s="1303">
        <f>'IS(Q)'!AN75</f>
        <v>0</v>
      </c>
      <c r="AO31" s="1303">
        <f>'IS(Q)'!AO75</f>
        <v>0</v>
      </c>
      <c r="AP31" s="1304">
        <f>'IS(Q)'!AP75</f>
        <v>0</v>
      </c>
      <c r="AQ31" s="1302">
        <f>'IS(Q)'!AQ75</f>
        <v>0</v>
      </c>
      <c r="AR31" s="1303">
        <f>'IS(Q)'!AR75</f>
        <v>0</v>
      </c>
      <c r="AS31" s="1303">
        <f>'IS(Q)'!AS75</f>
        <v>0</v>
      </c>
      <c r="AT31" s="1304">
        <f>'IS(Q)'!AT75</f>
        <v>0</v>
      </c>
      <c r="AU31" s="1302">
        <f>'IS(Q)'!AU75</f>
        <v>0</v>
      </c>
      <c r="AV31" s="1303">
        <f>'IS(Q)'!AV75</f>
        <v>0</v>
      </c>
      <c r="AW31" s="1303">
        <f>'IS(Q)'!AW75</f>
        <v>0</v>
      </c>
      <c r="AX31" s="1304">
        <f>'IS(Q)'!AX75</f>
        <v>0</v>
      </c>
      <c r="AY31" s="1302">
        <f>'IS(Q)'!AY75</f>
        <v>0</v>
      </c>
      <c r="AZ31" s="1303">
        <f>'IS(Q)'!AZ75</f>
        <v>0</v>
      </c>
      <c r="BA31" s="1303">
        <f>'IS(Q)'!BA75</f>
        <v>0</v>
      </c>
      <c r="BB31" s="1304">
        <f>'IS(Q)'!BB75</f>
        <v>0</v>
      </c>
      <c r="BC31" s="1302">
        <f>'IS(Q)'!BC75</f>
        <v>0</v>
      </c>
      <c r="BD31" s="1303">
        <f>'IS(Q)'!BD75</f>
        <v>0</v>
      </c>
      <c r="BE31" s="1303">
        <f>'IS(Q)'!BE75</f>
        <v>0</v>
      </c>
      <c r="BF31" s="1304">
        <f>'IS(Q)'!BF75</f>
        <v>0</v>
      </c>
      <c r="BG31" s="1302">
        <f>'IS(Q)'!BG75</f>
        <v>0</v>
      </c>
      <c r="BH31" s="1303">
        <f>'IS(Q)'!BH75</f>
        <v>0</v>
      </c>
      <c r="BI31" s="1303">
        <f>'IS(Q)'!BI75</f>
        <v>0</v>
      </c>
      <c r="BJ31" s="1304">
        <f>'IS(Q)'!BJ75</f>
        <v>0</v>
      </c>
      <c r="BK31" s="1302">
        <f>'IS(Q)'!BK75</f>
        <v>0</v>
      </c>
      <c r="BL31" s="1303">
        <f>'IS(Q)'!BL75</f>
        <v>0</v>
      </c>
      <c r="BM31" s="1303">
        <f>'IS(Q)'!BM75</f>
        <v>0</v>
      </c>
      <c r="BN31" s="1304">
        <f>'IS(Q)'!BN75</f>
        <v>0</v>
      </c>
      <c r="BO31" s="1302">
        <f>'IS(Q)'!BO75</f>
        <v>0</v>
      </c>
      <c r="BP31" s="1303">
        <f>'IS(Q)'!BP75</f>
        <v>0</v>
      </c>
      <c r="BQ31" s="1303">
        <f>'IS(Q)'!BQ75</f>
        <v>0</v>
      </c>
      <c r="BR31" s="1304">
        <f>'IS(Q)'!BR75</f>
        <v>0</v>
      </c>
      <c r="BS31" s="1302">
        <f>'IS(Q)'!BS75</f>
        <v>0</v>
      </c>
      <c r="BT31" s="1303">
        <f>'IS(Q)'!BT75</f>
        <v>0</v>
      </c>
      <c r="BU31" s="1303">
        <f>'IS(Q)'!BU75</f>
        <v>0</v>
      </c>
      <c r="BV31" s="1304">
        <f>'IS(Q)'!BV75</f>
        <v>0</v>
      </c>
      <c r="BW31" s="1302">
        <f>'IS(Q)'!BW75</f>
        <v>0</v>
      </c>
      <c r="BX31" s="1303">
        <f>'IS(Q)'!BX75</f>
        <v>0</v>
      </c>
      <c r="BY31" s="1303">
        <f>'IS(Q)'!BY75</f>
        <v>0</v>
      </c>
      <c r="BZ31" s="1304">
        <f>'IS(Q)'!BZ75</f>
        <v>0</v>
      </c>
      <c r="CA31" s="1302">
        <f>'IS(Q)'!CA75</f>
        <v>0</v>
      </c>
      <c r="CB31" s="1303">
        <f>'IS(Q)'!CB75</f>
        <v>0</v>
      </c>
      <c r="CC31" s="1303">
        <f>'IS(Q)'!CC75</f>
        <v>0</v>
      </c>
      <c r="CD31" s="1304">
        <f>'IS(Q)'!CD75</f>
        <v>0</v>
      </c>
      <c r="CE31" s="1302">
        <f>'IS(Q)'!CE75</f>
        <v>0</v>
      </c>
      <c r="CF31" s="1303">
        <f>'IS(Q)'!CF75</f>
        <v>0</v>
      </c>
      <c r="CG31" s="1303">
        <f>'IS(Q)'!CG75</f>
        <v>0</v>
      </c>
      <c r="CH31" s="1304">
        <f>'IS(Q)'!CH75</f>
        <v>0</v>
      </c>
      <c r="CI31" s="1302">
        <f>'IS(Q)'!CI75</f>
        <v>0</v>
      </c>
      <c r="CJ31" s="1303">
        <f>'IS(Q)'!CJ75</f>
        <v>0</v>
      </c>
      <c r="CK31" s="1303">
        <f>'IS(Q)'!CK75</f>
        <v>0</v>
      </c>
      <c r="CL31" s="1304">
        <f>'IS(Q)'!CL75</f>
        <v>0</v>
      </c>
      <c r="CM31" s="1302">
        <f>'IS(Q)'!CM75</f>
        <v>0</v>
      </c>
      <c r="CN31" s="1303">
        <f>'IS(Q)'!CN75</f>
        <v>0</v>
      </c>
      <c r="CO31" s="1303">
        <f>'IS(Q)'!CO75</f>
        <v>0</v>
      </c>
      <c r="CP31" s="1304">
        <f>'IS(Q)'!CP75</f>
        <v>0</v>
      </c>
      <c r="CQ31" s="1302">
        <f>'IS(Q)'!CQ75</f>
        <v>0</v>
      </c>
      <c r="CR31" s="1303">
        <f>'IS(Q)'!CR75</f>
        <v>0</v>
      </c>
      <c r="CS31" s="1303">
        <f>'IS(Q)'!CS75</f>
        <v>0</v>
      </c>
      <c r="CT31" s="1304">
        <f>'IS(Q)'!CT75</f>
        <v>0</v>
      </c>
      <c r="CU31" s="1302">
        <f>'IS(Q)'!CU75</f>
        <v>0</v>
      </c>
      <c r="CV31" s="1303">
        <f>'IS(Q)'!CV75</f>
        <v>0</v>
      </c>
      <c r="CW31" s="1303">
        <f>'IS(Q)'!CW75</f>
        <v>0</v>
      </c>
      <c r="CX31" s="1304">
        <f>'IS(Q)'!CX75</f>
        <v>0</v>
      </c>
      <c r="CY31" s="1302">
        <f>'IS(Q)'!CY75</f>
        <v>0</v>
      </c>
      <c r="CZ31" s="1303">
        <f>'IS(Q)'!CZ75</f>
        <v>0</v>
      </c>
      <c r="DA31" s="1303">
        <f>'IS(Q)'!DA75</f>
        <v>0</v>
      </c>
      <c r="DB31" s="1304">
        <f>'IS(Q)'!DB75</f>
        <v>0</v>
      </c>
      <c r="DC31" s="1302">
        <f>'IS(Q)'!DC75</f>
        <v>0</v>
      </c>
      <c r="DD31" s="1303">
        <f>'IS(Q)'!DD75</f>
        <v>0</v>
      </c>
      <c r="DE31" s="1303">
        <f>'IS(Q)'!DE75</f>
        <v>0</v>
      </c>
      <c r="DF31" s="1304">
        <f>'IS(Q)'!DF75</f>
        <v>0</v>
      </c>
      <c r="DG31" s="1302">
        <f>'IS(Q)'!DG75</f>
        <v>0</v>
      </c>
      <c r="DH31" s="1303">
        <f>'IS(Q)'!DH75</f>
        <v>0</v>
      </c>
      <c r="DI31" s="1303">
        <f>'IS(Q)'!DI75</f>
        <v>0</v>
      </c>
      <c r="DJ31" s="1304">
        <f>'IS(Q)'!DJ75</f>
        <v>0</v>
      </c>
      <c r="DK31" s="1302">
        <f>'IS(Q)'!DK75</f>
        <v>0</v>
      </c>
      <c r="DL31" s="1303">
        <f>'IS(Q)'!DL75</f>
        <v>0</v>
      </c>
      <c r="DM31" s="1303">
        <f>'IS(Q)'!DM75</f>
        <v>0</v>
      </c>
      <c r="DN31" s="1304">
        <f>'IS(Q)'!DN75</f>
        <v>0</v>
      </c>
      <c r="DO31" s="1302">
        <f>'IS(Q)'!DO75</f>
        <v>0</v>
      </c>
      <c r="DP31" s="1303">
        <f>'IS(Q)'!DP75</f>
        <v>0</v>
      </c>
      <c r="DQ31" s="1303">
        <f>'IS(Q)'!DQ75</f>
        <v>0</v>
      </c>
      <c r="DR31" s="1304">
        <f>'IS(Q)'!DR75</f>
        <v>0</v>
      </c>
      <c r="DS31" s="1302">
        <f>'IS(Q)'!DS75</f>
        <v>0</v>
      </c>
      <c r="DT31" s="1303">
        <f>'IS(Q)'!DT75</f>
        <v>0</v>
      </c>
      <c r="DU31" s="1303">
        <f>'IS(Q)'!DU75</f>
        <v>0</v>
      </c>
      <c r="DV31" s="1304">
        <f>'IS(Q)'!DV75</f>
        <v>0</v>
      </c>
      <c r="DW31" s="1302">
        <f>'IS(Q)'!DW75</f>
        <v>0</v>
      </c>
      <c r="DX31" s="1303">
        <f>'IS(Q)'!DX75</f>
        <v>0</v>
      </c>
      <c r="DY31" s="1303">
        <f>'IS(Q)'!DY75</f>
        <v>0</v>
      </c>
      <c r="DZ31" s="1304">
        <f>'IS(Q)'!DZ75</f>
        <v>0</v>
      </c>
      <c r="EA31" s="1302">
        <f>'IS(Q)'!EA75</f>
        <v>0</v>
      </c>
      <c r="EB31" s="1303">
        <f>'IS(Q)'!EB75</f>
        <v>0</v>
      </c>
      <c r="EC31" s="1303">
        <f>'IS(Q)'!EC75</f>
        <v>0</v>
      </c>
      <c r="ED31" s="1304">
        <f>'IS(Q)'!ED75</f>
        <v>0</v>
      </c>
      <c r="EE31" s="1302">
        <f>'IS(Q)'!EE75</f>
        <v>0</v>
      </c>
      <c r="EF31" s="1303">
        <f>'IS(Q)'!EF75</f>
        <v>0</v>
      </c>
      <c r="EG31" s="1303">
        <f>'IS(Q)'!EG75</f>
        <v>0</v>
      </c>
      <c r="EH31" s="1304">
        <f>'IS(Q)'!EH75</f>
        <v>0</v>
      </c>
      <c r="EI31" s="1302">
        <f>'IS(Q)'!EI75</f>
        <v>0</v>
      </c>
      <c r="EJ31" s="1303">
        <f>'IS(Q)'!EJ75</f>
        <v>0</v>
      </c>
      <c r="EK31" s="1303">
        <f>'IS(Q)'!EK75</f>
        <v>0</v>
      </c>
      <c r="EL31" s="1304">
        <f>'IS(Q)'!EL75</f>
        <v>0</v>
      </c>
      <c r="EM31" s="1302">
        <f>'IS(Q)'!EM75</f>
        <v>0</v>
      </c>
      <c r="EN31" s="1303">
        <f>'IS(Q)'!EN75</f>
        <v>0</v>
      </c>
      <c r="EO31" s="1303">
        <f>'IS(Q)'!EO75</f>
        <v>0</v>
      </c>
      <c r="EP31" s="1304">
        <f>'IS(Q)'!EP75</f>
        <v>0</v>
      </c>
      <c r="EQ31" s="1302">
        <f>'IS(Q)'!EQ75</f>
        <v>0</v>
      </c>
      <c r="ER31" s="1303">
        <f>'IS(Q)'!ER75</f>
        <v>0</v>
      </c>
      <c r="ES31" s="1303">
        <f>'IS(Q)'!ES75</f>
        <v>0</v>
      </c>
      <c r="ET31" s="1304">
        <f>'IS(Q)'!ET75</f>
        <v>0</v>
      </c>
      <c r="EU31" s="1302">
        <f>'IS(Q)'!EU75</f>
        <v>0</v>
      </c>
      <c r="EV31" s="1303">
        <f>'IS(Q)'!EV75</f>
        <v>0</v>
      </c>
      <c r="EW31" s="1303">
        <f>'IS(Q)'!EW75</f>
        <v>0</v>
      </c>
      <c r="EX31" s="1304">
        <f>'IS(Q)'!EX75</f>
        <v>0</v>
      </c>
      <c r="EY31" s="1302">
        <f>'IS(Q)'!EY75</f>
        <v>0</v>
      </c>
      <c r="EZ31" s="1303">
        <f>'IS(Q)'!EZ75</f>
        <v>0</v>
      </c>
      <c r="FA31" s="1303">
        <f>'IS(Q)'!FA75</f>
        <v>0</v>
      </c>
      <c r="FB31" s="1304">
        <f>'IS(Q)'!FB75</f>
        <v>0</v>
      </c>
      <c r="FC31" s="1302">
        <f>'IS(Q)'!FC75</f>
        <v>0</v>
      </c>
      <c r="FD31" s="1303">
        <f>'IS(Q)'!FD75</f>
        <v>0</v>
      </c>
      <c r="FE31" s="1303">
        <f>'IS(Q)'!FE75</f>
        <v>0</v>
      </c>
      <c r="FF31" s="1304">
        <f>'IS(Q)'!FF75</f>
        <v>0</v>
      </c>
      <c r="FG31" s="1302">
        <f>'IS(Q)'!FG75</f>
        <v>0</v>
      </c>
      <c r="FH31" s="1303">
        <f>'IS(Q)'!FH75</f>
        <v>0</v>
      </c>
      <c r="FI31" s="1303">
        <f>'IS(Q)'!FI75</f>
        <v>0</v>
      </c>
      <c r="FJ31" s="1304">
        <f>'IS(Q)'!FJ75</f>
        <v>0</v>
      </c>
      <c r="FK31" s="1302">
        <f>'IS(Q)'!FK75</f>
        <v>0</v>
      </c>
      <c r="FL31" s="1303">
        <f>'IS(Q)'!FL75</f>
        <v>0</v>
      </c>
      <c r="FM31" s="1303">
        <f>'IS(Q)'!FM75</f>
        <v>0</v>
      </c>
      <c r="FN31" s="1304">
        <f>'IS(Q)'!FN75</f>
        <v>0</v>
      </c>
      <c r="FO31" s="1302">
        <f>'IS(Q)'!FO75</f>
        <v>0</v>
      </c>
      <c r="FP31" s="1303">
        <f>'IS(Q)'!FP75</f>
        <v>0</v>
      </c>
      <c r="FQ31" s="1303">
        <f>'IS(Q)'!FQ75</f>
        <v>0</v>
      </c>
      <c r="FR31" s="1304">
        <f>'IS(Q)'!FR75</f>
        <v>0</v>
      </c>
      <c r="FS31" s="1302">
        <f>'IS(Q)'!FS75</f>
        <v>0</v>
      </c>
      <c r="FT31" s="1303">
        <f>'IS(Q)'!FT75</f>
        <v>0</v>
      </c>
      <c r="FU31" s="1303">
        <f>'IS(Q)'!FU75</f>
        <v>0</v>
      </c>
      <c r="FV31" s="1304">
        <f>'IS(Q)'!FV75</f>
        <v>0</v>
      </c>
      <c r="FW31" s="1302">
        <f>'IS(Q)'!FW75</f>
        <v>0</v>
      </c>
      <c r="FX31" s="1303">
        <f>'IS(Q)'!FX75</f>
        <v>0</v>
      </c>
      <c r="FY31" s="1303">
        <f>'IS(Q)'!FY75</f>
        <v>0</v>
      </c>
      <c r="FZ31" s="1304">
        <f>'IS(Q)'!FZ75</f>
        <v>0</v>
      </c>
      <c r="GA31" s="1279"/>
      <c r="GB31" s="1280"/>
      <c r="GC31" s="1280"/>
      <c r="GD31" s="1281"/>
    </row>
    <row r="32" spans="2:186" ht="17.100000000000001" customHeight="1">
      <c r="B32" s="307"/>
      <c r="D32" s="1274" t="s">
        <v>1243</v>
      </c>
      <c r="E32" s="742" t="s">
        <v>1244</v>
      </c>
      <c r="F32" s="1207">
        <f t="shared" ca="1" si="12"/>
        <v>0</v>
      </c>
      <c r="G32" s="1278">
        <f>'IS(Q)'!G76</f>
        <v>0</v>
      </c>
      <c r="H32" s="1276">
        <f>'IS(Q)'!H76</f>
        <v>0</v>
      </c>
      <c r="I32" s="1276">
        <f>'IS(Q)'!I76</f>
        <v>0</v>
      </c>
      <c r="J32" s="1277">
        <f>'IS(Q)'!J76</f>
        <v>0</v>
      </c>
      <c r="K32" s="1278">
        <f>'IS(Q)'!K76</f>
        <v>0</v>
      </c>
      <c r="L32" s="1276">
        <f>'IS(Q)'!L76</f>
        <v>0</v>
      </c>
      <c r="M32" s="1276">
        <f>'IS(Q)'!M76</f>
        <v>0</v>
      </c>
      <c r="N32" s="1277">
        <f>'IS(Q)'!N76</f>
        <v>0</v>
      </c>
      <c r="O32" s="1279">
        <f>'IS(Q)'!O76</f>
        <v>0</v>
      </c>
      <c r="P32" s="1280">
        <f>'IS(Q)'!P76</f>
        <v>0</v>
      </c>
      <c r="Q32" s="1280">
        <f>'IS(Q)'!Q76</f>
        <v>0</v>
      </c>
      <c r="R32" s="1281">
        <f>'IS(Q)'!R76</f>
        <v>0</v>
      </c>
      <c r="S32" s="1279">
        <f>'IS(Q)'!S76</f>
        <v>0</v>
      </c>
      <c r="T32" s="1280">
        <f>'IS(Q)'!T76</f>
        <v>0</v>
      </c>
      <c r="U32" s="1280">
        <f>'IS(Q)'!U76</f>
        <v>0</v>
      </c>
      <c r="V32" s="1281">
        <f>'IS(Q)'!V76</f>
        <v>0</v>
      </c>
      <c r="W32" s="1279">
        <f>'IS(Q)'!W76</f>
        <v>0</v>
      </c>
      <c r="X32" s="1280">
        <f>'IS(Q)'!X76</f>
        <v>0</v>
      </c>
      <c r="Y32" s="1280">
        <f>'IS(Q)'!Y76</f>
        <v>0</v>
      </c>
      <c r="Z32" s="1281">
        <f>'IS(Q)'!Z76</f>
        <v>0</v>
      </c>
      <c r="AA32" s="1279">
        <f>'IS(Q)'!AA76</f>
        <v>0</v>
      </c>
      <c r="AB32" s="1280">
        <f>'IS(Q)'!AB76</f>
        <v>0</v>
      </c>
      <c r="AC32" s="1280">
        <f>'IS(Q)'!AC76</f>
        <v>0</v>
      </c>
      <c r="AD32" s="1281">
        <f>'IS(Q)'!AD76</f>
        <v>0</v>
      </c>
      <c r="AE32" s="1279">
        <f>'IS(Q)'!AE76</f>
        <v>0</v>
      </c>
      <c r="AF32" s="1280">
        <f>'IS(Q)'!AF76</f>
        <v>0</v>
      </c>
      <c r="AG32" s="1280">
        <f>'IS(Q)'!AG76</f>
        <v>0</v>
      </c>
      <c r="AH32" s="1281">
        <f>'IS(Q)'!AH76</f>
        <v>0</v>
      </c>
      <c r="AI32" s="1279">
        <f>'IS(Q)'!AI76</f>
        <v>0</v>
      </c>
      <c r="AJ32" s="1280">
        <f ca="1">'IS(Q)'!AJ76</f>
        <v>0</v>
      </c>
      <c r="AK32" s="1280">
        <f ca="1">'IS(Q)'!AK76</f>
        <v>0</v>
      </c>
      <c r="AL32" s="1281">
        <f ca="1">'IS(Q)'!AL76</f>
        <v>0</v>
      </c>
      <c r="AM32" s="1279">
        <f ca="1">'IS(Q)'!AM76</f>
        <v>0</v>
      </c>
      <c r="AN32" s="1280">
        <f ca="1">'IS(Q)'!AN76</f>
        <v>0</v>
      </c>
      <c r="AO32" s="1280">
        <f ca="1">'IS(Q)'!AO76</f>
        <v>0</v>
      </c>
      <c r="AP32" s="1281">
        <f ca="1">'IS(Q)'!AP76</f>
        <v>0</v>
      </c>
      <c r="AQ32" s="1279">
        <f ca="1">'IS(Q)'!AQ76</f>
        <v>0</v>
      </c>
      <c r="AR32" s="1280">
        <f ca="1">'IS(Q)'!AR76</f>
        <v>0</v>
      </c>
      <c r="AS32" s="1280">
        <f ca="1">'IS(Q)'!AS76</f>
        <v>0</v>
      </c>
      <c r="AT32" s="1281">
        <f ca="1">'IS(Q)'!AT76</f>
        <v>0</v>
      </c>
      <c r="AU32" s="1279">
        <f ca="1">'IS(Q)'!AU76</f>
        <v>0</v>
      </c>
      <c r="AV32" s="1280">
        <f ca="1">'IS(Q)'!AV76</f>
        <v>0</v>
      </c>
      <c r="AW32" s="1280">
        <f ca="1">'IS(Q)'!AW76</f>
        <v>0</v>
      </c>
      <c r="AX32" s="1281">
        <f ca="1">'IS(Q)'!AX76</f>
        <v>0</v>
      </c>
      <c r="AY32" s="1279">
        <f ca="1">'IS(Q)'!AY76</f>
        <v>0</v>
      </c>
      <c r="AZ32" s="1280">
        <f ca="1">'IS(Q)'!AZ76</f>
        <v>0</v>
      </c>
      <c r="BA32" s="1280">
        <f ca="1">'IS(Q)'!BA76</f>
        <v>0</v>
      </c>
      <c r="BB32" s="1281">
        <f ca="1">'IS(Q)'!BB76</f>
        <v>0</v>
      </c>
      <c r="BC32" s="1279">
        <f ca="1">'IS(Q)'!BC76</f>
        <v>0</v>
      </c>
      <c r="BD32" s="1280">
        <f ca="1">'IS(Q)'!BD76</f>
        <v>0</v>
      </c>
      <c r="BE32" s="1280">
        <f ca="1">'IS(Q)'!BE76</f>
        <v>0</v>
      </c>
      <c r="BF32" s="1281">
        <f ca="1">'IS(Q)'!BF76</f>
        <v>0</v>
      </c>
      <c r="BG32" s="1279">
        <f ca="1">'IS(Q)'!BG76</f>
        <v>0</v>
      </c>
      <c r="BH32" s="1280">
        <f ca="1">'IS(Q)'!BH76</f>
        <v>0</v>
      </c>
      <c r="BI32" s="1280">
        <f ca="1">'IS(Q)'!BI76</f>
        <v>0</v>
      </c>
      <c r="BJ32" s="1281">
        <f ca="1">'IS(Q)'!BJ76</f>
        <v>0</v>
      </c>
      <c r="BK32" s="1279">
        <f ca="1">'IS(Q)'!BK76</f>
        <v>0</v>
      </c>
      <c r="BL32" s="1280">
        <f ca="1">'IS(Q)'!BL76</f>
        <v>0</v>
      </c>
      <c r="BM32" s="1280">
        <f ca="1">'IS(Q)'!BM76</f>
        <v>0</v>
      </c>
      <c r="BN32" s="1281">
        <f ca="1">'IS(Q)'!BN76</f>
        <v>0</v>
      </c>
      <c r="BO32" s="1279">
        <f ca="1">'IS(Q)'!BO76</f>
        <v>0</v>
      </c>
      <c r="BP32" s="1280">
        <f ca="1">'IS(Q)'!BP76</f>
        <v>0</v>
      </c>
      <c r="BQ32" s="1280">
        <f ca="1">'IS(Q)'!BQ76</f>
        <v>0</v>
      </c>
      <c r="BR32" s="1281">
        <f ca="1">'IS(Q)'!BR76</f>
        <v>0</v>
      </c>
      <c r="BS32" s="1279">
        <f ca="1">'IS(Q)'!BS76</f>
        <v>0</v>
      </c>
      <c r="BT32" s="1280">
        <f ca="1">'IS(Q)'!BT76</f>
        <v>0</v>
      </c>
      <c r="BU32" s="1280">
        <f ca="1">'IS(Q)'!BU76</f>
        <v>0</v>
      </c>
      <c r="BV32" s="1281">
        <f ca="1">'IS(Q)'!BV76</f>
        <v>0</v>
      </c>
      <c r="BW32" s="1279">
        <f ca="1">'IS(Q)'!BW76</f>
        <v>0</v>
      </c>
      <c r="BX32" s="1280">
        <f ca="1">'IS(Q)'!BX76</f>
        <v>0</v>
      </c>
      <c r="BY32" s="1280">
        <f ca="1">'IS(Q)'!BY76</f>
        <v>0</v>
      </c>
      <c r="BZ32" s="1281">
        <f ca="1">'IS(Q)'!BZ76</f>
        <v>0</v>
      </c>
      <c r="CA32" s="1279">
        <f ca="1">'IS(Q)'!CA76</f>
        <v>0</v>
      </c>
      <c r="CB32" s="1280">
        <f ca="1">'IS(Q)'!CB76</f>
        <v>0</v>
      </c>
      <c r="CC32" s="1280">
        <f>'IS(Q)'!CC76</f>
        <v>0</v>
      </c>
      <c r="CD32" s="1281">
        <f>'IS(Q)'!CD76</f>
        <v>0</v>
      </c>
      <c r="CE32" s="1279">
        <f>'IS(Q)'!CE76</f>
        <v>0</v>
      </c>
      <c r="CF32" s="1280">
        <f>'IS(Q)'!CF76</f>
        <v>0</v>
      </c>
      <c r="CG32" s="1280">
        <f>'IS(Q)'!CG76</f>
        <v>0</v>
      </c>
      <c r="CH32" s="1281">
        <f>'IS(Q)'!CH76</f>
        <v>0</v>
      </c>
      <c r="CI32" s="1279">
        <f>'IS(Q)'!CI76</f>
        <v>0</v>
      </c>
      <c r="CJ32" s="1280">
        <f>'IS(Q)'!CJ76</f>
        <v>0</v>
      </c>
      <c r="CK32" s="1280">
        <f>'IS(Q)'!CK76</f>
        <v>0</v>
      </c>
      <c r="CL32" s="1281">
        <f>'IS(Q)'!CL76</f>
        <v>0</v>
      </c>
      <c r="CM32" s="1279">
        <f>'IS(Q)'!CM76</f>
        <v>0</v>
      </c>
      <c r="CN32" s="1280">
        <f>'IS(Q)'!CN76</f>
        <v>0</v>
      </c>
      <c r="CO32" s="1280">
        <f>'IS(Q)'!CO76</f>
        <v>0</v>
      </c>
      <c r="CP32" s="1281">
        <f>'IS(Q)'!CP76</f>
        <v>0</v>
      </c>
      <c r="CQ32" s="1279">
        <f>'IS(Q)'!CQ76</f>
        <v>0</v>
      </c>
      <c r="CR32" s="1280">
        <f>'IS(Q)'!CR76</f>
        <v>0</v>
      </c>
      <c r="CS32" s="1280">
        <f>'IS(Q)'!CS76</f>
        <v>0</v>
      </c>
      <c r="CT32" s="1281">
        <f>'IS(Q)'!CT76</f>
        <v>0</v>
      </c>
      <c r="CU32" s="1279">
        <f>'IS(Q)'!CU76</f>
        <v>0</v>
      </c>
      <c r="CV32" s="1280">
        <f>'IS(Q)'!CV76</f>
        <v>0</v>
      </c>
      <c r="CW32" s="1280">
        <f>'IS(Q)'!CW76</f>
        <v>0</v>
      </c>
      <c r="CX32" s="1281">
        <f>'IS(Q)'!CX76</f>
        <v>0</v>
      </c>
      <c r="CY32" s="1279">
        <f>'IS(Q)'!CY76</f>
        <v>0</v>
      </c>
      <c r="CZ32" s="1280">
        <f>'IS(Q)'!CZ76</f>
        <v>0</v>
      </c>
      <c r="DA32" s="1280">
        <f>'IS(Q)'!DA76</f>
        <v>0</v>
      </c>
      <c r="DB32" s="1281">
        <f>'IS(Q)'!DB76</f>
        <v>0</v>
      </c>
      <c r="DC32" s="1279">
        <f>'IS(Q)'!DC76</f>
        <v>0</v>
      </c>
      <c r="DD32" s="1280">
        <f>'IS(Q)'!DD76</f>
        <v>0</v>
      </c>
      <c r="DE32" s="1280">
        <f>'IS(Q)'!DE76</f>
        <v>0</v>
      </c>
      <c r="DF32" s="1281">
        <f>'IS(Q)'!DF76</f>
        <v>0</v>
      </c>
      <c r="DG32" s="1279">
        <f>'IS(Q)'!DG76</f>
        <v>0</v>
      </c>
      <c r="DH32" s="1280">
        <f>'IS(Q)'!DH76</f>
        <v>0</v>
      </c>
      <c r="DI32" s="1280">
        <f>'IS(Q)'!DI76</f>
        <v>0</v>
      </c>
      <c r="DJ32" s="1281">
        <f>'IS(Q)'!DJ76</f>
        <v>0</v>
      </c>
      <c r="DK32" s="1279">
        <f>'IS(Q)'!DK76</f>
        <v>0</v>
      </c>
      <c r="DL32" s="1280">
        <f>'IS(Q)'!DL76</f>
        <v>0</v>
      </c>
      <c r="DM32" s="1280">
        <f>'IS(Q)'!DM76</f>
        <v>0</v>
      </c>
      <c r="DN32" s="1281">
        <f>'IS(Q)'!DN76</f>
        <v>0</v>
      </c>
      <c r="DO32" s="1279">
        <f>'IS(Q)'!DO76</f>
        <v>0</v>
      </c>
      <c r="DP32" s="1280">
        <f>'IS(Q)'!DP76</f>
        <v>0</v>
      </c>
      <c r="DQ32" s="1280">
        <f>'IS(Q)'!DQ76</f>
        <v>0</v>
      </c>
      <c r="DR32" s="1281">
        <f>'IS(Q)'!DR76</f>
        <v>0</v>
      </c>
      <c r="DS32" s="1279">
        <f>'IS(Q)'!DS76</f>
        <v>0</v>
      </c>
      <c r="DT32" s="1280">
        <f>'IS(Q)'!DT76</f>
        <v>0</v>
      </c>
      <c r="DU32" s="1280">
        <f>'IS(Q)'!DU76</f>
        <v>0</v>
      </c>
      <c r="DV32" s="1281">
        <f>'IS(Q)'!DV76</f>
        <v>0</v>
      </c>
      <c r="DW32" s="1279">
        <f>'IS(Q)'!DW76</f>
        <v>0</v>
      </c>
      <c r="DX32" s="1280">
        <f>'IS(Q)'!DX76</f>
        <v>0</v>
      </c>
      <c r="DY32" s="1280">
        <f>'IS(Q)'!DY76</f>
        <v>0</v>
      </c>
      <c r="DZ32" s="1281">
        <f>'IS(Q)'!DZ76</f>
        <v>0</v>
      </c>
      <c r="EA32" s="1279">
        <f>'IS(Q)'!EA76</f>
        <v>0</v>
      </c>
      <c r="EB32" s="1280">
        <f>'IS(Q)'!EB76</f>
        <v>0</v>
      </c>
      <c r="EC32" s="1280">
        <f>'IS(Q)'!EC76</f>
        <v>0</v>
      </c>
      <c r="ED32" s="1281">
        <f>'IS(Q)'!ED76</f>
        <v>0</v>
      </c>
      <c r="EE32" s="1279">
        <f>'IS(Q)'!EE76</f>
        <v>0</v>
      </c>
      <c r="EF32" s="1280">
        <f>'IS(Q)'!EF76</f>
        <v>0</v>
      </c>
      <c r="EG32" s="1280">
        <f>'IS(Q)'!EG76</f>
        <v>0</v>
      </c>
      <c r="EH32" s="1281">
        <f>'IS(Q)'!EH76</f>
        <v>0</v>
      </c>
      <c r="EI32" s="1279">
        <f>'IS(Q)'!EI76</f>
        <v>0</v>
      </c>
      <c r="EJ32" s="1280">
        <f>'IS(Q)'!EJ76</f>
        <v>0</v>
      </c>
      <c r="EK32" s="1280">
        <f>'IS(Q)'!EK76</f>
        <v>0</v>
      </c>
      <c r="EL32" s="1281">
        <f>'IS(Q)'!EL76</f>
        <v>0</v>
      </c>
      <c r="EM32" s="1279">
        <f>'IS(Q)'!EM76</f>
        <v>0</v>
      </c>
      <c r="EN32" s="1280">
        <f>'IS(Q)'!EN76</f>
        <v>0</v>
      </c>
      <c r="EO32" s="1280">
        <f>'IS(Q)'!EO76</f>
        <v>0</v>
      </c>
      <c r="EP32" s="1281">
        <f>'IS(Q)'!EP76</f>
        <v>0</v>
      </c>
      <c r="EQ32" s="1279">
        <f>'IS(Q)'!EQ76</f>
        <v>0</v>
      </c>
      <c r="ER32" s="1280">
        <f>'IS(Q)'!ER76</f>
        <v>0</v>
      </c>
      <c r="ES32" s="1280">
        <f>'IS(Q)'!ES76</f>
        <v>0</v>
      </c>
      <c r="ET32" s="1281">
        <f>'IS(Q)'!ET76</f>
        <v>0</v>
      </c>
      <c r="EU32" s="1279">
        <f>'IS(Q)'!EU76</f>
        <v>0</v>
      </c>
      <c r="EV32" s="1280">
        <f>'IS(Q)'!EV76</f>
        <v>0</v>
      </c>
      <c r="EW32" s="1280">
        <f>'IS(Q)'!EW76</f>
        <v>0</v>
      </c>
      <c r="EX32" s="1281">
        <f>'IS(Q)'!EX76</f>
        <v>0</v>
      </c>
      <c r="EY32" s="1279">
        <f>'IS(Q)'!EY76</f>
        <v>0</v>
      </c>
      <c r="EZ32" s="1280">
        <f>'IS(Q)'!EZ76</f>
        <v>0</v>
      </c>
      <c r="FA32" s="1280">
        <f>'IS(Q)'!FA76</f>
        <v>0</v>
      </c>
      <c r="FB32" s="1281">
        <f>'IS(Q)'!FB76</f>
        <v>0</v>
      </c>
      <c r="FC32" s="1279">
        <f>'IS(Q)'!FC76</f>
        <v>0</v>
      </c>
      <c r="FD32" s="1280">
        <f>'IS(Q)'!FD76</f>
        <v>0</v>
      </c>
      <c r="FE32" s="1280">
        <f>'IS(Q)'!FE76</f>
        <v>0</v>
      </c>
      <c r="FF32" s="1281">
        <f>'IS(Q)'!FF76</f>
        <v>0</v>
      </c>
      <c r="FG32" s="1279">
        <f>'IS(Q)'!FG76</f>
        <v>0</v>
      </c>
      <c r="FH32" s="1280">
        <f>'IS(Q)'!FH76</f>
        <v>0</v>
      </c>
      <c r="FI32" s="1280">
        <f>'IS(Q)'!FI76</f>
        <v>0</v>
      </c>
      <c r="FJ32" s="1281">
        <f>'IS(Q)'!FJ76</f>
        <v>0</v>
      </c>
      <c r="FK32" s="1279">
        <f>'IS(Q)'!FK76</f>
        <v>0</v>
      </c>
      <c r="FL32" s="1280">
        <f>'IS(Q)'!FL76</f>
        <v>0</v>
      </c>
      <c r="FM32" s="1280">
        <f>'IS(Q)'!FM76</f>
        <v>0</v>
      </c>
      <c r="FN32" s="1281">
        <f>'IS(Q)'!FN76</f>
        <v>0</v>
      </c>
      <c r="FO32" s="1279">
        <f>'IS(Q)'!FO76</f>
        <v>0</v>
      </c>
      <c r="FP32" s="1280">
        <f>'IS(Q)'!FP76</f>
        <v>0</v>
      </c>
      <c r="FQ32" s="1280">
        <f>'IS(Q)'!FQ76</f>
        <v>0</v>
      </c>
      <c r="FR32" s="1281">
        <f>'IS(Q)'!FR76</f>
        <v>0</v>
      </c>
      <c r="FS32" s="1279">
        <f>'IS(Q)'!FS76</f>
        <v>0</v>
      </c>
      <c r="FT32" s="1280">
        <f>'IS(Q)'!FT76</f>
        <v>0</v>
      </c>
      <c r="FU32" s="1280">
        <f>'IS(Q)'!FU76</f>
        <v>0</v>
      </c>
      <c r="FV32" s="1281">
        <f>'IS(Q)'!FV76</f>
        <v>0</v>
      </c>
      <c r="FW32" s="1279">
        <f>'IS(Q)'!FW76</f>
        <v>0</v>
      </c>
      <c r="FX32" s="1280">
        <f>'IS(Q)'!FX76</f>
        <v>0</v>
      </c>
      <c r="FY32" s="1280">
        <f>'IS(Q)'!FY76</f>
        <v>0</v>
      </c>
      <c r="FZ32" s="1281">
        <f>'IS(Q)'!FZ76</f>
        <v>0</v>
      </c>
      <c r="GA32" s="1279"/>
      <c r="GB32" s="1280"/>
      <c r="GC32" s="1280"/>
      <c r="GD32" s="1281"/>
    </row>
    <row r="33" spans="2:186" ht="17.100000000000001" customHeight="1">
      <c r="B33" s="1305"/>
      <c r="C33" s="768"/>
      <c r="D33" s="1306" t="s">
        <v>1245</v>
      </c>
      <c r="E33" s="1307"/>
      <c r="F33" s="1308">
        <f>SUM(O33:GD33)</f>
        <v>10.994344244787445</v>
      </c>
      <c r="G33" s="1284"/>
      <c r="H33" s="1285"/>
      <c r="I33" s="1285"/>
      <c r="J33" s="1286"/>
      <c r="K33" s="1284"/>
      <c r="L33" s="1285"/>
      <c r="M33" s="1285"/>
      <c r="N33" s="1286"/>
      <c r="O33" s="1309">
        <f>SUMIFS(차입금상환!54:54,차입금상환!47:47,'IS(Q)'!O8)</f>
        <v>0.65830775933231656</v>
      </c>
      <c r="P33" s="1310">
        <f>SUMIFS(차입금상환!54:54,차입금상환!47:47,'IS(Q)'!P8)</f>
        <v>0.66430440158583548</v>
      </c>
      <c r="Q33" s="1310">
        <f>SUMIFS(차입금상환!54:54,차입금상환!47:47,'IS(Q)'!Q8)</f>
        <v>0.66805398025776186</v>
      </c>
      <c r="R33" s="1311">
        <f>SUMIFS(차입금상환!54:54,차입금상환!47:47,'IS(Q)'!R8)</f>
        <v>0.6484589554414486</v>
      </c>
      <c r="S33" s="1309">
        <f>SUMIFS(차입금상환!54:54,차입금상환!47:47,'IS(Q)'!S8)</f>
        <v>0.58573940602674868</v>
      </c>
      <c r="T33" s="1310">
        <f>SUMIFS(차입금상환!54:54,차입금상환!47:47,'IS(Q)'!T8)</f>
        <v>0.58913809922135596</v>
      </c>
      <c r="U33" s="1310">
        <f>SUMIFS(차입금상환!54:54,차입금상환!47:47,'IS(Q)'!U8)</f>
        <v>0.59109322811545617</v>
      </c>
      <c r="V33" s="1311">
        <f>SUMIFS(차입금상환!54:54,차입금상환!47:47,'IS(Q)'!V8)</f>
        <v>0.57223204794667426</v>
      </c>
      <c r="W33" s="1309">
        <f>SUMIFS(차입금상환!54:54,차입금상환!47:47,'IS(Q)'!W8)</f>
        <v>0.51658040613127043</v>
      </c>
      <c r="X33" s="1310">
        <f>SUMIFS(차입금상환!54:54,차입금상환!47:47,'IS(Q)'!X8)</f>
        <v>0.51326435427080552</v>
      </c>
      <c r="Y33" s="1310">
        <f>SUMIFS(차입금상환!54:54,차입금상환!47:47,'IS(Q)'!Y8)</f>
        <v>0.50817397387590757</v>
      </c>
      <c r="Z33" s="1311">
        <f>SUMIFS(차입금상환!54:54,차입금상환!47:47,'IS(Q)'!Z8)</f>
        <v>0.48527394831861992</v>
      </c>
      <c r="AA33" s="1309">
        <f>SUMIFS(차입금상환!54:54,차입금상환!47:47,'IS(Q)'!AA8)</f>
        <v>0.44661243114478189</v>
      </c>
      <c r="AB33" s="1310">
        <f>SUMIFS(차입금상환!54:54,차입금상환!47:47,'IS(Q)'!AB8)</f>
        <v>0.42571039757793538</v>
      </c>
      <c r="AC33" s="1310">
        <f>SUMIFS(차입금상환!54:54,차입금상환!47:47,'IS(Q)'!AC8)</f>
        <v>0.41611742343789759</v>
      </c>
      <c r="AD33" s="1311">
        <f>SUMIFS(차입금상환!54:54,차입금상환!47:47,'IS(Q)'!AD8)</f>
        <v>0.38813676961530708</v>
      </c>
      <c r="AE33" s="1309">
        <f>SUMIFS(차입금상환!54:54,차입금상환!47:47,'IS(Q)'!AE8)</f>
        <v>0.33705429053462177</v>
      </c>
      <c r="AF33" s="1310">
        <f>SUMIFS(차입금상환!54:54,차입금상환!47:47,'IS(Q)'!AF8)</f>
        <v>0.31095689396788095</v>
      </c>
      <c r="AG33" s="1310">
        <f>SUMIFS(차입금상환!54:54,차입금상환!47:47,'IS(Q)'!AG8)</f>
        <v>0.28170272417273318</v>
      </c>
      <c r="AH33" s="1311">
        <f>SUMIFS(차입금상환!54:54,차입금상환!47:47,'IS(Q)'!AH8)</f>
        <v>0.24123696547373857</v>
      </c>
      <c r="AI33" s="1309">
        <f>SUMIFS(차입금상환!54:54,차입금상환!47:47,'IS(Q)'!AI8)</f>
        <v>0.1870012616053312</v>
      </c>
      <c r="AJ33" s="1310">
        <f>SUMIFS(차입금상환!54:54,차입금상환!47:47,'IS(Q)'!AJ8)</f>
        <v>0.16869170073445344</v>
      </c>
      <c r="AK33" s="1310">
        <f>SUMIFS(차입금상환!54:54,차입금상환!47:47,'IS(Q)'!AK8)</f>
        <v>0.1437149967150024</v>
      </c>
      <c r="AL33" s="1311">
        <f>SUMIFS(차입금상환!54:54,차입금상환!47:47,'IS(Q)'!AL8)</f>
        <v>0.11208756812249185</v>
      </c>
      <c r="AM33" s="1309">
        <f>SUMIFS(차입금상환!54:54,차입금상환!47:47,'IS(Q)'!AM8)</f>
        <v>7.9788321039617749E-2</v>
      </c>
      <c r="AN33" s="1310">
        <f>SUMIFS(차입금상환!54:54,차입금상환!47:47,'IS(Q)'!AN8)</f>
        <v>7.5773593462667876E-2</v>
      </c>
      <c r="AO33" s="1310">
        <f>SUMIFS(차입금상환!54:54,차입금상환!47:47,'IS(Q)'!AO8)</f>
        <v>7.1196746994211135E-2</v>
      </c>
      <c r="AP33" s="1311">
        <f>SUMIFS(차입금상환!54:54,차입금상환!47:47,'IS(Q)'!AP8)</f>
        <v>6.416527325946067E-2</v>
      </c>
      <c r="AQ33" s="1309">
        <f>SUMIFS(차입금상환!54:54,차입금상환!47:47,'IS(Q)'!AQ8)</f>
        <v>5.5275239768921139E-2</v>
      </c>
      <c r="AR33" s="1310">
        <f>SUMIFS(차입금상환!54:54,차입금상환!47:47,'IS(Q)'!AR8)</f>
        <v>4.7990597627213222E-2</v>
      </c>
      <c r="AS33" s="1310">
        <f>SUMIFS(차입금상환!54:54,차입금상환!47:47,'IS(Q)'!AS8)</f>
        <v>4.167469644202991E-2</v>
      </c>
      <c r="AT33" s="1311">
        <f>SUMIFS(차입금상환!54:54,차입금상환!47:47,'IS(Q)'!AT8)</f>
        <v>3.3750281780988808E-2</v>
      </c>
      <c r="AU33" s="1309">
        <f>SUMIFS(차입금상환!54:54,차입금상환!47:47,'IS(Q)'!AU8)</f>
        <v>2.4149524612360737E-2</v>
      </c>
      <c r="AV33" s="1310">
        <f>SUMIFS(차입금상환!54:54,차입금상환!47:47,'IS(Q)'!AV8)</f>
        <v>1.6651997345162546E-2</v>
      </c>
      <c r="AW33" s="1310">
        <f>SUMIFS(차입금상환!54:54,차입금상환!47:47,'IS(Q)'!AW8)</f>
        <v>2.4283988828433745E-2</v>
      </c>
      <c r="AX33" s="1311">
        <f>SUMIFS(차입금상환!54:54,차입금상환!47:47,'IS(Q)'!AX8)</f>
        <v>0</v>
      </c>
      <c r="AY33" s="1309">
        <f>SUMIFS(차입금상환!54:54,차입금상환!47:47,'IS(Q)'!AY8)</f>
        <v>0</v>
      </c>
      <c r="AZ33" s="1310">
        <f>SUMIFS(차입금상환!54:54,차입금상환!47:47,'IS(Q)'!AZ8)</f>
        <v>0</v>
      </c>
      <c r="BA33" s="1310">
        <f>SUMIFS(차입금상환!54:54,차입금상환!47:47,'IS(Q)'!BA8)</f>
        <v>0</v>
      </c>
      <c r="BB33" s="1311">
        <f>SUMIFS(차입금상환!54:54,차입금상환!47:47,'IS(Q)'!BB8)</f>
        <v>0</v>
      </c>
      <c r="BC33" s="1309">
        <f>SUMIFS(차입금상환!54:54,차입금상환!47:47,'IS(Q)'!BC8)</f>
        <v>0</v>
      </c>
      <c r="BD33" s="1310">
        <f>SUMIFS(차입금상환!54:54,차입금상환!47:47,'IS(Q)'!BD8)</f>
        <v>0</v>
      </c>
      <c r="BE33" s="1310">
        <f>SUMIFS(차입금상환!54:54,차입금상환!47:47,'IS(Q)'!BE8)</f>
        <v>0</v>
      </c>
      <c r="BF33" s="1311">
        <f>SUMIFS(차입금상환!54:54,차입금상환!47:47,'IS(Q)'!BF8)</f>
        <v>0</v>
      </c>
      <c r="BG33" s="1309">
        <f>SUMIFS(차입금상환!54:54,차입금상환!47:47,'IS(Q)'!BG8)</f>
        <v>0</v>
      </c>
      <c r="BH33" s="1310">
        <f>SUMIFS(차입금상환!54:54,차입금상환!47:47,'IS(Q)'!BH8)</f>
        <v>0</v>
      </c>
      <c r="BI33" s="1310">
        <f>SUMIFS(차입금상환!54:54,차입금상환!47:47,'IS(Q)'!BI8)</f>
        <v>0</v>
      </c>
      <c r="BJ33" s="1311">
        <f>SUMIFS(차입금상환!54:54,차입금상환!47:47,'IS(Q)'!BJ8)</f>
        <v>0</v>
      </c>
      <c r="BK33" s="1309">
        <f>SUMIFS(차입금상환!54:54,차입금상환!47:47,'IS(Q)'!BK8)</f>
        <v>0</v>
      </c>
      <c r="BL33" s="1310">
        <f>SUMIFS(차입금상환!54:54,차입금상환!47:47,'IS(Q)'!BL8)</f>
        <v>0</v>
      </c>
      <c r="BM33" s="1310">
        <f>SUMIFS(차입금상환!54:54,차입금상환!47:47,'IS(Q)'!BM8)</f>
        <v>0</v>
      </c>
      <c r="BN33" s="1311">
        <f>SUMIFS(차입금상환!54:54,차입금상환!47:47,'IS(Q)'!BN8)</f>
        <v>0</v>
      </c>
      <c r="BO33" s="1309">
        <f>SUMIFS(차입금상환!54:54,차입금상환!47:47,'IS(Q)'!BO8)</f>
        <v>0</v>
      </c>
      <c r="BP33" s="1310">
        <f>SUMIFS(차입금상환!54:54,차입금상환!47:47,'IS(Q)'!BP8)</f>
        <v>0</v>
      </c>
      <c r="BQ33" s="1310">
        <f>SUMIFS(차입금상환!54:54,차입금상환!47:47,'IS(Q)'!BQ8)</f>
        <v>0</v>
      </c>
      <c r="BR33" s="1311">
        <f>SUMIFS(차입금상환!54:54,차입금상환!47:47,'IS(Q)'!BR8)</f>
        <v>0</v>
      </c>
      <c r="BS33" s="1309">
        <f>SUMIFS(차입금상환!54:54,차입금상환!47:47,'IS(Q)'!BS8)</f>
        <v>0</v>
      </c>
      <c r="BT33" s="1310">
        <f>SUMIFS(차입금상환!54:54,차입금상환!47:47,'IS(Q)'!BT8)</f>
        <v>0</v>
      </c>
      <c r="BU33" s="1310">
        <f>SUMIFS(차입금상환!54:54,차입금상환!47:47,'IS(Q)'!BU8)</f>
        <v>0</v>
      </c>
      <c r="BV33" s="1311">
        <f>SUMIFS(차입금상환!54:54,차입금상환!47:47,'IS(Q)'!BV8)</f>
        <v>0</v>
      </c>
      <c r="BW33" s="1309">
        <f>SUMIFS(차입금상환!54:54,차입금상환!47:47,'IS(Q)'!BW8)</f>
        <v>0</v>
      </c>
      <c r="BX33" s="1310">
        <f>SUMIFS(차입금상환!54:54,차입금상환!47:47,'IS(Q)'!BX8)</f>
        <v>0</v>
      </c>
      <c r="BY33" s="1310">
        <f>SUMIFS(차입금상환!54:54,차입금상환!47:47,'IS(Q)'!BY8)</f>
        <v>0</v>
      </c>
      <c r="BZ33" s="1311">
        <f>SUMIFS(차입금상환!54:54,차입금상환!47:47,'IS(Q)'!BZ8)</f>
        <v>0</v>
      </c>
      <c r="CA33" s="1309">
        <f>SUMIFS(차입금상환!54:54,차입금상환!47:47,'IS(Q)'!CA8)</f>
        <v>0</v>
      </c>
      <c r="CB33" s="1310">
        <f>SUMIFS(차입금상환!54:54,차입금상환!47:47,'IS(Q)'!CB8)</f>
        <v>0</v>
      </c>
      <c r="CC33" s="1310">
        <f>SUMIFS(차입금상환!54:54,차입금상환!47:47,'IS(Q)'!CC8)</f>
        <v>0</v>
      </c>
      <c r="CD33" s="1311">
        <f>SUMIFS(차입금상환!54:54,차입금상환!47:47,'IS(Q)'!CD8)</f>
        <v>0</v>
      </c>
      <c r="CE33" s="1309">
        <f>SUMIFS(차입금상환!54:54,차입금상환!47:47,'IS(Q)'!CE8)</f>
        <v>0</v>
      </c>
      <c r="CF33" s="1310">
        <f>SUMIFS(차입금상환!54:54,차입금상환!47:47,'IS(Q)'!CF8)</f>
        <v>0</v>
      </c>
      <c r="CG33" s="1310">
        <f>SUMIFS(차입금상환!54:54,차입금상환!47:47,'IS(Q)'!CG8)</f>
        <v>0</v>
      </c>
      <c r="CH33" s="1311">
        <f>SUMIFS(차입금상환!54:54,차입금상환!47:47,'IS(Q)'!CH8)</f>
        <v>0</v>
      </c>
      <c r="CI33" s="1309">
        <f>SUMIFS(차입금상환!54:54,차입금상환!47:47,'IS(Q)'!CI8)</f>
        <v>0</v>
      </c>
      <c r="CJ33" s="1310">
        <f>SUMIFS(차입금상환!54:54,차입금상환!47:47,'IS(Q)'!CJ8)</f>
        <v>0</v>
      </c>
      <c r="CK33" s="1310">
        <f>SUMIFS(차입금상환!54:54,차입금상환!47:47,'IS(Q)'!CK8)</f>
        <v>0</v>
      </c>
      <c r="CL33" s="1311">
        <f>SUMIFS(차입금상환!54:54,차입금상환!47:47,'IS(Q)'!CL8)</f>
        <v>0</v>
      </c>
      <c r="CM33" s="1309">
        <f>SUMIFS(차입금상환!54:54,차입금상환!47:47,'IS(Q)'!CM8)</f>
        <v>0</v>
      </c>
      <c r="CN33" s="1310">
        <f>SUMIFS(차입금상환!54:54,차입금상환!47:47,'IS(Q)'!CN8)</f>
        <v>0</v>
      </c>
      <c r="CO33" s="1310">
        <f>SUMIFS(차입금상환!54:54,차입금상환!47:47,'IS(Q)'!CO8)</f>
        <v>0</v>
      </c>
      <c r="CP33" s="1311">
        <f>SUMIFS(차입금상환!54:54,차입금상환!47:47,'IS(Q)'!CP8)</f>
        <v>0</v>
      </c>
      <c r="CQ33" s="1309">
        <f>SUMIFS(차입금상환!54:54,차입금상환!47:47,'IS(Q)'!CQ8)</f>
        <v>0</v>
      </c>
      <c r="CR33" s="1310">
        <f>SUMIFS(차입금상환!54:54,차입금상환!47:47,'IS(Q)'!CR8)</f>
        <v>0</v>
      </c>
      <c r="CS33" s="1310">
        <f>SUMIFS(차입금상환!54:54,차입금상환!47:47,'IS(Q)'!CS8)</f>
        <v>0</v>
      </c>
      <c r="CT33" s="1311">
        <f>SUMIFS(차입금상환!54:54,차입금상환!47:47,'IS(Q)'!CT8)</f>
        <v>0</v>
      </c>
      <c r="CU33" s="1309">
        <f>SUMIFS(차입금상환!54:54,차입금상환!47:47,'IS(Q)'!CU8)</f>
        <v>0</v>
      </c>
      <c r="CV33" s="1310">
        <f>SUMIFS(차입금상환!54:54,차입금상환!47:47,'IS(Q)'!CV8)</f>
        <v>0</v>
      </c>
      <c r="CW33" s="1310">
        <f>SUMIFS(차입금상환!54:54,차입금상환!47:47,'IS(Q)'!CW8)</f>
        <v>0</v>
      </c>
      <c r="CX33" s="1311">
        <f>SUMIFS(차입금상환!54:54,차입금상환!47:47,'IS(Q)'!CX8)</f>
        <v>0</v>
      </c>
      <c r="CY33" s="1309">
        <f>SUMIFS(차입금상환!54:54,차입금상환!47:47,'IS(Q)'!CY8)</f>
        <v>0</v>
      </c>
      <c r="CZ33" s="1310">
        <f>SUMIFS(차입금상환!54:54,차입금상환!47:47,'IS(Q)'!CZ8)</f>
        <v>0</v>
      </c>
      <c r="DA33" s="1310">
        <f>SUMIFS(차입금상환!54:54,차입금상환!47:47,'IS(Q)'!DA8)</f>
        <v>0</v>
      </c>
      <c r="DB33" s="1311">
        <f>SUMIFS(차입금상환!54:54,차입금상환!47:47,'IS(Q)'!DB8)</f>
        <v>0</v>
      </c>
      <c r="DC33" s="1309">
        <f>SUMIFS(차입금상환!54:54,차입금상환!47:47,'IS(Q)'!DC8)</f>
        <v>0</v>
      </c>
      <c r="DD33" s="1310">
        <f>SUMIFS(차입금상환!54:54,차입금상환!47:47,'IS(Q)'!DD8)</f>
        <v>0</v>
      </c>
      <c r="DE33" s="1310">
        <f>SUMIFS(차입금상환!54:54,차입금상환!47:47,'IS(Q)'!DE8)</f>
        <v>0</v>
      </c>
      <c r="DF33" s="1311">
        <f>SUMIFS(차입금상환!54:54,차입금상환!47:47,'IS(Q)'!DF8)</f>
        <v>0</v>
      </c>
      <c r="DG33" s="1309">
        <f>SUMIFS(차입금상환!54:54,차입금상환!47:47,'IS(Q)'!DG8)</f>
        <v>0</v>
      </c>
      <c r="DH33" s="1310">
        <f>SUMIFS(차입금상환!54:54,차입금상환!47:47,'IS(Q)'!DH8)</f>
        <v>0</v>
      </c>
      <c r="DI33" s="1310">
        <f>SUMIFS(차입금상환!54:54,차입금상환!47:47,'IS(Q)'!DI8)</f>
        <v>0</v>
      </c>
      <c r="DJ33" s="1311">
        <f>SUMIFS(차입금상환!54:54,차입금상환!47:47,'IS(Q)'!DJ8)</f>
        <v>0</v>
      </c>
      <c r="DK33" s="1309">
        <f>SUMIFS(차입금상환!54:54,차입금상환!47:47,'IS(Q)'!DK8)</f>
        <v>0</v>
      </c>
      <c r="DL33" s="1310">
        <f>SUMIFS(차입금상환!54:54,차입금상환!47:47,'IS(Q)'!DL8)</f>
        <v>0</v>
      </c>
      <c r="DM33" s="1310">
        <f>SUMIFS(차입금상환!54:54,차입금상환!47:47,'IS(Q)'!DM8)</f>
        <v>0</v>
      </c>
      <c r="DN33" s="1311">
        <f>SUMIFS(차입금상환!54:54,차입금상환!47:47,'IS(Q)'!DN8)</f>
        <v>0</v>
      </c>
      <c r="DO33" s="1309">
        <f>SUMIFS(차입금상환!54:54,차입금상환!47:47,'IS(Q)'!DO8)</f>
        <v>0</v>
      </c>
      <c r="DP33" s="1310">
        <f>SUMIFS(차입금상환!54:54,차입금상환!47:47,'IS(Q)'!DP8)</f>
        <v>0</v>
      </c>
      <c r="DQ33" s="1310">
        <f>SUMIFS(차입금상환!54:54,차입금상환!47:47,'IS(Q)'!DQ8)</f>
        <v>0</v>
      </c>
      <c r="DR33" s="1311">
        <f>SUMIFS(차입금상환!54:54,차입금상환!47:47,'IS(Q)'!DR8)</f>
        <v>0</v>
      </c>
      <c r="DS33" s="1309">
        <f>SUMIFS(차입금상환!54:54,차입금상환!47:47,'IS(Q)'!DS8)</f>
        <v>0</v>
      </c>
      <c r="DT33" s="1310">
        <f>SUMIFS(차입금상환!54:54,차입금상환!47:47,'IS(Q)'!DT8)</f>
        <v>0</v>
      </c>
      <c r="DU33" s="1310">
        <f>SUMIFS(차입금상환!54:54,차입금상환!47:47,'IS(Q)'!DU8)</f>
        <v>0</v>
      </c>
      <c r="DV33" s="1311">
        <f>SUMIFS(차입금상환!54:54,차입금상환!47:47,'IS(Q)'!DV8)</f>
        <v>0</v>
      </c>
      <c r="DW33" s="1309">
        <f>SUMIFS(차입금상환!54:54,차입금상환!47:47,'IS(Q)'!DW8)</f>
        <v>0</v>
      </c>
      <c r="DX33" s="1310">
        <f>SUMIFS(차입금상환!54:54,차입금상환!47:47,'IS(Q)'!DX8)</f>
        <v>0</v>
      </c>
      <c r="DY33" s="1310">
        <f>SUMIFS(차입금상환!54:54,차입금상환!47:47,'IS(Q)'!DY8)</f>
        <v>0</v>
      </c>
      <c r="DZ33" s="1311">
        <f>SUMIFS(차입금상환!54:54,차입금상환!47:47,'IS(Q)'!DZ8)</f>
        <v>0</v>
      </c>
      <c r="EA33" s="1309">
        <f>SUMIFS(차입금상환!54:54,차입금상환!47:47,'IS(Q)'!EA8)</f>
        <v>0</v>
      </c>
      <c r="EB33" s="1310">
        <f>SUMIFS(차입금상환!54:54,차입금상환!47:47,'IS(Q)'!EB8)</f>
        <v>0</v>
      </c>
      <c r="EC33" s="1310">
        <f>SUMIFS(차입금상환!54:54,차입금상환!47:47,'IS(Q)'!EC8)</f>
        <v>0</v>
      </c>
      <c r="ED33" s="1311">
        <f>SUMIFS(차입금상환!54:54,차입금상환!47:47,'IS(Q)'!ED8)</f>
        <v>0</v>
      </c>
      <c r="EE33" s="1309">
        <f>SUMIFS(차입금상환!54:54,차입금상환!47:47,'IS(Q)'!EE8)</f>
        <v>0</v>
      </c>
      <c r="EF33" s="1310">
        <f>SUMIFS(차입금상환!54:54,차입금상환!47:47,'IS(Q)'!EF8)</f>
        <v>0</v>
      </c>
      <c r="EG33" s="1310">
        <f>SUMIFS(차입금상환!54:54,차입금상환!47:47,'IS(Q)'!EG8)</f>
        <v>0</v>
      </c>
      <c r="EH33" s="1311">
        <f>SUMIFS(차입금상환!54:54,차입금상환!47:47,'IS(Q)'!EH8)</f>
        <v>0</v>
      </c>
      <c r="EI33" s="1309">
        <f>SUMIFS(차입금상환!54:54,차입금상환!47:47,'IS(Q)'!EI8)</f>
        <v>0</v>
      </c>
      <c r="EJ33" s="1310">
        <f>SUMIFS(차입금상환!54:54,차입금상환!47:47,'IS(Q)'!EJ8)</f>
        <v>0</v>
      </c>
      <c r="EK33" s="1310">
        <f>SUMIFS(차입금상환!54:54,차입금상환!47:47,'IS(Q)'!EK8)</f>
        <v>0</v>
      </c>
      <c r="EL33" s="1311">
        <f>SUMIFS(차입금상환!54:54,차입금상환!47:47,'IS(Q)'!EL8)</f>
        <v>0</v>
      </c>
      <c r="EM33" s="1309">
        <f>SUMIFS(차입금상환!54:54,차입금상환!47:47,'IS(Q)'!EM8)</f>
        <v>0</v>
      </c>
      <c r="EN33" s="1310">
        <f>SUMIFS(차입금상환!54:54,차입금상환!47:47,'IS(Q)'!EN8)</f>
        <v>0</v>
      </c>
      <c r="EO33" s="1310">
        <f>SUMIFS(차입금상환!54:54,차입금상환!47:47,'IS(Q)'!EO8)</f>
        <v>0</v>
      </c>
      <c r="EP33" s="1311">
        <f>SUMIFS(차입금상환!54:54,차입금상환!47:47,'IS(Q)'!EP8)</f>
        <v>0</v>
      </c>
      <c r="EQ33" s="1309">
        <f>SUMIFS(차입금상환!54:54,차입금상환!47:47,'IS(Q)'!EQ8)</f>
        <v>0</v>
      </c>
      <c r="ER33" s="1310">
        <f>SUMIFS(차입금상환!54:54,차입금상환!47:47,'IS(Q)'!ER8)</f>
        <v>0</v>
      </c>
      <c r="ES33" s="1310">
        <f>SUMIFS(차입금상환!54:54,차입금상환!47:47,'IS(Q)'!ES8)</f>
        <v>0</v>
      </c>
      <c r="ET33" s="1311">
        <f>SUMIFS(차입금상환!54:54,차입금상환!47:47,'IS(Q)'!ET8)</f>
        <v>0</v>
      </c>
      <c r="EU33" s="1309">
        <f>SUMIFS(차입금상환!54:54,차입금상환!47:47,'IS(Q)'!EU8)</f>
        <v>0</v>
      </c>
      <c r="EV33" s="1310">
        <f>SUMIFS(차입금상환!54:54,차입금상환!47:47,'IS(Q)'!EV8)</f>
        <v>0</v>
      </c>
      <c r="EW33" s="1310">
        <f>SUMIFS(차입금상환!54:54,차입금상환!47:47,'IS(Q)'!EW8)</f>
        <v>0</v>
      </c>
      <c r="EX33" s="1311">
        <f>SUMIFS(차입금상환!54:54,차입금상환!47:47,'IS(Q)'!EX8)</f>
        <v>0</v>
      </c>
      <c r="EY33" s="1309">
        <f>SUMIFS(차입금상환!54:54,차입금상환!47:47,'IS(Q)'!EY8)</f>
        <v>0</v>
      </c>
      <c r="EZ33" s="1310">
        <f>SUMIFS(차입금상환!54:54,차입금상환!47:47,'IS(Q)'!EZ8)</f>
        <v>0</v>
      </c>
      <c r="FA33" s="1310">
        <f>SUMIFS(차입금상환!54:54,차입금상환!47:47,'IS(Q)'!FA8)</f>
        <v>0</v>
      </c>
      <c r="FB33" s="1311">
        <f>SUMIFS(차입금상환!54:54,차입금상환!47:47,'IS(Q)'!FB8)</f>
        <v>0</v>
      </c>
      <c r="FC33" s="1309">
        <f>SUMIFS(차입금상환!54:54,차입금상환!47:47,'IS(Q)'!FC8)</f>
        <v>0</v>
      </c>
      <c r="FD33" s="1310">
        <f>SUMIFS(차입금상환!54:54,차입금상환!47:47,'IS(Q)'!FD8)</f>
        <v>0</v>
      </c>
      <c r="FE33" s="1310">
        <f>SUMIFS(차입금상환!54:54,차입금상환!47:47,'IS(Q)'!FE8)</f>
        <v>0</v>
      </c>
      <c r="FF33" s="1311">
        <f>SUMIFS(차입금상환!54:54,차입금상환!47:47,'IS(Q)'!FF8)</f>
        <v>0</v>
      </c>
      <c r="FG33" s="1309">
        <f>SUMIFS(차입금상환!54:54,차입금상환!47:47,'IS(Q)'!FG8)</f>
        <v>0</v>
      </c>
      <c r="FH33" s="1310">
        <f>SUMIFS(차입금상환!54:54,차입금상환!47:47,'IS(Q)'!FH8)</f>
        <v>0</v>
      </c>
      <c r="FI33" s="1310">
        <f>SUMIFS(차입금상환!54:54,차입금상환!47:47,'IS(Q)'!FI8)</f>
        <v>0</v>
      </c>
      <c r="FJ33" s="1311">
        <f>SUMIFS(차입금상환!54:54,차입금상환!47:47,'IS(Q)'!FJ8)</f>
        <v>0</v>
      </c>
      <c r="FK33" s="1309">
        <f>SUMIFS(차입금상환!54:54,차입금상환!47:47,'IS(Q)'!FK8)</f>
        <v>0</v>
      </c>
      <c r="FL33" s="1310">
        <f>SUMIFS(차입금상환!54:54,차입금상환!47:47,'IS(Q)'!FL8)</f>
        <v>0</v>
      </c>
      <c r="FM33" s="1310">
        <f>SUMIFS(차입금상환!54:54,차입금상환!47:47,'IS(Q)'!FM8)</f>
        <v>0</v>
      </c>
      <c r="FN33" s="1311">
        <f>SUMIFS(차입금상환!54:54,차입금상환!47:47,'IS(Q)'!FN8)</f>
        <v>0</v>
      </c>
      <c r="FO33" s="1309">
        <f>SUMIFS(차입금상환!54:54,차입금상환!47:47,'IS(Q)'!FO8)</f>
        <v>0</v>
      </c>
      <c r="FP33" s="1310">
        <f>SUMIFS(차입금상환!54:54,차입금상환!47:47,'IS(Q)'!FP8)</f>
        <v>0</v>
      </c>
      <c r="FQ33" s="1310">
        <f>SUMIFS(차입금상환!54:54,차입금상환!47:47,'IS(Q)'!FQ8)</f>
        <v>0</v>
      </c>
      <c r="FR33" s="1311">
        <f>SUMIFS(차입금상환!54:54,차입금상환!47:47,'IS(Q)'!FR8)</f>
        <v>0</v>
      </c>
      <c r="FS33" s="1309">
        <f>SUMIFS(차입금상환!54:54,차입금상환!47:47,'IS(Q)'!FS8)</f>
        <v>0</v>
      </c>
      <c r="FT33" s="1310">
        <f>SUMIFS(차입금상환!54:54,차입금상환!47:47,'IS(Q)'!FT8)</f>
        <v>0</v>
      </c>
      <c r="FU33" s="1310">
        <f>SUMIFS(차입금상환!54:54,차입금상환!47:47,'IS(Q)'!FU8)</f>
        <v>0</v>
      </c>
      <c r="FV33" s="1311">
        <f>SUMIFS(차입금상환!54:54,차입금상환!47:47,'IS(Q)'!FV8)</f>
        <v>0</v>
      </c>
      <c r="FW33" s="1309">
        <f>SUMIFS(차입금상환!54:54,차입금상환!47:47,'IS(Q)'!FW8)</f>
        <v>0</v>
      </c>
      <c r="FX33" s="1310">
        <f>SUMIFS(차입금상환!54:54,차입금상환!47:47,'IS(Q)'!FX8)</f>
        <v>0</v>
      </c>
      <c r="FY33" s="1310">
        <f>SUMIFS(차입금상환!54:54,차입금상환!47:47,'IS(Q)'!FY8)</f>
        <v>0</v>
      </c>
      <c r="FZ33" s="1311">
        <f>SUMIFS(차입금상환!54:54,차입금상환!47:47,'IS(Q)'!FZ8)</f>
        <v>0</v>
      </c>
      <c r="GA33" s="1287"/>
      <c r="GB33" s="1288"/>
      <c r="GC33" s="1288"/>
      <c r="GD33" s="1289"/>
    </row>
    <row r="34" spans="2:186" ht="17.100000000000001" customHeight="1">
      <c r="B34" s="930"/>
      <c r="C34" s="758" t="s">
        <v>1246</v>
      </c>
      <c r="D34" s="931"/>
      <c r="E34" s="771"/>
      <c r="F34" s="1223">
        <f t="shared" ca="1" si="12"/>
        <v>2653.5655592977096</v>
      </c>
      <c r="G34" s="1312">
        <f t="shared" ref="G34:BR34" ca="1" si="28">G26+G27-G29</f>
        <v>4.9675393705145261</v>
      </c>
      <c r="H34" s="1313">
        <f t="shared" ca="1" si="28"/>
        <v>133.99221686282431</v>
      </c>
      <c r="I34" s="1313">
        <f t="shared" ca="1" si="28"/>
        <v>-25.679368049575604</v>
      </c>
      <c r="J34" s="1314">
        <f t="shared" ca="1" si="28"/>
        <v>-39.017664889575627</v>
      </c>
      <c r="K34" s="1312">
        <f t="shared" ca="1" si="28"/>
        <v>-1.0363062576461672</v>
      </c>
      <c r="L34" s="1313">
        <f t="shared" ca="1" si="28"/>
        <v>-87.556381353983056</v>
      </c>
      <c r="M34" s="1313">
        <f t="shared" ca="1" si="28"/>
        <v>124.38029040830351</v>
      </c>
      <c r="N34" s="1314">
        <f t="shared" ca="1" si="28"/>
        <v>-10.093333568425324</v>
      </c>
      <c r="O34" s="1315">
        <f t="shared" ca="1" si="28"/>
        <v>-10.533115227757653</v>
      </c>
      <c r="P34" s="1316">
        <f t="shared" ca="1" si="28"/>
        <v>83.338226088194901</v>
      </c>
      <c r="Q34" s="1316">
        <f t="shared" ca="1" si="28"/>
        <v>2.965340798357019E-2</v>
      </c>
      <c r="R34" s="1317">
        <f t="shared" ca="1" si="28"/>
        <v>-10.840336889830425</v>
      </c>
      <c r="S34" s="1315">
        <f t="shared" ca="1" si="28"/>
        <v>-12.498784030646615</v>
      </c>
      <c r="T34" s="1316">
        <f t="shared" ca="1" si="28"/>
        <v>111.80190531678184</v>
      </c>
      <c r="U34" s="1316">
        <f t="shared" ca="1" si="28"/>
        <v>-11.105230457121344</v>
      </c>
      <c r="V34" s="1317">
        <f t="shared" ca="1" si="28"/>
        <v>-9.4650062302594247</v>
      </c>
      <c r="W34" s="1315">
        <f t="shared" ca="1" si="28"/>
        <v>-9.2884425156883363</v>
      </c>
      <c r="X34" s="1316">
        <f t="shared" ca="1" si="28"/>
        <v>126.03532809699763</v>
      </c>
      <c r="Y34" s="1316">
        <f t="shared" ca="1" si="28"/>
        <v>-8.0746723934329747</v>
      </c>
      <c r="Z34" s="1317">
        <f t="shared" ca="1" si="28"/>
        <v>-7.5898521178756866</v>
      </c>
      <c r="AA34" s="1315">
        <f t="shared" ca="1" si="28"/>
        <v>-4.8009433020542653</v>
      </c>
      <c r="AB34" s="1316">
        <f t="shared" ca="1" si="28"/>
        <v>125.68408099296325</v>
      </c>
      <c r="AC34" s="1316">
        <f t="shared" ca="1" si="28"/>
        <v>-3.7879456293473748</v>
      </c>
      <c r="AD34" s="1317">
        <f t="shared" ca="1" si="28"/>
        <v>-3.2703295105247836</v>
      </c>
      <c r="AE34" s="1315">
        <f t="shared" ca="1" si="28"/>
        <v>-3.8675473897656305</v>
      </c>
      <c r="AF34" s="1316">
        <f t="shared" ca="1" si="28"/>
        <v>56.890263866324389</v>
      </c>
      <c r="AG34" s="1316">
        <f t="shared" ca="1" si="28"/>
        <v>-2.3481567934037599</v>
      </c>
      <c r="AH34" s="1317">
        <f t="shared" ca="1" si="28"/>
        <v>-1.7164331147047651</v>
      </c>
      <c r="AI34" s="1315">
        <f t="shared" ca="1" si="28"/>
        <v>-0.14867405169063019</v>
      </c>
      <c r="AJ34" s="1316">
        <f t="shared" ca="1" si="28"/>
        <v>0.53917170918024482</v>
      </c>
      <c r="AK34" s="1316">
        <f t="shared" ca="1" si="28"/>
        <v>0.98911504319969579</v>
      </c>
      <c r="AL34" s="1317">
        <f t="shared" ca="1" si="28"/>
        <v>1.5549475067922147</v>
      </c>
      <c r="AM34" s="1315">
        <f t="shared" ca="1" si="28"/>
        <v>4.0269354891896798</v>
      </c>
      <c r="AN34" s="1316">
        <f t="shared" ca="1" si="28"/>
        <v>4.4418110767666263</v>
      </c>
      <c r="AO34" s="1316">
        <f t="shared" ca="1" si="28"/>
        <v>4.5572487832350834</v>
      </c>
      <c r="AP34" s="1317">
        <f t="shared" ca="1" si="28"/>
        <v>4.6751411169698347</v>
      </c>
      <c r="AQ34" s="1315">
        <f t="shared" ca="1" si="28"/>
        <v>5.3170788755526539</v>
      </c>
      <c r="AR34" s="1316">
        <f t="shared" ca="1" si="28"/>
        <v>5.735224377694359</v>
      </c>
      <c r="AS34" s="1316">
        <f t="shared" ca="1" si="28"/>
        <v>5.8524011388795421</v>
      </c>
      <c r="AT34" s="1317">
        <f t="shared" ca="1" si="28"/>
        <v>5.9711864135405834</v>
      </c>
      <c r="AU34" s="1315">
        <f t="shared" ca="1" si="28"/>
        <v>4.8579021916224603</v>
      </c>
      <c r="AV34" s="1316">
        <f t="shared" ca="1" si="28"/>
        <v>5.2762605788896559</v>
      </c>
      <c r="AW34" s="1316">
        <f t="shared" ca="1" si="28"/>
        <v>5.3794894474063844</v>
      </c>
      <c r="AX34" s="1317">
        <f t="shared" ca="1" si="28"/>
        <v>5.5146342962348172</v>
      </c>
      <c r="AY34" s="1315">
        <f t="shared" ca="1" si="28"/>
        <v>10.027788558542952</v>
      </c>
      <c r="AZ34" s="1316">
        <f t="shared" ca="1" si="28"/>
        <v>10.027788558542952</v>
      </c>
      <c r="BA34" s="1316">
        <f t="shared" ca="1" si="28"/>
        <v>10.027788558542952</v>
      </c>
      <c r="BB34" s="1317">
        <f t="shared" ca="1" si="28"/>
        <v>10.027788558542952</v>
      </c>
      <c r="BC34" s="1315">
        <f t="shared" ca="1" si="28"/>
        <v>8.5829690340486309</v>
      </c>
      <c r="BD34" s="1316">
        <f t="shared" ca="1" si="28"/>
        <v>8.5829690340486309</v>
      </c>
      <c r="BE34" s="1316">
        <f t="shared" ca="1" si="28"/>
        <v>8.5829690340486309</v>
      </c>
      <c r="BF34" s="1317">
        <f t="shared" ca="1" si="28"/>
        <v>9.2829690340486195</v>
      </c>
      <c r="BG34" s="1315">
        <f t="shared" ca="1" si="28"/>
        <v>9.3106329253510012</v>
      </c>
      <c r="BH34" s="1316">
        <f t="shared" ca="1" si="28"/>
        <v>9.3106329253510012</v>
      </c>
      <c r="BI34" s="1316">
        <f t="shared" ca="1" si="28"/>
        <v>9.3106329253510012</v>
      </c>
      <c r="BJ34" s="1317">
        <f t="shared" ca="1" si="28"/>
        <v>9.3106329253510012</v>
      </c>
      <c r="BK34" s="1315">
        <f t="shared" ca="1" si="28"/>
        <v>11.529796230435338</v>
      </c>
      <c r="BL34" s="1316">
        <f t="shared" ca="1" si="28"/>
        <v>11.529796230435338</v>
      </c>
      <c r="BM34" s="1316">
        <f t="shared" ca="1" si="28"/>
        <v>11.529796230435338</v>
      </c>
      <c r="BN34" s="1317">
        <f t="shared" ca="1" si="28"/>
        <v>11.529796230435338</v>
      </c>
      <c r="BO34" s="1315">
        <f t="shared" ca="1" si="28"/>
        <v>11.380451600131565</v>
      </c>
      <c r="BP34" s="1316">
        <f t="shared" ca="1" si="28"/>
        <v>11.380451600131565</v>
      </c>
      <c r="BQ34" s="1316">
        <f t="shared" ca="1" si="28"/>
        <v>11.380451600131565</v>
      </c>
      <c r="BR34" s="1317">
        <f t="shared" ca="1" si="28"/>
        <v>11.380451600131565</v>
      </c>
      <c r="BS34" s="1315">
        <f t="shared" ref="BS34:ED34" ca="1" si="29">BS26+BS27-BS29</f>
        <v>9.7035062829499594</v>
      </c>
      <c r="BT34" s="1316">
        <f t="shared" ca="1" si="29"/>
        <v>9.7035062829499594</v>
      </c>
      <c r="BU34" s="1316">
        <f t="shared" ca="1" si="29"/>
        <v>9.7035062829499594</v>
      </c>
      <c r="BV34" s="1317">
        <f t="shared" ca="1" si="29"/>
        <v>9.7035062829499594</v>
      </c>
      <c r="BW34" s="1315">
        <f t="shared" ca="1" si="29"/>
        <v>12.767468868713607</v>
      </c>
      <c r="BX34" s="1316">
        <f t="shared" ca="1" si="29"/>
        <v>12.767468868713607</v>
      </c>
      <c r="BY34" s="1316">
        <f t="shared" ca="1" si="29"/>
        <v>12.767468868713607</v>
      </c>
      <c r="BZ34" s="1317">
        <f t="shared" ca="1" si="29"/>
        <v>12.767468868713607</v>
      </c>
      <c r="CA34" s="1315">
        <f t="shared" ca="1" si="29"/>
        <v>12.181052164455437</v>
      </c>
      <c r="CB34" s="1316">
        <f t="shared" ca="1" si="29"/>
        <v>12.181052164455437</v>
      </c>
      <c r="CC34" s="1316">
        <f t="shared" ca="1" si="29"/>
        <v>12.181052164455437</v>
      </c>
      <c r="CD34" s="1317">
        <f t="shared" ca="1" si="29"/>
        <v>12.181052164455437</v>
      </c>
      <c r="CE34" s="1315">
        <f t="shared" ca="1" si="29"/>
        <v>10.88594560884647</v>
      </c>
      <c r="CF34" s="1316">
        <f t="shared" ca="1" si="29"/>
        <v>10.88594560884647</v>
      </c>
      <c r="CG34" s="1316">
        <f t="shared" ca="1" si="29"/>
        <v>10.88594560884647</v>
      </c>
      <c r="CH34" s="1317">
        <f t="shared" ca="1" si="29"/>
        <v>10.88594560884647</v>
      </c>
      <c r="CI34" s="1315">
        <f t="shared" ca="1" si="29"/>
        <v>11.084563594951277</v>
      </c>
      <c r="CJ34" s="1316">
        <f t="shared" ca="1" si="29"/>
        <v>11.084563594951277</v>
      </c>
      <c r="CK34" s="1316">
        <f t="shared" ca="1" si="29"/>
        <v>11.084563594951277</v>
      </c>
      <c r="CL34" s="1317">
        <f t="shared" ca="1" si="29"/>
        <v>11.084563594951277</v>
      </c>
      <c r="CM34" s="1315">
        <f t="shared" ca="1" si="29"/>
        <v>15.251801968758784</v>
      </c>
      <c r="CN34" s="1316">
        <f t="shared" ca="1" si="29"/>
        <v>15.251801968758784</v>
      </c>
      <c r="CO34" s="1316">
        <f t="shared" ca="1" si="29"/>
        <v>15.251801968758784</v>
      </c>
      <c r="CP34" s="1317">
        <f t="shared" ca="1" si="29"/>
        <v>15.251801968758784</v>
      </c>
      <c r="CQ34" s="1315">
        <f t="shared" ca="1" si="29"/>
        <v>15.837806333338918</v>
      </c>
      <c r="CR34" s="1316">
        <f t="shared" ca="1" si="29"/>
        <v>15.837806333338918</v>
      </c>
      <c r="CS34" s="1316">
        <f t="shared" ca="1" si="29"/>
        <v>15.837806333338918</v>
      </c>
      <c r="CT34" s="1317">
        <f t="shared" ca="1" si="29"/>
        <v>17.537806333338935</v>
      </c>
      <c r="CU34" s="1315">
        <f t="shared" ca="1" si="29"/>
        <v>20.516988401942726</v>
      </c>
      <c r="CV34" s="1316">
        <f t="shared" ca="1" si="29"/>
        <v>20.516988401942726</v>
      </c>
      <c r="CW34" s="1316">
        <f t="shared" ca="1" si="29"/>
        <v>20.516988401942726</v>
      </c>
      <c r="CX34" s="1317">
        <f t="shared" ca="1" si="29"/>
        <v>20.516988401942726</v>
      </c>
      <c r="CY34" s="1315">
        <f t="shared" ca="1" si="29"/>
        <v>19.965901459818724</v>
      </c>
      <c r="CZ34" s="1316">
        <f t="shared" ca="1" si="29"/>
        <v>19.965901459818724</v>
      </c>
      <c r="DA34" s="1316">
        <f t="shared" ca="1" si="29"/>
        <v>19.965901459818724</v>
      </c>
      <c r="DB34" s="1317">
        <f t="shared" ca="1" si="29"/>
        <v>19.965901459818724</v>
      </c>
      <c r="DC34" s="1315">
        <f t="shared" ca="1" si="29"/>
        <v>20.136179125156431</v>
      </c>
      <c r="DD34" s="1316">
        <f t="shared" ca="1" si="29"/>
        <v>20.136179125156431</v>
      </c>
      <c r="DE34" s="1316">
        <f t="shared" ca="1" si="29"/>
        <v>20.136179125156431</v>
      </c>
      <c r="DF34" s="1317">
        <f t="shared" ca="1" si="29"/>
        <v>20.136179125156431</v>
      </c>
      <c r="DG34" s="1315">
        <f t="shared" ca="1" si="29"/>
        <v>22.213376655513898</v>
      </c>
      <c r="DH34" s="1316">
        <f t="shared" ca="1" si="29"/>
        <v>22.213376655513898</v>
      </c>
      <c r="DI34" s="1316">
        <f t="shared" ca="1" si="29"/>
        <v>22.213376655513898</v>
      </c>
      <c r="DJ34" s="1317">
        <f t="shared" ca="1" si="29"/>
        <v>22.213376655513898</v>
      </c>
      <c r="DK34" s="1315">
        <f t="shared" ca="1" si="29"/>
        <v>23.10274063438122</v>
      </c>
      <c r="DL34" s="1316">
        <f t="shared" ca="1" si="29"/>
        <v>23.10274063438122</v>
      </c>
      <c r="DM34" s="1316">
        <f t="shared" ca="1" si="29"/>
        <v>23.10274063438122</v>
      </c>
      <c r="DN34" s="1317">
        <f t="shared" ca="1" si="29"/>
        <v>23.10274063438122</v>
      </c>
      <c r="DO34" s="1315">
        <f t="shared" ca="1" si="29"/>
        <v>21.683305554495391</v>
      </c>
      <c r="DP34" s="1316">
        <f t="shared" ca="1" si="29"/>
        <v>21.683305554495391</v>
      </c>
      <c r="DQ34" s="1316">
        <f t="shared" ca="1" si="29"/>
        <v>21.683305554495391</v>
      </c>
      <c r="DR34" s="1317">
        <f t="shared" ca="1" si="29"/>
        <v>21.683305554495391</v>
      </c>
      <c r="DS34" s="1315">
        <f t="shared" ca="1" si="29"/>
        <v>24.585782381127714</v>
      </c>
      <c r="DT34" s="1316">
        <f t="shared" ca="1" si="29"/>
        <v>24.585782381127714</v>
      </c>
      <c r="DU34" s="1316">
        <f t="shared" ca="1" si="29"/>
        <v>24.585782381127714</v>
      </c>
      <c r="DV34" s="1317">
        <f t="shared" ca="1" si="29"/>
        <v>24.585782381127714</v>
      </c>
      <c r="DW34" s="1315">
        <f t="shared" ca="1" si="29"/>
        <v>22.110512526347279</v>
      </c>
      <c r="DX34" s="1316">
        <f t="shared" ca="1" si="29"/>
        <v>22.110512526347279</v>
      </c>
      <c r="DY34" s="1316">
        <f t="shared" ca="1" si="29"/>
        <v>22.110512526347279</v>
      </c>
      <c r="DZ34" s="1317">
        <f t="shared" ca="1" si="29"/>
        <v>22.110512526347279</v>
      </c>
      <c r="EA34" s="1315">
        <f t="shared" ca="1" si="29"/>
        <v>23.893608484874733</v>
      </c>
      <c r="EB34" s="1316">
        <f t="shared" ca="1" si="29"/>
        <v>23.893608484874733</v>
      </c>
      <c r="EC34" s="1316">
        <f t="shared" ca="1" si="29"/>
        <v>23.893608484874733</v>
      </c>
      <c r="ED34" s="1317">
        <f t="shared" ca="1" si="29"/>
        <v>23.893608484874733</v>
      </c>
      <c r="EE34" s="1315">
        <f t="shared" ref="EE34:FZ34" ca="1" si="30">EE26+EE27-EE29</f>
        <v>26.915757847983514</v>
      </c>
      <c r="EF34" s="1316">
        <f t="shared" ca="1" si="30"/>
        <v>26.915757847983514</v>
      </c>
      <c r="EG34" s="1316">
        <f t="shared" ca="1" si="30"/>
        <v>26.915757847983514</v>
      </c>
      <c r="EH34" s="1317">
        <f t="shared" ca="1" si="30"/>
        <v>26.915757847983514</v>
      </c>
      <c r="EI34" s="1315">
        <f t="shared" ca="1" si="30"/>
        <v>26.063085839634923</v>
      </c>
      <c r="EJ34" s="1316">
        <f t="shared" ca="1" si="30"/>
        <v>26.063085839634923</v>
      </c>
      <c r="EK34" s="1316">
        <f t="shared" ca="1" si="30"/>
        <v>26.063085839634923</v>
      </c>
      <c r="EL34" s="1317">
        <f t="shared" ca="1" si="30"/>
        <v>26.063085839634923</v>
      </c>
      <c r="EM34" s="1315">
        <f t="shared" ca="1" si="30"/>
        <v>26.268270863495829</v>
      </c>
      <c r="EN34" s="1316">
        <f t="shared" ca="1" si="30"/>
        <v>26.268270863495829</v>
      </c>
      <c r="EO34" s="1316">
        <f t="shared" ca="1" si="30"/>
        <v>26.268270863495829</v>
      </c>
      <c r="EP34" s="1317">
        <f t="shared" ca="1" si="30"/>
        <v>26.268270863495829</v>
      </c>
      <c r="EQ34" s="1315">
        <f t="shared" ca="1" si="30"/>
        <v>30.487208801303041</v>
      </c>
      <c r="ER34" s="1316">
        <f t="shared" ca="1" si="30"/>
        <v>30.487208801303041</v>
      </c>
      <c r="ES34" s="1316">
        <f t="shared" ca="1" si="30"/>
        <v>30.487208801303041</v>
      </c>
      <c r="ET34" s="1317">
        <f t="shared" ca="1" si="30"/>
        <v>30.487208801303041</v>
      </c>
      <c r="EU34" s="1315">
        <f t="shared" ca="1" si="30"/>
        <v>30.586328052953689</v>
      </c>
      <c r="EV34" s="1316">
        <f t="shared" ca="1" si="30"/>
        <v>30.586328052953689</v>
      </c>
      <c r="EW34" s="1316">
        <f t="shared" ca="1" si="30"/>
        <v>30.586328052953689</v>
      </c>
      <c r="EX34" s="1317">
        <f t="shared" ca="1" si="30"/>
        <v>30.586328052953689</v>
      </c>
      <c r="EY34" s="1315">
        <f t="shared" ca="1" si="30"/>
        <v>31.259414732006505</v>
      </c>
      <c r="EZ34" s="1316">
        <f t="shared" ca="1" si="30"/>
        <v>31.259414732006505</v>
      </c>
      <c r="FA34" s="1316">
        <f t="shared" ca="1" si="30"/>
        <v>31.259414732006505</v>
      </c>
      <c r="FB34" s="1317">
        <f t="shared" ca="1" si="30"/>
        <v>31.259414732006505</v>
      </c>
      <c r="FC34" s="1315">
        <f t="shared" ca="1" si="30"/>
        <v>33.907562904367055</v>
      </c>
      <c r="FD34" s="1316">
        <f t="shared" ca="1" si="30"/>
        <v>33.907562904367055</v>
      </c>
      <c r="FE34" s="1316">
        <f t="shared" ca="1" si="30"/>
        <v>33.907562904367055</v>
      </c>
      <c r="FF34" s="1317">
        <f t="shared" ca="1" si="30"/>
        <v>33.907562904367055</v>
      </c>
      <c r="FG34" s="1315">
        <f t="shared" ca="1" si="30"/>
        <v>34.26285144618069</v>
      </c>
      <c r="FH34" s="1316">
        <f t="shared" ca="1" si="30"/>
        <v>34.26285144618069</v>
      </c>
      <c r="FI34" s="1316">
        <f t="shared" ca="1" si="30"/>
        <v>34.26285144618069</v>
      </c>
      <c r="FJ34" s="1317">
        <f t="shared" ca="1" si="30"/>
        <v>34.26285144618069</v>
      </c>
      <c r="FK34" s="1315">
        <f t="shared" ca="1" si="30"/>
        <v>-7.8400449139472812</v>
      </c>
      <c r="FL34" s="1316">
        <f t="shared" ca="1" si="30"/>
        <v>-7.8400449139472812</v>
      </c>
      <c r="FM34" s="1316">
        <f t="shared" ca="1" si="30"/>
        <v>-54.148761281559693</v>
      </c>
      <c r="FN34" s="1317">
        <f t="shared" ca="1" si="30"/>
        <v>-54.148761281559693</v>
      </c>
      <c r="FO34" s="1315">
        <f t="shared" ca="1" si="30"/>
        <v>0</v>
      </c>
      <c r="FP34" s="1316">
        <f t="shared" ca="1" si="30"/>
        <v>0</v>
      </c>
      <c r="FQ34" s="1316">
        <f t="shared" ca="1" si="30"/>
        <v>0</v>
      </c>
      <c r="FR34" s="1317">
        <f t="shared" ca="1" si="30"/>
        <v>0</v>
      </c>
      <c r="FS34" s="1315">
        <f t="shared" ca="1" si="30"/>
        <v>0</v>
      </c>
      <c r="FT34" s="1316">
        <f t="shared" ca="1" si="30"/>
        <v>0</v>
      </c>
      <c r="FU34" s="1316">
        <f t="shared" ca="1" si="30"/>
        <v>0</v>
      </c>
      <c r="FV34" s="1317">
        <f t="shared" ca="1" si="30"/>
        <v>0</v>
      </c>
      <c r="FW34" s="1315">
        <f t="shared" ca="1" si="30"/>
        <v>0</v>
      </c>
      <c r="FX34" s="1316">
        <f t="shared" ca="1" si="30"/>
        <v>0</v>
      </c>
      <c r="FY34" s="1316">
        <f t="shared" ca="1" si="30"/>
        <v>0</v>
      </c>
      <c r="FZ34" s="1317">
        <f t="shared" ca="1" si="30"/>
        <v>0</v>
      </c>
      <c r="GA34" s="1315"/>
      <c r="GB34" s="1316"/>
      <c r="GC34" s="1316"/>
      <c r="GD34" s="1317"/>
    </row>
    <row r="35" spans="2:186" ht="17.100000000000001" customHeight="1">
      <c r="B35" s="930"/>
      <c r="C35" s="758" t="s">
        <v>252</v>
      </c>
      <c r="D35" s="931"/>
      <c r="E35" s="771"/>
      <c r="F35" s="1223">
        <f t="shared" ca="1" si="12"/>
        <v>555.75573907253295</v>
      </c>
      <c r="G35" s="1312">
        <f>G90</f>
        <v>0</v>
      </c>
      <c r="H35" s="1313">
        <f t="shared" ref="H35:BS35" si="31">H90</f>
        <v>0</v>
      </c>
      <c r="I35" s="1313">
        <f t="shared" si="31"/>
        <v>0</v>
      </c>
      <c r="J35" s="1314">
        <f t="shared" si="31"/>
        <v>5.3392381200000001</v>
      </c>
      <c r="K35" s="1312">
        <f t="shared" si="31"/>
        <v>0</v>
      </c>
      <c r="L35" s="1313">
        <f>L90</f>
        <v>0</v>
      </c>
      <c r="M35" s="1313">
        <f t="shared" si="31"/>
        <v>0</v>
      </c>
      <c r="N35" s="1314">
        <f>N90</f>
        <v>7.5251328600000003</v>
      </c>
      <c r="O35" s="1315">
        <f t="shared" si="31"/>
        <v>0</v>
      </c>
      <c r="P35" s="1316">
        <f t="shared" si="31"/>
        <v>0</v>
      </c>
      <c r="Q35" s="1316">
        <f>Q90</f>
        <v>0</v>
      </c>
      <c r="R35" s="1317">
        <f t="shared" ca="1" si="31"/>
        <v>5.2355096093159554</v>
      </c>
      <c r="S35" s="1315">
        <f t="shared" si="31"/>
        <v>0</v>
      </c>
      <c r="T35" s="1316">
        <f t="shared" si="31"/>
        <v>0</v>
      </c>
      <c r="U35" s="1316">
        <f t="shared" si="31"/>
        <v>0</v>
      </c>
      <c r="V35" s="1317">
        <f t="shared" ca="1" si="31"/>
        <v>6.7084938446903912</v>
      </c>
      <c r="W35" s="1315">
        <f t="shared" si="31"/>
        <v>0</v>
      </c>
      <c r="X35" s="1316">
        <f t="shared" si="31"/>
        <v>0</v>
      </c>
      <c r="Y35" s="1316">
        <f t="shared" si="31"/>
        <v>0</v>
      </c>
      <c r="Z35" s="1317">
        <f t="shared" ca="1" si="31"/>
        <v>8.6752477741600575</v>
      </c>
      <c r="AA35" s="1315">
        <f t="shared" si="31"/>
        <v>0</v>
      </c>
      <c r="AB35" s="1316">
        <f t="shared" si="31"/>
        <v>0</v>
      </c>
      <c r="AC35" s="1316">
        <f t="shared" si="31"/>
        <v>0</v>
      </c>
      <c r="AD35" s="1317">
        <f t="shared" ca="1" si="31"/>
        <v>9.7965879044912416</v>
      </c>
      <c r="AE35" s="1315">
        <f t="shared" si="31"/>
        <v>0</v>
      </c>
      <c r="AF35" s="1316">
        <f t="shared" si="31"/>
        <v>0</v>
      </c>
      <c r="AG35" s="1316">
        <f t="shared" si="31"/>
        <v>0</v>
      </c>
      <c r="AH35" s="1317">
        <f t="shared" ca="1" si="31"/>
        <v>10.550787845059059</v>
      </c>
      <c r="AI35" s="1315">
        <f t="shared" si="31"/>
        <v>0</v>
      </c>
      <c r="AJ35" s="1316">
        <f t="shared" si="31"/>
        <v>0</v>
      </c>
      <c r="AK35" s="1316">
        <f t="shared" si="31"/>
        <v>0</v>
      </c>
      <c r="AL35" s="1317">
        <f t="shared" ca="1" si="31"/>
        <v>0.42560324564593505</v>
      </c>
      <c r="AM35" s="1315">
        <f t="shared" si="31"/>
        <v>0</v>
      </c>
      <c r="AN35" s="1316">
        <f t="shared" si="31"/>
        <v>0</v>
      </c>
      <c r="AO35" s="1316">
        <f t="shared" si="31"/>
        <v>0</v>
      </c>
      <c r="AP35" s="1317">
        <f t="shared" ca="1" si="31"/>
        <v>3.6742500225554662</v>
      </c>
      <c r="AQ35" s="1315">
        <f t="shared" si="31"/>
        <v>0</v>
      </c>
      <c r="AR35" s="1316">
        <f t="shared" si="31"/>
        <v>0</v>
      </c>
      <c r="AS35" s="1316">
        <f t="shared" si="31"/>
        <v>0</v>
      </c>
      <c r="AT35" s="1317">
        <f t="shared" ca="1" si="31"/>
        <v>4.8126959772467677</v>
      </c>
      <c r="AU35" s="1315">
        <f t="shared" si="31"/>
        <v>0</v>
      </c>
      <c r="AV35" s="1316">
        <f t="shared" si="31"/>
        <v>0</v>
      </c>
      <c r="AW35" s="1316">
        <f t="shared" si="31"/>
        <v>0</v>
      </c>
      <c r="AX35" s="1317">
        <f t="shared" ca="1" si="31"/>
        <v>4.4062230331137267</v>
      </c>
      <c r="AY35" s="1315">
        <f t="shared" si="31"/>
        <v>0</v>
      </c>
      <c r="AZ35" s="1316">
        <f t="shared" si="31"/>
        <v>0</v>
      </c>
      <c r="BA35" s="1316">
        <f t="shared" si="31"/>
        <v>0</v>
      </c>
      <c r="BB35" s="1317">
        <f t="shared" ca="1" si="31"/>
        <v>8.6044539315177975</v>
      </c>
      <c r="BC35" s="1315">
        <f t="shared" si="31"/>
        <v>0</v>
      </c>
      <c r="BD35" s="1316">
        <f t="shared" si="31"/>
        <v>0</v>
      </c>
      <c r="BE35" s="1316">
        <f t="shared" si="31"/>
        <v>0</v>
      </c>
      <c r="BF35" s="1317">
        <f t="shared" ca="1" si="31"/>
        <v>7.4870127499627923</v>
      </c>
      <c r="BG35" s="1315">
        <f t="shared" si="31"/>
        <v>0</v>
      </c>
      <c r="BH35" s="1316">
        <f t="shared" si="31"/>
        <v>0</v>
      </c>
      <c r="BI35" s="1316">
        <f t="shared" si="31"/>
        <v>0</v>
      </c>
      <c r="BJ35" s="1317">
        <f t="shared" ca="1" si="31"/>
        <v>7.9733569743088806</v>
      </c>
      <c r="BK35" s="1315">
        <f t="shared" si="31"/>
        <v>0</v>
      </c>
      <c r="BL35" s="1316">
        <f t="shared" si="31"/>
        <v>0</v>
      </c>
      <c r="BM35" s="1316">
        <f t="shared" si="31"/>
        <v>0</v>
      </c>
      <c r="BN35" s="1317">
        <f t="shared" ca="1" si="31"/>
        <v>9.9262206827830983</v>
      </c>
      <c r="BO35" s="1315">
        <f t="shared" si="31"/>
        <v>0</v>
      </c>
      <c r="BP35" s="1316">
        <f t="shared" si="31"/>
        <v>0</v>
      </c>
      <c r="BQ35" s="1316">
        <f t="shared" si="31"/>
        <v>0</v>
      </c>
      <c r="BR35" s="1317">
        <f t="shared" ca="1" si="31"/>
        <v>9.7947974081157785</v>
      </c>
      <c r="BS35" s="1315">
        <f t="shared" si="31"/>
        <v>0</v>
      </c>
      <c r="BT35" s="1316">
        <f t="shared" ref="BT35:EE35" si="32">BT90</f>
        <v>0</v>
      </c>
      <c r="BU35" s="1316">
        <f t="shared" si="32"/>
        <v>0</v>
      </c>
      <c r="BV35" s="1317">
        <f t="shared" ca="1" si="32"/>
        <v>8.3190855289959647</v>
      </c>
      <c r="BW35" s="1315">
        <f t="shared" si="32"/>
        <v>0</v>
      </c>
      <c r="BX35" s="1316">
        <f t="shared" si="32"/>
        <v>0</v>
      </c>
      <c r="BY35" s="1316">
        <f t="shared" si="32"/>
        <v>0</v>
      </c>
      <c r="BZ35" s="1317">
        <f t="shared" ca="1" si="32"/>
        <v>11.015372604467975</v>
      </c>
      <c r="CA35" s="1315">
        <f t="shared" si="32"/>
        <v>0</v>
      </c>
      <c r="CB35" s="1316">
        <f t="shared" si="32"/>
        <v>0</v>
      </c>
      <c r="CC35" s="1316">
        <f t="shared" si="32"/>
        <v>0</v>
      </c>
      <c r="CD35" s="1317">
        <f t="shared" ca="1" si="32"/>
        <v>10.499325904720786</v>
      </c>
      <c r="CE35" s="1315">
        <f t="shared" si="32"/>
        <v>0</v>
      </c>
      <c r="CF35" s="1316">
        <f t="shared" si="32"/>
        <v>0</v>
      </c>
      <c r="CG35" s="1316">
        <f t="shared" si="32"/>
        <v>0</v>
      </c>
      <c r="CH35" s="1317">
        <f t="shared" ca="1" si="32"/>
        <v>9.3596321357848939</v>
      </c>
      <c r="CI35" s="1315">
        <f t="shared" si="32"/>
        <v>0</v>
      </c>
      <c r="CJ35" s="1316">
        <f t="shared" si="32"/>
        <v>0</v>
      </c>
      <c r="CK35" s="1316">
        <f t="shared" si="32"/>
        <v>0</v>
      </c>
      <c r="CL35" s="1317">
        <f t="shared" ca="1" si="32"/>
        <v>9.5344159635571248</v>
      </c>
      <c r="CM35" s="1315">
        <f t="shared" si="32"/>
        <v>0</v>
      </c>
      <c r="CN35" s="1316">
        <f t="shared" si="32"/>
        <v>0</v>
      </c>
      <c r="CO35" s="1316">
        <f t="shared" si="32"/>
        <v>0</v>
      </c>
      <c r="CP35" s="1317">
        <f t="shared" ca="1" si="32"/>
        <v>13.201585732507731</v>
      </c>
      <c r="CQ35" s="1315">
        <f t="shared" si="32"/>
        <v>0</v>
      </c>
      <c r="CR35" s="1316">
        <f t="shared" si="32"/>
        <v>0</v>
      </c>
      <c r="CS35" s="1316">
        <f t="shared" si="32"/>
        <v>0</v>
      </c>
      <c r="CT35" s="1317">
        <f t="shared" ca="1" si="32"/>
        <v>14.091269573338259</v>
      </c>
      <c r="CU35" s="1315">
        <f t="shared" si="32"/>
        <v>0</v>
      </c>
      <c r="CV35" s="1316">
        <f t="shared" si="32"/>
        <v>0</v>
      </c>
      <c r="CW35" s="1316">
        <f t="shared" si="32"/>
        <v>0</v>
      </c>
      <c r="CX35" s="1317">
        <f t="shared" ca="1" si="32"/>
        <v>17.834949793709598</v>
      </c>
      <c r="CY35" s="1315">
        <f t="shared" si="32"/>
        <v>0</v>
      </c>
      <c r="CZ35" s="1316">
        <f t="shared" si="32"/>
        <v>0</v>
      </c>
      <c r="DA35" s="1316">
        <f t="shared" si="32"/>
        <v>0</v>
      </c>
      <c r="DB35" s="1317">
        <f t="shared" ca="1" si="32"/>
        <v>17.349993284640476</v>
      </c>
      <c r="DC35" s="1315">
        <f t="shared" si="32"/>
        <v>0</v>
      </c>
      <c r="DD35" s="1316">
        <f t="shared" si="32"/>
        <v>0</v>
      </c>
      <c r="DE35" s="1316">
        <f t="shared" si="32"/>
        <v>0</v>
      </c>
      <c r="DF35" s="1317">
        <f t="shared" ca="1" si="32"/>
        <v>17.499837630137659</v>
      </c>
      <c r="DG35" s="1315">
        <f t="shared" si="32"/>
        <v>0</v>
      </c>
      <c r="DH35" s="1316">
        <f t="shared" si="32"/>
        <v>0</v>
      </c>
      <c r="DI35" s="1316">
        <f t="shared" si="32"/>
        <v>0</v>
      </c>
      <c r="DJ35" s="1317">
        <f t="shared" ca="1" si="32"/>
        <v>19.327771456852229</v>
      </c>
      <c r="DK35" s="1315">
        <f t="shared" si="32"/>
        <v>0</v>
      </c>
      <c r="DL35" s="1316">
        <f t="shared" si="32"/>
        <v>0</v>
      </c>
      <c r="DM35" s="1316">
        <f t="shared" si="32"/>
        <v>0</v>
      </c>
      <c r="DN35" s="1317">
        <f t="shared" ca="1" si="32"/>
        <v>20.110411758255474</v>
      </c>
      <c r="DO35" s="1315">
        <f t="shared" si="32"/>
        <v>0</v>
      </c>
      <c r="DP35" s="1316">
        <f t="shared" si="32"/>
        <v>0</v>
      </c>
      <c r="DQ35" s="1316">
        <f t="shared" si="32"/>
        <v>0</v>
      </c>
      <c r="DR35" s="1317">
        <f t="shared" ca="1" si="32"/>
        <v>18.861308887955943</v>
      </c>
      <c r="DS35" s="1315">
        <f t="shared" si="32"/>
        <v>0</v>
      </c>
      <c r="DT35" s="1316">
        <f t="shared" si="32"/>
        <v>0</v>
      </c>
      <c r="DU35" s="1316">
        <f t="shared" si="32"/>
        <v>0</v>
      </c>
      <c r="DV35" s="1317">
        <f t="shared" ca="1" si="32"/>
        <v>21.415488495392388</v>
      </c>
      <c r="DW35" s="1315">
        <f t="shared" si="32"/>
        <v>0</v>
      </c>
      <c r="DX35" s="1316">
        <f t="shared" si="32"/>
        <v>0</v>
      </c>
      <c r="DY35" s="1316">
        <f t="shared" si="32"/>
        <v>0</v>
      </c>
      <c r="DZ35" s="1317">
        <f t="shared" ca="1" si="32"/>
        <v>19.237251023185603</v>
      </c>
      <c r="EA35" s="1315">
        <f t="shared" si="32"/>
        <v>0</v>
      </c>
      <c r="EB35" s="1316">
        <f t="shared" si="32"/>
        <v>0</v>
      </c>
      <c r="EC35" s="1316">
        <f t="shared" si="32"/>
        <v>0</v>
      </c>
      <c r="ED35" s="1317">
        <f t="shared" ca="1" si="32"/>
        <v>20.806375466689765</v>
      </c>
      <c r="EE35" s="1315">
        <f t="shared" si="32"/>
        <v>0</v>
      </c>
      <c r="EF35" s="1316">
        <f t="shared" ref="EF35:FK35" si="33">EF90</f>
        <v>0</v>
      </c>
      <c r="EG35" s="1316">
        <f t="shared" si="33"/>
        <v>0</v>
      </c>
      <c r="EH35" s="1317">
        <f t="shared" ca="1" si="33"/>
        <v>23.465866906225489</v>
      </c>
      <c r="EI35" s="1315">
        <f t="shared" si="33"/>
        <v>0</v>
      </c>
      <c r="EJ35" s="1316">
        <f t="shared" si="33"/>
        <v>0</v>
      </c>
      <c r="EK35" s="1316">
        <f t="shared" si="33"/>
        <v>0</v>
      </c>
      <c r="EL35" s="1317">
        <f t="shared" ca="1" si="33"/>
        <v>22.71551553887873</v>
      </c>
      <c r="EM35" s="1315">
        <f t="shared" si="33"/>
        <v>0</v>
      </c>
      <c r="EN35" s="1316">
        <f t="shared" si="33"/>
        <v>0</v>
      </c>
      <c r="EO35" s="1316">
        <f t="shared" si="33"/>
        <v>0</v>
      </c>
      <c r="EP35" s="1317">
        <f t="shared" ca="1" si="33"/>
        <v>22.896078359876327</v>
      </c>
      <c r="EQ35" s="1315">
        <f t="shared" si="33"/>
        <v>0</v>
      </c>
      <c r="ER35" s="1316">
        <f t="shared" si="33"/>
        <v>0</v>
      </c>
      <c r="ES35" s="1316">
        <f t="shared" si="33"/>
        <v>0</v>
      </c>
      <c r="ET35" s="1317">
        <f t="shared" ca="1" si="33"/>
        <v>26.608743745146676</v>
      </c>
      <c r="EU35" s="1315">
        <f t="shared" si="33"/>
        <v>0</v>
      </c>
      <c r="EV35" s="1316">
        <f t="shared" si="33"/>
        <v>0</v>
      </c>
      <c r="EW35" s="1316">
        <f t="shared" si="33"/>
        <v>0</v>
      </c>
      <c r="EX35" s="1317">
        <f t="shared" ca="1" si="33"/>
        <v>26.695968686599247</v>
      </c>
      <c r="EY35" s="1315">
        <f t="shared" si="33"/>
        <v>0</v>
      </c>
      <c r="EZ35" s="1316">
        <f t="shared" si="33"/>
        <v>0</v>
      </c>
      <c r="FA35" s="1316">
        <f t="shared" si="33"/>
        <v>0</v>
      </c>
      <c r="FB35" s="1317">
        <f t="shared" ca="1" si="33"/>
        <v>27.288284964165722</v>
      </c>
      <c r="FC35" s="1315">
        <f t="shared" si="33"/>
        <v>0</v>
      </c>
      <c r="FD35" s="1316">
        <f t="shared" si="33"/>
        <v>0</v>
      </c>
      <c r="FE35" s="1316">
        <f t="shared" si="33"/>
        <v>0</v>
      </c>
      <c r="FF35" s="1317">
        <f t="shared" ca="1" si="33"/>
        <v>29.618655355843007</v>
      </c>
      <c r="FG35" s="1315">
        <f t="shared" si="33"/>
        <v>0</v>
      </c>
      <c r="FH35" s="1316">
        <f t="shared" si="33"/>
        <v>0</v>
      </c>
      <c r="FI35" s="1316">
        <f t="shared" si="33"/>
        <v>0</v>
      </c>
      <c r="FJ35" s="1317">
        <f t="shared" ca="1" si="33"/>
        <v>29.931309272639005</v>
      </c>
      <c r="FK35" s="1315">
        <f t="shared" si="33"/>
        <v>0</v>
      </c>
      <c r="FL35" s="1316">
        <f ca="1">$FN$90</f>
        <v>0</v>
      </c>
      <c r="FM35" s="1316">
        <v>0</v>
      </c>
      <c r="FN35" s="1317">
        <v>0</v>
      </c>
      <c r="FO35" s="1315">
        <v>0</v>
      </c>
      <c r="FP35" s="1316">
        <v>0</v>
      </c>
      <c r="FQ35" s="1316">
        <v>0</v>
      </c>
      <c r="FR35" s="1317">
        <v>0</v>
      </c>
      <c r="FS35" s="1315">
        <v>0</v>
      </c>
      <c r="FT35" s="1316">
        <v>0</v>
      </c>
      <c r="FU35" s="1316">
        <v>0</v>
      </c>
      <c r="FV35" s="1317">
        <v>0</v>
      </c>
      <c r="FW35" s="1315">
        <v>0</v>
      </c>
      <c r="FX35" s="1316">
        <v>0</v>
      </c>
      <c r="FY35" s="1316">
        <v>0</v>
      </c>
      <c r="FZ35" s="1317">
        <v>0</v>
      </c>
      <c r="GA35" s="1315"/>
      <c r="GB35" s="1316"/>
      <c r="GC35" s="1316"/>
      <c r="GD35" s="1317"/>
    </row>
    <row r="36" spans="2:186" ht="17.100000000000001" customHeight="1">
      <c r="B36" s="930"/>
      <c r="C36" s="758" t="s">
        <v>1247</v>
      </c>
      <c r="D36" s="931"/>
      <c r="E36" s="771"/>
      <c r="F36" s="1223">
        <f t="shared" ca="1" si="12"/>
        <v>2097.8098202251776</v>
      </c>
      <c r="G36" s="1312">
        <f t="shared" ref="G36:BR36" ca="1" si="34">G34-G35</f>
        <v>4.9675393705145261</v>
      </c>
      <c r="H36" s="1313">
        <f t="shared" ca="1" si="34"/>
        <v>133.99221686282431</v>
      </c>
      <c r="I36" s="1313">
        <f t="shared" ca="1" si="34"/>
        <v>-25.679368049575604</v>
      </c>
      <c r="J36" s="1314">
        <f t="shared" ca="1" si="34"/>
        <v>-44.356903009575625</v>
      </c>
      <c r="K36" s="1312">
        <f t="shared" ca="1" si="34"/>
        <v>-1.0363062576461672</v>
      </c>
      <c r="L36" s="1313">
        <f t="shared" ca="1" si="34"/>
        <v>-87.556381353983056</v>
      </c>
      <c r="M36" s="1313">
        <f t="shared" ca="1" si="34"/>
        <v>124.38029040830351</v>
      </c>
      <c r="N36" s="1314">
        <f t="shared" ca="1" si="34"/>
        <v>-17.618466428425325</v>
      </c>
      <c r="O36" s="1315">
        <f t="shared" ca="1" si="34"/>
        <v>-10.533115227757653</v>
      </c>
      <c r="P36" s="1316">
        <f t="shared" ca="1" si="34"/>
        <v>83.338226088194901</v>
      </c>
      <c r="Q36" s="1316">
        <f t="shared" ca="1" si="34"/>
        <v>2.965340798357019E-2</v>
      </c>
      <c r="R36" s="1317">
        <f t="shared" ca="1" si="34"/>
        <v>-16.07584649914638</v>
      </c>
      <c r="S36" s="1315">
        <f t="shared" ca="1" si="34"/>
        <v>-12.498784030646615</v>
      </c>
      <c r="T36" s="1316">
        <f t="shared" ca="1" si="34"/>
        <v>111.80190531678184</v>
      </c>
      <c r="U36" s="1316">
        <f t="shared" ca="1" si="34"/>
        <v>-11.105230457121344</v>
      </c>
      <c r="V36" s="1317">
        <f t="shared" ca="1" si="34"/>
        <v>-16.173500074949814</v>
      </c>
      <c r="W36" s="1315">
        <f t="shared" ca="1" si="34"/>
        <v>-9.2884425156883363</v>
      </c>
      <c r="X36" s="1316">
        <f t="shared" ca="1" si="34"/>
        <v>126.03532809699763</v>
      </c>
      <c r="Y36" s="1316">
        <f t="shared" ca="1" si="34"/>
        <v>-8.0746723934329747</v>
      </c>
      <c r="Z36" s="1317">
        <f t="shared" ca="1" si="34"/>
        <v>-16.265099892035742</v>
      </c>
      <c r="AA36" s="1315">
        <f t="shared" ca="1" si="34"/>
        <v>-4.8009433020542653</v>
      </c>
      <c r="AB36" s="1316">
        <f t="shared" ca="1" si="34"/>
        <v>125.68408099296325</v>
      </c>
      <c r="AC36" s="1316">
        <f t="shared" ca="1" si="34"/>
        <v>-3.7879456293473748</v>
      </c>
      <c r="AD36" s="1317">
        <f t="shared" ca="1" si="34"/>
        <v>-13.066917415016025</v>
      </c>
      <c r="AE36" s="1315">
        <f t="shared" ca="1" si="34"/>
        <v>-3.8675473897656305</v>
      </c>
      <c r="AF36" s="1316">
        <f t="shared" ca="1" si="34"/>
        <v>56.890263866324389</v>
      </c>
      <c r="AG36" s="1316">
        <f t="shared" ca="1" si="34"/>
        <v>-2.3481567934037599</v>
      </c>
      <c r="AH36" s="1317">
        <f t="shared" ca="1" si="34"/>
        <v>-12.267220959763824</v>
      </c>
      <c r="AI36" s="1315">
        <f t="shared" ca="1" si="34"/>
        <v>-0.14867405169063019</v>
      </c>
      <c r="AJ36" s="1316">
        <f t="shared" ca="1" si="34"/>
        <v>0.53917170918024482</v>
      </c>
      <c r="AK36" s="1316">
        <f t="shared" ca="1" si="34"/>
        <v>0.98911504319969579</v>
      </c>
      <c r="AL36" s="1317">
        <f t="shared" ca="1" si="34"/>
        <v>1.1293442611462796</v>
      </c>
      <c r="AM36" s="1315">
        <f t="shared" ca="1" si="34"/>
        <v>4.0269354891896798</v>
      </c>
      <c r="AN36" s="1316">
        <f t="shared" ca="1" si="34"/>
        <v>4.4418110767666263</v>
      </c>
      <c r="AO36" s="1316">
        <f t="shared" ca="1" si="34"/>
        <v>4.5572487832350834</v>
      </c>
      <c r="AP36" s="1317">
        <f t="shared" ca="1" si="34"/>
        <v>1.0008910944143685</v>
      </c>
      <c r="AQ36" s="1315">
        <f t="shared" ca="1" si="34"/>
        <v>5.3170788755526539</v>
      </c>
      <c r="AR36" s="1316">
        <f t="shared" ca="1" si="34"/>
        <v>5.735224377694359</v>
      </c>
      <c r="AS36" s="1316">
        <f t="shared" ca="1" si="34"/>
        <v>5.8524011388795421</v>
      </c>
      <c r="AT36" s="1317">
        <f t="shared" ca="1" si="34"/>
        <v>1.1584904362938158</v>
      </c>
      <c r="AU36" s="1315">
        <f t="shared" ca="1" si="34"/>
        <v>4.8579021916224603</v>
      </c>
      <c r="AV36" s="1316">
        <f t="shared" ca="1" si="34"/>
        <v>5.2762605788896559</v>
      </c>
      <c r="AW36" s="1316">
        <f t="shared" ca="1" si="34"/>
        <v>5.3794894474063844</v>
      </c>
      <c r="AX36" s="1317">
        <f t="shared" ca="1" si="34"/>
        <v>1.1084112631210905</v>
      </c>
      <c r="AY36" s="1315">
        <f t="shared" ca="1" si="34"/>
        <v>10.027788558542952</v>
      </c>
      <c r="AZ36" s="1316">
        <f t="shared" ca="1" si="34"/>
        <v>10.027788558542952</v>
      </c>
      <c r="BA36" s="1316">
        <f t="shared" ca="1" si="34"/>
        <v>10.027788558542952</v>
      </c>
      <c r="BB36" s="1317">
        <f t="shared" ca="1" si="34"/>
        <v>1.4233346270251541</v>
      </c>
      <c r="BC36" s="1315">
        <f t="shared" ca="1" si="34"/>
        <v>8.5829690340486309</v>
      </c>
      <c r="BD36" s="1316">
        <f t="shared" ca="1" si="34"/>
        <v>8.5829690340486309</v>
      </c>
      <c r="BE36" s="1316">
        <f t="shared" ca="1" si="34"/>
        <v>8.5829690340486309</v>
      </c>
      <c r="BF36" s="1317">
        <f t="shared" ca="1" si="34"/>
        <v>1.7959562840858272</v>
      </c>
      <c r="BG36" s="1315">
        <f t="shared" ca="1" si="34"/>
        <v>9.3106329253510012</v>
      </c>
      <c r="BH36" s="1316">
        <f t="shared" ca="1" si="34"/>
        <v>9.3106329253510012</v>
      </c>
      <c r="BI36" s="1316">
        <f t="shared" ca="1" si="34"/>
        <v>9.3106329253510012</v>
      </c>
      <c r="BJ36" s="1317">
        <f t="shared" ca="1" si="34"/>
        <v>1.3372759510421206</v>
      </c>
      <c r="BK36" s="1315">
        <f t="shared" ca="1" si="34"/>
        <v>11.529796230435338</v>
      </c>
      <c r="BL36" s="1316">
        <f t="shared" ca="1" si="34"/>
        <v>11.529796230435338</v>
      </c>
      <c r="BM36" s="1316">
        <f t="shared" ca="1" si="34"/>
        <v>11.529796230435338</v>
      </c>
      <c r="BN36" s="1317">
        <f t="shared" ca="1" si="34"/>
        <v>1.6035755476522393</v>
      </c>
      <c r="BO36" s="1315">
        <f t="shared" ca="1" si="34"/>
        <v>11.380451600131565</v>
      </c>
      <c r="BP36" s="1316">
        <f t="shared" ca="1" si="34"/>
        <v>11.380451600131565</v>
      </c>
      <c r="BQ36" s="1316">
        <f t="shared" ca="1" si="34"/>
        <v>11.380451600131565</v>
      </c>
      <c r="BR36" s="1317">
        <f t="shared" ca="1" si="34"/>
        <v>1.5856541920157863</v>
      </c>
      <c r="BS36" s="1315">
        <f t="shared" ref="BS36:ED36" ca="1" si="35">BS34-BS35</f>
        <v>9.7035062829499594</v>
      </c>
      <c r="BT36" s="1316">
        <f t="shared" ca="1" si="35"/>
        <v>9.7035062829499594</v>
      </c>
      <c r="BU36" s="1316">
        <f t="shared" ca="1" si="35"/>
        <v>9.7035062829499594</v>
      </c>
      <c r="BV36" s="1317">
        <f t="shared" ca="1" si="35"/>
        <v>1.3844207539539948</v>
      </c>
      <c r="BW36" s="1315">
        <f t="shared" ca="1" si="35"/>
        <v>12.767468868713607</v>
      </c>
      <c r="BX36" s="1316">
        <f t="shared" ca="1" si="35"/>
        <v>12.767468868713607</v>
      </c>
      <c r="BY36" s="1316">
        <f t="shared" ca="1" si="35"/>
        <v>12.767468868713607</v>
      </c>
      <c r="BZ36" s="1317">
        <f t="shared" ca="1" si="35"/>
        <v>1.7520962642456315</v>
      </c>
      <c r="CA36" s="1315">
        <f t="shared" ca="1" si="35"/>
        <v>12.181052164455437</v>
      </c>
      <c r="CB36" s="1316">
        <f t="shared" ca="1" si="35"/>
        <v>12.181052164455437</v>
      </c>
      <c r="CC36" s="1316">
        <f t="shared" ca="1" si="35"/>
        <v>12.181052164455437</v>
      </c>
      <c r="CD36" s="1317">
        <f t="shared" ca="1" si="35"/>
        <v>1.681726259734651</v>
      </c>
      <c r="CE36" s="1315">
        <f t="shared" ca="1" si="35"/>
        <v>10.88594560884647</v>
      </c>
      <c r="CF36" s="1316">
        <f t="shared" ca="1" si="35"/>
        <v>10.88594560884647</v>
      </c>
      <c r="CG36" s="1316">
        <f t="shared" ca="1" si="35"/>
        <v>10.88594560884647</v>
      </c>
      <c r="CH36" s="1317">
        <f t="shared" ca="1" si="35"/>
        <v>1.5263134730615757</v>
      </c>
      <c r="CI36" s="1315">
        <f t="shared" ca="1" si="35"/>
        <v>11.084563594951277</v>
      </c>
      <c r="CJ36" s="1316">
        <f t="shared" ca="1" si="35"/>
        <v>11.084563594951277</v>
      </c>
      <c r="CK36" s="1316">
        <f t="shared" ca="1" si="35"/>
        <v>11.084563594951277</v>
      </c>
      <c r="CL36" s="1317">
        <f t="shared" ca="1" si="35"/>
        <v>1.550147631394152</v>
      </c>
      <c r="CM36" s="1315">
        <f t="shared" ca="1" si="35"/>
        <v>15.251801968758784</v>
      </c>
      <c r="CN36" s="1316">
        <f t="shared" ca="1" si="35"/>
        <v>15.251801968758784</v>
      </c>
      <c r="CO36" s="1316">
        <f t="shared" ca="1" si="35"/>
        <v>15.251801968758784</v>
      </c>
      <c r="CP36" s="1317">
        <f t="shared" ca="1" si="35"/>
        <v>2.0502162362510532</v>
      </c>
      <c r="CQ36" s="1315">
        <f t="shared" ca="1" si="35"/>
        <v>15.837806333338918</v>
      </c>
      <c r="CR36" s="1316">
        <f t="shared" ca="1" si="35"/>
        <v>15.837806333338918</v>
      </c>
      <c r="CS36" s="1316">
        <f t="shared" ca="1" si="35"/>
        <v>15.837806333338918</v>
      </c>
      <c r="CT36" s="1317">
        <f t="shared" ca="1" si="35"/>
        <v>3.4465367600006758</v>
      </c>
      <c r="CU36" s="1315">
        <f t="shared" ca="1" si="35"/>
        <v>20.516988401942726</v>
      </c>
      <c r="CV36" s="1316">
        <f t="shared" ca="1" si="35"/>
        <v>20.516988401942726</v>
      </c>
      <c r="CW36" s="1316">
        <f t="shared" ca="1" si="35"/>
        <v>20.516988401942726</v>
      </c>
      <c r="CX36" s="1317">
        <f t="shared" ca="1" si="35"/>
        <v>2.6820386082331282</v>
      </c>
      <c r="CY36" s="1315">
        <f t="shared" ca="1" si="35"/>
        <v>19.965901459818724</v>
      </c>
      <c r="CZ36" s="1316">
        <f t="shared" ca="1" si="35"/>
        <v>19.965901459818724</v>
      </c>
      <c r="DA36" s="1316">
        <f t="shared" ca="1" si="35"/>
        <v>19.965901459818724</v>
      </c>
      <c r="DB36" s="1317">
        <f t="shared" ca="1" si="35"/>
        <v>2.615908175178248</v>
      </c>
      <c r="DC36" s="1315">
        <f t="shared" ca="1" si="35"/>
        <v>20.136179125156431</v>
      </c>
      <c r="DD36" s="1316">
        <f t="shared" ca="1" si="35"/>
        <v>20.136179125156431</v>
      </c>
      <c r="DE36" s="1316">
        <f t="shared" ca="1" si="35"/>
        <v>20.136179125156431</v>
      </c>
      <c r="DF36" s="1317">
        <f t="shared" ca="1" si="35"/>
        <v>2.6363414950187725</v>
      </c>
      <c r="DG36" s="1315">
        <f t="shared" ca="1" si="35"/>
        <v>22.213376655513898</v>
      </c>
      <c r="DH36" s="1316">
        <f t="shared" ca="1" si="35"/>
        <v>22.213376655513898</v>
      </c>
      <c r="DI36" s="1316">
        <f t="shared" ca="1" si="35"/>
        <v>22.213376655513898</v>
      </c>
      <c r="DJ36" s="1317">
        <f t="shared" ca="1" si="35"/>
        <v>2.8856051986616684</v>
      </c>
      <c r="DK36" s="1315">
        <f t="shared" ca="1" si="35"/>
        <v>23.10274063438122</v>
      </c>
      <c r="DL36" s="1316">
        <f t="shared" ca="1" si="35"/>
        <v>23.10274063438122</v>
      </c>
      <c r="DM36" s="1316">
        <f t="shared" ca="1" si="35"/>
        <v>23.10274063438122</v>
      </c>
      <c r="DN36" s="1317">
        <f t="shared" ca="1" si="35"/>
        <v>2.9923288761257467</v>
      </c>
      <c r="DO36" s="1315">
        <f t="shared" ca="1" si="35"/>
        <v>21.683305554495391</v>
      </c>
      <c r="DP36" s="1316">
        <f t="shared" ca="1" si="35"/>
        <v>21.683305554495391</v>
      </c>
      <c r="DQ36" s="1316">
        <f t="shared" ca="1" si="35"/>
        <v>21.683305554495391</v>
      </c>
      <c r="DR36" s="1317">
        <f t="shared" ca="1" si="35"/>
        <v>2.821996666539448</v>
      </c>
      <c r="DS36" s="1315">
        <f t="shared" ca="1" si="35"/>
        <v>24.585782381127714</v>
      </c>
      <c r="DT36" s="1316">
        <f t="shared" ca="1" si="35"/>
        <v>24.585782381127714</v>
      </c>
      <c r="DU36" s="1316">
        <f t="shared" ca="1" si="35"/>
        <v>24.585782381127714</v>
      </c>
      <c r="DV36" s="1317">
        <f t="shared" ca="1" si="35"/>
        <v>3.170293885735326</v>
      </c>
      <c r="DW36" s="1315">
        <f t="shared" ca="1" si="35"/>
        <v>22.110512526347279</v>
      </c>
      <c r="DX36" s="1316">
        <f t="shared" ca="1" si="35"/>
        <v>22.110512526347279</v>
      </c>
      <c r="DY36" s="1316">
        <f t="shared" ca="1" si="35"/>
        <v>22.110512526347279</v>
      </c>
      <c r="DZ36" s="1317">
        <f t="shared" ca="1" si="35"/>
        <v>2.8732615031616753</v>
      </c>
      <c r="EA36" s="1315">
        <f t="shared" ca="1" si="35"/>
        <v>23.893608484874733</v>
      </c>
      <c r="EB36" s="1316">
        <f t="shared" ca="1" si="35"/>
        <v>23.893608484874733</v>
      </c>
      <c r="EC36" s="1316">
        <f t="shared" ca="1" si="35"/>
        <v>23.893608484874733</v>
      </c>
      <c r="ED36" s="1317">
        <f t="shared" ca="1" si="35"/>
        <v>3.0872330181849676</v>
      </c>
      <c r="EE36" s="1315">
        <f t="shared" ref="EE36:FZ36" ca="1" si="36">EE34-EE35</f>
        <v>26.915757847983514</v>
      </c>
      <c r="EF36" s="1316">
        <f t="shared" ca="1" si="36"/>
        <v>26.915757847983514</v>
      </c>
      <c r="EG36" s="1316">
        <f t="shared" ca="1" si="36"/>
        <v>26.915757847983514</v>
      </c>
      <c r="EH36" s="1317">
        <f t="shared" ca="1" si="36"/>
        <v>3.4498909417580244</v>
      </c>
      <c r="EI36" s="1315">
        <f t="shared" ca="1" si="36"/>
        <v>26.063085839634923</v>
      </c>
      <c r="EJ36" s="1316">
        <f t="shared" ca="1" si="36"/>
        <v>26.063085839634923</v>
      </c>
      <c r="EK36" s="1316">
        <f t="shared" ca="1" si="36"/>
        <v>26.063085839634923</v>
      </c>
      <c r="EL36" s="1317">
        <f t="shared" ca="1" si="36"/>
        <v>3.3475703007561926</v>
      </c>
      <c r="EM36" s="1315">
        <f t="shared" ca="1" si="36"/>
        <v>26.268270863495829</v>
      </c>
      <c r="EN36" s="1316">
        <f t="shared" ca="1" si="36"/>
        <v>26.268270863495829</v>
      </c>
      <c r="EO36" s="1316">
        <f t="shared" ca="1" si="36"/>
        <v>26.268270863495829</v>
      </c>
      <c r="EP36" s="1317">
        <f t="shared" ca="1" si="36"/>
        <v>3.3721925036195017</v>
      </c>
      <c r="EQ36" s="1315">
        <f t="shared" ca="1" si="36"/>
        <v>30.487208801303041</v>
      </c>
      <c r="ER36" s="1316">
        <f t="shared" ca="1" si="36"/>
        <v>30.487208801303041</v>
      </c>
      <c r="ES36" s="1316">
        <f t="shared" ca="1" si="36"/>
        <v>30.487208801303041</v>
      </c>
      <c r="ET36" s="1317">
        <f t="shared" ca="1" si="36"/>
        <v>3.8784650561563652</v>
      </c>
      <c r="EU36" s="1315">
        <f t="shared" ca="1" si="36"/>
        <v>30.586328052953689</v>
      </c>
      <c r="EV36" s="1316">
        <f t="shared" ca="1" si="36"/>
        <v>30.586328052953689</v>
      </c>
      <c r="EW36" s="1316">
        <f t="shared" ca="1" si="36"/>
        <v>30.586328052953689</v>
      </c>
      <c r="EX36" s="1317">
        <f t="shared" ca="1" si="36"/>
        <v>3.890359366354442</v>
      </c>
      <c r="EY36" s="1315">
        <f t="shared" ca="1" si="36"/>
        <v>31.259414732006505</v>
      </c>
      <c r="EZ36" s="1316">
        <f t="shared" ca="1" si="36"/>
        <v>31.259414732006505</v>
      </c>
      <c r="FA36" s="1316">
        <f t="shared" ca="1" si="36"/>
        <v>31.259414732006505</v>
      </c>
      <c r="FB36" s="1317">
        <f t="shared" ca="1" si="36"/>
        <v>3.9711297678407824</v>
      </c>
      <c r="FC36" s="1315">
        <f t="shared" ca="1" si="36"/>
        <v>33.907562904367055</v>
      </c>
      <c r="FD36" s="1316">
        <f t="shared" ca="1" si="36"/>
        <v>33.907562904367055</v>
      </c>
      <c r="FE36" s="1316">
        <f t="shared" ca="1" si="36"/>
        <v>33.907562904367055</v>
      </c>
      <c r="FF36" s="1317">
        <f t="shared" ca="1" si="36"/>
        <v>4.2889075485240475</v>
      </c>
      <c r="FG36" s="1315">
        <f t="shared" ca="1" si="36"/>
        <v>34.26285144618069</v>
      </c>
      <c r="FH36" s="1316">
        <f t="shared" ca="1" si="36"/>
        <v>34.26285144618069</v>
      </c>
      <c r="FI36" s="1316">
        <f t="shared" ca="1" si="36"/>
        <v>34.26285144618069</v>
      </c>
      <c r="FJ36" s="1317">
        <f t="shared" ca="1" si="36"/>
        <v>4.3315421735416848</v>
      </c>
      <c r="FK36" s="1315">
        <f t="shared" ca="1" si="36"/>
        <v>-7.8400449139472812</v>
      </c>
      <c r="FL36" s="1316">
        <f t="shared" ca="1" si="36"/>
        <v>-7.8400449139472812</v>
      </c>
      <c r="FM36" s="1316">
        <f t="shared" ca="1" si="36"/>
        <v>-54.148761281559693</v>
      </c>
      <c r="FN36" s="1317">
        <f t="shared" ca="1" si="36"/>
        <v>-54.148761281559693</v>
      </c>
      <c r="FO36" s="1315">
        <f t="shared" ca="1" si="36"/>
        <v>0</v>
      </c>
      <c r="FP36" s="1316">
        <f t="shared" ca="1" si="36"/>
        <v>0</v>
      </c>
      <c r="FQ36" s="1316">
        <f t="shared" ca="1" si="36"/>
        <v>0</v>
      </c>
      <c r="FR36" s="1317">
        <f t="shared" ca="1" si="36"/>
        <v>0</v>
      </c>
      <c r="FS36" s="1315">
        <f t="shared" ca="1" si="36"/>
        <v>0</v>
      </c>
      <c r="FT36" s="1316">
        <f t="shared" ca="1" si="36"/>
        <v>0</v>
      </c>
      <c r="FU36" s="1316">
        <f t="shared" ca="1" si="36"/>
        <v>0</v>
      </c>
      <c r="FV36" s="1317">
        <f t="shared" ca="1" si="36"/>
        <v>0</v>
      </c>
      <c r="FW36" s="1315">
        <f t="shared" ca="1" si="36"/>
        <v>0</v>
      </c>
      <c r="FX36" s="1316">
        <f t="shared" ca="1" si="36"/>
        <v>0</v>
      </c>
      <c r="FY36" s="1316">
        <f t="shared" ca="1" si="36"/>
        <v>0</v>
      </c>
      <c r="FZ36" s="1317">
        <f t="shared" ca="1" si="36"/>
        <v>0</v>
      </c>
      <c r="GA36" s="1315"/>
      <c r="GB36" s="1316"/>
      <c r="GC36" s="1316"/>
      <c r="GD36" s="1317"/>
    </row>
    <row r="38" spans="2:186" ht="17.100000000000001" customHeight="1">
      <c r="B38" s="302" t="s">
        <v>1235</v>
      </c>
      <c r="F38" s="480"/>
    </row>
    <row r="39" spans="2:186" ht="17.100000000000001" customHeight="1">
      <c r="G39" s="451"/>
      <c r="AN39" s="401"/>
    </row>
    <row r="40" spans="2:186" ht="17.100000000000001" customHeight="1">
      <c r="C40" s="717"/>
      <c r="D40" s="718" t="s">
        <v>780</v>
      </c>
      <c r="E40" s="719"/>
      <c r="F40" s="719" t="s">
        <v>774</v>
      </c>
      <c r="G40" s="5038">
        <f>기준분기</f>
        <v>43555</v>
      </c>
      <c r="H40" s="5039">
        <f t="shared" ref="H40:BS40" si="37">EOMONTH(G40,3)</f>
        <v>43646</v>
      </c>
      <c r="I40" s="5039">
        <f t="shared" si="37"/>
        <v>43738</v>
      </c>
      <c r="J40" s="5040">
        <f t="shared" si="37"/>
        <v>43830</v>
      </c>
      <c r="K40" s="5038">
        <f t="shared" si="37"/>
        <v>43921</v>
      </c>
      <c r="L40" s="5039">
        <f t="shared" si="37"/>
        <v>44012</v>
      </c>
      <c r="M40" s="5039">
        <f t="shared" si="37"/>
        <v>44104</v>
      </c>
      <c r="N40" s="5040">
        <f t="shared" si="37"/>
        <v>44196</v>
      </c>
      <c r="O40" s="5038">
        <f t="shared" si="37"/>
        <v>44286</v>
      </c>
      <c r="P40" s="5039">
        <f t="shared" si="37"/>
        <v>44377</v>
      </c>
      <c r="Q40" s="5039">
        <f t="shared" si="37"/>
        <v>44469</v>
      </c>
      <c r="R40" s="5040">
        <f t="shared" si="37"/>
        <v>44561</v>
      </c>
      <c r="S40" s="5038">
        <f t="shared" si="37"/>
        <v>44651</v>
      </c>
      <c r="T40" s="5039">
        <f t="shared" si="37"/>
        <v>44742</v>
      </c>
      <c r="U40" s="5039">
        <f t="shared" si="37"/>
        <v>44834</v>
      </c>
      <c r="V40" s="5040">
        <f t="shared" si="37"/>
        <v>44926</v>
      </c>
      <c r="W40" s="5038">
        <f t="shared" si="37"/>
        <v>45016</v>
      </c>
      <c r="X40" s="5039">
        <f t="shared" si="37"/>
        <v>45107</v>
      </c>
      <c r="Y40" s="5039">
        <f t="shared" si="37"/>
        <v>45199</v>
      </c>
      <c r="Z40" s="5040">
        <f t="shared" si="37"/>
        <v>45291</v>
      </c>
      <c r="AA40" s="5038">
        <f t="shared" si="37"/>
        <v>45382</v>
      </c>
      <c r="AB40" s="5039">
        <f t="shared" si="37"/>
        <v>45473</v>
      </c>
      <c r="AC40" s="5039">
        <f t="shared" si="37"/>
        <v>45565</v>
      </c>
      <c r="AD40" s="5040">
        <f t="shared" si="37"/>
        <v>45657</v>
      </c>
      <c r="AE40" s="5038">
        <f t="shared" si="37"/>
        <v>45747</v>
      </c>
      <c r="AF40" s="5039">
        <f t="shared" si="37"/>
        <v>45838</v>
      </c>
      <c r="AG40" s="5039">
        <f t="shared" si="37"/>
        <v>45930</v>
      </c>
      <c r="AH40" s="5040">
        <f t="shared" si="37"/>
        <v>46022</v>
      </c>
      <c r="AI40" s="5038">
        <f t="shared" si="37"/>
        <v>46112</v>
      </c>
      <c r="AJ40" s="5039">
        <f t="shared" si="37"/>
        <v>46203</v>
      </c>
      <c r="AK40" s="5039">
        <f t="shared" si="37"/>
        <v>46295</v>
      </c>
      <c r="AL40" s="5040">
        <f t="shared" si="37"/>
        <v>46387</v>
      </c>
      <c r="AM40" s="5038">
        <f t="shared" si="37"/>
        <v>46477</v>
      </c>
      <c r="AN40" s="5039">
        <f t="shared" si="37"/>
        <v>46568</v>
      </c>
      <c r="AO40" s="5039">
        <f t="shared" si="37"/>
        <v>46660</v>
      </c>
      <c r="AP40" s="5040">
        <f t="shared" si="37"/>
        <v>46752</v>
      </c>
      <c r="AQ40" s="5038">
        <f t="shared" si="37"/>
        <v>46843</v>
      </c>
      <c r="AR40" s="5039">
        <f t="shared" si="37"/>
        <v>46934</v>
      </c>
      <c r="AS40" s="5039">
        <f t="shared" si="37"/>
        <v>47026</v>
      </c>
      <c r="AT40" s="5040">
        <f t="shared" si="37"/>
        <v>47118</v>
      </c>
      <c r="AU40" s="5038">
        <f t="shared" si="37"/>
        <v>47208</v>
      </c>
      <c r="AV40" s="5039">
        <f t="shared" si="37"/>
        <v>47299</v>
      </c>
      <c r="AW40" s="5039">
        <f t="shared" si="37"/>
        <v>47391</v>
      </c>
      <c r="AX40" s="5040">
        <f t="shared" si="37"/>
        <v>47483</v>
      </c>
      <c r="AY40" s="5038">
        <f t="shared" si="37"/>
        <v>47573</v>
      </c>
      <c r="AZ40" s="5039">
        <f t="shared" si="37"/>
        <v>47664</v>
      </c>
      <c r="BA40" s="5039">
        <f t="shared" si="37"/>
        <v>47756</v>
      </c>
      <c r="BB40" s="5040">
        <f t="shared" si="37"/>
        <v>47848</v>
      </c>
      <c r="BC40" s="5038">
        <f t="shared" si="37"/>
        <v>47938</v>
      </c>
      <c r="BD40" s="5039">
        <f t="shared" si="37"/>
        <v>48029</v>
      </c>
      <c r="BE40" s="5039">
        <f t="shared" si="37"/>
        <v>48121</v>
      </c>
      <c r="BF40" s="5040">
        <f t="shared" si="37"/>
        <v>48213</v>
      </c>
      <c r="BG40" s="5038">
        <f t="shared" si="37"/>
        <v>48304</v>
      </c>
      <c r="BH40" s="5039">
        <f t="shared" si="37"/>
        <v>48395</v>
      </c>
      <c r="BI40" s="5039">
        <f t="shared" si="37"/>
        <v>48487</v>
      </c>
      <c r="BJ40" s="5040">
        <f t="shared" si="37"/>
        <v>48579</v>
      </c>
      <c r="BK40" s="5038">
        <f t="shared" si="37"/>
        <v>48669</v>
      </c>
      <c r="BL40" s="5039">
        <f t="shared" si="37"/>
        <v>48760</v>
      </c>
      <c r="BM40" s="5039">
        <f t="shared" si="37"/>
        <v>48852</v>
      </c>
      <c r="BN40" s="5040">
        <f t="shared" si="37"/>
        <v>48944</v>
      </c>
      <c r="BO40" s="5038">
        <f t="shared" si="37"/>
        <v>49034</v>
      </c>
      <c r="BP40" s="5039">
        <f t="shared" si="37"/>
        <v>49125</v>
      </c>
      <c r="BQ40" s="5039">
        <f t="shared" si="37"/>
        <v>49217</v>
      </c>
      <c r="BR40" s="5040">
        <f t="shared" si="37"/>
        <v>49309</v>
      </c>
      <c r="BS40" s="5038">
        <f t="shared" si="37"/>
        <v>49399</v>
      </c>
      <c r="BT40" s="5039">
        <f t="shared" ref="BT40:EE40" si="38">EOMONTH(BS40,3)</f>
        <v>49490</v>
      </c>
      <c r="BU40" s="5039">
        <f t="shared" si="38"/>
        <v>49582</v>
      </c>
      <c r="BV40" s="5040">
        <f t="shared" si="38"/>
        <v>49674</v>
      </c>
      <c r="BW40" s="5038">
        <f t="shared" si="38"/>
        <v>49765</v>
      </c>
      <c r="BX40" s="5039">
        <f t="shared" si="38"/>
        <v>49856</v>
      </c>
      <c r="BY40" s="5039">
        <f t="shared" si="38"/>
        <v>49948</v>
      </c>
      <c r="BZ40" s="5040">
        <f t="shared" si="38"/>
        <v>50040</v>
      </c>
      <c r="CA40" s="5038">
        <f t="shared" si="38"/>
        <v>50130</v>
      </c>
      <c r="CB40" s="5039">
        <f t="shared" si="38"/>
        <v>50221</v>
      </c>
      <c r="CC40" s="5039">
        <f t="shared" si="38"/>
        <v>50313</v>
      </c>
      <c r="CD40" s="5040">
        <f t="shared" si="38"/>
        <v>50405</v>
      </c>
      <c r="CE40" s="5038">
        <f t="shared" si="38"/>
        <v>50495</v>
      </c>
      <c r="CF40" s="5039">
        <f t="shared" si="38"/>
        <v>50586</v>
      </c>
      <c r="CG40" s="5039">
        <f t="shared" si="38"/>
        <v>50678</v>
      </c>
      <c r="CH40" s="5040">
        <f t="shared" si="38"/>
        <v>50770</v>
      </c>
      <c r="CI40" s="5038">
        <f t="shared" si="38"/>
        <v>50860</v>
      </c>
      <c r="CJ40" s="5039">
        <f t="shared" si="38"/>
        <v>50951</v>
      </c>
      <c r="CK40" s="5039">
        <f t="shared" si="38"/>
        <v>51043</v>
      </c>
      <c r="CL40" s="5040">
        <f t="shared" si="38"/>
        <v>51135</v>
      </c>
      <c r="CM40" s="5038">
        <f t="shared" si="38"/>
        <v>51226</v>
      </c>
      <c r="CN40" s="5039">
        <f t="shared" si="38"/>
        <v>51317</v>
      </c>
      <c r="CO40" s="5039">
        <f t="shared" si="38"/>
        <v>51409</v>
      </c>
      <c r="CP40" s="5040">
        <f t="shared" si="38"/>
        <v>51501</v>
      </c>
      <c r="CQ40" s="5038">
        <f t="shared" si="38"/>
        <v>51591</v>
      </c>
      <c r="CR40" s="5039">
        <f t="shared" si="38"/>
        <v>51682</v>
      </c>
      <c r="CS40" s="5039">
        <f t="shared" si="38"/>
        <v>51774</v>
      </c>
      <c r="CT40" s="5040">
        <f t="shared" si="38"/>
        <v>51866</v>
      </c>
      <c r="CU40" s="5038">
        <f t="shared" si="38"/>
        <v>51956</v>
      </c>
      <c r="CV40" s="5039">
        <f t="shared" si="38"/>
        <v>52047</v>
      </c>
      <c r="CW40" s="5039">
        <f t="shared" si="38"/>
        <v>52139</v>
      </c>
      <c r="CX40" s="5040">
        <f t="shared" si="38"/>
        <v>52231</v>
      </c>
      <c r="CY40" s="5038">
        <f t="shared" si="38"/>
        <v>52321</v>
      </c>
      <c r="CZ40" s="5039">
        <f t="shared" si="38"/>
        <v>52412</v>
      </c>
      <c r="DA40" s="5039">
        <f t="shared" si="38"/>
        <v>52504</v>
      </c>
      <c r="DB40" s="5040">
        <f t="shared" si="38"/>
        <v>52596</v>
      </c>
      <c r="DC40" s="5038">
        <f t="shared" si="38"/>
        <v>52687</v>
      </c>
      <c r="DD40" s="5039">
        <f t="shared" si="38"/>
        <v>52778</v>
      </c>
      <c r="DE40" s="5039">
        <f t="shared" si="38"/>
        <v>52870</v>
      </c>
      <c r="DF40" s="5040">
        <f t="shared" si="38"/>
        <v>52962</v>
      </c>
      <c r="DG40" s="5038">
        <f t="shared" si="38"/>
        <v>53052</v>
      </c>
      <c r="DH40" s="5039">
        <f t="shared" si="38"/>
        <v>53143</v>
      </c>
      <c r="DI40" s="5039">
        <f t="shared" si="38"/>
        <v>53235</v>
      </c>
      <c r="DJ40" s="5040">
        <f t="shared" si="38"/>
        <v>53327</v>
      </c>
      <c r="DK40" s="5038">
        <f t="shared" si="38"/>
        <v>53417</v>
      </c>
      <c r="DL40" s="5039">
        <f t="shared" si="38"/>
        <v>53508</v>
      </c>
      <c r="DM40" s="5039">
        <f t="shared" si="38"/>
        <v>53600</v>
      </c>
      <c r="DN40" s="5040">
        <f t="shared" si="38"/>
        <v>53692</v>
      </c>
      <c r="DO40" s="5038">
        <f t="shared" si="38"/>
        <v>53782</v>
      </c>
      <c r="DP40" s="5039">
        <f t="shared" si="38"/>
        <v>53873</v>
      </c>
      <c r="DQ40" s="5039">
        <f t="shared" si="38"/>
        <v>53965</v>
      </c>
      <c r="DR40" s="5040">
        <f t="shared" si="38"/>
        <v>54057</v>
      </c>
      <c r="DS40" s="5038">
        <f t="shared" si="38"/>
        <v>54148</v>
      </c>
      <c r="DT40" s="5039">
        <f t="shared" si="38"/>
        <v>54239</v>
      </c>
      <c r="DU40" s="5039">
        <f t="shared" si="38"/>
        <v>54331</v>
      </c>
      <c r="DV40" s="5040">
        <f t="shared" si="38"/>
        <v>54423</v>
      </c>
      <c r="DW40" s="5038">
        <f t="shared" si="38"/>
        <v>54513</v>
      </c>
      <c r="DX40" s="5039">
        <f t="shared" si="38"/>
        <v>54604</v>
      </c>
      <c r="DY40" s="5039">
        <f t="shared" si="38"/>
        <v>54696</v>
      </c>
      <c r="DZ40" s="5040">
        <f t="shared" si="38"/>
        <v>54788</v>
      </c>
      <c r="EA40" s="5038">
        <f t="shared" si="38"/>
        <v>54878</v>
      </c>
      <c r="EB40" s="5039">
        <f t="shared" si="38"/>
        <v>54969</v>
      </c>
      <c r="EC40" s="5039">
        <f t="shared" si="38"/>
        <v>55061</v>
      </c>
      <c r="ED40" s="5040">
        <f t="shared" si="38"/>
        <v>55153</v>
      </c>
      <c r="EE40" s="5038">
        <f t="shared" si="38"/>
        <v>55243</v>
      </c>
      <c r="EF40" s="5039">
        <f t="shared" ref="EF40:GD40" si="39">EOMONTH(EE40,3)</f>
        <v>55334</v>
      </c>
      <c r="EG40" s="5039">
        <f t="shared" si="39"/>
        <v>55426</v>
      </c>
      <c r="EH40" s="5040">
        <f t="shared" si="39"/>
        <v>55518</v>
      </c>
      <c r="EI40" s="5038">
        <f t="shared" si="39"/>
        <v>55609</v>
      </c>
      <c r="EJ40" s="5039">
        <f t="shared" si="39"/>
        <v>55700</v>
      </c>
      <c r="EK40" s="5039">
        <f t="shared" si="39"/>
        <v>55792</v>
      </c>
      <c r="EL40" s="5040">
        <f t="shared" si="39"/>
        <v>55884</v>
      </c>
      <c r="EM40" s="5038">
        <f t="shared" si="39"/>
        <v>55974</v>
      </c>
      <c r="EN40" s="5039">
        <f t="shared" si="39"/>
        <v>56065</v>
      </c>
      <c r="EO40" s="5039">
        <f t="shared" si="39"/>
        <v>56157</v>
      </c>
      <c r="EP40" s="5040">
        <f t="shared" si="39"/>
        <v>56249</v>
      </c>
      <c r="EQ40" s="5038">
        <f t="shared" si="39"/>
        <v>56339</v>
      </c>
      <c r="ER40" s="5039">
        <f t="shared" si="39"/>
        <v>56430</v>
      </c>
      <c r="ES40" s="5039">
        <f t="shared" si="39"/>
        <v>56522</v>
      </c>
      <c r="ET40" s="5040">
        <f t="shared" si="39"/>
        <v>56614</v>
      </c>
      <c r="EU40" s="5038">
        <f t="shared" si="39"/>
        <v>56704</v>
      </c>
      <c r="EV40" s="5039">
        <f t="shared" si="39"/>
        <v>56795</v>
      </c>
      <c r="EW40" s="5039">
        <f t="shared" si="39"/>
        <v>56887</v>
      </c>
      <c r="EX40" s="5040">
        <f t="shared" si="39"/>
        <v>56979</v>
      </c>
      <c r="EY40" s="5038">
        <f t="shared" si="39"/>
        <v>57070</v>
      </c>
      <c r="EZ40" s="5039">
        <f t="shared" si="39"/>
        <v>57161</v>
      </c>
      <c r="FA40" s="5039">
        <f t="shared" si="39"/>
        <v>57253</v>
      </c>
      <c r="FB40" s="5040">
        <f t="shared" si="39"/>
        <v>57345</v>
      </c>
      <c r="FC40" s="5038">
        <f t="shared" si="39"/>
        <v>57435</v>
      </c>
      <c r="FD40" s="5039">
        <f t="shared" si="39"/>
        <v>57526</v>
      </c>
      <c r="FE40" s="5039">
        <f t="shared" si="39"/>
        <v>57618</v>
      </c>
      <c r="FF40" s="5040">
        <f t="shared" si="39"/>
        <v>57710</v>
      </c>
      <c r="FG40" s="5038">
        <f t="shared" si="39"/>
        <v>57800</v>
      </c>
      <c r="FH40" s="5039">
        <f t="shared" si="39"/>
        <v>57891</v>
      </c>
      <c r="FI40" s="5039">
        <f t="shared" si="39"/>
        <v>57983</v>
      </c>
      <c r="FJ40" s="5040">
        <f t="shared" si="39"/>
        <v>58075</v>
      </c>
      <c r="FK40" s="5038">
        <f t="shared" si="39"/>
        <v>58165</v>
      </c>
      <c r="FL40" s="5039">
        <f t="shared" si="39"/>
        <v>58256</v>
      </c>
      <c r="FM40" s="5039">
        <f t="shared" si="39"/>
        <v>58348</v>
      </c>
      <c r="FN40" s="5040">
        <f t="shared" si="39"/>
        <v>58440</v>
      </c>
      <c r="FO40" s="5038">
        <f t="shared" si="39"/>
        <v>58531</v>
      </c>
      <c r="FP40" s="5039">
        <f t="shared" si="39"/>
        <v>58622</v>
      </c>
      <c r="FQ40" s="5039">
        <f t="shared" si="39"/>
        <v>58714</v>
      </c>
      <c r="FR40" s="5040">
        <f t="shared" si="39"/>
        <v>58806</v>
      </c>
      <c r="FS40" s="5038">
        <f t="shared" si="39"/>
        <v>58896</v>
      </c>
      <c r="FT40" s="5039">
        <f t="shared" si="39"/>
        <v>58987</v>
      </c>
      <c r="FU40" s="5039">
        <f t="shared" si="39"/>
        <v>59079</v>
      </c>
      <c r="FV40" s="5040">
        <f t="shared" si="39"/>
        <v>59171</v>
      </c>
      <c r="FW40" s="5038">
        <f t="shared" si="39"/>
        <v>59261</v>
      </c>
      <c r="FX40" s="5039">
        <f t="shared" si="39"/>
        <v>59352</v>
      </c>
      <c r="FY40" s="5039">
        <f t="shared" si="39"/>
        <v>59444</v>
      </c>
      <c r="FZ40" s="5040">
        <f t="shared" si="39"/>
        <v>59536</v>
      </c>
      <c r="GA40" s="5038">
        <f t="shared" si="39"/>
        <v>59626</v>
      </c>
      <c r="GB40" s="5039">
        <f t="shared" si="39"/>
        <v>59717</v>
      </c>
      <c r="GC40" s="5039">
        <f t="shared" si="39"/>
        <v>59809</v>
      </c>
      <c r="GD40" s="5040">
        <f t="shared" si="39"/>
        <v>59901</v>
      </c>
    </row>
    <row r="41" spans="2:186" ht="17.100000000000001" customHeight="1">
      <c r="C41" s="720"/>
      <c r="D41" s="774" t="s">
        <v>1248</v>
      </c>
      <c r="E41" s="722"/>
      <c r="F41" s="775">
        <f>SUM(G41:FB41)</f>
        <v>0</v>
      </c>
      <c r="G41" s="739"/>
      <c r="H41" s="740"/>
      <c r="I41" s="740"/>
      <c r="J41" s="741"/>
      <c r="K41" s="739"/>
      <c r="L41" s="740"/>
      <c r="M41" s="740"/>
      <c r="N41" s="741"/>
      <c r="O41" s="739"/>
      <c r="P41" s="740"/>
      <c r="Q41" s="740"/>
      <c r="R41" s="741"/>
      <c r="S41" s="739"/>
      <c r="T41" s="740"/>
      <c r="U41" s="740"/>
      <c r="V41" s="741"/>
      <c r="W41" s="739"/>
      <c r="X41" s="740"/>
      <c r="Y41" s="740"/>
      <c r="Z41" s="741"/>
      <c r="AA41" s="739"/>
      <c r="AB41" s="740"/>
      <c r="AC41" s="740"/>
      <c r="AD41" s="741"/>
      <c r="AE41" s="739"/>
      <c r="AF41" s="740"/>
      <c r="AG41" s="740"/>
      <c r="AH41" s="741"/>
      <c r="AI41" s="739"/>
      <c r="AJ41" s="740"/>
      <c r="AK41" s="740"/>
      <c r="AL41" s="741"/>
      <c r="AM41" s="739"/>
      <c r="AN41" s="740"/>
      <c r="AO41" s="740"/>
      <c r="AP41" s="741"/>
      <c r="AQ41" s="739"/>
      <c r="AR41" s="740"/>
      <c r="AS41" s="740"/>
      <c r="AT41" s="741"/>
      <c r="AU41" s="739"/>
      <c r="AV41" s="740"/>
      <c r="AW41" s="740"/>
      <c r="AX41" s="741"/>
      <c r="AY41" s="739"/>
      <c r="AZ41" s="740"/>
      <c r="BA41" s="740"/>
      <c r="BB41" s="741"/>
      <c r="BC41" s="739"/>
      <c r="BD41" s="740"/>
      <c r="BE41" s="740"/>
      <c r="BF41" s="741"/>
      <c r="BG41" s="739"/>
      <c r="BH41" s="740"/>
      <c r="BI41" s="740"/>
      <c r="BJ41" s="741"/>
      <c r="BK41" s="739"/>
      <c r="BL41" s="740"/>
      <c r="BM41" s="740"/>
      <c r="BN41" s="741"/>
      <c r="BO41" s="739"/>
      <c r="BP41" s="740"/>
      <c r="BQ41" s="740"/>
      <c r="BR41" s="741"/>
      <c r="BS41" s="739"/>
      <c r="BT41" s="740"/>
      <c r="BU41" s="740"/>
      <c r="BV41" s="741"/>
      <c r="BW41" s="739"/>
      <c r="BX41" s="740"/>
      <c r="BY41" s="740"/>
      <c r="BZ41" s="741"/>
      <c r="CA41" s="739"/>
      <c r="CB41" s="740"/>
      <c r="CC41" s="740"/>
      <c r="CD41" s="741"/>
      <c r="CE41" s="739"/>
      <c r="CF41" s="740"/>
      <c r="CG41" s="740"/>
      <c r="CH41" s="741"/>
      <c r="CI41" s="739"/>
      <c r="CJ41" s="740"/>
      <c r="CK41" s="740"/>
      <c r="CL41" s="741"/>
      <c r="CM41" s="739"/>
      <c r="CN41" s="740"/>
      <c r="CO41" s="740"/>
      <c r="CP41" s="741"/>
      <c r="CQ41" s="739"/>
      <c r="CR41" s="740"/>
      <c r="CS41" s="740"/>
      <c r="CT41" s="741"/>
      <c r="CU41" s="739"/>
      <c r="CV41" s="740"/>
      <c r="CW41" s="740"/>
      <c r="CX41" s="741"/>
      <c r="CY41" s="739"/>
      <c r="CZ41" s="740"/>
      <c r="DA41" s="740"/>
      <c r="DB41" s="741"/>
      <c r="DC41" s="739"/>
      <c r="DD41" s="740"/>
      <c r="DE41" s="740"/>
      <c r="DF41" s="741"/>
      <c r="DG41" s="739"/>
      <c r="DH41" s="740"/>
      <c r="DI41" s="740"/>
      <c r="DJ41" s="741"/>
      <c r="DK41" s="739"/>
      <c r="DL41" s="740"/>
      <c r="DM41" s="740"/>
      <c r="DN41" s="741"/>
      <c r="DO41" s="739"/>
      <c r="DP41" s="740"/>
      <c r="DQ41" s="740"/>
      <c r="DR41" s="741"/>
      <c r="DS41" s="739"/>
      <c r="DT41" s="740"/>
      <c r="DU41" s="740"/>
      <c r="DV41" s="741"/>
      <c r="DW41" s="739"/>
      <c r="DX41" s="740"/>
      <c r="DY41" s="740"/>
      <c r="DZ41" s="741"/>
      <c r="EA41" s="739"/>
      <c r="EB41" s="740"/>
      <c r="EC41" s="740"/>
      <c r="ED41" s="741"/>
      <c r="EE41" s="739"/>
      <c r="EF41" s="740"/>
      <c r="EG41" s="740"/>
      <c r="EH41" s="741"/>
      <c r="EI41" s="739"/>
      <c r="EJ41" s="740"/>
      <c r="EK41" s="740"/>
      <c r="EL41" s="741"/>
      <c r="EM41" s="739"/>
      <c r="EN41" s="740"/>
      <c r="EO41" s="740"/>
      <c r="EP41" s="741"/>
      <c r="EQ41" s="739"/>
      <c r="ER41" s="740"/>
      <c r="ES41" s="740"/>
      <c r="ET41" s="741"/>
      <c r="EU41" s="739"/>
      <c r="EV41" s="740"/>
      <c r="EW41" s="740"/>
      <c r="EX41" s="741"/>
      <c r="EY41" s="739"/>
      <c r="EZ41" s="740"/>
      <c r="FA41" s="740"/>
      <c r="FB41" s="741"/>
      <c r="FC41" s="739"/>
      <c r="FD41" s="740"/>
      <c r="FE41" s="740"/>
      <c r="FF41" s="741"/>
      <c r="FG41" s="739"/>
      <c r="FH41" s="740"/>
      <c r="FI41" s="740"/>
      <c r="FJ41" s="741"/>
      <c r="FK41" s="739"/>
      <c r="FL41" s="740"/>
      <c r="FM41" s="740"/>
      <c r="FN41" s="741"/>
      <c r="FO41" s="739"/>
      <c r="FP41" s="740"/>
      <c r="FQ41" s="740"/>
      <c r="FR41" s="741"/>
      <c r="FS41" s="739"/>
      <c r="FT41" s="740"/>
      <c r="FU41" s="740"/>
      <c r="FV41" s="741"/>
      <c r="FW41" s="739"/>
      <c r="FX41" s="740"/>
      <c r="FY41" s="740"/>
      <c r="FZ41" s="741"/>
      <c r="GA41" s="739"/>
      <c r="GB41" s="740"/>
      <c r="GC41" s="740"/>
      <c r="GD41" s="741"/>
    </row>
    <row r="42" spans="2:186" ht="17.100000000000001" customHeight="1">
      <c r="C42" s="307"/>
      <c r="D42" s="342" t="str">
        <f>매출!C59</f>
        <v>하역수입</v>
      </c>
      <c r="E42" s="943"/>
      <c r="F42" s="944">
        <f ca="1">SUM(O42:GD42)</f>
        <v>14433.415324830397</v>
      </c>
      <c r="G42" s="1318">
        <f>매출!H35</f>
        <v>46.040464499999999</v>
      </c>
      <c r="H42" s="1319">
        <f>매출!I35</f>
        <v>47.389177440000005</v>
      </c>
      <c r="I42" s="1319">
        <f>매출!J35</f>
        <v>53.209623180000001</v>
      </c>
      <c r="J42" s="1320">
        <f>매출!K35</f>
        <v>55.295323000000003</v>
      </c>
      <c r="K42" s="1318">
        <f>매출!L35</f>
        <v>51.881485609999999</v>
      </c>
      <c r="L42" s="1319">
        <f>매출!M35</f>
        <v>59.238123010000002</v>
      </c>
      <c r="M42" s="1319">
        <f>매출!N35</f>
        <v>60.599483800000002</v>
      </c>
      <c r="N42" s="1320">
        <f>매출!O35</f>
        <v>56.953136499999999</v>
      </c>
      <c r="O42" s="1321">
        <f>매출!P35</f>
        <v>54.924529559999996</v>
      </c>
      <c r="P42" s="1322">
        <f>매출!Q35</f>
        <v>50.99063572</v>
      </c>
      <c r="Q42" s="1322">
        <f>매출!R35</f>
        <v>56.071415730000005</v>
      </c>
      <c r="R42" s="1323">
        <f>매출!S35</f>
        <v>52.595015480000001</v>
      </c>
      <c r="S42" s="1321">
        <f>매출!T35</f>
        <v>53.122948723359691</v>
      </c>
      <c r="T42" s="1322">
        <f>매출!U35</f>
        <v>54.655289076927417</v>
      </c>
      <c r="U42" s="1322">
        <f>매출!V35</f>
        <v>55.768892808973675</v>
      </c>
      <c r="V42" s="1323">
        <f>매출!W35</f>
        <v>56.886058069666824</v>
      </c>
      <c r="W42" s="1321">
        <f ca="1">매출!X35</f>
        <v>58.675224960000008</v>
      </c>
      <c r="X42" s="1322">
        <f ca="1">매출!Y35</f>
        <v>58.675224960000008</v>
      </c>
      <c r="Y42" s="1322">
        <f ca="1">매출!Z35</f>
        <v>58.675224960000008</v>
      </c>
      <c r="Z42" s="1323">
        <f ca="1">매출!AA35</f>
        <v>58.675224960000008</v>
      </c>
      <c r="AA42" s="1321">
        <f ca="1">매출!AB35</f>
        <v>62.166767565276025</v>
      </c>
      <c r="AB42" s="1322">
        <f ca="1">매출!AC35</f>
        <v>62.166767565276025</v>
      </c>
      <c r="AC42" s="1322">
        <f ca="1">매출!AD35</f>
        <v>62.166767565276025</v>
      </c>
      <c r="AD42" s="1323">
        <f ca="1">매출!AE35</f>
        <v>62.166767565276025</v>
      </c>
      <c r="AE42" s="1321">
        <f ca="1">매출!AF35</f>
        <v>64.050609006648017</v>
      </c>
      <c r="AF42" s="1322">
        <f ca="1">매출!AG35</f>
        <v>64.050609006648017</v>
      </c>
      <c r="AG42" s="1322">
        <f ca="1">매출!AH35</f>
        <v>64.050609006648017</v>
      </c>
      <c r="AH42" s="1323">
        <f ca="1">매출!AI35</f>
        <v>64.050609006648017</v>
      </c>
      <c r="AI42" s="1321">
        <f ca="1">매출!AJ35</f>
        <v>65.93445044802003</v>
      </c>
      <c r="AJ42" s="1322">
        <f ca="1">매출!AK35</f>
        <v>65.93445044802003</v>
      </c>
      <c r="AK42" s="1322">
        <f ca="1">매출!AL35</f>
        <v>65.93445044802003</v>
      </c>
      <c r="AL42" s="1323">
        <f ca="1">매출!AM35</f>
        <v>65.93445044802003</v>
      </c>
      <c r="AM42" s="1321">
        <f ca="1">매출!AN35</f>
        <v>69.852840646073787</v>
      </c>
      <c r="AN42" s="1322">
        <f ca="1">매출!AO35</f>
        <v>69.852840646073787</v>
      </c>
      <c r="AO42" s="1322">
        <f ca="1">매출!AP35</f>
        <v>69.852840646073787</v>
      </c>
      <c r="AP42" s="1323">
        <f ca="1">매출!AQ35</f>
        <v>69.852840646073787</v>
      </c>
      <c r="AQ42" s="1321">
        <f ca="1">매출!AR35</f>
        <v>71.793197330686937</v>
      </c>
      <c r="AR42" s="1322">
        <f ca="1">매출!AS35</f>
        <v>71.793197330686937</v>
      </c>
      <c r="AS42" s="1322">
        <f ca="1">매출!AT35</f>
        <v>71.793197330686937</v>
      </c>
      <c r="AT42" s="1323">
        <f ca="1">매출!AU35</f>
        <v>71.793197330686937</v>
      </c>
      <c r="AU42" s="1321">
        <f ca="1">매출!AV35</f>
        <v>73.733554015300101</v>
      </c>
      <c r="AV42" s="1322">
        <f ca="1">매출!AW35</f>
        <v>73.733554015300101</v>
      </c>
      <c r="AW42" s="1322">
        <f ca="1">매출!AX35</f>
        <v>73.733554015300101</v>
      </c>
      <c r="AX42" s="1323">
        <f ca="1">매출!AY35</f>
        <v>73.733554015300101</v>
      </c>
      <c r="AY42" s="1321">
        <f ca="1">매출!AZ35</f>
        <v>77.944128020910682</v>
      </c>
      <c r="AZ42" s="1322">
        <f ca="1">매출!BA35</f>
        <v>77.944128020910682</v>
      </c>
      <c r="BA42" s="1322">
        <f ca="1">매출!BB35</f>
        <v>77.944128020910682</v>
      </c>
      <c r="BB42" s="1323">
        <f ca="1">매출!BC35</f>
        <v>77.944128020910682</v>
      </c>
      <c r="BC42" s="1321">
        <f ca="1">매출!BD35</f>
        <v>78.743554974971289</v>
      </c>
      <c r="BD42" s="1322">
        <f ca="1">매출!BE35</f>
        <v>78.743554974971289</v>
      </c>
      <c r="BE42" s="1322">
        <f ca="1">매출!BF35</f>
        <v>78.743554974971289</v>
      </c>
      <c r="BF42" s="1323">
        <f ca="1">매출!BG35</f>
        <v>78.743554974971289</v>
      </c>
      <c r="BG42" s="1321">
        <f ca="1">매출!BH35</f>
        <v>79.54298192903191</v>
      </c>
      <c r="BH42" s="1322">
        <f ca="1">매출!BI35</f>
        <v>79.54298192903191</v>
      </c>
      <c r="BI42" s="1322">
        <f ca="1">매출!BJ35</f>
        <v>79.54298192903191</v>
      </c>
      <c r="BJ42" s="1323">
        <f ca="1">매출!BK35</f>
        <v>79.54298192903191</v>
      </c>
      <c r="BK42" s="1321">
        <f ca="1">매출!BL35</f>
        <v>82.752681149585314</v>
      </c>
      <c r="BL42" s="1322">
        <f ca="1">매출!BM35</f>
        <v>82.752681149585314</v>
      </c>
      <c r="BM42" s="1322">
        <f ca="1">매출!BN35</f>
        <v>82.752681149585314</v>
      </c>
      <c r="BN42" s="1323">
        <f ca="1">매출!BO35</f>
        <v>82.752681149585314</v>
      </c>
      <c r="BO42" s="1321">
        <f ca="1">매출!BP35</f>
        <v>83.576090912267759</v>
      </c>
      <c r="BP42" s="1322">
        <f ca="1">매출!BQ35</f>
        <v>83.576090912267759</v>
      </c>
      <c r="BQ42" s="1322">
        <f ca="1">매출!BR35</f>
        <v>83.576090912267759</v>
      </c>
      <c r="BR42" s="1323">
        <f ca="1">매출!BS35</f>
        <v>83.576090912267759</v>
      </c>
      <c r="BS42" s="1321">
        <f ca="1">매출!BT35</f>
        <v>84.39950067495019</v>
      </c>
      <c r="BT42" s="1322">
        <f ca="1">매출!BU35</f>
        <v>84.39950067495019</v>
      </c>
      <c r="BU42" s="1322">
        <f ca="1">매출!BV35</f>
        <v>84.39950067495019</v>
      </c>
      <c r="BV42" s="1323">
        <f ca="1">매출!BW35</f>
        <v>84.39950067495019</v>
      </c>
      <c r="BW42" s="1321">
        <f ca="1">매출!BX35</f>
        <v>87.779597750761624</v>
      </c>
      <c r="BX42" s="1322">
        <f ca="1">매출!BY35</f>
        <v>87.779597750761624</v>
      </c>
      <c r="BY42" s="1322">
        <f ca="1">매출!BZ35</f>
        <v>87.779597750761624</v>
      </c>
      <c r="BZ42" s="1323">
        <f ca="1">매출!CA35</f>
        <v>87.779597750761624</v>
      </c>
      <c r="CA42" s="1321">
        <f ca="1">매출!CB35</f>
        <v>88.627709806324546</v>
      </c>
      <c r="CB42" s="1322">
        <f ca="1">매출!CC35</f>
        <v>88.627709806324546</v>
      </c>
      <c r="CC42" s="1322">
        <f ca="1">매출!CD35</f>
        <v>88.627709806324546</v>
      </c>
      <c r="CD42" s="1323">
        <f ca="1">매출!CE35</f>
        <v>88.627709806324546</v>
      </c>
      <c r="CE42" s="1321">
        <f ca="1">매출!CF35</f>
        <v>89.475821861887439</v>
      </c>
      <c r="CF42" s="1322">
        <f ca="1">매출!CG35</f>
        <v>89.475821861887439</v>
      </c>
      <c r="CG42" s="1322">
        <f ca="1">매출!CH35</f>
        <v>89.475821861887439</v>
      </c>
      <c r="CH42" s="1323">
        <f ca="1">매출!CI35</f>
        <v>89.475821861887439</v>
      </c>
      <c r="CI42" s="1321">
        <f ca="1">매출!CJ35</f>
        <v>93.033651934973875</v>
      </c>
      <c r="CJ42" s="1322">
        <f ca="1">매출!CK35</f>
        <v>93.033651934973875</v>
      </c>
      <c r="CK42" s="1322">
        <f ca="1">매출!CL35</f>
        <v>93.033651934973875</v>
      </c>
      <c r="CL42" s="1323">
        <f ca="1">매출!CM35</f>
        <v>93.033651934973875</v>
      </c>
      <c r="CM42" s="1321">
        <f ca="1">매출!CN35</f>
        <v>93.90720735220367</v>
      </c>
      <c r="CN42" s="1322">
        <f ca="1">매출!CO35</f>
        <v>93.90720735220367</v>
      </c>
      <c r="CO42" s="1322">
        <f ca="1">매출!CP35</f>
        <v>93.90720735220367</v>
      </c>
      <c r="CP42" s="1323">
        <f ca="1">매출!CQ35</f>
        <v>93.90720735220367</v>
      </c>
      <c r="CQ42" s="1321">
        <f ca="1">매출!CR35</f>
        <v>94.78076276943348</v>
      </c>
      <c r="CR42" s="1322">
        <f ca="1">매출!CS35</f>
        <v>94.78076276943348</v>
      </c>
      <c r="CS42" s="1322">
        <f ca="1">매출!CT35</f>
        <v>94.78076276943348</v>
      </c>
      <c r="CT42" s="1323">
        <f ca="1">매출!CU35</f>
        <v>94.78076276943348</v>
      </c>
      <c r="CU42" s="1321">
        <f ca="1">매출!CV35</f>
        <v>98.523947732263181</v>
      </c>
      <c r="CV42" s="1322">
        <f ca="1">매출!CW35</f>
        <v>98.523947732263181</v>
      </c>
      <c r="CW42" s="1322">
        <f ca="1">매출!CX35</f>
        <v>98.523947732263181</v>
      </c>
      <c r="CX42" s="1323">
        <f ca="1">매출!CY35</f>
        <v>98.523947732263181</v>
      </c>
      <c r="CY42" s="1321">
        <f ca="1">매출!CZ35</f>
        <v>99.423709812009889</v>
      </c>
      <c r="CZ42" s="1322">
        <f ca="1">매출!DA35</f>
        <v>99.423709812009889</v>
      </c>
      <c r="DA42" s="1322">
        <f ca="1">매출!DB35</f>
        <v>99.423709812009889</v>
      </c>
      <c r="DB42" s="1323">
        <f ca="1">매출!DC35</f>
        <v>99.423709812009889</v>
      </c>
      <c r="DC42" s="1321">
        <f ca="1">매출!DD35</f>
        <v>100.3234718917566</v>
      </c>
      <c r="DD42" s="1322">
        <f ca="1">매출!DE35</f>
        <v>100.3234718917566</v>
      </c>
      <c r="DE42" s="1322">
        <f ca="1">매출!DF35</f>
        <v>100.3234718917566</v>
      </c>
      <c r="DF42" s="1323">
        <f ca="1">매출!DG35</f>
        <v>100.3234718917566</v>
      </c>
      <c r="DG42" s="1321">
        <f ca="1">매출!DH35</f>
        <v>104.25993099064839</v>
      </c>
      <c r="DH42" s="1322">
        <f ca="1">매출!DI35</f>
        <v>104.25993099064839</v>
      </c>
      <c r="DI42" s="1322">
        <f ca="1">매출!DJ35</f>
        <v>104.25993099064839</v>
      </c>
      <c r="DJ42" s="1323">
        <f ca="1">매출!DK35</f>
        <v>104.25993099064839</v>
      </c>
      <c r="DK42" s="1321">
        <f ca="1">매출!DL35</f>
        <v>105.18668593278748</v>
      </c>
      <c r="DL42" s="1322">
        <f ca="1">매출!DM35</f>
        <v>105.18668593278748</v>
      </c>
      <c r="DM42" s="1322">
        <f ca="1">매출!DN35</f>
        <v>105.18668593278748</v>
      </c>
      <c r="DN42" s="1323">
        <f ca="1">매출!DO35</f>
        <v>105.18668593278748</v>
      </c>
      <c r="DO42" s="1321">
        <f ca="1">매출!DP35</f>
        <v>106.11344087492657</v>
      </c>
      <c r="DP42" s="1322">
        <f ca="1">매출!DQ35</f>
        <v>106.11344087492657</v>
      </c>
      <c r="DQ42" s="1322">
        <f ca="1">매출!DR35</f>
        <v>106.11344087492657</v>
      </c>
      <c r="DR42" s="1323">
        <f ca="1">매출!DS35</f>
        <v>106.11344087492657</v>
      </c>
      <c r="DS42" s="1321">
        <f ca="1">매출!DT35</f>
        <v>110.25140169157766</v>
      </c>
      <c r="DT42" s="1322">
        <f ca="1">매출!DU35</f>
        <v>110.25140169157766</v>
      </c>
      <c r="DU42" s="1322">
        <f ca="1">매출!DV35</f>
        <v>110.25140169157766</v>
      </c>
      <c r="DV42" s="1323">
        <f ca="1">매출!DW35</f>
        <v>110.25140169157766</v>
      </c>
      <c r="DW42" s="1321">
        <f ca="1">매출!DX35</f>
        <v>111.20595928198091</v>
      </c>
      <c r="DX42" s="1322">
        <f ca="1">매출!DY35</f>
        <v>111.20595928198091</v>
      </c>
      <c r="DY42" s="1322">
        <f ca="1">매출!DZ35</f>
        <v>111.20595928198091</v>
      </c>
      <c r="DZ42" s="1323">
        <f ca="1">매출!EA35</f>
        <v>111.20595928198091</v>
      </c>
      <c r="EA42" s="1321">
        <f ca="1">매출!EB35</f>
        <v>112.16051687238416</v>
      </c>
      <c r="EB42" s="1322">
        <f ca="1">매출!EC35</f>
        <v>112.16051687238416</v>
      </c>
      <c r="EC42" s="1322">
        <f ca="1">매출!ED35</f>
        <v>112.16051687238416</v>
      </c>
      <c r="ED42" s="1323">
        <f ca="1">매출!EE35</f>
        <v>112.16051687238416</v>
      </c>
      <c r="EE42" s="1321">
        <f ca="1">매출!EF35</f>
        <v>116.50852669667108</v>
      </c>
      <c r="EF42" s="1322">
        <f ca="1">매출!EG35</f>
        <v>116.50852669667108</v>
      </c>
      <c r="EG42" s="1322">
        <f ca="1">매출!EH35</f>
        <v>116.50852669667108</v>
      </c>
      <c r="EH42" s="1323">
        <f ca="1">매출!EI35</f>
        <v>116.50852669667108</v>
      </c>
      <c r="EI42" s="1321">
        <f ca="1">매출!EJ35</f>
        <v>117.49172101478644</v>
      </c>
      <c r="EJ42" s="1322">
        <f ca="1">매출!EK35</f>
        <v>117.49172101478644</v>
      </c>
      <c r="EK42" s="1322">
        <f ca="1">매출!EL35</f>
        <v>117.49172101478644</v>
      </c>
      <c r="EL42" s="1323">
        <f ca="1">매출!EM35</f>
        <v>117.49172101478644</v>
      </c>
      <c r="EM42" s="1321">
        <f ca="1">매출!EN35</f>
        <v>118.4749153329018</v>
      </c>
      <c r="EN42" s="1322">
        <f ca="1">매출!EO35</f>
        <v>118.4749153329018</v>
      </c>
      <c r="EO42" s="1322">
        <f ca="1">매출!EP35</f>
        <v>118.4749153329018</v>
      </c>
      <c r="EP42" s="1323">
        <f ca="1">매출!EQ35</f>
        <v>118.4749153329018</v>
      </c>
      <c r="EQ42" s="1321">
        <f ca="1">매출!ER35</f>
        <v>123.04185294054767</v>
      </c>
      <c r="ER42" s="1322">
        <f ca="1">매출!ES35</f>
        <v>123.04185294054767</v>
      </c>
      <c r="ES42" s="1322">
        <f ca="1">매출!ET35</f>
        <v>123.04185294054767</v>
      </c>
      <c r="ET42" s="1323">
        <f ca="1">매출!EU35</f>
        <v>123.04185294054767</v>
      </c>
      <c r="EU42" s="1321">
        <f ca="1">매출!EV35</f>
        <v>124.0545430882065</v>
      </c>
      <c r="EV42" s="1322">
        <f ca="1">매출!EW35</f>
        <v>124.0545430882065</v>
      </c>
      <c r="EW42" s="1322">
        <f ca="1">매출!EX35</f>
        <v>124.0545430882065</v>
      </c>
      <c r="EX42" s="1323">
        <f ca="1">매출!EY35</f>
        <v>124.0545430882065</v>
      </c>
      <c r="EY42" s="1321">
        <f ca="1">매출!EZ35</f>
        <v>125.06723323586534</v>
      </c>
      <c r="EZ42" s="1322">
        <f ca="1">매출!FA35</f>
        <v>125.06723323586534</v>
      </c>
      <c r="FA42" s="1322">
        <f ca="1">매출!FB35</f>
        <v>125.06723323586534</v>
      </c>
      <c r="FB42" s="1323">
        <f ca="1">매출!FC35</f>
        <v>125.06723323586534</v>
      </c>
      <c r="FC42" s="1321">
        <f ca="1">매출!FD35</f>
        <v>129.86232108502989</v>
      </c>
      <c r="FD42" s="1322">
        <f ca="1">매출!FE35</f>
        <v>129.86232108502989</v>
      </c>
      <c r="FE42" s="1322">
        <f ca="1">매출!FF35</f>
        <v>129.86232108502989</v>
      </c>
      <c r="FF42" s="1323">
        <f ca="1">매출!FG35</f>
        <v>129.86232108502989</v>
      </c>
      <c r="FG42" s="1321">
        <f ca="1">매출!FH35</f>
        <v>130.90539193711848</v>
      </c>
      <c r="FH42" s="1322">
        <f ca="1">매출!FI35</f>
        <v>130.90539193711848</v>
      </c>
      <c r="FI42" s="1322">
        <f ca="1">매출!FJ35</f>
        <v>130.90539193711848</v>
      </c>
      <c r="FJ42" s="1323">
        <f ca="1">매출!FK35</f>
        <v>130.90539193711848</v>
      </c>
      <c r="FK42" s="1321">
        <f ca="1">매출!FL35</f>
        <v>131.94846278920707</v>
      </c>
      <c r="FL42" s="1322">
        <f ca="1">매출!FM35</f>
        <v>131.94846278920707</v>
      </c>
      <c r="FM42" s="1322">
        <f ca="1">매출!FN35</f>
        <v>0</v>
      </c>
      <c r="FN42" s="1323">
        <f ca="1">매출!FO35</f>
        <v>0</v>
      </c>
      <c r="FO42" s="1321">
        <f>매출!FP35</f>
        <v>0</v>
      </c>
      <c r="FP42" s="1322">
        <f>매출!FQ35</f>
        <v>0</v>
      </c>
      <c r="FQ42" s="1322">
        <f>매출!FR35</f>
        <v>0</v>
      </c>
      <c r="FR42" s="1323">
        <f>매출!FS35</f>
        <v>0</v>
      </c>
      <c r="FS42" s="1321">
        <f>매출!FT35</f>
        <v>0</v>
      </c>
      <c r="FT42" s="1322">
        <f>매출!FU35</f>
        <v>0</v>
      </c>
      <c r="FU42" s="1322">
        <f>매출!FV35</f>
        <v>0</v>
      </c>
      <c r="FV42" s="1323">
        <f>매출!FW35</f>
        <v>0</v>
      </c>
      <c r="FW42" s="1321">
        <f>매출!FX35</f>
        <v>0</v>
      </c>
      <c r="FX42" s="1322">
        <f>매출!FY35</f>
        <v>0</v>
      </c>
      <c r="FY42" s="1322">
        <f>매출!FZ35</f>
        <v>0</v>
      </c>
      <c r="FZ42" s="1323">
        <f>매출!GA35</f>
        <v>0</v>
      </c>
      <c r="GA42" s="1321">
        <f>매출!GB35</f>
        <v>0</v>
      </c>
      <c r="GB42" s="1322">
        <f>매출!GC35</f>
        <v>0</v>
      </c>
      <c r="GC42" s="1322">
        <f>매출!GD35</f>
        <v>0</v>
      </c>
      <c r="GD42" s="1323">
        <f>매출!GE35</f>
        <v>0</v>
      </c>
    </row>
    <row r="43" spans="2:186" ht="17.100000000000001" customHeight="1">
      <c r="C43" s="307"/>
      <c r="D43" s="1274" t="str">
        <f>매출!C60</f>
        <v>접안료</v>
      </c>
      <c r="E43" s="742"/>
      <c r="F43" s="767">
        <f t="shared" ref="F43:F50" si="40">SUM(O43:GD43)</f>
        <v>321.13638823999963</v>
      </c>
      <c r="G43" s="1275">
        <f>매출!H38</f>
        <v>2.2596690000000001</v>
      </c>
      <c r="H43" s="1290">
        <f>매출!I38</f>
        <v>2.3151991000000001</v>
      </c>
      <c r="I43" s="1290">
        <f>매출!J38</f>
        <v>2.4369551</v>
      </c>
      <c r="J43" s="1291">
        <f>매출!K38</f>
        <v>2.4655201999999998</v>
      </c>
      <c r="K43" s="1275">
        <f>매출!L38</f>
        <v>3.0230809999999999</v>
      </c>
      <c r="L43" s="1290">
        <f>매출!M38</f>
        <v>2.4244161000000002</v>
      </c>
      <c r="M43" s="1290">
        <f>매출!N38</f>
        <v>2.5753281000000001</v>
      </c>
      <c r="N43" s="1291">
        <f>매출!O38</f>
        <v>2.3385544</v>
      </c>
      <c r="O43" s="728">
        <f>매출!P38</f>
        <v>2.1990848000000001</v>
      </c>
      <c r="P43" s="729">
        <f>매출!Q38</f>
        <v>1.9978662</v>
      </c>
      <c r="Q43" s="729">
        <f>매출!R38</f>
        <v>2.0989122</v>
      </c>
      <c r="R43" s="730">
        <f>매출!S38</f>
        <v>2.16946824</v>
      </c>
      <c r="S43" s="728">
        <f>매출!T38</f>
        <v>2.013436478</v>
      </c>
      <c r="T43" s="729">
        <f>매출!U38</f>
        <v>2.0679245879999999</v>
      </c>
      <c r="U43" s="729">
        <f>매출!V38</f>
        <v>2.1073897180000003</v>
      </c>
      <c r="V43" s="730">
        <f>매출!W38</f>
        <v>2.1491440639999997</v>
      </c>
      <c r="W43" s="728">
        <f>매출!X38</f>
        <v>2.0844737119999999</v>
      </c>
      <c r="X43" s="729">
        <f>매출!Y38</f>
        <v>2.0844737119999999</v>
      </c>
      <c r="Y43" s="729">
        <f>매출!Z38</f>
        <v>2.0844737119999999</v>
      </c>
      <c r="Z43" s="730">
        <f>매출!AA38</f>
        <v>2.0844737119999999</v>
      </c>
      <c r="AA43" s="728">
        <f>매출!AB38</f>
        <v>2.0844737119999999</v>
      </c>
      <c r="AB43" s="729">
        <f>매출!AC38</f>
        <v>2.0844737119999999</v>
      </c>
      <c r="AC43" s="729">
        <f>매출!AD38</f>
        <v>2.0844737119999999</v>
      </c>
      <c r="AD43" s="730">
        <f>매출!AE38</f>
        <v>2.0844737119999999</v>
      </c>
      <c r="AE43" s="728">
        <f>매출!AF38</f>
        <v>2.0844737119999999</v>
      </c>
      <c r="AF43" s="729">
        <f>매출!AG38</f>
        <v>2.0844737119999999</v>
      </c>
      <c r="AG43" s="729">
        <f>매출!AH38</f>
        <v>2.0844737119999999</v>
      </c>
      <c r="AH43" s="730">
        <f>매출!AI38</f>
        <v>2.0844737119999999</v>
      </c>
      <c r="AI43" s="728">
        <f>매출!AJ38</f>
        <v>2.0844737119999999</v>
      </c>
      <c r="AJ43" s="729">
        <f>매출!AK38</f>
        <v>2.0844737119999999</v>
      </c>
      <c r="AK43" s="729">
        <f>매출!AL38</f>
        <v>2.0844737119999999</v>
      </c>
      <c r="AL43" s="730">
        <f>매출!AM38</f>
        <v>2.0844737119999999</v>
      </c>
      <c r="AM43" s="728">
        <f>매출!AN38</f>
        <v>2.0844737119999999</v>
      </c>
      <c r="AN43" s="729">
        <f>매출!AO38</f>
        <v>2.0844737119999999</v>
      </c>
      <c r="AO43" s="729">
        <f>매출!AP38</f>
        <v>2.0844737119999999</v>
      </c>
      <c r="AP43" s="730">
        <f>매출!AQ38</f>
        <v>2.0844737119999999</v>
      </c>
      <c r="AQ43" s="728">
        <f>매출!AR38</f>
        <v>2.0844737119999999</v>
      </c>
      <c r="AR43" s="729">
        <f>매출!AS38</f>
        <v>2.0844737119999999</v>
      </c>
      <c r="AS43" s="729">
        <f>매출!AT38</f>
        <v>2.0844737119999999</v>
      </c>
      <c r="AT43" s="730">
        <f>매출!AU38</f>
        <v>2.0844737119999999</v>
      </c>
      <c r="AU43" s="728">
        <f>매출!AV38</f>
        <v>2.0844737119999999</v>
      </c>
      <c r="AV43" s="729">
        <f>매출!AW38</f>
        <v>2.0844737119999999</v>
      </c>
      <c r="AW43" s="729">
        <f>매출!AX38</f>
        <v>2.0844737119999999</v>
      </c>
      <c r="AX43" s="730">
        <f>매출!AY38</f>
        <v>2.0844737119999999</v>
      </c>
      <c r="AY43" s="728">
        <f>매출!AZ38</f>
        <v>2.0844737119999999</v>
      </c>
      <c r="AZ43" s="729">
        <f>매출!BA38</f>
        <v>2.0844737119999999</v>
      </c>
      <c r="BA43" s="729">
        <f>매출!BB38</f>
        <v>2.0844737119999999</v>
      </c>
      <c r="BB43" s="730">
        <f>매출!BC38</f>
        <v>2.0844737119999999</v>
      </c>
      <c r="BC43" s="728">
        <f>매출!BD38</f>
        <v>2.0844737119999999</v>
      </c>
      <c r="BD43" s="729">
        <f>매출!BE38</f>
        <v>2.0844737119999999</v>
      </c>
      <c r="BE43" s="729">
        <f>매출!BF38</f>
        <v>2.0844737119999999</v>
      </c>
      <c r="BF43" s="730">
        <f>매출!BG38</f>
        <v>2.0844737119999999</v>
      </c>
      <c r="BG43" s="728">
        <f>매출!BH38</f>
        <v>2.0844737119999999</v>
      </c>
      <c r="BH43" s="729">
        <f>매출!BI38</f>
        <v>2.0844737119999999</v>
      </c>
      <c r="BI43" s="729">
        <f>매출!BJ38</f>
        <v>2.0844737119999999</v>
      </c>
      <c r="BJ43" s="730">
        <f>매출!BK38</f>
        <v>2.0844737119999999</v>
      </c>
      <c r="BK43" s="728">
        <f>매출!BL38</f>
        <v>2.0844737119999999</v>
      </c>
      <c r="BL43" s="729">
        <f>매출!BM38</f>
        <v>2.0844737119999999</v>
      </c>
      <c r="BM43" s="729">
        <f>매출!BN38</f>
        <v>2.0844737119999999</v>
      </c>
      <c r="BN43" s="730">
        <f>매출!BO38</f>
        <v>2.0844737119999999</v>
      </c>
      <c r="BO43" s="728">
        <f>매출!BP38</f>
        <v>2.0844737119999999</v>
      </c>
      <c r="BP43" s="729">
        <f>매출!BQ38</f>
        <v>2.0844737119999999</v>
      </c>
      <c r="BQ43" s="729">
        <f>매출!BR38</f>
        <v>2.0844737119999999</v>
      </c>
      <c r="BR43" s="730">
        <f>매출!BS38</f>
        <v>2.0844737119999999</v>
      </c>
      <c r="BS43" s="728">
        <f>매출!BT38</f>
        <v>2.0844737119999999</v>
      </c>
      <c r="BT43" s="729">
        <f>매출!BU38</f>
        <v>2.0844737119999999</v>
      </c>
      <c r="BU43" s="729">
        <f>매출!BV38</f>
        <v>2.0844737119999999</v>
      </c>
      <c r="BV43" s="730">
        <f>매출!BW38</f>
        <v>2.0844737119999999</v>
      </c>
      <c r="BW43" s="728">
        <f>매출!BX38</f>
        <v>2.0844737119999999</v>
      </c>
      <c r="BX43" s="729">
        <f>매출!BY38</f>
        <v>2.0844737119999999</v>
      </c>
      <c r="BY43" s="729">
        <f>매출!BZ38</f>
        <v>2.0844737119999999</v>
      </c>
      <c r="BZ43" s="730">
        <f>매출!CA38</f>
        <v>2.0844737119999999</v>
      </c>
      <c r="CA43" s="728">
        <f>매출!CB38</f>
        <v>2.0844737119999999</v>
      </c>
      <c r="CB43" s="729">
        <f>매출!CC38</f>
        <v>2.0844737119999999</v>
      </c>
      <c r="CC43" s="729">
        <f>매출!CD38</f>
        <v>2.0844737119999999</v>
      </c>
      <c r="CD43" s="730">
        <f>매출!CE38</f>
        <v>2.0844737119999999</v>
      </c>
      <c r="CE43" s="728">
        <f>매출!CF38</f>
        <v>2.0844737119999999</v>
      </c>
      <c r="CF43" s="729">
        <f>매출!CG38</f>
        <v>2.0844737119999999</v>
      </c>
      <c r="CG43" s="729">
        <f>매출!CH38</f>
        <v>2.0844737119999999</v>
      </c>
      <c r="CH43" s="730">
        <f>매출!CI38</f>
        <v>2.0844737119999999</v>
      </c>
      <c r="CI43" s="728">
        <f>매출!CJ38</f>
        <v>2.0844737119999999</v>
      </c>
      <c r="CJ43" s="729">
        <f>매출!CK38</f>
        <v>2.0844737119999999</v>
      </c>
      <c r="CK43" s="729">
        <f>매출!CL38</f>
        <v>2.0844737119999999</v>
      </c>
      <c r="CL43" s="730">
        <f>매출!CM38</f>
        <v>2.0844737119999999</v>
      </c>
      <c r="CM43" s="728">
        <f>매출!CN38</f>
        <v>2.0844737119999999</v>
      </c>
      <c r="CN43" s="729">
        <f>매출!CO38</f>
        <v>2.0844737119999999</v>
      </c>
      <c r="CO43" s="729">
        <f>매출!CP38</f>
        <v>2.0844737119999999</v>
      </c>
      <c r="CP43" s="730">
        <f>매출!CQ38</f>
        <v>2.0844737119999999</v>
      </c>
      <c r="CQ43" s="728">
        <f>매출!CR38</f>
        <v>2.0844737119999999</v>
      </c>
      <c r="CR43" s="729">
        <f>매출!CS38</f>
        <v>2.0844737119999999</v>
      </c>
      <c r="CS43" s="729">
        <f>매출!CT38</f>
        <v>2.0844737119999999</v>
      </c>
      <c r="CT43" s="730">
        <f>매출!CU38</f>
        <v>2.0844737119999999</v>
      </c>
      <c r="CU43" s="728">
        <f>매출!CV38</f>
        <v>2.0844737119999999</v>
      </c>
      <c r="CV43" s="729">
        <f>매출!CW38</f>
        <v>2.0844737119999999</v>
      </c>
      <c r="CW43" s="729">
        <f>매출!CX38</f>
        <v>2.0844737119999999</v>
      </c>
      <c r="CX43" s="730">
        <f>매출!CY38</f>
        <v>2.0844737119999999</v>
      </c>
      <c r="CY43" s="728">
        <f>매출!CZ38</f>
        <v>2.0844737119999999</v>
      </c>
      <c r="CZ43" s="729">
        <f>매출!DA38</f>
        <v>2.0844737119999999</v>
      </c>
      <c r="DA43" s="729">
        <f>매출!DB38</f>
        <v>2.0844737119999999</v>
      </c>
      <c r="DB43" s="730">
        <f>매출!DC38</f>
        <v>2.0844737119999999</v>
      </c>
      <c r="DC43" s="728">
        <f>매출!DD38</f>
        <v>2.0844737119999999</v>
      </c>
      <c r="DD43" s="729">
        <f>매출!DE38</f>
        <v>2.0844737119999999</v>
      </c>
      <c r="DE43" s="729">
        <f>매출!DF38</f>
        <v>2.0844737119999999</v>
      </c>
      <c r="DF43" s="730">
        <f>매출!DG38</f>
        <v>2.0844737119999999</v>
      </c>
      <c r="DG43" s="728">
        <f>매출!DH38</f>
        <v>2.0844737119999999</v>
      </c>
      <c r="DH43" s="729">
        <f>매출!DI38</f>
        <v>2.0844737119999999</v>
      </c>
      <c r="DI43" s="729">
        <f>매출!DJ38</f>
        <v>2.0844737119999999</v>
      </c>
      <c r="DJ43" s="730">
        <f>매출!DK38</f>
        <v>2.0844737119999999</v>
      </c>
      <c r="DK43" s="728">
        <f>매출!DL38</f>
        <v>2.0844737119999999</v>
      </c>
      <c r="DL43" s="729">
        <f>매출!DM38</f>
        <v>2.0844737119999999</v>
      </c>
      <c r="DM43" s="729">
        <f>매출!DN38</f>
        <v>2.0844737119999999</v>
      </c>
      <c r="DN43" s="730">
        <f>매출!DO38</f>
        <v>2.0844737119999999</v>
      </c>
      <c r="DO43" s="728">
        <f>매출!DP38</f>
        <v>2.0844737119999999</v>
      </c>
      <c r="DP43" s="729">
        <f>매출!DQ38</f>
        <v>2.0844737119999999</v>
      </c>
      <c r="DQ43" s="729">
        <f>매출!DR38</f>
        <v>2.0844737119999999</v>
      </c>
      <c r="DR43" s="730">
        <f>매출!DS38</f>
        <v>2.0844737119999999</v>
      </c>
      <c r="DS43" s="728">
        <f>매출!DT38</f>
        <v>2.0844737119999999</v>
      </c>
      <c r="DT43" s="729">
        <f>매출!DU38</f>
        <v>2.0844737119999999</v>
      </c>
      <c r="DU43" s="729">
        <f>매출!DV38</f>
        <v>2.0844737119999999</v>
      </c>
      <c r="DV43" s="730">
        <f>매출!DW38</f>
        <v>2.0844737119999999</v>
      </c>
      <c r="DW43" s="728">
        <f>매출!DX38</f>
        <v>2.0844737119999999</v>
      </c>
      <c r="DX43" s="729">
        <f>매출!DY38</f>
        <v>2.0844737119999999</v>
      </c>
      <c r="DY43" s="729">
        <f>매출!DZ38</f>
        <v>2.0844737119999999</v>
      </c>
      <c r="DZ43" s="730">
        <f>매출!EA38</f>
        <v>2.0844737119999999</v>
      </c>
      <c r="EA43" s="728">
        <f>매출!EB38</f>
        <v>2.0844737119999999</v>
      </c>
      <c r="EB43" s="729">
        <f>매출!EC38</f>
        <v>2.0844737119999999</v>
      </c>
      <c r="EC43" s="729">
        <f>매출!ED38</f>
        <v>2.0844737119999999</v>
      </c>
      <c r="ED43" s="730">
        <f>매출!EE38</f>
        <v>2.0844737119999999</v>
      </c>
      <c r="EE43" s="728">
        <f>매출!EF38</f>
        <v>2.0844737119999999</v>
      </c>
      <c r="EF43" s="729">
        <f>매출!EG38</f>
        <v>2.0844737119999999</v>
      </c>
      <c r="EG43" s="729">
        <f>매출!EH38</f>
        <v>2.0844737119999999</v>
      </c>
      <c r="EH43" s="730">
        <f>매출!EI38</f>
        <v>2.0844737119999999</v>
      </c>
      <c r="EI43" s="728">
        <f>매출!EJ38</f>
        <v>2.0844737119999999</v>
      </c>
      <c r="EJ43" s="729">
        <f>매출!EK38</f>
        <v>2.0844737119999999</v>
      </c>
      <c r="EK43" s="729">
        <f>매출!EL38</f>
        <v>2.0844737119999999</v>
      </c>
      <c r="EL43" s="730">
        <f>매출!EM38</f>
        <v>2.0844737119999999</v>
      </c>
      <c r="EM43" s="728">
        <f>매출!EN38</f>
        <v>2.0844737119999999</v>
      </c>
      <c r="EN43" s="729">
        <f>매출!EO38</f>
        <v>2.0844737119999999</v>
      </c>
      <c r="EO43" s="729">
        <f>매출!EP38</f>
        <v>2.0844737119999999</v>
      </c>
      <c r="EP43" s="730">
        <f>매출!EQ38</f>
        <v>2.0844737119999999</v>
      </c>
      <c r="EQ43" s="728">
        <f>매출!ER38</f>
        <v>2.0844737119999999</v>
      </c>
      <c r="ER43" s="729">
        <f>매출!ES38</f>
        <v>2.0844737119999999</v>
      </c>
      <c r="ES43" s="729">
        <f>매출!ET38</f>
        <v>2.0844737119999999</v>
      </c>
      <c r="ET43" s="730">
        <f>매출!EU38</f>
        <v>2.0844737119999999</v>
      </c>
      <c r="EU43" s="728">
        <f>매출!EV38</f>
        <v>2.0844737119999999</v>
      </c>
      <c r="EV43" s="729">
        <f>매출!EW38</f>
        <v>2.0844737119999999</v>
      </c>
      <c r="EW43" s="729">
        <f>매출!EX38</f>
        <v>2.0844737119999999</v>
      </c>
      <c r="EX43" s="730">
        <f>매출!EY38</f>
        <v>2.0844737119999999</v>
      </c>
      <c r="EY43" s="728">
        <f>매출!EZ38</f>
        <v>2.0844737119999999</v>
      </c>
      <c r="EZ43" s="729">
        <f>매출!FA38</f>
        <v>2.0844737119999999</v>
      </c>
      <c r="FA43" s="729">
        <f>매출!FB38</f>
        <v>2.0844737119999999</v>
      </c>
      <c r="FB43" s="730">
        <f>매출!FC38</f>
        <v>2.0844737119999999</v>
      </c>
      <c r="FC43" s="728">
        <f>매출!FD38</f>
        <v>2.0844737119999999</v>
      </c>
      <c r="FD43" s="729">
        <f>매출!FE38</f>
        <v>2.0844737119999999</v>
      </c>
      <c r="FE43" s="729">
        <f>매출!FF38</f>
        <v>2.0844737119999999</v>
      </c>
      <c r="FF43" s="730">
        <f>매출!FG38</f>
        <v>2.0844737119999999</v>
      </c>
      <c r="FG43" s="728">
        <f>매출!FH38</f>
        <v>2.0844737119999999</v>
      </c>
      <c r="FH43" s="729">
        <f>매출!FI38</f>
        <v>2.0844737119999999</v>
      </c>
      <c r="FI43" s="729">
        <f>매출!FJ38</f>
        <v>2.0844737119999999</v>
      </c>
      <c r="FJ43" s="730">
        <f>매출!FK38</f>
        <v>2.0844737119999999</v>
      </c>
      <c r="FK43" s="728">
        <f>매출!FL38</f>
        <v>2.0844737119999999</v>
      </c>
      <c r="FL43" s="729">
        <f>매출!FM38</f>
        <v>2.0844737119999999</v>
      </c>
      <c r="FM43" s="729">
        <f>매출!FN38</f>
        <v>0</v>
      </c>
      <c r="FN43" s="730">
        <f>매출!FO38</f>
        <v>0</v>
      </c>
      <c r="FO43" s="728">
        <f>매출!FP38</f>
        <v>0</v>
      </c>
      <c r="FP43" s="729">
        <f>매출!FQ38</f>
        <v>0</v>
      </c>
      <c r="FQ43" s="729">
        <f>매출!FR38</f>
        <v>0</v>
      </c>
      <c r="FR43" s="730">
        <f>매출!FS38</f>
        <v>0</v>
      </c>
      <c r="FS43" s="728">
        <f>매출!FT38</f>
        <v>0</v>
      </c>
      <c r="FT43" s="729">
        <f>매출!FU38</f>
        <v>0</v>
      </c>
      <c r="FU43" s="729">
        <f>매출!FV38</f>
        <v>0</v>
      </c>
      <c r="FV43" s="730">
        <f>매출!FW38</f>
        <v>0</v>
      </c>
      <c r="FW43" s="728">
        <f>매출!FX38</f>
        <v>0</v>
      </c>
      <c r="FX43" s="729">
        <f>매출!FY38</f>
        <v>0</v>
      </c>
      <c r="FY43" s="729">
        <f>매출!FZ38</f>
        <v>0</v>
      </c>
      <c r="FZ43" s="730">
        <f>매출!GA38</f>
        <v>0</v>
      </c>
      <c r="GA43" s="728">
        <f>매출!GB38</f>
        <v>0</v>
      </c>
      <c r="GB43" s="729">
        <f>매출!GC38</f>
        <v>0</v>
      </c>
      <c r="GC43" s="729">
        <f>매출!GD38</f>
        <v>0</v>
      </c>
      <c r="GD43" s="730">
        <f>매출!GE38</f>
        <v>0</v>
      </c>
    </row>
    <row r="44" spans="2:186" ht="17.100000000000001" customHeight="1">
      <c r="C44" s="307"/>
      <c r="D44" s="1274" t="str">
        <f>매출!C61</f>
        <v>CFS동 운영 수입</v>
      </c>
      <c r="E44" s="742"/>
      <c r="F44" s="767">
        <f t="shared" si="40"/>
        <v>9.2785404899999886</v>
      </c>
      <c r="G44" s="1275">
        <f>매출!H39</f>
        <v>5.7876200000000003E-2</v>
      </c>
      <c r="H44" s="1290">
        <f>매출!I39</f>
        <v>5.3461399999999999E-2</v>
      </c>
      <c r="I44" s="1290">
        <f>매출!J39</f>
        <v>3.7817999999999997E-2</v>
      </c>
      <c r="J44" s="1291">
        <f>매출!K39</f>
        <v>0.06</v>
      </c>
      <c r="K44" s="1275">
        <f>매출!L39</f>
        <v>0.14077054999999999</v>
      </c>
      <c r="L44" s="1290">
        <f>매출!M39</f>
        <v>0.11409345</v>
      </c>
      <c r="M44" s="1290">
        <f>매출!N39</f>
        <v>8.7302299999999999E-2</v>
      </c>
      <c r="N44" s="1291">
        <f>매출!O39</f>
        <v>6.7859249999999996E-2</v>
      </c>
      <c r="O44" s="728">
        <f>매출!P39</f>
        <v>6.3013280000000005E-2</v>
      </c>
      <c r="P44" s="729">
        <f>매출!Q39</f>
        <v>9.5527210000000001E-2</v>
      </c>
      <c r="Q44" s="729">
        <f>매출!R39</f>
        <v>0.06</v>
      </c>
      <c r="R44" s="730">
        <f>매출!S39</f>
        <v>0.06</v>
      </c>
      <c r="S44" s="728">
        <f>매출!T39</f>
        <v>0.06</v>
      </c>
      <c r="T44" s="729">
        <f>매출!U39</f>
        <v>0.06</v>
      </c>
      <c r="U44" s="729">
        <f>매출!V39</f>
        <v>0.06</v>
      </c>
      <c r="V44" s="730">
        <f>매출!W39</f>
        <v>0.06</v>
      </c>
      <c r="W44" s="728">
        <f>매출!X39</f>
        <v>0.06</v>
      </c>
      <c r="X44" s="729">
        <f>매출!Y39</f>
        <v>0.06</v>
      </c>
      <c r="Y44" s="729">
        <f>매출!Z39</f>
        <v>0.06</v>
      </c>
      <c r="Z44" s="730">
        <f>매출!AA39</f>
        <v>0.06</v>
      </c>
      <c r="AA44" s="728">
        <f>매출!AB39</f>
        <v>0.06</v>
      </c>
      <c r="AB44" s="729">
        <f>매출!AC39</f>
        <v>0.06</v>
      </c>
      <c r="AC44" s="729">
        <f>매출!AD39</f>
        <v>0.06</v>
      </c>
      <c r="AD44" s="730">
        <f>매출!AE39</f>
        <v>0.06</v>
      </c>
      <c r="AE44" s="728">
        <f>매출!AF39</f>
        <v>0.06</v>
      </c>
      <c r="AF44" s="729">
        <f>매출!AG39</f>
        <v>0.06</v>
      </c>
      <c r="AG44" s="729">
        <f>매출!AH39</f>
        <v>0.06</v>
      </c>
      <c r="AH44" s="730">
        <f>매출!AI39</f>
        <v>0.06</v>
      </c>
      <c r="AI44" s="728">
        <f>매출!AJ39</f>
        <v>0.06</v>
      </c>
      <c r="AJ44" s="729">
        <f>매출!AK39</f>
        <v>0.06</v>
      </c>
      <c r="AK44" s="729">
        <f>매출!AL39</f>
        <v>0.06</v>
      </c>
      <c r="AL44" s="730">
        <f>매출!AM39</f>
        <v>0.06</v>
      </c>
      <c r="AM44" s="728">
        <f>매출!AN39</f>
        <v>0.06</v>
      </c>
      <c r="AN44" s="729">
        <f>매출!AO39</f>
        <v>0.06</v>
      </c>
      <c r="AO44" s="729">
        <f>매출!AP39</f>
        <v>0.06</v>
      </c>
      <c r="AP44" s="730">
        <f>매출!AQ39</f>
        <v>0.06</v>
      </c>
      <c r="AQ44" s="728">
        <f>매출!AR39</f>
        <v>0.06</v>
      </c>
      <c r="AR44" s="729">
        <f>매출!AS39</f>
        <v>0.06</v>
      </c>
      <c r="AS44" s="729">
        <f>매출!AT39</f>
        <v>0.06</v>
      </c>
      <c r="AT44" s="730">
        <f>매출!AU39</f>
        <v>0.06</v>
      </c>
      <c r="AU44" s="728">
        <f>매출!AV39</f>
        <v>0.06</v>
      </c>
      <c r="AV44" s="729">
        <f>매출!AW39</f>
        <v>0.06</v>
      </c>
      <c r="AW44" s="729">
        <f>매출!AX39</f>
        <v>0.06</v>
      </c>
      <c r="AX44" s="730">
        <f>매출!AY39</f>
        <v>0.06</v>
      </c>
      <c r="AY44" s="728">
        <f>매출!AZ39</f>
        <v>0.06</v>
      </c>
      <c r="AZ44" s="729">
        <f>매출!BA39</f>
        <v>0.06</v>
      </c>
      <c r="BA44" s="729">
        <f>매출!BB39</f>
        <v>0.06</v>
      </c>
      <c r="BB44" s="730">
        <f>매출!BC39</f>
        <v>0.06</v>
      </c>
      <c r="BC44" s="728">
        <f>매출!BD39</f>
        <v>0.06</v>
      </c>
      <c r="BD44" s="729">
        <f>매출!BE39</f>
        <v>0.06</v>
      </c>
      <c r="BE44" s="729">
        <f>매출!BF39</f>
        <v>0.06</v>
      </c>
      <c r="BF44" s="730">
        <f>매출!BG39</f>
        <v>0.06</v>
      </c>
      <c r="BG44" s="728">
        <f>매출!BH39</f>
        <v>0.06</v>
      </c>
      <c r="BH44" s="729">
        <f>매출!BI39</f>
        <v>0.06</v>
      </c>
      <c r="BI44" s="729">
        <f>매출!BJ39</f>
        <v>0.06</v>
      </c>
      <c r="BJ44" s="730">
        <f>매출!BK39</f>
        <v>0.06</v>
      </c>
      <c r="BK44" s="728">
        <f>매출!BL39</f>
        <v>0.06</v>
      </c>
      <c r="BL44" s="729">
        <f>매출!BM39</f>
        <v>0.06</v>
      </c>
      <c r="BM44" s="729">
        <f>매출!BN39</f>
        <v>0.06</v>
      </c>
      <c r="BN44" s="730">
        <f>매출!BO39</f>
        <v>0.06</v>
      </c>
      <c r="BO44" s="728">
        <f>매출!BP39</f>
        <v>0.06</v>
      </c>
      <c r="BP44" s="729">
        <f>매출!BQ39</f>
        <v>0.06</v>
      </c>
      <c r="BQ44" s="729">
        <f>매출!BR39</f>
        <v>0.06</v>
      </c>
      <c r="BR44" s="730">
        <f>매출!BS39</f>
        <v>0.06</v>
      </c>
      <c r="BS44" s="728">
        <f>매출!BT39</f>
        <v>0.06</v>
      </c>
      <c r="BT44" s="729">
        <f>매출!BU39</f>
        <v>0.06</v>
      </c>
      <c r="BU44" s="729">
        <f>매출!BV39</f>
        <v>0.06</v>
      </c>
      <c r="BV44" s="730">
        <f>매출!BW39</f>
        <v>0.06</v>
      </c>
      <c r="BW44" s="728">
        <f>매출!BX39</f>
        <v>0.06</v>
      </c>
      <c r="BX44" s="729">
        <f>매출!BY39</f>
        <v>0.06</v>
      </c>
      <c r="BY44" s="729">
        <f>매출!BZ39</f>
        <v>0.06</v>
      </c>
      <c r="BZ44" s="730">
        <f>매출!CA39</f>
        <v>0.06</v>
      </c>
      <c r="CA44" s="728">
        <f>매출!CB39</f>
        <v>0.06</v>
      </c>
      <c r="CB44" s="729">
        <f>매출!CC39</f>
        <v>0.06</v>
      </c>
      <c r="CC44" s="729">
        <f>매출!CD39</f>
        <v>0.06</v>
      </c>
      <c r="CD44" s="730">
        <f>매출!CE39</f>
        <v>0.06</v>
      </c>
      <c r="CE44" s="728">
        <f>매출!CF39</f>
        <v>0.06</v>
      </c>
      <c r="CF44" s="729">
        <f>매출!CG39</f>
        <v>0.06</v>
      </c>
      <c r="CG44" s="729">
        <f>매출!CH39</f>
        <v>0.06</v>
      </c>
      <c r="CH44" s="730">
        <f>매출!CI39</f>
        <v>0.06</v>
      </c>
      <c r="CI44" s="728">
        <f>매출!CJ39</f>
        <v>0.06</v>
      </c>
      <c r="CJ44" s="729">
        <f>매출!CK39</f>
        <v>0.06</v>
      </c>
      <c r="CK44" s="729">
        <f>매출!CL39</f>
        <v>0.06</v>
      </c>
      <c r="CL44" s="730">
        <f>매출!CM39</f>
        <v>0.06</v>
      </c>
      <c r="CM44" s="728">
        <f>매출!CN39</f>
        <v>0.06</v>
      </c>
      <c r="CN44" s="729">
        <f>매출!CO39</f>
        <v>0.06</v>
      </c>
      <c r="CO44" s="729">
        <f>매출!CP39</f>
        <v>0.06</v>
      </c>
      <c r="CP44" s="730">
        <f>매출!CQ39</f>
        <v>0.06</v>
      </c>
      <c r="CQ44" s="728">
        <f>매출!CR39</f>
        <v>0.06</v>
      </c>
      <c r="CR44" s="729">
        <f>매출!CS39</f>
        <v>0.06</v>
      </c>
      <c r="CS44" s="729">
        <f>매출!CT39</f>
        <v>0.06</v>
      </c>
      <c r="CT44" s="730">
        <f>매출!CU39</f>
        <v>0.06</v>
      </c>
      <c r="CU44" s="728">
        <f>매출!CV39</f>
        <v>0.06</v>
      </c>
      <c r="CV44" s="729">
        <f>매출!CW39</f>
        <v>0.06</v>
      </c>
      <c r="CW44" s="729">
        <f>매출!CX39</f>
        <v>0.06</v>
      </c>
      <c r="CX44" s="730">
        <f>매출!CY39</f>
        <v>0.06</v>
      </c>
      <c r="CY44" s="728">
        <f>매출!CZ39</f>
        <v>0.06</v>
      </c>
      <c r="CZ44" s="729">
        <f>매출!DA39</f>
        <v>0.06</v>
      </c>
      <c r="DA44" s="729">
        <f>매출!DB39</f>
        <v>0.06</v>
      </c>
      <c r="DB44" s="730">
        <f>매출!DC39</f>
        <v>0.06</v>
      </c>
      <c r="DC44" s="728">
        <f>매출!DD39</f>
        <v>0.06</v>
      </c>
      <c r="DD44" s="729">
        <f>매출!DE39</f>
        <v>0.06</v>
      </c>
      <c r="DE44" s="729">
        <f>매출!DF39</f>
        <v>0.06</v>
      </c>
      <c r="DF44" s="730">
        <f>매출!DG39</f>
        <v>0.06</v>
      </c>
      <c r="DG44" s="728">
        <f>매출!DH39</f>
        <v>0.06</v>
      </c>
      <c r="DH44" s="729">
        <f>매출!DI39</f>
        <v>0.06</v>
      </c>
      <c r="DI44" s="729">
        <f>매출!DJ39</f>
        <v>0.06</v>
      </c>
      <c r="DJ44" s="730">
        <f>매출!DK39</f>
        <v>0.06</v>
      </c>
      <c r="DK44" s="728">
        <f>매출!DL39</f>
        <v>0.06</v>
      </c>
      <c r="DL44" s="729">
        <f>매출!DM39</f>
        <v>0.06</v>
      </c>
      <c r="DM44" s="729">
        <f>매출!DN39</f>
        <v>0.06</v>
      </c>
      <c r="DN44" s="730">
        <f>매출!DO39</f>
        <v>0.06</v>
      </c>
      <c r="DO44" s="728">
        <f>매출!DP39</f>
        <v>0.06</v>
      </c>
      <c r="DP44" s="729">
        <f>매출!DQ39</f>
        <v>0.06</v>
      </c>
      <c r="DQ44" s="729">
        <f>매출!DR39</f>
        <v>0.06</v>
      </c>
      <c r="DR44" s="730">
        <f>매출!DS39</f>
        <v>0.06</v>
      </c>
      <c r="DS44" s="728">
        <f>매출!DT39</f>
        <v>0.06</v>
      </c>
      <c r="DT44" s="729">
        <f>매출!DU39</f>
        <v>0.06</v>
      </c>
      <c r="DU44" s="729">
        <f>매출!DV39</f>
        <v>0.06</v>
      </c>
      <c r="DV44" s="730">
        <f>매출!DW39</f>
        <v>0.06</v>
      </c>
      <c r="DW44" s="728">
        <f>매출!DX39</f>
        <v>0.06</v>
      </c>
      <c r="DX44" s="729">
        <f>매출!DY39</f>
        <v>0.06</v>
      </c>
      <c r="DY44" s="729">
        <f>매출!DZ39</f>
        <v>0.06</v>
      </c>
      <c r="DZ44" s="730">
        <f>매출!EA39</f>
        <v>0.06</v>
      </c>
      <c r="EA44" s="728">
        <f>매출!EB39</f>
        <v>0.06</v>
      </c>
      <c r="EB44" s="729">
        <f>매출!EC39</f>
        <v>0.06</v>
      </c>
      <c r="EC44" s="729">
        <f>매출!ED39</f>
        <v>0.06</v>
      </c>
      <c r="ED44" s="730">
        <f>매출!EE39</f>
        <v>0.06</v>
      </c>
      <c r="EE44" s="728">
        <f>매출!EF39</f>
        <v>0.06</v>
      </c>
      <c r="EF44" s="729">
        <f>매출!EG39</f>
        <v>0.06</v>
      </c>
      <c r="EG44" s="729">
        <f>매출!EH39</f>
        <v>0.06</v>
      </c>
      <c r="EH44" s="730">
        <f>매출!EI39</f>
        <v>0.06</v>
      </c>
      <c r="EI44" s="728">
        <f>매출!EJ39</f>
        <v>0.06</v>
      </c>
      <c r="EJ44" s="729">
        <f>매출!EK39</f>
        <v>0.06</v>
      </c>
      <c r="EK44" s="729">
        <f>매출!EL39</f>
        <v>0.06</v>
      </c>
      <c r="EL44" s="730">
        <f>매출!EM39</f>
        <v>0.06</v>
      </c>
      <c r="EM44" s="728">
        <f>매출!EN39</f>
        <v>0.06</v>
      </c>
      <c r="EN44" s="729">
        <f>매출!EO39</f>
        <v>0.06</v>
      </c>
      <c r="EO44" s="729">
        <f>매출!EP39</f>
        <v>0.06</v>
      </c>
      <c r="EP44" s="730">
        <f>매출!EQ39</f>
        <v>0.06</v>
      </c>
      <c r="EQ44" s="728">
        <f>매출!ER39</f>
        <v>0.06</v>
      </c>
      <c r="ER44" s="729">
        <f>매출!ES39</f>
        <v>0.06</v>
      </c>
      <c r="ES44" s="729">
        <f>매출!ET39</f>
        <v>0.06</v>
      </c>
      <c r="ET44" s="730">
        <f>매출!EU39</f>
        <v>0.06</v>
      </c>
      <c r="EU44" s="728">
        <f>매출!EV39</f>
        <v>0.06</v>
      </c>
      <c r="EV44" s="729">
        <f>매출!EW39</f>
        <v>0.06</v>
      </c>
      <c r="EW44" s="729">
        <f>매출!EX39</f>
        <v>0.06</v>
      </c>
      <c r="EX44" s="730">
        <f>매출!EY39</f>
        <v>0.06</v>
      </c>
      <c r="EY44" s="728">
        <f>매출!EZ39</f>
        <v>0.06</v>
      </c>
      <c r="EZ44" s="729">
        <f>매출!FA39</f>
        <v>0.06</v>
      </c>
      <c r="FA44" s="729">
        <f>매출!FB39</f>
        <v>0.06</v>
      </c>
      <c r="FB44" s="730">
        <f>매출!FC39</f>
        <v>0.06</v>
      </c>
      <c r="FC44" s="728">
        <f>매출!FD39</f>
        <v>0.06</v>
      </c>
      <c r="FD44" s="729">
        <f>매출!FE39</f>
        <v>0.06</v>
      </c>
      <c r="FE44" s="729">
        <f>매출!FF39</f>
        <v>0.06</v>
      </c>
      <c r="FF44" s="730">
        <f>매출!FG39</f>
        <v>0.06</v>
      </c>
      <c r="FG44" s="728">
        <f>매출!FH39</f>
        <v>0.06</v>
      </c>
      <c r="FH44" s="729">
        <f>매출!FI39</f>
        <v>0.06</v>
      </c>
      <c r="FI44" s="729">
        <f>매출!FJ39</f>
        <v>0.06</v>
      </c>
      <c r="FJ44" s="730">
        <f>매출!FK39</f>
        <v>0.06</v>
      </c>
      <c r="FK44" s="728">
        <f>매출!FL39</f>
        <v>0.06</v>
      </c>
      <c r="FL44" s="729">
        <f>매출!FM39</f>
        <v>0.06</v>
      </c>
      <c r="FM44" s="729">
        <f>매출!FN39</f>
        <v>0</v>
      </c>
      <c r="FN44" s="730">
        <f>매출!FO39</f>
        <v>0</v>
      </c>
      <c r="FO44" s="728">
        <f>매출!FP39</f>
        <v>0</v>
      </c>
      <c r="FP44" s="729">
        <f>매출!FQ39</f>
        <v>0</v>
      </c>
      <c r="FQ44" s="729">
        <f>매출!FR39</f>
        <v>0</v>
      </c>
      <c r="FR44" s="730">
        <f>매출!FS39</f>
        <v>0</v>
      </c>
      <c r="FS44" s="728">
        <f>매출!FT39</f>
        <v>0</v>
      </c>
      <c r="FT44" s="729">
        <f>매출!FU39</f>
        <v>0</v>
      </c>
      <c r="FU44" s="729">
        <f>매출!FV39</f>
        <v>0</v>
      </c>
      <c r="FV44" s="730">
        <f>매출!FW39</f>
        <v>0</v>
      </c>
      <c r="FW44" s="728">
        <f>매출!FX39</f>
        <v>0</v>
      </c>
      <c r="FX44" s="729">
        <f>매출!FY39</f>
        <v>0</v>
      </c>
      <c r="FY44" s="729">
        <f>매출!FZ39</f>
        <v>0</v>
      </c>
      <c r="FZ44" s="730">
        <f>매출!GA39</f>
        <v>0</v>
      </c>
      <c r="GA44" s="728">
        <f>매출!GB39</f>
        <v>0</v>
      </c>
      <c r="GB44" s="729">
        <f>매출!GC39</f>
        <v>0</v>
      </c>
      <c r="GC44" s="729">
        <f>매출!GD39</f>
        <v>0</v>
      </c>
      <c r="GD44" s="730">
        <f>매출!GE39</f>
        <v>0</v>
      </c>
    </row>
    <row r="45" spans="2:186" ht="17.100000000000001" customHeight="1">
      <c r="C45" s="307"/>
      <c r="D45" s="1274" t="str">
        <f>매출!C62</f>
        <v>4번선석 임대</v>
      </c>
      <c r="E45" s="742"/>
      <c r="F45" s="767">
        <f t="shared" ca="1" si="40"/>
        <v>793.45799953283131</v>
      </c>
      <c r="G45" s="1275">
        <f>매출!H40</f>
        <v>5.01</v>
      </c>
      <c r="H45" s="1290">
        <f>매출!I40</f>
        <v>5.0190000000000001</v>
      </c>
      <c r="I45" s="1290">
        <f>매출!J40</f>
        <v>5.0190000000000001</v>
      </c>
      <c r="J45" s="1291">
        <f>매출!K40</f>
        <v>4.97</v>
      </c>
      <c r="K45" s="1275">
        <f>매출!L40</f>
        <v>5.01</v>
      </c>
      <c r="L45" s="1290">
        <f>매출!M40</f>
        <v>5.01</v>
      </c>
      <c r="M45" s="1290">
        <f>매출!N40</f>
        <v>5.01</v>
      </c>
      <c r="N45" s="1291">
        <f>매출!O40</f>
        <v>4.97</v>
      </c>
      <c r="O45" s="728">
        <f>매출!P40</f>
        <v>5.25</v>
      </c>
      <c r="P45" s="729">
        <f>매출!Q40</f>
        <v>5.25</v>
      </c>
      <c r="Q45" s="729">
        <f>매출!R40</f>
        <v>5.25</v>
      </c>
      <c r="R45" s="730">
        <f>매출!S40</f>
        <v>5.25</v>
      </c>
      <c r="S45" s="728">
        <f>매출!T40</f>
        <v>5.25</v>
      </c>
      <c r="T45" s="729">
        <f>매출!U40</f>
        <v>5.25</v>
      </c>
      <c r="U45" s="729">
        <f>매출!V40</f>
        <v>5.25</v>
      </c>
      <c r="V45" s="730">
        <f>매출!W40</f>
        <v>5.25</v>
      </c>
      <c r="W45" s="728">
        <f ca="1">매출!X40</f>
        <v>5.25</v>
      </c>
      <c r="X45" s="729">
        <f ca="1">매출!Y40</f>
        <v>5.25</v>
      </c>
      <c r="Y45" s="729">
        <f ca="1">매출!Z40</f>
        <v>5.25</v>
      </c>
      <c r="Z45" s="730">
        <f ca="1">매출!AA40</f>
        <v>5.25</v>
      </c>
      <c r="AA45" s="728">
        <f ca="1">매출!AB40</f>
        <v>5.5125000000000002</v>
      </c>
      <c r="AB45" s="729">
        <f ca="1">매출!AC40</f>
        <v>5.5125000000000002</v>
      </c>
      <c r="AC45" s="729">
        <f ca="1">매출!AD40</f>
        <v>5.5125000000000002</v>
      </c>
      <c r="AD45" s="730">
        <f ca="1">매출!AE40</f>
        <v>5.5125000000000002</v>
      </c>
      <c r="AE45" s="728">
        <f ca="1">매출!AF40</f>
        <v>3.8587500000000001</v>
      </c>
      <c r="AF45" s="729">
        <f ca="1">매출!AG40</f>
        <v>3.8587500000000001</v>
      </c>
      <c r="AG45" s="729">
        <f ca="1">매출!AH40</f>
        <v>3.8587500000000001</v>
      </c>
      <c r="AH45" s="730">
        <f ca="1">매출!AI40</f>
        <v>3.8587500000000001</v>
      </c>
      <c r="AI45" s="728">
        <f ca="1">매출!AJ40</f>
        <v>3.8587500000000001</v>
      </c>
      <c r="AJ45" s="729">
        <f ca="1">매출!AK40</f>
        <v>3.8587500000000001</v>
      </c>
      <c r="AK45" s="729">
        <f ca="1">매출!AL40</f>
        <v>3.8587500000000001</v>
      </c>
      <c r="AL45" s="730">
        <f ca="1">매출!AM40</f>
        <v>3.8587500000000001</v>
      </c>
      <c r="AM45" s="728">
        <f ca="1">매출!AN40</f>
        <v>4.0516875000000008</v>
      </c>
      <c r="AN45" s="729">
        <f ca="1">매출!AO40</f>
        <v>4.0516875000000008</v>
      </c>
      <c r="AO45" s="729">
        <f ca="1">매출!AP40</f>
        <v>4.0516875000000008</v>
      </c>
      <c r="AP45" s="730">
        <f ca="1">매출!AQ40</f>
        <v>4.0516875000000008</v>
      </c>
      <c r="AQ45" s="728">
        <f ca="1">매출!AR40</f>
        <v>4.0516875000000008</v>
      </c>
      <c r="AR45" s="729">
        <f ca="1">매출!AS40</f>
        <v>4.0516875000000008</v>
      </c>
      <c r="AS45" s="729">
        <f ca="1">매출!AT40</f>
        <v>4.0516875000000008</v>
      </c>
      <c r="AT45" s="730">
        <f ca="1">매출!AU40</f>
        <v>4.0516875000000008</v>
      </c>
      <c r="AU45" s="728">
        <f ca="1">매출!AV40</f>
        <v>4.0516875000000008</v>
      </c>
      <c r="AV45" s="729">
        <f ca="1">매출!AW40</f>
        <v>4.0516875000000008</v>
      </c>
      <c r="AW45" s="729">
        <f ca="1">매출!AX40</f>
        <v>4.0516875000000008</v>
      </c>
      <c r="AX45" s="730">
        <f ca="1">매출!AY40</f>
        <v>4.0516875000000008</v>
      </c>
      <c r="AY45" s="728">
        <f ca="1">매출!AZ40</f>
        <v>4.2542718749999997</v>
      </c>
      <c r="AZ45" s="729">
        <f ca="1">매출!BA40</f>
        <v>4.2542718749999997</v>
      </c>
      <c r="BA45" s="729">
        <f ca="1">매출!BB40</f>
        <v>4.2542718749999997</v>
      </c>
      <c r="BB45" s="730">
        <f ca="1">매출!BC40</f>
        <v>4.2542718749999997</v>
      </c>
      <c r="BC45" s="728">
        <f ca="1">매출!BD40</f>
        <v>4.2542718749999997</v>
      </c>
      <c r="BD45" s="729">
        <f ca="1">매출!BE40</f>
        <v>4.2542718749999997</v>
      </c>
      <c r="BE45" s="729">
        <f ca="1">매출!BF40</f>
        <v>4.2542718749999997</v>
      </c>
      <c r="BF45" s="730">
        <f ca="1">매출!BG40</f>
        <v>4.2542718749999997</v>
      </c>
      <c r="BG45" s="728">
        <f ca="1">매출!BH40</f>
        <v>4.2542718749999997</v>
      </c>
      <c r="BH45" s="729">
        <f ca="1">매출!BI40</f>
        <v>4.2542718749999997</v>
      </c>
      <c r="BI45" s="729">
        <f ca="1">매출!BJ40</f>
        <v>4.2542718749999997</v>
      </c>
      <c r="BJ45" s="730">
        <f ca="1">매출!BK40</f>
        <v>4.2542718749999997</v>
      </c>
      <c r="BK45" s="728">
        <f ca="1">매출!BL40</f>
        <v>4.4669854687500008</v>
      </c>
      <c r="BL45" s="729">
        <f ca="1">매출!BM40</f>
        <v>4.4669854687500008</v>
      </c>
      <c r="BM45" s="729">
        <f ca="1">매출!BN40</f>
        <v>4.4669854687500008</v>
      </c>
      <c r="BN45" s="730">
        <f ca="1">매출!BO40</f>
        <v>4.4669854687500008</v>
      </c>
      <c r="BO45" s="728">
        <f ca="1">매출!BP40</f>
        <v>4.4669854687500008</v>
      </c>
      <c r="BP45" s="729">
        <f ca="1">매출!BQ40</f>
        <v>4.4669854687500008</v>
      </c>
      <c r="BQ45" s="729">
        <f ca="1">매출!BR40</f>
        <v>4.4669854687500008</v>
      </c>
      <c r="BR45" s="730">
        <f ca="1">매출!BS40</f>
        <v>4.4669854687500008</v>
      </c>
      <c r="BS45" s="728">
        <f ca="1">매출!BT40</f>
        <v>4.4669854687500008</v>
      </c>
      <c r="BT45" s="729">
        <f ca="1">매출!BU40</f>
        <v>4.4669854687500008</v>
      </c>
      <c r="BU45" s="729">
        <f ca="1">매출!BV40</f>
        <v>4.4669854687500008</v>
      </c>
      <c r="BV45" s="730">
        <f ca="1">매출!BW40</f>
        <v>4.4669854687500008</v>
      </c>
      <c r="BW45" s="728">
        <f ca="1">매출!BX40</f>
        <v>4.6903347421875017</v>
      </c>
      <c r="BX45" s="729">
        <f ca="1">매출!BY40</f>
        <v>4.6903347421875017</v>
      </c>
      <c r="BY45" s="729">
        <f ca="1">매출!BZ40</f>
        <v>4.6903347421875017</v>
      </c>
      <c r="BZ45" s="730">
        <f ca="1">매출!CA40</f>
        <v>4.6903347421875017</v>
      </c>
      <c r="CA45" s="728">
        <f ca="1">매출!CB40</f>
        <v>4.6903347421875017</v>
      </c>
      <c r="CB45" s="729">
        <f ca="1">매출!CC40</f>
        <v>4.6903347421875017</v>
      </c>
      <c r="CC45" s="729">
        <f ca="1">매출!CD40</f>
        <v>4.6903347421875017</v>
      </c>
      <c r="CD45" s="730">
        <f ca="1">매출!CE40</f>
        <v>4.6903347421875017</v>
      </c>
      <c r="CE45" s="728">
        <f ca="1">매출!CF40</f>
        <v>4.6903347421875017</v>
      </c>
      <c r="CF45" s="729">
        <f ca="1">매출!CG40</f>
        <v>4.6903347421875017</v>
      </c>
      <c r="CG45" s="729">
        <f ca="1">매출!CH40</f>
        <v>4.6903347421875017</v>
      </c>
      <c r="CH45" s="730">
        <f ca="1">매출!CI40</f>
        <v>4.6903347421875017</v>
      </c>
      <c r="CI45" s="728">
        <f ca="1">매출!CJ40</f>
        <v>4.9248514792968763</v>
      </c>
      <c r="CJ45" s="729">
        <f ca="1">매출!CK40</f>
        <v>4.9248514792968763</v>
      </c>
      <c r="CK45" s="729">
        <f ca="1">매출!CL40</f>
        <v>4.9248514792968763</v>
      </c>
      <c r="CL45" s="730">
        <f ca="1">매출!CM40</f>
        <v>4.9248514792968763</v>
      </c>
      <c r="CM45" s="728">
        <f ca="1">매출!CN40</f>
        <v>4.9248514792968763</v>
      </c>
      <c r="CN45" s="729">
        <f ca="1">매출!CO40</f>
        <v>4.9248514792968763</v>
      </c>
      <c r="CO45" s="729">
        <f ca="1">매출!CP40</f>
        <v>4.9248514792968763</v>
      </c>
      <c r="CP45" s="730">
        <f ca="1">매출!CQ40</f>
        <v>4.9248514792968763</v>
      </c>
      <c r="CQ45" s="728">
        <f ca="1">매출!CR40</f>
        <v>4.9248514792968763</v>
      </c>
      <c r="CR45" s="729">
        <f ca="1">매출!CS40</f>
        <v>4.9248514792968763</v>
      </c>
      <c r="CS45" s="729">
        <f ca="1">매출!CT40</f>
        <v>4.9248514792968763</v>
      </c>
      <c r="CT45" s="730">
        <f ca="1">매출!CU40</f>
        <v>4.9248514792968763</v>
      </c>
      <c r="CU45" s="728">
        <f ca="1">매출!CV40</f>
        <v>5.1710940532617204</v>
      </c>
      <c r="CV45" s="729">
        <f ca="1">매출!CW40</f>
        <v>5.1710940532617204</v>
      </c>
      <c r="CW45" s="729">
        <f ca="1">매출!CX40</f>
        <v>5.1710940532617204</v>
      </c>
      <c r="CX45" s="730">
        <f ca="1">매출!CY40</f>
        <v>5.1710940532617204</v>
      </c>
      <c r="CY45" s="728">
        <f ca="1">매출!CZ40</f>
        <v>5.1710940532617204</v>
      </c>
      <c r="CZ45" s="729">
        <f ca="1">매출!DA40</f>
        <v>5.1710940532617204</v>
      </c>
      <c r="DA45" s="729">
        <f ca="1">매출!DB40</f>
        <v>5.1710940532617204</v>
      </c>
      <c r="DB45" s="730">
        <f ca="1">매출!DC40</f>
        <v>5.1710940532617204</v>
      </c>
      <c r="DC45" s="728">
        <f ca="1">매출!DD40</f>
        <v>5.1710940532617204</v>
      </c>
      <c r="DD45" s="729">
        <f ca="1">매출!DE40</f>
        <v>5.1710940532617204</v>
      </c>
      <c r="DE45" s="729">
        <f ca="1">매출!DF40</f>
        <v>5.1710940532617204</v>
      </c>
      <c r="DF45" s="730">
        <f ca="1">매출!DG40</f>
        <v>5.1710940532617204</v>
      </c>
      <c r="DG45" s="728">
        <f ca="1">매출!DH40</f>
        <v>5.4296487559248066</v>
      </c>
      <c r="DH45" s="729">
        <f ca="1">매출!DI40</f>
        <v>5.4296487559248066</v>
      </c>
      <c r="DI45" s="729">
        <f ca="1">매출!DJ40</f>
        <v>5.4296487559248066</v>
      </c>
      <c r="DJ45" s="730">
        <f ca="1">매출!DK40</f>
        <v>5.4296487559248066</v>
      </c>
      <c r="DK45" s="728">
        <f ca="1">매출!DL40</f>
        <v>5.4296487559248066</v>
      </c>
      <c r="DL45" s="729">
        <f ca="1">매출!DM40</f>
        <v>5.4296487559248066</v>
      </c>
      <c r="DM45" s="729">
        <f ca="1">매출!DN40</f>
        <v>5.4296487559248066</v>
      </c>
      <c r="DN45" s="730">
        <f ca="1">매출!DO40</f>
        <v>5.4296487559248066</v>
      </c>
      <c r="DO45" s="728">
        <f ca="1">매출!DP40</f>
        <v>5.4296487559248066</v>
      </c>
      <c r="DP45" s="729">
        <f ca="1">매출!DQ40</f>
        <v>5.4296487559248066</v>
      </c>
      <c r="DQ45" s="729">
        <f ca="1">매출!DR40</f>
        <v>5.4296487559248066</v>
      </c>
      <c r="DR45" s="730">
        <f ca="1">매출!DS40</f>
        <v>5.4296487559248066</v>
      </c>
      <c r="DS45" s="728">
        <f ca="1">매출!DT40</f>
        <v>5.7011311937210465</v>
      </c>
      <c r="DT45" s="729">
        <f ca="1">매출!DU40</f>
        <v>5.7011311937210465</v>
      </c>
      <c r="DU45" s="729">
        <f ca="1">매출!DV40</f>
        <v>5.7011311937210465</v>
      </c>
      <c r="DV45" s="730">
        <f ca="1">매출!DW40</f>
        <v>5.7011311937210465</v>
      </c>
      <c r="DW45" s="728">
        <f ca="1">매출!DX40</f>
        <v>5.7011311937210465</v>
      </c>
      <c r="DX45" s="729">
        <f ca="1">매출!DY40</f>
        <v>5.7011311937210465</v>
      </c>
      <c r="DY45" s="729">
        <f ca="1">매출!DZ40</f>
        <v>5.7011311937210465</v>
      </c>
      <c r="DZ45" s="730">
        <f ca="1">매출!EA40</f>
        <v>5.7011311937210465</v>
      </c>
      <c r="EA45" s="728">
        <f ca="1">매출!EB40</f>
        <v>5.7011311937210465</v>
      </c>
      <c r="EB45" s="729">
        <f ca="1">매출!EC40</f>
        <v>5.7011311937210465</v>
      </c>
      <c r="EC45" s="729">
        <f ca="1">매출!ED40</f>
        <v>5.7011311937210465</v>
      </c>
      <c r="ED45" s="730">
        <f ca="1">매출!EE40</f>
        <v>5.7011311937210465</v>
      </c>
      <c r="EE45" s="728">
        <f ca="1">매출!EF40</f>
        <v>5.9861877534070995</v>
      </c>
      <c r="EF45" s="729">
        <f ca="1">매출!EG40</f>
        <v>5.9861877534070995</v>
      </c>
      <c r="EG45" s="729">
        <f ca="1">매출!EH40</f>
        <v>5.9861877534070995</v>
      </c>
      <c r="EH45" s="730">
        <f ca="1">매출!EI40</f>
        <v>5.9861877534070995</v>
      </c>
      <c r="EI45" s="728">
        <f ca="1">매출!EJ40</f>
        <v>5.9861877534070995</v>
      </c>
      <c r="EJ45" s="729">
        <f ca="1">매출!EK40</f>
        <v>5.9861877534070995</v>
      </c>
      <c r="EK45" s="729">
        <f ca="1">매출!EL40</f>
        <v>5.9861877534070995</v>
      </c>
      <c r="EL45" s="730">
        <f ca="1">매출!EM40</f>
        <v>5.9861877534070995</v>
      </c>
      <c r="EM45" s="728">
        <f ca="1">매출!EN40</f>
        <v>5.9861877534070995</v>
      </c>
      <c r="EN45" s="729">
        <f ca="1">매출!EO40</f>
        <v>5.9861877534070995</v>
      </c>
      <c r="EO45" s="729">
        <f ca="1">매출!EP40</f>
        <v>5.9861877534070995</v>
      </c>
      <c r="EP45" s="730">
        <f ca="1">매출!EQ40</f>
        <v>5.9861877534070995</v>
      </c>
      <c r="EQ45" s="728">
        <f ca="1">매출!ER40</f>
        <v>6.2854971410774558</v>
      </c>
      <c r="ER45" s="729">
        <f ca="1">매출!ES40</f>
        <v>6.2854971410774558</v>
      </c>
      <c r="ES45" s="729">
        <f ca="1">매출!ET40</f>
        <v>6.2854971410774558</v>
      </c>
      <c r="ET45" s="730">
        <f ca="1">매출!EU40</f>
        <v>6.2854971410774558</v>
      </c>
      <c r="EU45" s="728">
        <f ca="1">매출!EV40</f>
        <v>6.2854971410774558</v>
      </c>
      <c r="EV45" s="729">
        <f ca="1">매출!EW40</f>
        <v>6.2854971410774558</v>
      </c>
      <c r="EW45" s="729">
        <f ca="1">매출!EX40</f>
        <v>6.2854971410774558</v>
      </c>
      <c r="EX45" s="730">
        <f ca="1">매출!EY40</f>
        <v>6.2854971410774558</v>
      </c>
      <c r="EY45" s="728">
        <f ca="1">매출!EZ40</f>
        <v>6.2854971410774558</v>
      </c>
      <c r="EZ45" s="729">
        <f ca="1">매출!FA40</f>
        <v>6.2854971410774558</v>
      </c>
      <c r="FA45" s="729">
        <f ca="1">매출!FB40</f>
        <v>6.2854971410774558</v>
      </c>
      <c r="FB45" s="730">
        <f ca="1">매출!FC40</f>
        <v>6.2854971410774558</v>
      </c>
      <c r="FC45" s="728">
        <f ca="1">매출!FD40</f>
        <v>6.5997719981313274</v>
      </c>
      <c r="FD45" s="729">
        <f ca="1">매출!FE40</f>
        <v>6.5997719981313274</v>
      </c>
      <c r="FE45" s="729">
        <f ca="1">매출!FF40</f>
        <v>6.5997719981313274</v>
      </c>
      <c r="FF45" s="730">
        <f ca="1">매출!FG40</f>
        <v>6.5997719981313274</v>
      </c>
      <c r="FG45" s="728">
        <f ca="1">매출!FH40</f>
        <v>6.5997719981313274</v>
      </c>
      <c r="FH45" s="729">
        <f ca="1">매출!FI40</f>
        <v>6.5997719981313274</v>
      </c>
      <c r="FI45" s="729">
        <f ca="1">매출!FJ40</f>
        <v>6.5997719981313274</v>
      </c>
      <c r="FJ45" s="730">
        <f ca="1">매출!FK40</f>
        <v>6.5997719981313274</v>
      </c>
      <c r="FK45" s="728">
        <f ca="1">매출!FL40</f>
        <v>6.5997719981313274</v>
      </c>
      <c r="FL45" s="729">
        <f ca="1">매출!FM40</f>
        <v>6.5997719981313274</v>
      </c>
      <c r="FM45" s="729">
        <f ca="1">매출!FN40</f>
        <v>0</v>
      </c>
      <c r="FN45" s="730">
        <f ca="1">매출!FO40</f>
        <v>0</v>
      </c>
      <c r="FO45" s="728">
        <f>매출!FP40</f>
        <v>0</v>
      </c>
      <c r="FP45" s="729">
        <f>매출!FQ40</f>
        <v>0</v>
      </c>
      <c r="FQ45" s="729">
        <f>매출!FR40</f>
        <v>0</v>
      </c>
      <c r="FR45" s="730">
        <f>매출!FS40</f>
        <v>0</v>
      </c>
      <c r="FS45" s="728">
        <f>매출!FT40</f>
        <v>0</v>
      </c>
      <c r="FT45" s="729">
        <f>매출!FU40</f>
        <v>0</v>
      </c>
      <c r="FU45" s="729">
        <f>매출!FV40</f>
        <v>0</v>
      </c>
      <c r="FV45" s="730">
        <f>매출!FW40</f>
        <v>0</v>
      </c>
      <c r="FW45" s="728">
        <f>매출!FX40</f>
        <v>0</v>
      </c>
      <c r="FX45" s="729">
        <f>매출!FY40</f>
        <v>0</v>
      </c>
      <c r="FY45" s="729">
        <f>매출!FZ40</f>
        <v>0</v>
      </c>
      <c r="FZ45" s="730">
        <f>매출!GA40</f>
        <v>0</v>
      </c>
      <c r="GA45" s="728">
        <f>매출!GB40</f>
        <v>0</v>
      </c>
      <c r="GB45" s="729">
        <f>매출!GC40</f>
        <v>0</v>
      </c>
      <c r="GC45" s="729">
        <f>매출!GD40</f>
        <v>0</v>
      </c>
      <c r="GD45" s="730">
        <f>매출!GE40</f>
        <v>0</v>
      </c>
    </row>
    <row r="46" spans="2:186" ht="17.100000000000001" customHeight="1">
      <c r="C46" s="307"/>
      <c r="D46" s="1274" t="str">
        <f>매출!C63</f>
        <v>광석부두임대</v>
      </c>
      <c r="E46" s="742"/>
      <c r="F46" s="767">
        <f t="shared" si="40"/>
        <v>0</v>
      </c>
      <c r="G46" s="1275">
        <f>매출!H41</f>
        <v>27.86771049</v>
      </c>
      <c r="H46" s="1290">
        <f>매출!I41</f>
        <v>12.18445157</v>
      </c>
      <c r="I46" s="1290">
        <f>매출!J41</f>
        <v>0</v>
      </c>
      <c r="J46" s="1291">
        <f>매출!K41+J51</f>
        <v>-46.97999866</v>
      </c>
      <c r="K46" s="1275">
        <f>매출!L41</f>
        <v>12.2546</v>
      </c>
      <c r="L46" s="1290">
        <f>매출!M41</f>
        <v>0</v>
      </c>
      <c r="M46" s="1290">
        <f>매출!N41</f>
        <v>0</v>
      </c>
      <c r="N46" s="1291">
        <f>매출!O41</f>
        <v>0</v>
      </c>
      <c r="O46" s="728">
        <v>0</v>
      </c>
      <c r="P46" s="729">
        <v>0</v>
      </c>
      <c r="Q46" s="729">
        <v>0</v>
      </c>
      <c r="R46" s="730">
        <v>0</v>
      </c>
      <c r="S46" s="728">
        <v>0</v>
      </c>
      <c r="T46" s="729">
        <v>0</v>
      </c>
      <c r="U46" s="729">
        <v>0</v>
      </c>
      <c r="V46" s="730">
        <v>0</v>
      </c>
      <c r="W46" s="728">
        <v>0</v>
      </c>
      <c r="X46" s="729">
        <v>0</v>
      </c>
      <c r="Y46" s="729">
        <v>0</v>
      </c>
      <c r="Z46" s="730">
        <v>0</v>
      </c>
      <c r="AA46" s="728">
        <v>0</v>
      </c>
      <c r="AB46" s="729">
        <v>0</v>
      </c>
      <c r="AC46" s="729">
        <v>0</v>
      </c>
      <c r="AD46" s="730">
        <v>0</v>
      </c>
      <c r="AE46" s="728">
        <v>0</v>
      </c>
      <c r="AF46" s="729">
        <v>0</v>
      </c>
      <c r="AG46" s="729">
        <v>0</v>
      </c>
      <c r="AH46" s="730">
        <v>0</v>
      </c>
      <c r="AI46" s="728">
        <v>0</v>
      </c>
      <c r="AJ46" s="729">
        <v>0</v>
      </c>
      <c r="AK46" s="729">
        <v>0</v>
      </c>
      <c r="AL46" s="730">
        <v>0</v>
      </c>
      <c r="AM46" s="728">
        <v>0</v>
      </c>
      <c r="AN46" s="729">
        <v>0</v>
      </c>
      <c r="AO46" s="729">
        <v>0</v>
      </c>
      <c r="AP46" s="730">
        <v>0</v>
      </c>
      <c r="AQ46" s="728">
        <v>0</v>
      </c>
      <c r="AR46" s="729">
        <v>0</v>
      </c>
      <c r="AS46" s="729">
        <v>0</v>
      </c>
      <c r="AT46" s="730">
        <v>0</v>
      </c>
      <c r="AU46" s="728">
        <v>0</v>
      </c>
      <c r="AV46" s="729">
        <v>0</v>
      </c>
      <c r="AW46" s="729">
        <v>0</v>
      </c>
      <c r="AX46" s="730">
        <v>0</v>
      </c>
      <c r="AY46" s="728">
        <v>0</v>
      </c>
      <c r="AZ46" s="729">
        <v>0</v>
      </c>
      <c r="BA46" s="729">
        <v>0</v>
      </c>
      <c r="BB46" s="730">
        <v>0</v>
      </c>
      <c r="BC46" s="728">
        <v>0</v>
      </c>
      <c r="BD46" s="729">
        <v>0</v>
      </c>
      <c r="BE46" s="729">
        <v>0</v>
      </c>
      <c r="BF46" s="730">
        <v>0</v>
      </c>
      <c r="BG46" s="728">
        <v>0</v>
      </c>
      <c r="BH46" s="729">
        <v>0</v>
      </c>
      <c r="BI46" s="729">
        <v>0</v>
      </c>
      <c r="BJ46" s="730">
        <v>0</v>
      </c>
      <c r="BK46" s="728">
        <v>0</v>
      </c>
      <c r="BL46" s="729">
        <v>0</v>
      </c>
      <c r="BM46" s="729">
        <v>0</v>
      </c>
      <c r="BN46" s="730">
        <v>0</v>
      </c>
      <c r="BO46" s="728">
        <v>0</v>
      </c>
      <c r="BP46" s="729">
        <v>0</v>
      </c>
      <c r="BQ46" s="729">
        <v>0</v>
      </c>
      <c r="BR46" s="730">
        <v>0</v>
      </c>
      <c r="BS46" s="728">
        <v>0</v>
      </c>
      <c r="BT46" s="729">
        <v>0</v>
      </c>
      <c r="BU46" s="729">
        <v>0</v>
      </c>
      <c r="BV46" s="730">
        <v>0</v>
      </c>
      <c r="BW46" s="728">
        <v>0</v>
      </c>
      <c r="BX46" s="729">
        <v>0</v>
      </c>
      <c r="BY46" s="729">
        <v>0</v>
      </c>
      <c r="BZ46" s="730">
        <v>0</v>
      </c>
      <c r="CA46" s="728">
        <v>0</v>
      </c>
      <c r="CB46" s="729">
        <v>0</v>
      </c>
      <c r="CC46" s="729">
        <v>0</v>
      </c>
      <c r="CD46" s="730">
        <v>0</v>
      </c>
      <c r="CE46" s="728">
        <v>0</v>
      </c>
      <c r="CF46" s="729">
        <v>0</v>
      </c>
      <c r="CG46" s="729">
        <v>0</v>
      </c>
      <c r="CH46" s="730">
        <v>0</v>
      </c>
      <c r="CI46" s="728">
        <v>0</v>
      </c>
      <c r="CJ46" s="729">
        <v>0</v>
      </c>
      <c r="CK46" s="729">
        <v>0</v>
      </c>
      <c r="CL46" s="730">
        <v>0</v>
      </c>
      <c r="CM46" s="728">
        <v>0</v>
      </c>
      <c r="CN46" s="729">
        <v>0</v>
      </c>
      <c r="CO46" s="729">
        <v>0</v>
      </c>
      <c r="CP46" s="730">
        <v>0</v>
      </c>
      <c r="CQ46" s="728">
        <v>0</v>
      </c>
      <c r="CR46" s="729">
        <v>0</v>
      </c>
      <c r="CS46" s="729">
        <v>0</v>
      </c>
      <c r="CT46" s="730">
        <v>0</v>
      </c>
      <c r="CU46" s="728">
        <v>0</v>
      </c>
      <c r="CV46" s="729">
        <v>0</v>
      </c>
      <c r="CW46" s="729">
        <v>0</v>
      </c>
      <c r="CX46" s="730">
        <v>0</v>
      </c>
      <c r="CY46" s="728">
        <v>0</v>
      </c>
      <c r="CZ46" s="729">
        <v>0</v>
      </c>
      <c r="DA46" s="729">
        <v>0</v>
      </c>
      <c r="DB46" s="730">
        <v>0</v>
      </c>
      <c r="DC46" s="728">
        <v>0</v>
      </c>
      <c r="DD46" s="729">
        <v>0</v>
      </c>
      <c r="DE46" s="729">
        <v>0</v>
      </c>
      <c r="DF46" s="730">
        <v>0</v>
      </c>
      <c r="DG46" s="728">
        <v>0</v>
      </c>
      <c r="DH46" s="729">
        <v>0</v>
      </c>
      <c r="DI46" s="729">
        <v>0</v>
      </c>
      <c r="DJ46" s="730">
        <v>0</v>
      </c>
      <c r="DK46" s="728">
        <v>0</v>
      </c>
      <c r="DL46" s="729">
        <v>0</v>
      </c>
      <c r="DM46" s="729">
        <v>0</v>
      </c>
      <c r="DN46" s="730">
        <v>0</v>
      </c>
      <c r="DO46" s="728">
        <v>0</v>
      </c>
      <c r="DP46" s="729">
        <v>0</v>
      </c>
      <c r="DQ46" s="729">
        <v>0</v>
      </c>
      <c r="DR46" s="730">
        <v>0</v>
      </c>
      <c r="DS46" s="728">
        <v>0</v>
      </c>
      <c r="DT46" s="729">
        <v>0</v>
      </c>
      <c r="DU46" s="729">
        <v>0</v>
      </c>
      <c r="DV46" s="730">
        <v>0</v>
      </c>
      <c r="DW46" s="728">
        <v>0</v>
      </c>
      <c r="DX46" s="729">
        <v>0</v>
      </c>
      <c r="DY46" s="729">
        <v>0</v>
      </c>
      <c r="DZ46" s="730">
        <v>0</v>
      </c>
      <c r="EA46" s="728">
        <v>0</v>
      </c>
      <c r="EB46" s="729">
        <v>0</v>
      </c>
      <c r="EC46" s="729">
        <v>0</v>
      </c>
      <c r="ED46" s="730">
        <v>0</v>
      </c>
      <c r="EE46" s="728">
        <v>0</v>
      </c>
      <c r="EF46" s="729">
        <v>0</v>
      </c>
      <c r="EG46" s="729">
        <v>0</v>
      </c>
      <c r="EH46" s="730">
        <v>0</v>
      </c>
      <c r="EI46" s="728">
        <v>0</v>
      </c>
      <c r="EJ46" s="729">
        <v>0</v>
      </c>
      <c r="EK46" s="729">
        <v>0</v>
      </c>
      <c r="EL46" s="730">
        <v>0</v>
      </c>
      <c r="EM46" s="728">
        <v>0</v>
      </c>
      <c r="EN46" s="729">
        <v>0</v>
      </c>
      <c r="EO46" s="729">
        <v>0</v>
      </c>
      <c r="EP46" s="730">
        <v>0</v>
      </c>
      <c r="EQ46" s="728">
        <v>0</v>
      </c>
      <c r="ER46" s="729">
        <v>0</v>
      </c>
      <c r="ES46" s="729">
        <v>0</v>
      </c>
      <c r="ET46" s="730">
        <v>0</v>
      </c>
      <c r="EU46" s="728">
        <v>0</v>
      </c>
      <c r="EV46" s="729">
        <v>0</v>
      </c>
      <c r="EW46" s="729">
        <v>0</v>
      </c>
      <c r="EX46" s="730">
        <v>0</v>
      </c>
      <c r="EY46" s="728">
        <v>0</v>
      </c>
      <c r="EZ46" s="729">
        <v>0</v>
      </c>
      <c r="FA46" s="729">
        <v>0</v>
      </c>
      <c r="FB46" s="730">
        <v>0</v>
      </c>
      <c r="FC46" s="728">
        <v>0</v>
      </c>
      <c r="FD46" s="729">
        <v>0</v>
      </c>
      <c r="FE46" s="729">
        <v>0</v>
      </c>
      <c r="FF46" s="730">
        <v>0</v>
      </c>
      <c r="FG46" s="728">
        <v>0</v>
      </c>
      <c r="FH46" s="729">
        <v>0</v>
      </c>
      <c r="FI46" s="729">
        <v>0</v>
      </c>
      <c r="FJ46" s="730">
        <v>0</v>
      </c>
      <c r="FK46" s="728">
        <v>0</v>
      </c>
      <c r="FL46" s="729">
        <v>0</v>
      </c>
      <c r="FM46" s="729">
        <v>0</v>
      </c>
      <c r="FN46" s="730">
        <v>0</v>
      </c>
      <c r="FO46" s="728">
        <v>0</v>
      </c>
      <c r="FP46" s="729">
        <v>0</v>
      </c>
      <c r="FQ46" s="729">
        <v>0</v>
      </c>
      <c r="FR46" s="730">
        <v>0</v>
      </c>
      <c r="FS46" s="728">
        <v>0</v>
      </c>
      <c r="FT46" s="729">
        <v>0</v>
      </c>
      <c r="FU46" s="729">
        <v>0</v>
      </c>
      <c r="FV46" s="730">
        <v>0</v>
      </c>
      <c r="FW46" s="728">
        <v>0</v>
      </c>
      <c r="FX46" s="729">
        <v>0</v>
      </c>
      <c r="FY46" s="729">
        <v>0</v>
      </c>
      <c r="FZ46" s="730">
        <v>0</v>
      </c>
      <c r="GA46" s="728">
        <v>0</v>
      </c>
      <c r="GB46" s="729">
        <v>0</v>
      </c>
      <c r="GC46" s="729">
        <v>0</v>
      </c>
      <c r="GD46" s="730">
        <v>0</v>
      </c>
    </row>
    <row r="47" spans="2:186" ht="17.100000000000001" customHeight="1">
      <c r="C47" s="307"/>
      <c r="D47" s="1274" t="str">
        <f>매출!C64</f>
        <v>기타경미한수익성사업</v>
      </c>
      <c r="E47" s="742"/>
      <c r="F47" s="767">
        <f t="shared" si="40"/>
        <v>35.346337197168317</v>
      </c>
      <c r="G47" s="1275">
        <f>매출!H45</f>
        <v>2.56962</v>
      </c>
      <c r="H47" s="1290">
        <f>매출!I45</f>
        <v>2.2547839999999999</v>
      </c>
      <c r="I47" s="1290">
        <f>매출!J45</f>
        <v>1.999498</v>
      </c>
      <c r="J47" s="1291">
        <f>매출!K45</f>
        <v>2.0153400000000001</v>
      </c>
      <c r="K47" s="1275">
        <f>매출!L45</f>
        <v>1.5828800000000003</v>
      </c>
      <c r="L47" s="1290">
        <f>매출!M45</f>
        <v>1.656428</v>
      </c>
      <c r="M47" s="1290">
        <f>매출!N45</f>
        <v>1.6404800000000002</v>
      </c>
      <c r="N47" s="1291">
        <f>매출!O45</f>
        <v>1.5276760000000005</v>
      </c>
      <c r="O47" s="728">
        <f>매출!P45</f>
        <v>1.614312</v>
      </c>
      <c r="P47" s="729">
        <f>매출!Q45</f>
        <v>1.5839800000000004</v>
      </c>
      <c r="Q47" s="729">
        <f>매출!R45</f>
        <v>1.54514</v>
      </c>
      <c r="R47" s="730">
        <f>매출!S45</f>
        <v>1.52874</v>
      </c>
      <c r="S47" s="728">
        <f>매출!T45</f>
        <v>1.5053399999999999</v>
      </c>
      <c r="T47" s="729">
        <f>매출!U45</f>
        <v>1.4789399999999997</v>
      </c>
      <c r="U47" s="729">
        <f>매출!V45</f>
        <v>1.49594</v>
      </c>
      <c r="V47" s="730">
        <f>매출!W45</f>
        <v>1.5149400000000002</v>
      </c>
      <c r="W47" s="728">
        <f>매출!X45</f>
        <v>0.77219800000000005</v>
      </c>
      <c r="X47" s="729">
        <f>매출!Y45</f>
        <v>0.77219800000000005</v>
      </c>
      <c r="Y47" s="729">
        <f>매출!Z45</f>
        <v>0.77219800000000005</v>
      </c>
      <c r="Z47" s="730">
        <f>매출!AA45</f>
        <v>0.77219800000000005</v>
      </c>
      <c r="AA47" s="728">
        <f>매출!AB45</f>
        <v>0.35333799999999999</v>
      </c>
      <c r="AB47" s="729">
        <f>매출!AC45</f>
        <v>0.35333799999999999</v>
      </c>
      <c r="AC47" s="729">
        <f>매출!AD45</f>
        <v>0.17666899999999999</v>
      </c>
      <c r="AD47" s="730">
        <f>매출!AE45</f>
        <v>0.17666899999999999</v>
      </c>
      <c r="AE47" s="728">
        <f>매출!AF45</f>
        <v>0.1253378</v>
      </c>
      <c r="AF47" s="729">
        <f>매출!AG45</f>
        <v>0.1253378</v>
      </c>
      <c r="AG47" s="729">
        <f>매출!AH45</f>
        <v>0.1253378</v>
      </c>
      <c r="AH47" s="730">
        <f>매출!AI45</f>
        <v>0.1253378</v>
      </c>
      <c r="AI47" s="728">
        <f>매출!AJ45</f>
        <v>0.12547671499999999</v>
      </c>
      <c r="AJ47" s="729">
        <f>매출!AK45</f>
        <v>0.12547671499999999</v>
      </c>
      <c r="AK47" s="729">
        <f>매출!AL45</f>
        <v>0.12547671499999999</v>
      </c>
      <c r="AL47" s="730">
        <f>매출!AM45</f>
        <v>0.12547671499999999</v>
      </c>
      <c r="AM47" s="728">
        <f>매출!AN45</f>
        <v>0.12547671499999999</v>
      </c>
      <c r="AN47" s="729">
        <f>매출!AO45</f>
        <v>0.12547671499999999</v>
      </c>
      <c r="AO47" s="729">
        <f>매출!AP45</f>
        <v>0.12547671499999999</v>
      </c>
      <c r="AP47" s="730">
        <f>매출!AQ45</f>
        <v>0.12547671499999999</v>
      </c>
      <c r="AQ47" s="728">
        <f>매출!AR45</f>
        <v>0.12722968999999998</v>
      </c>
      <c r="AR47" s="729">
        <f>매출!AS45</f>
        <v>0.12722968999999998</v>
      </c>
      <c r="AS47" s="729">
        <f>매출!AT45</f>
        <v>0.12722968999999998</v>
      </c>
      <c r="AT47" s="730">
        <f>매출!AU45</f>
        <v>0.12722968999999998</v>
      </c>
      <c r="AU47" s="728">
        <f>매출!AV45</f>
        <v>0.12737555074999998</v>
      </c>
      <c r="AV47" s="729">
        <f>매출!AW45</f>
        <v>0.12737555074999998</v>
      </c>
      <c r="AW47" s="729">
        <f>매출!AX45</f>
        <v>0.12737555074999998</v>
      </c>
      <c r="AX47" s="730">
        <f>매출!AY45</f>
        <v>0.12737555074999998</v>
      </c>
      <c r="AY47" s="728">
        <f>매출!AZ45</f>
        <v>0.12737555074999998</v>
      </c>
      <c r="AZ47" s="729">
        <f>매출!BA45</f>
        <v>0.12737555074999998</v>
      </c>
      <c r="BA47" s="729">
        <f>매출!BB45</f>
        <v>0.12737555074999998</v>
      </c>
      <c r="BB47" s="730">
        <f>매출!BC45</f>
        <v>0.12737555074999998</v>
      </c>
      <c r="BC47" s="728">
        <f>매출!BD45</f>
        <v>0.1292161745</v>
      </c>
      <c r="BD47" s="729">
        <f>매출!BE45</f>
        <v>0.1292161745</v>
      </c>
      <c r="BE47" s="729">
        <f>매출!BF45</f>
        <v>0.1292161745</v>
      </c>
      <c r="BF47" s="730">
        <f>매출!BG45</f>
        <v>0.1292161745</v>
      </c>
      <c r="BG47" s="728">
        <f>매출!BH45</f>
        <v>0.1293693282875</v>
      </c>
      <c r="BH47" s="729">
        <f>매출!BI45</f>
        <v>0.1293693282875</v>
      </c>
      <c r="BI47" s="729">
        <f>매출!BJ45</f>
        <v>0.1293693282875</v>
      </c>
      <c r="BJ47" s="730">
        <f>매출!BK45</f>
        <v>0.1293693282875</v>
      </c>
      <c r="BK47" s="728">
        <f>매출!BL45</f>
        <v>0.1293693282875</v>
      </c>
      <c r="BL47" s="729">
        <f>매출!BM45</f>
        <v>0.1293693282875</v>
      </c>
      <c r="BM47" s="729">
        <f>매출!BN45</f>
        <v>0.1293693282875</v>
      </c>
      <c r="BN47" s="730">
        <f>매출!BO45</f>
        <v>0.1293693282875</v>
      </c>
      <c r="BO47" s="728">
        <f>매출!BP45</f>
        <v>0.13130198322499997</v>
      </c>
      <c r="BP47" s="729">
        <f>매출!BQ45</f>
        <v>0.13130198322499997</v>
      </c>
      <c r="BQ47" s="729">
        <f>매출!BR45</f>
        <v>0.13130198322499997</v>
      </c>
      <c r="BR47" s="730">
        <f>매출!BS45</f>
        <v>0.13130198322499997</v>
      </c>
      <c r="BS47" s="728">
        <f>매출!BT45</f>
        <v>0.131462794701875</v>
      </c>
      <c r="BT47" s="729">
        <f>매출!BU45</f>
        <v>0.131462794701875</v>
      </c>
      <c r="BU47" s="729">
        <f>매출!BV45</f>
        <v>0.131462794701875</v>
      </c>
      <c r="BV47" s="730">
        <f>매출!BW45</f>
        <v>0.131462794701875</v>
      </c>
      <c r="BW47" s="728">
        <f>매출!BX45</f>
        <v>0.131462794701875</v>
      </c>
      <c r="BX47" s="729">
        <f>매출!BY45</f>
        <v>0.131462794701875</v>
      </c>
      <c r="BY47" s="729">
        <f>매출!BZ45</f>
        <v>0.131462794701875</v>
      </c>
      <c r="BZ47" s="730">
        <f>매출!CA45</f>
        <v>0.131462794701875</v>
      </c>
      <c r="CA47" s="728">
        <f>매출!CB45</f>
        <v>0.13349208238625002</v>
      </c>
      <c r="CB47" s="729">
        <f>매출!CC45</f>
        <v>0.13349208238625002</v>
      </c>
      <c r="CC47" s="729">
        <f>매출!CD45</f>
        <v>0.13349208238625002</v>
      </c>
      <c r="CD47" s="730">
        <f>매출!CE45</f>
        <v>0.13349208238625002</v>
      </c>
      <c r="CE47" s="728">
        <f>매출!CF45</f>
        <v>0.13366093443696875</v>
      </c>
      <c r="CF47" s="729">
        <f>매출!CG45</f>
        <v>0.13366093443696875</v>
      </c>
      <c r="CG47" s="729">
        <f>매출!CH45</f>
        <v>0.13366093443696875</v>
      </c>
      <c r="CH47" s="730">
        <f>매출!CI45</f>
        <v>0.13366093443696875</v>
      </c>
      <c r="CI47" s="728">
        <f>매출!CJ45</f>
        <v>0.13366093443696875</v>
      </c>
      <c r="CJ47" s="729">
        <f>매출!CK45</f>
        <v>0.13366093443696875</v>
      </c>
      <c r="CK47" s="729">
        <f>매출!CL45</f>
        <v>0.13366093443696875</v>
      </c>
      <c r="CL47" s="730">
        <f>매출!CM45</f>
        <v>0.13366093443696875</v>
      </c>
      <c r="CM47" s="728">
        <f>매출!CN45</f>
        <v>0.1357916865055625</v>
      </c>
      <c r="CN47" s="729">
        <f>매출!CO45</f>
        <v>0.1357916865055625</v>
      </c>
      <c r="CO47" s="729">
        <f>매출!CP45</f>
        <v>0.1357916865055625</v>
      </c>
      <c r="CP47" s="730">
        <f>매출!CQ45</f>
        <v>0.1357916865055625</v>
      </c>
      <c r="CQ47" s="728">
        <f>매출!CR45</f>
        <v>0.1359689811588172</v>
      </c>
      <c r="CR47" s="729">
        <f>매출!CS45</f>
        <v>0.1359689811588172</v>
      </c>
      <c r="CS47" s="729">
        <f>매출!CT45</f>
        <v>0.1359689811588172</v>
      </c>
      <c r="CT47" s="730">
        <f>매출!CU45</f>
        <v>0.1359689811588172</v>
      </c>
      <c r="CU47" s="728">
        <f>매출!CV45</f>
        <v>0.1359689811588172</v>
      </c>
      <c r="CV47" s="729">
        <f>매출!CW45</f>
        <v>0.1359689811588172</v>
      </c>
      <c r="CW47" s="729">
        <f>매출!CX45</f>
        <v>0.1359689811588172</v>
      </c>
      <c r="CX47" s="730">
        <f>매출!CY45</f>
        <v>0.1359689811588172</v>
      </c>
      <c r="CY47" s="728">
        <f>매출!CZ45</f>
        <v>0.13820627083084061</v>
      </c>
      <c r="CZ47" s="729">
        <f>매출!DA45</f>
        <v>0.13820627083084061</v>
      </c>
      <c r="DA47" s="729">
        <f>매출!DB45</f>
        <v>0.13820627083084061</v>
      </c>
      <c r="DB47" s="730">
        <f>매출!DC45</f>
        <v>0.13820627083084061</v>
      </c>
      <c r="DC47" s="728">
        <f>매출!DD45</f>
        <v>0.13839243021675804</v>
      </c>
      <c r="DD47" s="729">
        <f>매출!DE45</f>
        <v>0.13839243021675804</v>
      </c>
      <c r="DE47" s="729">
        <f>매출!DF45</f>
        <v>0.13839243021675804</v>
      </c>
      <c r="DF47" s="730">
        <f>매출!DG45</f>
        <v>0.13839243021675804</v>
      </c>
      <c r="DG47" s="728">
        <f>매출!DH45</f>
        <v>0.13839243021675804</v>
      </c>
      <c r="DH47" s="729">
        <f>매출!DI45</f>
        <v>0.13839243021675804</v>
      </c>
      <c r="DI47" s="729">
        <f>매출!DJ45</f>
        <v>0.13839243021675804</v>
      </c>
      <c r="DJ47" s="730">
        <f>매출!DK45</f>
        <v>0.13839243021675804</v>
      </c>
      <c r="DK47" s="728">
        <f>매출!DL45</f>
        <v>0.14074158437238263</v>
      </c>
      <c r="DL47" s="729">
        <f>매출!DM45</f>
        <v>0.14074158437238263</v>
      </c>
      <c r="DM47" s="729">
        <f>매출!DN45</f>
        <v>0.14074158437238263</v>
      </c>
      <c r="DN47" s="730">
        <f>매출!DO45</f>
        <v>0.14074158437238263</v>
      </c>
      <c r="DO47" s="728">
        <f>매출!DP45</f>
        <v>0.14093705172759594</v>
      </c>
      <c r="DP47" s="729">
        <f>매출!DQ45</f>
        <v>0.14093705172759594</v>
      </c>
      <c r="DQ47" s="729">
        <f>매출!DR45</f>
        <v>0.14093705172759594</v>
      </c>
      <c r="DR47" s="730">
        <f>매출!DS45</f>
        <v>0.14093705172759594</v>
      </c>
      <c r="DS47" s="728">
        <f>매출!DT45</f>
        <v>0.14093705172759594</v>
      </c>
      <c r="DT47" s="729">
        <f>매출!DU45</f>
        <v>0.14093705172759594</v>
      </c>
      <c r="DU47" s="729">
        <f>매출!DV45</f>
        <v>0.14093705172759594</v>
      </c>
      <c r="DV47" s="730">
        <f>매출!DW45</f>
        <v>0.14093705172759594</v>
      </c>
      <c r="DW47" s="728">
        <f>매출!DX45</f>
        <v>0.14340366359100179</v>
      </c>
      <c r="DX47" s="729">
        <f>매출!DY45</f>
        <v>0.14340366359100179</v>
      </c>
      <c r="DY47" s="729">
        <f>매출!DZ45</f>
        <v>0.14340366359100179</v>
      </c>
      <c r="DZ47" s="730">
        <f>매출!EA45</f>
        <v>0.14340366359100179</v>
      </c>
      <c r="EA47" s="728">
        <f>매출!EB45</f>
        <v>0.14360890431397574</v>
      </c>
      <c r="EB47" s="729">
        <f>매출!EC45</f>
        <v>0.14360890431397574</v>
      </c>
      <c r="EC47" s="729">
        <f>매출!ED45</f>
        <v>0.14360890431397574</v>
      </c>
      <c r="ED47" s="730">
        <f>매출!EE45</f>
        <v>0.14360890431397574</v>
      </c>
      <c r="EE47" s="728">
        <f>매출!EF45</f>
        <v>0.14360890431397574</v>
      </c>
      <c r="EF47" s="729">
        <f>매출!EG45</f>
        <v>0.14360890431397574</v>
      </c>
      <c r="EG47" s="729">
        <f>매출!EH45</f>
        <v>0.14360890431397574</v>
      </c>
      <c r="EH47" s="730">
        <f>매출!EI45</f>
        <v>0.14360890431397574</v>
      </c>
      <c r="EI47" s="728">
        <f>매출!EJ45</f>
        <v>0.14619884677055187</v>
      </c>
      <c r="EJ47" s="729">
        <f>매출!EK45</f>
        <v>0.14619884677055187</v>
      </c>
      <c r="EK47" s="729">
        <f>매출!EL45</f>
        <v>0.14619884677055187</v>
      </c>
      <c r="EL47" s="730">
        <f>매출!EM45</f>
        <v>0.14619884677055187</v>
      </c>
      <c r="EM47" s="728">
        <f>매출!EN45</f>
        <v>0.14641434952967453</v>
      </c>
      <c r="EN47" s="729">
        <f>매출!EO45</f>
        <v>0.14641434952967453</v>
      </c>
      <c r="EO47" s="729">
        <f>매출!EP45</f>
        <v>0.14641434952967453</v>
      </c>
      <c r="EP47" s="730">
        <f>매출!EQ45</f>
        <v>0.14641434952967453</v>
      </c>
      <c r="EQ47" s="728">
        <f>매출!ER45</f>
        <v>0.14641434952967453</v>
      </c>
      <c r="ER47" s="729">
        <f>매출!ES45</f>
        <v>0.14641434952967453</v>
      </c>
      <c r="ES47" s="729">
        <f>매출!ET45</f>
        <v>0.14641434952967453</v>
      </c>
      <c r="ET47" s="730">
        <f>매출!EU45</f>
        <v>0.14641434952967453</v>
      </c>
      <c r="EU47" s="728">
        <f>매출!EV45</f>
        <v>0.14913378910907946</v>
      </c>
      <c r="EV47" s="729">
        <f>매출!EW45</f>
        <v>0.14913378910907946</v>
      </c>
      <c r="EW47" s="729">
        <f>매출!EX45</f>
        <v>0.14913378910907946</v>
      </c>
      <c r="EX47" s="730">
        <f>매출!EY45</f>
        <v>0.14913378910907946</v>
      </c>
      <c r="EY47" s="728">
        <f>매출!EZ45</f>
        <v>0.14936006700615825</v>
      </c>
      <c r="EZ47" s="729">
        <f>매출!FA45</f>
        <v>0.14936006700615825</v>
      </c>
      <c r="FA47" s="729">
        <f>매출!FB45</f>
        <v>0.14936006700615825</v>
      </c>
      <c r="FB47" s="730">
        <f>매출!FC45</f>
        <v>0.14936006700615825</v>
      </c>
      <c r="FC47" s="728">
        <f>매출!FD45</f>
        <v>0.14936006700615825</v>
      </c>
      <c r="FD47" s="729">
        <f>매출!FE45</f>
        <v>0.14936006700615825</v>
      </c>
      <c r="FE47" s="729">
        <f>매출!FF45</f>
        <v>0.14936006700615825</v>
      </c>
      <c r="FF47" s="730">
        <f>매출!FG45</f>
        <v>0.14936006700615825</v>
      </c>
      <c r="FG47" s="728">
        <f>매출!FH45</f>
        <v>0.15221547856453346</v>
      </c>
      <c r="FH47" s="729">
        <f>매출!FI45</f>
        <v>0.15221547856453346</v>
      </c>
      <c r="FI47" s="729">
        <f>매출!FJ45</f>
        <v>0.15221547856453346</v>
      </c>
      <c r="FJ47" s="730">
        <f>매출!FK45</f>
        <v>0.15221547856453346</v>
      </c>
      <c r="FK47" s="728">
        <f>매출!FL45</f>
        <v>0.15245307035646621</v>
      </c>
      <c r="FL47" s="729">
        <f>매출!FM45</f>
        <v>0.15245307035646621</v>
      </c>
      <c r="FM47" s="729">
        <f>매출!FN45</f>
        <v>0</v>
      </c>
      <c r="FN47" s="730">
        <f>매출!FO45</f>
        <v>0</v>
      </c>
      <c r="FO47" s="728">
        <f>매출!FP45</f>
        <v>0</v>
      </c>
      <c r="FP47" s="729">
        <f>매출!FQ45</f>
        <v>0</v>
      </c>
      <c r="FQ47" s="729">
        <f>매출!FR45</f>
        <v>0</v>
      </c>
      <c r="FR47" s="730">
        <f>매출!FS45</f>
        <v>0</v>
      </c>
      <c r="FS47" s="728">
        <f>매출!FT45</f>
        <v>0</v>
      </c>
      <c r="FT47" s="729">
        <f>매출!FU45</f>
        <v>0</v>
      </c>
      <c r="FU47" s="729">
        <f>매출!FV45</f>
        <v>0</v>
      </c>
      <c r="FV47" s="730">
        <f>매출!FW45</f>
        <v>0</v>
      </c>
      <c r="FW47" s="728">
        <f>매출!FX45</f>
        <v>0</v>
      </c>
      <c r="FX47" s="729">
        <f>매출!FY45</f>
        <v>0</v>
      </c>
      <c r="FY47" s="729">
        <f>매출!FZ45</f>
        <v>0</v>
      </c>
      <c r="FZ47" s="730">
        <f>매출!GA45</f>
        <v>0</v>
      </c>
      <c r="GA47" s="728">
        <f>매출!GB45</f>
        <v>0</v>
      </c>
      <c r="GB47" s="729">
        <f>매출!GC45</f>
        <v>0</v>
      </c>
      <c r="GC47" s="729">
        <f>매출!GD45</f>
        <v>0</v>
      </c>
      <c r="GD47" s="730">
        <f>매출!GE45</f>
        <v>0</v>
      </c>
    </row>
    <row r="48" spans="2:186" ht="17.100000000000001" customHeight="1">
      <c r="C48" s="307"/>
      <c r="D48" s="1274" t="str">
        <f>매출!C51</f>
        <v>MRG (운영비 정산후)</v>
      </c>
      <c r="E48" s="742"/>
      <c r="F48" s="767">
        <f t="shared" ca="1" si="40"/>
        <v>555.56452046385482</v>
      </c>
      <c r="G48" s="1275">
        <f>매출!H52</f>
        <v>2.9639801499999998</v>
      </c>
      <c r="H48" s="1290">
        <f>매출!I52</f>
        <v>136.56974478239997</v>
      </c>
      <c r="I48" s="1290">
        <f>매출!J52</f>
        <v>0</v>
      </c>
      <c r="J48" s="1291">
        <f>매출!K52</f>
        <v>0</v>
      </c>
      <c r="K48" s="1275">
        <f>매출!L52</f>
        <v>0</v>
      </c>
      <c r="L48" s="1290">
        <f ca="1">매출!M52+매출!F51-매출!F52</f>
        <v>-74.490642961936544</v>
      </c>
      <c r="M48" s="1290">
        <f>매출!N52</f>
        <v>129.15964141672885</v>
      </c>
      <c r="N48" s="1291">
        <f>매출!O52</f>
        <v>0</v>
      </c>
      <c r="O48" s="728">
        <f>매출!P52</f>
        <v>0</v>
      </c>
      <c r="P48" s="729">
        <f>매출!Q52</f>
        <v>103.99844322999999</v>
      </c>
      <c r="Q48" s="729">
        <f>매출!R52</f>
        <v>0</v>
      </c>
      <c r="R48" s="730">
        <f>매출!S52</f>
        <v>0</v>
      </c>
      <c r="S48" s="728">
        <f>매출!T52</f>
        <v>0</v>
      </c>
      <c r="T48" s="729">
        <f ca="1">매출!U52</f>
        <v>127.40945454205534</v>
      </c>
      <c r="U48" s="729">
        <f>매출!V52</f>
        <v>0</v>
      </c>
      <c r="V48" s="730">
        <f>매출!W52</f>
        <v>0</v>
      </c>
      <c r="W48" s="728">
        <f>매출!X52</f>
        <v>0</v>
      </c>
      <c r="X48" s="729">
        <f ca="1">매출!Y52</f>
        <v>134.56777271582553</v>
      </c>
      <c r="Y48" s="729">
        <f>매출!Z52</f>
        <v>0</v>
      </c>
      <c r="Z48" s="730">
        <f>매출!AA52</f>
        <v>0</v>
      </c>
      <c r="AA48" s="728">
        <f>매출!AB52</f>
        <v>0</v>
      </c>
      <c r="AB48" s="729">
        <f ca="1">매출!AC52</f>
        <v>129.73915563145067</v>
      </c>
      <c r="AC48" s="729">
        <f>매출!AD52</f>
        <v>0</v>
      </c>
      <c r="AD48" s="730">
        <f>매출!AE52</f>
        <v>0</v>
      </c>
      <c r="AE48" s="728">
        <f>매출!AF52</f>
        <v>0</v>
      </c>
      <c r="AF48" s="729">
        <f ca="1">매출!AG52</f>
        <v>59.849694344523293</v>
      </c>
      <c r="AG48" s="729">
        <f>매출!AH52</f>
        <v>0</v>
      </c>
      <c r="AH48" s="730">
        <f>매출!AI52</f>
        <v>0</v>
      </c>
      <c r="AI48" s="728">
        <f>매출!AJ52</f>
        <v>0</v>
      </c>
      <c r="AJ48" s="729">
        <f>매출!AK52</f>
        <v>0</v>
      </c>
      <c r="AK48" s="729">
        <f>매출!AL52</f>
        <v>0</v>
      </c>
      <c r="AL48" s="730">
        <f>매출!AM52</f>
        <v>0</v>
      </c>
      <c r="AM48" s="728">
        <f>매출!AN52</f>
        <v>0</v>
      </c>
      <c r="AN48" s="729">
        <f>매출!AO52</f>
        <v>0</v>
      </c>
      <c r="AO48" s="729">
        <f>매출!AP52</f>
        <v>0</v>
      </c>
      <c r="AP48" s="730">
        <f>매출!AQ52</f>
        <v>0</v>
      </c>
      <c r="AQ48" s="728">
        <f>매출!AR52</f>
        <v>0</v>
      </c>
      <c r="AR48" s="729">
        <f>매출!AS52</f>
        <v>0</v>
      </c>
      <c r="AS48" s="729">
        <f>매출!AT52</f>
        <v>0</v>
      </c>
      <c r="AT48" s="730">
        <f>매출!AU52</f>
        <v>0</v>
      </c>
      <c r="AU48" s="728">
        <f>매출!AV52</f>
        <v>0</v>
      </c>
      <c r="AV48" s="729">
        <f>매출!AW52</f>
        <v>0</v>
      </c>
      <c r="AW48" s="729">
        <f>매출!AX52</f>
        <v>0</v>
      </c>
      <c r="AX48" s="730">
        <f>매출!AY52</f>
        <v>0</v>
      </c>
      <c r="AY48" s="728">
        <f>매출!AZ52</f>
        <v>0</v>
      </c>
      <c r="AZ48" s="729">
        <f>매출!BA52</f>
        <v>0</v>
      </c>
      <c r="BA48" s="729">
        <f>매출!BB52</f>
        <v>0</v>
      </c>
      <c r="BB48" s="730">
        <f>매출!BC52</f>
        <v>0</v>
      </c>
      <c r="BC48" s="728">
        <f>매출!BD52</f>
        <v>0</v>
      </c>
      <c r="BD48" s="729">
        <f>매출!BE52</f>
        <v>0</v>
      </c>
      <c r="BE48" s="729">
        <f>매출!BF52</f>
        <v>0</v>
      </c>
      <c r="BF48" s="730">
        <f>매출!BG52</f>
        <v>0</v>
      </c>
      <c r="BG48" s="728">
        <f>매출!BH52</f>
        <v>0</v>
      </c>
      <c r="BH48" s="729">
        <f>매출!BI52</f>
        <v>0</v>
      </c>
      <c r="BI48" s="729">
        <f>매출!BJ52</f>
        <v>0</v>
      </c>
      <c r="BJ48" s="730">
        <f>매출!BK52</f>
        <v>0</v>
      </c>
      <c r="BK48" s="728">
        <f>매출!BL52</f>
        <v>0</v>
      </c>
      <c r="BL48" s="729">
        <f>매출!BM52</f>
        <v>0</v>
      </c>
      <c r="BM48" s="729">
        <f>매출!BN52</f>
        <v>0</v>
      </c>
      <c r="BN48" s="730">
        <f>매출!BO52</f>
        <v>0</v>
      </c>
      <c r="BO48" s="728">
        <f>매출!BP52</f>
        <v>0</v>
      </c>
      <c r="BP48" s="729">
        <f>매출!BQ52</f>
        <v>0</v>
      </c>
      <c r="BQ48" s="729">
        <f>매출!BR52</f>
        <v>0</v>
      </c>
      <c r="BR48" s="730">
        <f>매출!BS52</f>
        <v>0</v>
      </c>
      <c r="BS48" s="728">
        <f>매출!BT52</f>
        <v>0</v>
      </c>
      <c r="BT48" s="729">
        <f>매출!BU52</f>
        <v>0</v>
      </c>
      <c r="BU48" s="729">
        <f>매출!BV52</f>
        <v>0</v>
      </c>
      <c r="BV48" s="730">
        <f>매출!BW52</f>
        <v>0</v>
      </c>
      <c r="BW48" s="728">
        <f>매출!BX52</f>
        <v>0</v>
      </c>
      <c r="BX48" s="729">
        <f>매출!BY52</f>
        <v>0</v>
      </c>
      <c r="BY48" s="729">
        <f>매출!BZ52</f>
        <v>0</v>
      </c>
      <c r="BZ48" s="730">
        <f>매출!CA52</f>
        <v>0</v>
      </c>
      <c r="CA48" s="728">
        <f>매출!CB52</f>
        <v>0</v>
      </c>
      <c r="CB48" s="729">
        <f>매출!CC52</f>
        <v>0</v>
      </c>
      <c r="CC48" s="729">
        <f>매출!CD52</f>
        <v>0</v>
      </c>
      <c r="CD48" s="730">
        <f>매출!CE52</f>
        <v>0</v>
      </c>
      <c r="CE48" s="728">
        <f>매출!CF52</f>
        <v>0</v>
      </c>
      <c r="CF48" s="729">
        <f>매출!CG52</f>
        <v>0</v>
      </c>
      <c r="CG48" s="729">
        <f>매출!CH52</f>
        <v>0</v>
      </c>
      <c r="CH48" s="730">
        <f>매출!CI52</f>
        <v>0</v>
      </c>
      <c r="CI48" s="728">
        <f>매출!CJ52</f>
        <v>0</v>
      </c>
      <c r="CJ48" s="729">
        <f>매출!CK52</f>
        <v>0</v>
      </c>
      <c r="CK48" s="729">
        <f>매출!CL52</f>
        <v>0</v>
      </c>
      <c r="CL48" s="730">
        <f>매출!CM52</f>
        <v>0</v>
      </c>
      <c r="CM48" s="728">
        <f>매출!CN52</f>
        <v>0</v>
      </c>
      <c r="CN48" s="729">
        <f>매출!CO52</f>
        <v>0</v>
      </c>
      <c r="CO48" s="729">
        <f>매출!CP52</f>
        <v>0</v>
      </c>
      <c r="CP48" s="730">
        <f>매출!CQ52</f>
        <v>0</v>
      </c>
      <c r="CQ48" s="728">
        <f>매출!CR52</f>
        <v>0</v>
      </c>
      <c r="CR48" s="729">
        <f>매출!CS52</f>
        <v>0</v>
      </c>
      <c r="CS48" s="729">
        <f>매출!CT52</f>
        <v>0</v>
      </c>
      <c r="CT48" s="730">
        <f>매출!CU52</f>
        <v>0</v>
      </c>
      <c r="CU48" s="728">
        <f>매출!CV52</f>
        <v>0</v>
      </c>
      <c r="CV48" s="729">
        <f>매출!CW52</f>
        <v>0</v>
      </c>
      <c r="CW48" s="729">
        <f>매출!CX52</f>
        <v>0</v>
      </c>
      <c r="CX48" s="730">
        <f>매출!CY52</f>
        <v>0</v>
      </c>
      <c r="CY48" s="728">
        <f>매출!CZ52</f>
        <v>0</v>
      </c>
      <c r="CZ48" s="729">
        <f>매출!DA52</f>
        <v>0</v>
      </c>
      <c r="DA48" s="729">
        <f>매출!DB52</f>
        <v>0</v>
      </c>
      <c r="DB48" s="730">
        <f>매출!DC52</f>
        <v>0</v>
      </c>
      <c r="DC48" s="728">
        <f>매출!DD52</f>
        <v>0</v>
      </c>
      <c r="DD48" s="729">
        <f>매출!DE52</f>
        <v>0</v>
      </c>
      <c r="DE48" s="729">
        <f>매출!DF52</f>
        <v>0</v>
      </c>
      <c r="DF48" s="730">
        <f>매출!DG52</f>
        <v>0</v>
      </c>
      <c r="DG48" s="728">
        <f>매출!DH52</f>
        <v>0</v>
      </c>
      <c r="DH48" s="729">
        <f>매출!DI52</f>
        <v>0</v>
      </c>
      <c r="DI48" s="729">
        <f>매출!DJ52</f>
        <v>0</v>
      </c>
      <c r="DJ48" s="730">
        <f>매출!DK52</f>
        <v>0</v>
      </c>
      <c r="DK48" s="728">
        <f>매출!DL52</f>
        <v>0</v>
      </c>
      <c r="DL48" s="729">
        <f>매출!DM52</f>
        <v>0</v>
      </c>
      <c r="DM48" s="729">
        <f>매출!DN52</f>
        <v>0</v>
      </c>
      <c r="DN48" s="730">
        <f>매출!DO52</f>
        <v>0</v>
      </c>
      <c r="DO48" s="728">
        <f>매출!DP52</f>
        <v>0</v>
      </c>
      <c r="DP48" s="729">
        <f>매출!DQ52</f>
        <v>0</v>
      </c>
      <c r="DQ48" s="729">
        <f>매출!DR52</f>
        <v>0</v>
      </c>
      <c r="DR48" s="730">
        <f>매출!DS52</f>
        <v>0</v>
      </c>
      <c r="DS48" s="728">
        <f>매출!DT52</f>
        <v>0</v>
      </c>
      <c r="DT48" s="729">
        <f>매출!DU52</f>
        <v>0</v>
      </c>
      <c r="DU48" s="729">
        <f>매출!DV52</f>
        <v>0</v>
      </c>
      <c r="DV48" s="730">
        <f>매출!DW52</f>
        <v>0</v>
      </c>
      <c r="DW48" s="728">
        <f>매출!DX52</f>
        <v>0</v>
      </c>
      <c r="DX48" s="729">
        <f>매출!DY52</f>
        <v>0</v>
      </c>
      <c r="DY48" s="729">
        <f>매출!DZ52</f>
        <v>0</v>
      </c>
      <c r="DZ48" s="730">
        <f>매출!EA52</f>
        <v>0</v>
      </c>
      <c r="EA48" s="728">
        <f>매출!EB52</f>
        <v>0</v>
      </c>
      <c r="EB48" s="729">
        <f>매출!EC52</f>
        <v>0</v>
      </c>
      <c r="EC48" s="729">
        <f>매출!ED52</f>
        <v>0</v>
      </c>
      <c r="ED48" s="730">
        <f>매출!EE52</f>
        <v>0</v>
      </c>
      <c r="EE48" s="728">
        <f>매출!EF52</f>
        <v>0</v>
      </c>
      <c r="EF48" s="729">
        <f>매출!EG52</f>
        <v>0</v>
      </c>
      <c r="EG48" s="729">
        <f>매출!EH52</f>
        <v>0</v>
      </c>
      <c r="EH48" s="730">
        <f>매출!EI52</f>
        <v>0</v>
      </c>
      <c r="EI48" s="728">
        <f>매출!EJ52</f>
        <v>0</v>
      </c>
      <c r="EJ48" s="729">
        <f>매출!EK52</f>
        <v>0</v>
      </c>
      <c r="EK48" s="729">
        <f>매출!EL52</f>
        <v>0</v>
      </c>
      <c r="EL48" s="730">
        <f>매출!EM52</f>
        <v>0</v>
      </c>
      <c r="EM48" s="728">
        <f>매출!EN52</f>
        <v>0</v>
      </c>
      <c r="EN48" s="729">
        <f>매출!EO52</f>
        <v>0</v>
      </c>
      <c r="EO48" s="729">
        <f>매출!EP52</f>
        <v>0</v>
      </c>
      <c r="EP48" s="730">
        <f>매출!EQ52</f>
        <v>0</v>
      </c>
      <c r="EQ48" s="728">
        <f>매출!ER52</f>
        <v>0</v>
      </c>
      <c r="ER48" s="729">
        <f>매출!ES52</f>
        <v>0</v>
      </c>
      <c r="ES48" s="729">
        <f>매출!ET52</f>
        <v>0</v>
      </c>
      <c r="ET48" s="730">
        <f>매출!EU52</f>
        <v>0</v>
      </c>
      <c r="EU48" s="728">
        <f>매출!EV52</f>
        <v>0</v>
      </c>
      <c r="EV48" s="729">
        <f>매출!EW52</f>
        <v>0</v>
      </c>
      <c r="EW48" s="729">
        <f>매출!EX52</f>
        <v>0</v>
      </c>
      <c r="EX48" s="730">
        <f>매출!EY52</f>
        <v>0</v>
      </c>
      <c r="EY48" s="728">
        <f>매출!EZ52</f>
        <v>0</v>
      </c>
      <c r="EZ48" s="729">
        <f>매출!FA52</f>
        <v>0</v>
      </c>
      <c r="FA48" s="729">
        <f>매출!FB52</f>
        <v>0</v>
      </c>
      <c r="FB48" s="730">
        <f>매출!FC52</f>
        <v>0</v>
      </c>
      <c r="FC48" s="728">
        <f>매출!FD52</f>
        <v>0</v>
      </c>
      <c r="FD48" s="729">
        <f>매출!FE52</f>
        <v>0</v>
      </c>
      <c r="FE48" s="729">
        <f>매출!FF52</f>
        <v>0</v>
      </c>
      <c r="FF48" s="730">
        <f>매출!FG52</f>
        <v>0</v>
      </c>
      <c r="FG48" s="728">
        <f>매출!FH52</f>
        <v>0</v>
      </c>
      <c r="FH48" s="729">
        <f>매출!FI52</f>
        <v>0</v>
      </c>
      <c r="FI48" s="729">
        <f>매출!FJ52</f>
        <v>0</v>
      </c>
      <c r="FJ48" s="730">
        <f>매출!FK52</f>
        <v>0</v>
      </c>
      <c r="FK48" s="728">
        <f>매출!FL52</f>
        <v>0</v>
      </c>
      <c r="FL48" s="729">
        <f>매출!FM52</f>
        <v>0</v>
      </c>
      <c r="FM48" s="729">
        <f>매출!FN52</f>
        <v>0</v>
      </c>
      <c r="FN48" s="730">
        <f>매출!FO52</f>
        <v>0</v>
      </c>
      <c r="FO48" s="728">
        <f>매출!FP52</f>
        <v>0</v>
      </c>
      <c r="FP48" s="729">
        <f>매출!FQ52</f>
        <v>0</v>
      </c>
      <c r="FQ48" s="729">
        <f>매출!FR52</f>
        <v>0</v>
      </c>
      <c r="FR48" s="730">
        <f>매출!FS52</f>
        <v>0</v>
      </c>
      <c r="FS48" s="728">
        <f>매출!FT52</f>
        <v>0</v>
      </c>
      <c r="FT48" s="729">
        <f>매출!FU52</f>
        <v>0</v>
      </c>
      <c r="FU48" s="729">
        <f>매출!FV52</f>
        <v>0</v>
      </c>
      <c r="FV48" s="730">
        <f>매출!FW52</f>
        <v>0</v>
      </c>
      <c r="FW48" s="728">
        <f>매출!FX52</f>
        <v>0</v>
      </c>
      <c r="FX48" s="729">
        <f>매출!FY52</f>
        <v>0</v>
      </c>
      <c r="FY48" s="729">
        <f>매출!FZ52</f>
        <v>0</v>
      </c>
      <c r="FZ48" s="730">
        <f>매출!GA52</f>
        <v>0</v>
      </c>
      <c r="GA48" s="728">
        <f>매출!GB52</f>
        <v>0</v>
      </c>
      <c r="GB48" s="729">
        <f>매출!GC52</f>
        <v>0</v>
      </c>
      <c r="GC48" s="729">
        <f>매출!GD52</f>
        <v>0</v>
      </c>
      <c r="GD48" s="730">
        <f>매출!GE52</f>
        <v>0</v>
      </c>
    </row>
    <row r="49" spans="2:186" ht="17.100000000000001" customHeight="1">
      <c r="C49" s="952"/>
      <c r="D49" s="1324" t="s">
        <v>1249</v>
      </c>
      <c r="E49" s="752"/>
      <c r="F49" s="645">
        <f t="shared" ca="1" si="40"/>
        <v>16148.199110754289</v>
      </c>
      <c r="G49" s="1325">
        <f t="shared" ref="G49:AL49" si="41">SUM(G42:G48)</f>
        <v>86.769320339999993</v>
      </c>
      <c r="H49" s="1326">
        <f t="shared" si="41"/>
        <v>205.78581829239997</v>
      </c>
      <c r="I49" s="1326">
        <f t="shared" si="41"/>
        <v>62.702894280000002</v>
      </c>
      <c r="J49" s="1327">
        <f t="shared" si="41"/>
        <v>17.826184540000007</v>
      </c>
      <c r="K49" s="1325">
        <f t="shared" si="41"/>
        <v>73.892817159999993</v>
      </c>
      <c r="L49" s="1326">
        <f t="shared" ca="1" si="41"/>
        <v>-6.0475824019365376</v>
      </c>
      <c r="M49" s="1326">
        <f t="shared" si="41"/>
        <v>199.07223561672885</v>
      </c>
      <c r="N49" s="1327">
        <f t="shared" si="41"/>
        <v>65.857226150000002</v>
      </c>
      <c r="O49" s="1328">
        <f t="shared" si="41"/>
        <v>64.050939639999996</v>
      </c>
      <c r="P49" s="1329">
        <f t="shared" si="41"/>
        <v>163.91645235999999</v>
      </c>
      <c r="Q49" s="1329">
        <f t="shared" si="41"/>
        <v>65.025467930000005</v>
      </c>
      <c r="R49" s="1330">
        <f t="shared" si="41"/>
        <v>61.603223720000003</v>
      </c>
      <c r="S49" s="1328">
        <f t="shared" si="41"/>
        <v>61.951725201359693</v>
      </c>
      <c r="T49" s="1329">
        <f t="shared" ca="1" si="41"/>
        <v>190.92160820698277</v>
      </c>
      <c r="U49" s="1329">
        <f t="shared" si="41"/>
        <v>64.682222526973675</v>
      </c>
      <c r="V49" s="1330">
        <f t="shared" si="41"/>
        <v>65.860142133666812</v>
      </c>
      <c r="W49" s="1328">
        <f t="shared" ca="1" si="41"/>
        <v>66.841896672000018</v>
      </c>
      <c r="X49" s="1329">
        <f t="shared" ca="1" si="41"/>
        <v>201.40966938782555</v>
      </c>
      <c r="Y49" s="1329">
        <f t="shared" ca="1" si="41"/>
        <v>66.841896672000018</v>
      </c>
      <c r="Z49" s="1330">
        <f t="shared" ca="1" si="41"/>
        <v>66.841896672000018</v>
      </c>
      <c r="AA49" s="1328">
        <f t="shared" ca="1" si="41"/>
        <v>70.177079277276022</v>
      </c>
      <c r="AB49" s="1329">
        <f t="shared" ca="1" si="41"/>
        <v>199.91623490872669</v>
      </c>
      <c r="AC49" s="1329">
        <f t="shared" ca="1" si="41"/>
        <v>70.000410277276032</v>
      </c>
      <c r="AD49" s="1330">
        <f t="shared" ca="1" si="41"/>
        <v>70.000410277276032</v>
      </c>
      <c r="AE49" s="1328">
        <f t="shared" ca="1" si="41"/>
        <v>70.179170518648021</v>
      </c>
      <c r="AF49" s="1329">
        <f t="shared" ca="1" si="41"/>
        <v>130.02886486317132</v>
      </c>
      <c r="AG49" s="1329">
        <f t="shared" ca="1" si="41"/>
        <v>70.179170518648021</v>
      </c>
      <c r="AH49" s="1330">
        <f t="shared" ca="1" si="41"/>
        <v>70.179170518648021</v>
      </c>
      <c r="AI49" s="1328">
        <f t="shared" ca="1" si="41"/>
        <v>72.063150875020042</v>
      </c>
      <c r="AJ49" s="1329">
        <f t="shared" ca="1" si="41"/>
        <v>72.063150875020042</v>
      </c>
      <c r="AK49" s="1329">
        <f t="shared" ca="1" si="41"/>
        <v>72.063150875020042</v>
      </c>
      <c r="AL49" s="1330">
        <f t="shared" ca="1" si="41"/>
        <v>72.063150875020042</v>
      </c>
      <c r="AM49" s="1328">
        <f t="shared" ref="AM49:CX49" ca="1" si="42">SUM(AM42:AM48)</f>
        <v>76.174478573073799</v>
      </c>
      <c r="AN49" s="1329">
        <f t="shared" ca="1" si="42"/>
        <v>76.174478573073799</v>
      </c>
      <c r="AO49" s="1329">
        <f t="shared" ca="1" si="42"/>
        <v>76.174478573073799</v>
      </c>
      <c r="AP49" s="1330">
        <f t="shared" ca="1" si="42"/>
        <v>76.174478573073799</v>
      </c>
      <c r="AQ49" s="1328">
        <f t="shared" ca="1" si="42"/>
        <v>78.116588232686937</v>
      </c>
      <c r="AR49" s="1329">
        <f t="shared" ca="1" si="42"/>
        <v>78.116588232686937</v>
      </c>
      <c r="AS49" s="1329">
        <f t="shared" ca="1" si="42"/>
        <v>78.116588232686937</v>
      </c>
      <c r="AT49" s="1330">
        <f t="shared" ca="1" si="42"/>
        <v>78.116588232686937</v>
      </c>
      <c r="AU49" s="1328">
        <f t="shared" ca="1" si="42"/>
        <v>80.05709077805011</v>
      </c>
      <c r="AV49" s="1329">
        <f t="shared" ca="1" si="42"/>
        <v>80.05709077805011</v>
      </c>
      <c r="AW49" s="1329">
        <f t="shared" ca="1" si="42"/>
        <v>80.05709077805011</v>
      </c>
      <c r="AX49" s="1330">
        <f t="shared" ca="1" si="42"/>
        <v>80.05709077805011</v>
      </c>
      <c r="AY49" s="1328">
        <f t="shared" ca="1" si="42"/>
        <v>84.470249158660693</v>
      </c>
      <c r="AZ49" s="1329">
        <f t="shared" ca="1" si="42"/>
        <v>84.470249158660693</v>
      </c>
      <c r="BA49" s="1329">
        <f t="shared" ca="1" si="42"/>
        <v>84.470249158660693</v>
      </c>
      <c r="BB49" s="1330">
        <f t="shared" ca="1" si="42"/>
        <v>84.470249158660693</v>
      </c>
      <c r="BC49" s="1328">
        <f t="shared" ca="1" si="42"/>
        <v>85.271516736471298</v>
      </c>
      <c r="BD49" s="1329">
        <f t="shared" ca="1" si="42"/>
        <v>85.271516736471298</v>
      </c>
      <c r="BE49" s="1329">
        <f t="shared" ca="1" si="42"/>
        <v>85.271516736471298</v>
      </c>
      <c r="BF49" s="1330">
        <f t="shared" ca="1" si="42"/>
        <v>85.271516736471298</v>
      </c>
      <c r="BG49" s="1328">
        <f t="shared" ca="1" si="42"/>
        <v>86.071096844319413</v>
      </c>
      <c r="BH49" s="1329">
        <f t="shared" ca="1" si="42"/>
        <v>86.071096844319413</v>
      </c>
      <c r="BI49" s="1329">
        <f t="shared" ca="1" si="42"/>
        <v>86.071096844319413</v>
      </c>
      <c r="BJ49" s="1330">
        <f t="shared" ca="1" si="42"/>
        <v>86.071096844319413</v>
      </c>
      <c r="BK49" s="1328">
        <f t="shared" ca="1" si="42"/>
        <v>89.493509658622813</v>
      </c>
      <c r="BL49" s="1329">
        <f t="shared" ca="1" si="42"/>
        <v>89.493509658622813</v>
      </c>
      <c r="BM49" s="1329">
        <f t="shared" ca="1" si="42"/>
        <v>89.493509658622813</v>
      </c>
      <c r="BN49" s="1330">
        <f t="shared" ca="1" si="42"/>
        <v>89.493509658622813</v>
      </c>
      <c r="BO49" s="1328">
        <f t="shared" ca="1" si="42"/>
        <v>90.318852076242763</v>
      </c>
      <c r="BP49" s="1329">
        <f t="shared" ca="1" si="42"/>
        <v>90.318852076242763</v>
      </c>
      <c r="BQ49" s="1329">
        <f t="shared" ca="1" si="42"/>
        <v>90.318852076242763</v>
      </c>
      <c r="BR49" s="1330">
        <f t="shared" ca="1" si="42"/>
        <v>90.318852076242763</v>
      </c>
      <c r="BS49" s="1328">
        <f t="shared" ca="1" si="42"/>
        <v>91.142422650402068</v>
      </c>
      <c r="BT49" s="1329">
        <f t="shared" ca="1" si="42"/>
        <v>91.142422650402068</v>
      </c>
      <c r="BU49" s="1329">
        <f t="shared" ca="1" si="42"/>
        <v>91.142422650402068</v>
      </c>
      <c r="BV49" s="1330">
        <f t="shared" ca="1" si="42"/>
        <v>91.142422650402068</v>
      </c>
      <c r="BW49" s="1328">
        <f t="shared" ca="1" si="42"/>
        <v>94.745868999651009</v>
      </c>
      <c r="BX49" s="1329">
        <f t="shared" ca="1" si="42"/>
        <v>94.745868999651009</v>
      </c>
      <c r="BY49" s="1329">
        <f t="shared" ca="1" si="42"/>
        <v>94.745868999651009</v>
      </c>
      <c r="BZ49" s="1330">
        <f t="shared" ca="1" si="42"/>
        <v>94.745868999651009</v>
      </c>
      <c r="CA49" s="1328">
        <f t="shared" ca="1" si="42"/>
        <v>95.59601034289831</v>
      </c>
      <c r="CB49" s="1329">
        <f t="shared" ca="1" si="42"/>
        <v>95.59601034289831</v>
      </c>
      <c r="CC49" s="1329">
        <f t="shared" ca="1" si="42"/>
        <v>95.59601034289831</v>
      </c>
      <c r="CD49" s="1330">
        <f t="shared" ca="1" si="42"/>
        <v>95.59601034289831</v>
      </c>
      <c r="CE49" s="1328">
        <f t="shared" ca="1" si="42"/>
        <v>96.444291250511924</v>
      </c>
      <c r="CF49" s="1329">
        <f t="shared" ca="1" si="42"/>
        <v>96.444291250511924</v>
      </c>
      <c r="CG49" s="1329">
        <f t="shared" ca="1" si="42"/>
        <v>96.444291250511924</v>
      </c>
      <c r="CH49" s="1330">
        <f t="shared" ca="1" si="42"/>
        <v>96.444291250511924</v>
      </c>
      <c r="CI49" s="1328">
        <f t="shared" ca="1" si="42"/>
        <v>100.23663806070773</v>
      </c>
      <c r="CJ49" s="1329">
        <f t="shared" ca="1" si="42"/>
        <v>100.23663806070773</v>
      </c>
      <c r="CK49" s="1329">
        <f t="shared" ca="1" si="42"/>
        <v>100.23663806070773</v>
      </c>
      <c r="CL49" s="1330">
        <f t="shared" ca="1" si="42"/>
        <v>100.23663806070773</v>
      </c>
      <c r="CM49" s="1328">
        <f t="shared" ca="1" si="42"/>
        <v>101.11232423000611</v>
      </c>
      <c r="CN49" s="1329">
        <f t="shared" ca="1" si="42"/>
        <v>101.11232423000611</v>
      </c>
      <c r="CO49" s="1329">
        <f t="shared" ca="1" si="42"/>
        <v>101.11232423000611</v>
      </c>
      <c r="CP49" s="1330">
        <f t="shared" ca="1" si="42"/>
        <v>101.11232423000611</v>
      </c>
      <c r="CQ49" s="1328">
        <f t="shared" ca="1" si="42"/>
        <v>101.98605694188917</v>
      </c>
      <c r="CR49" s="1329">
        <f t="shared" ca="1" si="42"/>
        <v>101.98605694188917</v>
      </c>
      <c r="CS49" s="1329">
        <f t="shared" ca="1" si="42"/>
        <v>101.98605694188917</v>
      </c>
      <c r="CT49" s="1330">
        <f t="shared" ca="1" si="42"/>
        <v>101.98605694188917</v>
      </c>
      <c r="CU49" s="1328">
        <f t="shared" ca="1" si="42"/>
        <v>105.97548447868373</v>
      </c>
      <c r="CV49" s="1329">
        <f t="shared" ca="1" si="42"/>
        <v>105.97548447868373</v>
      </c>
      <c r="CW49" s="1329">
        <f t="shared" ca="1" si="42"/>
        <v>105.97548447868373</v>
      </c>
      <c r="CX49" s="1330">
        <f t="shared" ca="1" si="42"/>
        <v>105.97548447868373</v>
      </c>
      <c r="CY49" s="1328">
        <f t="shared" ref="CY49:FJ49" ca="1" si="43">SUM(CY42:CY48)</f>
        <v>106.87748384810246</v>
      </c>
      <c r="CZ49" s="1329">
        <f t="shared" ca="1" si="43"/>
        <v>106.87748384810246</v>
      </c>
      <c r="DA49" s="1329">
        <f t="shared" ca="1" si="43"/>
        <v>106.87748384810246</v>
      </c>
      <c r="DB49" s="1330">
        <f t="shared" ca="1" si="43"/>
        <v>106.87748384810246</v>
      </c>
      <c r="DC49" s="1328">
        <f t="shared" ca="1" si="43"/>
        <v>107.77743208723508</v>
      </c>
      <c r="DD49" s="1329">
        <f t="shared" ca="1" si="43"/>
        <v>107.77743208723508</v>
      </c>
      <c r="DE49" s="1329">
        <f t="shared" ca="1" si="43"/>
        <v>107.77743208723508</v>
      </c>
      <c r="DF49" s="1330">
        <f t="shared" ca="1" si="43"/>
        <v>107.77743208723508</v>
      </c>
      <c r="DG49" s="1328">
        <f t="shared" ca="1" si="43"/>
        <v>111.97244588878995</v>
      </c>
      <c r="DH49" s="1329">
        <f t="shared" ca="1" si="43"/>
        <v>111.97244588878995</v>
      </c>
      <c r="DI49" s="1329">
        <f t="shared" ca="1" si="43"/>
        <v>111.97244588878995</v>
      </c>
      <c r="DJ49" s="1330">
        <f t="shared" ca="1" si="43"/>
        <v>111.97244588878995</v>
      </c>
      <c r="DK49" s="1328">
        <f t="shared" ca="1" si="43"/>
        <v>112.90154998508467</v>
      </c>
      <c r="DL49" s="1329">
        <f t="shared" ca="1" si="43"/>
        <v>112.90154998508467</v>
      </c>
      <c r="DM49" s="1329">
        <f t="shared" ca="1" si="43"/>
        <v>112.90154998508467</v>
      </c>
      <c r="DN49" s="1330">
        <f t="shared" ca="1" si="43"/>
        <v>112.90154998508467</v>
      </c>
      <c r="DO49" s="1328">
        <f t="shared" ca="1" si="43"/>
        <v>113.82850039457897</v>
      </c>
      <c r="DP49" s="1329">
        <f t="shared" ca="1" si="43"/>
        <v>113.82850039457897</v>
      </c>
      <c r="DQ49" s="1329">
        <f t="shared" ca="1" si="43"/>
        <v>113.82850039457897</v>
      </c>
      <c r="DR49" s="1330">
        <f t="shared" ca="1" si="43"/>
        <v>113.82850039457897</v>
      </c>
      <c r="DS49" s="1328">
        <f t="shared" ca="1" si="43"/>
        <v>118.23794364902629</v>
      </c>
      <c r="DT49" s="1329">
        <f t="shared" ca="1" si="43"/>
        <v>118.23794364902629</v>
      </c>
      <c r="DU49" s="1329">
        <f t="shared" ca="1" si="43"/>
        <v>118.23794364902629</v>
      </c>
      <c r="DV49" s="1330">
        <f t="shared" ca="1" si="43"/>
        <v>118.23794364902629</v>
      </c>
      <c r="DW49" s="1328">
        <f t="shared" ca="1" si="43"/>
        <v>119.19496785129296</v>
      </c>
      <c r="DX49" s="1329">
        <f t="shared" ca="1" si="43"/>
        <v>119.19496785129296</v>
      </c>
      <c r="DY49" s="1329">
        <f t="shared" ca="1" si="43"/>
        <v>119.19496785129296</v>
      </c>
      <c r="DZ49" s="1330">
        <f t="shared" ca="1" si="43"/>
        <v>119.19496785129296</v>
      </c>
      <c r="EA49" s="1328">
        <f t="shared" ca="1" si="43"/>
        <v>120.14973068241919</v>
      </c>
      <c r="EB49" s="1329">
        <f t="shared" ca="1" si="43"/>
        <v>120.14973068241919</v>
      </c>
      <c r="EC49" s="1329">
        <f t="shared" ca="1" si="43"/>
        <v>120.14973068241919</v>
      </c>
      <c r="ED49" s="1330">
        <f t="shared" ca="1" si="43"/>
        <v>120.14973068241919</v>
      </c>
      <c r="EE49" s="1328">
        <f t="shared" ca="1" si="43"/>
        <v>124.78279706639216</v>
      </c>
      <c r="EF49" s="1329">
        <f t="shared" ca="1" si="43"/>
        <v>124.78279706639216</v>
      </c>
      <c r="EG49" s="1329">
        <f t="shared" ca="1" si="43"/>
        <v>124.78279706639216</v>
      </c>
      <c r="EH49" s="1330">
        <f t="shared" ca="1" si="43"/>
        <v>124.78279706639216</v>
      </c>
      <c r="EI49" s="1328">
        <f t="shared" ca="1" si="43"/>
        <v>125.76858132696408</v>
      </c>
      <c r="EJ49" s="1329">
        <f t="shared" ca="1" si="43"/>
        <v>125.76858132696408</v>
      </c>
      <c r="EK49" s="1329">
        <f t="shared" ca="1" si="43"/>
        <v>125.76858132696408</v>
      </c>
      <c r="EL49" s="1330">
        <f t="shared" ca="1" si="43"/>
        <v>125.76858132696408</v>
      </c>
      <c r="EM49" s="1328">
        <f t="shared" ca="1" si="43"/>
        <v>126.75199114783858</v>
      </c>
      <c r="EN49" s="1329">
        <f t="shared" ca="1" si="43"/>
        <v>126.75199114783858</v>
      </c>
      <c r="EO49" s="1329">
        <f t="shared" ca="1" si="43"/>
        <v>126.75199114783858</v>
      </c>
      <c r="EP49" s="1330">
        <f t="shared" ca="1" si="43"/>
        <v>126.75199114783858</v>
      </c>
      <c r="EQ49" s="1328">
        <f t="shared" ca="1" si="43"/>
        <v>131.6182381431548</v>
      </c>
      <c r="ER49" s="1329">
        <f t="shared" ca="1" si="43"/>
        <v>131.6182381431548</v>
      </c>
      <c r="ES49" s="1329">
        <f t="shared" ca="1" si="43"/>
        <v>131.6182381431548</v>
      </c>
      <c r="ET49" s="1330">
        <f t="shared" ca="1" si="43"/>
        <v>131.6182381431548</v>
      </c>
      <c r="EU49" s="1328">
        <f t="shared" ca="1" si="43"/>
        <v>132.63364773039302</v>
      </c>
      <c r="EV49" s="1329">
        <f t="shared" ca="1" si="43"/>
        <v>132.63364773039302</v>
      </c>
      <c r="EW49" s="1329">
        <f t="shared" ca="1" si="43"/>
        <v>132.63364773039302</v>
      </c>
      <c r="EX49" s="1330">
        <f t="shared" ca="1" si="43"/>
        <v>132.63364773039302</v>
      </c>
      <c r="EY49" s="1328">
        <f t="shared" ca="1" si="43"/>
        <v>133.64656415594897</v>
      </c>
      <c r="EZ49" s="1329">
        <f t="shared" ca="1" si="43"/>
        <v>133.64656415594897</v>
      </c>
      <c r="FA49" s="1329">
        <f t="shared" ca="1" si="43"/>
        <v>133.64656415594897</v>
      </c>
      <c r="FB49" s="1330">
        <f t="shared" ca="1" si="43"/>
        <v>133.64656415594897</v>
      </c>
      <c r="FC49" s="1328">
        <f t="shared" ca="1" si="43"/>
        <v>138.7559268621674</v>
      </c>
      <c r="FD49" s="1329">
        <f t="shared" ca="1" si="43"/>
        <v>138.7559268621674</v>
      </c>
      <c r="FE49" s="1329">
        <f t="shared" ca="1" si="43"/>
        <v>138.7559268621674</v>
      </c>
      <c r="FF49" s="1330">
        <f t="shared" ca="1" si="43"/>
        <v>138.7559268621674</v>
      </c>
      <c r="FG49" s="1328">
        <f t="shared" ca="1" si="43"/>
        <v>139.80185312581435</v>
      </c>
      <c r="FH49" s="1329">
        <f t="shared" ca="1" si="43"/>
        <v>139.80185312581435</v>
      </c>
      <c r="FI49" s="1329">
        <f t="shared" ca="1" si="43"/>
        <v>139.80185312581435</v>
      </c>
      <c r="FJ49" s="1330">
        <f t="shared" ca="1" si="43"/>
        <v>139.80185312581435</v>
      </c>
      <c r="FK49" s="1328">
        <f t="shared" ref="FK49:GD49" ca="1" si="44">SUM(FK42:FK48)</f>
        <v>140.84516156969488</v>
      </c>
      <c r="FL49" s="1329">
        <f t="shared" ca="1" si="44"/>
        <v>140.84516156969488</v>
      </c>
      <c r="FM49" s="1329">
        <f t="shared" ca="1" si="44"/>
        <v>0</v>
      </c>
      <c r="FN49" s="1330">
        <f t="shared" ca="1" si="44"/>
        <v>0</v>
      </c>
      <c r="FO49" s="1328">
        <f t="shared" si="44"/>
        <v>0</v>
      </c>
      <c r="FP49" s="1329">
        <f t="shared" si="44"/>
        <v>0</v>
      </c>
      <c r="FQ49" s="1329">
        <f t="shared" si="44"/>
        <v>0</v>
      </c>
      <c r="FR49" s="1330">
        <f t="shared" si="44"/>
        <v>0</v>
      </c>
      <c r="FS49" s="1328">
        <f t="shared" si="44"/>
        <v>0</v>
      </c>
      <c r="FT49" s="1329">
        <f t="shared" si="44"/>
        <v>0</v>
      </c>
      <c r="FU49" s="1329">
        <f t="shared" si="44"/>
        <v>0</v>
      </c>
      <c r="FV49" s="1330">
        <f t="shared" si="44"/>
        <v>0</v>
      </c>
      <c r="FW49" s="1328">
        <f t="shared" si="44"/>
        <v>0</v>
      </c>
      <c r="FX49" s="1329">
        <f t="shared" si="44"/>
        <v>0</v>
      </c>
      <c r="FY49" s="1329">
        <f t="shared" si="44"/>
        <v>0</v>
      </c>
      <c r="FZ49" s="1330">
        <f t="shared" si="44"/>
        <v>0</v>
      </c>
      <c r="GA49" s="1328">
        <f t="shared" si="44"/>
        <v>0</v>
      </c>
      <c r="GB49" s="1329">
        <f t="shared" si="44"/>
        <v>0</v>
      </c>
      <c r="GC49" s="1329">
        <f t="shared" si="44"/>
        <v>0</v>
      </c>
      <c r="GD49" s="1330">
        <f t="shared" si="44"/>
        <v>0</v>
      </c>
    </row>
    <row r="50" spans="2:186" ht="17.100000000000001" customHeight="1">
      <c r="C50" s="930"/>
      <c r="D50" s="770" t="s">
        <v>1250</v>
      </c>
      <c r="E50" s="1331"/>
      <c r="F50" s="951">
        <f t="shared" si="40"/>
        <v>0</v>
      </c>
      <c r="G50" s="1332">
        <f>SUMIF(BS!126:126,K4,BS!131:131)/4</f>
        <v>0</v>
      </c>
      <c r="H50" s="1333">
        <f>SUMIF(BS!126:126,L4,BS!131:131)/4</f>
        <v>0</v>
      </c>
      <c r="I50" s="1333">
        <f>SUMIF(BS!126:126,M4,BS!131:131)/4</f>
        <v>0</v>
      </c>
      <c r="J50" s="1334">
        <f>SUMIF(BS!126:126,N4,BS!131:131)/4</f>
        <v>0</v>
      </c>
      <c r="K50" s="1332">
        <f>SUMIF(BS!126:126,O4,BS!131:131)/4</f>
        <v>0</v>
      </c>
      <c r="L50" s="1333">
        <f>SUMIF(BS!126:126,P4,BS!131:131)/4</f>
        <v>0</v>
      </c>
      <c r="M50" s="1333">
        <f>SUMIF(BS!126:126,Q4,BS!131:131)/4</f>
        <v>0</v>
      </c>
      <c r="N50" s="1334">
        <f>SUMIF(BS!126:126,R4,BS!131:131)/4</f>
        <v>0</v>
      </c>
      <c r="O50" s="941">
        <f>SUMIF(BS!126:126,S4,BS!131:131)/4</f>
        <v>0</v>
      </c>
      <c r="P50" s="939">
        <f>SUMIF(BS!126:126,T4,BS!131:131)/4</f>
        <v>0</v>
      </c>
      <c r="Q50" s="939">
        <f>SUMIF(BS!126:126,U4,BS!131:131)/4</f>
        <v>0</v>
      </c>
      <c r="R50" s="940">
        <f>SUMIF(BS!126:126,V4,BS!131:131)/4</f>
        <v>0</v>
      </c>
      <c r="S50" s="941">
        <f>SUMIF(BS!126:126,W4,BS!131:131)/4</f>
        <v>0</v>
      </c>
      <c r="T50" s="939">
        <f>SUMIF(BS!126:126,X4,BS!131:131)/4</f>
        <v>0</v>
      </c>
      <c r="U50" s="939">
        <f>SUMIF(BS!126:126,Y4,BS!131:131)/4</f>
        <v>0</v>
      </c>
      <c r="V50" s="940">
        <f>SUMIF(BS!126:126,Z4,BS!131:131)/4</f>
        <v>0</v>
      </c>
      <c r="W50" s="941">
        <f>SUMIF(BS!126:126,AA4,BS!131:131)/4</f>
        <v>0</v>
      </c>
      <c r="X50" s="939">
        <f>SUMIF(BS!126:126,AB4,BS!131:131)/4</f>
        <v>0</v>
      </c>
      <c r="Y50" s="939">
        <f>SUMIF(BS!126:126,AC4,BS!131:131)/4</f>
        <v>0</v>
      </c>
      <c r="Z50" s="940">
        <f>SUMIF(BS!126:126,AD4,BS!131:131)/4</f>
        <v>0</v>
      </c>
      <c r="AA50" s="941">
        <f>SUMIF(BS!126:126,AE4,BS!131:131)/4</f>
        <v>0</v>
      </c>
      <c r="AB50" s="939">
        <f>SUMIF(BS!126:126,AF4,BS!131:131)/4</f>
        <v>0</v>
      </c>
      <c r="AC50" s="939">
        <f>SUMIF(BS!126:126,AG4,BS!131:131)/4</f>
        <v>0</v>
      </c>
      <c r="AD50" s="940">
        <f>SUMIF(BS!126:126,AH4,BS!131:131)/4</f>
        <v>0</v>
      </c>
      <c r="AE50" s="941">
        <f>SUMIF(BS!126:126,AI4,BS!131:131)/4</f>
        <v>0</v>
      </c>
      <c r="AF50" s="939">
        <f>SUMIF(BS!126:126,AJ4,BS!131:131)/4</f>
        <v>0</v>
      </c>
      <c r="AG50" s="939">
        <f>SUMIF(BS!126:126,AK4,BS!131:131)/4</f>
        <v>0</v>
      </c>
      <c r="AH50" s="940">
        <f>SUMIF(BS!126:126,AL4,BS!131:131)/4</f>
        <v>0</v>
      </c>
      <c r="AI50" s="941">
        <f>SUMIF(BS!126:126,AM4,BS!131:131)/4</f>
        <v>0</v>
      </c>
      <c r="AJ50" s="939">
        <f>SUMIF(BS!126:126,AN4,BS!131:131)/4</f>
        <v>0</v>
      </c>
      <c r="AK50" s="939">
        <f>SUMIF(BS!126:126,AO4,BS!131:131)/4</f>
        <v>0</v>
      </c>
      <c r="AL50" s="940">
        <f>SUMIF(BS!126:126,AP4,BS!131:131)/4</f>
        <v>0</v>
      </c>
      <c r="AM50" s="941">
        <f>SUMIF(BS!126:126,AQ4,BS!131:131)/4</f>
        <v>0</v>
      </c>
      <c r="AN50" s="939">
        <f>SUMIF(BS!126:126,AR4,BS!131:131)/4</f>
        <v>0</v>
      </c>
      <c r="AO50" s="939">
        <f>SUMIF(BS!126:126,AS4,BS!131:131)/4</f>
        <v>0</v>
      </c>
      <c r="AP50" s="940">
        <f>SUMIF(BS!126:126,AT4,BS!131:131)/4</f>
        <v>0</v>
      </c>
      <c r="AQ50" s="941">
        <f>SUMIF(BS!126:126,AU4,BS!131:131)/4</f>
        <v>0</v>
      </c>
      <c r="AR50" s="939">
        <f>SUMIF(BS!126:126,AV4,BS!131:131)/4</f>
        <v>0</v>
      </c>
      <c r="AS50" s="939">
        <f>SUMIF(BS!126:126,AW4,BS!131:131)/4</f>
        <v>0</v>
      </c>
      <c r="AT50" s="940">
        <f>SUMIF(BS!126:126,AX4,BS!131:131)/4</f>
        <v>0</v>
      </c>
      <c r="AU50" s="941">
        <f>SUMIF(BS!126:126,AY4,BS!131:131)/4</f>
        <v>0</v>
      </c>
      <c r="AV50" s="939">
        <f>SUMIF(BS!126:126,AZ4,BS!131:131)/4</f>
        <v>0</v>
      </c>
      <c r="AW50" s="939">
        <f>SUMIF(BS!126:126,BA4,BS!131:131)/4</f>
        <v>0</v>
      </c>
      <c r="AX50" s="940">
        <f>SUMIF(BS!126:126,BB4,BS!131:131)/4</f>
        <v>0</v>
      </c>
      <c r="AY50" s="1224">
        <f>SUMIF(BS!126:126,BC4,BS!131:131)/4</f>
        <v>0</v>
      </c>
      <c r="AZ50" s="1225">
        <f>SUMIF(BS!126:126,BD4,BS!131:131)/4</f>
        <v>0</v>
      </c>
      <c r="BA50" s="1225">
        <f>SUMIF(BS!126:126,BE4,BS!131:131)/4</f>
        <v>0</v>
      </c>
      <c r="BB50" s="1226">
        <f>SUMIF(BS!126:126,BF4,BS!131:131)/4</f>
        <v>0</v>
      </c>
      <c r="BC50" s="941">
        <f>SUMIF(BS!126:126,BG4,BS!131:131)/4</f>
        <v>0</v>
      </c>
      <c r="BD50" s="939">
        <f>SUMIF(BS!126:126,BH4,BS!131:131)/4</f>
        <v>0</v>
      </c>
      <c r="BE50" s="939">
        <f>SUMIF(BS!126:126,BI4,BS!131:131)/4</f>
        <v>0</v>
      </c>
      <c r="BF50" s="940">
        <f>SUMIF(BS!126:126,BJ4,BS!131:131)/4</f>
        <v>0</v>
      </c>
      <c r="BG50" s="941">
        <f>SUMIF(BS!126:126,BK4,BS!131:131)/4</f>
        <v>0</v>
      </c>
      <c r="BH50" s="939">
        <f>SUMIF(BS!126:126,BL4,BS!131:131)/4</f>
        <v>0</v>
      </c>
      <c r="BI50" s="939">
        <f>SUMIF(BS!126:126,BM4,BS!131:131)/4</f>
        <v>0</v>
      </c>
      <c r="BJ50" s="940">
        <f>SUMIF(BS!126:126,BN4,BS!131:131)/4</f>
        <v>0</v>
      </c>
      <c r="BK50" s="941">
        <f>SUMIF(BS!126:126,BO4,BS!131:131)/4</f>
        <v>0</v>
      </c>
      <c r="BL50" s="939">
        <f>SUMIF(BS!126:126,BP4,BS!131:131)/4</f>
        <v>0</v>
      </c>
      <c r="BM50" s="939">
        <f>SUMIF(BS!126:126,BQ4,BS!131:131)/4</f>
        <v>0</v>
      </c>
      <c r="BN50" s="940">
        <f>SUMIF(BS!126:126,BR4,BS!131:131)/4</f>
        <v>0</v>
      </c>
      <c r="BO50" s="941">
        <f>SUMIF(BS!126:126,BS4,BS!131:131)/4</f>
        <v>0</v>
      </c>
      <c r="BP50" s="939">
        <f>SUMIF(BS!126:126,BT4,BS!131:131)/4</f>
        <v>0</v>
      </c>
      <c r="BQ50" s="939">
        <f>SUMIF(BS!126:126,BU4,BS!131:131)/4</f>
        <v>0</v>
      </c>
      <c r="BR50" s="940">
        <f>SUMIF(BS!126:126,BV4,BS!131:131)/4</f>
        <v>0</v>
      </c>
      <c r="BS50" s="941">
        <f>SUMIF(BS!126:126,BW4,BS!131:131)/4</f>
        <v>0</v>
      </c>
      <c r="BT50" s="939">
        <f>SUMIF(BS!126:126,BX4,BS!131:131)/4</f>
        <v>0</v>
      </c>
      <c r="BU50" s="939">
        <f>SUMIF(BS!126:126,BY4,BS!131:131)/4</f>
        <v>0</v>
      </c>
      <c r="BV50" s="940">
        <f>SUMIF(BS!126:126,BZ4,BS!131:131)/4</f>
        <v>0</v>
      </c>
      <c r="BW50" s="941">
        <f>SUMIF(BS!126:126,CA4,BS!131:131)/4</f>
        <v>0</v>
      </c>
      <c r="BX50" s="939">
        <f>SUMIF(BS!126:126,CB4,BS!131:131)/4</f>
        <v>0</v>
      </c>
      <c r="BY50" s="939">
        <f>SUMIF(BS!126:126,CC4,BS!131:131)/4</f>
        <v>0</v>
      </c>
      <c r="BZ50" s="940">
        <f>SUMIF(BS!126:126,CD4,BS!131:131)/4</f>
        <v>0</v>
      </c>
      <c r="CA50" s="941">
        <f>SUMIF(BS!126:126,CE4,BS!131:131)/4</f>
        <v>0</v>
      </c>
      <c r="CB50" s="939">
        <f>SUMIF(BS!126:126,CF4,BS!131:131)/4</f>
        <v>0</v>
      </c>
      <c r="CC50" s="939">
        <f>SUMIF(BS!126:126,CG4,BS!131:131)/4</f>
        <v>0</v>
      </c>
      <c r="CD50" s="940">
        <f>SUMIF(BS!126:126,CH4,BS!131:131)/4</f>
        <v>0</v>
      </c>
      <c r="CE50" s="941">
        <f>SUMIF(BS!126:126,CI4,BS!131:131)/4</f>
        <v>0</v>
      </c>
      <c r="CF50" s="939">
        <f>SUMIF(BS!126:126,CJ4,BS!131:131)/4</f>
        <v>0</v>
      </c>
      <c r="CG50" s="939">
        <f>SUMIF(BS!126:126,CK4,BS!131:131)/4</f>
        <v>0</v>
      </c>
      <c r="CH50" s="940">
        <f>SUMIF(BS!126:126,CL4,BS!131:131)/4</f>
        <v>0</v>
      </c>
      <c r="CI50" s="941">
        <f>SUMIF(BS!126:126,CM4,BS!131:131)/4</f>
        <v>0</v>
      </c>
      <c r="CJ50" s="939">
        <f>SUMIF(BS!126:126,CN4,BS!131:131)/4</f>
        <v>0</v>
      </c>
      <c r="CK50" s="939">
        <f>SUMIF(BS!126:126,CO4,BS!131:131)/4</f>
        <v>0</v>
      </c>
      <c r="CL50" s="940">
        <f>SUMIF(BS!126:126,CP4,BS!131:131)/4</f>
        <v>0</v>
      </c>
      <c r="CM50" s="941">
        <f>SUMIF(BS!126:126,CQ4,BS!131:131)/4</f>
        <v>0</v>
      </c>
      <c r="CN50" s="939">
        <f>SUMIF(BS!126:126,CR4,BS!131:131)/4</f>
        <v>0</v>
      </c>
      <c r="CO50" s="939">
        <f>SUMIF(BS!126:126,CS4,BS!131:131)/4</f>
        <v>0</v>
      </c>
      <c r="CP50" s="940">
        <f>SUMIF(BS!126:126,CT4,BS!131:131)/4</f>
        <v>0</v>
      </c>
      <c r="CQ50" s="941">
        <f>SUMIF(BS!126:126,CU4,BS!131:131)/4</f>
        <v>0</v>
      </c>
      <c r="CR50" s="939">
        <f>SUMIF(BS!126:126,CV4,BS!131:131)/4</f>
        <v>0</v>
      </c>
      <c r="CS50" s="939">
        <f>SUMIF(BS!126:126,CW4,BS!131:131)/4</f>
        <v>0</v>
      </c>
      <c r="CT50" s="940">
        <f>SUMIF(BS!126:126,CX4,BS!131:131)/4</f>
        <v>0</v>
      </c>
      <c r="CU50" s="941">
        <f>SUMIF(BS!126:126,CY4,BS!131:131)/4</f>
        <v>0</v>
      </c>
      <c r="CV50" s="939">
        <f>SUMIF(BS!126:126,CZ4,BS!131:131)/4</f>
        <v>0</v>
      </c>
      <c r="CW50" s="939">
        <f>SUMIF(BS!126:126,DA4,BS!131:131)/4</f>
        <v>0</v>
      </c>
      <c r="CX50" s="940">
        <f>SUMIF(BS!126:126,DB4,BS!131:131)/4</f>
        <v>0</v>
      </c>
      <c r="CY50" s="941">
        <f>SUMIF(BS!126:126,DC4,BS!131:131)/4</f>
        <v>0</v>
      </c>
      <c r="CZ50" s="939">
        <f>SUMIF(BS!126:126,DD4,BS!131:131)/4</f>
        <v>0</v>
      </c>
      <c r="DA50" s="939">
        <f>SUMIF(BS!126:126,DE4,BS!131:131)/4</f>
        <v>0</v>
      </c>
      <c r="DB50" s="940">
        <f>SUMIF(BS!126:126,DF4,BS!131:131)/4</f>
        <v>0</v>
      </c>
      <c r="DC50" s="941">
        <f>SUMIF(BS!126:126,DG4,BS!131:131)/4</f>
        <v>0</v>
      </c>
      <c r="DD50" s="939">
        <f>SUMIF(BS!126:126,DH4,BS!131:131)/4</f>
        <v>0</v>
      </c>
      <c r="DE50" s="939">
        <f>SUMIF(BS!126:126,DI4,BS!131:131)/4</f>
        <v>0</v>
      </c>
      <c r="DF50" s="940">
        <f>SUMIF(BS!126:126,DJ4,BS!131:131)/4</f>
        <v>0</v>
      </c>
      <c r="DG50" s="941">
        <f>SUMIF(BS!126:126,DK4,BS!131:131)/4</f>
        <v>0</v>
      </c>
      <c r="DH50" s="939">
        <f>SUMIF(BS!126:126,DL4,BS!131:131)/4</f>
        <v>0</v>
      </c>
      <c r="DI50" s="939">
        <f>SUMIF(BS!126:126,DM4,BS!131:131)/4</f>
        <v>0</v>
      </c>
      <c r="DJ50" s="940">
        <f>SUMIF(BS!126:126,DN4,BS!131:131)/4</f>
        <v>0</v>
      </c>
      <c r="DK50" s="941">
        <f>SUMIF(BS!126:126,DO4,BS!131:131)/4</f>
        <v>0</v>
      </c>
      <c r="DL50" s="939">
        <f>SUMIF(BS!126:126,DP4,BS!131:131)/4</f>
        <v>0</v>
      </c>
      <c r="DM50" s="939">
        <f>SUMIF(BS!126:126,DQ4,BS!131:131)/4</f>
        <v>0</v>
      </c>
      <c r="DN50" s="940">
        <f>SUMIF(BS!126:126,DR4,BS!131:131)/4</f>
        <v>0</v>
      </c>
      <c r="DO50" s="941">
        <f>SUMIF(BS!126:126,DS4,BS!131:131)/4</f>
        <v>0</v>
      </c>
      <c r="DP50" s="939">
        <f>SUMIF(BS!126:126,DT4,BS!131:131)/4</f>
        <v>0</v>
      </c>
      <c r="DQ50" s="939">
        <f>SUMIF(BS!126:126,DU4,BS!131:131)/4</f>
        <v>0</v>
      </c>
      <c r="DR50" s="940">
        <f>SUMIF(BS!126:126,DV4,BS!131:131)/4</f>
        <v>0</v>
      </c>
      <c r="DS50" s="941">
        <f>SUMIF(BS!126:126,DW4,BS!131:131)/4</f>
        <v>0</v>
      </c>
      <c r="DT50" s="939">
        <f>SUMIF(BS!126:126,DX4,BS!131:131)/4</f>
        <v>0</v>
      </c>
      <c r="DU50" s="939">
        <f>SUMIF(BS!126:126,DY4,BS!131:131)/4</f>
        <v>0</v>
      </c>
      <c r="DV50" s="940">
        <f>SUMIF(BS!126:126,DZ4,BS!131:131)/4</f>
        <v>0</v>
      </c>
      <c r="DW50" s="941">
        <f>SUMIF(BS!126:126,EA4,BS!131:131)/4</f>
        <v>0</v>
      </c>
      <c r="DX50" s="939">
        <f>SUMIF(BS!126:126,EB4,BS!131:131)/4</f>
        <v>0</v>
      </c>
      <c r="DY50" s="939">
        <f>SUMIF(BS!126:126,EC4,BS!131:131)/4</f>
        <v>0</v>
      </c>
      <c r="DZ50" s="940">
        <f>SUMIF(BS!126:126,ED4,BS!131:131)/4</f>
        <v>0</v>
      </c>
      <c r="EA50" s="941">
        <f>SUMIF(BS!126:126,EE4,BS!131:131)/4</f>
        <v>0</v>
      </c>
      <c r="EB50" s="939">
        <f>SUMIF(BS!126:126,EF4,BS!131:131)/4</f>
        <v>0</v>
      </c>
      <c r="EC50" s="939">
        <f>SUMIF(BS!126:126,EG4,BS!131:131)/4</f>
        <v>0</v>
      </c>
      <c r="ED50" s="940">
        <f>SUMIF(BS!126:126,EH4,BS!131:131)/4</f>
        <v>0</v>
      </c>
      <c r="EE50" s="941">
        <f>SUMIF(BS!126:126,EI4,BS!131:131)/4</f>
        <v>0</v>
      </c>
      <c r="EF50" s="939">
        <f>SUMIF(BS!126:126,EJ4,BS!131:131)/4</f>
        <v>0</v>
      </c>
      <c r="EG50" s="939">
        <f>SUMIF(BS!126:126,EK4,BS!131:131)/4</f>
        <v>0</v>
      </c>
      <c r="EH50" s="940">
        <f>SUMIF(BS!126:126,EL4,BS!131:131)/4</f>
        <v>0</v>
      </c>
      <c r="EI50" s="941">
        <f>SUMIF(BS!126:126,EM4,BS!131:131)/4</f>
        <v>0</v>
      </c>
      <c r="EJ50" s="939">
        <f>SUMIF(BS!126:126,EN4,BS!131:131)/4</f>
        <v>0</v>
      </c>
      <c r="EK50" s="939">
        <f>SUMIF(BS!126:126,EO4,BS!131:131)/4</f>
        <v>0</v>
      </c>
      <c r="EL50" s="940">
        <f>SUMIF(BS!126:126,EP4,BS!131:131)/4</f>
        <v>0</v>
      </c>
      <c r="EM50" s="941">
        <f>SUMIF(BS!126:126,EQ4,BS!131:131)/4</f>
        <v>0</v>
      </c>
      <c r="EN50" s="939">
        <f>SUMIF(BS!126:126,ER4,BS!131:131)/4</f>
        <v>0</v>
      </c>
      <c r="EO50" s="939">
        <f>SUMIF(BS!126:126,ES4,BS!131:131)/4</f>
        <v>0</v>
      </c>
      <c r="EP50" s="940">
        <f>SUMIF(BS!126:126,ET4,BS!131:131)/4</f>
        <v>0</v>
      </c>
      <c r="EQ50" s="941">
        <f>SUMIF(BS!126:126,EU4,BS!131:131)/4</f>
        <v>0</v>
      </c>
      <c r="ER50" s="939">
        <f>SUMIF(BS!126:126,EV4,BS!131:131)/4</f>
        <v>0</v>
      </c>
      <c r="ES50" s="939">
        <f>SUMIF(BS!126:126,EW4,BS!131:131)/4</f>
        <v>0</v>
      </c>
      <c r="ET50" s="940">
        <f>SUMIF(BS!126:126,EX4,BS!131:131)/4</f>
        <v>0</v>
      </c>
      <c r="EU50" s="941">
        <f>SUMIF(BS!126:126,EY4,BS!131:131)/4</f>
        <v>0</v>
      </c>
      <c r="EV50" s="939">
        <f>SUMIF(BS!126:126,EZ4,BS!131:131)/4</f>
        <v>0</v>
      </c>
      <c r="EW50" s="939">
        <f>SUMIF(BS!126:126,FA4,BS!131:131)/4</f>
        <v>0</v>
      </c>
      <c r="EX50" s="940">
        <f>SUMIF(BS!126:126,FB4,BS!131:131)/4</f>
        <v>0</v>
      </c>
      <c r="EY50" s="941">
        <f>SUMIF(BS!126:126,FC4,BS!131:131)/4</f>
        <v>0</v>
      </c>
      <c r="EZ50" s="939">
        <f>SUMIF(BS!126:126,FD4,BS!131:131)/4</f>
        <v>0</v>
      </c>
      <c r="FA50" s="939">
        <f>SUMIF(BS!126:126,FE4,BS!131:131)/4</f>
        <v>0</v>
      </c>
      <c r="FB50" s="940">
        <f>SUMIF(BS!126:126,FF4,BS!131:131)/4</f>
        <v>0</v>
      </c>
      <c r="FC50" s="941">
        <f>SUMIF(BS!126:126,FG4,BS!131:131)/4</f>
        <v>0</v>
      </c>
      <c r="FD50" s="939">
        <f>SUMIF(BS!126:126,FH4,BS!131:131)/4</f>
        <v>0</v>
      </c>
      <c r="FE50" s="939">
        <f>SUMIF(BS!126:126,FI4,BS!131:131)/4</f>
        <v>0</v>
      </c>
      <c r="FF50" s="940">
        <f>SUMIF(BS!126:126,FJ4,BS!131:131)/4</f>
        <v>0</v>
      </c>
      <c r="FG50" s="941">
        <f>SUMIF(BS!126:126,FK4,BS!131:131)/4</f>
        <v>0</v>
      </c>
      <c r="FH50" s="939">
        <f>SUMIF(BS!126:126,FL4,BS!131:131)/4</f>
        <v>0</v>
      </c>
      <c r="FI50" s="939">
        <f>SUMIF(BS!126:126,FM4,BS!131:131)/4</f>
        <v>0</v>
      </c>
      <c r="FJ50" s="940">
        <f>SUMIF(BS!126:126,FN4,BS!131:131)/4</f>
        <v>0</v>
      </c>
      <c r="FK50" s="941">
        <f>SUMIF(BS!126:126,FO4,BS!131:131)/2</f>
        <v>0</v>
      </c>
      <c r="FL50" s="939">
        <f>SUMIF(BS!126:126,FP4,BS!131:131)/2</f>
        <v>0</v>
      </c>
      <c r="FM50" s="939">
        <v>0</v>
      </c>
      <c r="FN50" s="940">
        <v>0</v>
      </c>
      <c r="FO50" s="941">
        <v>0</v>
      </c>
      <c r="FP50" s="939">
        <v>0</v>
      </c>
      <c r="FQ50" s="939">
        <v>0</v>
      </c>
      <c r="FR50" s="940">
        <v>0</v>
      </c>
      <c r="FS50" s="941">
        <v>0</v>
      </c>
      <c r="FT50" s="939">
        <v>0</v>
      </c>
      <c r="FU50" s="939">
        <v>0</v>
      </c>
      <c r="FV50" s="940">
        <v>0</v>
      </c>
      <c r="FW50" s="941">
        <v>0</v>
      </c>
      <c r="FX50" s="939">
        <v>0</v>
      </c>
      <c r="FY50" s="939">
        <v>0</v>
      </c>
      <c r="FZ50" s="940">
        <v>0</v>
      </c>
      <c r="GA50" s="941">
        <v>0</v>
      </c>
      <c r="GB50" s="939">
        <v>0</v>
      </c>
      <c r="GC50" s="939">
        <v>0</v>
      </c>
      <c r="GD50" s="940">
        <v>0</v>
      </c>
    </row>
    <row r="51" spans="2:186" ht="17.100000000000001" customHeight="1">
      <c r="J51" s="302">
        <v>-35.498269999999998</v>
      </c>
    </row>
    <row r="52" spans="2:186" ht="17.100000000000001" customHeight="1">
      <c r="B52" s="302" t="s">
        <v>1237</v>
      </c>
    </row>
    <row r="53" spans="2:186" ht="17.100000000000001" customHeight="1">
      <c r="AN53" s="401"/>
    </row>
    <row r="54" spans="2:186" ht="17.100000000000001" customHeight="1">
      <c r="C54" s="717"/>
      <c r="D54" s="718" t="s">
        <v>780</v>
      </c>
      <c r="E54" s="719"/>
      <c r="F54" s="719" t="s">
        <v>774</v>
      </c>
      <c r="G54" s="911">
        <f>기준분기</f>
        <v>43555</v>
      </c>
      <c r="H54" s="912">
        <f t="shared" ref="H54:BS54" si="45">EOMONTH(G54,3)</f>
        <v>43646</v>
      </c>
      <c r="I54" s="912">
        <f t="shared" si="45"/>
        <v>43738</v>
      </c>
      <c r="J54" s="913">
        <f t="shared" si="45"/>
        <v>43830</v>
      </c>
      <c r="K54" s="911">
        <f t="shared" si="45"/>
        <v>43921</v>
      </c>
      <c r="L54" s="912">
        <f t="shared" si="45"/>
        <v>44012</v>
      </c>
      <c r="M54" s="912">
        <f t="shared" si="45"/>
        <v>44104</v>
      </c>
      <c r="N54" s="913">
        <f t="shared" si="45"/>
        <v>44196</v>
      </c>
      <c r="O54" s="911">
        <f t="shared" si="45"/>
        <v>44286</v>
      </c>
      <c r="P54" s="912">
        <f t="shared" si="45"/>
        <v>44377</v>
      </c>
      <c r="Q54" s="912">
        <f t="shared" si="45"/>
        <v>44469</v>
      </c>
      <c r="R54" s="913">
        <f t="shared" si="45"/>
        <v>44561</v>
      </c>
      <c r="S54" s="911">
        <f t="shared" si="45"/>
        <v>44651</v>
      </c>
      <c r="T54" s="912">
        <f t="shared" si="45"/>
        <v>44742</v>
      </c>
      <c r="U54" s="912">
        <f t="shared" si="45"/>
        <v>44834</v>
      </c>
      <c r="V54" s="913">
        <f t="shared" si="45"/>
        <v>44926</v>
      </c>
      <c r="W54" s="911">
        <f t="shared" si="45"/>
        <v>45016</v>
      </c>
      <c r="X54" s="912">
        <f t="shared" si="45"/>
        <v>45107</v>
      </c>
      <c r="Y54" s="912">
        <f t="shared" si="45"/>
        <v>45199</v>
      </c>
      <c r="Z54" s="913">
        <f t="shared" si="45"/>
        <v>45291</v>
      </c>
      <c r="AA54" s="911">
        <f t="shared" si="45"/>
        <v>45382</v>
      </c>
      <c r="AB54" s="912">
        <f t="shared" si="45"/>
        <v>45473</v>
      </c>
      <c r="AC54" s="912">
        <f t="shared" si="45"/>
        <v>45565</v>
      </c>
      <c r="AD54" s="913">
        <f t="shared" si="45"/>
        <v>45657</v>
      </c>
      <c r="AE54" s="911">
        <f t="shared" si="45"/>
        <v>45747</v>
      </c>
      <c r="AF54" s="912">
        <f t="shared" si="45"/>
        <v>45838</v>
      </c>
      <c r="AG54" s="912">
        <f t="shared" si="45"/>
        <v>45930</v>
      </c>
      <c r="AH54" s="913">
        <f t="shared" si="45"/>
        <v>46022</v>
      </c>
      <c r="AI54" s="911">
        <f t="shared" si="45"/>
        <v>46112</v>
      </c>
      <c r="AJ54" s="912">
        <f t="shared" si="45"/>
        <v>46203</v>
      </c>
      <c r="AK54" s="912">
        <f t="shared" si="45"/>
        <v>46295</v>
      </c>
      <c r="AL54" s="913">
        <f t="shared" si="45"/>
        <v>46387</v>
      </c>
      <c r="AM54" s="911">
        <f t="shared" si="45"/>
        <v>46477</v>
      </c>
      <c r="AN54" s="912">
        <f t="shared" si="45"/>
        <v>46568</v>
      </c>
      <c r="AO54" s="912">
        <f t="shared" si="45"/>
        <v>46660</v>
      </c>
      <c r="AP54" s="913">
        <f t="shared" si="45"/>
        <v>46752</v>
      </c>
      <c r="AQ54" s="911">
        <f t="shared" si="45"/>
        <v>46843</v>
      </c>
      <c r="AR54" s="912">
        <f t="shared" si="45"/>
        <v>46934</v>
      </c>
      <c r="AS54" s="912">
        <f t="shared" si="45"/>
        <v>47026</v>
      </c>
      <c r="AT54" s="913">
        <f t="shared" si="45"/>
        <v>47118</v>
      </c>
      <c r="AU54" s="911">
        <f t="shared" si="45"/>
        <v>47208</v>
      </c>
      <c r="AV54" s="912">
        <f t="shared" si="45"/>
        <v>47299</v>
      </c>
      <c r="AW54" s="912">
        <f t="shared" si="45"/>
        <v>47391</v>
      </c>
      <c r="AX54" s="913">
        <f t="shared" si="45"/>
        <v>47483</v>
      </c>
      <c r="AY54" s="911">
        <f t="shared" si="45"/>
        <v>47573</v>
      </c>
      <c r="AZ54" s="912">
        <f t="shared" si="45"/>
        <v>47664</v>
      </c>
      <c r="BA54" s="912">
        <f t="shared" si="45"/>
        <v>47756</v>
      </c>
      <c r="BB54" s="913">
        <f t="shared" si="45"/>
        <v>47848</v>
      </c>
      <c r="BC54" s="911">
        <f t="shared" si="45"/>
        <v>47938</v>
      </c>
      <c r="BD54" s="912">
        <f t="shared" si="45"/>
        <v>48029</v>
      </c>
      <c r="BE54" s="912">
        <f t="shared" si="45"/>
        <v>48121</v>
      </c>
      <c r="BF54" s="913">
        <f t="shared" si="45"/>
        <v>48213</v>
      </c>
      <c r="BG54" s="911">
        <f t="shared" si="45"/>
        <v>48304</v>
      </c>
      <c r="BH54" s="912">
        <f t="shared" si="45"/>
        <v>48395</v>
      </c>
      <c r="BI54" s="912">
        <f t="shared" si="45"/>
        <v>48487</v>
      </c>
      <c r="BJ54" s="913">
        <f t="shared" si="45"/>
        <v>48579</v>
      </c>
      <c r="BK54" s="911">
        <f t="shared" si="45"/>
        <v>48669</v>
      </c>
      <c r="BL54" s="912">
        <f t="shared" si="45"/>
        <v>48760</v>
      </c>
      <c r="BM54" s="912">
        <f t="shared" si="45"/>
        <v>48852</v>
      </c>
      <c r="BN54" s="913">
        <f t="shared" si="45"/>
        <v>48944</v>
      </c>
      <c r="BO54" s="911">
        <f t="shared" si="45"/>
        <v>49034</v>
      </c>
      <c r="BP54" s="912">
        <f t="shared" si="45"/>
        <v>49125</v>
      </c>
      <c r="BQ54" s="912">
        <f t="shared" si="45"/>
        <v>49217</v>
      </c>
      <c r="BR54" s="913">
        <f t="shared" si="45"/>
        <v>49309</v>
      </c>
      <c r="BS54" s="911">
        <f t="shared" si="45"/>
        <v>49399</v>
      </c>
      <c r="BT54" s="912">
        <f t="shared" ref="BT54:EE54" si="46">EOMONTH(BS54,3)</f>
        <v>49490</v>
      </c>
      <c r="BU54" s="912">
        <f t="shared" si="46"/>
        <v>49582</v>
      </c>
      <c r="BV54" s="913">
        <f t="shared" si="46"/>
        <v>49674</v>
      </c>
      <c r="BW54" s="911">
        <f t="shared" si="46"/>
        <v>49765</v>
      </c>
      <c r="BX54" s="912">
        <f t="shared" si="46"/>
        <v>49856</v>
      </c>
      <c r="BY54" s="912">
        <f t="shared" si="46"/>
        <v>49948</v>
      </c>
      <c r="BZ54" s="913">
        <f t="shared" si="46"/>
        <v>50040</v>
      </c>
      <c r="CA54" s="911">
        <f t="shared" si="46"/>
        <v>50130</v>
      </c>
      <c r="CB54" s="912">
        <f t="shared" si="46"/>
        <v>50221</v>
      </c>
      <c r="CC54" s="912">
        <f t="shared" si="46"/>
        <v>50313</v>
      </c>
      <c r="CD54" s="913">
        <f t="shared" si="46"/>
        <v>50405</v>
      </c>
      <c r="CE54" s="911">
        <f t="shared" si="46"/>
        <v>50495</v>
      </c>
      <c r="CF54" s="912">
        <f t="shared" si="46"/>
        <v>50586</v>
      </c>
      <c r="CG54" s="912">
        <f t="shared" si="46"/>
        <v>50678</v>
      </c>
      <c r="CH54" s="913">
        <f t="shared" si="46"/>
        <v>50770</v>
      </c>
      <c r="CI54" s="911">
        <f t="shared" si="46"/>
        <v>50860</v>
      </c>
      <c r="CJ54" s="912">
        <f t="shared" si="46"/>
        <v>50951</v>
      </c>
      <c r="CK54" s="912">
        <f t="shared" si="46"/>
        <v>51043</v>
      </c>
      <c r="CL54" s="913">
        <f t="shared" si="46"/>
        <v>51135</v>
      </c>
      <c r="CM54" s="911">
        <f t="shared" si="46"/>
        <v>51226</v>
      </c>
      <c r="CN54" s="912">
        <f t="shared" si="46"/>
        <v>51317</v>
      </c>
      <c r="CO54" s="912">
        <f t="shared" si="46"/>
        <v>51409</v>
      </c>
      <c r="CP54" s="913">
        <f t="shared" si="46"/>
        <v>51501</v>
      </c>
      <c r="CQ54" s="911">
        <f t="shared" si="46"/>
        <v>51591</v>
      </c>
      <c r="CR54" s="912">
        <f t="shared" si="46"/>
        <v>51682</v>
      </c>
      <c r="CS54" s="912">
        <f t="shared" si="46"/>
        <v>51774</v>
      </c>
      <c r="CT54" s="913">
        <f t="shared" si="46"/>
        <v>51866</v>
      </c>
      <c r="CU54" s="911">
        <f t="shared" si="46"/>
        <v>51956</v>
      </c>
      <c r="CV54" s="912">
        <f t="shared" si="46"/>
        <v>52047</v>
      </c>
      <c r="CW54" s="912">
        <f t="shared" si="46"/>
        <v>52139</v>
      </c>
      <c r="CX54" s="913">
        <f t="shared" si="46"/>
        <v>52231</v>
      </c>
      <c r="CY54" s="911">
        <f t="shared" si="46"/>
        <v>52321</v>
      </c>
      <c r="CZ54" s="912">
        <f t="shared" si="46"/>
        <v>52412</v>
      </c>
      <c r="DA54" s="912">
        <f t="shared" si="46"/>
        <v>52504</v>
      </c>
      <c r="DB54" s="913">
        <f t="shared" si="46"/>
        <v>52596</v>
      </c>
      <c r="DC54" s="911">
        <f t="shared" si="46"/>
        <v>52687</v>
      </c>
      <c r="DD54" s="912">
        <f t="shared" si="46"/>
        <v>52778</v>
      </c>
      <c r="DE54" s="912">
        <f t="shared" si="46"/>
        <v>52870</v>
      </c>
      <c r="DF54" s="913">
        <f t="shared" si="46"/>
        <v>52962</v>
      </c>
      <c r="DG54" s="911">
        <f t="shared" si="46"/>
        <v>53052</v>
      </c>
      <c r="DH54" s="912">
        <f t="shared" si="46"/>
        <v>53143</v>
      </c>
      <c r="DI54" s="912">
        <f t="shared" si="46"/>
        <v>53235</v>
      </c>
      <c r="DJ54" s="913">
        <f t="shared" si="46"/>
        <v>53327</v>
      </c>
      <c r="DK54" s="911">
        <f t="shared" si="46"/>
        <v>53417</v>
      </c>
      <c r="DL54" s="912">
        <f t="shared" si="46"/>
        <v>53508</v>
      </c>
      <c r="DM54" s="912">
        <f t="shared" si="46"/>
        <v>53600</v>
      </c>
      <c r="DN54" s="913">
        <f t="shared" si="46"/>
        <v>53692</v>
      </c>
      <c r="DO54" s="911">
        <f t="shared" si="46"/>
        <v>53782</v>
      </c>
      <c r="DP54" s="912">
        <f t="shared" si="46"/>
        <v>53873</v>
      </c>
      <c r="DQ54" s="912">
        <f t="shared" si="46"/>
        <v>53965</v>
      </c>
      <c r="DR54" s="913">
        <f t="shared" si="46"/>
        <v>54057</v>
      </c>
      <c r="DS54" s="911">
        <f t="shared" si="46"/>
        <v>54148</v>
      </c>
      <c r="DT54" s="912">
        <f t="shared" si="46"/>
        <v>54239</v>
      </c>
      <c r="DU54" s="912">
        <f t="shared" si="46"/>
        <v>54331</v>
      </c>
      <c r="DV54" s="913">
        <f t="shared" si="46"/>
        <v>54423</v>
      </c>
      <c r="DW54" s="911">
        <f t="shared" si="46"/>
        <v>54513</v>
      </c>
      <c r="DX54" s="912">
        <f t="shared" si="46"/>
        <v>54604</v>
      </c>
      <c r="DY54" s="912">
        <f t="shared" si="46"/>
        <v>54696</v>
      </c>
      <c r="DZ54" s="913">
        <f t="shared" si="46"/>
        <v>54788</v>
      </c>
      <c r="EA54" s="911">
        <f t="shared" si="46"/>
        <v>54878</v>
      </c>
      <c r="EB54" s="912">
        <f t="shared" si="46"/>
        <v>54969</v>
      </c>
      <c r="EC54" s="912">
        <f t="shared" si="46"/>
        <v>55061</v>
      </c>
      <c r="ED54" s="913">
        <f t="shared" si="46"/>
        <v>55153</v>
      </c>
      <c r="EE54" s="911">
        <f t="shared" si="46"/>
        <v>55243</v>
      </c>
      <c r="EF54" s="912">
        <f t="shared" ref="EF54:GD54" si="47">EOMONTH(EE54,3)</f>
        <v>55334</v>
      </c>
      <c r="EG54" s="912">
        <f t="shared" si="47"/>
        <v>55426</v>
      </c>
      <c r="EH54" s="913">
        <f t="shared" si="47"/>
        <v>55518</v>
      </c>
      <c r="EI54" s="911">
        <f t="shared" si="47"/>
        <v>55609</v>
      </c>
      <c r="EJ54" s="912">
        <f t="shared" si="47"/>
        <v>55700</v>
      </c>
      <c r="EK54" s="912">
        <f t="shared" si="47"/>
        <v>55792</v>
      </c>
      <c r="EL54" s="913">
        <f t="shared" si="47"/>
        <v>55884</v>
      </c>
      <c r="EM54" s="911">
        <f t="shared" si="47"/>
        <v>55974</v>
      </c>
      <c r="EN54" s="912">
        <f t="shared" si="47"/>
        <v>56065</v>
      </c>
      <c r="EO54" s="912">
        <f t="shared" si="47"/>
        <v>56157</v>
      </c>
      <c r="EP54" s="913">
        <f t="shared" si="47"/>
        <v>56249</v>
      </c>
      <c r="EQ54" s="911">
        <f t="shared" si="47"/>
        <v>56339</v>
      </c>
      <c r="ER54" s="912">
        <f t="shared" si="47"/>
        <v>56430</v>
      </c>
      <c r="ES54" s="912">
        <f t="shared" si="47"/>
        <v>56522</v>
      </c>
      <c r="ET54" s="913">
        <f t="shared" si="47"/>
        <v>56614</v>
      </c>
      <c r="EU54" s="911">
        <f t="shared" si="47"/>
        <v>56704</v>
      </c>
      <c r="EV54" s="912">
        <f t="shared" si="47"/>
        <v>56795</v>
      </c>
      <c r="EW54" s="912">
        <f t="shared" si="47"/>
        <v>56887</v>
      </c>
      <c r="EX54" s="913">
        <f t="shared" si="47"/>
        <v>56979</v>
      </c>
      <c r="EY54" s="911">
        <f t="shared" si="47"/>
        <v>57070</v>
      </c>
      <c r="EZ54" s="912">
        <f t="shared" si="47"/>
        <v>57161</v>
      </c>
      <c r="FA54" s="912">
        <f t="shared" si="47"/>
        <v>57253</v>
      </c>
      <c r="FB54" s="913">
        <f t="shared" si="47"/>
        <v>57345</v>
      </c>
      <c r="FC54" s="911">
        <f t="shared" si="47"/>
        <v>57435</v>
      </c>
      <c r="FD54" s="912">
        <f t="shared" si="47"/>
        <v>57526</v>
      </c>
      <c r="FE54" s="912">
        <f t="shared" si="47"/>
        <v>57618</v>
      </c>
      <c r="FF54" s="913">
        <f t="shared" si="47"/>
        <v>57710</v>
      </c>
      <c r="FG54" s="911">
        <f t="shared" si="47"/>
        <v>57800</v>
      </c>
      <c r="FH54" s="912">
        <f t="shared" si="47"/>
        <v>57891</v>
      </c>
      <c r="FI54" s="912">
        <f t="shared" si="47"/>
        <v>57983</v>
      </c>
      <c r="FJ54" s="913">
        <f t="shared" si="47"/>
        <v>58075</v>
      </c>
      <c r="FK54" s="911">
        <f t="shared" si="47"/>
        <v>58165</v>
      </c>
      <c r="FL54" s="912">
        <f t="shared" si="47"/>
        <v>58256</v>
      </c>
      <c r="FM54" s="912">
        <f t="shared" si="47"/>
        <v>58348</v>
      </c>
      <c r="FN54" s="913">
        <f t="shared" si="47"/>
        <v>58440</v>
      </c>
      <c r="FO54" s="911">
        <f t="shared" si="47"/>
        <v>58531</v>
      </c>
      <c r="FP54" s="912">
        <f t="shared" si="47"/>
        <v>58622</v>
      </c>
      <c r="FQ54" s="912">
        <f t="shared" si="47"/>
        <v>58714</v>
      </c>
      <c r="FR54" s="913">
        <f t="shared" si="47"/>
        <v>58806</v>
      </c>
      <c r="FS54" s="911">
        <f t="shared" si="47"/>
        <v>58896</v>
      </c>
      <c r="FT54" s="912">
        <f t="shared" si="47"/>
        <v>58987</v>
      </c>
      <c r="FU54" s="912">
        <f t="shared" si="47"/>
        <v>59079</v>
      </c>
      <c r="FV54" s="913">
        <f t="shared" si="47"/>
        <v>59171</v>
      </c>
      <c r="FW54" s="911">
        <f t="shared" si="47"/>
        <v>59261</v>
      </c>
      <c r="FX54" s="912">
        <f t="shared" si="47"/>
        <v>59352</v>
      </c>
      <c r="FY54" s="912">
        <f t="shared" si="47"/>
        <v>59444</v>
      </c>
      <c r="FZ54" s="913">
        <f t="shared" si="47"/>
        <v>59536</v>
      </c>
      <c r="GA54" s="911">
        <f t="shared" si="47"/>
        <v>59626</v>
      </c>
      <c r="GB54" s="912">
        <f t="shared" si="47"/>
        <v>59717</v>
      </c>
      <c r="GC54" s="912">
        <f t="shared" si="47"/>
        <v>59809</v>
      </c>
      <c r="GD54" s="913">
        <f t="shared" si="47"/>
        <v>59901</v>
      </c>
    </row>
    <row r="55" spans="2:186" ht="17.100000000000001" customHeight="1">
      <c r="C55" s="720"/>
      <c r="D55" s="774" t="s">
        <v>1251</v>
      </c>
      <c r="E55" s="722"/>
      <c r="F55" s="775">
        <f>SUM(G55:FB55)</f>
        <v>0</v>
      </c>
      <c r="G55" s="1335"/>
      <c r="H55" s="1336"/>
      <c r="I55" s="1336"/>
      <c r="J55" s="1337"/>
      <c r="K55" s="1335"/>
      <c r="L55" s="1336"/>
      <c r="M55" s="1336"/>
      <c r="N55" s="1337"/>
      <c r="O55" s="1335"/>
      <c r="P55" s="1336"/>
      <c r="Q55" s="1336"/>
      <c r="R55" s="1337"/>
      <c r="S55" s="1335"/>
      <c r="T55" s="1336"/>
      <c r="U55" s="1336"/>
      <c r="V55" s="1337"/>
      <c r="W55" s="1335"/>
      <c r="X55" s="1336"/>
      <c r="Y55" s="1336"/>
      <c r="Z55" s="1337"/>
      <c r="AA55" s="1335"/>
      <c r="AB55" s="1336"/>
      <c r="AC55" s="1336"/>
      <c r="AD55" s="1337"/>
      <c r="AE55" s="1335"/>
      <c r="AF55" s="1336"/>
      <c r="AG55" s="1336"/>
      <c r="AH55" s="1337"/>
      <c r="AI55" s="1335"/>
      <c r="AJ55" s="1336"/>
      <c r="AK55" s="1336"/>
      <c r="AL55" s="1337"/>
      <c r="AM55" s="1335"/>
      <c r="AN55" s="1336"/>
      <c r="AO55" s="1336"/>
      <c r="AP55" s="1337"/>
      <c r="AQ55" s="1335"/>
      <c r="AR55" s="1336"/>
      <c r="AS55" s="1336"/>
      <c r="AT55" s="1337"/>
      <c r="AU55" s="1335"/>
      <c r="AV55" s="1336"/>
      <c r="AW55" s="1336"/>
      <c r="AX55" s="1337"/>
      <c r="AY55" s="1335"/>
      <c r="AZ55" s="1336"/>
      <c r="BA55" s="1336"/>
      <c r="BB55" s="1337"/>
      <c r="BC55" s="1335"/>
      <c r="BD55" s="1336"/>
      <c r="BE55" s="1336"/>
      <c r="BF55" s="1337"/>
      <c r="BG55" s="1335"/>
      <c r="BH55" s="1336"/>
      <c r="BI55" s="1336"/>
      <c r="BJ55" s="1337"/>
      <c r="BK55" s="1335"/>
      <c r="BL55" s="1336"/>
      <c r="BM55" s="1336"/>
      <c r="BN55" s="1337"/>
      <c r="BO55" s="1335"/>
      <c r="BP55" s="1336"/>
      <c r="BQ55" s="1336"/>
      <c r="BR55" s="1337"/>
      <c r="BS55" s="1335"/>
      <c r="BT55" s="1336"/>
      <c r="BU55" s="1336"/>
      <c r="BV55" s="1337"/>
      <c r="BW55" s="1335"/>
      <c r="BX55" s="1336"/>
      <c r="BY55" s="1336"/>
      <c r="BZ55" s="1337"/>
      <c r="CA55" s="1335"/>
      <c r="CB55" s="1336"/>
      <c r="CC55" s="1336"/>
      <c r="CD55" s="1337"/>
      <c r="CE55" s="1335"/>
      <c r="CF55" s="1336"/>
      <c r="CG55" s="1336"/>
      <c r="CH55" s="1337"/>
      <c r="CI55" s="1335"/>
      <c r="CJ55" s="1336"/>
      <c r="CK55" s="1336"/>
      <c r="CL55" s="1337"/>
      <c r="CM55" s="1335"/>
      <c r="CN55" s="1336"/>
      <c r="CO55" s="1336"/>
      <c r="CP55" s="1337"/>
      <c r="CQ55" s="1335"/>
      <c r="CR55" s="1336"/>
      <c r="CS55" s="1336"/>
      <c r="CT55" s="1337"/>
      <c r="CU55" s="1335"/>
      <c r="CV55" s="1336"/>
      <c r="CW55" s="1336"/>
      <c r="CX55" s="1337"/>
      <c r="CY55" s="1335"/>
      <c r="CZ55" s="1336"/>
      <c r="DA55" s="1336"/>
      <c r="DB55" s="1337"/>
      <c r="DC55" s="1335"/>
      <c r="DD55" s="1336"/>
      <c r="DE55" s="1336"/>
      <c r="DF55" s="1337"/>
      <c r="DG55" s="1335"/>
      <c r="DH55" s="1336"/>
      <c r="DI55" s="1336"/>
      <c r="DJ55" s="1337"/>
      <c r="DK55" s="1335"/>
      <c r="DL55" s="1336"/>
      <c r="DM55" s="1336"/>
      <c r="DN55" s="1337"/>
      <c r="DO55" s="1335"/>
      <c r="DP55" s="1336"/>
      <c r="DQ55" s="1336"/>
      <c r="DR55" s="1337"/>
      <c r="DS55" s="1335"/>
      <c r="DT55" s="1336"/>
      <c r="DU55" s="1336"/>
      <c r="DV55" s="1337"/>
      <c r="DW55" s="1335"/>
      <c r="DX55" s="1336"/>
      <c r="DY55" s="1336"/>
      <c r="DZ55" s="1337"/>
      <c r="EA55" s="1335"/>
      <c r="EB55" s="1336"/>
      <c r="EC55" s="1336"/>
      <c r="ED55" s="1337"/>
      <c r="EE55" s="1335"/>
      <c r="EF55" s="1336"/>
      <c r="EG55" s="1336"/>
      <c r="EH55" s="1337"/>
      <c r="EI55" s="1335"/>
      <c r="EJ55" s="1336"/>
      <c r="EK55" s="1336"/>
      <c r="EL55" s="1337"/>
      <c r="EM55" s="1335"/>
      <c r="EN55" s="1336"/>
      <c r="EO55" s="1336"/>
      <c r="EP55" s="1337"/>
      <c r="EQ55" s="1335"/>
      <c r="ER55" s="1336"/>
      <c r="ES55" s="1336"/>
      <c r="ET55" s="1337"/>
      <c r="EU55" s="1335"/>
      <c r="EV55" s="1336"/>
      <c r="EW55" s="1336"/>
      <c r="EX55" s="1337"/>
      <c r="EY55" s="1335"/>
      <c r="EZ55" s="1336"/>
      <c r="FA55" s="1336"/>
      <c r="FB55" s="1337"/>
      <c r="FC55" s="1335"/>
      <c r="FD55" s="1336"/>
      <c r="FE55" s="1336"/>
      <c r="FF55" s="1337"/>
      <c r="FG55" s="1335"/>
      <c r="FH55" s="1336"/>
      <c r="FI55" s="1336"/>
      <c r="FJ55" s="1337"/>
      <c r="FK55" s="1335"/>
      <c r="FL55" s="1336"/>
      <c r="FM55" s="1336"/>
      <c r="FN55" s="1337"/>
      <c r="FO55" s="1335"/>
      <c r="FP55" s="1336"/>
      <c r="FQ55" s="1336"/>
      <c r="FR55" s="1337"/>
      <c r="FS55" s="1335"/>
      <c r="FT55" s="1336"/>
      <c r="FU55" s="1336"/>
      <c r="FV55" s="1337"/>
      <c r="FW55" s="1335"/>
      <c r="FX55" s="1336"/>
      <c r="FY55" s="1336"/>
      <c r="FZ55" s="1337"/>
      <c r="GA55" s="1335"/>
      <c r="GB55" s="1336"/>
      <c r="GC55" s="1336"/>
      <c r="GD55" s="1337"/>
    </row>
    <row r="56" spans="2:186" ht="17.100000000000001" customHeight="1">
      <c r="C56" s="307"/>
      <c r="D56" s="342" t="s">
        <v>5132</v>
      </c>
      <c r="E56" s="943"/>
      <c r="F56" s="944">
        <f t="shared" ref="F56:F63" ca="1" si="48">SUM(O56:GD56)</f>
        <v>9470.0151692661111</v>
      </c>
      <c r="G56" s="1318">
        <f>비용!H5-G57</f>
        <v>38.856991586746418</v>
      </c>
      <c r="H56" s="1319">
        <f>비용!I5-H57</f>
        <v>37.948306606746414</v>
      </c>
      <c r="I56" s="1319">
        <f>비용!J5-I57</f>
        <v>41.696378276746415</v>
      </c>
      <c r="J56" s="1320">
        <f>비용!K5-J57</f>
        <v>41.013944006746414</v>
      </c>
      <c r="K56" s="1318">
        <f ca="1">비용!L5-K57</f>
        <v>40.622801710190231</v>
      </c>
      <c r="L56" s="1319">
        <f ca="1">비용!M5-L57</f>
        <v>43.623798510190227</v>
      </c>
      <c r="M56" s="1319">
        <f ca="1">비용!N5-M57</f>
        <v>41.344001070190231</v>
      </c>
      <c r="N56" s="1320">
        <f ca="1">비용!O5-N57</f>
        <v>43.881986900190228</v>
      </c>
      <c r="O56" s="1338">
        <f>Waterfall!O49</f>
        <v>42.609788399999999</v>
      </c>
      <c r="P56" s="1339">
        <f>Waterfall!P49</f>
        <v>37.818069059999999</v>
      </c>
      <c r="Q56" s="1339">
        <f>Waterfall!Q49</f>
        <v>44.457013280000005</v>
      </c>
      <c r="R56" s="1340">
        <f>Waterfall!R49</f>
        <v>46.305146549219479</v>
      </c>
      <c r="S56" s="1321">
        <f ca="1">비용!T5-S57</f>
        <v>44.734106664491506</v>
      </c>
      <c r="T56" s="1322">
        <f ca="1">비용!U5-T57</f>
        <v>44.734106664491506</v>
      </c>
      <c r="U56" s="1322">
        <f ca="1">비용!V5-U57</f>
        <v>44.734106664491506</v>
      </c>
      <c r="V56" s="1323">
        <f ca="1">비용!W5-V57</f>
        <v>44.734106664491506</v>
      </c>
      <c r="W56" s="1321">
        <f ca="1">비용!X5-W57</f>
        <v>45.710835700017235</v>
      </c>
      <c r="X56" s="1322">
        <f ca="1">비용!Y5-X57</f>
        <v>45.710835700017235</v>
      </c>
      <c r="Y56" s="1322">
        <f ca="1">비용!Z5-Y57</f>
        <v>45.710835700017235</v>
      </c>
      <c r="Z56" s="1323">
        <f ca="1">비용!AA5-Z57</f>
        <v>45.710835700017235</v>
      </c>
      <c r="AA56" s="1321">
        <f ca="1">비용!AB5-AA57</f>
        <v>46.12929705953335</v>
      </c>
      <c r="AB56" s="1322">
        <f ca="1">비용!AC5-AB57</f>
        <v>46.12929705953335</v>
      </c>
      <c r="AC56" s="1322">
        <f ca="1">비용!AD5-AC57</f>
        <v>46.12929705953335</v>
      </c>
      <c r="AD56" s="1323">
        <f ca="1">비용!AE5-AD57</f>
        <v>46.12929705953335</v>
      </c>
      <c r="AE56" s="1321">
        <f ca="1">비용!AF5-AE57</f>
        <v>47.219875643557813</v>
      </c>
      <c r="AF56" s="1322">
        <f ca="1">비용!AG5-AF57</f>
        <v>47.219875643557813</v>
      </c>
      <c r="AG56" s="1322">
        <f ca="1">비용!AH5-AG57</f>
        <v>47.219875643557813</v>
      </c>
      <c r="AH56" s="1323">
        <f ca="1">비용!AI5-AH57</f>
        <v>47.219875643557813</v>
      </c>
      <c r="AI56" s="1321">
        <f ca="1">비용!AJ5-AI57</f>
        <v>47.574026844586008</v>
      </c>
      <c r="AJ56" s="1322">
        <f ca="1">비용!AK5-AJ57</f>
        <v>47.574026844586008</v>
      </c>
      <c r="AK56" s="1322">
        <f ca="1">비용!AL5-AK57</f>
        <v>47.574026844586008</v>
      </c>
      <c r="AL56" s="1323">
        <f ca="1">비용!AM5-AL57</f>
        <v>47.574026844586008</v>
      </c>
      <c r="AM56" s="1321">
        <f ca="1">비용!AN5-AM57</f>
        <v>48.613971842639081</v>
      </c>
      <c r="AN56" s="1322">
        <f ca="1">비용!AO5-AN57</f>
        <v>48.613971842639081</v>
      </c>
      <c r="AO56" s="1322">
        <f ca="1">비용!AP5-AO57</f>
        <v>48.613971842639081</v>
      </c>
      <c r="AP56" s="1323">
        <f ca="1">비용!AQ5-AP57</f>
        <v>48.613971842639081</v>
      </c>
      <c r="AQ56" s="1321">
        <f ca="1">비용!AR5-AQ57</f>
        <v>50.087930383989182</v>
      </c>
      <c r="AR56" s="1322">
        <f ca="1">비용!AS5-AR57</f>
        <v>50.087930383989182</v>
      </c>
      <c r="AS56" s="1322">
        <f ca="1">비용!AT5-AS57</f>
        <v>50.087930383989182</v>
      </c>
      <c r="AT56" s="1323">
        <f ca="1">비용!AU5-AT57</f>
        <v>50.087930383989182</v>
      </c>
      <c r="AU56" s="1321">
        <f ca="1">비용!AV5-AU57</f>
        <v>51.242281949127893</v>
      </c>
      <c r="AV56" s="1322">
        <f ca="1">비용!AW5-AV57</f>
        <v>51.242281949127893</v>
      </c>
      <c r="AW56" s="1322">
        <f ca="1">비용!AX5-AW57</f>
        <v>51.242281949127893</v>
      </c>
      <c r="AX56" s="1323">
        <f ca="1">비용!AY5-AX57</f>
        <v>51.242281949127893</v>
      </c>
      <c r="AY56" s="1321">
        <f ca="1">비용!AZ5-AY57</f>
        <v>52.165659706216118</v>
      </c>
      <c r="AZ56" s="1322">
        <f ca="1">비용!BA5-AZ57</f>
        <v>52.165659706216118</v>
      </c>
      <c r="BA56" s="1322">
        <f ca="1">비용!BB5-BA57</f>
        <v>52.165659706216118</v>
      </c>
      <c r="BB56" s="1323">
        <f ca="1">비용!BC5-BB57</f>
        <v>52.165659706216118</v>
      </c>
      <c r="BC56" s="1321">
        <f ca="1">비용!BD5-BC57</f>
        <v>53.38112248888261</v>
      </c>
      <c r="BD56" s="1322">
        <f ca="1">비용!BE5-BD57</f>
        <v>53.38112248888261</v>
      </c>
      <c r="BE56" s="1322">
        <f ca="1">비용!BF5-BE57</f>
        <v>53.38112248888261</v>
      </c>
      <c r="BF56" s="1323">
        <f ca="1">비용!BG5-BF57</f>
        <v>53.38112248888261</v>
      </c>
      <c r="BG56" s="1321">
        <f ca="1">비용!BH5-BG57</f>
        <v>54.285825793022127</v>
      </c>
      <c r="BH56" s="1322">
        <f ca="1">비용!BI5-BH57</f>
        <v>54.285825793022127</v>
      </c>
      <c r="BI56" s="1322">
        <f ca="1">비용!BJ5-BI57</f>
        <v>54.285825793022127</v>
      </c>
      <c r="BJ56" s="1323">
        <f ca="1">비용!BK5-BJ57</f>
        <v>54.285825793022127</v>
      </c>
      <c r="BK56" s="1321">
        <f ca="1">비용!BL5-BK57</f>
        <v>55.52883173070424</v>
      </c>
      <c r="BL56" s="1322">
        <f ca="1">비용!BM5-BL57</f>
        <v>55.52883173070424</v>
      </c>
      <c r="BM56" s="1322">
        <f ca="1">비용!BN5-BM57</f>
        <v>55.52883173070424</v>
      </c>
      <c r="BN56" s="1323">
        <f ca="1">비용!BO5-BN57</f>
        <v>55.52883173070424</v>
      </c>
      <c r="BO56" s="1321">
        <f ca="1">비용!BP5-BO57</f>
        <v>55.744779608545272</v>
      </c>
      <c r="BP56" s="1322">
        <f ca="1">비용!BQ5-BP57</f>
        <v>55.744779608545272</v>
      </c>
      <c r="BQ56" s="1322">
        <f ca="1">비용!BR5-BQ57</f>
        <v>55.744779608545272</v>
      </c>
      <c r="BR56" s="1323">
        <f ca="1">비용!BS5-BR57</f>
        <v>55.744779608545272</v>
      </c>
      <c r="BS56" s="1321">
        <f ca="1">비용!BT5-BS57</f>
        <v>56.697026684238899</v>
      </c>
      <c r="BT56" s="1322">
        <f ca="1">비용!BU5-BT57</f>
        <v>56.697026684238899</v>
      </c>
      <c r="BU56" s="1322">
        <f ca="1">비용!BV5-BU57</f>
        <v>56.697026684238899</v>
      </c>
      <c r="BV56" s="1323">
        <f ca="1">비용!BW5-BV57</f>
        <v>56.697026684238899</v>
      </c>
      <c r="BW56" s="1321">
        <f ca="1">비용!BX5-BW57</f>
        <v>57.159978576553627</v>
      </c>
      <c r="BX56" s="1322">
        <f ca="1">비용!BY5-BX57</f>
        <v>57.159978576553627</v>
      </c>
      <c r="BY56" s="1322">
        <f ca="1">비용!BZ5-BY57</f>
        <v>57.159978576553627</v>
      </c>
      <c r="BZ56" s="1323">
        <f ca="1">비용!CA5-BZ57</f>
        <v>57.159978576553627</v>
      </c>
      <c r="CA56" s="1321">
        <f ca="1">비용!CB5-CA57</f>
        <v>58.350598222149607</v>
      </c>
      <c r="CB56" s="1322">
        <f ca="1">비용!CC5-CB57</f>
        <v>58.350598222149607</v>
      </c>
      <c r="CC56" s="1322">
        <f ca="1">비용!CD5-CC57</f>
        <v>58.350598222149607</v>
      </c>
      <c r="CD56" s="1323">
        <f ca="1">비용!CE5-CD57</f>
        <v>58.350598222149607</v>
      </c>
      <c r="CE56" s="1321">
        <f ca="1">비용!CF5-CE57</f>
        <v>59.02873885116329</v>
      </c>
      <c r="CF56" s="1322">
        <f ca="1">비용!CG5-CF57</f>
        <v>59.02873885116329</v>
      </c>
      <c r="CG56" s="1322">
        <f ca="1">비용!CH5-CG57</f>
        <v>59.02873885116329</v>
      </c>
      <c r="CH56" s="1323">
        <f ca="1">비용!CI5-CH57</f>
        <v>59.02873885116329</v>
      </c>
      <c r="CI56" s="1321">
        <f ca="1">비용!CJ5-CI57</f>
        <v>60.009687562500318</v>
      </c>
      <c r="CJ56" s="1322">
        <f ca="1">비용!CK5-CJ57</f>
        <v>60.009687562500318</v>
      </c>
      <c r="CK56" s="1322">
        <f ca="1">비용!CL5-CK57</f>
        <v>60.009687562500318</v>
      </c>
      <c r="CL56" s="1323">
        <f ca="1">비용!CM5-CL57</f>
        <v>60.009687562500318</v>
      </c>
      <c r="CM56" s="1321">
        <f ca="1">비용!CN5-CM57</f>
        <v>60.882081103269336</v>
      </c>
      <c r="CN56" s="1322">
        <f ca="1">비용!CO5-CN57</f>
        <v>60.882081103269336</v>
      </c>
      <c r="CO56" s="1322">
        <f ca="1">비용!CP5-CO57</f>
        <v>60.882081103269336</v>
      </c>
      <c r="CP56" s="1323">
        <f ca="1">비용!CQ5-CP57</f>
        <v>60.882081103269336</v>
      </c>
      <c r="CQ56" s="1321">
        <f ca="1">비용!CR5-CQ57</f>
        <v>62.039450553550331</v>
      </c>
      <c r="CR56" s="1322">
        <f ca="1">비용!CS5-CR57</f>
        <v>62.039450553550331</v>
      </c>
      <c r="CS56" s="1322">
        <f ca="1">비용!CT5-CS57</f>
        <v>62.039450553550331</v>
      </c>
      <c r="CT56" s="1323">
        <f ca="1">비용!CU5-CT57</f>
        <v>62.039450553550331</v>
      </c>
      <c r="CU56" s="1321">
        <f ca="1">비용!CV5-CU57</f>
        <v>62.493148339191734</v>
      </c>
      <c r="CV56" s="1322">
        <f ca="1">비용!CW5-CV57</f>
        <v>62.493148339191734</v>
      </c>
      <c r="CW56" s="1322">
        <f ca="1">비용!CX5-CW57</f>
        <v>62.493148339191734</v>
      </c>
      <c r="CX56" s="1323">
        <f ca="1">비용!CY5-CX57</f>
        <v>62.493148339191734</v>
      </c>
      <c r="CY56" s="1321">
        <f ca="1">비용!CZ5-CY57</f>
        <v>63.743685075291737</v>
      </c>
      <c r="CZ56" s="1322">
        <f ca="1">비용!DA5-CZ57</f>
        <v>63.743685075291737</v>
      </c>
      <c r="DA56" s="1322">
        <f ca="1">비용!DB5-DA57</f>
        <v>63.743685075291737</v>
      </c>
      <c r="DB56" s="1323">
        <f ca="1">비용!DC5-DB57</f>
        <v>63.743685075291737</v>
      </c>
      <c r="DC56" s="1321">
        <f ca="1">비용!DD5-DC57</f>
        <v>63.905603951677527</v>
      </c>
      <c r="DD56" s="1322">
        <f ca="1">비용!DE5-DD57</f>
        <v>63.905603951677527</v>
      </c>
      <c r="DE56" s="1322">
        <f ca="1">비용!DF5-DE57</f>
        <v>63.905603951677527</v>
      </c>
      <c r="DF56" s="1323">
        <f ca="1">비용!DG5-DF57</f>
        <v>63.905603951677527</v>
      </c>
      <c r="DG56" s="1321">
        <f ca="1">비용!DH5-DG57</f>
        <v>65.409352409565727</v>
      </c>
      <c r="DH56" s="1322">
        <f ca="1">비용!DI5-DH57</f>
        <v>65.409352409565727</v>
      </c>
      <c r="DI56" s="1322">
        <f ca="1">비용!DJ5-DI57</f>
        <v>65.409352409565727</v>
      </c>
      <c r="DJ56" s="1323">
        <f ca="1">비용!DK5-DJ57</f>
        <v>65.409352409565727</v>
      </c>
      <c r="DK56" s="1321">
        <f ca="1">비용!DL5-DK57</f>
        <v>65.836210154236454</v>
      </c>
      <c r="DL56" s="1322">
        <f ca="1">비용!DM5-DL57</f>
        <v>65.836210154236454</v>
      </c>
      <c r="DM56" s="1322">
        <f ca="1">비용!DN5-DM57</f>
        <v>65.836210154236454</v>
      </c>
      <c r="DN56" s="1323">
        <f ca="1">비용!DO5-DN57</f>
        <v>65.836210154236454</v>
      </c>
      <c r="DO56" s="1321">
        <f ca="1">비용!DP5-DO57</f>
        <v>66.846407391125922</v>
      </c>
      <c r="DP56" s="1322">
        <f ca="1">비용!DQ5-DP57</f>
        <v>66.846407391125922</v>
      </c>
      <c r="DQ56" s="1322">
        <f ca="1">비용!DR5-DQ57</f>
        <v>66.846407391125922</v>
      </c>
      <c r="DR56" s="1323">
        <f ca="1">비용!DS5-DR57</f>
        <v>66.846407391125922</v>
      </c>
      <c r="DS56" s="1321">
        <f ca="1">비용!DT5-DS57</f>
        <v>68.758164293048154</v>
      </c>
      <c r="DT56" s="1322">
        <f ca="1">비용!DU5-DT57</f>
        <v>68.758164293048154</v>
      </c>
      <c r="DU56" s="1322">
        <f ca="1">비용!DV5-DU57</f>
        <v>68.758164293048154</v>
      </c>
      <c r="DV56" s="1323">
        <f ca="1">비용!DW5-DV57</f>
        <v>68.758164293048154</v>
      </c>
      <c r="DW56" s="1321">
        <f ca="1">비용!DX5-DW57</f>
        <v>70.752769178512864</v>
      </c>
      <c r="DX56" s="1322">
        <f ca="1">비용!DY5-DX57</f>
        <v>70.752769178512864</v>
      </c>
      <c r="DY56" s="1322">
        <f ca="1">비용!DZ5-DY57</f>
        <v>70.752769178512864</v>
      </c>
      <c r="DZ56" s="1323">
        <f ca="1">비용!EA5-DZ57</f>
        <v>70.752769178512864</v>
      </c>
      <c r="EA56" s="1321">
        <f ca="1">비용!EB5-EA57</f>
        <v>71.817712705066725</v>
      </c>
      <c r="EB56" s="1322">
        <f ca="1">비용!EC5-EB57</f>
        <v>71.817712705066725</v>
      </c>
      <c r="EC56" s="1322">
        <f ca="1">비용!ED5-EC57</f>
        <v>71.817712705066725</v>
      </c>
      <c r="ED56" s="1323">
        <f ca="1">비용!EE5-ED57</f>
        <v>71.817712705066725</v>
      </c>
      <c r="EE56" s="1321">
        <f ca="1">비용!EF5-EE57</f>
        <v>73.187798286053109</v>
      </c>
      <c r="EF56" s="1322">
        <f ca="1">비용!EG5-EF57</f>
        <v>73.187798286053109</v>
      </c>
      <c r="EG56" s="1322">
        <f ca="1">비용!EH5-EG57</f>
        <v>73.187798286053109</v>
      </c>
      <c r="EH56" s="1323">
        <f ca="1">비용!EI5-EH57</f>
        <v>73.187798286053109</v>
      </c>
      <c r="EI56" s="1321">
        <f ca="1">비용!EJ5-EI57</f>
        <v>74.183710496851958</v>
      </c>
      <c r="EJ56" s="1322">
        <f ca="1">비용!EK5-EJ57</f>
        <v>74.183710496851958</v>
      </c>
      <c r="EK56" s="1322">
        <f ca="1">비용!EL5-EK57</f>
        <v>74.183710496851958</v>
      </c>
      <c r="EL56" s="1323">
        <f ca="1">비용!EM5-EL57</f>
        <v>74.183710496851958</v>
      </c>
      <c r="EM56" s="1321">
        <f ca="1">비용!EN5-EM57</f>
        <v>75.644275098251399</v>
      </c>
      <c r="EN56" s="1322">
        <f ca="1">비용!EO5-EN57</f>
        <v>75.644275098251399</v>
      </c>
      <c r="EO56" s="1322">
        <f ca="1">비용!EP5-EO57</f>
        <v>75.644275098251399</v>
      </c>
      <c r="EP56" s="1323">
        <f ca="1">비용!EQ5-EP57</f>
        <v>75.644275098251399</v>
      </c>
      <c r="EQ56" s="1321">
        <f ca="1">비용!ER5-EQ57</f>
        <v>76.159612494017551</v>
      </c>
      <c r="ER56" s="1322">
        <f ca="1">비용!ES5-ER57</f>
        <v>76.159612494017551</v>
      </c>
      <c r="ES56" s="1322">
        <f ca="1">비용!ET5-ES57</f>
        <v>76.159612494017551</v>
      </c>
      <c r="ET56" s="1323">
        <f ca="1">비용!EU5-ET57</f>
        <v>76.159612494017551</v>
      </c>
      <c r="EU56" s="1321">
        <f ca="1">비용!EV5-EU57</f>
        <v>77.735156209693059</v>
      </c>
      <c r="EV56" s="1322">
        <f ca="1">비용!EW5-EV57</f>
        <v>77.735156209693059</v>
      </c>
      <c r="EW56" s="1322">
        <f ca="1">비용!EX5-EW57</f>
        <v>77.735156209693059</v>
      </c>
      <c r="EX56" s="1323">
        <f ca="1">비용!EY5-EX57</f>
        <v>77.735156209693059</v>
      </c>
      <c r="EY56" s="1321">
        <f ca="1">비용!EZ5-EY57</f>
        <v>78.156217314820267</v>
      </c>
      <c r="EZ56" s="1322">
        <f ca="1">비용!FA5-EZ57</f>
        <v>78.156217314820267</v>
      </c>
      <c r="FA56" s="1322">
        <f ca="1">비용!FB5-FA57</f>
        <v>78.156217314820267</v>
      </c>
      <c r="FB56" s="1323">
        <f ca="1">비용!FC5-FB57</f>
        <v>78.156217314820267</v>
      </c>
      <c r="FC56" s="1321">
        <f ca="1">비용!FD5-FC57</f>
        <v>79.825537386902013</v>
      </c>
      <c r="FD56" s="1322">
        <f ca="1">비용!FE5-FD57</f>
        <v>79.825537386902013</v>
      </c>
      <c r="FE56" s="1322">
        <f ca="1">비용!FF5-FE57</f>
        <v>79.825537386902013</v>
      </c>
      <c r="FF56" s="1323">
        <f ca="1">비용!FG5-FF57</f>
        <v>79.825537386902013</v>
      </c>
      <c r="FG56" s="1321">
        <f ca="1">비용!FH5-FG57</f>
        <v>82.027578048610167</v>
      </c>
      <c r="FH56" s="1322">
        <f ca="1">비용!FI5-FH57</f>
        <v>82.027578048610167</v>
      </c>
      <c r="FI56" s="1322">
        <f ca="1">비용!FJ5-FI57</f>
        <v>82.027578048610167</v>
      </c>
      <c r="FJ56" s="1323">
        <f ca="1">비용!FK5-FJ57</f>
        <v>82.027578048610167</v>
      </c>
      <c r="FK56" s="1321">
        <f ca="1">비용!FL5-FK57</f>
        <v>83.274484385139132</v>
      </c>
      <c r="FL56" s="1322">
        <f ca="1">비용!FM5-FL57</f>
        <v>83.274484385139132</v>
      </c>
      <c r="FM56" s="1322">
        <f ca="1">비용!FN5-FM57</f>
        <v>0</v>
      </c>
      <c r="FN56" s="1323">
        <f ca="1">비용!FO5-FN57</f>
        <v>0</v>
      </c>
      <c r="FO56" s="1321">
        <f>비용!FP5-FO57</f>
        <v>0</v>
      </c>
      <c r="FP56" s="1322">
        <f>비용!FQ5-FP57</f>
        <v>0</v>
      </c>
      <c r="FQ56" s="1322">
        <f>비용!FR5-FQ57</f>
        <v>0</v>
      </c>
      <c r="FR56" s="1323">
        <f>비용!FS5-FR57</f>
        <v>0</v>
      </c>
      <c r="FS56" s="1321">
        <f>비용!FT5-FS57</f>
        <v>0</v>
      </c>
      <c r="FT56" s="1322">
        <f>비용!FU5-FT57</f>
        <v>0</v>
      </c>
      <c r="FU56" s="1322">
        <f>비용!FV5-FU57</f>
        <v>0</v>
      </c>
      <c r="FV56" s="1323">
        <f>비용!FW5-FV57</f>
        <v>0</v>
      </c>
      <c r="FW56" s="1321">
        <f>비용!FX5-FW57</f>
        <v>0</v>
      </c>
      <c r="FX56" s="1322">
        <f>비용!FY5-FX57</f>
        <v>0</v>
      </c>
      <c r="FY56" s="1322">
        <f>비용!FZ5-FY57</f>
        <v>0</v>
      </c>
      <c r="FZ56" s="1323">
        <f>비용!GA5-FZ57</f>
        <v>0</v>
      </c>
      <c r="GA56" s="1321">
        <f>비용!GB5-GA57</f>
        <v>0</v>
      </c>
      <c r="GB56" s="1322">
        <f>비용!GC5-GB57</f>
        <v>0</v>
      </c>
      <c r="GC56" s="1322">
        <f>비용!GD5-GC57</f>
        <v>0</v>
      </c>
      <c r="GD56" s="1323">
        <f>비용!GE5-GD57</f>
        <v>0</v>
      </c>
    </row>
    <row r="57" spans="2:186" ht="17.100000000000001" customHeight="1">
      <c r="C57" s="307"/>
      <c r="D57" s="1274" t="s">
        <v>5131</v>
      </c>
      <c r="E57" s="1868"/>
      <c r="F57" s="767">
        <f ca="1">SUM(O57:GD57)</f>
        <v>1303.8764184589104</v>
      </c>
      <c r="G57" s="1275">
        <f>Waterfall!G48</f>
        <v>9.1371067732535884</v>
      </c>
      <c r="H57" s="1290">
        <f>Waterfall!H48</f>
        <v>9.1371067732535884</v>
      </c>
      <c r="I57" s="1290">
        <f>Waterfall!I48</f>
        <v>9.1371067732535884</v>
      </c>
      <c r="J57" s="1291">
        <f>Waterfall!J48</f>
        <v>9.1371067732535884</v>
      </c>
      <c r="K57" s="1275">
        <f ca="1">Waterfall!K48</f>
        <v>9.4939950598097731</v>
      </c>
      <c r="L57" s="1290">
        <f ca="1">Waterfall!L48</f>
        <v>9.4939950598097731</v>
      </c>
      <c r="M57" s="1290">
        <f ca="1">Waterfall!M48</f>
        <v>9.4939950598097731</v>
      </c>
      <c r="N57" s="1291">
        <f ca="1">Waterfall!N48</f>
        <v>9.4939950598097731</v>
      </c>
      <c r="O57" s="783">
        <f>Waterfall!O48</f>
        <v>6.0069686000000004</v>
      </c>
      <c r="P57" s="784">
        <f>Waterfall!P48</f>
        <v>13.774487990000001</v>
      </c>
      <c r="Q57" s="784">
        <f>Waterfall!Q48</f>
        <v>5.2426435600000003</v>
      </c>
      <c r="R57" s="785">
        <f>Waterfall!R48</f>
        <v>5.61547017</v>
      </c>
      <c r="S57" s="728">
        <f ca="1">Waterfall!S48</f>
        <v>6.4513162030627358</v>
      </c>
      <c r="T57" s="729">
        <f ca="1">Waterfall!T48</f>
        <v>6.4513162030627358</v>
      </c>
      <c r="U57" s="729">
        <f ca="1">Waterfall!U48</f>
        <v>6.4513162030627358</v>
      </c>
      <c r="V57" s="730">
        <f ca="1">Waterfall!V48</f>
        <v>6.4513162030627358</v>
      </c>
      <c r="W57" s="728">
        <f ca="1">Waterfall!W48</f>
        <v>6.4881114781145213</v>
      </c>
      <c r="X57" s="729">
        <f ca="1">Waterfall!X48</f>
        <v>6.4881114781145213</v>
      </c>
      <c r="Y57" s="729">
        <f ca="1">Waterfall!Y48</f>
        <v>6.4881114781145213</v>
      </c>
      <c r="Z57" s="730">
        <f ca="1">Waterfall!Z48</f>
        <v>6.4881114781145213</v>
      </c>
      <c r="AA57" s="728">
        <f ca="1">Waterfall!AA48</f>
        <v>6.8257440802268405</v>
      </c>
      <c r="AB57" s="729">
        <f ca="1">Waterfall!AB48</f>
        <v>6.8257440802268405</v>
      </c>
      <c r="AC57" s="729">
        <f ca="1">Waterfall!AC48</f>
        <v>6.8257440802268405</v>
      </c>
      <c r="AD57" s="730">
        <f ca="1">Waterfall!AD48</f>
        <v>6.8257440802268405</v>
      </c>
      <c r="AE57" s="728">
        <f ca="1">Waterfall!AE48</f>
        <v>6.7220773155208979</v>
      </c>
      <c r="AF57" s="729">
        <f ca="1">Waterfall!AF48</f>
        <v>6.7220773155208979</v>
      </c>
      <c r="AG57" s="729">
        <f ca="1">Waterfall!AG48</f>
        <v>6.7220773155208979</v>
      </c>
      <c r="AH57" s="730">
        <f ca="1">Waterfall!AH48</f>
        <v>6.7220773155208979</v>
      </c>
      <c r="AI57" s="728">
        <f ca="1">Waterfall!AI48</f>
        <v>6.9770012200193738</v>
      </c>
      <c r="AJ57" s="729">
        <f ca="1">Waterfall!AJ48</f>
        <v>6.9770012200193738</v>
      </c>
      <c r="AK57" s="729">
        <f ca="1">Waterfall!AK48</f>
        <v>6.9770012200193738</v>
      </c>
      <c r="AL57" s="730">
        <f ca="1">Waterfall!AL48</f>
        <v>6.9770012200193738</v>
      </c>
      <c r="AM57" s="728">
        <f ca="1">Waterfall!AM48</f>
        <v>7.0333578932153502</v>
      </c>
      <c r="AN57" s="729">
        <f ca="1">Waterfall!AN48</f>
        <v>7.0333578932153502</v>
      </c>
      <c r="AO57" s="729">
        <f ca="1">Waterfall!AO48</f>
        <v>7.0333578932153502</v>
      </c>
      <c r="AP57" s="730">
        <f ca="1">Waterfall!AP48</f>
        <v>7.0333578932153502</v>
      </c>
      <c r="AQ57" s="728">
        <f ca="1">Waterfall!AQ48</f>
        <v>7.2047215449260831</v>
      </c>
      <c r="AR57" s="729">
        <f ca="1">Waterfall!AR48</f>
        <v>7.2047215449260831</v>
      </c>
      <c r="AS57" s="729">
        <f ca="1">Waterfall!AS48</f>
        <v>7.2047215449260831</v>
      </c>
      <c r="AT57" s="730">
        <f ca="1">Waterfall!AT48</f>
        <v>7.2047215449260831</v>
      </c>
      <c r="AU57" s="728">
        <f ca="1">Waterfall!AU48</f>
        <v>7.466822524285492</v>
      </c>
      <c r="AV57" s="729">
        <f ca="1">Waterfall!AV48</f>
        <v>7.466822524285492</v>
      </c>
      <c r="AW57" s="729">
        <f ca="1">Waterfall!AW48</f>
        <v>7.466822524285492</v>
      </c>
      <c r="AX57" s="730">
        <f ca="1">Waterfall!AX48</f>
        <v>7.466822524285492</v>
      </c>
      <c r="AY57" s="728">
        <f ca="1">Waterfall!AY48</f>
        <v>7.349799948110423</v>
      </c>
      <c r="AZ57" s="729">
        <f ca="1">Waterfall!AZ48</f>
        <v>7.349799948110423</v>
      </c>
      <c r="BA57" s="729">
        <f ca="1">Waterfall!BA48</f>
        <v>7.349799948110423</v>
      </c>
      <c r="BB57" s="730">
        <f ca="1">Waterfall!BB48</f>
        <v>7.349799948110423</v>
      </c>
      <c r="BC57" s="728">
        <f ca="1">Waterfall!BC48</f>
        <v>7.1887082108596108</v>
      </c>
      <c r="BD57" s="729">
        <f ca="1">Waterfall!BD48</f>
        <v>7.1887082108596108</v>
      </c>
      <c r="BE57" s="729">
        <f ca="1">Waterfall!BE48</f>
        <v>7.1887082108596108</v>
      </c>
      <c r="BF57" s="730">
        <f ca="1">Waterfall!BF48</f>
        <v>7.1887082108596108</v>
      </c>
      <c r="BG57" s="728">
        <f ca="1">Waterfall!BG48</f>
        <v>7.3290472284396913</v>
      </c>
      <c r="BH57" s="729">
        <f ca="1">Waterfall!BH48</f>
        <v>7.3290472284396913</v>
      </c>
      <c r="BI57" s="729">
        <f ca="1">Waterfall!BI48</f>
        <v>7.3290472284396913</v>
      </c>
      <c r="BJ57" s="730">
        <f ca="1">Waterfall!BJ48</f>
        <v>7.3290472284396913</v>
      </c>
      <c r="BK57" s="728">
        <f ca="1">Waterfall!BK48</f>
        <v>7.2780225496753106</v>
      </c>
      <c r="BL57" s="729">
        <f ca="1">Waterfall!BL48</f>
        <v>7.2780225496753106</v>
      </c>
      <c r="BM57" s="729">
        <f ca="1">Waterfall!BM48</f>
        <v>7.2780225496753106</v>
      </c>
      <c r="BN57" s="730">
        <f ca="1">Waterfall!BN48</f>
        <v>7.2780225496753106</v>
      </c>
      <c r="BO57" s="728">
        <f ca="1">Waterfall!BO48</f>
        <v>7.6099767395955205</v>
      </c>
      <c r="BP57" s="729">
        <f ca="1">Waterfall!BP48</f>
        <v>7.6099767395955205</v>
      </c>
      <c r="BQ57" s="729">
        <f ca="1">Waterfall!BQ48</f>
        <v>7.6099767395955205</v>
      </c>
      <c r="BR57" s="730">
        <f ca="1">Waterfall!BR48</f>
        <v>7.6099767395955205</v>
      </c>
      <c r="BS57" s="728">
        <f ca="1">Waterfall!BS48</f>
        <v>7.7501396440267216</v>
      </c>
      <c r="BT57" s="729">
        <f ca="1">Waterfall!BT48</f>
        <v>7.7501396440267216</v>
      </c>
      <c r="BU57" s="729">
        <f ca="1">Waterfall!BU48</f>
        <v>7.7501396440267216</v>
      </c>
      <c r="BV57" s="730">
        <f ca="1">Waterfall!BV48</f>
        <v>7.7501396440267216</v>
      </c>
      <c r="BW57" s="728">
        <f ca="1">Waterfall!BW48</f>
        <v>7.9357785155172955</v>
      </c>
      <c r="BX57" s="729">
        <f ca="1">Waterfall!BX48</f>
        <v>7.9357785155172955</v>
      </c>
      <c r="BY57" s="729">
        <f ca="1">Waterfall!BY48</f>
        <v>7.9357785155172955</v>
      </c>
      <c r="BZ57" s="730">
        <f ca="1">Waterfall!BZ48</f>
        <v>7.9357785155172955</v>
      </c>
      <c r="CA57" s="728">
        <f ca="1">Waterfall!CA48</f>
        <v>7.8830025076324741</v>
      </c>
      <c r="CB57" s="729">
        <f ca="1">Waterfall!CB48</f>
        <v>7.8830025076324741</v>
      </c>
      <c r="CC57" s="729">
        <f ca="1">Waterfall!CC48</f>
        <v>7.8830025076324741</v>
      </c>
      <c r="CD57" s="730">
        <f ca="1">Waterfall!CD48</f>
        <v>7.8830025076324741</v>
      </c>
      <c r="CE57" s="728">
        <f ca="1">Waterfall!CE48</f>
        <v>7.891554891252663</v>
      </c>
      <c r="CF57" s="729">
        <f ca="1">Waterfall!CF48</f>
        <v>7.891554891252663</v>
      </c>
      <c r="CG57" s="729">
        <f ca="1">Waterfall!CG48</f>
        <v>7.891554891252663</v>
      </c>
      <c r="CH57" s="730">
        <f ca="1">Waterfall!CH48</f>
        <v>7.891554891252663</v>
      </c>
      <c r="CI57" s="728">
        <f ca="1">Waterfall!CI48</f>
        <v>8.1085974276893573</v>
      </c>
      <c r="CJ57" s="729">
        <f ca="1">Waterfall!CJ48</f>
        <v>8.1085974276893573</v>
      </c>
      <c r="CK57" s="729">
        <f ca="1">Waterfall!CK48</f>
        <v>8.1085974276893573</v>
      </c>
      <c r="CL57" s="730">
        <f ca="1">Waterfall!CL48</f>
        <v>8.1085974276893573</v>
      </c>
      <c r="CM57" s="728">
        <f ca="1">Waterfall!CM48</f>
        <v>8.0219474979138781</v>
      </c>
      <c r="CN57" s="729">
        <f ca="1">Waterfall!CN48</f>
        <v>8.0219474979138781</v>
      </c>
      <c r="CO57" s="729">
        <f ca="1">Waterfall!CO48</f>
        <v>8.0219474979138781</v>
      </c>
      <c r="CP57" s="730">
        <f ca="1">Waterfall!CP48</f>
        <v>8.0219474979138781</v>
      </c>
      <c r="CQ57" s="728">
        <f ca="1">Waterfall!CQ48</f>
        <v>8.1214997582980804</v>
      </c>
      <c r="CR57" s="729">
        <f ca="1">Waterfall!CR48</f>
        <v>8.1214997582980804</v>
      </c>
      <c r="CS57" s="729">
        <f ca="1">Waterfall!CS48</f>
        <v>8.1214997582980804</v>
      </c>
      <c r="CT57" s="730">
        <f ca="1">Waterfall!CT48</f>
        <v>8.1214997582980804</v>
      </c>
      <c r="CU57" s="728">
        <f ca="1">Waterfall!CU48</f>
        <v>8.3862254266471545</v>
      </c>
      <c r="CV57" s="729">
        <f ca="1">Waterfall!CV48</f>
        <v>8.3862254266471545</v>
      </c>
      <c r="CW57" s="729">
        <f ca="1">Waterfall!CW48</f>
        <v>8.3862254266471545</v>
      </c>
      <c r="CX57" s="730">
        <f ca="1">Waterfall!CX48</f>
        <v>8.3862254266471545</v>
      </c>
      <c r="CY57" s="728">
        <f ca="1">Waterfall!CY48</f>
        <v>8.3740615162828487</v>
      </c>
      <c r="CZ57" s="729">
        <f ca="1">Waterfall!CZ48</f>
        <v>8.3740615162828487</v>
      </c>
      <c r="DA57" s="729">
        <f ca="1">Waterfall!DA48</f>
        <v>8.3740615162828487</v>
      </c>
      <c r="DB57" s="730">
        <f ca="1">Waterfall!DB48</f>
        <v>8.3740615162828487</v>
      </c>
      <c r="DC57" s="728">
        <f ca="1">Waterfall!DC48</f>
        <v>8.9418132136919812</v>
      </c>
      <c r="DD57" s="729">
        <f ca="1">Waterfall!DD48</f>
        <v>8.9418132136919812</v>
      </c>
      <c r="DE57" s="729">
        <f ca="1">Waterfall!DE48</f>
        <v>8.9418132136919812</v>
      </c>
      <c r="DF57" s="730">
        <f ca="1">Waterfall!DF48</f>
        <v>8.9418132136919812</v>
      </c>
      <c r="DG57" s="728">
        <f ca="1">Waterfall!DG48</f>
        <v>8.8203655417716877</v>
      </c>
      <c r="DH57" s="729">
        <f ca="1">Waterfall!DH48</f>
        <v>8.8203655417716877</v>
      </c>
      <c r="DI57" s="729">
        <f ca="1">Waterfall!DI48</f>
        <v>8.8203655417716877</v>
      </c>
      <c r="DJ57" s="730">
        <f ca="1">Waterfall!DJ48</f>
        <v>8.8203655417716877</v>
      </c>
      <c r="DK57" s="728">
        <f ca="1">Waterfall!DK48</f>
        <v>9.0500529301111072</v>
      </c>
      <c r="DL57" s="729">
        <f ca="1">Waterfall!DL48</f>
        <v>9.0500529301111072</v>
      </c>
      <c r="DM57" s="729">
        <f ca="1">Waterfall!DM48</f>
        <v>9.0500529301111072</v>
      </c>
      <c r="DN57" s="730">
        <f ca="1">Waterfall!DN48</f>
        <v>9.0500529301111072</v>
      </c>
      <c r="DO57" s="728">
        <f ca="1">Waterfall!DO48</f>
        <v>9.3864341679194254</v>
      </c>
      <c r="DP57" s="729">
        <f ca="1">Waterfall!DP48</f>
        <v>9.3864341679194254</v>
      </c>
      <c r="DQ57" s="729">
        <f ca="1">Waterfall!DQ48</f>
        <v>9.3864341679194254</v>
      </c>
      <c r="DR57" s="730">
        <f ca="1">Waterfall!DR48</f>
        <v>9.3864341679194254</v>
      </c>
      <c r="DS57" s="728">
        <f ca="1">Waterfall!DS48</f>
        <v>9.760252961763511</v>
      </c>
      <c r="DT57" s="729">
        <f ca="1">Waterfall!DT48</f>
        <v>9.760252961763511</v>
      </c>
      <c r="DU57" s="729">
        <f ca="1">Waterfall!DU48</f>
        <v>9.760252961763511</v>
      </c>
      <c r="DV57" s="730">
        <f ca="1">Waterfall!DV48</f>
        <v>9.760252961763511</v>
      </c>
      <c r="DW57" s="728">
        <f ca="1">Waterfall!DW48</f>
        <v>9.5599126792637819</v>
      </c>
      <c r="DX57" s="729">
        <f ca="1">Waterfall!DX48</f>
        <v>9.5599126792637819</v>
      </c>
      <c r="DY57" s="729">
        <f ca="1">Waterfall!DY48</f>
        <v>9.5599126792637819</v>
      </c>
      <c r="DZ57" s="730">
        <f ca="1">Waterfall!DZ48</f>
        <v>9.5599126792637819</v>
      </c>
      <c r="EA57" s="728">
        <f ca="1">Waterfall!EA48</f>
        <v>9.5010133093780222</v>
      </c>
      <c r="EB57" s="729">
        <f ca="1">Waterfall!EB48</f>
        <v>9.5010133093780222</v>
      </c>
      <c r="EC57" s="729">
        <f ca="1">Waterfall!EC48</f>
        <v>9.5010133093780222</v>
      </c>
      <c r="ED57" s="730">
        <f ca="1">Waterfall!ED48</f>
        <v>9.5010133093780222</v>
      </c>
      <c r="EE57" s="728">
        <f ca="1">Waterfall!EE48</f>
        <v>9.6792907736490914</v>
      </c>
      <c r="EF57" s="729">
        <f ca="1">Waterfall!EF48</f>
        <v>9.6792907736490914</v>
      </c>
      <c r="EG57" s="729">
        <f ca="1">Waterfall!EG48</f>
        <v>9.6792907736490914</v>
      </c>
      <c r="EH57" s="730">
        <f ca="1">Waterfall!EH48</f>
        <v>9.6792907736490914</v>
      </c>
      <c r="EI57" s="728">
        <f ca="1">Waterfall!EI48</f>
        <v>9.9823760482817665</v>
      </c>
      <c r="EJ57" s="729">
        <f ca="1">Waterfall!EJ48</f>
        <v>9.9823760482817665</v>
      </c>
      <c r="EK57" s="729">
        <f ca="1">Waterfall!EK48</f>
        <v>9.9823760482817665</v>
      </c>
      <c r="EL57" s="730">
        <f ca="1">Waterfall!EL48</f>
        <v>9.9823760482817665</v>
      </c>
      <c r="EM57" s="728">
        <f ca="1">Waterfall!EM48</f>
        <v>10.12810093688897</v>
      </c>
      <c r="EN57" s="729">
        <f ca="1">Waterfall!EN48</f>
        <v>10.12810093688897</v>
      </c>
      <c r="EO57" s="729">
        <f ca="1">Waterfall!EO48</f>
        <v>10.12810093688897</v>
      </c>
      <c r="EP57" s="730">
        <f ca="1">Waterfall!EP48</f>
        <v>10.12810093688897</v>
      </c>
      <c r="EQ57" s="728">
        <f ca="1">Waterfall!EQ48</f>
        <v>10.416063012157611</v>
      </c>
      <c r="ER57" s="729">
        <f ca="1">Waterfall!ER48</f>
        <v>10.416063012157611</v>
      </c>
      <c r="ES57" s="729">
        <f ca="1">Waterfall!ES48</f>
        <v>10.416063012157611</v>
      </c>
      <c r="ET57" s="730">
        <f ca="1">Waterfall!ET48</f>
        <v>10.416063012157611</v>
      </c>
      <c r="EU57" s="728">
        <f ca="1">Waterfall!EU48</f>
        <v>10.302809883357549</v>
      </c>
      <c r="EV57" s="729">
        <f ca="1">Waterfall!EV48</f>
        <v>10.302809883357549</v>
      </c>
      <c r="EW57" s="729">
        <f ca="1">Waterfall!EW48</f>
        <v>10.302809883357549</v>
      </c>
      <c r="EX57" s="730">
        <f ca="1">Waterfall!EX48</f>
        <v>10.302809883357549</v>
      </c>
      <c r="EY57" s="728">
        <f ca="1">Waterfall!EY48</f>
        <v>10.877008669520023</v>
      </c>
      <c r="EZ57" s="729">
        <f ca="1">Waterfall!EZ48</f>
        <v>10.877008669520023</v>
      </c>
      <c r="FA57" s="729">
        <f ca="1">Waterfall!FA48</f>
        <v>10.877008669520023</v>
      </c>
      <c r="FB57" s="730">
        <f ca="1">Waterfall!FB48</f>
        <v>10.877008669520023</v>
      </c>
      <c r="FC57" s="728">
        <f ca="1">Waterfall!FC48</f>
        <v>10.867714038704429</v>
      </c>
      <c r="FD57" s="729">
        <f ca="1">Waterfall!FD48</f>
        <v>10.867714038704429</v>
      </c>
      <c r="FE57" s="729">
        <f ca="1">Waterfall!FE48</f>
        <v>10.867714038704429</v>
      </c>
      <c r="FF57" s="730">
        <f ca="1">Waterfall!FF48</f>
        <v>10.867714038704429</v>
      </c>
      <c r="FG57" s="728">
        <f ca="1">Waterfall!FG48</f>
        <v>11.007509338484791</v>
      </c>
      <c r="FH57" s="729">
        <f ca="1">Waterfall!FH48</f>
        <v>11.007509338484791</v>
      </c>
      <c r="FI57" s="729">
        <f ca="1">Waterfall!FI48</f>
        <v>11.007509338484791</v>
      </c>
      <c r="FJ57" s="730">
        <f ca="1">Waterfall!FJ48</f>
        <v>11.007509338484791</v>
      </c>
      <c r="FK57" s="728">
        <f ca="1">Waterfall!FK48</f>
        <v>11.261960816943338</v>
      </c>
      <c r="FL57" s="729">
        <f ca="1">Waterfall!FL48</f>
        <v>11.261960816943338</v>
      </c>
      <c r="FM57" s="729">
        <f ca="1">Waterfall!FM48</f>
        <v>0</v>
      </c>
      <c r="FN57" s="730">
        <f ca="1">Waterfall!FN48</f>
        <v>0</v>
      </c>
      <c r="FO57" s="728">
        <f>Waterfall!FO48</f>
        <v>0</v>
      </c>
      <c r="FP57" s="729">
        <f>Waterfall!FP48</f>
        <v>0</v>
      </c>
      <c r="FQ57" s="729">
        <f>Waterfall!FQ48</f>
        <v>0</v>
      </c>
      <c r="FR57" s="730">
        <f>Waterfall!FR48</f>
        <v>0</v>
      </c>
      <c r="FS57" s="728">
        <f>Waterfall!FS48</f>
        <v>0</v>
      </c>
      <c r="FT57" s="729">
        <f>Waterfall!FT48</f>
        <v>0</v>
      </c>
      <c r="FU57" s="729">
        <f>Waterfall!FU48</f>
        <v>0</v>
      </c>
      <c r="FV57" s="730">
        <f>Waterfall!FV48</f>
        <v>0</v>
      </c>
      <c r="FW57" s="728">
        <f>Waterfall!FW48</f>
        <v>0</v>
      </c>
      <c r="FX57" s="729">
        <f>Waterfall!FX48</f>
        <v>0</v>
      </c>
      <c r="FY57" s="729">
        <f>Waterfall!FY48</f>
        <v>0</v>
      </c>
      <c r="FZ57" s="730">
        <f>Waterfall!FZ48</f>
        <v>0</v>
      </c>
      <c r="GA57" s="728">
        <f>Waterfall!GA48</f>
        <v>0</v>
      </c>
      <c r="GB57" s="729">
        <f>Waterfall!GB48</f>
        <v>0</v>
      </c>
      <c r="GC57" s="729">
        <f>Waterfall!GC48</f>
        <v>0</v>
      </c>
      <c r="GD57" s="730">
        <f>Waterfall!GD48</f>
        <v>0</v>
      </c>
    </row>
    <row r="58" spans="2:186" ht="17.100000000000001" customHeight="1">
      <c r="C58" s="307"/>
      <c r="D58" s="1274" t="s">
        <v>1252</v>
      </c>
      <c r="E58" s="742"/>
      <c r="F58" s="767">
        <f t="shared" ca="1" si="48"/>
        <v>41.97485677596859</v>
      </c>
      <c r="G58" s="1275">
        <f ca="1">비용!H8</f>
        <v>0</v>
      </c>
      <c r="H58" s="1290">
        <f ca="1">비용!I8</f>
        <v>0</v>
      </c>
      <c r="I58" s="1290">
        <f ca="1">비용!J8</f>
        <v>0</v>
      </c>
      <c r="J58" s="1291">
        <f ca="1">비용!K8</f>
        <v>0</v>
      </c>
      <c r="K58" s="1275">
        <f ca="1">비용!L8</f>
        <v>0</v>
      </c>
      <c r="L58" s="1290">
        <f ca="1">비용!M8</f>
        <v>0</v>
      </c>
      <c r="M58" s="1290">
        <f ca="1">비용!N8</f>
        <v>0</v>
      </c>
      <c r="N58" s="1291">
        <f ca="1">비용!O8</f>
        <v>0</v>
      </c>
      <c r="O58" s="728">
        <f ca="1">비용!P8</f>
        <v>0</v>
      </c>
      <c r="P58" s="729">
        <f ca="1">비용!Q8</f>
        <v>0</v>
      </c>
      <c r="Q58" s="729">
        <f ca="1">비용!R8</f>
        <v>0</v>
      </c>
      <c r="R58" s="730">
        <f ca="1">비용!S8</f>
        <v>0</v>
      </c>
      <c r="S58" s="728">
        <f ca="1">비용!T8</f>
        <v>0</v>
      </c>
      <c r="T58" s="729">
        <f ca="1">비용!U8</f>
        <v>0</v>
      </c>
      <c r="U58" s="729">
        <f ca="1">비용!V8</f>
        <v>0</v>
      </c>
      <c r="V58" s="730">
        <f ca="1">비용!W8</f>
        <v>0</v>
      </c>
      <c r="W58" s="728">
        <f ca="1">비용!X8</f>
        <v>0</v>
      </c>
      <c r="X58" s="729">
        <f ca="1">비용!Y8</f>
        <v>0</v>
      </c>
      <c r="Y58" s="729">
        <f ca="1">비용!Z8</f>
        <v>0</v>
      </c>
      <c r="Z58" s="730">
        <f ca="1">비용!AA8</f>
        <v>0</v>
      </c>
      <c r="AA58" s="728">
        <f ca="1">비용!AB8</f>
        <v>0</v>
      </c>
      <c r="AB58" s="729">
        <f ca="1">비용!AC8</f>
        <v>0</v>
      </c>
      <c r="AC58" s="729">
        <f ca="1">비용!AD8</f>
        <v>0</v>
      </c>
      <c r="AD58" s="730">
        <f ca="1">비용!AE8</f>
        <v>0</v>
      </c>
      <c r="AE58" s="728">
        <f ca="1">비용!AF8</f>
        <v>0</v>
      </c>
      <c r="AF58" s="729">
        <f ca="1">비용!AG8</f>
        <v>0</v>
      </c>
      <c r="AG58" s="729">
        <f ca="1">비용!AH8</f>
        <v>0</v>
      </c>
      <c r="AH58" s="730">
        <f ca="1">비용!AI8</f>
        <v>0</v>
      </c>
      <c r="AI58" s="728">
        <f ca="1">비용!AJ8</f>
        <v>0</v>
      </c>
      <c r="AJ58" s="729">
        <f ca="1">비용!AK8</f>
        <v>0</v>
      </c>
      <c r="AK58" s="729">
        <f ca="1">비용!AL8</f>
        <v>0</v>
      </c>
      <c r="AL58" s="730">
        <f ca="1">비용!AM8</f>
        <v>0</v>
      </c>
      <c r="AM58" s="728">
        <f ca="1">비용!AN8</f>
        <v>0.53076007530049996</v>
      </c>
      <c r="AN58" s="729">
        <f ca="1">비용!AO8</f>
        <v>0.53076007530049996</v>
      </c>
      <c r="AO58" s="729">
        <f ca="1">비용!AP8</f>
        <v>0.53076007530049996</v>
      </c>
      <c r="AP58" s="730">
        <f ca="1">비용!AQ8</f>
        <v>0.53076007530049996</v>
      </c>
      <c r="AQ58" s="728">
        <f ca="1">비용!AR8</f>
        <v>0</v>
      </c>
      <c r="AR58" s="729">
        <f ca="1">비용!AS8</f>
        <v>0</v>
      </c>
      <c r="AS58" s="729">
        <f ca="1">비용!AT8</f>
        <v>0</v>
      </c>
      <c r="AT58" s="730">
        <f ca="1">비용!AU8</f>
        <v>0</v>
      </c>
      <c r="AU58" s="728">
        <f ca="1">비용!AV8</f>
        <v>1.2344566444160108</v>
      </c>
      <c r="AV58" s="729">
        <f ca="1">비용!AW8</f>
        <v>1.2344566444160108</v>
      </c>
      <c r="AW58" s="729">
        <f ca="1">비용!AX8</f>
        <v>1.2344566444160108</v>
      </c>
      <c r="AX58" s="730">
        <f ca="1">비용!AY8</f>
        <v>1.2344566444160108</v>
      </c>
      <c r="AY58" s="728">
        <f ca="1">비용!AZ8</f>
        <v>0</v>
      </c>
      <c r="AZ58" s="729">
        <f ca="1">비용!BA8</f>
        <v>0</v>
      </c>
      <c r="BA58" s="729">
        <f ca="1">비용!BB8</f>
        <v>0</v>
      </c>
      <c r="BB58" s="730">
        <f ca="1">비용!BC8</f>
        <v>0</v>
      </c>
      <c r="BC58" s="728">
        <f ca="1">비용!BD8</f>
        <v>0.66277327524672269</v>
      </c>
      <c r="BD58" s="729">
        <f ca="1">비용!BE8</f>
        <v>0.66277327524672269</v>
      </c>
      <c r="BE58" s="729">
        <f ca="1">비용!BF8</f>
        <v>0.66277327524672269</v>
      </c>
      <c r="BF58" s="730">
        <f ca="1">비용!BG8</f>
        <v>0.66277327524672269</v>
      </c>
      <c r="BG58" s="728">
        <f ca="1">비용!BH8</f>
        <v>0</v>
      </c>
      <c r="BH58" s="729">
        <f ca="1">비용!BI8</f>
        <v>0</v>
      </c>
      <c r="BI58" s="729">
        <f ca="1">비용!BJ8</f>
        <v>0</v>
      </c>
      <c r="BJ58" s="730">
        <f ca="1">비용!BK8</f>
        <v>0</v>
      </c>
      <c r="BK58" s="728">
        <f ca="1">비용!BL8</f>
        <v>0</v>
      </c>
      <c r="BL58" s="729">
        <f ca="1">비용!BM8</f>
        <v>0</v>
      </c>
      <c r="BM58" s="729">
        <f ca="1">비용!BN8</f>
        <v>0</v>
      </c>
      <c r="BN58" s="730">
        <f ca="1">비용!BO8</f>
        <v>0</v>
      </c>
      <c r="BO58" s="728">
        <f ca="1">비용!BP8</f>
        <v>0</v>
      </c>
      <c r="BP58" s="729">
        <f ca="1">비용!BQ8</f>
        <v>0</v>
      </c>
      <c r="BQ58" s="729">
        <f ca="1">비용!BR8</f>
        <v>0</v>
      </c>
      <c r="BR58" s="730">
        <f ca="1">비용!BS8</f>
        <v>0</v>
      </c>
      <c r="BS58" s="728">
        <f ca="1">비용!BT8</f>
        <v>0.86210565992821786</v>
      </c>
      <c r="BT58" s="729">
        <f ca="1">비용!BU8</f>
        <v>0.86210565992821786</v>
      </c>
      <c r="BU58" s="729">
        <f ca="1">비용!BV8</f>
        <v>0.86210565992821786</v>
      </c>
      <c r="BV58" s="730">
        <f ca="1">비용!BW8</f>
        <v>0.86210565992821786</v>
      </c>
      <c r="BW58" s="728">
        <f ca="1">비용!BX8</f>
        <v>0</v>
      </c>
      <c r="BX58" s="729">
        <f ca="1">비용!BY8</f>
        <v>0</v>
      </c>
      <c r="BY58" s="729">
        <f ca="1">비용!BZ8</f>
        <v>0</v>
      </c>
      <c r="BZ58" s="730">
        <f ca="1">비용!CA8</f>
        <v>0</v>
      </c>
      <c r="CA58" s="728">
        <f ca="1">비용!CB8</f>
        <v>0</v>
      </c>
      <c r="CB58" s="729">
        <f ca="1">비용!CC8</f>
        <v>0</v>
      </c>
      <c r="CC58" s="729">
        <f ca="1">비용!CD8</f>
        <v>0</v>
      </c>
      <c r="CD58" s="730">
        <f ca="1">비용!CE8</f>
        <v>0</v>
      </c>
      <c r="CE58" s="728">
        <f ca="1">비용!CF8</f>
        <v>0.71058265882376137</v>
      </c>
      <c r="CF58" s="729">
        <f ca="1">비용!CG8</f>
        <v>0.71058265882376137</v>
      </c>
      <c r="CG58" s="729">
        <f ca="1">비용!CH8</f>
        <v>0.71058265882376137</v>
      </c>
      <c r="CH58" s="730">
        <f ca="1">비용!CI8</f>
        <v>0.71058265882376137</v>
      </c>
      <c r="CI58" s="728">
        <f ca="1">비용!CJ8</f>
        <v>1.3636081222827976</v>
      </c>
      <c r="CJ58" s="729">
        <f ca="1">비용!CK8</f>
        <v>1.3636081222827976</v>
      </c>
      <c r="CK58" s="729">
        <f ca="1">비용!CL8</f>
        <v>1.3636081222827976</v>
      </c>
      <c r="CL58" s="730">
        <f ca="1">비용!CM8</f>
        <v>1.3636081222827976</v>
      </c>
      <c r="CM58" s="728">
        <f ca="1">비용!CN8</f>
        <v>0</v>
      </c>
      <c r="CN58" s="729">
        <f ca="1">비용!CO8</f>
        <v>0</v>
      </c>
      <c r="CO58" s="729">
        <f ca="1">비용!CP8</f>
        <v>0</v>
      </c>
      <c r="CP58" s="730">
        <f ca="1">비용!CQ8</f>
        <v>0</v>
      </c>
      <c r="CQ58" s="728">
        <f ca="1">비용!CR8</f>
        <v>0</v>
      </c>
      <c r="CR58" s="729">
        <f ca="1">비용!CS8</f>
        <v>0</v>
      </c>
      <c r="CS58" s="729">
        <f ca="1">비용!CT8</f>
        <v>0</v>
      </c>
      <c r="CT58" s="730">
        <f ca="1">비용!CU8</f>
        <v>0</v>
      </c>
      <c r="CU58" s="728">
        <f ca="1">비용!CV8</f>
        <v>0</v>
      </c>
      <c r="CV58" s="729">
        <f ca="1">비용!CW8</f>
        <v>0</v>
      </c>
      <c r="CW58" s="729">
        <f ca="1">비용!CX8</f>
        <v>0</v>
      </c>
      <c r="CX58" s="730">
        <f ca="1">비용!CY8</f>
        <v>0</v>
      </c>
      <c r="CY58" s="728">
        <f ca="1">비용!CZ8</f>
        <v>0</v>
      </c>
      <c r="CZ58" s="729">
        <f ca="1">비용!DA8</f>
        <v>0</v>
      </c>
      <c r="DA58" s="729">
        <f ca="1">비용!DB8</f>
        <v>0</v>
      </c>
      <c r="DB58" s="730">
        <f ca="1">비용!DC8</f>
        <v>0</v>
      </c>
      <c r="DC58" s="728">
        <f ca="1">비용!DD8</f>
        <v>0</v>
      </c>
      <c r="DD58" s="729">
        <f ca="1">비용!DE8</f>
        <v>0</v>
      </c>
      <c r="DE58" s="729">
        <f ca="1">비용!DF8</f>
        <v>0</v>
      </c>
      <c r="DF58" s="730">
        <f ca="1">비용!DG8</f>
        <v>0</v>
      </c>
      <c r="DG58" s="728">
        <f ca="1">비용!DH8</f>
        <v>0.76184078911914899</v>
      </c>
      <c r="DH58" s="729">
        <f ca="1">비용!DI8</f>
        <v>0.76184078911914899</v>
      </c>
      <c r="DI58" s="729">
        <f ca="1">비용!DJ8</f>
        <v>0.76184078911914899</v>
      </c>
      <c r="DJ58" s="730">
        <f ca="1">비용!DK8</f>
        <v>0.76184078911914899</v>
      </c>
      <c r="DK58" s="728">
        <f ca="1">비용!DL8</f>
        <v>0</v>
      </c>
      <c r="DL58" s="729">
        <f ca="1">비용!DM8</f>
        <v>0</v>
      </c>
      <c r="DM58" s="729">
        <f ca="1">비용!DN8</f>
        <v>0</v>
      </c>
      <c r="DN58" s="730">
        <f ca="1">비용!DO8</f>
        <v>0</v>
      </c>
      <c r="DO58" s="728">
        <f ca="1">비용!DP8</f>
        <v>0.97144223622555481</v>
      </c>
      <c r="DP58" s="729">
        <f ca="1">비용!DQ8</f>
        <v>0.97144223622555481</v>
      </c>
      <c r="DQ58" s="729">
        <f ca="1">비용!DR8</f>
        <v>0.97144223622555481</v>
      </c>
      <c r="DR58" s="730">
        <f ca="1">비용!DS8</f>
        <v>0.97144223622555481</v>
      </c>
      <c r="DS58" s="728">
        <f ca="1">비용!DT8</f>
        <v>0</v>
      </c>
      <c r="DT58" s="729">
        <f ca="1">비용!DU8</f>
        <v>0</v>
      </c>
      <c r="DU58" s="729">
        <f ca="1">비용!DV8</f>
        <v>0</v>
      </c>
      <c r="DV58" s="730">
        <f ca="1">비용!DW8</f>
        <v>0</v>
      </c>
      <c r="DW58" s="728">
        <f ca="1">비용!DX8</f>
        <v>1.5062717022640075</v>
      </c>
      <c r="DX58" s="729">
        <f ca="1">비용!DY8</f>
        <v>1.5062717022640075</v>
      </c>
      <c r="DY58" s="729">
        <f ca="1">비용!DZ8</f>
        <v>1.5062717022640075</v>
      </c>
      <c r="DZ58" s="730">
        <f ca="1">비용!EA8</f>
        <v>1.5062717022640075</v>
      </c>
      <c r="EA58" s="728">
        <f ca="1">비용!EB8</f>
        <v>0</v>
      </c>
      <c r="EB58" s="729">
        <f ca="1">비용!EC8</f>
        <v>0</v>
      </c>
      <c r="EC58" s="729">
        <f ca="1">비용!ED8</f>
        <v>0</v>
      </c>
      <c r="ED58" s="730">
        <f ca="1">비용!EE8</f>
        <v>0</v>
      </c>
      <c r="EE58" s="728">
        <f ca="1">비용!EF8</f>
        <v>0</v>
      </c>
      <c r="EF58" s="729">
        <f ca="1">비용!EG8</f>
        <v>0</v>
      </c>
      <c r="EG58" s="729">
        <f ca="1">비용!EH8</f>
        <v>0</v>
      </c>
      <c r="EH58" s="730">
        <f ca="1">비용!EI8</f>
        <v>0</v>
      </c>
      <c r="EI58" s="728">
        <f ca="1">비용!EJ8</f>
        <v>0.81679644269174145</v>
      </c>
      <c r="EJ58" s="729">
        <f ca="1">비용!EK8</f>
        <v>0.81679644269174145</v>
      </c>
      <c r="EK58" s="729">
        <f ca="1">비용!EL8</f>
        <v>0.81679644269174145</v>
      </c>
      <c r="EL58" s="730">
        <f ca="1">비용!EM8</f>
        <v>0.81679644269174145</v>
      </c>
      <c r="EM58" s="728">
        <f ca="1">비용!EN8</f>
        <v>0</v>
      </c>
      <c r="EN58" s="729">
        <f ca="1">비용!EO8</f>
        <v>0</v>
      </c>
      <c r="EO58" s="729">
        <f ca="1">비용!EP8</f>
        <v>0</v>
      </c>
      <c r="EP58" s="730">
        <f ca="1">비용!EQ8</f>
        <v>0</v>
      </c>
      <c r="EQ58" s="728">
        <f ca="1">비용!ER8</f>
        <v>0</v>
      </c>
      <c r="ER58" s="729">
        <f ca="1">비용!ES8</f>
        <v>0</v>
      </c>
      <c r="ES58" s="729">
        <f ca="1">비용!ET8</f>
        <v>0</v>
      </c>
      <c r="ET58" s="730">
        <f ca="1">비용!EU8</f>
        <v>0</v>
      </c>
      <c r="EU58" s="728">
        <f ca="1">비용!EV8</f>
        <v>0</v>
      </c>
      <c r="EV58" s="729">
        <f ca="1">비용!EW8</f>
        <v>0</v>
      </c>
      <c r="EW58" s="729">
        <f ca="1">비용!EX8</f>
        <v>0</v>
      </c>
      <c r="EX58" s="730">
        <f ca="1">비용!EY8</f>
        <v>0</v>
      </c>
      <c r="EY58" s="728">
        <f ca="1">비용!EZ8</f>
        <v>0</v>
      </c>
      <c r="EZ58" s="729">
        <f ca="1">비용!FA8</f>
        <v>0</v>
      </c>
      <c r="FA58" s="729">
        <f ca="1">비용!FB8</f>
        <v>0</v>
      </c>
      <c r="FB58" s="730">
        <f ca="1">비용!FC8</f>
        <v>0</v>
      </c>
      <c r="FC58" s="728">
        <f ca="1">비용!FD8</f>
        <v>1.0730765876936859</v>
      </c>
      <c r="FD58" s="729">
        <f ca="1">비용!FE8</f>
        <v>1.0730765876936859</v>
      </c>
      <c r="FE58" s="729">
        <f ca="1">비용!FF8</f>
        <v>1.0730765876936859</v>
      </c>
      <c r="FF58" s="730">
        <f ca="1">비용!FG8</f>
        <v>1.0730765876936859</v>
      </c>
      <c r="FG58" s="728">
        <f ca="1">비용!FH8</f>
        <v>0</v>
      </c>
      <c r="FH58" s="729">
        <f ca="1">비용!FI8</f>
        <v>0</v>
      </c>
      <c r="FI58" s="729">
        <f ca="1">비용!FJ8</f>
        <v>0</v>
      </c>
      <c r="FJ58" s="730">
        <f ca="1">비용!FK8</f>
        <v>0</v>
      </c>
      <c r="FK58" s="728">
        <f ca="1">비용!FL8</f>
        <v>0</v>
      </c>
      <c r="FL58" s="729">
        <f ca="1">비용!FM8</f>
        <v>0</v>
      </c>
      <c r="FM58" s="729">
        <f ca="1">비용!FN8</f>
        <v>0</v>
      </c>
      <c r="FN58" s="730">
        <f ca="1">비용!FO8</f>
        <v>0</v>
      </c>
      <c r="FO58" s="728">
        <f ca="1">비용!FP8</f>
        <v>0</v>
      </c>
      <c r="FP58" s="729">
        <f ca="1">비용!FQ8</f>
        <v>0</v>
      </c>
      <c r="FQ58" s="729">
        <f ca="1">비용!FR8</f>
        <v>0</v>
      </c>
      <c r="FR58" s="730">
        <f ca="1">비용!FS8</f>
        <v>0</v>
      </c>
      <c r="FS58" s="728">
        <f ca="1">비용!FT8</f>
        <v>0</v>
      </c>
      <c r="FT58" s="729">
        <f ca="1">비용!FU8</f>
        <v>0</v>
      </c>
      <c r="FU58" s="729">
        <f ca="1">비용!FV8</f>
        <v>0</v>
      </c>
      <c r="FV58" s="730">
        <f ca="1">비용!FW8</f>
        <v>0</v>
      </c>
      <c r="FW58" s="728">
        <f ca="1">비용!FX8</f>
        <v>0</v>
      </c>
      <c r="FX58" s="729">
        <f ca="1">비용!FY8</f>
        <v>0</v>
      </c>
      <c r="FY58" s="729">
        <f ca="1">비용!FZ8</f>
        <v>0</v>
      </c>
      <c r="FZ58" s="730">
        <f ca="1">비용!GA8</f>
        <v>0</v>
      </c>
      <c r="GA58" s="728">
        <f ca="1">비용!GB8</f>
        <v>0</v>
      </c>
      <c r="GB58" s="729">
        <f ca="1">비용!GC8</f>
        <v>0</v>
      </c>
      <c r="GC58" s="729">
        <f ca="1">비용!GD8</f>
        <v>0</v>
      </c>
      <c r="GD58" s="730">
        <f ca="1">비용!GE8</f>
        <v>0</v>
      </c>
    </row>
    <row r="59" spans="2:186" ht="17.100000000000001" customHeight="1">
      <c r="C59" s="307"/>
      <c r="D59" s="1341" t="s">
        <v>1253</v>
      </c>
      <c r="E59" s="1342"/>
      <c r="F59" s="1343">
        <f t="shared" si="48"/>
        <v>-4.4091627181285329</v>
      </c>
      <c r="G59" s="1344">
        <f>비용!H9</f>
        <v>6.5781054799098362</v>
      </c>
      <c r="H59" s="1345">
        <f>비용!I9</f>
        <v>-1.983510009999975</v>
      </c>
      <c r="I59" s="1345">
        <f>비용!J9</f>
        <v>11.623241019999995</v>
      </c>
      <c r="J59" s="1346">
        <f>비용!K9</f>
        <v>-18.24182858999999</v>
      </c>
      <c r="K59" s="1344">
        <f>비용!L9</f>
        <v>0.35176742922082799</v>
      </c>
      <c r="L59" s="1345">
        <f>비용!M9</f>
        <v>4.5076751536211903</v>
      </c>
      <c r="M59" s="1345">
        <f>비용!N9</f>
        <v>0.16153716000000884</v>
      </c>
      <c r="N59" s="1346">
        <f>비용!O9</f>
        <v>-0.80964394999999456</v>
      </c>
      <c r="O59" s="1347">
        <f>비용!P9</f>
        <v>1.83883767000001</v>
      </c>
      <c r="P59" s="1348">
        <f>비용!Q9</f>
        <v>5.2081854417939439</v>
      </c>
      <c r="Q59" s="1348">
        <f>비용!R9</f>
        <v>-7.6051853766666628</v>
      </c>
      <c r="R59" s="1349">
        <f>비용!S9</f>
        <v>-4.2510004532558243</v>
      </c>
      <c r="S59" s="1347">
        <f>비용!T9</f>
        <v>0</v>
      </c>
      <c r="T59" s="1348">
        <f>비용!U9</f>
        <v>0.4</v>
      </c>
      <c r="U59" s="1348">
        <f>비용!V9</f>
        <v>0</v>
      </c>
      <c r="V59" s="1349">
        <f>비용!W9</f>
        <v>0</v>
      </c>
      <c r="W59" s="1347">
        <f>비용!X9</f>
        <v>0</v>
      </c>
      <c r="X59" s="1348">
        <f>비용!Y9</f>
        <v>0</v>
      </c>
      <c r="Y59" s="1348">
        <f>비용!Z9</f>
        <v>0</v>
      </c>
      <c r="Z59" s="1349">
        <f>비용!AA9</f>
        <v>0</v>
      </c>
      <c r="AA59" s="1347">
        <f>비용!AB9</f>
        <v>0</v>
      </c>
      <c r="AB59" s="1348">
        <f>비용!AC9</f>
        <v>0</v>
      </c>
      <c r="AC59" s="1348">
        <f>비용!AD9</f>
        <v>0</v>
      </c>
      <c r="AD59" s="1349">
        <f>비용!AE9</f>
        <v>0</v>
      </c>
      <c r="AE59" s="1347">
        <f>비용!AF9</f>
        <v>0</v>
      </c>
      <c r="AF59" s="1348">
        <f>비용!AG9</f>
        <v>0</v>
      </c>
      <c r="AG59" s="1348">
        <f>비용!AH9</f>
        <v>0</v>
      </c>
      <c r="AH59" s="1349">
        <f>비용!AI9</f>
        <v>0</v>
      </c>
      <c r="AI59" s="1347">
        <f>비용!AJ9</f>
        <v>0</v>
      </c>
      <c r="AJ59" s="1348">
        <f>비용!AK9</f>
        <v>0</v>
      </c>
      <c r="AK59" s="1348">
        <f>비용!AL9</f>
        <v>0</v>
      </c>
      <c r="AL59" s="1349">
        <f>비용!AM9</f>
        <v>0</v>
      </c>
      <c r="AM59" s="1347">
        <f>비용!AN9</f>
        <v>0</v>
      </c>
      <c r="AN59" s="1348">
        <f>비용!AO9</f>
        <v>0</v>
      </c>
      <c r="AO59" s="1348">
        <f>비용!AP9</f>
        <v>0</v>
      </c>
      <c r="AP59" s="1349">
        <f>비용!AQ9</f>
        <v>0</v>
      </c>
      <c r="AQ59" s="1347">
        <f>비용!AR9</f>
        <v>0</v>
      </c>
      <c r="AR59" s="1348">
        <f>비용!AS9</f>
        <v>0</v>
      </c>
      <c r="AS59" s="1348">
        <f>비용!AT9</f>
        <v>0</v>
      </c>
      <c r="AT59" s="1349">
        <f>비용!AU9</f>
        <v>0</v>
      </c>
      <c r="AU59" s="1347">
        <f>비용!AV9</f>
        <v>0</v>
      </c>
      <c r="AV59" s="1348">
        <f>비용!AW9</f>
        <v>0</v>
      </c>
      <c r="AW59" s="1348">
        <f>비용!AX9</f>
        <v>0</v>
      </c>
      <c r="AX59" s="1349">
        <f>비용!AY9</f>
        <v>0</v>
      </c>
      <c r="AY59" s="1347">
        <f>비용!AZ9</f>
        <v>0</v>
      </c>
      <c r="AZ59" s="1348">
        <f>비용!BA9</f>
        <v>0</v>
      </c>
      <c r="BA59" s="1348">
        <f>비용!BB9</f>
        <v>0</v>
      </c>
      <c r="BB59" s="1349">
        <f>비용!BC9</f>
        <v>0</v>
      </c>
      <c r="BC59" s="1347">
        <f>비용!BD9</f>
        <v>0</v>
      </c>
      <c r="BD59" s="1348">
        <f>비용!BE9</f>
        <v>0</v>
      </c>
      <c r="BE59" s="1348">
        <f>비용!BF9</f>
        <v>0</v>
      </c>
      <c r="BF59" s="1349">
        <f>비용!BG9</f>
        <v>0</v>
      </c>
      <c r="BG59" s="1347">
        <f>비용!BH9</f>
        <v>0</v>
      </c>
      <c r="BH59" s="1348">
        <f>비용!BI9</f>
        <v>0</v>
      </c>
      <c r="BI59" s="1348">
        <f>비용!BJ9</f>
        <v>0</v>
      </c>
      <c r="BJ59" s="1349">
        <f>비용!BK9</f>
        <v>0</v>
      </c>
      <c r="BK59" s="1347">
        <f>비용!BL9</f>
        <v>0</v>
      </c>
      <c r="BL59" s="1348">
        <f>비용!BM9</f>
        <v>0</v>
      </c>
      <c r="BM59" s="1348">
        <f>비용!BN9</f>
        <v>0</v>
      </c>
      <c r="BN59" s="1349">
        <f>비용!BO9</f>
        <v>0</v>
      </c>
      <c r="BO59" s="1347">
        <f>비용!BP9</f>
        <v>0</v>
      </c>
      <c r="BP59" s="1348">
        <f>비용!BQ9</f>
        <v>0</v>
      </c>
      <c r="BQ59" s="1348">
        <f>비용!BR9</f>
        <v>0</v>
      </c>
      <c r="BR59" s="1349">
        <f>비용!BS9</f>
        <v>0</v>
      </c>
      <c r="BS59" s="1347">
        <f>비용!BT9</f>
        <v>0</v>
      </c>
      <c r="BT59" s="1348">
        <f>비용!BU9</f>
        <v>0</v>
      </c>
      <c r="BU59" s="1348">
        <f>비용!BV9</f>
        <v>0</v>
      </c>
      <c r="BV59" s="1349">
        <f>비용!BW9</f>
        <v>0</v>
      </c>
      <c r="BW59" s="1347">
        <f>비용!BX9</f>
        <v>0</v>
      </c>
      <c r="BX59" s="1348">
        <f>비용!BY9</f>
        <v>0</v>
      </c>
      <c r="BY59" s="1348">
        <f>비용!BZ9</f>
        <v>0</v>
      </c>
      <c r="BZ59" s="1349">
        <f>비용!CA9</f>
        <v>0</v>
      </c>
      <c r="CA59" s="1347">
        <f>비용!CB9</f>
        <v>0</v>
      </c>
      <c r="CB59" s="1348">
        <f>비용!CC9</f>
        <v>0</v>
      </c>
      <c r="CC59" s="1348">
        <f>비용!CD9</f>
        <v>0</v>
      </c>
      <c r="CD59" s="1349">
        <f>비용!CE9</f>
        <v>0</v>
      </c>
      <c r="CE59" s="1347">
        <f>비용!CF9</f>
        <v>0</v>
      </c>
      <c r="CF59" s="1348">
        <f>비용!CG9</f>
        <v>0</v>
      </c>
      <c r="CG59" s="1348">
        <f>비용!CH9</f>
        <v>0</v>
      </c>
      <c r="CH59" s="1349">
        <f>비용!CI9</f>
        <v>0</v>
      </c>
      <c r="CI59" s="1347">
        <f>비용!CJ9</f>
        <v>0</v>
      </c>
      <c r="CJ59" s="1348">
        <f>비용!CK9</f>
        <v>0</v>
      </c>
      <c r="CK59" s="1348">
        <f>비용!CL9</f>
        <v>0</v>
      </c>
      <c r="CL59" s="1349">
        <f>비용!CM9</f>
        <v>0</v>
      </c>
      <c r="CM59" s="1347">
        <f>비용!CN9</f>
        <v>0</v>
      </c>
      <c r="CN59" s="1348">
        <f>비용!CO9</f>
        <v>0</v>
      </c>
      <c r="CO59" s="1348">
        <f>비용!CP9</f>
        <v>0</v>
      </c>
      <c r="CP59" s="1349">
        <f>비용!CQ9</f>
        <v>0</v>
      </c>
      <c r="CQ59" s="1347">
        <f>비용!CR9</f>
        <v>0</v>
      </c>
      <c r="CR59" s="1348">
        <f>비용!CS9</f>
        <v>0</v>
      </c>
      <c r="CS59" s="1348">
        <f>비용!CT9</f>
        <v>0</v>
      </c>
      <c r="CT59" s="1349">
        <f>비용!CU9</f>
        <v>0</v>
      </c>
      <c r="CU59" s="1347">
        <f>비용!CV9</f>
        <v>0</v>
      </c>
      <c r="CV59" s="1348">
        <f>비용!CW9</f>
        <v>0</v>
      </c>
      <c r="CW59" s="1348">
        <f>비용!CX9</f>
        <v>0</v>
      </c>
      <c r="CX59" s="1349">
        <f>비용!CY9</f>
        <v>0</v>
      </c>
      <c r="CY59" s="1347">
        <f>비용!CZ9</f>
        <v>0</v>
      </c>
      <c r="CZ59" s="1348">
        <f>비용!DA9</f>
        <v>0</v>
      </c>
      <c r="DA59" s="1348">
        <f>비용!DB9</f>
        <v>0</v>
      </c>
      <c r="DB59" s="1349">
        <f>비용!DC9</f>
        <v>0</v>
      </c>
      <c r="DC59" s="1347">
        <f>비용!DD9</f>
        <v>0</v>
      </c>
      <c r="DD59" s="1348">
        <f>비용!DE9</f>
        <v>0</v>
      </c>
      <c r="DE59" s="1348">
        <f>비용!DF9</f>
        <v>0</v>
      </c>
      <c r="DF59" s="1349">
        <f>비용!DG9</f>
        <v>0</v>
      </c>
      <c r="DG59" s="1347">
        <f>비용!DH9</f>
        <v>0</v>
      </c>
      <c r="DH59" s="1348">
        <f>비용!DI9</f>
        <v>0</v>
      </c>
      <c r="DI59" s="1348">
        <f>비용!DJ9</f>
        <v>0</v>
      </c>
      <c r="DJ59" s="1349">
        <f>비용!DK9</f>
        <v>0</v>
      </c>
      <c r="DK59" s="1347">
        <f>비용!DL9</f>
        <v>0</v>
      </c>
      <c r="DL59" s="1348">
        <f>비용!DM9</f>
        <v>0</v>
      </c>
      <c r="DM59" s="1348">
        <f>비용!DN9</f>
        <v>0</v>
      </c>
      <c r="DN59" s="1349">
        <f>비용!DO9</f>
        <v>0</v>
      </c>
      <c r="DO59" s="1347">
        <f>비용!DP9</f>
        <v>0</v>
      </c>
      <c r="DP59" s="1348">
        <f>비용!DQ9</f>
        <v>0</v>
      </c>
      <c r="DQ59" s="1348">
        <f>비용!DR9</f>
        <v>0</v>
      </c>
      <c r="DR59" s="1349">
        <f>비용!DS9</f>
        <v>0</v>
      </c>
      <c r="DS59" s="1347">
        <f>비용!DT9</f>
        <v>0</v>
      </c>
      <c r="DT59" s="1348">
        <f>비용!DU9</f>
        <v>0</v>
      </c>
      <c r="DU59" s="1348">
        <f>비용!DV9</f>
        <v>0</v>
      </c>
      <c r="DV59" s="1349">
        <f>비용!DW9</f>
        <v>0</v>
      </c>
      <c r="DW59" s="1347">
        <f>비용!DX9</f>
        <v>0</v>
      </c>
      <c r="DX59" s="1348">
        <f>비용!DY9</f>
        <v>0</v>
      </c>
      <c r="DY59" s="1348">
        <f>비용!DZ9</f>
        <v>0</v>
      </c>
      <c r="DZ59" s="1349">
        <f>비용!EA9</f>
        <v>0</v>
      </c>
      <c r="EA59" s="1347">
        <f>비용!EB9</f>
        <v>0</v>
      </c>
      <c r="EB59" s="1348">
        <f>비용!EC9</f>
        <v>0</v>
      </c>
      <c r="EC59" s="1348">
        <f>비용!ED9</f>
        <v>0</v>
      </c>
      <c r="ED59" s="1349">
        <f>비용!EE9</f>
        <v>0</v>
      </c>
      <c r="EE59" s="1347">
        <f>비용!EF9</f>
        <v>0</v>
      </c>
      <c r="EF59" s="1348">
        <f>비용!EG9</f>
        <v>0</v>
      </c>
      <c r="EG59" s="1348">
        <f>비용!EH9</f>
        <v>0</v>
      </c>
      <c r="EH59" s="1349">
        <f>비용!EI9</f>
        <v>0</v>
      </c>
      <c r="EI59" s="1347">
        <f>비용!EJ9</f>
        <v>0</v>
      </c>
      <c r="EJ59" s="1348">
        <f>비용!EK9</f>
        <v>0</v>
      </c>
      <c r="EK59" s="1348">
        <f>비용!EL9</f>
        <v>0</v>
      </c>
      <c r="EL59" s="1349">
        <f>비용!EM9</f>
        <v>0</v>
      </c>
      <c r="EM59" s="1347">
        <f>비용!EN9</f>
        <v>0</v>
      </c>
      <c r="EN59" s="1348">
        <f>비용!EO9</f>
        <v>0</v>
      </c>
      <c r="EO59" s="1348">
        <f>비용!EP9</f>
        <v>0</v>
      </c>
      <c r="EP59" s="1349">
        <f>비용!EQ9</f>
        <v>0</v>
      </c>
      <c r="EQ59" s="1347">
        <f>비용!ER9</f>
        <v>0</v>
      </c>
      <c r="ER59" s="1348">
        <f>비용!ES9</f>
        <v>0</v>
      </c>
      <c r="ES59" s="1348">
        <f>비용!ET9</f>
        <v>0</v>
      </c>
      <c r="ET59" s="1349">
        <f>비용!EU9</f>
        <v>0</v>
      </c>
      <c r="EU59" s="1347">
        <f>비용!EV9</f>
        <v>0</v>
      </c>
      <c r="EV59" s="1348">
        <f>비용!EW9</f>
        <v>0</v>
      </c>
      <c r="EW59" s="1348">
        <f>비용!EX9</f>
        <v>0</v>
      </c>
      <c r="EX59" s="1349">
        <f>비용!EY9</f>
        <v>0</v>
      </c>
      <c r="EY59" s="1347">
        <f>비용!EZ9</f>
        <v>0</v>
      </c>
      <c r="EZ59" s="1348">
        <f>비용!FA9</f>
        <v>0</v>
      </c>
      <c r="FA59" s="1348">
        <f>비용!FB9</f>
        <v>0</v>
      </c>
      <c r="FB59" s="1349">
        <f>비용!FC9</f>
        <v>0</v>
      </c>
      <c r="FC59" s="1347">
        <f>비용!FD9</f>
        <v>0</v>
      </c>
      <c r="FD59" s="1348">
        <f>비용!FE9</f>
        <v>0</v>
      </c>
      <c r="FE59" s="1348">
        <f>비용!FF9</f>
        <v>0</v>
      </c>
      <c r="FF59" s="1349">
        <f>비용!FG9</f>
        <v>0</v>
      </c>
      <c r="FG59" s="1347">
        <f>비용!FH9</f>
        <v>0</v>
      </c>
      <c r="FH59" s="1348">
        <f>비용!FI9</f>
        <v>0</v>
      </c>
      <c r="FI59" s="1348">
        <f>비용!FJ9</f>
        <v>0</v>
      </c>
      <c r="FJ59" s="1349">
        <f>비용!FK9</f>
        <v>0</v>
      </c>
      <c r="FK59" s="1347">
        <f>비용!FL9</f>
        <v>0</v>
      </c>
      <c r="FL59" s="1348">
        <f>비용!FM9</f>
        <v>0</v>
      </c>
      <c r="FM59" s="1348">
        <f>비용!FN9</f>
        <v>0</v>
      </c>
      <c r="FN59" s="1349">
        <f>비용!FO9</f>
        <v>0</v>
      </c>
      <c r="FO59" s="1347">
        <f>비용!FP9</f>
        <v>0</v>
      </c>
      <c r="FP59" s="1348">
        <f>비용!FQ9</f>
        <v>0</v>
      </c>
      <c r="FQ59" s="1348">
        <f>비용!FR9</f>
        <v>0</v>
      </c>
      <c r="FR59" s="1349">
        <f>비용!FS9</f>
        <v>0</v>
      </c>
      <c r="FS59" s="1347">
        <f>비용!FT9</f>
        <v>0</v>
      </c>
      <c r="FT59" s="1348">
        <f>비용!FU9</f>
        <v>0</v>
      </c>
      <c r="FU59" s="1348">
        <f>비용!FV9</f>
        <v>0</v>
      </c>
      <c r="FV59" s="1349">
        <f>비용!FW9</f>
        <v>0</v>
      </c>
      <c r="FW59" s="1347">
        <f>비용!FX9</f>
        <v>0</v>
      </c>
      <c r="FX59" s="1348">
        <f>비용!FY9</f>
        <v>0</v>
      </c>
      <c r="FY59" s="1348">
        <f>비용!FZ9</f>
        <v>0</v>
      </c>
      <c r="FZ59" s="1349">
        <f>비용!GA9</f>
        <v>0</v>
      </c>
      <c r="GA59" s="1347">
        <f>비용!GB9</f>
        <v>0</v>
      </c>
      <c r="GB59" s="1348">
        <f>비용!GC9</f>
        <v>0</v>
      </c>
      <c r="GC59" s="1348">
        <f>비용!GD9</f>
        <v>0</v>
      </c>
      <c r="GD59" s="1349">
        <f>비용!GE9</f>
        <v>0</v>
      </c>
    </row>
    <row r="60" spans="2:186" ht="17.100000000000001" customHeight="1">
      <c r="C60" s="307"/>
      <c r="D60" s="1350" t="s">
        <v>1254</v>
      </c>
      <c r="E60" s="727"/>
      <c r="F60" s="948">
        <f t="shared" si="48"/>
        <v>1042.24592082</v>
      </c>
      <c r="G60" s="1275">
        <f t="shared" ref="G60:AL60" si="49">G23</f>
        <v>6.7678306539506172</v>
      </c>
      <c r="H60" s="1290">
        <f t="shared" si="49"/>
        <v>6.7678306539506172</v>
      </c>
      <c r="I60" s="1290">
        <f t="shared" si="49"/>
        <v>6.7678306539506172</v>
      </c>
      <c r="J60" s="1291">
        <f t="shared" si="49"/>
        <v>6.7678306539506172</v>
      </c>
      <c r="K60" s="1275">
        <f t="shared" si="49"/>
        <v>6.7678306546753255</v>
      </c>
      <c r="L60" s="1290">
        <f t="shared" si="49"/>
        <v>6.7678306546753255</v>
      </c>
      <c r="M60" s="1290">
        <f t="shared" si="49"/>
        <v>6.7678306546753255</v>
      </c>
      <c r="N60" s="1291">
        <f t="shared" si="49"/>
        <v>6.7678306546753255</v>
      </c>
      <c r="O60" s="728">
        <f t="shared" si="49"/>
        <v>6.7678306546753255</v>
      </c>
      <c r="P60" s="729">
        <f t="shared" si="49"/>
        <v>6.7678306546753255</v>
      </c>
      <c r="Q60" s="729">
        <f t="shared" si="49"/>
        <v>6.7678306546753255</v>
      </c>
      <c r="R60" s="730">
        <f t="shared" si="49"/>
        <v>6.7678306546753255</v>
      </c>
      <c r="S60" s="728">
        <f t="shared" si="49"/>
        <v>6.7678306546753246</v>
      </c>
      <c r="T60" s="729">
        <f t="shared" si="49"/>
        <v>6.7678306546753246</v>
      </c>
      <c r="U60" s="729">
        <f t="shared" si="49"/>
        <v>6.7678306546753246</v>
      </c>
      <c r="V60" s="730">
        <f t="shared" si="49"/>
        <v>6.7678306546753246</v>
      </c>
      <c r="W60" s="728">
        <f t="shared" si="49"/>
        <v>6.7678306546753255</v>
      </c>
      <c r="X60" s="729">
        <f t="shared" si="49"/>
        <v>6.7678306546753255</v>
      </c>
      <c r="Y60" s="729">
        <f t="shared" si="49"/>
        <v>6.7678306546753255</v>
      </c>
      <c r="Z60" s="730">
        <f t="shared" si="49"/>
        <v>6.7678306546753255</v>
      </c>
      <c r="AA60" s="728">
        <f t="shared" si="49"/>
        <v>6.7678306546753246</v>
      </c>
      <c r="AB60" s="729">
        <f t="shared" si="49"/>
        <v>6.7678306546753246</v>
      </c>
      <c r="AC60" s="729">
        <f t="shared" si="49"/>
        <v>6.7678306546753246</v>
      </c>
      <c r="AD60" s="730">
        <f t="shared" si="49"/>
        <v>6.7678306546753246</v>
      </c>
      <c r="AE60" s="728">
        <f t="shared" si="49"/>
        <v>6.7678306546753255</v>
      </c>
      <c r="AF60" s="729">
        <f t="shared" si="49"/>
        <v>6.7678306546753255</v>
      </c>
      <c r="AG60" s="729">
        <f t="shared" si="49"/>
        <v>6.7678306546753255</v>
      </c>
      <c r="AH60" s="730">
        <f t="shared" si="49"/>
        <v>6.7678306546753255</v>
      </c>
      <c r="AI60" s="728">
        <f t="shared" si="49"/>
        <v>6.7678306546753246</v>
      </c>
      <c r="AJ60" s="729">
        <f t="shared" si="49"/>
        <v>6.7678306546753246</v>
      </c>
      <c r="AK60" s="729">
        <f t="shared" si="49"/>
        <v>6.7678306546753246</v>
      </c>
      <c r="AL60" s="730">
        <f t="shared" si="49"/>
        <v>6.7678306546753246</v>
      </c>
      <c r="AM60" s="728">
        <f t="shared" ref="AM60:BR60" si="50">AM23</f>
        <v>6.7678306546753264</v>
      </c>
      <c r="AN60" s="729">
        <f t="shared" si="50"/>
        <v>6.7678306546753264</v>
      </c>
      <c r="AO60" s="729">
        <f t="shared" si="50"/>
        <v>6.7678306546753264</v>
      </c>
      <c r="AP60" s="730">
        <f t="shared" si="50"/>
        <v>6.7678306546753264</v>
      </c>
      <c r="AQ60" s="728">
        <f t="shared" si="50"/>
        <v>6.7678306546753246</v>
      </c>
      <c r="AR60" s="729">
        <f t="shared" si="50"/>
        <v>6.7678306546753246</v>
      </c>
      <c r="AS60" s="729">
        <f t="shared" si="50"/>
        <v>6.7678306546753246</v>
      </c>
      <c r="AT60" s="730">
        <f t="shared" si="50"/>
        <v>6.7678306546753246</v>
      </c>
      <c r="AU60" s="728">
        <f t="shared" si="50"/>
        <v>6.7678306546753264</v>
      </c>
      <c r="AV60" s="729">
        <f t="shared" si="50"/>
        <v>6.7678306546753264</v>
      </c>
      <c r="AW60" s="729">
        <f t="shared" si="50"/>
        <v>6.7678306546753264</v>
      </c>
      <c r="AX60" s="730">
        <f t="shared" si="50"/>
        <v>6.7678306546753264</v>
      </c>
      <c r="AY60" s="728">
        <f t="shared" si="50"/>
        <v>6.7678306546753255</v>
      </c>
      <c r="AZ60" s="729">
        <f t="shared" si="50"/>
        <v>6.7678306546753255</v>
      </c>
      <c r="BA60" s="729">
        <f t="shared" si="50"/>
        <v>6.7678306546753255</v>
      </c>
      <c r="BB60" s="730">
        <f t="shared" si="50"/>
        <v>6.7678306546753255</v>
      </c>
      <c r="BC60" s="728">
        <f t="shared" si="50"/>
        <v>6.7678306546753264</v>
      </c>
      <c r="BD60" s="729">
        <f t="shared" si="50"/>
        <v>6.7678306546753264</v>
      </c>
      <c r="BE60" s="729">
        <f t="shared" si="50"/>
        <v>6.7678306546753264</v>
      </c>
      <c r="BF60" s="730">
        <f t="shared" si="50"/>
        <v>6.7678306546753264</v>
      </c>
      <c r="BG60" s="728">
        <f t="shared" si="50"/>
        <v>6.7678306546753255</v>
      </c>
      <c r="BH60" s="729">
        <f t="shared" si="50"/>
        <v>6.7678306546753255</v>
      </c>
      <c r="BI60" s="729">
        <f t="shared" si="50"/>
        <v>6.7678306546753255</v>
      </c>
      <c r="BJ60" s="730">
        <f t="shared" si="50"/>
        <v>6.7678306546753255</v>
      </c>
      <c r="BK60" s="728">
        <f t="shared" si="50"/>
        <v>6.7678306546753273</v>
      </c>
      <c r="BL60" s="729">
        <f t="shared" si="50"/>
        <v>6.7678306546753273</v>
      </c>
      <c r="BM60" s="729">
        <f t="shared" si="50"/>
        <v>6.7678306546753273</v>
      </c>
      <c r="BN60" s="730">
        <f t="shared" si="50"/>
        <v>6.7678306546753273</v>
      </c>
      <c r="BO60" s="728">
        <f t="shared" si="50"/>
        <v>6.7678306546753255</v>
      </c>
      <c r="BP60" s="729">
        <f t="shared" si="50"/>
        <v>6.7678306546753255</v>
      </c>
      <c r="BQ60" s="729">
        <f t="shared" si="50"/>
        <v>6.7678306546753255</v>
      </c>
      <c r="BR60" s="730">
        <f t="shared" si="50"/>
        <v>6.7678306546753255</v>
      </c>
      <c r="BS60" s="728">
        <f t="shared" ref="BS60:CX60" si="51">BS23</f>
        <v>6.7678306546753264</v>
      </c>
      <c r="BT60" s="729">
        <f t="shared" si="51"/>
        <v>6.7678306546753264</v>
      </c>
      <c r="BU60" s="729">
        <f t="shared" si="51"/>
        <v>6.7678306546753264</v>
      </c>
      <c r="BV60" s="730">
        <f t="shared" si="51"/>
        <v>6.7678306546753264</v>
      </c>
      <c r="BW60" s="728">
        <f t="shared" si="51"/>
        <v>6.7678306546753264</v>
      </c>
      <c r="BX60" s="729">
        <f t="shared" si="51"/>
        <v>6.7678306546753264</v>
      </c>
      <c r="BY60" s="729">
        <f t="shared" si="51"/>
        <v>6.7678306546753264</v>
      </c>
      <c r="BZ60" s="730">
        <f t="shared" si="51"/>
        <v>6.7678306546753264</v>
      </c>
      <c r="CA60" s="728">
        <f t="shared" si="51"/>
        <v>6.7678306546753273</v>
      </c>
      <c r="CB60" s="729">
        <f t="shared" si="51"/>
        <v>6.7678306546753273</v>
      </c>
      <c r="CC60" s="729">
        <f t="shared" si="51"/>
        <v>6.7678306546753273</v>
      </c>
      <c r="CD60" s="730">
        <f t="shared" si="51"/>
        <v>6.7678306546753273</v>
      </c>
      <c r="CE60" s="728">
        <f t="shared" si="51"/>
        <v>6.7678306546753273</v>
      </c>
      <c r="CF60" s="729">
        <f t="shared" si="51"/>
        <v>6.7678306546753273</v>
      </c>
      <c r="CG60" s="729">
        <f t="shared" si="51"/>
        <v>6.7678306546753273</v>
      </c>
      <c r="CH60" s="730">
        <f t="shared" si="51"/>
        <v>6.7678306546753273</v>
      </c>
      <c r="CI60" s="728">
        <f t="shared" si="51"/>
        <v>6.7678306546753273</v>
      </c>
      <c r="CJ60" s="729">
        <f t="shared" si="51"/>
        <v>6.7678306546753273</v>
      </c>
      <c r="CK60" s="729">
        <f t="shared" si="51"/>
        <v>6.7678306546753273</v>
      </c>
      <c r="CL60" s="730">
        <f t="shared" si="51"/>
        <v>6.7678306546753273</v>
      </c>
      <c r="CM60" s="728">
        <f t="shared" si="51"/>
        <v>6.7678306546753282</v>
      </c>
      <c r="CN60" s="729">
        <f t="shared" si="51"/>
        <v>6.7678306546753282</v>
      </c>
      <c r="CO60" s="729">
        <f t="shared" si="51"/>
        <v>6.7678306546753282</v>
      </c>
      <c r="CP60" s="730">
        <f t="shared" si="51"/>
        <v>6.7678306546753282</v>
      </c>
      <c r="CQ60" s="728">
        <f t="shared" si="51"/>
        <v>6.7678306546753282</v>
      </c>
      <c r="CR60" s="729">
        <f t="shared" si="51"/>
        <v>6.7678306546753282</v>
      </c>
      <c r="CS60" s="729">
        <f t="shared" si="51"/>
        <v>6.7678306546753282</v>
      </c>
      <c r="CT60" s="730">
        <f t="shared" si="51"/>
        <v>6.7678306546753282</v>
      </c>
      <c r="CU60" s="728">
        <f t="shared" si="51"/>
        <v>6.7678306546753282</v>
      </c>
      <c r="CV60" s="729">
        <f t="shared" si="51"/>
        <v>6.7678306546753282</v>
      </c>
      <c r="CW60" s="729">
        <f t="shared" si="51"/>
        <v>6.7678306546753282</v>
      </c>
      <c r="CX60" s="730">
        <f t="shared" si="51"/>
        <v>6.7678306546753282</v>
      </c>
      <c r="CY60" s="728">
        <f t="shared" ref="CY60:ED60" si="52">CY23</f>
        <v>6.7678306546753291</v>
      </c>
      <c r="CZ60" s="729">
        <f t="shared" si="52"/>
        <v>6.7678306546753291</v>
      </c>
      <c r="DA60" s="729">
        <f t="shared" si="52"/>
        <v>6.7678306546753291</v>
      </c>
      <c r="DB60" s="730">
        <f t="shared" si="52"/>
        <v>6.7678306546753291</v>
      </c>
      <c r="DC60" s="728">
        <f t="shared" si="52"/>
        <v>6.7678306546753291</v>
      </c>
      <c r="DD60" s="729">
        <f t="shared" si="52"/>
        <v>6.7678306546753291</v>
      </c>
      <c r="DE60" s="729">
        <f t="shared" si="52"/>
        <v>6.7678306546753291</v>
      </c>
      <c r="DF60" s="730">
        <f t="shared" si="52"/>
        <v>6.7678306546753291</v>
      </c>
      <c r="DG60" s="728">
        <f t="shared" si="52"/>
        <v>6.76783065467533</v>
      </c>
      <c r="DH60" s="729">
        <f t="shared" si="52"/>
        <v>6.76783065467533</v>
      </c>
      <c r="DI60" s="729">
        <f t="shared" si="52"/>
        <v>6.76783065467533</v>
      </c>
      <c r="DJ60" s="730">
        <f t="shared" si="52"/>
        <v>6.76783065467533</v>
      </c>
      <c r="DK60" s="728">
        <f t="shared" si="52"/>
        <v>6.7678306546753291</v>
      </c>
      <c r="DL60" s="729">
        <f t="shared" si="52"/>
        <v>6.7678306546753291</v>
      </c>
      <c r="DM60" s="729">
        <f t="shared" si="52"/>
        <v>6.7678306546753291</v>
      </c>
      <c r="DN60" s="730">
        <f t="shared" si="52"/>
        <v>6.7678306546753291</v>
      </c>
      <c r="DO60" s="728">
        <f t="shared" si="52"/>
        <v>6.7678306546753291</v>
      </c>
      <c r="DP60" s="729">
        <f t="shared" si="52"/>
        <v>6.7678306546753291</v>
      </c>
      <c r="DQ60" s="729">
        <f t="shared" si="52"/>
        <v>6.7678306546753291</v>
      </c>
      <c r="DR60" s="730">
        <f t="shared" si="52"/>
        <v>6.7678306546753291</v>
      </c>
      <c r="DS60" s="728">
        <f t="shared" si="52"/>
        <v>6.7678306546753291</v>
      </c>
      <c r="DT60" s="729">
        <f t="shared" si="52"/>
        <v>6.7678306546753291</v>
      </c>
      <c r="DU60" s="729">
        <f t="shared" si="52"/>
        <v>6.7678306546753291</v>
      </c>
      <c r="DV60" s="730">
        <f t="shared" si="52"/>
        <v>6.7678306546753291</v>
      </c>
      <c r="DW60" s="728">
        <f t="shared" si="52"/>
        <v>6.76783065467533</v>
      </c>
      <c r="DX60" s="729">
        <f t="shared" si="52"/>
        <v>6.76783065467533</v>
      </c>
      <c r="DY60" s="729">
        <f t="shared" si="52"/>
        <v>6.76783065467533</v>
      </c>
      <c r="DZ60" s="730">
        <f t="shared" si="52"/>
        <v>6.76783065467533</v>
      </c>
      <c r="EA60" s="728">
        <f t="shared" si="52"/>
        <v>6.76783065467533</v>
      </c>
      <c r="EB60" s="729">
        <f t="shared" si="52"/>
        <v>6.76783065467533</v>
      </c>
      <c r="EC60" s="729">
        <f t="shared" si="52"/>
        <v>6.76783065467533</v>
      </c>
      <c r="ED60" s="730">
        <f t="shared" si="52"/>
        <v>6.76783065467533</v>
      </c>
      <c r="EE60" s="728">
        <f t="shared" ref="EE60:FJ60" si="53">EE23</f>
        <v>6.76783065467533</v>
      </c>
      <c r="EF60" s="729">
        <f t="shared" si="53"/>
        <v>6.76783065467533</v>
      </c>
      <c r="EG60" s="729">
        <f t="shared" si="53"/>
        <v>6.76783065467533</v>
      </c>
      <c r="EH60" s="730">
        <f t="shared" si="53"/>
        <v>6.76783065467533</v>
      </c>
      <c r="EI60" s="728">
        <f t="shared" si="53"/>
        <v>6.76783065467533</v>
      </c>
      <c r="EJ60" s="729">
        <f t="shared" si="53"/>
        <v>6.76783065467533</v>
      </c>
      <c r="EK60" s="729">
        <f t="shared" si="53"/>
        <v>6.76783065467533</v>
      </c>
      <c r="EL60" s="730">
        <f t="shared" si="53"/>
        <v>6.76783065467533</v>
      </c>
      <c r="EM60" s="728">
        <f t="shared" si="53"/>
        <v>6.7678306546753291</v>
      </c>
      <c r="EN60" s="729">
        <f t="shared" si="53"/>
        <v>6.7678306546753291</v>
      </c>
      <c r="EO60" s="729">
        <f t="shared" si="53"/>
        <v>6.7678306546753291</v>
      </c>
      <c r="EP60" s="730">
        <f t="shared" si="53"/>
        <v>6.7678306546753291</v>
      </c>
      <c r="EQ60" s="728">
        <f t="shared" si="53"/>
        <v>6.76783065467533</v>
      </c>
      <c r="ER60" s="729">
        <f t="shared" si="53"/>
        <v>6.76783065467533</v>
      </c>
      <c r="ES60" s="729">
        <f t="shared" si="53"/>
        <v>6.76783065467533</v>
      </c>
      <c r="ET60" s="730">
        <f t="shared" si="53"/>
        <v>6.76783065467533</v>
      </c>
      <c r="EU60" s="728">
        <f t="shared" si="53"/>
        <v>6.76783065467533</v>
      </c>
      <c r="EV60" s="729">
        <f t="shared" si="53"/>
        <v>6.76783065467533</v>
      </c>
      <c r="EW60" s="729">
        <f t="shared" si="53"/>
        <v>6.76783065467533</v>
      </c>
      <c r="EX60" s="730">
        <f t="shared" si="53"/>
        <v>6.76783065467533</v>
      </c>
      <c r="EY60" s="728">
        <f t="shared" si="53"/>
        <v>6.76783065467533</v>
      </c>
      <c r="EZ60" s="729">
        <f t="shared" si="53"/>
        <v>6.76783065467533</v>
      </c>
      <c r="FA60" s="729">
        <f t="shared" si="53"/>
        <v>6.76783065467533</v>
      </c>
      <c r="FB60" s="730">
        <f t="shared" si="53"/>
        <v>6.76783065467533</v>
      </c>
      <c r="FC60" s="728">
        <f t="shared" si="53"/>
        <v>6.7678306546753308</v>
      </c>
      <c r="FD60" s="729">
        <f t="shared" si="53"/>
        <v>6.7678306546753308</v>
      </c>
      <c r="FE60" s="729">
        <f t="shared" si="53"/>
        <v>6.7678306546753308</v>
      </c>
      <c r="FF60" s="730">
        <f t="shared" si="53"/>
        <v>6.7678306546753308</v>
      </c>
      <c r="FG60" s="728">
        <f t="shared" si="53"/>
        <v>6.76783065467533</v>
      </c>
      <c r="FH60" s="729">
        <f t="shared" si="53"/>
        <v>6.76783065467533</v>
      </c>
      <c r="FI60" s="729">
        <f t="shared" si="53"/>
        <v>6.76783065467533</v>
      </c>
      <c r="FJ60" s="730">
        <f t="shared" si="53"/>
        <v>6.76783065467533</v>
      </c>
      <c r="FK60" s="728">
        <f t="shared" ref="FK60:GD60" si="54">FK23</f>
        <v>3.3839153273376659</v>
      </c>
      <c r="FL60" s="729">
        <f t="shared" si="54"/>
        <v>3.3839153273376659</v>
      </c>
      <c r="FM60" s="729">
        <f t="shared" si="54"/>
        <v>3.3839153273376659</v>
      </c>
      <c r="FN60" s="730">
        <f t="shared" si="54"/>
        <v>3.3839153273376659</v>
      </c>
      <c r="FO60" s="728">
        <f t="shared" si="54"/>
        <v>0</v>
      </c>
      <c r="FP60" s="729">
        <f t="shared" si="54"/>
        <v>0</v>
      </c>
      <c r="FQ60" s="729">
        <f t="shared" si="54"/>
        <v>0</v>
      </c>
      <c r="FR60" s="730">
        <f t="shared" si="54"/>
        <v>0</v>
      </c>
      <c r="FS60" s="728">
        <f t="shared" si="54"/>
        <v>0</v>
      </c>
      <c r="FT60" s="729">
        <f t="shared" si="54"/>
        <v>0</v>
      </c>
      <c r="FU60" s="729">
        <f t="shared" si="54"/>
        <v>0</v>
      </c>
      <c r="FV60" s="730">
        <f t="shared" si="54"/>
        <v>0</v>
      </c>
      <c r="FW60" s="728">
        <f t="shared" si="54"/>
        <v>0</v>
      </c>
      <c r="FX60" s="729">
        <f t="shared" si="54"/>
        <v>0</v>
      </c>
      <c r="FY60" s="729">
        <f t="shared" si="54"/>
        <v>0</v>
      </c>
      <c r="FZ60" s="730">
        <f t="shared" si="54"/>
        <v>0</v>
      </c>
      <c r="GA60" s="728">
        <f t="shared" si="54"/>
        <v>0</v>
      </c>
      <c r="GB60" s="729">
        <f t="shared" si="54"/>
        <v>0</v>
      </c>
      <c r="GC60" s="729">
        <f t="shared" si="54"/>
        <v>0</v>
      </c>
      <c r="GD60" s="730">
        <f t="shared" si="54"/>
        <v>0</v>
      </c>
    </row>
    <row r="61" spans="2:186" ht="17.100000000000001" customHeight="1">
      <c r="C61" s="307"/>
      <c r="D61" s="1350" t="s">
        <v>1255</v>
      </c>
      <c r="E61" s="727"/>
      <c r="F61" s="948">
        <f t="shared" ca="1" si="48"/>
        <v>1285.7150852239072</v>
      </c>
      <c r="G61" s="1275">
        <f t="shared" ref="G61:AL61" ca="1" si="55">G24</f>
        <v>4.5386968056249994</v>
      </c>
      <c r="H61" s="1290">
        <f t="shared" ca="1" si="55"/>
        <v>4.5386968056249994</v>
      </c>
      <c r="I61" s="1290">
        <f t="shared" ca="1" si="55"/>
        <v>4.5386968056249994</v>
      </c>
      <c r="J61" s="1291">
        <f t="shared" ca="1" si="55"/>
        <v>4.5386968056249994</v>
      </c>
      <c r="K61" s="1275">
        <f t="shared" ca="1" si="55"/>
        <v>4.7461630537500001</v>
      </c>
      <c r="L61" s="1290">
        <f t="shared" ca="1" si="55"/>
        <v>4.7461630537500001</v>
      </c>
      <c r="M61" s="1290">
        <f t="shared" ca="1" si="55"/>
        <v>4.7461630537500001</v>
      </c>
      <c r="N61" s="1291">
        <f t="shared" ca="1" si="55"/>
        <v>4.7461630537500001</v>
      </c>
      <c r="O61" s="728">
        <f t="shared" ca="1" si="55"/>
        <v>4.7461630537500001</v>
      </c>
      <c r="P61" s="729">
        <f t="shared" ca="1" si="55"/>
        <v>4.7461630537500001</v>
      </c>
      <c r="Q61" s="729">
        <f t="shared" ca="1" si="55"/>
        <v>4.7461630537500001</v>
      </c>
      <c r="R61" s="730">
        <f t="shared" ca="1" si="55"/>
        <v>4.7461630537500001</v>
      </c>
      <c r="S61" s="728">
        <f t="shared" ca="1" si="55"/>
        <v>4.9873505537500007</v>
      </c>
      <c r="T61" s="729">
        <f t="shared" ca="1" si="55"/>
        <v>4.9873505537500007</v>
      </c>
      <c r="U61" s="729">
        <f t="shared" ca="1" si="55"/>
        <v>4.9873505537500007</v>
      </c>
      <c r="V61" s="730">
        <f t="shared" ca="1" si="55"/>
        <v>4.9873505537500007</v>
      </c>
      <c r="W61" s="728">
        <f t="shared" ca="1" si="55"/>
        <v>4.9873505537500007</v>
      </c>
      <c r="X61" s="729">
        <f t="shared" ca="1" si="55"/>
        <v>4.9873505537500007</v>
      </c>
      <c r="Y61" s="729">
        <f t="shared" ca="1" si="55"/>
        <v>4.9873505537500007</v>
      </c>
      <c r="Z61" s="730">
        <f t="shared" ca="1" si="55"/>
        <v>4.9873505537500007</v>
      </c>
      <c r="AA61" s="728">
        <f t="shared" ca="1" si="55"/>
        <v>4.9873505537500007</v>
      </c>
      <c r="AB61" s="729">
        <f t="shared" ca="1" si="55"/>
        <v>4.9873505537500007</v>
      </c>
      <c r="AC61" s="729">
        <f t="shared" ca="1" si="55"/>
        <v>4.9873505537500007</v>
      </c>
      <c r="AD61" s="730">
        <f t="shared" ca="1" si="55"/>
        <v>4.9873505537500007</v>
      </c>
      <c r="AE61" s="728">
        <f t="shared" ca="1" si="55"/>
        <v>5.0263732041250009</v>
      </c>
      <c r="AF61" s="729">
        <f t="shared" ca="1" si="55"/>
        <v>5.0263732041250009</v>
      </c>
      <c r="AG61" s="729">
        <f t="shared" ca="1" si="55"/>
        <v>5.0263732041250009</v>
      </c>
      <c r="AH61" s="730">
        <f t="shared" ca="1" si="55"/>
        <v>5.0263732041250009</v>
      </c>
      <c r="AI61" s="728">
        <f t="shared" ca="1" si="55"/>
        <v>5.0882514208246379</v>
      </c>
      <c r="AJ61" s="729">
        <f t="shared" ca="1" si="55"/>
        <v>5.0882514208246379</v>
      </c>
      <c r="AK61" s="729">
        <f t="shared" ca="1" si="55"/>
        <v>5.0882514208246379</v>
      </c>
      <c r="AL61" s="730">
        <f t="shared" ca="1" si="55"/>
        <v>5.0882514208246379</v>
      </c>
      <c r="AM61" s="728">
        <f t="shared" ref="AM61:BR61" ca="1" si="56">AM24</f>
        <v>5.2023648370142457</v>
      </c>
      <c r="AN61" s="729">
        <f t="shared" ca="1" si="56"/>
        <v>5.2023648370142457</v>
      </c>
      <c r="AO61" s="729">
        <f t="shared" ca="1" si="56"/>
        <v>5.2023648370142457</v>
      </c>
      <c r="AP61" s="730">
        <f t="shared" ca="1" si="56"/>
        <v>5.2023648370142457</v>
      </c>
      <c r="AQ61" s="728">
        <f t="shared" ca="1" si="56"/>
        <v>5.2077255137747809</v>
      </c>
      <c r="AR61" s="729">
        <f t="shared" ca="1" si="56"/>
        <v>5.2077255137747809</v>
      </c>
      <c r="AS61" s="729">
        <f t="shared" ca="1" si="56"/>
        <v>5.2077255137747809</v>
      </c>
      <c r="AT61" s="730">
        <f t="shared" ca="1" si="56"/>
        <v>5.2077255137747809</v>
      </c>
      <c r="AU61" s="728">
        <f t="shared" ca="1" si="56"/>
        <v>5.4310647093105722</v>
      </c>
      <c r="AV61" s="729">
        <f t="shared" ca="1" si="56"/>
        <v>5.4310647093105722</v>
      </c>
      <c r="AW61" s="729">
        <f t="shared" ca="1" si="56"/>
        <v>5.4310647093105722</v>
      </c>
      <c r="AX61" s="730">
        <f t="shared" ca="1" si="56"/>
        <v>5.4310647093105722</v>
      </c>
      <c r="AY61" s="728">
        <f t="shared" ca="1" si="56"/>
        <v>5.7591702911158809</v>
      </c>
      <c r="AZ61" s="729">
        <f t="shared" ca="1" si="56"/>
        <v>5.7591702911158809</v>
      </c>
      <c r="BA61" s="729">
        <f t="shared" ca="1" si="56"/>
        <v>5.7591702911158809</v>
      </c>
      <c r="BB61" s="730">
        <f t="shared" ca="1" si="56"/>
        <v>5.7591702911158809</v>
      </c>
      <c r="BC61" s="728">
        <f t="shared" ca="1" si="56"/>
        <v>6.2881130727584091</v>
      </c>
      <c r="BD61" s="729">
        <f t="shared" ca="1" si="56"/>
        <v>6.2881130727584091</v>
      </c>
      <c r="BE61" s="729">
        <f t="shared" ca="1" si="56"/>
        <v>6.2881130727584091</v>
      </c>
      <c r="BF61" s="730">
        <f t="shared" ca="1" si="56"/>
        <v>6.2881130727584091</v>
      </c>
      <c r="BG61" s="728">
        <f t="shared" ca="1" si="56"/>
        <v>6.6777602428312717</v>
      </c>
      <c r="BH61" s="729">
        <f t="shared" ca="1" si="56"/>
        <v>6.6777602428312717</v>
      </c>
      <c r="BI61" s="729">
        <f t="shared" ca="1" si="56"/>
        <v>6.6777602428312717</v>
      </c>
      <c r="BJ61" s="730">
        <f t="shared" ca="1" si="56"/>
        <v>6.6777602428312717</v>
      </c>
      <c r="BK61" s="728">
        <f t="shared" ca="1" si="56"/>
        <v>6.6890284931325921</v>
      </c>
      <c r="BL61" s="729">
        <f t="shared" ca="1" si="56"/>
        <v>6.6890284931325921</v>
      </c>
      <c r="BM61" s="729">
        <f t="shared" ca="1" si="56"/>
        <v>6.6890284931325921</v>
      </c>
      <c r="BN61" s="730">
        <f t="shared" ca="1" si="56"/>
        <v>6.6890284931325921</v>
      </c>
      <c r="BO61" s="728">
        <f t="shared" ca="1" si="56"/>
        <v>7.1158134732950753</v>
      </c>
      <c r="BP61" s="729">
        <f t="shared" ca="1" si="56"/>
        <v>7.1158134732950753</v>
      </c>
      <c r="BQ61" s="729">
        <f t="shared" ca="1" si="56"/>
        <v>7.1158134732950753</v>
      </c>
      <c r="BR61" s="730">
        <f t="shared" ca="1" si="56"/>
        <v>7.1158134732950753</v>
      </c>
      <c r="BS61" s="728">
        <f t="shared" ref="BS61:CX61" ca="1" si="57">BS24</f>
        <v>7.6618137245829452</v>
      </c>
      <c r="BT61" s="729">
        <f t="shared" ca="1" si="57"/>
        <v>7.6618137245829452</v>
      </c>
      <c r="BU61" s="729">
        <f t="shared" ca="1" si="57"/>
        <v>7.6618137245829452</v>
      </c>
      <c r="BV61" s="730">
        <f t="shared" ca="1" si="57"/>
        <v>7.6618137245829452</v>
      </c>
      <c r="BW61" s="728">
        <f t="shared" ca="1" si="57"/>
        <v>8.4148123841911495</v>
      </c>
      <c r="BX61" s="729">
        <f t="shared" ca="1" si="57"/>
        <v>8.4148123841911495</v>
      </c>
      <c r="BY61" s="729">
        <f t="shared" ca="1" si="57"/>
        <v>8.4148123841911495</v>
      </c>
      <c r="BZ61" s="730">
        <f t="shared" ca="1" si="57"/>
        <v>8.4148123841911495</v>
      </c>
      <c r="CA61" s="728">
        <f t="shared" ca="1" si="57"/>
        <v>8.7135267939854604</v>
      </c>
      <c r="CB61" s="729">
        <f t="shared" ca="1" si="57"/>
        <v>8.7135267939854604</v>
      </c>
      <c r="CC61" s="729">
        <f t="shared" ca="1" si="57"/>
        <v>8.7135267939854604</v>
      </c>
      <c r="CD61" s="730">
        <f t="shared" ca="1" si="57"/>
        <v>8.7135267939854604</v>
      </c>
      <c r="CE61" s="728">
        <f t="shared" ca="1" si="57"/>
        <v>9.4596385857504099</v>
      </c>
      <c r="CF61" s="729">
        <f t="shared" ca="1" si="57"/>
        <v>9.4596385857504099</v>
      </c>
      <c r="CG61" s="729">
        <f t="shared" ca="1" si="57"/>
        <v>9.4596385857504099</v>
      </c>
      <c r="CH61" s="730">
        <f t="shared" ca="1" si="57"/>
        <v>9.4596385857504099</v>
      </c>
      <c r="CI61" s="728">
        <f t="shared" ca="1" si="57"/>
        <v>11.202350698608649</v>
      </c>
      <c r="CJ61" s="729">
        <f t="shared" ca="1" si="57"/>
        <v>11.202350698608649</v>
      </c>
      <c r="CK61" s="729">
        <f t="shared" ca="1" si="57"/>
        <v>11.202350698608649</v>
      </c>
      <c r="CL61" s="730">
        <f t="shared" ca="1" si="57"/>
        <v>11.202350698608649</v>
      </c>
      <c r="CM61" s="728">
        <f t="shared" ca="1" si="57"/>
        <v>8.4886630053887853</v>
      </c>
      <c r="CN61" s="729">
        <f t="shared" ca="1" si="57"/>
        <v>8.4886630053887853</v>
      </c>
      <c r="CO61" s="729">
        <f t="shared" ca="1" si="57"/>
        <v>8.4886630053887853</v>
      </c>
      <c r="CP61" s="730">
        <f t="shared" ca="1" si="57"/>
        <v>8.4886630053887853</v>
      </c>
      <c r="CQ61" s="728">
        <f t="shared" ca="1" si="57"/>
        <v>7.5194696420265146</v>
      </c>
      <c r="CR61" s="729">
        <f t="shared" ca="1" si="57"/>
        <v>7.5194696420265146</v>
      </c>
      <c r="CS61" s="729">
        <f t="shared" ca="1" si="57"/>
        <v>7.5194696420265146</v>
      </c>
      <c r="CT61" s="730">
        <f t="shared" ca="1" si="57"/>
        <v>7.5194696420265146</v>
      </c>
      <c r="CU61" s="728">
        <f t="shared" ca="1" si="57"/>
        <v>7.8112916562267856</v>
      </c>
      <c r="CV61" s="729">
        <f t="shared" ca="1" si="57"/>
        <v>7.8112916562267856</v>
      </c>
      <c r="CW61" s="729">
        <f t="shared" ca="1" si="57"/>
        <v>7.8112916562267856</v>
      </c>
      <c r="CX61" s="730">
        <f t="shared" ca="1" si="57"/>
        <v>7.8112916562267856</v>
      </c>
      <c r="CY61" s="728">
        <f t="shared" ref="CY61:ED61" ca="1" si="58">CY24</f>
        <v>8.0260051420338208</v>
      </c>
      <c r="CZ61" s="729">
        <f t="shared" ca="1" si="58"/>
        <v>8.0260051420338208</v>
      </c>
      <c r="DA61" s="729">
        <f t="shared" ca="1" si="58"/>
        <v>8.0260051420338208</v>
      </c>
      <c r="DB61" s="730">
        <f t="shared" ca="1" si="58"/>
        <v>8.0260051420338208</v>
      </c>
      <c r="DC61" s="728">
        <f t="shared" ca="1" si="58"/>
        <v>8.0260051420338208</v>
      </c>
      <c r="DD61" s="729">
        <f t="shared" ca="1" si="58"/>
        <v>8.0260051420338208</v>
      </c>
      <c r="DE61" s="729">
        <f t="shared" ca="1" si="58"/>
        <v>8.0260051420338208</v>
      </c>
      <c r="DF61" s="730">
        <f t="shared" ca="1" si="58"/>
        <v>8.0260051420338208</v>
      </c>
      <c r="DG61" s="728">
        <f t="shared" ca="1" si="58"/>
        <v>7.9996798381441394</v>
      </c>
      <c r="DH61" s="729">
        <f t="shared" ca="1" si="58"/>
        <v>7.9996798381441394</v>
      </c>
      <c r="DI61" s="729">
        <f t="shared" ca="1" si="58"/>
        <v>7.9996798381441394</v>
      </c>
      <c r="DJ61" s="730">
        <f t="shared" ca="1" si="58"/>
        <v>7.9996798381441394</v>
      </c>
      <c r="DK61" s="728">
        <f t="shared" ca="1" si="58"/>
        <v>8.1447156116805566</v>
      </c>
      <c r="DL61" s="729">
        <f t="shared" ca="1" si="58"/>
        <v>8.1447156116805566</v>
      </c>
      <c r="DM61" s="729">
        <f t="shared" ca="1" si="58"/>
        <v>8.1447156116805566</v>
      </c>
      <c r="DN61" s="730">
        <f t="shared" ca="1" si="58"/>
        <v>8.1447156116805566</v>
      </c>
      <c r="DO61" s="728">
        <f t="shared" ca="1" si="58"/>
        <v>8.1730803901373648</v>
      </c>
      <c r="DP61" s="729">
        <f t="shared" ca="1" si="58"/>
        <v>8.1730803901373648</v>
      </c>
      <c r="DQ61" s="729">
        <f t="shared" ca="1" si="58"/>
        <v>8.1730803901373648</v>
      </c>
      <c r="DR61" s="730">
        <f t="shared" ca="1" si="58"/>
        <v>8.1730803901373648</v>
      </c>
      <c r="DS61" s="728">
        <f t="shared" ca="1" si="58"/>
        <v>8.3659133584115679</v>
      </c>
      <c r="DT61" s="729">
        <f t="shared" ca="1" si="58"/>
        <v>8.3659133584115679</v>
      </c>
      <c r="DU61" s="729">
        <f t="shared" ca="1" si="58"/>
        <v>8.3659133584115679</v>
      </c>
      <c r="DV61" s="730">
        <f t="shared" ca="1" si="58"/>
        <v>8.3659133584115679</v>
      </c>
      <c r="DW61" s="728">
        <f t="shared" ca="1" si="58"/>
        <v>8.4976711102296818</v>
      </c>
      <c r="DX61" s="729">
        <f t="shared" ca="1" si="58"/>
        <v>8.4976711102296818</v>
      </c>
      <c r="DY61" s="729">
        <f t="shared" ca="1" si="58"/>
        <v>8.4976711102296818</v>
      </c>
      <c r="DZ61" s="730">
        <f t="shared" ca="1" si="58"/>
        <v>8.4976711102296818</v>
      </c>
      <c r="EA61" s="728">
        <f t="shared" ca="1" si="58"/>
        <v>8.1695655284243731</v>
      </c>
      <c r="EB61" s="729">
        <f t="shared" ca="1" si="58"/>
        <v>8.1695655284243731</v>
      </c>
      <c r="EC61" s="729">
        <f t="shared" ca="1" si="58"/>
        <v>8.1695655284243731</v>
      </c>
      <c r="ED61" s="730">
        <f t="shared" ca="1" si="58"/>
        <v>8.1695655284243731</v>
      </c>
      <c r="EE61" s="728">
        <f t="shared" ref="EE61:FJ61" ca="1" si="59">EE24</f>
        <v>8.2321195040311146</v>
      </c>
      <c r="EF61" s="729">
        <f t="shared" ca="1" si="59"/>
        <v>8.2321195040311146</v>
      </c>
      <c r="EG61" s="729">
        <f t="shared" ca="1" si="59"/>
        <v>8.2321195040311146</v>
      </c>
      <c r="EH61" s="730">
        <f t="shared" ca="1" si="59"/>
        <v>8.2321195040311146</v>
      </c>
      <c r="EI61" s="728">
        <f t="shared" ca="1" si="59"/>
        <v>7.954781844828366</v>
      </c>
      <c r="EJ61" s="729">
        <f t="shared" ca="1" si="59"/>
        <v>7.954781844828366</v>
      </c>
      <c r="EK61" s="729">
        <f t="shared" ca="1" si="59"/>
        <v>7.954781844828366</v>
      </c>
      <c r="EL61" s="730">
        <f t="shared" ca="1" si="59"/>
        <v>7.954781844828366</v>
      </c>
      <c r="EM61" s="728">
        <f t="shared" ca="1" si="59"/>
        <v>7.9435135945270474</v>
      </c>
      <c r="EN61" s="729">
        <f t="shared" ca="1" si="59"/>
        <v>7.9435135945270474</v>
      </c>
      <c r="EO61" s="729">
        <f t="shared" ca="1" si="59"/>
        <v>7.9435135945270474</v>
      </c>
      <c r="EP61" s="730">
        <f t="shared" ca="1" si="59"/>
        <v>7.9435135945270474</v>
      </c>
      <c r="EQ61" s="728">
        <f t="shared" ca="1" si="59"/>
        <v>7.7875231810012639</v>
      </c>
      <c r="ER61" s="729">
        <f t="shared" ca="1" si="59"/>
        <v>7.7875231810012639</v>
      </c>
      <c r="ES61" s="729">
        <f t="shared" ca="1" si="59"/>
        <v>7.7875231810012639</v>
      </c>
      <c r="ET61" s="730">
        <f t="shared" ca="1" si="59"/>
        <v>7.7875231810012639</v>
      </c>
      <c r="EU61" s="728">
        <f t="shared" ca="1" si="59"/>
        <v>7.2415229297133905</v>
      </c>
      <c r="EV61" s="729">
        <f t="shared" ca="1" si="59"/>
        <v>7.2415229297133905</v>
      </c>
      <c r="EW61" s="729">
        <f t="shared" ca="1" si="59"/>
        <v>7.2415229297133905</v>
      </c>
      <c r="EX61" s="730">
        <f t="shared" ca="1" si="59"/>
        <v>7.2415229297133905</v>
      </c>
      <c r="EY61" s="728">
        <f t="shared" ca="1" si="59"/>
        <v>6.5860927849268389</v>
      </c>
      <c r="EZ61" s="729">
        <f t="shared" ca="1" si="59"/>
        <v>6.5860927849268389</v>
      </c>
      <c r="FA61" s="729">
        <f t="shared" ca="1" si="59"/>
        <v>6.5860927849268389</v>
      </c>
      <c r="FB61" s="730">
        <f t="shared" ca="1" si="59"/>
        <v>6.5860927849268389</v>
      </c>
      <c r="FC61" s="728">
        <f t="shared" ca="1" si="59"/>
        <v>6.3142052898248684</v>
      </c>
      <c r="FD61" s="729">
        <f t="shared" ca="1" si="59"/>
        <v>6.3142052898248684</v>
      </c>
      <c r="FE61" s="729">
        <f t="shared" ca="1" si="59"/>
        <v>6.3142052898248684</v>
      </c>
      <c r="FF61" s="730">
        <f t="shared" ca="1" si="59"/>
        <v>6.3142052898248684</v>
      </c>
      <c r="FG61" s="728">
        <f t="shared" ca="1" si="59"/>
        <v>5.7360836378633664</v>
      </c>
      <c r="FH61" s="729">
        <f t="shared" ca="1" si="59"/>
        <v>5.7360836378633664</v>
      </c>
      <c r="FI61" s="729">
        <f t="shared" ca="1" si="59"/>
        <v>5.7360836378633664</v>
      </c>
      <c r="FJ61" s="730">
        <f t="shared" ca="1" si="59"/>
        <v>5.7360836378633664</v>
      </c>
      <c r="FK61" s="728">
        <f t="shared" ref="FK61:GD61" ca="1" si="60">FK24</f>
        <v>50.764845954222025</v>
      </c>
      <c r="FL61" s="729">
        <f t="shared" ca="1" si="60"/>
        <v>50.764845954222025</v>
      </c>
      <c r="FM61" s="729">
        <f t="shared" ca="1" si="60"/>
        <v>50.764845954222025</v>
      </c>
      <c r="FN61" s="730">
        <f t="shared" ca="1" si="60"/>
        <v>50.764845954222025</v>
      </c>
      <c r="FO61" s="728">
        <f t="shared" ca="1" si="60"/>
        <v>0</v>
      </c>
      <c r="FP61" s="729">
        <f t="shared" ca="1" si="60"/>
        <v>0</v>
      </c>
      <c r="FQ61" s="729">
        <f t="shared" ca="1" si="60"/>
        <v>0</v>
      </c>
      <c r="FR61" s="730">
        <f t="shared" ca="1" si="60"/>
        <v>0</v>
      </c>
      <c r="FS61" s="728">
        <f t="shared" ca="1" si="60"/>
        <v>0</v>
      </c>
      <c r="FT61" s="729">
        <f t="shared" ca="1" si="60"/>
        <v>0</v>
      </c>
      <c r="FU61" s="729">
        <f t="shared" ca="1" si="60"/>
        <v>0</v>
      </c>
      <c r="FV61" s="730">
        <f t="shared" ca="1" si="60"/>
        <v>0</v>
      </c>
      <c r="FW61" s="728">
        <f t="shared" ca="1" si="60"/>
        <v>0</v>
      </c>
      <c r="FX61" s="729">
        <f t="shared" ca="1" si="60"/>
        <v>0</v>
      </c>
      <c r="FY61" s="729">
        <f t="shared" ca="1" si="60"/>
        <v>0</v>
      </c>
      <c r="FZ61" s="730">
        <f t="shared" ca="1" si="60"/>
        <v>0</v>
      </c>
      <c r="GA61" s="728">
        <f t="shared" si="60"/>
        <v>0</v>
      </c>
      <c r="GB61" s="729">
        <f t="shared" si="60"/>
        <v>0</v>
      </c>
      <c r="GC61" s="729">
        <f t="shared" si="60"/>
        <v>0</v>
      </c>
      <c r="GD61" s="730">
        <f t="shared" si="60"/>
        <v>0</v>
      </c>
    </row>
    <row r="62" spans="2:186" ht="17.100000000000001" customHeight="1">
      <c r="C62" s="307"/>
      <c r="D62" s="1351" t="s">
        <v>1256</v>
      </c>
      <c r="E62" s="1352"/>
      <c r="F62" s="1353">
        <f t="shared" ca="1" si="48"/>
        <v>0</v>
      </c>
      <c r="G62" s="1344">
        <f ca="1">'CF(Q)'!W25</f>
        <v>0</v>
      </c>
      <c r="H62" s="1345">
        <f ca="1">'CF(Q)'!X25</f>
        <v>0</v>
      </c>
      <c r="I62" s="1345">
        <f ca="1">'CF(Q)'!Y25</f>
        <v>0</v>
      </c>
      <c r="J62" s="1346">
        <f ca="1">'CF(Q)'!Z25</f>
        <v>0</v>
      </c>
      <c r="K62" s="1344">
        <f ca="1">'CF(Q)'!AA25</f>
        <v>0</v>
      </c>
      <c r="L62" s="1345">
        <f ca="1">'CF(Q)'!AB25</f>
        <v>0</v>
      </c>
      <c r="M62" s="1345">
        <f ca="1">'CF(Q)'!AC25</f>
        <v>0</v>
      </c>
      <c r="N62" s="1346">
        <f ca="1">'CF(Q)'!AD25</f>
        <v>0</v>
      </c>
      <c r="O62" s="1347">
        <f ca="1">'CF(Q)'!AE25</f>
        <v>0</v>
      </c>
      <c r="P62" s="1348">
        <f ca="1">'CF(Q)'!AF25</f>
        <v>0</v>
      </c>
      <c r="Q62" s="1348">
        <f ca="1">'CF(Q)'!AG25</f>
        <v>0</v>
      </c>
      <c r="R62" s="1349">
        <f ca="1">'CF(Q)'!AH25</f>
        <v>0</v>
      </c>
      <c r="S62" s="1347">
        <f ca="1">'CF(Q)'!AI25</f>
        <v>0</v>
      </c>
      <c r="T62" s="1348">
        <f ca="1">'CF(Q)'!AJ25</f>
        <v>0</v>
      </c>
      <c r="U62" s="1348">
        <f ca="1">'CF(Q)'!AK25</f>
        <v>0</v>
      </c>
      <c r="V62" s="1349">
        <f ca="1">'CF(Q)'!AL25</f>
        <v>0</v>
      </c>
      <c r="W62" s="1347">
        <f ca="1">'CF(Q)'!AM25</f>
        <v>0</v>
      </c>
      <c r="X62" s="1348">
        <f ca="1">'CF(Q)'!AN25</f>
        <v>0</v>
      </c>
      <c r="Y62" s="1348">
        <f ca="1">'CF(Q)'!AO25</f>
        <v>0</v>
      </c>
      <c r="Z62" s="1349">
        <f ca="1">'CF(Q)'!AP25</f>
        <v>0</v>
      </c>
      <c r="AA62" s="1347">
        <f ca="1">'CF(Q)'!AQ25</f>
        <v>0</v>
      </c>
      <c r="AB62" s="1348">
        <f ca="1">'CF(Q)'!AR25</f>
        <v>0</v>
      </c>
      <c r="AC62" s="1348">
        <f ca="1">'CF(Q)'!AS25</f>
        <v>0</v>
      </c>
      <c r="AD62" s="1349">
        <f ca="1">'CF(Q)'!AT25</f>
        <v>0</v>
      </c>
      <c r="AE62" s="1347">
        <f ca="1">'CF(Q)'!AU25</f>
        <v>0</v>
      </c>
      <c r="AF62" s="1348">
        <f ca="1">'CF(Q)'!AV25</f>
        <v>0</v>
      </c>
      <c r="AG62" s="1348">
        <f ca="1">'CF(Q)'!AW25</f>
        <v>0</v>
      </c>
      <c r="AH62" s="1349">
        <f ca="1">'CF(Q)'!AX25</f>
        <v>0</v>
      </c>
      <c r="AI62" s="1347">
        <f ca="1">'CF(Q)'!AY25</f>
        <v>0</v>
      </c>
      <c r="AJ62" s="1348">
        <f ca="1">'CF(Q)'!AZ25</f>
        <v>0</v>
      </c>
      <c r="AK62" s="1348">
        <f ca="1">'CF(Q)'!BA25</f>
        <v>0</v>
      </c>
      <c r="AL62" s="1349">
        <f ca="1">'CF(Q)'!BB25</f>
        <v>0</v>
      </c>
      <c r="AM62" s="1347">
        <f ca="1">'CF(Q)'!BC25</f>
        <v>0</v>
      </c>
      <c r="AN62" s="1348">
        <f ca="1">'CF(Q)'!BD25</f>
        <v>0</v>
      </c>
      <c r="AO62" s="1348">
        <f ca="1">'CF(Q)'!BE25</f>
        <v>0</v>
      </c>
      <c r="AP62" s="1349">
        <f ca="1">'CF(Q)'!BF25</f>
        <v>0</v>
      </c>
      <c r="AQ62" s="1347">
        <f ca="1">'CF(Q)'!BG25</f>
        <v>0</v>
      </c>
      <c r="AR62" s="1348">
        <f ca="1">'CF(Q)'!BH25</f>
        <v>0</v>
      </c>
      <c r="AS62" s="1348">
        <f ca="1">'CF(Q)'!BI25</f>
        <v>0</v>
      </c>
      <c r="AT62" s="1349">
        <f ca="1">'CF(Q)'!BJ25</f>
        <v>0</v>
      </c>
      <c r="AU62" s="1347">
        <f ca="1">'CF(Q)'!BK25</f>
        <v>0</v>
      </c>
      <c r="AV62" s="1348">
        <f ca="1">'CF(Q)'!BL25</f>
        <v>0</v>
      </c>
      <c r="AW62" s="1348">
        <f ca="1">'CF(Q)'!BM25</f>
        <v>0</v>
      </c>
      <c r="AX62" s="1349">
        <f ca="1">'CF(Q)'!BN25</f>
        <v>0</v>
      </c>
      <c r="AY62" s="1347">
        <f ca="1">'CF(Q)'!BO25</f>
        <v>0</v>
      </c>
      <c r="AZ62" s="1348">
        <f ca="1">'CF(Q)'!BP25</f>
        <v>0</v>
      </c>
      <c r="BA62" s="1348">
        <f ca="1">'CF(Q)'!BQ25</f>
        <v>0</v>
      </c>
      <c r="BB62" s="1349">
        <f ca="1">'CF(Q)'!BR25</f>
        <v>0</v>
      </c>
      <c r="BC62" s="1347">
        <f ca="1">'CF(Q)'!BS25</f>
        <v>0</v>
      </c>
      <c r="BD62" s="1348">
        <f ca="1">'CF(Q)'!BT25</f>
        <v>0</v>
      </c>
      <c r="BE62" s="1348">
        <f ca="1">'CF(Q)'!BU25</f>
        <v>0</v>
      </c>
      <c r="BF62" s="1349">
        <f ca="1">'CF(Q)'!BV25</f>
        <v>0</v>
      </c>
      <c r="BG62" s="1347">
        <f ca="1">'CF(Q)'!BW25</f>
        <v>0</v>
      </c>
      <c r="BH62" s="1348">
        <f ca="1">'CF(Q)'!BX25</f>
        <v>0</v>
      </c>
      <c r="BI62" s="1348">
        <f ca="1">'CF(Q)'!BY25</f>
        <v>0</v>
      </c>
      <c r="BJ62" s="1349">
        <f ca="1">'CF(Q)'!BZ25</f>
        <v>0</v>
      </c>
      <c r="BK62" s="1347">
        <f ca="1">'CF(Q)'!CA25</f>
        <v>0</v>
      </c>
      <c r="BL62" s="1348">
        <f ca="1">'CF(Q)'!CB25</f>
        <v>0</v>
      </c>
      <c r="BM62" s="1348">
        <f ca="1">'CF(Q)'!CC25</f>
        <v>0</v>
      </c>
      <c r="BN62" s="1349">
        <f ca="1">'CF(Q)'!CD25</f>
        <v>0</v>
      </c>
      <c r="BO62" s="1347">
        <f ca="1">'CF(Q)'!CE25</f>
        <v>0</v>
      </c>
      <c r="BP62" s="1348">
        <f ca="1">'CF(Q)'!CF25</f>
        <v>0</v>
      </c>
      <c r="BQ62" s="1348">
        <f ca="1">'CF(Q)'!CG25</f>
        <v>0</v>
      </c>
      <c r="BR62" s="1349">
        <f ca="1">'CF(Q)'!CH25</f>
        <v>0</v>
      </c>
      <c r="BS62" s="1347">
        <f ca="1">'CF(Q)'!CI25</f>
        <v>0</v>
      </c>
      <c r="BT62" s="1348">
        <f ca="1">'CF(Q)'!CJ25</f>
        <v>0</v>
      </c>
      <c r="BU62" s="1348">
        <f ca="1">'CF(Q)'!CK25</f>
        <v>0</v>
      </c>
      <c r="BV62" s="1349">
        <f ca="1">'CF(Q)'!CL25</f>
        <v>0</v>
      </c>
      <c r="BW62" s="1347">
        <f ca="1">'CF(Q)'!CM25</f>
        <v>0</v>
      </c>
      <c r="BX62" s="1348">
        <f ca="1">'CF(Q)'!CN25</f>
        <v>0</v>
      </c>
      <c r="BY62" s="1348">
        <f ca="1">'CF(Q)'!CO25</f>
        <v>0</v>
      </c>
      <c r="BZ62" s="1349">
        <f ca="1">'CF(Q)'!CP25</f>
        <v>0</v>
      </c>
      <c r="CA62" s="1347">
        <f ca="1">'CF(Q)'!CQ25</f>
        <v>0</v>
      </c>
      <c r="CB62" s="1348">
        <f ca="1">'CF(Q)'!CR25</f>
        <v>0</v>
      </c>
      <c r="CC62" s="1348">
        <f ca="1">'CF(Q)'!CS25</f>
        <v>0</v>
      </c>
      <c r="CD62" s="1349">
        <f ca="1">'CF(Q)'!CT25</f>
        <v>0</v>
      </c>
      <c r="CE62" s="1347">
        <f ca="1">'CF(Q)'!CU25</f>
        <v>0</v>
      </c>
      <c r="CF62" s="1348">
        <f ca="1">'CF(Q)'!CV25</f>
        <v>0</v>
      </c>
      <c r="CG62" s="1348">
        <f ca="1">'CF(Q)'!CW25</f>
        <v>0</v>
      </c>
      <c r="CH62" s="1349">
        <f ca="1">'CF(Q)'!CX25</f>
        <v>0</v>
      </c>
      <c r="CI62" s="1347">
        <f ca="1">'CF(Q)'!CY25</f>
        <v>0</v>
      </c>
      <c r="CJ62" s="1348">
        <f ca="1">'CF(Q)'!CZ25</f>
        <v>0</v>
      </c>
      <c r="CK62" s="1348">
        <f ca="1">'CF(Q)'!DA25</f>
        <v>0</v>
      </c>
      <c r="CL62" s="1349">
        <f ca="1">'CF(Q)'!DB25</f>
        <v>0</v>
      </c>
      <c r="CM62" s="1347">
        <f ca="1">'CF(Q)'!DC25</f>
        <v>0</v>
      </c>
      <c r="CN62" s="1348">
        <f ca="1">'CF(Q)'!DD25</f>
        <v>0</v>
      </c>
      <c r="CO62" s="1348">
        <f ca="1">'CF(Q)'!DE25</f>
        <v>0</v>
      </c>
      <c r="CP62" s="1349">
        <f ca="1">'CF(Q)'!DF25</f>
        <v>0</v>
      </c>
      <c r="CQ62" s="1347">
        <f ca="1">'CF(Q)'!DG25</f>
        <v>0</v>
      </c>
      <c r="CR62" s="1348">
        <f ca="1">'CF(Q)'!DH25</f>
        <v>0</v>
      </c>
      <c r="CS62" s="1348">
        <f ca="1">'CF(Q)'!DI25</f>
        <v>0</v>
      </c>
      <c r="CT62" s="1349">
        <f ca="1">'CF(Q)'!DJ25</f>
        <v>0</v>
      </c>
      <c r="CU62" s="1347">
        <f ca="1">'CF(Q)'!DK25</f>
        <v>0</v>
      </c>
      <c r="CV62" s="1348">
        <f ca="1">'CF(Q)'!DL25</f>
        <v>0</v>
      </c>
      <c r="CW62" s="1348">
        <f ca="1">'CF(Q)'!DM25</f>
        <v>0</v>
      </c>
      <c r="CX62" s="1349">
        <f ca="1">'CF(Q)'!DN25</f>
        <v>0</v>
      </c>
      <c r="CY62" s="1347">
        <f ca="1">'CF(Q)'!DO25</f>
        <v>0</v>
      </c>
      <c r="CZ62" s="1348">
        <f ca="1">'CF(Q)'!DP25</f>
        <v>0</v>
      </c>
      <c r="DA62" s="1348">
        <f ca="1">'CF(Q)'!DQ25</f>
        <v>0</v>
      </c>
      <c r="DB62" s="1349">
        <f ca="1">'CF(Q)'!DR25</f>
        <v>0</v>
      </c>
      <c r="DC62" s="1347">
        <f ca="1">'CF(Q)'!DS25</f>
        <v>0</v>
      </c>
      <c r="DD62" s="1348">
        <f ca="1">'CF(Q)'!DT25</f>
        <v>0</v>
      </c>
      <c r="DE62" s="1348">
        <f ca="1">'CF(Q)'!DU25</f>
        <v>0</v>
      </c>
      <c r="DF62" s="1349">
        <f ca="1">'CF(Q)'!DV25</f>
        <v>0</v>
      </c>
      <c r="DG62" s="1347">
        <f ca="1">'CF(Q)'!DW25</f>
        <v>0</v>
      </c>
      <c r="DH62" s="1348">
        <f ca="1">'CF(Q)'!DX25</f>
        <v>0</v>
      </c>
      <c r="DI62" s="1348">
        <f ca="1">'CF(Q)'!DY25</f>
        <v>0</v>
      </c>
      <c r="DJ62" s="1349">
        <f ca="1">'CF(Q)'!DZ25</f>
        <v>0</v>
      </c>
      <c r="DK62" s="1347">
        <f ca="1">'CF(Q)'!EA25</f>
        <v>0</v>
      </c>
      <c r="DL62" s="1348">
        <f ca="1">'CF(Q)'!EB25</f>
        <v>0</v>
      </c>
      <c r="DM62" s="1348">
        <f ca="1">'CF(Q)'!EC25</f>
        <v>0</v>
      </c>
      <c r="DN62" s="1349">
        <f ca="1">'CF(Q)'!ED25</f>
        <v>0</v>
      </c>
      <c r="DO62" s="1347">
        <f ca="1">'CF(Q)'!EE25</f>
        <v>0</v>
      </c>
      <c r="DP62" s="1348">
        <f ca="1">'CF(Q)'!EF25</f>
        <v>0</v>
      </c>
      <c r="DQ62" s="1348">
        <f ca="1">'CF(Q)'!EG25</f>
        <v>0</v>
      </c>
      <c r="DR62" s="1349">
        <f ca="1">'CF(Q)'!EH25</f>
        <v>0</v>
      </c>
      <c r="DS62" s="1347">
        <f ca="1">'CF(Q)'!EI25</f>
        <v>0</v>
      </c>
      <c r="DT62" s="1348">
        <f ca="1">'CF(Q)'!EJ25</f>
        <v>0</v>
      </c>
      <c r="DU62" s="1348">
        <f ca="1">'CF(Q)'!EK25</f>
        <v>0</v>
      </c>
      <c r="DV62" s="1349">
        <f ca="1">'CF(Q)'!EL25</f>
        <v>0</v>
      </c>
      <c r="DW62" s="1347">
        <f ca="1">'CF(Q)'!EM25</f>
        <v>0</v>
      </c>
      <c r="DX62" s="1348">
        <f ca="1">'CF(Q)'!EN25</f>
        <v>0</v>
      </c>
      <c r="DY62" s="1348">
        <f ca="1">'CF(Q)'!EO25</f>
        <v>0</v>
      </c>
      <c r="DZ62" s="1349">
        <f ca="1">'CF(Q)'!EP25</f>
        <v>0</v>
      </c>
      <c r="EA62" s="1347">
        <f ca="1">'CF(Q)'!EQ25</f>
        <v>0</v>
      </c>
      <c r="EB62" s="1348">
        <f ca="1">'CF(Q)'!ER25</f>
        <v>0</v>
      </c>
      <c r="EC62" s="1348">
        <f ca="1">'CF(Q)'!ES25</f>
        <v>0</v>
      </c>
      <c r="ED62" s="1349">
        <f ca="1">'CF(Q)'!ET25</f>
        <v>0</v>
      </c>
      <c r="EE62" s="1347">
        <f ca="1">'CF(Q)'!EU25</f>
        <v>0</v>
      </c>
      <c r="EF62" s="1348">
        <f ca="1">'CF(Q)'!EV25</f>
        <v>0</v>
      </c>
      <c r="EG62" s="1348">
        <f ca="1">'CF(Q)'!EW25</f>
        <v>0</v>
      </c>
      <c r="EH62" s="1349">
        <f ca="1">'CF(Q)'!EX25</f>
        <v>0</v>
      </c>
      <c r="EI62" s="1347">
        <f ca="1">'CF(Q)'!EY25</f>
        <v>0</v>
      </c>
      <c r="EJ62" s="1348">
        <f ca="1">'CF(Q)'!EZ25</f>
        <v>0</v>
      </c>
      <c r="EK62" s="1348">
        <f ca="1">'CF(Q)'!FA25</f>
        <v>0</v>
      </c>
      <c r="EL62" s="1349">
        <f ca="1">'CF(Q)'!FB25</f>
        <v>0</v>
      </c>
      <c r="EM62" s="1347">
        <f ca="1">'CF(Q)'!FC25</f>
        <v>0</v>
      </c>
      <c r="EN62" s="1348">
        <f ca="1">'CF(Q)'!FD25</f>
        <v>0</v>
      </c>
      <c r="EO62" s="1348">
        <f ca="1">'CF(Q)'!FE25</f>
        <v>0</v>
      </c>
      <c r="EP62" s="1349">
        <f ca="1">'CF(Q)'!FF25</f>
        <v>0</v>
      </c>
      <c r="EQ62" s="1347">
        <f ca="1">'CF(Q)'!FG25</f>
        <v>0</v>
      </c>
      <c r="ER62" s="1348">
        <f ca="1">'CF(Q)'!FH25</f>
        <v>0</v>
      </c>
      <c r="ES62" s="1348">
        <f ca="1">'CF(Q)'!FI25</f>
        <v>0</v>
      </c>
      <c r="ET62" s="1349">
        <f ca="1">'CF(Q)'!FJ25</f>
        <v>0</v>
      </c>
      <c r="EU62" s="1347">
        <f ca="1">'CF(Q)'!FK25</f>
        <v>0</v>
      </c>
      <c r="EV62" s="1348">
        <f ca="1">'CF(Q)'!FL25</f>
        <v>0</v>
      </c>
      <c r="EW62" s="1348">
        <f ca="1">'CF(Q)'!FM25</f>
        <v>0</v>
      </c>
      <c r="EX62" s="1349">
        <f ca="1">'CF(Q)'!FN25</f>
        <v>0</v>
      </c>
      <c r="EY62" s="1347">
        <f ca="1">'CF(Q)'!FO25</f>
        <v>0</v>
      </c>
      <c r="EZ62" s="1348">
        <f ca="1">'CF(Q)'!FP25</f>
        <v>0</v>
      </c>
      <c r="FA62" s="1348">
        <f ca="1">'CF(Q)'!FQ25</f>
        <v>0</v>
      </c>
      <c r="FB62" s="1349">
        <f ca="1">'CF(Q)'!FR25</f>
        <v>0</v>
      </c>
      <c r="FC62" s="1347">
        <f ca="1">'CF(Q)'!FS25</f>
        <v>0</v>
      </c>
      <c r="FD62" s="1348">
        <f ca="1">'CF(Q)'!FT25</f>
        <v>0</v>
      </c>
      <c r="FE62" s="1348">
        <f ca="1">'CF(Q)'!FU25</f>
        <v>0</v>
      </c>
      <c r="FF62" s="1349">
        <f ca="1">'CF(Q)'!FV25</f>
        <v>0</v>
      </c>
      <c r="FG62" s="1347">
        <f ca="1">'CF(Q)'!FW25</f>
        <v>0</v>
      </c>
      <c r="FH62" s="1348">
        <f ca="1">'CF(Q)'!FX25</f>
        <v>0</v>
      </c>
      <c r="FI62" s="1348">
        <f ca="1">'CF(Q)'!FY25</f>
        <v>0</v>
      </c>
      <c r="FJ62" s="1349">
        <f ca="1">'CF(Q)'!FZ25</f>
        <v>0</v>
      </c>
      <c r="FK62" s="1347">
        <f ca="1">'CF(Q)'!GA25</f>
        <v>0</v>
      </c>
      <c r="FL62" s="1348">
        <f ca="1">'CF(Q)'!GB25</f>
        <v>0</v>
      </c>
      <c r="FM62" s="1348">
        <f ca="1">'CF(Q)'!GC25</f>
        <v>0</v>
      </c>
      <c r="FN62" s="1349">
        <f ca="1">'CF(Q)'!GD25</f>
        <v>0</v>
      </c>
      <c r="FO62" s="1347">
        <f>'CF(Q)'!GE25</f>
        <v>0</v>
      </c>
      <c r="FP62" s="1348">
        <f>'CF(Q)'!GF25</f>
        <v>0</v>
      </c>
      <c r="FQ62" s="1348">
        <f>'CF(Q)'!GG25</f>
        <v>0</v>
      </c>
      <c r="FR62" s="1349">
        <f>'CF(Q)'!GH25</f>
        <v>0</v>
      </c>
      <c r="FS62" s="1347">
        <f>'CF(Q)'!GI25</f>
        <v>0</v>
      </c>
      <c r="FT62" s="1348">
        <f>'CF(Q)'!GJ25</f>
        <v>0</v>
      </c>
      <c r="FU62" s="1348">
        <f>'CF(Q)'!GK25</f>
        <v>0</v>
      </c>
      <c r="FV62" s="1349">
        <f>'CF(Q)'!GL25</f>
        <v>0</v>
      </c>
      <c r="FW62" s="1347">
        <f>'CF(Q)'!GM25</f>
        <v>0</v>
      </c>
      <c r="FX62" s="1348">
        <f>'CF(Q)'!GN25</f>
        <v>0</v>
      </c>
      <c r="FY62" s="1348">
        <f>'CF(Q)'!GO25</f>
        <v>0</v>
      </c>
      <c r="FZ62" s="1349">
        <f>'CF(Q)'!GP25</f>
        <v>0</v>
      </c>
      <c r="GA62" s="1347">
        <f>'CF(Q)'!GQ25</f>
        <v>0</v>
      </c>
      <c r="GB62" s="1348">
        <f>'CF(Q)'!GR25</f>
        <v>0</v>
      </c>
      <c r="GC62" s="1348">
        <f>'CF(Q)'!GS25</f>
        <v>0</v>
      </c>
      <c r="GD62" s="1349">
        <f>'CF(Q)'!GT25</f>
        <v>0</v>
      </c>
    </row>
    <row r="63" spans="2:186" ht="17.100000000000001" customHeight="1">
      <c r="C63" s="952"/>
      <c r="D63" s="1324" t="s">
        <v>1249</v>
      </c>
      <c r="E63" s="747"/>
      <c r="F63" s="953">
        <f t="shared" ca="1" si="48"/>
        <v>13139.418287826784</v>
      </c>
      <c r="G63" s="1354">
        <f ca="1">SUM(G56:G62)</f>
        <v>65.878731299485466</v>
      </c>
      <c r="H63" s="1355">
        <f t="shared" ref="H63:BS63" ca="1" si="61">SUM(H56:H62)</f>
        <v>56.40843082957565</v>
      </c>
      <c r="I63" s="1355">
        <f t="shared" ca="1" si="61"/>
        <v>73.763253529575607</v>
      </c>
      <c r="J63" s="1356">
        <f t="shared" ca="1" si="61"/>
        <v>43.215749649575635</v>
      </c>
      <c r="K63" s="1354">
        <f t="shared" ca="1" si="61"/>
        <v>61.982557907646161</v>
      </c>
      <c r="L63" s="1355">
        <f t="shared" ca="1" si="61"/>
        <v>69.139462432046514</v>
      </c>
      <c r="M63" s="1355">
        <f t="shared" ca="1" si="61"/>
        <v>62.513526998425341</v>
      </c>
      <c r="N63" s="1356">
        <f t="shared" ca="1" si="61"/>
        <v>64.080331718425327</v>
      </c>
      <c r="O63" s="735">
        <f t="shared" ca="1" si="61"/>
        <v>61.969588378425335</v>
      </c>
      <c r="P63" s="736">
        <f t="shared" ca="1" si="61"/>
        <v>68.314736200219258</v>
      </c>
      <c r="Q63" s="736">
        <f t="shared" ca="1" si="61"/>
        <v>53.608465171758674</v>
      </c>
      <c r="R63" s="737">
        <f t="shared" ca="1" si="61"/>
        <v>59.183609974388979</v>
      </c>
      <c r="S63" s="735">
        <f t="shared" ca="1" si="61"/>
        <v>62.940604075979564</v>
      </c>
      <c r="T63" s="736">
        <f t="shared" ca="1" si="61"/>
        <v>63.340604075979563</v>
      </c>
      <c r="U63" s="736">
        <f t="shared" ca="1" si="61"/>
        <v>62.940604075979564</v>
      </c>
      <c r="V63" s="737">
        <f t="shared" ca="1" si="61"/>
        <v>62.940604075979564</v>
      </c>
      <c r="W63" s="735">
        <f t="shared" ca="1" si="61"/>
        <v>63.95412838655708</v>
      </c>
      <c r="X63" s="736">
        <f t="shared" ca="1" si="61"/>
        <v>63.95412838655708</v>
      </c>
      <c r="Y63" s="736">
        <f t="shared" ca="1" si="61"/>
        <v>63.95412838655708</v>
      </c>
      <c r="Z63" s="737">
        <f t="shared" ca="1" si="61"/>
        <v>63.95412838655708</v>
      </c>
      <c r="AA63" s="735">
        <f t="shared" ca="1" si="61"/>
        <v>64.710222348185511</v>
      </c>
      <c r="AB63" s="736">
        <f t="shared" ca="1" si="61"/>
        <v>64.710222348185511</v>
      </c>
      <c r="AC63" s="736">
        <f t="shared" ca="1" si="61"/>
        <v>64.710222348185511</v>
      </c>
      <c r="AD63" s="737">
        <f t="shared" ca="1" si="61"/>
        <v>64.710222348185511</v>
      </c>
      <c r="AE63" s="735">
        <f t="shared" ca="1" si="61"/>
        <v>65.736156817879049</v>
      </c>
      <c r="AF63" s="736">
        <f t="shared" ca="1" si="61"/>
        <v>65.736156817879049</v>
      </c>
      <c r="AG63" s="736">
        <f t="shared" ca="1" si="61"/>
        <v>65.736156817879049</v>
      </c>
      <c r="AH63" s="737">
        <f t="shared" ca="1" si="61"/>
        <v>65.736156817879049</v>
      </c>
      <c r="AI63" s="735">
        <f t="shared" ca="1" si="61"/>
        <v>66.407110140105345</v>
      </c>
      <c r="AJ63" s="736">
        <f t="shared" ca="1" si="61"/>
        <v>66.407110140105345</v>
      </c>
      <c r="AK63" s="736">
        <f t="shared" ca="1" si="61"/>
        <v>66.407110140105345</v>
      </c>
      <c r="AL63" s="737">
        <f t="shared" ca="1" si="61"/>
        <v>66.407110140105345</v>
      </c>
      <c r="AM63" s="735">
        <f t="shared" ca="1" si="61"/>
        <v>68.148285302844513</v>
      </c>
      <c r="AN63" s="736">
        <f t="shared" ca="1" si="61"/>
        <v>68.148285302844513</v>
      </c>
      <c r="AO63" s="736">
        <f t="shared" ca="1" si="61"/>
        <v>68.148285302844513</v>
      </c>
      <c r="AP63" s="737">
        <f t="shared" ca="1" si="61"/>
        <v>68.148285302844513</v>
      </c>
      <c r="AQ63" s="735">
        <f t="shared" ca="1" si="61"/>
        <v>69.26820809736536</v>
      </c>
      <c r="AR63" s="736">
        <f t="shared" ca="1" si="61"/>
        <v>69.26820809736536</v>
      </c>
      <c r="AS63" s="736">
        <f t="shared" ca="1" si="61"/>
        <v>69.26820809736536</v>
      </c>
      <c r="AT63" s="737">
        <f t="shared" ca="1" si="61"/>
        <v>69.26820809736536</v>
      </c>
      <c r="AU63" s="735">
        <f t="shared" ca="1" si="61"/>
        <v>72.142456481815302</v>
      </c>
      <c r="AV63" s="736">
        <f t="shared" ca="1" si="61"/>
        <v>72.142456481815302</v>
      </c>
      <c r="AW63" s="736">
        <f t="shared" ca="1" si="61"/>
        <v>72.142456481815302</v>
      </c>
      <c r="AX63" s="737">
        <f t="shared" ca="1" si="61"/>
        <v>72.142456481815302</v>
      </c>
      <c r="AY63" s="735">
        <f t="shared" ca="1" si="61"/>
        <v>72.042460600117749</v>
      </c>
      <c r="AZ63" s="736">
        <f t="shared" ca="1" si="61"/>
        <v>72.042460600117749</v>
      </c>
      <c r="BA63" s="736">
        <f t="shared" ca="1" si="61"/>
        <v>72.042460600117749</v>
      </c>
      <c r="BB63" s="737">
        <f t="shared" ca="1" si="61"/>
        <v>72.042460600117749</v>
      </c>
      <c r="BC63" s="735">
        <f t="shared" ca="1" si="61"/>
        <v>74.288547702422676</v>
      </c>
      <c r="BD63" s="736">
        <f t="shared" ca="1" si="61"/>
        <v>74.288547702422676</v>
      </c>
      <c r="BE63" s="736">
        <f t="shared" ca="1" si="61"/>
        <v>74.288547702422676</v>
      </c>
      <c r="BF63" s="737">
        <f t="shared" ca="1" si="61"/>
        <v>74.288547702422676</v>
      </c>
      <c r="BG63" s="735">
        <f t="shared" ca="1" si="61"/>
        <v>75.060463918968409</v>
      </c>
      <c r="BH63" s="736">
        <f t="shared" ca="1" si="61"/>
        <v>75.060463918968409</v>
      </c>
      <c r="BI63" s="736">
        <f t="shared" ca="1" si="61"/>
        <v>75.060463918968409</v>
      </c>
      <c r="BJ63" s="737">
        <f t="shared" ca="1" si="61"/>
        <v>75.060463918968409</v>
      </c>
      <c r="BK63" s="735">
        <f t="shared" ca="1" si="61"/>
        <v>76.263713428187472</v>
      </c>
      <c r="BL63" s="736">
        <f t="shared" ca="1" si="61"/>
        <v>76.263713428187472</v>
      </c>
      <c r="BM63" s="736">
        <f t="shared" ca="1" si="61"/>
        <v>76.263713428187472</v>
      </c>
      <c r="BN63" s="737">
        <f t="shared" ca="1" si="61"/>
        <v>76.263713428187472</v>
      </c>
      <c r="BO63" s="735">
        <f t="shared" ca="1" si="61"/>
        <v>77.238400476111195</v>
      </c>
      <c r="BP63" s="736">
        <f t="shared" ca="1" si="61"/>
        <v>77.238400476111195</v>
      </c>
      <c r="BQ63" s="736">
        <f t="shared" ca="1" si="61"/>
        <v>77.238400476111195</v>
      </c>
      <c r="BR63" s="737">
        <f t="shared" ca="1" si="61"/>
        <v>77.238400476111195</v>
      </c>
      <c r="BS63" s="735">
        <f t="shared" ca="1" si="61"/>
        <v>79.738916367452106</v>
      </c>
      <c r="BT63" s="736">
        <f t="shared" ref="BT63:EE63" ca="1" si="62">SUM(BT56:BT62)</f>
        <v>79.738916367452106</v>
      </c>
      <c r="BU63" s="736">
        <f t="shared" ca="1" si="62"/>
        <v>79.738916367452106</v>
      </c>
      <c r="BV63" s="737">
        <f t="shared" ca="1" si="62"/>
        <v>79.738916367452106</v>
      </c>
      <c r="BW63" s="735">
        <f t="shared" ca="1" si="62"/>
        <v>80.278400130937399</v>
      </c>
      <c r="BX63" s="736">
        <f t="shared" ca="1" si="62"/>
        <v>80.278400130937399</v>
      </c>
      <c r="BY63" s="736">
        <f t="shared" ca="1" si="62"/>
        <v>80.278400130937399</v>
      </c>
      <c r="BZ63" s="737">
        <f t="shared" ca="1" si="62"/>
        <v>80.278400130937399</v>
      </c>
      <c r="CA63" s="735">
        <f t="shared" ca="1" si="62"/>
        <v>81.71495817844287</v>
      </c>
      <c r="CB63" s="736">
        <f t="shared" ca="1" si="62"/>
        <v>81.71495817844287</v>
      </c>
      <c r="CC63" s="736">
        <f t="shared" ca="1" si="62"/>
        <v>81.71495817844287</v>
      </c>
      <c r="CD63" s="737">
        <f t="shared" ca="1" si="62"/>
        <v>81.71495817844287</v>
      </c>
      <c r="CE63" s="735">
        <f t="shared" ca="1" si="62"/>
        <v>83.858345641665451</v>
      </c>
      <c r="CF63" s="736">
        <f t="shared" ca="1" si="62"/>
        <v>83.858345641665451</v>
      </c>
      <c r="CG63" s="736">
        <f t="shared" ca="1" si="62"/>
        <v>83.858345641665451</v>
      </c>
      <c r="CH63" s="737">
        <f t="shared" ca="1" si="62"/>
        <v>83.858345641665451</v>
      </c>
      <c r="CI63" s="735">
        <f t="shared" ca="1" si="62"/>
        <v>87.452074465756453</v>
      </c>
      <c r="CJ63" s="736">
        <f t="shared" ca="1" si="62"/>
        <v>87.452074465756453</v>
      </c>
      <c r="CK63" s="736">
        <f t="shared" ca="1" si="62"/>
        <v>87.452074465756453</v>
      </c>
      <c r="CL63" s="737">
        <f t="shared" ca="1" si="62"/>
        <v>87.452074465756453</v>
      </c>
      <c r="CM63" s="735">
        <f t="shared" ca="1" si="62"/>
        <v>84.160522261247323</v>
      </c>
      <c r="CN63" s="736">
        <f t="shared" ca="1" si="62"/>
        <v>84.160522261247323</v>
      </c>
      <c r="CO63" s="736">
        <f t="shared" ca="1" si="62"/>
        <v>84.160522261247323</v>
      </c>
      <c r="CP63" s="737">
        <f t="shared" ca="1" si="62"/>
        <v>84.160522261247323</v>
      </c>
      <c r="CQ63" s="735">
        <f t="shared" ca="1" si="62"/>
        <v>84.448250608550239</v>
      </c>
      <c r="CR63" s="736">
        <f t="shared" ca="1" si="62"/>
        <v>84.448250608550239</v>
      </c>
      <c r="CS63" s="736">
        <f t="shared" ca="1" si="62"/>
        <v>84.448250608550239</v>
      </c>
      <c r="CT63" s="737">
        <f t="shared" ca="1" si="62"/>
        <v>84.448250608550239</v>
      </c>
      <c r="CU63" s="735">
        <f t="shared" ca="1" si="62"/>
        <v>85.458496076741</v>
      </c>
      <c r="CV63" s="736">
        <f t="shared" ca="1" si="62"/>
        <v>85.458496076741</v>
      </c>
      <c r="CW63" s="736">
        <f t="shared" ca="1" si="62"/>
        <v>85.458496076741</v>
      </c>
      <c r="CX63" s="737">
        <f t="shared" ca="1" si="62"/>
        <v>85.458496076741</v>
      </c>
      <c r="CY63" s="735">
        <f t="shared" ca="1" si="62"/>
        <v>86.911582388283733</v>
      </c>
      <c r="CZ63" s="736">
        <f t="shared" ca="1" si="62"/>
        <v>86.911582388283733</v>
      </c>
      <c r="DA63" s="736">
        <f t="shared" ca="1" si="62"/>
        <v>86.911582388283733</v>
      </c>
      <c r="DB63" s="737">
        <f t="shared" ca="1" si="62"/>
        <v>86.911582388283733</v>
      </c>
      <c r="DC63" s="735">
        <f t="shared" ca="1" si="62"/>
        <v>87.641252962078653</v>
      </c>
      <c r="DD63" s="736">
        <f t="shared" ca="1" si="62"/>
        <v>87.641252962078653</v>
      </c>
      <c r="DE63" s="736">
        <f t="shared" ca="1" si="62"/>
        <v>87.641252962078653</v>
      </c>
      <c r="DF63" s="737">
        <f t="shared" ca="1" si="62"/>
        <v>87.641252962078653</v>
      </c>
      <c r="DG63" s="735">
        <f t="shared" ca="1" si="62"/>
        <v>89.759069233276051</v>
      </c>
      <c r="DH63" s="736">
        <f t="shared" ca="1" si="62"/>
        <v>89.759069233276051</v>
      </c>
      <c r="DI63" s="736">
        <f t="shared" ca="1" si="62"/>
        <v>89.759069233276051</v>
      </c>
      <c r="DJ63" s="737">
        <f t="shared" ca="1" si="62"/>
        <v>89.759069233276051</v>
      </c>
      <c r="DK63" s="735">
        <f t="shared" ca="1" si="62"/>
        <v>89.798809350703451</v>
      </c>
      <c r="DL63" s="736">
        <f t="shared" ca="1" si="62"/>
        <v>89.798809350703451</v>
      </c>
      <c r="DM63" s="736">
        <f t="shared" ca="1" si="62"/>
        <v>89.798809350703451</v>
      </c>
      <c r="DN63" s="737">
        <f t="shared" ca="1" si="62"/>
        <v>89.798809350703451</v>
      </c>
      <c r="DO63" s="735">
        <f t="shared" ca="1" si="62"/>
        <v>92.145194840083576</v>
      </c>
      <c r="DP63" s="736">
        <f t="shared" ca="1" si="62"/>
        <v>92.145194840083576</v>
      </c>
      <c r="DQ63" s="736">
        <f t="shared" ca="1" si="62"/>
        <v>92.145194840083576</v>
      </c>
      <c r="DR63" s="737">
        <f t="shared" ca="1" si="62"/>
        <v>92.145194840083576</v>
      </c>
      <c r="DS63" s="735">
        <f t="shared" ca="1" si="62"/>
        <v>93.652161267898578</v>
      </c>
      <c r="DT63" s="736">
        <f t="shared" ca="1" si="62"/>
        <v>93.652161267898578</v>
      </c>
      <c r="DU63" s="736">
        <f t="shared" ca="1" si="62"/>
        <v>93.652161267898578</v>
      </c>
      <c r="DV63" s="737">
        <f t="shared" ca="1" si="62"/>
        <v>93.652161267898578</v>
      </c>
      <c r="DW63" s="735">
        <f t="shared" ca="1" si="62"/>
        <v>97.084455324945679</v>
      </c>
      <c r="DX63" s="736">
        <f t="shared" ca="1" si="62"/>
        <v>97.084455324945679</v>
      </c>
      <c r="DY63" s="736">
        <f t="shared" ca="1" si="62"/>
        <v>97.084455324945679</v>
      </c>
      <c r="DZ63" s="737">
        <f t="shared" ca="1" si="62"/>
        <v>97.084455324945679</v>
      </c>
      <c r="EA63" s="735">
        <f t="shared" ca="1" si="62"/>
        <v>96.256122197544457</v>
      </c>
      <c r="EB63" s="736">
        <f t="shared" ca="1" si="62"/>
        <v>96.256122197544457</v>
      </c>
      <c r="EC63" s="736">
        <f t="shared" ca="1" si="62"/>
        <v>96.256122197544457</v>
      </c>
      <c r="ED63" s="737">
        <f t="shared" ca="1" si="62"/>
        <v>96.256122197544457</v>
      </c>
      <c r="EE63" s="735">
        <f t="shared" ca="1" si="62"/>
        <v>97.86703921840865</v>
      </c>
      <c r="EF63" s="736">
        <f t="shared" ref="EF63:GD63" ca="1" si="63">SUM(EF56:EF62)</f>
        <v>97.86703921840865</v>
      </c>
      <c r="EG63" s="736">
        <f t="shared" ca="1" si="63"/>
        <v>97.86703921840865</v>
      </c>
      <c r="EH63" s="737">
        <f t="shared" ca="1" si="63"/>
        <v>97.86703921840865</v>
      </c>
      <c r="EI63" s="735">
        <f t="shared" ca="1" si="63"/>
        <v>99.705495487329159</v>
      </c>
      <c r="EJ63" s="736">
        <f t="shared" ca="1" si="63"/>
        <v>99.705495487329159</v>
      </c>
      <c r="EK63" s="736">
        <f t="shared" ca="1" si="63"/>
        <v>99.705495487329159</v>
      </c>
      <c r="EL63" s="737">
        <f t="shared" ca="1" si="63"/>
        <v>99.705495487329159</v>
      </c>
      <c r="EM63" s="735">
        <f t="shared" ca="1" si="63"/>
        <v>100.48372028434275</v>
      </c>
      <c r="EN63" s="736">
        <f t="shared" ca="1" si="63"/>
        <v>100.48372028434275</v>
      </c>
      <c r="EO63" s="736">
        <f t="shared" ca="1" si="63"/>
        <v>100.48372028434275</v>
      </c>
      <c r="EP63" s="737">
        <f t="shared" ca="1" si="63"/>
        <v>100.48372028434275</v>
      </c>
      <c r="EQ63" s="735">
        <f t="shared" ca="1" si="63"/>
        <v>101.13102934185176</v>
      </c>
      <c r="ER63" s="736">
        <f t="shared" ca="1" si="63"/>
        <v>101.13102934185176</v>
      </c>
      <c r="ES63" s="736">
        <f t="shared" ca="1" si="63"/>
        <v>101.13102934185176</v>
      </c>
      <c r="ET63" s="737">
        <f t="shared" ca="1" si="63"/>
        <v>101.13102934185176</v>
      </c>
      <c r="EU63" s="735">
        <f t="shared" ca="1" si="63"/>
        <v>102.04731967743933</v>
      </c>
      <c r="EV63" s="736">
        <f t="shared" ca="1" si="63"/>
        <v>102.04731967743933</v>
      </c>
      <c r="EW63" s="736">
        <f t="shared" ca="1" si="63"/>
        <v>102.04731967743933</v>
      </c>
      <c r="EX63" s="737">
        <f t="shared" ca="1" si="63"/>
        <v>102.04731967743933</v>
      </c>
      <c r="EY63" s="735">
        <f t="shared" ca="1" si="63"/>
        <v>102.38714942394246</v>
      </c>
      <c r="EZ63" s="736">
        <f t="shared" ca="1" si="63"/>
        <v>102.38714942394246</v>
      </c>
      <c r="FA63" s="736">
        <f t="shared" ca="1" si="63"/>
        <v>102.38714942394246</v>
      </c>
      <c r="FB63" s="737">
        <f t="shared" ca="1" si="63"/>
        <v>102.38714942394246</v>
      </c>
      <c r="FC63" s="735">
        <f t="shared" ca="1" si="63"/>
        <v>104.84836395780034</v>
      </c>
      <c r="FD63" s="736">
        <f t="shared" ca="1" si="63"/>
        <v>104.84836395780034</v>
      </c>
      <c r="FE63" s="736">
        <f t="shared" ca="1" si="63"/>
        <v>104.84836395780034</v>
      </c>
      <c r="FF63" s="737">
        <f t="shared" ca="1" si="63"/>
        <v>104.84836395780034</v>
      </c>
      <c r="FG63" s="735">
        <f t="shared" ca="1" si="63"/>
        <v>105.53900167963366</v>
      </c>
      <c r="FH63" s="736">
        <f t="shared" ca="1" si="63"/>
        <v>105.53900167963366</v>
      </c>
      <c r="FI63" s="736">
        <f t="shared" ca="1" si="63"/>
        <v>105.53900167963366</v>
      </c>
      <c r="FJ63" s="737">
        <f t="shared" ca="1" si="63"/>
        <v>105.53900167963366</v>
      </c>
      <c r="FK63" s="735">
        <f t="shared" ca="1" si="63"/>
        <v>148.68520648364216</v>
      </c>
      <c r="FL63" s="736">
        <f t="shared" ca="1" si="63"/>
        <v>148.68520648364216</v>
      </c>
      <c r="FM63" s="736">
        <f t="shared" ca="1" si="63"/>
        <v>54.148761281559693</v>
      </c>
      <c r="FN63" s="737">
        <f t="shared" ca="1" si="63"/>
        <v>54.148761281559693</v>
      </c>
      <c r="FO63" s="735">
        <f t="shared" ca="1" si="63"/>
        <v>0</v>
      </c>
      <c r="FP63" s="736">
        <f t="shared" ca="1" si="63"/>
        <v>0</v>
      </c>
      <c r="FQ63" s="736">
        <f t="shared" ca="1" si="63"/>
        <v>0</v>
      </c>
      <c r="FR63" s="737">
        <f t="shared" ca="1" si="63"/>
        <v>0</v>
      </c>
      <c r="FS63" s="735">
        <f t="shared" ca="1" si="63"/>
        <v>0</v>
      </c>
      <c r="FT63" s="736">
        <f t="shared" ca="1" si="63"/>
        <v>0</v>
      </c>
      <c r="FU63" s="736">
        <f t="shared" ca="1" si="63"/>
        <v>0</v>
      </c>
      <c r="FV63" s="737">
        <f t="shared" ca="1" si="63"/>
        <v>0</v>
      </c>
      <c r="FW63" s="735">
        <f t="shared" ca="1" si="63"/>
        <v>0</v>
      </c>
      <c r="FX63" s="736">
        <f t="shared" ca="1" si="63"/>
        <v>0</v>
      </c>
      <c r="FY63" s="736">
        <f t="shared" ca="1" si="63"/>
        <v>0</v>
      </c>
      <c r="FZ63" s="737">
        <f t="shared" ca="1" si="63"/>
        <v>0</v>
      </c>
      <c r="GA63" s="735">
        <f t="shared" ca="1" si="63"/>
        <v>0</v>
      </c>
      <c r="GB63" s="736">
        <f t="shared" ca="1" si="63"/>
        <v>0</v>
      </c>
      <c r="GC63" s="736">
        <f t="shared" ca="1" si="63"/>
        <v>0</v>
      </c>
      <c r="GD63" s="737">
        <f t="shared" ca="1" si="63"/>
        <v>0</v>
      </c>
    </row>
    <row r="64" spans="2:186" ht="17.100000000000001" customHeight="1">
      <c r="D64" s="754"/>
      <c r="E64" s="755"/>
      <c r="F64" s="753"/>
      <c r="G64" s="788"/>
      <c r="H64" s="788"/>
      <c r="I64" s="788"/>
      <c r="J64" s="788"/>
      <c r="K64" s="788"/>
      <c r="L64" s="788"/>
      <c r="M64" s="788"/>
      <c r="N64" s="788"/>
      <c r="O64" s="788"/>
      <c r="P64" s="788"/>
      <c r="Q64" s="788"/>
      <c r="R64" s="788"/>
      <c r="S64" s="788"/>
      <c r="T64" s="788"/>
      <c r="U64" s="788"/>
      <c r="V64" s="788"/>
      <c r="W64" s="788"/>
      <c r="X64" s="788"/>
      <c r="Y64" s="788"/>
      <c r="Z64" s="788"/>
      <c r="AA64" s="788"/>
      <c r="AB64" s="788"/>
      <c r="AC64" s="788"/>
      <c r="AD64" s="788"/>
      <c r="AE64" s="788"/>
      <c r="AF64" s="788"/>
      <c r="AG64" s="788"/>
      <c r="AH64" s="788"/>
      <c r="AI64" s="788"/>
      <c r="AJ64" s="788"/>
      <c r="AK64" s="788"/>
      <c r="AL64" s="788"/>
      <c r="AM64" s="788"/>
      <c r="AN64" s="788"/>
      <c r="AO64" s="788"/>
      <c r="AP64" s="788"/>
      <c r="AQ64" s="788"/>
      <c r="AR64" s="788"/>
      <c r="AS64" s="788"/>
      <c r="AT64" s="788"/>
      <c r="AU64" s="788"/>
      <c r="AV64" s="788"/>
      <c r="AW64" s="788"/>
      <c r="AX64" s="788"/>
      <c r="AY64" s="788"/>
      <c r="AZ64" s="788"/>
      <c r="BA64" s="788"/>
      <c r="BB64" s="788"/>
      <c r="BC64" s="788"/>
      <c r="BD64" s="788"/>
      <c r="BE64" s="788"/>
      <c r="BF64" s="788"/>
      <c r="BG64" s="788"/>
      <c r="BH64" s="788"/>
      <c r="BI64" s="788"/>
      <c r="BJ64" s="788"/>
      <c r="BK64" s="788"/>
      <c r="BL64" s="788"/>
      <c r="BM64" s="788"/>
      <c r="BN64" s="788"/>
      <c r="BO64" s="788"/>
      <c r="BP64" s="788"/>
      <c r="BQ64" s="788"/>
      <c r="BR64" s="788"/>
      <c r="BS64" s="788"/>
      <c r="BT64" s="788"/>
      <c r="BU64" s="788"/>
      <c r="BV64" s="788"/>
      <c r="BW64" s="788"/>
      <c r="BX64" s="788"/>
      <c r="BY64" s="788"/>
      <c r="BZ64" s="788"/>
      <c r="CA64" s="788"/>
      <c r="CB64" s="788"/>
      <c r="CC64" s="788"/>
      <c r="CD64" s="788"/>
      <c r="CE64" s="788"/>
      <c r="CF64" s="788"/>
      <c r="CG64" s="788"/>
      <c r="CH64" s="788"/>
      <c r="CI64" s="788"/>
      <c r="CJ64" s="788"/>
      <c r="CK64" s="788"/>
      <c r="CL64" s="788"/>
      <c r="CM64" s="788"/>
      <c r="CN64" s="788"/>
      <c r="CO64" s="788"/>
      <c r="CP64" s="788"/>
      <c r="CQ64" s="788"/>
      <c r="CR64" s="788"/>
      <c r="CS64" s="788"/>
      <c r="CT64" s="788"/>
      <c r="CU64" s="788"/>
      <c r="CV64" s="788"/>
      <c r="CW64" s="788"/>
      <c r="CX64" s="788"/>
      <c r="CY64" s="788"/>
      <c r="CZ64" s="788"/>
      <c r="DA64" s="788"/>
      <c r="DB64" s="788"/>
      <c r="DC64" s="788"/>
      <c r="DD64" s="788"/>
      <c r="DE64" s="788"/>
      <c r="DF64" s="788"/>
      <c r="DG64" s="788"/>
      <c r="DH64" s="788"/>
      <c r="DI64" s="788"/>
      <c r="DJ64" s="788"/>
      <c r="DK64" s="788"/>
      <c r="DL64" s="788"/>
      <c r="DM64" s="788"/>
      <c r="DN64" s="788"/>
      <c r="DO64" s="788"/>
      <c r="DP64" s="788"/>
      <c r="DQ64" s="788"/>
      <c r="DR64" s="788"/>
      <c r="DS64" s="788"/>
      <c r="DT64" s="788"/>
      <c r="DU64" s="788"/>
      <c r="DV64" s="788"/>
      <c r="DW64" s="788"/>
      <c r="DX64" s="788"/>
      <c r="DY64" s="788"/>
      <c r="DZ64" s="788"/>
      <c r="EA64" s="788"/>
      <c r="EB64" s="788"/>
      <c r="EC64" s="788"/>
      <c r="ED64" s="788"/>
      <c r="EE64" s="788"/>
      <c r="EF64" s="788"/>
      <c r="EG64" s="788"/>
      <c r="EH64" s="788"/>
      <c r="EI64" s="788"/>
      <c r="EJ64" s="788"/>
      <c r="EK64" s="788"/>
      <c r="EL64" s="788"/>
      <c r="EM64" s="788"/>
      <c r="EN64" s="788"/>
      <c r="EO64" s="788"/>
      <c r="EP64" s="788"/>
      <c r="EQ64" s="788"/>
      <c r="ER64" s="788"/>
      <c r="ES64" s="788"/>
      <c r="ET64" s="788"/>
      <c r="EU64" s="788"/>
      <c r="EV64" s="788"/>
      <c r="EW64" s="788"/>
      <c r="EX64" s="788"/>
      <c r="EY64" s="788"/>
      <c r="EZ64" s="788"/>
      <c r="FA64" s="788"/>
      <c r="FB64" s="788"/>
      <c r="FC64" s="788"/>
      <c r="FD64" s="788"/>
      <c r="FE64" s="788"/>
      <c r="FF64" s="788"/>
      <c r="FG64" s="788"/>
      <c r="FH64" s="788"/>
      <c r="FI64" s="788"/>
      <c r="FJ64" s="788"/>
      <c r="FK64" s="788"/>
      <c r="FL64" s="788"/>
      <c r="FM64" s="788"/>
      <c r="FN64" s="788"/>
      <c r="FO64" s="788"/>
      <c r="FP64" s="788"/>
      <c r="FQ64" s="788"/>
      <c r="FR64" s="788"/>
      <c r="FS64" s="788"/>
      <c r="FT64" s="788"/>
      <c r="FU64" s="788"/>
      <c r="FV64" s="788"/>
      <c r="FW64" s="788"/>
      <c r="FX64" s="788"/>
      <c r="FY64" s="788"/>
      <c r="FZ64" s="788"/>
      <c r="GA64" s="788"/>
      <c r="GB64" s="788"/>
      <c r="GC64" s="788"/>
      <c r="GD64" s="788"/>
    </row>
    <row r="65" spans="2:186" ht="17.100000000000001" customHeight="1" outlineLevel="1">
      <c r="B65" s="414" t="s">
        <v>1257</v>
      </c>
      <c r="C65" s="414"/>
      <c r="E65" s="414"/>
      <c r="Q65" s="1357"/>
    </row>
    <row r="66" spans="2:186" ht="17.100000000000001" customHeight="1">
      <c r="C66" s="717"/>
      <c r="D66" s="718" t="s">
        <v>780</v>
      </c>
      <c r="E66" s="719"/>
      <c r="F66" s="719" t="s">
        <v>774</v>
      </c>
      <c r="G66" s="911">
        <f>기준분기</f>
        <v>43555</v>
      </c>
      <c r="H66" s="912">
        <f t="shared" ref="H66:BS66" si="64">EOMONTH(G66,3)</f>
        <v>43646</v>
      </c>
      <c r="I66" s="912">
        <f t="shared" si="64"/>
        <v>43738</v>
      </c>
      <c r="J66" s="913">
        <f t="shared" si="64"/>
        <v>43830</v>
      </c>
      <c r="K66" s="911">
        <f t="shared" si="64"/>
        <v>43921</v>
      </c>
      <c r="L66" s="912">
        <f t="shared" si="64"/>
        <v>44012</v>
      </c>
      <c r="M66" s="912">
        <f t="shared" si="64"/>
        <v>44104</v>
      </c>
      <c r="N66" s="913">
        <f t="shared" si="64"/>
        <v>44196</v>
      </c>
      <c r="O66" s="911">
        <f t="shared" si="64"/>
        <v>44286</v>
      </c>
      <c r="P66" s="912">
        <f t="shared" si="64"/>
        <v>44377</v>
      </c>
      <c r="Q66" s="912">
        <f t="shared" si="64"/>
        <v>44469</v>
      </c>
      <c r="R66" s="913">
        <f t="shared" si="64"/>
        <v>44561</v>
      </c>
      <c r="S66" s="911">
        <f t="shared" si="64"/>
        <v>44651</v>
      </c>
      <c r="T66" s="912">
        <f t="shared" si="64"/>
        <v>44742</v>
      </c>
      <c r="U66" s="912">
        <f t="shared" si="64"/>
        <v>44834</v>
      </c>
      <c r="V66" s="913">
        <f t="shared" si="64"/>
        <v>44926</v>
      </c>
      <c r="W66" s="911">
        <f t="shared" si="64"/>
        <v>45016</v>
      </c>
      <c r="X66" s="912">
        <f t="shared" si="64"/>
        <v>45107</v>
      </c>
      <c r="Y66" s="912">
        <f t="shared" si="64"/>
        <v>45199</v>
      </c>
      <c r="Z66" s="913">
        <f t="shared" si="64"/>
        <v>45291</v>
      </c>
      <c r="AA66" s="911">
        <f t="shared" si="64"/>
        <v>45382</v>
      </c>
      <c r="AB66" s="912">
        <f t="shared" si="64"/>
        <v>45473</v>
      </c>
      <c r="AC66" s="912">
        <f t="shared" si="64"/>
        <v>45565</v>
      </c>
      <c r="AD66" s="913">
        <f t="shared" si="64"/>
        <v>45657</v>
      </c>
      <c r="AE66" s="911">
        <f t="shared" si="64"/>
        <v>45747</v>
      </c>
      <c r="AF66" s="912">
        <f t="shared" si="64"/>
        <v>45838</v>
      </c>
      <c r="AG66" s="912">
        <f t="shared" si="64"/>
        <v>45930</v>
      </c>
      <c r="AH66" s="913">
        <f t="shared" si="64"/>
        <v>46022</v>
      </c>
      <c r="AI66" s="911">
        <f t="shared" si="64"/>
        <v>46112</v>
      </c>
      <c r="AJ66" s="912">
        <f t="shared" si="64"/>
        <v>46203</v>
      </c>
      <c r="AK66" s="912">
        <f t="shared" si="64"/>
        <v>46295</v>
      </c>
      <c r="AL66" s="913">
        <f t="shared" si="64"/>
        <v>46387</v>
      </c>
      <c r="AM66" s="911">
        <f t="shared" si="64"/>
        <v>46477</v>
      </c>
      <c r="AN66" s="912">
        <f t="shared" si="64"/>
        <v>46568</v>
      </c>
      <c r="AO66" s="912">
        <f t="shared" si="64"/>
        <v>46660</v>
      </c>
      <c r="AP66" s="913">
        <f t="shared" si="64"/>
        <v>46752</v>
      </c>
      <c r="AQ66" s="911">
        <f t="shared" si="64"/>
        <v>46843</v>
      </c>
      <c r="AR66" s="912">
        <f t="shared" si="64"/>
        <v>46934</v>
      </c>
      <c r="AS66" s="912">
        <f t="shared" si="64"/>
        <v>47026</v>
      </c>
      <c r="AT66" s="913">
        <f t="shared" si="64"/>
        <v>47118</v>
      </c>
      <c r="AU66" s="911">
        <f t="shared" si="64"/>
        <v>47208</v>
      </c>
      <c r="AV66" s="912">
        <f t="shared" si="64"/>
        <v>47299</v>
      </c>
      <c r="AW66" s="912">
        <f t="shared" si="64"/>
        <v>47391</v>
      </c>
      <c r="AX66" s="913">
        <f t="shared" si="64"/>
        <v>47483</v>
      </c>
      <c r="AY66" s="911">
        <f t="shared" si="64"/>
        <v>47573</v>
      </c>
      <c r="AZ66" s="912">
        <f t="shared" si="64"/>
        <v>47664</v>
      </c>
      <c r="BA66" s="912">
        <f t="shared" si="64"/>
        <v>47756</v>
      </c>
      <c r="BB66" s="913">
        <f t="shared" si="64"/>
        <v>47848</v>
      </c>
      <c r="BC66" s="911">
        <f t="shared" si="64"/>
        <v>47938</v>
      </c>
      <c r="BD66" s="912">
        <f t="shared" si="64"/>
        <v>48029</v>
      </c>
      <c r="BE66" s="912">
        <f t="shared" si="64"/>
        <v>48121</v>
      </c>
      <c r="BF66" s="913">
        <f t="shared" si="64"/>
        <v>48213</v>
      </c>
      <c r="BG66" s="911">
        <f t="shared" si="64"/>
        <v>48304</v>
      </c>
      <c r="BH66" s="912">
        <f t="shared" si="64"/>
        <v>48395</v>
      </c>
      <c r="BI66" s="912">
        <f t="shared" si="64"/>
        <v>48487</v>
      </c>
      <c r="BJ66" s="913">
        <f t="shared" si="64"/>
        <v>48579</v>
      </c>
      <c r="BK66" s="911">
        <f t="shared" si="64"/>
        <v>48669</v>
      </c>
      <c r="BL66" s="912">
        <f t="shared" si="64"/>
        <v>48760</v>
      </c>
      <c r="BM66" s="912">
        <f t="shared" si="64"/>
        <v>48852</v>
      </c>
      <c r="BN66" s="913">
        <f t="shared" si="64"/>
        <v>48944</v>
      </c>
      <c r="BO66" s="911">
        <f t="shared" si="64"/>
        <v>49034</v>
      </c>
      <c r="BP66" s="912">
        <f t="shared" si="64"/>
        <v>49125</v>
      </c>
      <c r="BQ66" s="912">
        <f t="shared" si="64"/>
        <v>49217</v>
      </c>
      <c r="BR66" s="913">
        <f t="shared" si="64"/>
        <v>49309</v>
      </c>
      <c r="BS66" s="911">
        <f t="shared" si="64"/>
        <v>49399</v>
      </c>
      <c r="BT66" s="912">
        <f t="shared" ref="BT66:EE66" si="65">EOMONTH(BS66,3)</f>
        <v>49490</v>
      </c>
      <c r="BU66" s="912">
        <f t="shared" si="65"/>
        <v>49582</v>
      </c>
      <c r="BV66" s="913">
        <f t="shared" si="65"/>
        <v>49674</v>
      </c>
      <c r="BW66" s="911">
        <f t="shared" si="65"/>
        <v>49765</v>
      </c>
      <c r="BX66" s="912">
        <f t="shared" si="65"/>
        <v>49856</v>
      </c>
      <c r="BY66" s="912">
        <f t="shared" si="65"/>
        <v>49948</v>
      </c>
      <c r="BZ66" s="913">
        <f t="shared" si="65"/>
        <v>50040</v>
      </c>
      <c r="CA66" s="911">
        <f t="shared" si="65"/>
        <v>50130</v>
      </c>
      <c r="CB66" s="912">
        <f t="shared" si="65"/>
        <v>50221</v>
      </c>
      <c r="CC66" s="912">
        <f t="shared" si="65"/>
        <v>50313</v>
      </c>
      <c r="CD66" s="913">
        <f t="shared" si="65"/>
        <v>50405</v>
      </c>
      <c r="CE66" s="911">
        <f t="shared" si="65"/>
        <v>50495</v>
      </c>
      <c r="CF66" s="912">
        <f t="shared" si="65"/>
        <v>50586</v>
      </c>
      <c r="CG66" s="912">
        <f t="shared" si="65"/>
        <v>50678</v>
      </c>
      <c r="CH66" s="913">
        <f t="shared" si="65"/>
        <v>50770</v>
      </c>
      <c r="CI66" s="911">
        <f t="shared" si="65"/>
        <v>50860</v>
      </c>
      <c r="CJ66" s="912">
        <f t="shared" si="65"/>
        <v>50951</v>
      </c>
      <c r="CK66" s="912">
        <f t="shared" si="65"/>
        <v>51043</v>
      </c>
      <c r="CL66" s="913">
        <f t="shared" si="65"/>
        <v>51135</v>
      </c>
      <c r="CM66" s="911">
        <f t="shared" si="65"/>
        <v>51226</v>
      </c>
      <c r="CN66" s="912">
        <f t="shared" si="65"/>
        <v>51317</v>
      </c>
      <c r="CO66" s="912">
        <f t="shared" si="65"/>
        <v>51409</v>
      </c>
      <c r="CP66" s="913">
        <f t="shared" si="65"/>
        <v>51501</v>
      </c>
      <c r="CQ66" s="911">
        <f t="shared" si="65"/>
        <v>51591</v>
      </c>
      <c r="CR66" s="912">
        <f t="shared" si="65"/>
        <v>51682</v>
      </c>
      <c r="CS66" s="912">
        <f t="shared" si="65"/>
        <v>51774</v>
      </c>
      <c r="CT66" s="913">
        <f t="shared" si="65"/>
        <v>51866</v>
      </c>
      <c r="CU66" s="911">
        <f t="shared" si="65"/>
        <v>51956</v>
      </c>
      <c r="CV66" s="912">
        <f t="shared" si="65"/>
        <v>52047</v>
      </c>
      <c r="CW66" s="912">
        <f t="shared" si="65"/>
        <v>52139</v>
      </c>
      <c r="CX66" s="913">
        <f t="shared" si="65"/>
        <v>52231</v>
      </c>
      <c r="CY66" s="911">
        <f t="shared" si="65"/>
        <v>52321</v>
      </c>
      <c r="CZ66" s="912">
        <f t="shared" si="65"/>
        <v>52412</v>
      </c>
      <c r="DA66" s="912">
        <f t="shared" si="65"/>
        <v>52504</v>
      </c>
      <c r="DB66" s="913">
        <f t="shared" si="65"/>
        <v>52596</v>
      </c>
      <c r="DC66" s="911">
        <f t="shared" si="65"/>
        <v>52687</v>
      </c>
      <c r="DD66" s="912">
        <f t="shared" si="65"/>
        <v>52778</v>
      </c>
      <c r="DE66" s="912">
        <f t="shared" si="65"/>
        <v>52870</v>
      </c>
      <c r="DF66" s="913">
        <f t="shared" si="65"/>
        <v>52962</v>
      </c>
      <c r="DG66" s="911">
        <f t="shared" si="65"/>
        <v>53052</v>
      </c>
      <c r="DH66" s="912">
        <f t="shared" si="65"/>
        <v>53143</v>
      </c>
      <c r="DI66" s="912">
        <f t="shared" si="65"/>
        <v>53235</v>
      </c>
      <c r="DJ66" s="913">
        <f t="shared" si="65"/>
        <v>53327</v>
      </c>
      <c r="DK66" s="911">
        <f t="shared" si="65"/>
        <v>53417</v>
      </c>
      <c r="DL66" s="912">
        <f t="shared" si="65"/>
        <v>53508</v>
      </c>
      <c r="DM66" s="912">
        <f t="shared" si="65"/>
        <v>53600</v>
      </c>
      <c r="DN66" s="913">
        <f t="shared" si="65"/>
        <v>53692</v>
      </c>
      <c r="DO66" s="911">
        <f t="shared" si="65"/>
        <v>53782</v>
      </c>
      <c r="DP66" s="912">
        <f t="shared" si="65"/>
        <v>53873</v>
      </c>
      <c r="DQ66" s="912">
        <f t="shared" si="65"/>
        <v>53965</v>
      </c>
      <c r="DR66" s="913">
        <f t="shared" si="65"/>
        <v>54057</v>
      </c>
      <c r="DS66" s="911">
        <f t="shared" si="65"/>
        <v>54148</v>
      </c>
      <c r="DT66" s="912">
        <f t="shared" si="65"/>
        <v>54239</v>
      </c>
      <c r="DU66" s="912">
        <f t="shared" si="65"/>
        <v>54331</v>
      </c>
      <c r="DV66" s="913">
        <f t="shared" si="65"/>
        <v>54423</v>
      </c>
      <c r="DW66" s="911">
        <f t="shared" si="65"/>
        <v>54513</v>
      </c>
      <c r="DX66" s="912">
        <f t="shared" si="65"/>
        <v>54604</v>
      </c>
      <c r="DY66" s="912">
        <f t="shared" si="65"/>
        <v>54696</v>
      </c>
      <c r="DZ66" s="913">
        <f t="shared" si="65"/>
        <v>54788</v>
      </c>
      <c r="EA66" s="911">
        <f t="shared" si="65"/>
        <v>54878</v>
      </c>
      <c r="EB66" s="912">
        <f t="shared" si="65"/>
        <v>54969</v>
      </c>
      <c r="EC66" s="912">
        <f t="shared" si="65"/>
        <v>55061</v>
      </c>
      <c r="ED66" s="913">
        <f t="shared" si="65"/>
        <v>55153</v>
      </c>
      <c r="EE66" s="911">
        <f t="shared" si="65"/>
        <v>55243</v>
      </c>
      <c r="EF66" s="912">
        <f t="shared" ref="EF66:GD66" si="66">EOMONTH(EE66,3)</f>
        <v>55334</v>
      </c>
      <c r="EG66" s="912">
        <f t="shared" si="66"/>
        <v>55426</v>
      </c>
      <c r="EH66" s="913">
        <f t="shared" si="66"/>
        <v>55518</v>
      </c>
      <c r="EI66" s="911">
        <f t="shared" si="66"/>
        <v>55609</v>
      </c>
      <c r="EJ66" s="912">
        <f t="shared" si="66"/>
        <v>55700</v>
      </c>
      <c r="EK66" s="912">
        <f t="shared" si="66"/>
        <v>55792</v>
      </c>
      <c r="EL66" s="913">
        <f t="shared" si="66"/>
        <v>55884</v>
      </c>
      <c r="EM66" s="911">
        <f t="shared" si="66"/>
        <v>55974</v>
      </c>
      <c r="EN66" s="912">
        <f t="shared" si="66"/>
        <v>56065</v>
      </c>
      <c r="EO66" s="912">
        <f t="shared" si="66"/>
        <v>56157</v>
      </c>
      <c r="EP66" s="913">
        <f t="shared" si="66"/>
        <v>56249</v>
      </c>
      <c r="EQ66" s="911">
        <f t="shared" si="66"/>
        <v>56339</v>
      </c>
      <c r="ER66" s="912">
        <f t="shared" si="66"/>
        <v>56430</v>
      </c>
      <c r="ES66" s="912">
        <f t="shared" si="66"/>
        <v>56522</v>
      </c>
      <c r="ET66" s="913">
        <f t="shared" si="66"/>
        <v>56614</v>
      </c>
      <c r="EU66" s="911">
        <f t="shared" si="66"/>
        <v>56704</v>
      </c>
      <c r="EV66" s="912">
        <f t="shared" si="66"/>
        <v>56795</v>
      </c>
      <c r="EW66" s="912">
        <f t="shared" si="66"/>
        <v>56887</v>
      </c>
      <c r="EX66" s="913">
        <f t="shared" si="66"/>
        <v>56979</v>
      </c>
      <c r="EY66" s="911">
        <f t="shared" si="66"/>
        <v>57070</v>
      </c>
      <c r="EZ66" s="912">
        <f t="shared" si="66"/>
        <v>57161</v>
      </c>
      <c r="FA66" s="912">
        <f t="shared" si="66"/>
        <v>57253</v>
      </c>
      <c r="FB66" s="913">
        <f t="shared" si="66"/>
        <v>57345</v>
      </c>
      <c r="FC66" s="911">
        <f t="shared" si="66"/>
        <v>57435</v>
      </c>
      <c r="FD66" s="912">
        <f t="shared" si="66"/>
        <v>57526</v>
      </c>
      <c r="FE66" s="912">
        <f t="shared" si="66"/>
        <v>57618</v>
      </c>
      <c r="FF66" s="913">
        <f t="shared" si="66"/>
        <v>57710</v>
      </c>
      <c r="FG66" s="911">
        <f t="shared" si="66"/>
        <v>57800</v>
      </c>
      <c r="FH66" s="912">
        <f t="shared" si="66"/>
        <v>57891</v>
      </c>
      <c r="FI66" s="912">
        <f t="shared" si="66"/>
        <v>57983</v>
      </c>
      <c r="FJ66" s="913">
        <f t="shared" si="66"/>
        <v>58075</v>
      </c>
      <c r="FK66" s="911">
        <f t="shared" si="66"/>
        <v>58165</v>
      </c>
      <c r="FL66" s="912">
        <f t="shared" si="66"/>
        <v>58256</v>
      </c>
      <c r="FM66" s="912">
        <f t="shared" si="66"/>
        <v>58348</v>
      </c>
      <c r="FN66" s="913">
        <f t="shared" si="66"/>
        <v>58440</v>
      </c>
      <c r="FO66" s="911">
        <f t="shared" si="66"/>
        <v>58531</v>
      </c>
      <c r="FP66" s="912">
        <f t="shared" si="66"/>
        <v>58622</v>
      </c>
      <c r="FQ66" s="912">
        <f t="shared" si="66"/>
        <v>58714</v>
      </c>
      <c r="FR66" s="913">
        <f t="shared" si="66"/>
        <v>58806</v>
      </c>
      <c r="FS66" s="911">
        <f t="shared" si="66"/>
        <v>58896</v>
      </c>
      <c r="FT66" s="912">
        <f t="shared" si="66"/>
        <v>58987</v>
      </c>
      <c r="FU66" s="912">
        <f t="shared" si="66"/>
        <v>59079</v>
      </c>
      <c r="FV66" s="913">
        <f t="shared" si="66"/>
        <v>59171</v>
      </c>
      <c r="FW66" s="911">
        <f t="shared" si="66"/>
        <v>59261</v>
      </c>
      <c r="FX66" s="912">
        <f t="shared" si="66"/>
        <v>59352</v>
      </c>
      <c r="FY66" s="912">
        <f t="shared" si="66"/>
        <v>59444</v>
      </c>
      <c r="FZ66" s="913">
        <f t="shared" si="66"/>
        <v>59536</v>
      </c>
      <c r="GA66" s="911">
        <f t="shared" si="66"/>
        <v>59626</v>
      </c>
      <c r="GB66" s="912">
        <f t="shared" si="66"/>
        <v>59717</v>
      </c>
      <c r="GC66" s="912">
        <f t="shared" si="66"/>
        <v>59809</v>
      </c>
      <c r="GD66" s="913">
        <f t="shared" si="66"/>
        <v>59901</v>
      </c>
    </row>
    <row r="67" spans="2:186" ht="17.100000000000001" customHeight="1" outlineLevel="1">
      <c r="C67" s="720"/>
      <c r="D67" s="315" t="s">
        <v>1258</v>
      </c>
      <c r="E67" s="722"/>
      <c r="F67" s="1260">
        <f>SUM(O67:FB67)</f>
        <v>0</v>
      </c>
      <c r="G67" s="1264"/>
      <c r="H67" s="1265"/>
      <c r="I67" s="1265"/>
      <c r="J67" s="1266"/>
      <c r="K67" s="1264"/>
      <c r="L67" s="1265"/>
      <c r="M67" s="1265"/>
      <c r="N67" s="1266"/>
      <c r="O67" s="1264"/>
      <c r="P67" s="1265"/>
      <c r="Q67" s="1265"/>
      <c r="R67" s="1266"/>
      <c r="S67" s="1264"/>
      <c r="T67" s="1265"/>
      <c r="U67" s="1265"/>
      <c r="V67" s="1266"/>
      <c r="W67" s="1264"/>
      <c r="X67" s="1265"/>
      <c r="Y67" s="1265"/>
      <c r="Z67" s="1266"/>
      <c r="AA67" s="1264"/>
      <c r="AB67" s="1265"/>
      <c r="AC67" s="1265"/>
      <c r="AD67" s="1266"/>
      <c r="AE67" s="1264"/>
      <c r="AF67" s="1265"/>
      <c r="AG67" s="1265"/>
      <c r="AH67" s="1266"/>
      <c r="AI67" s="1264"/>
      <c r="AJ67" s="1265"/>
      <c r="AK67" s="1265"/>
      <c r="AL67" s="1266"/>
      <c r="AM67" s="1264"/>
      <c r="AN67" s="1265"/>
      <c r="AO67" s="1265"/>
      <c r="AP67" s="1266"/>
      <c r="AQ67" s="1264"/>
      <c r="AR67" s="1265"/>
      <c r="AS67" s="1265"/>
      <c r="AT67" s="1266"/>
      <c r="AU67" s="1264"/>
      <c r="AV67" s="1265"/>
      <c r="AW67" s="1265"/>
      <c r="AX67" s="1266"/>
      <c r="AY67" s="1264"/>
      <c r="AZ67" s="1265"/>
      <c r="BA67" s="1265"/>
      <c r="BB67" s="1266"/>
      <c r="BC67" s="1264"/>
      <c r="BD67" s="1265"/>
      <c r="BE67" s="1265"/>
      <c r="BF67" s="1266"/>
      <c r="BG67" s="1264"/>
      <c r="BH67" s="1265"/>
      <c r="BI67" s="1265"/>
      <c r="BJ67" s="1266"/>
      <c r="BK67" s="1264"/>
      <c r="BL67" s="1265"/>
      <c r="BM67" s="1265"/>
      <c r="BN67" s="1266"/>
      <c r="BO67" s="1264"/>
      <c r="BP67" s="1265"/>
      <c r="BQ67" s="1265"/>
      <c r="BR67" s="1266"/>
      <c r="BS67" s="1264"/>
      <c r="BT67" s="1265"/>
      <c r="BU67" s="1265"/>
      <c r="BV67" s="1266"/>
      <c r="BW67" s="1264"/>
      <c r="BX67" s="1265"/>
      <c r="BY67" s="1265"/>
      <c r="BZ67" s="1266"/>
      <c r="CA67" s="1264"/>
      <c r="CB67" s="1265"/>
      <c r="CC67" s="1265"/>
      <c r="CD67" s="1266"/>
      <c r="CE67" s="1264"/>
      <c r="CF67" s="1265"/>
      <c r="CG67" s="1265"/>
      <c r="CH67" s="1266"/>
      <c r="CI67" s="1264"/>
      <c r="CJ67" s="1265"/>
      <c r="CK67" s="1265"/>
      <c r="CL67" s="1266"/>
      <c r="CM67" s="1264"/>
      <c r="CN67" s="1265"/>
      <c r="CO67" s="1265"/>
      <c r="CP67" s="1266"/>
      <c r="CQ67" s="1264"/>
      <c r="CR67" s="1265"/>
      <c r="CS67" s="1265"/>
      <c r="CT67" s="1266"/>
      <c r="CU67" s="1264"/>
      <c r="CV67" s="1265"/>
      <c r="CW67" s="1265"/>
      <c r="CX67" s="1266"/>
      <c r="CY67" s="1264"/>
      <c r="CZ67" s="1265"/>
      <c r="DA67" s="1265"/>
      <c r="DB67" s="1266"/>
      <c r="DC67" s="1264"/>
      <c r="DD67" s="1265"/>
      <c r="DE67" s="1265"/>
      <c r="DF67" s="1266"/>
      <c r="DG67" s="1264"/>
      <c r="DH67" s="1265"/>
      <c r="DI67" s="1265"/>
      <c r="DJ67" s="1266"/>
      <c r="DK67" s="1264"/>
      <c r="DL67" s="1265"/>
      <c r="DM67" s="1265"/>
      <c r="DN67" s="1266"/>
      <c r="DO67" s="1264"/>
      <c r="DP67" s="1265"/>
      <c r="DQ67" s="1265"/>
      <c r="DR67" s="1266"/>
      <c r="DS67" s="1264"/>
      <c r="DT67" s="1265"/>
      <c r="DU67" s="1265"/>
      <c r="DV67" s="1266"/>
      <c r="DW67" s="1264"/>
      <c r="DX67" s="1265"/>
      <c r="DY67" s="1265"/>
      <c r="DZ67" s="1266"/>
      <c r="EA67" s="1264"/>
      <c r="EB67" s="1265"/>
      <c r="EC67" s="1265"/>
      <c r="ED67" s="1266"/>
      <c r="EE67" s="1264"/>
      <c r="EF67" s="1265"/>
      <c r="EG67" s="1265"/>
      <c r="EH67" s="1266"/>
      <c r="EI67" s="1264"/>
      <c r="EJ67" s="1265"/>
      <c r="EK67" s="1265"/>
      <c r="EL67" s="1266"/>
      <c r="EM67" s="1264"/>
      <c r="EN67" s="1265"/>
      <c r="EO67" s="1265"/>
      <c r="EP67" s="1266"/>
      <c r="EQ67" s="1264"/>
      <c r="ER67" s="1265"/>
      <c r="ES67" s="1265"/>
      <c r="ET67" s="1266"/>
      <c r="EU67" s="1264"/>
      <c r="EV67" s="1265"/>
      <c r="EW67" s="1265"/>
      <c r="EX67" s="1266"/>
      <c r="EY67" s="1264"/>
      <c r="EZ67" s="1265"/>
      <c r="FA67" s="1265"/>
      <c r="FB67" s="1266"/>
      <c r="FC67" s="1264"/>
      <c r="FD67" s="1265"/>
      <c r="FE67" s="1265"/>
      <c r="FF67" s="1266"/>
      <c r="FG67" s="1264"/>
      <c r="FH67" s="1265"/>
      <c r="FI67" s="1265"/>
      <c r="FJ67" s="1266"/>
      <c r="FK67" s="1264"/>
      <c r="FL67" s="1265"/>
      <c r="FM67" s="1265"/>
      <c r="FN67" s="1266"/>
      <c r="FO67" s="1264"/>
      <c r="FP67" s="1265"/>
      <c r="FQ67" s="1265"/>
      <c r="FR67" s="1266"/>
      <c r="FS67" s="1264"/>
      <c r="FT67" s="1265"/>
      <c r="FU67" s="1265"/>
      <c r="FV67" s="1266"/>
      <c r="FW67" s="1264"/>
      <c r="FX67" s="1265"/>
      <c r="FY67" s="1265"/>
      <c r="FZ67" s="1266"/>
      <c r="GA67" s="1264"/>
      <c r="GB67" s="1265"/>
      <c r="GC67" s="1265"/>
      <c r="GD67" s="1266"/>
    </row>
    <row r="68" spans="2:186" ht="17.100000000000001" customHeight="1" outlineLevel="1">
      <c r="C68" s="720"/>
      <c r="D68" s="315" t="s">
        <v>1259</v>
      </c>
      <c r="E68" s="722"/>
      <c r="F68" s="1260">
        <f t="shared" ref="F68:F69" si="67">SUM(O68:FB68)</f>
        <v>0</v>
      </c>
      <c r="G68" s="1264"/>
      <c r="H68" s="1265"/>
      <c r="I68" s="1265"/>
      <c r="J68" s="1266"/>
      <c r="K68" s="1264"/>
      <c r="L68" s="1265"/>
      <c r="M68" s="1265"/>
      <c r="N68" s="1266"/>
      <c r="O68" s="1264"/>
      <c r="P68" s="1265"/>
      <c r="Q68" s="1265"/>
      <c r="R68" s="1266"/>
      <c r="S68" s="1264"/>
      <c r="T68" s="1265"/>
      <c r="U68" s="1265"/>
      <c r="V68" s="1266"/>
      <c r="W68" s="1264"/>
      <c r="X68" s="1265"/>
      <c r="Y68" s="1265"/>
      <c r="Z68" s="1266"/>
      <c r="AA68" s="1264"/>
      <c r="AB68" s="1265"/>
      <c r="AC68" s="1265"/>
      <c r="AD68" s="1266"/>
      <c r="AE68" s="1264"/>
      <c r="AF68" s="1265"/>
      <c r="AG68" s="1265"/>
      <c r="AH68" s="1266"/>
      <c r="AI68" s="1264"/>
      <c r="AJ68" s="1265"/>
      <c r="AK68" s="1265"/>
      <c r="AL68" s="1266"/>
      <c r="AM68" s="1264"/>
      <c r="AN68" s="1265"/>
      <c r="AO68" s="1265"/>
      <c r="AP68" s="1266"/>
      <c r="AQ68" s="1264"/>
      <c r="AR68" s="1265"/>
      <c r="AS68" s="1265"/>
      <c r="AT68" s="1266"/>
      <c r="AU68" s="1264"/>
      <c r="AV68" s="1265"/>
      <c r="AW68" s="1265"/>
      <c r="AX68" s="1266"/>
      <c r="AY68" s="1264"/>
      <c r="AZ68" s="1265"/>
      <c r="BA68" s="1265"/>
      <c r="BB68" s="1266"/>
      <c r="BC68" s="1264"/>
      <c r="BD68" s="1265"/>
      <c r="BE68" s="1265"/>
      <c r="BF68" s="1266"/>
      <c r="BG68" s="1264"/>
      <c r="BH68" s="1265"/>
      <c r="BI68" s="1265"/>
      <c r="BJ68" s="1266"/>
      <c r="BK68" s="1264"/>
      <c r="BL68" s="1265"/>
      <c r="BM68" s="1265"/>
      <c r="BN68" s="1266"/>
      <c r="BO68" s="1264"/>
      <c r="BP68" s="1265"/>
      <c r="BQ68" s="1265"/>
      <c r="BR68" s="1266"/>
      <c r="BS68" s="1264"/>
      <c r="BT68" s="1265"/>
      <c r="BU68" s="1265"/>
      <c r="BV68" s="1266"/>
      <c r="BW68" s="1264"/>
      <c r="BX68" s="1265"/>
      <c r="BY68" s="1265"/>
      <c r="BZ68" s="1266"/>
      <c r="CA68" s="1264"/>
      <c r="CB68" s="1265"/>
      <c r="CC68" s="1265"/>
      <c r="CD68" s="1266"/>
      <c r="CE68" s="1264"/>
      <c r="CF68" s="1265"/>
      <c r="CG68" s="1265"/>
      <c r="CH68" s="1266"/>
      <c r="CI68" s="1264"/>
      <c r="CJ68" s="1265"/>
      <c r="CK68" s="1265"/>
      <c r="CL68" s="1266"/>
      <c r="CM68" s="1264"/>
      <c r="CN68" s="1265"/>
      <c r="CO68" s="1265"/>
      <c r="CP68" s="1266"/>
      <c r="CQ68" s="1264"/>
      <c r="CR68" s="1265"/>
      <c r="CS68" s="1265"/>
      <c r="CT68" s="1266"/>
      <c r="CU68" s="1264"/>
      <c r="CV68" s="1265"/>
      <c r="CW68" s="1265"/>
      <c r="CX68" s="1266"/>
      <c r="CY68" s="1264"/>
      <c r="CZ68" s="1265"/>
      <c r="DA68" s="1265"/>
      <c r="DB68" s="1266"/>
      <c r="DC68" s="1264"/>
      <c r="DD68" s="1265"/>
      <c r="DE68" s="1265"/>
      <c r="DF68" s="1266"/>
      <c r="DG68" s="1264"/>
      <c r="DH68" s="1265"/>
      <c r="DI68" s="1265"/>
      <c r="DJ68" s="1266"/>
      <c r="DK68" s="1264"/>
      <c r="DL68" s="1265"/>
      <c r="DM68" s="1265"/>
      <c r="DN68" s="1266"/>
      <c r="DO68" s="1264"/>
      <c r="DP68" s="1265"/>
      <c r="DQ68" s="1265"/>
      <c r="DR68" s="1266"/>
      <c r="DS68" s="1264"/>
      <c r="DT68" s="1265"/>
      <c r="DU68" s="1265"/>
      <c r="DV68" s="1266"/>
      <c r="DW68" s="1264"/>
      <c r="DX68" s="1265"/>
      <c r="DY68" s="1265"/>
      <c r="DZ68" s="1266"/>
      <c r="EA68" s="1264"/>
      <c r="EB68" s="1265"/>
      <c r="EC68" s="1265"/>
      <c r="ED68" s="1266"/>
      <c r="EE68" s="1264"/>
      <c r="EF68" s="1265"/>
      <c r="EG68" s="1265"/>
      <c r="EH68" s="1266"/>
      <c r="EI68" s="1264"/>
      <c r="EJ68" s="1265"/>
      <c r="EK68" s="1265"/>
      <c r="EL68" s="1266"/>
      <c r="EM68" s="1264"/>
      <c r="EN68" s="1265"/>
      <c r="EO68" s="1265"/>
      <c r="EP68" s="1266"/>
      <c r="EQ68" s="1264"/>
      <c r="ER68" s="1265"/>
      <c r="ES68" s="1265"/>
      <c r="ET68" s="1266"/>
      <c r="EU68" s="1264"/>
      <c r="EV68" s="1265"/>
      <c r="EW68" s="1265"/>
      <c r="EX68" s="1266"/>
      <c r="EY68" s="1264"/>
      <c r="EZ68" s="1265"/>
      <c r="FA68" s="1265"/>
      <c r="FB68" s="1266"/>
      <c r="FC68" s="1264"/>
      <c r="FD68" s="1265"/>
      <c r="FE68" s="1265"/>
      <c r="FF68" s="1266"/>
      <c r="FG68" s="1264"/>
      <c r="FH68" s="1265"/>
      <c r="FI68" s="1265"/>
      <c r="FJ68" s="1266"/>
      <c r="FK68" s="1264"/>
      <c r="FL68" s="1265"/>
      <c r="FM68" s="1265"/>
      <c r="FN68" s="1266"/>
      <c r="FO68" s="1264"/>
      <c r="FP68" s="1265"/>
      <c r="FQ68" s="1265"/>
      <c r="FR68" s="1266"/>
      <c r="FS68" s="1264"/>
      <c r="FT68" s="1265"/>
      <c r="FU68" s="1265"/>
      <c r="FV68" s="1266"/>
      <c r="FW68" s="1264"/>
      <c r="FX68" s="1265"/>
      <c r="FY68" s="1265"/>
      <c r="FZ68" s="1266"/>
      <c r="GA68" s="1264"/>
      <c r="GB68" s="1265"/>
      <c r="GC68" s="1265"/>
      <c r="GD68" s="1266"/>
    </row>
    <row r="69" spans="2:186" ht="17.100000000000001" customHeight="1" outlineLevel="1">
      <c r="C69" s="952"/>
      <c r="D69" s="707" t="s">
        <v>1260</v>
      </c>
      <c r="E69" s="747"/>
      <c r="F69" s="1283">
        <f t="shared" si="67"/>
        <v>0</v>
      </c>
      <c r="G69" s="1287"/>
      <c r="H69" s="1288"/>
      <c r="I69" s="1288"/>
      <c r="J69" s="1289"/>
      <c r="K69" s="1287"/>
      <c r="L69" s="1288"/>
      <c r="M69" s="1288"/>
      <c r="N69" s="1289"/>
      <c r="O69" s="1287"/>
      <c r="P69" s="1288"/>
      <c r="Q69" s="1288"/>
      <c r="R69" s="1289"/>
      <c r="S69" s="1287"/>
      <c r="T69" s="1288"/>
      <c r="U69" s="1288"/>
      <c r="V69" s="1289"/>
      <c r="W69" s="1287"/>
      <c r="X69" s="1288"/>
      <c r="Y69" s="1288"/>
      <c r="Z69" s="1289"/>
      <c r="AA69" s="1287"/>
      <c r="AB69" s="1288"/>
      <c r="AC69" s="1288"/>
      <c r="AD69" s="1289"/>
      <c r="AE69" s="1287"/>
      <c r="AF69" s="1288"/>
      <c r="AG69" s="1288"/>
      <c r="AH69" s="1289"/>
      <c r="AI69" s="1287"/>
      <c r="AJ69" s="1288"/>
      <c r="AK69" s="1288"/>
      <c r="AL69" s="1289"/>
      <c r="AM69" s="1287"/>
      <c r="AN69" s="1288"/>
      <c r="AO69" s="1288"/>
      <c r="AP69" s="1289"/>
      <c r="AQ69" s="1287"/>
      <c r="AR69" s="1288"/>
      <c r="AS69" s="1288"/>
      <c r="AT69" s="1289"/>
      <c r="AU69" s="1287"/>
      <c r="AV69" s="1288"/>
      <c r="AW69" s="1288"/>
      <c r="AX69" s="1289"/>
      <c r="AY69" s="1287"/>
      <c r="AZ69" s="1288"/>
      <c r="BA69" s="1288"/>
      <c r="BB69" s="1289"/>
      <c r="BC69" s="1287"/>
      <c r="BD69" s="1288"/>
      <c r="BE69" s="1288"/>
      <c r="BF69" s="1289"/>
      <c r="BG69" s="1287"/>
      <c r="BH69" s="1288"/>
      <c r="BI69" s="1288"/>
      <c r="BJ69" s="1289"/>
      <c r="BK69" s="1287"/>
      <c r="BL69" s="1288"/>
      <c r="BM69" s="1288"/>
      <c r="BN69" s="1289"/>
      <c r="BO69" s="1287"/>
      <c r="BP69" s="1288"/>
      <c r="BQ69" s="1288"/>
      <c r="BR69" s="1289"/>
      <c r="BS69" s="1287"/>
      <c r="BT69" s="1288"/>
      <c r="BU69" s="1288"/>
      <c r="BV69" s="1289"/>
      <c r="BW69" s="1287"/>
      <c r="BX69" s="1288"/>
      <c r="BY69" s="1288"/>
      <c r="BZ69" s="1289"/>
      <c r="CA69" s="1287"/>
      <c r="CB69" s="1288"/>
      <c r="CC69" s="1288"/>
      <c r="CD69" s="1289"/>
      <c r="CE69" s="1287"/>
      <c r="CF69" s="1288"/>
      <c r="CG69" s="1288"/>
      <c r="CH69" s="1289"/>
      <c r="CI69" s="1287"/>
      <c r="CJ69" s="1288"/>
      <c r="CK69" s="1288"/>
      <c r="CL69" s="1289"/>
      <c r="CM69" s="1287"/>
      <c r="CN69" s="1288"/>
      <c r="CO69" s="1288"/>
      <c r="CP69" s="1289"/>
      <c r="CQ69" s="1287"/>
      <c r="CR69" s="1288"/>
      <c r="CS69" s="1288"/>
      <c r="CT69" s="1289"/>
      <c r="CU69" s="1287"/>
      <c r="CV69" s="1288"/>
      <c r="CW69" s="1288"/>
      <c r="CX69" s="1289"/>
      <c r="CY69" s="1287"/>
      <c r="CZ69" s="1288"/>
      <c r="DA69" s="1288"/>
      <c r="DB69" s="1289"/>
      <c r="DC69" s="1287"/>
      <c r="DD69" s="1288"/>
      <c r="DE69" s="1288"/>
      <c r="DF69" s="1289"/>
      <c r="DG69" s="1287"/>
      <c r="DH69" s="1288"/>
      <c r="DI69" s="1288"/>
      <c r="DJ69" s="1289"/>
      <c r="DK69" s="1287"/>
      <c r="DL69" s="1288"/>
      <c r="DM69" s="1288"/>
      <c r="DN69" s="1289"/>
      <c r="DO69" s="1287"/>
      <c r="DP69" s="1288"/>
      <c r="DQ69" s="1288"/>
      <c r="DR69" s="1289"/>
      <c r="DS69" s="1287"/>
      <c r="DT69" s="1288"/>
      <c r="DU69" s="1288"/>
      <c r="DV69" s="1289"/>
      <c r="DW69" s="1287"/>
      <c r="DX69" s="1288"/>
      <c r="DY69" s="1288"/>
      <c r="DZ69" s="1289"/>
      <c r="EA69" s="1287"/>
      <c r="EB69" s="1288"/>
      <c r="EC69" s="1288"/>
      <c r="ED69" s="1289"/>
      <c r="EE69" s="1287"/>
      <c r="EF69" s="1288"/>
      <c r="EG69" s="1288"/>
      <c r="EH69" s="1289"/>
      <c r="EI69" s="1287"/>
      <c r="EJ69" s="1288"/>
      <c r="EK69" s="1288"/>
      <c r="EL69" s="1289"/>
      <c r="EM69" s="1287"/>
      <c r="EN69" s="1288"/>
      <c r="EO69" s="1288"/>
      <c r="EP69" s="1289"/>
      <c r="EQ69" s="1287"/>
      <c r="ER69" s="1288"/>
      <c r="ES69" s="1288"/>
      <c r="ET69" s="1289"/>
      <c r="EU69" s="1287"/>
      <c r="EV69" s="1288"/>
      <c r="EW69" s="1288"/>
      <c r="EX69" s="1289"/>
      <c r="EY69" s="1287"/>
      <c r="EZ69" s="1288"/>
      <c r="FA69" s="1288"/>
      <c r="FB69" s="1289"/>
      <c r="FC69" s="1287"/>
      <c r="FD69" s="1288"/>
      <c r="FE69" s="1288"/>
      <c r="FF69" s="1289"/>
      <c r="FG69" s="1287"/>
      <c r="FH69" s="1288"/>
      <c r="FI69" s="1288"/>
      <c r="FJ69" s="1289"/>
      <c r="FK69" s="1287"/>
      <c r="FL69" s="1288"/>
      <c r="FM69" s="1288"/>
      <c r="FN69" s="1289"/>
      <c r="FO69" s="1287"/>
      <c r="FP69" s="1288"/>
      <c r="FQ69" s="1288"/>
      <c r="FR69" s="1289"/>
      <c r="FS69" s="1287"/>
      <c r="FT69" s="1288"/>
      <c r="FU69" s="1288"/>
      <c r="FV69" s="1289"/>
      <c r="FW69" s="1287"/>
      <c r="FX69" s="1288"/>
      <c r="FY69" s="1288"/>
      <c r="FZ69" s="1289"/>
      <c r="GA69" s="1287"/>
      <c r="GB69" s="1288"/>
      <c r="GC69" s="1288"/>
      <c r="GD69" s="1289"/>
    </row>
    <row r="70" spans="2:186" ht="17.100000000000001" customHeight="1" outlineLevel="1">
      <c r="D70" s="331"/>
      <c r="E70" s="755"/>
      <c r="F70" s="934"/>
      <c r="G70" s="935"/>
      <c r="H70" s="935"/>
      <c r="I70" s="935"/>
      <c r="J70" s="935"/>
      <c r="K70" s="935"/>
      <c r="L70" s="935"/>
      <c r="M70" s="935"/>
      <c r="N70" s="935"/>
      <c r="O70" s="935"/>
      <c r="P70" s="935"/>
      <c r="Q70" s="935"/>
      <c r="R70" s="935"/>
      <c r="S70" s="935"/>
      <c r="T70" s="935"/>
      <c r="U70" s="935"/>
      <c r="V70" s="935"/>
      <c r="W70" s="935"/>
      <c r="X70" s="935"/>
      <c r="Y70" s="935"/>
      <c r="Z70" s="935"/>
      <c r="AA70" s="935"/>
      <c r="AB70" s="935"/>
      <c r="AC70" s="935"/>
      <c r="AD70" s="935"/>
      <c r="AE70" s="935"/>
      <c r="AF70" s="935"/>
      <c r="AG70" s="935"/>
      <c r="AH70" s="935"/>
      <c r="AI70" s="935"/>
      <c r="AJ70" s="935"/>
      <c r="AK70" s="935"/>
      <c r="AL70" s="935"/>
      <c r="AM70" s="935"/>
      <c r="AN70" s="935"/>
      <c r="AO70" s="935"/>
      <c r="AP70" s="935"/>
      <c r="AQ70" s="935"/>
      <c r="AR70" s="935"/>
      <c r="AS70" s="935"/>
      <c r="AT70" s="935"/>
      <c r="AU70" s="935"/>
      <c r="AV70" s="935"/>
      <c r="AW70" s="935"/>
      <c r="AX70" s="935"/>
      <c r="AY70" s="935"/>
      <c r="AZ70" s="935"/>
      <c r="BA70" s="935"/>
      <c r="BB70" s="935"/>
      <c r="BC70" s="935"/>
      <c r="BD70" s="935"/>
      <c r="BE70" s="935"/>
      <c r="BF70" s="935"/>
      <c r="BG70" s="935"/>
      <c r="BH70" s="935"/>
      <c r="BI70" s="935"/>
      <c r="BJ70" s="935"/>
      <c r="BK70" s="935"/>
      <c r="BL70" s="935"/>
      <c r="BM70" s="935"/>
      <c r="BN70" s="935"/>
      <c r="BO70" s="935"/>
      <c r="BP70" s="935"/>
      <c r="BQ70" s="935"/>
      <c r="BR70" s="935"/>
      <c r="BS70" s="935"/>
      <c r="BT70" s="935"/>
      <c r="BU70" s="935"/>
      <c r="BV70" s="935"/>
      <c r="BW70" s="935"/>
      <c r="BX70" s="935"/>
      <c r="BY70" s="935"/>
      <c r="BZ70" s="935"/>
      <c r="CA70" s="935"/>
      <c r="CB70" s="935"/>
      <c r="CC70" s="935"/>
      <c r="CD70" s="935"/>
      <c r="CE70" s="935"/>
      <c r="CF70" s="935"/>
      <c r="CG70" s="935"/>
      <c r="CH70" s="935"/>
      <c r="CI70" s="935"/>
      <c r="CJ70" s="935"/>
      <c r="CK70" s="935"/>
      <c r="CL70" s="935"/>
      <c r="CM70" s="935"/>
      <c r="CN70" s="935"/>
      <c r="CO70" s="935"/>
      <c r="CP70" s="935"/>
      <c r="CQ70" s="935"/>
      <c r="CR70" s="935"/>
      <c r="CS70" s="935"/>
      <c r="CT70" s="935"/>
      <c r="CU70" s="935"/>
      <c r="CV70" s="935"/>
      <c r="CW70" s="935"/>
      <c r="CX70" s="935"/>
      <c r="CY70" s="935"/>
      <c r="CZ70" s="935"/>
      <c r="DA70" s="935"/>
      <c r="DB70" s="935"/>
      <c r="DC70" s="935"/>
      <c r="DD70" s="935"/>
      <c r="DE70" s="935"/>
      <c r="DF70" s="935"/>
      <c r="DG70" s="935"/>
      <c r="DH70" s="935"/>
      <c r="DI70" s="935"/>
      <c r="DJ70" s="935"/>
      <c r="DK70" s="935"/>
      <c r="DL70" s="935"/>
      <c r="DM70" s="935"/>
      <c r="DN70" s="935"/>
      <c r="DO70" s="935"/>
      <c r="DP70" s="935"/>
      <c r="DQ70" s="935"/>
      <c r="DR70" s="935"/>
      <c r="DS70" s="935"/>
      <c r="DT70" s="935"/>
      <c r="DU70" s="935"/>
      <c r="DV70" s="935"/>
      <c r="DW70" s="935"/>
      <c r="DX70" s="935"/>
      <c r="DY70" s="935"/>
      <c r="DZ70" s="935"/>
      <c r="EA70" s="935"/>
      <c r="EB70" s="935"/>
      <c r="EC70" s="935"/>
      <c r="ED70" s="935"/>
      <c r="EE70" s="935"/>
      <c r="EF70" s="935"/>
      <c r="EG70" s="935"/>
      <c r="EH70" s="935"/>
      <c r="EI70" s="935"/>
      <c r="EJ70" s="935"/>
      <c r="EK70" s="935"/>
      <c r="EL70" s="935"/>
      <c r="EM70" s="935"/>
      <c r="EN70" s="935"/>
      <c r="EO70" s="935"/>
      <c r="EP70" s="935"/>
      <c r="EQ70" s="935"/>
      <c r="ER70" s="935"/>
      <c r="ES70" s="935"/>
      <c r="ET70" s="935"/>
      <c r="EU70" s="935"/>
      <c r="EV70" s="935"/>
      <c r="EW70" s="935"/>
      <c r="EX70" s="935"/>
      <c r="EY70" s="935"/>
      <c r="EZ70" s="935"/>
      <c r="FA70" s="935"/>
      <c r="FB70" s="935"/>
      <c r="FC70" s="935"/>
      <c r="FD70" s="935"/>
      <c r="FE70" s="935"/>
      <c r="FF70" s="935"/>
      <c r="FG70" s="935"/>
      <c r="FH70" s="935"/>
      <c r="FI70" s="935"/>
      <c r="FJ70" s="935"/>
      <c r="FK70" s="935"/>
      <c r="FL70" s="935"/>
      <c r="FM70" s="935"/>
      <c r="FN70" s="935"/>
      <c r="FO70" s="935"/>
      <c r="FP70" s="935"/>
      <c r="FQ70" s="935"/>
      <c r="FR70" s="935"/>
      <c r="FS70" s="935"/>
      <c r="FT70" s="935"/>
      <c r="FU70" s="935"/>
      <c r="FV70" s="935"/>
      <c r="FW70" s="935"/>
      <c r="FX70" s="935"/>
      <c r="FY70" s="935"/>
      <c r="FZ70" s="935"/>
      <c r="GA70" s="935"/>
      <c r="GB70" s="935"/>
      <c r="GC70" s="935"/>
      <c r="GD70" s="935"/>
    </row>
    <row r="71" spans="2:186" ht="17.100000000000001" customHeight="1">
      <c r="B71" s="302" t="s">
        <v>1242</v>
      </c>
    </row>
    <row r="72" spans="2:186" ht="17.100000000000001" customHeight="1">
      <c r="AN72" s="401"/>
    </row>
    <row r="73" spans="2:186" ht="17.100000000000001" customHeight="1">
      <c r="C73" s="717"/>
      <c r="D73" s="718" t="s">
        <v>780</v>
      </c>
      <c r="E73" s="719"/>
      <c r="F73" s="719" t="s">
        <v>774</v>
      </c>
      <c r="G73" s="911">
        <f>기준분기</f>
        <v>43555</v>
      </c>
      <c r="H73" s="912">
        <f t="shared" ref="H73:BS73" si="68">EOMONTH(G73,3)</f>
        <v>43646</v>
      </c>
      <c r="I73" s="912">
        <f t="shared" si="68"/>
        <v>43738</v>
      </c>
      <c r="J73" s="913">
        <f t="shared" si="68"/>
        <v>43830</v>
      </c>
      <c r="K73" s="911">
        <f t="shared" si="68"/>
        <v>43921</v>
      </c>
      <c r="L73" s="912">
        <f t="shared" si="68"/>
        <v>44012</v>
      </c>
      <c r="M73" s="912">
        <f t="shared" si="68"/>
        <v>44104</v>
      </c>
      <c r="N73" s="913">
        <f t="shared" si="68"/>
        <v>44196</v>
      </c>
      <c r="O73" s="911">
        <f t="shared" si="68"/>
        <v>44286</v>
      </c>
      <c r="P73" s="912">
        <f t="shared" si="68"/>
        <v>44377</v>
      </c>
      <c r="Q73" s="912">
        <f t="shared" si="68"/>
        <v>44469</v>
      </c>
      <c r="R73" s="913">
        <f t="shared" si="68"/>
        <v>44561</v>
      </c>
      <c r="S73" s="911">
        <f t="shared" si="68"/>
        <v>44651</v>
      </c>
      <c r="T73" s="912">
        <f t="shared" si="68"/>
        <v>44742</v>
      </c>
      <c r="U73" s="912">
        <f t="shared" si="68"/>
        <v>44834</v>
      </c>
      <c r="V73" s="913">
        <f t="shared" si="68"/>
        <v>44926</v>
      </c>
      <c r="W73" s="911">
        <f t="shared" si="68"/>
        <v>45016</v>
      </c>
      <c r="X73" s="912">
        <f t="shared" si="68"/>
        <v>45107</v>
      </c>
      <c r="Y73" s="912">
        <f t="shared" si="68"/>
        <v>45199</v>
      </c>
      <c r="Z73" s="913">
        <f t="shared" si="68"/>
        <v>45291</v>
      </c>
      <c r="AA73" s="911">
        <f t="shared" si="68"/>
        <v>45382</v>
      </c>
      <c r="AB73" s="912">
        <f t="shared" si="68"/>
        <v>45473</v>
      </c>
      <c r="AC73" s="912">
        <f t="shared" si="68"/>
        <v>45565</v>
      </c>
      <c r="AD73" s="913">
        <f t="shared" si="68"/>
        <v>45657</v>
      </c>
      <c r="AE73" s="911">
        <f t="shared" si="68"/>
        <v>45747</v>
      </c>
      <c r="AF73" s="912">
        <f t="shared" si="68"/>
        <v>45838</v>
      </c>
      <c r="AG73" s="912">
        <f t="shared" si="68"/>
        <v>45930</v>
      </c>
      <c r="AH73" s="913">
        <f t="shared" si="68"/>
        <v>46022</v>
      </c>
      <c r="AI73" s="911">
        <f t="shared" si="68"/>
        <v>46112</v>
      </c>
      <c r="AJ73" s="912">
        <f t="shared" si="68"/>
        <v>46203</v>
      </c>
      <c r="AK73" s="912">
        <f t="shared" si="68"/>
        <v>46295</v>
      </c>
      <c r="AL73" s="913">
        <f t="shared" si="68"/>
        <v>46387</v>
      </c>
      <c r="AM73" s="911">
        <f t="shared" si="68"/>
        <v>46477</v>
      </c>
      <c r="AN73" s="912">
        <f t="shared" si="68"/>
        <v>46568</v>
      </c>
      <c r="AO73" s="912">
        <f t="shared" si="68"/>
        <v>46660</v>
      </c>
      <c r="AP73" s="913">
        <f t="shared" si="68"/>
        <v>46752</v>
      </c>
      <c r="AQ73" s="911">
        <f t="shared" si="68"/>
        <v>46843</v>
      </c>
      <c r="AR73" s="912">
        <f t="shared" si="68"/>
        <v>46934</v>
      </c>
      <c r="AS73" s="912">
        <f t="shared" si="68"/>
        <v>47026</v>
      </c>
      <c r="AT73" s="913">
        <f t="shared" si="68"/>
        <v>47118</v>
      </c>
      <c r="AU73" s="911">
        <f t="shared" si="68"/>
        <v>47208</v>
      </c>
      <c r="AV73" s="912">
        <f t="shared" si="68"/>
        <v>47299</v>
      </c>
      <c r="AW73" s="912">
        <f t="shared" si="68"/>
        <v>47391</v>
      </c>
      <c r="AX73" s="913">
        <f t="shared" si="68"/>
        <v>47483</v>
      </c>
      <c r="AY73" s="911">
        <f t="shared" si="68"/>
        <v>47573</v>
      </c>
      <c r="AZ73" s="912">
        <f t="shared" si="68"/>
        <v>47664</v>
      </c>
      <c r="BA73" s="912">
        <f t="shared" si="68"/>
        <v>47756</v>
      </c>
      <c r="BB73" s="913">
        <f t="shared" si="68"/>
        <v>47848</v>
      </c>
      <c r="BC73" s="911">
        <f t="shared" si="68"/>
        <v>47938</v>
      </c>
      <c r="BD73" s="912">
        <f t="shared" si="68"/>
        <v>48029</v>
      </c>
      <c r="BE73" s="912">
        <f t="shared" si="68"/>
        <v>48121</v>
      </c>
      <c r="BF73" s="913">
        <f t="shared" si="68"/>
        <v>48213</v>
      </c>
      <c r="BG73" s="911">
        <f t="shared" si="68"/>
        <v>48304</v>
      </c>
      <c r="BH73" s="912">
        <f t="shared" si="68"/>
        <v>48395</v>
      </c>
      <c r="BI73" s="912">
        <f t="shared" si="68"/>
        <v>48487</v>
      </c>
      <c r="BJ73" s="913">
        <f t="shared" si="68"/>
        <v>48579</v>
      </c>
      <c r="BK73" s="911">
        <f t="shared" si="68"/>
        <v>48669</v>
      </c>
      <c r="BL73" s="912">
        <f t="shared" si="68"/>
        <v>48760</v>
      </c>
      <c r="BM73" s="912">
        <f t="shared" si="68"/>
        <v>48852</v>
      </c>
      <c r="BN73" s="913">
        <f t="shared" si="68"/>
        <v>48944</v>
      </c>
      <c r="BO73" s="911">
        <f t="shared" si="68"/>
        <v>49034</v>
      </c>
      <c r="BP73" s="912">
        <f t="shared" si="68"/>
        <v>49125</v>
      </c>
      <c r="BQ73" s="912">
        <f t="shared" si="68"/>
        <v>49217</v>
      </c>
      <c r="BR73" s="913">
        <f t="shared" si="68"/>
        <v>49309</v>
      </c>
      <c r="BS73" s="911">
        <f t="shared" si="68"/>
        <v>49399</v>
      </c>
      <c r="BT73" s="912">
        <f t="shared" ref="BT73:EE73" si="69">EOMONTH(BS73,3)</f>
        <v>49490</v>
      </c>
      <c r="BU73" s="912">
        <f t="shared" si="69"/>
        <v>49582</v>
      </c>
      <c r="BV73" s="913">
        <f t="shared" si="69"/>
        <v>49674</v>
      </c>
      <c r="BW73" s="911">
        <f t="shared" si="69"/>
        <v>49765</v>
      </c>
      <c r="BX73" s="912">
        <f t="shared" si="69"/>
        <v>49856</v>
      </c>
      <c r="BY73" s="912">
        <f t="shared" si="69"/>
        <v>49948</v>
      </c>
      <c r="BZ73" s="913">
        <f t="shared" si="69"/>
        <v>50040</v>
      </c>
      <c r="CA73" s="911">
        <f t="shared" si="69"/>
        <v>50130</v>
      </c>
      <c r="CB73" s="912">
        <f t="shared" si="69"/>
        <v>50221</v>
      </c>
      <c r="CC73" s="912">
        <f t="shared" si="69"/>
        <v>50313</v>
      </c>
      <c r="CD73" s="913">
        <f t="shared" si="69"/>
        <v>50405</v>
      </c>
      <c r="CE73" s="911">
        <f t="shared" si="69"/>
        <v>50495</v>
      </c>
      <c r="CF73" s="912">
        <f t="shared" si="69"/>
        <v>50586</v>
      </c>
      <c r="CG73" s="912">
        <f t="shared" si="69"/>
        <v>50678</v>
      </c>
      <c r="CH73" s="913">
        <f t="shared" si="69"/>
        <v>50770</v>
      </c>
      <c r="CI73" s="911">
        <f t="shared" si="69"/>
        <v>50860</v>
      </c>
      <c r="CJ73" s="912">
        <f t="shared" si="69"/>
        <v>50951</v>
      </c>
      <c r="CK73" s="912">
        <f t="shared" si="69"/>
        <v>51043</v>
      </c>
      <c r="CL73" s="913">
        <f t="shared" si="69"/>
        <v>51135</v>
      </c>
      <c r="CM73" s="911">
        <f t="shared" si="69"/>
        <v>51226</v>
      </c>
      <c r="CN73" s="912">
        <f t="shared" si="69"/>
        <v>51317</v>
      </c>
      <c r="CO73" s="912">
        <f t="shared" si="69"/>
        <v>51409</v>
      </c>
      <c r="CP73" s="913">
        <f t="shared" si="69"/>
        <v>51501</v>
      </c>
      <c r="CQ73" s="911">
        <f t="shared" si="69"/>
        <v>51591</v>
      </c>
      <c r="CR73" s="912">
        <f t="shared" si="69"/>
        <v>51682</v>
      </c>
      <c r="CS73" s="912">
        <f t="shared" si="69"/>
        <v>51774</v>
      </c>
      <c r="CT73" s="913">
        <f t="shared" si="69"/>
        <v>51866</v>
      </c>
      <c r="CU73" s="911">
        <f t="shared" si="69"/>
        <v>51956</v>
      </c>
      <c r="CV73" s="912">
        <f t="shared" si="69"/>
        <v>52047</v>
      </c>
      <c r="CW73" s="912">
        <f t="shared" si="69"/>
        <v>52139</v>
      </c>
      <c r="CX73" s="913">
        <f t="shared" si="69"/>
        <v>52231</v>
      </c>
      <c r="CY73" s="911">
        <f t="shared" si="69"/>
        <v>52321</v>
      </c>
      <c r="CZ73" s="912">
        <f t="shared" si="69"/>
        <v>52412</v>
      </c>
      <c r="DA73" s="912">
        <f t="shared" si="69"/>
        <v>52504</v>
      </c>
      <c r="DB73" s="913">
        <f t="shared" si="69"/>
        <v>52596</v>
      </c>
      <c r="DC73" s="911">
        <f t="shared" si="69"/>
        <v>52687</v>
      </c>
      <c r="DD73" s="912">
        <f t="shared" si="69"/>
        <v>52778</v>
      </c>
      <c r="DE73" s="912">
        <f t="shared" si="69"/>
        <v>52870</v>
      </c>
      <c r="DF73" s="913">
        <f t="shared" si="69"/>
        <v>52962</v>
      </c>
      <c r="DG73" s="911">
        <f t="shared" si="69"/>
        <v>53052</v>
      </c>
      <c r="DH73" s="912">
        <f t="shared" si="69"/>
        <v>53143</v>
      </c>
      <c r="DI73" s="912">
        <f t="shared" si="69"/>
        <v>53235</v>
      </c>
      <c r="DJ73" s="913">
        <f t="shared" si="69"/>
        <v>53327</v>
      </c>
      <c r="DK73" s="911">
        <f t="shared" si="69"/>
        <v>53417</v>
      </c>
      <c r="DL73" s="912">
        <f t="shared" si="69"/>
        <v>53508</v>
      </c>
      <c r="DM73" s="912">
        <f t="shared" si="69"/>
        <v>53600</v>
      </c>
      <c r="DN73" s="913">
        <f t="shared" si="69"/>
        <v>53692</v>
      </c>
      <c r="DO73" s="911">
        <f t="shared" si="69"/>
        <v>53782</v>
      </c>
      <c r="DP73" s="912">
        <f t="shared" si="69"/>
        <v>53873</v>
      </c>
      <c r="DQ73" s="912">
        <f t="shared" si="69"/>
        <v>53965</v>
      </c>
      <c r="DR73" s="913">
        <f t="shared" si="69"/>
        <v>54057</v>
      </c>
      <c r="DS73" s="911">
        <f t="shared" si="69"/>
        <v>54148</v>
      </c>
      <c r="DT73" s="912">
        <f t="shared" si="69"/>
        <v>54239</v>
      </c>
      <c r="DU73" s="912">
        <f t="shared" si="69"/>
        <v>54331</v>
      </c>
      <c r="DV73" s="913">
        <f t="shared" si="69"/>
        <v>54423</v>
      </c>
      <c r="DW73" s="911">
        <f t="shared" si="69"/>
        <v>54513</v>
      </c>
      <c r="DX73" s="912">
        <f t="shared" si="69"/>
        <v>54604</v>
      </c>
      <c r="DY73" s="912">
        <f t="shared" si="69"/>
        <v>54696</v>
      </c>
      <c r="DZ73" s="913">
        <f t="shared" si="69"/>
        <v>54788</v>
      </c>
      <c r="EA73" s="911">
        <f t="shared" si="69"/>
        <v>54878</v>
      </c>
      <c r="EB73" s="912">
        <f t="shared" si="69"/>
        <v>54969</v>
      </c>
      <c r="EC73" s="912">
        <f t="shared" si="69"/>
        <v>55061</v>
      </c>
      <c r="ED73" s="913">
        <f t="shared" si="69"/>
        <v>55153</v>
      </c>
      <c r="EE73" s="911">
        <f t="shared" si="69"/>
        <v>55243</v>
      </c>
      <c r="EF73" s="912">
        <f t="shared" ref="EF73:GD73" si="70">EOMONTH(EE73,3)</f>
        <v>55334</v>
      </c>
      <c r="EG73" s="912">
        <f t="shared" si="70"/>
        <v>55426</v>
      </c>
      <c r="EH73" s="913">
        <f t="shared" si="70"/>
        <v>55518</v>
      </c>
      <c r="EI73" s="911">
        <f t="shared" si="70"/>
        <v>55609</v>
      </c>
      <c r="EJ73" s="912">
        <f t="shared" si="70"/>
        <v>55700</v>
      </c>
      <c r="EK73" s="912">
        <f t="shared" si="70"/>
        <v>55792</v>
      </c>
      <c r="EL73" s="913">
        <f t="shared" si="70"/>
        <v>55884</v>
      </c>
      <c r="EM73" s="911">
        <f t="shared" si="70"/>
        <v>55974</v>
      </c>
      <c r="EN73" s="912">
        <f t="shared" si="70"/>
        <v>56065</v>
      </c>
      <c r="EO73" s="912">
        <f t="shared" si="70"/>
        <v>56157</v>
      </c>
      <c r="EP73" s="913">
        <f t="shared" si="70"/>
        <v>56249</v>
      </c>
      <c r="EQ73" s="911">
        <f t="shared" si="70"/>
        <v>56339</v>
      </c>
      <c r="ER73" s="912">
        <f t="shared" si="70"/>
        <v>56430</v>
      </c>
      <c r="ES73" s="912">
        <f t="shared" si="70"/>
        <v>56522</v>
      </c>
      <c r="ET73" s="913">
        <f t="shared" si="70"/>
        <v>56614</v>
      </c>
      <c r="EU73" s="911">
        <f t="shared" si="70"/>
        <v>56704</v>
      </c>
      <c r="EV73" s="912">
        <f t="shared" si="70"/>
        <v>56795</v>
      </c>
      <c r="EW73" s="912">
        <f t="shared" si="70"/>
        <v>56887</v>
      </c>
      <c r="EX73" s="913">
        <f t="shared" si="70"/>
        <v>56979</v>
      </c>
      <c r="EY73" s="911">
        <f t="shared" si="70"/>
        <v>57070</v>
      </c>
      <c r="EZ73" s="912">
        <f t="shared" si="70"/>
        <v>57161</v>
      </c>
      <c r="FA73" s="912">
        <f t="shared" si="70"/>
        <v>57253</v>
      </c>
      <c r="FB73" s="913">
        <f t="shared" si="70"/>
        <v>57345</v>
      </c>
      <c r="FC73" s="911">
        <f t="shared" si="70"/>
        <v>57435</v>
      </c>
      <c r="FD73" s="912">
        <f t="shared" si="70"/>
        <v>57526</v>
      </c>
      <c r="FE73" s="912">
        <f t="shared" si="70"/>
        <v>57618</v>
      </c>
      <c r="FF73" s="913">
        <f t="shared" si="70"/>
        <v>57710</v>
      </c>
      <c r="FG73" s="911">
        <f t="shared" si="70"/>
        <v>57800</v>
      </c>
      <c r="FH73" s="912">
        <f t="shared" si="70"/>
        <v>57891</v>
      </c>
      <c r="FI73" s="912">
        <f t="shared" si="70"/>
        <v>57983</v>
      </c>
      <c r="FJ73" s="913">
        <f t="shared" si="70"/>
        <v>58075</v>
      </c>
      <c r="FK73" s="911">
        <f t="shared" si="70"/>
        <v>58165</v>
      </c>
      <c r="FL73" s="912">
        <f t="shared" si="70"/>
        <v>58256</v>
      </c>
      <c r="FM73" s="912">
        <f t="shared" si="70"/>
        <v>58348</v>
      </c>
      <c r="FN73" s="913">
        <f t="shared" si="70"/>
        <v>58440</v>
      </c>
      <c r="FO73" s="911">
        <f t="shared" si="70"/>
        <v>58531</v>
      </c>
      <c r="FP73" s="912">
        <f t="shared" si="70"/>
        <v>58622</v>
      </c>
      <c r="FQ73" s="912">
        <f t="shared" si="70"/>
        <v>58714</v>
      </c>
      <c r="FR73" s="913">
        <f t="shared" si="70"/>
        <v>58806</v>
      </c>
      <c r="FS73" s="911">
        <f t="shared" si="70"/>
        <v>58896</v>
      </c>
      <c r="FT73" s="912">
        <f t="shared" si="70"/>
        <v>58987</v>
      </c>
      <c r="FU73" s="912">
        <f t="shared" si="70"/>
        <v>59079</v>
      </c>
      <c r="FV73" s="913">
        <f t="shared" si="70"/>
        <v>59171</v>
      </c>
      <c r="FW73" s="911">
        <f t="shared" si="70"/>
        <v>59261</v>
      </c>
      <c r="FX73" s="912">
        <f t="shared" si="70"/>
        <v>59352</v>
      </c>
      <c r="FY73" s="912">
        <f t="shared" si="70"/>
        <v>59444</v>
      </c>
      <c r="FZ73" s="913">
        <f t="shared" si="70"/>
        <v>59536</v>
      </c>
      <c r="GA73" s="911">
        <f t="shared" si="70"/>
        <v>59626</v>
      </c>
      <c r="GB73" s="912">
        <f t="shared" si="70"/>
        <v>59717</v>
      </c>
      <c r="GC73" s="912">
        <f t="shared" si="70"/>
        <v>59809</v>
      </c>
      <c r="GD73" s="913">
        <f t="shared" si="70"/>
        <v>59901</v>
      </c>
    </row>
    <row r="74" spans="2:186" ht="17.100000000000001" customHeight="1">
      <c r="C74" s="720"/>
      <c r="D74" s="1358" t="s">
        <v>1261</v>
      </c>
      <c r="E74" s="1359" t="s">
        <v>238</v>
      </c>
      <c r="F74" s="1360">
        <f ca="1">SUM(O74:GD74)</f>
        <v>175.5209193849999</v>
      </c>
      <c r="G74" s="1361">
        <f>차입금상환!H41-BS!J175</f>
        <v>15.923049670000001</v>
      </c>
      <c r="H74" s="1362">
        <f>차입금상환!I41-BS!K175</f>
        <v>15.385170599999999</v>
      </c>
      <c r="I74" s="1362">
        <f>차입금상환!J41-BS!L175</f>
        <v>14.6190088</v>
      </c>
      <c r="J74" s="1363">
        <f>차입금상환!K41-BS!M175</f>
        <v>13.628099779999999</v>
      </c>
      <c r="K74" s="1361">
        <f>차입금상환!L41</f>
        <v>12.946565509999999</v>
      </c>
      <c r="L74" s="1362">
        <f>차입금상환!M41</f>
        <v>12.369336519999999</v>
      </c>
      <c r="M74" s="1362">
        <f>차입금상환!N41</f>
        <v>12.17841821</v>
      </c>
      <c r="N74" s="1363">
        <f>차입금상환!O41</f>
        <v>11.870227999999999</v>
      </c>
      <c r="O74" s="739">
        <f>차입금상환!P41</f>
        <v>11.65615873</v>
      </c>
      <c r="P74" s="740">
        <f>차입금상환!Q41</f>
        <v>11.599185670000001</v>
      </c>
      <c r="Q74" s="740">
        <f>차입금상환!R41</f>
        <v>10.719295369999999</v>
      </c>
      <c r="R74" s="741">
        <f>차입금상환!S41</f>
        <v>10.11149168</v>
      </c>
      <c r="S74" s="739">
        <f ca="1">차입금상환!T41</f>
        <v>10.624165749999998</v>
      </c>
      <c r="T74" s="740">
        <f ca="1">차입금상환!U41</f>
        <v>10.189960714999998</v>
      </c>
      <c r="U74" s="740">
        <f ca="1">차입금상환!V41</f>
        <v>9.7557556799999983</v>
      </c>
      <c r="V74" s="741">
        <f ca="1">차입금상환!W41</f>
        <v>9.3123122399999989</v>
      </c>
      <c r="W74" s="739">
        <f ca="1">차입금상환!X41</f>
        <v>8.8596303949999999</v>
      </c>
      <c r="X74" s="740">
        <f ca="1">차입금상환!Y41</f>
        <v>8.4069485499999992</v>
      </c>
      <c r="Y74" s="740">
        <f ca="1">차입금상환!Z41</f>
        <v>7.9542667049999984</v>
      </c>
      <c r="Z74" s="741">
        <f ca="1">차입금상환!AA41</f>
        <v>7.4923464549999981</v>
      </c>
      <c r="AA74" s="739">
        <f ca="1">차입금상환!AB41</f>
        <v>7.0211877999999972</v>
      </c>
      <c r="AB74" s="740">
        <f ca="1">차입금상환!AC41</f>
        <v>6.5962211699999989</v>
      </c>
      <c r="AC74" s="740">
        <f ca="1">차입금상환!AD41</f>
        <v>6.1620161349999982</v>
      </c>
      <c r="AD74" s="741">
        <f ca="1">차입금상환!AE41</f>
        <v>5.6723806699999981</v>
      </c>
      <c r="AE74" s="739">
        <f ca="1">차입금상환!AF41</f>
        <v>5.1735067999999984</v>
      </c>
      <c r="AF74" s="740">
        <f ca="1">차입금상환!AG41</f>
        <v>4.5914872849999986</v>
      </c>
      <c r="AG74" s="740">
        <f ca="1">차입금상환!AH41</f>
        <v>4.0094677699999988</v>
      </c>
      <c r="AH74" s="741">
        <f ca="1">차입금상환!AI41</f>
        <v>3.4182098499999989</v>
      </c>
      <c r="AI74" s="739">
        <f ca="1">차입금상환!AJ41</f>
        <v>2.8177135249999989</v>
      </c>
      <c r="AJ74" s="740">
        <f ca="1">차입금상환!AK41</f>
        <v>2.4481773249999987</v>
      </c>
      <c r="AK74" s="740">
        <f ca="1">차입금상환!AL41</f>
        <v>2.0232106949999991</v>
      </c>
      <c r="AL74" s="741">
        <f ca="1">차입금상환!AM41</f>
        <v>1.5890056599999991</v>
      </c>
      <c r="AM74" s="739">
        <f ca="1">차입금상환!AN41</f>
        <v>1.2194694599999989</v>
      </c>
      <c r="AN74" s="740">
        <f ca="1">차입금상환!AO41</f>
        <v>1.1086085999999991</v>
      </c>
      <c r="AO74" s="740">
        <f ca="1">차입금상환!AP41</f>
        <v>0.99774773999999911</v>
      </c>
      <c r="AP74" s="741">
        <f ca="1">차입금상환!AQ41</f>
        <v>0.88688687999999893</v>
      </c>
      <c r="AQ74" s="739">
        <f ca="1">차입금상환!AR41</f>
        <v>0.77602601999999898</v>
      </c>
      <c r="AR74" s="740">
        <f ca="1">차입금상환!AS41</f>
        <v>0.6651651599999987</v>
      </c>
      <c r="AS74" s="740">
        <f ca="1">차입금상환!AT41</f>
        <v>0.55430429999999886</v>
      </c>
      <c r="AT74" s="741">
        <f ca="1">차입금상환!AU41</f>
        <v>0.4434434399999988</v>
      </c>
      <c r="AU74" s="739">
        <f ca="1">차입금상환!AV41</f>
        <v>0.3325825799999988</v>
      </c>
      <c r="AV74" s="740">
        <f ca="1">차입금상환!AW41</f>
        <v>0.22172171999999882</v>
      </c>
      <c r="AW74" s="740">
        <f ca="1">차입금상환!AX41</f>
        <v>0.11086085999999881</v>
      </c>
      <c r="AX74" s="741">
        <f ca="1">차입금상환!AY41</f>
        <v>0</v>
      </c>
      <c r="AY74" s="739">
        <f ca="1">차입금상환!AZ41</f>
        <v>0</v>
      </c>
      <c r="AZ74" s="740">
        <f ca="1">차입금상환!BA41</f>
        <v>0</v>
      </c>
      <c r="BA74" s="740">
        <f ca="1">차입금상환!BB41</f>
        <v>0</v>
      </c>
      <c r="BB74" s="741">
        <f ca="1">차입금상환!BC41</f>
        <v>0</v>
      </c>
      <c r="BC74" s="739">
        <f ca="1">차입금상환!BD41</f>
        <v>0</v>
      </c>
      <c r="BD74" s="740">
        <f ca="1">차입금상환!BE41</f>
        <v>0</v>
      </c>
      <c r="BE74" s="740">
        <f ca="1">차입금상환!BF41</f>
        <v>0</v>
      </c>
      <c r="BF74" s="741">
        <f ca="1">차입금상환!BG41</f>
        <v>0</v>
      </c>
      <c r="BG74" s="739">
        <f ca="1">차입금상환!BH41</f>
        <v>0</v>
      </c>
      <c r="BH74" s="740">
        <f ca="1">차입금상환!BI41</f>
        <v>0</v>
      </c>
      <c r="BI74" s="740">
        <f ca="1">차입금상환!BJ41</f>
        <v>0</v>
      </c>
      <c r="BJ74" s="741">
        <f ca="1">차입금상환!BK41</f>
        <v>0</v>
      </c>
      <c r="BK74" s="739">
        <f ca="1">차입금상환!BL41</f>
        <v>0</v>
      </c>
      <c r="BL74" s="740">
        <f ca="1">차입금상환!BM41</f>
        <v>0</v>
      </c>
      <c r="BM74" s="740">
        <f ca="1">차입금상환!BN41</f>
        <v>0</v>
      </c>
      <c r="BN74" s="741">
        <f ca="1">차입금상환!BO41</f>
        <v>0</v>
      </c>
      <c r="BO74" s="739">
        <f ca="1">차입금상환!BP41</f>
        <v>0</v>
      </c>
      <c r="BP74" s="740">
        <f ca="1">차입금상환!BQ41</f>
        <v>0</v>
      </c>
      <c r="BQ74" s="740">
        <f ca="1">차입금상환!BR41</f>
        <v>0</v>
      </c>
      <c r="BR74" s="741">
        <f ca="1">차입금상환!BS41</f>
        <v>0</v>
      </c>
      <c r="BS74" s="739">
        <f ca="1">차입금상환!BT41</f>
        <v>0</v>
      </c>
      <c r="BT74" s="740">
        <f ca="1">차입금상환!BU41</f>
        <v>0</v>
      </c>
      <c r="BU74" s="740">
        <f ca="1">차입금상환!BV41</f>
        <v>0</v>
      </c>
      <c r="BV74" s="741">
        <f ca="1">차입금상환!BW41</f>
        <v>0</v>
      </c>
      <c r="BW74" s="739">
        <f ca="1">차입금상환!BX41</f>
        <v>0</v>
      </c>
      <c r="BX74" s="740">
        <f ca="1">차입금상환!BY41</f>
        <v>0</v>
      </c>
      <c r="BY74" s="740">
        <f ca="1">차입금상환!BZ41</f>
        <v>0</v>
      </c>
      <c r="BZ74" s="741">
        <f ca="1">차입금상환!CA41</f>
        <v>0</v>
      </c>
      <c r="CA74" s="739">
        <f ca="1">차입금상환!CB41</f>
        <v>0</v>
      </c>
      <c r="CB74" s="740">
        <f ca="1">차입금상환!CC41</f>
        <v>0</v>
      </c>
      <c r="CC74" s="740">
        <f ca="1">차입금상환!CD41</f>
        <v>0</v>
      </c>
      <c r="CD74" s="741">
        <f ca="1">차입금상환!CE41</f>
        <v>0</v>
      </c>
      <c r="CE74" s="739">
        <f ca="1">차입금상환!CF41</f>
        <v>0</v>
      </c>
      <c r="CF74" s="740">
        <f ca="1">차입금상환!CG41</f>
        <v>0</v>
      </c>
      <c r="CG74" s="740">
        <f ca="1">차입금상환!CH41</f>
        <v>0</v>
      </c>
      <c r="CH74" s="741">
        <f ca="1">차입금상환!CI41</f>
        <v>0</v>
      </c>
      <c r="CI74" s="739">
        <f ca="1">차입금상환!CJ41</f>
        <v>0</v>
      </c>
      <c r="CJ74" s="740">
        <f ca="1">차입금상환!CK41</f>
        <v>0</v>
      </c>
      <c r="CK74" s="740">
        <f ca="1">차입금상환!CL41</f>
        <v>0</v>
      </c>
      <c r="CL74" s="741">
        <f ca="1">차입금상환!CM41</f>
        <v>0</v>
      </c>
      <c r="CM74" s="739">
        <f ca="1">차입금상환!CN41</f>
        <v>0</v>
      </c>
      <c r="CN74" s="740">
        <f ca="1">차입금상환!CO41</f>
        <v>0</v>
      </c>
      <c r="CO74" s="740">
        <f ca="1">차입금상환!CP41</f>
        <v>0</v>
      </c>
      <c r="CP74" s="741">
        <f ca="1">차입금상환!CQ41</f>
        <v>0</v>
      </c>
      <c r="CQ74" s="739">
        <f ca="1">차입금상환!CR41</f>
        <v>0</v>
      </c>
      <c r="CR74" s="740">
        <f ca="1">차입금상환!CS41</f>
        <v>0</v>
      </c>
      <c r="CS74" s="740">
        <f ca="1">차입금상환!CT41</f>
        <v>0</v>
      </c>
      <c r="CT74" s="741">
        <f ca="1">차입금상환!CU41</f>
        <v>0</v>
      </c>
      <c r="CU74" s="739">
        <f ca="1">차입금상환!CV41</f>
        <v>0</v>
      </c>
      <c r="CV74" s="740">
        <f ca="1">차입금상환!CW41</f>
        <v>0</v>
      </c>
      <c r="CW74" s="740">
        <f ca="1">차입금상환!CX41</f>
        <v>0</v>
      </c>
      <c r="CX74" s="741">
        <f ca="1">차입금상환!CY41</f>
        <v>0</v>
      </c>
      <c r="CY74" s="739">
        <f ca="1">차입금상환!CZ41</f>
        <v>0</v>
      </c>
      <c r="CZ74" s="740">
        <f ca="1">차입금상환!DA41</f>
        <v>0</v>
      </c>
      <c r="DA74" s="740">
        <f ca="1">차입금상환!DB41</f>
        <v>0</v>
      </c>
      <c r="DB74" s="741">
        <f ca="1">차입금상환!DC41</f>
        <v>0</v>
      </c>
      <c r="DC74" s="739">
        <f ca="1">차입금상환!DD41</f>
        <v>0</v>
      </c>
      <c r="DD74" s="740">
        <f ca="1">차입금상환!DE41</f>
        <v>0</v>
      </c>
      <c r="DE74" s="740">
        <f ca="1">차입금상환!DF41</f>
        <v>0</v>
      </c>
      <c r="DF74" s="741">
        <f ca="1">차입금상환!DG41</f>
        <v>0</v>
      </c>
      <c r="DG74" s="739">
        <f ca="1">차입금상환!DH41</f>
        <v>0</v>
      </c>
      <c r="DH74" s="740">
        <f ca="1">차입금상환!DI41</f>
        <v>0</v>
      </c>
      <c r="DI74" s="740">
        <f ca="1">차입금상환!DJ41</f>
        <v>0</v>
      </c>
      <c r="DJ74" s="741">
        <f ca="1">차입금상환!DK41</f>
        <v>0</v>
      </c>
      <c r="DK74" s="739">
        <f ca="1">차입금상환!DL41</f>
        <v>0</v>
      </c>
      <c r="DL74" s="740">
        <f ca="1">차입금상환!DM41</f>
        <v>0</v>
      </c>
      <c r="DM74" s="740">
        <f ca="1">차입금상환!DN41</f>
        <v>0</v>
      </c>
      <c r="DN74" s="741">
        <f ca="1">차입금상환!DO41</f>
        <v>0</v>
      </c>
      <c r="DO74" s="739">
        <f ca="1">차입금상환!DP41</f>
        <v>0</v>
      </c>
      <c r="DP74" s="740">
        <f ca="1">차입금상환!DQ41</f>
        <v>0</v>
      </c>
      <c r="DQ74" s="740">
        <f ca="1">차입금상환!DR41</f>
        <v>0</v>
      </c>
      <c r="DR74" s="741">
        <f ca="1">차입금상환!DS41</f>
        <v>0</v>
      </c>
      <c r="DS74" s="739">
        <f ca="1">차입금상환!DT41</f>
        <v>0</v>
      </c>
      <c r="DT74" s="740">
        <f ca="1">차입금상환!DU41</f>
        <v>0</v>
      </c>
      <c r="DU74" s="740">
        <f ca="1">차입금상환!DV41</f>
        <v>0</v>
      </c>
      <c r="DV74" s="741">
        <f ca="1">차입금상환!DW41</f>
        <v>0</v>
      </c>
      <c r="DW74" s="739">
        <f ca="1">차입금상환!DX41</f>
        <v>0</v>
      </c>
      <c r="DX74" s="740">
        <f ca="1">차입금상환!DY41</f>
        <v>0</v>
      </c>
      <c r="DY74" s="740">
        <f ca="1">차입금상환!DZ41</f>
        <v>0</v>
      </c>
      <c r="DZ74" s="741">
        <f ca="1">차입금상환!EA41</f>
        <v>0</v>
      </c>
      <c r="EA74" s="739">
        <f ca="1">차입금상환!EB41</f>
        <v>0</v>
      </c>
      <c r="EB74" s="740">
        <f ca="1">차입금상환!EC41</f>
        <v>0</v>
      </c>
      <c r="EC74" s="740">
        <f ca="1">차입금상환!ED41</f>
        <v>0</v>
      </c>
      <c r="ED74" s="741">
        <f ca="1">차입금상환!EE41</f>
        <v>0</v>
      </c>
      <c r="EE74" s="739">
        <f ca="1">차입금상환!EF41</f>
        <v>0</v>
      </c>
      <c r="EF74" s="740">
        <f ca="1">차입금상환!EG41</f>
        <v>0</v>
      </c>
      <c r="EG74" s="740">
        <f ca="1">차입금상환!EH41</f>
        <v>0</v>
      </c>
      <c r="EH74" s="741">
        <f ca="1">차입금상환!EI41</f>
        <v>0</v>
      </c>
      <c r="EI74" s="739">
        <f ca="1">차입금상환!EJ41</f>
        <v>0</v>
      </c>
      <c r="EJ74" s="740">
        <f ca="1">차입금상환!EK41</f>
        <v>0</v>
      </c>
      <c r="EK74" s="740">
        <f ca="1">차입금상환!EL41</f>
        <v>0</v>
      </c>
      <c r="EL74" s="741">
        <f ca="1">차입금상환!EM41</f>
        <v>0</v>
      </c>
      <c r="EM74" s="739">
        <f ca="1">차입금상환!EN41</f>
        <v>0</v>
      </c>
      <c r="EN74" s="740">
        <f ca="1">차입금상환!EO41</f>
        <v>0</v>
      </c>
      <c r="EO74" s="740">
        <f ca="1">차입금상환!EP41</f>
        <v>0</v>
      </c>
      <c r="EP74" s="741">
        <f ca="1">차입금상환!EQ41</f>
        <v>0</v>
      </c>
      <c r="EQ74" s="739">
        <f ca="1">차입금상환!ER41</f>
        <v>0</v>
      </c>
      <c r="ER74" s="740">
        <f ca="1">차입금상환!ES41</f>
        <v>0</v>
      </c>
      <c r="ES74" s="740">
        <f ca="1">차입금상환!ET41</f>
        <v>0</v>
      </c>
      <c r="ET74" s="741">
        <f ca="1">차입금상환!EU41</f>
        <v>0</v>
      </c>
      <c r="EU74" s="739">
        <f ca="1">차입금상환!EV41</f>
        <v>0</v>
      </c>
      <c r="EV74" s="740">
        <f ca="1">차입금상환!EW41</f>
        <v>0</v>
      </c>
      <c r="EW74" s="740">
        <f ca="1">차입금상환!EX41</f>
        <v>0</v>
      </c>
      <c r="EX74" s="741">
        <f ca="1">차입금상환!EY41</f>
        <v>0</v>
      </c>
      <c r="EY74" s="739">
        <f ca="1">차입금상환!EZ41</f>
        <v>0</v>
      </c>
      <c r="EZ74" s="740">
        <f ca="1">차입금상환!FA41</f>
        <v>0</v>
      </c>
      <c r="FA74" s="740">
        <f ca="1">차입금상환!FB41</f>
        <v>0</v>
      </c>
      <c r="FB74" s="741">
        <f ca="1">차입금상환!FC41</f>
        <v>0</v>
      </c>
      <c r="FC74" s="739">
        <f ca="1">차입금상환!FD41</f>
        <v>0</v>
      </c>
      <c r="FD74" s="740">
        <f ca="1">차입금상환!FE41</f>
        <v>0</v>
      </c>
      <c r="FE74" s="740">
        <f ca="1">차입금상환!FF41</f>
        <v>0</v>
      </c>
      <c r="FF74" s="741">
        <f ca="1">차입금상환!FG41</f>
        <v>0</v>
      </c>
      <c r="FG74" s="739">
        <f ca="1">차입금상환!FH41</f>
        <v>0</v>
      </c>
      <c r="FH74" s="740">
        <f ca="1">차입금상환!FI41</f>
        <v>0</v>
      </c>
      <c r="FI74" s="740">
        <f ca="1">차입금상환!FJ41</f>
        <v>0</v>
      </c>
      <c r="FJ74" s="741">
        <f ca="1">차입금상환!FK41</f>
        <v>0</v>
      </c>
      <c r="FK74" s="739">
        <f ca="1">차입금상환!FL41</f>
        <v>0</v>
      </c>
      <c r="FL74" s="740">
        <f ca="1">차입금상환!FM41</f>
        <v>0</v>
      </c>
      <c r="FM74" s="740">
        <f ca="1">차입금상환!FN41</f>
        <v>0</v>
      </c>
      <c r="FN74" s="741">
        <f ca="1">차입금상환!FO41</f>
        <v>0</v>
      </c>
      <c r="FO74" s="739">
        <f ca="1">차입금상환!FP41</f>
        <v>0</v>
      </c>
      <c r="FP74" s="740">
        <f ca="1">차입금상환!FQ41</f>
        <v>0</v>
      </c>
      <c r="FQ74" s="740">
        <f ca="1">차입금상환!FR41</f>
        <v>0</v>
      </c>
      <c r="FR74" s="741">
        <f ca="1">차입금상환!FS41</f>
        <v>0</v>
      </c>
      <c r="FS74" s="739">
        <f ca="1">차입금상환!FT41</f>
        <v>0</v>
      </c>
      <c r="FT74" s="740">
        <f ca="1">차입금상환!FU41</f>
        <v>0</v>
      </c>
      <c r="FU74" s="740">
        <f ca="1">차입금상환!FV41</f>
        <v>0</v>
      </c>
      <c r="FV74" s="741">
        <f ca="1">차입금상환!FW41</f>
        <v>0</v>
      </c>
      <c r="FW74" s="739">
        <f ca="1">차입금상환!FX41</f>
        <v>0</v>
      </c>
      <c r="FX74" s="740">
        <f ca="1">차입금상환!FY41</f>
        <v>0</v>
      </c>
      <c r="FY74" s="740">
        <f ca="1">차입금상환!FZ41</f>
        <v>0</v>
      </c>
      <c r="FZ74" s="741">
        <f ca="1">차입금상환!GA41</f>
        <v>0</v>
      </c>
      <c r="GA74" s="739">
        <f>차입금상환!GF41</f>
        <v>0</v>
      </c>
      <c r="GB74" s="740">
        <f>차입금상환!GG41</f>
        <v>0</v>
      </c>
      <c r="GC74" s="740">
        <f>차입금상환!GH41</f>
        <v>0</v>
      </c>
      <c r="GD74" s="741">
        <f>차입금상환!GI41</f>
        <v>0</v>
      </c>
    </row>
    <row r="75" spans="2:186" ht="17.100000000000001" customHeight="1">
      <c r="C75" s="307"/>
      <c r="D75" s="331" t="s">
        <v>1262</v>
      </c>
      <c r="E75" s="727" t="s">
        <v>1244</v>
      </c>
      <c r="F75" s="948">
        <f t="shared" ref="F75:F77" si="71">SUM(O75:GD75)</f>
        <v>0</v>
      </c>
      <c r="G75" s="1275">
        <f>'CF(Q)'!W24</f>
        <v>0</v>
      </c>
      <c r="H75" s="1290">
        <f>'CF(Q)'!X24</f>
        <v>0</v>
      </c>
      <c r="I75" s="1290">
        <f>'CF(Q)'!Y24</f>
        <v>0</v>
      </c>
      <c r="J75" s="1291">
        <f>'CF(Q)'!Z24</f>
        <v>0</v>
      </c>
      <c r="K75" s="1275">
        <f>'CF(Q)'!AA24</f>
        <v>0</v>
      </c>
      <c r="L75" s="1290">
        <f>'CF(Q)'!AB24</f>
        <v>0</v>
      </c>
      <c r="M75" s="1290">
        <f>'CF(Q)'!AC24</f>
        <v>0</v>
      </c>
      <c r="N75" s="1291">
        <f>'CF(Q)'!AD24</f>
        <v>0</v>
      </c>
      <c r="O75" s="728">
        <f>'CF(Q)'!AE24</f>
        <v>0</v>
      </c>
      <c r="P75" s="729">
        <f>'CF(Q)'!AF24</f>
        <v>0</v>
      </c>
      <c r="Q75" s="729">
        <f>'CF(Q)'!AG24</f>
        <v>0</v>
      </c>
      <c r="R75" s="730">
        <f>'CF(Q)'!AH24</f>
        <v>0</v>
      </c>
      <c r="S75" s="728">
        <f>'CF(Q)'!AI24</f>
        <v>0</v>
      </c>
      <c r="T75" s="729">
        <f>'CF(Q)'!AJ24</f>
        <v>0</v>
      </c>
      <c r="U75" s="729">
        <f>'CF(Q)'!AK24</f>
        <v>0</v>
      </c>
      <c r="V75" s="730">
        <f>'CF(Q)'!AL24</f>
        <v>0</v>
      </c>
      <c r="W75" s="728">
        <f>'CF(Q)'!AM24</f>
        <v>0</v>
      </c>
      <c r="X75" s="729">
        <f>'CF(Q)'!AN24</f>
        <v>0</v>
      </c>
      <c r="Y75" s="729">
        <f>'CF(Q)'!AO24</f>
        <v>0</v>
      </c>
      <c r="Z75" s="730">
        <f>'CF(Q)'!AP24</f>
        <v>0</v>
      </c>
      <c r="AA75" s="728">
        <f>'CF(Q)'!AQ24</f>
        <v>0</v>
      </c>
      <c r="AB75" s="729">
        <f>'CF(Q)'!AR24</f>
        <v>0</v>
      </c>
      <c r="AC75" s="729">
        <f>'CF(Q)'!AS24</f>
        <v>0</v>
      </c>
      <c r="AD75" s="730">
        <f>'CF(Q)'!AT24</f>
        <v>0</v>
      </c>
      <c r="AE75" s="728">
        <f>'CF(Q)'!AU24</f>
        <v>0</v>
      </c>
      <c r="AF75" s="729">
        <f>'CF(Q)'!AV24</f>
        <v>0</v>
      </c>
      <c r="AG75" s="729">
        <f>'CF(Q)'!AW24</f>
        <v>0</v>
      </c>
      <c r="AH75" s="730">
        <f>'CF(Q)'!AX24</f>
        <v>0</v>
      </c>
      <c r="AI75" s="728">
        <f>'CF(Q)'!AY24</f>
        <v>0</v>
      </c>
      <c r="AJ75" s="729">
        <f>'CF(Q)'!AZ24</f>
        <v>0</v>
      </c>
      <c r="AK75" s="729">
        <f>'CF(Q)'!BA24</f>
        <v>0</v>
      </c>
      <c r="AL75" s="730">
        <f>'CF(Q)'!BB24</f>
        <v>0</v>
      </c>
      <c r="AM75" s="728">
        <f>'CF(Q)'!BC24</f>
        <v>0</v>
      </c>
      <c r="AN75" s="729">
        <f>'CF(Q)'!BD24</f>
        <v>0</v>
      </c>
      <c r="AO75" s="729">
        <f>'CF(Q)'!BE24</f>
        <v>0</v>
      </c>
      <c r="AP75" s="730">
        <f>'CF(Q)'!BF24</f>
        <v>0</v>
      </c>
      <c r="AQ75" s="728">
        <f>'CF(Q)'!BG24</f>
        <v>0</v>
      </c>
      <c r="AR75" s="729">
        <f>'CF(Q)'!BH24</f>
        <v>0</v>
      </c>
      <c r="AS75" s="729">
        <f>'CF(Q)'!BI24</f>
        <v>0</v>
      </c>
      <c r="AT75" s="730">
        <f>'CF(Q)'!BJ24</f>
        <v>0</v>
      </c>
      <c r="AU75" s="728">
        <f>'CF(Q)'!BK24</f>
        <v>0</v>
      </c>
      <c r="AV75" s="729">
        <f>'CF(Q)'!BL24</f>
        <v>0</v>
      </c>
      <c r="AW75" s="729">
        <f>'CF(Q)'!BM24</f>
        <v>0</v>
      </c>
      <c r="AX75" s="730">
        <f>'CF(Q)'!BN24</f>
        <v>0</v>
      </c>
      <c r="AY75" s="728">
        <f>'CF(Q)'!BO24</f>
        <v>0</v>
      </c>
      <c r="AZ75" s="729">
        <f>'CF(Q)'!BP24</f>
        <v>0</v>
      </c>
      <c r="BA75" s="729">
        <f>'CF(Q)'!BQ24</f>
        <v>0</v>
      </c>
      <c r="BB75" s="730">
        <f>'CF(Q)'!BR24</f>
        <v>0</v>
      </c>
      <c r="BC75" s="728">
        <f>'CF(Q)'!BS24</f>
        <v>0</v>
      </c>
      <c r="BD75" s="729">
        <f>'CF(Q)'!BT24</f>
        <v>0</v>
      </c>
      <c r="BE75" s="729">
        <f>'CF(Q)'!BU24</f>
        <v>0</v>
      </c>
      <c r="BF75" s="730">
        <f>'CF(Q)'!BV24</f>
        <v>0</v>
      </c>
      <c r="BG75" s="728">
        <f>'CF(Q)'!BW24</f>
        <v>0</v>
      </c>
      <c r="BH75" s="729">
        <f>'CF(Q)'!BX24</f>
        <v>0</v>
      </c>
      <c r="BI75" s="729">
        <f>'CF(Q)'!BY24</f>
        <v>0</v>
      </c>
      <c r="BJ75" s="730">
        <f>'CF(Q)'!BZ24</f>
        <v>0</v>
      </c>
      <c r="BK75" s="728">
        <f>'CF(Q)'!CA24</f>
        <v>0</v>
      </c>
      <c r="BL75" s="729">
        <f>'CF(Q)'!CB24</f>
        <v>0</v>
      </c>
      <c r="BM75" s="729">
        <f>'CF(Q)'!CC24</f>
        <v>0</v>
      </c>
      <c r="BN75" s="730">
        <f>'CF(Q)'!CD24</f>
        <v>0</v>
      </c>
      <c r="BO75" s="728">
        <f>'CF(Q)'!CE24</f>
        <v>0</v>
      </c>
      <c r="BP75" s="729">
        <f>'CF(Q)'!CF24</f>
        <v>0</v>
      </c>
      <c r="BQ75" s="729">
        <f>'CF(Q)'!CG24</f>
        <v>0</v>
      </c>
      <c r="BR75" s="730">
        <f>'CF(Q)'!CH24</f>
        <v>0</v>
      </c>
      <c r="BS75" s="728">
        <f>'CF(Q)'!CI24</f>
        <v>0</v>
      </c>
      <c r="BT75" s="729">
        <f>'CF(Q)'!CJ24</f>
        <v>0</v>
      </c>
      <c r="BU75" s="729">
        <f>'CF(Q)'!CK24</f>
        <v>0</v>
      </c>
      <c r="BV75" s="730">
        <f>'CF(Q)'!CL24</f>
        <v>0</v>
      </c>
      <c r="BW75" s="728">
        <f>'CF(Q)'!CM24</f>
        <v>0</v>
      </c>
      <c r="BX75" s="729">
        <f>'CF(Q)'!CN24</f>
        <v>0</v>
      </c>
      <c r="BY75" s="729">
        <f>'CF(Q)'!CO24</f>
        <v>0</v>
      </c>
      <c r="BZ75" s="730">
        <f>'CF(Q)'!CP24</f>
        <v>0</v>
      </c>
      <c r="CA75" s="728">
        <f>'CF(Q)'!CQ24</f>
        <v>0</v>
      </c>
      <c r="CB75" s="729">
        <f>'CF(Q)'!CR24</f>
        <v>0</v>
      </c>
      <c r="CC75" s="729">
        <f>'CF(Q)'!CS24</f>
        <v>0</v>
      </c>
      <c r="CD75" s="730">
        <f>'CF(Q)'!CT24</f>
        <v>0</v>
      </c>
      <c r="CE75" s="728">
        <f>'CF(Q)'!CU24</f>
        <v>0</v>
      </c>
      <c r="CF75" s="729">
        <f>'CF(Q)'!CV24</f>
        <v>0</v>
      </c>
      <c r="CG75" s="729">
        <f>'CF(Q)'!CW24</f>
        <v>0</v>
      </c>
      <c r="CH75" s="730">
        <f>'CF(Q)'!CX24</f>
        <v>0</v>
      </c>
      <c r="CI75" s="728">
        <f>'CF(Q)'!CY24</f>
        <v>0</v>
      </c>
      <c r="CJ75" s="729">
        <f>'CF(Q)'!CZ24</f>
        <v>0</v>
      </c>
      <c r="CK75" s="729">
        <f>'CF(Q)'!DA24</f>
        <v>0</v>
      </c>
      <c r="CL75" s="730">
        <f>'CF(Q)'!DB24</f>
        <v>0</v>
      </c>
      <c r="CM75" s="728">
        <f>'CF(Q)'!DC24</f>
        <v>0</v>
      </c>
      <c r="CN75" s="729">
        <f>'CF(Q)'!DD24</f>
        <v>0</v>
      </c>
      <c r="CO75" s="729">
        <f>'CF(Q)'!DE24</f>
        <v>0</v>
      </c>
      <c r="CP75" s="730">
        <f>'CF(Q)'!DF24</f>
        <v>0</v>
      </c>
      <c r="CQ75" s="728">
        <f>'CF(Q)'!DG24</f>
        <v>0</v>
      </c>
      <c r="CR75" s="729">
        <f>'CF(Q)'!DH24</f>
        <v>0</v>
      </c>
      <c r="CS75" s="729">
        <f>'CF(Q)'!DI24</f>
        <v>0</v>
      </c>
      <c r="CT75" s="730">
        <f>'CF(Q)'!DJ24</f>
        <v>0</v>
      </c>
      <c r="CU75" s="728">
        <f>'CF(Q)'!DK24</f>
        <v>0</v>
      </c>
      <c r="CV75" s="729">
        <f>'CF(Q)'!DL24</f>
        <v>0</v>
      </c>
      <c r="CW75" s="729">
        <f>'CF(Q)'!DM24</f>
        <v>0</v>
      </c>
      <c r="CX75" s="730">
        <f>'CF(Q)'!DN24</f>
        <v>0</v>
      </c>
      <c r="CY75" s="728">
        <f>'CF(Q)'!DO24</f>
        <v>0</v>
      </c>
      <c r="CZ75" s="729">
        <f>'CF(Q)'!DP24</f>
        <v>0</v>
      </c>
      <c r="DA75" s="729">
        <f>'CF(Q)'!DQ24</f>
        <v>0</v>
      </c>
      <c r="DB75" s="730">
        <f>'CF(Q)'!DR24</f>
        <v>0</v>
      </c>
      <c r="DC75" s="728">
        <f>'CF(Q)'!DS24</f>
        <v>0</v>
      </c>
      <c r="DD75" s="729">
        <f>'CF(Q)'!DT24</f>
        <v>0</v>
      </c>
      <c r="DE75" s="729">
        <f>'CF(Q)'!DU24</f>
        <v>0</v>
      </c>
      <c r="DF75" s="730">
        <f>'CF(Q)'!DV24</f>
        <v>0</v>
      </c>
      <c r="DG75" s="728">
        <f>'CF(Q)'!DW24</f>
        <v>0</v>
      </c>
      <c r="DH75" s="729">
        <f>'CF(Q)'!DX24</f>
        <v>0</v>
      </c>
      <c r="DI75" s="729">
        <f>'CF(Q)'!DY24</f>
        <v>0</v>
      </c>
      <c r="DJ75" s="730">
        <f>'CF(Q)'!DZ24</f>
        <v>0</v>
      </c>
      <c r="DK75" s="728">
        <f>'CF(Q)'!EA24</f>
        <v>0</v>
      </c>
      <c r="DL75" s="729">
        <f>'CF(Q)'!EB24</f>
        <v>0</v>
      </c>
      <c r="DM75" s="729">
        <f>'CF(Q)'!EC24</f>
        <v>0</v>
      </c>
      <c r="DN75" s="730">
        <f>'CF(Q)'!ED24</f>
        <v>0</v>
      </c>
      <c r="DO75" s="728">
        <f>'CF(Q)'!EE24</f>
        <v>0</v>
      </c>
      <c r="DP75" s="729">
        <f>'CF(Q)'!EF24</f>
        <v>0</v>
      </c>
      <c r="DQ75" s="729">
        <f>'CF(Q)'!EG24</f>
        <v>0</v>
      </c>
      <c r="DR75" s="730">
        <f>'CF(Q)'!EH24</f>
        <v>0</v>
      </c>
      <c r="DS75" s="728">
        <f>'CF(Q)'!EI24</f>
        <v>0</v>
      </c>
      <c r="DT75" s="729">
        <f>'CF(Q)'!EJ24</f>
        <v>0</v>
      </c>
      <c r="DU75" s="729">
        <f>'CF(Q)'!EK24</f>
        <v>0</v>
      </c>
      <c r="DV75" s="730">
        <f>'CF(Q)'!EL24</f>
        <v>0</v>
      </c>
      <c r="DW75" s="728">
        <f>'CF(Q)'!EM24</f>
        <v>0</v>
      </c>
      <c r="DX75" s="729">
        <f>'CF(Q)'!EN24</f>
        <v>0</v>
      </c>
      <c r="DY75" s="729">
        <f>'CF(Q)'!EO24</f>
        <v>0</v>
      </c>
      <c r="DZ75" s="730">
        <f>'CF(Q)'!EP24</f>
        <v>0</v>
      </c>
      <c r="EA75" s="728">
        <f>'CF(Q)'!EQ24</f>
        <v>0</v>
      </c>
      <c r="EB75" s="729">
        <f>'CF(Q)'!ER24</f>
        <v>0</v>
      </c>
      <c r="EC75" s="729">
        <f>'CF(Q)'!ES24</f>
        <v>0</v>
      </c>
      <c r="ED75" s="730">
        <f>'CF(Q)'!ET24</f>
        <v>0</v>
      </c>
      <c r="EE75" s="728">
        <f>'CF(Q)'!EU24</f>
        <v>0</v>
      </c>
      <c r="EF75" s="729">
        <f>'CF(Q)'!EV24</f>
        <v>0</v>
      </c>
      <c r="EG75" s="729">
        <f>'CF(Q)'!EW24</f>
        <v>0</v>
      </c>
      <c r="EH75" s="730">
        <f>'CF(Q)'!EX24</f>
        <v>0</v>
      </c>
      <c r="EI75" s="728">
        <f>'CF(Q)'!EY24</f>
        <v>0</v>
      </c>
      <c r="EJ75" s="729">
        <f>'CF(Q)'!EZ24</f>
        <v>0</v>
      </c>
      <c r="EK75" s="729">
        <f>'CF(Q)'!FA24</f>
        <v>0</v>
      </c>
      <c r="EL75" s="730">
        <f>'CF(Q)'!FB24</f>
        <v>0</v>
      </c>
      <c r="EM75" s="728">
        <f>'CF(Q)'!FC24</f>
        <v>0</v>
      </c>
      <c r="EN75" s="729">
        <f>'CF(Q)'!FD24</f>
        <v>0</v>
      </c>
      <c r="EO75" s="729">
        <f>'CF(Q)'!FE24</f>
        <v>0</v>
      </c>
      <c r="EP75" s="730">
        <f>'CF(Q)'!FF24</f>
        <v>0</v>
      </c>
      <c r="EQ75" s="728">
        <f>'CF(Q)'!FG24</f>
        <v>0</v>
      </c>
      <c r="ER75" s="729">
        <f>'CF(Q)'!FH24</f>
        <v>0</v>
      </c>
      <c r="ES75" s="729">
        <f>'CF(Q)'!FI24</f>
        <v>0</v>
      </c>
      <c r="ET75" s="730">
        <f>'CF(Q)'!FJ24</f>
        <v>0</v>
      </c>
      <c r="EU75" s="728">
        <f>'CF(Q)'!FK24</f>
        <v>0</v>
      </c>
      <c r="EV75" s="729">
        <f>'CF(Q)'!FL24</f>
        <v>0</v>
      </c>
      <c r="EW75" s="729">
        <f>'CF(Q)'!FM24</f>
        <v>0</v>
      </c>
      <c r="EX75" s="730">
        <f>'CF(Q)'!FN24</f>
        <v>0</v>
      </c>
      <c r="EY75" s="728">
        <f>'CF(Q)'!FO24</f>
        <v>0</v>
      </c>
      <c r="EZ75" s="729">
        <f>'CF(Q)'!FP24</f>
        <v>0</v>
      </c>
      <c r="FA75" s="729">
        <f>'CF(Q)'!FQ24</f>
        <v>0</v>
      </c>
      <c r="FB75" s="730">
        <f>'CF(Q)'!FR24</f>
        <v>0</v>
      </c>
      <c r="FC75" s="728">
        <f>'CF(Q)'!FS24</f>
        <v>0</v>
      </c>
      <c r="FD75" s="729">
        <f>'CF(Q)'!FT24</f>
        <v>0</v>
      </c>
      <c r="FE75" s="729">
        <f>'CF(Q)'!FU24</f>
        <v>0</v>
      </c>
      <c r="FF75" s="730">
        <f>'CF(Q)'!FV24</f>
        <v>0</v>
      </c>
      <c r="FG75" s="728">
        <f>'CF(Q)'!FW24</f>
        <v>0</v>
      </c>
      <c r="FH75" s="729">
        <f>'CF(Q)'!FX24</f>
        <v>0</v>
      </c>
      <c r="FI75" s="729">
        <f>'CF(Q)'!FY24</f>
        <v>0</v>
      </c>
      <c r="FJ75" s="730">
        <f>'CF(Q)'!FZ24</f>
        <v>0</v>
      </c>
      <c r="FK75" s="728">
        <f>'CF(Q)'!GA24</f>
        <v>0</v>
      </c>
      <c r="FL75" s="729">
        <f>'CF(Q)'!GB24</f>
        <v>0</v>
      </c>
      <c r="FM75" s="729">
        <f>'CF(Q)'!GC24</f>
        <v>0</v>
      </c>
      <c r="FN75" s="730">
        <f>'CF(Q)'!GD24</f>
        <v>0</v>
      </c>
      <c r="FO75" s="728">
        <f>'CF(Q)'!GE24</f>
        <v>0</v>
      </c>
      <c r="FP75" s="729">
        <f>'CF(Q)'!GF24</f>
        <v>0</v>
      </c>
      <c r="FQ75" s="729">
        <f>'CF(Q)'!GG24</f>
        <v>0</v>
      </c>
      <c r="FR75" s="730">
        <f>'CF(Q)'!GH24</f>
        <v>0</v>
      </c>
      <c r="FS75" s="728">
        <f>'CF(Q)'!GI24</f>
        <v>0</v>
      </c>
      <c r="FT75" s="729">
        <f>'CF(Q)'!GJ24</f>
        <v>0</v>
      </c>
      <c r="FU75" s="729">
        <f>'CF(Q)'!GK24</f>
        <v>0</v>
      </c>
      <c r="FV75" s="730">
        <f>'CF(Q)'!GL24</f>
        <v>0</v>
      </c>
      <c r="FW75" s="728">
        <f>'CF(Q)'!GM24</f>
        <v>0</v>
      </c>
      <c r="FX75" s="729">
        <f>'CF(Q)'!GN24</f>
        <v>0</v>
      </c>
      <c r="FY75" s="729">
        <f>'CF(Q)'!GO24</f>
        <v>0</v>
      </c>
      <c r="FZ75" s="730">
        <f>'CF(Q)'!GP24</f>
        <v>0</v>
      </c>
      <c r="GA75" s="728">
        <f>'CF(Q)'!GQ24</f>
        <v>0</v>
      </c>
      <c r="GB75" s="729">
        <f>'CF(Q)'!GR24</f>
        <v>0</v>
      </c>
      <c r="GC75" s="729">
        <f>'CF(Q)'!GS24</f>
        <v>0</v>
      </c>
      <c r="GD75" s="730">
        <f>'CF(Q)'!GT24</f>
        <v>0</v>
      </c>
    </row>
    <row r="76" spans="2:186" ht="17.100000000000001" customHeight="1">
      <c r="C76" s="307"/>
      <c r="D76" s="1364" t="str">
        <f>'CF(Y)'!C41</f>
        <v>상환우선주</v>
      </c>
      <c r="E76" s="1352" t="s">
        <v>1244</v>
      </c>
      <c r="F76" s="1353">
        <f t="shared" ca="1" si="71"/>
        <v>0</v>
      </c>
      <c r="G76" s="1344">
        <f>'CF(Q)'!W23</f>
        <v>0</v>
      </c>
      <c r="H76" s="1345">
        <f>'CF(Q)'!X23</f>
        <v>0</v>
      </c>
      <c r="I76" s="1345">
        <f>'CF(Q)'!Y23</f>
        <v>0</v>
      </c>
      <c r="J76" s="1346">
        <f>'CF(Q)'!Z23</f>
        <v>0</v>
      </c>
      <c r="K76" s="1344">
        <f>'CF(Q)'!AA23</f>
        <v>0</v>
      </c>
      <c r="L76" s="1345">
        <f>'CF(Q)'!AB23</f>
        <v>0</v>
      </c>
      <c r="M76" s="1345">
        <f>'CF(Q)'!AC23</f>
        <v>0</v>
      </c>
      <c r="N76" s="1346">
        <f>'CF(Q)'!AD23</f>
        <v>0</v>
      </c>
      <c r="O76" s="1347">
        <f>'CF(Q)'!AE23</f>
        <v>0</v>
      </c>
      <c r="P76" s="1348">
        <f>'CF(Q)'!AF23</f>
        <v>0</v>
      </c>
      <c r="Q76" s="1348">
        <f>'CF(Q)'!AG23</f>
        <v>0</v>
      </c>
      <c r="R76" s="1349">
        <f>'CF(Q)'!AH23</f>
        <v>0</v>
      </c>
      <c r="S76" s="1347">
        <f>'CF(Q)'!AI23</f>
        <v>0</v>
      </c>
      <c r="T76" s="1348">
        <f>'CF(Q)'!AJ23</f>
        <v>0</v>
      </c>
      <c r="U76" s="1348">
        <f>'CF(Q)'!AK23</f>
        <v>0</v>
      </c>
      <c r="V76" s="1349">
        <f>'CF(Q)'!AL23</f>
        <v>0</v>
      </c>
      <c r="W76" s="1347">
        <f>'CF(Q)'!AM23</f>
        <v>0</v>
      </c>
      <c r="X76" s="1348">
        <f>'CF(Q)'!AN23</f>
        <v>0</v>
      </c>
      <c r="Y76" s="1348">
        <f>'CF(Q)'!AO23</f>
        <v>0</v>
      </c>
      <c r="Z76" s="1349">
        <f>'CF(Q)'!AP23</f>
        <v>0</v>
      </c>
      <c r="AA76" s="1347">
        <f>'CF(Q)'!AQ23</f>
        <v>0</v>
      </c>
      <c r="AB76" s="1348">
        <f>'CF(Q)'!AR23</f>
        <v>0</v>
      </c>
      <c r="AC76" s="1348">
        <f>'CF(Q)'!AS23</f>
        <v>0</v>
      </c>
      <c r="AD76" s="1349">
        <f>'CF(Q)'!AT23</f>
        <v>0</v>
      </c>
      <c r="AE76" s="1347">
        <f>'CF(Q)'!AU23</f>
        <v>0</v>
      </c>
      <c r="AF76" s="1348">
        <f>'CF(Q)'!AV23</f>
        <v>0</v>
      </c>
      <c r="AG76" s="1348">
        <f>'CF(Q)'!AW23</f>
        <v>0</v>
      </c>
      <c r="AH76" s="1349">
        <f>'CF(Q)'!AX23</f>
        <v>0</v>
      </c>
      <c r="AI76" s="1347">
        <f>'CF(Q)'!AY23</f>
        <v>0</v>
      </c>
      <c r="AJ76" s="1348">
        <f ca="1">'CF(Q)'!AZ23</f>
        <v>0</v>
      </c>
      <c r="AK76" s="1348">
        <f ca="1">'CF(Q)'!BA23</f>
        <v>0</v>
      </c>
      <c r="AL76" s="1349">
        <f ca="1">'CF(Q)'!BB23</f>
        <v>0</v>
      </c>
      <c r="AM76" s="1347">
        <f ca="1">'CF(Q)'!BC23</f>
        <v>0</v>
      </c>
      <c r="AN76" s="1348">
        <f ca="1">'CF(Q)'!BD23</f>
        <v>0</v>
      </c>
      <c r="AO76" s="1348">
        <f ca="1">'CF(Q)'!BE23</f>
        <v>0</v>
      </c>
      <c r="AP76" s="1349">
        <f ca="1">'CF(Q)'!BF23</f>
        <v>0</v>
      </c>
      <c r="AQ76" s="1347">
        <f ca="1">'CF(Q)'!BG23</f>
        <v>0</v>
      </c>
      <c r="AR76" s="1348">
        <f ca="1">'CF(Q)'!BH23</f>
        <v>0</v>
      </c>
      <c r="AS76" s="1348">
        <f ca="1">'CF(Q)'!BI23</f>
        <v>0</v>
      </c>
      <c r="AT76" s="1349">
        <f ca="1">'CF(Q)'!BJ23</f>
        <v>0</v>
      </c>
      <c r="AU76" s="1347">
        <f ca="1">'CF(Q)'!BK23</f>
        <v>0</v>
      </c>
      <c r="AV76" s="1348">
        <f ca="1">'CF(Q)'!BL23</f>
        <v>0</v>
      </c>
      <c r="AW76" s="1348">
        <f ca="1">'CF(Q)'!BM23</f>
        <v>0</v>
      </c>
      <c r="AX76" s="1349">
        <f ca="1">'CF(Q)'!BN23</f>
        <v>0</v>
      </c>
      <c r="AY76" s="1347">
        <f ca="1">'CF(Q)'!BO23</f>
        <v>0</v>
      </c>
      <c r="AZ76" s="1348">
        <f ca="1">'CF(Q)'!BP23</f>
        <v>0</v>
      </c>
      <c r="BA76" s="1348">
        <f ca="1">'CF(Q)'!BQ23</f>
        <v>0</v>
      </c>
      <c r="BB76" s="1349">
        <f ca="1">'CF(Q)'!BR23</f>
        <v>0</v>
      </c>
      <c r="BC76" s="1347">
        <f ca="1">'CF(Q)'!BS23</f>
        <v>0</v>
      </c>
      <c r="BD76" s="1348">
        <f ca="1">'CF(Q)'!BT23</f>
        <v>0</v>
      </c>
      <c r="BE76" s="1348">
        <f ca="1">'CF(Q)'!BU23</f>
        <v>0</v>
      </c>
      <c r="BF76" s="1349">
        <f ca="1">'CF(Q)'!BV23</f>
        <v>0</v>
      </c>
      <c r="BG76" s="1347">
        <f ca="1">'CF(Q)'!BW23</f>
        <v>0</v>
      </c>
      <c r="BH76" s="1348">
        <f ca="1">'CF(Q)'!BX23</f>
        <v>0</v>
      </c>
      <c r="BI76" s="1348">
        <f ca="1">'CF(Q)'!BY23</f>
        <v>0</v>
      </c>
      <c r="BJ76" s="1349">
        <f ca="1">'CF(Q)'!BZ23</f>
        <v>0</v>
      </c>
      <c r="BK76" s="1347">
        <f ca="1">'CF(Q)'!CA23</f>
        <v>0</v>
      </c>
      <c r="BL76" s="1348">
        <f ca="1">'CF(Q)'!CB23</f>
        <v>0</v>
      </c>
      <c r="BM76" s="1348">
        <f ca="1">'CF(Q)'!CC23</f>
        <v>0</v>
      </c>
      <c r="BN76" s="1349">
        <f ca="1">'CF(Q)'!CD23</f>
        <v>0</v>
      </c>
      <c r="BO76" s="1347">
        <f ca="1">'CF(Q)'!CE23</f>
        <v>0</v>
      </c>
      <c r="BP76" s="1348">
        <f ca="1">'CF(Q)'!CF23</f>
        <v>0</v>
      </c>
      <c r="BQ76" s="1348">
        <f ca="1">'CF(Q)'!CG23</f>
        <v>0</v>
      </c>
      <c r="BR76" s="1349">
        <f ca="1">'CF(Q)'!CH23</f>
        <v>0</v>
      </c>
      <c r="BS76" s="1347">
        <f ca="1">'CF(Q)'!CI23</f>
        <v>0</v>
      </c>
      <c r="BT76" s="1348">
        <f ca="1">'CF(Q)'!CJ23</f>
        <v>0</v>
      </c>
      <c r="BU76" s="1348">
        <f ca="1">'CF(Q)'!CK23</f>
        <v>0</v>
      </c>
      <c r="BV76" s="1349">
        <f ca="1">'CF(Q)'!CL23</f>
        <v>0</v>
      </c>
      <c r="BW76" s="1347">
        <f ca="1">'CF(Q)'!CM23</f>
        <v>0</v>
      </c>
      <c r="BX76" s="1348">
        <f ca="1">'CF(Q)'!CN23</f>
        <v>0</v>
      </c>
      <c r="BY76" s="1348">
        <f ca="1">'CF(Q)'!CO23</f>
        <v>0</v>
      </c>
      <c r="BZ76" s="1349">
        <f ca="1">'CF(Q)'!CP23</f>
        <v>0</v>
      </c>
      <c r="CA76" s="1347">
        <f ca="1">'CF(Q)'!CQ23</f>
        <v>0</v>
      </c>
      <c r="CB76" s="1348">
        <f ca="1">'CF(Q)'!CR23</f>
        <v>0</v>
      </c>
      <c r="CC76" s="1348">
        <f>'CF(Q)'!CS23</f>
        <v>0</v>
      </c>
      <c r="CD76" s="1349">
        <f>'CF(Q)'!CT23</f>
        <v>0</v>
      </c>
      <c r="CE76" s="1347">
        <f>'CF(Q)'!CU23</f>
        <v>0</v>
      </c>
      <c r="CF76" s="1348">
        <f>'CF(Q)'!CV23</f>
        <v>0</v>
      </c>
      <c r="CG76" s="1348">
        <f>'CF(Q)'!CW23</f>
        <v>0</v>
      </c>
      <c r="CH76" s="1349">
        <f>'CF(Q)'!CX23</f>
        <v>0</v>
      </c>
      <c r="CI76" s="1347">
        <f>'CF(Q)'!CY23</f>
        <v>0</v>
      </c>
      <c r="CJ76" s="1348">
        <f>'CF(Q)'!CZ23</f>
        <v>0</v>
      </c>
      <c r="CK76" s="1348">
        <f>'CF(Q)'!DA23</f>
        <v>0</v>
      </c>
      <c r="CL76" s="1349">
        <f>'CF(Q)'!DB23</f>
        <v>0</v>
      </c>
      <c r="CM76" s="1347">
        <f>'CF(Q)'!DC23</f>
        <v>0</v>
      </c>
      <c r="CN76" s="1348">
        <f>'CF(Q)'!DD23</f>
        <v>0</v>
      </c>
      <c r="CO76" s="1348">
        <f>'CF(Q)'!DE23</f>
        <v>0</v>
      </c>
      <c r="CP76" s="1349">
        <f>'CF(Q)'!DF23</f>
        <v>0</v>
      </c>
      <c r="CQ76" s="1347">
        <f>'CF(Q)'!DG23</f>
        <v>0</v>
      </c>
      <c r="CR76" s="1348">
        <f>'CF(Q)'!DH23</f>
        <v>0</v>
      </c>
      <c r="CS76" s="1348">
        <f>'CF(Q)'!DI23</f>
        <v>0</v>
      </c>
      <c r="CT76" s="1349">
        <f>'CF(Q)'!DJ23</f>
        <v>0</v>
      </c>
      <c r="CU76" s="1347">
        <f>'CF(Q)'!DK23</f>
        <v>0</v>
      </c>
      <c r="CV76" s="1348">
        <f>'CF(Q)'!DL23</f>
        <v>0</v>
      </c>
      <c r="CW76" s="1348">
        <f>'CF(Q)'!DM23</f>
        <v>0</v>
      </c>
      <c r="CX76" s="1349">
        <f>'CF(Q)'!DN23</f>
        <v>0</v>
      </c>
      <c r="CY76" s="1347">
        <f>'CF(Q)'!DO23</f>
        <v>0</v>
      </c>
      <c r="CZ76" s="1348">
        <f>'CF(Q)'!DP23</f>
        <v>0</v>
      </c>
      <c r="DA76" s="1348">
        <f>'CF(Q)'!DQ23</f>
        <v>0</v>
      </c>
      <c r="DB76" s="1349">
        <f>'CF(Q)'!DR23</f>
        <v>0</v>
      </c>
      <c r="DC76" s="1347">
        <f>'CF(Q)'!DS23</f>
        <v>0</v>
      </c>
      <c r="DD76" s="1348">
        <f>'CF(Q)'!DT23</f>
        <v>0</v>
      </c>
      <c r="DE76" s="1348">
        <f>'CF(Q)'!DU23</f>
        <v>0</v>
      </c>
      <c r="DF76" s="1349">
        <f>'CF(Q)'!DV23</f>
        <v>0</v>
      </c>
      <c r="DG76" s="1347">
        <f>'CF(Q)'!DW23</f>
        <v>0</v>
      </c>
      <c r="DH76" s="1348">
        <f>'CF(Q)'!DX23</f>
        <v>0</v>
      </c>
      <c r="DI76" s="1348">
        <f>'CF(Q)'!DY23</f>
        <v>0</v>
      </c>
      <c r="DJ76" s="1349">
        <f>'CF(Q)'!DZ23</f>
        <v>0</v>
      </c>
      <c r="DK76" s="1347">
        <f>'CF(Q)'!EA23</f>
        <v>0</v>
      </c>
      <c r="DL76" s="1348">
        <f>'CF(Q)'!EB23</f>
        <v>0</v>
      </c>
      <c r="DM76" s="1348">
        <f>'CF(Q)'!EC23</f>
        <v>0</v>
      </c>
      <c r="DN76" s="1349">
        <f>'CF(Q)'!ED23</f>
        <v>0</v>
      </c>
      <c r="DO76" s="1347">
        <f>'CF(Q)'!EE23</f>
        <v>0</v>
      </c>
      <c r="DP76" s="1348">
        <f>'CF(Q)'!EF23</f>
        <v>0</v>
      </c>
      <c r="DQ76" s="1348">
        <f>'CF(Q)'!EG23</f>
        <v>0</v>
      </c>
      <c r="DR76" s="1349">
        <f>'CF(Q)'!EH23</f>
        <v>0</v>
      </c>
      <c r="DS76" s="1347">
        <f>'CF(Q)'!EI23</f>
        <v>0</v>
      </c>
      <c r="DT76" s="1348">
        <f>'CF(Q)'!EJ23</f>
        <v>0</v>
      </c>
      <c r="DU76" s="1348">
        <f>'CF(Q)'!EK23</f>
        <v>0</v>
      </c>
      <c r="DV76" s="1349">
        <f>'CF(Q)'!EL23</f>
        <v>0</v>
      </c>
      <c r="DW76" s="1347">
        <f>'CF(Q)'!EM23</f>
        <v>0</v>
      </c>
      <c r="DX76" s="1348">
        <f>'CF(Q)'!EN23</f>
        <v>0</v>
      </c>
      <c r="DY76" s="1348">
        <f>'CF(Q)'!EO23</f>
        <v>0</v>
      </c>
      <c r="DZ76" s="1349">
        <f>'CF(Q)'!EP23</f>
        <v>0</v>
      </c>
      <c r="EA76" s="1347">
        <f>'CF(Q)'!EQ23</f>
        <v>0</v>
      </c>
      <c r="EB76" s="1348">
        <f>'CF(Q)'!ER23</f>
        <v>0</v>
      </c>
      <c r="EC76" s="1348">
        <f>'CF(Q)'!ES23</f>
        <v>0</v>
      </c>
      <c r="ED76" s="1349">
        <f>'CF(Q)'!ET23</f>
        <v>0</v>
      </c>
      <c r="EE76" s="1347">
        <f>'CF(Q)'!EU23</f>
        <v>0</v>
      </c>
      <c r="EF76" s="1348">
        <f>'CF(Q)'!EV23</f>
        <v>0</v>
      </c>
      <c r="EG76" s="1348">
        <f>'CF(Q)'!EW23</f>
        <v>0</v>
      </c>
      <c r="EH76" s="1349">
        <f>'CF(Q)'!EX23</f>
        <v>0</v>
      </c>
      <c r="EI76" s="1347">
        <f>'CF(Q)'!EY23</f>
        <v>0</v>
      </c>
      <c r="EJ76" s="1348">
        <f>'CF(Q)'!EZ23</f>
        <v>0</v>
      </c>
      <c r="EK76" s="1348">
        <f>'CF(Q)'!FA23</f>
        <v>0</v>
      </c>
      <c r="EL76" s="1349">
        <f>'CF(Q)'!FB23</f>
        <v>0</v>
      </c>
      <c r="EM76" s="1347">
        <f>'CF(Q)'!FC23</f>
        <v>0</v>
      </c>
      <c r="EN76" s="1348">
        <f>'CF(Q)'!FD23</f>
        <v>0</v>
      </c>
      <c r="EO76" s="1348">
        <f>'CF(Q)'!FE23</f>
        <v>0</v>
      </c>
      <c r="EP76" s="1349">
        <f>'CF(Q)'!FF23</f>
        <v>0</v>
      </c>
      <c r="EQ76" s="1347">
        <f>'CF(Q)'!FG23</f>
        <v>0</v>
      </c>
      <c r="ER76" s="1348">
        <f>'CF(Q)'!FH23</f>
        <v>0</v>
      </c>
      <c r="ES76" s="1348">
        <f>'CF(Q)'!FI23</f>
        <v>0</v>
      </c>
      <c r="ET76" s="1349">
        <f>'CF(Q)'!FJ23</f>
        <v>0</v>
      </c>
      <c r="EU76" s="1347">
        <f>'CF(Q)'!FK23</f>
        <v>0</v>
      </c>
      <c r="EV76" s="1348">
        <f>'CF(Q)'!FL23</f>
        <v>0</v>
      </c>
      <c r="EW76" s="1348">
        <f>'CF(Q)'!FM23</f>
        <v>0</v>
      </c>
      <c r="EX76" s="1349">
        <f>'CF(Q)'!FN23</f>
        <v>0</v>
      </c>
      <c r="EY76" s="1347">
        <f>'CF(Q)'!FO23</f>
        <v>0</v>
      </c>
      <c r="EZ76" s="1348">
        <f>'CF(Q)'!FP23</f>
        <v>0</v>
      </c>
      <c r="FA76" s="1348">
        <f>'CF(Q)'!FQ23</f>
        <v>0</v>
      </c>
      <c r="FB76" s="1349">
        <f>'CF(Q)'!FR23</f>
        <v>0</v>
      </c>
      <c r="FC76" s="1347">
        <f>'CF(Q)'!FS23</f>
        <v>0</v>
      </c>
      <c r="FD76" s="1348">
        <f>'CF(Q)'!FT23</f>
        <v>0</v>
      </c>
      <c r="FE76" s="1348">
        <f>'CF(Q)'!FU23</f>
        <v>0</v>
      </c>
      <c r="FF76" s="1349">
        <f>'CF(Q)'!FV23</f>
        <v>0</v>
      </c>
      <c r="FG76" s="1347">
        <f>'CF(Q)'!FW23</f>
        <v>0</v>
      </c>
      <c r="FH76" s="1348">
        <f>'CF(Q)'!FX23</f>
        <v>0</v>
      </c>
      <c r="FI76" s="1348">
        <f>'CF(Q)'!FY23</f>
        <v>0</v>
      </c>
      <c r="FJ76" s="1349">
        <f>'CF(Q)'!FZ23</f>
        <v>0</v>
      </c>
      <c r="FK76" s="1347">
        <f>'CF(Q)'!GA23</f>
        <v>0</v>
      </c>
      <c r="FL76" s="1348">
        <f>'CF(Q)'!GB23</f>
        <v>0</v>
      </c>
      <c r="FM76" s="1348">
        <f>'CF(Q)'!GC23</f>
        <v>0</v>
      </c>
      <c r="FN76" s="1349">
        <f>'CF(Q)'!GD23</f>
        <v>0</v>
      </c>
      <c r="FO76" s="1347">
        <f>'CF(Q)'!GE23</f>
        <v>0</v>
      </c>
      <c r="FP76" s="1348">
        <f>'CF(Q)'!GF23</f>
        <v>0</v>
      </c>
      <c r="FQ76" s="1348">
        <f>'CF(Q)'!GG23</f>
        <v>0</v>
      </c>
      <c r="FR76" s="1349">
        <f>'CF(Q)'!GH23</f>
        <v>0</v>
      </c>
      <c r="FS76" s="1347">
        <f>'CF(Q)'!GI23</f>
        <v>0</v>
      </c>
      <c r="FT76" s="1348">
        <f>'CF(Q)'!GJ23</f>
        <v>0</v>
      </c>
      <c r="FU76" s="1348">
        <f>'CF(Q)'!GK23</f>
        <v>0</v>
      </c>
      <c r="FV76" s="1349">
        <f>'CF(Q)'!GL23</f>
        <v>0</v>
      </c>
      <c r="FW76" s="1347">
        <f>'CF(Q)'!GM23</f>
        <v>0</v>
      </c>
      <c r="FX76" s="1348">
        <f>'CF(Q)'!GN23</f>
        <v>0</v>
      </c>
      <c r="FY76" s="1348">
        <f>'CF(Q)'!GO23</f>
        <v>0</v>
      </c>
      <c r="FZ76" s="1349">
        <f>'CF(Q)'!GP23</f>
        <v>0</v>
      </c>
      <c r="GA76" s="1347">
        <f>'CF(Q)'!GQ23</f>
        <v>0</v>
      </c>
      <c r="GB76" s="1348">
        <f>'CF(Q)'!GR23</f>
        <v>0</v>
      </c>
      <c r="GC76" s="1348">
        <f>'CF(Q)'!GS23</f>
        <v>0</v>
      </c>
      <c r="GD76" s="1349">
        <f>'CF(Q)'!GT23</f>
        <v>0</v>
      </c>
    </row>
    <row r="77" spans="2:186" ht="17.100000000000001" customHeight="1">
      <c r="C77" s="1365"/>
      <c r="D77" s="1238" t="s">
        <v>1249</v>
      </c>
      <c r="E77" s="734"/>
      <c r="F77" s="954">
        <f t="shared" ca="1" si="71"/>
        <v>175.5209193849999</v>
      </c>
      <c r="G77" s="1354">
        <f t="shared" ref="G77:BR77" si="72">SUM(G74:G76)</f>
        <v>15.923049670000001</v>
      </c>
      <c r="H77" s="1355">
        <f t="shared" si="72"/>
        <v>15.385170599999999</v>
      </c>
      <c r="I77" s="1355">
        <f t="shared" si="72"/>
        <v>14.6190088</v>
      </c>
      <c r="J77" s="1356">
        <f t="shared" si="72"/>
        <v>13.628099779999999</v>
      </c>
      <c r="K77" s="1354">
        <f t="shared" si="72"/>
        <v>12.946565509999999</v>
      </c>
      <c r="L77" s="1355">
        <f t="shared" si="72"/>
        <v>12.369336519999999</v>
      </c>
      <c r="M77" s="1355">
        <f t="shared" si="72"/>
        <v>12.17841821</v>
      </c>
      <c r="N77" s="1356">
        <f t="shared" si="72"/>
        <v>11.870227999999999</v>
      </c>
      <c r="O77" s="735">
        <f t="shared" si="72"/>
        <v>11.65615873</v>
      </c>
      <c r="P77" s="736">
        <f t="shared" si="72"/>
        <v>11.599185670000001</v>
      </c>
      <c r="Q77" s="736">
        <f t="shared" si="72"/>
        <v>10.719295369999999</v>
      </c>
      <c r="R77" s="737">
        <f t="shared" si="72"/>
        <v>10.11149168</v>
      </c>
      <c r="S77" s="735">
        <f t="shared" ca="1" si="72"/>
        <v>10.624165749999998</v>
      </c>
      <c r="T77" s="736">
        <f t="shared" ca="1" si="72"/>
        <v>10.189960714999998</v>
      </c>
      <c r="U77" s="736">
        <f t="shared" ca="1" si="72"/>
        <v>9.7557556799999983</v>
      </c>
      <c r="V77" s="737">
        <f t="shared" ca="1" si="72"/>
        <v>9.3123122399999989</v>
      </c>
      <c r="W77" s="735">
        <f t="shared" ca="1" si="72"/>
        <v>8.8596303949999999</v>
      </c>
      <c r="X77" s="736">
        <f t="shared" ca="1" si="72"/>
        <v>8.4069485499999992</v>
      </c>
      <c r="Y77" s="736">
        <f t="shared" ca="1" si="72"/>
        <v>7.9542667049999984</v>
      </c>
      <c r="Z77" s="737">
        <f t="shared" ca="1" si="72"/>
        <v>7.4923464549999981</v>
      </c>
      <c r="AA77" s="735">
        <f t="shared" ca="1" si="72"/>
        <v>7.0211877999999972</v>
      </c>
      <c r="AB77" s="736">
        <f t="shared" ca="1" si="72"/>
        <v>6.5962211699999989</v>
      </c>
      <c r="AC77" s="736">
        <f t="shared" ca="1" si="72"/>
        <v>6.1620161349999982</v>
      </c>
      <c r="AD77" s="737">
        <f t="shared" ca="1" si="72"/>
        <v>5.6723806699999981</v>
      </c>
      <c r="AE77" s="735">
        <f t="shared" ca="1" si="72"/>
        <v>5.1735067999999984</v>
      </c>
      <c r="AF77" s="736">
        <f t="shared" ca="1" si="72"/>
        <v>4.5914872849999986</v>
      </c>
      <c r="AG77" s="736">
        <f t="shared" ca="1" si="72"/>
        <v>4.0094677699999988</v>
      </c>
      <c r="AH77" s="737">
        <f t="shared" ca="1" si="72"/>
        <v>3.4182098499999989</v>
      </c>
      <c r="AI77" s="735">
        <f t="shared" ca="1" si="72"/>
        <v>2.8177135249999989</v>
      </c>
      <c r="AJ77" s="736">
        <f t="shared" ca="1" si="72"/>
        <v>2.4481773249999987</v>
      </c>
      <c r="AK77" s="736">
        <f t="shared" ca="1" si="72"/>
        <v>2.0232106949999991</v>
      </c>
      <c r="AL77" s="737">
        <f t="shared" ca="1" si="72"/>
        <v>1.5890056599999991</v>
      </c>
      <c r="AM77" s="735">
        <f t="shared" ca="1" si="72"/>
        <v>1.2194694599999989</v>
      </c>
      <c r="AN77" s="736">
        <f t="shared" ca="1" si="72"/>
        <v>1.1086085999999991</v>
      </c>
      <c r="AO77" s="736">
        <f t="shared" ca="1" si="72"/>
        <v>0.99774773999999911</v>
      </c>
      <c r="AP77" s="737">
        <f t="shared" ca="1" si="72"/>
        <v>0.88688687999999893</v>
      </c>
      <c r="AQ77" s="735">
        <f t="shared" ca="1" si="72"/>
        <v>0.77602601999999898</v>
      </c>
      <c r="AR77" s="736">
        <f t="shared" ca="1" si="72"/>
        <v>0.6651651599999987</v>
      </c>
      <c r="AS77" s="736">
        <f t="shared" ca="1" si="72"/>
        <v>0.55430429999999886</v>
      </c>
      <c r="AT77" s="737">
        <f t="shared" ca="1" si="72"/>
        <v>0.4434434399999988</v>
      </c>
      <c r="AU77" s="735">
        <f t="shared" ca="1" si="72"/>
        <v>0.3325825799999988</v>
      </c>
      <c r="AV77" s="736">
        <f t="shared" ca="1" si="72"/>
        <v>0.22172171999999882</v>
      </c>
      <c r="AW77" s="736">
        <f t="shared" ca="1" si="72"/>
        <v>0.11086085999999881</v>
      </c>
      <c r="AX77" s="737">
        <f t="shared" ca="1" si="72"/>
        <v>0</v>
      </c>
      <c r="AY77" s="735">
        <f t="shared" ca="1" si="72"/>
        <v>0</v>
      </c>
      <c r="AZ77" s="736">
        <f t="shared" ca="1" si="72"/>
        <v>0</v>
      </c>
      <c r="BA77" s="736">
        <f t="shared" ca="1" si="72"/>
        <v>0</v>
      </c>
      <c r="BB77" s="737">
        <f t="shared" ca="1" si="72"/>
        <v>0</v>
      </c>
      <c r="BC77" s="735">
        <f t="shared" ca="1" si="72"/>
        <v>0</v>
      </c>
      <c r="BD77" s="736">
        <f t="shared" ca="1" si="72"/>
        <v>0</v>
      </c>
      <c r="BE77" s="736">
        <f t="shared" ca="1" si="72"/>
        <v>0</v>
      </c>
      <c r="BF77" s="737">
        <f t="shared" ca="1" si="72"/>
        <v>0</v>
      </c>
      <c r="BG77" s="735">
        <f t="shared" ca="1" si="72"/>
        <v>0</v>
      </c>
      <c r="BH77" s="736">
        <f t="shared" ca="1" si="72"/>
        <v>0</v>
      </c>
      <c r="BI77" s="736">
        <f t="shared" ca="1" si="72"/>
        <v>0</v>
      </c>
      <c r="BJ77" s="737">
        <f t="shared" ca="1" si="72"/>
        <v>0</v>
      </c>
      <c r="BK77" s="735">
        <f t="shared" ca="1" si="72"/>
        <v>0</v>
      </c>
      <c r="BL77" s="736">
        <f t="shared" ca="1" si="72"/>
        <v>0</v>
      </c>
      <c r="BM77" s="736">
        <f t="shared" ca="1" si="72"/>
        <v>0</v>
      </c>
      <c r="BN77" s="737">
        <f t="shared" ca="1" si="72"/>
        <v>0</v>
      </c>
      <c r="BO77" s="735">
        <f t="shared" ca="1" si="72"/>
        <v>0</v>
      </c>
      <c r="BP77" s="736">
        <f t="shared" ca="1" si="72"/>
        <v>0</v>
      </c>
      <c r="BQ77" s="736">
        <f t="shared" ca="1" si="72"/>
        <v>0</v>
      </c>
      <c r="BR77" s="737">
        <f t="shared" ca="1" si="72"/>
        <v>0</v>
      </c>
      <c r="BS77" s="735">
        <f t="shared" ref="BS77:ED77" ca="1" si="73">SUM(BS74:BS76)</f>
        <v>0</v>
      </c>
      <c r="BT77" s="736">
        <f t="shared" ca="1" si="73"/>
        <v>0</v>
      </c>
      <c r="BU77" s="736">
        <f t="shared" ca="1" si="73"/>
        <v>0</v>
      </c>
      <c r="BV77" s="737">
        <f t="shared" ca="1" si="73"/>
        <v>0</v>
      </c>
      <c r="BW77" s="735">
        <f t="shared" ca="1" si="73"/>
        <v>0</v>
      </c>
      <c r="BX77" s="736">
        <f t="shared" ca="1" si="73"/>
        <v>0</v>
      </c>
      <c r="BY77" s="736">
        <f t="shared" ca="1" si="73"/>
        <v>0</v>
      </c>
      <c r="BZ77" s="737">
        <f t="shared" ca="1" si="73"/>
        <v>0</v>
      </c>
      <c r="CA77" s="735">
        <f t="shared" ca="1" si="73"/>
        <v>0</v>
      </c>
      <c r="CB77" s="736">
        <f t="shared" ca="1" si="73"/>
        <v>0</v>
      </c>
      <c r="CC77" s="736">
        <f t="shared" ca="1" si="73"/>
        <v>0</v>
      </c>
      <c r="CD77" s="737">
        <f t="shared" ca="1" si="73"/>
        <v>0</v>
      </c>
      <c r="CE77" s="735">
        <f t="shared" ca="1" si="73"/>
        <v>0</v>
      </c>
      <c r="CF77" s="736">
        <f t="shared" ca="1" si="73"/>
        <v>0</v>
      </c>
      <c r="CG77" s="736">
        <f t="shared" ca="1" si="73"/>
        <v>0</v>
      </c>
      <c r="CH77" s="737">
        <f t="shared" ca="1" si="73"/>
        <v>0</v>
      </c>
      <c r="CI77" s="735">
        <f t="shared" ca="1" si="73"/>
        <v>0</v>
      </c>
      <c r="CJ77" s="736">
        <f t="shared" ca="1" si="73"/>
        <v>0</v>
      </c>
      <c r="CK77" s="736">
        <f t="shared" ca="1" si="73"/>
        <v>0</v>
      </c>
      <c r="CL77" s="737">
        <f t="shared" ca="1" si="73"/>
        <v>0</v>
      </c>
      <c r="CM77" s="735">
        <f t="shared" ca="1" si="73"/>
        <v>0</v>
      </c>
      <c r="CN77" s="736">
        <f t="shared" ca="1" si="73"/>
        <v>0</v>
      </c>
      <c r="CO77" s="736">
        <f t="shared" ca="1" si="73"/>
        <v>0</v>
      </c>
      <c r="CP77" s="737">
        <f t="shared" ca="1" si="73"/>
        <v>0</v>
      </c>
      <c r="CQ77" s="735">
        <f t="shared" ca="1" si="73"/>
        <v>0</v>
      </c>
      <c r="CR77" s="736">
        <f t="shared" ca="1" si="73"/>
        <v>0</v>
      </c>
      <c r="CS77" s="736">
        <f t="shared" ca="1" si="73"/>
        <v>0</v>
      </c>
      <c r="CT77" s="737">
        <f t="shared" ca="1" si="73"/>
        <v>0</v>
      </c>
      <c r="CU77" s="735">
        <f t="shared" ca="1" si="73"/>
        <v>0</v>
      </c>
      <c r="CV77" s="736">
        <f t="shared" ca="1" si="73"/>
        <v>0</v>
      </c>
      <c r="CW77" s="736">
        <f t="shared" ca="1" si="73"/>
        <v>0</v>
      </c>
      <c r="CX77" s="737">
        <f t="shared" ca="1" si="73"/>
        <v>0</v>
      </c>
      <c r="CY77" s="735">
        <f t="shared" ca="1" si="73"/>
        <v>0</v>
      </c>
      <c r="CZ77" s="736">
        <f t="shared" ca="1" si="73"/>
        <v>0</v>
      </c>
      <c r="DA77" s="736">
        <f t="shared" ca="1" si="73"/>
        <v>0</v>
      </c>
      <c r="DB77" s="737">
        <f t="shared" ca="1" si="73"/>
        <v>0</v>
      </c>
      <c r="DC77" s="735">
        <f t="shared" ca="1" si="73"/>
        <v>0</v>
      </c>
      <c r="DD77" s="736">
        <f t="shared" ca="1" si="73"/>
        <v>0</v>
      </c>
      <c r="DE77" s="736">
        <f t="shared" ca="1" si="73"/>
        <v>0</v>
      </c>
      <c r="DF77" s="737">
        <f t="shared" ca="1" si="73"/>
        <v>0</v>
      </c>
      <c r="DG77" s="735">
        <f t="shared" ca="1" si="73"/>
        <v>0</v>
      </c>
      <c r="DH77" s="736">
        <f t="shared" ca="1" si="73"/>
        <v>0</v>
      </c>
      <c r="DI77" s="736">
        <f t="shared" ca="1" si="73"/>
        <v>0</v>
      </c>
      <c r="DJ77" s="737">
        <f t="shared" ca="1" si="73"/>
        <v>0</v>
      </c>
      <c r="DK77" s="735">
        <f t="shared" ca="1" si="73"/>
        <v>0</v>
      </c>
      <c r="DL77" s="736">
        <f t="shared" ca="1" si="73"/>
        <v>0</v>
      </c>
      <c r="DM77" s="736">
        <f t="shared" ca="1" si="73"/>
        <v>0</v>
      </c>
      <c r="DN77" s="737">
        <f t="shared" ca="1" si="73"/>
        <v>0</v>
      </c>
      <c r="DO77" s="735">
        <f t="shared" ca="1" si="73"/>
        <v>0</v>
      </c>
      <c r="DP77" s="736">
        <f t="shared" ca="1" si="73"/>
        <v>0</v>
      </c>
      <c r="DQ77" s="736">
        <f t="shared" ca="1" si="73"/>
        <v>0</v>
      </c>
      <c r="DR77" s="737">
        <f t="shared" ca="1" si="73"/>
        <v>0</v>
      </c>
      <c r="DS77" s="735">
        <f t="shared" ca="1" si="73"/>
        <v>0</v>
      </c>
      <c r="DT77" s="736">
        <f t="shared" ca="1" si="73"/>
        <v>0</v>
      </c>
      <c r="DU77" s="736">
        <f t="shared" ca="1" si="73"/>
        <v>0</v>
      </c>
      <c r="DV77" s="737">
        <f t="shared" ca="1" si="73"/>
        <v>0</v>
      </c>
      <c r="DW77" s="735">
        <f t="shared" ca="1" si="73"/>
        <v>0</v>
      </c>
      <c r="DX77" s="736">
        <f t="shared" ca="1" si="73"/>
        <v>0</v>
      </c>
      <c r="DY77" s="736">
        <f t="shared" ca="1" si="73"/>
        <v>0</v>
      </c>
      <c r="DZ77" s="737">
        <f t="shared" ca="1" si="73"/>
        <v>0</v>
      </c>
      <c r="EA77" s="735">
        <f t="shared" ca="1" si="73"/>
        <v>0</v>
      </c>
      <c r="EB77" s="736">
        <f t="shared" ca="1" si="73"/>
        <v>0</v>
      </c>
      <c r="EC77" s="736">
        <f t="shared" ca="1" si="73"/>
        <v>0</v>
      </c>
      <c r="ED77" s="737">
        <f t="shared" ca="1" si="73"/>
        <v>0</v>
      </c>
      <c r="EE77" s="735">
        <f t="shared" ref="EE77:GD77" ca="1" si="74">SUM(EE74:EE76)</f>
        <v>0</v>
      </c>
      <c r="EF77" s="736">
        <f t="shared" ca="1" si="74"/>
        <v>0</v>
      </c>
      <c r="EG77" s="736">
        <f t="shared" ca="1" si="74"/>
        <v>0</v>
      </c>
      <c r="EH77" s="737">
        <f t="shared" ca="1" si="74"/>
        <v>0</v>
      </c>
      <c r="EI77" s="735">
        <f t="shared" ca="1" si="74"/>
        <v>0</v>
      </c>
      <c r="EJ77" s="736">
        <f t="shared" ca="1" si="74"/>
        <v>0</v>
      </c>
      <c r="EK77" s="736">
        <f t="shared" ca="1" si="74"/>
        <v>0</v>
      </c>
      <c r="EL77" s="737">
        <f t="shared" ca="1" si="74"/>
        <v>0</v>
      </c>
      <c r="EM77" s="735">
        <f t="shared" ca="1" si="74"/>
        <v>0</v>
      </c>
      <c r="EN77" s="736">
        <f t="shared" ca="1" si="74"/>
        <v>0</v>
      </c>
      <c r="EO77" s="736">
        <f t="shared" ca="1" si="74"/>
        <v>0</v>
      </c>
      <c r="EP77" s="737">
        <f t="shared" ca="1" si="74"/>
        <v>0</v>
      </c>
      <c r="EQ77" s="735">
        <f t="shared" ca="1" si="74"/>
        <v>0</v>
      </c>
      <c r="ER77" s="736">
        <f t="shared" ca="1" si="74"/>
        <v>0</v>
      </c>
      <c r="ES77" s="736">
        <f t="shared" ca="1" si="74"/>
        <v>0</v>
      </c>
      <c r="ET77" s="737">
        <f t="shared" ca="1" si="74"/>
        <v>0</v>
      </c>
      <c r="EU77" s="735">
        <f t="shared" ca="1" si="74"/>
        <v>0</v>
      </c>
      <c r="EV77" s="736">
        <f t="shared" ca="1" si="74"/>
        <v>0</v>
      </c>
      <c r="EW77" s="736">
        <f t="shared" ca="1" si="74"/>
        <v>0</v>
      </c>
      <c r="EX77" s="737">
        <f t="shared" ca="1" si="74"/>
        <v>0</v>
      </c>
      <c r="EY77" s="735">
        <f t="shared" ca="1" si="74"/>
        <v>0</v>
      </c>
      <c r="EZ77" s="736">
        <f t="shared" ca="1" si="74"/>
        <v>0</v>
      </c>
      <c r="FA77" s="736">
        <f t="shared" ca="1" si="74"/>
        <v>0</v>
      </c>
      <c r="FB77" s="737">
        <f t="shared" ca="1" si="74"/>
        <v>0</v>
      </c>
      <c r="FC77" s="735">
        <f t="shared" ca="1" si="74"/>
        <v>0</v>
      </c>
      <c r="FD77" s="736">
        <f t="shared" ca="1" si="74"/>
        <v>0</v>
      </c>
      <c r="FE77" s="736">
        <f t="shared" ca="1" si="74"/>
        <v>0</v>
      </c>
      <c r="FF77" s="737">
        <f t="shared" ca="1" si="74"/>
        <v>0</v>
      </c>
      <c r="FG77" s="735">
        <f t="shared" ca="1" si="74"/>
        <v>0</v>
      </c>
      <c r="FH77" s="736">
        <f t="shared" ca="1" si="74"/>
        <v>0</v>
      </c>
      <c r="FI77" s="736">
        <f t="shared" ca="1" si="74"/>
        <v>0</v>
      </c>
      <c r="FJ77" s="737">
        <f t="shared" ca="1" si="74"/>
        <v>0</v>
      </c>
      <c r="FK77" s="735">
        <f t="shared" ca="1" si="74"/>
        <v>0</v>
      </c>
      <c r="FL77" s="736">
        <f t="shared" ca="1" si="74"/>
        <v>0</v>
      </c>
      <c r="FM77" s="736">
        <f t="shared" ca="1" si="74"/>
        <v>0</v>
      </c>
      <c r="FN77" s="737">
        <f t="shared" ca="1" si="74"/>
        <v>0</v>
      </c>
      <c r="FO77" s="735">
        <f t="shared" ca="1" si="74"/>
        <v>0</v>
      </c>
      <c r="FP77" s="736">
        <f t="shared" ca="1" si="74"/>
        <v>0</v>
      </c>
      <c r="FQ77" s="736">
        <f t="shared" ca="1" si="74"/>
        <v>0</v>
      </c>
      <c r="FR77" s="737">
        <f t="shared" ca="1" si="74"/>
        <v>0</v>
      </c>
      <c r="FS77" s="735">
        <f t="shared" ca="1" si="74"/>
        <v>0</v>
      </c>
      <c r="FT77" s="736">
        <f t="shared" ca="1" si="74"/>
        <v>0</v>
      </c>
      <c r="FU77" s="736">
        <f t="shared" ca="1" si="74"/>
        <v>0</v>
      </c>
      <c r="FV77" s="737">
        <f t="shared" ca="1" si="74"/>
        <v>0</v>
      </c>
      <c r="FW77" s="735">
        <f t="shared" ca="1" si="74"/>
        <v>0</v>
      </c>
      <c r="FX77" s="736">
        <f t="shared" ca="1" si="74"/>
        <v>0</v>
      </c>
      <c r="FY77" s="736">
        <f t="shared" ca="1" si="74"/>
        <v>0</v>
      </c>
      <c r="FZ77" s="737">
        <f t="shared" ca="1" si="74"/>
        <v>0</v>
      </c>
      <c r="GA77" s="735">
        <f t="shared" si="74"/>
        <v>0</v>
      </c>
      <c r="GB77" s="736">
        <f t="shared" si="74"/>
        <v>0</v>
      </c>
      <c r="GC77" s="736">
        <f t="shared" si="74"/>
        <v>0</v>
      </c>
      <c r="GD77" s="737">
        <f t="shared" si="74"/>
        <v>0</v>
      </c>
    </row>
    <row r="79" spans="2:186" ht="17.100000000000001" customHeight="1">
      <c r="B79" s="302" t="s">
        <v>1240</v>
      </c>
    </row>
    <row r="80" spans="2:186" ht="17.100000000000001" customHeight="1">
      <c r="AN80" s="401"/>
    </row>
    <row r="81" spans="2:186" ht="17.100000000000001" customHeight="1">
      <c r="C81" s="717"/>
      <c r="D81" s="718" t="s">
        <v>780</v>
      </c>
      <c r="E81" s="719"/>
      <c r="F81" s="719" t="s">
        <v>774</v>
      </c>
      <c r="G81" s="911">
        <f>기준분기</f>
        <v>43555</v>
      </c>
      <c r="H81" s="912">
        <f t="shared" ref="H81:BS81" si="75">EOMONTH(G81,3)</f>
        <v>43646</v>
      </c>
      <c r="I81" s="912">
        <f t="shared" si="75"/>
        <v>43738</v>
      </c>
      <c r="J81" s="913">
        <f t="shared" si="75"/>
        <v>43830</v>
      </c>
      <c r="K81" s="911">
        <f t="shared" si="75"/>
        <v>43921</v>
      </c>
      <c r="L81" s="912">
        <f t="shared" si="75"/>
        <v>44012</v>
      </c>
      <c r="M81" s="912">
        <f t="shared" si="75"/>
        <v>44104</v>
      </c>
      <c r="N81" s="913">
        <f t="shared" si="75"/>
        <v>44196</v>
      </c>
      <c r="O81" s="911">
        <f t="shared" si="75"/>
        <v>44286</v>
      </c>
      <c r="P81" s="912">
        <f t="shared" si="75"/>
        <v>44377</v>
      </c>
      <c r="Q81" s="912">
        <f t="shared" si="75"/>
        <v>44469</v>
      </c>
      <c r="R81" s="913">
        <f t="shared" si="75"/>
        <v>44561</v>
      </c>
      <c r="S81" s="911">
        <f t="shared" si="75"/>
        <v>44651</v>
      </c>
      <c r="T81" s="912">
        <f t="shared" si="75"/>
        <v>44742</v>
      </c>
      <c r="U81" s="912">
        <f t="shared" si="75"/>
        <v>44834</v>
      </c>
      <c r="V81" s="913">
        <f t="shared" si="75"/>
        <v>44926</v>
      </c>
      <c r="W81" s="911">
        <f t="shared" si="75"/>
        <v>45016</v>
      </c>
      <c r="X81" s="912">
        <f t="shared" si="75"/>
        <v>45107</v>
      </c>
      <c r="Y81" s="912">
        <f t="shared" si="75"/>
        <v>45199</v>
      </c>
      <c r="Z81" s="913">
        <f t="shared" si="75"/>
        <v>45291</v>
      </c>
      <c r="AA81" s="911">
        <f t="shared" si="75"/>
        <v>45382</v>
      </c>
      <c r="AB81" s="912">
        <f t="shared" si="75"/>
        <v>45473</v>
      </c>
      <c r="AC81" s="912">
        <f t="shared" si="75"/>
        <v>45565</v>
      </c>
      <c r="AD81" s="913">
        <f t="shared" si="75"/>
        <v>45657</v>
      </c>
      <c r="AE81" s="911">
        <f t="shared" si="75"/>
        <v>45747</v>
      </c>
      <c r="AF81" s="912">
        <f t="shared" si="75"/>
        <v>45838</v>
      </c>
      <c r="AG81" s="912">
        <f t="shared" si="75"/>
        <v>45930</v>
      </c>
      <c r="AH81" s="913">
        <f t="shared" si="75"/>
        <v>46022</v>
      </c>
      <c r="AI81" s="911">
        <f t="shared" si="75"/>
        <v>46112</v>
      </c>
      <c r="AJ81" s="912">
        <f t="shared" si="75"/>
        <v>46203</v>
      </c>
      <c r="AK81" s="912">
        <f t="shared" si="75"/>
        <v>46295</v>
      </c>
      <c r="AL81" s="913">
        <f t="shared" si="75"/>
        <v>46387</v>
      </c>
      <c r="AM81" s="911">
        <f t="shared" si="75"/>
        <v>46477</v>
      </c>
      <c r="AN81" s="912">
        <f t="shared" si="75"/>
        <v>46568</v>
      </c>
      <c r="AO81" s="912">
        <f t="shared" si="75"/>
        <v>46660</v>
      </c>
      <c r="AP81" s="913">
        <f t="shared" si="75"/>
        <v>46752</v>
      </c>
      <c r="AQ81" s="911">
        <f t="shared" si="75"/>
        <v>46843</v>
      </c>
      <c r="AR81" s="912">
        <f t="shared" si="75"/>
        <v>46934</v>
      </c>
      <c r="AS81" s="912">
        <f t="shared" si="75"/>
        <v>47026</v>
      </c>
      <c r="AT81" s="913">
        <f t="shared" si="75"/>
        <v>47118</v>
      </c>
      <c r="AU81" s="911">
        <f t="shared" si="75"/>
        <v>47208</v>
      </c>
      <c r="AV81" s="912">
        <f t="shared" si="75"/>
        <v>47299</v>
      </c>
      <c r="AW81" s="912">
        <f t="shared" si="75"/>
        <v>47391</v>
      </c>
      <c r="AX81" s="913">
        <f t="shared" si="75"/>
        <v>47483</v>
      </c>
      <c r="AY81" s="911">
        <f t="shared" si="75"/>
        <v>47573</v>
      </c>
      <c r="AZ81" s="912">
        <f t="shared" si="75"/>
        <v>47664</v>
      </c>
      <c r="BA81" s="912">
        <f t="shared" si="75"/>
        <v>47756</v>
      </c>
      <c r="BB81" s="913">
        <f t="shared" si="75"/>
        <v>47848</v>
      </c>
      <c r="BC81" s="911">
        <f t="shared" si="75"/>
        <v>47938</v>
      </c>
      <c r="BD81" s="912">
        <f t="shared" si="75"/>
        <v>48029</v>
      </c>
      <c r="BE81" s="912">
        <f t="shared" si="75"/>
        <v>48121</v>
      </c>
      <c r="BF81" s="913">
        <f t="shared" si="75"/>
        <v>48213</v>
      </c>
      <c r="BG81" s="911">
        <f t="shared" si="75"/>
        <v>48304</v>
      </c>
      <c r="BH81" s="912">
        <f t="shared" si="75"/>
        <v>48395</v>
      </c>
      <c r="BI81" s="912">
        <f t="shared" si="75"/>
        <v>48487</v>
      </c>
      <c r="BJ81" s="913">
        <f t="shared" si="75"/>
        <v>48579</v>
      </c>
      <c r="BK81" s="911">
        <f t="shared" si="75"/>
        <v>48669</v>
      </c>
      <c r="BL81" s="912">
        <f t="shared" si="75"/>
        <v>48760</v>
      </c>
      <c r="BM81" s="912">
        <f t="shared" si="75"/>
        <v>48852</v>
      </c>
      <c r="BN81" s="913">
        <f t="shared" si="75"/>
        <v>48944</v>
      </c>
      <c r="BO81" s="911">
        <f t="shared" si="75"/>
        <v>49034</v>
      </c>
      <c r="BP81" s="912">
        <f t="shared" si="75"/>
        <v>49125</v>
      </c>
      <c r="BQ81" s="912">
        <f t="shared" si="75"/>
        <v>49217</v>
      </c>
      <c r="BR81" s="913">
        <f t="shared" si="75"/>
        <v>49309</v>
      </c>
      <c r="BS81" s="911">
        <f t="shared" si="75"/>
        <v>49399</v>
      </c>
      <c r="BT81" s="912">
        <f t="shared" ref="BT81:EE81" si="76">EOMONTH(BS81,3)</f>
        <v>49490</v>
      </c>
      <c r="BU81" s="912">
        <f t="shared" si="76"/>
        <v>49582</v>
      </c>
      <c r="BV81" s="913">
        <f t="shared" si="76"/>
        <v>49674</v>
      </c>
      <c r="BW81" s="911">
        <f t="shared" si="76"/>
        <v>49765</v>
      </c>
      <c r="BX81" s="912">
        <f t="shared" si="76"/>
        <v>49856</v>
      </c>
      <c r="BY81" s="912">
        <f t="shared" si="76"/>
        <v>49948</v>
      </c>
      <c r="BZ81" s="913">
        <f t="shared" si="76"/>
        <v>50040</v>
      </c>
      <c r="CA81" s="911">
        <f t="shared" si="76"/>
        <v>50130</v>
      </c>
      <c r="CB81" s="912">
        <f t="shared" si="76"/>
        <v>50221</v>
      </c>
      <c r="CC81" s="912">
        <f t="shared" si="76"/>
        <v>50313</v>
      </c>
      <c r="CD81" s="913">
        <f t="shared" si="76"/>
        <v>50405</v>
      </c>
      <c r="CE81" s="911">
        <f t="shared" si="76"/>
        <v>50495</v>
      </c>
      <c r="CF81" s="912">
        <f t="shared" si="76"/>
        <v>50586</v>
      </c>
      <c r="CG81" s="912">
        <f t="shared" si="76"/>
        <v>50678</v>
      </c>
      <c r="CH81" s="913">
        <f t="shared" si="76"/>
        <v>50770</v>
      </c>
      <c r="CI81" s="911">
        <f t="shared" si="76"/>
        <v>50860</v>
      </c>
      <c r="CJ81" s="912">
        <f t="shared" si="76"/>
        <v>50951</v>
      </c>
      <c r="CK81" s="912">
        <f t="shared" si="76"/>
        <v>51043</v>
      </c>
      <c r="CL81" s="913">
        <f t="shared" si="76"/>
        <v>51135</v>
      </c>
      <c r="CM81" s="911">
        <f t="shared" si="76"/>
        <v>51226</v>
      </c>
      <c r="CN81" s="912">
        <f t="shared" si="76"/>
        <v>51317</v>
      </c>
      <c r="CO81" s="912">
        <f t="shared" si="76"/>
        <v>51409</v>
      </c>
      <c r="CP81" s="913">
        <f t="shared" si="76"/>
        <v>51501</v>
      </c>
      <c r="CQ81" s="911">
        <f t="shared" si="76"/>
        <v>51591</v>
      </c>
      <c r="CR81" s="912">
        <f t="shared" si="76"/>
        <v>51682</v>
      </c>
      <c r="CS81" s="912">
        <f t="shared" si="76"/>
        <v>51774</v>
      </c>
      <c r="CT81" s="913">
        <f t="shared" si="76"/>
        <v>51866</v>
      </c>
      <c r="CU81" s="911">
        <f t="shared" si="76"/>
        <v>51956</v>
      </c>
      <c r="CV81" s="912">
        <f t="shared" si="76"/>
        <v>52047</v>
      </c>
      <c r="CW81" s="912">
        <f t="shared" si="76"/>
        <v>52139</v>
      </c>
      <c r="CX81" s="913">
        <f t="shared" si="76"/>
        <v>52231</v>
      </c>
      <c r="CY81" s="911">
        <f t="shared" si="76"/>
        <v>52321</v>
      </c>
      <c r="CZ81" s="912">
        <f t="shared" si="76"/>
        <v>52412</v>
      </c>
      <c r="DA81" s="912">
        <f t="shared" si="76"/>
        <v>52504</v>
      </c>
      <c r="DB81" s="913">
        <f t="shared" si="76"/>
        <v>52596</v>
      </c>
      <c r="DC81" s="911">
        <f t="shared" si="76"/>
        <v>52687</v>
      </c>
      <c r="DD81" s="912">
        <f t="shared" si="76"/>
        <v>52778</v>
      </c>
      <c r="DE81" s="912">
        <f t="shared" si="76"/>
        <v>52870</v>
      </c>
      <c r="DF81" s="913">
        <f t="shared" si="76"/>
        <v>52962</v>
      </c>
      <c r="DG81" s="911">
        <f t="shared" si="76"/>
        <v>53052</v>
      </c>
      <c r="DH81" s="912">
        <f t="shared" si="76"/>
        <v>53143</v>
      </c>
      <c r="DI81" s="912">
        <f t="shared" si="76"/>
        <v>53235</v>
      </c>
      <c r="DJ81" s="913">
        <f t="shared" si="76"/>
        <v>53327</v>
      </c>
      <c r="DK81" s="911">
        <f t="shared" si="76"/>
        <v>53417</v>
      </c>
      <c r="DL81" s="912">
        <f t="shared" si="76"/>
        <v>53508</v>
      </c>
      <c r="DM81" s="912">
        <f t="shared" si="76"/>
        <v>53600</v>
      </c>
      <c r="DN81" s="913">
        <f t="shared" si="76"/>
        <v>53692</v>
      </c>
      <c r="DO81" s="911">
        <f t="shared" si="76"/>
        <v>53782</v>
      </c>
      <c r="DP81" s="912">
        <f t="shared" si="76"/>
        <v>53873</v>
      </c>
      <c r="DQ81" s="912">
        <f t="shared" si="76"/>
        <v>53965</v>
      </c>
      <c r="DR81" s="913">
        <f t="shared" si="76"/>
        <v>54057</v>
      </c>
      <c r="DS81" s="911">
        <f t="shared" si="76"/>
        <v>54148</v>
      </c>
      <c r="DT81" s="912">
        <f t="shared" si="76"/>
        <v>54239</v>
      </c>
      <c r="DU81" s="912">
        <f t="shared" si="76"/>
        <v>54331</v>
      </c>
      <c r="DV81" s="913">
        <f t="shared" si="76"/>
        <v>54423</v>
      </c>
      <c r="DW81" s="911">
        <f t="shared" si="76"/>
        <v>54513</v>
      </c>
      <c r="DX81" s="912">
        <f t="shared" si="76"/>
        <v>54604</v>
      </c>
      <c r="DY81" s="912">
        <f t="shared" si="76"/>
        <v>54696</v>
      </c>
      <c r="DZ81" s="913">
        <f t="shared" si="76"/>
        <v>54788</v>
      </c>
      <c r="EA81" s="911">
        <f t="shared" si="76"/>
        <v>54878</v>
      </c>
      <c r="EB81" s="912">
        <f t="shared" si="76"/>
        <v>54969</v>
      </c>
      <c r="EC81" s="912">
        <f t="shared" si="76"/>
        <v>55061</v>
      </c>
      <c r="ED81" s="913">
        <f t="shared" si="76"/>
        <v>55153</v>
      </c>
      <c r="EE81" s="911">
        <f t="shared" si="76"/>
        <v>55243</v>
      </c>
      <c r="EF81" s="912">
        <f t="shared" ref="EF81:GD81" si="77">EOMONTH(EE81,3)</f>
        <v>55334</v>
      </c>
      <c r="EG81" s="912">
        <f t="shared" si="77"/>
        <v>55426</v>
      </c>
      <c r="EH81" s="913">
        <f t="shared" si="77"/>
        <v>55518</v>
      </c>
      <c r="EI81" s="911">
        <f t="shared" si="77"/>
        <v>55609</v>
      </c>
      <c r="EJ81" s="912">
        <f t="shared" si="77"/>
        <v>55700</v>
      </c>
      <c r="EK81" s="912">
        <f t="shared" si="77"/>
        <v>55792</v>
      </c>
      <c r="EL81" s="913">
        <f t="shared" si="77"/>
        <v>55884</v>
      </c>
      <c r="EM81" s="911">
        <f t="shared" si="77"/>
        <v>55974</v>
      </c>
      <c r="EN81" s="912">
        <f t="shared" si="77"/>
        <v>56065</v>
      </c>
      <c r="EO81" s="912">
        <f t="shared" si="77"/>
        <v>56157</v>
      </c>
      <c r="EP81" s="913">
        <f t="shared" si="77"/>
        <v>56249</v>
      </c>
      <c r="EQ81" s="911">
        <f t="shared" si="77"/>
        <v>56339</v>
      </c>
      <c r="ER81" s="912">
        <f t="shared" si="77"/>
        <v>56430</v>
      </c>
      <c r="ES81" s="912">
        <f t="shared" si="77"/>
        <v>56522</v>
      </c>
      <c r="ET81" s="913">
        <f t="shared" si="77"/>
        <v>56614</v>
      </c>
      <c r="EU81" s="911">
        <f t="shared" si="77"/>
        <v>56704</v>
      </c>
      <c r="EV81" s="912">
        <f t="shared" si="77"/>
        <v>56795</v>
      </c>
      <c r="EW81" s="912">
        <f t="shared" si="77"/>
        <v>56887</v>
      </c>
      <c r="EX81" s="913">
        <f t="shared" si="77"/>
        <v>56979</v>
      </c>
      <c r="EY81" s="911">
        <f t="shared" si="77"/>
        <v>57070</v>
      </c>
      <c r="EZ81" s="912">
        <f t="shared" si="77"/>
        <v>57161</v>
      </c>
      <c r="FA81" s="912">
        <f t="shared" si="77"/>
        <v>57253</v>
      </c>
      <c r="FB81" s="913">
        <f t="shared" si="77"/>
        <v>57345</v>
      </c>
      <c r="FC81" s="911">
        <f t="shared" si="77"/>
        <v>57435</v>
      </c>
      <c r="FD81" s="912">
        <f t="shared" si="77"/>
        <v>57526</v>
      </c>
      <c r="FE81" s="912">
        <f t="shared" si="77"/>
        <v>57618</v>
      </c>
      <c r="FF81" s="913">
        <f t="shared" si="77"/>
        <v>57710</v>
      </c>
      <c r="FG81" s="911">
        <f t="shared" si="77"/>
        <v>57800</v>
      </c>
      <c r="FH81" s="912">
        <f t="shared" si="77"/>
        <v>57891</v>
      </c>
      <c r="FI81" s="912">
        <f t="shared" si="77"/>
        <v>57983</v>
      </c>
      <c r="FJ81" s="913">
        <f t="shared" si="77"/>
        <v>58075</v>
      </c>
      <c r="FK81" s="911">
        <f t="shared" si="77"/>
        <v>58165</v>
      </c>
      <c r="FL81" s="912">
        <f t="shared" si="77"/>
        <v>58256</v>
      </c>
      <c r="FM81" s="912">
        <f t="shared" si="77"/>
        <v>58348</v>
      </c>
      <c r="FN81" s="913">
        <f t="shared" si="77"/>
        <v>58440</v>
      </c>
      <c r="FO81" s="911">
        <f t="shared" si="77"/>
        <v>58531</v>
      </c>
      <c r="FP81" s="912">
        <f t="shared" si="77"/>
        <v>58622</v>
      </c>
      <c r="FQ81" s="912">
        <f t="shared" si="77"/>
        <v>58714</v>
      </c>
      <c r="FR81" s="913">
        <f t="shared" si="77"/>
        <v>58806</v>
      </c>
      <c r="FS81" s="911">
        <f t="shared" si="77"/>
        <v>58896</v>
      </c>
      <c r="FT81" s="912">
        <f t="shared" si="77"/>
        <v>58987</v>
      </c>
      <c r="FU81" s="912">
        <f t="shared" si="77"/>
        <v>59079</v>
      </c>
      <c r="FV81" s="913">
        <f t="shared" si="77"/>
        <v>59171</v>
      </c>
      <c r="FW81" s="911">
        <f t="shared" si="77"/>
        <v>59261</v>
      </c>
      <c r="FX81" s="912">
        <f t="shared" si="77"/>
        <v>59352</v>
      </c>
      <c r="FY81" s="912">
        <f t="shared" si="77"/>
        <v>59444</v>
      </c>
      <c r="FZ81" s="913">
        <f t="shared" si="77"/>
        <v>59536</v>
      </c>
      <c r="GA81" s="911">
        <f t="shared" si="77"/>
        <v>59626</v>
      </c>
      <c r="GB81" s="912">
        <f t="shared" si="77"/>
        <v>59717</v>
      </c>
      <c r="GC81" s="912">
        <f t="shared" si="77"/>
        <v>59809</v>
      </c>
      <c r="GD81" s="913">
        <f t="shared" si="77"/>
        <v>59901</v>
      </c>
    </row>
    <row r="82" spans="2:186" ht="17.100000000000001" customHeight="1">
      <c r="C82" s="307"/>
      <c r="D82" s="754" t="s">
        <v>1263</v>
      </c>
      <c r="E82" s="727"/>
      <c r="F82" s="948">
        <f>SUM(O82:GD82)</f>
        <v>0</v>
      </c>
      <c r="G82" s="761"/>
      <c r="H82" s="762"/>
      <c r="I82" s="762"/>
      <c r="J82" s="763"/>
      <c r="K82" s="761"/>
      <c r="L82" s="762"/>
      <c r="M82" s="762"/>
      <c r="N82" s="763"/>
      <c r="O82" s="728"/>
      <c r="P82" s="729"/>
      <c r="Q82" s="729"/>
      <c r="R82" s="730"/>
      <c r="S82" s="728"/>
      <c r="T82" s="729"/>
      <c r="U82" s="729"/>
      <c r="V82" s="730"/>
      <c r="W82" s="728"/>
      <c r="X82" s="729"/>
      <c r="Y82" s="729"/>
      <c r="Z82" s="730"/>
      <c r="AA82" s="728"/>
      <c r="AB82" s="729"/>
      <c r="AC82" s="729"/>
      <c r="AD82" s="730"/>
      <c r="AE82" s="728"/>
      <c r="AF82" s="729"/>
      <c r="AG82" s="729"/>
      <c r="AH82" s="730"/>
      <c r="AI82" s="728"/>
      <c r="AJ82" s="729"/>
      <c r="AK82" s="729"/>
      <c r="AL82" s="730"/>
      <c r="AM82" s="728"/>
      <c r="AN82" s="729"/>
      <c r="AO82" s="729"/>
      <c r="AP82" s="730"/>
      <c r="AQ82" s="728"/>
      <c r="AR82" s="729"/>
      <c r="AS82" s="729"/>
      <c r="AT82" s="730"/>
      <c r="AU82" s="728"/>
      <c r="AV82" s="729"/>
      <c r="AW82" s="729"/>
      <c r="AX82" s="730"/>
      <c r="AY82" s="728"/>
      <c r="AZ82" s="729"/>
      <c r="BA82" s="729"/>
      <c r="BB82" s="730"/>
      <c r="BC82" s="728"/>
      <c r="BD82" s="729"/>
      <c r="BE82" s="729"/>
      <c r="BF82" s="730"/>
      <c r="BG82" s="728"/>
      <c r="BH82" s="729"/>
      <c r="BI82" s="729"/>
      <c r="BJ82" s="730"/>
      <c r="BK82" s="728"/>
      <c r="BL82" s="729"/>
      <c r="BM82" s="729"/>
      <c r="BN82" s="730"/>
      <c r="BO82" s="728"/>
      <c r="BP82" s="729"/>
      <c r="BQ82" s="729"/>
      <c r="BR82" s="730"/>
      <c r="BS82" s="728"/>
      <c r="BT82" s="729"/>
      <c r="BU82" s="729"/>
      <c r="BV82" s="730"/>
      <c r="BW82" s="728"/>
      <c r="BX82" s="729"/>
      <c r="BY82" s="729"/>
      <c r="BZ82" s="730"/>
      <c r="CA82" s="728"/>
      <c r="CB82" s="729"/>
      <c r="CC82" s="729"/>
      <c r="CD82" s="730"/>
      <c r="CE82" s="728"/>
      <c r="CF82" s="729"/>
      <c r="CG82" s="729"/>
      <c r="CH82" s="730"/>
      <c r="CI82" s="728"/>
      <c r="CJ82" s="729"/>
      <c r="CK82" s="729"/>
      <c r="CL82" s="730"/>
      <c r="CM82" s="728"/>
      <c r="CN82" s="729"/>
      <c r="CO82" s="729"/>
      <c r="CP82" s="730"/>
      <c r="CQ82" s="728"/>
      <c r="CR82" s="729"/>
      <c r="CS82" s="729"/>
      <c r="CT82" s="730"/>
      <c r="CU82" s="728"/>
      <c r="CV82" s="729"/>
      <c r="CW82" s="729"/>
      <c r="CX82" s="730"/>
      <c r="CY82" s="728"/>
      <c r="CZ82" s="729"/>
      <c r="DA82" s="729"/>
      <c r="DB82" s="730"/>
      <c r="DC82" s="728"/>
      <c r="DD82" s="729"/>
      <c r="DE82" s="729"/>
      <c r="DF82" s="730"/>
      <c r="DG82" s="728"/>
      <c r="DH82" s="729"/>
      <c r="DI82" s="729"/>
      <c r="DJ82" s="730"/>
      <c r="DK82" s="728"/>
      <c r="DL82" s="729"/>
      <c r="DM82" s="729"/>
      <c r="DN82" s="730"/>
      <c r="DO82" s="728"/>
      <c r="DP82" s="729"/>
      <c r="DQ82" s="729"/>
      <c r="DR82" s="730"/>
      <c r="DS82" s="728"/>
      <c r="DT82" s="729"/>
      <c r="DU82" s="729"/>
      <c r="DV82" s="730"/>
      <c r="DW82" s="728"/>
      <c r="DX82" s="729"/>
      <c r="DY82" s="729"/>
      <c r="DZ82" s="730"/>
      <c r="EA82" s="728"/>
      <c r="EB82" s="729"/>
      <c r="EC82" s="729"/>
      <c r="ED82" s="730"/>
      <c r="EE82" s="728"/>
      <c r="EF82" s="729"/>
      <c r="EG82" s="729"/>
      <c r="EH82" s="730"/>
      <c r="EI82" s="728"/>
      <c r="EJ82" s="729"/>
      <c r="EK82" s="729"/>
      <c r="EL82" s="730"/>
      <c r="EM82" s="728"/>
      <c r="EN82" s="729"/>
      <c r="EO82" s="729"/>
      <c r="EP82" s="730"/>
      <c r="EQ82" s="728"/>
      <c r="ER82" s="729"/>
      <c r="ES82" s="729"/>
      <c r="ET82" s="730"/>
      <c r="EU82" s="728"/>
      <c r="EV82" s="729"/>
      <c r="EW82" s="729"/>
      <c r="EX82" s="730"/>
      <c r="EY82" s="728"/>
      <c r="EZ82" s="729"/>
      <c r="FA82" s="729"/>
      <c r="FB82" s="730"/>
      <c r="FC82" s="728"/>
      <c r="FD82" s="729"/>
      <c r="FE82" s="729"/>
      <c r="FF82" s="730"/>
      <c r="FG82" s="728"/>
      <c r="FH82" s="729"/>
      <c r="FI82" s="729"/>
      <c r="FJ82" s="730"/>
      <c r="FK82" s="728"/>
      <c r="FL82" s="729"/>
      <c r="FM82" s="729"/>
      <c r="FN82" s="730"/>
      <c r="FO82" s="728"/>
      <c r="FP82" s="729"/>
      <c r="FQ82" s="729"/>
      <c r="FR82" s="730"/>
      <c r="FS82" s="728"/>
      <c r="FT82" s="729"/>
      <c r="FU82" s="729"/>
      <c r="FV82" s="730"/>
      <c r="FW82" s="728"/>
      <c r="FX82" s="729"/>
      <c r="FY82" s="729"/>
      <c r="FZ82" s="730"/>
      <c r="GA82" s="728"/>
      <c r="GB82" s="729"/>
      <c r="GC82" s="729"/>
      <c r="GD82" s="730"/>
    </row>
    <row r="83" spans="2:186" ht="17.100000000000001" customHeight="1">
      <c r="C83" s="1365"/>
      <c r="D83" s="777" t="s">
        <v>1249</v>
      </c>
      <c r="E83" s="752"/>
      <c r="F83" s="645">
        <f>SUM(O83:GD83)</f>
        <v>0</v>
      </c>
      <c r="G83" s="1366">
        <f>G82</f>
        <v>0</v>
      </c>
      <c r="H83" s="1367">
        <f t="shared" ref="H83:BS83" si="78">H82</f>
        <v>0</v>
      </c>
      <c r="I83" s="1367">
        <f t="shared" si="78"/>
        <v>0</v>
      </c>
      <c r="J83" s="1368">
        <f t="shared" si="78"/>
        <v>0</v>
      </c>
      <c r="K83" s="1366">
        <f t="shared" si="78"/>
        <v>0</v>
      </c>
      <c r="L83" s="1367">
        <f t="shared" si="78"/>
        <v>0</v>
      </c>
      <c r="M83" s="1367">
        <f t="shared" si="78"/>
        <v>0</v>
      </c>
      <c r="N83" s="1368">
        <f t="shared" si="78"/>
        <v>0</v>
      </c>
      <c r="O83" s="1328">
        <f t="shared" si="78"/>
        <v>0</v>
      </c>
      <c r="P83" s="1329">
        <f t="shared" si="78"/>
        <v>0</v>
      </c>
      <c r="Q83" s="1329">
        <f t="shared" si="78"/>
        <v>0</v>
      </c>
      <c r="R83" s="1330">
        <f t="shared" si="78"/>
        <v>0</v>
      </c>
      <c r="S83" s="1328">
        <f t="shared" si="78"/>
        <v>0</v>
      </c>
      <c r="T83" s="1329">
        <f t="shared" si="78"/>
        <v>0</v>
      </c>
      <c r="U83" s="1329">
        <f t="shared" si="78"/>
        <v>0</v>
      </c>
      <c r="V83" s="1330">
        <f t="shared" si="78"/>
        <v>0</v>
      </c>
      <c r="W83" s="1328">
        <f t="shared" si="78"/>
        <v>0</v>
      </c>
      <c r="X83" s="1329">
        <f t="shared" si="78"/>
        <v>0</v>
      </c>
      <c r="Y83" s="1329">
        <f t="shared" si="78"/>
        <v>0</v>
      </c>
      <c r="Z83" s="1330">
        <f t="shared" si="78"/>
        <v>0</v>
      </c>
      <c r="AA83" s="1328">
        <f t="shared" si="78"/>
        <v>0</v>
      </c>
      <c r="AB83" s="1329">
        <f t="shared" si="78"/>
        <v>0</v>
      </c>
      <c r="AC83" s="1329">
        <f t="shared" si="78"/>
        <v>0</v>
      </c>
      <c r="AD83" s="1330">
        <f t="shared" si="78"/>
        <v>0</v>
      </c>
      <c r="AE83" s="1328">
        <f t="shared" si="78"/>
        <v>0</v>
      </c>
      <c r="AF83" s="1329">
        <f t="shared" si="78"/>
        <v>0</v>
      </c>
      <c r="AG83" s="1329">
        <f t="shared" si="78"/>
        <v>0</v>
      </c>
      <c r="AH83" s="1330">
        <f t="shared" si="78"/>
        <v>0</v>
      </c>
      <c r="AI83" s="1328">
        <f t="shared" si="78"/>
        <v>0</v>
      </c>
      <c r="AJ83" s="1329">
        <f t="shared" si="78"/>
        <v>0</v>
      </c>
      <c r="AK83" s="1329">
        <f t="shared" si="78"/>
        <v>0</v>
      </c>
      <c r="AL83" s="1330">
        <f t="shared" si="78"/>
        <v>0</v>
      </c>
      <c r="AM83" s="1328">
        <f t="shared" si="78"/>
        <v>0</v>
      </c>
      <c r="AN83" s="1329">
        <f t="shared" si="78"/>
        <v>0</v>
      </c>
      <c r="AO83" s="1329">
        <f t="shared" si="78"/>
        <v>0</v>
      </c>
      <c r="AP83" s="1330">
        <f t="shared" si="78"/>
        <v>0</v>
      </c>
      <c r="AQ83" s="1328">
        <f t="shared" si="78"/>
        <v>0</v>
      </c>
      <c r="AR83" s="1329">
        <f t="shared" si="78"/>
        <v>0</v>
      </c>
      <c r="AS83" s="1329">
        <f t="shared" si="78"/>
        <v>0</v>
      </c>
      <c r="AT83" s="1330">
        <f t="shared" si="78"/>
        <v>0</v>
      </c>
      <c r="AU83" s="1328">
        <f t="shared" si="78"/>
        <v>0</v>
      </c>
      <c r="AV83" s="1329">
        <f t="shared" si="78"/>
        <v>0</v>
      </c>
      <c r="AW83" s="1329">
        <f t="shared" si="78"/>
        <v>0</v>
      </c>
      <c r="AX83" s="1330">
        <f t="shared" si="78"/>
        <v>0</v>
      </c>
      <c r="AY83" s="1328">
        <f t="shared" si="78"/>
        <v>0</v>
      </c>
      <c r="AZ83" s="1329">
        <f t="shared" si="78"/>
        <v>0</v>
      </c>
      <c r="BA83" s="1329">
        <f t="shared" si="78"/>
        <v>0</v>
      </c>
      <c r="BB83" s="1330">
        <f t="shared" si="78"/>
        <v>0</v>
      </c>
      <c r="BC83" s="1328">
        <f t="shared" si="78"/>
        <v>0</v>
      </c>
      <c r="BD83" s="1329">
        <f t="shared" si="78"/>
        <v>0</v>
      </c>
      <c r="BE83" s="1329">
        <f t="shared" si="78"/>
        <v>0</v>
      </c>
      <c r="BF83" s="1330">
        <f t="shared" si="78"/>
        <v>0</v>
      </c>
      <c r="BG83" s="1328">
        <f t="shared" si="78"/>
        <v>0</v>
      </c>
      <c r="BH83" s="1329">
        <f t="shared" si="78"/>
        <v>0</v>
      </c>
      <c r="BI83" s="1329">
        <f t="shared" si="78"/>
        <v>0</v>
      </c>
      <c r="BJ83" s="1330">
        <f t="shared" si="78"/>
        <v>0</v>
      </c>
      <c r="BK83" s="1328">
        <f t="shared" si="78"/>
        <v>0</v>
      </c>
      <c r="BL83" s="1329">
        <f t="shared" si="78"/>
        <v>0</v>
      </c>
      <c r="BM83" s="1329">
        <f t="shared" si="78"/>
        <v>0</v>
      </c>
      <c r="BN83" s="1330">
        <f t="shared" si="78"/>
        <v>0</v>
      </c>
      <c r="BO83" s="1328">
        <f t="shared" si="78"/>
        <v>0</v>
      </c>
      <c r="BP83" s="1329">
        <f t="shared" si="78"/>
        <v>0</v>
      </c>
      <c r="BQ83" s="1329">
        <f t="shared" si="78"/>
        <v>0</v>
      </c>
      <c r="BR83" s="1330">
        <f t="shared" si="78"/>
        <v>0</v>
      </c>
      <c r="BS83" s="1328">
        <f t="shared" si="78"/>
        <v>0</v>
      </c>
      <c r="BT83" s="1329">
        <f t="shared" ref="BT83:EE83" si="79">BT82</f>
        <v>0</v>
      </c>
      <c r="BU83" s="1329">
        <f t="shared" si="79"/>
        <v>0</v>
      </c>
      <c r="BV83" s="1330">
        <f t="shared" si="79"/>
        <v>0</v>
      </c>
      <c r="BW83" s="1328">
        <f t="shared" si="79"/>
        <v>0</v>
      </c>
      <c r="BX83" s="1329">
        <f t="shared" si="79"/>
        <v>0</v>
      </c>
      <c r="BY83" s="1329">
        <f t="shared" si="79"/>
        <v>0</v>
      </c>
      <c r="BZ83" s="1330">
        <f t="shared" si="79"/>
        <v>0</v>
      </c>
      <c r="CA83" s="1328">
        <f t="shared" si="79"/>
        <v>0</v>
      </c>
      <c r="CB83" s="1329">
        <f t="shared" si="79"/>
        <v>0</v>
      </c>
      <c r="CC83" s="1329">
        <f t="shared" si="79"/>
        <v>0</v>
      </c>
      <c r="CD83" s="1330">
        <f t="shared" si="79"/>
        <v>0</v>
      </c>
      <c r="CE83" s="1328">
        <f t="shared" si="79"/>
        <v>0</v>
      </c>
      <c r="CF83" s="1329">
        <f t="shared" si="79"/>
        <v>0</v>
      </c>
      <c r="CG83" s="1329">
        <f t="shared" si="79"/>
        <v>0</v>
      </c>
      <c r="CH83" s="1330">
        <f t="shared" si="79"/>
        <v>0</v>
      </c>
      <c r="CI83" s="1328">
        <f t="shared" si="79"/>
        <v>0</v>
      </c>
      <c r="CJ83" s="1329">
        <f t="shared" si="79"/>
        <v>0</v>
      </c>
      <c r="CK83" s="1329">
        <f t="shared" si="79"/>
        <v>0</v>
      </c>
      <c r="CL83" s="1330">
        <f t="shared" si="79"/>
        <v>0</v>
      </c>
      <c r="CM83" s="1328">
        <f t="shared" si="79"/>
        <v>0</v>
      </c>
      <c r="CN83" s="1329">
        <f t="shared" si="79"/>
        <v>0</v>
      </c>
      <c r="CO83" s="1329">
        <f t="shared" si="79"/>
        <v>0</v>
      </c>
      <c r="CP83" s="1330">
        <f t="shared" si="79"/>
        <v>0</v>
      </c>
      <c r="CQ83" s="1328">
        <f t="shared" si="79"/>
        <v>0</v>
      </c>
      <c r="CR83" s="1329">
        <f t="shared" si="79"/>
        <v>0</v>
      </c>
      <c r="CS83" s="1329">
        <f t="shared" si="79"/>
        <v>0</v>
      </c>
      <c r="CT83" s="1330">
        <f t="shared" si="79"/>
        <v>0</v>
      </c>
      <c r="CU83" s="1328">
        <f t="shared" si="79"/>
        <v>0</v>
      </c>
      <c r="CV83" s="1329">
        <f t="shared" si="79"/>
        <v>0</v>
      </c>
      <c r="CW83" s="1329">
        <f t="shared" si="79"/>
        <v>0</v>
      </c>
      <c r="CX83" s="1330">
        <f t="shared" si="79"/>
        <v>0</v>
      </c>
      <c r="CY83" s="1328">
        <f t="shared" si="79"/>
        <v>0</v>
      </c>
      <c r="CZ83" s="1329">
        <f t="shared" si="79"/>
        <v>0</v>
      </c>
      <c r="DA83" s="1329">
        <f t="shared" si="79"/>
        <v>0</v>
      </c>
      <c r="DB83" s="1330">
        <f t="shared" si="79"/>
        <v>0</v>
      </c>
      <c r="DC83" s="1328">
        <f t="shared" si="79"/>
        <v>0</v>
      </c>
      <c r="DD83" s="1329">
        <f t="shared" si="79"/>
        <v>0</v>
      </c>
      <c r="DE83" s="1329">
        <f t="shared" si="79"/>
        <v>0</v>
      </c>
      <c r="DF83" s="1330">
        <f t="shared" si="79"/>
        <v>0</v>
      </c>
      <c r="DG83" s="1328">
        <f t="shared" si="79"/>
        <v>0</v>
      </c>
      <c r="DH83" s="1329">
        <f t="shared" si="79"/>
        <v>0</v>
      </c>
      <c r="DI83" s="1329">
        <f t="shared" si="79"/>
        <v>0</v>
      </c>
      <c r="DJ83" s="1330">
        <f t="shared" si="79"/>
        <v>0</v>
      </c>
      <c r="DK83" s="1328">
        <f t="shared" si="79"/>
        <v>0</v>
      </c>
      <c r="DL83" s="1329">
        <f t="shared" si="79"/>
        <v>0</v>
      </c>
      <c r="DM83" s="1329">
        <f t="shared" si="79"/>
        <v>0</v>
      </c>
      <c r="DN83" s="1330">
        <f t="shared" si="79"/>
        <v>0</v>
      </c>
      <c r="DO83" s="1328">
        <f t="shared" si="79"/>
        <v>0</v>
      </c>
      <c r="DP83" s="1329">
        <f t="shared" si="79"/>
        <v>0</v>
      </c>
      <c r="DQ83" s="1329">
        <f t="shared" si="79"/>
        <v>0</v>
      </c>
      <c r="DR83" s="1330">
        <f t="shared" si="79"/>
        <v>0</v>
      </c>
      <c r="DS83" s="1328">
        <f t="shared" si="79"/>
        <v>0</v>
      </c>
      <c r="DT83" s="1329">
        <f t="shared" si="79"/>
        <v>0</v>
      </c>
      <c r="DU83" s="1329">
        <f t="shared" si="79"/>
        <v>0</v>
      </c>
      <c r="DV83" s="1330">
        <f t="shared" si="79"/>
        <v>0</v>
      </c>
      <c r="DW83" s="1328">
        <f t="shared" si="79"/>
        <v>0</v>
      </c>
      <c r="DX83" s="1329">
        <f t="shared" si="79"/>
        <v>0</v>
      </c>
      <c r="DY83" s="1329">
        <f t="shared" si="79"/>
        <v>0</v>
      </c>
      <c r="DZ83" s="1330">
        <f t="shared" si="79"/>
        <v>0</v>
      </c>
      <c r="EA83" s="1328">
        <f t="shared" si="79"/>
        <v>0</v>
      </c>
      <c r="EB83" s="1329">
        <f t="shared" si="79"/>
        <v>0</v>
      </c>
      <c r="EC83" s="1329">
        <f t="shared" si="79"/>
        <v>0</v>
      </c>
      <c r="ED83" s="1330">
        <f t="shared" si="79"/>
        <v>0</v>
      </c>
      <c r="EE83" s="1328">
        <f t="shared" si="79"/>
        <v>0</v>
      </c>
      <c r="EF83" s="1329">
        <f t="shared" ref="EF83:GD83" si="80">EF82</f>
        <v>0</v>
      </c>
      <c r="EG83" s="1329">
        <f t="shared" si="80"/>
        <v>0</v>
      </c>
      <c r="EH83" s="1330">
        <f t="shared" si="80"/>
        <v>0</v>
      </c>
      <c r="EI83" s="1328">
        <f t="shared" si="80"/>
        <v>0</v>
      </c>
      <c r="EJ83" s="1329">
        <f t="shared" si="80"/>
        <v>0</v>
      </c>
      <c r="EK83" s="1329">
        <f t="shared" si="80"/>
        <v>0</v>
      </c>
      <c r="EL83" s="1330">
        <f t="shared" si="80"/>
        <v>0</v>
      </c>
      <c r="EM83" s="1328">
        <f t="shared" si="80"/>
        <v>0</v>
      </c>
      <c r="EN83" s="1329">
        <f t="shared" si="80"/>
        <v>0</v>
      </c>
      <c r="EO83" s="1329">
        <f t="shared" si="80"/>
        <v>0</v>
      </c>
      <c r="EP83" s="1330">
        <f t="shared" si="80"/>
        <v>0</v>
      </c>
      <c r="EQ83" s="1328">
        <f t="shared" si="80"/>
        <v>0</v>
      </c>
      <c r="ER83" s="1329">
        <f t="shared" si="80"/>
        <v>0</v>
      </c>
      <c r="ES83" s="1329">
        <f t="shared" si="80"/>
        <v>0</v>
      </c>
      <c r="ET83" s="1330">
        <f t="shared" si="80"/>
        <v>0</v>
      </c>
      <c r="EU83" s="1328">
        <f t="shared" si="80"/>
        <v>0</v>
      </c>
      <c r="EV83" s="1329">
        <f t="shared" si="80"/>
        <v>0</v>
      </c>
      <c r="EW83" s="1329">
        <f t="shared" si="80"/>
        <v>0</v>
      </c>
      <c r="EX83" s="1330">
        <f t="shared" si="80"/>
        <v>0</v>
      </c>
      <c r="EY83" s="1328">
        <f t="shared" si="80"/>
        <v>0</v>
      </c>
      <c r="EZ83" s="1329">
        <f t="shared" si="80"/>
        <v>0</v>
      </c>
      <c r="FA83" s="1329">
        <f t="shared" si="80"/>
        <v>0</v>
      </c>
      <c r="FB83" s="1330">
        <f t="shared" si="80"/>
        <v>0</v>
      </c>
      <c r="FC83" s="1328">
        <f t="shared" si="80"/>
        <v>0</v>
      </c>
      <c r="FD83" s="1329">
        <f t="shared" si="80"/>
        <v>0</v>
      </c>
      <c r="FE83" s="1329">
        <f t="shared" si="80"/>
        <v>0</v>
      </c>
      <c r="FF83" s="1330">
        <f t="shared" si="80"/>
        <v>0</v>
      </c>
      <c r="FG83" s="1328">
        <f t="shared" si="80"/>
        <v>0</v>
      </c>
      <c r="FH83" s="1329">
        <f t="shared" si="80"/>
        <v>0</v>
      </c>
      <c r="FI83" s="1329">
        <f t="shared" si="80"/>
        <v>0</v>
      </c>
      <c r="FJ83" s="1330">
        <f t="shared" si="80"/>
        <v>0</v>
      </c>
      <c r="FK83" s="1328">
        <f t="shared" si="80"/>
        <v>0</v>
      </c>
      <c r="FL83" s="1329">
        <f t="shared" si="80"/>
        <v>0</v>
      </c>
      <c r="FM83" s="1329">
        <f t="shared" si="80"/>
        <v>0</v>
      </c>
      <c r="FN83" s="1330">
        <f t="shared" si="80"/>
        <v>0</v>
      </c>
      <c r="FO83" s="1328">
        <f t="shared" si="80"/>
        <v>0</v>
      </c>
      <c r="FP83" s="1329">
        <f t="shared" si="80"/>
        <v>0</v>
      </c>
      <c r="FQ83" s="1329">
        <f t="shared" si="80"/>
        <v>0</v>
      </c>
      <c r="FR83" s="1330">
        <f t="shared" si="80"/>
        <v>0</v>
      </c>
      <c r="FS83" s="1328">
        <f t="shared" si="80"/>
        <v>0</v>
      </c>
      <c r="FT83" s="1329">
        <f t="shared" si="80"/>
        <v>0</v>
      </c>
      <c r="FU83" s="1329">
        <f t="shared" si="80"/>
        <v>0</v>
      </c>
      <c r="FV83" s="1330">
        <f t="shared" si="80"/>
        <v>0</v>
      </c>
      <c r="FW83" s="1328">
        <f t="shared" si="80"/>
        <v>0</v>
      </c>
      <c r="FX83" s="1329">
        <f t="shared" si="80"/>
        <v>0</v>
      </c>
      <c r="FY83" s="1329">
        <f t="shared" si="80"/>
        <v>0</v>
      </c>
      <c r="FZ83" s="1330">
        <f t="shared" si="80"/>
        <v>0</v>
      </c>
      <c r="GA83" s="1328">
        <f t="shared" si="80"/>
        <v>0</v>
      </c>
      <c r="GB83" s="1329">
        <f t="shared" si="80"/>
        <v>0</v>
      </c>
      <c r="GC83" s="1329">
        <f t="shared" si="80"/>
        <v>0</v>
      </c>
      <c r="GD83" s="1330">
        <f t="shared" si="80"/>
        <v>0</v>
      </c>
    </row>
    <row r="84" spans="2:186" ht="17.100000000000001" customHeight="1">
      <c r="D84" s="754"/>
      <c r="E84" s="755"/>
      <c r="F84" s="753"/>
      <c r="G84" s="788"/>
      <c r="H84" s="788"/>
      <c r="I84" s="788"/>
      <c r="J84" s="788"/>
      <c r="K84" s="788"/>
      <c r="L84" s="788"/>
      <c r="M84" s="788"/>
      <c r="N84" s="788"/>
      <c r="O84" s="788"/>
      <c r="P84" s="788"/>
      <c r="Q84" s="788"/>
      <c r="R84" s="788"/>
      <c r="S84" s="788"/>
      <c r="T84" s="788"/>
      <c r="U84" s="788"/>
      <c r="V84" s="788"/>
      <c r="W84" s="788"/>
      <c r="X84" s="788"/>
      <c r="Y84" s="788"/>
      <c r="Z84" s="788"/>
      <c r="AA84" s="788"/>
      <c r="AB84" s="788"/>
      <c r="AC84" s="788"/>
      <c r="AD84" s="788"/>
      <c r="AE84" s="788"/>
      <c r="AF84" s="788"/>
      <c r="AG84" s="788"/>
      <c r="AH84" s="788"/>
      <c r="AI84" s="788"/>
      <c r="AJ84" s="788"/>
      <c r="AK84" s="788"/>
      <c r="AL84" s="788"/>
      <c r="AM84" s="788"/>
      <c r="AN84" s="788"/>
      <c r="AO84" s="788"/>
      <c r="AP84" s="788"/>
      <c r="AQ84" s="788"/>
      <c r="AR84" s="788"/>
      <c r="AS84" s="788"/>
      <c r="AT84" s="788"/>
      <c r="AU84" s="788"/>
      <c r="AV84" s="788"/>
      <c r="AW84" s="788"/>
      <c r="AX84" s="788"/>
      <c r="AY84" s="788"/>
      <c r="AZ84" s="788"/>
      <c r="BA84" s="788"/>
      <c r="BB84" s="788"/>
      <c r="BC84" s="788"/>
      <c r="BD84" s="788"/>
      <c r="BE84" s="788"/>
      <c r="BF84" s="788"/>
      <c r="BG84" s="788"/>
      <c r="BH84" s="788"/>
      <c r="BI84" s="788"/>
      <c r="BJ84" s="788"/>
      <c r="BK84" s="788"/>
      <c r="BL84" s="788"/>
      <c r="BM84" s="788"/>
      <c r="BN84" s="788"/>
      <c r="BO84" s="788"/>
      <c r="BP84" s="788"/>
      <c r="BQ84" s="788"/>
      <c r="BR84" s="788"/>
      <c r="BS84" s="788"/>
      <c r="BT84" s="788"/>
      <c r="BU84" s="788"/>
      <c r="BV84" s="788"/>
      <c r="BW84" s="788"/>
      <c r="BX84" s="788"/>
      <c r="BY84" s="788"/>
      <c r="BZ84" s="788"/>
      <c r="CA84" s="788"/>
      <c r="CB84" s="788"/>
      <c r="CC84" s="788"/>
      <c r="CD84" s="788"/>
      <c r="CE84" s="788"/>
      <c r="CF84" s="788"/>
      <c r="CG84" s="788"/>
      <c r="CH84" s="788"/>
      <c r="CI84" s="788"/>
      <c r="CJ84" s="788"/>
      <c r="CK84" s="788"/>
      <c r="CL84" s="788"/>
      <c r="CM84" s="788"/>
      <c r="CN84" s="788"/>
      <c r="CO84" s="788"/>
      <c r="CP84" s="788"/>
      <c r="CQ84" s="788"/>
      <c r="CR84" s="788"/>
      <c r="CS84" s="788"/>
      <c r="CT84" s="788"/>
      <c r="CU84" s="788"/>
      <c r="CV84" s="788"/>
      <c r="CW84" s="788"/>
      <c r="CX84" s="788"/>
      <c r="CY84" s="788"/>
      <c r="CZ84" s="788"/>
      <c r="DA84" s="788"/>
      <c r="DB84" s="788"/>
      <c r="DC84" s="788"/>
      <c r="DD84" s="788"/>
      <c r="DE84" s="788"/>
      <c r="DF84" s="788"/>
      <c r="DG84" s="788"/>
      <c r="DH84" s="788"/>
      <c r="DI84" s="788"/>
      <c r="DJ84" s="788"/>
      <c r="DK84" s="788"/>
      <c r="DL84" s="788"/>
      <c r="DM84" s="788"/>
      <c r="DN84" s="788"/>
      <c r="DO84" s="788"/>
      <c r="DP84" s="788"/>
      <c r="DQ84" s="788"/>
      <c r="DR84" s="788"/>
      <c r="DS84" s="788"/>
      <c r="DT84" s="788"/>
      <c r="DU84" s="788"/>
      <c r="DV84" s="788"/>
      <c r="DW84" s="788"/>
      <c r="DX84" s="788"/>
      <c r="DY84" s="788"/>
      <c r="DZ84" s="788"/>
      <c r="EA84" s="788"/>
      <c r="EB84" s="788"/>
      <c r="EC84" s="788"/>
      <c r="ED84" s="788"/>
      <c r="EE84" s="788"/>
      <c r="EF84" s="788"/>
      <c r="EG84" s="788"/>
      <c r="EH84" s="788"/>
      <c r="EI84" s="788"/>
      <c r="EJ84" s="788"/>
      <c r="EK84" s="788"/>
      <c r="EL84" s="788"/>
      <c r="EM84" s="788"/>
      <c r="EN84" s="788"/>
      <c r="EO84" s="788"/>
      <c r="EP84" s="788"/>
      <c r="EQ84" s="788"/>
      <c r="ER84" s="788"/>
      <c r="ES84" s="788"/>
      <c r="ET84" s="788"/>
      <c r="EU84" s="788"/>
      <c r="EV84" s="788"/>
      <c r="EW84" s="788"/>
      <c r="EX84" s="788"/>
      <c r="EY84" s="788"/>
      <c r="EZ84" s="788"/>
      <c r="FA84" s="788"/>
      <c r="FB84" s="788"/>
      <c r="FC84" s="788"/>
      <c r="FD84" s="788"/>
      <c r="FE84" s="788"/>
      <c r="FF84" s="788"/>
      <c r="FG84" s="788"/>
      <c r="FH84" s="788"/>
      <c r="FI84" s="788"/>
      <c r="FJ84" s="788"/>
      <c r="FK84" s="788"/>
      <c r="FL84" s="788"/>
      <c r="FM84" s="788"/>
      <c r="FN84" s="788"/>
      <c r="FO84" s="788"/>
      <c r="FP84" s="788"/>
      <c r="FQ84" s="788"/>
      <c r="FR84" s="788"/>
      <c r="FS84" s="788"/>
      <c r="FT84" s="788"/>
      <c r="FU84" s="788"/>
      <c r="FV84" s="788"/>
      <c r="FW84" s="788"/>
      <c r="FX84" s="788"/>
      <c r="FY84" s="788"/>
      <c r="FZ84" s="788"/>
      <c r="GA84" s="788"/>
      <c r="GB84" s="788"/>
      <c r="GC84" s="788"/>
      <c r="GD84" s="788"/>
    </row>
    <row r="85" spans="2:186" ht="17.100000000000001" customHeight="1">
      <c r="B85" s="302" t="s">
        <v>252</v>
      </c>
      <c r="S85" s="1357"/>
    </row>
    <row r="86" spans="2:186" ht="17.100000000000001" customHeight="1">
      <c r="G86" s="451"/>
      <c r="R86" s="1357"/>
      <c r="S86" s="1357"/>
      <c r="AN86" s="401"/>
    </row>
    <row r="87" spans="2:186" ht="17.100000000000001" customHeight="1">
      <c r="C87" s="717"/>
      <c r="D87" s="718" t="s">
        <v>780</v>
      </c>
      <c r="E87" s="719"/>
      <c r="F87" s="719" t="s">
        <v>774</v>
      </c>
      <c r="G87" s="911">
        <f>기준분기</f>
        <v>43555</v>
      </c>
      <c r="H87" s="912">
        <f t="shared" ref="H87:BS87" si="81">EOMONTH(G87,3)</f>
        <v>43646</v>
      </c>
      <c r="I87" s="912">
        <f t="shared" si="81"/>
        <v>43738</v>
      </c>
      <c r="J87" s="913">
        <f t="shared" si="81"/>
        <v>43830</v>
      </c>
      <c r="K87" s="911">
        <f t="shared" si="81"/>
        <v>43921</v>
      </c>
      <c r="L87" s="912">
        <f t="shared" si="81"/>
        <v>44012</v>
      </c>
      <c r="M87" s="912">
        <f t="shared" si="81"/>
        <v>44104</v>
      </c>
      <c r="N87" s="913">
        <f t="shared" si="81"/>
        <v>44196</v>
      </c>
      <c r="O87" s="911">
        <f t="shared" si="81"/>
        <v>44286</v>
      </c>
      <c r="P87" s="912">
        <f t="shared" si="81"/>
        <v>44377</v>
      </c>
      <c r="Q87" s="912">
        <f t="shared" si="81"/>
        <v>44469</v>
      </c>
      <c r="R87" s="913">
        <f t="shared" si="81"/>
        <v>44561</v>
      </c>
      <c r="S87" s="911">
        <f t="shared" si="81"/>
        <v>44651</v>
      </c>
      <c r="T87" s="912">
        <f t="shared" si="81"/>
        <v>44742</v>
      </c>
      <c r="U87" s="912">
        <f t="shared" si="81"/>
        <v>44834</v>
      </c>
      <c r="V87" s="913">
        <f t="shared" si="81"/>
        <v>44926</v>
      </c>
      <c r="W87" s="911">
        <f t="shared" si="81"/>
        <v>45016</v>
      </c>
      <c r="X87" s="912">
        <f t="shared" si="81"/>
        <v>45107</v>
      </c>
      <c r="Y87" s="912">
        <f t="shared" si="81"/>
        <v>45199</v>
      </c>
      <c r="Z87" s="913">
        <f t="shared" si="81"/>
        <v>45291</v>
      </c>
      <c r="AA87" s="911">
        <f t="shared" si="81"/>
        <v>45382</v>
      </c>
      <c r="AB87" s="912">
        <f t="shared" si="81"/>
        <v>45473</v>
      </c>
      <c r="AC87" s="912">
        <f t="shared" si="81"/>
        <v>45565</v>
      </c>
      <c r="AD87" s="913">
        <f t="shared" si="81"/>
        <v>45657</v>
      </c>
      <c r="AE87" s="911">
        <f t="shared" si="81"/>
        <v>45747</v>
      </c>
      <c r="AF87" s="912">
        <f t="shared" si="81"/>
        <v>45838</v>
      </c>
      <c r="AG87" s="912">
        <f t="shared" si="81"/>
        <v>45930</v>
      </c>
      <c r="AH87" s="913">
        <f t="shared" si="81"/>
        <v>46022</v>
      </c>
      <c r="AI87" s="911">
        <f t="shared" si="81"/>
        <v>46112</v>
      </c>
      <c r="AJ87" s="912">
        <f t="shared" si="81"/>
        <v>46203</v>
      </c>
      <c r="AK87" s="912">
        <f t="shared" si="81"/>
        <v>46295</v>
      </c>
      <c r="AL87" s="913">
        <f t="shared" si="81"/>
        <v>46387</v>
      </c>
      <c r="AM87" s="911">
        <f t="shared" si="81"/>
        <v>46477</v>
      </c>
      <c r="AN87" s="912">
        <f t="shared" si="81"/>
        <v>46568</v>
      </c>
      <c r="AO87" s="912">
        <f t="shared" si="81"/>
        <v>46660</v>
      </c>
      <c r="AP87" s="913">
        <f t="shared" si="81"/>
        <v>46752</v>
      </c>
      <c r="AQ87" s="911">
        <f t="shared" si="81"/>
        <v>46843</v>
      </c>
      <c r="AR87" s="912">
        <f t="shared" si="81"/>
        <v>46934</v>
      </c>
      <c r="AS87" s="912">
        <f t="shared" si="81"/>
        <v>47026</v>
      </c>
      <c r="AT87" s="913">
        <f t="shared" si="81"/>
        <v>47118</v>
      </c>
      <c r="AU87" s="911">
        <f t="shared" si="81"/>
        <v>47208</v>
      </c>
      <c r="AV87" s="912">
        <f t="shared" si="81"/>
        <v>47299</v>
      </c>
      <c r="AW87" s="912">
        <f t="shared" si="81"/>
        <v>47391</v>
      </c>
      <c r="AX87" s="913">
        <f t="shared" si="81"/>
        <v>47483</v>
      </c>
      <c r="AY87" s="911">
        <f t="shared" si="81"/>
        <v>47573</v>
      </c>
      <c r="AZ87" s="912">
        <f t="shared" si="81"/>
        <v>47664</v>
      </c>
      <c r="BA87" s="912">
        <f t="shared" si="81"/>
        <v>47756</v>
      </c>
      <c r="BB87" s="913">
        <f t="shared" si="81"/>
        <v>47848</v>
      </c>
      <c r="BC87" s="911">
        <f t="shared" si="81"/>
        <v>47938</v>
      </c>
      <c r="BD87" s="912">
        <f t="shared" si="81"/>
        <v>48029</v>
      </c>
      <c r="BE87" s="912">
        <f t="shared" si="81"/>
        <v>48121</v>
      </c>
      <c r="BF87" s="913">
        <f t="shared" si="81"/>
        <v>48213</v>
      </c>
      <c r="BG87" s="911">
        <f t="shared" si="81"/>
        <v>48304</v>
      </c>
      <c r="BH87" s="912">
        <f t="shared" si="81"/>
        <v>48395</v>
      </c>
      <c r="BI87" s="912">
        <f t="shared" si="81"/>
        <v>48487</v>
      </c>
      <c r="BJ87" s="913">
        <f t="shared" si="81"/>
        <v>48579</v>
      </c>
      <c r="BK87" s="911">
        <f t="shared" si="81"/>
        <v>48669</v>
      </c>
      <c r="BL87" s="912">
        <f t="shared" si="81"/>
        <v>48760</v>
      </c>
      <c r="BM87" s="912">
        <f t="shared" si="81"/>
        <v>48852</v>
      </c>
      <c r="BN87" s="913">
        <f t="shared" si="81"/>
        <v>48944</v>
      </c>
      <c r="BO87" s="911">
        <f t="shared" si="81"/>
        <v>49034</v>
      </c>
      <c r="BP87" s="912">
        <f t="shared" si="81"/>
        <v>49125</v>
      </c>
      <c r="BQ87" s="912">
        <f t="shared" si="81"/>
        <v>49217</v>
      </c>
      <c r="BR87" s="913">
        <f t="shared" si="81"/>
        <v>49309</v>
      </c>
      <c r="BS87" s="911">
        <f t="shared" si="81"/>
        <v>49399</v>
      </c>
      <c r="BT87" s="912">
        <f t="shared" ref="BT87:EE87" si="82">EOMONTH(BS87,3)</f>
        <v>49490</v>
      </c>
      <c r="BU87" s="912">
        <f t="shared" si="82"/>
        <v>49582</v>
      </c>
      <c r="BV87" s="913">
        <f t="shared" si="82"/>
        <v>49674</v>
      </c>
      <c r="BW87" s="911">
        <f t="shared" si="82"/>
        <v>49765</v>
      </c>
      <c r="BX87" s="912">
        <f t="shared" si="82"/>
        <v>49856</v>
      </c>
      <c r="BY87" s="912">
        <f t="shared" si="82"/>
        <v>49948</v>
      </c>
      <c r="BZ87" s="913">
        <f t="shared" si="82"/>
        <v>50040</v>
      </c>
      <c r="CA87" s="911">
        <f t="shared" si="82"/>
        <v>50130</v>
      </c>
      <c r="CB87" s="912">
        <f t="shared" si="82"/>
        <v>50221</v>
      </c>
      <c r="CC87" s="912">
        <f t="shared" si="82"/>
        <v>50313</v>
      </c>
      <c r="CD87" s="913">
        <f t="shared" si="82"/>
        <v>50405</v>
      </c>
      <c r="CE87" s="911">
        <f t="shared" si="82"/>
        <v>50495</v>
      </c>
      <c r="CF87" s="912">
        <f t="shared" si="82"/>
        <v>50586</v>
      </c>
      <c r="CG87" s="912">
        <f t="shared" si="82"/>
        <v>50678</v>
      </c>
      <c r="CH87" s="913">
        <f t="shared" si="82"/>
        <v>50770</v>
      </c>
      <c r="CI87" s="911">
        <f t="shared" si="82"/>
        <v>50860</v>
      </c>
      <c r="CJ87" s="912">
        <f t="shared" si="82"/>
        <v>50951</v>
      </c>
      <c r="CK87" s="912">
        <f t="shared" si="82"/>
        <v>51043</v>
      </c>
      <c r="CL87" s="913">
        <f t="shared" si="82"/>
        <v>51135</v>
      </c>
      <c r="CM87" s="911">
        <f t="shared" si="82"/>
        <v>51226</v>
      </c>
      <c r="CN87" s="912">
        <f t="shared" si="82"/>
        <v>51317</v>
      </c>
      <c r="CO87" s="912">
        <f t="shared" si="82"/>
        <v>51409</v>
      </c>
      <c r="CP87" s="913">
        <f t="shared" si="82"/>
        <v>51501</v>
      </c>
      <c r="CQ87" s="911">
        <f t="shared" si="82"/>
        <v>51591</v>
      </c>
      <c r="CR87" s="912">
        <f t="shared" si="82"/>
        <v>51682</v>
      </c>
      <c r="CS87" s="912">
        <f t="shared" si="82"/>
        <v>51774</v>
      </c>
      <c r="CT87" s="913">
        <f t="shared" si="82"/>
        <v>51866</v>
      </c>
      <c r="CU87" s="911">
        <f t="shared" si="82"/>
        <v>51956</v>
      </c>
      <c r="CV87" s="912">
        <f t="shared" si="82"/>
        <v>52047</v>
      </c>
      <c r="CW87" s="912">
        <f t="shared" si="82"/>
        <v>52139</v>
      </c>
      <c r="CX87" s="913">
        <f t="shared" si="82"/>
        <v>52231</v>
      </c>
      <c r="CY87" s="911">
        <f t="shared" si="82"/>
        <v>52321</v>
      </c>
      <c r="CZ87" s="912">
        <f t="shared" si="82"/>
        <v>52412</v>
      </c>
      <c r="DA87" s="912">
        <f t="shared" si="82"/>
        <v>52504</v>
      </c>
      <c r="DB87" s="913">
        <f t="shared" si="82"/>
        <v>52596</v>
      </c>
      <c r="DC87" s="911">
        <f t="shared" si="82"/>
        <v>52687</v>
      </c>
      <c r="DD87" s="912">
        <f t="shared" si="82"/>
        <v>52778</v>
      </c>
      <c r="DE87" s="912">
        <f t="shared" si="82"/>
        <v>52870</v>
      </c>
      <c r="DF87" s="913">
        <f t="shared" si="82"/>
        <v>52962</v>
      </c>
      <c r="DG87" s="911">
        <f t="shared" si="82"/>
        <v>53052</v>
      </c>
      <c r="DH87" s="912">
        <f t="shared" si="82"/>
        <v>53143</v>
      </c>
      <c r="DI87" s="912">
        <f t="shared" si="82"/>
        <v>53235</v>
      </c>
      <c r="DJ87" s="913">
        <f t="shared" si="82"/>
        <v>53327</v>
      </c>
      <c r="DK87" s="911">
        <f t="shared" si="82"/>
        <v>53417</v>
      </c>
      <c r="DL87" s="912">
        <f t="shared" si="82"/>
        <v>53508</v>
      </c>
      <c r="DM87" s="912">
        <f t="shared" si="82"/>
        <v>53600</v>
      </c>
      <c r="DN87" s="913">
        <f t="shared" si="82"/>
        <v>53692</v>
      </c>
      <c r="DO87" s="911">
        <f t="shared" si="82"/>
        <v>53782</v>
      </c>
      <c r="DP87" s="912">
        <f t="shared" si="82"/>
        <v>53873</v>
      </c>
      <c r="DQ87" s="912">
        <f t="shared" si="82"/>
        <v>53965</v>
      </c>
      <c r="DR87" s="913">
        <f t="shared" si="82"/>
        <v>54057</v>
      </c>
      <c r="DS87" s="911">
        <f t="shared" si="82"/>
        <v>54148</v>
      </c>
      <c r="DT87" s="912">
        <f t="shared" si="82"/>
        <v>54239</v>
      </c>
      <c r="DU87" s="912">
        <f t="shared" si="82"/>
        <v>54331</v>
      </c>
      <c r="DV87" s="913">
        <f t="shared" si="82"/>
        <v>54423</v>
      </c>
      <c r="DW87" s="911">
        <f t="shared" si="82"/>
        <v>54513</v>
      </c>
      <c r="DX87" s="912">
        <f t="shared" si="82"/>
        <v>54604</v>
      </c>
      <c r="DY87" s="912">
        <f t="shared" si="82"/>
        <v>54696</v>
      </c>
      <c r="DZ87" s="913">
        <f t="shared" si="82"/>
        <v>54788</v>
      </c>
      <c r="EA87" s="911">
        <f t="shared" si="82"/>
        <v>54878</v>
      </c>
      <c r="EB87" s="912">
        <f t="shared" si="82"/>
        <v>54969</v>
      </c>
      <c r="EC87" s="912">
        <f t="shared" si="82"/>
        <v>55061</v>
      </c>
      <c r="ED87" s="913">
        <f t="shared" si="82"/>
        <v>55153</v>
      </c>
      <c r="EE87" s="911">
        <f t="shared" si="82"/>
        <v>55243</v>
      </c>
      <c r="EF87" s="912">
        <f t="shared" ref="EF87:GD87" si="83">EOMONTH(EE87,3)</f>
        <v>55334</v>
      </c>
      <c r="EG87" s="912">
        <f t="shared" si="83"/>
        <v>55426</v>
      </c>
      <c r="EH87" s="913">
        <f t="shared" si="83"/>
        <v>55518</v>
      </c>
      <c r="EI87" s="911">
        <f t="shared" si="83"/>
        <v>55609</v>
      </c>
      <c r="EJ87" s="912">
        <f t="shared" si="83"/>
        <v>55700</v>
      </c>
      <c r="EK87" s="912">
        <f t="shared" si="83"/>
        <v>55792</v>
      </c>
      <c r="EL87" s="913">
        <f t="shared" si="83"/>
        <v>55884</v>
      </c>
      <c r="EM87" s="911">
        <f t="shared" si="83"/>
        <v>55974</v>
      </c>
      <c r="EN87" s="912">
        <f t="shared" si="83"/>
        <v>56065</v>
      </c>
      <c r="EO87" s="912">
        <f t="shared" si="83"/>
        <v>56157</v>
      </c>
      <c r="EP87" s="913">
        <f t="shared" si="83"/>
        <v>56249</v>
      </c>
      <c r="EQ87" s="911">
        <f t="shared" si="83"/>
        <v>56339</v>
      </c>
      <c r="ER87" s="912">
        <f t="shared" si="83"/>
        <v>56430</v>
      </c>
      <c r="ES87" s="912">
        <f t="shared" si="83"/>
        <v>56522</v>
      </c>
      <c r="ET87" s="913">
        <f t="shared" si="83"/>
        <v>56614</v>
      </c>
      <c r="EU87" s="911">
        <f t="shared" si="83"/>
        <v>56704</v>
      </c>
      <c r="EV87" s="912">
        <f t="shared" si="83"/>
        <v>56795</v>
      </c>
      <c r="EW87" s="912">
        <f t="shared" si="83"/>
        <v>56887</v>
      </c>
      <c r="EX87" s="913">
        <f t="shared" si="83"/>
        <v>56979</v>
      </c>
      <c r="EY87" s="911">
        <f t="shared" si="83"/>
        <v>57070</v>
      </c>
      <c r="EZ87" s="912">
        <f t="shared" si="83"/>
        <v>57161</v>
      </c>
      <c r="FA87" s="912">
        <f t="shared" si="83"/>
        <v>57253</v>
      </c>
      <c r="FB87" s="913">
        <f t="shared" si="83"/>
        <v>57345</v>
      </c>
      <c r="FC87" s="911">
        <f t="shared" si="83"/>
        <v>57435</v>
      </c>
      <c r="FD87" s="912">
        <f t="shared" si="83"/>
        <v>57526</v>
      </c>
      <c r="FE87" s="912">
        <f t="shared" si="83"/>
        <v>57618</v>
      </c>
      <c r="FF87" s="913">
        <f t="shared" si="83"/>
        <v>57710</v>
      </c>
      <c r="FG87" s="911">
        <f t="shared" si="83"/>
        <v>57800</v>
      </c>
      <c r="FH87" s="912">
        <f t="shared" si="83"/>
        <v>57891</v>
      </c>
      <c r="FI87" s="912">
        <f t="shared" si="83"/>
        <v>57983</v>
      </c>
      <c r="FJ87" s="913">
        <f t="shared" si="83"/>
        <v>58075</v>
      </c>
      <c r="FK87" s="911">
        <f t="shared" si="83"/>
        <v>58165</v>
      </c>
      <c r="FL87" s="912">
        <f t="shared" si="83"/>
        <v>58256</v>
      </c>
      <c r="FM87" s="912">
        <f t="shared" si="83"/>
        <v>58348</v>
      </c>
      <c r="FN87" s="913">
        <f t="shared" si="83"/>
        <v>58440</v>
      </c>
      <c r="FO87" s="911">
        <f t="shared" si="83"/>
        <v>58531</v>
      </c>
      <c r="FP87" s="912">
        <f t="shared" si="83"/>
        <v>58622</v>
      </c>
      <c r="FQ87" s="912">
        <f t="shared" si="83"/>
        <v>58714</v>
      </c>
      <c r="FR87" s="913">
        <f t="shared" si="83"/>
        <v>58806</v>
      </c>
      <c r="FS87" s="911">
        <f t="shared" si="83"/>
        <v>58896</v>
      </c>
      <c r="FT87" s="912">
        <f t="shared" si="83"/>
        <v>58987</v>
      </c>
      <c r="FU87" s="912">
        <f t="shared" si="83"/>
        <v>59079</v>
      </c>
      <c r="FV87" s="913">
        <f t="shared" si="83"/>
        <v>59171</v>
      </c>
      <c r="FW87" s="911">
        <f t="shared" si="83"/>
        <v>59261</v>
      </c>
      <c r="FX87" s="912">
        <f t="shared" si="83"/>
        <v>59352</v>
      </c>
      <c r="FY87" s="912">
        <f t="shared" si="83"/>
        <v>59444</v>
      </c>
      <c r="FZ87" s="913">
        <f t="shared" si="83"/>
        <v>59536</v>
      </c>
      <c r="GA87" s="911">
        <f t="shared" si="83"/>
        <v>59626</v>
      </c>
      <c r="GB87" s="912">
        <f t="shared" si="83"/>
        <v>59717</v>
      </c>
      <c r="GC87" s="912">
        <f t="shared" si="83"/>
        <v>59809</v>
      </c>
      <c r="GD87" s="913">
        <f t="shared" si="83"/>
        <v>59901</v>
      </c>
    </row>
    <row r="88" spans="2:186" ht="17.100000000000001" customHeight="1">
      <c r="C88" s="720"/>
      <c r="D88" s="1259" t="s">
        <v>1264</v>
      </c>
      <c r="E88" s="738"/>
      <c r="F88" s="1360">
        <f ca="1">SUM(O88:GD88)</f>
        <v>555.75573907253295</v>
      </c>
      <c r="G88" s="1369">
        <f t="shared" ref="G88:BR88" si="84">SUMIF(108:108,G87,135:135)</f>
        <v>0</v>
      </c>
      <c r="H88" s="1370">
        <f t="shared" si="84"/>
        <v>0</v>
      </c>
      <c r="I88" s="1370">
        <f t="shared" si="84"/>
        <v>0</v>
      </c>
      <c r="J88" s="1371">
        <f>SUMIF(108:108,J87,135:135)</f>
        <v>5.3392381200000001</v>
      </c>
      <c r="K88" s="1361">
        <f t="shared" si="84"/>
        <v>0</v>
      </c>
      <c r="L88" s="1362">
        <f t="shared" si="84"/>
        <v>0</v>
      </c>
      <c r="M88" s="1362">
        <f t="shared" si="84"/>
        <v>0</v>
      </c>
      <c r="N88" s="1371">
        <f t="shared" si="84"/>
        <v>7.5251328600000003</v>
      </c>
      <c r="O88" s="739">
        <f>SUMIF(108:108,O87,135:135)</f>
        <v>0</v>
      </c>
      <c r="P88" s="740">
        <f t="shared" si="84"/>
        <v>0</v>
      </c>
      <c r="Q88" s="740">
        <f t="shared" si="84"/>
        <v>0</v>
      </c>
      <c r="R88" s="741">
        <f t="shared" ca="1" si="84"/>
        <v>5.2355096093159554</v>
      </c>
      <c r="S88" s="739">
        <f t="shared" si="84"/>
        <v>0</v>
      </c>
      <c r="T88" s="740">
        <f t="shared" si="84"/>
        <v>0</v>
      </c>
      <c r="U88" s="740">
        <f t="shared" si="84"/>
        <v>0</v>
      </c>
      <c r="V88" s="741">
        <f t="shared" ca="1" si="84"/>
        <v>6.7084938446903912</v>
      </c>
      <c r="W88" s="1372">
        <f t="shared" si="84"/>
        <v>0</v>
      </c>
      <c r="X88" s="1373">
        <f t="shared" si="84"/>
        <v>0</v>
      </c>
      <c r="Y88" s="1373">
        <f t="shared" si="84"/>
        <v>0</v>
      </c>
      <c r="Z88" s="741">
        <f t="shared" ca="1" si="84"/>
        <v>8.6752477741600575</v>
      </c>
      <c r="AA88" s="739">
        <f t="shared" si="84"/>
        <v>0</v>
      </c>
      <c r="AB88" s="740">
        <f t="shared" si="84"/>
        <v>0</v>
      </c>
      <c r="AC88" s="740">
        <f t="shared" si="84"/>
        <v>0</v>
      </c>
      <c r="AD88" s="741">
        <f t="shared" ca="1" si="84"/>
        <v>9.7965879044912416</v>
      </c>
      <c r="AE88" s="739">
        <f t="shared" si="84"/>
        <v>0</v>
      </c>
      <c r="AF88" s="740">
        <f t="shared" si="84"/>
        <v>0</v>
      </c>
      <c r="AG88" s="740">
        <f t="shared" si="84"/>
        <v>0</v>
      </c>
      <c r="AH88" s="741">
        <f t="shared" ca="1" si="84"/>
        <v>10.550787845059059</v>
      </c>
      <c r="AI88" s="739">
        <f t="shared" si="84"/>
        <v>0</v>
      </c>
      <c r="AJ88" s="1373">
        <f t="shared" si="84"/>
        <v>0</v>
      </c>
      <c r="AK88" s="1373">
        <f t="shared" si="84"/>
        <v>0</v>
      </c>
      <c r="AL88" s="1374">
        <f t="shared" ca="1" si="84"/>
        <v>0.42560324564593505</v>
      </c>
      <c r="AM88" s="1372">
        <f t="shared" si="84"/>
        <v>0</v>
      </c>
      <c r="AN88" s="1373">
        <f t="shared" si="84"/>
        <v>0</v>
      </c>
      <c r="AO88" s="1373">
        <f t="shared" si="84"/>
        <v>0</v>
      </c>
      <c r="AP88" s="1374">
        <f t="shared" ca="1" si="84"/>
        <v>3.6742500225554662</v>
      </c>
      <c r="AQ88" s="1372">
        <f t="shared" si="84"/>
        <v>0</v>
      </c>
      <c r="AR88" s="1373">
        <f t="shared" si="84"/>
        <v>0</v>
      </c>
      <c r="AS88" s="1373">
        <f t="shared" si="84"/>
        <v>0</v>
      </c>
      <c r="AT88" s="1374">
        <f t="shared" ca="1" si="84"/>
        <v>4.8126959772467677</v>
      </c>
      <c r="AU88" s="1372">
        <f t="shared" si="84"/>
        <v>0</v>
      </c>
      <c r="AV88" s="1373">
        <f t="shared" si="84"/>
        <v>0</v>
      </c>
      <c r="AW88" s="1373">
        <f t="shared" si="84"/>
        <v>0</v>
      </c>
      <c r="AX88" s="1374">
        <f t="shared" ca="1" si="84"/>
        <v>4.4062230331137267</v>
      </c>
      <c r="AY88" s="1372">
        <f t="shared" si="84"/>
        <v>0</v>
      </c>
      <c r="AZ88" s="1373">
        <f t="shared" si="84"/>
        <v>0</v>
      </c>
      <c r="BA88" s="1373">
        <f t="shared" si="84"/>
        <v>0</v>
      </c>
      <c r="BB88" s="1374">
        <f t="shared" ca="1" si="84"/>
        <v>8.6044539315177975</v>
      </c>
      <c r="BC88" s="1372">
        <f t="shared" si="84"/>
        <v>0</v>
      </c>
      <c r="BD88" s="1373">
        <f t="shared" si="84"/>
        <v>0</v>
      </c>
      <c r="BE88" s="1373">
        <f t="shared" si="84"/>
        <v>0</v>
      </c>
      <c r="BF88" s="1374">
        <f t="shared" ca="1" si="84"/>
        <v>7.4870127499627923</v>
      </c>
      <c r="BG88" s="1372">
        <f t="shared" si="84"/>
        <v>0</v>
      </c>
      <c r="BH88" s="1373">
        <f t="shared" si="84"/>
        <v>0</v>
      </c>
      <c r="BI88" s="1373">
        <f t="shared" si="84"/>
        <v>0</v>
      </c>
      <c r="BJ88" s="1374">
        <f t="shared" ca="1" si="84"/>
        <v>7.9733569743088806</v>
      </c>
      <c r="BK88" s="1372">
        <f t="shared" si="84"/>
        <v>0</v>
      </c>
      <c r="BL88" s="1373">
        <f t="shared" si="84"/>
        <v>0</v>
      </c>
      <c r="BM88" s="1373">
        <f t="shared" si="84"/>
        <v>0</v>
      </c>
      <c r="BN88" s="1374">
        <f t="shared" ca="1" si="84"/>
        <v>9.9262206827830983</v>
      </c>
      <c r="BO88" s="1372">
        <f t="shared" si="84"/>
        <v>0</v>
      </c>
      <c r="BP88" s="1373">
        <f t="shared" si="84"/>
        <v>0</v>
      </c>
      <c r="BQ88" s="1373">
        <f t="shared" si="84"/>
        <v>0</v>
      </c>
      <c r="BR88" s="1374">
        <f t="shared" ca="1" si="84"/>
        <v>9.7947974081157785</v>
      </c>
      <c r="BS88" s="1372">
        <f t="shared" ref="BS88:ED88" si="85">SUMIF(108:108,BS87,135:135)</f>
        <v>0</v>
      </c>
      <c r="BT88" s="1373">
        <f t="shared" si="85"/>
        <v>0</v>
      </c>
      <c r="BU88" s="1373">
        <f t="shared" si="85"/>
        <v>0</v>
      </c>
      <c r="BV88" s="1374">
        <f t="shared" ca="1" si="85"/>
        <v>8.3190855289959647</v>
      </c>
      <c r="BW88" s="1372">
        <f t="shared" si="85"/>
        <v>0</v>
      </c>
      <c r="BX88" s="1373">
        <f t="shared" si="85"/>
        <v>0</v>
      </c>
      <c r="BY88" s="1373">
        <f t="shared" si="85"/>
        <v>0</v>
      </c>
      <c r="BZ88" s="1374">
        <f t="shared" ca="1" si="85"/>
        <v>11.015372604467975</v>
      </c>
      <c r="CA88" s="1372">
        <f t="shared" si="85"/>
        <v>0</v>
      </c>
      <c r="CB88" s="1373">
        <f t="shared" si="85"/>
        <v>0</v>
      </c>
      <c r="CC88" s="1373">
        <f t="shared" si="85"/>
        <v>0</v>
      </c>
      <c r="CD88" s="1374">
        <f t="shared" ca="1" si="85"/>
        <v>10.499325904720786</v>
      </c>
      <c r="CE88" s="1372">
        <f t="shared" si="85"/>
        <v>0</v>
      </c>
      <c r="CF88" s="1373">
        <f t="shared" si="85"/>
        <v>0</v>
      </c>
      <c r="CG88" s="1373">
        <f t="shared" si="85"/>
        <v>0</v>
      </c>
      <c r="CH88" s="1374">
        <f t="shared" ca="1" si="85"/>
        <v>9.3596321357848939</v>
      </c>
      <c r="CI88" s="1372">
        <f t="shared" si="85"/>
        <v>0</v>
      </c>
      <c r="CJ88" s="1373">
        <f t="shared" si="85"/>
        <v>0</v>
      </c>
      <c r="CK88" s="1373">
        <f t="shared" si="85"/>
        <v>0</v>
      </c>
      <c r="CL88" s="1374">
        <f t="shared" ca="1" si="85"/>
        <v>9.5344159635571248</v>
      </c>
      <c r="CM88" s="1372">
        <f t="shared" si="85"/>
        <v>0</v>
      </c>
      <c r="CN88" s="1373">
        <f t="shared" si="85"/>
        <v>0</v>
      </c>
      <c r="CO88" s="1373">
        <f t="shared" si="85"/>
        <v>0</v>
      </c>
      <c r="CP88" s="1374">
        <f t="shared" ca="1" si="85"/>
        <v>13.201585732507731</v>
      </c>
      <c r="CQ88" s="1372">
        <f t="shared" si="85"/>
        <v>0</v>
      </c>
      <c r="CR88" s="1373">
        <f t="shared" si="85"/>
        <v>0</v>
      </c>
      <c r="CS88" s="1373">
        <f t="shared" si="85"/>
        <v>0</v>
      </c>
      <c r="CT88" s="1374">
        <f t="shared" ca="1" si="85"/>
        <v>14.091269573338259</v>
      </c>
      <c r="CU88" s="1372">
        <f t="shared" si="85"/>
        <v>0</v>
      </c>
      <c r="CV88" s="1373">
        <f t="shared" si="85"/>
        <v>0</v>
      </c>
      <c r="CW88" s="1373">
        <f t="shared" si="85"/>
        <v>0</v>
      </c>
      <c r="CX88" s="1374">
        <f t="shared" ca="1" si="85"/>
        <v>17.834949793709598</v>
      </c>
      <c r="CY88" s="1372">
        <f t="shared" si="85"/>
        <v>0</v>
      </c>
      <c r="CZ88" s="1373">
        <f t="shared" si="85"/>
        <v>0</v>
      </c>
      <c r="DA88" s="1373">
        <f t="shared" si="85"/>
        <v>0</v>
      </c>
      <c r="DB88" s="1374">
        <f t="shared" ca="1" si="85"/>
        <v>17.349993284640476</v>
      </c>
      <c r="DC88" s="1372">
        <f t="shared" si="85"/>
        <v>0</v>
      </c>
      <c r="DD88" s="1373">
        <f t="shared" si="85"/>
        <v>0</v>
      </c>
      <c r="DE88" s="1373">
        <f t="shared" si="85"/>
        <v>0</v>
      </c>
      <c r="DF88" s="1374">
        <f t="shared" ca="1" si="85"/>
        <v>17.499837630137659</v>
      </c>
      <c r="DG88" s="1372">
        <f t="shared" si="85"/>
        <v>0</v>
      </c>
      <c r="DH88" s="1373">
        <f t="shared" si="85"/>
        <v>0</v>
      </c>
      <c r="DI88" s="1373">
        <f t="shared" si="85"/>
        <v>0</v>
      </c>
      <c r="DJ88" s="1374">
        <f t="shared" ca="1" si="85"/>
        <v>19.327771456852229</v>
      </c>
      <c r="DK88" s="1372">
        <f t="shared" si="85"/>
        <v>0</v>
      </c>
      <c r="DL88" s="1373">
        <f t="shared" si="85"/>
        <v>0</v>
      </c>
      <c r="DM88" s="1373">
        <f t="shared" si="85"/>
        <v>0</v>
      </c>
      <c r="DN88" s="1374">
        <f t="shared" ca="1" si="85"/>
        <v>20.110411758255474</v>
      </c>
      <c r="DO88" s="1372">
        <f t="shared" si="85"/>
        <v>0</v>
      </c>
      <c r="DP88" s="1373">
        <f t="shared" si="85"/>
        <v>0</v>
      </c>
      <c r="DQ88" s="1373">
        <f t="shared" si="85"/>
        <v>0</v>
      </c>
      <c r="DR88" s="1374">
        <f t="shared" ca="1" si="85"/>
        <v>18.861308887955943</v>
      </c>
      <c r="DS88" s="1372">
        <f t="shared" si="85"/>
        <v>0</v>
      </c>
      <c r="DT88" s="1373">
        <f t="shared" si="85"/>
        <v>0</v>
      </c>
      <c r="DU88" s="1373">
        <f t="shared" si="85"/>
        <v>0</v>
      </c>
      <c r="DV88" s="1374">
        <f t="shared" ca="1" si="85"/>
        <v>21.415488495392388</v>
      </c>
      <c r="DW88" s="1372">
        <f t="shared" si="85"/>
        <v>0</v>
      </c>
      <c r="DX88" s="1373">
        <f t="shared" si="85"/>
        <v>0</v>
      </c>
      <c r="DY88" s="1373">
        <f t="shared" si="85"/>
        <v>0</v>
      </c>
      <c r="DZ88" s="1374">
        <f t="shared" ca="1" si="85"/>
        <v>19.237251023185603</v>
      </c>
      <c r="EA88" s="1372">
        <f t="shared" si="85"/>
        <v>0</v>
      </c>
      <c r="EB88" s="1373">
        <f t="shared" si="85"/>
        <v>0</v>
      </c>
      <c r="EC88" s="1373">
        <f t="shared" si="85"/>
        <v>0</v>
      </c>
      <c r="ED88" s="1374">
        <f t="shared" ca="1" si="85"/>
        <v>20.806375466689765</v>
      </c>
      <c r="EE88" s="1372">
        <f t="shared" ref="EE88:GD88" si="86">SUMIF(108:108,EE87,135:135)</f>
        <v>0</v>
      </c>
      <c r="EF88" s="1373">
        <f t="shared" si="86"/>
        <v>0</v>
      </c>
      <c r="EG88" s="1373">
        <f t="shared" si="86"/>
        <v>0</v>
      </c>
      <c r="EH88" s="1374">
        <f t="shared" ca="1" si="86"/>
        <v>23.465866906225489</v>
      </c>
      <c r="EI88" s="1372">
        <f t="shared" si="86"/>
        <v>0</v>
      </c>
      <c r="EJ88" s="1373">
        <f t="shared" si="86"/>
        <v>0</v>
      </c>
      <c r="EK88" s="1373">
        <f t="shared" si="86"/>
        <v>0</v>
      </c>
      <c r="EL88" s="1374">
        <f t="shared" ca="1" si="86"/>
        <v>22.71551553887873</v>
      </c>
      <c r="EM88" s="1372">
        <f t="shared" si="86"/>
        <v>0</v>
      </c>
      <c r="EN88" s="1373">
        <f t="shared" si="86"/>
        <v>0</v>
      </c>
      <c r="EO88" s="1373">
        <f t="shared" si="86"/>
        <v>0</v>
      </c>
      <c r="EP88" s="1374">
        <f t="shared" ca="1" si="86"/>
        <v>22.896078359876327</v>
      </c>
      <c r="EQ88" s="1372">
        <f t="shared" si="86"/>
        <v>0</v>
      </c>
      <c r="ER88" s="1373">
        <f t="shared" si="86"/>
        <v>0</v>
      </c>
      <c r="ES88" s="1373">
        <f t="shared" si="86"/>
        <v>0</v>
      </c>
      <c r="ET88" s="1374">
        <f t="shared" ca="1" si="86"/>
        <v>26.608743745146676</v>
      </c>
      <c r="EU88" s="1372">
        <f t="shared" si="86"/>
        <v>0</v>
      </c>
      <c r="EV88" s="1373">
        <f t="shared" si="86"/>
        <v>0</v>
      </c>
      <c r="EW88" s="1373">
        <f t="shared" si="86"/>
        <v>0</v>
      </c>
      <c r="EX88" s="1374">
        <f t="shared" ca="1" si="86"/>
        <v>26.695968686599247</v>
      </c>
      <c r="EY88" s="1372">
        <f t="shared" si="86"/>
        <v>0</v>
      </c>
      <c r="EZ88" s="1373">
        <f t="shared" si="86"/>
        <v>0</v>
      </c>
      <c r="FA88" s="1373">
        <f t="shared" si="86"/>
        <v>0</v>
      </c>
      <c r="FB88" s="1374">
        <f t="shared" ca="1" si="86"/>
        <v>27.288284964165722</v>
      </c>
      <c r="FC88" s="1372">
        <f t="shared" si="86"/>
        <v>0</v>
      </c>
      <c r="FD88" s="1373">
        <f t="shared" si="86"/>
        <v>0</v>
      </c>
      <c r="FE88" s="1373">
        <f t="shared" si="86"/>
        <v>0</v>
      </c>
      <c r="FF88" s="1374">
        <f t="shared" ca="1" si="86"/>
        <v>29.618655355843007</v>
      </c>
      <c r="FG88" s="1372">
        <f t="shared" si="86"/>
        <v>0</v>
      </c>
      <c r="FH88" s="1373">
        <f t="shared" si="86"/>
        <v>0</v>
      </c>
      <c r="FI88" s="1373">
        <f t="shared" si="86"/>
        <v>0</v>
      </c>
      <c r="FJ88" s="1374">
        <f t="shared" ca="1" si="86"/>
        <v>29.931309272639005</v>
      </c>
      <c r="FK88" s="1372">
        <f t="shared" si="86"/>
        <v>0</v>
      </c>
      <c r="FL88" s="1373">
        <f t="shared" si="86"/>
        <v>0</v>
      </c>
      <c r="FM88" s="1373">
        <f t="shared" si="86"/>
        <v>0</v>
      </c>
      <c r="FN88" s="1374">
        <f t="shared" ca="1" si="86"/>
        <v>0</v>
      </c>
      <c r="FO88" s="1372">
        <f t="shared" si="86"/>
        <v>0</v>
      </c>
      <c r="FP88" s="1373">
        <f t="shared" si="86"/>
        <v>0</v>
      </c>
      <c r="FQ88" s="1373">
        <f t="shared" si="86"/>
        <v>0</v>
      </c>
      <c r="FR88" s="1374">
        <f t="shared" ca="1" si="86"/>
        <v>0</v>
      </c>
      <c r="FS88" s="1372">
        <f t="shared" si="86"/>
        <v>0</v>
      </c>
      <c r="FT88" s="1373">
        <f t="shared" si="86"/>
        <v>0</v>
      </c>
      <c r="FU88" s="1373">
        <f t="shared" si="86"/>
        <v>0</v>
      </c>
      <c r="FV88" s="1374">
        <f t="shared" ca="1" si="86"/>
        <v>0</v>
      </c>
      <c r="FW88" s="1372">
        <f t="shared" si="86"/>
        <v>0</v>
      </c>
      <c r="FX88" s="1373">
        <f t="shared" si="86"/>
        <v>0</v>
      </c>
      <c r="FY88" s="1373">
        <f t="shared" si="86"/>
        <v>0</v>
      </c>
      <c r="FZ88" s="1374">
        <f t="shared" ca="1" si="86"/>
        <v>0</v>
      </c>
      <c r="GA88" s="1372">
        <f t="shared" si="86"/>
        <v>0</v>
      </c>
      <c r="GB88" s="1373">
        <f t="shared" si="86"/>
        <v>0</v>
      </c>
      <c r="GC88" s="1373">
        <f t="shared" si="86"/>
        <v>0</v>
      </c>
      <c r="GD88" s="1374">
        <f t="shared" ca="1" si="86"/>
        <v>0</v>
      </c>
    </row>
    <row r="89" spans="2:186" ht="17.100000000000001" customHeight="1">
      <c r="C89" s="952"/>
      <c r="D89" s="1238" t="s">
        <v>1265</v>
      </c>
      <c r="E89" s="734"/>
      <c r="F89" s="954">
        <f t="shared" ref="F89:F90" ca="1" si="87">SUM(O89:GD89)</f>
        <v>555.75573907253295</v>
      </c>
      <c r="G89" s="1375">
        <f>SUMIF(108:108,G87,135:135)</f>
        <v>0</v>
      </c>
      <c r="H89" s="1376">
        <f t="shared" ref="H89:BS89" si="88">SUMIF(108:108,H87,135:135)</f>
        <v>0</v>
      </c>
      <c r="I89" s="1376">
        <f t="shared" si="88"/>
        <v>0</v>
      </c>
      <c r="J89" s="1377">
        <f t="shared" si="88"/>
        <v>5.3392381200000001</v>
      </c>
      <c r="K89" s="1354">
        <f t="shared" si="88"/>
        <v>0</v>
      </c>
      <c r="L89" s="1355">
        <f t="shared" si="88"/>
        <v>0</v>
      </c>
      <c r="M89" s="1355">
        <f t="shared" si="88"/>
        <v>0</v>
      </c>
      <c r="N89" s="1377">
        <f t="shared" si="88"/>
        <v>7.5251328600000003</v>
      </c>
      <c r="O89" s="735">
        <f t="shared" si="88"/>
        <v>0</v>
      </c>
      <c r="P89" s="736">
        <f t="shared" si="88"/>
        <v>0</v>
      </c>
      <c r="Q89" s="736">
        <f t="shared" si="88"/>
        <v>0</v>
      </c>
      <c r="R89" s="1378">
        <f t="shared" ca="1" si="88"/>
        <v>5.2355096093159554</v>
      </c>
      <c r="S89" s="735">
        <f t="shared" si="88"/>
        <v>0</v>
      </c>
      <c r="T89" s="736">
        <f t="shared" si="88"/>
        <v>0</v>
      </c>
      <c r="U89" s="736">
        <f t="shared" si="88"/>
        <v>0</v>
      </c>
      <c r="V89" s="737">
        <f t="shared" ca="1" si="88"/>
        <v>6.7084938446903912</v>
      </c>
      <c r="W89" s="1379">
        <f t="shared" si="88"/>
        <v>0</v>
      </c>
      <c r="X89" s="1380">
        <f t="shared" si="88"/>
        <v>0</v>
      </c>
      <c r="Y89" s="1380">
        <f t="shared" si="88"/>
        <v>0</v>
      </c>
      <c r="Z89" s="737">
        <f t="shared" ca="1" si="88"/>
        <v>8.6752477741600575</v>
      </c>
      <c r="AA89" s="735">
        <f t="shared" si="88"/>
        <v>0</v>
      </c>
      <c r="AB89" s="736">
        <f t="shared" si="88"/>
        <v>0</v>
      </c>
      <c r="AC89" s="736">
        <f t="shared" si="88"/>
        <v>0</v>
      </c>
      <c r="AD89" s="737">
        <f t="shared" ca="1" si="88"/>
        <v>9.7965879044912416</v>
      </c>
      <c r="AE89" s="735">
        <f t="shared" si="88"/>
        <v>0</v>
      </c>
      <c r="AF89" s="736">
        <f t="shared" si="88"/>
        <v>0</v>
      </c>
      <c r="AG89" s="736">
        <f t="shared" si="88"/>
        <v>0</v>
      </c>
      <c r="AH89" s="737">
        <f t="shared" ca="1" si="88"/>
        <v>10.550787845059059</v>
      </c>
      <c r="AI89" s="735">
        <f t="shared" si="88"/>
        <v>0</v>
      </c>
      <c r="AJ89" s="1380">
        <f t="shared" si="88"/>
        <v>0</v>
      </c>
      <c r="AK89" s="1380">
        <f t="shared" si="88"/>
        <v>0</v>
      </c>
      <c r="AL89" s="1381">
        <f t="shared" ca="1" si="88"/>
        <v>0.42560324564593505</v>
      </c>
      <c r="AM89" s="1379">
        <f t="shared" si="88"/>
        <v>0</v>
      </c>
      <c r="AN89" s="1380">
        <f t="shared" si="88"/>
        <v>0</v>
      </c>
      <c r="AO89" s="1380">
        <f t="shared" si="88"/>
        <v>0</v>
      </c>
      <c r="AP89" s="1381">
        <f t="shared" ca="1" si="88"/>
        <v>3.6742500225554662</v>
      </c>
      <c r="AQ89" s="1379">
        <f t="shared" si="88"/>
        <v>0</v>
      </c>
      <c r="AR89" s="1380">
        <f t="shared" si="88"/>
        <v>0</v>
      </c>
      <c r="AS89" s="1380">
        <f t="shared" si="88"/>
        <v>0</v>
      </c>
      <c r="AT89" s="1381">
        <f t="shared" ca="1" si="88"/>
        <v>4.8126959772467677</v>
      </c>
      <c r="AU89" s="1379">
        <f t="shared" si="88"/>
        <v>0</v>
      </c>
      <c r="AV89" s="1380">
        <f t="shared" si="88"/>
        <v>0</v>
      </c>
      <c r="AW89" s="1380">
        <f t="shared" si="88"/>
        <v>0</v>
      </c>
      <c r="AX89" s="1381">
        <f t="shared" ca="1" si="88"/>
        <v>4.4062230331137267</v>
      </c>
      <c r="AY89" s="1379">
        <f t="shared" si="88"/>
        <v>0</v>
      </c>
      <c r="AZ89" s="1380">
        <f t="shared" si="88"/>
        <v>0</v>
      </c>
      <c r="BA89" s="1380">
        <f t="shared" si="88"/>
        <v>0</v>
      </c>
      <c r="BB89" s="1381">
        <f t="shared" ca="1" si="88"/>
        <v>8.6044539315177975</v>
      </c>
      <c r="BC89" s="1379">
        <f t="shared" si="88"/>
        <v>0</v>
      </c>
      <c r="BD89" s="1380">
        <f t="shared" si="88"/>
        <v>0</v>
      </c>
      <c r="BE89" s="1380">
        <f t="shared" si="88"/>
        <v>0</v>
      </c>
      <c r="BF89" s="1381">
        <f t="shared" ca="1" si="88"/>
        <v>7.4870127499627923</v>
      </c>
      <c r="BG89" s="1379">
        <f t="shared" si="88"/>
        <v>0</v>
      </c>
      <c r="BH89" s="1380">
        <f t="shared" si="88"/>
        <v>0</v>
      </c>
      <c r="BI89" s="1380">
        <f t="shared" si="88"/>
        <v>0</v>
      </c>
      <c r="BJ89" s="1381">
        <f t="shared" ca="1" si="88"/>
        <v>7.9733569743088806</v>
      </c>
      <c r="BK89" s="1379">
        <f t="shared" si="88"/>
        <v>0</v>
      </c>
      <c r="BL89" s="1380">
        <f t="shared" si="88"/>
        <v>0</v>
      </c>
      <c r="BM89" s="1380">
        <f t="shared" si="88"/>
        <v>0</v>
      </c>
      <c r="BN89" s="1381">
        <f t="shared" ca="1" si="88"/>
        <v>9.9262206827830983</v>
      </c>
      <c r="BO89" s="1379">
        <f t="shared" si="88"/>
        <v>0</v>
      </c>
      <c r="BP89" s="1380">
        <f t="shared" si="88"/>
        <v>0</v>
      </c>
      <c r="BQ89" s="1380">
        <f t="shared" si="88"/>
        <v>0</v>
      </c>
      <c r="BR89" s="1381">
        <f t="shared" ca="1" si="88"/>
        <v>9.7947974081157785</v>
      </c>
      <c r="BS89" s="1379">
        <f t="shared" si="88"/>
        <v>0</v>
      </c>
      <c r="BT89" s="1380">
        <f t="shared" ref="BT89:EE89" si="89">SUMIF(108:108,BT87,135:135)</f>
        <v>0</v>
      </c>
      <c r="BU89" s="1380">
        <f t="shared" si="89"/>
        <v>0</v>
      </c>
      <c r="BV89" s="1381">
        <f t="shared" ca="1" si="89"/>
        <v>8.3190855289959647</v>
      </c>
      <c r="BW89" s="1379">
        <f t="shared" si="89"/>
        <v>0</v>
      </c>
      <c r="BX89" s="1380">
        <f t="shared" si="89"/>
        <v>0</v>
      </c>
      <c r="BY89" s="1380">
        <f t="shared" si="89"/>
        <v>0</v>
      </c>
      <c r="BZ89" s="1381">
        <f t="shared" ca="1" si="89"/>
        <v>11.015372604467975</v>
      </c>
      <c r="CA89" s="1379">
        <f t="shared" si="89"/>
        <v>0</v>
      </c>
      <c r="CB89" s="1380">
        <f t="shared" si="89"/>
        <v>0</v>
      </c>
      <c r="CC89" s="1380">
        <f t="shared" si="89"/>
        <v>0</v>
      </c>
      <c r="CD89" s="1381">
        <f t="shared" ca="1" si="89"/>
        <v>10.499325904720786</v>
      </c>
      <c r="CE89" s="1379">
        <f t="shared" si="89"/>
        <v>0</v>
      </c>
      <c r="CF89" s="1380">
        <f t="shared" si="89"/>
        <v>0</v>
      </c>
      <c r="CG89" s="1380">
        <f t="shared" si="89"/>
        <v>0</v>
      </c>
      <c r="CH89" s="1381">
        <f t="shared" ca="1" si="89"/>
        <v>9.3596321357848939</v>
      </c>
      <c r="CI89" s="1379">
        <f t="shared" si="89"/>
        <v>0</v>
      </c>
      <c r="CJ89" s="1380">
        <f t="shared" si="89"/>
        <v>0</v>
      </c>
      <c r="CK89" s="1380">
        <f t="shared" si="89"/>
        <v>0</v>
      </c>
      <c r="CL89" s="1381">
        <f t="shared" ca="1" si="89"/>
        <v>9.5344159635571248</v>
      </c>
      <c r="CM89" s="1379">
        <f t="shared" si="89"/>
        <v>0</v>
      </c>
      <c r="CN89" s="1380">
        <f t="shared" si="89"/>
        <v>0</v>
      </c>
      <c r="CO89" s="1380">
        <f t="shared" si="89"/>
        <v>0</v>
      </c>
      <c r="CP89" s="1381">
        <f t="shared" ca="1" si="89"/>
        <v>13.201585732507731</v>
      </c>
      <c r="CQ89" s="1379">
        <f t="shared" si="89"/>
        <v>0</v>
      </c>
      <c r="CR89" s="1380">
        <f t="shared" si="89"/>
        <v>0</v>
      </c>
      <c r="CS89" s="1380">
        <f t="shared" si="89"/>
        <v>0</v>
      </c>
      <c r="CT89" s="1381">
        <f t="shared" ca="1" si="89"/>
        <v>14.091269573338259</v>
      </c>
      <c r="CU89" s="1379">
        <f t="shared" si="89"/>
        <v>0</v>
      </c>
      <c r="CV89" s="1380">
        <f t="shared" si="89"/>
        <v>0</v>
      </c>
      <c r="CW89" s="1380">
        <f t="shared" si="89"/>
        <v>0</v>
      </c>
      <c r="CX89" s="1381">
        <f t="shared" ca="1" si="89"/>
        <v>17.834949793709598</v>
      </c>
      <c r="CY89" s="1379">
        <f t="shared" si="89"/>
        <v>0</v>
      </c>
      <c r="CZ89" s="1380">
        <f t="shared" si="89"/>
        <v>0</v>
      </c>
      <c r="DA89" s="1380">
        <f t="shared" si="89"/>
        <v>0</v>
      </c>
      <c r="DB89" s="1381">
        <f t="shared" ca="1" si="89"/>
        <v>17.349993284640476</v>
      </c>
      <c r="DC89" s="1379">
        <f t="shared" si="89"/>
        <v>0</v>
      </c>
      <c r="DD89" s="1380">
        <f t="shared" si="89"/>
        <v>0</v>
      </c>
      <c r="DE89" s="1380">
        <f t="shared" si="89"/>
        <v>0</v>
      </c>
      <c r="DF89" s="1381">
        <f t="shared" ca="1" si="89"/>
        <v>17.499837630137659</v>
      </c>
      <c r="DG89" s="1379">
        <f t="shared" si="89"/>
        <v>0</v>
      </c>
      <c r="DH89" s="1380">
        <f t="shared" si="89"/>
        <v>0</v>
      </c>
      <c r="DI89" s="1380">
        <f t="shared" si="89"/>
        <v>0</v>
      </c>
      <c r="DJ89" s="1381">
        <f t="shared" ca="1" si="89"/>
        <v>19.327771456852229</v>
      </c>
      <c r="DK89" s="1379">
        <f t="shared" si="89"/>
        <v>0</v>
      </c>
      <c r="DL89" s="1380">
        <f t="shared" si="89"/>
        <v>0</v>
      </c>
      <c r="DM89" s="1380">
        <f t="shared" si="89"/>
        <v>0</v>
      </c>
      <c r="DN89" s="1381">
        <f t="shared" ca="1" si="89"/>
        <v>20.110411758255474</v>
      </c>
      <c r="DO89" s="1379">
        <f t="shared" si="89"/>
        <v>0</v>
      </c>
      <c r="DP89" s="1380">
        <f t="shared" si="89"/>
        <v>0</v>
      </c>
      <c r="DQ89" s="1380">
        <f t="shared" si="89"/>
        <v>0</v>
      </c>
      <c r="DR89" s="1381">
        <f t="shared" ca="1" si="89"/>
        <v>18.861308887955943</v>
      </c>
      <c r="DS89" s="1379">
        <f t="shared" si="89"/>
        <v>0</v>
      </c>
      <c r="DT89" s="1380">
        <f t="shared" si="89"/>
        <v>0</v>
      </c>
      <c r="DU89" s="1380">
        <f t="shared" si="89"/>
        <v>0</v>
      </c>
      <c r="DV89" s="1381">
        <f t="shared" ca="1" si="89"/>
        <v>21.415488495392388</v>
      </c>
      <c r="DW89" s="1379">
        <f t="shared" si="89"/>
        <v>0</v>
      </c>
      <c r="DX89" s="1380">
        <f t="shared" si="89"/>
        <v>0</v>
      </c>
      <c r="DY89" s="1380">
        <f t="shared" si="89"/>
        <v>0</v>
      </c>
      <c r="DZ89" s="1381">
        <f t="shared" ca="1" si="89"/>
        <v>19.237251023185603</v>
      </c>
      <c r="EA89" s="1379">
        <f t="shared" si="89"/>
        <v>0</v>
      </c>
      <c r="EB89" s="1380">
        <f t="shared" si="89"/>
        <v>0</v>
      </c>
      <c r="EC89" s="1380">
        <f t="shared" si="89"/>
        <v>0</v>
      </c>
      <c r="ED89" s="1381">
        <f t="shared" ca="1" si="89"/>
        <v>20.806375466689765</v>
      </c>
      <c r="EE89" s="1379">
        <f t="shared" si="89"/>
        <v>0</v>
      </c>
      <c r="EF89" s="1380">
        <f t="shared" ref="EF89:GD89" si="90">SUMIF(108:108,EF87,135:135)</f>
        <v>0</v>
      </c>
      <c r="EG89" s="1380">
        <f t="shared" si="90"/>
        <v>0</v>
      </c>
      <c r="EH89" s="1381">
        <f t="shared" ca="1" si="90"/>
        <v>23.465866906225489</v>
      </c>
      <c r="EI89" s="1379">
        <f t="shared" si="90"/>
        <v>0</v>
      </c>
      <c r="EJ89" s="1380">
        <f t="shared" si="90"/>
        <v>0</v>
      </c>
      <c r="EK89" s="1380">
        <f t="shared" si="90"/>
        <v>0</v>
      </c>
      <c r="EL89" s="1381">
        <f t="shared" ca="1" si="90"/>
        <v>22.71551553887873</v>
      </c>
      <c r="EM89" s="1379">
        <f t="shared" si="90"/>
        <v>0</v>
      </c>
      <c r="EN89" s="1380">
        <f t="shared" si="90"/>
        <v>0</v>
      </c>
      <c r="EO89" s="1380">
        <f t="shared" si="90"/>
        <v>0</v>
      </c>
      <c r="EP89" s="1381">
        <f t="shared" ca="1" si="90"/>
        <v>22.896078359876327</v>
      </c>
      <c r="EQ89" s="1379">
        <f t="shared" si="90"/>
        <v>0</v>
      </c>
      <c r="ER89" s="1380">
        <f t="shared" si="90"/>
        <v>0</v>
      </c>
      <c r="ES89" s="1380">
        <f t="shared" si="90"/>
        <v>0</v>
      </c>
      <c r="ET89" s="1381">
        <f t="shared" ca="1" si="90"/>
        <v>26.608743745146676</v>
      </c>
      <c r="EU89" s="1379">
        <f t="shared" si="90"/>
        <v>0</v>
      </c>
      <c r="EV89" s="1380">
        <f t="shared" si="90"/>
        <v>0</v>
      </c>
      <c r="EW89" s="1380">
        <f t="shared" si="90"/>
        <v>0</v>
      </c>
      <c r="EX89" s="1381">
        <f t="shared" ca="1" si="90"/>
        <v>26.695968686599247</v>
      </c>
      <c r="EY89" s="1379">
        <f t="shared" si="90"/>
        <v>0</v>
      </c>
      <c r="EZ89" s="1380">
        <f t="shared" si="90"/>
        <v>0</v>
      </c>
      <c r="FA89" s="1380">
        <f t="shared" si="90"/>
        <v>0</v>
      </c>
      <c r="FB89" s="1381">
        <f t="shared" ca="1" si="90"/>
        <v>27.288284964165722</v>
      </c>
      <c r="FC89" s="1379">
        <f t="shared" si="90"/>
        <v>0</v>
      </c>
      <c r="FD89" s="1380">
        <f t="shared" si="90"/>
        <v>0</v>
      </c>
      <c r="FE89" s="1380">
        <f t="shared" si="90"/>
        <v>0</v>
      </c>
      <c r="FF89" s="1381">
        <f t="shared" ca="1" si="90"/>
        <v>29.618655355843007</v>
      </c>
      <c r="FG89" s="1379">
        <f t="shared" si="90"/>
        <v>0</v>
      </c>
      <c r="FH89" s="1380">
        <f t="shared" si="90"/>
        <v>0</v>
      </c>
      <c r="FI89" s="1380">
        <f t="shared" si="90"/>
        <v>0</v>
      </c>
      <c r="FJ89" s="1381">
        <f t="shared" ca="1" si="90"/>
        <v>29.931309272639005</v>
      </c>
      <c r="FK89" s="1379">
        <f t="shared" si="90"/>
        <v>0</v>
      </c>
      <c r="FL89" s="1380">
        <f t="shared" si="90"/>
        <v>0</v>
      </c>
      <c r="FM89" s="1380">
        <f t="shared" si="90"/>
        <v>0</v>
      </c>
      <c r="FN89" s="1381">
        <f t="shared" ca="1" si="90"/>
        <v>0</v>
      </c>
      <c r="FO89" s="1379">
        <f t="shared" si="90"/>
        <v>0</v>
      </c>
      <c r="FP89" s="1380">
        <f t="shared" si="90"/>
        <v>0</v>
      </c>
      <c r="FQ89" s="1380">
        <f t="shared" si="90"/>
        <v>0</v>
      </c>
      <c r="FR89" s="1381">
        <f t="shared" ca="1" si="90"/>
        <v>0</v>
      </c>
      <c r="FS89" s="1379">
        <f t="shared" si="90"/>
        <v>0</v>
      </c>
      <c r="FT89" s="1380">
        <f t="shared" si="90"/>
        <v>0</v>
      </c>
      <c r="FU89" s="1380">
        <f t="shared" si="90"/>
        <v>0</v>
      </c>
      <c r="FV89" s="1381">
        <f t="shared" ca="1" si="90"/>
        <v>0</v>
      </c>
      <c r="FW89" s="1379">
        <f t="shared" si="90"/>
        <v>0</v>
      </c>
      <c r="FX89" s="1380">
        <f t="shared" si="90"/>
        <v>0</v>
      </c>
      <c r="FY89" s="1380">
        <f t="shared" si="90"/>
        <v>0</v>
      </c>
      <c r="FZ89" s="1381">
        <f t="shared" ca="1" si="90"/>
        <v>0</v>
      </c>
      <c r="GA89" s="1379">
        <f t="shared" si="90"/>
        <v>0</v>
      </c>
      <c r="GB89" s="1380">
        <f t="shared" si="90"/>
        <v>0</v>
      </c>
      <c r="GC89" s="1380">
        <f t="shared" si="90"/>
        <v>0</v>
      </c>
      <c r="GD89" s="1381">
        <f t="shared" ca="1" si="90"/>
        <v>0</v>
      </c>
    </row>
    <row r="90" spans="2:186" ht="17.100000000000001" customHeight="1">
      <c r="C90" s="930"/>
      <c r="D90" s="931" t="s">
        <v>1266</v>
      </c>
      <c r="E90" s="1331"/>
      <c r="F90" s="951">
        <f t="shared" ca="1" si="87"/>
        <v>555.75573907253295</v>
      </c>
      <c r="G90" s="1382">
        <f>G89</f>
        <v>0</v>
      </c>
      <c r="H90" s="1383">
        <f t="shared" ref="H90:BS90" si="91">H89</f>
        <v>0</v>
      </c>
      <c r="I90" s="1383">
        <f t="shared" si="91"/>
        <v>0</v>
      </c>
      <c r="J90" s="1384">
        <f t="shared" si="91"/>
        <v>5.3392381200000001</v>
      </c>
      <c r="K90" s="1332">
        <f t="shared" si="91"/>
        <v>0</v>
      </c>
      <c r="L90" s="1333">
        <f t="shared" si="91"/>
        <v>0</v>
      </c>
      <c r="M90" s="1333">
        <f t="shared" si="91"/>
        <v>0</v>
      </c>
      <c r="N90" s="1384">
        <f t="shared" si="91"/>
        <v>7.5251328600000003</v>
      </c>
      <c r="O90" s="941">
        <f t="shared" si="91"/>
        <v>0</v>
      </c>
      <c r="P90" s="939">
        <f t="shared" si="91"/>
        <v>0</v>
      </c>
      <c r="Q90" s="939">
        <f t="shared" si="91"/>
        <v>0</v>
      </c>
      <c r="R90" s="940">
        <f t="shared" ca="1" si="91"/>
        <v>5.2355096093159554</v>
      </c>
      <c r="S90" s="941">
        <f t="shared" si="91"/>
        <v>0</v>
      </c>
      <c r="T90" s="939">
        <f t="shared" si="91"/>
        <v>0</v>
      </c>
      <c r="U90" s="939">
        <f t="shared" si="91"/>
        <v>0</v>
      </c>
      <c r="V90" s="940">
        <f t="shared" ca="1" si="91"/>
        <v>6.7084938446903912</v>
      </c>
      <c r="W90" s="1385">
        <f t="shared" si="91"/>
        <v>0</v>
      </c>
      <c r="X90" s="1386">
        <f t="shared" si="91"/>
        <v>0</v>
      </c>
      <c r="Y90" s="1386">
        <f t="shared" si="91"/>
        <v>0</v>
      </c>
      <c r="Z90" s="940">
        <f t="shared" ca="1" si="91"/>
        <v>8.6752477741600575</v>
      </c>
      <c r="AA90" s="941">
        <f t="shared" si="91"/>
        <v>0</v>
      </c>
      <c r="AB90" s="939">
        <f t="shared" si="91"/>
        <v>0</v>
      </c>
      <c r="AC90" s="939">
        <f t="shared" si="91"/>
        <v>0</v>
      </c>
      <c r="AD90" s="940">
        <f t="shared" ca="1" si="91"/>
        <v>9.7965879044912416</v>
      </c>
      <c r="AE90" s="941">
        <f t="shared" si="91"/>
        <v>0</v>
      </c>
      <c r="AF90" s="939">
        <f t="shared" si="91"/>
        <v>0</v>
      </c>
      <c r="AG90" s="939">
        <f t="shared" si="91"/>
        <v>0</v>
      </c>
      <c r="AH90" s="940">
        <f t="shared" ca="1" si="91"/>
        <v>10.550787845059059</v>
      </c>
      <c r="AI90" s="941">
        <f t="shared" si="91"/>
        <v>0</v>
      </c>
      <c r="AJ90" s="1386">
        <f t="shared" si="91"/>
        <v>0</v>
      </c>
      <c r="AK90" s="1386">
        <f t="shared" si="91"/>
        <v>0</v>
      </c>
      <c r="AL90" s="1387">
        <f t="shared" ca="1" si="91"/>
        <v>0.42560324564593505</v>
      </c>
      <c r="AM90" s="1385">
        <f t="shared" si="91"/>
        <v>0</v>
      </c>
      <c r="AN90" s="1386">
        <f t="shared" si="91"/>
        <v>0</v>
      </c>
      <c r="AO90" s="1386">
        <f t="shared" si="91"/>
        <v>0</v>
      </c>
      <c r="AP90" s="1387">
        <f t="shared" ca="1" si="91"/>
        <v>3.6742500225554662</v>
      </c>
      <c r="AQ90" s="1385">
        <f t="shared" si="91"/>
        <v>0</v>
      </c>
      <c r="AR90" s="1386">
        <f t="shared" si="91"/>
        <v>0</v>
      </c>
      <c r="AS90" s="1386">
        <f t="shared" si="91"/>
        <v>0</v>
      </c>
      <c r="AT90" s="1387">
        <f t="shared" ca="1" si="91"/>
        <v>4.8126959772467677</v>
      </c>
      <c r="AU90" s="1385">
        <f t="shared" si="91"/>
        <v>0</v>
      </c>
      <c r="AV90" s="1386">
        <f t="shared" si="91"/>
        <v>0</v>
      </c>
      <c r="AW90" s="1386">
        <f t="shared" si="91"/>
        <v>0</v>
      </c>
      <c r="AX90" s="1387">
        <f t="shared" ca="1" si="91"/>
        <v>4.4062230331137267</v>
      </c>
      <c r="AY90" s="1385">
        <f t="shared" si="91"/>
        <v>0</v>
      </c>
      <c r="AZ90" s="1386">
        <f t="shared" si="91"/>
        <v>0</v>
      </c>
      <c r="BA90" s="1386">
        <f t="shared" si="91"/>
        <v>0</v>
      </c>
      <c r="BB90" s="1387">
        <f t="shared" ca="1" si="91"/>
        <v>8.6044539315177975</v>
      </c>
      <c r="BC90" s="1385">
        <f t="shared" si="91"/>
        <v>0</v>
      </c>
      <c r="BD90" s="1386">
        <f t="shared" si="91"/>
        <v>0</v>
      </c>
      <c r="BE90" s="1386">
        <f t="shared" si="91"/>
        <v>0</v>
      </c>
      <c r="BF90" s="1387">
        <f t="shared" ca="1" si="91"/>
        <v>7.4870127499627923</v>
      </c>
      <c r="BG90" s="1385">
        <f t="shared" si="91"/>
        <v>0</v>
      </c>
      <c r="BH90" s="1386">
        <f t="shared" si="91"/>
        <v>0</v>
      </c>
      <c r="BI90" s="1386">
        <f t="shared" si="91"/>
        <v>0</v>
      </c>
      <c r="BJ90" s="1387">
        <f t="shared" ca="1" si="91"/>
        <v>7.9733569743088806</v>
      </c>
      <c r="BK90" s="1385">
        <f t="shared" si="91"/>
        <v>0</v>
      </c>
      <c r="BL90" s="1386">
        <f t="shared" si="91"/>
        <v>0</v>
      </c>
      <c r="BM90" s="1386">
        <f t="shared" si="91"/>
        <v>0</v>
      </c>
      <c r="BN90" s="1387">
        <f t="shared" ca="1" si="91"/>
        <v>9.9262206827830983</v>
      </c>
      <c r="BO90" s="1385">
        <f t="shared" si="91"/>
        <v>0</v>
      </c>
      <c r="BP90" s="1386">
        <f t="shared" si="91"/>
        <v>0</v>
      </c>
      <c r="BQ90" s="1386">
        <f t="shared" si="91"/>
        <v>0</v>
      </c>
      <c r="BR90" s="1387">
        <f t="shared" ca="1" si="91"/>
        <v>9.7947974081157785</v>
      </c>
      <c r="BS90" s="1385">
        <f t="shared" si="91"/>
        <v>0</v>
      </c>
      <c r="BT90" s="1386">
        <f t="shared" ref="BT90:EE90" si="92">BT89</f>
        <v>0</v>
      </c>
      <c r="BU90" s="1386">
        <f t="shared" si="92"/>
        <v>0</v>
      </c>
      <c r="BV90" s="1387">
        <f t="shared" ca="1" si="92"/>
        <v>8.3190855289959647</v>
      </c>
      <c r="BW90" s="1385">
        <f t="shared" si="92"/>
        <v>0</v>
      </c>
      <c r="BX90" s="1386">
        <f t="shared" si="92"/>
        <v>0</v>
      </c>
      <c r="BY90" s="1386">
        <f t="shared" si="92"/>
        <v>0</v>
      </c>
      <c r="BZ90" s="1387">
        <f t="shared" ca="1" si="92"/>
        <v>11.015372604467975</v>
      </c>
      <c r="CA90" s="1385">
        <f t="shared" si="92"/>
        <v>0</v>
      </c>
      <c r="CB90" s="1386">
        <f t="shared" si="92"/>
        <v>0</v>
      </c>
      <c r="CC90" s="1386">
        <f t="shared" si="92"/>
        <v>0</v>
      </c>
      <c r="CD90" s="1387">
        <f t="shared" ca="1" si="92"/>
        <v>10.499325904720786</v>
      </c>
      <c r="CE90" s="1385">
        <f t="shared" si="92"/>
        <v>0</v>
      </c>
      <c r="CF90" s="1386">
        <f t="shared" si="92"/>
        <v>0</v>
      </c>
      <c r="CG90" s="1386">
        <f t="shared" si="92"/>
        <v>0</v>
      </c>
      <c r="CH90" s="1387">
        <f t="shared" ca="1" si="92"/>
        <v>9.3596321357848939</v>
      </c>
      <c r="CI90" s="1385">
        <f t="shared" si="92"/>
        <v>0</v>
      </c>
      <c r="CJ90" s="1386">
        <f t="shared" si="92"/>
        <v>0</v>
      </c>
      <c r="CK90" s="1386">
        <f t="shared" si="92"/>
        <v>0</v>
      </c>
      <c r="CL90" s="1387">
        <f t="shared" ca="1" si="92"/>
        <v>9.5344159635571248</v>
      </c>
      <c r="CM90" s="1385">
        <f t="shared" si="92"/>
        <v>0</v>
      </c>
      <c r="CN90" s="1386">
        <f t="shared" si="92"/>
        <v>0</v>
      </c>
      <c r="CO90" s="1386">
        <f t="shared" si="92"/>
        <v>0</v>
      </c>
      <c r="CP90" s="1387">
        <f t="shared" ca="1" si="92"/>
        <v>13.201585732507731</v>
      </c>
      <c r="CQ90" s="1385">
        <f t="shared" si="92"/>
        <v>0</v>
      </c>
      <c r="CR90" s="1386">
        <f t="shared" si="92"/>
        <v>0</v>
      </c>
      <c r="CS90" s="1386">
        <f t="shared" si="92"/>
        <v>0</v>
      </c>
      <c r="CT90" s="1387">
        <f t="shared" ca="1" si="92"/>
        <v>14.091269573338259</v>
      </c>
      <c r="CU90" s="1385">
        <f t="shared" si="92"/>
        <v>0</v>
      </c>
      <c r="CV90" s="1386">
        <f t="shared" si="92"/>
        <v>0</v>
      </c>
      <c r="CW90" s="1386">
        <f t="shared" si="92"/>
        <v>0</v>
      </c>
      <c r="CX90" s="1387">
        <f t="shared" ca="1" si="92"/>
        <v>17.834949793709598</v>
      </c>
      <c r="CY90" s="1385">
        <f t="shared" si="92"/>
        <v>0</v>
      </c>
      <c r="CZ90" s="1386">
        <f t="shared" si="92"/>
        <v>0</v>
      </c>
      <c r="DA90" s="1386">
        <f t="shared" si="92"/>
        <v>0</v>
      </c>
      <c r="DB90" s="1387">
        <f t="shared" ca="1" si="92"/>
        <v>17.349993284640476</v>
      </c>
      <c r="DC90" s="1385">
        <f t="shared" si="92"/>
        <v>0</v>
      </c>
      <c r="DD90" s="1386">
        <f t="shared" si="92"/>
        <v>0</v>
      </c>
      <c r="DE90" s="1386">
        <f t="shared" si="92"/>
        <v>0</v>
      </c>
      <c r="DF90" s="1387">
        <f t="shared" ca="1" si="92"/>
        <v>17.499837630137659</v>
      </c>
      <c r="DG90" s="1385">
        <f t="shared" si="92"/>
        <v>0</v>
      </c>
      <c r="DH90" s="1386">
        <f t="shared" si="92"/>
        <v>0</v>
      </c>
      <c r="DI90" s="1386">
        <f t="shared" si="92"/>
        <v>0</v>
      </c>
      <c r="DJ90" s="1387">
        <f t="shared" ca="1" si="92"/>
        <v>19.327771456852229</v>
      </c>
      <c r="DK90" s="1385">
        <f t="shared" si="92"/>
        <v>0</v>
      </c>
      <c r="DL90" s="1386">
        <f t="shared" si="92"/>
        <v>0</v>
      </c>
      <c r="DM90" s="1386">
        <f t="shared" si="92"/>
        <v>0</v>
      </c>
      <c r="DN90" s="1387">
        <f t="shared" ca="1" si="92"/>
        <v>20.110411758255474</v>
      </c>
      <c r="DO90" s="1385">
        <f t="shared" si="92"/>
        <v>0</v>
      </c>
      <c r="DP90" s="1386">
        <f t="shared" si="92"/>
        <v>0</v>
      </c>
      <c r="DQ90" s="1386">
        <f t="shared" si="92"/>
        <v>0</v>
      </c>
      <c r="DR90" s="1387">
        <f t="shared" ca="1" si="92"/>
        <v>18.861308887955943</v>
      </c>
      <c r="DS90" s="1385">
        <f t="shared" si="92"/>
        <v>0</v>
      </c>
      <c r="DT90" s="1386">
        <f t="shared" si="92"/>
        <v>0</v>
      </c>
      <c r="DU90" s="1386">
        <f t="shared" si="92"/>
        <v>0</v>
      </c>
      <c r="DV90" s="1387">
        <f t="shared" ca="1" si="92"/>
        <v>21.415488495392388</v>
      </c>
      <c r="DW90" s="1385">
        <f t="shared" si="92"/>
        <v>0</v>
      </c>
      <c r="DX90" s="1386">
        <f t="shared" si="92"/>
        <v>0</v>
      </c>
      <c r="DY90" s="1386">
        <f t="shared" si="92"/>
        <v>0</v>
      </c>
      <c r="DZ90" s="1387">
        <f t="shared" ca="1" si="92"/>
        <v>19.237251023185603</v>
      </c>
      <c r="EA90" s="1385">
        <f t="shared" si="92"/>
        <v>0</v>
      </c>
      <c r="EB90" s="1386">
        <f t="shared" si="92"/>
        <v>0</v>
      </c>
      <c r="EC90" s="1386">
        <f t="shared" si="92"/>
        <v>0</v>
      </c>
      <c r="ED90" s="1387">
        <f t="shared" ca="1" si="92"/>
        <v>20.806375466689765</v>
      </c>
      <c r="EE90" s="1385">
        <f t="shared" si="92"/>
        <v>0</v>
      </c>
      <c r="EF90" s="1386">
        <f t="shared" ref="EF90:GD90" si="93">EF89</f>
        <v>0</v>
      </c>
      <c r="EG90" s="1386">
        <f t="shared" si="93"/>
        <v>0</v>
      </c>
      <c r="EH90" s="1387">
        <f t="shared" ca="1" si="93"/>
        <v>23.465866906225489</v>
      </c>
      <c r="EI90" s="1385">
        <f t="shared" si="93"/>
        <v>0</v>
      </c>
      <c r="EJ90" s="1386">
        <f t="shared" si="93"/>
        <v>0</v>
      </c>
      <c r="EK90" s="1386">
        <f t="shared" si="93"/>
        <v>0</v>
      </c>
      <c r="EL90" s="1387">
        <f t="shared" ca="1" si="93"/>
        <v>22.71551553887873</v>
      </c>
      <c r="EM90" s="1385">
        <f t="shared" si="93"/>
        <v>0</v>
      </c>
      <c r="EN90" s="1386">
        <f t="shared" si="93"/>
        <v>0</v>
      </c>
      <c r="EO90" s="1386">
        <f t="shared" si="93"/>
        <v>0</v>
      </c>
      <c r="EP90" s="1387">
        <f t="shared" ca="1" si="93"/>
        <v>22.896078359876327</v>
      </c>
      <c r="EQ90" s="1385">
        <f t="shared" si="93"/>
        <v>0</v>
      </c>
      <c r="ER90" s="1386">
        <f t="shared" si="93"/>
        <v>0</v>
      </c>
      <c r="ES90" s="1386">
        <f t="shared" si="93"/>
        <v>0</v>
      </c>
      <c r="ET90" s="1387">
        <f t="shared" ca="1" si="93"/>
        <v>26.608743745146676</v>
      </c>
      <c r="EU90" s="1385">
        <f t="shared" si="93"/>
        <v>0</v>
      </c>
      <c r="EV90" s="1386">
        <f t="shared" si="93"/>
        <v>0</v>
      </c>
      <c r="EW90" s="1386">
        <f t="shared" si="93"/>
        <v>0</v>
      </c>
      <c r="EX90" s="1387">
        <f t="shared" ca="1" si="93"/>
        <v>26.695968686599247</v>
      </c>
      <c r="EY90" s="1385">
        <f t="shared" si="93"/>
        <v>0</v>
      </c>
      <c r="EZ90" s="1386">
        <f t="shared" si="93"/>
        <v>0</v>
      </c>
      <c r="FA90" s="1386">
        <f t="shared" si="93"/>
        <v>0</v>
      </c>
      <c r="FB90" s="1387">
        <f t="shared" ca="1" si="93"/>
        <v>27.288284964165722</v>
      </c>
      <c r="FC90" s="1385">
        <f t="shared" si="93"/>
        <v>0</v>
      </c>
      <c r="FD90" s="1386">
        <f t="shared" si="93"/>
        <v>0</v>
      </c>
      <c r="FE90" s="1386">
        <f t="shared" si="93"/>
        <v>0</v>
      </c>
      <c r="FF90" s="1387">
        <f t="shared" ca="1" si="93"/>
        <v>29.618655355843007</v>
      </c>
      <c r="FG90" s="1385">
        <f t="shared" si="93"/>
        <v>0</v>
      </c>
      <c r="FH90" s="1386">
        <f t="shared" si="93"/>
        <v>0</v>
      </c>
      <c r="FI90" s="1386">
        <f t="shared" si="93"/>
        <v>0</v>
      </c>
      <c r="FJ90" s="1387">
        <f t="shared" ca="1" si="93"/>
        <v>29.931309272639005</v>
      </c>
      <c r="FK90" s="1385">
        <f t="shared" si="93"/>
        <v>0</v>
      </c>
      <c r="FL90" s="1386">
        <f t="shared" si="93"/>
        <v>0</v>
      </c>
      <c r="FM90" s="1386">
        <f t="shared" si="93"/>
        <v>0</v>
      </c>
      <c r="FN90" s="1387">
        <f t="shared" ca="1" si="93"/>
        <v>0</v>
      </c>
      <c r="FO90" s="1385">
        <f t="shared" si="93"/>
        <v>0</v>
      </c>
      <c r="FP90" s="1386">
        <f t="shared" si="93"/>
        <v>0</v>
      </c>
      <c r="FQ90" s="1386">
        <f t="shared" si="93"/>
        <v>0</v>
      </c>
      <c r="FR90" s="1387">
        <f t="shared" ca="1" si="93"/>
        <v>0</v>
      </c>
      <c r="FS90" s="1385">
        <f t="shared" si="93"/>
        <v>0</v>
      </c>
      <c r="FT90" s="1386">
        <f t="shared" si="93"/>
        <v>0</v>
      </c>
      <c r="FU90" s="1386">
        <f t="shared" si="93"/>
        <v>0</v>
      </c>
      <c r="FV90" s="1387">
        <f t="shared" ca="1" si="93"/>
        <v>0</v>
      </c>
      <c r="FW90" s="1385">
        <f t="shared" si="93"/>
        <v>0</v>
      </c>
      <c r="FX90" s="1386">
        <f t="shared" si="93"/>
        <v>0</v>
      </c>
      <c r="FY90" s="1386">
        <f t="shared" si="93"/>
        <v>0</v>
      </c>
      <c r="FZ90" s="1387">
        <f t="shared" ca="1" si="93"/>
        <v>0</v>
      </c>
      <c r="GA90" s="1385">
        <f t="shared" si="93"/>
        <v>0</v>
      </c>
      <c r="GB90" s="1386">
        <f t="shared" si="93"/>
        <v>0</v>
      </c>
      <c r="GC90" s="1386">
        <f t="shared" si="93"/>
        <v>0</v>
      </c>
      <c r="GD90" s="1387">
        <f t="shared" ca="1" si="93"/>
        <v>0</v>
      </c>
    </row>
    <row r="91" spans="2:186" ht="17.100000000000001" customHeight="1">
      <c r="F91" s="713">
        <f ca="1">F90+O100-F96</f>
        <v>0.67592695999996977</v>
      </c>
      <c r="G91" s="653"/>
      <c r="H91" s="653"/>
      <c r="I91" s="653"/>
      <c r="J91" s="653"/>
      <c r="K91" s="653"/>
      <c r="L91" s="653"/>
      <c r="M91" s="653"/>
      <c r="N91" s="714"/>
      <c r="O91" s="653"/>
      <c r="P91" s="653"/>
      <c r="Q91" s="653"/>
      <c r="R91" s="653"/>
      <c r="S91" s="653"/>
      <c r="T91" s="653"/>
      <c r="U91" s="653"/>
      <c r="V91" s="653"/>
      <c r="W91" s="653"/>
      <c r="X91" s="653"/>
      <c r="Y91" s="653"/>
      <c r="Z91" s="653"/>
      <c r="AA91" s="653"/>
      <c r="AB91" s="653"/>
      <c r="AC91" s="653"/>
      <c r="AD91" s="653"/>
      <c r="AE91" s="653"/>
      <c r="AF91" s="653"/>
      <c r="AG91" s="653"/>
      <c r="AH91" s="653"/>
      <c r="AI91" s="653"/>
      <c r="AJ91" s="653"/>
      <c r="AK91" s="653"/>
      <c r="AL91" s="653"/>
      <c r="AM91" s="653"/>
      <c r="AN91" s="653"/>
      <c r="AO91" s="653"/>
      <c r="AP91" s="653"/>
      <c r="AQ91" s="653"/>
      <c r="AR91" s="653"/>
      <c r="AS91" s="653"/>
      <c r="AT91" s="653"/>
      <c r="AU91" s="653"/>
      <c r="AV91" s="653"/>
      <c r="AW91" s="653"/>
      <c r="AX91" s="653"/>
      <c r="AY91" s="653"/>
      <c r="AZ91" s="653"/>
      <c r="BA91" s="653"/>
      <c r="BB91" s="653"/>
      <c r="BC91" s="653"/>
      <c r="BD91" s="653"/>
      <c r="BE91" s="653"/>
      <c r="BF91" s="653"/>
      <c r="BG91" s="653"/>
      <c r="BH91" s="653"/>
      <c r="BI91" s="653"/>
      <c r="BJ91" s="653"/>
      <c r="BK91" s="653"/>
      <c r="BL91" s="653"/>
      <c r="BM91" s="653"/>
      <c r="BN91" s="653"/>
      <c r="BO91" s="653"/>
      <c r="BP91" s="653"/>
      <c r="BQ91" s="653"/>
      <c r="BR91" s="653"/>
      <c r="BS91" s="653"/>
      <c r="BT91" s="653"/>
      <c r="BU91" s="653"/>
      <c r="BV91" s="653"/>
      <c r="BW91" s="653"/>
      <c r="BX91" s="653"/>
      <c r="BY91" s="653"/>
      <c r="BZ91" s="653"/>
      <c r="CA91" s="653"/>
      <c r="CB91" s="653"/>
      <c r="CC91" s="653"/>
      <c r="CD91" s="653"/>
      <c r="CE91" s="653"/>
      <c r="CF91" s="653"/>
      <c r="CG91" s="653"/>
      <c r="CH91" s="653"/>
      <c r="CI91" s="653"/>
      <c r="CJ91" s="653"/>
      <c r="CK91" s="653"/>
      <c r="CL91" s="653"/>
      <c r="CM91" s="653"/>
      <c r="CN91" s="653"/>
      <c r="CO91" s="653"/>
      <c r="CP91" s="653"/>
      <c r="CQ91" s="653"/>
      <c r="CR91" s="653"/>
      <c r="CS91" s="653"/>
      <c r="CT91" s="653"/>
      <c r="CU91" s="653"/>
      <c r="CV91" s="653"/>
      <c r="CW91" s="653"/>
      <c r="CX91" s="653"/>
      <c r="CY91" s="653"/>
      <c r="CZ91" s="653"/>
      <c r="DA91" s="653"/>
      <c r="DB91" s="653"/>
      <c r="DC91" s="653"/>
      <c r="DD91" s="653"/>
      <c r="DE91" s="653"/>
      <c r="DF91" s="653"/>
      <c r="DG91" s="653"/>
      <c r="DH91" s="653"/>
      <c r="DI91" s="653"/>
      <c r="DJ91" s="653"/>
      <c r="DK91" s="653"/>
      <c r="DL91" s="653"/>
      <c r="DM91" s="653"/>
      <c r="DN91" s="653"/>
      <c r="DO91" s="653"/>
      <c r="DP91" s="653"/>
      <c r="DQ91" s="653"/>
      <c r="DR91" s="653"/>
      <c r="DS91" s="653"/>
      <c r="DT91" s="653"/>
      <c r="DU91" s="653"/>
      <c r="DV91" s="653"/>
      <c r="DW91" s="653"/>
      <c r="DX91" s="653"/>
      <c r="DY91" s="653"/>
      <c r="DZ91" s="653"/>
      <c r="EA91" s="653"/>
      <c r="EB91" s="653"/>
      <c r="EC91" s="653"/>
      <c r="ED91" s="653"/>
      <c r="EE91" s="653"/>
      <c r="EF91" s="653"/>
      <c r="EG91" s="653"/>
      <c r="EH91" s="653"/>
      <c r="EI91" s="653"/>
      <c r="EJ91" s="653"/>
      <c r="EK91" s="653"/>
      <c r="EL91" s="653"/>
      <c r="EM91" s="653"/>
      <c r="EN91" s="653"/>
      <c r="EO91" s="653"/>
      <c r="EP91" s="653"/>
      <c r="EQ91" s="653"/>
      <c r="ER91" s="653"/>
      <c r="ES91" s="653"/>
      <c r="ET91" s="653"/>
      <c r="EU91" s="653"/>
      <c r="EV91" s="653"/>
      <c r="EW91" s="653"/>
      <c r="EX91" s="653"/>
      <c r="EY91" s="653"/>
      <c r="EZ91" s="653"/>
      <c r="FA91" s="653"/>
      <c r="FB91" s="653"/>
      <c r="FC91" s="653"/>
      <c r="FD91" s="653"/>
      <c r="FE91" s="653"/>
      <c r="FF91" s="653"/>
      <c r="FG91" s="653"/>
      <c r="FH91" s="653"/>
      <c r="FI91" s="653"/>
      <c r="FJ91" s="653"/>
      <c r="FK91" s="653"/>
      <c r="FL91" s="653"/>
      <c r="FM91" s="653"/>
      <c r="FN91" s="653"/>
      <c r="FO91" s="653"/>
      <c r="FP91" s="653"/>
      <c r="FQ91" s="653"/>
      <c r="FR91" s="653"/>
      <c r="FS91" s="653"/>
      <c r="FT91" s="653"/>
      <c r="FU91" s="653"/>
      <c r="FV91" s="653"/>
      <c r="FW91" s="653"/>
      <c r="FX91" s="653"/>
      <c r="FY91" s="653"/>
      <c r="FZ91" s="653"/>
      <c r="GA91" s="653"/>
      <c r="GB91" s="653"/>
      <c r="GC91" s="653"/>
      <c r="GD91" s="653"/>
    </row>
    <row r="92" spans="2:186" ht="17.100000000000001" customHeight="1">
      <c r="B92" s="302" t="s">
        <v>1267</v>
      </c>
      <c r="E92" s="1388"/>
      <c r="F92" s="753"/>
      <c r="G92" s="753"/>
      <c r="H92" s="753"/>
      <c r="I92" s="753"/>
      <c r="J92" s="753"/>
      <c r="K92" s="753"/>
      <c r="L92" s="753"/>
      <c r="M92" s="753"/>
      <c r="N92" s="753"/>
      <c r="O92" s="753"/>
      <c r="P92" s="753"/>
      <c r="Q92" s="753"/>
      <c r="R92" s="753"/>
      <c r="S92" s="753"/>
      <c r="T92" s="753"/>
      <c r="U92" s="753"/>
      <c r="V92" s="753"/>
      <c r="W92" s="753"/>
      <c r="X92" s="753"/>
      <c r="Y92" s="753"/>
      <c r="Z92" s="753"/>
      <c r="AA92" s="753"/>
      <c r="AB92" s="753"/>
      <c r="AC92" s="753"/>
      <c r="AD92" s="753"/>
      <c r="AE92" s="753"/>
      <c r="AF92" s="753"/>
      <c r="AG92" s="753"/>
      <c r="AH92" s="753"/>
      <c r="AI92" s="753"/>
      <c r="AJ92" s="753"/>
      <c r="AK92" s="753"/>
      <c r="AL92" s="753"/>
      <c r="AM92" s="753"/>
      <c r="AN92" s="753"/>
      <c r="AO92" s="753"/>
      <c r="AP92" s="753"/>
      <c r="AQ92" s="753"/>
      <c r="AR92" s="753"/>
      <c r="AS92" s="753"/>
      <c r="AT92" s="753"/>
      <c r="AU92" s="753"/>
      <c r="AV92" s="753"/>
      <c r="AW92" s="753"/>
      <c r="AX92" s="753"/>
      <c r="AY92" s="753"/>
      <c r="AZ92" s="753"/>
      <c r="BA92" s="753"/>
      <c r="BB92" s="753"/>
      <c r="BC92" s="753"/>
      <c r="BD92" s="753"/>
      <c r="BE92" s="753"/>
      <c r="BF92" s="753"/>
      <c r="BG92" s="753"/>
      <c r="BH92" s="753"/>
      <c r="BI92" s="753"/>
      <c r="BJ92" s="753"/>
      <c r="BK92" s="753"/>
      <c r="BL92" s="753"/>
      <c r="BM92" s="753"/>
      <c r="BN92" s="753"/>
      <c r="BO92" s="753"/>
      <c r="BP92" s="753"/>
      <c r="BQ92" s="753"/>
      <c r="BR92" s="753"/>
      <c r="BS92" s="753"/>
      <c r="BT92" s="753"/>
      <c r="BU92" s="753"/>
      <c r="BV92" s="753"/>
      <c r="BW92" s="753"/>
      <c r="BX92" s="753"/>
      <c r="BY92" s="753"/>
      <c r="BZ92" s="753"/>
      <c r="CA92" s="753"/>
      <c r="CB92" s="753"/>
      <c r="CC92" s="753"/>
      <c r="CD92" s="753"/>
      <c r="CE92" s="753"/>
      <c r="CF92" s="753"/>
      <c r="CG92" s="753"/>
      <c r="CH92" s="753"/>
      <c r="CI92" s="753"/>
      <c r="CJ92" s="753"/>
      <c r="CK92" s="753"/>
      <c r="CL92" s="753"/>
      <c r="CM92" s="753"/>
      <c r="CN92" s="753"/>
      <c r="CO92" s="753"/>
      <c r="CP92" s="753"/>
      <c r="CQ92" s="753"/>
      <c r="CR92" s="753"/>
      <c r="CS92" s="753"/>
      <c r="CT92" s="753"/>
      <c r="CU92" s="753"/>
      <c r="CV92" s="753"/>
      <c r="CW92" s="753"/>
      <c r="CX92" s="753"/>
      <c r="CY92" s="753"/>
      <c r="CZ92" s="753"/>
      <c r="DA92" s="753"/>
      <c r="DB92" s="753"/>
      <c r="DC92" s="753"/>
      <c r="DD92" s="753"/>
      <c r="DE92" s="753"/>
      <c r="DF92" s="753"/>
      <c r="DG92" s="753"/>
      <c r="DH92" s="753"/>
      <c r="DI92" s="753"/>
      <c r="DJ92" s="753"/>
      <c r="DK92" s="753"/>
      <c r="DL92" s="753"/>
      <c r="DM92" s="753"/>
      <c r="DN92" s="753"/>
      <c r="DO92" s="753"/>
      <c r="DP92" s="753"/>
      <c r="DQ92" s="753"/>
      <c r="DR92" s="753"/>
      <c r="DS92" s="753"/>
      <c r="DT92" s="753"/>
      <c r="DU92" s="753"/>
      <c r="DV92" s="753"/>
      <c r="DW92" s="753"/>
      <c r="DX92" s="753"/>
      <c r="DY92" s="753"/>
      <c r="DZ92" s="753"/>
      <c r="EA92" s="753"/>
      <c r="EB92" s="753"/>
      <c r="EC92" s="753"/>
      <c r="ED92" s="753"/>
      <c r="EE92" s="753"/>
      <c r="EF92" s="753"/>
      <c r="EG92" s="753"/>
      <c r="EH92" s="753"/>
      <c r="EI92" s="753"/>
      <c r="EJ92" s="753"/>
      <c r="EK92" s="753"/>
      <c r="EL92" s="753"/>
      <c r="EM92" s="753"/>
      <c r="EN92" s="753"/>
      <c r="EO92" s="753"/>
      <c r="EP92" s="753"/>
      <c r="EQ92" s="753"/>
      <c r="ER92" s="753"/>
      <c r="ES92" s="753"/>
      <c r="ET92" s="753"/>
      <c r="EU92" s="753"/>
      <c r="EV92" s="753"/>
      <c r="EW92" s="753"/>
      <c r="EX92" s="753"/>
      <c r="EY92" s="753"/>
      <c r="EZ92" s="753"/>
      <c r="FA92" s="753"/>
      <c r="FB92" s="753"/>
      <c r="FC92" s="753"/>
      <c r="FD92" s="753"/>
      <c r="FE92" s="753"/>
      <c r="FF92" s="753"/>
      <c r="FG92" s="753"/>
      <c r="FH92" s="753"/>
      <c r="FI92" s="753"/>
      <c r="FJ92" s="753"/>
      <c r="FK92" s="753"/>
      <c r="FL92" s="753"/>
      <c r="FM92" s="753"/>
      <c r="FN92" s="753"/>
      <c r="FO92" s="753"/>
      <c r="FP92" s="753"/>
      <c r="FQ92" s="753"/>
      <c r="FR92" s="753"/>
      <c r="FS92" s="753"/>
      <c r="FT92" s="753"/>
      <c r="FU92" s="753"/>
      <c r="FV92" s="753"/>
      <c r="FW92" s="753"/>
      <c r="FX92" s="753"/>
      <c r="FY92" s="753"/>
      <c r="FZ92" s="753"/>
      <c r="GA92" s="753"/>
      <c r="GB92" s="753"/>
      <c r="GC92" s="753"/>
      <c r="GD92" s="753"/>
    </row>
    <row r="93" spans="2:186" ht="17.100000000000001" customHeight="1">
      <c r="C93" s="717"/>
      <c r="D93" s="718" t="s">
        <v>780</v>
      </c>
      <c r="E93" s="719"/>
      <c r="F93" s="719" t="s">
        <v>774</v>
      </c>
      <c r="G93" s="911">
        <f>기준분기</f>
        <v>43555</v>
      </c>
      <c r="H93" s="912">
        <f t="shared" ref="H93:BS93" si="94">EOMONTH(G93,3)</f>
        <v>43646</v>
      </c>
      <c r="I93" s="912">
        <f t="shared" si="94"/>
        <v>43738</v>
      </c>
      <c r="J93" s="913">
        <f t="shared" si="94"/>
        <v>43830</v>
      </c>
      <c r="K93" s="911">
        <f t="shared" si="94"/>
        <v>43921</v>
      </c>
      <c r="L93" s="912">
        <f t="shared" si="94"/>
        <v>44012</v>
      </c>
      <c r="M93" s="912">
        <f t="shared" si="94"/>
        <v>44104</v>
      </c>
      <c r="N93" s="913">
        <f t="shared" si="94"/>
        <v>44196</v>
      </c>
      <c r="O93" s="911">
        <f t="shared" si="94"/>
        <v>44286</v>
      </c>
      <c r="P93" s="912">
        <f t="shared" si="94"/>
        <v>44377</v>
      </c>
      <c r="Q93" s="912">
        <f t="shared" si="94"/>
        <v>44469</v>
      </c>
      <c r="R93" s="913">
        <f t="shared" si="94"/>
        <v>44561</v>
      </c>
      <c r="S93" s="911">
        <f t="shared" si="94"/>
        <v>44651</v>
      </c>
      <c r="T93" s="912">
        <f t="shared" si="94"/>
        <v>44742</v>
      </c>
      <c r="U93" s="912">
        <f t="shared" si="94"/>
        <v>44834</v>
      </c>
      <c r="V93" s="913">
        <f t="shared" si="94"/>
        <v>44926</v>
      </c>
      <c r="W93" s="911">
        <f t="shared" si="94"/>
        <v>45016</v>
      </c>
      <c r="X93" s="912">
        <f t="shared" si="94"/>
        <v>45107</v>
      </c>
      <c r="Y93" s="912">
        <f t="shared" si="94"/>
        <v>45199</v>
      </c>
      <c r="Z93" s="913">
        <f t="shared" si="94"/>
        <v>45291</v>
      </c>
      <c r="AA93" s="911">
        <f t="shared" si="94"/>
        <v>45382</v>
      </c>
      <c r="AB93" s="912">
        <f t="shared" si="94"/>
        <v>45473</v>
      </c>
      <c r="AC93" s="912">
        <f t="shared" si="94"/>
        <v>45565</v>
      </c>
      <c r="AD93" s="913">
        <f t="shared" si="94"/>
        <v>45657</v>
      </c>
      <c r="AE93" s="911">
        <f t="shared" si="94"/>
        <v>45747</v>
      </c>
      <c r="AF93" s="912">
        <f t="shared" si="94"/>
        <v>45838</v>
      </c>
      <c r="AG93" s="912">
        <f t="shared" si="94"/>
        <v>45930</v>
      </c>
      <c r="AH93" s="913">
        <f t="shared" si="94"/>
        <v>46022</v>
      </c>
      <c r="AI93" s="911">
        <f t="shared" si="94"/>
        <v>46112</v>
      </c>
      <c r="AJ93" s="912">
        <f t="shared" si="94"/>
        <v>46203</v>
      </c>
      <c r="AK93" s="912">
        <f t="shared" si="94"/>
        <v>46295</v>
      </c>
      <c r="AL93" s="913">
        <f t="shared" si="94"/>
        <v>46387</v>
      </c>
      <c r="AM93" s="911">
        <f t="shared" si="94"/>
        <v>46477</v>
      </c>
      <c r="AN93" s="912">
        <f t="shared" si="94"/>
        <v>46568</v>
      </c>
      <c r="AO93" s="912">
        <f t="shared" si="94"/>
        <v>46660</v>
      </c>
      <c r="AP93" s="913">
        <f t="shared" si="94"/>
        <v>46752</v>
      </c>
      <c r="AQ93" s="911">
        <f t="shared" si="94"/>
        <v>46843</v>
      </c>
      <c r="AR93" s="912">
        <f t="shared" si="94"/>
        <v>46934</v>
      </c>
      <c r="AS93" s="912">
        <f t="shared" si="94"/>
        <v>47026</v>
      </c>
      <c r="AT93" s="913">
        <f t="shared" si="94"/>
        <v>47118</v>
      </c>
      <c r="AU93" s="911">
        <f t="shared" si="94"/>
        <v>47208</v>
      </c>
      <c r="AV93" s="912">
        <f t="shared" si="94"/>
        <v>47299</v>
      </c>
      <c r="AW93" s="912">
        <f t="shared" si="94"/>
        <v>47391</v>
      </c>
      <c r="AX93" s="913">
        <f t="shared" si="94"/>
        <v>47483</v>
      </c>
      <c r="AY93" s="911">
        <f t="shared" si="94"/>
        <v>47573</v>
      </c>
      <c r="AZ93" s="912">
        <f t="shared" si="94"/>
        <v>47664</v>
      </c>
      <c r="BA93" s="912">
        <f t="shared" si="94"/>
        <v>47756</v>
      </c>
      <c r="BB93" s="913">
        <f t="shared" si="94"/>
        <v>47848</v>
      </c>
      <c r="BC93" s="911">
        <f t="shared" si="94"/>
        <v>47938</v>
      </c>
      <c r="BD93" s="912">
        <f t="shared" si="94"/>
        <v>48029</v>
      </c>
      <c r="BE93" s="912">
        <f t="shared" si="94"/>
        <v>48121</v>
      </c>
      <c r="BF93" s="913">
        <f t="shared" si="94"/>
        <v>48213</v>
      </c>
      <c r="BG93" s="911">
        <f t="shared" si="94"/>
        <v>48304</v>
      </c>
      <c r="BH93" s="912">
        <f t="shared" si="94"/>
        <v>48395</v>
      </c>
      <c r="BI93" s="912">
        <f t="shared" si="94"/>
        <v>48487</v>
      </c>
      <c r="BJ93" s="913">
        <f t="shared" si="94"/>
        <v>48579</v>
      </c>
      <c r="BK93" s="911">
        <f t="shared" si="94"/>
        <v>48669</v>
      </c>
      <c r="BL93" s="912">
        <f t="shared" si="94"/>
        <v>48760</v>
      </c>
      <c r="BM93" s="912">
        <f t="shared" si="94"/>
        <v>48852</v>
      </c>
      <c r="BN93" s="913">
        <f t="shared" si="94"/>
        <v>48944</v>
      </c>
      <c r="BO93" s="911">
        <f t="shared" si="94"/>
        <v>49034</v>
      </c>
      <c r="BP93" s="912">
        <f t="shared" si="94"/>
        <v>49125</v>
      </c>
      <c r="BQ93" s="912">
        <f t="shared" si="94"/>
        <v>49217</v>
      </c>
      <c r="BR93" s="913">
        <f t="shared" si="94"/>
        <v>49309</v>
      </c>
      <c r="BS93" s="911">
        <f t="shared" si="94"/>
        <v>49399</v>
      </c>
      <c r="BT93" s="912">
        <f t="shared" ref="BT93:EE93" si="95">EOMONTH(BS93,3)</f>
        <v>49490</v>
      </c>
      <c r="BU93" s="912">
        <f t="shared" si="95"/>
        <v>49582</v>
      </c>
      <c r="BV93" s="913">
        <f t="shared" si="95"/>
        <v>49674</v>
      </c>
      <c r="BW93" s="911">
        <f t="shared" si="95"/>
        <v>49765</v>
      </c>
      <c r="BX93" s="912">
        <f t="shared" si="95"/>
        <v>49856</v>
      </c>
      <c r="BY93" s="912">
        <f t="shared" si="95"/>
        <v>49948</v>
      </c>
      <c r="BZ93" s="913">
        <f t="shared" si="95"/>
        <v>50040</v>
      </c>
      <c r="CA93" s="911">
        <f t="shared" si="95"/>
        <v>50130</v>
      </c>
      <c r="CB93" s="912">
        <f t="shared" si="95"/>
        <v>50221</v>
      </c>
      <c r="CC93" s="912">
        <f t="shared" si="95"/>
        <v>50313</v>
      </c>
      <c r="CD93" s="913">
        <f t="shared" si="95"/>
        <v>50405</v>
      </c>
      <c r="CE93" s="911">
        <f t="shared" si="95"/>
        <v>50495</v>
      </c>
      <c r="CF93" s="912">
        <f t="shared" si="95"/>
        <v>50586</v>
      </c>
      <c r="CG93" s="912">
        <f t="shared" si="95"/>
        <v>50678</v>
      </c>
      <c r="CH93" s="913">
        <f t="shared" si="95"/>
        <v>50770</v>
      </c>
      <c r="CI93" s="911">
        <f t="shared" si="95"/>
        <v>50860</v>
      </c>
      <c r="CJ93" s="912">
        <f t="shared" si="95"/>
        <v>50951</v>
      </c>
      <c r="CK93" s="912">
        <f t="shared" si="95"/>
        <v>51043</v>
      </c>
      <c r="CL93" s="913">
        <f t="shared" si="95"/>
        <v>51135</v>
      </c>
      <c r="CM93" s="911">
        <f t="shared" si="95"/>
        <v>51226</v>
      </c>
      <c r="CN93" s="912">
        <f t="shared" si="95"/>
        <v>51317</v>
      </c>
      <c r="CO93" s="912">
        <f t="shared" si="95"/>
        <v>51409</v>
      </c>
      <c r="CP93" s="913">
        <f t="shared" si="95"/>
        <v>51501</v>
      </c>
      <c r="CQ93" s="911">
        <f t="shared" si="95"/>
        <v>51591</v>
      </c>
      <c r="CR93" s="912">
        <f t="shared" si="95"/>
        <v>51682</v>
      </c>
      <c r="CS93" s="912">
        <f t="shared" si="95"/>
        <v>51774</v>
      </c>
      <c r="CT93" s="913">
        <f t="shared" si="95"/>
        <v>51866</v>
      </c>
      <c r="CU93" s="911">
        <f t="shared" si="95"/>
        <v>51956</v>
      </c>
      <c r="CV93" s="912">
        <f t="shared" si="95"/>
        <v>52047</v>
      </c>
      <c r="CW93" s="912">
        <f t="shared" si="95"/>
        <v>52139</v>
      </c>
      <c r="CX93" s="913">
        <f t="shared" si="95"/>
        <v>52231</v>
      </c>
      <c r="CY93" s="911">
        <f t="shared" si="95"/>
        <v>52321</v>
      </c>
      <c r="CZ93" s="912">
        <f t="shared" si="95"/>
        <v>52412</v>
      </c>
      <c r="DA93" s="912">
        <f t="shared" si="95"/>
        <v>52504</v>
      </c>
      <c r="DB93" s="913">
        <f t="shared" si="95"/>
        <v>52596</v>
      </c>
      <c r="DC93" s="911">
        <f t="shared" si="95"/>
        <v>52687</v>
      </c>
      <c r="DD93" s="912">
        <f t="shared" si="95"/>
        <v>52778</v>
      </c>
      <c r="DE93" s="912">
        <f t="shared" si="95"/>
        <v>52870</v>
      </c>
      <c r="DF93" s="913">
        <f t="shared" si="95"/>
        <v>52962</v>
      </c>
      <c r="DG93" s="911">
        <f t="shared" si="95"/>
        <v>53052</v>
      </c>
      <c r="DH93" s="912">
        <f t="shared" si="95"/>
        <v>53143</v>
      </c>
      <c r="DI93" s="912">
        <f t="shared" si="95"/>
        <v>53235</v>
      </c>
      <c r="DJ93" s="913">
        <f t="shared" si="95"/>
        <v>53327</v>
      </c>
      <c r="DK93" s="911">
        <f t="shared" si="95"/>
        <v>53417</v>
      </c>
      <c r="DL93" s="912">
        <f t="shared" si="95"/>
        <v>53508</v>
      </c>
      <c r="DM93" s="912">
        <f t="shared" si="95"/>
        <v>53600</v>
      </c>
      <c r="DN93" s="913">
        <f t="shared" si="95"/>
        <v>53692</v>
      </c>
      <c r="DO93" s="911">
        <f t="shared" si="95"/>
        <v>53782</v>
      </c>
      <c r="DP93" s="912">
        <f t="shared" si="95"/>
        <v>53873</v>
      </c>
      <c r="DQ93" s="912">
        <f t="shared" si="95"/>
        <v>53965</v>
      </c>
      <c r="DR93" s="913">
        <f t="shared" si="95"/>
        <v>54057</v>
      </c>
      <c r="DS93" s="911">
        <f t="shared" si="95"/>
        <v>54148</v>
      </c>
      <c r="DT93" s="912">
        <f t="shared" si="95"/>
        <v>54239</v>
      </c>
      <c r="DU93" s="912">
        <f t="shared" si="95"/>
        <v>54331</v>
      </c>
      <c r="DV93" s="913">
        <f t="shared" si="95"/>
        <v>54423</v>
      </c>
      <c r="DW93" s="911">
        <f t="shared" si="95"/>
        <v>54513</v>
      </c>
      <c r="DX93" s="912">
        <f t="shared" si="95"/>
        <v>54604</v>
      </c>
      <c r="DY93" s="912">
        <f t="shared" si="95"/>
        <v>54696</v>
      </c>
      <c r="DZ93" s="913">
        <f t="shared" si="95"/>
        <v>54788</v>
      </c>
      <c r="EA93" s="911">
        <f t="shared" si="95"/>
        <v>54878</v>
      </c>
      <c r="EB93" s="912">
        <f t="shared" si="95"/>
        <v>54969</v>
      </c>
      <c r="EC93" s="912">
        <f t="shared" si="95"/>
        <v>55061</v>
      </c>
      <c r="ED93" s="913">
        <f t="shared" si="95"/>
        <v>55153</v>
      </c>
      <c r="EE93" s="911">
        <f t="shared" si="95"/>
        <v>55243</v>
      </c>
      <c r="EF93" s="912">
        <f t="shared" ref="EF93:GD93" si="96">EOMONTH(EE93,3)</f>
        <v>55334</v>
      </c>
      <c r="EG93" s="912">
        <f t="shared" si="96"/>
        <v>55426</v>
      </c>
      <c r="EH93" s="913">
        <f t="shared" si="96"/>
        <v>55518</v>
      </c>
      <c r="EI93" s="911">
        <f t="shared" si="96"/>
        <v>55609</v>
      </c>
      <c r="EJ93" s="912">
        <f t="shared" si="96"/>
        <v>55700</v>
      </c>
      <c r="EK93" s="912">
        <f t="shared" si="96"/>
        <v>55792</v>
      </c>
      <c r="EL93" s="913">
        <f t="shared" si="96"/>
        <v>55884</v>
      </c>
      <c r="EM93" s="911">
        <f t="shared" si="96"/>
        <v>55974</v>
      </c>
      <c r="EN93" s="912">
        <f t="shared" si="96"/>
        <v>56065</v>
      </c>
      <c r="EO93" s="912">
        <f t="shared" si="96"/>
        <v>56157</v>
      </c>
      <c r="EP93" s="913">
        <f t="shared" si="96"/>
        <v>56249</v>
      </c>
      <c r="EQ93" s="911">
        <f t="shared" si="96"/>
        <v>56339</v>
      </c>
      <c r="ER93" s="912">
        <f t="shared" si="96"/>
        <v>56430</v>
      </c>
      <c r="ES93" s="912">
        <f t="shared" si="96"/>
        <v>56522</v>
      </c>
      <c r="ET93" s="913">
        <f t="shared" si="96"/>
        <v>56614</v>
      </c>
      <c r="EU93" s="911">
        <f t="shared" si="96"/>
        <v>56704</v>
      </c>
      <c r="EV93" s="912">
        <f t="shared" si="96"/>
        <v>56795</v>
      </c>
      <c r="EW93" s="912">
        <f t="shared" si="96"/>
        <v>56887</v>
      </c>
      <c r="EX93" s="913">
        <f t="shared" si="96"/>
        <v>56979</v>
      </c>
      <c r="EY93" s="911">
        <f t="shared" si="96"/>
        <v>57070</v>
      </c>
      <c r="EZ93" s="912">
        <f t="shared" si="96"/>
        <v>57161</v>
      </c>
      <c r="FA93" s="912">
        <f t="shared" si="96"/>
        <v>57253</v>
      </c>
      <c r="FB93" s="913">
        <f t="shared" si="96"/>
        <v>57345</v>
      </c>
      <c r="FC93" s="911">
        <f t="shared" si="96"/>
        <v>57435</v>
      </c>
      <c r="FD93" s="912">
        <f t="shared" si="96"/>
        <v>57526</v>
      </c>
      <c r="FE93" s="912">
        <f t="shared" si="96"/>
        <v>57618</v>
      </c>
      <c r="FF93" s="913">
        <f t="shared" si="96"/>
        <v>57710</v>
      </c>
      <c r="FG93" s="911">
        <f t="shared" si="96"/>
        <v>57800</v>
      </c>
      <c r="FH93" s="912">
        <f t="shared" si="96"/>
        <v>57891</v>
      </c>
      <c r="FI93" s="912">
        <f t="shared" si="96"/>
        <v>57983</v>
      </c>
      <c r="FJ93" s="913">
        <f t="shared" si="96"/>
        <v>58075</v>
      </c>
      <c r="FK93" s="911">
        <f t="shared" si="96"/>
        <v>58165</v>
      </c>
      <c r="FL93" s="912">
        <f t="shared" si="96"/>
        <v>58256</v>
      </c>
      <c r="FM93" s="912">
        <f t="shared" si="96"/>
        <v>58348</v>
      </c>
      <c r="FN93" s="913">
        <f t="shared" si="96"/>
        <v>58440</v>
      </c>
      <c r="FO93" s="911">
        <f t="shared" si="96"/>
        <v>58531</v>
      </c>
      <c r="FP93" s="912">
        <f t="shared" si="96"/>
        <v>58622</v>
      </c>
      <c r="FQ93" s="912">
        <f t="shared" si="96"/>
        <v>58714</v>
      </c>
      <c r="FR93" s="913">
        <f t="shared" si="96"/>
        <v>58806</v>
      </c>
      <c r="FS93" s="911">
        <f t="shared" si="96"/>
        <v>58896</v>
      </c>
      <c r="FT93" s="912">
        <f t="shared" si="96"/>
        <v>58987</v>
      </c>
      <c r="FU93" s="912">
        <f t="shared" si="96"/>
        <v>59079</v>
      </c>
      <c r="FV93" s="913">
        <f t="shared" si="96"/>
        <v>59171</v>
      </c>
      <c r="FW93" s="911">
        <f t="shared" si="96"/>
        <v>59261</v>
      </c>
      <c r="FX93" s="912">
        <f t="shared" si="96"/>
        <v>59352</v>
      </c>
      <c r="FY93" s="912">
        <f t="shared" si="96"/>
        <v>59444</v>
      </c>
      <c r="FZ93" s="913">
        <f t="shared" si="96"/>
        <v>59536</v>
      </c>
      <c r="GA93" s="911">
        <f t="shared" si="96"/>
        <v>59626</v>
      </c>
      <c r="GB93" s="912">
        <f t="shared" si="96"/>
        <v>59717</v>
      </c>
      <c r="GC93" s="912">
        <f t="shared" si="96"/>
        <v>59809</v>
      </c>
      <c r="GD93" s="913">
        <f t="shared" si="96"/>
        <v>59901</v>
      </c>
    </row>
    <row r="94" spans="2:186" ht="17.100000000000001" customHeight="1">
      <c r="C94" s="307"/>
      <c r="D94" s="331" t="s">
        <v>1268</v>
      </c>
      <c r="E94" s="742"/>
      <c r="F94" s="1360">
        <f ca="1">SUM(O94:GD94)</f>
        <v>294.32118107258583</v>
      </c>
      <c r="G94" s="1389">
        <f>G100</f>
        <v>0</v>
      </c>
      <c r="H94" s="1390">
        <v>0</v>
      </c>
      <c r="I94" s="1390">
        <f>(MONTH(I$93)=3)*(SUM($G90:I90)-SUM($G94:H95))</f>
        <v>0</v>
      </c>
      <c r="J94" s="1391">
        <f>(MONTH(J$93)=3)*(SUM($G90:J90)-SUM($G94:I95))</f>
        <v>0</v>
      </c>
      <c r="K94" s="1389">
        <f>J90</f>
        <v>5.3392381200000001</v>
      </c>
      <c r="L94" s="1390">
        <f>(MONTH(L$93)=3)*(SUM($K90:L90)-SUM($K94:K95))</f>
        <v>0</v>
      </c>
      <c r="M94" s="1390">
        <f>(MONTH(M$93)=3)*(SUM($K90:M90)-SUM($K94:L95))</f>
        <v>0</v>
      </c>
      <c r="N94" s="1391">
        <f>(MONTH(N$93)=3)*(SUM($K90:N90)-SUM($K94:M95))</f>
        <v>0</v>
      </c>
      <c r="O94" s="1392">
        <f>'CF(Q)'!AE26</f>
        <v>2.4279343</v>
      </c>
      <c r="P94" s="1393">
        <f>'CF(Q)'!AF26</f>
        <v>3.1035064999999999</v>
      </c>
      <c r="Q94" s="1394">
        <f>(MONTH(Q$93)=3)*(SUM($L90:Q90)-SUM($L94:P95))</f>
        <v>0</v>
      </c>
      <c r="R94" s="1395">
        <f ca="1">(MONTH(R$93)=3)*(SUM($L90:R90)-SUM($L94:Q95))</f>
        <v>0</v>
      </c>
      <c r="S94" s="1396">
        <f ca="1">(MONTH(S$93)=3)*(SUM($L90:S90)-SUM($L94:R95))</f>
        <v>1.1817257093159554</v>
      </c>
      <c r="T94" s="1394">
        <f ca="1">(MONTH(T$93)=3)*(SUM($L90:T90)-SUM($L94:S95))</f>
        <v>0</v>
      </c>
      <c r="U94" s="1394">
        <f ca="1">(MONTH(U$93)=3)*(SUM($L90:U90)-SUM($L94:T95))</f>
        <v>0</v>
      </c>
      <c r="V94" s="1395">
        <f ca="1">(MONTH(V$93)=3)*(SUM($L90:V90)-SUM($L94:U95))</f>
        <v>0</v>
      </c>
      <c r="W94" s="1396">
        <f ca="1">(MONTH(W$93)=3)*(SUM($L90:W90)-SUM($L94:V95))</f>
        <v>4.0907390400324157</v>
      </c>
      <c r="X94" s="1394">
        <f ca="1">(MONTH(X$93)=3)*(SUM($L90:X90)-SUM($L94:W95))</f>
        <v>0</v>
      </c>
      <c r="Y94" s="1394">
        <f ca="1">(MONTH(Y$93)=3)*(SUM($L90:Y90)-SUM($L94:X95))</f>
        <v>0</v>
      </c>
      <c r="Z94" s="1395">
        <f ca="1">(MONTH(Z$93)=3)*(SUM($L90:Z90)-SUM($L94:Y95))</f>
        <v>0</v>
      </c>
      <c r="AA94" s="746">
        <f ca="1">(MONTH(AA$93)=3)*(SUM($L90:AA90)-SUM($L94:Z95))</f>
        <v>5.3210008518148584</v>
      </c>
      <c r="AB94" s="1394">
        <f ca="1">(MONTH(AB$93)=3)*(SUM($L90:AB90)-SUM($L94:AA95))</f>
        <v>0</v>
      </c>
      <c r="AC94" s="1394">
        <f ca="1">(MONTH(AC$93)=3)*(SUM($L90:AC90)-SUM($L94:AB95))</f>
        <v>0</v>
      </c>
      <c r="AD94" s="1395">
        <f ca="1">(MONTH(AD$93)=3)*(SUM($L90:AD90)-SUM($L94:AC95))</f>
        <v>0</v>
      </c>
      <c r="AE94" s="1396">
        <f ca="1">(MONTH(AE$93)=3)*(SUM($L90:AE90)-SUM($L94:AD95))</f>
        <v>5.458964017411212</v>
      </c>
      <c r="AF94" s="1394">
        <f ca="1">(MONTH(AF$93)=3)*(SUM($L90:AF90)-SUM($L94:AE95))</f>
        <v>0</v>
      </c>
      <c r="AG94" s="1394">
        <f ca="1">(MONTH(AG$93)=3)*(SUM($L90:AG90)-SUM($L94:AF95))</f>
        <v>0</v>
      </c>
      <c r="AH94" s="1395">
        <f ca="1">(MONTH(AH$93)=3)*(SUM($L90:AH90)-SUM($L94:AG95))</f>
        <v>0</v>
      </c>
      <c r="AI94" s="1396">
        <f ca="1">(MONTH(AI$93)=3)*(SUM($L90:AI90)-SUM($L94:AH95))</f>
        <v>5.6524938928134318</v>
      </c>
      <c r="AJ94" s="1394">
        <f ca="1">(MONTH(AJ$93)=3)*(SUM($L90:AJ90)-SUM($L94:AI95))</f>
        <v>0</v>
      </c>
      <c r="AK94" s="1394">
        <f ca="1">(MONTH(AK$93)=3)*(SUM($L90:AK90)-SUM($L94:AJ95))</f>
        <v>0</v>
      </c>
      <c r="AL94" s="1395">
        <f ca="1">(MONTH(AL$93)=3)*(SUM($L90:AL90)-SUM($L94:AK95))</f>
        <v>0</v>
      </c>
      <c r="AM94" s="1396">
        <f ca="1">(MONTH(AM$93)=3)*(SUM($L90:AM90)-SUM($L94:AL95))</f>
        <v>-4.8497906768835932</v>
      </c>
      <c r="AN94" s="1394">
        <f ca="1">(MONTH(AN$93)=3)*(SUM($L90:AN90)-SUM($L94:AM95))</f>
        <v>0</v>
      </c>
      <c r="AO94" s="1394">
        <f ca="1">(MONTH(AO$93)=3)*(SUM($L90:AO90)-SUM($L94:AN95))</f>
        <v>0</v>
      </c>
      <c r="AP94" s="1395">
        <f ca="1">(MONTH(AP$93)=3)*(SUM($L90:AP90)-SUM($L94:AO95))</f>
        <v>0</v>
      </c>
      <c r="AQ94" s="1396">
        <f ca="1">(MONTH(AQ$93)=3)*(SUM($L90:AQ90)-SUM($L94:AP95))</f>
        <v>3.4614483997325038</v>
      </c>
      <c r="AR94" s="1394">
        <f ca="1">(MONTH(AR$93)=3)*(SUM($L90:AR90)-SUM($L94:AQ95))</f>
        <v>0</v>
      </c>
      <c r="AS94" s="1394">
        <f ca="1">(MONTH(AS$93)=3)*(SUM($L90:AS90)-SUM($L94:AR95))</f>
        <v>0</v>
      </c>
      <c r="AT94" s="1395">
        <f ca="1">(MONTH(AT$93)=3)*(SUM($L90:AT90)-SUM($L94:AS95))</f>
        <v>0</v>
      </c>
      <c r="AU94" s="1396">
        <f ca="1">(MONTH(AU$93)=3)*(SUM($L90:AU90)-SUM($L94:AT95))</f>
        <v>2.9755709659690339</v>
      </c>
      <c r="AV94" s="1394">
        <f ca="1">(MONTH(AV$93)=3)*(SUM($L90:AV90)-SUM($L94:AU95))</f>
        <v>0</v>
      </c>
      <c r="AW94" s="1394">
        <f ca="1">(MONTH(AW$93)=3)*(SUM($L90:AW90)-SUM($L94:AV95))</f>
        <v>0</v>
      </c>
      <c r="AX94" s="1395">
        <f ca="1">(MONTH(AX$93)=3)*(SUM($L90:AX90)-SUM($L94:AW95))</f>
        <v>0</v>
      </c>
      <c r="AY94" s="1396">
        <f ca="1">(MONTH(AY$93)=3)*(SUM($L90:AY90)-SUM($L94:AX95))</f>
        <v>1.999875044490345</v>
      </c>
      <c r="AZ94" s="1394">
        <f ca="1">(MONTH(AZ$93)=3)*(SUM($L90:AZ90)-SUM($L94:AY95))</f>
        <v>0</v>
      </c>
      <c r="BA94" s="1394">
        <f ca="1">(MONTH(BA$93)=3)*(SUM($L90:BA90)-SUM($L94:AZ95))</f>
        <v>0</v>
      </c>
      <c r="BB94" s="1395">
        <f ca="1">(MONTH(BB$93)=3)*(SUM($L90:BB90)-SUM($L94:BA95))</f>
        <v>0</v>
      </c>
      <c r="BC94" s="1396">
        <f ca="1">(MONTH(BC$93)=3)*(SUM($L90:BC90)-SUM($L94:BB95))</f>
        <v>6.4013424149609364</v>
      </c>
      <c r="BD94" s="1394">
        <f ca="1">(MONTH(BD$93)=3)*(SUM($L90:BD90)-SUM($L94:BC95))</f>
        <v>0</v>
      </c>
      <c r="BE94" s="1394">
        <f ca="1">(MONTH(BE$93)=3)*(SUM($L90:BE90)-SUM($L94:BD95))</f>
        <v>0</v>
      </c>
      <c r="BF94" s="1395">
        <f ca="1">(MONTH(BF$93)=3)*(SUM($L90:BF90)-SUM($L94:BE95))</f>
        <v>0</v>
      </c>
      <c r="BG94" s="1396">
        <f ca="1">(MONTH(BG$93)=3)*(SUM($L90:BG90)-SUM($L94:BF95))</f>
        <v>3.1847857842038962</v>
      </c>
      <c r="BH94" s="1394">
        <f ca="1">(MONTH(BH$93)=3)*(SUM($L90:BH90)-SUM($L94:BG95))</f>
        <v>0</v>
      </c>
      <c r="BI94" s="1394">
        <f ca="1">(MONTH(BI$93)=3)*(SUM($L90:BI90)-SUM($L94:BH95))</f>
        <v>0</v>
      </c>
      <c r="BJ94" s="1395">
        <f ca="1">(MONTH(BJ$93)=3)*(SUM($L90:BJ90)-SUM($L94:BI95))</f>
        <v>0</v>
      </c>
      <c r="BK94" s="1396">
        <f ca="1">(MONTH(BK$93)=3)*(SUM($L90:BK90)-SUM($L94:BJ95))</f>
        <v>4.2298505993274915</v>
      </c>
      <c r="BL94" s="1394">
        <f ca="1">(MONTH(BL$93)=3)*(SUM($L90:BL90)-SUM($L94:BK95))</f>
        <v>0</v>
      </c>
      <c r="BM94" s="1394">
        <f ca="1">(MONTH(BM$93)=3)*(SUM($L90:BM90)-SUM($L94:BL95))</f>
        <v>0</v>
      </c>
      <c r="BN94" s="1395">
        <f ca="1">(MONTH(BN$93)=3)*(SUM($L90:BN90)-SUM($L94:BM95))</f>
        <v>0</v>
      </c>
      <c r="BO94" s="1396">
        <f ca="1">(MONTH(BO$93)=3)*(SUM($L90:BO90)-SUM($L94:BN95))</f>
        <v>5.9395421956286611</v>
      </c>
      <c r="BP94" s="1394">
        <f ca="1">(MONTH(BP$93)=3)*(SUM($L90:BP90)-SUM($L94:BO95))</f>
        <v>0</v>
      </c>
      <c r="BQ94" s="1394">
        <f ca="1">(MONTH(BQ$93)=3)*(SUM($L90:BQ90)-SUM($L94:BP95))</f>
        <v>0</v>
      </c>
      <c r="BR94" s="1395">
        <f ca="1">(MONTH(BR$93)=3)*(SUM($L90:BR90)-SUM($L94:BQ95))</f>
        <v>0</v>
      </c>
      <c r="BS94" s="1396">
        <f ca="1">(MONTH(BS$93)=3)*(SUM($L90:BS90)-SUM($L94:BR95))</f>
        <v>4.8316870667242142</v>
      </c>
      <c r="BT94" s="1394">
        <f ca="1">(MONTH(BT$93)=3)*(SUM($L90:BT90)-SUM($L94:BS95))</f>
        <v>0</v>
      </c>
      <c r="BU94" s="1394">
        <f ca="1">(MONTH(BU$93)=3)*(SUM($L90:BU90)-SUM($L94:BT95))</f>
        <v>0</v>
      </c>
      <c r="BV94" s="1395">
        <f ca="1">(MONTH(BV$93)=3)*(SUM($L90:BV90)-SUM($L94:BU95))</f>
        <v>0</v>
      </c>
      <c r="BW94" s="1396">
        <f ca="1">(MONTH(BW$93)=3)*(SUM($L90:BW90)-SUM($L94:BV95))</f>
        <v>3.4216868249380781</v>
      </c>
      <c r="BX94" s="1394">
        <f ca="1">(MONTH(BX$93)=3)*(SUM($L90:BX90)-SUM($L94:BW95))</f>
        <v>0</v>
      </c>
      <c r="BY94" s="1394">
        <f ca="1">(MONTH(BY$93)=3)*(SUM($L90:BY90)-SUM($L94:BX95))</f>
        <v>0</v>
      </c>
      <c r="BZ94" s="1395">
        <f ca="1">(MONTH(BZ$93)=3)*(SUM($L90:BZ90)-SUM($L94:BY95))</f>
        <v>0</v>
      </c>
      <c r="CA94" s="1396">
        <f ca="1">(MONTH(CA$93)=3)*(SUM($L90:CA90)-SUM($L94:BZ95))</f>
        <v>6.8558298399699851</v>
      </c>
      <c r="CB94" s="1394">
        <f ca="1">(MONTH(CB$93)=3)*(SUM($L90:CB90)-SUM($L94:CA95))</f>
        <v>0</v>
      </c>
      <c r="CC94" s="1394">
        <f ca="1">(MONTH(CC$93)=3)*(SUM($L90:CC90)-SUM($L94:CB95))</f>
        <v>0</v>
      </c>
      <c r="CD94" s="1395">
        <f ca="1">(MONTH(CD$93)=3)*(SUM($L90:CD90)-SUM($L94:CC95))</f>
        <v>0</v>
      </c>
      <c r="CE94" s="1396">
        <f ca="1">(MONTH(CE$93)=3)*(SUM($L90:CE90)-SUM($L94:CD95))</f>
        <v>4.9916396024867993</v>
      </c>
      <c r="CF94" s="1394">
        <f ca="1">(MONTH(CF$93)=3)*(SUM($L90:CF90)-SUM($L94:CE95))</f>
        <v>0</v>
      </c>
      <c r="CG94" s="1394">
        <f ca="1">(MONTH(CG$93)=3)*(SUM($L90:CG90)-SUM($L94:CF95))</f>
        <v>0</v>
      </c>
      <c r="CH94" s="1395">
        <f ca="1">(MONTH(CH$93)=3)*(SUM($L90:CH90)-SUM($L94:CG95))</f>
        <v>0</v>
      </c>
      <c r="CI94" s="1396">
        <f ca="1">(MONTH(CI$93)=3)*(SUM($L90:CI90)-SUM($L94:CH95))</f>
        <v>4.1099691834245107</v>
      </c>
      <c r="CJ94" s="1394">
        <f ca="1">(MONTH(CJ$93)=3)*(SUM($L90:CJ90)-SUM($L94:CI95))</f>
        <v>0</v>
      </c>
      <c r="CK94" s="1394">
        <f ca="1">(MONTH(CK$93)=3)*(SUM($L90:CK90)-SUM($L94:CJ95))</f>
        <v>0</v>
      </c>
      <c r="CL94" s="1395">
        <f ca="1">(MONTH(CL$93)=3)*(SUM($L90:CL90)-SUM($L94:CK95))</f>
        <v>0</v>
      </c>
      <c r="CM94" s="1396">
        <f ca="1">(MONTH(CM$93)=3)*(SUM($L90:CM90)-SUM($L94:CL95))</f>
        <v>4.854599895664677</v>
      </c>
      <c r="CN94" s="1394">
        <f ca="1">(MONTH(CN$93)=3)*(SUM($L90:CN90)-SUM($L94:CM95))</f>
        <v>0</v>
      </c>
      <c r="CO94" s="1394">
        <f ca="1">(MONTH(CO$93)=3)*(SUM($L90:CO90)-SUM($L94:CN95))</f>
        <v>0</v>
      </c>
      <c r="CP94" s="1395">
        <f ca="1">(MONTH(CP$93)=3)*(SUM($L90:CP90)-SUM($L94:CO95))</f>
        <v>0</v>
      </c>
      <c r="CQ94" s="1396">
        <f ca="1">(MONTH(CQ$93)=3)*(SUM($L90:CQ90)-SUM($L94:CP95))</f>
        <v>8.4343777507291975</v>
      </c>
      <c r="CR94" s="1394">
        <f ca="1">(MONTH(CR$93)=3)*(SUM($L90:CR90)-SUM($L94:CQ95))</f>
        <v>0</v>
      </c>
      <c r="CS94" s="1394">
        <f ca="1">(MONTH(CS$93)=3)*(SUM($L90:CS90)-SUM($L94:CR95))</f>
        <v>0</v>
      </c>
      <c r="CT94" s="1395">
        <f ca="1">(MONTH(CT$93)=3)*(SUM($L90:CT90)-SUM($L94:CS95))</f>
        <v>0</v>
      </c>
      <c r="CU94" s="1396">
        <f ca="1">(MONTH(CU$93)=3)*(SUM($L90:CU90)-SUM($L94:CT95))</f>
        <v>7.4904767070843548</v>
      </c>
      <c r="CV94" s="1394">
        <f ca="1">(MONTH(CV$93)=3)*(SUM($L90:CV90)-SUM($L94:CU95))</f>
        <v>0</v>
      </c>
      <c r="CW94" s="1394">
        <f ca="1">(MONTH(CW$93)=3)*(SUM($L90:CW90)-SUM($L94:CV95))</f>
        <v>0</v>
      </c>
      <c r="CX94" s="1395">
        <f ca="1">(MONTH(CX$93)=3)*(SUM($L90:CX90)-SUM($L94:CW95))</f>
        <v>0</v>
      </c>
      <c r="CY94" s="1396">
        <f ca="1">(MONTH(CY$93)=3)*(SUM($L90:CY90)-SUM($L94:CX95))</f>
        <v>10.789315007040472</v>
      </c>
      <c r="CZ94" s="1394">
        <f ca="1">(MONTH(CZ$93)=3)*(SUM($L90:CZ90)-SUM($L94:CY95))</f>
        <v>0</v>
      </c>
      <c r="DA94" s="1394">
        <f ca="1">(MONTH(DA$93)=3)*(SUM($L90:DA90)-SUM($L94:CZ95))</f>
        <v>0</v>
      </c>
      <c r="DB94" s="1395">
        <f ca="1">(MONTH(DB$93)=3)*(SUM($L90:DB90)-SUM($L94:DA95))</f>
        <v>0</v>
      </c>
      <c r="DC94" s="1396">
        <f ca="1">(MONTH(DC$93)=3)*(SUM($L90:DC90)-SUM($L94:DB95))</f>
        <v>8.4325183877856773</v>
      </c>
      <c r="DD94" s="1394">
        <f ca="1">(MONTH(DD$93)=3)*(SUM($L90:DD90)-SUM($L94:DC95))</f>
        <v>0</v>
      </c>
      <c r="DE94" s="1394">
        <f ca="1">(MONTH(DE$93)=3)*(SUM($L90:DE90)-SUM($L94:DD95))</f>
        <v>0</v>
      </c>
      <c r="DF94" s="1395">
        <f ca="1">(MONTH(DF$93)=3)*(SUM($L90:DF90)-SUM($L94:DE95))</f>
        <v>0</v>
      </c>
      <c r="DG94" s="1396">
        <f ca="1">(MONTH(DG$93)=3)*(SUM($L90:DG90)-SUM($L94:DF95))</f>
        <v>8.8248409878173959</v>
      </c>
      <c r="DH94" s="1394">
        <f ca="1">(MONTH(DH$93)=3)*(SUM($L90:DH90)-SUM($L94:DG95))</f>
        <v>0</v>
      </c>
      <c r="DI94" s="1394">
        <f ca="1">(MONTH(DI$93)=3)*(SUM($L90:DI90)-SUM($L94:DH95))</f>
        <v>0</v>
      </c>
      <c r="DJ94" s="1395">
        <f ca="1">(MONTH(DJ$93)=3)*(SUM($L90:DJ90)-SUM($L94:DI95))</f>
        <v>0</v>
      </c>
      <c r="DK94" s="1396">
        <f ca="1">(MONTH(DK$93)=3)*(SUM($L90:DK90)-SUM($L94:DJ95))</f>
        <v>10.577852641783352</v>
      </c>
      <c r="DL94" s="1394">
        <f ca="1">(MONTH(DL$93)=3)*(SUM($L90:DL90)-SUM($L94:DK95))</f>
        <v>0</v>
      </c>
      <c r="DM94" s="1394">
        <f ca="1">(MONTH(DM$93)=3)*(SUM($L90:DM90)-SUM($L94:DL95))</f>
        <v>0</v>
      </c>
      <c r="DN94" s="1206">
        <f ca="1">(MONTH(DN$93)=3)*(SUM($L90:DN90)-SUM($L94:DM95))</f>
        <v>0</v>
      </c>
      <c r="DO94" s="731">
        <f ca="1">(MONTH(DO$93)=3)*(SUM($L90:DO90)-SUM($L94:DN95))</f>
        <v>10.446526029829329</v>
      </c>
      <c r="DP94" s="1397">
        <f ca="1">(MONTH(DP$93)=3)*(SUM($L90:DP90)-SUM($L94:DO95))</f>
        <v>0</v>
      </c>
      <c r="DQ94" s="1205">
        <f ca="1">(MONTH(DQ$93)=3)*(SUM($L90:DQ90)-SUM($L94:DP95))</f>
        <v>0</v>
      </c>
      <c r="DR94" s="1206">
        <f ca="1">(MONTH(DR$93)=3)*(SUM($L90:DR90)-SUM($L94:DQ95))</f>
        <v>0</v>
      </c>
      <c r="DS94" s="731">
        <f ca="1">(MONTH(DS$93)=3)*(SUM($L90:DS90)-SUM($L94:DR95))</f>
        <v>8.8061030088281882</v>
      </c>
      <c r="DT94" s="1205">
        <f ca="1">(MONTH(DT$93)=3)*(SUM($L90:DT90)-SUM($L94:DS95))</f>
        <v>0</v>
      </c>
      <c r="DU94" s="1205">
        <f ca="1">(MONTH(DU$93)=3)*(SUM($L90:DU90)-SUM($L94:DT95))</f>
        <v>0</v>
      </c>
      <c r="DV94" s="1206">
        <f ca="1">(MONTH(DV$93)=3)*(SUM($L90:DV90)-SUM($L94:DU95))</f>
        <v>0</v>
      </c>
      <c r="DW94" s="731">
        <f ca="1">(MONTH(DW$93)=3)*(SUM($L90:DW90)-SUM($L94:DV95))</f>
        <v>11.984834051414396</v>
      </c>
      <c r="DX94" s="1205">
        <f ca="1">(MONTH(DX$93)=3)*(SUM($L90:DX90)-SUM($L94:DW95))</f>
        <v>0</v>
      </c>
      <c r="DY94" s="1205">
        <f ca="1">(MONTH(DY$93)=3)*(SUM($L90:DY90)-SUM($L94:DX95))</f>
        <v>0</v>
      </c>
      <c r="DZ94" s="1206">
        <f ca="1">(MONTH(DZ$93)=3)*(SUM($L90:DZ90)-SUM($L94:DY95))</f>
        <v>0</v>
      </c>
      <c r="EA94" s="731">
        <f ca="1">(MONTH(EA$93)=3)*(SUM($L90:EA90)-SUM($L94:DZ95))</f>
        <v>8.5295067754893807</v>
      </c>
      <c r="EB94" s="1205">
        <f ca="1">(MONTH(EB$93)=3)*(SUM($L90:EB90)-SUM($L94:EA95))</f>
        <v>0</v>
      </c>
      <c r="EC94" s="1205">
        <f ca="1">(MONTH(EC$93)=3)*(SUM($L90:EC90)-SUM($L94:EB95))</f>
        <v>0</v>
      </c>
      <c r="ED94" s="1206">
        <f ca="1">(MONTH(ED$93)=3)*(SUM($L90:ED90)-SUM($L94:EC95))</f>
        <v>0</v>
      </c>
      <c r="EE94" s="731">
        <f ca="1">(MONTH(EE$93)=3)*(SUM($L90:EE90)-SUM($L94:ED95))</f>
        <v>11.187749955096933</v>
      </c>
      <c r="EF94" s="1205">
        <f ca="1">(MONTH(EF$93)=3)*(SUM($L90:EF90)-SUM($L94:EE95))</f>
        <v>0</v>
      </c>
      <c r="EG94" s="1205">
        <f ca="1">(MONTH(EG$93)=3)*(SUM($L90:EG90)-SUM($L94:EF95))</f>
        <v>0</v>
      </c>
      <c r="EH94" s="1206">
        <f ca="1">(MONTH(EH$93)=3)*(SUM($L90:EH90)-SUM($L94:EG95))</f>
        <v>0</v>
      </c>
      <c r="EI94" s="731">
        <f ca="1">(MONTH(EI$93)=3)*(SUM($L90:EI90)-SUM($L94:EH95))</f>
        <v>13.062679172880564</v>
      </c>
      <c r="EJ94" s="1205">
        <f ca="1">(MONTH(EJ$93)=3)*(SUM($L90:EJ90)-SUM($L94:EI95))</f>
        <v>0</v>
      </c>
      <c r="EK94" s="1205">
        <f ca="1">(MONTH(EK$93)=3)*(SUM($L90:EK90)-SUM($L94:EJ95))</f>
        <v>0</v>
      </c>
      <c r="EL94" s="1206">
        <f ca="1">(MONTH(EL$93)=3)*(SUM($L90:EL90)-SUM($L94:EK95))</f>
        <v>0</v>
      </c>
      <c r="EM94" s="731">
        <f ca="1">(MONTH(EM$93)=3)*(SUM($L90:EM90)-SUM($L94:EL95))</f>
        <v>10.982582085766012</v>
      </c>
      <c r="EN94" s="1205">
        <f ca="1">(MONTH(EN$93)=3)*(SUM($L90:EN90)-SUM($L94:EM95))</f>
        <v>0</v>
      </c>
      <c r="EO94" s="1205">
        <f ca="1">(MONTH(EO$93)=3)*(SUM($L90:EO90)-SUM($L94:EN95))</f>
        <v>0</v>
      </c>
      <c r="EP94" s="1206">
        <f ca="1">(MONTH(EP$93)=3)*(SUM($L90:EP90)-SUM($L94:EO95))</f>
        <v>0</v>
      </c>
      <c r="EQ94" s="731">
        <f ca="1">(MONTH(EQ$93)=3)*(SUM($L90:EQ90)-SUM($L94:EP95))</f>
        <v>11.538320590436854</v>
      </c>
      <c r="ER94" s="1205">
        <f ca="1">(MONTH(ER$93)=3)*(SUM($L90:ER90)-SUM($L94:EQ95))</f>
        <v>0</v>
      </c>
      <c r="ES94" s="1205">
        <f ca="1">(MONTH(ES$93)=3)*(SUM($L90:ES90)-SUM($L94:ER95))</f>
        <v>0</v>
      </c>
      <c r="ET94" s="1206">
        <f ca="1">(MONTH(ET$93)=3)*(SUM($L90:ET90)-SUM($L94:ES95))</f>
        <v>0</v>
      </c>
      <c r="EU94" s="731">
        <f ca="1">(MONTH(EU$93)=3)*(SUM($L90:EU90)-SUM($L94:ET95))</f>
        <v>15.160704565208562</v>
      </c>
      <c r="EV94" s="1205">
        <f ca="1">(MONTH(EV$93)=3)*(SUM($L90:EV90)-SUM($L94:EU95))</f>
        <v>0</v>
      </c>
      <c r="EW94" s="1205">
        <f ca="1">(MONTH(EW$93)=3)*(SUM($L90:EW90)-SUM($L94:EV95))</f>
        <v>0</v>
      </c>
      <c r="EX94" s="1206">
        <f ca="1">(MONTH(EX$93)=3)*(SUM($L90:EX90)-SUM($L94:EW95))</f>
        <v>0</v>
      </c>
      <c r="EY94" s="731">
        <f ca="1">(MONTH(EY$93)=3)*(SUM($L90:EY90)-SUM($L94:EX95))</f>
        <v>13.391596814025888</v>
      </c>
      <c r="EZ94" s="1205">
        <f ca="1">(MONTH(EZ$93)=3)*(SUM($L90:EZ90)-SUM($L94:EY95))</f>
        <v>0</v>
      </c>
      <c r="FA94" s="1205">
        <f ca="1">(MONTH(FA$93)=3)*(SUM($L90:FA90)-SUM($L94:EZ95))</f>
        <v>0</v>
      </c>
      <c r="FB94" s="1206">
        <f ca="1">(MONTH(FB$93)=3)*(SUM($L90:FB90)-SUM($L94:FA95))</f>
        <v>0</v>
      </c>
      <c r="FC94" s="731">
        <f ca="1">(MONTH(FC$93)=3)*(SUM($L90:FC90)-SUM($L94:FB95))</f>
        <v>13.940300620866083</v>
      </c>
      <c r="FD94" s="1205">
        <f ca="1">(MONTH(FD$93)=3)*(SUM($L90:FD90)-SUM($L94:FC95))</f>
        <v>0</v>
      </c>
      <c r="FE94" s="1205">
        <f ca="1">(MONTH(FE$93)=3)*(SUM($L90:FE90)-SUM($L94:FD95))</f>
        <v>0</v>
      </c>
      <c r="FF94" s="1206">
        <f ca="1">(MONTH(FF$93)=3)*(SUM($L90:FF90)-SUM($L94:FE95))</f>
        <v>0</v>
      </c>
      <c r="FG94" s="731">
        <f ca="1">(MONTH(FG$93)=3)*(SUM($L90:FG90)-SUM($L94:FF95))</f>
        <v>15.974512873760204</v>
      </c>
      <c r="FH94" s="1205">
        <f ca="1">(MONTH(FH$93)=3)*(SUM($L90:FH90)-SUM($L94:FG95))</f>
        <v>0</v>
      </c>
      <c r="FI94" s="1205">
        <f ca="1">(MONTH(FI$93)=3)*(SUM($L90:FI90)-SUM($L94:FH95))</f>
        <v>0</v>
      </c>
      <c r="FJ94" s="1206">
        <f ca="1">(MONTH(FJ$93)=3)*(SUM($L90:FJ90)-SUM($L94:FI95))</f>
        <v>0</v>
      </c>
      <c r="FK94" s="731">
        <f ca="1">(MONTH(FK$93)=3)*(SUM($L90:FK90)-SUM($L94:FJ95))</f>
        <v>15.121981594717568</v>
      </c>
      <c r="FL94" s="1398">
        <f ca="1">FN90</f>
        <v>0</v>
      </c>
      <c r="FM94" s="1398">
        <v>0</v>
      </c>
      <c r="FN94" s="1399">
        <v>0</v>
      </c>
      <c r="FO94" s="1400">
        <v>0</v>
      </c>
      <c r="FP94" s="1398">
        <v>0</v>
      </c>
      <c r="FQ94" s="1398">
        <v>0</v>
      </c>
      <c r="FR94" s="1399">
        <v>0</v>
      </c>
      <c r="FS94" s="1400">
        <v>0</v>
      </c>
      <c r="FT94" s="1398">
        <v>0</v>
      </c>
      <c r="FU94" s="1398">
        <v>0</v>
      </c>
      <c r="FV94" s="1399">
        <v>0</v>
      </c>
      <c r="FW94" s="1400">
        <v>0</v>
      </c>
      <c r="FX94" s="1398">
        <v>0</v>
      </c>
      <c r="FY94" s="1398">
        <v>0</v>
      </c>
      <c r="FZ94" s="1399">
        <v>0</v>
      </c>
      <c r="GA94" s="1400">
        <v>0</v>
      </c>
      <c r="GB94" s="1398">
        <v>0</v>
      </c>
      <c r="GC94" s="1398">
        <v>0</v>
      </c>
      <c r="GD94" s="1399">
        <v>0</v>
      </c>
    </row>
    <row r="95" spans="2:186" ht="17.100000000000001" customHeight="1">
      <c r="C95" s="952"/>
      <c r="D95" s="1238" t="s">
        <v>1269</v>
      </c>
      <c r="E95" s="747"/>
      <c r="F95" s="954">
        <f t="shared" ref="F95:F96" ca="1" si="97">SUM(O95:GD95)</f>
        <v>266.29007179994693</v>
      </c>
      <c r="G95" s="1375"/>
      <c r="H95" s="1376">
        <f t="shared" ref="H95:P95" si="98">SUMIF(4:4,YEAR(H93)-1,90:90)*50%*(MONTH(H93)=9)*(H87&lt;=운영종료)</f>
        <v>0</v>
      </c>
      <c r="I95" s="1376">
        <f t="shared" si="98"/>
        <v>0</v>
      </c>
      <c r="J95" s="1377">
        <f t="shared" si="98"/>
        <v>0</v>
      </c>
      <c r="K95" s="1375">
        <f t="shared" si="98"/>
        <v>0</v>
      </c>
      <c r="L95" s="1376">
        <f t="shared" si="98"/>
        <v>0</v>
      </c>
      <c r="M95" s="1376">
        <f t="shared" si="98"/>
        <v>2.66961906</v>
      </c>
      <c r="N95" s="1377">
        <f t="shared" si="98"/>
        <v>0</v>
      </c>
      <c r="O95" s="1401">
        <f t="shared" si="98"/>
        <v>0</v>
      </c>
      <c r="P95" s="1402">
        <f t="shared" si="98"/>
        <v>0</v>
      </c>
      <c r="Q95" s="1403">
        <f>'CF(Q)'!AG26</f>
        <v>3.3778568999999998</v>
      </c>
      <c r="R95" s="1404">
        <f t="shared" ref="R95:AW95" si="99">SUMIF(4:4,YEAR(R93)-1,90:90)*50%*(MONTH(R93)=9)*(R87&lt;=운영종료)</f>
        <v>0</v>
      </c>
      <c r="S95" s="1401">
        <f t="shared" ca="1" si="99"/>
        <v>0</v>
      </c>
      <c r="T95" s="1402">
        <f t="shared" ca="1" si="99"/>
        <v>0</v>
      </c>
      <c r="U95" s="1402">
        <f t="shared" ca="1" si="99"/>
        <v>2.6177548046579777</v>
      </c>
      <c r="V95" s="1404">
        <f t="shared" ca="1" si="99"/>
        <v>0</v>
      </c>
      <c r="W95" s="1401">
        <f t="shared" ca="1" si="99"/>
        <v>0</v>
      </c>
      <c r="X95" s="1402">
        <f t="shared" ca="1" si="99"/>
        <v>0</v>
      </c>
      <c r="Y95" s="1402">
        <f t="shared" ca="1" si="99"/>
        <v>3.3542469223451956</v>
      </c>
      <c r="Z95" s="1404">
        <f t="shared" ca="1" si="99"/>
        <v>0</v>
      </c>
      <c r="AA95" s="1401">
        <f t="shared" ca="1" si="99"/>
        <v>0</v>
      </c>
      <c r="AB95" s="1402">
        <f t="shared" ca="1" si="99"/>
        <v>0</v>
      </c>
      <c r="AC95" s="1402">
        <f t="shared" ca="1" si="99"/>
        <v>4.3376238870800288</v>
      </c>
      <c r="AD95" s="1404">
        <f t="shared" ca="1" si="99"/>
        <v>0</v>
      </c>
      <c r="AE95" s="1401">
        <f t="shared" ca="1" si="99"/>
        <v>0</v>
      </c>
      <c r="AF95" s="1402">
        <f t="shared" ca="1" si="99"/>
        <v>0</v>
      </c>
      <c r="AG95" s="1402">
        <f t="shared" ca="1" si="99"/>
        <v>4.8982939522456208</v>
      </c>
      <c r="AH95" s="1404">
        <f t="shared" ca="1" si="99"/>
        <v>0</v>
      </c>
      <c r="AI95" s="1401">
        <f t="shared" ca="1" si="99"/>
        <v>0</v>
      </c>
      <c r="AJ95" s="1402">
        <f t="shared" ca="1" si="99"/>
        <v>0</v>
      </c>
      <c r="AK95" s="1402">
        <f t="shared" ca="1" si="99"/>
        <v>5.2753939225295294</v>
      </c>
      <c r="AL95" s="1404">
        <f t="shared" ca="1" si="99"/>
        <v>0</v>
      </c>
      <c r="AM95" s="1401">
        <f t="shared" ca="1" si="99"/>
        <v>0</v>
      </c>
      <c r="AN95" s="1402">
        <f t="shared" ca="1" si="99"/>
        <v>0</v>
      </c>
      <c r="AO95" s="1402">
        <f t="shared" ca="1" si="99"/>
        <v>0.21280162282296752</v>
      </c>
      <c r="AP95" s="1404">
        <f t="shared" ca="1" si="99"/>
        <v>0</v>
      </c>
      <c r="AQ95" s="1401">
        <f t="shared" ca="1" si="99"/>
        <v>0</v>
      </c>
      <c r="AR95" s="1402">
        <f t="shared" ca="1" si="99"/>
        <v>0</v>
      </c>
      <c r="AS95" s="1402">
        <f t="shared" ca="1" si="99"/>
        <v>1.8371250112777331</v>
      </c>
      <c r="AT95" s="1404">
        <f t="shared" ca="1" si="99"/>
        <v>0</v>
      </c>
      <c r="AU95" s="1401">
        <f t="shared" ca="1" si="99"/>
        <v>0</v>
      </c>
      <c r="AV95" s="1402">
        <f t="shared" ca="1" si="99"/>
        <v>0</v>
      </c>
      <c r="AW95" s="1402">
        <f t="shared" ca="1" si="99"/>
        <v>2.4063479886233838</v>
      </c>
      <c r="AX95" s="1404">
        <f t="shared" ref="AX95:CC95" ca="1" si="100">SUMIF(4:4,YEAR(AX93)-1,90:90)*50%*(MONTH(AX93)=9)*(AX87&lt;=운영종료)</f>
        <v>0</v>
      </c>
      <c r="AY95" s="1401">
        <f t="shared" ca="1" si="100"/>
        <v>0</v>
      </c>
      <c r="AZ95" s="1402">
        <f t="shared" ca="1" si="100"/>
        <v>0</v>
      </c>
      <c r="BA95" s="1402">
        <f t="shared" ca="1" si="100"/>
        <v>2.2031115165568633</v>
      </c>
      <c r="BB95" s="1404">
        <f t="shared" ca="1" si="100"/>
        <v>0</v>
      </c>
      <c r="BC95" s="1401">
        <f t="shared" ca="1" si="100"/>
        <v>0</v>
      </c>
      <c r="BD95" s="1402">
        <f t="shared" ca="1" si="100"/>
        <v>0</v>
      </c>
      <c r="BE95" s="1402">
        <f t="shared" ca="1" si="100"/>
        <v>4.3022269657588987</v>
      </c>
      <c r="BF95" s="1404">
        <f t="shared" ca="1" si="100"/>
        <v>0</v>
      </c>
      <c r="BG95" s="1401">
        <f t="shared" ca="1" si="100"/>
        <v>0</v>
      </c>
      <c r="BH95" s="1402">
        <f t="shared" ca="1" si="100"/>
        <v>0</v>
      </c>
      <c r="BI95" s="1402">
        <f t="shared" ca="1" si="100"/>
        <v>3.7435063749813962</v>
      </c>
      <c r="BJ95" s="1404">
        <f t="shared" ca="1" si="100"/>
        <v>0</v>
      </c>
      <c r="BK95" s="1401">
        <f t="shared" ca="1" si="100"/>
        <v>0</v>
      </c>
      <c r="BL95" s="1402">
        <f t="shared" ca="1" si="100"/>
        <v>0</v>
      </c>
      <c r="BM95" s="1402">
        <f t="shared" ca="1" si="100"/>
        <v>3.9866784871544403</v>
      </c>
      <c r="BN95" s="1404">
        <f t="shared" ca="1" si="100"/>
        <v>0</v>
      </c>
      <c r="BO95" s="1401">
        <f t="shared" ca="1" si="100"/>
        <v>0</v>
      </c>
      <c r="BP95" s="1402">
        <f t="shared" ca="1" si="100"/>
        <v>0</v>
      </c>
      <c r="BQ95" s="1402">
        <f t="shared" ca="1" si="100"/>
        <v>4.9631103413915492</v>
      </c>
      <c r="BR95" s="1404">
        <f t="shared" ca="1" si="100"/>
        <v>0</v>
      </c>
      <c r="BS95" s="1401">
        <f t="shared" ca="1" si="100"/>
        <v>0</v>
      </c>
      <c r="BT95" s="1402">
        <f t="shared" ca="1" si="100"/>
        <v>0</v>
      </c>
      <c r="BU95" s="1402">
        <f t="shared" ca="1" si="100"/>
        <v>4.8973987040578892</v>
      </c>
      <c r="BV95" s="1404">
        <f t="shared" ca="1" si="100"/>
        <v>0</v>
      </c>
      <c r="BW95" s="1401">
        <f t="shared" ca="1" si="100"/>
        <v>0</v>
      </c>
      <c r="BX95" s="1402">
        <f t="shared" ca="1" si="100"/>
        <v>0</v>
      </c>
      <c r="BY95" s="1402">
        <f t="shared" ca="1" si="100"/>
        <v>4.1595427644979823</v>
      </c>
      <c r="BZ95" s="1404">
        <f t="shared" ca="1" si="100"/>
        <v>0</v>
      </c>
      <c r="CA95" s="1401">
        <f t="shared" ca="1" si="100"/>
        <v>0</v>
      </c>
      <c r="CB95" s="1402">
        <f t="shared" ca="1" si="100"/>
        <v>0</v>
      </c>
      <c r="CC95" s="1402">
        <f t="shared" ca="1" si="100"/>
        <v>5.5076863022339877</v>
      </c>
      <c r="CD95" s="1404">
        <f t="shared" ref="CD95:DI95" ca="1" si="101">SUMIF(4:4,YEAR(CD93)-1,90:90)*50%*(MONTH(CD93)=9)*(CD87&lt;=운영종료)</f>
        <v>0</v>
      </c>
      <c r="CE95" s="1401">
        <f t="shared" ca="1" si="101"/>
        <v>0</v>
      </c>
      <c r="CF95" s="1402">
        <f t="shared" ca="1" si="101"/>
        <v>0</v>
      </c>
      <c r="CG95" s="1402">
        <f t="shared" ca="1" si="101"/>
        <v>5.249662952360393</v>
      </c>
      <c r="CH95" s="1404">
        <f t="shared" ca="1" si="101"/>
        <v>0</v>
      </c>
      <c r="CI95" s="1401">
        <f t="shared" ca="1" si="101"/>
        <v>0</v>
      </c>
      <c r="CJ95" s="1402">
        <f t="shared" ca="1" si="101"/>
        <v>0</v>
      </c>
      <c r="CK95" s="1402">
        <f t="shared" ca="1" si="101"/>
        <v>4.679816067892447</v>
      </c>
      <c r="CL95" s="1404">
        <f t="shared" ca="1" si="101"/>
        <v>0</v>
      </c>
      <c r="CM95" s="1401">
        <f t="shared" ca="1" si="101"/>
        <v>0</v>
      </c>
      <c r="CN95" s="1402">
        <f t="shared" ca="1" si="101"/>
        <v>0</v>
      </c>
      <c r="CO95" s="1402">
        <f t="shared" ca="1" si="101"/>
        <v>4.7672079817785624</v>
      </c>
      <c r="CP95" s="1404">
        <f t="shared" ca="1" si="101"/>
        <v>0</v>
      </c>
      <c r="CQ95" s="1401">
        <f t="shared" ca="1" si="101"/>
        <v>0</v>
      </c>
      <c r="CR95" s="1402">
        <f t="shared" ca="1" si="101"/>
        <v>0</v>
      </c>
      <c r="CS95" s="1402">
        <f t="shared" ca="1" si="101"/>
        <v>6.6007928662538653</v>
      </c>
      <c r="CT95" s="1404">
        <f t="shared" ca="1" si="101"/>
        <v>0</v>
      </c>
      <c r="CU95" s="1401">
        <f t="shared" ca="1" si="101"/>
        <v>0</v>
      </c>
      <c r="CV95" s="1402">
        <f t="shared" ca="1" si="101"/>
        <v>0</v>
      </c>
      <c r="CW95" s="1402">
        <f t="shared" ca="1" si="101"/>
        <v>7.0456347866691296</v>
      </c>
      <c r="CX95" s="1404">
        <f t="shared" ca="1" si="101"/>
        <v>0</v>
      </c>
      <c r="CY95" s="1401">
        <f t="shared" ca="1" si="101"/>
        <v>0</v>
      </c>
      <c r="CZ95" s="1402">
        <f t="shared" ca="1" si="101"/>
        <v>0</v>
      </c>
      <c r="DA95" s="1402">
        <f t="shared" ca="1" si="101"/>
        <v>8.9174748968547988</v>
      </c>
      <c r="DB95" s="1404">
        <f t="shared" ca="1" si="101"/>
        <v>0</v>
      </c>
      <c r="DC95" s="1401">
        <f t="shared" ca="1" si="101"/>
        <v>0</v>
      </c>
      <c r="DD95" s="1402">
        <f t="shared" ca="1" si="101"/>
        <v>0</v>
      </c>
      <c r="DE95" s="1402">
        <f t="shared" ca="1" si="101"/>
        <v>8.674996642320238</v>
      </c>
      <c r="DF95" s="1404">
        <f t="shared" ca="1" si="101"/>
        <v>0</v>
      </c>
      <c r="DG95" s="1401">
        <f t="shared" ca="1" si="101"/>
        <v>0</v>
      </c>
      <c r="DH95" s="1402">
        <f t="shared" ca="1" si="101"/>
        <v>0</v>
      </c>
      <c r="DI95" s="1402">
        <f t="shared" ca="1" si="101"/>
        <v>8.7499188150688294</v>
      </c>
      <c r="DJ95" s="1404">
        <f t="shared" ref="DJ95:EO95" ca="1" si="102">SUMIF(4:4,YEAR(DJ93)-1,90:90)*50%*(MONTH(DJ93)=9)*(DJ87&lt;=운영종료)</f>
        <v>0</v>
      </c>
      <c r="DK95" s="1401">
        <f t="shared" ca="1" si="102"/>
        <v>0</v>
      </c>
      <c r="DL95" s="1402">
        <f t="shared" ca="1" si="102"/>
        <v>0</v>
      </c>
      <c r="DM95" s="1402">
        <f t="shared" ca="1" si="102"/>
        <v>9.6638857284261146</v>
      </c>
      <c r="DN95" s="1378">
        <f t="shared" ca="1" si="102"/>
        <v>0</v>
      </c>
      <c r="DO95" s="1405">
        <f t="shared" ca="1" si="102"/>
        <v>0</v>
      </c>
      <c r="DP95" s="1406">
        <f t="shared" ca="1" si="102"/>
        <v>0</v>
      </c>
      <c r="DQ95" s="1406">
        <f t="shared" ca="1" si="102"/>
        <v>10.055205879127737</v>
      </c>
      <c r="DR95" s="1378">
        <f t="shared" ca="1" si="102"/>
        <v>0</v>
      </c>
      <c r="DS95" s="1405">
        <f t="shared" ca="1" si="102"/>
        <v>0</v>
      </c>
      <c r="DT95" s="1406">
        <f t="shared" ca="1" si="102"/>
        <v>0</v>
      </c>
      <c r="DU95" s="1406">
        <f t="shared" ca="1" si="102"/>
        <v>9.4306544439779714</v>
      </c>
      <c r="DV95" s="1378">
        <f t="shared" ca="1" si="102"/>
        <v>0</v>
      </c>
      <c r="DW95" s="1405">
        <f t="shared" ca="1" si="102"/>
        <v>0</v>
      </c>
      <c r="DX95" s="1406">
        <f t="shared" ca="1" si="102"/>
        <v>0</v>
      </c>
      <c r="DY95" s="1406">
        <f t="shared" ca="1" si="102"/>
        <v>10.707744247696194</v>
      </c>
      <c r="DZ95" s="1378">
        <f t="shared" ca="1" si="102"/>
        <v>0</v>
      </c>
      <c r="EA95" s="1405">
        <f t="shared" ca="1" si="102"/>
        <v>0</v>
      </c>
      <c r="EB95" s="1406">
        <f t="shared" ca="1" si="102"/>
        <v>0</v>
      </c>
      <c r="EC95" s="1406">
        <f t="shared" ca="1" si="102"/>
        <v>9.6186255115928017</v>
      </c>
      <c r="ED95" s="1378">
        <f t="shared" ca="1" si="102"/>
        <v>0</v>
      </c>
      <c r="EE95" s="1405">
        <f t="shared" ca="1" si="102"/>
        <v>0</v>
      </c>
      <c r="EF95" s="1406">
        <f t="shared" ca="1" si="102"/>
        <v>0</v>
      </c>
      <c r="EG95" s="1406">
        <f t="shared" ca="1" si="102"/>
        <v>10.403187733344883</v>
      </c>
      <c r="EH95" s="1378">
        <f t="shared" ca="1" si="102"/>
        <v>0</v>
      </c>
      <c r="EI95" s="1405">
        <f t="shared" ca="1" si="102"/>
        <v>0</v>
      </c>
      <c r="EJ95" s="1406">
        <f t="shared" ca="1" si="102"/>
        <v>0</v>
      </c>
      <c r="EK95" s="1406">
        <f t="shared" ca="1" si="102"/>
        <v>11.732933453112745</v>
      </c>
      <c r="EL95" s="1378">
        <f t="shared" ca="1" si="102"/>
        <v>0</v>
      </c>
      <c r="EM95" s="1405">
        <f t="shared" ca="1" si="102"/>
        <v>0</v>
      </c>
      <c r="EN95" s="1406">
        <f t="shared" ca="1" si="102"/>
        <v>0</v>
      </c>
      <c r="EO95" s="1406">
        <f t="shared" ca="1" si="102"/>
        <v>11.357757769439365</v>
      </c>
      <c r="EP95" s="1378">
        <f t="shared" ref="EP95:FU95" ca="1" si="103">SUMIF(4:4,YEAR(EP93)-1,90:90)*50%*(MONTH(EP93)=9)*(EP87&lt;=운영종료)</f>
        <v>0</v>
      </c>
      <c r="EQ95" s="1405">
        <f t="shared" ca="1" si="103"/>
        <v>0</v>
      </c>
      <c r="ER95" s="1406">
        <f t="shared" ca="1" si="103"/>
        <v>0</v>
      </c>
      <c r="ES95" s="1406">
        <f t="shared" ca="1" si="103"/>
        <v>11.448039179938164</v>
      </c>
      <c r="ET95" s="1378">
        <f t="shared" ca="1" si="103"/>
        <v>0</v>
      </c>
      <c r="EU95" s="1405">
        <f t="shared" ca="1" si="103"/>
        <v>0</v>
      </c>
      <c r="EV95" s="1406">
        <f t="shared" ca="1" si="103"/>
        <v>0</v>
      </c>
      <c r="EW95" s="1406">
        <f t="shared" ca="1" si="103"/>
        <v>13.304371872573338</v>
      </c>
      <c r="EX95" s="1378">
        <f t="shared" ca="1" si="103"/>
        <v>0</v>
      </c>
      <c r="EY95" s="1405">
        <f t="shared" ca="1" si="103"/>
        <v>0</v>
      </c>
      <c r="EZ95" s="1406">
        <f t="shared" ca="1" si="103"/>
        <v>0</v>
      </c>
      <c r="FA95" s="1406">
        <f t="shared" ca="1" si="103"/>
        <v>13.347984343299624</v>
      </c>
      <c r="FB95" s="1378">
        <f t="shared" ca="1" si="103"/>
        <v>0</v>
      </c>
      <c r="FC95" s="1405">
        <f t="shared" ca="1" si="103"/>
        <v>0</v>
      </c>
      <c r="FD95" s="1406">
        <f t="shared" ca="1" si="103"/>
        <v>0</v>
      </c>
      <c r="FE95" s="1406">
        <f t="shared" ca="1" si="103"/>
        <v>13.644142482082861</v>
      </c>
      <c r="FF95" s="1378">
        <f t="shared" ca="1" si="103"/>
        <v>0</v>
      </c>
      <c r="FG95" s="1405">
        <f t="shared" ca="1" si="103"/>
        <v>0</v>
      </c>
      <c r="FH95" s="1406">
        <f t="shared" ca="1" si="103"/>
        <v>0</v>
      </c>
      <c r="FI95" s="1406">
        <f t="shared" ca="1" si="103"/>
        <v>14.809327677921504</v>
      </c>
      <c r="FJ95" s="1378">
        <f t="shared" ca="1" si="103"/>
        <v>0</v>
      </c>
      <c r="FK95" s="1405">
        <f t="shared" ca="1" si="103"/>
        <v>0</v>
      </c>
      <c r="FL95" s="1406">
        <f t="shared" ca="1" si="103"/>
        <v>0</v>
      </c>
      <c r="FM95" s="1406">
        <f t="shared" ca="1" si="103"/>
        <v>0</v>
      </c>
      <c r="FN95" s="1378">
        <f t="shared" ca="1" si="103"/>
        <v>0</v>
      </c>
      <c r="FO95" s="1405">
        <f t="shared" ca="1" si="103"/>
        <v>0</v>
      </c>
      <c r="FP95" s="1406">
        <f t="shared" ca="1" si="103"/>
        <v>0</v>
      </c>
      <c r="FQ95" s="1406">
        <f t="shared" ca="1" si="103"/>
        <v>0</v>
      </c>
      <c r="FR95" s="1378">
        <f t="shared" ca="1" si="103"/>
        <v>0</v>
      </c>
      <c r="FS95" s="1405">
        <f t="shared" ca="1" si="103"/>
        <v>0</v>
      </c>
      <c r="FT95" s="1406">
        <f t="shared" ca="1" si="103"/>
        <v>0</v>
      </c>
      <c r="FU95" s="1406">
        <f t="shared" ca="1" si="103"/>
        <v>0</v>
      </c>
      <c r="FV95" s="1378">
        <f t="shared" ref="FV95:GD95" ca="1" si="104">SUMIF(4:4,YEAR(FV93)-1,90:90)*50%*(MONTH(FV93)=9)*(FV87&lt;=운영종료)</f>
        <v>0</v>
      </c>
      <c r="FW95" s="1405">
        <f t="shared" ca="1" si="104"/>
        <v>0</v>
      </c>
      <c r="FX95" s="1406">
        <f t="shared" ca="1" si="104"/>
        <v>0</v>
      </c>
      <c r="FY95" s="1406">
        <f t="shared" ca="1" si="104"/>
        <v>0</v>
      </c>
      <c r="FZ95" s="1378">
        <f t="shared" ca="1" si="104"/>
        <v>0</v>
      </c>
      <c r="GA95" s="1405">
        <f t="shared" ca="1" si="104"/>
        <v>0</v>
      </c>
      <c r="GB95" s="1406">
        <f t="shared" ca="1" si="104"/>
        <v>0</v>
      </c>
      <c r="GC95" s="1406">
        <f t="shared" ca="1" si="104"/>
        <v>0</v>
      </c>
      <c r="GD95" s="1378">
        <f t="shared" ca="1" si="104"/>
        <v>0</v>
      </c>
    </row>
    <row r="96" spans="2:186" ht="17.100000000000001" customHeight="1">
      <c r="C96" s="952"/>
      <c r="D96" s="1238" t="s">
        <v>14</v>
      </c>
      <c r="E96" s="747"/>
      <c r="F96" s="951">
        <f t="shared" ca="1" si="97"/>
        <v>560.61125287253299</v>
      </c>
      <c r="G96" s="1375">
        <f t="shared" ref="G96:AM96" si="105">SUM(G94:G95)</f>
        <v>0</v>
      </c>
      <c r="H96" s="1376">
        <f t="shared" si="105"/>
        <v>0</v>
      </c>
      <c r="I96" s="1376">
        <f t="shared" si="105"/>
        <v>0</v>
      </c>
      <c r="J96" s="1377">
        <f t="shared" si="105"/>
        <v>0</v>
      </c>
      <c r="K96" s="1375">
        <f t="shared" si="105"/>
        <v>5.3392381200000001</v>
      </c>
      <c r="L96" s="1376">
        <f t="shared" si="105"/>
        <v>0</v>
      </c>
      <c r="M96" s="1376">
        <f t="shared" si="105"/>
        <v>2.66961906</v>
      </c>
      <c r="N96" s="1377">
        <f t="shared" si="105"/>
        <v>0</v>
      </c>
      <c r="O96" s="1401">
        <f t="shared" si="105"/>
        <v>2.4279343</v>
      </c>
      <c r="P96" s="1402">
        <f t="shared" si="105"/>
        <v>3.1035064999999999</v>
      </c>
      <c r="Q96" s="1402">
        <f t="shared" si="105"/>
        <v>3.3778568999999998</v>
      </c>
      <c r="R96" s="1404">
        <f t="shared" ca="1" si="105"/>
        <v>0</v>
      </c>
      <c r="S96" s="1401">
        <f t="shared" ca="1" si="105"/>
        <v>1.1817257093159554</v>
      </c>
      <c r="T96" s="1402">
        <f t="shared" ca="1" si="105"/>
        <v>0</v>
      </c>
      <c r="U96" s="1402">
        <f t="shared" ca="1" si="105"/>
        <v>2.6177548046579777</v>
      </c>
      <c r="V96" s="1404">
        <f t="shared" ca="1" si="105"/>
        <v>0</v>
      </c>
      <c r="W96" s="1401">
        <f t="shared" ca="1" si="105"/>
        <v>4.0907390400324157</v>
      </c>
      <c r="X96" s="1402">
        <f t="shared" ca="1" si="105"/>
        <v>0</v>
      </c>
      <c r="Y96" s="1402">
        <f t="shared" ca="1" si="105"/>
        <v>3.3542469223451956</v>
      </c>
      <c r="Z96" s="1404">
        <f t="shared" ca="1" si="105"/>
        <v>0</v>
      </c>
      <c r="AA96" s="1401">
        <f t="shared" ca="1" si="105"/>
        <v>5.3210008518148584</v>
      </c>
      <c r="AB96" s="1402">
        <f t="shared" ca="1" si="105"/>
        <v>0</v>
      </c>
      <c r="AC96" s="1402">
        <f t="shared" ca="1" si="105"/>
        <v>4.3376238870800288</v>
      </c>
      <c r="AD96" s="1404">
        <f t="shared" ca="1" si="105"/>
        <v>0</v>
      </c>
      <c r="AE96" s="1401">
        <f ca="1">SUM(AE94:AE95)</f>
        <v>5.458964017411212</v>
      </c>
      <c r="AF96" s="1402">
        <f t="shared" ca="1" si="105"/>
        <v>0</v>
      </c>
      <c r="AG96" s="1402">
        <f t="shared" ca="1" si="105"/>
        <v>4.8982939522456208</v>
      </c>
      <c r="AH96" s="1404">
        <f t="shared" ca="1" si="105"/>
        <v>0</v>
      </c>
      <c r="AI96" s="1401">
        <f t="shared" ca="1" si="105"/>
        <v>5.6524938928134318</v>
      </c>
      <c r="AJ96" s="1402">
        <f t="shared" ca="1" si="105"/>
        <v>0</v>
      </c>
      <c r="AK96" s="1402">
        <f t="shared" ca="1" si="105"/>
        <v>5.2753939225295294</v>
      </c>
      <c r="AL96" s="1404">
        <f t="shared" ca="1" si="105"/>
        <v>0</v>
      </c>
      <c r="AM96" s="1401">
        <f t="shared" ca="1" si="105"/>
        <v>-4.8497906768835932</v>
      </c>
      <c r="AN96" s="1402">
        <f t="shared" ref="AN96:CY96" ca="1" si="106">SUM(AN94:AN95)</f>
        <v>0</v>
      </c>
      <c r="AO96" s="1402">
        <f t="shared" ca="1" si="106"/>
        <v>0.21280162282296752</v>
      </c>
      <c r="AP96" s="1404">
        <f t="shared" ca="1" si="106"/>
        <v>0</v>
      </c>
      <c r="AQ96" s="1401">
        <f t="shared" ca="1" si="106"/>
        <v>3.4614483997325038</v>
      </c>
      <c r="AR96" s="1402">
        <f t="shared" ca="1" si="106"/>
        <v>0</v>
      </c>
      <c r="AS96" s="1402">
        <f t="shared" ca="1" si="106"/>
        <v>1.8371250112777331</v>
      </c>
      <c r="AT96" s="1404">
        <f t="shared" ca="1" si="106"/>
        <v>0</v>
      </c>
      <c r="AU96" s="1401">
        <f t="shared" ca="1" si="106"/>
        <v>2.9755709659690339</v>
      </c>
      <c r="AV96" s="1402">
        <f t="shared" ca="1" si="106"/>
        <v>0</v>
      </c>
      <c r="AW96" s="1402">
        <f t="shared" ca="1" si="106"/>
        <v>2.4063479886233838</v>
      </c>
      <c r="AX96" s="1404">
        <f t="shared" ca="1" si="106"/>
        <v>0</v>
      </c>
      <c r="AY96" s="1401">
        <f t="shared" ca="1" si="106"/>
        <v>1.999875044490345</v>
      </c>
      <c r="AZ96" s="1402">
        <f t="shared" ca="1" si="106"/>
        <v>0</v>
      </c>
      <c r="BA96" s="1402">
        <f t="shared" ca="1" si="106"/>
        <v>2.2031115165568633</v>
      </c>
      <c r="BB96" s="1404">
        <f t="shared" ca="1" si="106"/>
        <v>0</v>
      </c>
      <c r="BC96" s="1401">
        <f t="shared" ca="1" si="106"/>
        <v>6.4013424149609364</v>
      </c>
      <c r="BD96" s="1402">
        <f t="shared" ca="1" si="106"/>
        <v>0</v>
      </c>
      <c r="BE96" s="1402">
        <f t="shared" ca="1" si="106"/>
        <v>4.3022269657588987</v>
      </c>
      <c r="BF96" s="1404">
        <f t="shared" ca="1" si="106"/>
        <v>0</v>
      </c>
      <c r="BG96" s="1401">
        <f t="shared" ca="1" si="106"/>
        <v>3.1847857842038962</v>
      </c>
      <c r="BH96" s="1402">
        <f t="shared" ca="1" si="106"/>
        <v>0</v>
      </c>
      <c r="BI96" s="1402">
        <f t="shared" ca="1" si="106"/>
        <v>3.7435063749813962</v>
      </c>
      <c r="BJ96" s="1404">
        <f t="shared" ca="1" si="106"/>
        <v>0</v>
      </c>
      <c r="BK96" s="1401">
        <f t="shared" ca="1" si="106"/>
        <v>4.2298505993274915</v>
      </c>
      <c r="BL96" s="1402">
        <f t="shared" ca="1" si="106"/>
        <v>0</v>
      </c>
      <c r="BM96" s="1402">
        <f t="shared" ca="1" si="106"/>
        <v>3.9866784871544403</v>
      </c>
      <c r="BN96" s="1404">
        <f t="shared" ca="1" si="106"/>
        <v>0</v>
      </c>
      <c r="BO96" s="1401">
        <f t="shared" ca="1" si="106"/>
        <v>5.9395421956286611</v>
      </c>
      <c r="BP96" s="1402">
        <f t="shared" ca="1" si="106"/>
        <v>0</v>
      </c>
      <c r="BQ96" s="1402">
        <f t="shared" ca="1" si="106"/>
        <v>4.9631103413915492</v>
      </c>
      <c r="BR96" s="1404">
        <f t="shared" ca="1" si="106"/>
        <v>0</v>
      </c>
      <c r="BS96" s="1401">
        <f t="shared" ca="1" si="106"/>
        <v>4.8316870667242142</v>
      </c>
      <c r="BT96" s="1402">
        <f t="shared" ca="1" si="106"/>
        <v>0</v>
      </c>
      <c r="BU96" s="1402">
        <f t="shared" ca="1" si="106"/>
        <v>4.8973987040578892</v>
      </c>
      <c r="BV96" s="1404">
        <f t="shared" ca="1" si="106"/>
        <v>0</v>
      </c>
      <c r="BW96" s="1401">
        <f t="shared" ca="1" si="106"/>
        <v>3.4216868249380781</v>
      </c>
      <c r="BX96" s="1402">
        <f t="shared" ca="1" si="106"/>
        <v>0</v>
      </c>
      <c r="BY96" s="1402">
        <f t="shared" ca="1" si="106"/>
        <v>4.1595427644979823</v>
      </c>
      <c r="BZ96" s="1404">
        <f t="shared" ca="1" si="106"/>
        <v>0</v>
      </c>
      <c r="CA96" s="1401">
        <f t="shared" ca="1" si="106"/>
        <v>6.8558298399699851</v>
      </c>
      <c r="CB96" s="1402">
        <f t="shared" ca="1" si="106"/>
        <v>0</v>
      </c>
      <c r="CC96" s="1402">
        <f t="shared" ca="1" si="106"/>
        <v>5.5076863022339877</v>
      </c>
      <c r="CD96" s="1404">
        <f t="shared" ca="1" si="106"/>
        <v>0</v>
      </c>
      <c r="CE96" s="1401">
        <f t="shared" ca="1" si="106"/>
        <v>4.9916396024867993</v>
      </c>
      <c r="CF96" s="1402">
        <f t="shared" ca="1" si="106"/>
        <v>0</v>
      </c>
      <c r="CG96" s="1402">
        <f t="shared" ca="1" si="106"/>
        <v>5.249662952360393</v>
      </c>
      <c r="CH96" s="1404">
        <f t="shared" ca="1" si="106"/>
        <v>0</v>
      </c>
      <c r="CI96" s="1401">
        <f t="shared" ca="1" si="106"/>
        <v>4.1099691834245107</v>
      </c>
      <c r="CJ96" s="1402">
        <f t="shared" ca="1" si="106"/>
        <v>0</v>
      </c>
      <c r="CK96" s="1402">
        <f t="shared" ca="1" si="106"/>
        <v>4.679816067892447</v>
      </c>
      <c r="CL96" s="1404">
        <f t="shared" ca="1" si="106"/>
        <v>0</v>
      </c>
      <c r="CM96" s="1401">
        <f t="shared" ca="1" si="106"/>
        <v>4.854599895664677</v>
      </c>
      <c r="CN96" s="1402">
        <f t="shared" ca="1" si="106"/>
        <v>0</v>
      </c>
      <c r="CO96" s="1402">
        <f t="shared" ca="1" si="106"/>
        <v>4.7672079817785624</v>
      </c>
      <c r="CP96" s="1404">
        <f t="shared" ca="1" si="106"/>
        <v>0</v>
      </c>
      <c r="CQ96" s="1401">
        <f t="shared" ca="1" si="106"/>
        <v>8.4343777507291975</v>
      </c>
      <c r="CR96" s="1402">
        <f t="shared" ca="1" si="106"/>
        <v>0</v>
      </c>
      <c r="CS96" s="1402">
        <f t="shared" ca="1" si="106"/>
        <v>6.6007928662538653</v>
      </c>
      <c r="CT96" s="1404">
        <f t="shared" ca="1" si="106"/>
        <v>0</v>
      </c>
      <c r="CU96" s="1401">
        <f t="shared" ca="1" si="106"/>
        <v>7.4904767070843548</v>
      </c>
      <c r="CV96" s="1402">
        <f t="shared" ca="1" si="106"/>
        <v>0</v>
      </c>
      <c r="CW96" s="1402">
        <f t="shared" ca="1" si="106"/>
        <v>7.0456347866691296</v>
      </c>
      <c r="CX96" s="1404">
        <f t="shared" ca="1" si="106"/>
        <v>0</v>
      </c>
      <c r="CY96" s="1401">
        <f t="shared" ca="1" si="106"/>
        <v>10.789315007040472</v>
      </c>
      <c r="CZ96" s="1402">
        <f t="shared" ref="CZ96:EE96" ca="1" si="107">SUM(CZ94:CZ95)</f>
        <v>0</v>
      </c>
      <c r="DA96" s="1402">
        <f t="shared" ca="1" si="107"/>
        <v>8.9174748968547988</v>
      </c>
      <c r="DB96" s="1404">
        <f t="shared" ca="1" si="107"/>
        <v>0</v>
      </c>
      <c r="DC96" s="1401">
        <f t="shared" ca="1" si="107"/>
        <v>8.4325183877856773</v>
      </c>
      <c r="DD96" s="1402">
        <f t="shared" ca="1" si="107"/>
        <v>0</v>
      </c>
      <c r="DE96" s="1402">
        <f t="shared" ca="1" si="107"/>
        <v>8.674996642320238</v>
      </c>
      <c r="DF96" s="1404">
        <f t="shared" ca="1" si="107"/>
        <v>0</v>
      </c>
      <c r="DG96" s="1401">
        <f t="shared" ca="1" si="107"/>
        <v>8.8248409878173959</v>
      </c>
      <c r="DH96" s="1402">
        <f t="shared" ca="1" si="107"/>
        <v>0</v>
      </c>
      <c r="DI96" s="1402">
        <f t="shared" ca="1" si="107"/>
        <v>8.7499188150688294</v>
      </c>
      <c r="DJ96" s="1404">
        <f t="shared" ca="1" si="107"/>
        <v>0</v>
      </c>
      <c r="DK96" s="1401">
        <f t="shared" ca="1" si="107"/>
        <v>10.577852641783352</v>
      </c>
      <c r="DL96" s="1402">
        <f t="shared" ca="1" si="107"/>
        <v>0</v>
      </c>
      <c r="DM96" s="1402">
        <f t="shared" ca="1" si="107"/>
        <v>9.6638857284261146</v>
      </c>
      <c r="DN96" s="1378">
        <f t="shared" ca="1" si="107"/>
        <v>0</v>
      </c>
      <c r="DO96" s="1405">
        <f t="shared" ca="1" si="107"/>
        <v>10.446526029829329</v>
      </c>
      <c r="DP96" s="1406">
        <f t="shared" ca="1" si="107"/>
        <v>0</v>
      </c>
      <c r="DQ96" s="1406">
        <f t="shared" ca="1" si="107"/>
        <v>10.055205879127737</v>
      </c>
      <c r="DR96" s="1378">
        <f t="shared" ca="1" si="107"/>
        <v>0</v>
      </c>
      <c r="DS96" s="1405">
        <f t="shared" ca="1" si="107"/>
        <v>8.8061030088281882</v>
      </c>
      <c r="DT96" s="1406">
        <f t="shared" ca="1" si="107"/>
        <v>0</v>
      </c>
      <c r="DU96" s="1406">
        <f t="shared" ca="1" si="107"/>
        <v>9.4306544439779714</v>
      </c>
      <c r="DV96" s="1378">
        <f t="shared" ca="1" si="107"/>
        <v>0</v>
      </c>
      <c r="DW96" s="1405">
        <f t="shared" ca="1" si="107"/>
        <v>11.984834051414396</v>
      </c>
      <c r="DX96" s="1406">
        <f t="shared" ca="1" si="107"/>
        <v>0</v>
      </c>
      <c r="DY96" s="1406">
        <f t="shared" ca="1" si="107"/>
        <v>10.707744247696194</v>
      </c>
      <c r="DZ96" s="1378">
        <f t="shared" ca="1" si="107"/>
        <v>0</v>
      </c>
      <c r="EA96" s="1405">
        <f t="shared" ca="1" si="107"/>
        <v>8.5295067754893807</v>
      </c>
      <c r="EB96" s="1406">
        <f t="shared" ca="1" si="107"/>
        <v>0</v>
      </c>
      <c r="EC96" s="1406">
        <f t="shared" ca="1" si="107"/>
        <v>9.6186255115928017</v>
      </c>
      <c r="ED96" s="1378">
        <f t="shared" ca="1" si="107"/>
        <v>0</v>
      </c>
      <c r="EE96" s="1405">
        <f t="shared" ca="1" si="107"/>
        <v>11.187749955096933</v>
      </c>
      <c r="EF96" s="1406">
        <f ca="1">SUM(EF94:EF95)</f>
        <v>0</v>
      </c>
      <c r="EG96" s="1406">
        <f ca="1">SUM(EG94:EG95)</f>
        <v>10.403187733344883</v>
      </c>
      <c r="EH96" s="1378">
        <f ca="1">SUM(EH94:EH95)</f>
        <v>0</v>
      </c>
      <c r="EI96" s="1405">
        <f t="shared" ref="EI96:FZ96" ca="1" si="108">SUM(EI94:EI95)</f>
        <v>13.062679172880564</v>
      </c>
      <c r="EJ96" s="1406">
        <f t="shared" ca="1" si="108"/>
        <v>0</v>
      </c>
      <c r="EK96" s="1406">
        <f t="shared" ca="1" si="108"/>
        <v>11.732933453112745</v>
      </c>
      <c r="EL96" s="1378">
        <f t="shared" ca="1" si="108"/>
        <v>0</v>
      </c>
      <c r="EM96" s="1405">
        <f t="shared" ca="1" si="108"/>
        <v>10.982582085766012</v>
      </c>
      <c r="EN96" s="1406">
        <f t="shared" ca="1" si="108"/>
        <v>0</v>
      </c>
      <c r="EO96" s="1406">
        <f t="shared" ca="1" si="108"/>
        <v>11.357757769439365</v>
      </c>
      <c r="EP96" s="1378">
        <f t="shared" ca="1" si="108"/>
        <v>0</v>
      </c>
      <c r="EQ96" s="1405">
        <f t="shared" ca="1" si="108"/>
        <v>11.538320590436854</v>
      </c>
      <c r="ER96" s="1406">
        <f t="shared" ca="1" si="108"/>
        <v>0</v>
      </c>
      <c r="ES96" s="1406">
        <f t="shared" ca="1" si="108"/>
        <v>11.448039179938164</v>
      </c>
      <c r="ET96" s="1378">
        <f t="shared" ca="1" si="108"/>
        <v>0</v>
      </c>
      <c r="EU96" s="1405">
        <f t="shared" ca="1" si="108"/>
        <v>15.160704565208562</v>
      </c>
      <c r="EV96" s="1406">
        <f t="shared" ca="1" si="108"/>
        <v>0</v>
      </c>
      <c r="EW96" s="1406">
        <f t="shared" ca="1" si="108"/>
        <v>13.304371872573338</v>
      </c>
      <c r="EX96" s="1378">
        <f t="shared" ca="1" si="108"/>
        <v>0</v>
      </c>
      <c r="EY96" s="1405">
        <f t="shared" ca="1" si="108"/>
        <v>13.391596814025888</v>
      </c>
      <c r="EZ96" s="1406">
        <f t="shared" ca="1" si="108"/>
        <v>0</v>
      </c>
      <c r="FA96" s="1406">
        <f t="shared" ca="1" si="108"/>
        <v>13.347984343299624</v>
      </c>
      <c r="FB96" s="1378">
        <f t="shared" ca="1" si="108"/>
        <v>0</v>
      </c>
      <c r="FC96" s="1405">
        <f t="shared" ca="1" si="108"/>
        <v>13.940300620866083</v>
      </c>
      <c r="FD96" s="1406">
        <f t="shared" ca="1" si="108"/>
        <v>0</v>
      </c>
      <c r="FE96" s="1406">
        <f t="shared" ca="1" si="108"/>
        <v>13.644142482082861</v>
      </c>
      <c r="FF96" s="1378">
        <f t="shared" ca="1" si="108"/>
        <v>0</v>
      </c>
      <c r="FG96" s="1405">
        <f t="shared" ca="1" si="108"/>
        <v>15.974512873760204</v>
      </c>
      <c r="FH96" s="1406">
        <f t="shared" ca="1" si="108"/>
        <v>0</v>
      </c>
      <c r="FI96" s="1406">
        <f t="shared" ca="1" si="108"/>
        <v>14.809327677921504</v>
      </c>
      <c r="FJ96" s="1378">
        <f t="shared" ca="1" si="108"/>
        <v>0</v>
      </c>
      <c r="FK96" s="1405">
        <f t="shared" ca="1" si="108"/>
        <v>15.121981594717568</v>
      </c>
      <c r="FL96" s="1406">
        <f t="shared" ca="1" si="108"/>
        <v>0</v>
      </c>
      <c r="FM96" s="1406">
        <f t="shared" ca="1" si="108"/>
        <v>0</v>
      </c>
      <c r="FN96" s="1378">
        <f t="shared" ca="1" si="108"/>
        <v>0</v>
      </c>
      <c r="FO96" s="1405">
        <f t="shared" ca="1" si="108"/>
        <v>0</v>
      </c>
      <c r="FP96" s="1406">
        <f t="shared" ca="1" si="108"/>
        <v>0</v>
      </c>
      <c r="FQ96" s="1406">
        <f t="shared" ca="1" si="108"/>
        <v>0</v>
      </c>
      <c r="FR96" s="1378">
        <f t="shared" ca="1" si="108"/>
        <v>0</v>
      </c>
      <c r="FS96" s="1405">
        <f t="shared" ca="1" si="108"/>
        <v>0</v>
      </c>
      <c r="FT96" s="1406">
        <f t="shared" ca="1" si="108"/>
        <v>0</v>
      </c>
      <c r="FU96" s="1406">
        <f t="shared" ca="1" si="108"/>
        <v>0</v>
      </c>
      <c r="FV96" s="1378">
        <f t="shared" ca="1" si="108"/>
        <v>0</v>
      </c>
      <c r="FW96" s="1405">
        <f t="shared" ca="1" si="108"/>
        <v>0</v>
      </c>
      <c r="FX96" s="1406">
        <f t="shared" ca="1" si="108"/>
        <v>0</v>
      </c>
      <c r="FY96" s="1406">
        <f t="shared" ca="1" si="108"/>
        <v>0</v>
      </c>
      <c r="FZ96" s="1378">
        <f t="shared" ca="1" si="108"/>
        <v>0</v>
      </c>
      <c r="GA96" s="1405">
        <f ca="1">SUM(GA94:GA95)</f>
        <v>0</v>
      </c>
      <c r="GB96" s="1406">
        <f ca="1">SUM(GB94:GB95)</f>
        <v>0</v>
      </c>
      <c r="GC96" s="1406">
        <f ca="1">SUM(GC94:GC95)</f>
        <v>0</v>
      </c>
      <c r="GD96" s="1378">
        <f ca="1">SUM(GD94:GD95)</f>
        <v>0</v>
      </c>
    </row>
    <row r="97" spans="1:186" ht="17.100000000000001" customHeight="1">
      <c r="O97" s="923"/>
      <c r="P97" s="923"/>
      <c r="Q97" s="923"/>
      <c r="R97" s="923"/>
    </row>
    <row r="98" spans="1:186" ht="17.100000000000001" customHeight="1">
      <c r="C98" s="302" t="s">
        <v>702</v>
      </c>
      <c r="O98" s="1407"/>
    </row>
    <row r="99" spans="1:186" ht="17.100000000000001" customHeight="1">
      <c r="C99" s="717"/>
      <c r="D99" s="718" t="s">
        <v>780</v>
      </c>
      <c r="E99" s="719"/>
      <c r="F99" s="719">
        <f>EOMONTH(G99,-3)</f>
        <v>43465</v>
      </c>
      <c r="G99" s="911">
        <f>기준분기</f>
        <v>43555</v>
      </c>
      <c r="H99" s="912">
        <f t="shared" ref="H99:BS99" si="109">EOMONTH(G99,3)</f>
        <v>43646</v>
      </c>
      <c r="I99" s="912">
        <f t="shared" si="109"/>
        <v>43738</v>
      </c>
      <c r="J99" s="913">
        <f t="shared" si="109"/>
        <v>43830</v>
      </c>
      <c r="K99" s="911">
        <f t="shared" si="109"/>
        <v>43921</v>
      </c>
      <c r="L99" s="912">
        <f t="shared" si="109"/>
        <v>44012</v>
      </c>
      <c r="M99" s="912">
        <f t="shared" si="109"/>
        <v>44104</v>
      </c>
      <c r="N99" s="913">
        <f t="shared" si="109"/>
        <v>44196</v>
      </c>
      <c r="O99" s="911">
        <f t="shared" si="109"/>
        <v>44286</v>
      </c>
      <c r="P99" s="912">
        <f t="shared" si="109"/>
        <v>44377</v>
      </c>
      <c r="Q99" s="912">
        <f t="shared" si="109"/>
        <v>44469</v>
      </c>
      <c r="R99" s="913">
        <f t="shared" si="109"/>
        <v>44561</v>
      </c>
      <c r="S99" s="911">
        <f t="shared" si="109"/>
        <v>44651</v>
      </c>
      <c r="T99" s="912">
        <f t="shared" si="109"/>
        <v>44742</v>
      </c>
      <c r="U99" s="912">
        <f t="shared" si="109"/>
        <v>44834</v>
      </c>
      <c r="V99" s="913">
        <f t="shared" si="109"/>
        <v>44926</v>
      </c>
      <c r="W99" s="911">
        <f t="shared" si="109"/>
        <v>45016</v>
      </c>
      <c r="X99" s="912">
        <f t="shared" si="109"/>
        <v>45107</v>
      </c>
      <c r="Y99" s="912">
        <f t="shared" si="109"/>
        <v>45199</v>
      </c>
      <c r="Z99" s="913">
        <f t="shared" si="109"/>
        <v>45291</v>
      </c>
      <c r="AA99" s="911">
        <f t="shared" si="109"/>
        <v>45382</v>
      </c>
      <c r="AB99" s="912">
        <f t="shared" si="109"/>
        <v>45473</v>
      </c>
      <c r="AC99" s="912">
        <f t="shared" si="109"/>
        <v>45565</v>
      </c>
      <c r="AD99" s="913">
        <f t="shared" si="109"/>
        <v>45657</v>
      </c>
      <c r="AE99" s="911">
        <f t="shared" si="109"/>
        <v>45747</v>
      </c>
      <c r="AF99" s="912">
        <f t="shared" si="109"/>
        <v>45838</v>
      </c>
      <c r="AG99" s="912">
        <f t="shared" si="109"/>
        <v>45930</v>
      </c>
      <c r="AH99" s="913">
        <f t="shared" si="109"/>
        <v>46022</v>
      </c>
      <c r="AI99" s="911">
        <f t="shared" si="109"/>
        <v>46112</v>
      </c>
      <c r="AJ99" s="912">
        <f t="shared" si="109"/>
        <v>46203</v>
      </c>
      <c r="AK99" s="912">
        <f t="shared" si="109"/>
        <v>46295</v>
      </c>
      <c r="AL99" s="913">
        <f t="shared" si="109"/>
        <v>46387</v>
      </c>
      <c r="AM99" s="911">
        <f t="shared" si="109"/>
        <v>46477</v>
      </c>
      <c r="AN99" s="912">
        <f t="shared" si="109"/>
        <v>46568</v>
      </c>
      <c r="AO99" s="912">
        <f t="shared" si="109"/>
        <v>46660</v>
      </c>
      <c r="AP99" s="913">
        <f t="shared" si="109"/>
        <v>46752</v>
      </c>
      <c r="AQ99" s="911">
        <f t="shared" si="109"/>
        <v>46843</v>
      </c>
      <c r="AR99" s="912">
        <f t="shared" si="109"/>
        <v>46934</v>
      </c>
      <c r="AS99" s="912">
        <f t="shared" si="109"/>
        <v>47026</v>
      </c>
      <c r="AT99" s="913">
        <f t="shared" si="109"/>
        <v>47118</v>
      </c>
      <c r="AU99" s="911">
        <f t="shared" si="109"/>
        <v>47208</v>
      </c>
      <c r="AV99" s="912">
        <f t="shared" si="109"/>
        <v>47299</v>
      </c>
      <c r="AW99" s="912">
        <f t="shared" si="109"/>
        <v>47391</v>
      </c>
      <c r="AX99" s="913">
        <f t="shared" si="109"/>
        <v>47483</v>
      </c>
      <c r="AY99" s="911">
        <f t="shared" si="109"/>
        <v>47573</v>
      </c>
      <c r="AZ99" s="912">
        <f t="shared" si="109"/>
        <v>47664</v>
      </c>
      <c r="BA99" s="912">
        <f t="shared" si="109"/>
        <v>47756</v>
      </c>
      <c r="BB99" s="913">
        <f t="shared" si="109"/>
        <v>47848</v>
      </c>
      <c r="BC99" s="911">
        <f t="shared" si="109"/>
        <v>47938</v>
      </c>
      <c r="BD99" s="912">
        <f t="shared" si="109"/>
        <v>48029</v>
      </c>
      <c r="BE99" s="912">
        <f t="shared" si="109"/>
        <v>48121</v>
      </c>
      <c r="BF99" s="913">
        <f t="shared" si="109"/>
        <v>48213</v>
      </c>
      <c r="BG99" s="911">
        <f t="shared" si="109"/>
        <v>48304</v>
      </c>
      <c r="BH99" s="912">
        <f t="shared" si="109"/>
        <v>48395</v>
      </c>
      <c r="BI99" s="912">
        <f t="shared" si="109"/>
        <v>48487</v>
      </c>
      <c r="BJ99" s="913">
        <f t="shared" si="109"/>
        <v>48579</v>
      </c>
      <c r="BK99" s="911">
        <f t="shared" si="109"/>
        <v>48669</v>
      </c>
      <c r="BL99" s="912">
        <f t="shared" si="109"/>
        <v>48760</v>
      </c>
      <c r="BM99" s="912">
        <f t="shared" si="109"/>
        <v>48852</v>
      </c>
      <c r="BN99" s="913">
        <f t="shared" si="109"/>
        <v>48944</v>
      </c>
      <c r="BO99" s="911">
        <f t="shared" si="109"/>
        <v>49034</v>
      </c>
      <c r="BP99" s="912">
        <f t="shared" si="109"/>
        <v>49125</v>
      </c>
      <c r="BQ99" s="912">
        <f t="shared" si="109"/>
        <v>49217</v>
      </c>
      <c r="BR99" s="913">
        <f t="shared" si="109"/>
        <v>49309</v>
      </c>
      <c r="BS99" s="911">
        <f t="shared" si="109"/>
        <v>49399</v>
      </c>
      <c r="BT99" s="912">
        <f t="shared" ref="BT99:EE99" si="110">EOMONTH(BS99,3)</f>
        <v>49490</v>
      </c>
      <c r="BU99" s="912">
        <f t="shared" si="110"/>
        <v>49582</v>
      </c>
      <c r="BV99" s="913">
        <f t="shared" si="110"/>
        <v>49674</v>
      </c>
      <c r="BW99" s="911">
        <f t="shared" si="110"/>
        <v>49765</v>
      </c>
      <c r="BX99" s="912">
        <f t="shared" si="110"/>
        <v>49856</v>
      </c>
      <c r="BY99" s="912">
        <f t="shared" si="110"/>
        <v>49948</v>
      </c>
      <c r="BZ99" s="913">
        <f t="shared" si="110"/>
        <v>50040</v>
      </c>
      <c r="CA99" s="911">
        <f t="shared" si="110"/>
        <v>50130</v>
      </c>
      <c r="CB99" s="912">
        <f t="shared" si="110"/>
        <v>50221</v>
      </c>
      <c r="CC99" s="912">
        <f t="shared" si="110"/>
        <v>50313</v>
      </c>
      <c r="CD99" s="913">
        <f t="shared" si="110"/>
        <v>50405</v>
      </c>
      <c r="CE99" s="911">
        <f t="shared" si="110"/>
        <v>50495</v>
      </c>
      <c r="CF99" s="912">
        <f t="shared" si="110"/>
        <v>50586</v>
      </c>
      <c r="CG99" s="912">
        <f t="shared" si="110"/>
        <v>50678</v>
      </c>
      <c r="CH99" s="913">
        <f t="shared" si="110"/>
        <v>50770</v>
      </c>
      <c r="CI99" s="911">
        <f t="shared" si="110"/>
        <v>50860</v>
      </c>
      <c r="CJ99" s="912">
        <f t="shared" si="110"/>
        <v>50951</v>
      </c>
      <c r="CK99" s="912">
        <f t="shared" si="110"/>
        <v>51043</v>
      </c>
      <c r="CL99" s="913">
        <f t="shared" si="110"/>
        <v>51135</v>
      </c>
      <c r="CM99" s="911">
        <f t="shared" si="110"/>
        <v>51226</v>
      </c>
      <c r="CN99" s="912">
        <f t="shared" si="110"/>
        <v>51317</v>
      </c>
      <c r="CO99" s="912">
        <f t="shared" si="110"/>
        <v>51409</v>
      </c>
      <c r="CP99" s="913">
        <f t="shared" si="110"/>
        <v>51501</v>
      </c>
      <c r="CQ99" s="911">
        <f t="shared" si="110"/>
        <v>51591</v>
      </c>
      <c r="CR99" s="912">
        <f t="shared" si="110"/>
        <v>51682</v>
      </c>
      <c r="CS99" s="912">
        <f t="shared" si="110"/>
        <v>51774</v>
      </c>
      <c r="CT99" s="913">
        <f t="shared" si="110"/>
        <v>51866</v>
      </c>
      <c r="CU99" s="911">
        <f t="shared" si="110"/>
        <v>51956</v>
      </c>
      <c r="CV99" s="912">
        <f t="shared" si="110"/>
        <v>52047</v>
      </c>
      <c r="CW99" s="912">
        <f t="shared" si="110"/>
        <v>52139</v>
      </c>
      <c r="CX99" s="913">
        <f t="shared" si="110"/>
        <v>52231</v>
      </c>
      <c r="CY99" s="911">
        <f t="shared" si="110"/>
        <v>52321</v>
      </c>
      <c r="CZ99" s="912">
        <f t="shared" si="110"/>
        <v>52412</v>
      </c>
      <c r="DA99" s="912">
        <f t="shared" si="110"/>
        <v>52504</v>
      </c>
      <c r="DB99" s="913">
        <f t="shared" si="110"/>
        <v>52596</v>
      </c>
      <c r="DC99" s="911">
        <f t="shared" si="110"/>
        <v>52687</v>
      </c>
      <c r="DD99" s="912">
        <f t="shared" si="110"/>
        <v>52778</v>
      </c>
      <c r="DE99" s="912">
        <f t="shared" si="110"/>
        <v>52870</v>
      </c>
      <c r="DF99" s="913">
        <f t="shared" si="110"/>
        <v>52962</v>
      </c>
      <c r="DG99" s="911">
        <f t="shared" si="110"/>
        <v>53052</v>
      </c>
      <c r="DH99" s="912">
        <f t="shared" si="110"/>
        <v>53143</v>
      </c>
      <c r="DI99" s="912">
        <f t="shared" si="110"/>
        <v>53235</v>
      </c>
      <c r="DJ99" s="913">
        <f t="shared" si="110"/>
        <v>53327</v>
      </c>
      <c r="DK99" s="911">
        <f t="shared" si="110"/>
        <v>53417</v>
      </c>
      <c r="DL99" s="912">
        <f t="shared" si="110"/>
        <v>53508</v>
      </c>
      <c r="DM99" s="912">
        <f t="shared" si="110"/>
        <v>53600</v>
      </c>
      <c r="DN99" s="913">
        <f t="shared" si="110"/>
        <v>53692</v>
      </c>
      <c r="DO99" s="911">
        <f t="shared" si="110"/>
        <v>53782</v>
      </c>
      <c r="DP99" s="912">
        <f t="shared" si="110"/>
        <v>53873</v>
      </c>
      <c r="DQ99" s="912">
        <f t="shared" si="110"/>
        <v>53965</v>
      </c>
      <c r="DR99" s="913">
        <f t="shared" si="110"/>
        <v>54057</v>
      </c>
      <c r="DS99" s="911">
        <f t="shared" si="110"/>
        <v>54148</v>
      </c>
      <c r="DT99" s="912">
        <f t="shared" si="110"/>
        <v>54239</v>
      </c>
      <c r="DU99" s="912">
        <f t="shared" si="110"/>
        <v>54331</v>
      </c>
      <c r="DV99" s="913">
        <f t="shared" si="110"/>
        <v>54423</v>
      </c>
      <c r="DW99" s="911">
        <f t="shared" si="110"/>
        <v>54513</v>
      </c>
      <c r="DX99" s="912">
        <f t="shared" si="110"/>
        <v>54604</v>
      </c>
      <c r="DY99" s="912">
        <f t="shared" si="110"/>
        <v>54696</v>
      </c>
      <c r="DZ99" s="913">
        <f t="shared" si="110"/>
        <v>54788</v>
      </c>
      <c r="EA99" s="911">
        <f t="shared" si="110"/>
        <v>54878</v>
      </c>
      <c r="EB99" s="912">
        <f t="shared" si="110"/>
        <v>54969</v>
      </c>
      <c r="EC99" s="912">
        <f t="shared" si="110"/>
        <v>55061</v>
      </c>
      <c r="ED99" s="913">
        <f t="shared" si="110"/>
        <v>55153</v>
      </c>
      <c r="EE99" s="911">
        <f t="shared" si="110"/>
        <v>55243</v>
      </c>
      <c r="EF99" s="912">
        <f t="shared" ref="EF99:GD99" si="111">EOMONTH(EE99,3)</f>
        <v>55334</v>
      </c>
      <c r="EG99" s="912">
        <f t="shared" si="111"/>
        <v>55426</v>
      </c>
      <c r="EH99" s="913">
        <f t="shared" si="111"/>
        <v>55518</v>
      </c>
      <c r="EI99" s="911">
        <f t="shared" si="111"/>
        <v>55609</v>
      </c>
      <c r="EJ99" s="912">
        <f t="shared" si="111"/>
        <v>55700</v>
      </c>
      <c r="EK99" s="912">
        <f t="shared" si="111"/>
        <v>55792</v>
      </c>
      <c r="EL99" s="913">
        <f t="shared" si="111"/>
        <v>55884</v>
      </c>
      <c r="EM99" s="911">
        <f t="shared" si="111"/>
        <v>55974</v>
      </c>
      <c r="EN99" s="912">
        <f t="shared" si="111"/>
        <v>56065</v>
      </c>
      <c r="EO99" s="912">
        <f t="shared" si="111"/>
        <v>56157</v>
      </c>
      <c r="EP99" s="913">
        <f t="shared" si="111"/>
        <v>56249</v>
      </c>
      <c r="EQ99" s="911">
        <f t="shared" si="111"/>
        <v>56339</v>
      </c>
      <c r="ER99" s="912">
        <f t="shared" si="111"/>
        <v>56430</v>
      </c>
      <c r="ES99" s="912">
        <f t="shared" si="111"/>
        <v>56522</v>
      </c>
      <c r="ET99" s="913">
        <f t="shared" si="111"/>
        <v>56614</v>
      </c>
      <c r="EU99" s="911">
        <f t="shared" si="111"/>
        <v>56704</v>
      </c>
      <c r="EV99" s="912">
        <f t="shared" si="111"/>
        <v>56795</v>
      </c>
      <c r="EW99" s="912">
        <f t="shared" si="111"/>
        <v>56887</v>
      </c>
      <c r="EX99" s="913">
        <f t="shared" si="111"/>
        <v>56979</v>
      </c>
      <c r="EY99" s="911">
        <f t="shared" si="111"/>
        <v>57070</v>
      </c>
      <c r="EZ99" s="912">
        <f t="shared" si="111"/>
        <v>57161</v>
      </c>
      <c r="FA99" s="912">
        <f t="shared" si="111"/>
        <v>57253</v>
      </c>
      <c r="FB99" s="913">
        <f t="shared" si="111"/>
        <v>57345</v>
      </c>
      <c r="FC99" s="911">
        <f t="shared" si="111"/>
        <v>57435</v>
      </c>
      <c r="FD99" s="912">
        <f t="shared" si="111"/>
        <v>57526</v>
      </c>
      <c r="FE99" s="912">
        <f t="shared" si="111"/>
        <v>57618</v>
      </c>
      <c r="FF99" s="913">
        <f t="shared" si="111"/>
        <v>57710</v>
      </c>
      <c r="FG99" s="911">
        <f t="shared" si="111"/>
        <v>57800</v>
      </c>
      <c r="FH99" s="912">
        <f t="shared" si="111"/>
        <v>57891</v>
      </c>
      <c r="FI99" s="912">
        <f t="shared" si="111"/>
        <v>57983</v>
      </c>
      <c r="FJ99" s="913">
        <f t="shared" si="111"/>
        <v>58075</v>
      </c>
      <c r="FK99" s="911">
        <f t="shared" si="111"/>
        <v>58165</v>
      </c>
      <c r="FL99" s="912">
        <f t="shared" si="111"/>
        <v>58256</v>
      </c>
      <c r="FM99" s="912">
        <f t="shared" si="111"/>
        <v>58348</v>
      </c>
      <c r="FN99" s="913">
        <f t="shared" si="111"/>
        <v>58440</v>
      </c>
      <c r="FO99" s="911">
        <f t="shared" si="111"/>
        <v>58531</v>
      </c>
      <c r="FP99" s="912">
        <f t="shared" si="111"/>
        <v>58622</v>
      </c>
      <c r="FQ99" s="912">
        <f t="shared" si="111"/>
        <v>58714</v>
      </c>
      <c r="FR99" s="913">
        <f t="shared" si="111"/>
        <v>58806</v>
      </c>
      <c r="FS99" s="911">
        <f t="shared" si="111"/>
        <v>58896</v>
      </c>
      <c r="FT99" s="912">
        <f t="shared" si="111"/>
        <v>58987</v>
      </c>
      <c r="FU99" s="912">
        <f t="shared" si="111"/>
        <v>59079</v>
      </c>
      <c r="FV99" s="913">
        <f t="shared" si="111"/>
        <v>59171</v>
      </c>
      <c r="FW99" s="911">
        <f t="shared" si="111"/>
        <v>59261</v>
      </c>
      <c r="FX99" s="912">
        <f t="shared" si="111"/>
        <v>59352</v>
      </c>
      <c r="FY99" s="912">
        <f t="shared" si="111"/>
        <v>59444</v>
      </c>
      <c r="FZ99" s="913">
        <f t="shared" si="111"/>
        <v>59536</v>
      </c>
      <c r="GA99" s="911">
        <f t="shared" si="111"/>
        <v>59626</v>
      </c>
      <c r="GB99" s="912">
        <f t="shared" si="111"/>
        <v>59717</v>
      </c>
      <c r="GC99" s="912">
        <f t="shared" si="111"/>
        <v>59809</v>
      </c>
      <c r="GD99" s="913">
        <f t="shared" si="111"/>
        <v>59901</v>
      </c>
    </row>
    <row r="100" spans="1:186" ht="17.100000000000001" customHeight="1">
      <c r="C100" s="720"/>
      <c r="D100" s="774" t="s">
        <v>1080</v>
      </c>
      <c r="E100" s="722"/>
      <c r="F100" s="775"/>
      <c r="G100" s="1369">
        <f>BS!I185</f>
        <v>0</v>
      </c>
      <c r="H100" s="1370">
        <f t="shared" ref="H100:AM100" si="112">G103*(H99&lt;=운영종료)</f>
        <v>0</v>
      </c>
      <c r="I100" s="1370">
        <f t="shared" si="112"/>
        <v>0</v>
      </c>
      <c r="J100" s="1371">
        <f t="shared" si="112"/>
        <v>0</v>
      </c>
      <c r="K100" s="1369">
        <f t="shared" si="112"/>
        <v>5.3392381200000001</v>
      </c>
      <c r="L100" s="1370">
        <f t="shared" si="112"/>
        <v>0</v>
      </c>
      <c r="M100" s="1370">
        <f t="shared" si="112"/>
        <v>0</v>
      </c>
      <c r="N100" s="1371">
        <f t="shared" si="112"/>
        <v>-2.66961906</v>
      </c>
      <c r="O100" s="1408">
        <f t="shared" si="112"/>
        <v>5.5314407599999997</v>
      </c>
      <c r="P100" s="740">
        <f t="shared" si="112"/>
        <v>3.1035064599999997</v>
      </c>
      <c r="Q100" s="740">
        <f t="shared" si="112"/>
        <v>0</v>
      </c>
      <c r="R100" s="741">
        <f t="shared" si="112"/>
        <v>-3.3778568999999998</v>
      </c>
      <c r="S100" s="739">
        <f t="shared" ca="1" si="112"/>
        <v>1.8576527093159556</v>
      </c>
      <c r="T100" s="740">
        <f t="shared" ca="1" si="112"/>
        <v>0.67592700000000017</v>
      </c>
      <c r="U100" s="740">
        <f t="shared" ca="1" si="112"/>
        <v>0.67592700000000017</v>
      </c>
      <c r="V100" s="741">
        <f t="shared" ca="1" si="112"/>
        <v>-1.9418278046579776</v>
      </c>
      <c r="W100" s="739">
        <f t="shared" ca="1" si="112"/>
        <v>4.7666660400324137</v>
      </c>
      <c r="X100" s="740">
        <f t="shared" ca="1" si="112"/>
        <v>0.67592699999999795</v>
      </c>
      <c r="Y100" s="740">
        <f t="shared" ca="1" si="112"/>
        <v>0.67592699999999795</v>
      </c>
      <c r="Z100" s="741">
        <f t="shared" ca="1" si="112"/>
        <v>-2.6783199223451977</v>
      </c>
      <c r="AA100" s="739">
        <f t="shared" ca="1" si="112"/>
        <v>5.9969278518148599</v>
      </c>
      <c r="AB100" s="740">
        <f t="shared" ca="1" si="112"/>
        <v>0.6759270000000015</v>
      </c>
      <c r="AC100" s="740">
        <f t="shared" ca="1" si="112"/>
        <v>0.6759270000000015</v>
      </c>
      <c r="AD100" s="741">
        <f t="shared" ca="1" si="112"/>
        <v>-3.6616968870800273</v>
      </c>
      <c r="AE100" s="739">
        <f t="shared" ca="1" si="112"/>
        <v>6.1348910174112143</v>
      </c>
      <c r="AF100" s="740">
        <f t="shared" ca="1" si="112"/>
        <v>0.67592700000000239</v>
      </c>
      <c r="AG100" s="740">
        <f t="shared" ca="1" si="112"/>
        <v>0.67592700000000239</v>
      </c>
      <c r="AH100" s="741">
        <f t="shared" ca="1" si="112"/>
        <v>-4.2223669522456184</v>
      </c>
      <c r="AI100" s="739">
        <f t="shared" ca="1" si="112"/>
        <v>6.3284208928134404</v>
      </c>
      <c r="AJ100" s="740">
        <f t="shared" ca="1" si="112"/>
        <v>0.6759270000000086</v>
      </c>
      <c r="AK100" s="740">
        <f t="shared" ca="1" si="112"/>
        <v>0.6759270000000086</v>
      </c>
      <c r="AL100" s="741">
        <f t="shared" ca="1" si="112"/>
        <v>-4.5994669225295208</v>
      </c>
      <c r="AM100" s="739">
        <f t="shared" ca="1" si="112"/>
        <v>-4.1738636768835855</v>
      </c>
      <c r="AN100" s="740">
        <f t="shared" ref="AN100:BS100" ca="1" si="113">AM103*(AN99&lt;=운영종료)</f>
        <v>0.67592700000000772</v>
      </c>
      <c r="AO100" s="740">
        <f t="shared" ca="1" si="113"/>
        <v>0.67592700000000772</v>
      </c>
      <c r="AP100" s="741">
        <f t="shared" ca="1" si="113"/>
        <v>0.46312537717704017</v>
      </c>
      <c r="AQ100" s="739">
        <f t="shared" ca="1" si="113"/>
        <v>4.1373753997325062</v>
      </c>
      <c r="AR100" s="740">
        <f t="shared" ca="1" si="113"/>
        <v>0.67592700000000239</v>
      </c>
      <c r="AS100" s="740">
        <f t="shared" ca="1" si="113"/>
        <v>0.67592700000000239</v>
      </c>
      <c r="AT100" s="741">
        <f t="shared" ca="1" si="113"/>
        <v>-1.1611980112777307</v>
      </c>
      <c r="AU100" s="739">
        <f t="shared" ca="1" si="113"/>
        <v>3.6514979659690372</v>
      </c>
      <c r="AV100" s="740">
        <f t="shared" ca="1" si="113"/>
        <v>0.67592700000000328</v>
      </c>
      <c r="AW100" s="740">
        <f t="shared" ca="1" si="113"/>
        <v>0.67592700000000328</v>
      </c>
      <c r="AX100" s="741">
        <f t="shared" ca="1" si="113"/>
        <v>-1.7304209886233806</v>
      </c>
      <c r="AY100" s="739">
        <f t="shared" ca="1" si="113"/>
        <v>2.6758020444903461</v>
      </c>
      <c r="AZ100" s="740">
        <f t="shared" ca="1" si="113"/>
        <v>0.67592700000000105</v>
      </c>
      <c r="BA100" s="740">
        <f t="shared" ca="1" si="113"/>
        <v>0.67592700000000105</v>
      </c>
      <c r="BB100" s="741">
        <f t="shared" ca="1" si="113"/>
        <v>-1.5271845165568623</v>
      </c>
      <c r="BC100" s="739">
        <f t="shared" ca="1" si="113"/>
        <v>7.0772694149609352</v>
      </c>
      <c r="BD100" s="740">
        <f t="shared" ca="1" si="113"/>
        <v>0.67592699999999883</v>
      </c>
      <c r="BE100" s="740">
        <f t="shared" ca="1" si="113"/>
        <v>0.67592699999999883</v>
      </c>
      <c r="BF100" s="741">
        <f t="shared" ca="1" si="113"/>
        <v>-3.6262999657588999</v>
      </c>
      <c r="BG100" s="739">
        <f t="shared" ca="1" si="113"/>
        <v>3.8607127842038924</v>
      </c>
      <c r="BH100" s="740">
        <f t="shared" ca="1" si="113"/>
        <v>0.67592699999999617</v>
      </c>
      <c r="BI100" s="740">
        <f t="shared" ca="1" si="113"/>
        <v>0.67592699999999617</v>
      </c>
      <c r="BJ100" s="741">
        <f t="shared" ca="1" si="113"/>
        <v>-3.0675793749814</v>
      </c>
      <c r="BK100" s="739">
        <f t="shared" ca="1" si="113"/>
        <v>4.9057775993274806</v>
      </c>
      <c r="BL100" s="740">
        <f t="shared" ca="1" si="113"/>
        <v>0.67592699999998906</v>
      </c>
      <c r="BM100" s="740">
        <f t="shared" ca="1" si="113"/>
        <v>0.67592699999998906</v>
      </c>
      <c r="BN100" s="741">
        <f t="shared" ca="1" si="113"/>
        <v>-3.3107514871544512</v>
      </c>
      <c r="BO100" s="739">
        <f t="shared" ca="1" si="113"/>
        <v>6.6154691956286467</v>
      </c>
      <c r="BP100" s="740">
        <f t="shared" ca="1" si="113"/>
        <v>0.67592699999998551</v>
      </c>
      <c r="BQ100" s="740">
        <f t="shared" ca="1" si="113"/>
        <v>0.67592699999998551</v>
      </c>
      <c r="BR100" s="741">
        <f t="shared" ca="1" si="113"/>
        <v>-4.2871833413915637</v>
      </c>
      <c r="BS100" s="739">
        <f t="shared" ca="1" si="113"/>
        <v>5.5076140667242148</v>
      </c>
      <c r="BT100" s="740">
        <f t="shared" ref="BT100:CI100" ca="1" si="114">BS103*(BT99&lt;=운영종료)</f>
        <v>0.67592700000000061</v>
      </c>
      <c r="BU100" s="740">
        <f t="shared" ca="1" si="114"/>
        <v>0.67592700000000061</v>
      </c>
      <c r="BV100" s="741">
        <f t="shared" ca="1" si="114"/>
        <v>-4.2214717040578886</v>
      </c>
      <c r="BW100" s="739">
        <f t="shared" ca="1" si="114"/>
        <v>4.097613824938076</v>
      </c>
      <c r="BX100" s="740">
        <f t="shared" ca="1" si="114"/>
        <v>0.67592699999999795</v>
      </c>
      <c r="BY100" s="740">
        <f t="shared" ca="1" si="114"/>
        <v>0.67592699999999795</v>
      </c>
      <c r="BZ100" s="741">
        <f t="shared" ca="1" si="114"/>
        <v>-3.4836157644979844</v>
      </c>
      <c r="CA100" s="739">
        <f t="shared" ca="1" si="114"/>
        <v>7.531756839969991</v>
      </c>
      <c r="CB100" s="740">
        <f t="shared" ca="1" si="114"/>
        <v>0.67592700000000594</v>
      </c>
      <c r="CC100" s="740">
        <f t="shared" ca="1" si="114"/>
        <v>0.67592700000000594</v>
      </c>
      <c r="CD100" s="741">
        <f t="shared" ca="1" si="114"/>
        <v>-4.8317593022339818</v>
      </c>
      <c r="CE100" s="739">
        <f t="shared" ca="1" si="114"/>
        <v>5.6675666024868043</v>
      </c>
      <c r="CF100" s="740">
        <f t="shared" ca="1" si="114"/>
        <v>0.67592700000000505</v>
      </c>
      <c r="CG100" s="740">
        <f t="shared" ca="1" si="114"/>
        <v>0.67592700000000505</v>
      </c>
      <c r="CH100" s="741">
        <f t="shared" ca="1" si="114"/>
        <v>-4.573735952360388</v>
      </c>
      <c r="CI100" s="739">
        <f t="shared" ca="1" si="114"/>
        <v>4.785896183424506</v>
      </c>
      <c r="CJ100" s="740">
        <f t="shared" ref="CJ100:DO100" ca="1" si="115">CI103*(CJ99&lt;=운영종료)</f>
        <v>0.67592699999999528</v>
      </c>
      <c r="CK100" s="740">
        <f t="shared" ca="1" si="115"/>
        <v>0.67592699999999528</v>
      </c>
      <c r="CL100" s="741">
        <f t="shared" ca="1" si="115"/>
        <v>-4.0038890678924517</v>
      </c>
      <c r="CM100" s="739">
        <f t="shared" ca="1" si="115"/>
        <v>5.5305268956646731</v>
      </c>
      <c r="CN100" s="740">
        <f t="shared" ca="1" si="115"/>
        <v>0.67592699999999617</v>
      </c>
      <c r="CO100" s="740">
        <f t="shared" ca="1" si="115"/>
        <v>0.67592699999999617</v>
      </c>
      <c r="CP100" s="741">
        <f t="shared" ca="1" si="115"/>
        <v>-4.0912809817785663</v>
      </c>
      <c r="CQ100" s="739">
        <f t="shared" ca="1" si="115"/>
        <v>9.1103047507291635</v>
      </c>
      <c r="CR100" s="740">
        <f t="shared" ca="1" si="115"/>
        <v>0.67592699999996597</v>
      </c>
      <c r="CS100" s="740">
        <f t="shared" ca="1" si="115"/>
        <v>0.67592699999996597</v>
      </c>
      <c r="CT100" s="741">
        <f t="shared" ca="1" si="115"/>
        <v>-5.9248658662538993</v>
      </c>
      <c r="CU100" s="739">
        <f t="shared" ca="1" si="115"/>
        <v>8.1664037070843598</v>
      </c>
      <c r="CV100" s="740">
        <f t="shared" ca="1" si="115"/>
        <v>0.67592700000000505</v>
      </c>
      <c r="CW100" s="740">
        <f t="shared" ca="1" si="115"/>
        <v>0.67592700000000505</v>
      </c>
      <c r="CX100" s="741">
        <f t="shared" ca="1" si="115"/>
        <v>-6.3697077866691245</v>
      </c>
      <c r="CY100" s="739">
        <f t="shared" ca="1" si="115"/>
        <v>11.465242007040473</v>
      </c>
      <c r="CZ100" s="740">
        <f t="shared" ca="1" si="115"/>
        <v>0.6759270000000015</v>
      </c>
      <c r="DA100" s="740">
        <f t="shared" ca="1" si="115"/>
        <v>0.6759270000000015</v>
      </c>
      <c r="DB100" s="741">
        <f t="shared" ca="1" si="115"/>
        <v>-8.2415478968547973</v>
      </c>
      <c r="DC100" s="739">
        <f t="shared" ca="1" si="115"/>
        <v>9.1084453877856788</v>
      </c>
      <c r="DD100" s="740">
        <f t="shared" ca="1" si="115"/>
        <v>0.6759270000000015</v>
      </c>
      <c r="DE100" s="740">
        <f t="shared" ca="1" si="115"/>
        <v>0.6759270000000015</v>
      </c>
      <c r="DF100" s="741">
        <f t="shared" ca="1" si="115"/>
        <v>-7.9990696423202365</v>
      </c>
      <c r="DG100" s="739">
        <f t="shared" ca="1" si="115"/>
        <v>9.5007679878174223</v>
      </c>
      <c r="DH100" s="740">
        <f t="shared" ca="1" si="115"/>
        <v>0.67592700000002637</v>
      </c>
      <c r="DI100" s="740">
        <f t="shared" ca="1" si="115"/>
        <v>0.67592700000002637</v>
      </c>
      <c r="DJ100" s="741">
        <f t="shared" ca="1" si="115"/>
        <v>-8.073991815068803</v>
      </c>
      <c r="DK100" s="739">
        <f t="shared" ca="1" si="115"/>
        <v>11.253779641783426</v>
      </c>
      <c r="DL100" s="740">
        <f t="shared" ca="1" si="115"/>
        <v>0.67592700000007433</v>
      </c>
      <c r="DM100" s="740">
        <f t="shared" ca="1" si="115"/>
        <v>0.67592700000007433</v>
      </c>
      <c r="DN100" s="741">
        <f t="shared" ca="1" si="115"/>
        <v>-8.9879587284260403</v>
      </c>
      <c r="DO100" s="739">
        <f t="shared" ca="1" si="115"/>
        <v>11.122453029829433</v>
      </c>
      <c r="DP100" s="740">
        <f t="shared" ref="DP100:EU100" ca="1" si="116">DO103*(DP99&lt;=운영종료)</f>
        <v>0.67592700000010453</v>
      </c>
      <c r="DQ100" s="740">
        <f t="shared" ca="1" si="116"/>
        <v>0.67592700000010453</v>
      </c>
      <c r="DR100" s="741">
        <f t="shared" ca="1" si="116"/>
        <v>-9.3792788791276323</v>
      </c>
      <c r="DS100" s="739">
        <f t="shared" ca="1" si="116"/>
        <v>9.4820300088283105</v>
      </c>
      <c r="DT100" s="740">
        <f t="shared" ca="1" si="116"/>
        <v>0.67592700000012229</v>
      </c>
      <c r="DU100" s="740">
        <f t="shared" ca="1" si="116"/>
        <v>0.67592700000012229</v>
      </c>
      <c r="DV100" s="741">
        <f t="shared" ca="1" si="116"/>
        <v>-8.7547274439778491</v>
      </c>
      <c r="DW100" s="739">
        <f t="shared" ca="1" si="116"/>
        <v>12.660761051414539</v>
      </c>
      <c r="DX100" s="740">
        <f t="shared" ca="1" si="116"/>
        <v>0.67592700000014361</v>
      </c>
      <c r="DY100" s="740">
        <f t="shared" ca="1" si="116"/>
        <v>0.67592700000014361</v>
      </c>
      <c r="DZ100" s="741">
        <f t="shared" ca="1" si="116"/>
        <v>-10.031817247696051</v>
      </c>
      <c r="EA100" s="739">
        <f t="shared" ca="1" si="116"/>
        <v>9.2054337754895528</v>
      </c>
      <c r="EB100" s="740">
        <f t="shared" ca="1" si="116"/>
        <v>0.67592700000017203</v>
      </c>
      <c r="EC100" s="740">
        <f t="shared" ca="1" si="116"/>
        <v>0.67592700000017203</v>
      </c>
      <c r="ED100" s="741">
        <f t="shared" ca="1" si="116"/>
        <v>-8.9426985115926296</v>
      </c>
      <c r="EE100" s="739">
        <f t="shared" ca="1" si="116"/>
        <v>11.863676955097135</v>
      </c>
      <c r="EF100" s="740">
        <f t="shared" ca="1" si="116"/>
        <v>0.67592700000020223</v>
      </c>
      <c r="EG100" s="740">
        <f t="shared" ca="1" si="116"/>
        <v>0.67592700000020223</v>
      </c>
      <c r="EH100" s="741">
        <f t="shared" ca="1" si="116"/>
        <v>-9.7272607333446803</v>
      </c>
      <c r="EI100" s="739">
        <f t="shared" ca="1" si="116"/>
        <v>13.738606172880809</v>
      </c>
      <c r="EJ100" s="740">
        <f t="shared" ca="1" si="116"/>
        <v>0.67592700000024486</v>
      </c>
      <c r="EK100" s="740">
        <f t="shared" ca="1" si="116"/>
        <v>0.67592700000024486</v>
      </c>
      <c r="EL100" s="741">
        <f t="shared" ca="1" si="116"/>
        <v>-11.0570064531125</v>
      </c>
      <c r="EM100" s="739">
        <f t="shared" ca="1" si="116"/>
        <v>11.65850908576623</v>
      </c>
      <c r="EN100" s="740">
        <f t="shared" ca="1" si="116"/>
        <v>0.67592700000021821</v>
      </c>
      <c r="EO100" s="740">
        <f t="shared" ca="1" si="116"/>
        <v>0.67592700000021821</v>
      </c>
      <c r="EP100" s="741">
        <f t="shared" ca="1" si="116"/>
        <v>-10.681830769439147</v>
      </c>
      <c r="EQ100" s="739">
        <f t="shared" ca="1" si="116"/>
        <v>12.21424759043718</v>
      </c>
      <c r="ER100" s="740">
        <f t="shared" ca="1" si="116"/>
        <v>0.67592700000032657</v>
      </c>
      <c r="ES100" s="740">
        <f t="shared" ca="1" si="116"/>
        <v>0.67592700000032657</v>
      </c>
      <c r="ET100" s="741">
        <f t="shared" ca="1" si="116"/>
        <v>-10.772112179937837</v>
      </c>
      <c r="EU100" s="739">
        <f t="shared" ca="1" si="116"/>
        <v>15.836631565208839</v>
      </c>
      <c r="EV100" s="740">
        <f t="shared" ref="EV100:GA100" ca="1" si="117">EU103*(EV99&lt;=운영종료)</f>
        <v>0.67592700000027683</v>
      </c>
      <c r="EW100" s="740">
        <f t="shared" ca="1" si="117"/>
        <v>0.67592700000027683</v>
      </c>
      <c r="EX100" s="741">
        <f t="shared" ca="1" si="117"/>
        <v>-12.628444872573061</v>
      </c>
      <c r="EY100" s="739">
        <f t="shared" ca="1" si="117"/>
        <v>14.067523814026186</v>
      </c>
      <c r="EZ100" s="740">
        <f t="shared" ca="1" si="117"/>
        <v>0.67592700000029815</v>
      </c>
      <c r="FA100" s="740">
        <f t="shared" ca="1" si="117"/>
        <v>0.67592700000029815</v>
      </c>
      <c r="FB100" s="741">
        <f t="shared" ca="1" si="117"/>
        <v>-12.672057343299326</v>
      </c>
      <c r="FC100" s="739">
        <f t="shared" ca="1" si="117"/>
        <v>14.616227620866397</v>
      </c>
      <c r="FD100" s="740">
        <f t="shared" ca="1" si="117"/>
        <v>0.67592700000031414</v>
      </c>
      <c r="FE100" s="740">
        <f t="shared" ca="1" si="117"/>
        <v>0.67592700000031414</v>
      </c>
      <c r="FF100" s="741">
        <f t="shared" ca="1" si="117"/>
        <v>-12.968215482082547</v>
      </c>
      <c r="FG100" s="739">
        <f t="shared" ca="1" si="117"/>
        <v>16.650439873760462</v>
      </c>
      <c r="FH100" s="740">
        <f t="shared" ca="1" si="117"/>
        <v>0.67592700000025729</v>
      </c>
      <c r="FI100" s="740">
        <f t="shared" ca="1" si="117"/>
        <v>0.67592700000025729</v>
      </c>
      <c r="FJ100" s="741">
        <f t="shared" ca="1" si="117"/>
        <v>-14.133400677921246</v>
      </c>
      <c r="FK100" s="739">
        <f t="shared" ca="1" si="117"/>
        <v>15.797908594717759</v>
      </c>
      <c r="FL100" s="740">
        <f t="shared" ca="1" si="117"/>
        <v>0.67592700000019157</v>
      </c>
      <c r="FM100" s="740">
        <f t="shared" ca="1" si="117"/>
        <v>0</v>
      </c>
      <c r="FN100" s="741">
        <f t="shared" ca="1" si="117"/>
        <v>0</v>
      </c>
      <c r="FO100" s="739">
        <f t="shared" ca="1" si="117"/>
        <v>0</v>
      </c>
      <c r="FP100" s="740">
        <f t="shared" ca="1" si="117"/>
        <v>0</v>
      </c>
      <c r="FQ100" s="740">
        <f t="shared" ca="1" si="117"/>
        <v>0</v>
      </c>
      <c r="FR100" s="741">
        <f t="shared" ca="1" si="117"/>
        <v>0</v>
      </c>
      <c r="FS100" s="739">
        <f t="shared" ca="1" si="117"/>
        <v>0</v>
      </c>
      <c r="FT100" s="740">
        <f t="shared" ca="1" si="117"/>
        <v>0</v>
      </c>
      <c r="FU100" s="740">
        <f t="shared" ca="1" si="117"/>
        <v>0</v>
      </c>
      <c r="FV100" s="741">
        <f t="shared" ca="1" si="117"/>
        <v>0</v>
      </c>
      <c r="FW100" s="739">
        <f t="shared" ca="1" si="117"/>
        <v>0</v>
      </c>
      <c r="FX100" s="740">
        <f t="shared" ca="1" si="117"/>
        <v>0</v>
      </c>
      <c r="FY100" s="740">
        <f t="shared" ca="1" si="117"/>
        <v>0</v>
      </c>
      <c r="FZ100" s="741">
        <f t="shared" ca="1" si="117"/>
        <v>0</v>
      </c>
      <c r="GA100" s="739">
        <f t="shared" ca="1" si="117"/>
        <v>0</v>
      </c>
      <c r="GB100" s="740">
        <f ca="1">GA103*(GB99&lt;=운영종료)</f>
        <v>0</v>
      </c>
      <c r="GC100" s="740">
        <f ca="1">GB103*(GC99&lt;=운영종료)</f>
        <v>0</v>
      </c>
      <c r="GD100" s="741">
        <f ca="1">GC103*(GD99&lt;=운영종료)</f>
        <v>0</v>
      </c>
    </row>
    <row r="101" spans="1:186" ht="17.100000000000001" customHeight="1">
      <c r="C101" s="1409"/>
      <c r="D101" s="1410" t="s">
        <v>1270</v>
      </c>
      <c r="E101" s="1411"/>
      <c r="F101" s="946">
        <f ca="1">SUM(O101:GD101,O100)</f>
        <v>561.28717983253296</v>
      </c>
      <c r="G101" s="1412">
        <f>'IS(Q)'!G35</f>
        <v>0</v>
      </c>
      <c r="H101" s="1413">
        <f>'IS(Q)'!H35</f>
        <v>0</v>
      </c>
      <c r="I101" s="1413">
        <f>'IS(Q)'!I35</f>
        <v>0</v>
      </c>
      <c r="J101" s="1414">
        <f>'IS(Q)'!J35</f>
        <v>5.3392381200000001</v>
      </c>
      <c r="K101" s="1412">
        <f>'IS(Q)'!K35</f>
        <v>0</v>
      </c>
      <c r="L101" s="1413">
        <f>'IS(Q)'!L35</f>
        <v>0</v>
      </c>
      <c r="M101" s="1413">
        <f>'IS(Q)'!M35</f>
        <v>0</v>
      </c>
      <c r="N101" s="1414">
        <f>'IS(Q)'!N35</f>
        <v>7.5251328600000003</v>
      </c>
      <c r="O101" s="1321">
        <f>'IS(Q)'!O35</f>
        <v>0</v>
      </c>
      <c r="P101" s="1322">
        <f>'IS(Q)'!P35</f>
        <v>0</v>
      </c>
      <c r="Q101" s="1322">
        <f>'IS(Q)'!Q35</f>
        <v>0</v>
      </c>
      <c r="R101" s="1323">
        <f ca="1">'IS(Q)'!R35</f>
        <v>5.2355096093159554</v>
      </c>
      <c r="S101" s="1321">
        <f>'IS(Q)'!S35</f>
        <v>0</v>
      </c>
      <c r="T101" s="1322">
        <f>'IS(Q)'!T35</f>
        <v>0</v>
      </c>
      <c r="U101" s="1322">
        <f>'IS(Q)'!U35</f>
        <v>0</v>
      </c>
      <c r="V101" s="1323">
        <f ca="1">'IS(Q)'!V35</f>
        <v>6.7084938446903912</v>
      </c>
      <c r="W101" s="1321">
        <f>'IS(Q)'!W35</f>
        <v>0</v>
      </c>
      <c r="X101" s="1322">
        <f>'IS(Q)'!X35</f>
        <v>0</v>
      </c>
      <c r="Y101" s="1322">
        <f>'IS(Q)'!Y35</f>
        <v>0</v>
      </c>
      <c r="Z101" s="1323">
        <f ca="1">'IS(Q)'!Z35</f>
        <v>8.6752477741600575</v>
      </c>
      <c r="AA101" s="1321">
        <f>'IS(Q)'!AA35</f>
        <v>0</v>
      </c>
      <c r="AB101" s="1322">
        <f>'IS(Q)'!AB35</f>
        <v>0</v>
      </c>
      <c r="AC101" s="1322">
        <f>'IS(Q)'!AC35</f>
        <v>0</v>
      </c>
      <c r="AD101" s="1323">
        <f ca="1">'IS(Q)'!AD35</f>
        <v>9.7965879044912416</v>
      </c>
      <c r="AE101" s="1321">
        <f>'IS(Q)'!AE35</f>
        <v>0</v>
      </c>
      <c r="AF101" s="1322">
        <f>'IS(Q)'!AF35</f>
        <v>0</v>
      </c>
      <c r="AG101" s="1322">
        <f>'IS(Q)'!AG35</f>
        <v>0</v>
      </c>
      <c r="AH101" s="1323">
        <f ca="1">'IS(Q)'!AH35</f>
        <v>10.550787845059059</v>
      </c>
      <c r="AI101" s="1321">
        <f>'IS(Q)'!AI35</f>
        <v>0</v>
      </c>
      <c r="AJ101" s="1322">
        <f>'IS(Q)'!AJ35</f>
        <v>0</v>
      </c>
      <c r="AK101" s="1322">
        <f>'IS(Q)'!AK35</f>
        <v>0</v>
      </c>
      <c r="AL101" s="1323">
        <f ca="1">'IS(Q)'!AL35</f>
        <v>0.42560324564593505</v>
      </c>
      <c r="AM101" s="1321">
        <f>'IS(Q)'!AM35</f>
        <v>0</v>
      </c>
      <c r="AN101" s="1322">
        <f>'IS(Q)'!AN35</f>
        <v>0</v>
      </c>
      <c r="AO101" s="1322">
        <f>'IS(Q)'!AO35</f>
        <v>0</v>
      </c>
      <c r="AP101" s="1323">
        <f ca="1">'IS(Q)'!AP35</f>
        <v>3.6742500225554662</v>
      </c>
      <c r="AQ101" s="1321">
        <f>'IS(Q)'!AQ35</f>
        <v>0</v>
      </c>
      <c r="AR101" s="1322">
        <f>'IS(Q)'!AR35</f>
        <v>0</v>
      </c>
      <c r="AS101" s="1322">
        <f>'IS(Q)'!AS35</f>
        <v>0</v>
      </c>
      <c r="AT101" s="1323">
        <f ca="1">'IS(Q)'!AT35</f>
        <v>4.8126959772467677</v>
      </c>
      <c r="AU101" s="1321">
        <f>'IS(Q)'!AU35</f>
        <v>0</v>
      </c>
      <c r="AV101" s="1322">
        <f>'IS(Q)'!AV35</f>
        <v>0</v>
      </c>
      <c r="AW101" s="1322">
        <f>'IS(Q)'!AW35</f>
        <v>0</v>
      </c>
      <c r="AX101" s="1323">
        <f ca="1">'IS(Q)'!AX35</f>
        <v>4.4062230331137267</v>
      </c>
      <c r="AY101" s="1321">
        <f>'IS(Q)'!AY35</f>
        <v>0</v>
      </c>
      <c r="AZ101" s="1322">
        <f>'IS(Q)'!AZ35</f>
        <v>0</v>
      </c>
      <c r="BA101" s="1322">
        <f>'IS(Q)'!BA35</f>
        <v>0</v>
      </c>
      <c r="BB101" s="1323">
        <f ca="1">'IS(Q)'!BB35</f>
        <v>8.6044539315177975</v>
      </c>
      <c r="BC101" s="1321">
        <f>'IS(Q)'!BC35</f>
        <v>0</v>
      </c>
      <c r="BD101" s="1322">
        <f>'IS(Q)'!BD35</f>
        <v>0</v>
      </c>
      <c r="BE101" s="1322">
        <f>'IS(Q)'!BE35</f>
        <v>0</v>
      </c>
      <c r="BF101" s="1323">
        <f ca="1">'IS(Q)'!BF35</f>
        <v>7.4870127499627923</v>
      </c>
      <c r="BG101" s="1321">
        <f>'IS(Q)'!BG35</f>
        <v>0</v>
      </c>
      <c r="BH101" s="1322">
        <f>'IS(Q)'!BH35</f>
        <v>0</v>
      </c>
      <c r="BI101" s="1322">
        <f>'IS(Q)'!BI35</f>
        <v>0</v>
      </c>
      <c r="BJ101" s="1323">
        <f ca="1">'IS(Q)'!BJ35</f>
        <v>7.9733569743088806</v>
      </c>
      <c r="BK101" s="1321">
        <f>'IS(Q)'!BK35</f>
        <v>0</v>
      </c>
      <c r="BL101" s="1322">
        <f>'IS(Q)'!BL35</f>
        <v>0</v>
      </c>
      <c r="BM101" s="1322">
        <f>'IS(Q)'!BM35</f>
        <v>0</v>
      </c>
      <c r="BN101" s="1323">
        <f ca="1">'IS(Q)'!BN35</f>
        <v>9.9262206827830983</v>
      </c>
      <c r="BO101" s="1321">
        <f>'IS(Q)'!BO35</f>
        <v>0</v>
      </c>
      <c r="BP101" s="1322">
        <f>'IS(Q)'!BP35</f>
        <v>0</v>
      </c>
      <c r="BQ101" s="1322">
        <f>'IS(Q)'!BQ35</f>
        <v>0</v>
      </c>
      <c r="BR101" s="1323">
        <f ca="1">'IS(Q)'!BR35</f>
        <v>9.7947974081157785</v>
      </c>
      <c r="BS101" s="1321">
        <f>'IS(Q)'!BS35</f>
        <v>0</v>
      </c>
      <c r="BT101" s="1322">
        <f>'IS(Q)'!BT35</f>
        <v>0</v>
      </c>
      <c r="BU101" s="1322">
        <f>'IS(Q)'!BU35</f>
        <v>0</v>
      </c>
      <c r="BV101" s="1323">
        <f ca="1">'IS(Q)'!BV35</f>
        <v>8.3190855289959647</v>
      </c>
      <c r="BW101" s="1321">
        <f>'IS(Q)'!BW35</f>
        <v>0</v>
      </c>
      <c r="BX101" s="1322">
        <f>'IS(Q)'!BX35</f>
        <v>0</v>
      </c>
      <c r="BY101" s="1322">
        <f>'IS(Q)'!BY35</f>
        <v>0</v>
      </c>
      <c r="BZ101" s="1323">
        <f ca="1">'IS(Q)'!BZ35</f>
        <v>11.015372604467975</v>
      </c>
      <c r="CA101" s="1321">
        <f>'IS(Q)'!CA35</f>
        <v>0</v>
      </c>
      <c r="CB101" s="1322">
        <f>'IS(Q)'!CB35</f>
        <v>0</v>
      </c>
      <c r="CC101" s="1322">
        <f>'IS(Q)'!CC35</f>
        <v>0</v>
      </c>
      <c r="CD101" s="1323">
        <f ca="1">'IS(Q)'!CD35</f>
        <v>10.499325904720786</v>
      </c>
      <c r="CE101" s="1321">
        <f>'IS(Q)'!CE35</f>
        <v>0</v>
      </c>
      <c r="CF101" s="1322">
        <f>'IS(Q)'!CF35</f>
        <v>0</v>
      </c>
      <c r="CG101" s="1322">
        <f>'IS(Q)'!CG35</f>
        <v>0</v>
      </c>
      <c r="CH101" s="1323">
        <f ca="1">'IS(Q)'!CH35</f>
        <v>9.3596321357848939</v>
      </c>
      <c r="CI101" s="1321">
        <f>'IS(Q)'!CI35</f>
        <v>0</v>
      </c>
      <c r="CJ101" s="1322">
        <f>'IS(Q)'!CJ35</f>
        <v>0</v>
      </c>
      <c r="CK101" s="1322">
        <f>'IS(Q)'!CK35</f>
        <v>0</v>
      </c>
      <c r="CL101" s="1323">
        <f ca="1">'IS(Q)'!CL35</f>
        <v>9.5344159635571248</v>
      </c>
      <c r="CM101" s="1321">
        <f>'IS(Q)'!CM35</f>
        <v>0</v>
      </c>
      <c r="CN101" s="1322">
        <f>'IS(Q)'!CN35</f>
        <v>0</v>
      </c>
      <c r="CO101" s="1322">
        <f>'IS(Q)'!CO35</f>
        <v>0</v>
      </c>
      <c r="CP101" s="1323">
        <f ca="1">'IS(Q)'!CP35</f>
        <v>13.201585732507731</v>
      </c>
      <c r="CQ101" s="1321">
        <f>'IS(Q)'!CQ35</f>
        <v>0</v>
      </c>
      <c r="CR101" s="1322">
        <f>'IS(Q)'!CR35</f>
        <v>0</v>
      </c>
      <c r="CS101" s="1322">
        <f>'IS(Q)'!CS35</f>
        <v>0</v>
      </c>
      <c r="CT101" s="1323">
        <f ca="1">'IS(Q)'!CT35</f>
        <v>14.091269573338259</v>
      </c>
      <c r="CU101" s="1321">
        <f>'IS(Q)'!CU35</f>
        <v>0</v>
      </c>
      <c r="CV101" s="1322">
        <f>'IS(Q)'!CV35</f>
        <v>0</v>
      </c>
      <c r="CW101" s="1322">
        <f>'IS(Q)'!CW35</f>
        <v>0</v>
      </c>
      <c r="CX101" s="1323">
        <f ca="1">'IS(Q)'!CX35</f>
        <v>17.834949793709598</v>
      </c>
      <c r="CY101" s="1321">
        <f>'IS(Q)'!CY35</f>
        <v>0</v>
      </c>
      <c r="CZ101" s="1322">
        <f>'IS(Q)'!CZ35</f>
        <v>0</v>
      </c>
      <c r="DA101" s="1322">
        <f>'IS(Q)'!DA35</f>
        <v>0</v>
      </c>
      <c r="DB101" s="1323">
        <f ca="1">'IS(Q)'!DB35</f>
        <v>17.349993284640476</v>
      </c>
      <c r="DC101" s="1321">
        <f>'IS(Q)'!DC35</f>
        <v>0</v>
      </c>
      <c r="DD101" s="1322">
        <f>'IS(Q)'!DD35</f>
        <v>0</v>
      </c>
      <c r="DE101" s="1322">
        <f>'IS(Q)'!DE35</f>
        <v>0</v>
      </c>
      <c r="DF101" s="1323">
        <f ca="1">'IS(Q)'!DF35</f>
        <v>17.499837630137659</v>
      </c>
      <c r="DG101" s="1321">
        <f>'IS(Q)'!DG35</f>
        <v>0</v>
      </c>
      <c r="DH101" s="1322">
        <f>'IS(Q)'!DH35</f>
        <v>0</v>
      </c>
      <c r="DI101" s="1322">
        <f>'IS(Q)'!DI35</f>
        <v>0</v>
      </c>
      <c r="DJ101" s="1323">
        <f ca="1">'IS(Q)'!DJ35</f>
        <v>19.327771456852229</v>
      </c>
      <c r="DK101" s="1321">
        <f>'IS(Q)'!DK35</f>
        <v>0</v>
      </c>
      <c r="DL101" s="1322">
        <f>'IS(Q)'!DL35</f>
        <v>0</v>
      </c>
      <c r="DM101" s="1322">
        <f>'IS(Q)'!DM35</f>
        <v>0</v>
      </c>
      <c r="DN101" s="1323">
        <f ca="1">'IS(Q)'!DN35</f>
        <v>20.110411758255474</v>
      </c>
      <c r="DO101" s="1321">
        <f>'IS(Q)'!DO35</f>
        <v>0</v>
      </c>
      <c r="DP101" s="1322">
        <f>'IS(Q)'!DP35</f>
        <v>0</v>
      </c>
      <c r="DQ101" s="1322">
        <f>'IS(Q)'!DQ35</f>
        <v>0</v>
      </c>
      <c r="DR101" s="1323">
        <f ca="1">'IS(Q)'!DR35</f>
        <v>18.861308887955943</v>
      </c>
      <c r="DS101" s="1321">
        <f>'IS(Q)'!DS35</f>
        <v>0</v>
      </c>
      <c r="DT101" s="1322">
        <f>'IS(Q)'!DT35</f>
        <v>0</v>
      </c>
      <c r="DU101" s="1322">
        <f>'IS(Q)'!DU35</f>
        <v>0</v>
      </c>
      <c r="DV101" s="1323">
        <f ca="1">'IS(Q)'!DV35</f>
        <v>21.415488495392388</v>
      </c>
      <c r="DW101" s="1321">
        <f>'IS(Q)'!DW35</f>
        <v>0</v>
      </c>
      <c r="DX101" s="1322">
        <f>'IS(Q)'!DX35</f>
        <v>0</v>
      </c>
      <c r="DY101" s="1322">
        <f>'IS(Q)'!DY35</f>
        <v>0</v>
      </c>
      <c r="DZ101" s="1323">
        <f ca="1">'IS(Q)'!DZ35</f>
        <v>19.237251023185603</v>
      </c>
      <c r="EA101" s="1321">
        <f>'IS(Q)'!EA35</f>
        <v>0</v>
      </c>
      <c r="EB101" s="1322">
        <f>'IS(Q)'!EB35</f>
        <v>0</v>
      </c>
      <c r="EC101" s="1322">
        <f>'IS(Q)'!EC35</f>
        <v>0</v>
      </c>
      <c r="ED101" s="1323">
        <f ca="1">'IS(Q)'!ED35</f>
        <v>20.806375466689765</v>
      </c>
      <c r="EE101" s="1321">
        <f>'IS(Q)'!EE35</f>
        <v>0</v>
      </c>
      <c r="EF101" s="1322">
        <f>'IS(Q)'!EF35</f>
        <v>0</v>
      </c>
      <c r="EG101" s="1322">
        <f>'IS(Q)'!EG35</f>
        <v>0</v>
      </c>
      <c r="EH101" s="1323">
        <f ca="1">'IS(Q)'!EH35</f>
        <v>23.465866906225489</v>
      </c>
      <c r="EI101" s="1321">
        <f>'IS(Q)'!EI35</f>
        <v>0</v>
      </c>
      <c r="EJ101" s="1322">
        <f>'IS(Q)'!EJ35</f>
        <v>0</v>
      </c>
      <c r="EK101" s="1322">
        <f>'IS(Q)'!EK35</f>
        <v>0</v>
      </c>
      <c r="EL101" s="1323">
        <f ca="1">'IS(Q)'!EL35</f>
        <v>22.71551553887873</v>
      </c>
      <c r="EM101" s="1321">
        <f>'IS(Q)'!EM35</f>
        <v>0</v>
      </c>
      <c r="EN101" s="1322">
        <f>'IS(Q)'!EN35</f>
        <v>0</v>
      </c>
      <c r="EO101" s="1322">
        <f>'IS(Q)'!EO35</f>
        <v>0</v>
      </c>
      <c r="EP101" s="1323">
        <f ca="1">'IS(Q)'!EP35</f>
        <v>22.896078359876327</v>
      </c>
      <c r="EQ101" s="1321">
        <f>'IS(Q)'!EQ35</f>
        <v>0</v>
      </c>
      <c r="ER101" s="1322">
        <f>'IS(Q)'!ER35</f>
        <v>0</v>
      </c>
      <c r="ES101" s="1322">
        <f>'IS(Q)'!ES35</f>
        <v>0</v>
      </c>
      <c r="ET101" s="1323">
        <f ca="1">'IS(Q)'!ET35</f>
        <v>26.608743745146676</v>
      </c>
      <c r="EU101" s="1321">
        <f>'IS(Q)'!EU35</f>
        <v>0</v>
      </c>
      <c r="EV101" s="1322">
        <f>'IS(Q)'!EV35</f>
        <v>0</v>
      </c>
      <c r="EW101" s="1322">
        <f>'IS(Q)'!EW35</f>
        <v>0</v>
      </c>
      <c r="EX101" s="1323">
        <f ca="1">'IS(Q)'!EX35</f>
        <v>26.695968686599247</v>
      </c>
      <c r="EY101" s="1321">
        <f>'IS(Q)'!EY35</f>
        <v>0</v>
      </c>
      <c r="EZ101" s="1322">
        <f>'IS(Q)'!EZ35</f>
        <v>0</v>
      </c>
      <c r="FA101" s="1322">
        <f>'IS(Q)'!FA35</f>
        <v>0</v>
      </c>
      <c r="FB101" s="1323">
        <f ca="1">'IS(Q)'!FB35</f>
        <v>27.288284964165722</v>
      </c>
      <c r="FC101" s="1321">
        <f>'IS(Q)'!FC35</f>
        <v>0</v>
      </c>
      <c r="FD101" s="1322">
        <f>'IS(Q)'!FD35</f>
        <v>0</v>
      </c>
      <c r="FE101" s="1322">
        <f>'IS(Q)'!FE35</f>
        <v>0</v>
      </c>
      <c r="FF101" s="1323">
        <f ca="1">'IS(Q)'!FF35</f>
        <v>29.618655355843007</v>
      </c>
      <c r="FG101" s="1321">
        <f>'IS(Q)'!FG35</f>
        <v>0</v>
      </c>
      <c r="FH101" s="1322">
        <f>'IS(Q)'!FH35</f>
        <v>0</v>
      </c>
      <c r="FI101" s="1322">
        <f>'IS(Q)'!FI35</f>
        <v>0</v>
      </c>
      <c r="FJ101" s="1323">
        <f ca="1">'IS(Q)'!FJ35</f>
        <v>29.931309272639005</v>
      </c>
      <c r="FK101" s="1321">
        <f>'IS(Q)'!FK35</f>
        <v>0</v>
      </c>
      <c r="FL101" s="1322">
        <f ca="1">'IS(Q)'!FL35</f>
        <v>0</v>
      </c>
      <c r="FM101" s="1322">
        <f>'IS(Q)'!FM35</f>
        <v>0</v>
      </c>
      <c r="FN101" s="1323">
        <f>'IS(Q)'!FN35</f>
        <v>0</v>
      </c>
      <c r="FO101" s="1321">
        <f>'IS(Q)'!FO35</f>
        <v>0</v>
      </c>
      <c r="FP101" s="1322">
        <f>'IS(Q)'!FP35</f>
        <v>0</v>
      </c>
      <c r="FQ101" s="1322">
        <f>'IS(Q)'!FQ35</f>
        <v>0</v>
      </c>
      <c r="FR101" s="1323">
        <f>'IS(Q)'!FR35</f>
        <v>0</v>
      </c>
      <c r="FS101" s="1321">
        <f>'IS(Q)'!FS35</f>
        <v>0</v>
      </c>
      <c r="FT101" s="1322">
        <f>'IS(Q)'!FT35</f>
        <v>0</v>
      </c>
      <c r="FU101" s="1322">
        <f>'IS(Q)'!FU35</f>
        <v>0</v>
      </c>
      <c r="FV101" s="1323">
        <f>'IS(Q)'!FV35</f>
        <v>0</v>
      </c>
      <c r="FW101" s="1321">
        <f>'IS(Q)'!FW35</f>
        <v>0</v>
      </c>
      <c r="FX101" s="1322">
        <f>'IS(Q)'!FX35</f>
        <v>0</v>
      </c>
      <c r="FY101" s="1322">
        <f>'IS(Q)'!FY35*(FY99&lt;=운영종료)</f>
        <v>0</v>
      </c>
      <c r="FZ101" s="1323">
        <f>'IS(Q)'!FZ35*(FZ99&lt;=운영종료)</f>
        <v>0</v>
      </c>
      <c r="GA101" s="1321">
        <f>'IS(Q)'!GA35*(GA99&lt;=운영종료)</f>
        <v>0</v>
      </c>
      <c r="GB101" s="1322">
        <f>'IS(Q)'!GB35*(GB99&lt;=운영종료)</f>
        <v>0</v>
      </c>
      <c r="GC101" s="1322">
        <f>'IS(Q)'!GC35*(GC99&lt;=운영종료)</f>
        <v>0</v>
      </c>
      <c r="GD101" s="1323">
        <f>'IS(Q)'!GD35*(GD99&lt;=운영종료)</f>
        <v>0</v>
      </c>
    </row>
    <row r="102" spans="1:186" ht="17.100000000000001" customHeight="1">
      <c r="C102" s="1415"/>
      <c r="D102" s="1416" t="s">
        <v>1271</v>
      </c>
      <c r="E102" s="1352"/>
      <c r="F102" s="948">
        <f ca="1">SUM(O102:GD102)</f>
        <v>561.28717987253322</v>
      </c>
      <c r="G102" s="1417">
        <f>IF(ABS('IS(Q)'!G96)&lt;0.0001,0,'IS(Q)'!G96)</f>
        <v>0</v>
      </c>
      <c r="H102" s="1418">
        <f>IF(ABS('IS(Q)'!H96)&lt;0.0001,0,'IS(Q)'!H96)</f>
        <v>0</v>
      </c>
      <c r="I102" s="1418">
        <f>IF(ABS('IS(Q)'!I96)&lt;0.0001,0,'IS(Q)'!I96)</f>
        <v>0</v>
      </c>
      <c r="J102" s="1419">
        <f>IF(ABS('IS(Q)'!J96)&lt;0.0001,0,'IS(Q)'!J96)</f>
        <v>0</v>
      </c>
      <c r="K102" s="1417">
        <f>IF(ABS('IS(Q)'!K96)&lt;0.0001,0,'IS(Q)'!K96)</f>
        <v>5.3392381200000001</v>
      </c>
      <c r="L102" s="1418">
        <f>IF(ABS('IS(Q)'!L96)&lt;0.0001,0,'IS(Q)'!L96)</f>
        <v>0</v>
      </c>
      <c r="M102" s="1418">
        <f>IF(ABS('IS(Q)'!M96)&lt;0.0001,0,'IS(Q)'!M96)</f>
        <v>2.66961906</v>
      </c>
      <c r="N102" s="1419">
        <f>IF(ABS('IS(Q)'!N96)&lt;0.0001,0,'IS(Q)'!N96)</f>
        <v>0</v>
      </c>
      <c r="O102" s="1347">
        <f>IF(ABS('IS(Q)'!O96)&lt;0.0001,0,'IS(Q)'!O96)</f>
        <v>2.4279343</v>
      </c>
      <c r="P102" s="1348">
        <f>IF(ABS('IS(Q)'!P96)&lt;0.0001,0,'IS(Q)'!P96)</f>
        <v>3.1035064999999999</v>
      </c>
      <c r="Q102" s="1348">
        <f>IF(ABS('IS(Q)'!Q96)&lt;0.0001,0,'IS(Q)'!Q96)</f>
        <v>3.3778568999999998</v>
      </c>
      <c r="R102" s="1349">
        <f ca="1">IF(ABS('IS(Q)'!R96)&lt;0.0001,0,'IS(Q)'!R96)</f>
        <v>0</v>
      </c>
      <c r="S102" s="1347">
        <f ca="1">IF(ABS('IS(Q)'!S96)&lt;0.0001,0,'IS(Q)'!S96)</f>
        <v>1.1817257093159554</v>
      </c>
      <c r="T102" s="1348">
        <f ca="1">IF(ABS('IS(Q)'!T96)&lt;0.0001,0,'IS(Q)'!T96)</f>
        <v>0</v>
      </c>
      <c r="U102" s="1348">
        <f ca="1">IF(ABS('IS(Q)'!U96)&lt;0.0001,0,'IS(Q)'!U96)</f>
        <v>2.6177548046579777</v>
      </c>
      <c r="V102" s="1349">
        <f ca="1">IF(ABS('IS(Q)'!V96)&lt;0.0001,0,'IS(Q)'!V96)</f>
        <v>0</v>
      </c>
      <c r="W102" s="1347">
        <f ca="1">IF(ABS('IS(Q)'!W96)&lt;0.0001,0,'IS(Q)'!W96)</f>
        <v>4.0907390400324157</v>
      </c>
      <c r="X102" s="1348">
        <f ca="1">IF(ABS('IS(Q)'!X96)&lt;0.0001,0,'IS(Q)'!X96)</f>
        <v>0</v>
      </c>
      <c r="Y102" s="1348">
        <f ca="1">IF(ABS('IS(Q)'!Y96)&lt;0.0001,0,'IS(Q)'!Y96)</f>
        <v>3.3542469223451956</v>
      </c>
      <c r="Z102" s="1349">
        <f ca="1">IF(ABS('IS(Q)'!Z96)&lt;0.0001,0,'IS(Q)'!Z96)</f>
        <v>0</v>
      </c>
      <c r="AA102" s="1347">
        <f ca="1">IF(ABS('IS(Q)'!AA96)&lt;0.0001,0,'IS(Q)'!AA96)</f>
        <v>5.3210008518148584</v>
      </c>
      <c r="AB102" s="1348">
        <f ca="1">IF(ABS('IS(Q)'!AB96)&lt;0.0001,0,'IS(Q)'!AB96)</f>
        <v>0</v>
      </c>
      <c r="AC102" s="1348">
        <f ca="1">IF(ABS('IS(Q)'!AC96)&lt;0.0001,0,'IS(Q)'!AC96)</f>
        <v>4.3376238870800288</v>
      </c>
      <c r="AD102" s="1349">
        <f ca="1">IF(ABS('IS(Q)'!AD96)&lt;0.0001,0,'IS(Q)'!AD96)</f>
        <v>0</v>
      </c>
      <c r="AE102" s="1347">
        <f ca="1">IF(ABS('IS(Q)'!AE96)&lt;0.0001,0,'IS(Q)'!AE96)</f>
        <v>5.458964017411212</v>
      </c>
      <c r="AF102" s="1348">
        <f ca="1">IF(ABS('IS(Q)'!AF96)&lt;0.0001,0,'IS(Q)'!AF96)</f>
        <v>0</v>
      </c>
      <c r="AG102" s="1348">
        <f ca="1">IF(ABS('IS(Q)'!AG96)&lt;0.0001,0,'IS(Q)'!AG96)</f>
        <v>4.8982939522456208</v>
      </c>
      <c r="AH102" s="1349">
        <f ca="1">IF(ABS('IS(Q)'!AH96)&lt;0.0001,0,'IS(Q)'!AH96)</f>
        <v>0</v>
      </c>
      <c r="AI102" s="1347">
        <f ca="1">IF(ABS('IS(Q)'!AI96)&lt;0.0001,0,'IS(Q)'!AI96)</f>
        <v>5.6524938928134318</v>
      </c>
      <c r="AJ102" s="1348">
        <f ca="1">IF(ABS('IS(Q)'!AJ96)&lt;0.0001,0,'IS(Q)'!AJ96)</f>
        <v>0</v>
      </c>
      <c r="AK102" s="1348">
        <f ca="1">IF(ABS('IS(Q)'!AK96)&lt;0.0001,0,'IS(Q)'!AK96)</f>
        <v>5.2753939225295294</v>
      </c>
      <c r="AL102" s="1349">
        <f ca="1">IF(ABS('IS(Q)'!AL96)&lt;0.0001,0,'IS(Q)'!AL96)</f>
        <v>0</v>
      </c>
      <c r="AM102" s="1347">
        <f ca="1">IF(ABS('IS(Q)'!AM96)&lt;0.0001,0,'IS(Q)'!AM96)</f>
        <v>-4.8497906768835932</v>
      </c>
      <c r="AN102" s="1348">
        <f ca="1">IF(ABS('IS(Q)'!AN96)&lt;0.0001,0,'IS(Q)'!AN96)</f>
        <v>0</v>
      </c>
      <c r="AO102" s="1348">
        <f ca="1">IF(ABS('IS(Q)'!AO96)&lt;0.0001,0,'IS(Q)'!AO96)</f>
        <v>0.21280162282296752</v>
      </c>
      <c r="AP102" s="1349">
        <f ca="1">IF(ABS('IS(Q)'!AP96)&lt;0.0001,0,'IS(Q)'!AP96)</f>
        <v>0</v>
      </c>
      <c r="AQ102" s="1347">
        <f ca="1">IF(ABS('IS(Q)'!AQ96)&lt;0.0001,0,'IS(Q)'!AQ96)</f>
        <v>3.4614483997325038</v>
      </c>
      <c r="AR102" s="1348">
        <f ca="1">IF(ABS('IS(Q)'!AR96)&lt;0.0001,0,'IS(Q)'!AR96)</f>
        <v>0</v>
      </c>
      <c r="AS102" s="1348">
        <f ca="1">IF(ABS('IS(Q)'!AS96)&lt;0.0001,0,'IS(Q)'!AS96)</f>
        <v>1.8371250112777331</v>
      </c>
      <c r="AT102" s="1349">
        <f ca="1">IF(ABS('IS(Q)'!AT96)&lt;0.0001,0,'IS(Q)'!AT96)</f>
        <v>0</v>
      </c>
      <c r="AU102" s="1347">
        <f ca="1">IF(ABS('IS(Q)'!AU96)&lt;0.0001,0,'IS(Q)'!AU96)</f>
        <v>2.9755709659690339</v>
      </c>
      <c r="AV102" s="1348">
        <f ca="1">IF(ABS('IS(Q)'!AV96)&lt;0.0001,0,'IS(Q)'!AV96)</f>
        <v>0</v>
      </c>
      <c r="AW102" s="1348">
        <f ca="1">IF(ABS('IS(Q)'!AW96)&lt;0.0001,0,'IS(Q)'!AW96)</f>
        <v>2.4063479886233838</v>
      </c>
      <c r="AX102" s="1349">
        <f ca="1">IF(ABS('IS(Q)'!AX96)&lt;0.0001,0,'IS(Q)'!AX96)</f>
        <v>0</v>
      </c>
      <c r="AY102" s="1347">
        <f ca="1">IF(ABS('IS(Q)'!AY96)&lt;0.0001,0,'IS(Q)'!AY96)</f>
        <v>1.999875044490345</v>
      </c>
      <c r="AZ102" s="1348">
        <f ca="1">IF(ABS('IS(Q)'!AZ96)&lt;0.0001,0,'IS(Q)'!AZ96)</f>
        <v>0</v>
      </c>
      <c r="BA102" s="1348">
        <f ca="1">IF(ABS('IS(Q)'!BA96)&lt;0.0001,0,'IS(Q)'!BA96)</f>
        <v>2.2031115165568633</v>
      </c>
      <c r="BB102" s="1349">
        <f ca="1">IF(ABS('IS(Q)'!BB96)&lt;0.0001,0,'IS(Q)'!BB96)</f>
        <v>0</v>
      </c>
      <c r="BC102" s="1347">
        <f ca="1">IF(ABS('IS(Q)'!BC96)&lt;0.0001,0,'IS(Q)'!BC96)</f>
        <v>6.4013424149609364</v>
      </c>
      <c r="BD102" s="1348">
        <f ca="1">IF(ABS('IS(Q)'!BD96)&lt;0.0001,0,'IS(Q)'!BD96)</f>
        <v>0</v>
      </c>
      <c r="BE102" s="1348">
        <f ca="1">IF(ABS('IS(Q)'!BE96)&lt;0.0001,0,'IS(Q)'!BE96)</f>
        <v>4.3022269657588987</v>
      </c>
      <c r="BF102" s="1349">
        <f ca="1">IF(ABS('IS(Q)'!BF96)&lt;0.0001,0,'IS(Q)'!BF96)</f>
        <v>0</v>
      </c>
      <c r="BG102" s="1347">
        <f ca="1">IF(ABS('IS(Q)'!BG96)&lt;0.0001,0,'IS(Q)'!BG96)</f>
        <v>3.1847857842038962</v>
      </c>
      <c r="BH102" s="1348">
        <f ca="1">IF(ABS('IS(Q)'!BH96)&lt;0.0001,0,'IS(Q)'!BH96)</f>
        <v>0</v>
      </c>
      <c r="BI102" s="1348">
        <f ca="1">IF(ABS('IS(Q)'!BI96)&lt;0.0001,0,'IS(Q)'!BI96)</f>
        <v>3.7435063749813962</v>
      </c>
      <c r="BJ102" s="1349">
        <f ca="1">IF(ABS('IS(Q)'!BJ96)&lt;0.0001,0,'IS(Q)'!BJ96)</f>
        <v>0</v>
      </c>
      <c r="BK102" s="1420">
        <f ca="1">IF(ABS('IS(Q)'!BK96)&lt;0.0001,0,'IS(Q)'!BK96)</f>
        <v>4.2298505993274915</v>
      </c>
      <c r="BL102" s="1348">
        <f ca="1">IF(ABS('IS(Q)'!BL96)&lt;0.0001,0,'IS(Q)'!BL96)</f>
        <v>0</v>
      </c>
      <c r="BM102" s="1348">
        <f ca="1">IF(ABS('IS(Q)'!BM96)&lt;0.0001,0,'IS(Q)'!BM96)</f>
        <v>3.9866784871544403</v>
      </c>
      <c r="BN102" s="1349">
        <f ca="1">IF(ABS('IS(Q)'!BN96)&lt;0.0001,0,'IS(Q)'!BN96)</f>
        <v>0</v>
      </c>
      <c r="BO102" s="1347">
        <f ca="1">IF(ABS('IS(Q)'!BO96)&lt;0.0001,0,'IS(Q)'!BO96)</f>
        <v>5.9395421956286611</v>
      </c>
      <c r="BP102" s="1348">
        <f ca="1">IF(ABS('IS(Q)'!BP96)&lt;0.0001,0,'IS(Q)'!BP96)</f>
        <v>0</v>
      </c>
      <c r="BQ102" s="1348">
        <f ca="1">IF(ABS('IS(Q)'!BQ96)&lt;0.0001,0,'IS(Q)'!BQ96)</f>
        <v>4.9631103413915492</v>
      </c>
      <c r="BR102" s="1349">
        <f ca="1">IF(ABS('IS(Q)'!BR96)&lt;0.0001,0,'IS(Q)'!BR96)</f>
        <v>0</v>
      </c>
      <c r="BS102" s="1347">
        <f ca="1">IF(ABS('IS(Q)'!BS96)&lt;0.0001,0,'IS(Q)'!BS96)</f>
        <v>4.8316870667242142</v>
      </c>
      <c r="BT102" s="1348">
        <f ca="1">IF(ABS('IS(Q)'!BT96)&lt;0.0001,0,'IS(Q)'!BT96)</f>
        <v>0</v>
      </c>
      <c r="BU102" s="1348">
        <f ca="1">IF(ABS('IS(Q)'!BU96)&lt;0.0001,0,'IS(Q)'!BU96)</f>
        <v>4.8973987040578892</v>
      </c>
      <c r="BV102" s="1349">
        <f ca="1">IF(ABS('IS(Q)'!BV96)&lt;0.0001,0,'IS(Q)'!BV96)</f>
        <v>0</v>
      </c>
      <c r="BW102" s="1347">
        <f ca="1">IF(ABS('IS(Q)'!BW96)&lt;0.0001,0,'IS(Q)'!BW96)</f>
        <v>3.4216868249380781</v>
      </c>
      <c r="BX102" s="1348">
        <f ca="1">IF(ABS('IS(Q)'!BX96)&lt;0.0001,0,'IS(Q)'!BX96)</f>
        <v>0</v>
      </c>
      <c r="BY102" s="1348">
        <f ca="1">IF(ABS('IS(Q)'!BY96)&lt;0.0001,0,'IS(Q)'!BY96)</f>
        <v>4.1595427644979823</v>
      </c>
      <c r="BZ102" s="1349">
        <f ca="1">IF(ABS('IS(Q)'!BZ96)&lt;0.0001,0,'IS(Q)'!BZ96)</f>
        <v>0</v>
      </c>
      <c r="CA102" s="1347">
        <f ca="1">IF(ABS('IS(Q)'!CA96)&lt;0.0001,0,'IS(Q)'!CA96)</f>
        <v>6.8558298399699851</v>
      </c>
      <c r="CB102" s="1348">
        <f ca="1">IF(ABS('IS(Q)'!CB96)&lt;0.0001,0,'IS(Q)'!CB96)</f>
        <v>0</v>
      </c>
      <c r="CC102" s="1348">
        <f ca="1">IF(ABS('IS(Q)'!CC96)&lt;0.0001,0,'IS(Q)'!CC96)</f>
        <v>5.5076863022339877</v>
      </c>
      <c r="CD102" s="1349">
        <f ca="1">IF(ABS('IS(Q)'!CD96)&lt;0.0001,0,'IS(Q)'!CD96)</f>
        <v>0</v>
      </c>
      <c r="CE102" s="1347">
        <f ca="1">IF(ABS('IS(Q)'!CE96)&lt;0.0001,0,'IS(Q)'!CE96)</f>
        <v>4.9916396024867993</v>
      </c>
      <c r="CF102" s="1348">
        <f ca="1">IF(ABS('IS(Q)'!CF96)&lt;0.0001,0,'IS(Q)'!CF96)</f>
        <v>0</v>
      </c>
      <c r="CG102" s="1348">
        <f ca="1">IF(ABS('IS(Q)'!CG96)&lt;0.0001,0,'IS(Q)'!CG96)</f>
        <v>5.249662952360393</v>
      </c>
      <c r="CH102" s="1349">
        <f ca="1">IF(ABS('IS(Q)'!CH96)&lt;0.0001,0,'IS(Q)'!CH96)</f>
        <v>0</v>
      </c>
      <c r="CI102" s="1347">
        <f ca="1">IF(ABS('IS(Q)'!CI96)&lt;0.0001,0,'IS(Q)'!CI96)</f>
        <v>4.1099691834245107</v>
      </c>
      <c r="CJ102" s="1348">
        <f ca="1">IF(ABS('IS(Q)'!CJ96)&lt;0.0001,0,'IS(Q)'!CJ96)</f>
        <v>0</v>
      </c>
      <c r="CK102" s="1348">
        <f ca="1">IF(ABS('IS(Q)'!CK96)&lt;0.0001,0,'IS(Q)'!CK96)</f>
        <v>4.679816067892447</v>
      </c>
      <c r="CL102" s="1349">
        <f ca="1">IF(ABS('IS(Q)'!CL96)&lt;0.0001,0,'IS(Q)'!CL96)</f>
        <v>0</v>
      </c>
      <c r="CM102" s="1347">
        <f ca="1">IF(ABS('IS(Q)'!CM96)&lt;0.0001,0,'IS(Q)'!CM96)</f>
        <v>4.854599895664677</v>
      </c>
      <c r="CN102" s="1348">
        <f ca="1">IF(ABS('IS(Q)'!CN96)&lt;0.0001,0,'IS(Q)'!CN96)</f>
        <v>0</v>
      </c>
      <c r="CO102" s="1348">
        <f ca="1">IF(ABS('IS(Q)'!CO96)&lt;0.0001,0,'IS(Q)'!CO96)</f>
        <v>4.7672079817785624</v>
      </c>
      <c r="CP102" s="1349">
        <f ca="1">IF(ABS('IS(Q)'!CP96)&lt;0.0001,0,'IS(Q)'!CP96)</f>
        <v>0</v>
      </c>
      <c r="CQ102" s="1347">
        <f ca="1">IF(ABS('IS(Q)'!CQ96)&lt;0.0001,0,'IS(Q)'!CQ96)</f>
        <v>8.4343777507291975</v>
      </c>
      <c r="CR102" s="1348">
        <f ca="1">IF(ABS('IS(Q)'!CR96)&lt;0.0001,0,'IS(Q)'!CR96)</f>
        <v>0</v>
      </c>
      <c r="CS102" s="1348">
        <f ca="1">IF(ABS('IS(Q)'!CS96)&lt;0.0001,0,'IS(Q)'!CS96)</f>
        <v>6.6007928662538653</v>
      </c>
      <c r="CT102" s="1349">
        <f ca="1">IF(ABS('IS(Q)'!CT96)&lt;0.0001,0,'IS(Q)'!CT96)</f>
        <v>0</v>
      </c>
      <c r="CU102" s="1347">
        <f ca="1">IF(ABS('IS(Q)'!CU96)&lt;0.0001,0,'IS(Q)'!CU96)</f>
        <v>7.4904767070843548</v>
      </c>
      <c r="CV102" s="1348">
        <f ca="1">IF(ABS('IS(Q)'!CV96)&lt;0.0001,0,'IS(Q)'!CV96)</f>
        <v>0</v>
      </c>
      <c r="CW102" s="1348">
        <f ca="1">IF(ABS('IS(Q)'!CW96)&lt;0.0001,0,'IS(Q)'!CW96)</f>
        <v>7.0456347866691296</v>
      </c>
      <c r="CX102" s="1349">
        <f ca="1">IF(ABS('IS(Q)'!CX96)&lt;0.0001,0,'IS(Q)'!CX96)</f>
        <v>0</v>
      </c>
      <c r="CY102" s="1347">
        <f ca="1">IF(ABS('IS(Q)'!CY96)&lt;0.0001,0,'IS(Q)'!CY96)</f>
        <v>10.789315007040472</v>
      </c>
      <c r="CZ102" s="1348">
        <f ca="1">IF(ABS('IS(Q)'!CZ96)&lt;0.0001,0,'IS(Q)'!CZ96)</f>
        <v>0</v>
      </c>
      <c r="DA102" s="1348">
        <f ca="1">IF(ABS('IS(Q)'!DA96)&lt;0.0001,0,'IS(Q)'!DA96)</f>
        <v>8.9174748968547988</v>
      </c>
      <c r="DB102" s="1349">
        <f ca="1">IF(ABS('IS(Q)'!DB96)&lt;0.0001,0,'IS(Q)'!DB96)</f>
        <v>0</v>
      </c>
      <c r="DC102" s="1347">
        <f ca="1">IF(ABS('IS(Q)'!DC96)&lt;0.0001,0,'IS(Q)'!DC96)</f>
        <v>8.4325183877856773</v>
      </c>
      <c r="DD102" s="1348">
        <f ca="1">IF(ABS('IS(Q)'!DD96)&lt;0.0001,0,'IS(Q)'!DD96)</f>
        <v>0</v>
      </c>
      <c r="DE102" s="1348">
        <f ca="1">IF(ABS('IS(Q)'!DE96)&lt;0.0001,0,'IS(Q)'!DE96)</f>
        <v>8.674996642320238</v>
      </c>
      <c r="DF102" s="1349">
        <f ca="1">IF(ABS('IS(Q)'!DF96)&lt;0.0001,0,'IS(Q)'!DF96)</f>
        <v>0</v>
      </c>
      <c r="DG102" s="1347">
        <f ca="1">IF(ABS('IS(Q)'!DG96)&lt;0.0001,0,'IS(Q)'!DG96)</f>
        <v>8.8248409878173959</v>
      </c>
      <c r="DH102" s="1348">
        <f ca="1">IF(ABS('IS(Q)'!DH96)&lt;0.0001,0,'IS(Q)'!DH96)</f>
        <v>0</v>
      </c>
      <c r="DI102" s="1348">
        <f ca="1">IF(ABS('IS(Q)'!DI96)&lt;0.0001,0,'IS(Q)'!DI96)</f>
        <v>8.7499188150688294</v>
      </c>
      <c r="DJ102" s="1349">
        <f ca="1">IF(ABS('IS(Q)'!DJ96)&lt;0.0001,0,'IS(Q)'!DJ96)</f>
        <v>0</v>
      </c>
      <c r="DK102" s="1347">
        <f ca="1">IF(ABS('IS(Q)'!DK96)&lt;0.0001,0,'IS(Q)'!DK96)</f>
        <v>10.577852641783352</v>
      </c>
      <c r="DL102" s="1348">
        <f ca="1">IF(ABS('IS(Q)'!DL96)&lt;0.0001,0,'IS(Q)'!DL96)</f>
        <v>0</v>
      </c>
      <c r="DM102" s="1348">
        <f ca="1">IF(ABS('IS(Q)'!DM96)&lt;0.0001,0,'IS(Q)'!DM96)</f>
        <v>9.6638857284261146</v>
      </c>
      <c r="DN102" s="1349">
        <f ca="1">IF(ABS('IS(Q)'!DN96)&lt;0.0001,0,'IS(Q)'!DN96)</f>
        <v>0</v>
      </c>
      <c r="DO102" s="1347">
        <f ca="1">IF(ABS('IS(Q)'!DO96)&lt;0.0001,0,'IS(Q)'!DO96)</f>
        <v>10.446526029829329</v>
      </c>
      <c r="DP102" s="1348">
        <f ca="1">IF(ABS('IS(Q)'!DP96)&lt;0.0001,0,'IS(Q)'!DP96)</f>
        <v>0</v>
      </c>
      <c r="DQ102" s="1348">
        <f ca="1">IF(ABS('IS(Q)'!DQ96)&lt;0.0001,0,'IS(Q)'!DQ96)</f>
        <v>10.055205879127737</v>
      </c>
      <c r="DR102" s="1349">
        <f ca="1">IF(ABS('IS(Q)'!DR96)&lt;0.0001,0,'IS(Q)'!DR96)</f>
        <v>0</v>
      </c>
      <c r="DS102" s="1347">
        <f ca="1">IF(ABS('IS(Q)'!DS96)&lt;0.0001,0,'IS(Q)'!DS96)</f>
        <v>8.8061030088281882</v>
      </c>
      <c r="DT102" s="1348">
        <f ca="1">IF(ABS('IS(Q)'!DT96)&lt;0.0001,0,'IS(Q)'!DT96)</f>
        <v>0</v>
      </c>
      <c r="DU102" s="1348">
        <f ca="1">IF(ABS('IS(Q)'!DU96)&lt;0.0001,0,'IS(Q)'!DU96)</f>
        <v>9.4306544439779714</v>
      </c>
      <c r="DV102" s="1349">
        <f ca="1">IF(ABS('IS(Q)'!DV96)&lt;0.0001,0,'IS(Q)'!DV96)</f>
        <v>0</v>
      </c>
      <c r="DW102" s="1347">
        <f ca="1">IF(ABS('IS(Q)'!DW96)&lt;0.0001,0,'IS(Q)'!DW96)</f>
        <v>11.984834051414396</v>
      </c>
      <c r="DX102" s="1348">
        <f ca="1">IF(ABS('IS(Q)'!DX96)&lt;0.0001,0,'IS(Q)'!DX96)</f>
        <v>0</v>
      </c>
      <c r="DY102" s="1348">
        <f ca="1">IF(ABS('IS(Q)'!DY96)&lt;0.0001,0,'IS(Q)'!DY96)</f>
        <v>10.707744247696194</v>
      </c>
      <c r="DZ102" s="1349">
        <f ca="1">IF(ABS('IS(Q)'!DZ96)&lt;0.0001,0,'IS(Q)'!DZ96)</f>
        <v>0</v>
      </c>
      <c r="EA102" s="1347">
        <f ca="1">IF(ABS('IS(Q)'!EA96)&lt;0.0001,0,'IS(Q)'!EA96)</f>
        <v>8.5295067754893807</v>
      </c>
      <c r="EB102" s="1348">
        <f ca="1">IF(ABS('IS(Q)'!EB96)&lt;0.0001,0,'IS(Q)'!EB96)</f>
        <v>0</v>
      </c>
      <c r="EC102" s="1348">
        <f ca="1">IF(ABS('IS(Q)'!EC96)&lt;0.0001,0,'IS(Q)'!EC96)</f>
        <v>9.6186255115928017</v>
      </c>
      <c r="ED102" s="1349">
        <f ca="1">IF(ABS('IS(Q)'!ED96)&lt;0.0001,0,'IS(Q)'!ED96)</f>
        <v>0</v>
      </c>
      <c r="EE102" s="1347">
        <f ca="1">IF(ABS('IS(Q)'!EE96)&lt;0.0001,0,'IS(Q)'!EE96)</f>
        <v>11.187749955096933</v>
      </c>
      <c r="EF102" s="1348">
        <f ca="1">IF(ABS('IS(Q)'!EF96)&lt;0.0001,0,'IS(Q)'!EF96)</f>
        <v>0</v>
      </c>
      <c r="EG102" s="1348">
        <f ca="1">IF(ABS('IS(Q)'!EG96)&lt;0.0001,0,'IS(Q)'!EG96)</f>
        <v>10.403187733344883</v>
      </c>
      <c r="EH102" s="1349">
        <f ca="1">IF(ABS('IS(Q)'!EH96)&lt;0.0001,0,'IS(Q)'!EH96)</f>
        <v>0</v>
      </c>
      <c r="EI102" s="1347">
        <f ca="1">IF(ABS('IS(Q)'!EI96)&lt;0.0001,0,'IS(Q)'!EI96)</f>
        <v>13.062679172880564</v>
      </c>
      <c r="EJ102" s="1348">
        <f ca="1">IF(ABS('IS(Q)'!EJ96)&lt;0.0001,0,'IS(Q)'!EJ96)</f>
        <v>0</v>
      </c>
      <c r="EK102" s="1348">
        <f ca="1">IF(ABS('IS(Q)'!EK96)&lt;0.0001,0,'IS(Q)'!EK96)</f>
        <v>11.732933453112745</v>
      </c>
      <c r="EL102" s="1349">
        <f ca="1">IF(ABS('IS(Q)'!EL96)&lt;0.0001,0,'IS(Q)'!EL96)</f>
        <v>0</v>
      </c>
      <c r="EM102" s="1347">
        <f ca="1">IF(ABS('IS(Q)'!EM96)&lt;0.0001,0,'IS(Q)'!EM96)</f>
        <v>10.982582085766012</v>
      </c>
      <c r="EN102" s="1348">
        <f ca="1">IF(ABS('IS(Q)'!EN96)&lt;0.0001,0,'IS(Q)'!EN96)</f>
        <v>0</v>
      </c>
      <c r="EO102" s="1348">
        <f ca="1">IF(ABS('IS(Q)'!EO96)&lt;0.0001,0,'IS(Q)'!EO96)</f>
        <v>11.357757769439365</v>
      </c>
      <c r="EP102" s="1349">
        <f ca="1">IF(ABS('IS(Q)'!EP96)&lt;0.0001,0,'IS(Q)'!EP96)</f>
        <v>0</v>
      </c>
      <c r="EQ102" s="1347">
        <f ca="1">IF(ABS('IS(Q)'!EQ96)&lt;0.0001,0,'IS(Q)'!EQ96)</f>
        <v>11.538320590436854</v>
      </c>
      <c r="ER102" s="1348">
        <f ca="1">IF(ABS('IS(Q)'!ER96)&lt;0.0001,0,'IS(Q)'!ER96)</f>
        <v>0</v>
      </c>
      <c r="ES102" s="1348">
        <f ca="1">IF(ABS('IS(Q)'!ES96)&lt;0.0001,0,'IS(Q)'!ES96)</f>
        <v>11.448039179938164</v>
      </c>
      <c r="ET102" s="1349">
        <f ca="1">IF(ABS('IS(Q)'!ET96)&lt;0.0001,0,'IS(Q)'!ET96)</f>
        <v>0</v>
      </c>
      <c r="EU102" s="1347">
        <f ca="1">IF(ABS('IS(Q)'!EU96)&lt;0.0001,0,'IS(Q)'!EU96)</f>
        <v>15.160704565208562</v>
      </c>
      <c r="EV102" s="1348">
        <f ca="1">IF(ABS('IS(Q)'!EV96)&lt;0.0001,0,'IS(Q)'!EV96)</f>
        <v>0</v>
      </c>
      <c r="EW102" s="1348">
        <f ca="1">IF(ABS('IS(Q)'!EW96)&lt;0.0001,0,'IS(Q)'!EW96)</f>
        <v>13.304371872573338</v>
      </c>
      <c r="EX102" s="1349">
        <f ca="1">IF(ABS('IS(Q)'!EX96)&lt;0.0001,0,'IS(Q)'!EX96)</f>
        <v>0</v>
      </c>
      <c r="EY102" s="1347">
        <f ca="1">IF(ABS('IS(Q)'!EY96)&lt;0.0001,0,'IS(Q)'!EY96)</f>
        <v>13.391596814025888</v>
      </c>
      <c r="EZ102" s="1348">
        <f ca="1">IF(ABS('IS(Q)'!EZ96)&lt;0.0001,0,'IS(Q)'!EZ96)</f>
        <v>0</v>
      </c>
      <c r="FA102" s="1348">
        <f ca="1">IF(ABS('IS(Q)'!FA96)&lt;0.0001,0,'IS(Q)'!FA96)</f>
        <v>13.347984343299624</v>
      </c>
      <c r="FB102" s="1349">
        <f ca="1">IF(ABS('IS(Q)'!FB96)&lt;0.0001,0,'IS(Q)'!FB96)</f>
        <v>0</v>
      </c>
      <c r="FC102" s="1347">
        <f ca="1">IF(ABS('IS(Q)'!FC96)&lt;0.0001,0,'IS(Q)'!FC96)</f>
        <v>13.940300620866083</v>
      </c>
      <c r="FD102" s="1348">
        <f ca="1">IF(ABS('IS(Q)'!FD96)&lt;0.0001,0,'IS(Q)'!FD96)</f>
        <v>0</v>
      </c>
      <c r="FE102" s="1348">
        <f ca="1">IF(ABS('IS(Q)'!FE96)&lt;0.0001,0,'IS(Q)'!FE96)</f>
        <v>13.644142482082861</v>
      </c>
      <c r="FF102" s="1349">
        <f ca="1">IF(ABS('IS(Q)'!FF96)&lt;0.0001,0,'IS(Q)'!FF96)</f>
        <v>0</v>
      </c>
      <c r="FG102" s="1347">
        <f ca="1">IF(ABS('IS(Q)'!FG96)&lt;0.0001,0,'IS(Q)'!FG96)</f>
        <v>15.974512873760204</v>
      </c>
      <c r="FH102" s="1348">
        <f ca="1">IF(ABS('IS(Q)'!FH96)&lt;0.0001,0,'IS(Q)'!FH96)</f>
        <v>0</v>
      </c>
      <c r="FI102" s="1348">
        <f ca="1">IF(ABS('IS(Q)'!FI96)&lt;0.0001,0,'IS(Q)'!FI96)</f>
        <v>14.809327677921504</v>
      </c>
      <c r="FJ102" s="1349">
        <f ca="1">IF(ABS('IS(Q)'!FJ96)&lt;0.0001,0,'IS(Q)'!FJ96)</f>
        <v>0</v>
      </c>
      <c r="FK102" s="1347">
        <f ca="1">IF(ABS('IS(Q)'!FK96)&lt;0.0001,0,'IS(Q)'!FK96)</f>
        <v>15.121981594717568</v>
      </c>
      <c r="FL102" s="1348">
        <f ca="1">SUM(FL100:FL101)</f>
        <v>0.67592700000019157</v>
      </c>
      <c r="FM102" s="1348">
        <f ca="1">IF(ABS('IS(Q)'!FM96)&lt;0.0001,0,'IS(Q)'!FM96)</f>
        <v>0</v>
      </c>
      <c r="FN102" s="1349">
        <f ca="1">IF(ABS('IS(Q)'!FN96)&lt;0.0001,0,'IS(Q)'!FN96)</f>
        <v>0</v>
      </c>
      <c r="FO102" s="1347">
        <f ca="1">FO100</f>
        <v>0</v>
      </c>
      <c r="FP102" s="1348">
        <f ca="1">IF(ABS('IS(Q)'!FP96)&lt;0.0001,0,'IS(Q)'!FP96)</f>
        <v>0</v>
      </c>
      <c r="FQ102" s="1348">
        <f ca="1">IF(ABS('IS(Q)'!FQ96)&lt;0.0001,0,'IS(Q)'!FQ96)</f>
        <v>0</v>
      </c>
      <c r="FR102" s="1349">
        <f ca="1">IF(ABS('IS(Q)'!FR96)&lt;0.0001,0,'IS(Q)'!FR96)</f>
        <v>0</v>
      </c>
      <c r="FS102" s="1347">
        <f ca="1">IF(ABS('IS(Q)'!FS96)&lt;0.0001,0,'IS(Q)'!FS96)</f>
        <v>0</v>
      </c>
      <c r="FT102" s="1348">
        <f ca="1">IF(ABS('IS(Q)'!FT96)&lt;0.0001,0,'IS(Q)'!FT96)</f>
        <v>0</v>
      </c>
      <c r="FU102" s="1348">
        <f ca="1">IF(ABS('IS(Q)'!FU96)&lt;0.0001,0,'IS(Q)'!FU96)</f>
        <v>0</v>
      </c>
      <c r="FV102" s="1349">
        <f ca="1">IF(ABS('IS(Q)'!FV96)&lt;0.0001,0,'IS(Q)'!FV96)</f>
        <v>0</v>
      </c>
      <c r="FW102" s="1347">
        <f ca="1">IF(ABS('IS(Q)'!FW96)&lt;0.0001,0,'IS(Q)'!FW96)</f>
        <v>0</v>
      </c>
      <c r="FX102" s="1348">
        <f ca="1">IF(ABS('IS(Q)'!FX96)&lt;0.0001,0,'IS(Q)'!FX96)</f>
        <v>0</v>
      </c>
      <c r="FY102" s="1348">
        <f ca="1">IF(ABS('IS(Q)'!FY96)&lt;0.0001,0,'IS(Q)'!FY96)</f>
        <v>0</v>
      </c>
      <c r="FZ102" s="1349">
        <f ca="1">IF(ABS('IS(Q)'!FZ96)&lt;0.0001,0,'IS(Q)'!FZ96)</f>
        <v>0</v>
      </c>
      <c r="GA102" s="1347">
        <f ca="1">IF(ABS('IS(Q)'!GA96)&lt;0.0001,0,'IS(Q)'!GA96)</f>
        <v>0</v>
      </c>
      <c r="GB102" s="1348">
        <f ca="1">IF(ABS('IS(Q)'!GB96)&lt;0.0001,0,'IS(Q)'!GB96)</f>
        <v>0</v>
      </c>
      <c r="GC102" s="1348">
        <f ca="1">IF(ABS('IS(Q)'!GC96)&lt;0.0001,0,'IS(Q)'!GC96)</f>
        <v>0</v>
      </c>
      <c r="GD102" s="1349">
        <f ca="1">IF(ABS('IS(Q)'!GD96)&lt;0.0001,0,'IS(Q)'!GD96)</f>
        <v>0</v>
      </c>
    </row>
    <row r="103" spans="1:186" ht="17.100000000000001" customHeight="1">
      <c r="C103" s="952"/>
      <c r="D103" s="777" t="s">
        <v>1096</v>
      </c>
      <c r="E103" s="747"/>
      <c r="F103" s="645"/>
      <c r="G103" s="1375">
        <f t="shared" ref="G103:BR103" si="118">IF(ABS(G100+G101-G102)&lt;0.0000001,0,G100+G101-G102)</f>
        <v>0</v>
      </c>
      <c r="H103" s="1376">
        <f t="shared" si="118"/>
        <v>0</v>
      </c>
      <c r="I103" s="1376">
        <f t="shared" si="118"/>
        <v>0</v>
      </c>
      <c r="J103" s="1377">
        <f t="shared" si="118"/>
        <v>5.3392381200000001</v>
      </c>
      <c r="K103" s="1375">
        <f t="shared" si="118"/>
        <v>0</v>
      </c>
      <c r="L103" s="1376">
        <f t="shared" si="118"/>
        <v>0</v>
      </c>
      <c r="M103" s="1376">
        <f t="shared" si="118"/>
        <v>-2.66961906</v>
      </c>
      <c r="N103" s="1421">
        <f>N105-N104</f>
        <v>5.5314407599999997</v>
      </c>
      <c r="O103" s="735">
        <f t="shared" si="118"/>
        <v>3.1035064599999997</v>
      </c>
      <c r="P103" s="736">
        <f t="shared" si="118"/>
        <v>0</v>
      </c>
      <c r="Q103" s="736">
        <f t="shared" si="118"/>
        <v>-3.3778568999999998</v>
      </c>
      <c r="R103" s="737">
        <f t="shared" ca="1" si="118"/>
        <v>1.8576527093159556</v>
      </c>
      <c r="S103" s="735">
        <f t="shared" ca="1" si="118"/>
        <v>0.67592700000000017</v>
      </c>
      <c r="T103" s="736">
        <f t="shared" ca="1" si="118"/>
        <v>0.67592700000000017</v>
      </c>
      <c r="U103" s="736">
        <f t="shared" ca="1" si="118"/>
        <v>-1.9418278046579776</v>
      </c>
      <c r="V103" s="737">
        <f t="shared" ca="1" si="118"/>
        <v>4.7666660400324137</v>
      </c>
      <c r="W103" s="735">
        <f t="shared" ca="1" si="118"/>
        <v>0.67592699999999795</v>
      </c>
      <c r="X103" s="736">
        <f t="shared" ca="1" si="118"/>
        <v>0.67592699999999795</v>
      </c>
      <c r="Y103" s="736">
        <f t="shared" ca="1" si="118"/>
        <v>-2.6783199223451977</v>
      </c>
      <c r="Z103" s="737">
        <f t="shared" ca="1" si="118"/>
        <v>5.9969278518148599</v>
      </c>
      <c r="AA103" s="735">
        <f t="shared" ca="1" si="118"/>
        <v>0.6759270000000015</v>
      </c>
      <c r="AB103" s="736">
        <f t="shared" ca="1" si="118"/>
        <v>0.6759270000000015</v>
      </c>
      <c r="AC103" s="736">
        <f t="shared" ca="1" si="118"/>
        <v>-3.6616968870800273</v>
      </c>
      <c r="AD103" s="737">
        <f t="shared" ca="1" si="118"/>
        <v>6.1348910174112143</v>
      </c>
      <c r="AE103" s="735">
        <f t="shared" ca="1" si="118"/>
        <v>0.67592700000000239</v>
      </c>
      <c r="AF103" s="736">
        <f t="shared" ca="1" si="118"/>
        <v>0.67592700000000239</v>
      </c>
      <c r="AG103" s="1422">
        <f t="shared" ca="1" si="118"/>
        <v>-4.2223669522456184</v>
      </c>
      <c r="AH103" s="737">
        <f t="shared" ca="1" si="118"/>
        <v>6.3284208928134404</v>
      </c>
      <c r="AI103" s="735">
        <f t="shared" ca="1" si="118"/>
        <v>0.6759270000000086</v>
      </c>
      <c r="AJ103" s="736">
        <f t="shared" ca="1" si="118"/>
        <v>0.6759270000000086</v>
      </c>
      <c r="AK103" s="1422">
        <f t="shared" ca="1" si="118"/>
        <v>-4.5994669225295208</v>
      </c>
      <c r="AL103" s="737">
        <f t="shared" ca="1" si="118"/>
        <v>-4.1738636768835855</v>
      </c>
      <c r="AM103" s="735">
        <f t="shared" ca="1" si="118"/>
        <v>0.67592700000000772</v>
      </c>
      <c r="AN103" s="736">
        <f t="shared" ca="1" si="118"/>
        <v>0.67592700000000772</v>
      </c>
      <c r="AO103" s="1422">
        <f t="shared" ca="1" si="118"/>
        <v>0.46312537717704017</v>
      </c>
      <c r="AP103" s="737">
        <f t="shared" ca="1" si="118"/>
        <v>4.1373753997325062</v>
      </c>
      <c r="AQ103" s="735">
        <f t="shared" ca="1" si="118"/>
        <v>0.67592700000000239</v>
      </c>
      <c r="AR103" s="736">
        <f t="shared" ca="1" si="118"/>
        <v>0.67592700000000239</v>
      </c>
      <c r="AS103" s="1422">
        <f t="shared" ca="1" si="118"/>
        <v>-1.1611980112777307</v>
      </c>
      <c r="AT103" s="737">
        <f t="shared" ca="1" si="118"/>
        <v>3.6514979659690372</v>
      </c>
      <c r="AU103" s="735">
        <f t="shared" ca="1" si="118"/>
        <v>0.67592700000000328</v>
      </c>
      <c r="AV103" s="736">
        <f t="shared" ca="1" si="118"/>
        <v>0.67592700000000328</v>
      </c>
      <c r="AW103" s="1422">
        <f t="shared" ca="1" si="118"/>
        <v>-1.7304209886233806</v>
      </c>
      <c r="AX103" s="737">
        <f t="shared" ca="1" si="118"/>
        <v>2.6758020444903461</v>
      </c>
      <c r="AY103" s="735">
        <f t="shared" ca="1" si="118"/>
        <v>0.67592700000000105</v>
      </c>
      <c r="AZ103" s="736">
        <f t="shared" ca="1" si="118"/>
        <v>0.67592700000000105</v>
      </c>
      <c r="BA103" s="1422">
        <f t="shared" ca="1" si="118"/>
        <v>-1.5271845165568623</v>
      </c>
      <c r="BB103" s="737">
        <f t="shared" ca="1" si="118"/>
        <v>7.0772694149609352</v>
      </c>
      <c r="BC103" s="735">
        <f t="shared" ca="1" si="118"/>
        <v>0.67592699999999883</v>
      </c>
      <c r="BD103" s="736">
        <f t="shared" ca="1" si="118"/>
        <v>0.67592699999999883</v>
      </c>
      <c r="BE103" s="1422">
        <f t="shared" ca="1" si="118"/>
        <v>-3.6262999657588999</v>
      </c>
      <c r="BF103" s="737">
        <f t="shared" ca="1" si="118"/>
        <v>3.8607127842038924</v>
      </c>
      <c r="BG103" s="735">
        <f t="shared" ca="1" si="118"/>
        <v>0.67592699999999617</v>
      </c>
      <c r="BH103" s="736">
        <f t="shared" ca="1" si="118"/>
        <v>0.67592699999999617</v>
      </c>
      <c r="BI103" s="1422">
        <f t="shared" ca="1" si="118"/>
        <v>-3.0675793749814</v>
      </c>
      <c r="BJ103" s="737">
        <f t="shared" ca="1" si="118"/>
        <v>4.9057775993274806</v>
      </c>
      <c r="BK103" s="735">
        <f t="shared" ca="1" si="118"/>
        <v>0.67592699999998906</v>
      </c>
      <c r="BL103" s="736">
        <f t="shared" ca="1" si="118"/>
        <v>0.67592699999998906</v>
      </c>
      <c r="BM103" s="1422">
        <f t="shared" ca="1" si="118"/>
        <v>-3.3107514871544512</v>
      </c>
      <c r="BN103" s="737">
        <f t="shared" ca="1" si="118"/>
        <v>6.6154691956286467</v>
      </c>
      <c r="BO103" s="735">
        <f t="shared" ca="1" si="118"/>
        <v>0.67592699999998551</v>
      </c>
      <c r="BP103" s="736">
        <f t="shared" ca="1" si="118"/>
        <v>0.67592699999998551</v>
      </c>
      <c r="BQ103" s="1422">
        <f t="shared" ca="1" si="118"/>
        <v>-4.2871833413915637</v>
      </c>
      <c r="BR103" s="737">
        <f t="shared" ca="1" si="118"/>
        <v>5.5076140667242148</v>
      </c>
      <c r="BS103" s="735">
        <f t="shared" ref="BS103:ED103" ca="1" si="119">IF(ABS(BS100+BS101-BS102)&lt;0.0000001,0,BS100+BS101-BS102)</f>
        <v>0.67592700000000061</v>
      </c>
      <c r="BT103" s="736">
        <f t="shared" ca="1" si="119"/>
        <v>0.67592700000000061</v>
      </c>
      <c r="BU103" s="1422">
        <f t="shared" ca="1" si="119"/>
        <v>-4.2214717040578886</v>
      </c>
      <c r="BV103" s="737">
        <f t="shared" ca="1" si="119"/>
        <v>4.097613824938076</v>
      </c>
      <c r="BW103" s="735">
        <f t="shared" ca="1" si="119"/>
        <v>0.67592699999999795</v>
      </c>
      <c r="BX103" s="736">
        <f t="shared" ca="1" si="119"/>
        <v>0.67592699999999795</v>
      </c>
      <c r="BY103" s="1422">
        <f t="shared" ca="1" si="119"/>
        <v>-3.4836157644979844</v>
      </c>
      <c r="BZ103" s="737">
        <f t="shared" ca="1" si="119"/>
        <v>7.531756839969991</v>
      </c>
      <c r="CA103" s="735">
        <f t="shared" ca="1" si="119"/>
        <v>0.67592700000000594</v>
      </c>
      <c r="CB103" s="736">
        <f t="shared" ca="1" si="119"/>
        <v>0.67592700000000594</v>
      </c>
      <c r="CC103" s="1422">
        <f t="shared" ca="1" si="119"/>
        <v>-4.8317593022339818</v>
      </c>
      <c r="CD103" s="737">
        <f t="shared" ca="1" si="119"/>
        <v>5.6675666024868043</v>
      </c>
      <c r="CE103" s="735">
        <f t="shared" ca="1" si="119"/>
        <v>0.67592700000000505</v>
      </c>
      <c r="CF103" s="736">
        <f t="shared" ca="1" si="119"/>
        <v>0.67592700000000505</v>
      </c>
      <c r="CG103" s="1422">
        <f t="shared" ca="1" si="119"/>
        <v>-4.573735952360388</v>
      </c>
      <c r="CH103" s="737">
        <f t="shared" ca="1" si="119"/>
        <v>4.785896183424506</v>
      </c>
      <c r="CI103" s="735">
        <f t="shared" ca="1" si="119"/>
        <v>0.67592699999999528</v>
      </c>
      <c r="CJ103" s="736">
        <f t="shared" ca="1" si="119"/>
        <v>0.67592699999999528</v>
      </c>
      <c r="CK103" s="1422">
        <f t="shared" ca="1" si="119"/>
        <v>-4.0038890678924517</v>
      </c>
      <c r="CL103" s="737">
        <f t="shared" ca="1" si="119"/>
        <v>5.5305268956646731</v>
      </c>
      <c r="CM103" s="735">
        <f t="shared" ca="1" si="119"/>
        <v>0.67592699999999617</v>
      </c>
      <c r="CN103" s="736">
        <f t="shared" ca="1" si="119"/>
        <v>0.67592699999999617</v>
      </c>
      <c r="CO103" s="1422">
        <f t="shared" ca="1" si="119"/>
        <v>-4.0912809817785663</v>
      </c>
      <c r="CP103" s="737">
        <f t="shared" ca="1" si="119"/>
        <v>9.1103047507291635</v>
      </c>
      <c r="CQ103" s="735">
        <f t="shared" ca="1" si="119"/>
        <v>0.67592699999996597</v>
      </c>
      <c r="CR103" s="736">
        <f t="shared" ca="1" si="119"/>
        <v>0.67592699999996597</v>
      </c>
      <c r="CS103" s="1422">
        <f t="shared" ca="1" si="119"/>
        <v>-5.9248658662538993</v>
      </c>
      <c r="CT103" s="737">
        <f t="shared" ca="1" si="119"/>
        <v>8.1664037070843598</v>
      </c>
      <c r="CU103" s="735">
        <f t="shared" ca="1" si="119"/>
        <v>0.67592700000000505</v>
      </c>
      <c r="CV103" s="736">
        <f t="shared" ca="1" si="119"/>
        <v>0.67592700000000505</v>
      </c>
      <c r="CW103" s="1422">
        <f t="shared" ca="1" si="119"/>
        <v>-6.3697077866691245</v>
      </c>
      <c r="CX103" s="737">
        <f t="shared" ca="1" si="119"/>
        <v>11.465242007040473</v>
      </c>
      <c r="CY103" s="735">
        <f t="shared" ca="1" si="119"/>
        <v>0.6759270000000015</v>
      </c>
      <c r="CZ103" s="736">
        <f t="shared" ca="1" si="119"/>
        <v>0.6759270000000015</v>
      </c>
      <c r="DA103" s="1422">
        <f t="shared" ca="1" si="119"/>
        <v>-8.2415478968547973</v>
      </c>
      <c r="DB103" s="737">
        <f t="shared" ca="1" si="119"/>
        <v>9.1084453877856788</v>
      </c>
      <c r="DC103" s="735">
        <f t="shared" ca="1" si="119"/>
        <v>0.6759270000000015</v>
      </c>
      <c r="DD103" s="736">
        <f t="shared" ca="1" si="119"/>
        <v>0.6759270000000015</v>
      </c>
      <c r="DE103" s="1422">
        <f t="shared" ca="1" si="119"/>
        <v>-7.9990696423202365</v>
      </c>
      <c r="DF103" s="737">
        <f t="shared" ca="1" si="119"/>
        <v>9.5007679878174223</v>
      </c>
      <c r="DG103" s="735">
        <f t="shared" ca="1" si="119"/>
        <v>0.67592700000002637</v>
      </c>
      <c r="DH103" s="736">
        <f t="shared" ca="1" si="119"/>
        <v>0.67592700000002637</v>
      </c>
      <c r="DI103" s="1422">
        <f t="shared" ca="1" si="119"/>
        <v>-8.073991815068803</v>
      </c>
      <c r="DJ103" s="737">
        <f t="shared" ca="1" si="119"/>
        <v>11.253779641783426</v>
      </c>
      <c r="DK103" s="735">
        <f t="shared" ca="1" si="119"/>
        <v>0.67592700000007433</v>
      </c>
      <c r="DL103" s="736">
        <f t="shared" ca="1" si="119"/>
        <v>0.67592700000007433</v>
      </c>
      <c r="DM103" s="1422">
        <f t="shared" ca="1" si="119"/>
        <v>-8.9879587284260403</v>
      </c>
      <c r="DN103" s="737">
        <f t="shared" ca="1" si="119"/>
        <v>11.122453029829433</v>
      </c>
      <c r="DO103" s="735">
        <f t="shared" ca="1" si="119"/>
        <v>0.67592700000010453</v>
      </c>
      <c r="DP103" s="736">
        <f t="shared" ca="1" si="119"/>
        <v>0.67592700000010453</v>
      </c>
      <c r="DQ103" s="1422">
        <f t="shared" ca="1" si="119"/>
        <v>-9.3792788791276323</v>
      </c>
      <c r="DR103" s="737">
        <f t="shared" ca="1" si="119"/>
        <v>9.4820300088283105</v>
      </c>
      <c r="DS103" s="735">
        <f t="shared" ca="1" si="119"/>
        <v>0.67592700000012229</v>
      </c>
      <c r="DT103" s="736">
        <f t="shared" ca="1" si="119"/>
        <v>0.67592700000012229</v>
      </c>
      <c r="DU103" s="1422">
        <f t="shared" ca="1" si="119"/>
        <v>-8.7547274439778491</v>
      </c>
      <c r="DV103" s="737">
        <f t="shared" ca="1" si="119"/>
        <v>12.660761051414539</v>
      </c>
      <c r="DW103" s="735">
        <f t="shared" ca="1" si="119"/>
        <v>0.67592700000014361</v>
      </c>
      <c r="DX103" s="736">
        <f t="shared" ca="1" si="119"/>
        <v>0.67592700000014361</v>
      </c>
      <c r="DY103" s="1422">
        <f t="shared" ca="1" si="119"/>
        <v>-10.031817247696051</v>
      </c>
      <c r="DZ103" s="737">
        <f t="shared" ca="1" si="119"/>
        <v>9.2054337754895528</v>
      </c>
      <c r="EA103" s="735">
        <f t="shared" ca="1" si="119"/>
        <v>0.67592700000017203</v>
      </c>
      <c r="EB103" s="736">
        <f t="shared" ca="1" si="119"/>
        <v>0.67592700000017203</v>
      </c>
      <c r="EC103" s="1422">
        <f t="shared" ca="1" si="119"/>
        <v>-8.9426985115926296</v>
      </c>
      <c r="ED103" s="737">
        <f t="shared" ca="1" si="119"/>
        <v>11.863676955097135</v>
      </c>
      <c r="EE103" s="735">
        <f t="shared" ref="EE103:FY103" ca="1" si="120">IF(ABS(EE100+EE101-EE102)&lt;0.0000001,0,EE100+EE101-EE102)</f>
        <v>0.67592700000020223</v>
      </c>
      <c r="EF103" s="736">
        <f t="shared" ca="1" si="120"/>
        <v>0.67592700000020223</v>
      </c>
      <c r="EG103" s="1422">
        <f t="shared" ca="1" si="120"/>
        <v>-9.7272607333446803</v>
      </c>
      <c r="EH103" s="737">
        <f t="shared" ca="1" si="120"/>
        <v>13.738606172880809</v>
      </c>
      <c r="EI103" s="735">
        <f t="shared" ca="1" si="120"/>
        <v>0.67592700000024486</v>
      </c>
      <c r="EJ103" s="736">
        <f t="shared" ca="1" si="120"/>
        <v>0.67592700000024486</v>
      </c>
      <c r="EK103" s="1422">
        <f t="shared" ca="1" si="120"/>
        <v>-11.0570064531125</v>
      </c>
      <c r="EL103" s="737">
        <f t="shared" ca="1" si="120"/>
        <v>11.65850908576623</v>
      </c>
      <c r="EM103" s="735">
        <f t="shared" ca="1" si="120"/>
        <v>0.67592700000021821</v>
      </c>
      <c r="EN103" s="736">
        <f t="shared" ca="1" si="120"/>
        <v>0.67592700000021821</v>
      </c>
      <c r="EO103" s="1422">
        <f t="shared" ca="1" si="120"/>
        <v>-10.681830769439147</v>
      </c>
      <c r="EP103" s="737">
        <f t="shared" ca="1" si="120"/>
        <v>12.21424759043718</v>
      </c>
      <c r="EQ103" s="735">
        <f t="shared" ca="1" si="120"/>
        <v>0.67592700000032657</v>
      </c>
      <c r="ER103" s="736">
        <f t="shared" ca="1" si="120"/>
        <v>0.67592700000032657</v>
      </c>
      <c r="ES103" s="1422">
        <f t="shared" ca="1" si="120"/>
        <v>-10.772112179937837</v>
      </c>
      <c r="ET103" s="737">
        <f t="shared" ca="1" si="120"/>
        <v>15.836631565208839</v>
      </c>
      <c r="EU103" s="735">
        <f t="shared" ca="1" si="120"/>
        <v>0.67592700000027683</v>
      </c>
      <c r="EV103" s="736">
        <f t="shared" ca="1" si="120"/>
        <v>0.67592700000027683</v>
      </c>
      <c r="EW103" s="1422">
        <f t="shared" ca="1" si="120"/>
        <v>-12.628444872573061</v>
      </c>
      <c r="EX103" s="737">
        <f t="shared" ca="1" si="120"/>
        <v>14.067523814026186</v>
      </c>
      <c r="EY103" s="735">
        <f t="shared" ca="1" si="120"/>
        <v>0.67592700000029815</v>
      </c>
      <c r="EZ103" s="736">
        <f t="shared" ca="1" si="120"/>
        <v>0.67592700000029815</v>
      </c>
      <c r="FA103" s="1422">
        <f t="shared" ca="1" si="120"/>
        <v>-12.672057343299326</v>
      </c>
      <c r="FB103" s="737">
        <f t="shared" ca="1" si="120"/>
        <v>14.616227620866397</v>
      </c>
      <c r="FC103" s="735">
        <f t="shared" ca="1" si="120"/>
        <v>0.67592700000031414</v>
      </c>
      <c r="FD103" s="736">
        <f t="shared" ca="1" si="120"/>
        <v>0.67592700000031414</v>
      </c>
      <c r="FE103" s="1422">
        <f t="shared" ca="1" si="120"/>
        <v>-12.968215482082547</v>
      </c>
      <c r="FF103" s="737">
        <f t="shared" ca="1" si="120"/>
        <v>16.650439873760462</v>
      </c>
      <c r="FG103" s="735">
        <f t="shared" ca="1" si="120"/>
        <v>0.67592700000025729</v>
      </c>
      <c r="FH103" s="736">
        <f t="shared" ca="1" si="120"/>
        <v>0.67592700000025729</v>
      </c>
      <c r="FI103" s="1422">
        <f t="shared" ca="1" si="120"/>
        <v>-14.133400677921246</v>
      </c>
      <c r="FJ103" s="737">
        <f t="shared" ca="1" si="120"/>
        <v>15.797908594717759</v>
      </c>
      <c r="FK103" s="735">
        <f t="shared" ca="1" si="120"/>
        <v>0.67592700000019157</v>
      </c>
      <c r="FL103" s="736">
        <f t="shared" ca="1" si="120"/>
        <v>0</v>
      </c>
      <c r="FM103" s="1422">
        <f t="shared" ca="1" si="120"/>
        <v>0</v>
      </c>
      <c r="FN103" s="737">
        <f t="shared" ca="1" si="120"/>
        <v>0</v>
      </c>
      <c r="FO103" s="735">
        <f t="shared" ca="1" si="120"/>
        <v>0</v>
      </c>
      <c r="FP103" s="736">
        <f t="shared" ca="1" si="120"/>
        <v>0</v>
      </c>
      <c r="FQ103" s="1422">
        <f t="shared" ca="1" si="120"/>
        <v>0</v>
      </c>
      <c r="FR103" s="737">
        <f t="shared" ca="1" si="120"/>
        <v>0</v>
      </c>
      <c r="FS103" s="735">
        <f t="shared" ca="1" si="120"/>
        <v>0</v>
      </c>
      <c r="FT103" s="736">
        <f t="shared" ca="1" si="120"/>
        <v>0</v>
      </c>
      <c r="FU103" s="1422">
        <f t="shared" ca="1" si="120"/>
        <v>0</v>
      </c>
      <c r="FV103" s="737">
        <f t="shared" ca="1" si="120"/>
        <v>0</v>
      </c>
      <c r="FW103" s="735">
        <f t="shared" ca="1" si="120"/>
        <v>0</v>
      </c>
      <c r="FX103" s="736">
        <f t="shared" ca="1" si="120"/>
        <v>0</v>
      </c>
      <c r="FY103" s="1422">
        <f t="shared" ca="1" si="120"/>
        <v>0</v>
      </c>
      <c r="FZ103" s="737">
        <f ca="1">IF(ABS(FZ100+FZ101-FZ102)&lt;0.0000001,0,FZ100+FZ101-FZ102)</f>
        <v>0</v>
      </c>
      <c r="GA103" s="735">
        <f ca="1">IF(ABS(GA100+GA101-GA102)&lt;0.0000001,0,GA100+GA101-GA102)</f>
        <v>0</v>
      </c>
      <c r="GB103" s="736">
        <f ca="1">IF(ABS(GB100+GB101-GB102)&lt;0.0000001,0,GB100+GB101-GB102)</f>
        <v>0</v>
      </c>
      <c r="GC103" s="1422">
        <f ca="1">IF(ABS(GC100+GC101-GC102)&lt;0.0000001,0,GC100+GC101-GC102)</f>
        <v>0</v>
      </c>
      <c r="GD103" s="737">
        <f ca="1">IF(ABS(GD100+GD101-GD102)&lt;0.0000001,0,GD100+GD101-GD102)</f>
        <v>0</v>
      </c>
    </row>
    <row r="104" spans="1:186" ht="17.100000000000001" customHeight="1">
      <c r="C104" s="952"/>
      <c r="D104" s="777" t="s">
        <v>657</v>
      </c>
      <c r="E104" s="747"/>
      <c r="F104" s="645">
        <f ca="1">SUM(O104:GD104)</f>
        <v>245.91776185400485</v>
      </c>
      <c r="G104" s="1375">
        <f t="shared" ref="G104:BR104" si="121">IF(G103&lt;0,-G103,0)</f>
        <v>0</v>
      </c>
      <c r="H104" s="1376">
        <f t="shared" si="121"/>
        <v>0</v>
      </c>
      <c r="I104" s="1376">
        <f t="shared" si="121"/>
        <v>0</v>
      </c>
      <c r="J104" s="1377">
        <f t="shared" si="121"/>
        <v>0</v>
      </c>
      <c r="K104" s="1375">
        <f t="shared" si="121"/>
        <v>0</v>
      </c>
      <c r="L104" s="1376">
        <f t="shared" si="121"/>
        <v>0</v>
      </c>
      <c r="M104" s="1376">
        <f t="shared" si="121"/>
        <v>2.66961906</v>
      </c>
      <c r="N104" s="1421">
        <f>BS!K184</f>
        <v>0</v>
      </c>
      <c r="O104" s="735">
        <f t="shared" si="121"/>
        <v>0</v>
      </c>
      <c r="P104" s="736">
        <f t="shared" si="121"/>
        <v>0</v>
      </c>
      <c r="Q104" s="736">
        <f t="shared" si="121"/>
        <v>3.3778568999999998</v>
      </c>
      <c r="R104" s="737">
        <f t="shared" ca="1" si="121"/>
        <v>0</v>
      </c>
      <c r="S104" s="735">
        <f t="shared" ca="1" si="121"/>
        <v>0</v>
      </c>
      <c r="T104" s="736">
        <f t="shared" ca="1" si="121"/>
        <v>0</v>
      </c>
      <c r="U104" s="736">
        <f t="shared" ca="1" si="121"/>
        <v>1.9418278046579776</v>
      </c>
      <c r="V104" s="737">
        <f t="shared" ca="1" si="121"/>
        <v>0</v>
      </c>
      <c r="W104" s="735">
        <f t="shared" ca="1" si="121"/>
        <v>0</v>
      </c>
      <c r="X104" s="736">
        <f t="shared" ca="1" si="121"/>
        <v>0</v>
      </c>
      <c r="Y104" s="736">
        <f t="shared" ca="1" si="121"/>
        <v>2.6783199223451977</v>
      </c>
      <c r="Z104" s="737">
        <f t="shared" ca="1" si="121"/>
        <v>0</v>
      </c>
      <c r="AA104" s="735">
        <f t="shared" ca="1" si="121"/>
        <v>0</v>
      </c>
      <c r="AB104" s="736">
        <f t="shared" ca="1" si="121"/>
        <v>0</v>
      </c>
      <c r="AC104" s="736">
        <f t="shared" ca="1" si="121"/>
        <v>3.6616968870800273</v>
      </c>
      <c r="AD104" s="737">
        <f t="shared" ca="1" si="121"/>
        <v>0</v>
      </c>
      <c r="AE104" s="735">
        <f t="shared" ca="1" si="121"/>
        <v>0</v>
      </c>
      <c r="AF104" s="736">
        <f t="shared" ca="1" si="121"/>
        <v>0</v>
      </c>
      <c r="AG104" s="736">
        <f t="shared" ca="1" si="121"/>
        <v>4.2223669522456184</v>
      </c>
      <c r="AH104" s="737">
        <f t="shared" ca="1" si="121"/>
        <v>0</v>
      </c>
      <c r="AI104" s="735">
        <f t="shared" ca="1" si="121"/>
        <v>0</v>
      </c>
      <c r="AJ104" s="736">
        <f t="shared" ca="1" si="121"/>
        <v>0</v>
      </c>
      <c r="AK104" s="736">
        <f t="shared" ca="1" si="121"/>
        <v>4.5994669225295208</v>
      </c>
      <c r="AL104" s="737">
        <f t="shared" ca="1" si="121"/>
        <v>4.1738636768835855</v>
      </c>
      <c r="AM104" s="735">
        <f t="shared" ca="1" si="121"/>
        <v>0</v>
      </c>
      <c r="AN104" s="736">
        <f t="shared" ca="1" si="121"/>
        <v>0</v>
      </c>
      <c r="AO104" s="736">
        <f t="shared" ca="1" si="121"/>
        <v>0</v>
      </c>
      <c r="AP104" s="737">
        <f t="shared" ca="1" si="121"/>
        <v>0</v>
      </c>
      <c r="AQ104" s="735">
        <f t="shared" ca="1" si="121"/>
        <v>0</v>
      </c>
      <c r="AR104" s="736">
        <f t="shared" ca="1" si="121"/>
        <v>0</v>
      </c>
      <c r="AS104" s="736">
        <f t="shared" ca="1" si="121"/>
        <v>1.1611980112777307</v>
      </c>
      <c r="AT104" s="737">
        <f t="shared" ca="1" si="121"/>
        <v>0</v>
      </c>
      <c r="AU104" s="735">
        <f t="shared" ca="1" si="121"/>
        <v>0</v>
      </c>
      <c r="AV104" s="736">
        <f t="shared" ca="1" si="121"/>
        <v>0</v>
      </c>
      <c r="AW104" s="736">
        <f t="shared" ca="1" si="121"/>
        <v>1.7304209886233806</v>
      </c>
      <c r="AX104" s="737">
        <f t="shared" ca="1" si="121"/>
        <v>0</v>
      </c>
      <c r="AY104" s="735">
        <f t="shared" ca="1" si="121"/>
        <v>0</v>
      </c>
      <c r="AZ104" s="736">
        <f t="shared" ca="1" si="121"/>
        <v>0</v>
      </c>
      <c r="BA104" s="736">
        <f t="shared" ca="1" si="121"/>
        <v>1.5271845165568623</v>
      </c>
      <c r="BB104" s="737">
        <f t="shared" ca="1" si="121"/>
        <v>0</v>
      </c>
      <c r="BC104" s="735">
        <f t="shared" ca="1" si="121"/>
        <v>0</v>
      </c>
      <c r="BD104" s="736">
        <f t="shared" ca="1" si="121"/>
        <v>0</v>
      </c>
      <c r="BE104" s="736">
        <f t="shared" ca="1" si="121"/>
        <v>3.6262999657588999</v>
      </c>
      <c r="BF104" s="737">
        <f t="shared" ca="1" si="121"/>
        <v>0</v>
      </c>
      <c r="BG104" s="735">
        <f t="shared" ca="1" si="121"/>
        <v>0</v>
      </c>
      <c r="BH104" s="736">
        <f t="shared" ca="1" si="121"/>
        <v>0</v>
      </c>
      <c r="BI104" s="736">
        <f t="shared" ca="1" si="121"/>
        <v>3.0675793749814</v>
      </c>
      <c r="BJ104" s="737">
        <f t="shared" ca="1" si="121"/>
        <v>0</v>
      </c>
      <c r="BK104" s="735">
        <f t="shared" ca="1" si="121"/>
        <v>0</v>
      </c>
      <c r="BL104" s="736">
        <f t="shared" ca="1" si="121"/>
        <v>0</v>
      </c>
      <c r="BM104" s="736">
        <f t="shared" ca="1" si="121"/>
        <v>3.3107514871544512</v>
      </c>
      <c r="BN104" s="737">
        <f t="shared" ca="1" si="121"/>
        <v>0</v>
      </c>
      <c r="BO104" s="735">
        <f t="shared" ca="1" si="121"/>
        <v>0</v>
      </c>
      <c r="BP104" s="736">
        <f t="shared" ca="1" si="121"/>
        <v>0</v>
      </c>
      <c r="BQ104" s="736">
        <f t="shared" ca="1" si="121"/>
        <v>4.2871833413915637</v>
      </c>
      <c r="BR104" s="737">
        <f t="shared" ca="1" si="121"/>
        <v>0</v>
      </c>
      <c r="BS104" s="735">
        <f t="shared" ref="BS104:ED104" ca="1" si="122">IF(BS103&lt;0,-BS103,0)</f>
        <v>0</v>
      </c>
      <c r="BT104" s="736">
        <f t="shared" ca="1" si="122"/>
        <v>0</v>
      </c>
      <c r="BU104" s="736">
        <f t="shared" ca="1" si="122"/>
        <v>4.2214717040578886</v>
      </c>
      <c r="BV104" s="737">
        <f t="shared" ca="1" si="122"/>
        <v>0</v>
      </c>
      <c r="BW104" s="735">
        <f t="shared" ca="1" si="122"/>
        <v>0</v>
      </c>
      <c r="BX104" s="736">
        <f t="shared" ca="1" si="122"/>
        <v>0</v>
      </c>
      <c r="BY104" s="736">
        <f t="shared" ca="1" si="122"/>
        <v>3.4836157644979844</v>
      </c>
      <c r="BZ104" s="737">
        <f t="shared" ca="1" si="122"/>
        <v>0</v>
      </c>
      <c r="CA104" s="735">
        <f t="shared" ca="1" si="122"/>
        <v>0</v>
      </c>
      <c r="CB104" s="736">
        <f t="shared" ca="1" si="122"/>
        <v>0</v>
      </c>
      <c r="CC104" s="736">
        <f t="shared" ca="1" si="122"/>
        <v>4.8317593022339818</v>
      </c>
      <c r="CD104" s="737">
        <f t="shared" ca="1" si="122"/>
        <v>0</v>
      </c>
      <c r="CE104" s="735">
        <f t="shared" ca="1" si="122"/>
        <v>0</v>
      </c>
      <c r="CF104" s="736">
        <f t="shared" ca="1" si="122"/>
        <v>0</v>
      </c>
      <c r="CG104" s="736">
        <f t="shared" ca="1" si="122"/>
        <v>4.573735952360388</v>
      </c>
      <c r="CH104" s="737">
        <f t="shared" ca="1" si="122"/>
        <v>0</v>
      </c>
      <c r="CI104" s="735">
        <f t="shared" ca="1" si="122"/>
        <v>0</v>
      </c>
      <c r="CJ104" s="736">
        <f t="shared" ca="1" si="122"/>
        <v>0</v>
      </c>
      <c r="CK104" s="736">
        <f t="shared" ca="1" si="122"/>
        <v>4.0038890678924517</v>
      </c>
      <c r="CL104" s="737">
        <f t="shared" ca="1" si="122"/>
        <v>0</v>
      </c>
      <c r="CM104" s="735">
        <f t="shared" ca="1" si="122"/>
        <v>0</v>
      </c>
      <c r="CN104" s="736">
        <f t="shared" ca="1" si="122"/>
        <v>0</v>
      </c>
      <c r="CO104" s="736">
        <f t="shared" ca="1" si="122"/>
        <v>4.0912809817785663</v>
      </c>
      <c r="CP104" s="737">
        <f t="shared" ca="1" si="122"/>
        <v>0</v>
      </c>
      <c r="CQ104" s="735">
        <f t="shared" ca="1" si="122"/>
        <v>0</v>
      </c>
      <c r="CR104" s="736">
        <f t="shared" ca="1" si="122"/>
        <v>0</v>
      </c>
      <c r="CS104" s="736">
        <f t="shared" ca="1" si="122"/>
        <v>5.9248658662538993</v>
      </c>
      <c r="CT104" s="737">
        <f t="shared" ca="1" si="122"/>
        <v>0</v>
      </c>
      <c r="CU104" s="735">
        <f t="shared" ca="1" si="122"/>
        <v>0</v>
      </c>
      <c r="CV104" s="736">
        <f t="shared" ca="1" si="122"/>
        <v>0</v>
      </c>
      <c r="CW104" s="736">
        <f t="shared" ca="1" si="122"/>
        <v>6.3697077866691245</v>
      </c>
      <c r="CX104" s="737">
        <f t="shared" ca="1" si="122"/>
        <v>0</v>
      </c>
      <c r="CY104" s="735">
        <f t="shared" ca="1" si="122"/>
        <v>0</v>
      </c>
      <c r="CZ104" s="736">
        <f t="shared" ca="1" si="122"/>
        <v>0</v>
      </c>
      <c r="DA104" s="736">
        <f t="shared" ca="1" si="122"/>
        <v>8.2415478968547973</v>
      </c>
      <c r="DB104" s="737">
        <f t="shared" ca="1" si="122"/>
        <v>0</v>
      </c>
      <c r="DC104" s="735">
        <f t="shared" ca="1" si="122"/>
        <v>0</v>
      </c>
      <c r="DD104" s="736">
        <f t="shared" ca="1" si="122"/>
        <v>0</v>
      </c>
      <c r="DE104" s="736">
        <f t="shared" ca="1" si="122"/>
        <v>7.9990696423202365</v>
      </c>
      <c r="DF104" s="737">
        <f t="shared" ca="1" si="122"/>
        <v>0</v>
      </c>
      <c r="DG104" s="735">
        <f t="shared" ca="1" si="122"/>
        <v>0</v>
      </c>
      <c r="DH104" s="736">
        <f t="shared" ca="1" si="122"/>
        <v>0</v>
      </c>
      <c r="DI104" s="736">
        <f t="shared" ca="1" si="122"/>
        <v>8.073991815068803</v>
      </c>
      <c r="DJ104" s="737">
        <f t="shared" ca="1" si="122"/>
        <v>0</v>
      </c>
      <c r="DK104" s="735">
        <f t="shared" ca="1" si="122"/>
        <v>0</v>
      </c>
      <c r="DL104" s="736">
        <f t="shared" ca="1" si="122"/>
        <v>0</v>
      </c>
      <c r="DM104" s="736">
        <f t="shared" ca="1" si="122"/>
        <v>8.9879587284260403</v>
      </c>
      <c r="DN104" s="737">
        <f t="shared" ca="1" si="122"/>
        <v>0</v>
      </c>
      <c r="DO104" s="735">
        <f t="shared" ca="1" si="122"/>
        <v>0</v>
      </c>
      <c r="DP104" s="736">
        <f t="shared" ca="1" si="122"/>
        <v>0</v>
      </c>
      <c r="DQ104" s="736">
        <f t="shared" ca="1" si="122"/>
        <v>9.3792788791276323</v>
      </c>
      <c r="DR104" s="737">
        <f t="shared" ca="1" si="122"/>
        <v>0</v>
      </c>
      <c r="DS104" s="735">
        <f t="shared" ca="1" si="122"/>
        <v>0</v>
      </c>
      <c r="DT104" s="736">
        <f t="shared" ca="1" si="122"/>
        <v>0</v>
      </c>
      <c r="DU104" s="736">
        <f t="shared" ca="1" si="122"/>
        <v>8.7547274439778491</v>
      </c>
      <c r="DV104" s="737">
        <f t="shared" ca="1" si="122"/>
        <v>0</v>
      </c>
      <c r="DW104" s="735">
        <f t="shared" ca="1" si="122"/>
        <v>0</v>
      </c>
      <c r="DX104" s="736">
        <f t="shared" ca="1" si="122"/>
        <v>0</v>
      </c>
      <c r="DY104" s="736">
        <f t="shared" ca="1" si="122"/>
        <v>10.031817247696051</v>
      </c>
      <c r="DZ104" s="737">
        <f t="shared" ca="1" si="122"/>
        <v>0</v>
      </c>
      <c r="EA104" s="735">
        <f t="shared" ca="1" si="122"/>
        <v>0</v>
      </c>
      <c r="EB104" s="736">
        <f t="shared" ca="1" si="122"/>
        <v>0</v>
      </c>
      <c r="EC104" s="736">
        <f t="shared" ca="1" si="122"/>
        <v>8.9426985115926296</v>
      </c>
      <c r="ED104" s="737">
        <f t="shared" ca="1" si="122"/>
        <v>0</v>
      </c>
      <c r="EE104" s="735">
        <f t="shared" ref="EE104:FY104" ca="1" si="123">IF(EE103&lt;0,-EE103,0)</f>
        <v>0</v>
      </c>
      <c r="EF104" s="736">
        <f t="shared" ca="1" si="123"/>
        <v>0</v>
      </c>
      <c r="EG104" s="736">
        <f t="shared" ca="1" si="123"/>
        <v>9.7272607333446803</v>
      </c>
      <c r="EH104" s="737">
        <f t="shared" ca="1" si="123"/>
        <v>0</v>
      </c>
      <c r="EI104" s="735">
        <f t="shared" ca="1" si="123"/>
        <v>0</v>
      </c>
      <c r="EJ104" s="736">
        <f t="shared" ca="1" si="123"/>
        <v>0</v>
      </c>
      <c r="EK104" s="736">
        <f t="shared" ca="1" si="123"/>
        <v>11.0570064531125</v>
      </c>
      <c r="EL104" s="737">
        <f t="shared" ca="1" si="123"/>
        <v>0</v>
      </c>
      <c r="EM104" s="735">
        <f t="shared" ca="1" si="123"/>
        <v>0</v>
      </c>
      <c r="EN104" s="736">
        <f t="shared" ca="1" si="123"/>
        <v>0</v>
      </c>
      <c r="EO104" s="736">
        <f t="shared" ca="1" si="123"/>
        <v>10.681830769439147</v>
      </c>
      <c r="EP104" s="737">
        <f t="shared" ca="1" si="123"/>
        <v>0</v>
      </c>
      <c r="EQ104" s="735">
        <f t="shared" ca="1" si="123"/>
        <v>0</v>
      </c>
      <c r="ER104" s="736">
        <f t="shared" ca="1" si="123"/>
        <v>0</v>
      </c>
      <c r="ES104" s="736">
        <f t="shared" ca="1" si="123"/>
        <v>10.772112179937837</v>
      </c>
      <c r="ET104" s="737">
        <f t="shared" ca="1" si="123"/>
        <v>0</v>
      </c>
      <c r="EU104" s="735">
        <f t="shared" ca="1" si="123"/>
        <v>0</v>
      </c>
      <c r="EV104" s="736">
        <f t="shared" ca="1" si="123"/>
        <v>0</v>
      </c>
      <c r="EW104" s="736">
        <f t="shared" ca="1" si="123"/>
        <v>12.628444872573061</v>
      </c>
      <c r="EX104" s="737">
        <f t="shared" ca="1" si="123"/>
        <v>0</v>
      </c>
      <c r="EY104" s="735">
        <f t="shared" ca="1" si="123"/>
        <v>0</v>
      </c>
      <c r="EZ104" s="736">
        <f t="shared" ca="1" si="123"/>
        <v>0</v>
      </c>
      <c r="FA104" s="736">
        <f t="shared" ca="1" si="123"/>
        <v>12.672057343299326</v>
      </c>
      <c r="FB104" s="737">
        <f t="shared" ca="1" si="123"/>
        <v>0</v>
      </c>
      <c r="FC104" s="735">
        <f t="shared" ca="1" si="123"/>
        <v>0</v>
      </c>
      <c r="FD104" s="736">
        <f t="shared" ca="1" si="123"/>
        <v>0</v>
      </c>
      <c r="FE104" s="736">
        <f t="shared" ca="1" si="123"/>
        <v>12.968215482082547</v>
      </c>
      <c r="FF104" s="737">
        <f t="shared" ca="1" si="123"/>
        <v>0</v>
      </c>
      <c r="FG104" s="735">
        <f t="shared" ca="1" si="123"/>
        <v>0</v>
      </c>
      <c r="FH104" s="736">
        <f t="shared" ca="1" si="123"/>
        <v>0</v>
      </c>
      <c r="FI104" s="736">
        <f t="shared" ca="1" si="123"/>
        <v>14.133400677921246</v>
      </c>
      <c r="FJ104" s="737">
        <f t="shared" ca="1" si="123"/>
        <v>0</v>
      </c>
      <c r="FK104" s="735">
        <f t="shared" ca="1" si="123"/>
        <v>0</v>
      </c>
      <c r="FL104" s="736">
        <f t="shared" ca="1" si="123"/>
        <v>0</v>
      </c>
      <c r="FM104" s="736">
        <f t="shared" ca="1" si="123"/>
        <v>0</v>
      </c>
      <c r="FN104" s="737">
        <f t="shared" ca="1" si="123"/>
        <v>0</v>
      </c>
      <c r="FO104" s="735">
        <f t="shared" ca="1" si="123"/>
        <v>0</v>
      </c>
      <c r="FP104" s="736">
        <f t="shared" ca="1" si="123"/>
        <v>0</v>
      </c>
      <c r="FQ104" s="736">
        <f t="shared" ca="1" si="123"/>
        <v>0</v>
      </c>
      <c r="FR104" s="737">
        <f t="shared" ca="1" si="123"/>
        <v>0</v>
      </c>
      <c r="FS104" s="735">
        <f t="shared" ca="1" si="123"/>
        <v>0</v>
      </c>
      <c r="FT104" s="736">
        <f t="shared" ca="1" si="123"/>
        <v>0</v>
      </c>
      <c r="FU104" s="736">
        <f t="shared" ca="1" si="123"/>
        <v>0</v>
      </c>
      <c r="FV104" s="737">
        <f t="shared" ca="1" si="123"/>
        <v>0</v>
      </c>
      <c r="FW104" s="735">
        <f t="shared" ca="1" si="123"/>
        <v>0</v>
      </c>
      <c r="FX104" s="736">
        <f t="shared" ca="1" si="123"/>
        <v>0</v>
      </c>
      <c r="FY104" s="736">
        <f t="shared" ca="1" si="123"/>
        <v>0</v>
      </c>
      <c r="FZ104" s="737">
        <f ca="1">IF(FZ103&lt;0,-FZ103,0)</f>
        <v>0</v>
      </c>
      <c r="GA104" s="735">
        <f ca="1">IF(GA103&lt;0,-GA103,0)</f>
        <v>0</v>
      </c>
      <c r="GB104" s="736">
        <f ca="1">IF(GB103&lt;0,-GB103,0)</f>
        <v>0</v>
      </c>
      <c r="GC104" s="736">
        <f ca="1">IF(GC103&lt;0,-GC103,0)</f>
        <v>0</v>
      </c>
      <c r="GD104" s="737">
        <f ca="1">IF(GD103&lt;0,-GD103,0)</f>
        <v>0</v>
      </c>
    </row>
    <row r="105" spans="1:186" ht="17.100000000000001" customHeight="1">
      <c r="C105" s="952"/>
      <c r="D105" s="777" t="s">
        <v>1272</v>
      </c>
      <c r="E105" s="747"/>
      <c r="F105" s="645">
        <f ca="1">SUM(O105:GD105)</f>
        <v>372.90998678665517</v>
      </c>
      <c r="G105" s="1375">
        <f t="shared" ref="G105:BR105" si="124">IF(G103&gt;0,G103,0)</f>
        <v>0</v>
      </c>
      <c r="H105" s="1376">
        <f t="shared" si="124"/>
        <v>0</v>
      </c>
      <c r="I105" s="1376">
        <f t="shared" si="124"/>
        <v>0</v>
      </c>
      <c r="J105" s="1377">
        <f t="shared" si="124"/>
        <v>5.3392381200000001</v>
      </c>
      <c r="K105" s="1375">
        <f t="shared" si="124"/>
        <v>0</v>
      </c>
      <c r="L105" s="1376">
        <f t="shared" si="124"/>
        <v>0</v>
      </c>
      <c r="M105" s="1376">
        <f t="shared" si="124"/>
        <v>0</v>
      </c>
      <c r="N105" s="1421">
        <f>BS!K185</f>
        <v>5.5314407599999997</v>
      </c>
      <c r="O105" s="735">
        <f t="shared" si="124"/>
        <v>3.1035064599999997</v>
      </c>
      <c r="P105" s="736">
        <f t="shared" si="124"/>
        <v>0</v>
      </c>
      <c r="Q105" s="736">
        <f t="shared" si="124"/>
        <v>0</v>
      </c>
      <c r="R105" s="737">
        <f t="shared" ca="1" si="124"/>
        <v>1.8576527093159556</v>
      </c>
      <c r="S105" s="735">
        <f t="shared" ca="1" si="124"/>
        <v>0.67592700000000017</v>
      </c>
      <c r="T105" s="736">
        <f t="shared" ca="1" si="124"/>
        <v>0.67592700000000017</v>
      </c>
      <c r="U105" s="736">
        <f t="shared" ca="1" si="124"/>
        <v>0</v>
      </c>
      <c r="V105" s="737">
        <f t="shared" ca="1" si="124"/>
        <v>4.7666660400324137</v>
      </c>
      <c r="W105" s="735">
        <f t="shared" ca="1" si="124"/>
        <v>0.67592699999999795</v>
      </c>
      <c r="X105" s="736">
        <f t="shared" ca="1" si="124"/>
        <v>0.67592699999999795</v>
      </c>
      <c r="Y105" s="736">
        <f t="shared" ca="1" si="124"/>
        <v>0</v>
      </c>
      <c r="Z105" s="737">
        <f t="shared" ca="1" si="124"/>
        <v>5.9969278518148599</v>
      </c>
      <c r="AA105" s="735">
        <f t="shared" ca="1" si="124"/>
        <v>0.6759270000000015</v>
      </c>
      <c r="AB105" s="736">
        <f t="shared" ca="1" si="124"/>
        <v>0.6759270000000015</v>
      </c>
      <c r="AC105" s="736">
        <f t="shared" ca="1" si="124"/>
        <v>0</v>
      </c>
      <c r="AD105" s="737">
        <f t="shared" ca="1" si="124"/>
        <v>6.1348910174112143</v>
      </c>
      <c r="AE105" s="735">
        <f t="shared" ca="1" si="124"/>
        <v>0.67592700000000239</v>
      </c>
      <c r="AF105" s="736">
        <f t="shared" ca="1" si="124"/>
        <v>0.67592700000000239</v>
      </c>
      <c r="AG105" s="736">
        <f t="shared" ca="1" si="124"/>
        <v>0</v>
      </c>
      <c r="AH105" s="737">
        <f t="shared" ca="1" si="124"/>
        <v>6.3284208928134404</v>
      </c>
      <c r="AI105" s="735">
        <f t="shared" ca="1" si="124"/>
        <v>0.6759270000000086</v>
      </c>
      <c r="AJ105" s="736">
        <f t="shared" ca="1" si="124"/>
        <v>0.6759270000000086</v>
      </c>
      <c r="AK105" s="736">
        <f t="shared" ca="1" si="124"/>
        <v>0</v>
      </c>
      <c r="AL105" s="737">
        <f t="shared" ca="1" si="124"/>
        <v>0</v>
      </c>
      <c r="AM105" s="735">
        <f t="shared" ca="1" si="124"/>
        <v>0.67592700000000772</v>
      </c>
      <c r="AN105" s="736">
        <f t="shared" ca="1" si="124"/>
        <v>0.67592700000000772</v>
      </c>
      <c r="AO105" s="736">
        <f t="shared" ca="1" si="124"/>
        <v>0.46312537717704017</v>
      </c>
      <c r="AP105" s="737">
        <f t="shared" ca="1" si="124"/>
        <v>4.1373753997325062</v>
      </c>
      <c r="AQ105" s="735">
        <f t="shared" ca="1" si="124"/>
        <v>0.67592700000000239</v>
      </c>
      <c r="AR105" s="736">
        <f t="shared" ca="1" si="124"/>
        <v>0.67592700000000239</v>
      </c>
      <c r="AS105" s="736">
        <f t="shared" ca="1" si="124"/>
        <v>0</v>
      </c>
      <c r="AT105" s="737">
        <f t="shared" ca="1" si="124"/>
        <v>3.6514979659690372</v>
      </c>
      <c r="AU105" s="735">
        <f t="shared" ca="1" si="124"/>
        <v>0.67592700000000328</v>
      </c>
      <c r="AV105" s="736">
        <f t="shared" ca="1" si="124"/>
        <v>0.67592700000000328</v>
      </c>
      <c r="AW105" s="736">
        <f t="shared" ca="1" si="124"/>
        <v>0</v>
      </c>
      <c r="AX105" s="737">
        <f t="shared" ca="1" si="124"/>
        <v>2.6758020444903461</v>
      </c>
      <c r="AY105" s="735">
        <f t="shared" ca="1" si="124"/>
        <v>0.67592700000000105</v>
      </c>
      <c r="AZ105" s="736">
        <f t="shared" ca="1" si="124"/>
        <v>0.67592700000000105</v>
      </c>
      <c r="BA105" s="736">
        <f t="shared" ca="1" si="124"/>
        <v>0</v>
      </c>
      <c r="BB105" s="737">
        <f t="shared" ca="1" si="124"/>
        <v>7.0772694149609352</v>
      </c>
      <c r="BC105" s="735">
        <f t="shared" ca="1" si="124"/>
        <v>0.67592699999999883</v>
      </c>
      <c r="BD105" s="736">
        <f t="shared" ca="1" si="124"/>
        <v>0.67592699999999883</v>
      </c>
      <c r="BE105" s="736">
        <f t="shared" ca="1" si="124"/>
        <v>0</v>
      </c>
      <c r="BF105" s="737">
        <f t="shared" ca="1" si="124"/>
        <v>3.8607127842038924</v>
      </c>
      <c r="BG105" s="735">
        <f t="shared" ca="1" si="124"/>
        <v>0.67592699999999617</v>
      </c>
      <c r="BH105" s="736">
        <f t="shared" ca="1" si="124"/>
        <v>0.67592699999999617</v>
      </c>
      <c r="BI105" s="736">
        <f t="shared" ca="1" si="124"/>
        <v>0</v>
      </c>
      <c r="BJ105" s="737">
        <f t="shared" ca="1" si="124"/>
        <v>4.9057775993274806</v>
      </c>
      <c r="BK105" s="735">
        <f t="shared" ca="1" si="124"/>
        <v>0.67592699999998906</v>
      </c>
      <c r="BL105" s="736">
        <f t="shared" ca="1" si="124"/>
        <v>0.67592699999998906</v>
      </c>
      <c r="BM105" s="736">
        <f t="shared" ca="1" si="124"/>
        <v>0</v>
      </c>
      <c r="BN105" s="737">
        <f t="shared" ca="1" si="124"/>
        <v>6.6154691956286467</v>
      </c>
      <c r="BO105" s="735">
        <f t="shared" ca="1" si="124"/>
        <v>0.67592699999998551</v>
      </c>
      <c r="BP105" s="736">
        <f t="shared" ca="1" si="124"/>
        <v>0.67592699999998551</v>
      </c>
      <c r="BQ105" s="736">
        <f t="shared" ca="1" si="124"/>
        <v>0</v>
      </c>
      <c r="BR105" s="737">
        <f t="shared" ca="1" si="124"/>
        <v>5.5076140667242148</v>
      </c>
      <c r="BS105" s="735">
        <f t="shared" ref="BS105:ED105" ca="1" si="125">IF(BS103&gt;0,BS103,0)</f>
        <v>0.67592700000000061</v>
      </c>
      <c r="BT105" s="736">
        <f t="shared" ca="1" si="125"/>
        <v>0.67592700000000061</v>
      </c>
      <c r="BU105" s="736">
        <f t="shared" ca="1" si="125"/>
        <v>0</v>
      </c>
      <c r="BV105" s="737">
        <f t="shared" ca="1" si="125"/>
        <v>4.097613824938076</v>
      </c>
      <c r="BW105" s="735">
        <f t="shared" ca="1" si="125"/>
        <v>0.67592699999999795</v>
      </c>
      <c r="BX105" s="736">
        <f t="shared" ca="1" si="125"/>
        <v>0.67592699999999795</v>
      </c>
      <c r="BY105" s="736">
        <f t="shared" ca="1" si="125"/>
        <v>0</v>
      </c>
      <c r="BZ105" s="737">
        <f t="shared" ca="1" si="125"/>
        <v>7.531756839969991</v>
      </c>
      <c r="CA105" s="735">
        <f t="shared" ca="1" si="125"/>
        <v>0.67592700000000594</v>
      </c>
      <c r="CB105" s="736">
        <f t="shared" ca="1" si="125"/>
        <v>0.67592700000000594</v>
      </c>
      <c r="CC105" s="736">
        <f t="shared" ca="1" si="125"/>
        <v>0</v>
      </c>
      <c r="CD105" s="737">
        <f t="shared" ca="1" si="125"/>
        <v>5.6675666024868043</v>
      </c>
      <c r="CE105" s="735">
        <f t="shared" ca="1" si="125"/>
        <v>0.67592700000000505</v>
      </c>
      <c r="CF105" s="736">
        <f t="shared" ca="1" si="125"/>
        <v>0.67592700000000505</v>
      </c>
      <c r="CG105" s="736">
        <f t="shared" ca="1" si="125"/>
        <v>0</v>
      </c>
      <c r="CH105" s="737">
        <f t="shared" ca="1" si="125"/>
        <v>4.785896183424506</v>
      </c>
      <c r="CI105" s="735">
        <f t="shared" ca="1" si="125"/>
        <v>0.67592699999999528</v>
      </c>
      <c r="CJ105" s="736">
        <f t="shared" ca="1" si="125"/>
        <v>0.67592699999999528</v>
      </c>
      <c r="CK105" s="736">
        <f t="shared" ca="1" si="125"/>
        <v>0</v>
      </c>
      <c r="CL105" s="737">
        <f t="shared" ca="1" si="125"/>
        <v>5.5305268956646731</v>
      </c>
      <c r="CM105" s="735">
        <f t="shared" ca="1" si="125"/>
        <v>0.67592699999999617</v>
      </c>
      <c r="CN105" s="736">
        <f t="shared" ca="1" si="125"/>
        <v>0.67592699999999617</v>
      </c>
      <c r="CO105" s="736">
        <f t="shared" ca="1" si="125"/>
        <v>0</v>
      </c>
      <c r="CP105" s="737">
        <f t="shared" ca="1" si="125"/>
        <v>9.1103047507291635</v>
      </c>
      <c r="CQ105" s="735">
        <f t="shared" ca="1" si="125"/>
        <v>0.67592699999996597</v>
      </c>
      <c r="CR105" s="736">
        <f t="shared" ca="1" si="125"/>
        <v>0.67592699999996597</v>
      </c>
      <c r="CS105" s="736">
        <f t="shared" ca="1" si="125"/>
        <v>0</v>
      </c>
      <c r="CT105" s="737">
        <f t="shared" ca="1" si="125"/>
        <v>8.1664037070843598</v>
      </c>
      <c r="CU105" s="735">
        <f t="shared" ca="1" si="125"/>
        <v>0.67592700000000505</v>
      </c>
      <c r="CV105" s="736">
        <f t="shared" ca="1" si="125"/>
        <v>0.67592700000000505</v>
      </c>
      <c r="CW105" s="736">
        <f t="shared" ca="1" si="125"/>
        <v>0</v>
      </c>
      <c r="CX105" s="737">
        <f t="shared" ca="1" si="125"/>
        <v>11.465242007040473</v>
      </c>
      <c r="CY105" s="735">
        <f t="shared" ca="1" si="125"/>
        <v>0.6759270000000015</v>
      </c>
      <c r="CZ105" s="736">
        <f t="shared" ca="1" si="125"/>
        <v>0.6759270000000015</v>
      </c>
      <c r="DA105" s="736">
        <f t="shared" ca="1" si="125"/>
        <v>0</v>
      </c>
      <c r="DB105" s="737">
        <f t="shared" ca="1" si="125"/>
        <v>9.1084453877856788</v>
      </c>
      <c r="DC105" s="735">
        <f t="shared" ca="1" si="125"/>
        <v>0.6759270000000015</v>
      </c>
      <c r="DD105" s="736">
        <f t="shared" ca="1" si="125"/>
        <v>0.6759270000000015</v>
      </c>
      <c r="DE105" s="736">
        <f t="shared" ca="1" si="125"/>
        <v>0</v>
      </c>
      <c r="DF105" s="737">
        <f t="shared" ca="1" si="125"/>
        <v>9.5007679878174223</v>
      </c>
      <c r="DG105" s="735">
        <f t="shared" ca="1" si="125"/>
        <v>0.67592700000002637</v>
      </c>
      <c r="DH105" s="736">
        <f t="shared" ca="1" si="125"/>
        <v>0.67592700000002637</v>
      </c>
      <c r="DI105" s="736">
        <f t="shared" ca="1" si="125"/>
        <v>0</v>
      </c>
      <c r="DJ105" s="737">
        <f t="shared" ca="1" si="125"/>
        <v>11.253779641783426</v>
      </c>
      <c r="DK105" s="735">
        <f t="shared" ca="1" si="125"/>
        <v>0.67592700000007433</v>
      </c>
      <c r="DL105" s="736">
        <f t="shared" ca="1" si="125"/>
        <v>0.67592700000007433</v>
      </c>
      <c r="DM105" s="736">
        <f t="shared" ca="1" si="125"/>
        <v>0</v>
      </c>
      <c r="DN105" s="737">
        <f t="shared" ca="1" si="125"/>
        <v>11.122453029829433</v>
      </c>
      <c r="DO105" s="735">
        <f t="shared" ca="1" si="125"/>
        <v>0.67592700000010453</v>
      </c>
      <c r="DP105" s="736">
        <f t="shared" ca="1" si="125"/>
        <v>0.67592700000010453</v>
      </c>
      <c r="DQ105" s="736">
        <f t="shared" ca="1" si="125"/>
        <v>0</v>
      </c>
      <c r="DR105" s="737">
        <f t="shared" ca="1" si="125"/>
        <v>9.4820300088283105</v>
      </c>
      <c r="DS105" s="735">
        <f t="shared" ca="1" si="125"/>
        <v>0.67592700000012229</v>
      </c>
      <c r="DT105" s="736">
        <f t="shared" ca="1" si="125"/>
        <v>0.67592700000012229</v>
      </c>
      <c r="DU105" s="736">
        <f t="shared" ca="1" si="125"/>
        <v>0</v>
      </c>
      <c r="DV105" s="737">
        <f t="shared" ca="1" si="125"/>
        <v>12.660761051414539</v>
      </c>
      <c r="DW105" s="735">
        <f t="shared" ca="1" si="125"/>
        <v>0.67592700000014361</v>
      </c>
      <c r="DX105" s="736">
        <f t="shared" ca="1" si="125"/>
        <v>0.67592700000014361</v>
      </c>
      <c r="DY105" s="736">
        <f t="shared" ca="1" si="125"/>
        <v>0</v>
      </c>
      <c r="DZ105" s="737">
        <f t="shared" ca="1" si="125"/>
        <v>9.2054337754895528</v>
      </c>
      <c r="EA105" s="735">
        <f t="shared" ca="1" si="125"/>
        <v>0.67592700000017203</v>
      </c>
      <c r="EB105" s="736">
        <f t="shared" ca="1" si="125"/>
        <v>0.67592700000017203</v>
      </c>
      <c r="EC105" s="736">
        <f t="shared" ca="1" si="125"/>
        <v>0</v>
      </c>
      <c r="ED105" s="737">
        <f t="shared" ca="1" si="125"/>
        <v>11.863676955097135</v>
      </c>
      <c r="EE105" s="735">
        <f t="shared" ref="EE105:FY105" ca="1" si="126">IF(EE103&gt;0,EE103,0)</f>
        <v>0.67592700000020223</v>
      </c>
      <c r="EF105" s="736">
        <f t="shared" ca="1" si="126"/>
        <v>0.67592700000020223</v>
      </c>
      <c r="EG105" s="736">
        <f t="shared" ca="1" si="126"/>
        <v>0</v>
      </c>
      <c r="EH105" s="737">
        <f t="shared" ca="1" si="126"/>
        <v>13.738606172880809</v>
      </c>
      <c r="EI105" s="735">
        <f t="shared" ca="1" si="126"/>
        <v>0.67592700000024486</v>
      </c>
      <c r="EJ105" s="736">
        <f t="shared" ca="1" si="126"/>
        <v>0.67592700000024486</v>
      </c>
      <c r="EK105" s="736">
        <f t="shared" ca="1" si="126"/>
        <v>0</v>
      </c>
      <c r="EL105" s="737">
        <f t="shared" ca="1" si="126"/>
        <v>11.65850908576623</v>
      </c>
      <c r="EM105" s="735">
        <f t="shared" ca="1" si="126"/>
        <v>0.67592700000021821</v>
      </c>
      <c r="EN105" s="736">
        <f t="shared" ca="1" si="126"/>
        <v>0.67592700000021821</v>
      </c>
      <c r="EO105" s="736">
        <f t="shared" ca="1" si="126"/>
        <v>0</v>
      </c>
      <c r="EP105" s="737">
        <f t="shared" ca="1" si="126"/>
        <v>12.21424759043718</v>
      </c>
      <c r="EQ105" s="735">
        <f t="shared" ca="1" si="126"/>
        <v>0.67592700000032657</v>
      </c>
      <c r="ER105" s="736">
        <f t="shared" ca="1" si="126"/>
        <v>0.67592700000032657</v>
      </c>
      <c r="ES105" s="736">
        <f t="shared" ca="1" si="126"/>
        <v>0</v>
      </c>
      <c r="ET105" s="737">
        <f t="shared" ca="1" si="126"/>
        <v>15.836631565208839</v>
      </c>
      <c r="EU105" s="735">
        <f t="shared" ca="1" si="126"/>
        <v>0.67592700000027683</v>
      </c>
      <c r="EV105" s="736">
        <f t="shared" ca="1" si="126"/>
        <v>0.67592700000027683</v>
      </c>
      <c r="EW105" s="736">
        <f t="shared" ca="1" si="126"/>
        <v>0</v>
      </c>
      <c r="EX105" s="737">
        <f t="shared" ca="1" si="126"/>
        <v>14.067523814026186</v>
      </c>
      <c r="EY105" s="735">
        <f t="shared" ca="1" si="126"/>
        <v>0.67592700000029815</v>
      </c>
      <c r="EZ105" s="736">
        <f t="shared" ca="1" si="126"/>
        <v>0.67592700000029815</v>
      </c>
      <c r="FA105" s="736">
        <f t="shared" ca="1" si="126"/>
        <v>0</v>
      </c>
      <c r="FB105" s="737">
        <f t="shared" ca="1" si="126"/>
        <v>14.616227620866397</v>
      </c>
      <c r="FC105" s="735">
        <f t="shared" ca="1" si="126"/>
        <v>0.67592700000031414</v>
      </c>
      <c r="FD105" s="736">
        <f t="shared" ca="1" si="126"/>
        <v>0.67592700000031414</v>
      </c>
      <c r="FE105" s="736">
        <f t="shared" ca="1" si="126"/>
        <v>0</v>
      </c>
      <c r="FF105" s="737">
        <f t="shared" ca="1" si="126"/>
        <v>16.650439873760462</v>
      </c>
      <c r="FG105" s="735">
        <f t="shared" ca="1" si="126"/>
        <v>0.67592700000025729</v>
      </c>
      <c r="FH105" s="736">
        <f t="shared" ca="1" si="126"/>
        <v>0.67592700000025729</v>
      </c>
      <c r="FI105" s="736">
        <f t="shared" ca="1" si="126"/>
        <v>0</v>
      </c>
      <c r="FJ105" s="737">
        <f t="shared" ca="1" si="126"/>
        <v>15.797908594717759</v>
      </c>
      <c r="FK105" s="735">
        <f t="shared" ca="1" si="126"/>
        <v>0.67592700000019157</v>
      </c>
      <c r="FL105" s="736">
        <f t="shared" ca="1" si="126"/>
        <v>0</v>
      </c>
      <c r="FM105" s="736">
        <f t="shared" ca="1" si="126"/>
        <v>0</v>
      </c>
      <c r="FN105" s="737">
        <f t="shared" ca="1" si="126"/>
        <v>0</v>
      </c>
      <c r="FO105" s="735">
        <f t="shared" ca="1" si="126"/>
        <v>0</v>
      </c>
      <c r="FP105" s="736">
        <f t="shared" ca="1" si="126"/>
        <v>0</v>
      </c>
      <c r="FQ105" s="736">
        <f t="shared" ca="1" si="126"/>
        <v>0</v>
      </c>
      <c r="FR105" s="737">
        <f t="shared" ca="1" si="126"/>
        <v>0</v>
      </c>
      <c r="FS105" s="735">
        <f t="shared" ca="1" si="126"/>
        <v>0</v>
      </c>
      <c r="FT105" s="736">
        <f t="shared" ca="1" si="126"/>
        <v>0</v>
      </c>
      <c r="FU105" s="736">
        <f t="shared" ca="1" si="126"/>
        <v>0</v>
      </c>
      <c r="FV105" s="737">
        <f t="shared" ca="1" si="126"/>
        <v>0</v>
      </c>
      <c r="FW105" s="735">
        <f t="shared" ca="1" si="126"/>
        <v>0</v>
      </c>
      <c r="FX105" s="736">
        <f t="shared" ca="1" si="126"/>
        <v>0</v>
      </c>
      <c r="FY105" s="736">
        <f t="shared" ca="1" si="126"/>
        <v>0</v>
      </c>
      <c r="FZ105" s="737">
        <f ca="1">IF(FZ103&gt;0,FZ103,0)</f>
        <v>0</v>
      </c>
      <c r="GA105" s="735">
        <f ca="1">IF(GA103&gt;0,GA103,0)</f>
        <v>0</v>
      </c>
      <c r="GB105" s="736">
        <f ca="1">IF(GB103&gt;0,GB103,0)</f>
        <v>0</v>
      </c>
      <c r="GC105" s="736">
        <f ca="1">IF(GC103&gt;0,GC103,0)</f>
        <v>0</v>
      </c>
      <c r="GD105" s="737">
        <f ca="1">IF(GD103&gt;0,GD103,0)</f>
        <v>0</v>
      </c>
    </row>
    <row r="106" spans="1:186" ht="17.100000000000001" customHeight="1">
      <c r="V106" s="653"/>
      <c r="W106" s="653"/>
      <c r="X106" s="653"/>
      <c r="Y106" s="653"/>
      <c r="Z106" s="653"/>
      <c r="AA106" s="653"/>
      <c r="AB106" s="653"/>
      <c r="AC106" s="653"/>
      <c r="AD106" s="653"/>
      <c r="AE106" s="653"/>
      <c r="AF106" s="714"/>
      <c r="AG106" s="653"/>
      <c r="AH106" s="653"/>
      <c r="AI106" s="653"/>
      <c r="AJ106" s="653"/>
      <c r="AK106" s="653"/>
      <c r="AL106" s="653"/>
      <c r="AM106" s="653"/>
      <c r="AN106" s="653"/>
      <c r="AO106" s="653"/>
      <c r="AP106" s="653"/>
      <c r="AQ106" s="653"/>
      <c r="AR106" s="653"/>
      <c r="AS106" s="653"/>
    </row>
    <row r="107" spans="1:186" ht="17.100000000000001" customHeight="1">
      <c r="C107" s="414" t="s">
        <v>252</v>
      </c>
      <c r="V107" s="302">
        <f>YEAR(V108)</f>
        <v>2021</v>
      </c>
      <c r="W107" s="302">
        <f t="shared" ref="W107:BL107" si="127">YEAR(W108)</f>
        <v>2022</v>
      </c>
      <c r="X107" s="302">
        <f t="shared" si="127"/>
        <v>2023</v>
      </c>
      <c r="Y107" s="302">
        <f t="shared" si="127"/>
        <v>2024</v>
      </c>
      <c r="Z107" s="302">
        <f t="shared" si="127"/>
        <v>2025</v>
      </c>
      <c r="AA107" s="302">
        <f t="shared" si="127"/>
        <v>2026</v>
      </c>
      <c r="AB107" s="302">
        <f t="shared" si="127"/>
        <v>2027</v>
      </c>
      <c r="AC107" s="302">
        <f t="shared" si="127"/>
        <v>2028</v>
      </c>
      <c r="AD107" s="302">
        <f t="shared" si="127"/>
        <v>2029</v>
      </c>
      <c r="AE107" s="302">
        <f t="shared" si="127"/>
        <v>2030</v>
      </c>
      <c r="AF107" s="302">
        <f t="shared" si="127"/>
        <v>2031</v>
      </c>
      <c r="AG107" s="302">
        <f t="shared" si="127"/>
        <v>2032</v>
      </c>
      <c r="AH107" s="302">
        <f t="shared" si="127"/>
        <v>2033</v>
      </c>
      <c r="AI107" s="302">
        <f t="shared" si="127"/>
        <v>2034</v>
      </c>
      <c r="AJ107" s="302">
        <f t="shared" si="127"/>
        <v>2035</v>
      </c>
      <c r="AK107" s="302">
        <f t="shared" si="127"/>
        <v>2036</v>
      </c>
      <c r="AL107" s="302">
        <f t="shared" si="127"/>
        <v>2037</v>
      </c>
      <c r="AM107" s="302">
        <f t="shared" si="127"/>
        <v>2038</v>
      </c>
      <c r="AN107" s="302">
        <f t="shared" si="127"/>
        <v>2039</v>
      </c>
      <c r="AO107" s="302">
        <f t="shared" si="127"/>
        <v>2040</v>
      </c>
      <c r="AP107" s="302">
        <f t="shared" si="127"/>
        <v>2041</v>
      </c>
      <c r="AQ107" s="302">
        <f t="shared" si="127"/>
        <v>2042</v>
      </c>
      <c r="AR107" s="302">
        <f t="shared" si="127"/>
        <v>2043</v>
      </c>
      <c r="AS107" s="302">
        <f t="shared" si="127"/>
        <v>2044</v>
      </c>
      <c r="AT107" s="302">
        <f t="shared" si="127"/>
        <v>2045</v>
      </c>
      <c r="AU107" s="302">
        <f t="shared" si="127"/>
        <v>2046</v>
      </c>
      <c r="AV107" s="302">
        <f t="shared" si="127"/>
        <v>2047</v>
      </c>
      <c r="AW107" s="302">
        <f t="shared" si="127"/>
        <v>2048</v>
      </c>
      <c r="AX107" s="302">
        <f t="shared" si="127"/>
        <v>2049</v>
      </c>
      <c r="AY107" s="302">
        <f t="shared" si="127"/>
        <v>2050</v>
      </c>
      <c r="AZ107" s="302">
        <f t="shared" si="127"/>
        <v>2051</v>
      </c>
      <c r="BA107" s="302">
        <f t="shared" si="127"/>
        <v>2052</v>
      </c>
      <c r="BB107" s="302">
        <f t="shared" si="127"/>
        <v>2053</v>
      </c>
      <c r="BC107" s="302">
        <f t="shared" si="127"/>
        <v>2054</v>
      </c>
      <c r="BD107" s="302">
        <f t="shared" si="127"/>
        <v>2055</v>
      </c>
      <c r="BE107" s="302">
        <f t="shared" si="127"/>
        <v>2056</v>
      </c>
      <c r="BF107" s="302">
        <f t="shared" si="127"/>
        <v>2057</v>
      </c>
      <c r="BG107" s="302">
        <f t="shared" si="127"/>
        <v>2058</v>
      </c>
      <c r="BH107" s="302">
        <f t="shared" si="127"/>
        <v>2059</v>
      </c>
      <c r="BI107" s="302">
        <f t="shared" si="127"/>
        <v>2060</v>
      </c>
      <c r="BJ107" s="302">
        <f t="shared" si="127"/>
        <v>2061</v>
      </c>
      <c r="BK107" s="302">
        <f t="shared" si="127"/>
        <v>2062</v>
      </c>
      <c r="BL107" s="302">
        <f t="shared" si="127"/>
        <v>2063</v>
      </c>
    </row>
    <row r="108" spans="1:186" s="1430" customFormat="1" ht="12">
      <c r="A108" s="1423"/>
      <c r="B108" s="1424"/>
      <c r="C108" s="1425"/>
      <c r="D108" s="1426"/>
      <c r="E108" s="1426"/>
      <c r="F108" s="1426"/>
      <c r="G108" s="1427"/>
      <c r="H108" s="1428" t="s">
        <v>1273</v>
      </c>
      <c r="I108" s="1429">
        <v>2005</v>
      </c>
      <c r="J108" s="1429">
        <f t="shared" ref="J108:R108" si="128">I108+1</f>
        <v>2006</v>
      </c>
      <c r="K108" s="1429">
        <f t="shared" si="128"/>
        <v>2007</v>
      </c>
      <c r="L108" s="1429">
        <f t="shared" si="128"/>
        <v>2008</v>
      </c>
      <c r="M108" s="1429">
        <f t="shared" si="128"/>
        <v>2009</v>
      </c>
      <c r="N108" s="1429">
        <f t="shared" si="128"/>
        <v>2010</v>
      </c>
      <c r="O108" s="1429">
        <f t="shared" si="128"/>
        <v>2011</v>
      </c>
      <c r="P108" s="1429">
        <f t="shared" si="128"/>
        <v>2012</v>
      </c>
      <c r="Q108" s="1429">
        <f t="shared" si="128"/>
        <v>2013</v>
      </c>
      <c r="R108" s="1429">
        <f t="shared" si="128"/>
        <v>2014</v>
      </c>
      <c r="S108" s="1429">
        <f>BS!I179</f>
        <v>2018</v>
      </c>
      <c r="T108" s="642">
        <f>J93</f>
        <v>43830</v>
      </c>
      <c r="U108" s="641">
        <f>EOMONTH(T108,12)</f>
        <v>44196</v>
      </c>
      <c r="V108" s="641">
        <f t="shared" ref="V108:BL108" si="129">EOMONTH(U108,12)</f>
        <v>44561</v>
      </c>
      <c r="W108" s="641">
        <f t="shared" si="129"/>
        <v>44926</v>
      </c>
      <c r="X108" s="641">
        <f t="shared" si="129"/>
        <v>45291</v>
      </c>
      <c r="Y108" s="641">
        <f t="shared" si="129"/>
        <v>45657</v>
      </c>
      <c r="Z108" s="641">
        <f t="shared" si="129"/>
        <v>46022</v>
      </c>
      <c r="AA108" s="641">
        <f t="shared" si="129"/>
        <v>46387</v>
      </c>
      <c r="AB108" s="641">
        <f t="shared" si="129"/>
        <v>46752</v>
      </c>
      <c r="AC108" s="641">
        <f t="shared" si="129"/>
        <v>47118</v>
      </c>
      <c r="AD108" s="641">
        <f t="shared" si="129"/>
        <v>47483</v>
      </c>
      <c r="AE108" s="641">
        <f t="shared" si="129"/>
        <v>47848</v>
      </c>
      <c r="AF108" s="641">
        <f t="shared" si="129"/>
        <v>48213</v>
      </c>
      <c r="AG108" s="641">
        <f t="shared" si="129"/>
        <v>48579</v>
      </c>
      <c r="AH108" s="641">
        <f t="shared" si="129"/>
        <v>48944</v>
      </c>
      <c r="AI108" s="641">
        <f t="shared" si="129"/>
        <v>49309</v>
      </c>
      <c r="AJ108" s="641">
        <f t="shared" si="129"/>
        <v>49674</v>
      </c>
      <c r="AK108" s="641">
        <f t="shared" si="129"/>
        <v>50040</v>
      </c>
      <c r="AL108" s="641">
        <f t="shared" si="129"/>
        <v>50405</v>
      </c>
      <c r="AM108" s="641">
        <f t="shared" si="129"/>
        <v>50770</v>
      </c>
      <c r="AN108" s="641">
        <f t="shared" si="129"/>
        <v>51135</v>
      </c>
      <c r="AO108" s="641">
        <f t="shared" si="129"/>
        <v>51501</v>
      </c>
      <c r="AP108" s="641">
        <f t="shared" si="129"/>
        <v>51866</v>
      </c>
      <c r="AQ108" s="641">
        <f t="shared" si="129"/>
        <v>52231</v>
      </c>
      <c r="AR108" s="641">
        <f t="shared" si="129"/>
        <v>52596</v>
      </c>
      <c r="AS108" s="641">
        <f t="shared" si="129"/>
        <v>52962</v>
      </c>
      <c r="AT108" s="641">
        <f t="shared" si="129"/>
        <v>53327</v>
      </c>
      <c r="AU108" s="641">
        <f t="shared" si="129"/>
        <v>53692</v>
      </c>
      <c r="AV108" s="641">
        <f t="shared" si="129"/>
        <v>54057</v>
      </c>
      <c r="AW108" s="641">
        <f t="shared" si="129"/>
        <v>54423</v>
      </c>
      <c r="AX108" s="641">
        <f t="shared" si="129"/>
        <v>54788</v>
      </c>
      <c r="AY108" s="641">
        <f t="shared" si="129"/>
        <v>55153</v>
      </c>
      <c r="AZ108" s="641">
        <f t="shared" si="129"/>
        <v>55518</v>
      </c>
      <c r="BA108" s="641">
        <f t="shared" si="129"/>
        <v>55884</v>
      </c>
      <c r="BB108" s="641">
        <f t="shared" si="129"/>
        <v>56249</v>
      </c>
      <c r="BC108" s="641">
        <f t="shared" si="129"/>
        <v>56614</v>
      </c>
      <c r="BD108" s="641">
        <f t="shared" si="129"/>
        <v>56979</v>
      </c>
      <c r="BE108" s="641">
        <f t="shared" si="129"/>
        <v>57345</v>
      </c>
      <c r="BF108" s="641">
        <f t="shared" si="129"/>
        <v>57710</v>
      </c>
      <c r="BG108" s="641">
        <f t="shared" si="129"/>
        <v>58075</v>
      </c>
      <c r="BH108" s="641">
        <f t="shared" si="129"/>
        <v>58440</v>
      </c>
      <c r="BI108" s="641">
        <f t="shared" si="129"/>
        <v>58806</v>
      </c>
      <c r="BJ108" s="641">
        <f t="shared" si="129"/>
        <v>59171</v>
      </c>
      <c r="BK108" s="641">
        <f t="shared" si="129"/>
        <v>59536</v>
      </c>
      <c r="BL108" s="642">
        <f t="shared" si="129"/>
        <v>59901</v>
      </c>
    </row>
    <row r="109" spans="1:186" s="1430" customFormat="1" ht="12">
      <c r="A109" s="1423"/>
      <c r="B109" s="1424"/>
      <c r="C109" s="1425" t="s">
        <v>1274</v>
      </c>
      <c r="D109" s="1426"/>
      <c r="E109" s="1426"/>
      <c r="F109" s="1426"/>
      <c r="G109" s="1427"/>
      <c r="H109" s="1431">
        <f ca="1">SUM(I109:BL109)</f>
        <v>2077.1417849780464</v>
      </c>
      <c r="I109" s="1432">
        <v>-9.1026930700000008</v>
      </c>
      <c r="J109" s="1432">
        <v>-10.28258198</v>
      </c>
      <c r="K109" s="1432">
        <v>-10.851321259999999</v>
      </c>
      <c r="L109" s="1432">
        <v>-11.282590399999998</v>
      </c>
      <c r="M109" s="1432">
        <v>-137.72202562000001</v>
      </c>
      <c r="N109" s="1432">
        <v>-175.02537860000001</v>
      </c>
      <c r="O109" s="1432">
        <v>-132.05880438</v>
      </c>
      <c r="P109" s="1432">
        <v>-176.22214083999998</v>
      </c>
      <c r="Q109" s="1432">
        <v>-96.220014890000002</v>
      </c>
      <c r="R109" s="1432">
        <v>-31.107868020000002</v>
      </c>
      <c r="S109" s="1432">
        <v>94.51</v>
      </c>
      <c r="T109" s="1431">
        <f ca="1">'IS(Y)'!K33</f>
        <v>74.262723294187566</v>
      </c>
      <c r="U109" s="1431">
        <f ca="1">'IS(Y)'!L33</f>
        <v>44.678921446147811</v>
      </c>
      <c r="V109" s="1433">
        <f ca="1">'IS(Y)'!M33</f>
        <v>61.994427378590402</v>
      </c>
      <c r="W109" s="1433">
        <f ca="1">'IS(Y)'!N33</f>
        <v>78.732884598754453</v>
      </c>
      <c r="X109" s="1433">
        <f ca="1">'IS(Y)'!O33</f>
        <v>101.08236107000064</v>
      </c>
      <c r="Y109" s="1433">
        <f ca="1">'IS(Y)'!P33</f>
        <v>113.82486255103683</v>
      </c>
      <c r="Z109" s="1433">
        <f ca="1">'IS(Y)'!Q33</f>
        <v>48.958126568450268</v>
      </c>
      <c r="AA109" s="1433">
        <f ca="1">'IS(Y)'!R33</f>
        <v>2.9345602074815229</v>
      </c>
      <c r="AB109" s="1433">
        <f ca="1">'IS(Y)'!S33</f>
        <v>17.701136466161209</v>
      </c>
      <c r="AC109" s="1433">
        <f ca="1">'IS(Y)'!T33</f>
        <v>22.875890805667126</v>
      </c>
      <c r="AD109" s="1433">
        <f ca="1">'IS(Y)'!U33</f>
        <v>21.028286514153304</v>
      </c>
      <c r="AE109" s="1433">
        <f ca="1">'IS(Y)'!V33</f>
        <v>40.111154234171806</v>
      </c>
      <c r="AF109" s="1433">
        <f ca="1">'IS(Y)'!W33</f>
        <v>35.031876136194512</v>
      </c>
      <c r="AG109" s="1433">
        <f ca="1">'IS(Y)'!X33</f>
        <v>37.242531701404005</v>
      </c>
      <c r="AH109" s="1433">
        <f ca="1">'IS(Y)'!Y33</f>
        <v>46.119184921741351</v>
      </c>
      <c r="AI109" s="1433">
        <f ca="1">'IS(Y)'!Z33</f>
        <v>45.521806400526259</v>
      </c>
      <c r="AJ109" s="1433">
        <f ca="1">'IS(Y)'!AA33</f>
        <v>38.814025131799838</v>
      </c>
      <c r="AK109" s="1433">
        <f ca="1">'IS(Y)'!AB33</f>
        <v>51.069875474854427</v>
      </c>
      <c r="AL109" s="1433">
        <f ca="1">'IS(Y)'!AC33</f>
        <v>48.724208657821748</v>
      </c>
      <c r="AM109" s="1433">
        <f ca="1">'IS(Y)'!AD33</f>
        <v>43.543782435385879</v>
      </c>
      <c r="AN109" s="1433">
        <f ca="1">'IS(Y)'!AE33</f>
        <v>44.338254379805107</v>
      </c>
      <c r="AO109" s="1433">
        <f ca="1">'IS(Y)'!AF33</f>
        <v>61.007207875035135</v>
      </c>
      <c r="AP109" s="1433">
        <f ca="1">'IS(Y)'!AG33</f>
        <v>65.051225333355717</v>
      </c>
      <c r="AQ109" s="1433">
        <f ca="1">'IS(Y)'!AH33</f>
        <v>82.067953607770903</v>
      </c>
      <c r="AR109" s="1433">
        <f ca="1">'IS(Y)'!AI33</f>
        <v>79.863605839274896</v>
      </c>
      <c r="AS109" s="1433">
        <f ca="1">'IS(Y)'!AJ33</f>
        <v>80.544716500625725</v>
      </c>
      <c r="AT109" s="1433">
        <f ca="1">'IS(Y)'!AK33</f>
        <v>88.85350662205559</v>
      </c>
      <c r="AU109" s="1433">
        <f ca="1">'IS(Y)'!AL33</f>
        <v>92.410962537524881</v>
      </c>
      <c r="AV109" s="1433">
        <f ca="1">'IS(Y)'!AM33</f>
        <v>86.733222217981563</v>
      </c>
      <c r="AW109" s="1433">
        <f ca="1">'IS(Y)'!AN33</f>
        <v>98.343129524510857</v>
      </c>
      <c r="AX109" s="1433">
        <f ca="1">'IS(Y)'!AO33</f>
        <v>88.442050105389114</v>
      </c>
      <c r="AY109" s="1433">
        <f ca="1">'IS(Y)'!AP33</f>
        <v>95.574433939498931</v>
      </c>
      <c r="AZ109" s="1433">
        <f ca="1">'IS(Y)'!AQ33</f>
        <v>107.66303139193406</v>
      </c>
      <c r="BA109" s="1433">
        <f ca="1">'IS(Y)'!AR33</f>
        <v>104.25234335853969</v>
      </c>
      <c r="BB109" s="1433">
        <f ca="1">'IS(Y)'!AS33</f>
        <v>105.07308345398332</v>
      </c>
      <c r="BC109" s="1433">
        <f ca="1">'IS(Y)'!AT33</f>
        <v>121.94883520521216</v>
      </c>
      <c r="BD109" s="1433">
        <f ca="1">'IS(Y)'!AU33</f>
        <v>122.34531221181476</v>
      </c>
      <c r="BE109" s="1433">
        <f ca="1">'IS(Y)'!AV33</f>
        <v>125.03765892802602</v>
      </c>
      <c r="BF109" s="1433">
        <f ca="1">'IS(Y)'!AW33</f>
        <v>135.63025161746822</v>
      </c>
      <c r="BG109" s="1433">
        <f ca="1">'IS(Y)'!AX33</f>
        <v>137.05140578472276</v>
      </c>
      <c r="BH109" s="1433">
        <f ca="1">'IS(Y)'!AY33</f>
        <v>-123.97761239101396</v>
      </c>
      <c r="BI109" s="1433">
        <f ca="1">'IS(Y)'!AZ33</f>
        <v>0</v>
      </c>
      <c r="BJ109" s="1433">
        <f ca="1">'IS(Y)'!BA33</f>
        <v>0</v>
      </c>
      <c r="BK109" s="1433">
        <f ca="1">'IS(Y)'!BB33</f>
        <v>0</v>
      </c>
      <c r="BL109" s="1433">
        <f ca="1">'IS(Y)'!BC33</f>
        <v>0</v>
      </c>
    </row>
    <row r="110" spans="1:186" s="1423" customFormat="1" ht="12">
      <c r="B110" s="1434"/>
      <c r="C110" s="1435" t="s">
        <v>1275</v>
      </c>
      <c r="D110" s="1436"/>
      <c r="E110" s="1436"/>
      <c r="F110" s="1436"/>
      <c r="G110" s="1437"/>
      <c r="H110" s="1438">
        <f>SUM(I110:BL110)</f>
        <v>0</v>
      </c>
      <c r="I110" s="1438"/>
      <c r="J110" s="1438"/>
      <c r="K110" s="1438"/>
      <c r="L110" s="1438"/>
      <c r="M110" s="1438"/>
      <c r="N110" s="1438"/>
      <c r="O110" s="1438"/>
      <c r="P110" s="1438"/>
      <c r="Q110" s="1438"/>
      <c r="R110" s="1438"/>
      <c r="S110" s="1438"/>
      <c r="T110" s="1438"/>
      <c r="U110" s="1438"/>
      <c r="V110" s="1439"/>
      <c r="W110" s="1439"/>
      <c r="X110" s="1439"/>
      <c r="Y110" s="1439"/>
      <c r="Z110" s="1439"/>
      <c r="AA110" s="1439"/>
      <c r="AB110" s="1439"/>
      <c r="AC110" s="1439"/>
      <c r="AD110" s="1439"/>
      <c r="AE110" s="1439"/>
      <c r="AF110" s="1439"/>
      <c r="AG110" s="1439"/>
      <c r="AH110" s="1439"/>
      <c r="AI110" s="1439"/>
      <c r="AJ110" s="1439"/>
      <c r="AK110" s="1439"/>
      <c r="AL110" s="1439"/>
      <c r="AM110" s="1439"/>
      <c r="AN110" s="1439"/>
      <c r="AO110" s="1439"/>
      <c r="AP110" s="1439"/>
      <c r="AQ110" s="1439"/>
      <c r="AR110" s="1439"/>
      <c r="AS110" s="1439"/>
      <c r="AT110" s="1439"/>
      <c r="AU110" s="1439"/>
      <c r="AV110" s="1439"/>
      <c r="AW110" s="1439"/>
      <c r="AX110" s="1439"/>
      <c r="AY110" s="1439"/>
      <c r="AZ110" s="1439"/>
      <c r="BA110" s="1439"/>
      <c r="BB110" s="1439"/>
      <c r="BC110" s="1439"/>
      <c r="BD110" s="1439"/>
      <c r="BE110" s="1439"/>
      <c r="BF110" s="1439"/>
      <c r="BG110" s="1439"/>
      <c r="BH110" s="1439"/>
      <c r="BI110" s="1439"/>
      <c r="BJ110" s="1439"/>
      <c r="BK110" s="1439"/>
      <c r="BL110" s="1439"/>
    </row>
    <row r="111" spans="1:186" s="1440" customFormat="1" ht="15" customHeight="1">
      <c r="B111" s="1441"/>
      <c r="C111" s="1442" t="s">
        <v>1276</v>
      </c>
      <c r="D111" s="1443"/>
      <c r="E111" s="1443"/>
      <c r="F111" s="1443"/>
      <c r="G111" s="1444"/>
      <c r="H111" s="1445">
        <f ca="1">SUM(J111:BL111)</f>
        <v>2086.2444780480464</v>
      </c>
      <c r="I111" s="1446">
        <f t="shared" ref="I111:BL111" si="130">I109+I110</f>
        <v>-9.1026930700000008</v>
      </c>
      <c r="J111" s="1445">
        <f t="shared" si="130"/>
        <v>-10.28258198</v>
      </c>
      <c r="K111" s="1445">
        <f t="shared" si="130"/>
        <v>-10.851321259999999</v>
      </c>
      <c r="L111" s="1445">
        <f t="shared" si="130"/>
        <v>-11.282590399999998</v>
      </c>
      <c r="M111" s="1445">
        <f t="shared" si="130"/>
        <v>-137.72202562000001</v>
      </c>
      <c r="N111" s="1445">
        <f t="shared" si="130"/>
        <v>-175.02537860000001</v>
      </c>
      <c r="O111" s="1445">
        <f t="shared" si="130"/>
        <v>-132.05880438</v>
      </c>
      <c r="P111" s="1445">
        <f t="shared" si="130"/>
        <v>-176.22214083999998</v>
      </c>
      <c r="Q111" s="1445">
        <f t="shared" si="130"/>
        <v>-96.220014890000002</v>
      </c>
      <c r="R111" s="1445">
        <f t="shared" si="130"/>
        <v>-31.107868020000002</v>
      </c>
      <c r="S111" s="1445">
        <f t="shared" si="130"/>
        <v>94.51</v>
      </c>
      <c r="T111" s="1445">
        <f t="shared" ca="1" si="130"/>
        <v>74.262723294187566</v>
      </c>
      <c r="U111" s="1445">
        <f t="shared" ca="1" si="130"/>
        <v>44.678921446147811</v>
      </c>
      <c r="V111" s="1447">
        <f t="shared" ca="1" si="130"/>
        <v>61.994427378590402</v>
      </c>
      <c r="W111" s="1447">
        <f t="shared" ca="1" si="130"/>
        <v>78.732884598754453</v>
      </c>
      <c r="X111" s="1447">
        <f t="shared" ca="1" si="130"/>
        <v>101.08236107000064</v>
      </c>
      <c r="Y111" s="1447">
        <f t="shared" ca="1" si="130"/>
        <v>113.82486255103683</v>
      </c>
      <c r="Z111" s="1447">
        <f t="shared" ca="1" si="130"/>
        <v>48.958126568450268</v>
      </c>
      <c r="AA111" s="1447">
        <f t="shared" ca="1" si="130"/>
        <v>2.9345602074815229</v>
      </c>
      <c r="AB111" s="1447">
        <f t="shared" ca="1" si="130"/>
        <v>17.701136466161209</v>
      </c>
      <c r="AC111" s="1447">
        <f t="shared" ca="1" si="130"/>
        <v>22.875890805667126</v>
      </c>
      <c r="AD111" s="1447">
        <f t="shared" ca="1" si="130"/>
        <v>21.028286514153304</v>
      </c>
      <c r="AE111" s="1447">
        <f t="shared" ca="1" si="130"/>
        <v>40.111154234171806</v>
      </c>
      <c r="AF111" s="1447">
        <f t="shared" ca="1" si="130"/>
        <v>35.031876136194512</v>
      </c>
      <c r="AG111" s="1447">
        <f t="shared" ca="1" si="130"/>
        <v>37.242531701404005</v>
      </c>
      <c r="AH111" s="1447">
        <f t="shared" ca="1" si="130"/>
        <v>46.119184921741351</v>
      </c>
      <c r="AI111" s="1447">
        <f t="shared" ca="1" si="130"/>
        <v>45.521806400526259</v>
      </c>
      <c r="AJ111" s="1447">
        <f t="shared" ca="1" si="130"/>
        <v>38.814025131799838</v>
      </c>
      <c r="AK111" s="1447">
        <f t="shared" ca="1" si="130"/>
        <v>51.069875474854427</v>
      </c>
      <c r="AL111" s="1447">
        <f t="shared" ca="1" si="130"/>
        <v>48.724208657821748</v>
      </c>
      <c r="AM111" s="1447">
        <f t="shared" ca="1" si="130"/>
        <v>43.543782435385879</v>
      </c>
      <c r="AN111" s="1447">
        <f t="shared" ca="1" si="130"/>
        <v>44.338254379805107</v>
      </c>
      <c r="AO111" s="1447">
        <f t="shared" ca="1" si="130"/>
        <v>61.007207875035135</v>
      </c>
      <c r="AP111" s="1447">
        <f t="shared" ca="1" si="130"/>
        <v>65.051225333355717</v>
      </c>
      <c r="AQ111" s="1447">
        <f t="shared" ca="1" si="130"/>
        <v>82.067953607770903</v>
      </c>
      <c r="AR111" s="1447">
        <f t="shared" ca="1" si="130"/>
        <v>79.863605839274896</v>
      </c>
      <c r="AS111" s="1447">
        <f t="shared" ca="1" si="130"/>
        <v>80.544716500625725</v>
      </c>
      <c r="AT111" s="1447">
        <f t="shared" ca="1" si="130"/>
        <v>88.85350662205559</v>
      </c>
      <c r="AU111" s="1447">
        <f t="shared" ca="1" si="130"/>
        <v>92.410962537524881</v>
      </c>
      <c r="AV111" s="1447">
        <f t="shared" ca="1" si="130"/>
        <v>86.733222217981563</v>
      </c>
      <c r="AW111" s="1447">
        <f t="shared" ca="1" si="130"/>
        <v>98.343129524510857</v>
      </c>
      <c r="AX111" s="1447">
        <f t="shared" ca="1" si="130"/>
        <v>88.442050105389114</v>
      </c>
      <c r="AY111" s="1447">
        <f t="shared" ca="1" si="130"/>
        <v>95.574433939498931</v>
      </c>
      <c r="AZ111" s="1447">
        <f t="shared" ca="1" si="130"/>
        <v>107.66303139193406</v>
      </c>
      <c r="BA111" s="1447">
        <f t="shared" ca="1" si="130"/>
        <v>104.25234335853969</v>
      </c>
      <c r="BB111" s="1447">
        <f t="shared" ca="1" si="130"/>
        <v>105.07308345398332</v>
      </c>
      <c r="BC111" s="1447">
        <f t="shared" ca="1" si="130"/>
        <v>121.94883520521216</v>
      </c>
      <c r="BD111" s="1447">
        <f t="shared" ca="1" si="130"/>
        <v>122.34531221181476</v>
      </c>
      <c r="BE111" s="1447">
        <f t="shared" ca="1" si="130"/>
        <v>125.03765892802602</v>
      </c>
      <c r="BF111" s="1447">
        <f t="shared" ca="1" si="130"/>
        <v>135.63025161746822</v>
      </c>
      <c r="BG111" s="1447">
        <f t="shared" ca="1" si="130"/>
        <v>137.05140578472276</v>
      </c>
      <c r="BH111" s="1447">
        <f t="shared" ca="1" si="130"/>
        <v>-123.97761239101396</v>
      </c>
      <c r="BI111" s="1447">
        <f t="shared" ca="1" si="130"/>
        <v>0</v>
      </c>
      <c r="BJ111" s="1447">
        <f t="shared" ca="1" si="130"/>
        <v>0</v>
      </c>
      <c r="BK111" s="1447">
        <f t="shared" ca="1" si="130"/>
        <v>0</v>
      </c>
      <c r="BL111" s="1447">
        <f t="shared" ca="1" si="130"/>
        <v>0</v>
      </c>
    </row>
    <row r="112" spans="1:186" s="1440" customFormat="1" ht="15" customHeight="1">
      <c r="B112" s="1441"/>
      <c r="C112" s="1448"/>
      <c r="D112" s="1449" t="s">
        <v>1277</v>
      </c>
      <c r="E112" s="1449"/>
      <c r="F112" s="1449"/>
      <c r="G112" s="1441"/>
      <c r="H112" s="1450"/>
      <c r="I112" s="1451"/>
      <c r="J112" s="1450"/>
      <c r="K112" s="1450"/>
      <c r="L112" s="1450"/>
      <c r="M112" s="1450"/>
      <c r="N112" s="1450"/>
      <c r="O112" s="1450"/>
      <c r="P112" s="1450"/>
      <c r="Q112" s="1450"/>
      <c r="R112" s="1450"/>
      <c r="S112" s="1450"/>
      <c r="T112" s="1450"/>
      <c r="U112" s="1450"/>
      <c r="V112" s="1450"/>
      <c r="W112" s="1450"/>
      <c r="X112" s="1450"/>
      <c r="Y112" s="1450"/>
      <c r="Z112" s="1450"/>
      <c r="AA112" s="1450"/>
      <c r="AB112" s="1450"/>
      <c r="AC112" s="1450"/>
      <c r="AD112" s="1450"/>
      <c r="AE112" s="1450"/>
      <c r="AF112" s="1450"/>
      <c r="AG112" s="1450"/>
      <c r="AH112" s="1450"/>
      <c r="AI112" s="1450"/>
      <c r="AJ112" s="49">
        <f ca="1">IF(AI$130+SUM(AI$112:AI112)&gt;0,IF(AI$130+SUM(AI$112:AI113)&gt;0,0,AI$130+SUM(AI$112:AI113)),AI113)</f>
        <v>0</v>
      </c>
      <c r="AK112" s="49">
        <f ca="1">IF(AJ$130+SUM(AJ$112:AJ112)&gt;0,IF(AJ$130+SUM(AJ$112:AJ113)&gt;0,0,AJ$130+SUM(AJ$112:AJ113)),AJ113)</f>
        <v>0</v>
      </c>
      <c r="AL112" s="49">
        <f ca="1">IF(AK$130+SUM(AK$112:AK112)&gt;0,IF(AK$130+SUM(AK$112:AK113)&gt;0,0,AK$130+SUM(AK$112:AK113)),AK113)</f>
        <v>0</v>
      </c>
      <c r="AM112" s="49">
        <f ca="1">IF(AL$130+SUM(AL$112:AL112)&gt;0,IF(AL$130+SUM(AL$112:AL113)&gt;0,0,AL$130+SUM(AL$112:AL113)),AL113)</f>
        <v>0</v>
      </c>
      <c r="AN112" s="49">
        <f ca="1">IF(AM$130+SUM(AM$112:AM112)&gt;0,IF(AM$130+SUM(AM$112:AM113)&gt;0,0,AM$130+SUM(AM$112:AM113)),AM113)</f>
        <v>0</v>
      </c>
      <c r="AO112" s="49">
        <f ca="1">IF(AN$130+SUM(AN$112:AN112)&gt;0,IF(AN$130+SUM(AN$112:AN113)&gt;0,0,AN$130+SUM(AN$112:AN113)),AN113)</f>
        <v>0</v>
      </c>
      <c r="AP112" s="49">
        <f ca="1">IF(AO$130+SUM(AO$112:AO112)&gt;0,IF(AO$130+SUM(AO$112:AO113)&gt;0,0,AO$130+SUM(AO$112:AO113)),AO113)</f>
        <v>0</v>
      </c>
      <c r="AQ112" s="49">
        <f ca="1">IF(AP$130+SUM(AP$112:AP112)&gt;0,IF(AP$130+SUM(AP$112:AP113)&gt;0,0,AP$130+SUM(AP$112:AP113)),AP113)</f>
        <v>0</v>
      </c>
      <c r="AR112" s="49">
        <f ca="1">IF(AQ$130+SUM(AQ$112:AQ112)&gt;0,IF(AQ$130+SUM(AQ$112:AQ113)&gt;0,0,AQ$130+SUM(AQ$112:AQ113)),AQ113)</f>
        <v>0</v>
      </c>
      <c r="AS112" s="49">
        <f ca="1">IF(AR$130+SUM(AR$112:AR112)&gt;0,IF(AR$130+SUM(AR$112:AR113)&gt;0,0,AR$130+SUM(AR$112:AR113)),AR113)</f>
        <v>0</v>
      </c>
      <c r="AT112" s="49">
        <f ca="1">IF(AS$130+SUM(AS$112:AS112)&gt;0,IF(AS$130+SUM(AS$112:AS113)&gt;0,0,AS$130+SUM(AS$112:AS113)),AS113)</f>
        <v>0</v>
      </c>
      <c r="AU112" s="49">
        <f ca="1">IF(AT$130+SUM(AT$112:AT112)&gt;0,IF(AT$130+SUM(AT$112:AT113)&gt;0,0,AT$130+SUM(AT$112:AT113)),AT113)</f>
        <v>0</v>
      </c>
      <c r="AV112" s="49">
        <f ca="1">IF(AU$130+SUM(AU$112:AU112)&gt;0,IF(AU$130+SUM(AU$112:AU113)&gt;0,0,AU$130+SUM(AU$112:AU113)),AU113)</f>
        <v>0</v>
      </c>
      <c r="AW112" s="49">
        <f ca="1">IF(AV$130+SUM(AV$112:AV112)&gt;0,IF(AV$130+SUM(AV$112:AV113)&gt;0,0,AV$130+SUM(AV$112:AV113)),AV113)</f>
        <v>0</v>
      </c>
      <c r="AX112" s="49">
        <f ca="1">IF(AW$130+SUM(AW$112:AW112)&gt;0,IF(AW$130+SUM(AW$112:AW113)&gt;0,0,AW$130+SUM(AW$112:AW113)),AW113)</f>
        <v>0</v>
      </c>
      <c r="AY112" s="49">
        <f ca="1">IF(AX$130+SUM(AX$112:AX112)&gt;0,IF(AX$130+SUM(AX$112:AX113)&gt;0,0,AX$130+SUM(AX$112:AX113)),AX113)</f>
        <v>0</v>
      </c>
      <c r="AZ112" s="49">
        <f ca="1">IF(AY$130+SUM(AY$112:AY112)&gt;0,IF(AY$130+SUM(AY$112:AY113)&gt;0,0,AY$130+SUM(AY$112:AY113)),AY113)</f>
        <v>0</v>
      </c>
      <c r="BA112" s="49">
        <f ca="1">IF(AZ$130+SUM(AZ$112:AZ112)&gt;0,IF(AZ$130+SUM(AZ$112:AZ113)&gt;0,0,AZ$130+SUM(AZ$112:AZ113)),AZ113)</f>
        <v>0</v>
      </c>
      <c r="BB112" s="49">
        <f ca="1">IF(BA$130+SUM(BA$112:BA112)&gt;0,IF(BA$130+SUM(BA$112:BA113)&gt;0,0,BA$130+SUM(BA$112:BA113)),BA113)</f>
        <v>0</v>
      </c>
      <c r="BC112" s="49">
        <f ca="1">IF(BB$130+SUM(BB$112:BB112)&gt;0,IF(BB$130+SUM(BB$112:BB113)&gt;0,0,BB$130+SUM(BB$112:BB113)),BB113)</f>
        <v>0</v>
      </c>
      <c r="BD112" s="49">
        <f ca="1">IF(BC$130+SUM(BC$112:BC112)&gt;0,IF(BC$130+SUM(BC$112:BC113)&gt;0,0,BC$130+SUM(BC$112:BC113)),BC113)</f>
        <v>0</v>
      </c>
      <c r="BE112" s="49">
        <f ca="1">IF(BD$130+SUM(BD$112:BD112)&gt;0,IF(BD$130+SUM(BD$112:BD113)&gt;0,0,BD$130+SUM(BD$112:BD113)),BD113)</f>
        <v>0</v>
      </c>
      <c r="BF112" s="49">
        <f ca="1">IF(BE$130+SUM(BE$112:BE112)&gt;0,IF(BE$130+SUM(BE$112:BE113)&gt;0,0,BE$130+SUM(BE$112:BE113)),BE113)</f>
        <v>0</v>
      </c>
      <c r="BG112" s="49">
        <f ca="1">IF(BF$130+SUM(BF$112:BF112)&gt;0,IF(BF$130+SUM(BF$112:BF113)&gt;0,0,BF$130+SUM(BF$112:BF113)),BF113)</f>
        <v>0</v>
      </c>
      <c r="BH112" s="49">
        <f ca="1">IF(BG$130+SUM(BG$112:BG112)&gt;0,IF(BG$130+SUM(BG$112:BG113)&gt;0,0,BG$130+SUM(BG$112:BG113)),BG113)</f>
        <v>0</v>
      </c>
      <c r="BI112" s="49">
        <f ca="1">IF(BH$130+SUM(BH$112:BH112)&gt;0,IF(BH$130+SUM(BH$112:BH113)&gt;0,0,BH$130+SUM(BH$112:BH113)),BH113)</f>
        <v>0</v>
      </c>
      <c r="BJ112" s="49">
        <f ca="1">IF(BI$130+SUM(BI$112:BI112)&gt;0,IF(BI$130+SUM(BI$112:BI113)&gt;0,0,BI$130+SUM(BI$112:BI113)),BI113)</f>
        <v>0</v>
      </c>
      <c r="BK112" s="49">
        <f ca="1">IF(BJ$130+SUM(BJ$112:BJ112)&gt;0,IF(BJ$130+SUM(BJ$112:BJ113)&gt;0,0,BJ$130+SUM(BJ$112:BJ113)),BJ113)</f>
        <v>0</v>
      </c>
      <c r="BL112" s="49">
        <f ca="1">IF(BK$130+SUM(BK$112:BK112)&gt;0,IF(BK$130+SUM(BK$112:BK113)&gt;0,0,BK$130+SUM(BK$112:BK113)),BK113)</f>
        <v>0</v>
      </c>
    </row>
    <row r="113" spans="2:64" s="1440" customFormat="1" ht="15" customHeight="1">
      <c r="B113" s="1441"/>
      <c r="C113" s="1448"/>
      <c r="D113" s="1449" t="s">
        <v>1278</v>
      </c>
      <c r="E113" s="1449"/>
      <c r="F113" s="1449"/>
      <c r="G113" s="1441"/>
      <c r="H113" s="1450"/>
      <c r="I113" s="1451"/>
      <c r="J113" s="1450"/>
      <c r="K113" s="1450"/>
      <c r="L113" s="1450"/>
      <c r="M113" s="1450"/>
      <c r="N113" s="1450"/>
      <c r="O113" s="1450"/>
      <c r="P113" s="1450"/>
      <c r="Q113" s="1450"/>
      <c r="R113" s="1450"/>
      <c r="S113" s="1450"/>
      <c r="T113" s="1450"/>
      <c r="U113" s="1450"/>
      <c r="V113" s="1450"/>
      <c r="W113" s="1450"/>
      <c r="X113" s="1450"/>
      <c r="Y113" s="1450"/>
      <c r="Z113" s="1450"/>
      <c r="AA113" s="1450"/>
      <c r="AB113" s="1450"/>
      <c r="AC113" s="1450"/>
      <c r="AD113" s="1450"/>
      <c r="AE113" s="1450"/>
      <c r="AF113" s="1450"/>
      <c r="AG113" s="1450"/>
      <c r="AH113" s="1450"/>
      <c r="AI113" s="49">
        <f ca="1">IF(AH$130+SUM(AH$112:AH113)&gt;0,IF(AH$130+SUM(AH$112:AH114)&gt;0,0,AH$130+SUM(AH$112:AH114)),AH114)</f>
        <v>0</v>
      </c>
      <c r="AJ113" s="49">
        <f ca="1">IF(AI$130+SUM(AI$112:AI113)&gt;0,IF(AI$130+SUM(AI$112:AI114)&gt;0,0,AI$130+SUM(AI$112:AI114)),AI114)</f>
        <v>0</v>
      </c>
      <c r="AK113" s="49">
        <f ca="1">IF(AJ$130+SUM(AJ$112:AJ113)&gt;0,IF(AJ$130+SUM(AJ$112:AJ114)&gt;0,0,AJ$130+SUM(AJ$112:AJ114)),AJ114)</f>
        <v>0</v>
      </c>
      <c r="AL113" s="49">
        <f ca="1">IF(AK$130+SUM(AK$112:AK113)&gt;0,IF(AK$130+SUM(AK$112:AK114)&gt;0,0,AK$130+SUM(AK$112:AK114)),AK114)</f>
        <v>0</v>
      </c>
      <c r="AM113" s="49">
        <f ca="1">IF(AL$130+SUM(AL$112:AL113)&gt;0,IF(AL$130+SUM(AL$112:AL114)&gt;0,0,AL$130+SUM(AL$112:AL114)),AL114)</f>
        <v>0</v>
      </c>
      <c r="AN113" s="49">
        <f ca="1">IF(AM$130+SUM(AM$112:AM113)&gt;0,IF(AM$130+SUM(AM$112:AM114)&gt;0,0,AM$130+SUM(AM$112:AM114)),AM114)</f>
        <v>0</v>
      </c>
      <c r="AO113" s="49">
        <f ca="1">IF(AN$130+SUM(AN$112:AN113)&gt;0,IF(AN$130+SUM(AN$112:AN114)&gt;0,0,AN$130+SUM(AN$112:AN114)),AN114)</f>
        <v>0</v>
      </c>
      <c r="AP113" s="49">
        <f ca="1">IF(AO$130+SUM(AO$112:AO113)&gt;0,IF(AO$130+SUM(AO$112:AO114)&gt;0,0,AO$130+SUM(AO$112:AO114)),AO114)</f>
        <v>0</v>
      </c>
      <c r="AQ113" s="49">
        <f ca="1">IF(AP$130+SUM(AP$112:AP113)&gt;0,IF(AP$130+SUM(AP$112:AP114)&gt;0,0,AP$130+SUM(AP$112:AP114)),AP114)</f>
        <v>0</v>
      </c>
      <c r="AR113" s="49">
        <f ca="1">IF(AQ$130+SUM(AQ$112:AQ113)&gt;0,IF(AQ$130+SUM(AQ$112:AQ114)&gt;0,0,AQ$130+SUM(AQ$112:AQ114)),AQ114)</f>
        <v>0</v>
      </c>
      <c r="AS113" s="49">
        <f ca="1">IF(AR$130+SUM(AR$112:AR113)&gt;0,IF(AR$130+SUM(AR$112:AR114)&gt;0,0,AR$130+SUM(AR$112:AR114)),AR114)</f>
        <v>0</v>
      </c>
      <c r="AT113" s="49">
        <f ca="1">IF(AS$130+SUM(AS$112:AS113)&gt;0,IF(AS$130+SUM(AS$112:AS114)&gt;0,0,AS$130+SUM(AS$112:AS114)),AS114)</f>
        <v>0</v>
      </c>
      <c r="AU113" s="49">
        <f ca="1">IF(AT$130+SUM(AT$112:AT113)&gt;0,IF(AT$130+SUM(AT$112:AT114)&gt;0,0,AT$130+SUM(AT$112:AT114)),AT114)</f>
        <v>0</v>
      </c>
      <c r="AV113" s="49">
        <f ca="1">IF(AU$130+SUM(AU$112:AU113)&gt;0,IF(AU$130+SUM(AU$112:AU114)&gt;0,0,AU$130+SUM(AU$112:AU114)),AU114)</f>
        <v>0</v>
      </c>
      <c r="AW113" s="49">
        <f ca="1">IF(AV$130+SUM(AV$112:AV113)&gt;0,IF(AV$130+SUM(AV$112:AV114)&gt;0,0,AV$130+SUM(AV$112:AV114)),AV114)</f>
        <v>0</v>
      </c>
      <c r="AX113" s="49">
        <f ca="1">IF(AW$130+SUM(AW$112:AW113)&gt;0,IF(AW$130+SUM(AW$112:AW114)&gt;0,0,AW$130+SUM(AW$112:AW114)),AW114)</f>
        <v>0</v>
      </c>
      <c r="AY113" s="49">
        <f ca="1">IF(AX$130+SUM(AX$112:AX113)&gt;0,IF(AX$130+SUM(AX$112:AX114)&gt;0,0,AX$130+SUM(AX$112:AX114)),AX114)</f>
        <v>0</v>
      </c>
      <c r="AZ113" s="49">
        <f ca="1">IF(AY$130+SUM(AY$112:AY113)&gt;0,IF(AY$130+SUM(AY$112:AY114)&gt;0,0,AY$130+SUM(AY$112:AY114)),AY114)</f>
        <v>0</v>
      </c>
      <c r="BA113" s="49">
        <f ca="1">IF(AZ$130+SUM(AZ$112:AZ113)&gt;0,IF(AZ$130+SUM(AZ$112:AZ114)&gt;0,0,AZ$130+SUM(AZ$112:AZ114)),AZ114)</f>
        <v>0</v>
      </c>
      <c r="BB113" s="49">
        <f ca="1">IF(BA$130+SUM(BA$112:BA113)&gt;0,IF(BA$130+SUM(BA$112:BA114)&gt;0,0,BA$130+SUM(BA$112:BA114)),BA114)</f>
        <v>0</v>
      </c>
      <c r="BC113" s="49">
        <f ca="1">IF(BB$130+SUM(BB$112:BB113)&gt;0,IF(BB$130+SUM(BB$112:BB114)&gt;0,0,BB$130+SUM(BB$112:BB114)),BB114)</f>
        <v>0</v>
      </c>
      <c r="BD113" s="49">
        <f ca="1">IF(BC$130+SUM(BC$112:BC113)&gt;0,IF(BC$130+SUM(BC$112:BC114)&gt;0,0,BC$130+SUM(BC$112:BC114)),BC114)</f>
        <v>0</v>
      </c>
      <c r="BE113" s="49">
        <f ca="1">IF(BD$130+SUM(BD$112:BD113)&gt;0,IF(BD$130+SUM(BD$112:BD114)&gt;0,0,BD$130+SUM(BD$112:BD114)),BD114)</f>
        <v>0</v>
      </c>
      <c r="BF113" s="49">
        <f ca="1">IF(BE$130+SUM(BE$112:BE113)&gt;0,IF(BE$130+SUM(BE$112:BE114)&gt;0,0,BE$130+SUM(BE$112:BE114)),BE114)</f>
        <v>0</v>
      </c>
      <c r="BG113" s="49">
        <f ca="1">IF(BF$130+SUM(BF$112:BF113)&gt;0,IF(BF$130+SUM(BF$112:BF114)&gt;0,0,BF$130+SUM(BF$112:BF114)),BF114)</f>
        <v>0</v>
      </c>
      <c r="BH113" s="49">
        <f ca="1">IF(BG$130+SUM(BG$112:BG113)&gt;0,IF(BG$130+SUM(BG$112:BG114)&gt;0,0,BG$130+SUM(BG$112:BG114)),BG114)</f>
        <v>0</v>
      </c>
      <c r="BI113" s="49">
        <f ca="1">IF(BH$130+SUM(BH$112:BH113)&gt;0,IF(BH$130+SUM(BH$112:BH114)&gt;0,0,BH$130+SUM(BH$112:BH114)),BH114)</f>
        <v>0</v>
      </c>
      <c r="BJ113" s="49">
        <f ca="1">IF(BI$130+SUM(BI$112:BI113)&gt;0,IF(BI$130+SUM(BI$112:BI114)&gt;0,0,BI$130+SUM(BI$112:BI114)),BI114)</f>
        <v>0</v>
      </c>
      <c r="BK113" s="49">
        <f ca="1">IF(BJ$130+SUM(BJ$112:BJ113)&gt;0,IF(BJ$130+SUM(BJ$112:BJ114)&gt;0,0,BJ$130+SUM(BJ$112:BJ114)),BJ114)</f>
        <v>0</v>
      </c>
      <c r="BL113" s="49">
        <f ca="1">IF(BK$130+SUM(BK$112:BK113)&gt;0,IF(BK$130+SUM(BK$112:BK114)&gt;0,0,BK$130+SUM(BK$112:BK114)),BK114)</f>
        <v>0</v>
      </c>
    </row>
    <row r="114" spans="2:64" s="1440" customFormat="1" ht="15" customHeight="1">
      <c r="B114" s="1441"/>
      <c r="C114" s="1448"/>
      <c r="D114" s="1449" t="s">
        <v>1279</v>
      </c>
      <c r="E114" s="1449"/>
      <c r="F114" s="1449"/>
      <c r="G114" s="1441"/>
      <c r="H114" s="1450"/>
      <c r="I114" s="1451"/>
      <c r="J114" s="1450"/>
      <c r="K114" s="1450"/>
      <c r="L114" s="1450"/>
      <c r="M114" s="1450"/>
      <c r="N114" s="1450"/>
      <c r="O114" s="1450"/>
      <c r="P114" s="1450"/>
      <c r="Q114" s="1450"/>
      <c r="R114" s="1450"/>
      <c r="S114" s="1450"/>
      <c r="T114" s="1450"/>
      <c r="U114" s="1450"/>
      <c r="V114" s="1450"/>
      <c r="W114" s="1450"/>
      <c r="X114" s="1450"/>
      <c r="Y114" s="1450"/>
      <c r="Z114" s="1450"/>
      <c r="AA114" s="1450"/>
      <c r="AB114" s="1450"/>
      <c r="AC114" s="1450"/>
      <c r="AD114" s="1450"/>
      <c r="AE114" s="1450"/>
      <c r="AF114" s="1450"/>
      <c r="AG114" s="1450"/>
      <c r="AH114" s="49">
        <f ca="1">IF(AG$130+SUM(AG$112:AG114)&gt;0,IF(AG$130+SUM(AG$112:AG115)&gt;0,0,AG$130+SUM(AG$112:AG115)),AG115)</f>
        <v>0</v>
      </c>
      <c r="AI114" s="49">
        <f ca="1">IF(AH$130+SUM(AH$112:AH114)&gt;0,IF(AH$130+SUM(AH$112:AH115)&gt;0,0,AH$130+SUM(AH$112:AH115)),AH115)</f>
        <v>0</v>
      </c>
      <c r="AJ114" s="49">
        <f ca="1">IF(AI$130+SUM(AI$112:AI114)&gt;0,IF(AI$130+SUM(AI$112:AI115)&gt;0,0,AI$130+SUM(AI$112:AI115)),AI115)</f>
        <v>0</v>
      </c>
      <c r="AK114" s="49">
        <f ca="1">IF(AJ$130+SUM(AJ$112:AJ114)&gt;0,IF(AJ$130+SUM(AJ$112:AJ115)&gt;0,0,AJ$130+SUM(AJ$112:AJ115)),AJ115)</f>
        <v>0</v>
      </c>
      <c r="AL114" s="49">
        <f ca="1">IF(AK$130+SUM(AK$112:AK114)&gt;0,IF(AK$130+SUM(AK$112:AK115)&gt;0,0,AK$130+SUM(AK$112:AK115)),AK115)</f>
        <v>0</v>
      </c>
      <c r="AM114" s="49">
        <f ca="1">IF(AL$130+SUM(AL$112:AL114)&gt;0,IF(AL$130+SUM(AL$112:AL115)&gt;0,0,AL$130+SUM(AL$112:AL115)),AL115)</f>
        <v>0</v>
      </c>
      <c r="AN114" s="49">
        <f ca="1">IF(AM$130+SUM(AM$112:AM114)&gt;0,IF(AM$130+SUM(AM$112:AM115)&gt;0,0,AM$130+SUM(AM$112:AM115)),AM115)</f>
        <v>0</v>
      </c>
      <c r="AO114" s="49">
        <f ca="1">IF(AN$130+SUM(AN$112:AN114)&gt;0,IF(AN$130+SUM(AN$112:AN115)&gt;0,0,AN$130+SUM(AN$112:AN115)),AN115)</f>
        <v>0</v>
      </c>
      <c r="AP114" s="49">
        <f ca="1">IF(AO$130+SUM(AO$112:AO114)&gt;0,IF(AO$130+SUM(AO$112:AO115)&gt;0,0,AO$130+SUM(AO$112:AO115)),AO115)</f>
        <v>0</v>
      </c>
      <c r="AQ114" s="49">
        <f ca="1">IF(AP$130+SUM(AP$112:AP114)&gt;0,IF(AP$130+SUM(AP$112:AP115)&gt;0,0,AP$130+SUM(AP$112:AP115)),AP115)</f>
        <v>0</v>
      </c>
      <c r="AR114" s="49">
        <f ca="1">IF(AQ$130+SUM(AQ$112:AQ114)&gt;0,IF(AQ$130+SUM(AQ$112:AQ115)&gt;0,0,AQ$130+SUM(AQ$112:AQ115)),AQ115)</f>
        <v>0</v>
      </c>
      <c r="AS114" s="49">
        <f ca="1">IF(AR$130+SUM(AR$112:AR114)&gt;0,IF(AR$130+SUM(AR$112:AR115)&gt;0,0,AR$130+SUM(AR$112:AR115)),AR115)</f>
        <v>0</v>
      </c>
      <c r="AT114" s="49">
        <f ca="1">IF(AS$130+SUM(AS$112:AS114)&gt;0,IF(AS$130+SUM(AS$112:AS115)&gt;0,0,AS$130+SUM(AS$112:AS115)),AS115)</f>
        <v>0</v>
      </c>
      <c r="AU114" s="49">
        <f ca="1">IF(AT$130+SUM(AT$112:AT114)&gt;0,IF(AT$130+SUM(AT$112:AT115)&gt;0,0,AT$130+SUM(AT$112:AT115)),AT115)</f>
        <v>0</v>
      </c>
      <c r="AV114" s="49">
        <f ca="1">IF(AU$130+SUM(AU$112:AU114)&gt;0,IF(AU$130+SUM(AU$112:AU115)&gt;0,0,AU$130+SUM(AU$112:AU115)),AU115)</f>
        <v>0</v>
      </c>
      <c r="AW114" s="49">
        <f ca="1">IF(AV$130+SUM(AV$112:AV114)&gt;0,IF(AV$130+SUM(AV$112:AV115)&gt;0,0,AV$130+SUM(AV$112:AV115)),AV115)</f>
        <v>0</v>
      </c>
      <c r="AX114" s="49">
        <f ca="1">IF(AW$130+SUM(AW$112:AW114)&gt;0,IF(AW$130+SUM(AW$112:AW115)&gt;0,0,AW$130+SUM(AW$112:AW115)),AW115)</f>
        <v>0</v>
      </c>
      <c r="AY114" s="49">
        <f ca="1">IF(AX$130+SUM(AX$112:AX114)&gt;0,IF(AX$130+SUM(AX$112:AX115)&gt;0,0,AX$130+SUM(AX$112:AX115)),AX115)</f>
        <v>0</v>
      </c>
      <c r="AZ114" s="49">
        <f ca="1">IF(AY$130+SUM(AY$112:AY114)&gt;0,IF(AY$130+SUM(AY$112:AY115)&gt;0,0,AY$130+SUM(AY$112:AY115)),AY115)</f>
        <v>0</v>
      </c>
      <c r="BA114" s="49">
        <f ca="1">IF(AZ$130+SUM(AZ$112:AZ114)&gt;0,IF(AZ$130+SUM(AZ$112:AZ115)&gt;0,0,AZ$130+SUM(AZ$112:AZ115)),AZ115)</f>
        <v>0</v>
      </c>
      <c r="BB114" s="49">
        <f ca="1">IF(BA$130+SUM(BA$112:BA114)&gt;0,IF(BA$130+SUM(BA$112:BA115)&gt;0,0,BA$130+SUM(BA$112:BA115)),BA115)</f>
        <v>0</v>
      </c>
      <c r="BC114" s="49">
        <f ca="1">IF(BB$130+SUM(BB$112:BB114)&gt;0,IF(BB$130+SUM(BB$112:BB115)&gt;0,0,BB$130+SUM(BB$112:BB115)),BB115)</f>
        <v>0</v>
      </c>
      <c r="BD114" s="49">
        <f ca="1">IF(BC$130+SUM(BC$112:BC114)&gt;0,IF(BC$130+SUM(BC$112:BC115)&gt;0,0,BC$130+SUM(BC$112:BC115)),BC115)</f>
        <v>0</v>
      </c>
      <c r="BE114" s="49">
        <f ca="1">IF(BD$130+SUM(BD$112:BD114)&gt;0,IF(BD$130+SUM(BD$112:BD115)&gt;0,0,BD$130+SUM(BD$112:BD115)),BD115)</f>
        <v>0</v>
      </c>
      <c r="BF114" s="49">
        <f ca="1">IF(BE$130+SUM(BE$112:BE114)&gt;0,IF(BE$130+SUM(BE$112:BE115)&gt;0,0,BE$130+SUM(BE$112:BE115)),BE115)</f>
        <v>0</v>
      </c>
      <c r="BG114" s="49">
        <f ca="1">IF(BF$130+SUM(BF$112:BF114)&gt;0,IF(BF$130+SUM(BF$112:BF115)&gt;0,0,BF$130+SUM(BF$112:BF115)),BF115)</f>
        <v>0</v>
      </c>
      <c r="BH114" s="49">
        <f ca="1">IF(BG$130+SUM(BG$112:BG114)&gt;0,IF(BG$130+SUM(BG$112:BG115)&gt;0,0,BG$130+SUM(BG$112:BG115)),BG115)</f>
        <v>0</v>
      </c>
      <c r="BI114" s="49">
        <f ca="1">IF(BH$130+SUM(BH$112:BH114)&gt;0,IF(BH$130+SUM(BH$112:BH115)&gt;0,0,BH$130+SUM(BH$112:BH115)),BH115)</f>
        <v>0</v>
      </c>
      <c r="BJ114" s="49">
        <f ca="1">IF(BI$130+SUM(BI$112:BI114)&gt;0,IF(BI$130+SUM(BI$112:BI115)&gt;0,0,BI$130+SUM(BI$112:BI115)),BI115)</f>
        <v>0</v>
      </c>
      <c r="BK114" s="49">
        <f ca="1">IF(BJ$130+SUM(BJ$112:BJ114)&gt;0,IF(BJ$130+SUM(BJ$112:BJ115)&gt;0,0,BJ$130+SUM(BJ$112:BJ115)),BJ115)</f>
        <v>0</v>
      </c>
      <c r="BL114" s="49">
        <f ca="1">IF(BK$130+SUM(BK$112:BK114)&gt;0,IF(BK$130+SUM(BK$112:BK115)&gt;0,0,BK$130+SUM(BK$112:BK115)),BK115)</f>
        <v>0</v>
      </c>
    </row>
    <row r="115" spans="2:64" s="1440" customFormat="1" ht="15" customHeight="1">
      <c r="B115" s="1441"/>
      <c r="C115" s="1448"/>
      <c r="D115" s="1449" t="s">
        <v>1280</v>
      </c>
      <c r="E115" s="1449"/>
      <c r="F115" s="1449"/>
      <c r="G115" s="1441"/>
      <c r="H115" s="1450"/>
      <c r="I115" s="1451"/>
      <c r="J115" s="1450"/>
      <c r="K115" s="1450"/>
      <c r="L115" s="1450"/>
      <c r="M115" s="1450"/>
      <c r="N115" s="1450"/>
      <c r="O115" s="1450"/>
      <c r="P115" s="1450"/>
      <c r="Q115" s="1450"/>
      <c r="R115" s="1450"/>
      <c r="S115" s="1450"/>
      <c r="T115" s="1450"/>
      <c r="U115" s="1450"/>
      <c r="V115" s="1450"/>
      <c r="W115" s="1450"/>
      <c r="X115" s="1450"/>
      <c r="Y115" s="1450"/>
      <c r="Z115" s="1450"/>
      <c r="AA115" s="1450"/>
      <c r="AB115" s="1450"/>
      <c r="AC115" s="1450"/>
      <c r="AD115" s="1450"/>
      <c r="AE115" s="1450"/>
      <c r="AF115" s="1450"/>
      <c r="AG115" s="49">
        <f ca="1">IF(AF$130+SUM(AF$112:AF115)&gt;0,IF(AF$130+SUM(AF$112:AF116)&gt;0,0,AF$130+SUM(AF$112:AF116)),AF116)</f>
        <v>0</v>
      </c>
      <c r="AH115" s="49">
        <f ca="1">IF(AG$130+SUM(AG$112:AG115)&gt;0,IF(AG$130+SUM(AG$112:AG116)&gt;0,0,AG$130+SUM(AG$112:AG116)),AG116)</f>
        <v>0</v>
      </c>
      <c r="AI115" s="49">
        <f ca="1">IF(AH$130+SUM(AH$112:AH115)&gt;0,IF(AH$130+SUM(AH$112:AH116)&gt;0,0,AH$130+SUM(AH$112:AH116)),AH116)</f>
        <v>0</v>
      </c>
      <c r="AJ115" s="49">
        <f ca="1">IF(AI$130+SUM(AI$112:AI115)&gt;0,IF(AI$130+SUM(AI$112:AI116)&gt;0,0,AI$130+SUM(AI$112:AI116)),AI116)</f>
        <v>0</v>
      </c>
      <c r="AK115" s="49">
        <f ca="1">IF(AJ$130+SUM(AJ$112:AJ115)&gt;0,IF(AJ$130+SUM(AJ$112:AJ116)&gt;0,0,AJ$130+SUM(AJ$112:AJ116)),AJ116)</f>
        <v>0</v>
      </c>
      <c r="AL115" s="49">
        <f ca="1">IF(AK$130+SUM(AK$112:AK115)&gt;0,IF(AK$130+SUM(AK$112:AK116)&gt;0,0,AK$130+SUM(AK$112:AK116)),AK116)</f>
        <v>0</v>
      </c>
      <c r="AM115" s="49">
        <f ca="1">IF(AL$130+SUM(AL$112:AL115)&gt;0,IF(AL$130+SUM(AL$112:AL116)&gt;0,0,AL$130+SUM(AL$112:AL116)),AL116)</f>
        <v>0</v>
      </c>
      <c r="AN115" s="49">
        <f ca="1">IF(AM$130+SUM(AM$112:AM115)&gt;0,IF(AM$130+SUM(AM$112:AM116)&gt;0,0,AM$130+SUM(AM$112:AM116)),AM116)</f>
        <v>0</v>
      </c>
      <c r="AO115" s="49">
        <f ca="1">IF(AN$130+SUM(AN$112:AN115)&gt;0,IF(AN$130+SUM(AN$112:AN116)&gt;0,0,AN$130+SUM(AN$112:AN116)),AN116)</f>
        <v>0</v>
      </c>
      <c r="AP115" s="49">
        <f ca="1">IF(AO$130+SUM(AO$112:AO115)&gt;0,IF(AO$130+SUM(AO$112:AO116)&gt;0,0,AO$130+SUM(AO$112:AO116)),AO116)</f>
        <v>0</v>
      </c>
      <c r="AQ115" s="49">
        <f ca="1">IF(AP$130+SUM(AP$112:AP115)&gt;0,IF(AP$130+SUM(AP$112:AP116)&gt;0,0,AP$130+SUM(AP$112:AP116)),AP116)</f>
        <v>0</v>
      </c>
      <c r="AR115" s="49">
        <f ca="1">IF(AQ$130+SUM(AQ$112:AQ115)&gt;0,IF(AQ$130+SUM(AQ$112:AQ116)&gt;0,0,AQ$130+SUM(AQ$112:AQ116)),AQ116)</f>
        <v>0</v>
      </c>
      <c r="AS115" s="49">
        <f ca="1">IF(AR$130+SUM(AR$112:AR115)&gt;0,IF(AR$130+SUM(AR$112:AR116)&gt;0,0,AR$130+SUM(AR$112:AR116)),AR116)</f>
        <v>0</v>
      </c>
      <c r="AT115" s="49">
        <f ca="1">IF(AS$130+SUM(AS$112:AS115)&gt;0,IF(AS$130+SUM(AS$112:AS116)&gt;0,0,AS$130+SUM(AS$112:AS116)),AS116)</f>
        <v>0</v>
      </c>
      <c r="AU115" s="49">
        <f ca="1">IF(AT$130+SUM(AT$112:AT115)&gt;0,IF(AT$130+SUM(AT$112:AT116)&gt;0,0,AT$130+SUM(AT$112:AT116)),AT116)</f>
        <v>0</v>
      </c>
      <c r="AV115" s="49">
        <f ca="1">IF(AU$130+SUM(AU$112:AU115)&gt;0,IF(AU$130+SUM(AU$112:AU116)&gt;0,0,AU$130+SUM(AU$112:AU116)),AU116)</f>
        <v>0</v>
      </c>
      <c r="AW115" s="49">
        <f ca="1">IF(AV$130+SUM(AV$112:AV115)&gt;0,IF(AV$130+SUM(AV$112:AV116)&gt;0,0,AV$130+SUM(AV$112:AV116)),AV116)</f>
        <v>0</v>
      </c>
      <c r="AX115" s="49">
        <f ca="1">IF(AW$130+SUM(AW$112:AW115)&gt;0,IF(AW$130+SUM(AW$112:AW116)&gt;0,0,AW$130+SUM(AW$112:AW116)),AW116)</f>
        <v>0</v>
      </c>
      <c r="AY115" s="49">
        <f ca="1">IF(AX$130+SUM(AX$112:AX115)&gt;0,IF(AX$130+SUM(AX$112:AX116)&gt;0,0,AX$130+SUM(AX$112:AX116)),AX116)</f>
        <v>0</v>
      </c>
      <c r="AZ115" s="49">
        <f ca="1">IF(AY$130+SUM(AY$112:AY115)&gt;0,IF(AY$130+SUM(AY$112:AY116)&gt;0,0,AY$130+SUM(AY$112:AY116)),AY116)</f>
        <v>0</v>
      </c>
      <c r="BA115" s="49">
        <f ca="1">IF(AZ$130+SUM(AZ$112:AZ115)&gt;0,IF(AZ$130+SUM(AZ$112:AZ116)&gt;0,0,AZ$130+SUM(AZ$112:AZ116)),AZ116)</f>
        <v>0</v>
      </c>
      <c r="BB115" s="49">
        <f ca="1">IF(BA$130+SUM(BA$112:BA115)&gt;0,IF(BA$130+SUM(BA$112:BA116)&gt;0,0,BA$130+SUM(BA$112:BA116)),BA116)</f>
        <v>0</v>
      </c>
      <c r="BC115" s="49">
        <f ca="1">IF(BB$130+SUM(BB$112:BB115)&gt;0,IF(BB$130+SUM(BB$112:BB116)&gt;0,0,BB$130+SUM(BB$112:BB116)),BB116)</f>
        <v>0</v>
      </c>
      <c r="BD115" s="49">
        <f ca="1">IF(BC$130+SUM(BC$112:BC115)&gt;0,IF(BC$130+SUM(BC$112:BC116)&gt;0,0,BC$130+SUM(BC$112:BC116)),BC116)</f>
        <v>0</v>
      </c>
      <c r="BE115" s="49">
        <f ca="1">IF(BD$130+SUM(BD$112:BD115)&gt;0,IF(BD$130+SUM(BD$112:BD116)&gt;0,0,BD$130+SUM(BD$112:BD116)),BD116)</f>
        <v>0</v>
      </c>
      <c r="BF115" s="49">
        <f ca="1">IF(BE$130+SUM(BE$112:BE115)&gt;0,IF(BE$130+SUM(BE$112:BE116)&gt;0,0,BE$130+SUM(BE$112:BE116)),BE116)</f>
        <v>0</v>
      </c>
      <c r="BG115" s="49">
        <f ca="1">IF(BF$130+SUM(BF$112:BF115)&gt;0,IF(BF$130+SUM(BF$112:BF116)&gt;0,0,BF$130+SUM(BF$112:BF116)),BF116)</f>
        <v>0</v>
      </c>
      <c r="BH115" s="49">
        <f ca="1">IF(BG$130+SUM(BG$112:BG115)&gt;0,IF(BG$130+SUM(BG$112:BG116)&gt;0,0,BG$130+SUM(BG$112:BG116)),BG116)</f>
        <v>0</v>
      </c>
      <c r="BI115" s="49">
        <f ca="1">IF(BH$130+SUM(BH$112:BH115)&gt;0,IF(BH$130+SUM(BH$112:BH116)&gt;0,0,BH$130+SUM(BH$112:BH116)),BH116)</f>
        <v>0</v>
      </c>
      <c r="BJ115" s="49">
        <f ca="1">IF(BI$130+SUM(BI$112:BI115)&gt;0,IF(BI$130+SUM(BI$112:BI116)&gt;0,0,BI$130+SUM(BI$112:BI116)),BI116)</f>
        <v>0</v>
      </c>
      <c r="BK115" s="49">
        <f ca="1">IF(BJ$130+SUM(BJ$112:BJ115)&gt;0,IF(BJ$130+SUM(BJ$112:BJ116)&gt;0,0,BJ$130+SUM(BJ$112:BJ116)),BJ116)</f>
        <v>0</v>
      </c>
      <c r="BL115" s="49">
        <f ca="1">IF(BK$130+SUM(BK$112:BK115)&gt;0,IF(BK$130+SUM(BK$112:BK116)&gt;0,0,BK$130+SUM(BK$112:BK116)),BK116)</f>
        <v>0</v>
      </c>
    </row>
    <row r="116" spans="2:64" s="1440" customFormat="1" ht="15" customHeight="1">
      <c r="B116" s="1441"/>
      <c r="C116" s="1448"/>
      <c r="D116" s="1449" t="s">
        <v>1281</v>
      </c>
      <c r="E116" s="1449"/>
      <c r="F116" s="1449"/>
      <c r="G116" s="1441"/>
      <c r="H116" s="1450"/>
      <c r="I116" s="1451"/>
      <c r="J116" s="1450"/>
      <c r="K116" s="1450"/>
      <c r="L116" s="1450"/>
      <c r="M116" s="1450"/>
      <c r="N116" s="1450"/>
      <c r="O116" s="1450"/>
      <c r="P116" s="1450"/>
      <c r="Q116" s="1450"/>
      <c r="R116" s="1450"/>
      <c r="S116" s="1450"/>
      <c r="T116" s="1450"/>
      <c r="U116" s="1450"/>
      <c r="V116" s="1450"/>
      <c r="W116" s="1450"/>
      <c r="X116" s="1450"/>
      <c r="Y116" s="1450"/>
      <c r="Z116" s="1450"/>
      <c r="AA116" s="1450"/>
      <c r="AB116" s="1450"/>
      <c r="AC116" s="1450"/>
      <c r="AD116" s="1450"/>
      <c r="AE116" s="1450"/>
      <c r="AF116" s="49">
        <f ca="1">IF(AE$130+SUM(AE$112:AE116)&gt;0,IF(AE$130+SUM(AE$112:AE117)&gt;0,0,AE$130+SUM(AE$112:AE117)),AE117)</f>
        <v>0</v>
      </c>
      <c r="AG116" s="49">
        <f ca="1">IF(AF$130+SUM(AF$112:AF116)&gt;0,IF(AF$130+SUM(AF$112:AF117)&gt;0,0,AF$130+SUM(AF$112:AF117)),AF117)</f>
        <v>0</v>
      </c>
      <c r="AH116" s="49">
        <f ca="1">IF(AG$130+SUM(AG$112:AG116)&gt;0,IF(AG$130+SUM(AG$112:AG117)&gt;0,0,AG$130+SUM(AG$112:AG117)),AG117)</f>
        <v>0</v>
      </c>
      <c r="AI116" s="49">
        <f ca="1">IF(AH$130+SUM(AH$112:AH116)&gt;0,IF(AH$130+SUM(AH$112:AH117)&gt;0,0,AH$130+SUM(AH$112:AH117)),AH117)</f>
        <v>0</v>
      </c>
      <c r="AJ116" s="49">
        <f ca="1">IF(AI$130+SUM(AI$112:AI116)&gt;0,IF(AI$130+SUM(AI$112:AI117)&gt;0,0,AI$130+SUM(AI$112:AI117)),AI117)</f>
        <v>0</v>
      </c>
      <c r="AK116" s="49">
        <f ca="1">IF(AJ$130+SUM(AJ$112:AJ116)&gt;0,IF(AJ$130+SUM(AJ$112:AJ117)&gt;0,0,AJ$130+SUM(AJ$112:AJ117)),AJ117)</f>
        <v>0</v>
      </c>
      <c r="AL116" s="49">
        <f ca="1">IF(AK$130+SUM(AK$112:AK116)&gt;0,IF(AK$130+SUM(AK$112:AK117)&gt;0,0,AK$130+SUM(AK$112:AK117)),AK117)</f>
        <v>0</v>
      </c>
      <c r="AM116" s="49">
        <f ca="1">IF(AL$130+SUM(AL$112:AL116)&gt;0,IF(AL$130+SUM(AL$112:AL117)&gt;0,0,AL$130+SUM(AL$112:AL117)),AL117)</f>
        <v>0</v>
      </c>
      <c r="AN116" s="49">
        <f ca="1">IF(AM$130+SUM(AM$112:AM116)&gt;0,IF(AM$130+SUM(AM$112:AM117)&gt;0,0,AM$130+SUM(AM$112:AM117)),AM117)</f>
        <v>0</v>
      </c>
      <c r="AO116" s="49">
        <f ca="1">IF(AN$130+SUM(AN$112:AN116)&gt;0,IF(AN$130+SUM(AN$112:AN117)&gt;0,0,AN$130+SUM(AN$112:AN117)),AN117)</f>
        <v>0</v>
      </c>
      <c r="AP116" s="49">
        <f ca="1">IF(AO$130+SUM(AO$112:AO116)&gt;0,IF(AO$130+SUM(AO$112:AO117)&gt;0,0,AO$130+SUM(AO$112:AO117)),AO117)</f>
        <v>0</v>
      </c>
      <c r="AQ116" s="49">
        <f ca="1">IF(AP$130+SUM(AP$112:AP116)&gt;0,IF(AP$130+SUM(AP$112:AP117)&gt;0,0,AP$130+SUM(AP$112:AP117)),AP117)</f>
        <v>0</v>
      </c>
      <c r="AR116" s="49">
        <f ca="1">IF(AQ$130+SUM(AQ$112:AQ116)&gt;0,IF(AQ$130+SUM(AQ$112:AQ117)&gt;0,0,AQ$130+SUM(AQ$112:AQ117)),AQ117)</f>
        <v>0</v>
      </c>
      <c r="AS116" s="49">
        <f ca="1">IF(AR$130+SUM(AR$112:AR116)&gt;0,IF(AR$130+SUM(AR$112:AR117)&gt;0,0,AR$130+SUM(AR$112:AR117)),AR117)</f>
        <v>0</v>
      </c>
      <c r="AT116" s="49">
        <f ca="1">IF(AS$130+SUM(AS$112:AS116)&gt;0,IF(AS$130+SUM(AS$112:AS117)&gt;0,0,AS$130+SUM(AS$112:AS117)),AS117)</f>
        <v>0</v>
      </c>
      <c r="AU116" s="49">
        <f ca="1">IF(AT$130+SUM(AT$112:AT116)&gt;0,IF(AT$130+SUM(AT$112:AT117)&gt;0,0,AT$130+SUM(AT$112:AT117)),AT117)</f>
        <v>0</v>
      </c>
      <c r="AV116" s="49">
        <f ca="1">IF(AU$130+SUM(AU$112:AU116)&gt;0,IF(AU$130+SUM(AU$112:AU117)&gt;0,0,AU$130+SUM(AU$112:AU117)),AU117)</f>
        <v>0</v>
      </c>
      <c r="AW116" s="49">
        <f ca="1">IF(AV$130+SUM(AV$112:AV116)&gt;0,IF(AV$130+SUM(AV$112:AV117)&gt;0,0,AV$130+SUM(AV$112:AV117)),AV117)</f>
        <v>0</v>
      </c>
      <c r="AX116" s="49">
        <f ca="1">IF(AW$130+SUM(AW$112:AW116)&gt;0,IF(AW$130+SUM(AW$112:AW117)&gt;0,0,AW$130+SUM(AW$112:AW117)),AW117)</f>
        <v>0</v>
      </c>
      <c r="AY116" s="49">
        <f ca="1">IF(AX$130+SUM(AX$112:AX116)&gt;0,IF(AX$130+SUM(AX$112:AX117)&gt;0,0,AX$130+SUM(AX$112:AX117)),AX117)</f>
        <v>0</v>
      </c>
      <c r="AZ116" s="49">
        <f ca="1">IF(AY$130+SUM(AY$112:AY116)&gt;0,IF(AY$130+SUM(AY$112:AY117)&gt;0,0,AY$130+SUM(AY$112:AY117)),AY117)</f>
        <v>0</v>
      </c>
      <c r="BA116" s="49">
        <f ca="1">IF(AZ$130+SUM(AZ$112:AZ116)&gt;0,IF(AZ$130+SUM(AZ$112:AZ117)&gt;0,0,AZ$130+SUM(AZ$112:AZ117)),AZ117)</f>
        <v>0</v>
      </c>
      <c r="BB116" s="49">
        <f ca="1">IF(BA$130+SUM(BA$112:BA116)&gt;0,IF(BA$130+SUM(BA$112:BA117)&gt;0,0,BA$130+SUM(BA$112:BA117)),BA117)</f>
        <v>0</v>
      </c>
      <c r="BC116" s="49">
        <f ca="1">IF(BB$130+SUM(BB$112:BB116)&gt;0,IF(BB$130+SUM(BB$112:BB117)&gt;0,0,BB$130+SUM(BB$112:BB117)),BB117)</f>
        <v>0</v>
      </c>
      <c r="BD116" s="49">
        <f ca="1">IF(BC$130+SUM(BC$112:BC116)&gt;0,IF(BC$130+SUM(BC$112:BC117)&gt;0,0,BC$130+SUM(BC$112:BC117)),BC117)</f>
        <v>0</v>
      </c>
      <c r="BE116" s="49">
        <f ca="1">IF(BD$130+SUM(BD$112:BD116)&gt;0,IF(BD$130+SUM(BD$112:BD117)&gt;0,0,BD$130+SUM(BD$112:BD117)),BD117)</f>
        <v>0</v>
      </c>
      <c r="BF116" s="49">
        <f ca="1">IF(BE$130+SUM(BE$112:BE116)&gt;0,IF(BE$130+SUM(BE$112:BE117)&gt;0,0,BE$130+SUM(BE$112:BE117)),BE117)</f>
        <v>0</v>
      </c>
      <c r="BG116" s="49">
        <f ca="1">IF(BF$130+SUM(BF$112:BF116)&gt;0,IF(BF$130+SUM(BF$112:BF117)&gt;0,0,BF$130+SUM(BF$112:BF117)),BF117)</f>
        <v>0</v>
      </c>
      <c r="BH116" s="49">
        <f ca="1">IF(BG$130+SUM(BG$112:BG116)&gt;0,IF(BG$130+SUM(BG$112:BG117)&gt;0,0,BG$130+SUM(BG$112:BG117)),BG117)</f>
        <v>0</v>
      </c>
      <c r="BI116" s="49">
        <f ca="1">IF(BH$130+SUM(BH$112:BH116)&gt;0,IF(BH$130+SUM(BH$112:BH117)&gt;0,0,BH$130+SUM(BH$112:BH117)),BH117)</f>
        <v>0</v>
      </c>
      <c r="BJ116" s="49">
        <f ca="1">IF(BI$130+SUM(BI$112:BI116)&gt;0,IF(BI$130+SUM(BI$112:BI117)&gt;0,0,BI$130+SUM(BI$112:BI117)),BI117)</f>
        <v>0</v>
      </c>
      <c r="BK116" s="49">
        <f ca="1">IF(BJ$130+SUM(BJ$112:BJ116)&gt;0,IF(BJ$130+SUM(BJ$112:BJ117)&gt;0,0,BJ$130+SUM(BJ$112:BJ117)),BJ117)</f>
        <v>0</v>
      </c>
      <c r="BL116" s="49">
        <f ca="1">IF(BK$130+SUM(BK$112:BK116)&gt;0,IF(BK$130+SUM(BK$112:BK117)&gt;0,0,BK$130+SUM(BK$112:BK117)),BK117)</f>
        <v>0</v>
      </c>
    </row>
    <row r="117" spans="2:64" s="1440" customFormat="1" ht="15" customHeight="1">
      <c r="B117" s="1441"/>
      <c r="C117" s="1452"/>
      <c r="D117" s="1440" t="s">
        <v>49</v>
      </c>
      <c r="G117" s="1441"/>
      <c r="H117" s="1450"/>
      <c r="I117" s="1453"/>
      <c r="J117" s="1450"/>
      <c r="K117" s="1450"/>
      <c r="L117" s="1450"/>
      <c r="M117" s="1450"/>
      <c r="N117" s="1450"/>
      <c r="O117" s="1450"/>
      <c r="P117" s="1450"/>
      <c r="Q117" s="1450"/>
      <c r="R117" s="1450"/>
      <c r="S117" s="1450">
        <v>0</v>
      </c>
      <c r="T117" s="1450">
        <f>IF(S$111+SUM(S$117:S117)&gt;0,IF(S$111+SUM(S$117:S118)&gt;0,0,S$111+SUM(S$117:S118)),S118)</f>
        <v>0</v>
      </c>
      <c r="U117" s="1450">
        <f ca="1">IF(T$111+SUM(T$117:T117)&gt;0,IF(T$111+SUM(T$117:T118)&gt;0,0,T$111+SUM(T$117:T118)),T118)</f>
        <v>0</v>
      </c>
      <c r="V117" s="1454">
        <f>-실적!M12/단위</f>
        <v>-6.5387229500000004</v>
      </c>
      <c r="W117" s="49">
        <f ca="1">IF(V$130+SUM(V$112:V117)&gt;0,IF(V$130+SUM(V$112:V118)&gt;0,0,V$130+SUM(V$112:V118)),V118)</f>
        <v>-160.88372088284575</v>
      </c>
      <c r="X117" s="49">
        <f ca="1">IF(W$130+SUM(W$112:W117)&gt;0,IF(W$130+SUM(W$112:W118)&gt;0,0,W$130+SUM(W$112:W118)),W118)</f>
        <v>-94.64071457</v>
      </c>
      <c r="Y117" s="49">
        <f ca="1">IF(X$130+SUM(X$112:X117)&gt;0,IF(X$130+SUM(X$112:X118)&gt;0,0,X$130+SUM(X$112:X118)),X118)</f>
        <v>-72.994375509999998</v>
      </c>
      <c r="Z117" s="49">
        <f ca="1">IF(Y$130+SUM(Y$112:Y117)&gt;0,IF(Y$130+SUM(Y$112:Y118)&gt;0,0,Y$130+SUM(Y$112:Y118)),Y118)</f>
        <v>0</v>
      </c>
      <c r="AA117" s="49">
        <f ca="1">IF(Z$130+SUM(Z$112:Z117)&gt;0,IF(Z$130+SUM(Z$112:Z118)&gt;0,0,Z$130+SUM(Z$112:Z118)),Z118)</f>
        <v>0</v>
      </c>
      <c r="AB117" s="49">
        <f ca="1">IF(AA$130+SUM(AA$112:AA117)&gt;0,IF(AA$130+SUM(AA$112:AA118)&gt;0,0,AA$130+SUM(AA$112:AA118)),AA118)</f>
        <v>0</v>
      </c>
      <c r="AC117" s="49">
        <f ca="1">IF(AB$130+SUM(AB$112:AB117)&gt;0,IF(AB$130+SUM(AB$112:AB118)&gt;0,0,AB$130+SUM(AB$112:AB118)),AB118)</f>
        <v>0</v>
      </c>
      <c r="AD117" s="49">
        <f ca="1">IF(AC$130+SUM(AC$112:AC117)&gt;0,IF(AC$130+SUM(AC$112:AC118)&gt;0,0,AC$130+SUM(AC$112:AC118)),AC118)</f>
        <v>0</v>
      </c>
      <c r="AE117" s="49">
        <f ca="1">IF(AD$130+SUM(AD$112:AD117)&gt;0,IF(AD$130+SUM(AD$112:AD118)&gt;0,0,AD$130+SUM(AD$112:AD118)),AD118)</f>
        <v>0</v>
      </c>
      <c r="AF117" s="49">
        <f ca="1">IF(AE$130+SUM(AE$112:AE117)&gt;0,IF(AE$130+SUM(AE$112:AE118)&gt;0,0,AE$130+SUM(AE$112:AE118)),AE118)</f>
        <v>0</v>
      </c>
      <c r="AG117" s="49">
        <f ca="1">IF(AF$130+SUM(AF$112:AF117)&gt;0,IF(AF$130+SUM(AF$112:AF118)&gt;0,0,AF$130+SUM(AF$112:AF118)),AF118)</f>
        <v>0</v>
      </c>
      <c r="AH117" s="49">
        <f ca="1">IF(AG$130+SUM(AG$112:AG117)&gt;0,IF(AG$130+SUM(AG$112:AG118)&gt;0,0,AG$130+SUM(AG$112:AG118)),AG118)</f>
        <v>0</v>
      </c>
      <c r="AI117" s="49">
        <f ca="1">IF(AH$130+SUM(AH$112:AH117)&gt;0,IF(AH$130+SUM(AH$112:AH118)&gt;0,0,AH$130+SUM(AH$112:AH118)),AH118)</f>
        <v>0</v>
      </c>
      <c r="AJ117" s="49">
        <f ca="1">IF(AI$130+SUM(AI$112:AI117)&gt;0,IF(AI$130+SUM(AI$112:AI118)&gt;0,0,AI$130+SUM(AI$112:AI118)),AI118)</f>
        <v>0</v>
      </c>
      <c r="AK117" s="49">
        <f ca="1">IF(AJ$130+SUM(AJ$112:AJ117)&gt;0,IF(AJ$130+SUM(AJ$112:AJ118)&gt;0,0,AJ$130+SUM(AJ$112:AJ118)),AJ118)</f>
        <v>0</v>
      </c>
      <c r="AL117" s="49">
        <f ca="1">IF(AK$130+SUM(AK$112:AK117)&gt;0,IF(AK$130+SUM(AK$112:AK118)&gt;0,0,AK$130+SUM(AK$112:AK118)),AK118)</f>
        <v>0</v>
      </c>
      <c r="AM117" s="49">
        <f ca="1">IF(AL$130+SUM(AL$112:AL117)&gt;0,IF(AL$130+SUM(AL$112:AL118)&gt;0,0,AL$130+SUM(AL$112:AL118)),AL118)</f>
        <v>0</v>
      </c>
      <c r="AN117" s="49">
        <f ca="1">IF(AM$130+SUM(AM$112:AM117)&gt;0,IF(AM$130+SUM(AM$112:AM118)&gt;0,0,AM$130+SUM(AM$112:AM118)),AM118)</f>
        <v>0</v>
      </c>
      <c r="AO117" s="49">
        <f ca="1">IF(AN$130+SUM(AN$112:AN117)&gt;0,IF(AN$130+SUM(AN$112:AN118)&gt;0,0,AN$130+SUM(AN$112:AN118)),AN118)</f>
        <v>0</v>
      </c>
      <c r="AP117" s="49">
        <f ca="1">IF(AO$130+SUM(AO$112:AO117)&gt;0,IF(AO$130+SUM(AO$112:AO118)&gt;0,0,AO$130+SUM(AO$112:AO118)),AO118)</f>
        <v>0</v>
      </c>
      <c r="AQ117" s="49">
        <f ca="1">IF(AP$130+SUM(AP$112:AP117)&gt;0,IF(AP$130+SUM(AP$112:AP118)&gt;0,0,AP$130+SUM(AP$112:AP118)),AP118)</f>
        <v>0</v>
      </c>
      <c r="AR117" s="49">
        <f ca="1">IF(AQ$130+SUM(AQ$112:AQ117)&gt;0,IF(AQ$130+SUM(AQ$112:AQ118)&gt;0,0,AQ$130+SUM(AQ$112:AQ118)),AQ118)</f>
        <v>0</v>
      </c>
      <c r="AS117" s="49">
        <f ca="1">IF(AR$130+SUM(AR$112:AR117)&gt;0,IF(AR$130+SUM(AR$112:AR118)&gt;0,0,AR$130+SUM(AR$112:AR118)),AR118)</f>
        <v>0</v>
      </c>
      <c r="AT117" s="49">
        <f ca="1">IF(AS$130+SUM(AS$112:AS117)&gt;0,IF(AS$130+SUM(AS$112:AS118)&gt;0,0,AS$130+SUM(AS$112:AS118)),AS118)</f>
        <v>0</v>
      </c>
      <c r="AU117" s="49">
        <f ca="1">IF(AT$130+SUM(AT$112:AT117)&gt;0,IF(AT$130+SUM(AT$112:AT118)&gt;0,0,AT$130+SUM(AT$112:AT118)),AT118)</f>
        <v>0</v>
      </c>
      <c r="AV117" s="49">
        <f ca="1">IF(AU$130+SUM(AU$112:AU117)&gt;0,IF(AU$130+SUM(AU$112:AU118)&gt;0,0,AU$130+SUM(AU$112:AU118)),AU118)</f>
        <v>0</v>
      </c>
      <c r="AW117" s="49">
        <f ca="1">IF(AV$130+SUM(AV$112:AV117)&gt;0,IF(AV$130+SUM(AV$112:AV118)&gt;0,0,AV$130+SUM(AV$112:AV118)),AV118)</f>
        <v>0</v>
      </c>
      <c r="AX117" s="49">
        <f ca="1">IF(AW$130+SUM(AW$112:AW117)&gt;0,IF(AW$130+SUM(AW$112:AW118)&gt;0,0,AW$130+SUM(AW$112:AW118)),AW118)</f>
        <v>0</v>
      </c>
      <c r="AY117" s="49">
        <f ca="1">IF(AX$130+SUM(AX$112:AX117)&gt;0,IF(AX$130+SUM(AX$112:AX118)&gt;0,0,AX$130+SUM(AX$112:AX118)),AX118)</f>
        <v>0</v>
      </c>
      <c r="AZ117" s="49">
        <f ca="1">IF(AY$130+SUM(AY$112:AY117)&gt;0,IF(AY$130+SUM(AY$112:AY118)&gt;0,0,AY$130+SUM(AY$112:AY118)),AY118)</f>
        <v>0</v>
      </c>
      <c r="BA117" s="49">
        <f ca="1">IF(AZ$130+SUM(AZ$112:AZ117)&gt;0,IF(AZ$130+SUM(AZ$112:AZ118)&gt;0,0,AZ$130+SUM(AZ$112:AZ118)),AZ118)</f>
        <v>0</v>
      </c>
      <c r="BB117" s="49">
        <f ca="1">IF(BA$130+SUM(BA$112:BA117)&gt;0,IF(BA$130+SUM(BA$112:BA118)&gt;0,0,BA$130+SUM(BA$112:BA118)),BA118)</f>
        <v>0</v>
      </c>
      <c r="BC117" s="49">
        <f ca="1">IF(BB$130+SUM(BB$112:BB117)&gt;0,IF(BB$130+SUM(BB$112:BB118)&gt;0,0,BB$130+SUM(BB$112:BB118)),BB118)</f>
        <v>0</v>
      </c>
      <c r="BD117" s="49">
        <f ca="1">IF(BC$130+SUM(BC$112:BC117)&gt;0,IF(BC$130+SUM(BC$112:BC118)&gt;0,0,BC$130+SUM(BC$112:BC118)),BC118)</f>
        <v>0</v>
      </c>
      <c r="BE117" s="49">
        <f ca="1">IF(BD$130+SUM(BD$112:BD117)&gt;0,IF(BD$130+SUM(BD$112:BD118)&gt;0,0,BD$130+SUM(BD$112:BD118)),BD118)</f>
        <v>0</v>
      </c>
      <c r="BF117" s="49">
        <f ca="1">IF(BE$130+SUM(BE$112:BE117)&gt;0,IF(BE$130+SUM(BE$112:BE118)&gt;0,0,BE$130+SUM(BE$112:BE118)),BE118)</f>
        <v>0</v>
      </c>
      <c r="BG117" s="49">
        <f ca="1">IF(BF$130+SUM(BF$112:BF117)&gt;0,IF(BF$130+SUM(BF$112:BF118)&gt;0,0,BF$130+SUM(BF$112:BF118)),BF118)</f>
        <v>0</v>
      </c>
      <c r="BH117" s="49">
        <f ca="1">IF(BG$130+SUM(BG$112:BG117)&gt;0,IF(BG$130+SUM(BG$112:BG118)&gt;0,0,BG$130+SUM(BG$112:BG118)),BG118)</f>
        <v>0</v>
      </c>
      <c r="BI117" s="49">
        <f ca="1">IF(BH$130+SUM(BH$112:BH117)&gt;0,IF(BH$130+SUM(BH$112:BH118)&gt;0,0,BH$130+SUM(BH$112:BH118)),BH118)</f>
        <v>0</v>
      </c>
      <c r="BJ117" s="49">
        <f ca="1">IF(BI$130+SUM(BI$112:BI117)&gt;0,IF(BI$130+SUM(BI$112:BI118)&gt;0,0,BI$130+SUM(BI$112:BI118)),BI118)</f>
        <v>0</v>
      </c>
      <c r="BK117" s="49">
        <f ca="1">IF(BJ$130+SUM(BJ$112:BJ117)&gt;0,IF(BJ$130+SUM(BJ$112:BJ118)&gt;0,0,BJ$130+SUM(BJ$112:BJ118)),BJ118)</f>
        <v>0</v>
      </c>
      <c r="BL117" s="49">
        <f ca="1">IF(BK$130+SUM(BK$112:BK117)&gt;0,IF(BK$130+SUM(BK$112:BK118)&gt;0,0,BK$130+SUM(BK$112:BK118)),BK118)</f>
        <v>0</v>
      </c>
    </row>
    <row r="118" spans="2:64" s="1440" customFormat="1" ht="15" customHeight="1">
      <c r="B118" s="1441"/>
      <c r="C118" s="1452"/>
      <c r="D118" s="1440" t="s">
        <v>50</v>
      </c>
      <c r="G118" s="1441"/>
      <c r="H118" s="1450"/>
      <c r="I118" s="1453"/>
      <c r="J118" s="1450"/>
      <c r="K118" s="1450"/>
      <c r="L118" s="1450"/>
      <c r="M118" s="1450"/>
      <c r="N118" s="1450"/>
      <c r="O118" s="1450"/>
      <c r="P118" s="1450"/>
      <c r="Q118" s="1450"/>
      <c r="R118" s="1450"/>
      <c r="S118" s="1450">
        <v>0</v>
      </c>
      <c r="T118" s="1450">
        <f>IF(S$111+SUM(S$117:S118)&gt;0,IF(S$111+SUM(S$117:S119)&gt;0,0,S$111+SUM(S$117:S119)),S119)</f>
        <v>0</v>
      </c>
      <c r="U118" s="1450">
        <f ca="1">IF(T$111+SUM(T$117:T118)&gt;0,IF(T$111+SUM(T$117:T119)&gt;0,0,T$111+SUM(T$117:T119)),T119)</f>
        <v>-38.179025828069271</v>
      </c>
      <c r="V118" s="1454">
        <f>-실적!M13/단위</f>
        <v>-191.54165436</v>
      </c>
      <c r="W118" s="49">
        <f ca="1">IF(V$130+SUM(V$112:V118)&gt;0,IF(V$130+SUM(V$112:V119)&gt;0,0,V$130+SUM(V$112:V119)),V119)</f>
        <v>-94.64071457</v>
      </c>
      <c r="X118" s="49">
        <f ca="1">IF(W$130+SUM(W$112:W118)&gt;0,IF(W$130+SUM(W$112:W119)&gt;0,0,W$130+SUM(W$112:W119)),W119)</f>
        <v>-72.994375509999998</v>
      </c>
      <c r="Y118" s="49">
        <f ca="1">IF(X$130+SUM(X$112:X118)&gt;0,IF(X$130+SUM(X$112:X119)&gt;0,0,X$130+SUM(X$112:X119)),X119)</f>
        <v>0</v>
      </c>
      <c r="Z118" s="49">
        <f ca="1">IF(Y$130+SUM(Y$112:Y118)&gt;0,IF(Y$130+SUM(Y$112:Y119)&gt;0,0,Y$130+SUM(Y$112:Y119)),Y119)</f>
        <v>0</v>
      </c>
      <c r="AA118" s="49">
        <f ca="1">IF(Z$130+SUM(Z$112:Z118)&gt;0,IF(Z$130+SUM(Z$112:Z119)&gt;0,0,Z$130+SUM(Z$112:Z119)),Z119)</f>
        <v>0</v>
      </c>
      <c r="AB118" s="49">
        <f ca="1">IF(AA$130+SUM(AA$112:AA118)&gt;0,IF(AA$130+SUM(AA$112:AA119)&gt;0,0,AA$130+SUM(AA$112:AA119)),AA119)</f>
        <v>0</v>
      </c>
      <c r="AC118" s="49">
        <f ca="1">IF(AB$130+SUM(AB$112:AB118)&gt;0,IF(AB$130+SUM(AB$112:AB119)&gt;0,0,AB$130+SUM(AB$112:AB119)),AB119)</f>
        <v>0</v>
      </c>
      <c r="AD118" s="49">
        <f ca="1">IF(AC$130+SUM(AC$112:AC118)&gt;0,IF(AC$130+SUM(AC$112:AC119)&gt;0,0,AC$130+SUM(AC$112:AC119)),AC119)</f>
        <v>0</v>
      </c>
      <c r="AE118" s="49">
        <f ca="1">IF(AD$130+SUM(AD$112:AD118)&gt;0,IF(AD$130+SUM(AD$112:AD119)&gt;0,0,AD$130+SUM(AD$112:AD119)),AD119)</f>
        <v>0</v>
      </c>
      <c r="AF118" s="49">
        <f ca="1">IF(AE$130+SUM(AE$112:AE118)&gt;0,IF(AE$130+SUM(AE$112:AE119)&gt;0,0,AE$130+SUM(AE$112:AE119)),AE119)</f>
        <v>0</v>
      </c>
      <c r="AG118" s="49">
        <f ca="1">IF(AF$130+SUM(AF$112:AF118)&gt;0,IF(AF$130+SUM(AF$112:AF119)&gt;0,0,AF$130+SUM(AF$112:AF119)),AF119)</f>
        <v>0</v>
      </c>
      <c r="AH118" s="49">
        <f ca="1">IF(AG$130+SUM(AG$112:AG118)&gt;0,IF(AG$130+SUM(AG$112:AG119)&gt;0,0,AG$130+SUM(AG$112:AG119)),AG119)</f>
        <v>0</v>
      </c>
      <c r="AI118" s="49">
        <f ca="1">IF(AH$130+SUM(AH$112:AH118)&gt;0,IF(AH$130+SUM(AH$112:AH119)&gt;0,0,AH$130+SUM(AH$112:AH119)),AH119)</f>
        <v>0</v>
      </c>
      <c r="AJ118" s="49">
        <f ca="1">IF(AI$130+SUM(AI$112:AI118)&gt;0,IF(AI$130+SUM(AI$112:AI119)&gt;0,0,AI$130+SUM(AI$112:AI119)),AI119)</f>
        <v>0</v>
      </c>
      <c r="AK118" s="49">
        <f ca="1">IF(AJ$130+SUM(AJ$112:AJ118)&gt;0,IF(AJ$130+SUM(AJ$112:AJ119)&gt;0,0,AJ$130+SUM(AJ$112:AJ119)),AJ119)</f>
        <v>0</v>
      </c>
      <c r="AL118" s="49">
        <f ca="1">IF(AK$130+SUM(AK$112:AK118)&gt;0,IF(AK$130+SUM(AK$112:AK119)&gt;0,0,AK$130+SUM(AK$112:AK119)),AK119)</f>
        <v>0</v>
      </c>
      <c r="AM118" s="49">
        <f ca="1">IF(AL$130+SUM(AL$112:AL118)&gt;0,IF(AL$130+SUM(AL$112:AL119)&gt;0,0,AL$130+SUM(AL$112:AL119)),AL119)</f>
        <v>0</v>
      </c>
      <c r="AN118" s="49">
        <f ca="1">IF(AM$130+SUM(AM$112:AM118)&gt;0,IF(AM$130+SUM(AM$112:AM119)&gt;0,0,AM$130+SUM(AM$112:AM119)),AM119)</f>
        <v>0</v>
      </c>
      <c r="AO118" s="49">
        <f ca="1">IF(AN$130+SUM(AN$112:AN118)&gt;0,IF(AN$130+SUM(AN$112:AN119)&gt;0,0,AN$130+SUM(AN$112:AN119)),AN119)</f>
        <v>0</v>
      </c>
      <c r="AP118" s="49">
        <f ca="1">IF(AO$130+SUM(AO$112:AO118)&gt;0,IF(AO$130+SUM(AO$112:AO119)&gt;0,0,AO$130+SUM(AO$112:AO119)),AO119)</f>
        <v>0</v>
      </c>
      <c r="AQ118" s="49">
        <f ca="1">IF(AP$130+SUM(AP$112:AP118)&gt;0,IF(AP$130+SUM(AP$112:AP119)&gt;0,0,AP$130+SUM(AP$112:AP119)),AP119)</f>
        <v>0</v>
      </c>
      <c r="AR118" s="49">
        <f ca="1">IF(AQ$130+SUM(AQ$112:AQ118)&gt;0,IF(AQ$130+SUM(AQ$112:AQ119)&gt;0,0,AQ$130+SUM(AQ$112:AQ119)),AQ119)</f>
        <v>0</v>
      </c>
      <c r="AS118" s="49">
        <f ca="1">IF(AR$130+SUM(AR$112:AR118)&gt;0,IF(AR$130+SUM(AR$112:AR119)&gt;0,0,AR$130+SUM(AR$112:AR119)),AR119)</f>
        <v>0</v>
      </c>
      <c r="AT118" s="49">
        <f ca="1">IF(AS$130+SUM(AS$112:AS118)&gt;0,IF(AS$130+SUM(AS$112:AS119)&gt;0,0,AS$130+SUM(AS$112:AS119)),AS119)</f>
        <v>0</v>
      </c>
      <c r="AU118" s="49">
        <f ca="1">IF(AT$130+SUM(AT$112:AT118)&gt;0,IF(AT$130+SUM(AT$112:AT119)&gt;0,0,AT$130+SUM(AT$112:AT119)),AT119)</f>
        <v>0</v>
      </c>
      <c r="AV118" s="49">
        <f ca="1">IF(AU$130+SUM(AU$112:AU118)&gt;0,IF(AU$130+SUM(AU$112:AU119)&gt;0,0,AU$130+SUM(AU$112:AU119)),AU119)</f>
        <v>0</v>
      </c>
      <c r="AW118" s="49">
        <f ca="1">IF(AV$130+SUM(AV$112:AV118)&gt;0,IF(AV$130+SUM(AV$112:AV119)&gt;0,0,AV$130+SUM(AV$112:AV119)),AV119)</f>
        <v>0</v>
      </c>
      <c r="AX118" s="49">
        <f ca="1">IF(AW$130+SUM(AW$112:AW118)&gt;0,IF(AW$130+SUM(AW$112:AW119)&gt;0,0,AW$130+SUM(AW$112:AW119)),AW119)</f>
        <v>0</v>
      </c>
      <c r="AY118" s="49">
        <f ca="1">IF(AX$130+SUM(AX$112:AX118)&gt;0,IF(AX$130+SUM(AX$112:AX119)&gt;0,0,AX$130+SUM(AX$112:AX119)),AX119)</f>
        <v>0</v>
      </c>
      <c r="AZ118" s="49">
        <f ca="1">IF(AY$130+SUM(AY$112:AY118)&gt;0,IF(AY$130+SUM(AY$112:AY119)&gt;0,0,AY$130+SUM(AY$112:AY119)),AY119)</f>
        <v>0</v>
      </c>
      <c r="BA118" s="49">
        <f ca="1">IF(AZ$130+SUM(AZ$112:AZ118)&gt;0,IF(AZ$130+SUM(AZ$112:AZ119)&gt;0,0,AZ$130+SUM(AZ$112:AZ119)),AZ119)</f>
        <v>0</v>
      </c>
      <c r="BB118" s="49">
        <f ca="1">IF(BA$130+SUM(BA$112:BA118)&gt;0,IF(BA$130+SUM(BA$112:BA119)&gt;0,0,BA$130+SUM(BA$112:BA119)),BA119)</f>
        <v>0</v>
      </c>
      <c r="BC118" s="49">
        <f ca="1">IF(BB$130+SUM(BB$112:BB118)&gt;0,IF(BB$130+SUM(BB$112:BB119)&gt;0,0,BB$130+SUM(BB$112:BB119)),BB119)</f>
        <v>0</v>
      </c>
      <c r="BD118" s="49">
        <f ca="1">IF(BC$130+SUM(BC$112:BC118)&gt;0,IF(BC$130+SUM(BC$112:BC119)&gt;0,0,BC$130+SUM(BC$112:BC119)),BC119)</f>
        <v>0</v>
      </c>
      <c r="BE118" s="49">
        <f ca="1">IF(BD$130+SUM(BD$112:BD118)&gt;0,IF(BD$130+SUM(BD$112:BD119)&gt;0,0,BD$130+SUM(BD$112:BD119)),BD119)</f>
        <v>0</v>
      </c>
      <c r="BF118" s="49">
        <f ca="1">IF(BE$130+SUM(BE$112:BE118)&gt;0,IF(BE$130+SUM(BE$112:BE119)&gt;0,0,BE$130+SUM(BE$112:BE119)),BE119)</f>
        <v>0</v>
      </c>
      <c r="BG118" s="49">
        <f ca="1">IF(BF$130+SUM(BF$112:BF118)&gt;0,IF(BF$130+SUM(BF$112:BF119)&gt;0,0,BF$130+SUM(BF$112:BF119)),BF119)</f>
        <v>0</v>
      </c>
      <c r="BH118" s="49">
        <f ca="1">IF(BG$130+SUM(BG$112:BG118)&gt;0,IF(BG$130+SUM(BG$112:BG119)&gt;0,0,BG$130+SUM(BG$112:BG119)),BG119)</f>
        <v>0</v>
      </c>
      <c r="BI118" s="49">
        <f ca="1">IF(BH$130+SUM(BH$112:BH118)&gt;0,IF(BH$130+SUM(BH$112:BH119)&gt;0,0,BH$130+SUM(BH$112:BH119)),BH119)</f>
        <v>0</v>
      </c>
      <c r="BJ118" s="49">
        <f ca="1">IF(BI$130+SUM(BI$112:BI118)&gt;0,IF(BI$130+SUM(BI$112:BI119)&gt;0,0,BI$130+SUM(BI$112:BI119)),BI119)</f>
        <v>0</v>
      </c>
      <c r="BK118" s="49">
        <f ca="1">IF(BJ$130+SUM(BJ$112:BJ118)&gt;0,IF(BJ$130+SUM(BJ$112:BJ119)&gt;0,0,BJ$130+SUM(BJ$112:BJ119)),BJ119)</f>
        <v>0</v>
      </c>
      <c r="BL118" s="49">
        <f ca="1">IF(BK$130+SUM(BK$112:BK118)&gt;0,IF(BK$130+SUM(BK$112:BK119)&gt;0,0,BK$130+SUM(BK$112:BK119)),BK119)</f>
        <v>0</v>
      </c>
    </row>
    <row r="119" spans="2:64" s="1440" customFormat="1" ht="15" customHeight="1">
      <c r="B119" s="1441"/>
      <c r="C119" s="1452"/>
      <c r="D119" s="1440" t="s">
        <v>51</v>
      </c>
      <c r="G119" s="1441"/>
      <c r="H119" s="1450"/>
      <c r="I119" s="1453"/>
      <c r="J119" s="1450"/>
      <c r="K119" s="1450"/>
      <c r="L119" s="1450"/>
      <c r="M119" s="1450"/>
      <c r="N119" s="1450"/>
      <c r="O119" s="1450"/>
      <c r="P119" s="1450"/>
      <c r="Q119" s="1450"/>
      <c r="R119" s="1450"/>
      <c r="S119" s="1450">
        <v>-31.926370522256818</v>
      </c>
      <c r="T119" s="1450">
        <f>IF(S$111+SUM(S$117:S119)&gt;0,IF(S$111+SUM(S$117:S120)&gt;0,0,S$111+SUM(S$117:S120)),S120)</f>
        <v>-112.44174912225684</v>
      </c>
      <c r="U119" s="1450">
        <f ca="1">IF(T$111+SUM(T$117:T119)&gt;0,IF(T$111+SUM(T$117:T120)&gt;0,0,T$111+SUM(T$117:T120)),T120)</f>
        <v>-132.05880438</v>
      </c>
      <c r="V119" s="1454">
        <f>-실적!M14/단위</f>
        <v>-94.64071457</v>
      </c>
      <c r="W119" s="49">
        <f ca="1">IF(V$130+SUM(V$112:V119)&gt;0,IF(V$130+SUM(V$112:V120)&gt;0,0,V$130+SUM(V$112:V120)),V120)</f>
        <v>-72.994375509999998</v>
      </c>
      <c r="X119" s="49">
        <f ca="1">IF(W$130+SUM(W$112:W119)&gt;0,IF(W$130+SUM(W$112:W120)&gt;0,0,W$130+SUM(W$112:W120)),W120)</f>
        <v>0</v>
      </c>
      <c r="Y119" s="49">
        <f ca="1">IF(X$130+SUM(X$112:X119)&gt;0,IF(X$130+SUM(X$112:X120)&gt;0,0,X$130+SUM(X$112:X120)),X120)</f>
        <v>0</v>
      </c>
      <c r="Z119" s="49">
        <f ca="1">IF(Y$130+SUM(Y$112:Y119)&gt;0,IF(Y$130+SUM(Y$112:Y120)&gt;0,0,Y$130+SUM(Y$112:Y120)),Y120)</f>
        <v>0</v>
      </c>
      <c r="AA119" s="49">
        <f ca="1">IF(Z$130+SUM(Z$112:Z119)&gt;0,IF(Z$130+SUM(Z$112:Z120)&gt;0,0,Z$130+SUM(Z$112:Z120)),Z120)</f>
        <v>0</v>
      </c>
      <c r="AB119" s="49">
        <f ca="1">IF(AA$130+SUM(AA$112:AA119)&gt;0,IF(AA$130+SUM(AA$112:AA120)&gt;0,0,AA$130+SUM(AA$112:AA120)),AA120)</f>
        <v>0</v>
      </c>
      <c r="AC119" s="49">
        <f ca="1">IF(AB$130+SUM(AB$112:AB119)&gt;0,IF(AB$130+SUM(AB$112:AB120)&gt;0,0,AB$130+SUM(AB$112:AB120)),AB120)</f>
        <v>0</v>
      </c>
      <c r="AD119" s="49">
        <f ca="1">IF(AC$130+SUM(AC$112:AC119)&gt;0,IF(AC$130+SUM(AC$112:AC120)&gt;0,0,AC$130+SUM(AC$112:AC120)),AC120)</f>
        <v>0</v>
      </c>
      <c r="AE119" s="49">
        <f ca="1">IF(AD$130+SUM(AD$112:AD119)&gt;0,IF(AD$130+SUM(AD$112:AD120)&gt;0,0,AD$130+SUM(AD$112:AD120)),AD120)</f>
        <v>0</v>
      </c>
      <c r="AF119" s="49">
        <f ca="1">IF(AE$130+SUM(AE$112:AE119)&gt;0,IF(AE$130+SUM(AE$112:AE120)&gt;0,0,AE$130+SUM(AE$112:AE120)),AE120)</f>
        <v>0</v>
      </c>
      <c r="AG119" s="49">
        <f ca="1">IF(AF$130+SUM(AF$112:AF119)&gt;0,IF(AF$130+SUM(AF$112:AF120)&gt;0,0,AF$130+SUM(AF$112:AF120)),AF120)</f>
        <v>0</v>
      </c>
      <c r="AH119" s="49">
        <f ca="1">IF(AG$130+SUM(AG$112:AG119)&gt;0,IF(AG$130+SUM(AG$112:AG120)&gt;0,0,AG$130+SUM(AG$112:AG120)),AG120)</f>
        <v>0</v>
      </c>
      <c r="AI119" s="49">
        <f ca="1">IF(AH$130+SUM(AH$112:AH119)&gt;0,IF(AH$130+SUM(AH$112:AH120)&gt;0,0,AH$130+SUM(AH$112:AH120)),AH120)</f>
        <v>0</v>
      </c>
      <c r="AJ119" s="49">
        <f ca="1">IF(AI$130+SUM(AI$112:AI119)&gt;0,IF(AI$130+SUM(AI$112:AI120)&gt;0,0,AI$130+SUM(AI$112:AI120)),AI120)</f>
        <v>0</v>
      </c>
      <c r="AK119" s="49">
        <f ca="1">IF(AJ$130+SUM(AJ$112:AJ119)&gt;0,IF(AJ$130+SUM(AJ$112:AJ120)&gt;0,0,AJ$130+SUM(AJ$112:AJ120)),AJ120)</f>
        <v>0</v>
      </c>
      <c r="AL119" s="49">
        <f ca="1">IF(AK$130+SUM(AK$112:AK119)&gt;0,IF(AK$130+SUM(AK$112:AK120)&gt;0,0,AK$130+SUM(AK$112:AK120)),AK120)</f>
        <v>0</v>
      </c>
      <c r="AM119" s="49">
        <f ca="1">IF(AL$130+SUM(AL$112:AL119)&gt;0,IF(AL$130+SUM(AL$112:AL120)&gt;0,0,AL$130+SUM(AL$112:AL120)),AL120)</f>
        <v>0</v>
      </c>
      <c r="AN119" s="49">
        <f ca="1">IF(AM$130+SUM(AM$112:AM119)&gt;0,IF(AM$130+SUM(AM$112:AM120)&gt;0,0,AM$130+SUM(AM$112:AM120)),AM120)</f>
        <v>0</v>
      </c>
      <c r="AO119" s="49">
        <f ca="1">IF(AN$130+SUM(AN$112:AN119)&gt;0,IF(AN$130+SUM(AN$112:AN120)&gt;0,0,AN$130+SUM(AN$112:AN120)),AN120)</f>
        <v>0</v>
      </c>
      <c r="AP119" s="49">
        <f ca="1">IF(AO$130+SUM(AO$112:AO119)&gt;0,IF(AO$130+SUM(AO$112:AO120)&gt;0,0,AO$130+SUM(AO$112:AO120)),AO120)</f>
        <v>0</v>
      </c>
      <c r="AQ119" s="49">
        <f ca="1">IF(AP$130+SUM(AP$112:AP119)&gt;0,IF(AP$130+SUM(AP$112:AP120)&gt;0,0,AP$130+SUM(AP$112:AP120)),AP120)</f>
        <v>0</v>
      </c>
      <c r="AR119" s="49">
        <f ca="1">IF(AQ$130+SUM(AQ$112:AQ119)&gt;0,IF(AQ$130+SUM(AQ$112:AQ120)&gt;0,0,AQ$130+SUM(AQ$112:AQ120)),AQ120)</f>
        <v>0</v>
      </c>
      <c r="AS119" s="49">
        <f ca="1">IF(AR$130+SUM(AR$112:AR119)&gt;0,IF(AR$130+SUM(AR$112:AR120)&gt;0,0,AR$130+SUM(AR$112:AR120)),AR120)</f>
        <v>0</v>
      </c>
      <c r="AT119" s="49">
        <f ca="1">IF(AS$130+SUM(AS$112:AS119)&gt;0,IF(AS$130+SUM(AS$112:AS120)&gt;0,0,AS$130+SUM(AS$112:AS120)),AS120)</f>
        <v>0</v>
      </c>
      <c r="AU119" s="49">
        <f ca="1">IF(AT$130+SUM(AT$112:AT119)&gt;0,IF(AT$130+SUM(AT$112:AT120)&gt;0,0,AT$130+SUM(AT$112:AT120)),AT120)</f>
        <v>0</v>
      </c>
      <c r="AV119" s="49">
        <f ca="1">IF(AU$130+SUM(AU$112:AU119)&gt;0,IF(AU$130+SUM(AU$112:AU120)&gt;0,0,AU$130+SUM(AU$112:AU120)),AU120)</f>
        <v>0</v>
      </c>
      <c r="AW119" s="49">
        <f ca="1">IF(AV$130+SUM(AV$112:AV119)&gt;0,IF(AV$130+SUM(AV$112:AV120)&gt;0,0,AV$130+SUM(AV$112:AV120)),AV120)</f>
        <v>0</v>
      </c>
      <c r="AX119" s="49">
        <f ca="1">IF(AW$130+SUM(AW$112:AW119)&gt;0,IF(AW$130+SUM(AW$112:AW120)&gt;0,0,AW$130+SUM(AW$112:AW120)),AW120)</f>
        <v>0</v>
      </c>
      <c r="AY119" s="49">
        <f ca="1">IF(AX$130+SUM(AX$112:AX119)&gt;0,IF(AX$130+SUM(AX$112:AX120)&gt;0,0,AX$130+SUM(AX$112:AX120)),AX120)</f>
        <v>0</v>
      </c>
      <c r="AZ119" s="49">
        <f ca="1">IF(AY$130+SUM(AY$112:AY119)&gt;0,IF(AY$130+SUM(AY$112:AY120)&gt;0,0,AY$130+SUM(AY$112:AY120)),AY120)</f>
        <v>0</v>
      </c>
      <c r="BA119" s="49">
        <f ca="1">IF(AZ$130+SUM(AZ$112:AZ119)&gt;0,IF(AZ$130+SUM(AZ$112:AZ120)&gt;0,0,AZ$130+SUM(AZ$112:AZ120)),AZ120)</f>
        <v>0</v>
      </c>
      <c r="BB119" s="49">
        <f ca="1">IF(BA$130+SUM(BA$112:BA119)&gt;0,IF(BA$130+SUM(BA$112:BA120)&gt;0,0,BA$130+SUM(BA$112:BA120)),BA120)</f>
        <v>0</v>
      </c>
      <c r="BC119" s="49">
        <f ca="1">IF(BB$130+SUM(BB$112:BB119)&gt;0,IF(BB$130+SUM(BB$112:BB120)&gt;0,0,BB$130+SUM(BB$112:BB120)),BB120)</f>
        <v>0</v>
      </c>
      <c r="BD119" s="49">
        <f ca="1">IF(BC$130+SUM(BC$112:BC119)&gt;0,IF(BC$130+SUM(BC$112:BC120)&gt;0,0,BC$130+SUM(BC$112:BC120)),BC120)</f>
        <v>0</v>
      </c>
      <c r="BE119" s="49">
        <f ca="1">IF(BD$130+SUM(BD$112:BD119)&gt;0,IF(BD$130+SUM(BD$112:BD120)&gt;0,0,BD$130+SUM(BD$112:BD120)),BD120)</f>
        <v>0</v>
      </c>
      <c r="BF119" s="49">
        <f ca="1">IF(BE$130+SUM(BE$112:BE119)&gt;0,IF(BE$130+SUM(BE$112:BE120)&gt;0,0,BE$130+SUM(BE$112:BE120)),BE120)</f>
        <v>0</v>
      </c>
      <c r="BG119" s="49">
        <f ca="1">IF(BF$130+SUM(BF$112:BF119)&gt;0,IF(BF$130+SUM(BF$112:BF120)&gt;0,0,BF$130+SUM(BF$112:BF120)),BF120)</f>
        <v>0</v>
      </c>
      <c r="BH119" s="49">
        <f ca="1">IF(BG$130+SUM(BG$112:BG119)&gt;0,IF(BG$130+SUM(BG$112:BG120)&gt;0,0,BG$130+SUM(BG$112:BG120)),BG120)</f>
        <v>0</v>
      </c>
      <c r="BI119" s="49">
        <f ca="1">IF(BH$130+SUM(BH$112:BH119)&gt;0,IF(BH$130+SUM(BH$112:BH120)&gt;0,0,BH$130+SUM(BH$112:BH120)),BH120)</f>
        <v>0</v>
      </c>
      <c r="BJ119" s="49">
        <f ca="1">IF(BI$130+SUM(BI$112:BI119)&gt;0,IF(BI$130+SUM(BI$112:BI120)&gt;0,0,BI$130+SUM(BI$112:BI120)),BI120)</f>
        <v>0</v>
      </c>
      <c r="BK119" s="49">
        <f ca="1">IF(BJ$130+SUM(BJ$112:BJ119)&gt;0,IF(BJ$130+SUM(BJ$112:BJ120)&gt;0,0,BJ$130+SUM(BJ$112:BJ120)),BJ120)</f>
        <v>0</v>
      </c>
      <c r="BL119" s="49">
        <f ca="1">IF(BK$130+SUM(BK$112:BK119)&gt;0,IF(BK$130+SUM(BK$112:BK120)&gt;0,0,BK$130+SUM(BK$112:BK120)),BK120)</f>
        <v>0</v>
      </c>
    </row>
    <row r="120" spans="2:64" s="1440" customFormat="1" ht="15" customHeight="1">
      <c r="B120" s="1441"/>
      <c r="C120" s="1452"/>
      <c r="D120" s="1440" t="s">
        <v>52</v>
      </c>
      <c r="G120" s="1441"/>
      <c r="H120" s="1450"/>
      <c r="I120" s="1453"/>
      <c r="J120" s="1450"/>
      <c r="K120" s="1450"/>
      <c r="L120" s="1450"/>
      <c r="M120" s="1450"/>
      <c r="N120" s="1450"/>
      <c r="O120" s="1450"/>
      <c r="P120" s="1450"/>
      <c r="Q120" s="1450"/>
      <c r="R120" s="1450"/>
      <c r="S120" s="1450">
        <v>-175.02537860000001</v>
      </c>
      <c r="T120" s="1450">
        <f>IF(S$111+SUM(S$117:S120)&gt;0,IF(S$111+SUM(S$117:S121)&gt;0,0,S$111+SUM(S$117:S121)),S121)</f>
        <v>-132.05880438</v>
      </c>
      <c r="U120" s="1450">
        <f ca="1">IF(T$111+SUM(T$117:T120)&gt;0,IF(T$111+SUM(T$117:T121)&gt;0,0,T$111+SUM(T$117:T121)),T121)</f>
        <v>-176.22214083999998</v>
      </c>
      <c r="V120" s="1454">
        <f>-실적!M15/단위</f>
        <v>-72.994375509999998</v>
      </c>
      <c r="W120" s="49">
        <f ca="1">IF(V$130+SUM(V$112:V120)&gt;0,IF(V$130+SUM(V$112:V121)&gt;0,0,V$130+SUM(V$112:V121)),V121)</f>
        <v>0</v>
      </c>
      <c r="X120" s="49">
        <f ca="1">IF(W$130+SUM(W$112:W120)&gt;0,IF(W$130+SUM(W$112:W121)&gt;0,0,W$130+SUM(W$112:W121)),W121)</f>
        <v>0</v>
      </c>
      <c r="Y120" s="49">
        <f ca="1">IF(X$130+SUM(X$112:X120)&gt;0,IF(X$130+SUM(X$112:X121)&gt;0,0,X$130+SUM(X$112:X121)),X121)</f>
        <v>0</v>
      </c>
      <c r="Z120" s="49">
        <f ca="1">IF(Y$130+SUM(Y$112:Y120)&gt;0,IF(Y$130+SUM(Y$112:Y121)&gt;0,0,Y$130+SUM(Y$112:Y121)),Y121)</f>
        <v>0</v>
      </c>
      <c r="AA120" s="49">
        <f ca="1">IF(Z$130+SUM(Z$112:Z120)&gt;0,IF(Z$130+SUM(Z$112:Z121)&gt;0,0,Z$130+SUM(Z$112:Z121)),Z121)</f>
        <v>0</v>
      </c>
      <c r="AB120" s="49">
        <f ca="1">IF(AA$130+SUM(AA$112:AA120)&gt;0,IF(AA$130+SUM(AA$112:AA121)&gt;0,0,AA$130+SUM(AA$112:AA121)),AA121)</f>
        <v>0</v>
      </c>
      <c r="AC120" s="49">
        <f ca="1">IF(AB$130+SUM(AB$112:AB120)&gt;0,IF(AB$130+SUM(AB$112:AB121)&gt;0,0,AB$130+SUM(AB$112:AB121)),AB121)</f>
        <v>0</v>
      </c>
      <c r="AD120" s="49">
        <f ca="1">IF(AC$130+SUM(AC$112:AC120)&gt;0,IF(AC$130+SUM(AC$112:AC121)&gt;0,0,AC$130+SUM(AC$112:AC121)),AC121)</f>
        <v>0</v>
      </c>
      <c r="AE120" s="49">
        <f ca="1">IF(AD$130+SUM(AD$112:AD120)&gt;0,IF(AD$130+SUM(AD$112:AD121)&gt;0,0,AD$130+SUM(AD$112:AD121)),AD121)</f>
        <v>0</v>
      </c>
      <c r="AF120" s="49">
        <f ca="1">IF(AE$130+SUM(AE$112:AE120)&gt;0,IF(AE$130+SUM(AE$112:AE121)&gt;0,0,AE$130+SUM(AE$112:AE121)),AE121)</f>
        <v>0</v>
      </c>
      <c r="AG120" s="49">
        <f ca="1">IF(AF$130+SUM(AF$112:AF120)&gt;0,IF(AF$130+SUM(AF$112:AF121)&gt;0,0,AF$130+SUM(AF$112:AF121)),AF121)</f>
        <v>0</v>
      </c>
      <c r="AH120" s="49">
        <f ca="1">IF(AG$130+SUM(AG$112:AG120)&gt;0,IF(AG$130+SUM(AG$112:AG121)&gt;0,0,AG$130+SUM(AG$112:AG121)),AG121)</f>
        <v>0</v>
      </c>
      <c r="AI120" s="49">
        <f ca="1">IF(AH$130+SUM(AH$112:AH120)&gt;0,IF(AH$130+SUM(AH$112:AH121)&gt;0,0,AH$130+SUM(AH$112:AH121)),AH121)</f>
        <v>0</v>
      </c>
      <c r="AJ120" s="49">
        <f ca="1">IF(AI$130+SUM(AI$112:AI120)&gt;0,IF(AI$130+SUM(AI$112:AI121)&gt;0,0,AI$130+SUM(AI$112:AI121)),AI121)</f>
        <v>0</v>
      </c>
      <c r="AK120" s="49">
        <f ca="1">IF(AJ$130+SUM(AJ$112:AJ120)&gt;0,IF(AJ$130+SUM(AJ$112:AJ121)&gt;0,0,AJ$130+SUM(AJ$112:AJ121)),AJ121)</f>
        <v>0</v>
      </c>
      <c r="AL120" s="49">
        <f ca="1">IF(AK$130+SUM(AK$112:AK120)&gt;0,IF(AK$130+SUM(AK$112:AK121)&gt;0,0,AK$130+SUM(AK$112:AK121)),AK121)</f>
        <v>0</v>
      </c>
      <c r="AM120" s="49">
        <f ca="1">IF(AL$130+SUM(AL$112:AL120)&gt;0,IF(AL$130+SUM(AL$112:AL121)&gt;0,0,AL$130+SUM(AL$112:AL121)),AL121)</f>
        <v>0</v>
      </c>
      <c r="AN120" s="49">
        <f ca="1">IF(AM$130+SUM(AM$112:AM120)&gt;0,IF(AM$130+SUM(AM$112:AM121)&gt;0,0,AM$130+SUM(AM$112:AM121)),AM121)</f>
        <v>0</v>
      </c>
      <c r="AO120" s="49">
        <f ca="1">IF(AN$130+SUM(AN$112:AN120)&gt;0,IF(AN$130+SUM(AN$112:AN121)&gt;0,0,AN$130+SUM(AN$112:AN121)),AN121)</f>
        <v>0</v>
      </c>
      <c r="AP120" s="49">
        <f ca="1">IF(AO$130+SUM(AO$112:AO120)&gt;0,IF(AO$130+SUM(AO$112:AO121)&gt;0,0,AO$130+SUM(AO$112:AO121)),AO121)</f>
        <v>0</v>
      </c>
      <c r="AQ120" s="49">
        <f ca="1">IF(AP$130+SUM(AP$112:AP120)&gt;0,IF(AP$130+SUM(AP$112:AP121)&gt;0,0,AP$130+SUM(AP$112:AP121)),AP121)</f>
        <v>0</v>
      </c>
      <c r="AR120" s="49">
        <f ca="1">IF(AQ$130+SUM(AQ$112:AQ120)&gt;0,IF(AQ$130+SUM(AQ$112:AQ121)&gt;0,0,AQ$130+SUM(AQ$112:AQ121)),AQ121)</f>
        <v>0</v>
      </c>
      <c r="AS120" s="49">
        <f ca="1">IF(AR$130+SUM(AR$112:AR120)&gt;0,IF(AR$130+SUM(AR$112:AR121)&gt;0,0,AR$130+SUM(AR$112:AR121)),AR121)</f>
        <v>0</v>
      </c>
      <c r="AT120" s="49">
        <f ca="1">IF(AS$130+SUM(AS$112:AS120)&gt;0,IF(AS$130+SUM(AS$112:AS121)&gt;0,0,AS$130+SUM(AS$112:AS121)),AS121)</f>
        <v>0</v>
      </c>
      <c r="AU120" s="49">
        <f ca="1">IF(AT$130+SUM(AT$112:AT120)&gt;0,IF(AT$130+SUM(AT$112:AT121)&gt;0,0,AT$130+SUM(AT$112:AT121)),AT121)</f>
        <v>0</v>
      </c>
      <c r="AV120" s="49">
        <f ca="1">IF(AU$130+SUM(AU$112:AU120)&gt;0,IF(AU$130+SUM(AU$112:AU121)&gt;0,0,AU$130+SUM(AU$112:AU121)),AU121)</f>
        <v>0</v>
      </c>
      <c r="AW120" s="49">
        <f ca="1">IF(AV$130+SUM(AV$112:AV120)&gt;0,IF(AV$130+SUM(AV$112:AV121)&gt;0,0,AV$130+SUM(AV$112:AV121)),AV121)</f>
        <v>0</v>
      </c>
      <c r="AX120" s="49">
        <f ca="1">IF(AW$130+SUM(AW$112:AW120)&gt;0,IF(AW$130+SUM(AW$112:AW121)&gt;0,0,AW$130+SUM(AW$112:AW121)),AW121)</f>
        <v>0</v>
      </c>
      <c r="AY120" s="49">
        <f ca="1">IF(AX$130+SUM(AX$112:AX120)&gt;0,IF(AX$130+SUM(AX$112:AX121)&gt;0,0,AX$130+SUM(AX$112:AX121)),AX121)</f>
        <v>0</v>
      </c>
      <c r="AZ120" s="49">
        <f ca="1">IF(AY$130+SUM(AY$112:AY120)&gt;0,IF(AY$130+SUM(AY$112:AY121)&gt;0,0,AY$130+SUM(AY$112:AY121)),AY121)</f>
        <v>0</v>
      </c>
      <c r="BA120" s="49">
        <f ca="1">IF(AZ$130+SUM(AZ$112:AZ120)&gt;0,IF(AZ$130+SUM(AZ$112:AZ121)&gt;0,0,AZ$130+SUM(AZ$112:AZ121)),AZ121)</f>
        <v>0</v>
      </c>
      <c r="BB120" s="49">
        <f ca="1">IF(BA$130+SUM(BA$112:BA120)&gt;0,IF(BA$130+SUM(BA$112:BA121)&gt;0,0,BA$130+SUM(BA$112:BA121)),BA121)</f>
        <v>0</v>
      </c>
      <c r="BC120" s="49">
        <f ca="1">IF(BB$130+SUM(BB$112:BB120)&gt;0,IF(BB$130+SUM(BB$112:BB121)&gt;0,0,BB$130+SUM(BB$112:BB121)),BB121)</f>
        <v>0</v>
      </c>
      <c r="BD120" s="49">
        <f ca="1">IF(BC$130+SUM(BC$112:BC120)&gt;0,IF(BC$130+SUM(BC$112:BC121)&gt;0,0,BC$130+SUM(BC$112:BC121)),BC121)</f>
        <v>0</v>
      </c>
      <c r="BE120" s="49">
        <f ca="1">IF(BD$130+SUM(BD$112:BD120)&gt;0,IF(BD$130+SUM(BD$112:BD121)&gt;0,0,BD$130+SUM(BD$112:BD121)),BD121)</f>
        <v>0</v>
      </c>
      <c r="BF120" s="49">
        <f ca="1">IF(BE$130+SUM(BE$112:BE120)&gt;0,IF(BE$130+SUM(BE$112:BE121)&gt;0,0,BE$130+SUM(BE$112:BE121)),BE121)</f>
        <v>0</v>
      </c>
      <c r="BG120" s="49">
        <f ca="1">IF(BF$130+SUM(BF$112:BF120)&gt;0,IF(BF$130+SUM(BF$112:BF121)&gt;0,0,BF$130+SUM(BF$112:BF121)),BF121)</f>
        <v>0</v>
      </c>
      <c r="BH120" s="49">
        <f ca="1">IF(BG$130+SUM(BG$112:BG120)&gt;0,IF(BG$130+SUM(BG$112:BG121)&gt;0,0,BG$130+SUM(BG$112:BG121)),BG121)</f>
        <v>0</v>
      </c>
      <c r="BI120" s="49">
        <f ca="1">IF(BH$130+SUM(BH$112:BH120)&gt;0,IF(BH$130+SUM(BH$112:BH121)&gt;0,0,BH$130+SUM(BH$112:BH121)),BH121)</f>
        <v>0</v>
      </c>
      <c r="BJ120" s="49">
        <f ca="1">IF(BI$130+SUM(BI$112:BI120)&gt;0,IF(BI$130+SUM(BI$112:BI121)&gt;0,0,BI$130+SUM(BI$112:BI121)),BI121)</f>
        <v>0</v>
      </c>
      <c r="BK120" s="49">
        <f ca="1">IF(BJ$130+SUM(BJ$112:BJ120)&gt;0,IF(BJ$130+SUM(BJ$112:BJ121)&gt;0,0,BJ$130+SUM(BJ$112:BJ121)),BJ121)</f>
        <v>0</v>
      </c>
      <c r="BL120" s="49">
        <f ca="1">IF(BK$130+SUM(BK$112:BK120)&gt;0,IF(BK$130+SUM(BK$112:BK121)&gt;0,0,BK$130+SUM(BK$112:BK121)),BK121)</f>
        <v>0</v>
      </c>
    </row>
    <row r="121" spans="2:64" s="1440" customFormat="1" ht="15" customHeight="1">
      <c r="B121" s="1441"/>
      <c r="C121" s="1452"/>
      <c r="D121" s="1440" t="s">
        <v>53</v>
      </c>
      <c r="G121" s="1441"/>
      <c r="H121" s="1450"/>
      <c r="I121" s="1453"/>
      <c r="J121" s="1450"/>
      <c r="K121" s="1450"/>
      <c r="L121" s="1450"/>
      <c r="M121" s="1450"/>
      <c r="N121" s="1450"/>
      <c r="O121" s="1450"/>
      <c r="P121" s="1450"/>
      <c r="Q121" s="1450"/>
      <c r="R121" s="1450"/>
      <c r="S121" s="1450">
        <v>-132.05880438</v>
      </c>
      <c r="T121" s="1450">
        <f>IF(S$111+SUM(S$117:S121)&gt;0,IF(S$111+SUM(S$117:S122)&gt;0,0,S$111+SUM(S$117:S122)),S122)</f>
        <v>-176.22214083999998</v>
      </c>
      <c r="U121" s="1450">
        <f ca="1">IF(T$111+SUM(T$117:T121)&gt;0,IF(T$111+SUM(T$117:T122)&gt;0,0,T$111+SUM(T$117:T122)),T122)</f>
        <v>-96.220014890000002</v>
      </c>
      <c r="V121" s="1454">
        <f>-실적!M16/단위</f>
        <v>0</v>
      </c>
      <c r="W121" s="49">
        <f ca="1">IF(V$130+SUM(V$112:V121)&gt;0,IF(V$130+SUM(V$112:V122)&gt;0,0,V$130+SUM(V$112:V122)),V122)</f>
        <v>0</v>
      </c>
      <c r="X121" s="49">
        <f ca="1">IF(W$130+SUM(W$112:W121)&gt;0,IF(W$130+SUM(W$112:W122)&gt;0,0,W$130+SUM(W$112:W122)),W122)</f>
        <v>0</v>
      </c>
      <c r="Y121" s="49">
        <f ca="1">IF(X$130+SUM(X$112:X121)&gt;0,IF(X$130+SUM(X$112:X122)&gt;0,0,X$130+SUM(X$112:X122)),X122)</f>
        <v>0</v>
      </c>
      <c r="Z121" s="49">
        <f ca="1">IF(Y$130+SUM(Y$112:Y121)&gt;0,IF(Y$130+SUM(Y$112:Y122)&gt;0,0,Y$130+SUM(Y$112:Y122)),Y122)</f>
        <v>0</v>
      </c>
      <c r="AA121" s="49">
        <f ca="1">IF(Z$130+SUM(Z$112:Z121)&gt;0,IF(Z$130+SUM(Z$112:Z122)&gt;0,0,Z$130+SUM(Z$112:Z122)),Z122)</f>
        <v>0</v>
      </c>
      <c r="AB121" s="49">
        <f ca="1">IF(AA$130+SUM(AA$112:AA121)&gt;0,IF(AA$130+SUM(AA$112:AA122)&gt;0,0,AA$130+SUM(AA$112:AA122)),AA122)</f>
        <v>0</v>
      </c>
      <c r="AC121" s="49">
        <f ca="1">IF(AB$130+SUM(AB$112:AB121)&gt;0,IF(AB$130+SUM(AB$112:AB122)&gt;0,0,AB$130+SUM(AB$112:AB122)),AB122)</f>
        <v>0</v>
      </c>
      <c r="AD121" s="49">
        <f ca="1">IF(AC$130+SUM(AC$112:AC121)&gt;0,IF(AC$130+SUM(AC$112:AC122)&gt;0,0,AC$130+SUM(AC$112:AC122)),AC122)</f>
        <v>0</v>
      </c>
      <c r="AE121" s="49">
        <f ca="1">IF(AD$130+SUM(AD$112:AD121)&gt;0,IF(AD$130+SUM(AD$112:AD122)&gt;0,0,AD$130+SUM(AD$112:AD122)),AD122)</f>
        <v>0</v>
      </c>
      <c r="AF121" s="49">
        <f ca="1">IF(AE$130+SUM(AE$112:AE121)&gt;0,IF(AE$130+SUM(AE$112:AE122)&gt;0,0,AE$130+SUM(AE$112:AE122)),AE122)</f>
        <v>0</v>
      </c>
      <c r="AG121" s="49">
        <f ca="1">IF(AF$130+SUM(AF$112:AF121)&gt;0,IF(AF$130+SUM(AF$112:AF122)&gt;0,0,AF$130+SUM(AF$112:AF122)),AF122)</f>
        <v>0</v>
      </c>
      <c r="AH121" s="49">
        <f ca="1">IF(AG$130+SUM(AG$112:AG121)&gt;0,IF(AG$130+SUM(AG$112:AG122)&gt;0,0,AG$130+SUM(AG$112:AG122)),AG122)</f>
        <v>0</v>
      </c>
      <c r="AI121" s="49">
        <f ca="1">IF(AH$130+SUM(AH$112:AH121)&gt;0,IF(AH$130+SUM(AH$112:AH122)&gt;0,0,AH$130+SUM(AH$112:AH122)),AH122)</f>
        <v>0</v>
      </c>
      <c r="AJ121" s="49">
        <f ca="1">IF(AI$130+SUM(AI$112:AI121)&gt;0,IF(AI$130+SUM(AI$112:AI122)&gt;0,0,AI$130+SUM(AI$112:AI122)),AI122)</f>
        <v>0</v>
      </c>
      <c r="AK121" s="49">
        <f ca="1">IF(AJ$130+SUM(AJ$112:AJ121)&gt;0,IF(AJ$130+SUM(AJ$112:AJ122)&gt;0,0,AJ$130+SUM(AJ$112:AJ122)),AJ122)</f>
        <v>0</v>
      </c>
      <c r="AL121" s="49">
        <f ca="1">IF(AK$130+SUM(AK$112:AK121)&gt;0,IF(AK$130+SUM(AK$112:AK122)&gt;0,0,AK$130+SUM(AK$112:AK122)),AK122)</f>
        <v>0</v>
      </c>
      <c r="AM121" s="49">
        <f ca="1">IF(AL$130+SUM(AL$112:AL121)&gt;0,IF(AL$130+SUM(AL$112:AL122)&gt;0,0,AL$130+SUM(AL$112:AL122)),AL122)</f>
        <v>0</v>
      </c>
      <c r="AN121" s="49">
        <f ca="1">IF(AM$130+SUM(AM$112:AM121)&gt;0,IF(AM$130+SUM(AM$112:AM122)&gt;0,0,AM$130+SUM(AM$112:AM122)),AM122)</f>
        <v>0</v>
      </c>
      <c r="AO121" s="49">
        <f ca="1">IF(AN$130+SUM(AN$112:AN121)&gt;0,IF(AN$130+SUM(AN$112:AN122)&gt;0,0,AN$130+SUM(AN$112:AN122)),AN122)</f>
        <v>0</v>
      </c>
      <c r="AP121" s="49">
        <f ca="1">IF(AO$130+SUM(AO$112:AO121)&gt;0,IF(AO$130+SUM(AO$112:AO122)&gt;0,0,AO$130+SUM(AO$112:AO122)),AO122)</f>
        <v>0</v>
      </c>
      <c r="AQ121" s="49">
        <f ca="1">IF(AP$130+SUM(AP$112:AP121)&gt;0,IF(AP$130+SUM(AP$112:AP122)&gt;0,0,AP$130+SUM(AP$112:AP122)),AP122)</f>
        <v>0</v>
      </c>
      <c r="AR121" s="49">
        <f ca="1">IF(AQ$130+SUM(AQ$112:AQ121)&gt;0,IF(AQ$130+SUM(AQ$112:AQ122)&gt;0,0,AQ$130+SUM(AQ$112:AQ122)),AQ122)</f>
        <v>0</v>
      </c>
      <c r="AS121" s="49">
        <f ca="1">IF(AR$130+SUM(AR$112:AR121)&gt;0,IF(AR$130+SUM(AR$112:AR122)&gt;0,0,AR$130+SUM(AR$112:AR122)),AR122)</f>
        <v>0</v>
      </c>
      <c r="AT121" s="49">
        <f ca="1">IF(AS$130+SUM(AS$112:AS121)&gt;0,IF(AS$130+SUM(AS$112:AS122)&gt;0,0,AS$130+SUM(AS$112:AS122)),AS122)</f>
        <v>0</v>
      </c>
      <c r="AU121" s="49">
        <f ca="1">IF(AT$130+SUM(AT$112:AT121)&gt;0,IF(AT$130+SUM(AT$112:AT122)&gt;0,0,AT$130+SUM(AT$112:AT122)),AT122)</f>
        <v>0</v>
      </c>
      <c r="AV121" s="49">
        <f ca="1">IF(AU$130+SUM(AU$112:AU121)&gt;0,IF(AU$130+SUM(AU$112:AU122)&gt;0,0,AU$130+SUM(AU$112:AU122)),AU122)</f>
        <v>0</v>
      </c>
      <c r="AW121" s="49">
        <f ca="1">IF(AV$130+SUM(AV$112:AV121)&gt;0,IF(AV$130+SUM(AV$112:AV122)&gt;0,0,AV$130+SUM(AV$112:AV122)),AV122)</f>
        <v>0</v>
      </c>
      <c r="AX121" s="49">
        <f ca="1">IF(AW$130+SUM(AW$112:AW121)&gt;0,IF(AW$130+SUM(AW$112:AW122)&gt;0,0,AW$130+SUM(AW$112:AW122)),AW122)</f>
        <v>0</v>
      </c>
      <c r="AY121" s="49">
        <f ca="1">IF(AX$130+SUM(AX$112:AX121)&gt;0,IF(AX$130+SUM(AX$112:AX122)&gt;0,0,AX$130+SUM(AX$112:AX122)),AX122)</f>
        <v>0</v>
      </c>
      <c r="AZ121" s="49">
        <f ca="1">IF(AY$130+SUM(AY$112:AY121)&gt;0,IF(AY$130+SUM(AY$112:AY122)&gt;0,0,AY$130+SUM(AY$112:AY122)),AY122)</f>
        <v>0</v>
      </c>
      <c r="BA121" s="49">
        <f ca="1">IF(AZ$130+SUM(AZ$112:AZ121)&gt;0,IF(AZ$130+SUM(AZ$112:AZ122)&gt;0,0,AZ$130+SUM(AZ$112:AZ122)),AZ122)</f>
        <v>0</v>
      </c>
      <c r="BB121" s="49">
        <f ca="1">IF(BA$130+SUM(BA$112:BA121)&gt;0,IF(BA$130+SUM(BA$112:BA122)&gt;0,0,BA$130+SUM(BA$112:BA122)),BA122)</f>
        <v>0</v>
      </c>
      <c r="BC121" s="49">
        <f ca="1">IF(BB$130+SUM(BB$112:BB121)&gt;0,IF(BB$130+SUM(BB$112:BB122)&gt;0,0,BB$130+SUM(BB$112:BB122)),BB122)</f>
        <v>0</v>
      </c>
      <c r="BD121" s="49">
        <f ca="1">IF(BC$130+SUM(BC$112:BC121)&gt;0,IF(BC$130+SUM(BC$112:BC122)&gt;0,0,BC$130+SUM(BC$112:BC122)),BC122)</f>
        <v>0</v>
      </c>
      <c r="BE121" s="49">
        <f ca="1">IF(BD$130+SUM(BD$112:BD121)&gt;0,IF(BD$130+SUM(BD$112:BD122)&gt;0,0,BD$130+SUM(BD$112:BD122)),BD122)</f>
        <v>0</v>
      </c>
      <c r="BF121" s="49">
        <f ca="1">IF(BE$130+SUM(BE$112:BE121)&gt;0,IF(BE$130+SUM(BE$112:BE122)&gt;0,0,BE$130+SUM(BE$112:BE122)),BE122)</f>
        <v>0</v>
      </c>
      <c r="BG121" s="49">
        <f ca="1">IF(BF$130+SUM(BF$112:BF121)&gt;0,IF(BF$130+SUM(BF$112:BF122)&gt;0,0,BF$130+SUM(BF$112:BF122)),BF122)</f>
        <v>0</v>
      </c>
      <c r="BH121" s="49">
        <f ca="1">IF(BG$130+SUM(BG$112:BG121)&gt;0,IF(BG$130+SUM(BG$112:BG122)&gt;0,0,BG$130+SUM(BG$112:BG122)),BG122)</f>
        <v>0</v>
      </c>
      <c r="BI121" s="49">
        <f ca="1">IF(BH$130+SUM(BH$112:BH121)&gt;0,IF(BH$130+SUM(BH$112:BH122)&gt;0,0,BH$130+SUM(BH$112:BH122)),BH122)</f>
        <v>0</v>
      </c>
      <c r="BJ121" s="49">
        <f ca="1">IF(BI$130+SUM(BI$112:BI121)&gt;0,IF(BI$130+SUM(BI$112:BI122)&gt;0,0,BI$130+SUM(BI$112:BI122)),BI122)</f>
        <v>0</v>
      </c>
      <c r="BK121" s="49">
        <f ca="1">IF(BJ$130+SUM(BJ$112:BJ121)&gt;0,IF(BJ$130+SUM(BJ$112:BJ122)&gt;0,0,BJ$130+SUM(BJ$112:BJ122)),BJ122)</f>
        <v>0</v>
      </c>
      <c r="BL121" s="49">
        <f ca="1">IF(BK$130+SUM(BK$112:BK121)&gt;0,IF(BK$130+SUM(BK$112:BK122)&gt;0,0,BK$130+SUM(BK$112:BK122)),BK122)</f>
        <v>0</v>
      </c>
    </row>
    <row r="122" spans="2:64" s="1440" customFormat="1" ht="15" customHeight="1">
      <c r="B122" s="1441"/>
      <c r="C122" s="1452"/>
      <c r="D122" s="1440" t="s">
        <v>54</v>
      </c>
      <c r="G122" s="1441"/>
      <c r="H122" s="1450"/>
      <c r="I122" s="1453"/>
      <c r="J122" s="1450"/>
      <c r="K122" s="1450"/>
      <c r="L122" s="1450"/>
      <c r="M122" s="1450"/>
      <c r="N122" s="1450"/>
      <c r="O122" s="1450"/>
      <c r="P122" s="1450"/>
      <c r="Q122" s="1450"/>
      <c r="R122" s="1450"/>
      <c r="S122" s="1450">
        <v>-176.22214083999998</v>
      </c>
      <c r="T122" s="1450">
        <f>IF(S$111+SUM(S$117:S122)&gt;0,IF(S$111+SUM(S$117:S123)&gt;0,0,S$111+SUM(S$117:S123)),S123)</f>
        <v>-96.220014890000002</v>
      </c>
      <c r="U122" s="1450">
        <f ca="1">IF(T$111+SUM(T$117:T122)&gt;0,IF(T$111+SUM(T$117:T123)&gt;0,0,T$111+SUM(T$117:T123)),T123)</f>
        <v>-31.107868020000002</v>
      </c>
      <c r="V122" s="1454">
        <f>-실적!M17/단위</f>
        <v>0</v>
      </c>
      <c r="W122" s="49">
        <f ca="1">IF(V$130+SUM(V$112:V122)&gt;0,IF(V$130+SUM(V$112:V123)&gt;0,0,V$130+SUM(V$112:V123)),V123)</f>
        <v>0</v>
      </c>
      <c r="X122" s="49">
        <f ca="1">IF(W$130+SUM(W$112:W122)&gt;0,IF(W$130+SUM(W$112:W123)&gt;0,0,W$130+SUM(W$112:W123)),W123)</f>
        <v>0</v>
      </c>
      <c r="Y122" s="49">
        <f ca="1">IF(X$130+SUM(X$112:X122)&gt;0,IF(X$130+SUM(X$112:X123)&gt;0,0,X$130+SUM(X$112:X123)),X123)</f>
        <v>0</v>
      </c>
      <c r="Z122" s="49">
        <f ca="1">IF(Y$130+SUM(Y$112:Y122)&gt;0,IF(Y$130+SUM(Y$112:Y123)&gt;0,0,Y$130+SUM(Y$112:Y123)),Y123)</f>
        <v>0</v>
      </c>
      <c r="AA122" s="49">
        <f ca="1">IF(Z$130+SUM(Z$112:Z122)&gt;0,IF(Z$130+SUM(Z$112:Z123)&gt;0,0,Z$130+SUM(Z$112:Z123)),Z123)</f>
        <v>0</v>
      </c>
      <c r="AB122" s="49">
        <f ca="1">IF(AA$130+SUM(AA$112:AA122)&gt;0,IF(AA$130+SUM(AA$112:AA123)&gt;0,0,AA$130+SUM(AA$112:AA123)),AA123)</f>
        <v>0</v>
      </c>
      <c r="AC122" s="49">
        <f ca="1">IF(AB$130+SUM(AB$112:AB122)&gt;0,IF(AB$130+SUM(AB$112:AB123)&gt;0,0,AB$130+SUM(AB$112:AB123)),AB123)</f>
        <v>0</v>
      </c>
      <c r="AD122" s="49">
        <f ca="1">IF(AC$130+SUM(AC$112:AC122)&gt;0,IF(AC$130+SUM(AC$112:AC123)&gt;0,0,AC$130+SUM(AC$112:AC123)),AC123)</f>
        <v>0</v>
      </c>
      <c r="AE122" s="49">
        <f ca="1">IF(AD$130+SUM(AD$112:AD122)&gt;0,IF(AD$130+SUM(AD$112:AD123)&gt;0,0,AD$130+SUM(AD$112:AD123)),AD123)</f>
        <v>0</v>
      </c>
      <c r="AF122" s="49">
        <f ca="1">IF(AE$130+SUM(AE$112:AE122)&gt;0,IF(AE$130+SUM(AE$112:AE123)&gt;0,0,AE$130+SUM(AE$112:AE123)),AE123)</f>
        <v>0</v>
      </c>
      <c r="AG122" s="49">
        <f ca="1">IF(AF$130+SUM(AF$112:AF122)&gt;0,IF(AF$130+SUM(AF$112:AF123)&gt;0,0,AF$130+SUM(AF$112:AF123)),AF123)</f>
        <v>0</v>
      </c>
      <c r="AH122" s="49">
        <f ca="1">IF(AG$130+SUM(AG$112:AG122)&gt;0,IF(AG$130+SUM(AG$112:AG123)&gt;0,0,AG$130+SUM(AG$112:AG123)),AG123)</f>
        <v>0</v>
      </c>
      <c r="AI122" s="49">
        <f ca="1">IF(AH$130+SUM(AH$112:AH122)&gt;0,IF(AH$130+SUM(AH$112:AH123)&gt;0,0,AH$130+SUM(AH$112:AH123)),AH123)</f>
        <v>0</v>
      </c>
      <c r="AJ122" s="49">
        <f ca="1">IF(AI$130+SUM(AI$112:AI122)&gt;0,IF(AI$130+SUM(AI$112:AI123)&gt;0,0,AI$130+SUM(AI$112:AI123)),AI123)</f>
        <v>0</v>
      </c>
      <c r="AK122" s="49">
        <f ca="1">IF(AJ$130+SUM(AJ$112:AJ122)&gt;0,IF(AJ$130+SUM(AJ$112:AJ123)&gt;0,0,AJ$130+SUM(AJ$112:AJ123)),AJ123)</f>
        <v>0</v>
      </c>
      <c r="AL122" s="49">
        <f ca="1">IF(AK$130+SUM(AK$112:AK122)&gt;0,IF(AK$130+SUM(AK$112:AK123)&gt;0,0,AK$130+SUM(AK$112:AK123)),AK123)</f>
        <v>0</v>
      </c>
      <c r="AM122" s="49">
        <f ca="1">IF(AL$130+SUM(AL$112:AL122)&gt;0,IF(AL$130+SUM(AL$112:AL123)&gt;0,0,AL$130+SUM(AL$112:AL123)),AL123)</f>
        <v>0</v>
      </c>
      <c r="AN122" s="49">
        <f ca="1">IF(AM$130+SUM(AM$112:AM122)&gt;0,IF(AM$130+SUM(AM$112:AM123)&gt;0,0,AM$130+SUM(AM$112:AM123)),AM123)</f>
        <v>0</v>
      </c>
      <c r="AO122" s="49">
        <f ca="1">IF(AN$130+SUM(AN$112:AN122)&gt;0,IF(AN$130+SUM(AN$112:AN123)&gt;0,0,AN$130+SUM(AN$112:AN123)),AN123)</f>
        <v>0</v>
      </c>
      <c r="AP122" s="49">
        <f ca="1">IF(AO$130+SUM(AO$112:AO122)&gt;0,IF(AO$130+SUM(AO$112:AO123)&gt;0,0,AO$130+SUM(AO$112:AO123)),AO123)</f>
        <v>0</v>
      </c>
      <c r="AQ122" s="49">
        <f ca="1">IF(AP$130+SUM(AP$112:AP122)&gt;0,IF(AP$130+SUM(AP$112:AP123)&gt;0,0,AP$130+SUM(AP$112:AP123)),AP123)</f>
        <v>0</v>
      </c>
      <c r="AR122" s="49">
        <f ca="1">IF(AQ$130+SUM(AQ$112:AQ122)&gt;0,IF(AQ$130+SUM(AQ$112:AQ123)&gt;0,0,AQ$130+SUM(AQ$112:AQ123)),AQ123)</f>
        <v>0</v>
      </c>
      <c r="AS122" s="49">
        <f ca="1">IF(AR$130+SUM(AR$112:AR122)&gt;0,IF(AR$130+SUM(AR$112:AR123)&gt;0,0,AR$130+SUM(AR$112:AR123)),AR123)</f>
        <v>0</v>
      </c>
      <c r="AT122" s="49">
        <f ca="1">IF(AS$130+SUM(AS$112:AS122)&gt;0,IF(AS$130+SUM(AS$112:AS123)&gt;0,0,AS$130+SUM(AS$112:AS123)),AS123)</f>
        <v>0</v>
      </c>
      <c r="AU122" s="49">
        <f ca="1">IF(AT$130+SUM(AT$112:AT122)&gt;0,IF(AT$130+SUM(AT$112:AT123)&gt;0,0,AT$130+SUM(AT$112:AT123)),AT123)</f>
        <v>0</v>
      </c>
      <c r="AV122" s="49">
        <f ca="1">IF(AU$130+SUM(AU$112:AU122)&gt;0,IF(AU$130+SUM(AU$112:AU123)&gt;0,0,AU$130+SUM(AU$112:AU123)),AU123)</f>
        <v>0</v>
      </c>
      <c r="AW122" s="49">
        <f ca="1">IF(AV$130+SUM(AV$112:AV122)&gt;0,IF(AV$130+SUM(AV$112:AV123)&gt;0,0,AV$130+SUM(AV$112:AV123)),AV123)</f>
        <v>0</v>
      </c>
      <c r="AX122" s="49">
        <f ca="1">IF(AW$130+SUM(AW$112:AW122)&gt;0,IF(AW$130+SUM(AW$112:AW123)&gt;0,0,AW$130+SUM(AW$112:AW123)),AW123)</f>
        <v>0</v>
      </c>
      <c r="AY122" s="49">
        <f ca="1">IF(AX$130+SUM(AX$112:AX122)&gt;0,IF(AX$130+SUM(AX$112:AX123)&gt;0,0,AX$130+SUM(AX$112:AX123)),AX123)</f>
        <v>0</v>
      </c>
      <c r="AZ122" s="49">
        <f ca="1">IF(AY$130+SUM(AY$112:AY122)&gt;0,IF(AY$130+SUM(AY$112:AY123)&gt;0,0,AY$130+SUM(AY$112:AY123)),AY123)</f>
        <v>0</v>
      </c>
      <c r="BA122" s="49">
        <f ca="1">IF(AZ$130+SUM(AZ$112:AZ122)&gt;0,IF(AZ$130+SUM(AZ$112:AZ123)&gt;0,0,AZ$130+SUM(AZ$112:AZ123)),AZ123)</f>
        <v>0</v>
      </c>
      <c r="BB122" s="49">
        <f ca="1">IF(BA$130+SUM(BA$112:BA122)&gt;0,IF(BA$130+SUM(BA$112:BA123)&gt;0,0,BA$130+SUM(BA$112:BA123)),BA123)</f>
        <v>0</v>
      </c>
      <c r="BC122" s="49">
        <f ca="1">IF(BB$130+SUM(BB$112:BB122)&gt;0,IF(BB$130+SUM(BB$112:BB123)&gt;0,0,BB$130+SUM(BB$112:BB123)),BB123)</f>
        <v>0</v>
      </c>
      <c r="BD122" s="49">
        <f ca="1">IF(BC$130+SUM(BC$112:BC122)&gt;0,IF(BC$130+SUM(BC$112:BC123)&gt;0,0,BC$130+SUM(BC$112:BC123)),BC123)</f>
        <v>0</v>
      </c>
      <c r="BE122" s="49">
        <f ca="1">IF(BD$130+SUM(BD$112:BD122)&gt;0,IF(BD$130+SUM(BD$112:BD123)&gt;0,0,BD$130+SUM(BD$112:BD123)),BD123)</f>
        <v>0</v>
      </c>
      <c r="BF122" s="49">
        <f ca="1">IF(BE$130+SUM(BE$112:BE122)&gt;0,IF(BE$130+SUM(BE$112:BE123)&gt;0,0,BE$130+SUM(BE$112:BE123)),BE123)</f>
        <v>0</v>
      </c>
      <c r="BG122" s="49">
        <f ca="1">IF(BF$130+SUM(BF$112:BF122)&gt;0,IF(BF$130+SUM(BF$112:BF123)&gt;0,0,BF$130+SUM(BF$112:BF123)),BF123)</f>
        <v>0</v>
      </c>
      <c r="BH122" s="49">
        <f ca="1">IF(BG$130+SUM(BG$112:BG122)&gt;0,IF(BG$130+SUM(BG$112:BG123)&gt;0,0,BG$130+SUM(BG$112:BG123)),BG123)</f>
        <v>0</v>
      </c>
      <c r="BI122" s="49">
        <f ca="1">IF(BH$130+SUM(BH$112:BH122)&gt;0,IF(BH$130+SUM(BH$112:BH123)&gt;0,0,BH$130+SUM(BH$112:BH123)),BH123)</f>
        <v>0</v>
      </c>
      <c r="BJ122" s="49">
        <f ca="1">IF(BI$130+SUM(BI$112:BI122)&gt;0,IF(BI$130+SUM(BI$112:BI123)&gt;0,0,BI$130+SUM(BI$112:BI123)),BI123)</f>
        <v>0</v>
      </c>
      <c r="BK122" s="49">
        <f ca="1">IF(BJ$130+SUM(BJ$112:BJ122)&gt;0,IF(BJ$130+SUM(BJ$112:BJ123)&gt;0,0,BJ$130+SUM(BJ$112:BJ123)),BJ123)</f>
        <v>0</v>
      </c>
      <c r="BL122" s="49">
        <f ca="1">IF(BK$130+SUM(BK$112:BK122)&gt;0,IF(BK$130+SUM(BK$112:BK123)&gt;0,0,BK$130+SUM(BK$112:BK123)),BK123)</f>
        <v>0</v>
      </c>
    </row>
    <row r="123" spans="2:64" s="1440" customFormat="1" ht="15" customHeight="1">
      <c r="B123" s="1441"/>
      <c r="C123" s="1452"/>
      <c r="D123" s="1440" t="s">
        <v>55</v>
      </c>
      <c r="G123" s="1441"/>
      <c r="H123" s="1450"/>
      <c r="I123" s="1453"/>
      <c r="J123" s="1450"/>
      <c r="K123" s="1450"/>
      <c r="L123" s="1450"/>
      <c r="M123" s="1450"/>
      <c r="N123" s="1450"/>
      <c r="O123" s="1450"/>
      <c r="P123" s="1450"/>
      <c r="Q123" s="1450"/>
      <c r="R123" s="1450"/>
      <c r="S123" s="1450">
        <v>-96.220014890000002</v>
      </c>
      <c r="T123" s="1450">
        <f>IF(S$111+SUM(S$117:S123)&gt;0,IF(S$111+SUM(S$117:S124)&gt;0,0,S$111+SUM(S$117:S124)),S124)</f>
        <v>-31.107868020000002</v>
      </c>
      <c r="U123" s="1450">
        <f ca="1">IF(T$111+SUM(T$117:T123)&gt;0,IF(T$111+SUM(T$117:T124)&gt;0,0,T$111+SUM(T$117:T124)),T124)</f>
        <v>0</v>
      </c>
      <c r="V123" s="1454">
        <f>-실적!M18/단위</f>
        <v>0</v>
      </c>
      <c r="W123" s="49">
        <f ca="1">IF(V$130+SUM(V$112:V123)&gt;0,IF(V$130+SUM(V$112:V124)&gt;0,0,V$130+SUM(V$112:V124)),V124)</f>
        <v>0</v>
      </c>
      <c r="X123" s="49">
        <f ca="1">IF(W$130+SUM(W$112:W123)&gt;0,IF(W$130+SUM(W$112:W124)&gt;0,0,W$130+SUM(W$112:W124)),W124)</f>
        <v>0</v>
      </c>
      <c r="Y123" s="49">
        <f ca="1">IF(X$130+SUM(X$112:X123)&gt;0,IF(X$130+SUM(X$112:X124)&gt;0,0,X$130+SUM(X$112:X124)),X124)</f>
        <v>0</v>
      </c>
      <c r="Z123" s="49">
        <f ca="1">IF(Y$130+SUM(Y$112:Y123)&gt;0,IF(Y$130+SUM(Y$112:Y124)&gt;0,0,Y$130+SUM(Y$112:Y124)),Y124)</f>
        <v>0</v>
      </c>
      <c r="AA123" s="49">
        <f ca="1">IF(Z$130+SUM(Z$112:Z123)&gt;0,IF(Z$130+SUM(Z$112:Z124)&gt;0,0,Z$130+SUM(Z$112:Z124)),Z124)</f>
        <v>0</v>
      </c>
      <c r="AB123" s="49">
        <f ca="1">IF(AA$130+SUM(AA$112:AA123)&gt;0,IF(AA$130+SUM(AA$112:AA124)&gt;0,0,AA$130+SUM(AA$112:AA124)),AA124)</f>
        <v>0</v>
      </c>
      <c r="AC123" s="49">
        <f ca="1">IF(AB$130+SUM(AB$112:AB123)&gt;0,IF(AB$130+SUM(AB$112:AB124)&gt;0,0,AB$130+SUM(AB$112:AB124)),AB124)</f>
        <v>0</v>
      </c>
      <c r="AD123" s="49">
        <f ca="1">IF(AC$130+SUM(AC$112:AC123)&gt;0,IF(AC$130+SUM(AC$112:AC124)&gt;0,0,AC$130+SUM(AC$112:AC124)),AC124)</f>
        <v>0</v>
      </c>
      <c r="AE123" s="49">
        <f ca="1">IF(AD$130+SUM(AD$112:AD123)&gt;0,IF(AD$130+SUM(AD$112:AD124)&gt;0,0,AD$130+SUM(AD$112:AD124)),AD124)</f>
        <v>0</v>
      </c>
      <c r="AF123" s="49">
        <f ca="1">IF(AE$130+SUM(AE$112:AE123)&gt;0,IF(AE$130+SUM(AE$112:AE124)&gt;0,0,AE$130+SUM(AE$112:AE124)),AE124)</f>
        <v>0</v>
      </c>
      <c r="AG123" s="49">
        <f ca="1">IF(AF$130+SUM(AF$112:AF123)&gt;0,IF(AF$130+SUM(AF$112:AF124)&gt;0,0,AF$130+SUM(AF$112:AF124)),AF124)</f>
        <v>0</v>
      </c>
      <c r="AH123" s="49">
        <f ca="1">IF(AG$130+SUM(AG$112:AG123)&gt;0,IF(AG$130+SUM(AG$112:AG124)&gt;0,0,AG$130+SUM(AG$112:AG124)),AG124)</f>
        <v>0</v>
      </c>
      <c r="AI123" s="49">
        <f ca="1">IF(AH$130+SUM(AH$112:AH123)&gt;0,IF(AH$130+SUM(AH$112:AH124)&gt;0,0,AH$130+SUM(AH$112:AH124)),AH124)</f>
        <v>0</v>
      </c>
      <c r="AJ123" s="49">
        <f ca="1">IF(AI$130+SUM(AI$112:AI123)&gt;0,IF(AI$130+SUM(AI$112:AI124)&gt;0,0,AI$130+SUM(AI$112:AI124)),AI124)</f>
        <v>0</v>
      </c>
      <c r="AK123" s="49">
        <f ca="1">IF(AJ$130+SUM(AJ$112:AJ123)&gt;0,IF(AJ$130+SUM(AJ$112:AJ124)&gt;0,0,AJ$130+SUM(AJ$112:AJ124)),AJ124)</f>
        <v>0</v>
      </c>
      <c r="AL123" s="49">
        <f ca="1">IF(AK$130+SUM(AK$112:AK123)&gt;0,IF(AK$130+SUM(AK$112:AK124)&gt;0,0,AK$130+SUM(AK$112:AK124)),AK124)</f>
        <v>0</v>
      </c>
      <c r="AM123" s="49">
        <f ca="1">IF(AL$130+SUM(AL$112:AL123)&gt;0,IF(AL$130+SUM(AL$112:AL124)&gt;0,0,AL$130+SUM(AL$112:AL124)),AL124)</f>
        <v>0</v>
      </c>
      <c r="AN123" s="49">
        <f ca="1">IF(AM$130+SUM(AM$112:AM123)&gt;0,IF(AM$130+SUM(AM$112:AM124)&gt;0,0,AM$130+SUM(AM$112:AM124)),AM124)</f>
        <v>0</v>
      </c>
      <c r="AO123" s="49">
        <f ca="1">IF(AN$130+SUM(AN$112:AN123)&gt;0,IF(AN$130+SUM(AN$112:AN124)&gt;0,0,AN$130+SUM(AN$112:AN124)),AN124)</f>
        <v>0</v>
      </c>
      <c r="AP123" s="49">
        <f ca="1">IF(AO$130+SUM(AO$112:AO123)&gt;0,IF(AO$130+SUM(AO$112:AO124)&gt;0,0,AO$130+SUM(AO$112:AO124)),AO124)</f>
        <v>0</v>
      </c>
      <c r="AQ123" s="49">
        <f ca="1">IF(AP$130+SUM(AP$112:AP123)&gt;0,IF(AP$130+SUM(AP$112:AP124)&gt;0,0,AP$130+SUM(AP$112:AP124)),AP124)</f>
        <v>0</v>
      </c>
      <c r="AR123" s="49">
        <f ca="1">IF(AQ$130+SUM(AQ$112:AQ123)&gt;0,IF(AQ$130+SUM(AQ$112:AQ124)&gt;0,0,AQ$130+SUM(AQ$112:AQ124)),AQ124)</f>
        <v>0</v>
      </c>
      <c r="AS123" s="49">
        <f ca="1">IF(AR$130+SUM(AR$112:AR123)&gt;0,IF(AR$130+SUM(AR$112:AR124)&gt;0,0,AR$130+SUM(AR$112:AR124)),AR124)</f>
        <v>0</v>
      </c>
      <c r="AT123" s="49">
        <f ca="1">IF(AS$130+SUM(AS$112:AS123)&gt;0,IF(AS$130+SUM(AS$112:AS124)&gt;0,0,AS$130+SUM(AS$112:AS124)),AS124)</f>
        <v>0</v>
      </c>
      <c r="AU123" s="49">
        <f ca="1">IF(AT$130+SUM(AT$112:AT123)&gt;0,IF(AT$130+SUM(AT$112:AT124)&gt;0,0,AT$130+SUM(AT$112:AT124)),AT124)</f>
        <v>0</v>
      </c>
      <c r="AV123" s="49">
        <f ca="1">IF(AU$130+SUM(AU$112:AU123)&gt;0,IF(AU$130+SUM(AU$112:AU124)&gt;0,0,AU$130+SUM(AU$112:AU124)),AU124)</f>
        <v>0</v>
      </c>
      <c r="AW123" s="49">
        <f ca="1">IF(AV$130+SUM(AV$112:AV123)&gt;0,IF(AV$130+SUM(AV$112:AV124)&gt;0,0,AV$130+SUM(AV$112:AV124)),AV124)</f>
        <v>0</v>
      </c>
      <c r="AX123" s="49">
        <f ca="1">IF(AW$130+SUM(AW$112:AW123)&gt;0,IF(AW$130+SUM(AW$112:AW124)&gt;0,0,AW$130+SUM(AW$112:AW124)),AW124)</f>
        <v>0</v>
      </c>
      <c r="AY123" s="49">
        <f ca="1">IF(AX$130+SUM(AX$112:AX123)&gt;0,IF(AX$130+SUM(AX$112:AX124)&gt;0,0,AX$130+SUM(AX$112:AX124)),AX124)</f>
        <v>0</v>
      </c>
      <c r="AZ123" s="49">
        <f ca="1">IF(AY$130+SUM(AY$112:AY123)&gt;0,IF(AY$130+SUM(AY$112:AY124)&gt;0,0,AY$130+SUM(AY$112:AY124)),AY124)</f>
        <v>0</v>
      </c>
      <c r="BA123" s="49">
        <f ca="1">IF(AZ$130+SUM(AZ$112:AZ123)&gt;0,IF(AZ$130+SUM(AZ$112:AZ124)&gt;0,0,AZ$130+SUM(AZ$112:AZ124)),AZ124)</f>
        <v>0</v>
      </c>
      <c r="BB123" s="49">
        <f ca="1">IF(BA$130+SUM(BA$112:BA123)&gt;0,IF(BA$130+SUM(BA$112:BA124)&gt;0,0,BA$130+SUM(BA$112:BA124)),BA124)</f>
        <v>0</v>
      </c>
      <c r="BC123" s="49">
        <f ca="1">IF(BB$130+SUM(BB$112:BB123)&gt;0,IF(BB$130+SUM(BB$112:BB124)&gt;0,0,BB$130+SUM(BB$112:BB124)),BB124)</f>
        <v>0</v>
      </c>
      <c r="BD123" s="49">
        <f ca="1">IF(BC$130+SUM(BC$112:BC123)&gt;0,IF(BC$130+SUM(BC$112:BC124)&gt;0,0,BC$130+SUM(BC$112:BC124)),BC124)</f>
        <v>0</v>
      </c>
      <c r="BE123" s="49">
        <f ca="1">IF(BD$130+SUM(BD$112:BD123)&gt;0,IF(BD$130+SUM(BD$112:BD124)&gt;0,0,BD$130+SUM(BD$112:BD124)),BD124)</f>
        <v>0</v>
      </c>
      <c r="BF123" s="49">
        <f ca="1">IF(BE$130+SUM(BE$112:BE123)&gt;0,IF(BE$130+SUM(BE$112:BE124)&gt;0,0,BE$130+SUM(BE$112:BE124)),BE124)</f>
        <v>0</v>
      </c>
      <c r="BG123" s="49">
        <f ca="1">IF(BF$130+SUM(BF$112:BF123)&gt;0,IF(BF$130+SUM(BF$112:BF124)&gt;0,0,BF$130+SUM(BF$112:BF124)),BF124)</f>
        <v>0</v>
      </c>
      <c r="BH123" s="49">
        <f ca="1">IF(BG$130+SUM(BG$112:BG123)&gt;0,IF(BG$130+SUM(BG$112:BG124)&gt;0,0,BG$130+SUM(BG$112:BG124)),BG124)</f>
        <v>0</v>
      </c>
      <c r="BI123" s="49">
        <f ca="1">IF(BH$130+SUM(BH$112:BH123)&gt;0,IF(BH$130+SUM(BH$112:BH124)&gt;0,0,BH$130+SUM(BH$112:BH124)),BH124)</f>
        <v>0</v>
      </c>
      <c r="BJ123" s="49">
        <f ca="1">IF(BI$130+SUM(BI$112:BI123)&gt;0,IF(BI$130+SUM(BI$112:BI124)&gt;0,0,BI$130+SUM(BI$112:BI124)),BI124)</f>
        <v>0</v>
      </c>
      <c r="BK123" s="49">
        <f ca="1">IF(BJ$130+SUM(BJ$112:BJ123)&gt;0,IF(BJ$130+SUM(BJ$112:BJ124)&gt;0,0,BJ$130+SUM(BJ$112:BJ124)),BJ124)</f>
        <v>0</v>
      </c>
      <c r="BL123" s="49">
        <f ca="1">IF(BK$130+SUM(BK$112:BK123)&gt;0,IF(BK$130+SUM(BK$112:BK124)&gt;0,0,BK$130+SUM(BK$112:BK124)),BK124)</f>
        <v>-123.97761239101396</v>
      </c>
    </row>
    <row r="124" spans="2:64" s="1440" customFormat="1" ht="15" customHeight="1">
      <c r="B124" s="1441"/>
      <c r="C124" s="1452"/>
      <c r="D124" s="1440" t="s">
        <v>56</v>
      </c>
      <c r="G124" s="1441"/>
      <c r="H124" s="1450"/>
      <c r="I124" s="1453"/>
      <c r="J124" s="1450"/>
      <c r="K124" s="1450"/>
      <c r="L124" s="1450"/>
      <c r="M124" s="1450"/>
      <c r="N124" s="1450"/>
      <c r="O124" s="1450"/>
      <c r="P124" s="1450"/>
      <c r="Q124" s="1450"/>
      <c r="R124" s="1450"/>
      <c r="S124" s="1450">
        <v>-31.107868020000002</v>
      </c>
      <c r="T124" s="1450">
        <f>IF(S$111+SUM(S$117:S124)&gt;0,IF(S$111+SUM(S$117:S125)&gt;0,0,S$111+SUM(S$117:S125)),S125)</f>
        <v>0</v>
      </c>
      <c r="U124" s="1450">
        <f ca="1">IF(T$111+SUM(T$117:T124)&gt;0,IF(T$111+SUM(T$117:T125)&gt;0,0,T$111+SUM(T$117:T125)),T125)</f>
        <v>0</v>
      </c>
      <c r="V124" s="1454">
        <f>-실적!M19/단위</f>
        <v>0</v>
      </c>
      <c r="W124" s="49">
        <f ca="1">IF(V$130+SUM(V$112:V124)&gt;0,IF(V$130+SUM(V$112:V125)&gt;0,0,V$130+SUM(V$112:V125)),V125)</f>
        <v>0</v>
      </c>
      <c r="X124" s="49">
        <f ca="1">IF(W$130+SUM(W$112:W124)&gt;0,IF(W$130+SUM(W$112:W125)&gt;0,0,W$130+SUM(W$112:W125)),W125)</f>
        <v>0</v>
      </c>
      <c r="Y124" s="49">
        <f ca="1">IF(X$130+SUM(X$112:X124)&gt;0,IF(X$130+SUM(X$112:X125)&gt;0,0,X$130+SUM(X$112:X125)),X125)</f>
        <v>0</v>
      </c>
      <c r="Z124" s="49">
        <f ca="1">IF(Y$130+SUM(Y$112:Y124)&gt;0,IF(Y$130+SUM(Y$112:Y125)&gt;0,0,Y$130+SUM(Y$112:Y125)),Y125)</f>
        <v>0</v>
      </c>
      <c r="AA124" s="49">
        <f ca="1">IF(Z$130+SUM(Z$112:Z124)&gt;0,IF(Z$130+SUM(Z$112:Z125)&gt;0,0,Z$130+SUM(Z$112:Z125)),Z125)</f>
        <v>0</v>
      </c>
      <c r="AB124" s="49">
        <f ca="1">IF(AA$130+SUM(AA$112:AA124)&gt;0,IF(AA$130+SUM(AA$112:AA125)&gt;0,0,AA$130+SUM(AA$112:AA125)),AA125)</f>
        <v>0</v>
      </c>
      <c r="AC124" s="49">
        <f ca="1">IF(AB$130+SUM(AB$112:AB124)&gt;0,IF(AB$130+SUM(AB$112:AB125)&gt;0,0,AB$130+SUM(AB$112:AB125)),AB125)</f>
        <v>0</v>
      </c>
      <c r="AD124" s="49">
        <f ca="1">IF(AC$130+SUM(AC$112:AC124)&gt;0,IF(AC$130+SUM(AC$112:AC125)&gt;0,0,AC$130+SUM(AC$112:AC125)),AC125)</f>
        <v>0</v>
      </c>
      <c r="AE124" s="49">
        <f ca="1">IF(AD$130+SUM(AD$112:AD124)&gt;0,IF(AD$130+SUM(AD$112:AD125)&gt;0,0,AD$130+SUM(AD$112:AD125)),AD125)</f>
        <v>0</v>
      </c>
      <c r="AF124" s="49">
        <f ca="1">IF(AE$130+SUM(AE$112:AE124)&gt;0,IF(AE$130+SUM(AE$112:AE125)&gt;0,0,AE$130+SUM(AE$112:AE125)),AE125)</f>
        <v>0</v>
      </c>
      <c r="AG124" s="49">
        <f ca="1">IF(AF$130+SUM(AF$112:AF124)&gt;0,IF(AF$130+SUM(AF$112:AF125)&gt;0,0,AF$130+SUM(AF$112:AF125)),AF125)</f>
        <v>0</v>
      </c>
      <c r="AH124" s="49">
        <f ca="1">IF(AG$130+SUM(AG$112:AG124)&gt;0,IF(AG$130+SUM(AG$112:AG125)&gt;0,0,AG$130+SUM(AG$112:AG125)),AG125)</f>
        <v>0</v>
      </c>
      <c r="AI124" s="49">
        <f ca="1">IF(AH$130+SUM(AH$112:AH124)&gt;0,IF(AH$130+SUM(AH$112:AH125)&gt;0,0,AH$130+SUM(AH$112:AH125)),AH125)</f>
        <v>0</v>
      </c>
      <c r="AJ124" s="49">
        <f ca="1">IF(AI$130+SUM(AI$112:AI124)&gt;0,IF(AI$130+SUM(AI$112:AI125)&gt;0,0,AI$130+SUM(AI$112:AI125)),AI125)</f>
        <v>0</v>
      </c>
      <c r="AK124" s="49">
        <f ca="1">IF(AJ$130+SUM(AJ$112:AJ124)&gt;0,IF(AJ$130+SUM(AJ$112:AJ125)&gt;0,0,AJ$130+SUM(AJ$112:AJ125)),AJ125)</f>
        <v>0</v>
      </c>
      <c r="AL124" s="49">
        <f ca="1">IF(AK$130+SUM(AK$112:AK124)&gt;0,IF(AK$130+SUM(AK$112:AK125)&gt;0,0,AK$130+SUM(AK$112:AK125)),AK125)</f>
        <v>0</v>
      </c>
      <c r="AM124" s="49">
        <f ca="1">IF(AL$130+SUM(AL$112:AL124)&gt;0,IF(AL$130+SUM(AL$112:AL125)&gt;0,0,AL$130+SUM(AL$112:AL125)),AL125)</f>
        <v>0</v>
      </c>
      <c r="AN124" s="49">
        <f ca="1">IF(AM$130+SUM(AM$112:AM124)&gt;0,IF(AM$130+SUM(AM$112:AM125)&gt;0,0,AM$130+SUM(AM$112:AM125)),AM125)</f>
        <v>0</v>
      </c>
      <c r="AO124" s="49">
        <f ca="1">IF(AN$130+SUM(AN$112:AN124)&gt;0,IF(AN$130+SUM(AN$112:AN125)&gt;0,0,AN$130+SUM(AN$112:AN125)),AN125)</f>
        <v>0</v>
      </c>
      <c r="AP124" s="49">
        <f ca="1">IF(AO$130+SUM(AO$112:AO124)&gt;0,IF(AO$130+SUM(AO$112:AO125)&gt;0,0,AO$130+SUM(AO$112:AO125)),AO125)</f>
        <v>0</v>
      </c>
      <c r="AQ124" s="49">
        <f ca="1">IF(AP$130+SUM(AP$112:AP124)&gt;0,IF(AP$130+SUM(AP$112:AP125)&gt;0,0,AP$130+SUM(AP$112:AP125)),AP125)</f>
        <v>0</v>
      </c>
      <c r="AR124" s="49">
        <f ca="1">IF(AQ$130+SUM(AQ$112:AQ124)&gt;0,IF(AQ$130+SUM(AQ$112:AQ125)&gt;0,0,AQ$130+SUM(AQ$112:AQ125)),AQ125)</f>
        <v>0</v>
      </c>
      <c r="AS124" s="49">
        <f ca="1">IF(AR$130+SUM(AR$112:AR124)&gt;0,IF(AR$130+SUM(AR$112:AR125)&gt;0,0,AR$130+SUM(AR$112:AR125)),AR125)</f>
        <v>0</v>
      </c>
      <c r="AT124" s="49">
        <f ca="1">IF(AS$130+SUM(AS$112:AS124)&gt;0,IF(AS$130+SUM(AS$112:AS125)&gt;0,0,AS$130+SUM(AS$112:AS125)),AS125)</f>
        <v>0</v>
      </c>
      <c r="AU124" s="49">
        <f ca="1">IF(AT$130+SUM(AT$112:AT124)&gt;0,IF(AT$130+SUM(AT$112:AT125)&gt;0,0,AT$130+SUM(AT$112:AT125)),AT125)</f>
        <v>0</v>
      </c>
      <c r="AV124" s="49">
        <f ca="1">IF(AU$130+SUM(AU$112:AU124)&gt;0,IF(AU$130+SUM(AU$112:AU125)&gt;0,0,AU$130+SUM(AU$112:AU125)),AU125)</f>
        <v>0</v>
      </c>
      <c r="AW124" s="49">
        <f ca="1">IF(AV$130+SUM(AV$112:AV124)&gt;0,IF(AV$130+SUM(AV$112:AV125)&gt;0,0,AV$130+SUM(AV$112:AV125)),AV125)</f>
        <v>0</v>
      </c>
      <c r="AX124" s="49">
        <f ca="1">IF(AW$130+SUM(AW$112:AW124)&gt;0,IF(AW$130+SUM(AW$112:AW125)&gt;0,0,AW$130+SUM(AW$112:AW125)),AW125)</f>
        <v>0</v>
      </c>
      <c r="AY124" s="49">
        <f ca="1">IF(AX$130+SUM(AX$112:AX124)&gt;0,IF(AX$130+SUM(AX$112:AX125)&gt;0,0,AX$130+SUM(AX$112:AX125)),AX125)</f>
        <v>0</v>
      </c>
      <c r="AZ124" s="49">
        <f ca="1">IF(AY$130+SUM(AY$112:AY124)&gt;0,IF(AY$130+SUM(AY$112:AY125)&gt;0,0,AY$130+SUM(AY$112:AY125)),AY125)</f>
        <v>0</v>
      </c>
      <c r="BA124" s="49">
        <f ca="1">IF(AZ$130+SUM(AZ$112:AZ124)&gt;0,IF(AZ$130+SUM(AZ$112:AZ125)&gt;0,0,AZ$130+SUM(AZ$112:AZ125)),AZ125)</f>
        <v>0</v>
      </c>
      <c r="BB124" s="49">
        <f ca="1">IF(BA$130+SUM(BA$112:BA124)&gt;0,IF(BA$130+SUM(BA$112:BA125)&gt;0,0,BA$130+SUM(BA$112:BA125)),BA125)</f>
        <v>0</v>
      </c>
      <c r="BC124" s="49">
        <f ca="1">IF(BB$130+SUM(BB$112:BB124)&gt;0,IF(BB$130+SUM(BB$112:BB125)&gt;0,0,BB$130+SUM(BB$112:BB125)),BB125)</f>
        <v>0</v>
      </c>
      <c r="BD124" s="49">
        <f ca="1">IF(BC$130+SUM(BC$112:BC124)&gt;0,IF(BC$130+SUM(BC$112:BC125)&gt;0,0,BC$130+SUM(BC$112:BC125)),BC125)</f>
        <v>0</v>
      </c>
      <c r="BE124" s="49">
        <f ca="1">IF(BD$130+SUM(BD$112:BD124)&gt;0,IF(BD$130+SUM(BD$112:BD125)&gt;0,0,BD$130+SUM(BD$112:BD125)),BD125)</f>
        <v>0</v>
      </c>
      <c r="BF124" s="49">
        <f ca="1">IF(BE$130+SUM(BE$112:BE124)&gt;0,IF(BE$130+SUM(BE$112:BE125)&gt;0,0,BE$130+SUM(BE$112:BE125)),BE125)</f>
        <v>0</v>
      </c>
      <c r="BG124" s="49">
        <f ca="1">IF(BF$130+SUM(BF$112:BF124)&gt;0,IF(BF$130+SUM(BF$112:BF125)&gt;0,0,BF$130+SUM(BF$112:BF125)),BF125)</f>
        <v>0</v>
      </c>
      <c r="BH124" s="49">
        <f ca="1">IF(BG$130+SUM(BG$112:BG124)&gt;0,IF(BG$130+SUM(BG$112:BG125)&gt;0,0,BG$130+SUM(BG$112:BG125)),BG125)</f>
        <v>0</v>
      </c>
      <c r="BI124" s="49">
        <f ca="1">IF(BH$130+SUM(BH$112:BH124)&gt;0,IF(BH$130+SUM(BH$112:BH125)&gt;0,0,BH$130+SUM(BH$112:BH125)),BH125)</f>
        <v>0</v>
      </c>
      <c r="BJ124" s="49">
        <f ca="1">IF(BI$130+SUM(BI$112:BI124)&gt;0,IF(BI$130+SUM(BI$112:BI125)&gt;0,0,BI$130+SUM(BI$112:BI125)),BI125)</f>
        <v>0</v>
      </c>
      <c r="BK124" s="49">
        <f ca="1">IF(BJ$130+SUM(BJ$112:BJ124)&gt;0,IF(BJ$130+SUM(BJ$112:BJ125)&gt;0,0,BJ$130+SUM(BJ$112:BJ125)),BJ125)</f>
        <v>-123.97761239101396</v>
      </c>
      <c r="BL124" s="49">
        <f ca="1">IF(BK$130+SUM(BK$112:BK124)&gt;0,IF(BK$130+SUM(BK$112:BK125)&gt;0,0,BK$130+SUM(BK$112:BK125)),BK125)</f>
        <v>0</v>
      </c>
    </row>
    <row r="125" spans="2:64" s="1440" customFormat="1" ht="15" customHeight="1">
      <c r="B125" s="1441"/>
      <c r="C125" s="1452"/>
      <c r="D125" s="1440" t="s">
        <v>57</v>
      </c>
      <c r="G125" s="1441"/>
      <c r="H125" s="1450"/>
      <c r="I125" s="1453"/>
      <c r="J125" s="1450"/>
      <c r="K125" s="1450"/>
      <c r="L125" s="1450"/>
      <c r="M125" s="1450"/>
      <c r="N125" s="1450"/>
      <c r="O125" s="1450"/>
      <c r="P125" s="1450"/>
      <c r="Q125" s="1450"/>
      <c r="R125" s="1450"/>
      <c r="S125" s="1450">
        <v>0</v>
      </c>
      <c r="T125" s="1450">
        <f>IF(S$111+SUM(S$117:S125)&gt;0,IF(S$111+SUM(S$117:S126)&gt;0,0,S$111+SUM(S$117:S126)),S126)</f>
        <v>0</v>
      </c>
      <c r="U125" s="1450">
        <f ca="1">IF(T$111+SUM(T$117:T125)&gt;0,IF(T$111+SUM(T$117:T126)&gt;0,0,T$111+SUM(T$117:T126)),T126)</f>
        <v>0</v>
      </c>
      <c r="V125" s="1454">
        <f>-실적!M20/단위</f>
        <v>0</v>
      </c>
      <c r="W125" s="49">
        <f ca="1">IF(V$130+SUM(V$112:V125)&gt;0,IF(V$130+SUM(V$112:V126)&gt;0,0,V$130+SUM(V$112:V126)),V126)</f>
        <v>0</v>
      </c>
      <c r="X125" s="49">
        <f ca="1">IF(W$130+SUM(W$112:W125)&gt;0,IF(W$130+SUM(W$112:W126)&gt;0,0,W$130+SUM(W$112:W126)),W126)</f>
        <v>0</v>
      </c>
      <c r="Y125" s="49">
        <f ca="1">IF(X$130+SUM(X$112:X125)&gt;0,IF(X$130+SUM(X$112:X126)&gt;0,0,X$130+SUM(X$112:X126)),X126)</f>
        <v>0</v>
      </c>
      <c r="Z125" s="49">
        <f ca="1">IF(Y$130+SUM(Y$112:Y125)&gt;0,IF(Y$130+SUM(Y$112:Y126)&gt;0,0,Y$130+SUM(Y$112:Y126)),Y126)</f>
        <v>0</v>
      </c>
      <c r="AA125" s="49">
        <f ca="1">IF(Z$130+SUM(Z$112:Z125)&gt;0,IF(Z$130+SUM(Z$112:Z126)&gt;0,0,Z$130+SUM(Z$112:Z126)),Z126)</f>
        <v>0</v>
      </c>
      <c r="AB125" s="49">
        <f ca="1">IF(AA$130+SUM(AA$112:AA125)&gt;0,IF(AA$130+SUM(AA$112:AA126)&gt;0,0,AA$130+SUM(AA$112:AA126)),AA126)</f>
        <v>0</v>
      </c>
      <c r="AC125" s="49">
        <f ca="1">IF(AB$130+SUM(AB$112:AB125)&gt;0,IF(AB$130+SUM(AB$112:AB126)&gt;0,0,AB$130+SUM(AB$112:AB126)),AB126)</f>
        <v>0</v>
      </c>
      <c r="AD125" s="49">
        <f ca="1">IF(AC$130+SUM(AC$112:AC125)&gt;0,IF(AC$130+SUM(AC$112:AC126)&gt;0,0,AC$130+SUM(AC$112:AC126)),AC126)</f>
        <v>0</v>
      </c>
      <c r="AE125" s="49">
        <f ca="1">IF(AD$130+SUM(AD$112:AD125)&gt;0,IF(AD$130+SUM(AD$112:AD126)&gt;0,0,AD$130+SUM(AD$112:AD126)),AD126)</f>
        <v>0</v>
      </c>
      <c r="AF125" s="49">
        <f ca="1">IF(AE$130+SUM(AE$112:AE125)&gt;0,IF(AE$130+SUM(AE$112:AE126)&gt;0,0,AE$130+SUM(AE$112:AE126)),AE126)</f>
        <v>0</v>
      </c>
      <c r="AG125" s="49">
        <f ca="1">IF(AF$130+SUM(AF$112:AF125)&gt;0,IF(AF$130+SUM(AF$112:AF126)&gt;0,0,AF$130+SUM(AF$112:AF126)),AF126)</f>
        <v>0</v>
      </c>
      <c r="AH125" s="49">
        <f ca="1">IF(AG$130+SUM(AG$112:AG125)&gt;0,IF(AG$130+SUM(AG$112:AG126)&gt;0,0,AG$130+SUM(AG$112:AG126)),AG126)</f>
        <v>0</v>
      </c>
      <c r="AI125" s="49">
        <f ca="1">IF(AH$130+SUM(AH$112:AH125)&gt;0,IF(AH$130+SUM(AH$112:AH126)&gt;0,0,AH$130+SUM(AH$112:AH126)),AH126)</f>
        <v>0</v>
      </c>
      <c r="AJ125" s="49">
        <f ca="1">IF(AI$130+SUM(AI$112:AI125)&gt;0,IF(AI$130+SUM(AI$112:AI126)&gt;0,0,AI$130+SUM(AI$112:AI126)),AI126)</f>
        <v>0</v>
      </c>
      <c r="AK125" s="49">
        <f ca="1">IF(AJ$130+SUM(AJ$112:AJ125)&gt;0,IF(AJ$130+SUM(AJ$112:AJ126)&gt;0,0,AJ$130+SUM(AJ$112:AJ126)),AJ126)</f>
        <v>0</v>
      </c>
      <c r="AL125" s="49">
        <f ca="1">IF(AK$130+SUM(AK$112:AK125)&gt;0,IF(AK$130+SUM(AK$112:AK126)&gt;0,0,AK$130+SUM(AK$112:AK126)),AK126)</f>
        <v>0</v>
      </c>
      <c r="AM125" s="49">
        <f ca="1">IF(AL$130+SUM(AL$112:AL125)&gt;0,IF(AL$130+SUM(AL$112:AL126)&gt;0,0,AL$130+SUM(AL$112:AL126)),AL126)</f>
        <v>0</v>
      </c>
      <c r="AN125" s="49">
        <f ca="1">IF(AM$130+SUM(AM$112:AM125)&gt;0,IF(AM$130+SUM(AM$112:AM126)&gt;0,0,AM$130+SUM(AM$112:AM126)),AM126)</f>
        <v>0</v>
      </c>
      <c r="AO125" s="49">
        <f ca="1">IF(AN$130+SUM(AN$112:AN125)&gt;0,IF(AN$130+SUM(AN$112:AN126)&gt;0,0,AN$130+SUM(AN$112:AN126)),AN126)</f>
        <v>0</v>
      </c>
      <c r="AP125" s="49">
        <f ca="1">IF(AO$130+SUM(AO$112:AO125)&gt;0,IF(AO$130+SUM(AO$112:AO126)&gt;0,0,AO$130+SUM(AO$112:AO126)),AO126)</f>
        <v>0</v>
      </c>
      <c r="AQ125" s="49">
        <f ca="1">IF(AP$130+SUM(AP$112:AP125)&gt;0,IF(AP$130+SUM(AP$112:AP126)&gt;0,0,AP$130+SUM(AP$112:AP126)),AP126)</f>
        <v>0</v>
      </c>
      <c r="AR125" s="49">
        <f ca="1">IF(AQ$130+SUM(AQ$112:AQ125)&gt;0,IF(AQ$130+SUM(AQ$112:AQ126)&gt;0,0,AQ$130+SUM(AQ$112:AQ126)),AQ126)</f>
        <v>0</v>
      </c>
      <c r="AS125" s="49">
        <f ca="1">IF(AR$130+SUM(AR$112:AR125)&gt;0,IF(AR$130+SUM(AR$112:AR126)&gt;0,0,AR$130+SUM(AR$112:AR126)),AR126)</f>
        <v>0</v>
      </c>
      <c r="AT125" s="49">
        <f ca="1">IF(AS$130+SUM(AS$112:AS125)&gt;0,IF(AS$130+SUM(AS$112:AS126)&gt;0,0,AS$130+SUM(AS$112:AS126)),AS126)</f>
        <v>0</v>
      </c>
      <c r="AU125" s="49">
        <f ca="1">IF(AT$130+SUM(AT$112:AT125)&gt;0,IF(AT$130+SUM(AT$112:AT126)&gt;0,0,AT$130+SUM(AT$112:AT126)),AT126)</f>
        <v>0</v>
      </c>
      <c r="AV125" s="49">
        <f ca="1">IF(AU$130+SUM(AU$112:AU125)&gt;0,IF(AU$130+SUM(AU$112:AU126)&gt;0,0,AU$130+SUM(AU$112:AU126)),AU126)</f>
        <v>0</v>
      </c>
      <c r="AW125" s="49">
        <f ca="1">IF(AV$130+SUM(AV$112:AV125)&gt;0,IF(AV$130+SUM(AV$112:AV126)&gt;0,0,AV$130+SUM(AV$112:AV126)),AV126)</f>
        <v>0</v>
      </c>
      <c r="AX125" s="49">
        <f ca="1">IF(AW$130+SUM(AW$112:AW125)&gt;0,IF(AW$130+SUM(AW$112:AW126)&gt;0,0,AW$130+SUM(AW$112:AW126)),AW126)</f>
        <v>0</v>
      </c>
      <c r="AY125" s="49">
        <f ca="1">IF(AX$130+SUM(AX$112:AX125)&gt;0,IF(AX$130+SUM(AX$112:AX126)&gt;0,0,AX$130+SUM(AX$112:AX126)),AX126)</f>
        <v>0</v>
      </c>
      <c r="AZ125" s="49">
        <f ca="1">IF(AY$130+SUM(AY$112:AY125)&gt;0,IF(AY$130+SUM(AY$112:AY126)&gt;0,0,AY$130+SUM(AY$112:AY126)),AY126)</f>
        <v>0</v>
      </c>
      <c r="BA125" s="49">
        <f ca="1">IF(AZ$130+SUM(AZ$112:AZ125)&gt;0,IF(AZ$130+SUM(AZ$112:AZ126)&gt;0,0,AZ$130+SUM(AZ$112:AZ126)),AZ126)</f>
        <v>0</v>
      </c>
      <c r="BB125" s="49">
        <f ca="1">IF(BA$130+SUM(BA$112:BA125)&gt;0,IF(BA$130+SUM(BA$112:BA126)&gt;0,0,BA$130+SUM(BA$112:BA126)),BA126)</f>
        <v>0</v>
      </c>
      <c r="BC125" s="49">
        <f ca="1">IF(BB$130+SUM(BB$112:BB125)&gt;0,IF(BB$130+SUM(BB$112:BB126)&gt;0,0,BB$130+SUM(BB$112:BB126)),BB126)</f>
        <v>0</v>
      </c>
      <c r="BD125" s="49">
        <f ca="1">IF(BC$130+SUM(BC$112:BC125)&gt;0,IF(BC$130+SUM(BC$112:BC126)&gt;0,0,BC$130+SUM(BC$112:BC126)),BC126)</f>
        <v>0</v>
      </c>
      <c r="BE125" s="49">
        <f ca="1">IF(BD$130+SUM(BD$112:BD125)&gt;0,IF(BD$130+SUM(BD$112:BD126)&gt;0,0,BD$130+SUM(BD$112:BD126)),BD126)</f>
        <v>0</v>
      </c>
      <c r="BF125" s="49">
        <f ca="1">IF(BE$130+SUM(BE$112:BE125)&gt;0,IF(BE$130+SUM(BE$112:BE126)&gt;0,0,BE$130+SUM(BE$112:BE126)),BE126)</f>
        <v>0</v>
      </c>
      <c r="BG125" s="49">
        <f ca="1">IF(BF$130+SUM(BF$112:BF125)&gt;0,IF(BF$130+SUM(BF$112:BF126)&gt;0,0,BF$130+SUM(BF$112:BF126)),BF126)</f>
        <v>0</v>
      </c>
      <c r="BH125" s="49">
        <f ca="1">IF(BG$130+SUM(BG$112:BG125)&gt;0,IF(BG$130+SUM(BG$112:BG126)&gt;0,0,BG$130+SUM(BG$112:BG126)),BG126)</f>
        <v>0</v>
      </c>
      <c r="BI125" s="49">
        <f ca="1">IF(BH$130+SUM(BH$112:BH125)&gt;0,IF(BH$130+SUM(BH$112:BH126)&gt;0,0,BH$130+SUM(BH$112:BH126)),BH126)</f>
        <v>0</v>
      </c>
      <c r="BJ125" s="49">
        <f ca="1">IF(BI$130+SUM(BI$112:BI125)&gt;0,IF(BI$130+SUM(BI$112:BI126)&gt;0,0,BI$130+SUM(BI$112:BI126)),BI126)</f>
        <v>-123.97761239101396</v>
      </c>
      <c r="BK125" s="49">
        <f ca="1">IF(BJ$130+SUM(BJ$112:BJ125)&gt;0,IF(BJ$130+SUM(BJ$112:BJ126)&gt;0,0,BJ$130+SUM(BJ$112:BJ126)),BJ126)</f>
        <v>0</v>
      </c>
      <c r="BL125" s="49">
        <f ca="1">IF(BK$130+SUM(BK$112:BK125)&gt;0,IF(BK$130+SUM(BK$112:BK126)&gt;0,0,BK$130+SUM(BK$112:BK126)),BK126)</f>
        <v>0</v>
      </c>
    </row>
    <row r="126" spans="2:64" s="1440" customFormat="1" ht="15" customHeight="1">
      <c r="B126" s="1441"/>
      <c r="C126" s="1452"/>
      <c r="D126" s="1440" t="s">
        <v>58</v>
      </c>
      <c r="G126" s="1441"/>
      <c r="H126" s="1450"/>
      <c r="I126" s="1453"/>
      <c r="J126" s="1450"/>
      <c r="K126" s="1450"/>
      <c r="L126" s="1450"/>
      <c r="M126" s="1450"/>
      <c r="N126" s="1450"/>
      <c r="O126" s="1450"/>
      <c r="P126" s="1450"/>
      <c r="Q126" s="1450"/>
      <c r="R126" s="1450"/>
      <c r="S126" s="1450">
        <v>0</v>
      </c>
      <c r="T126" s="1450">
        <f t="shared" ref="T126:U126" si="131">IF(S111+SUM(S117:S126)&gt;0,0,MIN(0,S111))</f>
        <v>0</v>
      </c>
      <c r="U126" s="1450">
        <f t="shared" ca="1" si="131"/>
        <v>0</v>
      </c>
      <c r="V126" s="1454">
        <f>-실적!M21/단위</f>
        <v>0</v>
      </c>
      <c r="W126" s="49">
        <f ca="1">IF(V130+SUM(V112:V126)&gt;0,0,MIN(0,V111))</f>
        <v>0</v>
      </c>
      <c r="X126" s="49">
        <f t="shared" ref="X126:BL126" ca="1" si="132">IF(W130+SUM(W112:W126)&gt;0,0,MIN(0,W111))</f>
        <v>0</v>
      </c>
      <c r="Y126" s="49">
        <f t="shared" ca="1" si="132"/>
        <v>0</v>
      </c>
      <c r="Z126" s="49">
        <f t="shared" ca="1" si="132"/>
        <v>0</v>
      </c>
      <c r="AA126" s="49">
        <f t="shared" ca="1" si="132"/>
        <v>0</v>
      </c>
      <c r="AB126" s="49">
        <f t="shared" ca="1" si="132"/>
        <v>0</v>
      </c>
      <c r="AC126" s="49">
        <f t="shared" ca="1" si="132"/>
        <v>0</v>
      </c>
      <c r="AD126" s="49">
        <f t="shared" ca="1" si="132"/>
        <v>0</v>
      </c>
      <c r="AE126" s="49">
        <f t="shared" ca="1" si="132"/>
        <v>0</v>
      </c>
      <c r="AF126" s="49">
        <f t="shared" ca="1" si="132"/>
        <v>0</v>
      </c>
      <c r="AG126" s="49">
        <f t="shared" ca="1" si="132"/>
        <v>0</v>
      </c>
      <c r="AH126" s="49">
        <f t="shared" ca="1" si="132"/>
        <v>0</v>
      </c>
      <c r="AI126" s="49">
        <f t="shared" ca="1" si="132"/>
        <v>0</v>
      </c>
      <c r="AJ126" s="49">
        <f t="shared" ca="1" si="132"/>
        <v>0</v>
      </c>
      <c r="AK126" s="49">
        <f t="shared" ca="1" si="132"/>
        <v>0</v>
      </c>
      <c r="AL126" s="49">
        <f t="shared" ca="1" si="132"/>
        <v>0</v>
      </c>
      <c r="AM126" s="49">
        <f t="shared" ca="1" si="132"/>
        <v>0</v>
      </c>
      <c r="AN126" s="49">
        <f t="shared" ca="1" si="132"/>
        <v>0</v>
      </c>
      <c r="AO126" s="49">
        <f t="shared" ca="1" si="132"/>
        <v>0</v>
      </c>
      <c r="AP126" s="49">
        <f t="shared" ca="1" si="132"/>
        <v>0</v>
      </c>
      <c r="AQ126" s="49">
        <f t="shared" ca="1" si="132"/>
        <v>0</v>
      </c>
      <c r="AR126" s="49">
        <f t="shared" ca="1" si="132"/>
        <v>0</v>
      </c>
      <c r="AS126" s="49">
        <f t="shared" ca="1" si="132"/>
        <v>0</v>
      </c>
      <c r="AT126" s="49">
        <f t="shared" ca="1" si="132"/>
        <v>0</v>
      </c>
      <c r="AU126" s="49">
        <f t="shared" ca="1" si="132"/>
        <v>0</v>
      </c>
      <c r="AV126" s="49">
        <f t="shared" ca="1" si="132"/>
        <v>0</v>
      </c>
      <c r="AW126" s="49">
        <f t="shared" ca="1" si="132"/>
        <v>0</v>
      </c>
      <c r="AX126" s="49">
        <f t="shared" ca="1" si="132"/>
        <v>0</v>
      </c>
      <c r="AY126" s="49">
        <f t="shared" ca="1" si="132"/>
        <v>0</v>
      </c>
      <c r="AZ126" s="49">
        <f t="shared" ca="1" si="132"/>
        <v>0</v>
      </c>
      <c r="BA126" s="49">
        <f t="shared" ca="1" si="132"/>
        <v>0</v>
      </c>
      <c r="BB126" s="49">
        <f t="shared" ca="1" si="132"/>
        <v>0</v>
      </c>
      <c r="BC126" s="49">
        <f t="shared" ca="1" si="132"/>
        <v>0</v>
      </c>
      <c r="BD126" s="49">
        <f t="shared" ca="1" si="132"/>
        <v>0</v>
      </c>
      <c r="BE126" s="49">
        <f t="shared" ca="1" si="132"/>
        <v>0</v>
      </c>
      <c r="BF126" s="49">
        <f t="shared" ca="1" si="132"/>
        <v>0</v>
      </c>
      <c r="BG126" s="49">
        <f t="shared" ca="1" si="132"/>
        <v>0</v>
      </c>
      <c r="BH126" s="49">
        <f t="shared" ca="1" si="132"/>
        <v>0</v>
      </c>
      <c r="BI126" s="49">
        <f t="shared" ca="1" si="132"/>
        <v>-123.97761239101396</v>
      </c>
      <c r="BJ126" s="49">
        <f t="shared" ca="1" si="132"/>
        <v>0</v>
      </c>
      <c r="BK126" s="49">
        <f t="shared" ca="1" si="132"/>
        <v>0</v>
      </c>
      <c r="BL126" s="49">
        <f t="shared" ca="1" si="132"/>
        <v>0</v>
      </c>
    </row>
    <row r="127" spans="2:64" s="1440" customFormat="1" ht="15" customHeight="1">
      <c r="B127" s="1441"/>
      <c r="C127" s="1442" t="s">
        <v>1282</v>
      </c>
      <c r="D127" s="1443"/>
      <c r="E127" s="1443"/>
      <c r="F127" s="1443"/>
      <c r="G127" s="1444"/>
      <c r="H127" s="1445"/>
      <c r="I127" s="1455"/>
      <c r="J127" s="1445">
        <f t="shared" ref="J127:T127" si="133">SUM(J112:J126)</f>
        <v>0</v>
      </c>
      <c r="K127" s="1445">
        <f t="shared" si="133"/>
        <v>0</v>
      </c>
      <c r="L127" s="1445">
        <f t="shared" si="133"/>
        <v>0</v>
      </c>
      <c r="M127" s="1445">
        <f t="shared" si="133"/>
        <v>0</v>
      </c>
      <c r="N127" s="1445">
        <f t="shared" si="133"/>
        <v>0</v>
      </c>
      <c r="O127" s="1445">
        <f t="shared" si="133"/>
        <v>0</v>
      </c>
      <c r="P127" s="1445">
        <f t="shared" si="133"/>
        <v>0</v>
      </c>
      <c r="Q127" s="1445">
        <f t="shared" si="133"/>
        <v>0</v>
      </c>
      <c r="R127" s="1445">
        <f t="shared" si="133"/>
        <v>0</v>
      </c>
      <c r="S127" s="1445">
        <f t="shared" si="133"/>
        <v>-642.56057725225673</v>
      </c>
      <c r="T127" s="1445">
        <f t="shared" si="133"/>
        <v>-548.05057725225674</v>
      </c>
      <c r="U127" s="1445">
        <f ca="1">SUM(U112:U126)</f>
        <v>-473.78785395806932</v>
      </c>
      <c r="V127" s="1447">
        <f>SUM(V112:V126)</f>
        <v>-365.71546739000001</v>
      </c>
      <c r="W127" s="1447">
        <f t="shared" ref="W127:BL127" ca="1" si="134">SUM(W112:W126)</f>
        <v>-328.51881096284575</v>
      </c>
      <c r="X127" s="1447">
        <f t="shared" ca="1" si="134"/>
        <v>-167.63509008</v>
      </c>
      <c r="Y127" s="1447">
        <f t="shared" ca="1" si="134"/>
        <v>-72.994375509999998</v>
      </c>
      <c r="Z127" s="1447">
        <f t="shared" ca="1" si="134"/>
        <v>0</v>
      </c>
      <c r="AA127" s="1447">
        <f t="shared" ca="1" si="134"/>
        <v>0</v>
      </c>
      <c r="AB127" s="1447">
        <f t="shared" ca="1" si="134"/>
        <v>0</v>
      </c>
      <c r="AC127" s="1447">
        <f t="shared" ca="1" si="134"/>
        <v>0</v>
      </c>
      <c r="AD127" s="1447">
        <f t="shared" ca="1" si="134"/>
        <v>0</v>
      </c>
      <c r="AE127" s="1447">
        <f t="shared" ca="1" si="134"/>
        <v>0</v>
      </c>
      <c r="AF127" s="1447">
        <f t="shared" ca="1" si="134"/>
        <v>0</v>
      </c>
      <c r="AG127" s="1447">
        <f t="shared" ca="1" si="134"/>
        <v>0</v>
      </c>
      <c r="AH127" s="1447">
        <f t="shared" ca="1" si="134"/>
        <v>0</v>
      </c>
      <c r="AI127" s="1447">
        <f t="shared" ca="1" si="134"/>
        <v>0</v>
      </c>
      <c r="AJ127" s="1447">
        <f t="shared" ca="1" si="134"/>
        <v>0</v>
      </c>
      <c r="AK127" s="1447">
        <f t="shared" ca="1" si="134"/>
        <v>0</v>
      </c>
      <c r="AL127" s="1447">
        <f t="shared" ca="1" si="134"/>
        <v>0</v>
      </c>
      <c r="AM127" s="1447">
        <f t="shared" ca="1" si="134"/>
        <v>0</v>
      </c>
      <c r="AN127" s="1447">
        <f t="shared" ca="1" si="134"/>
        <v>0</v>
      </c>
      <c r="AO127" s="1447">
        <f t="shared" ca="1" si="134"/>
        <v>0</v>
      </c>
      <c r="AP127" s="1447">
        <f t="shared" ca="1" si="134"/>
        <v>0</v>
      </c>
      <c r="AQ127" s="1447">
        <f t="shared" ca="1" si="134"/>
        <v>0</v>
      </c>
      <c r="AR127" s="1447">
        <f t="shared" ca="1" si="134"/>
        <v>0</v>
      </c>
      <c r="AS127" s="1447">
        <f t="shared" ca="1" si="134"/>
        <v>0</v>
      </c>
      <c r="AT127" s="1447">
        <f t="shared" ca="1" si="134"/>
        <v>0</v>
      </c>
      <c r="AU127" s="1447">
        <f t="shared" ca="1" si="134"/>
        <v>0</v>
      </c>
      <c r="AV127" s="1447">
        <f t="shared" ca="1" si="134"/>
        <v>0</v>
      </c>
      <c r="AW127" s="1447">
        <f t="shared" ca="1" si="134"/>
        <v>0</v>
      </c>
      <c r="AX127" s="1447">
        <f t="shared" ca="1" si="134"/>
        <v>0</v>
      </c>
      <c r="AY127" s="1447">
        <f t="shared" ca="1" si="134"/>
        <v>0</v>
      </c>
      <c r="AZ127" s="1447">
        <f t="shared" ca="1" si="134"/>
        <v>0</v>
      </c>
      <c r="BA127" s="1447">
        <f t="shared" ca="1" si="134"/>
        <v>0</v>
      </c>
      <c r="BB127" s="1447">
        <f t="shared" ca="1" si="134"/>
        <v>0</v>
      </c>
      <c r="BC127" s="1447">
        <f t="shared" ca="1" si="134"/>
        <v>0</v>
      </c>
      <c r="BD127" s="1447">
        <f t="shared" ca="1" si="134"/>
        <v>0</v>
      </c>
      <c r="BE127" s="1447">
        <f t="shared" ca="1" si="134"/>
        <v>0</v>
      </c>
      <c r="BF127" s="1447">
        <f t="shared" ca="1" si="134"/>
        <v>0</v>
      </c>
      <c r="BG127" s="1447">
        <f t="shared" ca="1" si="134"/>
        <v>0</v>
      </c>
      <c r="BH127" s="1447">
        <f t="shared" ca="1" si="134"/>
        <v>0</v>
      </c>
      <c r="BI127" s="1447">
        <f t="shared" ca="1" si="134"/>
        <v>-123.97761239101396</v>
      </c>
      <c r="BJ127" s="1447">
        <f t="shared" ca="1" si="134"/>
        <v>-123.97761239101396</v>
      </c>
      <c r="BK127" s="1447">
        <f t="shared" ca="1" si="134"/>
        <v>-123.97761239101396</v>
      </c>
      <c r="BL127" s="1447">
        <f t="shared" ca="1" si="134"/>
        <v>-123.97761239101396</v>
      </c>
    </row>
    <row r="128" spans="2:64" s="1440" customFormat="1" ht="15" customHeight="1">
      <c r="B128" s="1441"/>
      <c r="C128" s="1442" t="s">
        <v>1283</v>
      </c>
      <c r="D128" s="1443"/>
      <c r="E128" s="1443"/>
      <c r="F128" s="1443"/>
      <c r="G128" s="1456">
        <f>Sensitivity!$E$18</f>
        <v>0.6</v>
      </c>
      <c r="H128" s="1445">
        <f t="shared" ref="H128:H134" ca="1" si="135">SUM(J128:BL128)</f>
        <v>1813.4988898574361</v>
      </c>
      <c r="I128" s="1457">
        <f t="shared" ref="I128:BL128" si="136">MAX(I111*$G$128,0)</f>
        <v>0</v>
      </c>
      <c r="J128" s="1457">
        <f t="shared" si="136"/>
        <v>0</v>
      </c>
      <c r="K128" s="1457">
        <f t="shared" si="136"/>
        <v>0</v>
      </c>
      <c r="L128" s="1457">
        <f t="shared" si="136"/>
        <v>0</v>
      </c>
      <c r="M128" s="1457">
        <f t="shared" si="136"/>
        <v>0</v>
      </c>
      <c r="N128" s="1457">
        <f t="shared" si="136"/>
        <v>0</v>
      </c>
      <c r="O128" s="1457">
        <f t="shared" si="136"/>
        <v>0</v>
      </c>
      <c r="P128" s="1457">
        <f t="shared" si="136"/>
        <v>0</v>
      </c>
      <c r="Q128" s="1457">
        <f t="shared" si="136"/>
        <v>0</v>
      </c>
      <c r="R128" s="1457">
        <f t="shared" si="136"/>
        <v>0</v>
      </c>
      <c r="S128" s="1457">
        <f>MAX(S111*80%,0)</f>
        <v>75.608000000000004</v>
      </c>
      <c r="T128" s="1457">
        <f t="shared" ca="1" si="136"/>
        <v>44.557633976512541</v>
      </c>
      <c r="U128" s="1457">
        <f t="shared" ca="1" si="136"/>
        <v>26.807352867688685</v>
      </c>
      <c r="V128" s="1458">
        <f t="shared" ca="1" si="136"/>
        <v>37.196656427154238</v>
      </c>
      <c r="W128" s="1459">
        <f t="shared" ca="1" si="136"/>
        <v>47.239730759252673</v>
      </c>
      <c r="X128" s="1459">
        <f t="shared" ca="1" si="136"/>
        <v>60.649416642000382</v>
      </c>
      <c r="Y128" s="1459">
        <f t="shared" ca="1" si="136"/>
        <v>68.294917530622101</v>
      </c>
      <c r="Z128" s="1459">
        <f t="shared" ca="1" si="136"/>
        <v>29.374875941070158</v>
      </c>
      <c r="AA128" s="1459">
        <f t="shared" ca="1" si="136"/>
        <v>1.7607361244889137</v>
      </c>
      <c r="AB128" s="1459">
        <f t="shared" ca="1" si="136"/>
        <v>10.620681879696726</v>
      </c>
      <c r="AC128" s="1459">
        <f t="shared" ca="1" si="136"/>
        <v>13.725534483400276</v>
      </c>
      <c r="AD128" s="1459">
        <f t="shared" ca="1" si="136"/>
        <v>12.616971908491982</v>
      </c>
      <c r="AE128" s="1459">
        <f t="shared" ca="1" si="136"/>
        <v>24.066692540503084</v>
      </c>
      <c r="AF128" s="1459">
        <f t="shared" ca="1" si="136"/>
        <v>21.019125681716705</v>
      </c>
      <c r="AG128" s="1459">
        <f t="shared" ca="1" si="136"/>
        <v>22.345519020842403</v>
      </c>
      <c r="AH128" s="1459">
        <f t="shared" ca="1" si="136"/>
        <v>27.671510953044809</v>
      </c>
      <c r="AI128" s="1459">
        <f t="shared" ca="1" si="136"/>
        <v>27.313083840315755</v>
      </c>
      <c r="AJ128" s="1459">
        <f t="shared" ca="1" si="136"/>
        <v>23.2884150790799</v>
      </c>
      <c r="AK128" s="1459">
        <f t="shared" ca="1" si="136"/>
        <v>30.641925284912656</v>
      </c>
      <c r="AL128" s="1459">
        <f t="shared" ca="1" si="136"/>
        <v>29.234525194693049</v>
      </c>
      <c r="AM128" s="1458">
        <f t="shared" ca="1" si="136"/>
        <v>26.126269461231526</v>
      </c>
      <c r="AN128" s="1458">
        <f t="shared" ca="1" si="136"/>
        <v>26.602952627883063</v>
      </c>
      <c r="AO128" s="1458">
        <f t="shared" ca="1" si="136"/>
        <v>36.60432472502108</v>
      </c>
      <c r="AP128" s="1458">
        <f t="shared" ca="1" si="136"/>
        <v>39.030735200013432</v>
      </c>
      <c r="AQ128" s="1458">
        <f t="shared" ca="1" si="136"/>
        <v>49.240772164662538</v>
      </c>
      <c r="AR128" s="1458">
        <f t="shared" ca="1" si="136"/>
        <v>47.918163503564934</v>
      </c>
      <c r="AS128" s="1458">
        <f t="shared" ca="1" si="136"/>
        <v>48.326829900375436</v>
      </c>
      <c r="AT128" s="1459">
        <f t="shared" ca="1" si="136"/>
        <v>53.312103973233356</v>
      </c>
      <c r="AU128" s="1459">
        <f t="shared" ca="1" si="136"/>
        <v>55.446577522514929</v>
      </c>
      <c r="AV128" s="1459">
        <f t="shared" ca="1" si="136"/>
        <v>52.039933330788934</v>
      </c>
      <c r="AW128" s="1459">
        <f t="shared" ca="1" si="136"/>
        <v>59.005877714706514</v>
      </c>
      <c r="AX128" s="1459">
        <f t="shared" ca="1" si="136"/>
        <v>53.065230063233464</v>
      </c>
      <c r="AY128" s="1459">
        <f t="shared" ca="1" si="136"/>
        <v>57.344660363699354</v>
      </c>
      <c r="AZ128" s="1459">
        <f t="shared" ca="1" si="136"/>
        <v>64.597818835160425</v>
      </c>
      <c r="BA128" s="1459">
        <f t="shared" ca="1" si="136"/>
        <v>62.55140601512381</v>
      </c>
      <c r="BB128" s="1459">
        <f t="shared" ca="1" si="136"/>
        <v>63.043850072389986</v>
      </c>
      <c r="BC128" s="1459">
        <f t="shared" ca="1" si="136"/>
        <v>73.169301123127298</v>
      </c>
      <c r="BD128" s="1459">
        <f t="shared" ca="1" si="136"/>
        <v>73.407187327088849</v>
      </c>
      <c r="BE128" s="1459">
        <f t="shared" ca="1" si="136"/>
        <v>75.022595356815614</v>
      </c>
      <c r="BF128" s="1459">
        <f t="shared" ca="1" si="136"/>
        <v>81.378150970480931</v>
      </c>
      <c r="BG128" s="1459">
        <f t="shared" ca="1" si="136"/>
        <v>82.230843470833648</v>
      </c>
      <c r="BH128" s="1459">
        <f t="shared" ca="1" si="136"/>
        <v>0</v>
      </c>
      <c r="BI128" s="1459">
        <f t="shared" ca="1" si="136"/>
        <v>0</v>
      </c>
      <c r="BJ128" s="1459">
        <f t="shared" ca="1" si="136"/>
        <v>0</v>
      </c>
      <c r="BK128" s="1459">
        <f t="shared" ca="1" si="136"/>
        <v>0</v>
      </c>
      <c r="BL128" s="1459">
        <f t="shared" ca="1" si="136"/>
        <v>0</v>
      </c>
    </row>
    <row r="129" spans="1:70" s="1440" customFormat="1" ht="15" customHeight="1">
      <c r="B129" s="1441"/>
      <c r="C129" s="1442" t="s">
        <v>1284</v>
      </c>
      <c r="D129" s="1460"/>
      <c r="E129" s="1443"/>
      <c r="F129" s="1443"/>
      <c r="G129" s="1444"/>
      <c r="H129" s="1445">
        <f t="shared" ca="1" si="135"/>
        <v>-360.35370820323061</v>
      </c>
      <c r="I129" s="1457">
        <f t="shared" ref="I129:BL129" si="137">MAX(I127,-I128)</f>
        <v>0</v>
      </c>
      <c r="J129" s="1445">
        <f t="shared" si="137"/>
        <v>0</v>
      </c>
      <c r="K129" s="1445">
        <f t="shared" si="137"/>
        <v>0</v>
      </c>
      <c r="L129" s="1445">
        <f t="shared" si="137"/>
        <v>0</v>
      </c>
      <c r="M129" s="1445">
        <f t="shared" si="137"/>
        <v>0</v>
      </c>
      <c r="N129" s="1445">
        <f t="shared" si="137"/>
        <v>0</v>
      </c>
      <c r="O129" s="1445">
        <f t="shared" si="137"/>
        <v>0</v>
      </c>
      <c r="P129" s="1445">
        <f t="shared" si="137"/>
        <v>0</v>
      </c>
      <c r="Q129" s="1445">
        <f t="shared" si="137"/>
        <v>0</v>
      </c>
      <c r="R129" s="1445">
        <f t="shared" si="137"/>
        <v>0</v>
      </c>
      <c r="S129" s="1445">
        <f t="shared" si="137"/>
        <v>-75.608000000000004</v>
      </c>
      <c r="T129" s="1445">
        <f t="shared" ca="1" si="137"/>
        <v>-44.557633976512541</v>
      </c>
      <c r="U129" s="1445">
        <f t="shared" ca="1" si="137"/>
        <v>-26.807352867688685</v>
      </c>
      <c r="V129" s="1447">
        <f t="shared" ca="1" si="137"/>
        <v>-37.196656427154238</v>
      </c>
      <c r="W129" s="1447">
        <f t="shared" ca="1" si="137"/>
        <v>-47.239730759252673</v>
      </c>
      <c r="X129" s="1447">
        <f t="shared" ca="1" si="137"/>
        <v>-60.649416642000382</v>
      </c>
      <c r="Y129" s="1447">
        <f t="shared" ca="1" si="137"/>
        <v>-68.294917530622101</v>
      </c>
      <c r="Z129" s="1447">
        <f t="shared" ca="1" si="137"/>
        <v>0</v>
      </c>
      <c r="AA129" s="1447">
        <f t="shared" ca="1" si="137"/>
        <v>0</v>
      </c>
      <c r="AB129" s="1447">
        <f t="shared" ca="1" si="137"/>
        <v>0</v>
      </c>
      <c r="AC129" s="1447">
        <f t="shared" ca="1" si="137"/>
        <v>0</v>
      </c>
      <c r="AD129" s="1447">
        <f t="shared" ca="1" si="137"/>
        <v>0</v>
      </c>
      <c r="AE129" s="1447">
        <f t="shared" ca="1" si="137"/>
        <v>0</v>
      </c>
      <c r="AF129" s="1447">
        <f t="shared" ca="1" si="137"/>
        <v>0</v>
      </c>
      <c r="AG129" s="1447">
        <f t="shared" ca="1" si="137"/>
        <v>0</v>
      </c>
      <c r="AH129" s="1447">
        <f t="shared" ca="1" si="137"/>
        <v>0</v>
      </c>
      <c r="AI129" s="1447">
        <f t="shared" ca="1" si="137"/>
        <v>0</v>
      </c>
      <c r="AJ129" s="1447">
        <f t="shared" ca="1" si="137"/>
        <v>0</v>
      </c>
      <c r="AK129" s="1447">
        <f t="shared" ca="1" si="137"/>
        <v>0</v>
      </c>
      <c r="AL129" s="1447">
        <f t="shared" ca="1" si="137"/>
        <v>0</v>
      </c>
      <c r="AM129" s="1447">
        <f t="shared" ca="1" si="137"/>
        <v>0</v>
      </c>
      <c r="AN129" s="1447">
        <f t="shared" ca="1" si="137"/>
        <v>0</v>
      </c>
      <c r="AO129" s="1447">
        <f t="shared" ca="1" si="137"/>
        <v>0</v>
      </c>
      <c r="AP129" s="1447">
        <f t="shared" ca="1" si="137"/>
        <v>0</v>
      </c>
      <c r="AQ129" s="1447">
        <f t="shared" ca="1" si="137"/>
        <v>0</v>
      </c>
      <c r="AR129" s="1447">
        <f t="shared" ca="1" si="137"/>
        <v>0</v>
      </c>
      <c r="AS129" s="1447">
        <f t="shared" ca="1" si="137"/>
        <v>0</v>
      </c>
      <c r="AT129" s="1447">
        <f t="shared" ca="1" si="137"/>
        <v>0</v>
      </c>
      <c r="AU129" s="1447">
        <f t="shared" ca="1" si="137"/>
        <v>0</v>
      </c>
      <c r="AV129" s="1447">
        <f t="shared" ca="1" si="137"/>
        <v>0</v>
      </c>
      <c r="AW129" s="1447">
        <f t="shared" ca="1" si="137"/>
        <v>0</v>
      </c>
      <c r="AX129" s="1447">
        <f t="shared" ca="1" si="137"/>
        <v>0</v>
      </c>
      <c r="AY129" s="1447">
        <f t="shared" ca="1" si="137"/>
        <v>0</v>
      </c>
      <c r="AZ129" s="1447">
        <f t="shared" ca="1" si="137"/>
        <v>0</v>
      </c>
      <c r="BA129" s="1447">
        <f t="shared" ca="1" si="137"/>
        <v>0</v>
      </c>
      <c r="BB129" s="1447">
        <f t="shared" ca="1" si="137"/>
        <v>0</v>
      </c>
      <c r="BC129" s="1447">
        <f t="shared" ca="1" si="137"/>
        <v>0</v>
      </c>
      <c r="BD129" s="1447">
        <f t="shared" ca="1" si="137"/>
        <v>0</v>
      </c>
      <c r="BE129" s="1447">
        <f t="shared" ca="1" si="137"/>
        <v>0</v>
      </c>
      <c r="BF129" s="1447">
        <f t="shared" ca="1" si="137"/>
        <v>0</v>
      </c>
      <c r="BG129" s="1447">
        <f t="shared" ca="1" si="137"/>
        <v>0</v>
      </c>
      <c r="BH129" s="1447">
        <f t="shared" ca="1" si="137"/>
        <v>0</v>
      </c>
      <c r="BI129" s="1447">
        <f t="shared" ca="1" si="137"/>
        <v>0</v>
      </c>
      <c r="BJ129" s="1447">
        <f t="shared" ca="1" si="137"/>
        <v>0</v>
      </c>
      <c r="BK129" s="1447">
        <f t="shared" ca="1" si="137"/>
        <v>0</v>
      </c>
      <c r="BL129" s="1447">
        <f t="shared" ca="1" si="137"/>
        <v>0</v>
      </c>
    </row>
    <row r="130" spans="1:70" s="1440" customFormat="1" ht="15" customHeight="1">
      <c r="B130" s="1441"/>
      <c r="C130" s="1461" t="s">
        <v>1285</v>
      </c>
      <c r="D130" s="1462"/>
      <c r="E130" s="1463"/>
      <c r="F130" s="1463"/>
      <c r="G130" s="1464"/>
      <c r="H130" s="1445">
        <f t="shared" ca="1" si="135"/>
        <v>360.35370820323061</v>
      </c>
      <c r="I130" s="1445">
        <f t="shared" ref="I130:R130" si="138">-I129</f>
        <v>0</v>
      </c>
      <c r="J130" s="1445">
        <f t="shared" si="138"/>
        <v>0</v>
      </c>
      <c r="K130" s="1445">
        <f t="shared" si="138"/>
        <v>0</v>
      </c>
      <c r="L130" s="1445">
        <f t="shared" si="138"/>
        <v>0</v>
      </c>
      <c r="M130" s="1445">
        <f t="shared" si="138"/>
        <v>0</v>
      </c>
      <c r="N130" s="1445">
        <f t="shared" si="138"/>
        <v>0</v>
      </c>
      <c r="O130" s="1445">
        <f t="shared" si="138"/>
        <v>0</v>
      </c>
      <c r="P130" s="1445">
        <f t="shared" si="138"/>
        <v>0</v>
      </c>
      <c r="Q130" s="1445">
        <f t="shared" si="138"/>
        <v>0</v>
      </c>
      <c r="R130" s="1445">
        <f t="shared" si="138"/>
        <v>0</v>
      </c>
      <c r="S130" s="1445">
        <f>-S129</f>
        <v>75.608000000000004</v>
      </c>
      <c r="T130" s="1445">
        <f t="shared" ref="T130:BL130" ca="1" si="139">-T129</f>
        <v>44.557633976512541</v>
      </c>
      <c r="U130" s="1445">
        <f t="shared" ca="1" si="139"/>
        <v>26.807352867688685</v>
      </c>
      <c r="V130" s="1465">
        <f t="shared" ca="1" si="139"/>
        <v>37.196656427154238</v>
      </c>
      <c r="W130" s="1465">
        <f t="shared" ca="1" si="139"/>
        <v>47.239730759252673</v>
      </c>
      <c r="X130" s="1465">
        <f t="shared" ca="1" si="139"/>
        <v>60.649416642000382</v>
      </c>
      <c r="Y130" s="1465">
        <f t="shared" ca="1" si="139"/>
        <v>68.294917530622101</v>
      </c>
      <c r="Z130" s="1465">
        <f t="shared" ca="1" si="139"/>
        <v>0</v>
      </c>
      <c r="AA130" s="1465">
        <f t="shared" ca="1" si="139"/>
        <v>0</v>
      </c>
      <c r="AB130" s="1465">
        <f t="shared" ca="1" si="139"/>
        <v>0</v>
      </c>
      <c r="AC130" s="1465">
        <f t="shared" ca="1" si="139"/>
        <v>0</v>
      </c>
      <c r="AD130" s="1465">
        <f t="shared" ca="1" si="139"/>
        <v>0</v>
      </c>
      <c r="AE130" s="1465">
        <f t="shared" ca="1" si="139"/>
        <v>0</v>
      </c>
      <c r="AF130" s="1465">
        <f t="shared" ca="1" si="139"/>
        <v>0</v>
      </c>
      <c r="AG130" s="1465">
        <f t="shared" ca="1" si="139"/>
        <v>0</v>
      </c>
      <c r="AH130" s="1465">
        <f t="shared" ca="1" si="139"/>
        <v>0</v>
      </c>
      <c r="AI130" s="1465">
        <f t="shared" ca="1" si="139"/>
        <v>0</v>
      </c>
      <c r="AJ130" s="1465">
        <f t="shared" ca="1" si="139"/>
        <v>0</v>
      </c>
      <c r="AK130" s="1465">
        <f t="shared" ca="1" si="139"/>
        <v>0</v>
      </c>
      <c r="AL130" s="1465">
        <f t="shared" ca="1" si="139"/>
        <v>0</v>
      </c>
      <c r="AM130" s="1465">
        <f t="shared" ca="1" si="139"/>
        <v>0</v>
      </c>
      <c r="AN130" s="1465">
        <f t="shared" ca="1" si="139"/>
        <v>0</v>
      </c>
      <c r="AO130" s="1465">
        <f t="shared" ca="1" si="139"/>
        <v>0</v>
      </c>
      <c r="AP130" s="1465">
        <f t="shared" ca="1" si="139"/>
        <v>0</v>
      </c>
      <c r="AQ130" s="1465">
        <f t="shared" ca="1" si="139"/>
        <v>0</v>
      </c>
      <c r="AR130" s="1465">
        <f t="shared" ca="1" si="139"/>
        <v>0</v>
      </c>
      <c r="AS130" s="1465">
        <f t="shared" ca="1" si="139"/>
        <v>0</v>
      </c>
      <c r="AT130" s="1465">
        <f t="shared" ca="1" si="139"/>
        <v>0</v>
      </c>
      <c r="AU130" s="1465">
        <f t="shared" ca="1" si="139"/>
        <v>0</v>
      </c>
      <c r="AV130" s="1465">
        <f t="shared" ca="1" si="139"/>
        <v>0</v>
      </c>
      <c r="AW130" s="1465">
        <f t="shared" ca="1" si="139"/>
        <v>0</v>
      </c>
      <c r="AX130" s="1465">
        <f t="shared" ca="1" si="139"/>
        <v>0</v>
      </c>
      <c r="AY130" s="1465">
        <f t="shared" ca="1" si="139"/>
        <v>0</v>
      </c>
      <c r="AZ130" s="1465">
        <f t="shared" ca="1" si="139"/>
        <v>0</v>
      </c>
      <c r="BA130" s="1465">
        <f t="shared" ca="1" si="139"/>
        <v>0</v>
      </c>
      <c r="BB130" s="1465">
        <f t="shared" ca="1" si="139"/>
        <v>0</v>
      </c>
      <c r="BC130" s="1465">
        <f t="shared" ca="1" si="139"/>
        <v>0</v>
      </c>
      <c r="BD130" s="1465">
        <f t="shared" ca="1" si="139"/>
        <v>0</v>
      </c>
      <c r="BE130" s="1465">
        <f t="shared" ca="1" si="139"/>
        <v>0</v>
      </c>
      <c r="BF130" s="1465">
        <f t="shared" ca="1" si="139"/>
        <v>0</v>
      </c>
      <c r="BG130" s="1465">
        <f t="shared" ca="1" si="139"/>
        <v>0</v>
      </c>
      <c r="BH130" s="1465">
        <f t="shared" ca="1" si="139"/>
        <v>0</v>
      </c>
      <c r="BI130" s="1465">
        <f t="shared" ca="1" si="139"/>
        <v>0</v>
      </c>
      <c r="BJ130" s="1465">
        <f t="shared" ca="1" si="139"/>
        <v>0</v>
      </c>
      <c r="BK130" s="1465">
        <f t="shared" ca="1" si="139"/>
        <v>0</v>
      </c>
      <c r="BL130" s="1465">
        <f t="shared" ca="1" si="139"/>
        <v>0</v>
      </c>
    </row>
    <row r="131" spans="1:70" s="1440" customFormat="1" ht="15" customHeight="1">
      <c r="B131" s="1441"/>
      <c r="C131" s="1442" t="s">
        <v>1286</v>
      </c>
      <c r="D131" s="1460"/>
      <c r="E131" s="1443"/>
      <c r="F131" s="1443"/>
      <c r="G131" s="1444"/>
      <c r="H131" s="1445">
        <f t="shared" ca="1" si="135"/>
        <v>2630.6411082258301</v>
      </c>
      <c r="I131" s="1457">
        <f t="shared" ref="I131:BL131" si="140">MAX(I111+I129,0)</f>
        <v>0</v>
      </c>
      <c r="J131" s="1445">
        <f t="shared" si="140"/>
        <v>0</v>
      </c>
      <c r="K131" s="1445">
        <f t="shared" si="140"/>
        <v>0</v>
      </c>
      <c r="L131" s="1445">
        <f t="shared" si="140"/>
        <v>0</v>
      </c>
      <c r="M131" s="1445">
        <f t="shared" si="140"/>
        <v>0</v>
      </c>
      <c r="N131" s="1445">
        <f t="shared" si="140"/>
        <v>0</v>
      </c>
      <c r="O131" s="1445">
        <f t="shared" si="140"/>
        <v>0</v>
      </c>
      <c r="P131" s="1445">
        <f t="shared" si="140"/>
        <v>0</v>
      </c>
      <c r="Q131" s="1445">
        <f t="shared" si="140"/>
        <v>0</v>
      </c>
      <c r="R131" s="1445">
        <f t="shared" si="140"/>
        <v>0</v>
      </c>
      <c r="S131" s="1445">
        <f t="shared" si="140"/>
        <v>18.902000000000001</v>
      </c>
      <c r="T131" s="1445">
        <f t="shared" ca="1" si="140"/>
        <v>29.705089317675025</v>
      </c>
      <c r="U131" s="1445">
        <f t="shared" ca="1" si="140"/>
        <v>17.871568578459126</v>
      </c>
      <c r="V131" s="1447">
        <f t="shared" ca="1" si="140"/>
        <v>24.797770951436164</v>
      </c>
      <c r="W131" s="1447">
        <f t="shared" ca="1" si="140"/>
        <v>31.49315383950178</v>
      </c>
      <c r="X131" s="1447">
        <f t="shared" ca="1" si="140"/>
        <v>40.432944428000262</v>
      </c>
      <c r="Y131" s="1447">
        <f t="shared" ca="1" si="140"/>
        <v>45.529945020414729</v>
      </c>
      <c r="Z131" s="1447">
        <f t="shared" ca="1" si="140"/>
        <v>48.958126568450268</v>
      </c>
      <c r="AA131" s="1447">
        <f t="shared" ca="1" si="140"/>
        <v>2.9345602074815229</v>
      </c>
      <c r="AB131" s="1447">
        <f t="shared" ca="1" si="140"/>
        <v>17.701136466161209</v>
      </c>
      <c r="AC131" s="1447">
        <f t="shared" ca="1" si="140"/>
        <v>22.875890805667126</v>
      </c>
      <c r="AD131" s="1447">
        <f t="shared" ca="1" si="140"/>
        <v>21.028286514153304</v>
      </c>
      <c r="AE131" s="1447">
        <f t="shared" ca="1" si="140"/>
        <v>40.111154234171806</v>
      </c>
      <c r="AF131" s="1447">
        <f t="shared" ca="1" si="140"/>
        <v>35.031876136194512</v>
      </c>
      <c r="AG131" s="1447">
        <f t="shared" ca="1" si="140"/>
        <v>37.242531701404005</v>
      </c>
      <c r="AH131" s="1447">
        <f t="shared" ca="1" si="140"/>
        <v>46.119184921741351</v>
      </c>
      <c r="AI131" s="1447">
        <f t="shared" ca="1" si="140"/>
        <v>45.521806400526259</v>
      </c>
      <c r="AJ131" s="1447">
        <f t="shared" ca="1" si="140"/>
        <v>38.814025131799838</v>
      </c>
      <c r="AK131" s="1447">
        <f t="shared" ca="1" si="140"/>
        <v>51.069875474854427</v>
      </c>
      <c r="AL131" s="1447">
        <f t="shared" ca="1" si="140"/>
        <v>48.724208657821748</v>
      </c>
      <c r="AM131" s="1447">
        <f t="shared" ca="1" si="140"/>
        <v>43.543782435385879</v>
      </c>
      <c r="AN131" s="1447">
        <f t="shared" ca="1" si="140"/>
        <v>44.338254379805107</v>
      </c>
      <c r="AO131" s="1447">
        <f t="shared" ca="1" si="140"/>
        <v>61.007207875035135</v>
      </c>
      <c r="AP131" s="1447">
        <f t="shared" ca="1" si="140"/>
        <v>65.051225333355717</v>
      </c>
      <c r="AQ131" s="1447">
        <f t="shared" ca="1" si="140"/>
        <v>82.067953607770903</v>
      </c>
      <c r="AR131" s="1447">
        <f t="shared" ca="1" si="140"/>
        <v>79.863605839274896</v>
      </c>
      <c r="AS131" s="1447">
        <f t="shared" ca="1" si="140"/>
        <v>80.544716500625725</v>
      </c>
      <c r="AT131" s="1447">
        <f t="shared" ca="1" si="140"/>
        <v>88.85350662205559</v>
      </c>
      <c r="AU131" s="1447">
        <f t="shared" ca="1" si="140"/>
        <v>92.410962537524881</v>
      </c>
      <c r="AV131" s="1447">
        <f t="shared" ca="1" si="140"/>
        <v>86.733222217981563</v>
      </c>
      <c r="AW131" s="1447">
        <f t="shared" ca="1" si="140"/>
        <v>98.343129524510857</v>
      </c>
      <c r="AX131" s="1447">
        <f t="shared" ca="1" si="140"/>
        <v>88.442050105389114</v>
      </c>
      <c r="AY131" s="1447">
        <f t="shared" ca="1" si="140"/>
        <v>95.574433939498931</v>
      </c>
      <c r="AZ131" s="1447">
        <f t="shared" ca="1" si="140"/>
        <v>107.66303139193406</v>
      </c>
      <c r="BA131" s="1447">
        <f t="shared" ca="1" si="140"/>
        <v>104.25234335853969</v>
      </c>
      <c r="BB131" s="1447">
        <f t="shared" ca="1" si="140"/>
        <v>105.07308345398332</v>
      </c>
      <c r="BC131" s="1447">
        <f t="shared" ca="1" si="140"/>
        <v>121.94883520521216</v>
      </c>
      <c r="BD131" s="1447">
        <f t="shared" ca="1" si="140"/>
        <v>122.34531221181476</v>
      </c>
      <c r="BE131" s="1447">
        <f t="shared" ca="1" si="140"/>
        <v>125.03765892802602</v>
      </c>
      <c r="BF131" s="1447">
        <f t="shared" ca="1" si="140"/>
        <v>135.63025161746822</v>
      </c>
      <c r="BG131" s="1447">
        <f t="shared" ca="1" si="140"/>
        <v>137.05140578472276</v>
      </c>
      <c r="BH131" s="1447">
        <f t="shared" ca="1" si="140"/>
        <v>0</v>
      </c>
      <c r="BI131" s="1447">
        <f t="shared" ca="1" si="140"/>
        <v>0</v>
      </c>
      <c r="BJ131" s="1447">
        <f t="shared" ca="1" si="140"/>
        <v>0</v>
      </c>
      <c r="BK131" s="1447">
        <f t="shared" ca="1" si="140"/>
        <v>0</v>
      </c>
      <c r="BL131" s="1447">
        <f t="shared" ca="1" si="140"/>
        <v>0</v>
      </c>
    </row>
    <row r="132" spans="1:70" s="1430" customFormat="1" ht="12">
      <c r="A132" s="1423"/>
      <c r="B132" s="1424"/>
      <c r="C132" s="1426"/>
      <c r="D132" s="1466" t="s">
        <v>1287</v>
      </c>
      <c r="E132" s="1426"/>
      <c r="F132" s="1426"/>
      <c r="G132" s="1427"/>
      <c r="H132" s="1467">
        <f t="shared" ca="1" si="135"/>
        <v>82</v>
      </c>
      <c r="I132" s="1467">
        <f t="shared" ref="I132:BL132" si="141">MIN(I131,2)</f>
        <v>0</v>
      </c>
      <c r="J132" s="1467">
        <f t="shared" si="141"/>
        <v>0</v>
      </c>
      <c r="K132" s="1467">
        <f t="shared" si="141"/>
        <v>0</v>
      </c>
      <c r="L132" s="1467">
        <f t="shared" si="141"/>
        <v>0</v>
      </c>
      <c r="M132" s="1467">
        <f t="shared" si="141"/>
        <v>0</v>
      </c>
      <c r="N132" s="1467">
        <f t="shared" si="141"/>
        <v>0</v>
      </c>
      <c r="O132" s="1467">
        <f t="shared" si="141"/>
        <v>0</v>
      </c>
      <c r="P132" s="1467">
        <f t="shared" si="141"/>
        <v>0</v>
      </c>
      <c r="Q132" s="1467">
        <f t="shared" si="141"/>
        <v>0</v>
      </c>
      <c r="R132" s="1467">
        <f t="shared" si="141"/>
        <v>0</v>
      </c>
      <c r="S132" s="1467">
        <f t="shared" si="141"/>
        <v>2</v>
      </c>
      <c r="T132" s="1467">
        <f t="shared" ca="1" si="141"/>
        <v>2</v>
      </c>
      <c r="U132" s="1467">
        <f t="shared" ca="1" si="141"/>
        <v>2</v>
      </c>
      <c r="V132" s="1468">
        <f t="shared" ca="1" si="141"/>
        <v>2</v>
      </c>
      <c r="W132" s="1468">
        <f t="shared" ca="1" si="141"/>
        <v>2</v>
      </c>
      <c r="X132" s="1468">
        <f t="shared" ca="1" si="141"/>
        <v>2</v>
      </c>
      <c r="Y132" s="1468">
        <f t="shared" ca="1" si="141"/>
        <v>2</v>
      </c>
      <c r="Z132" s="1468">
        <f t="shared" ca="1" si="141"/>
        <v>2</v>
      </c>
      <c r="AA132" s="1468">
        <f t="shared" ca="1" si="141"/>
        <v>2</v>
      </c>
      <c r="AB132" s="1468">
        <f t="shared" ca="1" si="141"/>
        <v>2</v>
      </c>
      <c r="AC132" s="1468">
        <f t="shared" ca="1" si="141"/>
        <v>2</v>
      </c>
      <c r="AD132" s="1468">
        <f t="shared" ca="1" si="141"/>
        <v>2</v>
      </c>
      <c r="AE132" s="1468">
        <f t="shared" ca="1" si="141"/>
        <v>2</v>
      </c>
      <c r="AF132" s="1468">
        <f t="shared" ca="1" si="141"/>
        <v>2</v>
      </c>
      <c r="AG132" s="1468">
        <f t="shared" ca="1" si="141"/>
        <v>2</v>
      </c>
      <c r="AH132" s="1468">
        <f t="shared" ca="1" si="141"/>
        <v>2</v>
      </c>
      <c r="AI132" s="1468">
        <f t="shared" ca="1" si="141"/>
        <v>2</v>
      </c>
      <c r="AJ132" s="1468">
        <f t="shared" ca="1" si="141"/>
        <v>2</v>
      </c>
      <c r="AK132" s="1468">
        <f t="shared" ca="1" si="141"/>
        <v>2</v>
      </c>
      <c r="AL132" s="1468">
        <f t="shared" ca="1" si="141"/>
        <v>2</v>
      </c>
      <c r="AM132" s="1468">
        <f t="shared" ca="1" si="141"/>
        <v>2</v>
      </c>
      <c r="AN132" s="1468">
        <f t="shared" ca="1" si="141"/>
        <v>2</v>
      </c>
      <c r="AO132" s="1468">
        <f t="shared" ca="1" si="141"/>
        <v>2</v>
      </c>
      <c r="AP132" s="1468">
        <f t="shared" ca="1" si="141"/>
        <v>2</v>
      </c>
      <c r="AQ132" s="1468">
        <f t="shared" ca="1" si="141"/>
        <v>2</v>
      </c>
      <c r="AR132" s="1468">
        <f t="shared" ca="1" si="141"/>
        <v>2</v>
      </c>
      <c r="AS132" s="1468">
        <f t="shared" ca="1" si="141"/>
        <v>2</v>
      </c>
      <c r="AT132" s="1468">
        <f t="shared" ca="1" si="141"/>
        <v>2</v>
      </c>
      <c r="AU132" s="1468">
        <f t="shared" ca="1" si="141"/>
        <v>2</v>
      </c>
      <c r="AV132" s="1468">
        <f t="shared" ca="1" si="141"/>
        <v>2</v>
      </c>
      <c r="AW132" s="1468">
        <f t="shared" ca="1" si="141"/>
        <v>2</v>
      </c>
      <c r="AX132" s="1468">
        <f t="shared" ca="1" si="141"/>
        <v>2</v>
      </c>
      <c r="AY132" s="1468">
        <f t="shared" ca="1" si="141"/>
        <v>2</v>
      </c>
      <c r="AZ132" s="1468">
        <f t="shared" ca="1" si="141"/>
        <v>2</v>
      </c>
      <c r="BA132" s="1468">
        <f t="shared" ca="1" si="141"/>
        <v>2</v>
      </c>
      <c r="BB132" s="1468">
        <f t="shared" ca="1" si="141"/>
        <v>2</v>
      </c>
      <c r="BC132" s="1468">
        <f t="shared" ca="1" si="141"/>
        <v>2</v>
      </c>
      <c r="BD132" s="1468">
        <f t="shared" ca="1" si="141"/>
        <v>2</v>
      </c>
      <c r="BE132" s="1468">
        <f t="shared" ca="1" si="141"/>
        <v>2</v>
      </c>
      <c r="BF132" s="1468">
        <f t="shared" ca="1" si="141"/>
        <v>2</v>
      </c>
      <c r="BG132" s="1468">
        <f t="shared" ca="1" si="141"/>
        <v>2</v>
      </c>
      <c r="BH132" s="1468">
        <f t="shared" ca="1" si="141"/>
        <v>0</v>
      </c>
      <c r="BI132" s="1468">
        <f t="shared" ca="1" si="141"/>
        <v>0</v>
      </c>
      <c r="BJ132" s="1468">
        <f t="shared" ca="1" si="141"/>
        <v>0</v>
      </c>
      <c r="BK132" s="1468">
        <f t="shared" ca="1" si="141"/>
        <v>0</v>
      </c>
      <c r="BL132" s="1468">
        <f t="shared" ca="1" si="141"/>
        <v>0</v>
      </c>
    </row>
    <row r="133" spans="1:70" s="1430" customFormat="1" ht="12">
      <c r="A133" s="1423"/>
      <c r="B133" s="1424"/>
      <c r="C133" s="1469"/>
      <c r="D133" s="1470" t="s">
        <v>1288</v>
      </c>
      <c r="E133" s="1469"/>
      <c r="F133" s="1469"/>
      <c r="G133" s="1424"/>
      <c r="H133" s="1471">
        <f t="shared" ca="1" si="135"/>
        <v>2548.6411082258301</v>
      </c>
      <c r="I133" s="1471">
        <f t="shared" ref="I133:BL133" si="142">MAX(0,MIN(I131-2,200-2))</f>
        <v>0</v>
      </c>
      <c r="J133" s="1471">
        <f t="shared" si="142"/>
        <v>0</v>
      </c>
      <c r="K133" s="1471">
        <f t="shared" si="142"/>
        <v>0</v>
      </c>
      <c r="L133" s="1471">
        <f t="shared" si="142"/>
        <v>0</v>
      </c>
      <c r="M133" s="1471">
        <f t="shared" si="142"/>
        <v>0</v>
      </c>
      <c r="N133" s="1471">
        <f t="shared" si="142"/>
        <v>0</v>
      </c>
      <c r="O133" s="1471">
        <f t="shared" si="142"/>
        <v>0</v>
      </c>
      <c r="P133" s="1471">
        <f t="shared" si="142"/>
        <v>0</v>
      </c>
      <c r="Q133" s="1471">
        <f t="shared" si="142"/>
        <v>0</v>
      </c>
      <c r="R133" s="1471">
        <f t="shared" si="142"/>
        <v>0</v>
      </c>
      <c r="S133" s="1471">
        <f t="shared" si="142"/>
        <v>16.902000000000001</v>
      </c>
      <c r="T133" s="1471">
        <f t="shared" ca="1" si="142"/>
        <v>27.705089317675025</v>
      </c>
      <c r="U133" s="1471">
        <f t="shared" ca="1" si="142"/>
        <v>15.871568578459126</v>
      </c>
      <c r="V133" s="1472">
        <f t="shared" ca="1" si="142"/>
        <v>22.797770951436164</v>
      </c>
      <c r="W133" s="1472">
        <f t="shared" ca="1" si="142"/>
        <v>29.49315383950178</v>
      </c>
      <c r="X133" s="1472">
        <f t="shared" ca="1" si="142"/>
        <v>38.432944428000262</v>
      </c>
      <c r="Y133" s="1472">
        <f t="shared" ca="1" si="142"/>
        <v>43.529945020414729</v>
      </c>
      <c r="Z133" s="1472">
        <f t="shared" ca="1" si="142"/>
        <v>46.958126568450268</v>
      </c>
      <c r="AA133" s="1472">
        <f t="shared" ca="1" si="142"/>
        <v>0.93456020748152291</v>
      </c>
      <c r="AB133" s="1472">
        <f t="shared" ca="1" si="142"/>
        <v>15.701136466161209</v>
      </c>
      <c r="AC133" s="1472">
        <f t="shared" ca="1" si="142"/>
        <v>20.875890805667126</v>
      </c>
      <c r="AD133" s="1472">
        <f t="shared" ca="1" si="142"/>
        <v>19.028286514153304</v>
      </c>
      <c r="AE133" s="1472">
        <f t="shared" ca="1" si="142"/>
        <v>38.111154234171806</v>
      </c>
      <c r="AF133" s="1472">
        <f t="shared" ca="1" si="142"/>
        <v>33.031876136194512</v>
      </c>
      <c r="AG133" s="1472">
        <f t="shared" ca="1" si="142"/>
        <v>35.242531701404005</v>
      </c>
      <c r="AH133" s="1472">
        <f t="shared" ca="1" si="142"/>
        <v>44.119184921741351</v>
      </c>
      <c r="AI133" s="1472">
        <f t="shared" ca="1" si="142"/>
        <v>43.521806400526259</v>
      </c>
      <c r="AJ133" s="1472">
        <f t="shared" ca="1" si="142"/>
        <v>36.814025131799838</v>
      </c>
      <c r="AK133" s="1472">
        <f t="shared" ca="1" si="142"/>
        <v>49.069875474854427</v>
      </c>
      <c r="AL133" s="1472">
        <f t="shared" ca="1" si="142"/>
        <v>46.724208657821748</v>
      </c>
      <c r="AM133" s="1472">
        <f t="shared" ca="1" si="142"/>
        <v>41.543782435385879</v>
      </c>
      <c r="AN133" s="1472">
        <f t="shared" ca="1" si="142"/>
        <v>42.338254379805107</v>
      </c>
      <c r="AO133" s="1472">
        <f t="shared" ca="1" si="142"/>
        <v>59.007207875035135</v>
      </c>
      <c r="AP133" s="1472">
        <f t="shared" ca="1" si="142"/>
        <v>63.051225333355717</v>
      </c>
      <c r="AQ133" s="1472">
        <f t="shared" ca="1" si="142"/>
        <v>80.067953607770903</v>
      </c>
      <c r="AR133" s="1472">
        <f t="shared" ca="1" si="142"/>
        <v>77.863605839274896</v>
      </c>
      <c r="AS133" s="1472">
        <f t="shared" ca="1" si="142"/>
        <v>78.544716500625725</v>
      </c>
      <c r="AT133" s="1472">
        <f t="shared" ca="1" si="142"/>
        <v>86.85350662205559</v>
      </c>
      <c r="AU133" s="1472">
        <f t="shared" ca="1" si="142"/>
        <v>90.410962537524881</v>
      </c>
      <c r="AV133" s="1472">
        <f t="shared" ca="1" si="142"/>
        <v>84.733222217981563</v>
      </c>
      <c r="AW133" s="1472">
        <f t="shared" ca="1" si="142"/>
        <v>96.343129524510857</v>
      </c>
      <c r="AX133" s="1472">
        <f t="shared" ca="1" si="142"/>
        <v>86.442050105389114</v>
      </c>
      <c r="AY133" s="1472">
        <f t="shared" ca="1" si="142"/>
        <v>93.574433939498931</v>
      </c>
      <c r="AZ133" s="1472">
        <f t="shared" ca="1" si="142"/>
        <v>105.66303139193406</v>
      </c>
      <c r="BA133" s="1472">
        <f t="shared" ca="1" si="142"/>
        <v>102.25234335853969</v>
      </c>
      <c r="BB133" s="1472">
        <f t="shared" ca="1" si="142"/>
        <v>103.07308345398332</v>
      </c>
      <c r="BC133" s="1472">
        <f t="shared" ca="1" si="142"/>
        <v>119.94883520521216</v>
      </c>
      <c r="BD133" s="1472">
        <f t="shared" ca="1" si="142"/>
        <v>120.34531221181476</v>
      </c>
      <c r="BE133" s="1472">
        <f t="shared" ca="1" si="142"/>
        <v>123.03765892802602</v>
      </c>
      <c r="BF133" s="1472">
        <f t="shared" ca="1" si="142"/>
        <v>133.63025161746822</v>
      </c>
      <c r="BG133" s="1472">
        <f t="shared" ca="1" si="142"/>
        <v>135.05140578472276</v>
      </c>
      <c r="BH133" s="1472">
        <f t="shared" ca="1" si="142"/>
        <v>0</v>
      </c>
      <c r="BI133" s="1472">
        <f t="shared" ca="1" si="142"/>
        <v>0</v>
      </c>
      <c r="BJ133" s="1472">
        <f t="shared" ca="1" si="142"/>
        <v>0</v>
      </c>
      <c r="BK133" s="1472">
        <f t="shared" ca="1" si="142"/>
        <v>0</v>
      </c>
      <c r="BL133" s="1472">
        <f t="shared" ca="1" si="142"/>
        <v>0</v>
      </c>
    </row>
    <row r="134" spans="1:70" s="1430" customFormat="1" ht="12">
      <c r="A134" s="1423"/>
      <c r="B134" s="1424"/>
      <c r="C134" s="1473"/>
      <c r="D134" s="1474" t="s">
        <v>1289</v>
      </c>
      <c r="E134" s="1473"/>
      <c r="F134" s="1473"/>
      <c r="G134" s="1475"/>
      <c r="H134" s="1438">
        <f t="shared" ca="1" si="135"/>
        <v>0</v>
      </c>
      <c r="I134" s="1438">
        <f t="shared" ref="I134:BL134" si="143">MAX(0,I131-200)</f>
        <v>0</v>
      </c>
      <c r="J134" s="1438">
        <f t="shared" si="143"/>
        <v>0</v>
      </c>
      <c r="K134" s="1438">
        <f t="shared" si="143"/>
        <v>0</v>
      </c>
      <c r="L134" s="1438">
        <f t="shared" si="143"/>
        <v>0</v>
      </c>
      <c r="M134" s="1438">
        <f t="shared" si="143"/>
        <v>0</v>
      </c>
      <c r="N134" s="1438">
        <f t="shared" si="143"/>
        <v>0</v>
      </c>
      <c r="O134" s="1438">
        <f t="shared" si="143"/>
        <v>0</v>
      </c>
      <c r="P134" s="1438">
        <f t="shared" si="143"/>
        <v>0</v>
      </c>
      <c r="Q134" s="1438">
        <f t="shared" si="143"/>
        <v>0</v>
      </c>
      <c r="R134" s="1438">
        <f t="shared" si="143"/>
        <v>0</v>
      </c>
      <c r="S134" s="1438">
        <f t="shared" si="143"/>
        <v>0</v>
      </c>
      <c r="T134" s="1438">
        <f t="shared" ca="1" si="143"/>
        <v>0</v>
      </c>
      <c r="U134" s="1438">
        <f t="shared" ca="1" si="143"/>
        <v>0</v>
      </c>
      <c r="V134" s="1476">
        <f t="shared" ca="1" si="143"/>
        <v>0</v>
      </c>
      <c r="W134" s="1476">
        <f t="shared" ca="1" si="143"/>
        <v>0</v>
      </c>
      <c r="X134" s="1476">
        <f t="shared" ca="1" si="143"/>
        <v>0</v>
      </c>
      <c r="Y134" s="1476">
        <f t="shared" ca="1" si="143"/>
        <v>0</v>
      </c>
      <c r="Z134" s="1476">
        <f t="shared" ca="1" si="143"/>
        <v>0</v>
      </c>
      <c r="AA134" s="1476">
        <f t="shared" ca="1" si="143"/>
        <v>0</v>
      </c>
      <c r="AB134" s="1476">
        <f t="shared" ca="1" si="143"/>
        <v>0</v>
      </c>
      <c r="AC134" s="1476">
        <f t="shared" ca="1" si="143"/>
        <v>0</v>
      </c>
      <c r="AD134" s="1476">
        <f t="shared" ca="1" si="143"/>
        <v>0</v>
      </c>
      <c r="AE134" s="1476">
        <f t="shared" ca="1" si="143"/>
        <v>0</v>
      </c>
      <c r="AF134" s="1476">
        <f t="shared" ca="1" si="143"/>
        <v>0</v>
      </c>
      <c r="AG134" s="1476">
        <f t="shared" ca="1" si="143"/>
        <v>0</v>
      </c>
      <c r="AH134" s="1476">
        <f t="shared" ca="1" si="143"/>
        <v>0</v>
      </c>
      <c r="AI134" s="1476">
        <f t="shared" ca="1" si="143"/>
        <v>0</v>
      </c>
      <c r="AJ134" s="1476">
        <f t="shared" ca="1" si="143"/>
        <v>0</v>
      </c>
      <c r="AK134" s="1476">
        <f t="shared" ca="1" si="143"/>
        <v>0</v>
      </c>
      <c r="AL134" s="1476">
        <f t="shared" ca="1" si="143"/>
        <v>0</v>
      </c>
      <c r="AM134" s="1476">
        <f t="shared" ca="1" si="143"/>
        <v>0</v>
      </c>
      <c r="AN134" s="1476">
        <f t="shared" ca="1" si="143"/>
        <v>0</v>
      </c>
      <c r="AO134" s="1476">
        <f t="shared" ca="1" si="143"/>
        <v>0</v>
      </c>
      <c r="AP134" s="1476">
        <f t="shared" ca="1" si="143"/>
        <v>0</v>
      </c>
      <c r="AQ134" s="1476">
        <f t="shared" ca="1" si="143"/>
        <v>0</v>
      </c>
      <c r="AR134" s="1476">
        <f t="shared" ca="1" si="143"/>
        <v>0</v>
      </c>
      <c r="AS134" s="1476">
        <f t="shared" ca="1" si="143"/>
        <v>0</v>
      </c>
      <c r="AT134" s="1476">
        <f t="shared" ca="1" si="143"/>
        <v>0</v>
      </c>
      <c r="AU134" s="1476">
        <f t="shared" ca="1" si="143"/>
        <v>0</v>
      </c>
      <c r="AV134" s="1476">
        <f t="shared" ca="1" si="143"/>
        <v>0</v>
      </c>
      <c r="AW134" s="1476">
        <f t="shared" ca="1" si="143"/>
        <v>0</v>
      </c>
      <c r="AX134" s="1476">
        <f t="shared" ca="1" si="143"/>
        <v>0</v>
      </c>
      <c r="AY134" s="1476">
        <f t="shared" ca="1" si="143"/>
        <v>0</v>
      </c>
      <c r="AZ134" s="1476">
        <f t="shared" ca="1" si="143"/>
        <v>0</v>
      </c>
      <c r="BA134" s="1476">
        <f t="shared" ca="1" si="143"/>
        <v>0</v>
      </c>
      <c r="BB134" s="1476">
        <f t="shared" ca="1" si="143"/>
        <v>0</v>
      </c>
      <c r="BC134" s="1476">
        <f t="shared" ca="1" si="143"/>
        <v>0</v>
      </c>
      <c r="BD134" s="1476">
        <f t="shared" ca="1" si="143"/>
        <v>0</v>
      </c>
      <c r="BE134" s="1476">
        <f t="shared" ca="1" si="143"/>
        <v>0</v>
      </c>
      <c r="BF134" s="1476">
        <f t="shared" ca="1" si="143"/>
        <v>0</v>
      </c>
      <c r="BG134" s="1476">
        <f t="shared" ca="1" si="143"/>
        <v>0</v>
      </c>
      <c r="BH134" s="1476">
        <f t="shared" ca="1" si="143"/>
        <v>0</v>
      </c>
      <c r="BI134" s="1476">
        <f t="shared" ca="1" si="143"/>
        <v>0</v>
      </c>
      <c r="BJ134" s="1476">
        <f t="shared" ca="1" si="143"/>
        <v>0</v>
      </c>
      <c r="BK134" s="1476">
        <f t="shared" ca="1" si="143"/>
        <v>0</v>
      </c>
      <c r="BL134" s="1476">
        <f t="shared" ca="1" si="143"/>
        <v>0</v>
      </c>
    </row>
    <row r="135" spans="1:70" s="1440" customFormat="1" ht="15" customHeight="1">
      <c r="B135" s="1441"/>
      <c r="C135" s="1443" t="s">
        <v>1290</v>
      </c>
      <c r="D135" s="1460"/>
      <c r="E135" s="1443"/>
      <c r="F135" s="1443"/>
      <c r="G135" s="1444"/>
      <c r="H135" s="1477">
        <f ca="1">SUM(J135:BL135)-S135</f>
        <v>568.62011005253294</v>
      </c>
      <c r="I135" s="1478">
        <f t="shared" ref="I135:R135" si="144">SUMPRODUCT(I132:I134,$H$138:$H$140)</f>
        <v>0</v>
      </c>
      <c r="J135" s="1477">
        <f t="shared" si="144"/>
        <v>0</v>
      </c>
      <c r="K135" s="1477">
        <f t="shared" si="144"/>
        <v>0</v>
      </c>
      <c r="L135" s="1477">
        <f t="shared" si="144"/>
        <v>0</v>
      </c>
      <c r="M135" s="1477">
        <f t="shared" si="144"/>
        <v>0</v>
      </c>
      <c r="N135" s="1477">
        <f t="shared" si="144"/>
        <v>0</v>
      </c>
      <c r="O135" s="1477">
        <f t="shared" si="144"/>
        <v>0</v>
      </c>
      <c r="P135" s="1477">
        <f t="shared" si="144"/>
        <v>0</v>
      </c>
      <c r="Q135" s="1477">
        <f t="shared" si="144"/>
        <v>0</v>
      </c>
      <c r="R135" s="1477">
        <f t="shared" si="144"/>
        <v>0</v>
      </c>
      <c r="S135" s="1479">
        <f>654642357/단위</f>
        <v>6.54642357</v>
      </c>
      <c r="T135" s="1479">
        <f>실적!F118/단위</f>
        <v>5.3392381200000001</v>
      </c>
      <c r="U135" s="1479">
        <f>실적!D118/단위</f>
        <v>7.5251328600000003</v>
      </c>
      <c r="V135" s="1480">
        <f t="shared" ref="V135:BL135" ca="1" si="145">SUMPRODUCT(V132:V134,$H$138:$H$140)</f>
        <v>5.2355096093159554</v>
      </c>
      <c r="W135" s="1480">
        <f t="shared" ca="1" si="145"/>
        <v>6.7084938446903912</v>
      </c>
      <c r="X135" s="1481">
        <f t="shared" ca="1" si="145"/>
        <v>8.6752477741600575</v>
      </c>
      <c r="Y135" s="1480">
        <f t="shared" ca="1" si="145"/>
        <v>9.7965879044912416</v>
      </c>
      <c r="Z135" s="1480">
        <f t="shared" ca="1" si="145"/>
        <v>10.550787845059059</v>
      </c>
      <c r="AA135" s="1480">
        <f t="shared" ca="1" si="145"/>
        <v>0.42560324564593505</v>
      </c>
      <c r="AB135" s="1480">
        <f t="shared" ca="1" si="145"/>
        <v>3.6742500225554662</v>
      </c>
      <c r="AC135" s="1480">
        <f t="shared" ca="1" si="145"/>
        <v>4.8126959772467677</v>
      </c>
      <c r="AD135" s="1480">
        <f t="shared" ca="1" si="145"/>
        <v>4.4062230331137267</v>
      </c>
      <c r="AE135" s="1480">
        <f t="shared" ca="1" si="145"/>
        <v>8.6044539315177975</v>
      </c>
      <c r="AF135" s="1480">
        <f t="shared" ca="1" si="145"/>
        <v>7.4870127499627923</v>
      </c>
      <c r="AG135" s="1480">
        <f t="shared" ca="1" si="145"/>
        <v>7.9733569743088806</v>
      </c>
      <c r="AH135" s="1480">
        <f t="shared" ca="1" si="145"/>
        <v>9.9262206827830983</v>
      </c>
      <c r="AI135" s="1480">
        <f t="shared" ca="1" si="145"/>
        <v>9.7947974081157785</v>
      </c>
      <c r="AJ135" s="1480">
        <f t="shared" ca="1" si="145"/>
        <v>8.3190855289959647</v>
      </c>
      <c r="AK135" s="1480">
        <f t="shared" ca="1" si="145"/>
        <v>11.015372604467975</v>
      </c>
      <c r="AL135" s="1480">
        <f t="shared" ca="1" si="145"/>
        <v>10.499325904720786</v>
      </c>
      <c r="AM135" s="1480">
        <f t="shared" ca="1" si="145"/>
        <v>9.3596321357848939</v>
      </c>
      <c r="AN135" s="1480">
        <f t="shared" ca="1" si="145"/>
        <v>9.5344159635571248</v>
      </c>
      <c r="AO135" s="1480">
        <f t="shared" ca="1" si="145"/>
        <v>13.201585732507731</v>
      </c>
      <c r="AP135" s="1480">
        <f t="shared" ca="1" si="145"/>
        <v>14.091269573338259</v>
      </c>
      <c r="AQ135" s="1480">
        <f t="shared" ca="1" si="145"/>
        <v>17.834949793709598</v>
      </c>
      <c r="AR135" s="1480">
        <f t="shared" ca="1" si="145"/>
        <v>17.349993284640476</v>
      </c>
      <c r="AS135" s="1480">
        <f t="shared" ca="1" si="145"/>
        <v>17.499837630137659</v>
      </c>
      <c r="AT135" s="1480">
        <f t="shared" ca="1" si="145"/>
        <v>19.327771456852229</v>
      </c>
      <c r="AU135" s="1480">
        <f t="shared" ca="1" si="145"/>
        <v>20.110411758255474</v>
      </c>
      <c r="AV135" s="1480">
        <f t="shared" ca="1" si="145"/>
        <v>18.861308887955943</v>
      </c>
      <c r="AW135" s="1480">
        <f t="shared" ca="1" si="145"/>
        <v>21.415488495392388</v>
      </c>
      <c r="AX135" s="1480">
        <f t="shared" ca="1" si="145"/>
        <v>19.237251023185603</v>
      </c>
      <c r="AY135" s="1480">
        <f t="shared" ca="1" si="145"/>
        <v>20.806375466689765</v>
      </c>
      <c r="AZ135" s="1480">
        <f t="shared" ca="1" si="145"/>
        <v>23.465866906225489</v>
      </c>
      <c r="BA135" s="1480">
        <f t="shared" ca="1" si="145"/>
        <v>22.71551553887873</v>
      </c>
      <c r="BB135" s="1480">
        <f t="shared" ca="1" si="145"/>
        <v>22.896078359876327</v>
      </c>
      <c r="BC135" s="1480">
        <f t="shared" ca="1" si="145"/>
        <v>26.608743745146676</v>
      </c>
      <c r="BD135" s="1480">
        <f t="shared" ca="1" si="145"/>
        <v>26.695968686599247</v>
      </c>
      <c r="BE135" s="1480">
        <f t="shared" ca="1" si="145"/>
        <v>27.288284964165722</v>
      </c>
      <c r="BF135" s="1480">
        <f t="shared" ca="1" si="145"/>
        <v>29.618655355843007</v>
      </c>
      <c r="BG135" s="1480">
        <f t="shared" ca="1" si="145"/>
        <v>29.931309272639005</v>
      </c>
      <c r="BH135" s="1480">
        <f t="shared" ca="1" si="145"/>
        <v>0</v>
      </c>
      <c r="BI135" s="1480">
        <f t="shared" ca="1" si="145"/>
        <v>0</v>
      </c>
      <c r="BJ135" s="1480">
        <f t="shared" ca="1" si="145"/>
        <v>0</v>
      </c>
      <c r="BK135" s="1480">
        <f t="shared" ca="1" si="145"/>
        <v>0</v>
      </c>
      <c r="BL135" s="1480">
        <f t="shared" ca="1" si="145"/>
        <v>0</v>
      </c>
    </row>
    <row r="136" spans="1:70" s="1430" customFormat="1" ht="12">
      <c r="A136" s="1423"/>
    </row>
    <row r="137" spans="1:70" s="1430" customFormat="1" ht="12">
      <c r="A137" s="1423"/>
      <c r="E137" s="1425" t="s">
        <v>1291</v>
      </c>
      <c r="F137" s="1426"/>
      <c r="G137" s="1426"/>
      <c r="H137" s="1427"/>
      <c r="P137" s="800"/>
      <c r="Q137" s="800"/>
      <c r="R137" s="800"/>
      <c r="S137" s="800"/>
      <c r="T137" s="1482"/>
      <c r="U137" s="1482"/>
      <c r="V137" s="1482">
        <f ca="1">V128+V117</f>
        <v>30.657933477154238</v>
      </c>
      <c r="W137" s="1482"/>
      <c r="X137" s="1482"/>
      <c r="Y137" s="1482"/>
      <c r="Z137" s="1482"/>
      <c r="AA137" s="1482"/>
      <c r="AB137" s="1482"/>
      <c r="AC137" s="1482"/>
      <c r="AD137" s="1482"/>
      <c r="AE137" s="1482"/>
      <c r="AF137" s="1482"/>
      <c r="AG137" s="1482"/>
      <c r="AH137" s="1482"/>
      <c r="AI137" s="1482"/>
      <c r="AJ137" s="1482"/>
      <c r="AK137" s="1482"/>
      <c r="AL137" s="1482"/>
      <c r="AM137" s="1482"/>
      <c r="AN137" s="1482"/>
      <c r="AO137" s="1482"/>
      <c r="AP137" s="1482"/>
      <c r="AQ137" s="1482"/>
      <c r="AR137" s="1482"/>
      <c r="AS137" s="1482"/>
      <c r="AT137" s="1482"/>
      <c r="AU137" s="1482"/>
      <c r="AV137" s="1482"/>
      <c r="AW137" s="1482"/>
      <c r="AX137" s="1482"/>
      <c r="AY137" s="1482"/>
      <c r="AZ137" s="1482"/>
      <c r="BA137" s="1482"/>
      <c r="BB137" s="1482"/>
      <c r="BC137" s="1482"/>
      <c r="BD137" s="1482"/>
      <c r="BE137" s="1482"/>
      <c r="BF137" s="1482"/>
      <c r="BG137" s="1482"/>
      <c r="BH137" s="1482"/>
      <c r="BI137" s="1482"/>
      <c r="BJ137" s="1482"/>
      <c r="BK137" s="1482"/>
      <c r="BL137" s="1482"/>
      <c r="BM137" s="1482"/>
      <c r="BN137" s="1482"/>
      <c r="BO137" s="1482"/>
      <c r="BP137" s="1482"/>
      <c r="BQ137" s="1482"/>
      <c r="BR137" s="800"/>
    </row>
    <row r="138" spans="1:70" s="1430" customFormat="1" ht="12">
      <c r="A138" s="1423"/>
      <c r="E138" s="1425" t="s">
        <v>1292</v>
      </c>
      <c r="F138" s="1426"/>
      <c r="G138" s="1427"/>
      <c r="H138" s="1483">
        <f>_Tax1</f>
        <v>0.11</v>
      </c>
      <c r="I138" s="1469"/>
      <c r="P138" s="800"/>
      <c r="Q138" s="800"/>
      <c r="R138" s="1484"/>
      <c r="S138" s="800"/>
      <c r="T138" s="1482"/>
      <c r="U138" s="1482"/>
      <c r="V138" s="1482">
        <f ca="1">V118+V137</f>
        <v>-160.88372088284575</v>
      </c>
      <c r="X138" s="1482"/>
      <c r="Y138" s="1482"/>
      <c r="Z138" s="1482"/>
      <c r="AA138" s="1482"/>
      <c r="AB138" s="1482"/>
      <c r="AC138" s="1482"/>
      <c r="AD138" s="1482"/>
      <c r="AE138" s="1482"/>
      <c r="AF138" s="1482"/>
      <c r="AG138" s="1482"/>
      <c r="AH138" s="1482"/>
      <c r="AI138" s="1482"/>
      <c r="AJ138" s="1482"/>
      <c r="AK138" s="1482"/>
      <c r="AL138" s="1482"/>
      <c r="AM138" s="1482"/>
      <c r="AN138" s="1482"/>
      <c r="AO138" s="1482"/>
      <c r="AP138" s="1482"/>
      <c r="AQ138" s="1482"/>
      <c r="AR138" s="1482"/>
      <c r="AS138" s="1482"/>
      <c r="AT138" s="1482"/>
      <c r="AU138" s="1482"/>
      <c r="AV138" s="1482"/>
      <c r="AW138" s="1482"/>
      <c r="AX138" s="1482"/>
      <c r="AY138" s="1482"/>
      <c r="AZ138" s="1482"/>
      <c r="BA138" s="1482"/>
      <c r="BB138" s="1482"/>
      <c r="BC138" s="1482"/>
      <c r="BD138" s="1482"/>
      <c r="BE138" s="1482"/>
      <c r="BF138" s="1482"/>
      <c r="BG138" s="1482"/>
      <c r="BH138" s="1482"/>
      <c r="BI138" s="1482"/>
      <c r="BJ138" s="1482"/>
      <c r="BK138" s="1482"/>
      <c r="BL138" s="1482"/>
      <c r="BM138" s="1482"/>
      <c r="BN138" s="1482"/>
      <c r="BO138" s="1482"/>
      <c r="BP138" s="1482"/>
      <c r="BQ138" s="1482"/>
      <c r="BR138" s="800"/>
    </row>
    <row r="139" spans="1:70" s="1430" customFormat="1" ht="12">
      <c r="A139" s="1423"/>
      <c r="E139" s="1485" t="s">
        <v>1293</v>
      </c>
      <c r="F139" s="1469"/>
      <c r="G139" s="1424"/>
      <c r="H139" s="1486">
        <f>_Tax2</f>
        <v>0.22</v>
      </c>
      <c r="I139" s="1469"/>
      <c r="P139" s="800"/>
      <c r="Q139" s="800"/>
      <c r="R139" s="800"/>
      <c r="S139" s="800"/>
      <c r="T139" s="800"/>
      <c r="U139" s="800"/>
      <c r="V139" s="800"/>
      <c r="W139" s="800"/>
      <c r="X139" s="800"/>
      <c r="Y139" s="800"/>
      <c r="Z139" s="800"/>
      <c r="AA139" s="800"/>
      <c r="AB139" s="800"/>
      <c r="AC139" s="800"/>
      <c r="AD139" s="800"/>
      <c r="AE139" s="800"/>
      <c r="AF139" s="800"/>
      <c r="AG139" s="800"/>
      <c r="AH139" s="800"/>
      <c r="AI139" s="800"/>
      <c r="AJ139" s="800"/>
      <c r="AK139" s="800"/>
      <c r="AL139" s="800"/>
      <c r="AM139" s="800"/>
      <c r="AN139" s="800"/>
      <c r="AO139" s="800"/>
      <c r="AP139" s="800"/>
      <c r="AQ139" s="800"/>
      <c r="AR139" s="800"/>
      <c r="AS139" s="800"/>
      <c r="AT139" s="800"/>
      <c r="AU139" s="800"/>
      <c r="AV139" s="800"/>
      <c r="AW139" s="800"/>
      <c r="AX139" s="800"/>
      <c r="AY139" s="800"/>
      <c r="AZ139" s="800"/>
      <c r="BA139" s="800"/>
      <c r="BB139" s="800"/>
      <c r="BC139" s="800"/>
      <c r="BD139" s="800"/>
      <c r="BE139" s="800"/>
      <c r="BF139" s="800"/>
      <c r="BG139" s="800"/>
      <c r="BH139" s="800"/>
      <c r="BI139" s="800"/>
      <c r="BJ139" s="800"/>
      <c r="BK139" s="800"/>
      <c r="BL139" s="800"/>
      <c r="BM139" s="800"/>
      <c r="BN139" s="800"/>
      <c r="BO139" s="800"/>
      <c r="BP139" s="800"/>
      <c r="BQ139" s="800"/>
      <c r="BR139" s="800"/>
    </row>
    <row r="140" spans="1:70" s="1430" customFormat="1" ht="12">
      <c r="A140" s="1423"/>
      <c r="E140" s="1487" t="s">
        <v>1294</v>
      </c>
      <c r="F140" s="1473"/>
      <c r="G140" s="1475"/>
      <c r="H140" s="1488">
        <f>Sensitivity!E17</f>
        <v>0.24199999999999999</v>
      </c>
      <c r="I140" s="1469"/>
      <c r="P140" s="800"/>
      <c r="Q140" s="800"/>
      <c r="R140" s="800"/>
      <c r="S140" s="800"/>
      <c r="T140" s="800"/>
      <c r="U140" s="800"/>
      <c r="V140" s="800"/>
      <c r="W140" s="800"/>
      <c r="X140" s="800"/>
      <c r="Y140" s="800"/>
      <c r="Z140" s="800"/>
      <c r="AA140" s="800"/>
      <c r="AB140" s="800"/>
      <c r="AC140" s="800"/>
      <c r="AD140" s="800"/>
      <c r="AE140" s="800"/>
      <c r="AF140" s="800"/>
      <c r="AG140" s="800"/>
      <c r="AH140" s="800"/>
      <c r="AI140" s="800"/>
      <c r="AJ140" s="800"/>
      <c r="AK140" s="800"/>
      <c r="AL140" s="800"/>
      <c r="AM140" s="800"/>
      <c r="AN140" s="800"/>
      <c r="AO140" s="800"/>
      <c r="AP140" s="800"/>
      <c r="AQ140" s="800"/>
      <c r="AR140" s="800"/>
      <c r="AS140" s="800"/>
      <c r="AT140" s="800"/>
      <c r="AU140" s="800"/>
      <c r="AV140" s="800"/>
      <c r="AW140" s="800"/>
      <c r="AX140" s="800"/>
      <c r="AY140" s="800"/>
      <c r="AZ140" s="800"/>
      <c r="BA140" s="800"/>
      <c r="BB140" s="800"/>
      <c r="BC140" s="800"/>
      <c r="BD140" s="800"/>
      <c r="BE140" s="800"/>
      <c r="BF140" s="800"/>
      <c r="BG140" s="800"/>
      <c r="BH140" s="800"/>
      <c r="BI140" s="800"/>
      <c r="BJ140" s="800"/>
      <c r="BK140" s="800"/>
      <c r="BL140" s="800"/>
      <c r="BM140" s="800"/>
      <c r="BN140" s="800"/>
      <c r="BO140" s="800"/>
      <c r="BP140" s="800"/>
      <c r="BQ140" s="800"/>
      <c r="BR140" s="800"/>
    </row>
    <row r="141" spans="1:70" s="1430" customFormat="1" ht="12">
      <c r="A141" s="1423"/>
      <c r="F141" s="1440"/>
      <c r="G141" s="1489"/>
      <c r="H141" s="1469"/>
      <c r="I141" s="1469"/>
      <c r="P141" s="800"/>
      <c r="Q141" s="800"/>
      <c r="R141" s="800"/>
      <c r="S141" s="800"/>
      <c r="T141" s="800"/>
      <c r="U141" s="800"/>
      <c r="V141" s="800"/>
      <c r="W141" s="800"/>
      <c r="X141" s="800"/>
      <c r="Y141" s="800"/>
      <c r="Z141" s="800"/>
      <c r="AA141" s="800"/>
      <c r="AB141" s="800"/>
      <c r="AC141" s="800"/>
      <c r="AD141" s="800"/>
      <c r="AE141" s="800"/>
      <c r="AF141" s="800"/>
      <c r="AG141" s="800"/>
      <c r="AH141" s="800"/>
      <c r="AI141" s="800"/>
      <c r="AJ141" s="800"/>
      <c r="AK141" s="800"/>
      <c r="AL141" s="800"/>
      <c r="AM141" s="800"/>
      <c r="AN141" s="800"/>
      <c r="AO141" s="800"/>
      <c r="AP141" s="800"/>
      <c r="AQ141" s="800"/>
      <c r="AR141" s="800"/>
      <c r="AS141" s="800"/>
      <c r="AT141" s="800"/>
      <c r="AU141" s="800"/>
      <c r="AV141" s="800"/>
      <c r="AW141" s="800"/>
      <c r="AX141" s="800"/>
      <c r="AY141" s="800"/>
      <c r="AZ141" s="800"/>
      <c r="BA141" s="800"/>
      <c r="BB141" s="800"/>
      <c r="BC141" s="800"/>
      <c r="BD141" s="800"/>
      <c r="BE141" s="800"/>
      <c r="BF141" s="800"/>
      <c r="BG141" s="800"/>
      <c r="BH141" s="800"/>
      <c r="BI141" s="800"/>
      <c r="BJ141" s="800"/>
      <c r="BK141" s="800"/>
      <c r="BL141" s="800"/>
      <c r="BM141" s="800"/>
      <c r="BN141" s="800"/>
      <c r="BO141" s="800"/>
      <c r="BP141" s="800"/>
      <c r="BQ141" s="800"/>
      <c r="BR141" s="800"/>
    </row>
  </sheetData>
  <phoneticPr fontId="12" type="noConversion"/>
  <pageMargins left="0.59055118110236227" right="0.59055118110236227" top="0.59055118110236227" bottom="0.59055118110236227" header="0.51181102362204722" footer="0.39370078740157483"/>
  <pageSetup paperSize="8" scale="85" orientation="landscape" useFirstPageNumber="1" r:id="rId1"/>
  <headerFooter alignWithMargins="0">
    <oddFooter>&amp;RⅢ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CA99A-C46D-4211-ABF6-51F6EC5DEDB1}">
  <sheetPr codeName="Sheet26"/>
  <dimension ref="A1:XFC36"/>
  <sheetViews>
    <sheetView showGridLines="0" zoomScaleNormal="100" workbookViewId="0">
      <pane xSplit="12" ySplit="3" topLeftCell="M4" activePane="bottomRight" state="frozen"/>
      <selection activeCell="C10" sqref="C10"/>
      <selection pane="topRight" activeCell="C10" sqref="C10"/>
      <selection pane="bottomLeft" activeCell="C10" sqref="C10"/>
      <selection pane="bottomRight" activeCell="P13" sqref="P13"/>
    </sheetView>
  </sheetViews>
  <sheetFormatPr defaultColWidth="0" defaultRowHeight="12" outlineLevelRow="1" outlineLevelCol="1"/>
  <cols>
    <col min="1" max="1" width="1.44140625" style="302" customWidth="1"/>
    <col min="2" max="3" width="2" style="302" customWidth="1"/>
    <col min="4" max="4" width="20" style="302" customWidth="1"/>
    <col min="5" max="5" width="6.77734375" style="302" customWidth="1"/>
    <col min="6" max="6" width="7.5546875" style="302" customWidth="1"/>
    <col min="7" max="12" width="6.109375" style="302" hidden="1" customWidth="1" outlineLevel="1"/>
    <col min="13" max="13" width="6.109375" style="302" customWidth="1" collapsed="1"/>
    <col min="14" max="56" width="6.109375" style="302" customWidth="1"/>
    <col min="57" max="187" width="6.109375" style="302" hidden="1" customWidth="1"/>
    <col min="188" max="16383" width="0" style="302" hidden="1"/>
    <col min="16384" max="16384" width="8.88671875" style="302" hidden="1"/>
  </cols>
  <sheetData>
    <row r="1" spans="1:55" ht="7.15" customHeight="1"/>
    <row r="2" spans="1:55" s="635" customFormat="1" ht="17.100000000000001" customHeight="1">
      <c r="A2" s="633"/>
      <c r="B2" s="634" t="s">
        <v>1295</v>
      </c>
    </row>
    <row r="3" spans="1:55" ht="17.100000000000001" customHeight="1">
      <c r="B3" s="717"/>
      <c r="C3" s="937"/>
      <c r="D3" s="718" t="s">
        <v>11</v>
      </c>
      <c r="E3" s="719"/>
      <c r="F3" s="719" t="s">
        <v>40</v>
      </c>
      <c r="G3" s="719">
        <v>2015</v>
      </c>
      <c r="H3" s="719">
        <v>2016</v>
      </c>
      <c r="I3" s="719">
        <v>2017</v>
      </c>
      <c r="J3" s="719">
        <v>2018</v>
      </c>
      <c r="K3" s="766">
        <f>기준년도</f>
        <v>2019</v>
      </c>
      <c r="L3" s="766">
        <f t="shared" ref="L3:BC3" si="0">K3+1</f>
        <v>2020</v>
      </c>
      <c r="M3" s="766">
        <f t="shared" si="0"/>
        <v>2021</v>
      </c>
      <c r="N3" s="766">
        <f t="shared" si="0"/>
        <v>2022</v>
      </c>
      <c r="O3" s="766">
        <f t="shared" si="0"/>
        <v>2023</v>
      </c>
      <c r="P3" s="766">
        <f t="shared" si="0"/>
        <v>2024</v>
      </c>
      <c r="Q3" s="766">
        <f t="shared" si="0"/>
        <v>2025</v>
      </c>
      <c r="R3" s="766">
        <f t="shared" si="0"/>
        <v>2026</v>
      </c>
      <c r="S3" s="766">
        <f t="shared" si="0"/>
        <v>2027</v>
      </c>
      <c r="T3" s="766">
        <f t="shared" si="0"/>
        <v>2028</v>
      </c>
      <c r="U3" s="766">
        <f t="shared" si="0"/>
        <v>2029</v>
      </c>
      <c r="V3" s="766">
        <f t="shared" si="0"/>
        <v>2030</v>
      </c>
      <c r="W3" s="766">
        <f t="shared" si="0"/>
        <v>2031</v>
      </c>
      <c r="X3" s="766">
        <f t="shared" si="0"/>
        <v>2032</v>
      </c>
      <c r="Y3" s="766">
        <f t="shared" si="0"/>
        <v>2033</v>
      </c>
      <c r="Z3" s="766">
        <f t="shared" si="0"/>
        <v>2034</v>
      </c>
      <c r="AA3" s="766">
        <f t="shared" si="0"/>
        <v>2035</v>
      </c>
      <c r="AB3" s="766">
        <f t="shared" si="0"/>
        <v>2036</v>
      </c>
      <c r="AC3" s="766">
        <f t="shared" si="0"/>
        <v>2037</v>
      </c>
      <c r="AD3" s="766">
        <f t="shared" si="0"/>
        <v>2038</v>
      </c>
      <c r="AE3" s="766">
        <f t="shared" si="0"/>
        <v>2039</v>
      </c>
      <c r="AF3" s="766">
        <f t="shared" si="0"/>
        <v>2040</v>
      </c>
      <c r="AG3" s="766">
        <f t="shared" si="0"/>
        <v>2041</v>
      </c>
      <c r="AH3" s="766">
        <f t="shared" si="0"/>
        <v>2042</v>
      </c>
      <c r="AI3" s="766">
        <f t="shared" si="0"/>
        <v>2043</v>
      </c>
      <c r="AJ3" s="766">
        <f t="shared" si="0"/>
        <v>2044</v>
      </c>
      <c r="AK3" s="766">
        <f t="shared" si="0"/>
        <v>2045</v>
      </c>
      <c r="AL3" s="766">
        <f t="shared" si="0"/>
        <v>2046</v>
      </c>
      <c r="AM3" s="766">
        <f t="shared" si="0"/>
        <v>2047</v>
      </c>
      <c r="AN3" s="766">
        <f t="shared" si="0"/>
        <v>2048</v>
      </c>
      <c r="AO3" s="766">
        <f t="shared" si="0"/>
        <v>2049</v>
      </c>
      <c r="AP3" s="766">
        <f t="shared" si="0"/>
        <v>2050</v>
      </c>
      <c r="AQ3" s="766">
        <f t="shared" si="0"/>
        <v>2051</v>
      </c>
      <c r="AR3" s="766">
        <f t="shared" si="0"/>
        <v>2052</v>
      </c>
      <c r="AS3" s="766">
        <f t="shared" si="0"/>
        <v>2053</v>
      </c>
      <c r="AT3" s="766">
        <f t="shared" si="0"/>
        <v>2054</v>
      </c>
      <c r="AU3" s="766">
        <f t="shared" si="0"/>
        <v>2055</v>
      </c>
      <c r="AV3" s="766">
        <f t="shared" si="0"/>
        <v>2056</v>
      </c>
      <c r="AW3" s="766">
        <f t="shared" si="0"/>
        <v>2057</v>
      </c>
      <c r="AX3" s="766">
        <f t="shared" si="0"/>
        <v>2058</v>
      </c>
      <c r="AY3" s="766">
        <f t="shared" si="0"/>
        <v>2059</v>
      </c>
      <c r="AZ3" s="766">
        <f t="shared" si="0"/>
        <v>2060</v>
      </c>
      <c r="BA3" s="766">
        <f t="shared" si="0"/>
        <v>2061</v>
      </c>
      <c r="BB3" s="766">
        <f t="shared" si="0"/>
        <v>2062</v>
      </c>
      <c r="BC3" s="766">
        <f t="shared" si="0"/>
        <v>2063</v>
      </c>
    </row>
    <row r="4" spans="1:55" ht="17.100000000000001" customHeight="1">
      <c r="B4" s="720"/>
      <c r="C4" s="315" t="s">
        <v>1235</v>
      </c>
      <c r="D4" s="1259"/>
      <c r="E4" s="722"/>
      <c r="F4" s="5019">
        <f t="shared" ref="F4:F35" ca="1" si="1">SUM(M4:BC4)</f>
        <v>16148.199110754273</v>
      </c>
      <c r="G4" s="5020">
        <f t="shared" ref="G4:BC4" si="2">SUM(G5:G11)</f>
        <v>310.51314450999996</v>
      </c>
      <c r="H4" s="5020">
        <f t="shared" si="2"/>
        <v>406.80777242000005</v>
      </c>
      <c r="I4" s="5020">
        <f t="shared" si="2"/>
        <v>416.04495480999998</v>
      </c>
      <c r="J4" s="5020">
        <f t="shared" si="2"/>
        <v>409.22449416000006</v>
      </c>
      <c r="K4" s="5020">
        <f t="shared" si="2"/>
        <v>373.08421745239991</v>
      </c>
      <c r="L4" s="5020">
        <f t="shared" ca="1" si="2"/>
        <v>332.77469652479232</v>
      </c>
      <c r="M4" s="5021">
        <f t="shared" si="2"/>
        <v>354.59608365000003</v>
      </c>
      <c r="N4" s="5021">
        <f t="shared" ca="1" si="2"/>
        <v>383.41569806898298</v>
      </c>
      <c r="O4" s="5021">
        <f t="shared" ca="1" si="2"/>
        <v>401.9353594038256</v>
      </c>
      <c r="P4" s="5021">
        <f t="shared" ca="1" si="2"/>
        <v>410.09413474055481</v>
      </c>
      <c r="Q4" s="5021">
        <f t="shared" ca="1" si="2"/>
        <v>340.56637641911539</v>
      </c>
      <c r="R4" s="5021">
        <f t="shared" ca="1" si="2"/>
        <v>288.25260350008017</v>
      </c>
      <c r="S4" s="5021">
        <f t="shared" ca="1" si="2"/>
        <v>304.6979142922952</v>
      </c>
      <c r="T4" s="5021">
        <f t="shared" ca="1" si="2"/>
        <v>312.46635293074775</v>
      </c>
      <c r="U4" s="5021">
        <f t="shared" ca="1" si="2"/>
        <v>320.22836311220044</v>
      </c>
      <c r="V4" s="5021">
        <f t="shared" ca="1" si="2"/>
        <v>337.88099663464277</v>
      </c>
      <c r="W4" s="5021">
        <f t="shared" ca="1" si="2"/>
        <v>341.08606694588519</v>
      </c>
      <c r="X4" s="5021">
        <f t="shared" ca="1" si="2"/>
        <v>344.28438737727765</v>
      </c>
      <c r="Y4" s="5021">
        <f t="shared" ca="1" si="2"/>
        <v>357.97403863449125</v>
      </c>
      <c r="Z4" s="5021">
        <f t="shared" ca="1" si="2"/>
        <v>361.27540830497105</v>
      </c>
      <c r="AA4" s="5021">
        <f t="shared" ca="1" si="2"/>
        <v>364.56969060160827</v>
      </c>
      <c r="AB4" s="5021">
        <f t="shared" ca="1" si="2"/>
        <v>378.98347599860404</v>
      </c>
      <c r="AC4" s="5021">
        <f t="shared" ca="1" si="2"/>
        <v>382.38404137159324</v>
      </c>
      <c r="AD4" s="5021">
        <f t="shared" ca="1" si="2"/>
        <v>385.7771650020477</v>
      </c>
      <c r="AE4" s="5021">
        <f t="shared" ca="1" si="2"/>
        <v>400.94655224283093</v>
      </c>
      <c r="AF4" s="5021">
        <f t="shared" ca="1" si="2"/>
        <v>404.44929692002444</v>
      </c>
      <c r="AG4" s="5021">
        <f t="shared" ca="1" si="2"/>
        <v>407.9442277675567</v>
      </c>
      <c r="AH4" s="5021">
        <f t="shared" ca="1" si="2"/>
        <v>423.9019379147349</v>
      </c>
      <c r="AI4" s="5021">
        <f t="shared" ca="1" si="2"/>
        <v>427.50993539240983</v>
      </c>
      <c r="AJ4" s="5021">
        <f t="shared" ca="1" si="2"/>
        <v>431.10972834894034</v>
      </c>
      <c r="AK4" s="5021">
        <f t="shared" ca="1" si="2"/>
        <v>447.8897835551598</v>
      </c>
      <c r="AL4" s="5021">
        <f t="shared" ca="1" si="2"/>
        <v>451.60619994033868</v>
      </c>
      <c r="AM4" s="5021">
        <f t="shared" ca="1" si="2"/>
        <v>455.31400157831587</v>
      </c>
      <c r="AN4" s="5021">
        <f t="shared" ca="1" si="2"/>
        <v>472.95177459610517</v>
      </c>
      <c r="AO4" s="5021">
        <f t="shared" ca="1" si="2"/>
        <v>476.77987140517183</v>
      </c>
      <c r="AP4" s="5021">
        <f t="shared" ca="1" si="2"/>
        <v>480.59892272967676</v>
      </c>
      <c r="AQ4" s="5021">
        <f t="shared" ca="1" si="2"/>
        <v>499.13118826556865</v>
      </c>
      <c r="AR4" s="5021">
        <f t="shared" ca="1" si="2"/>
        <v>503.07432530785633</v>
      </c>
      <c r="AS4" s="5021">
        <f t="shared" ca="1" si="2"/>
        <v>507.00796459135432</v>
      </c>
      <c r="AT4" s="5021">
        <f t="shared" ca="1" si="2"/>
        <v>526.47295257261919</v>
      </c>
      <c r="AU4" s="5021">
        <f t="shared" ca="1" si="2"/>
        <v>530.53459092157209</v>
      </c>
      <c r="AV4" s="5021">
        <f t="shared" ca="1" si="2"/>
        <v>534.58625662379586</v>
      </c>
      <c r="AW4" s="5021">
        <f t="shared" ca="1" si="2"/>
        <v>555.0237074486696</v>
      </c>
      <c r="AX4" s="5021">
        <f t="shared" ca="1" si="2"/>
        <v>559.20741250325739</v>
      </c>
      <c r="AY4" s="5021">
        <f t="shared" ca="1" si="2"/>
        <v>281.69032313938976</v>
      </c>
      <c r="AZ4" s="5021">
        <f t="shared" si="2"/>
        <v>0</v>
      </c>
      <c r="BA4" s="5021">
        <f t="shared" si="2"/>
        <v>0</v>
      </c>
      <c r="BB4" s="5021">
        <f t="shared" si="2"/>
        <v>0</v>
      </c>
      <c r="BC4" s="5021">
        <f t="shared" si="2"/>
        <v>0</v>
      </c>
    </row>
    <row r="5" spans="1:55" ht="17.100000000000001" customHeight="1" outlineLevel="1">
      <c r="B5" s="307"/>
      <c r="D5" s="342" t="str">
        <f>'IS(Q)'!D42</f>
        <v>하역수입</v>
      </c>
      <c r="E5" s="943"/>
      <c r="F5" s="5022">
        <f t="shared" ca="1" si="1"/>
        <v>14433.415324830419</v>
      </c>
      <c r="G5" s="5023">
        <v>138.27581895</v>
      </c>
      <c r="H5" s="5023">
        <v>173.24312785000001</v>
      </c>
      <c r="I5" s="5023">
        <v>181.97300636</v>
      </c>
      <c r="J5" s="5023">
        <v>181.36803080000001</v>
      </c>
      <c r="K5" s="5023">
        <f>SUMIF('IS(Q)'!$3:$3,K$3,'IS(Q)'!10:10)</f>
        <v>201.93458812</v>
      </c>
      <c r="L5" s="5023">
        <f>SUMIF('IS(Q)'!$3:$3,L$3,'IS(Q)'!10:10)</f>
        <v>228.67222892000001</v>
      </c>
      <c r="M5" s="5024">
        <f>SUMIF('IS(Q)'!$3:$3,M$3,'IS(Q)'!10:10)</f>
        <v>214.58159649000001</v>
      </c>
      <c r="N5" s="5024">
        <f>SUMIF('IS(Q)'!$3:$3,N$3,'IS(Q)'!10:10)</f>
        <v>220.43318867892762</v>
      </c>
      <c r="O5" s="5024">
        <f ca="1">SUMIF('IS(Q)'!$3:$3,O$3,'IS(Q)'!10:10)</f>
        <v>234.70089984000003</v>
      </c>
      <c r="P5" s="5024">
        <f ca="1">SUMIF('IS(Q)'!$3:$3,P$3,'IS(Q)'!10:10)</f>
        <v>248.6670702611041</v>
      </c>
      <c r="Q5" s="5024">
        <f ca="1">SUMIF('IS(Q)'!$3:$3,Q$3,'IS(Q)'!10:10)</f>
        <v>256.20243602659207</v>
      </c>
      <c r="R5" s="5024">
        <f ca="1">SUMIF('IS(Q)'!$3:$3,R$3,'IS(Q)'!10:10)</f>
        <v>263.73780179208012</v>
      </c>
      <c r="S5" s="5024">
        <f ca="1">SUMIF('IS(Q)'!$3:$3,S$3,'IS(Q)'!10:10)</f>
        <v>279.41136258429515</v>
      </c>
      <c r="T5" s="5024">
        <f ca="1">SUMIF('IS(Q)'!$3:$3,T$3,'IS(Q)'!10:10)</f>
        <v>287.17278932274775</v>
      </c>
      <c r="U5" s="5024">
        <f ca="1">SUMIF('IS(Q)'!$3:$3,U$3,'IS(Q)'!10:10)</f>
        <v>294.9342160612004</v>
      </c>
      <c r="V5" s="5024">
        <f ca="1">SUMIF('IS(Q)'!$3:$3,V$3,'IS(Q)'!10:10)</f>
        <v>311.77651208364273</v>
      </c>
      <c r="W5" s="5024">
        <f ca="1">SUMIF('IS(Q)'!$3:$3,W$3,'IS(Q)'!10:10)</f>
        <v>314.97421989988516</v>
      </c>
      <c r="X5" s="5024">
        <f ca="1">SUMIF('IS(Q)'!$3:$3,X$3,'IS(Q)'!10:10)</f>
        <v>318.17192771612764</v>
      </c>
      <c r="Y5" s="5024">
        <f ca="1">SUMIF('IS(Q)'!$3:$3,Y$3,'IS(Q)'!10:10)</f>
        <v>331.01072459834126</v>
      </c>
      <c r="Z5" s="5024">
        <f ca="1">SUMIF('IS(Q)'!$3:$3,Z$3,'IS(Q)'!10:10)</f>
        <v>334.30436364907104</v>
      </c>
      <c r="AA5" s="5024">
        <f ca="1">SUMIF('IS(Q)'!$3:$3,AA$3,'IS(Q)'!10:10)</f>
        <v>337.59800269980076</v>
      </c>
      <c r="AB5" s="5024">
        <f ca="1">SUMIF('IS(Q)'!$3:$3,AB$3,'IS(Q)'!10:10)</f>
        <v>351.1183910030465</v>
      </c>
      <c r="AC5" s="5024">
        <f ca="1">SUMIF('IS(Q)'!$3:$3,AC$3,'IS(Q)'!10:10)</f>
        <v>354.51083922529818</v>
      </c>
      <c r="AD5" s="5024">
        <f ca="1">SUMIF('IS(Q)'!$3:$3,AD$3,'IS(Q)'!10:10)</f>
        <v>357.90328744754976</v>
      </c>
      <c r="AE5" s="5024">
        <f ca="1">SUMIF('IS(Q)'!$3:$3,AE$3,'IS(Q)'!10:10)</f>
        <v>372.1346077398955</v>
      </c>
      <c r="AF5" s="5024">
        <f ca="1">SUMIF('IS(Q)'!$3:$3,AF$3,'IS(Q)'!10:10)</f>
        <v>375.62882940881468</v>
      </c>
      <c r="AG5" s="5024">
        <f ca="1">SUMIF('IS(Q)'!$3:$3,AG$3,'IS(Q)'!10:10)</f>
        <v>379.12305107773392</v>
      </c>
      <c r="AH5" s="5024">
        <f ca="1">SUMIF('IS(Q)'!$3:$3,AH$3,'IS(Q)'!10:10)</f>
        <v>394.09579092905273</v>
      </c>
      <c r="AI5" s="5024">
        <f ca="1">SUMIF('IS(Q)'!$3:$3,AI$3,'IS(Q)'!10:10)</f>
        <v>397.69483924803956</v>
      </c>
      <c r="AJ5" s="5024">
        <f ca="1">SUMIF('IS(Q)'!$3:$3,AJ$3,'IS(Q)'!10:10)</f>
        <v>401.29388756702639</v>
      </c>
      <c r="AK5" s="5024">
        <f ca="1">SUMIF('IS(Q)'!$3:$3,AK$3,'IS(Q)'!10:10)</f>
        <v>417.03972396259354</v>
      </c>
      <c r="AL5" s="5024">
        <f ca="1">SUMIF('IS(Q)'!$3:$3,AL$3,'IS(Q)'!10:10)</f>
        <v>420.74674373114993</v>
      </c>
      <c r="AM5" s="5024">
        <f ca="1">SUMIF('IS(Q)'!$3:$3,AM$3,'IS(Q)'!10:10)</f>
        <v>424.45376349970627</v>
      </c>
      <c r="AN5" s="5024">
        <f ca="1">SUMIF('IS(Q)'!$3:$3,AN$3,'IS(Q)'!10:10)</f>
        <v>441.00560676631062</v>
      </c>
      <c r="AO5" s="5024">
        <f ca="1">SUMIF('IS(Q)'!$3:$3,AO$3,'IS(Q)'!10:10)</f>
        <v>444.82383712792364</v>
      </c>
      <c r="AP5" s="5024">
        <f ca="1">SUMIF('IS(Q)'!$3:$3,AP$3,'IS(Q)'!10:10)</f>
        <v>448.64206748953666</v>
      </c>
      <c r="AQ5" s="5024">
        <f ca="1">SUMIF('IS(Q)'!$3:$3,AQ$3,'IS(Q)'!10:10)</f>
        <v>466.03410678668433</v>
      </c>
      <c r="AR5" s="5024">
        <f ca="1">SUMIF('IS(Q)'!$3:$3,AR$3,'IS(Q)'!10:10)</f>
        <v>469.96688405914574</v>
      </c>
      <c r="AS5" s="5024">
        <f ca="1">SUMIF('IS(Q)'!$3:$3,AS$3,'IS(Q)'!10:10)</f>
        <v>473.89966133160721</v>
      </c>
      <c r="AT5" s="5024">
        <f ca="1">SUMIF('IS(Q)'!$3:$3,AT$3,'IS(Q)'!10:10)</f>
        <v>492.16741176219068</v>
      </c>
      <c r="AU5" s="5024">
        <f ca="1">SUMIF('IS(Q)'!$3:$3,AU$3,'IS(Q)'!10:10)</f>
        <v>496.218172352826</v>
      </c>
      <c r="AV5" s="5024">
        <f ca="1">SUMIF('IS(Q)'!$3:$3,AV$3,'IS(Q)'!10:10)</f>
        <v>500.26893294346138</v>
      </c>
      <c r="AW5" s="5024">
        <f ca="1">SUMIF('IS(Q)'!$3:$3,AW$3,'IS(Q)'!10:10)</f>
        <v>519.44928434011956</v>
      </c>
      <c r="AX5" s="5024">
        <f ca="1">SUMIF('IS(Q)'!$3:$3,AX$3,'IS(Q)'!10:10)</f>
        <v>523.62156774847392</v>
      </c>
      <c r="AY5" s="5024">
        <f ca="1">SUMIF('IS(Q)'!$3:$3,AY$3,'IS(Q)'!10:10)</f>
        <v>263.89692557841414</v>
      </c>
      <c r="AZ5" s="5024">
        <f>SUMIF('IS(Q)'!$3:$3,AZ$3,'IS(Q)'!10:10)</f>
        <v>0</v>
      </c>
      <c r="BA5" s="5024">
        <f>SUMIF('IS(Q)'!$3:$3,BA$3,'IS(Q)'!10:10)</f>
        <v>0</v>
      </c>
      <c r="BB5" s="5024">
        <f>SUMIF('IS(Q)'!$3:$3,BB$3,'IS(Q)'!10:10)</f>
        <v>0</v>
      </c>
      <c r="BC5" s="5024">
        <f>SUMIF('IS(Q)'!$3:$3,BC$3,'IS(Q)'!10:10)</f>
        <v>0</v>
      </c>
    </row>
    <row r="6" spans="1:55" ht="17.100000000000001" customHeight="1" outlineLevel="1">
      <c r="B6" s="307"/>
      <c r="D6" s="1274" t="str">
        <f>'IS(Q)'!D43</f>
        <v>접안료</v>
      </c>
      <c r="E6" s="742"/>
      <c r="F6" s="5025">
        <f t="shared" si="1"/>
        <v>321.13638824000003</v>
      </c>
      <c r="G6" s="5026">
        <v>1.8463033</v>
      </c>
      <c r="H6" s="5026">
        <v>3.8320357</v>
      </c>
      <c r="I6" s="5026">
        <v>8.1771732999999998</v>
      </c>
      <c r="J6" s="5026">
        <v>8.7111897999999997</v>
      </c>
      <c r="K6" s="5026">
        <f>SUMIF('IS(Q)'!$3:$3,K$3,'IS(Q)'!11:11)</f>
        <v>9.4773434000000005</v>
      </c>
      <c r="L6" s="5026">
        <f>SUMIF('IS(Q)'!$3:$3,L$3,'IS(Q)'!11:11)</f>
        <v>10.361379599999999</v>
      </c>
      <c r="M6" s="5027">
        <f>SUMIF('IS(Q)'!$3:$3,M$3,'IS(Q)'!11:11)</f>
        <v>8.4653314399999999</v>
      </c>
      <c r="N6" s="5027">
        <f>SUMIF('IS(Q)'!$3:$3,N$3,'IS(Q)'!11:11)</f>
        <v>8.3378948479999995</v>
      </c>
      <c r="O6" s="5027">
        <f>SUMIF('IS(Q)'!$3:$3,O$3,'IS(Q)'!11:11)</f>
        <v>8.3378948479999995</v>
      </c>
      <c r="P6" s="5027">
        <f>SUMIF('IS(Q)'!$3:$3,P$3,'IS(Q)'!11:11)</f>
        <v>8.3378948479999995</v>
      </c>
      <c r="Q6" s="5027">
        <f>SUMIF('IS(Q)'!$3:$3,Q$3,'IS(Q)'!11:11)</f>
        <v>8.3378948479999995</v>
      </c>
      <c r="R6" s="5027">
        <f>SUMIF('IS(Q)'!$3:$3,R$3,'IS(Q)'!11:11)</f>
        <v>8.3378948479999995</v>
      </c>
      <c r="S6" s="5027">
        <f>SUMIF('IS(Q)'!$3:$3,S$3,'IS(Q)'!11:11)</f>
        <v>8.3378948479999995</v>
      </c>
      <c r="T6" s="5027">
        <f>SUMIF('IS(Q)'!$3:$3,T$3,'IS(Q)'!11:11)</f>
        <v>8.3378948479999995</v>
      </c>
      <c r="U6" s="5027">
        <f>SUMIF('IS(Q)'!$3:$3,U$3,'IS(Q)'!11:11)</f>
        <v>8.3378948479999995</v>
      </c>
      <c r="V6" s="5027">
        <f>SUMIF('IS(Q)'!$3:$3,V$3,'IS(Q)'!11:11)</f>
        <v>8.3378948479999995</v>
      </c>
      <c r="W6" s="5027">
        <f>SUMIF('IS(Q)'!$3:$3,W$3,'IS(Q)'!11:11)</f>
        <v>8.3378948479999995</v>
      </c>
      <c r="X6" s="5027">
        <f>SUMIF('IS(Q)'!$3:$3,X$3,'IS(Q)'!11:11)</f>
        <v>8.3378948479999995</v>
      </c>
      <c r="Y6" s="5027">
        <f>SUMIF('IS(Q)'!$3:$3,Y$3,'IS(Q)'!11:11)</f>
        <v>8.3378948479999995</v>
      </c>
      <c r="Z6" s="5027">
        <f>SUMIF('IS(Q)'!$3:$3,Z$3,'IS(Q)'!11:11)</f>
        <v>8.3378948479999995</v>
      </c>
      <c r="AA6" s="5027">
        <f>SUMIF('IS(Q)'!$3:$3,AA$3,'IS(Q)'!11:11)</f>
        <v>8.3378948479999995</v>
      </c>
      <c r="AB6" s="5027">
        <f>SUMIF('IS(Q)'!$3:$3,AB$3,'IS(Q)'!11:11)</f>
        <v>8.3378948479999995</v>
      </c>
      <c r="AC6" s="5027">
        <f>SUMIF('IS(Q)'!$3:$3,AC$3,'IS(Q)'!11:11)</f>
        <v>8.3378948479999995</v>
      </c>
      <c r="AD6" s="5027">
        <f>SUMIF('IS(Q)'!$3:$3,AD$3,'IS(Q)'!11:11)</f>
        <v>8.3378948479999995</v>
      </c>
      <c r="AE6" s="5027">
        <f>SUMIF('IS(Q)'!$3:$3,AE$3,'IS(Q)'!11:11)</f>
        <v>8.3378948479999995</v>
      </c>
      <c r="AF6" s="5027">
        <f>SUMIF('IS(Q)'!$3:$3,AF$3,'IS(Q)'!11:11)</f>
        <v>8.3378948479999995</v>
      </c>
      <c r="AG6" s="5027">
        <f>SUMIF('IS(Q)'!$3:$3,AG$3,'IS(Q)'!11:11)</f>
        <v>8.3378948479999995</v>
      </c>
      <c r="AH6" s="5027">
        <f>SUMIF('IS(Q)'!$3:$3,AH$3,'IS(Q)'!11:11)</f>
        <v>8.3378948479999995</v>
      </c>
      <c r="AI6" s="5027">
        <f>SUMIF('IS(Q)'!$3:$3,AI$3,'IS(Q)'!11:11)</f>
        <v>8.3378948479999995</v>
      </c>
      <c r="AJ6" s="5027">
        <f>SUMIF('IS(Q)'!$3:$3,AJ$3,'IS(Q)'!11:11)</f>
        <v>8.3378948479999995</v>
      </c>
      <c r="AK6" s="5027">
        <f>SUMIF('IS(Q)'!$3:$3,AK$3,'IS(Q)'!11:11)</f>
        <v>8.3378948479999995</v>
      </c>
      <c r="AL6" s="5027">
        <f>SUMIF('IS(Q)'!$3:$3,AL$3,'IS(Q)'!11:11)</f>
        <v>8.3378948479999995</v>
      </c>
      <c r="AM6" s="5027">
        <f>SUMIF('IS(Q)'!$3:$3,AM$3,'IS(Q)'!11:11)</f>
        <v>8.3378948479999995</v>
      </c>
      <c r="AN6" s="5027">
        <f>SUMIF('IS(Q)'!$3:$3,AN$3,'IS(Q)'!11:11)</f>
        <v>8.3378948479999995</v>
      </c>
      <c r="AO6" s="5027">
        <f>SUMIF('IS(Q)'!$3:$3,AO$3,'IS(Q)'!11:11)</f>
        <v>8.3378948479999995</v>
      </c>
      <c r="AP6" s="5027">
        <f>SUMIF('IS(Q)'!$3:$3,AP$3,'IS(Q)'!11:11)</f>
        <v>8.3378948479999995</v>
      </c>
      <c r="AQ6" s="5027">
        <f>SUMIF('IS(Q)'!$3:$3,AQ$3,'IS(Q)'!11:11)</f>
        <v>8.3378948479999995</v>
      </c>
      <c r="AR6" s="5027">
        <f>SUMIF('IS(Q)'!$3:$3,AR$3,'IS(Q)'!11:11)</f>
        <v>8.3378948479999995</v>
      </c>
      <c r="AS6" s="5027">
        <f>SUMIF('IS(Q)'!$3:$3,AS$3,'IS(Q)'!11:11)</f>
        <v>8.3378948479999995</v>
      </c>
      <c r="AT6" s="5027">
        <f>SUMIF('IS(Q)'!$3:$3,AT$3,'IS(Q)'!11:11)</f>
        <v>8.3378948479999995</v>
      </c>
      <c r="AU6" s="5027">
        <f>SUMIF('IS(Q)'!$3:$3,AU$3,'IS(Q)'!11:11)</f>
        <v>8.3378948479999995</v>
      </c>
      <c r="AV6" s="5027">
        <f>SUMIF('IS(Q)'!$3:$3,AV$3,'IS(Q)'!11:11)</f>
        <v>8.3378948479999995</v>
      </c>
      <c r="AW6" s="5027">
        <f>SUMIF('IS(Q)'!$3:$3,AW$3,'IS(Q)'!11:11)</f>
        <v>8.3378948479999995</v>
      </c>
      <c r="AX6" s="5027">
        <f>SUMIF('IS(Q)'!$3:$3,AX$3,'IS(Q)'!11:11)</f>
        <v>8.3378948479999995</v>
      </c>
      <c r="AY6" s="5027">
        <f>SUMIF('IS(Q)'!$3:$3,AY$3,'IS(Q)'!11:11)</f>
        <v>4.1689474239999997</v>
      </c>
      <c r="AZ6" s="5027">
        <f>SUMIF('IS(Q)'!$3:$3,AZ$3,'IS(Q)'!11:11)</f>
        <v>0</v>
      </c>
      <c r="BA6" s="5027">
        <f>SUMIF('IS(Q)'!$3:$3,BA$3,'IS(Q)'!11:11)</f>
        <v>0</v>
      </c>
      <c r="BB6" s="5027">
        <f>SUMIF('IS(Q)'!$3:$3,BB$3,'IS(Q)'!11:11)</f>
        <v>0</v>
      </c>
      <c r="BC6" s="5027">
        <f>SUMIF('IS(Q)'!$3:$3,BC$3,'IS(Q)'!11:11)</f>
        <v>0</v>
      </c>
    </row>
    <row r="7" spans="1:55" ht="17.100000000000001" customHeight="1" outlineLevel="1">
      <c r="B7" s="307"/>
      <c r="D7" s="1274" t="str">
        <f>'IS(Q)'!D44</f>
        <v>CFS동 운영 수입</v>
      </c>
      <c r="E7" s="742"/>
      <c r="F7" s="5025">
        <f t="shared" si="1"/>
        <v>9.2785404900000046</v>
      </c>
      <c r="G7" s="5026">
        <v>0.54232670000000005</v>
      </c>
      <c r="H7" s="5026">
        <v>0.58086470000000001</v>
      </c>
      <c r="I7" s="5026">
        <v>0.34232241000000002</v>
      </c>
      <c r="J7" s="5026">
        <v>0.21540519999999999</v>
      </c>
      <c r="K7" s="5026">
        <f>SUMIF('IS(Q)'!$3:$3,K$3,'IS(Q)'!12:12)</f>
        <v>0.2091556</v>
      </c>
      <c r="L7" s="5026">
        <f>SUMIF('IS(Q)'!$3:$3,L$3,'IS(Q)'!12:12)</f>
        <v>0.41002554999999996</v>
      </c>
      <c r="M7" s="5035">
        <f>SUMIF('IS(Q)'!$3:$3,M$3,'IS(Q)'!12:12)</f>
        <v>0.27854049000000003</v>
      </c>
      <c r="N7" s="5035">
        <f>SUMIF('IS(Q)'!$3:$3,N$3,'IS(Q)'!12:12)</f>
        <v>0.24</v>
      </c>
      <c r="O7" s="5035">
        <f>SUMIF('IS(Q)'!$3:$3,O$3,'IS(Q)'!12:12)</f>
        <v>0.24</v>
      </c>
      <c r="P7" s="5035">
        <f>SUMIF('IS(Q)'!$3:$3,P$3,'IS(Q)'!12:12)</f>
        <v>0.24</v>
      </c>
      <c r="Q7" s="5035">
        <f>SUMIF('IS(Q)'!$3:$3,Q$3,'IS(Q)'!12:12)</f>
        <v>0.24</v>
      </c>
      <c r="R7" s="5035">
        <f>SUMIF('IS(Q)'!$3:$3,R$3,'IS(Q)'!12:12)</f>
        <v>0.24</v>
      </c>
      <c r="S7" s="5035">
        <f>SUMIF('IS(Q)'!$3:$3,S$3,'IS(Q)'!12:12)</f>
        <v>0.24</v>
      </c>
      <c r="T7" s="5035">
        <f>SUMIF('IS(Q)'!$3:$3,T$3,'IS(Q)'!12:12)</f>
        <v>0.24</v>
      </c>
      <c r="U7" s="5035">
        <f>SUMIF('IS(Q)'!$3:$3,U$3,'IS(Q)'!12:12)</f>
        <v>0.24</v>
      </c>
      <c r="V7" s="5035">
        <f>SUMIF('IS(Q)'!$3:$3,V$3,'IS(Q)'!12:12)</f>
        <v>0.24</v>
      </c>
      <c r="W7" s="5035">
        <f>SUMIF('IS(Q)'!$3:$3,W$3,'IS(Q)'!12:12)</f>
        <v>0.24</v>
      </c>
      <c r="X7" s="5035">
        <f>SUMIF('IS(Q)'!$3:$3,X$3,'IS(Q)'!12:12)</f>
        <v>0.24</v>
      </c>
      <c r="Y7" s="5035">
        <f>SUMIF('IS(Q)'!$3:$3,Y$3,'IS(Q)'!12:12)</f>
        <v>0.24</v>
      </c>
      <c r="Z7" s="5035">
        <f>SUMIF('IS(Q)'!$3:$3,Z$3,'IS(Q)'!12:12)</f>
        <v>0.24</v>
      </c>
      <c r="AA7" s="5035">
        <f>SUMIF('IS(Q)'!$3:$3,AA$3,'IS(Q)'!12:12)</f>
        <v>0.24</v>
      </c>
      <c r="AB7" s="5035">
        <f>SUMIF('IS(Q)'!$3:$3,AB$3,'IS(Q)'!12:12)</f>
        <v>0.24</v>
      </c>
      <c r="AC7" s="5035">
        <f>SUMIF('IS(Q)'!$3:$3,AC$3,'IS(Q)'!12:12)</f>
        <v>0.24</v>
      </c>
      <c r="AD7" s="5035">
        <f>SUMIF('IS(Q)'!$3:$3,AD$3,'IS(Q)'!12:12)</f>
        <v>0.24</v>
      </c>
      <c r="AE7" s="5035">
        <f>SUMIF('IS(Q)'!$3:$3,AE$3,'IS(Q)'!12:12)</f>
        <v>0.24</v>
      </c>
      <c r="AF7" s="5035">
        <f>SUMIF('IS(Q)'!$3:$3,AF$3,'IS(Q)'!12:12)</f>
        <v>0.24</v>
      </c>
      <c r="AG7" s="5035">
        <f>SUMIF('IS(Q)'!$3:$3,AG$3,'IS(Q)'!12:12)</f>
        <v>0.24</v>
      </c>
      <c r="AH7" s="5035">
        <f>SUMIF('IS(Q)'!$3:$3,AH$3,'IS(Q)'!12:12)</f>
        <v>0.24</v>
      </c>
      <c r="AI7" s="5035">
        <f>SUMIF('IS(Q)'!$3:$3,AI$3,'IS(Q)'!12:12)</f>
        <v>0.24</v>
      </c>
      <c r="AJ7" s="5035">
        <f>SUMIF('IS(Q)'!$3:$3,AJ$3,'IS(Q)'!12:12)</f>
        <v>0.24</v>
      </c>
      <c r="AK7" s="5035">
        <f>SUMIF('IS(Q)'!$3:$3,AK$3,'IS(Q)'!12:12)</f>
        <v>0.24</v>
      </c>
      <c r="AL7" s="5035">
        <f>SUMIF('IS(Q)'!$3:$3,AL$3,'IS(Q)'!12:12)</f>
        <v>0.24</v>
      </c>
      <c r="AM7" s="5035">
        <f>SUMIF('IS(Q)'!$3:$3,AM$3,'IS(Q)'!12:12)</f>
        <v>0.24</v>
      </c>
      <c r="AN7" s="5035">
        <f>SUMIF('IS(Q)'!$3:$3,AN$3,'IS(Q)'!12:12)</f>
        <v>0.24</v>
      </c>
      <c r="AO7" s="5035">
        <f>SUMIF('IS(Q)'!$3:$3,AO$3,'IS(Q)'!12:12)</f>
        <v>0.24</v>
      </c>
      <c r="AP7" s="5035">
        <f>SUMIF('IS(Q)'!$3:$3,AP$3,'IS(Q)'!12:12)</f>
        <v>0.24</v>
      </c>
      <c r="AQ7" s="5035">
        <f>SUMIF('IS(Q)'!$3:$3,AQ$3,'IS(Q)'!12:12)</f>
        <v>0.24</v>
      </c>
      <c r="AR7" s="5035">
        <f>SUMIF('IS(Q)'!$3:$3,AR$3,'IS(Q)'!12:12)</f>
        <v>0.24</v>
      </c>
      <c r="AS7" s="5035">
        <f>SUMIF('IS(Q)'!$3:$3,AS$3,'IS(Q)'!12:12)</f>
        <v>0.24</v>
      </c>
      <c r="AT7" s="5035">
        <f>SUMIF('IS(Q)'!$3:$3,AT$3,'IS(Q)'!12:12)</f>
        <v>0.24</v>
      </c>
      <c r="AU7" s="5035">
        <f>SUMIF('IS(Q)'!$3:$3,AU$3,'IS(Q)'!12:12)</f>
        <v>0.24</v>
      </c>
      <c r="AV7" s="5035">
        <f>SUMIF('IS(Q)'!$3:$3,AV$3,'IS(Q)'!12:12)</f>
        <v>0.24</v>
      </c>
      <c r="AW7" s="5035">
        <f>SUMIF('IS(Q)'!$3:$3,AW$3,'IS(Q)'!12:12)</f>
        <v>0.24</v>
      </c>
      <c r="AX7" s="5035">
        <f>SUMIF('IS(Q)'!$3:$3,AX$3,'IS(Q)'!12:12)</f>
        <v>0.24</v>
      </c>
      <c r="AY7" s="5035">
        <f>SUMIF('IS(Q)'!$3:$3,AY$3,'IS(Q)'!12:12)</f>
        <v>0.12</v>
      </c>
      <c r="AZ7" s="5035">
        <f>SUMIF('IS(Q)'!$3:$3,AZ$3,'IS(Q)'!12:12)</f>
        <v>0</v>
      </c>
      <c r="BA7" s="5035">
        <f>SUMIF('IS(Q)'!$3:$3,BA$3,'IS(Q)'!12:12)</f>
        <v>0</v>
      </c>
      <c r="BB7" s="5035">
        <f>SUMIF('IS(Q)'!$3:$3,BB$3,'IS(Q)'!12:12)</f>
        <v>0</v>
      </c>
      <c r="BC7" s="5035">
        <f>SUMIF('IS(Q)'!$3:$3,BC$3,'IS(Q)'!12:12)</f>
        <v>0</v>
      </c>
    </row>
    <row r="8" spans="1:55" ht="17.100000000000001" customHeight="1" outlineLevel="1">
      <c r="B8" s="307"/>
      <c r="D8" s="1274" t="str">
        <f>'IS(Q)'!D45</f>
        <v>4번선석 임대</v>
      </c>
      <c r="E8" s="742"/>
      <c r="F8" s="5025">
        <f t="shared" ca="1" si="1"/>
        <v>793.45799953283142</v>
      </c>
      <c r="G8" s="5026">
        <v>11.732072390000001</v>
      </c>
      <c r="H8" s="5026">
        <v>10.4634737</v>
      </c>
      <c r="I8" s="5026">
        <v>17.771273019999999</v>
      </c>
      <c r="J8" s="5026">
        <v>20.021000000000001</v>
      </c>
      <c r="K8" s="5026">
        <f>SUMIF('IS(Q)'!$3:$3,K$3,'IS(Q)'!13:13)</f>
        <v>20.018000000000001</v>
      </c>
      <c r="L8" s="5026">
        <f>SUMIF('IS(Q)'!$3:$3,L$3,'IS(Q)'!13:13)</f>
        <v>20</v>
      </c>
      <c r="M8" s="5027">
        <f>SUMIF('IS(Q)'!$3:$3,M$3,'IS(Q)'!13:13)</f>
        <v>21</v>
      </c>
      <c r="N8" s="5027">
        <f>SUMIF('IS(Q)'!$3:$3,N$3,'IS(Q)'!13:13)</f>
        <v>21</v>
      </c>
      <c r="O8" s="5027">
        <f ca="1">SUMIF('IS(Q)'!$3:$3,O$3,'IS(Q)'!13:13)</f>
        <v>21</v>
      </c>
      <c r="P8" s="5027">
        <f ca="1">SUMIF('IS(Q)'!$3:$3,P$3,'IS(Q)'!13:13)</f>
        <v>22.05</v>
      </c>
      <c r="Q8" s="5027">
        <f ca="1">SUMIF('IS(Q)'!$3:$3,Q$3,'IS(Q)'!13:13)</f>
        <v>15.435</v>
      </c>
      <c r="R8" s="5027">
        <f ca="1">SUMIF('IS(Q)'!$3:$3,R$3,'IS(Q)'!13:13)</f>
        <v>15.435</v>
      </c>
      <c r="S8" s="5027">
        <f ca="1">SUMIF('IS(Q)'!$3:$3,S$3,'IS(Q)'!13:13)</f>
        <v>16.206750000000003</v>
      </c>
      <c r="T8" s="5027">
        <f ca="1">SUMIF('IS(Q)'!$3:$3,T$3,'IS(Q)'!13:13)</f>
        <v>16.206750000000003</v>
      </c>
      <c r="U8" s="5027">
        <f ca="1">SUMIF('IS(Q)'!$3:$3,U$3,'IS(Q)'!13:13)</f>
        <v>16.206750000000003</v>
      </c>
      <c r="V8" s="5027">
        <f ca="1">SUMIF('IS(Q)'!$3:$3,V$3,'IS(Q)'!13:13)</f>
        <v>17.017087499999999</v>
      </c>
      <c r="W8" s="5027">
        <f ca="1">SUMIF('IS(Q)'!$3:$3,W$3,'IS(Q)'!13:13)</f>
        <v>17.017087499999999</v>
      </c>
      <c r="X8" s="5027">
        <f ca="1">SUMIF('IS(Q)'!$3:$3,X$3,'IS(Q)'!13:13)</f>
        <v>17.017087499999999</v>
      </c>
      <c r="Y8" s="5027">
        <f ca="1">SUMIF('IS(Q)'!$3:$3,Y$3,'IS(Q)'!13:13)</f>
        <v>17.867941875000003</v>
      </c>
      <c r="Z8" s="5027">
        <f ca="1">SUMIF('IS(Q)'!$3:$3,Z$3,'IS(Q)'!13:13)</f>
        <v>17.867941875000003</v>
      </c>
      <c r="AA8" s="5027">
        <f ca="1">SUMIF('IS(Q)'!$3:$3,AA$3,'IS(Q)'!13:13)</f>
        <v>17.867941875000003</v>
      </c>
      <c r="AB8" s="5027">
        <f ca="1">SUMIF('IS(Q)'!$3:$3,AB$3,'IS(Q)'!13:13)</f>
        <v>18.761338968750007</v>
      </c>
      <c r="AC8" s="5027">
        <f ca="1">SUMIF('IS(Q)'!$3:$3,AC$3,'IS(Q)'!13:13)</f>
        <v>18.761338968750007</v>
      </c>
      <c r="AD8" s="5027">
        <f ca="1">SUMIF('IS(Q)'!$3:$3,AD$3,'IS(Q)'!13:13)</f>
        <v>18.761338968750007</v>
      </c>
      <c r="AE8" s="5027">
        <f ca="1">SUMIF('IS(Q)'!$3:$3,AE$3,'IS(Q)'!13:13)</f>
        <v>19.699405917187505</v>
      </c>
      <c r="AF8" s="5027">
        <f ca="1">SUMIF('IS(Q)'!$3:$3,AF$3,'IS(Q)'!13:13)</f>
        <v>19.699405917187505</v>
      </c>
      <c r="AG8" s="5027">
        <f ca="1">SUMIF('IS(Q)'!$3:$3,AG$3,'IS(Q)'!13:13)</f>
        <v>19.699405917187505</v>
      </c>
      <c r="AH8" s="5027">
        <f ca="1">SUMIF('IS(Q)'!$3:$3,AH$3,'IS(Q)'!13:13)</f>
        <v>20.684376213046882</v>
      </c>
      <c r="AI8" s="5027">
        <f ca="1">SUMIF('IS(Q)'!$3:$3,AI$3,'IS(Q)'!13:13)</f>
        <v>20.684376213046882</v>
      </c>
      <c r="AJ8" s="5027">
        <f ca="1">SUMIF('IS(Q)'!$3:$3,AJ$3,'IS(Q)'!13:13)</f>
        <v>20.684376213046882</v>
      </c>
      <c r="AK8" s="5027">
        <f ca="1">SUMIF('IS(Q)'!$3:$3,AK$3,'IS(Q)'!13:13)</f>
        <v>21.718595023699226</v>
      </c>
      <c r="AL8" s="5027">
        <f ca="1">SUMIF('IS(Q)'!$3:$3,AL$3,'IS(Q)'!13:13)</f>
        <v>21.718595023699226</v>
      </c>
      <c r="AM8" s="5027">
        <f ca="1">SUMIF('IS(Q)'!$3:$3,AM$3,'IS(Q)'!13:13)</f>
        <v>21.718595023699226</v>
      </c>
      <c r="AN8" s="5027">
        <f ca="1">SUMIF('IS(Q)'!$3:$3,AN$3,'IS(Q)'!13:13)</f>
        <v>22.804524774884186</v>
      </c>
      <c r="AO8" s="5027">
        <f ca="1">SUMIF('IS(Q)'!$3:$3,AO$3,'IS(Q)'!13:13)</f>
        <v>22.804524774884186</v>
      </c>
      <c r="AP8" s="5027">
        <f ca="1">SUMIF('IS(Q)'!$3:$3,AP$3,'IS(Q)'!13:13)</f>
        <v>22.804524774884186</v>
      </c>
      <c r="AQ8" s="5027">
        <f ca="1">SUMIF('IS(Q)'!$3:$3,AQ$3,'IS(Q)'!13:13)</f>
        <v>23.944751013628398</v>
      </c>
      <c r="AR8" s="5027">
        <f ca="1">SUMIF('IS(Q)'!$3:$3,AR$3,'IS(Q)'!13:13)</f>
        <v>23.944751013628398</v>
      </c>
      <c r="AS8" s="5027">
        <f ca="1">SUMIF('IS(Q)'!$3:$3,AS$3,'IS(Q)'!13:13)</f>
        <v>23.944751013628398</v>
      </c>
      <c r="AT8" s="5027">
        <f ca="1">SUMIF('IS(Q)'!$3:$3,AT$3,'IS(Q)'!13:13)</f>
        <v>25.141988564309823</v>
      </c>
      <c r="AU8" s="5027">
        <f ca="1">SUMIF('IS(Q)'!$3:$3,AU$3,'IS(Q)'!13:13)</f>
        <v>25.141988564309823</v>
      </c>
      <c r="AV8" s="5027">
        <f ca="1">SUMIF('IS(Q)'!$3:$3,AV$3,'IS(Q)'!13:13)</f>
        <v>25.141988564309823</v>
      </c>
      <c r="AW8" s="5027">
        <f ca="1">SUMIF('IS(Q)'!$3:$3,AW$3,'IS(Q)'!13:13)</f>
        <v>26.39908799252531</v>
      </c>
      <c r="AX8" s="5027">
        <f ca="1">SUMIF('IS(Q)'!$3:$3,AX$3,'IS(Q)'!13:13)</f>
        <v>26.39908799252531</v>
      </c>
      <c r="AY8" s="5027">
        <f ca="1">SUMIF('IS(Q)'!$3:$3,AY$3,'IS(Q)'!13:13)</f>
        <v>13.199543996262655</v>
      </c>
      <c r="AZ8" s="5027">
        <f>SUMIF('IS(Q)'!$3:$3,AZ$3,'IS(Q)'!13:13)</f>
        <v>0</v>
      </c>
      <c r="BA8" s="5027">
        <f>SUMIF('IS(Q)'!$3:$3,BA$3,'IS(Q)'!13:13)</f>
        <v>0</v>
      </c>
      <c r="BB8" s="5027">
        <f>SUMIF('IS(Q)'!$3:$3,BB$3,'IS(Q)'!13:13)</f>
        <v>0</v>
      </c>
      <c r="BC8" s="5027">
        <f>SUMIF('IS(Q)'!$3:$3,BC$3,'IS(Q)'!13:13)</f>
        <v>0</v>
      </c>
    </row>
    <row r="9" spans="1:55" ht="17.100000000000001" customHeight="1" outlineLevel="1">
      <c r="B9" s="307"/>
      <c r="D9" s="1274" t="str">
        <f>'IS(Q)'!D46</f>
        <v>광석부두임대</v>
      </c>
      <c r="E9" s="742" t="str">
        <f>'IS(Q)'!E14</f>
        <v>금융리스</v>
      </c>
      <c r="F9" s="5025">
        <f t="shared" si="1"/>
        <v>0</v>
      </c>
      <c r="G9" s="5026"/>
      <c r="H9" s="5026"/>
      <c r="I9" s="5026"/>
      <c r="J9" s="5026"/>
      <c r="K9" s="5026">
        <f>SUMIF('IS(Q)'!$3:$3,K$3,'IS(Q)'!14:14)</f>
        <v>-6.9278365999999991</v>
      </c>
      <c r="L9" s="5026">
        <f>SUMIF('IS(Q)'!$3:$3,L$3,'IS(Q)'!14:14)</f>
        <v>12.2546</v>
      </c>
      <c r="M9" s="5027">
        <f>SUMIF('IS(Q)'!$3:$3,M$3,'IS(Q)'!14:14)</f>
        <v>0</v>
      </c>
      <c r="N9" s="5027">
        <f>SUMIF('IS(Q)'!$3:$3,N$3,'IS(Q)'!14:14)</f>
        <v>0</v>
      </c>
      <c r="O9" s="5027">
        <f>SUMIF('IS(Q)'!$3:$3,O$3,'IS(Q)'!14:14)</f>
        <v>0</v>
      </c>
      <c r="P9" s="5027">
        <f>SUMIF('IS(Q)'!$3:$3,P$3,'IS(Q)'!14:14)</f>
        <v>0</v>
      </c>
      <c r="Q9" s="5027">
        <f>SUMIF('IS(Q)'!$3:$3,Q$3,'IS(Q)'!14:14)</f>
        <v>0</v>
      </c>
      <c r="R9" s="5027">
        <f>SUMIF('IS(Q)'!$3:$3,R$3,'IS(Q)'!14:14)</f>
        <v>0</v>
      </c>
      <c r="S9" s="5027">
        <f>SUMIF('IS(Q)'!$3:$3,S$3,'IS(Q)'!14:14)</f>
        <v>0</v>
      </c>
      <c r="T9" s="5027">
        <f>SUMIF('IS(Q)'!$3:$3,T$3,'IS(Q)'!14:14)</f>
        <v>0</v>
      </c>
      <c r="U9" s="5027">
        <f>SUMIF('IS(Q)'!$3:$3,U$3,'IS(Q)'!14:14)</f>
        <v>0</v>
      </c>
      <c r="V9" s="5027">
        <f>SUMIF('IS(Q)'!$3:$3,V$3,'IS(Q)'!14:14)</f>
        <v>0</v>
      </c>
      <c r="W9" s="5027">
        <f>SUMIF('IS(Q)'!$3:$3,W$3,'IS(Q)'!14:14)</f>
        <v>0</v>
      </c>
      <c r="X9" s="5027">
        <f>SUMIF('IS(Q)'!$3:$3,X$3,'IS(Q)'!14:14)</f>
        <v>0</v>
      </c>
      <c r="Y9" s="5027">
        <f>SUMIF('IS(Q)'!$3:$3,Y$3,'IS(Q)'!14:14)</f>
        <v>0</v>
      </c>
      <c r="Z9" s="5027">
        <f>SUMIF('IS(Q)'!$3:$3,Z$3,'IS(Q)'!14:14)</f>
        <v>0</v>
      </c>
      <c r="AA9" s="5027">
        <f>SUMIF('IS(Q)'!$3:$3,AA$3,'IS(Q)'!14:14)</f>
        <v>0</v>
      </c>
      <c r="AB9" s="5027">
        <f>SUMIF('IS(Q)'!$3:$3,AB$3,'IS(Q)'!14:14)</f>
        <v>0</v>
      </c>
      <c r="AC9" s="5027">
        <f>SUMIF('IS(Q)'!$3:$3,AC$3,'IS(Q)'!14:14)</f>
        <v>0</v>
      </c>
      <c r="AD9" s="5027">
        <f>SUMIF('IS(Q)'!$3:$3,AD$3,'IS(Q)'!14:14)</f>
        <v>0</v>
      </c>
      <c r="AE9" s="5027">
        <f>SUMIF('IS(Q)'!$3:$3,AE$3,'IS(Q)'!14:14)</f>
        <v>0</v>
      </c>
      <c r="AF9" s="5027">
        <f>SUMIF('IS(Q)'!$3:$3,AF$3,'IS(Q)'!14:14)</f>
        <v>0</v>
      </c>
      <c r="AG9" s="5027">
        <f>SUMIF('IS(Q)'!$3:$3,AG$3,'IS(Q)'!14:14)</f>
        <v>0</v>
      </c>
      <c r="AH9" s="5027">
        <f>SUMIF('IS(Q)'!$3:$3,AH$3,'IS(Q)'!14:14)</f>
        <v>0</v>
      </c>
      <c r="AI9" s="5027">
        <f>SUMIF('IS(Q)'!$3:$3,AI$3,'IS(Q)'!14:14)</f>
        <v>0</v>
      </c>
      <c r="AJ9" s="5027">
        <f>SUMIF('IS(Q)'!$3:$3,AJ$3,'IS(Q)'!14:14)</f>
        <v>0</v>
      </c>
      <c r="AK9" s="5027">
        <f>SUMIF('IS(Q)'!$3:$3,AK$3,'IS(Q)'!14:14)</f>
        <v>0</v>
      </c>
      <c r="AL9" s="5027">
        <f>SUMIF('IS(Q)'!$3:$3,AL$3,'IS(Q)'!14:14)</f>
        <v>0</v>
      </c>
      <c r="AM9" s="5027">
        <f>SUMIF('IS(Q)'!$3:$3,AM$3,'IS(Q)'!14:14)</f>
        <v>0</v>
      </c>
      <c r="AN9" s="5027">
        <f>SUMIF('IS(Q)'!$3:$3,AN$3,'IS(Q)'!14:14)</f>
        <v>0</v>
      </c>
      <c r="AO9" s="5027">
        <f>SUMIF('IS(Q)'!$3:$3,AO$3,'IS(Q)'!14:14)</f>
        <v>0</v>
      </c>
      <c r="AP9" s="5027">
        <f>SUMIF('IS(Q)'!$3:$3,AP$3,'IS(Q)'!14:14)</f>
        <v>0</v>
      </c>
      <c r="AQ9" s="5027">
        <f>SUMIF('IS(Q)'!$3:$3,AQ$3,'IS(Q)'!14:14)</f>
        <v>0</v>
      </c>
      <c r="AR9" s="5027">
        <f>SUMIF('IS(Q)'!$3:$3,AR$3,'IS(Q)'!14:14)</f>
        <v>0</v>
      </c>
      <c r="AS9" s="5027">
        <f>SUMIF('IS(Q)'!$3:$3,AS$3,'IS(Q)'!14:14)</f>
        <v>0</v>
      </c>
      <c r="AT9" s="5027">
        <f>SUMIF('IS(Q)'!$3:$3,AT$3,'IS(Q)'!14:14)</f>
        <v>0</v>
      </c>
      <c r="AU9" s="5027">
        <f>SUMIF('IS(Q)'!$3:$3,AU$3,'IS(Q)'!14:14)</f>
        <v>0</v>
      </c>
      <c r="AV9" s="5027">
        <f>SUMIF('IS(Q)'!$3:$3,AV$3,'IS(Q)'!14:14)</f>
        <v>0</v>
      </c>
      <c r="AW9" s="5027">
        <f>SUMIF('IS(Q)'!$3:$3,AW$3,'IS(Q)'!14:14)</f>
        <v>0</v>
      </c>
      <c r="AX9" s="5027">
        <f>SUMIF('IS(Q)'!$3:$3,AX$3,'IS(Q)'!14:14)</f>
        <v>0</v>
      </c>
      <c r="AY9" s="5027">
        <f>SUMIF('IS(Q)'!$3:$3,AY$3,'IS(Q)'!14:14)</f>
        <v>0</v>
      </c>
      <c r="AZ9" s="5027">
        <f>SUMIF('IS(Q)'!$3:$3,AZ$3,'IS(Q)'!14:14)</f>
        <v>0</v>
      </c>
      <c r="BA9" s="5027">
        <f>SUMIF('IS(Q)'!$3:$3,BA$3,'IS(Q)'!14:14)</f>
        <v>0</v>
      </c>
      <c r="BB9" s="5027">
        <f>SUMIF('IS(Q)'!$3:$3,BB$3,'IS(Q)'!14:14)</f>
        <v>0</v>
      </c>
      <c r="BC9" s="5027">
        <f>SUMIF('IS(Q)'!$3:$3,BC$3,'IS(Q)'!14:14)</f>
        <v>0</v>
      </c>
    </row>
    <row r="10" spans="1:55" ht="17.100000000000001" customHeight="1" outlineLevel="1">
      <c r="B10" s="307"/>
      <c r="D10" s="1274" t="str">
        <f>'IS(Q)'!D47</f>
        <v>기타경미한수익성사업</v>
      </c>
      <c r="E10" s="742"/>
      <c r="F10" s="5025">
        <f t="shared" si="1"/>
        <v>35.346337197168324</v>
      </c>
      <c r="G10" s="5026">
        <f>21.94553964-G8</f>
        <v>10.213467249999999</v>
      </c>
      <c r="H10" s="5026">
        <f>20.72686051-H8</f>
        <v>10.263386810000002</v>
      </c>
      <c r="I10" s="5026">
        <f>27.88352302-I8</f>
        <v>10.11225</v>
      </c>
      <c r="J10" s="5026">
        <f>31.2632702-J8</f>
        <v>11.2422702</v>
      </c>
      <c r="K10" s="5026">
        <f>SUMIF('IS(Q)'!$3:$3,K$3,'IS(Q)'!15:15)</f>
        <v>8.8392419999999987</v>
      </c>
      <c r="L10" s="5026">
        <f>SUMIF('IS(Q)'!$3:$3,L$3,'IS(Q)'!15:15)</f>
        <v>6.4074640000000009</v>
      </c>
      <c r="M10" s="5027">
        <f>SUMIF('IS(Q)'!$3:$3,M$3,'IS(Q)'!15:15)</f>
        <v>6.2721720000000003</v>
      </c>
      <c r="N10" s="5027">
        <f>SUMIF('IS(Q)'!$3:$3,N$3,'IS(Q)'!15:15)</f>
        <v>5.9951599999999994</v>
      </c>
      <c r="O10" s="5027">
        <f>SUMIF('IS(Q)'!$3:$3,O$3,'IS(Q)'!15:15)</f>
        <v>3.0887920000000002</v>
      </c>
      <c r="P10" s="5027">
        <f>SUMIF('IS(Q)'!$3:$3,P$3,'IS(Q)'!15:15)</f>
        <v>1.060014</v>
      </c>
      <c r="Q10" s="5027">
        <f>SUMIF('IS(Q)'!$3:$3,Q$3,'IS(Q)'!15:15)</f>
        <v>0.5013512</v>
      </c>
      <c r="R10" s="5027">
        <f>SUMIF('IS(Q)'!$3:$3,R$3,'IS(Q)'!15:15)</f>
        <v>0.50190685999999995</v>
      </c>
      <c r="S10" s="5027">
        <f>SUMIF('IS(Q)'!$3:$3,S$3,'IS(Q)'!15:15)</f>
        <v>0.50190685999999995</v>
      </c>
      <c r="T10" s="5027">
        <f>SUMIF('IS(Q)'!$3:$3,T$3,'IS(Q)'!15:15)</f>
        <v>0.50891875999999991</v>
      </c>
      <c r="U10" s="5027">
        <f>SUMIF('IS(Q)'!$3:$3,U$3,'IS(Q)'!15:15)</f>
        <v>0.50950220299999993</v>
      </c>
      <c r="V10" s="5027">
        <f>SUMIF('IS(Q)'!$3:$3,V$3,'IS(Q)'!15:15)</f>
        <v>0.50950220299999993</v>
      </c>
      <c r="W10" s="5027">
        <f>SUMIF('IS(Q)'!$3:$3,W$3,'IS(Q)'!15:15)</f>
        <v>0.51686469800000001</v>
      </c>
      <c r="X10" s="5027">
        <f>SUMIF('IS(Q)'!$3:$3,X$3,'IS(Q)'!15:15)</f>
        <v>0.51747731315000001</v>
      </c>
      <c r="Y10" s="5027">
        <f>SUMIF('IS(Q)'!$3:$3,Y$3,'IS(Q)'!15:15)</f>
        <v>0.51747731315000001</v>
      </c>
      <c r="Z10" s="5027">
        <f>SUMIF('IS(Q)'!$3:$3,Z$3,'IS(Q)'!15:15)</f>
        <v>0.5252079328999999</v>
      </c>
      <c r="AA10" s="5027">
        <f>SUMIF('IS(Q)'!$3:$3,AA$3,'IS(Q)'!15:15)</f>
        <v>0.52585117880749999</v>
      </c>
      <c r="AB10" s="5027">
        <f>SUMIF('IS(Q)'!$3:$3,AB$3,'IS(Q)'!15:15)</f>
        <v>0.52585117880749999</v>
      </c>
      <c r="AC10" s="5027">
        <f>SUMIF('IS(Q)'!$3:$3,AC$3,'IS(Q)'!15:15)</f>
        <v>0.53396832954500006</v>
      </c>
      <c r="AD10" s="5027">
        <f>SUMIF('IS(Q)'!$3:$3,AD$3,'IS(Q)'!15:15)</f>
        <v>0.53464373774787499</v>
      </c>
      <c r="AE10" s="5027">
        <f>SUMIF('IS(Q)'!$3:$3,AE$3,'IS(Q)'!15:15)</f>
        <v>0.53464373774787499</v>
      </c>
      <c r="AF10" s="5027">
        <f>SUMIF('IS(Q)'!$3:$3,AF$3,'IS(Q)'!15:15)</f>
        <v>0.54316674602225001</v>
      </c>
      <c r="AG10" s="5027">
        <f>SUMIF('IS(Q)'!$3:$3,AG$3,'IS(Q)'!15:15)</f>
        <v>0.54387592463526879</v>
      </c>
      <c r="AH10" s="5027">
        <f>SUMIF('IS(Q)'!$3:$3,AH$3,'IS(Q)'!15:15)</f>
        <v>0.54387592463526879</v>
      </c>
      <c r="AI10" s="5027">
        <f>SUMIF('IS(Q)'!$3:$3,AI$3,'IS(Q)'!15:15)</f>
        <v>0.55282508332336244</v>
      </c>
      <c r="AJ10" s="5027">
        <f>SUMIF('IS(Q)'!$3:$3,AJ$3,'IS(Q)'!15:15)</f>
        <v>0.55356972086703216</v>
      </c>
      <c r="AK10" s="5027">
        <f>SUMIF('IS(Q)'!$3:$3,AK$3,'IS(Q)'!15:15)</f>
        <v>0.55356972086703216</v>
      </c>
      <c r="AL10" s="5027">
        <f>SUMIF('IS(Q)'!$3:$3,AL$3,'IS(Q)'!15:15)</f>
        <v>0.56296633748953051</v>
      </c>
      <c r="AM10" s="5027">
        <f>SUMIF('IS(Q)'!$3:$3,AM$3,'IS(Q)'!15:15)</f>
        <v>0.56374820691038374</v>
      </c>
      <c r="AN10" s="5027">
        <f>SUMIF('IS(Q)'!$3:$3,AN$3,'IS(Q)'!15:15)</f>
        <v>0.56374820691038374</v>
      </c>
      <c r="AO10" s="5027">
        <f>SUMIF('IS(Q)'!$3:$3,AO$3,'IS(Q)'!15:15)</f>
        <v>0.57361465436400716</v>
      </c>
      <c r="AP10" s="5027">
        <f>SUMIF('IS(Q)'!$3:$3,AP$3,'IS(Q)'!15:15)</f>
        <v>0.57443561725590297</v>
      </c>
      <c r="AQ10" s="5027">
        <f>SUMIF('IS(Q)'!$3:$3,AQ$3,'IS(Q)'!15:15)</f>
        <v>0.57443561725590297</v>
      </c>
      <c r="AR10" s="5027">
        <f>SUMIF('IS(Q)'!$3:$3,AR$3,'IS(Q)'!15:15)</f>
        <v>0.58479538708220746</v>
      </c>
      <c r="AS10" s="5027">
        <f>SUMIF('IS(Q)'!$3:$3,AS$3,'IS(Q)'!15:15)</f>
        <v>0.5856573981186981</v>
      </c>
      <c r="AT10" s="5027">
        <f>SUMIF('IS(Q)'!$3:$3,AT$3,'IS(Q)'!15:15)</f>
        <v>0.5856573981186981</v>
      </c>
      <c r="AU10" s="5027">
        <f>SUMIF('IS(Q)'!$3:$3,AU$3,'IS(Q)'!15:15)</f>
        <v>0.59653515643631783</v>
      </c>
      <c r="AV10" s="5027">
        <f>SUMIF('IS(Q)'!$3:$3,AV$3,'IS(Q)'!15:15)</f>
        <v>0.59744026802463301</v>
      </c>
      <c r="AW10" s="5027">
        <f>SUMIF('IS(Q)'!$3:$3,AW$3,'IS(Q)'!15:15)</f>
        <v>0.59744026802463301</v>
      </c>
      <c r="AX10" s="5027">
        <f>SUMIF('IS(Q)'!$3:$3,AX$3,'IS(Q)'!15:15)</f>
        <v>0.60886191425813385</v>
      </c>
      <c r="AY10" s="5027">
        <f>SUMIF('IS(Q)'!$3:$3,AY$3,'IS(Q)'!15:15)</f>
        <v>0.30490614071293243</v>
      </c>
      <c r="AZ10" s="5027">
        <f>SUMIF('IS(Q)'!$3:$3,AZ$3,'IS(Q)'!15:15)</f>
        <v>0</v>
      </c>
      <c r="BA10" s="5027">
        <f>SUMIF('IS(Q)'!$3:$3,BA$3,'IS(Q)'!15:15)</f>
        <v>0</v>
      </c>
      <c r="BB10" s="5027">
        <f>SUMIF('IS(Q)'!$3:$3,BB$3,'IS(Q)'!15:15)</f>
        <v>0</v>
      </c>
      <c r="BC10" s="5027">
        <f>SUMIF('IS(Q)'!$3:$3,BC$3,'IS(Q)'!15:15)</f>
        <v>0</v>
      </c>
    </row>
    <row r="11" spans="1:55" ht="17.100000000000001" customHeight="1">
      <c r="B11" s="307"/>
      <c r="D11" s="1282" t="str">
        <f>'IS(Q)'!D48</f>
        <v>MRG (운영비 정산후)</v>
      </c>
      <c r="E11" s="747"/>
      <c r="F11" s="5028">
        <f t="shared" ca="1" si="1"/>
        <v>555.56452046385482</v>
      </c>
      <c r="G11" s="5029">
        <v>147.90315591999999</v>
      </c>
      <c r="H11" s="5029">
        <v>208.42488366000001</v>
      </c>
      <c r="I11" s="5029">
        <v>197.66892971999999</v>
      </c>
      <c r="J11" s="5029">
        <v>187.66659816000001</v>
      </c>
      <c r="K11" s="5029">
        <f>SUMIF('IS(Q)'!$3:$3,K$3,'IS(Q)'!16:16)</f>
        <v>139.53372493239996</v>
      </c>
      <c r="L11" s="5029">
        <f ca="1">SUMIF('IS(Q)'!$3:$3,L$3,'IS(Q)'!16:16)</f>
        <v>54.668998454792302</v>
      </c>
      <c r="M11" s="5030">
        <f>SUMIF('IS(Q)'!$3:$3,M$3,'IS(Q)'!16:16)</f>
        <v>103.99844322999999</v>
      </c>
      <c r="N11" s="5030">
        <f ca="1">SUMIF('IS(Q)'!$3:$3,N$3,'IS(Q)'!16:16)</f>
        <v>127.40945454205534</v>
      </c>
      <c r="O11" s="5030">
        <f ca="1">SUMIF('IS(Q)'!$3:$3,O$3,'IS(Q)'!16:16)</f>
        <v>134.56777271582553</v>
      </c>
      <c r="P11" s="5030">
        <f ca="1">SUMIF('IS(Q)'!$3:$3,P$3,'IS(Q)'!16:16)</f>
        <v>129.73915563145067</v>
      </c>
      <c r="Q11" s="5030">
        <f ca="1">SUMIF('IS(Q)'!$3:$3,Q$3,'IS(Q)'!16:16)</f>
        <v>59.849694344523293</v>
      </c>
      <c r="R11" s="5030">
        <f>SUMIF('IS(Q)'!$3:$3,R$3,'IS(Q)'!16:16)</f>
        <v>0</v>
      </c>
      <c r="S11" s="5030">
        <f>SUMIF('IS(Q)'!$3:$3,S$3,'IS(Q)'!16:16)</f>
        <v>0</v>
      </c>
      <c r="T11" s="5030">
        <f>SUMIF('IS(Q)'!$3:$3,T$3,'IS(Q)'!16:16)</f>
        <v>0</v>
      </c>
      <c r="U11" s="5030">
        <f>SUMIF('IS(Q)'!$3:$3,U$3,'IS(Q)'!16:16)</f>
        <v>0</v>
      </c>
      <c r="V11" s="5030">
        <f>SUMIF('IS(Q)'!$3:$3,V$3,'IS(Q)'!16:16)</f>
        <v>0</v>
      </c>
      <c r="W11" s="5030">
        <f>SUMIF('IS(Q)'!$3:$3,W$3,'IS(Q)'!16:16)</f>
        <v>0</v>
      </c>
      <c r="X11" s="5030">
        <f>SUMIF('IS(Q)'!$3:$3,X$3,'IS(Q)'!16:16)</f>
        <v>0</v>
      </c>
      <c r="Y11" s="5030">
        <f>SUMIF('IS(Q)'!$3:$3,Y$3,'IS(Q)'!16:16)</f>
        <v>0</v>
      </c>
      <c r="Z11" s="5030">
        <f>SUMIF('IS(Q)'!$3:$3,Z$3,'IS(Q)'!16:16)</f>
        <v>0</v>
      </c>
      <c r="AA11" s="5030">
        <f>SUMIF('IS(Q)'!$3:$3,AA$3,'IS(Q)'!16:16)</f>
        <v>0</v>
      </c>
      <c r="AB11" s="5030">
        <f>SUMIF('IS(Q)'!$3:$3,AB$3,'IS(Q)'!16:16)</f>
        <v>0</v>
      </c>
      <c r="AC11" s="5030">
        <f>SUMIF('IS(Q)'!$3:$3,AC$3,'IS(Q)'!16:16)</f>
        <v>0</v>
      </c>
      <c r="AD11" s="5030">
        <f>SUMIF('IS(Q)'!$3:$3,AD$3,'IS(Q)'!16:16)</f>
        <v>0</v>
      </c>
      <c r="AE11" s="5030">
        <f>SUMIF('IS(Q)'!$3:$3,AE$3,'IS(Q)'!16:16)</f>
        <v>0</v>
      </c>
      <c r="AF11" s="5030">
        <f>SUMIF('IS(Q)'!$3:$3,AF$3,'IS(Q)'!16:16)</f>
        <v>0</v>
      </c>
      <c r="AG11" s="5030">
        <f>SUMIF('IS(Q)'!$3:$3,AG$3,'IS(Q)'!16:16)</f>
        <v>0</v>
      </c>
      <c r="AH11" s="5030">
        <f>SUMIF('IS(Q)'!$3:$3,AH$3,'IS(Q)'!16:16)</f>
        <v>0</v>
      </c>
      <c r="AI11" s="5030">
        <f>SUMIF('IS(Q)'!$3:$3,AI$3,'IS(Q)'!16:16)</f>
        <v>0</v>
      </c>
      <c r="AJ11" s="5030">
        <f>SUMIF('IS(Q)'!$3:$3,AJ$3,'IS(Q)'!16:16)</f>
        <v>0</v>
      </c>
      <c r="AK11" s="5030">
        <f>SUMIF('IS(Q)'!$3:$3,AK$3,'IS(Q)'!16:16)</f>
        <v>0</v>
      </c>
      <c r="AL11" s="5030">
        <f>SUMIF('IS(Q)'!$3:$3,AL$3,'IS(Q)'!16:16)</f>
        <v>0</v>
      </c>
      <c r="AM11" s="5030">
        <f>SUMIF('IS(Q)'!$3:$3,AM$3,'IS(Q)'!16:16)</f>
        <v>0</v>
      </c>
      <c r="AN11" s="5030">
        <f>SUMIF('IS(Q)'!$3:$3,AN$3,'IS(Q)'!16:16)</f>
        <v>0</v>
      </c>
      <c r="AO11" s="5030">
        <f>SUMIF('IS(Q)'!$3:$3,AO$3,'IS(Q)'!16:16)</f>
        <v>0</v>
      </c>
      <c r="AP11" s="5030">
        <f>SUMIF('IS(Q)'!$3:$3,AP$3,'IS(Q)'!16:16)</f>
        <v>0</v>
      </c>
      <c r="AQ11" s="5030">
        <f>SUMIF('IS(Q)'!$3:$3,AQ$3,'IS(Q)'!16:16)</f>
        <v>0</v>
      </c>
      <c r="AR11" s="5030">
        <f>SUMIF('IS(Q)'!$3:$3,AR$3,'IS(Q)'!16:16)</f>
        <v>0</v>
      </c>
      <c r="AS11" s="5030">
        <f>SUMIF('IS(Q)'!$3:$3,AS$3,'IS(Q)'!16:16)</f>
        <v>0</v>
      </c>
      <c r="AT11" s="5030">
        <f>SUMIF('IS(Q)'!$3:$3,AT$3,'IS(Q)'!16:16)</f>
        <v>0</v>
      </c>
      <c r="AU11" s="5030">
        <f>SUMIF('IS(Q)'!$3:$3,AU$3,'IS(Q)'!16:16)</f>
        <v>0</v>
      </c>
      <c r="AV11" s="5030">
        <f>SUMIF('IS(Q)'!$3:$3,AV$3,'IS(Q)'!16:16)</f>
        <v>0</v>
      </c>
      <c r="AW11" s="5030">
        <f>SUMIF('IS(Q)'!$3:$3,AW$3,'IS(Q)'!16:16)</f>
        <v>0</v>
      </c>
      <c r="AX11" s="5030">
        <f>SUMIF('IS(Q)'!$3:$3,AX$3,'IS(Q)'!16:16)</f>
        <v>0</v>
      </c>
      <c r="AY11" s="5030">
        <f>SUMIF('IS(Q)'!$3:$3,AY$3,'IS(Q)'!16:16)</f>
        <v>0</v>
      </c>
      <c r="AZ11" s="5030">
        <f>SUMIF('IS(Q)'!$3:$3,AZ$3,'IS(Q)'!16:16)</f>
        <v>0</v>
      </c>
      <c r="BA11" s="5030">
        <f>SUMIF('IS(Q)'!$3:$3,BA$3,'IS(Q)'!16:16)</f>
        <v>0</v>
      </c>
      <c r="BB11" s="5030">
        <f>SUMIF('IS(Q)'!$3:$3,BB$3,'IS(Q)'!16:16)</f>
        <v>0</v>
      </c>
      <c r="BC11" s="5030">
        <f>SUMIF('IS(Q)'!$3:$3,BC$3,'IS(Q)'!16:16)</f>
        <v>0</v>
      </c>
    </row>
    <row r="12" spans="1:55" ht="17.100000000000001" customHeight="1">
      <c r="B12" s="720"/>
      <c r="C12" s="315" t="s">
        <v>1237</v>
      </c>
      <c r="D12" s="1259"/>
      <c r="E12" s="722"/>
      <c r="F12" s="5019">
        <f t="shared" ca="1" si="1"/>
        <v>13308.118287826774</v>
      </c>
      <c r="G12" s="5020">
        <f t="shared" ref="G12:AL12" si="3">SUM(G13:G20)</f>
        <v>198.45016179999999</v>
      </c>
      <c r="H12" s="5020">
        <f t="shared" si="3"/>
        <v>228.65101053000001</v>
      </c>
      <c r="I12" s="5020">
        <f t="shared" si="3"/>
        <v>250.48940927999999</v>
      </c>
      <c r="J12" s="5020">
        <f t="shared" si="3"/>
        <v>246.23560086000003</v>
      </c>
      <c r="K12" s="5020">
        <f t="shared" ca="1" si="3"/>
        <v>239.26616530821235</v>
      </c>
      <c r="L12" s="5020">
        <f t="shared" ca="1" si="3"/>
        <v>238.73122683864452</v>
      </c>
      <c r="M12" s="5021">
        <f t="shared" ca="1" si="3"/>
        <v>245.87639972479226</v>
      </c>
      <c r="N12" s="5021">
        <f t="shared" ca="1" si="3"/>
        <v>262.4624163039183</v>
      </c>
      <c r="O12" s="5021">
        <f t="shared" ca="1" si="3"/>
        <v>266.11651354622836</v>
      </c>
      <c r="P12" s="5021">
        <f t="shared" ca="1" si="3"/>
        <v>269.14088939274205</v>
      </c>
      <c r="Q12" s="5021">
        <f t="shared" ca="1" si="3"/>
        <v>273.24462727151615</v>
      </c>
      <c r="R12" s="5021">
        <f t="shared" ca="1" si="3"/>
        <v>275.82844056042137</v>
      </c>
      <c r="S12" s="5021">
        <f t="shared" ca="1" si="3"/>
        <v>282.49314121137803</v>
      </c>
      <c r="T12" s="5021">
        <f t="shared" ca="1" si="3"/>
        <v>286.97283238946147</v>
      </c>
      <c r="U12" s="5021">
        <f t="shared" ca="1" si="3"/>
        <v>298.46982592726118</v>
      </c>
      <c r="V12" s="5021">
        <f t="shared" ca="1" si="3"/>
        <v>297.76984240047096</v>
      </c>
      <c r="W12" s="5021">
        <f t="shared" ca="1" si="3"/>
        <v>306.05419080969068</v>
      </c>
      <c r="X12" s="5021">
        <f t="shared" ca="1" si="3"/>
        <v>307.04185567587365</v>
      </c>
      <c r="Y12" s="5021">
        <f t="shared" ca="1" si="3"/>
        <v>311.8548537127499</v>
      </c>
      <c r="Z12" s="5021">
        <f t="shared" ca="1" si="3"/>
        <v>315.75360190444479</v>
      </c>
      <c r="AA12" s="5021">
        <f t="shared" ca="1" si="3"/>
        <v>325.75566546980843</v>
      </c>
      <c r="AB12" s="5021">
        <f t="shared" ca="1" si="3"/>
        <v>327.91360052374961</v>
      </c>
      <c r="AC12" s="5021">
        <f t="shared" ca="1" si="3"/>
        <v>333.65983271377149</v>
      </c>
      <c r="AD12" s="5021">
        <f t="shared" ca="1" si="3"/>
        <v>342.23338256666182</v>
      </c>
      <c r="AE12" s="5021">
        <f t="shared" ca="1" si="3"/>
        <v>356.60829786302583</v>
      </c>
      <c r="AF12" s="5021">
        <f t="shared" ca="1" si="3"/>
        <v>343.4420890449893</v>
      </c>
      <c r="AG12" s="5021">
        <f t="shared" ca="1" si="3"/>
        <v>342.89300243420098</v>
      </c>
      <c r="AH12" s="5021">
        <f t="shared" ca="1" si="3"/>
        <v>341.833984306964</v>
      </c>
      <c r="AI12" s="5021">
        <f t="shared" ca="1" si="3"/>
        <v>347.64632955313493</v>
      </c>
      <c r="AJ12" s="5021">
        <f t="shared" ca="1" si="3"/>
        <v>350.56501184831461</v>
      </c>
      <c r="AK12" s="5021">
        <f t="shared" ca="1" si="3"/>
        <v>359.0362769331042</v>
      </c>
      <c r="AL12" s="5021">
        <f t="shared" ca="1" si="3"/>
        <v>359.1952374028138</v>
      </c>
      <c r="AM12" s="5021">
        <f t="shared" ref="AM12:BC12" ca="1" si="4">SUM(AM13:AM20)</f>
        <v>368.5807793603343</v>
      </c>
      <c r="AN12" s="5021">
        <f t="shared" ca="1" si="4"/>
        <v>374.60864507159431</v>
      </c>
      <c r="AO12" s="5021">
        <f t="shared" ca="1" si="4"/>
        <v>388.33782129978272</v>
      </c>
      <c r="AP12" s="5021">
        <f t="shared" ca="1" si="4"/>
        <v>385.02448879017783</v>
      </c>
      <c r="AQ12" s="5021">
        <f t="shared" ca="1" si="4"/>
        <v>391.4681568736346</v>
      </c>
      <c r="AR12" s="5021">
        <f t="shared" ca="1" si="4"/>
        <v>398.82198194931664</v>
      </c>
      <c r="AS12" s="5021">
        <f t="shared" ca="1" si="4"/>
        <v>401.93488113737101</v>
      </c>
      <c r="AT12" s="5021">
        <f t="shared" ca="1" si="4"/>
        <v>404.52411736740703</v>
      </c>
      <c r="AU12" s="5021">
        <f t="shared" ca="1" si="4"/>
        <v>408.18927870975733</v>
      </c>
      <c r="AV12" s="5021">
        <f t="shared" ca="1" si="4"/>
        <v>409.54859769576984</v>
      </c>
      <c r="AW12" s="5021">
        <f t="shared" ca="1" si="4"/>
        <v>419.39345583120138</v>
      </c>
      <c r="AX12" s="5021">
        <f t="shared" ca="1" si="4"/>
        <v>422.15600671853463</v>
      </c>
      <c r="AY12" s="5021">
        <f t="shared" ca="1" si="4"/>
        <v>405.66793553040372</v>
      </c>
      <c r="AZ12" s="5021">
        <f t="shared" ca="1" si="4"/>
        <v>0</v>
      </c>
      <c r="BA12" s="5021">
        <f t="shared" ca="1" si="4"/>
        <v>0</v>
      </c>
      <c r="BB12" s="5021">
        <f t="shared" ca="1" si="4"/>
        <v>0</v>
      </c>
      <c r="BC12" s="5021">
        <f t="shared" ca="1" si="4"/>
        <v>0</v>
      </c>
    </row>
    <row r="13" spans="1:55" ht="17.100000000000001" customHeight="1">
      <c r="B13" s="307"/>
      <c r="D13" s="342" t="str">
        <f>'IS(Q)'!D18</f>
        <v>운영위탁수수료</v>
      </c>
      <c r="E13" s="943"/>
      <c r="F13" s="5022">
        <f t="shared" ca="1" si="1"/>
        <v>9470.0151692661148</v>
      </c>
      <c r="G13" s="5023">
        <f>198.4501618-G18-G19</f>
        <v>158.86184151</v>
      </c>
      <c r="H13" s="5023">
        <f>228.65101053-H18-H19</f>
        <v>175.37833440000003</v>
      </c>
      <c r="I13" s="5023">
        <f>250.48940928-I18-I19</f>
        <v>193.40701252999997</v>
      </c>
      <c r="J13" s="5023">
        <f>246.23560086-J18-J19</f>
        <v>188.39677088000002</v>
      </c>
      <c r="K13" s="5023">
        <f>SUMIF('IS(Q)'!$3:$3,K$3,'IS(Q)'!18:18)</f>
        <v>159.51562047698565</v>
      </c>
      <c r="L13" s="5023">
        <f ca="1">SUMIF('IS(Q)'!$3:$3,L$3,'IS(Q)'!18:18)</f>
        <v>169.47258819076092</v>
      </c>
      <c r="M13" s="5024">
        <f>SUMIF('IS(Q)'!$3:$3,M$3,'IS(Q)'!18:18)</f>
        <v>171.19001728921947</v>
      </c>
      <c r="N13" s="5024">
        <f ca="1">SUMIF('IS(Q)'!$3:$3,N$3,'IS(Q)'!18:18)</f>
        <v>178.93642665796602</v>
      </c>
      <c r="O13" s="5024">
        <f ca="1">SUMIF('IS(Q)'!$3:$3,O$3,'IS(Q)'!18:18)</f>
        <v>182.84334280006894</v>
      </c>
      <c r="P13" s="5024">
        <f ca="1">SUMIF('IS(Q)'!$3:$3,P$3,'IS(Q)'!18:18)</f>
        <v>184.5171882381334</v>
      </c>
      <c r="Q13" s="5024">
        <f ca="1">SUMIF('IS(Q)'!$3:$3,Q$3,'IS(Q)'!18:18)</f>
        <v>188.87950257423125</v>
      </c>
      <c r="R13" s="5024">
        <f ca="1">SUMIF('IS(Q)'!$3:$3,R$3,'IS(Q)'!18:18)</f>
        <v>190.29610737834403</v>
      </c>
      <c r="S13" s="5024">
        <f ca="1">SUMIF('IS(Q)'!$3:$3,S$3,'IS(Q)'!18:18)</f>
        <v>194.45588737055633</v>
      </c>
      <c r="T13" s="5024">
        <f ca="1">SUMIF('IS(Q)'!$3:$3,T$3,'IS(Q)'!18:18)</f>
        <v>200.35172153595673</v>
      </c>
      <c r="U13" s="5024">
        <f ca="1">SUMIF('IS(Q)'!$3:$3,U$3,'IS(Q)'!18:18)</f>
        <v>204.96912779651157</v>
      </c>
      <c r="V13" s="5024">
        <f ca="1">SUMIF('IS(Q)'!$3:$3,V$3,'IS(Q)'!18:18)</f>
        <v>208.66263882486447</v>
      </c>
      <c r="W13" s="5024">
        <f ca="1">SUMIF('IS(Q)'!$3:$3,W$3,'IS(Q)'!18:18)</f>
        <v>213.52448995553044</v>
      </c>
      <c r="X13" s="5024">
        <f ca="1">SUMIF('IS(Q)'!$3:$3,X$3,'IS(Q)'!18:18)</f>
        <v>217.14330317208851</v>
      </c>
      <c r="Y13" s="5024">
        <f ca="1">SUMIF('IS(Q)'!$3:$3,Y$3,'IS(Q)'!18:18)</f>
        <v>222.11532692281696</v>
      </c>
      <c r="Z13" s="5024">
        <f ca="1">SUMIF('IS(Q)'!$3:$3,Z$3,'IS(Q)'!18:18)</f>
        <v>222.97911843418109</v>
      </c>
      <c r="AA13" s="5024">
        <f ca="1">SUMIF('IS(Q)'!$3:$3,AA$3,'IS(Q)'!18:18)</f>
        <v>226.7881067369556</v>
      </c>
      <c r="AB13" s="5024">
        <f ca="1">SUMIF('IS(Q)'!$3:$3,AB$3,'IS(Q)'!18:18)</f>
        <v>228.63991430621451</v>
      </c>
      <c r="AC13" s="5024">
        <f ca="1">SUMIF('IS(Q)'!$3:$3,AC$3,'IS(Q)'!18:18)</f>
        <v>233.40239288859843</v>
      </c>
      <c r="AD13" s="5024">
        <f ca="1">SUMIF('IS(Q)'!$3:$3,AD$3,'IS(Q)'!18:18)</f>
        <v>236.11495540465316</v>
      </c>
      <c r="AE13" s="5024">
        <f ca="1">SUMIF('IS(Q)'!$3:$3,AE$3,'IS(Q)'!18:18)</f>
        <v>240.03875025000127</v>
      </c>
      <c r="AF13" s="5024">
        <f ca="1">SUMIF('IS(Q)'!$3:$3,AF$3,'IS(Q)'!18:18)</f>
        <v>243.52832441307734</v>
      </c>
      <c r="AG13" s="5024">
        <f ca="1">SUMIF('IS(Q)'!$3:$3,AG$3,'IS(Q)'!18:18)</f>
        <v>248.15780221420133</v>
      </c>
      <c r="AH13" s="5024">
        <f ca="1">SUMIF('IS(Q)'!$3:$3,AH$3,'IS(Q)'!18:18)</f>
        <v>249.97259335676694</v>
      </c>
      <c r="AI13" s="5024">
        <f ca="1">SUMIF('IS(Q)'!$3:$3,AI$3,'IS(Q)'!18:18)</f>
        <v>254.97474030116695</v>
      </c>
      <c r="AJ13" s="5024">
        <f ca="1">SUMIF('IS(Q)'!$3:$3,AJ$3,'IS(Q)'!18:18)</f>
        <v>255.62241580671011</v>
      </c>
      <c r="AK13" s="5024">
        <f ca="1">SUMIF('IS(Q)'!$3:$3,AK$3,'IS(Q)'!18:18)</f>
        <v>261.63740963826291</v>
      </c>
      <c r="AL13" s="5024">
        <f ca="1">SUMIF('IS(Q)'!$3:$3,AL$3,'IS(Q)'!18:18)</f>
        <v>263.34484061694582</v>
      </c>
      <c r="AM13" s="5024">
        <f ca="1">SUMIF('IS(Q)'!$3:$3,AM$3,'IS(Q)'!18:18)</f>
        <v>267.38562956450369</v>
      </c>
      <c r="AN13" s="5024">
        <f ca="1">SUMIF('IS(Q)'!$3:$3,AN$3,'IS(Q)'!18:18)</f>
        <v>275.03265717219261</v>
      </c>
      <c r="AO13" s="5024">
        <f ca="1">SUMIF('IS(Q)'!$3:$3,AO$3,'IS(Q)'!18:18)</f>
        <v>283.01107671405146</v>
      </c>
      <c r="AP13" s="5024">
        <f ca="1">SUMIF('IS(Q)'!$3:$3,AP$3,'IS(Q)'!18:18)</f>
        <v>287.2708508202669</v>
      </c>
      <c r="AQ13" s="5024">
        <f ca="1">SUMIF('IS(Q)'!$3:$3,AQ$3,'IS(Q)'!18:18)</f>
        <v>292.75119314421244</v>
      </c>
      <c r="AR13" s="5024">
        <f ca="1">SUMIF('IS(Q)'!$3:$3,AR$3,'IS(Q)'!18:18)</f>
        <v>296.73484198740783</v>
      </c>
      <c r="AS13" s="5024">
        <f ca="1">SUMIF('IS(Q)'!$3:$3,AS$3,'IS(Q)'!18:18)</f>
        <v>302.57710039300559</v>
      </c>
      <c r="AT13" s="5024">
        <f ca="1">SUMIF('IS(Q)'!$3:$3,AT$3,'IS(Q)'!18:18)</f>
        <v>304.63844997607021</v>
      </c>
      <c r="AU13" s="5024">
        <f ca="1">SUMIF('IS(Q)'!$3:$3,AU$3,'IS(Q)'!18:18)</f>
        <v>310.94062483877224</v>
      </c>
      <c r="AV13" s="5024">
        <f ca="1">SUMIF('IS(Q)'!$3:$3,AV$3,'IS(Q)'!18:18)</f>
        <v>312.62486925928107</v>
      </c>
      <c r="AW13" s="5024">
        <f ca="1">SUMIF('IS(Q)'!$3:$3,AW$3,'IS(Q)'!18:18)</f>
        <v>319.30214954760805</v>
      </c>
      <c r="AX13" s="5024">
        <f ca="1">SUMIF('IS(Q)'!$3:$3,AX$3,'IS(Q)'!18:18)</f>
        <v>328.11031219444067</v>
      </c>
      <c r="AY13" s="5024">
        <f ca="1">SUMIF('IS(Q)'!$3:$3,AY$3,'IS(Q)'!18:18)</f>
        <v>166.54896877027826</v>
      </c>
      <c r="AZ13" s="5024">
        <f>SUMIF('IS(Q)'!$3:$3,AZ$3,'IS(Q)'!18:18)</f>
        <v>0</v>
      </c>
      <c r="BA13" s="5024">
        <f>SUMIF('IS(Q)'!$3:$3,BA$3,'IS(Q)'!18:18)</f>
        <v>0</v>
      </c>
      <c r="BB13" s="5024">
        <f>SUMIF('IS(Q)'!$3:$3,BB$3,'IS(Q)'!18:18)</f>
        <v>0</v>
      </c>
      <c r="BC13" s="5024">
        <f>SUMIF('IS(Q)'!$3:$3,BC$3,'IS(Q)'!18:18)</f>
        <v>0</v>
      </c>
    </row>
    <row r="14" spans="1:55" ht="17.100000000000001" customHeight="1">
      <c r="B14" s="307"/>
      <c r="D14" s="1274" t="str">
        <f>'IS(Q)'!D19</f>
        <v>법인운영비</v>
      </c>
      <c r="E14" s="1868"/>
      <c r="F14" s="5025">
        <f t="shared" ca="1" si="1"/>
        <v>1303.8764184589108</v>
      </c>
      <c r="G14" s="5026"/>
      <c r="H14" s="5026"/>
      <c r="I14" s="5026"/>
      <c r="J14" s="5026"/>
      <c r="K14" s="5026">
        <f>SUMIF('IS(Q)'!$3:$3,K$3,'IS(Q)'!19:19)</f>
        <v>36.548427093014354</v>
      </c>
      <c r="L14" s="5026">
        <f ca="1">SUMIF('IS(Q)'!$3:$3,L$3,'IS(Q)'!19:19)</f>
        <v>37.975980239239092</v>
      </c>
      <c r="M14" s="5027">
        <f>SUMIF('IS(Q)'!$3:$3,M$3,'IS(Q)'!19:19)</f>
        <v>30.639570320000004</v>
      </c>
      <c r="N14" s="5027">
        <f ca="1">SUMIF('IS(Q)'!$3:$3,N$3,'IS(Q)'!19:19)</f>
        <v>25.805264812250943</v>
      </c>
      <c r="O14" s="5027">
        <f ca="1">SUMIF('IS(Q)'!$3:$3,O$3,'IS(Q)'!19:19)</f>
        <v>25.952445912458085</v>
      </c>
      <c r="P14" s="5027">
        <f ca="1">SUMIF('IS(Q)'!$3:$3,P$3,'IS(Q)'!19:19)</f>
        <v>27.302976320907362</v>
      </c>
      <c r="Q14" s="5027">
        <f ca="1">SUMIF('IS(Q)'!$3:$3,Q$3,'IS(Q)'!19:19)</f>
        <v>26.888309262083592</v>
      </c>
      <c r="R14" s="5027">
        <f ca="1">SUMIF('IS(Q)'!$3:$3,R$3,'IS(Q)'!19:19)</f>
        <v>27.908004880077495</v>
      </c>
      <c r="S14" s="5027">
        <f ca="1">SUMIF('IS(Q)'!$3:$3,S$3,'IS(Q)'!19:19)</f>
        <v>28.133431572861401</v>
      </c>
      <c r="T14" s="5027">
        <f ca="1">SUMIF('IS(Q)'!$3:$3,T$3,'IS(Q)'!19:19)</f>
        <v>28.818886179704332</v>
      </c>
      <c r="U14" s="5027">
        <f ca="1">SUMIF('IS(Q)'!$3:$3,U$3,'IS(Q)'!19:19)</f>
        <v>29.867290097141968</v>
      </c>
      <c r="V14" s="5027">
        <f ca="1">SUMIF('IS(Q)'!$3:$3,V$3,'IS(Q)'!19:19)</f>
        <v>29.399199792441692</v>
      </c>
      <c r="W14" s="5027">
        <f ca="1">SUMIF('IS(Q)'!$3:$3,W$3,'IS(Q)'!19:19)</f>
        <v>28.754832843438443</v>
      </c>
      <c r="X14" s="5027">
        <f ca="1">SUMIF('IS(Q)'!$3:$3,X$3,'IS(Q)'!19:19)</f>
        <v>29.316188913758765</v>
      </c>
      <c r="Y14" s="5027">
        <f ca="1">SUMIF('IS(Q)'!$3:$3,Y$3,'IS(Q)'!19:19)</f>
        <v>29.112090198701242</v>
      </c>
      <c r="Z14" s="5027">
        <f ca="1">SUMIF('IS(Q)'!$3:$3,Z$3,'IS(Q)'!19:19)</f>
        <v>30.439906958382082</v>
      </c>
      <c r="AA14" s="5027">
        <f ca="1">SUMIF('IS(Q)'!$3:$3,AA$3,'IS(Q)'!19:19)</f>
        <v>31.000558576106886</v>
      </c>
      <c r="AB14" s="5027">
        <f ca="1">SUMIF('IS(Q)'!$3:$3,AB$3,'IS(Q)'!19:19)</f>
        <v>31.743114062069182</v>
      </c>
      <c r="AC14" s="5027">
        <f ca="1">SUMIF('IS(Q)'!$3:$3,AC$3,'IS(Q)'!19:19)</f>
        <v>31.532010030529896</v>
      </c>
      <c r="AD14" s="5027">
        <f ca="1">SUMIF('IS(Q)'!$3:$3,AD$3,'IS(Q)'!19:19)</f>
        <v>31.566219565010652</v>
      </c>
      <c r="AE14" s="5027">
        <f ca="1">SUMIF('IS(Q)'!$3:$3,AE$3,'IS(Q)'!19:19)</f>
        <v>32.434389710757429</v>
      </c>
      <c r="AF14" s="5027">
        <f ca="1">SUMIF('IS(Q)'!$3:$3,AF$3,'IS(Q)'!19:19)</f>
        <v>32.087789991655512</v>
      </c>
      <c r="AG14" s="5027">
        <f ca="1">SUMIF('IS(Q)'!$3:$3,AG$3,'IS(Q)'!19:19)</f>
        <v>32.485999033192321</v>
      </c>
      <c r="AH14" s="5027">
        <f ca="1">SUMIF('IS(Q)'!$3:$3,AH$3,'IS(Q)'!19:19)</f>
        <v>33.544901706588618</v>
      </c>
      <c r="AI14" s="5027">
        <f ca="1">SUMIF('IS(Q)'!$3:$3,AI$3,'IS(Q)'!19:19)</f>
        <v>33.496246065131395</v>
      </c>
      <c r="AJ14" s="5027">
        <f ca="1">SUMIF('IS(Q)'!$3:$3,AJ$3,'IS(Q)'!19:19)</f>
        <v>35.767252854767925</v>
      </c>
      <c r="AK14" s="5027">
        <f ca="1">SUMIF('IS(Q)'!$3:$3,AK$3,'IS(Q)'!19:19)</f>
        <v>35.281462167086751</v>
      </c>
      <c r="AL14" s="5027">
        <f ca="1">SUMIF('IS(Q)'!$3:$3,AL$3,'IS(Q)'!19:19)</f>
        <v>36.200211720444429</v>
      </c>
      <c r="AM14" s="5027">
        <f ca="1">SUMIF('IS(Q)'!$3:$3,AM$3,'IS(Q)'!19:19)</f>
        <v>37.545736671677702</v>
      </c>
      <c r="AN14" s="5027">
        <f ca="1">SUMIF('IS(Q)'!$3:$3,AN$3,'IS(Q)'!19:19)</f>
        <v>39.041011847054044</v>
      </c>
      <c r="AO14" s="5027">
        <f ca="1">SUMIF('IS(Q)'!$3:$3,AO$3,'IS(Q)'!19:19)</f>
        <v>38.239650717055127</v>
      </c>
      <c r="AP14" s="5027">
        <f ca="1">SUMIF('IS(Q)'!$3:$3,AP$3,'IS(Q)'!19:19)</f>
        <v>38.004053237512089</v>
      </c>
      <c r="AQ14" s="5027">
        <f ca="1">SUMIF('IS(Q)'!$3:$3,AQ$3,'IS(Q)'!19:19)</f>
        <v>38.717163094596366</v>
      </c>
      <c r="AR14" s="5027">
        <f ca="1">SUMIF('IS(Q)'!$3:$3,AR$3,'IS(Q)'!19:19)</f>
        <v>39.929504193127066</v>
      </c>
      <c r="AS14" s="5027">
        <f ca="1">SUMIF('IS(Q)'!$3:$3,AS$3,'IS(Q)'!19:19)</f>
        <v>40.512403747555879</v>
      </c>
      <c r="AT14" s="5027">
        <f ca="1">SUMIF('IS(Q)'!$3:$3,AT$3,'IS(Q)'!19:19)</f>
        <v>41.664252048630445</v>
      </c>
      <c r="AU14" s="5027">
        <f ca="1">SUMIF('IS(Q)'!$3:$3,AU$3,'IS(Q)'!19:19)</f>
        <v>41.211239533430195</v>
      </c>
      <c r="AV14" s="5027">
        <f ca="1">SUMIF('IS(Q)'!$3:$3,AV$3,'IS(Q)'!19:19)</f>
        <v>43.508034678080094</v>
      </c>
      <c r="AW14" s="5027">
        <f ca="1">SUMIF('IS(Q)'!$3:$3,AW$3,'IS(Q)'!19:19)</f>
        <v>43.470856154817717</v>
      </c>
      <c r="AX14" s="5027">
        <f ca="1">SUMIF('IS(Q)'!$3:$3,AX$3,'IS(Q)'!19:19)</f>
        <v>44.030037353939164</v>
      </c>
      <c r="AY14" s="5027">
        <f ca="1">SUMIF('IS(Q)'!$3:$3,AY$3,'IS(Q)'!19:19)</f>
        <v>22.523921633886676</v>
      </c>
      <c r="AZ14" s="5027">
        <f>SUMIF('IS(Q)'!$3:$3,AZ$3,'IS(Q)'!19:19)</f>
        <v>0</v>
      </c>
      <c r="BA14" s="5027">
        <f>SUMIF('IS(Q)'!$3:$3,BA$3,'IS(Q)'!19:19)</f>
        <v>0</v>
      </c>
      <c r="BB14" s="5027">
        <f>SUMIF('IS(Q)'!$3:$3,BB$3,'IS(Q)'!19:19)</f>
        <v>0</v>
      </c>
      <c r="BC14" s="5027">
        <f>SUMIF('IS(Q)'!$3:$3,BC$3,'IS(Q)'!19:19)</f>
        <v>0</v>
      </c>
    </row>
    <row r="15" spans="1:55" ht="17.100000000000001" customHeight="1">
      <c r="B15" s="307"/>
      <c r="D15" s="1274" t="str">
        <f>'IS(Q)'!D20</f>
        <v>유지비</v>
      </c>
      <c r="E15" s="742"/>
      <c r="F15" s="5025">
        <f t="shared" ca="1" si="1"/>
        <v>41.97485677596859</v>
      </c>
      <c r="G15" s="5026"/>
      <c r="H15" s="5026"/>
      <c r="I15" s="5026"/>
      <c r="J15" s="5026"/>
      <c r="K15" s="5026">
        <f ca="1">SUMIF('IS(Q)'!$3:$3,K$3,'IS(Q)'!20:20)</f>
        <v>0</v>
      </c>
      <c r="L15" s="5026">
        <f ca="1">SUMIF('IS(Q)'!$3:$3,L$3,'IS(Q)'!20:20)</f>
        <v>0</v>
      </c>
      <c r="M15" s="5027">
        <f ca="1">SUMIF('IS(Q)'!$3:$3,M$3,'IS(Q)'!20:20)</f>
        <v>0</v>
      </c>
      <c r="N15" s="5027">
        <f ca="1">SUMIF('IS(Q)'!$3:$3,N$3,'IS(Q)'!20:20)</f>
        <v>0</v>
      </c>
      <c r="O15" s="5027">
        <f ca="1">SUMIF('IS(Q)'!$3:$3,O$3,'IS(Q)'!20:20)</f>
        <v>0</v>
      </c>
      <c r="P15" s="5027">
        <f ca="1">SUMIF('IS(Q)'!$3:$3,P$3,'IS(Q)'!20:20)</f>
        <v>0</v>
      </c>
      <c r="Q15" s="5027">
        <f ca="1">SUMIF('IS(Q)'!$3:$3,Q$3,'IS(Q)'!20:20)</f>
        <v>0</v>
      </c>
      <c r="R15" s="5027">
        <f ca="1">SUMIF('IS(Q)'!$3:$3,R$3,'IS(Q)'!20:20)</f>
        <v>0</v>
      </c>
      <c r="S15" s="5027">
        <f ca="1">SUMIF('IS(Q)'!$3:$3,S$3,'IS(Q)'!20:20)</f>
        <v>2.1230403012019998</v>
      </c>
      <c r="T15" s="5027">
        <f ca="1">SUMIF('IS(Q)'!$3:$3,T$3,'IS(Q)'!20:20)</f>
        <v>0</v>
      </c>
      <c r="U15" s="5027">
        <f ca="1">SUMIF('IS(Q)'!$3:$3,U$3,'IS(Q)'!20:20)</f>
        <v>4.9378265776640431</v>
      </c>
      <c r="V15" s="5027">
        <f ca="1">SUMIF('IS(Q)'!$3:$3,V$3,'IS(Q)'!20:20)</f>
        <v>0</v>
      </c>
      <c r="W15" s="5027">
        <f ca="1">SUMIF('IS(Q)'!$3:$3,W$3,'IS(Q)'!20:20)</f>
        <v>2.6510931009868908</v>
      </c>
      <c r="X15" s="5027">
        <f ca="1">SUMIF('IS(Q)'!$3:$3,X$3,'IS(Q)'!20:20)</f>
        <v>0</v>
      </c>
      <c r="Y15" s="5027">
        <f ca="1">SUMIF('IS(Q)'!$3:$3,Y$3,'IS(Q)'!20:20)</f>
        <v>0</v>
      </c>
      <c r="Z15" s="5027">
        <f ca="1">SUMIF('IS(Q)'!$3:$3,Z$3,'IS(Q)'!20:20)</f>
        <v>0</v>
      </c>
      <c r="AA15" s="5027">
        <f ca="1">SUMIF('IS(Q)'!$3:$3,AA$3,'IS(Q)'!20:20)</f>
        <v>3.4484226397128714</v>
      </c>
      <c r="AB15" s="5027">
        <f ca="1">SUMIF('IS(Q)'!$3:$3,AB$3,'IS(Q)'!20:20)</f>
        <v>0</v>
      </c>
      <c r="AC15" s="5027">
        <f ca="1">SUMIF('IS(Q)'!$3:$3,AC$3,'IS(Q)'!20:20)</f>
        <v>0</v>
      </c>
      <c r="AD15" s="5027">
        <f ca="1">SUMIF('IS(Q)'!$3:$3,AD$3,'IS(Q)'!20:20)</f>
        <v>2.8423306352950455</v>
      </c>
      <c r="AE15" s="5027">
        <f ca="1">SUMIF('IS(Q)'!$3:$3,AE$3,'IS(Q)'!20:20)</f>
        <v>5.4544324891311904</v>
      </c>
      <c r="AF15" s="5027">
        <f ca="1">SUMIF('IS(Q)'!$3:$3,AF$3,'IS(Q)'!20:20)</f>
        <v>0</v>
      </c>
      <c r="AG15" s="5027">
        <f ca="1">SUMIF('IS(Q)'!$3:$3,AG$3,'IS(Q)'!20:20)</f>
        <v>0</v>
      </c>
      <c r="AH15" s="5027">
        <f ca="1">SUMIF('IS(Q)'!$3:$3,AH$3,'IS(Q)'!20:20)</f>
        <v>0</v>
      </c>
      <c r="AI15" s="5027">
        <f ca="1">SUMIF('IS(Q)'!$3:$3,AI$3,'IS(Q)'!20:20)</f>
        <v>0</v>
      </c>
      <c r="AJ15" s="5027">
        <f ca="1">SUMIF('IS(Q)'!$3:$3,AJ$3,'IS(Q)'!20:20)</f>
        <v>0</v>
      </c>
      <c r="AK15" s="5027">
        <f ca="1">SUMIF('IS(Q)'!$3:$3,AK$3,'IS(Q)'!20:20)</f>
        <v>3.0473631564765959</v>
      </c>
      <c r="AL15" s="5027">
        <f ca="1">SUMIF('IS(Q)'!$3:$3,AL$3,'IS(Q)'!20:20)</f>
        <v>0</v>
      </c>
      <c r="AM15" s="5027">
        <f ca="1">SUMIF('IS(Q)'!$3:$3,AM$3,'IS(Q)'!20:20)</f>
        <v>3.8857689449022192</v>
      </c>
      <c r="AN15" s="5027">
        <f ca="1">SUMIF('IS(Q)'!$3:$3,AN$3,'IS(Q)'!20:20)</f>
        <v>0</v>
      </c>
      <c r="AO15" s="5027">
        <f ca="1">SUMIF('IS(Q)'!$3:$3,AO$3,'IS(Q)'!20:20)</f>
        <v>6.0250868090560301</v>
      </c>
      <c r="AP15" s="5027">
        <f ca="1">SUMIF('IS(Q)'!$3:$3,AP$3,'IS(Q)'!20:20)</f>
        <v>0</v>
      </c>
      <c r="AQ15" s="5027">
        <f ca="1">SUMIF('IS(Q)'!$3:$3,AQ$3,'IS(Q)'!20:20)</f>
        <v>0</v>
      </c>
      <c r="AR15" s="5027">
        <f ca="1">SUMIF('IS(Q)'!$3:$3,AR$3,'IS(Q)'!20:20)</f>
        <v>3.2671857707669658</v>
      </c>
      <c r="AS15" s="5027">
        <f ca="1">SUMIF('IS(Q)'!$3:$3,AS$3,'IS(Q)'!20:20)</f>
        <v>0</v>
      </c>
      <c r="AT15" s="5027">
        <f ca="1">SUMIF('IS(Q)'!$3:$3,AT$3,'IS(Q)'!20:20)</f>
        <v>0</v>
      </c>
      <c r="AU15" s="5027">
        <f ca="1">SUMIF('IS(Q)'!$3:$3,AU$3,'IS(Q)'!20:20)</f>
        <v>0</v>
      </c>
      <c r="AV15" s="5027">
        <f ca="1">SUMIF('IS(Q)'!$3:$3,AV$3,'IS(Q)'!20:20)</f>
        <v>0</v>
      </c>
      <c r="AW15" s="5027">
        <f ca="1">SUMIF('IS(Q)'!$3:$3,AW$3,'IS(Q)'!20:20)</f>
        <v>4.2923063507747434</v>
      </c>
      <c r="AX15" s="5027">
        <f ca="1">SUMIF('IS(Q)'!$3:$3,AX$3,'IS(Q)'!20:20)</f>
        <v>0</v>
      </c>
      <c r="AY15" s="5027">
        <f ca="1">SUMIF('IS(Q)'!$3:$3,AY$3,'IS(Q)'!20:20)</f>
        <v>0</v>
      </c>
      <c r="AZ15" s="5027">
        <f ca="1">SUMIF('IS(Q)'!$3:$3,AZ$3,'IS(Q)'!20:20)</f>
        <v>0</v>
      </c>
      <c r="BA15" s="5027">
        <f ca="1">SUMIF('IS(Q)'!$3:$3,BA$3,'IS(Q)'!20:20)</f>
        <v>0</v>
      </c>
      <c r="BB15" s="5027">
        <f ca="1">SUMIF('IS(Q)'!$3:$3,BB$3,'IS(Q)'!20:20)</f>
        <v>0</v>
      </c>
      <c r="BC15" s="5027">
        <f>SUMIF('IS(Q)'!$3:$3,BC$3,'IS(Q)'!20:20)</f>
        <v>0</v>
      </c>
    </row>
    <row r="16" spans="1:55" ht="17.100000000000001" customHeight="1">
      <c r="B16" s="307"/>
      <c r="D16" s="1274" t="str">
        <f>'IS(Q)'!D21</f>
        <v xml:space="preserve">기타 </v>
      </c>
      <c r="E16" s="742"/>
      <c r="F16" s="5025">
        <f t="shared" si="1"/>
        <v>161.5908372818715</v>
      </c>
      <c r="G16" s="5026"/>
      <c r="H16" s="5026"/>
      <c r="I16" s="5026"/>
      <c r="J16" s="5026"/>
      <c r="K16" s="5026">
        <f>SUMIF('IS(Q)'!$3:$3,K$3,'IS(Q)'!21:21)</f>
        <v>-2.0239921000901333</v>
      </c>
      <c r="L16" s="5026">
        <f>SUMIF('IS(Q)'!$3:$3,L$3,'IS(Q)'!21:21)</f>
        <v>4.211335792842033</v>
      </c>
      <c r="M16" s="5027">
        <f>SUMIF('IS(Q)'!$3:$3,M$3,'IS(Q)'!21:21)</f>
        <v>-2.3091627181285332</v>
      </c>
      <c r="N16" s="5027">
        <f>SUMIF('IS(Q)'!$3:$3,N$3,'IS(Q)'!21:21)</f>
        <v>10.4</v>
      </c>
      <c r="O16" s="5027">
        <f>SUMIF('IS(Q)'!$3:$3,O$3,'IS(Q)'!21:21)</f>
        <v>10</v>
      </c>
      <c r="P16" s="5027">
        <f>SUMIF('IS(Q)'!$3:$3,P$3,'IS(Q)'!21:21)</f>
        <v>10</v>
      </c>
      <c r="Q16" s="5027">
        <f>SUMIF('IS(Q)'!$3:$3,Q$3,'IS(Q)'!21:21)</f>
        <v>10</v>
      </c>
      <c r="R16" s="5027">
        <f>SUMIF('IS(Q)'!$3:$3,R$3,'IS(Q)'!21:21)</f>
        <v>9.9</v>
      </c>
      <c r="S16" s="5027">
        <f>SUMIF('IS(Q)'!$3:$3,S$3,'IS(Q)'!21:21)</f>
        <v>9.6</v>
      </c>
      <c r="T16" s="5027">
        <f>SUMIF('IS(Q)'!$3:$3,T$3,'IS(Q)'!21:21)</f>
        <v>9.6</v>
      </c>
      <c r="U16" s="5027">
        <f>SUMIF('IS(Q)'!$3:$3,U$3,'IS(Q)'!21:21)</f>
        <v>9.6</v>
      </c>
      <c r="V16" s="5027">
        <f>SUMIF('IS(Q)'!$3:$3,V$3,'IS(Q)'!21:21)</f>
        <v>9.6</v>
      </c>
      <c r="W16" s="5027">
        <f>SUMIF('IS(Q)'!$3:$3,W$3,'IS(Q)'!21:21)</f>
        <v>8.8999999999999986</v>
      </c>
      <c r="X16" s="5027">
        <f>SUMIF('IS(Q)'!$3:$3,X$3,'IS(Q)'!21:21)</f>
        <v>6.8</v>
      </c>
      <c r="Y16" s="5027">
        <f>SUMIF('IS(Q)'!$3:$3,Y$3,'IS(Q)'!21:21)</f>
        <v>6.8</v>
      </c>
      <c r="Z16" s="5027">
        <f>SUMIF('IS(Q)'!$3:$3,Z$3,'IS(Q)'!21:21)</f>
        <v>6.8</v>
      </c>
      <c r="AA16" s="5027">
        <f>SUMIF('IS(Q)'!$3:$3,AA$3,'IS(Q)'!21:21)</f>
        <v>6.8</v>
      </c>
      <c r="AB16" s="5027">
        <f>SUMIF('IS(Q)'!$3:$3,AB$3,'IS(Q)'!21:21)</f>
        <v>6.8</v>
      </c>
      <c r="AC16" s="5027">
        <f>SUMIF('IS(Q)'!$3:$3,AC$3,'IS(Q)'!21:21)</f>
        <v>6.8</v>
      </c>
      <c r="AD16" s="5027">
        <f>SUMIF('IS(Q)'!$3:$3,AD$3,'IS(Q)'!21:21)</f>
        <v>6.8</v>
      </c>
      <c r="AE16" s="5027">
        <f>SUMIF('IS(Q)'!$3:$3,AE$3,'IS(Q)'!21:21)</f>
        <v>6.8</v>
      </c>
      <c r="AF16" s="5027">
        <f>SUMIF('IS(Q)'!$3:$3,AF$3,'IS(Q)'!21:21)</f>
        <v>6.8</v>
      </c>
      <c r="AG16" s="5027">
        <f>SUMIF('IS(Q)'!$3:$3,AG$3,'IS(Q)'!21:21)</f>
        <v>5.0999999999999996</v>
      </c>
      <c r="AH16" s="5027">
        <f>SUMIF('IS(Q)'!$3:$3,AH$3,'IS(Q)'!21:21)</f>
        <v>0</v>
      </c>
      <c r="AI16" s="5027">
        <f>SUMIF('IS(Q)'!$3:$3,AI$3,'IS(Q)'!21:21)</f>
        <v>0</v>
      </c>
      <c r="AJ16" s="5027">
        <f>SUMIF('IS(Q)'!$3:$3,AJ$3,'IS(Q)'!21:21)</f>
        <v>0</v>
      </c>
      <c r="AK16" s="5027">
        <f>SUMIF('IS(Q)'!$3:$3,AK$3,'IS(Q)'!21:21)</f>
        <v>0</v>
      </c>
      <c r="AL16" s="5027">
        <f>SUMIF('IS(Q)'!$3:$3,AL$3,'IS(Q)'!21:21)</f>
        <v>0</v>
      </c>
      <c r="AM16" s="5027">
        <f>SUMIF('IS(Q)'!$3:$3,AM$3,'IS(Q)'!21:21)</f>
        <v>0</v>
      </c>
      <c r="AN16" s="5027">
        <f>SUMIF('IS(Q)'!$3:$3,AN$3,'IS(Q)'!21:21)</f>
        <v>0</v>
      </c>
      <c r="AO16" s="5027">
        <f>SUMIF('IS(Q)'!$3:$3,AO$3,'IS(Q)'!21:21)</f>
        <v>0</v>
      </c>
      <c r="AP16" s="5027">
        <f>SUMIF('IS(Q)'!$3:$3,AP$3,'IS(Q)'!21:21)</f>
        <v>0</v>
      </c>
      <c r="AQ16" s="5027">
        <f>SUMIF('IS(Q)'!$3:$3,AQ$3,'IS(Q)'!21:21)</f>
        <v>0</v>
      </c>
      <c r="AR16" s="5027">
        <f>SUMIF('IS(Q)'!$3:$3,AR$3,'IS(Q)'!21:21)</f>
        <v>0</v>
      </c>
      <c r="AS16" s="5027">
        <f>SUMIF('IS(Q)'!$3:$3,AS$3,'IS(Q)'!21:21)</f>
        <v>0</v>
      </c>
      <c r="AT16" s="5027">
        <f>SUMIF('IS(Q)'!$3:$3,AT$3,'IS(Q)'!21:21)</f>
        <v>0</v>
      </c>
      <c r="AU16" s="5027">
        <f>SUMIF('IS(Q)'!$3:$3,AU$3,'IS(Q)'!21:21)</f>
        <v>0</v>
      </c>
      <c r="AV16" s="5027">
        <f>SUMIF('IS(Q)'!$3:$3,AV$3,'IS(Q)'!21:21)</f>
        <v>0</v>
      </c>
      <c r="AW16" s="5027">
        <f>SUMIF('IS(Q)'!$3:$3,AW$3,'IS(Q)'!21:21)</f>
        <v>0</v>
      </c>
      <c r="AX16" s="5027">
        <f>SUMIF('IS(Q)'!$3:$3,AX$3,'IS(Q)'!21:21)</f>
        <v>0</v>
      </c>
      <c r="AY16" s="5027">
        <f>SUMIF('IS(Q)'!$3:$3,AY$3,'IS(Q)'!21:21)</f>
        <v>0</v>
      </c>
      <c r="AZ16" s="5027">
        <f>SUMIF('IS(Q)'!$3:$3,AZ$3,'IS(Q)'!21:21)</f>
        <v>0</v>
      </c>
      <c r="BA16" s="5027">
        <f>SUMIF('IS(Q)'!$3:$3,BA$3,'IS(Q)'!21:21)</f>
        <v>0</v>
      </c>
      <c r="BB16" s="5027">
        <f>SUMIF('IS(Q)'!$3:$3,BB$3,'IS(Q)'!21:21)</f>
        <v>0</v>
      </c>
      <c r="BC16" s="5027">
        <f>SUMIF('IS(Q)'!$3:$3,BC$3,'IS(Q)'!21:21)</f>
        <v>0</v>
      </c>
    </row>
    <row r="17" spans="2:55" ht="17.100000000000001" customHeight="1">
      <c r="B17" s="307"/>
      <c r="D17" s="1274" t="str">
        <f>'IS(Q)'!D22</f>
        <v>금융수수료</v>
      </c>
      <c r="E17" s="742"/>
      <c r="F17" s="5025">
        <f t="shared" ca="1" si="1"/>
        <v>2.6999999999999997</v>
      </c>
      <c r="G17" s="5026"/>
      <c r="H17" s="5026"/>
      <c r="I17" s="5026"/>
      <c r="J17" s="5026"/>
      <c r="K17" s="5026">
        <f>SUMIF('IS(Q)'!$3:$3,K$3,'IS(Q)'!22:22)</f>
        <v>0</v>
      </c>
      <c r="L17" s="5026">
        <f>SUMIF('IS(Q)'!$3:$3,L$3,'IS(Q)'!22:22)</f>
        <v>0</v>
      </c>
      <c r="M17" s="5035">
        <f ca="1">SUMIF('IS(Q)'!$3:$3,M$3,'IS(Q)'!22:22)</f>
        <v>0.3</v>
      </c>
      <c r="N17" s="5035">
        <f ca="1">SUMIF('IS(Q)'!$3:$3,N$3,'IS(Q)'!22:22)</f>
        <v>0.3</v>
      </c>
      <c r="O17" s="5035">
        <f ca="1">SUMIF('IS(Q)'!$3:$3,O$3,'IS(Q)'!22:22)</f>
        <v>0.3</v>
      </c>
      <c r="P17" s="5035">
        <f ca="1">SUMIF('IS(Q)'!$3:$3,P$3,'IS(Q)'!22:22)</f>
        <v>0.3</v>
      </c>
      <c r="Q17" s="5035">
        <f ca="1">SUMIF('IS(Q)'!$3:$3,Q$3,'IS(Q)'!22:22)</f>
        <v>0.3</v>
      </c>
      <c r="R17" s="5035">
        <f ca="1">SUMIF('IS(Q)'!$3:$3,R$3,'IS(Q)'!22:22)</f>
        <v>0.3</v>
      </c>
      <c r="S17" s="5035">
        <f ca="1">SUMIF('IS(Q)'!$3:$3,S$3,'IS(Q)'!22:22)</f>
        <v>0.3</v>
      </c>
      <c r="T17" s="5035">
        <f ca="1">SUMIF('IS(Q)'!$3:$3,T$3,'IS(Q)'!22:22)</f>
        <v>0.3</v>
      </c>
      <c r="U17" s="5035">
        <f ca="1">SUMIF('IS(Q)'!$3:$3,U$3,'IS(Q)'!22:22)</f>
        <v>0.3</v>
      </c>
      <c r="V17" s="5035">
        <f ca="1">SUMIF('IS(Q)'!$3:$3,V$3,'IS(Q)'!22:22)</f>
        <v>0</v>
      </c>
      <c r="W17" s="5035">
        <f ca="1">SUMIF('IS(Q)'!$3:$3,W$3,'IS(Q)'!22:22)</f>
        <v>0</v>
      </c>
      <c r="X17" s="5035">
        <f ca="1">SUMIF('IS(Q)'!$3:$3,X$3,'IS(Q)'!22:22)</f>
        <v>0</v>
      </c>
      <c r="Y17" s="5035">
        <f ca="1">SUMIF('IS(Q)'!$3:$3,Y$3,'IS(Q)'!22:22)</f>
        <v>0</v>
      </c>
      <c r="Z17" s="5035">
        <f ca="1">SUMIF('IS(Q)'!$3:$3,Z$3,'IS(Q)'!22:22)</f>
        <v>0</v>
      </c>
      <c r="AA17" s="5035">
        <f ca="1">SUMIF('IS(Q)'!$3:$3,AA$3,'IS(Q)'!22:22)</f>
        <v>0</v>
      </c>
      <c r="AB17" s="5035">
        <f ca="1">SUMIF('IS(Q)'!$3:$3,AB$3,'IS(Q)'!22:22)</f>
        <v>0</v>
      </c>
      <c r="AC17" s="5035">
        <f ca="1">SUMIF('IS(Q)'!$3:$3,AC$3,'IS(Q)'!22:22)</f>
        <v>0</v>
      </c>
      <c r="AD17" s="5035">
        <f ca="1">SUMIF('IS(Q)'!$3:$3,AD$3,'IS(Q)'!22:22)</f>
        <v>0</v>
      </c>
      <c r="AE17" s="5035">
        <f ca="1">SUMIF('IS(Q)'!$3:$3,AE$3,'IS(Q)'!22:22)</f>
        <v>0</v>
      </c>
      <c r="AF17" s="5035">
        <f ca="1">SUMIF('IS(Q)'!$3:$3,AF$3,'IS(Q)'!22:22)</f>
        <v>0</v>
      </c>
      <c r="AG17" s="5035">
        <f ca="1">SUMIF('IS(Q)'!$3:$3,AG$3,'IS(Q)'!22:22)</f>
        <v>0</v>
      </c>
      <c r="AH17" s="5035">
        <f ca="1">SUMIF('IS(Q)'!$3:$3,AH$3,'IS(Q)'!22:22)</f>
        <v>0</v>
      </c>
      <c r="AI17" s="5035">
        <f ca="1">SUMIF('IS(Q)'!$3:$3,AI$3,'IS(Q)'!22:22)</f>
        <v>0</v>
      </c>
      <c r="AJ17" s="5035">
        <f ca="1">SUMIF('IS(Q)'!$3:$3,AJ$3,'IS(Q)'!22:22)</f>
        <v>0</v>
      </c>
      <c r="AK17" s="5035">
        <f ca="1">SUMIF('IS(Q)'!$3:$3,AK$3,'IS(Q)'!22:22)</f>
        <v>0</v>
      </c>
      <c r="AL17" s="5035">
        <f ca="1">SUMIF('IS(Q)'!$3:$3,AL$3,'IS(Q)'!22:22)</f>
        <v>0</v>
      </c>
      <c r="AM17" s="5035">
        <f ca="1">SUMIF('IS(Q)'!$3:$3,AM$3,'IS(Q)'!22:22)</f>
        <v>0</v>
      </c>
      <c r="AN17" s="5035">
        <f ca="1">SUMIF('IS(Q)'!$3:$3,AN$3,'IS(Q)'!22:22)</f>
        <v>0</v>
      </c>
      <c r="AO17" s="5035">
        <f ca="1">SUMIF('IS(Q)'!$3:$3,AO$3,'IS(Q)'!22:22)</f>
        <v>0</v>
      </c>
      <c r="AP17" s="5035">
        <f ca="1">SUMIF('IS(Q)'!$3:$3,AP$3,'IS(Q)'!22:22)</f>
        <v>0</v>
      </c>
      <c r="AQ17" s="5035">
        <f ca="1">SUMIF('IS(Q)'!$3:$3,AQ$3,'IS(Q)'!22:22)</f>
        <v>0</v>
      </c>
      <c r="AR17" s="5035">
        <f ca="1">SUMIF('IS(Q)'!$3:$3,AR$3,'IS(Q)'!22:22)</f>
        <v>0</v>
      </c>
      <c r="AS17" s="5035">
        <f ca="1">SUMIF('IS(Q)'!$3:$3,AS$3,'IS(Q)'!22:22)</f>
        <v>0</v>
      </c>
      <c r="AT17" s="5035">
        <f ca="1">SUMIF('IS(Q)'!$3:$3,AT$3,'IS(Q)'!22:22)</f>
        <v>0</v>
      </c>
      <c r="AU17" s="5035">
        <f ca="1">SUMIF('IS(Q)'!$3:$3,AU$3,'IS(Q)'!22:22)</f>
        <v>0</v>
      </c>
      <c r="AV17" s="5035">
        <f ca="1">SUMIF('IS(Q)'!$3:$3,AV$3,'IS(Q)'!22:22)</f>
        <v>0</v>
      </c>
      <c r="AW17" s="5035">
        <f ca="1">SUMIF('IS(Q)'!$3:$3,AW$3,'IS(Q)'!22:22)</f>
        <v>0</v>
      </c>
      <c r="AX17" s="5035">
        <f ca="1">SUMIF('IS(Q)'!$3:$3,AX$3,'IS(Q)'!22:22)</f>
        <v>0</v>
      </c>
      <c r="AY17" s="5035">
        <f ca="1">SUMIF('IS(Q)'!$3:$3,AY$3,'IS(Q)'!22:22)</f>
        <v>0</v>
      </c>
      <c r="AZ17" s="5035">
        <f>SUMIF('IS(Q)'!$3:$3,AZ$3,'IS(Q)'!22:22)</f>
        <v>0</v>
      </c>
      <c r="BA17" s="5035">
        <f>SUMIF('IS(Q)'!$3:$3,BA$3,'IS(Q)'!22:22)</f>
        <v>0</v>
      </c>
      <c r="BB17" s="5035">
        <f>SUMIF('IS(Q)'!$3:$3,BB$3,'IS(Q)'!22:22)</f>
        <v>0</v>
      </c>
      <c r="BC17" s="5035">
        <f>SUMIF('IS(Q)'!$3:$3,BC$3,'IS(Q)'!22:22)</f>
        <v>0</v>
      </c>
    </row>
    <row r="18" spans="2:55" ht="17.100000000000001" customHeight="1">
      <c r="B18" s="307"/>
      <c r="D18" s="1274" t="s">
        <v>1254</v>
      </c>
      <c r="E18" s="742"/>
      <c r="F18" s="5025">
        <f t="shared" si="1"/>
        <v>1042.2459208199998</v>
      </c>
      <c r="G18" s="5026">
        <v>20.69788046</v>
      </c>
      <c r="H18" s="5026">
        <v>27.07132262</v>
      </c>
      <c r="I18" s="5026">
        <v>27.071322640000002</v>
      </c>
      <c r="J18" s="5026">
        <v>27.071322559999999</v>
      </c>
      <c r="K18" s="5026">
        <f>BS!J122</f>
        <v>27.071322615802469</v>
      </c>
      <c r="L18" s="5026">
        <f>BS!K122</f>
        <v>27.071322615802469</v>
      </c>
      <c r="M18" s="5027">
        <f>BS!L122</f>
        <v>27.071322618701302</v>
      </c>
      <c r="N18" s="5027">
        <f>BS!M122</f>
        <v>27.071322618701299</v>
      </c>
      <c r="O18" s="5027">
        <f>BS!N122</f>
        <v>27.071322618701302</v>
      </c>
      <c r="P18" s="5027">
        <f>BS!O122</f>
        <v>27.071322618701299</v>
      </c>
      <c r="Q18" s="5027">
        <f>BS!P122</f>
        <v>27.071322618701302</v>
      </c>
      <c r="R18" s="5027">
        <f>BS!Q122</f>
        <v>27.071322618701299</v>
      </c>
      <c r="S18" s="5027">
        <f>BS!R122</f>
        <v>27.071322618701306</v>
      </c>
      <c r="T18" s="5027">
        <f>BS!S122</f>
        <v>27.071322618701299</v>
      </c>
      <c r="U18" s="5027">
        <f>BS!T122</f>
        <v>27.071322618701306</v>
      </c>
      <c r="V18" s="5027">
        <f>BS!U122</f>
        <v>27.071322618701302</v>
      </c>
      <c r="W18" s="5027">
        <f>BS!V122</f>
        <v>27.071322618701306</v>
      </c>
      <c r="X18" s="5027">
        <f>BS!W122</f>
        <v>27.071322618701302</v>
      </c>
      <c r="Y18" s="5027">
        <f>BS!X122</f>
        <v>27.071322618701309</v>
      </c>
      <c r="Z18" s="5027">
        <f>BS!Y122</f>
        <v>27.071322618701302</v>
      </c>
      <c r="AA18" s="5027">
        <f>BS!Z122</f>
        <v>27.071322618701306</v>
      </c>
      <c r="AB18" s="5027">
        <f>BS!AA122</f>
        <v>27.071322618701306</v>
      </c>
      <c r="AC18" s="5027">
        <f>BS!AB122</f>
        <v>27.071322618701309</v>
      </c>
      <c r="AD18" s="5027">
        <f>BS!AC122</f>
        <v>27.071322618701309</v>
      </c>
      <c r="AE18" s="5027">
        <f>BS!AD122</f>
        <v>27.071322618701309</v>
      </c>
      <c r="AF18" s="5027">
        <f>BS!AE122</f>
        <v>27.071322618701313</v>
      </c>
      <c r="AG18" s="5027">
        <f>BS!AF122</f>
        <v>27.071322618701313</v>
      </c>
      <c r="AH18" s="5027">
        <f>BS!AG122</f>
        <v>27.071322618701313</v>
      </c>
      <c r="AI18" s="5027">
        <f>BS!AH122</f>
        <v>27.071322618701316</v>
      </c>
      <c r="AJ18" s="5027">
        <f>BS!AI122</f>
        <v>27.071322618701316</v>
      </c>
      <c r="AK18" s="5027">
        <f>BS!AJ122</f>
        <v>27.07132261870132</v>
      </c>
      <c r="AL18" s="5027">
        <f>BS!AK122</f>
        <v>27.071322618701316</v>
      </c>
      <c r="AM18" s="5027">
        <f>BS!AL122</f>
        <v>27.071322618701316</v>
      </c>
      <c r="AN18" s="5027">
        <f>BS!AM122</f>
        <v>27.071322618701316</v>
      </c>
      <c r="AO18" s="5027">
        <f>BS!AN122</f>
        <v>27.07132261870132</v>
      </c>
      <c r="AP18" s="5027">
        <f>BS!AO122</f>
        <v>27.07132261870132</v>
      </c>
      <c r="AQ18" s="5027">
        <f>BS!AP122</f>
        <v>27.07132261870132</v>
      </c>
      <c r="AR18" s="5027">
        <f>BS!AQ122</f>
        <v>27.07132261870132</v>
      </c>
      <c r="AS18" s="5027">
        <f>BS!AR122</f>
        <v>27.071322618701316</v>
      </c>
      <c r="AT18" s="5027">
        <f>BS!AS122</f>
        <v>27.07132261870132</v>
      </c>
      <c r="AU18" s="5027">
        <f>BS!AT122</f>
        <v>27.07132261870132</v>
      </c>
      <c r="AV18" s="5027">
        <f>BS!AU122</f>
        <v>27.07132261870132</v>
      </c>
      <c r="AW18" s="5027">
        <f>BS!AV122</f>
        <v>27.071322618701323</v>
      </c>
      <c r="AX18" s="5027">
        <f>BS!AW122</f>
        <v>27.07132261870132</v>
      </c>
      <c r="AY18" s="5027">
        <f>BS!AX122</f>
        <v>13.535661309350663</v>
      </c>
      <c r="AZ18" s="5027">
        <f>BS!AY122</f>
        <v>0</v>
      </c>
      <c r="BA18" s="5027">
        <f>BS!AZ122</f>
        <v>0</v>
      </c>
      <c r="BB18" s="5027">
        <f>BS!BA122</f>
        <v>0</v>
      </c>
      <c r="BC18" s="5027">
        <f>BS!BB122</f>
        <v>0</v>
      </c>
    </row>
    <row r="19" spans="2:55" ht="17.100000000000001" customHeight="1">
      <c r="B19" s="307"/>
      <c r="D19" s="1274" t="s">
        <v>1255</v>
      </c>
      <c r="E19" s="742"/>
      <c r="F19" s="5025">
        <f t="shared" ca="1" si="1"/>
        <v>1285.7150852239074</v>
      </c>
      <c r="G19" s="5026">
        <v>18.890439829999998</v>
      </c>
      <c r="H19" s="5026">
        <v>26.201353510000001</v>
      </c>
      <c r="I19" s="5026">
        <v>30.011074109999999</v>
      </c>
      <c r="J19" s="5026">
        <v>30.767507420000001</v>
      </c>
      <c r="K19" s="5026">
        <f ca="1">SUM(BS!J94,BS!J101,BS!J108)</f>
        <v>18.154787222499998</v>
      </c>
      <c r="L19" s="5026">
        <f>SUM(BS!K94,BS!K101,BS!K108)</f>
        <v>0</v>
      </c>
      <c r="M19" s="5027">
        <f ca="1">SUM(BS!L94,BS!L101,BS!L108)</f>
        <v>18.984652215000001</v>
      </c>
      <c r="N19" s="5027">
        <f ca="1">SUM(BS!M94,BS!M101,BS!M108)</f>
        <v>19.949402215000003</v>
      </c>
      <c r="O19" s="5027">
        <f ca="1">SUM(BS!N94,BS!N101,BS!N108)</f>
        <v>19.949402215000003</v>
      </c>
      <c r="P19" s="5027">
        <f ca="1">SUM(BS!O94,BS!O101,BS!O108)</f>
        <v>19.949402215000003</v>
      </c>
      <c r="Q19" s="5027">
        <f ca="1">SUM(BS!P94,BS!P101,BS!P108)</f>
        <v>20.105492816500004</v>
      </c>
      <c r="R19" s="5027">
        <f ca="1">SUM(BS!Q94,BS!Q101,BS!Q108)</f>
        <v>20.353005683298552</v>
      </c>
      <c r="S19" s="5027">
        <f ca="1">SUM(BS!R94,BS!R101,BS!R108)</f>
        <v>20.809459348056983</v>
      </c>
      <c r="T19" s="5027">
        <f ca="1">SUM(BS!S94,BS!S101,BS!S108)</f>
        <v>20.830902055099124</v>
      </c>
      <c r="U19" s="5027">
        <f ca="1">SUM(BS!T94,BS!T101,BS!T108)</f>
        <v>21.724258837242289</v>
      </c>
      <c r="V19" s="5027">
        <f ca="1">SUM(BS!U94,BS!U101,BS!U108)</f>
        <v>23.036681164463523</v>
      </c>
      <c r="W19" s="5027">
        <f ca="1">SUM(BS!V94,BS!V101,BS!V108)</f>
        <v>25.152452291033637</v>
      </c>
      <c r="X19" s="5027">
        <f ca="1">SUM(BS!W94,BS!W101,BS!W108)</f>
        <v>26.711040971325087</v>
      </c>
      <c r="Y19" s="5027">
        <f ca="1">SUM(BS!X94,BS!X101,BS!X108)</f>
        <v>26.756113972530368</v>
      </c>
      <c r="Z19" s="5027">
        <f ca="1">SUM(BS!Y94,BS!Y101,BS!Y108)</f>
        <v>28.463253893180301</v>
      </c>
      <c r="AA19" s="5027">
        <f ca="1">SUM(BS!Z94,BS!Z101,BS!Z108)</f>
        <v>30.647254898331781</v>
      </c>
      <c r="AB19" s="5027">
        <f ca="1">SUM(BS!AA94,BS!AA101,BS!AA108)</f>
        <v>33.659249536764598</v>
      </c>
      <c r="AC19" s="5027">
        <f ca="1">SUM(BS!AB94,BS!AB101,BS!AB108)</f>
        <v>34.854107175941841</v>
      </c>
      <c r="AD19" s="5027">
        <f ca="1">SUM(BS!AC94,BS!AC101,BS!AC108)</f>
        <v>37.83855434300164</v>
      </c>
      <c r="AE19" s="5027">
        <f ca="1">SUM(BS!AD94,BS!AD101,BS!AD108)</f>
        <v>44.809402794434597</v>
      </c>
      <c r="AF19" s="5027">
        <f ca="1">SUM(BS!AE94,BS!AE101,BS!AE108)</f>
        <v>33.954652021555141</v>
      </c>
      <c r="AG19" s="5027">
        <f ca="1">SUM(BS!AF94,BS!AF101,BS!AF108)</f>
        <v>30.077878568106058</v>
      </c>
      <c r="AH19" s="5027">
        <f ca="1">SUM(BS!AG94,BS!AG101,BS!AG108)</f>
        <v>31.245166624907142</v>
      </c>
      <c r="AI19" s="5027">
        <f ca="1">SUM(BS!AH94,BS!AH101,BS!AH108)</f>
        <v>32.104020568135283</v>
      </c>
      <c r="AJ19" s="5027">
        <f ca="1">SUM(BS!AI94,BS!AI101,BS!AI108)</f>
        <v>32.104020568135283</v>
      </c>
      <c r="AK19" s="5027">
        <f ca="1">SUM(BS!AJ94,BS!AJ101,BS!AJ108)</f>
        <v>31.998719352576558</v>
      </c>
      <c r="AL19" s="5027">
        <f ca="1">SUM(BS!AK94,BS!AK101,BS!AK108)</f>
        <v>32.578862446722226</v>
      </c>
      <c r="AM19" s="5027">
        <f ca="1">SUM(BS!AL94,BS!AL101,BS!AL108)</f>
        <v>32.692321560549459</v>
      </c>
      <c r="AN19" s="5027">
        <f ca="1">SUM(BS!AM94,BS!AM101,BS!AM108)</f>
        <v>33.463653433646272</v>
      </c>
      <c r="AO19" s="5027">
        <f ca="1">SUM(BS!AN94,BS!AN101,BS!AN108)</f>
        <v>33.990684440918727</v>
      </c>
      <c r="AP19" s="5027">
        <f ca="1">SUM(BS!AO94,BS!AO101,BS!AO108)</f>
        <v>32.678262113697492</v>
      </c>
      <c r="AQ19" s="5027">
        <f ca="1">SUM(BS!AP94,BS!AP101,BS!AP108)</f>
        <v>32.928478016124458</v>
      </c>
      <c r="AR19" s="5027">
        <f ca="1">SUM(BS!AQ94,BS!AQ101,BS!AQ108)</f>
        <v>31.819127379313464</v>
      </c>
      <c r="AS19" s="5027">
        <f ca="1">SUM(BS!AR94,BS!AR101,BS!AR108)</f>
        <v>31.77405437810819</v>
      </c>
      <c r="AT19" s="5027">
        <f ca="1">SUM(BS!AS94,BS!AS101,BS!AS108)</f>
        <v>31.150092724005056</v>
      </c>
      <c r="AU19" s="5027">
        <f ca="1">SUM(BS!AT94,BS!AT101,BS!AT108)</f>
        <v>28.966091718853562</v>
      </c>
      <c r="AV19" s="5027">
        <f ca="1">SUM(BS!AU94,BS!AU101,BS!AU108)</f>
        <v>26.344371139707356</v>
      </c>
      <c r="AW19" s="5027">
        <f ca="1">SUM(BS!AV94,BS!AV101,BS!AV108)</f>
        <v>25.256821159299474</v>
      </c>
      <c r="AX19" s="5027">
        <f ca="1">SUM(BS!AW94,BS!AW101,BS!AW108)</f>
        <v>22.944334551453466</v>
      </c>
      <c r="AY19" s="5027">
        <f ca="1">SUM(BS!AX94,BS!AX101,BS!AX108)</f>
        <v>203.0593838168881</v>
      </c>
      <c r="AZ19" s="5027">
        <f ca="1">SUM(BS!AY94,BS!AY101,BS!AY108)</f>
        <v>0</v>
      </c>
      <c r="BA19" s="5027">
        <f ca="1">SUM(BS!AZ94,BS!AZ101,BS!AZ108)</f>
        <v>0</v>
      </c>
      <c r="BB19" s="5027">
        <f ca="1">SUM(BS!BA94,BS!BA101,BS!BA108)</f>
        <v>0</v>
      </c>
      <c r="BC19" s="5027">
        <f ca="1">SUM(BS!BB94,BS!BB101,BS!BB108)</f>
        <v>0</v>
      </c>
    </row>
    <row r="20" spans="2:55" ht="17.100000000000001" customHeight="1">
      <c r="B20" s="307"/>
      <c r="D20" s="1282" t="str">
        <f>'IS(Q)'!D25</f>
        <v>법인세정산</v>
      </c>
      <c r="E20" s="747"/>
      <c r="F20" s="5028">
        <f t="shared" ca="1" si="1"/>
        <v>0</v>
      </c>
      <c r="G20" s="5029"/>
      <c r="H20" s="5029"/>
      <c r="I20" s="5029"/>
      <c r="J20" s="5029"/>
      <c r="K20" s="5029">
        <f ca="1">SUMIF('IS(Q)'!$3:$3,K$3,'IS(Q)'!25:25)</f>
        <v>0</v>
      </c>
      <c r="L20" s="5029">
        <f ca="1">SUMIF('IS(Q)'!$3:$3,L$3,'IS(Q)'!25:25)</f>
        <v>0</v>
      </c>
      <c r="M20" s="5030">
        <f ca="1">SUMIF('IS(Q)'!$3:$3,M$3,'IS(Q)'!25:25)</f>
        <v>0</v>
      </c>
      <c r="N20" s="5030">
        <f ca="1">SUMIF('IS(Q)'!$3:$3,N$3,'IS(Q)'!25:25)</f>
        <v>0</v>
      </c>
      <c r="O20" s="5030">
        <f ca="1">SUMIF('IS(Q)'!$3:$3,O$3,'IS(Q)'!25:25)</f>
        <v>0</v>
      </c>
      <c r="P20" s="5030">
        <f ca="1">SUMIF('IS(Q)'!$3:$3,P$3,'IS(Q)'!25:25)</f>
        <v>0</v>
      </c>
      <c r="Q20" s="5030">
        <f ca="1">SUMIF('IS(Q)'!$3:$3,Q$3,'IS(Q)'!25:25)</f>
        <v>0</v>
      </c>
      <c r="R20" s="5030">
        <f ca="1">SUMIF('IS(Q)'!$3:$3,R$3,'IS(Q)'!25:25)</f>
        <v>0</v>
      </c>
      <c r="S20" s="5030">
        <f ca="1">SUMIF('IS(Q)'!$3:$3,S$3,'IS(Q)'!25:25)</f>
        <v>0</v>
      </c>
      <c r="T20" s="5030">
        <f ca="1">SUMIF('IS(Q)'!$3:$3,T$3,'IS(Q)'!25:25)</f>
        <v>0</v>
      </c>
      <c r="U20" s="5030">
        <f ca="1">SUMIF('IS(Q)'!$3:$3,U$3,'IS(Q)'!25:25)</f>
        <v>0</v>
      </c>
      <c r="V20" s="5030">
        <f ca="1">SUMIF('IS(Q)'!$3:$3,V$3,'IS(Q)'!25:25)</f>
        <v>0</v>
      </c>
      <c r="W20" s="5030">
        <f ca="1">SUMIF('IS(Q)'!$3:$3,W$3,'IS(Q)'!25:25)</f>
        <v>0</v>
      </c>
      <c r="X20" s="5030">
        <f ca="1">SUMIF('IS(Q)'!$3:$3,X$3,'IS(Q)'!25:25)</f>
        <v>0</v>
      </c>
      <c r="Y20" s="5030">
        <f ca="1">SUMIF('IS(Q)'!$3:$3,Y$3,'IS(Q)'!25:25)</f>
        <v>0</v>
      </c>
      <c r="Z20" s="5030">
        <f ca="1">SUMIF('IS(Q)'!$3:$3,Z$3,'IS(Q)'!25:25)</f>
        <v>0</v>
      </c>
      <c r="AA20" s="5030">
        <f ca="1">SUMIF('IS(Q)'!$3:$3,AA$3,'IS(Q)'!25:25)</f>
        <v>0</v>
      </c>
      <c r="AB20" s="5030">
        <f ca="1">SUMIF('IS(Q)'!$3:$3,AB$3,'IS(Q)'!25:25)</f>
        <v>0</v>
      </c>
      <c r="AC20" s="5030">
        <f ca="1">SUMIF('IS(Q)'!$3:$3,AC$3,'IS(Q)'!25:25)</f>
        <v>0</v>
      </c>
      <c r="AD20" s="5030">
        <f ca="1">SUMIF('IS(Q)'!$3:$3,AD$3,'IS(Q)'!25:25)</f>
        <v>0</v>
      </c>
      <c r="AE20" s="5030">
        <f ca="1">SUMIF('IS(Q)'!$3:$3,AE$3,'IS(Q)'!25:25)</f>
        <v>0</v>
      </c>
      <c r="AF20" s="5030">
        <f ca="1">SUMIF('IS(Q)'!$3:$3,AF$3,'IS(Q)'!25:25)</f>
        <v>0</v>
      </c>
      <c r="AG20" s="5030">
        <f ca="1">SUMIF('IS(Q)'!$3:$3,AG$3,'IS(Q)'!25:25)</f>
        <v>0</v>
      </c>
      <c r="AH20" s="5030">
        <f ca="1">SUMIF('IS(Q)'!$3:$3,AH$3,'IS(Q)'!25:25)</f>
        <v>0</v>
      </c>
      <c r="AI20" s="5030">
        <f ca="1">SUMIF('IS(Q)'!$3:$3,AI$3,'IS(Q)'!25:25)</f>
        <v>0</v>
      </c>
      <c r="AJ20" s="5030">
        <f ca="1">SUMIF('IS(Q)'!$3:$3,AJ$3,'IS(Q)'!25:25)</f>
        <v>0</v>
      </c>
      <c r="AK20" s="5030">
        <f ca="1">SUMIF('IS(Q)'!$3:$3,AK$3,'IS(Q)'!25:25)</f>
        <v>0</v>
      </c>
      <c r="AL20" s="5030">
        <f ca="1">SUMIF('IS(Q)'!$3:$3,AL$3,'IS(Q)'!25:25)</f>
        <v>0</v>
      </c>
      <c r="AM20" s="5030">
        <f ca="1">SUMIF('IS(Q)'!$3:$3,AM$3,'IS(Q)'!25:25)</f>
        <v>0</v>
      </c>
      <c r="AN20" s="5030">
        <f ca="1">SUMIF('IS(Q)'!$3:$3,AN$3,'IS(Q)'!25:25)</f>
        <v>0</v>
      </c>
      <c r="AO20" s="5030">
        <f ca="1">SUMIF('IS(Q)'!$3:$3,AO$3,'IS(Q)'!25:25)</f>
        <v>0</v>
      </c>
      <c r="AP20" s="5030">
        <f ca="1">SUMIF('IS(Q)'!$3:$3,AP$3,'IS(Q)'!25:25)</f>
        <v>0</v>
      </c>
      <c r="AQ20" s="5030">
        <f ca="1">SUMIF('IS(Q)'!$3:$3,AQ$3,'IS(Q)'!25:25)</f>
        <v>0</v>
      </c>
      <c r="AR20" s="5030">
        <f ca="1">SUMIF('IS(Q)'!$3:$3,AR$3,'IS(Q)'!25:25)</f>
        <v>0</v>
      </c>
      <c r="AS20" s="5030">
        <f ca="1">SUMIF('IS(Q)'!$3:$3,AS$3,'IS(Q)'!25:25)</f>
        <v>0</v>
      </c>
      <c r="AT20" s="5030">
        <f ca="1">SUMIF('IS(Q)'!$3:$3,AT$3,'IS(Q)'!25:25)</f>
        <v>0</v>
      </c>
      <c r="AU20" s="5030">
        <f ca="1">SUMIF('IS(Q)'!$3:$3,AU$3,'IS(Q)'!25:25)</f>
        <v>0</v>
      </c>
      <c r="AV20" s="5030">
        <f ca="1">SUMIF('IS(Q)'!$3:$3,AV$3,'IS(Q)'!25:25)</f>
        <v>0</v>
      </c>
      <c r="AW20" s="5030">
        <f ca="1">SUMIF('IS(Q)'!$3:$3,AW$3,'IS(Q)'!25:25)</f>
        <v>0</v>
      </c>
      <c r="AX20" s="5030">
        <f ca="1">SUMIF('IS(Q)'!$3:$3,AX$3,'IS(Q)'!25:25)</f>
        <v>0</v>
      </c>
      <c r="AY20" s="5030">
        <f ca="1">SUMIF('IS(Q)'!$3:$3,AY$3,'IS(Q)'!25:25)</f>
        <v>0</v>
      </c>
      <c r="AZ20" s="5030">
        <f>SUMIF('IS(Q)'!$3:$3,AZ$3,'IS(Q)'!25:25)</f>
        <v>0</v>
      </c>
      <c r="BA20" s="5030">
        <f>SUMIF('IS(Q)'!$3:$3,BA$3,'IS(Q)'!25:25)</f>
        <v>0</v>
      </c>
      <c r="BB20" s="5030">
        <f>SUMIF('IS(Q)'!$3:$3,BB$3,'IS(Q)'!25:25)</f>
        <v>0</v>
      </c>
      <c r="BC20" s="5030">
        <f>SUMIF('IS(Q)'!$3:$3,BC$3,'IS(Q)'!25:25)</f>
        <v>0</v>
      </c>
    </row>
    <row r="21" spans="2:55" ht="17.100000000000001" customHeight="1">
      <c r="B21" s="720"/>
      <c r="C21" s="315" t="s">
        <v>1239</v>
      </c>
      <c r="D21" s="1259"/>
      <c r="E21" s="722"/>
      <c r="F21" s="5019">
        <f t="shared" ca="1" si="1"/>
        <v>2840.080822927498</v>
      </c>
      <c r="G21" s="5020">
        <f t="shared" ref="G21:BC21" si="5">G4-G12</f>
        <v>112.06298270999997</v>
      </c>
      <c r="H21" s="5020">
        <f t="shared" si="5"/>
        <v>178.15676189000004</v>
      </c>
      <c r="I21" s="5020">
        <f t="shared" si="5"/>
        <v>165.55554552999999</v>
      </c>
      <c r="J21" s="5020">
        <f t="shared" si="5"/>
        <v>162.98889330000003</v>
      </c>
      <c r="K21" s="5020">
        <f t="shared" ca="1" si="5"/>
        <v>133.81805214418756</v>
      </c>
      <c r="L21" s="5020">
        <f t="shared" ca="1" si="5"/>
        <v>94.043469686147802</v>
      </c>
      <c r="M21" s="5021">
        <f t="shared" ca="1" si="5"/>
        <v>108.71968392520776</v>
      </c>
      <c r="N21" s="5021">
        <f t="shared" ca="1" si="5"/>
        <v>120.95328176506467</v>
      </c>
      <c r="O21" s="5021">
        <f t="shared" ca="1" si="5"/>
        <v>135.81884585759724</v>
      </c>
      <c r="P21" s="5021">
        <f t="shared" ca="1" si="5"/>
        <v>140.95324534781275</v>
      </c>
      <c r="Q21" s="5021">
        <f t="shared" ca="1" si="5"/>
        <v>67.321749147599235</v>
      </c>
      <c r="R21" s="5021">
        <f t="shared" ca="1" si="5"/>
        <v>12.4241629396588</v>
      </c>
      <c r="S21" s="5021">
        <f t="shared" ca="1" si="5"/>
        <v>22.204773080917164</v>
      </c>
      <c r="T21" s="5021">
        <f t="shared" ca="1" si="5"/>
        <v>25.493520541286273</v>
      </c>
      <c r="U21" s="5036">
        <f t="shared" ca="1" si="5"/>
        <v>21.758537184939257</v>
      </c>
      <c r="V21" s="5021">
        <f t="shared" ca="1" si="5"/>
        <v>40.111154234171806</v>
      </c>
      <c r="W21" s="5021">
        <f t="shared" ca="1" si="5"/>
        <v>35.031876136194512</v>
      </c>
      <c r="X21" s="5021">
        <f t="shared" ca="1" si="5"/>
        <v>37.242531701404005</v>
      </c>
      <c r="Y21" s="5021">
        <f t="shared" ca="1" si="5"/>
        <v>46.119184921741351</v>
      </c>
      <c r="Z21" s="5021">
        <f t="shared" ca="1" si="5"/>
        <v>45.521806400526259</v>
      </c>
      <c r="AA21" s="5021">
        <f t="shared" ca="1" si="5"/>
        <v>38.814025131799838</v>
      </c>
      <c r="AB21" s="5021">
        <f t="shared" ca="1" si="5"/>
        <v>51.069875474854427</v>
      </c>
      <c r="AC21" s="5021">
        <f t="shared" ca="1" si="5"/>
        <v>48.724208657821748</v>
      </c>
      <c r="AD21" s="5021">
        <f t="shared" ca="1" si="5"/>
        <v>43.543782435385879</v>
      </c>
      <c r="AE21" s="5021">
        <f t="shared" ca="1" si="5"/>
        <v>44.338254379805107</v>
      </c>
      <c r="AF21" s="5021">
        <f t="shared" ca="1" si="5"/>
        <v>61.007207875035135</v>
      </c>
      <c r="AG21" s="5021">
        <f t="shared" ca="1" si="5"/>
        <v>65.051225333355717</v>
      </c>
      <c r="AH21" s="5021">
        <f t="shared" ca="1" si="5"/>
        <v>82.067953607770903</v>
      </c>
      <c r="AI21" s="5021">
        <f t="shared" ca="1" si="5"/>
        <v>79.863605839274896</v>
      </c>
      <c r="AJ21" s="5021">
        <f t="shared" ca="1" si="5"/>
        <v>80.544716500625725</v>
      </c>
      <c r="AK21" s="5021">
        <f t="shared" ca="1" si="5"/>
        <v>88.85350662205559</v>
      </c>
      <c r="AL21" s="5021">
        <f t="shared" ca="1" si="5"/>
        <v>92.410962537524881</v>
      </c>
      <c r="AM21" s="5021">
        <f t="shared" ca="1" si="5"/>
        <v>86.733222217981563</v>
      </c>
      <c r="AN21" s="5021">
        <f t="shared" ca="1" si="5"/>
        <v>98.343129524510857</v>
      </c>
      <c r="AO21" s="5021">
        <f t="shared" ca="1" si="5"/>
        <v>88.442050105389114</v>
      </c>
      <c r="AP21" s="5021">
        <f t="shared" ca="1" si="5"/>
        <v>95.574433939498931</v>
      </c>
      <c r="AQ21" s="5021">
        <f t="shared" ca="1" si="5"/>
        <v>107.66303139193406</v>
      </c>
      <c r="AR21" s="5021">
        <f t="shared" ca="1" si="5"/>
        <v>104.25234335853969</v>
      </c>
      <c r="AS21" s="5021">
        <f t="shared" ca="1" si="5"/>
        <v>105.07308345398332</v>
      </c>
      <c r="AT21" s="5021">
        <f t="shared" ca="1" si="5"/>
        <v>121.94883520521216</v>
      </c>
      <c r="AU21" s="5021">
        <f t="shared" ca="1" si="5"/>
        <v>122.34531221181476</v>
      </c>
      <c r="AV21" s="5021">
        <f t="shared" ca="1" si="5"/>
        <v>125.03765892802602</v>
      </c>
      <c r="AW21" s="5021">
        <f t="shared" ca="1" si="5"/>
        <v>135.63025161746822</v>
      </c>
      <c r="AX21" s="5021">
        <f t="shared" ca="1" si="5"/>
        <v>137.05140578472276</v>
      </c>
      <c r="AY21" s="5021">
        <f t="shared" ca="1" si="5"/>
        <v>-123.97761239101396</v>
      </c>
      <c r="AZ21" s="5021">
        <f t="shared" ca="1" si="5"/>
        <v>0</v>
      </c>
      <c r="BA21" s="5021">
        <f t="shared" ca="1" si="5"/>
        <v>0</v>
      </c>
      <c r="BB21" s="5021">
        <f t="shared" ca="1" si="5"/>
        <v>0</v>
      </c>
      <c r="BC21" s="5021">
        <f t="shared" ca="1" si="5"/>
        <v>0</v>
      </c>
    </row>
    <row r="22" spans="2:55" ht="17.100000000000001" customHeight="1">
      <c r="B22" s="720"/>
      <c r="C22" s="315" t="s">
        <v>1240</v>
      </c>
      <c r="D22" s="1259"/>
      <c r="E22" s="722"/>
      <c r="F22" s="5019">
        <f t="shared" si="1"/>
        <v>0</v>
      </c>
      <c r="G22" s="5020">
        <f>SUM(G23:G27)</f>
        <v>413.84688024999997</v>
      </c>
      <c r="H22" s="5020">
        <f>SUM(H23:H27)</f>
        <v>10.04545779</v>
      </c>
      <c r="I22" s="5020">
        <f>SUM(I23:I27)</f>
        <v>4.0888492400000001</v>
      </c>
      <c r="J22" s="5020">
        <f>SUM(J23:J27)</f>
        <v>5.90370229</v>
      </c>
      <c r="K22" s="5020">
        <f t="shared" ref="K22:BC22" si="6">SUM(K23:K23)</f>
        <v>0</v>
      </c>
      <c r="L22" s="5020">
        <f t="shared" si="6"/>
        <v>0</v>
      </c>
      <c r="M22" s="5021">
        <f t="shared" si="6"/>
        <v>0</v>
      </c>
      <c r="N22" s="5021">
        <f t="shared" si="6"/>
        <v>0</v>
      </c>
      <c r="O22" s="5021">
        <f t="shared" si="6"/>
        <v>0</v>
      </c>
      <c r="P22" s="5021">
        <f t="shared" si="6"/>
        <v>0</v>
      </c>
      <c r="Q22" s="5021">
        <f t="shared" si="6"/>
        <v>0</v>
      </c>
      <c r="R22" s="5021">
        <f t="shared" si="6"/>
        <v>0</v>
      </c>
      <c r="S22" s="5021">
        <f t="shared" si="6"/>
        <v>0</v>
      </c>
      <c r="T22" s="5021">
        <f t="shared" si="6"/>
        <v>0</v>
      </c>
      <c r="U22" s="5021">
        <f t="shared" si="6"/>
        <v>0</v>
      </c>
      <c r="V22" s="5021">
        <f t="shared" si="6"/>
        <v>0</v>
      </c>
      <c r="W22" s="5021">
        <f t="shared" si="6"/>
        <v>0</v>
      </c>
      <c r="X22" s="5021">
        <f t="shared" si="6"/>
        <v>0</v>
      </c>
      <c r="Y22" s="5021">
        <f t="shared" si="6"/>
        <v>0</v>
      </c>
      <c r="Z22" s="5021">
        <f t="shared" si="6"/>
        <v>0</v>
      </c>
      <c r="AA22" s="5021">
        <f t="shared" si="6"/>
        <v>0</v>
      </c>
      <c r="AB22" s="5021">
        <f t="shared" si="6"/>
        <v>0</v>
      </c>
      <c r="AC22" s="5021">
        <f t="shared" si="6"/>
        <v>0</v>
      </c>
      <c r="AD22" s="5021">
        <f t="shared" si="6"/>
        <v>0</v>
      </c>
      <c r="AE22" s="5021">
        <f t="shared" si="6"/>
        <v>0</v>
      </c>
      <c r="AF22" s="5021">
        <f t="shared" si="6"/>
        <v>0</v>
      </c>
      <c r="AG22" s="5021">
        <f t="shared" si="6"/>
        <v>0</v>
      </c>
      <c r="AH22" s="5021">
        <f t="shared" si="6"/>
        <v>0</v>
      </c>
      <c r="AI22" s="5021">
        <f t="shared" si="6"/>
        <v>0</v>
      </c>
      <c r="AJ22" s="5021">
        <f t="shared" si="6"/>
        <v>0</v>
      </c>
      <c r="AK22" s="5021">
        <f t="shared" si="6"/>
        <v>0</v>
      </c>
      <c r="AL22" s="5021">
        <f t="shared" si="6"/>
        <v>0</v>
      </c>
      <c r="AM22" s="5021">
        <f t="shared" si="6"/>
        <v>0</v>
      </c>
      <c r="AN22" s="5021">
        <f t="shared" si="6"/>
        <v>0</v>
      </c>
      <c r="AO22" s="5021">
        <f t="shared" si="6"/>
        <v>0</v>
      </c>
      <c r="AP22" s="5021">
        <f t="shared" si="6"/>
        <v>0</v>
      </c>
      <c r="AQ22" s="5021">
        <f t="shared" si="6"/>
        <v>0</v>
      </c>
      <c r="AR22" s="5021">
        <f t="shared" si="6"/>
        <v>0</v>
      </c>
      <c r="AS22" s="5021">
        <f t="shared" si="6"/>
        <v>0</v>
      </c>
      <c r="AT22" s="5021">
        <f t="shared" si="6"/>
        <v>0</v>
      </c>
      <c r="AU22" s="5021">
        <f t="shared" si="6"/>
        <v>0</v>
      </c>
      <c r="AV22" s="5021">
        <f t="shared" si="6"/>
        <v>0</v>
      </c>
      <c r="AW22" s="5021">
        <f t="shared" si="6"/>
        <v>0</v>
      </c>
      <c r="AX22" s="5021">
        <f t="shared" si="6"/>
        <v>0</v>
      </c>
      <c r="AY22" s="5021">
        <f t="shared" si="6"/>
        <v>0</v>
      </c>
      <c r="AZ22" s="5021">
        <f t="shared" si="6"/>
        <v>0</v>
      </c>
      <c r="BA22" s="5021">
        <f t="shared" si="6"/>
        <v>0</v>
      </c>
      <c r="BB22" s="5021">
        <f t="shared" si="6"/>
        <v>0</v>
      </c>
      <c r="BC22" s="5021">
        <f t="shared" si="6"/>
        <v>0</v>
      </c>
    </row>
    <row r="23" spans="2:55" ht="17.100000000000001" customHeight="1" outlineLevel="1">
      <c r="B23" s="307"/>
      <c r="D23" s="342" t="str">
        <f>'IS(Q)'!D28</f>
        <v>채무면제이익</v>
      </c>
      <c r="E23" s="943"/>
      <c r="F23" s="5022">
        <f t="shared" si="1"/>
        <v>0</v>
      </c>
      <c r="G23" s="5023">
        <v>13.854082610000001</v>
      </c>
      <c r="H23" s="5023">
        <v>9.8969509999999996</v>
      </c>
      <c r="I23" s="5023">
        <v>3.96754125</v>
      </c>
      <c r="J23" s="5023">
        <v>5.8719347099999997</v>
      </c>
      <c r="K23" s="5023">
        <f>SUMIF('IS(Q)'!$3:$3,K$3,'IS(Q)'!28:28)</f>
        <v>0</v>
      </c>
      <c r="L23" s="5023">
        <f>SUMIF('IS(Q)'!$3:$3,L$3,'IS(Q)'!28:28)</f>
        <v>0</v>
      </c>
      <c r="M23" s="5024">
        <f>SUMIF('IS(Q)'!$3:$3,M$3,'IS(Q)'!28:28)</f>
        <v>0</v>
      </c>
      <c r="N23" s="5024">
        <f>SUMIF('IS(Q)'!$3:$3,N$3,'IS(Q)'!28:28)</f>
        <v>0</v>
      </c>
      <c r="O23" s="5024">
        <f>SUMIF('IS(Q)'!$3:$3,O$3,'IS(Q)'!28:28)</f>
        <v>0</v>
      </c>
      <c r="P23" s="5024">
        <f>SUMIF('IS(Q)'!$3:$3,P$3,'IS(Q)'!28:28)</f>
        <v>0</v>
      </c>
      <c r="Q23" s="5024">
        <f>SUMIF('IS(Q)'!$3:$3,Q$3,'IS(Q)'!28:28)</f>
        <v>0</v>
      </c>
      <c r="R23" s="5024">
        <f>SUMIF('IS(Q)'!$3:$3,R$3,'IS(Q)'!28:28)</f>
        <v>0</v>
      </c>
      <c r="S23" s="5024">
        <f>SUMIF('IS(Q)'!$3:$3,S$3,'IS(Q)'!28:28)</f>
        <v>0</v>
      </c>
      <c r="T23" s="5024">
        <f>SUMIF('IS(Q)'!$3:$3,T$3,'IS(Q)'!28:28)</f>
        <v>0</v>
      </c>
      <c r="U23" s="5024">
        <f>SUMIF('IS(Q)'!$3:$3,U$3,'IS(Q)'!28:28)</f>
        <v>0</v>
      </c>
      <c r="V23" s="5024">
        <f>SUMIF('IS(Q)'!$3:$3,V$3,'IS(Q)'!28:28)</f>
        <v>0</v>
      </c>
      <c r="W23" s="5024">
        <f>SUMIF('IS(Q)'!$3:$3,W$3,'IS(Q)'!28:28)</f>
        <v>0</v>
      </c>
      <c r="X23" s="5024">
        <f>SUMIF('IS(Q)'!$3:$3,X$3,'IS(Q)'!28:28)</f>
        <v>0</v>
      </c>
      <c r="Y23" s="5024">
        <f>SUMIF('IS(Q)'!$3:$3,Y$3,'IS(Q)'!28:28)</f>
        <v>0</v>
      </c>
      <c r="Z23" s="5024">
        <f>SUMIF('IS(Q)'!$3:$3,Z$3,'IS(Q)'!28:28)</f>
        <v>0</v>
      </c>
      <c r="AA23" s="5024">
        <f>SUMIF('IS(Q)'!$3:$3,AA$3,'IS(Q)'!28:28)</f>
        <v>0</v>
      </c>
      <c r="AB23" s="5024">
        <f>SUMIF('IS(Q)'!$3:$3,AB$3,'IS(Q)'!28:28)</f>
        <v>0</v>
      </c>
      <c r="AC23" s="5024">
        <f>SUMIF('IS(Q)'!$3:$3,AC$3,'IS(Q)'!28:28)</f>
        <v>0</v>
      </c>
      <c r="AD23" s="5024">
        <f>SUMIF('IS(Q)'!$3:$3,AD$3,'IS(Q)'!28:28)</f>
        <v>0</v>
      </c>
      <c r="AE23" s="5024">
        <f>SUMIF('IS(Q)'!$3:$3,AE$3,'IS(Q)'!28:28)</f>
        <v>0</v>
      </c>
      <c r="AF23" s="5024">
        <f>SUMIF('IS(Q)'!$3:$3,AF$3,'IS(Q)'!28:28)</f>
        <v>0</v>
      </c>
      <c r="AG23" s="5024">
        <f>SUMIF('IS(Q)'!$3:$3,AG$3,'IS(Q)'!28:28)</f>
        <v>0</v>
      </c>
      <c r="AH23" s="5024">
        <f>SUMIF('IS(Q)'!$3:$3,AH$3,'IS(Q)'!28:28)</f>
        <v>0</v>
      </c>
      <c r="AI23" s="5024">
        <f>SUMIF('IS(Q)'!$3:$3,AI$3,'IS(Q)'!28:28)</f>
        <v>0</v>
      </c>
      <c r="AJ23" s="5024">
        <f>SUMIF('IS(Q)'!$3:$3,AJ$3,'IS(Q)'!28:28)</f>
        <v>0</v>
      </c>
      <c r="AK23" s="5024">
        <f>SUMIF('IS(Q)'!$3:$3,AK$3,'IS(Q)'!28:28)</f>
        <v>0</v>
      </c>
      <c r="AL23" s="5024">
        <f>SUMIF('IS(Q)'!$3:$3,AL$3,'IS(Q)'!28:28)</f>
        <v>0</v>
      </c>
      <c r="AM23" s="5024">
        <f>SUMIF('IS(Q)'!$3:$3,AM$3,'IS(Q)'!28:28)</f>
        <v>0</v>
      </c>
      <c r="AN23" s="5024">
        <f>SUMIF('IS(Q)'!$3:$3,AN$3,'IS(Q)'!28:28)</f>
        <v>0</v>
      </c>
      <c r="AO23" s="5024">
        <f>SUMIF('IS(Q)'!$3:$3,AO$3,'IS(Q)'!28:28)</f>
        <v>0</v>
      </c>
      <c r="AP23" s="5024">
        <f>SUMIF('IS(Q)'!$3:$3,AP$3,'IS(Q)'!28:28)</f>
        <v>0</v>
      </c>
      <c r="AQ23" s="5024">
        <f>SUMIF('IS(Q)'!$3:$3,AQ$3,'IS(Q)'!28:28)</f>
        <v>0</v>
      </c>
      <c r="AR23" s="5024">
        <f>SUMIF('IS(Q)'!$3:$3,AR$3,'IS(Q)'!28:28)</f>
        <v>0</v>
      </c>
      <c r="AS23" s="5024">
        <f>SUMIF('IS(Q)'!$3:$3,AS$3,'IS(Q)'!28:28)</f>
        <v>0</v>
      </c>
      <c r="AT23" s="5024">
        <f>SUMIF('IS(Q)'!$3:$3,AT$3,'IS(Q)'!28:28)</f>
        <v>0</v>
      </c>
      <c r="AU23" s="5024">
        <f>SUMIF('IS(Q)'!$3:$3,AU$3,'IS(Q)'!28:28)</f>
        <v>0</v>
      </c>
      <c r="AV23" s="5024">
        <f>SUMIF('IS(Q)'!$3:$3,AV$3,'IS(Q)'!28:28)</f>
        <v>0</v>
      </c>
      <c r="AW23" s="5024">
        <f>SUMIF('IS(Q)'!$3:$3,AW$3,'IS(Q)'!28:28)</f>
        <v>0</v>
      </c>
      <c r="AX23" s="5024">
        <f>SUMIF('IS(Q)'!$3:$3,AX$3,'IS(Q)'!28:28)</f>
        <v>0</v>
      </c>
      <c r="AY23" s="5024">
        <f>SUMIF('IS(Q)'!$3:$3,AY$3,'IS(Q)'!28:28)</f>
        <v>0</v>
      </c>
      <c r="AZ23" s="5024">
        <f>SUMIF('IS(Q)'!$3:$3,AZ$3,'IS(Q)'!28:28)</f>
        <v>0</v>
      </c>
      <c r="BA23" s="5024">
        <f>SUMIF('IS(Q)'!$3:$3,BA$3,'IS(Q)'!28:28)</f>
        <v>0</v>
      </c>
      <c r="BB23" s="5024">
        <f>SUMIF('IS(Q)'!$3:$3,BB$3,'IS(Q)'!28:28)</f>
        <v>0</v>
      </c>
      <c r="BC23" s="5024">
        <f>SUMIF('IS(Q)'!$3:$3,BC$3,'IS(Q)'!28:28)</f>
        <v>0</v>
      </c>
    </row>
    <row r="24" spans="2:55" ht="17.100000000000001" customHeight="1" outlineLevel="1">
      <c r="B24" s="307"/>
      <c r="D24" s="1274" t="s">
        <v>1296</v>
      </c>
      <c r="E24" s="742"/>
      <c r="F24" s="5025">
        <f t="shared" si="1"/>
        <v>0</v>
      </c>
      <c r="G24" s="5026">
        <v>28.479718900000002</v>
      </c>
      <c r="H24" s="5026">
        <v>0.14850679</v>
      </c>
      <c r="I24" s="5026"/>
      <c r="J24" s="5026"/>
      <c r="K24" s="5026"/>
      <c r="L24" s="5026"/>
      <c r="M24" s="5027"/>
      <c r="N24" s="5027"/>
      <c r="O24" s="5027"/>
      <c r="P24" s="5027"/>
      <c r="Q24" s="5027"/>
      <c r="R24" s="5027"/>
      <c r="S24" s="5027"/>
      <c r="T24" s="5027"/>
      <c r="U24" s="5027"/>
      <c r="V24" s="5027"/>
      <c r="W24" s="5027"/>
      <c r="X24" s="5027"/>
      <c r="Y24" s="5027"/>
      <c r="Z24" s="5027"/>
      <c r="AA24" s="5027"/>
      <c r="AB24" s="5027"/>
      <c r="AC24" s="5027"/>
      <c r="AD24" s="5027"/>
      <c r="AE24" s="5027"/>
      <c r="AF24" s="5027"/>
      <c r="AG24" s="5027"/>
      <c r="AH24" s="5027"/>
      <c r="AI24" s="5027"/>
      <c r="AJ24" s="5027"/>
      <c r="AK24" s="5027"/>
      <c r="AL24" s="5027"/>
      <c r="AM24" s="5027"/>
      <c r="AN24" s="5027"/>
      <c r="AO24" s="5027"/>
      <c r="AP24" s="5027"/>
      <c r="AQ24" s="5027"/>
      <c r="AR24" s="5027"/>
      <c r="AS24" s="5027"/>
      <c r="AT24" s="5027"/>
      <c r="AU24" s="5027"/>
      <c r="AV24" s="5027"/>
      <c r="AW24" s="5027"/>
      <c r="AX24" s="5027"/>
      <c r="AY24" s="5027"/>
      <c r="AZ24" s="5027"/>
      <c r="BA24" s="5027"/>
      <c r="BB24" s="5027"/>
      <c r="BC24" s="5027"/>
    </row>
    <row r="25" spans="2:55" ht="17.100000000000001" customHeight="1" outlineLevel="1">
      <c r="B25" s="307"/>
      <c r="D25" s="1274" t="s">
        <v>1297</v>
      </c>
      <c r="E25" s="742"/>
      <c r="F25" s="5025">
        <f t="shared" si="1"/>
        <v>0</v>
      </c>
      <c r="G25" s="5026">
        <v>59.937457629999997</v>
      </c>
      <c r="H25" s="5026"/>
      <c r="I25" s="5026"/>
      <c r="J25" s="5026"/>
      <c r="K25" s="5026"/>
      <c r="L25" s="5026"/>
      <c r="M25" s="5027"/>
      <c r="N25" s="5027"/>
      <c r="O25" s="5027"/>
      <c r="P25" s="5027"/>
      <c r="Q25" s="5027"/>
      <c r="R25" s="5027"/>
      <c r="S25" s="5027"/>
      <c r="T25" s="5027"/>
      <c r="U25" s="5027"/>
      <c r="V25" s="5027"/>
      <c r="W25" s="5027"/>
      <c r="X25" s="5027"/>
      <c r="Y25" s="5027"/>
      <c r="Z25" s="5027"/>
      <c r="AA25" s="5027"/>
      <c r="AB25" s="5027"/>
      <c r="AC25" s="5027"/>
      <c r="AD25" s="5027"/>
      <c r="AE25" s="5027"/>
      <c r="AF25" s="5027"/>
      <c r="AG25" s="5027"/>
      <c r="AH25" s="5027"/>
      <c r="AI25" s="5027"/>
      <c r="AJ25" s="5027"/>
      <c r="AK25" s="5027"/>
      <c r="AL25" s="5027"/>
      <c r="AM25" s="5027"/>
      <c r="AN25" s="5027"/>
      <c r="AO25" s="5027"/>
      <c r="AP25" s="5027"/>
      <c r="AQ25" s="5027"/>
      <c r="AR25" s="5027"/>
      <c r="AS25" s="5027"/>
      <c r="AT25" s="5027"/>
      <c r="AU25" s="5027"/>
      <c r="AV25" s="5027"/>
      <c r="AW25" s="5027"/>
      <c r="AX25" s="5027"/>
      <c r="AY25" s="5027"/>
      <c r="AZ25" s="5027"/>
      <c r="BA25" s="5027"/>
      <c r="BB25" s="5027"/>
      <c r="BC25" s="5027"/>
    </row>
    <row r="26" spans="2:55" ht="17.100000000000001" customHeight="1" outlineLevel="1">
      <c r="B26" s="307"/>
      <c r="D26" s="1274" t="s">
        <v>1298</v>
      </c>
      <c r="E26" s="742"/>
      <c r="F26" s="5025">
        <f t="shared" si="1"/>
        <v>0</v>
      </c>
      <c r="G26" s="5026">
        <v>311.34050038999999</v>
      </c>
      <c r="H26" s="5026"/>
      <c r="I26" s="5026"/>
      <c r="J26" s="5026"/>
      <c r="K26" s="5026"/>
      <c r="L26" s="5026"/>
      <c r="M26" s="5027"/>
      <c r="N26" s="5027"/>
      <c r="O26" s="5027"/>
      <c r="P26" s="5027"/>
      <c r="Q26" s="5027"/>
      <c r="R26" s="5027"/>
      <c r="S26" s="5027"/>
      <c r="T26" s="5027"/>
      <c r="U26" s="5027"/>
      <c r="V26" s="5027"/>
      <c r="W26" s="5027"/>
      <c r="X26" s="5027"/>
      <c r="Y26" s="5027"/>
      <c r="Z26" s="5027"/>
      <c r="AA26" s="5027"/>
      <c r="AB26" s="5027"/>
      <c r="AC26" s="5027"/>
      <c r="AD26" s="5027"/>
      <c r="AE26" s="5027"/>
      <c r="AF26" s="5027"/>
      <c r="AG26" s="5027"/>
      <c r="AH26" s="5027"/>
      <c r="AI26" s="5027"/>
      <c r="AJ26" s="5027"/>
      <c r="AK26" s="5027"/>
      <c r="AL26" s="5027"/>
      <c r="AM26" s="5027"/>
      <c r="AN26" s="5027"/>
      <c r="AO26" s="5027"/>
      <c r="AP26" s="5027"/>
      <c r="AQ26" s="5027"/>
      <c r="AR26" s="5027"/>
      <c r="AS26" s="5027"/>
      <c r="AT26" s="5027"/>
      <c r="AU26" s="5027"/>
      <c r="AV26" s="5027"/>
      <c r="AW26" s="5027"/>
      <c r="AX26" s="5027"/>
      <c r="AY26" s="5027"/>
      <c r="AZ26" s="5027"/>
      <c r="BA26" s="5027"/>
      <c r="BB26" s="5027"/>
      <c r="BC26" s="5027"/>
    </row>
    <row r="27" spans="2:55" ht="17.100000000000001" customHeight="1" outlineLevel="1">
      <c r="B27" s="307"/>
      <c r="D27" s="1282" t="s">
        <v>1299</v>
      </c>
      <c r="E27" s="742"/>
      <c r="F27" s="5025">
        <f t="shared" si="1"/>
        <v>0</v>
      </c>
      <c r="G27" s="5026">
        <v>0.23512072000000001</v>
      </c>
      <c r="H27" s="5026"/>
      <c r="I27" s="5026">
        <v>0.12130799</v>
      </c>
      <c r="J27" s="5026">
        <v>3.1767579999999997E-2</v>
      </c>
      <c r="K27" s="5026"/>
      <c r="L27" s="5026"/>
      <c r="M27" s="5027"/>
      <c r="N27" s="5027"/>
      <c r="O27" s="5027"/>
      <c r="P27" s="5027"/>
      <c r="Q27" s="5027"/>
      <c r="R27" s="5027"/>
      <c r="S27" s="5027"/>
      <c r="T27" s="5027"/>
      <c r="U27" s="5027"/>
      <c r="V27" s="5027"/>
      <c r="W27" s="5027"/>
      <c r="X27" s="5027"/>
      <c r="Y27" s="5027"/>
      <c r="Z27" s="5027"/>
      <c r="AA27" s="5027"/>
      <c r="AB27" s="5027"/>
      <c r="AC27" s="5027"/>
      <c r="AD27" s="5027"/>
      <c r="AE27" s="5027"/>
      <c r="AF27" s="5027"/>
      <c r="AG27" s="5027"/>
      <c r="AH27" s="5027"/>
      <c r="AI27" s="5027"/>
      <c r="AJ27" s="5027"/>
      <c r="AK27" s="5027"/>
      <c r="AL27" s="5027"/>
      <c r="AM27" s="5027"/>
      <c r="AN27" s="5027"/>
      <c r="AO27" s="5027"/>
      <c r="AP27" s="5027"/>
      <c r="AQ27" s="5027"/>
      <c r="AR27" s="5027"/>
      <c r="AS27" s="5027"/>
      <c r="AT27" s="5027"/>
      <c r="AU27" s="5027"/>
      <c r="AV27" s="5027"/>
      <c r="AW27" s="5027"/>
      <c r="AX27" s="5027"/>
      <c r="AY27" s="5027"/>
      <c r="AZ27" s="5027"/>
      <c r="BA27" s="5027"/>
      <c r="BB27" s="5027"/>
      <c r="BC27" s="5027"/>
    </row>
    <row r="28" spans="2:55" ht="17.100000000000001" customHeight="1">
      <c r="B28" s="720"/>
      <c r="C28" s="315" t="s">
        <v>1242</v>
      </c>
      <c r="D28" s="1259"/>
      <c r="E28" s="722"/>
      <c r="F28" s="5019">
        <f t="shared" ca="1" si="1"/>
        <v>186.5152636297874</v>
      </c>
      <c r="G28" s="5020">
        <f t="shared" ref="G28:AL28" si="7">SUM(G29:G32)</f>
        <v>89.198403389999996</v>
      </c>
      <c r="H28" s="5020">
        <f t="shared" si="7"/>
        <v>79.827119010000004</v>
      </c>
      <c r="I28" s="5020">
        <f t="shared" si="7"/>
        <v>73.474256949999997</v>
      </c>
      <c r="J28" s="5020">
        <f t="shared" si="7"/>
        <v>72.257530099999997</v>
      </c>
      <c r="K28" s="5020">
        <f t="shared" si="7"/>
        <v>59.555328849999995</v>
      </c>
      <c r="L28" s="5020">
        <f t="shared" si="7"/>
        <v>49.364548239999991</v>
      </c>
      <c r="M28" s="5021">
        <f t="shared" si="7"/>
        <v>46.725256546617359</v>
      </c>
      <c r="N28" s="5021">
        <f t="shared" ca="1" si="7"/>
        <v>42.220397166310228</v>
      </c>
      <c r="O28" s="5021">
        <f t="shared" ca="1" si="7"/>
        <v>34.736484787596602</v>
      </c>
      <c r="P28" s="5021">
        <f t="shared" ca="1" si="7"/>
        <v>27.128382796775917</v>
      </c>
      <c r="Q28" s="5021">
        <f t="shared" ca="1" si="7"/>
        <v>18.36362257914897</v>
      </c>
      <c r="R28" s="5021">
        <f t="shared" ca="1" si="7"/>
        <v>9.4896027321772767</v>
      </c>
      <c r="S28" s="5021">
        <f t="shared" ca="1" si="7"/>
        <v>4.503636614755953</v>
      </c>
      <c r="T28" s="5021">
        <f t="shared" ca="1" si="7"/>
        <v>2.6176297356191487</v>
      </c>
      <c r="U28" s="5021">
        <f t="shared" ca="1" si="7"/>
        <v>0.73025067078595352</v>
      </c>
      <c r="V28" s="5021">
        <f t="shared" ca="1" si="7"/>
        <v>0</v>
      </c>
      <c r="W28" s="5021">
        <f t="shared" ca="1" si="7"/>
        <v>0</v>
      </c>
      <c r="X28" s="5021">
        <f t="shared" ca="1" si="7"/>
        <v>0</v>
      </c>
      <c r="Y28" s="5021">
        <f t="shared" ca="1" si="7"/>
        <v>0</v>
      </c>
      <c r="Z28" s="5021">
        <f t="shared" ca="1" si="7"/>
        <v>0</v>
      </c>
      <c r="AA28" s="5021">
        <f t="shared" ca="1" si="7"/>
        <v>0</v>
      </c>
      <c r="AB28" s="5021">
        <f t="shared" ca="1" si="7"/>
        <v>0</v>
      </c>
      <c r="AC28" s="5021">
        <f t="shared" ca="1" si="7"/>
        <v>0</v>
      </c>
      <c r="AD28" s="5021">
        <f t="shared" ca="1" si="7"/>
        <v>0</v>
      </c>
      <c r="AE28" s="5021">
        <f t="shared" ca="1" si="7"/>
        <v>0</v>
      </c>
      <c r="AF28" s="5021">
        <f t="shared" ca="1" si="7"/>
        <v>0</v>
      </c>
      <c r="AG28" s="5021">
        <f t="shared" ca="1" si="7"/>
        <v>0</v>
      </c>
      <c r="AH28" s="5021">
        <f t="shared" ca="1" si="7"/>
        <v>0</v>
      </c>
      <c r="AI28" s="5021">
        <f t="shared" ca="1" si="7"/>
        <v>0</v>
      </c>
      <c r="AJ28" s="5021">
        <f t="shared" ca="1" si="7"/>
        <v>0</v>
      </c>
      <c r="AK28" s="5021">
        <f t="shared" ca="1" si="7"/>
        <v>0</v>
      </c>
      <c r="AL28" s="5021">
        <f t="shared" ca="1" si="7"/>
        <v>0</v>
      </c>
      <c r="AM28" s="5021">
        <f t="shared" ref="AM28:BC28" ca="1" si="8">SUM(AM29:AM32)</f>
        <v>0</v>
      </c>
      <c r="AN28" s="5021">
        <f t="shared" ca="1" si="8"/>
        <v>0</v>
      </c>
      <c r="AO28" s="5021">
        <f t="shared" ca="1" si="8"/>
        <v>0</v>
      </c>
      <c r="AP28" s="5021">
        <f t="shared" ca="1" si="8"/>
        <v>0</v>
      </c>
      <c r="AQ28" s="5021">
        <f t="shared" ca="1" si="8"/>
        <v>0</v>
      </c>
      <c r="AR28" s="5021">
        <f t="shared" ca="1" si="8"/>
        <v>0</v>
      </c>
      <c r="AS28" s="5021">
        <f t="shared" ca="1" si="8"/>
        <v>0</v>
      </c>
      <c r="AT28" s="5021">
        <f t="shared" ca="1" si="8"/>
        <v>0</v>
      </c>
      <c r="AU28" s="5021">
        <f t="shared" ca="1" si="8"/>
        <v>0</v>
      </c>
      <c r="AV28" s="5021">
        <f t="shared" ca="1" si="8"/>
        <v>0</v>
      </c>
      <c r="AW28" s="5021">
        <f t="shared" ca="1" si="8"/>
        <v>0</v>
      </c>
      <c r="AX28" s="5021">
        <f t="shared" ca="1" si="8"/>
        <v>0</v>
      </c>
      <c r="AY28" s="5021">
        <f t="shared" ca="1" si="8"/>
        <v>0</v>
      </c>
      <c r="AZ28" s="5021">
        <f t="shared" ca="1" si="8"/>
        <v>0</v>
      </c>
      <c r="BA28" s="5021">
        <f t="shared" ca="1" si="8"/>
        <v>0</v>
      </c>
      <c r="BB28" s="5021">
        <f t="shared" ca="1" si="8"/>
        <v>0</v>
      </c>
      <c r="BC28" s="5021">
        <f t="shared" si="8"/>
        <v>0</v>
      </c>
    </row>
    <row r="29" spans="2:55" ht="17.100000000000001" customHeight="1">
      <c r="B29" s="307"/>
      <c r="D29" s="342" t="str">
        <f>'IS(Q)'!D74</f>
        <v>기존차입금</v>
      </c>
      <c r="E29" s="943" t="s">
        <v>238</v>
      </c>
      <c r="F29" s="5022">
        <f t="shared" ca="1" si="1"/>
        <v>175.52091938499993</v>
      </c>
      <c r="G29" s="5023">
        <v>89.198403389999996</v>
      </c>
      <c r="H29" s="5023">
        <v>79.827119010000004</v>
      </c>
      <c r="I29" s="5023">
        <v>73.455683399999998</v>
      </c>
      <c r="J29" s="5023">
        <v>72.257506179999993</v>
      </c>
      <c r="K29" s="5023">
        <f>SUMIF('IS(Q)'!$3:$3,K$3,'IS(Q)'!30:30)</f>
        <v>59.555328849999995</v>
      </c>
      <c r="L29" s="5023">
        <f>SUMIF('IS(Q)'!$3:$3,L$3,'IS(Q)'!30:30)</f>
        <v>49.364548239999991</v>
      </c>
      <c r="M29" s="5024">
        <f>SUMIF('IS(Q)'!$3:$3,M$3,'IS(Q)'!30:30)</f>
        <v>44.086131449999996</v>
      </c>
      <c r="N29" s="5024">
        <f ca="1">SUMIF('IS(Q)'!$3:$3,N$3,'IS(Q)'!30:30)</f>
        <v>39.882194384999991</v>
      </c>
      <c r="O29" s="5024">
        <f ca="1">SUMIF('IS(Q)'!$3:$3,O$3,'IS(Q)'!30:30)</f>
        <v>32.713192104999997</v>
      </c>
      <c r="P29" s="5024">
        <f ca="1">SUMIF('IS(Q)'!$3:$3,P$3,'IS(Q)'!30:30)</f>
        <v>25.451805774999993</v>
      </c>
      <c r="Q29" s="5024">
        <f ca="1">SUMIF('IS(Q)'!$3:$3,Q$3,'IS(Q)'!30:30)</f>
        <v>17.192671704999995</v>
      </c>
      <c r="R29" s="5024">
        <f ca="1">SUMIF('IS(Q)'!$3:$3,R$3,'IS(Q)'!30:30)</f>
        <v>8.8781072049999974</v>
      </c>
      <c r="S29" s="5024">
        <f ca="1">SUMIF('IS(Q)'!$3:$3,S$3,'IS(Q)'!30:30)</f>
        <v>4.2127126799999957</v>
      </c>
      <c r="T29" s="5024">
        <f ca="1">SUMIF('IS(Q)'!$3:$3,T$3,'IS(Q)'!30:30)</f>
        <v>2.4389389199999956</v>
      </c>
      <c r="U29" s="5024">
        <f ca="1">SUMIF('IS(Q)'!$3:$3,U$3,'IS(Q)'!30:30)</f>
        <v>0.66516515999999648</v>
      </c>
      <c r="V29" s="5024">
        <f ca="1">SUMIF('IS(Q)'!$3:$3,V$3,'IS(Q)'!30:30)</f>
        <v>0</v>
      </c>
      <c r="W29" s="5024">
        <f ca="1">SUMIF('IS(Q)'!$3:$3,W$3,'IS(Q)'!30:30)</f>
        <v>0</v>
      </c>
      <c r="X29" s="5024">
        <f ca="1">SUMIF('IS(Q)'!$3:$3,X$3,'IS(Q)'!30:30)</f>
        <v>0</v>
      </c>
      <c r="Y29" s="5024">
        <f ca="1">SUMIF('IS(Q)'!$3:$3,Y$3,'IS(Q)'!30:30)</f>
        <v>0</v>
      </c>
      <c r="Z29" s="5024">
        <f ca="1">SUMIF('IS(Q)'!$3:$3,Z$3,'IS(Q)'!30:30)</f>
        <v>0</v>
      </c>
      <c r="AA29" s="5024">
        <f ca="1">SUMIF('IS(Q)'!$3:$3,AA$3,'IS(Q)'!30:30)</f>
        <v>0</v>
      </c>
      <c r="AB29" s="5024">
        <f ca="1">SUMIF('IS(Q)'!$3:$3,AB$3,'IS(Q)'!30:30)</f>
        <v>0</v>
      </c>
      <c r="AC29" s="5024">
        <f ca="1">SUMIF('IS(Q)'!$3:$3,AC$3,'IS(Q)'!30:30)</f>
        <v>0</v>
      </c>
      <c r="AD29" s="5024">
        <f ca="1">SUMIF('IS(Q)'!$3:$3,AD$3,'IS(Q)'!30:30)</f>
        <v>0</v>
      </c>
      <c r="AE29" s="5024">
        <f ca="1">SUMIF('IS(Q)'!$3:$3,AE$3,'IS(Q)'!30:30)</f>
        <v>0</v>
      </c>
      <c r="AF29" s="5024">
        <f ca="1">SUMIF('IS(Q)'!$3:$3,AF$3,'IS(Q)'!30:30)</f>
        <v>0</v>
      </c>
      <c r="AG29" s="5024">
        <f ca="1">SUMIF('IS(Q)'!$3:$3,AG$3,'IS(Q)'!30:30)</f>
        <v>0</v>
      </c>
      <c r="AH29" s="5024">
        <f ca="1">SUMIF('IS(Q)'!$3:$3,AH$3,'IS(Q)'!30:30)</f>
        <v>0</v>
      </c>
      <c r="AI29" s="5024">
        <f ca="1">SUMIF('IS(Q)'!$3:$3,AI$3,'IS(Q)'!30:30)</f>
        <v>0</v>
      </c>
      <c r="AJ29" s="5024">
        <f ca="1">SUMIF('IS(Q)'!$3:$3,AJ$3,'IS(Q)'!30:30)</f>
        <v>0</v>
      </c>
      <c r="AK29" s="5024">
        <f ca="1">SUMIF('IS(Q)'!$3:$3,AK$3,'IS(Q)'!30:30)</f>
        <v>0</v>
      </c>
      <c r="AL29" s="5024">
        <f ca="1">SUMIF('IS(Q)'!$3:$3,AL$3,'IS(Q)'!30:30)</f>
        <v>0</v>
      </c>
      <c r="AM29" s="5024">
        <f ca="1">SUMIF('IS(Q)'!$3:$3,AM$3,'IS(Q)'!30:30)</f>
        <v>0</v>
      </c>
      <c r="AN29" s="5024">
        <f ca="1">SUMIF('IS(Q)'!$3:$3,AN$3,'IS(Q)'!30:30)</f>
        <v>0</v>
      </c>
      <c r="AO29" s="5024">
        <f ca="1">SUMIF('IS(Q)'!$3:$3,AO$3,'IS(Q)'!30:30)</f>
        <v>0</v>
      </c>
      <c r="AP29" s="5024">
        <f ca="1">SUMIF('IS(Q)'!$3:$3,AP$3,'IS(Q)'!30:30)</f>
        <v>0</v>
      </c>
      <c r="AQ29" s="5024">
        <f ca="1">SUMIF('IS(Q)'!$3:$3,AQ$3,'IS(Q)'!30:30)</f>
        <v>0</v>
      </c>
      <c r="AR29" s="5024">
        <f ca="1">SUMIF('IS(Q)'!$3:$3,AR$3,'IS(Q)'!30:30)</f>
        <v>0</v>
      </c>
      <c r="AS29" s="5024">
        <f ca="1">SUMIF('IS(Q)'!$3:$3,AS$3,'IS(Q)'!30:30)</f>
        <v>0</v>
      </c>
      <c r="AT29" s="5024">
        <f ca="1">SUMIF('IS(Q)'!$3:$3,AT$3,'IS(Q)'!30:30)</f>
        <v>0</v>
      </c>
      <c r="AU29" s="5024">
        <f ca="1">SUMIF('IS(Q)'!$3:$3,AU$3,'IS(Q)'!30:30)</f>
        <v>0</v>
      </c>
      <c r="AV29" s="5024">
        <f ca="1">SUMIF('IS(Q)'!$3:$3,AV$3,'IS(Q)'!30:30)</f>
        <v>0</v>
      </c>
      <c r="AW29" s="5024">
        <f ca="1">SUMIF('IS(Q)'!$3:$3,AW$3,'IS(Q)'!30:30)</f>
        <v>0</v>
      </c>
      <c r="AX29" s="5024">
        <f ca="1">SUMIF('IS(Q)'!$3:$3,AX$3,'IS(Q)'!30:30)</f>
        <v>0</v>
      </c>
      <c r="AY29" s="5024">
        <f ca="1">SUMIF('IS(Q)'!$3:$3,AY$3,'IS(Q)'!30:30)</f>
        <v>0</v>
      </c>
      <c r="AZ29" s="5024">
        <f ca="1">SUMIF('IS(Q)'!$3:$3,AZ$3,'IS(Q)'!30:30)</f>
        <v>0</v>
      </c>
      <c r="BA29" s="5024">
        <f ca="1">SUMIF('IS(Q)'!$3:$3,BA$3,'IS(Q)'!30:30)</f>
        <v>0</v>
      </c>
      <c r="BB29" s="5024">
        <f ca="1">SUMIF('IS(Q)'!$3:$3,BB$3,'IS(Q)'!30:30)</f>
        <v>0</v>
      </c>
      <c r="BC29" s="5024">
        <f>SUMIF('IS(Q)'!$3:$3,BC$3,'IS(Q)'!30:30)</f>
        <v>0</v>
      </c>
    </row>
    <row r="30" spans="2:55" ht="17.100000000000001" customHeight="1">
      <c r="B30" s="307"/>
      <c r="D30" s="1274" t="str">
        <f>'IS(Q)'!D31</f>
        <v>위탁수수료미지급금</v>
      </c>
      <c r="E30" s="742" t="s">
        <v>1244</v>
      </c>
      <c r="F30" s="5025">
        <f t="shared" si="1"/>
        <v>0</v>
      </c>
      <c r="G30" s="5026">
        <f>SUMIF('IS(Q)'!3:3,G3,'IS(Q)'!31:31)</f>
        <v>0</v>
      </c>
      <c r="H30" s="5026">
        <f>SUMIF('IS(Q)'!3:3,H3,'IS(Q)'!31:31)</f>
        <v>0</v>
      </c>
      <c r="I30" s="5026">
        <f>SUMIF('IS(Q)'!3:3,I3,'IS(Q)'!31:31)</f>
        <v>0</v>
      </c>
      <c r="J30" s="5026">
        <f>SUMIF('IS(Q)'!3:3,J3,'IS(Q)'!31:31)</f>
        <v>0</v>
      </c>
      <c r="K30" s="5026">
        <f>SUMIF('IS(Q)'!3:3,K3,'IS(Q)'!31:31)</f>
        <v>0</v>
      </c>
      <c r="L30" s="5026">
        <f>SUMIF('IS(Q)'!3:3,L3,'IS(Q)'!31:31)</f>
        <v>0</v>
      </c>
      <c r="M30" s="5027">
        <f>SUMIF('IS(Q)'!3:3,M3,'IS(Q)'!31:31)</f>
        <v>0</v>
      </c>
      <c r="N30" s="5027">
        <f>SUMIF('IS(Q)'!3:3,N3,'IS(Q)'!31:31)</f>
        <v>0</v>
      </c>
      <c r="O30" s="5027">
        <f>SUMIF('IS(Q)'!3:3,O3,'IS(Q)'!31:31)</f>
        <v>0</v>
      </c>
      <c r="P30" s="5027">
        <f>SUMIF('IS(Q)'!3:3,P3,'IS(Q)'!31:31)</f>
        <v>0</v>
      </c>
      <c r="Q30" s="5027">
        <f>SUMIF('IS(Q)'!3:3,Q3,'IS(Q)'!31:31)</f>
        <v>0</v>
      </c>
      <c r="R30" s="5027">
        <f>SUMIF('IS(Q)'!3:3,R3,'IS(Q)'!31:31)</f>
        <v>0</v>
      </c>
      <c r="S30" s="5027">
        <f>SUMIF('IS(Q)'!3:3,S3,'IS(Q)'!31:31)</f>
        <v>0</v>
      </c>
      <c r="T30" s="5027">
        <f>SUMIF('IS(Q)'!3:3,T3,'IS(Q)'!31:31)</f>
        <v>0</v>
      </c>
      <c r="U30" s="5027">
        <f>SUMIF('IS(Q)'!3:3,U3,'IS(Q)'!31:31)</f>
        <v>0</v>
      </c>
      <c r="V30" s="5027">
        <f>SUMIF('IS(Q)'!3:3,V3,'IS(Q)'!31:31)</f>
        <v>0</v>
      </c>
      <c r="W30" s="5027">
        <f>SUMIF('IS(Q)'!3:3,W3,'IS(Q)'!31:31)</f>
        <v>0</v>
      </c>
      <c r="X30" s="5027">
        <f>SUMIF('IS(Q)'!3:3,X3,'IS(Q)'!31:31)</f>
        <v>0</v>
      </c>
      <c r="Y30" s="5027">
        <f>SUMIF('IS(Q)'!3:3,Y3,'IS(Q)'!31:31)</f>
        <v>0</v>
      </c>
      <c r="Z30" s="5027">
        <f>SUMIF('IS(Q)'!3:3,Z3,'IS(Q)'!31:31)</f>
        <v>0</v>
      </c>
      <c r="AA30" s="5027">
        <f>SUMIF('IS(Q)'!3:3,AA3,'IS(Q)'!31:31)</f>
        <v>0</v>
      </c>
      <c r="AB30" s="5027">
        <f>SUMIF('IS(Q)'!3:3,AB3,'IS(Q)'!31:31)</f>
        <v>0</v>
      </c>
      <c r="AC30" s="5027">
        <f>SUMIF('IS(Q)'!3:3,AC3,'IS(Q)'!31:31)</f>
        <v>0</v>
      </c>
      <c r="AD30" s="5027">
        <f>SUMIF('IS(Q)'!3:3,AD3,'IS(Q)'!31:31)</f>
        <v>0</v>
      </c>
      <c r="AE30" s="5027">
        <f>SUMIF('IS(Q)'!3:3,AE3,'IS(Q)'!31:31)</f>
        <v>0</v>
      </c>
      <c r="AF30" s="5027">
        <f>SUMIF('IS(Q)'!3:3,AF3,'IS(Q)'!31:31)</f>
        <v>0</v>
      </c>
      <c r="AG30" s="5027">
        <f>SUMIF('IS(Q)'!3:3,AG3,'IS(Q)'!31:31)</f>
        <v>0</v>
      </c>
      <c r="AH30" s="5027">
        <f>SUMIF('IS(Q)'!3:3,AH3,'IS(Q)'!31:31)</f>
        <v>0</v>
      </c>
      <c r="AI30" s="5027">
        <f>SUMIF('IS(Q)'!3:3,AI3,'IS(Q)'!31:31)</f>
        <v>0</v>
      </c>
      <c r="AJ30" s="5027">
        <f>SUMIF('IS(Q)'!3:3,AJ3,'IS(Q)'!31:31)</f>
        <v>0</v>
      </c>
      <c r="AK30" s="5027">
        <f>SUMIF('IS(Q)'!3:3,AK3,'IS(Q)'!31:31)</f>
        <v>0</v>
      </c>
      <c r="AL30" s="5027">
        <f>SUMIF('IS(Q)'!3:3,AL3,'IS(Q)'!31:31)</f>
        <v>0</v>
      </c>
      <c r="AM30" s="5027">
        <f>SUMIF('IS(Q)'!3:3,AM3,'IS(Q)'!31:31)</f>
        <v>0</v>
      </c>
      <c r="AN30" s="5027">
        <f>SUMIF('IS(Q)'!3:3,AN3,'IS(Q)'!31:31)</f>
        <v>0</v>
      </c>
      <c r="AO30" s="5027">
        <f>SUMIF('IS(Q)'!3:3,AO3,'IS(Q)'!31:31)</f>
        <v>0</v>
      </c>
      <c r="AP30" s="5027">
        <f>SUMIF('IS(Q)'!3:3,AP3,'IS(Q)'!31:31)</f>
        <v>0</v>
      </c>
      <c r="AQ30" s="5027">
        <f>SUMIF('IS(Q)'!3:3,AQ3,'IS(Q)'!31:31)</f>
        <v>0</v>
      </c>
      <c r="AR30" s="5027">
        <f>SUMIF('IS(Q)'!3:3,AR3,'IS(Q)'!31:31)</f>
        <v>0</v>
      </c>
      <c r="AS30" s="5027">
        <f>SUMIF('IS(Q)'!3:3,AS3,'IS(Q)'!31:31)</f>
        <v>0</v>
      </c>
      <c r="AT30" s="5027">
        <f>SUMIF('IS(Q)'!3:3,AT3,'IS(Q)'!31:31)</f>
        <v>0</v>
      </c>
      <c r="AU30" s="5027">
        <f>SUMIF('IS(Q)'!3:3,AU3,'IS(Q)'!31:31)</f>
        <v>0</v>
      </c>
      <c r="AV30" s="5027">
        <f>SUMIF('IS(Q)'!3:3,AV3,'IS(Q)'!31:31)</f>
        <v>0</v>
      </c>
      <c r="AW30" s="5027">
        <f>SUMIF('IS(Q)'!3:3,AW3,'IS(Q)'!31:31)</f>
        <v>0</v>
      </c>
      <c r="AX30" s="5027">
        <f>SUMIF('IS(Q)'!3:3,AX3,'IS(Q)'!31:31)</f>
        <v>0</v>
      </c>
      <c r="AY30" s="5027">
        <f>SUMIF('IS(Q)'!3:3,AY3,'IS(Q)'!31:31)</f>
        <v>0</v>
      </c>
      <c r="AZ30" s="5027">
        <f>SUMIF('IS(Q)'!3:3,AZ3,'IS(Q)'!31:31)</f>
        <v>0</v>
      </c>
      <c r="BA30" s="5027">
        <f>SUMIF('IS(Q)'!3:3,BA3,'IS(Q)'!31:31)</f>
        <v>0</v>
      </c>
      <c r="BB30" s="5027">
        <f>SUMIF('IS(Q)'!3:3,BB3,'IS(Q)'!31:31)</f>
        <v>0</v>
      </c>
      <c r="BC30" s="5027">
        <f>SUMIF('IS(Q)'!3:3,BC3,'IS(Q)'!31:31)</f>
        <v>0</v>
      </c>
    </row>
    <row r="31" spans="2:55" ht="17.100000000000001" customHeight="1">
      <c r="B31" s="307"/>
      <c r="D31" s="1274" t="str">
        <f>'IS(Q)'!D76</f>
        <v>상환우선주</v>
      </c>
      <c r="E31" s="742" t="s">
        <v>1244</v>
      </c>
      <c r="F31" s="5025">
        <f t="shared" ca="1" si="1"/>
        <v>0</v>
      </c>
      <c r="G31" s="5026"/>
      <c r="H31" s="5026"/>
      <c r="I31" s="5026">
        <v>1.8573550000000001E-2</v>
      </c>
      <c r="J31" s="5026">
        <v>2.3920000000000001E-5</v>
      </c>
      <c r="K31" s="5026">
        <f>SUMIF('IS(Q)'!$3:$3,K$3,'IS(Q)'!32:32)</f>
        <v>0</v>
      </c>
      <c r="L31" s="5026">
        <f>SUMIF('IS(Q)'!$3:$3,L$3,'IS(Q)'!32:32)</f>
        <v>0</v>
      </c>
      <c r="M31" s="5027">
        <f>SUMIF('IS(Q)'!$3:$3,M$3,'IS(Q)'!32:32)</f>
        <v>0</v>
      </c>
      <c r="N31" s="5027">
        <f>SUMIF('IS(Q)'!$3:$3,N$3,'IS(Q)'!32:32)</f>
        <v>0</v>
      </c>
      <c r="O31" s="5027">
        <f>SUMIF('IS(Q)'!$3:$3,O$3,'IS(Q)'!32:32)</f>
        <v>0</v>
      </c>
      <c r="P31" s="5027">
        <f>SUMIF('IS(Q)'!$3:$3,P$3,'IS(Q)'!32:32)</f>
        <v>0</v>
      </c>
      <c r="Q31" s="5027">
        <f>SUMIF('IS(Q)'!$3:$3,Q$3,'IS(Q)'!32:32)</f>
        <v>0</v>
      </c>
      <c r="R31" s="5027">
        <f ca="1">SUMIF('IS(Q)'!$3:$3,R$3,'IS(Q)'!32:32)</f>
        <v>0</v>
      </c>
      <c r="S31" s="5027">
        <f ca="1">SUMIF('IS(Q)'!$3:$3,S$3,'IS(Q)'!32:32)</f>
        <v>0</v>
      </c>
      <c r="T31" s="5027">
        <f ca="1">SUMIF('IS(Q)'!$3:$3,T$3,'IS(Q)'!32:32)</f>
        <v>0</v>
      </c>
      <c r="U31" s="5027">
        <f ca="1">SUMIF('IS(Q)'!$3:$3,U$3,'IS(Q)'!32:32)</f>
        <v>0</v>
      </c>
      <c r="V31" s="5027">
        <f ca="1">SUMIF('IS(Q)'!$3:$3,V$3,'IS(Q)'!32:32)</f>
        <v>0</v>
      </c>
      <c r="W31" s="5027">
        <f ca="1">SUMIF('IS(Q)'!$3:$3,W$3,'IS(Q)'!32:32)</f>
        <v>0</v>
      </c>
      <c r="X31" s="5027">
        <f ca="1">SUMIF('IS(Q)'!$3:$3,X$3,'IS(Q)'!32:32)</f>
        <v>0</v>
      </c>
      <c r="Y31" s="5027">
        <f ca="1">SUMIF('IS(Q)'!$3:$3,Y$3,'IS(Q)'!32:32)</f>
        <v>0</v>
      </c>
      <c r="Z31" s="5027">
        <f ca="1">SUMIF('IS(Q)'!$3:$3,Z$3,'IS(Q)'!32:32)</f>
        <v>0</v>
      </c>
      <c r="AA31" s="5027">
        <f ca="1">SUMIF('IS(Q)'!$3:$3,AA$3,'IS(Q)'!32:32)</f>
        <v>0</v>
      </c>
      <c r="AB31" s="5027">
        <f ca="1">SUMIF('IS(Q)'!$3:$3,AB$3,'IS(Q)'!32:32)</f>
        <v>0</v>
      </c>
      <c r="AC31" s="5027">
        <f ca="1">SUMIF('IS(Q)'!$3:$3,AC$3,'IS(Q)'!32:32)</f>
        <v>0</v>
      </c>
      <c r="AD31" s="5027">
        <f>SUMIF('IS(Q)'!$3:$3,AD$3,'IS(Q)'!32:32)</f>
        <v>0</v>
      </c>
      <c r="AE31" s="5027">
        <f>SUMIF('IS(Q)'!$3:$3,AE$3,'IS(Q)'!32:32)</f>
        <v>0</v>
      </c>
      <c r="AF31" s="5027">
        <f>SUMIF('IS(Q)'!$3:$3,AF$3,'IS(Q)'!32:32)</f>
        <v>0</v>
      </c>
      <c r="AG31" s="5027">
        <f>SUMIF('IS(Q)'!$3:$3,AG$3,'IS(Q)'!32:32)</f>
        <v>0</v>
      </c>
      <c r="AH31" s="5027">
        <f>SUMIF('IS(Q)'!$3:$3,AH$3,'IS(Q)'!32:32)</f>
        <v>0</v>
      </c>
      <c r="AI31" s="5027">
        <f>SUMIF('IS(Q)'!$3:$3,AI$3,'IS(Q)'!32:32)</f>
        <v>0</v>
      </c>
      <c r="AJ31" s="5027">
        <f>SUMIF('IS(Q)'!$3:$3,AJ$3,'IS(Q)'!32:32)</f>
        <v>0</v>
      </c>
      <c r="AK31" s="5027">
        <f>SUMIF('IS(Q)'!$3:$3,AK$3,'IS(Q)'!32:32)</f>
        <v>0</v>
      </c>
      <c r="AL31" s="5027">
        <f>SUMIF('IS(Q)'!$3:$3,AL$3,'IS(Q)'!32:32)</f>
        <v>0</v>
      </c>
      <c r="AM31" s="5027">
        <f>SUMIF('IS(Q)'!$3:$3,AM$3,'IS(Q)'!32:32)</f>
        <v>0</v>
      </c>
      <c r="AN31" s="5027">
        <f>SUMIF('IS(Q)'!$3:$3,AN$3,'IS(Q)'!32:32)</f>
        <v>0</v>
      </c>
      <c r="AO31" s="5027">
        <f>SUMIF('IS(Q)'!$3:$3,AO$3,'IS(Q)'!32:32)</f>
        <v>0</v>
      </c>
      <c r="AP31" s="5027">
        <f>SUMIF('IS(Q)'!$3:$3,AP$3,'IS(Q)'!32:32)</f>
        <v>0</v>
      </c>
      <c r="AQ31" s="5027">
        <f>SUMIF('IS(Q)'!$3:$3,AQ$3,'IS(Q)'!32:32)</f>
        <v>0</v>
      </c>
      <c r="AR31" s="5027">
        <f>SUMIF('IS(Q)'!$3:$3,AR$3,'IS(Q)'!32:32)</f>
        <v>0</v>
      </c>
      <c r="AS31" s="5027">
        <f>SUMIF('IS(Q)'!$3:$3,AS$3,'IS(Q)'!32:32)</f>
        <v>0</v>
      </c>
      <c r="AT31" s="5027">
        <f>SUMIF('IS(Q)'!$3:$3,AT$3,'IS(Q)'!32:32)</f>
        <v>0</v>
      </c>
      <c r="AU31" s="5027">
        <f>SUMIF('IS(Q)'!$3:$3,AU$3,'IS(Q)'!32:32)</f>
        <v>0</v>
      </c>
      <c r="AV31" s="5027">
        <f>SUMIF('IS(Q)'!$3:$3,AV$3,'IS(Q)'!32:32)</f>
        <v>0</v>
      </c>
      <c r="AW31" s="5027">
        <f>SUMIF('IS(Q)'!$3:$3,AW$3,'IS(Q)'!32:32)</f>
        <v>0</v>
      </c>
      <c r="AX31" s="5027">
        <f>SUMIF('IS(Q)'!$3:$3,AX$3,'IS(Q)'!32:32)</f>
        <v>0</v>
      </c>
      <c r="AY31" s="5027">
        <f>SUMIF('IS(Q)'!$3:$3,AY$3,'IS(Q)'!32:32)</f>
        <v>0</v>
      </c>
      <c r="AZ31" s="5027">
        <f>SUMIF('IS(Q)'!$3:$3,AZ$3,'IS(Q)'!32:32)</f>
        <v>0</v>
      </c>
      <c r="BA31" s="5027">
        <f>SUMIF('IS(Q)'!$3:$3,BA$3,'IS(Q)'!32:32)</f>
        <v>0</v>
      </c>
      <c r="BB31" s="5027">
        <f>SUMIF('IS(Q)'!$3:$3,BB$3,'IS(Q)'!32:32)</f>
        <v>0</v>
      </c>
      <c r="BC31" s="5027">
        <f>SUMIF('IS(Q)'!$3:$3,BC$3,'IS(Q)'!32:32)</f>
        <v>0</v>
      </c>
    </row>
    <row r="32" spans="2:55" s="4924" customFormat="1" ht="17.100000000000001" customHeight="1">
      <c r="B32" s="5017"/>
      <c r="D32" s="5018" t="s">
        <v>1245</v>
      </c>
      <c r="E32" s="727"/>
      <c r="F32" s="5027">
        <f t="shared" si="1"/>
        <v>10.994344244787444</v>
      </c>
      <c r="G32" s="5031"/>
      <c r="H32" s="5031"/>
      <c r="I32" s="5031"/>
      <c r="J32" s="5031"/>
      <c r="K32" s="5031"/>
      <c r="L32" s="5031"/>
      <c r="M32" s="5027">
        <f>SUMIFS(차입금상환!54:54,차입금상환!3:3,M3)</f>
        <v>2.6391250966173625</v>
      </c>
      <c r="N32" s="5027">
        <f>SUMIFS(차입금상환!54:54,차입금상환!3:3,N3)</f>
        <v>2.3382027813102351</v>
      </c>
      <c r="O32" s="5027">
        <f>SUMIFS(차입금상환!54:54,차입금상환!3:3,O3)</f>
        <v>2.0232926825966033</v>
      </c>
      <c r="P32" s="5027">
        <f>SUMIFS(차입금상환!54:54,차입금상환!3:3,P3)</f>
        <v>1.6765770217759219</v>
      </c>
      <c r="Q32" s="5027">
        <f>SUMIFS(차입금상환!54:54,차입금상환!3:3,Q3)</f>
        <v>1.1709508741489745</v>
      </c>
      <c r="R32" s="5027">
        <f>SUMIFS(차입금상환!54:54,차입금상환!3:3,R3)</f>
        <v>0.61149552717727895</v>
      </c>
      <c r="S32" s="5035">
        <f>SUMIFS(차입금상환!54:54,차입금상환!3:3,S3)</f>
        <v>0.29092393475595746</v>
      </c>
      <c r="T32" s="5035">
        <f>SUMIFS(차입금상환!54:54,차입금상환!3:3,T3)</f>
        <v>0.17869081561915306</v>
      </c>
      <c r="U32" s="5035">
        <f>SUMIFS(차입금상환!54:54,차입금상환!3:3,U3)</f>
        <v>6.5085510785957035E-2</v>
      </c>
      <c r="V32" s="5027">
        <f>SUMIFS(차입금상환!54:54,차입금상환!3:3,V3)</f>
        <v>0</v>
      </c>
      <c r="W32" s="5027">
        <f>SUMIFS(차입금상환!54:54,차입금상환!3:3,W3)</f>
        <v>0</v>
      </c>
      <c r="X32" s="5027">
        <f>SUMIFS(차입금상환!54:54,차입금상환!3:3,X3)</f>
        <v>0</v>
      </c>
      <c r="Y32" s="5027">
        <f>SUMIFS(차입금상환!54:54,차입금상환!3:3,Y3)</f>
        <v>0</v>
      </c>
      <c r="Z32" s="5027">
        <f>SUMIFS(차입금상환!54:54,차입금상환!3:3,Z3)</f>
        <v>0</v>
      </c>
      <c r="AA32" s="5027">
        <f>SUMIFS(차입금상환!54:54,차입금상환!3:3,AA3)</f>
        <v>0</v>
      </c>
      <c r="AB32" s="5027">
        <f>SUMIFS(차입금상환!54:54,차입금상환!3:3,AB3)</f>
        <v>0</v>
      </c>
      <c r="AC32" s="5027">
        <f>SUMIFS(차입금상환!54:54,차입금상환!3:3,AC3)</f>
        <v>0</v>
      </c>
      <c r="AD32" s="5027">
        <f>SUMIFS(차입금상환!54:54,차입금상환!3:3,AD3)</f>
        <v>0</v>
      </c>
      <c r="AE32" s="5027">
        <f>SUMIFS(차입금상환!54:54,차입금상환!3:3,AE3)</f>
        <v>0</v>
      </c>
      <c r="AF32" s="5027">
        <f>SUMIFS(차입금상환!54:54,차입금상환!3:3,AF3)</f>
        <v>0</v>
      </c>
      <c r="AG32" s="5027">
        <f>SUMIFS(차입금상환!54:54,차입금상환!3:3,AG3)</f>
        <v>0</v>
      </c>
      <c r="AH32" s="5027">
        <f>SUMIFS(차입금상환!54:54,차입금상환!3:3,AH3)</f>
        <v>0</v>
      </c>
      <c r="AI32" s="5027">
        <f>SUMIFS(차입금상환!54:54,차입금상환!3:3,AI3)</f>
        <v>0</v>
      </c>
      <c r="AJ32" s="5027">
        <f>SUMIFS(차입금상환!54:54,차입금상환!3:3,AJ3)</f>
        <v>0</v>
      </c>
      <c r="AK32" s="5027">
        <f>SUMIFS(차입금상환!54:54,차입금상환!3:3,AK3)</f>
        <v>0</v>
      </c>
      <c r="AL32" s="5027">
        <f>SUMIFS(차입금상환!54:54,차입금상환!3:3,AL3)</f>
        <v>0</v>
      </c>
      <c r="AM32" s="5027">
        <f>SUMIFS(차입금상환!54:54,차입금상환!3:3,AM3)</f>
        <v>0</v>
      </c>
      <c r="AN32" s="5027">
        <f>SUMIFS(차입금상환!54:54,차입금상환!3:3,AN3)</f>
        <v>0</v>
      </c>
      <c r="AO32" s="5027">
        <f>SUMIFS(차입금상환!54:54,차입금상환!3:3,AO3)</f>
        <v>0</v>
      </c>
      <c r="AP32" s="5027">
        <f>SUMIFS(차입금상환!54:54,차입금상환!3:3,AP3)</f>
        <v>0</v>
      </c>
      <c r="AQ32" s="5027">
        <f>SUMIFS(차입금상환!54:54,차입금상환!3:3,AQ3)</f>
        <v>0</v>
      </c>
      <c r="AR32" s="5027">
        <f>SUMIFS(차입금상환!54:54,차입금상환!3:3,AR3)</f>
        <v>0</v>
      </c>
      <c r="AS32" s="5027">
        <f>SUMIFS(차입금상환!54:54,차입금상환!3:3,AS3)</f>
        <v>0</v>
      </c>
      <c r="AT32" s="5027">
        <f>SUMIFS(차입금상환!54:54,차입금상환!3:3,AT3)</f>
        <v>0</v>
      </c>
      <c r="AU32" s="5027">
        <f>SUMIFS(차입금상환!54:54,차입금상환!3:3,AU3)</f>
        <v>0</v>
      </c>
      <c r="AV32" s="5027">
        <f>SUMIFS(차입금상환!54:54,차입금상환!3:3,AV3)</f>
        <v>0</v>
      </c>
      <c r="AW32" s="5027">
        <f>SUMIFS(차입금상환!54:54,차입금상환!3:3,AW3)</f>
        <v>0</v>
      </c>
      <c r="AX32" s="5027">
        <f>SUMIFS(차입금상환!54:54,차입금상환!3:3,AX3)</f>
        <v>0</v>
      </c>
      <c r="AY32" s="5027">
        <f>SUMIFS(차입금상환!54:54,차입금상환!3:3,AY3)</f>
        <v>0</v>
      </c>
      <c r="AZ32" s="5027">
        <f>SUMIFS(차입금상환!54:54,차입금상환!3:3,AZ3)</f>
        <v>0</v>
      </c>
      <c r="BA32" s="5027">
        <f>SUMIFS(차입금상환!54:54,차입금상환!3:3,BA3)</f>
        <v>0</v>
      </c>
      <c r="BB32" s="5027">
        <f>SUMIFS(차입금상환!54:54,차입금상환!3:3,BB3)</f>
        <v>0</v>
      </c>
      <c r="BC32" s="5027">
        <f>SUMIFS(차입금상환!54:54,차입금상환!3:3,BC3)</f>
        <v>0</v>
      </c>
    </row>
    <row r="33" spans="2:55" ht="17.100000000000001" customHeight="1">
      <c r="B33" s="720"/>
      <c r="C33" s="315" t="s">
        <v>1246</v>
      </c>
      <c r="D33" s="1259"/>
      <c r="E33" s="738"/>
      <c r="F33" s="5021">
        <f t="shared" ca="1" si="1"/>
        <v>2653.5655592977109</v>
      </c>
      <c r="G33" s="5020">
        <f t="shared" ref="G33:BC33" si="9">G21+G22-G28</f>
        <v>436.71145956999993</v>
      </c>
      <c r="H33" s="5020">
        <f t="shared" si="9"/>
        <v>108.37510067000004</v>
      </c>
      <c r="I33" s="5020">
        <f t="shared" si="9"/>
        <v>96.170137819999994</v>
      </c>
      <c r="J33" s="5020">
        <f t="shared" si="9"/>
        <v>96.635065490000045</v>
      </c>
      <c r="K33" s="5020">
        <f t="shared" ca="1" si="9"/>
        <v>74.262723294187566</v>
      </c>
      <c r="L33" s="5020">
        <f t="shared" ca="1" si="9"/>
        <v>44.678921446147811</v>
      </c>
      <c r="M33" s="5021">
        <f t="shared" ca="1" si="9"/>
        <v>61.994427378590402</v>
      </c>
      <c r="N33" s="5021">
        <f t="shared" ca="1" si="9"/>
        <v>78.732884598754453</v>
      </c>
      <c r="O33" s="5021">
        <f t="shared" ca="1" si="9"/>
        <v>101.08236107000064</v>
      </c>
      <c r="P33" s="5021">
        <f t="shared" ca="1" si="9"/>
        <v>113.82486255103683</v>
      </c>
      <c r="Q33" s="5021">
        <f t="shared" ca="1" si="9"/>
        <v>48.958126568450268</v>
      </c>
      <c r="R33" s="5021">
        <f t="shared" ca="1" si="9"/>
        <v>2.9345602074815229</v>
      </c>
      <c r="S33" s="5021">
        <f t="shared" ca="1" si="9"/>
        <v>17.701136466161209</v>
      </c>
      <c r="T33" s="5021">
        <f t="shared" ca="1" si="9"/>
        <v>22.875890805667126</v>
      </c>
      <c r="U33" s="5021">
        <f t="shared" ca="1" si="9"/>
        <v>21.028286514153304</v>
      </c>
      <c r="V33" s="5021">
        <f t="shared" ca="1" si="9"/>
        <v>40.111154234171806</v>
      </c>
      <c r="W33" s="5021">
        <f t="shared" ca="1" si="9"/>
        <v>35.031876136194512</v>
      </c>
      <c r="X33" s="5021">
        <f t="shared" ca="1" si="9"/>
        <v>37.242531701404005</v>
      </c>
      <c r="Y33" s="5021">
        <f t="shared" ca="1" si="9"/>
        <v>46.119184921741351</v>
      </c>
      <c r="Z33" s="5021">
        <f t="shared" ca="1" si="9"/>
        <v>45.521806400526259</v>
      </c>
      <c r="AA33" s="5021">
        <f t="shared" ca="1" si="9"/>
        <v>38.814025131799838</v>
      </c>
      <c r="AB33" s="5021">
        <f t="shared" ca="1" si="9"/>
        <v>51.069875474854427</v>
      </c>
      <c r="AC33" s="5021">
        <f t="shared" ca="1" si="9"/>
        <v>48.724208657821748</v>
      </c>
      <c r="AD33" s="5021">
        <f t="shared" ca="1" si="9"/>
        <v>43.543782435385879</v>
      </c>
      <c r="AE33" s="5021">
        <f t="shared" ca="1" si="9"/>
        <v>44.338254379805107</v>
      </c>
      <c r="AF33" s="5021">
        <f t="shared" ca="1" si="9"/>
        <v>61.007207875035135</v>
      </c>
      <c r="AG33" s="5021">
        <f t="shared" ca="1" si="9"/>
        <v>65.051225333355717</v>
      </c>
      <c r="AH33" s="5021">
        <f t="shared" ca="1" si="9"/>
        <v>82.067953607770903</v>
      </c>
      <c r="AI33" s="5021">
        <f t="shared" ca="1" si="9"/>
        <v>79.863605839274896</v>
      </c>
      <c r="AJ33" s="5021">
        <f t="shared" ca="1" si="9"/>
        <v>80.544716500625725</v>
      </c>
      <c r="AK33" s="5021">
        <f t="shared" ca="1" si="9"/>
        <v>88.85350662205559</v>
      </c>
      <c r="AL33" s="5021">
        <f t="shared" ca="1" si="9"/>
        <v>92.410962537524881</v>
      </c>
      <c r="AM33" s="5021">
        <f t="shared" ca="1" si="9"/>
        <v>86.733222217981563</v>
      </c>
      <c r="AN33" s="5021">
        <f t="shared" ca="1" si="9"/>
        <v>98.343129524510857</v>
      </c>
      <c r="AO33" s="5021">
        <f t="shared" ca="1" si="9"/>
        <v>88.442050105389114</v>
      </c>
      <c r="AP33" s="5021">
        <f t="shared" ca="1" si="9"/>
        <v>95.574433939498931</v>
      </c>
      <c r="AQ33" s="5021">
        <f t="shared" ca="1" si="9"/>
        <v>107.66303139193406</v>
      </c>
      <c r="AR33" s="5021">
        <f t="shared" ca="1" si="9"/>
        <v>104.25234335853969</v>
      </c>
      <c r="AS33" s="5021">
        <f t="shared" ca="1" si="9"/>
        <v>105.07308345398332</v>
      </c>
      <c r="AT33" s="5021">
        <f t="shared" ca="1" si="9"/>
        <v>121.94883520521216</v>
      </c>
      <c r="AU33" s="5021">
        <f t="shared" ca="1" si="9"/>
        <v>122.34531221181476</v>
      </c>
      <c r="AV33" s="5021">
        <f t="shared" ca="1" si="9"/>
        <v>125.03765892802602</v>
      </c>
      <c r="AW33" s="5021">
        <f t="shared" ca="1" si="9"/>
        <v>135.63025161746822</v>
      </c>
      <c r="AX33" s="5021">
        <f t="shared" ca="1" si="9"/>
        <v>137.05140578472276</v>
      </c>
      <c r="AY33" s="5021">
        <f t="shared" ca="1" si="9"/>
        <v>-123.97761239101396</v>
      </c>
      <c r="AZ33" s="5021">
        <f t="shared" ca="1" si="9"/>
        <v>0</v>
      </c>
      <c r="BA33" s="5021">
        <f t="shared" ca="1" si="9"/>
        <v>0</v>
      </c>
      <c r="BB33" s="5021">
        <f t="shared" ca="1" si="9"/>
        <v>0</v>
      </c>
      <c r="BC33" s="5021">
        <f t="shared" ca="1" si="9"/>
        <v>0</v>
      </c>
    </row>
    <row r="34" spans="2:55" ht="17.100000000000001" customHeight="1">
      <c r="B34" s="930"/>
      <c r="C34" s="758" t="s">
        <v>252</v>
      </c>
      <c r="D34" s="931"/>
      <c r="E34" s="771"/>
      <c r="F34" s="5032">
        <f t="shared" ca="1" si="1"/>
        <v>555.75573907253295</v>
      </c>
      <c r="G34" s="5033"/>
      <c r="H34" s="5033">
        <v>5.2524451900000004</v>
      </c>
      <c r="I34" s="5033">
        <v>4.1721859300000004</v>
      </c>
      <c r="J34" s="5033">
        <v>6.54642357</v>
      </c>
      <c r="K34" s="5033">
        <f>SUMIF('IS(Q)'!$3:$3,K$3,'IS(Q)'!35:35)</f>
        <v>5.3392381200000001</v>
      </c>
      <c r="L34" s="5033">
        <f>SUMIF('IS(Q)'!$3:$3,L$3,'IS(Q)'!35:35)</f>
        <v>7.5251328600000003</v>
      </c>
      <c r="M34" s="5034">
        <f ca="1">SUMIF('IS(Q)'!$3:$3,M$3,'IS(Q)'!35:35)</f>
        <v>5.2355096093159554</v>
      </c>
      <c r="N34" s="5034">
        <f ca="1">SUMIF('IS(Q)'!$3:$3,N$3,'IS(Q)'!35:35)</f>
        <v>6.7084938446903912</v>
      </c>
      <c r="O34" s="5034">
        <f ca="1">SUMIF('IS(Q)'!$3:$3,O$3,'IS(Q)'!35:35)</f>
        <v>8.6752477741600575</v>
      </c>
      <c r="P34" s="5034">
        <f ca="1">SUMIF('IS(Q)'!$3:$3,P$3,'IS(Q)'!35:35)</f>
        <v>9.7965879044912416</v>
      </c>
      <c r="Q34" s="5034">
        <f ca="1">SUMIF('IS(Q)'!$3:$3,Q$3,'IS(Q)'!35:35)</f>
        <v>10.550787845059059</v>
      </c>
      <c r="R34" s="5034">
        <f ca="1">SUMIF('IS(Q)'!$3:$3,R$3,'IS(Q)'!35:35)</f>
        <v>0.42560324564593505</v>
      </c>
      <c r="S34" s="5034">
        <f ca="1">SUMIF('IS(Q)'!$3:$3,S$3,'IS(Q)'!35:35)</f>
        <v>3.6742500225554662</v>
      </c>
      <c r="T34" s="5037">
        <f ca="1">SUMIF('IS(Q)'!$3:$3,T$3,'IS(Q)'!35:35)</f>
        <v>4.8126959772467677</v>
      </c>
      <c r="U34" s="5034">
        <f ca="1">SUMIF('IS(Q)'!$3:$3,U$3,'IS(Q)'!35:35)</f>
        <v>4.4062230331137267</v>
      </c>
      <c r="V34" s="5034">
        <f ca="1">SUMIF('IS(Q)'!$3:$3,V$3,'IS(Q)'!35:35)</f>
        <v>8.6044539315177975</v>
      </c>
      <c r="W34" s="5034">
        <f ca="1">SUMIF('IS(Q)'!$3:$3,W$3,'IS(Q)'!35:35)</f>
        <v>7.4870127499627923</v>
      </c>
      <c r="X34" s="5034">
        <f ca="1">SUMIF('IS(Q)'!$3:$3,X$3,'IS(Q)'!35:35)</f>
        <v>7.9733569743088806</v>
      </c>
      <c r="Y34" s="5034">
        <f ca="1">SUMIF('IS(Q)'!$3:$3,Y$3,'IS(Q)'!35:35)</f>
        <v>9.9262206827830983</v>
      </c>
      <c r="Z34" s="5034">
        <f ca="1">SUMIF('IS(Q)'!$3:$3,Z$3,'IS(Q)'!35:35)</f>
        <v>9.7947974081157785</v>
      </c>
      <c r="AA34" s="5034">
        <f ca="1">SUMIF('IS(Q)'!$3:$3,AA$3,'IS(Q)'!35:35)</f>
        <v>8.3190855289959647</v>
      </c>
      <c r="AB34" s="5034">
        <f ca="1">SUMIF('IS(Q)'!$3:$3,AB$3,'IS(Q)'!35:35)</f>
        <v>11.015372604467975</v>
      </c>
      <c r="AC34" s="5034">
        <f ca="1">SUMIF('IS(Q)'!$3:$3,AC$3,'IS(Q)'!35:35)</f>
        <v>10.499325904720786</v>
      </c>
      <c r="AD34" s="5034">
        <f ca="1">SUMIF('IS(Q)'!$3:$3,AD$3,'IS(Q)'!35:35)</f>
        <v>9.3596321357848939</v>
      </c>
      <c r="AE34" s="5034">
        <f ca="1">SUMIF('IS(Q)'!$3:$3,AE$3,'IS(Q)'!35:35)</f>
        <v>9.5344159635571248</v>
      </c>
      <c r="AF34" s="5034">
        <f ca="1">SUMIF('IS(Q)'!$3:$3,AF$3,'IS(Q)'!35:35)</f>
        <v>13.201585732507731</v>
      </c>
      <c r="AG34" s="5034">
        <f ca="1">SUMIF('IS(Q)'!$3:$3,AG$3,'IS(Q)'!35:35)</f>
        <v>14.091269573338259</v>
      </c>
      <c r="AH34" s="5034">
        <f ca="1">SUMIF('IS(Q)'!$3:$3,AH$3,'IS(Q)'!35:35)</f>
        <v>17.834949793709598</v>
      </c>
      <c r="AI34" s="5034">
        <f ca="1">SUMIF('IS(Q)'!$3:$3,AI$3,'IS(Q)'!35:35)</f>
        <v>17.349993284640476</v>
      </c>
      <c r="AJ34" s="5034">
        <f ca="1">SUMIF('IS(Q)'!$3:$3,AJ$3,'IS(Q)'!35:35)</f>
        <v>17.499837630137659</v>
      </c>
      <c r="AK34" s="5034">
        <f ca="1">SUMIF('IS(Q)'!$3:$3,AK$3,'IS(Q)'!35:35)</f>
        <v>19.327771456852229</v>
      </c>
      <c r="AL34" s="5034">
        <f ca="1">SUMIF('IS(Q)'!$3:$3,AL$3,'IS(Q)'!35:35)</f>
        <v>20.110411758255474</v>
      </c>
      <c r="AM34" s="5034">
        <f ca="1">SUMIF('IS(Q)'!$3:$3,AM$3,'IS(Q)'!35:35)</f>
        <v>18.861308887955943</v>
      </c>
      <c r="AN34" s="5034">
        <f ca="1">SUMIF('IS(Q)'!$3:$3,AN$3,'IS(Q)'!35:35)</f>
        <v>21.415488495392388</v>
      </c>
      <c r="AO34" s="5034">
        <f ca="1">SUMIF('IS(Q)'!$3:$3,AO$3,'IS(Q)'!35:35)</f>
        <v>19.237251023185603</v>
      </c>
      <c r="AP34" s="5034">
        <f ca="1">SUMIF('IS(Q)'!$3:$3,AP$3,'IS(Q)'!35:35)</f>
        <v>20.806375466689765</v>
      </c>
      <c r="AQ34" s="5034">
        <f ca="1">SUMIF('IS(Q)'!$3:$3,AQ$3,'IS(Q)'!35:35)</f>
        <v>23.465866906225489</v>
      </c>
      <c r="AR34" s="5034">
        <f ca="1">SUMIF('IS(Q)'!$3:$3,AR$3,'IS(Q)'!35:35)</f>
        <v>22.71551553887873</v>
      </c>
      <c r="AS34" s="5034">
        <f ca="1">SUMIF('IS(Q)'!$3:$3,AS$3,'IS(Q)'!35:35)</f>
        <v>22.896078359876327</v>
      </c>
      <c r="AT34" s="5034">
        <f ca="1">SUMIF('IS(Q)'!$3:$3,AT$3,'IS(Q)'!35:35)</f>
        <v>26.608743745146676</v>
      </c>
      <c r="AU34" s="5034">
        <f ca="1">SUMIF('IS(Q)'!$3:$3,AU$3,'IS(Q)'!35:35)</f>
        <v>26.695968686599247</v>
      </c>
      <c r="AV34" s="5034">
        <f ca="1">SUMIF('IS(Q)'!$3:$3,AV$3,'IS(Q)'!35:35)</f>
        <v>27.288284964165722</v>
      </c>
      <c r="AW34" s="5034">
        <f ca="1">SUMIF('IS(Q)'!$3:$3,AW$3,'IS(Q)'!35:35)</f>
        <v>29.618655355843007</v>
      </c>
      <c r="AX34" s="5034">
        <f ca="1">SUMIF('IS(Q)'!$3:$3,AX$3,'IS(Q)'!35:35)</f>
        <v>29.931309272639005</v>
      </c>
      <c r="AY34" s="5034">
        <f ca="1">SUMIF('IS(Q)'!$3:$3,AY$3,'IS(Q)'!35:35)</f>
        <v>0</v>
      </c>
      <c r="AZ34" s="5034">
        <f>SUMIF('IS(Q)'!$3:$3,AZ$3,'IS(Q)'!35:35)</f>
        <v>0</v>
      </c>
      <c r="BA34" s="5034">
        <f>SUMIF('IS(Q)'!$3:$3,BA$3,'IS(Q)'!35:35)</f>
        <v>0</v>
      </c>
      <c r="BB34" s="5034">
        <f>SUMIF('IS(Q)'!$3:$3,BB$3,'IS(Q)'!35:35)</f>
        <v>0</v>
      </c>
      <c r="BC34" s="5034">
        <f>SUMIF('IS(Q)'!$3:$3,BC$3,'IS(Q)'!35:35)</f>
        <v>0</v>
      </c>
    </row>
    <row r="35" spans="2:55" ht="17.100000000000001" customHeight="1">
      <c r="B35" s="930"/>
      <c r="C35" s="758" t="s">
        <v>1247</v>
      </c>
      <c r="D35" s="931"/>
      <c r="E35" s="771"/>
      <c r="F35" s="5032">
        <f t="shared" ca="1" si="1"/>
        <v>2097.8098202251776</v>
      </c>
      <c r="G35" s="5033">
        <f t="shared" ref="G35:BC35" si="10">G33-G34</f>
        <v>436.71145956999993</v>
      </c>
      <c r="H35" s="5033">
        <f t="shared" si="10"/>
        <v>103.12265548000003</v>
      </c>
      <c r="I35" s="5033">
        <f t="shared" si="10"/>
        <v>91.997951889999996</v>
      </c>
      <c r="J35" s="5033">
        <f t="shared" si="10"/>
        <v>90.088641920000043</v>
      </c>
      <c r="K35" s="5033">
        <f t="shared" ca="1" si="10"/>
        <v>68.923485174187562</v>
      </c>
      <c r="L35" s="5033">
        <f t="shared" ca="1" si="10"/>
        <v>37.153788586147812</v>
      </c>
      <c r="M35" s="5034">
        <f t="shared" ca="1" si="10"/>
        <v>56.758917769274447</v>
      </c>
      <c r="N35" s="5034">
        <f t="shared" ca="1" si="10"/>
        <v>72.024390754064058</v>
      </c>
      <c r="O35" s="5034">
        <f t="shared" ca="1" si="10"/>
        <v>92.407113295840588</v>
      </c>
      <c r="P35" s="5034">
        <f t="shared" ca="1" si="10"/>
        <v>104.02827464654558</v>
      </c>
      <c r="Q35" s="5034">
        <f t="shared" ca="1" si="10"/>
        <v>38.407338723391206</v>
      </c>
      <c r="R35" s="5034">
        <f t="shared" ca="1" si="10"/>
        <v>2.508956961835588</v>
      </c>
      <c r="S35" s="5034">
        <f t="shared" ca="1" si="10"/>
        <v>14.026886443605743</v>
      </c>
      <c r="T35" s="5034">
        <f t="shared" ca="1" si="10"/>
        <v>18.063194828420357</v>
      </c>
      <c r="U35" s="5034">
        <f t="shared" ca="1" si="10"/>
        <v>16.622063481039579</v>
      </c>
      <c r="V35" s="5034">
        <f t="shared" ca="1" si="10"/>
        <v>31.506700302654011</v>
      </c>
      <c r="W35" s="5034">
        <f t="shared" ca="1" si="10"/>
        <v>27.544863386231718</v>
      </c>
      <c r="X35" s="5034">
        <f t="shared" ca="1" si="10"/>
        <v>29.269174727095123</v>
      </c>
      <c r="Y35" s="5034">
        <f t="shared" ca="1" si="10"/>
        <v>36.192964238958254</v>
      </c>
      <c r="Z35" s="5034">
        <f t="shared" ca="1" si="10"/>
        <v>35.727008992410482</v>
      </c>
      <c r="AA35" s="5034">
        <f t="shared" ca="1" si="10"/>
        <v>30.494939602803875</v>
      </c>
      <c r="AB35" s="5034">
        <f t="shared" ca="1" si="10"/>
        <v>40.05450287038645</v>
      </c>
      <c r="AC35" s="5034">
        <f t="shared" ca="1" si="10"/>
        <v>38.224882753100964</v>
      </c>
      <c r="AD35" s="5034">
        <f t="shared" ca="1" si="10"/>
        <v>34.184150299600987</v>
      </c>
      <c r="AE35" s="5034">
        <f t="shared" ca="1" si="10"/>
        <v>34.803838416247984</v>
      </c>
      <c r="AF35" s="5034">
        <f t="shared" ca="1" si="10"/>
        <v>47.805622142527405</v>
      </c>
      <c r="AG35" s="5034">
        <f t="shared" ca="1" si="10"/>
        <v>50.959955760017458</v>
      </c>
      <c r="AH35" s="5034">
        <f t="shared" ca="1" si="10"/>
        <v>64.233003814061306</v>
      </c>
      <c r="AI35" s="5034">
        <f t="shared" ca="1" si="10"/>
        <v>62.51361255463442</v>
      </c>
      <c r="AJ35" s="5034">
        <f t="shared" ca="1" si="10"/>
        <v>63.044878870488063</v>
      </c>
      <c r="AK35" s="5034">
        <f t="shared" ca="1" si="10"/>
        <v>69.525735165203358</v>
      </c>
      <c r="AL35" s="5034">
        <f t="shared" ca="1" si="10"/>
        <v>72.3005507792694</v>
      </c>
      <c r="AM35" s="5034">
        <f t="shared" ca="1" si="10"/>
        <v>67.87191333002562</v>
      </c>
      <c r="AN35" s="5034">
        <f t="shared" ca="1" si="10"/>
        <v>76.927641029118462</v>
      </c>
      <c r="AO35" s="5034">
        <f t="shared" ca="1" si="10"/>
        <v>69.204799082203508</v>
      </c>
      <c r="AP35" s="5034">
        <f t="shared" ca="1" si="10"/>
        <v>74.768058472809173</v>
      </c>
      <c r="AQ35" s="5034">
        <f t="shared" ca="1" si="10"/>
        <v>84.197164485708569</v>
      </c>
      <c r="AR35" s="5034">
        <f t="shared" ca="1" si="10"/>
        <v>81.536827819660957</v>
      </c>
      <c r="AS35" s="5034">
        <f t="shared" ca="1" si="10"/>
        <v>82.177005094106988</v>
      </c>
      <c r="AT35" s="5034">
        <f t="shared" ca="1" si="10"/>
        <v>95.34009146006548</v>
      </c>
      <c r="AU35" s="5034">
        <f t="shared" ca="1" si="10"/>
        <v>95.649343525215514</v>
      </c>
      <c r="AV35" s="5034">
        <f t="shared" ca="1" si="10"/>
        <v>97.749373963860293</v>
      </c>
      <c r="AW35" s="5034">
        <f t="shared" ca="1" si="10"/>
        <v>106.01159626162521</v>
      </c>
      <c r="AX35" s="5034">
        <f t="shared" ca="1" si="10"/>
        <v>107.12009651208376</v>
      </c>
      <c r="AY35" s="5034">
        <f t="shared" ca="1" si="10"/>
        <v>-123.97761239101396</v>
      </c>
      <c r="AZ35" s="5034">
        <f t="shared" ca="1" si="10"/>
        <v>0</v>
      </c>
      <c r="BA35" s="5034">
        <f t="shared" ca="1" si="10"/>
        <v>0</v>
      </c>
      <c r="BB35" s="5034">
        <f t="shared" ca="1" si="10"/>
        <v>0</v>
      </c>
      <c r="BC35" s="5034">
        <f t="shared" ca="1" si="10"/>
        <v>0</v>
      </c>
    </row>
    <row r="36" spans="2:55" ht="17.100000000000001" customHeight="1">
      <c r="B36" s="315"/>
      <c r="C36" s="315"/>
      <c r="D36" s="1259"/>
      <c r="E36" s="1497"/>
      <c r="F36" s="1498"/>
      <c r="G36" s="1498"/>
      <c r="H36" s="1498"/>
      <c r="I36" s="1498"/>
      <c r="J36" s="1498"/>
      <c r="K36" s="1499"/>
      <c r="L36" s="1499"/>
      <c r="M36" s="1499"/>
      <c r="N36" s="1499"/>
      <c r="O36" s="1499"/>
      <c r="P36" s="1499"/>
      <c r="Q36" s="1499"/>
      <c r="R36" s="1499"/>
      <c r="S36" s="1499"/>
      <c r="T36" s="1499"/>
      <c r="U36" s="1499"/>
      <c r="V36" s="1499"/>
      <c r="W36" s="1499"/>
      <c r="X36" s="1500"/>
      <c r="Y36" s="1499"/>
      <c r="Z36" s="1499"/>
      <c r="AA36" s="1499"/>
      <c r="AB36" s="1499"/>
      <c r="AC36" s="1499"/>
      <c r="AD36" s="1499"/>
      <c r="AE36" s="1499"/>
      <c r="AF36" s="1499"/>
      <c r="AG36" s="1499"/>
      <c r="AH36" s="1499"/>
      <c r="AI36" s="1499"/>
      <c r="AJ36" s="1499"/>
      <c r="AK36" s="1499"/>
      <c r="AL36" s="1499"/>
      <c r="AM36" s="1499"/>
      <c r="AN36" s="1499"/>
      <c r="AO36" s="1499"/>
      <c r="AP36" s="1499"/>
      <c r="AQ36" s="1499"/>
      <c r="AR36" s="1499"/>
      <c r="AS36" s="1499"/>
      <c r="AT36" s="1499"/>
      <c r="AU36" s="1499"/>
      <c r="AV36" s="1499"/>
      <c r="AW36" s="1499"/>
      <c r="AX36" s="1499"/>
      <c r="AY36" s="1499"/>
      <c r="AZ36" s="1499"/>
      <c r="BA36" s="1499"/>
      <c r="BB36" s="1499"/>
      <c r="BC36" s="1499"/>
    </row>
  </sheetData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DB6A9-EE2B-4104-9758-4E1EBF1BE3D6}">
  <sheetPr codeName="Sheet29"/>
  <dimension ref="A1:BB86"/>
  <sheetViews>
    <sheetView showGridLines="0" topLeftCell="A28" zoomScaleNormal="100" workbookViewId="0">
      <pane xSplit="7" topLeftCell="H1" activePane="topRight" state="frozen"/>
      <selection activeCell="C10" sqref="C10"/>
      <selection pane="topRight" activeCell="L42" sqref="L42"/>
    </sheetView>
  </sheetViews>
  <sheetFormatPr defaultColWidth="0" defaultRowHeight="17.100000000000001" customHeight="1" outlineLevelRow="1"/>
  <cols>
    <col min="1" max="1" width="1.6640625" style="17" customWidth="1"/>
    <col min="2" max="3" width="2.109375" style="17" customWidth="1"/>
    <col min="4" max="4" width="17.77734375" style="17" customWidth="1"/>
    <col min="5" max="5" width="5" style="17" customWidth="1"/>
    <col min="6" max="6" width="8.44140625" style="17" customWidth="1"/>
    <col min="7" max="52" width="6.33203125" style="17" customWidth="1"/>
    <col min="53" max="54" width="6.33203125" style="17" hidden="1" customWidth="1"/>
    <col min="55" max="16384" width="6.33203125" style="17" hidden="1"/>
  </cols>
  <sheetData>
    <row r="1" spans="1:54" ht="9" customHeight="1"/>
    <row r="2" spans="1:54" s="1887" customFormat="1" ht="17.100000000000001" customHeight="1">
      <c r="A2" s="1885"/>
      <c r="B2" s="1886" t="s">
        <v>1384</v>
      </c>
    </row>
    <row r="3" spans="1:54" s="16" customFormat="1" ht="17.100000000000001" customHeight="1" outlineLevel="1">
      <c r="D3" s="1888"/>
      <c r="G3" s="16">
        <f t="shared" ref="G3:AY3" si="0">G10</f>
        <v>2020</v>
      </c>
      <c r="H3" s="16">
        <f t="shared" si="0"/>
        <v>2021</v>
      </c>
      <c r="I3" s="16">
        <f t="shared" si="0"/>
        <v>2022</v>
      </c>
      <c r="J3" s="16">
        <f t="shared" si="0"/>
        <v>2023</v>
      </c>
      <c r="K3" s="16">
        <f t="shared" si="0"/>
        <v>2024</v>
      </c>
      <c r="L3" s="16">
        <f t="shared" si="0"/>
        <v>2025</v>
      </c>
      <c r="M3" s="16">
        <f t="shared" si="0"/>
        <v>2026</v>
      </c>
      <c r="N3" s="16">
        <f t="shared" si="0"/>
        <v>2027</v>
      </c>
      <c r="O3" s="16">
        <f t="shared" si="0"/>
        <v>2028</v>
      </c>
      <c r="P3" s="16">
        <f t="shared" si="0"/>
        <v>2029</v>
      </c>
      <c r="Q3" s="16">
        <f t="shared" si="0"/>
        <v>2030</v>
      </c>
      <c r="R3" s="16">
        <f t="shared" si="0"/>
        <v>2031</v>
      </c>
      <c r="S3" s="16">
        <f t="shared" si="0"/>
        <v>2032</v>
      </c>
      <c r="T3" s="16">
        <f t="shared" si="0"/>
        <v>2033</v>
      </c>
      <c r="U3" s="16">
        <f t="shared" si="0"/>
        <v>2034</v>
      </c>
      <c r="V3" s="16">
        <f t="shared" si="0"/>
        <v>2035</v>
      </c>
      <c r="W3" s="16">
        <f t="shared" si="0"/>
        <v>2036</v>
      </c>
      <c r="X3" s="16">
        <f t="shared" si="0"/>
        <v>2037</v>
      </c>
      <c r="Y3" s="16">
        <f t="shared" si="0"/>
        <v>2038</v>
      </c>
      <c r="Z3" s="16">
        <f t="shared" si="0"/>
        <v>2039</v>
      </c>
      <c r="AA3" s="16">
        <f t="shared" si="0"/>
        <v>2040</v>
      </c>
      <c r="AB3" s="16">
        <f t="shared" si="0"/>
        <v>2041</v>
      </c>
      <c r="AC3" s="16">
        <f t="shared" si="0"/>
        <v>2042</v>
      </c>
      <c r="AD3" s="16">
        <f t="shared" si="0"/>
        <v>2043</v>
      </c>
      <c r="AE3" s="16">
        <f t="shared" si="0"/>
        <v>2044</v>
      </c>
      <c r="AF3" s="16">
        <f t="shared" si="0"/>
        <v>2045</v>
      </c>
      <c r="AG3" s="16">
        <f t="shared" si="0"/>
        <v>2046</v>
      </c>
      <c r="AH3" s="16">
        <f t="shared" si="0"/>
        <v>2047</v>
      </c>
      <c r="AI3" s="16">
        <f t="shared" si="0"/>
        <v>2048</v>
      </c>
      <c r="AJ3" s="16">
        <f t="shared" si="0"/>
        <v>2049</v>
      </c>
      <c r="AK3" s="16">
        <f t="shared" si="0"/>
        <v>2050</v>
      </c>
      <c r="AL3" s="16">
        <f t="shared" si="0"/>
        <v>2051</v>
      </c>
      <c r="AM3" s="16">
        <f t="shared" si="0"/>
        <v>2052</v>
      </c>
      <c r="AN3" s="16">
        <f t="shared" si="0"/>
        <v>2053</v>
      </c>
      <c r="AO3" s="16">
        <f t="shared" si="0"/>
        <v>2054</v>
      </c>
      <c r="AP3" s="16">
        <f t="shared" si="0"/>
        <v>2055</v>
      </c>
      <c r="AQ3" s="16">
        <f t="shared" si="0"/>
        <v>2056</v>
      </c>
      <c r="AR3" s="16">
        <f t="shared" si="0"/>
        <v>2057</v>
      </c>
      <c r="AS3" s="16">
        <f t="shared" si="0"/>
        <v>2058</v>
      </c>
      <c r="AT3" s="16">
        <f t="shared" si="0"/>
        <v>2059</v>
      </c>
      <c r="AU3" s="16">
        <f t="shared" si="0"/>
        <v>2060</v>
      </c>
      <c r="AV3" s="16">
        <f t="shared" si="0"/>
        <v>2061</v>
      </c>
      <c r="AW3" s="16">
        <f t="shared" si="0"/>
        <v>2062</v>
      </c>
      <c r="AX3" s="16">
        <f t="shared" si="0"/>
        <v>2063</v>
      </c>
      <c r="AY3" s="16">
        <f t="shared" si="0"/>
        <v>2064</v>
      </c>
    </row>
    <row r="4" spans="1:54" s="16" customFormat="1" ht="17.100000000000001" customHeight="1" outlineLevel="1">
      <c r="D4" s="1888"/>
      <c r="G4" s="1889">
        <f>Index!H18</f>
        <v>1</v>
      </c>
      <c r="H4" s="1889">
        <f>Index!I18</f>
        <v>1</v>
      </c>
      <c r="I4" s="1889">
        <f>Index!J18</f>
        <v>1</v>
      </c>
      <c r="J4" s="1889">
        <f>Index!K18</f>
        <v>1</v>
      </c>
      <c r="K4" s="1889">
        <f>Index!L18</f>
        <v>1</v>
      </c>
      <c r="L4" s="1889">
        <f>Index!M18</f>
        <v>1</v>
      </c>
      <c r="M4" s="1889">
        <f>Index!N18</f>
        <v>1</v>
      </c>
      <c r="N4" s="1889">
        <f>Index!O18</f>
        <v>1</v>
      </c>
      <c r="O4" s="1889">
        <f>Index!P18</f>
        <v>1</v>
      </c>
      <c r="P4" s="1889">
        <f>Index!Q18</f>
        <v>1</v>
      </c>
      <c r="Q4" s="1889">
        <f>Index!R18</f>
        <v>1</v>
      </c>
      <c r="R4" s="1889">
        <f>Index!S18</f>
        <v>1</v>
      </c>
      <c r="S4" s="1889">
        <f>Index!T18</f>
        <v>1</v>
      </c>
      <c r="T4" s="1889">
        <f>Index!U18</f>
        <v>1</v>
      </c>
      <c r="U4" s="1889">
        <f>Index!V18</f>
        <v>1</v>
      </c>
      <c r="V4" s="1889">
        <f>Index!W18</f>
        <v>1</v>
      </c>
      <c r="W4" s="1889">
        <f>Index!X18</f>
        <v>1</v>
      </c>
      <c r="X4" s="1889">
        <f>Index!Y18</f>
        <v>1</v>
      </c>
      <c r="Y4" s="1889">
        <f>Index!Z18</f>
        <v>1</v>
      </c>
      <c r="Z4" s="1889">
        <f>Index!AA18</f>
        <v>1</v>
      </c>
      <c r="AA4" s="1889">
        <f>Index!AB18</f>
        <v>1</v>
      </c>
      <c r="AB4" s="1889">
        <f>Index!AC18</f>
        <v>1</v>
      </c>
      <c r="AC4" s="1889">
        <f>Index!AD18</f>
        <v>1</v>
      </c>
      <c r="AD4" s="1889">
        <f>Index!AE18</f>
        <v>1</v>
      </c>
      <c r="AE4" s="1889">
        <f>Index!AF18</f>
        <v>1</v>
      </c>
      <c r="AF4" s="1889">
        <f>Index!AG18</f>
        <v>1</v>
      </c>
      <c r="AG4" s="1889">
        <f>Index!AH18</f>
        <v>1</v>
      </c>
      <c r="AH4" s="1889">
        <f>Index!AI18</f>
        <v>1</v>
      </c>
      <c r="AI4" s="1889">
        <f>Index!AJ18</f>
        <v>1</v>
      </c>
      <c r="AJ4" s="1889">
        <f>Index!AK18</f>
        <v>1</v>
      </c>
      <c r="AK4" s="1889">
        <f>Index!AL18</f>
        <v>1</v>
      </c>
      <c r="AL4" s="1889">
        <f>Index!AM18</f>
        <v>1</v>
      </c>
      <c r="AM4" s="1889">
        <f>Index!AN18</f>
        <v>1</v>
      </c>
      <c r="AN4" s="1889">
        <f>Index!AO18</f>
        <v>1</v>
      </c>
      <c r="AO4" s="1889">
        <f>Index!AP18</f>
        <v>1</v>
      </c>
      <c r="AP4" s="1889">
        <f>Index!AQ18</f>
        <v>1</v>
      </c>
      <c r="AQ4" s="1889">
        <f>Index!AR18</f>
        <v>1</v>
      </c>
      <c r="AR4" s="1889">
        <f>Index!AS18</f>
        <v>1</v>
      </c>
      <c r="AS4" s="1889">
        <f>Index!AT18</f>
        <v>1</v>
      </c>
      <c r="AT4" s="1889">
        <f>Index!AU18</f>
        <v>0.5</v>
      </c>
      <c r="AU4" s="1889">
        <f>Index!AV18</f>
        <v>0</v>
      </c>
      <c r="AV4" s="1889">
        <f>Index!AW18</f>
        <v>0</v>
      </c>
      <c r="AW4" s="1889">
        <f>Index!AX18</f>
        <v>0</v>
      </c>
      <c r="AX4" s="1889">
        <f>Index!AY18</f>
        <v>0</v>
      </c>
      <c r="AY4" s="1889">
        <f>Index!AZ18</f>
        <v>0</v>
      </c>
      <c r="AZ4" s="1890"/>
      <c r="BA4" s="1890"/>
      <c r="BB4" s="1890"/>
    </row>
    <row r="5" spans="1:54" s="1891" customFormat="1" ht="17.100000000000001" customHeight="1" outlineLevel="1">
      <c r="C5" s="1892"/>
      <c r="D5" s="1893"/>
      <c r="E5" s="1893"/>
      <c r="F5" s="1894"/>
      <c r="G5" s="1894"/>
      <c r="H5" s="1894"/>
      <c r="I5" s="1894"/>
      <c r="J5" s="1894"/>
      <c r="K5" s="1894"/>
      <c r="L5" s="1894"/>
      <c r="M5" s="1894"/>
      <c r="N5" s="1894"/>
      <c r="O5" s="1894"/>
      <c r="P5" s="1894"/>
      <c r="Q5" s="1894"/>
      <c r="R5" s="1894"/>
      <c r="S5" s="1894"/>
      <c r="T5" s="1894"/>
      <c r="U5" s="1894"/>
      <c r="V5" s="1894"/>
      <c r="W5" s="1894"/>
      <c r="X5" s="1894"/>
      <c r="Y5" s="1894"/>
      <c r="Z5" s="1894"/>
      <c r="AA5" s="1894"/>
      <c r="AB5" s="1894"/>
      <c r="AC5" s="1894"/>
      <c r="AD5" s="1894"/>
      <c r="AE5" s="1894"/>
      <c r="AF5" s="1894"/>
      <c r="AG5" s="1894"/>
      <c r="AH5" s="1894"/>
      <c r="AI5" s="1894"/>
      <c r="AJ5" s="1894"/>
      <c r="AK5" s="1894"/>
      <c r="AL5" s="1894"/>
      <c r="AM5" s="1894"/>
      <c r="AN5" s="1894"/>
      <c r="AO5" s="1894"/>
      <c r="AP5" s="1894"/>
      <c r="AQ5" s="1894"/>
      <c r="AT5" s="1894"/>
      <c r="AU5" s="1894"/>
      <c r="AV5" s="1894"/>
      <c r="AW5" s="1894"/>
      <c r="AX5" s="1894"/>
      <c r="AY5" s="1894"/>
      <c r="AZ5" s="1894"/>
    </row>
    <row r="7" spans="1:54" s="16" customFormat="1" ht="14.25" customHeight="1">
      <c r="B7" s="15" t="s">
        <v>3708</v>
      </c>
    </row>
    <row r="8" spans="1:54" s="16" customFormat="1" ht="14.25" customHeight="1">
      <c r="B8" s="17"/>
      <c r="C8" s="17"/>
      <c r="F8" s="1895"/>
      <c r="G8" s="1896"/>
      <c r="H8" s="1895"/>
      <c r="I8" s="1895"/>
      <c r="J8" s="1895"/>
      <c r="K8" s="1897"/>
      <c r="L8" s="1895"/>
      <c r="M8" s="1895"/>
      <c r="N8" s="1898"/>
      <c r="O8" s="1895"/>
      <c r="P8" s="1895"/>
      <c r="Q8" s="1895"/>
      <c r="R8" s="1895"/>
      <c r="S8" s="1895"/>
      <c r="T8" s="1895"/>
      <c r="U8" s="1895"/>
      <c r="V8" s="1895"/>
      <c r="W8" s="1899"/>
      <c r="X8" s="1895"/>
      <c r="Y8" s="1895"/>
      <c r="Z8" s="1895"/>
      <c r="AA8" s="1895"/>
      <c r="AB8" s="1895"/>
      <c r="AC8" s="1895"/>
      <c r="AD8" s="1895"/>
      <c r="AE8" s="1895"/>
      <c r="AF8" s="1895"/>
      <c r="AG8" s="1895"/>
      <c r="AH8" s="1895"/>
      <c r="AI8" s="1895"/>
      <c r="AJ8" s="1895"/>
      <c r="AK8" s="1895"/>
      <c r="AL8" s="1895"/>
      <c r="AM8" s="1895"/>
      <c r="AN8" s="1895"/>
      <c r="AO8" s="1895"/>
      <c r="AQ8" s="1895"/>
      <c r="AR8" s="1895"/>
      <c r="AS8" s="1895"/>
      <c r="AT8" s="1895"/>
      <c r="AU8" s="1895"/>
      <c r="AV8" s="1895"/>
      <c r="AW8" s="1895"/>
      <c r="AX8" s="1895"/>
      <c r="AZ8" s="1895"/>
      <c r="BA8" s="1895"/>
      <c r="BB8" s="1895"/>
    </row>
    <row r="9" spans="1:54" s="16" customFormat="1" ht="14.25" customHeight="1">
      <c r="B9" s="17"/>
      <c r="C9" s="15" t="s">
        <v>1385</v>
      </c>
      <c r="F9" s="1895"/>
      <c r="G9" s="1897">
        <f ca="1">ROUND(BS!K55-G11+G19,6)</f>
        <v>0</v>
      </c>
      <c r="H9" s="1897">
        <f ca="1">ROUND(BS!L55-H11+H19,6)</f>
        <v>0</v>
      </c>
      <c r="I9" s="1897">
        <f ca="1">ROUND(BS!M55-I11+I19,6)</f>
        <v>0</v>
      </c>
      <c r="J9" s="1897">
        <f ca="1">ROUND(BS!N55-J11+J19,6)</f>
        <v>0</v>
      </c>
      <c r="K9" s="1897">
        <f ca="1">ROUND(BS!O55-K11+K19,6)</f>
        <v>0</v>
      </c>
      <c r="L9" s="1897">
        <f ca="1">ROUND(BS!P55-L11+L19,6)</f>
        <v>0</v>
      </c>
      <c r="M9" s="1897">
        <f ca="1">ROUND(BS!Q55-M11+M19,6)</f>
        <v>0</v>
      </c>
      <c r="N9" s="1897">
        <f ca="1">ROUND(BS!R55-N11+N19,6)</f>
        <v>0</v>
      </c>
      <c r="O9" s="1897">
        <f ca="1">ROUND(BS!S55-O11+O19,6)</f>
        <v>0</v>
      </c>
      <c r="P9" s="1897">
        <f ca="1">ROUND(BS!T55-P11+P19,6)</f>
        <v>0</v>
      </c>
      <c r="Q9" s="1897">
        <f ca="1">ROUND(BS!U55-Q11+Q19,6)</f>
        <v>0</v>
      </c>
      <c r="R9" s="1897">
        <f ca="1">ROUND(BS!V55-R11+R19,6)</f>
        <v>0</v>
      </c>
      <c r="S9" s="1897">
        <f ca="1">ROUND(BS!W55-S11+S19,6)</f>
        <v>0</v>
      </c>
      <c r="T9" s="1897">
        <f ca="1">ROUND(BS!X55-T11+T19,6)</f>
        <v>0</v>
      </c>
      <c r="U9" s="1897">
        <f ca="1">ROUND(BS!Y55-U11+U19,6)</f>
        <v>0</v>
      </c>
      <c r="V9" s="1897">
        <f ca="1">ROUND(BS!Z55-V11+V19,6)</f>
        <v>0</v>
      </c>
      <c r="W9" s="1897">
        <f ca="1">ROUND(BS!AA55-W11+W19,6)</f>
        <v>0</v>
      </c>
      <c r="X9" s="1897">
        <f ca="1">ROUND(BS!AB55-X11+X19,6)</f>
        <v>0</v>
      </c>
      <c r="Y9" s="1897">
        <f ca="1">ROUND(BS!AC55-Y11+Y19,6)</f>
        <v>0</v>
      </c>
      <c r="Z9" s="1897">
        <f ca="1">ROUND(BS!AD55-Z11+Z19,6)</f>
        <v>0</v>
      </c>
      <c r="AA9" s="1897">
        <f ca="1">ROUND(BS!AE55-AA11+AA19,6)</f>
        <v>0</v>
      </c>
      <c r="AB9" s="1897">
        <f ca="1">ROUND(BS!AF55-AB11+AB19,6)</f>
        <v>0</v>
      </c>
      <c r="AC9" s="1897">
        <f ca="1">ROUND(BS!AG55-AC11+AC19,6)</f>
        <v>0</v>
      </c>
      <c r="AD9" s="1897">
        <f ca="1">ROUND(BS!AH55-AD11+AD19,6)</f>
        <v>0</v>
      </c>
      <c r="AE9" s="1897">
        <f ca="1">ROUND(BS!AI55-AE11+AE19,6)</f>
        <v>0</v>
      </c>
      <c r="AF9" s="1897">
        <f ca="1">ROUND(BS!AJ55-AF11+AF19,6)</f>
        <v>0</v>
      </c>
      <c r="AG9" s="1897">
        <f ca="1">ROUND(BS!AK55-AG11+AG19,6)</f>
        <v>0</v>
      </c>
      <c r="AH9" s="1897">
        <f ca="1">ROUND(BS!AL55-AH11+AH19,6)</f>
        <v>0</v>
      </c>
      <c r="AI9" s="1897">
        <f ca="1">ROUND(BS!AM55-AI11+AI19,6)</f>
        <v>0</v>
      </c>
      <c r="AJ9" s="1897">
        <f ca="1">ROUND(BS!AN55-AJ11+AJ19,6)</f>
        <v>0</v>
      </c>
      <c r="AK9" s="1897">
        <f ca="1">ROUND(BS!AO55-AK11+AK19,6)</f>
        <v>0</v>
      </c>
      <c r="AL9" s="1897">
        <f ca="1">ROUND(BS!AP55-AL11+AL19,6)</f>
        <v>0</v>
      </c>
      <c r="AM9" s="1897">
        <f ca="1">ROUND(BS!AQ55-AM11+AM19,6)</f>
        <v>0</v>
      </c>
      <c r="AN9" s="1897">
        <f ca="1">ROUND(BS!AR55-AN11+AN19,6)</f>
        <v>0</v>
      </c>
      <c r="AO9" s="1897">
        <f ca="1">ROUND(BS!AS55-AO11+AO19,6)</f>
        <v>0</v>
      </c>
      <c r="AP9" s="1897">
        <f ca="1">ROUND(BS!AT55-AP11+AP19,6)</f>
        <v>0</v>
      </c>
      <c r="AQ9" s="1897">
        <f ca="1">ROUND(BS!AU55-AQ11+AQ19,6)</f>
        <v>0</v>
      </c>
      <c r="AR9" s="1897">
        <f ca="1">ROUND(BS!AV55-AR11+AR19,6)</f>
        <v>0</v>
      </c>
      <c r="AS9" s="1897">
        <f ca="1">ROUND(BS!AW55-AS11+AS19,6)</f>
        <v>0</v>
      </c>
      <c r="AT9" s="1897">
        <v>0</v>
      </c>
      <c r="AU9" s="1895"/>
      <c r="AV9" s="1895"/>
      <c r="AW9" s="1895"/>
      <c r="AX9" s="1895"/>
      <c r="AZ9" s="1895"/>
      <c r="BA9" s="1895"/>
      <c r="BB9" s="1895"/>
    </row>
    <row r="10" spans="1:54" s="16" customFormat="1" ht="14.25" customHeight="1">
      <c r="C10" s="1900"/>
      <c r="D10" s="1901" t="s">
        <v>780</v>
      </c>
      <c r="E10" s="1902"/>
      <c r="F10" s="1903" t="s">
        <v>1386</v>
      </c>
      <c r="G10" s="1903">
        <v>2020</v>
      </c>
      <c r="H10" s="1903">
        <f t="shared" ref="H10:AY10" si="1">G10+1</f>
        <v>2021</v>
      </c>
      <c r="I10" s="1903">
        <f t="shared" si="1"/>
        <v>2022</v>
      </c>
      <c r="J10" s="1903">
        <f t="shared" si="1"/>
        <v>2023</v>
      </c>
      <c r="K10" s="1903">
        <f t="shared" si="1"/>
        <v>2024</v>
      </c>
      <c r="L10" s="1903">
        <f t="shared" si="1"/>
        <v>2025</v>
      </c>
      <c r="M10" s="1903">
        <f t="shared" si="1"/>
        <v>2026</v>
      </c>
      <c r="N10" s="1903">
        <f t="shared" si="1"/>
        <v>2027</v>
      </c>
      <c r="O10" s="1903">
        <f t="shared" si="1"/>
        <v>2028</v>
      </c>
      <c r="P10" s="1903">
        <f t="shared" si="1"/>
        <v>2029</v>
      </c>
      <c r="Q10" s="1903">
        <f t="shared" si="1"/>
        <v>2030</v>
      </c>
      <c r="R10" s="1903">
        <f t="shared" si="1"/>
        <v>2031</v>
      </c>
      <c r="S10" s="1903">
        <f t="shared" si="1"/>
        <v>2032</v>
      </c>
      <c r="T10" s="1903">
        <f t="shared" si="1"/>
        <v>2033</v>
      </c>
      <c r="U10" s="1903">
        <f t="shared" si="1"/>
        <v>2034</v>
      </c>
      <c r="V10" s="1903">
        <f t="shared" si="1"/>
        <v>2035</v>
      </c>
      <c r="W10" s="1903">
        <f t="shared" si="1"/>
        <v>2036</v>
      </c>
      <c r="X10" s="1903">
        <f t="shared" si="1"/>
        <v>2037</v>
      </c>
      <c r="Y10" s="1903">
        <f t="shared" si="1"/>
        <v>2038</v>
      </c>
      <c r="Z10" s="1903">
        <f t="shared" si="1"/>
        <v>2039</v>
      </c>
      <c r="AA10" s="1903">
        <f t="shared" si="1"/>
        <v>2040</v>
      </c>
      <c r="AB10" s="1903">
        <f t="shared" si="1"/>
        <v>2041</v>
      </c>
      <c r="AC10" s="1903">
        <f t="shared" si="1"/>
        <v>2042</v>
      </c>
      <c r="AD10" s="1903">
        <f t="shared" si="1"/>
        <v>2043</v>
      </c>
      <c r="AE10" s="1903">
        <f t="shared" si="1"/>
        <v>2044</v>
      </c>
      <c r="AF10" s="1903">
        <f t="shared" si="1"/>
        <v>2045</v>
      </c>
      <c r="AG10" s="1903">
        <f t="shared" si="1"/>
        <v>2046</v>
      </c>
      <c r="AH10" s="1903">
        <f t="shared" si="1"/>
        <v>2047</v>
      </c>
      <c r="AI10" s="1903">
        <f t="shared" si="1"/>
        <v>2048</v>
      </c>
      <c r="AJ10" s="1903">
        <f t="shared" si="1"/>
        <v>2049</v>
      </c>
      <c r="AK10" s="1903">
        <f t="shared" si="1"/>
        <v>2050</v>
      </c>
      <c r="AL10" s="1903">
        <f t="shared" si="1"/>
        <v>2051</v>
      </c>
      <c r="AM10" s="1903">
        <f t="shared" si="1"/>
        <v>2052</v>
      </c>
      <c r="AN10" s="1903">
        <f t="shared" si="1"/>
        <v>2053</v>
      </c>
      <c r="AO10" s="1903">
        <f t="shared" si="1"/>
        <v>2054</v>
      </c>
      <c r="AP10" s="1903">
        <f t="shared" si="1"/>
        <v>2055</v>
      </c>
      <c r="AQ10" s="1903">
        <f t="shared" si="1"/>
        <v>2056</v>
      </c>
      <c r="AR10" s="1903">
        <f t="shared" si="1"/>
        <v>2057</v>
      </c>
      <c r="AS10" s="1903">
        <f t="shared" si="1"/>
        <v>2058</v>
      </c>
      <c r="AT10" s="1903">
        <f t="shared" si="1"/>
        <v>2059</v>
      </c>
      <c r="AU10" s="1903">
        <f t="shared" si="1"/>
        <v>2060</v>
      </c>
      <c r="AV10" s="1903">
        <f t="shared" si="1"/>
        <v>2061</v>
      </c>
      <c r="AW10" s="1903">
        <f t="shared" si="1"/>
        <v>2062</v>
      </c>
      <c r="AX10" s="1903">
        <f t="shared" si="1"/>
        <v>2063</v>
      </c>
      <c r="AY10" s="1904">
        <f t="shared" si="1"/>
        <v>2064</v>
      </c>
      <c r="AZ10" s="1905"/>
      <c r="BA10" s="1905"/>
      <c r="BB10" s="1905"/>
    </row>
    <row r="11" spans="1:54" s="16" customFormat="1" ht="14.25" customHeight="1">
      <c r="C11" s="1906" t="s">
        <v>1387</v>
      </c>
      <c r="D11" s="1907"/>
      <c r="E11" s="1908"/>
      <c r="F11" s="1909"/>
      <c r="G11" s="1910">
        <f>BS!K219</f>
        <v>-368.09849706</v>
      </c>
      <c r="H11" s="1909">
        <f t="shared" ref="H11:AY11" ca="1" si="2">SUM(H12:H14)</f>
        <v>-299.31478533484682</v>
      </c>
      <c r="I11" s="1909">
        <f t="shared" ca="1" si="2"/>
        <v>-227.29039458078276</v>
      </c>
      <c r="J11" s="1909">
        <f t="shared" ca="1" si="2"/>
        <v>-134.88328128494217</v>
      </c>
      <c r="K11" s="1909">
        <f t="shared" ca="1" si="2"/>
        <v>-30.855006638396588</v>
      </c>
      <c r="L11" s="1909">
        <f t="shared" ca="1" si="2"/>
        <v>7.5523320849946174</v>
      </c>
      <c r="M11" s="1909">
        <f t="shared" ca="1" si="2"/>
        <v>8.3469137057700884</v>
      </c>
      <c r="N11" s="1909">
        <f t="shared" ca="1" si="2"/>
        <v>20.587190115517945</v>
      </c>
      <c r="O11" s="1909">
        <f t="shared" ca="1" si="2"/>
        <v>34.165544382626749</v>
      </c>
      <c r="P11" s="1909">
        <f t="shared" ca="1" si="2"/>
        <v>17.332850540193792</v>
      </c>
      <c r="Q11" s="1909">
        <f t="shared" ca="1" si="2"/>
        <v>31.506700302654011</v>
      </c>
      <c r="R11" s="1909">
        <f t="shared" ca="1" si="2"/>
        <v>27.544863386231718</v>
      </c>
      <c r="S11" s="1909">
        <f t="shared" ca="1" si="2"/>
        <v>29.269174727095123</v>
      </c>
      <c r="T11" s="1909">
        <f t="shared" ca="1" si="2"/>
        <v>36.192964238958254</v>
      </c>
      <c r="U11" s="1909">
        <f t="shared" ca="1" si="2"/>
        <v>35.727008992410482</v>
      </c>
      <c r="V11" s="1909">
        <f t="shared" ca="1" si="2"/>
        <v>37.455125574068219</v>
      </c>
      <c r="W11" s="1909">
        <f t="shared" ca="1" si="2"/>
        <v>61.397235400119001</v>
      </c>
      <c r="X11" s="1909">
        <f t="shared" ca="1" si="2"/>
        <v>63.13594811545989</v>
      </c>
      <c r="Y11" s="1909">
        <f t="shared" ca="1" si="2"/>
        <v>78.023823208902243</v>
      </c>
      <c r="Z11" s="1909">
        <f t="shared" ca="1" si="2"/>
        <v>80.723838416247986</v>
      </c>
      <c r="AA11" s="1909">
        <f t="shared" ca="1" si="2"/>
        <v>93.725622142527413</v>
      </c>
      <c r="AB11" s="1909">
        <f t="shared" ca="1" si="2"/>
        <v>96.879955760017452</v>
      </c>
      <c r="AC11" s="1909">
        <f t="shared" ca="1" si="2"/>
        <v>110.15300381406131</v>
      </c>
      <c r="AD11" s="1909">
        <f t="shared" ca="1" si="2"/>
        <v>123.65024290166293</v>
      </c>
      <c r="AE11" s="1909">
        <f t="shared" ca="1" si="2"/>
        <v>119.21911034161904</v>
      </c>
      <c r="AF11" s="1909">
        <f t="shared" ca="1" si="2"/>
        <v>115.44573516520336</v>
      </c>
      <c r="AG11" s="1909">
        <f t="shared" ca="1" si="2"/>
        <v>103.38805496294775</v>
      </c>
      <c r="AH11" s="1909">
        <f t="shared" ca="1" si="2"/>
        <v>67.87191333002562</v>
      </c>
      <c r="AI11" s="1909">
        <f t="shared" ca="1" si="2"/>
        <v>76.927641029118462</v>
      </c>
      <c r="AJ11" s="1909">
        <f t="shared" ca="1" si="2"/>
        <v>69.204799082203508</v>
      </c>
      <c r="AK11" s="1909">
        <f t="shared" ca="1" si="2"/>
        <v>74.768058472809173</v>
      </c>
      <c r="AL11" s="1909">
        <f t="shared" ca="1" si="2"/>
        <v>84.197164485708569</v>
      </c>
      <c r="AM11" s="1909">
        <f t="shared" ca="1" si="2"/>
        <v>81.536827819660957</v>
      </c>
      <c r="AN11" s="1909">
        <f t="shared" ca="1" si="2"/>
        <v>82.177005094106974</v>
      </c>
      <c r="AO11" s="1909">
        <f t="shared" ca="1" si="2"/>
        <v>95.34009146006548</v>
      </c>
      <c r="AP11" s="1909">
        <f t="shared" ca="1" si="2"/>
        <v>95.649343525215514</v>
      </c>
      <c r="AQ11" s="1909">
        <f t="shared" ca="1" si="2"/>
        <v>97.749373963860307</v>
      </c>
      <c r="AR11" s="1909">
        <f t="shared" ca="1" si="2"/>
        <v>106.01159626162521</v>
      </c>
      <c r="AS11" s="1909">
        <f t="shared" ca="1" si="2"/>
        <v>107.12009651208376</v>
      </c>
      <c r="AT11" s="1909">
        <f t="shared" ca="1" si="2"/>
        <v>-123.97761239101396</v>
      </c>
      <c r="AU11" s="1909">
        <f t="shared" ca="1" si="2"/>
        <v>0</v>
      </c>
      <c r="AV11" s="1909">
        <f t="shared" ca="1" si="2"/>
        <v>0</v>
      </c>
      <c r="AW11" s="1909">
        <f t="shared" ca="1" si="2"/>
        <v>0</v>
      </c>
      <c r="AX11" s="1909">
        <f t="shared" ca="1" si="2"/>
        <v>0</v>
      </c>
      <c r="AY11" s="1911">
        <f t="shared" si="2"/>
        <v>0</v>
      </c>
      <c r="AZ11" s="1912"/>
      <c r="BA11" s="1912"/>
      <c r="BB11" s="1912"/>
    </row>
    <row r="12" spans="1:54" s="16" customFormat="1" ht="14.25" customHeight="1">
      <c r="C12" s="1906"/>
      <c r="D12" s="1913" t="s">
        <v>1388</v>
      </c>
      <c r="E12" s="1914"/>
      <c r="F12" s="1915">
        <f ca="1">SUM(G12:BA12)</f>
        <v>-1002.6944183352661</v>
      </c>
      <c r="G12" s="1916">
        <f>BS!K220</f>
        <v>-446.51587324000002</v>
      </c>
      <c r="H12" s="1915">
        <f t="shared" ref="H12:AT12" ca="1" si="3">G20</f>
        <v>-368.09849706</v>
      </c>
      <c r="I12" s="1915">
        <f t="shared" ca="1" si="3"/>
        <v>-299.31478533484682</v>
      </c>
      <c r="J12" s="1915">
        <f t="shared" ca="1" si="3"/>
        <v>-227.29039458078276</v>
      </c>
      <c r="K12" s="1915">
        <f t="shared" ca="1" si="3"/>
        <v>-134.88328128494217</v>
      </c>
      <c r="L12" s="1915">
        <f t="shared" ca="1" si="3"/>
        <v>-30.855006638396588</v>
      </c>
      <c r="M12" s="1915">
        <f t="shared" ca="1" si="3"/>
        <v>5.8379567439345008</v>
      </c>
      <c r="N12" s="1915">
        <f t="shared" ca="1" si="3"/>
        <v>6.5603036719122017</v>
      </c>
      <c r="O12" s="1915">
        <f t="shared" ca="1" si="3"/>
        <v>16.102349554206391</v>
      </c>
      <c r="P12" s="1915">
        <f t="shared" ca="1" si="3"/>
        <v>0.71078705915421381</v>
      </c>
      <c r="Q12" s="1915">
        <f t="shared" ca="1" si="3"/>
        <v>0</v>
      </c>
      <c r="R12" s="1915">
        <f t="shared" ca="1" si="3"/>
        <v>0</v>
      </c>
      <c r="S12" s="1915">
        <f t="shared" ca="1" si="3"/>
        <v>0</v>
      </c>
      <c r="T12" s="1915">
        <f t="shared" ca="1" si="3"/>
        <v>0</v>
      </c>
      <c r="U12" s="1915">
        <f t="shared" ca="1" si="3"/>
        <v>0</v>
      </c>
      <c r="V12" s="1915">
        <f t="shared" ca="1" si="3"/>
        <v>6.9601859712643446</v>
      </c>
      <c r="W12" s="1915">
        <f t="shared" ca="1" si="3"/>
        <v>21.342732529732551</v>
      </c>
      <c r="X12" s="1915">
        <f t="shared" ca="1" si="3"/>
        <v>24.911065362358926</v>
      </c>
      <c r="Y12" s="1915">
        <f t="shared" ca="1" si="3"/>
        <v>43.839672909301257</v>
      </c>
      <c r="Z12" s="1915">
        <f t="shared" ca="1" si="3"/>
        <v>45.92</v>
      </c>
      <c r="AA12" s="1915">
        <f t="shared" ca="1" si="3"/>
        <v>45.92</v>
      </c>
      <c r="AB12" s="1915">
        <f t="shared" ca="1" si="3"/>
        <v>45.92</v>
      </c>
      <c r="AC12" s="1915">
        <f t="shared" ca="1" si="3"/>
        <v>45.92</v>
      </c>
      <c r="AD12" s="1915">
        <f t="shared" ca="1" si="3"/>
        <v>61.136630347028515</v>
      </c>
      <c r="AE12" s="1915">
        <f t="shared" ca="1" si="3"/>
        <v>56.17423147113098</v>
      </c>
      <c r="AF12" s="1915">
        <f t="shared" ca="1" si="3"/>
        <v>45.92</v>
      </c>
      <c r="AG12" s="1915">
        <f t="shared" ca="1" si="3"/>
        <v>31.087504183678348</v>
      </c>
      <c r="AH12" s="1915">
        <f t="shared" ca="1" si="3"/>
        <v>0</v>
      </c>
      <c r="AI12" s="1915">
        <f t="shared" ca="1" si="3"/>
        <v>0</v>
      </c>
      <c r="AJ12" s="1915">
        <f t="shared" ca="1" si="3"/>
        <v>0</v>
      </c>
      <c r="AK12" s="1915">
        <f t="shared" ca="1" si="3"/>
        <v>0</v>
      </c>
      <c r="AL12" s="1915">
        <f t="shared" ca="1" si="3"/>
        <v>0</v>
      </c>
      <c r="AM12" s="1915">
        <f t="shared" ca="1" si="3"/>
        <v>0</v>
      </c>
      <c r="AN12" s="1915">
        <f t="shared" ca="1" si="3"/>
        <v>-1.4210854715202004E-14</v>
      </c>
      <c r="AO12" s="1915">
        <f t="shared" ca="1" si="3"/>
        <v>0</v>
      </c>
      <c r="AP12" s="1915">
        <f t="shared" ca="1" si="3"/>
        <v>0</v>
      </c>
      <c r="AQ12" s="1915">
        <f t="shared" ca="1" si="3"/>
        <v>1.4210854715202004E-14</v>
      </c>
      <c r="AR12" s="1915">
        <f t="shared" ca="1" si="3"/>
        <v>0</v>
      </c>
      <c r="AS12" s="1915">
        <f t="shared" ca="1" si="3"/>
        <v>0</v>
      </c>
      <c r="AT12" s="1915">
        <f t="shared" ca="1" si="3"/>
        <v>0</v>
      </c>
      <c r="AU12" s="1915">
        <v>0</v>
      </c>
      <c r="AV12" s="1915">
        <f>AU20</f>
        <v>0</v>
      </c>
      <c r="AW12" s="1915">
        <f>AV20</f>
        <v>0</v>
      </c>
      <c r="AX12" s="1915">
        <f>AW20</f>
        <v>0</v>
      </c>
      <c r="AY12" s="1917">
        <f>AX20</f>
        <v>0</v>
      </c>
      <c r="AZ12" s="1912"/>
      <c r="BA12" s="1912"/>
      <c r="BB12" s="1912"/>
    </row>
    <row r="13" spans="1:54" s="16" customFormat="1" ht="14.25" customHeight="1">
      <c r="C13" s="1906"/>
      <c r="D13" s="1918" t="s">
        <v>3709</v>
      </c>
      <c r="E13" s="1908"/>
      <c r="F13" s="1909"/>
      <c r="G13" s="1910">
        <v>0</v>
      </c>
      <c r="H13" s="1909">
        <v>0</v>
      </c>
      <c r="I13" s="1909">
        <v>0</v>
      </c>
      <c r="J13" s="1909">
        <v>0</v>
      </c>
      <c r="K13" s="1909">
        <v>0</v>
      </c>
      <c r="L13" s="1909">
        <v>0</v>
      </c>
      <c r="M13" s="1909">
        <v>0</v>
      </c>
      <c r="N13" s="1909">
        <v>0</v>
      </c>
      <c r="O13" s="1909">
        <v>0</v>
      </c>
      <c r="P13" s="1909">
        <v>0</v>
      </c>
      <c r="Q13" s="1909">
        <v>0</v>
      </c>
      <c r="R13" s="1909">
        <v>0</v>
      </c>
      <c r="S13" s="1909">
        <v>0</v>
      </c>
      <c r="T13" s="1909">
        <v>0</v>
      </c>
      <c r="U13" s="1909">
        <v>0</v>
      </c>
      <c r="V13" s="1909">
        <v>0</v>
      </c>
      <c r="W13" s="1909">
        <v>0</v>
      </c>
      <c r="X13" s="1909">
        <v>0</v>
      </c>
      <c r="Y13" s="1909">
        <v>0</v>
      </c>
      <c r="Z13" s="1909">
        <v>0</v>
      </c>
      <c r="AA13" s="1909">
        <v>0</v>
      </c>
      <c r="AB13" s="1909">
        <v>0</v>
      </c>
      <c r="AC13" s="1909">
        <v>0</v>
      </c>
      <c r="AD13" s="1909">
        <v>0</v>
      </c>
      <c r="AE13" s="1909">
        <v>0</v>
      </c>
      <c r="AF13" s="1909">
        <v>0</v>
      </c>
      <c r="AG13" s="1909">
        <v>0</v>
      </c>
      <c r="AH13" s="1909">
        <v>0</v>
      </c>
      <c r="AI13" s="1909">
        <v>0</v>
      </c>
      <c r="AJ13" s="1909">
        <v>0</v>
      </c>
      <c r="AK13" s="1909">
        <v>0</v>
      </c>
      <c r="AL13" s="1909">
        <v>0</v>
      </c>
      <c r="AM13" s="1909">
        <v>0</v>
      </c>
      <c r="AN13" s="1909">
        <v>0</v>
      </c>
      <c r="AO13" s="1909">
        <v>0</v>
      </c>
      <c r="AP13" s="1909">
        <v>0</v>
      </c>
      <c r="AQ13" s="1909">
        <v>0</v>
      </c>
      <c r="AR13" s="1909">
        <v>0</v>
      </c>
      <c r="AS13" s="1909">
        <v>0</v>
      </c>
      <c r="AT13" s="1909">
        <v>0</v>
      </c>
      <c r="AU13" s="1909">
        <v>0</v>
      </c>
      <c r="AV13" s="1909">
        <v>0</v>
      </c>
      <c r="AW13" s="1909">
        <v>0</v>
      </c>
      <c r="AX13" s="1909">
        <v>0</v>
      </c>
      <c r="AY13" s="1911">
        <v>0</v>
      </c>
      <c r="AZ13" s="1912"/>
      <c r="BA13" s="1912"/>
      <c r="BB13" s="1912"/>
    </row>
    <row r="14" spans="1:54" s="16" customFormat="1" ht="14.25" customHeight="1">
      <c r="C14" s="1919"/>
      <c r="D14" s="1920" t="s">
        <v>1389</v>
      </c>
      <c r="E14" s="1921"/>
      <c r="F14" s="1922">
        <f ca="1">SUM(G14:BA14)</f>
        <v>2188.2519903610555</v>
      </c>
      <c r="G14" s="1923">
        <f>BS!K221</f>
        <v>78.417376180000005</v>
      </c>
      <c r="H14" s="1922">
        <f ca="1">BS!L221</f>
        <v>68.783711725153182</v>
      </c>
      <c r="I14" s="1922">
        <f ca="1">'IS(Y)'!N35</f>
        <v>72.024390754064058</v>
      </c>
      <c r="J14" s="1922">
        <f ca="1">'IS(Y)'!O35</f>
        <v>92.407113295840588</v>
      </c>
      <c r="K14" s="1922">
        <f ca="1">'IS(Y)'!P35</f>
        <v>104.02827464654558</v>
      </c>
      <c r="L14" s="1922">
        <f ca="1">'IS(Y)'!Q35</f>
        <v>38.407338723391206</v>
      </c>
      <c r="M14" s="1922">
        <f ca="1">'IS(Y)'!R35</f>
        <v>2.508956961835588</v>
      </c>
      <c r="N14" s="1922">
        <f ca="1">'IS(Y)'!S35</f>
        <v>14.026886443605743</v>
      </c>
      <c r="O14" s="1922">
        <f ca="1">'IS(Y)'!T35</f>
        <v>18.063194828420357</v>
      </c>
      <c r="P14" s="1922">
        <f ca="1">'IS(Y)'!U35</f>
        <v>16.622063481039579</v>
      </c>
      <c r="Q14" s="1922">
        <f ca="1">'IS(Y)'!V35</f>
        <v>31.506700302654011</v>
      </c>
      <c r="R14" s="1922">
        <f ca="1">'IS(Y)'!W35</f>
        <v>27.544863386231718</v>
      </c>
      <c r="S14" s="1922">
        <f ca="1">'IS(Y)'!X35</f>
        <v>29.269174727095123</v>
      </c>
      <c r="T14" s="1922">
        <f ca="1">'IS(Y)'!Y35</f>
        <v>36.192964238958254</v>
      </c>
      <c r="U14" s="1922">
        <f ca="1">'IS(Y)'!Z35</f>
        <v>35.727008992410482</v>
      </c>
      <c r="V14" s="1922">
        <f ca="1">'IS(Y)'!AA35</f>
        <v>30.494939602803875</v>
      </c>
      <c r="W14" s="1922">
        <f ca="1">'IS(Y)'!AB35</f>
        <v>40.05450287038645</v>
      </c>
      <c r="X14" s="1922">
        <f ca="1">'IS(Y)'!AC35</f>
        <v>38.224882753100964</v>
      </c>
      <c r="Y14" s="1922">
        <f ca="1">'IS(Y)'!AD35</f>
        <v>34.184150299600987</v>
      </c>
      <c r="Z14" s="1922">
        <f ca="1">'IS(Y)'!AE35</f>
        <v>34.803838416247984</v>
      </c>
      <c r="AA14" s="1922">
        <f ca="1">'IS(Y)'!AF35</f>
        <v>47.805622142527405</v>
      </c>
      <c r="AB14" s="1922">
        <f ca="1">'IS(Y)'!AG35</f>
        <v>50.959955760017458</v>
      </c>
      <c r="AC14" s="1922">
        <f ca="1">'IS(Y)'!AH35</f>
        <v>64.233003814061306</v>
      </c>
      <c r="AD14" s="1922">
        <f ca="1">'IS(Y)'!AI35</f>
        <v>62.51361255463442</v>
      </c>
      <c r="AE14" s="1922">
        <f ca="1">'IS(Y)'!AJ35</f>
        <v>63.044878870488063</v>
      </c>
      <c r="AF14" s="1922">
        <f ca="1">'IS(Y)'!AK35</f>
        <v>69.525735165203358</v>
      </c>
      <c r="AG14" s="1922">
        <f ca="1">'IS(Y)'!AL35</f>
        <v>72.3005507792694</v>
      </c>
      <c r="AH14" s="1922">
        <f ca="1">'IS(Y)'!AM35</f>
        <v>67.87191333002562</v>
      </c>
      <c r="AI14" s="1922">
        <f ca="1">'IS(Y)'!AN35</f>
        <v>76.927641029118462</v>
      </c>
      <c r="AJ14" s="1922">
        <f ca="1">'IS(Y)'!AO35</f>
        <v>69.204799082203508</v>
      </c>
      <c r="AK14" s="1922">
        <f ca="1">'IS(Y)'!AP35</f>
        <v>74.768058472809173</v>
      </c>
      <c r="AL14" s="1922">
        <f ca="1">'IS(Y)'!AQ35</f>
        <v>84.197164485708569</v>
      </c>
      <c r="AM14" s="1922">
        <f ca="1">'IS(Y)'!AR35</f>
        <v>81.536827819660957</v>
      </c>
      <c r="AN14" s="1922">
        <f ca="1">'IS(Y)'!AS35</f>
        <v>82.177005094106988</v>
      </c>
      <c r="AO14" s="1922">
        <f ca="1">'IS(Y)'!AT35</f>
        <v>95.34009146006548</v>
      </c>
      <c r="AP14" s="1922">
        <f ca="1">'IS(Y)'!AU35</f>
        <v>95.649343525215514</v>
      </c>
      <c r="AQ14" s="1922">
        <f ca="1">'IS(Y)'!AV35</f>
        <v>97.749373963860293</v>
      </c>
      <c r="AR14" s="1922">
        <f ca="1">'IS(Y)'!AW35</f>
        <v>106.01159626162521</v>
      </c>
      <c r="AS14" s="1922">
        <f ca="1">'IS(Y)'!AX35</f>
        <v>107.12009651208376</v>
      </c>
      <c r="AT14" s="1922">
        <f ca="1">'IS(Y)'!AY35</f>
        <v>-123.97761239101396</v>
      </c>
      <c r="AU14" s="1922">
        <f ca="1">'IS(Y)'!AZ35</f>
        <v>0</v>
      </c>
      <c r="AV14" s="1922">
        <f ca="1">'IS(Y)'!BA35</f>
        <v>0</v>
      </c>
      <c r="AW14" s="1922">
        <f ca="1">'IS(Y)'!BB35</f>
        <v>0</v>
      </c>
      <c r="AX14" s="1922">
        <f ca="1">'IS(Y)'!BC35</f>
        <v>0</v>
      </c>
      <c r="AY14" s="1924">
        <f>'IS(Y)'!BD35</f>
        <v>0</v>
      </c>
      <c r="AZ14" s="1912"/>
      <c r="BA14" s="1912"/>
      <c r="BB14" s="1912"/>
    </row>
    <row r="15" spans="1:54" s="16" customFormat="1" ht="14.25" customHeight="1">
      <c r="C15" s="1906" t="s">
        <v>3710</v>
      </c>
      <c r="D15" s="1925"/>
      <c r="E15" s="1926"/>
      <c r="F15" s="1927"/>
      <c r="G15" s="1927">
        <f ca="1">SUM(G16:G19)</f>
        <v>0</v>
      </c>
      <c r="H15" s="1927">
        <f t="shared" ref="H15:AY15" ca="1" si="4">SUM(H16:H19)</f>
        <v>0</v>
      </c>
      <c r="I15" s="1927">
        <f t="shared" ca="1" si="4"/>
        <v>0</v>
      </c>
      <c r="J15" s="1927">
        <f t="shared" ca="1" si="4"/>
        <v>0</v>
      </c>
      <c r="K15" s="1927">
        <f t="shared" ca="1" si="4"/>
        <v>0</v>
      </c>
      <c r="L15" s="1927">
        <f t="shared" ca="1" si="4"/>
        <v>1.7143753410601166</v>
      </c>
      <c r="M15" s="1927">
        <f t="shared" ca="1" si="4"/>
        <v>1.7866100338578867</v>
      </c>
      <c r="N15" s="1927">
        <f t="shared" ca="1" si="4"/>
        <v>4.4848405613115538</v>
      </c>
      <c r="O15" s="1927">
        <f t="shared" ca="1" si="4"/>
        <v>33.454757323472535</v>
      </c>
      <c r="P15" s="1927">
        <f t="shared" ca="1" si="4"/>
        <v>17.332850540193792</v>
      </c>
      <c r="Q15" s="1927">
        <f t="shared" ca="1" si="4"/>
        <v>31.506700302654011</v>
      </c>
      <c r="R15" s="1927">
        <f t="shared" ca="1" si="4"/>
        <v>27.544863386231718</v>
      </c>
      <c r="S15" s="1927">
        <f t="shared" ca="1" si="4"/>
        <v>29.269174727095123</v>
      </c>
      <c r="T15" s="1927">
        <f t="shared" ca="1" si="4"/>
        <v>36.192964238958254</v>
      </c>
      <c r="U15" s="1927">
        <f t="shared" ca="1" si="4"/>
        <v>28.766823021146138</v>
      </c>
      <c r="V15" s="1927">
        <f t="shared" ca="1" si="4"/>
        <v>16.112393044335668</v>
      </c>
      <c r="W15" s="1927">
        <f t="shared" ca="1" si="4"/>
        <v>36.486170037760076</v>
      </c>
      <c r="X15" s="1927">
        <f t="shared" ca="1" si="4"/>
        <v>19.296275206158633</v>
      </c>
      <c r="Y15" s="1927">
        <f t="shared" ca="1" si="4"/>
        <v>32.103823208902242</v>
      </c>
      <c r="Z15" s="1927">
        <f t="shared" ca="1" si="4"/>
        <v>34.803838416247984</v>
      </c>
      <c r="AA15" s="1927">
        <f t="shared" ca="1" si="4"/>
        <v>47.805622142527412</v>
      </c>
      <c r="AB15" s="1927">
        <f t="shared" ca="1" si="4"/>
        <v>50.959955760017451</v>
      </c>
      <c r="AC15" s="1927">
        <f t="shared" ca="1" si="4"/>
        <v>49.016373467032793</v>
      </c>
      <c r="AD15" s="1927">
        <f t="shared" ca="1" si="4"/>
        <v>67.476011430531955</v>
      </c>
      <c r="AE15" s="1927">
        <f t="shared" ca="1" si="4"/>
        <v>73.299110341619041</v>
      </c>
      <c r="AF15" s="1927">
        <f t="shared" ca="1" si="4"/>
        <v>84.358230981525011</v>
      </c>
      <c r="AG15" s="1927">
        <f t="shared" ca="1" si="4"/>
        <v>103.38805496294775</v>
      </c>
      <c r="AH15" s="1927">
        <f t="shared" ca="1" si="4"/>
        <v>67.87191333002562</v>
      </c>
      <c r="AI15" s="1927">
        <f t="shared" ca="1" si="4"/>
        <v>76.927641029118462</v>
      </c>
      <c r="AJ15" s="1927">
        <f t="shared" ca="1" si="4"/>
        <v>69.204799082203508</v>
      </c>
      <c r="AK15" s="1927">
        <f t="shared" ca="1" si="4"/>
        <v>74.768058472809173</v>
      </c>
      <c r="AL15" s="1927">
        <f t="shared" ca="1" si="4"/>
        <v>84.197164485708569</v>
      </c>
      <c r="AM15" s="1927">
        <f t="shared" ca="1" si="4"/>
        <v>81.536827819660971</v>
      </c>
      <c r="AN15" s="1927">
        <f t="shared" ca="1" si="4"/>
        <v>82.177005094106974</v>
      </c>
      <c r="AO15" s="1927">
        <f t="shared" ca="1" si="4"/>
        <v>95.34009146006548</v>
      </c>
      <c r="AP15" s="1927">
        <f t="shared" ca="1" si="4"/>
        <v>95.6493435252155</v>
      </c>
      <c r="AQ15" s="1927">
        <f t="shared" ca="1" si="4"/>
        <v>97.749373963860307</v>
      </c>
      <c r="AR15" s="1927">
        <f t="shared" ca="1" si="4"/>
        <v>106.01159626162521</v>
      </c>
      <c r="AS15" s="1927">
        <f t="shared" ca="1" si="4"/>
        <v>107.12009651208376</v>
      </c>
      <c r="AT15" s="1927">
        <f t="shared" ca="1" si="4"/>
        <v>0</v>
      </c>
      <c r="AU15" s="1927">
        <f t="shared" ca="1" si="4"/>
        <v>0</v>
      </c>
      <c r="AV15" s="1927">
        <f t="shared" ca="1" si="4"/>
        <v>0</v>
      </c>
      <c r="AW15" s="1927">
        <f t="shared" ca="1" si="4"/>
        <v>0</v>
      </c>
      <c r="AX15" s="1927">
        <f t="shared" ca="1" si="4"/>
        <v>0</v>
      </c>
      <c r="AY15" s="1928">
        <f t="shared" ca="1" si="4"/>
        <v>0</v>
      </c>
      <c r="AZ15" s="1912"/>
      <c r="BA15" s="1912"/>
      <c r="BB15" s="1912"/>
    </row>
    <row r="16" spans="1:54" s="16" customFormat="1" ht="14.25" customHeight="1">
      <c r="C16" s="1929"/>
      <c r="D16" s="1930" t="s">
        <v>3711</v>
      </c>
      <c r="E16" s="1908"/>
      <c r="F16" s="1909">
        <f ca="1">SUM(G16:BA16)</f>
        <v>3.3917389999999994</v>
      </c>
      <c r="G16" s="1909">
        <v>0</v>
      </c>
      <c r="H16" s="1909">
        <f ca="1">MIN(H11,SUM($F$25)/3,$F$25-SUM($G16:G16))*AND(H11&gt;0,$F$25&gt;SUM($G16:G16))</f>
        <v>0</v>
      </c>
      <c r="I16" s="1909">
        <f ca="1">MIN(I11,SUM($F$25)/3,$F$25-SUM($G16:H16))*AND(I11&gt;0,$F$25&gt;SUM($G16:H16))</f>
        <v>0</v>
      </c>
      <c r="J16" s="1909">
        <f ca="1">MIN(J11,SUM($F$25)/3,$F$25-SUM($G16:I16))*AND(J11&gt;0,$F$25&gt;SUM($G16:I16))</f>
        <v>0</v>
      </c>
      <c r="K16" s="1909">
        <f ca="1">MIN(K11,SUM($F$25)/3,$F$25-SUM($G16:J16))*AND(K11&gt;0,$F$25&gt;SUM($G16:J16))</f>
        <v>0</v>
      </c>
      <c r="L16" s="1909">
        <f ca="1">MIN(L11,SUM($F$25)/3,$F$25-SUM($G16:K16))*AND(L11&gt;0,$F$25&gt;SUM($G16:K16))</f>
        <v>1.1305796666666665</v>
      </c>
      <c r="M16" s="1909">
        <f ca="1">MIN(M11,SUM($F$25)/3,$F$25-SUM($G16:L16))*AND(M11&gt;0,$F$25&gt;SUM($G16:L16))</f>
        <v>1.1305796666666665</v>
      </c>
      <c r="N16" s="1909">
        <f ca="1">MIN(N11,SUM($F$25)/3,$F$25-SUM($G16:M16))*AND(N11&gt;0,$F$25&gt;SUM($G16:M16))</f>
        <v>1.1305796666666665</v>
      </c>
      <c r="O16" s="1909">
        <f ca="1">MIN(O11,SUM($F$25)/3,$F$25-SUM($G16:N16))*AND(O11&gt;0,$F$25&gt;SUM($G16:N16))</f>
        <v>0</v>
      </c>
      <c r="P16" s="1909">
        <f ca="1">MIN(P11,SUM($F$25)/3,$F$25-SUM($G16:O16))*AND(P11&gt;0,$F$25&gt;SUM($G16:O16))</f>
        <v>0</v>
      </c>
      <c r="Q16" s="1909">
        <f ca="1">MIN(Q11,SUM($F$25)/3,$F$25-SUM($G16:P16))*AND(Q11&gt;0,$F$25&gt;SUM($G16:P16))</f>
        <v>0</v>
      </c>
      <c r="R16" s="1909">
        <f ca="1">MIN(R11,SUM($F$25)/3,$F$25-SUM($G16:Q16))*AND(R11&gt;0,$F$25&gt;SUM($G16:Q16))</f>
        <v>0</v>
      </c>
      <c r="S16" s="1909">
        <f ca="1">MIN(S11,SUM($F$25)/3,$F$25-SUM($G16:R16))*AND(S11&gt;0,$F$25&gt;SUM($G16:R16))</f>
        <v>0</v>
      </c>
      <c r="T16" s="1909">
        <f ca="1">MIN(T11,SUM($F$25)/3,$F$25-SUM($G16:S16))*AND(T11&gt;0,$F$25&gt;SUM($G16:S16))</f>
        <v>0</v>
      </c>
      <c r="U16" s="1909">
        <f ca="1">MIN(U11,SUM($F$25)/3,$F$25-SUM($G16:T16))*AND(U11&gt;0,$F$25&gt;SUM($G16:T16))</f>
        <v>0</v>
      </c>
      <c r="V16" s="1909">
        <f ca="1">MIN(V11,SUM($F$25)/3,$F$25-SUM($G16:U16))*AND(V11&gt;0,$F$25&gt;SUM($G16:U16))</f>
        <v>0</v>
      </c>
      <c r="W16" s="1909">
        <f ca="1">MIN(W11,SUM($F$25)/3,$F$25-SUM($G16:V16))*AND(W11&gt;0,$F$25&gt;SUM($G16:V16))</f>
        <v>0</v>
      </c>
      <c r="X16" s="1909">
        <f ca="1">MIN(X11,SUM($F$25)/3,$F$25-SUM($G16:W16))*AND(X11&gt;0,$F$25&gt;SUM($G16:W16))</f>
        <v>0</v>
      </c>
      <c r="Y16" s="1909">
        <f ca="1">MIN(Y11,SUM($F$25)/3,$F$25-SUM($G16:X16))*AND(Y11&gt;0,$F$25&gt;SUM($G16:X16))</f>
        <v>0</v>
      </c>
      <c r="Z16" s="1909">
        <f ca="1">MIN(Z11,SUM($F$25)/3,$F$25-SUM($G16:Y16))*AND(Z11&gt;0,$F$25&gt;SUM($G16:Y16))</f>
        <v>0</v>
      </c>
      <c r="AA16" s="1909">
        <f ca="1">MIN(AA11,SUM($F$25)/3,$F$25-SUM($G16:Z16))*AND(AA11&gt;0,$F$25&gt;SUM($G16:Z16))</f>
        <v>0</v>
      </c>
      <c r="AB16" s="1909">
        <f ca="1">MIN(AB11,SUM($F$25)/3,$F$25-SUM($G16:AA16))*AND(AB11&gt;0,$F$25&gt;SUM($G16:AA16))</f>
        <v>0</v>
      </c>
      <c r="AC16" s="1909">
        <f ca="1">MIN(AC11,SUM($F$25)/3,$F$25-SUM($G16:AB16))*AND(AC11&gt;0,$F$25&gt;SUM($G16:AB16))</f>
        <v>0</v>
      </c>
      <c r="AD16" s="1909">
        <f ca="1">MIN(AD11,SUM($F$25)/3,$F$25-SUM($G16:AC16))*AND(AD11&gt;0,$F$25&gt;SUM($G16:AC16))</f>
        <v>0</v>
      </c>
      <c r="AE16" s="1909">
        <f ca="1">MIN(AE11,SUM($F$25)/3,$F$25-SUM($G16:AD16))*AND(AE11&gt;0,$F$25&gt;SUM($G16:AD16))</f>
        <v>0</v>
      </c>
      <c r="AF16" s="1909">
        <f ca="1">MIN(AF11,SUM($F$25)/3,$F$25-SUM($G16:AE16))*AND(AF11&gt;0,$F$25&gt;SUM($G16:AE16))</f>
        <v>0</v>
      </c>
      <c r="AG16" s="1909">
        <f ca="1">MIN(AG11,SUM($F$25)/3,$F$25-SUM($G16:AF16))*AND(AG11&gt;0,$F$25&gt;SUM($G16:AF16))</f>
        <v>0</v>
      </c>
      <c r="AH16" s="1909">
        <f ca="1">MIN(AH11,SUM($F$25)/3,$F$25-SUM($G16:AG16))*AND(AH11&gt;0,$F$25&gt;SUM($G16:AG16))</f>
        <v>0</v>
      </c>
      <c r="AI16" s="1909">
        <f ca="1">MIN(AI11,SUM($F$25)/3,$F$25-SUM($G16:AH16))*AND(AI11&gt;0,$F$25&gt;SUM($G16:AH16))</f>
        <v>0</v>
      </c>
      <c r="AJ16" s="1909">
        <f ca="1">MIN(AJ11,SUM($F$25)/3,$F$25-SUM($G16:AI16))*AND(AJ11&gt;0,$F$25&gt;SUM($G16:AI16))</f>
        <v>0</v>
      </c>
      <c r="AK16" s="1909">
        <f ca="1">MIN(AK11,SUM($F$25)/3,$F$25-SUM($G16:AJ16))*AND(AK11&gt;0,$F$25&gt;SUM($G16:AJ16))</f>
        <v>0</v>
      </c>
      <c r="AL16" s="1909">
        <f ca="1">MIN(AL11,SUM($F$25)/3,$F$25-SUM($G16:AK16))*AND(AL11&gt;0,$F$25&gt;SUM($G16:AK16))</f>
        <v>0</v>
      </c>
      <c r="AM16" s="1909">
        <f ca="1">MIN(AM11,SUM($F$25)/3,$F$25-SUM($G16:AL16))*AND(AM11&gt;0,$F$25&gt;SUM($G16:AL16))</f>
        <v>0</v>
      </c>
      <c r="AN16" s="1909">
        <f ca="1">MIN(AN11,SUM($F$25)/3,$F$25-SUM($G16:AM16))*AND(AN11&gt;0,$F$25&gt;SUM($G16:AM16))</f>
        <v>0</v>
      </c>
      <c r="AO16" s="1909">
        <f ca="1">MIN(AO11,SUM($F$25)/3,$F$25-SUM($G16:AN16))*AND(AO11&gt;0,$F$25&gt;SUM($G16:AN16))</f>
        <v>0</v>
      </c>
      <c r="AP16" s="1909">
        <f ca="1">MIN(AP11,SUM($F$25)/3,$F$25-SUM($G16:AO16))*AND(AP11&gt;0,$F$25&gt;SUM($G16:AO16))</f>
        <v>0</v>
      </c>
      <c r="AQ16" s="1909">
        <f ca="1">MIN(AQ11,SUM($F$25)/3,$F$25-SUM($G16:AP16))*AND(AQ11&gt;0,$F$25&gt;SUM($G16:AP16))</f>
        <v>0</v>
      </c>
      <c r="AR16" s="1909">
        <f ca="1">MIN(AR11,SUM($F$25)/3,$F$25-SUM($G16:AQ16))*AND(AR11&gt;0,$F$25&gt;SUM($G16:AQ16))</f>
        <v>0</v>
      </c>
      <c r="AS16" s="1909">
        <f ca="1">MIN(AS11,SUM($F$25)/3,$F$25-SUM($G16:AR16))*AND(AS11&gt;0,$F$25&gt;SUM($G16:AR16))</f>
        <v>0</v>
      </c>
      <c r="AT16" s="1909">
        <f ca="1">MIN(AT11,SUM($F$25)/3,$F$25-SUM($G16:AS16))*AND(AT11&gt;0,$F$25&gt;SUM($G16:AS16))</f>
        <v>0</v>
      </c>
      <c r="AU16" s="1909">
        <f ca="1">MIN(AU11,SUM($F$25)/3,$F$25-SUM($G16:AT16))*AND(AU11&gt;0,$F$25&gt;SUM($G16:AT16))</f>
        <v>0</v>
      </c>
      <c r="AV16" s="1909">
        <f ca="1">MIN(AV11,SUM($F$25)/3,$F$25-SUM($G16:AU16))*AND(AV11&gt;0,$F$25&gt;SUM($G16:AU16))</f>
        <v>0</v>
      </c>
      <c r="AW16" s="1909">
        <f ca="1">MIN(AW11,SUM($F$25)/3,$F$25-SUM($G16:AV16))*AND(AW11&gt;0,$F$25&gt;SUM($G16:AV16))</f>
        <v>0</v>
      </c>
      <c r="AX16" s="1909">
        <f ca="1">MIN(AX11,SUM($F$25)/3,$F$25-SUM($G16:AW16))*AND(AX11&gt;0,$F$25&gt;SUM($G16:AW16))</f>
        <v>0</v>
      </c>
      <c r="AY16" s="1911">
        <f ca="1">MIN(AY11,SUM($F$25)/3,$F$25-SUM($G16:AX16))*AND(AY11&gt;0,$F$25&gt;SUM($G16:AX16))</f>
        <v>0</v>
      </c>
      <c r="AZ16" s="1912"/>
      <c r="BA16" s="1912"/>
      <c r="BB16" s="1912"/>
    </row>
    <row r="17" spans="3:54" s="16" customFormat="1" ht="14.25" customHeight="1">
      <c r="C17" s="1929"/>
      <c r="D17" s="1930" t="s">
        <v>3712</v>
      </c>
      <c r="E17" s="1908"/>
      <c r="F17" s="1909">
        <f ca="1">SUM(G17:BA17)</f>
        <v>215.14412821052483</v>
      </c>
      <c r="G17" s="1909">
        <f t="shared" ref="G17:AY17" si="5">G32</f>
        <v>0</v>
      </c>
      <c r="H17" s="1909">
        <f t="shared" ca="1" si="5"/>
        <v>0</v>
      </c>
      <c r="I17" s="1909">
        <f t="shared" ca="1" si="5"/>
        <v>0</v>
      </c>
      <c r="J17" s="1909">
        <f t="shared" ca="1" si="5"/>
        <v>0</v>
      </c>
      <c r="K17" s="1909">
        <f t="shared" ca="1" si="5"/>
        <v>0</v>
      </c>
      <c r="L17" s="1909">
        <f t="shared" ca="1" si="5"/>
        <v>0.58379567439345004</v>
      </c>
      <c r="M17" s="1909">
        <f t="shared" ca="1" si="5"/>
        <v>0.65603036719122021</v>
      </c>
      <c r="N17" s="1909">
        <f t="shared" ca="1" si="5"/>
        <v>1.7687827680773889</v>
      </c>
      <c r="O17" s="1909">
        <f t="shared" ca="1" si="5"/>
        <v>3.1059585802387955</v>
      </c>
      <c r="P17" s="1909">
        <f t="shared" ca="1" si="5"/>
        <v>1.575713685472163</v>
      </c>
      <c r="Q17" s="1909">
        <f t="shared" ca="1" si="5"/>
        <v>2.8642454820594554</v>
      </c>
      <c r="R17" s="1909">
        <f t="shared" ca="1" si="5"/>
        <v>2.5040784896574291</v>
      </c>
      <c r="S17" s="1909">
        <f t="shared" ca="1" si="5"/>
        <v>2.6608340660995564</v>
      </c>
      <c r="T17" s="1909">
        <f t="shared" ca="1" si="5"/>
        <v>3.2902694762689317</v>
      </c>
      <c r="U17" s="1909">
        <f t="shared" ca="1" si="5"/>
        <v>3.2479099084009531</v>
      </c>
      <c r="V17" s="1909">
        <f t="shared" ca="1" si="5"/>
        <v>3.4050114158243834</v>
      </c>
      <c r="W17" s="1909">
        <f t="shared" ca="1" si="5"/>
        <v>5.5815668545562724</v>
      </c>
      <c r="X17" s="1909">
        <f t="shared" ca="1" si="5"/>
        <v>5.7396316468599897</v>
      </c>
      <c r="Y17" s="1909">
        <f t="shared" ca="1" si="5"/>
        <v>7.0930748371729306</v>
      </c>
      <c r="Z17" s="1909">
        <f t="shared" ca="1" si="5"/>
        <v>7.338530765113453</v>
      </c>
      <c r="AA17" s="1909">
        <f t="shared" ca="1" si="5"/>
        <v>8.520511103866129</v>
      </c>
      <c r="AB17" s="1909">
        <f t="shared" ca="1" si="5"/>
        <v>8.8072687054561332</v>
      </c>
      <c r="AC17" s="1909">
        <f t="shared" ca="1" si="5"/>
        <v>10.013909437641937</v>
      </c>
      <c r="AD17" s="1909">
        <f t="shared" ca="1" si="5"/>
        <v>11.240931172878449</v>
      </c>
      <c r="AE17" s="1909">
        <f t="shared" ca="1" si="5"/>
        <v>10.838100940147186</v>
      </c>
      <c r="AF17" s="1909">
        <f t="shared" ca="1" si="5"/>
        <v>10.495066833200307</v>
      </c>
      <c r="AG17" s="1909">
        <f t="shared" ca="1" si="5"/>
        <v>9.3989140875407031</v>
      </c>
      <c r="AH17" s="1909">
        <f t="shared" ca="1" si="5"/>
        <v>6.170173939093238</v>
      </c>
      <c r="AI17" s="1909">
        <f t="shared" ca="1" si="5"/>
        <v>6.9934219117380421</v>
      </c>
      <c r="AJ17" s="1909">
        <f t="shared" ca="1" si="5"/>
        <v>6.2913453711094096</v>
      </c>
      <c r="AK17" s="1909">
        <f t="shared" ca="1" si="5"/>
        <v>6.7970962248008338</v>
      </c>
      <c r="AL17" s="1909">
        <f t="shared" ca="1" si="5"/>
        <v>7.6542876805189612</v>
      </c>
      <c r="AM17" s="1909">
        <f t="shared" ca="1" si="5"/>
        <v>7.41243889269645</v>
      </c>
      <c r="AN17" s="1909">
        <f t="shared" ca="1" si="5"/>
        <v>7.4706368267369969</v>
      </c>
      <c r="AO17" s="1909">
        <f t="shared" ca="1" si="5"/>
        <v>8.6672810418241344</v>
      </c>
      <c r="AP17" s="1909">
        <f t="shared" ca="1" si="5"/>
        <v>8.6953948659286837</v>
      </c>
      <c r="AQ17" s="1909">
        <f t="shared" ca="1" si="5"/>
        <v>8.8863067239872997</v>
      </c>
      <c r="AR17" s="1909">
        <f t="shared" ca="1" si="5"/>
        <v>9.6374178419659273</v>
      </c>
      <c r="AS17" s="1909">
        <f t="shared" ca="1" si="5"/>
        <v>9.7381905920076139</v>
      </c>
      <c r="AT17" s="1909">
        <f t="shared" ca="1" si="5"/>
        <v>0</v>
      </c>
      <c r="AU17" s="1909">
        <f t="shared" ca="1" si="5"/>
        <v>0</v>
      </c>
      <c r="AV17" s="1909">
        <f t="shared" ca="1" si="5"/>
        <v>0</v>
      </c>
      <c r="AW17" s="1909">
        <f t="shared" ca="1" si="5"/>
        <v>0</v>
      </c>
      <c r="AX17" s="1909">
        <f t="shared" ca="1" si="5"/>
        <v>0</v>
      </c>
      <c r="AY17" s="1911">
        <f t="shared" ca="1" si="5"/>
        <v>0</v>
      </c>
      <c r="AZ17" s="1912"/>
      <c r="BA17" s="1912"/>
      <c r="BB17" s="1912"/>
    </row>
    <row r="18" spans="3:54" s="16" customFormat="1" ht="14.25" customHeight="1">
      <c r="C18" s="1929"/>
      <c r="D18" s="1930" t="s">
        <v>152</v>
      </c>
      <c r="E18" s="1908"/>
      <c r="F18" s="1909">
        <f ca="1">SUM(G18:BA18)</f>
        <v>2096.7590232578814</v>
      </c>
      <c r="G18" s="1909">
        <f t="shared" ref="G18:AY18" ca="1" si="6">(G50)*(G10&lt;2059)</f>
        <v>0</v>
      </c>
      <c r="H18" s="1909">
        <f t="shared" ca="1" si="6"/>
        <v>0</v>
      </c>
      <c r="I18" s="1909">
        <f t="shared" ca="1" si="6"/>
        <v>0</v>
      </c>
      <c r="J18" s="1909">
        <f t="shared" ca="1" si="6"/>
        <v>0</v>
      </c>
      <c r="K18" s="1909">
        <f t="shared" ca="1" si="6"/>
        <v>0</v>
      </c>
      <c r="L18" s="1909">
        <f t="shared" ca="1" si="6"/>
        <v>0</v>
      </c>
      <c r="M18" s="1909">
        <f t="shared" ca="1" si="6"/>
        <v>0</v>
      </c>
      <c r="N18" s="1909">
        <f t="shared" ca="1" si="6"/>
        <v>1.585478126567498</v>
      </c>
      <c r="O18" s="1909">
        <f t="shared" ca="1" si="6"/>
        <v>30.34879874323374</v>
      </c>
      <c r="P18" s="1909">
        <f t="shared" ca="1" si="6"/>
        <v>15.75713685472163</v>
      </c>
      <c r="Q18" s="1909">
        <f t="shared" ca="1" si="6"/>
        <v>28.642454820594555</v>
      </c>
      <c r="R18" s="1909">
        <f t="shared" ca="1" si="6"/>
        <v>25.040784896574287</v>
      </c>
      <c r="S18" s="1909">
        <f t="shared" ca="1" si="6"/>
        <v>26.608340660995566</v>
      </c>
      <c r="T18" s="1909">
        <f t="shared" ca="1" si="6"/>
        <v>32.902694762689322</v>
      </c>
      <c r="U18" s="1909">
        <f t="shared" ca="1" si="6"/>
        <v>32.479099084009526</v>
      </c>
      <c r="V18" s="1909">
        <f t="shared" ca="1" si="6"/>
        <v>34.050114158243836</v>
      </c>
      <c r="W18" s="1909">
        <f t="shared" ca="1" si="6"/>
        <v>55.81566854556273</v>
      </c>
      <c r="X18" s="1909">
        <f t="shared" ca="1" si="6"/>
        <v>57.396316468599899</v>
      </c>
      <c r="Y18" s="1909">
        <f t="shared" ca="1" si="6"/>
        <v>70.930748371729308</v>
      </c>
      <c r="Z18" s="1909">
        <f t="shared" ca="1" si="6"/>
        <v>73.385307651134539</v>
      </c>
      <c r="AA18" s="1909">
        <f t="shared" ca="1" si="6"/>
        <v>85.205111038661286</v>
      </c>
      <c r="AB18" s="1909">
        <f t="shared" ca="1" si="6"/>
        <v>88.072687054561314</v>
      </c>
      <c r="AC18" s="1909">
        <f t="shared" ca="1" si="6"/>
        <v>84.922464029390852</v>
      </c>
      <c r="AD18" s="1909">
        <f t="shared" ca="1" si="6"/>
        <v>102.15508025765351</v>
      </c>
      <c r="AE18" s="1909">
        <f t="shared" ca="1" si="6"/>
        <v>108.38100940147186</v>
      </c>
      <c r="AF18" s="1909">
        <f t="shared" ca="1" si="6"/>
        <v>104.95066833200305</v>
      </c>
      <c r="AG18" s="1909">
        <f t="shared" ca="1" si="6"/>
        <v>93.989140875407045</v>
      </c>
      <c r="AH18" s="1909">
        <f t="shared" ca="1" si="6"/>
        <v>61.701739390932381</v>
      </c>
      <c r="AI18" s="1909">
        <f t="shared" ca="1" si="6"/>
        <v>69.934219117380422</v>
      </c>
      <c r="AJ18" s="1909">
        <f t="shared" ca="1" si="6"/>
        <v>62.9134537110941</v>
      </c>
      <c r="AK18" s="1909">
        <f t="shared" ca="1" si="6"/>
        <v>67.970962248008334</v>
      </c>
      <c r="AL18" s="1909">
        <f t="shared" ca="1" si="6"/>
        <v>76.542876805189607</v>
      </c>
      <c r="AM18" s="1909">
        <f t="shared" ca="1" si="6"/>
        <v>74.124388926964514</v>
      </c>
      <c r="AN18" s="1909">
        <f t="shared" ca="1" si="6"/>
        <v>74.706368267369982</v>
      </c>
      <c r="AO18" s="1909">
        <f t="shared" ca="1" si="6"/>
        <v>86.67281041824134</v>
      </c>
      <c r="AP18" s="1909">
        <f t="shared" ca="1" si="6"/>
        <v>86.953948659286823</v>
      </c>
      <c r="AQ18" s="1909">
        <f t="shared" ca="1" si="6"/>
        <v>88.863067239873004</v>
      </c>
      <c r="AR18" s="1909">
        <f t="shared" ca="1" si="6"/>
        <v>96.374178419659287</v>
      </c>
      <c r="AS18" s="1909">
        <f t="shared" ca="1" si="6"/>
        <v>97.38190592007615</v>
      </c>
      <c r="AT18" s="1909">
        <f t="shared" ca="1" si="6"/>
        <v>0</v>
      </c>
      <c r="AU18" s="1909">
        <f t="shared" ca="1" si="6"/>
        <v>0</v>
      </c>
      <c r="AV18" s="1909">
        <f t="shared" ca="1" si="6"/>
        <v>0</v>
      </c>
      <c r="AW18" s="1909">
        <f t="shared" ca="1" si="6"/>
        <v>0</v>
      </c>
      <c r="AX18" s="1909">
        <f t="shared" ca="1" si="6"/>
        <v>0</v>
      </c>
      <c r="AY18" s="1911">
        <f t="shared" ca="1" si="6"/>
        <v>0</v>
      </c>
      <c r="AZ18" s="1912"/>
      <c r="BA18" s="1912"/>
      <c r="BB18" s="1912"/>
    </row>
    <row r="19" spans="3:54" s="16" customFormat="1" ht="14.25" customHeight="1">
      <c r="C19" s="1929"/>
      <c r="D19" s="1930" t="s">
        <v>3713</v>
      </c>
      <c r="E19" s="1908"/>
      <c r="F19" s="1909">
        <f ca="1">SUM(G19:BA19)</f>
        <v>-449.58116095633551</v>
      </c>
      <c r="G19" s="1909">
        <f ca="1">-(SUMIF(Waterfall!3:3,G10,Waterfall!61:61)+SUMIF(Waterfall!3:3,G10,Waterfall!94:94))</f>
        <v>0</v>
      </c>
      <c r="H19" s="1909">
        <f ca="1">-(SUMIF(Waterfall!3:3,H10,Waterfall!61:61)+SUMIF(Waterfall!3:3,H10,Waterfall!94:94))</f>
        <v>0</v>
      </c>
      <c r="I19" s="1909">
        <f ca="1">-(SUMIF(Waterfall!3:3,I10,Waterfall!61:61)+SUMIF(Waterfall!3:3,I10,Waterfall!94:94))</f>
        <v>0</v>
      </c>
      <c r="J19" s="1909">
        <f ca="1">-(SUMIF(Waterfall!3:3,J10,Waterfall!61:61)+SUMIF(Waterfall!3:3,J10,Waterfall!94:94))</f>
        <v>0</v>
      </c>
      <c r="K19" s="1909">
        <f ca="1">-(SUMIF(Waterfall!3:3,K10,Waterfall!61:61)+SUMIF(Waterfall!3:3,K10,Waterfall!94:94))</f>
        <v>0</v>
      </c>
      <c r="L19" s="1909">
        <f ca="1">-(SUMIF(Waterfall!3:3,L10,Waterfall!61:61)+SUMIF(Waterfall!3:3,L10,Waterfall!94:94))</f>
        <v>0</v>
      </c>
      <c r="M19" s="1909">
        <f ca="1">-(SUMIF(Waterfall!3:3,M10,Waterfall!61:61)+SUMIF(Waterfall!3:3,M10,Waterfall!94:94))</f>
        <v>0</v>
      </c>
      <c r="N19" s="1909">
        <f ca="1">-(SUMIF(Waterfall!3:3,N10,Waterfall!61:61)+SUMIF(Waterfall!3:3,N10,Waterfall!94:94))</f>
        <v>0</v>
      </c>
      <c r="O19" s="1909">
        <f ca="1">-(SUMIF(Waterfall!3:3,O10,Waterfall!61:61)+SUMIF(Waterfall!3:3,O10,Waterfall!94:94))</f>
        <v>0</v>
      </c>
      <c r="P19" s="1909">
        <f ca="1">-(SUMIF(Waterfall!3:3,P10,Waterfall!61:61)+SUMIF(Waterfall!3:3,P10,Waterfall!94:94))</f>
        <v>0</v>
      </c>
      <c r="Q19" s="1909">
        <f ca="1">-(SUMIF(Waterfall!3:3,Q10,Waterfall!61:61)+SUMIF(Waterfall!3:3,Q10,Waterfall!94:94))</f>
        <v>0</v>
      </c>
      <c r="R19" s="1909">
        <f ca="1">-(SUMIF(Waterfall!3:3,R10,Waterfall!61:61)+SUMIF(Waterfall!3:3,R10,Waterfall!94:94))</f>
        <v>0</v>
      </c>
      <c r="S19" s="1909">
        <f ca="1">-(SUMIF(Waterfall!3:3,S10,Waterfall!61:61)+SUMIF(Waterfall!3:3,S10,Waterfall!94:94))</f>
        <v>0</v>
      </c>
      <c r="T19" s="1909">
        <f ca="1">-(SUMIF(Waterfall!3:3,T10,Waterfall!61:61)+SUMIF(Waterfall!3:3,T10,Waterfall!94:94))</f>
        <v>0</v>
      </c>
      <c r="U19" s="1909">
        <f ca="1">-(SUMIF(Waterfall!3:3,U10,Waterfall!61:61)+SUMIF(Waterfall!3:3,U10,Waterfall!94:94))</f>
        <v>-6.9601859712643455</v>
      </c>
      <c r="V19" s="1909">
        <f ca="1">-(SUMIF(Waterfall!3:3,V10,Waterfall!61:61)+SUMIF(Waterfall!3:3,V10,Waterfall!94:94))</f>
        <v>-21.342732529732551</v>
      </c>
      <c r="W19" s="1909">
        <f ca="1">-(SUMIF(Waterfall!3:3,W10,Waterfall!61:61)+SUMIF(Waterfall!3:3,W10,Waterfall!94:94))</f>
        <v>-24.911065362358926</v>
      </c>
      <c r="X19" s="1909">
        <f ca="1">-(SUMIF(Waterfall!3:3,X10,Waterfall!61:61)+SUMIF(Waterfall!3:3,X10,Waterfall!94:94))</f>
        <v>-43.839672909301257</v>
      </c>
      <c r="Y19" s="1909">
        <f ca="1">-(SUMIF(Waterfall!3:3,Y10,Waterfall!61:61)+SUMIF(Waterfall!3:3,Y10,Waterfall!94:94))</f>
        <v>-45.92</v>
      </c>
      <c r="Z19" s="1909">
        <f ca="1">-(SUMIF(Waterfall!3:3,Z10,Waterfall!61:61)+SUMIF(Waterfall!3:3,Z10,Waterfall!94:94))</f>
        <v>-45.92</v>
      </c>
      <c r="AA19" s="1909">
        <f ca="1">-(SUMIF(Waterfall!3:3,AA10,Waterfall!61:61)+SUMIF(Waterfall!3:3,AA10,Waterfall!94:94))</f>
        <v>-45.92</v>
      </c>
      <c r="AB19" s="1909">
        <f ca="1">-(SUMIF(Waterfall!3:3,AB10,Waterfall!61:61)+SUMIF(Waterfall!3:3,AB10,Waterfall!94:94))</f>
        <v>-45.92</v>
      </c>
      <c r="AC19" s="1909">
        <f ca="1">-(SUMIF(Waterfall!3:3,AC10,Waterfall!61:61)+SUMIF(Waterfall!3:3,AC10,Waterfall!94:94))</f>
        <v>-45.92</v>
      </c>
      <c r="AD19" s="1909">
        <f ca="1">-(SUMIF(Waterfall!3:3,AD10,Waterfall!61:61)+SUMIF(Waterfall!3:3,AD10,Waterfall!94:94))</f>
        <v>-45.92</v>
      </c>
      <c r="AE19" s="1909">
        <f ca="1">-(SUMIF(Waterfall!3:3,AE10,Waterfall!61:61)+SUMIF(Waterfall!3:3,AE10,Waterfall!94:94))</f>
        <v>-45.92</v>
      </c>
      <c r="AF19" s="1909">
        <f ca="1">-(SUMIF(Waterfall!3:3,AF10,Waterfall!61:61)+SUMIF(Waterfall!3:3,AF10,Waterfall!94:94))</f>
        <v>-31.087504183678348</v>
      </c>
      <c r="AG19" s="1909">
        <f ca="1">-(SUMIF(Waterfall!3:3,AG10,Waterfall!61:61)+SUMIF(Waterfall!3:3,AG10,Waterfall!94:94))</f>
        <v>0</v>
      </c>
      <c r="AH19" s="1909">
        <f ca="1">-(SUMIF(Waterfall!3:3,AH10,Waterfall!61:61)+SUMIF(Waterfall!3:3,AH10,Waterfall!94:94))</f>
        <v>0</v>
      </c>
      <c r="AI19" s="1909">
        <f ca="1">-(SUMIF(Waterfall!3:3,AI10,Waterfall!61:61)+SUMIF(Waterfall!3:3,AI10,Waterfall!94:94))</f>
        <v>0</v>
      </c>
      <c r="AJ19" s="1909">
        <f ca="1">-(SUMIF(Waterfall!3:3,AJ10,Waterfall!61:61)+SUMIF(Waterfall!3:3,AJ10,Waterfall!94:94))</f>
        <v>0</v>
      </c>
      <c r="AK19" s="1909">
        <f ca="1">-(SUMIF(Waterfall!3:3,AK10,Waterfall!61:61)+SUMIF(Waterfall!3:3,AK10,Waterfall!94:94))</f>
        <v>0</v>
      </c>
      <c r="AL19" s="1909">
        <f ca="1">-(SUMIF(Waterfall!3:3,AL10,Waterfall!61:61)+SUMIF(Waterfall!3:3,AL10,Waterfall!94:94))</f>
        <v>0</v>
      </c>
      <c r="AM19" s="1909">
        <f ca="1">-(SUMIF(Waterfall!3:3,AM10,Waterfall!61:61)+SUMIF(Waterfall!3:3,AM10,Waterfall!94:94))</f>
        <v>0</v>
      </c>
      <c r="AN19" s="1909">
        <f ca="1">-(SUMIF(Waterfall!3:3,AN10,Waterfall!61:61)+SUMIF(Waterfall!3:3,AN10,Waterfall!94:94))</f>
        <v>0</v>
      </c>
      <c r="AO19" s="1909">
        <f ca="1">-(SUMIF(Waterfall!3:3,AO10,Waterfall!61:61)+SUMIF(Waterfall!3:3,AO10,Waterfall!94:94))</f>
        <v>0</v>
      </c>
      <c r="AP19" s="1909">
        <f ca="1">-(SUMIF(Waterfall!3:3,AP10,Waterfall!61:61)+SUMIF(Waterfall!3:3,AP10,Waterfall!94:94))</f>
        <v>0</v>
      </c>
      <c r="AQ19" s="1909">
        <f ca="1">-(SUMIF(Waterfall!3:3,AQ10,Waterfall!61:61)+SUMIF(Waterfall!3:3,AQ10,Waterfall!94:94))</f>
        <v>0</v>
      </c>
      <c r="AR19" s="1909">
        <f ca="1">-(SUMIF(Waterfall!3:3,AR10,Waterfall!61:61)+SUMIF(Waterfall!3:3,AR10,Waterfall!94:94))</f>
        <v>0</v>
      </c>
      <c r="AS19" s="1909">
        <f ca="1">-(SUMIF(Waterfall!3:3,AS10,Waterfall!61:61)+SUMIF(Waterfall!3:3,AS10,Waterfall!94:94))</f>
        <v>0</v>
      </c>
      <c r="AT19" s="1909">
        <f ca="1">-(SUMIF(Waterfall!3:3,AT10,Waterfall!61:61)+SUMIF(Waterfall!3:3,AT10,Waterfall!94:94))</f>
        <v>0</v>
      </c>
      <c r="AU19" s="1909">
        <f ca="1">-(SUMIF(Waterfall!3:3,AU10,Waterfall!61:61)+SUMIF(Waterfall!3:3,AU10,Waterfall!94:94))</f>
        <v>0</v>
      </c>
      <c r="AV19" s="1909">
        <f ca="1">-(SUMIF(Waterfall!3:3,AV10,Waterfall!61:61)+SUMIF(Waterfall!3:3,AV10,Waterfall!94:94))</f>
        <v>0</v>
      </c>
      <c r="AW19" s="1909">
        <f ca="1">-(SUMIF(Waterfall!3:3,AW10,Waterfall!61:61)+SUMIF(Waterfall!3:3,AW10,Waterfall!94:94))</f>
        <v>0</v>
      </c>
      <c r="AX19" s="1909">
        <f ca="1">-(SUMIF(Waterfall!3:3,AX10,Waterfall!61:61)+SUMIF(Waterfall!3:3,AX10,Waterfall!94:94))</f>
        <v>0</v>
      </c>
      <c r="AY19" s="1911">
        <f>-(SUMIF(Waterfall!3:3,AY10,Waterfall!61:61)+SUMIF(Waterfall!3:3,AY10,Waterfall!94:94))</f>
        <v>0</v>
      </c>
      <c r="AZ19" s="1912"/>
      <c r="BA19" s="1912"/>
      <c r="BB19" s="1912"/>
    </row>
    <row r="20" spans="3:54" s="16" customFormat="1" ht="14.25" customHeight="1">
      <c r="C20" s="1931" t="s">
        <v>1391</v>
      </c>
      <c r="D20" s="1932"/>
      <c r="E20" s="1933"/>
      <c r="F20" s="1934"/>
      <c r="G20" s="1934">
        <f ca="1">(G11-G15)</f>
        <v>-368.09849706</v>
      </c>
      <c r="H20" s="1934">
        <f t="shared" ref="H20:AT20" ca="1" si="7">(H11-H15)</f>
        <v>-299.31478533484682</v>
      </c>
      <c r="I20" s="1934">
        <f t="shared" ca="1" si="7"/>
        <v>-227.29039458078276</v>
      </c>
      <c r="J20" s="1934">
        <f t="shared" ca="1" si="7"/>
        <v>-134.88328128494217</v>
      </c>
      <c r="K20" s="1934">
        <f t="shared" ca="1" si="7"/>
        <v>-30.855006638396588</v>
      </c>
      <c r="L20" s="1934">
        <f t="shared" ca="1" si="7"/>
        <v>5.8379567439345008</v>
      </c>
      <c r="M20" s="1934">
        <f t="shared" ca="1" si="7"/>
        <v>6.5603036719122017</v>
      </c>
      <c r="N20" s="1934">
        <f t="shared" ca="1" si="7"/>
        <v>16.102349554206391</v>
      </c>
      <c r="O20" s="1934">
        <f t="shared" ca="1" si="7"/>
        <v>0.71078705915421381</v>
      </c>
      <c r="P20" s="1934">
        <f t="shared" ca="1" si="7"/>
        <v>0</v>
      </c>
      <c r="Q20" s="1934">
        <f t="shared" ca="1" si="7"/>
        <v>0</v>
      </c>
      <c r="R20" s="1934">
        <f t="shared" ca="1" si="7"/>
        <v>0</v>
      </c>
      <c r="S20" s="1934">
        <f t="shared" ca="1" si="7"/>
        <v>0</v>
      </c>
      <c r="T20" s="1934">
        <f t="shared" ca="1" si="7"/>
        <v>0</v>
      </c>
      <c r="U20" s="1934">
        <f t="shared" ca="1" si="7"/>
        <v>6.9601859712643446</v>
      </c>
      <c r="V20" s="1934">
        <f t="shared" ca="1" si="7"/>
        <v>21.342732529732551</v>
      </c>
      <c r="W20" s="1934">
        <f t="shared" ca="1" si="7"/>
        <v>24.911065362358926</v>
      </c>
      <c r="X20" s="1934">
        <f t="shared" ca="1" si="7"/>
        <v>43.839672909301257</v>
      </c>
      <c r="Y20" s="1934">
        <f t="shared" ca="1" si="7"/>
        <v>45.92</v>
      </c>
      <c r="Z20" s="1934">
        <f t="shared" ca="1" si="7"/>
        <v>45.92</v>
      </c>
      <c r="AA20" s="1934">
        <f t="shared" ca="1" si="7"/>
        <v>45.92</v>
      </c>
      <c r="AB20" s="1934">
        <f t="shared" ca="1" si="7"/>
        <v>45.92</v>
      </c>
      <c r="AC20" s="1934">
        <f t="shared" ca="1" si="7"/>
        <v>61.136630347028515</v>
      </c>
      <c r="AD20" s="1934">
        <f t="shared" ca="1" si="7"/>
        <v>56.17423147113098</v>
      </c>
      <c r="AE20" s="1934">
        <f t="shared" ca="1" si="7"/>
        <v>45.92</v>
      </c>
      <c r="AF20" s="1934">
        <f t="shared" ca="1" si="7"/>
        <v>31.087504183678348</v>
      </c>
      <c r="AG20" s="1934">
        <f t="shared" ca="1" si="7"/>
        <v>0</v>
      </c>
      <c r="AH20" s="1934">
        <f t="shared" ca="1" si="7"/>
        <v>0</v>
      </c>
      <c r="AI20" s="1934">
        <f t="shared" ca="1" si="7"/>
        <v>0</v>
      </c>
      <c r="AJ20" s="1934">
        <f t="shared" ca="1" si="7"/>
        <v>0</v>
      </c>
      <c r="AK20" s="1934">
        <f t="shared" ca="1" si="7"/>
        <v>0</v>
      </c>
      <c r="AL20" s="1934">
        <f t="shared" ca="1" si="7"/>
        <v>0</v>
      </c>
      <c r="AM20" s="1934">
        <f t="shared" ca="1" si="7"/>
        <v>-1.4210854715202004E-14</v>
      </c>
      <c r="AN20" s="1934">
        <f t="shared" ca="1" si="7"/>
        <v>0</v>
      </c>
      <c r="AO20" s="1934">
        <f t="shared" ca="1" si="7"/>
        <v>0</v>
      </c>
      <c r="AP20" s="1934">
        <f t="shared" ca="1" si="7"/>
        <v>1.4210854715202004E-14</v>
      </c>
      <c r="AQ20" s="1934">
        <f t="shared" ca="1" si="7"/>
        <v>0</v>
      </c>
      <c r="AR20" s="1934">
        <f t="shared" ca="1" si="7"/>
        <v>0</v>
      </c>
      <c r="AS20" s="1934">
        <f t="shared" ca="1" si="7"/>
        <v>0</v>
      </c>
      <c r="AT20" s="1934">
        <f t="shared" ca="1" si="7"/>
        <v>-123.97761239101396</v>
      </c>
      <c r="AU20" s="1934">
        <v>0</v>
      </c>
      <c r="AV20" s="1934">
        <v>0</v>
      </c>
      <c r="AW20" s="1934">
        <v>0</v>
      </c>
      <c r="AX20" s="1934">
        <v>0</v>
      </c>
      <c r="AY20" s="1935">
        <v>0</v>
      </c>
      <c r="AZ20" s="1912"/>
      <c r="BA20" s="1912"/>
      <c r="BB20" s="1912"/>
    </row>
    <row r="21" spans="3:54" s="16" customFormat="1" ht="14.25" customHeight="1">
      <c r="D21" s="1907"/>
      <c r="E21" s="1936"/>
      <c r="F21" s="1937"/>
      <c r="G21" s="1937"/>
      <c r="H21" s="1937"/>
      <c r="I21" s="1937"/>
      <c r="J21" s="1937"/>
      <c r="K21" s="1937"/>
      <c r="L21" s="1937"/>
      <c r="M21" s="1937"/>
      <c r="N21" s="1937"/>
      <c r="O21" s="1937"/>
      <c r="P21" s="1937"/>
      <c r="Q21" s="1937"/>
      <c r="R21" s="1937"/>
      <c r="S21" s="1937"/>
      <c r="T21" s="1937"/>
      <c r="U21" s="1937"/>
      <c r="V21" s="1937"/>
      <c r="W21" s="1937"/>
      <c r="X21" s="1937"/>
      <c r="Y21" s="1937"/>
      <c r="Z21" s="1937"/>
      <c r="AA21" s="1937"/>
      <c r="AB21" s="1937"/>
      <c r="AC21" s="1937"/>
      <c r="AD21" s="1937"/>
      <c r="AE21" s="1937"/>
      <c r="AF21" s="1937"/>
      <c r="AG21" s="1937"/>
      <c r="AH21" s="1937"/>
      <c r="AI21" s="1937"/>
      <c r="AJ21" s="1937"/>
      <c r="AK21" s="1937"/>
      <c r="AL21" s="1937"/>
      <c r="AM21" s="1937"/>
      <c r="AN21" s="1937"/>
      <c r="AO21" s="1937"/>
      <c r="AP21" s="1937"/>
      <c r="AQ21" s="1937"/>
      <c r="AR21" s="1937"/>
      <c r="AS21" s="1937"/>
      <c r="AT21" s="1937"/>
      <c r="AU21" s="1937"/>
      <c r="AV21" s="1937"/>
      <c r="AW21" s="1937"/>
      <c r="AX21" s="1937"/>
      <c r="AY21" s="1937"/>
      <c r="AZ21" s="1912"/>
      <c r="BA21" s="1912"/>
      <c r="BB21" s="1912"/>
    </row>
    <row r="22" spans="3:54" s="16" customFormat="1" ht="14.25" customHeight="1">
      <c r="C22" s="16" t="s">
        <v>3714</v>
      </c>
      <c r="F22" s="1938"/>
      <c r="G22" s="1895"/>
      <c r="H22" s="1895"/>
      <c r="I22" s="1895"/>
      <c r="J22" s="1895"/>
      <c r="K22" s="1895"/>
      <c r="L22" s="1895"/>
      <c r="M22" s="1895"/>
      <c r="N22" s="1895"/>
      <c r="O22" s="1895"/>
      <c r="P22" s="1895"/>
      <c r="Q22" s="1895"/>
      <c r="R22" s="1895"/>
      <c r="S22" s="1895"/>
      <c r="T22" s="1895"/>
      <c r="U22" s="1895"/>
      <c r="V22" s="1895"/>
      <c r="W22" s="1899"/>
      <c r="X22" s="1895"/>
      <c r="Y22" s="1895"/>
      <c r="Z22" s="1895"/>
      <c r="AA22" s="1895"/>
      <c r="AB22" s="1895"/>
      <c r="AC22" s="1895"/>
      <c r="AD22" s="1895"/>
      <c r="AE22" s="1895"/>
      <c r="AF22" s="1895"/>
      <c r="AG22" s="1895"/>
      <c r="AH22" s="1895"/>
      <c r="AI22" s="1895"/>
      <c r="AJ22" s="1895"/>
      <c r="AK22" s="1895"/>
      <c r="AL22" s="1895"/>
      <c r="AM22" s="1895"/>
      <c r="AN22" s="1895"/>
      <c r="AO22" s="1895"/>
      <c r="AQ22" s="1895"/>
      <c r="AR22" s="1895"/>
      <c r="AS22" s="1895"/>
      <c r="AT22" s="1895"/>
      <c r="AU22" s="1895"/>
      <c r="AV22" s="1895"/>
      <c r="AW22" s="1895"/>
      <c r="AX22" s="1895"/>
      <c r="AZ22" s="1895"/>
      <c r="BA22" s="1895"/>
      <c r="BB22" s="1895"/>
    </row>
    <row r="23" spans="3:54" s="16" customFormat="1" ht="14.25" customHeight="1">
      <c r="C23" s="1900"/>
      <c r="D23" s="1901" t="s">
        <v>780</v>
      </c>
      <c r="E23" s="1902"/>
      <c r="F23" s="1903" t="s">
        <v>1386</v>
      </c>
      <c r="G23" s="1903">
        <f>G$10</f>
        <v>2020</v>
      </c>
      <c r="H23" s="1903">
        <f t="shared" ref="H23:AY23" si="8">G23+1</f>
        <v>2021</v>
      </c>
      <c r="I23" s="1903">
        <f t="shared" si="8"/>
        <v>2022</v>
      </c>
      <c r="J23" s="1903">
        <f t="shared" si="8"/>
        <v>2023</v>
      </c>
      <c r="K23" s="1903">
        <f t="shared" si="8"/>
        <v>2024</v>
      </c>
      <c r="L23" s="1903">
        <f t="shared" si="8"/>
        <v>2025</v>
      </c>
      <c r="M23" s="1903">
        <f t="shared" si="8"/>
        <v>2026</v>
      </c>
      <c r="N23" s="1903">
        <f t="shared" si="8"/>
        <v>2027</v>
      </c>
      <c r="O23" s="1903">
        <f t="shared" si="8"/>
        <v>2028</v>
      </c>
      <c r="P23" s="1903">
        <f t="shared" si="8"/>
        <v>2029</v>
      </c>
      <c r="Q23" s="1903">
        <f t="shared" si="8"/>
        <v>2030</v>
      </c>
      <c r="R23" s="1903">
        <f t="shared" si="8"/>
        <v>2031</v>
      </c>
      <c r="S23" s="1903">
        <f t="shared" si="8"/>
        <v>2032</v>
      </c>
      <c r="T23" s="1903">
        <f t="shared" si="8"/>
        <v>2033</v>
      </c>
      <c r="U23" s="1903">
        <f t="shared" si="8"/>
        <v>2034</v>
      </c>
      <c r="V23" s="1903">
        <f t="shared" si="8"/>
        <v>2035</v>
      </c>
      <c r="W23" s="1903">
        <f t="shared" si="8"/>
        <v>2036</v>
      </c>
      <c r="X23" s="1903">
        <f t="shared" si="8"/>
        <v>2037</v>
      </c>
      <c r="Y23" s="1903">
        <f t="shared" si="8"/>
        <v>2038</v>
      </c>
      <c r="Z23" s="1903">
        <f t="shared" si="8"/>
        <v>2039</v>
      </c>
      <c r="AA23" s="1903">
        <f t="shared" si="8"/>
        <v>2040</v>
      </c>
      <c r="AB23" s="1903">
        <f t="shared" si="8"/>
        <v>2041</v>
      </c>
      <c r="AC23" s="1903">
        <f t="shared" si="8"/>
        <v>2042</v>
      </c>
      <c r="AD23" s="1903">
        <f t="shared" si="8"/>
        <v>2043</v>
      </c>
      <c r="AE23" s="1903">
        <f t="shared" si="8"/>
        <v>2044</v>
      </c>
      <c r="AF23" s="1903">
        <f t="shared" si="8"/>
        <v>2045</v>
      </c>
      <c r="AG23" s="1903">
        <f t="shared" si="8"/>
        <v>2046</v>
      </c>
      <c r="AH23" s="1903">
        <f t="shared" si="8"/>
        <v>2047</v>
      </c>
      <c r="AI23" s="1903">
        <f t="shared" si="8"/>
        <v>2048</v>
      </c>
      <c r="AJ23" s="1903">
        <f t="shared" si="8"/>
        <v>2049</v>
      </c>
      <c r="AK23" s="1903">
        <f t="shared" si="8"/>
        <v>2050</v>
      </c>
      <c r="AL23" s="1903">
        <f t="shared" si="8"/>
        <v>2051</v>
      </c>
      <c r="AM23" s="1903">
        <f t="shared" si="8"/>
        <v>2052</v>
      </c>
      <c r="AN23" s="1903">
        <f t="shared" si="8"/>
        <v>2053</v>
      </c>
      <c r="AO23" s="1903">
        <f t="shared" si="8"/>
        <v>2054</v>
      </c>
      <c r="AP23" s="1903">
        <f t="shared" si="8"/>
        <v>2055</v>
      </c>
      <c r="AQ23" s="1903">
        <f t="shared" si="8"/>
        <v>2056</v>
      </c>
      <c r="AR23" s="1903">
        <f t="shared" si="8"/>
        <v>2057</v>
      </c>
      <c r="AS23" s="1903">
        <f t="shared" si="8"/>
        <v>2058</v>
      </c>
      <c r="AT23" s="1903">
        <f t="shared" si="8"/>
        <v>2059</v>
      </c>
      <c r="AU23" s="1903">
        <f t="shared" si="8"/>
        <v>2060</v>
      </c>
      <c r="AV23" s="1903">
        <f t="shared" si="8"/>
        <v>2061</v>
      </c>
      <c r="AW23" s="1903">
        <f t="shared" si="8"/>
        <v>2062</v>
      </c>
      <c r="AX23" s="1903">
        <f t="shared" si="8"/>
        <v>2063</v>
      </c>
      <c r="AY23" s="1904">
        <f t="shared" si="8"/>
        <v>2064</v>
      </c>
      <c r="AZ23" s="1905"/>
      <c r="BA23" s="1905"/>
      <c r="BB23" s="1905"/>
    </row>
    <row r="24" spans="3:54" s="16" customFormat="1" ht="14.25" customHeight="1">
      <c r="C24" s="1906"/>
      <c r="D24" s="1907" t="s">
        <v>1380</v>
      </c>
      <c r="E24" s="1908"/>
      <c r="F24" s="1939">
        <v>3.3917389999999998</v>
      </c>
      <c r="G24" s="1940">
        <f>F24</f>
        <v>3.3917389999999998</v>
      </c>
      <c r="H24" s="1939">
        <f t="shared" ref="H24:AY24" si="9">G27</f>
        <v>3.3917389999999998</v>
      </c>
      <c r="I24" s="1939">
        <f t="shared" ca="1" si="9"/>
        <v>3.3917389999999998</v>
      </c>
      <c r="J24" s="1939">
        <f t="shared" ca="1" si="9"/>
        <v>3.3917389999999998</v>
      </c>
      <c r="K24" s="1939">
        <f t="shared" ca="1" si="9"/>
        <v>3.3917389999999998</v>
      </c>
      <c r="L24" s="1939">
        <f t="shared" ca="1" si="9"/>
        <v>3.3917389999999998</v>
      </c>
      <c r="M24" s="1939">
        <f t="shared" ca="1" si="9"/>
        <v>2.2611593333333335</v>
      </c>
      <c r="N24" s="1939">
        <f t="shared" ca="1" si="9"/>
        <v>1.130579666666667</v>
      </c>
      <c r="O24" s="1939">
        <f t="shared" ca="1" si="9"/>
        <v>0</v>
      </c>
      <c r="P24" s="1939">
        <f t="shared" ca="1" si="9"/>
        <v>0</v>
      </c>
      <c r="Q24" s="1939">
        <f t="shared" ca="1" si="9"/>
        <v>0</v>
      </c>
      <c r="R24" s="1939">
        <f t="shared" ca="1" si="9"/>
        <v>0</v>
      </c>
      <c r="S24" s="1939">
        <f t="shared" ca="1" si="9"/>
        <v>0</v>
      </c>
      <c r="T24" s="1939">
        <f t="shared" ca="1" si="9"/>
        <v>0</v>
      </c>
      <c r="U24" s="1939">
        <f t="shared" ca="1" si="9"/>
        <v>0</v>
      </c>
      <c r="V24" s="1939">
        <f t="shared" ca="1" si="9"/>
        <v>0</v>
      </c>
      <c r="W24" s="1939">
        <f t="shared" ca="1" si="9"/>
        <v>0</v>
      </c>
      <c r="X24" s="1939">
        <f t="shared" ca="1" si="9"/>
        <v>0</v>
      </c>
      <c r="Y24" s="1939">
        <f t="shared" ca="1" si="9"/>
        <v>0</v>
      </c>
      <c r="Z24" s="1939">
        <f t="shared" ca="1" si="9"/>
        <v>0</v>
      </c>
      <c r="AA24" s="1939">
        <f t="shared" ca="1" si="9"/>
        <v>0</v>
      </c>
      <c r="AB24" s="1939">
        <f t="shared" ca="1" si="9"/>
        <v>0</v>
      </c>
      <c r="AC24" s="1939">
        <f t="shared" ca="1" si="9"/>
        <v>0</v>
      </c>
      <c r="AD24" s="1939">
        <f t="shared" ca="1" si="9"/>
        <v>0</v>
      </c>
      <c r="AE24" s="1939">
        <f t="shared" ca="1" si="9"/>
        <v>0</v>
      </c>
      <c r="AF24" s="1939">
        <f t="shared" ca="1" si="9"/>
        <v>0</v>
      </c>
      <c r="AG24" s="1939">
        <f t="shared" ca="1" si="9"/>
        <v>0</v>
      </c>
      <c r="AH24" s="1939">
        <f t="shared" ca="1" si="9"/>
        <v>0</v>
      </c>
      <c r="AI24" s="1939">
        <f t="shared" ca="1" si="9"/>
        <v>0</v>
      </c>
      <c r="AJ24" s="1939">
        <f t="shared" ca="1" si="9"/>
        <v>0</v>
      </c>
      <c r="AK24" s="1939">
        <f t="shared" ca="1" si="9"/>
        <v>0</v>
      </c>
      <c r="AL24" s="1939">
        <f t="shared" ca="1" si="9"/>
        <v>0</v>
      </c>
      <c r="AM24" s="1939">
        <f t="shared" ca="1" si="9"/>
        <v>0</v>
      </c>
      <c r="AN24" s="1939">
        <f t="shared" ca="1" si="9"/>
        <v>0</v>
      </c>
      <c r="AO24" s="1939">
        <f t="shared" ca="1" si="9"/>
        <v>0</v>
      </c>
      <c r="AP24" s="1939">
        <f t="shared" ca="1" si="9"/>
        <v>0</v>
      </c>
      <c r="AQ24" s="1939">
        <f t="shared" ca="1" si="9"/>
        <v>0</v>
      </c>
      <c r="AR24" s="1939">
        <f t="shared" ca="1" si="9"/>
        <v>0</v>
      </c>
      <c r="AS24" s="1939">
        <f t="shared" ca="1" si="9"/>
        <v>0</v>
      </c>
      <c r="AT24" s="1939">
        <f t="shared" ca="1" si="9"/>
        <v>0</v>
      </c>
      <c r="AU24" s="1939">
        <f t="shared" ca="1" si="9"/>
        <v>0</v>
      </c>
      <c r="AV24" s="1939">
        <f t="shared" ca="1" si="9"/>
        <v>0</v>
      </c>
      <c r="AW24" s="1939">
        <f t="shared" ca="1" si="9"/>
        <v>0</v>
      </c>
      <c r="AX24" s="1939">
        <f t="shared" ca="1" si="9"/>
        <v>0</v>
      </c>
      <c r="AY24" s="1941">
        <f t="shared" ca="1" si="9"/>
        <v>0</v>
      </c>
      <c r="AZ24" s="1942"/>
      <c r="BA24" s="1942"/>
      <c r="BB24" s="1942"/>
    </row>
    <row r="25" spans="3:54" s="16" customFormat="1" ht="14.25" customHeight="1">
      <c r="C25" s="1943"/>
      <c r="D25" s="1944" t="s">
        <v>1381</v>
      </c>
      <c r="E25" s="1914"/>
      <c r="F25" s="1945">
        <v>3.3917389999999998</v>
      </c>
      <c r="G25" s="1946"/>
      <c r="H25" s="1945"/>
      <c r="I25" s="1945"/>
      <c r="J25" s="1945"/>
      <c r="K25" s="1945"/>
      <c r="L25" s="1945"/>
      <c r="M25" s="1945"/>
      <c r="N25" s="1945"/>
      <c r="O25" s="1945"/>
      <c r="P25" s="1945"/>
      <c r="Q25" s="1945"/>
      <c r="R25" s="1945"/>
      <c r="S25" s="1945"/>
      <c r="T25" s="1945"/>
      <c r="U25" s="1945"/>
      <c r="V25" s="1945"/>
      <c r="W25" s="1945"/>
      <c r="X25" s="1945"/>
      <c r="Y25" s="1945"/>
      <c r="Z25" s="1945"/>
      <c r="AA25" s="1945"/>
      <c r="AB25" s="1945"/>
      <c r="AC25" s="1945"/>
      <c r="AD25" s="1945"/>
      <c r="AE25" s="1945"/>
      <c r="AF25" s="1945"/>
      <c r="AG25" s="1945"/>
      <c r="AH25" s="1945"/>
      <c r="AI25" s="1945"/>
      <c r="AJ25" s="1945"/>
      <c r="AK25" s="1945"/>
      <c r="AL25" s="1945"/>
      <c r="AM25" s="1945"/>
      <c r="AN25" s="1945"/>
      <c r="AO25" s="1945"/>
      <c r="AP25" s="1945"/>
      <c r="AQ25" s="1945"/>
      <c r="AR25" s="1945"/>
      <c r="AS25" s="1945"/>
      <c r="AT25" s="1945"/>
      <c r="AU25" s="1945"/>
      <c r="AV25" s="1945"/>
      <c r="AW25" s="1945"/>
      <c r="AX25" s="1945"/>
      <c r="AY25" s="1947"/>
      <c r="AZ25" s="1942"/>
      <c r="BA25" s="1942"/>
      <c r="BB25" s="1942"/>
    </row>
    <row r="26" spans="3:54" s="16" customFormat="1" ht="14.25" customHeight="1">
      <c r="C26" s="1948"/>
      <c r="D26" s="1925" t="s">
        <v>1382</v>
      </c>
      <c r="E26" s="1926"/>
      <c r="F26" s="1949">
        <f ca="1">SUM(G26:BA26)</f>
        <v>3.3917389999999994</v>
      </c>
      <c r="G26" s="1950">
        <f t="shared" ref="G26:AY26" si="10">G16</f>
        <v>0</v>
      </c>
      <c r="H26" s="1949">
        <f t="shared" ca="1" si="10"/>
        <v>0</v>
      </c>
      <c r="I26" s="1949">
        <f t="shared" ca="1" si="10"/>
        <v>0</v>
      </c>
      <c r="J26" s="1949">
        <f t="shared" ca="1" si="10"/>
        <v>0</v>
      </c>
      <c r="K26" s="1949">
        <f t="shared" ca="1" si="10"/>
        <v>0</v>
      </c>
      <c r="L26" s="1949">
        <f t="shared" ca="1" si="10"/>
        <v>1.1305796666666665</v>
      </c>
      <c r="M26" s="1949">
        <f t="shared" ca="1" si="10"/>
        <v>1.1305796666666665</v>
      </c>
      <c r="N26" s="1949">
        <f t="shared" ca="1" si="10"/>
        <v>1.1305796666666665</v>
      </c>
      <c r="O26" s="1949">
        <f t="shared" ca="1" si="10"/>
        <v>0</v>
      </c>
      <c r="P26" s="1949">
        <f t="shared" ca="1" si="10"/>
        <v>0</v>
      </c>
      <c r="Q26" s="1949">
        <f t="shared" ca="1" si="10"/>
        <v>0</v>
      </c>
      <c r="R26" s="1949">
        <f t="shared" ca="1" si="10"/>
        <v>0</v>
      </c>
      <c r="S26" s="1949">
        <f t="shared" ca="1" si="10"/>
        <v>0</v>
      </c>
      <c r="T26" s="1949">
        <f t="shared" ca="1" si="10"/>
        <v>0</v>
      </c>
      <c r="U26" s="1949">
        <f t="shared" ca="1" si="10"/>
        <v>0</v>
      </c>
      <c r="V26" s="1949">
        <f t="shared" ca="1" si="10"/>
        <v>0</v>
      </c>
      <c r="W26" s="1949">
        <f t="shared" ca="1" si="10"/>
        <v>0</v>
      </c>
      <c r="X26" s="1949">
        <f t="shared" ca="1" si="10"/>
        <v>0</v>
      </c>
      <c r="Y26" s="1949">
        <f t="shared" ca="1" si="10"/>
        <v>0</v>
      </c>
      <c r="Z26" s="1949">
        <f t="shared" ca="1" si="10"/>
        <v>0</v>
      </c>
      <c r="AA26" s="1949">
        <f t="shared" ca="1" si="10"/>
        <v>0</v>
      </c>
      <c r="AB26" s="1949">
        <f t="shared" ca="1" si="10"/>
        <v>0</v>
      </c>
      <c r="AC26" s="1949">
        <f t="shared" ca="1" si="10"/>
        <v>0</v>
      </c>
      <c r="AD26" s="1949">
        <f t="shared" ca="1" si="10"/>
        <v>0</v>
      </c>
      <c r="AE26" s="1949">
        <f t="shared" ca="1" si="10"/>
        <v>0</v>
      </c>
      <c r="AF26" s="1949">
        <f t="shared" ca="1" si="10"/>
        <v>0</v>
      </c>
      <c r="AG26" s="1949">
        <f t="shared" ca="1" si="10"/>
        <v>0</v>
      </c>
      <c r="AH26" s="1949">
        <f t="shared" ca="1" si="10"/>
        <v>0</v>
      </c>
      <c r="AI26" s="1949">
        <f t="shared" ca="1" si="10"/>
        <v>0</v>
      </c>
      <c r="AJ26" s="1949">
        <f t="shared" ca="1" si="10"/>
        <v>0</v>
      </c>
      <c r="AK26" s="1949">
        <f t="shared" ca="1" si="10"/>
        <v>0</v>
      </c>
      <c r="AL26" s="1949">
        <f t="shared" ca="1" si="10"/>
        <v>0</v>
      </c>
      <c r="AM26" s="1949">
        <f t="shared" ca="1" si="10"/>
        <v>0</v>
      </c>
      <c r="AN26" s="1949">
        <f t="shared" ca="1" si="10"/>
        <v>0</v>
      </c>
      <c r="AO26" s="1949">
        <f t="shared" ca="1" si="10"/>
        <v>0</v>
      </c>
      <c r="AP26" s="1949">
        <f t="shared" ca="1" si="10"/>
        <v>0</v>
      </c>
      <c r="AQ26" s="1949">
        <f t="shared" ca="1" si="10"/>
        <v>0</v>
      </c>
      <c r="AR26" s="1949">
        <f t="shared" ca="1" si="10"/>
        <v>0</v>
      </c>
      <c r="AS26" s="1949">
        <f t="shared" ca="1" si="10"/>
        <v>0</v>
      </c>
      <c r="AT26" s="1949">
        <f t="shared" ca="1" si="10"/>
        <v>0</v>
      </c>
      <c r="AU26" s="1949">
        <f t="shared" ca="1" si="10"/>
        <v>0</v>
      </c>
      <c r="AV26" s="1949">
        <f t="shared" ca="1" si="10"/>
        <v>0</v>
      </c>
      <c r="AW26" s="1949">
        <f t="shared" ca="1" si="10"/>
        <v>0</v>
      </c>
      <c r="AX26" s="1949">
        <f t="shared" ca="1" si="10"/>
        <v>0</v>
      </c>
      <c r="AY26" s="1951">
        <f t="shared" ca="1" si="10"/>
        <v>0</v>
      </c>
      <c r="AZ26" s="1942"/>
      <c r="BA26" s="1942"/>
      <c r="BB26" s="1942"/>
    </row>
    <row r="27" spans="3:54" s="16" customFormat="1" ht="14.25" customHeight="1">
      <c r="C27" s="1919"/>
      <c r="D27" s="1952" t="s">
        <v>1383</v>
      </c>
      <c r="E27" s="1921"/>
      <c r="F27" s="1953"/>
      <c r="G27" s="1954">
        <f>BS!K213</f>
        <v>3.3917389999999998</v>
      </c>
      <c r="H27" s="1953">
        <f t="shared" ref="H27:AY27" ca="1" si="11">H24+H25-H26</f>
        <v>3.3917389999999998</v>
      </c>
      <c r="I27" s="1953">
        <f t="shared" ca="1" si="11"/>
        <v>3.3917389999999998</v>
      </c>
      <c r="J27" s="1953">
        <f t="shared" ca="1" si="11"/>
        <v>3.3917389999999998</v>
      </c>
      <c r="K27" s="1953">
        <f t="shared" ca="1" si="11"/>
        <v>3.3917389999999998</v>
      </c>
      <c r="L27" s="1953">
        <f t="shared" ca="1" si="11"/>
        <v>2.2611593333333335</v>
      </c>
      <c r="M27" s="1953">
        <f t="shared" ca="1" si="11"/>
        <v>1.130579666666667</v>
      </c>
      <c r="N27" s="1953">
        <f t="shared" ca="1" si="11"/>
        <v>0</v>
      </c>
      <c r="O27" s="1953">
        <f t="shared" ca="1" si="11"/>
        <v>0</v>
      </c>
      <c r="P27" s="1953">
        <f t="shared" ca="1" si="11"/>
        <v>0</v>
      </c>
      <c r="Q27" s="1953">
        <f t="shared" ca="1" si="11"/>
        <v>0</v>
      </c>
      <c r="R27" s="1953">
        <f t="shared" ca="1" si="11"/>
        <v>0</v>
      </c>
      <c r="S27" s="1953">
        <f t="shared" ca="1" si="11"/>
        <v>0</v>
      </c>
      <c r="T27" s="1953">
        <f t="shared" ca="1" si="11"/>
        <v>0</v>
      </c>
      <c r="U27" s="1953">
        <f t="shared" ca="1" si="11"/>
        <v>0</v>
      </c>
      <c r="V27" s="1953">
        <f t="shared" ca="1" si="11"/>
        <v>0</v>
      </c>
      <c r="W27" s="1953">
        <f t="shared" ca="1" si="11"/>
        <v>0</v>
      </c>
      <c r="X27" s="1953">
        <f t="shared" ca="1" si="11"/>
        <v>0</v>
      </c>
      <c r="Y27" s="1953">
        <f t="shared" ca="1" si="11"/>
        <v>0</v>
      </c>
      <c r="Z27" s="1953">
        <f t="shared" ca="1" si="11"/>
        <v>0</v>
      </c>
      <c r="AA27" s="1953">
        <f t="shared" ca="1" si="11"/>
        <v>0</v>
      </c>
      <c r="AB27" s="1953">
        <f t="shared" ca="1" si="11"/>
        <v>0</v>
      </c>
      <c r="AC27" s="1953">
        <f t="shared" ca="1" si="11"/>
        <v>0</v>
      </c>
      <c r="AD27" s="1953">
        <f t="shared" ca="1" si="11"/>
        <v>0</v>
      </c>
      <c r="AE27" s="1953">
        <f t="shared" ca="1" si="11"/>
        <v>0</v>
      </c>
      <c r="AF27" s="1953">
        <f t="shared" ca="1" si="11"/>
        <v>0</v>
      </c>
      <c r="AG27" s="1953">
        <f t="shared" ca="1" si="11"/>
        <v>0</v>
      </c>
      <c r="AH27" s="1953">
        <f t="shared" ca="1" si="11"/>
        <v>0</v>
      </c>
      <c r="AI27" s="1953">
        <f t="shared" ca="1" si="11"/>
        <v>0</v>
      </c>
      <c r="AJ27" s="1953">
        <f t="shared" ca="1" si="11"/>
        <v>0</v>
      </c>
      <c r="AK27" s="1953">
        <f t="shared" ca="1" si="11"/>
        <v>0</v>
      </c>
      <c r="AL27" s="1953">
        <f t="shared" ca="1" si="11"/>
        <v>0</v>
      </c>
      <c r="AM27" s="1953">
        <f t="shared" ca="1" si="11"/>
        <v>0</v>
      </c>
      <c r="AN27" s="1953">
        <f t="shared" ca="1" si="11"/>
        <v>0</v>
      </c>
      <c r="AO27" s="1953">
        <f t="shared" ca="1" si="11"/>
        <v>0</v>
      </c>
      <c r="AP27" s="1953">
        <f t="shared" ca="1" si="11"/>
        <v>0</v>
      </c>
      <c r="AQ27" s="1953">
        <f t="shared" ca="1" si="11"/>
        <v>0</v>
      </c>
      <c r="AR27" s="1953">
        <f t="shared" ca="1" si="11"/>
        <v>0</v>
      </c>
      <c r="AS27" s="1953">
        <f t="shared" ca="1" si="11"/>
        <v>0</v>
      </c>
      <c r="AT27" s="1953">
        <f t="shared" ca="1" si="11"/>
        <v>0</v>
      </c>
      <c r="AU27" s="1953">
        <f t="shared" ca="1" si="11"/>
        <v>0</v>
      </c>
      <c r="AV27" s="1953">
        <f t="shared" ca="1" si="11"/>
        <v>0</v>
      </c>
      <c r="AW27" s="1953">
        <f t="shared" ca="1" si="11"/>
        <v>0</v>
      </c>
      <c r="AX27" s="1953">
        <f t="shared" ca="1" si="11"/>
        <v>0</v>
      </c>
      <c r="AY27" s="1955">
        <f t="shared" ca="1" si="11"/>
        <v>0</v>
      </c>
      <c r="AZ27" s="1942"/>
      <c r="BA27" s="1942"/>
      <c r="BB27" s="1942"/>
    </row>
    <row r="28" spans="3:54" s="16" customFormat="1" ht="14.25" customHeight="1">
      <c r="D28" s="1907"/>
      <c r="E28" s="1936"/>
      <c r="F28" s="1956"/>
      <c r="G28" s="1956"/>
      <c r="H28" s="1956"/>
      <c r="I28" s="1956"/>
      <c r="J28" s="1956"/>
      <c r="K28" s="1956"/>
      <c r="L28" s="1956"/>
      <c r="M28" s="1956"/>
      <c r="N28" s="1956"/>
      <c r="O28" s="1956"/>
      <c r="P28" s="1956"/>
      <c r="Q28" s="1956"/>
      <c r="R28" s="1956"/>
      <c r="S28" s="1956"/>
      <c r="T28" s="1956"/>
      <c r="U28" s="1956"/>
      <c r="V28" s="1956"/>
      <c r="W28" s="1956"/>
      <c r="X28" s="1956"/>
      <c r="Y28" s="1956"/>
      <c r="Z28" s="1956"/>
      <c r="AA28" s="1956"/>
      <c r="AB28" s="1956"/>
      <c r="AC28" s="1956"/>
      <c r="AD28" s="1956"/>
      <c r="AE28" s="1956"/>
      <c r="AF28" s="1956"/>
      <c r="AG28" s="1956"/>
      <c r="AH28" s="1956"/>
      <c r="AI28" s="1956"/>
      <c r="AJ28" s="1956"/>
      <c r="AK28" s="1956"/>
      <c r="AL28" s="1956"/>
      <c r="AM28" s="1956"/>
      <c r="AN28" s="1956"/>
      <c r="AO28" s="1956"/>
      <c r="AP28" s="1956"/>
      <c r="AQ28" s="1956"/>
      <c r="AR28" s="1956"/>
      <c r="AS28" s="1956"/>
      <c r="AT28" s="1956"/>
      <c r="AU28" s="1956"/>
      <c r="AV28" s="1956"/>
      <c r="AW28" s="1956"/>
      <c r="AX28" s="1956"/>
      <c r="AY28" s="1956"/>
      <c r="AZ28" s="1942"/>
      <c r="BA28" s="1942"/>
      <c r="BB28" s="1942"/>
    </row>
    <row r="29" spans="3:54" s="16" customFormat="1" ht="14.25" customHeight="1">
      <c r="C29" s="16" t="s">
        <v>1378</v>
      </c>
      <c r="F29" s="1957"/>
      <c r="G29" s="1958"/>
      <c r="H29" s="1958"/>
      <c r="I29" s="1958"/>
      <c r="J29" s="1958"/>
      <c r="K29" s="1958"/>
      <c r="L29" s="1958"/>
      <c r="M29" s="1958"/>
      <c r="N29" s="1958"/>
      <c r="O29" s="1958"/>
      <c r="P29" s="1958"/>
      <c r="Q29" s="1958"/>
      <c r="R29" s="1958"/>
      <c r="S29" s="1958"/>
      <c r="T29" s="1959"/>
      <c r="U29" s="1959"/>
      <c r="V29" s="1959"/>
      <c r="W29" s="1959"/>
      <c r="X29" s="1959"/>
      <c r="Y29" s="1959"/>
      <c r="Z29" s="1959"/>
      <c r="AA29" s="1959"/>
      <c r="AB29" s="1959"/>
      <c r="AC29" s="1959"/>
      <c r="AD29" s="1959"/>
      <c r="AE29" s="1959"/>
      <c r="AF29" s="1959"/>
      <c r="AG29" s="1959"/>
      <c r="AH29" s="1959"/>
      <c r="AI29" s="1959"/>
      <c r="AJ29" s="1959"/>
      <c r="AK29" s="1959"/>
      <c r="AL29" s="1959"/>
      <c r="AM29" s="1959"/>
      <c r="AN29" s="1959"/>
      <c r="AO29" s="1959"/>
      <c r="AP29" s="1959"/>
      <c r="AQ29" s="1959"/>
      <c r="AR29" s="1959"/>
      <c r="AS29" s="1959"/>
      <c r="AT29" s="1959"/>
      <c r="AU29" s="1959"/>
      <c r="AV29" s="1959"/>
      <c r="AW29" s="1959"/>
      <c r="AX29" s="1959"/>
      <c r="AY29" s="1959"/>
    </row>
    <row r="30" spans="3:54" s="16" customFormat="1" ht="14.25" customHeight="1">
      <c r="C30" s="1900"/>
      <c r="D30" s="1901" t="s">
        <v>780</v>
      </c>
      <c r="E30" s="1902"/>
      <c r="F30" s="1903" t="str">
        <f>F23</f>
        <v>합 계</v>
      </c>
      <c r="G30" s="1903">
        <f>G$10</f>
        <v>2020</v>
      </c>
      <c r="H30" s="1903">
        <f t="shared" ref="H30:AY30" si="12">H23</f>
        <v>2021</v>
      </c>
      <c r="I30" s="1903">
        <f t="shared" si="12"/>
        <v>2022</v>
      </c>
      <c r="J30" s="1903">
        <f t="shared" si="12"/>
        <v>2023</v>
      </c>
      <c r="K30" s="1903">
        <f t="shared" si="12"/>
        <v>2024</v>
      </c>
      <c r="L30" s="1903">
        <f t="shared" si="12"/>
        <v>2025</v>
      </c>
      <c r="M30" s="1903">
        <f t="shared" si="12"/>
        <v>2026</v>
      </c>
      <c r="N30" s="1903">
        <f t="shared" si="12"/>
        <v>2027</v>
      </c>
      <c r="O30" s="1903">
        <f t="shared" si="12"/>
        <v>2028</v>
      </c>
      <c r="P30" s="1903">
        <f t="shared" si="12"/>
        <v>2029</v>
      </c>
      <c r="Q30" s="1903">
        <f t="shared" si="12"/>
        <v>2030</v>
      </c>
      <c r="R30" s="1903">
        <f t="shared" si="12"/>
        <v>2031</v>
      </c>
      <c r="S30" s="1903">
        <f t="shared" si="12"/>
        <v>2032</v>
      </c>
      <c r="T30" s="1903">
        <f t="shared" si="12"/>
        <v>2033</v>
      </c>
      <c r="U30" s="1903">
        <f t="shared" si="12"/>
        <v>2034</v>
      </c>
      <c r="V30" s="1903">
        <f t="shared" si="12"/>
        <v>2035</v>
      </c>
      <c r="W30" s="1903">
        <f t="shared" si="12"/>
        <v>2036</v>
      </c>
      <c r="X30" s="1903">
        <f t="shared" si="12"/>
        <v>2037</v>
      </c>
      <c r="Y30" s="1903">
        <f t="shared" si="12"/>
        <v>2038</v>
      </c>
      <c r="Z30" s="1903">
        <f t="shared" si="12"/>
        <v>2039</v>
      </c>
      <c r="AA30" s="1903">
        <f t="shared" si="12"/>
        <v>2040</v>
      </c>
      <c r="AB30" s="1903">
        <f t="shared" si="12"/>
        <v>2041</v>
      </c>
      <c r="AC30" s="1903">
        <f t="shared" si="12"/>
        <v>2042</v>
      </c>
      <c r="AD30" s="1903">
        <f t="shared" si="12"/>
        <v>2043</v>
      </c>
      <c r="AE30" s="1903">
        <f t="shared" si="12"/>
        <v>2044</v>
      </c>
      <c r="AF30" s="1903">
        <f t="shared" si="12"/>
        <v>2045</v>
      </c>
      <c r="AG30" s="1903">
        <f t="shared" si="12"/>
        <v>2046</v>
      </c>
      <c r="AH30" s="1903">
        <f t="shared" si="12"/>
        <v>2047</v>
      </c>
      <c r="AI30" s="1903">
        <f t="shared" si="12"/>
        <v>2048</v>
      </c>
      <c r="AJ30" s="1903">
        <f t="shared" si="12"/>
        <v>2049</v>
      </c>
      <c r="AK30" s="1903">
        <f t="shared" si="12"/>
        <v>2050</v>
      </c>
      <c r="AL30" s="1903">
        <f t="shared" si="12"/>
        <v>2051</v>
      </c>
      <c r="AM30" s="1903">
        <f t="shared" si="12"/>
        <v>2052</v>
      </c>
      <c r="AN30" s="1903">
        <f t="shared" si="12"/>
        <v>2053</v>
      </c>
      <c r="AO30" s="1903">
        <f t="shared" si="12"/>
        <v>2054</v>
      </c>
      <c r="AP30" s="1903">
        <f t="shared" si="12"/>
        <v>2055</v>
      </c>
      <c r="AQ30" s="1903">
        <f t="shared" si="12"/>
        <v>2056</v>
      </c>
      <c r="AR30" s="1903">
        <f t="shared" si="12"/>
        <v>2057</v>
      </c>
      <c r="AS30" s="1903">
        <f t="shared" si="12"/>
        <v>2058</v>
      </c>
      <c r="AT30" s="1903">
        <f t="shared" si="12"/>
        <v>2059</v>
      </c>
      <c r="AU30" s="1903">
        <f t="shared" si="12"/>
        <v>2060</v>
      </c>
      <c r="AV30" s="1903">
        <f t="shared" si="12"/>
        <v>2061</v>
      </c>
      <c r="AW30" s="1903">
        <f t="shared" si="12"/>
        <v>2062</v>
      </c>
      <c r="AX30" s="1903">
        <f t="shared" si="12"/>
        <v>2063</v>
      </c>
      <c r="AY30" s="1904">
        <f t="shared" si="12"/>
        <v>2064</v>
      </c>
      <c r="AZ30" s="1905"/>
      <c r="BA30" s="1905"/>
      <c r="BB30" s="1905"/>
    </row>
    <row r="31" spans="3:54" s="16" customFormat="1" ht="14.25" customHeight="1">
      <c r="C31" s="1960"/>
      <c r="D31" s="1961" t="s">
        <v>1080</v>
      </c>
      <c r="E31" s="1962"/>
      <c r="F31" s="1963"/>
      <c r="G31" s="1964">
        <f t="shared" ref="G31:AW31" si="13">F34</f>
        <v>0</v>
      </c>
      <c r="H31" s="1965">
        <f t="shared" si="13"/>
        <v>0</v>
      </c>
      <c r="I31" s="1965">
        <f t="shared" ca="1" si="13"/>
        <v>0</v>
      </c>
      <c r="J31" s="1965">
        <f t="shared" ca="1" si="13"/>
        <v>0</v>
      </c>
      <c r="K31" s="1965">
        <f t="shared" ca="1" si="13"/>
        <v>0</v>
      </c>
      <c r="L31" s="1965">
        <f t="shared" ca="1" si="13"/>
        <v>0</v>
      </c>
      <c r="M31" s="1965">
        <f t="shared" ca="1" si="13"/>
        <v>0.58379567439345004</v>
      </c>
      <c r="N31" s="1965">
        <f t="shared" ca="1" si="13"/>
        <v>1.2398260415846702</v>
      </c>
      <c r="O31" s="1965">
        <f t="shared" ca="1" si="13"/>
        <v>3.0086088096620589</v>
      </c>
      <c r="P31" s="1965">
        <f t="shared" ca="1" si="13"/>
        <v>6.1145673899008539</v>
      </c>
      <c r="Q31" s="1965">
        <f t="shared" ca="1" si="13"/>
        <v>7.6902810753730169</v>
      </c>
      <c r="R31" s="1965">
        <f t="shared" ca="1" si="13"/>
        <v>10.554526557432473</v>
      </c>
      <c r="S31" s="1965">
        <f t="shared" ca="1" si="13"/>
        <v>13.058605047089902</v>
      </c>
      <c r="T31" s="1965">
        <f t="shared" ca="1" si="13"/>
        <v>15.719439113189459</v>
      </c>
      <c r="U31" s="1965">
        <f t="shared" ca="1" si="13"/>
        <v>19.009708589458391</v>
      </c>
      <c r="V31" s="1965">
        <f t="shared" ca="1" si="13"/>
        <v>22.257618497859344</v>
      </c>
      <c r="W31" s="1965">
        <f t="shared" ca="1" si="13"/>
        <v>25.662629913683727</v>
      </c>
      <c r="X31" s="1965">
        <f t="shared" ca="1" si="13"/>
        <v>31.244196768239998</v>
      </c>
      <c r="Y31" s="1965">
        <f t="shared" ca="1" si="13"/>
        <v>36.983828415099985</v>
      </c>
      <c r="Z31" s="1965">
        <f t="shared" ca="1" si="13"/>
        <v>44.076903252272913</v>
      </c>
      <c r="AA31" s="1965">
        <f t="shared" ca="1" si="13"/>
        <v>51.415434017386367</v>
      </c>
      <c r="AB31" s="1965">
        <f t="shared" ca="1" si="13"/>
        <v>59.935945121252495</v>
      </c>
      <c r="AC31" s="1965">
        <f t="shared" ca="1" si="13"/>
        <v>68.743213826708626</v>
      </c>
      <c r="AD31" s="1965">
        <f t="shared" ca="1" si="13"/>
        <v>78.757123264350568</v>
      </c>
      <c r="AE31" s="1965">
        <f t="shared" ca="1" si="13"/>
        <v>89.998054437229015</v>
      </c>
      <c r="AF31" s="1965">
        <f t="shared" ca="1" si="13"/>
        <v>100.8361553773762</v>
      </c>
      <c r="AG31" s="1965">
        <f t="shared" ca="1" si="13"/>
        <v>111.33122221057651</v>
      </c>
      <c r="AH31" s="1965">
        <f t="shared" ca="1" si="13"/>
        <v>120.73013629811722</v>
      </c>
      <c r="AI31" s="1965">
        <f t="shared" ca="1" si="13"/>
        <v>126.90031023721045</v>
      </c>
      <c r="AJ31" s="1965">
        <f t="shared" ca="1" si="13"/>
        <v>133.89373214894849</v>
      </c>
      <c r="AK31" s="1965">
        <f t="shared" ca="1" si="13"/>
        <v>140.18507752005789</v>
      </c>
      <c r="AL31" s="1965">
        <f t="shared" ca="1" si="13"/>
        <v>146.98217374485873</v>
      </c>
      <c r="AM31" s="1965">
        <f t="shared" ca="1" si="13"/>
        <v>154.63646142537769</v>
      </c>
      <c r="AN31" s="1965">
        <f t="shared" ca="1" si="13"/>
        <v>162.04890031807415</v>
      </c>
      <c r="AO31" s="1965">
        <f t="shared" ca="1" si="13"/>
        <v>169.51953714481115</v>
      </c>
      <c r="AP31" s="1965">
        <f t="shared" ca="1" si="13"/>
        <v>178.18681818663529</v>
      </c>
      <c r="AQ31" s="1965">
        <f t="shared" ca="1" si="13"/>
        <v>186.88221305256397</v>
      </c>
      <c r="AR31" s="1965">
        <f t="shared" ca="1" si="13"/>
        <v>195.76851977655127</v>
      </c>
      <c r="AS31" s="1965">
        <f t="shared" ca="1" si="13"/>
        <v>205.40593761851721</v>
      </c>
      <c r="AT31" s="1965">
        <f t="shared" ca="1" si="13"/>
        <v>215.14412821052483</v>
      </c>
      <c r="AU31" s="1965">
        <f t="shared" ca="1" si="13"/>
        <v>215.14412821052483</v>
      </c>
      <c r="AV31" s="1965">
        <f t="shared" ca="1" si="13"/>
        <v>215.14412821052483</v>
      </c>
      <c r="AW31" s="1965">
        <f t="shared" ca="1" si="13"/>
        <v>215.14412821052483</v>
      </c>
      <c r="AX31" s="1965">
        <v>0</v>
      </c>
      <c r="AY31" s="1965">
        <f>AX34</f>
        <v>0</v>
      </c>
    </row>
    <row r="32" spans="3:54" s="16" customFormat="1" ht="14.25" customHeight="1">
      <c r="C32" s="1943"/>
      <c r="D32" s="1944" t="s">
        <v>1270</v>
      </c>
      <c r="E32" s="1966"/>
      <c r="F32" s="1967"/>
      <c r="G32" s="1968">
        <f t="shared" ref="G32:AY32" si="14">G48</f>
        <v>0</v>
      </c>
      <c r="H32" s="1967">
        <f t="shared" ca="1" si="14"/>
        <v>0</v>
      </c>
      <c r="I32" s="1967">
        <f t="shared" ca="1" si="14"/>
        <v>0</v>
      </c>
      <c r="J32" s="1967">
        <f t="shared" ca="1" si="14"/>
        <v>0</v>
      </c>
      <c r="K32" s="1967">
        <f t="shared" ca="1" si="14"/>
        <v>0</v>
      </c>
      <c r="L32" s="1967">
        <f t="shared" ca="1" si="14"/>
        <v>0.58379567439345004</v>
      </c>
      <c r="M32" s="1967">
        <f t="shared" ca="1" si="14"/>
        <v>0.65603036719122021</v>
      </c>
      <c r="N32" s="1967">
        <f t="shared" ca="1" si="14"/>
        <v>1.7687827680773889</v>
      </c>
      <c r="O32" s="1967">
        <f t="shared" ca="1" si="14"/>
        <v>3.1059585802387955</v>
      </c>
      <c r="P32" s="1967">
        <f t="shared" ca="1" si="14"/>
        <v>1.575713685472163</v>
      </c>
      <c r="Q32" s="1967">
        <f t="shared" ca="1" si="14"/>
        <v>2.8642454820594554</v>
      </c>
      <c r="R32" s="1967">
        <f t="shared" ca="1" si="14"/>
        <v>2.5040784896574291</v>
      </c>
      <c r="S32" s="1967">
        <f t="shared" ca="1" si="14"/>
        <v>2.6608340660995564</v>
      </c>
      <c r="T32" s="1967">
        <f t="shared" ca="1" si="14"/>
        <v>3.2902694762689317</v>
      </c>
      <c r="U32" s="1967">
        <f t="shared" ca="1" si="14"/>
        <v>3.2479099084009531</v>
      </c>
      <c r="V32" s="1967">
        <f t="shared" ca="1" si="14"/>
        <v>3.4050114158243834</v>
      </c>
      <c r="W32" s="1967">
        <f t="shared" ca="1" si="14"/>
        <v>5.5815668545562724</v>
      </c>
      <c r="X32" s="1967">
        <f t="shared" ca="1" si="14"/>
        <v>5.7396316468599897</v>
      </c>
      <c r="Y32" s="1967">
        <f t="shared" ca="1" si="14"/>
        <v>7.0930748371729306</v>
      </c>
      <c r="Z32" s="1967">
        <f t="shared" ca="1" si="14"/>
        <v>7.338530765113453</v>
      </c>
      <c r="AA32" s="1967">
        <f t="shared" ca="1" si="14"/>
        <v>8.520511103866129</v>
      </c>
      <c r="AB32" s="1967">
        <f t="shared" ca="1" si="14"/>
        <v>8.8072687054561332</v>
      </c>
      <c r="AC32" s="1967">
        <f t="shared" ca="1" si="14"/>
        <v>10.013909437641937</v>
      </c>
      <c r="AD32" s="1967">
        <f t="shared" ca="1" si="14"/>
        <v>11.240931172878449</v>
      </c>
      <c r="AE32" s="1967">
        <f t="shared" ca="1" si="14"/>
        <v>10.838100940147186</v>
      </c>
      <c r="AF32" s="1967">
        <f t="shared" ca="1" si="14"/>
        <v>10.495066833200307</v>
      </c>
      <c r="AG32" s="1967">
        <f t="shared" ca="1" si="14"/>
        <v>9.3989140875407031</v>
      </c>
      <c r="AH32" s="1967">
        <f t="shared" ca="1" si="14"/>
        <v>6.170173939093238</v>
      </c>
      <c r="AI32" s="1967">
        <f t="shared" ca="1" si="14"/>
        <v>6.9934219117380421</v>
      </c>
      <c r="AJ32" s="1967">
        <f t="shared" ca="1" si="14"/>
        <v>6.2913453711094096</v>
      </c>
      <c r="AK32" s="1967">
        <f t="shared" ca="1" si="14"/>
        <v>6.7970962248008338</v>
      </c>
      <c r="AL32" s="1967">
        <f t="shared" ca="1" si="14"/>
        <v>7.6542876805189612</v>
      </c>
      <c r="AM32" s="1967">
        <f t="shared" ca="1" si="14"/>
        <v>7.41243889269645</v>
      </c>
      <c r="AN32" s="1967">
        <f t="shared" ca="1" si="14"/>
        <v>7.4706368267369969</v>
      </c>
      <c r="AO32" s="1967">
        <f t="shared" ca="1" si="14"/>
        <v>8.6672810418241344</v>
      </c>
      <c r="AP32" s="1967">
        <f t="shared" ca="1" si="14"/>
        <v>8.6953948659286837</v>
      </c>
      <c r="AQ32" s="1967">
        <f t="shared" ca="1" si="14"/>
        <v>8.8863067239872997</v>
      </c>
      <c r="AR32" s="1967">
        <f t="shared" ca="1" si="14"/>
        <v>9.6374178419659273</v>
      </c>
      <c r="AS32" s="1967">
        <f t="shared" ca="1" si="14"/>
        <v>9.7381905920076139</v>
      </c>
      <c r="AT32" s="1967">
        <f t="shared" ca="1" si="14"/>
        <v>0</v>
      </c>
      <c r="AU32" s="1967">
        <f t="shared" ca="1" si="14"/>
        <v>0</v>
      </c>
      <c r="AV32" s="1967">
        <f t="shared" ca="1" si="14"/>
        <v>0</v>
      </c>
      <c r="AW32" s="1967">
        <f t="shared" ca="1" si="14"/>
        <v>0</v>
      </c>
      <c r="AX32" s="1967">
        <f t="shared" ca="1" si="14"/>
        <v>0</v>
      </c>
      <c r="AY32" s="1967">
        <f t="shared" ca="1" si="14"/>
        <v>0</v>
      </c>
    </row>
    <row r="33" spans="2:54" s="16" customFormat="1" ht="14.25" customHeight="1">
      <c r="C33" s="1948"/>
      <c r="D33" s="1925" t="s">
        <v>1271</v>
      </c>
      <c r="E33" s="1969"/>
      <c r="F33" s="1970"/>
      <c r="G33" s="1971"/>
      <c r="H33" s="1970"/>
      <c r="I33" s="1970"/>
      <c r="J33" s="1970"/>
      <c r="K33" s="1970"/>
      <c r="L33" s="1970"/>
      <c r="M33" s="1970"/>
      <c r="N33" s="1970"/>
      <c r="O33" s="1970"/>
      <c r="P33" s="1970"/>
      <c r="Q33" s="1970"/>
      <c r="R33" s="1970"/>
      <c r="S33" s="1970"/>
      <c r="T33" s="1970"/>
      <c r="U33" s="1970"/>
      <c r="V33" s="1970"/>
      <c r="W33" s="1970"/>
      <c r="X33" s="1970"/>
      <c r="Y33" s="1970"/>
      <c r="Z33" s="1970"/>
      <c r="AA33" s="1970"/>
      <c r="AB33" s="1970"/>
      <c r="AC33" s="1970"/>
      <c r="AD33" s="1970"/>
      <c r="AE33" s="1970"/>
      <c r="AF33" s="1970"/>
      <c r="AG33" s="1970"/>
      <c r="AH33" s="1970"/>
      <c r="AI33" s="1970"/>
      <c r="AJ33" s="1970"/>
      <c r="AK33" s="1970"/>
      <c r="AL33" s="1970"/>
      <c r="AM33" s="1970"/>
      <c r="AN33" s="1970"/>
      <c r="AO33" s="1970"/>
      <c r="AP33" s="1970"/>
      <c r="AQ33" s="1970"/>
      <c r="AR33" s="1970"/>
      <c r="AS33" s="1970"/>
      <c r="AT33" s="1970"/>
      <c r="AU33" s="1970"/>
      <c r="AV33" s="1970"/>
      <c r="AW33" s="1970"/>
      <c r="AX33" s="1970"/>
      <c r="AY33" s="1970"/>
    </row>
    <row r="34" spans="2:54" s="16" customFormat="1" ht="14.25" customHeight="1">
      <c r="C34" s="1919"/>
      <c r="D34" s="1972" t="s">
        <v>1096</v>
      </c>
      <c r="E34" s="1973"/>
      <c r="F34" s="1974">
        <v>0</v>
      </c>
      <c r="G34" s="1975">
        <f t="shared" ref="G34:AW34" si="15">G31+G32-G33</f>
        <v>0</v>
      </c>
      <c r="H34" s="1976">
        <f t="shared" ca="1" si="15"/>
        <v>0</v>
      </c>
      <c r="I34" s="1976">
        <f t="shared" ca="1" si="15"/>
        <v>0</v>
      </c>
      <c r="J34" s="1976">
        <f t="shared" ca="1" si="15"/>
        <v>0</v>
      </c>
      <c r="K34" s="1976">
        <f t="shared" ca="1" si="15"/>
        <v>0</v>
      </c>
      <c r="L34" s="1976">
        <f t="shared" ca="1" si="15"/>
        <v>0.58379567439345004</v>
      </c>
      <c r="M34" s="1976">
        <f t="shared" ca="1" si="15"/>
        <v>1.2398260415846702</v>
      </c>
      <c r="N34" s="1976">
        <f t="shared" ca="1" si="15"/>
        <v>3.0086088096620589</v>
      </c>
      <c r="O34" s="1976">
        <f t="shared" ca="1" si="15"/>
        <v>6.1145673899008539</v>
      </c>
      <c r="P34" s="1976">
        <f t="shared" ca="1" si="15"/>
        <v>7.6902810753730169</v>
      </c>
      <c r="Q34" s="1976">
        <f t="shared" ca="1" si="15"/>
        <v>10.554526557432473</v>
      </c>
      <c r="R34" s="1976">
        <f t="shared" ca="1" si="15"/>
        <v>13.058605047089902</v>
      </c>
      <c r="S34" s="1976">
        <f t="shared" ca="1" si="15"/>
        <v>15.719439113189459</v>
      </c>
      <c r="T34" s="1976">
        <f t="shared" ca="1" si="15"/>
        <v>19.009708589458391</v>
      </c>
      <c r="U34" s="1976">
        <f t="shared" ca="1" si="15"/>
        <v>22.257618497859344</v>
      </c>
      <c r="V34" s="1976">
        <f t="shared" ca="1" si="15"/>
        <v>25.662629913683727</v>
      </c>
      <c r="W34" s="1976">
        <f t="shared" ca="1" si="15"/>
        <v>31.244196768239998</v>
      </c>
      <c r="X34" s="1976">
        <f t="shared" ca="1" si="15"/>
        <v>36.983828415099985</v>
      </c>
      <c r="Y34" s="1976">
        <f t="shared" ca="1" si="15"/>
        <v>44.076903252272913</v>
      </c>
      <c r="Z34" s="1976">
        <f t="shared" ca="1" si="15"/>
        <v>51.415434017386367</v>
      </c>
      <c r="AA34" s="1976">
        <f t="shared" ca="1" si="15"/>
        <v>59.935945121252495</v>
      </c>
      <c r="AB34" s="1976">
        <f t="shared" ca="1" si="15"/>
        <v>68.743213826708626</v>
      </c>
      <c r="AC34" s="1976">
        <f t="shared" ca="1" si="15"/>
        <v>78.757123264350568</v>
      </c>
      <c r="AD34" s="1976">
        <f t="shared" ca="1" si="15"/>
        <v>89.998054437229015</v>
      </c>
      <c r="AE34" s="1976">
        <f t="shared" ca="1" si="15"/>
        <v>100.8361553773762</v>
      </c>
      <c r="AF34" s="1976">
        <f t="shared" ca="1" si="15"/>
        <v>111.33122221057651</v>
      </c>
      <c r="AG34" s="1976">
        <f t="shared" ca="1" si="15"/>
        <v>120.73013629811722</v>
      </c>
      <c r="AH34" s="1976">
        <f t="shared" ca="1" si="15"/>
        <v>126.90031023721045</v>
      </c>
      <c r="AI34" s="1976">
        <f t="shared" ca="1" si="15"/>
        <v>133.89373214894849</v>
      </c>
      <c r="AJ34" s="1976">
        <f t="shared" ca="1" si="15"/>
        <v>140.18507752005789</v>
      </c>
      <c r="AK34" s="1976">
        <f t="shared" ca="1" si="15"/>
        <v>146.98217374485873</v>
      </c>
      <c r="AL34" s="1976">
        <f t="shared" ca="1" si="15"/>
        <v>154.63646142537769</v>
      </c>
      <c r="AM34" s="1976">
        <f t="shared" ca="1" si="15"/>
        <v>162.04890031807415</v>
      </c>
      <c r="AN34" s="1976">
        <f t="shared" ca="1" si="15"/>
        <v>169.51953714481115</v>
      </c>
      <c r="AO34" s="1976">
        <f t="shared" ca="1" si="15"/>
        <v>178.18681818663529</v>
      </c>
      <c r="AP34" s="1976">
        <f t="shared" ca="1" si="15"/>
        <v>186.88221305256397</v>
      </c>
      <c r="AQ34" s="1976">
        <f t="shared" ca="1" si="15"/>
        <v>195.76851977655127</v>
      </c>
      <c r="AR34" s="1976">
        <f t="shared" ca="1" si="15"/>
        <v>205.40593761851721</v>
      </c>
      <c r="AS34" s="1976">
        <f t="shared" ca="1" si="15"/>
        <v>215.14412821052483</v>
      </c>
      <c r="AT34" s="1976">
        <f t="shared" ca="1" si="15"/>
        <v>215.14412821052483</v>
      </c>
      <c r="AU34" s="1976">
        <f t="shared" ca="1" si="15"/>
        <v>215.14412821052483</v>
      </c>
      <c r="AV34" s="1976">
        <f t="shared" ca="1" si="15"/>
        <v>215.14412821052483</v>
      </c>
      <c r="AW34" s="1976">
        <f t="shared" ca="1" si="15"/>
        <v>215.14412821052483</v>
      </c>
      <c r="AX34" s="1976">
        <v>0</v>
      </c>
      <c r="AY34" s="1976">
        <f ca="1">AY31+AY32-AY33</f>
        <v>0</v>
      </c>
    </row>
    <row r="35" spans="2:54" s="16" customFormat="1" ht="14.25" customHeight="1">
      <c r="D35" s="1907"/>
      <c r="E35" s="1977"/>
      <c r="F35" s="1978"/>
      <c r="G35" s="1959"/>
      <c r="H35" s="1959"/>
      <c r="I35" s="1959"/>
      <c r="J35" s="1959"/>
      <c r="K35" s="1959"/>
      <c r="L35" s="1959"/>
      <c r="M35" s="1959"/>
      <c r="N35" s="1959"/>
      <c r="O35" s="1959"/>
      <c r="P35" s="1959"/>
      <c r="Q35" s="1959"/>
      <c r="R35" s="1959"/>
      <c r="S35" s="1959"/>
      <c r="T35" s="1959"/>
      <c r="U35" s="1959"/>
      <c r="V35" s="1959"/>
      <c r="W35" s="1959"/>
      <c r="X35" s="1959"/>
      <c r="Y35" s="1959"/>
      <c r="Z35" s="1959"/>
      <c r="AA35" s="1959"/>
      <c r="AB35" s="1959"/>
      <c r="AC35" s="1959"/>
      <c r="AD35" s="1959"/>
      <c r="AE35" s="1959"/>
      <c r="AF35" s="1959"/>
      <c r="AG35" s="1959"/>
      <c r="AH35" s="1959"/>
      <c r="AI35" s="1959"/>
      <c r="AJ35" s="1959"/>
      <c r="AK35" s="1959"/>
      <c r="AL35" s="1959"/>
      <c r="AM35" s="1959"/>
      <c r="AN35" s="1959"/>
      <c r="AO35" s="1959"/>
      <c r="AP35" s="1959"/>
      <c r="AQ35" s="1959"/>
      <c r="AR35" s="1959"/>
      <c r="AS35" s="1959"/>
      <c r="AT35" s="1959"/>
      <c r="AU35" s="1959"/>
      <c r="AV35" s="1959"/>
      <c r="AW35" s="1959"/>
      <c r="AX35" s="1959"/>
      <c r="AY35" s="1959"/>
    </row>
    <row r="36" spans="2:54" s="16" customFormat="1" ht="14.25" customHeight="1">
      <c r="C36" s="16" t="s">
        <v>3708</v>
      </c>
      <c r="F36" s="1938"/>
      <c r="G36" s="1895"/>
      <c r="H36" s="1895"/>
      <c r="I36" s="1895"/>
      <c r="J36" s="1895"/>
      <c r="K36" s="1895"/>
      <c r="L36" s="1895"/>
      <c r="M36" s="1895"/>
      <c r="N36" s="1895"/>
      <c r="O36" s="1895"/>
      <c r="P36" s="1895"/>
      <c r="Q36" s="1895"/>
      <c r="R36" s="1895"/>
      <c r="S36" s="1895"/>
      <c r="T36" s="1895"/>
      <c r="U36" s="1895"/>
      <c r="V36" s="1895"/>
      <c r="W36" s="1899"/>
      <c r="X36" s="1895"/>
      <c r="Y36" s="1895"/>
      <c r="Z36" s="1895"/>
      <c r="AA36" s="1895"/>
      <c r="AB36" s="1895"/>
      <c r="AC36" s="1895"/>
      <c r="AD36" s="1895"/>
      <c r="AE36" s="1895"/>
      <c r="AF36" s="1895"/>
      <c r="AG36" s="1895"/>
      <c r="AH36" s="1895"/>
      <c r="AI36" s="1895"/>
      <c r="AJ36" s="1895"/>
      <c r="AK36" s="1895"/>
      <c r="AL36" s="1895"/>
      <c r="AM36" s="1895"/>
      <c r="AN36" s="1895"/>
      <c r="AO36" s="1895"/>
      <c r="AQ36" s="1895"/>
      <c r="AR36" s="1895"/>
      <c r="AS36" s="1895"/>
      <c r="AT36" s="1895"/>
      <c r="AU36" s="1895"/>
      <c r="AV36" s="1895"/>
      <c r="AW36" s="1895"/>
      <c r="AX36" s="1895"/>
      <c r="AZ36" s="1895"/>
      <c r="BA36" s="1895"/>
      <c r="BB36" s="1895"/>
    </row>
    <row r="37" spans="2:54" s="16" customFormat="1" ht="14.25" customHeight="1">
      <c r="C37" s="1900"/>
      <c r="D37" s="1901" t="s">
        <v>780</v>
      </c>
      <c r="E37" s="1902"/>
      <c r="F37" s="1903" t="s">
        <v>1386</v>
      </c>
      <c r="G37" s="1903">
        <f>G$10</f>
        <v>2020</v>
      </c>
      <c r="H37" s="1903">
        <f t="shared" ref="H37:AY37" si="16">G37+1</f>
        <v>2021</v>
      </c>
      <c r="I37" s="1903">
        <f t="shared" si="16"/>
        <v>2022</v>
      </c>
      <c r="J37" s="1903">
        <f t="shared" si="16"/>
        <v>2023</v>
      </c>
      <c r="K37" s="1903">
        <f t="shared" si="16"/>
        <v>2024</v>
      </c>
      <c r="L37" s="1903">
        <f t="shared" si="16"/>
        <v>2025</v>
      </c>
      <c r="M37" s="1903">
        <f t="shared" si="16"/>
        <v>2026</v>
      </c>
      <c r="N37" s="1903">
        <f t="shared" si="16"/>
        <v>2027</v>
      </c>
      <c r="O37" s="1903">
        <f t="shared" si="16"/>
        <v>2028</v>
      </c>
      <c r="P37" s="1903">
        <f t="shared" si="16"/>
        <v>2029</v>
      </c>
      <c r="Q37" s="1903">
        <f t="shared" si="16"/>
        <v>2030</v>
      </c>
      <c r="R37" s="1903">
        <f t="shared" si="16"/>
        <v>2031</v>
      </c>
      <c r="S37" s="1903">
        <f t="shared" si="16"/>
        <v>2032</v>
      </c>
      <c r="T37" s="1903">
        <f t="shared" si="16"/>
        <v>2033</v>
      </c>
      <c r="U37" s="1903">
        <f t="shared" si="16"/>
        <v>2034</v>
      </c>
      <c r="V37" s="1903">
        <f t="shared" si="16"/>
        <v>2035</v>
      </c>
      <c r="W37" s="1903">
        <f t="shared" si="16"/>
        <v>2036</v>
      </c>
      <c r="X37" s="1903">
        <f t="shared" si="16"/>
        <v>2037</v>
      </c>
      <c r="Y37" s="1903">
        <f t="shared" si="16"/>
        <v>2038</v>
      </c>
      <c r="Z37" s="1903">
        <f t="shared" si="16"/>
        <v>2039</v>
      </c>
      <c r="AA37" s="1903">
        <f t="shared" si="16"/>
        <v>2040</v>
      </c>
      <c r="AB37" s="1903">
        <f t="shared" si="16"/>
        <v>2041</v>
      </c>
      <c r="AC37" s="1903">
        <f t="shared" si="16"/>
        <v>2042</v>
      </c>
      <c r="AD37" s="1903">
        <f t="shared" si="16"/>
        <v>2043</v>
      </c>
      <c r="AE37" s="1903">
        <f t="shared" si="16"/>
        <v>2044</v>
      </c>
      <c r="AF37" s="1903">
        <f t="shared" si="16"/>
        <v>2045</v>
      </c>
      <c r="AG37" s="1903">
        <f t="shared" si="16"/>
        <v>2046</v>
      </c>
      <c r="AH37" s="1903">
        <f t="shared" si="16"/>
        <v>2047</v>
      </c>
      <c r="AI37" s="1903">
        <f t="shared" si="16"/>
        <v>2048</v>
      </c>
      <c r="AJ37" s="1903">
        <f t="shared" si="16"/>
        <v>2049</v>
      </c>
      <c r="AK37" s="1903">
        <f t="shared" si="16"/>
        <v>2050</v>
      </c>
      <c r="AL37" s="1903">
        <f t="shared" si="16"/>
        <v>2051</v>
      </c>
      <c r="AM37" s="1903">
        <f t="shared" si="16"/>
        <v>2052</v>
      </c>
      <c r="AN37" s="1903">
        <f t="shared" si="16"/>
        <v>2053</v>
      </c>
      <c r="AO37" s="1903">
        <f t="shared" si="16"/>
        <v>2054</v>
      </c>
      <c r="AP37" s="1903">
        <f t="shared" si="16"/>
        <v>2055</v>
      </c>
      <c r="AQ37" s="1903">
        <f t="shared" si="16"/>
        <v>2056</v>
      </c>
      <c r="AR37" s="1903">
        <f t="shared" si="16"/>
        <v>2057</v>
      </c>
      <c r="AS37" s="1903">
        <f t="shared" si="16"/>
        <v>2058</v>
      </c>
      <c r="AT37" s="1903">
        <f t="shared" si="16"/>
        <v>2059</v>
      </c>
      <c r="AU37" s="1903">
        <f t="shared" si="16"/>
        <v>2060</v>
      </c>
      <c r="AV37" s="1903">
        <f t="shared" si="16"/>
        <v>2061</v>
      </c>
      <c r="AW37" s="1903">
        <f t="shared" si="16"/>
        <v>2062</v>
      </c>
      <c r="AX37" s="1903">
        <f t="shared" si="16"/>
        <v>2063</v>
      </c>
      <c r="AY37" s="1904">
        <f t="shared" si="16"/>
        <v>2064</v>
      </c>
      <c r="AZ37" s="1905"/>
      <c r="BA37" s="1905"/>
      <c r="BB37" s="1905"/>
    </row>
    <row r="38" spans="2:54" s="16" customFormat="1" ht="14.25" customHeight="1">
      <c r="C38" s="1929"/>
      <c r="D38" s="1930" t="s">
        <v>1401</v>
      </c>
      <c r="E38" s="1979"/>
      <c r="F38" s="1980">
        <f>SUM(G38:BA38)</f>
        <v>26520</v>
      </c>
      <c r="G38" s="1980">
        <f>SUM(BS!K45:K46)</f>
        <v>680</v>
      </c>
      <c r="H38" s="1980">
        <f>SUM(BS!L45:L46)</f>
        <v>680</v>
      </c>
      <c r="I38" s="1980">
        <f>SUM(BS!M45:M46)</f>
        <v>680</v>
      </c>
      <c r="J38" s="1980">
        <f>SUM(BS!N45:N46)</f>
        <v>680</v>
      </c>
      <c r="K38" s="1980">
        <f>SUM(BS!O45:O46)</f>
        <v>680</v>
      </c>
      <c r="L38" s="1980">
        <f>SUM(BS!P45:P46)</f>
        <v>680</v>
      </c>
      <c r="M38" s="1980">
        <f>SUM(BS!Q45:Q46)</f>
        <v>680</v>
      </c>
      <c r="N38" s="1980">
        <f>SUM(BS!R45:R46)</f>
        <v>680</v>
      </c>
      <c r="O38" s="1980">
        <f>SUM(BS!S45:S46)</f>
        <v>680</v>
      </c>
      <c r="P38" s="1980">
        <f>SUM(BS!T45:T46)</f>
        <v>680</v>
      </c>
      <c r="Q38" s="1980">
        <f>SUM(BS!U45:U46)</f>
        <v>680</v>
      </c>
      <c r="R38" s="1980">
        <f>SUM(BS!V45:V46)</f>
        <v>680</v>
      </c>
      <c r="S38" s="1980">
        <f>SUM(BS!W45:W46)</f>
        <v>680</v>
      </c>
      <c r="T38" s="1980">
        <f>SUM(BS!X45:X46)</f>
        <v>680</v>
      </c>
      <c r="U38" s="1980">
        <f>SUM(BS!Y45:Y46)</f>
        <v>680</v>
      </c>
      <c r="V38" s="1980">
        <f>SUM(BS!Z45:Z46)</f>
        <v>680</v>
      </c>
      <c r="W38" s="1980">
        <f>SUM(BS!AA45:AA46)</f>
        <v>680</v>
      </c>
      <c r="X38" s="1980">
        <f>SUM(BS!AB45:AB46)</f>
        <v>680</v>
      </c>
      <c r="Y38" s="1980">
        <f>SUM(BS!AC45:AC46)</f>
        <v>680</v>
      </c>
      <c r="Z38" s="1980">
        <f>SUM(BS!AD45:AD46)</f>
        <v>680</v>
      </c>
      <c r="AA38" s="1980">
        <f>SUM(BS!AE45:AE46)</f>
        <v>680</v>
      </c>
      <c r="AB38" s="1980">
        <f>SUM(BS!AF45:AF46)</f>
        <v>680</v>
      </c>
      <c r="AC38" s="1980">
        <f>SUM(BS!AG45:AG46)</f>
        <v>680</v>
      </c>
      <c r="AD38" s="1980">
        <f>SUM(BS!AH45:AH46)</f>
        <v>680</v>
      </c>
      <c r="AE38" s="1980">
        <f>SUM(BS!AI45:AI46)</f>
        <v>680</v>
      </c>
      <c r="AF38" s="1980">
        <f>SUM(BS!AJ45:AJ46)</f>
        <v>680</v>
      </c>
      <c r="AG38" s="1980">
        <f>SUM(BS!AK45:AK46)</f>
        <v>680</v>
      </c>
      <c r="AH38" s="1980">
        <f>SUM(BS!AL45:AL46)</f>
        <v>680</v>
      </c>
      <c r="AI38" s="1980">
        <f>SUM(BS!AM45:AM46)</f>
        <v>680</v>
      </c>
      <c r="AJ38" s="1980">
        <f>SUM(BS!AN45:AN46)</f>
        <v>680</v>
      </c>
      <c r="AK38" s="1980">
        <f>SUM(BS!AO45:AO46)</f>
        <v>680</v>
      </c>
      <c r="AL38" s="1980">
        <f>SUM(BS!AP45:AP46)</f>
        <v>680</v>
      </c>
      <c r="AM38" s="1980">
        <f>SUM(BS!AQ45:AQ46)</f>
        <v>680</v>
      </c>
      <c r="AN38" s="1980">
        <f>SUM(BS!AR45:AR46)</f>
        <v>680</v>
      </c>
      <c r="AO38" s="1980">
        <f>SUM(BS!AS45:AS46)</f>
        <v>680</v>
      </c>
      <c r="AP38" s="1980">
        <f>SUM(BS!AT45:AT46)</f>
        <v>680</v>
      </c>
      <c r="AQ38" s="1980">
        <f>SUM(BS!AU45:AU46)</f>
        <v>680</v>
      </c>
      <c r="AR38" s="1980">
        <f>SUM(BS!AV45:AV46)</f>
        <v>680</v>
      </c>
      <c r="AS38" s="1980">
        <f>SUM(BS!AW45:AW46)</f>
        <v>680</v>
      </c>
      <c r="AT38" s="1980">
        <f>SUM(BS!AX45:AX46)</f>
        <v>0</v>
      </c>
      <c r="AU38" s="1980">
        <f>SUM(BS!AY45:AY46)</f>
        <v>0</v>
      </c>
      <c r="AV38" s="1980">
        <f>SUM(BS!AZ45:AZ46)</f>
        <v>0</v>
      </c>
      <c r="AW38" s="1980">
        <f>SUM(BS!BA45:BA46)</f>
        <v>0</v>
      </c>
      <c r="AX38" s="1980">
        <f>SUM(BS!BB45:BB46)</f>
        <v>0</v>
      </c>
      <c r="AY38" s="1941">
        <f>SUM(BS!BC45:BC46)</f>
        <v>0</v>
      </c>
      <c r="AZ38" s="1942"/>
      <c r="BA38" s="1942"/>
      <c r="BB38" s="1942"/>
    </row>
    <row r="39" spans="2:54" ht="14.25" customHeight="1">
      <c r="B39" s="1981"/>
      <c r="D39" s="1982" t="s">
        <v>3715</v>
      </c>
      <c r="E39" s="1983"/>
      <c r="F39" s="1984"/>
      <c r="G39" s="1985">
        <f ca="1">'CF(Y)'!L48</f>
        <v>2.5326680277842399</v>
      </c>
      <c r="H39" s="1986">
        <f ca="1">'CF(Y)'!M48</f>
        <v>1.5881199774157337</v>
      </c>
      <c r="I39" s="1986">
        <f ca="1">'CF(Y)'!N48</f>
        <v>1.5727842086829662</v>
      </c>
      <c r="J39" s="1986">
        <f ca="1">'CF(Y)'!O48</f>
        <v>2.1820473062767372</v>
      </c>
      <c r="K39" s="1986">
        <f ca="1">'CF(Y)'!P48</f>
        <v>2.0094375132625144</v>
      </c>
      <c r="L39" s="1986">
        <f ca="1">'CF(Y)'!Q48</f>
        <v>1.3735820263812935</v>
      </c>
      <c r="M39" s="1986">
        <f ca="1">'CF(Y)'!R48</f>
        <v>1.8178923974804437</v>
      </c>
      <c r="N39" s="1986">
        <f ca="1">'CF(Y)'!S48</f>
        <v>7.0181792893274988</v>
      </c>
      <c r="O39" s="1986">
        <f ca="1">'CF(Y)'!T48</f>
        <v>7.261227535274859</v>
      </c>
      <c r="P39" s="1986">
        <f ca="1">'CF(Y)'!U48</f>
        <v>10.301621284739729</v>
      </c>
      <c r="Q39" s="1986" t="str">
        <f ca="1">'CF(Y)'!V48</f>
        <v/>
      </c>
      <c r="R39" s="1986" t="str">
        <f ca="1">'CF(Y)'!W48</f>
        <v/>
      </c>
      <c r="S39" s="1986" t="str">
        <f ca="1">'CF(Y)'!X48</f>
        <v/>
      </c>
      <c r="T39" s="1986" t="str">
        <f ca="1">'CF(Y)'!Y48</f>
        <v/>
      </c>
      <c r="U39" s="1986" t="str">
        <f ca="1">'CF(Y)'!Z48</f>
        <v/>
      </c>
      <c r="V39" s="1986" t="str">
        <f ca="1">'CF(Y)'!AA48</f>
        <v/>
      </c>
      <c r="W39" s="1986" t="str">
        <f ca="1">'CF(Y)'!AB48</f>
        <v/>
      </c>
      <c r="X39" s="1986" t="str">
        <f ca="1">'CF(Y)'!AC48</f>
        <v/>
      </c>
      <c r="Y39" s="1986" t="str">
        <f ca="1">'CF(Y)'!AD48</f>
        <v/>
      </c>
      <c r="Z39" s="1986" t="str">
        <f ca="1">'CF(Y)'!AE48</f>
        <v/>
      </c>
      <c r="AA39" s="1986" t="str">
        <f ca="1">'CF(Y)'!AF48</f>
        <v/>
      </c>
      <c r="AB39" s="1986" t="str">
        <f ca="1">'CF(Y)'!AG48</f>
        <v/>
      </c>
      <c r="AC39" s="1986" t="str">
        <f ca="1">'CF(Y)'!AH48</f>
        <v/>
      </c>
      <c r="AD39" s="1986" t="str">
        <f ca="1">'CF(Y)'!AI48</f>
        <v/>
      </c>
      <c r="AE39" s="1986" t="str">
        <f ca="1">'CF(Y)'!AJ48</f>
        <v/>
      </c>
      <c r="AF39" s="1986" t="str">
        <f ca="1">'CF(Y)'!AK48</f>
        <v/>
      </c>
      <c r="AG39" s="1986" t="str">
        <f ca="1">'CF(Y)'!AL48</f>
        <v/>
      </c>
      <c r="AH39" s="1986" t="str">
        <f ca="1">'CF(Y)'!AM48</f>
        <v/>
      </c>
      <c r="AI39" s="1986" t="str">
        <f ca="1">'CF(Y)'!AN48</f>
        <v/>
      </c>
      <c r="AJ39" s="1986" t="str">
        <f ca="1">'CF(Y)'!AO48</f>
        <v/>
      </c>
      <c r="AK39" s="1986" t="str">
        <f ca="1">'CF(Y)'!AP48</f>
        <v/>
      </c>
      <c r="AL39" s="1986" t="str">
        <f ca="1">'CF(Y)'!AQ48</f>
        <v/>
      </c>
      <c r="AM39" s="1986" t="str">
        <f ca="1">'CF(Y)'!AR48</f>
        <v/>
      </c>
      <c r="AN39" s="1986" t="str">
        <f ca="1">'CF(Y)'!AS48</f>
        <v/>
      </c>
      <c r="AO39" s="1986" t="str">
        <f ca="1">'CF(Y)'!AT48</f>
        <v/>
      </c>
      <c r="AP39" s="1986" t="str">
        <f ca="1">'CF(Y)'!AU48</f>
        <v/>
      </c>
      <c r="AQ39" s="1986" t="str">
        <f ca="1">'CF(Y)'!AV48</f>
        <v/>
      </c>
      <c r="AR39" s="1986" t="str">
        <f ca="1">'CF(Y)'!AW48</f>
        <v/>
      </c>
      <c r="AS39" s="1986" t="str">
        <f ca="1">'CF(Y)'!AX48</f>
        <v/>
      </c>
      <c r="AT39" s="1986" t="str">
        <f ca="1">'CF(Y)'!AY48</f>
        <v/>
      </c>
      <c r="AU39" s="1986" t="str">
        <f>'CF(Y)'!AZ48</f>
        <v/>
      </c>
      <c r="AV39" s="1986" t="str">
        <f>'CF(Y)'!BA48</f>
        <v/>
      </c>
      <c r="AW39" s="1986" t="str">
        <f>'CF(Y)'!BB48</f>
        <v/>
      </c>
      <c r="AX39" s="1986" t="str">
        <f>'CF(Y)'!BC48</f>
        <v/>
      </c>
      <c r="AY39" s="1986">
        <f>'CF(Y)'!BD48</f>
        <v>0</v>
      </c>
      <c r="AZ39" s="1987"/>
    </row>
    <row r="40" spans="2:54" ht="14.25" customHeight="1">
      <c r="B40" s="1981"/>
      <c r="D40" s="1988" t="s">
        <v>3716</v>
      </c>
      <c r="F40" s="1989"/>
      <c r="G40" s="1990">
        <f ca="1">'CF(Y)'!L49</f>
        <v>2.6121279219203206</v>
      </c>
      <c r="H40" s="1991">
        <f ca="1">'CF(Y)'!M49</f>
        <v>1.8376083813756545</v>
      </c>
      <c r="I40" s="1991">
        <f ca="1">'CF(Y)'!N49</f>
        <v>1.6109090671773765</v>
      </c>
      <c r="J40" s="1991">
        <f ca="1">'CF(Y)'!O49</f>
        <v>2.1820473062767372</v>
      </c>
      <c r="K40" s="1991">
        <f ca="1">'CF(Y)'!P49</f>
        <v>2.0873638094812574</v>
      </c>
      <c r="L40" s="1991">
        <f ca="1">'CF(Y)'!Q49</f>
        <v>1.4057266829396537</v>
      </c>
      <c r="M40" s="1991">
        <f ca="1">'CF(Y)'!R49</f>
        <v>1.8178923974804437</v>
      </c>
      <c r="N40" s="1991">
        <f ca="1">'CF(Y)'!S49</f>
        <v>7.0181792893274988</v>
      </c>
      <c r="O40" s="1991">
        <f ca="1">'CF(Y)'!T49</f>
        <v>7.7698797194719909</v>
      </c>
      <c r="P40" s="1991">
        <f ca="1">'CF(Y)'!U49</f>
        <v>11.783737160756189</v>
      </c>
      <c r="Q40" s="5086" t="str">
        <f ca="1">'CF(Y)'!V49</f>
        <v/>
      </c>
      <c r="R40" s="1991" t="str">
        <f ca="1">'CF(Y)'!W49</f>
        <v/>
      </c>
      <c r="S40" s="1991" t="str">
        <f ca="1">'CF(Y)'!X49</f>
        <v/>
      </c>
      <c r="T40" s="1991" t="str">
        <f ca="1">'CF(Y)'!Y49</f>
        <v/>
      </c>
      <c r="U40" s="1991" t="str">
        <f ca="1">'CF(Y)'!Z49</f>
        <v/>
      </c>
      <c r="V40" s="1991" t="str">
        <f ca="1">'CF(Y)'!AA49</f>
        <v/>
      </c>
      <c r="W40" s="1991" t="str">
        <f ca="1">'CF(Y)'!AB49</f>
        <v/>
      </c>
      <c r="X40" s="1991" t="str">
        <f ca="1">'CF(Y)'!AC49</f>
        <v/>
      </c>
      <c r="Y40" s="1991" t="str">
        <f ca="1">'CF(Y)'!AD49</f>
        <v/>
      </c>
      <c r="Z40" s="1991" t="str">
        <f ca="1">'CF(Y)'!AE49</f>
        <v/>
      </c>
      <c r="AA40" s="1991" t="str">
        <f ca="1">'CF(Y)'!AF49</f>
        <v/>
      </c>
      <c r="AB40" s="1991" t="str">
        <f ca="1">'CF(Y)'!AG49</f>
        <v/>
      </c>
      <c r="AC40" s="1991" t="str">
        <f ca="1">'CF(Y)'!AH49</f>
        <v/>
      </c>
      <c r="AD40" s="1991" t="str">
        <f ca="1">'CF(Y)'!AI49</f>
        <v/>
      </c>
      <c r="AE40" s="1991" t="str">
        <f ca="1">'CF(Y)'!AJ49</f>
        <v/>
      </c>
      <c r="AF40" s="1991" t="str">
        <f ca="1">'CF(Y)'!AK49</f>
        <v/>
      </c>
      <c r="AG40" s="1991" t="str">
        <f ca="1">'CF(Y)'!AL49</f>
        <v/>
      </c>
      <c r="AH40" s="1991" t="str">
        <f ca="1">'CF(Y)'!AM49</f>
        <v/>
      </c>
      <c r="AI40" s="1991" t="str">
        <f ca="1">'CF(Y)'!AN49</f>
        <v/>
      </c>
      <c r="AJ40" s="1991" t="str">
        <f ca="1">'CF(Y)'!AO49</f>
        <v/>
      </c>
      <c r="AK40" s="1991" t="str">
        <f ca="1">'CF(Y)'!AP49</f>
        <v/>
      </c>
      <c r="AL40" s="1991" t="str">
        <f ca="1">'CF(Y)'!AQ49</f>
        <v/>
      </c>
      <c r="AM40" s="1991" t="str">
        <f ca="1">'CF(Y)'!AR49</f>
        <v/>
      </c>
      <c r="AN40" s="1991" t="str">
        <f ca="1">'CF(Y)'!AS49</f>
        <v/>
      </c>
      <c r="AO40" s="1991" t="str">
        <f ca="1">'CF(Y)'!AT49</f>
        <v/>
      </c>
      <c r="AP40" s="1991" t="str">
        <f ca="1">'CF(Y)'!AU49</f>
        <v/>
      </c>
      <c r="AQ40" s="1991" t="str">
        <f ca="1">'CF(Y)'!AV49</f>
        <v/>
      </c>
      <c r="AR40" s="1991" t="str">
        <f ca="1">'CF(Y)'!AW49</f>
        <v/>
      </c>
      <c r="AS40" s="1991" t="str">
        <f ca="1">'CF(Y)'!AX49</f>
        <v/>
      </c>
      <c r="AT40" s="1991" t="str">
        <f ca="1">'CF(Y)'!AY49</f>
        <v/>
      </c>
      <c r="AU40" s="1991" t="str">
        <f>'CF(Y)'!AZ49</f>
        <v/>
      </c>
      <c r="AV40" s="1991" t="str">
        <f>'CF(Y)'!BA49</f>
        <v/>
      </c>
      <c r="AW40" s="1991" t="str">
        <f>'CF(Y)'!BB49</f>
        <v/>
      </c>
      <c r="AX40" s="1991" t="str">
        <f>'CF(Y)'!BC49</f>
        <v/>
      </c>
      <c r="AY40" s="1991">
        <f>'CF(Y)'!BD49</f>
        <v>0</v>
      </c>
      <c r="AZ40" s="1987"/>
    </row>
    <row r="41" spans="2:54" ht="14.25" customHeight="1">
      <c r="B41" s="1981"/>
      <c r="D41" s="1992" t="s">
        <v>3717</v>
      </c>
      <c r="E41" s="5377">
        <f ca="1">단순DSCR</f>
        <v>1.2</v>
      </c>
      <c r="F41" s="1994"/>
      <c r="G41" s="1995">
        <f ca="1">1*(G39&gt;=$E41)</f>
        <v>1</v>
      </c>
      <c r="H41" s="1996">
        <f ca="1">1*(H39&gt;=$E41)</f>
        <v>1</v>
      </c>
      <c r="I41" s="1996">
        <f t="shared" ref="I41:AY41" ca="1" si="17">1*(I39&gt;=$E41)</f>
        <v>1</v>
      </c>
      <c r="J41" s="1996">
        <f t="shared" ca="1" si="17"/>
        <v>1</v>
      </c>
      <c r="K41" s="1996">
        <f t="shared" ca="1" si="17"/>
        <v>1</v>
      </c>
      <c r="L41" s="1996">
        <f t="shared" ca="1" si="17"/>
        <v>1</v>
      </c>
      <c r="M41" s="1996">
        <f t="shared" ca="1" si="17"/>
        <v>1</v>
      </c>
      <c r="N41" s="1996">
        <f t="shared" ca="1" si="17"/>
        <v>1</v>
      </c>
      <c r="O41" s="1996">
        <f t="shared" ca="1" si="17"/>
        <v>1</v>
      </c>
      <c r="P41" s="1996">
        <f t="shared" ca="1" si="17"/>
        <v>1</v>
      </c>
      <c r="Q41" s="1996">
        <f t="shared" ca="1" si="17"/>
        <v>1</v>
      </c>
      <c r="R41" s="1996">
        <f t="shared" ca="1" si="17"/>
        <v>1</v>
      </c>
      <c r="S41" s="1996">
        <f t="shared" ca="1" si="17"/>
        <v>1</v>
      </c>
      <c r="T41" s="1996">
        <f t="shared" ca="1" si="17"/>
        <v>1</v>
      </c>
      <c r="U41" s="1996">
        <f t="shared" ca="1" si="17"/>
        <v>1</v>
      </c>
      <c r="V41" s="1996">
        <f t="shared" ca="1" si="17"/>
        <v>1</v>
      </c>
      <c r="W41" s="1996">
        <f t="shared" ca="1" si="17"/>
        <v>1</v>
      </c>
      <c r="X41" s="1996">
        <f t="shared" ca="1" si="17"/>
        <v>1</v>
      </c>
      <c r="Y41" s="1996">
        <f t="shared" ca="1" si="17"/>
        <v>1</v>
      </c>
      <c r="Z41" s="1996">
        <f t="shared" ca="1" si="17"/>
        <v>1</v>
      </c>
      <c r="AA41" s="1996">
        <f t="shared" ca="1" si="17"/>
        <v>1</v>
      </c>
      <c r="AB41" s="1996">
        <f t="shared" ca="1" si="17"/>
        <v>1</v>
      </c>
      <c r="AC41" s="1996">
        <f t="shared" ca="1" si="17"/>
        <v>1</v>
      </c>
      <c r="AD41" s="1996">
        <f t="shared" ca="1" si="17"/>
        <v>1</v>
      </c>
      <c r="AE41" s="1996">
        <f t="shared" ca="1" si="17"/>
        <v>1</v>
      </c>
      <c r="AF41" s="1996">
        <f t="shared" ca="1" si="17"/>
        <v>1</v>
      </c>
      <c r="AG41" s="1996">
        <f t="shared" ca="1" si="17"/>
        <v>1</v>
      </c>
      <c r="AH41" s="1996">
        <f t="shared" ca="1" si="17"/>
        <v>1</v>
      </c>
      <c r="AI41" s="1996">
        <f t="shared" ca="1" si="17"/>
        <v>1</v>
      </c>
      <c r="AJ41" s="1996">
        <f t="shared" ca="1" si="17"/>
        <v>1</v>
      </c>
      <c r="AK41" s="1996">
        <f t="shared" ca="1" si="17"/>
        <v>1</v>
      </c>
      <c r="AL41" s="1996">
        <f t="shared" ca="1" si="17"/>
        <v>1</v>
      </c>
      <c r="AM41" s="1996">
        <f t="shared" ca="1" si="17"/>
        <v>1</v>
      </c>
      <c r="AN41" s="1996">
        <f t="shared" ca="1" si="17"/>
        <v>1</v>
      </c>
      <c r="AO41" s="1996">
        <f t="shared" ca="1" si="17"/>
        <v>1</v>
      </c>
      <c r="AP41" s="1996">
        <f t="shared" ca="1" si="17"/>
        <v>1</v>
      </c>
      <c r="AQ41" s="1996">
        <f t="shared" ca="1" si="17"/>
        <v>1</v>
      </c>
      <c r="AR41" s="1996">
        <f t="shared" ca="1" si="17"/>
        <v>1</v>
      </c>
      <c r="AS41" s="1996">
        <f t="shared" ca="1" si="17"/>
        <v>1</v>
      </c>
      <c r="AT41" s="1996">
        <f t="shared" ca="1" si="17"/>
        <v>1</v>
      </c>
      <c r="AU41" s="1996">
        <f t="shared" ca="1" si="17"/>
        <v>1</v>
      </c>
      <c r="AV41" s="1996">
        <f t="shared" ca="1" si="17"/>
        <v>1</v>
      </c>
      <c r="AW41" s="1996">
        <f t="shared" ca="1" si="17"/>
        <v>1</v>
      </c>
      <c r="AX41" s="1996">
        <f t="shared" ca="1" si="17"/>
        <v>1</v>
      </c>
      <c r="AY41" s="1996">
        <f t="shared" ca="1" si="17"/>
        <v>0</v>
      </c>
    </row>
    <row r="42" spans="2:54" ht="14.25" customHeight="1">
      <c r="B42" s="1981"/>
      <c r="D42" s="1997" t="s">
        <v>3718</v>
      </c>
      <c r="E42" s="5378">
        <f ca="1">MinDSCR</f>
        <v>1.3</v>
      </c>
      <c r="F42" s="1999"/>
      <c r="G42" s="5087">
        <f ca="1">1*(G40&gt;=$E42)*('CF(Y)'!K49&gt;=$E42)</f>
        <v>1</v>
      </c>
      <c r="H42" s="2001">
        <f ca="1">1*(H40&gt;=$E42)*(G40&gt;=$E42)</f>
        <v>1</v>
      </c>
      <c r="I42" s="2001">
        <f t="shared" ref="I42:AY42" ca="1" si="18">1*(I40&gt;=$E42)*(H40&gt;=$E42)</f>
        <v>1</v>
      </c>
      <c r="J42" s="2001">
        <f t="shared" ca="1" si="18"/>
        <v>1</v>
      </c>
      <c r="K42" s="2001">
        <f t="shared" ca="1" si="18"/>
        <v>1</v>
      </c>
      <c r="L42" s="2001">
        <f t="shared" ca="1" si="18"/>
        <v>1</v>
      </c>
      <c r="M42" s="2001">
        <f t="shared" ca="1" si="18"/>
        <v>1</v>
      </c>
      <c r="N42" s="2001">
        <f t="shared" ca="1" si="18"/>
        <v>1</v>
      </c>
      <c r="O42" s="2001">
        <f t="shared" ca="1" si="18"/>
        <v>1</v>
      </c>
      <c r="P42" s="2001">
        <f t="shared" ca="1" si="18"/>
        <v>1</v>
      </c>
      <c r="Q42" s="2001">
        <f t="shared" ca="1" si="18"/>
        <v>1</v>
      </c>
      <c r="R42" s="2001">
        <f t="shared" ca="1" si="18"/>
        <v>1</v>
      </c>
      <c r="S42" s="2001">
        <f t="shared" ca="1" si="18"/>
        <v>1</v>
      </c>
      <c r="T42" s="2001">
        <f t="shared" ca="1" si="18"/>
        <v>1</v>
      </c>
      <c r="U42" s="2001">
        <f t="shared" ca="1" si="18"/>
        <v>1</v>
      </c>
      <c r="V42" s="2001">
        <f t="shared" ca="1" si="18"/>
        <v>1</v>
      </c>
      <c r="W42" s="2001">
        <f t="shared" ca="1" si="18"/>
        <v>1</v>
      </c>
      <c r="X42" s="2001">
        <f t="shared" ca="1" si="18"/>
        <v>1</v>
      </c>
      <c r="Y42" s="2001">
        <f t="shared" ca="1" si="18"/>
        <v>1</v>
      </c>
      <c r="Z42" s="2001">
        <f t="shared" ca="1" si="18"/>
        <v>1</v>
      </c>
      <c r="AA42" s="2001">
        <f t="shared" ca="1" si="18"/>
        <v>1</v>
      </c>
      <c r="AB42" s="2001">
        <f t="shared" ca="1" si="18"/>
        <v>1</v>
      </c>
      <c r="AC42" s="2001">
        <f t="shared" ca="1" si="18"/>
        <v>1</v>
      </c>
      <c r="AD42" s="2001">
        <f t="shared" ca="1" si="18"/>
        <v>1</v>
      </c>
      <c r="AE42" s="2001">
        <f t="shared" ca="1" si="18"/>
        <v>1</v>
      </c>
      <c r="AF42" s="2001">
        <f t="shared" ca="1" si="18"/>
        <v>1</v>
      </c>
      <c r="AG42" s="2001">
        <f t="shared" ca="1" si="18"/>
        <v>1</v>
      </c>
      <c r="AH42" s="2001">
        <f t="shared" ca="1" si="18"/>
        <v>1</v>
      </c>
      <c r="AI42" s="2001">
        <f t="shared" ca="1" si="18"/>
        <v>1</v>
      </c>
      <c r="AJ42" s="2001">
        <f t="shared" ca="1" si="18"/>
        <v>1</v>
      </c>
      <c r="AK42" s="2001">
        <f t="shared" ca="1" si="18"/>
        <v>1</v>
      </c>
      <c r="AL42" s="2001">
        <f t="shared" ca="1" si="18"/>
        <v>1</v>
      </c>
      <c r="AM42" s="2001">
        <f t="shared" ca="1" si="18"/>
        <v>1</v>
      </c>
      <c r="AN42" s="2001">
        <f t="shared" ca="1" si="18"/>
        <v>1</v>
      </c>
      <c r="AO42" s="2001">
        <f t="shared" ca="1" si="18"/>
        <v>1</v>
      </c>
      <c r="AP42" s="2001">
        <f t="shared" ca="1" si="18"/>
        <v>1</v>
      </c>
      <c r="AQ42" s="2001">
        <f t="shared" ca="1" si="18"/>
        <v>1</v>
      </c>
      <c r="AR42" s="2001">
        <f t="shared" ca="1" si="18"/>
        <v>1</v>
      </c>
      <c r="AS42" s="2001">
        <f t="shared" ca="1" si="18"/>
        <v>1</v>
      </c>
      <c r="AT42" s="2001">
        <f t="shared" ca="1" si="18"/>
        <v>1</v>
      </c>
      <c r="AU42" s="2001">
        <f t="shared" ca="1" si="18"/>
        <v>1</v>
      </c>
      <c r="AV42" s="2001">
        <f t="shared" ca="1" si="18"/>
        <v>1</v>
      </c>
      <c r="AW42" s="2001">
        <f t="shared" ca="1" si="18"/>
        <v>1</v>
      </c>
      <c r="AX42" s="2001">
        <f t="shared" ca="1" si="18"/>
        <v>1</v>
      </c>
      <c r="AY42" s="2001">
        <f t="shared" ca="1" si="18"/>
        <v>0</v>
      </c>
    </row>
    <row r="43" spans="2:54" ht="14.25" customHeight="1">
      <c r="B43" s="1981"/>
      <c r="D43" s="1992" t="s">
        <v>1392</v>
      </c>
      <c r="E43" s="1993"/>
      <c r="F43" s="1994"/>
      <c r="G43" s="1995">
        <f>SUM(BS!K31,BS!K47)</f>
        <v>0</v>
      </c>
      <c r="H43" s="1996">
        <f ca="1">SUM(BS!L31,BS!L47)</f>
        <v>0</v>
      </c>
      <c r="I43" s="1996">
        <f ca="1">SUM(BS!M31,BS!M47)</f>
        <v>0</v>
      </c>
      <c r="J43" s="1996">
        <f ca="1">SUM(BS!N31,BS!N47)</f>
        <v>0</v>
      </c>
      <c r="K43" s="1996">
        <f ca="1">SUM(BS!O31,BS!O47)</f>
        <v>0</v>
      </c>
      <c r="L43" s="1996">
        <f ca="1">SUM(BS!P31,BS!P47)</f>
        <v>0</v>
      </c>
      <c r="M43" s="1996">
        <f ca="1">SUM(BS!Q31,BS!Q47)</f>
        <v>0</v>
      </c>
      <c r="N43" s="1996">
        <f ca="1">SUM(BS!R31,BS!R47)</f>
        <v>0</v>
      </c>
      <c r="O43" s="1996">
        <f ca="1">SUM(BS!S31,BS!S47)</f>
        <v>0</v>
      </c>
      <c r="P43" s="1996">
        <f ca="1">SUM(BS!T31,BS!T47)</f>
        <v>0</v>
      </c>
      <c r="Q43" s="1996">
        <f ca="1">SUM(BS!U31,BS!U47)</f>
        <v>0</v>
      </c>
      <c r="R43" s="1996">
        <f ca="1">SUM(BS!V31,BS!V47)</f>
        <v>0</v>
      </c>
      <c r="S43" s="1996">
        <f ca="1">SUM(BS!W31,BS!W47)</f>
        <v>0</v>
      </c>
      <c r="T43" s="1996">
        <f ca="1">SUM(BS!X31,BS!X47)</f>
        <v>0</v>
      </c>
      <c r="U43" s="1996">
        <f ca="1">SUM(BS!Y31,BS!Y47)</f>
        <v>0</v>
      </c>
      <c r="V43" s="1996">
        <f ca="1">SUM(BS!Z31,BS!Z47)</f>
        <v>0</v>
      </c>
      <c r="W43" s="1996">
        <f ca="1">SUM(BS!AA31,BS!AA47)</f>
        <v>0</v>
      </c>
      <c r="X43" s="1996">
        <f ca="1">SUM(BS!AB31,BS!AB47)</f>
        <v>0</v>
      </c>
      <c r="Y43" s="1996">
        <f ca="1">SUM(BS!AC31,BS!AC47)</f>
        <v>0</v>
      </c>
      <c r="Z43" s="1996">
        <f ca="1">SUM(BS!AD31,BS!AD47)</f>
        <v>0</v>
      </c>
      <c r="AA43" s="1996">
        <f ca="1">SUM(BS!AE31,BS!AE47)</f>
        <v>0</v>
      </c>
      <c r="AB43" s="1996">
        <f ca="1">SUM(BS!AF31,BS!AF47)</f>
        <v>0</v>
      </c>
      <c r="AC43" s="1996">
        <f ca="1">SUM(BS!AG31,BS!AG47)</f>
        <v>0</v>
      </c>
      <c r="AD43" s="1996">
        <f ca="1">SUM(BS!AH31,BS!AH47)</f>
        <v>0</v>
      </c>
      <c r="AE43" s="1996">
        <f ca="1">SUM(BS!AI31,BS!AI47)</f>
        <v>0</v>
      </c>
      <c r="AF43" s="1996">
        <f ca="1">SUM(BS!AJ31,BS!AJ47)</f>
        <v>0</v>
      </c>
      <c r="AG43" s="1996">
        <f ca="1">SUM(BS!AK31,BS!AK47)</f>
        <v>0</v>
      </c>
      <c r="AH43" s="1996">
        <f ca="1">SUM(BS!AL31,BS!AL47)</f>
        <v>0</v>
      </c>
      <c r="AI43" s="1996">
        <f ca="1">SUM(BS!AM31,BS!AM47)</f>
        <v>0</v>
      </c>
      <c r="AJ43" s="1996">
        <f ca="1">SUM(BS!AN31,BS!AN47)</f>
        <v>0</v>
      </c>
      <c r="AK43" s="1996">
        <f ca="1">SUM(BS!AO31,BS!AO47)</f>
        <v>0</v>
      </c>
      <c r="AL43" s="1996">
        <f ca="1">SUM(BS!AP31,BS!AP47)</f>
        <v>0</v>
      </c>
      <c r="AM43" s="1996">
        <f ca="1">SUM(BS!AQ31,BS!AQ47)</f>
        <v>0</v>
      </c>
      <c r="AN43" s="1996">
        <f ca="1">SUM(BS!AR31,BS!AR47)</f>
        <v>0</v>
      </c>
      <c r="AO43" s="1996">
        <f ca="1">SUM(BS!AS31,BS!AS47)</f>
        <v>0</v>
      </c>
      <c r="AP43" s="1996">
        <f ca="1">SUM(BS!AT31,BS!AT47)</f>
        <v>0</v>
      </c>
      <c r="AQ43" s="1996">
        <f ca="1">SUM(BS!AU31,BS!AU47)</f>
        <v>0</v>
      </c>
      <c r="AR43" s="1996">
        <f ca="1">SUM(BS!AV31,BS!AV47)</f>
        <v>0</v>
      </c>
      <c r="AS43" s="1996">
        <f ca="1">SUM(BS!AW31,BS!AW47)</f>
        <v>0</v>
      </c>
      <c r="AT43" s="1996">
        <f ca="1">SUM(BS!AX31,BS!AX47)</f>
        <v>0</v>
      </c>
      <c r="AU43" s="1996">
        <f>SUM(BS!AY31,BS!AY47)</f>
        <v>0</v>
      </c>
      <c r="AV43" s="1996">
        <f>SUM(BS!AZ31,BS!AZ47)</f>
        <v>0</v>
      </c>
      <c r="AW43" s="1996">
        <f>SUM(BS!BA31,BS!BA47)</f>
        <v>0</v>
      </c>
      <c r="AX43" s="1996">
        <f>SUM(BS!BB31,BS!BB47)</f>
        <v>0</v>
      </c>
      <c r="AY43" s="1996">
        <f>SUM(BS!BC31,BS!BC47)</f>
        <v>0</v>
      </c>
    </row>
    <row r="44" spans="2:54" ht="14.25" customHeight="1">
      <c r="B44" s="1981"/>
      <c r="D44" s="1997" t="str">
        <f>D43</f>
        <v>자금부족 잔액</v>
      </c>
      <c r="E44" s="1998"/>
      <c r="F44" s="1999"/>
      <c r="G44" s="2000">
        <f>1*(G43&lt;0.000001)</f>
        <v>1</v>
      </c>
      <c r="H44" s="2001">
        <f t="shared" ref="H44:AY44" ca="1" si="19">1*(H43&lt;0.000001)</f>
        <v>1</v>
      </c>
      <c r="I44" s="2001">
        <f t="shared" ca="1" si="19"/>
        <v>1</v>
      </c>
      <c r="J44" s="2001">
        <f t="shared" ca="1" si="19"/>
        <v>1</v>
      </c>
      <c r="K44" s="2001">
        <f t="shared" ca="1" si="19"/>
        <v>1</v>
      </c>
      <c r="L44" s="2001">
        <f t="shared" ca="1" si="19"/>
        <v>1</v>
      </c>
      <c r="M44" s="2001">
        <f t="shared" ca="1" si="19"/>
        <v>1</v>
      </c>
      <c r="N44" s="2001">
        <f t="shared" ca="1" si="19"/>
        <v>1</v>
      </c>
      <c r="O44" s="2001">
        <f t="shared" ca="1" si="19"/>
        <v>1</v>
      </c>
      <c r="P44" s="2001">
        <f t="shared" ca="1" si="19"/>
        <v>1</v>
      </c>
      <c r="Q44" s="2001">
        <f t="shared" ca="1" si="19"/>
        <v>1</v>
      </c>
      <c r="R44" s="2001">
        <f t="shared" ca="1" si="19"/>
        <v>1</v>
      </c>
      <c r="S44" s="2001">
        <f t="shared" ca="1" si="19"/>
        <v>1</v>
      </c>
      <c r="T44" s="2001">
        <f t="shared" ca="1" si="19"/>
        <v>1</v>
      </c>
      <c r="U44" s="2001">
        <f t="shared" ca="1" si="19"/>
        <v>1</v>
      </c>
      <c r="V44" s="2001">
        <f t="shared" ca="1" si="19"/>
        <v>1</v>
      </c>
      <c r="W44" s="2001">
        <f t="shared" ca="1" si="19"/>
        <v>1</v>
      </c>
      <c r="X44" s="2001">
        <f t="shared" ca="1" si="19"/>
        <v>1</v>
      </c>
      <c r="Y44" s="2001">
        <f t="shared" ca="1" si="19"/>
        <v>1</v>
      </c>
      <c r="Z44" s="2001">
        <f t="shared" ca="1" si="19"/>
        <v>1</v>
      </c>
      <c r="AA44" s="2001">
        <f t="shared" ca="1" si="19"/>
        <v>1</v>
      </c>
      <c r="AB44" s="2001">
        <f t="shared" ca="1" si="19"/>
        <v>1</v>
      </c>
      <c r="AC44" s="2001">
        <f t="shared" ca="1" si="19"/>
        <v>1</v>
      </c>
      <c r="AD44" s="2001">
        <f t="shared" ca="1" si="19"/>
        <v>1</v>
      </c>
      <c r="AE44" s="2001">
        <f t="shared" ca="1" si="19"/>
        <v>1</v>
      </c>
      <c r="AF44" s="2001">
        <f t="shared" ca="1" si="19"/>
        <v>1</v>
      </c>
      <c r="AG44" s="2001">
        <f t="shared" ca="1" si="19"/>
        <v>1</v>
      </c>
      <c r="AH44" s="2001">
        <f t="shared" ca="1" si="19"/>
        <v>1</v>
      </c>
      <c r="AI44" s="2001">
        <f t="shared" ca="1" si="19"/>
        <v>1</v>
      </c>
      <c r="AJ44" s="2001">
        <f t="shared" ca="1" si="19"/>
        <v>1</v>
      </c>
      <c r="AK44" s="2001">
        <f t="shared" ca="1" si="19"/>
        <v>1</v>
      </c>
      <c r="AL44" s="2001">
        <f t="shared" ca="1" si="19"/>
        <v>1</v>
      </c>
      <c r="AM44" s="2001">
        <f t="shared" ca="1" si="19"/>
        <v>1</v>
      </c>
      <c r="AN44" s="2001">
        <f t="shared" ca="1" si="19"/>
        <v>1</v>
      </c>
      <c r="AO44" s="2001">
        <f t="shared" ca="1" si="19"/>
        <v>1</v>
      </c>
      <c r="AP44" s="2001">
        <f t="shared" ca="1" si="19"/>
        <v>1</v>
      </c>
      <c r="AQ44" s="2001">
        <f t="shared" ca="1" si="19"/>
        <v>1</v>
      </c>
      <c r="AR44" s="2001">
        <f t="shared" ca="1" si="19"/>
        <v>1</v>
      </c>
      <c r="AS44" s="2001">
        <f t="shared" ca="1" si="19"/>
        <v>1</v>
      </c>
      <c r="AT44" s="2001">
        <f t="shared" ca="1" si="19"/>
        <v>1</v>
      </c>
      <c r="AU44" s="2001">
        <f t="shared" si="19"/>
        <v>1</v>
      </c>
      <c r="AV44" s="2001">
        <f t="shared" si="19"/>
        <v>1</v>
      </c>
      <c r="AW44" s="2001">
        <f t="shared" si="19"/>
        <v>1</v>
      </c>
      <c r="AX44" s="2001">
        <f t="shared" si="19"/>
        <v>1</v>
      </c>
      <c r="AY44" s="2001">
        <f t="shared" si="19"/>
        <v>1</v>
      </c>
    </row>
    <row r="45" spans="2:54" s="16" customFormat="1" ht="14.25" customHeight="1">
      <c r="C45" s="1906" t="s">
        <v>1398</v>
      </c>
      <c r="D45" s="2002"/>
      <c r="E45" s="1926"/>
      <c r="F45" s="1949"/>
      <c r="G45" s="2003">
        <f ca="1">G41*G42*G44</f>
        <v>1</v>
      </c>
      <c r="H45" s="2003">
        <f t="shared" ref="H45:AY45" ca="1" si="20">H41*H42*H44</f>
        <v>1</v>
      </c>
      <c r="I45" s="2003">
        <f t="shared" ca="1" si="20"/>
        <v>1</v>
      </c>
      <c r="J45" s="2003">
        <f t="shared" ca="1" si="20"/>
        <v>1</v>
      </c>
      <c r="K45" s="2003">
        <f t="shared" ca="1" si="20"/>
        <v>1</v>
      </c>
      <c r="L45" s="2003">
        <f t="shared" ca="1" si="20"/>
        <v>1</v>
      </c>
      <c r="M45" s="2003">
        <f t="shared" ca="1" si="20"/>
        <v>1</v>
      </c>
      <c r="N45" s="2003">
        <f t="shared" ca="1" si="20"/>
        <v>1</v>
      </c>
      <c r="O45" s="2003">
        <f t="shared" ca="1" si="20"/>
        <v>1</v>
      </c>
      <c r="P45" s="2003">
        <f t="shared" ca="1" si="20"/>
        <v>1</v>
      </c>
      <c r="Q45" s="2003">
        <f t="shared" ca="1" si="20"/>
        <v>1</v>
      </c>
      <c r="R45" s="2003">
        <f t="shared" ca="1" si="20"/>
        <v>1</v>
      </c>
      <c r="S45" s="2003">
        <f t="shared" ca="1" si="20"/>
        <v>1</v>
      </c>
      <c r="T45" s="2003">
        <f t="shared" ca="1" si="20"/>
        <v>1</v>
      </c>
      <c r="U45" s="2003">
        <f t="shared" ca="1" si="20"/>
        <v>1</v>
      </c>
      <c r="V45" s="2003">
        <f t="shared" ca="1" si="20"/>
        <v>1</v>
      </c>
      <c r="W45" s="2003">
        <f t="shared" ca="1" si="20"/>
        <v>1</v>
      </c>
      <c r="X45" s="2003">
        <f t="shared" ca="1" si="20"/>
        <v>1</v>
      </c>
      <c r="Y45" s="2003">
        <f t="shared" ca="1" si="20"/>
        <v>1</v>
      </c>
      <c r="Z45" s="2003">
        <f t="shared" ca="1" si="20"/>
        <v>1</v>
      </c>
      <c r="AA45" s="2003">
        <f t="shared" ca="1" si="20"/>
        <v>1</v>
      </c>
      <c r="AB45" s="2003">
        <f t="shared" ca="1" si="20"/>
        <v>1</v>
      </c>
      <c r="AC45" s="2003">
        <f t="shared" ca="1" si="20"/>
        <v>1</v>
      </c>
      <c r="AD45" s="2003">
        <f t="shared" ca="1" si="20"/>
        <v>1</v>
      </c>
      <c r="AE45" s="2003">
        <f t="shared" ca="1" si="20"/>
        <v>1</v>
      </c>
      <c r="AF45" s="2003">
        <f t="shared" ca="1" si="20"/>
        <v>1</v>
      </c>
      <c r="AG45" s="2003">
        <f t="shared" ca="1" si="20"/>
        <v>1</v>
      </c>
      <c r="AH45" s="2003">
        <f t="shared" ca="1" si="20"/>
        <v>1</v>
      </c>
      <c r="AI45" s="2003">
        <f t="shared" ca="1" si="20"/>
        <v>1</v>
      </c>
      <c r="AJ45" s="2003">
        <f t="shared" ca="1" si="20"/>
        <v>1</v>
      </c>
      <c r="AK45" s="2003">
        <f t="shared" ca="1" si="20"/>
        <v>1</v>
      </c>
      <c r="AL45" s="2003">
        <f t="shared" ca="1" si="20"/>
        <v>1</v>
      </c>
      <c r="AM45" s="2003">
        <f t="shared" ca="1" si="20"/>
        <v>1</v>
      </c>
      <c r="AN45" s="2003">
        <f t="shared" ca="1" si="20"/>
        <v>1</v>
      </c>
      <c r="AO45" s="2003">
        <f t="shared" ca="1" si="20"/>
        <v>1</v>
      </c>
      <c r="AP45" s="2003">
        <f t="shared" ca="1" si="20"/>
        <v>1</v>
      </c>
      <c r="AQ45" s="2003">
        <f t="shared" ca="1" si="20"/>
        <v>1</v>
      </c>
      <c r="AR45" s="2003">
        <f t="shared" ca="1" si="20"/>
        <v>1</v>
      </c>
      <c r="AS45" s="2003">
        <f t="shared" ca="1" si="20"/>
        <v>1</v>
      </c>
      <c r="AT45" s="2003">
        <f t="shared" ca="1" si="20"/>
        <v>1</v>
      </c>
      <c r="AU45" s="2003">
        <f t="shared" ca="1" si="20"/>
        <v>1</v>
      </c>
      <c r="AV45" s="2003">
        <f t="shared" ca="1" si="20"/>
        <v>1</v>
      </c>
      <c r="AW45" s="2003">
        <f t="shared" ca="1" si="20"/>
        <v>1</v>
      </c>
      <c r="AX45" s="2003">
        <f t="shared" ca="1" si="20"/>
        <v>1</v>
      </c>
      <c r="AY45" s="2004">
        <f t="shared" ca="1" si="20"/>
        <v>0</v>
      </c>
      <c r="AZ45" s="2005"/>
      <c r="BA45" s="2005"/>
      <c r="BB45" s="2005"/>
    </row>
    <row r="46" spans="2:54" s="16" customFormat="1" ht="14.25" customHeight="1">
      <c r="C46" s="1960"/>
      <c r="D46" s="2006" t="s">
        <v>1399</v>
      </c>
      <c r="E46" s="2007"/>
      <c r="F46" s="2008">
        <f ca="1">SUM(G46:BA46)</f>
        <v>8163.328001809361</v>
      </c>
      <c r="G46" s="2008">
        <f ca="1">MAX(SUMIF(Waterfall!4:4,G37,Waterfall!109:109)-'CF(Y)'!M40*0.5,0)</f>
        <v>3.524976305712201</v>
      </c>
      <c r="H46" s="2008">
        <f ca="1">MAX(SUMIF(Waterfall!4:4,H37,Waterfall!109:109)-'CF(Y)'!N40*0.5,0)</f>
        <v>0</v>
      </c>
      <c r="I46" s="2008">
        <f ca="1">MAX(SUMIF(Waterfall!4:4,I37,Waterfall!109:109)-'CF(Y)'!O40*0.5,0)</f>
        <v>0</v>
      </c>
      <c r="J46" s="2008">
        <f ca="1">MAX(SUMIF(Waterfall!4:4,J37,Waterfall!109:109)-'CF(Y)'!P40*0.5,0)</f>
        <v>0</v>
      </c>
      <c r="K46" s="2008">
        <f ca="1">MAX(SUMIF(Waterfall!4:4,K37,Waterfall!109:109)-'CF(Y)'!Q40*0.5,0)</f>
        <v>0</v>
      </c>
      <c r="L46" s="2008">
        <f ca="1">MAX(SUMIF(Waterfall!4:4,L37,Waterfall!109:109)-'CF(Y)'!R40*0.5,0)</f>
        <v>0</v>
      </c>
      <c r="M46" s="2008">
        <f ca="1">MAX(SUMIF(Waterfall!4:4,M37,Waterfall!109:109)-'CF(Y)'!S40*0.5,0)</f>
        <v>0</v>
      </c>
      <c r="N46" s="2008">
        <f ca="1">MAX(SUMIF(Waterfall!4:4,N37,Waterfall!109:109)-'CF(Y)'!T40*0.5,0)</f>
        <v>1.585478126567498</v>
      </c>
      <c r="O46" s="2008">
        <f ca="1">MAX(SUMIF(Waterfall!4:4,O37,Waterfall!109:109)-'CF(Y)'!U40*0.5,0)</f>
        <v>30.34879874323374</v>
      </c>
      <c r="P46" s="2008">
        <f ca="1">MAX(SUMIF(Waterfall!4:4,P37,Waterfall!109:109)-'CF(Y)'!V40*0.5,0)</f>
        <v>31.691078883427188</v>
      </c>
      <c r="Q46" s="2008">
        <f ca="1">MAX(SUMIF(Waterfall!4:4,Q37,Waterfall!109:109)-'CF(Y)'!W40*0.5,0)</f>
        <v>75.701666940570306</v>
      </c>
      <c r="R46" s="2008">
        <f ca="1">MAX(SUMIF(Waterfall!4:4,R37,Waterfall!109:109)-'CF(Y)'!X40*0.5,0)</f>
        <v>81.295871253783048</v>
      </c>
      <c r="S46" s="2008">
        <f ca="1">MAX(SUMIF(Waterfall!4:4,S37,Waterfall!109:109)-'CF(Y)'!Y40*0.5,0)</f>
        <v>109.17991588362491</v>
      </c>
      <c r="T46" s="2008">
        <f ca="1">MAX(SUMIF(Waterfall!4:4,T37,Waterfall!109:109)-'CF(Y)'!Z40*0.5,0)</f>
        <v>173.4002076250149</v>
      </c>
      <c r="U46" s="2008">
        <f ca="1">MAX(SUMIF(Waterfall!4:4,U37,Waterfall!109:109)-'CF(Y)'!AA40*0.5,0)</f>
        <v>196.50844482471453</v>
      </c>
      <c r="V46" s="2008">
        <f ca="1">MAX(SUMIF(Waterfall!4:4,V37,Waterfall!109:109)-'CF(Y)'!AB40*0.5,0)</f>
        <v>207.15284251572609</v>
      </c>
      <c r="W46" s="2008">
        <f ca="1">MAX(SUMIF(Waterfall!4:4,W37,Waterfall!109:109)-'CF(Y)'!AC40*0.5,0)</f>
        <v>217.08205362971017</v>
      </c>
      <c r="X46" s="2008">
        <f ca="1">MAX(SUMIF(Waterfall!4:4,X37,Waterfall!109:109)-'CF(Y)'!AD40*0.5,0)</f>
        <v>235.65535461086336</v>
      </c>
      <c r="Y46" s="2008">
        <f ca="1">MAX(SUMIF(Waterfall!4:4,Y37,Waterfall!109:109)-'CF(Y)'!AE40*0.5,0)</f>
        <v>216.78245164330912</v>
      </c>
      <c r="Z46" s="2008">
        <f ca="1">MAX(SUMIF(Waterfall!4:4,Z37,Waterfall!109:109)-'CF(Y)'!AF40*0.5,0)</f>
        <v>113.86392878454463</v>
      </c>
      <c r="AA46" s="2008">
        <f ca="1">MAX(SUMIF(Waterfall!4:4,AA37,Waterfall!109:109)-'CF(Y)'!AG40*0.5,0)</f>
        <v>97.975403428847684</v>
      </c>
      <c r="AB46" s="2008">
        <f ca="1">MAX(SUMIF(Waterfall!4:4,AB37,Waterfall!109:109)-'CF(Y)'!AH40*0.5,0)</f>
        <v>89.787580862347966</v>
      </c>
      <c r="AC46" s="2008">
        <f ca="1">MAX(SUMIF(Waterfall!4:4,AC37,Waterfall!109:109)-'CF(Y)'!AI40*0.5,0)</f>
        <v>84.922464029390852</v>
      </c>
      <c r="AD46" s="2008">
        <f ca="1">MAX(SUMIF(Waterfall!4:4,AD37,Waterfall!109:109)-'CF(Y)'!AJ40*0.5,0)</f>
        <v>102.15508025765351</v>
      </c>
      <c r="AE46" s="2008">
        <f ca="1">MAX(SUMIF(Waterfall!4:4,AE37,Waterfall!109:109)-'CF(Y)'!AK40*0.5,0)</f>
        <v>122.61254465735641</v>
      </c>
      <c r="AF46" s="2008">
        <f ca="1">MAX(SUMIF(Waterfall!4:4,AF37,Waterfall!109:109)-'CF(Y)'!AL40*0.5,0)</f>
        <v>143.56453632750632</v>
      </c>
      <c r="AG46" s="2008">
        <f ca="1">MAX(SUMIF(Waterfall!4:4,AG37,Waterfall!109:109)-'CF(Y)'!AM40*0.5,0)</f>
        <v>153.88015800935779</v>
      </c>
      <c r="AH46" s="2008">
        <f ca="1">MAX(SUMIF(Waterfall!4:4,AH37,Waterfall!109:109)-'CF(Y)'!AN40*0.5,0)</f>
        <v>174.48789605051275</v>
      </c>
      <c r="AI46" s="2008">
        <f ca="1">MAX(SUMIF(Waterfall!4:4,AI37,Waterfall!109:109)-'CF(Y)'!AO40*0.5,0)</f>
        <v>237.57201318085373</v>
      </c>
      <c r="AJ46" s="2008">
        <f ca="1">MAX(SUMIF(Waterfall!4:4,AJ37,Waterfall!109:109)-'CF(Y)'!AP40*0.5,0)</f>
        <v>266.04151714105956</v>
      </c>
      <c r="AK46" s="2008">
        <f ca="1">MAX(SUMIF(Waterfall!4:4,AK37,Waterfall!109:109)-'CF(Y)'!AQ40*0.5,0)</f>
        <v>340.30394981478099</v>
      </c>
      <c r="AL46" s="2008">
        <f ca="1">MAX(SUMIF(Waterfall!4:4,AL37,Waterfall!109:109)-'CF(Y)'!AR40*0.5,0)</f>
        <v>371.0851413251491</v>
      </c>
      <c r="AM46" s="2008">
        <f ca="1">MAX(SUMIF(Waterfall!4:4,AM37,Waterfall!109:109)-'CF(Y)'!AS40*0.5,0)</f>
        <v>423.90468438091142</v>
      </c>
      <c r="AN46" s="2008">
        <f ca="1">MAX(SUMIF(Waterfall!4:4,AN37,Waterfall!109:109)-'CF(Y)'!AT40*0.5,0)</f>
        <v>491.35841604953441</v>
      </c>
      <c r="AO46" s="2008">
        <f ca="1">MAX(SUMIF(Waterfall!4:4,AO37,Waterfall!109:109)-'CF(Y)'!AU40*0.5,0)</f>
        <v>552.17237322877213</v>
      </c>
      <c r="AP46" s="2008">
        <f ca="1">MAX(SUMIF(Waterfall!4:4,AP37,Waterfall!109:109)-'CF(Y)'!AV40*0.5,0)</f>
        <v>615.41721292211844</v>
      </c>
      <c r="AQ46" s="2008">
        <f ca="1">MAX(SUMIF(Waterfall!4:4,AQ37,Waterfall!109:109)-'CF(Y)'!AW40*0.5,0)</f>
        <v>672.37155460620841</v>
      </c>
      <c r="AR46" s="2008">
        <f ca="1">MAX(SUMIF(Waterfall!4:4,AR37,Waterfall!109:109)-'CF(Y)'!AX40*0.5,0)</f>
        <v>741.73628648346823</v>
      </c>
      <c r="AS46" s="2008">
        <f ca="1">MAX(SUMIF(Waterfall!4:4,AS37,Waterfall!109:109)-'CF(Y)'!AY40*0.5,0)</f>
        <v>788.20611928272911</v>
      </c>
      <c r="AT46" s="2008">
        <f ca="1">MAX(SUMIF(Waterfall!4:4,AT37,Waterfall!109:109)-'CF(Y)'!AZ40*0.5,0)</f>
        <v>0</v>
      </c>
      <c r="AU46" s="2008">
        <f ca="1">MAX(SUMIF(Waterfall!4:4,AU37,Waterfall!109:109)-'CF(Y)'!BA40*0.5,0)</f>
        <v>0</v>
      </c>
      <c r="AV46" s="2008">
        <f ca="1">MAX(SUMIF(Waterfall!4:4,AV37,Waterfall!109:109)-'CF(Y)'!BB40*0.5,0)</f>
        <v>0</v>
      </c>
      <c r="AW46" s="2008">
        <f ca="1">MAX(SUMIF(Waterfall!4:4,AW37,Waterfall!109:109)-'CF(Y)'!BC40*0.5,0)</f>
        <v>0</v>
      </c>
      <c r="AX46" s="2008">
        <f ca="1">MAX(SUMIF(Waterfall!4:4,AX37,Waterfall!109:109)-'CF(Y)'!BD40*0.5,0)</f>
        <v>0</v>
      </c>
      <c r="AY46" s="2009">
        <f>MAX(SUMIF(Waterfall!4:4,AY37,Waterfall!109:109)-'CF(Y)'!BE40*0.5,0)</f>
        <v>0</v>
      </c>
      <c r="AZ46" s="1942"/>
      <c r="BA46" s="1942"/>
      <c r="BB46" s="1942"/>
    </row>
    <row r="47" spans="2:54" s="16" customFormat="1" ht="14.25" customHeight="1">
      <c r="C47" s="1929"/>
      <c r="D47" s="1930" t="s">
        <v>1400</v>
      </c>
      <c r="E47" s="1979"/>
      <c r="F47" s="1980">
        <f ca="1">SUM(G47:BA47)</f>
        <v>2366.5854103157726</v>
      </c>
      <c r="G47" s="1980">
        <f t="shared" ref="G47:AY47" si="21">MAX(G11-G16,0)</f>
        <v>0</v>
      </c>
      <c r="H47" s="1980">
        <f t="shared" ca="1" si="21"/>
        <v>0</v>
      </c>
      <c r="I47" s="1980">
        <f t="shared" ca="1" si="21"/>
        <v>0</v>
      </c>
      <c r="J47" s="1980">
        <f t="shared" ca="1" si="21"/>
        <v>0</v>
      </c>
      <c r="K47" s="1980">
        <f t="shared" ca="1" si="21"/>
        <v>0</v>
      </c>
      <c r="L47" s="1980">
        <f t="shared" ca="1" si="21"/>
        <v>6.4217524183279506</v>
      </c>
      <c r="M47" s="1980">
        <f t="shared" ca="1" si="21"/>
        <v>7.2163340391034216</v>
      </c>
      <c r="N47" s="1980">
        <f t="shared" ca="1" si="21"/>
        <v>19.456610448851279</v>
      </c>
      <c r="O47" s="1980">
        <f t="shared" ca="1" si="21"/>
        <v>34.165544382626749</v>
      </c>
      <c r="P47" s="1980">
        <f t="shared" ca="1" si="21"/>
        <v>17.332850540193792</v>
      </c>
      <c r="Q47" s="1980">
        <f t="shared" ca="1" si="21"/>
        <v>31.506700302654011</v>
      </c>
      <c r="R47" s="1980">
        <f t="shared" ca="1" si="21"/>
        <v>27.544863386231718</v>
      </c>
      <c r="S47" s="1980">
        <f t="shared" ca="1" si="21"/>
        <v>29.269174727095123</v>
      </c>
      <c r="T47" s="1980">
        <f t="shared" ca="1" si="21"/>
        <v>36.192964238958254</v>
      </c>
      <c r="U47" s="1980">
        <f t="shared" ca="1" si="21"/>
        <v>35.727008992410482</v>
      </c>
      <c r="V47" s="1980">
        <f t="shared" ca="1" si="21"/>
        <v>37.455125574068219</v>
      </c>
      <c r="W47" s="1980">
        <f t="shared" ca="1" si="21"/>
        <v>61.397235400119001</v>
      </c>
      <c r="X47" s="1980">
        <f t="shared" ca="1" si="21"/>
        <v>63.13594811545989</v>
      </c>
      <c r="Y47" s="1980">
        <f t="shared" ca="1" si="21"/>
        <v>78.023823208902243</v>
      </c>
      <c r="Z47" s="1980">
        <f t="shared" ca="1" si="21"/>
        <v>80.723838416247986</v>
      </c>
      <c r="AA47" s="1980">
        <f t="shared" ca="1" si="21"/>
        <v>93.725622142527413</v>
      </c>
      <c r="AB47" s="1980">
        <f t="shared" ca="1" si="21"/>
        <v>96.879955760017452</v>
      </c>
      <c r="AC47" s="1980">
        <f t="shared" ca="1" si="21"/>
        <v>110.15300381406131</v>
      </c>
      <c r="AD47" s="1980">
        <f t="shared" ca="1" si="21"/>
        <v>123.65024290166293</v>
      </c>
      <c r="AE47" s="1980">
        <f t="shared" ca="1" si="21"/>
        <v>119.21911034161904</v>
      </c>
      <c r="AF47" s="1980">
        <f t="shared" ca="1" si="21"/>
        <v>115.44573516520336</v>
      </c>
      <c r="AG47" s="1980">
        <f t="shared" ca="1" si="21"/>
        <v>103.38805496294775</v>
      </c>
      <c r="AH47" s="1980">
        <f t="shared" ca="1" si="21"/>
        <v>67.87191333002562</v>
      </c>
      <c r="AI47" s="1980">
        <f t="shared" ca="1" si="21"/>
        <v>76.927641029118462</v>
      </c>
      <c r="AJ47" s="1980">
        <f t="shared" ca="1" si="21"/>
        <v>69.204799082203508</v>
      </c>
      <c r="AK47" s="1980">
        <f t="shared" ca="1" si="21"/>
        <v>74.768058472809173</v>
      </c>
      <c r="AL47" s="1980">
        <f t="shared" ca="1" si="21"/>
        <v>84.197164485708569</v>
      </c>
      <c r="AM47" s="1980">
        <f t="shared" ca="1" si="21"/>
        <v>81.536827819660957</v>
      </c>
      <c r="AN47" s="1980">
        <f t="shared" ca="1" si="21"/>
        <v>82.177005094106974</v>
      </c>
      <c r="AO47" s="1980">
        <f t="shared" ca="1" si="21"/>
        <v>95.34009146006548</v>
      </c>
      <c r="AP47" s="1980">
        <f t="shared" ca="1" si="21"/>
        <v>95.649343525215514</v>
      </c>
      <c r="AQ47" s="1980">
        <f t="shared" ca="1" si="21"/>
        <v>97.749373963860307</v>
      </c>
      <c r="AR47" s="1980">
        <f t="shared" ca="1" si="21"/>
        <v>106.01159626162521</v>
      </c>
      <c r="AS47" s="1980">
        <f t="shared" ca="1" si="21"/>
        <v>107.12009651208376</v>
      </c>
      <c r="AT47" s="1980">
        <f t="shared" ca="1" si="21"/>
        <v>0</v>
      </c>
      <c r="AU47" s="1980">
        <f t="shared" ca="1" si="21"/>
        <v>0</v>
      </c>
      <c r="AV47" s="1980">
        <f t="shared" ca="1" si="21"/>
        <v>0</v>
      </c>
      <c r="AW47" s="1980">
        <f t="shared" ca="1" si="21"/>
        <v>0</v>
      </c>
      <c r="AX47" s="1980">
        <f t="shared" ca="1" si="21"/>
        <v>0</v>
      </c>
      <c r="AY47" s="1941">
        <f t="shared" ca="1" si="21"/>
        <v>0</v>
      </c>
      <c r="AZ47" s="1942"/>
      <c r="BA47" s="1942"/>
      <c r="BB47" s="1942"/>
    </row>
    <row r="48" spans="2:54" s="16" customFormat="1" ht="14.25" customHeight="1">
      <c r="C48" s="1929"/>
      <c r="D48" s="1930" t="s">
        <v>1401</v>
      </c>
      <c r="E48" s="2010">
        <f>G38</f>
        <v>680</v>
      </c>
      <c r="F48" s="1980">
        <f ca="1">SUM(G48:BA48)</f>
        <v>215.14412821052483</v>
      </c>
      <c r="G48" s="1980"/>
      <c r="H48" s="1980">
        <f ca="1">MIN(H47*10%/1.1,H38*50%-SUM($G48:G48))*(H37&lt;2059)</f>
        <v>0</v>
      </c>
      <c r="I48" s="1980">
        <f ca="1">MIN(I47*10%/1.1,I38*50%-SUM($G48:H48))*(I37&lt;2059)</f>
        <v>0</v>
      </c>
      <c r="J48" s="1980">
        <f ca="1">MIN(J47*10%/1.1,J38*50%-SUM($G48:I48))*(J37&lt;2059)</f>
        <v>0</v>
      </c>
      <c r="K48" s="1980">
        <f ca="1">MIN(K47*10%/1.1,K38*50%-SUM($G48:J48))*(K37&lt;2059)</f>
        <v>0</v>
      </c>
      <c r="L48" s="1980">
        <f ca="1">MIN(L47*10%/1.1,L38*50%-SUM($G48:K48))*(L37&lt;2059)</f>
        <v>0.58379567439345004</v>
      </c>
      <c r="M48" s="1980">
        <f ca="1">MIN(M47*10%/1.1,M38*50%-SUM($G48:L48))*(M37&lt;2059)</f>
        <v>0.65603036719122021</v>
      </c>
      <c r="N48" s="1980">
        <f ca="1">MIN(N47*10%/1.1,N38*50%-SUM($G48:M48))*(N37&lt;2059)</f>
        <v>1.7687827680773889</v>
      </c>
      <c r="O48" s="1980">
        <f ca="1">MIN(O47*10%/1.1,O38*50%-SUM($G48:N48))*(O37&lt;2059)</f>
        <v>3.1059585802387955</v>
      </c>
      <c r="P48" s="1980">
        <f ca="1">MIN(P47*10%/1.1,P38*50%-SUM($G48:O48))*(P37&lt;2059)</f>
        <v>1.575713685472163</v>
      </c>
      <c r="Q48" s="1980">
        <f ca="1">MIN(Q47*10%/1.1,Q38*50%-SUM($G48:P48))*(Q37&lt;2059)</f>
        <v>2.8642454820594554</v>
      </c>
      <c r="R48" s="1980">
        <f ca="1">MIN(R47*10%/1.1,R38*50%-SUM($G48:Q48))*(R37&lt;2059)</f>
        <v>2.5040784896574291</v>
      </c>
      <c r="S48" s="1980">
        <f ca="1">MIN(S47*10%/1.1,S38*50%-SUM($G48:R48))*(S37&lt;2059)</f>
        <v>2.6608340660995564</v>
      </c>
      <c r="T48" s="1980">
        <f ca="1">MIN(T47*10%/1.1,T38*50%-SUM($G48:S48))*(T37&lt;2059)</f>
        <v>3.2902694762689317</v>
      </c>
      <c r="U48" s="1980">
        <f ca="1">MIN(U47*10%/1.1,U38*50%-SUM($G48:T48))*(U37&lt;2059)</f>
        <v>3.2479099084009531</v>
      </c>
      <c r="V48" s="1980">
        <f ca="1">MIN(V47*10%/1.1,V38*50%-SUM($G48:U48))*(V37&lt;2059)</f>
        <v>3.4050114158243834</v>
      </c>
      <c r="W48" s="1980">
        <f ca="1">MIN(W47*10%/1.1,W38*50%-SUM($G48:V48))*(W37&lt;2059)</f>
        <v>5.5815668545562724</v>
      </c>
      <c r="X48" s="1980">
        <f ca="1">MIN(X47*10%/1.1,X38*50%-SUM($G48:W48))*(X37&lt;2059)</f>
        <v>5.7396316468599897</v>
      </c>
      <c r="Y48" s="1980">
        <f ca="1">MIN(Y47*10%/1.1,Y38*50%-SUM($G48:X48))*(Y37&lt;2059)</f>
        <v>7.0930748371729306</v>
      </c>
      <c r="Z48" s="1980">
        <f ca="1">MIN(Z47*10%/1.1,Z38*50%-SUM($G48:Y48))*(Z37&lt;2059)</f>
        <v>7.338530765113453</v>
      </c>
      <c r="AA48" s="1980">
        <f ca="1">MIN(AA47*10%/1.1,AA38*50%-SUM($G48:Z48))*(AA37&lt;2059)</f>
        <v>8.520511103866129</v>
      </c>
      <c r="AB48" s="1980">
        <f ca="1">MIN(AB47*10%/1.1,AB38*50%-SUM($G48:AA48))*(AB37&lt;2059)</f>
        <v>8.8072687054561332</v>
      </c>
      <c r="AC48" s="1980">
        <f ca="1">MIN(AC47*10%/1.1,AC38*50%-SUM($G48:AB48))*(AC37&lt;2059)</f>
        <v>10.013909437641937</v>
      </c>
      <c r="AD48" s="1980">
        <f ca="1">MIN(AD47*10%/1.1,AD38*50%-SUM($G48:AC48))*(AD37&lt;2059)</f>
        <v>11.240931172878449</v>
      </c>
      <c r="AE48" s="1980">
        <f ca="1">MIN(AE47*10%/1.1,AE38*50%-SUM($G48:AD48))*(AE37&lt;2059)</f>
        <v>10.838100940147186</v>
      </c>
      <c r="AF48" s="1980">
        <f ca="1">MIN(AF47*10%/1.1,AF38*50%-SUM($G48:AE48))*(AF37&lt;2059)</f>
        <v>10.495066833200307</v>
      </c>
      <c r="AG48" s="1980">
        <f ca="1">MIN(AG47*10%/1.1,AG38*50%-SUM($G48:AF48))*(AG37&lt;2059)</f>
        <v>9.3989140875407031</v>
      </c>
      <c r="AH48" s="1980">
        <f ca="1">MIN(AH47*10%/1.1,AH38*50%-SUM($G48:AG48))*(AH37&lt;2059)</f>
        <v>6.170173939093238</v>
      </c>
      <c r="AI48" s="1980">
        <f ca="1">MIN(AI47*10%/1.1,AI38*50%-SUM($G48:AH48))*(AI37&lt;2059)</f>
        <v>6.9934219117380421</v>
      </c>
      <c r="AJ48" s="1980">
        <f ca="1">MIN(AJ47*10%/1.1,AJ38*50%-SUM($G48:AI48))*(AJ37&lt;2059)</f>
        <v>6.2913453711094096</v>
      </c>
      <c r="AK48" s="1980">
        <f ca="1">MIN(AK47*10%/1.1,AK38*50%-SUM($G48:AJ48))*(AK37&lt;2059)</f>
        <v>6.7970962248008338</v>
      </c>
      <c r="AL48" s="1980">
        <f ca="1">MIN(AL47*10%/1.1,AL38*50%-SUM($G48:AK48))*(AL37&lt;2059)</f>
        <v>7.6542876805189612</v>
      </c>
      <c r="AM48" s="1980">
        <f ca="1">MIN(AM47*10%/1.1,AM38*50%-SUM($G48:AL48))*(AM37&lt;2059)</f>
        <v>7.41243889269645</v>
      </c>
      <c r="AN48" s="1980">
        <f ca="1">MIN(AN47*10%/1.1,AN38*50%-SUM($G48:AM48))*(AN37&lt;2059)</f>
        <v>7.4706368267369969</v>
      </c>
      <c r="AO48" s="1980">
        <f ca="1">MIN(AO47*10%/1.1,AO38*50%-SUM($G48:AN48))*(AO37&lt;2059)</f>
        <v>8.6672810418241344</v>
      </c>
      <c r="AP48" s="1980">
        <f ca="1">MIN(AP47*10%/1.1,AP38*50%-SUM($G48:AO48))*(AP37&lt;2059)</f>
        <v>8.6953948659286837</v>
      </c>
      <c r="AQ48" s="1980">
        <f ca="1">MIN(AQ47*10%/1.1,AQ38*50%-SUM($G48:AP48))*(AQ37&lt;2059)</f>
        <v>8.8863067239872997</v>
      </c>
      <c r="AR48" s="1980">
        <f ca="1">MIN(AR47*10%/1.1,AR38*50%-SUM($G48:AQ48))*(AR37&lt;2059)</f>
        <v>9.6374178419659273</v>
      </c>
      <c r="AS48" s="1980">
        <f ca="1">MIN(AS47*10%/1.1,AS38*50%-SUM($G48:AR48))*(AS37&lt;2059)</f>
        <v>9.7381905920076139</v>
      </c>
      <c r="AT48" s="1980">
        <f ca="1">MIN(AT47*10%/1.1,AT38*50%-SUM($G48:AS48))*(AT37&lt;2059)</f>
        <v>0</v>
      </c>
      <c r="AU48" s="1980">
        <f ca="1">MIN(AU47*10%/1.1,AU38*50%-SUM($G48:AT48))*(AU37&lt;2059)</f>
        <v>0</v>
      </c>
      <c r="AV48" s="1980">
        <f ca="1">MIN(AV47*10%/1.1,AV38*50%-SUM($G48:AU48))*(AV37&lt;2059)</f>
        <v>0</v>
      </c>
      <c r="AW48" s="1980">
        <f ca="1">MIN(AW47*10%/1.1,AW38*50%-SUM($G48:AV48))*(AW37&lt;2059)</f>
        <v>0</v>
      </c>
      <c r="AX48" s="1980">
        <f ca="1">MIN(AX47*10%/1.1,AX38*50%-SUM($G48:AW48))*(AX37&lt;2059)</f>
        <v>0</v>
      </c>
      <c r="AY48" s="1941">
        <f ca="1">MIN(AY47*10%/1.1,AY38*50%-SUM($G48:AX48))*(AY37&lt;2059)</f>
        <v>0</v>
      </c>
      <c r="AZ48" s="1942"/>
      <c r="BA48" s="1942"/>
      <c r="BB48" s="1942"/>
    </row>
    <row r="49" spans="1:54" s="16" customFormat="1" ht="14.25" customHeight="1">
      <c r="C49" s="1929"/>
      <c r="D49" s="2011" t="s">
        <v>1402</v>
      </c>
      <c r="E49" s="1914"/>
      <c r="F49" s="1945">
        <f ca="1">SUM(G49:BA49)</f>
        <v>2151.4412821052479</v>
      </c>
      <c r="G49" s="1945">
        <f t="shared" ref="G49:AY49" si="22">G47-G48</f>
        <v>0</v>
      </c>
      <c r="H49" s="1945">
        <f t="shared" ca="1" si="22"/>
        <v>0</v>
      </c>
      <c r="I49" s="1945">
        <f t="shared" ca="1" si="22"/>
        <v>0</v>
      </c>
      <c r="J49" s="1945">
        <f t="shared" ca="1" si="22"/>
        <v>0</v>
      </c>
      <c r="K49" s="1945">
        <f t="shared" ca="1" si="22"/>
        <v>0</v>
      </c>
      <c r="L49" s="1945">
        <f t="shared" ca="1" si="22"/>
        <v>5.8379567439345008</v>
      </c>
      <c r="M49" s="1945">
        <f t="shared" ca="1" si="22"/>
        <v>6.5603036719122017</v>
      </c>
      <c r="N49" s="1945">
        <f t="shared" ca="1" si="22"/>
        <v>17.687827680773889</v>
      </c>
      <c r="O49" s="1945">
        <f t="shared" ca="1" si="22"/>
        <v>31.059585802387954</v>
      </c>
      <c r="P49" s="1945">
        <f t="shared" ca="1" si="22"/>
        <v>15.75713685472163</v>
      </c>
      <c r="Q49" s="1945">
        <f t="shared" ca="1" si="22"/>
        <v>28.642454820594555</v>
      </c>
      <c r="R49" s="1945">
        <f t="shared" ca="1" si="22"/>
        <v>25.040784896574287</v>
      </c>
      <c r="S49" s="1945">
        <f t="shared" ca="1" si="22"/>
        <v>26.608340660995566</v>
      </c>
      <c r="T49" s="1945">
        <f t="shared" ca="1" si="22"/>
        <v>32.902694762689322</v>
      </c>
      <c r="U49" s="1945">
        <f t="shared" ca="1" si="22"/>
        <v>32.479099084009526</v>
      </c>
      <c r="V49" s="1945">
        <f t="shared" ca="1" si="22"/>
        <v>34.050114158243836</v>
      </c>
      <c r="W49" s="1945">
        <f t="shared" ca="1" si="22"/>
        <v>55.81566854556273</v>
      </c>
      <c r="X49" s="1945">
        <f t="shared" ca="1" si="22"/>
        <v>57.396316468599899</v>
      </c>
      <c r="Y49" s="1945">
        <f t="shared" ca="1" si="22"/>
        <v>70.930748371729308</v>
      </c>
      <c r="Z49" s="1945">
        <f t="shared" ca="1" si="22"/>
        <v>73.385307651134539</v>
      </c>
      <c r="AA49" s="1945">
        <f t="shared" ca="1" si="22"/>
        <v>85.205111038661286</v>
      </c>
      <c r="AB49" s="1945">
        <f t="shared" ca="1" si="22"/>
        <v>88.072687054561314</v>
      </c>
      <c r="AC49" s="1945">
        <f t="shared" ca="1" si="22"/>
        <v>100.13909437641937</v>
      </c>
      <c r="AD49" s="1945">
        <f t="shared" ca="1" si="22"/>
        <v>112.40931172878449</v>
      </c>
      <c r="AE49" s="1945">
        <f t="shared" ca="1" si="22"/>
        <v>108.38100940147186</v>
      </c>
      <c r="AF49" s="1945">
        <f t="shared" ca="1" si="22"/>
        <v>104.95066833200305</v>
      </c>
      <c r="AG49" s="1945">
        <f t="shared" ca="1" si="22"/>
        <v>93.989140875407045</v>
      </c>
      <c r="AH49" s="1945">
        <f t="shared" ca="1" si="22"/>
        <v>61.701739390932381</v>
      </c>
      <c r="AI49" s="1945">
        <f t="shared" ca="1" si="22"/>
        <v>69.934219117380422</v>
      </c>
      <c r="AJ49" s="1945">
        <f t="shared" ca="1" si="22"/>
        <v>62.9134537110941</v>
      </c>
      <c r="AK49" s="1945">
        <f t="shared" ca="1" si="22"/>
        <v>67.970962248008334</v>
      </c>
      <c r="AL49" s="1945">
        <f t="shared" ca="1" si="22"/>
        <v>76.542876805189607</v>
      </c>
      <c r="AM49" s="1945">
        <f t="shared" ca="1" si="22"/>
        <v>74.124388926964514</v>
      </c>
      <c r="AN49" s="1945">
        <f t="shared" ca="1" si="22"/>
        <v>74.706368267369982</v>
      </c>
      <c r="AO49" s="1945">
        <f t="shared" ca="1" si="22"/>
        <v>86.67281041824134</v>
      </c>
      <c r="AP49" s="1945">
        <f t="shared" ca="1" si="22"/>
        <v>86.953948659286823</v>
      </c>
      <c r="AQ49" s="1945">
        <f t="shared" ca="1" si="22"/>
        <v>88.863067239873004</v>
      </c>
      <c r="AR49" s="1945">
        <f t="shared" ca="1" si="22"/>
        <v>96.374178419659287</v>
      </c>
      <c r="AS49" s="1945">
        <f t="shared" ca="1" si="22"/>
        <v>97.38190592007615</v>
      </c>
      <c r="AT49" s="1945">
        <f t="shared" ca="1" si="22"/>
        <v>0</v>
      </c>
      <c r="AU49" s="1945">
        <f t="shared" ca="1" si="22"/>
        <v>0</v>
      </c>
      <c r="AV49" s="1945">
        <f t="shared" ca="1" si="22"/>
        <v>0</v>
      </c>
      <c r="AW49" s="1945">
        <f t="shared" ca="1" si="22"/>
        <v>0</v>
      </c>
      <c r="AX49" s="1945">
        <f t="shared" ca="1" si="22"/>
        <v>0</v>
      </c>
      <c r="AY49" s="1947">
        <f t="shared" ca="1" si="22"/>
        <v>0</v>
      </c>
      <c r="AZ49" s="1942"/>
      <c r="BA49" s="1942"/>
      <c r="BB49" s="1942"/>
    </row>
    <row r="50" spans="1:54" s="15" customFormat="1" ht="14.25" customHeight="1">
      <c r="C50" s="2012" t="s">
        <v>3719</v>
      </c>
      <c r="D50" s="2013"/>
      <c r="E50" s="2014"/>
      <c r="F50" s="2015">
        <f ca="1">SUM(G50:BA50)</f>
        <v>2096.7590232578814</v>
      </c>
      <c r="G50" s="2015">
        <f t="shared" ref="G50:AY50" ca="1" si="23">MIN(G46,G49)*G45</f>
        <v>0</v>
      </c>
      <c r="H50" s="2015">
        <f t="shared" ca="1" si="23"/>
        <v>0</v>
      </c>
      <c r="I50" s="2015">
        <f t="shared" ca="1" si="23"/>
        <v>0</v>
      </c>
      <c r="J50" s="2015">
        <f t="shared" ca="1" si="23"/>
        <v>0</v>
      </c>
      <c r="K50" s="2015">
        <f t="shared" ca="1" si="23"/>
        <v>0</v>
      </c>
      <c r="L50" s="2015">
        <f t="shared" ca="1" si="23"/>
        <v>0</v>
      </c>
      <c r="M50" s="2015">
        <f t="shared" ca="1" si="23"/>
        <v>0</v>
      </c>
      <c r="N50" s="2015">
        <f t="shared" ca="1" si="23"/>
        <v>1.585478126567498</v>
      </c>
      <c r="O50" s="2015">
        <f t="shared" ca="1" si="23"/>
        <v>30.34879874323374</v>
      </c>
      <c r="P50" s="2015">
        <f t="shared" ca="1" si="23"/>
        <v>15.75713685472163</v>
      </c>
      <c r="Q50" s="2015">
        <f t="shared" ca="1" si="23"/>
        <v>28.642454820594555</v>
      </c>
      <c r="R50" s="2015">
        <f t="shared" ca="1" si="23"/>
        <v>25.040784896574287</v>
      </c>
      <c r="S50" s="2015">
        <f t="shared" ca="1" si="23"/>
        <v>26.608340660995566</v>
      </c>
      <c r="T50" s="2015">
        <f t="shared" ca="1" si="23"/>
        <v>32.902694762689322</v>
      </c>
      <c r="U50" s="2015">
        <f t="shared" ca="1" si="23"/>
        <v>32.479099084009526</v>
      </c>
      <c r="V50" s="2015">
        <f t="shared" ca="1" si="23"/>
        <v>34.050114158243836</v>
      </c>
      <c r="W50" s="2015">
        <f t="shared" ca="1" si="23"/>
        <v>55.81566854556273</v>
      </c>
      <c r="X50" s="2015">
        <f t="shared" ca="1" si="23"/>
        <v>57.396316468599899</v>
      </c>
      <c r="Y50" s="2015">
        <f t="shared" ca="1" si="23"/>
        <v>70.930748371729308</v>
      </c>
      <c r="Z50" s="2015">
        <f t="shared" ca="1" si="23"/>
        <v>73.385307651134539</v>
      </c>
      <c r="AA50" s="2015">
        <f t="shared" ca="1" si="23"/>
        <v>85.205111038661286</v>
      </c>
      <c r="AB50" s="2015">
        <f t="shared" ca="1" si="23"/>
        <v>88.072687054561314</v>
      </c>
      <c r="AC50" s="2015">
        <f t="shared" ca="1" si="23"/>
        <v>84.922464029390852</v>
      </c>
      <c r="AD50" s="2015">
        <f t="shared" ca="1" si="23"/>
        <v>102.15508025765351</v>
      </c>
      <c r="AE50" s="2015">
        <f t="shared" ca="1" si="23"/>
        <v>108.38100940147186</v>
      </c>
      <c r="AF50" s="2015">
        <f t="shared" ca="1" si="23"/>
        <v>104.95066833200305</v>
      </c>
      <c r="AG50" s="2015">
        <f t="shared" ca="1" si="23"/>
        <v>93.989140875407045</v>
      </c>
      <c r="AH50" s="2015">
        <f t="shared" ca="1" si="23"/>
        <v>61.701739390932381</v>
      </c>
      <c r="AI50" s="2015">
        <f t="shared" ca="1" si="23"/>
        <v>69.934219117380422</v>
      </c>
      <c r="AJ50" s="2015">
        <f t="shared" ca="1" si="23"/>
        <v>62.9134537110941</v>
      </c>
      <c r="AK50" s="2015">
        <f t="shared" ca="1" si="23"/>
        <v>67.970962248008334</v>
      </c>
      <c r="AL50" s="2015">
        <f t="shared" ca="1" si="23"/>
        <v>76.542876805189607</v>
      </c>
      <c r="AM50" s="2015">
        <f t="shared" ca="1" si="23"/>
        <v>74.124388926964514</v>
      </c>
      <c r="AN50" s="2015">
        <f t="shared" ca="1" si="23"/>
        <v>74.706368267369982</v>
      </c>
      <c r="AO50" s="2015">
        <f t="shared" ca="1" si="23"/>
        <v>86.67281041824134</v>
      </c>
      <c r="AP50" s="2015">
        <f t="shared" ca="1" si="23"/>
        <v>86.953948659286823</v>
      </c>
      <c r="AQ50" s="2015">
        <f t="shared" ca="1" si="23"/>
        <v>88.863067239873004</v>
      </c>
      <c r="AR50" s="2015">
        <f t="shared" ca="1" si="23"/>
        <v>96.374178419659287</v>
      </c>
      <c r="AS50" s="2015">
        <f t="shared" ca="1" si="23"/>
        <v>97.38190592007615</v>
      </c>
      <c r="AT50" s="2015">
        <f t="shared" ca="1" si="23"/>
        <v>0</v>
      </c>
      <c r="AU50" s="2015">
        <f t="shared" ca="1" si="23"/>
        <v>0</v>
      </c>
      <c r="AV50" s="2015">
        <f t="shared" ca="1" si="23"/>
        <v>0</v>
      </c>
      <c r="AW50" s="2015">
        <f t="shared" ca="1" si="23"/>
        <v>0</v>
      </c>
      <c r="AX50" s="2015">
        <f t="shared" ca="1" si="23"/>
        <v>0</v>
      </c>
      <c r="AY50" s="2016">
        <f t="shared" ca="1" si="23"/>
        <v>0</v>
      </c>
      <c r="AZ50" s="2017"/>
      <c r="BA50" s="2017"/>
      <c r="BB50" s="2017"/>
    </row>
    <row r="51" spans="1:54" s="16" customFormat="1" ht="14.25" customHeight="1">
      <c r="D51" s="1930"/>
      <c r="E51" s="1936"/>
      <c r="F51" s="1956"/>
      <c r="G51" s="1956">
        <f t="shared" ref="G51:M51" ca="1" si="24">SUM(G64,G74:G75,G81:G82)-G50</f>
        <v>0</v>
      </c>
      <c r="H51" s="1956">
        <f t="shared" ca="1" si="24"/>
        <v>0</v>
      </c>
      <c r="I51" s="1956">
        <f t="shared" ca="1" si="24"/>
        <v>0</v>
      </c>
      <c r="J51" s="1956">
        <f t="shared" ca="1" si="24"/>
        <v>0</v>
      </c>
      <c r="K51" s="1956">
        <f t="shared" ca="1" si="24"/>
        <v>0</v>
      </c>
      <c r="L51" s="1956">
        <f t="shared" ca="1" si="24"/>
        <v>0</v>
      </c>
      <c r="M51" s="1956">
        <f t="shared" ca="1" si="24"/>
        <v>0</v>
      </c>
      <c r="N51" s="1956">
        <f ca="1">SUM(N64,N74:N75,N81:N82)-N50</f>
        <v>0</v>
      </c>
      <c r="O51" s="1956">
        <f t="shared" ref="O51:AY51" ca="1" si="25">SUM(O64,O74:O75,O81:O82)-O50</f>
        <v>0</v>
      </c>
      <c r="P51" s="1956">
        <f t="shared" ca="1" si="25"/>
        <v>0</v>
      </c>
      <c r="Q51" s="1956">
        <f t="shared" ca="1" si="25"/>
        <v>0</v>
      </c>
      <c r="R51" s="1956">
        <f t="shared" ca="1" si="25"/>
        <v>0</v>
      </c>
      <c r="S51" s="1956">
        <f t="shared" ca="1" si="25"/>
        <v>0</v>
      </c>
      <c r="T51" s="1956">
        <f t="shared" ca="1" si="25"/>
        <v>0</v>
      </c>
      <c r="U51" s="1956">
        <f t="shared" ca="1" si="25"/>
        <v>0</v>
      </c>
      <c r="V51" s="1956">
        <f t="shared" ca="1" si="25"/>
        <v>0</v>
      </c>
      <c r="W51" s="1956">
        <f t="shared" ca="1" si="25"/>
        <v>0</v>
      </c>
      <c r="X51" s="1956">
        <f t="shared" ca="1" si="25"/>
        <v>0</v>
      </c>
      <c r="Y51" s="1956">
        <f t="shared" ca="1" si="25"/>
        <v>0</v>
      </c>
      <c r="Z51" s="1956">
        <f t="shared" ca="1" si="25"/>
        <v>0</v>
      </c>
      <c r="AA51" s="1956">
        <f t="shared" ca="1" si="25"/>
        <v>0</v>
      </c>
      <c r="AB51" s="1956">
        <f t="shared" ca="1" si="25"/>
        <v>0</v>
      </c>
      <c r="AC51" s="1956">
        <f t="shared" ca="1" si="25"/>
        <v>0</v>
      </c>
      <c r="AD51" s="1956">
        <f t="shared" ca="1" si="25"/>
        <v>0</v>
      </c>
      <c r="AE51" s="1956">
        <f t="shared" ca="1" si="25"/>
        <v>0</v>
      </c>
      <c r="AF51" s="1956">
        <f t="shared" ca="1" si="25"/>
        <v>0</v>
      </c>
      <c r="AG51" s="1956">
        <f t="shared" ca="1" si="25"/>
        <v>0</v>
      </c>
      <c r="AH51" s="1956">
        <f t="shared" ca="1" si="25"/>
        <v>0</v>
      </c>
      <c r="AI51" s="1956">
        <f t="shared" ca="1" si="25"/>
        <v>0</v>
      </c>
      <c r="AJ51" s="1956">
        <f t="shared" ca="1" si="25"/>
        <v>0</v>
      </c>
      <c r="AK51" s="1956">
        <f t="shared" ca="1" si="25"/>
        <v>0</v>
      </c>
      <c r="AL51" s="1956">
        <f t="shared" ca="1" si="25"/>
        <v>0</v>
      </c>
      <c r="AM51" s="1956">
        <f t="shared" ca="1" si="25"/>
        <v>0</v>
      </c>
      <c r="AN51" s="1956">
        <f t="shared" ca="1" si="25"/>
        <v>0</v>
      </c>
      <c r="AO51" s="1956">
        <f t="shared" ca="1" si="25"/>
        <v>0</v>
      </c>
      <c r="AP51" s="1956">
        <f t="shared" ca="1" si="25"/>
        <v>0</v>
      </c>
      <c r="AQ51" s="1956">
        <f t="shared" ca="1" si="25"/>
        <v>0</v>
      </c>
      <c r="AR51" s="1956">
        <f t="shared" ca="1" si="25"/>
        <v>0</v>
      </c>
      <c r="AS51" s="1956">
        <f t="shared" ca="1" si="25"/>
        <v>0</v>
      </c>
      <c r="AT51" s="1956">
        <f t="shared" ca="1" si="25"/>
        <v>0</v>
      </c>
      <c r="AU51" s="1956">
        <f t="shared" ca="1" si="25"/>
        <v>0</v>
      </c>
      <c r="AV51" s="1956">
        <f t="shared" ca="1" si="25"/>
        <v>0</v>
      </c>
      <c r="AW51" s="1956">
        <f t="shared" ca="1" si="25"/>
        <v>0</v>
      </c>
      <c r="AX51" s="1956">
        <f t="shared" ca="1" si="25"/>
        <v>0</v>
      </c>
      <c r="AY51" s="1956">
        <f t="shared" ca="1" si="25"/>
        <v>0</v>
      </c>
      <c r="AZ51" s="1942"/>
      <c r="BA51" s="1942"/>
      <c r="BB51" s="1942"/>
    </row>
    <row r="52" spans="1:54" s="16" customFormat="1" ht="14.25" customHeight="1">
      <c r="A52" s="15"/>
      <c r="B52" s="15" t="s">
        <v>3720</v>
      </c>
    </row>
    <row r="53" spans="1:54" ht="14.25" customHeight="1">
      <c r="A53" s="2018"/>
      <c r="B53" s="2019"/>
    </row>
    <row r="54" spans="1:54" s="16" customFormat="1" ht="14.25" customHeight="1">
      <c r="A54" s="15"/>
      <c r="B54" s="15"/>
      <c r="C54" s="16" t="s">
        <v>153</v>
      </c>
      <c r="F54" s="2020">
        <v>0.08</v>
      </c>
      <c r="G54" s="16" t="s">
        <v>3721</v>
      </c>
    </row>
    <row r="55" spans="1:54" s="16" customFormat="1" ht="14.25" customHeight="1">
      <c r="C55" s="1900"/>
      <c r="D55" s="1901" t="s">
        <v>780</v>
      </c>
      <c r="E55" s="1902"/>
      <c r="F55" s="1903" t="s">
        <v>1386</v>
      </c>
      <c r="G55" s="1903">
        <f>G$10</f>
        <v>2020</v>
      </c>
      <c r="H55" s="1903">
        <f t="shared" ref="H55:AY55" si="26">G55+1</f>
        <v>2021</v>
      </c>
      <c r="I55" s="1903">
        <f t="shared" si="26"/>
        <v>2022</v>
      </c>
      <c r="J55" s="1903">
        <f t="shared" si="26"/>
        <v>2023</v>
      </c>
      <c r="K55" s="1903">
        <f t="shared" si="26"/>
        <v>2024</v>
      </c>
      <c r="L55" s="1903">
        <f t="shared" si="26"/>
        <v>2025</v>
      </c>
      <c r="M55" s="1903">
        <f t="shared" si="26"/>
        <v>2026</v>
      </c>
      <c r="N55" s="1903">
        <f t="shared" si="26"/>
        <v>2027</v>
      </c>
      <c r="O55" s="1903">
        <f t="shared" si="26"/>
        <v>2028</v>
      </c>
      <c r="P55" s="1903">
        <f t="shared" si="26"/>
        <v>2029</v>
      </c>
      <c r="Q55" s="1903">
        <f t="shared" si="26"/>
        <v>2030</v>
      </c>
      <c r="R55" s="1903">
        <f t="shared" si="26"/>
        <v>2031</v>
      </c>
      <c r="S55" s="1903">
        <f t="shared" si="26"/>
        <v>2032</v>
      </c>
      <c r="T55" s="1903">
        <f t="shared" si="26"/>
        <v>2033</v>
      </c>
      <c r="U55" s="1903">
        <f t="shared" si="26"/>
        <v>2034</v>
      </c>
      <c r="V55" s="1903">
        <f t="shared" si="26"/>
        <v>2035</v>
      </c>
      <c r="W55" s="1903">
        <f t="shared" si="26"/>
        <v>2036</v>
      </c>
      <c r="X55" s="1903">
        <f t="shared" si="26"/>
        <v>2037</v>
      </c>
      <c r="Y55" s="1903">
        <f t="shared" si="26"/>
        <v>2038</v>
      </c>
      <c r="Z55" s="1903">
        <f t="shared" si="26"/>
        <v>2039</v>
      </c>
      <c r="AA55" s="1903">
        <f t="shared" si="26"/>
        <v>2040</v>
      </c>
      <c r="AB55" s="1903">
        <f t="shared" si="26"/>
        <v>2041</v>
      </c>
      <c r="AC55" s="1903">
        <f t="shared" si="26"/>
        <v>2042</v>
      </c>
      <c r="AD55" s="1903">
        <f t="shared" si="26"/>
        <v>2043</v>
      </c>
      <c r="AE55" s="1903">
        <f t="shared" si="26"/>
        <v>2044</v>
      </c>
      <c r="AF55" s="1903">
        <f t="shared" si="26"/>
        <v>2045</v>
      </c>
      <c r="AG55" s="1903">
        <f t="shared" si="26"/>
        <v>2046</v>
      </c>
      <c r="AH55" s="1903">
        <f t="shared" si="26"/>
        <v>2047</v>
      </c>
      <c r="AI55" s="1903">
        <f t="shared" si="26"/>
        <v>2048</v>
      </c>
      <c r="AJ55" s="1903">
        <f t="shared" si="26"/>
        <v>2049</v>
      </c>
      <c r="AK55" s="1903">
        <f t="shared" si="26"/>
        <v>2050</v>
      </c>
      <c r="AL55" s="1903">
        <f t="shared" si="26"/>
        <v>2051</v>
      </c>
      <c r="AM55" s="1903">
        <f t="shared" si="26"/>
        <v>2052</v>
      </c>
      <c r="AN55" s="1903">
        <f t="shared" si="26"/>
        <v>2053</v>
      </c>
      <c r="AO55" s="1903">
        <f t="shared" si="26"/>
        <v>2054</v>
      </c>
      <c r="AP55" s="1903">
        <f t="shared" si="26"/>
        <v>2055</v>
      </c>
      <c r="AQ55" s="1903">
        <f t="shared" si="26"/>
        <v>2056</v>
      </c>
      <c r="AR55" s="1903">
        <f t="shared" si="26"/>
        <v>2057</v>
      </c>
      <c r="AS55" s="1903">
        <f t="shared" si="26"/>
        <v>2058</v>
      </c>
      <c r="AT55" s="1903">
        <f t="shared" si="26"/>
        <v>2059</v>
      </c>
      <c r="AU55" s="1903">
        <f t="shared" si="26"/>
        <v>2060</v>
      </c>
      <c r="AV55" s="1903">
        <f t="shared" si="26"/>
        <v>2061</v>
      </c>
      <c r="AW55" s="1903">
        <f t="shared" si="26"/>
        <v>2062</v>
      </c>
      <c r="AX55" s="1903">
        <f t="shared" si="26"/>
        <v>2063</v>
      </c>
      <c r="AY55" s="1904">
        <f t="shared" si="26"/>
        <v>2064</v>
      </c>
      <c r="AZ55" s="1905"/>
      <c r="BA55" s="1905"/>
      <c r="BB55" s="1905"/>
    </row>
    <row r="56" spans="1:54" s="16" customFormat="1" ht="14.25" customHeight="1">
      <c r="A56" s="15"/>
      <c r="B56" s="15"/>
      <c r="C56" s="1906" t="s">
        <v>3722</v>
      </c>
      <c r="D56" s="2021"/>
      <c r="E56" s="2022"/>
      <c r="F56" s="1980"/>
      <c r="G56" s="1980"/>
      <c r="H56" s="1980"/>
      <c r="I56" s="1980"/>
      <c r="J56" s="1980"/>
      <c r="K56" s="1980"/>
      <c r="L56" s="1980"/>
      <c r="M56" s="1980"/>
      <c r="N56" s="1980"/>
      <c r="O56" s="1980"/>
      <c r="P56" s="1980"/>
      <c r="Q56" s="1980"/>
      <c r="R56" s="1980"/>
      <c r="S56" s="1980"/>
      <c r="T56" s="1980"/>
      <c r="U56" s="1980"/>
      <c r="V56" s="1980"/>
      <c r="W56" s="1980"/>
      <c r="X56" s="1980"/>
      <c r="Y56" s="1980"/>
      <c r="Z56" s="1980"/>
      <c r="AA56" s="1980"/>
      <c r="AB56" s="1980"/>
      <c r="AC56" s="1980"/>
      <c r="AD56" s="1980"/>
      <c r="AE56" s="1980"/>
      <c r="AF56" s="1980"/>
      <c r="AG56" s="1980"/>
      <c r="AH56" s="1980"/>
      <c r="AI56" s="1980"/>
      <c r="AJ56" s="1980"/>
      <c r="AK56" s="1980"/>
      <c r="AL56" s="1980"/>
      <c r="AM56" s="1980"/>
      <c r="AN56" s="1980"/>
      <c r="AO56" s="1980"/>
      <c r="AP56" s="1980"/>
      <c r="AQ56" s="1980"/>
      <c r="AR56" s="1980"/>
      <c r="AS56" s="1980"/>
      <c r="AT56" s="1980"/>
      <c r="AU56" s="1980"/>
      <c r="AV56" s="1980"/>
      <c r="AW56" s="1980"/>
      <c r="AX56" s="1980"/>
      <c r="AY56" s="1941"/>
      <c r="AZ56" s="1942"/>
      <c r="BA56" s="1942"/>
      <c r="BB56" s="1942"/>
    </row>
    <row r="57" spans="1:54" s="16" customFormat="1" ht="14.25" customHeight="1">
      <c r="A57" s="15"/>
      <c r="B57" s="15"/>
      <c r="C57" s="1906"/>
      <c r="D57" s="1913" t="s">
        <v>3723</v>
      </c>
      <c r="E57" s="2023">
        <v>106</v>
      </c>
      <c r="F57" s="1945">
        <f>SUM(G57:BA57)</f>
        <v>4240</v>
      </c>
      <c r="G57" s="1945">
        <v>106</v>
      </c>
      <c r="H57" s="1945">
        <f t="shared" ref="H57:AT57" si="27">G57</f>
        <v>106</v>
      </c>
      <c r="I57" s="2024">
        <f t="shared" si="27"/>
        <v>106</v>
      </c>
      <c r="J57" s="2024">
        <f t="shared" si="27"/>
        <v>106</v>
      </c>
      <c r="K57" s="2024">
        <f t="shared" si="27"/>
        <v>106</v>
      </c>
      <c r="L57" s="2024">
        <f t="shared" si="27"/>
        <v>106</v>
      </c>
      <c r="M57" s="2024">
        <f t="shared" si="27"/>
        <v>106</v>
      </c>
      <c r="N57" s="2024">
        <f t="shared" si="27"/>
        <v>106</v>
      </c>
      <c r="O57" s="2024">
        <f t="shared" si="27"/>
        <v>106</v>
      </c>
      <c r="P57" s="2024">
        <f t="shared" si="27"/>
        <v>106</v>
      </c>
      <c r="Q57" s="2024">
        <f t="shared" si="27"/>
        <v>106</v>
      </c>
      <c r="R57" s="2024">
        <f t="shared" si="27"/>
        <v>106</v>
      </c>
      <c r="S57" s="2024">
        <f t="shared" si="27"/>
        <v>106</v>
      </c>
      <c r="T57" s="2024">
        <f t="shared" si="27"/>
        <v>106</v>
      </c>
      <c r="U57" s="2024">
        <f t="shared" si="27"/>
        <v>106</v>
      </c>
      <c r="V57" s="2024">
        <f t="shared" si="27"/>
        <v>106</v>
      </c>
      <c r="W57" s="2024">
        <f t="shared" si="27"/>
        <v>106</v>
      </c>
      <c r="X57" s="2024">
        <f t="shared" si="27"/>
        <v>106</v>
      </c>
      <c r="Y57" s="2024">
        <f t="shared" si="27"/>
        <v>106</v>
      </c>
      <c r="Z57" s="2024">
        <f t="shared" si="27"/>
        <v>106</v>
      </c>
      <c r="AA57" s="2024">
        <f t="shared" si="27"/>
        <v>106</v>
      </c>
      <c r="AB57" s="2024">
        <f t="shared" si="27"/>
        <v>106</v>
      </c>
      <c r="AC57" s="2024">
        <f t="shared" si="27"/>
        <v>106</v>
      </c>
      <c r="AD57" s="2024">
        <f t="shared" si="27"/>
        <v>106</v>
      </c>
      <c r="AE57" s="2024">
        <f t="shared" si="27"/>
        <v>106</v>
      </c>
      <c r="AF57" s="2024">
        <f t="shared" si="27"/>
        <v>106</v>
      </c>
      <c r="AG57" s="2024">
        <f t="shared" si="27"/>
        <v>106</v>
      </c>
      <c r="AH57" s="2024">
        <f t="shared" si="27"/>
        <v>106</v>
      </c>
      <c r="AI57" s="2024">
        <f t="shared" si="27"/>
        <v>106</v>
      </c>
      <c r="AJ57" s="2024">
        <f t="shared" si="27"/>
        <v>106</v>
      </c>
      <c r="AK57" s="2024">
        <f t="shared" si="27"/>
        <v>106</v>
      </c>
      <c r="AL57" s="2024">
        <f t="shared" si="27"/>
        <v>106</v>
      </c>
      <c r="AM57" s="2024">
        <f t="shared" si="27"/>
        <v>106</v>
      </c>
      <c r="AN57" s="2024">
        <f t="shared" si="27"/>
        <v>106</v>
      </c>
      <c r="AO57" s="2024">
        <f t="shared" si="27"/>
        <v>106</v>
      </c>
      <c r="AP57" s="2024">
        <f t="shared" si="27"/>
        <v>106</v>
      </c>
      <c r="AQ57" s="2024">
        <f t="shared" si="27"/>
        <v>106</v>
      </c>
      <c r="AR57" s="2024">
        <f t="shared" si="27"/>
        <v>106</v>
      </c>
      <c r="AS57" s="2024">
        <f t="shared" si="27"/>
        <v>106</v>
      </c>
      <c r="AT57" s="2024">
        <f t="shared" si="27"/>
        <v>106</v>
      </c>
      <c r="AU57" s="2024">
        <v>0</v>
      </c>
      <c r="AV57" s="1945">
        <v>0</v>
      </c>
      <c r="AW57" s="1945">
        <v>0</v>
      </c>
      <c r="AX57" s="1945">
        <v>0</v>
      </c>
      <c r="AY57" s="1947">
        <v>0</v>
      </c>
      <c r="AZ57" s="2025"/>
      <c r="BA57" s="2025"/>
      <c r="BB57" s="2025"/>
    </row>
    <row r="58" spans="1:54" s="16" customFormat="1" ht="14.25" customHeight="1">
      <c r="A58" s="15"/>
      <c r="B58" s="15"/>
      <c r="C58" s="1906"/>
      <c r="D58" s="2026" t="s">
        <v>3724</v>
      </c>
      <c r="E58" s="2027">
        <f>E57*F54</f>
        <v>8.48</v>
      </c>
      <c r="F58" s="1949"/>
      <c r="G58" s="1949">
        <f>G57*$F$54*5</f>
        <v>42.400000000000006</v>
      </c>
      <c r="H58" s="1949">
        <f t="shared" ref="H58:AS58" si="28">H57*$F$54</f>
        <v>8.48</v>
      </c>
      <c r="I58" s="1949">
        <f t="shared" si="28"/>
        <v>8.48</v>
      </c>
      <c r="J58" s="1949">
        <f t="shared" si="28"/>
        <v>8.48</v>
      </c>
      <c r="K58" s="1949">
        <f t="shared" si="28"/>
        <v>8.48</v>
      </c>
      <c r="L58" s="1949">
        <f t="shared" si="28"/>
        <v>8.48</v>
      </c>
      <c r="M58" s="1949">
        <f t="shared" si="28"/>
        <v>8.48</v>
      </c>
      <c r="N58" s="1949">
        <f t="shared" si="28"/>
        <v>8.48</v>
      </c>
      <c r="O58" s="1949">
        <f t="shared" si="28"/>
        <v>8.48</v>
      </c>
      <c r="P58" s="1949">
        <f t="shared" si="28"/>
        <v>8.48</v>
      </c>
      <c r="Q58" s="1949">
        <f t="shared" si="28"/>
        <v>8.48</v>
      </c>
      <c r="R58" s="1949">
        <f t="shared" si="28"/>
        <v>8.48</v>
      </c>
      <c r="S58" s="1949">
        <f t="shared" si="28"/>
        <v>8.48</v>
      </c>
      <c r="T58" s="1949">
        <f t="shared" si="28"/>
        <v>8.48</v>
      </c>
      <c r="U58" s="1949">
        <f t="shared" si="28"/>
        <v>8.48</v>
      </c>
      <c r="V58" s="1949">
        <f t="shared" si="28"/>
        <v>8.48</v>
      </c>
      <c r="W58" s="1949">
        <f t="shared" si="28"/>
        <v>8.48</v>
      </c>
      <c r="X58" s="1949">
        <f t="shared" si="28"/>
        <v>8.48</v>
      </c>
      <c r="Y58" s="1949">
        <f t="shared" si="28"/>
        <v>8.48</v>
      </c>
      <c r="Z58" s="1949">
        <f t="shared" si="28"/>
        <v>8.48</v>
      </c>
      <c r="AA58" s="1949">
        <f t="shared" si="28"/>
        <v>8.48</v>
      </c>
      <c r="AB58" s="1949">
        <f t="shared" si="28"/>
        <v>8.48</v>
      </c>
      <c r="AC58" s="1949">
        <f t="shared" si="28"/>
        <v>8.48</v>
      </c>
      <c r="AD58" s="1949">
        <f t="shared" si="28"/>
        <v>8.48</v>
      </c>
      <c r="AE58" s="1949">
        <f t="shared" si="28"/>
        <v>8.48</v>
      </c>
      <c r="AF58" s="1949">
        <f t="shared" si="28"/>
        <v>8.48</v>
      </c>
      <c r="AG58" s="1949">
        <f t="shared" si="28"/>
        <v>8.48</v>
      </c>
      <c r="AH58" s="1949">
        <f t="shared" si="28"/>
        <v>8.48</v>
      </c>
      <c r="AI58" s="1949">
        <f t="shared" si="28"/>
        <v>8.48</v>
      </c>
      <c r="AJ58" s="1949">
        <f t="shared" si="28"/>
        <v>8.48</v>
      </c>
      <c r="AK58" s="1949">
        <f t="shared" si="28"/>
        <v>8.48</v>
      </c>
      <c r="AL58" s="1949">
        <f t="shared" si="28"/>
        <v>8.48</v>
      </c>
      <c r="AM58" s="1949">
        <f t="shared" si="28"/>
        <v>8.48</v>
      </c>
      <c r="AN58" s="1949">
        <f t="shared" si="28"/>
        <v>8.48</v>
      </c>
      <c r="AO58" s="1949">
        <f t="shared" si="28"/>
        <v>8.48</v>
      </c>
      <c r="AP58" s="1949">
        <f t="shared" si="28"/>
        <v>8.48</v>
      </c>
      <c r="AQ58" s="1949">
        <f t="shared" si="28"/>
        <v>8.48</v>
      </c>
      <c r="AR58" s="1949">
        <f t="shared" si="28"/>
        <v>8.48</v>
      </c>
      <c r="AS58" s="1949">
        <f t="shared" si="28"/>
        <v>8.48</v>
      </c>
      <c r="AT58" s="1949">
        <f>AT57*$F$54*0</f>
        <v>0</v>
      </c>
      <c r="AU58" s="1949">
        <f>AU57*$F$54</f>
        <v>0</v>
      </c>
      <c r="AV58" s="1949">
        <f>AV57*$F$54</f>
        <v>0</v>
      </c>
      <c r="AW58" s="1949">
        <f>AW57*$F$54</f>
        <v>0</v>
      </c>
      <c r="AX58" s="1949">
        <f>AX57*$F$54</f>
        <v>0</v>
      </c>
      <c r="AY58" s="1951">
        <f>AY57*$F$54</f>
        <v>0</v>
      </c>
      <c r="AZ58" s="1942"/>
      <c r="BA58" s="1942"/>
      <c r="BB58" s="1942"/>
    </row>
    <row r="59" spans="1:54" s="16" customFormat="1" ht="14.25" customHeight="1">
      <c r="A59" s="15"/>
      <c r="B59" s="15"/>
      <c r="C59" s="1960" t="s">
        <v>3725</v>
      </c>
      <c r="D59" s="2028"/>
      <c r="E59" s="2029"/>
      <c r="F59" s="2030"/>
      <c r="G59" s="2030"/>
      <c r="H59" s="2030"/>
      <c r="I59" s="2030"/>
      <c r="J59" s="2030"/>
      <c r="K59" s="2030"/>
      <c r="L59" s="2030"/>
      <c r="M59" s="2030"/>
      <c r="N59" s="2030"/>
      <c r="O59" s="2030"/>
      <c r="P59" s="2030"/>
      <c r="Q59" s="2030"/>
      <c r="R59" s="2030"/>
      <c r="S59" s="2030"/>
      <c r="T59" s="2030"/>
      <c r="U59" s="2030"/>
      <c r="V59" s="2030"/>
      <c r="W59" s="2030"/>
      <c r="X59" s="2030"/>
      <c r="Y59" s="2030"/>
      <c r="Z59" s="2030"/>
      <c r="AA59" s="2030"/>
      <c r="AB59" s="2030"/>
      <c r="AC59" s="2030"/>
      <c r="AD59" s="2030"/>
      <c r="AE59" s="2030"/>
      <c r="AF59" s="2030"/>
      <c r="AG59" s="2030"/>
      <c r="AH59" s="2030"/>
      <c r="AI59" s="2030"/>
      <c r="AJ59" s="2030"/>
      <c r="AK59" s="2030"/>
      <c r="AL59" s="2030"/>
      <c r="AM59" s="2030"/>
      <c r="AN59" s="2030"/>
      <c r="AO59" s="2030"/>
      <c r="AP59" s="2030"/>
      <c r="AQ59" s="2030"/>
      <c r="AR59" s="2030"/>
      <c r="AS59" s="2030"/>
      <c r="AT59" s="2030"/>
      <c r="AU59" s="2030"/>
      <c r="AV59" s="2030"/>
      <c r="AW59" s="2030"/>
      <c r="AX59" s="2030"/>
      <c r="AY59" s="2031"/>
      <c r="AZ59" s="1942"/>
      <c r="BA59" s="1942"/>
      <c r="BB59" s="1942"/>
    </row>
    <row r="60" spans="1:54" s="16" customFormat="1" ht="13.9" customHeight="1">
      <c r="A60" s="15"/>
      <c r="B60" s="15"/>
      <c r="C60" s="1906"/>
      <c r="D60" s="1913" t="s">
        <v>1080</v>
      </c>
      <c r="E60" s="1914"/>
      <c r="F60" s="1945"/>
      <c r="G60" s="1945">
        <f>G58</f>
        <v>42.400000000000006</v>
      </c>
      <c r="H60" s="1945">
        <f t="shared" ref="H60:AY60" ca="1" si="29">G63</f>
        <v>50.88000000000001</v>
      </c>
      <c r="I60" s="1945">
        <f t="shared" ca="1" si="29"/>
        <v>59.360000000000014</v>
      </c>
      <c r="J60" s="1945">
        <f t="shared" ca="1" si="29"/>
        <v>67.840000000000018</v>
      </c>
      <c r="K60" s="1945">
        <f t="shared" ca="1" si="29"/>
        <v>76.320000000000022</v>
      </c>
      <c r="L60" s="1945">
        <f t="shared" ca="1" si="29"/>
        <v>84.800000000000026</v>
      </c>
      <c r="M60" s="1945">
        <f t="shared" ca="1" si="29"/>
        <v>93.28000000000003</v>
      </c>
      <c r="N60" s="1945">
        <f t="shared" ca="1" si="29"/>
        <v>101.76000000000003</v>
      </c>
      <c r="O60" s="1945">
        <f t="shared" ca="1" si="29"/>
        <v>108.65452187343254</v>
      </c>
      <c r="P60" s="1945">
        <f t="shared" ca="1" si="29"/>
        <v>86.785723130198804</v>
      </c>
      <c r="Q60" s="1945">
        <f t="shared" ca="1" si="29"/>
        <v>79.508586275477171</v>
      </c>
      <c r="R60" s="1945">
        <f t="shared" ca="1" si="29"/>
        <v>59.346131454882624</v>
      </c>
      <c r="S60" s="1945">
        <f t="shared" ca="1" si="29"/>
        <v>42.785346558308341</v>
      </c>
      <c r="T60" s="1945">
        <f t="shared" ca="1" si="29"/>
        <v>24.657005897312771</v>
      </c>
      <c r="U60" s="1945">
        <f t="shared" ca="1" si="29"/>
        <v>7.1944971058877982</v>
      </c>
      <c r="V60" s="1945">
        <f t="shared" ca="1" si="29"/>
        <v>4.5381305516108235</v>
      </c>
      <c r="W60" s="1945">
        <f t="shared" ca="1" si="29"/>
        <v>3.8790817557259132</v>
      </c>
      <c r="X60" s="1945">
        <f t="shared" ca="1" si="29"/>
        <v>0.3830861194644406</v>
      </c>
      <c r="Y60" s="1945">
        <f t="shared" ca="1" si="29"/>
        <v>0</v>
      </c>
      <c r="Z60" s="1945">
        <f t="shared" ca="1" si="29"/>
        <v>0</v>
      </c>
      <c r="AA60" s="1945">
        <f t="shared" ca="1" si="29"/>
        <v>0</v>
      </c>
      <c r="AB60" s="1945">
        <f t="shared" ca="1" si="29"/>
        <v>0</v>
      </c>
      <c r="AC60" s="1945">
        <f t="shared" ca="1" si="29"/>
        <v>0</v>
      </c>
      <c r="AD60" s="1945">
        <f t="shared" ca="1" si="29"/>
        <v>0</v>
      </c>
      <c r="AE60" s="1945">
        <f t="shared" ca="1" si="29"/>
        <v>0</v>
      </c>
      <c r="AF60" s="1945">
        <f t="shared" ca="1" si="29"/>
        <v>0</v>
      </c>
      <c r="AG60" s="1945">
        <f t="shared" ca="1" si="29"/>
        <v>0</v>
      </c>
      <c r="AH60" s="1945">
        <f t="shared" ca="1" si="29"/>
        <v>0</v>
      </c>
      <c r="AI60" s="1945">
        <f t="shared" ca="1" si="29"/>
        <v>0</v>
      </c>
      <c r="AJ60" s="1945">
        <f t="shared" ca="1" si="29"/>
        <v>0</v>
      </c>
      <c r="AK60" s="1945">
        <f t="shared" ca="1" si="29"/>
        <v>0</v>
      </c>
      <c r="AL60" s="1945">
        <f t="shared" ca="1" si="29"/>
        <v>0</v>
      </c>
      <c r="AM60" s="1945">
        <f t="shared" ca="1" si="29"/>
        <v>0</v>
      </c>
      <c r="AN60" s="1945">
        <f t="shared" ca="1" si="29"/>
        <v>0</v>
      </c>
      <c r="AO60" s="1945">
        <f t="shared" ca="1" si="29"/>
        <v>0</v>
      </c>
      <c r="AP60" s="1945">
        <f t="shared" ca="1" si="29"/>
        <v>0</v>
      </c>
      <c r="AQ60" s="1945">
        <f t="shared" ca="1" si="29"/>
        <v>0</v>
      </c>
      <c r="AR60" s="1945">
        <f t="shared" ca="1" si="29"/>
        <v>0</v>
      </c>
      <c r="AS60" s="1945">
        <f t="shared" ca="1" si="29"/>
        <v>0</v>
      </c>
      <c r="AT60" s="1945">
        <f t="shared" ca="1" si="29"/>
        <v>0</v>
      </c>
      <c r="AU60" s="1945">
        <f t="shared" ca="1" si="29"/>
        <v>0</v>
      </c>
      <c r="AV60" s="1945">
        <f t="shared" ca="1" si="29"/>
        <v>0</v>
      </c>
      <c r="AW60" s="1945">
        <f t="shared" ca="1" si="29"/>
        <v>0</v>
      </c>
      <c r="AX60" s="1945">
        <f t="shared" ca="1" si="29"/>
        <v>0</v>
      </c>
      <c r="AY60" s="1947">
        <f t="shared" ca="1" si="29"/>
        <v>0</v>
      </c>
      <c r="AZ60" s="1942"/>
      <c r="BA60" s="1942"/>
      <c r="BB60" s="1942"/>
    </row>
    <row r="61" spans="1:54" s="16" customFormat="1" ht="14.25" customHeight="1">
      <c r="A61" s="15"/>
      <c r="B61" s="15"/>
      <c r="C61" s="1906"/>
      <c r="D61" s="1918" t="s">
        <v>3726</v>
      </c>
      <c r="E61" s="2022"/>
      <c r="F61" s="1980"/>
      <c r="G61" s="1980">
        <f>G57*F54</f>
        <v>8.48</v>
      </c>
      <c r="H61" s="1980">
        <f t="shared" ref="H61:AT61" si="30">H58</f>
        <v>8.48</v>
      </c>
      <c r="I61" s="1980">
        <f t="shared" si="30"/>
        <v>8.48</v>
      </c>
      <c r="J61" s="1980">
        <f t="shared" si="30"/>
        <v>8.48</v>
      </c>
      <c r="K61" s="1980">
        <f t="shared" si="30"/>
        <v>8.48</v>
      </c>
      <c r="L61" s="1980">
        <f t="shared" si="30"/>
        <v>8.48</v>
      </c>
      <c r="M61" s="1980">
        <f t="shared" si="30"/>
        <v>8.48</v>
      </c>
      <c r="N61" s="1980">
        <f t="shared" si="30"/>
        <v>8.48</v>
      </c>
      <c r="O61" s="1980">
        <f t="shared" si="30"/>
        <v>8.48</v>
      </c>
      <c r="P61" s="1980">
        <f t="shared" si="30"/>
        <v>8.48</v>
      </c>
      <c r="Q61" s="1980">
        <f t="shared" si="30"/>
        <v>8.48</v>
      </c>
      <c r="R61" s="1980">
        <f t="shared" si="30"/>
        <v>8.48</v>
      </c>
      <c r="S61" s="1980">
        <f t="shared" si="30"/>
        <v>8.48</v>
      </c>
      <c r="T61" s="1980">
        <f t="shared" si="30"/>
        <v>8.48</v>
      </c>
      <c r="U61" s="1980">
        <f t="shared" si="30"/>
        <v>8.48</v>
      </c>
      <c r="V61" s="1980">
        <f t="shared" si="30"/>
        <v>8.48</v>
      </c>
      <c r="W61" s="1980">
        <f t="shared" si="30"/>
        <v>8.48</v>
      </c>
      <c r="X61" s="1980">
        <f t="shared" si="30"/>
        <v>8.48</v>
      </c>
      <c r="Y61" s="1980">
        <f t="shared" si="30"/>
        <v>8.48</v>
      </c>
      <c r="Z61" s="1980">
        <f t="shared" si="30"/>
        <v>8.48</v>
      </c>
      <c r="AA61" s="1980">
        <f t="shared" si="30"/>
        <v>8.48</v>
      </c>
      <c r="AB61" s="1980">
        <f t="shared" si="30"/>
        <v>8.48</v>
      </c>
      <c r="AC61" s="1980">
        <f t="shared" si="30"/>
        <v>8.48</v>
      </c>
      <c r="AD61" s="1980">
        <f t="shared" si="30"/>
        <v>8.48</v>
      </c>
      <c r="AE61" s="1980">
        <f t="shared" si="30"/>
        <v>8.48</v>
      </c>
      <c r="AF61" s="1980">
        <f t="shared" si="30"/>
        <v>8.48</v>
      </c>
      <c r="AG61" s="1980">
        <f t="shared" si="30"/>
        <v>8.48</v>
      </c>
      <c r="AH61" s="1980">
        <f t="shared" si="30"/>
        <v>8.48</v>
      </c>
      <c r="AI61" s="1980">
        <f t="shared" si="30"/>
        <v>8.48</v>
      </c>
      <c r="AJ61" s="1980">
        <f t="shared" si="30"/>
        <v>8.48</v>
      </c>
      <c r="AK61" s="1980">
        <f t="shared" si="30"/>
        <v>8.48</v>
      </c>
      <c r="AL61" s="1980">
        <f t="shared" si="30"/>
        <v>8.48</v>
      </c>
      <c r="AM61" s="1980">
        <f t="shared" si="30"/>
        <v>8.48</v>
      </c>
      <c r="AN61" s="1980">
        <f t="shared" si="30"/>
        <v>8.48</v>
      </c>
      <c r="AO61" s="1980">
        <f t="shared" si="30"/>
        <v>8.48</v>
      </c>
      <c r="AP61" s="1980">
        <f t="shared" si="30"/>
        <v>8.48</v>
      </c>
      <c r="AQ61" s="1980">
        <f t="shared" si="30"/>
        <v>8.48</v>
      </c>
      <c r="AR61" s="1980">
        <f t="shared" si="30"/>
        <v>8.48</v>
      </c>
      <c r="AS61" s="1980">
        <f t="shared" si="30"/>
        <v>8.48</v>
      </c>
      <c r="AT61" s="1980">
        <f t="shared" si="30"/>
        <v>0</v>
      </c>
      <c r="AU61" s="1980">
        <v>0</v>
      </c>
      <c r="AV61" s="1980">
        <f>AV58</f>
        <v>0</v>
      </c>
      <c r="AW61" s="1980">
        <f>AW58</f>
        <v>0</v>
      </c>
      <c r="AX61" s="1980">
        <f>AX58</f>
        <v>0</v>
      </c>
      <c r="AY61" s="1941">
        <f>AY58</f>
        <v>0</v>
      </c>
      <c r="AZ61" s="1942"/>
      <c r="BA61" s="1942"/>
      <c r="BB61" s="1942"/>
    </row>
    <row r="62" spans="1:54" s="16" customFormat="1" ht="14.25" customHeight="1">
      <c r="A62" s="15"/>
      <c r="B62" s="15"/>
      <c r="C62" s="1906"/>
      <c r="D62" s="2026" t="s">
        <v>3727</v>
      </c>
      <c r="E62" s="1926"/>
      <c r="F62" s="2032"/>
      <c r="G62" s="1949">
        <f t="shared" ref="G62:AY62" ca="1" si="31">G64+G74</f>
        <v>0</v>
      </c>
      <c r="H62" s="1949">
        <f t="shared" ca="1" si="31"/>
        <v>0</v>
      </c>
      <c r="I62" s="1949">
        <f t="shared" ca="1" si="31"/>
        <v>0</v>
      </c>
      <c r="J62" s="1949">
        <f t="shared" ca="1" si="31"/>
        <v>0</v>
      </c>
      <c r="K62" s="1949">
        <f t="shared" ca="1" si="31"/>
        <v>0</v>
      </c>
      <c r="L62" s="1949">
        <f t="shared" ca="1" si="31"/>
        <v>0</v>
      </c>
      <c r="M62" s="1949">
        <f t="shared" ca="1" si="31"/>
        <v>0</v>
      </c>
      <c r="N62" s="1949">
        <f t="shared" ca="1" si="31"/>
        <v>1.585478126567498</v>
      </c>
      <c r="O62" s="1949">
        <f t="shared" ca="1" si="31"/>
        <v>30.34879874323374</v>
      </c>
      <c r="P62" s="1949">
        <f t="shared" ca="1" si="31"/>
        <v>15.75713685472163</v>
      </c>
      <c r="Q62" s="1949">
        <f t="shared" ca="1" si="31"/>
        <v>28.642454820594555</v>
      </c>
      <c r="R62" s="1949">
        <f t="shared" ca="1" si="31"/>
        <v>25.040784896574287</v>
      </c>
      <c r="S62" s="1949">
        <f t="shared" ca="1" si="31"/>
        <v>26.608340660995566</v>
      </c>
      <c r="T62" s="1949">
        <f t="shared" ca="1" si="31"/>
        <v>25.942508791424977</v>
      </c>
      <c r="U62" s="1949">
        <f t="shared" ca="1" si="31"/>
        <v>11.136366554276975</v>
      </c>
      <c r="V62" s="1949">
        <f t="shared" ca="1" si="31"/>
        <v>9.1390487958849107</v>
      </c>
      <c r="W62" s="1949">
        <f t="shared" ca="1" si="31"/>
        <v>11.975995636261473</v>
      </c>
      <c r="X62" s="1949">
        <f t="shared" ca="1" si="31"/>
        <v>8.863086119464441</v>
      </c>
      <c r="Y62" s="1949">
        <f t="shared" ca="1" si="31"/>
        <v>8.48</v>
      </c>
      <c r="Z62" s="1949">
        <f t="shared" ca="1" si="31"/>
        <v>8.48</v>
      </c>
      <c r="AA62" s="1949">
        <f t="shared" ca="1" si="31"/>
        <v>8.48</v>
      </c>
      <c r="AB62" s="1949">
        <f t="shared" ca="1" si="31"/>
        <v>8.48</v>
      </c>
      <c r="AC62" s="1949">
        <f t="shared" ca="1" si="31"/>
        <v>8.48</v>
      </c>
      <c r="AD62" s="1949">
        <f t="shared" ca="1" si="31"/>
        <v>8.48</v>
      </c>
      <c r="AE62" s="1949">
        <f t="shared" ca="1" si="31"/>
        <v>8.48</v>
      </c>
      <c r="AF62" s="1949">
        <f t="shared" ca="1" si="31"/>
        <v>8.48</v>
      </c>
      <c r="AG62" s="1949">
        <f t="shared" ca="1" si="31"/>
        <v>8.48</v>
      </c>
      <c r="AH62" s="1949">
        <f t="shared" ca="1" si="31"/>
        <v>8.48</v>
      </c>
      <c r="AI62" s="1949">
        <f t="shared" ca="1" si="31"/>
        <v>8.48</v>
      </c>
      <c r="AJ62" s="1949">
        <f t="shared" ca="1" si="31"/>
        <v>8.48</v>
      </c>
      <c r="AK62" s="1949">
        <f t="shared" ca="1" si="31"/>
        <v>8.48</v>
      </c>
      <c r="AL62" s="1949">
        <f t="shared" ca="1" si="31"/>
        <v>8.48</v>
      </c>
      <c r="AM62" s="1949">
        <f t="shared" ca="1" si="31"/>
        <v>8.48</v>
      </c>
      <c r="AN62" s="1949">
        <f t="shared" ca="1" si="31"/>
        <v>8.48</v>
      </c>
      <c r="AO62" s="1949">
        <f t="shared" ca="1" si="31"/>
        <v>8.48</v>
      </c>
      <c r="AP62" s="1949">
        <f t="shared" ca="1" si="31"/>
        <v>8.48</v>
      </c>
      <c r="AQ62" s="1949">
        <f t="shared" ca="1" si="31"/>
        <v>8.48</v>
      </c>
      <c r="AR62" s="1949">
        <f t="shared" ca="1" si="31"/>
        <v>8.48</v>
      </c>
      <c r="AS62" s="1949">
        <f t="shared" ca="1" si="31"/>
        <v>8.48</v>
      </c>
      <c r="AT62" s="1949">
        <f t="shared" ca="1" si="31"/>
        <v>0</v>
      </c>
      <c r="AU62" s="1949">
        <f t="shared" ca="1" si="31"/>
        <v>0</v>
      </c>
      <c r="AV62" s="1949">
        <f t="shared" ca="1" si="31"/>
        <v>0</v>
      </c>
      <c r="AW62" s="1949">
        <f t="shared" ca="1" si="31"/>
        <v>0</v>
      </c>
      <c r="AX62" s="1949">
        <f t="shared" ca="1" si="31"/>
        <v>0</v>
      </c>
      <c r="AY62" s="1951">
        <f t="shared" ca="1" si="31"/>
        <v>0</v>
      </c>
      <c r="AZ62" s="1942"/>
      <c r="BA62" s="1942"/>
      <c r="BB62" s="1942"/>
    </row>
    <row r="63" spans="1:54" s="16" customFormat="1" ht="14.25" customHeight="1">
      <c r="A63" s="15"/>
      <c r="B63" s="15"/>
      <c r="C63" s="1919"/>
      <c r="D63" s="1920" t="s">
        <v>1096</v>
      </c>
      <c r="E63" s="1921"/>
      <c r="F63" s="2033"/>
      <c r="G63" s="1953">
        <f t="shared" ref="G63:AY63" ca="1" si="32">G60+G61-G62</f>
        <v>50.88000000000001</v>
      </c>
      <c r="H63" s="1953">
        <f t="shared" ca="1" si="32"/>
        <v>59.360000000000014</v>
      </c>
      <c r="I63" s="1953">
        <f t="shared" ca="1" si="32"/>
        <v>67.840000000000018</v>
      </c>
      <c r="J63" s="1953">
        <f t="shared" ca="1" si="32"/>
        <v>76.320000000000022</v>
      </c>
      <c r="K63" s="1953">
        <f t="shared" ca="1" si="32"/>
        <v>84.800000000000026</v>
      </c>
      <c r="L63" s="1953">
        <f t="shared" ca="1" si="32"/>
        <v>93.28000000000003</v>
      </c>
      <c r="M63" s="1953">
        <f t="shared" ca="1" si="32"/>
        <v>101.76000000000003</v>
      </c>
      <c r="N63" s="1953">
        <f t="shared" ca="1" si="32"/>
        <v>108.65452187343254</v>
      </c>
      <c r="O63" s="1953">
        <f t="shared" ca="1" si="32"/>
        <v>86.785723130198804</v>
      </c>
      <c r="P63" s="1953">
        <f t="shared" ca="1" si="32"/>
        <v>79.508586275477171</v>
      </c>
      <c r="Q63" s="1953">
        <f t="shared" ca="1" si="32"/>
        <v>59.346131454882624</v>
      </c>
      <c r="R63" s="1953">
        <f t="shared" ca="1" si="32"/>
        <v>42.785346558308341</v>
      </c>
      <c r="S63" s="1953">
        <f t="shared" ca="1" si="32"/>
        <v>24.657005897312771</v>
      </c>
      <c r="T63" s="1953">
        <f t="shared" ca="1" si="32"/>
        <v>7.1944971058877982</v>
      </c>
      <c r="U63" s="1953">
        <f t="shared" ca="1" si="32"/>
        <v>4.5381305516108235</v>
      </c>
      <c r="V63" s="1953">
        <f t="shared" ca="1" si="32"/>
        <v>3.8790817557259132</v>
      </c>
      <c r="W63" s="1953">
        <f t="shared" ca="1" si="32"/>
        <v>0.3830861194644406</v>
      </c>
      <c r="X63" s="1953">
        <f t="shared" ca="1" si="32"/>
        <v>0</v>
      </c>
      <c r="Y63" s="1953">
        <f t="shared" ca="1" si="32"/>
        <v>0</v>
      </c>
      <c r="Z63" s="1953">
        <f t="shared" ca="1" si="32"/>
        <v>0</v>
      </c>
      <c r="AA63" s="1953">
        <f t="shared" ca="1" si="32"/>
        <v>0</v>
      </c>
      <c r="AB63" s="1953">
        <f t="shared" ca="1" si="32"/>
        <v>0</v>
      </c>
      <c r="AC63" s="1953">
        <f t="shared" ca="1" si="32"/>
        <v>0</v>
      </c>
      <c r="AD63" s="1953">
        <f t="shared" ca="1" si="32"/>
        <v>0</v>
      </c>
      <c r="AE63" s="1953">
        <f t="shared" ca="1" si="32"/>
        <v>0</v>
      </c>
      <c r="AF63" s="1953">
        <f t="shared" ca="1" si="32"/>
        <v>0</v>
      </c>
      <c r="AG63" s="1953">
        <f t="shared" ca="1" si="32"/>
        <v>0</v>
      </c>
      <c r="AH63" s="1953">
        <f t="shared" ca="1" si="32"/>
        <v>0</v>
      </c>
      <c r="AI63" s="1953">
        <f t="shared" ca="1" si="32"/>
        <v>0</v>
      </c>
      <c r="AJ63" s="1953">
        <f t="shared" ca="1" si="32"/>
        <v>0</v>
      </c>
      <c r="AK63" s="1953">
        <f t="shared" ca="1" si="32"/>
        <v>0</v>
      </c>
      <c r="AL63" s="1953">
        <f t="shared" ca="1" si="32"/>
        <v>0</v>
      </c>
      <c r="AM63" s="1953">
        <f t="shared" ca="1" si="32"/>
        <v>0</v>
      </c>
      <c r="AN63" s="1953">
        <f t="shared" ca="1" si="32"/>
        <v>0</v>
      </c>
      <c r="AO63" s="1953">
        <f t="shared" ca="1" si="32"/>
        <v>0</v>
      </c>
      <c r="AP63" s="1953">
        <f t="shared" ca="1" si="32"/>
        <v>0</v>
      </c>
      <c r="AQ63" s="1953">
        <f t="shared" ca="1" si="32"/>
        <v>0</v>
      </c>
      <c r="AR63" s="1953">
        <f t="shared" ca="1" si="32"/>
        <v>0</v>
      </c>
      <c r="AS63" s="1953">
        <f t="shared" ca="1" si="32"/>
        <v>0</v>
      </c>
      <c r="AT63" s="1953">
        <f t="shared" ca="1" si="32"/>
        <v>0</v>
      </c>
      <c r="AU63" s="1953">
        <f t="shared" ca="1" si="32"/>
        <v>0</v>
      </c>
      <c r="AV63" s="1953">
        <f t="shared" ca="1" si="32"/>
        <v>0</v>
      </c>
      <c r="AW63" s="1953">
        <f t="shared" ca="1" si="32"/>
        <v>0</v>
      </c>
      <c r="AX63" s="1953">
        <f t="shared" ca="1" si="32"/>
        <v>0</v>
      </c>
      <c r="AY63" s="1955">
        <f t="shared" ca="1" si="32"/>
        <v>0</v>
      </c>
      <c r="AZ63" s="1942"/>
      <c r="BA63" s="1942"/>
      <c r="BB63" s="1942"/>
    </row>
    <row r="64" spans="1:54" s="16" customFormat="1" ht="14.25" customHeight="1">
      <c r="A64" s="15"/>
      <c r="B64" s="15"/>
      <c r="C64" s="1919" t="s">
        <v>3728</v>
      </c>
      <c r="D64" s="2034"/>
      <c r="E64" s="2035"/>
      <c r="F64" s="2036">
        <f ca="1">SUM(G64:BA64)</f>
        <v>168.63479553268903</v>
      </c>
      <c r="G64" s="2036">
        <f t="shared" ref="G64:AY64" ca="1" si="33">MIN(G50,G60)</f>
        <v>0</v>
      </c>
      <c r="H64" s="2036">
        <f t="shared" ca="1" si="33"/>
        <v>0</v>
      </c>
      <c r="I64" s="2036">
        <f t="shared" ca="1" si="33"/>
        <v>0</v>
      </c>
      <c r="J64" s="2036">
        <f t="shared" ca="1" si="33"/>
        <v>0</v>
      </c>
      <c r="K64" s="2036">
        <f t="shared" ca="1" si="33"/>
        <v>0</v>
      </c>
      <c r="L64" s="2036">
        <f t="shared" ca="1" si="33"/>
        <v>0</v>
      </c>
      <c r="M64" s="2036">
        <f t="shared" ca="1" si="33"/>
        <v>0</v>
      </c>
      <c r="N64" s="2036">
        <f t="shared" ca="1" si="33"/>
        <v>1.585478126567498</v>
      </c>
      <c r="O64" s="2036">
        <f t="shared" ca="1" si="33"/>
        <v>30.34879874323374</v>
      </c>
      <c r="P64" s="2036">
        <f t="shared" ca="1" si="33"/>
        <v>15.75713685472163</v>
      </c>
      <c r="Q64" s="2036">
        <f t="shared" ca="1" si="33"/>
        <v>28.642454820594555</v>
      </c>
      <c r="R64" s="2036">
        <f t="shared" ca="1" si="33"/>
        <v>25.040784896574287</v>
      </c>
      <c r="S64" s="2036">
        <f t="shared" ca="1" si="33"/>
        <v>26.608340660995566</v>
      </c>
      <c r="T64" s="2036">
        <f t="shared" ca="1" si="33"/>
        <v>24.657005897312771</v>
      </c>
      <c r="U64" s="2036">
        <f t="shared" ca="1" si="33"/>
        <v>7.1944971058877982</v>
      </c>
      <c r="V64" s="2036">
        <f t="shared" ca="1" si="33"/>
        <v>4.5381305516108235</v>
      </c>
      <c r="W64" s="2036">
        <f t="shared" ca="1" si="33"/>
        <v>3.8790817557259132</v>
      </c>
      <c r="X64" s="2036">
        <f t="shared" ca="1" si="33"/>
        <v>0.3830861194644406</v>
      </c>
      <c r="Y64" s="2036">
        <f t="shared" ca="1" si="33"/>
        <v>0</v>
      </c>
      <c r="Z64" s="2036">
        <f t="shared" ca="1" si="33"/>
        <v>0</v>
      </c>
      <c r="AA64" s="2036">
        <f t="shared" ca="1" si="33"/>
        <v>0</v>
      </c>
      <c r="AB64" s="2036">
        <f t="shared" ca="1" si="33"/>
        <v>0</v>
      </c>
      <c r="AC64" s="2036">
        <f t="shared" ca="1" si="33"/>
        <v>0</v>
      </c>
      <c r="AD64" s="2036">
        <f t="shared" ca="1" si="33"/>
        <v>0</v>
      </c>
      <c r="AE64" s="2036">
        <f t="shared" ca="1" si="33"/>
        <v>0</v>
      </c>
      <c r="AF64" s="2036">
        <f t="shared" ca="1" si="33"/>
        <v>0</v>
      </c>
      <c r="AG64" s="2036">
        <f t="shared" ca="1" si="33"/>
        <v>0</v>
      </c>
      <c r="AH64" s="2036">
        <f t="shared" ca="1" si="33"/>
        <v>0</v>
      </c>
      <c r="AI64" s="2036">
        <f t="shared" ca="1" si="33"/>
        <v>0</v>
      </c>
      <c r="AJ64" s="2036">
        <f t="shared" ca="1" si="33"/>
        <v>0</v>
      </c>
      <c r="AK64" s="2036">
        <f t="shared" ca="1" si="33"/>
        <v>0</v>
      </c>
      <c r="AL64" s="2036">
        <f t="shared" ca="1" si="33"/>
        <v>0</v>
      </c>
      <c r="AM64" s="2036">
        <f t="shared" ca="1" si="33"/>
        <v>0</v>
      </c>
      <c r="AN64" s="2036">
        <f t="shared" ca="1" si="33"/>
        <v>0</v>
      </c>
      <c r="AO64" s="2036">
        <f t="shared" ca="1" si="33"/>
        <v>0</v>
      </c>
      <c r="AP64" s="2036">
        <f t="shared" ca="1" si="33"/>
        <v>0</v>
      </c>
      <c r="AQ64" s="2036">
        <f t="shared" ca="1" si="33"/>
        <v>0</v>
      </c>
      <c r="AR64" s="2036">
        <f t="shared" ca="1" si="33"/>
        <v>0</v>
      </c>
      <c r="AS64" s="2036">
        <f t="shared" ca="1" si="33"/>
        <v>0</v>
      </c>
      <c r="AT64" s="2036">
        <f t="shared" ca="1" si="33"/>
        <v>0</v>
      </c>
      <c r="AU64" s="2036">
        <f t="shared" ca="1" si="33"/>
        <v>0</v>
      </c>
      <c r="AV64" s="2036">
        <f t="shared" ca="1" si="33"/>
        <v>0</v>
      </c>
      <c r="AW64" s="2036">
        <f t="shared" ca="1" si="33"/>
        <v>0</v>
      </c>
      <c r="AX64" s="2036">
        <f t="shared" ca="1" si="33"/>
        <v>0</v>
      </c>
      <c r="AY64" s="2037">
        <f t="shared" ca="1" si="33"/>
        <v>0</v>
      </c>
      <c r="AZ64" s="1942"/>
      <c r="BA64" s="1942"/>
      <c r="BB64" s="1942"/>
    </row>
    <row r="65" spans="1:54" s="16" customFormat="1" ht="14.25" customHeight="1">
      <c r="A65" s="15"/>
      <c r="B65" s="15"/>
      <c r="D65" s="1930"/>
      <c r="E65" s="1930"/>
      <c r="F65" s="2038">
        <f ca="1">SUM(G65:AY65)</f>
        <v>2033</v>
      </c>
      <c r="G65" s="2038">
        <v>0</v>
      </c>
      <c r="H65" s="2038">
        <f ca="1">H55*(H69&gt;0.0001)*(SUM($G65:G65)&lt;0.0001)</f>
        <v>0</v>
      </c>
      <c r="I65" s="2038">
        <f ca="1">I55*(I69&gt;0.0001)*(SUM($G65:H65)&lt;0.0001)</f>
        <v>0</v>
      </c>
      <c r="J65" s="2038">
        <f ca="1">J55*(J69&gt;0.0001)*(SUM($G65:I65)&lt;0.0001)</f>
        <v>0</v>
      </c>
      <c r="K65" s="2038">
        <f ca="1">K55*(K69&gt;0.0001)*(SUM($G65:J65)&lt;0.0001)</f>
        <v>0</v>
      </c>
      <c r="L65" s="2038">
        <f ca="1">L55*(L69&gt;0.0001)*(SUM($G65:K65)&lt;0.0001)</f>
        <v>0</v>
      </c>
      <c r="M65" s="2038">
        <f ca="1">M55*(M69&gt;0.0001)*(SUM($G65:L65)&lt;0.0001)</f>
        <v>0</v>
      </c>
      <c r="N65" s="2038">
        <f ca="1">N55*(N69&gt;0.0001)*(SUM($G65:M65)&lt;0.0001)</f>
        <v>0</v>
      </c>
      <c r="O65" s="2038">
        <f ca="1">O55*(O69&gt;0.0001)*(SUM($G65:N65)&lt;0.0001)</f>
        <v>0</v>
      </c>
      <c r="P65" s="2038">
        <f ca="1">P55*(P69&gt;0.0001)*(SUM($G65:O65)&lt;0.0001)</f>
        <v>0</v>
      </c>
      <c r="Q65" s="2038">
        <f ca="1">Q55*(Q69&gt;0.0001)*(SUM($G65:P65)&lt;0.0001)</f>
        <v>0</v>
      </c>
      <c r="R65" s="2038">
        <f ca="1">R55*(R69&gt;0.0001)*(SUM($G65:Q65)&lt;0.0001)</f>
        <v>0</v>
      </c>
      <c r="S65" s="2038">
        <f ca="1">S55*(S69&gt;0.0001)*(SUM($G65:R65)&lt;0.0001)</f>
        <v>0</v>
      </c>
      <c r="T65" s="2038">
        <f ca="1">T55*(T69&gt;0.0001)*(SUM($G65:S65)&lt;0.0001)</f>
        <v>2033</v>
      </c>
      <c r="U65" s="2038">
        <f ca="1">U55*(U69&gt;0.0001)*(SUM($G65:T65)&lt;0.0001)</f>
        <v>0</v>
      </c>
      <c r="V65" s="2038">
        <f ca="1">V55*(V69&gt;0.0001)*(SUM($G65:U65)&lt;0.0001)</f>
        <v>0</v>
      </c>
      <c r="W65" s="2038">
        <f ca="1">W55*(W69&gt;0.0001)*(SUM($G65:V65)&lt;0.0001)</f>
        <v>0</v>
      </c>
      <c r="X65" s="2038">
        <f ca="1">X55*(X69&gt;0.0001)*(SUM($G65:W65)&lt;0.0001)</f>
        <v>0</v>
      </c>
      <c r="Y65" s="2038">
        <f ca="1">Y55*(Y69&gt;0.0001)*(SUM($G65:X65)&lt;0.0001)</f>
        <v>0</v>
      </c>
      <c r="Z65" s="2038">
        <f ca="1">Z55*(Z69&gt;0.0001)*(SUM($G65:Y65)&lt;0.0001)</f>
        <v>0</v>
      </c>
      <c r="AA65" s="2038">
        <f ca="1">AA55*(AA69&gt;0.0001)*(SUM($G65:Z65)&lt;0.0001)</f>
        <v>0</v>
      </c>
      <c r="AB65" s="2038">
        <f ca="1">AB55*(AB69&gt;0.0001)*(SUM($G65:AA65)&lt;0.0001)</f>
        <v>0</v>
      </c>
      <c r="AC65" s="2038">
        <f ca="1">AC55*(AC69&gt;0.0001)*(SUM($G65:AB65)&lt;0.0001)</f>
        <v>0</v>
      </c>
      <c r="AD65" s="2038">
        <f ca="1">AD55*(AD69&gt;0.0001)*(SUM($G65:AC65)&lt;0.0001)</f>
        <v>0</v>
      </c>
      <c r="AE65" s="2038">
        <f ca="1">AE55*(AE69&gt;0.0001)*(SUM($G65:AD65)&lt;0.0001)</f>
        <v>0</v>
      </c>
      <c r="AF65" s="2038">
        <f ca="1">AF55*(AF69&gt;0.0001)*(SUM($G65:AE65)&lt;0.0001)</f>
        <v>0</v>
      </c>
      <c r="AG65" s="2038">
        <f ca="1">AG55*(AG69&gt;0.0001)*(SUM($G65:AF65)&lt;0.0001)</f>
        <v>0</v>
      </c>
      <c r="AH65" s="2038">
        <f ca="1">AH55*(AH69&gt;0.0001)*(SUM($G65:AG65)&lt;0.0001)</f>
        <v>0</v>
      </c>
      <c r="AI65" s="2038">
        <f ca="1">AI55*(AI69&gt;0.0001)*(SUM($G65:AH65)&lt;0.0001)</f>
        <v>0</v>
      </c>
      <c r="AJ65" s="2038">
        <f ca="1">AJ55*(AJ69&gt;0.0001)*(SUM($G65:AI65)&lt;0.0001)</f>
        <v>0</v>
      </c>
      <c r="AK65" s="2038">
        <f ca="1">AK55*(AK69&gt;0.0001)*(SUM($G65:AJ65)&lt;0.0001)</f>
        <v>0</v>
      </c>
      <c r="AL65" s="2038">
        <f ca="1">AL55*(AL69&gt;0.0001)*(SUM($G65:AK65)&lt;0.0001)</f>
        <v>0</v>
      </c>
      <c r="AM65" s="2038">
        <f ca="1">AM55*(AM69&gt;0.0001)*(SUM($G65:AL65)&lt;0.0001)</f>
        <v>0</v>
      </c>
      <c r="AN65" s="2038">
        <f ca="1">AN55*(AN69&gt;0.0001)*(SUM($G65:AM65)&lt;0.0001)</f>
        <v>0</v>
      </c>
      <c r="AO65" s="2038">
        <f ca="1">AO55*(AO69&gt;0.0001)*(SUM($G65:AN65)&lt;0.0001)</f>
        <v>0</v>
      </c>
      <c r="AP65" s="2038">
        <f ca="1">AP55*(AP69&gt;0.0001)*(SUM($G65:AO65)&lt;0.0001)</f>
        <v>0</v>
      </c>
      <c r="AQ65" s="2038">
        <f ca="1">AQ55*(AQ69&gt;0.0001)*(SUM($G65:AP65)&lt;0.0001)</f>
        <v>0</v>
      </c>
      <c r="AR65" s="2038">
        <f ca="1">AR55*(AR69&gt;0.0001)*(SUM($G65:AQ65)&lt;0.0001)</f>
        <v>0</v>
      </c>
      <c r="AS65" s="2038">
        <f ca="1">AS55*(AS69&gt;0.0001)*(SUM($G65:AR65)&lt;0.0001)</f>
        <v>0</v>
      </c>
      <c r="AT65" s="2038">
        <f ca="1">AT55*(AT69&gt;0.0001)*(SUM($G65:AS65)&lt;0.0001)</f>
        <v>0</v>
      </c>
      <c r="AU65" s="2038">
        <f ca="1">AU55*(AU69&gt;0.0001)*(SUM($G65:AT65)&lt;0.0001)</f>
        <v>0</v>
      </c>
      <c r="AV65" s="2038">
        <f ca="1">AV55*(AV69&gt;0.0001)*(SUM($G65:AU65)&lt;0.0001)</f>
        <v>0</v>
      </c>
      <c r="AW65" s="2038">
        <f ca="1">AW55*(AW69&gt;0.0001)*(SUM($G65:AV65)&lt;0.0001)</f>
        <v>0</v>
      </c>
      <c r="AX65" s="2038">
        <f ca="1">AX55*(AX69&gt;0.0001)*(SUM($G65:AW65)&lt;0.0001)</f>
        <v>0</v>
      </c>
      <c r="AY65" s="2038">
        <f ca="1">AY55*(AY69&gt;0.0001)*(SUM($G65:AX65)&lt;0.0001)</f>
        <v>0</v>
      </c>
      <c r="AZ65" s="1942"/>
      <c r="BA65" s="1942"/>
      <c r="BB65" s="1942"/>
    </row>
    <row r="66" spans="1:54" s="16" customFormat="1" ht="14.25" customHeight="1">
      <c r="A66" s="15"/>
      <c r="B66" s="15" t="s">
        <v>3729</v>
      </c>
    </row>
    <row r="67" spans="1:54" s="16" customFormat="1" ht="14.25" customHeight="1">
      <c r="A67" s="15"/>
      <c r="B67" s="2019"/>
      <c r="C67" s="15"/>
      <c r="F67" s="2020">
        <v>0.08</v>
      </c>
      <c r="G67" s="16" t="s">
        <v>3730</v>
      </c>
      <c r="H67" s="1895"/>
      <c r="I67" s="1895"/>
      <c r="J67" s="1895"/>
      <c r="K67" s="1897"/>
      <c r="L67" s="1895"/>
      <c r="M67" s="1895"/>
      <c r="N67" s="1898"/>
      <c r="O67" s="1895"/>
      <c r="P67" s="1895"/>
      <c r="Q67" s="1895"/>
      <c r="R67" s="1895"/>
      <c r="S67" s="1895"/>
      <c r="T67" s="1895"/>
      <c r="U67" s="1895"/>
      <c r="V67" s="1895"/>
      <c r="W67" s="1899"/>
      <c r="X67" s="1895"/>
      <c r="Y67" s="1895"/>
      <c r="Z67" s="1895"/>
      <c r="AA67" s="1895"/>
      <c r="AB67" s="1895"/>
      <c r="AC67" s="1895"/>
      <c r="AD67" s="1895"/>
      <c r="AE67" s="1895"/>
      <c r="AF67" s="1895"/>
      <c r="AG67" s="1895"/>
      <c r="AH67" s="1895"/>
      <c r="AI67" s="1895"/>
      <c r="AJ67" s="1895"/>
      <c r="AK67" s="1895"/>
      <c r="AL67" s="1895"/>
      <c r="AM67" s="1895"/>
      <c r="AN67" s="1895"/>
      <c r="AO67" s="1895"/>
      <c r="AQ67" s="1895"/>
      <c r="AR67" s="1895"/>
      <c r="AS67" s="1895"/>
      <c r="AT67" s="1895"/>
      <c r="AU67" s="1895"/>
      <c r="AV67" s="1895"/>
      <c r="AW67" s="1895"/>
      <c r="AX67" s="1895"/>
      <c r="AZ67" s="1895"/>
      <c r="BA67" s="1895"/>
      <c r="BB67" s="1895"/>
    </row>
    <row r="68" spans="1:54" s="16" customFormat="1" ht="14.25" customHeight="1">
      <c r="C68" s="1900"/>
      <c r="D68" s="1901" t="s">
        <v>780</v>
      </c>
      <c r="E68" s="1902"/>
      <c r="F68" s="1903" t="s">
        <v>1386</v>
      </c>
      <c r="G68" s="1903">
        <f>G$10</f>
        <v>2020</v>
      </c>
      <c r="H68" s="1903">
        <f t="shared" ref="H68:AY68" si="34">G68+1</f>
        <v>2021</v>
      </c>
      <c r="I68" s="1903">
        <f t="shared" si="34"/>
        <v>2022</v>
      </c>
      <c r="J68" s="1903">
        <f t="shared" si="34"/>
        <v>2023</v>
      </c>
      <c r="K68" s="1903">
        <f t="shared" si="34"/>
        <v>2024</v>
      </c>
      <c r="L68" s="1903">
        <f t="shared" si="34"/>
        <v>2025</v>
      </c>
      <c r="M68" s="1903">
        <f t="shared" si="34"/>
        <v>2026</v>
      </c>
      <c r="N68" s="1903">
        <f t="shared" si="34"/>
        <v>2027</v>
      </c>
      <c r="O68" s="1903">
        <f t="shared" si="34"/>
        <v>2028</v>
      </c>
      <c r="P68" s="1903">
        <f t="shared" si="34"/>
        <v>2029</v>
      </c>
      <c r="Q68" s="1903">
        <f t="shared" si="34"/>
        <v>2030</v>
      </c>
      <c r="R68" s="1903">
        <f t="shared" si="34"/>
        <v>2031</v>
      </c>
      <c r="S68" s="1903">
        <f t="shared" si="34"/>
        <v>2032</v>
      </c>
      <c r="T68" s="1903">
        <f t="shared" si="34"/>
        <v>2033</v>
      </c>
      <c r="U68" s="1903">
        <f t="shared" si="34"/>
        <v>2034</v>
      </c>
      <c r="V68" s="1903">
        <f t="shared" si="34"/>
        <v>2035</v>
      </c>
      <c r="W68" s="1903">
        <f t="shared" si="34"/>
        <v>2036</v>
      </c>
      <c r="X68" s="1903">
        <f t="shared" si="34"/>
        <v>2037</v>
      </c>
      <c r="Y68" s="1903">
        <f t="shared" si="34"/>
        <v>2038</v>
      </c>
      <c r="Z68" s="1903">
        <f t="shared" si="34"/>
        <v>2039</v>
      </c>
      <c r="AA68" s="1903">
        <f t="shared" si="34"/>
        <v>2040</v>
      </c>
      <c r="AB68" s="1903">
        <f t="shared" si="34"/>
        <v>2041</v>
      </c>
      <c r="AC68" s="1903">
        <f t="shared" si="34"/>
        <v>2042</v>
      </c>
      <c r="AD68" s="1903">
        <f t="shared" si="34"/>
        <v>2043</v>
      </c>
      <c r="AE68" s="1903">
        <f t="shared" si="34"/>
        <v>2044</v>
      </c>
      <c r="AF68" s="1903">
        <f t="shared" si="34"/>
        <v>2045</v>
      </c>
      <c r="AG68" s="1903">
        <f t="shared" si="34"/>
        <v>2046</v>
      </c>
      <c r="AH68" s="1903">
        <f t="shared" si="34"/>
        <v>2047</v>
      </c>
      <c r="AI68" s="1903">
        <f t="shared" si="34"/>
        <v>2048</v>
      </c>
      <c r="AJ68" s="1903">
        <f t="shared" si="34"/>
        <v>2049</v>
      </c>
      <c r="AK68" s="1903">
        <f t="shared" si="34"/>
        <v>2050</v>
      </c>
      <c r="AL68" s="1903">
        <f t="shared" si="34"/>
        <v>2051</v>
      </c>
      <c r="AM68" s="1903">
        <f t="shared" si="34"/>
        <v>2052</v>
      </c>
      <c r="AN68" s="1903">
        <f t="shared" si="34"/>
        <v>2053</v>
      </c>
      <c r="AO68" s="1903">
        <f t="shared" si="34"/>
        <v>2054</v>
      </c>
      <c r="AP68" s="1903">
        <f t="shared" si="34"/>
        <v>2055</v>
      </c>
      <c r="AQ68" s="1903">
        <f t="shared" si="34"/>
        <v>2056</v>
      </c>
      <c r="AR68" s="1903">
        <f t="shared" si="34"/>
        <v>2057</v>
      </c>
      <c r="AS68" s="1903">
        <f t="shared" si="34"/>
        <v>2058</v>
      </c>
      <c r="AT68" s="1903">
        <f t="shared" si="34"/>
        <v>2059</v>
      </c>
      <c r="AU68" s="1903">
        <f t="shared" si="34"/>
        <v>2060</v>
      </c>
      <c r="AV68" s="1903">
        <f t="shared" si="34"/>
        <v>2061</v>
      </c>
      <c r="AW68" s="1903">
        <f t="shared" si="34"/>
        <v>2062</v>
      </c>
      <c r="AX68" s="1903">
        <f t="shared" si="34"/>
        <v>2063</v>
      </c>
      <c r="AY68" s="1904">
        <f t="shared" si="34"/>
        <v>2064</v>
      </c>
      <c r="AZ68" s="1905"/>
      <c r="BA68" s="1905"/>
      <c r="BB68" s="1905"/>
    </row>
    <row r="69" spans="1:54" s="16" customFormat="1" ht="14.25" customHeight="1">
      <c r="A69" s="15"/>
      <c r="B69" s="15"/>
      <c r="C69" s="1931"/>
      <c r="D69" s="2039" t="s">
        <v>1399</v>
      </c>
      <c r="E69" s="2040"/>
      <c r="F69" s="2041">
        <f ca="1">SUM(G69:BA69)</f>
        <v>1928.1242277251922</v>
      </c>
      <c r="G69" s="2041">
        <f t="shared" ref="G69:AY69" ca="1" si="35">G50-G64</f>
        <v>0</v>
      </c>
      <c r="H69" s="2041">
        <f t="shared" ca="1" si="35"/>
        <v>0</v>
      </c>
      <c r="I69" s="2041">
        <f t="shared" ca="1" si="35"/>
        <v>0</v>
      </c>
      <c r="J69" s="2041">
        <f t="shared" ca="1" si="35"/>
        <v>0</v>
      </c>
      <c r="K69" s="2041">
        <f t="shared" ca="1" si="35"/>
        <v>0</v>
      </c>
      <c r="L69" s="2041">
        <f t="shared" ca="1" si="35"/>
        <v>0</v>
      </c>
      <c r="M69" s="2041">
        <f t="shared" ca="1" si="35"/>
        <v>0</v>
      </c>
      <c r="N69" s="2041">
        <f t="shared" ca="1" si="35"/>
        <v>0</v>
      </c>
      <c r="O69" s="2041">
        <f t="shared" ca="1" si="35"/>
        <v>0</v>
      </c>
      <c r="P69" s="2041">
        <f t="shared" ca="1" si="35"/>
        <v>0</v>
      </c>
      <c r="Q69" s="2041">
        <f t="shared" ca="1" si="35"/>
        <v>0</v>
      </c>
      <c r="R69" s="2041">
        <f t="shared" ca="1" si="35"/>
        <v>0</v>
      </c>
      <c r="S69" s="2041">
        <f t="shared" ca="1" si="35"/>
        <v>0</v>
      </c>
      <c r="T69" s="2041">
        <f t="shared" ca="1" si="35"/>
        <v>8.2456888653765503</v>
      </c>
      <c r="U69" s="2041">
        <f t="shared" ca="1" si="35"/>
        <v>25.284601978121728</v>
      </c>
      <c r="V69" s="2041">
        <f t="shared" ca="1" si="35"/>
        <v>29.511983606633013</v>
      </c>
      <c r="W69" s="2041">
        <f t="shared" ca="1" si="35"/>
        <v>51.936586789836817</v>
      </c>
      <c r="X69" s="2041">
        <f t="shared" ca="1" si="35"/>
        <v>57.013230349135455</v>
      </c>
      <c r="Y69" s="2041">
        <f t="shared" ca="1" si="35"/>
        <v>70.930748371729308</v>
      </c>
      <c r="Z69" s="2041">
        <f t="shared" ca="1" si="35"/>
        <v>73.385307651134539</v>
      </c>
      <c r="AA69" s="2041">
        <f t="shared" ca="1" si="35"/>
        <v>85.205111038661286</v>
      </c>
      <c r="AB69" s="2041">
        <f t="shared" ca="1" si="35"/>
        <v>88.072687054561314</v>
      </c>
      <c r="AC69" s="2041">
        <f t="shared" ca="1" si="35"/>
        <v>84.922464029390852</v>
      </c>
      <c r="AD69" s="2041">
        <f t="shared" ca="1" si="35"/>
        <v>102.15508025765351</v>
      </c>
      <c r="AE69" s="2041">
        <f t="shared" ca="1" si="35"/>
        <v>108.38100940147186</v>
      </c>
      <c r="AF69" s="2041">
        <f t="shared" ca="1" si="35"/>
        <v>104.95066833200305</v>
      </c>
      <c r="AG69" s="2041">
        <f t="shared" ca="1" si="35"/>
        <v>93.989140875407045</v>
      </c>
      <c r="AH69" s="2041">
        <f t="shared" ca="1" si="35"/>
        <v>61.701739390932381</v>
      </c>
      <c r="AI69" s="2041">
        <f t="shared" ca="1" si="35"/>
        <v>69.934219117380422</v>
      </c>
      <c r="AJ69" s="2041">
        <f t="shared" ca="1" si="35"/>
        <v>62.9134537110941</v>
      </c>
      <c r="AK69" s="2041">
        <f t="shared" ca="1" si="35"/>
        <v>67.970962248008334</v>
      </c>
      <c r="AL69" s="2041">
        <f t="shared" ca="1" si="35"/>
        <v>76.542876805189607</v>
      </c>
      <c r="AM69" s="2041">
        <f t="shared" ca="1" si="35"/>
        <v>74.124388926964514</v>
      </c>
      <c r="AN69" s="2041">
        <f t="shared" ca="1" si="35"/>
        <v>74.706368267369982</v>
      </c>
      <c r="AO69" s="2041">
        <f t="shared" ca="1" si="35"/>
        <v>86.67281041824134</v>
      </c>
      <c r="AP69" s="2041">
        <f t="shared" ca="1" si="35"/>
        <v>86.953948659286823</v>
      </c>
      <c r="AQ69" s="2041">
        <f t="shared" ca="1" si="35"/>
        <v>88.863067239873004</v>
      </c>
      <c r="AR69" s="2041">
        <f t="shared" ca="1" si="35"/>
        <v>96.374178419659287</v>
      </c>
      <c r="AS69" s="2041">
        <f t="shared" ca="1" si="35"/>
        <v>97.38190592007615</v>
      </c>
      <c r="AT69" s="2041">
        <f t="shared" ca="1" si="35"/>
        <v>0</v>
      </c>
      <c r="AU69" s="2041">
        <f t="shared" ca="1" si="35"/>
        <v>0</v>
      </c>
      <c r="AV69" s="2041">
        <f t="shared" ca="1" si="35"/>
        <v>0</v>
      </c>
      <c r="AW69" s="2041">
        <f t="shared" ca="1" si="35"/>
        <v>0</v>
      </c>
      <c r="AX69" s="2041">
        <f t="shared" ca="1" si="35"/>
        <v>0</v>
      </c>
      <c r="AY69" s="2042">
        <f t="shared" ca="1" si="35"/>
        <v>0</v>
      </c>
      <c r="AZ69" s="1942"/>
      <c r="BA69" s="1942"/>
      <c r="BB69" s="1942"/>
    </row>
    <row r="70" spans="1:54" s="16" customFormat="1" ht="14.25" customHeight="1">
      <c r="A70" s="15"/>
      <c r="B70" s="15"/>
      <c r="C70" s="1906" t="s">
        <v>3722</v>
      </c>
      <c r="D70" s="2021"/>
      <c r="E70" s="2022"/>
      <c r="F70" s="1980"/>
      <c r="G70" s="1980"/>
      <c r="H70" s="1980"/>
      <c r="I70" s="1980"/>
      <c r="J70" s="1980"/>
      <c r="K70" s="1980"/>
      <c r="L70" s="1980"/>
      <c r="M70" s="1980"/>
      <c r="N70" s="1980"/>
      <c r="O70" s="1980"/>
      <c r="P70" s="1980"/>
      <c r="Q70" s="1980"/>
      <c r="R70" s="1980"/>
      <c r="S70" s="1980"/>
      <c r="T70" s="1980"/>
      <c r="U70" s="1980"/>
      <c r="V70" s="1980"/>
      <c r="W70" s="1980"/>
      <c r="X70" s="1980"/>
      <c r="Y70" s="1980"/>
      <c r="Z70" s="1980"/>
      <c r="AA70" s="1980"/>
      <c r="AB70" s="1980"/>
      <c r="AC70" s="1980"/>
      <c r="AD70" s="1980"/>
      <c r="AE70" s="1980"/>
      <c r="AF70" s="1980"/>
      <c r="AG70" s="1980"/>
      <c r="AH70" s="1980"/>
      <c r="AI70" s="1980"/>
      <c r="AJ70" s="1980"/>
      <c r="AK70" s="1980"/>
      <c r="AL70" s="1980"/>
      <c r="AM70" s="1980"/>
      <c r="AN70" s="1980"/>
      <c r="AO70" s="1980"/>
      <c r="AP70" s="1980"/>
      <c r="AQ70" s="1980"/>
      <c r="AR70" s="1980"/>
      <c r="AS70" s="1980"/>
      <c r="AT70" s="1980"/>
      <c r="AU70" s="1980"/>
      <c r="AV70" s="1980"/>
      <c r="AW70" s="1980"/>
      <c r="AX70" s="1980"/>
      <c r="AY70" s="1941"/>
      <c r="AZ70" s="1942"/>
      <c r="BA70" s="1942"/>
      <c r="BB70" s="1942"/>
    </row>
    <row r="71" spans="1:54" s="16" customFormat="1" ht="14.25" customHeight="1">
      <c r="A71" s="15"/>
      <c r="B71" s="15"/>
      <c r="C71" s="1906"/>
      <c r="D71" s="1913" t="s">
        <v>3731</v>
      </c>
      <c r="E71" s="2043">
        <v>0</v>
      </c>
      <c r="F71" s="1945">
        <f>SUM(G71:BA71)</f>
        <v>22960</v>
      </c>
      <c r="G71" s="1945">
        <f>G38-G57</f>
        <v>574</v>
      </c>
      <c r="H71" s="1945">
        <f t="shared" ref="H71:AT71" si="36">G71</f>
        <v>574</v>
      </c>
      <c r="I71" s="2024">
        <f t="shared" si="36"/>
        <v>574</v>
      </c>
      <c r="J71" s="2024">
        <f t="shared" si="36"/>
        <v>574</v>
      </c>
      <c r="K71" s="2024">
        <f t="shared" si="36"/>
        <v>574</v>
      </c>
      <c r="L71" s="2024">
        <f t="shared" si="36"/>
        <v>574</v>
      </c>
      <c r="M71" s="2024">
        <f t="shared" si="36"/>
        <v>574</v>
      </c>
      <c r="N71" s="2024">
        <f t="shared" si="36"/>
        <v>574</v>
      </c>
      <c r="O71" s="2024">
        <f t="shared" si="36"/>
        <v>574</v>
      </c>
      <c r="P71" s="2024">
        <f t="shared" si="36"/>
        <v>574</v>
      </c>
      <c r="Q71" s="2024">
        <f t="shared" si="36"/>
        <v>574</v>
      </c>
      <c r="R71" s="2024">
        <f t="shared" si="36"/>
        <v>574</v>
      </c>
      <c r="S71" s="2024">
        <f t="shared" si="36"/>
        <v>574</v>
      </c>
      <c r="T71" s="2024">
        <f t="shared" si="36"/>
        <v>574</v>
      </c>
      <c r="U71" s="2024">
        <f t="shared" si="36"/>
        <v>574</v>
      </c>
      <c r="V71" s="2024">
        <f t="shared" si="36"/>
        <v>574</v>
      </c>
      <c r="W71" s="2024">
        <f t="shared" si="36"/>
        <v>574</v>
      </c>
      <c r="X71" s="2024">
        <f t="shared" si="36"/>
        <v>574</v>
      </c>
      <c r="Y71" s="2024">
        <f t="shared" si="36"/>
        <v>574</v>
      </c>
      <c r="Z71" s="2024">
        <f t="shared" si="36"/>
        <v>574</v>
      </c>
      <c r="AA71" s="2024">
        <f t="shared" si="36"/>
        <v>574</v>
      </c>
      <c r="AB71" s="2024">
        <f t="shared" si="36"/>
        <v>574</v>
      </c>
      <c r="AC71" s="2024">
        <f t="shared" si="36"/>
        <v>574</v>
      </c>
      <c r="AD71" s="2024">
        <f t="shared" si="36"/>
        <v>574</v>
      </c>
      <c r="AE71" s="2024">
        <f t="shared" si="36"/>
        <v>574</v>
      </c>
      <c r="AF71" s="2024">
        <f t="shared" si="36"/>
        <v>574</v>
      </c>
      <c r="AG71" s="2024">
        <f t="shared" si="36"/>
        <v>574</v>
      </c>
      <c r="AH71" s="2024">
        <f t="shared" si="36"/>
        <v>574</v>
      </c>
      <c r="AI71" s="2024">
        <f t="shared" si="36"/>
        <v>574</v>
      </c>
      <c r="AJ71" s="2024">
        <f t="shared" si="36"/>
        <v>574</v>
      </c>
      <c r="AK71" s="2024">
        <f t="shared" si="36"/>
        <v>574</v>
      </c>
      <c r="AL71" s="2024">
        <f t="shared" si="36"/>
        <v>574</v>
      </c>
      <c r="AM71" s="2024">
        <f t="shared" si="36"/>
        <v>574</v>
      </c>
      <c r="AN71" s="2024">
        <f t="shared" si="36"/>
        <v>574</v>
      </c>
      <c r="AO71" s="2024">
        <f t="shared" si="36"/>
        <v>574</v>
      </c>
      <c r="AP71" s="2024">
        <f t="shared" si="36"/>
        <v>574</v>
      </c>
      <c r="AQ71" s="2024">
        <f t="shared" si="36"/>
        <v>574</v>
      </c>
      <c r="AR71" s="2024">
        <f t="shared" si="36"/>
        <v>574</v>
      </c>
      <c r="AS71" s="2024">
        <f t="shared" si="36"/>
        <v>574</v>
      </c>
      <c r="AT71" s="2024">
        <f t="shared" si="36"/>
        <v>574</v>
      </c>
      <c r="AU71" s="1945">
        <v>0</v>
      </c>
      <c r="AV71" s="1945">
        <v>0</v>
      </c>
      <c r="AW71" s="1945">
        <v>0</v>
      </c>
      <c r="AX71" s="1945">
        <v>0</v>
      </c>
      <c r="AY71" s="1947">
        <v>0</v>
      </c>
      <c r="AZ71" s="2025"/>
      <c r="BA71" s="2025"/>
      <c r="BB71" s="2025"/>
    </row>
    <row r="72" spans="1:54" s="16" customFormat="1" ht="14.25" customHeight="1">
      <c r="A72" s="15"/>
      <c r="B72" s="15"/>
      <c r="C72" s="1906"/>
      <c r="D72" s="1918" t="s">
        <v>3732</v>
      </c>
      <c r="E72" s="2022"/>
      <c r="F72" s="1980"/>
      <c r="G72" s="1980">
        <f t="shared" ref="G72:AY72" si="37">G71*$F$67</f>
        <v>45.92</v>
      </c>
      <c r="H72" s="1980">
        <f t="shared" si="37"/>
        <v>45.92</v>
      </c>
      <c r="I72" s="1980">
        <f t="shared" si="37"/>
        <v>45.92</v>
      </c>
      <c r="J72" s="1980">
        <f t="shared" si="37"/>
        <v>45.92</v>
      </c>
      <c r="K72" s="1980">
        <f t="shared" si="37"/>
        <v>45.92</v>
      </c>
      <c r="L72" s="1980">
        <f t="shared" si="37"/>
        <v>45.92</v>
      </c>
      <c r="M72" s="1980">
        <f t="shared" si="37"/>
        <v>45.92</v>
      </c>
      <c r="N72" s="1980">
        <f t="shared" si="37"/>
        <v>45.92</v>
      </c>
      <c r="O72" s="1980">
        <f t="shared" si="37"/>
        <v>45.92</v>
      </c>
      <c r="P72" s="1980">
        <f t="shared" si="37"/>
        <v>45.92</v>
      </c>
      <c r="Q72" s="1980">
        <f t="shared" si="37"/>
        <v>45.92</v>
      </c>
      <c r="R72" s="1980">
        <f t="shared" si="37"/>
        <v>45.92</v>
      </c>
      <c r="S72" s="1980">
        <f t="shared" si="37"/>
        <v>45.92</v>
      </c>
      <c r="T72" s="1980">
        <f t="shared" si="37"/>
        <v>45.92</v>
      </c>
      <c r="U72" s="1980">
        <f t="shared" si="37"/>
        <v>45.92</v>
      </c>
      <c r="V72" s="1980">
        <f t="shared" si="37"/>
        <v>45.92</v>
      </c>
      <c r="W72" s="1980">
        <f t="shared" si="37"/>
        <v>45.92</v>
      </c>
      <c r="X72" s="1980">
        <f t="shared" si="37"/>
        <v>45.92</v>
      </c>
      <c r="Y72" s="1980">
        <f t="shared" si="37"/>
        <v>45.92</v>
      </c>
      <c r="Z72" s="1980">
        <f t="shared" si="37"/>
        <v>45.92</v>
      </c>
      <c r="AA72" s="1980">
        <f t="shared" si="37"/>
        <v>45.92</v>
      </c>
      <c r="AB72" s="1980">
        <f t="shared" si="37"/>
        <v>45.92</v>
      </c>
      <c r="AC72" s="1980">
        <f t="shared" si="37"/>
        <v>45.92</v>
      </c>
      <c r="AD72" s="1980">
        <f t="shared" si="37"/>
        <v>45.92</v>
      </c>
      <c r="AE72" s="1980">
        <f t="shared" si="37"/>
        <v>45.92</v>
      </c>
      <c r="AF72" s="1980">
        <f t="shared" si="37"/>
        <v>45.92</v>
      </c>
      <c r="AG72" s="1980">
        <f t="shared" si="37"/>
        <v>45.92</v>
      </c>
      <c r="AH72" s="1980">
        <f t="shared" si="37"/>
        <v>45.92</v>
      </c>
      <c r="AI72" s="1980">
        <f t="shared" si="37"/>
        <v>45.92</v>
      </c>
      <c r="AJ72" s="1980">
        <f t="shared" si="37"/>
        <v>45.92</v>
      </c>
      <c r="AK72" s="1980">
        <f t="shared" si="37"/>
        <v>45.92</v>
      </c>
      <c r="AL72" s="1980">
        <f t="shared" si="37"/>
        <v>45.92</v>
      </c>
      <c r="AM72" s="1980">
        <f t="shared" si="37"/>
        <v>45.92</v>
      </c>
      <c r="AN72" s="1980">
        <f t="shared" si="37"/>
        <v>45.92</v>
      </c>
      <c r="AO72" s="1980">
        <f t="shared" si="37"/>
        <v>45.92</v>
      </c>
      <c r="AP72" s="1980">
        <f t="shared" si="37"/>
        <v>45.92</v>
      </c>
      <c r="AQ72" s="1980">
        <f t="shared" si="37"/>
        <v>45.92</v>
      </c>
      <c r="AR72" s="1980">
        <f t="shared" si="37"/>
        <v>45.92</v>
      </c>
      <c r="AS72" s="1980">
        <f t="shared" si="37"/>
        <v>45.92</v>
      </c>
      <c r="AT72" s="1980">
        <f t="shared" si="37"/>
        <v>45.92</v>
      </c>
      <c r="AU72" s="1980">
        <f t="shared" si="37"/>
        <v>0</v>
      </c>
      <c r="AV72" s="1980">
        <f t="shared" si="37"/>
        <v>0</v>
      </c>
      <c r="AW72" s="1980">
        <f t="shared" si="37"/>
        <v>0</v>
      </c>
      <c r="AX72" s="1980">
        <f t="shared" si="37"/>
        <v>0</v>
      </c>
      <c r="AY72" s="1941">
        <f t="shared" si="37"/>
        <v>0</v>
      </c>
      <c r="AZ72" s="1942"/>
      <c r="BA72" s="1942"/>
      <c r="BB72" s="1942"/>
    </row>
    <row r="73" spans="1:54" s="16" customFormat="1" ht="14.25" customHeight="1">
      <c r="A73" s="15"/>
      <c r="B73" s="15"/>
      <c r="C73" s="1906"/>
      <c r="D73" s="1918" t="s">
        <v>3733</v>
      </c>
      <c r="E73" s="2022"/>
      <c r="F73" s="1980"/>
      <c r="G73" s="1955">
        <f t="shared" ref="G73:AY73" si="38">G61</f>
        <v>8.48</v>
      </c>
      <c r="H73" s="1953">
        <f t="shared" si="38"/>
        <v>8.48</v>
      </c>
      <c r="I73" s="1953">
        <f t="shared" si="38"/>
        <v>8.48</v>
      </c>
      <c r="J73" s="1953">
        <f t="shared" si="38"/>
        <v>8.48</v>
      </c>
      <c r="K73" s="1953">
        <f t="shared" si="38"/>
        <v>8.48</v>
      </c>
      <c r="L73" s="1953">
        <f t="shared" si="38"/>
        <v>8.48</v>
      </c>
      <c r="M73" s="1953">
        <f t="shared" si="38"/>
        <v>8.48</v>
      </c>
      <c r="N73" s="1953">
        <f t="shared" si="38"/>
        <v>8.48</v>
      </c>
      <c r="O73" s="1953">
        <f t="shared" si="38"/>
        <v>8.48</v>
      </c>
      <c r="P73" s="1953">
        <f t="shared" si="38"/>
        <v>8.48</v>
      </c>
      <c r="Q73" s="1953">
        <f t="shared" si="38"/>
        <v>8.48</v>
      </c>
      <c r="R73" s="1953">
        <f t="shared" si="38"/>
        <v>8.48</v>
      </c>
      <c r="S73" s="1953">
        <f t="shared" si="38"/>
        <v>8.48</v>
      </c>
      <c r="T73" s="1953">
        <f t="shared" si="38"/>
        <v>8.48</v>
      </c>
      <c r="U73" s="1953">
        <f t="shared" si="38"/>
        <v>8.48</v>
      </c>
      <c r="V73" s="1953">
        <f t="shared" si="38"/>
        <v>8.48</v>
      </c>
      <c r="W73" s="1953">
        <f t="shared" si="38"/>
        <v>8.48</v>
      </c>
      <c r="X73" s="1953">
        <f t="shared" si="38"/>
        <v>8.48</v>
      </c>
      <c r="Y73" s="1953">
        <f t="shared" si="38"/>
        <v>8.48</v>
      </c>
      <c r="Z73" s="1953">
        <f t="shared" si="38"/>
        <v>8.48</v>
      </c>
      <c r="AA73" s="1953">
        <f t="shared" si="38"/>
        <v>8.48</v>
      </c>
      <c r="AB73" s="1953">
        <f t="shared" si="38"/>
        <v>8.48</v>
      </c>
      <c r="AC73" s="1953">
        <f t="shared" si="38"/>
        <v>8.48</v>
      </c>
      <c r="AD73" s="1953">
        <f t="shared" si="38"/>
        <v>8.48</v>
      </c>
      <c r="AE73" s="1953">
        <f t="shared" si="38"/>
        <v>8.48</v>
      </c>
      <c r="AF73" s="1953">
        <f t="shared" si="38"/>
        <v>8.48</v>
      </c>
      <c r="AG73" s="1953">
        <f t="shared" si="38"/>
        <v>8.48</v>
      </c>
      <c r="AH73" s="1953">
        <f t="shared" si="38"/>
        <v>8.48</v>
      </c>
      <c r="AI73" s="1953">
        <f t="shared" si="38"/>
        <v>8.48</v>
      </c>
      <c r="AJ73" s="1953">
        <f t="shared" si="38"/>
        <v>8.48</v>
      </c>
      <c r="AK73" s="1953">
        <f t="shared" si="38"/>
        <v>8.48</v>
      </c>
      <c r="AL73" s="1953">
        <f t="shared" si="38"/>
        <v>8.48</v>
      </c>
      <c r="AM73" s="1953">
        <f t="shared" si="38"/>
        <v>8.48</v>
      </c>
      <c r="AN73" s="1953">
        <f t="shared" si="38"/>
        <v>8.48</v>
      </c>
      <c r="AO73" s="1953">
        <f t="shared" si="38"/>
        <v>8.48</v>
      </c>
      <c r="AP73" s="1953">
        <f t="shared" si="38"/>
        <v>8.48</v>
      </c>
      <c r="AQ73" s="1953">
        <f t="shared" si="38"/>
        <v>8.48</v>
      </c>
      <c r="AR73" s="1953">
        <f t="shared" si="38"/>
        <v>8.48</v>
      </c>
      <c r="AS73" s="1953">
        <f t="shared" si="38"/>
        <v>8.48</v>
      </c>
      <c r="AT73" s="1953">
        <f t="shared" si="38"/>
        <v>0</v>
      </c>
      <c r="AU73" s="1953">
        <f t="shared" si="38"/>
        <v>0</v>
      </c>
      <c r="AV73" s="1953">
        <f t="shared" si="38"/>
        <v>0</v>
      </c>
      <c r="AW73" s="1953">
        <f t="shared" si="38"/>
        <v>0</v>
      </c>
      <c r="AX73" s="1953">
        <f t="shared" si="38"/>
        <v>0</v>
      </c>
      <c r="AY73" s="1955">
        <f t="shared" si="38"/>
        <v>0</v>
      </c>
      <c r="AZ73" s="1942"/>
      <c r="BA73" s="1942"/>
      <c r="BB73" s="1942"/>
    </row>
    <row r="74" spans="1:54" s="16" customFormat="1" ht="14.25" customHeight="1">
      <c r="A74" s="15"/>
      <c r="B74" s="15"/>
      <c r="C74" s="1931" t="s">
        <v>3734</v>
      </c>
      <c r="D74" s="2034"/>
      <c r="E74" s="2044">
        <f>E81</f>
        <v>0.15590000000000001</v>
      </c>
      <c r="F74" s="2036">
        <f ca="1">SUM(G74:BA74)</f>
        <v>204.48520446731098</v>
      </c>
      <c r="G74" s="2036">
        <f t="shared" ref="G74:AY74" ca="1" si="39">MIN(G69*$E74,G73)</f>
        <v>0</v>
      </c>
      <c r="H74" s="2036">
        <f t="shared" ca="1" si="39"/>
        <v>0</v>
      </c>
      <c r="I74" s="2036">
        <f t="shared" ca="1" si="39"/>
        <v>0</v>
      </c>
      <c r="J74" s="2036">
        <f t="shared" ca="1" si="39"/>
        <v>0</v>
      </c>
      <c r="K74" s="2036">
        <f t="shared" ca="1" si="39"/>
        <v>0</v>
      </c>
      <c r="L74" s="2036">
        <f t="shared" ca="1" si="39"/>
        <v>0</v>
      </c>
      <c r="M74" s="2036">
        <f t="shared" ca="1" si="39"/>
        <v>0</v>
      </c>
      <c r="N74" s="2036">
        <f t="shared" ca="1" si="39"/>
        <v>0</v>
      </c>
      <c r="O74" s="2036">
        <f t="shared" ca="1" si="39"/>
        <v>0</v>
      </c>
      <c r="P74" s="2036">
        <f t="shared" ca="1" si="39"/>
        <v>0</v>
      </c>
      <c r="Q74" s="2036">
        <f t="shared" ca="1" si="39"/>
        <v>0</v>
      </c>
      <c r="R74" s="2036">
        <f t="shared" ca="1" si="39"/>
        <v>0</v>
      </c>
      <c r="S74" s="2036">
        <f t="shared" ca="1" si="39"/>
        <v>0</v>
      </c>
      <c r="T74" s="2036">
        <f t="shared" ca="1" si="39"/>
        <v>1.2855028941122042</v>
      </c>
      <c r="U74" s="2036">
        <f t="shared" ca="1" si="39"/>
        <v>3.9418694483891779</v>
      </c>
      <c r="V74" s="2036">
        <f t="shared" ca="1" si="39"/>
        <v>4.6009182442740872</v>
      </c>
      <c r="W74" s="2036">
        <f t="shared" ca="1" si="39"/>
        <v>8.0969138805355598</v>
      </c>
      <c r="X74" s="2036">
        <f t="shared" ca="1" si="39"/>
        <v>8.48</v>
      </c>
      <c r="Y74" s="2036">
        <f t="shared" ca="1" si="39"/>
        <v>8.48</v>
      </c>
      <c r="Z74" s="2036">
        <f t="shared" ca="1" si="39"/>
        <v>8.48</v>
      </c>
      <c r="AA74" s="2036">
        <f t="shared" ca="1" si="39"/>
        <v>8.48</v>
      </c>
      <c r="AB74" s="2036">
        <f t="shared" ca="1" si="39"/>
        <v>8.48</v>
      </c>
      <c r="AC74" s="2036">
        <f t="shared" ca="1" si="39"/>
        <v>8.48</v>
      </c>
      <c r="AD74" s="2036">
        <f t="shared" ca="1" si="39"/>
        <v>8.48</v>
      </c>
      <c r="AE74" s="2036">
        <f t="shared" ca="1" si="39"/>
        <v>8.48</v>
      </c>
      <c r="AF74" s="2036">
        <f t="shared" ca="1" si="39"/>
        <v>8.48</v>
      </c>
      <c r="AG74" s="2036">
        <f t="shared" ca="1" si="39"/>
        <v>8.48</v>
      </c>
      <c r="AH74" s="2036">
        <f t="shared" ca="1" si="39"/>
        <v>8.48</v>
      </c>
      <c r="AI74" s="2036">
        <f t="shared" ca="1" si="39"/>
        <v>8.48</v>
      </c>
      <c r="AJ74" s="2036">
        <f t="shared" ca="1" si="39"/>
        <v>8.48</v>
      </c>
      <c r="AK74" s="2036">
        <f t="shared" ca="1" si="39"/>
        <v>8.48</v>
      </c>
      <c r="AL74" s="2036">
        <f t="shared" ca="1" si="39"/>
        <v>8.48</v>
      </c>
      <c r="AM74" s="2036">
        <f t="shared" ca="1" si="39"/>
        <v>8.48</v>
      </c>
      <c r="AN74" s="2036">
        <f t="shared" ca="1" si="39"/>
        <v>8.48</v>
      </c>
      <c r="AO74" s="2036">
        <f t="shared" ca="1" si="39"/>
        <v>8.48</v>
      </c>
      <c r="AP74" s="2036">
        <f t="shared" ca="1" si="39"/>
        <v>8.48</v>
      </c>
      <c r="AQ74" s="2036">
        <f t="shared" ca="1" si="39"/>
        <v>8.48</v>
      </c>
      <c r="AR74" s="2036">
        <f t="shared" ca="1" si="39"/>
        <v>8.48</v>
      </c>
      <c r="AS74" s="2036">
        <f t="shared" ca="1" si="39"/>
        <v>8.48</v>
      </c>
      <c r="AT74" s="2036">
        <f t="shared" ca="1" si="39"/>
        <v>0</v>
      </c>
      <c r="AU74" s="2036">
        <f t="shared" ca="1" si="39"/>
        <v>0</v>
      </c>
      <c r="AV74" s="2036">
        <f t="shared" ca="1" si="39"/>
        <v>0</v>
      </c>
      <c r="AW74" s="2036">
        <f t="shared" ca="1" si="39"/>
        <v>0</v>
      </c>
      <c r="AX74" s="2036">
        <f t="shared" ca="1" si="39"/>
        <v>0</v>
      </c>
      <c r="AY74" s="2037">
        <f t="shared" ca="1" si="39"/>
        <v>0</v>
      </c>
      <c r="AZ74" s="1942"/>
      <c r="BA74" s="1942"/>
      <c r="BB74" s="1942"/>
    </row>
    <row r="75" spans="1:54" s="16" customFormat="1" ht="14.25" customHeight="1">
      <c r="A75" s="15"/>
      <c r="B75" s="15"/>
      <c r="C75" s="1931" t="s">
        <v>3735</v>
      </c>
      <c r="D75" s="2034"/>
      <c r="E75" s="2045">
        <f>E82</f>
        <v>0.84409999999999996</v>
      </c>
      <c r="F75" s="2046">
        <f ca="1">SUM(G75:BA75)</f>
        <v>1107.293656772657</v>
      </c>
      <c r="G75" s="2046">
        <f t="shared" ref="G75:AY75" ca="1" si="40">MIN(G69*$E75,G72)</f>
        <v>0</v>
      </c>
      <c r="H75" s="2046">
        <f t="shared" ca="1" si="40"/>
        <v>0</v>
      </c>
      <c r="I75" s="2046">
        <f t="shared" ca="1" si="40"/>
        <v>0</v>
      </c>
      <c r="J75" s="2046">
        <f t="shared" ca="1" si="40"/>
        <v>0</v>
      </c>
      <c r="K75" s="2046">
        <f t="shared" ca="1" si="40"/>
        <v>0</v>
      </c>
      <c r="L75" s="2046">
        <f t="shared" ca="1" si="40"/>
        <v>0</v>
      </c>
      <c r="M75" s="2046">
        <f t="shared" ca="1" si="40"/>
        <v>0</v>
      </c>
      <c r="N75" s="2046">
        <f t="shared" ca="1" si="40"/>
        <v>0</v>
      </c>
      <c r="O75" s="2046">
        <f t="shared" ca="1" si="40"/>
        <v>0</v>
      </c>
      <c r="P75" s="2046">
        <f t="shared" ca="1" si="40"/>
        <v>0</v>
      </c>
      <c r="Q75" s="2046">
        <f t="shared" ca="1" si="40"/>
        <v>0</v>
      </c>
      <c r="R75" s="2046">
        <f t="shared" ca="1" si="40"/>
        <v>0</v>
      </c>
      <c r="S75" s="2046">
        <f t="shared" ca="1" si="40"/>
        <v>0</v>
      </c>
      <c r="T75" s="2046">
        <f t="shared" ca="1" si="40"/>
        <v>6.9601859712643455</v>
      </c>
      <c r="U75" s="2046">
        <f t="shared" ca="1" si="40"/>
        <v>21.342732529732551</v>
      </c>
      <c r="V75" s="2046">
        <f t="shared" ca="1" si="40"/>
        <v>24.911065362358926</v>
      </c>
      <c r="W75" s="2046">
        <f t="shared" ca="1" si="40"/>
        <v>43.839672909301257</v>
      </c>
      <c r="X75" s="2046">
        <f t="shared" ca="1" si="40"/>
        <v>45.92</v>
      </c>
      <c r="Y75" s="2046">
        <f t="shared" ca="1" si="40"/>
        <v>45.92</v>
      </c>
      <c r="Z75" s="2046">
        <f t="shared" ca="1" si="40"/>
        <v>45.92</v>
      </c>
      <c r="AA75" s="2046">
        <f t="shared" ca="1" si="40"/>
        <v>45.92</v>
      </c>
      <c r="AB75" s="2046">
        <f t="shared" ca="1" si="40"/>
        <v>45.92</v>
      </c>
      <c r="AC75" s="2046">
        <f t="shared" ca="1" si="40"/>
        <v>45.92</v>
      </c>
      <c r="AD75" s="2046">
        <f t="shared" ca="1" si="40"/>
        <v>45.92</v>
      </c>
      <c r="AE75" s="2046">
        <f t="shared" ca="1" si="40"/>
        <v>45.92</v>
      </c>
      <c r="AF75" s="2046">
        <f t="shared" ca="1" si="40"/>
        <v>45.92</v>
      </c>
      <c r="AG75" s="2046">
        <f t="shared" ca="1" si="40"/>
        <v>45.92</v>
      </c>
      <c r="AH75" s="2046">
        <f t="shared" ca="1" si="40"/>
        <v>45.92</v>
      </c>
      <c r="AI75" s="2046">
        <f t="shared" ca="1" si="40"/>
        <v>45.92</v>
      </c>
      <c r="AJ75" s="2046">
        <f t="shared" ca="1" si="40"/>
        <v>45.92</v>
      </c>
      <c r="AK75" s="2046">
        <f t="shared" ca="1" si="40"/>
        <v>45.92</v>
      </c>
      <c r="AL75" s="2046">
        <f t="shared" ca="1" si="40"/>
        <v>45.92</v>
      </c>
      <c r="AM75" s="2046">
        <f t="shared" ca="1" si="40"/>
        <v>45.92</v>
      </c>
      <c r="AN75" s="2046">
        <f t="shared" ca="1" si="40"/>
        <v>45.92</v>
      </c>
      <c r="AO75" s="2046">
        <f t="shared" ca="1" si="40"/>
        <v>45.92</v>
      </c>
      <c r="AP75" s="2046">
        <f t="shared" ca="1" si="40"/>
        <v>45.92</v>
      </c>
      <c r="AQ75" s="2046">
        <f t="shared" ca="1" si="40"/>
        <v>45.92</v>
      </c>
      <c r="AR75" s="2046">
        <f t="shared" ca="1" si="40"/>
        <v>45.92</v>
      </c>
      <c r="AS75" s="2046">
        <f t="shared" ca="1" si="40"/>
        <v>45.92</v>
      </c>
      <c r="AT75" s="2046">
        <f t="shared" ca="1" si="40"/>
        <v>0</v>
      </c>
      <c r="AU75" s="2046">
        <f t="shared" ca="1" si="40"/>
        <v>0</v>
      </c>
      <c r="AV75" s="2046">
        <f t="shared" ca="1" si="40"/>
        <v>0</v>
      </c>
      <c r="AW75" s="2046">
        <f t="shared" ca="1" si="40"/>
        <v>0</v>
      </c>
      <c r="AX75" s="2046">
        <f t="shared" ca="1" si="40"/>
        <v>0</v>
      </c>
      <c r="AY75" s="2037">
        <f t="shared" ca="1" si="40"/>
        <v>0</v>
      </c>
      <c r="AZ75" s="1942"/>
      <c r="BA75" s="1942"/>
      <c r="BB75" s="1942"/>
    </row>
    <row r="76" spans="1:54" s="16" customFormat="1" ht="14.25" customHeight="1">
      <c r="A76" s="15"/>
      <c r="B76" s="15"/>
      <c r="D76" s="1930"/>
      <c r="E76" s="2047"/>
      <c r="F76" s="1956"/>
      <c r="G76" s="1956"/>
      <c r="H76" s="1956"/>
      <c r="I76" s="1956"/>
      <c r="J76" s="1956"/>
      <c r="K76" s="1956"/>
      <c r="L76" s="1956"/>
      <c r="M76" s="1956"/>
      <c r="N76" s="1956"/>
      <c r="O76" s="1956"/>
      <c r="P76" s="1956"/>
      <c r="Q76" s="1956"/>
      <c r="R76" s="1956"/>
      <c r="S76" s="1956"/>
      <c r="T76" s="1956"/>
      <c r="U76" s="1956"/>
      <c r="V76" s="1956"/>
      <c r="W76" s="1956"/>
      <c r="X76" s="1956"/>
      <c r="Y76" s="1956"/>
      <c r="Z76" s="1956"/>
      <c r="AA76" s="1956"/>
      <c r="AB76" s="1956"/>
      <c r="AC76" s="1956"/>
      <c r="AD76" s="1956"/>
      <c r="AE76" s="1956"/>
      <c r="AF76" s="1956"/>
      <c r="AG76" s="1956"/>
      <c r="AH76" s="1956"/>
      <c r="AI76" s="1956"/>
      <c r="AJ76" s="1956"/>
      <c r="AK76" s="1956"/>
      <c r="AL76" s="1956"/>
      <c r="AM76" s="1956"/>
      <c r="AN76" s="1956"/>
      <c r="AO76" s="1956"/>
      <c r="AP76" s="1956"/>
      <c r="AQ76" s="1956"/>
      <c r="AR76" s="1956"/>
      <c r="AS76" s="1956"/>
      <c r="AT76" s="1956"/>
      <c r="AU76" s="1956"/>
      <c r="AV76" s="1956"/>
      <c r="AW76" s="1956"/>
      <c r="AX76" s="1956"/>
      <c r="AY76" s="1956"/>
      <c r="AZ76" s="1942"/>
      <c r="BA76" s="1942"/>
      <c r="BB76" s="1942"/>
    </row>
    <row r="77" spans="1:54" s="16" customFormat="1" ht="14.25" customHeight="1">
      <c r="A77" s="15"/>
      <c r="B77" s="15" t="s">
        <v>3736</v>
      </c>
    </row>
    <row r="78" spans="1:54" s="16" customFormat="1" ht="14.25" customHeight="1">
      <c r="A78" s="15"/>
      <c r="B78" s="2019"/>
      <c r="C78" s="17"/>
      <c r="F78" s="1895"/>
      <c r="G78" s="17"/>
      <c r="H78" s="1895"/>
      <c r="I78" s="1895"/>
      <c r="J78" s="1895"/>
      <c r="K78" s="1895"/>
      <c r="L78" s="1895"/>
      <c r="M78" s="1895"/>
      <c r="N78" s="1898"/>
      <c r="O78" s="1895"/>
      <c r="P78" s="1895"/>
      <c r="Q78" s="1895"/>
      <c r="R78" s="1895"/>
      <c r="S78" s="1895"/>
      <c r="T78" s="1895"/>
      <c r="U78" s="1895"/>
      <c r="V78" s="1895"/>
      <c r="W78" s="1899"/>
      <c r="X78" s="1895"/>
      <c r="Y78" s="1895"/>
      <c r="Z78" s="1895"/>
      <c r="AA78" s="1895"/>
      <c r="AB78" s="1895"/>
      <c r="AC78" s="1895"/>
      <c r="AD78" s="1895"/>
      <c r="AE78" s="1895"/>
      <c r="AF78" s="1895"/>
      <c r="AG78" s="1895"/>
      <c r="AH78" s="1895"/>
      <c r="AI78" s="1895"/>
      <c r="AJ78" s="1895"/>
      <c r="AK78" s="1895"/>
      <c r="AL78" s="1895"/>
      <c r="AM78" s="1895"/>
      <c r="AN78" s="1895"/>
      <c r="AO78" s="1895"/>
      <c r="AQ78" s="1895"/>
      <c r="AR78" s="1895"/>
      <c r="AS78" s="1895"/>
      <c r="AT78" s="1895"/>
      <c r="AU78" s="1895"/>
      <c r="AV78" s="1895"/>
      <c r="AW78" s="1895"/>
      <c r="AX78" s="1895"/>
      <c r="AZ78" s="1895"/>
      <c r="BA78" s="1895"/>
      <c r="BB78" s="1895"/>
    </row>
    <row r="79" spans="1:54" s="16" customFormat="1" ht="14.25" customHeight="1">
      <c r="C79" s="1900"/>
      <c r="D79" s="1901" t="s">
        <v>780</v>
      </c>
      <c r="E79" s="2048"/>
      <c r="F79" s="2049" t="s">
        <v>1386</v>
      </c>
      <c r="G79" s="2049">
        <f>G$10</f>
        <v>2020</v>
      </c>
      <c r="H79" s="2049">
        <f t="shared" ref="H79:AY79" si="41">G79+1</f>
        <v>2021</v>
      </c>
      <c r="I79" s="2049">
        <f t="shared" si="41"/>
        <v>2022</v>
      </c>
      <c r="J79" s="2049">
        <f t="shared" si="41"/>
        <v>2023</v>
      </c>
      <c r="K79" s="2049">
        <f t="shared" si="41"/>
        <v>2024</v>
      </c>
      <c r="L79" s="2049">
        <f t="shared" si="41"/>
        <v>2025</v>
      </c>
      <c r="M79" s="2049">
        <f t="shared" si="41"/>
        <v>2026</v>
      </c>
      <c r="N79" s="2049">
        <f t="shared" si="41"/>
        <v>2027</v>
      </c>
      <c r="O79" s="2049">
        <f t="shared" si="41"/>
        <v>2028</v>
      </c>
      <c r="P79" s="2049">
        <f t="shared" si="41"/>
        <v>2029</v>
      </c>
      <c r="Q79" s="2049">
        <f t="shared" si="41"/>
        <v>2030</v>
      </c>
      <c r="R79" s="2049">
        <f t="shared" si="41"/>
        <v>2031</v>
      </c>
      <c r="S79" s="2049">
        <f t="shared" si="41"/>
        <v>2032</v>
      </c>
      <c r="T79" s="2049">
        <f t="shared" si="41"/>
        <v>2033</v>
      </c>
      <c r="U79" s="2049">
        <f t="shared" si="41"/>
        <v>2034</v>
      </c>
      <c r="V79" s="2049">
        <f t="shared" si="41"/>
        <v>2035</v>
      </c>
      <c r="W79" s="2049">
        <f t="shared" si="41"/>
        <v>2036</v>
      </c>
      <c r="X79" s="2049">
        <f t="shared" si="41"/>
        <v>2037</v>
      </c>
      <c r="Y79" s="2049">
        <f t="shared" si="41"/>
        <v>2038</v>
      </c>
      <c r="Z79" s="2049">
        <f t="shared" si="41"/>
        <v>2039</v>
      </c>
      <c r="AA79" s="2049">
        <f t="shared" si="41"/>
        <v>2040</v>
      </c>
      <c r="AB79" s="2049">
        <f t="shared" si="41"/>
        <v>2041</v>
      </c>
      <c r="AC79" s="2049">
        <f t="shared" si="41"/>
        <v>2042</v>
      </c>
      <c r="AD79" s="2049">
        <f t="shared" si="41"/>
        <v>2043</v>
      </c>
      <c r="AE79" s="2049">
        <f t="shared" si="41"/>
        <v>2044</v>
      </c>
      <c r="AF79" s="2049">
        <f t="shared" si="41"/>
        <v>2045</v>
      </c>
      <c r="AG79" s="2049">
        <f t="shared" si="41"/>
        <v>2046</v>
      </c>
      <c r="AH79" s="2049">
        <f t="shared" si="41"/>
        <v>2047</v>
      </c>
      <c r="AI79" s="2049">
        <f t="shared" si="41"/>
        <v>2048</v>
      </c>
      <c r="AJ79" s="2049">
        <f t="shared" si="41"/>
        <v>2049</v>
      </c>
      <c r="AK79" s="2049">
        <f t="shared" si="41"/>
        <v>2050</v>
      </c>
      <c r="AL79" s="2049">
        <f t="shared" si="41"/>
        <v>2051</v>
      </c>
      <c r="AM79" s="2049">
        <f t="shared" si="41"/>
        <v>2052</v>
      </c>
      <c r="AN79" s="2049">
        <f t="shared" si="41"/>
        <v>2053</v>
      </c>
      <c r="AO79" s="2049">
        <f t="shared" si="41"/>
        <v>2054</v>
      </c>
      <c r="AP79" s="2049">
        <f t="shared" si="41"/>
        <v>2055</v>
      </c>
      <c r="AQ79" s="2049">
        <f t="shared" si="41"/>
        <v>2056</v>
      </c>
      <c r="AR79" s="2049">
        <f t="shared" si="41"/>
        <v>2057</v>
      </c>
      <c r="AS79" s="2049">
        <f t="shared" si="41"/>
        <v>2058</v>
      </c>
      <c r="AT79" s="2049">
        <f t="shared" si="41"/>
        <v>2059</v>
      </c>
      <c r="AU79" s="2049">
        <f t="shared" si="41"/>
        <v>2060</v>
      </c>
      <c r="AV79" s="2049">
        <f t="shared" si="41"/>
        <v>2061</v>
      </c>
      <c r="AW79" s="2049">
        <f t="shared" si="41"/>
        <v>2062</v>
      </c>
      <c r="AX79" s="2049">
        <f t="shared" si="41"/>
        <v>2063</v>
      </c>
      <c r="AY79" s="1904">
        <f t="shared" si="41"/>
        <v>2064</v>
      </c>
      <c r="AZ79" s="1905"/>
      <c r="BA79" s="1905"/>
      <c r="BB79" s="1905"/>
    </row>
    <row r="80" spans="1:54" s="16" customFormat="1" ht="14.25" customHeight="1">
      <c r="A80" s="15"/>
      <c r="B80" s="15"/>
      <c r="C80" s="1960"/>
      <c r="D80" s="2050" t="s">
        <v>1399</v>
      </c>
      <c r="E80" s="2051"/>
      <c r="F80" s="2008">
        <f ca="1">SUM(G80:BA80)</f>
        <v>616.34536648522408</v>
      </c>
      <c r="G80" s="2008">
        <f t="shared" ref="G80:AY80" ca="1" si="42">G69-G74-G75</f>
        <v>0</v>
      </c>
      <c r="H80" s="2008">
        <f t="shared" ca="1" si="42"/>
        <v>0</v>
      </c>
      <c r="I80" s="2008">
        <f t="shared" ca="1" si="42"/>
        <v>0</v>
      </c>
      <c r="J80" s="2008">
        <f t="shared" ca="1" si="42"/>
        <v>0</v>
      </c>
      <c r="K80" s="2008">
        <f t="shared" ca="1" si="42"/>
        <v>0</v>
      </c>
      <c r="L80" s="2008">
        <f t="shared" ca="1" si="42"/>
        <v>0</v>
      </c>
      <c r="M80" s="2008">
        <f t="shared" ca="1" si="42"/>
        <v>0</v>
      </c>
      <c r="N80" s="2008">
        <f t="shared" ca="1" si="42"/>
        <v>0</v>
      </c>
      <c r="O80" s="2008">
        <f t="shared" ca="1" si="42"/>
        <v>0</v>
      </c>
      <c r="P80" s="2008">
        <f t="shared" ca="1" si="42"/>
        <v>0</v>
      </c>
      <c r="Q80" s="2008">
        <f t="shared" ca="1" si="42"/>
        <v>0</v>
      </c>
      <c r="R80" s="2008">
        <f t="shared" ca="1" si="42"/>
        <v>0</v>
      </c>
      <c r="S80" s="2008">
        <f t="shared" ca="1" si="42"/>
        <v>0</v>
      </c>
      <c r="T80" s="2008">
        <f t="shared" ca="1" si="42"/>
        <v>0</v>
      </c>
      <c r="U80" s="2008">
        <f t="shared" ca="1" si="42"/>
        <v>0</v>
      </c>
      <c r="V80" s="2008">
        <f t="shared" ca="1" si="42"/>
        <v>0</v>
      </c>
      <c r="W80" s="2008">
        <f t="shared" ca="1" si="42"/>
        <v>0</v>
      </c>
      <c r="X80" s="2008">
        <f t="shared" ca="1" si="42"/>
        <v>2.6132303491354492</v>
      </c>
      <c r="Y80" s="2008">
        <f t="shared" ca="1" si="42"/>
        <v>16.530748371729302</v>
      </c>
      <c r="Z80" s="2008">
        <f t="shared" ca="1" si="42"/>
        <v>18.985307651134534</v>
      </c>
      <c r="AA80" s="2008">
        <f t="shared" ca="1" si="42"/>
        <v>30.805111038661281</v>
      </c>
      <c r="AB80" s="2008">
        <f t="shared" ca="1" si="42"/>
        <v>33.672687054561308</v>
      </c>
      <c r="AC80" s="2008">
        <f t="shared" ca="1" si="42"/>
        <v>30.522464029390846</v>
      </c>
      <c r="AD80" s="2008">
        <f t="shared" ca="1" si="42"/>
        <v>47.755080257653503</v>
      </c>
      <c r="AE80" s="2008">
        <f t="shared" ca="1" si="42"/>
        <v>53.981009401471852</v>
      </c>
      <c r="AF80" s="2008">
        <f t="shared" ca="1" si="42"/>
        <v>50.550668332003042</v>
      </c>
      <c r="AG80" s="2008">
        <f t="shared" ca="1" si="42"/>
        <v>39.58914087540704</v>
      </c>
      <c r="AH80" s="2008">
        <f t="shared" ca="1" si="42"/>
        <v>7.3017393909323829</v>
      </c>
      <c r="AI80" s="2008">
        <f t="shared" ca="1" si="42"/>
        <v>15.534219117380417</v>
      </c>
      <c r="AJ80" s="2008">
        <f t="shared" ca="1" si="42"/>
        <v>8.5134537110941011</v>
      </c>
      <c r="AK80" s="2008">
        <f t="shared" ca="1" si="42"/>
        <v>13.570962248008328</v>
      </c>
      <c r="AL80" s="2008">
        <f t="shared" ca="1" si="42"/>
        <v>22.142876805189601</v>
      </c>
      <c r="AM80" s="2008">
        <f t="shared" ca="1" si="42"/>
        <v>19.724388926964508</v>
      </c>
      <c r="AN80" s="2008">
        <f t="shared" ca="1" si="42"/>
        <v>20.306368267369976</v>
      </c>
      <c r="AO80" s="2008">
        <f t="shared" ca="1" si="42"/>
        <v>32.272810418241335</v>
      </c>
      <c r="AP80" s="2008">
        <f t="shared" ca="1" si="42"/>
        <v>32.553948659286817</v>
      </c>
      <c r="AQ80" s="2008">
        <f t="shared" ca="1" si="42"/>
        <v>34.463067239872998</v>
      </c>
      <c r="AR80" s="2008">
        <f t="shared" ca="1" si="42"/>
        <v>41.974178419659282</v>
      </c>
      <c r="AS80" s="2008">
        <f t="shared" ca="1" si="42"/>
        <v>42.981905920076144</v>
      </c>
      <c r="AT80" s="2008">
        <f t="shared" ca="1" si="42"/>
        <v>0</v>
      </c>
      <c r="AU80" s="2008">
        <f t="shared" ca="1" si="42"/>
        <v>0</v>
      </c>
      <c r="AV80" s="2008">
        <f t="shared" ca="1" si="42"/>
        <v>0</v>
      </c>
      <c r="AW80" s="2008">
        <f t="shared" ca="1" si="42"/>
        <v>0</v>
      </c>
      <c r="AX80" s="2008">
        <f t="shared" ca="1" si="42"/>
        <v>0</v>
      </c>
      <c r="AY80" s="2009">
        <f t="shared" ca="1" si="42"/>
        <v>0</v>
      </c>
      <c r="AZ80" s="1942"/>
      <c r="BA80" s="1942"/>
      <c r="BB80" s="1942"/>
    </row>
    <row r="81" spans="1:54" s="16" customFormat="1" ht="14.25" customHeight="1">
      <c r="A81" s="15"/>
      <c r="B81" s="15"/>
      <c r="C81" s="2052"/>
      <c r="D81" s="2006" t="s">
        <v>3737</v>
      </c>
      <c r="E81" s="2053">
        <v>0.15590000000000001</v>
      </c>
      <c r="F81" s="2054">
        <f ca="1">SUM(G81:BA81)</f>
        <v>96.088242635046427</v>
      </c>
      <c r="G81" s="2054">
        <f t="shared" ref="G81:AY81" ca="1" si="43">G$80*$E81</f>
        <v>0</v>
      </c>
      <c r="H81" s="2054">
        <f t="shared" ca="1" si="43"/>
        <v>0</v>
      </c>
      <c r="I81" s="2054">
        <f t="shared" ca="1" si="43"/>
        <v>0</v>
      </c>
      <c r="J81" s="2054">
        <f t="shared" ca="1" si="43"/>
        <v>0</v>
      </c>
      <c r="K81" s="2054">
        <f t="shared" ca="1" si="43"/>
        <v>0</v>
      </c>
      <c r="L81" s="2054">
        <f t="shared" ca="1" si="43"/>
        <v>0</v>
      </c>
      <c r="M81" s="2054">
        <f t="shared" ca="1" si="43"/>
        <v>0</v>
      </c>
      <c r="N81" s="2054">
        <f t="shared" ca="1" si="43"/>
        <v>0</v>
      </c>
      <c r="O81" s="2054">
        <f t="shared" ca="1" si="43"/>
        <v>0</v>
      </c>
      <c r="P81" s="2054">
        <f t="shared" ca="1" si="43"/>
        <v>0</v>
      </c>
      <c r="Q81" s="2054">
        <f t="shared" ca="1" si="43"/>
        <v>0</v>
      </c>
      <c r="R81" s="2054">
        <f t="shared" ca="1" si="43"/>
        <v>0</v>
      </c>
      <c r="S81" s="2054">
        <f t="shared" ca="1" si="43"/>
        <v>0</v>
      </c>
      <c r="T81" s="2054">
        <f t="shared" ca="1" si="43"/>
        <v>0</v>
      </c>
      <c r="U81" s="2054">
        <f t="shared" ca="1" si="43"/>
        <v>0</v>
      </c>
      <c r="V81" s="2054">
        <f t="shared" ca="1" si="43"/>
        <v>0</v>
      </c>
      <c r="W81" s="2054">
        <f t="shared" ca="1" si="43"/>
        <v>0</v>
      </c>
      <c r="X81" s="2054">
        <f t="shared" ca="1" si="43"/>
        <v>0.40740261143021655</v>
      </c>
      <c r="Y81" s="2054">
        <f t="shared" ca="1" si="43"/>
        <v>2.5771436711525983</v>
      </c>
      <c r="Z81" s="2054">
        <f t="shared" ca="1" si="43"/>
        <v>2.9598094628118741</v>
      </c>
      <c r="AA81" s="2054">
        <f t="shared" ca="1" si="43"/>
        <v>4.802516810927294</v>
      </c>
      <c r="AB81" s="2054">
        <f t="shared" ca="1" si="43"/>
        <v>5.2495719118061084</v>
      </c>
      <c r="AC81" s="2054">
        <f t="shared" ca="1" si="43"/>
        <v>4.7584521421820334</v>
      </c>
      <c r="AD81" s="2054">
        <f t="shared" ca="1" si="43"/>
        <v>7.445017012168182</v>
      </c>
      <c r="AE81" s="2054">
        <f t="shared" ca="1" si="43"/>
        <v>8.4156393656894615</v>
      </c>
      <c r="AF81" s="2054">
        <f t="shared" ca="1" si="43"/>
        <v>7.8808491929592748</v>
      </c>
      <c r="AG81" s="2054">
        <f t="shared" ca="1" si="43"/>
        <v>6.171947062475958</v>
      </c>
      <c r="AH81" s="2054">
        <f t="shared" ca="1" si="43"/>
        <v>1.1383411710463587</v>
      </c>
      <c r="AI81" s="2054">
        <f t="shared" ca="1" si="43"/>
        <v>2.421784760399607</v>
      </c>
      <c r="AJ81" s="2054">
        <f t="shared" ca="1" si="43"/>
        <v>1.3272474335595705</v>
      </c>
      <c r="AK81" s="2054">
        <f t="shared" ca="1" si="43"/>
        <v>2.1157130144644984</v>
      </c>
      <c r="AL81" s="2054">
        <f t="shared" ca="1" si="43"/>
        <v>3.4520744939290591</v>
      </c>
      <c r="AM81" s="2054">
        <f t="shared" ca="1" si="43"/>
        <v>3.0750322337137672</v>
      </c>
      <c r="AN81" s="2054">
        <f t="shared" ca="1" si="43"/>
        <v>3.1657628128829796</v>
      </c>
      <c r="AO81" s="2054">
        <f t="shared" ca="1" si="43"/>
        <v>5.0313311442038247</v>
      </c>
      <c r="AP81" s="2054">
        <f t="shared" ca="1" si="43"/>
        <v>5.0751605959828154</v>
      </c>
      <c r="AQ81" s="2054">
        <f t="shared" ca="1" si="43"/>
        <v>5.3727921826962008</v>
      </c>
      <c r="AR81" s="2054">
        <f t="shared" ca="1" si="43"/>
        <v>6.543774415624882</v>
      </c>
      <c r="AS81" s="2054">
        <f t="shared" ca="1" si="43"/>
        <v>6.7008791329398711</v>
      </c>
      <c r="AT81" s="2054">
        <f t="shared" ca="1" si="43"/>
        <v>0</v>
      </c>
      <c r="AU81" s="2054">
        <f t="shared" ca="1" si="43"/>
        <v>0</v>
      </c>
      <c r="AV81" s="2054">
        <f t="shared" ca="1" si="43"/>
        <v>0</v>
      </c>
      <c r="AW81" s="2054">
        <f t="shared" ca="1" si="43"/>
        <v>0</v>
      </c>
      <c r="AX81" s="2054">
        <f t="shared" ca="1" si="43"/>
        <v>0</v>
      </c>
      <c r="AY81" s="2055">
        <f t="shared" ca="1" si="43"/>
        <v>0</v>
      </c>
      <c r="AZ81" s="1942"/>
      <c r="BA81" s="1942"/>
      <c r="BB81" s="1942"/>
    </row>
    <row r="82" spans="1:54" s="16" customFormat="1" ht="14.25" customHeight="1">
      <c r="A82" s="15"/>
      <c r="B82" s="15"/>
      <c r="C82" s="2056"/>
      <c r="D82" s="2057" t="s">
        <v>3738</v>
      </c>
      <c r="E82" s="2058">
        <f>1-E81</f>
        <v>0.84409999999999996</v>
      </c>
      <c r="F82" s="2059">
        <f ca="1">SUM(G82:BA82)</f>
        <v>520.25712385017766</v>
      </c>
      <c r="G82" s="2059">
        <f t="shared" ref="G82:AY82" ca="1" si="44">G80-G81</f>
        <v>0</v>
      </c>
      <c r="H82" s="2059">
        <f t="shared" ca="1" si="44"/>
        <v>0</v>
      </c>
      <c r="I82" s="2059">
        <f t="shared" ca="1" si="44"/>
        <v>0</v>
      </c>
      <c r="J82" s="2059">
        <f t="shared" ca="1" si="44"/>
        <v>0</v>
      </c>
      <c r="K82" s="2059">
        <f t="shared" ca="1" si="44"/>
        <v>0</v>
      </c>
      <c r="L82" s="2059">
        <f t="shared" ca="1" si="44"/>
        <v>0</v>
      </c>
      <c r="M82" s="2059">
        <f t="shared" ca="1" si="44"/>
        <v>0</v>
      </c>
      <c r="N82" s="2059">
        <f t="shared" ca="1" si="44"/>
        <v>0</v>
      </c>
      <c r="O82" s="2059">
        <f t="shared" ca="1" si="44"/>
        <v>0</v>
      </c>
      <c r="P82" s="2059">
        <f t="shared" ca="1" si="44"/>
        <v>0</v>
      </c>
      <c r="Q82" s="2059">
        <f t="shared" ca="1" si="44"/>
        <v>0</v>
      </c>
      <c r="R82" s="2059">
        <f t="shared" ca="1" si="44"/>
        <v>0</v>
      </c>
      <c r="S82" s="2059">
        <f t="shared" ca="1" si="44"/>
        <v>0</v>
      </c>
      <c r="T82" s="2059">
        <f t="shared" ca="1" si="44"/>
        <v>0</v>
      </c>
      <c r="U82" s="2059">
        <f t="shared" ca="1" si="44"/>
        <v>0</v>
      </c>
      <c r="V82" s="2059">
        <f t="shared" ca="1" si="44"/>
        <v>0</v>
      </c>
      <c r="W82" s="2059">
        <f t="shared" ca="1" si="44"/>
        <v>0</v>
      </c>
      <c r="X82" s="2059">
        <f t="shared" ca="1" si="44"/>
        <v>2.2058277377052327</v>
      </c>
      <c r="Y82" s="2059">
        <f t="shared" ca="1" si="44"/>
        <v>13.953604700576705</v>
      </c>
      <c r="Z82" s="2059">
        <f t="shared" ca="1" si="44"/>
        <v>16.025498188322658</v>
      </c>
      <c r="AA82" s="2059">
        <f t="shared" ca="1" si="44"/>
        <v>26.002594227733987</v>
      </c>
      <c r="AB82" s="2059">
        <f t="shared" ca="1" si="44"/>
        <v>28.423115142755201</v>
      </c>
      <c r="AC82" s="2059">
        <f t="shared" ca="1" si="44"/>
        <v>25.764011887208813</v>
      </c>
      <c r="AD82" s="2059">
        <f t="shared" ca="1" si="44"/>
        <v>40.310063245485324</v>
      </c>
      <c r="AE82" s="2059">
        <f t="shared" ca="1" si="44"/>
        <v>45.565370035782394</v>
      </c>
      <c r="AF82" s="2059">
        <f t="shared" ca="1" si="44"/>
        <v>42.669819139043767</v>
      </c>
      <c r="AG82" s="2059">
        <f t="shared" ca="1" si="44"/>
        <v>33.417193812931082</v>
      </c>
      <c r="AH82" s="2059">
        <f t="shared" ca="1" si="44"/>
        <v>6.163398219886024</v>
      </c>
      <c r="AI82" s="2059">
        <f t="shared" ca="1" si="44"/>
        <v>13.11243435698081</v>
      </c>
      <c r="AJ82" s="2059">
        <f t="shared" ca="1" si="44"/>
        <v>7.1862062775345308</v>
      </c>
      <c r="AK82" s="2059">
        <f t="shared" ca="1" si="44"/>
        <v>11.45524923354383</v>
      </c>
      <c r="AL82" s="2059">
        <f t="shared" ca="1" si="44"/>
        <v>18.690802311260541</v>
      </c>
      <c r="AM82" s="2059">
        <f t="shared" ca="1" si="44"/>
        <v>16.649356693250741</v>
      </c>
      <c r="AN82" s="2059">
        <f t="shared" ca="1" si="44"/>
        <v>17.140605454486995</v>
      </c>
      <c r="AO82" s="2059">
        <f t="shared" ca="1" si="44"/>
        <v>27.241479274037509</v>
      </c>
      <c r="AP82" s="2059">
        <f t="shared" ca="1" si="44"/>
        <v>27.478788063304002</v>
      </c>
      <c r="AQ82" s="2059">
        <f t="shared" ca="1" si="44"/>
        <v>29.090275057176797</v>
      </c>
      <c r="AR82" s="2059">
        <f t="shared" ca="1" si="44"/>
        <v>35.430404004034401</v>
      </c>
      <c r="AS82" s="2059">
        <f t="shared" ca="1" si="44"/>
        <v>36.28102678713627</v>
      </c>
      <c r="AT82" s="2059">
        <f t="shared" ca="1" si="44"/>
        <v>0</v>
      </c>
      <c r="AU82" s="2059">
        <f t="shared" ca="1" si="44"/>
        <v>0</v>
      </c>
      <c r="AV82" s="2059">
        <f t="shared" ca="1" si="44"/>
        <v>0</v>
      </c>
      <c r="AW82" s="2059">
        <f t="shared" ca="1" si="44"/>
        <v>0</v>
      </c>
      <c r="AX82" s="2059">
        <f t="shared" ca="1" si="44"/>
        <v>0</v>
      </c>
      <c r="AY82" s="2060">
        <f t="shared" ca="1" si="44"/>
        <v>0</v>
      </c>
      <c r="AZ82" s="1942"/>
      <c r="BA82" s="1942"/>
      <c r="BB82" s="1942"/>
    </row>
    <row r="83" spans="1:54" ht="14.25" customHeight="1"/>
    <row r="84" spans="1:54" ht="14.25" customHeight="1">
      <c r="AB84" s="2061"/>
      <c r="AC84" s="2062"/>
      <c r="AD84" s="2061"/>
    </row>
    <row r="85" spans="1:54" ht="17.100000000000001" customHeight="1">
      <c r="AB85" s="2061"/>
      <c r="AC85" s="2062"/>
      <c r="AD85" s="2061"/>
    </row>
    <row r="86" spans="1:54" ht="17.100000000000001" customHeight="1">
      <c r="AB86" s="2061"/>
    </row>
  </sheetData>
  <phoneticPr fontId="12" type="noConversion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D2851-2382-4199-B5BF-C2F4B2694AE5}">
  <sheetPr codeName="Sheet27"/>
  <dimension ref="A1:GH253"/>
  <sheetViews>
    <sheetView showGridLines="0" zoomScaleNormal="100" workbookViewId="0">
      <pane xSplit="10" ySplit="7" topLeftCell="N210" activePane="bottomRight" state="frozen"/>
      <selection activeCell="C10" sqref="C10"/>
      <selection pane="topRight" activeCell="C10" sqref="C10"/>
      <selection pane="bottomLeft" activeCell="C10" sqref="C10"/>
      <selection pane="bottomRight" activeCell="Q237" sqref="Q237"/>
    </sheetView>
  </sheetViews>
  <sheetFormatPr defaultColWidth="0" defaultRowHeight="17.100000000000001" customHeight="1" outlineLevelRow="1" outlineLevelCol="1"/>
  <cols>
    <col min="1" max="1" width="1.109375" style="302" customWidth="1"/>
    <col min="2" max="2" width="1.77734375" style="302" customWidth="1"/>
    <col min="3" max="3" width="1.88671875" style="302" customWidth="1"/>
    <col min="4" max="4" width="16.6640625" style="302" customWidth="1"/>
    <col min="5" max="5" width="4.109375" style="302" customWidth="1"/>
    <col min="6" max="8" width="7.5546875" style="302" customWidth="1" outlineLevel="1"/>
    <col min="9" max="10" width="7.6640625" style="302" customWidth="1" outlineLevel="1"/>
    <col min="11" max="54" width="7.6640625" style="302" customWidth="1"/>
    <col min="55" max="173" width="7.33203125" style="302" customWidth="1"/>
    <col min="174" max="185" width="7.33203125" style="302" hidden="1" customWidth="1"/>
    <col min="186" max="187" width="8.88671875" style="302" hidden="1" customWidth="1"/>
    <col min="188" max="190" width="0" style="302" hidden="1" customWidth="1"/>
    <col min="191" max="16384" width="8.77734375" style="302" hidden="1"/>
  </cols>
  <sheetData>
    <row r="1" spans="2:185" ht="7.9" customHeight="1"/>
    <row r="2" spans="2:185" s="633" customFormat="1" ht="17.100000000000001" customHeight="1">
      <c r="B2" s="634" t="s">
        <v>696</v>
      </c>
      <c r="C2" s="635"/>
      <c r="D2" s="635"/>
      <c r="E2" s="635"/>
      <c r="F2" s="635"/>
      <c r="G2" s="635"/>
      <c r="H2" s="635"/>
      <c r="I2" s="635"/>
      <c r="J2" s="635"/>
      <c r="K2" s="635"/>
      <c r="L2" s="635"/>
      <c r="M2" s="635"/>
      <c r="N2" s="635"/>
      <c r="O2" s="635"/>
      <c r="P2" s="635"/>
      <c r="Q2" s="635"/>
      <c r="R2" s="635"/>
      <c r="S2" s="635"/>
      <c r="T2" s="635"/>
      <c r="U2" s="635"/>
      <c r="V2" s="635"/>
      <c r="W2" s="635"/>
      <c r="X2" s="635"/>
      <c r="Y2" s="635"/>
      <c r="Z2" s="635"/>
      <c r="AA2" s="635"/>
      <c r="AB2" s="635"/>
      <c r="AC2" s="635"/>
      <c r="AD2" s="635"/>
      <c r="AE2" s="635"/>
      <c r="AF2" s="635"/>
      <c r="AG2" s="635"/>
      <c r="AH2" s="635"/>
      <c r="AI2" s="635"/>
      <c r="AJ2" s="635"/>
      <c r="AK2" s="635"/>
      <c r="AL2" s="635"/>
      <c r="AM2" s="635"/>
      <c r="AN2" s="635"/>
      <c r="AO2" s="635"/>
      <c r="AP2" s="635"/>
      <c r="AQ2" s="635"/>
      <c r="AR2" s="635"/>
      <c r="AS2" s="635"/>
      <c r="AT2" s="635"/>
      <c r="AU2" s="635"/>
      <c r="AV2" s="635"/>
      <c r="AW2" s="635"/>
      <c r="AX2" s="635"/>
      <c r="AY2" s="635"/>
      <c r="AZ2" s="635"/>
      <c r="BA2" s="635"/>
      <c r="BB2" s="635"/>
      <c r="BC2" s="635"/>
      <c r="BD2" s="635"/>
      <c r="BE2" s="635"/>
      <c r="BF2" s="635"/>
      <c r="BG2" s="635"/>
      <c r="BH2" s="635"/>
      <c r="BI2" s="635"/>
      <c r="BJ2" s="635"/>
      <c r="BK2" s="635"/>
      <c r="BL2" s="635"/>
      <c r="BM2" s="635"/>
      <c r="BN2" s="635"/>
      <c r="BO2" s="635"/>
      <c r="BP2" s="635"/>
      <c r="BQ2" s="635"/>
      <c r="BR2" s="635"/>
      <c r="BS2" s="635"/>
      <c r="BT2" s="635"/>
      <c r="BU2" s="635"/>
      <c r="BV2" s="635"/>
      <c r="BW2" s="635"/>
      <c r="BX2" s="635"/>
      <c r="BY2" s="635"/>
      <c r="BZ2" s="635"/>
      <c r="CA2" s="635"/>
      <c r="CB2" s="635"/>
      <c r="CC2" s="635"/>
      <c r="CD2" s="635"/>
      <c r="CE2" s="635"/>
      <c r="CF2" s="635"/>
      <c r="CG2" s="635"/>
      <c r="CH2" s="635"/>
      <c r="CI2" s="635"/>
      <c r="CJ2" s="635"/>
      <c r="CK2" s="635"/>
      <c r="CL2" s="635"/>
      <c r="CM2" s="635"/>
      <c r="CN2" s="635"/>
      <c r="CO2" s="635"/>
      <c r="CP2" s="635"/>
      <c r="CQ2" s="635"/>
      <c r="CR2" s="635"/>
      <c r="CS2" s="635"/>
      <c r="CT2" s="635"/>
      <c r="CU2" s="635"/>
      <c r="CV2" s="635"/>
      <c r="CW2" s="635"/>
      <c r="CX2" s="635"/>
      <c r="CY2" s="635"/>
      <c r="CZ2" s="635"/>
      <c r="DA2" s="635"/>
      <c r="DB2" s="635"/>
      <c r="DC2" s="635"/>
      <c r="DD2" s="635"/>
      <c r="DE2" s="635"/>
      <c r="DF2" s="635"/>
      <c r="DG2" s="635"/>
      <c r="DH2" s="635"/>
      <c r="DI2" s="635"/>
      <c r="DJ2" s="635"/>
      <c r="DK2" s="635"/>
      <c r="DL2" s="635"/>
      <c r="DM2" s="635"/>
      <c r="DN2" s="635"/>
      <c r="DO2" s="635"/>
      <c r="DP2" s="635"/>
      <c r="DQ2" s="635"/>
      <c r="DR2" s="635"/>
      <c r="DS2" s="635"/>
      <c r="DT2" s="635"/>
      <c r="DU2" s="635"/>
      <c r="DV2" s="635"/>
      <c r="DW2" s="635"/>
      <c r="DX2" s="635"/>
      <c r="DY2" s="635"/>
      <c r="DZ2" s="635"/>
      <c r="EA2" s="635"/>
      <c r="EB2" s="635"/>
      <c r="EC2" s="635"/>
      <c r="ED2" s="635"/>
      <c r="EE2" s="635"/>
      <c r="EF2" s="635"/>
      <c r="EG2" s="635"/>
      <c r="EH2" s="635"/>
      <c r="EI2" s="635"/>
      <c r="EJ2" s="635"/>
      <c r="EK2" s="635"/>
      <c r="EL2" s="635"/>
      <c r="EM2" s="635"/>
      <c r="EN2" s="635"/>
      <c r="EO2" s="635"/>
      <c r="EP2" s="635"/>
      <c r="EQ2" s="635"/>
      <c r="ER2" s="635"/>
      <c r="ES2" s="635"/>
      <c r="ET2" s="635"/>
      <c r="EU2" s="635"/>
      <c r="EV2" s="635"/>
      <c r="EW2" s="635"/>
      <c r="EX2" s="635"/>
      <c r="EY2" s="635"/>
      <c r="EZ2" s="635"/>
      <c r="FA2" s="635"/>
      <c r="FB2" s="635"/>
      <c r="FC2" s="635"/>
      <c r="FD2" s="635"/>
      <c r="FE2" s="635"/>
      <c r="FF2" s="635"/>
      <c r="FG2" s="635"/>
      <c r="FH2" s="635"/>
      <c r="FI2" s="635"/>
      <c r="FJ2" s="635"/>
      <c r="FK2" s="635"/>
      <c r="FL2" s="635"/>
      <c r="FM2" s="635"/>
      <c r="FN2" s="635"/>
      <c r="FO2" s="635"/>
      <c r="FP2" s="635"/>
      <c r="FQ2" s="635"/>
    </row>
    <row r="3" spans="2:185" ht="17.100000000000001" hidden="1" customHeight="1" outlineLevel="1">
      <c r="D3" s="396" t="s">
        <v>771</v>
      </c>
      <c r="I3" s="1256"/>
      <c r="J3" s="1605">
        <f t="shared" ref="J3:BB3" si="0">J7</f>
        <v>2019</v>
      </c>
      <c r="K3" s="1605">
        <f t="shared" si="0"/>
        <v>2020</v>
      </c>
      <c r="L3" s="1605">
        <f t="shared" si="0"/>
        <v>2021</v>
      </c>
      <c r="M3" s="1605">
        <f t="shared" si="0"/>
        <v>2022</v>
      </c>
      <c r="N3" s="1605">
        <f t="shared" si="0"/>
        <v>2023</v>
      </c>
      <c r="O3" s="1605">
        <f t="shared" si="0"/>
        <v>2024</v>
      </c>
      <c r="P3" s="1605">
        <f t="shared" si="0"/>
        <v>2025</v>
      </c>
      <c r="Q3" s="1605">
        <f t="shared" si="0"/>
        <v>2026</v>
      </c>
      <c r="R3" s="1605">
        <f t="shared" si="0"/>
        <v>2027</v>
      </c>
      <c r="S3" s="1605">
        <f t="shared" si="0"/>
        <v>2028</v>
      </c>
      <c r="T3" s="1605">
        <f t="shared" si="0"/>
        <v>2029</v>
      </c>
      <c r="U3" s="1605">
        <f t="shared" si="0"/>
        <v>2030</v>
      </c>
      <c r="V3" s="1605">
        <f t="shared" si="0"/>
        <v>2031</v>
      </c>
      <c r="W3" s="1605">
        <f t="shared" si="0"/>
        <v>2032</v>
      </c>
      <c r="X3" s="1605">
        <f t="shared" si="0"/>
        <v>2033</v>
      </c>
      <c r="Y3" s="1605">
        <f t="shared" si="0"/>
        <v>2034</v>
      </c>
      <c r="Z3" s="1605">
        <f t="shared" si="0"/>
        <v>2035</v>
      </c>
      <c r="AA3" s="1605">
        <f t="shared" si="0"/>
        <v>2036</v>
      </c>
      <c r="AB3" s="1605">
        <f t="shared" si="0"/>
        <v>2037</v>
      </c>
      <c r="AC3" s="1605">
        <f t="shared" si="0"/>
        <v>2038</v>
      </c>
      <c r="AD3" s="1605">
        <f t="shared" si="0"/>
        <v>2039</v>
      </c>
      <c r="AE3" s="1605">
        <f t="shared" si="0"/>
        <v>2040</v>
      </c>
      <c r="AF3" s="1605">
        <f t="shared" si="0"/>
        <v>2041</v>
      </c>
      <c r="AG3" s="1605">
        <f t="shared" si="0"/>
        <v>2042</v>
      </c>
      <c r="AH3" s="1605">
        <f t="shared" si="0"/>
        <v>2043</v>
      </c>
      <c r="AI3" s="1605">
        <f t="shared" si="0"/>
        <v>2044</v>
      </c>
      <c r="AJ3" s="1605">
        <f t="shared" si="0"/>
        <v>2045</v>
      </c>
      <c r="AK3" s="1605">
        <f t="shared" si="0"/>
        <v>2046</v>
      </c>
      <c r="AL3" s="1605">
        <f t="shared" si="0"/>
        <v>2047</v>
      </c>
      <c r="AM3" s="1605">
        <f t="shared" si="0"/>
        <v>2048</v>
      </c>
      <c r="AN3" s="1605">
        <f t="shared" si="0"/>
        <v>2049</v>
      </c>
      <c r="AO3" s="1605">
        <f t="shared" si="0"/>
        <v>2050</v>
      </c>
      <c r="AP3" s="1605">
        <f t="shared" si="0"/>
        <v>2051</v>
      </c>
      <c r="AQ3" s="1605">
        <f t="shared" si="0"/>
        <v>2052</v>
      </c>
      <c r="AR3" s="1605">
        <f t="shared" si="0"/>
        <v>2053</v>
      </c>
      <c r="AS3" s="1605">
        <f t="shared" si="0"/>
        <v>2054</v>
      </c>
      <c r="AT3" s="1605">
        <f t="shared" si="0"/>
        <v>2055</v>
      </c>
      <c r="AU3" s="1605">
        <f t="shared" si="0"/>
        <v>2056</v>
      </c>
      <c r="AV3" s="1605">
        <f t="shared" si="0"/>
        <v>2057</v>
      </c>
      <c r="AW3" s="1605">
        <f t="shared" si="0"/>
        <v>2058</v>
      </c>
      <c r="AX3" s="1605">
        <f t="shared" si="0"/>
        <v>2059</v>
      </c>
      <c r="AY3" s="1605">
        <f t="shared" si="0"/>
        <v>2060</v>
      </c>
      <c r="AZ3" s="1605">
        <f t="shared" si="0"/>
        <v>2061</v>
      </c>
      <c r="BA3" s="1605">
        <f t="shared" si="0"/>
        <v>2062</v>
      </c>
      <c r="BB3" s="1605">
        <f t="shared" si="0"/>
        <v>2063</v>
      </c>
      <c r="BC3" s="1605"/>
      <c r="BD3" s="1605"/>
      <c r="BE3" s="1605"/>
      <c r="BF3" s="1605"/>
      <c r="BG3" s="1605"/>
      <c r="BH3" s="1605"/>
      <c r="BI3" s="1605"/>
      <c r="BJ3" s="1605"/>
      <c r="BK3" s="1605"/>
      <c r="BL3" s="1605"/>
      <c r="BM3" s="1605"/>
      <c r="BN3" s="1605"/>
      <c r="BO3" s="1605"/>
      <c r="BP3" s="1605"/>
      <c r="BQ3" s="1605"/>
      <c r="BR3" s="1605"/>
      <c r="BS3" s="1605"/>
      <c r="BT3" s="1605"/>
      <c r="BU3" s="1605"/>
      <c r="BV3" s="1605"/>
      <c r="BW3" s="1605"/>
      <c r="BX3" s="1605"/>
      <c r="BY3" s="1605"/>
      <c r="BZ3" s="1605"/>
      <c r="CA3" s="1605"/>
      <c r="CB3" s="1605"/>
      <c r="CC3" s="1605"/>
      <c r="CD3" s="1605"/>
      <c r="CE3" s="1605"/>
      <c r="CF3" s="1605"/>
      <c r="CG3" s="1605"/>
      <c r="CH3" s="1605"/>
      <c r="CI3" s="1605"/>
      <c r="CJ3" s="1605"/>
      <c r="CK3" s="1605"/>
      <c r="CL3" s="1605"/>
      <c r="CM3" s="1605"/>
      <c r="CN3" s="1605"/>
      <c r="CO3" s="1605"/>
      <c r="CP3" s="1605"/>
      <c r="CQ3" s="1605"/>
      <c r="CR3" s="1605"/>
      <c r="CS3" s="1605"/>
      <c r="CT3" s="1605"/>
      <c r="CU3" s="1605"/>
      <c r="CV3" s="1605"/>
      <c r="CW3" s="1605"/>
      <c r="CX3" s="1605"/>
      <c r="CY3" s="1605"/>
      <c r="CZ3" s="1605"/>
      <c r="DA3" s="1605"/>
      <c r="DB3" s="1605"/>
      <c r="DC3" s="1605"/>
      <c r="DD3" s="1605"/>
      <c r="DE3" s="1605"/>
      <c r="DF3" s="1605"/>
      <c r="DG3" s="1605"/>
      <c r="DH3" s="1605"/>
      <c r="DI3" s="1605"/>
      <c r="DJ3" s="1605"/>
      <c r="DK3" s="1605"/>
      <c r="DL3" s="1605"/>
      <c r="DM3" s="1605"/>
      <c r="DN3" s="1605"/>
      <c r="DO3" s="1605"/>
      <c r="DP3" s="1605"/>
      <c r="DQ3" s="1605"/>
      <c r="DR3" s="1605"/>
      <c r="DS3" s="1605"/>
      <c r="DT3" s="1605"/>
      <c r="DU3" s="1605"/>
      <c r="DV3" s="1605"/>
      <c r="DW3" s="1605"/>
      <c r="DX3" s="1605"/>
      <c r="DY3" s="1605"/>
      <c r="DZ3" s="1605"/>
      <c r="EA3" s="1605"/>
      <c r="EB3" s="1605"/>
      <c r="EC3" s="1605"/>
      <c r="ED3" s="1605"/>
      <c r="EE3" s="1605"/>
      <c r="EF3" s="1605"/>
      <c r="EG3" s="1605"/>
      <c r="EH3" s="1605"/>
      <c r="EI3" s="1605"/>
      <c r="EJ3" s="1605"/>
      <c r="EK3" s="1605"/>
      <c r="EL3" s="1605"/>
      <c r="EM3" s="1605"/>
      <c r="EN3" s="1605"/>
      <c r="EO3" s="1605"/>
      <c r="EP3" s="1605"/>
      <c r="EQ3" s="1605"/>
      <c r="ER3" s="1605"/>
      <c r="ES3" s="1605"/>
      <c r="ET3" s="1605"/>
      <c r="EU3" s="1605"/>
      <c r="EV3" s="1605"/>
      <c r="EW3" s="1605"/>
      <c r="EX3" s="1605"/>
      <c r="EY3" s="1605"/>
      <c r="EZ3" s="1605"/>
      <c r="FA3" s="1605"/>
      <c r="FB3" s="1605"/>
      <c r="FC3" s="1605"/>
      <c r="FD3" s="1605"/>
      <c r="FE3" s="1605"/>
      <c r="FF3" s="1605"/>
      <c r="FG3" s="1605"/>
      <c r="FH3" s="1605"/>
      <c r="FI3" s="1605"/>
      <c r="FJ3" s="1605"/>
      <c r="FK3" s="1605"/>
      <c r="FL3" s="1605"/>
      <c r="FM3" s="1605"/>
      <c r="FN3" s="1605"/>
      <c r="FO3" s="1605"/>
      <c r="FP3" s="1605"/>
      <c r="FQ3" s="1605"/>
      <c r="FR3" s="1605"/>
      <c r="FS3" s="1605"/>
      <c r="FT3" s="1605"/>
      <c r="FU3" s="1605"/>
      <c r="FV3" s="1605"/>
      <c r="FW3" s="1605"/>
      <c r="FX3" s="1605"/>
      <c r="FY3" s="1605"/>
      <c r="FZ3" s="1605"/>
      <c r="GA3" s="1605"/>
      <c r="GB3" s="1605"/>
      <c r="GC3" s="1605"/>
    </row>
    <row r="4" spans="2:185" ht="17.100000000000001" hidden="1" customHeight="1" outlineLevel="1">
      <c r="D4" s="396" t="s">
        <v>777</v>
      </c>
      <c r="I4" s="1256">
        <f>SUM(J4:FE4)</f>
        <v>486</v>
      </c>
      <c r="J4" s="1258">
        <f>Index!G17</f>
        <v>12</v>
      </c>
      <c r="K4" s="1258">
        <f>Index!H17</f>
        <v>12</v>
      </c>
      <c r="L4" s="1258">
        <f>Index!I17</f>
        <v>12</v>
      </c>
      <c r="M4" s="1258">
        <f>Index!J17</f>
        <v>12</v>
      </c>
      <c r="N4" s="1258">
        <f>Index!K17</f>
        <v>12</v>
      </c>
      <c r="O4" s="1258">
        <f>Index!L17</f>
        <v>12</v>
      </c>
      <c r="P4" s="1258">
        <f>Index!M17</f>
        <v>12</v>
      </c>
      <c r="Q4" s="1258">
        <f>Index!N17</f>
        <v>12</v>
      </c>
      <c r="R4" s="1258">
        <f>Index!O17</f>
        <v>12</v>
      </c>
      <c r="S4" s="1258">
        <f>Index!P17</f>
        <v>12</v>
      </c>
      <c r="T4" s="1258">
        <f>Index!Q17</f>
        <v>12</v>
      </c>
      <c r="U4" s="1258">
        <f>Index!R17</f>
        <v>12</v>
      </c>
      <c r="V4" s="1258">
        <f>Index!S17</f>
        <v>12</v>
      </c>
      <c r="W4" s="1258">
        <f>Index!T17</f>
        <v>12</v>
      </c>
      <c r="X4" s="1258">
        <f>Index!U17</f>
        <v>12</v>
      </c>
      <c r="Y4" s="1258">
        <f>Index!V17</f>
        <v>12</v>
      </c>
      <c r="Z4" s="1258">
        <f>Index!W17</f>
        <v>12</v>
      </c>
      <c r="AA4" s="1258">
        <f>Index!X17</f>
        <v>12</v>
      </c>
      <c r="AB4" s="1258">
        <f>Index!Y17</f>
        <v>12</v>
      </c>
      <c r="AC4" s="1258">
        <f>Index!Z17</f>
        <v>12</v>
      </c>
      <c r="AD4" s="1258">
        <f>Index!AA17</f>
        <v>12</v>
      </c>
      <c r="AE4" s="1258">
        <f>Index!AB17</f>
        <v>12</v>
      </c>
      <c r="AF4" s="1258">
        <f>Index!AC17</f>
        <v>12</v>
      </c>
      <c r="AG4" s="1258">
        <f>Index!AD17</f>
        <v>12</v>
      </c>
      <c r="AH4" s="1258">
        <f>Index!AE17</f>
        <v>12</v>
      </c>
      <c r="AI4" s="1258">
        <f>Index!AF17</f>
        <v>12</v>
      </c>
      <c r="AJ4" s="1258">
        <f>Index!AG17</f>
        <v>12</v>
      </c>
      <c r="AK4" s="1258">
        <f>Index!AH17</f>
        <v>12</v>
      </c>
      <c r="AL4" s="1258">
        <f>Index!AI17</f>
        <v>12</v>
      </c>
      <c r="AM4" s="1258">
        <f>Index!AJ17</f>
        <v>12</v>
      </c>
      <c r="AN4" s="1258">
        <f>Index!AK17</f>
        <v>12</v>
      </c>
      <c r="AO4" s="1258">
        <f>Index!AL17</f>
        <v>12</v>
      </c>
      <c r="AP4" s="1258">
        <f>Index!AM17</f>
        <v>12</v>
      </c>
      <c r="AQ4" s="1258">
        <f>Index!AN17</f>
        <v>12</v>
      </c>
      <c r="AR4" s="1258">
        <f>Index!AO17</f>
        <v>12</v>
      </c>
      <c r="AS4" s="1258">
        <f>Index!AP17</f>
        <v>12</v>
      </c>
      <c r="AT4" s="1258">
        <f>Index!AQ17</f>
        <v>12</v>
      </c>
      <c r="AU4" s="1258">
        <f>Index!AR17</f>
        <v>12</v>
      </c>
      <c r="AV4" s="1258">
        <f>Index!AS17</f>
        <v>12</v>
      </c>
      <c r="AW4" s="1258">
        <f>Index!AT17</f>
        <v>12</v>
      </c>
      <c r="AX4" s="1258">
        <f>Index!AU17</f>
        <v>6</v>
      </c>
      <c r="AY4" s="1258">
        <f>Index!AV17</f>
        <v>0</v>
      </c>
      <c r="AZ4" s="1258">
        <f>Index!AW17</f>
        <v>0</v>
      </c>
      <c r="BA4" s="1258">
        <f>Index!AX17</f>
        <v>0</v>
      </c>
      <c r="BB4" s="1258">
        <f>Index!AY17</f>
        <v>0</v>
      </c>
      <c r="BC4" s="1258"/>
      <c r="BD4" s="1258"/>
      <c r="BE4" s="1258"/>
      <c r="BF4" s="1258"/>
      <c r="BG4" s="1258"/>
      <c r="BH4" s="1258"/>
      <c r="BI4" s="1258"/>
      <c r="BJ4" s="1258"/>
      <c r="BK4" s="1258"/>
      <c r="BL4" s="1258"/>
      <c r="BM4" s="1258"/>
      <c r="BN4" s="1258"/>
      <c r="BO4" s="1258"/>
      <c r="BP4" s="1258"/>
      <c r="BQ4" s="1258"/>
      <c r="BR4" s="1258"/>
      <c r="BS4" s="1258"/>
      <c r="BT4" s="1258"/>
      <c r="BU4" s="1258"/>
      <c r="BV4" s="1258"/>
      <c r="BW4" s="1258"/>
      <c r="BX4" s="1258"/>
      <c r="BY4" s="1258"/>
      <c r="BZ4" s="1258"/>
      <c r="CA4" s="1258"/>
      <c r="CB4" s="1258"/>
      <c r="CC4" s="1258"/>
      <c r="CD4" s="1258"/>
      <c r="CE4" s="1258"/>
      <c r="CF4" s="1258"/>
      <c r="CG4" s="1258"/>
      <c r="CH4" s="1258"/>
      <c r="CI4" s="1258"/>
      <c r="CJ4" s="1258"/>
      <c r="CK4" s="1258"/>
      <c r="CL4" s="1258"/>
      <c r="CM4" s="1258"/>
      <c r="CN4" s="1258"/>
      <c r="CO4" s="1258"/>
      <c r="CP4" s="1258"/>
      <c r="CQ4" s="1258"/>
      <c r="CR4" s="1258"/>
      <c r="CS4" s="1258"/>
      <c r="CT4" s="1258"/>
      <c r="CU4" s="1258"/>
      <c r="CV4" s="1258"/>
      <c r="CW4" s="1258"/>
      <c r="CX4" s="1258"/>
      <c r="CY4" s="1258"/>
      <c r="CZ4" s="1258"/>
      <c r="DA4" s="1258"/>
      <c r="DB4" s="1258"/>
      <c r="DC4" s="1258"/>
      <c r="DD4" s="1258"/>
      <c r="DE4" s="1258"/>
      <c r="DF4" s="1258"/>
      <c r="DG4" s="1258"/>
      <c r="DH4" s="1258"/>
      <c r="DI4" s="1258"/>
      <c r="DJ4" s="1258"/>
      <c r="DK4" s="1258"/>
      <c r="DL4" s="1258"/>
      <c r="DM4" s="1258"/>
      <c r="DN4" s="1258"/>
      <c r="DO4" s="1258"/>
      <c r="DP4" s="1258"/>
      <c r="DQ4" s="1258"/>
      <c r="DR4" s="1258"/>
      <c r="DS4" s="1258"/>
      <c r="DT4" s="1258"/>
      <c r="DU4" s="1258"/>
      <c r="DV4" s="1258"/>
      <c r="DW4" s="1258"/>
      <c r="DX4" s="1258"/>
      <c r="DY4" s="1258"/>
      <c r="DZ4" s="1258"/>
      <c r="EA4" s="1258"/>
      <c r="EB4" s="1258"/>
      <c r="EC4" s="1258"/>
      <c r="ED4" s="1258"/>
      <c r="EE4" s="1258"/>
      <c r="EF4" s="1258"/>
      <c r="EG4" s="1258"/>
      <c r="EH4" s="1258"/>
      <c r="EI4" s="1258"/>
      <c r="EJ4" s="1258"/>
      <c r="EK4" s="1258"/>
      <c r="EL4" s="1258"/>
      <c r="EM4" s="1258"/>
      <c r="EN4" s="1258"/>
      <c r="EO4" s="1258"/>
      <c r="EP4" s="1258"/>
      <c r="EQ4" s="1258"/>
      <c r="ER4" s="1258"/>
      <c r="ES4" s="1258"/>
      <c r="ET4" s="1258"/>
      <c r="EU4" s="1258"/>
      <c r="EV4" s="1258"/>
      <c r="EW4" s="1258"/>
      <c r="EX4" s="1258"/>
      <c r="EY4" s="1258"/>
      <c r="EZ4" s="1258"/>
      <c r="FA4" s="1258"/>
      <c r="FB4" s="1258"/>
      <c r="FC4" s="1258"/>
      <c r="FD4" s="1258"/>
      <c r="FE4" s="1258"/>
      <c r="FF4" s="1258"/>
      <c r="FG4" s="1258"/>
      <c r="FH4" s="1258"/>
      <c r="FI4" s="1258"/>
      <c r="FJ4" s="1258"/>
      <c r="FK4" s="1258"/>
      <c r="FL4" s="1258"/>
      <c r="FM4" s="1258"/>
      <c r="FN4" s="1258"/>
      <c r="FO4" s="1258"/>
      <c r="FP4" s="1258"/>
      <c r="FQ4" s="1258"/>
      <c r="FR4" s="1258"/>
      <c r="FS4" s="1258"/>
      <c r="FT4" s="1258"/>
      <c r="FU4" s="1258"/>
      <c r="FV4" s="1258"/>
      <c r="FW4" s="1258"/>
      <c r="FX4" s="1258"/>
      <c r="FY4" s="1258"/>
      <c r="FZ4" s="1258"/>
      <c r="GA4" s="1258"/>
      <c r="GB4" s="1258"/>
      <c r="GC4" s="1258"/>
    </row>
    <row r="5" spans="2:185" s="707" customFormat="1" ht="17.100000000000001" hidden="1" customHeight="1" outlineLevel="1" thickBot="1"/>
    <row r="6" spans="2:185" ht="17.100000000000001" customHeight="1" collapsed="1"/>
    <row r="7" spans="2:185" ht="17.100000000000001" customHeight="1">
      <c r="B7" s="717"/>
      <c r="C7" s="937"/>
      <c r="D7" s="718" t="s">
        <v>780</v>
      </c>
      <c r="E7" s="719"/>
      <c r="F7" s="719">
        <f>G7-1</f>
        <v>2015</v>
      </c>
      <c r="G7" s="719">
        <f>H7-1</f>
        <v>2016</v>
      </c>
      <c r="H7" s="719">
        <f>I7-1</f>
        <v>2017</v>
      </c>
      <c r="I7" s="719">
        <f>J7-1</f>
        <v>2018</v>
      </c>
      <c r="J7" s="766">
        <f>기준년도</f>
        <v>2019</v>
      </c>
      <c r="K7" s="766">
        <f t="shared" ref="K7:BB7" si="1">J7+1</f>
        <v>2020</v>
      </c>
      <c r="L7" s="766">
        <f t="shared" si="1"/>
        <v>2021</v>
      </c>
      <c r="M7" s="766">
        <f t="shared" si="1"/>
        <v>2022</v>
      </c>
      <c r="N7" s="766">
        <f t="shared" si="1"/>
        <v>2023</v>
      </c>
      <c r="O7" s="766">
        <f t="shared" si="1"/>
        <v>2024</v>
      </c>
      <c r="P7" s="766">
        <f t="shared" si="1"/>
        <v>2025</v>
      </c>
      <c r="Q7" s="766">
        <f t="shared" si="1"/>
        <v>2026</v>
      </c>
      <c r="R7" s="766">
        <f t="shared" si="1"/>
        <v>2027</v>
      </c>
      <c r="S7" s="766">
        <f t="shared" si="1"/>
        <v>2028</v>
      </c>
      <c r="T7" s="766">
        <f t="shared" si="1"/>
        <v>2029</v>
      </c>
      <c r="U7" s="766">
        <f t="shared" si="1"/>
        <v>2030</v>
      </c>
      <c r="V7" s="766">
        <f t="shared" si="1"/>
        <v>2031</v>
      </c>
      <c r="W7" s="766">
        <f t="shared" si="1"/>
        <v>2032</v>
      </c>
      <c r="X7" s="766">
        <f t="shared" si="1"/>
        <v>2033</v>
      </c>
      <c r="Y7" s="766">
        <f t="shared" si="1"/>
        <v>2034</v>
      </c>
      <c r="Z7" s="766">
        <f t="shared" si="1"/>
        <v>2035</v>
      </c>
      <c r="AA7" s="766">
        <f t="shared" si="1"/>
        <v>2036</v>
      </c>
      <c r="AB7" s="766">
        <f t="shared" si="1"/>
        <v>2037</v>
      </c>
      <c r="AC7" s="766">
        <f t="shared" si="1"/>
        <v>2038</v>
      </c>
      <c r="AD7" s="766">
        <f t="shared" si="1"/>
        <v>2039</v>
      </c>
      <c r="AE7" s="766">
        <f t="shared" si="1"/>
        <v>2040</v>
      </c>
      <c r="AF7" s="766">
        <f t="shared" si="1"/>
        <v>2041</v>
      </c>
      <c r="AG7" s="766">
        <f t="shared" si="1"/>
        <v>2042</v>
      </c>
      <c r="AH7" s="766">
        <f t="shared" si="1"/>
        <v>2043</v>
      </c>
      <c r="AI7" s="766">
        <f t="shared" si="1"/>
        <v>2044</v>
      </c>
      <c r="AJ7" s="766">
        <f t="shared" si="1"/>
        <v>2045</v>
      </c>
      <c r="AK7" s="766">
        <f t="shared" si="1"/>
        <v>2046</v>
      </c>
      <c r="AL7" s="766">
        <f t="shared" si="1"/>
        <v>2047</v>
      </c>
      <c r="AM7" s="766">
        <f t="shared" si="1"/>
        <v>2048</v>
      </c>
      <c r="AN7" s="766">
        <f t="shared" si="1"/>
        <v>2049</v>
      </c>
      <c r="AO7" s="766">
        <f t="shared" si="1"/>
        <v>2050</v>
      </c>
      <c r="AP7" s="766">
        <f t="shared" si="1"/>
        <v>2051</v>
      </c>
      <c r="AQ7" s="766">
        <f t="shared" si="1"/>
        <v>2052</v>
      </c>
      <c r="AR7" s="766">
        <f t="shared" si="1"/>
        <v>2053</v>
      </c>
      <c r="AS7" s="766">
        <f t="shared" si="1"/>
        <v>2054</v>
      </c>
      <c r="AT7" s="766">
        <f t="shared" si="1"/>
        <v>2055</v>
      </c>
      <c r="AU7" s="766">
        <f t="shared" si="1"/>
        <v>2056</v>
      </c>
      <c r="AV7" s="766">
        <f t="shared" si="1"/>
        <v>2057</v>
      </c>
      <c r="AW7" s="766">
        <f t="shared" si="1"/>
        <v>2058</v>
      </c>
      <c r="AX7" s="766">
        <f t="shared" si="1"/>
        <v>2059</v>
      </c>
      <c r="AY7" s="766">
        <f t="shared" si="1"/>
        <v>2060</v>
      </c>
      <c r="AZ7" s="766">
        <f t="shared" si="1"/>
        <v>2061</v>
      </c>
      <c r="BA7" s="766">
        <f t="shared" si="1"/>
        <v>2062</v>
      </c>
      <c r="BB7" s="766">
        <f t="shared" si="1"/>
        <v>2063</v>
      </c>
    </row>
    <row r="8" spans="2:185" ht="17.100000000000001" customHeight="1">
      <c r="B8" s="720" t="s">
        <v>1333</v>
      </c>
      <c r="C8" s="315"/>
      <c r="D8" s="1259"/>
      <c r="E8" s="722"/>
      <c r="F8" s="1606">
        <f>F9</f>
        <v>256.54819777</v>
      </c>
      <c r="G8" s="1606">
        <f>G9</f>
        <v>266.46826385999998</v>
      </c>
      <c r="H8" s="1606">
        <f>H9</f>
        <v>235.83511121000004</v>
      </c>
      <c r="I8" s="1606">
        <f>I9</f>
        <v>230.62114007</v>
      </c>
      <c r="J8" s="1607">
        <f t="shared" ref="J8:AX8" ca="1" si="2">J9</f>
        <v>185.48566977249016</v>
      </c>
      <c r="K8" s="1491">
        <f t="shared" si="2"/>
        <v>147.68832412</v>
      </c>
      <c r="L8" s="1491">
        <f t="shared" ca="1" si="2"/>
        <v>114.52286400000003</v>
      </c>
      <c r="M8" s="1491">
        <f t="shared" ca="1" si="2"/>
        <v>174.36431360205532</v>
      </c>
      <c r="N8" s="1491">
        <f t="shared" ca="1" si="2"/>
        <v>151.77819622597627</v>
      </c>
      <c r="O8" s="1608">
        <f t="shared" ca="1" si="2"/>
        <v>159.73965950242905</v>
      </c>
      <c r="P8" s="1491">
        <f t="shared" ca="1" si="2"/>
        <v>168.08288259193648</v>
      </c>
      <c r="Q8" s="1491">
        <f t="shared" ca="1" si="2"/>
        <v>172.25674630882006</v>
      </c>
      <c r="R8" s="1491">
        <f t="shared" ca="1" si="2"/>
        <v>189.60012071850394</v>
      </c>
      <c r="S8" s="1491">
        <f t="shared" ca="1" si="2"/>
        <v>213.38050133517009</v>
      </c>
      <c r="T8" s="1491">
        <f t="shared" ca="1" si="2"/>
        <v>199.77396147536359</v>
      </c>
      <c r="U8" s="1491">
        <f t="shared" ca="1" si="2"/>
        <v>243.78454953250673</v>
      </c>
      <c r="V8" s="1491">
        <f t="shared" ca="1" si="2"/>
        <v>249.37875384571953</v>
      </c>
      <c r="W8" s="1491">
        <f t="shared" ca="1" si="2"/>
        <v>277.2627984755614</v>
      </c>
      <c r="X8" s="1491">
        <f t="shared" ca="1" si="2"/>
        <v>341.48309021695138</v>
      </c>
      <c r="Y8" s="1491">
        <f t="shared" ca="1" si="2"/>
        <v>364.59132741665098</v>
      </c>
      <c r="Z8" s="1491">
        <f t="shared" ca="1" si="2"/>
        <v>375.23572510766269</v>
      </c>
      <c r="AA8" s="1491">
        <f t="shared" ca="1" si="2"/>
        <v>385.16493622164683</v>
      </c>
      <c r="AB8" s="1491">
        <f t="shared" ca="1" si="2"/>
        <v>403.73823720279995</v>
      </c>
      <c r="AC8" s="1491">
        <f t="shared" ca="1" si="2"/>
        <v>384.86533423524577</v>
      </c>
      <c r="AD8" s="1491">
        <f t="shared" ca="1" si="2"/>
        <v>281.94681137648126</v>
      </c>
      <c r="AE8" s="1491">
        <f t="shared" ca="1" si="2"/>
        <v>266.05828602078424</v>
      </c>
      <c r="AF8" s="1491">
        <f t="shared" ca="1" si="2"/>
        <v>257.8704634542845</v>
      </c>
      <c r="AG8" s="1491">
        <f t="shared" ca="1" si="2"/>
        <v>253.00534662132736</v>
      </c>
      <c r="AH8" s="1491">
        <f t="shared" ca="1" si="2"/>
        <v>270.23796284959008</v>
      </c>
      <c r="AI8" s="1491">
        <f t="shared" ca="1" si="2"/>
        <v>290.69542724929306</v>
      </c>
      <c r="AJ8" s="1491">
        <f t="shared" ca="1" si="2"/>
        <v>311.647418919443</v>
      </c>
      <c r="AK8" s="1491">
        <f t="shared" ca="1" si="2"/>
        <v>321.96304060129455</v>
      </c>
      <c r="AL8" s="1491">
        <f t="shared" ca="1" si="2"/>
        <v>342.57077864244957</v>
      </c>
      <c r="AM8" s="1491">
        <f t="shared" ca="1" si="2"/>
        <v>405.6548957727905</v>
      </c>
      <c r="AN8" s="1491">
        <f t="shared" ca="1" si="2"/>
        <v>434.12439973299627</v>
      </c>
      <c r="AO8" s="1491">
        <f t="shared" ca="1" si="2"/>
        <v>508.38683240671776</v>
      </c>
      <c r="AP8" s="1491">
        <f t="shared" ca="1" si="2"/>
        <v>539.16802391708597</v>
      </c>
      <c r="AQ8" s="1491">
        <f t="shared" ca="1" si="2"/>
        <v>591.9875669728483</v>
      </c>
      <c r="AR8" s="1491">
        <f t="shared" ca="1" si="2"/>
        <v>659.44129864147135</v>
      </c>
      <c r="AS8" s="1491">
        <f t="shared" ca="1" si="2"/>
        <v>720.25525582070895</v>
      </c>
      <c r="AT8" s="1491">
        <f t="shared" ca="1" si="2"/>
        <v>783.50009551405526</v>
      </c>
      <c r="AU8" s="1491">
        <f t="shared" ca="1" si="2"/>
        <v>840.45443719814534</v>
      </c>
      <c r="AV8" s="1491">
        <f t="shared" ca="1" si="2"/>
        <v>909.81916907540506</v>
      </c>
      <c r="AW8" s="1491">
        <f t="shared" ca="1" si="2"/>
        <v>956.28900187466581</v>
      </c>
      <c r="AX8" s="1491">
        <f t="shared" ca="1" si="2"/>
        <v>0</v>
      </c>
      <c r="AY8" s="1491"/>
      <c r="AZ8" s="1491"/>
      <c r="BA8" s="1491"/>
      <c r="BB8" s="1491"/>
    </row>
    <row r="9" spans="2:185" ht="17.100000000000001" customHeight="1">
      <c r="B9" s="307"/>
      <c r="C9" s="302" t="s">
        <v>1334</v>
      </c>
      <c r="D9" s="331" t="s">
        <v>1335</v>
      </c>
      <c r="E9" s="742"/>
      <c r="F9" s="1609">
        <f>SUM(F10:F16)</f>
        <v>256.54819777</v>
      </c>
      <c r="G9" s="1609">
        <f>SUM(G10:G16)</f>
        <v>266.46826385999998</v>
      </c>
      <c r="H9" s="1609">
        <f>SUM(H10:H16)</f>
        <v>235.83511121000004</v>
      </c>
      <c r="I9" s="1609">
        <f>SUM(I10:I16)</f>
        <v>230.62114007</v>
      </c>
      <c r="J9" s="1610">
        <f t="shared" ref="J9:AX9" ca="1" si="3">SUM(J10:J16)</f>
        <v>185.48566977249016</v>
      </c>
      <c r="K9" s="1204">
        <f t="shared" si="3"/>
        <v>147.68832412</v>
      </c>
      <c r="L9" s="1204">
        <f t="shared" ca="1" si="3"/>
        <v>114.52286400000003</v>
      </c>
      <c r="M9" s="1204">
        <f t="shared" ca="1" si="3"/>
        <v>174.36431360205532</v>
      </c>
      <c r="N9" s="1204">
        <f t="shared" ca="1" si="3"/>
        <v>151.77819622597627</v>
      </c>
      <c r="O9" s="1611">
        <f t="shared" ca="1" si="3"/>
        <v>159.73965950242905</v>
      </c>
      <c r="P9" s="1204">
        <f t="shared" ca="1" si="3"/>
        <v>168.08288259193648</v>
      </c>
      <c r="Q9" s="1204">
        <f t="shared" ca="1" si="3"/>
        <v>172.25674630882006</v>
      </c>
      <c r="R9" s="1204">
        <f t="shared" ca="1" si="3"/>
        <v>189.60012071850394</v>
      </c>
      <c r="S9" s="1204">
        <f t="shared" ca="1" si="3"/>
        <v>213.38050133517009</v>
      </c>
      <c r="T9" s="1204">
        <f t="shared" ca="1" si="3"/>
        <v>199.77396147536359</v>
      </c>
      <c r="U9" s="1204">
        <f t="shared" ca="1" si="3"/>
        <v>243.78454953250673</v>
      </c>
      <c r="V9" s="1204">
        <f t="shared" ca="1" si="3"/>
        <v>249.37875384571953</v>
      </c>
      <c r="W9" s="1204">
        <f t="shared" ca="1" si="3"/>
        <v>277.2627984755614</v>
      </c>
      <c r="X9" s="1204">
        <f t="shared" ca="1" si="3"/>
        <v>341.48309021695138</v>
      </c>
      <c r="Y9" s="1204">
        <f t="shared" ca="1" si="3"/>
        <v>364.59132741665098</v>
      </c>
      <c r="Z9" s="1204">
        <f t="shared" ca="1" si="3"/>
        <v>375.23572510766269</v>
      </c>
      <c r="AA9" s="1204">
        <f t="shared" ca="1" si="3"/>
        <v>385.16493622164683</v>
      </c>
      <c r="AB9" s="1204">
        <f t="shared" ca="1" si="3"/>
        <v>403.73823720279995</v>
      </c>
      <c r="AC9" s="1204">
        <f t="shared" ca="1" si="3"/>
        <v>384.86533423524577</v>
      </c>
      <c r="AD9" s="1204">
        <f t="shared" ca="1" si="3"/>
        <v>281.94681137648126</v>
      </c>
      <c r="AE9" s="1204">
        <f t="shared" ca="1" si="3"/>
        <v>266.05828602078424</v>
      </c>
      <c r="AF9" s="1204">
        <f t="shared" ca="1" si="3"/>
        <v>257.8704634542845</v>
      </c>
      <c r="AG9" s="1204">
        <f t="shared" ca="1" si="3"/>
        <v>253.00534662132736</v>
      </c>
      <c r="AH9" s="1204">
        <f t="shared" ca="1" si="3"/>
        <v>270.23796284959008</v>
      </c>
      <c r="AI9" s="1204">
        <f t="shared" ca="1" si="3"/>
        <v>290.69542724929306</v>
      </c>
      <c r="AJ9" s="1204">
        <f t="shared" ca="1" si="3"/>
        <v>311.647418919443</v>
      </c>
      <c r="AK9" s="1204">
        <f t="shared" ca="1" si="3"/>
        <v>321.96304060129455</v>
      </c>
      <c r="AL9" s="1204">
        <f t="shared" ca="1" si="3"/>
        <v>342.57077864244957</v>
      </c>
      <c r="AM9" s="1204">
        <f t="shared" ca="1" si="3"/>
        <v>405.6548957727905</v>
      </c>
      <c r="AN9" s="1204">
        <f t="shared" ca="1" si="3"/>
        <v>434.12439973299627</v>
      </c>
      <c r="AO9" s="1204">
        <f t="shared" ca="1" si="3"/>
        <v>508.38683240671776</v>
      </c>
      <c r="AP9" s="1204">
        <f t="shared" ca="1" si="3"/>
        <v>539.16802391708597</v>
      </c>
      <c r="AQ9" s="1204">
        <f t="shared" ca="1" si="3"/>
        <v>591.9875669728483</v>
      </c>
      <c r="AR9" s="1204">
        <f t="shared" ca="1" si="3"/>
        <v>659.44129864147135</v>
      </c>
      <c r="AS9" s="1204">
        <f t="shared" ca="1" si="3"/>
        <v>720.25525582070895</v>
      </c>
      <c r="AT9" s="1204">
        <f t="shared" ca="1" si="3"/>
        <v>783.50009551405526</v>
      </c>
      <c r="AU9" s="1204">
        <f t="shared" ca="1" si="3"/>
        <v>840.45443719814534</v>
      </c>
      <c r="AV9" s="1204">
        <f t="shared" ca="1" si="3"/>
        <v>909.81916907540506</v>
      </c>
      <c r="AW9" s="1204">
        <f t="shared" ca="1" si="3"/>
        <v>956.28900187466581</v>
      </c>
      <c r="AX9" s="1204">
        <f t="shared" ca="1" si="3"/>
        <v>0</v>
      </c>
      <c r="AY9" s="1204"/>
      <c r="AZ9" s="1204"/>
      <c r="BA9" s="1204"/>
      <c r="BB9" s="1204"/>
    </row>
    <row r="10" spans="2:185" ht="17.100000000000001" customHeight="1">
      <c r="B10" s="307"/>
      <c r="D10" s="342" t="s">
        <v>644</v>
      </c>
      <c r="E10" s="943"/>
      <c r="F10" s="1612">
        <v>27.7446658</v>
      </c>
      <c r="G10" s="1612">
        <v>73.722057169999999</v>
      </c>
      <c r="H10" s="1612">
        <v>111.55135494</v>
      </c>
      <c r="I10" s="1613">
        <v>153.81742944000001</v>
      </c>
      <c r="J10" s="1614">
        <f ca="1">J67</f>
        <v>16.724687390090196</v>
      </c>
      <c r="K10" s="1492">
        <f t="shared" ref="K10:AX10" si="4">K67</f>
        <v>54.096084490000003</v>
      </c>
      <c r="L10" s="1492">
        <f t="shared" ca="1" si="4"/>
        <v>7.5680049400000371</v>
      </c>
      <c r="M10" s="1492">
        <f t="shared" ca="1" si="4"/>
        <v>0</v>
      </c>
      <c r="N10" s="1492">
        <f t="shared" ca="1" si="4"/>
        <v>14.926766905465399</v>
      </c>
      <c r="O10" s="1492">
        <f t="shared" ca="1" si="4"/>
        <v>7.360085562691836</v>
      </c>
      <c r="P10" s="1492">
        <f t="shared" ca="1" si="4"/>
        <v>0</v>
      </c>
      <c r="Q10" s="1492">
        <f t="shared" ca="1" si="4"/>
        <v>0</v>
      </c>
      <c r="R10" s="1492">
        <f t="shared" ca="1" si="4"/>
        <v>21.517238126567463</v>
      </c>
      <c r="S10" s="1492">
        <f t="shared" ca="1" si="4"/>
        <v>45.297618743233613</v>
      </c>
      <c r="T10" s="1492">
        <f t="shared" ca="1" si="4"/>
        <v>31.69107888342711</v>
      </c>
      <c r="U10" s="1492">
        <f t="shared" ca="1" si="4"/>
        <v>75.701666940570249</v>
      </c>
      <c r="V10" s="1492">
        <f t="shared" ca="1" si="4"/>
        <v>81.295871253783048</v>
      </c>
      <c r="W10" s="1492">
        <f t="shared" ca="1" si="4"/>
        <v>109.17991588362491</v>
      </c>
      <c r="X10" s="1492">
        <f t="shared" ca="1" si="4"/>
        <v>173.40020762501484</v>
      </c>
      <c r="Y10" s="1492">
        <f t="shared" ca="1" si="4"/>
        <v>196.5084448247145</v>
      </c>
      <c r="Z10" s="1492">
        <f t="shared" ca="1" si="4"/>
        <v>207.15284251572615</v>
      </c>
      <c r="AA10" s="1492">
        <f t="shared" ca="1" si="4"/>
        <v>217.08205362971029</v>
      </c>
      <c r="AB10" s="1492">
        <f t="shared" ca="1" si="4"/>
        <v>235.65535461086347</v>
      </c>
      <c r="AC10" s="1492">
        <f t="shared" ca="1" si="4"/>
        <v>216.78245164330923</v>
      </c>
      <c r="AD10" s="1492">
        <f t="shared" ca="1" si="4"/>
        <v>113.86392878454473</v>
      </c>
      <c r="AE10" s="1492">
        <f t="shared" ca="1" si="4"/>
        <v>97.975403428847756</v>
      </c>
      <c r="AF10" s="1492">
        <f t="shared" ca="1" si="4"/>
        <v>89.787580862348022</v>
      </c>
      <c r="AG10" s="1492">
        <f t="shared" ca="1" si="4"/>
        <v>84.922464029390881</v>
      </c>
      <c r="AH10" s="1492">
        <f t="shared" ca="1" si="4"/>
        <v>102.15508025765359</v>
      </c>
      <c r="AI10" s="1492">
        <f t="shared" ca="1" si="4"/>
        <v>122.61254465735658</v>
      </c>
      <c r="AJ10" s="1492">
        <f t="shared" ca="1" si="4"/>
        <v>143.56453632750652</v>
      </c>
      <c r="AK10" s="1492">
        <f t="shared" ca="1" si="4"/>
        <v>153.88015800935801</v>
      </c>
      <c r="AL10" s="1492">
        <f t="shared" ca="1" si="4"/>
        <v>174.48789605051303</v>
      </c>
      <c r="AM10" s="1492">
        <f t="shared" ca="1" si="4"/>
        <v>237.57201318085396</v>
      </c>
      <c r="AN10" s="1492">
        <f t="shared" ca="1" si="4"/>
        <v>266.04151714105978</v>
      </c>
      <c r="AO10" s="1492">
        <f t="shared" ca="1" si="4"/>
        <v>340.30394981478128</v>
      </c>
      <c r="AP10" s="1492">
        <f t="shared" ca="1" si="4"/>
        <v>371.08514132514944</v>
      </c>
      <c r="AQ10" s="1492">
        <f t="shared" ca="1" si="4"/>
        <v>423.90468438091182</v>
      </c>
      <c r="AR10" s="1492">
        <f t="shared" ca="1" si="4"/>
        <v>491.35841604953481</v>
      </c>
      <c r="AS10" s="1492">
        <f t="shared" ca="1" si="4"/>
        <v>552.17237322877247</v>
      </c>
      <c r="AT10" s="1492">
        <f t="shared" ca="1" si="4"/>
        <v>615.41721292211878</v>
      </c>
      <c r="AU10" s="1492">
        <f t="shared" ca="1" si="4"/>
        <v>672.37155460620886</v>
      </c>
      <c r="AV10" s="1492">
        <f t="shared" ca="1" si="4"/>
        <v>741.73628648346858</v>
      </c>
      <c r="AW10" s="1492">
        <f t="shared" ca="1" si="4"/>
        <v>788.20611928272933</v>
      </c>
      <c r="AX10" s="1492">
        <f t="shared" ca="1" si="4"/>
        <v>0</v>
      </c>
      <c r="AY10" s="1492"/>
      <c r="AZ10" s="1492"/>
      <c r="BA10" s="1492"/>
      <c r="BB10" s="1492"/>
    </row>
    <row r="11" spans="2:185" ht="17.100000000000001" customHeight="1">
      <c r="B11" s="307"/>
      <c r="D11" s="1274" t="s">
        <v>1336</v>
      </c>
      <c r="E11" s="742"/>
      <c r="F11" s="1615"/>
      <c r="G11" s="1615"/>
      <c r="H11" s="1615"/>
      <c r="I11" s="1609">
        <v>0</v>
      </c>
      <c r="J11" s="1610">
        <f ca="1">J74</f>
        <v>0</v>
      </c>
      <c r="K11" s="1204">
        <f t="shared" ref="K11:AX11" si="5">K74</f>
        <v>0</v>
      </c>
      <c r="L11" s="1204">
        <f t="shared" ca="1" si="5"/>
        <v>0</v>
      </c>
      <c r="M11" s="1204">
        <f t="shared" ca="1" si="5"/>
        <v>0</v>
      </c>
      <c r="N11" s="1204">
        <f t="shared" ca="1" si="5"/>
        <v>0</v>
      </c>
      <c r="O11" s="1611">
        <f t="shared" ca="1" si="5"/>
        <v>0</v>
      </c>
      <c r="P11" s="1204">
        <f t="shared" ca="1" si="5"/>
        <v>0</v>
      </c>
      <c r="Q11" s="1204">
        <f t="shared" ca="1" si="5"/>
        <v>0</v>
      </c>
      <c r="R11" s="1204">
        <f t="shared" ca="1" si="5"/>
        <v>0</v>
      </c>
      <c r="S11" s="1204">
        <f t="shared" ca="1" si="5"/>
        <v>0</v>
      </c>
      <c r="T11" s="1204">
        <f t="shared" ca="1" si="5"/>
        <v>0</v>
      </c>
      <c r="U11" s="1204">
        <f t="shared" ca="1" si="5"/>
        <v>0</v>
      </c>
      <c r="V11" s="1204">
        <f t="shared" ca="1" si="5"/>
        <v>0</v>
      </c>
      <c r="W11" s="1204">
        <f t="shared" ca="1" si="5"/>
        <v>0</v>
      </c>
      <c r="X11" s="1204">
        <f t="shared" ca="1" si="5"/>
        <v>0</v>
      </c>
      <c r="Y11" s="1204">
        <f t="shared" ca="1" si="5"/>
        <v>0</v>
      </c>
      <c r="Z11" s="1204">
        <f t="shared" ca="1" si="5"/>
        <v>0</v>
      </c>
      <c r="AA11" s="1204">
        <f t="shared" ca="1" si="5"/>
        <v>0</v>
      </c>
      <c r="AB11" s="1204">
        <f t="shared" ca="1" si="5"/>
        <v>0</v>
      </c>
      <c r="AC11" s="1204">
        <f t="shared" ca="1" si="5"/>
        <v>0</v>
      </c>
      <c r="AD11" s="1204">
        <f t="shared" ca="1" si="5"/>
        <v>0</v>
      </c>
      <c r="AE11" s="1204">
        <f t="shared" ca="1" si="5"/>
        <v>0</v>
      </c>
      <c r="AF11" s="1204">
        <f t="shared" ca="1" si="5"/>
        <v>0</v>
      </c>
      <c r="AG11" s="1204">
        <f t="shared" ca="1" si="5"/>
        <v>0</v>
      </c>
      <c r="AH11" s="1204">
        <f t="shared" ca="1" si="5"/>
        <v>0</v>
      </c>
      <c r="AI11" s="1204">
        <f t="shared" ca="1" si="5"/>
        <v>0</v>
      </c>
      <c r="AJ11" s="1204">
        <f t="shared" ca="1" si="5"/>
        <v>0</v>
      </c>
      <c r="AK11" s="1204">
        <f t="shared" ca="1" si="5"/>
        <v>0</v>
      </c>
      <c r="AL11" s="1204">
        <f t="shared" ca="1" si="5"/>
        <v>0</v>
      </c>
      <c r="AM11" s="1204">
        <f t="shared" ca="1" si="5"/>
        <v>0</v>
      </c>
      <c r="AN11" s="1204">
        <f t="shared" ca="1" si="5"/>
        <v>0</v>
      </c>
      <c r="AO11" s="1204">
        <f t="shared" ca="1" si="5"/>
        <v>0</v>
      </c>
      <c r="AP11" s="1204">
        <f t="shared" ca="1" si="5"/>
        <v>0</v>
      </c>
      <c r="AQ11" s="1204">
        <f t="shared" ca="1" si="5"/>
        <v>0</v>
      </c>
      <c r="AR11" s="1204">
        <f t="shared" ca="1" si="5"/>
        <v>0</v>
      </c>
      <c r="AS11" s="1204">
        <f t="shared" ca="1" si="5"/>
        <v>0</v>
      </c>
      <c r="AT11" s="1204">
        <f t="shared" ca="1" si="5"/>
        <v>0</v>
      </c>
      <c r="AU11" s="1204">
        <f t="shared" ca="1" si="5"/>
        <v>0</v>
      </c>
      <c r="AV11" s="1204">
        <f t="shared" ca="1" si="5"/>
        <v>0</v>
      </c>
      <c r="AW11" s="1204">
        <f t="shared" ca="1" si="5"/>
        <v>0</v>
      </c>
      <c r="AX11" s="1204">
        <f t="shared" ca="1" si="5"/>
        <v>0</v>
      </c>
      <c r="AY11" s="1204"/>
      <c r="AZ11" s="1204"/>
      <c r="BA11" s="1204"/>
      <c r="BB11" s="1204"/>
    </row>
    <row r="12" spans="2:185" ht="17.100000000000001" customHeight="1">
      <c r="B12" s="307"/>
      <c r="D12" s="1274" t="s">
        <v>649</v>
      </c>
      <c r="E12" s="742"/>
      <c r="F12" s="1615">
        <v>32.475143009999996</v>
      </c>
      <c r="G12" s="1615">
        <v>46.571190110000003</v>
      </c>
      <c r="H12" s="1615">
        <v>32.297118060000003</v>
      </c>
      <c r="I12" s="1609">
        <v>33.390311959999998</v>
      </c>
      <c r="J12" s="947">
        <f>I12</f>
        <v>33.390311959999998</v>
      </c>
      <c r="K12" s="1204">
        <f>K81</f>
        <v>35.061295600000001</v>
      </c>
      <c r="L12" s="1204">
        <f t="shared" ref="L12:AV12" si="6">K12</f>
        <v>35.061295600000001</v>
      </c>
      <c r="M12" s="1204">
        <f t="shared" si="6"/>
        <v>35.061295600000001</v>
      </c>
      <c r="N12" s="1204">
        <f t="shared" si="6"/>
        <v>35.061295600000001</v>
      </c>
      <c r="O12" s="948">
        <f t="shared" si="6"/>
        <v>35.061295600000001</v>
      </c>
      <c r="P12" s="1204">
        <f t="shared" si="6"/>
        <v>35.061295600000001</v>
      </c>
      <c r="Q12" s="1204">
        <f t="shared" si="6"/>
        <v>35.061295600000001</v>
      </c>
      <c r="R12" s="1204">
        <f t="shared" si="6"/>
        <v>35.061295600000001</v>
      </c>
      <c r="S12" s="1204">
        <f t="shared" si="6"/>
        <v>35.061295600000001</v>
      </c>
      <c r="T12" s="1204">
        <f t="shared" si="6"/>
        <v>35.061295600000001</v>
      </c>
      <c r="U12" s="1204">
        <f t="shared" si="6"/>
        <v>35.061295600000001</v>
      </c>
      <c r="V12" s="1204">
        <f t="shared" si="6"/>
        <v>35.061295600000001</v>
      </c>
      <c r="W12" s="1204">
        <f t="shared" si="6"/>
        <v>35.061295600000001</v>
      </c>
      <c r="X12" s="1204">
        <f t="shared" si="6"/>
        <v>35.061295600000001</v>
      </c>
      <c r="Y12" s="1204">
        <f t="shared" si="6"/>
        <v>35.061295600000001</v>
      </c>
      <c r="Z12" s="1204">
        <f t="shared" si="6"/>
        <v>35.061295600000001</v>
      </c>
      <c r="AA12" s="1204">
        <f t="shared" si="6"/>
        <v>35.061295600000001</v>
      </c>
      <c r="AB12" s="1204">
        <f t="shared" si="6"/>
        <v>35.061295600000001</v>
      </c>
      <c r="AC12" s="1204">
        <f t="shared" si="6"/>
        <v>35.061295600000001</v>
      </c>
      <c r="AD12" s="1204">
        <f t="shared" si="6"/>
        <v>35.061295600000001</v>
      </c>
      <c r="AE12" s="1204">
        <f t="shared" si="6"/>
        <v>35.061295600000001</v>
      </c>
      <c r="AF12" s="1204">
        <f t="shared" si="6"/>
        <v>35.061295600000001</v>
      </c>
      <c r="AG12" s="1204">
        <f t="shared" si="6"/>
        <v>35.061295600000001</v>
      </c>
      <c r="AH12" s="1204">
        <f>AG12</f>
        <v>35.061295600000001</v>
      </c>
      <c r="AI12" s="1204">
        <f t="shared" si="6"/>
        <v>35.061295600000001</v>
      </c>
      <c r="AJ12" s="1204">
        <f t="shared" si="6"/>
        <v>35.061295600000001</v>
      </c>
      <c r="AK12" s="1204">
        <f t="shared" si="6"/>
        <v>35.061295600000001</v>
      </c>
      <c r="AL12" s="1204">
        <f t="shared" si="6"/>
        <v>35.061295600000001</v>
      </c>
      <c r="AM12" s="1204">
        <f t="shared" si="6"/>
        <v>35.061295600000001</v>
      </c>
      <c r="AN12" s="1204">
        <f t="shared" si="6"/>
        <v>35.061295600000001</v>
      </c>
      <c r="AO12" s="1204">
        <f t="shared" si="6"/>
        <v>35.061295600000001</v>
      </c>
      <c r="AP12" s="1204">
        <f t="shared" si="6"/>
        <v>35.061295600000001</v>
      </c>
      <c r="AQ12" s="1204">
        <f t="shared" si="6"/>
        <v>35.061295600000001</v>
      </c>
      <c r="AR12" s="1204">
        <f t="shared" si="6"/>
        <v>35.061295600000001</v>
      </c>
      <c r="AS12" s="1204">
        <f t="shared" si="6"/>
        <v>35.061295600000001</v>
      </c>
      <c r="AT12" s="1204">
        <f t="shared" si="6"/>
        <v>35.061295600000001</v>
      </c>
      <c r="AU12" s="1204">
        <f t="shared" si="6"/>
        <v>35.061295600000001</v>
      </c>
      <c r="AV12" s="1204">
        <f t="shared" si="6"/>
        <v>35.061295600000001</v>
      </c>
      <c r="AW12" s="1204">
        <f>AV12</f>
        <v>35.061295600000001</v>
      </c>
      <c r="AX12" s="1616">
        <f>AW12*(AY$4&gt;0)</f>
        <v>0</v>
      </c>
      <c r="AY12" s="1204"/>
      <c r="AZ12" s="1204"/>
      <c r="BA12" s="1204"/>
      <c r="BB12" s="1204"/>
    </row>
    <row r="13" spans="2:185" ht="17.100000000000001" customHeight="1">
      <c r="B13" s="307"/>
      <c r="D13" s="1274" t="s">
        <v>1337</v>
      </c>
      <c r="E13" s="742"/>
      <c r="F13" s="1615">
        <v>67.903155920000003</v>
      </c>
      <c r="G13" s="1615"/>
      <c r="H13" s="1615"/>
      <c r="I13" s="1609"/>
      <c r="J13" s="1617">
        <f>J88</f>
        <v>131.56974478239997</v>
      </c>
      <c r="K13" s="1204">
        <f t="shared" ref="K13:AX13" si="7">K88</f>
        <v>35.733911210000002</v>
      </c>
      <c r="L13" s="1204">
        <f t="shared" si="7"/>
        <v>49.096530639999997</v>
      </c>
      <c r="M13" s="1204">
        <f ca="1">M88</f>
        <v>116.50598518205533</v>
      </c>
      <c r="N13" s="1204">
        <f t="shared" ca="1" si="7"/>
        <v>78.993100900510882</v>
      </c>
      <c r="O13" s="1611">
        <f t="shared" ca="1" si="7"/>
        <v>94.521245519737207</v>
      </c>
      <c r="P13" s="1204">
        <f t="shared" ca="1" si="7"/>
        <v>110.22455417193649</v>
      </c>
      <c r="Q13" s="1204">
        <f t="shared" ca="1" si="7"/>
        <v>110.22455417193649</v>
      </c>
      <c r="R13" s="1204">
        <f t="shared" ca="1" si="7"/>
        <v>110.22455417193649</v>
      </c>
      <c r="S13" s="1204">
        <f t="shared" ca="1" si="7"/>
        <v>110.22455417193649</v>
      </c>
      <c r="T13" s="1204">
        <f t="shared" ca="1" si="7"/>
        <v>110.22455417193649</v>
      </c>
      <c r="U13" s="1204">
        <f t="shared" ca="1" si="7"/>
        <v>110.22455417193649</v>
      </c>
      <c r="V13" s="1204">
        <f t="shared" ca="1" si="7"/>
        <v>110.22455417193649</v>
      </c>
      <c r="W13" s="1204">
        <f t="shared" ca="1" si="7"/>
        <v>110.22455417193649</v>
      </c>
      <c r="X13" s="1204">
        <f t="shared" ca="1" si="7"/>
        <v>110.22455417193649</v>
      </c>
      <c r="Y13" s="1204">
        <f t="shared" ca="1" si="7"/>
        <v>110.22455417193649</v>
      </c>
      <c r="Z13" s="1204">
        <f t="shared" ca="1" si="7"/>
        <v>110.22455417193649</v>
      </c>
      <c r="AA13" s="1204">
        <f t="shared" ca="1" si="7"/>
        <v>110.22455417193649</v>
      </c>
      <c r="AB13" s="1204">
        <f t="shared" ca="1" si="7"/>
        <v>110.22455417193649</v>
      </c>
      <c r="AC13" s="1204">
        <f t="shared" ca="1" si="7"/>
        <v>110.22455417193649</v>
      </c>
      <c r="AD13" s="1204">
        <f t="shared" ca="1" si="7"/>
        <v>110.22455417193649</v>
      </c>
      <c r="AE13" s="1204">
        <f t="shared" ca="1" si="7"/>
        <v>110.22455417193649</v>
      </c>
      <c r="AF13" s="1204">
        <f t="shared" ca="1" si="7"/>
        <v>110.22455417193649</v>
      </c>
      <c r="AG13" s="1204">
        <f t="shared" ca="1" si="7"/>
        <v>110.22455417193649</v>
      </c>
      <c r="AH13" s="1204">
        <f t="shared" ca="1" si="7"/>
        <v>110.22455417193649</v>
      </c>
      <c r="AI13" s="1204">
        <f t="shared" ca="1" si="7"/>
        <v>110.22455417193649</v>
      </c>
      <c r="AJ13" s="1204">
        <f t="shared" ca="1" si="7"/>
        <v>110.22455417193649</v>
      </c>
      <c r="AK13" s="1204">
        <f t="shared" ca="1" si="7"/>
        <v>110.22455417193649</v>
      </c>
      <c r="AL13" s="1204">
        <f t="shared" ca="1" si="7"/>
        <v>110.22455417193649</v>
      </c>
      <c r="AM13" s="1204">
        <f t="shared" ca="1" si="7"/>
        <v>110.22455417193649</v>
      </c>
      <c r="AN13" s="1204">
        <f t="shared" ca="1" si="7"/>
        <v>110.22455417193649</v>
      </c>
      <c r="AO13" s="1204">
        <f t="shared" ca="1" si="7"/>
        <v>110.22455417193649</v>
      </c>
      <c r="AP13" s="1204">
        <f t="shared" ca="1" si="7"/>
        <v>110.22455417193649</v>
      </c>
      <c r="AQ13" s="1204">
        <f t="shared" ca="1" si="7"/>
        <v>110.22455417193649</v>
      </c>
      <c r="AR13" s="1204">
        <f t="shared" ca="1" si="7"/>
        <v>110.22455417193649</v>
      </c>
      <c r="AS13" s="1204">
        <f t="shared" ca="1" si="7"/>
        <v>110.22455417193649</v>
      </c>
      <c r="AT13" s="1204">
        <f t="shared" ca="1" si="7"/>
        <v>110.22455417193649</v>
      </c>
      <c r="AU13" s="1204">
        <f t="shared" ca="1" si="7"/>
        <v>110.22455417193649</v>
      </c>
      <c r="AV13" s="1204">
        <f t="shared" ca="1" si="7"/>
        <v>110.22455417193649</v>
      </c>
      <c r="AW13" s="1204">
        <f t="shared" ca="1" si="7"/>
        <v>110.22455417193649</v>
      </c>
      <c r="AX13" s="1204">
        <f t="shared" ca="1" si="7"/>
        <v>0</v>
      </c>
      <c r="AY13" s="1204"/>
      <c r="AZ13" s="1204"/>
      <c r="BA13" s="1204"/>
      <c r="BB13" s="1204"/>
    </row>
    <row r="14" spans="2:185" ht="17.100000000000001" customHeight="1">
      <c r="B14" s="307"/>
      <c r="D14" s="1274" t="s">
        <v>1338</v>
      </c>
      <c r="E14" s="742"/>
      <c r="F14" s="1615">
        <v>3.3612507100000002</v>
      </c>
      <c r="G14" s="1615">
        <v>6.1650775500000004</v>
      </c>
      <c r="H14" s="1615">
        <v>11.34040637</v>
      </c>
      <c r="I14" s="1609">
        <v>3.80092564</v>
      </c>
      <c r="J14" s="947">
        <f>I14</f>
        <v>3.80092564</v>
      </c>
      <c r="K14" s="1495">
        <f>SUM(실적!C15:C19)/단위</f>
        <v>22.797032819999998</v>
      </c>
      <c r="L14" s="1204">
        <f>K14*(L7&lt;YEAR(Sensitivity!$E$13))</f>
        <v>22.797032819999998</v>
      </c>
      <c r="M14" s="1204">
        <f>L14*(M7&lt;YEAR(Sensitivity!$E$13))</f>
        <v>22.797032819999998</v>
      </c>
      <c r="N14" s="1204">
        <f>M14*(N7&lt;YEAR(Sensitivity!$E$13))</f>
        <v>22.797032819999998</v>
      </c>
      <c r="O14" s="1204">
        <f>N14*(O7&lt;YEAR(Sensitivity!$E$13))</f>
        <v>22.797032819999998</v>
      </c>
      <c r="P14" s="1204">
        <f>O14*(P7&lt;YEAR(Sensitivity!$E$13))</f>
        <v>22.797032819999998</v>
      </c>
      <c r="Q14" s="1204">
        <f>P14*(Q7&lt;YEAR(Sensitivity!$E$13))</f>
        <v>22.797032819999998</v>
      </c>
      <c r="R14" s="1204">
        <f>Q14*(R7&lt;YEAR(Sensitivity!$E$13))</f>
        <v>22.797032819999998</v>
      </c>
      <c r="S14" s="1204">
        <f>R14*(S7&lt;YEAR(Sensitivity!$E$13))</f>
        <v>22.797032819999998</v>
      </c>
      <c r="T14" s="1204">
        <f>S14*(T7&lt;YEAR(Sensitivity!$E$13))</f>
        <v>22.797032819999998</v>
      </c>
      <c r="U14" s="1204">
        <f>T14*(U7&lt;YEAR(Sensitivity!$E$13))</f>
        <v>22.797032819999998</v>
      </c>
      <c r="V14" s="1204">
        <f>U14*(V7&lt;YEAR(Sensitivity!$E$13))</f>
        <v>22.797032819999998</v>
      </c>
      <c r="W14" s="1204">
        <f>V14*(W7&lt;YEAR(Sensitivity!$E$13))</f>
        <v>22.797032819999998</v>
      </c>
      <c r="X14" s="1204">
        <f>W14*(X7&lt;YEAR(Sensitivity!$E$13))</f>
        <v>22.797032819999998</v>
      </c>
      <c r="Y14" s="1204">
        <f>X14*(Y7&lt;YEAR(Sensitivity!$E$13))</f>
        <v>22.797032819999998</v>
      </c>
      <c r="Z14" s="1204">
        <f>Y14*(Z7&lt;YEAR(Sensitivity!$E$13))</f>
        <v>22.797032819999998</v>
      </c>
      <c r="AA14" s="1204">
        <f>Z14*(AA7&lt;YEAR(Sensitivity!$E$13))</f>
        <v>22.797032819999998</v>
      </c>
      <c r="AB14" s="1204">
        <f>AA14*(AB7&lt;YEAR(Sensitivity!$E$13))</f>
        <v>22.797032819999998</v>
      </c>
      <c r="AC14" s="1204">
        <f>AB14*(AC7&lt;YEAR(Sensitivity!$E$13))</f>
        <v>22.797032819999998</v>
      </c>
      <c r="AD14" s="1204">
        <f>AC14*(AD7&lt;YEAR(Sensitivity!$E$13))</f>
        <v>22.797032819999998</v>
      </c>
      <c r="AE14" s="1204">
        <f>AD14*(AE7&lt;YEAR(Sensitivity!$E$13))</f>
        <v>22.797032819999998</v>
      </c>
      <c r="AF14" s="1204">
        <f>AE14*(AF7&lt;YEAR(Sensitivity!$E$13))</f>
        <v>22.797032819999998</v>
      </c>
      <c r="AG14" s="1204">
        <f>AF14*(AG7&lt;YEAR(Sensitivity!$E$13))</f>
        <v>22.797032819999998</v>
      </c>
      <c r="AH14" s="1204">
        <f>AG14*(AH7&lt;YEAR(Sensitivity!$E$13))</f>
        <v>22.797032819999998</v>
      </c>
      <c r="AI14" s="1204">
        <f>AH14*(AI7&lt;YEAR(Sensitivity!$E$13))</f>
        <v>22.797032819999998</v>
      </c>
      <c r="AJ14" s="1204">
        <f>AI14*(AJ7&lt;YEAR(Sensitivity!$E$13))</f>
        <v>22.797032819999998</v>
      </c>
      <c r="AK14" s="1204">
        <f>AJ14*(AK7&lt;YEAR(Sensitivity!$E$13))</f>
        <v>22.797032819999998</v>
      </c>
      <c r="AL14" s="1204">
        <f>AK14*(AL7&lt;YEAR(Sensitivity!$E$13))</f>
        <v>22.797032819999998</v>
      </c>
      <c r="AM14" s="1204">
        <f>AL14*(AM7&lt;YEAR(Sensitivity!$E$13))</f>
        <v>22.797032819999998</v>
      </c>
      <c r="AN14" s="1204">
        <f>AM14*(AN7&lt;YEAR(Sensitivity!$E$13))</f>
        <v>22.797032819999998</v>
      </c>
      <c r="AO14" s="1204">
        <f>AN14*(AO7&lt;YEAR(Sensitivity!$E$13))</f>
        <v>22.797032819999998</v>
      </c>
      <c r="AP14" s="1204">
        <f>AO14*(AP7&lt;YEAR(Sensitivity!$E$13))</f>
        <v>22.797032819999998</v>
      </c>
      <c r="AQ14" s="1204">
        <f>AP14*(AQ7&lt;YEAR(Sensitivity!$E$13))</f>
        <v>22.797032819999998</v>
      </c>
      <c r="AR14" s="1204">
        <f>AQ14*(AR7&lt;YEAR(Sensitivity!$E$13))</f>
        <v>22.797032819999998</v>
      </c>
      <c r="AS14" s="1204">
        <f>AR14*(AS7&lt;YEAR(Sensitivity!$E$13))</f>
        <v>22.797032819999998</v>
      </c>
      <c r="AT14" s="1204">
        <f>AS14*(AT7&lt;YEAR(Sensitivity!$E$13))</f>
        <v>22.797032819999998</v>
      </c>
      <c r="AU14" s="1204">
        <f>AT14*(AU7&lt;YEAR(Sensitivity!$E$13))</f>
        <v>22.797032819999998</v>
      </c>
      <c r="AV14" s="1204">
        <f>AU14*(AV7&lt;YEAR(Sensitivity!$E$13))</f>
        <v>22.797032819999998</v>
      </c>
      <c r="AW14" s="1204">
        <f>AV14*(AW7&lt;YEAR(Sensitivity!$E$13))</f>
        <v>22.797032819999998</v>
      </c>
      <c r="AX14" s="1204">
        <f>AW14*(AX7&lt;YEAR(Sensitivity!$E$13))</f>
        <v>0</v>
      </c>
      <c r="AY14" s="1204"/>
      <c r="AZ14" s="1204"/>
      <c r="BA14" s="1204"/>
      <c r="BB14" s="1204"/>
    </row>
    <row r="15" spans="2:185" ht="17.100000000000001" customHeight="1">
      <c r="B15" s="307"/>
      <c r="D15" s="1274" t="s">
        <v>1339</v>
      </c>
      <c r="E15" s="742"/>
      <c r="F15" s="1615">
        <v>1.17409E-2</v>
      </c>
      <c r="G15" s="1615">
        <v>1.76405911</v>
      </c>
      <c r="H15" s="1615"/>
      <c r="I15" s="1609"/>
      <c r="J15" s="1610">
        <f>J184</f>
        <v>0</v>
      </c>
      <c r="K15" s="1204">
        <f t="shared" ref="K15:AW15" si="8">K184</f>
        <v>0</v>
      </c>
      <c r="L15" s="1204">
        <f t="shared" ca="1" si="8"/>
        <v>0</v>
      </c>
      <c r="M15" s="1204">
        <f t="shared" ca="1" si="8"/>
        <v>0</v>
      </c>
      <c r="N15" s="1204">
        <f t="shared" ca="1" si="8"/>
        <v>0</v>
      </c>
      <c r="O15" s="1611">
        <f t="shared" ca="1" si="8"/>
        <v>0</v>
      </c>
      <c r="P15" s="1204">
        <f t="shared" ca="1" si="8"/>
        <v>0</v>
      </c>
      <c r="Q15" s="1204">
        <f t="shared" ca="1" si="8"/>
        <v>4.1738637168835853</v>
      </c>
      <c r="R15" s="1204">
        <f t="shared" ca="1" si="8"/>
        <v>0</v>
      </c>
      <c r="S15" s="1204">
        <f t="shared" ca="1" si="8"/>
        <v>0</v>
      </c>
      <c r="T15" s="1204">
        <f t="shared" ca="1" si="8"/>
        <v>0</v>
      </c>
      <c r="U15" s="1204">
        <f t="shared" ca="1" si="8"/>
        <v>0</v>
      </c>
      <c r="V15" s="1204">
        <f t="shared" ca="1" si="8"/>
        <v>0</v>
      </c>
      <c r="W15" s="1204">
        <f t="shared" ca="1" si="8"/>
        <v>0</v>
      </c>
      <c r="X15" s="1204">
        <f t="shared" ca="1" si="8"/>
        <v>0</v>
      </c>
      <c r="Y15" s="1204">
        <f t="shared" ca="1" si="8"/>
        <v>0</v>
      </c>
      <c r="Z15" s="1204">
        <f t="shared" ca="1" si="8"/>
        <v>0</v>
      </c>
      <c r="AA15" s="1204">
        <f t="shared" ca="1" si="8"/>
        <v>0</v>
      </c>
      <c r="AB15" s="1204">
        <f t="shared" ca="1" si="8"/>
        <v>0</v>
      </c>
      <c r="AC15" s="1204">
        <f t="shared" ca="1" si="8"/>
        <v>0</v>
      </c>
      <c r="AD15" s="1204">
        <f t="shared" ca="1" si="8"/>
        <v>0</v>
      </c>
      <c r="AE15" s="1204">
        <f t="shared" ca="1" si="8"/>
        <v>0</v>
      </c>
      <c r="AF15" s="1204">
        <f t="shared" ca="1" si="8"/>
        <v>0</v>
      </c>
      <c r="AG15" s="1204">
        <f t="shared" ca="1" si="8"/>
        <v>0</v>
      </c>
      <c r="AH15" s="1204">
        <f t="shared" ca="1" si="8"/>
        <v>0</v>
      </c>
      <c r="AI15" s="1204">
        <f t="shared" ca="1" si="8"/>
        <v>0</v>
      </c>
      <c r="AJ15" s="1204">
        <f t="shared" ca="1" si="8"/>
        <v>0</v>
      </c>
      <c r="AK15" s="1204">
        <f t="shared" ca="1" si="8"/>
        <v>0</v>
      </c>
      <c r="AL15" s="1204">
        <f t="shared" ca="1" si="8"/>
        <v>0</v>
      </c>
      <c r="AM15" s="1204">
        <f t="shared" ca="1" si="8"/>
        <v>0</v>
      </c>
      <c r="AN15" s="1204">
        <f t="shared" ca="1" si="8"/>
        <v>0</v>
      </c>
      <c r="AO15" s="1204">
        <f t="shared" ca="1" si="8"/>
        <v>0</v>
      </c>
      <c r="AP15" s="1204">
        <f t="shared" ca="1" si="8"/>
        <v>0</v>
      </c>
      <c r="AQ15" s="1204">
        <f t="shared" ca="1" si="8"/>
        <v>0</v>
      </c>
      <c r="AR15" s="1204">
        <f t="shared" ca="1" si="8"/>
        <v>0</v>
      </c>
      <c r="AS15" s="1204">
        <f t="shared" ca="1" si="8"/>
        <v>0</v>
      </c>
      <c r="AT15" s="1204">
        <f t="shared" ca="1" si="8"/>
        <v>0</v>
      </c>
      <c r="AU15" s="1204">
        <f t="shared" ca="1" si="8"/>
        <v>0</v>
      </c>
      <c r="AV15" s="1204">
        <f t="shared" ca="1" si="8"/>
        <v>0</v>
      </c>
      <c r="AW15" s="1204">
        <f t="shared" ca="1" si="8"/>
        <v>0</v>
      </c>
      <c r="AX15" s="1616">
        <f ca="1">AX184*(AY4&gt;0)</f>
        <v>0</v>
      </c>
      <c r="AY15" s="1204"/>
      <c r="AZ15" s="1204"/>
      <c r="BA15" s="1204"/>
      <c r="BB15" s="1204"/>
    </row>
    <row r="16" spans="2:185" ht="17.100000000000001" customHeight="1">
      <c r="B16" s="307"/>
      <c r="D16" s="1282" t="s">
        <v>1340</v>
      </c>
      <c r="E16" s="747"/>
      <c r="F16" s="1618">
        <v>125.05224143</v>
      </c>
      <c r="G16" s="1618">
        <v>138.24587991999999</v>
      </c>
      <c r="H16" s="1618">
        <v>80.646231839999999</v>
      </c>
      <c r="I16" s="1619">
        <v>39.612473029999997</v>
      </c>
      <c r="J16" s="1620"/>
      <c r="K16" s="1493"/>
      <c r="L16" s="1493"/>
      <c r="M16" s="1493"/>
      <c r="N16" s="1493"/>
      <c r="O16" s="1621"/>
      <c r="P16" s="1493"/>
      <c r="Q16" s="1493"/>
      <c r="R16" s="1493"/>
      <c r="S16" s="1493"/>
      <c r="T16" s="1493"/>
      <c r="U16" s="1493"/>
      <c r="V16" s="1493"/>
      <c r="W16" s="1493"/>
      <c r="X16" s="1493"/>
      <c r="Y16" s="1493"/>
      <c r="Z16" s="1493"/>
      <c r="AA16" s="1493"/>
      <c r="AB16" s="1493"/>
      <c r="AC16" s="1493"/>
      <c r="AD16" s="1493"/>
      <c r="AE16" s="1493"/>
      <c r="AF16" s="1493"/>
      <c r="AG16" s="1493"/>
      <c r="AH16" s="1493"/>
      <c r="AI16" s="1493"/>
      <c r="AJ16" s="1493"/>
      <c r="AK16" s="1493"/>
      <c r="AL16" s="1493"/>
      <c r="AM16" s="1493"/>
      <c r="AN16" s="1493"/>
      <c r="AO16" s="1493"/>
      <c r="AP16" s="1493"/>
      <c r="AQ16" s="1493"/>
      <c r="AR16" s="1493"/>
      <c r="AS16" s="1493"/>
      <c r="AT16" s="1493"/>
      <c r="AU16" s="1493"/>
      <c r="AV16" s="1493"/>
      <c r="AW16" s="1493"/>
      <c r="AX16" s="1493"/>
      <c r="AY16" s="1493"/>
      <c r="AZ16" s="1493"/>
      <c r="BA16" s="1493"/>
      <c r="BB16" s="1493"/>
    </row>
    <row r="17" spans="2:60" ht="17.100000000000001" customHeight="1">
      <c r="B17" s="930" t="s">
        <v>1341</v>
      </c>
      <c r="C17" s="758"/>
      <c r="D17" s="931"/>
      <c r="E17" s="771"/>
      <c r="F17" s="1622">
        <f>F18+F19+F24+F26</f>
        <v>1627.2671559799999</v>
      </c>
      <c r="G17" s="1622">
        <f>G18+G19+G24+G26</f>
        <v>1535.8279863433334</v>
      </c>
      <c r="H17" s="1622">
        <f>H18+H19+H24+H26</f>
        <v>1509.5132714900001</v>
      </c>
      <c r="I17" s="1622">
        <f>I18+I19+I24+I26</f>
        <v>1435.3781196500001</v>
      </c>
      <c r="J17" s="1623">
        <f t="shared" ref="J17:AX17" ca="1" si="9">J18+J19+J24+J26</f>
        <v>1416.1227302116974</v>
      </c>
      <c r="K17" s="938">
        <f t="shared" si="9"/>
        <v>1379.5685097200001</v>
      </c>
      <c r="L17" s="938">
        <f t="shared" ca="1" si="9"/>
        <v>1377.7847463862988</v>
      </c>
      <c r="M17" s="938">
        <f t="shared" ca="1" si="9"/>
        <v>1350.0590215525976</v>
      </c>
      <c r="N17" s="938">
        <f t="shared" ca="1" si="9"/>
        <v>1303.0382967188962</v>
      </c>
      <c r="O17" s="1624">
        <f t="shared" ca="1" si="9"/>
        <v>1256.0175718851949</v>
      </c>
      <c r="P17" s="938">
        <f t="shared" ca="1" si="9"/>
        <v>1211.9625684799937</v>
      </c>
      <c r="Q17" s="938">
        <f t="shared" ca="1" si="9"/>
        <v>1169.4884975139648</v>
      </c>
      <c r="R17" s="938">
        <f t="shared" ca="1" si="9"/>
        <v>1130.7367888423753</v>
      </c>
      <c r="S17" s="938">
        <f t="shared" ca="1" si="9"/>
        <v>1083.2634183094176</v>
      </c>
      <c r="T17" s="938">
        <f t="shared" ca="1" si="9"/>
        <v>1052.3349724963373</v>
      </c>
      <c r="U17" s="938">
        <f t="shared" ca="1" si="9"/>
        <v>1028.4754152575972</v>
      </c>
      <c r="V17" s="938">
        <f t="shared" ca="1" si="9"/>
        <v>1018.5670628792645</v>
      </c>
      <c r="W17" s="938">
        <f t="shared" ca="1" si="9"/>
        <v>995.95647289506712</v>
      </c>
      <c r="X17" s="938">
        <f t="shared" ca="1" si="9"/>
        <v>943.03049632794102</v>
      </c>
      <c r="Y17" s="938">
        <f t="shared" ca="1" si="9"/>
        <v>921.63871822905821</v>
      </c>
      <c r="Z17" s="938">
        <f t="shared" ca="1" si="9"/>
        <v>907.60016081505478</v>
      </c>
      <c r="AA17" s="938">
        <f t="shared" ca="1" si="9"/>
        <v>907.10948142824509</v>
      </c>
      <c r="AB17" s="938">
        <f t="shared" ca="1" si="9"/>
        <v>869.08120441714709</v>
      </c>
      <c r="AC17" s="938">
        <f t="shared" ca="1" si="9"/>
        <v>863.86027079664007</v>
      </c>
      <c r="AD17" s="938">
        <f t="shared" ca="1" si="9"/>
        <v>931.39651441216347</v>
      </c>
      <c r="AE17" s="938">
        <f t="shared" ca="1" si="9"/>
        <v>925.28513211431778</v>
      </c>
      <c r="AF17" s="938">
        <f t="shared" ca="1" si="9"/>
        <v>898.28389835852875</v>
      </c>
      <c r="AG17" s="938">
        <f t="shared" ca="1" si="9"/>
        <v>882.60817025094195</v>
      </c>
      <c r="AH17" s="938">
        <f t="shared" ca="1" si="9"/>
        <v>840.60990592866801</v>
      </c>
      <c r="AI17" s="938">
        <f t="shared" ca="1" si="9"/>
        <v>781.43456274183154</v>
      </c>
      <c r="AJ17" s="938">
        <f t="shared" ca="1" si="9"/>
        <v>723.3803084893791</v>
      </c>
      <c r="AK17" s="938">
        <f t="shared" ca="1" si="9"/>
        <v>680.28324264284004</v>
      </c>
      <c r="AL17" s="938">
        <f t="shared" ca="1" si="9"/>
        <v>631.91785403530241</v>
      </c>
      <c r="AM17" s="938">
        <f t="shared" ca="1" si="9"/>
        <v>587.23836958573384</v>
      </c>
      <c r="AN17" s="938">
        <f t="shared" ca="1" si="9"/>
        <v>554.58411831442618</v>
      </c>
      <c r="AO17" s="938">
        <f t="shared" ca="1" si="9"/>
        <v>494.83453358202729</v>
      </c>
      <c r="AP17" s="938">
        <f t="shared" ca="1" si="9"/>
        <v>482.15447352714301</v>
      </c>
      <c r="AQ17" s="938">
        <f t="shared" ca="1" si="9"/>
        <v>432.24878439873737</v>
      </c>
      <c r="AR17" s="938">
        <f t="shared" ca="1" si="9"/>
        <v>373.40340740192784</v>
      </c>
      <c r="AS17" s="938">
        <f t="shared" ca="1" si="9"/>
        <v>336.84555739015747</v>
      </c>
      <c r="AT17" s="938">
        <f t="shared" ca="1" si="9"/>
        <v>280.80814305260259</v>
      </c>
      <c r="AU17" s="938">
        <f t="shared" ca="1" si="9"/>
        <v>235.19793047992619</v>
      </c>
      <c r="AV17" s="938">
        <f t="shared" ca="1" si="9"/>
        <v>185.01593987731277</v>
      </c>
      <c r="AW17" s="938">
        <f t="shared" ca="1" si="9"/>
        <v>148.4394938914337</v>
      </c>
      <c r="AX17" s="938">
        <f t="shared" ca="1" si="9"/>
        <v>0</v>
      </c>
      <c r="AY17" s="938"/>
      <c r="AZ17" s="938"/>
      <c r="BA17" s="938"/>
      <c r="BB17" s="938"/>
    </row>
    <row r="18" spans="2:60" ht="17.100000000000001" customHeight="1">
      <c r="B18" s="720"/>
      <c r="C18" s="315" t="s">
        <v>1334</v>
      </c>
      <c r="D18" s="1259" t="s">
        <v>1342</v>
      </c>
      <c r="E18" s="722"/>
      <c r="F18" s="1625"/>
      <c r="G18" s="1625"/>
      <c r="H18" s="1625"/>
      <c r="I18" s="1606">
        <v>0.26052966</v>
      </c>
      <c r="J18" s="1607">
        <f>I18</f>
        <v>0.26052966</v>
      </c>
      <c r="K18" s="1626">
        <f>실적!C24/단위</f>
        <v>5.7756099999999998E-2</v>
      </c>
      <c r="L18" s="1491">
        <f>K18*(L7&lt;YEAR(Sensitivity!$E$13))</f>
        <v>5.7756099999999998E-2</v>
      </c>
      <c r="M18" s="1491">
        <f>L18*(M7&lt;YEAR(Sensitivity!$E$13))</f>
        <v>5.7756099999999998E-2</v>
      </c>
      <c r="N18" s="1491">
        <f>M18*(N7&lt;YEAR(Sensitivity!$E$13))</f>
        <v>5.7756099999999998E-2</v>
      </c>
      <c r="O18" s="1608">
        <f>N18*(O7&lt;YEAR(Sensitivity!$E$13))</f>
        <v>5.7756099999999998E-2</v>
      </c>
      <c r="P18" s="1491">
        <f>O18*(P7&lt;YEAR(Sensitivity!$E$13))</f>
        <v>5.7756099999999998E-2</v>
      </c>
      <c r="Q18" s="1491">
        <f>P18*(Q7&lt;YEAR(Sensitivity!$E$13))</f>
        <v>5.7756099999999998E-2</v>
      </c>
      <c r="R18" s="1491">
        <f>Q18*(R7&lt;YEAR(Sensitivity!$E$13))</f>
        <v>5.7756099999999998E-2</v>
      </c>
      <c r="S18" s="1491">
        <f>R18*(S7&lt;YEAR(Sensitivity!$E$13))</f>
        <v>5.7756099999999998E-2</v>
      </c>
      <c r="T18" s="1491">
        <f>S18*(T7&lt;YEAR(Sensitivity!$E$13))</f>
        <v>5.7756099999999998E-2</v>
      </c>
      <c r="U18" s="1491">
        <f>T18*(U7&lt;YEAR(Sensitivity!$E$13))</f>
        <v>5.7756099999999998E-2</v>
      </c>
      <c r="V18" s="1491">
        <f>U18*(V7&lt;YEAR(Sensitivity!$E$13))</f>
        <v>5.7756099999999998E-2</v>
      </c>
      <c r="W18" s="1491">
        <f>V18*(W7&lt;YEAR(Sensitivity!$E$13))</f>
        <v>5.7756099999999998E-2</v>
      </c>
      <c r="X18" s="1491">
        <f>W18*(X7&lt;YEAR(Sensitivity!$E$13))</f>
        <v>5.7756099999999998E-2</v>
      </c>
      <c r="Y18" s="1491">
        <f>X18*(Y7&lt;YEAR(Sensitivity!$E$13))</f>
        <v>5.7756099999999998E-2</v>
      </c>
      <c r="Z18" s="1491">
        <f>Y18*(Z7&lt;YEAR(Sensitivity!$E$13))</f>
        <v>5.7756099999999998E-2</v>
      </c>
      <c r="AA18" s="1491">
        <f>Z18*(AA7&lt;YEAR(Sensitivity!$E$13))</f>
        <v>5.7756099999999998E-2</v>
      </c>
      <c r="AB18" s="1491">
        <f>AA18*(AB7&lt;YEAR(Sensitivity!$E$13))</f>
        <v>5.7756099999999998E-2</v>
      </c>
      <c r="AC18" s="1491">
        <f>AB18*(AC7&lt;YEAR(Sensitivity!$E$13))</f>
        <v>5.7756099999999998E-2</v>
      </c>
      <c r="AD18" s="1491">
        <f>AC18*(AD7&lt;YEAR(Sensitivity!$E$13))</f>
        <v>5.7756099999999998E-2</v>
      </c>
      <c r="AE18" s="1491">
        <f>AD18*(AE7&lt;YEAR(Sensitivity!$E$13))</f>
        <v>5.7756099999999998E-2</v>
      </c>
      <c r="AF18" s="1491">
        <f>AE18*(AF7&lt;YEAR(Sensitivity!$E$13))</f>
        <v>5.7756099999999998E-2</v>
      </c>
      <c r="AG18" s="1491">
        <f>AF18*(AG7&lt;YEAR(Sensitivity!$E$13))</f>
        <v>5.7756099999999998E-2</v>
      </c>
      <c r="AH18" s="1491">
        <f>AG18*(AH7&lt;YEAR(Sensitivity!$E$13))</f>
        <v>5.7756099999999998E-2</v>
      </c>
      <c r="AI18" s="1491">
        <f>AH18*(AI7&lt;YEAR(Sensitivity!$E$13))</f>
        <v>5.7756099999999998E-2</v>
      </c>
      <c r="AJ18" s="1491">
        <f>AI18*(AJ7&lt;YEAR(Sensitivity!$E$13))</f>
        <v>5.7756099999999998E-2</v>
      </c>
      <c r="AK18" s="1491">
        <f>AJ18*(AK7&lt;YEAR(Sensitivity!$E$13))</f>
        <v>5.7756099999999998E-2</v>
      </c>
      <c r="AL18" s="1491">
        <f>AK18*(AL7&lt;YEAR(Sensitivity!$E$13))</f>
        <v>5.7756099999999998E-2</v>
      </c>
      <c r="AM18" s="1491">
        <f>AL18*(AM7&lt;YEAR(Sensitivity!$E$13))</f>
        <v>5.7756099999999998E-2</v>
      </c>
      <c r="AN18" s="1491">
        <f>AM18*(AN7&lt;YEAR(Sensitivity!$E$13))</f>
        <v>5.7756099999999998E-2</v>
      </c>
      <c r="AO18" s="1491">
        <f>AN18*(AO7&lt;YEAR(Sensitivity!$E$13))</f>
        <v>5.7756099999999998E-2</v>
      </c>
      <c r="AP18" s="1491">
        <f>AO18*(AP7&lt;YEAR(Sensitivity!$E$13))</f>
        <v>5.7756099999999998E-2</v>
      </c>
      <c r="AQ18" s="1491">
        <f>AP18*(AQ7&lt;YEAR(Sensitivity!$E$13))</f>
        <v>5.7756099999999998E-2</v>
      </c>
      <c r="AR18" s="1491">
        <f>AQ18*(AR7&lt;YEAR(Sensitivity!$E$13))</f>
        <v>5.7756099999999998E-2</v>
      </c>
      <c r="AS18" s="1491">
        <f>AR18*(AS7&lt;YEAR(Sensitivity!$E$13))</f>
        <v>5.7756099999999998E-2</v>
      </c>
      <c r="AT18" s="1491">
        <f>AS18*(AT7&lt;YEAR(Sensitivity!$E$13))</f>
        <v>5.7756099999999998E-2</v>
      </c>
      <c r="AU18" s="1491">
        <f>AT18*(AU7&lt;YEAR(Sensitivity!$E$13))</f>
        <v>5.7756099999999998E-2</v>
      </c>
      <c r="AV18" s="1491">
        <f>AU18*(AV7&lt;YEAR(Sensitivity!$E$13))</f>
        <v>5.7756099999999998E-2</v>
      </c>
      <c r="AW18" s="1491">
        <f>AV18*(AW7&lt;YEAR(Sensitivity!$E$13))</f>
        <v>5.7756099999999998E-2</v>
      </c>
      <c r="AX18" s="1491">
        <f>AW18*(AX7&lt;YEAR(Sensitivity!$E$13))</f>
        <v>0</v>
      </c>
      <c r="AY18" s="1491"/>
      <c r="AZ18" s="1491"/>
      <c r="BA18" s="1491"/>
      <c r="BB18" s="1491"/>
    </row>
    <row r="19" spans="2:60" ht="17.100000000000001" customHeight="1">
      <c r="B19" s="307"/>
      <c r="C19" s="302" t="s">
        <v>1343</v>
      </c>
      <c r="D19" s="331" t="s">
        <v>1344</v>
      </c>
      <c r="E19" s="742"/>
      <c r="F19" s="1609">
        <f>SUM(F20:F23)</f>
        <v>341.95752886000002</v>
      </c>
      <c r="G19" s="1609">
        <f>SUM(G20:G23)</f>
        <v>356.9701032333333</v>
      </c>
      <c r="H19" s="1609">
        <f>SUM(H20:H23)</f>
        <v>357.95127206000006</v>
      </c>
      <c r="I19" s="1609">
        <f>SUM(I20:I23)</f>
        <v>337.12502404999998</v>
      </c>
      <c r="J19" s="1610">
        <f ca="1">SUM(J20:J23)</f>
        <v>344.94095722749995</v>
      </c>
      <c r="K19" s="1204">
        <f t="shared" ref="K19:AX19" si="10">SUM(K20:K23)</f>
        <v>335.42083280000003</v>
      </c>
      <c r="L19" s="1204">
        <f t="shared" ca="1" si="10"/>
        <v>360.70839208500007</v>
      </c>
      <c r="M19" s="1204">
        <f t="shared" ca="1" si="10"/>
        <v>360.05398987000007</v>
      </c>
      <c r="N19" s="1204">
        <f t="shared" ca="1" si="10"/>
        <v>340.10458765500005</v>
      </c>
      <c r="O19" s="1611">
        <f t="shared" ca="1" si="10"/>
        <v>320.15518544000003</v>
      </c>
      <c r="P19" s="1204">
        <f t="shared" ca="1" si="10"/>
        <v>303.17150465349999</v>
      </c>
      <c r="Q19" s="1204">
        <f t="shared" ca="1" si="10"/>
        <v>287.76875630617252</v>
      </c>
      <c r="R19" s="1204">
        <f t="shared" ca="1" si="10"/>
        <v>276.08837025328415</v>
      </c>
      <c r="S19" s="1204">
        <f t="shared" ca="1" si="10"/>
        <v>255.68632233902781</v>
      </c>
      <c r="T19" s="1204">
        <f t="shared" ca="1" si="10"/>
        <v>251.82919914464881</v>
      </c>
      <c r="U19" s="1204">
        <f t="shared" ca="1" si="10"/>
        <v>255.04096452460999</v>
      </c>
      <c r="V19" s="1204">
        <f t="shared" ca="1" si="10"/>
        <v>272.20393476497861</v>
      </c>
      <c r="W19" s="1204">
        <f t="shared" ca="1" si="10"/>
        <v>276.66466739948248</v>
      </c>
      <c r="X19" s="1204">
        <f t="shared" ca="1" si="10"/>
        <v>250.8100134510577</v>
      </c>
      <c r="Y19" s="1204">
        <f t="shared" ca="1" si="10"/>
        <v>256.48955797087609</v>
      </c>
      <c r="Z19" s="1204">
        <f t="shared" ca="1" si="10"/>
        <v>269.52232317557394</v>
      </c>
      <c r="AA19" s="1204">
        <f t="shared" ca="1" si="10"/>
        <v>296.10296640746566</v>
      </c>
      <c r="AB19" s="1204">
        <f t="shared" ca="1" si="10"/>
        <v>285.14601201506883</v>
      </c>
      <c r="AC19" s="1204">
        <f t="shared" ca="1" si="10"/>
        <v>306.99640101326315</v>
      </c>
      <c r="AD19" s="1204">
        <f t="shared" ca="1" si="10"/>
        <v>401.60396724748779</v>
      </c>
      <c r="AE19" s="1204">
        <f t="shared" ca="1" si="10"/>
        <v>422.56390756834338</v>
      </c>
      <c r="AF19" s="1204">
        <f t="shared" ca="1" si="10"/>
        <v>422.6339964312557</v>
      </c>
      <c r="AG19" s="1204">
        <f t="shared" ca="1" si="10"/>
        <v>434.02959094237019</v>
      </c>
      <c r="AH19" s="1204">
        <f t="shared" ca="1" si="10"/>
        <v>419.1026492387976</v>
      </c>
      <c r="AI19" s="1204">
        <f t="shared" ca="1" si="10"/>
        <v>386.9986286706623</v>
      </c>
      <c r="AJ19" s="1204">
        <f t="shared" ca="1" si="10"/>
        <v>356.01569703691132</v>
      </c>
      <c r="AK19" s="1204">
        <f t="shared" ca="1" si="10"/>
        <v>339.98995380907354</v>
      </c>
      <c r="AL19" s="1204">
        <f t="shared" ca="1" si="10"/>
        <v>318.6958878202372</v>
      </c>
      <c r="AM19" s="1204">
        <f t="shared" ca="1" si="10"/>
        <v>301.08772598936991</v>
      </c>
      <c r="AN19" s="1204">
        <f t="shared" ca="1" si="10"/>
        <v>295.50479733676354</v>
      </c>
      <c r="AO19" s="1204">
        <f t="shared" ca="1" si="10"/>
        <v>262.82653522306606</v>
      </c>
      <c r="AP19" s="1204">
        <f t="shared" ca="1" si="10"/>
        <v>277.21779778688312</v>
      </c>
      <c r="AQ19" s="1204">
        <f t="shared" ca="1" si="10"/>
        <v>254.3834312771788</v>
      </c>
      <c r="AR19" s="1204">
        <f t="shared" ca="1" si="10"/>
        <v>222.60937689907061</v>
      </c>
      <c r="AS19" s="1204">
        <f t="shared" ca="1" si="10"/>
        <v>213.12284950600153</v>
      </c>
      <c r="AT19" s="1204">
        <f t="shared" ca="1" si="10"/>
        <v>184.15675778714797</v>
      </c>
      <c r="AU19" s="1204">
        <f t="shared" ca="1" si="10"/>
        <v>165.61786783317288</v>
      </c>
      <c r="AV19" s="1204">
        <f t="shared" ca="1" si="10"/>
        <v>142.50719984926079</v>
      </c>
      <c r="AW19" s="1204">
        <f t="shared" ca="1" si="10"/>
        <v>133.00207648208303</v>
      </c>
      <c r="AX19" s="1204">
        <f t="shared" ca="1" si="10"/>
        <v>0</v>
      </c>
      <c r="AY19" s="1204"/>
      <c r="AZ19" s="1204"/>
      <c r="BA19" s="1627"/>
      <c r="BB19" s="1627"/>
    </row>
    <row r="20" spans="2:60" ht="17.100000000000001" customHeight="1">
      <c r="B20" s="307"/>
      <c r="D20" s="342" t="s">
        <v>667</v>
      </c>
      <c r="E20" s="943"/>
      <c r="F20" s="1612">
        <v>264.47779506000001</v>
      </c>
      <c r="G20" s="1612">
        <v>341.44255208999999</v>
      </c>
      <c r="H20" s="1612">
        <v>347.10244856000003</v>
      </c>
      <c r="I20" s="945">
        <v>330.62682324999997</v>
      </c>
      <c r="J20" s="1613">
        <f ca="1">J95</f>
        <v>338.76766646749996</v>
      </c>
      <c r="K20" s="1492">
        <f t="shared" ref="K20:AX20" si="11">K95</f>
        <v>272.00960780000003</v>
      </c>
      <c r="L20" s="1492">
        <f t="shared" ca="1" si="11"/>
        <v>354.17312833500006</v>
      </c>
      <c r="M20" s="1492">
        <f t="shared" ca="1" si="11"/>
        <v>353.86268737000006</v>
      </c>
      <c r="N20" s="1492">
        <f t="shared" ca="1" si="11"/>
        <v>334.25724640500005</v>
      </c>
      <c r="O20" s="1628">
        <f t="shared" ca="1" si="11"/>
        <v>314.65180544000003</v>
      </c>
      <c r="P20" s="1492">
        <f t="shared" ca="1" si="11"/>
        <v>298.01208590350001</v>
      </c>
      <c r="Q20" s="1492">
        <f t="shared" ca="1" si="11"/>
        <v>282.95329880617248</v>
      </c>
      <c r="R20" s="1492">
        <f t="shared" ca="1" si="11"/>
        <v>271.61687400328412</v>
      </c>
      <c r="S20" s="1492">
        <f t="shared" ca="1" si="11"/>
        <v>251.55878733902782</v>
      </c>
      <c r="T20" s="1492">
        <f t="shared" ca="1" si="11"/>
        <v>248.04562539464882</v>
      </c>
      <c r="U20" s="1492">
        <f t="shared" ca="1" si="11"/>
        <v>251.60135202460998</v>
      </c>
      <c r="V20" s="1492">
        <f t="shared" ca="1" si="11"/>
        <v>269.10828351497861</v>
      </c>
      <c r="W20" s="1492">
        <f t="shared" ca="1" si="11"/>
        <v>273.91297739948249</v>
      </c>
      <c r="X20" s="1492">
        <f t="shared" ca="1" si="11"/>
        <v>248.40228470105768</v>
      </c>
      <c r="Y20" s="1492">
        <f t="shared" ca="1" si="11"/>
        <v>254.42579047087605</v>
      </c>
      <c r="Z20" s="1492">
        <f t="shared" ca="1" si="11"/>
        <v>267.80251692557397</v>
      </c>
      <c r="AA20" s="1492">
        <f t="shared" ca="1" si="11"/>
        <v>294.72712140746569</v>
      </c>
      <c r="AB20" s="1492">
        <f t="shared" ca="1" si="11"/>
        <v>284.11412826506881</v>
      </c>
      <c r="AC20" s="1492">
        <f t="shared" ca="1" si="11"/>
        <v>306.30847851326314</v>
      </c>
      <c r="AD20" s="1492">
        <f t="shared" ca="1" si="11"/>
        <v>401.26000599748778</v>
      </c>
      <c r="AE20" s="1492">
        <f t="shared" ca="1" si="11"/>
        <v>422.56390756834338</v>
      </c>
      <c r="AF20" s="1492">
        <f t="shared" ca="1" si="11"/>
        <v>422.6339964312557</v>
      </c>
      <c r="AG20" s="1492">
        <f t="shared" ca="1" si="11"/>
        <v>434.02959094237019</v>
      </c>
      <c r="AH20" s="1492">
        <f t="shared" ca="1" si="11"/>
        <v>419.1026492387976</v>
      </c>
      <c r="AI20" s="1492">
        <f t="shared" ca="1" si="11"/>
        <v>386.9986286706623</v>
      </c>
      <c r="AJ20" s="1492">
        <f t="shared" ca="1" si="11"/>
        <v>356.01569703691132</v>
      </c>
      <c r="AK20" s="1492">
        <f t="shared" ca="1" si="11"/>
        <v>339.98995380907354</v>
      </c>
      <c r="AL20" s="1492">
        <f t="shared" ca="1" si="11"/>
        <v>318.6958878202372</v>
      </c>
      <c r="AM20" s="1492">
        <f t="shared" ca="1" si="11"/>
        <v>301.08772598936991</v>
      </c>
      <c r="AN20" s="1492">
        <f t="shared" ca="1" si="11"/>
        <v>295.50479733676354</v>
      </c>
      <c r="AO20" s="1492">
        <f t="shared" ca="1" si="11"/>
        <v>262.82653522306606</v>
      </c>
      <c r="AP20" s="1492">
        <f t="shared" ca="1" si="11"/>
        <v>277.21779778688312</v>
      </c>
      <c r="AQ20" s="1492">
        <f t="shared" ca="1" si="11"/>
        <v>254.3834312771788</v>
      </c>
      <c r="AR20" s="1492">
        <f t="shared" ca="1" si="11"/>
        <v>222.60937689907061</v>
      </c>
      <c r="AS20" s="1492">
        <f t="shared" ca="1" si="11"/>
        <v>213.12284950600153</v>
      </c>
      <c r="AT20" s="1492">
        <f t="shared" ca="1" si="11"/>
        <v>184.15675778714797</v>
      </c>
      <c r="AU20" s="1492">
        <f t="shared" ca="1" si="11"/>
        <v>165.61786783317288</v>
      </c>
      <c r="AV20" s="1492">
        <f t="shared" ca="1" si="11"/>
        <v>142.50719984926079</v>
      </c>
      <c r="AW20" s="1492">
        <f t="shared" ca="1" si="11"/>
        <v>133.00207648208303</v>
      </c>
      <c r="AX20" s="1492">
        <f t="shared" ca="1" si="11"/>
        <v>0</v>
      </c>
      <c r="AY20" s="1492"/>
      <c r="AZ20" s="1492"/>
      <c r="BA20" s="1629"/>
      <c r="BB20" s="1629"/>
    </row>
    <row r="21" spans="2:60" ht="17.100000000000001" customHeight="1">
      <c r="B21" s="307"/>
      <c r="D21" s="1274" t="s">
        <v>674</v>
      </c>
      <c r="E21" s="742"/>
      <c r="F21" s="1630">
        <v>6.5944630000000004E-2</v>
      </c>
      <c r="G21" s="1630">
        <v>4.8359390000000002E-2</v>
      </c>
      <c r="H21" s="1630">
        <v>1.4717232499999999</v>
      </c>
      <c r="I21" s="1609">
        <v>1.1610637699999999</v>
      </c>
      <c r="J21" s="1609">
        <f ca="1">J102</f>
        <v>1.1030105815</v>
      </c>
      <c r="K21" s="1204">
        <f t="shared" ref="K21:AW21" si="12">K102</f>
        <v>1.2108904199999999</v>
      </c>
      <c r="L21" s="1204">
        <f t="shared" ca="1" si="12"/>
        <v>1.1503458989999999</v>
      </c>
      <c r="M21" s="1204">
        <f t="shared" ca="1" si="12"/>
        <v>1.089801378</v>
      </c>
      <c r="N21" s="1204">
        <f t="shared" ca="1" si="12"/>
        <v>1.029256857</v>
      </c>
      <c r="O21" s="1611">
        <f t="shared" ca="1" si="12"/>
        <v>0.96871233600000006</v>
      </c>
      <c r="P21" s="1204">
        <f t="shared" ca="1" si="12"/>
        <v>0.9081678150000001</v>
      </c>
      <c r="Q21" s="1204">
        <f t="shared" ca="1" si="12"/>
        <v>0.84762329400000014</v>
      </c>
      <c r="R21" s="1204">
        <f t="shared" ca="1" si="12"/>
        <v>0.78707877300000018</v>
      </c>
      <c r="S21" s="1204">
        <f t="shared" ca="1" si="12"/>
        <v>0.72653425200000021</v>
      </c>
      <c r="T21" s="1204">
        <f t="shared" ca="1" si="12"/>
        <v>0.66598973100000025</v>
      </c>
      <c r="U21" s="1204">
        <f t="shared" ca="1" si="12"/>
        <v>0.60544521000000029</v>
      </c>
      <c r="V21" s="1204">
        <f t="shared" ca="1" si="12"/>
        <v>0.54490068900000033</v>
      </c>
      <c r="W21" s="1204">
        <f t="shared" ca="1" si="12"/>
        <v>0.48435616800000031</v>
      </c>
      <c r="X21" s="1204">
        <f t="shared" ca="1" si="12"/>
        <v>0.42381164700000029</v>
      </c>
      <c r="Y21" s="1204">
        <f t="shared" ca="1" si="12"/>
        <v>0.36326712600000027</v>
      </c>
      <c r="Z21" s="1204">
        <f t="shared" ca="1" si="12"/>
        <v>0.30272260500000026</v>
      </c>
      <c r="AA21" s="1204">
        <f t="shared" ca="1" si="12"/>
        <v>0.24217808400000027</v>
      </c>
      <c r="AB21" s="1204">
        <f t="shared" ca="1" si="12"/>
        <v>0.18163356300000028</v>
      </c>
      <c r="AC21" s="1204">
        <f t="shared" ca="1" si="12"/>
        <v>0.12108904200000029</v>
      </c>
      <c r="AD21" s="1204">
        <f t="shared" ca="1" si="12"/>
        <v>6.0544521000000288E-2</v>
      </c>
      <c r="AE21" s="1204">
        <f t="shared" ca="1" si="12"/>
        <v>0</v>
      </c>
      <c r="AF21" s="1204">
        <f t="shared" ca="1" si="12"/>
        <v>0</v>
      </c>
      <c r="AG21" s="1204">
        <f t="shared" ca="1" si="12"/>
        <v>0</v>
      </c>
      <c r="AH21" s="1204">
        <f t="shared" ca="1" si="12"/>
        <v>0</v>
      </c>
      <c r="AI21" s="1204">
        <f t="shared" ca="1" si="12"/>
        <v>0</v>
      </c>
      <c r="AJ21" s="1204">
        <f t="shared" ca="1" si="12"/>
        <v>0</v>
      </c>
      <c r="AK21" s="1204">
        <f t="shared" ca="1" si="12"/>
        <v>0</v>
      </c>
      <c r="AL21" s="1204">
        <f t="shared" ca="1" si="12"/>
        <v>0</v>
      </c>
      <c r="AM21" s="1204">
        <f t="shared" ca="1" si="12"/>
        <v>0</v>
      </c>
      <c r="AN21" s="1204">
        <f t="shared" ca="1" si="12"/>
        <v>0</v>
      </c>
      <c r="AO21" s="1204">
        <f t="shared" ca="1" si="12"/>
        <v>0</v>
      </c>
      <c r="AP21" s="1204">
        <f t="shared" ca="1" si="12"/>
        <v>0</v>
      </c>
      <c r="AQ21" s="1204">
        <f t="shared" ca="1" si="12"/>
        <v>0</v>
      </c>
      <c r="AR21" s="1204">
        <f t="shared" ca="1" si="12"/>
        <v>0</v>
      </c>
      <c r="AS21" s="1204">
        <f t="shared" ca="1" si="12"/>
        <v>0</v>
      </c>
      <c r="AT21" s="1204">
        <f t="shared" ca="1" si="12"/>
        <v>0</v>
      </c>
      <c r="AU21" s="1204">
        <f t="shared" ca="1" si="12"/>
        <v>0</v>
      </c>
      <c r="AV21" s="1204">
        <f t="shared" ca="1" si="12"/>
        <v>0</v>
      </c>
      <c r="AW21" s="1204">
        <f t="shared" ca="1" si="12"/>
        <v>0</v>
      </c>
      <c r="AX21" s="1616">
        <f ca="1">AX102*(AY$4&gt;0)</f>
        <v>0</v>
      </c>
      <c r="AY21" s="1204"/>
      <c r="AZ21" s="1204"/>
      <c r="BA21" s="1627"/>
      <c r="BB21" s="1627"/>
    </row>
    <row r="22" spans="2:60" ht="17.100000000000001" customHeight="1">
      <c r="B22" s="307"/>
      <c r="D22" s="1274" t="s">
        <v>1345</v>
      </c>
      <c r="E22" s="742"/>
      <c r="F22" s="1630">
        <v>3.18921667</v>
      </c>
      <c r="G22" s="1630">
        <v>3.4356077533333398</v>
      </c>
      <c r="H22" s="1630">
        <v>5.1771002499999996</v>
      </c>
      <c r="I22" s="1609">
        <v>5.3371370300000001</v>
      </c>
      <c r="J22" s="1609">
        <f ca="1">J109</f>
        <v>5.0702801785</v>
      </c>
      <c r="K22" s="1204">
        <f t="shared" ref="K22:AW22" si="13">K109</f>
        <v>5.6683345799999998</v>
      </c>
      <c r="L22" s="1204">
        <f t="shared" ca="1" si="13"/>
        <v>5.384917851</v>
      </c>
      <c r="M22" s="1204">
        <f t="shared" ca="1" si="13"/>
        <v>5.1015011220000002</v>
      </c>
      <c r="N22" s="1204">
        <f t="shared" ca="1" si="13"/>
        <v>4.8180843930000004</v>
      </c>
      <c r="O22" s="1611">
        <f t="shared" ca="1" si="13"/>
        <v>4.5346676640000005</v>
      </c>
      <c r="P22" s="1204">
        <f t="shared" ca="1" si="13"/>
        <v>4.2512509350000007</v>
      </c>
      <c r="Q22" s="1204">
        <f t="shared" ca="1" si="13"/>
        <v>3.9678342060000009</v>
      </c>
      <c r="R22" s="1204">
        <f t="shared" ca="1" si="13"/>
        <v>3.6844174770000011</v>
      </c>
      <c r="S22" s="1204">
        <f t="shared" ca="1" si="13"/>
        <v>3.4010007480000013</v>
      </c>
      <c r="T22" s="1204">
        <f t="shared" ca="1" si="13"/>
        <v>3.1175840190000015</v>
      </c>
      <c r="U22" s="1204">
        <f t="shared" ca="1" si="13"/>
        <v>2.8341672900000017</v>
      </c>
      <c r="V22" s="1204">
        <f t="shared" ca="1" si="13"/>
        <v>2.5507505610000019</v>
      </c>
      <c r="W22" s="1204">
        <f t="shared" ca="1" si="13"/>
        <v>2.267333832000002</v>
      </c>
      <c r="X22" s="1204">
        <f t="shared" ca="1" si="13"/>
        <v>1.983917103000002</v>
      </c>
      <c r="Y22" s="1204">
        <f t="shared" ca="1" si="13"/>
        <v>1.700500374000002</v>
      </c>
      <c r="Z22" s="1204">
        <f t="shared" ca="1" si="13"/>
        <v>1.4170836450000019</v>
      </c>
      <c r="AA22" s="1204">
        <f t="shared" ca="1" si="13"/>
        <v>1.1336669160000019</v>
      </c>
      <c r="AB22" s="1204">
        <f t="shared" ca="1" si="13"/>
        <v>0.85025018700000188</v>
      </c>
      <c r="AC22" s="1204">
        <f t="shared" ca="1" si="13"/>
        <v>0.56683345800000184</v>
      </c>
      <c r="AD22" s="1204">
        <f t="shared" ca="1" si="13"/>
        <v>0.28341672900000187</v>
      </c>
      <c r="AE22" s="1204">
        <f t="shared" ca="1" si="13"/>
        <v>0</v>
      </c>
      <c r="AF22" s="1204">
        <f t="shared" ca="1" si="13"/>
        <v>0</v>
      </c>
      <c r="AG22" s="1204">
        <f t="shared" ca="1" si="13"/>
        <v>0</v>
      </c>
      <c r="AH22" s="1204">
        <f t="shared" ca="1" si="13"/>
        <v>0</v>
      </c>
      <c r="AI22" s="1204">
        <f t="shared" ca="1" si="13"/>
        <v>0</v>
      </c>
      <c r="AJ22" s="1204">
        <f t="shared" ca="1" si="13"/>
        <v>0</v>
      </c>
      <c r="AK22" s="1204">
        <f t="shared" ca="1" si="13"/>
        <v>0</v>
      </c>
      <c r="AL22" s="1204">
        <f t="shared" ca="1" si="13"/>
        <v>0</v>
      </c>
      <c r="AM22" s="1204">
        <f t="shared" ca="1" si="13"/>
        <v>0</v>
      </c>
      <c r="AN22" s="1204">
        <f t="shared" ca="1" si="13"/>
        <v>0</v>
      </c>
      <c r="AO22" s="1204">
        <f t="shared" ca="1" si="13"/>
        <v>0</v>
      </c>
      <c r="AP22" s="1204">
        <f t="shared" ca="1" si="13"/>
        <v>0</v>
      </c>
      <c r="AQ22" s="1204">
        <f t="shared" ca="1" si="13"/>
        <v>0</v>
      </c>
      <c r="AR22" s="1204">
        <f t="shared" ca="1" si="13"/>
        <v>0</v>
      </c>
      <c r="AS22" s="1204">
        <f t="shared" ca="1" si="13"/>
        <v>0</v>
      </c>
      <c r="AT22" s="1204">
        <f t="shared" ca="1" si="13"/>
        <v>0</v>
      </c>
      <c r="AU22" s="1204">
        <f t="shared" ca="1" si="13"/>
        <v>0</v>
      </c>
      <c r="AV22" s="1204">
        <f t="shared" ca="1" si="13"/>
        <v>0</v>
      </c>
      <c r="AW22" s="1204">
        <f t="shared" ca="1" si="13"/>
        <v>0</v>
      </c>
      <c r="AX22" s="1616">
        <f ca="1">AX109*(AY$4&gt;0)</f>
        <v>0</v>
      </c>
      <c r="AY22" s="1204"/>
      <c r="AZ22" s="1204"/>
      <c r="BA22" s="1627"/>
      <c r="BB22" s="1627"/>
    </row>
    <row r="23" spans="2:60" ht="17.100000000000001" customHeight="1">
      <c r="B23" s="307"/>
      <c r="D23" s="1274" t="s">
        <v>678</v>
      </c>
      <c r="E23" s="742"/>
      <c r="F23" s="1630">
        <v>74.224572499999994</v>
      </c>
      <c r="G23" s="1630">
        <v>12.043583999999999</v>
      </c>
      <c r="H23" s="1630">
        <v>4.2</v>
      </c>
      <c r="I23" s="1609"/>
      <c r="J23" s="1610">
        <f>J116</f>
        <v>0</v>
      </c>
      <c r="K23" s="1204">
        <f t="shared" ref="K23:AX23" si="14">K116</f>
        <v>56.531999999999996</v>
      </c>
      <c r="L23" s="1204">
        <f t="shared" si="14"/>
        <v>0</v>
      </c>
      <c r="M23" s="1204">
        <f t="shared" si="14"/>
        <v>0</v>
      </c>
      <c r="N23" s="1204">
        <f t="shared" si="14"/>
        <v>0</v>
      </c>
      <c r="O23" s="1611">
        <f t="shared" si="14"/>
        <v>0</v>
      </c>
      <c r="P23" s="1204">
        <f t="shared" si="14"/>
        <v>0</v>
      </c>
      <c r="Q23" s="1204">
        <f t="shared" si="14"/>
        <v>0</v>
      </c>
      <c r="R23" s="1204">
        <f t="shared" si="14"/>
        <v>0</v>
      </c>
      <c r="S23" s="1204">
        <f t="shared" si="14"/>
        <v>0</v>
      </c>
      <c r="T23" s="1204">
        <f t="shared" si="14"/>
        <v>0</v>
      </c>
      <c r="U23" s="1204">
        <f t="shared" si="14"/>
        <v>0</v>
      </c>
      <c r="V23" s="1204">
        <f t="shared" si="14"/>
        <v>0</v>
      </c>
      <c r="W23" s="1204">
        <f t="shared" si="14"/>
        <v>0</v>
      </c>
      <c r="X23" s="1204">
        <f t="shared" si="14"/>
        <v>0</v>
      </c>
      <c r="Y23" s="1204">
        <f t="shared" si="14"/>
        <v>0</v>
      </c>
      <c r="Z23" s="1204">
        <f t="shared" si="14"/>
        <v>0</v>
      </c>
      <c r="AA23" s="1204">
        <f t="shared" si="14"/>
        <v>0</v>
      </c>
      <c r="AB23" s="1204">
        <f t="shared" si="14"/>
        <v>0</v>
      </c>
      <c r="AC23" s="1204">
        <f t="shared" si="14"/>
        <v>0</v>
      </c>
      <c r="AD23" s="1204">
        <f t="shared" si="14"/>
        <v>0</v>
      </c>
      <c r="AE23" s="1204">
        <f t="shared" si="14"/>
        <v>0</v>
      </c>
      <c r="AF23" s="1204">
        <f t="shared" si="14"/>
        <v>0</v>
      </c>
      <c r="AG23" s="1204">
        <f t="shared" si="14"/>
        <v>0</v>
      </c>
      <c r="AH23" s="1204">
        <f t="shared" si="14"/>
        <v>0</v>
      </c>
      <c r="AI23" s="1204">
        <f t="shared" si="14"/>
        <v>0</v>
      </c>
      <c r="AJ23" s="1204">
        <f t="shared" si="14"/>
        <v>0</v>
      </c>
      <c r="AK23" s="1204">
        <f t="shared" si="14"/>
        <v>0</v>
      </c>
      <c r="AL23" s="1204">
        <f t="shared" si="14"/>
        <v>0</v>
      </c>
      <c r="AM23" s="1204">
        <f t="shared" si="14"/>
        <v>0</v>
      </c>
      <c r="AN23" s="1204">
        <f t="shared" si="14"/>
        <v>0</v>
      </c>
      <c r="AO23" s="1204">
        <f t="shared" si="14"/>
        <v>0</v>
      </c>
      <c r="AP23" s="1204">
        <f t="shared" si="14"/>
        <v>0</v>
      </c>
      <c r="AQ23" s="1204">
        <f t="shared" si="14"/>
        <v>0</v>
      </c>
      <c r="AR23" s="1204">
        <f t="shared" si="14"/>
        <v>0</v>
      </c>
      <c r="AS23" s="1204">
        <f t="shared" si="14"/>
        <v>0</v>
      </c>
      <c r="AT23" s="1204">
        <f t="shared" si="14"/>
        <v>0</v>
      </c>
      <c r="AU23" s="1204">
        <f t="shared" si="14"/>
        <v>0</v>
      </c>
      <c r="AV23" s="1204">
        <f t="shared" si="14"/>
        <v>0</v>
      </c>
      <c r="AW23" s="1204">
        <f t="shared" si="14"/>
        <v>0</v>
      </c>
      <c r="AX23" s="1204">
        <f t="shared" si="14"/>
        <v>0</v>
      </c>
      <c r="AY23" s="1204"/>
      <c r="AZ23" s="1204"/>
      <c r="BA23" s="1627"/>
      <c r="BB23" s="1627"/>
    </row>
    <row r="24" spans="2:60" ht="17.100000000000001" customHeight="1">
      <c r="B24" s="307"/>
      <c r="C24" s="302" t="s">
        <v>1346</v>
      </c>
      <c r="D24" s="942" t="s">
        <v>1347</v>
      </c>
      <c r="E24" s="943"/>
      <c r="F24" s="1613">
        <f>F25</f>
        <v>1177.6025337599999</v>
      </c>
      <c r="G24" s="1613">
        <f>G25</f>
        <v>1150.5312111400001</v>
      </c>
      <c r="H24" s="1613">
        <f>H25</f>
        <v>1123.4598885</v>
      </c>
      <c r="I24" s="1613">
        <f>I25</f>
        <v>1096.38856594</v>
      </c>
      <c r="J24" s="1613">
        <f>J25</f>
        <v>1069.3172433241975</v>
      </c>
      <c r="K24" s="1492">
        <f t="shared" ref="K24:AX24" si="15">K25</f>
        <v>1042.24592082</v>
      </c>
      <c r="L24" s="1492">
        <f t="shared" si="15"/>
        <v>1015.1745982012987</v>
      </c>
      <c r="M24" s="1492">
        <f t="shared" si="15"/>
        <v>988.10327558259746</v>
      </c>
      <c r="N24" s="1492">
        <f t="shared" si="15"/>
        <v>961.03195296389617</v>
      </c>
      <c r="O24" s="1628">
        <f t="shared" si="15"/>
        <v>933.96063034519489</v>
      </c>
      <c r="P24" s="1492">
        <f t="shared" si="15"/>
        <v>906.8893077264936</v>
      </c>
      <c r="Q24" s="1492">
        <f t="shared" si="15"/>
        <v>879.81798510779231</v>
      </c>
      <c r="R24" s="1492">
        <f t="shared" si="15"/>
        <v>852.74666248909102</v>
      </c>
      <c r="S24" s="1492">
        <f t="shared" si="15"/>
        <v>825.67533987038973</v>
      </c>
      <c r="T24" s="1492">
        <f t="shared" si="15"/>
        <v>798.60401725168845</v>
      </c>
      <c r="U24" s="1492">
        <f t="shared" si="15"/>
        <v>771.53269463298716</v>
      </c>
      <c r="V24" s="1492">
        <f t="shared" si="15"/>
        <v>744.46137201428587</v>
      </c>
      <c r="W24" s="1492">
        <f t="shared" si="15"/>
        <v>717.39004939558458</v>
      </c>
      <c r="X24" s="1492">
        <f t="shared" si="15"/>
        <v>690.3187267768833</v>
      </c>
      <c r="Y24" s="1492">
        <f t="shared" si="15"/>
        <v>663.24740415818201</v>
      </c>
      <c r="Z24" s="1492">
        <f t="shared" si="15"/>
        <v>636.17608153948072</v>
      </c>
      <c r="AA24" s="1492">
        <f t="shared" si="15"/>
        <v>609.10475892077943</v>
      </c>
      <c r="AB24" s="1492">
        <f t="shared" si="15"/>
        <v>582.03343630207814</v>
      </c>
      <c r="AC24" s="1492">
        <f t="shared" si="15"/>
        <v>554.96211368337686</v>
      </c>
      <c r="AD24" s="1492">
        <f t="shared" si="15"/>
        <v>527.89079106467557</v>
      </c>
      <c r="AE24" s="1492">
        <f t="shared" si="15"/>
        <v>500.81946844597428</v>
      </c>
      <c r="AF24" s="1492">
        <f t="shared" si="15"/>
        <v>473.74814582727299</v>
      </c>
      <c r="AG24" s="1492">
        <f t="shared" si="15"/>
        <v>446.6768232085717</v>
      </c>
      <c r="AH24" s="1492">
        <f t="shared" si="15"/>
        <v>419.60550058987042</v>
      </c>
      <c r="AI24" s="1492">
        <f t="shared" si="15"/>
        <v>392.53417797116913</v>
      </c>
      <c r="AJ24" s="1492">
        <f t="shared" si="15"/>
        <v>365.46285535246778</v>
      </c>
      <c r="AK24" s="1492">
        <f t="shared" si="15"/>
        <v>338.39153273376644</v>
      </c>
      <c r="AL24" s="1492">
        <f t="shared" si="15"/>
        <v>311.32021011506515</v>
      </c>
      <c r="AM24" s="1492">
        <f t="shared" si="15"/>
        <v>284.24888749636386</v>
      </c>
      <c r="AN24" s="1492">
        <f t="shared" si="15"/>
        <v>257.17756487766252</v>
      </c>
      <c r="AO24" s="1492">
        <f t="shared" si="15"/>
        <v>230.1062422589612</v>
      </c>
      <c r="AP24" s="1492">
        <f t="shared" si="15"/>
        <v>203.03491964025989</v>
      </c>
      <c r="AQ24" s="1492">
        <f t="shared" si="15"/>
        <v>175.96359702155857</v>
      </c>
      <c r="AR24" s="1492">
        <f t="shared" si="15"/>
        <v>148.89227440285725</v>
      </c>
      <c r="AS24" s="1492">
        <f t="shared" si="15"/>
        <v>121.82095178415594</v>
      </c>
      <c r="AT24" s="1492">
        <f t="shared" si="15"/>
        <v>94.749629165454621</v>
      </c>
      <c r="AU24" s="1492">
        <f t="shared" si="15"/>
        <v>67.678306546753305</v>
      </c>
      <c r="AV24" s="1492">
        <f t="shared" si="15"/>
        <v>40.606983928051982</v>
      </c>
      <c r="AW24" s="1492">
        <f t="shared" si="15"/>
        <v>13.535661309350662</v>
      </c>
      <c r="AX24" s="1492">
        <f t="shared" si="15"/>
        <v>0</v>
      </c>
      <c r="AY24" s="1492"/>
      <c r="AZ24" s="1492"/>
      <c r="BA24" s="1492"/>
      <c r="BB24" s="1492"/>
    </row>
    <row r="25" spans="2:60" ht="17.100000000000001" customHeight="1">
      <c r="B25" s="307"/>
      <c r="D25" s="1631" t="s">
        <v>681</v>
      </c>
      <c r="E25" s="1632"/>
      <c r="F25" s="1633">
        <v>1177.6025337599999</v>
      </c>
      <c r="G25" s="1633">
        <v>1150.5312111400001</v>
      </c>
      <c r="H25" s="1633">
        <v>1123.4598885</v>
      </c>
      <c r="I25" s="1634">
        <v>1096.38856594</v>
      </c>
      <c r="J25" s="1635">
        <f>J123</f>
        <v>1069.3172433241975</v>
      </c>
      <c r="K25" s="1636">
        <f t="shared" ref="K25:AX25" si="16">K123</f>
        <v>1042.24592082</v>
      </c>
      <c r="L25" s="1636">
        <f t="shared" si="16"/>
        <v>1015.1745982012987</v>
      </c>
      <c r="M25" s="1636">
        <f t="shared" si="16"/>
        <v>988.10327558259746</v>
      </c>
      <c r="N25" s="1636">
        <f t="shared" si="16"/>
        <v>961.03195296389617</v>
      </c>
      <c r="O25" s="1637">
        <f t="shared" si="16"/>
        <v>933.96063034519489</v>
      </c>
      <c r="P25" s="1636">
        <f t="shared" si="16"/>
        <v>906.8893077264936</v>
      </c>
      <c r="Q25" s="1636">
        <f t="shared" si="16"/>
        <v>879.81798510779231</v>
      </c>
      <c r="R25" s="1636">
        <f t="shared" si="16"/>
        <v>852.74666248909102</v>
      </c>
      <c r="S25" s="1636">
        <f t="shared" si="16"/>
        <v>825.67533987038973</v>
      </c>
      <c r="T25" s="1636">
        <f t="shared" si="16"/>
        <v>798.60401725168845</v>
      </c>
      <c r="U25" s="1636">
        <f t="shared" si="16"/>
        <v>771.53269463298716</v>
      </c>
      <c r="V25" s="1636">
        <f t="shared" si="16"/>
        <v>744.46137201428587</v>
      </c>
      <c r="W25" s="1636">
        <f t="shared" si="16"/>
        <v>717.39004939558458</v>
      </c>
      <c r="X25" s="1636">
        <f t="shared" si="16"/>
        <v>690.3187267768833</v>
      </c>
      <c r="Y25" s="1636">
        <f t="shared" si="16"/>
        <v>663.24740415818201</v>
      </c>
      <c r="Z25" s="1636">
        <f t="shared" si="16"/>
        <v>636.17608153948072</v>
      </c>
      <c r="AA25" s="1636">
        <f t="shared" si="16"/>
        <v>609.10475892077943</v>
      </c>
      <c r="AB25" s="1636">
        <f t="shared" si="16"/>
        <v>582.03343630207814</v>
      </c>
      <c r="AC25" s="1636">
        <f t="shared" si="16"/>
        <v>554.96211368337686</v>
      </c>
      <c r="AD25" s="1636">
        <f t="shared" si="16"/>
        <v>527.89079106467557</v>
      </c>
      <c r="AE25" s="1636">
        <f t="shared" si="16"/>
        <v>500.81946844597428</v>
      </c>
      <c r="AF25" s="1636">
        <f t="shared" si="16"/>
        <v>473.74814582727299</v>
      </c>
      <c r="AG25" s="1636">
        <f t="shared" si="16"/>
        <v>446.6768232085717</v>
      </c>
      <c r="AH25" s="1636">
        <f t="shared" si="16"/>
        <v>419.60550058987042</v>
      </c>
      <c r="AI25" s="1636">
        <f t="shared" si="16"/>
        <v>392.53417797116913</v>
      </c>
      <c r="AJ25" s="1636">
        <f t="shared" si="16"/>
        <v>365.46285535246778</v>
      </c>
      <c r="AK25" s="1636">
        <f t="shared" si="16"/>
        <v>338.39153273376644</v>
      </c>
      <c r="AL25" s="1636">
        <f t="shared" si="16"/>
        <v>311.32021011506515</v>
      </c>
      <c r="AM25" s="1636">
        <f t="shared" si="16"/>
        <v>284.24888749636386</v>
      </c>
      <c r="AN25" s="1636">
        <f t="shared" si="16"/>
        <v>257.17756487766252</v>
      </c>
      <c r="AO25" s="1636">
        <f t="shared" si="16"/>
        <v>230.1062422589612</v>
      </c>
      <c r="AP25" s="1636">
        <f t="shared" si="16"/>
        <v>203.03491964025989</v>
      </c>
      <c r="AQ25" s="1636">
        <f t="shared" si="16"/>
        <v>175.96359702155857</v>
      </c>
      <c r="AR25" s="1636">
        <f t="shared" si="16"/>
        <v>148.89227440285725</v>
      </c>
      <c r="AS25" s="1636">
        <f t="shared" si="16"/>
        <v>121.82095178415594</v>
      </c>
      <c r="AT25" s="1636">
        <f t="shared" si="16"/>
        <v>94.749629165454621</v>
      </c>
      <c r="AU25" s="1636">
        <f t="shared" si="16"/>
        <v>67.678306546753305</v>
      </c>
      <c r="AV25" s="1636">
        <f t="shared" si="16"/>
        <v>40.606983928051982</v>
      </c>
      <c r="AW25" s="1636">
        <f t="shared" si="16"/>
        <v>13.535661309350662</v>
      </c>
      <c r="AX25" s="1636">
        <f t="shared" si="16"/>
        <v>0</v>
      </c>
      <c r="AY25" s="1636"/>
      <c r="AZ25" s="1636"/>
      <c r="BA25" s="1636"/>
      <c r="BB25" s="1636"/>
    </row>
    <row r="26" spans="2:60" ht="17.100000000000001" customHeight="1">
      <c r="B26" s="307"/>
      <c r="C26" s="451" t="s">
        <v>1348</v>
      </c>
      <c r="D26" s="331" t="s">
        <v>1349</v>
      </c>
      <c r="E26" s="742"/>
      <c r="F26" s="947">
        <f>SUM(F27:F28)</f>
        <v>107.70709336</v>
      </c>
      <c r="G26" s="947">
        <f>SUM(G27:G28)</f>
        <v>28.32667197</v>
      </c>
      <c r="H26" s="947">
        <f>SUM(H27:H28)</f>
        <v>28.102110930000002</v>
      </c>
      <c r="I26" s="1609">
        <f>SUM(I27:I28)</f>
        <v>1.6040000000000001</v>
      </c>
      <c r="J26" s="947">
        <f>SUM(J27:J28)</f>
        <v>1.6040000000000001</v>
      </c>
      <c r="K26" s="1204">
        <f t="shared" ref="K26:AX26" si="17">SUM(K27:K28)</f>
        <v>1.8440000000000001</v>
      </c>
      <c r="L26" s="1204">
        <f t="shared" si="17"/>
        <v>1.8440000000000001</v>
      </c>
      <c r="M26" s="1204">
        <f t="shared" si="17"/>
        <v>1.8440000000000001</v>
      </c>
      <c r="N26" s="1204">
        <f t="shared" si="17"/>
        <v>1.8440000000000001</v>
      </c>
      <c r="O26" s="1611">
        <f t="shared" si="17"/>
        <v>1.8440000000000001</v>
      </c>
      <c r="P26" s="1204">
        <f t="shared" si="17"/>
        <v>1.8440000000000001</v>
      </c>
      <c r="Q26" s="1204">
        <f t="shared" si="17"/>
        <v>1.8440000000000001</v>
      </c>
      <c r="R26" s="1204">
        <f t="shared" si="17"/>
        <v>1.8440000000000001</v>
      </c>
      <c r="S26" s="1204">
        <f t="shared" si="17"/>
        <v>1.8440000000000001</v>
      </c>
      <c r="T26" s="1204">
        <f t="shared" si="17"/>
        <v>1.8440000000000001</v>
      </c>
      <c r="U26" s="1204">
        <f t="shared" si="17"/>
        <v>1.8440000000000001</v>
      </c>
      <c r="V26" s="1204">
        <f t="shared" si="17"/>
        <v>1.8440000000000001</v>
      </c>
      <c r="W26" s="1204">
        <f t="shared" si="17"/>
        <v>1.8440000000000001</v>
      </c>
      <c r="X26" s="1204">
        <f t="shared" si="17"/>
        <v>1.8440000000000001</v>
      </c>
      <c r="Y26" s="1204">
        <f t="shared" si="17"/>
        <v>1.8440000000000001</v>
      </c>
      <c r="Z26" s="1204">
        <f t="shared" si="17"/>
        <v>1.8440000000000001</v>
      </c>
      <c r="AA26" s="1204">
        <f t="shared" si="17"/>
        <v>1.8440000000000001</v>
      </c>
      <c r="AB26" s="1204">
        <f t="shared" si="17"/>
        <v>1.8440000000000001</v>
      </c>
      <c r="AC26" s="1204">
        <f t="shared" si="17"/>
        <v>1.8440000000000001</v>
      </c>
      <c r="AD26" s="1204">
        <f t="shared" si="17"/>
        <v>1.8440000000000001</v>
      </c>
      <c r="AE26" s="1204">
        <f t="shared" si="17"/>
        <v>1.8440000000000001</v>
      </c>
      <c r="AF26" s="1204">
        <f t="shared" si="17"/>
        <v>1.8440000000000001</v>
      </c>
      <c r="AG26" s="1204">
        <f t="shared" si="17"/>
        <v>1.8440000000000001</v>
      </c>
      <c r="AH26" s="1204">
        <f t="shared" si="17"/>
        <v>1.8440000000000001</v>
      </c>
      <c r="AI26" s="1204">
        <f t="shared" si="17"/>
        <v>1.8440000000000001</v>
      </c>
      <c r="AJ26" s="1204">
        <f t="shared" si="17"/>
        <v>1.8440000000000001</v>
      </c>
      <c r="AK26" s="1204">
        <f t="shared" si="17"/>
        <v>1.8440000000000001</v>
      </c>
      <c r="AL26" s="1204">
        <f t="shared" si="17"/>
        <v>1.8440000000000001</v>
      </c>
      <c r="AM26" s="1204">
        <f t="shared" si="17"/>
        <v>1.8440000000000001</v>
      </c>
      <c r="AN26" s="1204">
        <f t="shared" si="17"/>
        <v>1.8440000000000001</v>
      </c>
      <c r="AO26" s="1204">
        <f t="shared" si="17"/>
        <v>1.8440000000000001</v>
      </c>
      <c r="AP26" s="1204">
        <f t="shared" si="17"/>
        <v>1.8440000000000001</v>
      </c>
      <c r="AQ26" s="1204">
        <f t="shared" si="17"/>
        <v>1.8440000000000001</v>
      </c>
      <c r="AR26" s="1204">
        <f t="shared" si="17"/>
        <v>1.8440000000000001</v>
      </c>
      <c r="AS26" s="1204">
        <f t="shared" si="17"/>
        <v>1.8440000000000001</v>
      </c>
      <c r="AT26" s="1204">
        <f t="shared" si="17"/>
        <v>1.8440000000000001</v>
      </c>
      <c r="AU26" s="1204">
        <f t="shared" si="17"/>
        <v>1.8440000000000001</v>
      </c>
      <c r="AV26" s="1204">
        <f t="shared" si="17"/>
        <v>1.8440000000000001</v>
      </c>
      <c r="AW26" s="1204">
        <f t="shared" si="17"/>
        <v>1.8440000000000001</v>
      </c>
      <c r="AX26" s="1204">
        <f t="shared" si="17"/>
        <v>0</v>
      </c>
      <c r="AY26" s="1204"/>
      <c r="AZ26" s="1204"/>
      <c r="BA26" s="1204"/>
      <c r="BB26" s="1204"/>
    </row>
    <row r="27" spans="2:60" ht="17.100000000000001" customHeight="1">
      <c r="B27" s="307"/>
      <c r="D27" s="342" t="s">
        <v>1350</v>
      </c>
      <c r="E27" s="943"/>
      <c r="F27" s="1612">
        <v>2.0156299999999998</v>
      </c>
      <c r="G27" s="1612">
        <v>2.0156299999999998</v>
      </c>
      <c r="H27" s="1612">
        <v>2.0146299999999999</v>
      </c>
      <c r="I27" s="1613">
        <v>1.6040000000000001</v>
      </c>
      <c r="J27" s="945">
        <f>I27</f>
        <v>1.6040000000000001</v>
      </c>
      <c r="K27" s="1638">
        <f>(실적!D39)/단위</f>
        <v>1.8440000000000001</v>
      </c>
      <c r="L27" s="1492">
        <f>K27*(L7&lt;YEAR(Sensitivity!$E$13))</f>
        <v>1.8440000000000001</v>
      </c>
      <c r="M27" s="1492">
        <f>L27*(M7&lt;YEAR(Sensitivity!$E$13))</f>
        <v>1.8440000000000001</v>
      </c>
      <c r="N27" s="1492">
        <f>M27*(N7&lt;YEAR(Sensitivity!$E$13))</f>
        <v>1.8440000000000001</v>
      </c>
      <c r="O27" s="1628">
        <f>N27*(O7&lt;YEAR(Sensitivity!$E$13))</f>
        <v>1.8440000000000001</v>
      </c>
      <c r="P27" s="1492">
        <f>O27*(P7&lt;YEAR(Sensitivity!$E$13))</f>
        <v>1.8440000000000001</v>
      </c>
      <c r="Q27" s="1492">
        <f>P27*(Q7&lt;YEAR(Sensitivity!$E$13))</f>
        <v>1.8440000000000001</v>
      </c>
      <c r="R27" s="1492">
        <f>Q27*(R7&lt;YEAR(Sensitivity!$E$13))</f>
        <v>1.8440000000000001</v>
      </c>
      <c r="S27" s="1492">
        <f>R27*(S7&lt;YEAR(Sensitivity!$E$13))</f>
        <v>1.8440000000000001</v>
      </c>
      <c r="T27" s="1492">
        <f>S27*(T7&lt;YEAR(Sensitivity!$E$13))</f>
        <v>1.8440000000000001</v>
      </c>
      <c r="U27" s="1492">
        <f>T27*(U7&lt;YEAR(Sensitivity!$E$13))</f>
        <v>1.8440000000000001</v>
      </c>
      <c r="V27" s="1492">
        <f>U27*(V7&lt;YEAR(Sensitivity!$E$13))</f>
        <v>1.8440000000000001</v>
      </c>
      <c r="W27" s="1492">
        <f>V27*(W7&lt;YEAR(Sensitivity!$E$13))</f>
        <v>1.8440000000000001</v>
      </c>
      <c r="X27" s="1492">
        <f>W27*(X7&lt;YEAR(Sensitivity!$E$13))</f>
        <v>1.8440000000000001</v>
      </c>
      <c r="Y27" s="1492">
        <f>X27*(Y7&lt;YEAR(Sensitivity!$E$13))</f>
        <v>1.8440000000000001</v>
      </c>
      <c r="Z27" s="1492">
        <f>Y27*(Z7&lt;YEAR(Sensitivity!$E$13))</f>
        <v>1.8440000000000001</v>
      </c>
      <c r="AA27" s="1492">
        <f>Z27*(AA7&lt;YEAR(Sensitivity!$E$13))</f>
        <v>1.8440000000000001</v>
      </c>
      <c r="AB27" s="1492">
        <f>AA27*(AB7&lt;YEAR(Sensitivity!$E$13))</f>
        <v>1.8440000000000001</v>
      </c>
      <c r="AC27" s="1492">
        <f>AB27*(AC7&lt;YEAR(Sensitivity!$E$13))</f>
        <v>1.8440000000000001</v>
      </c>
      <c r="AD27" s="1492">
        <f>AC27*(AD7&lt;YEAR(Sensitivity!$E$13))</f>
        <v>1.8440000000000001</v>
      </c>
      <c r="AE27" s="1492">
        <f>AD27*(AE7&lt;YEAR(Sensitivity!$E$13))</f>
        <v>1.8440000000000001</v>
      </c>
      <c r="AF27" s="1492">
        <f>AE27*(AF7&lt;YEAR(Sensitivity!$E$13))</f>
        <v>1.8440000000000001</v>
      </c>
      <c r="AG27" s="1492">
        <f>AF27*(AG7&lt;YEAR(Sensitivity!$E$13))</f>
        <v>1.8440000000000001</v>
      </c>
      <c r="AH27" s="1492">
        <f>AG27*(AH7&lt;YEAR(Sensitivity!$E$13))</f>
        <v>1.8440000000000001</v>
      </c>
      <c r="AI27" s="1492">
        <f>AH27*(AI7&lt;YEAR(Sensitivity!$E$13))</f>
        <v>1.8440000000000001</v>
      </c>
      <c r="AJ27" s="1492">
        <f>AI27*(AJ7&lt;YEAR(Sensitivity!$E$13))</f>
        <v>1.8440000000000001</v>
      </c>
      <c r="AK27" s="1492">
        <f>AJ27*(AK7&lt;YEAR(Sensitivity!$E$13))</f>
        <v>1.8440000000000001</v>
      </c>
      <c r="AL27" s="1492">
        <f>AK27*(AL7&lt;YEAR(Sensitivity!$E$13))</f>
        <v>1.8440000000000001</v>
      </c>
      <c r="AM27" s="1492">
        <f>AL27*(AM7&lt;YEAR(Sensitivity!$E$13))</f>
        <v>1.8440000000000001</v>
      </c>
      <c r="AN27" s="1492">
        <f>AM27*(AN7&lt;YEAR(Sensitivity!$E$13))</f>
        <v>1.8440000000000001</v>
      </c>
      <c r="AO27" s="1492">
        <f>AN27*(AO7&lt;YEAR(Sensitivity!$E$13))</f>
        <v>1.8440000000000001</v>
      </c>
      <c r="AP27" s="1492">
        <f>AO27*(AP7&lt;YEAR(Sensitivity!$E$13))</f>
        <v>1.8440000000000001</v>
      </c>
      <c r="AQ27" s="1492">
        <f>AP27*(AQ7&lt;YEAR(Sensitivity!$E$13))</f>
        <v>1.8440000000000001</v>
      </c>
      <c r="AR27" s="1492">
        <f>AQ27*(AR7&lt;YEAR(Sensitivity!$E$13))</f>
        <v>1.8440000000000001</v>
      </c>
      <c r="AS27" s="1492">
        <f>AR27*(AS7&lt;YEAR(Sensitivity!$E$13))</f>
        <v>1.8440000000000001</v>
      </c>
      <c r="AT27" s="1492">
        <f>AS27*(AT7&lt;YEAR(Sensitivity!$E$13))</f>
        <v>1.8440000000000001</v>
      </c>
      <c r="AU27" s="1492">
        <f>AT27*(AU7&lt;YEAR(Sensitivity!$E$13))</f>
        <v>1.8440000000000001</v>
      </c>
      <c r="AV27" s="1492">
        <f>AU27*(AV7&lt;YEAR(Sensitivity!$E$13))</f>
        <v>1.8440000000000001</v>
      </c>
      <c r="AW27" s="1492">
        <f>AV27*(AW7&lt;YEAR(Sensitivity!$E$13))</f>
        <v>1.8440000000000001</v>
      </c>
      <c r="AX27" s="1492">
        <f>AW27*(AX7&lt;YEAR(Sensitivity!$E$13))</f>
        <v>0</v>
      </c>
      <c r="AY27" s="1492"/>
      <c r="AZ27" s="1492"/>
      <c r="BA27" s="1492"/>
      <c r="BB27" s="1492"/>
    </row>
    <row r="28" spans="2:60" ht="17.100000000000001" customHeight="1">
      <c r="B28" s="307"/>
      <c r="D28" s="1282" t="s">
        <v>1340</v>
      </c>
      <c r="E28" s="747"/>
      <c r="F28" s="1618">
        <v>105.69146336</v>
      </c>
      <c r="G28" s="1618">
        <v>26.311041970000002</v>
      </c>
      <c r="H28" s="1618">
        <v>26.087480930000002</v>
      </c>
      <c r="I28" s="1619"/>
      <c r="J28" s="1639">
        <v>0</v>
      </c>
      <c r="K28" s="1493">
        <v>0</v>
      </c>
      <c r="L28" s="1493">
        <v>0</v>
      </c>
      <c r="M28" s="1493">
        <v>0</v>
      </c>
      <c r="N28" s="1493">
        <v>0</v>
      </c>
      <c r="O28" s="1621">
        <v>0</v>
      </c>
      <c r="P28" s="1493">
        <v>0</v>
      </c>
      <c r="Q28" s="1493">
        <v>0</v>
      </c>
      <c r="R28" s="1493">
        <v>0</v>
      </c>
      <c r="S28" s="1493">
        <v>0</v>
      </c>
      <c r="T28" s="1493">
        <v>0</v>
      </c>
      <c r="U28" s="1493">
        <v>0</v>
      </c>
      <c r="V28" s="1493">
        <v>0</v>
      </c>
      <c r="W28" s="1493">
        <v>0</v>
      </c>
      <c r="X28" s="1493">
        <v>0</v>
      </c>
      <c r="Y28" s="1493">
        <v>0</v>
      </c>
      <c r="Z28" s="1493">
        <v>0</v>
      </c>
      <c r="AA28" s="1493">
        <v>0</v>
      </c>
      <c r="AB28" s="1493">
        <v>0</v>
      </c>
      <c r="AC28" s="1493">
        <v>0</v>
      </c>
      <c r="AD28" s="1493">
        <v>0</v>
      </c>
      <c r="AE28" s="1493">
        <v>0</v>
      </c>
      <c r="AF28" s="1493">
        <v>0</v>
      </c>
      <c r="AG28" s="1493">
        <v>0</v>
      </c>
      <c r="AH28" s="1493">
        <v>0</v>
      </c>
      <c r="AI28" s="1493">
        <v>0</v>
      </c>
      <c r="AJ28" s="1493">
        <v>0</v>
      </c>
      <c r="AK28" s="1493">
        <v>0</v>
      </c>
      <c r="AL28" s="1493">
        <v>0</v>
      </c>
      <c r="AM28" s="1493">
        <v>0</v>
      </c>
      <c r="AN28" s="1493">
        <v>0</v>
      </c>
      <c r="AO28" s="1493">
        <v>0</v>
      </c>
      <c r="AP28" s="1493">
        <v>0</v>
      </c>
      <c r="AQ28" s="1493">
        <v>0</v>
      </c>
      <c r="AR28" s="1493">
        <v>0</v>
      </c>
      <c r="AS28" s="1493">
        <v>0</v>
      </c>
      <c r="AT28" s="1493">
        <v>0</v>
      </c>
      <c r="AU28" s="1493">
        <v>0</v>
      </c>
      <c r="AV28" s="1493">
        <v>0</v>
      </c>
      <c r="AW28" s="1493">
        <v>0</v>
      </c>
      <c r="AX28" s="1493">
        <v>0</v>
      </c>
      <c r="AY28" s="1493"/>
      <c r="AZ28" s="1493"/>
      <c r="BA28" s="1493"/>
      <c r="BB28" s="1493"/>
    </row>
    <row r="29" spans="2:60" s="414" customFormat="1" ht="17.100000000000001" customHeight="1">
      <c r="B29" s="1640"/>
      <c r="C29" s="1641" t="s">
        <v>1351</v>
      </c>
      <c r="D29" s="1642"/>
      <c r="E29" s="1643"/>
      <c r="F29" s="1644">
        <f>F8+F17</f>
        <v>1883.8153537499998</v>
      </c>
      <c r="G29" s="1644">
        <f>G8+G17</f>
        <v>1802.2962502033333</v>
      </c>
      <c r="H29" s="1644">
        <f>H8+H17</f>
        <v>1745.3483827</v>
      </c>
      <c r="I29" s="1644">
        <f t="shared" ref="I29:AX29" si="18">I8+I17</f>
        <v>1665.9992597200001</v>
      </c>
      <c r="J29" s="1645">
        <f t="shared" ca="1" si="18"/>
        <v>1601.6083999841876</v>
      </c>
      <c r="K29" s="1646">
        <f t="shared" si="18"/>
        <v>1527.2568338400001</v>
      </c>
      <c r="L29" s="1646">
        <f t="shared" ca="1" si="18"/>
        <v>1492.3076103862988</v>
      </c>
      <c r="M29" s="1646">
        <f t="shared" ca="1" si="18"/>
        <v>1524.4233351546529</v>
      </c>
      <c r="N29" s="1646">
        <f t="shared" ca="1" si="18"/>
        <v>1454.8164929448724</v>
      </c>
      <c r="O29" s="1647">
        <f t="shared" ca="1" si="18"/>
        <v>1415.757231387624</v>
      </c>
      <c r="P29" s="1646">
        <f t="shared" ca="1" si="18"/>
        <v>1380.0454510719301</v>
      </c>
      <c r="Q29" s="1646">
        <f t="shared" ca="1" si="18"/>
        <v>1341.7452438227849</v>
      </c>
      <c r="R29" s="1646">
        <f t="shared" ca="1" si="18"/>
        <v>1320.3369095608791</v>
      </c>
      <c r="S29" s="1646">
        <f t="shared" ca="1" si="18"/>
        <v>1296.6439196445876</v>
      </c>
      <c r="T29" s="1646">
        <f t="shared" ca="1" si="18"/>
        <v>1252.1089339717009</v>
      </c>
      <c r="U29" s="1646">
        <f t="shared" ca="1" si="18"/>
        <v>1272.2599647901038</v>
      </c>
      <c r="V29" s="1646">
        <f t="shared" ca="1" si="18"/>
        <v>1267.9458167249841</v>
      </c>
      <c r="W29" s="1646">
        <f t="shared" ca="1" si="18"/>
        <v>1273.2192713706286</v>
      </c>
      <c r="X29" s="1646">
        <f t="shared" ca="1" si="18"/>
        <v>1284.5135865448924</v>
      </c>
      <c r="Y29" s="1646">
        <f t="shared" ca="1" si="18"/>
        <v>1286.2300456457092</v>
      </c>
      <c r="Z29" s="1646">
        <f t="shared" ca="1" si="18"/>
        <v>1282.8358859227174</v>
      </c>
      <c r="AA29" s="1646">
        <f t="shared" ca="1" si="18"/>
        <v>1292.2744176498918</v>
      </c>
      <c r="AB29" s="1646">
        <f t="shared" ca="1" si="18"/>
        <v>1272.8194416199472</v>
      </c>
      <c r="AC29" s="1646">
        <f t="shared" ca="1" si="18"/>
        <v>1248.7256050318858</v>
      </c>
      <c r="AD29" s="1646">
        <f t="shared" ca="1" si="18"/>
        <v>1213.3433257886447</v>
      </c>
      <c r="AE29" s="1646">
        <f t="shared" ca="1" si="18"/>
        <v>1191.343418135102</v>
      </c>
      <c r="AF29" s="1646">
        <f t="shared" ca="1" si="18"/>
        <v>1156.1543618128132</v>
      </c>
      <c r="AG29" s="1646">
        <f t="shared" ca="1" si="18"/>
        <v>1135.6135168722694</v>
      </c>
      <c r="AH29" s="1646">
        <f t="shared" ca="1" si="18"/>
        <v>1110.8478687782581</v>
      </c>
      <c r="AI29" s="1646">
        <f t="shared" ca="1" si="18"/>
        <v>1072.1299899911246</v>
      </c>
      <c r="AJ29" s="1646">
        <f t="shared" ca="1" si="18"/>
        <v>1035.0277274088221</v>
      </c>
      <c r="AK29" s="1646">
        <f t="shared" ca="1" si="18"/>
        <v>1002.2462832441346</v>
      </c>
      <c r="AL29" s="1646">
        <f t="shared" ca="1" si="18"/>
        <v>974.48863267775198</v>
      </c>
      <c r="AM29" s="1646">
        <f t="shared" ca="1" si="18"/>
        <v>992.89326535852433</v>
      </c>
      <c r="AN29" s="1646">
        <f t="shared" ca="1" si="18"/>
        <v>988.70851804742244</v>
      </c>
      <c r="AO29" s="1646">
        <f t="shared" ca="1" si="18"/>
        <v>1003.221365988745</v>
      </c>
      <c r="AP29" s="1646">
        <f t="shared" ca="1" si="18"/>
        <v>1021.3224974442289</v>
      </c>
      <c r="AQ29" s="1646">
        <f t="shared" ca="1" si="18"/>
        <v>1024.2363513715857</v>
      </c>
      <c r="AR29" s="1646">
        <f t="shared" ca="1" si="18"/>
        <v>1032.8447060433991</v>
      </c>
      <c r="AS29" s="1646">
        <f t="shared" ca="1" si="18"/>
        <v>1057.1008132108664</v>
      </c>
      <c r="AT29" s="1646">
        <f t="shared" ca="1" si="18"/>
        <v>1064.3082385666578</v>
      </c>
      <c r="AU29" s="1646">
        <f t="shared" ca="1" si="18"/>
        <v>1075.6523676780716</v>
      </c>
      <c r="AV29" s="1646">
        <f t="shared" ca="1" si="18"/>
        <v>1094.8351089527177</v>
      </c>
      <c r="AW29" s="1646">
        <f t="shared" ca="1" si="18"/>
        <v>1104.7284957660995</v>
      </c>
      <c r="AX29" s="1646">
        <f t="shared" ca="1" si="18"/>
        <v>0</v>
      </c>
      <c r="AY29" s="1646"/>
      <c r="AZ29" s="1646"/>
      <c r="BA29" s="1646"/>
      <c r="BB29" s="1646"/>
      <c r="BC29" s="302"/>
      <c r="BD29" s="302"/>
      <c r="BE29" s="302"/>
      <c r="BF29" s="302"/>
      <c r="BG29" s="302"/>
      <c r="BH29" s="302"/>
    </row>
    <row r="30" spans="2:60" ht="17.100000000000001" customHeight="1">
      <c r="B30" s="720" t="s">
        <v>1352</v>
      </c>
      <c r="C30" s="315"/>
      <c r="D30" s="1511"/>
      <c r="E30" s="1512"/>
      <c r="F30" s="1648">
        <f>SUM(F31:F34)</f>
        <v>199.20190120999999</v>
      </c>
      <c r="G30" s="1648">
        <f>SUM(G31:G34)</f>
        <v>168.36718085000001</v>
      </c>
      <c r="H30" s="1648">
        <f>SUM(H31:H34)</f>
        <v>176.90361797999998</v>
      </c>
      <c r="I30" s="1648">
        <f>SUM(I31:I34)</f>
        <v>8.2284080700000004</v>
      </c>
      <c r="J30" s="1649">
        <f t="shared" ref="J30:AX30" si="19">SUM(J31:J34)</f>
        <v>9.4534421550000012</v>
      </c>
      <c r="K30" s="1650">
        <f t="shared" si="19"/>
        <v>25.998363489999999</v>
      </c>
      <c r="L30" s="1650">
        <f t="shared" ca="1" si="19"/>
        <v>22.324575399315954</v>
      </c>
      <c r="M30" s="1650">
        <f t="shared" ca="1" si="19"/>
        <v>25.233588730032416</v>
      </c>
      <c r="N30" s="1650">
        <f t="shared" ca="1" si="19"/>
        <v>26.46385054181486</v>
      </c>
      <c r="O30" s="1651">
        <f t="shared" ca="1" si="19"/>
        <v>26.601813707411218</v>
      </c>
      <c r="P30" s="1650">
        <f t="shared" ca="1" si="19"/>
        <v>26.795343582813441</v>
      </c>
      <c r="Q30" s="1650">
        <f t="shared" ca="1" si="19"/>
        <v>20.46692273</v>
      </c>
      <c r="R30" s="1650">
        <f t="shared" ca="1" si="19"/>
        <v>24.604298089732509</v>
      </c>
      <c r="S30" s="1650">
        <f t="shared" ca="1" si="19"/>
        <v>24.11842065596904</v>
      </c>
      <c r="T30" s="1650">
        <f t="shared" ca="1" si="19"/>
        <v>23.142724734490347</v>
      </c>
      <c r="U30" s="1650">
        <f t="shared" ca="1" si="19"/>
        <v>27.544192104960935</v>
      </c>
      <c r="V30" s="1650">
        <f t="shared" ca="1" si="19"/>
        <v>24.327635474203895</v>
      </c>
      <c r="W30" s="1650">
        <f t="shared" ca="1" si="19"/>
        <v>25.372700289327483</v>
      </c>
      <c r="X30" s="1650">
        <f t="shared" ca="1" si="19"/>
        <v>27.082391885628653</v>
      </c>
      <c r="Y30" s="1650">
        <f t="shared" ca="1" si="19"/>
        <v>25.97453675672422</v>
      </c>
      <c r="Z30" s="1650">
        <f t="shared" ca="1" si="19"/>
        <v>24.564536514938084</v>
      </c>
      <c r="AA30" s="1650">
        <f t="shared" ca="1" si="19"/>
        <v>27.998679529969998</v>
      </c>
      <c r="AB30" s="1650">
        <f t="shared" ca="1" si="19"/>
        <v>26.134489292486808</v>
      </c>
      <c r="AC30" s="1650">
        <f t="shared" ca="1" si="19"/>
        <v>25.252818873424509</v>
      </c>
      <c r="AD30" s="1650">
        <f t="shared" ca="1" si="19"/>
        <v>25.997449585664679</v>
      </c>
      <c r="AE30" s="1650">
        <f t="shared" ca="1" si="19"/>
        <v>29.577227440729171</v>
      </c>
      <c r="AF30" s="1650">
        <f t="shared" ca="1" si="19"/>
        <v>28.633326397084367</v>
      </c>
      <c r="AG30" s="1650">
        <f t="shared" ca="1" si="19"/>
        <v>31.932164697040481</v>
      </c>
      <c r="AH30" s="1650">
        <f t="shared" ca="1" si="19"/>
        <v>29.575368077785686</v>
      </c>
      <c r="AI30" s="1650">
        <f t="shared" ca="1" si="19"/>
        <v>29.96769067781743</v>
      </c>
      <c r="AJ30" s="1650">
        <f t="shared" ca="1" si="19"/>
        <v>31.720702331783432</v>
      </c>
      <c r="AK30" s="1650">
        <f t="shared" ca="1" si="19"/>
        <v>31.589375719829437</v>
      </c>
      <c r="AL30" s="1650">
        <f t="shared" ca="1" si="19"/>
        <v>29.948952698828315</v>
      </c>
      <c r="AM30" s="1650">
        <f t="shared" ca="1" si="19"/>
        <v>33.127683741414543</v>
      </c>
      <c r="AN30" s="1650">
        <f t="shared" ca="1" si="19"/>
        <v>29.672356465489557</v>
      </c>
      <c r="AO30" s="1650">
        <f t="shared" ca="1" si="19"/>
        <v>32.330599645097138</v>
      </c>
      <c r="AP30" s="1650">
        <f t="shared" ca="1" si="19"/>
        <v>34.205528862880811</v>
      </c>
      <c r="AQ30" s="1650">
        <f t="shared" ca="1" si="19"/>
        <v>32.125431775766238</v>
      </c>
      <c r="AR30" s="1650">
        <f t="shared" ca="1" si="19"/>
        <v>32.681170280437186</v>
      </c>
      <c r="AS30" s="1650">
        <f t="shared" ca="1" si="19"/>
        <v>36.303554255208844</v>
      </c>
      <c r="AT30" s="1650">
        <f t="shared" ca="1" si="19"/>
        <v>34.534446504026192</v>
      </c>
      <c r="AU30" s="1650">
        <f t="shared" ca="1" si="19"/>
        <v>35.083150310866401</v>
      </c>
      <c r="AV30" s="1650">
        <f t="shared" ca="1" si="19"/>
        <v>37.117362563760466</v>
      </c>
      <c r="AW30" s="1650">
        <f t="shared" ca="1" si="19"/>
        <v>36.264831284717765</v>
      </c>
      <c r="AX30" s="1650">
        <f t="shared" ca="1" si="19"/>
        <v>0</v>
      </c>
      <c r="AY30" s="1650"/>
      <c r="AZ30" s="1650"/>
      <c r="BA30" s="1650"/>
      <c r="BB30" s="1650"/>
    </row>
    <row r="31" spans="2:60" ht="17.100000000000001" customHeight="1">
      <c r="B31" s="307"/>
      <c r="C31" s="1652"/>
      <c r="D31" s="331" t="s">
        <v>200</v>
      </c>
      <c r="E31" s="742"/>
      <c r="F31" s="1630">
        <v>13.364373499999999</v>
      </c>
      <c r="G31" s="1630"/>
      <c r="H31" s="1630"/>
      <c r="I31" s="1609">
        <v>0</v>
      </c>
      <c r="J31" s="1610">
        <v>0</v>
      </c>
      <c r="K31" s="1204">
        <f t="shared" ref="K31:AX31" si="20">K146</f>
        <v>0</v>
      </c>
      <c r="L31" s="1204">
        <f t="shared" si="20"/>
        <v>0</v>
      </c>
      <c r="M31" s="1204">
        <f t="shared" si="20"/>
        <v>0</v>
      </c>
      <c r="N31" s="1204">
        <f t="shared" si="20"/>
        <v>0</v>
      </c>
      <c r="O31" s="1611">
        <f t="shared" si="20"/>
        <v>0</v>
      </c>
      <c r="P31" s="1204">
        <f t="shared" si="20"/>
        <v>0</v>
      </c>
      <c r="Q31" s="1204">
        <f t="shared" si="20"/>
        <v>0</v>
      </c>
      <c r="R31" s="1204">
        <f t="shared" si="20"/>
        <v>0</v>
      </c>
      <c r="S31" s="1204">
        <f t="shared" si="20"/>
        <v>0</v>
      </c>
      <c r="T31" s="1204">
        <f t="shared" si="20"/>
        <v>0</v>
      </c>
      <c r="U31" s="1204">
        <f t="shared" si="20"/>
        <v>0</v>
      </c>
      <c r="V31" s="1204">
        <f t="shared" si="20"/>
        <v>0</v>
      </c>
      <c r="W31" s="1204">
        <f t="shared" si="20"/>
        <v>0</v>
      </c>
      <c r="X31" s="1204">
        <f t="shared" si="20"/>
        <v>0</v>
      </c>
      <c r="Y31" s="1204">
        <f t="shared" si="20"/>
        <v>0</v>
      </c>
      <c r="Z31" s="1204">
        <f t="shared" si="20"/>
        <v>0</v>
      </c>
      <c r="AA31" s="1204">
        <f t="shared" si="20"/>
        <v>0</v>
      </c>
      <c r="AB31" s="1204">
        <f t="shared" si="20"/>
        <v>0</v>
      </c>
      <c r="AC31" s="1204">
        <f t="shared" si="20"/>
        <v>0</v>
      </c>
      <c r="AD31" s="1204">
        <f t="shared" si="20"/>
        <v>0</v>
      </c>
      <c r="AE31" s="1204">
        <f t="shared" si="20"/>
        <v>0</v>
      </c>
      <c r="AF31" s="1204">
        <f t="shared" si="20"/>
        <v>0</v>
      </c>
      <c r="AG31" s="1204">
        <f t="shared" si="20"/>
        <v>0</v>
      </c>
      <c r="AH31" s="1204">
        <f t="shared" si="20"/>
        <v>0</v>
      </c>
      <c r="AI31" s="1204">
        <f t="shared" si="20"/>
        <v>0</v>
      </c>
      <c r="AJ31" s="1204">
        <f t="shared" si="20"/>
        <v>0</v>
      </c>
      <c r="AK31" s="1204">
        <f t="shared" si="20"/>
        <v>0</v>
      </c>
      <c r="AL31" s="1204">
        <f t="shared" si="20"/>
        <v>0</v>
      </c>
      <c r="AM31" s="1204">
        <f t="shared" si="20"/>
        <v>0</v>
      </c>
      <c r="AN31" s="1204">
        <f t="shared" si="20"/>
        <v>0</v>
      </c>
      <c r="AO31" s="1204">
        <f t="shared" si="20"/>
        <v>0</v>
      </c>
      <c r="AP31" s="1204">
        <f t="shared" si="20"/>
        <v>0</v>
      </c>
      <c r="AQ31" s="1204">
        <f t="shared" si="20"/>
        <v>0</v>
      </c>
      <c r="AR31" s="1204">
        <f t="shared" si="20"/>
        <v>0</v>
      </c>
      <c r="AS31" s="1204">
        <f t="shared" si="20"/>
        <v>0</v>
      </c>
      <c r="AT31" s="1204">
        <f t="shared" si="20"/>
        <v>0</v>
      </c>
      <c r="AU31" s="1204">
        <f t="shared" si="20"/>
        <v>0</v>
      </c>
      <c r="AV31" s="1204">
        <f t="shared" si="20"/>
        <v>0</v>
      </c>
      <c r="AW31" s="1204">
        <f t="shared" si="20"/>
        <v>0</v>
      </c>
      <c r="AX31" s="1204">
        <f t="shared" si="20"/>
        <v>0</v>
      </c>
      <c r="AY31" s="1204"/>
      <c r="AZ31" s="1204"/>
      <c r="BA31" s="948"/>
      <c r="BB31" s="1204"/>
    </row>
    <row r="32" spans="2:60" ht="17.100000000000001" customHeight="1">
      <c r="B32" s="307"/>
      <c r="C32" s="1652"/>
      <c r="D32" s="331" t="s">
        <v>698</v>
      </c>
      <c r="E32" s="727"/>
      <c r="F32" s="1630">
        <v>52.263040840000002</v>
      </c>
      <c r="G32" s="1630">
        <v>17.714167610000001</v>
      </c>
      <c r="H32" s="1630">
        <v>32.388454629999998</v>
      </c>
      <c r="I32" s="1609">
        <f>3.56671425+4.66169382</f>
        <v>8.2284080700000004</v>
      </c>
      <c r="J32" s="947">
        <f>I32/2</f>
        <v>4.1142040350000002</v>
      </c>
      <c r="K32" s="1496">
        <f>SUM(실적!C47:C49,실적!C51:C53)/단위</f>
        <v>20.46692273</v>
      </c>
      <c r="L32" s="948">
        <f t="shared" ref="L32:AW32" si="21">K32</f>
        <v>20.46692273</v>
      </c>
      <c r="M32" s="948">
        <f t="shared" si="21"/>
        <v>20.46692273</v>
      </c>
      <c r="N32" s="948">
        <f t="shared" si="21"/>
        <v>20.46692273</v>
      </c>
      <c r="O32" s="948">
        <f t="shared" si="21"/>
        <v>20.46692273</v>
      </c>
      <c r="P32" s="948">
        <f t="shared" si="21"/>
        <v>20.46692273</v>
      </c>
      <c r="Q32" s="948">
        <f t="shared" si="21"/>
        <v>20.46692273</v>
      </c>
      <c r="R32" s="948">
        <f t="shared" si="21"/>
        <v>20.46692273</v>
      </c>
      <c r="S32" s="948">
        <f t="shared" si="21"/>
        <v>20.46692273</v>
      </c>
      <c r="T32" s="948">
        <f t="shared" si="21"/>
        <v>20.46692273</v>
      </c>
      <c r="U32" s="948">
        <f t="shared" si="21"/>
        <v>20.46692273</v>
      </c>
      <c r="V32" s="948">
        <f t="shared" si="21"/>
        <v>20.46692273</v>
      </c>
      <c r="W32" s="948">
        <f t="shared" si="21"/>
        <v>20.46692273</v>
      </c>
      <c r="X32" s="948">
        <f t="shared" si="21"/>
        <v>20.46692273</v>
      </c>
      <c r="Y32" s="948">
        <f t="shared" si="21"/>
        <v>20.46692273</v>
      </c>
      <c r="Z32" s="948">
        <f t="shared" si="21"/>
        <v>20.46692273</v>
      </c>
      <c r="AA32" s="948">
        <f t="shared" si="21"/>
        <v>20.46692273</v>
      </c>
      <c r="AB32" s="948">
        <f t="shared" si="21"/>
        <v>20.46692273</v>
      </c>
      <c r="AC32" s="948">
        <f t="shared" si="21"/>
        <v>20.46692273</v>
      </c>
      <c r="AD32" s="948">
        <f t="shared" si="21"/>
        <v>20.46692273</v>
      </c>
      <c r="AE32" s="948">
        <f t="shared" si="21"/>
        <v>20.46692273</v>
      </c>
      <c r="AF32" s="948">
        <f t="shared" si="21"/>
        <v>20.46692273</v>
      </c>
      <c r="AG32" s="948">
        <f t="shared" si="21"/>
        <v>20.46692273</v>
      </c>
      <c r="AH32" s="948">
        <f t="shared" si="21"/>
        <v>20.46692273</v>
      </c>
      <c r="AI32" s="948">
        <f t="shared" si="21"/>
        <v>20.46692273</v>
      </c>
      <c r="AJ32" s="948">
        <f t="shared" si="21"/>
        <v>20.46692273</v>
      </c>
      <c r="AK32" s="948">
        <f t="shared" si="21"/>
        <v>20.46692273</v>
      </c>
      <c r="AL32" s="948">
        <f t="shared" si="21"/>
        <v>20.46692273</v>
      </c>
      <c r="AM32" s="948">
        <f t="shared" si="21"/>
        <v>20.46692273</v>
      </c>
      <c r="AN32" s="948">
        <f t="shared" si="21"/>
        <v>20.46692273</v>
      </c>
      <c r="AO32" s="948">
        <f t="shared" si="21"/>
        <v>20.46692273</v>
      </c>
      <c r="AP32" s="948">
        <f t="shared" si="21"/>
        <v>20.46692273</v>
      </c>
      <c r="AQ32" s="948">
        <f t="shared" si="21"/>
        <v>20.46692273</v>
      </c>
      <c r="AR32" s="948">
        <f t="shared" si="21"/>
        <v>20.46692273</v>
      </c>
      <c r="AS32" s="948">
        <f t="shared" si="21"/>
        <v>20.46692273</v>
      </c>
      <c r="AT32" s="948">
        <f t="shared" si="21"/>
        <v>20.46692273</v>
      </c>
      <c r="AU32" s="948">
        <f t="shared" si="21"/>
        <v>20.46692273</v>
      </c>
      <c r="AV32" s="948">
        <f t="shared" si="21"/>
        <v>20.46692273</v>
      </c>
      <c r="AW32" s="948">
        <f t="shared" si="21"/>
        <v>20.46692273</v>
      </c>
      <c r="AX32" s="1653">
        <f>AW32*(AY4&gt;0)</f>
        <v>0</v>
      </c>
      <c r="AY32" s="948"/>
      <c r="AZ32" s="948"/>
      <c r="BA32" s="948"/>
      <c r="BB32" s="948"/>
    </row>
    <row r="33" spans="2:54" ht="17.100000000000001" customHeight="1">
      <c r="B33" s="307"/>
      <c r="C33" s="1652"/>
      <c r="D33" s="331" t="s">
        <v>702</v>
      </c>
      <c r="E33" s="727"/>
      <c r="F33" s="1630"/>
      <c r="G33" s="1630"/>
      <c r="H33" s="1630">
        <v>1.58441553</v>
      </c>
      <c r="I33" s="1609"/>
      <c r="J33" s="947">
        <f>J185</f>
        <v>5.3392381200000001</v>
      </c>
      <c r="K33" s="948">
        <f>K185</f>
        <v>5.5314407599999997</v>
      </c>
      <c r="L33" s="948">
        <f t="shared" ref="L33:AW33" ca="1" si="22">L185</f>
        <v>1.8576526693159554</v>
      </c>
      <c r="M33" s="948">
        <f t="shared" ca="1" si="22"/>
        <v>4.7666660000324139</v>
      </c>
      <c r="N33" s="948">
        <f t="shared" ca="1" si="22"/>
        <v>5.9969278118148601</v>
      </c>
      <c r="O33" s="948">
        <f t="shared" ca="1" si="22"/>
        <v>6.1348909774112155</v>
      </c>
      <c r="P33" s="948">
        <f t="shared" ca="1" si="22"/>
        <v>6.3284208528134407</v>
      </c>
      <c r="Q33" s="948">
        <f t="shared" ca="1" si="22"/>
        <v>0</v>
      </c>
      <c r="R33" s="948">
        <f t="shared" ca="1" si="22"/>
        <v>4.1373753597325074</v>
      </c>
      <c r="S33" s="948">
        <f t="shared" ca="1" si="22"/>
        <v>3.6514979259690374</v>
      </c>
      <c r="T33" s="948">
        <f t="shared" ca="1" si="22"/>
        <v>2.6758020044903468</v>
      </c>
      <c r="U33" s="948">
        <f t="shared" ca="1" si="22"/>
        <v>7.0772693749609363</v>
      </c>
      <c r="V33" s="948">
        <f t="shared" ca="1" si="22"/>
        <v>3.8607127442038944</v>
      </c>
      <c r="W33" s="948">
        <f t="shared" ca="1" si="22"/>
        <v>4.9057775593274835</v>
      </c>
      <c r="X33" s="948">
        <f t="shared" ca="1" si="22"/>
        <v>6.6154691556286505</v>
      </c>
      <c r="Y33" s="948">
        <f t="shared" ca="1" si="22"/>
        <v>5.5076140267242195</v>
      </c>
      <c r="Z33" s="948">
        <f t="shared" ca="1" si="22"/>
        <v>4.0976137849380816</v>
      </c>
      <c r="AA33" s="948">
        <f t="shared" ca="1" si="22"/>
        <v>7.5317567999699966</v>
      </c>
      <c r="AB33" s="948">
        <f t="shared" ca="1" si="22"/>
        <v>5.6675665624868081</v>
      </c>
      <c r="AC33" s="948">
        <f t="shared" ca="1" si="22"/>
        <v>4.7858961434245106</v>
      </c>
      <c r="AD33" s="948">
        <f t="shared" ca="1" si="22"/>
        <v>5.5305268556646787</v>
      </c>
      <c r="AE33" s="948">
        <f t="shared" ca="1" si="22"/>
        <v>9.1103047107291708</v>
      </c>
      <c r="AF33" s="948">
        <f t="shared" ca="1" si="22"/>
        <v>8.1664036670843672</v>
      </c>
      <c r="AG33" s="948">
        <f t="shared" ca="1" si="22"/>
        <v>11.46524196704048</v>
      </c>
      <c r="AH33" s="948">
        <f t="shared" ca="1" si="22"/>
        <v>9.1084453477856862</v>
      </c>
      <c r="AI33" s="948">
        <f t="shared" ca="1" si="22"/>
        <v>9.5007679478174296</v>
      </c>
      <c r="AJ33" s="948">
        <f t="shared" ca="1" si="22"/>
        <v>11.253779601783432</v>
      </c>
      <c r="AK33" s="948">
        <f t="shared" ca="1" si="22"/>
        <v>11.122452989829437</v>
      </c>
      <c r="AL33" s="948">
        <f t="shared" ca="1" si="22"/>
        <v>9.4820299688283143</v>
      </c>
      <c r="AM33" s="948">
        <f t="shared" ca="1" si="22"/>
        <v>12.660761011414543</v>
      </c>
      <c r="AN33" s="948">
        <f t="shared" ca="1" si="22"/>
        <v>9.2054337354895566</v>
      </c>
      <c r="AO33" s="948">
        <f t="shared" ca="1" si="22"/>
        <v>11.863676915097138</v>
      </c>
      <c r="AP33" s="948">
        <f t="shared" ca="1" si="22"/>
        <v>13.738606132880815</v>
      </c>
      <c r="AQ33" s="948">
        <f t="shared" ca="1" si="22"/>
        <v>11.658509045766237</v>
      </c>
      <c r="AR33" s="948">
        <f t="shared" ca="1" si="22"/>
        <v>12.214247550437186</v>
      </c>
      <c r="AS33" s="948">
        <f t="shared" ca="1" si="22"/>
        <v>15.836631525208844</v>
      </c>
      <c r="AT33" s="948">
        <f t="shared" ca="1" si="22"/>
        <v>14.067523774026188</v>
      </c>
      <c r="AU33" s="948">
        <f t="shared" ca="1" si="22"/>
        <v>14.616227580866401</v>
      </c>
      <c r="AV33" s="948">
        <f t="shared" ca="1" si="22"/>
        <v>16.650439833760466</v>
      </c>
      <c r="AW33" s="948">
        <f t="shared" ca="1" si="22"/>
        <v>15.797908554717765</v>
      </c>
      <c r="AX33" s="1653">
        <f ca="1">AX185*(AY4&gt;0)</f>
        <v>0</v>
      </c>
      <c r="AY33" s="948"/>
      <c r="AZ33" s="948"/>
      <c r="BA33" s="948"/>
      <c r="BB33" s="948"/>
    </row>
    <row r="34" spans="2:54" ht="17.100000000000001" customHeight="1">
      <c r="B34" s="952"/>
      <c r="C34" s="1654"/>
      <c r="D34" s="331" t="s">
        <v>1353</v>
      </c>
      <c r="E34" s="727"/>
      <c r="F34" s="1630">
        <v>133.57448686999999</v>
      </c>
      <c r="G34" s="1630">
        <v>150.65301324000001</v>
      </c>
      <c r="H34" s="1630">
        <v>142.93074781999999</v>
      </c>
      <c r="I34" s="1609"/>
      <c r="J34" s="1609">
        <f t="shared" ref="J34:AX34" si="23">J176</f>
        <v>0</v>
      </c>
      <c r="K34" s="1204">
        <f t="shared" si="23"/>
        <v>0</v>
      </c>
      <c r="L34" s="1204">
        <f t="shared" si="23"/>
        <v>0</v>
      </c>
      <c r="M34" s="1204">
        <f t="shared" si="23"/>
        <v>0</v>
      </c>
      <c r="N34" s="1204">
        <f t="shared" si="23"/>
        <v>0</v>
      </c>
      <c r="O34" s="1204">
        <f t="shared" si="23"/>
        <v>0</v>
      </c>
      <c r="P34" s="1204">
        <f t="shared" si="23"/>
        <v>0</v>
      </c>
      <c r="Q34" s="1204">
        <f t="shared" si="23"/>
        <v>0</v>
      </c>
      <c r="R34" s="1204">
        <f t="shared" si="23"/>
        <v>0</v>
      </c>
      <c r="S34" s="1204">
        <f t="shared" si="23"/>
        <v>0</v>
      </c>
      <c r="T34" s="1204">
        <f t="shared" si="23"/>
        <v>0</v>
      </c>
      <c r="U34" s="1204">
        <f t="shared" si="23"/>
        <v>0</v>
      </c>
      <c r="V34" s="1204">
        <f t="shared" si="23"/>
        <v>0</v>
      </c>
      <c r="W34" s="1204">
        <f t="shared" si="23"/>
        <v>0</v>
      </c>
      <c r="X34" s="1204">
        <f t="shared" si="23"/>
        <v>0</v>
      </c>
      <c r="Y34" s="1204">
        <f t="shared" si="23"/>
        <v>0</v>
      </c>
      <c r="Z34" s="1204">
        <f t="shared" si="23"/>
        <v>0</v>
      </c>
      <c r="AA34" s="1204">
        <f t="shared" si="23"/>
        <v>0</v>
      </c>
      <c r="AB34" s="1204">
        <f t="shared" si="23"/>
        <v>0</v>
      </c>
      <c r="AC34" s="1204">
        <f t="shared" si="23"/>
        <v>0</v>
      </c>
      <c r="AD34" s="1204">
        <f t="shared" si="23"/>
        <v>0</v>
      </c>
      <c r="AE34" s="1204">
        <f t="shared" si="23"/>
        <v>0</v>
      </c>
      <c r="AF34" s="1204">
        <f t="shared" si="23"/>
        <v>0</v>
      </c>
      <c r="AG34" s="1204">
        <f t="shared" si="23"/>
        <v>0</v>
      </c>
      <c r="AH34" s="1204">
        <f t="shared" si="23"/>
        <v>0</v>
      </c>
      <c r="AI34" s="1204">
        <f t="shared" si="23"/>
        <v>0</v>
      </c>
      <c r="AJ34" s="1204">
        <f t="shared" si="23"/>
        <v>0</v>
      </c>
      <c r="AK34" s="1204">
        <f t="shared" si="23"/>
        <v>0</v>
      </c>
      <c r="AL34" s="1204">
        <f t="shared" si="23"/>
        <v>0</v>
      </c>
      <c r="AM34" s="1204">
        <f t="shared" si="23"/>
        <v>0</v>
      </c>
      <c r="AN34" s="1204">
        <f t="shared" si="23"/>
        <v>0</v>
      </c>
      <c r="AO34" s="1204">
        <f t="shared" si="23"/>
        <v>0</v>
      </c>
      <c r="AP34" s="1204">
        <f t="shared" si="23"/>
        <v>0</v>
      </c>
      <c r="AQ34" s="1204">
        <f t="shared" si="23"/>
        <v>0</v>
      </c>
      <c r="AR34" s="1204">
        <f t="shared" si="23"/>
        <v>0</v>
      </c>
      <c r="AS34" s="1204">
        <f t="shared" si="23"/>
        <v>0</v>
      </c>
      <c r="AT34" s="1204">
        <f t="shared" si="23"/>
        <v>0</v>
      </c>
      <c r="AU34" s="1204">
        <f t="shared" si="23"/>
        <v>0</v>
      </c>
      <c r="AV34" s="1204">
        <f t="shared" si="23"/>
        <v>0</v>
      </c>
      <c r="AW34" s="1204">
        <f t="shared" si="23"/>
        <v>0</v>
      </c>
      <c r="AX34" s="1204">
        <f t="shared" si="23"/>
        <v>0</v>
      </c>
      <c r="AY34" s="1204"/>
      <c r="AZ34" s="1204"/>
      <c r="BA34" s="1204"/>
      <c r="BB34" s="1204"/>
    </row>
    <row r="35" spans="2:54" ht="17.100000000000001" customHeight="1">
      <c r="B35" s="720" t="s">
        <v>1354</v>
      </c>
      <c r="C35" s="315"/>
      <c r="D35" s="1511"/>
      <c r="E35" s="1655"/>
      <c r="F35" s="1648">
        <f t="shared" ref="F35:AK35" si="24">SUM(F36:F42)</f>
        <v>1726.2332708200001</v>
      </c>
      <c r="G35" s="1648">
        <f t="shared" si="24"/>
        <v>1572.4336624300001</v>
      </c>
      <c r="H35" s="1648">
        <f t="shared" si="24"/>
        <v>1414.9514059100002</v>
      </c>
      <c r="I35" s="1648">
        <f t="shared" si="24"/>
        <v>1431.1609344299998</v>
      </c>
      <c r="J35" s="1649">
        <f t="shared" ca="1" si="24"/>
        <v>1296.6215544299998</v>
      </c>
      <c r="K35" s="1650">
        <f t="shared" si="24"/>
        <v>1123.8651002699996</v>
      </c>
      <c r="L35" s="1650">
        <f t="shared" ca="1" si="24"/>
        <v>1023.8059531818296</v>
      </c>
      <c r="M35" s="1650">
        <f t="shared" ca="1" si="24"/>
        <v>980.98827396313993</v>
      </c>
      <c r="N35" s="1650">
        <f t="shared" ca="1" si="24"/>
        <v>817.74405664573646</v>
      </c>
      <c r="O35" s="1651">
        <f t="shared" ca="1" si="24"/>
        <v>674.51855766751248</v>
      </c>
      <c r="P35" s="1650">
        <f t="shared" ca="1" si="24"/>
        <v>600.20590854166153</v>
      </c>
      <c r="Q35" s="1650">
        <f t="shared" ca="1" si="24"/>
        <v>565.72516506883881</v>
      </c>
      <c r="R35" s="1650">
        <f t="shared" ca="1" si="24"/>
        <v>526.15256900359475</v>
      </c>
      <c r="S35" s="1650">
        <f t="shared" ca="1" si="24"/>
        <v>486.46773981921393</v>
      </c>
      <c r="T35" s="1650">
        <f t="shared" ca="1" si="24"/>
        <v>456.63518533000001</v>
      </c>
      <c r="U35" s="1650">
        <f t="shared" ca="1" si="24"/>
        <v>456.63518533000001</v>
      </c>
      <c r="V35" s="1650">
        <f t="shared" ca="1" si="24"/>
        <v>456.63518533000001</v>
      </c>
      <c r="W35" s="1650">
        <f t="shared" ca="1" si="24"/>
        <v>456.63518533000001</v>
      </c>
      <c r="X35" s="1650">
        <f t="shared" ca="1" si="24"/>
        <v>456.63518533000001</v>
      </c>
      <c r="Y35" s="1650">
        <f t="shared" ca="1" si="24"/>
        <v>449.67499932999999</v>
      </c>
      <c r="Z35" s="1650">
        <f t="shared" ca="1" si="24"/>
        <v>428.33226632999998</v>
      </c>
      <c r="AA35" s="1650">
        <f t="shared" ca="1" si="24"/>
        <v>403.42120133000003</v>
      </c>
      <c r="AB35" s="1650">
        <f t="shared" ca="1" si="24"/>
        <v>359.58152833000003</v>
      </c>
      <c r="AC35" s="1650">
        <f t="shared" ca="1" si="24"/>
        <v>313.66152833000001</v>
      </c>
      <c r="AD35" s="1650">
        <f t="shared" ca="1" si="24"/>
        <v>267.74152832999999</v>
      </c>
      <c r="AE35" s="1650">
        <f t="shared" ca="1" si="24"/>
        <v>221.82152833000001</v>
      </c>
      <c r="AF35" s="1650">
        <f t="shared" ca="1" si="24"/>
        <v>175.90152832999999</v>
      </c>
      <c r="AG35" s="1650">
        <f t="shared" ca="1" si="24"/>
        <v>129.98152833</v>
      </c>
      <c r="AH35" s="1650">
        <f t="shared" ca="1" si="24"/>
        <v>84.061528330000002</v>
      </c>
      <c r="AI35" s="1650">
        <f t="shared" ca="1" si="24"/>
        <v>38.14152833</v>
      </c>
      <c r="AJ35" s="1650">
        <f t="shared" ca="1" si="24"/>
        <v>7.0540243299999998</v>
      </c>
      <c r="AK35" s="1650">
        <f t="shared" ca="1" si="24"/>
        <v>7.0540243299999998</v>
      </c>
      <c r="AL35" s="1650">
        <f t="shared" ref="AL35:AX35" ca="1" si="25">SUM(AL36:AL42)</f>
        <v>7.0540243299999998</v>
      </c>
      <c r="AM35" s="1650">
        <f t="shared" ca="1" si="25"/>
        <v>7.0540243299999998</v>
      </c>
      <c r="AN35" s="1650">
        <f t="shared" ca="1" si="25"/>
        <v>7.0540243299999998</v>
      </c>
      <c r="AO35" s="1650">
        <f t="shared" ca="1" si="25"/>
        <v>7.0540243299999998</v>
      </c>
      <c r="AP35" s="1650">
        <f t="shared" ca="1" si="25"/>
        <v>7.0540243299999998</v>
      </c>
      <c r="AQ35" s="1650">
        <f t="shared" ca="1" si="25"/>
        <v>7.0540243299999998</v>
      </c>
      <c r="AR35" s="1650">
        <f t="shared" ca="1" si="25"/>
        <v>7.0540243299999998</v>
      </c>
      <c r="AS35" s="1650">
        <f t="shared" ca="1" si="25"/>
        <v>7.0540243299999998</v>
      </c>
      <c r="AT35" s="1650">
        <f t="shared" ca="1" si="25"/>
        <v>7.0540243299999998</v>
      </c>
      <c r="AU35" s="1650">
        <f t="shared" ca="1" si="25"/>
        <v>7.0540243299999998</v>
      </c>
      <c r="AV35" s="1650">
        <f t="shared" ca="1" si="25"/>
        <v>7.0540243299999998</v>
      </c>
      <c r="AW35" s="1650">
        <f t="shared" ca="1" si="25"/>
        <v>7.0540243299999998</v>
      </c>
      <c r="AX35" s="1650">
        <f t="shared" ca="1" si="25"/>
        <v>0</v>
      </c>
      <c r="AY35" s="1650"/>
      <c r="AZ35" s="1650"/>
      <c r="BA35" s="1650"/>
      <c r="BB35" s="1650"/>
    </row>
    <row r="36" spans="2:54" ht="17.100000000000001" customHeight="1">
      <c r="B36" s="307"/>
      <c r="C36" s="1652"/>
      <c r="D36" s="331" t="s">
        <v>693</v>
      </c>
      <c r="E36" s="727"/>
      <c r="F36" s="1615">
        <v>1697.50543745</v>
      </c>
      <c r="G36" s="1615">
        <v>1546.8524242200001</v>
      </c>
      <c r="H36" s="1615">
        <v>1406.49018256</v>
      </c>
      <c r="I36" s="1609">
        <f>차입금상환!H96</f>
        <v>1423.4598599999997</v>
      </c>
      <c r="J36" s="1609">
        <f>차입금상환!H63</f>
        <v>1288.9204799999998</v>
      </c>
      <c r="K36" s="1204">
        <f>차입금상환!I63</f>
        <v>1127.8054199999997</v>
      </c>
      <c r="L36" s="1204">
        <f>차입금상환!J63</f>
        <v>955.06349999999975</v>
      </c>
      <c r="M36" s="1204">
        <f>차입금상환!K63</f>
        <v>796.43990999999983</v>
      </c>
      <c r="N36" s="1204">
        <f>차입금상환!L63</f>
        <v>631.17239999999981</v>
      </c>
      <c r="O36" s="1611">
        <f>차입금상환!M63</f>
        <v>465.07439999999986</v>
      </c>
      <c r="P36" s="1204">
        <f>차입금상환!N63</f>
        <v>253.29944999999987</v>
      </c>
      <c r="Q36" s="1204">
        <f>차입금상환!O63</f>
        <v>109.62467999999987</v>
      </c>
      <c r="R36" s="1204">
        <f>차입금상환!P63</f>
        <v>69.761159999999876</v>
      </c>
      <c r="S36" s="1204">
        <f>차입금상환!Q63</f>
        <v>29.897639999999875</v>
      </c>
      <c r="T36" s="1204">
        <f>차입금상환!R63</f>
        <v>0</v>
      </c>
      <c r="U36" s="1204">
        <f>차입금상환!S63</f>
        <v>0</v>
      </c>
      <c r="V36" s="1204">
        <f>차입금상환!T63</f>
        <v>0</v>
      </c>
      <c r="W36" s="1204">
        <f>차입금상환!U63</f>
        <v>0</v>
      </c>
      <c r="X36" s="1204">
        <f>차입금상환!V63</f>
        <v>0</v>
      </c>
      <c r="Y36" s="1204">
        <f>차입금상환!W63</f>
        <v>0</v>
      </c>
      <c r="Z36" s="1204">
        <f>차입금상환!X63</f>
        <v>0</v>
      </c>
      <c r="AA36" s="1204">
        <f>차입금상환!Y63</f>
        <v>0</v>
      </c>
      <c r="AB36" s="1204">
        <f>차입금상환!Z63</f>
        <v>0</v>
      </c>
      <c r="AC36" s="1204">
        <f>차입금상환!AA63</f>
        <v>0</v>
      </c>
      <c r="AD36" s="1204">
        <f>차입금상환!AB63</f>
        <v>0</v>
      </c>
      <c r="AE36" s="1204">
        <f>차입금상환!AC63</f>
        <v>0</v>
      </c>
      <c r="AF36" s="1204">
        <f>차입금상환!AD63</f>
        <v>0</v>
      </c>
      <c r="AG36" s="1204">
        <f>차입금상환!AE63</f>
        <v>0</v>
      </c>
      <c r="AH36" s="1204">
        <f>차입금상환!AF63</f>
        <v>0</v>
      </c>
      <c r="AI36" s="1204">
        <f>차입금상환!AG63</f>
        <v>0</v>
      </c>
      <c r="AJ36" s="1204">
        <f>차입금상환!AH63</f>
        <v>0</v>
      </c>
      <c r="AK36" s="1204">
        <f>차입금상환!AI63</f>
        <v>0</v>
      </c>
      <c r="AL36" s="1204">
        <f>차입금상환!AJ63</f>
        <v>0</v>
      </c>
      <c r="AM36" s="1204">
        <f>차입금상환!AK63</f>
        <v>0</v>
      </c>
      <c r="AN36" s="1204">
        <f>차입금상환!AL63</f>
        <v>0</v>
      </c>
      <c r="AO36" s="1204">
        <f>차입금상환!AM63</f>
        <v>0</v>
      </c>
      <c r="AP36" s="1204">
        <f>차입금상환!AN63</f>
        <v>0</v>
      </c>
      <c r="AQ36" s="1204">
        <f>차입금상환!AO63</f>
        <v>0</v>
      </c>
      <c r="AR36" s="1204">
        <f>차입금상환!AP63</f>
        <v>0</v>
      </c>
      <c r="AS36" s="1204">
        <f>차입금상환!AQ63</f>
        <v>0</v>
      </c>
      <c r="AT36" s="1204">
        <f>차입금상환!AR63</f>
        <v>0</v>
      </c>
      <c r="AU36" s="1204">
        <f>차입금상환!AS63</f>
        <v>0</v>
      </c>
      <c r="AV36" s="1204">
        <f>차입금상환!AT63</f>
        <v>0</v>
      </c>
      <c r="AW36" s="1204">
        <f>차입금상환!AU63</f>
        <v>0</v>
      </c>
      <c r="AX36" s="1204">
        <f>차입금상환!AV63</f>
        <v>0</v>
      </c>
      <c r="AY36" s="1204"/>
      <c r="AZ36" s="1204"/>
      <c r="BA36" s="1204"/>
      <c r="BB36" s="1204"/>
    </row>
    <row r="37" spans="2:54" ht="17.100000000000001" customHeight="1">
      <c r="B37" s="1305"/>
      <c r="C37" s="1656"/>
      <c r="D37" s="1533" t="s">
        <v>1355</v>
      </c>
      <c r="E37" s="1494"/>
      <c r="F37" s="1615"/>
      <c r="G37" s="1615"/>
      <c r="H37" s="1615"/>
      <c r="I37" s="1609"/>
      <c r="J37" s="1609"/>
      <c r="K37" s="1495">
        <f>SUMIFS(차입금상환!56:56,차입금상환!3:3,K7,차입금상환!46:46,4)</f>
        <v>-10.99434406</v>
      </c>
      <c r="L37" s="1204">
        <f>SUMIFS(차입금상환!56:56,차입금상환!3:3,L7,차입금상환!46:46,4)</f>
        <v>-8.3552191481700717</v>
      </c>
      <c r="M37" s="1204">
        <f>SUMIFS(차입금상환!56:56,차입금상환!3:3,M7,차입금상환!46:46,4)</f>
        <v>-6.0170163668598349</v>
      </c>
      <c r="N37" s="1204">
        <f>SUMIFS(차입금상환!56:56,차입금상환!3:3,N7,차입금상환!46:46,4)</f>
        <v>-3.9937236842632373</v>
      </c>
      <c r="O37" s="1611">
        <f>SUMIFS(차입금상환!56:56,차입금상환!3:3,O7,차입금상환!46:46,4)</f>
        <v>-2.3171466624873176</v>
      </c>
      <c r="P37" s="1204">
        <f>SUMIFS(차입금상환!56:56,차입금상환!3:3,P7,차입금상환!46:46,4)</f>
        <v>-1.1461957883383462</v>
      </c>
      <c r="Q37" s="1204">
        <f>SUMIFS(차입금상환!56:56,차입금상환!3:3,Q7,차입금상환!46:46,4)</f>
        <v>-0.53470026116106695</v>
      </c>
      <c r="R37" s="1204">
        <f>SUMIFS(차입금상환!56:56,차입금상환!3:3,R7,차입금상환!46:46,4)</f>
        <v>-0.2437763264051096</v>
      </c>
      <c r="S37" s="1204">
        <f>SUMIFS(차입금상환!56:56,차입금상환!3:3,S7,차입금상환!46:46,4)</f>
        <v>-6.5085510785956924E-2</v>
      </c>
      <c r="T37" s="1204">
        <f>SUMIFS(차입금상환!56:56,차입금상환!3:3,T7,차입금상환!46:46,4)</f>
        <v>0</v>
      </c>
      <c r="U37" s="1204">
        <f>SUMIFS(차입금상환!56:56,차입금상환!3:3,U7,차입금상환!46:46,4)</f>
        <v>0</v>
      </c>
      <c r="V37" s="1204">
        <f>SUMIFS(차입금상환!56:56,차입금상환!3:3,V7,차입금상환!46:46,4)</f>
        <v>0</v>
      </c>
      <c r="W37" s="1204">
        <f>SUMIFS(차입금상환!56:56,차입금상환!3:3,W7,차입금상환!46:46,4)</f>
        <v>0</v>
      </c>
      <c r="X37" s="1204">
        <f>SUMIFS(차입금상환!56:56,차입금상환!3:3,X7,차입금상환!46:46,4)</f>
        <v>0</v>
      </c>
      <c r="Y37" s="1204">
        <f>SUMIFS(차입금상환!56:56,차입금상환!3:3,Y7,차입금상환!46:46,4)</f>
        <v>0</v>
      </c>
      <c r="Z37" s="1204">
        <f>SUMIFS(차입금상환!56:56,차입금상환!3:3,Z7,차입금상환!46:46,4)</f>
        <v>0</v>
      </c>
      <c r="AA37" s="1204">
        <f>SUMIFS(차입금상환!56:56,차입금상환!3:3,AA7,차입금상환!46:46,4)</f>
        <v>0</v>
      </c>
      <c r="AB37" s="1204">
        <f>SUMIFS(차입금상환!56:56,차입금상환!3:3,AB7,차입금상환!46:46,4)</f>
        <v>0</v>
      </c>
      <c r="AC37" s="1204">
        <f>SUMIFS(차입금상환!56:56,차입금상환!3:3,AC7,차입금상환!46:46,4)</f>
        <v>0</v>
      </c>
      <c r="AD37" s="1204">
        <f>SUMIFS(차입금상환!56:56,차입금상환!3:3,AD7,차입금상환!46:46,4)</f>
        <v>0</v>
      </c>
      <c r="AE37" s="1204">
        <f>SUMIFS(차입금상환!56:56,차입금상환!3:3,AE7,차입금상환!46:46,4)</f>
        <v>0</v>
      </c>
      <c r="AF37" s="1204">
        <f>SUMIFS(차입금상환!56:56,차입금상환!3:3,AF7,차입금상환!46:46,4)</f>
        <v>0</v>
      </c>
      <c r="AG37" s="1204">
        <f>SUMIFS(차입금상환!56:56,차입금상환!3:3,AG7,차입금상환!46:46,4)</f>
        <v>0</v>
      </c>
      <c r="AH37" s="1204">
        <f>SUMIFS(차입금상환!56:56,차입금상환!3:3,AH7,차입금상환!46:46,4)</f>
        <v>0</v>
      </c>
      <c r="AI37" s="1204">
        <f>SUMIFS(차입금상환!56:56,차입금상환!3:3,AI7,차입금상환!46:46,4)</f>
        <v>0</v>
      </c>
      <c r="AJ37" s="1204">
        <f>SUMIFS(차입금상환!56:56,차입금상환!3:3,AJ7,차입금상환!46:46,4)</f>
        <v>0</v>
      </c>
      <c r="AK37" s="1204">
        <f>SUMIFS(차입금상환!56:56,차입금상환!3:3,AK7,차입금상환!46:46,4)</f>
        <v>0</v>
      </c>
      <c r="AL37" s="1204">
        <f>SUMIFS(차입금상환!56:56,차입금상환!3:3,AL7,차입금상환!46:46,4)</f>
        <v>0</v>
      </c>
      <c r="AM37" s="1204">
        <f>SUMIFS(차입금상환!56:56,차입금상환!3:3,AM7,차입금상환!46:46,4)</f>
        <v>0</v>
      </c>
      <c r="AN37" s="1204">
        <f>SUMIFS(차입금상환!56:56,차입금상환!3:3,AN7,차입금상환!46:46,4)</f>
        <v>0</v>
      </c>
      <c r="AO37" s="1204">
        <f>SUMIFS(차입금상환!56:56,차입금상환!3:3,AO7,차입금상환!46:46,4)</f>
        <v>0</v>
      </c>
      <c r="AP37" s="1204">
        <f>SUMIFS(차입금상환!56:56,차입금상환!3:3,AP7,차입금상환!46:46,4)</f>
        <v>0</v>
      </c>
      <c r="AQ37" s="1204">
        <f>SUMIFS(차입금상환!56:56,차입금상환!3:3,AQ7,차입금상환!46:46,4)</f>
        <v>0</v>
      </c>
      <c r="AR37" s="1204">
        <f>SUMIFS(차입금상환!56:56,차입금상환!3:3,AR7,차입금상환!46:46,4)</f>
        <v>0</v>
      </c>
      <c r="AS37" s="1204">
        <f>SUMIFS(차입금상환!56:56,차입금상환!3:3,AS7,차입금상환!46:46,4)</f>
        <v>0</v>
      </c>
      <c r="AT37" s="1204">
        <f>SUMIFS(차입금상환!56:56,차입금상환!3:3,AT7,차입금상환!46:46,4)</f>
        <v>0</v>
      </c>
      <c r="AU37" s="1204">
        <f>SUMIFS(차입금상환!56:56,차입금상환!3:3,AU7,차입금상환!46:46,4)</f>
        <v>0</v>
      </c>
      <c r="AV37" s="1204">
        <f>SUMIFS(차입금상환!56:56,차입금상환!3:3,AV7,차입금상환!46:46,4)</f>
        <v>0</v>
      </c>
      <c r="AW37" s="1204">
        <f>SUMIFS(차입금상환!56:56,차입금상환!3:3,AW7,차입금상환!46:46,4)</f>
        <v>0</v>
      </c>
      <c r="AX37" s="1204">
        <f>SUMIFS(차입금상환!56:56,차입금상환!3:3,AX7,차입금상환!46:46,4)</f>
        <v>0</v>
      </c>
      <c r="AY37" s="1204"/>
      <c r="AZ37" s="1204"/>
      <c r="BA37" s="1204"/>
      <c r="BB37" s="1204"/>
    </row>
    <row r="38" spans="2:54" ht="17.100000000000001" customHeight="1">
      <c r="B38" s="307"/>
      <c r="C38" s="1652"/>
      <c r="D38" s="331" t="s">
        <v>1356</v>
      </c>
      <c r="E38" s="727"/>
      <c r="F38" s="1630"/>
      <c r="G38" s="1630"/>
      <c r="H38" s="1630"/>
      <c r="I38" s="1609">
        <v>0</v>
      </c>
      <c r="J38" s="1610">
        <f>I38</f>
        <v>0</v>
      </c>
      <c r="K38" s="1495">
        <v>0</v>
      </c>
      <c r="L38" s="1204">
        <f>K38*(L7&lt;YEAR(Sensitivity!$E$13))</f>
        <v>0</v>
      </c>
      <c r="M38" s="1204">
        <f>L38*(M7&lt;YEAR(Sensitivity!$E$13))</f>
        <v>0</v>
      </c>
      <c r="N38" s="1204">
        <f>M38*(N7&lt;YEAR(Sensitivity!$E$13))</f>
        <v>0</v>
      </c>
      <c r="O38" s="1611">
        <f>N38*(O7&lt;YEAR(Sensitivity!$E$13))</f>
        <v>0</v>
      </c>
      <c r="P38" s="1204">
        <f>O38*(P7&lt;YEAR(Sensitivity!$E$13))</f>
        <v>0</v>
      </c>
      <c r="Q38" s="1204">
        <f>P38*(Q7&lt;YEAR(Sensitivity!$E$13))</f>
        <v>0</v>
      </c>
      <c r="R38" s="1204">
        <f>Q38*(R7&lt;YEAR(Sensitivity!$E$13))</f>
        <v>0</v>
      </c>
      <c r="S38" s="1204">
        <f>R38*(S7&lt;YEAR(Sensitivity!$E$13))</f>
        <v>0</v>
      </c>
      <c r="T38" s="1204">
        <f>S38*(T7&lt;YEAR(Sensitivity!$E$13))</f>
        <v>0</v>
      </c>
      <c r="U38" s="1204">
        <f>T38*(U7&lt;YEAR(Sensitivity!$E$13))</f>
        <v>0</v>
      </c>
      <c r="V38" s="1204">
        <f>U38*(V7&lt;YEAR(Sensitivity!$E$13))</f>
        <v>0</v>
      </c>
      <c r="W38" s="1204">
        <f>V38*(W7&lt;YEAR(Sensitivity!$E$13))</f>
        <v>0</v>
      </c>
      <c r="X38" s="1204">
        <f>W38*(X7&lt;YEAR(Sensitivity!$E$13))</f>
        <v>0</v>
      </c>
      <c r="Y38" s="1204">
        <f>X38*(Y7&lt;YEAR(Sensitivity!$E$13))</f>
        <v>0</v>
      </c>
      <c r="Z38" s="1204">
        <f>Y38*(Z7&lt;YEAR(Sensitivity!$E$13))</f>
        <v>0</v>
      </c>
      <c r="AA38" s="1204">
        <f>Z38*(AA7&lt;YEAR(Sensitivity!$E$13))</f>
        <v>0</v>
      </c>
      <c r="AB38" s="1204">
        <f>AA38*(AB7&lt;YEAR(Sensitivity!$E$13))</f>
        <v>0</v>
      </c>
      <c r="AC38" s="1204">
        <f>AB38*(AC7&lt;YEAR(Sensitivity!$E$13))</f>
        <v>0</v>
      </c>
      <c r="AD38" s="1204">
        <f>AC38*(AD7&lt;YEAR(Sensitivity!$E$13))</f>
        <v>0</v>
      </c>
      <c r="AE38" s="1204">
        <f>AD38*(AE7&lt;YEAR(Sensitivity!$E$13))</f>
        <v>0</v>
      </c>
      <c r="AF38" s="1204">
        <f>AE38*(AF7&lt;YEAR(Sensitivity!$E$13))</f>
        <v>0</v>
      </c>
      <c r="AG38" s="1204">
        <f>AF38*(AG7&lt;YEAR(Sensitivity!$E$13))</f>
        <v>0</v>
      </c>
      <c r="AH38" s="1204">
        <f>AG38*(AH7&lt;YEAR(Sensitivity!$E$13))</f>
        <v>0</v>
      </c>
      <c r="AI38" s="1204">
        <f>AH38*(AI7&lt;YEAR(Sensitivity!$E$13))</f>
        <v>0</v>
      </c>
      <c r="AJ38" s="1204">
        <f>AI38*(AJ7&lt;YEAR(Sensitivity!$E$13))</f>
        <v>0</v>
      </c>
      <c r="AK38" s="1204">
        <f>AJ38*(AK7&lt;YEAR(Sensitivity!$E$13))</f>
        <v>0</v>
      </c>
      <c r="AL38" s="1204">
        <f>AK38*(AL7&lt;YEAR(Sensitivity!$E$13))</f>
        <v>0</v>
      </c>
      <c r="AM38" s="1204">
        <f>AL38*(AM7&lt;YEAR(Sensitivity!$E$13))</f>
        <v>0</v>
      </c>
      <c r="AN38" s="1204">
        <f>AM38*(AN7&lt;YEAR(Sensitivity!$E$13))</f>
        <v>0</v>
      </c>
      <c r="AO38" s="1204">
        <f>AN38*(AO7&lt;YEAR(Sensitivity!$E$13))</f>
        <v>0</v>
      </c>
      <c r="AP38" s="1204">
        <f>AO38*(AP7&lt;YEAR(Sensitivity!$E$13))</f>
        <v>0</v>
      </c>
      <c r="AQ38" s="1204">
        <f>AP38*(AQ7&lt;YEAR(Sensitivity!$E$13))</f>
        <v>0</v>
      </c>
      <c r="AR38" s="1204">
        <f>AQ38*(AR7&lt;YEAR(Sensitivity!$E$13))</f>
        <v>0</v>
      </c>
      <c r="AS38" s="1204">
        <f>AR38*(AS7&lt;YEAR(Sensitivity!$E$13))</f>
        <v>0</v>
      </c>
      <c r="AT38" s="1204">
        <f>AS38*(AT7&lt;YEAR(Sensitivity!$E$13))</f>
        <v>0</v>
      </c>
      <c r="AU38" s="1204">
        <f>AT38*(AU7&lt;YEAR(Sensitivity!$E$13))</f>
        <v>0</v>
      </c>
      <c r="AV38" s="1204">
        <f>AU38*(AV7&lt;YEAR(Sensitivity!$E$13))</f>
        <v>0</v>
      </c>
      <c r="AW38" s="1204">
        <f>AV38*(AW7&lt;YEAR(Sensitivity!$E$13))</f>
        <v>0</v>
      </c>
      <c r="AX38" s="1616">
        <f>AW38*(AX7&lt;YEAR(Sensitivity!$E$13))</f>
        <v>0</v>
      </c>
      <c r="AY38" s="1204"/>
      <c r="AZ38" s="1204"/>
      <c r="BA38" s="1204"/>
      <c r="BB38" s="1204"/>
    </row>
    <row r="39" spans="2:54" s="346" customFormat="1" ht="17.100000000000001" customHeight="1">
      <c r="B39" s="1657"/>
      <c r="C39" s="1658"/>
      <c r="D39" s="1659" t="s">
        <v>1357</v>
      </c>
      <c r="E39" s="1660"/>
      <c r="F39" s="1661"/>
      <c r="G39" s="1661"/>
      <c r="H39" s="1661"/>
      <c r="I39" s="1662">
        <v>0</v>
      </c>
      <c r="J39" s="1662">
        <f ca="1">J154</f>
        <v>0</v>
      </c>
      <c r="K39" s="1663">
        <f>K154</f>
        <v>0</v>
      </c>
      <c r="L39" s="1663">
        <f t="shared" ref="L39:AW39" ca="1" si="26">L154</f>
        <v>70.043648000000005</v>
      </c>
      <c r="M39" s="1663">
        <f t="shared" ca="1" si="26"/>
        <v>183.51135600000001</v>
      </c>
      <c r="N39" s="1663">
        <f t="shared" ca="1" si="26"/>
        <v>183.51135600000001</v>
      </c>
      <c r="O39" s="1663">
        <f t="shared" ca="1" si="26"/>
        <v>204.70728</v>
      </c>
      <c r="P39" s="1663">
        <f t="shared" ca="1" si="26"/>
        <v>340.99862999999999</v>
      </c>
      <c r="Q39" s="1663">
        <f t="shared" ca="1" si="26"/>
        <v>449.58116100000001</v>
      </c>
      <c r="R39" s="1663">
        <f t="shared" ca="1" si="26"/>
        <v>449.58116100000001</v>
      </c>
      <c r="S39" s="1663">
        <f t="shared" ca="1" si="26"/>
        <v>449.58116100000001</v>
      </c>
      <c r="T39" s="1663">
        <f t="shared" ca="1" si="26"/>
        <v>449.58116100000001</v>
      </c>
      <c r="U39" s="1663">
        <f t="shared" ca="1" si="26"/>
        <v>449.58116100000001</v>
      </c>
      <c r="V39" s="1663">
        <f t="shared" ca="1" si="26"/>
        <v>449.58116100000001</v>
      </c>
      <c r="W39" s="1663">
        <f t="shared" ca="1" si="26"/>
        <v>449.58116100000001</v>
      </c>
      <c r="X39" s="1663">
        <f t="shared" ca="1" si="26"/>
        <v>449.58116100000001</v>
      </c>
      <c r="Y39" s="1663">
        <f t="shared" ca="1" si="26"/>
        <v>442.62097499999999</v>
      </c>
      <c r="Z39" s="1663">
        <f t="shared" ca="1" si="26"/>
        <v>421.27824199999998</v>
      </c>
      <c r="AA39" s="1663">
        <f t="shared" ca="1" si="26"/>
        <v>396.36717700000003</v>
      </c>
      <c r="AB39" s="1663">
        <f t="shared" ca="1" si="26"/>
        <v>352.52750400000002</v>
      </c>
      <c r="AC39" s="1663">
        <f t="shared" ca="1" si="26"/>
        <v>306.60750400000001</v>
      </c>
      <c r="AD39" s="1663">
        <f t="shared" ca="1" si="26"/>
        <v>260.68750399999999</v>
      </c>
      <c r="AE39" s="1663">
        <f t="shared" ca="1" si="26"/>
        <v>214.767504</v>
      </c>
      <c r="AF39" s="1663">
        <f t="shared" ca="1" si="26"/>
        <v>168.84750399999999</v>
      </c>
      <c r="AG39" s="1663">
        <f t="shared" ca="1" si="26"/>
        <v>122.927504</v>
      </c>
      <c r="AH39" s="1663">
        <f t="shared" ca="1" si="26"/>
        <v>77.007503999999997</v>
      </c>
      <c r="AI39" s="1663">
        <f t="shared" ca="1" si="26"/>
        <v>31.087503999999999</v>
      </c>
      <c r="AJ39" s="1663">
        <f t="shared" ca="1" si="26"/>
        <v>0</v>
      </c>
      <c r="AK39" s="1663">
        <f t="shared" ca="1" si="26"/>
        <v>0</v>
      </c>
      <c r="AL39" s="1663">
        <f t="shared" ca="1" si="26"/>
        <v>0</v>
      </c>
      <c r="AM39" s="1663">
        <f t="shared" ca="1" si="26"/>
        <v>0</v>
      </c>
      <c r="AN39" s="1663">
        <f t="shared" ca="1" si="26"/>
        <v>0</v>
      </c>
      <c r="AO39" s="1663">
        <f t="shared" ca="1" si="26"/>
        <v>0</v>
      </c>
      <c r="AP39" s="1663">
        <f t="shared" ca="1" si="26"/>
        <v>0</v>
      </c>
      <c r="AQ39" s="1663">
        <f t="shared" ca="1" si="26"/>
        <v>0</v>
      </c>
      <c r="AR39" s="1663">
        <f t="shared" ca="1" si="26"/>
        <v>0</v>
      </c>
      <c r="AS39" s="1663">
        <f t="shared" ca="1" si="26"/>
        <v>0</v>
      </c>
      <c r="AT39" s="1663">
        <f t="shared" ca="1" si="26"/>
        <v>0</v>
      </c>
      <c r="AU39" s="1663">
        <f t="shared" ca="1" si="26"/>
        <v>0</v>
      </c>
      <c r="AV39" s="1663">
        <f t="shared" ca="1" si="26"/>
        <v>0</v>
      </c>
      <c r="AW39" s="1663">
        <f t="shared" ca="1" si="26"/>
        <v>0</v>
      </c>
      <c r="AX39" s="1663">
        <f ca="1">AX154</f>
        <v>0</v>
      </c>
      <c r="AY39" s="1664"/>
      <c r="AZ39" s="1664"/>
      <c r="BA39" s="1664"/>
      <c r="BB39" s="1664"/>
    </row>
    <row r="40" spans="2:54" ht="17.100000000000001" customHeight="1">
      <c r="B40" s="307"/>
      <c r="C40" s="1652"/>
      <c r="D40" s="331" t="s">
        <v>709</v>
      </c>
      <c r="E40" s="727"/>
      <c r="F40" s="1630">
        <v>7.4332344299999997</v>
      </c>
      <c r="G40" s="1630">
        <v>7.4196744299999997</v>
      </c>
      <c r="H40" s="1630">
        <v>7.1177544299999997</v>
      </c>
      <c r="I40" s="1609">
        <v>7.7010744300000002</v>
      </c>
      <c r="J40" s="947">
        <f>I40</f>
        <v>7.7010744300000002</v>
      </c>
      <c r="K40" s="1496">
        <f>실적!C57/단위</f>
        <v>7.0540243299999998</v>
      </c>
      <c r="L40" s="1204">
        <f>K40*(L7&lt;YEAR(Sensitivity!$E$13))</f>
        <v>7.0540243299999998</v>
      </c>
      <c r="M40" s="1204">
        <f>L40*(M7&lt;YEAR(Sensitivity!$E$13))</f>
        <v>7.0540243299999998</v>
      </c>
      <c r="N40" s="1204">
        <f>M40*(N7&lt;YEAR(Sensitivity!$E$13))</f>
        <v>7.0540243299999998</v>
      </c>
      <c r="O40" s="1611">
        <f>N40*(O7&lt;YEAR(Sensitivity!$E$13))</f>
        <v>7.0540243299999998</v>
      </c>
      <c r="P40" s="1204">
        <f>O40*(P7&lt;YEAR(Sensitivity!$E$13))</f>
        <v>7.0540243299999998</v>
      </c>
      <c r="Q40" s="1204">
        <f>P40*(Q7&lt;YEAR(Sensitivity!$E$13))</f>
        <v>7.0540243299999998</v>
      </c>
      <c r="R40" s="1204">
        <f>Q40*(R7&lt;YEAR(Sensitivity!$E$13))</f>
        <v>7.0540243299999998</v>
      </c>
      <c r="S40" s="1204">
        <f>R40*(S7&lt;YEAR(Sensitivity!$E$13))</f>
        <v>7.0540243299999998</v>
      </c>
      <c r="T40" s="1204">
        <f>S40*(T7&lt;YEAR(Sensitivity!$E$13))</f>
        <v>7.0540243299999998</v>
      </c>
      <c r="U40" s="1204">
        <f>T40*(U7&lt;YEAR(Sensitivity!$E$13))</f>
        <v>7.0540243299999998</v>
      </c>
      <c r="V40" s="1204">
        <f>U40*(V7&lt;YEAR(Sensitivity!$E$13))</f>
        <v>7.0540243299999998</v>
      </c>
      <c r="W40" s="1204">
        <f>V40*(W7&lt;YEAR(Sensitivity!$E$13))</f>
        <v>7.0540243299999998</v>
      </c>
      <c r="X40" s="1204">
        <f>W40*(X7&lt;YEAR(Sensitivity!$E$13))</f>
        <v>7.0540243299999998</v>
      </c>
      <c r="Y40" s="1204">
        <f>X40*(Y7&lt;YEAR(Sensitivity!$E$13))</f>
        <v>7.0540243299999998</v>
      </c>
      <c r="Z40" s="1204">
        <f>Y40*(Z7&lt;YEAR(Sensitivity!$E$13))</f>
        <v>7.0540243299999998</v>
      </c>
      <c r="AA40" s="1204">
        <f>Z40*(AA7&lt;YEAR(Sensitivity!$E$13))</f>
        <v>7.0540243299999998</v>
      </c>
      <c r="AB40" s="1204">
        <f>AA40*(AB7&lt;YEAR(Sensitivity!$E$13))</f>
        <v>7.0540243299999998</v>
      </c>
      <c r="AC40" s="1204">
        <f>AB40*(AC7&lt;YEAR(Sensitivity!$E$13))</f>
        <v>7.0540243299999998</v>
      </c>
      <c r="AD40" s="1204">
        <f>AC40*(AD7&lt;YEAR(Sensitivity!$E$13))</f>
        <v>7.0540243299999998</v>
      </c>
      <c r="AE40" s="1204">
        <f>AD40*(AE7&lt;YEAR(Sensitivity!$E$13))</f>
        <v>7.0540243299999998</v>
      </c>
      <c r="AF40" s="1204">
        <f>AE40*(AF7&lt;YEAR(Sensitivity!$E$13))</f>
        <v>7.0540243299999998</v>
      </c>
      <c r="AG40" s="1204">
        <f>AF40*(AG7&lt;YEAR(Sensitivity!$E$13))</f>
        <v>7.0540243299999998</v>
      </c>
      <c r="AH40" s="1204">
        <f>AG40*(AH7&lt;YEAR(Sensitivity!$E$13))</f>
        <v>7.0540243299999998</v>
      </c>
      <c r="AI40" s="1204">
        <f>AH40*(AI7&lt;YEAR(Sensitivity!$E$13))</f>
        <v>7.0540243299999998</v>
      </c>
      <c r="AJ40" s="1204">
        <f>AI40*(AJ7&lt;YEAR(Sensitivity!$E$13))</f>
        <v>7.0540243299999998</v>
      </c>
      <c r="AK40" s="1204">
        <f>AJ40*(AK7&lt;YEAR(Sensitivity!$E$13))</f>
        <v>7.0540243299999998</v>
      </c>
      <c r="AL40" s="1204">
        <f>AK40*(AL7&lt;YEAR(Sensitivity!$E$13))</f>
        <v>7.0540243299999998</v>
      </c>
      <c r="AM40" s="1204">
        <f>AL40*(AM7&lt;YEAR(Sensitivity!$E$13))</f>
        <v>7.0540243299999998</v>
      </c>
      <c r="AN40" s="1204">
        <f>AM40*(AN7&lt;YEAR(Sensitivity!$E$13))</f>
        <v>7.0540243299999998</v>
      </c>
      <c r="AO40" s="1204">
        <f>AN40*(AO7&lt;YEAR(Sensitivity!$E$13))</f>
        <v>7.0540243299999998</v>
      </c>
      <c r="AP40" s="1204">
        <f>AO40*(AP7&lt;YEAR(Sensitivity!$E$13))</f>
        <v>7.0540243299999998</v>
      </c>
      <c r="AQ40" s="1204">
        <f>AP40*(AQ7&lt;YEAR(Sensitivity!$E$13))</f>
        <v>7.0540243299999998</v>
      </c>
      <c r="AR40" s="1204">
        <f>AQ40*(AR7&lt;YEAR(Sensitivity!$E$13))</f>
        <v>7.0540243299999998</v>
      </c>
      <c r="AS40" s="1204">
        <f>AR40*(AS7&lt;YEAR(Sensitivity!$E$13))</f>
        <v>7.0540243299999998</v>
      </c>
      <c r="AT40" s="1204">
        <f>AS40*(AT7&lt;YEAR(Sensitivity!$E$13))</f>
        <v>7.0540243299999998</v>
      </c>
      <c r="AU40" s="1204">
        <f>AT40*(AU7&lt;YEAR(Sensitivity!$E$13))</f>
        <v>7.0540243299999998</v>
      </c>
      <c r="AV40" s="1204">
        <f>AU40*(AV7&lt;YEAR(Sensitivity!$E$13))</f>
        <v>7.0540243299999998</v>
      </c>
      <c r="AW40" s="1204">
        <f>AV40*(AW7&lt;YEAR(Sensitivity!$E$13))</f>
        <v>7.0540243299999998</v>
      </c>
      <c r="AX40" s="1616">
        <f>AW40*(AX7&lt;YEAR(Sensitivity!$E$13))</f>
        <v>0</v>
      </c>
      <c r="AY40" s="1204"/>
      <c r="AZ40" s="1204"/>
      <c r="BA40" s="1204"/>
      <c r="BB40" s="1204"/>
    </row>
    <row r="41" spans="2:54" ht="17.100000000000001" customHeight="1">
      <c r="B41" s="307"/>
      <c r="C41" s="1652"/>
      <c r="D41" s="331" t="s">
        <v>1358</v>
      </c>
      <c r="E41" s="727"/>
      <c r="F41" s="1630">
        <v>19.34734362</v>
      </c>
      <c r="G41" s="1630">
        <v>16.663862779999999</v>
      </c>
      <c r="H41" s="1630"/>
      <c r="I41" s="1609">
        <v>0</v>
      </c>
      <c r="J41" s="1610">
        <f>I41</f>
        <v>0</v>
      </c>
      <c r="K41" s="1495">
        <v>0</v>
      </c>
      <c r="L41" s="1204">
        <f t="shared" ref="L41:AX42" si="27">K41</f>
        <v>0</v>
      </c>
      <c r="M41" s="1204">
        <f t="shared" si="27"/>
        <v>0</v>
      </c>
      <c r="N41" s="1204">
        <f t="shared" si="27"/>
        <v>0</v>
      </c>
      <c r="O41" s="1611">
        <f t="shared" si="27"/>
        <v>0</v>
      </c>
      <c r="P41" s="1204">
        <f t="shared" si="27"/>
        <v>0</v>
      </c>
      <c r="Q41" s="1204">
        <f t="shared" si="27"/>
        <v>0</v>
      </c>
      <c r="R41" s="1204">
        <f t="shared" si="27"/>
        <v>0</v>
      </c>
      <c r="S41" s="1204">
        <f t="shared" si="27"/>
        <v>0</v>
      </c>
      <c r="T41" s="1204">
        <f t="shared" si="27"/>
        <v>0</v>
      </c>
      <c r="U41" s="1204">
        <f t="shared" si="27"/>
        <v>0</v>
      </c>
      <c r="V41" s="1204">
        <f t="shared" si="27"/>
        <v>0</v>
      </c>
      <c r="W41" s="1204">
        <f t="shared" si="27"/>
        <v>0</v>
      </c>
      <c r="X41" s="1204">
        <f t="shared" si="27"/>
        <v>0</v>
      </c>
      <c r="Y41" s="1204">
        <f t="shared" si="27"/>
        <v>0</v>
      </c>
      <c r="Z41" s="1204">
        <f t="shared" si="27"/>
        <v>0</v>
      </c>
      <c r="AA41" s="1204">
        <f t="shared" si="27"/>
        <v>0</v>
      </c>
      <c r="AB41" s="1204">
        <f t="shared" si="27"/>
        <v>0</v>
      </c>
      <c r="AC41" s="1204">
        <f t="shared" si="27"/>
        <v>0</v>
      </c>
      <c r="AD41" s="1204">
        <f t="shared" si="27"/>
        <v>0</v>
      </c>
      <c r="AE41" s="1204">
        <f t="shared" si="27"/>
        <v>0</v>
      </c>
      <c r="AF41" s="1204">
        <f t="shared" si="27"/>
        <v>0</v>
      </c>
      <c r="AG41" s="1204">
        <f t="shared" si="27"/>
        <v>0</v>
      </c>
      <c r="AH41" s="1204">
        <f t="shared" si="27"/>
        <v>0</v>
      </c>
      <c r="AI41" s="1204">
        <f t="shared" si="27"/>
        <v>0</v>
      </c>
      <c r="AJ41" s="1204">
        <f t="shared" si="27"/>
        <v>0</v>
      </c>
      <c r="AK41" s="1204">
        <f t="shared" si="27"/>
        <v>0</v>
      </c>
      <c r="AL41" s="1204">
        <f t="shared" si="27"/>
        <v>0</v>
      </c>
      <c r="AM41" s="1204">
        <f t="shared" si="27"/>
        <v>0</v>
      </c>
      <c r="AN41" s="1204">
        <f t="shared" si="27"/>
        <v>0</v>
      </c>
      <c r="AO41" s="1204">
        <f t="shared" si="27"/>
        <v>0</v>
      </c>
      <c r="AP41" s="1204">
        <f t="shared" si="27"/>
        <v>0</v>
      </c>
      <c r="AQ41" s="1204">
        <f t="shared" si="27"/>
        <v>0</v>
      </c>
      <c r="AR41" s="1204">
        <f t="shared" si="27"/>
        <v>0</v>
      </c>
      <c r="AS41" s="1204">
        <f t="shared" si="27"/>
        <v>0</v>
      </c>
      <c r="AT41" s="1204">
        <f t="shared" si="27"/>
        <v>0</v>
      </c>
      <c r="AU41" s="1204">
        <f t="shared" si="27"/>
        <v>0</v>
      </c>
      <c r="AV41" s="1204">
        <f t="shared" si="27"/>
        <v>0</v>
      </c>
      <c r="AW41" s="1204">
        <f t="shared" si="27"/>
        <v>0</v>
      </c>
      <c r="AX41" s="1204">
        <f t="shared" si="27"/>
        <v>0</v>
      </c>
      <c r="AY41" s="1204"/>
      <c r="AZ41" s="1204"/>
      <c r="BA41" s="1204"/>
      <c r="BB41" s="1204"/>
    </row>
    <row r="42" spans="2:54" ht="17.100000000000001" customHeight="1">
      <c r="B42" s="307"/>
      <c r="C42" s="1652"/>
      <c r="D42" s="331" t="s">
        <v>1359</v>
      </c>
      <c r="E42" s="727"/>
      <c r="F42" s="1630">
        <v>1.94725532</v>
      </c>
      <c r="G42" s="1630">
        <v>1.4977009999999999</v>
      </c>
      <c r="H42" s="1630">
        <v>1.3434689200000001</v>
      </c>
      <c r="I42" s="1609"/>
      <c r="J42" s="1609">
        <f>I42</f>
        <v>0</v>
      </c>
      <c r="K42" s="1495">
        <f>(실적!C58+실적!C59)/단위</f>
        <v>0</v>
      </c>
      <c r="L42" s="1204">
        <f t="shared" si="27"/>
        <v>0</v>
      </c>
      <c r="M42" s="1204">
        <f t="shared" si="27"/>
        <v>0</v>
      </c>
      <c r="N42" s="1204">
        <f t="shared" si="27"/>
        <v>0</v>
      </c>
      <c r="O42" s="948">
        <f t="shared" si="27"/>
        <v>0</v>
      </c>
      <c r="P42" s="1204">
        <f t="shared" si="27"/>
        <v>0</v>
      </c>
      <c r="Q42" s="1204">
        <f t="shared" si="27"/>
        <v>0</v>
      </c>
      <c r="R42" s="1204">
        <f t="shared" si="27"/>
        <v>0</v>
      </c>
      <c r="S42" s="1204">
        <f t="shared" si="27"/>
        <v>0</v>
      </c>
      <c r="T42" s="1204">
        <f t="shared" si="27"/>
        <v>0</v>
      </c>
      <c r="U42" s="1204">
        <f t="shared" si="27"/>
        <v>0</v>
      </c>
      <c r="V42" s="1204">
        <f t="shared" si="27"/>
        <v>0</v>
      </c>
      <c r="W42" s="1204">
        <f t="shared" si="27"/>
        <v>0</v>
      </c>
      <c r="X42" s="1204">
        <f t="shared" si="27"/>
        <v>0</v>
      </c>
      <c r="Y42" s="1204">
        <f t="shared" si="27"/>
        <v>0</v>
      </c>
      <c r="Z42" s="1204">
        <f t="shared" si="27"/>
        <v>0</v>
      </c>
      <c r="AA42" s="1204">
        <f t="shared" si="27"/>
        <v>0</v>
      </c>
      <c r="AB42" s="1204">
        <f t="shared" si="27"/>
        <v>0</v>
      </c>
      <c r="AC42" s="1204">
        <f t="shared" si="27"/>
        <v>0</v>
      </c>
      <c r="AD42" s="1204">
        <f t="shared" si="27"/>
        <v>0</v>
      </c>
      <c r="AE42" s="1204">
        <f t="shared" si="27"/>
        <v>0</v>
      </c>
      <c r="AF42" s="1204">
        <f t="shared" si="27"/>
        <v>0</v>
      </c>
      <c r="AG42" s="1204">
        <f t="shared" si="27"/>
        <v>0</v>
      </c>
      <c r="AH42" s="1204">
        <f t="shared" si="27"/>
        <v>0</v>
      </c>
      <c r="AI42" s="1204">
        <f t="shared" si="27"/>
        <v>0</v>
      </c>
      <c r="AJ42" s="1204">
        <f t="shared" si="27"/>
        <v>0</v>
      </c>
      <c r="AK42" s="1204">
        <f t="shared" si="27"/>
        <v>0</v>
      </c>
      <c r="AL42" s="1204">
        <f t="shared" si="27"/>
        <v>0</v>
      </c>
      <c r="AM42" s="1204">
        <f t="shared" si="27"/>
        <v>0</v>
      </c>
      <c r="AN42" s="1204">
        <f t="shared" si="27"/>
        <v>0</v>
      </c>
      <c r="AO42" s="1204">
        <f t="shared" si="27"/>
        <v>0</v>
      </c>
      <c r="AP42" s="1204">
        <f t="shared" si="27"/>
        <v>0</v>
      </c>
      <c r="AQ42" s="1204">
        <f t="shared" si="27"/>
        <v>0</v>
      </c>
      <c r="AR42" s="1204">
        <f t="shared" si="27"/>
        <v>0</v>
      </c>
      <c r="AS42" s="1204">
        <f t="shared" si="27"/>
        <v>0</v>
      </c>
      <c r="AT42" s="1204">
        <f t="shared" si="27"/>
        <v>0</v>
      </c>
      <c r="AU42" s="1204">
        <f t="shared" si="27"/>
        <v>0</v>
      </c>
      <c r="AV42" s="1204">
        <f t="shared" si="27"/>
        <v>0</v>
      </c>
      <c r="AW42" s="1204">
        <f t="shared" si="27"/>
        <v>0</v>
      </c>
      <c r="AX42" s="1616">
        <f>AW42*(AY4&gt;0)</f>
        <v>0</v>
      </c>
      <c r="AY42" s="1204"/>
      <c r="AZ42" s="1204"/>
      <c r="BA42" s="1204"/>
      <c r="BB42" s="1204"/>
    </row>
    <row r="43" spans="2:54" ht="17.100000000000001" customHeight="1">
      <c r="B43" s="930"/>
      <c r="C43" s="758" t="s">
        <v>1360</v>
      </c>
      <c r="D43" s="931"/>
      <c r="E43" s="771"/>
      <c r="F43" s="1622">
        <f t="shared" ref="F43:AX43" si="28">F30+F35</f>
        <v>1925.4351720300001</v>
      </c>
      <c r="G43" s="1622">
        <f t="shared" si="28"/>
        <v>1740.8008432800002</v>
      </c>
      <c r="H43" s="1622">
        <f t="shared" si="28"/>
        <v>1591.8550238900002</v>
      </c>
      <c r="I43" s="1622">
        <f t="shared" si="28"/>
        <v>1439.3893424999997</v>
      </c>
      <c r="J43" s="1623">
        <f t="shared" ca="1" si="28"/>
        <v>1306.0749965849998</v>
      </c>
      <c r="K43" s="938">
        <f t="shared" si="28"/>
        <v>1149.8634637599996</v>
      </c>
      <c r="L43" s="938">
        <f t="shared" ca="1" si="28"/>
        <v>1046.1305285811457</v>
      </c>
      <c r="M43" s="938">
        <f t="shared" ca="1" si="28"/>
        <v>1006.2218626931724</v>
      </c>
      <c r="N43" s="938">
        <f t="shared" ca="1" si="28"/>
        <v>844.20790718755131</v>
      </c>
      <c r="O43" s="1624">
        <f t="shared" ca="1" si="28"/>
        <v>701.12037137492371</v>
      </c>
      <c r="P43" s="938">
        <f t="shared" ca="1" si="28"/>
        <v>627.00125212447495</v>
      </c>
      <c r="Q43" s="938">
        <f t="shared" ca="1" si="28"/>
        <v>586.19208779883877</v>
      </c>
      <c r="R43" s="938">
        <f t="shared" ca="1" si="28"/>
        <v>550.75686709332729</v>
      </c>
      <c r="S43" s="938">
        <f t="shared" ca="1" si="28"/>
        <v>510.58616047518296</v>
      </c>
      <c r="T43" s="938">
        <f t="shared" ca="1" si="28"/>
        <v>479.77791006449036</v>
      </c>
      <c r="U43" s="938">
        <f t="shared" ca="1" si="28"/>
        <v>484.17937743496094</v>
      </c>
      <c r="V43" s="938">
        <f t="shared" ca="1" si="28"/>
        <v>480.96282080420389</v>
      </c>
      <c r="W43" s="938">
        <f t="shared" ca="1" si="28"/>
        <v>482.00788561932751</v>
      </c>
      <c r="X43" s="938">
        <f t="shared" ca="1" si="28"/>
        <v>483.71757721562869</v>
      </c>
      <c r="Y43" s="938">
        <f t="shared" ca="1" si="28"/>
        <v>475.6495360867242</v>
      </c>
      <c r="Z43" s="938">
        <f t="shared" ca="1" si="28"/>
        <v>452.89680284493807</v>
      </c>
      <c r="AA43" s="938">
        <f t="shared" ca="1" si="28"/>
        <v>431.41988085997002</v>
      </c>
      <c r="AB43" s="938">
        <f t="shared" ca="1" si="28"/>
        <v>385.71601762248685</v>
      </c>
      <c r="AC43" s="938">
        <f t="shared" ca="1" si="28"/>
        <v>338.91434720342454</v>
      </c>
      <c r="AD43" s="938">
        <f t="shared" ca="1" si="28"/>
        <v>293.73897791566469</v>
      </c>
      <c r="AE43" s="938">
        <f t="shared" ca="1" si="28"/>
        <v>251.39875577072917</v>
      </c>
      <c r="AF43" s="938">
        <f t="shared" ca="1" si="28"/>
        <v>204.53485472708437</v>
      </c>
      <c r="AG43" s="938">
        <f t="shared" ca="1" si="28"/>
        <v>161.91369302704049</v>
      </c>
      <c r="AH43" s="938">
        <f t="shared" ca="1" si="28"/>
        <v>113.63689640778568</v>
      </c>
      <c r="AI43" s="938">
        <f t="shared" ca="1" si="28"/>
        <v>68.10921900781743</v>
      </c>
      <c r="AJ43" s="938">
        <f t="shared" ca="1" si="28"/>
        <v>38.774726661783433</v>
      </c>
      <c r="AK43" s="938">
        <f t="shared" ca="1" si="28"/>
        <v>38.643400049829438</v>
      </c>
      <c r="AL43" s="938">
        <f t="shared" ca="1" si="28"/>
        <v>37.002977028828312</v>
      </c>
      <c r="AM43" s="938">
        <f t="shared" ca="1" si="28"/>
        <v>40.18170807141454</v>
      </c>
      <c r="AN43" s="938">
        <f t="shared" ca="1" si="28"/>
        <v>36.726380795489554</v>
      </c>
      <c r="AO43" s="938">
        <f t="shared" ca="1" si="28"/>
        <v>39.384623975097135</v>
      </c>
      <c r="AP43" s="938">
        <f t="shared" ca="1" si="28"/>
        <v>41.259553192880809</v>
      </c>
      <c r="AQ43" s="938">
        <f t="shared" ca="1" si="28"/>
        <v>39.179456105766235</v>
      </c>
      <c r="AR43" s="938">
        <f t="shared" ca="1" si="28"/>
        <v>39.735194610437183</v>
      </c>
      <c r="AS43" s="938">
        <f t="shared" ca="1" si="28"/>
        <v>43.357578585208842</v>
      </c>
      <c r="AT43" s="938">
        <f t="shared" ca="1" si="28"/>
        <v>41.588470834026189</v>
      </c>
      <c r="AU43" s="938">
        <f t="shared" ca="1" si="28"/>
        <v>42.137174640866398</v>
      </c>
      <c r="AV43" s="938">
        <f t="shared" ca="1" si="28"/>
        <v>44.171386893760463</v>
      </c>
      <c r="AW43" s="938">
        <f t="shared" ca="1" si="28"/>
        <v>43.318855614717762</v>
      </c>
      <c r="AX43" s="938">
        <f t="shared" ca="1" si="28"/>
        <v>0</v>
      </c>
      <c r="AY43" s="938"/>
      <c r="AZ43" s="938"/>
      <c r="BA43" s="938"/>
      <c r="BB43" s="938"/>
    </row>
    <row r="44" spans="2:54" ht="17.100000000000001" customHeight="1">
      <c r="B44" s="720" t="s">
        <v>1361</v>
      </c>
      <c r="C44" s="315"/>
      <c r="D44" s="1511"/>
      <c r="E44" s="1512"/>
      <c r="F44" s="1648">
        <f>SUM(F45:F47)</f>
        <v>680</v>
      </c>
      <c r="G44" s="1648">
        <f t="shared" ref="G44:AX44" si="29">SUM(G45:G47)</f>
        <v>680</v>
      </c>
      <c r="H44" s="1648">
        <f t="shared" si="29"/>
        <v>680</v>
      </c>
      <c r="I44" s="1648">
        <f t="shared" si="29"/>
        <v>680</v>
      </c>
      <c r="J44" s="1649">
        <f t="shared" si="29"/>
        <v>680</v>
      </c>
      <c r="K44" s="1650">
        <f t="shared" si="29"/>
        <v>680</v>
      </c>
      <c r="L44" s="1650">
        <f t="shared" ca="1" si="29"/>
        <v>680</v>
      </c>
      <c r="M44" s="1650">
        <f t="shared" ca="1" si="29"/>
        <v>680</v>
      </c>
      <c r="N44" s="1650">
        <f t="shared" ca="1" si="29"/>
        <v>680</v>
      </c>
      <c r="O44" s="1651">
        <f t="shared" ca="1" si="29"/>
        <v>680</v>
      </c>
      <c r="P44" s="1650">
        <f t="shared" ca="1" si="29"/>
        <v>680</v>
      </c>
      <c r="Q44" s="1650">
        <f t="shared" ca="1" si="29"/>
        <v>680</v>
      </c>
      <c r="R44" s="1650">
        <f t="shared" ca="1" si="29"/>
        <v>680</v>
      </c>
      <c r="S44" s="1650">
        <f t="shared" ca="1" si="29"/>
        <v>680</v>
      </c>
      <c r="T44" s="1650">
        <f t="shared" ca="1" si="29"/>
        <v>680</v>
      </c>
      <c r="U44" s="1650">
        <f t="shared" ca="1" si="29"/>
        <v>680</v>
      </c>
      <c r="V44" s="1650">
        <f t="shared" ca="1" si="29"/>
        <v>680</v>
      </c>
      <c r="W44" s="1650">
        <f t="shared" ca="1" si="29"/>
        <v>680</v>
      </c>
      <c r="X44" s="1650">
        <f t="shared" ca="1" si="29"/>
        <v>680</v>
      </c>
      <c r="Y44" s="1650">
        <f t="shared" ca="1" si="29"/>
        <v>680</v>
      </c>
      <c r="Z44" s="1650">
        <f t="shared" ca="1" si="29"/>
        <v>680</v>
      </c>
      <c r="AA44" s="1650">
        <f t="shared" ca="1" si="29"/>
        <v>680</v>
      </c>
      <c r="AB44" s="1650">
        <f t="shared" ca="1" si="29"/>
        <v>680</v>
      </c>
      <c r="AC44" s="1650">
        <f t="shared" ca="1" si="29"/>
        <v>680</v>
      </c>
      <c r="AD44" s="1650">
        <f t="shared" ca="1" si="29"/>
        <v>680</v>
      </c>
      <c r="AE44" s="1650">
        <f t="shared" ca="1" si="29"/>
        <v>680</v>
      </c>
      <c r="AF44" s="1650">
        <f t="shared" ca="1" si="29"/>
        <v>680</v>
      </c>
      <c r="AG44" s="1650">
        <f t="shared" ca="1" si="29"/>
        <v>680</v>
      </c>
      <c r="AH44" s="1650">
        <f t="shared" ca="1" si="29"/>
        <v>680</v>
      </c>
      <c r="AI44" s="1650">
        <f t="shared" ca="1" si="29"/>
        <v>680</v>
      </c>
      <c r="AJ44" s="1650">
        <f t="shared" ca="1" si="29"/>
        <v>680</v>
      </c>
      <c r="AK44" s="1650">
        <f t="shared" ca="1" si="29"/>
        <v>680</v>
      </c>
      <c r="AL44" s="1650">
        <f t="shared" ca="1" si="29"/>
        <v>680</v>
      </c>
      <c r="AM44" s="1650">
        <f t="shared" ca="1" si="29"/>
        <v>680</v>
      </c>
      <c r="AN44" s="1650">
        <f t="shared" ca="1" si="29"/>
        <v>680</v>
      </c>
      <c r="AO44" s="1650">
        <f t="shared" ca="1" si="29"/>
        <v>680</v>
      </c>
      <c r="AP44" s="1650">
        <f t="shared" ca="1" si="29"/>
        <v>680</v>
      </c>
      <c r="AQ44" s="1650">
        <f t="shared" ca="1" si="29"/>
        <v>680</v>
      </c>
      <c r="AR44" s="1650">
        <f t="shared" ca="1" si="29"/>
        <v>680</v>
      </c>
      <c r="AS44" s="1650">
        <f t="shared" ca="1" si="29"/>
        <v>680</v>
      </c>
      <c r="AT44" s="1650">
        <f t="shared" ca="1" si="29"/>
        <v>680</v>
      </c>
      <c r="AU44" s="1650">
        <f t="shared" ca="1" si="29"/>
        <v>680</v>
      </c>
      <c r="AV44" s="1650">
        <f t="shared" ca="1" si="29"/>
        <v>680</v>
      </c>
      <c r="AW44" s="1650">
        <f t="shared" ca="1" si="29"/>
        <v>680</v>
      </c>
      <c r="AX44" s="1650">
        <f t="shared" ca="1" si="29"/>
        <v>0</v>
      </c>
      <c r="AY44" s="1650"/>
      <c r="AZ44" s="1650"/>
      <c r="BA44" s="1650"/>
      <c r="BB44" s="1650"/>
    </row>
    <row r="45" spans="2:54" ht="17.100000000000001" customHeight="1">
      <c r="B45" s="307"/>
      <c r="C45" s="1652"/>
      <c r="D45" s="331" t="s">
        <v>714</v>
      </c>
      <c r="E45" s="742"/>
      <c r="F45" s="1630">
        <v>574</v>
      </c>
      <c r="G45" s="1630">
        <v>574</v>
      </c>
      <c r="H45" s="1630">
        <v>574</v>
      </c>
      <c r="I45" s="1609">
        <v>574</v>
      </c>
      <c r="J45" s="1610">
        <f>실적!E62/단위</f>
        <v>574</v>
      </c>
      <c r="K45" s="1495">
        <f>실적!C62/단위</f>
        <v>574</v>
      </c>
      <c r="L45" s="1204">
        <f>K45*(L7&lt;YEAR(Sensitivity!$E$13))</f>
        <v>574</v>
      </c>
      <c r="M45" s="1204">
        <f>L45*(M7&lt;YEAR(Sensitivity!$E$13))</f>
        <v>574</v>
      </c>
      <c r="N45" s="1204">
        <f>M45*(N7&lt;YEAR(Sensitivity!$E$13))</f>
        <v>574</v>
      </c>
      <c r="O45" s="948">
        <f>N45*(O7&lt;YEAR(Sensitivity!$E$13))</f>
        <v>574</v>
      </c>
      <c r="P45" s="1204">
        <f>O45*(P7&lt;YEAR(Sensitivity!$E$13))</f>
        <v>574</v>
      </c>
      <c r="Q45" s="1204">
        <f>P45*(Q7&lt;YEAR(Sensitivity!$E$13))</f>
        <v>574</v>
      </c>
      <c r="R45" s="1204">
        <f>Q45*(R7&lt;YEAR(Sensitivity!$E$13))</f>
        <v>574</v>
      </c>
      <c r="S45" s="1204">
        <f>R45*(S7&lt;YEAR(Sensitivity!$E$13))</f>
        <v>574</v>
      </c>
      <c r="T45" s="1204">
        <f>S45*(T7&lt;YEAR(Sensitivity!$E$13))</f>
        <v>574</v>
      </c>
      <c r="U45" s="1204">
        <f>T45*(U7&lt;YEAR(Sensitivity!$E$13))</f>
        <v>574</v>
      </c>
      <c r="V45" s="1204">
        <f>U45*(V7&lt;YEAR(Sensitivity!$E$13))</f>
        <v>574</v>
      </c>
      <c r="W45" s="1204">
        <f>V45*(W7&lt;YEAR(Sensitivity!$E$13))</f>
        <v>574</v>
      </c>
      <c r="X45" s="1204">
        <f>W45*(X7&lt;YEAR(Sensitivity!$E$13))</f>
        <v>574</v>
      </c>
      <c r="Y45" s="1204">
        <f>X45*(Y7&lt;YEAR(Sensitivity!$E$13))</f>
        <v>574</v>
      </c>
      <c r="Z45" s="1204">
        <f>Y45*(Z7&lt;YEAR(Sensitivity!$E$13))</f>
        <v>574</v>
      </c>
      <c r="AA45" s="1204">
        <f>Z45*(AA7&lt;YEAR(Sensitivity!$E$13))</f>
        <v>574</v>
      </c>
      <c r="AB45" s="1204">
        <f>AA45*(AB7&lt;YEAR(Sensitivity!$E$13))</f>
        <v>574</v>
      </c>
      <c r="AC45" s="1204">
        <f>AB45*(AC7&lt;YEAR(Sensitivity!$E$13))</f>
        <v>574</v>
      </c>
      <c r="AD45" s="1204">
        <f>AC45*(AD7&lt;YEAR(Sensitivity!$E$13))</f>
        <v>574</v>
      </c>
      <c r="AE45" s="1204">
        <f>AD45*(AE7&lt;YEAR(Sensitivity!$E$13))</f>
        <v>574</v>
      </c>
      <c r="AF45" s="1204">
        <f>AE45*(AF7&lt;YEAR(Sensitivity!$E$13))</f>
        <v>574</v>
      </c>
      <c r="AG45" s="1204">
        <f>AF45*(AG7&lt;YEAR(Sensitivity!$E$13))</f>
        <v>574</v>
      </c>
      <c r="AH45" s="1204">
        <f>AG45*(AH7&lt;YEAR(Sensitivity!$E$13))</f>
        <v>574</v>
      </c>
      <c r="AI45" s="1204">
        <f>AH45*(AI7&lt;YEAR(Sensitivity!$E$13))</f>
        <v>574</v>
      </c>
      <c r="AJ45" s="1204">
        <f>AI45*(AJ7&lt;YEAR(Sensitivity!$E$13))</f>
        <v>574</v>
      </c>
      <c r="AK45" s="1204">
        <f>AJ45*(AK7&lt;YEAR(Sensitivity!$E$13))</f>
        <v>574</v>
      </c>
      <c r="AL45" s="1204">
        <f>AK45*(AL7&lt;YEAR(Sensitivity!$E$13))</f>
        <v>574</v>
      </c>
      <c r="AM45" s="1204">
        <f>AL45*(AM7&lt;YEAR(Sensitivity!$E$13))</f>
        <v>574</v>
      </c>
      <c r="AN45" s="1204">
        <f>AM45*(AN7&lt;YEAR(Sensitivity!$E$13))</f>
        <v>574</v>
      </c>
      <c r="AO45" s="1204">
        <f>AN45*(AO7&lt;YEAR(Sensitivity!$E$13))</f>
        <v>574</v>
      </c>
      <c r="AP45" s="1204">
        <f>AO45*(AP7&lt;YEAR(Sensitivity!$E$13))</f>
        <v>574</v>
      </c>
      <c r="AQ45" s="1204">
        <f>AP45*(AQ7&lt;YEAR(Sensitivity!$E$13))</f>
        <v>574</v>
      </c>
      <c r="AR45" s="1204">
        <f>AQ45*(AR7&lt;YEAR(Sensitivity!$E$13))</f>
        <v>574</v>
      </c>
      <c r="AS45" s="1204">
        <f>AR45*(AS7&lt;YEAR(Sensitivity!$E$13))</f>
        <v>574</v>
      </c>
      <c r="AT45" s="1204">
        <f>AS45*(AT7&lt;YEAR(Sensitivity!$E$13))</f>
        <v>574</v>
      </c>
      <c r="AU45" s="1204">
        <f>AT45*(AU7&lt;YEAR(Sensitivity!$E$13))</f>
        <v>574</v>
      </c>
      <c r="AV45" s="1204">
        <f>AU45*(AV7&lt;YEAR(Sensitivity!$E$13))</f>
        <v>574</v>
      </c>
      <c r="AW45" s="1204">
        <f>AV45*(AW7&lt;YEAR(Sensitivity!$E$13))</f>
        <v>574</v>
      </c>
      <c r="AX45" s="1204">
        <f>AW45*(AX7&lt;YEAR(Sensitivity!$E$13))</f>
        <v>0</v>
      </c>
      <c r="AY45" s="1204"/>
      <c r="AZ45" s="1204"/>
      <c r="BA45" s="1204"/>
      <c r="BB45" s="1204"/>
    </row>
    <row r="46" spans="2:54" ht="17.100000000000001" customHeight="1">
      <c r="B46" s="307"/>
      <c r="C46" s="1652"/>
      <c r="D46" s="331" t="s">
        <v>1362</v>
      </c>
      <c r="E46" s="742"/>
      <c r="F46" s="1630">
        <v>106</v>
      </c>
      <c r="G46" s="1630">
        <v>106</v>
      </c>
      <c r="H46" s="1630">
        <v>106</v>
      </c>
      <c r="I46" s="1609">
        <v>106</v>
      </c>
      <c r="J46" s="1610">
        <f>실적!E63/단위</f>
        <v>106</v>
      </c>
      <c r="K46" s="1495">
        <f>실적!C63/단위</f>
        <v>106</v>
      </c>
      <c r="L46" s="1204">
        <f>K46*(L7&lt;YEAR(Sensitivity!$E$13))</f>
        <v>106</v>
      </c>
      <c r="M46" s="1204">
        <f>L46*(M7&lt;YEAR(Sensitivity!$E$13))</f>
        <v>106</v>
      </c>
      <c r="N46" s="1204">
        <f>M46*(N7&lt;YEAR(Sensitivity!$E$13))</f>
        <v>106</v>
      </c>
      <c r="O46" s="1611">
        <f>N46*(O7&lt;YEAR(Sensitivity!$E$13))</f>
        <v>106</v>
      </c>
      <c r="P46" s="1204">
        <f>O46*(P7&lt;YEAR(Sensitivity!$E$13))</f>
        <v>106</v>
      </c>
      <c r="Q46" s="1204">
        <f>P46*(Q7&lt;YEAR(Sensitivity!$E$13))</f>
        <v>106</v>
      </c>
      <c r="R46" s="1204">
        <f>Q46*(R7&lt;YEAR(Sensitivity!$E$13))</f>
        <v>106</v>
      </c>
      <c r="S46" s="1204">
        <f>R46*(S7&lt;YEAR(Sensitivity!$E$13))</f>
        <v>106</v>
      </c>
      <c r="T46" s="1204">
        <f>S46*(T7&lt;YEAR(Sensitivity!$E$13))</f>
        <v>106</v>
      </c>
      <c r="U46" s="1204">
        <f>T46*(U7&lt;YEAR(Sensitivity!$E$13))</f>
        <v>106</v>
      </c>
      <c r="V46" s="1204">
        <f>U46*(V7&lt;YEAR(Sensitivity!$E$13))</f>
        <v>106</v>
      </c>
      <c r="W46" s="1204">
        <f>V46*(W7&lt;YEAR(Sensitivity!$E$13))</f>
        <v>106</v>
      </c>
      <c r="X46" s="1204">
        <f>W46*(X7&lt;YEAR(Sensitivity!$E$13))</f>
        <v>106</v>
      </c>
      <c r="Y46" s="1204">
        <f>X46*(Y7&lt;YEAR(Sensitivity!$E$13))</f>
        <v>106</v>
      </c>
      <c r="Z46" s="1204">
        <f>Y46*(Z7&lt;YEAR(Sensitivity!$E$13))</f>
        <v>106</v>
      </c>
      <c r="AA46" s="1204">
        <f>Z46*(AA7&lt;YEAR(Sensitivity!$E$13))</f>
        <v>106</v>
      </c>
      <c r="AB46" s="1204">
        <f>AA46*(AB7&lt;YEAR(Sensitivity!$E$13))</f>
        <v>106</v>
      </c>
      <c r="AC46" s="1204">
        <f>AB46*(AC7&lt;YEAR(Sensitivity!$E$13))</f>
        <v>106</v>
      </c>
      <c r="AD46" s="1204">
        <f>AC46*(AD7&lt;YEAR(Sensitivity!$E$13))</f>
        <v>106</v>
      </c>
      <c r="AE46" s="1204">
        <f>AD46*(AE7&lt;YEAR(Sensitivity!$E$13))</f>
        <v>106</v>
      </c>
      <c r="AF46" s="1204">
        <f>AE46*(AF7&lt;YEAR(Sensitivity!$E$13))</f>
        <v>106</v>
      </c>
      <c r="AG46" s="1204">
        <f>AF46*(AG7&lt;YEAR(Sensitivity!$E$13))</f>
        <v>106</v>
      </c>
      <c r="AH46" s="1204">
        <f>AG46*(AH7&lt;YEAR(Sensitivity!$E$13))</f>
        <v>106</v>
      </c>
      <c r="AI46" s="1204">
        <f>AH46*(AI7&lt;YEAR(Sensitivity!$E$13))</f>
        <v>106</v>
      </c>
      <c r="AJ46" s="1204">
        <f>AI46*(AJ7&lt;YEAR(Sensitivity!$E$13))</f>
        <v>106</v>
      </c>
      <c r="AK46" s="1204">
        <f>AJ46*(AK7&lt;YEAR(Sensitivity!$E$13))</f>
        <v>106</v>
      </c>
      <c r="AL46" s="1204">
        <f>AK46*(AL7&lt;YEAR(Sensitivity!$E$13))</f>
        <v>106</v>
      </c>
      <c r="AM46" s="1204">
        <f>AL46*(AM7&lt;YEAR(Sensitivity!$E$13))</f>
        <v>106</v>
      </c>
      <c r="AN46" s="1204">
        <f>AM46*(AN7&lt;YEAR(Sensitivity!$E$13))</f>
        <v>106</v>
      </c>
      <c r="AO46" s="1204">
        <f>AN46*(AO7&lt;YEAR(Sensitivity!$E$13))</f>
        <v>106</v>
      </c>
      <c r="AP46" s="1204">
        <f>AO46*(AP7&lt;YEAR(Sensitivity!$E$13))</f>
        <v>106</v>
      </c>
      <c r="AQ46" s="1204">
        <f>AP46*(AQ7&lt;YEAR(Sensitivity!$E$13))</f>
        <v>106</v>
      </c>
      <c r="AR46" s="1204">
        <f>AQ46*(AR7&lt;YEAR(Sensitivity!$E$13))</f>
        <v>106</v>
      </c>
      <c r="AS46" s="1204">
        <f>AR46*(AS7&lt;YEAR(Sensitivity!$E$13))</f>
        <v>106</v>
      </c>
      <c r="AT46" s="1204">
        <f>AS46*(AT7&lt;YEAR(Sensitivity!$E$13))</f>
        <v>106</v>
      </c>
      <c r="AU46" s="1204">
        <f>AT46*(AU7&lt;YEAR(Sensitivity!$E$13))</f>
        <v>106</v>
      </c>
      <c r="AV46" s="1204">
        <f>AU46*(AV7&lt;YEAR(Sensitivity!$E$13))</f>
        <v>106</v>
      </c>
      <c r="AW46" s="1204">
        <f>AV46*(AW7&lt;YEAR(Sensitivity!$E$13))</f>
        <v>106</v>
      </c>
      <c r="AX46" s="1204">
        <f>AW46*(AX7&lt;YEAR(Sensitivity!$E$13))</f>
        <v>0</v>
      </c>
      <c r="AY46" s="1204"/>
      <c r="AZ46" s="1204"/>
      <c r="BA46" s="1204"/>
      <c r="BB46" s="1204"/>
    </row>
    <row r="47" spans="2:54" ht="17.100000000000001" customHeight="1">
      <c r="B47" s="307"/>
      <c r="C47" s="1652"/>
      <c r="D47" s="331" t="str">
        <f>'CF(Y)'!C22</f>
        <v>상환우선주</v>
      </c>
      <c r="E47" s="727"/>
      <c r="F47" s="1630"/>
      <c r="G47" s="1630"/>
      <c r="H47" s="1630"/>
      <c r="I47" s="1609">
        <v>0</v>
      </c>
      <c r="J47" s="1610">
        <f>J199</f>
        <v>0</v>
      </c>
      <c r="K47" s="1204">
        <f t="shared" ref="K47:AX47" si="30">K199</f>
        <v>0</v>
      </c>
      <c r="L47" s="1204">
        <f t="shared" ca="1" si="30"/>
        <v>0</v>
      </c>
      <c r="M47" s="1204">
        <f t="shared" ca="1" si="30"/>
        <v>0</v>
      </c>
      <c r="N47" s="1204">
        <f t="shared" ca="1" si="30"/>
        <v>0</v>
      </c>
      <c r="O47" s="948">
        <f t="shared" ca="1" si="30"/>
        <v>0</v>
      </c>
      <c r="P47" s="1204">
        <f t="shared" ca="1" si="30"/>
        <v>0</v>
      </c>
      <c r="Q47" s="1204">
        <f t="shared" ca="1" si="30"/>
        <v>0</v>
      </c>
      <c r="R47" s="1204">
        <f t="shared" ca="1" si="30"/>
        <v>0</v>
      </c>
      <c r="S47" s="1204">
        <f t="shared" ca="1" si="30"/>
        <v>0</v>
      </c>
      <c r="T47" s="1204">
        <f t="shared" ca="1" si="30"/>
        <v>0</v>
      </c>
      <c r="U47" s="1204">
        <f t="shared" ca="1" si="30"/>
        <v>0</v>
      </c>
      <c r="V47" s="1204">
        <f t="shared" ca="1" si="30"/>
        <v>0</v>
      </c>
      <c r="W47" s="1204">
        <f t="shared" ca="1" si="30"/>
        <v>0</v>
      </c>
      <c r="X47" s="1204">
        <f t="shared" ca="1" si="30"/>
        <v>0</v>
      </c>
      <c r="Y47" s="1204">
        <f t="shared" ca="1" si="30"/>
        <v>0</v>
      </c>
      <c r="Z47" s="1204">
        <f t="shared" ca="1" si="30"/>
        <v>0</v>
      </c>
      <c r="AA47" s="1204">
        <f t="shared" ca="1" si="30"/>
        <v>0</v>
      </c>
      <c r="AB47" s="1204">
        <f t="shared" ca="1" si="30"/>
        <v>0</v>
      </c>
      <c r="AC47" s="1204">
        <f t="shared" ca="1" si="30"/>
        <v>0</v>
      </c>
      <c r="AD47" s="1204">
        <f t="shared" ca="1" si="30"/>
        <v>0</v>
      </c>
      <c r="AE47" s="1204">
        <f t="shared" ca="1" si="30"/>
        <v>0</v>
      </c>
      <c r="AF47" s="1204">
        <f t="shared" ca="1" si="30"/>
        <v>0</v>
      </c>
      <c r="AG47" s="1204">
        <f t="shared" ca="1" si="30"/>
        <v>0</v>
      </c>
      <c r="AH47" s="1204">
        <f t="shared" ca="1" si="30"/>
        <v>0</v>
      </c>
      <c r="AI47" s="1204">
        <f t="shared" ca="1" si="30"/>
        <v>0</v>
      </c>
      <c r="AJ47" s="1204">
        <f t="shared" ca="1" si="30"/>
        <v>0</v>
      </c>
      <c r="AK47" s="1204">
        <f t="shared" ca="1" si="30"/>
        <v>0</v>
      </c>
      <c r="AL47" s="1204">
        <f t="shared" ca="1" si="30"/>
        <v>0</v>
      </c>
      <c r="AM47" s="1204">
        <f t="shared" ca="1" si="30"/>
        <v>0</v>
      </c>
      <c r="AN47" s="1204">
        <f t="shared" ca="1" si="30"/>
        <v>0</v>
      </c>
      <c r="AO47" s="1204">
        <f t="shared" ca="1" si="30"/>
        <v>0</v>
      </c>
      <c r="AP47" s="1204">
        <f t="shared" ca="1" si="30"/>
        <v>0</v>
      </c>
      <c r="AQ47" s="1204">
        <f t="shared" ca="1" si="30"/>
        <v>0</v>
      </c>
      <c r="AR47" s="1204">
        <f t="shared" ca="1" si="30"/>
        <v>0</v>
      </c>
      <c r="AS47" s="1204">
        <f t="shared" ca="1" si="30"/>
        <v>0</v>
      </c>
      <c r="AT47" s="1204">
        <f t="shared" ca="1" si="30"/>
        <v>0</v>
      </c>
      <c r="AU47" s="1204">
        <f t="shared" ca="1" si="30"/>
        <v>0</v>
      </c>
      <c r="AV47" s="1204">
        <f t="shared" ca="1" si="30"/>
        <v>0</v>
      </c>
      <c r="AW47" s="1204">
        <f t="shared" ca="1" si="30"/>
        <v>0</v>
      </c>
      <c r="AX47" s="1204">
        <f t="shared" ca="1" si="30"/>
        <v>0</v>
      </c>
      <c r="AY47" s="1204"/>
      <c r="AZ47" s="1204"/>
      <c r="BA47" s="1204"/>
      <c r="BB47" s="1204"/>
    </row>
    <row r="48" spans="2:54" ht="17.100000000000001" customHeight="1">
      <c r="B48" s="720" t="s">
        <v>1363</v>
      </c>
      <c r="C48" s="315"/>
      <c r="D48" s="1259"/>
      <c r="E48" s="722"/>
      <c r="F48" s="1665">
        <f>SUM(F49:F50)</f>
        <v>68.883606139999998</v>
      </c>
      <c r="G48" s="1665">
        <f>SUM(G49:G50)</f>
        <v>68.883606139999998</v>
      </c>
      <c r="H48" s="1665">
        <f>SUM(H49:H50)</f>
        <v>68.883606139999998</v>
      </c>
      <c r="I48" s="1666">
        <v>51.911522630000505</v>
      </c>
      <c r="J48" s="1666">
        <f>I48-J212</f>
        <v>51.911522630000505</v>
      </c>
      <c r="K48" s="1360">
        <f>SUM(K49:K50)</f>
        <v>68.883606139999998</v>
      </c>
      <c r="L48" s="1360">
        <f t="shared" ref="L48:AX48" si="31">SUM(L49:L50)</f>
        <v>68.883606139999998</v>
      </c>
      <c r="M48" s="1360">
        <f t="shared" si="31"/>
        <v>68.883606139999998</v>
      </c>
      <c r="N48" s="1360">
        <f t="shared" si="31"/>
        <v>68.883606139999998</v>
      </c>
      <c r="O48" s="1360">
        <f t="shared" si="31"/>
        <v>68.883606139999998</v>
      </c>
      <c r="P48" s="1491">
        <f t="shared" si="31"/>
        <v>68.883606139999998</v>
      </c>
      <c r="Q48" s="1491">
        <f t="shared" si="31"/>
        <v>68.883606139999998</v>
      </c>
      <c r="R48" s="1491">
        <f t="shared" si="31"/>
        <v>68.883606139999998</v>
      </c>
      <c r="S48" s="1491">
        <f t="shared" si="31"/>
        <v>68.883606139999998</v>
      </c>
      <c r="T48" s="1491">
        <f t="shared" si="31"/>
        <v>68.883606139999998</v>
      </c>
      <c r="U48" s="1491">
        <f t="shared" si="31"/>
        <v>68.883606139999998</v>
      </c>
      <c r="V48" s="1491">
        <f t="shared" si="31"/>
        <v>68.883606139999998</v>
      </c>
      <c r="W48" s="1491">
        <f t="shared" si="31"/>
        <v>68.883606139999998</v>
      </c>
      <c r="X48" s="1491">
        <f t="shared" si="31"/>
        <v>68.883606139999998</v>
      </c>
      <c r="Y48" s="1491">
        <f t="shared" si="31"/>
        <v>68.883606139999998</v>
      </c>
      <c r="Z48" s="1491">
        <f t="shared" si="31"/>
        <v>68.883606139999998</v>
      </c>
      <c r="AA48" s="1491">
        <f t="shared" si="31"/>
        <v>68.883606139999998</v>
      </c>
      <c r="AB48" s="1491">
        <f t="shared" si="31"/>
        <v>68.883606139999998</v>
      </c>
      <c r="AC48" s="1491">
        <f t="shared" si="31"/>
        <v>68.883606139999998</v>
      </c>
      <c r="AD48" s="1491">
        <f t="shared" si="31"/>
        <v>68.883606139999998</v>
      </c>
      <c r="AE48" s="1491">
        <f t="shared" si="31"/>
        <v>68.883606139999998</v>
      </c>
      <c r="AF48" s="1491">
        <f t="shared" si="31"/>
        <v>68.883606139999998</v>
      </c>
      <c r="AG48" s="1491">
        <f t="shared" si="31"/>
        <v>68.883606139999998</v>
      </c>
      <c r="AH48" s="1491">
        <f t="shared" si="31"/>
        <v>68.883606139999998</v>
      </c>
      <c r="AI48" s="1491">
        <f t="shared" si="31"/>
        <v>68.883606139999998</v>
      </c>
      <c r="AJ48" s="1491">
        <f t="shared" si="31"/>
        <v>68.883606139999998</v>
      </c>
      <c r="AK48" s="1491">
        <f t="shared" si="31"/>
        <v>68.883606139999998</v>
      </c>
      <c r="AL48" s="1491">
        <f t="shared" si="31"/>
        <v>68.883606139999998</v>
      </c>
      <c r="AM48" s="1491">
        <f t="shared" si="31"/>
        <v>68.883606139999998</v>
      </c>
      <c r="AN48" s="1491">
        <f t="shared" si="31"/>
        <v>68.883606139999998</v>
      </c>
      <c r="AO48" s="1491">
        <f t="shared" si="31"/>
        <v>68.883606139999998</v>
      </c>
      <c r="AP48" s="1491">
        <f t="shared" si="31"/>
        <v>68.883606139999998</v>
      </c>
      <c r="AQ48" s="1491">
        <f t="shared" si="31"/>
        <v>68.883606139999998</v>
      </c>
      <c r="AR48" s="1491">
        <f t="shared" si="31"/>
        <v>68.883606139999998</v>
      </c>
      <c r="AS48" s="1491">
        <f t="shared" si="31"/>
        <v>68.883606139999998</v>
      </c>
      <c r="AT48" s="1491">
        <f t="shared" si="31"/>
        <v>68.883606139999998</v>
      </c>
      <c r="AU48" s="1491">
        <f t="shared" si="31"/>
        <v>68.883606139999998</v>
      </c>
      <c r="AV48" s="1491">
        <f t="shared" si="31"/>
        <v>68.883606139999998</v>
      </c>
      <c r="AW48" s="1491">
        <f t="shared" si="31"/>
        <v>68.883606139999998</v>
      </c>
      <c r="AX48" s="1491">
        <f t="shared" si="31"/>
        <v>0</v>
      </c>
      <c r="AY48" s="1491"/>
      <c r="AZ48" s="1491"/>
      <c r="BA48" s="1491"/>
      <c r="BB48" s="1491"/>
    </row>
    <row r="49" spans="1:185" ht="17.100000000000001" customHeight="1">
      <c r="B49" s="307"/>
      <c r="C49" s="1652"/>
      <c r="D49" s="342" t="s">
        <v>1364</v>
      </c>
      <c r="E49" s="943"/>
      <c r="F49" s="1667"/>
      <c r="G49" s="1667"/>
      <c r="H49" s="1667"/>
      <c r="I49" s="1613">
        <v>0</v>
      </c>
      <c r="J49" s="1614">
        <f>MAX(($J$193-$I$193)*($I$193&gt;0),0)</f>
        <v>0</v>
      </c>
      <c r="K49" s="1492">
        <f t="shared" ref="K49:AX49" si="32">$J49*(K4&gt;0)</f>
        <v>0</v>
      </c>
      <c r="L49" s="1492">
        <f t="shared" si="32"/>
        <v>0</v>
      </c>
      <c r="M49" s="1492">
        <f t="shared" si="32"/>
        <v>0</v>
      </c>
      <c r="N49" s="1492">
        <f t="shared" si="32"/>
        <v>0</v>
      </c>
      <c r="O49" s="946">
        <f t="shared" si="32"/>
        <v>0</v>
      </c>
      <c r="P49" s="1492">
        <f t="shared" si="32"/>
        <v>0</v>
      </c>
      <c r="Q49" s="1492">
        <f t="shared" si="32"/>
        <v>0</v>
      </c>
      <c r="R49" s="1492">
        <f t="shared" si="32"/>
        <v>0</v>
      </c>
      <c r="S49" s="1492">
        <f t="shared" si="32"/>
        <v>0</v>
      </c>
      <c r="T49" s="1492">
        <f t="shared" si="32"/>
        <v>0</v>
      </c>
      <c r="U49" s="1492">
        <f t="shared" si="32"/>
        <v>0</v>
      </c>
      <c r="V49" s="1492">
        <f t="shared" si="32"/>
        <v>0</v>
      </c>
      <c r="W49" s="1492">
        <f t="shared" si="32"/>
        <v>0</v>
      </c>
      <c r="X49" s="1492">
        <f t="shared" si="32"/>
        <v>0</v>
      </c>
      <c r="Y49" s="1492">
        <f t="shared" si="32"/>
        <v>0</v>
      </c>
      <c r="Z49" s="1492">
        <f t="shared" si="32"/>
        <v>0</v>
      </c>
      <c r="AA49" s="1492">
        <f t="shared" si="32"/>
        <v>0</v>
      </c>
      <c r="AB49" s="1492">
        <f t="shared" si="32"/>
        <v>0</v>
      </c>
      <c r="AC49" s="1492">
        <f t="shared" si="32"/>
        <v>0</v>
      </c>
      <c r="AD49" s="1492">
        <f t="shared" si="32"/>
        <v>0</v>
      </c>
      <c r="AE49" s="1492">
        <f t="shared" si="32"/>
        <v>0</v>
      </c>
      <c r="AF49" s="1492">
        <f t="shared" si="32"/>
        <v>0</v>
      </c>
      <c r="AG49" s="1492">
        <f t="shared" si="32"/>
        <v>0</v>
      </c>
      <c r="AH49" s="1492">
        <f t="shared" si="32"/>
        <v>0</v>
      </c>
      <c r="AI49" s="1492">
        <f t="shared" si="32"/>
        <v>0</v>
      </c>
      <c r="AJ49" s="1492">
        <f t="shared" si="32"/>
        <v>0</v>
      </c>
      <c r="AK49" s="1492">
        <f t="shared" si="32"/>
        <v>0</v>
      </c>
      <c r="AL49" s="1492">
        <f t="shared" si="32"/>
        <v>0</v>
      </c>
      <c r="AM49" s="1492">
        <f t="shared" si="32"/>
        <v>0</v>
      </c>
      <c r="AN49" s="1492">
        <f t="shared" si="32"/>
        <v>0</v>
      </c>
      <c r="AO49" s="1492">
        <f t="shared" si="32"/>
        <v>0</v>
      </c>
      <c r="AP49" s="1492">
        <f t="shared" si="32"/>
        <v>0</v>
      </c>
      <c r="AQ49" s="1492">
        <f t="shared" si="32"/>
        <v>0</v>
      </c>
      <c r="AR49" s="1492">
        <f t="shared" si="32"/>
        <v>0</v>
      </c>
      <c r="AS49" s="1492">
        <f t="shared" si="32"/>
        <v>0</v>
      </c>
      <c r="AT49" s="1492">
        <f t="shared" si="32"/>
        <v>0</v>
      </c>
      <c r="AU49" s="1492">
        <f t="shared" si="32"/>
        <v>0</v>
      </c>
      <c r="AV49" s="1492">
        <f t="shared" si="32"/>
        <v>0</v>
      </c>
      <c r="AW49" s="1492">
        <f t="shared" si="32"/>
        <v>0</v>
      </c>
      <c r="AX49" s="1492">
        <f t="shared" si="32"/>
        <v>0</v>
      </c>
      <c r="AY49" s="1492"/>
      <c r="AZ49" s="1492"/>
      <c r="BA49" s="1492"/>
      <c r="BB49" s="1492"/>
    </row>
    <row r="50" spans="1:185" ht="17.100000000000001" customHeight="1">
      <c r="B50" s="307"/>
      <c r="D50" s="1282" t="s">
        <v>1365</v>
      </c>
      <c r="E50" s="747"/>
      <c r="F50" s="1668">
        <v>68.883606139999998</v>
      </c>
      <c r="G50" s="1668">
        <v>68.883606139999998</v>
      </c>
      <c r="H50" s="1668">
        <v>68.883606139999998</v>
      </c>
      <c r="I50" s="1619"/>
      <c r="J50" s="1669"/>
      <c r="K50" s="1308">
        <f>실적!C65/단위</f>
        <v>68.883606139999998</v>
      </c>
      <c r="L50" s="1493">
        <f>K50*(L7&lt;YEAR(Sensitivity!$E$13))</f>
        <v>68.883606139999998</v>
      </c>
      <c r="M50" s="1493">
        <f>L50*(M7&lt;YEAR(Sensitivity!$E$13))</f>
        <v>68.883606139999998</v>
      </c>
      <c r="N50" s="1493">
        <f>M50*(N7&lt;YEAR(Sensitivity!$E$13))</f>
        <v>68.883606139999998</v>
      </c>
      <c r="O50" s="954">
        <f>N50*(O7&lt;YEAR(Sensitivity!$E$13))</f>
        <v>68.883606139999998</v>
      </c>
      <c r="P50" s="1493">
        <f>O50*(P7&lt;YEAR(Sensitivity!$E$13))</f>
        <v>68.883606139999998</v>
      </c>
      <c r="Q50" s="1493">
        <f>P50*(Q7&lt;YEAR(Sensitivity!$E$13))</f>
        <v>68.883606139999998</v>
      </c>
      <c r="R50" s="1493">
        <f>Q50*(R7&lt;YEAR(Sensitivity!$E$13))</f>
        <v>68.883606139999998</v>
      </c>
      <c r="S50" s="1493">
        <f>R50*(S7&lt;YEAR(Sensitivity!$E$13))</f>
        <v>68.883606139999998</v>
      </c>
      <c r="T50" s="1493">
        <f>S50*(T7&lt;YEAR(Sensitivity!$E$13))</f>
        <v>68.883606139999998</v>
      </c>
      <c r="U50" s="1493">
        <f>T50*(U7&lt;YEAR(Sensitivity!$E$13))</f>
        <v>68.883606139999998</v>
      </c>
      <c r="V50" s="1493">
        <f>U50*(V7&lt;YEAR(Sensitivity!$E$13))</f>
        <v>68.883606139999998</v>
      </c>
      <c r="W50" s="1493">
        <f>V50*(W7&lt;YEAR(Sensitivity!$E$13))</f>
        <v>68.883606139999998</v>
      </c>
      <c r="X50" s="1493">
        <f>W50*(X7&lt;YEAR(Sensitivity!$E$13))</f>
        <v>68.883606139999998</v>
      </c>
      <c r="Y50" s="1493">
        <f>X50*(Y7&lt;YEAR(Sensitivity!$E$13))</f>
        <v>68.883606139999998</v>
      </c>
      <c r="Z50" s="1493">
        <f>Y50*(Z7&lt;YEAR(Sensitivity!$E$13))</f>
        <v>68.883606139999998</v>
      </c>
      <c r="AA50" s="1493">
        <f>Z50*(AA7&lt;YEAR(Sensitivity!$E$13))</f>
        <v>68.883606139999998</v>
      </c>
      <c r="AB50" s="1493">
        <f>AA50*(AB7&lt;YEAR(Sensitivity!$E$13))</f>
        <v>68.883606139999998</v>
      </c>
      <c r="AC50" s="1493">
        <f>AB50*(AC7&lt;YEAR(Sensitivity!$E$13))</f>
        <v>68.883606139999998</v>
      </c>
      <c r="AD50" s="1493">
        <f>AC50*(AD7&lt;YEAR(Sensitivity!$E$13))</f>
        <v>68.883606139999998</v>
      </c>
      <c r="AE50" s="1493">
        <f>AD50*(AE7&lt;YEAR(Sensitivity!$E$13))</f>
        <v>68.883606139999998</v>
      </c>
      <c r="AF50" s="1493">
        <f>AE50*(AF7&lt;YEAR(Sensitivity!$E$13))</f>
        <v>68.883606139999998</v>
      </c>
      <c r="AG50" s="1493">
        <f>AF50*(AG7&lt;YEAR(Sensitivity!$E$13))</f>
        <v>68.883606139999998</v>
      </c>
      <c r="AH50" s="1493">
        <f>AG50*(AH7&lt;YEAR(Sensitivity!$E$13))</f>
        <v>68.883606139999998</v>
      </c>
      <c r="AI50" s="1493">
        <f>AH50*(AI7&lt;YEAR(Sensitivity!$E$13))</f>
        <v>68.883606139999998</v>
      </c>
      <c r="AJ50" s="1493">
        <f>AI50*(AJ7&lt;YEAR(Sensitivity!$E$13))</f>
        <v>68.883606139999998</v>
      </c>
      <c r="AK50" s="1493">
        <f>AJ50*(AK7&lt;YEAR(Sensitivity!$E$13))</f>
        <v>68.883606139999998</v>
      </c>
      <c r="AL50" s="1493">
        <f>AK50*(AL7&lt;YEAR(Sensitivity!$E$13))</f>
        <v>68.883606139999998</v>
      </c>
      <c r="AM50" s="1493">
        <f>AL50*(AM7&lt;YEAR(Sensitivity!$E$13))</f>
        <v>68.883606139999998</v>
      </c>
      <c r="AN50" s="1493">
        <f>AM50*(AN7&lt;YEAR(Sensitivity!$E$13))</f>
        <v>68.883606139999998</v>
      </c>
      <c r="AO50" s="1493">
        <f>AN50*(AO7&lt;YEAR(Sensitivity!$E$13))</f>
        <v>68.883606139999998</v>
      </c>
      <c r="AP50" s="1493">
        <f>AO50*(AP7&lt;YEAR(Sensitivity!$E$13))</f>
        <v>68.883606139999998</v>
      </c>
      <c r="AQ50" s="1493">
        <f>AP50*(AQ7&lt;YEAR(Sensitivity!$E$13))</f>
        <v>68.883606139999998</v>
      </c>
      <c r="AR50" s="1493">
        <f>AQ50*(AR7&lt;YEAR(Sensitivity!$E$13))</f>
        <v>68.883606139999998</v>
      </c>
      <c r="AS50" s="1493">
        <f>AR50*(AS7&lt;YEAR(Sensitivity!$E$13))</f>
        <v>68.883606139999998</v>
      </c>
      <c r="AT50" s="1493">
        <f>AS50*(AT7&lt;YEAR(Sensitivity!$E$13))</f>
        <v>68.883606139999998</v>
      </c>
      <c r="AU50" s="1493">
        <f>AT50*(AU7&lt;YEAR(Sensitivity!$E$13))</f>
        <v>68.883606139999998</v>
      </c>
      <c r="AV50" s="1493">
        <f>AU50*(AV7&lt;YEAR(Sensitivity!$E$13))</f>
        <v>68.883606139999998</v>
      </c>
      <c r="AW50" s="1493">
        <f>AV50*(AW7&lt;YEAR(Sensitivity!$E$13))</f>
        <v>68.883606139999998</v>
      </c>
      <c r="AX50" s="1493">
        <f>AW50*(AX7&lt;YEAR(Sensitivity!$E$13))</f>
        <v>0</v>
      </c>
      <c r="AY50" s="1493"/>
      <c r="AZ50" s="1493"/>
      <c r="BA50" s="1493"/>
      <c r="BB50" s="1493"/>
    </row>
    <row r="51" spans="1:185" ht="17.100000000000001" customHeight="1">
      <c r="B51" s="720" t="s">
        <v>1366</v>
      </c>
      <c r="C51" s="315"/>
      <c r="D51" s="1511"/>
      <c r="E51" s="1512"/>
      <c r="F51" s="1648">
        <f>F52</f>
        <v>-3.3917389999999998</v>
      </c>
      <c r="G51" s="1648">
        <f>G52</f>
        <v>-3.3917389999999998</v>
      </c>
      <c r="H51" s="1648">
        <f>H52</f>
        <v>-3.3917389999999998</v>
      </c>
      <c r="I51" s="1648">
        <f>I52</f>
        <v>-3.3917389999999998</v>
      </c>
      <c r="J51" s="1648">
        <f>J52</f>
        <v>-3.3917389999999998</v>
      </c>
      <c r="K51" s="1650">
        <f t="shared" ref="K51:AX51" si="33">K52</f>
        <v>-3.3917389999999998</v>
      </c>
      <c r="L51" s="1650">
        <f t="shared" si="33"/>
        <v>-3.3917389999999998</v>
      </c>
      <c r="M51" s="1650">
        <f t="shared" ca="1" si="33"/>
        <v>-3.3917389999999998</v>
      </c>
      <c r="N51" s="1650">
        <f t="shared" ca="1" si="33"/>
        <v>-3.3917389999999998</v>
      </c>
      <c r="O51" s="1650">
        <f t="shared" ca="1" si="33"/>
        <v>-3.3917389999999998</v>
      </c>
      <c r="P51" s="1650">
        <f t="shared" ca="1" si="33"/>
        <v>-3.3917389999999998</v>
      </c>
      <c r="Q51" s="1650">
        <f t="shared" ca="1" si="33"/>
        <v>-2.2611593333333335</v>
      </c>
      <c r="R51" s="1650">
        <f t="shared" ca="1" si="33"/>
        <v>-1.130579666666667</v>
      </c>
      <c r="S51" s="1650">
        <f t="shared" ca="1" si="33"/>
        <v>0</v>
      </c>
      <c r="T51" s="1650">
        <f t="shared" ca="1" si="33"/>
        <v>0</v>
      </c>
      <c r="U51" s="1650">
        <f t="shared" ca="1" si="33"/>
        <v>0</v>
      </c>
      <c r="V51" s="1650">
        <f t="shared" ca="1" si="33"/>
        <v>0</v>
      </c>
      <c r="W51" s="1650">
        <f t="shared" ca="1" si="33"/>
        <v>0</v>
      </c>
      <c r="X51" s="1650">
        <f t="shared" ca="1" si="33"/>
        <v>0</v>
      </c>
      <c r="Y51" s="1650">
        <f t="shared" ca="1" si="33"/>
        <v>0</v>
      </c>
      <c r="Z51" s="1650">
        <f t="shared" ca="1" si="33"/>
        <v>0</v>
      </c>
      <c r="AA51" s="1650">
        <f t="shared" ca="1" si="33"/>
        <v>0</v>
      </c>
      <c r="AB51" s="1650">
        <f t="shared" ca="1" si="33"/>
        <v>0</v>
      </c>
      <c r="AC51" s="1650">
        <f t="shared" ca="1" si="33"/>
        <v>0</v>
      </c>
      <c r="AD51" s="1650">
        <f t="shared" ca="1" si="33"/>
        <v>0</v>
      </c>
      <c r="AE51" s="1650">
        <f t="shared" ca="1" si="33"/>
        <v>0</v>
      </c>
      <c r="AF51" s="1650">
        <f t="shared" ca="1" si="33"/>
        <v>0</v>
      </c>
      <c r="AG51" s="1650">
        <f t="shared" ca="1" si="33"/>
        <v>0</v>
      </c>
      <c r="AH51" s="1650">
        <f t="shared" ca="1" si="33"/>
        <v>0</v>
      </c>
      <c r="AI51" s="1650">
        <f t="shared" ca="1" si="33"/>
        <v>0</v>
      </c>
      <c r="AJ51" s="1650">
        <f t="shared" ca="1" si="33"/>
        <v>0</v>
      </c>
      <c r="AK51" s="1650">
        <f t="shared" ca="1" si="33"/>
        <v>0</v>
      </c>
      <c r="AL51" s="1650">
        <f t="shared" ca="1" si="33"/>
        <v>0</v>
      </c>
      <c r="AM51" s="1650">
        <f t="shared" ca="1" si="33"/>
        <v>0</v>
      </c>
      <c r="AN51" s="1650">
        <f t="shared" ca="1" si="33"/>
        <v>0</v>
      </c>
      <c r="AO51" s="1650">
        <f t="shared" ca="1" si="33"/>
        <v>0</v>
      </c>
      <c r="AP51" s="1650">
        <f t="shared" ca="1" si="33"/>
        <v>0</v>
      </c>
      <c r="AQ51" s="1650">
        <f t="shared" ca="1" si="33"/>
        <v>0</v>
      </c>
      <c r="AR51" s="1650">
        <f t="shared" ca="1" si="33"/>
        <v>0</v>
      </c>
      <c r="AS51" s="1650">
        <f t="shared" ca="1" si="33"/>
        <v>0</v>
      </c>
      <c r="AT51" s="1650">
        <f t="shared" ca="1" si="33"/>
        <v>0</v>
      </c>
      <c r="AU51" s="1650">
        <f t="shared" ca="1" si="33"/>
        <v>0</v>
      </c>
      <c r="AV51" s="1650">
        <f t="shared" ca="1" si="33"/>
        <v>0</v>
      </c>
      <c r="AW51" s="1650">
        <f t="shared" ca="1" si="33"/>
        <v>0</v>
      </c>
      <c r="AX51" s="1650">
        <f t="shared" ca="1" si="33"/>
        <v>0</v>
      </c>
      <c r="AY51" s="1650"/>
      <c r="AZ51" s="1650"/>
      <c r="BA51" s="1650"/>
      <c r="BB51" s="1650"/>
    </row>
    <row r="52" spans="1:185" ht="17.100000000000001" customHeight="1">
      <c r="B52" s="952"/>
      <c r="C52" s="1654"/>
      <c r="D52" s="331" t="s">
        <v>720</v>
      </c>
      <c r="E52" s="742"/>
      <c r="F52" s="1670">
        <v>-3.3917389999999998</v>
      </c>
      <c r="G52" s="1670">
        <v>-3.3917389999999998</v>
      </c>
      <c r="H52" s="1670">
        <v>-3.3917389999999998</v>
      </c>
      <c r="I52" s="1609">
        <v>-3.3917389999999998</v>
      </c>
      <c r="J52" s="1609">
        <f t="shared" ref="J52:AX52" si="34">-J213</f>
        <v>-3.3917389999999998</v>
      </c>
      <c r="K52" s="1204">
        <f t="shared" si="34"/>
        <v>-3.3917389999999998</v>
      </c>
      <c r="L52" s="1204">
        <f t="shared" si="34"/>
        <v>-3.3917389999999998</v>
      </c>
      <c r="M52" s="1204">
        <f t="shared" ca="1" si="34"/>
        <v>-3.3917389999999998</v>
      </c>
      <c r="N52" s="1204">
        <f t="shared" ca="1" si="34"/>
        <v>-3.3917389999999998</v>
      </c>
      <c r="O52" s="1204">
        <f t="shared" ca="1" si="34"/>
        <v>-3.3917389999999998</v>
      </c>
      <c r="P52" s="1204">
        <f t="shared" ca="1" si="34"/>
        <v>-3.3917389999999998</v>
      </c>
      <c r="Q52" s="1204">
        <f t="shared" ca="1" si="34"/>
        <v>-2.2611593333333335</v>
      </c>
      <c r="R52" s="1204">
        <f t="shared" ca="1" si="34"/>
        <v>-1.130579666666667</v>
      </c>
      <c r="S52" s="1204">
        <f t="shared" ca="1" si="34"/>
        <v>0</v>
      </c>
      <c r="T52" s="1204">
        <f t="shared" ca="1" si="34"/>
        <v>0</v>
      </c>
      <c r="U52" s="1204">
        <f t="shared" ca="1" si="34"/>
        <v>0</v>
      </c>
      <c r="V52" s="1204">
        <f t="shared" ca="1" si="34"/>
        <v>0</v>
      </c>
      <c r="W52" s="1204">
        <f t="shared" ca="1" si="34"/>
        <v>0</v>
      </c>
      <c r="X52" s="1204">
        <f t="shared" ca="1" si="34"/>
        <v>0</v>
      </c>
      <c r="Y52" s="1204">
        <f t="shared" ca="1" si="34"/>
        <v>0</v>
      </c>
      <c r="Z52" s="1204">
        <f t="shared" ca="1" si="34"/>
        <v>0</v>
      </c>
      <c r="AA52" s="1204">
        <f t="shared" ca="1" si="34"/>
        <v>0</v>
      </c>
      <c r="AB52" s="1204">
        <f t="shared" ca="1" si="34"/>
        <v>0</v>
      </c>
      <c r="AC52" s="1204">
        <f t="shared" ca="1" si="34"/>
        <v>0</v>
      </c>
      <c r="AD52" s="1204">
        <f t="shared" ca="1" si="34"/>
        <v>0</v>
      </c>
      <c r="AE52" s="1204">
        <f t="shared" ca="1" si="34"/>
        <v>0</v>
      </c>
      <c r="AF52" s="1204">
        <f t="shared" ca="1" si="34"/>
        <v>0</v>
      </c>
      <c r="AG52" s="1204">
        <f t="shared" ca="1" si="34"/>
        <v>0</v>
      </c>
      <c r="AH52" s="1204">
        <f t="shared" ca="1" si="34"/>
        <v>0</v>
      </c>
      <c r="AI52" s="1204">
        <f t="shared" ca="1" si="34"/>
        <v>0</v>
      </c>
      <c r="AJ52" s="1204">
        <f t="shared" ca="1" si="34"/>
        <v>0</v>
      </c>
      <c r="AK52" s="1204">
        <f t="shared" ca="1" si="34"/>
        <v>0</v>
      </c>
      <c r="AL52" s="1204">
        <f t="shared" ca="1" si="34"/>
        <v>0</v>
      </c>
      <c r="AM52" s="1204">
        <f t="shared" ca="1" si="34"/>
        <v>0</v>
      </c>
      <c r="AN52" s="1204">
        <f t="shared" ca="1" si="34"/>
        <v>0</v>
      </c>
      <c r="AO52" s="1204">
        <f t="shared" ca="1" si="34"/>
        <v>0</v>
      </c>
      <c r="AP52" s="1204">
        <f t="shared" ca="1" si="34"/>
        <v>0</v>
      </c>
      <c r="AQ52" s="1204">
        <f t="shared" ca="1" si="34"/>
        <v>0</v>
      </c>
      <c r="AR52" s="1204">
        <f t="shared" ca="1" si="34"/>
        <v>0</v>
      </c>
      <c r="AS52" s="1204">
        <f t="shared" ca="1" si="34"/>
        <v>0</v>
      </c>
      <c r="AT52" s="1204">
        <f t="shared" ca="1" si="34"/>
        <v>0</v>
      </c>
      <c r="AU52" s="1204">
        <f t="shared" ca="1" si="34"/>
        <v>0</v>
      </c>
      <c r="AV52" s="1204">
        <f t="shared" ca="1" si="34"/>
        <v>0</v>
      </c>
      <c r="AW52" s="1204">
        <f t="shared" ca="1" si="34"/>
        <v>0</v>
      </c>
      <c r="AX52" s="1204">
        <f t="shared" ca="1" si="34"/>
        <v>0</v>
      </c>
      <c r="AY52" s="1204"/>
      <c r="AZ52" s="1204"/>
      <c r="BA52" s="1204"/>
      <c r="BB52" s="1204"/>
    </row>
    <row r="53" spans="1:185" ht="17.100000000000001" customHeight="1">
      <c r="B53" s="720" t="s">
        <v>1367</v>
      </c>
      <c r="C53" s="315"/>
      <c r="D53" s="1511"/>
      <c r="E53" s="1655"/>
      <c r="F53" s="1671">
        <f>SUM(F54:F55)</f>
        <v>-787.11168541999996</v>
      </c>
      <c r="G53" s="1671">
        <f>SUM(G54:G55)</f>
        <v>-683.99646022000002</v>
      </c>
      <c r="H53" s="1671">
        <f>SUM(H54:H55)</f>
        <v>-591.99850833000005</v>
      </c>
      <c r="I53" s="1648">
        <f>SUM(I54:I55)</f>
        <v>-501.90986641000001</v>
      </c>
      <c r="J53" s="1649">
        <f ca="1">SUM(J54:J55)</f>
        <v>-432.98638123581247</v>
      </c>
      <c r="K53" s="1650">
        <f t="shared" ref="K53:AX53" si="35">SUM(K54:K55)</f>
        <v>-368.09849706</v>
      </c>
      <c r="L53" s="1650">
        <f t="shared" ca="1" si="35"/>
        <v>-299.31478533484682</v>
      </c>
      <c r="M53" s="1650">
        <f t="shared" ca="1" si="35"/>
        <v>-227.29039458078276</v>
      </c>
      <c r="N53" s="1650">
        <f t="shared" ca="1" si="35"/>
        <v>-134.88328128494217</v>
      </c>
      <c r="O53" s="1651">
        <f t="shared" ca="1" si="35"/>
        <v>-30.855006638396588</v>
      </c>
      <c r="P53" s="1650">
        <f t="shared" ca="1" si="35"/>
        <v>7.5523320849946174</v>
      </c>
      <c r="Q53" s="1650">
        <f t="shared" ca="1" si="35"/>
        <v>8.9307093801635382</v>
      </c>
      <c r="R53" s="1650">
        <f t="shared" ca="1" si="35"/>
        <v>21.827016157102616</v>
      </c>
      <c r="S53" s="1650">
        <f t="shared" ca="1" si="35"/>
        <v>37.174153192288806</v>
      </c>
      <c r="T53" s="1650">
        <f t="shared" ca="1" si="35"/>
        <v>23.447417930094645</v>
      </c>
      <c r="U53" s="1650">
        <f t="shared" ca="1" si="35"/>
        <v>39.196981378027026</v>
      </c>
      <c r="V53" s="1650">
        <f t="shared" ca="1" si="35"/>
        <v>38.099389943664193</v>
      </c>
      <c r="W53" s="1650">
        <f t="shared" ca="1" si="35"/>
        <v>42.327779774185025</v>
      </c>
      <c r="X53" s="1650">
        <f t="shared" ca="1" si="35"/>
        <v>51.912403352147713</v>
      </c>
      <c r="Y53" s="1650">
        <f t="shared" ca="1" si="35"/>
        <v>61.696903553133218</v>
      </c>
      <c r="Z53" s="1650">
        <f t="shared" ca="1" si="35"/>
        <v>81.055476601660118</v>
      </c>
      <c r="AA53" s="1650">
        <f t="shared" ca="1" si="35"/>
        <v>111.97093067616166</v>
      </c>
      <c r="AB53" s="1650">
        <f t="shared" ca="1" si="35"/>
        <v>138.21981779300114</v>
      </c>
      <c r="AC53" s="1650">
        <f t="shared" ca="1" si="35"/>
        <v>160.92765162400224</v>
      </c>
      <c r="AD53" s="1650">
        <f t="shared" ca="1" si="35"/>
        <v>170.7207416685209</v>
      </c>
      <c r="AE53" s="1650">
        <f t="shared" ca="1" si="35"/>
        <v>191.06105615991379</v>
      </c>
      <c r="AF53" s="1650">
        <f t="shared" ca="1" si="35"/>
        <v>202.73590088126994</v>
      </c>
      <c r="AG53" s="1650">
        <f t="shared" ca="1" si="35"/>
        <v>224.81621764076993</v>
      </c>
      <c r="AH53" s="1650">
        <f t="shared" ca="1" si="35"/>
        <v>248.32736616601352</v>
      </c>
      <c r="AI53" s="1650">
        <f t="shared" ca="1" si="35"/>
        <v>255.13716477884805</v>
      </c>
      <c r="AJ53" s="1650">
        <f t="shared" ca="1" si="35"/>
        <v>247.36939472625789</v>
      </c>
      <c r="AK53" s="1650">
        <f t="shared" ca="1" si="35"/>
        <v>214.71927717352426</v>
      </c>
      <c r="AL53" s="1650">
        <f t="shared" ca="1" si="35"/>
        <v>188.60204962814282</v>
      </c>
      <c r="AM53" s="1650">
        <f t="shared" ca="1" si="35"/>
        <v>203.82795126632891</v>
      </c>
      <c r="AN53" s="1650">
        <f t="shared" ca="1" si="35"/>
        <v>203.09853123115198</v>
      </c>
      <c r="AO53" s="1650">
        <f t="shared" ca="1" si="35"/>
        <v>214.95313599286706</v>
      </c>
      <c r="AP53" s="1650">
        <f t="shared" ca="1" si="35"/>
        <v>231.17933823056728</v>
      </c>
      <c r="AQ53" s="1650">
        <f t="shared" ca="1" si="35"/>
        <v>236.17328924503863</v>
      </c>
      <c r="AR53" s="1650">
        <f t="shared" ca="1" si="35"/>
        <v>244.22590541218113</v>
      </c>
      <c r="AS53" s="1650">
        <f t="shared" ca="1" si="35"/>
        <v>264.85962860487666</v>
      </c>
      <c r="AT53" s="1650">
        <f t="shared" ca="1" si="35"/>
        <v>273.83616171185082</v>
      </c>
      <c r="AU53" s="1650">
        <f t="shared" ca="1" si="35"/>
        <v>284.63158701642425</v>
      </c>
      <c r="AV53" s="1650">
        <f t="shared" ca="1" si="35"/>
        <v>301.78011603817652</v>
      </c>
      <c r="AW53" s="1650">
        <f t="shared" ca="1" si="35"/>
        <v>312.52603413060098</v>
      </c>
      <c r="AX53" s="1650">
        <f t="shared" ca="1" si="35"/>
        <v>0</v>
      </c>
      <c r="AY53" s="1650"/>
      <c r="AZ53" s="1650"/>
      <c r="BA53" s="1650"/>
      <c r="BB53" s="1650"/>
    </row>
    <row r="54" spans="1:185" ht="17.100000000000001" customHeight="1">
      <c r="B54" s="307"/>
      <c r="C54" s="1652"/>
      <c r="D54" s="331" t="s">
        <v>1368</v>
      </c>
      <c r="E54" s="742"/>
      <c r="F54" s="1670"/>
      <c r="G54" s="1670"/>
      <c r="H54" s="1670"/>
      <c r="I54" s="1609">
        <v>0</v>
      </c>
      <c r="J54" s="1610">
        <f t="shared" ref="J54:AX54" si="36">J203*(K$4&gt;0)</f>
        <v>0</v>
      </c>
      <c r="K54" s="1204">
        <f t="shared" si="36"/>
        <v>0</v>
      </c>
      <c r="L54" s="1204">
        <f t="shared" si="36"/>
        <v>0</v>
      </c>
      <c r="M54" s="1204">
        <f t="shared" ca="1" si="36"/>
        <v>0</v>
      </c>
      <c r="N54" s="1204">
        <f t="shared" ca="1" si="36"/>
        <v>0</v>
      </c>
      <c r="O54" s="1611">
        <f t="shared" ca="1" si="36"/>
        <v>0</v>
      </c>
      <c r="P54" s="1204">
        <f t="shared" ca="1" si="36"/>
        <v>0</v>
      </c>
      <c r="Q54" s="1204">
        <f t="shared" ca="1" si="36"/>
        <v>0.58379567439345004</v>
      </c>
      <c r="R54" s="1204">
        <f t="shared" ca="1" si="36"/>
        <v>1.2398260415846702</v>
      </c>
      <c r="S54" s="1204">
        <f t="shared" ca="1" si="36"/>
        <v>3.0086088096620589</v>
      </c>
      <c r="T54" s="1204">
        <f t="shared" ca="1" si="36"/>
        <v>6.1145673899008539</v>
      </c>
      <c r="U54" s="1204">
        <f t="shared" ca="1" si="36"/>
        <v>7.6902810753730169</v>
      </c>
      <c r="V54" s="1204">
        <f t="shared" ca="1" si="36"/>
        <v>10.554526557432473</v>
      </c>
      <c r="W54" s="1204">
        <f t="shared" ca="1" si="36"/>
        <v>13.058605047089902</v>
      </c>
      <c r="X54" s="1204">
        <f t="shared" ca="1" si="36"/>
        <v>15.719439113189459</v>
      </c>
      <c r="Y54" s="1204">
        <f t="shared" ca="1" si="36"/>
        <v>19.009708589458391</v>
      </c>
      <c r="Z54" s="1204">
        <f t="shared" ca="1" si="36"/>
        <v>22.257618497859344</v>
      </c>
      <c r="AA54" s="1204">
        <f t="shared" ca="1" si="36"/>
        <v>25.662629913683727</v>
      </c>
      <c r="AB54" s="1204">
        <f t="shared" ca="1" si="36"/>
        <v>31.244196768239998</v>
      </c>
      <c r="AC54" s="1204">
        <f t="shared" ca="1" si="36"/>
        <v>36.983828415099985</v>
      </c>
      <c r="AD54" s="1204">
        <f t="shared" ca="1" si="36"/>
        <v>44.076903252272913</v>
      </c>
      <c r="AE54" s="1204">
        <f t="shared" ca="1" si="36"/>
        <v>51.415434017386367</v>
      </c>
      <c r="AF54" s="1204">
        <f t="shared" ca="1" si="36"/>
        <v>59.935945121252495</v>
      </c>
      <c r="AG54" s="1204">
        <f t="shared" ca="1" si="36"/>
        <v>68.743213826708626</v>
      </c>
      <c r="AH54" s="1204">
        <f t="shared" ca="1" si="36"/>
        <v>78.757123264350568</v>
      </c>
      <c r="AI54" s="1204">
        <f t="shared" ca="1" si="36"/>
        <v>89.998054437229015</v>
      </c>
      <c r="AJ54" s="1204">
        <f t="shared" ca="1" si="36"/>
        <v>100.8361553773762</v>
      </c>
      <c r="AK54" s="1204">
        <f t="shared" ca="1" si="36"/>
        <v>111.33122221057651</v>
      </c>
      <c r="AL54" s="1204">
        <f t="shared" ca="1" si="36"/>
        <v>120.73013629811722</v>
      </c>
      <c r="AM54" s="1204">
        <f t="shared" ca="1" si="36"/>
        <v>126.90031023721045</v>
      </c>
      <c r="AN54" s="1204">
        <f t="shared" ca="1" si="36"/>
        <v>133.89373214894849</v>
      </c>
      <c r="AO54" s="1204">
        <f t="shared" ca="1" si="36"/>
        <v>140.18507752005789</v>
      </c>
      <c r="AP54" s="1204">
        <f t="shared" ca="1" si="36"/>
        <v>146.98217374485873</v>
      </c>
      <c r="AQ54" s="1204">
        <f t="shared" ca="1" si="36"/>
        <v>154.63646142537769</v>
      </c>
      <c r="AR54" s="1204">
        <f t="shared" ca="1" si="36"/>
        <v>162.04890031807415</v>
      </c>
      <c r="AS54" s="1204">
        <f t="shared" ca="1" si="36"/>
        <v>169.51953714481115</v>
      </c>
      <c r="AT54" s="1204">
        <f t="shared" ca="1" si="36"/>
        <v>178.18681818663529</v>
      </c>
      <c r="AU54" s="1204">
        <f t="shared" ca="1" si="36"/>
        <v>186.88221305256397</v>
      </c>
      <c r="AV54" s="1204">
        <f t="shared" ca="1" si="36"/>
        <v>195.76851977655127</v>
      </c>
      <c r="AW54" s="1204">
        <f t="shared" ca="1" si="36"/>
        <v>205.40593761851721</v>
      </c>
      <c r="AX54" s="1204">
        <f t="shared" ca="1" si="36"/>
        <v>0</v>
      </c>
      <c r="AY54" s="1204"/>
      <c r="AZ54" s="1204"/>
      <c r="BA54" s="1204"/>
      <c r="BB54" s="1204"/>
    </row>
    <row r="55" spans="1:185" ht="17.100000000000001" customHeight="1">
      <c r="B55" s="952"/>
      <c r="C55" s="1654"/>
      <c r="D55" s="331" t="s">
        <v>1369</v>
      </c>
      <c r="E55" s="742"/>
      <c r="F55" s="1672">
        <v>-787.11168541999996</v>
      </c>
      <c r="G55" s="1672">
        <v>-683.99646022000002</v>
      </c>
      <c r="H55" s="1672">
        <v>-591.99850833000005</v>
      </c>
      <c r="I55" s="1673">
        <v>-501.90986641000001</v>
      </c>
      <c r="J55" s="1673">
        <f ca="1">J219*(K$4&gt;0)</f>
        <v>-432.98638123581247</v>
      </c>
      <c r="K55" s="1674">
        <f>K219*(L$4&gt;0)</f>
        <v>-368.09849706</v>
      </c>
      <c r="L55" s="1674">
        <f ca="1">L219*(M$4&gt;0)</f>
        <v>-299.31478533484682</v>
      </c>
      <c r="M55" s="1674">
        <f t="shared" ref="M55:AW55" ca="1" si="37">M219-M226</f>
        <v>-227.29039458078276</v>
      </c>
      <c r="N55" s="1674">
        <f t="shared" ca="1" si="37"/>
        <v>-134.88328128494217</v>
      </c>
      <c r="O55" s="1674">
        <f t="shared" ca="1" si="37"/>
        <v>-30.855006638396588</v>
      </c>
      <c r="P55" s="1674">
        <f t="shared" ca="1" si="37"/>
        <v>7.5523320849946174</v>
      </c>
      <c r="Q55" s="1674">
        <f t="shared" ca="1" si="37"/>
        <v>8.3469137057700884</v>
      </c>
      <c r="R55" s="1674">
        <f t="shared" ca="1" si="37"/>
        <v>20.587190115517945</v>
      </c>
      <c r="S55" s="1674">
        <f t="shared" ca="1" si="37"/>
        <v>34.165544382626749</v>
      </c>
      <c r="T55" s="1674">
        <f t="shared" ca="1" si="37"/>
        <v>17.332850540193792</v>
      </c>
      <c r="U55" s="1674">
        <f t="shared" ca="1" si="37"/>
        <v>31.506700302654011</v>
      </c>
      <c r="V55" s="1674">
        <f t="shared" ca="1" si="37"/>
        <v>27.544863386231718</v>
      </c>
      <c r="W55" s="1674">
        <f t="shared" ca="1" si="37"/>
        <v>29.269174727095123</v>
      </c>
      <c r="X55" s="1674">
        <f t="shared" ca="1" si="37"/>
        <v>36.192964238958254</v>
      </c>
      <c r="Y55" s="1674">
        <f t="shared" ca="1" si="37"/>
        <v>42.687194963674827</v>
      </c>
      <c r="Z55" s="1674">
        <f t="shared" ca="1" si="37"/>
        <v>58.79785810380077</v>
      </c>
      <c r="AA55" s="1674">
        <f t="shared" ca="1" si="37"/>
        <v>86.308300762477927</v>
      </c>
      <c r="AB55" s="1674">
        <f t="shared" ca="1" si="37"/>
        <v>106.97562102476115</v>
      </c>
      <c r="AC55" s="1674">
        <f t="shared" ca="1" si="37"/>
        <v>123.94382320890224</v>
      </c>
      <c r="AD55" s="1674">
        <f t="shared" ca="1" si="37"/>
        <v>126.64383841624799</v>
      </c>
      <c r="AE55" s="1674">
        <f t="shared" ca="1" si="37"/>
        <v>139.64562214252743</v>
      </c>
      <c r="AF55" s="1674">
        <f t="shared" ca="1" si="37"/>
        <v>142.79995576001744</v>
      </c>
      <c r="AG55" s="1674">
        <f t="shared" ca="1" si="37"/>
        <v>156.07300381406131</v>
      </c>
      <c r="AH55" s="1674">
        <f t="shared" ca="1" si="37"/>
        <v>169.57024290166294</v>
      </c>
      <c r="AI55" s="1674">
        <f t="shared" ca="1" si="37"/>
        <v>165.13911034161904</v>
      </c>
      <c r="AJ55" s="1674">
        <f t="shared" ca="1" si="37"/>
        <v>146.53323934888169</v>
      </c>
      <c r="AK55" s="1674">
        <f t="shared" ca="1" si="37"/>
        <v>103.38805496294775</v>
      </c>
      <c r="AL55" s="1674">
        <f t="shared" ca="1" si="37"/>
        <v>67.87191333002562</v>
      </c>
      <c r="AM55" s="1674">
        <f t="shared" ca="1" si="37"/>
        <v>76.927641029118462</v>
      </c>
      <c r="AN55" s="1674">
        <f t="shared" ca="1" si="37"/>
        <v>69.204799082203508</v>
      </c>
      <c r="AO55" s="1674">
        <f t="shared" ca="1" si="37"/>
        <v>74.768058472809173</v>
      </c>
      <c r="AP55" s="1674">
        <f t="shared" ca="1" si="37"/>
        <v>84.197164485708569</v>
      </c>
      <c r="AQ55" s="1674">
        <f t="shared" ca="1" si="37"/>
        <v>81.536827819660957</v>
      </c>
      <c r="AR55" s="1674">
        <f t="shared" ca="1" si="37"/>
        <v>82.177005094106988</v>
      </c>
      <c r="AS55" s="1674">
        <f t="shared" ca="1" si="37"/>
        <v>95.34009146006548</v>
      </c>
      <c r="AT55" s="1674">
        <f t="shared" ca="1" si="37"/>
        <v>95.649343525215514</v>
      </c>
      <c r="AU55" s="1674">
        <f t="shared" ca="1" si="37"/>
        <v>97.749373963860293</v>
      </c>
      <c r="AV55" s="1674">
        <f t="shared" ca="1" si="37"/>
        <v>106.01159626162521</v>
      </c>
      <c r="AW55" s="1674">
        <f t="shared" ca="1" si="37"/>
        <v>107.12009651208376</v>
      </c>
      <c r="AX55" s="1675">
        <f ca="1">AX219*(AY$4&gt;0)</f>
        <v>0</v>
      </c>
      <c r="AY55" s="1204"/>
      <c r="AZ55" s="1204"/>
      <c r="BA55" s="1204"/>
      <c r="BB55" s="1204"/>
    </row>
    <row r="56" spans="1:185" ht="17.100000000000001" customHeight="1">
      <c r="B56" s="930"/>
      <c r="C56" s="758" t="s">
        <v>1370</v>
      </c>
      <c r="D56" s="931"/>
      <c r="E56" s="771"/>
      <c r="F56" s="1676">
        <f>SUM(F44,F48,F51,F53)</f>
        <v>-41.619818280000004</v>
      </c>
      <c r="G56" s="1676">
        <f>SUM(G44,G48,G51,G53)</f>
        <v>61.495406919999937</v>
      </c>
      <c r="H56" s="1676">
        <f>SUM(H44,H48,H51,H53)</f>
        <v>153.4933588099999</v>
      </c>
      <c r="I56" s="1622">
        <f>SUM(I44,I48,I51,I53)</f>
        <v>226.60991722000045</v>
      </c>
      <c r="J56" s="1623">
        <f ca="1">SUM(J44,J48,J51,J53)</f>
        <v>295.53340239418799</v>
      </c>
      <c r="K56" s="938">
        <f t="shared" ref="K56:AX56" si="38">SUM(K44,K48,K51,K53)</f>
        <v>377.39337007999995</v>
      </c>
      <c r="L56" s="938">
        <f t="shared" ca="1" si="38"/>
        <v>446.17708180515314</v>
      </c>
      <c r="M56" s="938">
        <f t="shared" ca="1" si="38"/>
        <v>518.20147255921722</v>
      </c>
      <c r="N56" s="938">
        <f t="shared" ca="1" si="38"/>
        <v>610.60858585505775</v>
      </c>
      <c r="O56" s="938">
        <f t="shared" ca="1" si="38"/>
        <v>714.63686050160334</v>
      </c>
      <c r="P56" s="938">
        <f t="shared" ca="1" si="38"/>
        <v>753.0441992249946</v>
      </c>
      <c r="Q56" s="938">
        <f t="shared" ca="1" si="38"/>
        <v>755.55315618683017</v>
      </c>
      <c r="R56" s="938">
        <f t="shared" ca="1" si="38"/>
        <v>769.58004263043597</v>
      </c>
      <c r="S56" s="938">
        <f t="shared" ca="1" si="38"/>
        <v>786.05775933228881</v>
      </c>
      <c r="T56" s="938">
        <f t="shared" ca="1" si="38"/>
        <v>772.3310240700946</v>
      </c>
      <c r="U56" s="938">
        <f t="shared" ca="1" si="38"/>
        <v>788.08058751802696</v>
      </c>
      <c r="V56" s="938">
        <f t="shared" ca="1" si="38"/>
        <v>786.98299608366415</v>
      </c>
      <c r="W56" s="938">
        <f t="shared" ca="1" si="38"/>
        <v>791.21138591418503</v>
      </c>
      <c r="X56" s="938">
        <f t="shared" ca="1" si="38"/>
        <v>800.79600949214773</v>
      </c>
      <c r="Y56" s="938">
        <f t="shared" ca="1" si="38"/>
        <v>810.58050969313319</v>
      </c>
      <c r="Z56" s="938">
        <f t="shared" ca="1" si="38"/>
        <v>829.93908274166006</v>
      </c>
      <c r="AA56" s="938">
        <f t="shared" ca="1" si="38"/>
        <v>860.85453681616161</v>
      </c>
      <c r="AB56" s="938">
        <f t="shared" ca="1" si="38"/>
        <v>887.10342393300107</v>
      </c>
      <c r="AC56" s="938">
        <f t="shared" ca="1" si="38"/>
        <v>909.81125776400222</v>
      </c>
      <c r="AD56" s="938">
        <f t="shared" ca="1" si="38"/>
        <v>919.60434780852086</v>
      </c>
      <c r="AE56" s="938">
        <f t="shared" ca="1" si="38"/>
        <v>939.94466229991372</v>
      </c>
      <c r="AF56" s="938">
        <f t="shared" ca="1" si="38"/>
        <v>951.6195070212699</v>
      </c>
      <c r="AG56" s="938">
        <f t="shared" ca="1" si="38"/>
        <v>973.69982378076998</v>
      </c>
      <c r="AH56" s="938">
        <f t="shared" ca="1" si="38"/>
        <v>997.21097230601345</v>
      </c>
      <c r="AI56" s="938">
        <f t="shared" ca="1" si="38"/>
        <v>1004.020770918848</v>
      </c>
      <c r="AJ56" s="938">
        <f t="shared" ca="1" si="38"/>
        <v>996.25300086625793</v>
      </c>
      <c r="AK56" s="938">
        <f t="shared" ca="1" si="38"/>
        <v>963.60288331352422</v>
      </c>
      <c r="AL56" s="938">
        <f t="shared" ca="1" si="38"/>
        <v>937.48565576814281</v>
      </c>
      <c r="AM56" s="938">
        <f t="shared" ca="1" si="38"/>
        <v>952.71155740632889</v>
      </c>
      <c r="AN56" s="938">
        <f t="shared" ca="1" si="38"/>
        <v>951.98213737115202</v>
      </c>
      <c r="AO56" s="938">
        <f t="shared" ca="1" si="38"/>
        <v>963.83674213286702</v>
      </c>
      <c r="AP56" s="938">
        <f t="shared" ca="1" si="38"/>
        <v>980.06294437056727</v>
      </c>
      <c r="AQ56" s="938">
        <f t="shared" ca="1" si="38"/>
        <v>985.05689538503862</v>
      </c>
      <c r="AR56" s="938">
        <f t="shared" ca="1" si="38"/>
        <v>993.10951155218117</v>
      </c>
      <c r="AS56" s="938">
        <f t="shared" ca="1" si="38"/>
        <v>1013.7432347448766</v>
      </c>
      <c r="AT56" s="938">
        <f t="shared" ca="1" si="38"/>
        <v>1022.7197678518507</v>
      </c>
      <c r="AU56" s="938">
        <f t="shared" ca="1" si="38"/>
        <v>1033.5151931564242</v>
      </c>
      <c r="AV56" s="938">
        <f t="shared" ca="1" si="38"/>
        <v>1050.6637221781766</v>
      </c>
      <c r="AW56" s="938">
        <f t="shared" ca="1" si="38"/>
        <v>1061.4096402706009</v>
      </c>
      <c r="AX56" s="938">
        <f t="shared" ca="1" si="38"/>
        <v>0</v>
      </c>
      <c r="AY56" s="938"/>
      <c r="AZ56" s="938"/>
      <c r="BA56" s="938"/>
      <c r="BB56" s="938"/>
    </row>
    <row r="57" spans="1:185" s="414" customFormat="1" ht="17.100000000000001" customHeight="1">
      <c r="B57" s="1640"/>
      <c r="C57" s="1641" t="s">
        <v>1371</v>
      </c>
      <c r="D57" s="1642"/>
      <c r="E57" s="1643"/>
      <c r="F57" s="1644">
        <f t="shared" ref="F57:AX57" si="39">F43+F56</f>
        <v>1883.8153537500002</v>
      </c>
      <c r="G57" s="1644">
        <f t="shared" si="39"/>
        <v>1802.2962502</v>
      </c>
      <c r="H57" s="1644">
        <f t="shared" si="39"/>
        <v>1745.3483827</v>
      </c>
      <c r="I57" s="1644">
        <f t="shared" si="39"/>
        <v>1665.9992597200001</v>
      </c>
      <c r="J57" s="1645">
        <f t="shared" ca="1" si="39"/>
        <v>1601.6083989791878</v>
      </c>
      <c r="K57" s="1646">
        <f t="shared" si="39"/>
        <v>1527.2568338399997</v>
      </c>
      <c r="L57" s="1646">
        <f t="shared" ca="1" si="39"/>
        <v>1492.3076103862988</v>
      </c>
      <c r="M57" s="1646">
        <f t="shared" ca="1" si="39"/>
        <v>1524.4233352523897</v>
      </c>
      <c r="N57" s="1646">
        <f t="shared" ca="1" si="39"/>
        <v>1454.8164930426092</v>
      </c>
      <c r="O57" s="1646">
        <f t="shared" ca="1" si="39"/>
        <v>1415.7572318765269</v>
      </c>
      <c r="P57" s="1646">
        <f t="shared" ca="1" si="39"/>
        <v>1380.0454513494697</v>
      </c>
      <c r="Q57" s="1646">
        <f t="shared" ca="1" si="39"/>
        <v>1341.7452439856688</v>
      </c>
      <c r="R57" s="1646">
        <f t="shared" ca="1" si="39"/>
        <v>1320.3369097237633</v>
      </c>
      <c r="S57" s="1646">
        <f t="shared" ca="1" si="39"/>
        <v>1296.6439198074718</v>
      </c>
      <c r="T57" s="1646">
        <f t="shared" ca="1" si="39"/>
        <v>1252.1089341345851</v>
      </c>
      <c r="U57" s="1646">
        <f t="shared" ca="1" si="39"/>
        <v>1272.259964952988</v>
      </c>
      <c r="V57" s="1646">
        <f t="shared" ca="1" si="39"/>
        <v>1267.945816887868</v>
      </c>
      <c r="W57" s="1646">
        <f t="shared" ca="1" si="39"/>
        <v>1273.2192715335125</v>
      </c>
      <c r="X57" s="1646">
        <f t="shared" ca="1" si="39"/>
        <v>1284.5135867077765</v>
      </c>
      <c r="Y57" s="1646">
        <f t="shared" ca="1" si="39"/>
        <v>1286.2300457798574</v>
      </c>
      <c r="Z57" s="1646">
        <f t="shared" ca="1" si="39"/>
        <v>1282.8358855865981</v>
      </c>
      <c r="AA57" s="1646">
        <f t="shared" ca="1" si="39"/>
        <v>1292.2744176761316</v>
      </c>
      <c r="AB57" s="1646">
        <f t="shared" ca="1" si="39"/>
        <v>1272.8194415554879</v>
      </c>
      <c r="AC57" s="1646">
        <f t="shared" ca="1" si="39"/>
        <v>1248.7256049674268</v>
      </c>
      <c r="AD57" s="1646">
        <f t="shared" ca="1" si="39"/>
        <v>1213.3433257241854</v>
      </c>
      <c r="AE57" s="1646">
        <f t="shared" ca="1" si="39"/>
        <v>1191.3434180706429</v>
      </c>
      <c r="AF57" s="1646">
        <f t="shared" ca="1" si="39"/>
        <v>1156.1543617483542</v>
      </c>
      <c r="AG57" s="1646">
        <f t="shared" ca="1" si="39"/>
        <v>1135.6135168078104</v>
      </c>
      <c r="AH57" s="1646">
        <f t="shared" ca="1" si="39"/>
        <v>1110.847868713799</v>
      </c>
      <c r="AI57" s="1646">
        <f t="shared" ca="1" si="39"/>
        <v>1072.1299899266655</v>
      </c>
      <c r="AJ57" s="1646">
        <f t="shared" ca="1" si="39"/>
        <v>1035.0277275280414</v>
      </c>
      <c r="AK57" s="1646">
        <f t="shared" ca="1" si="39"/>
        <v>1002.2462833633537</v>
      </c>
      <c r="AL57" s="1646">
        <f t="shared" ca="1" si="39"/>
        <v>974.48863279697116</v>
      </c>
      <c r="AM57" s="1646">
        <f t="shared" ca="1" si="39"/>
        <v>992.8932654777434</v>
      </c>
      <c r="AN57" s="1646">
        <f t="shared" ca="1" si="39"/>
        <v>988.70851816664162</v>
      </c>
      <c r="AO57" s="1646">
        <f t="shared" ca="1" si="39"/>
        <v>1003.2213661079642</v>
      </c>
      <c r="AP57" s="1646">
        <f t="shared" ca="1" si="39"/>
        <v>1021.3224975634481</v>
      </c>
      <c r="AQ57" s="1646">
        <f t="shared" ca="1" si="39"/>
        <v>1024.2363514908047</v>
      </c>
      <c r="AR57" s="1646">
        <f t="shared" ca="1" si="39"/>
        <v>1032.8447061626184</v>
      </c>
      <c r="AS57" s="1646">
        <f t="shared" ca="1" si="39"/>
        <v>1057.1008133300854</v>
      </c>
      <c r="AT57" s="1646">
        <f t="shared" ca="1" si="39"/>
        <v>1064.3082386858769</v>
      </c>
      <c r="AU57" s="1646">
        <f t="shared" ca="1" si="39"/>
        <v>1075.6523677972905</v>
      </c>
      <c r="AV57" s="1646">
        <f t="shared" ca="1" si="39"/>
        <v>1094.835109071937</v>
      </c>
      <c r="AW57" s="1646">
        <f t="shared" ca="1" si="39"/>
        <v>1104.7284958853186</v>
      </c>
      <c r="AX57" s="1646">
        <f t="shared" ca="1" si="39"/>
        <v>0</v>
      </c>
      <c r="AY57" s="1646"/>
      <c r="AZ57" s="1646"/>
      <c r="BA57" s="1646"/>
      <c r="BB57" s="1646"/>
      <c r="BC57" s="302"/>
      <c r="BD57" s="302"/>
      <c r="BE57" s="302"/>
      <c r="BF57" s="302"/>
      <c r="BG57" s="302"/>
      <c r="BH57" s="302"/>
    </row>
    <row r="58" spans="1:185" ht="17.100000000000001" customHeight="1">
      <c r="A58" s="1677"/>
      <c r="B58" s="1677"/>
      <c r="C58" s="1677"/>
      <c r="D58" s="1678">
        <f ca="1">SUM(F58:AZ58)</f>
        <v>0</v>
      </c>
      <c r="E58" s="1679"/>
      <c r="F58" s="1678">
        <f>ROUND(F29-F57,5)</f>
        <v>0</v>
      </c>
      <c r="G58" s="1678">
        <v>0</v>
      </c>
      <c r="H58" s="1678">
        <v>0</v>
      </c>
      <c r="I58" s="1678">
        <f>ROUND(I29-I57,5)</f>
        <v>0</v>
      </c>
      <c r="J58" s="1680">
        <f ca="1">ROUND(J29-J57,5)</f>
        <v>0</v>
      </c>
      <c r="K58" s="1681">
        <f>ROUND(K29-K57,5)</f>
        <v>0</v>
      </c>
      <c r="L58" s="1682">
        <f t="shared" ref="L58:AX58" ca="1" si="40">ROUND(L29-L57,5)</f>
        <v>0</v>
      </c>
      <c r="M58" s="1682">
        <f ca="1">ROUND(M29-M57,5)</f>
        <v>0</v>
      </c>
      <c r="N58" s="1682">
        <f t="shared" ca="1" si="40"/>
        <v>0</v>
      </c>
      <c r="O58" s="1682">
        <f t="shared" ca="1" si="40"/>
        <v>0</v>
      </c>
      <c r="P58" s="1682">
        <f t="shared" ca="1" si="40"/>
        <v>0</v>
      </c>
      <c r="Q58" s="1682">
        <f t="shared" ca="1" si="40"/>
        <v>0</v>
      </c>
      <c r="R58" s="1682">
        <f t="shared" ca="1" si="40"/>
        <v>0</v>
      </c>
      <c r="S58" s="1682">
        <f t="shared" ca="1" si="40"/>
        <v>0</v>
      </c>
      <c r="T58" s="1682">
        <f t="shared" ca="1" si="40"/>
        <v>0</v>
      </c>
      <c r="U58" s="1682">
        <f t="shared" ca="1" si="40"/>
        <v>0</v>
      </c>
      <c r="V58" s="1682">
        <f t="shared" ca="1" si="40"/>
        <v>0</v>
      </c>
      <c r="W58" s="1682">
        <f t="shared" ca="1" si="40"/>
        <v>0</v>
      </c>
      <c r="X58" s="1682">
        <f t="shared" ca="1" si="40"/>
        <v>0</v>
      </c>
      <c r="Y58" s="1682">
        <f t="shared" ca="1" si="40"/>
        <v>0</v>
      </c>
      <c r="Z58" s="1682">
        <f t="shared" ca="1" si="40"/>
        <v>0</v>
      </c>
      <c r="AA58" s="1682">
        <f t="shared" ca="1" si="40"/>
        <v>0</v>
      </c>
      <c r="AB58" s="1682">
        <f t="shared" ca="1" si="40"/>
        <v>0</v>
      </c>
      <c r="AC58" s="1681">
        <f t="shared" ca="1" si="40"/>
        <v>0</v>
      </c>
      <c r="AD58" s="1682">
        <f t="shared" ca="1" si="40"/>
        <v>0</v>
      </c>
      <c r="AE58" s="1682">
        <f t="shared" ca="1" si="40"/>
        <v>0</v>
      </c>
      <c r="AF58" s="1682">
        <f t="shared" ca="1" si="40"/>
        <v>0</v>
      </c>
      <c r="AG58" s="1682">
        <f t="shared" ca="1" si="40"/>
        <v>0</v>
      </c>
      <c r="AH58" s="1682">
        <f t="shared" ca="1" si="40"/>
        <v>0</v>
      </c>
      <c r="AI58" s="1682">
        <f t="shared" ca="1" si="40"/>
        <v>0</v>
      </c>
      <c r="AJ58" s="1682">
        <f t="shared" ca="1" si="40"/>
        <v>0</v>
      </c>
      <c r="AK58" s="1682">
        <f t="shared" ca="1" si="40"/>
        <v>0</v>
      </c>
      <c r="AL58" s="1681">
        <f t="shared" ca="1" si="40"/>
        <v>0</v>
      </c>
      <c r="AM58" s="1682">
        <f t="shared" ca="1" si="40"/>
        <v>0</v>
      </c>
      <c r="AN58" s="1682">
        <f t="shared" ca="1" si="40"/>
        <v>0</v>
      </c>
      <c r="AO58" s="1682">
        <f t="shared" ca="1" si="40"/>
        <v>0</v>
      </c>
      <c r="AP58" s="1682">
        <f t="shared" ca="1" si="40"/>
        <v>0</v>
      </c>
      <c r="AQ58" s="1682">
        <f t="shared" ca="1" si="40"/>
        <v>0</v>
      </c>
      <c r="AR58" s="1682">
        <f t="shared" ca="1" si="40"/>
        <v>0</v>
      </c>
      <c r="AS58" s="1682">
        <f t="shared" ca="1" si="40"/>
        <v>0</v>
      </c>
      <c r="AT58" s="1682">
        <f t="shared" ca="1" si="40"/>
        <v>0</v>
      </c>
      <c r="AU58" s="1682">
        <f t="shared" ca="1" si="40"/>
        <v>0</v>
      </c>
      <c r="AV58" s="1682">
        <f t="shared" ca="1" si="40"/>
        <v>0</v>
      </c>
      <c r="AW58" s="1682">
        <f t="shared" ca="1" si="40"/>
        <v>0</v>
      </c>
      <c r="AX58" s="1678">
        <f t="shared" ca="1" si="40"/>
        <v>0</v>
      </c>
      <c r="AY58" s="1683"/>
      <c r="AZ58" s="1683"/>
      <c r="BA58" s="1683"/>
      <c r="BB58" s="1683"/>
    </row>
    <row r="59" spans="1:185" ht="17.100000000000001" customHeight="1">
      <c r="I59" s="1357"/>
      <c r="J59" s="646"/>
      <c r="K59" s="715"/>
      <c r="L59" s="703">
        <f t="shared" ref="L59:Z59" ca="1" si="41">L58-K58</f>
        <v>0</v>
      </c>
      <c r="M59" s="714">
        <f t="shared" ca="1" si="41"/>
        <v>0</v>
      </c>
      <c r="N59" s="714">
        <f t="shared" ca="1" si="41"/>
        <v>0</v>
      </c>
      <c r="O59" s="714">
        <f t="shared" ca="1" si="41"/>
        <v>0</v>
      </c>
      <c r="P59" s="714">
        <f t="shared" ca="1" si="41"/>
        <v>0</v>
      </c>
      <c r="Q59" s="714">
        <f t="shared" ca="1" si="41"/>
        <v>0</v>
      </c>
      <c r="R59" s="714">
        <f t="shared" ca="1" si="41"/>
        <v>0</v>
      </c>
      <c r="S59" s="714">
        <f t="shared" ca="1" si="41"/>
        <v>0</v>
      </c>
      <c r="T59" s="714">
        <f t="shared" ca="1" si="41"/>
        <v>0</v>
      </c>
      <c r="U59" s="714">
        <f t="shared" ca="1" si="41"/>
        <v>0</v>
      </c>
      <c r="V59" s="714">
        <f t="shared" ca="1" si="41"/>
        <v>0</v>
      </c>
      <c r="W59" s="714">
        <f t="shared" ca="1" si="41"/>
        <v>0</v>
      </c>
      <c r="X59" s="714">
        <f t="shared" ca="1" si="41"/>
        <v>0</v>
      </c>
      <c r="Y59" s="714">
        <f t="shared" ca="1" si="41"/>
        <v>0</v>
      </c>
      <c r="Z59" s="714">
        <f t="shared" ca="1" si="41"/>
        <v>0</v>
      </c>
      <c r="AA59" s="714"/>
      <c r="AB59" s="714"/>
      <c r="AC59" s="923"/>
      <c r="AD59" s="652"/>
      <c r="AE59" s="923"/>
      <c r="AF59" s="923"/>
      <c r="AG59" s="923"/>
      <c r="AH59" s="923"/>
      <c r="AI59" s="923"/>
      <c r="AJ59" s="923"/>
      <c r="AK59" s="923"/>
      <c r="AL59" s="923"/>
      <c r="AM59" s="923"/>
      <c r="AN59" s="923"/>
      <c r="AO59" s="923"/>
      <c r="AP59" s="923"/>
      <c r="AQ59" s="923"/>
      <c r="AR59" s="923"/>
      <c r="AS59" s="923"/>
      <c r="AT59" s="923"/>
      <c r="AU59" s="923"/>
      <c r="AV59" s="923"/>
      <c r="AW59" s="923"/>
      <c r="AX59" s="653"/>
      <c r="AY59" s="653"/>
      <c r="AZ59" s="653"/>
      <c r="BA59" s="653"/>
      <c r="BB59" s="653"/>
    </row>
    <row r="60" spans="1:185" ht="17.100000000000001" customHeight="1">
      <c r="B60" s="414" t="s">
        <v>1372</v>
      </c>
      <c r="C60" s="414"/>
      <c r="D60" s="414"/>
      <c r="E60" s="495"/>
      <c r="F60" s="495"/>
      <c r="G60" s="495"/>
      <c r="H60" s="495"/>
    </row>
    <row r="62" spans="1:185" ht="17.100000000000001" customHeight="1">
      <c r="C62" s="302" t="s">
        <v>644</v>
      </c>
      <c r="AQ62" s="401"/>
      <c r="AT62" s="401"/>
      <c r="AU62" s="401"/>
      <c r="AV62" s="401"/>
      <c r="AW62" s="401"/>
      <c r="AX62" s="401"/>
      <c r="AY62" s="401"/>
      <c r="AZ62" s="401"/>
      <c r="BA62" s="401"/>
      <c r="BB62" s="401"/>
      <c r="BC62" s="401"/>
      <c r="BD62" s="401"/>
      <c r="BE62" s="401"/>
      <c r="BF62" s="401"/>
      <c r="BG62" s="401"/>
      <c r="BH62" s="401"/>
      <c r="BI62" s="401"/>
      <c r="BJ62" s="401"/>
      <c r="BK62" s="401"/>
      <c r="BL62" s="401"/>
      <c r="BM62" s="401"/>
      <c r="BN62" s="401"/>
      <c r="BO62" s="401"/>
      <c r="BP62" s="401"/>
      <c r="BQ62" s="401"/>
      <c r="BR62" s="401"/>
      <c r="BS62" s="401"/>
      <c r="BT62" s="401"/>
      <c r="BU62" s="401"/>
      <c r="BV62" s="401"/>
      <c r="BW62" s="401"/>
      <c r="BX62" s="401"/>
      <c r="BY62" s="401"/>
      <c r="BZ62" s="401"/>
      <c r="CA62" s="401"/>
      <c r="CB62" s="401"/>
      <c r="CC62" s="401"/>
      <c r="CD62" s="401"/>
      <c r="CE62" s="401"/>
      <c r="CF62" s="401"/>
      <c r="CG62" s="401"/>
      <c r="CH62" s="401"/>
      <c r="CI62" s="401"/>
      <c r="CJ62" s="401"/>
      <c r="CK62" s="401"/>
      <c r="CL62" s="401"/>
      <c r="CM62" s="401"/>
      <c r="CN62" s="401"/>
      <c r="CO62" s="401"/>
      <c r="CP62" s="401"/>
      <c r="CQ62" s="401"/>
      <c r="CR62" s="401"/>
      <c r="CS62" s="401"/>
      <c r="CT62" s="401"/>
      <c r="CU62" s="401"/>
      <c r="CV62" s="401"/>
      <c r="CW62" s="401"/>
      <c r="CX62" s="401"/>
      <c r="CY62" s="401"/>
      <c r="CZ62" s="401"/>
      <c r="DA62" s="401"/>
      <c r="DB62" s="401"/>
      <c r="DC62" s="401"/>
      <c r="DD62" s="401"/>
      <c r="DE62" s="401"/>
      <c r="DF62" s="401"/>
      <c r="DG62" s="401"/>
      <c r="DH62" s="401"/>
      <c r="DI62" s="401"/>
      <c r="DJ62" s="401"/>
      <c r="DK62" s="401"/>
      <c r="DL62" s="401"/>
      <c r="DM62" s="401"/>
      <c r="DN62" s="401"/>
      <c r="DO62" s="401"/>
      <c r="DP62" s="401"/>
      <c r="DQ62" s="401"/>
      <c r="DR62" s="401"/>
      <c r="DS62" s="401"/>
      <c r="DT62" s="401"/>
      <c r="DU62" s="401"/>
      <c r="DV62" s="401"/>
      <c r="DW62" s="401"/>
      <c r="DX62" s="401"/>
      <c r="DY62" s="401"/>
      <c r="DZ62" s="401"/>
      <c r="EA62" s="401"/>
      <c r="EB62" s="401"/>
      <c r="EC62" s="401"/>
      <c r="ED62" s="401"/>
      <c r="EE62" s="401"/>
      <c r="EF62" s="401"/>
      <c r="EG62" s="401"/>
      <c r="EH62" s="401"/>
      <c r="EI62" s="401"/>
      <c r="EJ62" s="401"/>
      <c r="EK62" s="401"/>
      <c r="EL62" s="401"/>
      <c r="EM62" s="401"/>
      <c r="EN62" s="401"/>
      <c r="EO62" s="401"/>
      <c r="EP62" s="401"/>
      <c r="EQ62" s="401"/>
      <c r="ER62" s="401"/>
      <c r="ES62" s="401"/>
      <c r="ET62" s="401"/>
      <c r="EU62" s="401"/>
      <c r="EV62" s="401"/>
      <c r="EW62" s="401"/>
      <c r="EX62" s="401"/>
      <c r="EY62" s="401"/>
      <c r="EZ62" s="401"/>
      <c r="FA62" s="401"/>
      <c r="FB62" s="401"/>
      <c r="FC62" s="401"/>
      <c r="FD62" s="401"/>
      <c r="FE62" s="401"/>
      <c r="FF62" s="401"/>
      <c r="FG62" s="401"/>
      <c r="FH62" s="401"/>
      <c r="FI62" s="401"/>
      <c r="FJ62" s="401"/>
      <c r="FK62" s="401"/>
      <c r="FL62" s="401"/>
      <c r="FM62" s="401"/>
      <c r="FN62" s="401"/>
      <c r="FO62" s="401"/>
      <c r="FP62" s="401"/>
      <c r="FQ62" s="401"/>
      <c r="FR62" s="401"/>
      <c r="FS62" s="401"/>
      <c r="FT62" s="401"/>
      <c r="FU62" s="401"/>
      <c r="FV62" s="401"/>
      <c r="FW62" s="401"/>
      <c r="FX62" s="401"/>
      <c r="FY62" s="401"/>
      <c r="FZ62" s="401"/>
      <c r="GA62" s="401"/>
      <c r="GB62" s="401"/>
      <c r="GC62" s="401"/>
    </row>
    <row r="63" spans="1:185" ht="17.100000000000001" customHeight="1">
      <c r="C63" s="717"/>
      <c r="D63" s="718" t="s">
        <v>780</v>
      </c>
      <c r="E63" s="719"/>
      <c r="F63" s="718"/>
      <c r="G63" s="718"/>
      <c r="H63" s="718"/>
      <c r="I63" s="1684">
        <f>J63-1</f>
        <v>2018</v>
      </c>
      <c r="J63" s="766">
        <f>$J$7</f>
        <v>2019</v>
      </c>
      <c r="K63" s="766">
        <f t="shared" ref="K63:BB63" si="42">J63+1</f>
        <v>2020</v>
      </c>
      <c r="L63" s="766">
        <f t="shared" si="42"/>
        <v>2021</v>
      </c>
      <c r="M63" s="766">
        <f t="shared" si="42"/>
        <v>2022</v>
      </c>
      <c r="N63" s="766">
        <f t="shared" si="42"/>
        <v>2023</v>
      </c>
      <c r="O63" s="766">
        <f t="shared" si="42"/>
        <v>2024</v>
      </c>
      <c r="P63" s="766">
        <f t="shared" si="42"/>
        <v>2025</v>
      </c>
      <c r="Q63" s="766">
        <f t="shared" si="42"/>
        <v>2026</v>
      </c>
      <c r="R63" s="766">
        <f t="shared" si="42"/>
        <v>2027</v>
      </c>
      <c r="S63" s="766">
        <f t="shared" si="42"/>
        <v>2028</v>
      </c>
      <c r="T63" s="766">
        <f t="shared" si="42"/>
        <v>2029</v>
      </c>
      <c r="U63" s="766">
        <f t="shared" si="42"/>
        <v>2030</v>
      </c>
      <c r="V63" s="766">
        <f t="shared" si="42"/>
        <v>2031</v>
      </c>
      <c r="W63" s="766">
        <f t="shared" si="42"/>
        <v>2032</v>
      </c>
      <c r="X63" s="766">
        <f t="shared" si="42"/>
        <v>2033</v>
      </c>
      <c r="Y63" s="766">
        <f t="shared" si="42"/>
        <v>2034</v>
      </c>
      <c r="Z63" s="766">
        <f t="shared" si="42"/>
        <v>2035</v>
      </c>
      <c r="AA63" s="766">
        <f t="shared" si="42"/>
        <v>2036</v>
      </c>
      <c r="AB63" s="766">
        <f t="shared" si="42"/>
        <v>2037</v>
      </c>
      <c r="AC63" s="766">
        <f t="shared" si="42"/>
        <v>2038</v>
      </c>
      <c r="AD63" s="766">
        <f t="shared" si="42"/>
        <v>2039</v>
      </c>
      <c r="AE63" s="766">
        <f t="shared" si="42"/>
        <v>2040</v>
      </c>
      <c r="AF63" s="766">
        <f t="shared" si="42"/>
        <v>2041</v>
      </c>
      <c r="AG63" s="766">
        <f t="shared" si="42"/>
        <v>2042</v>
      </c>
      <c r="AH63" s="766">
        <f t="shared" si="42"/>
        <v>2043</v>
      </c>
      <c r="AI63" s="766">
        <f t="shared" si="42"/>
        <v>2044</v>
      </c>
      <c r="AJ63" s="766">
        <f t="shared" si="42"/>
        <v>2045</v>
      </c>
      <c r="AK63" s="766">
        <f t="shared" si="42"/>
        <v>2046</v>
      </c>
      <c r="AL63" s="766">
        <f t="shared" si="42"/>
        <v>2047</v>
      </c>
      <c r="AM63" s="766">
        <f t="shared" si="42"/>
        <v>2048</v>
      </c>
      <c r="AN63" s="766">
        <f t="shared" si="42"/>
        <v>2049</v>
      </c>
      <c r="AO63" s="766">
        <f t="shared" si="42"/>
        <v>2050</v>
      </c>
      <c r="AP63" s="766">
        <f t="shared" si="42"/>
        <v>2051</v>
      </c>
      <c r="AQ63" s="766">
        <f t="shared" si="42"/>
        <v>2052</v>
      </c>
      <c r="AR63" s="766">
        <f t="shared" si="42"/>
        <v>2053</v>
      </c>
      <c r="AS63" s="766">
        <f t="shared" si="42"/>
        <v>2054</v>
      </c>
      <c r="AT63" s="766">
        <f t="shared" si="42"/>
        <v>2055</v>
      </c>
      <c r="AU63" s="766">
        <f t="shared" si="42"/>
        <v>2056</v>
      </c>
      <c r="AV63" s="766">
        <f t="shared" si="42"/>
        <v>2057</v>
      </c>
      <c r="AW63" s="766">
        <f t="shared" si="42"/>
        <v>2058</v>
      </c>
      <c r="AX63" s="766">
        <f t="shared" si="42"/>
        <v>2059</v>
      </c>
      <c r="AY63" s="766">
        <f t="shared" si="42"/>
        <v>2060</v>
      </c>
      <c r="AZ63" s="766">
        <f t="shared" si="42"/>
        <v>2061</v>
      </c>
      <c r="BA63" s="766">
        <f t="shared" si="42"/>
        <v>2062</v>
      </c>
      <c r="BB63" s="766">
        <f t="shared" si="42"/>
        <v>2063</v>
      </c>
    </row>
    <row r="64" spans="1:185" ht="17.100000000000001" customHeight="1">
      <c r="C64" s="720"/>
      <c r="D64" s="774" t="s">
        <v>1080</v>
      </c>
      <c r="E64" s="722"/>
      <c r="F64" s="1625"/>
      <c r="G64" s="1625"/>
      <c r="H64" s="1625"/>
      <c r="I64" s="1666"/>
      <c r="J64" s="1666">
        <f t="shared" ref="J64:BB64" si="43">I67</f>
        <v>153.81742944000001</v>
      </c>
      <c r="K64" s="1666">
        <f ca="1">K67+K66-K65</f>
        <v>-19.075164427158143</v>
      </c>
      <c r="L64" s="1360">
        <f t="shared" si="43"/>
        <v>54.096084490000003</v>
      </c>
      <c r="M64" s="1360">
        <f t="shared" ca="1" si="43"/>
        <v>7.5680049400000371</v>
      </c>
      <c r="N64" s="1360">
        <f t="shared" ca="1" si="43"/>
        <v>0</v>
      </c>
      <c r="O64" s="1360">
        <f t="shared" ca="1" si="43"/>
        <v>14.926766905465399</v>
      </c>
      <c r="P64" s="1360">
        <f t="shared" ca="1" si="43"/>
        <v>7.360085562691836</v>
      </c>
      <c r="Q64" s="1360">
        <f t="shared" ca="1" si="43"/>
        <v>0</v>
      </c>
      <c r="R64" s="1360">
        <f t="shared" ca="1" si="43"/>
        <v>0</v>
      </c>
      <c r="S64" s="1360">
        <f t="shared" ca="1" si="43"/>
        <v>21.517238126567463</v>
      </c>
      <c r="T64" s="1360">
        <f t="shared" ca="1" si="43"/>
        <v>45.297618743233613</v>
      </c>
      <c r="U64" s="1360">
        <f t="shared" ca="1" si="43"/>
        <v>31.69107888342711</v>
      </c>
      <c r="V64" s="1360">
        <f t="shared" ca="1" si="43"/>
        <v>75.701666940570249</v>
      </c>
      <c r="W64" s="1360">
        <f t="shared" ca="1" si="43"/>
        <v>81.295871253783048</v>
      </c>
      <c r="X64" s="1360">
        <f t="shared" ca="1" si="43"/>
        <v>109.17991588362491</v>
      </c>
      <c r="Y64" s="1360">
        <f t="shared" ca="1" si="43"/>
        <v>173.40020762501484</v>
      </c>
      <c r="Z64" s="1360">
        <f t="shared" ca="1" si="43"/>
        <v>196.5084448247145</v>
      </c>
      <c r="AA64" s="1360">
        <f t="shared" ca="1" si="43"/>
        <v>207.15284251572615</v>
      </c>
      <c r="AB64" s="1360">
        <f t="shared" ca="1" si="43"/>
        <v>217.08205362971029</v>
      </c>
      <c r="AC64" s="1360">
        <f t="shared" ca="1" si="43"/>
        <v>235.65535461086347</v>
      </c>
      <c r="AD64" s="1360">
        <f t="shared" ca="1" si="43"/>
        <v>216.78245164330923</v>
      </c>
      <c r="AE64" s="1360">
        <f t="shared" ca="1" si="43"/>
        <v>113.86392878454473</v>
      </c>
      <c r="AF64" s="1360">
        <f t="shared" ca="1" si="43"/>
        <v>97.975403428847756</v>
      </c>
      <c r="AG64" s="1360">
        <f t="shared" ca="1" si="43"/>
        <v>89.787580862348022</v>
      </c>
      <c r="AH64" s="1360">
        <f t="shared" ca="1" si="43"/>
        <v>84.922464029390881</v>
      </c>
      <c r="AI64" s="1360">
        <f t="shared" ca="1" si="43"/>
        <v>102.15508025765359</v>
      </c>
      <c r="AJ64" s="1360">
        <f t="shared" ca="1" si="43"/>
        <v>122.61254465735658</v>
      </c>
      <c r="AK64" s="1360">
        <f t="shared" ca="1" si="43"/>
        <v>143.56453632750652</v>
      </c>
      <c r="AL64" s="1360">
        <f t="shared" ca="1" si="43"/>
        <v>153.88015800935801</v>
      </c>
      <c r="AM64" s="1360">
        <f t="shared" ca="1" si="43"/>
        <v>174.48789605051303</v>
      </c>
      <c r="AN64" s="1360">
        <f t="shared" ca="1" si="43"/>
        <v>237.57201318085396</v>
      </c>
      <c r="AO64" s="1360">
        <f t="shared" ca="1" si="43"/>
        <v>266.04151714105978</v>
      </c>
      <c r="AP64" s="1360">
        <f t="shared" ca="1" si="43"/>
        <v>340.30394981478128</v>
      </c>
      <c r="AQ64" s="1360">
        <f t="shared" ca="1" si="43"/>
        <v>371.08514132514944</v>
      </c>
      <c r="AR64" s="1360">
        <f t="shared" ca="1" si="43"/>
        <v>423.90468438091182</v>
      </c>
      <c r="AS64" s="1360">
        <f t="shared" ca="1" si="43"/>
        <v>491.35841604953481</v>
      </c>
      <c r="AT64" s="1360">
        <f t="shared" ca="1" si="43"/>
        <v>552.17237322877247</v>
      </c>
      <c r="AU64" s="1360">
        <f t="shared" ca="1" si="43"/>
        <v>615.41721292211878</v>
      </c>
      <c r="AV64" s="1360">
        <f t="shared" ca="1" si="43"/>
        <v>672.37155460620886</v>
      </c>
      <c r="AW64" s="1360">
        <f t="shared" ca="1" si="43"/>
        <v>741.73628648346858</v>
      </c>
      <c r="AX64" s="1360">
        <f t="shared" ca="1" si="43"/>
        <v>788.20611928272933</v>
      </c>
      <c r="AY64" s="1360">
        <f t="shared" ca="1" si="43"/>
        <v>0</v>
      </c>
      <c r="AZ64" s="1360">
        <f t="shared" ca="1" si="43"/>
        <v>0</v>
      </c>
      <c r="BA64" s="1360">
        <f t="shared" ca="1" si="43"/>
        <v>0</v>
      </c>
      <c r="BB64" s="1360">
        <f t="shared" ca="1" si="43"/>
        <v>0</v>
      </c>
    </row>
    <row r="65" spans="3:185" ht="17.100000000000001" customHeight="1">
      <c r="C65" s="1409"/>
      <c r="D65" s="1410" t="s">
        <v>1270</v>
      </c>
      <c r="E65" s="1411"/>
      <c r="F65" s="1667"/>
      <c r="G65" s="1667"/>
      <c r="H65" s="1667"/>
      <c r="I65" s="945"/>
      <c r="J65" s="945">
        <f ca="1">SUM('CF(Y)'!K6,'CF(Y)'!K27,'CF(Y)'!K33)</f>
        <v>277.01274267000002</v>
      </c>
      <c r="K65" s="945">
        <f ca="1">SUM('CF(Y)'!L6,'CF(Y)'!L27,'CF(Y)'!L33)</f>
        <v>536.2524061900001</v>
      </c>
      <c r="L65" s="946">
        <f ca="1">SUM('CF(Y)'!M6,'CF(Y)'!M27,'CF(Y)'!M33,'CF(Y)'!M44)</f>
        <v>353.25825787187148</v>
      </c>
      <c r="M65" s="946">
        <f ca="1">SUM('CF(Y)'!N6,'CF(Y)'!N27,'CF(Y)'!N33,'CF(Y)'!N44)</f>
        <v>316.00624352692762</v>
      </c>
      <c r="N65" s="946">
        <f ca="1">SUM('CF(Y)'!O6,'CF(Y)'!O27,'CF(Y)'!O33,'CF(Y)'!O44)</f>
        <v>439.44824368537002</v>
      </c>
      <c r="O65" s="946">
        <f ca="1">SUM('CF(Y)'!P6,'CF(Y)'!P27,'CF(Y)'!P33,'CF(Y)'!P44)</f>
        <v>394.56599012132847</v>
      </c>
      <c r="P65" s="946">
        <f ca="1">SUM('CF(Y)'!Q6,'CF(Y)'!Q27,'CF(Y)'!Q33,'CF(Y)'!Q44)</f>
        <v>324.86306776691606</v>
      </c>
      <c r="Q65" s="946">
        <f ca="1">SUM('CF(Y)'!R6,'CF(Y)'!R27,'CF(Y)'!R33,'CF(Y)'!R44)</f>
        <v>288.25260350008017</v>
      </c>
      <c r="R65" s="946">
        <f ca="1">SUM('CF(Y)'!S6,'CF(Y)'!S27,'CF(Y)'!S33,'CF(Y)'!S44)</f>
        <v>304.6979142922952</v>
      </c>
      <c r="S65" s="946">
        <f ca="1">SUM('CF(Y)'!T6,'CF(Y)'!T27,'CF(Y)'!T33,'CF(Y)'!T44)</f>
        <v>312.46635293074775</v>
      </c>
      <c r="T65" s="946">
        <f ca="1">SUM('CF(Y)'!U6,'CF(Y)'!U27,'CF(Y)'!U33,'CF(Y)'!U44)</f>
        <v>320.22836311220044</v>
      </c>
      <c r="U65" s="946">
        <f ca="1">SUM('CF(Y)'!V6,'CF(Y)'!V27,'CF(Y)'!V33,'CF(Y)'!V44)</f>
        <v>337.88099663464277</v>
      </c>
      <c r="V65" s="946">
        <f ca="1">SUM('CF(Y)'!W6,'CF(Y)'!W27,'CF(Y)'!W33,'CF(Y)'!W44)</f>
        <v>341.08606694588519</v>
      </c>
      <c r="W65" s="946">
        <f ca="1">SUM('CF(Y)'!X6,'CF(Y)'!X27,'CF(Y)'!X33,'CF(Y)'!X44)</f>
        <v>344.28438737727765</v>
      </c>
      <c r="X65" s="946">
        <f ca="1">SUM('CF(Y)'!Y6,'CF(Y)'!Y27,'CF(Y)'!Y33,'CF(Y)'!Y44)</f>
        <v>357.97403863449125</v>
      </c>
      <c r="Y65" s="946">
        <f ca="1">SUM('CF(Y)'!Z6,'CF(Y)'!Z27,'CF(Y)'!Z33,'CF(Y)'!Z44)</f>
        <v>361.27540830497105</v>
      </c>
      <c r="Z65" s="946">
        <f ca="1">SUM('CF(Y)'!AA6,'CF(Y)'!AA27,'CF(Y)'!AA33,'CF(Y)'!AA44)</f>
        <v>364.56969060160827</v>
      </c>
      <c r="AA65" s="946">
        <f ca="1">SUM('CF(Y)'!AB6,'CF(Y)'!AB27,'CF(Y)'!AB33,'CF(Y)'!AB44)</f>
        <v>378.98347599860404</v>
      </c>
      <c r="AB65" s="946">
        <f ca="1">SUM('CF(Y)'!AC6,'CF(Y)'!AC27,'CF(Y)'!AC33,'CF(Y)'!AC44)</f>
        <v>382.38404137159324</v>
      </c>
      <c r="AC65" s="946">
        <f ca="1">SUM('CF(Y)'!AD6,'CF(Y)'!AD27,'CF(Y)'!AD33,'CF(Y)'!AD44)</f>
        <v>385.7771650020477</v>
      </c>
      <c r="AD65" s="946">
        <f ca="1">SUM('CF(Y)'!AE6,'CF(Y)'!AE27,'CF(Y)'!AE33,'CF(Y)'!AE44)</f>
        <v>400.94655224283093</v>
      </c>
      <c r="AE65" s="946">
        <f ca="1">SUM('CF(Y)'!AF6,'CF(Y)'!AF27,'CF(Y)'!AF33,'CF(Y)'!AF44)</f>
        <v>404.44929692002444</v>
      </c>
      <c r="AF65" s="946">
        <f ca="1">SUM('CF(Y)'!AG6,'CF(Y)'!AG27,'CF(Y)'!AG33,'CF(Y)'!AG44)</f>
        <v>407.9442277675567</v>
      </c>
      <c r="AG65" s="946">
        <f ca="1">SUM('CF(Y)'!AH6,'CF(Y)'!AH27,'CF(Y)'!AH33,'CF(Y)'!AH44)</f>
        <v>423.9019379147349</v>
      </c>
      <c r="AH65" s="946">
        <f ca="1">SUM('CF(Y)'!AI6,'CF(Y)'!AI27,'CF(Y)'!AI33,'CF(Y)'!AI44)</f>
        <v>427.50993539240983</v>
      </c>
      <c r="AI65" s="946">
        <f ca="1">SUM('CF(Y)'!AJ6,'CF(Y)'!AJ27,'CF(Y)'!AJ33,'CF(Y)'!AJ44)</f>
        <v>431.10972834894034</v>
      </c>
      <c r="AJ65" s="946">
        <f ca="1">SUM('CF(Y)'!AK6,'CF(Y)'!AK27,'CF(Y)'!AK33,'CF(Y)'!AK44)</f>
        <v>447.8897835551598</v>
      </c>
      <c r="AK65" s="946">
        <f ca="1">SUM('CF(Y)'!AL6,'CF(Y)'!AL27,'CF(Y)'!AL33,'CF(Y)'!AL44)</f>
        <v>451.60619994033868</v>
      </c>
      <c r="AL65" s="946">
        <f ca="1">SUM('CF(Y)'!AM6,'CF(Y)'!AM27,'CF(Y)'!AM33,'CF(Y)'!AM44)</f>
        <v>455.31400157831587</v>
      </c>
      <c r="AM65" s="946">
        <f ca="1">SUM('CF(Y)'!AN6,'CF(Y)'!AN27,'CF(Y)'!AN33,'CF(Y)'!AN44)</f>
        <v>472.95177459610517</v>
      </c>
      <c r="AN65" s="946">
        <f ca="1">SUM('CF(Y)'!AO6,'CF(Y)'!AO27,'CF(Y)'!AO33,'CF(Y)'!AO44)</f>
        <v>476.77987140517183</v>
      </c>
      <c r="AO65" s="946">
        <f ca="1">SUM('CF(Y)'!AP6,'CF(Y)'!AP27,'CF(Y)'!AP33,'CF(Y)'!AP44)</f>
        <v>480.59892272967676</v>
      </c>
      <c r="AP65" s="946">
        <f ca="1">SUM('CF(Y)'!AQ6,'CF(Y)'!AQ27,'CF(Y)'!AQ33,'CF(Y)'!AQ44)</f>
        <v>499.13118826556865</v>
      </c>
      <c r="AQ65" s="946">
        <f ca="1">SUM('CF(Y)'!AR6,'CF(Y)'!AR27,'CF(Y)'!AR33,'CF(Y)'!AR44)</f>
        <v>503.07432530785633</v>
      </c>
      <c r="AR65" s="946">
        <f ca="1">SUM('CF(Y)'!AS6,'CF(Y)'!AS27,'CF(Y)'!AS33,'CF(Y)'!AS44)</f>
        <v>507.00796459135432</v>
      </c>
      <c r="AS65" s="946">
        <f ca="1">SUM('CF(Y)'!AT6,'CF(Y)'!AT27,'CF(Y)'!AT33,'CF(Y)'!AT44)</f>
        <v>526.47295257261919</v>
      </c>
      <c r="AT65" s="946">
        <f ca="1">SUM('CF(Y)'!AU6,'CF(Y)'!AU27,'CF(Y)'!AU33,'CF(Y)'!AU44)</f>
        <v>530.53459092157209</v>
      </c>
      <c r="AU65" s="946">
        <f ca="1">SUM('CF(Y)'!AV6,'CF(Y)'!AV27,'CF(Y)'!AV33,'CF(Y)'!AV44)</f>
        <v>534.58625662379586</v>
      </c>
      <c r="AV65" s="946">
        <f ca="1">SUM('CF(Y)'!AW6,'CF(Y)'!AW27,'CF(Y)'!AW33,'CF(Y)'!AW44)</f>
        <v>555.0237074486696</v>
      </c>
      <c r="AW65" s="946">
        <f ca="1">SUM('CF(Y)'!AX6,'CF(Y)'!AX27,'CF(Y)'!AX33,'CF(Y)'!AX44)</f>
        <v>559.20741250325739</v>
      </c>
      <c r="AX65" s="946">
        <f ca="1">SUM('CF(Y)'!AY6,'CF(Y)'!AY27,'CF(Y)'!AY33,'CF(Y)'!AY44)</f>
        <v>281.69032313938976</v>
      </c>
      <c r="AY65" s="946">
        <f>SUM('CF(Y)'!AZ6,'CF(Y)'!AZ27,'CF(Y)'!AZ33,'CF(Y)'!AZ44)</f>
        <v>0</v>
      </c>
      <c r="AZ65" s="946">
        <f>SUM('CF(Y)'!BA6,'CF(Y)'!BA27,'CF(Y)'!BA33,'CF(Y)'!BA44)</f>
        <v>0</v>
      </c>
      <c r="BA65" s="946">
        <f>SUM('CF(Y)'!BB6,'CF(Y)'!BB27,'CF(Y)'!BB33,'CF(Y)'!BB44)</f>
        <v>0</v>
      </c>
      <c r="BB65" s="946">
        <f>SUM('CF(Y)'!BC6,'CF(Y)'!BC27,'CF(Y)'!BC33,'CF(Y)'!BC44)</f>
        <v>0</v>
      </c>
    </row>
    <row r="66" spans="3:185" ht="17.100000000000001" customHeight="1">
      <c r="C66" s="1415"/>
      <c r="D66" s="1416" t="s">
        <v>1271</v>
      </c>
      <c r="E66" s="1352"/>
      <c r="F66" s="1685"/>
      <c r="G66" s="1685"/>
      <c r="H66" s="1685"/>
      <c r="I66" s="1686"/>
      <c r="J66" s="1686">
        <f ca="1">SUM('CF(Y)'!K14,'CF(Y)'!K29,'CF(Y)'!K38)</f>
        <v>414.10548471990984</v>
      </c>
      <c r="K66" s="1686">
        <f ca="1">SUM('CF(Y)'!L14,'CF(Y)'!L29,'CF(Y)'!L38)</f>
        <v>463.08115727284201</v>
      </c>
      <c r="L66" s="1353">
        <f ca="1">SUM('CF(Y)'!M14,'CF(Y)'!M29,'CF(Y)'!M38)</f>
        <v>399.78633742187145</v>
      </c>
      <c r="M66" s="1353">
        <f ca="1">SUM('CF(Y)'!N14,'CF(Y)'!N29,'CF(Y)'!N38)</f>
        <v>323.5742484669276</v>
      </c>
      <c r="N66" s="1353">
        <f ca="1">SUM('CF(Y)'!O14,'CF(Y)'!O29,'CF(Y)'!O38)</f>
        <v>424.52147677990462</v>
      </c>
      <c r="O66" s="1353">
        <f ca="1">SUM('CF(Y)'!P14,'CF(Y)'!P29,'CF(Y)'!P38)</f>
        <v>402.13267146410203</v>
      </c>
      <c r="P66" s="1353">
        <f ca="1">SUM('CF(Y)'!Q14,'CF(Y)'!Q29,'CF(Y)'!Q38)</f>
        <v>332.22315332960795</v>
      </c>
      <c r="Q66" s="1353">
        <f ca="1">SUM('CF(Y)'!R14,'CF(Y)'!R29,'CF(Y)'!R38)</f>
        <v>288.25260350008017</v>
      </c>
      <c r="R66" s="1353">
        <f ca="1">SUM('CF(Y)'!S14,'CF(Y)'!S29,'CF(Y)'!S38)</f>
        <v>283.18067616572773</v>
      </c>
      <c r="S66" s="1353">
        <f ca="1">SUM('CF(Y)'!T14,'CF(Y)'!T29,'CF(Y)'!T38)</f>
        <v>288.6859723140816</v>
      </c>
      <c r="T66" s="1353">
        <f ca="1">SUM('CF(Y)'!U14,'CF(Y)'!U29,'CF(Y)'!U38)</f>
        <v>333.83490297200694</v>
      </c>
      <c r="U66" s="1353">
        <f ca="1">SUM('CF(Y)'!V14,'CF(Y)'!V29,'CF(Y)'!V38)</f>
        <v>293.87040857749963</v>
      </c>
      <c r="V66" s="1353">
        <f ca="1">SUM('CF(Y)'!W14,'CF(Y)'!W29,'CF(Y)'!W38)</f>
        <v>335.49186263267239</v>
      </c>
      <c r="W66" s="1353">
        <f ca="1">SUM('CF(Y)'!X14,'CF(Y)'!X29,'CF(Y)'!X38)</f>
        <v>316.40034274743579</v>
      </c>
      <c r="X66" s="1353">
        <f ca="1">SUM('CF(Y)'!Y14,'CF(Y)'!Y29,'CF(Y)'!Y38)</f>
        <v>293.75374689310132</v>
      </c>
      <c r="Y66" s="1353">
        <f ca="1">SUM('CF(Y)'!Z14,'CF(Y)'!Z29,'CF(Y)'!Z38)</f>
        <v>338.16717110527145</v>
      </c>
      <c r="Z66" s="1353">
        <f ca="1">SUM('CF(Y)'!AA14,'CF(Y)'!AA29,'CF(Y)'!AA38)</f>
        <v>353.92529291059662</v>
      </c>
      <c r="AA66" s="1353">
        <f ca="1">SUM('CF(Y)'!AB14,'CF(Y)'!AB29,'CF(Y)'!AB38)</f>
        <v>369.05426488461995</v>
      </c>
      <c r="AB66" s="1353">
        <f ca="1">SUM('CF(Y)'!AC14,'CF(Y)'!AC29,'CF(Y)'!AC38)</f>
        <v>363.81074039044006</v>
      </c>
      <c r="AC66" s="1353">
        <f ca="1">SUM('CF(Y)'!AD14,'CF(Y)'!AD29,'CF(Y)'!AD38)</f>
        <v>404.65006796960193</v>
      </c>
      <c r="AD66" s="1353">
        <f ca="1">SUM('CF(Y)'!AE14,'CF(Y)'!AE29,'CF(Y)'!AE38)</f>
        <v>503.86507510159544</v>
      </c>
      <c r="AE66" s="1353">
        <f ca="1">SUM('CF(Y)'!AF14,'CF(Y)'!AF29,'CF(Y)'!AF38)</f>
        <v>420.33782227572141</v>
      </c>
      <c r="AF66" s="1353">
        <f ca="1">SUM('CF(Y)'!AG14,'CF(Y)'!AG29,'CF(Y)'!AG38)</f>
        <v>416.13205033405643</v>
      </c>
      <c r="AG66" s="1353">
        <f ca="1">SUM('CF(Y)'!AH14,'CF(Y)'!AH29,'CF(Y)'!AH38)</f>
        <v>428.76705474769199</v>
      </c>
      <c r="AH66" s="1353">
        <f ca="1">SUM('CF(Y)'!AI14,'CF(Y)'!AI29,'CF(Y)'!AI38)</f>
        <v>410.27731916414712</v>
      </c>
      <c r="AI66" s="1353">
        <f ca="1">SUM('CF(Y)'!AJ14,'CF(Y)'!AJ29,'CF(Y)'!AJ38)</f>
        <v>410.65226394923741</v>
      </c>
      <c r="AJ66" s="1353">
        <f ca="1">SUM('CF(Y)'!AK14,'CF(Y)'!AK29,'CF(Y)'!AK38)</f>
        <v>426.93779188500991</v>
      </c>
      <c r="AK66" s="1353">
        <f ca="1">SUM('CF(Y)'!AL14,'CF(Y)'!AL29,'CF(Y)'!AL38)</f>
        <v>441.29057825848719</v>
      </c>
      <c r="AL66" s="1353">
        <f ca="1">SUM('CF(Y)'!AM14,'CF(Y)'!AM29,'CF(Y)'!AM38)</f>
        <v>434.70626353716085</v>
      </c>
      <c r="AM66" s="1353">
        <f ca="1">SUM('CF(Y)'!AN14,'CF(Y)'!AN29,'CF(Y)'!AN38)</f>
        <v>409.86765746576424</v>
      </c>
      <c r="AN66" s="1353">
        <f ca="1">SUM('CF(Y)'!AO14,'CF(Y)'!AO29,'CF(Y)'!AO38)</f>
        <v>448.310367444966</v>
      </c>
      <c r="AO66" s="1353">
        <f ca="1">SUM('CF(Y)'!AP14,'CF(Y)'!AP29,'CF(Y)'!AP38)</f>
        <v>406.33649005595532</v>
      </c>
      <c r="AP66" s="1353">
        <f ca="1">SUM('CF(Y)'!AQ14,'CF(Y)'!AQ29,'CF(Y)'!AQ38)</f>
        <v>468.34999675520049</v>
      </c>
      <c r="AQ66" s="1353">
        <f ca="1">SUM('CF(Y)'!AR14,'CF(Y)'!AR29,'CF(Y)'!AR38)</f>
        <v>450.25478225209395</v>
      </c>
      <c r="AR66" s="1353">
        <f ca="1">SUM('CF(Y)'!AS14,'CF(Y)'!AS29,'CF(Y)'!AS38)</f>
        <v>439.55423292273139</v>
      </c>
      <c r="AS66" s="1353">
        <f ca="1">SUM('CF(Y)'!AT14,'CF(Y)'!AT29,'CF(Y)'!AT38)</f>
        <v>465.65899539338159</v>
      </c>
      <c r="AT66" s="1353">
        <f ca="1">SUM('CF(Y)'!AU14,'CF(Y)'!AU29,'CF(Y)'!AU38)</f>
        <v>467.28975122822567</v>
      </c>
      <c r="AU66" s="1353">
        <f ca="1">SUM('CF(Y)'!AV14,'CF(Y)'!AV29,'CF(Y)'!AV38)</f>
        <v>477.63191493970578</v>
      </c>
      <c r="AV66" s="1353">
        <f ca="1">SUM('CF(Y)'!AW14,'CF(Y)'!AW29,'CF(Y)'!AW38)</f>
        <v>485.65897557140988</v>
      </c>
      <c r="AW66" s="1353">
        <f ca="1">SUM('CF(Y)'!AX14,'CF(Y)'!AX29,'CF(Y)'!AX38)</f>
        <v>512.73757970399652</v>
      </c>
      <c r="AX66" s="1353">
        <f ca="1">SUM('CF(Y)'!AY14,'CF(Y)'!AY29,'CF(Y)'!AY38)</f>
        <v>1069.896442422119</v>
      </c>
      <c r="AY66" s="1353">
        <f>SUM('CF(Y)'!AZ14,'CF(Y)'!AZ29,'CF(Y)'!AZ38)</f>
        <v>0</v>
      </c>
      <c r="AZ66" s="1353">
        <f>SUM('CF(Y)'!BA14,'CF(Y)'!BA29,'CF(Y)'!BA38)</f>
        <v>0</v>
      </c>
      <c r="BA66" s="1353">
        <f>SUM('CF(Y)'!BB14,'CF(Y)'!BB29,'CF(Y)'!BB38)</f>
        <v>0</v>
      </c>
      <c r="BB66" s="1353">
        <f>SUM('CF(Y)'!BC14,'CF(Y)'!BC29,'CF(Y)'!BC38)</f>
        <v>0</v>
      </c>
    </row>
    <row r="67" spans="3:185" ht="17.100000000000001" customHeight="1">
      <c r="C67" s="952"/>
      <c r="D67" s="777" t="s">
        <v>1096</v>
      </c>
      <c r="E67" s="747"/>
      <c r="F67" s="1668"/>
      <c r="G67" s="1668"/>
      <c r="H67" s="1668"/>
      <c r="I67" s="1639">
        <f>I10</f>
        <v>153.81742944000001</v>
      </c>
      <c r="J67" s="1639">
        <f t="shared" ref="J67:AV67" ca="1" si="44">J64+J65-J66</f>
        <v>16.724687390090196</v>
      </c>
      <c r="K67" s="1687">
        <f>SUM(실적!C11:C12)/단위</f>
        <v>54.096084490000003</v>
      </c>
      <c r="L67" s="954">
        <f t="shared" ca="1" si="44"/>
        <v>7.5680049400000371</v>
      </c>
      <c r="M67" s="954">
        <f t="shared" ca="1" si="44"/>
        <v>0</v>
      </c>
      <c r="N67" s="954">
        <f t="shared" ca="1" si="44"/>
        <v>14.926766905465399</v>
      </c>
      <c r="O67" s="954">
        <f t="shared" ca="1" si="44"/>
        <v>7.360085562691836</v>
      </c>
      <c r="P67" s="954">
        <f t="shared" ca="1" si="44"/>
        <v>0</v>
      </c>
      <c r="Q67" s="954">
        <f t="shared" ca="1" si="44"/>
        <v>0</v>
      </c>
      <c r="R67" s="954">
        <f t="shared" ca="1" si="44"/>
        <v>21.517238126567463</v>
      </c>
      <c r="S67" s="954">
        <f t="shared" ca="1" si="44"/>
        <v>45.297618743233613</v>
      </c>
      <c r="T67" s="954">
        <f t="shared" ca="1" si="44"/>
        <v>31.69107888342711</v>
      </c>
      <c r="U67" s="954">
        <f t="shared" ca="1" si="44"/>
        <v>75.701666940570249</v>
      </c>
      <c r="V67" s="954">
        <f t="shared" ca="1" si="44"/>
        <v>81.295871253783048</v>
      </c>
      <c r="W67" s="954">
        <f t="shared" ca="1" si="44"/>
        <v>109.17991588362491</v>
      </c>
      <c r="X67" s="954">
        <f t="shared" ca="1" si="44"/>
        <v>173.40020762501484</v>
      </c>
      <c r="Y67" s="954">
        <f t="shared" ca="1" si="44"/>
        <v>196.5084448247145</v>
      </c>
      <c r="Z67" s="954">
        <f t="shared" ca="1" si="44"/>
        <v>207.15284251572615</v>
      </c>
      <c r="AA67" s="954">
        <f t="shared" ca="1" si="44"/>
        <v>217.08205362971029</v>
      </c>
      <c r="AB67" s="954">
        <f t="shared" ca="1" si="44"/>
        <v>235.65535461086347</v>
      </c>
      <c r="AC67" s="954">
        <f t="shared" ca="1" si="44"/>
        <v>216.78245164330923</v>
      </c>
      <c r="AD67" s="954">
        <f t="shared" ca="1" si="44"/>
        <v>113.86392878454473</v>
      </c>
      <c r="AE67" s="954">
        <f t="shared" ca="1" si="44"/>
        <v>97.975403428847756</v>
      </c>
      <c r="AF67" s="954">
        <f t="shared" ca="1" si="44"/>
        <v>89.787580862348022</v>
      </c>
      <c r="AG67" s="954">
        <f t="shared" ca="1" si="44"/>
        <v>84.922464029390881</v>
      </c>
      <c r="AH67" s="954">
        <f t="shared" ca="1" si="44"/>
        <v>102.15508025765359</v>
      </c>
      <c r="AI67" s="954">
        <f t="shared" ca="1" si="44"/>
        <v>122.61254465735658</v>
      </c>
      <c r="AJ67" s="954">
        <f t="shared" ca="1" si="44"/>
        <v>143.56453632750652</v>
      </c>
      <c r="AK67" s="954">
        <f t="shared" ca="1" si="44"/>
        <v>153.88015800935801</v>
      </c>
      <c r="AL67" s="954">
        <f t="shared" ca="1" si="44"/>
        <v>174.48789605051303</v>
      </c>
      <c r="AM67" s="954">
        <f t="shared" ca="1" si="44"/>
        <v>237.57201318085396</v>
      </c>
      <c r="AN67" s="954">
        <f t="shared" ca="1" si="44"/>
        <v>266.04151714105978</v>
      </c>
      <c r="AO67" s="954">
        <f t="shared" ca="1" si="44"/>
        <v>340.30394981478128</v>
      </c>
      <c r="AP67" s="954">
        <f t="shared" ca="1" si="44"/>
        <v>371.08514132514944</v>
      </c>
      <c r="AQ67" s="954">
        <f t="shared" ca="1" si="44"/>
        <v>423.90468438091182</v>
      </c>
      <c r="AR67" s="954">
        <f t="shared" ca="1" si="44"/>
        <v>491.35841604953481</v>
      </c>
      <c r="AS67" s="954">
        <f t="shared" ca="1" si="44"/>
        <v>552.17237322877247</v>
      </c>
      <c r="AT67" s="954">
        <f t="shared" ca="1" si="44"/>
        <v>615.41721292211878</v>
      </c>
      <c r="AU67" s="954">
        <f t="shared" ca="1" si="44"/>
        <v>672.37155460620886</v>
      </c>
      <c r="AV67" s="954">
        <f t="shared" ca="1" si="44"/>
        <v>741.73628648346858</v>
      </c>
      <c r="AW67" s="954">
        <f t="shared" ref="AW67:BB67" ca="1" si="45">(AW64+AW65-AW66)*(AX4&gt;0.001)</f>
        <v>788.20611928272933</v>
      </c>
      <c r="AX67" s="954">
        <f t="shared" ca="1" si="45"/>
        <v>0</v>
      </c>
      <c r="AY67" s="954">
        <f t="shared" ca="1" si="45"/>
        <v>0</v>
      </c>
      <c r="AZ67" s="954">
        <f t="shared" ca="1" si="45"/>
        <v>0</v>
      </c>
      <c r="BA67" s="954">
        <f t="shared" ca="1" si="45"/>
        <v>0</v>
      </c>
      <c r="BB67" s="954">
        <f t="shared" ca="1" si="45"/>
        <v>0</v>
      </c>
    </row>
    <row r="68" spans="3:185" ht="17.100000000000001" customHeight="1">
      <c r="K68" s="1407">
        <f ca="1">K64+K65-K66-K67</f>
        <v>0</v>
      </c>
      <c r="L68" s="1407">
        <f ca="1">SUMIFS('CF(Y)'!47:47,'CF(Y)'!4:4,BS!L63)-L67</f>
        <v>-7.1054273576010019E-15</v>
      </c>
      <c r="M68" s="653">
        <f ca="1">SUMIFS('CF(Y)'!47:47,'CF(Y)'!4:4,BS!M63)-M67</f>
        <v>0</v>
      </c>
      <c r="N68" s="653">
        <f ca="1">SUMIFS('CF(Y)'!47:47,'CF(Y)'!4:4,BS!N63)-N67</f>
        <v>0</v>
      </c>
      <c r="O68" s="653">
        <f ca="1">SUMIFS('CF(Y)'!47:47,'CF(Y)'!4:4,BS!O63)-O67</f>
        <v>2.8421709430404007E-14</v>
      </c>
      <c r="P68" s="653">
        <f ca="1">SUMIFS('CF(Y)'!47:47,'CF(Y)'!4:4,BS!P63)-P67</f>
        <v>0</v>
      </c>
      <c r="Q68" s="653">
        <f ca="1">SUMIFS('CF(Y)'!47:47,'CF(Y)'!4:4,BS!Q63)-Q67</f>
        <v>0</v>
      </c>
      <c r="R68" s="653">
        <f ca="1">SUMIFS('CF(Y)'!47:47,'CF(Y)'!4:4,BS!R63)-R67</f>
        <v>0</v>
      </c>
      <c r="S68" s="653">
        <f ca="1">SUMIFS('CF(Y)'!47:47,'CF(Y)'!4:4,BS!S63)-S67</f>
        <v>0</v>
      </c>
      <c r="T68" s="653">
        <f ca="1">SUMIFS('CF(Y)'!47:47,'CF(Y)'!4:4,BS!T63)-T67</f>
        <v>0</v>
      </c>
      <c r="U68" s="653">
        <f ca="1">SUMIFS('CF(Y)'!47:47,'CF(Y)'!4:4,BS!U63)-U67</f>
        <v>0</v>
      </c>
      <c r="V68" s="653">
        <f ca="1">SUMIFS('CF(Y)'!47:47,'CF(Y)'!4:4,BS!V63)-V67</f>
        <v>0</v>
      </c>
      <c r="W68" s="653">
        <f ca="1">SUMIFS('CF(Y)'!47:47,'CF(Y)'!4:4,BS!W63)-W67</f>
        <v>0</v>
      </c>
      <c r="X68" s="653">
        <f ca="1">SUMIFS('CF(Y)'!47:47,'CF(Y)'!4:4,BS!X63)-X67</f>
        <v>0</v>
      </c>
      <c r="Y68" s="653">
        <f ca="1">SUMIFS('CF(Y)'!47:47,'CF(Y)'!4:4,BS!Y63)-Y67</f>
        <v>0</v>
      </c>
      <c r="Z68" s="653">
        <f ca="1">SUMIFS('CF(Y)'!47:47,'CF(Y)'!4:4,BS!Z63)-Z67</f>
        <v>0</v>
      </c>
      <c r="AA68" s="653">
        <f ca="1">SUMIFS('CF(Y)'!47:47,'CF(Y)'!4:4,BS!AA63)-AA67</f>
        <v>0</v>
      </c>
      <c r="AB68" s="653">
        <f ca="1">SUMIFS('CF(Y)'!47:47,'CF(Y)'!4:4,BS!AB63)-AB67</f>
        <v>0</v>
      </c>
      <c r="AC68" s="653">
        <f ca="1">SUMIFS('CF(Y)'!47:47,'CF(Y)'!4:4,BS!AC63)-AC67</f>
        <v>0</v>
      </c>
      <c r="AD68" s="653">
        <f ca="1">SUMIFS('CF(Y)'!47:47,'CF(Y)'!4:4,BS!AD63)-AD67</f>
        <v>-1.8474111129762605E-13</v>
      </c>
      <c r="AE68" s="653">
        <f ca="1">SUMIFS('CF(Y)'!47:47,'CF(Y)'!4:4,BS!AE63)-AE67</f>
        <v>-1.5631940186722204E-13</v>
      </c>
      <c r="AF68" s="653">
        <f ca="1">SUMIFS('CF(Y)'!47:47,'CF(Y)'!4:4,BS!AF63)-AF67</f>
        <v>-1.2789769243681803E-13</v>
      </c>
      <c r="AG68" s="653">
        <f ca="1">SUMIFS('CF(Y)'!47:47,'CF(Y)'!4:4,BS!AG63)-AG67</f>
        <v>-1.1368683772161603E-13</v>
      </c>
      <c r="AH68" s="653">
        <f ca="1">SUMIFS('CF(Y)'!47:47,'CF(Y)'!4:4,BS!AH63)-AH67</f>
        <v>-1.5631940186722204E-13</v>
      </c>
      <c r="AI68" s="653">
        <f ca="1">SUMIFS('CF(Y)'!47:47,'CF(Y)'!4:4,BS!AI63)-AI67</f>
        <v>-2.4158453015843406E-13</v>
      </c>
      <c r="AJ68" s="653">
        <f ca="1">SUMIFS('CF(Y)'!47:47,'CF(Y)'!4:4,BS!AJ63)-AJ67</f>
        <v>-2.2737367544323206E-13</v>
      </c>
      <c r="AK68" s="653">
        <f ca="1">SUMIFS('CF(Y)'!47:47,'CF(Y)'!4:4,BS!AK63)-AK67</f>
        <v>-2.5579538487363607E-13</v>
      </c>
      <c r="AL68" s="653">
        <f ca="1">SUMIFS('CF(Y)'!47:47,'CF(Y)'!4:4,BS!AL63)-AL67</f>
        <v>-2.8421709430404007E-13</v>
      </c>
      <c r="AM68" s="653">
        <f ca="1">SUMIFS('CF(Y)'!47:47,'CF(Y)'!4:4,BS!AM63)-AM67</f>
        <v>-2.5579538487363607E-13</v>
      </c>
      <c r="AN68" s="653">
        <f ca="1">SUMIFS('CF(Y)'!47:47,'CF(Y)'!4:4,BS!AN63)-AN67</f>
        <v>0</v>
      </c>
      <c r="AO68" s="653">
        <f ca="1">SUMIFS('CF(Y)'!47:47,'CF(Y)'!4:4,BS!AO63)-AO67</f>
        <v>0</v>
      </c>
      <c r="AP68" s="653">
        <f ca="1">SUMIFS('CF(Y)'!47:47,'CF(Y)'!4:4,BS!AP63)-AP67</f>
        <v>0</v>
      </c>
      <c r="AQ68" s="653">
        <f ca="1">SUMIFS('CF(Y)'!47:47,'CF(Y)'!4:4,BS!AQ63)-AQ67</f>
        <v>0</v>
      </c>
      <c r="AR68" s="653">
        <f ca="1">SUMIFS('CF(Y)'!47:47,'CF(Y)'!4:4,BS!AR63)-AR67</f>
        <v>0</v>
      </c>
      <c r="AS68" s="653">
        <f ca="1">SUMIFS('CF(Y)'!47:47,'CF(Y)'!4:4,BS!AS63)-AS67</f>
        <v>0</v>
      </c>
      <c r="AT68" s="653">
        <f ca="1">SUMIFS('CF(Y)'!47:47,'CF(Y)'!4:4,BS!AT63)-AT67</f>
        <v>0</v>
      </c>
      <c r="AU68" s="653">
        <f ca="1">SUMIFS('CF(Y)'!47:47,'CF(Y)'!4:4,BS!AU63)-AU67</f>
        <v>0</v>
      </c>
      <c r="AV68" s="653">
        <f ca="1">SUMIFS('CF(Y)'!47:47,'CF(Y)'!4:4,BS!AV63)-AV67</f>
        <v>0</v>
      </c>
      <c r="AW68" s="653">
        <f ca="1">SUMIFS('CF(Y)'!47:47,'CF(Y)'!4:4,BS!AW63)-AW67</f>
        <v>0</v>
      </c>
      <c r="AX68" s="653">
        <f ca="1">SUMIFS('CF(Y)'!47:47,'CF(Y)'!4:4,BS!AX63)-AX67</f>
        <v>0</v>
      </c>
      <c r="AY68" s="653">
        <f ca="1">SUMIFS('CF(Y)'!47:47,'CF(Y)'!4:4,BS!AY63)-AY67</f>
        <v>0</v>
      </c>
      <c r="AZ68" s="653">
        <f ca="1">SUMIFS('CF(Y)'!47:47,'CF(Y)'!4:4,BS!AZ63)-AZ67</f>
        <v>0</v>
      </c>
      <c r="BA68" s="653">
        <f ca="1">SUMIFS('CF(Y)'!47:47,'CF(Y)'!4:4,BS!BA63)-BA67</f>
        <v>0</v>
      </c>
      <c r="BB68" s="653">
        <f ca="1">SUMIFS('CF(Y)'!47:47,'CF(Y)'!4:4,BS!BB63)-BB67</f>
        <v>0</v>
      </c>
    </row>
    <row r="69" spans="3:185" ht="17.100000000000001" customHeight="1">
      <c r="C69" s="302" t="str">
        <f>D11</f>
        <v>DSRA</v>
      </c>
      <c r="AQ69" s="401"/>
      <c r="AT69" s="401"/>
      <c r="AU69" s="401"/>
      <c r="AV69" s="401"/>
      <c r="AW69" s="401"/>
      <c r="AX69" s="401"/>
      <c r="AY69" s="401"/>
      <c r="AZ69" s="401"/>
      <c r="BA69" s="401"/>
      <c r="BB69" s="401"/>
      <c r="BC69" s="401"/>
      <c r="BD69" s="401"/>
      <c r="BE69" s="401"/>
      <c r="BF69" s="401"/>
      <c r="BG69" s="401"/>
      <c r="BH69" s="401"/>
      <c r="BI69" s="401"/>
      <c r="BJ69" s="401"/>
      <c r="BK69" s="401"/>
      <c r="BL69" s="401"/>
      <c r="BM69" s="401"/>
      <c r="BN69" s="401"/>
      <c r="BO69" s="401"/>
      <c r="BP69" s="401"/>
      <c r="BQ69" s="401"/>
      <c r="BR69" s="401"/>
      <c r="BS69" s="401"/>
      <c r="BT69" s="401"/>
      <c r="BU69" s="401"/>
      <c r="BV69" s="401"/>
      <c r="BW69" s="401"/>
      <c r="BX69" s="401"/>
      <c r="BY69" s="401"/>
      <c r="BZ69" s="401"/>
      <c r="CA69" s="401"/>
      <c r="CB69" s="401"/>
      <c r="CC69" s="401"/>
      <c r="CD69" s="401"/>
      <c r="CE69" s="401"/>
      <c r="CF69" s="401"/>
      <c r="CG69" s="401"/>
      <c r="CH69" s="401"/>
      <c r="CI69" s="401"/>
      <c r="CJ69" s="401"/>
      <c r="CK69" s="401"/>
      <c r="CL69" s="401"/>
      <c r="CM69" s="401"/>
      <c r="CN69" s="401"/>
      <c r="CO69" s="401"/>
      <c r="CP69" s="401"/>
      <c r="CQ69" s="401"/>
      <c r="CR69" s="401"/>
      <c r="CS69" s="401"/>
      <c r="CT69" s="401"/>
      <c r="CU69" s="401"/>
      <c r="CV69" s="401"/>
      <c r="CW69" s="401"/>
      <c r="CX69" s="401"/>
      <c r="CY69" s="401"/>
      <c r="CZ69" s="401"/>
      <c r="DA69" s="401"/>
      <c r="DB69" s="401"/>
      <c r="DC69" s="401"/>
      <c r="DD69" s="401"/>
      <c r="DE69" s="401"/>
      <c r="DF69" s="401"/>
      <c r="DG69" s="401"/>
      <c r="DH69" s="401"/>
      <c r="DI69" s="401"/>
      <c r="DJ69" s="401"/>
      <c r="DK69" s="401"/>
      <c r="DL69" s="401"/>
      <c r="DM69" s="401"/>
      <c r="DN69" s="401"/>
      <c r="DO69" s="401"/>
      <c r="DP69" s="401"/>
      <c r="DQ69" s="401"/>
      <c r="DR69" s="401"/>
      <c r="DS69" s="401"/>
      <c r="DT69" s="401"/>
      <c r="DU69" s="401"/>
      <c r="DV69" s="401"/>
      <c r="DW69" s="401"/>
      <c r="DX69" s="401"/>
      <c r="DY69" s="401"/>
      <c r="DZ69" s="401"/>
      <c r="EA69" s="401"/>
      <c r="EB69" s="401"/>
      <c r="EC69" s="401"/>
      <c r="ED69" s="401"/>
      <c r="EE69" s="401"/>
      <c r="EF69" s="401"/>
      <c r="EG69" s="401"/>
      <c r="EH69" s="401"/>
      <c r="EI69" s="401"/>
      <c r="EJ69" s="401"/>
      <c r="EK69" s="401"/>
      <c r="EL69" s="401"/>
      <c r="EM69" s="401"/>
      <c r="EN69" s="401"/>
      <c r="EO69" s="401"/>
      <c r="EP69" s="401"/>
      <c r="EQ69" s="401"/>
      <c r="ER69" s="401"/>
      <c r="ES69" s="401"/>
      <c r="ET69" s="401"/>
      <c r="EU69" s="401"/>
      <c r="EV69" s="401"/>
      <c r="EW69" s="401"/>
      <c r="EX69" s="401"/>
      <c r="EY69" s="401"/>
      <c r="EZ69" s="401"/>
      <c r="FA69" s="401"/>
      <c r="FB69" s="401"/>
      <c r="FC69" s="401"/>
      <c r="FD69" s="401"/>
      <c r="FE69" s="401"/>
      <c r="FF69" s="401"/>
      <c r="FG69" s="401"/>
      <c r="FH69" s="401"/>
      <c r="FI69" s="401"/>
      <c r="FJ69" s="401"/>
      <c r="FK69" s="401"/>
      <c r="FL69" s="401"/>
      <c r="FM69" s="401"/>
      <c r="FN69" s="401"/>
      <c r="FO69" s="401"/>
      <c r="FP69" s="401"/>
      <c r="FQ69" s="401"/>
      <c r="FR69" s="401"/>
      <c r="FS69" s="401"/>
      <c r="FT69" s="401"/>
      <c r="FU69" s="401"/>
      <c r="FV69" s="401"/>
      <c r="FW69" s="401"/>
      <c r="FX69" s="401"/>
      <c r="FY69" s="401"/>
      <c r="FZ69" s="401"/>
      <c r="GA69" s="401"/>
      <c r="GB69" s="401"/>
      <c r="GC69" s="401"/>
    </row>
    <row r="70" spans="3:185" ht="17.100000000000001" customHeight="1">
      <c r="C70" s="717"/>
      <c r="D70" s="718" t="s">
        <v>780</v>
      </c>
      <c r="E70" s="719"/>
      <c r="F70" s="718"/>
      <c r="G70" s="718"/>
      <c r="H70" s="718"/>
      <c r="I70" s="1684">
        <f>J70-1</f>
        <v>2018</v>
      </c>
      <c r="J70" s="766">
        <f>$J$7</f>
        <v>2019</v>
      </c>
      <c r="K70" s="766">
        <f t="shared" ref="K70:BB70" si="46">J70+1</f>
        <v>2020</v>
      </c>
      <c r="L70" s="766">
        <f t="shared" si="46"/>
        <v>2021</v>
      </c>
      <c r="M70" s="766">
        <f t="shared" si="46"/>
        <v>2022</v>
      </c>
      <c r="N70" s="766">
        <f t="shared" si="46"/>
        <v>2023</v>
      </c>
      <c r="O70" s="766">
        <f t="shared" si="46"/>
        <v>2024</v>
      </c>
      <c r="P70" s="766">
        <f t="shared" si="46"/>
        <v>2025</v>
      </c>
      <c r="Q70" s="766">
        <f t="shared" si="46"/>
        <v>2026</v>
      </c>
      <c r="R70" s="766">
        <f t="shared" si="46"/>
        <v>2027</v>
      </c>
      <c r="S70" s="766">
        <f t="shared" si="46"/>
        <v>2028</v>
      </c>
      <c r="T70" s="766">
        <f t="shared" si="46"/>
        <v>2029</v>
      </c>
      <c r="U70" s="766">
        <f t="shared" si="46"/>
        <v>2030</v>
      </c>
      <c r="V70" s="766">
        <f t="shared" si="46"/>
        <v>2031</v>
      </c>
      <c r="W70" s="766">
        <f t="shared" si="46"/>
        <v>2032</v>
      </c>
      <c r="X70" s="766">
        <f t="shared" si="46"/>
        <v>2033</v>
      </c>
      <c r="Y70" s="766">
        <f t="shared" si="46"/>
        <v>2034</v>
      </c>
      <c r="Z70" s="766">
        <f t="shared" si="46"/>
        <v>2035</v>
      </c>
      <c r="AA70" s="766">
        <f t="shared" si="46"/>
        <v>2036</v>
      </c>
      <c r="AB70" s="766">
        <f t="shared" si="46"/>
        <v>2037</v>
      </c>
      <c r="AC70" s="766">
        <f t="shared" si="46"/>
        <v>2038</v>
      </c>
      <c r="AD70" s="766">
        <f t="shared" si="46"/>
        <v>2039</v>
      </c>
      <c r="AE70" s="766">
        <f t="shared" si="46"/>
        <v>2040</v>
      </c>
      <c r="AF70" s="766">
        <f t="shared" si="46"/>
        <v>2041</v>
      </c>
      <c r="AG70" s="766">
        <f t="shared" si="46"/>
        <v>2042</v>
      </c>
      <c r="AH70" s="766">
        <f t="shared" si="46"/>
        <v>2043</v>
      </c>
      <c r="AI70" s="766">
        <f t="shared" si="46"/>
        <v>2044</v>
      </c>
      <c r="AJ70" s="766">
        <f t="shared" si="46"/>
        <v>2045</v>
      </c>
      <c r="AK70" s="766">
        <f t="shared" si="46"/>
        <v>2046</v>
      </c>
      <c r="AL70" s="766">
        <f t="shared" si="46"/>
        <v>2047</v>
      </c>
      <c r="AM70" s="766">
        <f t="shared" si="46"/>
        <v>2048</v>
      </c>
      <c r="AN70" s="766">
        <f t="shared" si="46"/>
        <v>2049</v>
      </c>
      <c r="AO70" s="766">
        <f t="shared" si="46"/>
        <v>2050</v>
      </c>
      <c r="AP70" s="766">
        <f t="shared" si="46"/>
        <v>2051</v>
      </c>
      <c r="AQ70" s="766">
        <f t="shared" si="46"/>
        <v>2052</v>
      </c>
      <c r="AR70" s="766">
        <f t="shared" si="46"/>
        <v>2053</v>
      </c>
      <c r="AS70" s="766">
        <f t="shared" si="46"/>
        <v>2054</v>
      </c>
      <c r="AT70" s="766">
        <f t="shared" si="46"/>
        <v>2055</v>
      </c>
      <c r="AU70" s="766">
        <f t="shared" si="46"/>
        <v>2056</v>
      </c>
      <c r="AV70" s="766">
        <f t="shared" si="46"/>
        <v>2057</v>
      </c>
      <c r="AW70" s="766">
        <f t="shared" si="46"/>
        <v>2058</v>
      </c>
      <c r="AX70" s="766">
        <f t="shared" si="46"/>
        <v>2059</v>
      </c>
      <c r="AY70" s="766">
        <f t="shared" si="46"/>
        <v>2060</v>
      </c>
      <c r="AZ70" s="766">
        <f t="shared" si="46"/>
        <v>2061</v>
      </c>
      <c r="BA70" s="766">
        <f t="shared" si="46"/>
        <v>2062</v>
      </c>
      <c r="BB70" s="766">
        <f t="shared" si="46"/>
        <v>2063</v>
      </c>
    </row>
    <row r="71" spans="3:185" ht="17.100000000000001" customHeight="1">
      <c r="C71" s="720"/>
      <c r="D71" s="774" t="s">
        <v>1080</v>
      </c>
      <c r="E71" s="722"/>
      <c r="F71" s="1625"/>
      <c r="G71" s="1625"/>
      <c r="H71" s="1625"/>
      <c r="I71" s="1666"/>
      <c r="J71" s="1666">
        <f t="shared" ref="J71:BB71" si="47">I74</f>
        <v>0</v>
      </c>
      <c r="K71" s="1666">
        <f t="shared" ca="1" si="47"/>
        <v>0</v>
      </c>
      <c r="L71" s="1360">
        <f t="shared" si="47"/>
        <v>0</v>
      </c>
      <c r="M71" s="1360">
        <f t="shared" ca="1" si="47"/>
        <v>0</v>
      </c>
      <c r="N71" s="1360">
        <f t="shared" ca="1" si="47"/>
        <v>0</v>
      </c>
      <c r="O71" s="1360">
        <f t="shared" ca="1" si="47"/>
        <v>0</v>
      </c>
      <c r="P71" s="1360">
        <f t="shared" ca="1" si="47"/>
        <v>0</v>
      </c>
      <c r="Q71" s="1360">
        <f t="shared" ca="1" si="47"/>
        <v>0</v>
      </c>
      <c r="R71" s="1360">
        <f t="shared" ca="1" si="47"/>
        <v>0</v>
      </c>
      <c r="S71" s="1360">
        <f t="shared" ca="1" si="47"/>
        <v>0</v>
      </c>
      <c r="T71" s="1360">
        <f t="shared" ca="1" si="47"/>
        <v>0</v>
      </c>
      <c r="U71" s="1360">
        <f t="shared" ca="1" si="47"/>
        <v>0</v>
      </c>
      <c r="V71" s="1360">
        <f t="shared" ca="1" si="47"/>
        <v>0</v>
      </c>
      <c r="W71" s="1360">
        <f t="shared" ca="1" si="47"/>
        <v>0</v>
      </c>
      <c r="X71" s="1360">
        <f t="shared" ca="1" si="47"/>
        <v>0</v>
      </c>
      <c r="Y71" s="1360">
        <f t="shared" ca="1" si="47"/>
        <v>0</v>
      </c>
      <c r="Z71" s="1360">
        <f t="shared" ca="1" si="47"/>
        <v>0</v>
      </c>
      <c r="AA71" s="1360">
        <f t="shared" ca="1" si="47"/>
        <v>0</v>
      </c>
      <c r="AB71" s="1360">
        <f t="shared" ca="1" si="47"/>
        <v>0</v>
      </c>
      <c r="AC71" s="1360">
        <f t="shared" ca="1" si="47"/>
        <v>0</v>
      </c>
      <c r="AD71" s="1360">
        <f t="shared" ca="1" si="47"/>
        <v>0</v>
      </c>
      <c r="AE71" s="1360">
        <f t="shared" ca="1" si="47"/>
        <v>0</v>
      </c>
      <c r="AF71" s="1360">
        <f t="shared" ca="1" si="47"/>
        <v>0</v>
      </c>
      <c r="AG71" s="1360">
        <f t="shared" ca="1" si="47"/>
        <v>0</v>
      </c>
      <c r="AH71" s="1360">
        <f t="shared" ca="1" si="47"/>
        <v>0</v>
      </c>
      <c r="AI71" s="1360">
        <f t="shared" ca="1" si="47"/>
        <v>0</v>
      </c>
      <c r="AJ71" s="1360">
        <f t="shared" ca="1" si="47"/>
        <v>0</v>
      </c>
      <c r="AK71" s="1360">
        <f t="shared" ca="1" si="47"/>
        <v>0</v>
      </c>
      <c r="AL71" s="1360">
        <f t="shared" ca="1" si="47"/>
        <v>0</v>
      </c>
      <c r="AM71" s="1360">
        <f t="shared" ca="1" si="47"/>
        <v>0</v>
      </c>
      <c r="AN71" s="1360">
        <f t="shared" ca="1" si="47"/>
        <v>0</v>
      </c>
      <c r="AO71" s="1360">
        <f t="shared" ca="1" si="47"/>
        <v>0</v>
      </c>
      <c r="AP71" s="1360">
        <f t="shared" ca="1" si="47"/>
        <v>0</v>
      </c>
      <c r="AQ71" s="1360">
        <f t="shared" ca="1" si="47"/>
        <v>0</v>
      </c>
      <c r="AR71" s="1360">
        <f t="shared" ca="1" si="47"/>
        <v>0</v>
      </c>
      <c r="AS71" s="1360">
        <f t="shared" ca="1" si="47"/>
        <v>0</v>
      </c>
      <c r="AT71" s="1360">
        <f t="shared" ca="1" si="47"/>
        <v>0</v>
      </c>
      <c r="AU71" s="1360">
        <f t="shared" ca="1" si="47"/>
        <v>0</v>
      </c>
      <c r="AV71" s="1360">
        <f t="shared" ca="1" si="47"/>
        <v>0</v>
      </c>
      <c r="AW71" s="1360">
        <f t="shared" ca="1" si="47"/>
        <v>0</v>
      </c>
      <c r="AX71" s="1360">
        <f t="shared" ca="1" si="47"/>
        <v>0</v>
      </c>
      <c r="AY71" s="1360">
        <f t="shared" ca="1" si="47"/>
        <v>0</v>
      </c>
      <c r="AZ71" s="1360">
        <f t="shared" ca="1" si="47"/>
        <v>0</v>
      </c>
      <c r="BA71" s="1360">
        <f t="shared" ca="1" si="47"/>
        <v>0</v>
      </c>
      <c r="BB71" s="1360">
        <f t="shared" ca="1" si="47"/>
        <v>0</v>
      </c>
    </row>
    <row r="72" spans="3:185" ht="17.100000000000001" customHeight="1">
      <c r="C72" s="1409"/>
      <c r="D72" s="1410" t="s">
        <v>1270</v>
      </c>
      <c r="E72" s="1411"/>
      <c r="F72" s="1667"/>
      <c r="G72" s="1667"/>
      <c r="H72" s="1667"/>
      <c r="I72" s="945"/>
      <c r="J72" s="945">
        <f ca="1">'CF(Y)'!K42</f>
        <v>0</v>
      </c>
      <c r="K72" s="945">
        <f ca="1">'CF(Y)'!L42</f>
        <v>0</v>
      </c>
      <c r="L72" s="946">
        <f ca="1">'CF(Y)'!M42</f>
        <v>0</v>
      </c>
      <c r="M72" s="946">
        <f ca="1">'CF(Y)'!N42</f>
        <v>0</v>
      </c>
      <c r="N72" s="946">
        <f ca="1">'CF(Y)'!O42</f>
        <v>0</v>
      </c>
      <c r="O72" s="946">
        <f ca="1">'CF(Y)'!P42</f>
        <v>0</v>
      </c>
      <c r="P72" s="946">
        <f ca="1">'CF(Y)'!Q42</f>
        <v>0</v>
      </c>
      <c r="Q72" s="946">
        <f ca="1">'CF(Y)'!R42</f>
        <v>0</v>
      </c>
      <c r="R72" s="946">
        <f ca="1">'CF(Y)'!S42</f>
        <v>0</v>
      </c>
      <c r="S72" s="946">
        <f ca="1">'CF(Y)'!T42</f>
        <v>0</v>
      </c>
      <c r="T72" s="946">
        <f ca="1">'CF(Y)'!U42</f>
        <v>0</v>
      </c>
      <c r="U72" s="946">
        <f ca="1">'CF(Y)'!V42</f>
        <v>0</v>
      </c>
      <c r="V72" s="946">
        <f ca="1">'CF(Y)'!W42</f>
        <v>0</v>
      </c>
      <c r="W72" s="946">
        <f ca="1">'CF(Y)'!X42</f>
        <v>0</v>
      </c>
      <c r="X72" s="946">
        <f ca="1">'CF(Y)'!Y42</f>
        <v>0</v>
      </c>
      <c r="Y72" s="946">
        <f ca="1">'CF(Y)'!Z42</f>
        <v>0</v>
      </c>
      <c r="Z72" s="946">
        <f ca="1">'CF(Y)'!AA42</f>
        <v>0</v>
      </c>
      <c r="AA72" s="946">
        <f ca="1">'CF(Y)'!AB42</f>
        <v>0</v>
      </c>
      <c r="AB72" s="946">
        <f ca="1">'CF(Y)'!AC42</f>
        <v>0</v>
      </c>
      <c r="AC72" s="946">
        <f ca="1">'CF(Y)'!AD42</f>
        <v>0</v>
      </c>
      <c r="AD72" s="946">
        <f ca="1">'CF(Y)'!AE42</f>
        <v>0</v>
      </c>
      <c r="AE72" s="946">
        <f ca="1">'CF(Y)'!AF42</f>
        <v>0</v>
      </c>
      <c r="AF72" s="946">
        <f ca="1">'CF(Y)'!AG42</f>
        <v>0</v>
      </c>
      <c r="AG72" s="946">
        <f ca="1">'CF(Y)'!AH42</f>
        <v>0</v>
      </c>
      <c r="AH72" s="946">
        <f ca="1">'CF(Y)'!AI42</f>
        <v>0</v>
      </c>
      <c r="AI72" s="946">
        <f ca="1">'CF(Y)'!AJ42</f>
        <v>0</v>
      </c>
      <c r="AJ72" s="946">
        <f ca="1">'CF(Y)'!AK42</f>
        <v>0</v>
      </c>
      <c r="AK72" s="946">
        <f ca="1">'CF(Y)'!AL42</f>
        <v>0</v>
      </c>
      <c r="AL72" s="946">
        <f ca="1">'CF(Y)'!AM42</f>
        <v>0</v>
      </c>
      <c r="AM72" s="946">
        <f ca="1">'CF(Y)'!AN42</f>
        <v>0</v>
      </c>
      <c r="AN72" s="946">
        <f ca="1">'CF(Y)'!AO42</f>
        <v>0</v>
      </c>
      <c r="AO72" s="946">
        <f ca="1">'CF(Y)'!AP42</f>
        <v>0</v>
      </c>
      <c r="AP72" s="946">
        <f ca="1">'CF(Y)'!AQ42</f>
        <v>0</v>
      </c>
      <c r="AQ72" s="946">
        <f ca="1">'CF(Y)'!AR42</f>
        <v>0</v>
      </c>
      <c r="AR72" s="946">
        <f ca="1">'CF(Y)'!AS42</f>
        <v>0</v>
      </c>
      <c r="AS72" s="946">
        <f ca="1">'CF(Y)'!AT42</f>
        <v>0</v>
      </c>
      <c r="AT72" s="946">
        <f ca="1">'CF(Y)'!AU42</f>
        <v>0</v>
      </c>
      <c r="AU72" s="946">
        <f ca="1">'CF(Y)'!AV42</f>
        <v>0</v>
      </c>
      <c r="AV72" s="946">
        <f ca="1">'CF(Y)'!AW42</f>
        <v>0</v>
      </c>
      <c r="AW72" s="946">
        <f ca="1">'CF(Y)'!AX42</f>
        <v>0</v>
      </c>
      <c r="AX72" s="946">
        <f ca="1">'CF(Y)'!AY42</f>
        <v>0</v>
      </c>
      <c r="AY72" s="946">
        <f>'CF(Y)'!AZ42</f>
        <v>0</v>
      </c>
      <c r="AZ72" s="946">
        <f>'CF(Y)'!BA42</f>
        <v>0</v>
      </c>
      <c r="BA72" s="946">
        <f>'CF(Y)'!BB42</f>
        <v>0</v>
      </c>
      <c r="BB72" s="946">
        <f>'CF(Y)'!BC42</f>
        <v>0</v>
      </c>
    </row>
    <row r="73" spans="3:185" ht="17.100000000000001" customHeight="1">
      <c r="C73" s="1415"/>
      <c r="D73" s="1416" t="s">
        <v>1271</v>
      </c>
      <c r="E73" s="1352"/>
      <c r="F73" s="1685"/>
      <c r="G73" s="1685"/>
      <c r="H73" s="1685"/>
      <c r="I73" s="1686"/>
      <c r="J73" s="1686">
        <f ca="1">'CF(Y)'!K36</f>
        <v>0</v>
      </c>
      <c r="K73" s="1686">
        <f ca="1">'CF(Y)'!L36</f>
        <v>0</v>
      </c>
      <c r="L73" s="1353">
        <f ca="1">'CF(Y)'!M36</f>
        <v>0</v>
      </c>
      <c r="M73" s="1353">
        <f ca="1">'CF(Y)'!N36</f>
        <v>0</v>
      </c>
      <c r="N73" s="1353">
        <f ca="1">'CF(Y)'!O36</f>
        <v>0</v>
      </c>
      <c r="O73" s="1353">
        <f ca="1">'CF(Y)'!P36</f>
        <v>0</v>
      </c>
      <c r="P73" s="1353">
        <f ca="1">'CF(Y)'!Q36</f>
        <v>0</v>
      </c>
      <c r="Q73" s="1353">
        <f ca="1">'CF(Y)'!R36</f>
        <v>0</v>
      </c>
      <c r="R73" s="1353">
        <f ca="1">'CF(Y)'!S36</f>
        <v>0</v>
      </c>
      <c r="S73" s="1353">
        <f ca="1">'CF(Y)'!T36</f>
        <v>0</v>
      </c>
      <c r="T73" s="1353">
        <f ca="1">'CF(Y)'!U36</f>
        <v>0</v>
      </c>
      <c r="U73" s="1353">
        <f ca="1">'CF(Y)'!V36</f>
        <v>0</v>
      </c>
      <c r="V73" s="1353">
        <f ca="1">'CF(Y)'!W36</f>
        <v>0</v>
      </c>
      <c r="W73" s="1353">
        <f ca="1">'CF(Y)'!X36</f>
        <v>0</v>
      </c>
      <c r="X73" s="1353">
        <f ca="1">'CF(Y)'!Y36</f>
        <v>0</v>
      </c>
      <c r="Y73" s="1353">
        <f ca="1">'CF(Y)'!Z36</f>
        <v>0</v>
      </c>
      <c r="Z73" s="1353">
        <f ca="1">'CF(Y)'!AA36</f>
        <v>0</v>
      </c>
      <c r="AA73" s="1353">
        <f ca="1">'CF(Y)'!AB36</f>
        <v>0</v>
      </c>
      <c r="AB73" s="1353">
        <f ca="1">'CF(Y)'!AC36</f>
        <v>0</v>
      </c>
      <c r="AC73" s="1353">
        <f ca="1">'CF(Y)'!AD36</f>
        <v>0</v>
      </c>
      <c r="AD73" s="1353">
        <f ca="1">'CF(Y)'!AE36</f>
        <v>0</v>
      </c>
      <c r="AE73" s="1353">
        <f ca="1">'CF(Y)'!AF36</f>
        <v>0</v>
      </c>
      <c r="AF73" s="1353">
        <f ca="1">'CF(Y)'!AG36</f>
        <v>0</v>
      </c>
      <c r="AG73" s="1353">
        <f ca="1">'CF(Y)'!AH36</f>
        <v>0</v>
      </c>
      <c r="AH73" s="1353">
        <f ca="1">'CF(Y)'!AI36</f>
        <v>0</v>
      </c>
      <c r="AI73" s="1353">
        <f ca="1">'CF(Y)'!AJ36</f>
        <v>0</v>
      </c>
      <c r="AJ73" s="1353">
        <f ca="1">'CF(Y)'!AK36</f>
        <v>0</v>
      </c>
      <c r="AK73" s="1353">
        <f ca="1">'CF(Y)'!AL36</f>
        <v>0</v>
      </c>
      <c r="AL73" s="1353">
        <f ca="1">'CF(Y)'!AM36</f>
        <v>0</v>
      </c>
      <c r="AM73" s="1353">
        <f ca="1">'CF(Y)'!AN36</f>
        <v>0</v>
      </c>
      <c r="AN73" s="1353">
        <f ca="1">'CF(Y)'!AO36</f>
        <v>0</v>
      </c>
      <c r="AO73" s="1353">
        <f ca="1">'CF(Y)'!AP36</f>
        <v>0</v>
      </c>
      <c r="AP73" s="1353">
        <f ca="1">'CF(Y)'!AQ36</f>
        <v>0</v>
      </c>
      <c r="AQ73" s="1353">
        <f ca="1">'CF(Y)'!AR36</f>
        <v>0</v>
      </c>
      <c r="AR73" s="1353">
        <f ca="1">'CF(Y)'!AS36</f>
        <v>0</v>
      </c>
      <c r="AS73" s="1353">
        <f ca="1">'CF(Y)'!AT36</f>
        <v>0</v>
      </c>
      <c r="AT73" s="1353">
        <f ca="1">'CF(Y)'!AU36</f>
        <v>0</v>
      </c>
      <c r="AU73" s="1353">
        <f ca="1">'CF(Y)'!AV36</f>
        <v>0</v>
      </c>
      <c r="AV73" s="1353">
        <f ca="1">'CF(Y)'!AW36</f>
        <v>0</v>
      </c>
      <c r="AW73" s="1353">
        <f ca="1">'CF(Y)'!AX36</f>
        <v>0</v>
      </c>
      <c r="AX73" s="1353">
        <f ca="1">'CF(Y)'!AY36</f>
        <v>0</v>
      </c>
      <c r="AY73" s="1353">
        <f>'CF(Y)'!AZ36</f>
        <v>0</v>
      </c>
      <c r="AZ73" s="1353">
        <f>'CF(Y)'!BA36</f>
        <v>0</v>
      </c>
      <c r="BA73" s="1353">
        <f>'CF(Y)'!BB36</f>
        <v>0</v>
      </c>
      <c r="BB73" s="1353">
        <f>'CF(Y)'!BC36</f>
        <v>0</v>
      </c>
    </row>
    <row r="74" spans="3:185" ht="17.100000000000001" customHeight="1">
      <c r="C74" s="952"/>
      <c r="D74" s="777" t="s">
        <v>1096</v>
      </c>
      <c r="E74" s="747"/>
      <c r="F74" s="1668"/>
      <c r="G74" s="1668"/>
      <c r="H74" s="1668"/>
      <c r="I74" s="1639">
        <f>I11</f>
        <v>0</v>
      </c>
      <c r="J74" s="1639">
        <f t="shared" ref="J74:BB74" ca="1" si="48">J71+J72-J73</f>
        <v>0</v>
      </c>
      <c r="K74" s="1687">
        <v>0</v>
      </c>
      <c r="L74" s="954">
        <f t="shared" ca="1" si="48"/>
        <v>0</v>
      </c>
      <c r="M74" s="954">
        <f t="shared" ca="1" si="48"/>
        <v>0</v>
      </c>
      <c r="N74" s="954">
        <f t="shared" ca="1" si="48"/>
        <v>0</v>
      </c>
      <c r="O74" s="954">
        <f t="shared" ca="1" si="48"/>
        <v>0</v>
      </c>
      <c r="P74" s="954">
        <f t="shared" ca="1" si="48"/>
        <v>0</v>
      </c>
      <c r="Q74" s="954">
        <f t="shared" ca="1" si="48"/>
        <v>0</v>
      </c>
      <c r="R74" s="954">
        <f t="shared" ca="1" si="48"/>
        <v>0</v>
      </c>
      <c r="S74" s="954">
        <f t="shared" ca="1" si="48"/>
        <v>0</v>
      </c>
      <c r="T74" s="954">
        <f t="shared" ca="1" si="48"/>
        <v>0</v>
      </c>
      <c r="U74" s="954">
        <f t="shared" ca="1" si="48"/>
        <v>0</v>
      </c>
      <c r="V74" s="954">
        <f t="shared" ca="1" si="48"/>
        <v>0</v>
      </c>
      <c r="W74" s="954">
        <f t="shared" ca="1" si="48"/>
        <v>0</v>
      </c>
      <c r="X74" s="954">
        <f t="shared" ca="1" si="48"/>
        <v>0</v>
      </c>
      <c r="Y74" s="954">
        <f t="shared" ca="1" si="48"/>
        <v>0</v>
      </c>
      <c r="Z74" s="954">
        <f t="shared" ca="1" si="48"/>
        <v>0</v>
      </c>
      <c r="AA74" s="954">
        <f t="shared" ca="1" si="48"/>
        <v>0</v>
      </c>
      <c r="AB74" s="954">
        <f t="shared" ca="1" si="48"/>
        <v>0</v>
      </c>
      <c r="AC74" s="954">
        <f t="shared" ca="1" si="48"/>
        <v>0</v>
      </c>
      <c r="AD74" s="954">
        <f t="shared" ca="1" si="48"/>
        <v>0</v>
      </c>
      <c r="AE74" s="954">
        <f t="shared" ca="1" si="48"/>
        <v>0</v>
      </c>
      <c r="AF74" s="954">
        <f t="shared" ca="1" si="48"/>
        <v>0</v>
      </c>
      <c r="AG74" s="954">
        <f t="shared" ca="1" si="48"/>
        <v>0</v>
      </c>
      <c r="AH74" s="954">
        <f t="shared" ca="1" si="48"/>
        <v>0</v>
      </c>
      <c r="AI74" s="954">
        <f t="shared" ca="1" si="48"/>
        <v>0</v>
      </c>
      <c r="AJ74" s="954">
        <f t="shared" ca="1" si="48"/>
        <v>0</v>
      </c>
      <c r="AK74" s="954">
        <f t="shared" ca="1" si="48"/>
        <v>0</v>
      </c>
      <c r="AL74" s="954">
        <f t="shared" ca="1" si="48"/>
        <v>0</v>
      </c>
      <c r="AM74" s="954">
        <f t="shared" ca="1" si="48"/>
        <v>0</v>
      </c>
      <c r="AN74" s="954">
        <f t="shared" ca="1" si="48"/>
        <v>0</v>
      </c>
      <c r="AO74" s="954">
        <f t="shared" ca="1" si="48"/>
        <v>0</v>
      </c>
      <c r="AP74" s="954">
        <f t="shared" ca="1" si="48"/>
        <v>0</v>
      </c>
      <c r="AQ74" s="954">
        <f t="shared" ca="1" si="48"/>
        <v>0</v>
      </c>
      <c r="AR74" s="954">
        <f t="shared" ca="1" si="48"/>
        <v>0</v>
      </c>
      <c r="AS74" s="954">
        <f t="shared" ca="1" si="48"/>
        <v>0</v>
      </c>
      <c r="AT74" s="954">
        <f t="shared" ca="1" si="48"/>
        <v>0</v>
      </c>
      <c r="AU74" s="954">
        <f t="shared" ca="1" si="48"/>
        <v>0</v>
      </c>
      <c r="AV74" s="954">
        <f t="shared" ca="1" si="48"/>
        <v>0</v>
      </c>
      <c r="AW74" s="954">
        <f t="shared" ca="1" si="48"/>
        <v>0</v>
      </c>
      <c r="AX74" s="954">
        <f t="shared" ca="1" si="48"/>
        <v>0</v>
      </c>
      <c r="AY74" s="954">
        <f t="shared" ca="1" si="48"/>
        <v>0</v>
      </c>
      <c r="AZ74" s="954">
        <f t="shared" ca="1" si="48"/>
        <v>0</v>
      </c>
      <c r="BA74" s="954">
        <f t="shared" ca="1" si="48"/>
        <v>0</v>
      </c>
      <c r="BB74" s="954">
        <f t="shared" ca="1" si="48"/>
        <v>0</v>
      </c>
    </row>
    <row r="75" spans="3:185" ht="17.100000000000001" customHeight="1">
      <c r="K75" s="703">
        <f ca="1">K71+K72-K73-K74</f>
        <v>0</v>
      </c>
    </row>
    <row r="76" spans="3:185" ht="17.100000000000001" customHeight="1">
      <c r="C76" s="302" t="str">
        <f>D12</f>
        <v>매출채권</v>
      </c>
      <c r="AQ76" s="401"/>
      <c r="AT76" s="401"/>
      <c r="AU76" s="401"/>
      <c r="AV76" s="401"/>
      <c r="AW76" s="401"/>
      <c r="AX76" s="401"/>
      <c r="AY76" s="401"/>
      <c r="AZ76" s="401"/>
      <c r="BA76" s="401"/>
      <c r="BB76" s="401"/>
      <c r="BC76" s="401"/>
      <c r="BD76" s="401"/>
      <c r="BE76" s="401"/>
      <c r="BF76" s="401"/>
      <c r="BG76" s="401"/>
      <c r="BH76" s="401"/>
      <c r="BI76" s="401"/>
      <c r="BJ76" s="401"/>
      <c r="BK76" s="401"/>
      <c r="BL76" s="401"/>
      <c r="BM76" s="401"/>
      <c r="BN76" s="401"/>
      <c r="BO76" s="401"/>
      <c r="BP76" s="401"/>
      <c r="BQ76" s="401"/>
      <c r="BR76" s="401"/>
      <c r="BS76" s="401"/>
      <c r="BT76" s="401"/>
      <c r="BU76" s="401"/>
      <c r="BV76" s="401"/>
      <c r="BW76" s="401"/>
      <c r="BX76" s="401"/>
      <c r="BY76" s="401"/>
      <c r="BZ76" s="401"/>
      <c r="CA76" s="401"/>
      <c r="CB76" s="401"/>
      <c r="CC76" s="401"/>
      <c r="CD76" s="401"/>
      <c r="CE76" s="401"/>
      <c r="CF76" s="401"/>
      <c r="CG76" s="401"/>
      <c r="CH76" s="401"/>
      <c r="CI76" s="401"/>
      <c r="CJ76" s="401"/>
      <c r="CK76" s="401"/>
      <c r="CL76" s="401"/>
      <c r="CM76" s="401"/>
      <c r="CN76" s="401"/>
      <c r="CO76" s="401"/>
      <c r="CP76" s="401"/>
      <c r="CQ76" s="401"/>
      <c r="CR76" s="401"/>
      <c r="CS76" s="401"/>
      <c r="CT76" s="401"/>
      <c r="CU76" s="401"/>
      <c r="CV76" s="401"/>
      <c r="CW76" s="401"/>
      <c r="CX76" s="401"/>
      <c r="CY76" s="401"/>
      <c r="CZ76" s="401"/>
      <c r="DA76" s="401"/>
      <c r="DB76" s="401"/>
      <c r="DC76" s="401"/>
      <c r="DD76" s="401"/>
      <c r="DE76" s="401"/>
      <c r="DF76" s="401"/>
      <c r="DG76" s="401"/>
      <c r="DH76" s="401"/>
      <c r="DI76" s="401"/>
      <c r="DJ76" s="401"/>
      <c r="DK76" s="401"/>
      <c r="DL76" s="401"/>
      <c r="DM76" s="401"/>
      <c r="DN76" s="401"/>
      <c r="DO76" s="401"/>
      <c r="DP76" s="401"/>
      <c r="DQ76" s="401"/>
      <c r="DR76" s="401"/>
      <c r="DS76" s="401"/>
      <c r="DT76" s="401"/>
      <c r="DU76" s="401"/>
      <c r="DV76" s="401"/>
      <c r="DW76" s="401"/>
      <c r="DX76" s="401"/>
      <c r="DY76" s="401"/>
      <c r="DZ76" s="401"/>
      <c r="EA76" s="401"/>
      <c r="EB76" s="401"/>
      <c r="EC76" s="401"/>
      <c r="ED76" s="401"/>
      <c r="EE76" s="401"/>
      <c r="EF76" s="401"/>
      <c r="EG76" s="401"/>
      <c r="EH76" s="401"/>
      <c r="EI76" s="401"/>
      <c r="EJ76" s="401"/>
      <c r="EK76" s="401"/>
      <c r="EL76" s="401"/>
      <c r="EM76" s="401"/>
      <c r="EN76" s="401"/>
      <c r="EO76" s="401"/>
      <c r="EP76" s="401"/>
      <c r="EQ76" s="401"/>
      <c r="ER76" s="401"/>
      <c r="ES76" s="401"/>
      <c r="ET76" s="401"/>
      <c r="EU76" s="401"/>
      <c r="EV76" s="401"/>
      <c r="EW76" s="401"/>
      <c r="EX76" s="401"/>
      <c r="EY76" s="401"/>
      <c r="EZ76" s="401"/>
      <c r="FA76" s="401"/>
      <c r="FB76" s="401"/>
      <c r="FC76" s="401"/>
      <c r="FD76" s="401"/>
      <c r="FE76" s="401"/>
      <c r="FF76" s="401"/>
      <c r="FG76" s="401"/>
      <c r="FH76" s="401"/>
      <c r="FI76" s="401"/>
      <c r="FJ76" s="401"/>
      <c r="FK76" s="401"/>
      <c r="FL76" s="401"/>
      <c r="FM76" s="401"/>
      <c r="FN76" s="401"/>
      <c r="FO76" s="401"/>
      <c r="FP76" s="401"/>
      <c r="FQ76" s="401"/>
      <c r="FR76" s="401"/>
      <c r="FS76" s="401"/>
      <c r="FT76" s="401"/>
      <c r="FU76" s="401"/>
      <c r="FV76" s="401"/>
      <c r="FW76" s="401"/>
      <c r="FX76" s="401"/>
      <c r="FY76" s="401"/>
      <c r="FZ76" s="401"/>
      <c r="GA76" s="401"/>
      <c r="GB76" s="401"/>
      <c r="GC76" s="401"/>
    </row>
    <row r="77" spans="3:185" ht="17.100000000000001" customHeight="1">
      <c r="C77" s="717"/>
      <c r="D77" s="718" t="s">
        <v>780</v>
      </c>
      <c r="E77" s="719"/>
      <c r="F77" s="718"/>
      <c r="G77" s="718"/>
      <c r="H77" s="718"/>
      <c r="I77" s="1684">
        <f>J77-1</f>
        <v>2018</v>
      </c>
      <c r="J77" s="766">
        <f>$J$7</f>
        <v>2019</v>
      </c>
      <c r="K77" s="766">
        <f t="shared" ref="K77:BB77" si="49">J77+1</f>
        <v>2020</v>
      </c>
      <c r="L77" s="766">
        <f t="shared" si="49"/>
        <v>2021</v>
      </c>
      <c r="M77" s="766">
        <f t="shared" si="49"/>
        <v>2022</v>
      </c>
      <c r="N77" s="766">
        <f t="shared" si="49"/>
        <v>2023</v>
      </c>
      <c r="O77" s="766">
        <f t="shared" si="49"/>
        <v>2024</v>
      </c>
      <c r="P77" s="766">
        <f t="shared" si="49"/>
        <v>2025</v>
      </c>
      <c r="Q77" s="766">
        <f t="shared" si="49"/>
        <v>2026</v>
      </c>
      <c r="R77" s="766">
        <f t="shared" si="49"/>
        <v>2027</v>
      </c>
      <c r="S77" s="766">
        <f t="shared" si="49"/>
        <v>2028</v>
      </c>
      <c r="T77" s="766">
        <f t="shared" si="49"/>
        <v>2029</v>
      </c>
      <c r="U77" s="766">
        <f t="shared" si="49"/>
        <v>2030</v>
      </c>
      <c r="V77" s="766">
        <f t="shared" si="49"/>
        <v>2031</v>
      </c>
      <c r="W77" s="766">
        <f t="shared" si="49"/>
        <v>2032</v>
      </c>
      <c r="X77" s="766">
        <f t="shared" si="49"/>
        <v>2033</v>
      </c>
      <c r="Y77" s="766">
        <f t="shared" si="49"/>
        <v>2034</v>
      </c>
      <c r="Z77" s="766">
        <f t="shared" si="49"/>
        <v>2035</v>
      </c>
      <c r="AA77" s="766">
        <f t="shared" si="49"/>
        <v>2036</v>
      </c>
      <c r="AB77" s="766">
        <f t="shared" si="49"/>
        <v>2037</v>
      </c>
      <c r="AC77" s="766">
        <f t="shared" si="49"/>
        <v>2038</v>
      </c>
      <c r="AD77" s="766">
        <f t="shared" si="49"/>
        <v>2039</v>
      </c>
      <c r="AE77" s="766">
        <f t="shared" si="49"/>
        <v>2040</v>
      </c>
      <c r="AF77" s="766">
        <f t="shared" si="49"/>
        <v>2041</v>
      </c>
      <c r="AG77" s="766">
        <f t="shared" si="49"/>
        <v>2042</v>
      </c>
      <c r="AH77" s="766">
        <f t="shared" si="49"/>
        <v>2043</v>
      </c>
      <c r="AI77" s="766">
        <f t="shared" si="49"/>
        <v>2044</v>
      </c>
      <c r="AJ77" s="766">
        <f t="shared" si="49"/>
        <v>2045</v>
      </c>
      <c r="AK77" s="766">
        <f t="shared" si="49"/>
        <v>2046</v>
      </c>
      <c r="AL77" s="766">
        <f t="shared" si="49"/>
        <v>2047</v>
      </c>
      <c r="AM77" s="766">
        <f t="shared" si="49"/>
        <v>2048</v>
      </c>
      <c r="AN77" s="766">
        <f t="shared" si="49"/>
        <v>2049</v>
      </c>
      <c r="AO77" s="766">
        <f t="shared" si="49"/>
        <v>2050</v>
      </c>
      <c r="AP77" s="766">
        <f t="shared" si="49"/>
        <v>2051</v>
      </c>
      <c r="AQ77" s="766">
        <f t="shared" si="49"/>
        <v>2052</v>
      </c>
      <c r="AR77" s="766">
        <f t="shared" si="49"/>
        <v>2053</v>
      </c>
      <c r="AS77" s="766">
        <f t="shared" si="49"/>
        <v>2054</v>
      </c>
      <c r="AT77" s="766">
        <f t="shared" si="49"/>
        <v>2055</v>
      </c>
      <c r="AU77" s="766">
        <f t="shared" si="49"/>
        <v>2056</v>
      </c>
      <c r="AV77" s="766">
        <f t="shared" si="49"/>
        <v>2057</v>
      </c>
      <c r="AW77" s="766">
        <f t="shared" si="49"/>
        <v>2058</v>
      </c>
      <c r="AX77" s="766">
        <f t="shared" si="49"/>
        <v>2059</v>
      </c>
      <c r="AY77" s="766">
        <f t="shared" si="49"/>
        <v>2060</v>
      </c>
      <c r="AZ77" s="766">
        <f t="shared" si="49"/>
        <v>2061</v>
      </c>
      <c r="BA77" s="766">
        <f t="shared" si="49"/>
        <v>2062</v>
      </c>
      <c r="BB77" s="766">
        <f t="shared" si="49"/>
        <v>2063</v>
      </c>
    </row>
    <row r="78" spans="3:185" ht="17.100000000000001" customHeight="1">
      <c r="C78" s="720"/>
      <c r="D78" s="774" t="s">
        <v>1080</v>
      </c>
      <c r="E78" s="722"/>
      <c r="F78" s="1625"/>
      <c r="G78" s="1625"/>
      <c r="H78" s="1625"/>
      <c r="I78" s="1666"/>
      <c r="J78" s="1666">
        <f t="shared" ref="J78:BB78" si="50">I81</f>
        <v>33.390311959999998</v>
      </c>
      <c r="K78" s="1666">
        <f t="shared" si="50"/>
        <v>33.390311959999998</v>
      </c>
      <c r="L78" s="1360">
        <f t="shared" si="50"/>
        <v>35.061295600000001</v>
      </c>
      <c r="M78" s="1360">
        <f t="shared" si="50"/>
        <v>35.061295600000001</v>
      </c>
      <c r="N78" s="1360">
        <f t="shared" si="50"/>
        <v>35.061295600000001</v>
      </c>
      <c r="O78" s="1360">
        <f t="shared" si="50"/>
        <v>35.061295600000001</v>
      </c>
      <c r="P78" s="1360">
        <f t="shared" si="50"/>
        <v>35.061295600000001</v>
      </c>
      <c r="Q78" s="1360">
        <f t="shared" si="50"/>
        <v>35.061295600000001</v>
      </c>
      <c r="R78" s="1360">
        <f t="shared" si="50"/>
        <v>35.061295600000001</v>
      </c>
      <c r="S78" s="1360">
        <f t="shared" si="50"/>
        <v>35.061295600000001</v>
      </c>
      <c r="T78" s="1360">
        <f t="shared" si="50"/>
        <v>35.061295600000001</v>
      </c>
      <c r="U78" s="1360">
        <f t="shared" si="50"/>
        <v>35.061295600000001</v>
      </c>
      <c r="V78" s="1360">
        <f t="shared" si="50"/>
        <v>35.061295600000001</v>
      </c>
      <c r="W78" s="1360">
        <f t="shared" si="50"/>
        <v>35.061295600000001</v>
      </c>
      <c r="X78" s="1360">
        <f t="shared" si="50"/>
        <v>35.061295600000001</v>
      </c>
      <c r="Y78" s="1360">
        <f t="shared" si="50"/>
        <v>35.061295600000001</v>
      </c>
      <c r="Z78" s="1360">
        <f t="shared" si="50"/>
        <v>35.061295600000001</v>
      </c>
      <c r="AA78" s="1360">
        <f t="shared" si="50"/>
        <v>35.061295600000001</v>
      </c>
      <c r="AB78" s="1360">
        <f t="shared" si="50"/>
        <v>35.061295600000001</v>
      </c>
      <c r="AC78" s="1360">
        <f t="shared" si="50"/>
        <v>35.061295600000001</v>
      </c>
      <c r="AD78" s="1360">
        <f t="shared" si="50"/>
        <v>35.061295600000001</v>
      </c>
      <c r="AE78" s="1360">
        <f t="shared" si="50"/>
        <v>35.061295600000001</v>
      </c>
      <c r="AF78" s="1360">
        <f t="shared" si="50"/>
        <v>35.061295600000001</v>
      </c>
      <c r="AG78" s="1360">
        <f t="shared" si="50"/>
        <v>35.061295600000001</v>
      </c>
      <c r="AH78" s="1360">
        <f t="shared" si="50"/>
        <v>35.061295600000001</v>
      </c>
      <c r="AI78" s="1360">
        <f t="shared" si="50"/>
        <v>35.061295600000001</v>
      </c>
      <c r="AJ78" s="1360">
        <f t="shared" si="50"/>
        <v>35.061295600000001</v>
      </c>
      <c r="AK78" s="1360">
        <f t="shared" si="50"/>
        <v>35.061295600000001</v>
      </c>
      <c r="AL78" s="1360">
        <f t="shared" si="50"/>
        <v>35.061295600000001</v>
      </c>
      <c r="AM78" s="1360">
        <f t="shared" si="50"/>
        <v>35.061295600000001</v>
      </c>
      <c r="AN78" s="1360">
        <f t="shared" si="50"/>
        <v>35.061295600000001</v>
      </c>
      <c r="AO78" s="1360">
        <f t="shared" si="50"/>
        <v>35.061295600000001</v>
      </c>
      <c r="AP78" s="1360">
        <f t="shared" si="50"/>
        <v>35.061295600000001</v>
      </c>
      <c r="AQ78" s="1360">
        <f t="shared" si="50"/>
        <v>35.061295600000001</v>
      </c>
      <c r="AR78" s="1360">
        <f t="shared" si="50"/>
        <v>35.061295600000001</v>
      </c>
      <c r="AS78" s="1360">
        <f t="shared" si="50"/>
        <v>35.061295600000001</v>
      </c>
      <c r="AT78" s="1360">
        <f t="shared" si="50"/>
        <v>35.061295600000001</v>
      </c>
      <c r="AU78" s="1360">
        <f t="shared" si="50"/>
        <v>35.061295600000001</v>
      </c>
      <c r="AV78" s="1360">
        <f t="shared" si="50"/>
        <v>35.061295600000001</v>
      </c>
      <c r="AW78" s="1360">
        <f t="shared" si="50"/>
        <v>35.061295600000001</v>
      </c>
      <c r="AX78" s="1360">
        <f t="shared" si="50"/>
        <v>35.061295600000001</v>
      </c>
      <c r="AY78" s="1360">
        <f t="shared" si="50"/>
        <v>0</v>
      </c>
      <c r="AZ78" s="1360">
        <f t="shared" si="50"/>
        <v>0</v>
      </c>
      <c r="BA78" s="1360">
        <f t="shared" si="50"/>
        <v>0</v>
      </c>
      <c r="BB78" s="1360">
        <f t="shared" si="50"/>
        <v>0</v>
      </c>
    </row>
    <row r="79" spans="3:185" ht="17.100000000000001" customHeight="1">
      <c r="C79" s="1409"/>
      <c r="D79" s="1410" t="s">
        <v>1270</v>
      </c>
      <c r="E79" s="1411"/>
      <c r="F79" s="1667"/>
      <c r="G79" s="1667"/>
      <c r="H79" s="1667"/>
      <c r="I79" s="945"/>
      <c r="J79" s="945"/>
      <c r="K79" s="945"/>
      <c r="L79" s="946"/>
      <c r="M79" s="946"/>
      <c r="N79" s="946"/>
      <c r="O79" s="946"/>
      <c r="P79" s="946"/>
      <c r="Q79" s="946"/>
      <c r="R79" s="946"/>
      <c r="S79" s="946"/>
      <c r="T79" s="946"/>
      <c r="U79" s="946"/>
      <c r="V79" s="946"/>
      <c r="W79" s="946"/>
      <c r="X79" s="946"/>
      <c r="Y79" s="946"/>
      <c r="Z79" s="946"/>
      <c r="AA79" s="946"/>
      <c r="AB79" s="946"/>
      <c r="AC79" s="946"/>
      <c r="AD79" s="946"/>
      <c r="AE79" s="946"/>
      <c r="AF79" s="946"/>
      <c r="AG79" s="946"/>
      <c r="AH79" s="946"/>
      <c r="AI79" s="946"/>
      <c r="AJ79" s="946"/>
      <c r="AK79" s="946"/>
      <c r="AL79" s="946"/>
      <c r="AM79" s="946"/>
      <c r="AN79" s="946"/>
      <c r="AO79" s="946"/>
      <c r="AP79" s="946"/>
      <c r="AQ79" s="946"/>
      <c r="AR79" s="946"/>
      <c r="AS79" s="946"/>
      <c r="AT79" s="946"/>
      <c r="AU79" s="946"/>
      <c r="AV79" s="946"/>
      <c r="AW79" s="946"/>
      <c r="AX79" s="946"/>
      <c r="AY79" s="946"/>
      <c r="AZ79" s="946"/>
      <c r="BA79" s="946"/>
      <c r="BB79" s="946"/>
    </row>
    <row r="80" spans="3:185" ht="17.100000000000001" customHeight="1">
      <c r="C80" s="1415"/>
      <c r="D80" s="1416" t="s">
        <v>1271</v>
      </c>
      <c r="E80" s="1352"/>
      <c r="F80" s="1685"/>
      <c r="G80" s="1685"/>
      <c r="H80" s="1685"/>
      <c r="I80" s="1686"/>
      <c r="J80" s="1686"/>
      <c r="K80" s="1686"/>
      <c r="L80" s="1353">
        <f>SUM(L78:L79)*(L77=YEAR(Sensitivity!$E$13))</f>
        <v>0</v>
      </c>
      <c r="M80" s="1353">
        <f>SUM(M78:M79)*(M77=YEAR(Sensitivity!$E$13))</f>
        <v>0</v>
      </c>
      <c r="N80" s="1353">
        <f>SUM(N78:N79)*(N77=YEAR(Sensitivity!$E$13))</f>
        <v>0</v>
      </c>
      <c r="O80" s="1353">
        <f>SUM(O78:O79)*(O77=YEAR(Sensitivity!$E$13))</f>
        <v>0</v>
      </c>
      <c r="P80" s="1353">
        <f>SUM(P78:P79)*(P77=YEAR(Sensitivity!$E$13))</f>
        <v>0</v>
      </c>
      <c r="Q80" s="1353">
        <f>SUM(Q78:Q79)*(Q77=YEAR(Sensitivity!$E$13))</f>
        <v>0</v>
      </c>
      <c r="R80" s="1353">
        <f>SUM(R78:R79)*(R77=YEAR(Sensitivity!$E$13))</f>
        <v>0</v>
      </c>
      <c r="S80" s="1353">
        <f>SUM(S78:S79)*(S77=YEAR(Sensitivity!$E$13))</f>
        <v>0</v>
      </c>
      <c r="T80" s="1353">
        <f>SUM(T78:T79)*(T77=YEAR(Sensitivity!$E$13))</f>
        <v>0</v>
      </c>
      <c r="U80" s="1353">
        <f>SUM(U78:U79)*(U77=YEAR(Sensitivity!$E$13))</f>
        <v>0</v>
      </c>
      <c r="V80" s="1353">
        <f>SUM(V78:V79)*(V77=YEAR(Sensitivity!$E$13))</f>
        <v>0</v>
      </c>
      <c r="W80" s="1353">
        <f>SUM(W78:W79)*(W77=YEAR(Sensitivity!$E$13))</f>
        <v>0</v>
      </c>
      <c r="X80" s="1353">
        <f>SUM(X78:X79)*(X77=YEAR(Sensitivity!$E$13))</f>
        <v>0</v>
      </c>
      <c r="Y80" s="1353">
        <f>SUM(Y78:Y79)*(Y77=YEAR(Sensitivity!$E$13))</f>
        <v>0</v>
      </c>
      <c r="Z80" s="1353">
        <f>SUM(Z78:Z79)*(Z77=YEAR(Sensitivity!$E$13))</f>
        <v>0</v>
      </c>
      <c r="AA80" s="1353">
        <f>SUM(AA78:AA79)*(AA77=YEAR(Sensitivity!$E$13))</f>
        <v>0</v>
      </c>
      <c r="AB80" s="1353">
        <f>SUM(AB78:AB79)*(AB77=YEAR(Sensitivity!$E$13))</f>
        <v>0</v>
      </c>
      <c r="AC80" s="1353">
        <f>SUM(AC78:AC79)*(AC77=YEAR(Sensitivity!$E$13))</f>
        <v>0</v>
      </c>
      <c r="AD80" s="1353">
        <f>SUM(AD78:AD79)*(AD77=YEAR(Sensitivity!$E$13))</f>
        <v>0</v>
      </c>
      <c r="AE80" s="1353">
        <f>SUM(AE78:AE79)*(AE77=YEAR(Sensitivity!$E$13))</f>
        <v>0</v>
      </c>
      <c r="AF80" s="1353">
        <f>SUM(AF78:AF79)*(AF77=YEAR(Sensitivity!$E$13))</f>
        <v>0</v>
      </c>
      <c r="AG80" s="1353">
        <f>SUM(AG78:AG79)*(AG77=YEAR(Sensitivity!$E$13))</f>
        <v>0</v>
      </c>
      <c r="AH80" s="1353">
        <f>SUM(AH78:AH79)*(AH77=YEAR(Sensitivity!$E$13))</f>
        <v>0</v>
      </c>
      <c r="AI80" s="1353">
        <f>SUM(AI78:AI79)*(AI77=YEAR(Sensitivity!$E$13))</f>
        <v>0</v>
      </c>
      <c r="AJ80" s="1353">
        <f>SUM(AJ78:AJ79)*(AJ77=YEAR(Sensitivity!$E$13))</f>
        <v>0</v>
      </c>
      <c r="AK80" s="1353">
        <f>SUM(AK78:AK79)*(AK77=YEAR(Sensitivity!$E$13))</f>
        <v>0</v>
      </c>
      <c r="AL80" s="1353">
        <f>SUM(AL78:AL79)*(AL77=YEAR(Sensitivity!$E$13))</f>
        <v>0</v>
      </c>
      <c r="AM80" s="1353">
        <f>SUM(AM78:AM79)*(AM77=YEAR(Sensitivity!$E$13))</f>
        <v>0</v>
      </c>
      <c r="AN80" s="1353">
        <f>SUM(AN78:AN79)*(AN77=YEAR(Sensitivity!$E$13))</f>
        <v>0</v>
      </c>
      <c r="AO80" s="1353">
        <f>SUM(AO78:AO79)*(AO77=YEAR(Sensitivity!$E$13))</f>
        <v>0</v>
      </c>
      <c r="AP80" s="1353">
        <f>SUM(AP78:AP79)*(AP77=YEAR(Sensitivity!$E$13))</f>
        <v>0</v>
      </c>
      <c r="AQ80" s="1353">
        <f>SUM(AQ78:AQ79)*(AQ77=YEAR(Sensitivity!$E$13))</f>
        <v>0</v>
      </c>
      <c r="AR80" s="1353">
        <f>SUM(AR78:AR79)*(AR77=YEAR(Sensitivity!$E$13))</f>
        <v>0</v>
      </c>
      <c r="AS80" s="1353">
        <f>SUM(AS78:AS79)*(AS77=YEAR(Sensitivity!$E$13))</f>
        <v>0</v>
      </c>
      <c r="AT80" s="1353">
        <f>SUM(AT78:AT79)*(AT77=YEAR(Sensitivity!$E$13))</f>
        <v>0</v>
      </c>
      <c r="AU80" s="1353">
        <f>SUM(AU78:AU79)*(AU77=YEAR(Sensitivity!$E$13))</f>
        <v>0</v>
      </c>
      <c r="AV80" s="1353">
        <f>SUM(AV78:AV79)*(AV77=YEAR(Sensitivity!$E$13))</f>
        <v>0</v>
      </c>
      <c r="AW80" s="1353">
        <f>SUM(AW78:AW79)*(AW77=YEAR(Sensitivity!$E$13))</f>
        <v>0</v>
      </c>
      <c r="AX80" s="1353">
        <f>SUM(AX78:AX79)*(AX77=YEAR(Sensitivity!$E$13))</f>
        <v>35.061295600000001</v>
      </c>
      <c r="AY80" s="1353">
        <f>SUM(AY78:AY79)*(AY77=YEAR(Sensitivity!$E$13))</f>
        <v>0</v>
      </c>
      <c r="AZ80" s="1353">
        <f>SUM(AZ78:AZ79)*(AZ77=YEAR(Sensitivity!$E$13))</f>
        <v>0</v>
      </c>
      <c r="BA80" s="1353">
        <f>SUM(BA78:BA79)*(BA77=YEAR(Sensitivity!$E$13))</f>
        <v>0</v>
      </c>
      <c r="BB80" s="1353">
        <f>SUM(BB78:BB79)*(BB77=YEAR(Sensitivity!$E$13))</f>
        <v>0</v>
      </c>
    </row>
    <row r="81" spans="3:185" ht="17.100000000000001" customHeight="1">
      <c r="C81" s="952"/>
      <c r="D81" s="777" t="s">
        <v>1096</v>
      </c>
      <c r="E81" s="747"/>
      <c r="F81" s="1668"/>
      <c r="G81" s="1668"/>
      <c r="H81" s="1668"/>
      <c r="I81" s="1639">
        <f>I12</f>
        <v>33.390311959999998</v>
      </c>
      <c r="J81" s="1639">
        <f t="shared" ref="J81:BB81" si="51">J78+J79-J80</f>
        <v>33.390311959999998</v>
      </c>
      <c r="K81" s="1687">
        <f>실적!C13/단위</f>
        <v>35.061295600000001</v>
      </c>
      <c r="L81" s="954">
        <f t="shared" si="51"/>
        <v>35.061295600000001</v>
      </c>
      <c r="M81" s="954">
        <f t="shared" si="51"/>
        <v>35.061295600000001</v>
      </c>
      <c r="N81" s="954">
        <f t="shared" si="51"/>
        <v>35.061295600000001</v>
      </c>
      <c r="O81" s="954">
        <f t="shared" si="51"/>
        <v>35.061295600000001</v>
      </c>
      <c r="P81" s="954">
        <f t="shared" si="51"/>
        <v>35.061295600000001</v>
      </c>
      <c r="Q81" s="954">
        <f t="shared" si="51"/>
        <v>35.061295600000001</v>
      </c>
      <c r="R81" s="954">
        <f t="shared" si="51"/>
        <v>35.061295600000001</v>
      </c>
      <c r="S81" s="954">
        <f t="shared" si="51"/>
        <v>35.061295600000001</v>
      </c>
      <c r="T81" s="954">
        <f t="shared" si="51"/>
        <v>35.061295600000001</v>
      </c>
      <c r="U81" s="954">
        <f t="shared" si="51"/>
        <v>35.061295600000001</v>
      </c>
      <c r="V81" s="954">
        <f t="shared" si="51"/>
        <v>35.061295600000001</v>
      </c>
      <c r="W81" s="954">
        <f t="shared" si="51"/>
        <v>35.061295600000001</v>
      </c>
      <c r="X81" s="954">
        <f t="shared" si="51"/>
        <v>35.061295600000001</v>
      </c>
      <c r="Y81" s="954">
        <f t="shared" si="51"/>
        <v>35.061295600000001</v>
      </c>
      <c r="Z81" s="954">
        <f t="shared" si="51"/>
        <v>35.061295600000001</v>
      </c>
      <c r="AA81" s="954">
        <f t="shared" si="51"/>
        <v>35.061295600000001</v>
      </c>
      <c r="AB81" s="954">
        <f t="shared" si="51"/>
        <v>35.061295600000001</v>
      </c>
      <c r="AC81" s="954">
        <f t="shared" si="51"/>
        <v>35.061295600000001</v>
      </c>
      <c r="AD81" s="954">
        <f t="shared" si="51"/>
        <v>35.061295600000001</v>
      </c>
      <c r="AE81" s="954">
        <f t="shared" si="51"/>
        <v>35.061295600000001</v>
      </c>
      <c r="AF81" s="954">
        <f t="shared" si="51"/>
        <v>35.061295600000001</v>
      </c>
      <c r="AG81" s="954">
        <f t="shared" si="51"/>
        <v>35.061295600000001</v>
      </c>
      <c r="AH81" s="954">
        <f t="shared" si="51"/>
        <v>35.061295600000001</v>
      </c>
      <c r="AI81" s="954">
        <f t="shared" si="51"/>
        <v>35.061295600000001</v>
      </c>
      <c r="AJ81" s="954">
        <f t="shared" si="51"/>
        <v>35.061295600000001</v>
      </c>
      <c r="AK81" s="954">
        <f t="shared" si="51"/>
        <v>35.061295600000001</v>
      </c>
      <c r="AL81" s="954">
        <f t="shared" si="51"/>
        <v>35.061295600000001</v>
      </c>
      <c r="AM81" s="954">
        <f t="shared" si="51"/>
        <v>35.061295600000001</v>
      </c>
      <c r="AN81" s="954">
        <f t="shared" si="51"/>
        <v>35.061295600000001</v>
      </c>
      <c r="AO81" s="954">
        <f t="shared" si="51"/>
        <v>35.061295600000001</v>
      </c>
      <c r="AP81" s="954">
        <f t="shared" si="51"/>
        <v>35.061295600000001</v>
      </c>
      <c r="AQ81" s="954">
        <f t="shared" si="51"/>
        <v>35.061295600000001</v>
      </c>
      <c r="AR81" s="954">
        <f t="shared" si="51"/>
        <v>35.061295600000001</v>
      </c>
      <c r="AS81" s="954">
        <f t="shared" si="51"/>
        <v>35.061295600000001</v>
      </c>
      <c r="AT81" s="954">
        <f t="shared" si="51"/>
        <v>35.061295600000001</v>
      </c>
      <c r="AU81" s="954">
        <f t="shared" si="51"/>
        <v>35.061295600000001</v>
      </c>
      <c r="AV81" s="954">
        <f t="shared" si="51"/>
        <v>35.061295600000001</v>
      </c>
      <c r="AW81" s="954">
        <f t="shared" si="51"/>
        <v>35.061295600000001</v>
      </c>
      <c r="AX81" s="954">
        <f t="shared" si="51"/>
        <v>0</v>
      </c>
      <c r="AY81" s="954">
        <f t="shared" si="51"/>
        <v>0</v>
      </c>
      <c r="AZ81" s="954">
        <f t="shared" si="51"/>
        <v>0</v>
      </c>
      <c r="BA81" s="954">
        <v>0</v>
      </c>
      <c r="BB81" s="954">
        <f t="shared" si="51"/>
        <v>0</v>
      </c>
    </row>
    <row r="82" spans="3:185" ht="17.100000000000001" customHeight="1">
      <c r="K82" s="653">
        <f>K78+K79-K80-K81</f>
        <v>-1.6709836400000029</v>
      </c>
    </row>
    <row r="83" spans="3:185" ht="17.100000000000001" customHeight="1">
      <c r="C83" s="302" t="str">
        <f>D13</f>
        <v>MRG미수금</v>
      </c>
      <c r="AQ83" s="401"/>
      <c r="AT83" s="401"/>
      <c r="AU83" s="401"/>
      <c r="AV83" s="401"/>
      <c r="AW83" s="401"/>
      <c r="AX83" s="401"/>
      <c r="AY83" s="401"/>
      <c r="AZ83" s="401"/>
      <c r="BA83" s="401"/>
      <c r="BB83" s="401"/>
      <c r="BC83" s="401"/>
      <c r="BD83" s="401"/>
      <c r="BE83" s="401"/>
      <c r="BF83" s="401"/>
      <c r="BG83" s="401"/>
      <c r="BH83" s="401"/>
      <c r="BI83" s="401"/>
      <c r="BJ83" s="401"/>
      <c r="BK83" s="401"/>
      <c r="BL83" s="401"/>
      <c r="BM83" s="401"/>
      <c r="BN83" s="401"/>
      <c r="BO83" s="401"/>
      <c r="BP83" s="401"/>
      <c r="BQ83" s="401"/>
      <c r="BR83" s="401"/>
      <c r="BS83" s="401"/>
      <c r="BT83" s="401"/>
      <c r="BU83" s="401"/>
      <c r="BV83" s="401"/>
      <c r="BW83" s="401"/>
      <c r="BX83" s="401"/>
      <c r="BY83" s="401"/>
      <c r="BZ83" s="401"/>
      <c r="CA83" s="401"/>
      <c r="CB83" s="401"/>
      <c r="CC83" s="401"/>
      <c r="CD83" s="401"/>
      <c r="CE83" s="401"/>
      <c r="CF83" s="401"/>
      <c r="CG83" s="401"/>
      <c r="CH83" s="401"/>
      <c r="CI83" s="401"/>
      <c r="CJ83" s="401"/>
      <c r="CK83" s="401"/>
      <c r="CL83" s="401"/>
      <c r="CM83" s="401"/>
      <c r="CN83" s="401"/>
      <c r="CO83" s="401"/>
      <c r="CP83" s="401"/>
      <c r="CQ83" s="401"/>
      <c r="CR83" s="401"/>
      <c r="CS83" s="401"/>
      <c r="CT83" s="401"/>
      <c r="CU83" s="401"/>
      <c r="CV83" s="401"/>
      <c r="CW83" s="401"/>
      <c r="CX83" s="401"/>
      <c r="CY83" s="401"/>
      <c r="CZ83" s="401"/>
      <c r="DA83" s="401"/>
      <c r="DB83" s="401"/>
      <c r="DC83" s="401"/>
      <c r="DD83" s="401"/>
      <c r="DE83" s="401"/>
      <c r="DF83" s="401"/>
      <c r="DG83" s="401"/>
      <c r="DH83" s="401"/>
      <c r="DI83" s="401"/>
      <c r="DJ83" s="401"/>
      <c r="DK83" s="401"/>
      <c r="DL83" s="401"/>
      <c r="DM83" s="401"/>
      <c r="DN83" s="401"/>
      <c r="DO83" s="401"/>
      <c r="DP83" s="401"/>
      <c r="DQ83" s="401"/>
      <c r="DR83" s="401"/>
      <c r="DS83" s="401"/>
      <c r="DT83" s="401"/>
      <c r="DU83" s="401"/>
      <c r="DV83" s="401"/>
      <c r="DW83" s="401"/>
      <c r="DX83" s="401"/>
      <c r="DY83" s="401"/>
      <c r="DZ83" s="401"/>
      <c r="EA83" s="401"/>
      <c r="EB83" s="401"/>
      <c r="EC83" s="401"/>
      <c r="ED83" s="401"/>
      <c r="EE83" s="401"/>
      <c r="EF83" s="401"/>
      <c r="EG83" s="401"/>
      <c r="EH83" s="401"/>
      <c r="EI83" s="401"/>
      <c r="EJ83" s="401"/>
      <c r="EK83" s="401"/>
      <c r="EL83" s="401"/>
      <c r="EM83" s="401"/>
      <c r="EN83" s="401"/>
      <c r="EO83" s="401"/>
      <c r="EP83" s="401"/>
      <c r="EQ83" s="401"/>
      <c r="ER83" s="401"/>
      <c r="ES83" s="401"/>
      <c r="ET83" s="401"/>
      <c r="EU83" s="401"/>
      <c r="EV83" s="401"/>
      <c r="EW83" s="401"/>
      <c r="EX83" s="401"/>
      <c r="EY83" s="401"/>
      <c r="EZ83" s="401"/>
      <c r="FA83" s="401"/>
      <c r="FB83" s="401"/>
      <c r="FC83" s="401"/>
      <c r="FD83" s="401"/>
      <c r="FE83" s="401"/>
      <c r="FF83" s="401"/>
      <c r="FG83" s="401"/>
      <c r="FH83" s="401"/>
      <c r="FI83" s="401"/>
      <c r="FJ83" s="401"/>
      <c r="FK83" s="401"/>
      <c r="FL83" s="401"/>
      <c r="FM83" s="401"/>
      <c r="FN83" s="401"/>
      <c r="FO83" s="401"/>
      <c r="FP83" s="401"/>
      <c r="FQ83" s="401"/>
      <c r="FR83" s="401"/>
      <c r="FS83" s="401"/>
      <c r="FT83" s="401"/>
      <c r="FU83" s="401"/>
      <c r="FV83" s="401"/>
      <c r="FW83" s="401"/>
      <c r="FX83" s="401"/>
      <c r="FY83" s="401"/>
      <c r="FZ83" s="401"/>
      <c r="GA83" s="401"/>
      <c r="GB83" s="401"/>
      <c r="GC83" s="401"/>
    </row>
    <row r="84" spans="3:185" ht="17.100000000000001" customHeight="1">
      <c r="C84" s="717"/>
      <c r="D84" s="718" t="s">
        <v>780</v>
      </c>
      <c r="E84" s="719"/>
      <c r="F84" s="718"/>
      <c r="G84" s="718"/>
      <c r="H84" s="718"/>
      <c r="I84" s="1684">
        <f>J84-1</f>
        <v>2018</v>
      </c>
      <c r="J84" s="766">
        <f>$J$7</f>
        <v>2019</v>
      </c>
      <c r="K84" s="766">
        <f t="shared" ref="K84:BB84" si="52">J84+1</f>
        <v>2020</v>
      </c>
      <c r="L84" s="766">
        <f t="shared" si="52"/>
        <v>2021</v>
      </c>
      <c r="M84" s="766">
        <f t="shared" si="52"/>
        <v>2022</v>
      </c>
      <c r="N84" s="766">
        <f t="shared" si="52"/>
        <v>2023</v>
      </c>
      <c r="O84" s="766">
        <f t="shared" si="52"/>
        <v>2024</v>
      </c>
      <c r="P84" s="766">
        <f t="shared" si="52"/>
        <v>2025</v>
      </c>
      <c r="Q84" s="766">
        <f t="shared" si="52"/>
        <v>2026</v>
      </c>
      <c r="R84" s="766">
        <f t="shared" si="52"/>
        <v>2027</v>
      </c>
      <c r="S84" s="766">
        <f t="shared" si="52"/>
        <v>2028</v>
      </c>
      <c r="T84" s="766">
        <f t="shared" si="52"/>
        <v>2029</v>
      </c>
      <c r="U84" s="766">
        <f t="shared" si="52"/>
        <v>2030</v>
      </c>
      <c r="V84" s="766">
        <f t="shared" si="52"/>
        <v>2031</v>
      </c>
      <c r="W84" s="766">
        <f t="shared" si="52"/>
        <v>2032</v>
      </c>
      <c r="X84" s="766">
        <f t="shared" si="52"/>
        <v>2033</v>
      </c>
      <c r="Y84" s="766">
        <f t="shared" si="52"/>
        <v>2034</v>
      </c>
      <c r="Z84" s="766">
        <f t="shared" si="52"/>
        <v>2035</v>
      </c>
      <c r="AA84" s="766">
        <f t="shared" si="52"/>
        <v>2036</v>
      </c>
      <c r="AB84" s="766">
        <f t="shared" si="52"/>
        <v>2037</v>
      </c>
      <c r="AC84" s="766">
        <f t="shared" si="52"/>
        <v>2038</v>
      </c>
      <c r="AD84" s="766">
        <f t="shared" si="52"/>
        <v>2039</v>
      </c>
      <c r="AE84" s="766">
        <f t="shared" si="52"/>
        <v>2040</v>
      </c>
      <c r="AF84" s="766">
        <f t="shared" si="52"/>
        <v>2041</v>
      </c>
      <c r="AG84" s="766">
        <f t="shared" si="52"/>
        <v>2042</v>
      </c>
      <c r="AH84" s="766">
        <f t="shared" si="52"/>
        <v>2043</v>
      </c>
      <c r="AI84" s="766">
        <f t="shared" si="52"/>
        <v>2044</v>
      </c>
      <c r="AJ84" s="766">
        <f t="shared" si="52"/>
        <v>2045</v>
      </c>
      <c r="AK84" s="766">
        <f t="shared" si="52"/>
        <v>2046</v>
      </c>
      <c r="AL84" s="766">
        <f t="shared" si="52"/>
        <v>2047</v>
      </c>
      <c r="AM84" s="766">
        <f t="shared" si="52"/>
        <v>2048</v>
      </c>
      <c r="AN84" s="766">
        <f t="shared" si="52"/>
        <v>2049</v>
      </c>
      <c r="AO84" s="766">
        <f t="shared" si="52"/>
        <v>2050</v>
      </c>
      <c r="AP84" s="766">
        <f t="shared" si="52"/>
        <v>2051</v>
      </c>
      <c r="AQ84" s="766">
        <f t="shared" si="52"/>
        <v>2052</v>
      </c>
      <c r="AR84" s="766">
        <f t="shared" si="52"/>
        <v>2053</v>
      </c>
      <c r="AS84" s="766">
        <f t="shared" si="52"/>
        <v>2054</v>
      </c>
      <c r="AT84" s="766">
        <f t="shared" si="52"/>
        <v>2055</v>
      </c>
      <c r="AU84" s="766">
        <f t="shared" si="52"/>
        <v>2056</v>
      </c>
      <c r="AV84" s="766">
        <f t="shared" si="52"/>
        <v>2057</v>
      </c>
      <c r="AW84" s="766">
        <f t="shared" si="52"/>
        <v>2058</v>
      </c>
      <c r="AX84" s="766">
        <f t="shared" si="52"/>
        <v>2059</v>
      </c>
      <c r="AY84" s="766">
        <f t="shared" si="52"/>
        <v>2060</v>
      </c>
      <c r="AZ84" s="766">
        <f t="shared" si="52"/>
        <v>2061</v>
      </c>
      <c r="BA84" s="766">
        <f t="shared" si="52"/>
        <v>2062</v>
      </c>
      <c r="BB84" s="766">
        <f t="shared" si="52"/>
        <v>2063</v>
      </c>
    </row>
    <row r="85" spans="3:185" ht="17.100000000000001" customHeight="1">
      <c r="C85" s="720"/>
      <c r="D85" s="774" t="s">
        <v>1080</v>
      </c>
      <c r="E85" s="722"/>
      <c r="F85" s="1625"/>
      <c r="G85" s="1625"/>
      <c r="H85" s="1625"/>
      <c r="I85" s="1666"/>
      <c r="J85" s="1666">
        <f t="shared" ref="J85:BB85" si="53">I88</f>
        <v>0</v>
      </c>
      <c r="K85" s="1688">
        <f>J88</f>
        <v>131.56974478239997</v>
      </c>
      <c r="L85" s="1360">
        <f t="shared" si="53"/>
        <v>35.733911210000002</v>
      </c>
      <c r="M85" s="1360">
        <f t="shared" si="53"/>
        <v>49.096530639999997</v>
      </c>
      <c r="N85" s="1360">
        <f t="shared" ca="1" si="53"/>
        <v>116.50598518205533</v>
      </c>
      <c r="O85" s="1360">
        <f t="shared" ca="1" si="53"/>
        <v>78.993100900510882</v>
      </c>
      <c r="P85" s="1360">
        <f t="shared" ca="1" si="53"/>
        <v>94.521245519737207</v>
      </c>
      <c r="Q85" s="1360">
        <f t="shared" ca="1" si="53"/>
        <v>110.22455417193649</v>
      </c>
      <c r="R85" s="1360">
        <f t="shared" ca="1" si="53"/>
        <v>110.22455417193649</v>
      </c>
      <c r="S85" s="1360">
        <f t="shared" ca="1" si="53"/>
        <v>110.22455417193649</v>
      </c>
      <c r="T85" s="1360">
        <f t="shared" ca="1" si="53"/>
        <v>110.22455417193649</v>
      </c>
      <c r="U85" s="1360">
        <f t="shared" ca="1" si="53"/>
        <v>110.22455417193649</v>
      </c>
      <c r="V85" s="1360">
        <f t="shared" ca="1" si="53"/>
        <v>110.22455417193649</v>
      </c>
      <c r="W85" s="1360">
        <f t="shared" ca="1" si="53"/>
        <v>110.22455417193649</v>
      </c>
      <c r="X85" s="1360">
        <f t="shared" ca="1" si="53"/>
        <v>110.22455417193649</v>
      </c>
      <c r="Y85" s="1360">
        <f t="shared" ca="1" si="53"/>
        <v>110.22455417193649</v>
      </c>
      <c r="Z85" s="1360">
        <f t="shared" ca="1" si="53"/>
        <v>110.22455417193649</v>
      </c>
      <c r="AA85" s="1360">
        <f t="shared" ca="1" si="53"/>
        <v>110.22455417193649</v>
      </c>
      <c r="AB85" s="1360">
        <f t="shared" ca="1" si="53"/>
        <v>110.22455417193649</v>
      </c>
      <c r="AC85" s="1360">
        <f t="shared" ca="1" si="53"/>
        <v>110.22455417193649</v>
      </c>
      <c r="AD85" s="1360">
        <f t="shared" ca="1" si="53"/>
        <v>110.22455417193649</v>
      </c>
      <c r="AE85" s="1360">
        <f t="shared" ca="1" si="53"/>
        <v>110.22455417193649</v>
      </c>
      <c r="AF85" s="1360">
        <f t="shared" ca="1" si="53"/>
        <v>110.22455417193649</v>
      </c>
      <c r="AG85" s="1360">
        <f t="shared" ca="1" si="53"/>
        <v>110.22455417193649</v>
      </c>
      <c r="AH85" s="1360">
        <f t="shared" ca="1" si="53"/>
        <v>110.22455417193649</v>
      </c>
      <c r="AI85" s="1360">
        <f t="shared" ca="1" si="53"/>
        <v>110.22455417193649</v>
      </c>
      <c r="AJ85" s="1360">
        <f t="shared" ca="1" si="53"/>
        <v>110.22455417193649</v>
      </c>
      <c r="AK85" s="1360">
        <f t="shared" ca="1" si="53"/>
        <v>110.22455417193649</v>
      </c>
      <c r="AL85" s="1360">
        <f t="shared" ca="1" si="53"/>
        <v>110.22455417193649</v>
      </c>
      <c r="AM85" s="1360">
        <f t="shared" ca="1" si="53"/>
        <v>110.22455417193649</v>
      </c>
      <c r="AN85" s="1360">
        <f t="shared" ca="1" si="53"/>
        <v>110.22455417193649</v>
      </c>
      <c r="AO85" s="1360">
        <f t="shared" ca="1" si="53"/>
        <v>110.22455417193649</v>
      </c>
      <c r="AP85" s="1360">
        <f t="shared" ca="1" si="53"/>
        <v>110.22455417193649</v>
      </c>
      <c r="AQ85" s="1360">
        <f t="shared" ca="1" si="53"/>
        <v>110.22455417193649</v>
      </c>
      <c r="AR85" s="1360">
        <f t="shared" ca="1" si="53"/>
        <v>110.22455417193649</v>
      </c>
      <c r="AS85" s="1360">
        <f t="shared" ca="1" si="53"/>
        <v>110.22455417193649</v>
      </c>
      <c r="AT85" s="1360">
        <f t="shared" ca="1" si="53"/>
        <v>110.22455417193649</v>
      </c>
      <c r="AU85" s="1360">
        <f t="shared" ca="1" si="53"/>
        <v>110.22455417193649</v>
      </c>
      <c r="AV85" s="1360">
        <f t="shared" ca="1" si="53"/>
        <v>110.22455417193649</v>
      </c>
      <c r="AW85" s="1360">
        <f t="shared" ca="1" si="53"/>
        <v>110.22455417193649</v>
      </c>
      <c r="AX85" s="1360">
        <f t="shared" ca="1" si="53"/>
        <v>110.22455417193649</v>
      </c>
      <c r="AY85" s="1360">
        <f t="shared" ca="1" si="53"/>
        <v>0</v>
      </c>
      <c r="AZ85" s="1360">
        <f t="shared" ca="1" si="53"/>
        <v>0</v>
      </c>
      <c r="BA85" s="1360">
        <f t="shared" ca="1" si="53"/>
        <v>0</v>
      </c>
      <c r="BB85" s="1360">
        <f t="shared" ca="1" si="53"/>
        <v>0</v>
      </c>
    </row>
    <row r="86" spans="3:185" ht="17.100000000000001" customHeight="1">
      <c r="C86" s="1409"/>
      <c r="D86" s="1410" t="s">
        <v>1270</v>
      </c>
      <c r="E86" s="1411"/>
      <c r="F86" s="1667"/>
      <c r="G86" s="1667"/>
      <c r="H86" s="1667"/>
      <c r="I86" s="945"/>
      <c r="J86" s="1689">
        <f>매출!H69</f>
        <v>139.53372493239996</v>
      </c>
      <c r="K86" s="1689">
        <f>K87-K85+K88</f>
        <v>162.31087454760006</v>
      </c>
      <c r="L86" s="946">
        <f>'IS(Y)'!M11</f>
        <v>103.99844322999999</v>
      </c>
      <c r="M86" s="946">
        <f ca="1">'IS(Y)'!N11</f>
        <v>127.40945454205534</v>
      </c>
      <c r="N86" s="946">
        <f ca="1">'IS(Y)'!O11</f>
        <v>134.56777271582553</v>
      </c>
      <c r="O86" s="946">
        <f ca="1">'IS(Y)'!P11</f>
        <v>129.73915563145067</v>
      </c>
      <c r="P86" s="946">
        <f ca="1">'IS(Y)'!Q11</f>
        <v>59.849694344523293</v>
      </c>
      <c r="Q86" s="946">
        <f>'IS(Y)'!R11</f>
        <v>0</v>
      </c>
      <c r="R86" s="946">
        <f>'IS(Y)'!S11</f>
        <v>0</v>
      </c>
      <c r="S86" s="946"/>
      <c r="T86" s="946"/>
      <c r="U86" s="946"/>
      <c r="V86" s="946"/>
      <c r="W86" s="946"/>
      <c r="X86" s="946"/>
      <c r="Y86" s="946"/>
      <c r="Z86" s="946"/>
      <c r="AA86" s="946"/>
      <c r="AB86" s="946"/>
      <c r="AC86" s="946"/>
      <c r="AD86" s="946"/>
      <c r="AE86" s="946"/>
      <c r="AF86" s="946"/>
      <c r="AG86" s="946"/>
      <c r="AH86" s="946"/>
      <c r="AI86" s="946"/>
      <c r="AJ86" s="946"/>
      <c r="AK86" s="946"/>
      <c r="AL86" s="946"/>
      <c r="AM86" s="946"/>
      <c r="AN86" s="946"/>
      <c r="AO86" s="946"/>
      <c r="AP86" s="946"/>
      <c r="AQ86" s="946"/>
      <c r="AR86" s="946"/>
      <c r="AS86" s="946"/>
      <c r="AT86" s="946"/>
      <c r="AU86" s="946"/>
      <c r="AV86" s="946"/>
      <c r="AW86" s="946"/>
      <c r="AX86" s="946"/>
      <c r="AY86" s="946"/>
      <c r="AZ86" s="946"/>
      <c r="BA86" s="946"/>
      <c r="BB86" s="946"/>
    </row>
    <row r="87" spans="3:185" ht="17.100000000000001" customHeight="1">
      <c r="C87" s="1415"/>
      <c r="D87" s="1416" t="s">
        <v>1271</v>
      </c>
      <c r="E87" s="1352"/>
      <c r="F87" s="1685"/>
      <c r="G87" s="1685"/>
      <c r="H87" s="1685"/>
      <c r="I87" s="1686"/>
      <c r="J87" s="1686">
        <f>'CF(Y)'!K13</f>
        <v>7.9639801499999994</v>
      </c>
      <c r="K87" s="1686">
        <f>'CF(Y)'!L13</f>
        <v>258.14670812000003</v>
      </c>
      <c r="L87" s="1353">
        <f>'CF(Y)'!M13+SUM(L85:L86)*(L84=YEAR(Sensitivity!$E$13))</f>
        <v>90.635823799999997</v>
      </c>
      <c r="M87" s="1353">
        <f ca="1">'CF(Y)'!N13+SUM(M85:M86)*(M84=YEAR(Sensitivity!$E$13))</f>
        <v>60</v>
      </c>
      <c r="N87" s="1353">
        <f ca="1">'CF(Y)'!O13+SUM(N85:N86)*(N84=YEAR(Sensitivity!$E$13))</f>
        <v>172.08065699736997</v>
      </c>
      <c r="O87" s="1353">
        <f ca="1">'CF(Y)'!P13+SUM(O85:O86)*(O84=YEAR(Sensitivity!$E$13))</f>
        <v>114.21101101222435</v>
      </c>
      <c r="P87" s="1353">
        <f ca="1">'CF(Y)'!Q13+SUM(P85:P86)*(P84=YEAR(Sensitivity!$E$13))</f>
        <v>44.146385692323996</v>
      </c>
      <c r="Q87" s="1353">
        <f ca="1">'CF(Y)'!R13+SUM(Q85:Q86)*(Q84=YEAR(Sensitivity!$E$13))</f>
        <v>0</v>
      </c>
      <c r="R87" s="1353">
        <f ca="1">'CF(Y)'!S13+SUM(R85:R86)*(R84=YEAR(Sensitivity!$E$13))</f>
        <v>0</v>
      </c>
      <c r="S87" s="1353">
        <f ca="1">'CF(Y)'!T13+SUM(S85:S86)*(S84=YEAR(Sensitivity!$E$13))</f>
        <v>0</v>
      </c>
      <c r="T87" s="1353">
        <f ca="1">'CF(Y)'!U13+SUM(T85:T86)*(T84=YEAR(Sensitivity!$E$13))</f>
        <v>0</v>
      </c>
      <c r="U87" s="1353">
        <f ca="1">'CF(Y)'!V13+SUM(U85:U86)*(U84=YEAR(Sensitivity!$E$13))</f>
        <v>0</v>
      </c>
      <c r="V87" s="1353">
        <f ca="1">'CF(Y)'!W13+SUM(V85:V86)*(V84=YEAR(Sensitivity!$E$13))</f>
        <v>0</v>
      </c>
      <c r="W87" s="1353">
        <f ca="1">'CF(Y)'!X13+SUM(W85:W86)*(W84=YEAR(Sensitivity!$E$13))</f>
        <v>0</v>
      </c>
      <c r="X87" s="1353">
        <f ca="1">'CF(Y)'!Y13+SUM(X85:X86)*(X84=YEAR(Sensitivity!$E$13))</f>
        <v>0</v>
      </c>
      <c r="Y87" s="1353">
        <f ca="1">'CF(Y)'!Z13+SUM(Y85:Y86)*(Y84=YEAR(Sensitivity!$E$13))</f>
        <v>0</v>
      </c>
      <c r="Z87" s="1353">
        <f ca="1">'CF(Y)'!AA13+SUM(Z85:Z86)*(Z84=YEAR(Sensitivity!$E$13))</f>
        <v>0</v>
      </c>
      <c r="AA87" s="1353">
        <f ca="1">'CF(Y)'!AB13+SUM(AA85:AA86)*(AA84=YEAR(Sensitivity!$E$13))</f>
        <v>0</v>
      </c>
      <c r="AB87" s="1353">
        <f ca="1">'CF(Y)'!AC13+SUM(AB85:AB86)*(AB84=YEAR(Sensitivity!$E$13))</f>
        <v>0</v>
      </c>
      <c r="AC87" s="1353">
        <f ca="1">'CF(Y)'!AD13+SUM(AC85:AC86)*(AC84=YEAR(Sensitivity!$E$13))</f>
        <v>0</v>
      </c>
      <c r="AD87" s="1353">
        <f ca="1">'CF(Y)'!AE13+SUM(AD85:AD86)*(AD84=YEAR(Sensitivity!$E$13))</f>
        <v>0</v>
      </c>
      <c r="AE87" s="1353">
        <f ca="1">'CF(Y)'!AF13+SUM(AE85:AE86)*(AE84=YEAR(Sensitivity!$E$13))</f>
        <v>0</v>
      </c>
      <c r="AF87" s="1353">
        <f ca="1">'CF(Y)'!AG13+SUM(AF85:AF86)*(AF84=YEAR(Sensitivity!$E$13))</f>
        <v>0</v>
      </c>
      <c r="AG87" s="1353">
        <f ca="1">'CF(Y)'!AH13+SUM(AG85:AG86)*(AG84=YEAR(Sensitivity!$E$13))</f>
        <v>0</v>
      </c>
      <c r="AH87" s="1353">
        <f ca="1">'CF(Y)'!AI13+SUM(AH85:AH86)*(AH84=YEAR(Sensitivity!$E$13))</f>
        <v>0</v>
      </c>
      <c r="AI87" s="1353">
        <f ca="1">'CF(Y)'!AJ13+SUM(AI85:AI86)*(AI84=YEAR(Sensitivity!$E$13))</f>
        <v>0</v>
      </c>
      <c r="AJ87" s="1353">
        <f ca="1">'CF(Y)'!AK13+SUM(AJ85:AJ86)*(AJ84=YEAR(Sensitivity!$E$13))</f>
        <v>0</v>
      </c>
      <c r="AK87" s="1353">
        <f ca="1">'CF(Y)'!AL13+SUM(AK85:AK86)*(AK84=YEAR(Sensitivity!$E$13))</f>
        <v>0</v>
      </c>
      <c r="AL87" s="1353">
        <f ca="1">'CF(Y)'!AM13+SUM(AL85:AL86)*(AL84=YEAR(Sensitivity!$E$13))</f>
        <v>0</v>
      </c>
      <c r="AM87" s="1353">
        <f ca="1">'CF(Y)'!AN13+SUM(AM85:AM86)*(AM84=YEAR(Sensitivity!$E$13))</f>
        <v>0</v>
      </c>
      <c r="AN87" s="1353">
        <f ca="1">'CF(Y)'!AO13+SUM(AN85:AN86)*(AN84=YEAR(Sensitivity!$E$13))</f>
        <v>0</v>
      </c>
      <c r="AO87" s="1353">
        <f ca="1">'CF(Y)'!AP13+SUM(AO85:AO86)*(AO84=YEAR(Sensitivity!$E$13))</f>
        <v>0</v>
      </c>
      <c r="AP87" s="1353">
        <f ca="1">'CF(Y)'!AQ13+SUM(AP85:AP86)*(AP84=YEAR(Sensitivity!$E$13))</f>
        <v>0</v>
      </c>
      <c r="AQ87" s="1353">
        <f ca="1">'CF(Y)'!AR13+SUM(AQ85:AQ86)*(AQ84=YEAR(Sensitivity!$E$13))</f>
        <v>0</v>
      </c>
      <c r="AR87" s="1353">
        <f ca="1">'CF(Y)'!AS13+SUM(AR85:AR86)*(AR84=YEAR(Sensitivity!$E$13))</f>
        <v>0</v>
      </c>
      <c r="AS87" s="1353">
        <f ca="1">'CF(Y)'!AT13+SUM(AS85:AS86)*(AS84=YEAR(Sensitivity!$E$13))</f>
        <v>0</v>
      </c>
      <c r="AT87" s="1353">
        <f ca="1">'CF(Y)'!AU13+SUM(AT85:AT86)*(AT84=YEAR(Sensitivity!$E$13))</f>
        <v>0</v>
      </c>
      <c r="AU87" s="1353">
        <f ca="1">'CF(Y)'!AV13+SUM(AU85:AU86)*(AU84=YEAR(Sensitivity!$E$13))</f>
        <v>0</v>
      </c>
      <c r="AV87" s="1353">
        <f ca="1">'CF(Y)'!AW13+SUM(AV85:AV86)*(AV84=YEAR(Sensitivity!$E$13))</f>
        <v>0</v>
      </c>
      <c r="AW87" s="1353">
        <f ca="1">'CF(Y)'!AX13+SUM(AW85:AW86)*(AW84=YEAR(Sensitivity!$E$13))</f>
        <v>0</v>
      </c>
      <c r="AX87" s="1353">
        <f ca="1">'CF(Y)'!AY13+SUM(AX85:AX86)*(AX84=YEAR(Sensitivity!$E$13))</f>
        <v>110.22455417193649</v>
      </c>
      <c r="AY87" s="1353">
        <f ca="1">'CF(Y)'!AZ13+SUM(AY85:AY86)*(AY84=YEAR(Sensitivity!$E$13))</f>
        <v>0</v>
      </c>
      <c r="AZ87" s="1353">
        <f ca="1">'CF(Y)'!BA13+SUM(AZ85:AZ86)*(AZ84=YEAR(Sensitivity!$E$13))</f>
        <v>0</v>
      </c>
      <c r="BA87" s="1353">
        <f ca="1">'CF(Y)'!BB13+SUM(BA85:BA86)*(BA84=YEAR(Sensitivity!$E$13))</f>
        <v>0</v>
      </c>
      <c r="BB87" s="1353">
        <f ca="1">'CF(Y)'!BC13+SUM(BB85:BB86)*(BB84=YEAR(Sensitivity!$E$13))</f>
        <v>0</v>
      </c>
    </row>
    <row r="88" spans="3:185" ht="17.100000000000001" customHeight="1">
      <c r="C88" s="952"/>
      <c r="D88" s="777" t="s">
        <v>1096</v>
      </c>
      <c r="E88" s="747"/>
      <c r="F88" s="1668"/>
      <c r="G88" s="1668"/>
      <c r="H88" s="1668"/>
      <c r="I88" s="1639">
        <f>I13</f>
        <v>0</v>
      </c>
      <c r="J88" s="1639">
        <f>J85+J86-J87</f>
        <v>131.56974478239997</v>
      </c>
      <c r="K88" s="1687">
        <f>실적!C14/단위</f>
        <v>35.733911210000002</v>
      </c>
      <c r="L88" s="954">
        <f t="shared" ref="L88:BB88" si="54">L85+L86-L87</f>
        <v>49.096530639999997</v>
      </c>
      <c r="M88" s="954">
        <f t="shared" ca="1" si="54"/>
        <v>116.50598518205533</v>
      </c>
      <c r="N88" s="954">
        <f t="shared" ca="1" si="54"/>
        <v>78.993100900510882</v>
      </c>
      <c r="O88" s="954">
        <f t="shared" ca="1" si="54"/>
        <v>94.521245519737207</v>
      </c>
      <c r="P88" s="954">
        <f t="shared" ca="1" si="54"/>
        <v>110.22455417193649</v>
      </c>
      <c r="Q88" s="954">
        <f t="shared" ca="1" si="54"/>
        <v>110.22455417193649</v>
      </c>
      <c r="R88" s="954">
        <f t="shared" ca="1" si="54"/>
        <v>110.22455417193649</v>
      </c>
      <c r="S88" s="954">
        <f t="shared" ca="1" si="54"/>
        <v>110.22455417193649</v>
      </c>
      <c r="T88" s="954">
        <f t="shared" ca="1" si="54"/>
        <v>110.22455417193649</v>
      </c>
      <c r="U88" s="954">
        <f t="shared" ca="1" si="54"/>
        <v>110.22455417193649</v>
      </c>
      <c r="V88" s="954">
        <f t="shared" ca="1" si="54"/>
        <v>110.22455417193649</v>
      </c>
      <c r="W88" s="954">
        <f t="shared" ca="1" si="54"/>
        <v>110.22455417193649</v>
      </c>
      <c r="X88" s="954">
        <f t="shared" ca="1" si="54"/>
        <v>110.22455417193649</v>
      </c>
      <c r="Y88" s="954">
        <f t="shared" ca="1" si="54"/>
        <v>110.22455417193649</v>
      </c>
      <c r="Z88" s="954">
        <f t="shared" ca="1" si="54"/>
        <v>110.22455417193649</v>
      </c>
      <c r="AA88" s="954">
        <f t="shared" ca="1" si="54"/>
        <v>110.22455417193649</v>
      </c>
      <c r="AB88" s="954">
        <f t="shared" ca="1" si="54"/>
        <v>110.22455417193649</v>
      </c>
      <c r="AC88" s="954">
        <f t="shared" ca="1" si="54"/>
        <v>110.22455417193649</v>
      </c>
      <c r="AD88" s="954">
        <f t="shared" ca="1" si="54"/>
        <v>110.22455417193649</v>
      </c>
      <c r="AE88" s="954">
        <f t="shared" ca="1" si="54"/>
        <v>110.22455417193649</v>
      </c>
      <c r="AF88" s="954">
        <f t="shared" ca="1" si="54"/>
        <v>110.22455417193649</v>
      </c>
      <c r="AG88" s="954">
        <f t="shared" ca="1" si="54"/>
        <v>110.22455417193649</v>
      </c>
      <c r="AH88" s="954">
        <f t="shared" ca="1" si="54"/>
        <v>110.22455417193649</v>
      </c>
      <c r="AI88" s="954">
        <f t="shared" ca="1" si="54"/>
        <v>110.22455417193649</v>
      </c>
      <c r="AJ88" s="954">
        <f t="shared" ca="1" si="54"/>
        <v>110.22455417193649</v>
      </c>
      <c r="AK88" s="954">
        <f t="shared" ca="1" si="54"/>
        <v>110.22455417193649</v>
      </c>
      <c r="AL88" s="954">
        <f t="shared" ca="1" si="54"/>
        <v>110.22455417193649</v>
      </c>
      <c r="AM88" s="954">
        <f t="shared" ca="1" si="54"/>
        <v>110.22455417193649</v>
      </c>
      <c r="AN88" s="954">
        <f t="shared" ca="1" si="54"/>
        <v>110.22455417193649</v>
      </c>
      <c r="AO88" s="954">
        <f t="shared" ca="1" si="54"/>
        <v>110.22455417193649</v>
      </c>
      <c r="AP88" s="954">
        <f t="shared" ca="1" si="54"/>
        <v>110.22455417193649</v>
      </c>
      <c r="AQ88" s="954">
        <f t="shared" ca="1" si="54"/>
        <v>110.22455417193649</v>
      </c>
      <c r="AR88" s="954">
        <f t="shared" ca="1" si="54"/>
        <v>110.22455417193649</v>
      </c>
      <c r="AS88" s="954">
        <f t="shared" ca="1" si="54"/>
        <v>110.22455417193649</v>
      </c>
      <c r="AT88" s="954">
        <f t="shared" ca="1" si="54"/>
        <v>110.22455417193649</v>
      </c>
      <c r="AU88" s="954">
        <f t="shared" ca="1" si="54"/>
        <v>110.22455417193649</v>
      </c>
      <c r="AV88" s="954">
        <f t="shared" ca="1" si="54"/>
        <v>110.22455417193649</v>
      </c>
      <c r="AW88" s="954">
        <f t="shared" ca="1" si="54"/>
        <v>110.22455417193649</v>
      </c>
      <c r="AX88" s="954">
        <f t="shared" ca="1" si="54"/>
        <v>0</v>
      </c>
      <c r="AY88" s="954">
        <f t="shared" ca="1" si="54"/>
        <v>0</v>
      </c>
      <c r="AZ88" s="954">
        <f t="shared" ca="1" si="54"/>
        <v>0</v>
      </c>
      <c r="BA88" s="954">
        <f t="shared" ca="1" si="54"/>
        <v>0</v>
      </c>
      <c r="BB88" s="954">
        <f t="shared" ca="1" si="54"/>
        <v>0</v>
      </c>
    </row>
    <row r="89" spans="3:185" ht="17.100000000000001" customHeight="1">
      <c r="D89" s="754"/>
      <c r="E89" s="755"/>
      <c r="F89" s="755"/>
      <c r="G89" s="755"/>
      <c r="H89" s="755"/>
      <c r="I89" s="1601"/>
      <c r="J89" s="788"/>
      <c r="K89" s="653">
        <f>K85+K86-K87-K88</f>
        <v>0</v>
      </c>
      <c r="L89" s="788"/>
      <c r="M89" s="788"/>
      <c r="N89" s="788"/>
      <c r="O89" s="788"/>
      <c r="P89" s="788">
        <f ca="1">SUM(MRG!O63:T63)/단위-P88</f>
        <v>1.0000036354540498E-8</v>
      </c>
      <c r="Q89" s="788"/>
      <c r="R89" s="788"/>
      <c r="S89" s="788"/>
      <c r="T89" s="788"/>
      <c r="U89" s="788"/>
      <c r="V89" s="788"/>
      <c r="W89" s="788"/>
      <c r="X89" s="788"/>
      <c r="Y89" s="788"/>
      <c r="Z89" s="788"/>
      <c r="AA89" s="788"/>
      <c r="AB89" s="788"/>
      <c r="AC89" s="788"/>
      <c r="AD89" s="788"/>
      <c r="AE89" s="788"/>
      <c r="AF89" s="788"/>
      <c r="AG89" s="788"/>
      <c r="AH89" s="788"/>
      <c r="AI89" s="788"/>
      <c r="AJ89" s="788"/>
      <c r="AK89" s="788"/>
      <c r="AL89" s="788"/>
      <c r="AM89" s="788"/>
      <c r="AN89" s="788"/>
      <c r="AO89" s="788"/>
      <c r="AP89" s="788"/>
      <c r="AQ89" s="788"/>
      <c r="AR89" s="788"/>
      <c r="AS89" s="788"/>
      <c r="AT89" s="788"/>
      <c r="AU89" s="788"/>
      <c r="AV89" s="788"/>
      <c r="AW89" s="788"/>
      <c r="AX89" s="788"/>
      <c r="AY89" s="788"/>
      <c r="AZ89" s="788"/>
      <c r="BA89" s="788"/>
      <c r="BB89" s="788"/>
    </row>
    <row r="90" spans="3:185" ht="17.100000000000001" customHeight="1">
      <c r="C90" s="302" t="s">
        <v>667</v>
      </c>
      <c r="I90" s="1690">
        <v>20</v>
      </c>
      <c r="K90" s="1691">
        <v>20</v>
      </c>
      <c r="AA90" s="401"/>
      <c r="AQ90" s="401"/>
    </row>
    <row r="91" spans="3:185" ht="17.100000000000001" customHeight="1">
      <c r="C91" s="717"/>
      <c r="D91" s="718" t="s">
        <v>780</v>
      </c>
      <c r="E91" s="719"/>
      <c r="F91" s="718"/>
      <c r="G91" s="718"/>
      <c r="H91" s="718"/>
      <c r="I91" s="1684">
        <f>I63</f>
        <v>2018</v>
      </c>
      <c r="J91" s="766">
        <f>J63</f>
        <v>2019</v>
      </c>
      <c r="K91" s="766">
        <f>J91+1</f>
        <v>2020</v>
      </c>
      <c r="L91" s="766">
        <f t="shared" ref="L91:BB91" si="55">K91+1</f>
        <v>2021</v>
      </c>
      <c r="M91" s="766">
        <f t="shared" si="55"/>
        <v>2022</v>
      </c>
      <c r="N91" s="766">
        <f t="shared" si="55"/>
        <v>2023</v>
      </c>
      <c r="O91" s="766">
        <f t="shared" si="55"/>
        <v>2024</v>
      </c>
      <c r="P91" s="766">
        <f t="shared" si="55"/>
        <v>2025</v>
      </c>
      <c r="Q91" s="766">
        <f t="shared" si="55"/>
        <v>2026</v>
      </c>
      <c r="R91" s="766">
        <f t="shared" si="55"/>
        <v>2027</v>
      </c>
      <c r="S91" s="766">
        <f t="shared" si="55"/>
        <v>2028</v>
      </c>
      <c r="T91" s="766">
        <f t="shared" si="55"/>
        <v>2029</v>
      </c>
      <c r="U91" s="766">
        <f t="shared" si="55"/>
        <v>2030</v>
      </c>
      <c r="V91" s="766">
        <f t="shared" si="55"/>
        <v>2031</v>
      </c>
      <c r="W91" s="766">
        <f t="shared" si="55"/>
        <v>2032</v>
      </c>
      <c r="X91" s="766">
        <f t="shared" si="55"/>
        <v>2033</v>
      </c>
      <c r="Y91" s="766">
        <f t="shared" si="55"/>
        <v>2034</v>
      </c>
      <c r="Z91" s="766">
        <f t="shared" si="55"/>
        <v>2035</v>
      </c>
      <c r="AA91" s="766">
        <f t="shared" si="55"/>
        <v>2036</v>
      </c>
      <c r="AB91" s="766">
        <f t="shared" si="55"/>
        <v>2037</v>
      </c>
      <c r="AC91" s="766">
        <f t="shared" si="55"/>
        <v>2038</v>
      </c>
      <c r="AD91" s="766">
        <f t="shared" si="55"/>
        <v>2039</v>
      </c>
      <c r="AE91" s="766">
        <f t="shared" si="55"/>
        <v>2040</v>
      </c>
      <c r="AF91" s="766">
        <f t="shared" si="55"/>
        <v>2041</v>
      </c>
      <c r="AG91" s="766">
        <f t="shared" si="55"/>
        <v>2042</v>
      </c>
      <c r="AH91" s="766">
        <f t="shared" si="55"/>
        <v>2043</v>
      </c>
      <c r="AI91" s="766">
        <f t="shared" si="55"/>
        <v>2044</v>
      </c>
      <c r="AJ91" s="766">
        <f t="shared" si="55"/>
        <v>2045</v>
      </c>
      <c r="AK91" s="766">
        <f t="shared" si="55"/>
        <v>2046</v>
      </c>
      <c r="AL91" s="766">
        <f t="shared" si="55"/>
        <v>2047</v>
      </c>
      <c r="AM91" s="766">
        <f t="shared" si="55"/>
        <v>2048</v>
      </c>
      <c r="AN91" s="766">
        <f t="shared" si="55"/>
        <v>2049</v>
      </c>
      <c r="AO91" s="766">
        <f t="shared" si="55"/>
        <v>2050</v>
      </c>
      <c r="AP91" s="766">
        <f t="shared" si="55"/>
        <v>2051</v>
      </c>
      <c r="AQ91" s="766">
        <f t="shared" si="55"/>
        <v>2052</v>
      </c>
      <c r="AR91" s="766">
        <f t="shared" si="55"/>
        <v>2053</v>
      </c>
      <c r="AS91" s="766">
        <f t="shared" si="55"/>
        <v>2054</v>
      </c>
      <c r="AT91" s="766">
        <f t="shared" si="55"/>
        <v>2055</v>
      </c>
      <c r="AU91" s="766">
        <f t="shared" si="55"/>
        <v>2056</v>
      </c>
      <c r="AV91" s="766">
        <f t="shared" si="55"/>
        <v>2057</v>
      </c>
      <c r="AW91" s="766">
        <f t="shared" si="55"/>
        <v>2058</v>
      </c>
      <c r="AX91" s="766">
        <f t="shared" si="55"/>
        <v>2059</v>
      </c>
      <c r="AY91" s="766">
        <f t="shared" si="55"/>
        <v>2060</v>
      </c>
      <c r="AZ91" s="766">
        <f t="shared" si="55"/>
        <v>2061</v>
      </c>
      <c r="BA91" s="766">
        <f t="shared" si="55"/>
        <v>2062</v>
      </c>
      <c r="BB91" s="766">
        <f t="shared" si="55"/>
        <v>2063</v>
      </c>
    </row>
    <row r="92" spans="3:185" ht="17.100000000000001" customHeight="1">
      <c r="C92" s="720"/>
      <c r="D92" s="774" t="s">
        <v>1080</v>
      </c>
      <c r="E92" s="722"/>
      <c r="F92" s="1625"/>
      <c r="G92" s="1625"/>
      <c r="H92" s="1625"/>
      <c r="I92" s="1692"/>
      <c r="J92" s="1692">
        <v>330.62682324999997</v>
      </c>
      <c r="K92" s="1666">
        <v>0</v>
      </c>
      <c r="L92" s="1360">
        <f t="shared" ref="L92:BB92" si="56">K95</f>
        <v>272.00960780000003</v>
      </c>
      <c r="M92" s="1360">
        <f t="shared" ca="1" si="56"/>
        <v>354.17312833500006</v>
      </c>
      <c r="N92" s="1360">
        <f t="shared" ca="1" si="56"/>
        <v>353.86268737000006</v>
      </c>
      <c r="O92" s="1360">
        <f t="shared" ca="1" si="56"/>
        <v>334.25724640500005</v>
      </c>
      <c r="P92" s="1360">
        <f t="shared" ca="1" si="56"/>
        <v>314.65180544000003</v>
      </c>
      <c r="Q92" s="1360">
        <f t="shared" ca="1" si="56"/>
        <v>298.01208590350001</v>
      </c>
      <c r="R92" s="1360">
        <f t="shared" ca="1" si="56"/>
        <v>282.95329880617248</v>
      </c>
      <c r="S92" s="1360">
        <f t="shared" ca="1" si="56"/>
        <v>271.61687400328412</v>
      </c>
      <c r="T92" s="1360">
        <f t="shared" ca="1" si="56"/>
        <v>251.55878733902782</v>
      </c>
      <c r="U92" s="1360">
        <f t="shared" ca="1" si="56"/>
        <v>248.04562539464882</v>
      </c>
      <c r="V92" s="1360">
        <f t="shared" ca="1" si="56"/>
        <v>251.60135202460998</v>
      </c>
      <c r="W92" s="1360">
        <f t="shared" ca="1" si="56"/>
        <v>269.10828351497861</v>
      </c>
      <c r="X92" s="1360">
        <f t="shared" ca="1" si="56"/>
        <v>273.91297739948249</v>
      </c>
      <c r="Y92" s="1360">
        <f t="shared" ca="1" si="56"/>
        <v>248.40228470105768</v>
      </c>
      <c r="Z92" s="1360">
        <f t="shared" ca="1" si="56"/>
        <v>254.42579047087605</v>
      </c>
      <c r="AA92" s="1360">
        <f t="shared" ca="1" si="56"/>
        <v>267.80251692557397</v>
      </c>
      <c r="AB92" s="1360">
        <f t="shared" ca="1" si="56"/>
        <v>294.72712140746569</v>
      </c>
      <c r="AC92" s="1360">
        <f t="shared" ca="1" si="56"/>
        <v>284.11412826506881</v>
      </c>
      <c r="AD92" s="1360">
        <f t="shared" ca="1" si="56"/>
        <v>306.30847851326314</v>
      </c>
      <c r="AE92" s="1360">
        <f t="shared" ca="1" si="56"/>
        <v>401.26000599748778</v>
      </c>
      <c r="AF92" s="1360">
        <f t="shared" ca="1" si="56"/>
        <v>422.56390756834338</v>
      </c>
      <c r="AG92" s="1360">
        <f t="shared" ca="1" si="56"/>
        <v>422.6339964312557</v>
      </c>
      <c r="AH92" s="1360">
        <f t="shared" ca="1" si="56"/>
        <v>434.02959094237019</v>
      </c>
      <c r="AI92" s="1360">
        <f t="shared" ca="1" si="56"/>
        <v>419.1026492387976</v>
      </c>
      <c r="AJ92" s="1360">
        <f t="shared" ca="1" si="56"/>
        <v>386.9986286706623</v>
      </c>
      <c r="AK92" s="1360">
        <f t="shared" ca="1" si="56"/>
        <v>356.01569703691132</v>
      </c>
      <c r="AL92" s="1360">
        <f t="shared" ca="1" si="56"/>
        <v>339.98995380907354</v>
      </c>
      <c r="AM92" s="1360">
        <f t="shared" ca="1" si="56"/>
        <v>318.6958878202372</v>
      </c>
      <c r="AN92" s="1360">
        <f t="shared" ca="1" si="56"/>
        <v>301.08772598936991</v>
      </c>
      <c r="AO92" s="1360">
        <f t="shared" ca="1" si="56"/>
        <v>295.50479733676354</v>
      </c>
      <c r="AP92" s="1360">
        <f t="shared" ca="1" si="56"/>
        <v>262.82653522306606</v>
      </c>
      <c r="AQ92" s="1360">
        <f t="shared" ca="1" si="56"/>
        <v>277.21779778688312</v>
      </c>
      <c r="AR92" s="1360">
        <f t="shared" ca="1" si="56"/>
        <v>254.3834312771788</v>
      </c>
      <c r="AS92" s="1360">
        <f t="shared" ca="1" si="56"/>
        <v>222.60937689907061</v>
      </c>
      <c r="AT92" s="1360">
        <f t="shared" ca="1" si="56"/>
        <v>213.12284950600153</v>
      </c>
      <c r="AU92" s="1360">
        <f t="shared" ca="1" si="56"/>
        <v>184.15675778714797</v>
      </c>
      <c r="AV92" s="1360">
        <f t="shared" ca="1" si="56"/>
        <v>165.61786783317288</v>
      </c>
      <c r="AW92" s="1360">
        <f t="shared" ca="1" si="56"/>
        <v>142.50719984926079</v>
      </c>
      <c r="AX92" s="1360">
        <f t="shared" ca="1" si="56"/>
        <v>133.00207648208303</v>
      </c>
      <c r="AY92" s="1360">
        <f t="shared" ca="1" si="56"/>
        <v>0</v>
      </c>
      <c r="AZ92" s="1360">
        <f t="shared" ca="1" si="56"/>
        <v>0</v>
      </c>
      <c r="BA92" s="1360">
        <f t="shared" ca="1" si="56"/>
        <v>0</v>
      </c>
      <c r="BB92" s="1360">
        <f t="shared" ca="1" si="56"/>
        <v>0</v>
      </c>
    </row>
    <row r="93" spans="3:185" ht="17.100000000000001" customHeight="1">
      <c r="C93" s="1409"/>
      <c r="D93" s="1410" t="s">
        <v>1270</v>
      </c>
      <c r="E93" s="1411"/>
      <c r="F93" s="1667"/>
      <c r="G93" s="1667"/>
      <c r="H93" s="1667"/>
      <c r="I93" s="1231">
        <v>330.62682324999997</v>
      </c>
      <c r="J93" s="1231">
        <f>SUMIF(비용!20:20,J91,비용!25:25)</f>
        <v>25.970720400000001</v>
      </c>
      <c r="K93" s="1693">
        <f>실적!D26/단위</f>
        <v>272.00960780000003</v>
      </c>
      <c r="L93" s="1693">
        <f>SUMIF(비용!20:20,L91,비용!25:25)+L115</f>
        <v>100.80421150000001</v>
      </c>
      <c r="M93" s="1693">
        <f>SUMIF(비용!20:20,M91,비용!25:25)+M115</f>
        <v>19.295000000000002</v>
      </c>
      <c r="N93" s="1693">
        <f ca="1">SUMIF(비용!20:20,N91,비용!25:25)+N115</f>
        <v>0</v>
      </c>
      <c r="O93" s="1693">
        <f ca="1">SUMIF(비용!20:20,O91,비용!25:25)+O115</f>
        <v>0</v>
      </c>
      <c r="P93" s="1693">
        <f ca="1">SUMIF(비용!20:20,P91,비용!25:25)+P115</f>
        <v>3.1218120299999996</v>
      </c>
      <c r="Q93" s="1693">
        <f ca="1">SUMIF(비용!20:20,Q91,비용!25:25)+Q115</f>
        <v>4.950257335971</v>
      </c>
      <c r="R93" s="1693">
        <f ca="1">SUMIF(비용!20:20,R91,비용!25:25)+R115</f>
        <v>9.1290732951685989</v>
      </c>
      <c r="S93" s="1693">
        <f ca="1">SUMIF(비용!20:20,S91,비용!25:25)+S115</f>
        <v>0.42885414084280393</v>
      </c>
      <c r="T93" s="1693">
        <f ca="1">SUMIF(비용!20:20,T91,비용!25:25)+T115</f>
        <v>17.867135642863321</v>
      </c>
      <c r="U93" s="1693">
        <f ca="1">SUMIF(비용!20:20,U91,비용!25:25)+U115</f>
        <v>26.248446544424656</v>
      </c>
      <c r="V93" s="1693">
        <f ca="1">SUMIF(비용!20:20,V91,비용!25:25)+V115</f>
        <v>42.315422531402263</v>
      </c>
      <c r="W93" s="1693">
        <f ca="1">SUMIF(비용!20:20,W91,비용!25:25)+W115</f>
        <v>31.17177360582895</v>
      </c>
      <c r="X93" s="1693">
        <f ca="1">SUMIF(비용!20:20,X91,비용!25:25)+X115</f>
        <v>0.90146002410557591</v>
      </c>
      <c r="Y93" s="1693">
        <f ca="1">SUMIF(비용!20:20,Y91,비용!25:25)+Y115</f>
        <v>34.142798412998687</v>
      </c>
      <c r="Z93" s="1693">
        <f ca="1">SUMIF(비용!20:20,Z91,비용!25:25)+Z115</f>
        <v>43.680020103029648</v>
      </c>
      <c r="AA93" s="1693">
        <f ca="1">SUMIF(비용!20:20,AA91,비용!25:25)+AA115</f>
        <v>60.23989276865634</v>
      </c>
      <c r="AB93" s="1693">
        <f ca="1">SUMIF(비용!20:20,AB91,비용!25:25)+AB115</f>
        <v>23.897152783544978</v>
      </c>
      <c r="AC93" s="1693">
        <f ca="1">SUMIF(비용!20:20,AC91,비용!25:25)+AC115</f>
        <v>59.688943341195944</v>
      </c>
      <c r="AD93" s="1693">
        <f ca="1">SUMIF(비용!20:20,AD91,비용!25:25)+AD115</f>
        <v>139.41696902865925</v>
      </c>
      <c r="AE93" s="1693">
        <f ca="1">SUMIF(비용!20:20,AE91,비용!25:25)+AE115</f>
        <v>54.914592342410728</v>
      </c>
      <c r="AF93" s="1693">
        <f ca="1">SUMIF(비용!20:20,AF91,비용!25:25)+AF115</f>
        <v>30.14796743101839</v>
      </c>
      <c r="AG93" s="1693">
        <f ca="1">SUMIF(비용!20:20,AG91,비용!25:25)+AG115</f>
        <v>42.640761136021659</v>
      </c>
      <c r="AH93" s="1693">
        <f ca="1">SUMIF(비용!20:20,AH91,비용!25:25)+AH115</f>
        <v>17.177078864562716</v>
      </c>
      <c r="AI93" s="1693">
        <f ca="1">SUMIF(비용!20:20,AI91,비용!25:25)+AI115</f>
        <v>0</v>
      </c>
      <c r="AJ93" s="1693">
        <f ca="1">SUMIF(비용!20:20,AJ91,비용!25:25)+AJ115</f>
        <v>1.015787718825532</v>
      </c>
      <c r="AK93" s="1693">
        <f ca="1">SUMIF(비용!20:20,AK91,비용!25:25)+AK115</f>
        <v>16.553119218884451</v>
      </c>
      <c r="AL93" s="1693">
        <f ca="1">SUMIF(비용!20:20,AL91,비용!25:25)+AL115</f>
        <v>11.398255571713177</v>
      </c>
      <c r="AM93" s="1693">
        <f ca="1">SUMIF(비용!20:20,AM91,비용!25:25)+AM115</f>
        <v>15.855491602779013</v>
      </c>
      <c r="AN93" s="1693">
        <f ca="1">SUMIF(비용!20:20,AN91,비용!25:25)+AN115</f>
        <v>28.4077557883124</v>
      </c>
      <c r="AO93" s="1693">
        <f ca="1">SUMIF(비용!20:20,AO91,비용!25:25)+AO115</f>
        <v>0</v>
      </c>
      <c r="AP93" s="1693">
        <f ca="1">SUMIF(비용!20:20,AP91,비용!25:25)+AP115</f>
        <v>47.319740579941545</v>
      </c>
      <c r="AQ93" s="1693">
        <f ca="1">SUMIF(비용!20:20,AQ91,비용!25:25)+AQ115</f>
        <v>8.9847608696091541</v>
      </c>
      <c r="AR93" s="1693">
        <f ca="1">SUMIF(비용!20:20,AR91,비용!25:25)+AR115</f>
        <v>0</v>
      </c>
      <c r="AS93" s="1693">
        <f ca="1">SUMIF(비용!20:20,AS91,비용!25:25)+AS115</f>
        <v>21.663565330935977</v>
      </c>
      <c r="AT93" s="1693">
        <f ca="1">SUMIF(비용!20:20,AT91,비용!25:25)+AT115</f>
        <v>0</v>
      </c>
      <c r="AU93" s="1693">
        <f ca="1">SUMIF(비용!20:20,AU91,비용!25:25)+AU115</f>
        <v>7.8054811857322903</v>
      </c>
      <c r="AV93" s="1693">
        <f ca="1">SUMIF(비용!20:20,AV91,비용!25:25)+AV115</f>
        <v>2.1461531753873717</v>
      </c>
      <c r="AW93" s="1693">
        <f ca="1">SUMIF(비용!20:20,AW91,비용!25:25)+AW115</f>
        <v>13.43921118427572</v>
      </c>
      <c r="AX93" s="1693">
        <f ca="1">SUMIF(비용!20:20,AX91,비용!25:25)+AX115</f>
        <v>70.05730733480506</v>
      </c>
      <c r="AY93" s="1693">
        <f>SUMIF(비용!20:20,AY91,비용!25:25)+AY115</f>
        <v>0</v>
      </c>
      <c r="AZ93" s="1693">
        <f>SUMIF(비용!20:20,AZ91,비용!25:25)+AZ115</f>
        <v>0</v>
      </c>
      <c r="BA93" s="1693">
        <f>SUMIF(비용!20:20,BA91,비용!25:25)+BA115</f>
        <v>0</v>
      </c>
      <c r="BB93" s="1693">
        <f>SUMIF(비용!20:20,BB91,비용!25:25)+BB115</f>
        <v>0</v>
      </c>
    </row>
    <row r="94" spans="3:185" ht="17.100000000000001" customHeight="1">
      <c r="C94" s="1415"/>
      <c r="D94" s="1416" t="s">
        <v>1271</v>
      </c>
      <c r="E94" s="1352"/>
      <c r="F94" s="1685"/>
      <c r="G94" s="1685"/>
      <c r="H94" s="1685"/>
      <c r="I94" s="1694"/>
      <c r="J94" s="1695">
        <f ca="1">SUM(OFFSET(J93,0,-MIN($I$90-1,COLUMNS(I91:$I91))):J93)/$I$90</f>
        <v>17.829877182499999</v>
      </c>
      <c r="K94" s="1696"/>
      <c r="L94" s="1696">
        <f ca="1">IF(L91&gt;=YEAR(Sensitivity!$E$13),L92+L93,SUM(OFFSET(L93,0,-MIN($K$90-1,COLUMNS($K91:K91))):L93)/$K$90)</f>
        <v>18.640690965000001</v>
      </c>
      <c r="M94" s="1696">
        <f ca="1">IF(M91&gt;=YEAR(Sensitivity!$E$13),M92+M93,SUM(OFFSET(M93,0,-MIN($K$90-1,COLUMNS($K91:L91))):M93)/$K$90)</f>
        <v>19.605440965000003</v>
      </c>
      <c r="N94" s="1696">
        <f ca="1">IF(N91&gt;=YEAR(Sensitivity!$E$13),N92+N93,SUM(OFFSET(N93,0,-MIN($K$90-1,COLUMNS($K91:M91))):N93)/$K$90)</f>
        <v>19.605440965000003</v>
      </c>
      <c r="O94" s="1696">
        <f ca="1">IF(O91&gt;=YEAR(Sensitivity!$E$13),O92+O93,SUM(OFFSET(O93,0,-MIN($K$90-1,COLUMNS($K91:N91))):O93)/$K$90)</f>
        <v>19.605440965000003</v>
      </c>
      <c r="P94" s="1696">
        <f ca="1">IF(P91&gt;=YEAR(Sensitivity!$E$13),P92+P93,SUM(OFFSET(P93,0,-MIN($K$90-1,COLUMNS($K91:O91))):P93)/$K$90)</f>
        <v>19.761531566500004</v>
      </c>
      <c r="Q94" s="1696">
        <f ca="1">IF(Q91&gt;=YEAR(Sensitivity!$E$13),Q92+Q93,SUM(OFFSET(Q93,0,-MIN($K$90-1,COLUMNS($K91:P91))):Q93)/$K$90)</f>
        <v>20.009044433298552</v>
      </c>
      <c r="R94" s="1696">
        <f ca="1">IF(R91&gt;=YEAR(Sensitivity!$E$13),R92+R93,SUM(OFFSET(R93,0,-MIN($K$90-1,COLUMNS($K91:Q91))):R93)/$K$90)</f>
        <v>20.465498098056983</v>
      </c>
      <c r="S94" s="1696">
        <f ca="1">IF(S91&gt;=YEAR(Sensitivity!$E$13),S92+S93,SUM(OFFSET(S93,0,-MIN($K$90-1,COLUMNS($K91:R91))):S93)/$K$90)</f>
        <v>20.486940805099124</v>
      </c>
      <c r="T94" s="1696">
        <f ca="1">IF(T91&gt;=YEAR(Sensitivity!$E$13),T92+T93,SUM(OFFSET(T93,0,-MIN($K$90-1,COLUMNS($K91:S91))):T93)/$K$90)</f>
        <v>21.380297587242289</v>
      </c>
      <c r="U94" s="1696">
        <f ca="1">IF(U91&gt;=YEAR(Sensitivity!$E$13),U92+U93,SUM(OFFSET(U93,0,-MIN($K$90-1,COLUMNS($K91:T91))):U93)/$K$90)</f>
        <v>22.692719914463524</v>
      </c>
      <c r="V94" s="1696">
        <f ca="1">IF(V91&gt;=YEAR(Sensitivity!$E$13),V92+V93,SUM(OFFSET(V93,0,-MIN($K$90-1,COLUMNS($K91:U91))):V93)/$K$90)</f>
        <v>24.808491041033637</v>
      </c>
      <c r="W94" s="1696">
        <f ca="1">IF(W91&gt;=YEAR(Sensitivity!$E$13),W92+W93,SUM(OFFSET(W93,0,-MIN($K$90-1,COLUMNS($K91:V91))):W93)/$K$90)</f>
        <v>26.367079721325087</v>
      </c>
      <c r="X94" s="1696">
        <f ca="1">IF(X91&gt;=YEAR(Sensitivity!$E$13),X92+X93,SUM(OFFSET(X93,0,-MIN($K$90-1,COLUMNS($K91:W91))):X93)/$K$90)</f>
        <v>26.412152722530369</v>
      </c>
      <c r="Y94" s="1696">
        <f ca="1">IF(Y91&gt;=YEAR(Sensitivity!$E$13),Y92+Y93,SUM(OFFSET(Y93,0,-MIN($K$90-1,COLUMNS($K91:X91))):Y93)/$K$90)</f>
        <v>28.119292643180302</v>
      </c>
      <c r="Z94" s="1696">
        <f ca="1">IF(Z91&gt;=YEAR(Sensitivity!$E$13),Z92+Z93,SUM(OFFSET(Z93,0,-MIN($K$90-1,COLUMNS($K91:Y91))):Z93)/$K$90)</f>
        <v>30.303293648331781</v>
      </c>
      <c r="AA94" s="1696">
        <f ca="1">IF(AA91&gt;=YEAR(Sensitivity!$E$13),AA92+AA93,SUM(OFFSET(AA93,0,-MIN($K$90-1,COLUMNS($K91:Z91))):AA93)/$K$90)</f>
        <v>33.315288286764599</v>
      </c>
      <c r="AB94" s="1696">
        <f ca="1">IF(AB91&gt;=YEAR(Sensitivity!$E$13),AB92+AB93,SUM(OFFSET(AB93,0,-MIN($K$90-1,COLUMNS($K91:AA91))):AB93)/$K$90)</f>
        <v>34.510145925941842</v>
      </c>
      <c r="AC94" s="1696">
        <f ca="1">IF(AC91&gt;=YEAR(Sensitivity!$E$13),AC92+AC93,SUM(OFFSET(AC93,0,-MIN($K$90-1,COLUMNS($K91:AB91))):AC93)/$K$90)</f>
        <v>37.49459309300164</v>
      </c>
      <c r="AD94" s="1696">
        <f ca="1">IF(AD91&gt;=YEAR(Sensitivity!$E$13),AD92+AD93,SUM(OFFSET(AD93,0,-MIN($K$90-1,COLUMNS($K91:AC91))):AD93)/$K$90)</f>
        <v>44.465441544434597</v>
      </c>
      <c r="AE94" s="1696">
        <f ca="1">IF(AE91&gt;=YEAR(Sensitivity!$E$13),AE92+AE93,SUM(OFFSET(AE93,0,-MIN($K$90-1,COLUMNS($K91:AD91))):AE93)/$K$90)</f>
        <v>33.610690771555142</v>
      </c>
      <c r="AF94" s="1696">
        <f ca="1">IF(AF91&gt;=YEAR(Sensitivity!$E$13),AF92+AF93,SUM(OFFSET(AF93,0,-MIN($K$90-1,COLUMNS($K91:AE91))):AF93)/$K$90)</f>
        <v>30.077878568106058</v>
      </c>
      <c r="AG94" s="1696">
        <f ca="1">IF(AG91&gt;=YEAR(Sensitivity!$E$13),AG92+AG93,SUM(OFFSET(AG93,0,-MIN($K$90-1,COLUMNS($K91:AF91))):AG93)/$K$90)</f>
        <v>31.245166624907142</v>
      </c>
      <c r="AH94" s="1696">
        <f ca="1">IF(AH91&gt;=YEAR(Sensitivity!$E$13),AH92+AH93,SUM(OFFSET(AH93,0,-MIN($K$90-1,COLUMNS($K91:AG91))):AH93)/$K$90)</f>
        <v>32.104020568135283</v>
      </c>
      <c r="AI94" s="1696">
        <f ca="1">IF(AI91&gt;=YEAR(Sensitivity!$E$13),AI92+AI93,SUM(OFFSET(AI93,0,-MIN($K$90-1,COLUMNS($K91:AH91))):AI93)/$K$90)</f>
        <v>32.104020568135283</v>
      </c>
      <c r="AJ94" s="1696">
        <f ca="1">IF(AJ91&gt;=YEAR(Sensitivity!$E$13),AJ92+AJ93,SUM(OFFSET(AJ93,0,-MIN($K$90-1,COLUMNS($K91:AI91))):AJ93)/$K$90)</f>
        <v>31.998719352576558</v>
      </c>
      <c r="AK94" s="1696">
        <f ca="1">IF(AK91&gt;=YEAR(Sensitivity!$E$13),AK92+AK93,SUM(OFFSET(AK93,0,-MIN($K$90-1,COLUMNS($K91:AJ91))):AK93)/$K$90)</f>
        <v>32.578862446722226</v>
      </c>
      <c r="AL94" s="1696">
        <f ca="1">IF(AL91&gt;=YEAR(Sensitivity!$E$13),AL92+AL93,SUM(OFFSET(AL93,0,-MIN($K$90-1,COLUMNS($K91:AK91))):AL93)/$K$90)</f>
        <v>32.692321560549459</v>
      </c>
      <c r="AM94" s="1696">
        <f ca="1">IF(AM91&gt;=YEAR(Sensitivity!$E$13),AM92+AM93,SUM(OFFSET(AM93,0,-MIN($K$90-1,COLUMNS($K91:AL91))):AM93)/$K$90)</f>
        <v>33.463653433646272</v>
      </c>
      <c r="AN94" s="1696">
        <f ca="1">IF(AN91&gt;=YEAR(Sensitivity!$E$13),AN92+AN93,SUM(OFFSET(AN93,0,-MIN($K$90-1,COLUMNS($K91:AM91))):AN93)/$K$90)</f>
        <v>33.990684440918727</v>
      </c>
      <c r="AO94" s="1696">
        <f ca="1">IF(AO91&gt;=YEAR(Sensitivity!$E$13),AO92+AO93,SUM(OFFSET(AO93,0,-MIN($K$90-1,COLUMNS($K91:AN91))):AO93)/$K$90)</f>
        <v>32.678262113697492</v>
      </c>
      <c r="AP94" s="1696">
        <f ca="1">IF(AP91&gt;=YEAR(Sensitivity!$E$13),AP92+AP93,SUM(OFFSET(AP93,0,-MIN($K$90-1,COLUMNS($K91:AO91))):AP93)/$K$90)</f>
        <v>32.928478016124458</v>
      </c>
      <c r="AQ94" s="1696">
        <f ca="1">IF(AQ91&gt;=YEAR(Sensitivity!$E$13),AQ92+AQ93,SUM(OFFSET(AQ93,0,-MIN($K$90-1,COLUMNS($K91:AP91))):AQ93)/$K$90)</f>
        <v>31.819127379313464</v>
      </c>
      <c r="AR94" s="1696">
        <f ca="1">IF(AR91&gt;=YEAR(Sensitivity!$E$13),AR92+AR93,SUM(OFFSET(AR93,0,-MIN($K$90-1,COLUMNS($K91:AQ91))):AR93)/$K$90)</f>
        <v>31.77405437810819</v>
      </c>
      <c r="AS94" s="1696">
        <f ca="1">IF(AS91&gt;=YEAR(Sensitivity!$E$13),AS92+AS93,SUM(OFFSET(AS93,0,-MIN($K$90-1,COLUMNS($K91:AR91))):AS93)/$K$90)</f>
        <v>31.150092724005056</v>
      </c>
      <c r="AT94" s="1696">
        <f ca="1">IF(AT91&gt;=YEAR(Sensitivity!$E$13),AT92+AT93,SUM(OFFSET(AT93,0,-MIN($K$90-1,COLUMNS($K91:AS91))):AT93)/$K$90)</f>
        <v>28.966091718853562</v>
      </c>
      <c r="AU94" s="1696">
        <f ca="1">IF(AU91&gt;=YEAR(Sensitivity!$E$13),AU92+AU93,SUM(OFFSET(AU93,0,-MIN($K$90-1,COLUMNS($K91:AT91))):AU93)/$K$90)</f>
        <v>26.344371139707356</v>
      </c>
      <c r="AV94" s="1696">
        <f ca="1">IF(AV91&gt;=YEAR(Sensitivity!$E$13),AV92+AV93,SUM(OFFSET(AV93,0,-MIN($K$90-1,COLUMNS($K91:AU91))):AV93)/$K$90)</f>
        <v>25.256821159299474</v>
      </c>
      <c r="AW94" s="1696">
        <f ca="1">IF(AW91&gt;=YEAR(Sensitivity!$E$13),AW92+AW93,SUM(OFFSET(AW93,0,-MIN($K$90-1,COLUMNS($K91:AV91))):AW93)/$K$90)</f>
        <v>22.944334551453466</v>
      </c>
      <c r="AX94" s="1696">
        <f ca="1">IF(AX91&gt;=YEAR(Sensitivity!$E$13),AX92+AX93,SUM(OFFSET(AX93,0,-MIN($K$90-1,COLUMNS($K91:AW91))):AX93)/$K$90)</f>
        <v>203.0593838168881</v>
      </c>
      <c r="AY94" s="1696">
        <f ca="1">IF(AY91&gt;=YEAR(Sensitivity!$E$13),AY92+AY93,SUM(OFFSET(AY93,0,-MIN($K$90-1,COLUMNS($K91:AX91))):AY93)/$K$90)</f>
        <v>0</v>
      </c>
      <c r="AZ94" s="1696">
        <f ca="1">IF(AZ91&gt;=YEAR(Sensitivity!$E$13),AZ92+AZ93,SUM(OFFSET(AZ93,0,-MIN($K$90-1,COLUMNS($K91:AY91))):AZ93)/$K$90)</f>
        <v>0</v>
      </c>
      <c r="BA94" s="1696">
        <f ca="1">IF(BA91&gt;=YEAR(Sensitivity!$E$13),BA92+BA93,SUM(OFFSET(BA93,0,-MIN($K$90-1,COLUMNS($K91:AZ91))):BA93)/$K$90)</f>
        <v>0</v>
      </c>
      <c r="BB94" s="1696">
        <f ca="1">IF(BB91&gt;=YEAR(Sensitivity!$E$13),BB92+BB93,SUM(OFFSET(BB93,0,-MIN($K$90-1,COLUMNS($K91:BA91))):BB93)/$K$90)</f>
        <v>0</v>
      </c>
    </row>
    <row r="95" spans="3:185" ht="17.100000000000001" customHeight="1">
      <c r="C95" s="952"/>
      <c r="D95" s="777" t="s">
        <v>1096</v>
      </c>
      <c r="E95" s="747"/>
      <c r="F95" s="1668"/>
      <c r="G95" s="1668"/>
      <c r="H95" s="1668"/>
      <c r="I95" s="1697">
        <f>(I92+I93-I94)*(I91&lt;YEAR(Sensitivity!$E$13))</f>
        <v>330.62682324999997</v>
      </c>
      <c r="J95" s="1697">
        <f ca="1">(J92+J93-J94)*(J91&lt;YEAR(Sensitivity!$E$13))</f>
        <v>338.76766646749996</v>
      </c>
      <c r="K95" s="1687">
        <f>(K92+K93-K94)*(K91&lt;YEAR(Sensitivity!$E$13))</f>
        <v>272.00960780000003</v>
      </c>
      <c r="L95" s="954">
        <f ca="1">(L92+L93-L94)*(L91&lt;YEAR(Sensitivity!$E$13))</f>
        <v>354.17312833500006</v>
      </c>
      <c r="M95" s="954">
        <f ca="1">(M92+M93-M94)*(M91&lt;YEAR(Sensitivity!$E$13))</f>
        <v>353.86268737000006</v>
      </c>
      <c r="N95" s="954">
        <f ca="1">(N92+N93-N94)*(N91&lt;YEAR(Sensitivity!$E$13))</f>
        <v>334.25724640500005</v>
      </c>
      <c r="O95" s="954">
        <f ca="1">(O92+O93-O94)*(O91&lt;YEAR(Sensitivity!$E$13))</f>
        <v>314.65180544000003</v>
      </c>
      <c r="P95" s="954">
        <f ca="1">(P92+P93-P94)*(P91&lt;YEAR(Sensitivity!$E$13))</f>
        <v>298.01208590350001</v>
      </c>
      <c r="Q95" s="954">
        <f ca="1">(Q92+Q93-Q94)*(Q91&lt;YEAR(Sensitivity!$E$13))</f>
        <v>282.95329880617248</v>
      </c>
      <c r="R95" s="954">
        <f ca="1">(R92+R93-R94)*(R91&lt;YEAR(Sensitivity!$E$13))</f>
        <v>271.61687400328412</v>
      </c>
      <c r="S95" s="954">
        <f ca="1">(S92+S93-S94)*(S91&lt;YEAR(Sensitivity!$E$13))</f>
        <v>251.55878733902782</v>
      </c>
      <c r="T95" s="954">
        <f ca="1">(T92+T93-T94)*(T91&lt;YEAR(Sensitivity!$E$13))</f>
        <v>248.04562539464882</v>
      </c>
      <c r="U95" s="954">
        <f ca="1">(U92+U93-U94)*(U91&lt;YEAR(Sensitivity!$E$13))</f>
        <v>251.60135202460998</v>
      </c>
      <c r="V95" s="954">
        <f ca="1">(V92+V93-V94)*(V91&lt;YEAR(Sensitivity!$E$13))</f>
        <v>269.10828351497861</v>
      </c>
      <c r="W95" s="954">
        <f ca="1">(W92+W93-W94)*(W91&lt;YEAR(Sensitivity!$E$13))</f>
        <v>273.91297739948249</v>
      </c>
      <c r="X95" s="954">
        <f ca="1">(X92+X93-X94)*(X91&lt;YEAR(Sensitivity!$E$13))</f>
        <v>248.40228470105768</v>
      </c>
      <c r="Y95" s="954">
        <f ca="1">(Y92+Y93-Y94)*(Y91&lt;YEAR(Sensitivity!$E$13))</f>
        <v>254.42579047087605</v>
      </c>
      <c r="Z95" s="954">
        <f ca="1">(Z92+Z93-Z94)*(Z91&lt;YEAR(Sensitivity!$E$13))</f>
        <v>267.80251692557397</v>
      </c>
      <c r="AA95" s="954">
        <f ca="1">(AA92+AA93-AA94)*(AA91&lt;YEAR(Sensitivity!$E$13))</f>
        <v>294.72712140746569</v>
      </c>
      <c r="AB95" s="954">
        <f ca="1">(AB92+AB93-AB94)*(AB91&lt;YEAR(Sensitivity!$E$13))</f>
        <v>284.11412826506881</v>
      </c>
      <c r="AC95" s="954">
        <f ca="1">(AC92+AC93-AC94)*(AC91&lt;YEAR(Sensitivity!$E$13))</f>
        <v>306.30847851326314</v>
      </c>
      <c r="AD95" s="954">
        <f ca="1">(AD92+AD93-AD94)*(AD91&lt;YEAR(Sensitivity!$E$13))</f>
        <v>401.26000599748778</v>
      </c>
      <c r="AE95" s="954">
        <f ca="1">(AE92+AE93-AE94)*(AE91&lt;YEAR(Sensitivity!$E$13))</f>
        <v>422.56390756834338</v>
      </c>
      <c r="AF95" s="954">
        <f ca="1">(AF92+AF93-AF94)*(AF91&lt;YEAR(Sensitivity!$E$13))</f>
        <v>422.6339964312557</v>
      </c>
      <c r="AG95" s="954">
        <f ca="1">(AG92+AG93-AG94)*(AG91&lt;YEAR(Sensitivity!$E$13))</f>
        <v>434.02959094237019</v>
      </c>
      <c r="AH95" s="954">
        <f ca="1">(AH92+AH93-AH94)*(AH91&lt;YEAR(Sensitivity!$E$13))</f>
        <v>419.1026492387976</v>
      </c>
      <c r="AI95" s="954">
        <f ca="1">(AI92+AI93-AI94)*(AI91&lt;YEAR(Sensitivity!$E$13))</f>
        <v>386.9986286706623</v>
      </c>
      <c r="AJ95" s="954">
        <f ca="1">(AJ92+AJ93-AJ94)*(AJ91&lt;YEAR(Sensitivity!$E$13))</f>
        <v>356.01569703691132</v>
      </c>
      <c r="AK95" s="954">
        <f ca="1">(AK92+AK93-AK94)*(AK91&lt;YEAR(Sensitivity!$E$13))</f>
        <v>339.98995380907354</v>
      </c>
      <c r="AL95" s="954">
        <f ca="1">(AL92+AL93-AL94)*(AL91&lt;YEAR(Sensitivity!$E$13))</f>
        <v>318.6958878202372</v>
      </c>
      <c r="AM95" s="954">
        <f ca="1">(AM92+AM93-AM94)*(AM91&lt;YEAR(Sensitivity!$E$13))</f>
        <v>301.08772598936991</v>
      </c>
      <c r="AN95" s="954">
        <f ca="1">(AN92+AN93-AN94)*(AN91&lt;YEAR(Sensitivity!$E$13))</f>
        <v>295.50479733676354</v>
      </c>
      <c r="AO95" s="954">
        <f ca="1">(AO92+AO93-AO94)*(AO91&lt;YEAR(Sensitivity!$E$13))</f>
        <v>262.82653522306606</v>
      </c>
      <c r="AP95" s="954">
        <f ca="1">(AP92+AP93-AP94)*(AP91&lt;YEAR(Sensitivity!$E$13))</f>
        <v>277.21779778688312</v>
      </c>
      <c r="AQ95" s="954">
        <f ca="1">(AQ92+AQ93-AQ94)*(AQ91&lt;YEAR(Sensitivity!$E$13))</f>
        <v>254.3834312771788</v>
      </c>
      <c r="AR95" s="954">
        <f ca="1">(AR92+AR93-AR94)*(AR91&lt;YEAR(Sensitivity!$E$13))</f>
        <v>222.60937689907061</v>
      </c>
      <c r="AS95" s="954">
        <f ca="1">(AS92+AS93-AS94)*(AS91&lt;YEAR(Sensitivity!$E$13))</f>
        <v>213.12284950600153</v>
      </c>
      <c r="AT95" s="954">
        <f ca="1">(AT92+AT93-AT94)*(AT91&lt;YEAR(Sensitivity!$E$13))</f>
        <v>184.15675778714797</v>
      </c>
      <c r="AU95" s="954">
        <f ca="1">(AU92+AU93-AU94)*(AU91&lt;YEAR(Sensitivity!$E$13))</f>
        <v>165.61786783317288</v>
      </c>
      <c r="AV95" s="954">
        <f ca="1">(AV92+AV93-AV94)*(AV91&lt;YEAR(Sensitivity!$E$13))</f>
        <v>142.50719984926079</v>
      </c>
      <c r="AW95" s="954">
        <f ca="1">(AW92+AW93-AW94)*(AW91&lt;YEAR(Sensitivity!$E$13))</f>
        <v>133.00207648208303</v>
      </c>
      <c r="AX95" s="954">
        <f ca="1">(AX92+AX93-AX94)*(AX91&lt;YEAR(Sensitivity!$E$13))</f>
        <v>0</v>
      </c>
      <c r="AY95" s="954">
        <f ca="1">(AY92+AY93-AY94)*(AY91&lt;YEAR(Sensitivity!$E$13))</f>
        <v>0</v>
      </c>
      <c r="AZ95" s="954">
        <f ca="1">(AZ92+AZ93-AZ94)*(AZ91&lt;YEAR(Sensitivity!$E$13))</f>
        <v>0</v>
      </c>
      <c r="BA95" s="954">
        <f ca="1">(BA92+BA93-BA94)*(BA91&lt;YEAR(Sensitivity!$E$13))</f>
        <v>0</v>
      </c>
      <c r="BB95" s="954">
        <f ca="1">(BB92+BB93-BB94)*(BB91&lt;YEAR(Sensitivity!$E$13))</f>
        <v>0</v>
      </c>
    </row>
    <row r="96" spans="3:185" ht="17.100000000000001" customHeight="1">
      <c r="J96" s="716"/>
      <c r="K96" s="653">
        <f>K92+K93-K94-K95</f>
        <v>0</v>
      </c>
      <c r="L96" s="716"/>
      <c r="M96" s="716"/>
      <c r="N96" s="716"/>
      <c r="O96" s="716"/>
      <c r="P96" s="716"/>
      <c r="Q96" s="716"/>
      <c r="R96" s="716"/>
      <c r="S96" s="716"/>
      <c r="T96" s="716"/>
      <c r="U96" s="716"/>
      <c r="V96" s="716"/>
      <c r="W96" s="716"/>
      <c r="X96" s="716"/>
      <c r="Y96" s="716"/>
      <c r="Z96" s="716"/>
      <c r="AA96" s="716"/>
      <c r="AB96" s="716"/>
      <c r="AC96" s="716"/>
      <c r="AD96" s="716"/>
      <c r="AE96" s="716"/>
    </row>
    <row r="97" spans="3:54" ht="17.100000000000001" customHeight="1">
      <c r="C97" s="302" t="str">
        <f>D21</f>
        <v>차량운반구</v>
      </c>
      <c r="I97" s="1690">
        <v>20</v>
      </c>
      <c r="K97" s="768">
        <v>20</v>
      </c>
      <c r="L97" s="716"/>
      <c r="M97" s="716"/>
      <c r="N97" s="716"/>
      <c r="O97" s="716"/>
      <c r="P97" s="716"/>
      <c r="Q97" s="716"/>
      <c r="R97" s="716"/>
      <c r="S97" s="716"/>
      <c r="T97" s="716"/>
      <c r="U97" s="716"/>
      <c r="V97" s="716"/>
      <c r="W97" s="716"/>
      <c r="X97" s="716"/>
      <c r="Y97" s="716"/>
      <c r="Z97" s="716"/>
      <c r="AA97" s="716"/>
      <c r="AB97" s="716"/>
      <c r="AC97" s="716"/>
      <c r="AD97" s="716"/>
      <c r="AE97" s="716"/>
      <c r="AF97" s="716"/>
      <c r="AQ97" s="401"/>
    </row>
    <row r="98" spans="3:54" ht="17.100000000000001" customHeight="1">
      <c r="C98" s="717"/>
      <c r="D98" s="718" t="s">
        <v>780</v>
      </c>
      <c r="E98" s="719"/>
      <c r="F98" s="718"/>
      <c r="G98" s="718"/>
      <c r="H98" s="718"/>
      <c r="I98" s="1684">
        <f>I70</f>
        <v>2018</v>
      </c>
      <c r="J98" s="766">
        <f>J70</f>
        <v>2019</v>
      </c>
      <c r="K98" s="766">
        <f t="shared" ref="K98:BB98" si="57">J98+1</f>
        <v>2020</v>
      </c>
      <c r="L98" s="766">
        <f t="shared" si="57"/>
        <v>2021</v>
      </c>
      <c r="M98" s="766">
        <f t="shared" si="57"/>
        <v>2022</v>
      </c>
      <c r="N98" s="766">
        <f t="shared" si="57"/>
        <v>2023</v>
      </c>
      <c r="O98" s="766">
        <f t="shared" si="57"/>
        <v>2024</v>
      </c>
      <c r="P98" s="766">
        <f t="shared" si="57"/>
        <v>2025</v>
      </c>
      <c r="Q98" s="766">
        <f t="shared" si="57"/>
        <v>2026</v>
      </c>
      <c r="R98" s="766">
        <f t="shared" si="57"/>
        <v>2027</v>
      </c>
      <c r="S98" s="766">
        <f t="shared" si="57"/>
        <v>2028</v>
      </c>
      <c r="T98" s="766">
        <f t="shared" si="57"/>
        <v>2029</v>
      </c>
      <c r="U98" s="766">
        <f t="shared" si="57"/>
        <v>2030</v>
      </c>
      <c r="V98" s="766">
        <f t="shared" si="57"/>
        <v>2031</v>
      </c>
      <c r="W98" s="766">
        <f t="shared" si="57"/>
        <v>2032</v>
      </c>
      <c r="X98" s="766">
        <f t="shared" si="57"/>
        <v>2033</v>
      </c>
      <c r="Y98" s="766">
        <f t="shared" si="57"/>
        <v>2034</v>
      </c>
      <c r="Z98" s="766">
        <f t="shared" si="57"/>
        <v>2035</v>
      </c>
      <c r="AA98" s="766">
        <f t="shared" si="57"/>
        <v>2036</v>
      </c>
      <c r="AB98" s="766">
        <f t="shared" si="57"/>
        <v>2037</v>
      </c>
      <c r="AC98" s="766">
        <f t="shared" si="57"/>
        <v>2038</v>
      </c>
      <c r="AD98" s="766">
        <f t="shared" si="57"/>
        <v>2039</v>
      </c>
      <c r="AE98" s="766">
        <f t="shared" si="57"/>
        <v>2040</v>
      </c>
      <c r="AF98" s="766">
        <f t="shared" si="57"/>
        <v>2041</v>
      </c>
      <c r="AG98" s="766">
        <f t="shared" si="57"/>
        <v>2042</v>
      </c>
      <c r="AH98" s="766">
        <f t="shared" si="57"/>
        <v>2043</v>
      </c>
      <c r="AI98" s="766">
        <f t="shared" si="57"/>
        <v>2044</v>
      </c>
      <c r="AJ98" s="766">
        <f t="shared" si="57"/>
        <v>2045</v>
      </c>
      <c r="AK98" s="766">
        <f t="shared" si="57"/>
        <v>2046</v>
      </c>
      <c r="AL98" s="766">
        <f t="shared" si="57"/>
        <v>2047</v>
      </c>
      <c r="AM98" s="766">
        <f t="shared" si="57"/>
        <v>2048</v>
      </c>
      <c r="AN98" s="766">
        <f t="shared" si="57"/>
        <v>2049</v>
      </c>
      <c r="AO98" s="766">
        <f t="shared" si="57"/>
        <v>2050</v>
      </c>
      <c r="AP98" s="766">
        <f t="shared" si="57"/>
        <v>2051</v>
      </c>
      <c r="AQ98" s="766">
        <f t="shared" si="57"/>
        <v>2052</v>
      </c>
      <c r="AR98" s="766">
        <f t="shared" si="57"/>
        <v>2053</v>
      </c>
      <c r="AS98" s="766">
        <f t="shared" si="57"/>
        <v>2054</v>
      </c>
      <c r="AT98" s="766">
        <f t="shared" si="57"/>
        <v>2055</v>
      </c>
      <c r="AU98" s="766">
        <f t="shared" si="57"/>
        <v>2056</v>
      </c>
      <c r="AV98" s="766">
        <f t="shared" si="57"/>
        <v>2057</v>
      </c>
      <c r="AW98" s="766">
        <f t="shared" si="57"/>
        <v>2058</v>
      </c>
      <c r="AX98" s="766">
        <f t="shared" si="57"/>
        <v>2059</v>
      </c>
      <c r="AY98" s="766">
        <f t="shared" si="57"/>
        <v>2060</v>
      </c>
      <c r="AZ98" s="766">
        <f t="shared" si="57"/>
        <v>2061</v>
      </c>
      <c r="BA98" s="766">
        <f t="shared" si="57"/>
        <v>2062</v>
      </c>
      <c r="BB98" s="766">
        <f t="shared" si="57"/>
        <v>2063</v>
      </c>
    </row>
    <row r="99" spans="3:54" ht="17.100000000000001" customHeight="1">
      <c r="C99" s="720"/>
      <c r="D99" s="774" t="s">
        <v>1080</v>
      </c>
      <c r="E99" s="722"/>
      <c r="F99" s="1625"/>
      <c r="G99" s="1625"/>
      <c r="H99" s="1625"/>
      <c r="I99" s="1698"/>
      <c r="J99" s="1698">
        <v>1.1610637699999999</v>
      </c>
      <c r="K99" s="1699"/>
      <c r="L99" s="1700">
        <f t="shared" ref="L99:BB99" si="58">K102</f>
        <v>1.2108904199999999</v>
      </c>
      <c r="M99" s="1700">
        <f t="shared" ca="1" si="58"/>
        <v>1.1503458989999999</v>
      </c>
      <c r="N99" s="1700">
        <f t="shared" ca="1" si="58"/>
        <v>1.089801378</v>
      </c>
      <c r="O99" s="1700">
        <f t="shared" ca="1" si="58"/>
        <v>1.029256857</v>
      </c>
      <c r="P99" s="1700">
        <f t="shared" ca="1" si="58"/>
        <v>0.96871233600000006</v>
      </c>
      <c r="Q99" s="1700">
        <f t="shared" ca="1" si="58"/>
        <v>0.9081678150000001</v>
      </c>
      <c r="R99" s="1700">
        <f t="shared" ca="1" si="58"/>
        <v>0.84762329400000014</v>
      </c>
      <c r="S99" s="1700">
        <f t="shared" ca="1" si="58"/>
        <v>0.78707877300000018</v>
      </c>
      <c r="T99" s="1700">
        <f t="shared" ca="1" si="58"/>
        <v>0.72653425200000021</v>
      </c>
      <c r="U99" s="1700">
        <f t="shared" ca="1" si="58"/>
        <v>0.66598973100000025</v>
      </c>
      <c r="V99" s="1700">
        <f t="shared" ca="1" si="58"/>
        <v>0.60544521000000029</v>
      </c>
      <c r="W99" s="1700">
        <f t="shared" ca="1" si="58"/>
        <v>0.54490068900000033</v>
      </c>
      <c r="X99" s="1700">
        <f t="shared" ca="1" si="58"/>
        <v>0.48435616800000031</v>
      </c>
      <c r="Y99" s="1700">
        <f t="shared" ca="1" si="58"/>
        <v>0.42381164700000029</v>
      </c>
      <c r="Z99" s="1700">
        <f t="shared" ca="1" si="58"/>
        <v>0.36326712600000027</v>
      </c>
      <c r="AA99" s="1700">
        <f t="shared" ca="1" si="58"/>
        <v>0.30272260500000026</v>
      </c>
      <c r="AB99" s="1700">
        <f t="shared" ca="1" si="58"/>
        <v>0.24217808400000027</v>
      </c>
      <c r="AC99" s="1700">
        <f t="shared" ca="1" si="58"/>
        <v>0.18163356300000028</v>
      </c>
      <c r="AD99" s="1700">
        <f t="shared" ca="1" si="58"/>
        <v>0.12108904200000029</v>
      </c>
      <c r="AE99" s="1700">
        <f t="shared" ca="1" si="58"/>
        <v>6.0544521000000288E-2</v>
      </c>
      <c r="AF99" s="1360">
        <f t="shared" ca="1" si="58"/>
        <v>0</v>
      </c>
      <c r="AG99" s="1360">
        <f t="shared" ca="1" si="58"/>
        <v>0</v>
      </c>
      <c r="AH99" s="1360">
        <f t="shared" ca="1" si="58"/>
        <v>0</v>
      </c>
      <c r="AI99" s="1360">
        <f t="shared" ca="1" si="58"/>
        <v>0</v>
      </c>
      <c r="AJ99" s="1360">
        <f t="shared" ca="1" si="58"/>
        <v>0</v>
      </c>
      <c r="AK99" s="1360">
        <f t="shared" ca="1" si="58"/>
        <v>0</v>
      </c>
      <c r="AL99" s="1360">
        <f t="shared" ca="1" si="58"/>
        <v>0</v>
      </c>
      <c r="AM99" s="1360">
        <f t="shared" ca="1" si="58"/>
        <v>0</v>
      </c>
      <c r="AN99" s="1360">
        <f t="shared" ca="1" si="58"/>
        <v>0</v>
      </c>
      <c r="AO99" s="1360">
        <f t="shared" ca="1" si="58"/>
        <v>0</v>
      </c>
      <c r="AP99" s="1360">
        <f t="shared" ca="1" si="58"/>
        <v>0</v>
      </c>
      <c r="AQ99" s="1360">
        <f t="shared" ca="1" si="58"/>
        <v>0</v>
      </c>
      <c r="AR99" s="1360">
        <f t="shared" ca="1" si="58"/>
        <v>0</v>
      </c>
      <c r="AS99" s="1360">
        <f t="shared" ca="1" si="58"/>
        <v>0</v>
      </c>
      <c r="AT99" s="1360">
        <f t="shared" ca="1" si="58"/>
        <v>0</v>
      </c>
      <c r="AU99" s="1360">
        <f t="shared" ca="1" si="58"/>
        <v>0</v>
      </c>
      <c r="AV99" s="1360">
        <f t="shared" ca="1" si="58"/>
        <v>0</v>
      </c>
      <c r="AW99" s="1360">
        <f t="shared" ca="1" si="58"/>
        <v>0</v>
      </c>
      <c r="AX99" s="1360">
        <f t="shared" ca="1" si="58"/>
        <v>0</v>
      </c>
      <c r="AY99" s="1360">
        <f t="shared" ca="1" si="58"/>
        <v>0</v>
      </c>
      <c r="AZ99" s="1360">
        <f t="shared" ca="1" si="58"/>
        <v>0</v>
      </c>
      <c r="BA99" s="1360">
        <f t="shared" ca="1" si="58"/>
        <v>0</v>
      </c>
      <c r="BB99" s="1360">
        <f t="shared" ca="1" si="58"/>
        <v>0</v>
      </c>
    </row>
    <row r="100" spans="3:54" ht="17.100000000000001" customHeight="1">
      <c r="C100" s="1409"/>
      <c r="D100" s="1410" t="s">
        <v>1270</v>
      </c>
      <c r="E100" s="1411"/>
      <c r="F100" s="1667"/>
      <c r="G100" s="1667"/>
      <c r="H100" s="1667"/>
      <c r="I100" s="1701">
        <v>1.1610637699999999</v>
      </c>
      <c r="J100" s="1701"/>
      <c r="K100" s="1702">
        <f>실적!D29/단위</f>
        <v>1.2108904199999999</v>
      </c>
      <c r="L100" s="1703"/>
      <c r="M100" s="1703"/>
      <c r="N100" s="1703"/>
      <c r="O100" s="1703"/>
      <c r="P100" s="1703"/>
      <c r="Q100" s="1703"/>
      <c r="R100" s="1703"/>
      <c r="S100" s="1703"/>
      <c r="T100" s="1703"/>
      <c r="U100" s="1703"/>
      <c r="V100" s="1703"/>
      <c r="W100" s="1703"/>
      <c r="X100" s="1703"/>
      <c r="Y100" s="1703"/>
      <c r="Z100" s="1703"/>
      <c r="AA100" s="1703"/>
      <c r="AB100" s="1703"/>
      <c r="AC100" s="1703"/>
      <c r="AD100" s="1703"/>
      <c r="AE100" s="1703"/>
      <c r="AF100" s="946"/>
      <c r="AG100" s="946"/>
      <c r="AH100" s="946"/>
      <c r="AI100" s="946"/>
      <c r="AJ100" s="946"/>
      <c r="AK100" s="946"/>
      <c r="AL100" s="946"/>
      <c r="AM100" s="946"/>
      <c r="AN100" s="946"/>
      <c r="AO100" s="946"/>
      <c r="AP100" s="946"/>
      <c r="AQ100" s="946"/>
      <c r="AR100" s="946"/>
      <c r="AS100" s="946"/>
      <c r="AT100" s="946"/>
      <c r="AU100" s="946"/>
      <c r="AV100" s="946"/>
      <c r="AW100" s="946"/>
      <c r="AX100" s="946"/>
      <c r="AY100" s="946"/>
      <c r="AZ100" s="946"/>
      <c r="BA100" s="946"/>
      <c r="BB100" s="946"/>
    </row>
    <row r="101" spans="3:54" ht="17.100000000000001" customHeight="1">
      <c r="C101" s="1415"/>
      <c r="D101" s="1416" t="s">
        <v>1271</v>
      </c>
      <c r="E101" s="1352"/>
      <c r="F101" s="1685"/>
      <c r="G101" s="1685"/>
      <c r="H101" s="1685"/>
      <c r="I101" s="1695"/>
      <c r="J101" s="1695">
        <f ca="1">SUM(OFFSET(J100,0,-MIN($I$97-1,COLUMNS(I98:$I98))):J100)/$I$97</f>
        <v>5.8053188499999998E-2</v>
      </c>
      <c r="K101" s="1704"/>
      <c r="L101" s="1704">
        <f ca="1">IF(L98&gt;=YEAR(Sensitivity!$E$13),L99+L100,SUM(OFFSET(L100,0,-MIN($K97,COLUMNS($K98:K98))):L100)/$K97)</f>
        <v>6.0544520999999997E-2</v>
      </c>
      <c r="M101" s="1704">
        <f ca="1">IF(M98&gt;=YEAR(Sensitivity!$E$13),M99+M100,SUM(OFFSET(M100,0,-MIN($K97,COLUMNS($K98:L98))):M100)/$K97)</f>
        <v>6.0544520999999997E-2</v>
      </c>
      <c r="N101" s="1704">
        <f ca="1">IF(N98&gt;=YEAR(Sensitivity!$E$13),N99+N100,SUM(OFFSET(N100,0,-MIN($K97,COLUMNS($K98:M98))):N100)/$K97)</f>
        <v>6.0544520999999997E-2</v>
      </c>
      <c r="O101" s="1704">
        <f ca="1">IF(O98&gt;=YEAR(Sensitivity!$E$13),O99+O100,SUM(OFFSET(O100,0,-MIN($K97,COLUMNS($K98:N98))):O100)/$K97)</f>
        <v>6.0544520999999997E-2</v>
      </c>
      <c r="P101" s="1704">
        <f ca="1">IF(P98&gt;=YEAR(Sensitivity!$E$13),P99+P100,SUM(OFFSET(P100,0,-MIN($K97,COLUMNS($K98:O98))):P100)/$K97)</f>
        <v>6.0544520999999997E-2</v>
      </c>
      <c r="Q101" s="1704">
        <f ca="1">IF(Q98&gt;=YEAR(Sensitivity!$E$13),Q99+Q100,SUM(OFFSET(Q100,0,-MIN($K97,COLUMNS($K98:P98))):Q100)/$K97)</f>
        <v>6.0544520999999997E-2</v>
      </c>
      <c r="R101" s="1704">
        <f ca="1">IF(R98&gt;=YEAR(Sensitivity!$E$13),R99+R100,SUM(OFFSET(R100,0,-MIN($K97,COLUMNS($K98:Q98))):R100)/$K97)</f>
        <v>6.0544520999999997E-2</v>
      </c>
      <c r="S101" s="1704">
        <f ca="1">IF(S98&gt;=YEAR(Sensitivity!$E$13),S99+S100,SUM(OFFSET(S100,0,-MIN($K97,COLUMNS($K98:R98))):S100)/$K97)</f>
        <v>6.0544520999999997E-2</v>
      </c>
      <c r="T101" s="1704">
        <f ca="1">IF(T98&gt;=YEAR(Sensitivity!$E$13),T99+T100,SUM(OFFSET(T100,0,-MIN($K97,COLUMNS($K98:S98))):T100)/$K97)</f>
        <v>6.0544520999999997E-2</v>
      </c>
      <c r="U101" s="1704">
        <f ca="1">IF(U98&gt;=YEAR(Sensitivity!$E$13),U99+U100,SUM(OFFSET(U100,0,-MIN($K97,COLUMNS($K98:T98))):U100)/$K97)</f>
        <v>6.0544520999999997E-2</v>
      </c>
      <c r="V101" s="1704">
        <f ca="1">IF(V98&gt;=YEAR(Sensitivity!$E$13),V99+V100,SUM(OFFSET(V100,0,-MIN($K97,COLUMNS($K98:U98))):V100)/$K97)</f>
        <v>6.0544520999999997E-2</v>
      </c>
      <c r="W101" s="1704">
        <f ca="1">IF(W98&gt;=YEAR(Sensitivity!$E$13),W99+W100,SUM(OFFSET(W100,0,-MIN($K97,COLUMNS($K98:V98))):W100)/$K97)</f>
        <v>6.0544520999999997E-2</v>
      </c>
      <c r="X101" s="1704">
        <f ca="1">IF(X98&gt;=YEAR(Sensitivity!$E$13),X99+X100,SUM(OFFSET(X100,0,-MIN($K97,COLUMNS($K98:W98))):X100)/$K97)</f>
        <v>6.0544520999999997E-2</v>
      </c>
      <c r="Y101" s="1704">
        <f ca="1">IF(Y98&gt;=YEAR(Sensitivity!$E$13),Y99+Y100,SUM(OFFSET(Y100,0,-MIN($K97,COLUMNS($K98:X98))):Y100)/$K97)</f>
        <v>6.0544520999999997E-2</v>
      </c>
      <c r="Z101" s="1704">
        <f ca="1">IF(Z98&gt;=YEAR(Sensitivity!$E$13),Z99+Z100,SUM(OFFSET(Z100,0,-MIN($K97,COLUMNS($K98:Y98))):Z100)/$K97)</f>
        <v>6.0544520999999997E-2</v>
      </c>
      <c r="AA101" s="1704">
        <f ca="1">IF(AA98&gt;=YEAR(Sensitivity!$E$13),AA99+AA100,SUM(OFFSET(AA100,0,-MIN($K97,COLUMNS($K98:Z98))):AA100)/$K97)</f>
        <v>6.0544520999999997E-2</v>
      </c>
      <c r="AB101" s="1704">
        <f ca="1">IF(AB98&gt;=YEAR(Sensitivity!$E$13),AB99+AB100,SUM(OFFSET(AB100,0,-MIN($K97,COLUMNS($K98:AA98))):AB100)/$K97)</f>
        <v>6.0544520999999997E-2</v>
      </c>
      <c r="AC101" s="1704">
        <f ca="1">IF(AC98&gt;=YEAR(Sensitivity!$E$13),AC99+AC100,SUM(OFFSET(AC100,0,-MIN($K97,COLUMNS($K98:AB98))):AC100)/$K97)</f>
        <v>6.0544520999999997E-2</v>
      </c>
      <c r="AD101" s="1704">
        <f ca="1">IF(AD98&gt;=YEAR(Sensitivity!$E$13),AD99+AD100,SUM(OFFSET(AD100,0,-MIN($K97,COLUMNS($K98:AC98))):AD100)/$K97)</f>
        <v>6.0544520999999997E-2</v>
      </c>
      <c r="AE101" s="1704">
        <f ca="1">IF(AE98&gt;=YEAR(Sensitivity!$E$13),AE99+AE100,SUM(OFFSET(AE100,0,-MIN($K97,COLUMNS($K98:AD98))):AE100)/$K97)</f>
        <v>6.0544520999999997E-2</v>
      </c>
      <c r="AF101" s="1696">
        <f ca="1">IF(AF98&gt;=YEAR(Sensitivity!$E$13),AF99+AF100,SUM(OFFSET(AF100,0,-MIN($K97,COLUMNS($K98:AE98))):AF100)/$K97)</f>
        <v>0</v>
      </c>
      <c r="AG101" s="1696">
        <f ca="1">IF(AG98&gt;=YEAR(Sensitivity!$E$13),AG99+AG100,SUM(OFFSET(AG100,0,-MIN($K97,COLUMNS($K98:AF98))):AG100)/$K97)</f>
        <v>0</v>
      </c>
      <c r="AH101" s="1696">
        <f ca="1">IF(AH98&gt;=YEAR(Sensitivity!$E$13),AH99+AH100,SUM(OFFSET(AH100,0,-MIN($K97,COLUMNS($K98:AG98))):AH100)/$K97)</f>
        <v>0</v>
      </c>
      <c r="AI101" s="1696">
        <f ca="1">IF(AI98&gt;=YEAR(Sensitivity!$E$13),AI99+AI100,SUM(OFFSET(AI100,0,-MIN($K97,COLUMNS($K98:AH98))):AI100)/$K97)</f>
        <v>0</v>
      </c>
      <c r="AJ101" s="1696">
        <f ca="1">IF(AJ98&gt;=YEAR(Sensitivity!$E$13),AJ99+AJ100,SUM(OFFSET(AJ100,0,-MIN($K97,COLUMNS($K98:AI98))):AJ100)/$K97)</f>
        <v>0</v>
      </c>
      <c r="AK101" s="1696">
        <f ca="1">IF(AK98&gt;=YEAR(Sensitivity!$E$13),AK99+AK100,SUM(OFFSET(AK100,0,-MIN($K97,COLUMNS($K98:AJ98))):AK100)/$K97)</f>
        <v>0</v>
      </c>
      <c r="AL101" s="1696">
        <f ca="1">IF(AL98&gt;=YEAR(Sensitivity!$E$13),AL99+AL100,SUM(OFFSET(AL100,0,-MIN($K97,COLUMNS($K98:AK98))):AL100)/$K97)</f>
        <v>0</v>
      </c>
      <c r="AM101" s="1696">
        <f ca="1">IF(AM98&gt;=YEAR(Sensitivity!$E$13),AM99+AM100,SUM(OFFSET(AM100,0,-MIN($K97,COLUMNS($K98:AL98))):AM100)/$K97)</f>
        <v>0</v>
      </c>
      <c r="AN101" s="1696">
        <f ca="1">IF(AN98&gt;=YEAR(Sensitivity!$E$13),AN99+AN100,SUM(OFFSET(AN100,0,-MIN($K97,COLUMNS($K98:AM98))):AN100)/$K97)</f>
        <v>0</v>
      </c>
      <c r="AO101" s="1696">
        <f ca="1">IF(AO98&gt;=YEAR(Sensitivity!$E$13),AO99+AO100,SUM(OFFSET(AO100,0,-MIN($K97,COLUMNS($K98:AN98))):AO100)/$K97)</f>
        <v>0</v>
      </c>
      <c r="AP101" s="1696">
        <f ca="1">IF(AP98&gt;=YEAR(Sensitivity!$E$13),AP99+AP100,SUM(OFFSET(AP100,0,-MIN($K97,COLUMNS($K98:AO98))):AP100)/$K97)</f>
        <v>0</v>
      </c>
      <c r="AQ101" s="1696">
        <f ca="1">IF(AQ98&gt;=YEAR(Sensitivity!$E$13),AQ99+AQ100,SUM(OFFSET(AQ100,0,-MIN($K97,COLUMNS($K98:AP98))):AQ100)/$K97)</f>
        <v>0</v>
      </c>
      <c r="AR101" s="1696">
        <f ca="1">IF(AR98&gt;=YEAR(Sensitivity!$E$13),AR99+AR100,SUM(OFFSET(AR100,0,-MIN($K97,COLUMNS($K98:AQ98))):AR100)/$K97)</f>
        <v>0</v>
      </c>
      <c r="AS101" s="1696">
        <f ca="1">IF(AS98&gt;=YEAR(Sensitivity!$E$13),AS99+AS100,SUM(OFFSET(AS100,0,-MIN($K97,COLUMNS($K98:AR98))):AS100)/$K97)</f>
        <v>0</v>
      </c>
      <c r="AT101" s="1696">
        <f ca="1">IF(AT98&gt;=YEAR(Sensitivity!$E$13),AT99+AT100,SUM(OFFSET(AT100,0,-MIN($K97,COLUMNS($K98:AS98))):AT100)/$K97)</f>
        <v>0</v>
      </c>
      <c r="AU101" s="1696">
        <f ca="1">IF(AU98&gt;=YEAR(Sensitivity!$E$13),AU99+AU100,SUM(OFFSET(AU100,0,-MIN($K97,COLUMNS($K98:AT98))):AU100)/$K97)</f>
        <v>0</v>
      </c>
      <c r="AV101" s="1696">
        <f ca="1">IF(AV98&gt;=YEAR(Sensitivity!$E$13),AV99+AV100,SUM(OFFSET(AV100,0,-MIN($K97,COLUMNS($K98:AU98))):AV100)/$K97)</f>
        <v>0</v>
      </c>
      <c r="AW101" s="1696">
        <f ca="1">IF(AW98&gt;=YEAR(Sensitivity!$E$13),AW99+AW100,SUM(OFFSET(AW100,0,-MIN($K97,COLUMNS($K98:AV98))):AW100)/$K97)</f>
        <v>0</v>
      </c>
      <c r="AX101" s="1696">
        <f ca="1">IF(AX98&gt;=YEAR(Sensitivity!$E$13),AX99+AX100,SUM(OFFSET(AX100,0,-MIN($K97,COLUMNS($K98:AW98))):AX100)/$K97)</f>
        <v>0</v>
      </c>
      <c r="AY101" s="1696">
        <f ca="1">IF(AY98&gt;=YEAR(Sensitivity!$E$13),AY99+AY100,SUM(OFFSET(AY100,0,-MIN($K97,COLUMNS($K98:AX98))):AY100)/$K97)</f>
        <v>0</v>
      </c>
      <c r="AZ101" s="1696">
        <f ca="1">IF(AZ98&gt;=YEAR(Sensitivity!$E$13),AZ99+AZ100,SUM(OFFSET(AZ100,0,-MIN($K97,COLUMNS($K98:AY98))):AZ100)/$K97)</f>
        <v>0</v>
      </c>
      <c r="BA101" s="1696">
        <f ca="1">IF(BA98&gt;=YEAR(Sensitivity!$E$13),BA99+BA100,SUM(OFFSET(BA100,0,-MIN($K97,COLUMNS($K98:AZ98))):BA100)/$K97)</f>
        <v>0</v>
      </c>
      <c r="BB101" s="1696">
        <f ca="1">IF(BB98&gt;=YEAR(Sensitivity!$E$13),BB99+BB100,SUM(OFFSET(BB100,0,-MIN($K97,COLUMNS($K98:BA98))):BB100)/$K97)</f>
        <v>0</v>
      </c>
    </row>
    <row r="102" spans="3:54" ht="17.100000000000001" customHeight="1">
      <c r="C102" s="952"/>
      <c r="D102" s="777" t="s">
        <v>1096</v>
      </c>
      <c r="E102" s="747"/>
      <c r="F102" s="1668"/>
      <c r="G102" s="1668"/>
      <c r="H102" s="1668"/>
      <c r="I102" s="1705">
        <f>I99+I100-I101</f>
        <v>1.1610637699999999</v>
      </c>
      <c r="J102" s="1705">
        <f ca="1">J99+J100-J101</f>
        <v>1.1030105815</v>
      </c>
      <c r="K102" s="1706">
        <f>IF(ABS(K99+K100-K101)&lt;0.00001,0,K99+K100-K101)</f>
        <v>1.2108904199999999</v>
      </c>
      <c r="L102" s="1707">
        <f ca="1">IF(ABS(L99+L100-L101)&lt;0.00001,0,L99+L100-L101)</f>
        <v>1.1503458989999999</v>
      </c>
      <c r="M102" s="1707">
        <f t="shared" ref="M102:BB102" ca="1" si="59">IF(ABS(M99+M100-M101)&lt;0.00001,0,M99+M100-M101)</f>
        <v>1.089801378</v>
      </c>
      <c r="N102" s="1707">
        <f t="shared" ca="1" si="59"/>
        <v>1.029256857</v>
      </c>
      <c r="O102" s="1707">
        <f t="shared" ca="1" si="59"/>
        <v>0.96871233600000006</v>
      </c>
      <c r="P102" s="1707">
        <f t="shared" ca="1" si="59"/>
        <v>0.9081678150000001</v>
      </c>
      <c r="Q102" s="1707">
        <f t="shared" ca="1" si="59"/>
        <v>0.84762329400000014</v>
      </c>
      <c r="R102" s="1707">
        <f t="shared" ca="1" si="59"/>
        <v>0.78707877300000018</v>
      </c>
      <c r="S102" s="1707">
        <f t="shared" ca="1" si="59"/>
        <v>0.72653425200000021</v>
      </c>
      <c r="T102" s="1707">
        <f t="shared" ca="1" si="59"/>
        <v>0.66598973100000025</v>
      </c>
      <c r="U102" s="1707">
        <f t="shared" ca="1" si="59"/>
        <v>0.60544521000000029</v>
      </c>
      <c r="V102" s="1707">
        <f t="shared" ca="1" si="59"/>
        <v>0.54490068900000033</v>
      </c>
      <c r="W102" s="1707">
        <f t="shared" ca="1" si="59"/>
        <v>0.48435616800000031</v>
      </c>
      <c r="X102" s="1707">
        <f t="shared" ca="1" si="59"/>
        <v>0.42381164700000029</v>
      </c>
      <c r="Y102" s="1707">
        <f t="shared" ca="1" si="59"/>
        <v>0.36326712600000027</v>
      </c>
      <c r="Z102" s="1707">
        <f t="shared" ca="1" si="59"/>
        <v>0.30272260500000026</v>
      </c>
      <c r="AA102" s="1707">
        <f t="shared" ca="1" si="59"/>
        <v>0.24217808400000027</v>
      </c>
      <c r="AB102" s="1707">
        <f t="shared" ca="1" si="59"/>
        <v>0.18163356300000028</v>
      </c>
      <c r="AC102" s="1707">
        <f t="shared" ca="1" si="59"/>
        <v>0.12108904200000029</v>
      </c>
      <c r="AD102" s="1707">
        <f t="shared" ca="1" si="59"/>
        <v>6.0544521000000288E-2</v>
      </c>
      <c r="AE102" s="954">
        <f t="shared" ca="1" si="59"/>
        <v>0</v>
      </c>
      <c r="AF102" s="954">
        <f t="shared" ca="1" si="59"/>
        <v>0</v>
      </c>
      <c r="AG102" s="954">
        <f t="shared" ca="1" si="59"/>
        <v>0</v>
      </c>
      <c r="AH102" s="954">
        <f t="shared" ca="1" si="59"/>
        <v>0</v>
      </c>
      <c r="AI102" s="954">
        <f t="shared" ca="1" si="59"/>
        <v>0</v>
      </c>
      <c r="AJ102" s="954">
        <f t="shared" ca="1" si="59"/>
        <v>0</v>
      </c>
      <c r="AK102" s="954">
        <f t="shared" ca="1" si="59"/>
        <v>0</v>
      </c>
      <c r="AL102" s="954">
        <f t="shared" ca="1" si="59"/>
        <v>0</v>
      </c>
      <c r="AM102" s="954">
        <f t="shared" ca="1" si="59"/>
        <v>0</v>
      </c>
      <c r="AN102" s="954">
        <f t="shared" ca="1" si="59"/>
        <v>0</v>
      </c>
      <c r="AO102" s="954">
        <f t="shared" ca="1" si="59"/>
        <v>0</v>
      </c>
      <c r="AP102" s="954">
        <f t="shared" ca="1" si="59"/>
        <v>0</v>
      </c>
      <c r="AQ102" s="954">
        <f t="shared" ca="1" si="59"/>
        <v>0</v>
      </c>
      <c r="AR102" s="954">
        <f t="shared" ca="1" si="59"/>
        <v>0</v>
      </c>
      <c r="AS102" s="954">
        <f t="shared" ca="1" si="59"/>
        <v>0</v>
      </c>
      <c r="AT102" s="954">
        <f t="shared" ca="1" si="59"/>
        <v>0</v>
      </c>
      <c r="AU102" s="954">
        <f t="shared" ca="1" si="59"/>
        <v>0</v>
      </c>
      <c r="AV102" s="954">
        <f t="shared" ca="1" si="59"/>
        <v>0</v>
      </c>
      <c r="AW102" s="954">
        <f t="shared" ca="1" si="59"/>
        <v>0</v>
      </c>
      <c r="AX102" s="954">
        <f t="shared" ca="1" si="59"/>
        <v>0</v>
      </c>
      <c r="AY102" s="1708">
        <f t="shared" ca="1" si="59"/>
        <v>0</v>
      </c>
      <c r="AZ102" s="954">
        <f t="shared" ca="1" si="59"/>
        <v>0</v>
      </c>
      <c r="BA102" s="954">
        <f t="shared" ca="1" si="59"/>
        <v>0</v>
      </c>
      <c r="BB102" s="954">
        <f t="shared" ca="1" si="59"/>
        <v>0</v>
      </c>
    </row>
    <row r="103" spans="3:54" ht="17.100000000000001" customHeight="1">
      <c r="J103" s="716"/>
      <c r="K103" s="653">
        <f>K99+K100-K101-K102</f>
        <v>0</v>
      </c>
      <c r="M103" s="716"/>
    </row>
    <row r="104" spans="3:54" ht="17.100000000000001" customHeight="1">
      <c r="C104" s="302" t="str">
        <f>D22</f>
        <v>기타유형자산</v>
      </c>
      <c r="I104" s="1690">
        <v>20</v>
      </c>
      <c r="K104" s="302">
        <v>20</v>
      </c>
      <c r="AA104" s="401"/>
      <c r="AQ104" s="401"/>
    </row>
    <row r="105" spans="3:54" ht="17.100000000000001" customHeight="1">
      <c r="C105" s="717"/>
      <c r="D105" s="718" t="s">
        <v>780</v>
      </c>
      <c r="E105" s="719"/>
      <c r="F105" s="718"/>
      <c r="G105" s="718"/>
      <c r="H105" s="718"/>
      <c r="I105" s="1684">
        <f>I77</f>
        <v>2018</v>
      </c>
      <c r="J105" s="766">
        <f>J77</f>
        <v>2019</v>
      </c>
      <c r="K105" s="766">
        <f t="shared" ref="K105:BB105" si="60">J105+1</f>
        <v>2020</v>
      </c>
      <c r="L105" s="766">
        <f t="shared" si="60"/>
        <v>2021</v>
      </c>
      <c r="M105" s="766">
        <f t="shared" si="60"/>
        <v>2022</v>
      </c>
      <c r="N105" s="766">
        <f t="shared" si="60"/>
        <v>2023</v>
      </c>
      <c r="O105" s="766">
        <f t="shared" si="60"/>
        <v>2024</v>
      </c>
      <c r="P105" s="766">
        <f t="shared" si="60"/>
        <v>2025</v>
      </c>
      <c r="Q105" s="766">
        <f t="shared" si="60"/>
        <v>2026</v>
      </c>
      <c r="R105" s="766">
        <f t="shared" si="60"/>
        <v>2027</v>
      </c>
      <c r="S105" s="766">
        <f t="shared" si="60"/>
        <v>2028</v>
      </c>
      <c r="T105" s="766">
        <f t="shared" si="60"/>
        <v>2029</v>
      </c>
      <c r="U105" s="766">
        <f t="shared" si="60"/>
        <v>2030</v>
      </c>
      <c r="V105" s="766">
        <f t="shared" si="60"/>
        <v>2031</v>
      </c>
      <c r="W105" s="766">
        <f t="shared" si="60"/>
        <v>2032</v>
      </c>
      <c r="X105" s="766">
        <f t="shared" si="60"/>
        <v>2033</v>
      </c>
      <c r="Y105" s="766">
        <f t="shared" si="60"/>
        <v>2034</v>
      </c>
      <c r="Z105" s="766">
        <f t="shared" si="60"/>
        <v>2035</v>
      </c>
      <c r="AA105" s="766">
        <f t="shared" si="60"/>
        <v>2036</v>
      </c>
      <c r="AB105" s="766">
        <f t="shared" si="60"/>
        <v>2037</v>
      </c>
      <c r="AC105" s="766">
        <f t="shared" si="60"/>
        <v>2038</v>
      </c>
      <c r="AD105" s="766">
        <f t="shared" si="60"/>
        <v>2039</v>
      </c>
      <c r="AE105" s="766">
        <f t="shared" si="60"/>
        <v>2040</v>
      </c>
      <c r="AF105" s="766">
        <f t="shared" si="60"/>
        <v>2041</v>
      </c>
      <c r="AG105" s="766">
        <f t="shared" si="60"/>
        <v>2042</v>
      </c>
      <c r="AH105" s="766">
        <f t="shared" si="60"/>
        <v>2043</v>
      </c>
      <c r="AI105" s="766">
        <f t="shared" si="60"/>
        <v>2044</v>
      </c>
      <c r="AJ105" s="766">
        <f t="shared" si="60"/>
        <v>2045</v>
      </c>
      <c r="AK105" s="766">
        <f t="shared" si="60"/>
        <v>2046</v>
      </c>
      <c r="AL105" s="766">
        <f t="shared" si="60"/>
        <v>2047</v>
      </c>
      <c r="AM105" s="766">
        <f t="shared" si="60"/>
        <v>2048</v>
      </c>
      <c r="AN105" s="766">
        <f t="shared" si="60"/>
        <v>2049</v>
      </c>
      <c r="AO105" s="766">
        <f t="shared" si="60"/>
        <v>2050</v>
      </c>
      <c r="AP105" s="766">
        <f t="shared" si="60"/>
        <v>2051</v>
      </c>
      <c r="AQ105" s="766">
        <f t="shared" si="60"/>
        <v>2052</v>
      </c>
      <c r="AR105" s="766">
        <f t="shared" si="60"/>
        <v>2053</v>
      </c>
      <c r="AS105" s="766">
        <f t="shared" si="60"/>
        <v>2054</v>
      </c>
      <c r="AT105" s="766">
        <f t="shared" si="60"/>
        <v>2055</v>
      </c>
      <c r="AU105" s="766">
        <f t="shared" si="60"/>
        <v>2056</v>
      </c>
      <c r="AV105" s="766">
        <f t="shared" si="60"/>
        <v>2057</v>
      </c>
      <c r="AW105" s="766">
        <f t="shared" si="60"/>
        <v>2058</v>
      </c>
      <c r="AX105" s="766">
        <f t="shared" si="60"/>
        <v>2059</v>
      </c>
      <c r="AY105" s="766">
        <f t="shared" si="60"/>
        <v>2060</v>
      </c>
      <c r="AZ105" s="766">
        <f t="shared" si="60"/>
        <v>2061</v>
      </c>
      <c r="BA105" s="766">
        <f t="shared" si="60"/>
        <v>2062</v>
      </c>
      <c r="BB105" s="766">
        <f t="shared" si="60"/>
        <v>2063</v>
      </c>
    </row>
    <row r="106" spans="3:54" ht="17.100000000000001" customHeight="1">
      <c r="C106" s="720"/>
      <c r="D106" s="774" t="s">
        <v>1080</v>
      </c>
      <c r="E106" s="722"/>
      <c r="F106" s="1625"/>
      <c r="G106" s="1625"/>
      <c r="H106" s="1625"/>
      <c r="I106" s="1692"/>
      <c r="J106" s="1692">
        <v>5.3371370300000001</v>
      </c>
      <c r="K106" s="1666"/>
      <c r="L106" s="1360">
        <f t="shared" ref="L106:BB106" si="61">K109</f>
        <v>5.6683345799999998</v>
      </c>
      <c r="M106" s="1360">
        <f t="shared" ca="1" si="61"/>
        <v>5.384917851</v>
      </c>
      <c r="N106" s="1360">
        <f t="shared" ca="1" si="61"/>
        <v>5.1015011220000002</v>
      </c>
      <c r="O106" s="1360">
        <f t="shared" ca="1" si="61"/>
        <v>4.8180843930000004</v>
      </c>
      <c r="P106" s="1360">
        <f t="shared" ca="1" si="61"/>
        <v>4.5346676640000005</v>
      </c>
      <c r="Q106" s="1360">
        <f t="shared" ca="1" si="61"/>
        <v>4.2512509350000007</v>
      </c>
      <c r="R106" s="1360">
        <f t="shared" ca="1" si="61"/>
        <v>3.9678342060000009</v>
      </c>
      <c r="S106" s="1360">
        <f t="shared" ca="1" si="61"/>
        <v>3.6844174770000011</v>
      </c>
      <c r="T106" s="1360">
        <f t="shared" ca="1" si="61"/>
        <v>3.4010007480000013</v>
      </c>
      <c r="U106" s="1360">
        <f t="shared" ca="1" si="61"/>
        <v>3.1175840190000015</v>
      </c>
      <c r="V106" s="1360">
        <f t="shared" ca="1" si="61"/>
        <v>2.8341672900000017</v>
      </c>
      <c r="W106" s="1360">
        <f t="shared" ca="1" si="61"/>
        <v>2.5507505610000019</v>
      </c>
      <c r="X106" s="1360">
        <f t="shared" ca="1" si="61"/>
        <v>2.267333832000002</v>
      </c>
      <c r="Y106" s="1360">
        <f t="shared" ca="1" si="61"/>
        <v>1.983917103000002</v>
      </c>
      <c r="Z106" s="1360">
        <f t="shared" ca="1" si="61"/>
        <v>1.700500374000002</v>
      </c>
      <c r="AA106" s="1360">
        <f t="shared" ca="1" si="61"/>
        <v>1.4170836450000019</v>
      </c>
      <c r="AB106" s="1360">
        <f t="shared" ca="1" si="61"/>
        <v>1.1336669160000019</v>
      </c>
      <c r="AC106" s="1360">
        <f t="shared" ca="1" si="61"/>
        <v>0.85025018700000188</v>
      </c>
      <c r="AD106" s="1360">
        <f t="shared" ca="1" si="61"/>
        <v>0.56683345800000184</v>
      </c>
      <c r="AE106" s="1360">
        <f t="shared" ca="1" si="61"/>
        <v>0.28341672900000187</v>
      </c>
      <c r="AF106" s="1360">
        <f t="shared" ca="1" si="61"/>
        <v>0</v>
      </c>
      <c r="AG106" s="1360">
        <f t="shared" ca="1" si="61"/>
        <v>0</v>
      </c>
      <c r="AH106" s="1360">
        <f t="shared" ca="1" si="61"/>
        <v>0</v>
      </c>
      <c r="AI106" s="1360">
        <f t="shared" ca="1" si="61"/>
        <v>0</v>
      </c>
      <c r="AJ106" s="1360">
        <f t="shared" ca="1" si="61"/>
        <v>0</v>
      </c>
      <c r="AK106" s="1360">
        <f t="shared" ca="1" si="61"/>
        <v>0</v>
      </c>
      <c r="AL106" s="1360">
        <f t="shared" ca="1" si="61"/>
        <v>0</v>
      </c>
      <c r="AM106" s="1360">
        <f t="shared" ca="1" si="61"/>
        <v>0</v>
      </c>
      <c r="AN106" s="1360">
        <f t="shared" ca="1" si="61"/>
        <v>0</v>
      </c>
      <c r="AO106" s="1360">
        <f t="shared" ca="1" si="61"/>
        <v>0</v>
      </c>
      <c r="AP106" s="1360">
        <f t="shared" ca="1" si="61"/>
        <v>0</v>
      </c>
      <c r="AQ106" s="1360">
        <f t="shared" ca="1" si="61"/>
        <v>0</v>
      </c>
      <c r="AR106" s="1360">
        <f t="shared" ca="1" si="61"/>
        <v>0</v>
      </c>
      <c r="AS106" s="1360">
        <f t="shared" ca="1" si="61"/>
        <v>0</v>
      </c>
      <c r="AT106" s="1360">
        <f t="shared" ca="1" si="61"/>
        <v>0</v>
      </c>
      <c r="AU106" s="1360">
        <f t="shared" ca="1" si="61"/>
        <v>0</v>
      </c>
      <c r="AV106" s="1360">
        <f t="shared" ca="1" si="61"/>
        <v>0</v>
      </c>
      <c r="AW106" s="1360">
        <f t="shared" ca="1" si="61"/>
        <v>0</v>
      </c>
      <c r="AX106" s="1360">
        <f t="shared" ca="1" si="61"/>
        <v>0</v>
      </c>
      <c r="AY106" s="1360">
        <f t="shared" ca="1" si="61"/>
        <v>0</v>
      </c>
      <c r="AZ106" s="1360">
        <f t="shared" ca="1" si="61"/>
        <v>0</v>
      </c>
      <c r="BA106" s="1360">
        <f t="shared" ca="1" si="61"/>
        <v>0</v>
      </c>
      <c r="BB106" s="1360">
        <f t="shared" ca="1" si="61"/>
        <v>0</v>
      </c>
    </row>
    <row r="107" spans="3:54" ht="17.100000000000001" customHeight="1">
      <c r="C107" s="1409"/>
      <c r="D107" s="1410" t="s">
        <v>1270</v>
      </c>
      <c r="E107" s="1411"/>
      <c r="F107" s="1667"/>
      <c r="G107" s="1667"/>
      <c r="H107" s="1667"/>
      <c r="I107" s="1231">
        <v>5.3371370300000001</v>
      </c>
      <c r="J107" s="1231"/>
      <c r="K107" s="1693">
        <f>실적!D32/단위</f>
        <v>5.6683345799999998</v>
      </c>
      <c r="L107" s="946"/>
      <c r="M107" s="946"/>
      <c r="N107" s="946"/>
      <c r="O107" s="946"/>
      <c r="P107" s="946"/>
      <c r="Q107" s="946"/>
      <c r="R107" s="946"/>
      <c r="S107" s="946"/>
      <c r="T107" s="946"/>
      <c r="U107" s="946"/>
      <c r="V107" s="946"/>
      <c r="W107" s="946"/>
      <c r="X107" s="946"/>
      <c r="Y107" s="946"/>
      <c r="Z107" s="946"/>
      <c r="AA107" s="946"/>
      <c r="AB107" s="946"/>
      <c r="AC107" s="946"/>
      <c r="AD107" s="946"/>
      <c r="AE107" s="946"/>
      <c r="AF107" s="946"/>
      <c r="AG107" s="946"/>
      <c r="AH107" s="946"/>
      <c r="AI107" s="946"/>
      <c r="AJ107" s="946"/>
      <c r="AK107" s="946"/>
      <c r="AL107" s="946"/>
      <c r="AM107" s="946"/>
      <c r="AN107" s="946"/>
      <c r="AO107" s="946"/>
      <c r="AP107" s="946"/>
      <c r="AQ107" s="946"/>
      <c r="AR107" s="946"/>
      <c r="AS107" s="946"/>
      <c r="AT107" s="946"/>
      <c r="AU107" s="946"/>
      <c r="AV107" s="946"/>
      <c r="AW107" s="946"/>
      <c r="AX107" s="946"/>
      <c r="AY107" s="946"/>
      <c r="AZ107" s="946"/>
      <c r="BA107" s="946"/>
      <c r="BB107" s="946"/>
    </row>
    <row r="108" spans="3:54" ht="17.100000000000001" customHeight="1">
      <c r="C108" s="1415"/>
      <c r="D108" s="1416" t="s">
        <v>1271</v>
      </c>
      <c r="E108" s="1352"/>
      <c r="F108" s="1685"/>
      <c r="G108" s="1685"/>
      <c r="H108" s="1685"/>
      <c r="I108" s="1694"/>
      <c r="J108" s="1695">
        <f ca="1">SUM(OFFSET(J107,0,-MIN($I$104-1,COLUMNS(I105:$I105))):J107)/$I$104</f>
        <v>0.26685685149999999</v>
      </c>
      <c r="K108" s="1704"/>
      <c r="L108" s="1704">
        <f ca="1">IF(L105&gt;=YEAR(Sensitivity!$E$13),L106+L107,SUM(OFFSET(L107,0,-MIN($K104,COLUMNS($K105:K105))):L107)/$K104)</f>
        <v>0.28341672899999998</v>
      </c>
      <c r="M108" s="1704">
        <f ca="1">IF(M105&gt;=YEAR(Sensitivity!$E$13),M106+M107,SUM(OFFSET(M107,0,-MIN($K104,COLUMNS($K105:L105))):M107)/$K104)</f>
        <v>0.28341672899999998</v>
      </c>
      <c r="N108" s="1704">
        <f ca="1">IF(N105&gt;=YEAR(Sensitivity!$E$13),N106+N107,SUM(OFFSET(N107,0,-MIN($K104,COLUMNS($K105:M105))):N107)/$K104)</f>
        <v>0.28341672899999998</v>
      </c>
      <c r="O108" s="1704">
        <f ca="1">IF(O105&gt;=YEAR(Sensitivity!$E$13),O106+O107,SUM(OFFSET(O107,0,-MIN($K104,COLUMNS($K105:N105))):O107)/$K104)</f>
        <v>0.28341672899999998</v>
      </c>
      <c r="P108" s="1704">
        <f ca="1">IF(P105&gt;=YEAR(Sensitivity!$E$13),P106+P107,SUM(OFFSET(P107,0,-MIN($K104,COLUMNS($K105:O105))):P107)/$K104)</f>
        <v>0.28341672899999998</v>
      </c>
      <c r="Q108" s="1704">
        <f ca="1">IF(Q105&gt;=YEAR(Sensitivity!$E$13),Q106+Q107,SUM(OFFSET(Q107,0,-MIN($K104,COLUMNS($K105:P105))):Q107)/$K104)</f>
        <v>0.28341672899999998</v>
      </c>
      <c r="R108" s="1704">
        <f ca="1">IF(R105&gt;=YEAR(Sensitivity!$E$13),R106+R107,SUM(OFFSET(R107,0,-MIN($K104,COLUMNS($K105:Q105))):R107)/$K104)</f>
        <v>0.28341672899999998</v>
      </c>
      <c r="S108" s="1704">
        <f ca="1">IF(S105&gt;=YEAR(Sensitivity!$E$13),S106+S107,SUM(OFFSET(S107,0,-MIN($K104,COLUMNS($K105:R105))):S107)/$K104)</f>
        <v>0.28341672899999998</v>
      </c>
      <c r="T108" s="1704">
        <f ca="1">IF(T105&gt;=YEAR(Sensitivity!$E$13),T106+T107,SUM(OFFSET(T107,0,-MIN($K104,COLUMNS($K105:S105))):T107)/$K104)</f>
        <v>0.28341672899999998</v>
      </c>
      <c r="U108" s="1704">
        <f ca="1">IF(U105&gt;=YEAR(Sensitivity!$E$13),U106+U107,SUM(OFFSET(U107,0,-MIN($K104,COLUMNS($K105:T105))):U107)/$K104)</f>
        <v>0.28341672899999998</v>
      </c>
      <c r="V108" s="1704">
        <f ca="1">IF(V105&gt;=YEAR(Sensitivity!$E$13),V106+V107,SUM(OFFSET(V107,0,-MIN($K104,COLUMNS($K105:U105))):V107)/$K104)</f>
        <v>0.28341672899999998</v>
      </c>
      <c r="W108" s="1704">
        <f ca="1">IF(W105&gt;=YEAR(Sensitivity!$E$13),W106+W107,SUM(OFFSET(W107,0,-MIN($K104,COLUMNS($K105:V105))):W107)/$K104)</f>
        <v>0.28341672899999998</v>
      </c>
      <c r="X108" s="1704">
        <f ca="1">IF(X105&gt;=YEAR(Sensitivity!$E$13),X106+X107,SUM(OFFSET(X107,0,-MIN($K104,COLUMNS($K105:W105))):X107)/$K104)</f>
        <v>0.28341672899999998</v>
      </c>
      <c r="Y108" s="1704">
        <f ca="1">IF(Y105&gt;=YEAR(Sensitivity!$E$13),Y106+Y107,SUM(OFFSET(Y107,0,-MIN($K104,COLUMNS($K105:X105))):Y107)/$K104)</f>
        <v>0.28341672899999998</v>
      </c>
      <c r="Z108" s="1704">
        <f ca="1">IF(Z105&gt;=YEAR(Sensitivity!$E$13),Z106+Z107,SUM(OFFSET(Z107,0,-MIN($K104,COLUMNS($K105:Y105))):Z107)/$K104)</f>
        <v>0.28341672899999998</v>
      </c>
      <c r="AA108" s="1704">
        <f ca="1">IF(AA105&gt;=YEAR(Sensitivity!$E$13),AA106+AA107,SUM(OFFSET(AA107,0,-MIN($K104,COLUMNS($K105:Z105))):AA107)/$K104)</f>
        <v>0.28341672899999998</v>
      </c>
      <c r="AB108" s="1704">
        <f ca="1">IF(AB105&gt;=YEAR(Sensitivity!$E$13),AB106+AB107,SUM(OFFSET(AB107,0,-MIN($K104,COLUMNS($K105:AA105))):AB107)/$K104)</f>
        <v>0.28341672899999998</v>
      </c>
      <c r="AC108" s="1704">
        <f ca="1">IF(AC105&gt;=YEAR(Sensitivity!$E$13),AC106+AC107,SUM(OFFSET(AC107,0,-MIN($K104,COLUMNS($K105:AB105))):AC107)/$K104)</f>
        <v>0.28341672899999998</v>
      </c>
      <c r="AD108" s="1704">
        <f ca="1">IF(AD105&gt;=YEAR(Sensitivity!$E$13),AD106+AD107,SUM(OFFSET(AD107,0,-MIN($K104,COLUMNS($K105:AC105))):AD107)/$K104)</f>
        <v>0.28341672899999998</v>
      </c>
      <c r="AE108" s="1704">
        <f ca="1">IF(AE105&gt;=YEAR(Sensitivity!$E$13),AE106+AE107,SUM(OFFSET(AE107,0,-MIN($K104,COLUMNS($K105:AD105))):AE107)/$K104)</f>
        <v>0.28341672899999998</v>
      </c>
      <c r="AF108" s="1696">
        <f ca="1">IF(AF105&gt;=YEAR(Sensitivity!$E$13),AF106+AF107,SUM(OFFSET(AF107,0,-MIN($K104,COLUMNS($K105:AE105))):AF107)/$K104)</f>
        <v>0</v>
      </c>
      <c r="AG108" s="1696">
        <f ca="1">IF(AG105&gt;=YEAR(Sensitivity!$E$13),AG106+AG107,SUM(OFFSET(AG107,0,-MIN($K104,COLUMNS($K105:AF105))):AG107)/$K104)</f>
        <v>0</v>
      </c>
      <c r="AH108" s="1696">
        <f ca="1">IF(AH105&gt;=YEAR(Sensitivity!$E$13),AH106+AH107,SUM(OFFSET(AH107,0,-MIN($K104,COLUMNS($K105:AG105))):AH107)/$K104)</f>
        <v>0</v>
      </c>
      <c r="AI108" s="1696">
        <f ca="1">IF(AI105&gt;=YEAR(Sensitivity!$E$13),AI106+AI107,SUM(OFFSET(AI107,0,-MIN($K104,COLUMNS($K105:AH105))):AI107)/$K104)</f>
        <v>0</v>
      </c>
      <c r="AJ108" s="1696">
        <f ca="1">IF(AJ105&gt;=YEAR(Sensitivity!$E$13),AJ106+AJ107,SUM(OFFSET(AJ107,0,-MIN($K104,COLUMNS($K105:AI105))):AJ107)/$K104)</f>
        <v>0</v>
      </c>
      <c r="AK108" s="1696">
        <f ca="1">IF(AK105&gt;=YEAR(Sensitivity!$E$13),AK106+AK107,SUM(OFFSET(AK107,0,-MIN($K104,COLUMNS($K105:AJ105))):AK107)/$K104)</f>
        <v>0</v>
      </c>
      <c r="AL108" s="1696">
        <f ca="1">IF(AL105&gt;=YEAR(Sensitivity!$E$13),AL106+AL107,SUM(OFFSET(AL107,0,-MIN($K104,COLUMNS($K105:AK105))):AL107)/$K104)</f>
        <v>0</v>
      </c>
      <c r="AM108" s="1696">
        <f ca="1">IF(AM105&gt;=YEAR(Sensitivity!$E$13),AM106+AM107,SUM(OFFSET(AM107,0,-MIN($K104,COLUMNS($K105:AL105))):AM107)/$K104)</f>
        <v>0</v>
      </c>
      <c r="AN108" s="1696">
        <f ca="1">IF(AN105&gt;=YEAR(Sensitivity!$E$13),AN106+AN107,SUM(OFFSET(AN107,0,-MIN($K104,COLUMNS($K105:AM105))):AN107)/$K104)</f>
        <v>0</v>
      </c>
      <c r="AO108" s="1696">
        <f ca="1">IF(AO105&gt;=YEAR(Sensitivity!$E$13),AO106+AO107,SUM(OFFSET(AO107,0,-MIN($K104,COLUMNS($K105:AN105))):AO107)/$K104)</f>
        <v>0</v>
      </c>
      <c r="AP108" s="1696">
        <f ca="1">IF(AP105&gt;=YEAR(Sensitivity!$E$13),AP106+AP107,SUM(OFFSET(AP107,0,-MIN($K104,COLUMNS($K105:AO105))):AP107)/$K104)</f>
        <v>0</v>
      </c>
      <c r="AQ108" s="1696">
        <f ca="1">IF(AQ105&gt;=YEAR(Sensitivity!$E$13),AQ106+AQ107,SUM(OFFSET(AQ107,0,-MIN($K104,COLUMNS($K105:AP105))):AQ107)/$K104)</f>
        <v>0</v>
      </c>
      <c r="AR108" s="1696">
        <f ca="1">IF(AR105&gt;=YEAR(Sensitivity!$E$13),AR106+AR107,SUM(OFFSET(AR107,0,-MIN($K104,COLUMNS($K105:AQ105))):AR107)/$K104)</f>
        <v>0</v>
      </c>
      <c r="AS108" s="1696">
        <f ca="1">IF(AS105&gt;=YEAR(Sensitivity!$E$13),AS106+AS107,SUM(OFFSET(AS107,0,-MIN($K104,COLUMNS($K105:AR105))):AS107)/$K104)</f>
        <v>0</v>
      </c>
      <c r="AT108" s="1696">
        <f ca="1">IF(AT105&gt;=YEAR(Sensitivity!$E$13),AT106+AT107,SUM(OFFSET(AT107,0,-MIN($K104,COLUMNS($K105:AS105))):AT107)/$K104)</f>
        <v>0</v>
      </c>
      <c r="AU108" s="1696">
        <f ca="1">IF(AU105&gt;=YEAR(Sensitivity!$E$13),AU106+AU107,SUM(OFFSET(AU107,0,-MIN($K104,COLUMNS($K105:AT105))):AU107)/$K104)</f>
        <v>0</v>
      </c>
      <c r="AV108" s="1696">
        <f ca="1">IF(AV105&gt;=YEAR(Sensitivity!$E$13),AV106+AV107,SUM(OFFSET(AV107,0,-MIN($K104,COLUMNS($K105:AU105))):AV107)/$K104)</f>
        <v>0</v>
      </c>
      <c r="AW108" s="1696">
        <f ca="1">IF(AW105&gt;=YEAR(Sensitivity!$E$13),AW106+AW107,SUM(OFFSET(AW107,0,-MIN($K104,COLUMNS($K105:AV105))):AW107)/$K104)</f>
        <v>0</v>
      </c>
      <c r="AX108" s="1696">
        <f ca="1">IF(AX105&gt;=YEAR(Sensitivity!$E$13),AX106+AX107,SUM(OFFSET(AX107,0,-MIN($K104,COLUMNS($K105:AW105))):AX107)/$K104)</f>
        <v>0</v>
      </c>
      <c r="AY108" s="1696">
        <f ca="1">IF(AY105&gt;=YEAR(Sensitivity!$E$13),AY106+AY107,SUM(OFFSET(AY107,0,-MIN($K104,COLUMNS($K105:AX105))):AY107)/$K104)</f>
        <v>0</v>
      </c>
      <c r="AZ108" s="1696">
        <f ca="1">IF(AZ105&gt;=YEAR(Sensitivity!$E$13),AZ106+AZ107,SUM(OFFSET(AZ107,0,-MIN($K104,COLUMNS($K105:AY105))):AZ107)/$K104)</f>
        <v>0</v>
      </c>
      <c r="BA108" s="1696">
        <f ca="1">IF(BA105&gt;=YEAR(Sensitivity!$E$13),BA106+BA107,SUM(OFFSET(BA107,0,-MIN($K104,COLUMNS($K105:AZ105))):BA107)/$K104)</f>
        <v>0</v>
      </c>
      <c r="BB108" s="1696">
        <f ca="1">IF(BB105&gt;=YEAR(Sensitivity!$E$13),BB106+BB107,SUM(OFFSET(BB107,0,-MIN($K104,COLUMNS($K105:BA105))):BB107)/$K104)</f>
        <v>0</v>
      </c>
    </row>
    <row r="109" spans="3:54" ht="17.100000000000001" customHeight="1">
      <c r="C109" s="952"/>
      <c r="D109" s="777" t="s">
        <v>1096</v>
      </c>
      <c r="E109" s="747"/>
      <c r="F109" s="1668"/>
      <c r="G109" s="1668"/>
      <c r="H109" s="1668"/>
      <c r="I109" s="1697">
        <f>I106+I107-I108</f>
        <v>5.3371370300000001</v>
      </c>
      <c r="J109" s="1697">
        <f ca="1">J106+J107-J108</f>
        <v>5.0702801785</v>
      </c>
      <c r="K109" s="1687">
        <f>IF(ABS(K106+K107-K108)&lt;0.00001,0,K106+K107-K108)</f>
        <v>5.6683345799999998</v>
      </c>
      <c r="L109" s="954">
        <f ca="1">IF(ABS(L106+L107-L108)&lt;0.00001,0,L106+L107-L108)</f>
        <v>5.384917851</v>
      </c>
      <c r="M109" s="954">
        <f t="shared" ref="M109:BB109" ca="1" si="62">IF(ABS(M106+M107-M108)&lt;0.00001,0,M106+M107-M108)</f>
        <v>5.1015011220000002</v>
      </c>
      <c r="N109" s="954">
        <f t="shared" ca="1" si="62"/>
        <v>4.8180843930000004</v>
      </c>
      <c r="O109" s="954">
        <f t="shared" ca="1" si="62"/>
        <v>4.5346676640000005</v>
      </c>
      <c r="P109" s="954">
        <f t="shared" ca="1" si="62"/>
        <v>4.2512509350000007</v>
      </c>
      <c r="Q109" s="954">
        <f t="shared" ca="1" si="62"/>
        <v>3.9678342060000009</v>
      </c>
      <c r="R109" s="954">
        <f t="shared" ca="1" si="62"/>
        <v>3.6844174770000011</v>
      </c>
      <c r="S109" s="954">
        <f t="shared" ca="1" si="62"/>
        <v>3.4010007480000013</v>
      </c>
      <c r="T109" s="954">
        <f t="shared" ca="1" si="62"/>
        <v>3.1175840190000015</v>
      </c>
      <c r="U109" s="954">
        <f t="shared" ca="1" si="62"/>
        <v>2.8341672900000017</v>
      </c>
      <c r="V109" s="954">
        <f t="shared" ca="1" si="62"/>
        <v>2.5507505610000019</v>
      </c>
      <c r="W109" s="954">
        <f t="shared" ca="1" si="62"/>
        <v>2.267333832000002</v>
      </c>
      <c r="X109" s="954">
        <f t="shared" ca="1" si="62"/>
        <v>1.983917103000002</v>
      </c>
      <c r="Y109" s="954">
        <f t="shared" ca="1" si="62"/>
        <v>1.700500374000002</v>
      </c>
      <c r="Z109" s="954">
        <f t="shared" ca="1" si="62"/>
        <v>1.4170836450000019</v>
      </c>
      <c r="AA109" s="954">
        <f t="shared" ca="1" si="62"/>
        <v>1.1336669160000019</v>
      </c>
      <c r="AB109" s="954">
        <f t="shared" ca="1" si="62"/>
        <v>0.85025018700000188</v>
      </c>
      <c r="AC109" s="954">
        <f t="shared" ca="1" si="62"/>
        <v>0.56683345800000184</v>
      </c>
      <c r="AD109" s="954">
        <f t="shared" ca="1" si="62"/>
        <v>0.28341672900000187</v>
      </c>
      <c r="AE109" s="954">
        <f t="shared" ca="1" si="62"/>
        <v>0</v>
      </c>
      <c r="AF109" s="954">
        <f t="shared" ca="1" si="62"/>
        <v>0</v>
      </c>
      <c r="AG109" s="954">
        <f t="shared" ca="1" si="62"/>
        <v>0</v>
      </c>
      <c r="AH109" s="954">
        <f t="shared" ca="1" si="62"/>
        <v>0</v>
      </c>
      <c r="AI109" s="954">
        <f t="shared" ca="1" si="62"/>
        <v>0</v>
      </c>
      <c r="AJ109" s="954">
        <f t="shared" ca="1" si="62"/>
        <v>0</v>
      </c>
      <c r="AK109" s="954">
        <f t="shared" ca="1" si="62"/>
        <v>0</v>
      </c>
      <c r="AL109" s="954">
        <f t="shared" ca="1" si="62"/>
        <v>0</v>
      </c>
      <c r="AM109" s="954">
        <f t="shared" ca="1" si="62"/>
        <v>0</v>
      </c>
      <c r="AN109" s="954">
        <f t="shared" ca="1" si="62"/>
        <v>0</v>
      </c>
      <c r="AO109" s="954">
        <f t="shared" ca="1" si="62"/>
        <v>0</v>
      </c>
      <c r="AP109" s="954">
        <f t="shared" ca="1" si="62"/>
        <v>0</v>
      </c>
      <c r="AQ109" s="954">
        <f t="shared" ca="1" si="62"/>
        <v>0</v>
      </c>
      <c r="AR109" s="954">
        <f t="shared" ca="1" si="62"/>
        <v>0</v>
      </c>
      <c r="AS109" s="954">
        <f t="shared" ca="1" si="62"/>
        <v>0</v>
      </c>
      <c r="AT109" s="954">
        <f t="shared" ca="1" si="62"/>
        <v>0</v>
      </c>
      <c r="AU109" s="954">
        <f t="shared" ca="1" si="62"/>
        <v>0</v>
      </c>
      <c r="AV109" s="954">
        <f t="shared" ca="1" si="62"/>
        <v>0</v>
      </c>
      <c r="AW109" s="954">
        <f t="shared" ca="1" si="62"/>
        <v>0</v>
      </c>
      <c r="AX109" s="954">
        <f t="shared" ca="1" si="62"/>
        <v>0</v>
      </c>
      <c r="AY109" s="954">
        <f t="shared" ca="1" si="62"/>
        <v>0</v>
      </c>
      <c r="AZ109" s="954">
        <f t="shared" ca="1" si="62"/>
        <v>0</v>
      </c>
      <c r="BA109" s="954">
        <f t="shared" ca="1" si="62"/>
        <v>0</v>
      </c>
      <c r="BB109" s="954">
        <f t="shared" ca="1" si="62"/>
        <v>0</v>
      </c>
    </row>
    <row r="110" spans="3:54" ht="17.100000000000001" customHeight="1">
      <c r="D110" s="754"/>
      <c r="E110" s="755"/>
      <c r="F110" s="755"/>
      <c r="G110" s="755"/>
      <c r="H110" s="755"/>
      <c r="I110" s="753"/>
      <c r="J110" s="788"/>
      <c r="K110" s="653">
        <f>K106+K107-K108-K109</f>
        <v>0</v>
      </c>
      <c r="L110" s="788"/>
      <c r="M110" s="788"/>
      <c r="N110" s="788"/>
      <c r="O110" s="788"/>
      <c r="P110" s="788"/>
      <c r="Q110" s="788"/>
      <c r="R110" s="788"/>
      <c r="S110" s="788"/>
      <c r="T110" s="788"/>
      <c r="U110" s="788"/>
      <c r="V110" s="788"/>
      <c r="W110" s="788"/>
      <c r="X110" s="788"/>
      <c r="Y110" s="788"/>
      <c r="Z110" s="788"/>
      <c r="AA110" s="788"/>
      <c r="AB110" s="788"/>
      <c r="AC110" s="788"/>
      <c r="AD110" s="788"/>
      <c r="AE110" s="788"/>
      <c r="AF110" s="788"/>
      <c r="AG110" s="788"/>
      <c r="AH110" s="788"/>
      <c r="AI110" s="788"/>
      <c r="AJ110" s="788"/>
      <c r="AK110" s="788"/>
      <c r="AL110" s="788"/>
      <c r="AM110" s="788"/>
      <c r="AN110" s="788"/>
      <c r="AO110" s="788"/>
      <c r="AP110" s="788"/>
      <c r="AQ110" s="788"/>
      <c r="AR110" s="788"/>
      <c r="AS110" s="788"/>
      <c r="AT110" s="788"/>
      <c r="AU110" s="788"/>
      <c r="AV110" s="788"/>
      <c r="AW110" s="788"/>
      <c r="AX110" s="788"/>
      <c r="AY110" s="788"/>
      <c r="AZ110" s="788"/>
      <c r="BA110" s="788"/>
      <c r="BB110" s="788"/>
    </row>
    <row r="111" spans="3:54" ht="17.100000000000001" customHeight="1">
      <c r="C111" s="302" t="str">
        <f>D23</f>
        <v>건설중인자산</v>
      </c>
      <c r="I111" s="1690"/>
      <c r="AA111" s="401"/>
      <c r="AQ111" s="401"/>
    </row>
    <row r="112" spans="3:54" ht="17.100000000000001" customHeight="1">
      <c r="C112" s="717"/>
      <c r="D112" s="718" t="s">
        <v>780</v>
      </c>
      <c r="E112" s="719"/>
      <c r="F112" s="718"/>
      <c r="G112" s="718"/>
      <c r="H112" s="718"/>
      <c r="I112" s="1684">
        <f>I91</f>
        <v>2018</v>
      </c>
      <c r="J112" s="766">
        <f>J91</f>
        <v>2019</v>
      </c>
      <c r="K112" s="766">
        <f t="shared" ref="K112:BB112" si="63">J112+1</f>
        <v>2020</v>
      </c>
      <c r="L112" s="766">
        <f t="shared" si="63"/>
        <v>2021</v>
      </c>
      <c r="M112" s="766">
        <f t="shared" si="63"/>
        <v>2022</v>
      </c>
      <c r="N112" s="766">
        <f t="shared" si="63"/>
        <v>2023</v>
      </c>
      <c r="O112" s="766">
        <f t="shared" si="63"/>
        <v>2024</v>
      </c>
      <c r="P112" s="766">
        <f t="shared" si="63"/>
        <v>2025</v>
      </c>
      <c r="Q112" s="766">
        <f t="shared" si="63"/>
        <v>2026</v>
      </c>
      <c r="R112" s="766">
        <f t="shared" si="63"/>
        <v>2027</v>
      </c>
      <c r="S112" s="766">
        <f t="shared" si="63"/>
        <v>2028</v>
      </c>
      <c r="T112" s="766">
        <f t="shared" si="63"/>
        <v>2029</v>
      </c>
      <c r="U112" s="766">
        <f t="shared" si="63"/>
        <v>2030</v>
      </c>
      <c r="V112" s="766">
        <f t="shared" si="63"/>
        <v>2031</v>
      </c>
      <c r="W112" s="766">
        <f t="shared" si="63"/>
        <v>2032</v>
      </c>
      <c r="X112" s="766">
        <f t="shared" si="63"/>
        <v>2033</v>
      </c>
      <c r="Y112" s="766">
        <f t="shared" si="63"/>
        <v>2034</v>
      </c>
      <c r="Z112" s="766">
        <f t="shared" si="63"/>
        <v>2035</v>
      </c>
      <c r="AA112" s="766">
        <f t="shared" si="63"/>
        <v>2036</v>
      </c>
      <c r="AB112" s="766">
        <f t="shared" si="63"/>
        <v>2037</v>
      </c>
      <c r="AC112" s="766">
        <f t="shared" si="63"/>
        <v>2038</v>
      </c>
      <c r="AD112" s="766">
        <f t="shared" si="63"/>
        <v>2039</v>
      </c>
      <c r="AE112" s="766">
        <f t="shared" si="63"/>
        <v>2040</v>
      </c>
      <c r="AF112" s="766">
        <f t="shared" si="63"/>
        <v>2041</v>
      </c>
      <c r="AG112" s="766">
        <f t="shared" si="63"/>
        <v>2042</v>
      </c>
      <c r="AH112" s="766">
        <f t="shared" si="63"/>
        <v>2043</v>
      </c>
      <c r="AI112" s="766">
        <f t="shared" si="63"/>
        <v>2044</v>
      </c>
      <c r="AJ112" s="766">
        <f t="shared" si="63"/>
        <v>2045</v>
      </c>
      <c r="AK112" s="766">
        <f t="shared" si="63"/>
        <v>2046</v>
      </c>
      <c r="AL112" s="766">
        <f t="shared" si="63"/>
        <v>2047</v>
      </c>
      <c r="AM112" s="766">
        <f t="shared" si="63"/>
        <v>2048</v>
      </c>
      <c r="AN112" s="766">
        <f t="shared" si="63"/>
        <v>2049</v>
      </c>
      <c r="AO112" s="766">
        <f t="shared" si="63"/>
        <v>2050</v>
      </c>
      <c r="AP112" s="766">
        <f t="shared" si="63"/>
        <v>2051</v>
      </c>
      <c r="AQ112" s="766">
        <f t="shared" si="63"/>
        <v>2052</v>
      </c>
      <c r="AR112" s="766">
        <f t="shared" si="63"/>
        <v>2053</v>
      </c>
      <c r="AS112" s="766">
        <f t="shared" si="63"/>
        <v>2054</v>
      </c>
      <c r="AT112" s="766">
        <f t="shared" si="63"/>
        <v>2055</v>
      </c>
      <c r="AU112" s="766">
        <f t="shared" si="63"/>
        <v>2056</v>
      </c>
      <c r="AV112" s="766">
        <f t="shared" si="63"/>
        <v>2057</v>
      </c>
      <c r="AW112" s="766">
        <f t="shared" si="63"/>
        <v>2058</v>
      </c>
      <c r="AX112" s="766">
        <f t="shared" si="63"/>
        <v>2059</v>
      </c>
      <c r="AY112" s="766">
        <f t="shared" si="63"/>
        <v>2060</v>
      </c>
      <c r="AZ112" s="766">
        <f t="shared" si="63"/>
        <v>2061</v>
      </c>
      <c r="BA112" s="766">
        <f t="shared" si="63"/>
        <v>2062</v>
      </c>
      <c r="BB112" s="766">
        <f t="shared" si="63"/>
        <v>2063</v>
      </c>
    </row>
    <row r="113" spans="3:185" ht="17.100000000000001" customHeight="1">
      <c r="C113" s="720"/>
      <c r="D113" s="774" t="s">
        <v>1080</v>
      </c>
      <c r="E113" s="722"/>
      <c r="F113" s="1625"/>
      <c r="G113" s="1625"/>
      <c r="H113" s="1625"/>
      <c r="I113" s="1666"/>
      <c r="J113" s="1666">
        <f t="shared" ref="J113:BB113" si="64">I116</f>
        <v>0</v>
      </c>
      <c r="K113" s="1666">
        <f t="shared" si="64"/>
        <v>0</v>
      </c>
      <c r="L113" s="1360">
        <f>K116</f>
        <v>56.531999999999996</v>
      </c>
      <c r="M113" s="1360">
        <f t="shared" si="64"/>
        <v>0</v>
      </c>
      <c r="N113" s="1360">
        <f t="shared" si="64"/>
        <v>0</v>
      </c>
      <c r="O113" s="1360">
        <f t="shared" si="64"/>
        <v>0</v>
      </c>
      <c r="P113" s="1360">
        <f t="shared" si="64"/>
        <v>0</v>
      </c>
      <c r="Q113" s="1360">
        <f t="shared" si="64"/>
        <v>0</v>
      </c>
      <c r="R113" s="1360">
        <f t="shared" si="64"/>
        <v>0</v>
      </c>
      <c r="S113" s="1360">
        <f t="shared" si="64"/>
        <v>0</v>
      </c>
      <c r="T113" s="1360">
        <f t="shared" si="64"/>
        <v>0</v>
      </c>
      <c r="U113" s="1360">
        <f t="shared" si="64"/>
        <v>0</v>
      </c>
      <c r="V113" s="1360">
        <f t="shared" si="64"/>
        <v>0</v>
      </c>
      <c r="W113" s="1360">
        <f t="shared" si="64"/>
        <v>0</v>
      </c>
      <c r="X113" s="1360">
        <f t="shared" si="64"/>
        <v>0</v>
      </c>
      <c r="Y113" s="1360">
        <f t="shared" si="64"/>
        <v>0</v>
      </c>
      <c r="Z113" s="1360">
        <f t="shared" si="64"/>
        <v>0</v>
      </c>
      <c r="AA113" s="1360">
        <f t="shared" si="64"/>
        <v>0</v>
      </c>
      <c r="AB113" s="1360">
        <f t="shared" si="64"/>
        <v>0</v>
      </c>
      <c r="AC113" s="1360">
        <f t="shared" si="64"/>
        <v>0</v>
      </c>
      <c r="AD113" s="1360">
        <f t="shared" si="64"/>
        <v>0</v>
      </c>
      <c r="AE113" s="1360">
        <f t="shared" si="64"/>
        <v>0</v>
      </c>
      <c r="AF113" s="1360">
        <f t="shared" si="64"/>
        <v>0</v>
      </c>
      <c r="AG113" s="1360">
        <f t="shared" si="64"/>
        <v>0</v>
      </c>
      <c r="AH113" s="1360">
        <f t="shared" si="64"/>
        <v>0</v>
      </c>
      <c r="AI113" s="1360">
        <f t="shared" si="64"/>
        <v>0</v>
      </c>
      <c r="AJ113" s="1360">
        <f t="shared" si="64"/>
        <v>0</v>
      </c>
      <c r="AK113" s="1360">
        <f t="shared" si="64"/>
        <v>0</v>
      </c>
      <c r="AL113" s="1360">
        <f t="shared" si="64"/>
        <v>0</v>
      </c>
      <c r="AM113" s="1360">
        <f t="shared" si="64"/>
        <v>0</v>
      </c>
      <c r="AN113" s="1360">
        <f t="shared" si="64"/>
        <v>0</v>
      </c>
      <c r="AO113" s="1360">
        <f t="shared" si="64"/>
        <v>0</v>
      </c>
      <c r="AP113" s="1360">
        <f t="shared" si="64"/>
        <v>0</v>
      </c>
      <c r="AQ113" s="1360">
        <f t="shared" si="64"/>
        <v>0</v>
      </c>
      <c r="AR113" s="1360">
        <f t="shared" si="64"/>
        <v>0</v>
      </c>
      <c r="AS113" s="1360">
        <f t="shared" si="64"/>
        <v>0</v>
      </c>
      <c r="AT113" s="1360">
        <f t="shared" si="64"/>
        <v>0</v>
      </c>
      <c r="AU113" s="1360">
        <f t="shared" si="64"/>
        <v>0</v>
      </c>
      <c r="AV113" s="1360">
        <f t="shared" si="64"/>
        <v>0</v>
      </c>
      <c r="AW113" s="1360">
        <f t="shared" si="64"/>
        <v>0</v>
      </c>
      <c r="AX113" s="1360">
        <f t="shared" si="64"/>
        <v>0</v>
      </c>
      <c r="AY113" s="1360">
        <f t="shared" si="64"/>
        <v>0</v>
      </c>
      <c r="AZ113" s="1360">
        <f t="shared" si="64"/>
        <v>0</v>
      </c>
      <c r="BA113" s="1360">
        <f t="shared" si="64"/>
        <v>0</v>
      </c>
      <c r="BB113" s="1360">
        <f t="shared" si="64"/>
        <v>0</v>
      </c>
    </row>
    <row r="114" spans="3:185" ht="17.100000000000001" customHeight="1">
      <c r="C114" s="1409"/>
      <c r="D114" s="1410" t="s">
        <v>1270</v>
      </c>
      <c r="E114" s="1411"/>
      <c r="F114" s="1667"/>
      <c r="G114" s="1667"/>
      <c r="H114" s="1667"/>
      <c r="I114" s="945"/>
      <c r="J114" s="945"/>
      <c r="K114" s="945"/>
      <c r="L114" s="946"/>
      <c r="M114" s="946"/>
      <c r="N114" s="946"/>
      <c r="O114" s="946"/>
      <c r="P114" s="946"/>
      <c r="Q114" s="946"/>
      <c r="R114" s="946"/>
      <c r="S114" s="946"/>
      <c r="T114" s="946"/>
      <c r="U114" s="946"/>
      <c r="V114" s="946"/>
      <c r="W114" s="946"/>
      <c r="X114" s="946"/>
      <c r="Y114" s="946"/>
      <c r="Z114" s="946"/>
      <c r="AA114" s="946"/>
      <c r="AB114" s="946"/>
      <c r="AC114" s="946"/>
      <c r="AD114" s="946"/>
      <c r="AE114" s="946"/>
      <c r="AF114" s="946"/>
      <c r="AG114" s="946"/>
      <c r="AH114" s="946"/>
      <c r="AI114" s="946"/>
      <c r="AJ114" s="946"/>
      <c r="AK114" s="946"/>
      <c r="AL114" s="946"/>
      <c r="AM114" s="946"/>
      <c r="AN114" s="946"/>
      <c r="AO114" s="946"/>
      <c r="AP114" s="946"/>
      <c r="AQ114" s="946"/>
      <c r="AR114" s="946"/>
      <c r="AS114" s="946"/>
      <c r="AT114" s="946"/>
      <c r="AU114" s="946"/>
      <c r="AV114" s="946"/>
      <c r="AW114" s="946"/>
      <c r="AX114" s="946"/>
      <c r="AY114" s="946"/>
      <c r="AZ114" s="946"/>
      <c r="BA114" s="946"/>
      <c r="BB114" s="946"/>
    </row>
    <row r="115" spans="3:185" ht="17.100000000000001" customHeight="1">
      <c r="C115" s="1415"/>
      <c r="D115" s="1416" t="s">
        <v>1271</v>
      </c>
      <c r="E115" s="1352"/>
      <c r="F115" s="1685"/>
      <c r="G115" s="1685"/>
      <c r="H115" s="1685"/>
      <c r="I115" s="1686"/>
      <c r="J115" s="1686">
        <f>J113+J114</f>
        <v>0</v>
      </c>
      <c r="K115" s="1686">
        <f t="shared" ref="K115:BB115" si="65">K113+K114</f>
        <v>0</v>
      </c>
      <c r="L115" s="1353">
        <f t="shared" si="65"/>
        <v>56.531999999999996</v>
      </c>
      <c r="M115" s="1353">
        <f t="shared" si="65"/>
        <v>0</v>
      </c>
      <c r="N115" s="1353">
        <f t="shared" si="65"/>
        <v>0</v>
      </c>
      <c r="O115" s="1353">
        <f t="shared" si="65"/>
        <v>0</v>
      </c>
      <c r="P115" s="1353">
        <f t="shared" si="65"/>
        <v>0</v>
      </c>
      <c r="Q115" s="1353">
        <f t="shared" si="65"/>
        <v>0</v>
      </c>
      <c r="R115" s="1353">
        <f t="shared" si="65"/>
        <v>0</v>
      </c>
      <c r="S115" s="1353">
        <f t="shared" si="65"/>
        <v>0</v>
      </c>
      <c r="T115" s="1353">
        <f t="shared" si="65"/>
        <v>0</v>
      </c>
      <c r="U115" s="1353">
        <f t="shared" si="65"/>
        <v>0</v>
      </c>
      <c r="V115" s="1353">
        <f t="shared" si="65"/>
        <v>0</v>
      </c>
      <c r="W115" s="1353">
        <f t="shared" si="65"/>
        <v>0</v>
      </c>
      <c r="X115" s="1353">
        <f t="shared" si="65"/>
        <v>0</v>
      </c>
      <c r="Y115" s="1353">
        <f t="shared" si="65"/>
        <v>0</v>
      </c>
      <c r="Z115" s="1353">
        <f t="shared" si="65"/>
        <v>0</v>
      </c>
      <c r="AA115" s="1353">
        <f t="shared" si="65"/>
        <v>0</v>
      </c>
      <c r="AB115" s="1353">
        <f t="shared" si="65"/>
        <v>0</v>
      </c>
      <c r="AC115" s="1353">
        <f t="shared" si="65"/>
        <v>0</v>
      </c>
      <c r="AD115" s="1353">
        <f t="shared" si="65"/>
        <v>0</v>
      </c>
      <c r="AE115" s="1353">
        <f t="shared" si="65"/>
        <v>0</v>
      </c>
      <c r="AF115" s="1353">
        <f t="shared" si="65"/>
        <v>0</v>
      </c>
      <c r="AG115" s="1353">
        <f t="shared" si="65"/>
        <v>0</v>
      </c>
      <c r="AH115" s="1353">
        <f t="shared" si="65"/>
        <v>0</v>
      </c>
      <c r="AI115" s="1353">
        <f t="shared" si="65"/>
        <v>0</v>
      </c>
      <c r="AJ115" s="1353">
        <f t="shared" si="65"/>
        <v>0</v>
      </c>
      <c r="AK115" s="1353">
        <f t="shared" si="65"/>
        <v>0</v>
      </c>
      <c r="AL115" s="1353">
        <f t="shared" si="65"/>
        <v>0</v>
      </c>
      <c r="AM115" s="1353">
        <f t="shared" si="65"/>
        <v>0</v>
      </c>
      <c r="AN115" s="1353">
        <f t="shared" si="65"/>
        <v>0</v>
      </c>
      <c r="AO115" s="1353">
        <f t="shared" si="65"/>
        <v>0</v>
      </c>
      <c r="AP115" s="1353">
        <f t="shared" si="65"/>
        <v>0</v>
      </c>
      <c r="AQ115" s="1353">
        <f t="shared" si="65"/>
        <v>0</v>
      </c>
      <c r="AR115" s="1353">
        <f t="shared" si="65"/>
        <v>0</v>
      </c>
      <c r="AS115" s="1353">
        <f t="shared" si="65"/>
        <v>0</v>
      </c>
      <c r="AT115" s="1353">
        <f t="shared" si="65"/>
        <v>0</v>
      </c>
      <c r="AU115" s="1353">
        <f t="shared" si="65"/>
        <v>0</v>
      </c>
      <c r="AV115" s="1353">
        <f t="shared" si="65"/>
        <v>0</v>
      </c>
      <c r="AW115" s="1353">
        <f t="shared" si="65"/>
        <v>0</v>
      </c>
      <c r="AX115" s="1353">
        <f t="shared" si="65"/>
        <v>0</v>
      </c>
      <c r="AY115" s="1353">
        <f t="shared" si="65"/>
        <v>0</v>
      </c>
      <c r="AZ115" s="1353">
        <f t="shared" si="65"/>
        <v>0</v>
      </c>
      <c r="BA115" s="1353">
        <f t="shared" si="65"/>
        <v>0</v>
      </c>
      <c r="BB115" s="1353">
        <f t="shared" si="65"/>
        <v>0</v>
      </c>
    </row>
    <row r="116" spans="3:185" ht="17.100000000000001" customHeight="1">
      <c r="C116" s="952"/>
      <c r="D116" s="777" t="s">
        <v>1096</v>
      </c>
      <c r="E116" s="747"/>
      <c r="F116" s="1668"/>
      <c r="G116" s="1668"/>
      <c r="H116" s="1668"/>
      <c r="I116" s="1639">
        <f>I23</f>
        <v>0</v>
      </c>
      <c r="J116" s="1639">
        <f t="shared" ref="J116:BB116" si="66">J113+J114-J115</f>
        <v>0</v>
      </c>
      <c r="K116" s="1687">
        <f>실적!C34/단위</f>
        <v>56.531999999999996</v>
      </c>
      <c r="L116" s="954">
        <f t="shared" si="66"/>
        <v>0</v>
      </c>
      <c r="M116" s="954">
        <f t="shared" si="66"/>
        <v>0</v>
      </c>
      <c r="N116" s="954">
        <f t="shared" si="66"/>
        <v>0</v>
      </c>
      <c r="O116" s="954">
        <f t="shared" si="66"/>
        <v>0</v>
      </c>
      <c r="P116" s="954">
        <f t="shared" si="66"/>
        <v>0</v>
      </c>
      <c r="Q116" s="954">
        <f t="shared" si="66"/>
        <v>0</v>
      </c>
      <c r="R116" s="954">
        <f t="shared" si="66"/>
        <v>0</v>
      </c>
      <c r="S116" s="954">
        <f t="shared" si="66"/>
        <v>0</v>
      </c>
      <c r="T116" s="954">
        <f t="shared" si="66"/>
        <v>0</v>
      </c>
      <c r="U116" s="954">
        <f t="shared" si="66"/>
        <v>0</v>
      </c>
      <c r="V116" s="954">
        <f t="shared" si="66"/>
        <v>0</v>
      </c>
      <c r="W116" s="954">
        <f t="shared" si="66"/>
        <v>0</v>
      </c>
      <c r="X116" s="954">
        <f t="shared" si="66"/>
        <v>0</v>
      </c>
      <c r="Y116" s="954">
        <f t="shared" si="66"/>
        <v>0</v>
      </c>
      <c r="Z116" s="954">
        <f t="shared" si="66"/>
        <v>0</v>
      </c>
      <c r="AA116" s="954">
        <f t="shared" si="66"/>
        <v>0</v>
      </c>
      <c r="AB116" s="954">
        <f t="shared" si="66"/>
        <v>0</v>
      </c>
      <c r="AC116" s="954">
        <f t="shared" si="66"/>
        <v>0</v>
      </c>
      <c r="AD116" s="954">
        <f t="shared" si="66"/>
        <v>0</v>
      </c>
      <c r="AE116" s="954">
        <f t="shared" si="66"/>
        <v>0</v>
      </c>
      <c r="AF116" s="954">
        <f t="shared" si="66"/>
        <v>0</v>
      </c>
      <c r="AG116" s="954">
        <f t="shared" si="66"/>
        <v>0</v>
      </c>
      <c r="AH116" s="954">
        <f t="shared" si="66"/>
        <v>0</v>
      </c>
      <c r="AI116" s="954">
        <f t="shared" si="66"/>
        <v>0</v>
      </c>
      <c r="AJ116" s="954">
        <f t="shared" si="66"/>
        <v>0</v>
      </c>
      <c r="AK116" s="954">
        <f t="shared" si="66"/>
        <v>0</v>
      </c>
      <c r="AL116" s="954">
        <f t="shared" si="66"/>
        <v>0</v>
      </c>
      <c r="AM116" s="954">
        <f t="shared" si="66"/>
        <v>0</v>
      </c>
      <c r="AN116" s="954">
        <f t="shared" si="66"/>
        <v>0</v>
      </c>
      <c r="AO116" s="954">
        <f t="shared" si="66"/>
        <v>0</v>
      </c>
      <c r="AP116" s="954">
        <f t="shared" si="66"/>
        <v>0</v>
      </c>
      <c r="AQ116" s="954">
        <f t="shared" si="66"/>
        <v>0</v>
      </c>
      <c r="AR116" s="954">
        <f t="shared" si="66"/>
        <v>0</v>
      </c>
      <c r="AS116" s="954">
        <f t="shared" si="66"/>
        <v>0</v>
      </c>
      <c r="AT116" s="954">
        <f t="shared" si="66"/>
        <v>0</v>
      </c>
      <c r="AU116" s="954">
        <f t="shared" si="66"/>
        <v>0</v>
      </c>
      <c r="AV116" s="954">
        <f t="shared" si="66"/>
        <v>0</v>
      </c>
      <c r="AW116" s="954">
        <f t="shared" si="66"/>
        <v>0</v>
      </c>
      <c r="AX116" s="954">
        <f t="shared" si="66"/>
        <v>0</v>
      </c>
      <c r="AY116" s="954">
        <f t="shared" si="66"/>
        <v>0</v>
      </c>
      <c r="AZ116" s="954">
        <f t="shared" si="66"/>
        <v>0</v>
      </c>
      <c r="BA116" s="954">
        <f t="shared" si="66"/>
        <v>0</v>
      </c>
      <c r="BB116" s="954">
        <f t="shared" si="66"/>
        <v>0</v>
      </c>
    </row>
    <row r="117" spans="3:185" ht="17.100000000000001" customHeight="1">
      <c r="D117" s="754"/>
      <c r="E117" s="755"/>
      <c r="F117" s="755"/>
      <c r="G117" s="755"/>
      <c r="H117" s="755"/>
      <c r="I117" s="753"/>
      <c r="J117" s="788"/>
      <c r="K117" s="653">
        <f>K113+K114-K115-K116</f>
        <v>-56.531999999999996</v>
      </c>
      <c r="L117" s="788"/>
      <c r="M117" s="788"/>
      <c r="N117" s="788"/>
      <c r="O117" s="788"/>
      <c r="P117" s="788"/>
      <c r="Q117" s="788"/>
      <c r="R117" s="788"/>
      <c r="S117" s="788"/>
      <c r="T117" s="788"/>
      <c r="U117" s="788"/>
      <c r="V117" s="788"/>
      <c r="W117" s="788"/>
      <c r="X117" s="788"/>
      <c r="Y117" s="788"/>
      <c r="Z117" s="788"/>
      <c r="AA117" s="788"/>
      <c r="AB117" s="788"/>
      <c r="AC117" s="788"/>
      <c r="AD117" s="788"/>
      <c r="AE117" s="788"/>
      <c r="AF117" s="788"/>
      <c r="AG117" s="788"/>
      <c r="AH117" s="788"/>
      <c r="AI117" s="788"/>
      <c r="AJ117" s="788"/>
      <c r="AK117" s="788"/>
      <c r="AL117" s="788"/>
      <c r="AM117" s="788"/>
      <c r="AN117" s="788"/>
      <c r="AO117" s="788"/>
      <c r="AP117" s="788"/>
      <c r="AQ117" s="788"/>
      <c r="AR117" s="788"/>
      <c r="AS117" s="788"/>
      <c r="AT117" s="788"/>
      <c r="AU117" s="788"/>
      <c r="AV117" s="788"/>
      <c r="AW117" s="788"/>
      <c r="AX117" s="788"/>
      <c r="AY117" s="788"/>
      <c r="AZ117" s="788"/>
      <c r="BA117" s="788"/>
      <c r="BB117" s="788"/>
    </row>
    <row r="118" spans="3:185" ht="17.100000000000001" customHeight="1">
      <c r="C118" s="302" t="str">
        <f>D25</f>
        <v>관리운영권</v>
      </c>
      <c r="I118" s="1709"/>
      <c r="AA118" s="401"/>
      <c r="AQ118" s="401"/>
    </row>
    <row r="119" spans="3:185" ht="17.100000000000001" customHeight="1">
      <c r="C119" s="717"/>
      <c r="D119" s="718" t="s">
        <v>780</v>
      </c>
      <c r="E119" s="719"/>
      <c r="F119" s="718"/>
      <c r="G119" s="718"/>
      <c r="H119" s="718"/>
      <c r="I119" s="1684">
        <f>I112</f>
        <v>2018</v>
      </c>
      <c r="J119" s="766">
        <f>J91</f>
        <v>2019</v>
      </c>
      <c r="K119" s="766">
        <f>J119+1</f>
        <v>2020</v>
      </c>
      <c r="L119" s="766">
        <f t="shared" ref="L119:BB119" si="67">K119+1</f>
        <v>2021</v>
      </c>
      <c r="M119" s="766">
        <f t="shared" si="67"/>
        <v>2022</v>
      </c>
      <c r="N119" s="766">
        <f t="shared" si="67"/>
        <v>2023</v>
      </c>
      <c r="O119" s="766">
        <f t="shared" si="67"/>
        <v>2024</v>
      </c>
      <c r="P119" s="766">
        <f t="shared" si="67"/>
        <v>2025</v>
      </c>
      <c r="Q119" s="766">
        <f t="shared" si="67"/>
        <v>2026</v>
      </c>
      <c r="R119" s="766">
        <f t="shared" si="67"/>
        <v>2027</v>
      </c>
      <c r="S119" s="766">
        <f t="shared" si="67"/>
        <v>2028</v>
      </c>
      <c r="T119" s="766">
        <f t="shared" si="67"/>
        <v>2029</v>
      </c>
      <c r="U119" s="766">
        <f t="shared" si="67"/>
        <v>2030</v>
      </c>
      <c r="V119" s="766">
        <f t="shared" si="67"/>
        <v>2031</v>
      </c>
      <c r="W119" s="766">
        <f t="shared" si="67"/>
        <v>2032</v>
      </c>
      <c r="X119" s="766">
        <f t="shared" si="67"/>
        <v>2033</v>
      </c>
      <c r="Y119" s="766">
        <f t="shared" si="67"/>
        <v>2034</v>
      </c>
      <c r="Z119" s="766">
        <f t="shared" si="67"/>
        <v>2035</v>
      </c>
      <c r="AA119" s="766">
        <f t="shared" si="67"/>
        <v>2036</v>
      </c>
      <c r="AB119" s="766">
        <f t="shared" si="67"/>
        <v>2037</v>
      </c>
      <c r="AC119" s="766">
        <f t="shared" si="67"/>
        <v>2038</v>
      </c>
      <c r="AD119" s="766">
        <f t="shared" si="67"/>
        <v>2039</v>
      </c>
      <c r="AE119" s="766">
        <f t="shared" si="67"/>
        <v>2040</v>
      </c>
      <c r="AF119" s="766">
        <f t="shared" si="67"/>
        <v>2041</v>
      </c>
      <c r="AG119" s="766">
        <f t="shared" si="67"/>
        <v>2042</v>
      </c>
      <c r="AH119" s="766">
        <f t="shared" si="67"/>
        <v>2043</v>
      </c>
      <c r="AI119" s="766">
        <f t="shared" si="67"/>
        <v>2044</v>
      </c>
      <c r="AJ119" s="766">
        <f t="shared" si="67"/>
        <v>2045</v>
      </c>
      <c r="AK119" s="766">
        <f t="shared" si="67"/>
        <v>2046</v>
      </c>
      <c r="AL119" s="766">
        <f t="shared" si="67"/>
        <v>2047</v>
      </c>
      <c r="AM119" s="766">
        <f t="shared" si="67"/>
        <v>2048</v>
      </c>
      <c r="AN119" s="766">
        <f t="shared" si="67"/>
        <v>2049</v>
      </c>
      <c r="AO119" s="766">
        <f t="shared" si="67"/>
        <v>2050</v>
      </c>
      <c r="AP119" s="766">
        <f t="shared" si="67"/>
        <v>2051</v>
      </c>
      <c r="AQ119" s="766">
        <f t="shared" si="67"/>
        <v>2052</v>
      </c>
      <c r="AR119" s="766">
        <f t="shared" si="67"/>
        <v>2053</v>
      </c>
      <c r="AS119" s="766">
        <f t="shared" si="67"/>
        <v>2054</v>
      </c>
      <c r="AT119" s="766">
        <f t="shared" si="67"/>
        <v>2055</v>
      </c>
      <c r="AU119" s="766">
        <f t="shared" si="67"/>
        <v>2056</v>
      </c>
      <c r="AV119" s="766">
        <f t="shared" si="67"/>
        <v>2057</v>
      </c>
      <c r="AW119" s="766">
        <f t="shared" si="67"/>
        <v>2058</v>
      </c>
      <c r="AX119" s="766">
        <f t="shared" si="67"/>
        <v>2059</v>
      </c>
      <c r="AY119" s="766">
        <f t="shared" si="67"/>
        <v>2060</v>
      </c>
      <c r="AZ119" s="766">
        <f t="shared" si="67"/>
        <v>2061</v>
      </c>
      <c r="BA119" s="766">
        <f t="shared" si="67"/>
        <v>2062</v>
      </c>
      <c r="BB119" s="766">
        <f t="shared" si="67"/>
        <v>2063</v>
      </c>
    </row>
    <row r="120" spans="3:185" ht="17.100000000000001" customHeight="1">
      <c r="C120" s="720"/>
      <c r="D120" s="774" t="s">
        <v>1080</v>
      </c>
      <c r="E120" s="722"/>
      <c r="F120" s="1625"/>
      <c r="G120" s="1625"/>
      <c r="H120" s="1625"/>
      <c r="I120" s="1666"/>
      <c r="J120" s="1666">
        <f t="shared" ref="J120:BB120" si="68">I123</f>
        <v>1096.38856594</v>
      </c>
      <c r="K120" s="1666">
        <f t="shared" si="68"/>
        <v>1069.3172433241975</v>
      </c>
      <c r="L120" s="1360">
        <f t="shared" si="68"/>
        <v>1042.24592082</v>
      </c>
      <c r="M120" s="1360">
        <f t="shared" si="68"/>
        <v>1015.1745982012987</v>
      </c>
      <c r="N120" s="1360">
        <f t="shared" si="68"/>
        <v>988.10327558259746</v>
      </c>
      <c r="O120" s="1360">
        <f t="shared" si="68"/>
        <v>961.03195296389617</v>
      </c>
      <c r="P120" s="1360">
        <f t="shared" si="68"/>
        <v>933.96063034519489</v>
      </c>
      <c r="Q120" s="1360">
        <f t="shared" si="68"/>
        <v>906.8893077264936</v>
      </c>
      <c r="R120" s="1360">
        <f t="shared" si="68"/>
        <v>879.81798510779231</v>
      </c>
      <c r="S120" s="1360">
        <f t="shared" si="68"/>
        <v>852.74666248909102</v>
      </c>
      <c r="T120" s="1360">
        <f t="shared" si="68"/>
        <v>825.67533987038973</v>
      </c>
      <c r="U120" s="1360">
        <f t="shared" si="68"/>
        <v>798.60401725168845</v>
      </c>
      <c r="V120" s="1360">
        <f t="shared" si="68"/>
        <v>771.53269463298716</v>
      </c>
      <c r="W120" s="1360">
        <f t="shared" si="68"/>
        <v>744.46137201428587</v>
      </c>
      <c r="X120" s="1360">
        <f t="shared" si="68"/>
        <v>717.39004939558458</v>
      </c>
      <c r="Y120" s="1360">
        <f t="shared" si="68"/>
        <v>690.3187267768833</v>
      </c>
      <c r="Z120" s="1360">
        <f t="shared" si="68"/>
        <v>663.24740415818201</v>
      </c>
      <c r="AA120" s="1360">
        <f t="shared" si="68"/>
        <v>636.17608153948072</v>
      </c>
      <c r="AB120" s="1360">
        <f t="shared" si="68"/>
        <v>609.10475892077943</v>
      </c>
      <c r="AC120" s="1360">
        <f t="shared" si="68"/>
        <v>582.03343630207814</v>
      </c>
      <c r="AD120" s="1360">
        <f t="shared" si="68"/>
        <v>554.96211368337686</v>
      </c>
      <c r="AE120" s="1360">
        <f t="shared" si="68"/>
        <v>527.89079106467557</v>
      </c>
      <c r="AF120" s="1360">
        <f t="shared" si="68"/>
        <v>500.81946844597428</v>
      </c>
      <c r="AG120" s="1360">
        <f t="shared" si="68"/>
        <v>473.74814582727299</v>
      </c>
      <c r="AH120" s="1360">
        <f t="shared" si="68"/>
        <v>446.6768232085717</v>
      </c>
      <c r="AI120" s="1360">
        <f t="shared" si="68"/>
        <v>419.60550058987042</v>
      </c>
      <c r="AJ120" s="1360">
        <f t="shared" si="68"/>
        <v>392.53417797116913</v>
      </c>
      <c r="AK120" s="1360">
        <f t="shared" si="68"/>
        <v>365.46285535246778</v>
      </c>
      <c r="AL120" s="1360">
        <f t="shared" si="68"/>
        <v>338.39153273376644</v>
      </c>
      <c r="AM120" s="1360">
        <f t="shared" si="68"/>
        <v>311.32021011506515</v>
      </c>
      <c r="AN120" s="1360">
        <f t="shared" si="68"/>
        <v>284.24888749636386</v>
      </c>
      <c r="AO120" s="1360">
        <f t="shared" si="68"/>
        <v>257.17756487766252</v>
      </c>
      <c r="AP120" s="1360">
        <f t="shared" si="68"/>
        <v>230.1062422589612</v>
      </c>
      <c r="AQ120" s="1360">
        <f t="shared" si="68"/>
        <v>203.03491964025989</v>
      </c>
      <c r="AR120" s="1360">
        <f t="shared" si="68"/>
        <v>175.96359702155857</v>
      </c>
      <c r="AS120" s="1360">
        <f t="shared" si="68"/>
        <v>148.89227440285725</v>
      </c>
      <c r="AT120" s="1360">
        <f t="shared" si="68"/>
        <v>121.82095178415594</v>
      </c>
      <c r="AU120" s="1360">
        <f t="shared" si="68"/>
        <v>94.749629165454621</v>
      </c>
      <c r="AV120" s="1360">
        <f t="shared" si="68"/>
        <v>67.678306546753305</v>
      </c>
      <c r="AW120" s="1360">
        <f t="shared" si="68"/>
        <v>40.606983928051982</v>
      </c>
      <c r="AX120" s="1360">
        <f t="shared" si="68"/>
        <v>13.535661309350662</v>
      </c>
      <c r="AY120" s="1360">
        <f t="shared" si="68"/>
        <v>0</v>
      </c>
      <c r="AZ120" s="1360">
        <f t="shared" si="68"/>
        <v>0</v>
      </c>
      <c r="BA120" s="1360">
        <f t="shared" si="68"/>
        <v>0</v>
      </c>
      <c r="BB120" s="1360">
        <f t="shared" si="68"/>
        <v>0</v>
      </c>
    </row>
    <row r="121" spans="3:185" ht="17.100000000000001" customHeight="1">
      <c r="C121" s="1409"/>
      <c r="D121" s="1410" t="s">
        <v>1270</v>
      </c>
      <c r="E121" s="1411"/>
      <c r="F121" s="1667"/>
      <c r="G121" s="1667"/>
      <c r="H121" s="1667"/>
      <c r="I121" s="945">
        <f>SUM(J121:BB121)</f>
        <v>0</v>
      </c>
      <c r="J121" s="945">
        <f>J115</f>
        <v>0</v>
      </c>
      <c r="K121" s="945">
        <f t="shared" ref="K121" si="69">K115</f>
        <v>0</v>
      </c>
      <c r="L121" s="1693"/>
      <c r="M121" s="1693"/>
      <c r="N121" s="1693"/>
      <c r="O121" s="1693"/>
      <c r="P121" s="1693"/>
      <c r="Q121" s="1693"/>
      <c r="R121" s="1693"/>
      <c r="S121" s="1693"/>
      <c r="T121" s="1693"/>
      <c r="U121" s="1693"/>
      <c r="V121" s="1693"/>
      <c r="W121" s="1693"/>
      <c r="X121" s="1693"/>
      <c r="Y121" s="1693"/>
      <c r="Z121" s="1693"/>
      <c r="AA121" s="1693"/>
      <c r="AB121" s="1693"/>
      <c r="AC121" s="1693"/>
      <c r="AD121" s="1693"/>
      <c r="AE121" s="1693"/>
      <c r="AF121" s="1693"/>
      <c r="AG121" s="1693"/>
      <c r="AH121" s="1693"/>
      <c r="AI121" s="1693"/>
      <c r="AJ121" s="1693"/>
      <c r="AK121" s="1693"/>
      <c r="AL121" s="1693"/>
      <c r="AM121" s="1693"/>
      <c r="AN121" s="1693"/>
      <c r="AO121" s="1693"/>
      <c r="AP121" s="1693"/>
      <c r="AQ121" s="1693"/>
      <c r="AR121" s="1693"/>
      <c r="AS121" s="1693"/>
      <c r="AT121" s="1693"/>
      <c r="AU121" s="1693"/>
      <c r="AV121" s="1693"/>
      <c r="AW121" s="1693"/>
      <c r="AX121" s="1693"/>
      <c r="AY121" s="1693"/>
      <c r="AZ121" s="1693"/>
      <c r="BA121" s="1693"/>
      <c r="BB121" s="1693"/>
    </row>
    <row r="122" spans="3:185" ht="17.100000000000001" customHeight="1">
      <c r="C122" s="1415"/>
      <c r="D122" s="1416" t="s">
        <v>1271</v>
      </c>
      <c r="E122" s="1352"/>
      <c r="F122" s="1685"/>
      <c r="G122" s="1685"/>
      <c r="H122" s="1685"/>
      <c r="I122" s="1686"/>
      <c r="J122" s="1686">
        <f>SUM(J120:J121)*J4/SUM(J4:$BB4)</f>
        <v>27.071322615802469</v>
      </c>
      <c r="K122" s="1686">
        <f>SUM(K120:K121)*K4/SUM(K4:$BB4)</f>
        <v>27.071322615802469</v>
      </c>
      <c r="L122" s="1353">
        <f>SUM(L120:L121)*L4/SUM(L4:$BB4)</f>
        <v>27.071322618701302</v>
      </c>
      <c r="M122" s="1353">
        <f>SUM(M120:M121)*M4/SUM(M4:$BB4)</f>
        <v>27.071322618701299</v>
      </c>
      <c r="N122" s="1353">
        <f>SUM(N120:N121)*N4/SUM(N4:$BB4)</f>
        <v>27.071322618701302</v>
      </c>
      <c r="O122" s="1353">
        <f>SUM(O120:O121)*O4/SUM(O4:$BB4)</f>
        <v>27.071322618701299</v>
      </c>
      <c r="P122" s="1353">
        <f>SUM(P120:P121)*P4/SUM(P4:$BB4)</f>
        <v>27.071322618701302</v>
      </c>
      <c r="Q122" s="1353">
        <f>SUM(Q120:Q121)*Q4/SUM(Q4:$BB4)</f>
        <v>27.071322618701299</v>
      </c>
      <c r="R122" s="1353">
        <f>SUM(R120:R121)*R4/SUM(R4:$BB4)</f>
        <v>27.071322618701306</v>
      </c>
      <c r="S122" s="1353">
        <f>SUM(S120:S121)*S4/SUM(S4:$BB4)</f>
        <v>27.071322618701299</v>
      </c>
      <c r="T122" s="1353">
        <f>SUM(T120:T121)*T4/SUM(T4:$BB4)</f>
        <v>27.071322618701306</v>
      </c>
      <c r="U122" s="1353">
        <f>SUM(U120:U121)*U4/SUM(U4:$BB4)</f>
        <v>27.071322618701302</v>
      </c>
      <c r="V122" s="1353">
        <f>SUM(V120:V121)*V4/SUM(V4:$BB4)</f>
        <v>27.071322618701306</v>
      </c>
      <c r="W122" s="1353">
        <f>SUM(W120:W121)*W4/SUM(W4:$BB4)</f>
        <v>27.071322618701302</v>
      </c>
      <c r="X122" s="1353">
        <f>SUM(X120:X121)*X4/SUM(X4:$BB4)</f>
        <v>27.071322618701309</v>
      </c>
      <c r="Y122" s="1353">
        <f>SUM(Y120:Y121)*Y4/SUM(Y4:$BB4)</f>
        <v>27.071322618701302</v>
      </c>
      <c r="Z122" s="1353">
        <f>SUM(Z120:Z121)*Z4/SUM(Z4:$BB4)</f>
        <v>27.071322618701306</v>
      </c>
      <c r="AA122" s="1353">
        <f>SUM(AA120:AA121)*AA4/SUM(AA4:$BB4)</f>
        <v>27.071322618701306</v>
      </c>
      <c r="AB122" s="1353">
        <f>SUM(AB120:AB121)*AB4/SUM(AB4:$BB4)</f>
        <v>27.071322618701309</v>
      </c>
      <c r="AC122" s="1353">
        <f>SUM(AC120:AC121)*AC4/SUM(AC4:$BB4)</f>
        <v>27.071322618701309</v>
      </c>
      <c r="AD122" s="1353">
        <f>SUM(AD120:AD121)*AD4/SUM(AD4:$BB4)</f>
        <v>27.071322618701309</v>
      </c>
      <c r="AE122" s="1353">
        <f>SUM(AE120:AE121)*AE4/SUM(AE4:$BB4)</f>
        <v>27.071322618701313</v>
      </c>
      <c r="AF122" s="1353">
        <f>SUM(AF120:AF121)*AF4/SUM(AF4:$BB4)</f>
        <v>27.071322618701313</v>
      </c>
      <c r="AG122" s="1353">
        <f>SUM(AG120:AG121)*AG4/SUM(AG4:$BB4)</f>
        <v>27.071322618701313</v>
      </c>
      <c r="AH122" s="1353">
        <f>SUM(AH120:AH121)*AH4/SUM(AH4:$BB4)</f>
        <v>27.071322618701316</v>
      </c>
      <c r="AI122" s="1353">
        <f>SUM(AI120:AI121)*AI4/SUM(AI4:$BB4)</f>
        <v>27.071322618701316</v>
      </c>
      <c r="AJ122" s="1353">
        <f>SUM(AJ120:AJ121)*AJ4/SUM(AJ4:$BB4)</f>
        <v>27.07132261870132</v>
      </c>
      <c r="AK122" s="1353">
        <f>SUM(AK120:AK121)*AK4/SUM(AK4:$BB4)</f>
        <v>27.071322618701316</v>
      </c>
      <c r="AL122" s="1353">
        <f>SUM(AL120:AL121)*AL4/SUM(AL4:$BB4)</f>
        <v>27.071322618701316</v>
      </c>
      <c r="AM122" s="1353">
        <f>SUM(AM120:AM121)*AM4/SUM(AM4:$BB4)</f>
        <v>27.071322618701316</v>
      </c>
      <c r="AN122" s="1353">
        <f>SUM(AN120:AN121)*AN4/SUM(AN4:$BB4)</f>
        <v>27.07132261870132</v>
      </c>
      <c r="AO122" s="1353">
        <f>SUM(AO120:AO121)*AO4/SUM(AO4:$BB4)</f>
        <v>27.07132261870132</v>
      </c>
      <c r="AP122" s="1353">
        <f>SUM(AP120:AP121)*AP4/SUM(AP4:$BB4)</f>
        <v>27.07132261870132</v>
      </c>
      <c r="AQ122" s="1353">
        <f>SUM(AQ120:AQ121)*AQ4/SUM(AQ4:$BB4)</f>
        <v>27.07132261870132</v>
      </c>
      <c r="AR122" s="1353">
        <f>SUM(AR120:AR121)*AR4/SUM(AR4:$BB4)</f>
        <v>27.071322618701316</v>
      </c>
      <c r="AS122" s="1353">
        <f>SUM(AS120:AS121)*AS4/SUM(AS4:$BB4)</f>
        <v>27.07132261870132</v>
      </c>
      <c r="AT122" s="1353">
        <f>SUM(AT120:AT121)*AT4/SUM(AT4:$BB4)</f>
        <v>27.07132261870132</v>
      </c>
      <c r="AU122" s="1353">
        <f>SUM(AU120:AU121)*AU4/SUM(AU4:$BB4)</f>
        <v>27.07132261870132</v>
      </c>
      <c r="AV122" s="1353">
        <f>SUM(AV120:AV121)*AV4/SUM(AV4:$BB4)</f>
        <v>27.071322618701323</v>
      </c>
      <c r="AW122" s="1353">
        <f>SUM(AW120:AW121)*AW4/SUM(AW4:$BB4)</f>
        <v>27.07132261870132</v>
      </c>
      <c r="AX122" s="1353">
        <f>SUM(AX120:AX121)*AX4/SUM(AX4:$BB4)</f>
        <v>13.535661309350663</v>
      </c>
      <c r="AY122" s="1353">
        <f>SUM(AY120:AY121)*AY4/(MAX(SUM(AY4:$BB4),0.00001))</f>
        <v>0</v>
      </c>
      <c r="AZ122" s="1353">
        <f>SUM(AZ120:AZ121)*AZ4/(MAX(SUM(AZ4:$BB4),0.00001))</f>
        <v>0</v>
      </c>
      <c r="BA122" s="1353">
        <f>SUM(BA120:BA121)*BA4/(MAX(SUM(BA4:$BB4),0.00001))</f>
        <v>0</v>
      </c>
      <c r="BB122" s="1353">
        <f>SUM(BB120:BB121)*BB4/(MAX(SUM(BB4:$BB4),0.00001))</f>
        <v>0</v>
      </c>
    </row>
    <row r="123" spans="3:185" ht="17.100000000000001" customHeight="1">
      <c r="C123" s="952"/>
      <c r="D123" s="777" t="s">
        <v>1096</v>
      </c>
      <c r="E123" s="747"/>
      <c r="F123" s="1668"/>
      <c r="G123" s="1668"/>
      <c r="H123" s="1668"/>
      <c r="I123" s="1639">
        <f>I25</f>
        <v>1096.38856594</v>
      </c>
      <c r="J123" s="1639">
        <f t="shared" ref="J123:BB123" si="70">J120+J121-J122</f>
        <v>1069.3172433241975</v>
      </c>
      <c r="K123" s="1687">
        <f>실적!D35/단위</f>
        <v>1042.24592082</v>
      </c>
      <c r="L123" s="954">
        <f t="shared" si="70"/>
        <v>1015.1745982012987</v>
      </c>
      <c r="M123" s="954">
        <f t="shared" si="70"/>
        <v>988.10327558259746</v>
      </c>
      <c r="N123" s="954">
        <f t="shared" si="70"/>
        <v>961.03195296389617</v>
      </c>
      <c r="O123" s="954">
        <f t="shared" si="70"/>
        <v>933.96063034519489</v>
      </c>
      <c r="P123" s="954">
        <f t="shared" si="70"/>
        <v>906.8893077264936</v>
      </c>
      <c r="Q123" s="954">
        <f t="shared" si="70"/>
        <v>879.81798510779231</v>
      </c>
      <c r="R123" s="954">
        <f t="shared" si="70"/>
        <v>852.74666248909102</v>
      </c>
      <c r="S123" s="954">
        <f t="shared" si="70"/>
        <v>825.67533987038973</v>
      </c>
      <c r="T123" s="954">
        <f t="shared" si="70"/>
        <v>798.60401725168845</v>
      </c>
      <c r="U123" s="954">
        <f t="shared" si="70"/>
        <v>771.53269463298716</v>
      </c>
      <c r="V123" s="954">
        <f t="shared" si="70"/>
        <v>744.46137201428587</v>
      </c>
      <c r="W123" s="954">
        <f t="shared" si="70"/>
        <v>717.39004939558458</v>
      </c>
      <c r="X123" s="954">
        <f t="shared" si="70"/>
        <v>690.3187267768833</v>
      </c>
      <c r="Y123" s="954">
        <f t="shared" si="70"/>
        <v>663.24740415818201</v>
      </c>
      <c r="Z123" s="954">
        <f t="shared" si="70"/>
        <v>636.17608153948072</v>
      </c>
      <c r="AA123" s="954">
        <f t="shared" si="70"/>
        <v>609.10475892077943</v>
      </c>
      <c r="AB123" s="954">
        <f t="shared" si="70"/>
        <v>582.03343630207814</v>
      </c>
      <c r="AC123" s="954">
        <f t="shared" si="70"/>
        <v>554.96211368337686</v>
      </c>
      <c r="AD123" s="954">
        <f t="shared" si="70"/>
        <v>527.89079106467557</v>
      </c>
      <c r="AE123" s="954">
        <f t="shared" si="70"/>
        <v>500.81946844597428</v>
      </c>
      <c r="AF123" s="954">
        <f t="shared" si="70"/>
        <v>473.74814582727299</v>
      </c>
      <c r="AG123" s="954">
        <f t="shared" si="70"/>
        <v>446.6768232085717</v>
      </c>
      <c r="AH123" s="954">
        <f t="shared" si="70"/>
        <v>419.60550058987042</v>
      </c>
      <c r="AI123" s="954">
        <f t="shared" si="70"/>
        <v>392.53417797116913</v>
      </c>
      <c r="AJ123" s="954">
        <f t="shared" si="70"/>
        <v>365.46285535246778</v>
      </c>
      <c r="AK123" s="954">
        <f t="shared" si="70"/>
        <v>338.39153273376644</v>
      </c>
      <c r="AL123" s="954">
        <f t="shared" si="70"/>
        <v>311.32021011506515</v>
      </c>
      <c r="AM123" s="954">
        <f t="shared" si="70"/>
        <v>284.24888749636386</v>
      </c>
      <c r="AN123" s="954">
        <f t="shared" si="70"/>
        <v>257.17756487766252</v>
      </c>
      <c r="AO123" s="954">
        <f t="shared" si="70"/>
        <v>230.1062422589612</v>
      </c>
      <c r="AP123" s="954">
        <f t="shared" si="70"/>
        <v>203.03491964025989</v>
      </c>
      <c r="AQ123" s="954">
        <f t="shared" si="70"/>
        <v>175.96359702155857</v>
      </c>
      <c r="AR123" s="954">
        <f t="shared" si="70"/>
        <v>148.89227440285725</v>
      </c>
      <c r="AS123" s="954">
        <f t="shared" si="70"/>
        <v>121.82095178415594</v>
      </c>
      <c r="AT123" s="954">
        <f t="shared" si="70"/>
        <v>94.749629165454621</v>
      </c>
      <c r="AU123" s="954">
        <f t="shared" si="70"/>
        <v>67.678306546753305</v>
      </c>
      <c r="AV123" s="954">
        <f t="shared" si="70"/>
        <v>40.606983928051982</v>
      </c>
      <c r="AW123" s="954">
        <f t="shared" si="70"/>
        <v>13.535661309350662</v>
      </c>
      <c r="AX123" s="954">
        <f t="shared" si="70"/>
        <v>0</v>
      </c>
      <c r="AY123" s="954">
        <f t="shared" si="70"/>
        <v>0</v>
      </c>
      <c r="AZ123" s="954">
        <f t="shared" si="70"/>
        <v>0</v>
      </c>
      <c r="BA123" s="954">
        <f t="shared" si="70"/>
        <v>0</v>
      </c>
      <c r="BB123" s="954">
        <f t="shared" si="70"/>
        <v>0</v>
      </c>
    </row>
    <row r="124" spans="3:185" ht="17.100000000000001" customHeight="1">
      <c r="D124" s="754"/>
      <c r="E124" s="755"/>
      <c r="F124" s="755"/>
      <c r="G124" s="755"/>
      <c r="H124" s="755"/>
      <c r="I124" s="753"/>
      <c r="J124" s="644"/>
      <c r="K124" s="653">
        <f>K120+K121-K122-K123</f>
        <v>-1.116050043492578E-7</v>
      </c>
      <c r="L124" s="644"/>
      <c r="M124" s="644"/>
      <c r="N124" s="644"/>
      <c r="O124" s="644"/>
      <c r="P124" s="644"/>
      <c r="Q124" s="644"/>
      <c r="R124" s="644"/>
      <c r="S124" s="644"/>
      <c r="T124" s="644"/>
      <c r="U124" s="644"/>
      <c r="V124" s="644"/>
      <c r="W124" s="644"/>
      <c r="X124" s="644"/>
      <c r="Y124" s="644"/>
      <c r="Z124" s="644"/>
      <c r="AA124" s="644"/>
      <c r="AB124" s="644"/>
      <c r="AC124" s="644"/>
      <c r="AD124" s="644"/>
      <c r="AE124" s="644"/>
      <c r="AF124" s="644"/>
      <c r="AG124" s="644"/>
      <c r="AH124" s="644"/>
      <c r="AI124" s="644"/>
      <c r="AJ124" s="644"/>
      <c r="AK124" s="644"/>
      <c r="AL124" s="644"/>
      <c r="AM124" s="644"/>
      <c r="AN124" s="644"/>
      <c r="AO124" s="644"/>
      <c r="AP124" s="644"/>
      <c r="AQ124" s="644"/>
      <c r="AR124" s="644"/>
      <c r="AS124" s="644"/>
      <c r="AT124" s="644"/>
      <c r="AU124" s="644"/>
      <c r="AV124" s="644"/>
      <c r="AW124" s="644"/>
      <c r="AX124" s="644"/>
      <c r="AY124" s="644"/>
      <c r="AZ124" s="644"/>
      <c r="BA124" s="644"/>
      <c r="BB124" s="788"/>
      <c r="BC124" s="788"/>
      <c r="BD124" s="788"/>
      <c r="BE124" s="788"/>
      <c r="BF124" s="788"/>
      <c r="BG124" s="788"/>
      <c r="BH124" s="788"/>
      <c r="BI124" s="788"/>
      <c r="BJ124" s="788"/>
      <c r="BK124" s="788"/>
      <c r="BL124" s="788"/>
      <c r="BM124" s="788"/>
      <c r="BN124" s="788"/>
      <c r="BO124" s="788"/>
      <c r="BP124" s="788"/>
      <c r="BQ124" s="788"/>
      <c r="BR124" s="788"/>
      <c r="BS124" s="788"/>
      <c r="BT124" s="788"/>
      <c r="BU124" s="788"/>
      <c r="BV124" s="788"/>
      <c r="BW124" s="788"/>
      <c r="BX124" s="788"/>
      <c r="BY124" s="788"/>
      <c r="BZ124" s="788"/>
      <c r="CA124" s="788"/>
      <c r="CB124" s="788"/>
      <c r="CC124" s="788"/>
      <c r="CD124" s="788"/>
      <c r="CE124" s="788"/>
      <c r="CF124" s="788"/>
      <c r="CG124" s="788"/>
      <c r="CH124" s="788"/>
      <c r="CI124" s="788"/>
      <c r="CJ124" s="788"/>
      <c r="CK124" s="788"/>
      <c r="CL124" s="788"/>
      <c r="CM124" s="788"/>
      <c r="CN124" s="788"/>
      <c r="CO124" s="788"/>
      <c r="CP124" s="788"/>
      <c r="CQ124" s="788"/>
      <c r="CR124" s="788"/>
      <c r="CS124" s="788"/>
      <c r="CT124" s="788"/>
      <c r="CU124" s="788"/>
      <c r="CV124" s="788"/>
      <c r="CW124" s="788"/>
      <c r="CX124" s="788"/>
      <c r="CY124" s="788"/>
      <c r="CZ124" s="788"/>
      <c r="DA124" s="788"/>
      <c r="DB124" s="788"/>
      <c r="DC124" s="788"/>
      <c r="DD124" s="788"/>
      <c r="DE124" s="788"/>
      <c r="DF124" s="788"/>
      <c r="DG124" s="788"/>
      <c r="DH124" s="788"/>
      <c r="DI124" s="788"/>
      <c r="DJ124" s="788"/>
      <c r="DK124" s="788"/>
      <c r="DL124" s="788"/>
      <c r="DM124" s="788"/>
      <c r="DN124" s="788"/>
      <c r="DO124" s="788"/>
      <c r="DP124" s="788"/>
      <c r="DQ124" s="788"/>
      <c r="DR124" s="788"/>
      <c r="DS124" s="788"/>
      <c r="DT124" s="788"/>
      <c r="DU124" s="788"/>
      <c r="DV124" s="788"/>
      <c r="DW124" s="788"/>
      <c r="DX124" s="788"/>
      <c r="DY124" s="788"/>
      <c r="DZ124" s="788"/>
      <c r="EA124" s="788"/>
      <c r="EB124" s="788"/>
      <c r="EC124" s="788"/>
      <c r="ED124" s="788"/>
      <c r="EE124" s="788"/>
      <c r="EF124" s="788"/>
      <c r="EG124" s="788"/>
      <c r="EH124" s="788"/>
      <c r="EI124" s="788"/>
      <c r="EJ124" s="788"/>
      <c r="EK124" s="788"/>
      <c r="EL124" s="788"/>
      <c r="EM124" s="788"/>
      <c r="EN124" s="788"/>
      <c r="EO124" s="788"/>
      <c r="EP124" s="788"/>
      <c r="EQ124" s="788"/>
      <c r="ER124" s="788"/>
      <c r="ES124" s="788"/>
      <c r="ET124" s="788"/>
      <c r="EU124" s="788"/>
      <c r="EV124" s="788"/>
      <c r="EW124" s="788"/>
      <c r="EX124" s="788"/>
      <c r="EY124" s="788"/>
      <c r="EZ124" s="788"/>
      <c r="FA124" s="788"/>
      <c r="FB124" s="788"/>
      <c r="FC124" s="788"/>
      <c r="FD124" s="788"/>
      <c r="FE124" s="788"/>
      <c r="FF124" s="788"/>
      <c r="FG124" s="788"/>
      <c r="FH124" s="788"/>
      <c r="FI124" s="788"/>
      <c r="FJ124" s="788"/>
      <c r="FK124" s="788"/>
      <c r="FL124" s="788"/>
      <c r="FM124" s="788"/>
      <c r="FN124" s="788"/>
      <c r="FO124" s="788"/>
      <c r="FP124" s="788"/>
      <c r="FQ124" s="788"/>
      <c r="FR124" s="788"/>
      <c r="FS124" s="788"/>
      <c r="FT124" s="788"/>
      <c r="FU124" s="788"/>
      <c r="FV124" s="788"/>
      <c r="FW124" s="788"/>
      <c r="FX124" s="788"/>
      <c r="FY124" s="788"/>
      <c r="FZ124" s="788"/>
      <c r="GA124" s="788"/>
      <c r="GB124" s="788"/>
      <c r="GC124" s="788"/>
    </row>
    <row r="125" spans="3:185" ht="16.899999999999999" customHeight="1">
      <c r="C125" s="302" t="str">
        <f>D28</f>
        <v>금융리스채권</v>
      </c>
      <c r="I125" s="1709"/>
      <c r="AA125" s="401"/>
      <c r="AQ125" s="401"/>
    </row>
    <row r="126" spans="3:185" ht="17.100000000000001" customHeight="1">
      <c r="C126" s="717"/>
      <c r="D126" s="718" t="s">
        <v>780</v>
      </c>
      <c r="E126" s="719"/>
      <c r="F126" s="718"/>
      <c r="G126" s="718"/>
      <c r="H126" s="718"/>
      <c r="I126" s="1684">
        <f>I119</f>
        <v>2018</v>
      </c>
      <c r="J126" s="766">
        <f>J98</f>
        <v>2019</v>
      </c>
      <c r="K126" s="766">
        <f t="shared" ref="K126:BB126" si="71">J126+1</f>
        <v>2020</v>
      </c>
      <c r="L126" s="766">
        <f t="shared" si="71"/>
        <v>2021</v>
      </c>
      <c r="M126" s="766">
        <f t="shared" si="71"/>
        <v>2022</v>
      </c>
      <c r="N126" s="766">
        <f t="shared" si="71"/>
        <v>2023</v>
      </c>
      <c r="O126" s="766">
        <f t="shared" si="71"/>
        <v>2024</v>
      </c>
      <c r="P126" s="766">
        <f t="shared" si="71"/>
        <v>2025</v>
      </c>
      <c r="Q126" s="766">
        <f t="shared" si="71"/>
        <v>2026</v>
      </c>
      <c r="R126" s="766">
        <f t="shared" si="71"/>
        <v>2027</v>
      </c>
      <c r="S126" s="766">
        <f t="shared" si="71"/>
        <v>2028</v>
      </c>
      <c r="T126" s="766">
        <f t="shared" si="71"/>
        <v>2029</v>
      </c>
      <c r="U126" s="766">
        <f t="shared" si="71"/>
        <v>2030</v>
      </c>
      <c r="V126" s="766">
        <f t="shared" si="71"/>
        <v>2031</v>
      </c>
      <c r="W126" s="766">
        <f t="shared" si="71"/>
        <v>2032</v>
      </c>
      <c r="X126" s="766">
        <f t="shared" si="71"/>
        <v>2033</v>
      </c>
      <c r="Y126" s="766">
        <f t="shared" si="71"/>
        <v>2034</v>
      </c>
      <c r="Z126" s="766">
        <f t="shared" si="71"/>
        <v>2035</v>
      </c>
      <c r="AA126" s="766">
        <f t="shared" si="71"/>
        <v>2036</v>
      </c>
      <c r="AB126" s="766">
        <f t="shared" si="71"/>
        <v>2037</v>
      </c>
      <c r="AC126" s="766">
        <f t="shared" si="71"/>
        <v>2038</v>
      </c>
      <c r="AD126" s="766">
        <f t="shared" si="71"/>
        <v>2039</v>
      </c>
      <c r="AE126" s="766">
        <f t="shared" si="71"/>
        <v>2040</v>
      </c>
      <c r="AF126" s="766">
        <f t="shared" si="71"/>
        <v>2041</v>
      </c>
      <c r="AG126" s="766">
        <f t="shared" si="71"/>
        <v>2042</v>
      </c>
      <c r="AH126" s="766">
        <f t="shared" si="71"/>
        <v>2043</v>
      </c>
      <c r="AI126" s="766">
        <f t="shared" si="71"/>
        <v>2044</v>
      </c>
      <c r="AJ126" s="766">
        <f t="shared" si="71"/>
        <v>2045</v>
      </c>
      <c r="AK126" s="766">
        <f t="shared" si="71"/>
        <v>2046</v>
      </c>
      <c r="AL126" s="766">
        <f t="shared" si="71"/>
        <v>2047</v>
      </c>
      <c r="AM126" s="766">
        <f t="shared" si="71"/>
        <v>2048</v>
      </c>
      <c r="AN126" s="766">
        <f t="shared" si="71"/>
        <v>2049</v>
      </c>
      <c r="AO126" s="766">
        <f t="shared" si="71"/>
        <v>2050</v>
      </c>
      <c r="AP126" s="766">
        <f t="shared" si="71"/>
        <v>2051</v>
      </c>
      <c r="AQ126" s="766">
        <f t="shared" si="71"/>
        <v>2052</v>
      </c>
      <c r="AR126" s="766">
        <f t="shared" si="71"/>
        <v>2053</v>
      </c>
      <c r="AS126" s="766">
        <f t="shared" si="71"/>
        <v>2054</v>
      </c>
      <c r="AT126" s="766">
        <f t="shared" si="71"/>
        <v>2055</v>
      </c>
      <c r="AU126" s="766">
        <f t="shared" si="71"/>
        <v>2056</v>
      </c>
      <c r="AV126" s="766">
        <f t="shared" si="71"/>
        <v>2057</v>
      </c>
      <c r="AW126" s="766">
        <f t="shared" si="71"/>
        <v>2058</v>
      </c>
      <c r="AX126" s="766">
        <f t="shared" si="71"/>
        <v>2059</v>
      </c>
      <c r="AY126" s="766">
        <f t="shared" si="71"/>
        <v>2060</v>
      </c>
      <c r="AZ126" s="766">
        <f t="shared" si="71"/>
        <v>2061</v>
      </c>
      <c r="BA126" s="766">
        <f t="shared" si="71"/>
        <v>2062</v>
      </c>
      <c r="BB126" s="766">
        <f t="shared" si="71"/>
        <v>2063</v>
      </c>
    </row>
    <row r="127" spans="3:185" ht="17.100000000000001" customHeight="1">
      <c r="C127" s="720"/>
      <c r="D127" s="774" t="s">
        <v>1080</v>
      </c>
      <c r="E127" s="722"/>
      <c r="F127" s="1625"/>
      <c r="G127" s="1625"/>
      <c r="H127" s="1625"/>
      <c r="I127" s="1666"/>
      <c r="J127" s="1666">
        <f t="shared" ref="J127:BB127" si="72">I130</f>
        <v>39.612473029999997</v>
      </c>
      <c r="K127" s="1666">
        <f t="shared" si="72"/>
        <v>0</v>
      </c>
      <c r="L127" s="1360">
        <f t="shared" si="72"/>
        <v>0</v>
      </c>
      <c r="M127" s="1360">
        <f t="shared" si="72"/>
        <v>0</v>
      </c>
      <c r="N127" s="1360">
        <f t="shared" si="72"/>
        <v>11.48172866</v>
      </c>
      <c r="O127" s="1360">
        <f t="shared" si="72"/>
        <v>-0.77287134000000002</v>
      </c>
      <c r="P127" s="1360">
        <f t="shared" si="72"/>
        <v>-0.77287134000000002</v>
      </c>
      <c r="Q127" s="1360">
        <f t="shared" si="72"/>
        <v>-0.77287134000000002</v>
      </c>
      <c r="R127" s="1360">
        <f t="shared" si="72"/>
        <v>-0.77287134000000002</v>
      </c>
      <c r="S127" s="1360">
        <f t="shared" si="72"/>
        <v>-0.77287134000000002</v>
      </c>
      <c r="T127" s="1360">
        <f t="shared" si="72"/>
        <v>-0.77287134000000002</v>
      </c>
      <c r="U127" s="1360">
        <f t="shared" si="72"/>
        <v>-0.77287134000000002</v>
      </c>
      <c r="V127" s="1360">
        <f t="shared" si="72"/>
        <v>-0.77287134000000002</v>
      </c>
      <c r="W127" s="1360">
        <f t="shared" si="72"/>
        <v>-0.77287134000000002</v>
      </c>
      <c r="X127" s="1360">
        <f t="shared" si="72"/>
        <v>-0.77287134000000002</v>
      </c>
      <c r="Y127" s="1360">
        <f t="shared" si="72"/>
        <v>-0.77287134000000002</v>
      </c>
      <c r="Z127" s="1360">
        <f t="shared" si="72"/>
        <v>-0.77287134000000002</v>
      </c>
      <c r="AA127" s="1360">
        <f t="shared" si="72"/>
        <v>-0.77287134000000002</v>
      </c>
      <c r="AB127" s="1360">
        <f t="shared" si="72"/>
        <v>-0.77287134000000002</v>
      </c>
      <c r="AC127" s="1360">
        <f t="shared" si="72"/>
        <v>-0.77287134000000002</v>
      </c>
      <c r="AD127" s="1360">
        <f t="shared" si="72"/>
        <v>-0.77287134000000002</v>
      </c>
      <c r="AE127" s="1360">
        <f t="shared" si="72"/>
        <v>-0.77287134000000002</v>
      </c>
      <c r="AF127" s="1360">
        <f t="shared" si="72"/>
        <v>-0.77287134000000002</v>
      </c>
      <c r="AG127" s="1360">
        <f t="shared" si="72"/>
        <v>-0.77287134000000002</v>
      </c>
      <c r="AH127" s="1360">
        <f t="shared" si="72"/>
        <v>-0.77287134000000002</v>
      </c>
      <c r="AI127" s="1360">
        <f t="shared" si="72"/>
        <v>-0.77287134000000002</v>
      </c>
      <c r="AJ127" s="1360">
        <f t="shared" si="72"/>
        <v>-0.77287134000000002</v>
      </c>
      <c r="AK127" s="1360">
        <f t="shared" si="72"/>
        <v>-0.77287134000000002</v>
      </c>
      <c r="AL127" s="1360">
        <f t="shared" si="72"/>
        <v>-0.77287134000000002</v>
      </c>
      <c r="AM127" s="1360">
        <f t="shared" si="72"/>
        <v>-0.77287134000000002</v>
      </c>
      <c r="AN127" s="1360">
        <f t="shared" si="72"/>
        <v>-0.77287134000000002</v>
      </c>
      <c r="AO127" s="1360">
        <f t="shared" si="72"/>
        <v>-0.77287134000000002</v>
      </c>
      <c r="AP127" s="1360">
        <f t="shared" si="72"/>
        <v>-0.77287134000000002</v>
      </c>
      <c r="AQ127" s="1360">
        <f t="shared" si="72"/>
        <v>-0.77287134000000002</v>
      </c>
      <c r="AR127" s="1360">
        <f t="shared" si="72"/>
        <v>-0.77287134000000002</v>
      </c>
      <c r="AS127" s="1360">
        <f t="shared" si="72"/>
        <v>-0.77287134000000002</v>
      </c>
      <c r="AT127" s="1360">
        <f t="shared" si="72"/>
        <v>-0.77287134000000002</v>
      </c>
      <c r="AU127" s="1360">
        <f t="shared" si="72"/>
        <v>-0.77287134000000002</v>
      </c>
      <c r="AV127" s="1360">
        <f t="shared" si="72"/>
        <v>-0.77287134000000002</v>
      </c>
      <c r="AW127" s="1360">
        <f t="shared" si="72"/>
        <v>-0.77287134000000002</v>
      </c>
      <c r="AX127" s="1360">
        <f t="shared" si="72"/>
        <v>-0.77287134000000002</v>
      </c>
      <c r="AY127" s="1360">
        <f t="shared" si="72"/>
        <v>-0.77287134000000002</v>
      </c>
      <c r="AZ127" s="1360">
        <f t="shared" si="72"/>
        <v>-0.77287134000000002</v>
      </c>
      <c r="BA127" s="1360">
        <f t="shared" si="72"/>
        <v>-0.77287134000000002</v>
      </c>
      <c r="BB127" s="1360">
        <f t="shared" si="72"/>
        <v>0</v>
      </c>
    </row>
    <row r="128" spans="3:185" ht="17.100000000000001" customHeight="1">
      <c r="C128" s="1409"/>
      <c r="D128" s="1410" t="s">
        <v>1270</v>
      </c>
      <c r="E128" s="1411"/>
      <c r="F128" s="1667"/>
      <c r="G128" s="1667"/>
      <c r="H128" s="1667"/>
      <c r="I128" s="945"/>
      <c r="J128" s="945">
        <f t="shared" ref="J128:BB129" si="73">SUMIF($3:$3,J$126,136:136)</f>
        <v>-11.744762539999996</v>
      </c>
      <c r="K128" s="945">
        <f t="shared" si="73"/>
        <v>0</v>
      </c>
      <c r="L128" s="946">
        <f t="shared" si="73"/>
        <v>0</v>
      </c>
      <c r="M128" s="946">
        <f t="shared" si="73"/>
        <v>0</v>
      </c>
      <c r="N128" s="946">
        <f t="shared" si="73"/>
        <v>0</v>
      </c>
      <c r="O128" s="946">
        <f t="shared" si="73"/>
        <v>0</v>
      </c>
      <c r="P128" s="946">
        <f t="shared" si="73"/>
        <v>0</v>
      </c>
      <c r="Q128" s="946">
        <f t="shared" si="73"/>
        <v>0</v>
      </c>
      <c r="R128" s="946">
        <f t="shared" si="73"/>
        <v>0</v>
      </c>
      <c r="S128" s="946">
        <f t="shared" si="73"/>
        <v>0</v>
      </c>
      <c r="T128" s="946">
        <f t="shared" si="73"/>
        <v>0</v>
      </c>
      <c r="U128" s="946">
        <f t="shared" si="73"/>
        <v>0</v>
      </c>
      <c r="V128" s="946">
        <f t="shared" si="73"/>
        <v>0</v>
      </c>
      <c r="W128" s="946">
        <f t="shared" si="73"/>
        <v>0</v>
      </c>
      <c r="X128" s="946">
        <f t="shared" si="73"/>
        <v>0</v>
      </c>
      <c r="Y128" s="946">
        <f t="shared" si="73"/>
        <v>0</v>
      </c>
      <c r="Z128" s="946">
        <f t="shared" si="73"/>
        <v>0</v>
      </c>
      <c r="AA128" s="946">
        <f t="shared" si="73"/>
        <v>0</v>
      </c>
      <c r="AB128" s="946">
        <f t="shared" si="73"/>
        <v>0</v>
      </c>
      <c r="AC128" s="946">
        <f t="shared" si="73"/>
        <v>0</v>
      </c>
      <c r="AD128" s="946">
        <f t="shared" si="73"/>
        <v>0</v>
      </c>
      <c r="AE128" s="946">
        <f t="shared" si="73"/>
        <v>0</v>
      </c>
      <c r="AF128" s="946">
        <f t="shared" si="73"/>
        <v>0</v>
      </c>
      <c r="AG128" s="946">
        <f t="shared" si="73"/>
        <v>0</v>
      </c>
      <c r="AH128" s="946">
        <f t="shared" si="73"/>
        <v>0</v>
      </c>
      <c r="AI128" s="946">
        <f t="shared" si="73"/>
        <v>0</v>
      </c>
      <c r="AJ128" s="946">
        <f t="shared" si="73"/>
        <v>0</v>
      </c>
      <c r="AK128" s="946">
        <f t="shared" si="73"/>
        <v>0</v>
      </c>
      <c r="AL128" s="946">
        <f t="shared" si="73"/>
        <v>0</v>
      </c>
      <c r="AM128" s="946">
        <f t="shared" si="73"/>
        <v>0</v>
      </c>
      <c r="AN128" s="946">
        <f t="shared" si="73"/>
        <v>0</v>
      </c>
      <c r="AO128" s="946">
        <f t="shared" si="73"/>
        <v>0</v>
      </c>
      <c r="AP128" s="946">
        <f t="shared" si="73"/>
        <v>0</v>
      </c>
      <c r="AQ128" s="946">
        <f t="shared" si="73"/>
        <v>0</v>
      </c>
      <c r="AR128" s="946">
        <f t="shared" si="73"/>
        <v>0</v>
      </c>
      <c r="AS128" s="946">
        <f t="shared" si="73"/>
        <v>0</v>
      </c>
      <c r="AT128" s="946">
        <f t="shared" si="73"/>
        <v>0</v>
      </c>
      <c r="AU128" s="946">
        <f t="shared" si="73"/>
        <v>0</v>
      </c>
      <c r="AV128" s="946">
        <f t="shared" si="73"/>
        <v>0</v>
      </c>
      <c r="AW128" s="946">
        <f t="shared" si="73"/>
        <v>0</v>
      </c>
      <c r="AX128" s="946">
        <f t="shared" si="73"/>
        <v>0</v>
      </c>
      <c r="AY128" s="946">
        <f t="shared" si="73"/>
        <v>0</v>
      </c>
      <c r="AZ128" s="946">
        <f t="shared" si="73"/>
        <v>0</v>
      </c>
      <c r="BA128" s="946">
        <f t="shared" si="73"/>
        <v>0</v>
      </c>
      <c r="BB128" s="946">
        <f t="shared" si="73"/>
        <v>0</v>
      </c>
    </row>
    <row r="129" spans="3:190" ht="17.100000000000001" customHeight="1">
      <c r="C129" s="1415"/>
      <c r="D129" s="1416" t="s">
        <v>1271</v>
      </c>
      <c r="E129" s="1352"/>
      <c r="F129" s="1685"/>
      <c r="G129" s="1685"/>
      <c r="H129" s="1685"/>
      <c r="I129" s="1686"/>
      <c r="J129" s="1710">
        <f t="shared" si="73"/>
        <v>27.86771049</v>
      </c>
      <c r="K129" s="1710">
        <f t="shared" si="73"/>
        <v>12.18445157</v>
      </c>
      <c r="L129" s="1353">
        <f t="shared" si="73"/>
        <v>0</v>
      </c>
      <c r="M129" s="1353">
        <f t="shared" si="73"/>
        <v>-11.48172866</v>
      </c>
      <c r="N129" s="1353">
        <f t="shared" si="73"/>
        <v>12.2546</v>
      </c>
      <c r="O129" s="1353">
        <f t="shared" si="73"/>
        <v>0</v>
      </c>
      <c r="P129" s="1353">
        <f t="shared" si="73"/>
        <v>0</v>
      </c>
      <c r="Q129" s="1353">
        <f t="shared" si="73"/>
        <v>0</v>
      </c>
      <c r="R129" s="1353">
        <f t="shared" si="73"/>
        <v>0</v>
      </c>
      <c r="S129" s="1353">
        <f t="shared" si="73"/>
        <v>0</v>
      </c>
      <c r="T129" s="1353">
        <f t="shared" si="73"/>
        <v>0</v>
      </c>
      <c r="U129" s="1353">
        <f t="shared" si="73"/>
        <v>0</v>
      </c>
      <c r="V129" s="1353">
        <f t="shared" si="73"/>
        <v>0</v>
      </c>
      <c r="W129" s="1353">
        <f t="shared" si="73"/>
        <v>0</v>
      </c>
      <c r="X129" s="1353">
        <f t="shared" si="73"/>
        <v>0</v>
      </c>
      <c r="Y129" s="1353">
        <f t="shared" si="73"/>
        <v>0</v>
      </c>
      <c r="Z129" s="1353">
        <f t="shared" si="73"/>
        <v>0</v>
      </c>
      <c r="AA129" s="1353">
        <f t="shared" si="73"/>
        <v>0</v>
      </c>
      <c r="AB129" s="1353">
        <f t="shared" si="73"/>
        <v>0</v>
      </c>
      <c r="AC129" s="1353">
        <f t="shared" si="73"/>
        <v>0</v>
      </c>
      <c r="AD129" s="1353">
        <f t="shared" si="73"/>
        <v>0</v>
      </c>
      <c r="AE129" s="1353">
        <f t="shared" si="73"/>
        <v>0</v>
      </c>
      <c r="AF129" s="1353">
        <f t="shared" si="73"/>
        <v>0</v>
      </c>
      <c r="AG129" s="1353">
        <f t="shared" si="73"/>
        <v>0</v>
      </c>
      <c r="AH129" s="1353">
        <f t="shared" si="73"/>
        <v>0</v>
      </c>
      <c r="AI129" s="1353">
        <f t="shared" si="73"/>
        <v>0</v>
      </c>
      <c r="AJ129" s="1353">
        <f t="shared" si="73"/>
        <v>0</v>
      </c>
      <c r="AK129" s="1353">
        <f t="shared" si="73"/>
        <v>0</v>
      </c>
      <c r="AL129" s="1353">
        <f t="shared" si="73"/>
        <v>0</v>
      </c>
      <c r="AM129" s="1353">
        <f t="shared" si="73"/>
        <v>0</v>
      </c>
      <c r="AN129" s="1353">
        <f t="shared" si="73"/>
        <v>0</v>
      </c>
      <c r="AO129" s="1353">
        <f t="shared" si="73"/>
        <v>0</v>
      </c>
      <c r="AP129" s="1353">
        <f t="shared" si="73"/>
        <v>0</v>
      </c>
      <c r="AQ129" s="1353">
        <f t="shared" si="73"/>
        <v>0</v>
      </c>
      <c r="AR129" s="1353">
        <f t="shared" si="73"/>
        <v>0</v>
      </c>
      <c r="AS129" s="1353">
        <f t="shared" si="73"/>
        <v>0</v>
      </c>
      <c r="AT129" s="1353">
        <f t="shared" si="73"/>
        <v>0</v>
      </c>
      <c r="AU129" s="1353">
        <f t="shared" si="73"/>
        <v>0</v>
      </c>
      <c r="AV129" s="1353">
        <f t="shared" si="73"/>
        <v>0</v>
      </c>
      <c r="AW129" s="1353">
        <f t="shared" si="73"/>
        <v>0</v>
      </c>
      <c r="AX129" s="1353">
        <f t="shared" si="73"/>
        <v>0</v>
      </c>
      <c r="AY129" s="1353">
        <f t="shared" si="73"/>
        <v>0</v>
      </c>
      <c r="AZ129" s="1353">
        <f t="shared" si="73"/>
        <v>0</v>
      </c>
      <c r="BA129" s="1353">
        <f t="shared" si="73"/>
        <v>0</v>
      </c>
      <c r="BB129" s="1353">
        <f t="shared" si="73"/>
        <v>0</v>
      </c>
    </row>
    <row r="130" spans="3:190" ht="17.100000000000001" customHeight="1">
      <c r="C130" s="952"/>
      <c r="D130" s="777" t="s">
        <v>1096</v>
      </c>
      <c r="E130" s="747"/>
      <c r="F130" s="1668"/>
      <c r="G130" s="1668"/>
      <c r="H130" s="1668"/>
      <c r="I130" s="1639">
        <f>I138</f>
        <v>39.612473029999997</v>
      </c>
      <c r="J130" s="1639">
        <f t="shared" ref="J130:AZ130" si="74">J127+J128-J129</f>
        <v>0</v>
      </c>
      <c r="K130" s="1687">
        <f>실적!C21/단위</f>
        <v>0</v>
      </c>
      <c r="L130" s="954">
        <f t="shared" si="74"/>
        <v>0</v>
      </c>
      <c r="M130" s="954">
        <f t="shared" si="74"/>
        <v>11.48172866</v>
      </c>
      <c r="N130" s="954">
        <f t="shared" si="74"/>
        <v>-0.77287134000000002</v>
      </c>
      <c r="O130" s="954">
        <f t="shared" si="74"/>
        <v>-0.77287134000000002</v>
      </c>
      <c r="P130" s="954">
        <f t="shared" si="74"/>
        <v>-0.77287134000000002</v>
      </c>
      <c r="Q130" s="954">
        <f t="shared" si="74"/>
        <v>-0.77287134000000002</v>
      </c>
      <c r="R130" s="954">
        <f t="shared" si="74"/>
        <v>-0.77287134000000002</v>
      </c>
      <c r="S130" s="954">
        <f t="shared" si="74"/>
        <v>-0.77287134000000002</v>
      </c>
      <c r="T130" s="954">
        <f t="shared" si="74"/>
        <v>-0.77287134000000002</v>
      </c>
      <c r="U130" s="954">
        <f t="shared" si="74"/>
        <v>-0.77287134000000002</v>
      </c>
      <c r="V130" s="954">
        <f t="shared" si="74"/>
        <v>-0.77287134000000002</v>
      </c>
      <c r="W130" s="954">
        <f t="shared" si="74"/>
        <v>-0.77287134000000002</v>
      </c>
      <c r="X130" s="954">
        <f t="shared" si="74"/>
        <v>-0.77287134000000002</v>
      </c>
      <c r="Y130" s="954">
        <f t="shared" si="74"/>
        <v>-0.77287134000000002</v>
      </c>
      <c r="Z130" s="954">
        <f t="shared" si="74"/>
        <v>-0.77287134000000002</v>
      </c>
      <c r="AA130" s="954">
        <f t="shared" si="74"/>
        <v>-0.77287134000000002</v>
      </c>
      <c r="AB130" s="954">
        <f t="shared" si="74"/>
        <v>-0.77287134000000002</v>
      </c>
      <c r="AC130" s="954">
        <f t="shared" si="74"/>
        <v>-0.77287134000000002</v>
      </c>
      <c r="AD130" s="954">
        <f t="shared" si="74"/>
        <v>-0.77287134000000002</v>
      </c>
      <c r="AE130" s="954">
        <f t="shared" si="74"/>
        <v>-0.77287134000000002</v>
      </c>
      <c r="AF130" s="954">
        <f t="shared" si="74"/>
        <v>-0.77287134000000002</v>
      </c>
      <c r="AG130" s="954">
        <f t="shared" si="74"/>
        <v>-0.77287134000000002</v>
      </c>
      <c r="AH130" s="954">
        <f t="shared" si="74"/>
        <v>-0.77287134000000002</v>
      </c>
      <c r="AI130" s="954">
        <f t="shared" si="74"/>
        <v>-0.77287134000000002</v>
      </c>
      <c r="AJ130" s="954">
        <f t="shared" si="74"/>
        <v>-0.77287134000000002</v>
      </c>
      <c r="AK130" s="954">
        <f t="shared" si="74"/>
        <v>-0.77287134000000002</v>
      </c>
      <c r="AL130" s="954">
        <f t="shared" si="74"/>
        <v>-0.77287134000000002</v>
      </c>
      <c r="AM130" s="954">
        <f t="shared" si="74"/>
        <v>-0.77287134000000002</v>
      </c>
      <c r="AN130" s="954">
        <f t="shared" si="74"/>
        <v>-0.77287134000000002</v>
      </c>
      <c r="AO130" s="954">
        <f t="shared" si="74"/>
        <v>-0.77287134000000002</v>
      </c>
      <c r="AP130" s="954">
        <f t="shared" si="74"/>
        <v>-0.77287134000000002</v>
      </c>
      <c r="AQ130" s="954">
        <f t="shared" si="74"/>
        <v>-0.77287134000000002</v>
      </c>
      <c r="AR130" s="954">
        <f t="shared" si="74"/>
        <v>-0.77287134000000002</v>
      </c>
      <c r="AS130" s="954">
        <f t="shared" si="74"/>
        <v>-0.77287134000000002</v>
      </c>
      <c r="AT130" s="954">
        <f t="shared" si="74"/>
        <v>-0.77287134000000002</v>
      </c>
      <c r="AU130" s="954">
        <f t="shared" si="74"/>
        <v>-0.77287134000000002</v>
      </c>
      <c r="AV130" s="954">
        <f t="shared" si="74"/>
        <v>-0.77287134000000002</v>
      </c>
      <c r="AW130" s="954">
        <f t="shared" si="74"/>
        <v>-0.77287134000000002</v>
      </c>
      <c r="AX130" s="954">
        <f>AX127+AX128-AX129</f>
        <v>-0.77287134000000002</v>
      </c>
      <c r="AY130" s="954">
        <f t="shared" si="74"/>
        <v>-0.77287134000000002</v>
      </c>
      <c r="AZ130" s="954">
        <f t="shared" si="74"/>
        <v>-0.77287134000000002</v>
      </c>
      <c r="BA130" s="954">
        <v>0</v>
      </c>
      <c r="BB130" s="954">
        <f>(BB127+BB128-BB129)*(BB126&lt;YEAR(Sensitivity!$E$13))</f>
        <v>0</v>
      </c>
    </row>
    <row r="131" spans="3:190" ht="17.100000000000001" customHeight="1">
      <c r="C131" s="930"/>
      <c r="D131" s="770" t="str">
        <f>D139</f>
        <v>이자수익</v>
      </c>
      <c r="E131" s="1331"/>
      <c r="F131" s="1711"/>
      <c r="G131" s="1711"/>
      <c r="H131" s="1711"/>
      <c r="I131" s="950">
        <f>SUM(J131:BA131)</f>
        <v>-11.744762539999996</v>
      </c>
      <c r="J131" s="950">
        <f t="shared" ref="J131:BA131" si="75">SUMIF($3:$3,J$126,139:139)</f>
        <v>-11.744762539999996</v>
      </c>
      <c r="K131" s="1712">
        <f t="shared" si="75"/>
        <v>0</v>
      </c>
      <c r="L131" s="951">
        <f t="shared" si="75"/>
        <v>0</v>
      </c>
      <c r="M131" s="951">
        <f t="shared" si="75"/>
        <v>0</v>
      </c>
      <c r="N131" s="951">
        <f t="shared" si="75"/>
        <v>0</v>
      </c>
      <c r="O131" s="951">
        <f t="shared" si="75"/>
        <v>0</v>
      </c>
      <c r="P131" s="951">
        <f t="shared" si="75"/>
        <v>0</v>
      </c>
      <c r="Q131" s="951">
        <f t="shared" si="75"/>
        <v>0</v>
      </c>
      <c r="R131" s="951">
        <f t="shared" si="75"/>
        <v>0</v>
      </c>
      <c r="S131" s="951">
        <f t="shared" si="75"/>
        <v>0</v>
      </c>
      <c r="T131" s="951">
        <f t="shared" si="75"/>
        <v>0</v>
      </c>
      <c r="U131" s="951">
        <f t="shared" si="75"/>
        <v>0</v>
      </c>
      <c r="V131" s="951">
        <f t="shared" si="75"/>
        <v>0</v>
      </c>
      <c r="W131" s="951">
        <f t="shared" si="75"/>
        <v>0</v>
      </c>
      <c r="X131" s="951">
        <f t="shared" si="75"/>
        <v>0</v>
      </c>
      <c r="Y131" s="951">
        <f t="shared" si="75"/>
        <v>0</v>
      </c>
      <c r="Z131" s="951">
        <f t="shared" si="75"/>
        <v>0</v>
      </c>
      <c r="AA131" s="951">
        <f t="shared" si="75"/>
        <v>0</v>
      </c>
      <c r="AB131" s="951">
        <f t="shared" si="75"/>
        <v>0</v>
      </c>
      <c r="AC131" s="951">
        <f t="shared" si="75"/>
        <v>0</v>
      </c>
      <c r="AD131" s="951">
        <f t="shared" si="75"/>
        <v>0</v>
      </c>
      <c r="AE131" s="951">
        <f t="shared" si="75"/>
        <v>0</v>
      </c>
      <c r="AF131" s="951">
        <f t="shared" si="75"/>
        <v>0</v>
      </c>
      <c r="AG131" s="951">
        <f t="shared" si="75"/>
        <v>0</v>
      </c>
      <c r="AH131" s="951">
        <f t="shared" si="75"/>
        <v>0</v>
      </c>
      <c r="AI131" s="951">
        <f t="shared" si="75"/>
        <v>0</v>
      </c>
      <c r="AJ131" s="951">
        <f t="shared" si="75"/>
        <v>0</v>
      </c>
      <c r="AK131" s="951">
        <f t="shared" si="75"/>
        <v>0</v>
      </c>
      <c r="AL131" s="951">
        <f t="shared" si="75"/>
        <v>0</v>
      </c>
      <c r="AM131" s="951">
        <f t="shared" si="75"/>
        <v>0</v>
      </c>
      <c r="AN131" s="951">
        <f t="shared" si="75"/>
        <v>0</v>
      </c>
      <c r="AO131" s="951">
        <f t="shared" si="75"/>
        <v>0</v>
      </c>
      <c r="AP131" s="951">
        <f t="shared" si="75"/>
        <v>0</v>
      </c>
      <c r="AQ131" s="951">
        <f t="shared" si="75"/>
        <v>0</v>
      </c>
      <c r="AR131" s="951">
        <f t="shared" si="75"/>
        <v>0</v>
      </c>
      <c r="AS131" s="951">
        <f t="shared" si="75"/>
        <v>0</v>
      </c>
      <c r="AT131" s="951">
        <f t="shared" si="75"/>
        <v>0</v>
      </c>
      <c r="AU131" s="951">
        <f t="shared" si="75"/>
        <v>0</v>
      </c>
      <c r="AV131" s="951">
        <f t="shared" si="75"/>
        <v>0</v>
      </c>
      <c r="AW131" s="951">
        <f t="shared" si="75"/>
        <v>0</v>
      </c>
      <c r="AX131" s="951">
        <f t="shared" si="75"/>
        <v>0</v>
      </c>
      <c r="AY131" s="951">
        <f t="shared" si="75"/>
        <v>0</v>
      </c>
      <c r="AZ131" s="951">
        <f t="shared" si="75"/>
        <v>0</v>
      </c>
      <c r="BA131" s="951">
        <f t="shared" si="75"/>
        <v>0</v>
      </c>
      <c r="BB131" s="951"/>
    </row>
    <row r="132" spans="3:190" ht="17.100000000000001" customHeight="1">
      <c r="D132" s="754"/>
      <c r="E132" s="755"/>
      <c r="F132" s="755"/>
      <c r="G132" s="755"/>
      <c r="H132" s="755"/>
      <c r="I132" s="753"/>
      <c r="J132" s="788"/>
      <c r="K132" s="653">
        <f>K127+K128+K129-K130-K131</f>
        <v>12.18445157</v>
      </c>
      <c r="L132" s="788"/>
      <c r="M132" s="788"/>
      <c r="N132" s="788"/>
      <c r="O132" s="788"/>
      <c r="P132" s="788"/>
      <c r="Q132" s="788"/>
      <c r="R132" s="788"/>
      <c r="S132" s="788"/>
      <c r="T132" s="788"/>
      <c r="U132" s="788"/>
      <c r="V132" s="788"/>
      <c r="W132" s="788"/>
      <c r="X132" s="788"/>
      <c r="Y132" s="788"/>
      <c r="Z132" s="788"/>
      <c r="AA132" s="788"/>
      <c r="AB132" s="788"/>
      <c r="AC132" s="788"/>
      <c r="AD132" s="788"/>
      <c r="AE132" s="788"/>
      <c r="AF132" s="788"/>
      <c r="AG132" s="788"/>
      <c r="AH132" s="788"/>
      <c r="AI132" s="788"/>
      <c r="AJ132" s="788"/>
      <c r="AK132" s="788"/>
      <c r="AL132" s="788"/>
      <c r="AM132" s="788"/>
      <c r="AN132" s="788"/>
      <c r="AO132" s="788"/>
      <c r="AP132" s="788"/>
      <c r="AQ132" s="788"/>
      <c r="AR132" s="788"/>
      <c r="AS132" s="788"/>
      <c r="AT132" s="788"/>
      <c r="AU132" s="788"/>
      <c r="AV132" s="788"/>
      <c r="AW132" s="788"/>
      <c r="AX132" s="788"/>
      <c r="AY132" s="788"/>
      <c r="AZ132" s="788"/>
      <c r="BA132" s="788"/>
      <c r="BB132" s="788"/>
    </row>
    <row r="133" spans="3:190" ht="17.100000000000001" customHeight="1">
      <c r="C133" s="302" t="str">
        <f>C125</f>
        <v>금융리스채권</v>
      </c>
      <c r="I133" s="1713">
        <v>5.2699999999999997E-2</v>
      </c>
      <c r="J133" s="1713"/>
      <c r="K133" s="1713"/>
      <c r="L133" s="1713"/>
      <c r="M133" s="1714"/>
      <c r="N133" s="1714"/>
      <c r="O133" s="1714"/>
      <c r="P133" s="1714"/>
      <c r="Q133" s="1714"/>
      <c r="R133" s="1714"/>
      <c r="S133" s="1714"/>
      <c r="T133" s="1714"/>
      <c r="U133" s="1714"/>
      <c r="V133" s="1714"/>
      <c r="W133" s="788"/>
      <c r="X133" s="788"/>
      <c r="Y133" s="788"/>
      <c r="Z133" s="788"/>
      <c r="AA133" s="788"/>
      <c r="AB133" s="788"/>
      <c r="AC133" s="788"/>
      <c r="AD133" s="788"/>
      <c r="AE133" s="788"/>
      <c r="AF133" s="788"/>
      <c r="AG133" s="788"/>
      <c r="AH133" s="788"/>
      <c r="AI133" s="788"/>
      <c r="AJ133" s="788"/>
      <c r="AK133" s="788"/>
      <c r="AL133" s="788"/>
      <c r="AM133" s="788"/>
      <c r="AN133" s="788"/>
      <c r="AO133" s="788"/>
      <c r="AP133" s="788"/>
      <c r="AQ133" s="788"/>
      <c r="AR133" s="788"/>
      <c r="AS133" s="788"/>
      <c r="AT133" s="788"/>
      <c r="AU133" s="788"/>
      <c r="AV133" s="788"/>
      <c r="AW133" s="788"/>
      <c r="AX133" s="788"/>
      <c r="AY133" s="788"/>
      <c r="AZ133" s="788"/>
      <c r="BA133" s="788"/>
      <c r="BB133" s="788"/>
    </row>
    <row r="134" spans="3:190" ht="17.100000000000001" customHeight="1">
      <c r="C134" s="717"/>
      <c r="D134" s="718" t="s">
        <v>780</v>
      </c>
      <c r="E134" s="719"/>
      <c r="F134" s="718"/>
      <c r="G134" s="718"/>
      <c r="H134" s="718"/>
      <c r="I134" s="911">
        <f>EOMONTH(M134,-12)</f>
        <v>43465</v>
      </c>
      <c r="J134" s="912">
        <f>기준분기</f>
        <v>43555</v>
      </c>
      <c r="K134" s="912">
        <f t="shared" ref="K134:BV134" si="76">EOMONTH(J134,3)</f>
        <v>43646</v>
      </c>
      <c r="L134" s="912">
        <f t="shared" si="76"/>
        <v>43738</v>
      </c>
      <c r="M134" s="913">
        <f t="shared" si="76"/>
        <v>43830</v>
      </c>
      <c r="N134" s="911">
        <f t="shared" si="76"/>
        <v>43921</v>
      </c>
      <c r="O134" s="912">
        <f t="shared" si="76"/>
        <v>44012</v>
      </c>
      <c r="P134" s="912">
        <f t="shared" si="76"/>
        <v>44104</v>
      </c>
      <c r="Q134" s="913">
        <f t="shared" si="76"/>
        <v>44196</v>
      </c>
      <c r="R134" s="911">
        <f t="shared" si="76"/>
        <v>44286</v>
      </c>
      <c r="S134" s="912">
        <f t="shared" si="76"/>
        <v>44377</v>
      </c>
      <c r="T134" s="912">
        <f t="shared" si="76"/>
        <v>44469</v>
      </c>
      <c r="U134" s="913">
        <f t="shared" si="76"/>
        <v>44561</v>
      </c>
      <c r="V134" s="911">
        <f t="shared" si="76"/>
        <v>44651</v>
      </c>
      <c r="W134" s="912">
        <f t="shared" si="76"/>
        <v>44742</v>
      </c>
      <c r="X134" s="912">
        <f t="shared" si="76"/>
        <v>44834</v>
      </c>
      <c r="Y134" s="913">
        <f t="shared" si="76"/>
        <v>44926</v>
      </c>
      <c r="Z134" s="911">
        <f t="shared" si="76"/>
        <v>45016</v>
      </c>
      <c r="AA134" s="912">
        <f t="shared" si="76"/>
        <v>45107</v>
      </c>
      <c r="AB134" s="912">
        <f t="shared" si="76"/>
        <v>45199</v>
      </c>
      <c r="AC134" s="913">
        <f t="shared" si="76"/>
        <v>45291</v>
      </c>
      <c r="AD134" s="911">
        <f t="shared" si="76"/>
        <v>45382</v>
      </c>
      <c r="AE134" s="912">
        <f t="shared" si="76"/>
        <v>45473</v>
      </c>
      <c r="AF134" s="912">
        <f t="shared" si="76"/>
        <v>45565</v>
      </c>
      <c r="AG134" s="913">
        <f t="shared" si="76"/>
        <v>45657</v>
      </c>
      <c r="AH134" s="911">
        <f t="shared" si="76"/>
        <v>45747</v>
      </c>
      <c r="AI134" s="912">
        <f t="shared" si="76"/>
        <v>45838</v>
      </c>
      <c r="AJ134" s="912">
        <f t="shared" si="76"/>
        <v>45930</v>
      </c>
      <c r="AK134" s="913">
        <f t="shared" si="76"/>
        <v>46022</v>
      </c>
      <c r="AL134" s="911">
        <f t="shared" si="76"/>
        <v>46112</v>
      </c>
      <c r="AM134" s="912">
        <f t="shared" si="76"/>
        <v>46203</v>
      </c>
      <c r="AN134" s="912">
        <f t="shared" si="76"/>
        <v>46295</v>
      </c>
      <c r="AO134" s="913">
        <f t="shared" si="76"/>
        <v>46387</v>
      </c>
      <c r="AP134" s="911">
        <f t="shared" si="76"/>
        <v>46477</v>
      </c>
      <c r="AQ134" s="912">
        <f t="shared" si="76"/>
        <v>46568</v>
      </c>
      <c r="AR134" s="912">
        <f t="shared" si="76"/>
        <v>46660</v>
      </c>
      <c r="AS134" s="913">
        <f t="shared" si="76"/>
        <v>46752</v>
      </c>
      <c r="AT134" s="911">
        <f t="shared" si="76"/>
        <v>46843</v>
      </c>
      <c r="AU134" s="912">
        <f t="shared" si="76"/>
        <v>46934</v>
      </c>
      <c r="AV134" s="912">
        <f t="shared" si="76"/>
        <v>47026</v>
      </c>
      <c r="AW134" s="913">
        <f t="shared" si="76"/>
        <v>47118</v>
      </c>
      <c r="AX134" s="911">
        <f t="shared" si="76"/>
        <v>47208</v>
      </c>
      <c r="AY134" s="912">
        <f t="shared" si="76"/>
        <v>47299</v>
      </c>
      <c r="AZ134" s="912">
        <f t="shared" si="76"/>
        <v>47391</v>
      </c>
      <c r="BA134" s="913">
        <f t="shared" si="76"/>
        <v>47483</v>
      </c>
      <c r="BB134" s="911">
        <f t="shared" si="76"/>
        <v>47573</v>
      </c>
      <c r="BC134" s="912">
        <f t="shared" si="76"/>
        <v>47664</v>
      </c>
      <c r="BD134" s="912">
        <f t="shared" si="76"/>
        <v>47756</v>
      </c>
      <c r="BE134" s="912">
        <f t="shared" si="76"/>
        <v>47848</v>
      </c>
      <c r="BF134" s="912">
        <f t="shared" si="76"/>
        <v>47938</v>
      </c>
      <c r="BG134" s="912">
        <f t="shared" si="76"/>
        <v>48029</v>
      </c>
      <c r="BH134" s="912">
        <f t="shared" si="76"/>
        <v>48121</v>
      </c>
      <c r="BI134" s="912">
        <f t="shared" si="76"/>
        <v>48213</v>
      </c>
      <c r="BJ134" s="912">
        <f t="shared" si="76"/>
        <v>48304</v>
      </c>
      <c r="BK134" s="912">
        <f t="shared" si="76"/>
        <v>48395</v>
      </c>
      <c r="BL134" s="912">
        <f t="shared" si="76"/>
        <v>48487</v>
      </c>
      <c r="BM134" s="912">
        <f t="shared" si="76"/>
        <v>48579</v>
      </c>
      <c r="BN134" s="912">
        <f t="shared" si="76"/>
        <v>48669</v>
      </c>
      <c r="BO134" s="912">
        <f t="shared" si="76"/>
        <v>48760</v>
      </c>
      <c r="BP134" s="912">
        <f t="shared" si="76"/>
        <v>48852</v>
      </c>
      <c r="BQ134" s="912">
        <f t="shared" si="76"/>
        <v>48944</v>
      </c>
      <c r="BR134" s="912">
        <f t="shared" si="76"/>
        <v>49034</v>
      </c>
      <c r="BS134" s="912">
        <f t="shared" si="76"/>
        <v>49125</v>
      </c>
      <c r="BT134" s="912">
        <f t="shared" si="76"/>
        <v>49217</v>
      </c>
      <c r="BU134" s="912">
        <f t="shared" si="76"/>
        <v>49309</v>
      </c>
      <c r="BV134" s="912">
        <f t="shared" si="76"/>
        <v>49399</v>
      </c>
      <c r="BW134" s="912">
        <f t="shared" ref="BW134:EH134" si="77">EOMONTH(BV134,3)</f>
        <v>49490</v>
      </c>
      <c r="BX134" s="912">
        <f t="shared" si="77"/>
        <v>49582</v>
      </c>
      <c r="BY134" s="912">
        <f t="shared" si="77"/>
        <v>49674</v>
      </c>
      <c r="BZ134" s="912">
        <f t="shared" si="77"/>
        <v>49765</v>
      </c>
      <c r="CA134" s="912">
        <f t="shared" si="77"/>
        <v>49856</v>
      </c>
      <c r="CB134" s="912">
        <f t="shared" si="77"/>
        <v>49948</v>
      </c>
      <c r="CC134" s="912">
        <f t="shared" si="77"/>
        <v>50040</v>
      </c>
      <c r="CD134" s="912">
        <f t="shared" si="77"/>
        <v>50130</v>
      </c>
      <c r="CE134" s="912">
        <f t="shared" si="77"/>
        <v>50221</v>
      </c>
      <c r="CF134" s="912">
        <f t="shared" si="77"/>
        <v>50313</v>
      </c>
      <c r="CG134" s="912">
        <f t="shared" si="77"/>
        <v>50405</v>
      </c>
      <c r="CH134" s="912">
        <f t="shared" si="77"/>
        <v>50495</v>
      </c>
      <c r="CI134" s="912">
        <f t="shared" si="77"/>
        <v>50586</v>
      </c>
      <c r="CJ134" s="912">
        <f t="shared" si="77"/>
        <v>50678</v>
      </c>
      <c r="CK134" s="912">
        <f t="shared" si="77"/>
        <v>50770</v>
      </c>
      <c r="CL134" s="912">
        <f t="shared" si="77"/>
        <v>50860</v>
      </c>
      <c r="CM134" s="912">
        <f t="shared" si="77"/>
        <v>50951</v>
      </c>
      <c r="CN134" s="912">
        <f t="shared" si="77"/>
        <v>51043</v>
      </c>
      <c r="CO134" s="912">
        <f t="shared" si="77"/>
        <v>51135</v>
      </c>
      <c r="CP134" s="912">
        <f t="shared" si="77"/>
        <v>51226</v>
      </c>
      <c r="CQ134" s="912">
        <f t="shared" si="77"/>
        <v>51317</v>
      </c>
      <c r="CR134" s="912">
        <f t="shared" si="77"/>
        <v>51409</v>
      </c>
      <c r="CS134" s="912">
        <f t="shared" si="77"/>
        <v>51501</v>
      </c>
      <c r="CT134" s="912">
        <f t="shared" si="77"/>
        <v>51591</v>
      </c>
      <c r="CU134" s="912">
        <f t="shared" si="77"/>
        <v>51682</v>
      </c>
      <c r="CV134" s="912">
        <f t="shared" si="77"/>
        <v>51774</v>
      </c>
      <c r="CW134" s="912">
        <f t="shared" si="77"/>
        <v>51866</v>
      </c>
      <c r="CX134" s="912">
        <f t="shared" si="77"/>
        <v>51956</v>
      </c>
      <c r="CY134" s="912">
        <f t="shared" si="77"/>
        <v>52047</v>
      </c>
      <c r="CZ134" s="912">
        <f t="shared" si="77"/>
        <v>52139</v>
      </c>
      <c r="DA134" s="912">
        <f t="shared" si="77"/>
        <v>52231</v>
      </c>
      <c r="DB134" s="912">
        <f t="shared" si="77"/>
        <v>52321</v>
      </c>
      <c r="DC134" s="912">
        <f t="shared" si="77"/>
        <v>52412</v>
      </c>
      <c r="DD134" s="912">
        <f t="shared" si="77"/>
        <v>52504</v>
      </c>
      <c r="DE134" s="912">
        <f t="shared" si="77"/>
        <v>52596</v>
      </c>
      <c r="DF134" s="912">
        <f t="shared" si="77"/>
        <v>52687</v>
      </c>
      <c r="DG134" s="912">
        <f t="shared" si="77"/>
        <v>52778</v>
      </c>
      <c r="DH134" s="912">
        <f t="shared" si="77"/>
        <v>52870</v>
      </c>
      <c r="DI134" s="912">
        <f t="shared" si="77"/>
        <v>52962</v>
      </c>
      <c r="DJ134" s="912">
        <f t="shared" si="77"/>
        <v>53052</v>
      </c>
      <c r="DK134" s="912">
        <f t="shared" si="77"/>
        <v>53143</v>
      </c>
      <c r="DL134" s="912">
        <f t="shared" si="77"/>
        <v>53235</v>
      </c>
      <c r="DM134" s="912">
        <f t="shared" si="77"/>
        <v>53327</v>
      </c>
      <c r="DN134" s="912">
        <f t="shared" si="77"/>
        <v>53417</v>
      </c>
      <c r="DO134" s="912">
        <f t="shared" si="77"/>
        <v>53508</v>
      </c>
      <c r="DP134" s="912">
        <f t="shared" si="77"/>
        <v>53600</v>
      </c>
      <c r="DQ134" s="912">
        <f t="shared" si="77"/>
        <v>53692</v>
      </c>
      <c r="DR134" s="912">
        <f t="shared" si="77"/>
        <v>53782</v>
      </c>
      <c r="DS134" s="912">
        <f t="shared" si="77"/>
        <v>53873</v>
      </c>
      <c r="DT134" s="912">
        <f t="shared" si="77"/>
        <v>53965</v>
      </c>
      <c r="DU134" s="912">
        <f t="shared" si="77"/>
        <v>54057</v>
      </c>
      <c r="DV134" s="912">
        <f t="shared" si="77"/>
        <v>54148</v>
      </c>
      <c r="DW134" s="912">
        <f t="shared" si="77"/>
        <v>54239</v>
      </c>
      <c r="DX134" s="912">
        <f t="shared" si="77"/>
        <v>54331</v>
      </c>
      <c r="DY134" s="912">
        <f t="shared" si="77"/>
        <v>54423</v>
      </c>
      <c r="DZ134" s="912">
        <f t="shared" si="77"/>
        <v>54513</v>
      </c>
      <c r="EA134" s="912">
        <f t="shared" si="77"/>
        <v>54604</v>
      </c>
      <c r="EB134" s="912">
        <f t="shared" si="77"/>
        <v>54696</v>
      </c>
      <c r="EC134" s="912">
        <f t="shared" si="77"/>
        <v>54788</v>
      </c>
      <c r="ED134" s="912">
        <f t="shared" si="77"/>
        <v>54878</v>
      </c>
      <c r="EE134" s="912">
        <f t="shared" si="77"/>
        <v>54969</v>
      </c>
      <c r="EF134" s="912">
        <f t="shared" si="77"/>
        <v>55061</v>
      </c>
      <c r="EG134" s="912">
        <f t="shared" si="77"/>
        <v>55153</v>
      </c>
      <c r="EH134" s="912">
        <f t="shared" si="77"/>
        <v>55243</v>
      </c>
      <c r="EI134" s="912">
        <f t="shared" ref="EI134:FQ134" si="78">EOMONTH(EH134,3)</f>
        <v>55334</v>
      </c>
      <c r="EJ134" s="912">
        <f t="shared" si="78"/>
        <v>55426</v>
      </c>
      <c r="EK134" s="912">
        <f t="shared" si="78"/>
        <v>55518</v>
      </c>
      <c r="EL134" s="912">
        <f t="shared" si="78"/>
        <v>55609</v>
      </c>
      <c r="EM134" s="912">
        <f t="shared" si="78"/>
        <v>55700</v>
      </c>
      <c r="EN134" s="912">
        <f t="shared" si="78"/>
        <v>55792</v>
      </c>
      <c r="EO134" s="912">
        <f t="shared" si="78"/>
        <v>55884</v>
      </c>
      <c r="EP134" s="912">
        <f t="shared" si="78"/>
        <v>55974</v>
      </c>
      <c r="EQ134" s="912">
        <f t="shared" si="78"/>
        <v>56065</v>
      </c>
      <c r="ER134" s="912">
        <f t="shared" si="78"/>
        <v>56157</v>
      </c>
      <c r="ES134" s="912">
        <f t="shared" si="78"/>
        <v>56249</v>
      </c>
      <c r="ET134" s="912">
        <f t="shared" si="78"/>
        <v>56339</v>
      </c>
      <c r="EU134" s="912">
        <f t="shared" si="78"/>
        <v>56430</v>
      </c>
      <c r="EV134" s="912">
        <f t="shared" si="78"/>
        <v>56522</v>
      </c>
      <c r="EW134" s="912">
        <f t="shared" si="78"/>
        <v>56614</v>
      </c>
      <c r="EX134" s="912">
        <f t="shared" si="78"/>
        <v>56704</v>
      </c>
      <c r="EY134" s="912">
        <f t="shared" si="78"/>
        <v>56795</v>
      </c>
      <c r="EZ134" s="912">
        <f t="shared" si="78"/>
        <v>56887</v>
      </c>
      <c r="FA134" s="912">
        <f t="shared" si="78"/>
        <v>56979</v>
      </c>
      <c r="FB134" s="912">
        <f t="shared" si="78"/>
        <v>57070</v>
      </c>
      <c r="FC134" s="912">
        <f t="shared" si="78"/>
        <v>57161</v>
      </c>
      <c r="FD134" s="912">
        <f t="shared" si="78"/>
        <v>57253</v>
      </c>
      <c r="FE134" s="912">
        <f t="shared" si="78"/>
        <v>57345</v>
      </c>
      <c r="FF134" s="912">
        <f t="shared" si="78"/>
        <v>57435</v>
      </c>
      <c r="FG134" s="912">
        <f t="shared" si="78"/>
        <v>57526</v>
      </c>
      <c r="FH134" s="912">
        <f t="shared" si="78"/>
        <v>57618</v>
      </c>
      <c r="FI134" s="912">
        <f t="shared" si="78"/>
        <v>57710</v>
      </c>
      <c r="FJ134" s="912">
        <f t="shared" si="78"/>
        <v>57800</v>
      </c>
      <c r="FK134" s="912">
        <f t="shared" si="78"/>
        <v>57891</v>
      </c>
      <c r="FL134" s="912">
        <f t="shared" si="78"/>
        <v>57983</v>
      </c>
      <c r="FM134" s="1715">
        <f t="shared" si="78"/>
        <v>58075</v>
      </c>
      <c r="FN134" s="912">
        <f t="shared" si="78"/>
        <v>58165</v>
      </c>
      <c r="FO134" s="912">
        <f t="shared" si="78"/>
        <v>58256</v>
      </c>
      <c r="FP134" s="912">
        <f t="shared" si="78"/>
        <v>58348</v>
      </c>
      <c r="FQ134" s="913">
        <f t="shared" si="78"/>
        <v>58440</v>
      </c>
      <c r="FR134" s="1716"/>
      <c r="FS134" s="1716"/>
      <c r="FT134" s="1716"/>
      <c r="FU134" s="1716"/>
      <c r="FV134" s="1716"/>
      <c r="FW134" s="1716"/>
      <c r="FX134" s="1716"/>
      <c r="FY134" s="1716"/>
      <c r="FZ134" s="1716"/>
      <c r="GA134" s="1716"/>
      <c r="GB134" s="1716"/>
      <c r="GC134" s="1716"/>
      <c r="GD134" s="1716"/>
      <c r="GE134" s="1716"/>
      <c r="GF134" s="1716"/>
      <c r="GG134" s="1716"/>
      <c r="GH134" s="1716"/>
    </row>
    <row r="135" spans="3:190" ht="17.100000000000001" customHeight="1">
      <c r="C135" s="720"/>
      <c r="D135" s="774" t="s">
        <v>1080</v>
      </c>
      <c r="E135" s="722"/>
      <c r="F135" s="1625"/>
      <c r="G135" s="1625"/>
      <c r="H135" s="1625"/>
      <c r="I135" s="1606"/>
      <c r="J135" s="1717">
        <f>I138</f>
        <v>39.612473029999997</v>
      </c>
      <c r="K135" s="1717">
        <f>J138</f>
        <v>0</v>
      </c>
      <c r="L135" s="1717"/>
      <c r="M135" s="1718"/>
      <c r="N135" s="1719"/>
      <c r="O135" s="1717"/>
      <c r="P135" s="1717"/>
      <c r="Q135" s="1718"/>
      <c r="R135" s="1264"/>
      <c r="S135" s="1265"/>
      <c r="T135" s="1265"/>
      <c r="U135" s="1266"/>
      <c r="V135" s="1264"/>
      <c r="W135" s="1265"/>
      <c r="X135" s="1265"/>
      <c r="Y135" s="1266"/>
      <c r="Z135" s="1264"/>
      <c r="AA135" s="1265"/>
      <c r="AB135" s="1265"/>
      <c r="AC135" s="1266"/>
      <c r="AD135" s="1264"/>
      <c r="AE135" s="1265"/>
      <c r="AF135" s="1265"/>
      <c r="AG135" s="1266"/>
      <c r="AH135" s="1264"/>
      <c r="AI135" s="1265"/>
      <c r="AJ135" s="1265"/>
      <c r="AK135" s="1266"/>
      <c r="AL135" s="1264"/>
      <c r="AM135" s="1265"/>
      <c r="AN135" s="1265"/>
      <c r="AO135" s="1266"/>
      <c r="AP135" s="1264"/>
      <c r="AQ135" s="1265"/>
      <c r="AR135" s="1265"/>
      <c r="AS135" s="1266"/>
      <c r="AT135" s="1264"/>
      <c r="AU135" s="1265"/>
      <c r="AV135" s="1265"/>
      <c r="AW135" s="1266"/>
      <c r="AX135" s="1264"/>
      <c r="AY135" s="1265"/>
      <c r="AZ135" s="1265"/>
      <c r="BA135" s="1266"/>
      <c r="BB135" s="1264"/>
      <c r="BC135" s="1265"/>
      <c r="BD135" s="1265"/>
      <c r="BE135" s="1266"/>
      <c r="BF135" s="1264"/>
      <c r="BG135" s="1265"/>
      <c r="BH135" s="1265"/>
      <c r="BI135" s="1266"/>
      <c r="BJ135" s="1264"/>
      <c r="BK135" s="1265"/>
      <c r="BL135" s="1265"/>
      <c r="BM135" s="1266"/>
      <c r="BN135" s="1264"/>
      <c r="BO135" s="1265"/>
      <c r="BP135" s="1265"/>
      <c r="BQ135" s="1266"/>
      <c r="BR135" s="1264"/>
      <c r="BS135" s="1265"/>
      <c r="BT135" s="1265"/>
      <c r="BU135" s="1266"/>
      <c r="BV135" s="1264"/>
      <c r="BW135" s="1265"/>
      <c r="BX135" s="1265"/>
      <c r="BY135" s="1266"/>
      <c r="BZ135" s="1264"/>
      <c r="CA135" s="1265"/>
      <c r="CB135" s="1265"/>
      <c r="CC135" s="1266"/>
      <c r="CD135" s="1264"/>
      <c r="CE135" s="1265"/>
      <c r="CF135" s="1265"/>
      <c r="CG135" s="1266"/>
      <c r="CH135" s="1264"/>
      <c r="CI135" s="1265"/>
      <c r="CJ135" s="1265"/>
      <c r="CK135" s="1266"/>
      <c r="CL135" s="1264"/>
      <c r="CM135" s="1265"/>
      <c r="CN135" s="1265"/>
      <c r="CO135" s="741"/>
      <c r="CP135" s="1264"/>
      <c r="CQ135" s="1265"/>
      <c r="CR135" s="1265"/>
      <c r="CS135" s="1266"/>
      <c r="CT135" s="1264"/>
      <c r="CU135" s="1265"/>
      <c r="CV135" s="1265"/>
      <c r="CW135" s="1266"/>
      <c r="CX135" s="1264"/>
      <c r="CY135" s="1265"/>
      <c r="CZ135" s="1265"/>
      <c r="DA135" s="1266"/>
      <c r="DB135" s="1264"/>
      <c r="DC135" s="1265"/>
      <c r="DD135" s="1265"/>
      <c r="DE135" s="1266"/>
      <c r="DF135" s="1264"/>
      <c r="DG135" s="1265"/>
      <c r="DH135" s="1265"/>
      <c r="DI135" s="1266"/>
      <c r="DJ135" s="1264"/>
      <c r="DK135" s="1265"/>
      <c r="DL135" s="1265"/>
      <c r="DM135" s="1266"/>
      <c r="DN135" s="1264"/>
      <c r="DO135" s="1265"/>
      <c r="DP135" s="1265"/>
      <c r="DQ135" s="1266"/>
      <c r="DR135" s="1264"/>
      <c r="DS135" s="1265"/>
      <c r="DT135" s="1265"/>
      <c r="DU135" s="1266"/>
      <c r="DV135" s="1264"/>
      <c r="DW135" s="1265"/>
      <c r="DX135" s="1265"/>
      <c r="DY135" s="1266"/>
      <c r="DZ135" s="1264"/>
      <c r="EA135" s="1265"/>
      <c r="EB135" s="1265"/>
      <c r="EC135" s="1266"/>
      <c r="ED135" s="1264"/>
      <c r="EE135" s="1265"/>
      <c r="EF135" s="1265"/>
      <c r="EG135" s="1266"/>
      <c r="EH135" s="1264"/>
      <c r="EI135" s="1265"/>
      <c r="EJ135" s="1265"/>
      <c r="EK135" s="1266"/>
      <c r="EL135" s="1264"/>
      <c r="EM135" s="1265"/>
      <c r="EN135" s="1265"/>
      <c r="EO135" s="1266"/>
      <c r="EP135" s="1264"/>
      <c r="EQ135" s="1265"/>
      <c r="ER135" s="1265"/>
      <c r="ES135" s="1266"/>
      <c r="ET135" s="1264"/>
      <c r="EU135" s="1265"/>
      <c r="EV135" s="1265"/>
      <c r="EW135" s="1266"/>
      <c r="EX135" s="1264"/>
      <c r="EY135" s="1265"/>
      <c r="EZ135" s="1265"/>
      <c r="FA135" s="1266"/>
      <c r="FB135" s="1264"/>
      <c r="FC135" s="1265"/>
      <c r="FD135" s="1265"/>
      <c r="FE135" s="1266"/>
      <c r="FF135" s="1264"/>
      <c r="FG135" s="1265"/>
      <c r="FH135" s="1265"/>
      <c r="FI135" s="1266"/>
      <c r="FJ135" s="1264"/>
      <c r="FK135" s="1265"/>
      <c r="FL135" s="1265"/>
      <c r="FM135" s="1720"/>
      <c r="FN135" s="1264"/>
      <c r="FO135" s="1265"/>
      <c r="FP135" s="1265"/>
      <c r="FQ135" s="1266"/>
      <c r="FR135" s="788"/>
      <c r="FS135" s="788"/>
      <c r="FT135" s="788"/>
      <c r="FU135" s="788"/>
      <c r="FV135" s="788"/>
      <c r="FW135" s="788"/>
      <c r="FX135" s="788"/>
      <c r="FY135" s="788"/>
      <c r="FZ135" s="788"/>
      <c r="GA135" s="788"/>
      <c r="GB135" s="788"/>
      <c r="GC135" s="788"/>
      <c r="GD135" s="788"/>
      <c r="GE135" s="788"/>
      <c r="GF135" s="935"/>
      <c r="GG135" s="935"/>
      <c r="GH135" s="935"/>
    </row>
    <row r="136" spans="3:190" ht="17.100000000000001" customHeight="1">
      <c r="C136" s="1409"/>
      <c r="D136" s="1410" t="s">
        <v>1270</v>
      </c>
      <c r="E136" s="1411"/>
      <c r="F136" s="1667"/>
      <c r="G136" s="1667"/>
      <c r="H136" s="1667"/>
      <c r="I136" s="1613"/>
      <c r="J136" s="1721">
        <f>J137-J135</f>
        <v>-11.744762539999996</v>
      </c>
      <c r="K136" s="1721">
        <f>K139</f>
        <v>0</v>
      </c>
      <c r="L136" s="1721"/>
      <c r="M136" s="1722"/>
      <c r="N136" s="1723"/>
      <c r="O136" s="1721"/>
      <c r="P136" s="1721"/>
      <c r="Q136" s="1722"/>
      <c r="R136" s="1271"/>
      <c r="S136" s="1272"/>
      <c r="T136" s="1272"/>
      <c r="U136" s="1273"/>
      <c r="V136" s="1271"/>
      <c r="W136" s="1272"/>
      <c r="X136" s="1272"/>
      <c r="Y136" s="1273"/>
      <c r="Z136" s="1271"/>
      <c r="AA136" s="1272"/>
      <c r="AB136" s="1272"/>
      <c r="AC136" s="1273"/>
      <c r="AD136" s="1271"/>
      <c r="AE136" s="1272"/>
      <c r="AF136" s="1272"/>
      <c r="AG136" s="1273"/>
      <c r="AH136" s="1271"/>
      <c r="AI136" s="1272"/>
      <c r="AJ136" s="1272"/>
      <c r="AK136" s="1273"/>
      <c r="AL136" s="1271"/>
      <c r="AM136" s="1272"/>
      <c r="AN136" s="1272"/>
      <c r="AO136" s="1273"/>
      <c r="AP136" s="1271"/>
      <c r="AQ136" s="1272"/>
      <c r="AR136" s="1272"/>
      <c r="AS136" s="1273"/>
      <c r="AT136" s="1271"/>
      <c r="AU136" s="1272"/>
      <c r="AV136" s="1272"/>
      <c r="AW136" s="1273"/>
      <c r="AX136" s="1271"/>
      <c r="AY136" s="1272"/>
      <c r="AZ136" s="1272"/>
      <c r="BA136" s="1273"/>
      <c r="BB136" s="1271"/>
      <c r="BC136" s="1272"/>
      <c r="BD136" s="1272"/>
      <c r="BE136" s="1273"/>
      <c r="BF136" s="1271"/>
      <c r="BG136" s="1272"/>
      <c r="BH136" s="1272"/>
      <c r="BI136" s="1273"/>
      <c r="BJ136" s="1271"/>
      <c r="BK136" s="1272"/>
      <c r="BL136" s="1272"/>
      <c r="BM136" s="1273"/>
      <c r="BN136" s="1271"/>
      <c r="BO136" s="1272"/>
      <c r="BP136" s="1272"/>
      <c r="BQ136" s="1273"/>
      <c r="BR136" s="1271"/>
      <c r="BS136" s="1272"/>
      <c r="BT136" s="1272"/>
      <c r="BU136" s="1273"/>
      <c r="BV136" s="1271"/>
      <c r="BW136" s="1272"/>
      <c r="BX136" s="1272"/>
      <c r="BY136" s="1273"/>
      <c r="BZ136" s="1271"/>
      <c r="CA136" s="1272"/>
      <c r="CB136" s="1272"/>
      <c r="CC136" s="1273"/>
      <c r="CD136" s="1271"/>
      <c r="CE136" s="1272"/>
      <c r="CF136" s="1272"/>
      <c r="CG136" s="1273"/>
      <c r="CH136" s="1271"/>
      <c r="CI136" s="1272"/>
      <c r="CJ136" s="1272"/>
      <c r="CK136" s="1273"/>
      <c r="CL136" s="1271"/>
      <c r="CM136" s="1272"/>
      <c r="CN136" s="1272"/>
      <c r="CO136" s="1323"/>
      <c r="CP136" s="1271"/>
      <c r="CQ136" s="1272"/>
      <c r="CR136" s="1272"/>
      <c r="CS136" s="1273"/>
      <c r="CT136" s="1271"/>
      <c r="CU136" s="1272"/>
      <c r="CV136" s="1272"/>
      <c r="CW136" s="1273"/>
      <c r="CX136" s="1271"/>
      <c r="CY136" s="1272"/>
      <c r="CZ136" s="1272"/>
      <c r="DA136" s="1273"/>
      <c r="DB136" s="1271"/>
      <c r="DC136" s="1272"/>
      <c r="DD136" s="1272"/>
      <c r="DE136" s="1273"/>
      <c r="DF136" s="1271"/>
      <c r="DG136" s="1272"/>
      <c r="DH136" s="1272"/>
      <c r="DI136" s="1273"/>
      <c r="DJ136" s="1271"/>
      <c r="DK136" s="1272"/>
      <c r="DL136" s="1272"/>
      <c r="DM136" s="1273"/>
      <c r="DN136" s="1271"/>
      <c r="DO136" s="1272"/>
      <c r="DP136" s="1272"/>
      <c r="DQ136" s="1273"/>
      <c r="DR136" s="1271"/>
      <c r="DS136" s="1272"/>
      <c r="DT136" s="1272"/>
      <c r="DU136" s="1273"/>
      <c r="DV136" s="1271"/>
      <c r="DW136" s="1272"/>
      <c r="DX136" s="1272"/>
      <c r="DY136" s="1273"/>
      <c r="DZ136" s="1271"/>
      <c r="EA136" s="1272"/>
      <c r="EB136" s="1272"/>
      <c r="EC136" s="1273"/>
      <c r="ED136" s="1271"/>
      <c r="EE136" s="1272"/>
      <c r="EF136" s="1272"/>
      <c r="EG136" s="1273"/>
      <c r="EH136" s="1271"/>
      <c r="EI136" s="1272"/>
      <c r="EJ136" s="1272"/>
      <c r="EK136" s="1273"/>
      <c r="EL136" s="1271"/>
      <c r="EM136" s="1272"/>
      <c r="EN136" s="1272"/>
      <c r="EO136" s="1273"/>
      <c r="EP136" s="1271"/>
      <c r="EQ136" s="1272"/>
      <c r="ER136" s="1272"/>
      <c r="ES136" s="1273"/>
      <c r="ET136" s="1271"/>
      <c r="EU136" s="1272"/>
      <c r="EV136" s="1272"/>
      <c r="EW136" s="1273"/>
      <c r="EX136" s="1271"/>
      <c r="EY136" s="1272"/>
      <c r="EZ136" s="1272"/>
      <c r="FA136" s="1273"/>
      <c r="FB136" s="1271"/>
      <c r="FC136" s="1272"/>
      <c r="FD136" s="1272"/>
      <c r="FE136" s="1273"/>
      <c r="FF136" s="1271"/>
      <c r="FG136" s="1272"/>
      <c r="FH136" s="1272"/>
      <c r="FI136" s="1273"/>
      <c r="FJ136" s="1271"/>
      <c r="FK136" s="1272"/>
      <c r="FL136" s="1272"/>
      <c r="FM136" s="1724"/>
      <c r="FN136" s="1271"/>
      <c r="FO136" s="1272"/>
      <c r="FP136" s="1272"/>
      <c r="FQ136" s="1273"/>
      <c r="FR136" s="788"/>
      <c r="FS136" s="788"/>
      <c r="FT136" s="788"/>
      <c r="FU136" s="788"/>
      <c r="FV136" s="788"/>
      <c r="FW136" s="788"/>
      <c r="FX136" s="788"/>
      <c r="FY136" s="788"/>
      <c r="FZ136" s="788"/>
      <c r="GA136" s="788"/>
      <c r="GB136" s="788"/>
      <c r="GC136" s="788"/>
      <c r="GD136" s="788"/>
      <c r="GE136" s="788"/>
      <c r="GF136" s="935"/>
      <c r="GG136" s="935"/>
      <c r="GH136" s="935"/>
    </row>
    <row r="137" spans="3:190" ht="17.100000000000001" customHeight="1">
      <c r="C137" s="1415"/>
      <c r="D137" s="1416" t="s">
        <v>1271</v>
      </c>
      <c r="E137" s="1352">
        <f>1-'IS(Q)'!E46</f>
        <v>1</v>
      </c>
      <c r="F137" s="1630"/>
      <c r="G137" s="1630"/>
      <c r="H137" s="1630"/>
      <c r="I137" s="1609"/>
      <c r="J137" s="1725">
        <f>매출!H41*$E137</f>
        <v>27.86771049</v>
      </c>
      <c r="K137" s="1725">
        <f>매출!I41*$E137</f>
        <v>12.18445157</v>
      </c>
      <c r="L137" s="1725">
        <f>매출!J41*$E137</f>
        <v>0</v>
      </c>
      <c r="M137" s="1726">
        <f>매출!K41*$E137</f>
        <v>-11.48172866</v>
      </c>
      <c r="N137" s="1727">
        <f>매출!L41*$E137</f>
        <v>12.2546</v>
      </c>
      <c r="O137" s="1725">
        <f>매출!M41*$E137</f>
        <v>0</v>
      </c>
      <c r="P137" s="1725"/>
      <c r="Q137" s="1726"/>
      <c r="R137" s="1279"/>
      <c r="S137" s="1280"/>
      <c r="T137" s="1280"/>
      <c r="U137" s="1281"/>
      <c r="V137" s="1279"/>
      <c r="W137" s="1280"/>
      <c r="X137" s="1280"/>
      <c r="Y137" s="1281"/>
      <c r="Z137" s="1279"/>
      <c r="AA137" s="1280"/>
      <c r="AB137" s="1280"/>
      <c r="AC137" s="1281"/>
      <c r="AD137" s="1279"/>
      <c r="AE137" s="1280"/>
      <c r="AF137" s="1280"/>
      <c r="AG137" s="1281"/>
      <c r="AH137" s="1279"/>
      <c r="AI137" s="1280"/>
      <c r="AJ137" s="1280"/>
      <c r="AK137" s="1281"/>
      <c r="AL137" s="1279"/>
      <c r="AM137" s="1280"/>
      <c r="AN137" s="1280"/>
      <c r="AO137" s="1281"/>
      <c r="AP137" s="1279"/>
      <c r="AQ137" s="1280"/>
      <c r="AR137" s="1280"/>
      <c r="AS137" s="1281"/>
      <c r="AT137" s="1279"/>
      <c r="AU137" s="1280"/>
      <c r="AV137" s="1280"/>
      <c r="AW137" s="1281"/>
      <c r="AX137" s="1279"/>
      <c r="AY137" s="1280"/>
      <c r="AZ137" s="1280"/>
      <c r="BA137" s="1281"/>
      <c r="BB137" s="1279"/>
      <c r="BC137" s="1280"/>
      <c r="BD137" s="1280"/>
      <c r="BE137" s="1281"/>
      <c r="BF137" s="1279"/>
      <c r="BG137" s="1280"/>
      <c r="BH137" s="1280"/>
      <c r="BI137" s="1281"/>
      <c r="BJ137" s="1279"/>
      <c r="BK137" s="1280"/>
      <c r="BL137" s="1280"/>
      <c r="BM137" s="1281"/>
      <c r="BN137" s="1279"/>
      <c r="BO137" s="1280"/>
      <c r="BP137" s="1280"/>
      <c r="BQ137" s="1281"/>
      <c r="BR137" s="1279"/>
      <c r="BS137" s="1280"/>
      <c r="BT137" s="1280"/>
      <c r="BU137" s="1281"/>
      <c r="BV137" s="1279"/>
      <c r="BW137" s="1280"/>
      <c r="BX137" s="1280"/>
      <c r="BY137" s="1281"/>
      <c r="BZ137" s="1279"/>
      <c r="CA137" s="1280"/>
      <c r="CB137" s="1280"/>
      <c r="CC137" s="1281"/>
      <c r="CD137" s="1279"/>
      <c r="CE137" s="1280"/>
      <c r="CF137" s="1280"/>
      <c r="CG137" s="1281"/>
      <c r="CH137" s="1279"/>
      <c r="CI137" s="1280"/>
      <c r="CJ137" s="1280"/>
      <c r="CK137" s="1281"/>
      <c r="CL137" s="1279"/>
      <c r="CM137" s="1280"/>
      <c r="CN137" s="1280"/>
      <c r="CO137" s="730"/>
      <c r="CP137" s="1279"/>
      <c r="CQ137" s="1280"/>
      <c r="CR137" s="1280"/>
      <c r="CS137" s="1281"/>
      <c r="CT137" s="1279"/>
      <c r="CU137" s="1280"/>
      <c r="CV137" s="1280"/>
      <c r="CW137" s="1281"/>
      <c r="CX137" s="1279"/>
      <c r="CY137" s="1280"/>
      <c r="CZ137" s="1280"/>
      <c r="DA137" s="1281"/>
      <c r="DB137" s="1279"/>
      <c r="DC137" s="1280"/>
      <c r="DD137" s="1280"/>
      <c r="DE137" s="1281"/>
      <c r="DF137" s="1279"/>
      <c r="DG137" s="1280"/>
      <c r="DH137" s="1280"/>
      <c r="DI137" s="1281"/>
      <c r="DJ137" s="1279"/>
      <c r="DK137" s="1280"/>
      <c r="DL137" s="1280"/>
      <c r="DM137" s="1281"/>
      <c r="DN137" s="1279"/>
      <c r="DO137" s="1280"/>
      <c r="DP137" s="1280"/>
      <c r="DQ137" s="1281"/>
      <c r="DR137" s="1279"/>
      <c r="DS137" s="1280"/>
      <c r="DT137" s="1280"/>
      <c r="DU137" s="1281"/>
      <c r="DV137" s="1279"/>
      <c r="DW137" s="1280"/>
      <c r="DX137" s="1280"/>
      <c r="DY137" s="1281"/>
      <c r="DZ137" s="1279"/>
      <c r="EA137" s="1280"/>
      <c r="EB137" s="1280"/>
      <c r="EC137" s="1281"/>
      <c r="ED137" s="1279"/>
      <c r="EE137" s="1280"/>
      <c r="EF137" s="1280"/>
      <c r="EG137" s="1281"/>
      <c r="EH137" s="1279"/>
      <c r="EI137" s="1280"/>
      <c r="EJ137" s="1280"/>
      <c r="EK137" s="1281"/>
      <c r="EL137" s="1279"/>
      <c r="EM137" s="1280"/>
      <c r="EN137" s="1280"/>
      <c r="EO137" s="1281"/>
      <c r="EP137" s="1279"/>
      <c r="EQ137" s="1280"/>
      <c r="ER137" s="1280"/>
      <c r="ES137" s="1281"/>
      <c r="ET137" s="1279"/>
      <c r="EU137" s="1280"/>
      <c r="EV137" s="1280"/>
      <c r="EW137" s="1281"/>
      <c r="EX137" s="1279"/>
      <c r="EY137" s="1280"/>
      <c r="EZ137" s="1280"/>
      <c r="FA137" s="1281"/>
      <c r="FB137" s="1279"/>
      <c r="FC137" s="1280"/>
      <c r="FD137" s="1280"/>
      <c r="FE137" s="1281"/>
      <c r="FF137" s="1279"/>
      <c r="FG137" s="1280"/>
      <c r="FH137" s="1280"/>
      <c r="FI137" s="1281"/>
      <c r="FJ137" s="1279"/>
      <c r="FK137" s="1280"/>
      <c r="FL137" s="1280"/>
      <c r="FM137" s="1728"/>
      <c r="FN137" s="1279"/>
      <c r="FO137" s="1280"/>
      <c r="FP137" s="1280"/>
      <c r="FQ137" s="1281"/>
      <c r="FR137" s="788"/>
      <c r="FS137" s="788"/>
      <c r="FT137" s="788"/>
      <c r="FU137" s="788"/>
      <c r="FV137" s="788"/>
      <c r="FW137" s="788"/>
      <c r="FX137" s="788"/>
      <c r="FY137" s="788"/>
      <c r="FZ137" s="788"/>
      <c r="GA137" s="788"/>
      <c r="GB137" s="788"/>
      <c r="GC137" s="788"/>
      <c r="GD137" s="788"/>
      <c r="GE137" s="788"/>
      <c r="GF137" s="935"/>
      <c r="GG137" s="935"/>
      <c r="GH137" s="935"/>
    </row>
    <row r="138" spans="3:190" ht="17.100000000000001" customHeight="1">
      <c r="C138" s="952"/>
      <c r="D138" s="777" t="s">
        <v>1096</v>
      </c>
      <c r="E138" s="747"/>
      <c r="F138" s="1668"/>
      <c r="G138" s="1668"/>
      <c r="H138" s="1668"/>
      <c r="I138" s="1729">
        <f>I16+I28</f>
        <v>39.612473029999997</v>
      </c>
      <c r="J138" s="1730">
        <f>J135+J136-J137</f>
        <v>0</v>
      </c>
      <c r="K138" s="1730">
        <f>K135+K136-K137</f>
        <v>-12.18445157</v>
      </c>
      <c r="L138" s="1730"/>
      <c r="M138" s="1731"/>
      <c r="N138" s="1732"/>
      <c r="O138" s="1730"/>
      <c r="P138" s="1730"/>
      <c r="Q138" s="1731"/>
      <c r="R138" s="1733"/>
      <c r="S138" s="1734"/>
      <c r="T138" s="1734"/>
      <c r="U138" s="1735"/>
      <c r="V138" s="1733"/>
      <c r="W138" s="1734"/>
      <c r="X138" s="1734"/>
      <c r="Y138" s="1735"/>
      <c r="Z138" s="1733"/>
      <c r="AA138" s="1734"/>
      <c r="AB138" s="1734"/>
      <c r="AC138" s="1735"/>
      <c r="AD138" s="1733"/>
      <c r="AE138" s="1734"/>
      <c r="AF138" s="1734"/>
      <c r="AG138" s="1735"/>
      <c r="AH138" s="1733"/>
      <c r="AI138" s="1734"/>
      <c r="AJ138" s="1734"/>
      <c r="AK138" s="1735"/>
      <c r="AL138" s="1733"/>
      <c r="AM138" s="1734"/>
      <c r="AN138" s="1734"/>
      <c r="AO138" s="1735"/>
      <c r="AP138" s="1733"/>
      <c r="AQ138" s="1734"/>
      <c r="AR138" s="1734"/>
      <c r="AS138" s="1735"/>
      <c r="AT138" s="1733"/>
      <c r="AU138" s="1734"/>
      <c r="AV138" s="1734"/>
      <c r="AW138" s="1735"/>
      <c r="AX138" s="1733"/>
      <c r="AY138" s="1734"/>
      <c r="AZ138" s="1734"/>
      <c r="BA138" s="1735"/>
      <c r="BB138" s="1733"/>
      <c r="BC138" s="1734"/>
      <c r="BD138" s="1734"/>
      <c r="BE138" s="1736"/>
      <c r="BF138" s="1733"/>
      <c r="BG138" s="1734"/>
      <c r="BH138" s="1734"/>
      <c r="BI138" s="1735"/>
      <c r="BJ138" s="1733"/>
      <c r="BK138" s="1734"/>
      <c r="BL138" s="1734"/>
      <c r="BM138" s="1735"/>
      <c r="BN138" s="1733"/>
      <c r="BO138" s="1734"/>
      <c r="BP138" s="1734"/>
      <c r="BQ138" s="1735"/>
      <c r="BR138" s="1733"/>
      <c r="BS138" s="1734"/>
      <c r="BT138" s="1734"/>
      <c r="BU138" s="1735"/>
      <c r="BV138" s="1733"/>
      <c r="BW138" s="1734"/>
      <c r="BX138" s="1734"/>
      <c r="BY138" s="1735"/>
      <c r="BZ138" s="1733"/>
      <c r="CA138" s="1734"/>
      <c r="CB138" s="1734"/>
      <c r="CC138" s="1735"/>
      <c r="CD138" s="1733"/>
      <c r="CE138" s="1734"/>
      <c r="CF138" s="1734"/>
      <c r="CG138" s="1735"/>
      <c r="CH138" s="1733"/>
      <c r="CI138" s="1734"/>
      <c r="CJ138" s="1734"/>
      <c r="CK138" s="1735"/>
      <c r="CL138" s="1733"/>
      <c r="CM138" s="1734"/>
      <c r="CN138" s="1734"/>
      <c r="CO138" s="1330"/>
      <c r="CP138" s="1733"/>
      <c r="CQ138" s="1734"/>
      <c r="CR138" s="1734"/>
      <c r="CS138" s="1735"/>
      <c r="CT138" s="1733"/>
      <c r="CU138" s="1734"/>
      <c r="CV138" s="1734"/>
      <c r="CW138" s="1735"/>
      <c r="CX138" s="1733"/>
      <c r="CY138" s="1734"/>
      <c r="CZ138" s="1734"/>
      <c r="DA138" s="1735"/>
      <c r="DB138" s="1733"/>
      <c r="DC138" s="1734"/>
      <c r="DD138" s="1734"/>
      <c r="DE138" s="1735"/>
      <c r="DF138" s="1733"/>
      <c r="DG138" s="1734"/>
      <c r="DH138" s="1734"/>
      <c r="DI138" s="1735"/>
      <c r="DJ138" s="1733"/>
      <c r="DK138" s="1734"/>
      <c r="DL138" s="1734"/>
      <c r="DM138" s="1735"/>
      <c r="DN138" s="1733"/>
      <c r="DO138" s="1734"/>
      <c r="DP138" s="1734"/>
      <c r="DQ138" s="1735"/>
      <c r="DR138" s="1733"/>
      <c r="DS138" s="1734"/>
      <c r="DT138" s="1734"/>
      <c r="DU138" s="1735"/>
      <c r="DV138" s="1733"/>
      <c r="DW138" s="1734"/>
      <c r="DX138" s="1734"/>
      <c r="DY138" s="1735"/>
      <c r="DZ138" s="1733"/>
      <c r="EA138" s="1734"/>
      <c r="EB138" s="1734"/>
      <c r="EC138" s="1735"/>
      <c r="ED138" s="1733"/>
      <c r="EE138" s="1734"/>
      <c r="EF138" s="1734"/>
      <c r="EG138" s="1735"/>
      <c r="EH138" s="1733"/>
      <c r="EI138" s="1734"/>
      <c r="EJ138" s="1734"/>
      <c r="EK138" s="1735"/>
      <c r="EL138" s="1733"/>
      <c r="EM138" s="1734"/>
      <c r="EN138" s="1734"/>
      <c r="EO138" s="1735"/>
      <c r="EP138" s="1733"/>
      <c r="EQ138" s="1734"/>
      <c r="ER138" s="1734"/>
      <c r="ES138" s="1735"/>
      <c r="ET138" s="1733"/>
      <c r="EU138" s="1734"/>
      <c r="EV138" s="1734"/>
      <c r="EW138" s="1735"/>
      <c r="EX138" s="1733"/>
      <c r="EY138" s="1734"/>
      <c r="EZ138" s="1734"/>
      <c r="FA138" s="1735"/>
      <c r="FB138" s="1733"/>
      <c r="FC138" s="1734"/>
      <c r="FD138" s="1734"/>
      <c r="FE138" s="1735"/>
      <c r="FF138" s="1733"/>
      <c r="FG138" s="1734"/>
      <c r="FH138" s="1734"/>
      <c r="FI138" s="1735"/>
      <c r="FJ138" s="1733"/>
      <c r="FK138" s="1734"/>
      <c r="FL138" s="1734"/>
      <c r="FM138" s="1737"/>
      <c r="FN138" s="1733"/>
      <c r="FO138" s="1734"/>
      <c r="FP138" s="1734"/>
      <c r="FQ138" s="1735"/>
      <c r="FR138" s="788"/>
      <c r="FS138" s="788"/>
      <c r="FT138" s="788"/>
      <c r="FU138" s="788"/>
      <c r="FV138" s="788"/>
      <c r="FW138" s="788"/>
      <c r="FX138" s="788"/>
      <c r="FY138" s="788"/>
      <c r="FZ138" s="788"/>
      <c r="GA138" s="788"/>
      <c r="GB138" s="788"/>
      <c r="GC138" s="788"/>
      <c r="GD138" s="788"/>
      <c r="GE138" s="788"/>
      <c r="GF138" s="935"/>
      <c r="GG138" s="935"/>
      <c r="GH138" s="935"/>
    </row>
    <row r="139" spans="3:190" ht="17.100000000000001" customHeight="1">
      <c r="C139" s="952"/>
      <c r="D139" s="777" t="s">
        <v>1263</v>
      </c>
      <c r="E139" s="747"/>
      <c r="F139" s="1668"/>
      <c r="G139" s="1668"/>
      <c r="H139" s="1668"/>
      <c r="I139" s="1729"/>
      <c r="J139" s="1730">
        <f>J136</f>
        <v>-11.744762539999996</v>
      </c>
      <c r="K139" s="1730">
        <f>ROUND(K135*$I$133*(K134-J134)/365,2)</f>
        <v>0</v>
      </c>
      <c r="L139" s="1730"/>
      <c r="M139" s="1731"/>
      <c r="N139" s="1732"/>
      <c r="O139" s="1730"/>
      <c r="P139" s="1730"/>
      <c r="Q139" s="1731"/>
      <c r="R139" s="1733"/>
      <c r="S139" s="1734"/>
      <c r="T139" s="1734"/>
      <c r="U139" s="1735"/>
      <c r="V139" s="1733"/>
      <c r="W139" s="1734"/>
      <c r="X139" s="1734"/>
      <c r="Y139" s="1735"/>
      <c r="Z139" s="1733"/>
      <c r="AA139" s="1734"/>
      <c r="AB139" s="1734"/>
      <c r="AC139" s="1735"/>
      <c r="AD139" s="1733"/>
      <c r="AE139" s="1734"/>
      <c r="AF139" s="1734"/>
      <c r="AG139" s="1735"/>
      <c r="AH139" s="1733"/>
      <c r="AI139" s="1734"/>
      <c r="AJ139" s="1734"/>
      <c r="AK139" s="1735"/>
      <c r="AL139" s="1733"/>
      <c r="AM139" s="1734"/>
      <c r="AN139" s="1734"/>
      <c r="AO139" s="1735"/>
      <c r="AP139" s="1733"/>
      <c r="AQ139" s="1734"/>
      <c r="AR139" s="1734"/>
      <c r="AS139" s="1735"/>
      <c r="AT139" s="1733"/>
      <c r="AU139" s="1734"/>
      <c r="AV139" s="1734"/>
      <c r="AW139" s="1735"/>
      <c r="AX139" s="1733"/>
      <c r="AY139" s="1734"/>
      <c r="AZ139" s="1734"/>
      <c r="BA139" s="1735"/>
      <c r="BB139" s="1733"/>
      <c r="BC139" s="1734"/>
      <c r="BD139" s="1734"/>
      <c r="BE139" s="1735"/>
      <c r="BF139" s="1733"/>
      <c r="BG139" s="1734"/>
      <c r="BH139" s="1734"/>
      <c r="BI139" s="1735"/>
      <c r="BJ139" s="1733"/>
      <c r="BK139" s="1734"/>
      <c r="BL139" s="1734"/>
      <c r="BM139" s="1735"/>
      <c r="BN139" s="1733"/>
      <c r="BO139" s="1734"/>
      <c r="BP139" s="1734"/>
      <c r="BQ139" s="1735"/>
      <c r="BR139" s="1733"/>
      <c r="BS139" s="1734"/>
      <c r="BT139" s="1734"/>
      <c r="BU139" s="1735"/>
      <c r="BV139" s="1733"/>
      <c r="BW139" s="1734"/>
      <c r="BX139" s="1734"/>
      <c r="BY139" s="1735"/>
      <c r="BZ139" s="1733"/>
      <c r="CA139" s="1734"/>
      <c r="CB139" s="1734"/>
      <c r="CC139" s="1735"/>
      <c r="CD139" s="1733"/>
      <c r="CE139" s="1734"/>
      <c r="CF139" s="1734"/>
      <c r="CG139" s="1735"/>
      <c r="CH139" s="1733"/>
      <c r="CI139" s="1734"/>
      <c r="CJ139" s="1734"/>
      <c r="CK139" s="1735"/>
      <c r="CL139" s="1733"/>
      <c r="CM139" s="1734"/>
      <c r="CN139" s="1734"/>
      <c r="CO139" s="1330"/>
      <c r="CP139" s="1733"/>
      <c r="CQ139" s="1734"/>
      <c r="CR139" s="1734"/>
      <c r="CS139" s="1735"/>
      <c r="CT139" s="1733"/>
      <c r="CU139" s="1734"/>
      <c r="CV139" s="1734"/>
      <c r="CW139" s="1735"/>
      <c r="CX139" s="1733"/>
      <c r="CY139" s="1734"/>
      <c r="CZ139" s="1734"/>
      <c r="DA139" s="1735"/>
      <c r="DB139" s="1733"/>
      <c r="DC139" s="1734"/>
      <c r="DD139" s="1734"/>
      <c r="DE139" s="1735"/>
      <c r="DF139" s="1733"/>
      <c r="DG139" s="1734"/>
      <c r="DH139" s="1734"/>
      <c r="DI139" s="1735"/>
      <c r="DJ139" s="1733"/>
      <c r="DK139" s="1734"/>
      <c r="DL139" s="1734"/>
      <c r="DM139" s="1735"/>
      <c r="DN139" s="1733"/>
      <c r="DO139" s="1734"/>
      <c r="DP139" s="1734"/>
      <c r="DQ139" s="1735"/>
      <c r="DR139" s="1733"/>
      <c r="DS139" s="1734"/>
      <c r="DT139" s="1734"/>
      <c r="DU139" s="1735"/>
      <c r="DV139" s="1733"/>
      <c r="DW139" s="1734"/>
      <c r="DX139" s="1734"/>
      <c r="DY139" s="1735"/>
      <c r="DZ139" s="1733"/>
      <c r="EA139" s="1734"/>
      <c r="EB139" s="1734"/>
      <c r="EC139" s="1735"/>
      <c r="ED139" s="1733"/>
      <c r="EE139" s="1734"/>
      <c r="EF139" s="1734"/>
      <c r="EG139" s="1735"/>
      <c r="EH139" s="1733"/>
      <c r="EI139" s="1734"/>
      <c r="EJ139" s="1734"/>
      <c r="EK139" s="1735"/>
      <c r="EL139" s="1733"/>
      <c r="EM139" s="1734"/>
      <c r="EN139" s="1734"/>
      <c r="EO139" s="1735"/>
      <c r="EP139" s="1733"/>
      <c r="EQ139" s="1734"/>
      <c r="ER139" s="1734"/>
      <c r="ES139" s="1735"/>
      <c r="ET139" s="1733"/>
      <c r="EU139" s="1734"/>
      <c r="EV139" s="1734"/>
      <c r="EW139" s="1735"/>
      <c r="EX139" s="1733"/>
      <c r="EY139" s="1734"/>
      <c r="EZ139" s="1734"/>
      <c r="FA139" s="1735"/>
      <c r="FB139" s="1733"/>
      <c r="FC139" s="1734"/>
      <c r="FD139" s="1734"/>
      <c r="FE139" s="1735"/>
      <c r="FF139" s="1733"/>
      <c r="FG139" s="1734"/>
      <c r="FH139" s="1734"/>
      <c r="FI139" s="1735"/>
      <c r="FJ139" s="1733"/>
      <c r="FK139" s="1734"/>
      <c r="FL139" s="1734"/>
      <c r="FM139" s="1737"/>
      <c r="FN139" s="1733"/>
      <c r="FO139" s="1734"/>
      <c r="FP139" s="1734"/>
      <c r="FQ139" s="1735"/>
      <c r="FR139" s="788"/>
      <c r="FS139" s="788"/>
      <c r="FT139" s="788"/>
      <c r="FU139" s="788"/>
      <c r="FV139" s="788"/>
      <c r="FW139" s="788"/>
      <c r="FX139" s="788"/>
      <c r="FY139" s="788"/>
      <c r="FZ139" s="788"/>
      <c r="GA139" s="788"/>
      <c r="GB139" s="788"/>
      <c r="GC139" s="788"/>
      <c r="GD139" s="788"/>
      <c r="GE139" s="788"/>
      <c r="GF139" s="935"/>
      <c r="GG139" s="935"/>
      <c r="GH139" s="935"/>
    </row>
    <row r="140" spans="3:190" ht="17.100000000000001" customHeight="1">
      <c r="D140" s="754"/>
      <c r="E140" s="755"/>
      <c r="F140" s="755"/>
      <c r="G140" s="755"/>
      <c r="H140" s="755"/>
      <c r="I140" s="461"/>
      <c r="J140" s="653"/>
      <c r="K140" s="653"/>
      <c r="L140" s="653"/>
      <c r="M140" s="653"/>
      <c r="N140" s="653"/>
      <c r="O140" s="653"/>
      <c r="P140" s="653"/>
      <c r="Q140" s="653"/>
      <c r="R140" s="653"/>
      <c r="S140" s="653"/>
      <c r="T140" s="653"/>
      <c r="U140" s="653"/>
      <c r="V140" s="653"/>
      <c r="W140" s="653"/>
      <c r="X140" s="653"/>
      <c r="Y140" s="653"/>
      <c r="Z140" s="653"/>
      <c r="AA140" s="653"/>
      <c r="AB140" s="653"/>
      <c r="AC140" s="653"/>
      <c r="AD140" s="653"/>
      <c r="AE140" s="653"/>
      <c r="AF140" s="653"/>
      <c r="AG140" s="653"/>
      <c r="AH140" s="653"/>
      <c r="AI140" s="653"/>
      <c r="AJ140" s="653"/>
      <c r="AK140" s="653"/>
      <c r="AL140" s="653"/>
      <c r="AM140" s="653"/>
      <c r="AN140" s="653"/>
      <c r="AO140" s="653"/>
      <c r="AP140" s="653"/>
      <c r="AQ140" s="653"/>
      <c r="AR140" s="653"/>
      <c r="AS140" s="653"/>
      <c r="AT140" s="653"/>
      <c r="AU140" s="653"/>
      <c r="AV140" s="653"/>
      <c r="AW140" s="653"/>
      <c r="AX140" s="653"/>
      <c r="AY140" s="653"/>
      <c r="AZ140" s="653"/>
      <c r="BA140" s="653"/>
      <c r="BB140" s="653"/>
      <c r="BC140" s="653"/>
      <c r="BD140" s="1490"/>
      <c r="BE140" s="1490"/>
      <c r="BF140" s="1490"/>
      <c r="BG140" s="1490"/>
      <c r="BH140" s="1490"/>
      <c r="BI140" s="1490"/>
      <c r="BJ140" s="1490"/>
      <c r="BK140" s="1490"/>
      <c r="BL140" s="1490"/>
      <c r="BM140" s="1490"/>
      <c r="BN140" s="1490"/>
      <c r="BO140" s="1490"/>
      <c r="BP140" s="1490"/>
      <c r="BQ140" s="1490"/>
      <c r="BR140" s="1490"/>
      <c r="BS140" s="1490"/>
      <c r="BT140" s="1490"/>
      <c r="BU140" s="1490"/>
      <c r="BV140" s="1490"/>
      <c r="BW140" s="1490"/>
      <c r="BX140" s="1490"/>
      <c r="BY140" s="1490"/>
      <c r="BZ140" s="1490"/>
      <c r="CA140" s="1490"/>
      <c r="CB140" s="1490"/>
      <c r="CC140" s="1490"/>
      <c r="CD140" s="1490"/>
      <c r="CE140" s="1490"/>
      <c r="CF140" s="1490"/>
      <c r="CG140" s="1490"/>
      <c r="CH140" s="1490"/>
      <c r="CI140" s="1490"/>
      <c r="CJ140" s="1490"/>
      <c r="CK140" s="1490"/>
      <c r="CL140" s="1490"/>
      <c r="CM140" s="1490"/>
      <c r="CN140" s="1490"/>
      <c r="CO140" s="1490"/>
      <c r="CP140" s="1490"/>
      <c r="CQ140" s="1490"/>
      <c r="CR140" s="1490"/>
      <c r="CS140" s="1490"/>
      <c r="CT140" s="1490"/>
      <c r="CU140" s="1490"/>
      <c r="CV140" s="1490"/>
      <c r="CW140" s="1490"/>
      <c r="CX140" s="1490"/>
      <c r="CY140" s="1490"/>
      <c r="CZ140" s="1490"/>
      <c r="DA140" s="1490"/>
      <c r="DB140" s="1490"/>
      <c r="DC140" s="1490"/>
      <c r="DD140" s="1490"/>
      <c r="DE140" s="1490"/>
      <c r="DF140" s="1490"/>
      <c r="DG140" s="1490"/>
      <c r="DH140" s="1490"/>
      <c r="DI140" s="1490"/>
      <c r="DJ140" s="1490"/>
      <c r="DK140" s="1490"/>
      <c r="DL140" s="1490"/>
      <c r="DM140" s="1490"/>
      <c r="DN140" s="1490"/>
      <c r="DO140" s="1490"/>
      <c r="DP140" s="1490"/>
      <c r="DQ140" s="1490"/>
      <c r="DR140" s="1490"/>
      <c r="DS140" s="1490"/>
      <c r="DT140" s="1490"/>
      <c r="DU140" s="1490"/>
      <c r="DV140" s="1490"/>
      <c r="DW140" s="1490"/>
      <c r="DX140" s="1490"/>
      <c r="DY140" s="1490"/>
      <c r="DZ140" s="1490"/>
      <c r="EA140" s="1490"/>
      <c r="EB140" s="1490"/>
      <c r="EC140" s="1490"/>
      <c r="ED140" s="1490"/>
      <c r="EE140" s="1490"/>
      <c r="EF140" s="1490"/>
      <c r="EG140" s="1490"/>
      <c r="EH140" s="1490"/>
      <c r="EI140" s="1490"/>
      <c r="EJ140" s="1490"/>
      <c r="EK140" s="1490"/>
      <c r="EL140" s="1490"/>
      <c r="EM140" s="1490"/>
      <c r="EN140" s="1490"/>
      <c r="EO140" s="1490"/>
      <c r="EP140" s="1490"/>
      <c r="EQ140" s="1490"/>
      <c r="ER140" s="1490"/>
      <c r="ES140" s="1490"/>
      <c r="ET140" s="1490"/>
      <c r="EU140" s="1490"/>
      <c r="EV140" s="1490"/>
      <c r="EW140" s="1490"/>
      <c r="EX140" s="1490"/>
      <c r="EY140" s="1490"/>
      <c r="EZ140" s="1490"/>
      <c r="FA140" s="1490"/>
      <c r="FB140" s="1490"/>
      <c r="FC140" s="1490"/>
      <c r="FD140" s="1490"/>
      <c r="FE140" s="1490"/>
      <c r="FF140" s="1490"/>
      <c r="FG140" s="1490"/>
      <c r="FH140" s="1490"/>
      <c r="FI140" s="1490"/>
      <c r="FJ140" s="1490"/>
      <c r="FK140" s="1490"/>
      <c r="FL140" s="1490"/>
      <c r="FM140" s="1490"/>
      <c r="FN140" s="788"/>
      <c r="FO140" s="788"/>
      <c r="FP140" s="788"/>
      <c r="FQ140" s="788"/>
      <c r="FR140" s="788"/>
      <c r="FS140" s="788"/>
      <c r="FT140" s="788"/>
      <c r="FU140" s="788"/>
      <c r="FV140" s="788"/>
      <c r="FW140" s="788"/>
      <c r="FX140" s="788"/>
      <c r="FY140" s="788"/>
      <c r="FZ140" s="788"/>
      <c r="GA140" s="788"/>
      <c r="GB140" s="788"/>
      <c r="GC140" s="788"/>
    </row>
    <row r="141" spans="3:190" ht="17.100000000000001" customHeight="1">
      <c r="C141" s="302" t="s">
        <v>1084</v>
      </c>
      <c r="I141" s="1738"/>
      <c r="J141" s="1714"/>
      <c r="K141" s="1714"/>
      <c r="L141" s="1714"/>
      <c r="M141" s="1714"/>
      <c r="N141" s="1714"/>
      <c r="O141" s="1714"/>
      <c r="P141" s="1714"/>
      <c r="Q141" s="1714"/>
      <c r="R141" s="1714"/>
      <c r="S141" s="1714"/>
      <c r="T141" s="1714"/>
      <c r="U141" s="1714"/>
      <c r="V141" s="1714"/>
      <c r="W141" s="788"/>
      <c r="X141" s="788"/>
      <c r="Y141" s="788"/>
      <c r="Z141" s="788"/>
      <c r="AA141" s="788"/>
      <c r="AB141" s="788"/>
      <c r="AC141" s="788"/>
      <c r="AD141" s="788"/>
      <c r="AE141" s="788"/>
      <c r="AF141" s="788"/>
      <c r="AG141" s="788"/>
      <c r="AH141" s="788"/>
      <c r="AI141" s="788"/>
      <c r="AJ141" s="788"/>
      <c r="AK141" s="788"/>
      <c r="AL141" s="788"/>
      <c r="AM141" s="788"/>
      <c r="AN141" s="788"/>
      <c r="AO141" s="788"/>
      <c r="AP141" s="788"/>
      <c r="AQ141" s="788"/>
      <c r="AR141" s="788"/>
      <c r="AS141" s="788"/>
      <c r="AT141" s="788"/>
      <c r="AU141" s="788"/>
      <c r="AV141" s="788"/>
      <c r="AW141" s="788"/>
      <c r="AX141" s="788"/>
      <c r="AY141" s="788"/>
      <c r="AZ141" s="788"/>
      <c r="BA141" s="788"/>
      <c r="BB141" s="788"/>
    </row>
    <row r="142" spans="3:190" ht="17.100000000000001" customHeight="1">
      <c r="C142" s="717"/>
      <c r="D142" s="718" t="s">
        <v>780</v>
      </c>
      <c r="E142" s="719"/>
      <c r="F142" s="718"/>
      <c r="G142" s="718"/>
      <c r="H142" s="718"/>
      <c r="I142" s="1684">
        <f>I$112</f>
        <v>2018</v>
      </c>
      <c r="J142" s="766">
        <f t="shared" ref="J142:BB142" si="79">J$112</f>
        <v>2019</v>
      </c>
      <c r="K142" s="766">
        <f t="shared" si="79"/>
        <v>2020</v>
      </c>
      <c r="L142" s="766">
        <f t="shared" si="79"/>
        <v>2021</v>
      </c>
      <c r="M142" s="766">
        <f t="shared" si="79"/>
        <v>2022</v>
      </c>
      <c r="N142" s="766">
        <f t="shared" si="79"/>
        <v>2023</v>
      </c>
      <c r="O142" s="766">
        <f t="shared" si="79"/>
        <v>2024</v>
      </c>
      <c r="P142" s="766">
        <f t="shared" si="79"/>
        <v>2025</v>
      </c>
      <c r="Q142" s="766">
        <f t="shared" si="79"/>
        <v>2026</v>
      </c>
      <c r="R142" s="766">
        <f t="shared" si="79"/>
        <v>2027</v>
      </c>
      <c r="S142" s="766">
        <f t="shared" si="79"/>
        <v>2028</v>
      </c>
      <c r="T142" s="766">
        <f t="shared" si="79"/>
        <v>2029</v>
      </c>
      <c r="U142" s="766">
        <f t="shared" si="79"/>
        <v>2030</v>
      </c>
      <c r="V142" s="766">
        <f t="shared" si="79"/>
        <v>2031</v>
      </c>
      <c r="W142" s="766">
        <f t="shared" si="79"/>
        <v>2032</v>
      </c>
      <c r="X142" s="766">
        <f t="shared" si="79"/>
        <v>2033</v>
      </c>
      <c r="Y142" s="766">
        <f t="shared" si="79"/>
        <v>2034</v>
      </c>
      <c r="Z142" s="766">
        <f t="shared" si="79"/>
        <v>2035</v>
      </c>
      <c r="AA142" s="766">
        <f t="shared" si="79"/>
        <v>2036</v>
      </c>
      <c r="AB142" s="766">
        <f t="shared" si="79"/>
        <v>2037</v>
      </c>
      <c r="AC142" s="766">
        <f t="shared" si="79"/>
        <v>2038</v>
      </c>
      <c r="AD142" s="766">
        <f t="shared" si="79"/>
        <v>2039</v>
      </c>
      <c r="AE142" s="766">
        <f t="shared" si="79"/>
        <v>2040</v>
      </c>
      <c r="AF142" s="766">
        <f t="shared" si="79"/>
        <v>2041</v>
      </c>
      <c r="AG142" s="766">
        <f t="shared" si="79"/>
        <v>2042</v>
      </c>
      <c r="AH142" s="766">
        <f t="shared" si="79"/>
        <v>2043</v>
      </c>
      <c r="AI142" s="766">
        <f t="shared" si="79"/>
        <v>2044</v>
      </c>
      <c r="AJ142" s="766">
        <f t="shared" si="79"/>
        <v>2045</v>
      </c>
      <c r="AK142" s="766">
        <f t="shared" si="79"/>
        <v>2046</v>
      </c>
      <c r="AL142" s="766">
        <f t="shared" si="79"/>
        <v>2047</v>
      </c>
      <c r="AM142" s="766">
        <f t="shared" si="79"/>
        <v>2048</v>
      </c>
      <c r="AN142" s="766">
        <f t="shared" si="79"/>
        <v>2049</v>
      </c>
      <c r="AO142" s="766">
        <f t="shared" si="79"/>
        <v>2050</v>
      </c>
      <c r="AP142" s="766">
        <f t="shared" si="79"/>
        <v>2051</v>
      </c>
      <c r="AQ142" s="766">
        <f t="shared" si="79"/>
        <v>2052</v>
      </c>
      <c r="AR142" s="766">
        <f t="shared" si="79"/>
        <v>2053</v>
      </c>
      <c r="AS142" s="766">
        <f t="shared" si="79"/>
        <v>2054</v>
      </c>
      <c r="AT142" s="766">
        <f t="shared" si="79"/>
        <v>2055</v>
      </c>
      <c r="AU142" s="766">
        <f t="shared" si="79"/>
        <v>2056</v>
      </c>
      <c r="AV142" s="766">
        <f t="shared" si="79"/>
        <v>2057</v>
      </c>
      <c r="AW142" s="766">
        <f t="shared" si="79"/>
        <v>2058</v>
      </c>
      <c r="AX142" s="766">
        <f t="shared" si="79"/>
        <v>2059</v>
      </c>
      <c r="AY142" s="766">
        <f t="shared" si="79"/>
        <v>2060</v>
      </c>
      <c r="AZ142" s="766">
        <f t="shared" si="79"/>
        <v>2061</v>
      </c>
      <c r="BA142" s="766">
        <f t="shared" si="79"/>
        <v>2062</v>
      </c>
      <c r="BB142" s="766">
        <f t="shared" si="79"/>
        <v>2063</v>
      </c>
    </row>
    <row r="143" spans="3:190" ht="17.100000000000001" customHeight="1">
      <c r="C143" s="720"/>
      <c r="D143" s="774" t="s">
        <v>1080</v>
      </c>
      <c r="E143" s="722"/>
      <c r="F143" s="1625"/>
      <c r="G143" s="1625"/>
      <c r="H143" s="1625"/>
      <c r="I143" s="1666"/>
      <c r="J143" s="1666">
        <f t="shared" ref="J143:BB143" si="80">I146</f>
        <v>0</v>
      </c>
      <c r="K143" s="1666">
        <f t="shared" si="80"/>
        <v>0</v>
      </c>
      <c r="L143" s="1360">
        <f t="shared" si="80"/>
        <v>0</v>
      </c>
      <c r="M143" s="1360">
        <f t="shared" si="80"/>
        <v>0</v>
      </c>
      <c r="N143" s="1360">
        <f t="shared" si="80"/>
        <v>0</v>
      </c>
      <c r="O143" s="1360">
        <f t="shared" si="80"/>
        <v>0</v>
      </c>
      <c r="P143" s="1360">
        <f t="shared" si="80"/>
        <v>0</v>
      </c>
      <c r="Q143" s="1360">
        <f t="shared" si="80"/>
        <v>0</v>
      </c>
      <c r="R143" s="1360">
        <f t="shared" si="80"/>
        <v>0</v>
      </c>
      <c r="S143" s="1360">
        <f t="shared" si="80"/>
        <v>0</v>
      </c>
      <c r="T143" s="1360">
        <f t="shared" si="80"/>
        <v>0</v>
      </c>
      <c r="U143" s="1360">
        <f t="shared" si="80"/>
        <v>0</v>
      </c>
      <c r="V143" s="1360">
        <f t="shared" si="80"/>
        <v>0</v>
      </c>
      <c r="W143" s="1360">
        <f t="shared" si="80"/>
        <v>0</v>
      </c>
      <c r="X143" s="1360">
        <f t="shared" si="80"/>
        <v>0</v>
      </c>
      <c r="Y143" s="1360">
        <f t="shared" si="80"/>
        <v>0</v>
      </c>
      <c r="Z143" s="1360">
        <f t="shared" si="80"/>
        <v>0</v>
      </c>
      <c r="AA143" s="1360">
        <f t="shared" si="80"/>
        <v>0</v>
      </c>
      <c r="AB143" s="1360">
        <f t="shared" si="80"/>
        <v>0</v>
      </c>
      <c r="AC143" s="1360">
        <f t="shared" si="80"/>
        <v>0</v>
      </c>
      <c r="AD143" s="1360">
        <f t="shared" si="80"/>
        <v>0</v>
      </c>
      <c r="AE143" s="1360">
        <f t="shared" si="80"/>
        <v>0</v>
      </c>
      <c r="AF143" s="1360">
        <f t="shared" si="80"/>
        <v>0</v>
      </c>
      <c r="AG143" s="1360">
        <f t="shared" si="80"/>
        <v>0</v>
      </c>
      <c r="AH143" s="1360">
        <f t="shared" si="80"/>
        <v>0</v>
      </c>
      <c r="AI143" s="1360">
        <f t="shared" si="80"/>
        <v>0</v>
      </c>
      <c r="AJ143" s="1360">
        <f t="shared" si="80"/>
        <v>0</v>
      </c>
      <c r="AK143" s="1360">
        <f t="shared" si="80"/>
        <v>0</v>
      </c>
      <c r="AL143" s="1360">
        <f t="shared" si="80"/>
        <v>0</v>
      </c>
      <c r="AM143" s="1360">
        <f t="shared" si="80"/>
        <v>0</v>
      </c>
      <c r="AN143" s="1360">
        <f t="shared" si="80"/>
        <v>0</v>
      </c>
      <c r="AO143" s="1360">
        <f t="shared" si="80"/>
        <v>0</v>
      </c>
      <c r="AP143" s="1360">
        <f t="shared" si="80"/>
        <v>0</v>
      </c>
      <c r="AQ143" s="1360">
        <f t="shared" si="80"/>
        <v>0</v>
      </c>
      <c r="AR143" s="1360">
        <f t="shared" si="80"/>
        <v>0</v>
      </c>
      <c r="AS143" s="1360">
        <f t="shared" si="80"/>
        <v>0</v>
      </c>
      <c r="AT143" s="1360">
        <f t="shared" si="80"/>
        <v>0</v>
      </c>
      <c r="AU143" s="1360">
        <f t="shared" si="80"/>
        <v>0</v>
      </c>
      <c r="AV143" s="1360">
        <f t="shared" si="80"/>
        <v>0</v>
      </c>
      <c r="AW143" s="1360">
        <f t="shared" si="80"/>
        <v>0</v>
      </c>
      <c r="AX143" s="1360">
        <f t="shared" si="80"/>
        <v>0</v>
      </c>
      <c r="AY143" s="1360">
        <f t="shared" si="80"/>
        <v>0</v>
      </c>
      <c r="AZ143" s="1360">
        <f t="shared" si="80"/>
        <v>0</v>
      </c>
      <c r="BA143" s="1360">
        <f t="shared" si="80"/>
        <v>0</v>
      </c>
      <c r="BB143" s="1360">
        <f t="shared" si="80"/>
        <v>0</v>
      </c>
    </row>
    <row r="144" spans="3:190" ht="17.100000000000001" customHeight="1">
      <c r="C144" s="1409"/>
      <c r="D144" s="1410" t="s">
        <v>1270</v>
      </c>
      <c r="E144" s="1411"/>
      <c r="F144" s="1667"/>
      <c r="G144" s="1667"/>
      <c r="H144" s="1667"/>
      <c r="I144" s="945"/>
      <c r="J144" s="945"/>
      <c r="K144" s="945"/>
      <c r="L144" s="946"/>
      <c r="M144" s="946"/>
      <c r="N144" s="946"/>
      <c r="O144" s="946"/>
      <c r="P144" s="946"/>
      <c r="Q144" s="946"/>
      <c r="R144" s="946"/>
      <c r="S144" s="946"/>
      <c r="T144" s="946"/>
      <c r="U144" s="946"/>
      <c r="V144" s="946"/>
      <c r="W144" s="946"/>
      <c r="X144" s="946"/>
      <c r="Y144" s="946"/>
      <c r="Z144" s="946"/>
      <c r="AA144" s="946"/>
      <c r="AB144" s="946"/>
      <c r="AC144" s="946"/>
      <c r="AD144" s="946"/>
      <c r="AE144" s="946"/>
      <c r="AF144" s="946"/>
      <c r="AG144" s="946"/>
      <c r="AH144" s="946"/>
      <c r="AI144" s="946"/>
      <c r="AJ144" s="946"/>
      <c r="AK144" s="946"/>
      <c r="AL144" s="946"/>
      <c r="AM144" s="946"/>
      <c r="AN144" s="946"/>
      <c r="AO144" s="946"/>
      <c r="AP144" s="946"/>
      <c r="AQ144" s="946"/>
      <c r="AR144" s="946"/>
      <c r="AS144" s="946"/>
      <c r="AT144" s="946"/>
      <c r="AU144" s="946"/>
      <c r="AV144" s="946"/>
      <c r="AW144" s="946"/>
      <c r="AX144" s="946"/>
      <c r="AY144" s="946"/>
      <c r="AZ144" s="946"/>
      <c r="BA144" s="946"/>
      <c r="BB144" s="946"/>
    </row>
    <row r="145" spans="3:54" ht="17.100000000000001" customHeight="1">
      <c r="C145" s="1415"/>
      <c r="D145" s="1416" t="s">
        <v>1271</v>
      </c>
      <c r="E145" s="1352"/>
      <c r="F145" s="1685"/>
      <c r="G145" s="1685"/>
      <c r="H145" s="1685"/>
      <c r="I145" s="1686"/>
      <c r="J145" s="1686">
        <f>SUM(차입금상환!H30:K30)</f>
        <v>0</v>
      </c>
      <c r="K145" s="1686">
        <f>SUM(차입금상환!L30:O30)</f>
        <v>0</v>
      </c>
      <c r="L145" s="1353">
        <f>SUM(차입금상환!P30:S30)</f>
        <v>0</v>
      </c>
      <c r="M145" s="1353"/>
      <c r="N145" s="1353"/>
      <c r="O145" s="1353"/>
      <c r="P145" s="1353"/>
      <c r="Q145" s="1353"/>
      <c r="R145" s="1353"/>
      <c r="S145" s="1353"/>
      <c r="T145" s="1353"/>
      <c r="U145" s="1353"/>
      <c r="V145" s="1353"/>
      <c r="W145" s="1353"/>
      <c r="X145" s="1353"/>
      <c r="Y145" s="1353"/>
      <c r="Z145" s="1353"/>
      <c r="AA145" s="1353"/>
      <c r="AB145" s="1353"/>
      <c r="AC145" s="1353"/>
      <c r="AD145" s="1353"/>
      <c r="AE145" s="1353"/>
      <c r="AF145" s="1353"/>
      <c r="AG145" s="1353"/>
      <c r="AH145" s="1353"/>
      <c r="AI145" s="1353"/>
      <c r="AJ145" s="1353"/>
      <c r="AK145" s="1353"/>
      <c r="AL145" s="1353"/>
      <c r="AM145" s="1353"/>
      <c r="AN145" s="1353"/>
      <c r="AO145" s="1353"/>
      <c r="AP145" s="1353"/>
      <c r="AQ145" s="1353"/>
      <c r="AR145" s="1353"/>
      <c r="AS145" s="1353"/>
      <c r="AT145" s="1353"/>
      <c r="AU145" s="1353"/>
      <c r="AV145" s="1353"/>
      <c r="AW145" s="1353"/>
      <c r="AX145" s="1353"/>
      <c r="AY145" s="1353"/>
      <c r="AZ145" s="1353"/>
      <c r="BA145" s="1353"/>
      <c r="BB145" s="1353"/>
    </row>
    <row r="146" spans="3:54" ht="17.100000000000001" customHeight="1">
      <c r="C146" s="952"/>
      <c r="D146" s="777" t="s">
        <v>1096</v>
      </c>
      <c r="E146" s="747"/>
      <c r="F146" s="1668"/>
      <c r="G146" s="1668"/>
      <c r="H146" s="1668"/>
      <c r="I146" s="1639">
        <f>I31</f>
        <v>0</v>
      </c>
      <c r="J146" s="1639">
        <f t="shared" ref="J146:BB146" si="81">J143+J144-J145</f>
        <v>0</v>
      </c>
      <c r="K146" s="1687">
        <v>0</v>
      </c>
      <c r="L146" s="954">
        <f t="shared" si="81"/>
        <v>0</v>
      </c>
      <c r="M146" s="954">
        <f t="shared" si="81"/>
        <v>0</v>
      </c>
      <c r="N146" s="954">
        <f t="shared" si="81"/>
        <v>0</v>
      </c>
      <c r="O146" s="954">
        <f t="shared" si="81"/>
        <v>0</v>
      </c>
      <c r="P146" s="954">
        <f t="shared" si="81"/>
        <v>0</v>
      </c>
      <c r="Q146" s="954">
        <f t="shared" si="81"/>
        <v>0</v>
      </c>
      <c r="R146" s="954">
        <f t="shared" si="81"/>
        <v>0</v>
      </c>
      <c r="S146" s="954">
        <f t="shared" si="81"/>
        <v>0</v>
      </c>
      <c r="T146" s="954">
        <f t="shared" si="81"/>
        <v>0</v>
      </c>
      <c r="U146" s="954">
        <f t="shared" si="81"/>
        <v>0</v>
      </c>
      <c r="V146" s="954">
        <f t="shared" si="81"/>
        <v>0</v>
      </c>
      <c r="W146" s="954">
        <f t="shared" si="81"/>
        <v>0</v>
      </c>
      <c r="X146" s="954">
        <f t="shared" si="81"/>
        <v>0</v>
      </c>
      <c r="Y146" s="954">
        <f t="shared" si="81"/>
        <v>0</v>
      </c>
      <c r="Z146" s="954">
        <f t="shared" si="81"/>
        <v>0</v>
      </c>
      <c r="AA146" s="954">
        <f t="shared" si="81"/>
        <v>0</v>
      </c>
      <c r="AB146" s="954">
        <f t="shared" si="81"/>
        <v>0</v>
      </c>
      <c r="AC146" s="954">
        <f t="shared" si="81"/>
        <v>0</v>
      </c>
      <c r="AD146" s="954">
        <f t="shared" si="81"/>
        <v>0</v>
      </c>
      <c r="AE146" s="954">
        <f t="shared" si="81"/>
        <v>0</v>
      </c>
      <c r="AF146" s="954">
        <f t="shared" si="81"/>
        <v>0</v>
      </c>
      <c r="AG146" s="954">
        <f t="shared" si="81"/>
        <v>0</v>
      </c>
      <c r="AH146" s="954">
        <f t="shared" si="81"/>
        <v>0</v>
      </c>
      <c r="AI146" s="954">
        <f t="shared" si="81"/>
        <v>0</v>
      </c>
      <c r="AJ146" s="954">
        <f t="shared" si="81"/>
        <v>0</v>
      </c>
      <c r="AK146" s="954">
        <f t="shared" si="81"/>
        <v>0</v>
      </c>
      <c r="AL146" s="954">
        <f t="shared" si="81"/>
        <v>0</v>
      </c>
      <c r="AM146" s="954">
        <f t="shared" si="81"/>
        <v>0</v>
      </c>
      <c r="AN146" s="954">
        <f t="shared" si="81"/>
        <v>0</v>
      </c>
      <c r="AO146" s="954">
        <f t="shared" si="81"/>
        <v>0</v>
      </c>
      <c r="AP146" s="954">
        <f t="shared" si="81"/>
        <v>0</v>
      </c>
      <c r="AQ146" s="954">
        <f t="shared" si="81"/>
        <v>0</v>
      </c>
      <c r="AR146" s="954">
        <f t="shared" si="81"/>
        <v>0</v>
      </c>
      <c r="AS146" s="954">
        <f t="shared" si="81"/>
        <v>0</v>
      </c>
      <c r="AT146" s="954">
        <f t="shared" si="81"/>
        <v>0</v>
      </c>
      <c r="AU146" s="954">
        <f t="shared" si="81"/>
        <v>0</v>
      </c>
      <c r="AV146" s="954">
        <f t="shared" si="81"/>
        <v>0</v>
      </c>
      <c r="AW146" s="954">
        <f t="shared" si="81"/>
        <v>0</v>
      </c>
      <c r="AX146" s="954">
        <f t="shared" si="81"/>
        <v>0</v>
      </c>
      <c r="AY146" s="954">
        <f t="shared" si="81"/>
        <v>0</v>
      </c>
      <c r="AZ146" s="954">
        <f t="shared" si="81"/>
        <v>0</v>
      </c>
      <c r="BA146" s="954">
        <f t="shared" si="81"/>
        <v>0</v>
      </c>
      <c r="BB146" s="954">
        <f t="shared" si="81"/>
        <v>0</v>
      </c>
    </row>
    <row r="147" spans="3:54" ht="17.100000000000001" customHeight="1">
      <c r="D147" s="754"/>
      <c r="E147" s="755"/>
      <c r="F147" s="755"/>
      <c r="G147" s="755"/>
      <c r="H147" s="755"/>
      <c r="I147" s="934"/>
      <c r="J147" s="935"/>
      <c r="K147" s="935"/>
      <c r="L147" s="935"/>
      <c r="M147" s="935"/>
      <c r="N147" s="935"/>
      <c r="O147" s="935"/>
      <c r="P147" s="935"/>
      <c r="Q147" s="935"/>
      <c r="R147" s="935"/>
      <c r="S147" s="935"/>
      <c r="T147" s="935"/>
      <c r="U147" s="935"/>
      <c r="V147" s="935"/>
      <c r="W147" s="935"/>
      <c r="X147" s="935"/>
      <c r="Y147" s="935"/>
      <c r="Z147" s="935"/>
      <c r="AA147" s="935"/>
      <c r="AB147" s="935"/>
      <c r="AC147" s="935"/>
      <c r="AD147" s="935"/>
      <c r="AE147" s="935"/>
      <c r="AF147" s="935"/>
      <c r="AG147" s="935"/>
      <c r="AH147" s="935"/>
      <c r="AI147" s="935"/>
      <c r="AJ147" s="935"/>
      <c r="AK147" s="935"/>
      <c r="AL147" s="935"/>
      <c r="AM147" s="935"/>
      <c r="AN147" s="935"/>
      <c r="AO147" s="935"/>
      <c r="AP147" s="935"/>
      <c r="AQ147" s="935"/>
      <c r="AR147" s="935"/>
      <c r="AS147" s="935"/>
      <c r="AT147" s="935"/>
      <c r="AU147" s="935"/>
      <c r="AV147" s="935"/>
      <c r="AW147" s="935"/>
      <c r="AX147" s="935"/>
      <c r="AY147" s="935"/>
      <c r="AZ147" s="935"/>
      <c r="BA147" s="935"/>
    </row>
    <row r="148" spans="3:54" ht="17.100000000000001" customHeight="1">
      <c r="C148" s="302" t="s">
        <v>1373</v>
      </c>
      <c r="I148" s="1738"/>
      <c r="J148" s="1714"/>
      <c r="K148" s="1714"/>
      <c r="L148" s="1714"/>
      <c r="M148" s="1714"/>
      <c r="N148" s="1714"/>
      <c r="O148" s="1714"/>
      <c r="P148" s="1714"/>
      <c r="Q148" s="1714"/>
      <c r="R148" s="1714"/>
      <c r="S148" s="1714"/>
      <c r="T148" s="1714"/>
      <c r="U148" s="1714"/>
      <c r="V148" s="1714"/>
      <c r="W148" s="788"/>
      <c r="X148" s="788"/>
      <c r="Y148" s="788"/>
      <c r="Z148" s="788"/>
      <c r="AA148" s="788"/>
      <c r="AB148" s="788"/>
      <c r="AC148" s="788"/>
      <c r="AD148" s="788"/>
      <c r="AE148" s="788"/>
      <c r="AF148" s="788"/>
      <c r="AG148" s="788"/>
      <c r="AH148" s="788"/>
      <c r="AI148" s="788"/>
      <c r="AJ148" s="788"/>
      <c r="AK148" s="788"/>
      <c r="AL148" s="788"/>
      <c r="AM148" s="788"/>
      <c r="AN148" s="788"/>
      <c r="AO148" s="788"/>
      <c r="AP148" s="788"/>
      <c r="AQ148" s="788"/>
      <c r="AR148" s="788"/>
      <c r="AS148" s="788"/>
      <c r="AT148" s="788"/>
      <c r="AU148" s="788"/>
      <c r="AV148" s="788"/>
      <c r="AW148" s="788"/>
      <c r="AX148" s="788"/>
      <c r="AY148" s="788"/>
      <c r="AZ148" s="788"/>
      <c r="BA148" s="788"/>
      <c r="BB148" s="788"/>
    </row>
    <row r="149" spans="3:54" ht="17.100000000000001" customHeight="1">
      <c r="C149" s="717"/>
      <c r="D149" s="718" t="s">
        <v>780</v>
      </c>
      <c r="E149" s="719"/>
      <c r="F149" s="718"/>
      <c r="G149" s="718"/>
      <c r="H149" s="718"/>
      <c r="I149" s="1684">
        <f>I$112</f>
        <v>2018</v>
      </c>
      <c r="J149" s="766">
        <f t="shared" ref="J149:BB149" si="82">J$112</f>
        <v>2019</v>
      </c>
      <c r="K149" s="766">
        <f t="shared" si="82"/>
        <v>2020</v>
      </c>
      <c r="L149" s="766">
        <f t="shared" si="82"/>
        <v>2021</v>
      </c>
      <c r="M149" s="766">
        <f t="shared" si="82"/>
        <v>2022</v>
      </c>
      <c r="N149" s="766">
        <f t="shared" si="82"/>
        <v>2023</v>
      </c>
      <c r="O149" s="766">
        <f t="shared" si="82"/>
        <v>2024</v>
      </c>
      <c r="P149" s="766">
        <f t="shared" si="82"/>
        <v>2025</v>
      </c>
      <c r="Q149" s="766">
        <f t="shared" si="82"/>
        <v>2026</v>
      </c>
      <c r="R149" s="766">
        <f t="shared" si="82"/>
        <v>2027</v>
      </c>
      <c r="S149" s="766">
        <f t="shared" si="82"/>
        <v>2028</v>
      </c>
      <c r="T149" s="766">
        <f t="shared" si="82"/>
        <v>2029</v>
      </c>
      <c r="U149" s="766">
        <f t="shared" si="82"/>
        <v>2030</v>
      </c>
      <c r="V149" s="766">
        <f t="shared" si="82"/>
        <v>2031</v>
      </c>
      <c r="W149" s="766">
        <f t="shared" si="82"/>
        <v>2032</v>
      </c>
      <c r="X149" s="766">
        <f t="shared" si="82"/>
        <v>2033</v>
      </c>
      <c r="Y149" s="766">
        <f t="shared" si="82"/>
        <v>2034</v>
      </c>
      <c r="Z149" s="766">
        <f t="shared" si="82"/>
        <v>2035</v>
      </c>
      <c r="AA149" s="766">
        <f t="shared" si="82"/>
        <v>2036</v>
      </c>
      <c r="AB149" s="766">
        <f t="shared" si="82"/>
        <v>2037</v>
      </c>
      <c r="AC149" s="766">
        <f t="shared" si="82"/>
        <v>2038</v>
      </c>
      <c r="AD149" s="766">
        <f t="shared" si="82"/>
        <v>2039</v>
      </c>
      <c r="AE149" s="766">
        <f t="shared" si="82"/>
        <v>2040</v>
      </c>
      <c r="AF149" s="766">
        <f t="shared" si="82"/>
        <v>2041</v>
      </c>
      <c r="AG149" s="766">
        <f t="shared" si="82"/>
        <v>2042</v>
      </c>
      <c r="AH149" s="766">
        <f t="shared" si="82"/>
        <v>2043</v>
      </c>
      <c r="AI149" s="766">
        <f t="shared" si="82"/>
        <v>2044</v>
      </c>
      <c r="AJ149" s="766">
        <f t="shared" si="82"/>
        <v>2045</v>
      </c>
      <c r="AK149" s="766">
        <f t="shared" si="82"/>
        <v>2046</v>
      </c>
      <c r="AL149" s="766">
        <f t="shared" si="82"/>
        <v>2047</v>
      </c>
      <c r="AM149" s="766">
        <f t="shared" si="82"/>
        <v>2048</v>
      </c>
      <c r="AN149" s="766">
        <f t="shared" si="82"/>
        <v>2049</v>
      </c>
      <c r="AO149" s="766">
        <f t="shared" si="82"/>
        <v>2050</v>
      </c>
      <c r="AP149" s="766">
        <f t="shared" si="82"/>
        <v>2051</v>
      </c>
      <c r="AQ149" s="766">
        <f t="shared" si="82"/>
        <v>2052</v>
      </c>
      <c r="AR149" s="766">
        <f t="shared" si="82"/>
        <v>2053</v>
      </c>
      <c r="AS149" s="766">
        <f t="shared" si="82"/>
        <v>2054</v>
      </c>
      <c r="AT149" s="766">
        <f t="shared" si="82"/>
        <v>2055</v>
      </c>
      <c r="AU149" s="766">
        <f t="shared" si="82"/>
        <v>2056</v>
      </c>
      <c r="AV149" s="766">
        <f t="shared" si="82"/>
        <v>2057</v>
      </c>
      <c r="AW149" s="766">
        <f t="shared" si="82"/>
        <v>2058</v>
      </c>
      <c r="AX149" s="766">
        <f t="shared" si="82"/>
        <v>2059</v>
      </c>
      <c r="AY149" s="766">
        <f t="shared" si="82"/>
        <v>2060</v>
      </c>
      <c r="AZ149" s="766">
        <f t="shared" si="82"/>
        <v>2061</v>
      </c>
      <c r="BA149" s="766">
        <f t="shared" si="82"/>
        <v>2062</v>
      </c>
      <c r="BB149" s="766">
        <f t="shared" si="82"/>
        <v>2063</v>
      </c>
    </row>
    <row r="150" spans="3:54" ht="17.100000000000001" customHeight="1">
      <c r="C150" s="720"/>
      <c r="D150" s="774" t="s">
        <v>1080</v>
      </c>
      <c r="E150" s="722"/>
      <c r="F150" s="1625"/>
      <c r="G150" s="1625"/>
      <c r="H150" s="1625"/>
      <c r="I150" s="1666"/>
      <c r="J150" s="1666">
        <f t="shared" ref="J150:BB150" si="83">I154</f>
        <v>0</v>
      </c>
      <c r="K150" s="1666">
        <f t="shared" ca="1" si="83"/>
        <v>0</v>
      </c>
      <c r="L150" s="1360">
        <f t="shared" si="83"/>
        <v>0</v>
      </c>
      <c r="M150" s="1360">
        <f t="shared" ca="1" si="83"/>
        <v>70.043648000000005</v>
      </c>
      <c r="N150" s="1360">
        <f t="shared" ca="1" si="83"/>
        <v>183.51135600000001</v>
      </c>
      <c r="O150" s="1360">
        <f t="shared" ca="1" si="83"/>
        <v>183.51135600000001</v>
      </c>
      <c r="P150" s="1360">
        <f t="shared" ca="1" si="83"/>
        <v>204.70728</v>
      </c>
      <c r="Q150" s="1360">
        <f t="shared" ca="1" si="83"/>
        <v>340.99862999999999</v>
      </c>
      <c r="R150" s="1360">
        <f t="shared" ca="1" si="83"/>
        <v>449.58116100000001</v>
      </c>
      <c r="S150" s="1360">
        <f t="shared" ca="1" si="83"/>
        <v>449.58116100000001</v>
      </c>
      <c r="T150" s="1360">
        <f t="shared" ca="1" si="83"/>
        <v>449.58116100000001</v>
      </c>
      <c r="U150" s="1360">
        <f t="shared" ca="1" si="83"/>
        <v>449.58116100000001</v>
      </c>
      <c r="V150" s="1360">
        <f t="shared" ca="1" si="83"/>
        <v>449.58116100000001</v>
      </c>
      <c r="W150" s="1360">
        <f t="shared" ca="1" si="83"/>
        <v>449.58116100000001</v>
      </c>
      <c r="X150" s="1360">
        <f t="shared" ca="1" si="83"/>
        <v>449.58116100000001</v>
      </c>
      <c r="Y150" s="1360">
        <f t="shared" ca="1" si="83"/>
        <v>449.58116100000001</v>
      </c>
      <c r="Z150" s="1360">
        <f t="shared" ca="1" si="83"/>
        <v>442.62097499999999</v>
      </c>
      <c r="AA150" s="1360">
        <f t="shared" ca="1" si="83"/>
        <v>421.27824199999998</v>
      </c>
      <c r="AB150" s="1360">
        <f t="shared" ca="1" si="83"/>
        <v>396.36717700000003</v>
      </c>
      <c r="AC150" s="1360">
        <f t="shared" ca="1" si="83"/>
        <v>352.52750400000002</v>
      </c>
      <c r="AD150" s="1360">
        <f t="shared" ca="1" si="83"/>
        <v>306.60750400000001</v>
      </c>
      <c r="AE150" s="1360">
        <f t="shared" ca="1" si="83"/>
        <v>260.68750399999999</v>
      </c>
      <c r="AF150" s="1360">
        <f t="shared" ca="1" si="83"/>
        <v>214.767504</v>
      </c>
      <c r="AG150" s="1360">
        <f t="shared" ca="1" si="83"/>
        <v>168.84750399999999</v>
      </c>
      <c r="AH150" s="1360">
        <f t="shared" ca="1" si="83"/>
        <v>122.927504</v>
      </c>
      <c r="AI150" s="1360">
        <f t="shared" ca="1" si="83"/>
        <v>77.007503999999997</v>
      </c>
      <c r="AJ150" s="1360">
        <f t="shared" ca="1" si="83"/>
        <v>31.087503999999999</v>
      </c>
      <c r="AK150" s="1360">
        <f t="shared" ca="1" si="83"/>
        <v>0</v>
      </c>
      <c r="AL150" s="1360">
        <f t="shared" ca="1" si="83"/>
        <v>0</v>
      </c>
      <c r="AM150" s="1360">
        <f t="shared" ca="1" si="83"/>
        <v>0</v>
      </c>
      <c r="AN150" s="1360">
        <f t="shared" ca="1" si="83"/>
        <v>0</v>
      </c>
      <c r="AO150" s="1360">
        <f t="shared" ca="1" si="83"/>
        <v>0</v>
      </c>
      <c r="AP150" s="1360">
        <f t="shared" ca="1" si="83"/>
        <v>0</v>
      </c>
      <c r="AQ150" s="1360">
        <f t="shared" ca="1" si="83"/>
        <v>0</v>
      </c>
      <c r="AR150" s="1360">
        <f t="shared" ca="1" si="83"/>
        <v>0</v>
      </c>
      <c r="AS150" s="1360">
        <f t="shared" ca="1" si="83"/>
        <v>0</v>
      </c>
      <c r="AT150" s="1360">
        <f t="shared" ca="1" si="83"/>
        <v>0</v>
      </c>
      <c r="AU150" s="1360">
        <f t="shared" ca="1" si="83"/>
        <v>0</v>
      </c>
      <c r="AV150" s="1360">
        <f t="shared" ca="1" si="83"/>
        <v>0</v>
      </c>
      <c r="AW150" s="1360">
        <f t="shared" ca="1" si="83"/>
        <v>0</v>
      </c>
      <c r="AX150" s="1360">
        <f t="shared" ca="1" si="83"/>
        <v>0</v>
      </c>
      <c r="AY150" s="1360">
        <f t="shared" ca="1" si="83"/>
        <v>0</v>
      </c>
      <c r="AZ150" s="1360">
        <f t="shared" ca="1" si="83"/>
        <v>0</v>
      </c>
      <c r="BA150" s="1360">
        <f t="shared" ca="1" si="83"/>
        <v>0</v>
      </c>
      <c r="BB150" s="1360">
        <f t="shared" ca="1" si="83"/>
        <v>0</v>
      </c>
    </row>
    <row r="151" spans="3:54" ht="17.100000000000001" customHeight="1">
      <c r="C151" s="1409"/>
      <c r="D151" s="1410" t="s">
        <v>1270</v>
      </c>
      <c r="E151" s="1411"/>
      <c r="F151" s="1667"/>
      <c r="G151" s="1667"/>
      <c r="H151" s="1667"/>
      <c r="I151" s="945"/>
      <c r="J151" s="945">
        <f>SUMIF(Waterfall!3:3,J$179,Waterfall!58:58)</f>
        <v>196.06404757000001</v>
      </c>
      <c r="K151" s="945">
        <f ca="1">SUMIF(Waterfall!3:3,K$179,Waterfall!58:58)</f>
        <v>207.44856843000002</v>
      </c>
      <c r="L151" s="946">
        <f>SUMIF(Waterfall!3:3,L$179,Waterfall!58:58)</f>
        <v>201.82958760921946</v>
      </c>
      <c r="M151" s="946">
        <f ca="1">SUMIF(Waterfall!3:3,M$179,Waterfall!58:58)</f>
        <v>204.74169147021698</v>
      </c>
      <c r="N151" s="946">
        <f ca="1">SUMIF(Waterfall!3:3,N$179,Waterfall!58:58)</f>
        <v>208.79578871252701</v>
      </c>
      <c r="O151" s="946">
        <f ca="1">SUMIF(Waterfall!3:3,O$179,Waterfall!58:58)</f>
        <v>211.82016455904076</v>
      </c>
      <c r="P151" s="946">
        <f ca="1">SUMIF(Waterfall!3:3,P$179,Waterfall!58:58)</f>
        <v>215.76781183631485</v>
      </c>
      <c r="Q151" s="946">
        <f ca="1">SUMIF(Waterfall!3:3,Q$179,Waterfall!58:58)</f>
        <v>218.20411225842153</v>
      </c>
      <c r="R151" s="946">
        <f ca="1">SUMIF(Waterfall!3:3,R$179,Waterfall!58:58)</f>
        <v>222.58931894341774</v>
      </c>
      <c r="S151" s="946">
        <f ca="1">SUMIF(Waterfall!3:3,S$179,Waterfall!58:58)</f>
        <v>229.17060771566105</v>
      </c>
      <c r="T151" s="946">
        <f ca="1">SUMIF(Waterfall!3:3,T$179,Waterfall!58:58)</f>
        <v>234.83641789365353</v>
      </c>
      <c r="U151" s="946">
        <f ca="1">SUMIF(Waterfall!3:3,U$179,Waterfall!58:58)</f>
        <v>238.06183861730617</v>
      </c>
      <c r="V151" s="946">
        <f ca="1">SUMIF(Waterfall!3:3,V$179,Waterfall!58:58)</f>
        <v>242.27932279896888</v>
      </c>
      <c r="W151" s="946">
        <f ca="1">SUMIF(Waterfall!3:3,W$179,Waterfall!58:58)</f>
        <v>246.45949208584727</v>
      </c>
      <c r="X151" s="946">
        <f ca="1">SUMIF(Waterfall!3:3,X$179,Waterfall!58:58)</f>
        <v>251.22741712151822</v>
      </c>
      <c r="Y151" s="946">
        <f ca="1">SUMIF(Waterfall!3:3,Y$179,Waterfall!58:58)</f>
        <v>253.41902539256319</v>
      </c>
      <c r="Z151" s="946">
        <f ca="1">SUMIF(Waterfall!3:3,Z$179,Waterfall!58:58)</f>
        <v>257.78866531306249</v>
      </c>
      <c r="AA151" s="946">
        <f ca="1">SUMIF(Waterfall!3:3,AA$179,Waterfall!58:58)</f>
        <v>260.3830283682837</v>
      </c>
      <c r="AB151" s="946">
        <f ca="1">SUMIF(Waterfall!3:3,AB$179,Waterfall!58:58)</f>
        <v>264.93440291912833</v>
      </c>
      <c r="AC151" s="946">
        <f ca="1">SUMIF(Waterfall!3:3,AC$179,Waterfall!58:58)</f>
        <v>267.6811749696638</v>
      </c>
      <c r="AD151" s="946">
        <f ca="1">SUMIF(Waterfall!3:3,AD$179,Waterfall!58:58)</f>
        <v>272.47313996075872</v>
      </c>
      <c r="AE151" s="946">
        <f ca="1">SUMIF(Waterfall!3:3,AE$179,Waterfall!58:58)</f>
        <v>275.61611440473285</v>
      </c>
      <c r="AF151" s="946">
        <f ca="1">SUMIF(Waterfall!3:3,AF$179,Waterfall!58:58)</f>
        <v>280.64380124739364</v>
      </c>
      <c r="AG151" s="946">
        <f ca="1">SUMIF(Waterfall!3:3,AG$179,Waterfall!58:58)</f>
        <v>283.51749506335557</v>
      </c>
      <c r="AH151" s="946">
        <f ca="1">SUMIF(Waterfall!3:3,AH$179,Waterfall!58:58)</f>
        <v>288.47098636629835</v>
      </c>
      <c r="AI151" s="946">
        <f ca="1">SUMIF(Waterfall!3:3,AI$179,Waterfall!58:58)</f>
        <v>291.38966866147803</v>
      </c>
      <c r="AJ151" s="946">
        <f ca="1">SUMIF(Waterfall!3:3,AJ$179,Waterfall!58:58)</f>
        <v>296.91887180534968</v>
      </c>
      <c r="AK151" s="946">
        <f ca="1">SUMIF(Waterfall!3:3,AK$179,Waterfall!58:58)</f>
        <v>299.54505233739025</v>
      </c>
      <c r="AL151" s="946">
        <f ca="1">SUMIF(Waterfall!3:3,AL$179,Waterfall!58:58)</f>
        <v>304.93136623618136</v>
      </c>
      <c r="AM151" s="946">
        <f ca="1">SUMIF(Waterfall!3:3,AM$179,Waterfall!58:58)</f>
        <v>314.07366901924667</v>
      </c>
      <c r="AN151" s="946">
        <f ca="1">SUMIF(Waterfall!3:3,AN$179,Waterfall!58:58)</f>
        <v>321.25072743110661</v>
      </c>
      <c r="AO151" s="946">
        <f ca="1">SUMIF(Waterfall!3:3,AO$179,Waterfall!58:58)</f>
        <v>325.274904057779</v>
      </c>
      <c r="AP151" s="946">
        <f ca="1">SUMIF(Waterfall!3:3,AP$179,Waterfall!58:58)</f>
        <v>331.46835623880878</v>
      </c>
      <c r="AQ151" s="946">
        <f ca="1">SUMIF(Waterfall!3:3,AQ$179,Waterfall!58:58)</f>
        <v>336.66434618053489</v>
      </c>
      <c r="AR151" s="946">
        <f ca="1">SUMIF(Waterfall!3:3,AR$179,Waterfall!58:58)</f>
        <v>343.08950414056147</v>
      </c>
      <c r="AS151" s="946">
        <f ca="1">SUMIF(Waterfall!3:3,AS$179,Waterfall!58:58)</f>
        <v>346.30270202470064</v>
      </c>
      <c r="AT151" s="946">
        <f ca="1">SUMIF(Waterfall!3:3,AT$179,Waterfall!58:58)</f>
        <v>352.15186437220245</v>
      </c>
      <c r="AU151" s="946">
        <f ca="1">SUMIF(Waterfall!3:3,AU$179,Waterfall!58:58)</f>
        <v>356.13290393736116</v>
      </c>
      <c r="AV151" s="946">
        <f ca="1">SUMIF(Waterfall!3:3,AV$179,Waterfall!58:58)</f>
        <v>362.77300570242579</v>
      </c>
      <c r="AW151" s="946">
        <f ca="1">SUMIF(Waterfall!3:3,AW$179,Waterfall!58:58)</f>
        <v>372.14034954837985</v>
      </c>
      <c r="AX151" s="946">
        <f ca="1">SUMIF(Waterfall!3:3,AX$179,Waterfall!58:58)</f>
        <v>189.07289040416495</v>
      </c>
      <c r="AY151" s="946">
        <f>SUMIF(Waterfall!3:3,AY$179,Waterfall!58:58)</f>
        <v>0</v>
      </c>
      <c r="AZ151" s="946">
        <f>SUMIF(Waterfall!3:3,AZ$179,Waterfall!58:58)</f>
        <v>0</v>
      </c>
      <c r="BA151" s="946">
        <f>SUMIF(Waterfall!3:3,BA$179,Waterfall!58:58)</f>
        <v>0</v>
      </c>
      <c r="BB151" s="946">
        <f>SUMIF(Waterfall!3:3,BB$179,Waterfall!58:58)</f>
        <v>0</v>
      </c>
    </row>
    <row r="152" spans="3:54" ht="17.100000000000001" customHeight="1">
      <c r="C152" s="1415"/>
      <c r="D152" s="1416" t="s">
        <v>1271</v>
      </c>
      <c r="E152" s="1352"/>
      <c r="F152" s="1685"/>
      <c r="G152" s="1685"/>
      <c r="H152" s="1685"/>
      <c r="I152" s="1686"/>
      <c r="J152" s="1686">
        <f>SUMIF(Waterfall!3:3,J$149,Waterfall!59:59)+SUMIF(Waterfall!3:3,J$149,Waterfall!60:60)</f>
        <v>196.06404757000001</v>
      </c>
      <c r="K152" s="1686">
        <f ca="1">SUMIF(Waterfall!3:3,K$149,Waterfall!59:59)+SUMIF(Waterfall!3:3,K$149,Waterfall!60:60)</f>
        <v>207.44856843000002</v>
      </c>
      <c r="L152" s="1353">
        <f>SUMIF(Waterfall!3:3,L$149,Waterfall!59:59)+SUMIF(Waterfall!3:3,L$149,Waterfall!60:60)</f>
        <v>131.78593949</v>
      </c>
      <c r="M152" s="1353">
        <f ca="1">SUMIF(Waterfall!3:3,M$149,Waterfall!59:59)+SUMIF(Waterfall!3:3,M$149,Waterfall!60:60)</f>
        <v>91.273983567953678</v>
      </c>
      <c r="N152" s="1353">
        <f ca="1">SUMIF(Waterfall!3:3,N$149,Waterfall!59:59)+SUMIF(Waterfall!3:3,N$149,Waterfall!60:60)</f>
        <v>208.79578871252701</v>
      </c>
      <c r="O152" s="1353">
        <f ca="1">SUMIF(Waterfall!3:3,O$149,Waterfall!59:59)+SUMIF(Waterfall!3:3,O$149,Waterfall!60:60)</f>
        <v>190.62424095020714</v>
      </c>
      <c r="P152" s="1353">
        <f ca="1">SUMIF(Waterfall!3:3,P$149,Waterfall!59:59)+SUMIF(Waterfall!3:3,P$149,Waterfall!60:60)</f>
        <v>79.476461624951128</v>
      </c>
      <c r="Q152" s="1353">
        <f ca="1">SUMIF(Waterfall!3:3,Q$149,Waterfall!59:59)+SUMIF(Waterfall!3:3,Q$149,Waterfall!60:60)</f>
        <v>109.62158114376621</v>
      </c>
      <c r="R152" s="1353">
        <f ca="1">SUMIF(Waterfall!3:3,R$149,Waterfall!59:59)+SUMIF(Waterfall!3:3,R$149,Waterfall!60:60)</f>
        <v>222.58931894341774</v>
      </c>
      <c r="S152" s="1353">
        <f ca="1">SUMIF(Waterfall!3:3,S$149,Waterfall!59:59)+SUMIF(Waterfall!3:3,S$149,Waterfall!60:60)</f>
        <v>229.17060771566105</v>
      </c>
      <c r="T152" s="1353">
        <f ca="1">SUMIF(Waterfall!3:3,T$149,Waterfall!59:59)+SUMIF(Waterfall!3:3,T$149,Waterfall!60:60)</f>
        <v>234.83641789365353</v>
      </c>
      <c r="U152" s="1353">
        <f ca="1">SUMIF(Waterfall!3:3,U$149,Waterfall!59:59)+SUMIF(Waterfall!3:3,U$149,Waterfall!60:60)</f>
        <v>238.06183861730617</v>
      </c>
      <c r="V152" s="1353">
        <f ca="1">SUMIF(Waterfall!3:3,V$149,Waterfall!59:59)+SUMIF(Waterfall!3:3,V$149,Waterfall!60:60)</f>
        <v>242.27932279896888</v>
      </c>
      <c r="W152" s="1353">
        <f ca="1">SUMIF(Waterfall!3:3,W$149,Waterfall!59:59)+SUMIF(Waterfall!3:3,W$149,Waterfall!60:60)</f>
        <v>246.45949208584727</v>
      </c>
      <c r="X152" s="1353">
        <f ca="1">SUMIF(Waterfall!3:3,X$149,Waterfall!59:59)+SUMIF(Waterfall!3:3,X$149,Waterfall!60:60)</f>
        <v>251.22741712151822</v>
      </c>
      <c r="Y152" s="1353">
        <f ca="1">SUMIF(Waterfall!3:3,Y$149,Waterfall!59:59)+SUMIF(Waterfall!3:3,Y$149,Waterfall!60:60)</f>
        <v>253.41902539256319</v>
      </c>
      <c r="Z152" s="1353">
        <f ca="1">SUMIF(Waterfall!3:3,Z$149,Waterfall!59:59)+SUMIF(Waterfall!3:3,Z$149,Waterfall!60:60)</f>
        <v>257.78866531306249</v>
      </c>
      <c r="AA152" s="1353">
        <f ca="1">SUMIF(Waterfall!3:3,AA$149,Waterfall!59:59)+SUMIF(Waterfall!3:3,AA$149,Waterfall!60:60)</f>
        <v>260.3830283682837</v>
      </c>
      <c r="AB152" s="1353">
        <f ca="1">SUMIF(Waterfall!3:3,AB$149,Waterfall!59:59)+SUMIF(Waterfall!3:3,AB$149,Waterfall!60:60)</f>
        <v>264.93440291912833</v>
      </c>
      <c r="AC152" s="1353">
        <f ca="1">SUMIF(Waterfall!3:3,AC$149,Waterfall!59:59)+SUMIF(Waterfall!3:3,AC$149,Waterfall!60:60)</f>
        <v>267.6811749696638</v>
      </c>
      <c r="AD152" s="1353">
        <f ca="1">SUMIF(Waterfall!3:3,AD$149,Waterfall!59:59)+SUMIF(Waterfall!3:3,AD$149,Waterfall!60:60)</f>
        <v>272.47313996075872</v>
      </c>
      <c r="AE152" s="1353">
        <f ca="1">SUMIF(Waterfall!3:3,AE$149,Waterfall!59:59)+SUMIF(Waterfall!3:3,AE$149,Waterfall!60:60)</f>
        <v>275.61611440473285</v>
      </c>
      <c r="AF152" s="1353">
        <f ca="1">SUMIF(Waterfall!3:3,AF$149,Waterfall!59:59)+SUMIF(Waterfall!3:3,AF$149,Waterfall!60:60)</f>
        <v>280.64380124739364</v>
      </c>
      <c r="AG152" s="1353">
        <f ca="1">SUMIF(Waterfall!3:3,AG$149,Waterfall!59:59)+SUMIF(Waterfall!3:3,AG$149,Waterfall!60:60)</f>
        <v>283.51749506335557</v>
      </c>
      <c r="AH152" s="1353">
        <f ca="1">SUMIF(Waterfall!3:3,AH$149,Waterfall!59:59)+SUMIF(Waterfall!3:3,AH$149,Waterfall!60:60)</f>
        <v>288.47098636629835</v>
      </c>
      <c r="AI152" s="1353">
        <f ca="1">SUMIF(Waterfall!3:3,AI$149,Waterfall!59:59)+SUMIF(Waterfall!3:3,AI$149,Waterfall!60:60)</f>
        <v>291.38966866147803</v>
      </c>
      <c r="AJ152" s="1353">
        <f ca="1">SUMIF(Waterfall!3:3,AJ$149,Waterfall!59:59)+SUMIF(Waterfall!3:3,AJ$149,Waterfall!60:60)</f>
        <v>296.91887180534968</v>
      </c>
      <c r="AK152" s="1353">
        <f ca="1">SUMIF(Waterfall!3:3,AK$149,Waterfall!59:59)+SUMIF(Waterfall!3:3,AK$149,Waterfall!60:60)</f>
        <v>299.54505233739025</v>
      </c>
      <c r="AL152" s="1353">
        <f ca="1">SUMIF(Waterfall!3:3,AL$149,Waterfall!59:59)+SUMIF(Waterfall!3:3,AL$149,Waterfall!60:60)</f>
        <v>304.93136623618136</v>
      </c>
      <c r="AM152" s="1353">
        <f ca="1">SUMIF(Waterfall!3:3,AM$149,Waterfall!59:59)+SUMIF(Waterfall!3:3,AM$149,Waterfall!60:60)</f>
        <v>314.07366901924667</v>
      </c>
      <c r="AN152" s="1353">
        <f ca="1">SUMIF(Waterfall!3:3,AN$149,Waterfall!59:59)+SUMIF(Waterfall!3:3,AN$149,Waterfall!60:60)</f>
        <v>321.25072743110661</v>
      </c>
      <c r="AO152" s="1353">
        <f ca="1">SUMIF(Waterfall!3:3,AO$149,Waterfall!59:59)+SUMIF(Waterfall!3:3,AO$149,Waterfall!60:60)</f>
        <v>325.274904057779</v>
      </c>
      <c r="AP152" s="1353">
        <f ca="1">SUMIF(Waterfall!3:3,AP$149,Waterfall!59:59)+SUMIF(Waterfall!3:3,AP$149,Waterfall!60:60)</f>
        <v>331.46835623880878</v>
      </c>
      <c r="AQ152" s="1353">
        <f ca="1">SUMIF(Waterfall!3:3,AQ$149,Waterfall!59:59)+SUMIF(Waterfall!3:3,AQ$149,Waterfall!60:60)</f>
        <v>336.66434618053489</v>
      </c>
      <c r="AR152" s="1353">
        <f ca="1">SUMIF(Waterfall!3:3,AR$149,Waterfall!59:59)+SUMIF(Waterfall!3:3,AR$149,Waterfall!60:60)</f>
        <v>343.08950414056147</v>
      </c>
      <c r="AS152" s="1353">
        <f ca="1">SUMIF(Waterfall!3:3,AS$149,Waterfall!59:59)+SUMIF(Waterfall!3:3,AS$149,Waterfall!60:60)</f>
        <v>346.30270202470064</v>
      </c>
      <c r="AT152" s="1353">
        <f ca="1">SUMIF(Waterfall!3:3,AT$149,Waterfall!59:59)+SUMIF(Waterfall!3:3,AT$149,Waterfall!60:60)</f>
        <v>352.15186437220245</v>
      </c>
      <c r="AU152" s="1353">
        <f ca="1">SUMIF(Waterfall!3:3,AU$149,Waterfall!59:59)+SUMIF(Waterfall!3:3,AU$149,Waterfall!60:60)</f>
        <v>356.13290393736116</v>
      </c>
      <c r="AV152" s="1353">
        <f ca="1">SUMIF(Waterfall!3:3,AV$149,Waterfall!59:59)+SUMIF(Waterfall!3:3,AV$149,Waterfall!60:60)</f>
        <v>362.77300570242579</v>
      </c>
      <c r="AW152" s="1353">
        <f ca="1">SUMIF(Waterfall!3:3,AW$149,Waterfall!59:59)+SUMIF(Waterfall!3:3,AW$149,Waterfall!60:60)</f>
        <v>372.14034954837985</v>
      </c>
      <c r="AX152" s="1353">
        <f ca="1">SUMIF(Waterfall!3:3,AX$149,Waterfall!59:59)+SUMIF(Waterfall!3:3,AX$149,Waterfall!60:60)</f>
        <v>189.07289040416495</v>
      </c>
      <c r="AY152" s="1353">
        <f ca="1">SUMIF(Waterfall!3:3,AY$149,Waterfall!59:59)+SUMIF(Waterfall!3:3,AY$149,Waterfall!60:60)</f>
        <v>0</v>
      </c>
      <c r="AZ152" s="1353">
        <f ca="1">SUMIF(Waterfall!3:3,AZ$149,Waterfall!59:59)+SUMIF(Waterfall!3:3,AZ$149,Waterfall!60:60)</f>
        <v>0</v>
      </c>
      <c r="BA152" s="1353">
        <f ca="1">SUMIF(Waterfall!3:3,BA$149,Waterfall!59:59)+SUMIF(Waterfall!3:3,BA$149,Waterfall!60:60)</f>
        <v>0</v>
      </c>
      <c r="BB152" s="1353">
        <f ca="1">SUMIF(Waterfall!3:3,BB$149,Waterfall!59:59)+SUMIF(Waterfall!3:3,BB$149,Waterfall!60:60)</f>
        <v>0</v>
      </c>
    </row>
    <row r="153" spans="3:54" ht="17.100000000000001" customHeight="1">
      <c r="C153" s="1415"/>
      <c r="D153" s="1416" t="s">
        <v>1271</v>
      </c>
      <c r="E153" s="1352"/>
      <c r="F153" s="1685"/>
      <c r="G153" s="1685"/>
      <c r="H153" s="1685"/>
      <c r="I153" s="1686"/>
      <c r="J153" s="1686">
        <f ca="1">SUMIF(Waterfall!3:3,J$179,Waterfall!61:61)</f>
        <v>0</v>
      </c>
      <c r="K153" s="1686">
        <f ca="1">SUMIF(Waterfall!3:3,K$179,Waterfall!61:61)</f>
        <v>0</v>
      </c>
      <c r="L153" s="1353">
        <f ca="1">SUMIF(Waterfall!3:3,L$179,Waterfall!61:61)</f>
        <v>0</v>
      </c>
      <c r="M153" s="1353">
        <f ca="1">SUMIF(Waterfall!3:3,M$179,Waterfall!61:61)</f>
        <v>0</v>
      </c>
      <c r="N153" s="1353">
        <f ca="1">SUMIF(Waterfall!3:3,N$179,Waterfall!61:61)</f>
        <v>0</v>
      </c>
      <c r="O153" s="1353">
        <f ca="1">SUMIF(Waterfall!3:3,O$179,Waterfall!61:61)</f>
        <v>0</v>
      </c>
      <c r="P153" s="1353">
        <f ca="1">SUMIF(Waterfall!3:3,P$179,Waterfall!61:61)</f>
        <v>0</v>
      </c>
      <c r="Q153" s="1353">
        <f ca="1">SUMIF(Waterfall!3:3,Q$179,Waterfall!61:61)</f>
        <v>0</v>
      </c>
      <c r="R153" s="1353">
        <f ca="1">SUMIF(Waterfall!3:3,R$179,Waterfall!61:61)</f>
        <v>0</v>
      </c>
      <c r="S153" s="1353">
        <f ca="1">SUMIF(Waterfall!3:3,S$179,Waterfall!61:61)</f>
        <v>0</v>
      </c>
      <c r="T153" s="1353">
        <f ca="1">SUMIF(Waterfall!3:3,T$179,Waterfall!61:61)</f>
        <v>0</v>
      </c>
      <c r="U153" s="1353">
        <f ca="1">SUMIF(Waterfall!3:3,U$179,Waterfall!61:61)</f>
        <v>0</v>
      </c>
      <c r="V153" s="1353">
        <f ca="1">SUMIF(Waterfall!3:3,V$179,Waterfall!61:61)</f>
        <v>0</v>
      </c>
      <c r="W153" s="1353">
        <f ca="1">SUMIF(Waterfall!3:3,W$179,Waterfall!61:61)</f>
        <v>0</v>
      </c>
      <c r="X153" s="1353">
        <f ca="1">SUMIF(Waterfall!3:3,X$179,Waterfall!61:61)</f>
        <v>0</v>
      </c>
      <c r="Y153" s="1353">
        <f ca="1">SUMIF(Waterfall!3:3,Y$179,Waterfall!61:61)</f>
        <v>6.9601859712643455</v>
      </c>
      <c r="Z153" s="1353">
        <f ca="1">SUMIF(Waterfall!3:3,Z$179,Waterfall!61:61)</f>
        <v>21.342732529732551</v>
      </c>
      <c r="AA153" s="1353">
        <f ca="1">SUMIF(Waterfall!3:3,AA$179,Waterfall!61:61)</f>
        <v>24.911065362358926</v>
      </c>
      <c r="AB153" s="1353">
        <f ca="1">SUMIF(Waterfall!3:3,AB$179,Waterfall!61:61)</f>
        <v>43.839672909301257</v>
      </c>
      <c r="AC153" s="1353">
        <f ca="1">SUMIF(Waterfall!3:3,AC$179,Waterfall!61:61)</f>
        <v>45.92</v>
      </c>
      <c r="AD153" s="1353">
        <f ca="1">SUMIF(Waterfall!3:3,AD$179,Waterfall!61:61)</f>
        <v>45.92</v>
      </c>
      <c r="AE153" s="1353">
        <f ca="1">SUMIF(Waterfall!3:3,AE$179,Waterfall!61:61)</f>
        <v>45.92</v>
      </c>
      <c r="AF153" s="1353">
        <f ca="1">SUMIF(Waterfall!3:3,AF$179,Waterfall!61:61)</f>
        <v>45.92</v>
      </c>
      <c r="AG153" s="1353">
        <f ca="1">SUMIF(Waterfall!3:3,AG$179,Waterfall!61:61)</f>
        <v>45.92</v>
      </c>
      <c r="AH153" s="1353">
        <f ca="1">SUMIF(Waterfall!3:3,AH$179,Waterfall!61:61)</f>
        <v>45.92</v>
      </c>
      <c r="AI153" s="1353">
        <f ca="1">SUMIF(Waterfall!3:3,AI$179,Waterfall!61:61)</f>
        <v>45.92</v>
      </c>
      <c r="AJ153" s="1353">
        <f ca="1">SUMIF(Waterfall!3:3,AJ$179,Waterfall!61:61)</f>
        <v>31.087504183678348</v>
      </c>
      <c r="AK153" s="1353">
        <f ca="1">SUMIF(Waterfall!3:3,AK$179,Waterfall!61:61)</f>
        <v>0</v>
      </c>
      <c r="AL153" s="1353">
        <f ca="1">SUMIF(Waterfall!3:3,AL$179,Waterfall!61:61)</f>
        <v>0</v>
      </c>
      <c r="AM153" s="1353">
        <f ca="1">SUMIF(Waterfall!3:3,AM$179,Waterfall!61:61)</f>
        <v>0</v>
      </c>
      <c r="AN153" s="1353">
        <f ca="1">SUMIF(Waterfall!3:3,AN$179,Waterfall!61:61)</f>
        <v>0</v>
      </c>
      <c r="AO153" s="1353">
        <f ca="1">SUMIF(Waterfall!3:3,AO$179,Waterfall!61:61)</f>
        <v>0</v>
      </c>
      <c r="AP153" s="1353">
        <f ca="1">SUMIF(Waterfall!3:3,AP$179,Waterfall!61:61)</f>
        <v>0</v>
      </c>
      <c r="AQ153" s="1353">
        <f ca="1">SUMIF(Waterfall!3:3,AQ$179,Waterfall!61:61)</f>
        <v>0</v>
      </c>
      <c r="AR153" s="1353">
        <f ca="1">SUMIF(Waterfall!3:3,AR$179,Waterfall!61:61)</f>
        <v>0</v>
      </c>
      <c r="AS153" s="1353">
        <f ca="1">SUMIF(Waterfall!3:3,AS$179,Waterfall!61:61)</f>
        <v>0</v>
      </c>
      <c r="AT153" s="1353">
        <f ca="1">SUMIF(Waterfall!3:3,AT$179,Waterfall!61:61)</f>
        <v>0</v>
      </c>
      <c r="AU153" s="1353">
        <f ca="1">SUMIF(Waterfall!3:3,AU$179,Waterfall!61:61)</f>
        <v>0</v>
      </c>
      <c r="AV153" s="1353">
        <f ca="1">SUMIF(Waterfall!3:3,AV$179,Waterfall!61:61)</f>
        <v>0</v>
      </c>
      <c r="AW153" s="1353">
        <f ca="1">SUMIF(Waterfall!3:3,AW$179,Waterfall!61:61)</f>
        <v>0</v>
      </c>
      <c r="AX153" s="1353">
        <f ca="1">SUMIF(Waterfall!3:3,AX$179,Waterfall!61:61)</f>
        <v>0</v>
      </c>
      <c r="AY153" s="1353">
        <f ca="1">SUMIF(Waterfall!3:3,AY$179,Waterfall!61:61)</f>
        <v>0</v>
      </c>
      <c r="AZ153" s="1353">
        <f ca="1">SUMIF(Waterfall!3:3,AZ$179,Waterfall!61:61)</f>
        <v>0</v>
      </c>
      <c r="BA153" s="1353">
        <f ca="1">SUMIF(Waterfall!3:3,BA$179,Waterfall!61:61)</f>
        <v>0</v>
      </c>
      <c r="BB153" s="1353">
        <f ca="1">SUMIF(Waterfall!3:3,BB$179,Waterfall!61:61)</f>
        <v>0</v>
      </c>
    </row>
    <row r="154" spans="3:54" ht="17.100000000000001" customHeight="1">
      <c r="C154" s="952"/>
      <c r="D154" s="777" t="s">
        <v>1096</v>
      </c>
      <c r="E154" s="747"/>
      <c r="F154" s="1668"/>
      <c r="G154" s="1668"/>
      <c r="H154" s="1668"/>
      <c r="I154" s="1639"/>
      <c r="J154" s="1639">
        <f ca="1">ROUND(J150+J151-J152-J153,6)</f>
        <v>0</v>
      </c>
      <c r="K154" s="1687">
        <v>0</v>
      </c>
      <c r="L154" s="954">
        <f ca="1">IF(ROUND(L150+L151-L152-L153,6)&lt;0.00001,0,ROUND(L150+L151-L152-L153,6))</f>
        <v>70.043648000000005</v>
      </c>
      <c r="M154" s="954">
        <f t="shared" ref="M154:BB154" ca="1" si="84">IF(ROUND(M150+M151-M152-M153,6)&lt;0.00001,0,ROUND(M150+M151-M152-M153,6))</f>
        <v>183.51135600000001</v>
      </c>
      <c r="N154" s="954">
        <f t="shared" ca="1" si="84"/>
        <v>183.51135600000001</v>
      </c>
      <c r="O154" s="954">
        <f t="shared" ca="1" si="84"/>
        <v>204.70728</v>
      </c>
      <c r="P154" s="954">
        <f t="shared" ca="1" si="84"/>
        <v>340.99862999999999</v>
      </c>
      <c r="Q154" s="954">
        <f t="shared" ca="1" si="84"/>
        <v>449.58116100000001</v>
      </c>
      <c r="R154" s="954">
        <f t="shared" ca="1" si="84"/>
        <v>449.58116100000001</v>
      </c>
      <c r="S154" s="954">
        <f t="shared" ca="1" si="84"/>
        <v>449.58116100000001</v>
      </c>
      <c r="T154" s="954">
        <f t="shared" ca="1" si="84"/>
        <v>449.58116100000001</v>
      </c>
      <c r="U154" s="954">
        <f t="shared" ca="1" si="84"/>
        <v>449.58116100000001</v>
      </c>
      <c r="V154" s="954">
        <f t="shared" ca="1" si="84"/>
        <v>449.58116100000001</v>
      </c>
      <c r="W154" s="954">
        <f t="shared" ca="1" si="84"/>
        <v>449.58116100000001</v>
      </c>
      <c r="X154" s="954">
        <f t="shared" ca="1" si="84"/>
        <v>449.58116100000001</v>
      </c>
      <c r="Y154" s="954">
        <f t="shared" ca="1" si="84"/>
        <v>442.62097499999999</v>
      </c>
      <c r="Z154" s="954">
        <f t="shared" ca="1" si="84"/>
        <v>421.27824199999998</v>
      </c>
      <c r="AA154" s="954">
        <f t="shared" ca="1" si="84"/>
        <v>396.36717700000003</v>
      </c>
      <c r="AB154" s="954">
        <f t="shared" ca="1" si="84"/>
        <v>352.52750400000002</v>
      </c>
      <c r="AC154" s="954">
        <f t="shared" ca="1" si="84"/>
        <v>306.60750400000001</v>
      </c>
      <c r="AD154" s="954">
        <f t="shared" ca="1" si="84"/>
        <v>260.68750399999999</v>
      </c>
      <c r="AE154" s="954">
        <f t="shared" ca="1" si="84"/>
        <v>214.767504</v>
      </c>
      <c r="AF154" s="954">
        <f t="shared" ca="1" si="84"/>
        <v>168.84750399999999</v>
      </c>
      <c r="AG154" s="954">
        <f t="shared" ca="1" si="84"/>
        <v>122.927504</v>
      </c>
      <c r="AH154" s="954">
        <f t="shared" ca="1" si="84"/>
        <v>77.007503999999997</v>
      </c>
      <c r="AI154" s="954">
        <f t="shared" ca="1" si="84"/>
        <v>31.087503999999999</v>
      </c>
      <c r="AJ154" s="954">
        <f t="shared" ca="1" si="84"/>
        <v>0</v>
      </c>
      <c r="AK154" s="954">
        <f t="shared" ca="1" si="84"/>
        <v>0</v>
      </c>
      <c r="AL154" s="954">
        <f t="shared" ca="1" si="84"/>
        <v>0</v>
      </c>
      <c r="AM154" s="954">
        <f t="shared" ca="1" si="84"/>
        <v>0</v>
      </c>
      <c r="AN154" s="954">
        <f t="shared" ca="1" si="84"/>
        <v>0</v>
      </c>
      <c r="AO154" s="954">
        <f t="shared" ca="1" si="84"/>
        <v>0</v>
      </c>
      <c r="AP154" s="954">
        <f t="shared" ca="1" si="84"/>
        <v>0</v>
      </c>
      <c r="AQ154" s="954">
        <f t="shared" ca="1" si="84"/>
        <v>0</v>
      </c>
      <c r="AR154" s="954">
        <f t="shared" ca="1" si="84"/>
        <v>0</v>
      </c>
      <c r="AS154" s="954">
        <f t="shared" ca="1" si="84"/>
        <v>0</v>
      </c>
      <c r="AT154" s="954">
        <f t="shared" ca="1" si="84"/>
        <v>0</v>
      </c>
      <c r="AU154" s="954">
        <f t="shared" ca="1" si="84"/>
        <v>0</v>
      </c>
      <c r="AV154" s="954">
        <f t="shared" ca="1" si="84"/>
        <v>0</v>
      </c>
      <c r="AW154" s="954">
        <f t="shared" ca="1" si="84"/>
        <v>0</v>
      </c>
      <c r="AX154" s="954">
        <f t="shared" ca="1" si="84"/>
        <v>0</v>
      </c>
      <c r="AY154" s="954">
        <f t="shared" ca="1" si="84"/>
        <v>0</v>
      </c>
      <c r="AZ154" s="954">
        <f t="shared" ca="1" si="84"/>
        <v>0</v>
      </c>
      <c r="BA154" s="954">
        <f t="shared" ca="1" si="84"/>
        <v>0</v>
      </c>
      <c r="BB154" s="954">
        <f t="shared" ca="1" si="84"/>
        <v>0</v>
      </c>
    </row>
    <row r="155" spans="3:54" ht="16.899999999999999" customHeight="1">
      <c r="D155" s="754"/>
      <c r="E155" s="755"/>
      <c r="F155" s="755"/>
      <c r="G155" s="755"/>
      <c r="H155" s="755"/>
      <c r="I155" s="934"/>
      <c r="J155" s="935"/>
      <c r="K155" s="935"/>
      <c r="L155" s="935"/>
      <c r="M155" s="935"/>
      <c r="N155" s="935"/>
      <c r="O155" s="935"/>
      <c r="P155" s="935"/>
      <c r="Q155" s="935"/>
      <c r="R155" s="935"/>
      <c r="S155" s="935"/>
      <c r="T155" s="935"/>
      <c r="U155" s="935"/>
      <c r="V155" s="935"/>
      <c r="W155" s="935"/>
      <c r="X155" s="935"/>
      <c r="Y155" s="935"/>
      <c r="Z155" s="935"/>
      <c r="AA155" s="935"/>
      <c r="AB155" s="935"/>
      <c r="AC155" s="935"/>
      <c r="AD155" s="935"/>
      <c r="AE155" s="935"/>
      <c r="AF155" s="935"/>
      <c r="AG155" s="935"/>
      <c r="AH155" s="935"/>
      <c r="AI155" s="935"/>
      <c r="AJ155" s="935"/>
      <c r="AK155" s="935"/>
      <c r="AL155" s="935"/>
      <c r="AM155" s="935"/>
      <c r="AN155" s="935"/>
      <c r="AO155" s="935"/>
      <c r="AP155" s="935"/>
      <c r="AQ155" s="935"/>
      <c r="AR155" s="935"/>
      <c r="AS155" s="935"/>
      <c r="AT155" s="935"/>
      <c r="AU155" s="935"/>
      <c r="AV155" s="935"/>
      <c r="AW155" s="935"/>
      <c r="AX155" s="935"/>
      <c r="AY155" s="935"/>
      <c r="AZ155" s="935"/>
      <c r="BA155" s="935"/>
    </row>
    <row r="156" spans="3:54" ht="17.100000000000001" customHeight="1">
      <c r="C156" s="302" t="s">
        <v>1374</v>
      </c>
      <c r="I156" s="1738"/>
      <c r="J156" s="1714"/>
      <c r="K156" s="1714"/>
      <c r="L156" s="1714"/>
      <c r="M156" s="1714"/>
      <c r="N156" s="1714"/>
      <c r="O156" s="1714"/>
      <c r="P156" s="1714"/>
      <c r="Q156" s="1714"/>
      <c r="R156" s="1714"/>
      <c r="S156" s="1714"/>
      <c r="T156" s="1714"/>
      <c r="U156" s="1714"/>
      <c r="V156" s="1714"/>
      <c r="W156" s="788"/>
      <c r="X156" s="788"/>
      <c r="Y156" s="788"/>
      <c r="Z156" s="788"/>
      <c r="AA156" s="788"/>
      <c r="AB156" s="788"/>
      <c r="AC156" s="788"/>
      <c r="AD156" s="788"/>
      <c r="AE156" s="788"/>
      <c r="AF156" s="788"/>
      <c r="AG156" s="788"/>
      <c r="AH156" s="788"/>
      <c r="AI156" s="788"/>
      <c r="AJ156" s="788"/>
      <c r="AK156" s="788"/>
      <c r="AL156" s="788"/>
      <c r="AM156" s="788"/>
      <c r="AN156" s="788"/>
      <c r="AO156" s="788"/>
      <c r="AP156" s="788"/>
      <c r="AQ156" s="788"/>
      <c r="AR156" s="788"/>
      <c r="AS156" s="788"/>
      <c r="AT156" s="788"/>
      <c r="AU156" s="788"/>
      <c r="AV156" s="788"/>
      <c r="AW156" s="788"/>
      <c r="AX156" s="788"/>
      <c r="AY156" s="788"/>
      <c r="AZ156" s="788"/>
      <c r="BA156" s="788"/>
      <c r="BB156" s="788"/>
    </row>
    <row r="157" spans="3:54" ht="17.100000000000001" customHeight="1">
      <c r="C157" s="717"/>
      <c r="D157" s="718" t="s">
        <v>780</v>
      </c>
      <c r="E157" s="719"/>
      <c r="F157" s="718"/>
      <c r="G157" s="718"/>
      <c r="H157" s="718"/>
      <c r="I157" s="1684">
        <f>I$112</f>
        <v>2018</v>
      </c>
      <c r="J157" s="766">
        <f t="shared" ref="J157:BB157" si="85">J$112</f>
        <v>2019</v>
      </c>
      <c r="K157" s="766">
        <f t="shared" si="85"/>
        <v>2020</v>
      </c>
      <c r="L157" s="766">
        <f t="shared" si="85"/>
        <v>2021</v>
      </c>
      <c r="M157" s="766">
        <f t="shared" si="85"/>
        <v>2022</v>
      </c>
      <c r="N157" s="766">
        <f t="shared" si="85"/>
        <v>2023</v>
      </c>
      <c r="O157" s="766">
        <f t="shared" si="85"/>
        <v>2024</v>
      </c>
      <c r="P157" s="766">
        <f t="shared" si="85"/>
        <v>2025</v>
      </c>
      <c r="Q157" s="766">
        <f t="shared" si="85"/>
        <v>2026</v>
      </c>
      <c r="R157" s="766">
        <f t="shared" si="85"/>
        <v>2027</v>
      </c>
      <c r="S157" s="766">
        <f t="shared" si="85"/>
        <v>2028</v>
      </c>
      <c r="T157" s="766">
        <f t="shared" si="85"/>
        <v>2029</v>
      </c>
      <c r="U157" s="766">
        <f t="shared" si="85"/>
        <v>2030</v>
      </c>
      <c r="V157" s="766">
        <f t="shared" si="85"/>
        <v>2031</v>
      </c>
      <c r="W157" s="766">
        <f t="shared" si="85"/>
        <v>2032</v>
      </c>
      <c r="X157" s="766">
        <f t="shared" si="85"/>
        <v>2033</v>
      </c>
      <c r="Y157" s="766">
        <f t="shared" si="85"/>
        <v>2034</v>
      </c>
      <c r="Z157" s="766">
        <f t="shared" si="85"/>
        <v>2035</v>
      </c>
      <c r="AA157" s="766">
        <f t="shared" si="85"/>
        <v>2036</v>
      </c>
      <c r="AB157" s="766">
        <f t="shared" si="85"/>
        <v>2037</v>
      </c>
      <c r="AC157" s="766">
        <f t="shared" si="85"/>
        <v>2038</v>
      </c>
      <c r="AD157" s="766">
        <f t="shared" si="85"/>
        <v>2039</v>
      </c>
      <c r="AE157" s="766">
        <f t="shared" si="85"/>
        <v>2040</v>
      </c>
      <c r="AF157" s="766">
        <f t="shared" si="85"/>
        <v>2041</v>
      </c>
      <c r="AG157" s="766">
        <f t="shared" si="85"/>
        <v>2042</v>
      </c>
      <c r="AH157" s="766">
        <f t="shared" si="85"/>
        <v>2043</v>
      </c>
      <c r="AI157" s="766">
        <f t="shared" si="85"/>
        <v>2044</v>
      </c>
      <c r="AJ157" s="766">
        <f t="shared" si="85"/>
        <v>2045</v>
      </c>
      <c r="AK157" s="766">
        <f t="shared" si="85"/>
        <v>2046</v>
      </c>
      <c r="AL157" s="766">
        <f t="shared" si="85"/>
        <v>2047</v>
      </c>
      <c r="AM157" s="766">
        <f t="shared" si="85"/>
        <v>2048</v>
      </c>
      <c r="AN157" s="766">
        <f t="shared" si="85"/>
        <v>2049</v>
      </c>
      <c r="AO157" s="766">
        <f t="shared" si="85"/>
        <v>2050</v>
      </c>
      <c r="AP157" s="766">
        <f t="shared" si="85"/>
        <v>2051</v>
      </c>
      <c r="AQ157" s="766">
        <f t="shared" si="85"/>
        <v>2052</v>
      </c>
      <c r="AR157" s="766">
        <f t="shared" si="85"/>
        <v>2053</v>
      </c>
      <c r="AS157" s="766">
        <f t="shared" si="85"/>
        <v>2054</v>
      </c>
      <c r="AT157" s="766">
        <f t="shared" si="85"/>
        <v>2055</v>
      </c>
      <c r="AU157" s="766">
        <f t="shared" si="85"/>
        <v>2056</v>
      </c>
      <c r="AV157" s="766">
        <f t="shared" si="85"/>
        <v>2057</v>
      </c>
      <c r="AW157" s="766">
        <f t="shared" si="85"/>
        <v>2058</v>
      </c>
      <c r="AX157" s="766">
        <f t="shared" si="85"/>
        <v>2059</v>
      </c>
      <c r="AY157" s="766">
        <f t="shared" si="85"/>
        <v>2060</v>
      </c>
      <c r="AZ157" s="766">
        <f t="shared" si="85"/>
        <v>2061</v>
      </c>
      <c r="BA157" s="766">
        <f t="shared" si="85"/>
        <v>2062</v>
      </c>
      <c r="BB157" s="766">
        <f t="shared" si="85"/>
        <v>2063</v>
      </c>
    </row>
    <row r="158" spans="3:54" ht="17.100000000000001" customHeight="1">
      <c r="C158" s="720"/>
      <c r="D158" s="774" t="s">
        <v>1080</v>
      </c>
      <c r="E158" s="722"/>
      <c r="F158" s="1625"/>
      <c r="G158" s="1625"/>
      <c r="H158" s="1625"/>
      <c r="I158" s="1666"/>
      <c r="J158" s="1666"/>
      <c r="K158" s="1666"/>
      <c r="L158" s="1360"/>
      <c r="M158" s="1360"/>
      <c r="N158" s="1360"/>
      <c r="O158" s="1360"/>
      <c r="P158" s="1360"/>
      <c r="Q158" s="1360"/>
      <c r="R158" s="1360"/>
      <c r="S158" s="1360"/>
      <c r="T158" s="1360"/>
      <c r="U158" s="1360"/>
      <c r="V158" s="1360"/>
      <c r="W158" s="1360"/>
      <c r="X158" s="1360"/>
      <c r="Y158" s="1360"/>
      <c r="Z158" s="1360"/>
      <c r="AA158" s="1360"/>
      <c r="AB158" s="1360"/>
      <c r="AC158" s="1360"/>
      <c r="AD158" s="1360"/>
      <c r="AE158" s="1360"/>
      <c r="AF158" s="1360"/>
      <c r="AG158" s="1360"/>
      <c r="AH158" s="1360"/>
      <c r="AI158" s="1360"/>
      <c r="AJ158" s="1360"/>
      <c r="AK158" s="1360"/>
      <c r="AL158" s="1360"/>
      <c r="AM158" s="1360"/>
      <c r="AN158" s="1360"/>
      <c r="AO158" s="1360"/>
      <c r="AP158" s="1360"/>
      <c r="AQ158" s="1360"/>
      <c r="AR158" s="1360"/>
      <c r="AS158" s="1360"/>
      <c r="AT158" s="1360"/>
      <c r="AU158" s="1360"/>
      <c r="AV158" s="1360"/>
      <c r="AW158" s="1360"/>
      <c r="AX158" s="1360"/>
      <c r="AY158" s="1360"/>
      <c r="AZ158" s="1360"/>
      <c r="BA158" s="1360"/>
      <c r="BB158" s="1360"/>
    </row>
    <row r="159" spans="3:54" ht="17.100000000000001" customHeight="1">
      <c r="C159" s="1409"/>
      <c r="D159" s="1410" t="s">
        <v>1270</v>
      </c>
      <c r="E159" s="1411"/>
      <c r="F159" s="1667"/>
      <c r="G159" s="1667"/>
      <c r="H159" s="1667"/>
      <c r="I159" s="945"/>
      <c r="J159" s="945"/>
      <c r="K159" s="945"/>
      <c r="L159" s="946"/>
      <c r="M159" s="946"/>
      <c r="N159" s="946"/>
      <c r="O159" s="946"/>
      <c r="P159" s="946"/>
      <c r="Q159" s="946"/>
      <c r="R159" s="946"/>
      <c r="S159" s="946"/>
      <c r="T159" s="946"/>
      <c r="U159" s="946"/>
      <c r="V159" s="946"/>
      <c r="W159" s="946"/>
      <c r="X159" s="946"/>
      <c r="Y159" s="946"/>
      <c r="Z159" s="946"/>
      <c r="AA159" s="946"/>
      <c r="AB159" s="946"/>
      <c r="AC159" s="946"/>
      <c r="AD159" s="946"/>
      <c r="AE159" s="946"/>
      <c r="AF159" s="946"/>
      <c r="AG159" s="946"/>
      <c r="AH159" s="946"/>
      <c r="AI159" s="946"/>
      <c r="AJ159" s="946"/>
      <c r="AK159" s="946"/>
      <c r="AL159" s="946"/>
      <c r="AM159" s="946"/>
      <c r="AN159" s="946"/>
      <c r="AO159" s="946"/>
      <c r="AP159" s="946"/>
      <c r="AQ159" s="946"/>
      <c r="AR159" s="946"/>
      <c r="AS159" s="946"/>
      <c r="AT159" s="946"/>
      <c r="AU159" s="946"/>
      <c r="AV159" s="946"/>
      <c r="AW159" s="946"/>
      <c r="AX159" s="946"/>
      <c r="AY159" s="946"/>
      <c r="AZ159" s="946"/>
      <c r="BA159" s="946"/>
      <c r="BB159" s="946"/>
    </row>
    <row r="160" spans="3:54" ht="17.100000000000001" customHeight="1">
      <c r="C160" s="1415"/>
      <c r="D160" s="1416" t="s">
        <v>1271</v>
      </c>
      <c r="E160" s="1352"/>
      <c r="F160" s="1685"/>
      <c r="G160" s="1685"/>
      <c r="H160" s="1685"/>
      <c r="I160" s="1686"/>
      <c r="J160" s="1686"/>
      <c r="K160" s="1686"/>
      <c r="L160" s="1353"/>
      <c r="M160" s="1353"/>
      <c r="N160" s="1353"/>
      <c r="O160" s="1353"/>
      <c r="P160" s="1353"/>
      <c r="Q160" s="1353"/>
      <c r="R160" s="1353"/>
      <c r="S160" s="1353"/>
      <c r="T160" s="1353"/>
      <c r="U160" s="1353"/>
      <c r="V160" s="1353"/>
      <c r="W160" s="1353"/>
      <c r="X160" s="1353"/>
      <c r="Y160" s="1353"/>
      <c r="Z160" s="1353"/>
      <c r="AA160" s="1353"/>
      <c r="AB160" s="1353"/>
      <c r="AC160" s="1353"/>
      <c r="AD160" s="1353"/>
      <c r="AE160" s="1353"/>
      <c r="AF160" s="1353"/>
      <c r="AG160" s="1353"/>
      <c r="AH160" s="1353"/>
      <c r="AI160" s="1353"/>
      <c r="AJ160" s="1353"/>
      <c r="AK160" s="1353"/>
      <c r="AL160" s="1353"/>
      <c r="AM160" s="1353"/>
      <c r="AN160" s="1353"/>
      <c r="AO160" s="1353"/>
      <c r="AP160" s="1353"/>
      <c r="AQ160" s="1353"/>
      <c r="AR160" s="1353"/>
      <c r="AS160" s="1353"/>
      <c r="AT160" s="1353"/>
      <c r="AU160" s="1353"/>
      <c r="AV160" s="1353"/>
      <c r="AW160" s="1353"/>
      <c r="AX160" s="1353"/>
      <c r="AY160" s="1353"/>
      <c r="AZ160" s="1353"/>
      <c r="BA160" s="1353"/>
      <c r="BB160" s="1353"/>
    </row>
    <row r="161" spans="3:186" ht="17.100000000000001" customHeight="1">
      <c r="C161" s="952"/>
      <c r="D161" s="777" t="s">
        <v>1096</v>
      </c>
      <c r="E161" s="747"/>
      <c r="F161" s="1668"/>
      <c r="G161" s="1668"/>
      <c r="H161" s="1668"/>
      <c r="I161" s="1639"/>
      <c r="J161" s="1639"/>
      <c r="K161" s="1639"/>
      <c r="L161" s="954"/>
      <c r="M161" s="954"/>
      <c r="N161" s="954"/>
      <c r="O161" s="954"/>
      <c r="P161" s="954"/>
      <c r="Q161" s="954"/>
      <c r="R161" s="954"/>
      <c r="S161" s="954"/>
      <c r="T161" s="954"/>
      <c r="U161" s="954"/>
      <c r="V161" s="954"/>
      <c r="W161" s="954"/>
      <c r="X161" s="954"/>
      <c r="Y161" s="954"/>
      <c r="Z161" s="954"/>
      <c r="AA161" s="954"/>
      <c r="AB161" s="954"/>
      <c r="AC161" s="954"/>
      <c r="AD161" s="954"/>
      <c r="AE161" s="954"/>
      <c r="AF161" s="954"/>
      <c r="AG161" s="954"/>
      <c r="AH161" s="954"/>
      <c r="AI161" s="954"/>
      <c r="AJ161" s="954"/>
      <c r="AK161" s="954"/>
      <c r="AL161" s="954"/>
      <c r="AM161" s="954"/>
      <c r="AN161" s="954"/>
      <c r="AO161" s="954"/>
      <c r="AP161" s="954"/>
      <c r="AQ161" s="954"/>
      <c r="AR161" s="954"/>
      <c r="AS161" s="954"/>
      <c r="AT161" s="954"/>
      <c r="AU161" s="954"/>
      <c r="AV161" s="954"/>
      <c r="AW161" s="954"/>
      <c r="AX161" s="954"/>
      <c r="AY161" s="954"/>
      <c r="AZ161" s="954"/>
      <c r="BA161" s="954"/>
      <c r="BB161" s="954"/>
    </row>
    <row r="162" spans="3:186" ht="17.100000000000001" customHeight="1">
      <c r="D162" s="754"/>
      <c r="E162" s="755"/>
      <c r="F162" s="755"/>
      <c r="G162" s="755"/>
      <c r="H162" s="755"/>
      <c r="I162" s="934"/>
      <c r="J162" s="935"/>
      <c r="K162" s="935"/>
      <c r="L162" s="935"/>
      <c r="M162" s="935"/>
      <c r="N162" s="935"/>
      <c r="O162" s="935"/>
      <c r="P162" s="935"/>
      <c r="Q162" s="935"/>
      <c r="R162" s="935"/>
      <c r="S162" s="935"/>
      <c r="T162" s="935"/>
      <c r="U162" s="935"/>
      <c r="V162" s="935"/>
      <c r="W162" s="935"/>
      <c r="X162" s="935"/>
      <c r="Y162" s="935"/>
      <c r="Z162" s="935"/>
      <c r="AA162" s="935"/>
      <c r="AB162" s="935"/>
      <c r="AC162" s="935"/>
      <c r="AD162" s="935"/>
      <c r="AE162" s="935"/>
      <c r="AF162" s="935"/>
      <c r="AG162" s="935"/>
      <c r="AH162" s="935"/>
      <c r="AI162" s="935"/>
      <c r="AJ162" s="935"/>
      <c r="AK162" s="935"/>
      <c r="AL162" s="935"/>
      <c r="AM162" s="935"/>
      <c r="AN162" s="935"/>
      <c r="AO162" s="935"/>
      <c r="AP162" s="935"/>
      <c r="AQ162" s="935"/>
      <c r="AR162" s="935"/>
      <c r="AS162" s="935"/>
      <c r="AT162" s="935"/>
      <c r="AU162" s="935"/>
      <c r="AV162" s="935"/>
      <c r="AW162" s="935"/>
      <c r="AX162" s="935"/>
      <c r="AY162" s="935"/>
      <c r="AZ162" s="935"/>
      <c r="BA162" s="935"/>
    </row>
    <row r="163" spans="3:186" ht="17.100000000000001" customHeight="1">
      <c r="C163" s="302" t="s">
        <v>1375</v>
      </c>
      <c r="I163" s="1713"/>
      <c r="J163" s="1713"/>
      <c r="K163" s="1713"/>
      <c r="L163" s="1713"/>
      <c r="M163" s="1714"/>
      <c r="N163" s="1714"/>
      <c r="O163" s="1714"/>
      <c r="P163" s="1714"/>
      <c r="Q163" s="1714"/>
      <c r="R163" s="1714"/>
      <c r="S163" s="1714"/>
      <c r="T163" s="1714"/>
      <c r="U163" s="1714"/>
      <c r="V163" s="1714"/>
      <c r="W163" s="788"/>
      <c r="X163" s="788"/>
      <c r="Y163" s="788"/>
      <c r="Z163" s="788"/>
      <c r="AA163" s="788"/>
      <c r="AB163" s="788"/>
      <c r="AC163" s="788"/>
      <c r="AD163" s="788"/>
      <c r="AE163" s="788"/>
      <c r="AF163" s="788"/>
      <c r="AG163" s="788"/>
      <c r="AH163" s="788"/>
      <c r="AI163" s="788"/>
      <c r="AJ163" s="788"/>
      <c r="AK163" s="788"/>
      <c r="AL163" s="788"/>
      <c r="AM163" s="788"/>
      <c r="AN163" s="788"/>
      <c r="AO163" s="788"/>
      <c r="AP163" s="788"/>
      <c r="AQ163" s="788"/>
      <c r="AR163" s="788"/>
      <c r="AS163" s="788"/>
      <c r="AT163" s="788"/>
      <c r="AU163" s="788"/>
      <c r="AV163" s="788"/>
      <c r="AW163" s="788"/>
      <c r="AX163" s="788"/>
      <c r="AY163" s="788"/>
      <c r="AZ163" s="788"/>
      <c r="BA163" s="788"/>
      <c r="BB163" s="788"/>
    </row>
    <row r="164" spans="3:186" ht="17.100000000000001" customHeight="1">
      <c r="C164" s="717"/>
      <c r="D164" s="718" t="s">
        <v>780</v>
      </c>
      <c r="E164" s="719"/>
      <c r="F164" s="718"/>
      <c r="G164" s="718"/>
      <c r="H164" s="718"/>
      <c r="I164" s="911">
        <f>I134</f>
        <v>43465</v>
      </c>
      <c r="J164" s="912">
        <f>기준분기</f>
        <v>43555</v>
      </c>
      <c r="K164" s="912">
        <f t="shared" ref="K164:BV164" si="86">EOMONTH(J164,3)</f>
        <v>43646</v>
      </c>
      <c r="L164" s="912">
        <f t="shared" si="86"/>
        <v>43738</v>
      </c>
      <c r="M164" s="913">
        <f t="shared" si="86"/>
        <v>43830</v>
      </c>
      <c r="N164" s="911">
        <f t="shared" si="86"/>
        <v>43921</v>
      </c>
      <c r="O164" s="912">
        <f t="shared" si="86"/>
        <v>44012</v>
      </c>
      <c r="P164" s="912">
        <f t="shared" si="86"/>
        <v>44104</v>
      </c>
      <c r="Q164" s="913">
        <f t="shared" si="86"/>
        <v>44196</v>
      </c>
      <c r="R164" s="911">
        <f t="shared" si="86"/>
        <v>44286</v>
      </c>
      <c r="S164" s="912">
        <f t="shared" si="86"/>
        <v>44377</v>
      </c>
      <c r="T164" s="912">
        <f t="shared" si="86"/>
        <v>44469</v>
      </c>
      <c r="U164" s="913">
        <f t="shared" si="86"/>
        <v>44561</v>
      </c>
      <c r="V164" s="911">
        <f t="shared" si="86"/>
        <v>44651</v>
      </c>
      <c r="W164" s="912">
        <f t="shared" si="86"/>
        <v>44742</v>
      </c>
      <c r="X164" s="912">
        <f t="shared" si="86"/>
        <v>44834</v>
      </c>
      <c r="Y164" s="913">
        <f t="shared" si="86"/>
        <v>44926</v>
      </c>
      <c r="Z164" s="911">
        <f t="shared" si="86"/>
        <v>45016</v>
      </c>
      <c r="AA164" s="912">
        <f t="shared" si="86"/>
        <v>45107</v>
      </c>
      <c r="AB164" s="912">
        <f t="shared" si="86"/>
        <v>45199</v>
      </c>
      <c r="AC164" s="913">
        <f t="shared" si="86"/>
        <v>45291</v>
      </c>
      <c r="AD164" s="911">
        <f t="shared" si="86"/>
        <v>45382</v>
      </c>
      <c r="AE164" s="912">
        <f t="shared" si="86"/>
        <v>45473</v>
      </c>
      <c r="AF164" s="912">
        <f t="shared" si="86"/>
        <v>45565</v>
      </c>
      <c r="AG164" s="913">
        <f t="shared" si="86"/>
        <v>45657</v>
      </c>
      <c r="AH164" s="911">
        <f t="shared" si="86"/>
        <v>45747</v>
      </c>
      <c r="AI164" s="912">
        <f t="shared" si="86"/>
        <v>45838</v>
      </c>
      <c r="AJ164" s="912">
        <f t="shared" si="86"/>
        <v>45930</v>
      </c>
      <c r="AK164" s="913">
        <f t="shared" si="86"/>
        <v>46022</v>
      </c>
      <c r="AL164" s="911">
        <f t="shared" si="86"/>
        <v>46112</v>
      </c>
      <c r="AM164" s="912">
        <f t="shared" si="86"/>
        <v>46203</v>
      </c>
      <c r="AN164" s="912">
        <f t="shared" si="86"/>
        <v>46295</v>
      </c>
      <c r="AO164" s="913">
        <f t="shared" si="86"/>
        <v>46387</v>
      </c>
      <c r="AP164" s="911">
        <f t="shared" si="86"/>
        <v>46477</v>
      </c>
      <c r="AQ164" s="912">
        <f t="shared" si="86"/>
        <v>46568</v>
      </c>
      <c r="AR164" s="912">
        <f t="shared" si="86"/>
        <v>46660</v>
      </c>
      <c r="AS164" s="913">
        <f t="shared" si="86"/>
        <v>46752</v>
      </c>
      <c r="AT164" s="911">
        <f t="shared" si="86"/>
        <v>46843</v>
      </c>
      <c r="AU164" s="912">
        <f t="shared" si="86"/>
        <v>46934</v>
      </c>
      <c r="AV164" s="912">
        <f t="shared" si="86"/>
        <v>47026</v>
      </c>
      <c r="AW164" s="913">
        <f t="shared" si="86"/>
        <v>47118</v>
      </c>
      <c r="AX164" s="911">
        <f t="shared" si="86"/>
        <v>47208</v>
      </c>
      <c r="AY164" s="912">
        <f t="shared" si="86"/>
        <v>47299</v>
      </c>
      <c r="AZ164" s="912">
        <f t="shared" si="86"/>
        <v>47391</v>
      </c>
      <c r="BA164" s="913">
        <f t="shared" si="86"/>
        <v>47483</v>
      </c>
      <c r="BB164" s="911">
        <f t="shared" si="86"/>
        <v>47573</v>
      </c>
      <c r="BC164" s="912">
        <f t="shared" si="86"/>
        <v>47664</v>
      </c>
      <c r="BD164" s="912">
        <f t="shared" si="86"/>
        <v>47756</v>
      </c>
      <c r="BE164" s="912">
        <f t="shared" si="86"/>
        <v>47848</v>
      </c>
      <c r="BF164" s="912">
        <f t="shared" si="86"/>
        <v>47938</v>
      </c>
      <c r="BG164" s="912">
        <f t="shared" si="86"/>
        <v>48029</v>
      </c>
      <c r="BH164" s="912">
        <f t="shared" si="86"/>
        <v>48121</v>
      </c>
      <c r="BI164" s="912">
        <f t="shared" si="86"/>
        <v>48213</v>
      </c>
      <c r="BJ164" s="912">
        <f t="shared" si="86"/>
        <v>48304</v>
      </c>
      <c r="BK164" s="912">
        <f t="shared" si="86"/>
        <v>48395</v>
      </c>
      <c r="BL164" s="912">
        <f t="shared" si="86"/>
        <v>48487</v>
      </c>
      <c r="BM164" s="912">
        <f t="shared" si="86"/>
        <v>48579</v>
      </c>
      <c r="BN164" s="912">
        <f t="shared" si="86"/>
        <v>48669</v>
      </c>
      <c r="BO164" s="912">
        <f t="shared" si="86"/>
        <v>48760</v>
      </c>
      <c r="BP164" s="912">
        <f t="shared" si="86"/>
        <v>48852</v>
      </c>
      <c r="BQ164" s="912">
        <f t="shared" si="86"/>
        <v>48944</v>
      </c>
      <c r="BR164" s="912">
        <f t="shared" si="86"/>
        <v>49034</v>
      </c>
      <c r="BS164" s="912">
        <f t="shared" si="86"/>
        <v>49125</v>
      </c>
      <c r="BT164" s="912">
        <f t="shared" si="86"/>
        <v>49217</v>
      </c>
      <c r="BU164" s="912">
        <f t="shared" si="86"/>
        <v>49309</v>
      </c>
      <c r="BV164" s="912">
        <f t="shared" si="86"/>
        <v>49399</v>
      </c>
      <c r="BW164" s="912">
        <f t="shared" ref="BW164:EH164" si="87">EOMONTH(BV164,3)</f>
        <v>49490</v>
      </c>
      <c r="BX164" s="912">
        <f t="shared" si="87"/>
        <v>49582</v>
      </c>
      <c r="BY164" s="912">
        <f t="shared" si="87"/>
        <v>49674</v>
      </c>
      <c r="BZ164" s="912">
        <f t="shared" si="87"/>
        <v>49765</v>
      </c>
      <c r="CA164" s="912">
        <f t="shared" si="87"/>
        <v>49856</v>
      </c>
      <c r="CB164" s="912">
        <f t="shared" si="87"/>
        <v>49948</v>
      </c>
      <c r="CC164" s="912">
        <f t="shared" si="87"/>
        <v>50040</v>
      </c>
      <c r="CD164" s="912">
        <f t="shared" si="87"/>
        <v>50130</v>
      </c>
      <c r="CE164" s="912">
        <f t="shared" si="87"/>
        <v>50221</v>
      </c>
      <c r="CF164" s="912">
        <f t="shared" si="87"/>
        <v>50313</v>
      </c>
      <c r="CG164" s="912">
        <f t="shared" si="87"/>
        <v>50405</v>
      </c>
      <c r="CH164" s="912">
        <f t="shared" si="87"/>
        <v>50495</v>
      </c>
      <c r="CI164" s="912">
        <f t="shared" si="87"/>
        <v>50586</v>
      </c>
      <c r="CJ164" s="912">
        <f t="shared" si="87"/>
        <v>50678</v>
      </c>
      <c r="CK164" s="912">
        <f t="shared" si="87"/>
        <v>50770</v>
      </c>
      <c r="CL164" s="912">
        <f t="shared" si="87"/>
        <v>50860</v>
      </c>
      <c r="CM164" s="912">
        <f t="shared" si="87"/>
        <v>50951</v>
      </c>
      <c r="CN164" s="912">
        <f t="shared" si="87"/>
        <v>51043</v>
      </c>
      <c r="CO164" s="912">
        <f t="shared" si="87"/>
        <v>51135</v>
      </c>
      <c r="CP164" s="912">
        <f t="shared" si="87"/>
        <v>51226</v>
      </c>
      <c r="CQ164" s="912">
        <f t="shared" si="87"/>
        <v>51317</v>
      </c>
      <c r="CR164" s="912">
        <f t="shared" si="87"/>
        <v>51409</v>
      </c>
      <c r="CS164" s="912">
        <f t="shared" si="87"/>
        <v>51501</v>
      </c>
      <c r="CT164" s="912">
        <f t="shared" si="87"/>
        <v>51591</v>
      </c>
      <c r="CU164" s="912">
        <f t="shared" si="87"/>
        <v>51682</v>
      </c>
      <c r="CV164" s="912">
        <f t="shared" si="87"/>
        <v>51774</v>
      </c>
      <c r="CW164" s="912">
        <f t="shared" si="87"/>
        <v>51866</v>
      </c>
      <c r="CX164" s="912">
        <f t="shared" si="87"/>
        <v>51956</v>
      </c>
      <c r="CY164" s="912">
        <f t="shared" si="87"/>
        <v>52047</v>
      </c>
      <c r="CZ164" s="912">
        <f t="shared" si="87"/>
        <v>52139</v>
      </c>
      <c r="DA164" s="912">
        <f t="shared" si="87"/>
        <v>52231</v>
      </c>
      <c r="DB164" s="912">
        <f t="shared" si="87"/>
        <v>52321</v>
      </c>
      <c r="DC164" s="912">
        <f t="shared" si="87"/>
        <v>52412</v>
      </c>
      <c r="DD164" s="912">
        <f t="shared" si="87"/>
        <v>52504</v>
      </c>
      <c r="DE164" s="912">
        <f t="shared" si="87"/>
        <v>52596</v>
      </c>
      <c r="DF164" s="912">
        <f t="shared" si="87"/>
        <v>52687</v>
      </c>
      <c r="DG164" s="912">
        <f t="shared" si="87"/>
        <v>52778</v>
      </c>
      <c r="DH164" s="912">
        <f t="shared" si="87"/>
        <v>52870</v>
      </c>
      <c r="DI164" s="912">
        <f t="shared" si="87"/>
        <v>52962</v>
      </c>
      <c r="DJ164" s="912">
        <f t="shared" si="87"/>
        <v>53052</v>
      </c>
      <c r="DK164" s="912">
        <f t="shared" si="87"/>
        <v>53143</v>
      </c>
      <c r="DL164" s="912">
        <f t="shared" si="87"/>
        <v>53235</v>
      </c>
      <c r="DM164" s="912">
        <f t="shared" si="87"/>
        <v>53327</v>
      </c>
      <c r="DN164" s="912">
        <f t="shared" si="87"/>
        <v>53417</v>
      </c>
      <c r="DO164" s="912">
        <f t="shared" si="87"/>
        <v>53508</v>
      </c>
      <c r="DP164" s="912">
        <f t="shared" si="87"/>
        <v>53600</v>
      </c>
      <c r="DQ164" s="912">
        <f t="shared" si="87"/>
        <v>53692</v>
      </c>
      <c r="DR164" s="912">
        <f t="shared" si="87"/>
        <v>53782</v>
      </c>
      <c r="DS164" s="912">
        <f t="shared" si="87"/>
        <v>53873</v>
      </c>
      <c r="DT164" s="912">
        <f t="shared" si="87"/>
        <v>53965</v>
      </c>
      <c r="DU164" s="912">
        <f t="shared" si="87"/>
        <v>54057</v>
      </c>
      <c r="DV164" s="912">
        <f t="shared" si="87"/>
        <v>54148</v>
      </c>
      <c r="DW164" s="912">
        <f t="shared" si="87"/>
        <v>54239</v>
      </c>
      <c r="DX164" s="912">
        <f t="shared" si="87"/>
        <v>54331</v>
      </c>
      <c r="DY164" s="912">
        <f t="shared" si="87"/>
        <v>54423</v>
      </c>
      <c r="DZ164" s="912">
        <f t="shared" si="87"/>
        <v>54513</v>
      </c>
      <c r="EA164" s="912">
        <f t="shared" si="87"/>
        <v>54604</v>
      </c>
      <c r="EB164" s="912">
        <f t="shared" si="87"/>
        <v>54696</v>
      </c>
      <c r="EC164" s="912">
        <f t="shared" si="87"/>
        <v>54788</v>
      </c>
      <c r="ED164" s="912">
        <f t="shared" si="87"/>
        <v>54878</v>
      </c>
      <c r="EE164" s="912">
        <f t="shared" si="87"/>
        <v>54969</v>
      </c>
      <c r="EF164" s="912">
        <f t="shared" si="87"/>
        <v>55061</v>
      </c>
      <c r="EG164" s="912">
        <f t="shared" si="87"/>
        <v>55153</v>
      </c>
      <c r="EH164" s="912">
        <f t="shared" si="87"/>
        <v>55243</v>
      </c>
      <c r="EI164" s="912">
        <f t="shared" ref="EI164:FQ164" si="88">EOMONTH(EH164,3)</f>
        <v>55334</v>
      </c>
      <c r="EJ164" s="912">
        <f t="shared" si="88"/>
        <v>55426</v>
      </c>
      <c r="EK164" s="912">
        <f t="shared" si="88"/>
        <v>55518</v>
      </c>
      <c r="EL164" s="912">
        <f t="shared" si="88"/>
        <v>55609</v>
      </c>
      <c r="EM164" s="912">
        <f t="shared" si="88"/>
        <v>55700</v>
      </c>
      <c r="EN164" s="912">
        <f t="shared" si="88"/>
        <v>55792</v>
      </c>
      <c r="EO164" s="912">
        <f t="shared" si="88"/>
        <v>55884</v>
      </c>
      <c r="EP164" s="912">
        <f t="shared" si="88"/>
        <v>55974</v>
      </c>
      <c r="EQ164" s="912">
        <f t="shared" si="88"/>
        <v>56065</v>
      </c>
      <c r="ER164" s="912">
        <f t="shared" si="88"/>
        <v>56157</v>
      </c>
      <c r="ES164" s="912">
        <f t="shared" si="88"/>
        <v>56249</v>
      </c>
      <c r="ET164" s="912">
        <f t="shared" si="88"/>
        <v>56339</v>
      </c>
      <c r="EU164" s="912">
        <f t="shared" si="88"/>
        <v>56430</v>
      </c>
      <c r="EV164" s="912">
        <f t="shared" si="88"/>
        <v>56522</v>
      </c>
      <c r="EW164" s="912">
        <f t="shared" si="88"/>
        <v>56614</v>
      </c>
      <c r="EX164" s="912">
        <f t="shared" si="88"/>
        <v>56704</v>
      </c>
      <c r="EY164" s="912">
        <f t="shared" si="88"/>
        <v>56795</v>
      </c>
      <c r="EZ164" s="912">
        <f t="shared" si="88"/>
        <v>56887</v>
      </c>
      <c r="FA164" s="912">
        <f t="shared" si="88"/>
        <v>56979</v>
      </c>
      <c r="FB164" s="912">
        <f t="shared" si="88"/>
        <v>57070</v>
      </c>
      <c r="FC164" s="912">
        <f t="shared" si="88"/>
        <v>57161</v>
      </c>
      <c r="FD164" s="912">
        <f t="shared" si="88"/>
        <v>57253</v>
      </c>
      <c r="FE164" s="912">
        <f t="shared" si="88"/>
        <v>57345</v>
      </c>
      <c r="FF164" s="912">
        <f t="shared" si="88"/>
        <v>57435</v>
      </c>
      <c r="FG164" s="912">
        <f t="shared" si="88"/>
        <v>57526</v>
      </c>
      <c r="FH164" s="912">
        <f t="shared" si="88"/>
        <v>57618</v>
      </c>
      <c r="FI164" s="912">
        <f t="shared" si="88"/>
        <v>57710</v>
      </c>
      <c r="FJ164" s="912">
        <f t="shared" si="88"/>
        <v>57800</v>
      </c>
      <c r="FK164" s="912">
        <f t="shared" si="88"/>
        <v>57891</v>
      </c>
      <c r="FL164" s="912">
        <f t="shared" si="88"/>
        <v>57983</v>
      </c>
      <c r="FM164" s="1715">
        <f t="shared" si="88"/>
        <v>58075</v>
      </c>
      <c r="FN164" s="912">
        <f t="shared" si="88"/>
        <v>58165</v>
      </c>
      <c r="FO164" s="912">
        <f t="shared" si="88"/>
        <v>58256</v>
      </c>
      <c r="FP164" s="912">
        <f t="shared" si="88"/>
        <v>58348</v>
      </c>
      <c r="FQ164" s="1715">
        <f t="shared" si="88"/>
        <v>58440</v>
      </c>
      <c r="FR164" s="1716"/>
      <c r="FS164" s="1716"/>
      <c r="FT164" s="1716"/>
      <c r="FU164" s="1716"/>
      <c r="FV164" s="1716"/>
      <c r="FW164" s="1716"/>
      <c r="FX164" s="1716"/>
      <c r="FY164" s="1716"/>
      <c r="FZ164" s="1716"/>
      <c r="GA164" s="1716"/>
      <c r="GB164" s="1716"/>
      <c r="GC164" s="1716"/>
      <c r="GD164" s="1716"/>
    </row>
    <row r="165" spans="3:186" ht="17.100000000000001" customHeight="1">
      <c r="C165" s="720"/>
      <c r="D165" s="774" t="s">
        <v>1080</v>
      </c>
      <c r="E165" s="722"/>
      <c r="F165" s="1625"/>
      <c r="G165" s="1625"/>
      <c r="H165" s="1625"/>
      <c r="I165" s="1606"/>
      <c r="J165" s="1717">
        <f t="shared" ref="J165:BU165" si="89">I168</f>
        <v>0</v>
      </c>
      <c r="K165" s="1717">
        <f t="shared" si="89"/>
        <v>0</v>
      </c>
      <c r="L165" s="1717">
        <f t="shared" si="89"/>
        <v>0</v>
      </c>
      <c r="M165" s="1718">
        <f t="shared" si="89"/>
        <v>0</v>
      </c>
      <c r="N165" s="1719">
        <f t="shared" si="89"/>
        <v>0</v>
      </c>
      <c r="O165" s="1717">
        <f t="shared" si="89"/>
        <v>0</v>
      </c>
      <c r="P165" s="1717">
        <f t="shared" si="89"/>
        <v>0</v>
      </c>
      <c r="Q165" s="1718">
        <f t="shared" si="89"/>
        <v>0</v>
      </c>
      <c r="R165" s="1264">
        <f t="shared" si="89"/>
        <v>0</v>
      </c>
      <c r="S165" s="1265">
        <f t="shared" si="89"/>
        <v>0</v>
      </c>
      <c r="T165" s="1265">
        <f t="shared" si="89"/>
        <v>0</v>
      </c>
      <c r="U165" s="1266">
        <f t="shared" si="89"/>
        <v>0</v>
      </c>
      <c r="V165" s="1264">
        <f t="shared" si="89"/>
        <v>0</v>
      </c>
      <c r="W165" s="1265">
        <f t="shared" si="89"/>
        <v>0</v>
      </c>
      <c r="X165" s="1265">
        <f t="shared" si="89"/>
        <v>0</v>
      </c>
      <c r="Y165" s="1266">
        <f t="shared" si="89"/>
        <v>0</v>
      </c>
      <c r="Z165" s="1264">
        <f t="shared" si="89"/>
        <v>0</v>
      </c>
      <c r="AA165" s="1265">
        <f t="shared" si="89"/>
        <v>0</v>
      </c>
      <c r="AB165" s="1265">
        <f t="shared" si="89"/>
        <v>0</v>
      </c>
      <c r="AC165" s="1266">
        <f t="shared" si="89"/>
        <v>0</v>
      </c>
      <c r="AD165" s="1264">
        <f t="shared" si="89"/>
        <v>0</v>
      </c>
      <c r="AE165" s="1265">
        <f t="shared" si="89"/>
        <v>0</v>
      </c>
      <c r="AF165" s="1265">
        <f t="shared" si="89"/>
        <v>0</v>
      </c>
      <c r="AG165" s="1266">
        <f t="shared" si="89"/>
        <v>0</v>
      </c>
      <c r="AH165" s="1264">
        <f t="shared" si="89"/>
        <v>0</v>
      </c>
      <c r="AI165" s="1265">
        <f t="shared" si="89"/>
        <v>0</v>
      </c>
      <c r="AJ165" s="1265">
        <f t="shared" si="89"/>
        <v>0</v>
      </c>
      <c r="AK165" s="1266">
        <f t="shared" si="89"/>
        <v>0</v>
      </c>
      <c r="AL165" s="1264">
        <f t="shared" si="89"/>
        <v>0</v>
      </c>
      <c r="AM165" s="1265">
        <f t="shared" si="89"/>
        <v>0</v>
      </c>
      <c r="AN165" s="1265">
        <f t="shared" si="89"/>
        <v>0</v>
      </c>
      <c r="AO165" s="1266">
        <f t="shared" si="89"/>
        <v>0</v>
      </c>
      <c r="AP165" s="1264">
        <f t="shared" si="89"/>
        <v>0</v>
      </c>
      <c r="AQ165" s="1265">
        <f t="shared" si="89"/>
        <v>0</v>
      </c>
      <c r="AR165" s="1265">
        <f t="shared" si="89"/>
        <v>0</v>
      </c>
      <c r="AS165" s="1266">
        <f t="shared" si="89"/>
        <v>0</v>
      </c>
      <c r="AT165" s="1264">
        <f t="shared" si="89"/>
        <v>0</v>
      </c>
      <c r="AU165" s="1265">
        <f t="shared" si="89"/>
        <v>0</v>
      </c>
      <c r="AV165" s="1265">
        <f t="shared" si="89"/>
        <v>0</v>
      </c>
      <c r="AW165" s="1266">
        <f t="shared" si="89"/>
        <v>0</v>
      </c>
      <c r="AX165" s="1264">
        <f t="shared" si="89"/>
        <v>0</v>
      </c>
      <c r="AY165" s="1265">
        <f t="shared" si="89"/>
        <v>0</v>
      </c>
      <c r="AZ165" s="1265">
        <f t="shared" si="89"/>
        <v>0</v>
      </c>
      <c r="BA165" s="1266">
        <f t="shared" si="89"/>
        <v>0</v>
      </c>
      <c r="BB165" s="1264">
        <f t="shared" si="89"/>
        <v>0</v>
      </c>
      <c r="BC165" s="1265">
        <f t="shared" si="89"/>
        <v>0</v>
      </c>
      <c r="BD165" s="1265">
        <f t="shared" si="89"/>
        <v>0</v>
      </c>
      <c r="BE165" s="1266">
        <f t="shared" si="89"/>
        <v>0</v>
      </c>
      <c r="BF165" s="1264">
        <f t="shared" si="89"/>
        <v>0</v>
      </c>
      <c r="BG165" s="1265">
        <f t="shared" si="89"/>
        <v>0</v>
      </c>
      <c r="BH165" s="1265">
        <f t="shared" si="89"/>
        <v>0</v>
      </c>
      <c r="BI165" s="1266">
        <f t="shared" si="89"/>
        <v>0</v>
      </c>
      <c r="BJ165" s="1264">
        <f t="shared" si="89"/>
        <v>0</v>
      </c>
      <c r="BK165" s="1265">
        <f t="shared" si="89"/>
        <v>0</v>
      </c>
      <c r="BL165" s="1265">
        <f t="shared" si="89"/>
        <v>0</v>
      </c>
      <c r="BM165" s="1266">
        <f t="shared" si="89"/>
        <v>0</v>
      </c>
      <c r="BN165" s="1264">
        <f t="shared" si="89"/>
        <v>0</v>
      </c>
      <c r="BO165" s="1265">
        <f t="shared" si="89"/>
        <v>0</v>
      </c>
      <c r="BP165" s="1265">
        <f t="shared" si="89"/>
        <v>0</v>
      </c>
      <c r="BQ165" s="1266">
        <f t="shared" si="89"/>
        <v>0</v>
      </c>
      <c r="BR165" s="1264">
        <f t="shared" si="89"/>
        <v>0</v>
      </c>
      <c r="BS165" s="1265">
        <f t="shared" si="89"/>
        <v>0</v>
      </c>
      <c r="BT165" s="1265">
        <f t="shared" si="89"/>
        <v>0</v>
      </c>
      <c r="BU165" s="1266">
        <f t="shared" si="89"/>
        <v>0</v>
      </c>
      <c r="BV165" s="1264">
        <f t="shared" ref="BV165:EG165" si="90">BU168</f>
        <v>0</v>
      </c>
      <c r="BW165" s="1265">
        <f t="shared" si="90"/>
        <v>0</v>
      </c>
      <c r="BX165" s="1265">
        <f t="shared" si="90"/>
        <v>0</v>
      </c>
      <c r="BY165" s="1266">
        <f t="shared" si="90"/>
        <v>0</v>
      </c>
      <c r="BZ165" s="1264">
        <f t="shared" si="90"/>
        <v>0</v>
      </c>
      <c r="CA165" s="1265">
        <f t="shared" si="90"/>
        <v>0</v>
      </c>
      <c r="CB165" s="1265">
        <f t="shared" si="90"/>
        <v>0</v>
      </c>
      <c r="CC165" s="1266">
        <f t="shared" si="90"/>
        <v>0</v>
      </c>
      <c r="CD165" s="1264">
        <f t="shared" si="90"/>
        <v>0</v>
      </c>
      <c r="CE165" s="1265">
        <f t="shared" si="90"/>
        <v>0</v>
      </c>
      <c r="CF165" s="1265">
        <f t="shared" si="90"/>
        <v>0</v>
      </c>
      <c r="CG165" s="1266">
        <f t="shared" si="90"/>
        <v>0</v>
      </c>
      <c r="CH165" s="1264">
        <f t="shared" si="90"/>
        <v>0</v>
      </c>
      <c r="CI165" s="1265">
        <f t="shared" si="90"/>
        <v>0</v>
      </c>
      <c r="CJ165" s="1265">
        <f t="shared" si="90"/>
        <v>0</v>
      </c>
      <c r="CK165" s="1266">
        <f t="shared" si="90"/>
        <v>0</v>
      </c>
      <c r="CL165" s="1264">
        <f t="shared" si="90"/>
        <v>0</v>
      </c>
      <c r="CM165" s="1265">
        <f t="shared" si="90"/>
        <v>0</v>
      </c>
      <c r="CN165" s="1265">
        <f t="shared" si="90"/>
        <v>0</v>
      </c>
      <c r="CO165" s="741">
        <f t="shared" si="90"/>
        <v>0</v>
      </c>
      <c r="CP165" s="1264">
        <f t="shared" si="90"/>
        <v>0</v>
      </c>
      <c r="CQ165" s="1265">
        <f t="shared" si="90"/>
        <v>0</v>
      </c>
      <c r="CR165" s="1265">
        <f t="shared" si="90"/>
        <v>0</v>
      </c>
      <c r="CS165" s="1266">
        <f t="shared" si="90"/>
        <v>0</v>
      </c>
      <c r="CT165" s="1264">
        <f t="shared" si="90"/>
        <v>0</v>
      </c>
      <c r="CU165" s="1265">
        <f t="shared" si="90"/>
        <v>0</v>
      </c>
      <c r="CV165" s="1265">
        <f t="shared" si="90"/>
        <v>0</v>
      </c>
      <c r="CW165" s="1266">
        <f t="shared" si="90"/>
        <v>0</v>
      </c>
      <c r="CX165" s="1264">
        <f t="shared" si="90"/>
        <v>0</v>
      </c>
      <c r="CY165" s="1265">
        <f t="shared" si="90"/>
        <v>0</v>
      </c>
      <c r="CZ165" s="1265">
        <f t="shared" si="90"/>
        <v>0</v>
      </c>
      <c r="DA165" s="1266">
        <f t="shared" si="90"/>
        <v>0</v>
      </c>
      <c r="DB165" s="1264">
        <f t="shared" si="90"/>
        <v>0</v>
      </c>
      <c r="DC165" s="1265">
        <f t="shared" si="90"/>
        <v>0</v>
      </c>
      <c r="DD165" s="1265">
        <f t="shared" si="90"/>
        <v>0</v>
      </c>
      <c r="DE165" s="1266">
        <f t="shared" si="90"/>
        <v>0</v>
      </c>
      <c r="DF165" s="1264">
        <f t="shared" si="90"/>
        <v>0</v>
      </c>
      <c r="DG165" s="1265">
        <f t="shared" si="90"/>
        <v>0</v>
      </c>
      <c r="DH165" s="1265">
        <f t="shared" si="90"/>
        <v>0</v>
      </c>
      <c r="DI165" s="1266">
        <f t="shared" si="90"/>
        <v>0</v>
      </c>
      <c r="DJ165" s="1264">
        <f t="shared" si="90"/>
        <v>0</v>
      </c>
      <c r="DK165" s="1265">
        <f t="shared" si="90"/>
        <v>0</v>
      </c>
      <c r="DL165" s="1265">
        <f t="shared" si="90"/>
        <v>0</v>
      </c>
      <c r="DM165" s="1266">
        <f t="shared" si="90"/>
        <v>0</v>
      </c>
      <c r="DN165" s="1264">
        <f t="shared" si="90"/>
        <v>0</v>
      </c>
      <c r="DO165" s="1265">
        <f t="shared" si="90"/>
        <v>0</v>
      </c>
      <c r="DP165" s="1265">
        <f t="shared" si="90"/>
        <v>0</v>
      </c>
      <c r="DQ165" s="1266">
        <f t="shared" si="90"/>
        <v>0</v>
      </c>
      <c r="DR165" s="1264">
        <f t="shared" si="90"/>
        <v>0</v>
      </c>
      <c r="DS165" s="1265">
        <f t="shared" si="90"/>
        <v>0</v>
      </c>
      <c r="DT165" s="1265">
        <f t="shared" si="90"/>
        <v>0</v>
      </c>
      <c r="DU165" s="1266">
        <f t="shared" si="90"/>
        <v>0</v>
      </c>
      <c r="DV165" s="1264">
        <f t="shared" si="90"/>
        <v>0</v>
      </c>
      <c r="DW165" s="1265">
        <f t="shared" si="90"/>
        <v>0</v>
      </c>
      <c r="DX165" s="1265">
        <f t="shared" si="90"/>
        <v>0</v>
      </c>
      <c r="DY165" s="1266">
        <f t="shared" si="90"/>
        <v>0</v>
      </c>
      <c r="DZ165" s="1264">
        <f t="shared" si="90"/>
        <v>0</v>
      </c>
      <c r="EA165" s="1265">
        <f t="shared" si="90"/>
        <v>0</v>
      </c>
      <c r="EB165" s="1265">
        <f t="shared" si="90"/>
        <v>0</v>
      </c>
      <c r="EC165" s="1266">
        <f t="shared" si="90"/>
        <v>0</v>
      </c>
      <c r="ED165" s="1264">
        <f t="shared" si="90"/>
        <v>0</v>
      </c>
      <c r="EE165" s="1265">
        <f t="shared" si="90"/>
        <v>0</v>
      </c>
      <c r="EF165" s="1265">
        <f t="shared" si="90"/>
        <v>0</v>
      </c>
      <c r="EG165" s="1266">
        <f t="shared" si="90"/>
        <v>0</v>
      </c>
      <c r="EH165" s="1264">
        <f t="shared" ref="EH165:FQ165" si="91">EG168</f>
        <v>0</v>
      </c>
      <c r="EI165" s="1265">
        <f t="shared" si="91"/>
        <v>0</v>
      </c>
      <c r="EJ165" s="1265">
        <f t="shared" si="91"/>
        <v>0</v>
      </c>
      <c r="EK165" s="1266">
        <f t="shared" si="91"/>
        <v>0</v>
      </c>
      <c r="EL165" s="1264">
        <f t="shared" si="91"/>
        <v>0</v>
      </c>
      <c r="EM165" s="1265">
        <f t="shared" si="91"/>
        <v>0</v>
      </c>
      <c r="EN165" s="1265">
        <f t="shared" si="91"/>
        <v>0</v>
      </c>
      <c r="EO165" s="1266">
        <f t="shared" si="91"/>
        <v>0</v>
      </c>
      <c r="EP165" s="1264">
        <f t="shared" si="91"/>
        <v>0</v>
      </c>
      <c r="EQ165" s="1265">
        <f t="shared" si="91"/>
        <v>0</v>
      </c>
      <c r="ER165" s="1265">
        <f t="shared" si="91"/>
        <v>0</v>
      </c>
      <c r="ES165" s="1266">
        <f t="shared" si="91"/>
        <v>0</v>
      </c>
      <c r="ET165" s="1264">
        <f t="shared" si="91"/>
        <v>0</v>
      </c>
      <c r="EU165" s="1265">
        <f t="shared" si="91"/>
        <v>0</v>
      </c>
      <c r="EV165" s="1265">
        <f t="shared" si="91"/>
        <v>0</v>
      </c>
      <c r="EW165" s="1266">
        <f t="shared" si="91"/>
        <v>0</v>
      </c>
      <c r="EX165" s="1264">
        <f t="shared" si="91"/>
        <v>0</v>
      </c>
      <c r="EY165" s="1265">
        <f t="shared" si="91"/>
        <v>0</v>
      </c>
      <c r="EZ165" s="1265">
        <f t="shared" si="91"/>
        <v>0</v>
      </c>
      <c r="FA165" s="1266">
        <f t="shared" si="91"/>
        <v>0</v>
      </c>
      <c r="FB165" s="1264">
        <f t="shared" si="91"/>
        <v>0</v>
      </c>
      <c r="FC165" s="1265">
        <f t="shared" si="91"/>
        <v>0</v>
      </c>
      <c r="FD165" s="1265">
        <f t="shared" si="91"/>
        <v>0</v>
      </c>
      <c r="FE165" s="1266">
        <f t="shared" si="91"/>
        <v>0</v>
      </c>
      <c r="FF165" s="1264">
        <f t="shared" si="91"/>
        <v>0</v>
      </c>
      <c r="FG165" s="1265">
        <f t="shared" si="91"/>
        <v>0</v>
      </c>
      <c r="FH165" s="1265">
        <f t="shared" si="91"/>
        <v>0</v>
      </c>
      <c r="FI165" s="1266">
        <f t="shared" si="91"/>
        <v>0</v>
      </c>
      <c r="FJ165" s="1264">
        <f t="shared" si="91"/>
        <v>0</v>
      </c>
      <c r="FK165" s="1265">
        <f t="shared" si="91"/>
        <v>0</v>
      </c>
      <c r="FL165" s="1265">
        <f t="shared" si="91"/>
        <v>0</v>
      </c>
      <c r="FM165" s="1266">
        <f t="shared" si="91"/>
        <v>0</v>
      </c>
      <c r="FN165" s="1264">
        <f t="shared" si="91"/>
        <v>0</v>
      </c>
      <c r="FO165" s="1265">
        <f t="shared" si="91"/>
        <v>0</v>
      </c>
      <c r="FP165" s="1265">
        <f t="shared" si="91"/>
        <v>0</v>
      </c>
      <c r="FQ165" s="1720">
        <f t="shared" si="91"/>
        <v>0</v>
      </c>
      <c r="FR165" s="935"/>
      <c r="FS165" s="935"/>
      <c r="FT165" s="935"/>
      <c r="FU165" s="935"/>
      <c r="FV165" s="935"/>
      <c r="FW165" s="935"/>
      <c r="FX165" s="935"/>
      <c r="FY165" s="935"/>
      <c r="FZ165" s="935"/>
      <c r="GA165" s="935"/>
      <c r="GB165" s="935"/>
      <c r="GC165" s="935"/>
      <c r="GD165" s="935"/>
    </row>
    <row r="166" spans="3:186" ht="17.100000000000001" customHeight="1">
      <c r="C166" s="1409"/>
      <c r="D166" s="1410" t="s">
        <v>1270</v>
      </c>
      <c r="E166" s="1411"/>
      <c r="F166" s="1667"/>
      <c r="G166" s="1667"/>
      <c r="H166" s="1667"/>
      <c r="I166" s="1613"/>
      <c r="J166" s="1721"/>
      <c r="K166" s="1721"/>
      <c r="L166" s="1721"/>
      <c r="M166" s="1722"/>
      <c r="N166" s="1723"/>
      <c r="O166" s="1721"/>
      <c r="P166" s="1721"/>
      <c r="Q166" s="1739"/>
      <c r="R166" s="1271"/>
      <c r="S166" s="1272"/>
      <c r="T166" s="1272"/>
      <c r="U166" s="1273"/>
      <c r="V166" s="1271"/>
      <c r="W166" s="1272"/>
      <c r="X166" s="1272"/>
      <c r="Y166" s="1273"/>
      <c r="Z166" s="1271"/>
      <c r="AA166" s="1272"/>
      <c r="AB166" s="1272"/>
      <c r="AC166" s="1273"/>
      <c r="AD166" s="1271"/>
      <c r="AE166" s="1272"/>
      <c r="AF166" s="1272"/>
      <c r="AG166" s="1273"/>
      <c r="AH166" s="1271"/>
      <c r="AI166" s="1272"/>
      <c r="AJ166" s="1272"/>
      <c r="AK166" s="1273"/>
      <c r="AL166" s="1271"/>
      <c r="AM166" s="1272"/>
      <c r="AN166" s="1272"/>
      <c r="AO166" s="1273"/>
      <c r="AP166" s="1271"/>
      <c r="AQ166" s="1272"/>
      <c r="AR166" s="1272"/>
      <c r="AS166" s="1273"/>
      <c r="AT166" s="1271"/>
      <c r="AU166" s="1272"/>
      <c r="AV166" s="1272"/>
      <c r="AW166" s="1273"/>
      <c r="AX166" s="1271"/>
      <c r="AY166" s="1272"/>
      <c r="AZ166" s="1272"/>
      <c r="BA166" s="1273"/>
      <c r="BB166" s="1271"/>
      <c r="BC166" s="1272"/>
      <c r="BD166" s="1272"/>
      <c r="BE166" s="1273"/>
      <c r="BF166" s="1271"/>
      <c r="BG166" s="1272"/>
      <c r="BH166" s="1272"/>
      <c r="BI166" s="1273"/>
      <c r="BJ166" s="1271"/>
      <c r="BK166" s="1272"/>
      <c r="BL166" s="1272"/>
      <c r="BM166" s="1273"/>
      <c r="BN166" s="1271"/>
      <c r="BO166" s="1272"/>
      <c r="BP166" s="1272"/>
      <c r="BQ166" s="1273"/>
      <c r="BR166" s="1271"/>
      <c r="BS166" s="1272"/>
      <c r="BT166" s="1272"/>
      <c r="BU166" s="1273"/>
      <c r="BV166" s="1271"/>
      <c r="BW166" s="1272"/>
      <c r="BX166" s="1272"/>
      <c r="BY166" s="1273"/>
      <c r="BZ166" s="1271"/>
      <c r="CA166" s="1272"/>
      <c r="CB166" s="1272"/>
      <c r="CC166" s="1273"/>
      <c r="CD166" s="1271"/>
      <c r="CE166" s="1272"/>
      <c r="CF166" s="1272"/>
      <c r="CG166" s="1273"/>
      <c r="CH166" s="1271"/>
      <c r="CI166" s="1272"/>
      <c r="CJ166" s="1272"/>
      <c r="CK166" s="1273"/>
      <c r="CL166" s="1271"/>
      <c r="CM166" s="1272"/>
      <c r="CN166" s="1272"/>
      <c r="CO166" s="1323"/>
      <c r="CP166" s="1271"/>
      <c r="CQ166" s="1272"/>
      <c r="CR166" s="1272"/>
      <c r="CS166" s="1273"/>
      <c r="CT166" s="1271"/>
      <c r="CU166" s="1272"/>
      <c r="CV166" s="1272"/>
      <c r="CW166" s="1273"/>
      <c r="CX166" s="1271"/>
      <c r="CY166" s="1272"/>
      <c r="CZ166" s="1272"/>
      <c r="DA166" s="1273"/>
      <c r="DB166" s="1271"/>
      <c r="DC166" s="1272"/>
      <c r="DD166" s="1272"/>
      <c r="DE166" s="1273"/>
      <c r="DF166" s="1271"/>
      <c r="DG166" s="1272"/>
      <c r="DH166" s="1272"/>
      <c r="DI166" s="1273"/>
      <c r="DJ166" s="1271"/>
      <c r="DK166" s="1272"/>
      <c r="DL166" s="1272"/>
      <c r="DM166" s="1273"/>
      <c r="DN166" s="1271"/>
      <c r="DO166" s="1272"/>
      <c r="DP166" s="1272"/>
      <c r="DQ166" s="1273"/>
      <c r="DR166" s="1271"/>
      <c r="DS166" s="1272"/>
      <c r="DT166" s="1272"/>
      <c r="DU166" s="1273"/>
      <c r="DV166" s="1271"/>
      <c r="DW166" s="1272"/>
      <c r="DX166" s="1272"/>
      <c r="DY166" s="1273"/>
      <c r="DZ166" s="1271"/>
      <c r="EA166" s="1272"/>
      <c r="EB166" s="1272"/>
      <c r="EC166" s="1273"/>
      <c r="ED166" s="1271"/>
      <c r="EE166" s="1272"/>
      <c r="EF166" s="1272"/>
      <c r="EG166" s="1273"/>
      <c r="EH166" s="1271"/>
      <c r="EI166" s="1272"/>
      <c r="EJ166" s="1272"/>
      <c r="EK166" s="1273"/>
      <c r="EL166" s="1271"/>
      <c r="EM166" s="1272"/>
      <c r="EN166" s="1272"/>
      <c r="EO166" s="1273"/>
      <c r="EP166" s="1271"/>
      <c r="EQ166" s="1272"/>
      <c r="ER166" s="1272"/>
      <c r="ES166" s="1273"/>
      <c r="ET166" s="1271"/>
      <c r="EU166" s="1272"/>
      <c r="EV166" s="1272"/>
      <c r="EW166" s="1273"/>
      <c r="EX166" s="1271"/>
      <c r="EY166" s="1272"/>
      <c r="EZ166" s="1272"/>
      <c r="FA166" s="1273"/>
      <c r="FB166" s="1271"/>
      <c r="FC166" s="1272"/>
      <c r="FD166" s="1272"/>
      <c r="FE166" s="1273"/>
      <c r="FF166" s="1271"/>
      <c r="FG166" s="1272"/>
      <c r="FH166" s="1272"/>
      <c r="FI166" s="1273"/>
      <c r="FJ166" s="1271"/>
      <c r="FK166" s="1272"/>
      <c r="FL166" s="1272"/>
      <c r="FM166" s="1273"/>
      <c r="FN166" s="1271"/>
      <c r="FO166" s="1272"/>
      <c r="FP166" s="1272"/>
      <c r="FQ166" s="1724"/>
      <c r="FR166" s="935"/>
      <c r="FS166" s="935"/>
      <c r="FT166" s="935"/>
      <c r="FU166" s="935"/>
      <c r="FV166" s="935"/>
      <c r="FW166" s="935"/>
      <c r="FX166" s="935"/>
      <c r="FY166" s="935"/>
      <c r="FZ166" s="935"/>
      <c r="GA166" s="935"/>
      <c r="GB166" s="935"/>
      <c r="GC166" s="935"/>
      <c r="GD166" s="935"/>
    </row>
    <row r="167" spans="3:186" ht="17.100000000000001" customHeight="1">
      <c r="C167" s="1415"/>
      <c r="D167" s="1416" t="s">
        <v>1271</v>
      </c>
      <c r="E167" s="1352"/>
      <c r="F167" s="1630"/>
      <c r="G167" s="1630"/>
      <c r="H167" s="1630"/>
      <c r="I167" s="1609"/>
      <c r="J167" s="1725"/>
      <c r="K167" s="1725"/>
      <c r="L167" s="1725"/>
      <c r="M167" s="1726"/>
      <c r="N167" s="1727"/>
      <c r="O167" s="1725"/>
      <c r="P167" s="1725"/>
      <c r="Q167" s="1726"/>
      <c r="R167" s="1279"/>
      <c r="S167" s="1280"/>
      <c r="T167" s="1280"/>
      <c r="U167" s="1281"/>
      <c r="V167" s="1279"/>
      <c r="W167" s="1280"/>
      <c r="X167" s="1280"/>
      <c r="Y167" s="1281"/>
      <c r="Z167" s="1279"/>
      <c r="AA167" s="1280"/>
      <c r="AB167" s="1280"/>
      <c r="AC167" s="1281"/>
      <c r="AD167" s="1279"/>
      <c r="AE167" s="1280"/>
      <c r="AF167" s="1280"/>
      <c r="AG167" s="1740">
        <v>0</v>
      </c>
      <c r="AH167" s="1279"/>
      <c r="AI167" s="1280"/>
      <c r="AJ167" s="1280"/>
      <c r="AK167" s="1281"/>
      <c r="AL167" s="1279"/>
      <c r="AM167" s="1280"/>
      <c r="AN167" s="1280"/>
      <c r="AO167" s="1281"/>
      <c r="AP167" s="1279"/>
      <c r="AQ167" s="1280"/>
      <c r="AR167" s="1280"/>
      <c r="AS167" s="1281"/>
      <c r="AT167" s="1279"/>
      <c r="AU167" s="1280"/>
      <c r="AV167" s="1280"/>
      <c r="AW167" s="1281"/>
      <c r="AX167" s="1279"/>
      <c r="AY167" s="1280"/>
      <c r="AZ167" s="1280"/>
      <c r="BA167" s="1281"/>
      <c r="BB167" s="1279"/>
      <c r="BC167" s="1280"/>
      <c r="BD167" s="1280"/>
      <c r="BE167" s="1281"/>
      <c r="BF167" s="1279"/>
      <c r="BG167" s="1280"/>
      <c r="BH167" s="1280"/>
      <c r="BI167" s="1281"/>
      <c r="BJ167" s="1279"/>
      <c r="BK167" s="1280"/>
      <c r="BL167" s="1280"/>
      <c r="BM167" s="1281"/>
      <c r="BN167" s="1279"/>
      <c r="BO167" s="1280"/>
      <c r="BP167" s="1280"/>
      <c r="BQ167" s="1281"/>
      <c r="BR167" s="1279"/>
      <c r="BS167" s="1280"/>
      <c r="BT167" s="1280"/>
      <c r="BU167" s="1281"/>
      <c r="BV167" s="1279"/>
      <c r="BW167" s="1280"/>
      <c r="BX167" s="1280"/>
      <c r="BY167" s="1281"/>
      <c r="BZ167" s="1279"/>
      <c r="CA167" s="1280"/>
      <c r="CB167" s="1280"/>
      <c r="CC167" s="1281"/>
      <c r="CD167" s="1279"/>
      <c r="CE167" s="1280"/>
      <c r="CF167" s="1280"/>
      <c r="CG167" s="1281"/>
      <c r="CH167" s="1279"/>
      <c r="CI167" s="1280"/>
      <c r="CJ167" s="1280"/>
      <c r="CK167" s="1281"/>
      <c r="CL167" s="1279"/>
      <c r="CM167" s="1280"/>
      <c r="CN167" s="1280"/>
      <c r="CO167" s="730"/>
      <c r="CP167" s="1279"/>
      <c r="CQ167" s="1280"/>
      <c r="CR167" s="1280"/>
      <c r="CS167" s="1281"/>
      <c r="CT167" s="1279"/>
      <c r="CU167" s="1280"/>
      <c r="CV167" s="1280"/>
      <c r="CW167" s="1281"/>
      <c r="CX167" s="1279"/>
      <c r="CY167" s="1280"/>
      <c r="CZ167" s="1280"/>
      <c r="DA167" s="1281"/>
      <c r="DB167" s="1279"/>
      <c r="DC167" s="1280"/>
      <c r="DD167" s="1280"/>
      <c r="DE167" s="1281"/>
      <c r="DF167" s="1279"/>
      <c r="DG167" s="1280"/>
      <c r="DH167" s="1280"/>
      <c r="DI167" s="1281"/>
      <c r="DJ167" s="1279"/>
      <c r="DK167" s="1280"/>
      <c r="DL167" s="1280"/>
      <c r="DM167" s="1281"/>
      <c r="DN167" s="1279"/>
      <c r="DO167" s="1280"/>
      <c r="DP167" s="1280"/>
      <c r="DQ167" s="1281"/>
      <c r="DR167" s="1279"/>
      <c r="DS167" s="1280"/>
      <c r="DT167" s="1280"/>
      <c r="DU167" s="1281"/>
      <c r="DV167" s="1279"/>
      <c r="DW167" s="1280"/>
      <c r="DX167" s="1280"/>
      <c r="DY167" s="1281"/>
      <c r="DZ167" s="1279"/>
      <c r="EA167" s="1280"/>
      <c r="EB167" s="1280"/>
      <c r="EC167" s="1281"/>
      <c r="ED167" s="1279"/>
      <c r="EE167" s="1280"/>
      <c r="EF167" s="1280"/>
      <c r="EG167" s="1281"/>
      <c r="EH167" s="1279"/>
      <c r="EI167" s="1280"/>
      <c r="EJ167" s="1280"/>
      <c r="EK167" s="1281"/>
      <c r="EL167" s="1279"/>
      <c r="EM167" s="1280"/>
      <c r="EN167" s="1280"/>
      <c r="EO167" s="1281"/>
      <c r="EP167" s="1279"/>
      <c r="EQ167" s="1280"/>
      <c r="ER167" s="1280"/>
      <c r="ES167" s="1281"/>
      <c r="ET167" s="1279"/>
      <c r="EU167" s="1280"/>
      <c r="EV167" s="1280"/>
      <c r="EW167" s="1281"/>
      <c r="EX167" s="1279"/>
      <c r="EY167" s="1280"/>
      <c r="EZ167" s="1280"/>
      <c r="FA167" s="1281"/>
      <c r="FB167" s="1279"/>
      <c r="FC167" s="1280"/>
      <c r="FD167" s="1280"/>
      <c r="FE167" s="1281"/>
      <c r="FF167" s="1279"/>
      <c r="FG167" s="1280"/>
      <c r="FH167" s="1280"/>
      <c r="FI167" s="1281"/>
      <c r="FJ167" s="1279"/>
      <c r="FK167" s="1280"/>
      <c r="FL167" s="1280"/>
      <c r="FM167" s="1281"/>
      <c r="FN167" s="1279"/>
      <c r="FO167" s="1280"/>
      <c r="FP167" s="1280"/>
      <c r="FQ167" s="1728"/>
      <c r="FR167" s="935"/>
      <c r="FS167" s="935"/>
      <c r="FT167" s="935"/>
      <c r="FU167" s="935"/>
      <c r="FV167" s="935"/>
      <c r="FW167" s="935"/>
      <c r="FX167" s="935"/>
      <c r="FY167" s="935"/>
      <c r="FZ167" s="935"/>
      <c r="GA167" s="935"/>
      <c r="GB167" s="935"/>
      <c r="GC167" s="935"/>
      <c r="GD167" s="935"/>
    </row>
    <row r="168" spans="3:186" ht="17.100000000000001" customHeight="1">
      <c r="C168" s="952"/>
      <c r="D168" s="777" t="s">
        <v>1096</v>
      </c>
      <c r="E168" s="747"/>
      <c r="F168" s="1668"/>
      <c r="G168" s="1668"/>
      <c r="H168" s="1668"/>
      <c r="I168" s="1729">
        <f>I34</f>
        <v>0</v>
      </c>
      <c r="J168" s="1730">
        <f>J165+J166-J167</f>
        <v>0</v>
      </c>
      <c r="K168" s="1730">
        <f t="shared" ref="K168:BV168" si="92">K165+K166-K167</f>
        <v>0</v>
      </c>
      <c r="L168" s="1730">
        <f t="shared" si="92"/>
        <v>0</v>
      </c>
      <c r="M168" s="1731">
        <f t="shared" si="92"/>
        <v>0</v>
      </c>
      <c r="N168" s="1732">
        <f t="shared" si="92"/>
        <v>0</v>
      </c>
      <c r="O168" s="1730">
        <f t="shared" si="92"/>
        <v>0</v>
      </c>
      <c r="P168" s="1730">
        <f t="shared" si="92"/>
        <v>0</v>
      </c>
      <c r="Q168" s="1731">
        <f t="shared" si="92"/>
        <v>0</v>
      </c>
      <c r="R168" s="1733">
        <f t="shared" si="92"/>
        <v>0</v>
      </c>
      <c r="S168" s="1734">
        <f t="shared" si="92"/>
        <v>0</v>
      </c>
      <c r="T168" s="1734">
        <f t="shared" si="92"/>
        <v>0</v>
      </c>
      <c r="U168" s="1735">
        <f t="shared" si="92"/>
        <v>0</v>
      </c>
      <c r="V168" s="1733">
        <f t="shared" si="92"/>
        <v>0</v>
      </c>
      <c r="W168" s="1734">
        <f t="shared" si="92"/>
        <v>0</v>
      </c>
      <c r="X168" s="1734">
        <f t="shared" si="92"/>
        <v>0</v>
      </c>
      <c r="Y168" s="1735">
        <f t="shared" si="92"/>
        <v>0</v>
      </c>
      <c r="Z168" s="1733">
        <f t="shared" si="92"/>
        <v>0</v>
      </c>
      <c r="AA168" s="1734">
        <f t="shared" si="92"/>
        <v>0</v>
      </c>
      <c r="AB168" s="1734">
        <f t="shared" si="92"/>
        <v>0</v>
      </c>
      <c r="AC168" s="1735">
        <f t="shared" si="92"/>
        <v>0</v>
      </c>
      <c r="AD168" s="1733">
        <f t="shared" si="92"/>
        <v>0</v>
      </c>
      <c r="AE168" s="1734">
        <f t="shared" si="92"/>
        <v>0</v>
      </c>
      <c r="AF168" s="1734">
        <f t="shared" si="92"/>
        <v>0</v>
      </c>
      <c r="AG168" s="1735">
        <f t="shared" si="92"/>
        <v>0</v>
      </c>
      <c r="AH168" s="1733">
        <f t="shared" si="92"/>
        <v>0</v>
      </c>
      <c r="AI168" s="1734">
        <f t="shared" si="92"/>
        <v>0</v>
      </c>
      <c r="AJ168" s="1734">
        <f t="shared" si="92"/>
        <v>0</v>
      </c>
      <c r="AK168" s="1735">
        <f t="shared" si="92"/>
        <v>0</v>
      </c>
      <c r="AL168" s="1733">
        <f t="shared" si="92"/>
        <v>0</v>
      </c>
      <c r="AM168" s="1734">
        <f t="shared" si="92"/>
        <v>0</v>
      </c>
      <c r="AN168" s="1734">
        <f t="shared" si="92"/>
        <v>0</v>
      </c>
      <c r="AO168" s="1735">
        <f t="shared" si="92"/>
        <v>0</v>
      </c>
      <c r="AP168" s="1733">
        <f t="shared" si="92"/>
        <v>0</v>
      </c>
      <c r="AQ168" s="1734">
        <f t="shared" si="92"/>
        <v>0</v>
      </c>
      <c r="AR168" s="1734">
        <f t="shared" si="92"/>
        <v>0</v>
      </c>
      <c r="AS168" s="1735">
        <f t="shared" si="92"/>
        <v>0</v>
      </c>
      <c r="AT168" s="1733">
        <f t="shared" si="92"/>
        <v>0</v>
      </c>
      <c r="AU168" s="1734">
        <f t="shared" si="92"/>
        <v>0</v>
      </c>
      <c r="AV168" s="1734">
        <f t="shared" si="92"/>
        <v>0</v>
      </c>
      <c r="AW168" s="1735">
        <f t="shared" si="92"/>
        <v>0</v>
      </c>
      <c r="AX168" s="1733">
        <f t="shared" si="92"/>
        <v>0</v>
      </c>
      <c r="AY168" s="1734">
        <f t="shared" si="92"/>
        <v>0</v>
      </c>
      <c r="AZ168" s="1734">
        <f t="shared" si="92"/>
        <v>0</v>
      </c>
      <c r="BA168" s="1735">
        <f t="shared" si="92"/>
        <v>0</v>
      </c>
      <c r="BB168" s="1733">
        <f t="shared" si="92"/>
        <v>0</v>
      </c>
      <c r="BC168" s="1734">
        <f t="shared" si="92"/>
        <v>0</v>
      </c>
      <c r="BD168" s="1734">
        <f t="shared" si="92"/>
        <v>0</v>
      </c>
      <c r="BE168" s="1736">
        <f t="shared" si="92"/>
        <v>0</v>
      </c>
      <c r="BF168" s="1733">
        <f t="shared" si="92"/>
        <v>0</v>
      </c>
      <c r="BG168" s="1734">
        <f t="shared" si="92"/>
        <v>0</v>
      </c>
      <c r="BH168" s="1734">
        <f t="shared" si="92"/>
        <v>0</v>
      </c>
      <c r="BI168" s="1735">
        <f t="shared" si="92"/>
        <v>0</v>
      </c>
      <c r="BJ168" s="1733">
        <f t="shared" si="92"/>
        <v>0</v>
      </c>
      <c r="BK168" s="1734">
        <f t="shared" si="92"/>
        <v>0</v>
      </c>
      <c r="BL168" s="1734">
        <f t="shared" si="92"/>
        <v>0</v>
      </c>
      <c r="BM168" s="1735">
        <f t="shared" si="92"/>
        <v>0</v>
      </c>
      <c r="BN168" s="1733">
        <f t="shared" si="92"/>
        <v>0</v>
      </c>
      <c r="BO168" s="1734">
        <f t="shared" si="92"/>
        <v>0</v>
      </c>
      <c r="BP168" s="1734">
        <f t="shared" si="92"/>
        <v>0</v>
      </c>
      <c r="BQ168" s="1735">
        <f t="shared" si="92"/>
        <v>0</v>
      </c>
      <c r="BR168" s="1733">
        <f t="shared" si="92"/>
        <v>0</v>
      </c>
      <c r="BS168" s="1734">
        <f t="shared" si="92"/>
        <v>0</v>
      </c>
      <c r="BT168" s="1734">
        <f t="shared" si="92"/>
        <v>0</v>
      </c>
      <c r="BU168" s="1735">
        <f t="shared" si="92"/>
        <v>0</v>
      </c>
      <c r="BV168" s="1733">
        <f t="shared" si="92"/>
        <v>0</v>
      </c>
      <c r="BW168" s="1734">
        <f t="shared" ref="BW168:EH168" si="93">BW165+BW166-BW167</f>
        <v>0</v>
      </c>
      <c r="BX168" s="1734">
        <f t="shared" si="93"/>
        <v>0</v>
      </c>
      <c r="BY168" s="1735">
        <f t="shared" si="93"/>
        <v>0</v>
      </c>
      <c r="BZ168" s="1733">
        <f t="shared" si="93"/>
        <v>0</v>
      </c>
      <c r="CA168" s="1734">
        <f t="shared" si="93"/>
        <v>0</v>
      </c>
      <c r="CB168" s="1734">
        <f t="shared" si="93"/>
        <v>0</v>
      </c>
      <c r="CC168" s="1735">
        <f t="shared" si="93"/>
        <v>0</v>
      </c>
      <c r="CD168" s="1733">
        <f t="shared" si="93"/>
        <v>0</v>
      </c>
      <c r="CE168" s="1734">
        <f t="shared" si="93"/>
        <v>0</v>
      </c>
      <c r="CF168" s="1734">
        <f t="shared" si="93"/>
        <v>0</v>
      </c>
      <c r="CG168" s="1735">
        <f t="shared" si="93"/>
        <v>0</v>
      </c>
      <c r="CH168" s="1733">
        <f t="shared" si="93"/>
        <v>0</v>
      </c>
      <c r="CI168" s="1734">
        <f t="shared" si="93"/>
        <v>0</v>
      </c>
      <c r="CJ168" s="1734">
        <f t="shared" si="93"/>
        <v>0</v>
      </c>
      <c r="CK168" s="1735">
        <f t="shared" si="93"/>
        <v>0</v>
      </c>
      <c r="CL168" s="1733">
        <f t="shared" si="93"/>
        <v>0</v>
      </c>
      <c r="CM168" s="1734">
        <f t="shared" si="93"/>
        <v>0</v>
      </c>
      <c r="CN168" s="1734">
        <f t="shared" si="93"/>
        <v>0</v>
      </c>
      <c r="CO168" s="1330">
        <f t="shared" si="93"/>
        <v>0</v>
      </c>
      <c r="CP168" s="1733">
        <f t="shared" si="93"/>
        <v>0</v>
      </c>
      <c r="CQ168" s="1734">
        <f t="shared" si="93"/>
        <v>0</v>
      </c>
      <c r="CR168" s="1734">
        <f t="shared" si="93"/>
        <v>0</v>
      </c>
      <c r="CS168" s="1735">
        <f t="shared" si="93"/>
        <v>0</v>
      </c>
      <c r="CT168" s="1733">
        <f t="shared" si="93"/>
        <v>0</v>
      </c>
      <c r="CU168" s="1734">
        <f t="shared" si="93"/>
        <v>0</v>
      </c>
      <c r="CV168" s="1734">
        <f t="shared" si="93"/>
        <v>0</v>
      </c>
      <c r="CW168" s="1735">
        <f t="shared" si="93"/>
        <v>0</v>
      </c>
      <c r="CX168" s="1733">
        <f t="shared" si="93"/>
        <v>0</v>
      </c>
      <c r="CY168" s="1734">
        <f t="shared" si="93"/>
        <v>0</v>
      </c>
      <c r="CZ168" s="1734">
        <f t="shared" si="93"/>
        <v>0</v>
      </c>
      <c r="DA168" s="1735">
        <f t="shared" si="93"/>
        <v>0</v>
      </c>
      <c r="DB168" s="1733">
        <f t="shared" si="93"/>
        <v>0</v>
      </c>
      <c r="DC168" s="1734">
        <f t="shared" si="93"/>
        <v>0</v>
      </c>
      <c r="DD168" s="1734">
        <f t="shared" si="93"/>
        <v>0</v>
      </c>
      <c r="DE168" s="1735">
        <f t="shared" si="93"/>
        <v>0</v>
      </c>
      <c r="DF168" s="1733">
        <f t="shared" si="93"/>
        <v>0</v>
      </c>
      <c r="DG168" s="1734">
        <f t="shared" si="93"/>
        <v>0</v>
      </c>
      <c r="DH168" s="1734">
        <f t="shared" si="93"/>
        <v>0</v>
      </c>
      <c r="DI168" s="1735">
        <f t="shared" si="93"/>
        <v>0</v>
      </c>
      <c r="DJ168" s="1733">
        <f t="shared" si="93"/>
        <v>0</v>
      </c>
      <c r="DK168" s="1734">
        <f t="shared" si="93"/>
        <v>0</v>
      </c>
      <c r="DL168" s="1734">
        <f t="shared" si="93"/>
        <v>0</v>
      </c>
      <c r="DM168" s="1735">
        <f t="shared" si="93"/>
        <v>0</v>
      </c>
      <c r="DN168" s="1733">
        <f t="shared" si="93"/>
        <v>0</v>
      </c>
      <c r="DO168" s="1734">
        <f t="shared" si="93"/>
        <v>0</v>
      </c>
      <c r="DP168" s="1734">
        <f t="shared" si="93"/>
        <v>0</v>
      </c>
      <c r="DQ168" s="1735">
        <f t="shared" si="93"/>
        <v>0</v>
      </c>
      <c r="DR168" s="1733">
        <f t="shared" si="93"/>
        <v>0</v>
      </c>
      <c r="DS168" s="1734">
        <f t="shared" si="93"/>
        <v>0</v>
      </c>
      <c r="DT168" s="1734">
        <f t="shared" si="93"/>
        <v>0</v>
      </c>
      <c r="DU168" s="1735">
        <f t="shared" si="93"/>
        <v>0</v>
      </c>
      <c r="DV168" s="1733">
        <f t="shared" si="93"/>
        <v>0</v>
      </c>
      <c r="DW168" s="1734">
        <f t="shared" si="93"/>
        <v>0</v>
      </c>
      <c r="DX168" s="1734">
        <f t="shared" si="93"/>
        <v>0</v>
      </c>
      <c r="DY168" s="1735">
        <f t="shared" si="93"/>
        <v>0</v>
      </c>
      <c r="DZ168" s="1733">
        <f t="shared" si="93"/>
        <v>0</v>
      </c>
      <c r="EA168" s="1734">
        <f t="shared" si="93"/>
        <v>0</v>
      </c>
      <c r="EB168" s="1734">
        <f t="shared" si="93"/>
        <v>0</v>
      </c>
      <c r="EC168" s="1735">
        <f t="shared" si="93"/>
        <v>0</v>
      </c>
      <c r="ED168" s="1733">
        <f t="shared" si="93"/>
        <v>0</v>
      </c>
      <c r="EE168" s="1734">
        <f t="shared" si="93"/>
        <v>0</v>
      </c>
      <c r="EF168" s="1734">
        <f t="shared" si="93"/>
        <v>0</v>
      </c>
      <c r="EG168" s="1735">
        <f t="shared" si="93"/>
        <v>0</v>
      </c>
      <c r="EH168" s="1733">
        <f t="shared" si="93"/>
        <v>0</v>
      </c>
      <c r="EI168" s="1734">
        <f t="shared" ref="EI168:FQ168" si="94">EI165+EI166-EI167</f>
        <v>0</v>
      </c>
      <c r="EJ168" s="1734">
        <f t="shared" si="94"/>
        <v>0</v>
      </c>
      <c r="EK168" s="1735">
        <f t="shared" si="94"/>
        <v>0</v>
      </c>
      <c r="EL168" s="1733">
        <f t="shared" si="94"/>
        <v>0</v>
      </c>
      <c r="EM168" s="1734">
        <f t="shared" si="94"/>
        <v>0</v>
      </c>
      <c r="EN168" s="1734">
        <f t="shared" si="94"/>
        <v>0</v>
      </c>
      <c r="EO168" s="1735">
        <f t="shared" si="94"/>
        <v>0</v>
      </c>
      <c r="EP168" s="1733">
        <f t="shared" si="94"/>
        <v>0</v>
      </c>
      <c r="EQ168" s="1734">
        <f t="shared" si="94"/>
        <v>0</v>
      </c>
      <c r="ER168" s="1734">
        <f t="shared" si="94"/>
        <v>0</v>
      </c>
      <c r="ES168" s="1735">
        <f t="shared" si="94"/>
        <v>0</v>
      </c>
      <c r="ET168" s="1733">
        <f t="shared" si="94"/>
        <v>0</v>
      </c>
      <c r="EU168" s="1734">
        <f t="shared" si="94"/>
        <v>0</v>
      </c>
      <c r="EV168" s="1734">
        <f t="shared" si="94"/>
        <v>0</v>
      </c>
      <c r="EW168" s="1735">
        <f t="shared" si="94"/>
        <v>0</v>
      </c>
      <c r="EX168" s="1733">
        <f t="shared" si="94"/>
        <v>0</v>
      </c>
      <c r="EY168" s="1734">
        <f t="shared" si="94"/>
        <v>0</v>
      </c>
      <c r="EZ168" s="1734">
        <f t="shared" si="94"/>
        <v>0</v>
      </c>
      <c r="FA168" s="1735">
        <f t="shared" si="94"/>
        <v>0</v>
      </c>
      <c r="FB168" s="1733">
        <f t="shared" si="94"/>
        <v>0</v>
      </c>
      <c r="FC168" s="1734">
        <f t="shared" si="94"/>
        <v>0</v>
      </c>
      <c r="FD168" s="1734">
        <f t="shared" si="94"/>
        <v>0</v>
      </c>
      <c r="FE168" s="1735">
        <f t="shared" si="94"/>
        <v>0</v>
      </c>
      <c r="FF168" s="1733">
        <f t="shared" si="94"/>
        <v>0</v>
      </c>
      <c r="FG168" s="1734">
        <f t="shared" si="94"/>
        <v>0</v>
      </c>
      <c r="FH168" s="1734">
        <f t="shared" si="94"/>
        <v>0</v>
      </c>
      <c r="FI168" s="1735">
        <f t="shared" si="94"/>
        <v>0</v>
      </c>
      <c r="FJ168" s="1733">
        <f t="shared" si="94"/>
        <v>0</v>
      </c>
      <c r="FK168" s="1734">
        <f t="shared" si="94"/>
        <v>0</v>
      </c>
      <c r="FL168" s="1734">
        <f t="shared" si="94"/>
        <v>0</v>
      </c>
      <c r="FM168" s="1735">
        <f t="shared" si="94"/>
        <v>0</v>
      </c>
      <c r="FN168" s="1733">
        <f t="shared" si="94"/>
        <v>0</v>
      </c>
      <c r="FO168" s="1734">
        <f t="shared" si="94"/>
        <v>0</v>
      </c>
      <c r="FP168" s="1734">
        <f t="shared" si="94"/>
        <v>0</v>
      </c>
      <c r="FQ168" s="1737">
        <f t="shared" si="94"/>
        <v>0</v>
      </c>
      <c r="FR168" s="935"/>
      <c r="FS168" s="935"/>
      <c r="FT168" s="935"/>
      <c r="FU168" s="935"/>
      <c r="FV168" s="935"/>
      <c r="FW168" s="935"/>
      <c r="FX168" s="935"/>
      <c r="FY168" s="935"/>
      <c r="FZ168" s="935"/>
      <c r="GA168" s="935"/>
      <c r="GB168" s="935"/>
      <c r="GC168" s="935"/>
      <c r="GD168" s="935"/>
    </row>
    <row r="169" spans="3:186" ht="17.100000000000001" customHeight="1">
      <c r="C169" s="952"/>
      <c r="D169" s="777" t="s">
        <v>1263</v>
      </c>
      <c r="E169" s="747"/>
      <c r="F169" s="1668"/>
      <c r="G169" s="1668"/>
      <c r="H169" s="1668"/>
      <c r="I169" s="1729">
        <v>0</v>
      </c>
      <c r="J169" s="1730">
        <f t="shared" ref="J169:BU169" si="95">ROUND(J165*$I$133*(J164-I164)/365,2)</f>
        <v>0</v>
      </c>
      <c r="K169" s="1730">
        <f t="shared" si="95"/>
        <v>0</v>
      </c>
      <c r="L169" s="1730">
        <f t="shared" si="95"/>
        <v>0</v>
      </c>
      <c r="M169" s="1731">
        <f t="shared" si="95"/>
        <v>0</v>
      </c>
      <c r="N169" s="1732">
        <f t="shared" si="95"/>
        <v>0</v>
      </c>
      <c r="O169" s="1730">
        <f t="shared" si="95"/>
        <v>0</v>
      </c>
      <c r="P169" s="1730">
        <f t="shared" si="95"/>
        <v>0</v>
      </c>
      <c r="Q169" s="1735">
        <f t="shared" si="95"/>
        <v>0</v>
      </c>
      <c r="R169" s="1733">
        <f t="shared" si="95"/>
        <v>0</v>
      </c>
      <c r="S169" s="1734">
        <f t="shared" si="95"/>
        <v>0</v>
      </c>
      <c r="T169" s="1734">
        <f t="shared" si="95"/>
        <v>0</v>
      </c>
      <c r="U169" s="1735">
        <f t="shared" si="95"/>
        <v>0</v>
      </c>
      <c r="V169" s="1733">
        <f t="shared" si="95"/>
        <v>0</v>
      </c>
      <c r="W169" s="1734">
        <f t="shared" si="95"/>
        <v>0</v>
      </c>
      <c r="X169" s="1734">
        <f t="shared" si="95"/>
        <v>0</v>
      </c>
      <c r="Y169" s="1735">
        <f t="shared" si="95"/>
        <v>0</v>
      </c>
      <c r="Z169" s="1733">
        <f t="shared" si="95"/>
        <v>0</v>
      </c>
      <c r="AA169" s="1734">
        <f t="shared" si="95"/>
        <v>0</v>
      </c>
      <c r="AB169" s="1734">
        <f t="shared" si="95"/>
        <v>0</v>
      </c>
      <c r="AC169" s="1735">
        <f t="shared" si="95"/>
        <v>0</v>
      </c>
      <c r="AD169" s="1733">
        <f t="shared" si="95"/>
        <v>0</v>
      </c>
      <c r="AE169" s="1734">
        <f t="shared" si="95"/>
        <v>0</v>
      </c>
      <c r="AF169" s="1734">
        <f t="shared" si="95"/>
        <v>0</v>
      </c>
      <c r="AG169" s="1735">
        <f t="shared" si="95"/>
        <v>0</v>
      </c>
      <c r="AH169" s="1733">
        <f t="shared" si="95"/>
        <v>0</v>
      </c>
      <c r="AI169" s="1734">
        <f t="shared" si="95"/>
        <v>0</v>
      </c>
      <c r="AJ169" s="1734">
        <f t="shared" si="95"/>
        <v>0</v>
      </c>
      <c r="AK169" s="1735">
        <f t="shared" si="95"/>
        <v>0</v>
      </c>
      <c r="AL169" s="1733">
        <f t="shared" si="95"/>
        <v>0</v>
      </c>
      <c r="AM169" s="1734">
        <f t="shared" si="95"/>
        <v>0</v>
      </c>
      <c r="AN169" s="1734">
        <f t="shared" si="95"/>
        <v>0</v>
      </c>
      <c r="AO169" s="1735">
        <f t="shared" si="95"/>
        <v>0</v>
      </c>
      <c r="AP169" s="1733">
        <f t="shared" si="95"/>
        <v>0</v>
      </c>
      <c r="AQ169" s="1734">
        <f t="shared" si="95"/>
        <v>0</v>
      </c>
      <c r="AR169" s="1734">
        <f t="shared" si="95"/>
        <v>0</v>
      </c>
      <c r="AS169" s="1735">
        <f t="shared" si="95"/>
        <v>0</v>
      </c>
      <c r="AT169" s="1733">
        <f t="shared" si="95"/>
        <v>0</v>
      </c>
      <c r="AU169" s="1734">
        <f t="shared" si="95"/>
        <v>0</v>
      </c>
      <c r="AV169" s="1734">
        <f t="shared" si="95"/>
        <v>0</v>
      </c>
      <c r="AW169" s="1735">
        <f t="shared" si="95"/>
        <v>0</v>
      </c>
      <c r="AX169" s="1733">
        <f t="shared" si="95"/>
        <v>0</v>
      </c>
      <c r="AY169" s="1734">
        <f t="shared" si="95"/>
        <v>0</v>
      </c>
      <c r="AZ169" s="1734">
        <f t="shared" si="95"/>
        <v>0</v>
      </c>
      <c r="BA169" s="1735">
        <f t="shared" si="95"/>
        <v>0</v>
      </c>
      <c r="BB169" s="1733">
        <f t="shared" si="95"/>
        <v>0</v>
      </c>
      <c r="BC169" s="1734">
        <f t="shared" si="95"/>
        <v>0</v>
      </c>
      <c r="BD169" s="1734">
        <f t="shared" si="95"/>
        <v>0</v>
      </c>
      <c r="BE169" s="1735">
        <f t="shared" si="95"/>
        <v>0</v>
      </c>
      <c r="BF169" s="1733">
        <f t="shared" si="95"/>
        <v>0</v>
      </c>
      <c r="BG169" s="1734">
        <f t="shared" si="95"/>
        <v>0</v>
      </c>
      <c r="BH169" s="1734">
        <f t="shared" si="95"/>
        <v>0</v>
      </c>
      <c r="BI169" s="1735">
        <f t="shared" si="95"/>
        <v>0</v>
      </c>
      <c r="BJ169" s="1733">
        <f t="shared" si="95"/>
        <v>0</v>
      </c>
      <c r="BK169" s="1734">
        <f t="shared" si="95"/>
        <v>0</v>
      </c>
      <c r="BL169" s="1734">
        <f t="shared" si="95"/>
        <v>0</v>
      </c>
      <c r="BM169" s="1735">
        <f t="shared" si="95"/>
        <v>0</v>
      </c>
      <c r="BN169" s="1733">
        <f t="shared" si="95"/>
        <v>0</v>
      </c>
      <c r="BO169" s="1734">
        <f t="shared" si="95"/>
        <v>0</v>
      </c>
      <c r="BP169" s="1734">
        <f t="shared" si="95"/>
        <v>0</v>
      </c>
      <c r="BQ169" s="1735">
        <f t="shared" si="95"/>
        <v>0</v>
      </c>
      <c r="BR169" s="1733">
        <f t="shared" si="95"/>
        <v>0</v>
      </c>
      <c r="BS169" s="1734">
        <f t="shared" si="95"/>
        <v>0</v>
      </c>
      <c r="BT169" s="1734">
        <f t="shared" si="95"/>
        <v>0</v>
      </c>
      <c r="BU169" s="1735">
        <f t="shared" si="95"/>
        <v>0</v>
      </c>
      <c r="BV169" s="1733">
        <f t="shared" ref="BV169:EG169" si="96">ROUND(BV165*$I$133*(BV164-BU164)/365,2)</f>
        <v>0</v>
      </c>
      <c r="BW169" s="1734">
        <f t="shared" si="96"/>
        <v>0</v>
      </c>
      <c r="BX169" s="1734">
        <f t="shared" si="96"/>
        <v>0</v>
      </c>
      <c r="BY169" s="1735">
        <f t="shared" si="96"/>
        <v>0</v>
      </c>
      <c r="BZ169" s="1733">
        <f t="shared" si="96"/>
        <v>0</v>
      </c>
      <c r="CA169" s="1734">
        <f t="shared" si="96"/>
        <v>0</v>
      </c>
      <c r="CB169" s="1734">
        <f t="shared" si="96"/>
        <v>0</v>
      </c>
      <c r="CC169" s="1735">
        <f t="shared" si="96"/>
        <v>0</v>
      </c>
      <c r="CD169" s="1733">
        <f t="shared" si="96"/>
        <v>0</v>
      </c>
      <c r="CE169" s="1734">
        <f t="shared" si="96"/>
        <v>0</v>
      </c>
      <c r="CF169" s="1734">
        <f t="shared" si="96"/>
        <v>0</v>
      </c>
      <c r="CG169" s="1735">
        <f t="shared" si="96"/>
        <v>0</v>
      </c>
      <c r="CH169" s="1733">
        <f t="shared" si="96"/>
        <v>0</v>
      </c>
      <c r="CI169" s="1734">
        <f t="shared" si="96"/>
        <v>0</v>
      </c>
      <c r="CJ169" s="1734">
        <f t="shared" si="96"/>
        <v>0</v>
      </c>
      <c r="CK169" s="1735">
        <f t="shared" si="96"/>
        <v>0</v>
      </c>
      <c r="CL169" s="1733">
        <f t="shared" si="96"/>
        <v>0</v>
      </c>
      <c r="CM169" s="1734">
        <f t="shared" si="96"/>
        <v>0</v>
      </c>
      <c r="CN169" s="1734">
        <f t="shared" si="96"/>
        <v>0</v>
      </c>
      <c r="CO169" s="1330">
        <f t="shared" si="96"/>
        <v>0</v>
      </c>
      <c r="CP169" s="1733">
        <f t="shared" si="96"/>
        <v>0</v>
      </c>
      <c r="CQ169" s="1734">
        <f t="shared" si="96"/>
        <v>0</v>
      </c>
      <c r="CR169" s="1734">
        <f t="shared" si="96"/>
        <v>0</v>
      </c>
      <c r="CS169" s="1735">
        <f t="shared" si="96"/>
        <v>0</v>
      </c>
      <c r="CT169" s="1733">
        <f t="shared" si="96"/>
        <v>0</v>
      </c>
      <c r="CU169" s="1734">
        <f t="shared" si="96"/>
        <v>0</v>
      </c>
      <c r="CV169" s="1734">
        <f t="shared" si="96"/>
        <v>0</v>
      </c>
      <c r="CW169" s="1735">
        <f t="shared" si="96"/>
        <v>0</v>
      </c>
      <c r="CX169" s="1733">
        <f t="shared" si="96"/>
        <v>0</v>
      </c>
      <c r="CY169" s="1734">
        <f t="shared" si="96"/>
        <v>0</v>
      </c>
      <c r="CZ169" s="1734">
        <f t="shared" si="96"/>
        <v>0</v>
      </c>
      <c r="DA169" s="1735">
        <f t="shared" si="96"/>
        <v>0</v>
      </c>
      <c r="DB169" s="1733">
        <f t="shared" si="96"/>
        <v>0</v>
      </c>
      <c r="DC169" s="1734">
        <f t="shared" si="96"/>
        <v>0</v>
      </c>
      <c r="DD169" s="1734">
        <f t="shared" si="96"/>
        <v>0</v>
      </c>
      <c r="DE169" s="1735">
        <f t="shared" si="96"/>
        <v>0</v>
      </c>
      <c r="DF169" s="1733">
        <f t="shared" si="96"/>
        <v>0</v>
      </c>
      <c r="DG169" s="1734">
        <f t="shared" si="96"/>
        <v>0</v>
      </c>
      <c r="DH169" s="1734">
        <f t="shared" si="96"/>
        <v>0</v>
      </c>
      <c r="DI169" s="1735">
        <f t="shared" si="96"/>
        <v>0</v>
      </c>
      <c r="DJ169" s="1733">
        <f t="shared" si="96"/>
        <v>0</v>
      </c>
      <c r="DK169" s="1734">
        <f t="shared" si="96"/>
        <v>0</v>
      </c>
      <c r="DL169" s="1734">
        <f t="shared" si="96"/>
        <v>0</v>
      </c>
      <c r="DM169" s="1735">
        <f t="shared" si="96"/>
        <v>0</v>
      </c>
      <c r="DN169" s="1733">
        <f t="shared" si="96"/>
        <v>0</v>
      </c>
      <c r="DO169" s="1734">
        <f t="shared" si="96"/>
        <v>0</v>
      </c>
      <c r="DP169" s="1734">
        <f t="shared" si="96"/>
        <v>0</v>
      </c>
      <c r="DQ169" s="1735">
        <f t="shared" si="96"/>
        <v>0</v>
      </c>
      <c r="DR169" s="1733">
        <f t="shared" si="96"/>
        <v>0</v>
      </c>
      <c r="DS169" s="1734">
        <f t="shared" si="96"/>
        <v>0</v>
      </c>
      <c r="DT169" s="1734">
        <f t="shared" si="96"/>
        <v>0</v>
      </c>
      <c r="DU169" s="1735">
        <f t="shared" si="96"/>
        <v>0</v>
      </c>
      <c r="DV169" s="1733">
        <f t="shared" si="96"/>
        <v>0</v>
      </c>
      <c r="DW169" s="1734">
        <f t="shared" si="96"/>
        <v>0</v>
      </c>
      <c r="DX169" s="1734">
        <f t="shared" si="96"/>
        <v>0</v>
      </c>
      <c r="DY169" s="1735">
        <f t="shared" si="96"/>
        <v>0</v>
      </c>
      <c r="DZ169" s="1733">
        <f t="shared" si="96"/>
        <v>0</v>
      </c>
      <c r="EA169" s="1734">
        <f t="shared" si="96"/>
        <v>0</v>
      </c>
      <c r="EB169" s="1734">
        <f t="shared" si="96"/>
        <v>0</v>
      </c>
      <c r="EC169" s="1735">
        <f t="shared" si="96"/>
        <v>0</v>
      </c>
      <c r="ED169" s="1733">
        <f t="shared" si="96"/>
        <v>0</v>
      </c>
      <c r="EE169" s="1734">
        <f t="shared" si="96"/>
        <v>0</v>
      </c>
      <c r="EF169" s="1734">
        <f t="shared" si="96"/>
        <v>0</v>
      </c>
      <c r="EG169" s="1735">
        <f t="shared" si="96"/>
        <v>0</v>
      </c>
      <c r="EH169" s="1733">
        <f t="shared" ref="EH169:FQ169" si="97">ROUND(EH165*$I$133*(EH164-EG164)/365,2)</f>
        <v>0</v>
      </c>
      <c r="EI169" s="1734">
        <f t="shared" si="97"/>
        <v>0</v>
      </c>
      <c r="EJ169" s="1734">
        <f t="shared" si="97"/>
        <v>0</v>
      </c>
      <c r="EK169" s="1735">
        <f t="shared" si="97"/>
        <v>0</v>
      </c>
      <c r="EL169" s="1733">
        <f t="shared" si="97"/>
        <v>0</v>
      </c>
      <c r="EM169" s="1734">
        <f t="shared" si="97"/>
        <v>0</v>
      </c>
      <c r="EN169" s="1734">
        <f t="shared" si="97"/>
        <v>0</v>
      </c>
      <c r="EO169" s="1735">
        <f t="shared" si="97"/>
        <v>0</v>
      </c>
      <c r="EP169" s="1733">
        <f t="shared" si="97"/>
        <v>0</v>
      </c>
      <c r="EQ169" s="1734">
        <f t="shared" si="97"/>
        <v>0</v>
      </c>
      <c r="ER169" s="1734">
        <f t="shared" si="97"/>
        <v>0</v>
      </c>
      <c r="ES169" s="1735">
        <f t="shared" si="97"/>
        <v>0</v>
      </c>
      <c r="ET169" s="1733">
        <f t="shared" si="97"/>
        <v>0</v>
      </c>
      <c r="EU169" s="1734">
        <f t="shared" si="97"/>
        <v>0</v>
      </c>
      <c r="EV169" s="1734">
        <f t="shared" si="97"/>
        <v>0</v>
      </c>
      <c r="EW169" s="1735">
        <f t="shared" si="97"/>
        <v>0</v>
      </c>
      <c r="EX169" s="1733">
        <f t="shared" si="97"/>
        <v>0</v>
      </c>
      <c r="EY169" s="1734">
        <f t="shared" si="97"/>
        <v>0</v>
      </c>
      <c r="EZ169" s="1734">
        <f t="shared" si="97"/>
        <v>0</v>
      </c>
      <c r="FA169" s="1735">
        <f t="shared" si="97"/>
        <v>0</v>
      </c>
      <c r="FB169" s="1733">
        <f t="shared" si="97"/>
        <v>0</v>
      </c>
      <c r="FC169" s="1734">
        <f t="shared" si="97"/>
        <v>0</v>
      </c>
      <c r="FD169" s="1734">
        <f t="shared" si="97"/>
        <v>0</v>
      </c>
      <c r="FE169" s="1735">
        <f t="shared" si="97"/>
        <v>0</v>
      </c>
      <c r="FF169" s="1733">
        <f t="shared" si="97"/>
        <v>0</v>
      </c>
      <c r="FG169" s="1734">
        <f t="shared" si="97"/>
        <v>0</v>
      </c>
      <c r="FH169" s="1734">
        <f t="shared" si="97"/>
        <v>0</v>
      </c>
      <c r="FI169" s="1735">
        <f t="shared" si="97"/>
        <v>0</v>
      </c>
      <c r="FJ169" s="1733">
        <f t="shared" si="97"/>
        <v>0</v>
      </c>
      <c r="FK169" s="1734">
        <f t="shared" si="97"/>
        <v>0</v>
      </c>
      <c r="FL169" s="1734">
        <f t="shared" si="97"/>
        <v>0</v>
      </c>
      <c r="FM169" s="1735">
        <f t="shared" si="97"/>
        <v>0</v>
      </c>
      <c r="FN169" s="1733">
        <f t="shared" si="97"/>
        <v>0</v>
      </c>
      <c r="FO169" s="1734">
        <f t="shared" si="97"/>
        <v>0</v>
      </c>
      <c r="FP169" s="1734">
        <f t="shared" si="97"/>
        <v>0</v>
      </c>
      <c r="FQ169" s="1737">
        <f t="shared" si="97"/>
        <v>0</v>
      </c>
      <c r="FR169" s="935"/>
      <c r="FS169" s="935"/>
      <c r="FT169" s="935"/>
      <c r="FU169" s="935"/>
      <c r="FV169" s="935"/>
      <c r="FW169" s="935"/>
      <c r="FX169" s="935"/>
      <c r="FY169" s="935"/>
      <c r="FZ169" s="935"/>
      <c r="GA169" s="935"/>
      <c r="GB169" s="935"/>
      <c r="GC169" s="935"/>
      <c r="GD169" s="935"/>
    </row>
    <row r="170" spans="3:186" ht="17.100000000000001" customHeight="1">
      <c r="D170" s="754"/>
      <c r="E170" s="755"/>
      <c r="F170" s="755"/>
      <c r="G170" s="755"/>
      <c r="H170" s="755"/>
      <c r="I170" s="934"/>
      <c r="J170" s="935"/>
      <c r="K170" s="935"/>
      <c r="L170" s="935"/>
      <c r="M170" s="935"/>
      <c r="N170" s="935"/>
      <c r="O170" s="935"/>
      <c r="P170" s="935"/>
      <c r="Q170" s="935"/>
      <c r="R170" s="935"/>
      <c r="S170" s="935"/>
      <c r="T170" s="935"/>
      <c r="U170" s="935"/>
      <c r="V170" s="935"/>
      <c r="W170" s="935"/>
      <c r="X170" s="935"/>
      <c r="Y170" s="935"/>
      <c r="Z170" s="935"/>
      <c r="AA170" s="935"/>
      <c r="AB170" s="935"/>
      <c r="AC170" s="935"/>
      <c r="AD170" s="935"/>
      <c r="AE170" s="935"/>
      <c r="AF170" s="935"/>
      <c r="AG170" s="935"/>
      <c r="AH170" s="935"/>
      <c r="AI170" s="935"/>
      <c r="AJ170" s="935"/>
      <c r="AK170" s="935"/>
      <c r="AL170" s="935"/>
      <c r="AM170" s="935"/>
      <c r="AN170" s="935"/>
      <c r="AO170" s="935"/>
      <c r="AP170" s="935"/>
      <c r="AQ170" s="935"/>
      <c r="AR170" s="935"/>
      <c r="AS170" s="935"/>
      <c r="AT170" s="935"/>
      <c r="AU170" s="935"/>
      <c r="AV170" s="935"/>
      <c r="AW170" s="935"/>
      <c r="AX170" s="935"/>
      <c r="AY170" s="935"/>
      <c r="AZ170" s="935"/>
      <c r="BA170" s="935"/>
      <c r="BB170" s="935"/>
      <c r="BC170" s="935"/>
      <c r="BD170" s="935"/>
      <c r="BE170" s="935"/>
      <c r="BF170" s="935"/>
      <c r="BG170" s="935"/>
      <c r="BH170" s="935"/>
      <c r="BI170" s="935"/>
      <c r="BJ170" s="935"/>
      <c r="BK170" s="935"/>
      <c r="BL170" s="935"/>
      <c r="BM170" s="935"/>
      <c r="BN170" s="935"/>
      <c r="BO170" s="935"/>
      <c r="BP170" s="935"/>
      <c r="BQ170" s="935"/>
      <c r="BR170" s="935"/>
      <c r="BS170" s="935"/>
      <c r="BT170" s="935"/>
      <c r="BU170" s="935"/>
      <c r="BV170" s="935"/>
      <c r="BW170" s="935"/>
      <c r="BX170" s="935"/>
      <c r="BY170" s="935"/>
      <c r="BZ170" s="935"/>
      <c r="CA170" s="935"/>
      <c r="CB170" s="935"/>
      <c r="CC170" s="935"/>
      <c r="CD170" s="935"/>
      <c r="CE170" s="935"/>
      <c r="CF170" s="935"/>
      <c r="CG170" s="935"/>
      <c r="CH170" s="935"/>
      <c r="CI170" s="935"/>
      <c r="CJ170" s="935"/>
      <c r="CK170" s="935"/>
      <c r="CL170" s="935"/>
      <c r="CM170" s="935"/>
      <c r="CN170" s="935"/>
      <c r="CO170" s="788"/>
      <c r="CP170" s="935"/>
      <c r="CQ170" s="935"/>
      <c r="CR170" s="935"/>
      <c r="CS170" s="935"/>
      <c r="CT170" s="935"/>
      <c r="CU170" s="935"/>
      <c r="CV170" s="935"/>
      <c r="CW170" s="935"/>
      <c r="CX170" s="935"/>
      <c r="CY170" s="935"/>
      <c r="CZ170" s="935"/>
      <c r="DA170" s="935"/>
      <c r="DB170" s="935"/>
      <c r="DC170" s="935"/>
      <c r="DD170" s="935"/>
      <c r="DE170" s="935"/>
      <c r="DF170" s="935"/>
      <c r="DG170" s="935"/>
      <c r="DH170" s="935"/>
      <c r="DI170" s="935"/>
      <c r="DJ170" s="935"/>
      <c r="DK170" s="935"/>
      <c r="DL170" s="935"/>
      <c r="DM170" s="935"/>
      <c r="DN170" s="935"/>
      <c r="DO170" s="935"/>
      <c r="DP170" s="935"/>
      <c r="DQ170" s="935"/>
      <c r="DR170" s="935"/>
      <c r="DS170" s="935"/>
      <c r="DT170" s="935"/>
      <c r="DU170" s="935"/>
      <c r="DV170" s="935"/>
      <c r="DW170" s="935"/>
      <c r="DX170" s="935"/>
      <c r="DY170" s="935"/>
      <c r="DZ170" s="935"/>
      <c r="EA170" s="935"/>
      <c r="EB170" s="935"/>
      <c r="EC170" s="935"/>
      <c r="ED170" s="935"/>
      <c r="EE170" s="935"/>
      <c r="EF170" s="935"/>
      <c r="EG170" s="935"/>
      <c r="EH170" s="935"/>
      <c r="EI170" s="935"/>
      <c r="EJ170" s="935"/>
      <c r="EK170" s="935"/>
      <c r="EL170" s="935"/>
      <c r="EM170" s="935"/>
      <c r="EN170" s="935"/>
      <c r="EO170" s="935"/>
      <c r="EP170" s="935"/>
      <c r="EQ170" s="935"/>
      <c r="ER170" s="935"/>
      <c r="ES170" s="935"/>
      <c r="ET170" s="935"/>
      <c r="EU170" s="935"/>
      <c r="EV170" s="935"/>
      <c r="EW170" s="935"/>
      <c r="EX170" s="935"/>
      <c r="EY170" s="935"/>
      <c r="EZ170" s="935"/>
      <c r="FA170" s="935"/>
      <c r="FB170" s="935"/>
      <c r="FC170" s="935"/>
      <c r="FD170" s="935"/>
      <c r="FE170" s="935"/>
      <c r="FF170" s="935"/>
      <c r="FG170" s="935"/>
      <c r="FH170" s="935"/>
      <c r="FI170" s="935"/>
      <c r="FJ170" s="935"/>
      <c r="FK170" s="935"/>
      <c r="FL170" s="935"/>
      <c r="FM170" s="935"/>
      <c r="FN170" s="935"/>
      <c r="FO170" s="935"/>
      <c r="FP170" s="935"/>
      <c r="FQ170" s="935"/>
      <c r="FR170" s="935"/>
      <c r="FS170" s="935"/>
      <c r="FT170" s="935"/>
      <c r="FU170" s="935"/>
      <c r="FV170" s="935"/>
      <c r="FW170" s="935"/>
      <c r="FX170" s="935"/>
      <c r="FY170" s="935"/>
      <c r="FZ170" s="935"/>
      <c r="GA170" s="935"/>
      <c r="GB170" s="935"/>
      <c r="GC170" s="935"/>
      <c r="GD170" s="935"/>
    </row>
    <row r="171" spans="3:186" ht="17.100000000000001" customHeight="1">
      <c r="C171" s="302" t="s">
        <v>1376</v>
      </c>
      <c r="I171" s="1738"/>
      <c r="J171" s="1714"/>
      <c r="K171" s="1714"/>
      <c r="L171" s="1714"/>
      <c r="M171" s="1714"/>
      <c r="N171" s="1714"/>
      <c r="O171" s="1714"/>
      <c r="P171" s="1714"/>
      <c r="Q171" s="1714"/>
      <c r="R171" s="1714"/>
      <c r="S171" s="1714"/>
      <c r="T171" s="1714"/>
      <c r="U171" s="1714"/>
      <c r="V171" s="1714"/>
      <c r="W171" s="788"/>
      <c r="X171" s="788"/>
      <c r="Y171" s="788"/>
      <c r="Z171" s="788"/>
      <c r="AA171" s="788"/>
      <c r="AB171" s="788"/>
      <c r="AC171" s="788"/>
      <c r="AD171" s="788"/>
      <c r="AE171" s="788"/>
      <c r="AF171" s="788"/>
      <c r="AG171" s="788"/>
      <c r="AH171" s="788"/>
      <c r="AI171" s="788"/>
      <c r="AJ171" s="788"/>
      <c r="AK171" s="788"/>
      <c r="AL171" s="788"/>
      <c r="AM171" s="788"/>
      <c r="AN171" s="788"/>
      <c r="AO171" s="788"/>
      <c r="AP171" s="788"/>
      <c r="AQ171" s="788"/>
      <c r="AR171" s="788"/>
      <c r="AS171" s="788"/>
      <c r="AT171" s="788"/>
      <c r="AU171" s="788"/>
      <c r="AV171" s="788"/>
      <c r="AW171" s="788"/>
      <c r="AX171" s="788"/>
      <c r="AY171" s="788"/>
      <c r="AZ171" s="788"/>
      <c r="BA171" s="788"/>
      <c r="BB171" s="788"/>
    </row>
    <row r="172" spans="3:186" ht="17.100000000000001" customHeight="1">
      <c r="C172" s="717"/>
      <c r="D172" s="718" t="s">
        <v>780</v>
      </c>
      <c r="E172" s="719"/>
      <c r="F172" s="718"/>
      <c r="G172" s="718"/>
      <c r="H172" s="718"/>
      <c r="I172" s="1684">
        <f>I$112</f>
        <v>2018</v>
      </c>
      <c r="J172" s="766">
        <f t="shared" ref="J172:BB172" si="98">J$112</f>
        <v>2019</v>
      </c>
      <c r="K172" s="766">
        <f t="shared" si="98"/>
        <v>2020</v>
      </c>
      <c r="L172" s="766">
        <f t="shared" si="98"/>
        <v>2021</v>
      </c>
      <c r="M172" s="766">
        <f t="shared" si="98"/>
        <v>2022</v>
      </c>
      <c r="N172" s="766">
        <f t="shared" si="98"/>
        <v>2023</v>
      </c>
      <c r="O172" s="766">
        <f t="shared" si="98"/>
        <v>2024</v>
      </c>
      <c r="P172" s="766">
        <f t="shared" si="98"/>
        <v>2025</v>
      </c>
      <c r="Q172" s="766">
        <f t="shared" si="98"/>
        <v>2026</v>
      </c>
      <c r="R172" s="766">
        <f t="shared" si="98"/>
        <v>2027</v>
      </c>
      <c r="S172" s="766">
        <f t="shared" si="98"/>
        <v>2028</v>
      </c>
      <c r="T172" s="766">
        <f t="shared" si="98"/>
        <v>2029</v>
      </c>
      <c r="U172" s="766">
        <f t="shared" si="98"/>
        <v>2030</v>
      </c>
      <c r="V172" s="766">
        <f t="shared" si="98"/>
        <v>2031</v>
      </c>
      <c r="W172" s="766">
        <f t="shared" si="98"/>
        <v>2032</v>
      </c>
      <c r="X172" s="766">
        <f t="shared" si="98"/>
        <v>2033</v>
      </c>
      <c r="Y172" s="766">
        <f t="shared" si="98"/>
        <v>2034</v>
      </c>
      <c r="Z172" s="766">
        <f t="shared" si="98"/>
        <v>2035</v>
      </c>
      <c r="AA172" s="766">
        <f t="shared" si="98"/>
        <v>2036</v>
      </c>
      <c r="AB172" s="766">
        <f t="shared" si="98"/>
        <v>2037</v>
      </c>
      <c r="AC172" s="766">
        <f t="shared" si="98"/>
        <v>2038</v>
      </c>
      <c r="AD172" s="766">
        <f t="shared" si="98"/>
        <v>2039</v>
      </c>
      <c r="AE172" s="766">
        <f t="shared" si="98"/>
        <v>2040</v>
      </c>
      <c r="AF172" s="766">
        <f t="shared" si="98"/>
        <v>2041</v>
      </c>
      <c r="AG172" s="766">
        <f t="shared" si="98"/>
        <v>2042</v>
      </c>
      <c r="AH172" s="766">
        <f t="shared" si="98"/>
        <v>2043</v>
      </c>
      <c r="AI172" s="766">
        <f t="shared" si="98"/>
        <v>2044</v>
      </c>
      <c r="AJ172" s="766">
        <f t="shared" si="98"/>
        <v>2045</v>
      </c>
      <c r="AK172" s="766">
        <f t="shared" si="98"/>
        <v>2046</v>
      </c>
      <c r="AL172" s="766">
        <f t="shared" si="98"/>
        <v>2047</v>
      </c>
      <c r="AM172" s="766">
        <f t="shared" si="98"/>
        <v>2048</v>
      </c>
      <c r="AN172" s="766">
        <f t="shared" si="98"/>
        <v>2049</v>
      </c>
      <c r="AO172" s="766">
        <f t="shared" si="98"/>
        <v>2050</v>
      </c>
      <c r="AP172" s="766">
        <f t="shared" si="98"/>
        <v>2051</v>
      </c>
      <c r="AQ172" s="766">
        <f t="shared" si="98"/>
        <v>2052</v>
      </c>
      <c r="AR172" s="766">
        <f t="shared" si="98"/>
        <v>2053</v>
      </c>
      <c r="AS172" s="766">
        <f t="shared" si="98"/>
        <v>2054</v>
      </c>
      <c r="AT172" s="766">
        <f t="shared" si="98"/>
        <v>2055</v>
      </c>
      <c r="AU172" s="766">
        <f t="shared" si="98"/>
        <v>2056</v>
      </c>
      <c r="AV172" s="766">
        <f t="shared" si="98"/>
        <v>2057</v>
      </c>
      <c r="AW172" s="766">
        <f t="shared" si="98"/>
        <v>2058</v>
      </c>
      <c r="AX172" s="766">
        <f t="shared" si="98"/>
        <v>2059</v>
      </c>
      <c r="AY172" s="766">
        <f t="shared" si="98"/>
        <v>2060</v>
      </c>
      <c r="AZ172" s="766">
        <f t="shared" si="98"/>
        <v>2061</v>
      </c>
      <c r="BA172" s="766">
        <f t="shared" si="98"/>
        <v>2062</v>
      </c>
      <c r="BB172" s="766">
        <f t="shared" si="98"/>
        <v>2063</v>
      </c>
    </row>
    <row r="173" spans="3:186" ht="17.100000000000001" customHeight="1">
      <c r="C173" s="720"/>
      <c r="D173" s="774" t="s">
        <v>1080</v>
      </c>
      <c r="E173" s="722"/>
      <c r="F173" s="1625"/>
      <c r="G173" s="1625"/>
      <c r="H173" s="1625"/>
      <c r="I173" s="1666"/>
      <c r="J173" s="1666">
        <f t="shared" ref="J173:BB173" si="99">I176</f>
        <v>0</v>
      </c>
      <c r="K173" s="1666">
        <f t="shared" si="99"/>
        <v>0</v>
      </c>
      <c r="L173" s="1360">
        <f t="shared" si="99"/>
        <v>0</v>
      </c>
      <c r="M173" s="1360">
        <f t="shared" si="99"/>
        <v>0</v>
      </c>
      <c r="N173" s="1360">
        <f t="shared" si="99"/>
        <v>0</v>
      </c>
      <c r="O173" s="1360">
        <f t="shared" si="99"/>
        <v>0</v>
      </c>
      <c r="P173" s="1360">
        <f t="shared" si="99"/>
        <v>0</v>
      </c>
      <c r="Q173" s="1360">
        <f t="shared" si="99"/>
        <v>0</v>
      </c>
      <c r="R173" s="1360">
        <f t="shared" si="99"/>
        <v>0</v>
      </c>
      <c r="S173" s="1360">
        <f t="shared" si="99"/>
        <v>0</v>
      </c>
      <c r="T173" s="1360">
        <f t="shared" si="99"/>
        <v>0</v>
      </c>
      <c r="U173" s="1360">
        <f t="shared" si="99"/>
        <v>0</v>
      </c>
      <c r="V173" s="1360">
        <f t="shared" si="99"/>
        <v>0</v>
      </c>
      <c r="W173" s="1360">
        <f t="shared" si="99"/>
        <v>0</v>
      </c>
      <c r="X173" s="1360">
        <f t="shared" si="99"/>
        <v>0</v>
      </c>
      <c r="Y173" s="1360">
        <f t="shared" si="99"/>
        <v>0</v>
      </c>
      <c r="Z173" s="1360">
        <f t="shared" si="99"/>
        <v>0</v>
      </c>
      <c r="AA173" s="1360">
        <f t="shared" si="99"/>
        <v>0</v>
      </c>
      <c r="AB173" s="1360">
        <f t="shared" si="99"/>
        <v>0</v>
      </c>
      <c r="AC173" s="1360">
        <f t="shared" si="99"/>
        <v>0</v>
      </c>
      <c r="AD173" s="1360">
        <f t="shared" si="99"/>
        <v>0</v>
      </c>
      <c r="AE173" s="1360">
        <f t="shared" si="99"/>
        <v>0</v>
      </c>
      <c r="AF173" s="1360">
        <f t="shared" si="99"/>
        <v>0</v>
      </c>
      <c r="AG173" s="1360">
        <f t="shared" si="99"/>
        <v>0</v>
      </c>
      <c r="AH173" s="1360">
        <f t="shared" si="99"/>
        <v>0</v>
      </c>
      <c r="AI173" s="1360">
        <f t="shared" si="99"/>
        <v>0</v>
      </c>
      <c r="AJ173" s="1360">
        <f t="shared" si="99"/>
        <v>0</v>
      </c>
      <c r="AK173" s="1360">
        <f t="shared" si="99"/>
        <v>0</v>
      </c>
      <c r="AL173" s="1360">
        <f t="shared" si="99"/>
        <v>0</v>
      </c>
      <c r="AM173" s="1360">
        <f t="shared" si="99"/>
        <v>0</v>
      </c>
      <c r="AN173" s="1360">
        <f t="shared" si="99"/>
        <v>0</v>
      </c>
      <c r="AO173" s="1360">
        <f t="shared" si="99"/>
        <v>0</v>
      </c>
      <c r="AP173" s="1360">
        <f t="shared" si="99"/>
        <v>0</v>
      </c>
      <c r="AQ173" s="1360">
        <f t="shared" si="99"/>
        <v>0</v>
      </c>
      <c r="AR173" s="1360">
        <f t="shared" si="99"/>
        <v>0</v>
      </c>
      <c r="AS173" s="1360">
        <f t="shared" si="99"/>
        <v>0</v>
      </c>
      <c r="AT173" s="1360">
        <f t="shared" si="99"/>
        <v>0</v>
      </c>
      <c r="AU173" s="1360">
        <f t="shared" si="99"/>
        <v>0</v>
      </c>
      <c r="AV173" s="1360">
        <f t="shared" si="99"/>
        <v>0</v>
      </c>
      <c r="AW173" s="1360">
        <f t="shared" si="99"/>
        <v>0</v>
      </c>
      <c r="AX173" s="1360">
        <f t="shared" si="99"/>
        <v>0</v>
      </c>
      <c r="AY173" s="1360">
        <f t="shared" si="99"/>
        <v>0</v>
      </c>
      <c r="AZ173" s="1360">
        <f t="shared" si="99"/>
        <v>0</v>
      </c>
      <c r="BA173" s="1360">
        <f t="shared" si="99"/>
        <v>0</v>
      </c>
      <c r="BB173" s="1360">
        <f t="shared" si="99"/>
        <v>0</v>
      </c>
    </row>
    <row r="174" spans="3:186" ht="17.100000000000001" customHeight="1">
      <c r="C174" s="1409"/>
      <c r="D174" s="1410" t="s">
        <v>1270</v>
      </c>
      <c r="E174" s="1411"/>
      <c r="F174" s="1667"/>
      <c r="G174" s="1667"/>
      <c r="H174" s="1667"/>
      <c r="I174" s="945"/>
      <c r="J174" s="945">
        <f t="shared" ref="J174:BB174" si="100">SUMIF(3:3,J172,166:166)</f>
        <v>0</v>
      </c>
      <c r="K174" s="945">
        <f t="shared" si="100"/>
        <v>0</v>
      </c>
      <c r="L174" s="946">
        <f t="shared" si="100"/>
        <v>0</v>
      </c>
      <c r="M174" s="946">
        <f t="shared" si="100"/>
        <v>0</v>
      </c>
      <c r="N174" s="946">
        <f t="shared" si="100"/>
        <v>0</v>
      </c>
      <c r="O174" s="946">
        <f t="shared" si="100"/>
        <v>0</v>
      </c>
      <c r="P174" s="946">
        <f t="shared" si="100"/>
        <v>0</v>
      </c>
      <c r="Q174" s="946">
        <f t="shared" si="100"/>
        <v>0</v>
      </c>
      <c r="R174" s="946">
        <f t="shared" si="100"/>
        <v>0</v>
      </c>
      <c r="S174" s="946">
        <f t="shared" si="100"/>
        <v>0</v>
      </c>
      <c r="T174" s="946">
        <f t="shared" si="100"/>
        <v>0</v>
      </c>
      <c r="U174" s="946">
        <f t="shared" si="100"/>
        <v>0</v>
      </c>
      <c r="V174" s="946">
        <f t="shared" si="100"/>
        <v>0</v>
      </c>
      <c r="W174" s="946">
        <f t="shared" si="100"/>
        <v>0</v>
      </c>
      <c r="X174" s="946">
        <f t="shared" si="100"/>
        <v>0</v>
      </c>
      <c r="Y174" s="946">
        <f t="shared" si="100"/>
        <v>0</v>
      </c>
      <c r="Z174" s="946">
        <f t="shared" si="100"/>
        <v>0</v>
      </c>
      <c r="AA174" s="946">
        <f t="shared" si="100"/>
        <v>0</v>
      </c>
      <c r="AB174" s="946">
        <f t="shared" si="100"/>
        <v>0</v>
      </c>
      <c r="AC174" s="946">
        <f t="shared" si="100"/>
        <v>0</v>
      </c>
      <c r="AD174" s="946">
        <f t="shared" si="100"/>
        <v>0</v>
      </c>
      <c r="AE174" s="946">
        <f t="shared" si="100"/>
        <v>0</v>
      </c>
      <c r="AF174" s="946">
        <f t="shared" si="100"/>
        <v>0</v>
      </c>
      <c r="AG174" s="946">
        <f t="shared" si="100"/>
        <v>0</v>
      </c>
      <c r="AH174" s="946">
        <f t="shared" si="100"/>
        <v>0</v>
      </c>
      <c r="AI174" s="946">
        <f t="shared" si="100"/>
        <v>0</v>
      </c>
      <c r="AJ174" s="946">
        <f t="shared" si="100"/>
        <v>0</v>
      </c>
      <c r="AK174" s="946">
        <f t="shared" si="100"/>
        <v>0</v>
      </c>
      <c r="AL174" s="946">
        <f t="shared" si="100"/>
        <v>0</v>
      </c>
      <c r="AM174" s="946">
        <f t="shared" si="100"/>
        <v>0</v>
      </c>
      <c r="AN174" s="946">
        <f t="shared" si="100"/>
        <v>0</v>
      </c>
      <c r="AO174" s="946">
        <f t="shared" si="100"/>
        <v>0</v>
      </c>
      <c r="AP174" s="946">
        <f t="shared" si="100"/>
        <v>0</v>
      </c>
      <c r="AQ174" s="946">
        <f t="shared" si="100"/>
        <v>0</v>
      </c>
      <c r="AR174" s="946">
        <f t="shared" si="100"/>
        <v>0</v>
      </c>
      <c r="AS174" s="946">
        <f t="shared" si="100"/>
        <v>0</v>
      </c>
      <c r="AT174" s="946">
        <f t="shared" si="100"/>
        <v>0</v>
      </c>
      <c r="AU174" s="946">
        <f t="shared" si="100"/>
        <v>0</v>
      </c>
      <c r="AV174" s="946">
        <f t="shared" si="100"/>
        <v>0</v>
      </c>
      <c r="AW174" s="946">
        <f t="shared" si="100"/>
        <v>0</v>
      </c>
      <c r="AX174" s="946">
        <f t="shared" si="100"/>
        <v>0</v>
      </c>
      <c r="AY174" s="946">
        <f t="shared" si="100"/>
        <v>0</v>
      </c>
      <c r="AZ174" s="946">
        <f t="shared" si="100"/>
        <v>0</v>
      </c>
      <c r="BA174" s="946">
        <f t="shared" si="100"/>
        <v>0</v>
      </c>
      <c r="BB174" s="946">
        <f t="shared" si="100"/>
        <v>0</v>
      </c>
    </row>
    <row r="175" spans="3:186" ht="17.100000000000001" customHeight="1">
      <c r="C175" s="1415"/>
      <c r="D175" s="1416" t="s">
        <v>1271</v>
      </c>
      <c r="E175" s="1352"/>
      <c r="F175" s="1685"/>
      <c r="G175" s="1685"/>
      <c r="H175" s="1685"/>
      <c r="I175" s="1686"/>
      <c r="J175" s="1686">
        <f>J173*(J172=YEAR(Sensitivity!$E$9))</f>
        <v>0</v>
      </c>
      <c r="K175" s="1686">
        <f>K173*(K172=YEAR(Sensitivity!$E$9))</f>
        <v>0</v>
      </c>
      <c r="L175" s="1353">
        <f>L173*(L172=YEAR(Sensitivity!$E$9))</f>
        <v>0</v>
      </c>
      <c r="M175" s="1353">
        <f>M173*(M172=YEAR(Sensitivity!$E$9))</f>
        <v>0</v>
      </c>
      <c r="N175" s="1353">
        <f>N173*(N172=YEAR(Sensitivity!$E$9))</f>
        <v>0</v>
      </c>
      <c r="O175" s="1353">
        <f>O173*(O172=YEAR(Sensitivity!$E$9))</f>
        <v>0</v>
      </c>
      <c r="P175" s="1353">
        <f>P173*(P172=YEAR(Sensitivity!$E$9))</f>
        <v>0</v>
      </c>
      <c r="Q175" s="1353">
        <f>Q173*(Q172=YEAR(Sensitivity!$E$9))</f>
        <v>0</v>
      </c>
      <c r="R175" s="1353">
        <f>R173*(R172=YEAR(Sensitivity!$E$9))</f>
        <v>0</v>
      </c>
      <c r="S175" s="1353">
        <f>S173*(S172=YEAR(Sensitivity!$E$9))</f>
        <v>0</v>
      </c>
      <c r="T175" s="1353">
        <f>T173*(T172=YEAR(Sensitivity!$E$9))</f>
        <v>0</v>
      </c>
      <c r="U175" s="1353">
        <f>U173*(U172=YEAR(Sensitivity!$E$9))</f>
        <v>0</v>
      </c>
      <c r="V175" s="1353">
        <f>V173*(V172=YEAR(Sensitivity!$E$9))</f>
        <v>0</v>
      </c>
      <c r="W175" s="1353">
        <f>W173*(W172=YEAR(Sensitivity!$E$9))</f>
        <v>0</v>
      </c>
      <c r="X175" s="1353">
        <f>X173*(X172=YEAR(Sensitivity!$E$9))</f>
        <v>0</v>
      </c>
      <c r="Y175" s="1353">
        <f>Y173*(Y172=YEAR(Sensitivity!$E$9))</f>
        <v>0</v>
      </c>
      <c r="Z175" s="1353">
        <f>Z173*(Z172=YEAR(Sensitivity!$E$9))</f>
        <v>0</v>
      </c>
      <c r="AA175" s="1353">
        <f>AA173*(AA172=YEAR(Sensitivity!$E$9))</f>
        <v>0</v>
      </c>
      <c r="AB175" s="1353">
        <f>AB173*(AB172=YEAR(Sensitivity!$E$9))</f>
        <v>0</v>
      </c>
      <c r="AC175" s="1353">
        <f>AC173*(AC172=YEAR(Sensitivity!$E$9))</f>
        <v>0</v>
      </c>
      <c r="AD175" s="1353">
        <f>AD173*(AD172=YEAR(Sensitivity!$E$9))</f>
        <v>0</v>
      </c>
      <c r="AE175" s="1353">
        <f>AE173*(AE172=YEAR(Sensitivity!$E$9))</f>
        <v>0</v>
      </c>
      <c r="AF175" s="1353">
        <f>AF173*(AF172=YEAR(Sensitivity!$E$9))</f>
        <v>0</v>
      </c>
      <c r="AG175" s="1353">
        <f>AG173*(AG172=YEAR(Sensitivity!$E$9))</f>
        <v>0</v>
      </c>
      <c r="AH175" s="1353">
        <f>AH173*(AH172=YEAR(Sensitivity!$E$9))</f>
        <v>0</v>
      </c>
      <c r="AI175" s="1353">
        <f>AI173*(AI172=YEAR(Sensitivity!$E$9))</f>
        <v>0</v>
      </c>
      <c r="AJ175" s="1353">
        <f>AJ173*(AJ172=YEAR(Sensitivity!$E$9))</f>
        <v>0</v>
      </c>
      <c r="AK175" s="1353">
        <f>AK173*(AK172=YEAR(Sensitivity!$E$9))</f>
        <v>0</v>
      </c>
      <c r="AL175" s="1353">
        <f>AL173*(AL172=YEAR(Sensitivity!$E$9))</f>
        <v>0</v>
      </c>
      <c r="AM175" s="1353">
        <f>AM173*(AM172=YEAR(Sensitivity!$E$9))</f>
        <v>0</v>
      </c>
      <c r="AN175" s="1353">
        <f>AN173*(AN172=YEAR(Sensitivity!$E$9))</f>
        <v>0</v>
      </c>
      <c r="AO175" s="1353">
        <f>AO173*(AO172=YEAR(Sensitivity!$E$9))</f>
        <v>0</v>
      </c>
      <c r="AP175" s="1353">
        <f>AP173*(AP172=YEAR(Sensitivity!$E$9))</f>
        <v>0</v>
      </c>
      <c r="AQ175" s="1353">
        <f>AQ173*(AQ172=YEAR(Sensitivity!$E$9))</f>
        <v>0</v>
      </c>
      <c r="AR175" s="1353">
        <f>AR173*(AR172=YEAR(Sensitivity!$E$9))</f>
        <v>0</v>
      </c>
      <c r="AS175" s="1353">
        <f>AS173*(AS172=YEAR(Sensitivity!$E$9))</f>
        <v>0</v>
      </c>
      <c r="AT175" s="1353">
        <f>AT173*(AT172=YEAR(Sensitivity!$E$9))</f>
        <v>0</v>
      </c>
      <c r="AU175" s="1353">
        <f>AU173*(AU172=YEAR(Sensitivity!$E$9))</f>
        <v>0</v>
      </c>
      <c r="AV175" s="1353">
        <f>AV173*(AV172=YEAR(Sensitivity!$E$9))</f>
        <v>0</v>
      </c>
      <c r="AW175" s="1353">
        <f>AW173*(AW172=YEAR(Sensitivity!$E$9))</f>
        <v>0</v>
      </c>
      <c r="AX175" s="1353">
        <f>AX173*(AX172=YEAR(Sensitivity!$E$9))</f>
        <v>0</v>
      </c>
      <c r="AY175" s="1353">
        <f>AY173*(AY172=YEAR(Sensitivity!$E$9))</f>
        <v>0</v>
      </c>
      <c r="AZ175" s="1353">
        <f>AZ173*(AZ172=YEAR(Sensitivity!$E$9))</f>
        <v>0</v>
      </c>
      <c r="BA175" s="1353">
        <f>BA173*(BA172=YEAR(Sensitivity!$E$9))</f>
        <v>0</v>
      </c>
      <c r="BB175" s="1353">
        <f>BB173*(BB172=YEAR(Sensitivity!$E$9))</f>
        <v>0</v>
      </c>
    </row>
    <row r="176" spans="3:186" ht="17.100000000000001" customHeight="1">
      <c r="C176" s="952"/>
      <c r="D176" s="777" t="s">
        <v>1096</v>
      </c>
      <c r="E176" s="747"/>
      <c r="F176" s="1668"/>
      <c r="G176" s="1668"/>
      <c r="H176" s="1668"/>
      <c r="I176" s="1639">
        <f>I34</f>
        <v>0</v>
      </c>
      <c r="J176" s="1639">
        <f t="shared" ref="J176:BB176" si="101">J173+J174-J175</f>
        <v>0</v>
      </c>
      <c r="K176" s="954">
        <f t="shared" si="101"/>
        <v>0</v>
      </c>
      <c r="L176" s="954">
        <f t="shared" si="101"/>
        <v>0</v>
      </c>
      <c r="M176" s="954">
        <f t="shared" si="101"/>
        <v>0</v>
      </c>
      <c r="N176" s="954">
        <f t="shared" si="101"/>
        <v>0</v>
      </c>
      <c r="O176" s="954">
        <f t="shared" si="101"/>
        <v>0</v>
      </c>
      <c r="P176" s="954">
        <f t="shared" si="101"/>
        <v>0</v>
      </c>
      <c r="Q176" s="954">
        <f t="shared" si="101"/>
        <v>0</v>
      </c>
      <c r="R176" s="954">
        <f t="shared" si="101"/>
        <v>0</v>
      </c>
      <c r="S176" s="954">
        <f t="shared" si="101"/>
        <v>0</v>
      </c>
      <c r="T176" s="954">
        <f t="shared" si="101"/>
        <v>0</v>
      </c>
      <c r="U176" s="954">
        <f t="shared" si="101"/>
        <v>0</v>
      </c>
      <c r="V176" s="954">
        <f t="shared" si="101"/>
        <v>0</v>
      </c>
      <c r="W176" s="954">
        <f t="shared" si="101"/>
        <v>0</v>
      </c>
      <c r="X176" s="954">
        <f t="shared" si="101"/>
        <v>0</v>
      </c>
      <c r="Y176" s="954">
        <f t="shared" si="101"/>
        <v>0</v>
      </c>
      <c r="Z176" s="954">
        <f t="shared" si="101"/>
        <v>0</v>
      </c>
      <c r="AA176" s="954">
        <f t="shared" si="101"/>
        <v>0</v>
      </c>
      <c r="AB176" s="954">
        <f t="shared" si="101"/>
        <v>0</v>
      </c>
      <c r="AC176" s="954">
        <f t="shared" si="101"/>
        <v>0</v>
      </c>
      <c r="AD176" s="954">
        <f t="shared" si="101"/>
        <v>0</v>
      </c>
      <c r="AE176" s="954">
        <f t="shared" si="101"/>
        <v>0</v>
      </c>
      <c r="AF176" s="954">
        <f t="shared" si="101"/>
        <v>0</v>
      </c>
      <c r="AG176" s="954">
        <f t="shared" si="101"/>
        <v>0</v>
      </c>
      <c r="AH176" s="954">
        <f t="shared" si="101"/>
        <v>0</v>
      </c>
      <c r="AI176" s="954">
        <f t="shared" si="101"/>
        <v>0</v>
      </c>
      <c r="AJ176" s="954">
        <f t="shared" si="101"/>
        <v>0</v>
      </c>
      <c r="AK176" s="954">
        <f t="shared" si="101"/>
        <v>0</v>
      </c>
      <c r="AL176" s="954">
        <f t="shared" si="101"/>
        <v>0</v>
      </c>
      <c r="AM176" s="954">
        <f t="shared" si="101"/>
        <v>0</v>
      </c>
      <c r="AN176" s="954">
        <f t="shared" si="101"/>
        <v>0</v>
      </c>
      <c r="AO176" s="954">
        <f t="shared" si="101"/>
        <v>0</v>
      </c>
      <c r="AP176" s="954">
        <f t="shared" si="101"/>
        <v>0</v>
      </c>
      <c r="AQ176" s="954">
        <f t="shared" si="101"/>
        <v>0</v>
      </c>
      <c r="AR176" s="954">
        <f t="shared" si="101"/>
        <v>0</v>
      </c>
      <c r="AS176" s="954">
        <f t="shared" si="101"/>
        <v>0</v>
      </c>
      <c r="AT176" s="954">
        <f t="shared" si="101"/>
        <v>0</v>
      </c>
      <c r="AU176" s="954">
        <f t="shared" si="101"/>
        <v>0</v>
      </c>
      <c r="AV176" s="954">
        <f t="shared" si="101"/>
        <v>0</v>
      </c>
      <c r="AW176" s="954">
        <f t="shared" si="101"/>
        <v>0</v>
      </c>
      <c r="AX176" s="954">
        <f t="shared" si="101"/>
        <v>0</v>
      </c>
      <c r="AY176" s="954">
        <f t="shared" si="101"/>
        <v>0</v>
      </c>
      <c r="AZ176" s="954">
        <f t="shared" si="101"/>
        <v>0</v>
      </c>
      <c r="BA176" s="954">
        <f t="shared" si="101"/>
        <v>0</v>
      </c>
      <c r="BB176" s="954">
        <f t="shared" si="101"/>
        <v>0</v>
      </c>
    </row>
    <row r="177" spans="3:190" ht="17.100000000000001" customHeight="1">
      <c r="D177" s="754"/>
      <c r="E177" s="755"/>
      <c r="F177" s="755"/>
      <c r="G177" s="755"/>
      <c r="H177" s="755"/>
      <c r="I177" s="934"/>
      <c r="J177" s="935"/>
      <c r="K177" s="935"/>
      <c r="L177" s="935"/>
      <c r="M177" s="935"/>
      <c r="N177" s="935"/>
      <c r="O177" s="935"/>
      <c r="P177" s="935"/>
      <c r="Q177" s="935"/>
      <c r="R177" s="935"/>
      <c r="S177" s="935"/>
      <c r="T177" s="935"/>
      <c r="U177" s="935"/>
      <c r="V177" s="935"/>
      <c r="W177" s="935"/>
      <c r="X177" s="935"/>
      <c r="Y177" s="935"/>
      <c r="Z177" s="935"/>
      <c r="AA177" s="935"/>
      <c r="AB177" s="935"/>
      <c r="AC177" s="935"/>
      <c r="AD177" s="935"/>
      <c r="AE177" s="935"/>
      <c r="AF177" s="935"/>
      <c r="AG177" s="935"/>
      <c r="AH177" s="935"/>
      <c r="AI177" s="935"/>
      <c r="AJ177" s="935"/>
      <c r="AK177" s="935"/>
      <c r="AL177" s="935"/>
      <c r="AM177" s="935"/>
      <c r="AN177" s="935"/>
      <c r="AO177" s="935"/>
      <c r="AP177" s="935"/>
      <c r="AQ177" s="935"/>
      <c r="AR177" s="935"/>
      <c r="AS177" s="935"/>
      <c r="AT177" s="935"/>
      <c r="AU177" s="935"/>
      <c r="AV177" s="935"/>
      <c r="AW177" s="935"/>
      <c r="AX177" s="935"/>
      <c r="AY177" s="935"/>
      <c r="AZ177" s="935"/>
      <c r="BA177" s="935"/>
      <c r="BB177" s="935"/>
      <c r="BC177" s="935"/>
      <c r="BD177" s="935"/>
      <c r="BE177" s="935"/>
      <c r="BF177" s="935"/>
      <c r="BG177" s="935"/>
      <c r="BH177" s="935"/>
      <c r="BI177" s="935"/>
      <c r="BJ177" s="935"/>
      <c r="BK177" s="935"/>
      <c r="BL177" s="935"/>
      <c r="BM177" s="935"/>
      <c r="BN177" s="935"/>
      <c r="BO177" s="935"/>
      <c r="BP177" s="935"/>
      <c r="BQ177" s="935"/>
      <c r="BR177" s="935"/>
      <c r="BS177" s="935"/>
      <c r="BT177" s="935"/>
      <c r="BU177" s="935"/>
      <c r="BV177" s="935"/>
      <c r="BW177" s="935"/>
      <c r="BX177" s="935"/>
      <c r="BY177" s="935"/>
      <c r="BZ177" s="935"/>
      <c r="CA177" s="935"/>
      <c r="CB177" s="935"/>
      <c r="CC177" s="935"/>
      <c r="CD177" s="935"/>
      <c r="CE177" s="935"/>
      <c r="CF177" s="935"/>
      <c r="CG177" s="935"/>
      <c r="CH177" s="935"/>
      <c r="CI177" s="935"/>
      <c r="CJ177" s="935"/>
      <c r="CK177" s="935"/>
      <c r="CL177" s="935"/>
      <c r="CM177" s="935"/>
      <c r="CN177" s="935"/>
      <c r="CO177" s="788"/>
      <c r="CP177" s="935"/>
      <c r="CQ177" s="935"/>
      <c r="CR177" s="935"/>
      <c r="CS177" s="935"/>
      <c r="CT177" s="935"/>
      <c r="CU177" s="935"/>
      <c r="CV177" s="935"/>
      <c r="CW177" s="935"/>
      <c r="CX177" s="935"/>
      <c r="CY177" s="935"/>
      <c r="CZ177" s="935"/>
      <c r="DA177" s="935"/>
      <c r="DB177" s="935"/>
      <c r="DC177" s="935"/>
      <c r="DD177" s="935"/>
      <c r="DE177" s="935"/>
      <c r="DF177" s="935"/>
      <c r="DG177" s="935"/>
      <c r="DH177" s="935"/>
      <c r="DI177" s="935"/>
      <c r="DJ177" s="935"/>
      <c r="DK177" s="935"/>
      <c r="DL177" s="935"/>
      <c r="DM177" s="935"/>
      <c r="DN177" s="935"/>
      <c r="DO177" s="935"/>
      <c r="DP177" s="935"/>
      <c r="DQ177" s="935"/>
      <c r="DR177" s="935"/>
      <c r="DS177" s="935"/>
      <c r="DT177" s="935"/>
      <c r="DU177" s="935"/>
      <c r="DV177" s="935"/>
      <c r="DW177" s="935"/>
      <c r="DX177" s="935"/>
      <c r="DY177" s="935"/>
      <c r="DZ177" s="935"/>
      <c r="EA177" s="935"/>
      <c r="EB177" s="935"/>
      <c r="EC177" s="935"/>
      <c r="ED177" s="935"/>
      <c r="EE177" s="935"/>
      <c r="EF177" s="935"/>
      <c r="EG177" s="935"/>
      <c r="EH177" s="935"/>
      <c r="EI177" s="935"/>
      <c r="EJ177" s="935"/>
      <c r="EK177" s="935"/>
      <c r="EL177" s="935"/>
      <c r="EM177" s="935"/>
      <c r="EN177" s="935"/>
      <c r="EO177" s="935"/>
      <c r="EP177" s="935"/>
      <c r="EQ177" s="935"/>
      <c r="ER177" s="935"/>
      <c r="ES177" s="935"/>
      <c r="ET177" s="935"/>
      <c r="EU177" s="935"/>
      <c r="EV177" s="935"/>
      <c r="EW177" s="935"/>
      <c r="EX177" s="935"/>
      <c r="EY177" s="935"/>
      <c r="EZ177" s="935"/>
      <c r="FA177" s="935"/>
      <c r="FB177" s="935"/>
      <c r="FC177" s="935"/>
      <c r="FD177" s="935"/>
      <c r="FE177" s="935"/>
      <c r="FF177" s="935"/>
      <c r="FG177" s="935"/>
      <c r="FH177" s="935"/>
      <c r="FI177" s="935"/>
      <c r="FJ177" s="935"/>
      <c r="FK177" s="935"/>
      <c r="FL177" s="935"/>
      <c r="FM177" s="935"/>
      <c r="FN177" s="935"/>
      <c r="FO177" s="935"/>
      <c r="FP177" s="935"/>
      <c r="FQ177" s="935"/>
      <c r="FR177" s="935"/>
      <c r="FS177" s="935"/>
      <c r="FT177" s="935"/>
      <c r="FU177" s="935"/>
      <c r="FV177" s="935"/>
      <c r="FW177" s="935"/>
      <c r="FX177" s="935"/>
      <c r="FY177" s="935"/>
      <c r="FZ177" s="935"/>
      <c r="GA177" s="935"/>
      <c r="GB177" s="935"/>
      <c r="GC177" s="935"/>
      <c r="GD177" s="935"/>
      <c r="GE177" s="935"/>
      <c r="GF177" s="935"/>
      <c r="GG177" s="935"/>
      <c r="GH177" s="935"/>
    </row>
    <row r="178" spans="3:190" ht="17.100000000000001" customHeight="1">
      <c r="C178" s="302" t="s">
        <v>1377</v>
      </c>
      <c r="I178" s="1738"/>
      <c r="J178" s="1714"/>
      <c r="K178" s="1714"/>
      <c r="L178" s="1714"/>
      <c r="M178" s="1714"/>
      <c r="N178" s="1714"/>
      <c r="O178" s="1714"/>
      <c r="P178" s="1714"/>
      <c r="Q178" s="1714"/>
      <c r="R178" s="1714"/>
      <c r="S178" s="1714"/>
      <c r="T178" s="1714"/>
      <c r="U178" s="1714"/>
      <c r="V178" s="1714"/>
      <c r="W178" s="788"/>
      <c r="X178" s="788"/>
      <c r="Y178" s="788"/>
      <c r="Z178" s="788"/>
      <c r="AA178" s="788"/>
      <c r="AB178" s="788"/>
      <c r="AC178" s="788"/>
      <c r="AD178" s="788"/>
      <c r="AE178" s="788"/>
      <c r="AF178" s="788"/>
      <c r="AG178" s="788"/>
      <c r="AH178" s="788"/>
      <c r="AI178" s="788"/>
      <c r="AJ178" s="788"/>
      <c r="AK178" s="788"/>
      <c r="AL178" s="788"/>
      <c r="AM178" s="788"/>
      <c r="AN178" s="788"/>
      <c r="AO178" s="788"/>
      <c r="AP178" s="788"/>
      <c r="AQ178" s="788"/>
      <c r="AR178" s="788"/>
      <c r="AS178" s="788"/>
      <c r="AT178" s="788"/>
      <c r="AU178" s="788"/>
      <c r="AV178" s="788"/>
      <c r="AW178" s="788"/>
      <c r="AX178" s="788"/>
      <c r="AY178" s="788"/>
      <c r="AZ178" s="788"/>
      <c r="BA178" s="788"/>
      <c r="BB178" s="788"/>
    </row>
    <row r="179" spans="3:190" ht="17.100000000000001" customHeight="1">
      <c r="C179" s="717"/>
      <c r="D179" s="718" t="s">
        <v>780</v>
      </c>
      <c r="E179" s="719"/>
      <c r="F179" s="718"/>
      <c r="G179" s="718"/>
      <c r="H179" s="718"/>
      <c r="I179" s="1684">
        <f t="shared" ref="I179:BB179" si="102">I188</f>
        <v>2018</v>
      </c>
      <c r="J179" s="766">
        <f t="shared" si="102"/>
        <v>2019</v>
      </c>
      <c r="K179" s="766">
        <f t="shared" si="102"/>
        <v>2020</v>
      </c>
      <c r="L179" s="766">
        <f t="shared" si="102"/>
        <v>2021</v>
      </c>
      <c r="M179" s="766">
        <f t="shared" si="102"/>
        <v>2022</v>
      </c>
      <c r="N179" s="766">
        <f t="shared" si="102"/>
        <v>2023</v>
      </c>
      <c r="O179" s="766">
        <f t="shared" si="102"/>
        <v>2024</v>
      </c>
      <c r="P179" s="766">
        <f t="shared" si="102"/>
        <v>2025</v>
      </c>
      <c r="Q179" s="766">
        <f t="shared" si="102"/>
        <v>2026</v>
      </c>
      <c r="R179" s="766">
        <f t="shared" si="102"/>
        <v>2027</v>
      </c>
      <c r="S179" s="766">
        <f t="shared" si="102"/>
        <v>2028</v>
      </c>
      <c r="T179" s="766">
        <f t="shared" si="102"/>
        <v>2029</v>
      </c>
      <c r="U179" s="766">
        <f t="shared" si="102"/>
        <v>2030</v>
      </c>
      <c r="V179" s="766">
        <f t="shared" si="102"/>
        <v>2031</v>
      </c>
      <c r="W179" s="766">
        <f t="shared" si="102"/>
        <v>2032</v>
      </c>
      <c r="X179" s="766">
        <f t="shared" si="102"/>
        <v>2033</v>
      </c>
      <c r="Y179" s="766">
        <f t="shared" si="102"/>
        <v>2034</v>
      </c>
      <c r="Z179" s="766">
        <f t="shared" si="102"/>
        <v>2035</v>
      </c>
      <c r="AA179" s="766">
        <f t="shared" si="102"/>
        <v>2036</v>
      </c>
      <c r="AB179" s="766">
        <f t="shared" si="102"/>
        <v>2037</v>
      </c>
      <c r="AC179" s="766">
        <f t="shared" si="102"/>
        <v>2038</v>
      </c>
      <c r="AD179" s="766">
        <f t="shared" si="102"/>
        <v>2039</v>
      </c>
      <c r="AE179" s="766">
        <f t="shared" si="102"/>
        <v>2040</v>
      </c>
      <c r="AF179" s="766">
        <f t="shared" si="102"/>
        <v>2041</v>
      </c>
      <c r="AG179" s="766">
        <f t="shared" si="102"/>
        <v>2042</v>
      </c>
      <c r="AH179" s="766">
        <f t="shared" si="102"/>
        <v>2043</v>
      </c>
      <c r="AI179" s="766">
        <f t="shared" si="102"/>
        <v>2044</v>
      </c>
      <c r="AJ179" s="766">
        <f t="shared" si="102"/>
        <v>2045</v>
      </c>
      <c r="AK179" s="766">
        <f t="shared" si="102"/>
        <v>2046</v>
      </c>
      <c r="AL179" s="766">
        <f t="shared" si="102"/>
        <v>2047</v>
      </c>
      <c r="AM179" s="766">
        <f t="shared" si="102"/>
        <v>2048</v>
      </c>
      <c r="AN179" s="766">
        <f t="shared" si="102"/>
        <v>2049</v>
      </c>
      <c r="AO179" s="766">
        <f t="shared" si="102"/>
        <v>2050</v>
      </c>
      <c r="AP179" s="766">
        <f t="shared" si="102"/>
        <v>2051</v>
      </c>
      <c r="AQ179" s="766">
        <f t="shared" si="102"/>
        <v>2052</v>
      </c>
      <c r="AR179" s="766">
        <f t="shared" si="102"/>
        <v>2053</v>
      </c>
      <c r="AS179" s="766">
        <f t="shared" si="102"/>
        <v>2054</v>
      </c>
      <c r="AT179" s="766">
        <f t="shared" si="102"/>
        <v>2055</v>
      </c>
      <c r="AU179" s="766">
        <f t="shared" si="102"/>
        <v>2056</v>
      </c>
      <c r="AV179" s="766">
        <f t="shared" si="102"/>
        <v>2057</v>
      </c>
      <c r="AW179" s="766">
        <f t="shared" si="102"/>
        <v>2058</v>
      </c>
      <c r="AX179" s="766">
        <f t="shared" si="102"/>
        <v>2059</v>
      </c>
      <c r="AY179" s="766">
        <f t="shared" si="102"/>
        <v>2060</v>
      </c>
      <c r="AZ179" s="766">
        <f t="shared" si="102"/>
        <v>2061</v>
      </c>
      <c r="BA179" s="766">
        <f t="shared" si="102"/>
        <v>2062</v>
      </c>
      <c r="BB179" s="766">
        <f t="shared" si="102"/>
        <v>2063</v>
      </c>
    </row>
    <row r="180" spans="3:190" ht="17.100000000000001" customHeight="1">
      <c r="C180" s="720"/>
      <c r="D180" s="774" t="s">
        <v>1080</v>
      </c>
      <c r="E180" s="722"/>
      <c r="F180" s="1625"/>
      <c r="G180" s="1625"/>
      <c r="H180" s="1625"/>
      <c r="I180" s="1666"/>
      <c r="J180" s="1666">
        <f>I185-I184</f>
        <v>0</v>
      </c>
      <c r="K180" s="1666">
        <f t="shared" ref="K180:BB180" si="103">J183*(K179&lt;=운영종료)</f>
        <v>5.3392381200000001</v>
      </c>
      <c r="L180" s="1360">
        <f>K185-K184</f>
        <v>5.5314407599999997</v>
      </c>
      <c r="M180" s="1360">
        <f t="shared" ca="1" si="103"/>
        <v>1.8576526693159554</v>
      </c>
      <c r="N180" s="1360">
        <f t="shared" ca="1" si="103"/>
        <v>4.7666660000324139</v>
      </c>
      <c r="O180" s="1360">
        <f t="shared" ca="1" si="103"/>
        <v>5.9969278118148601</v>
      </c>
      <c r="P180" s="1360">
        <f t="shared" ca="1" si="103"/>
        <v>6.1348909774112155</v>
      </c>
      <c r="Q180" s="1360">
        <f t="shared" ca="1" si="103"/>
        <v>6.3284208528134407</v>
      </c>
      <c r="R180" s="1360">
        <f t="shared" ca="1" si="103"/>
        <v>-4.1738637168835853</v>
      </c>
      <c r="S180" s="1360">
        <f t="shared" ca="1" si="103"/>
        <v>4.1373753597325074</v>
      </c>
      <c r="T180" s="1360">
        <f t="shared" ca="1" si="103"/>
        <v>3.6514979259690374</v>
      </c>
      <c r="U180" s="1360">
        <f t="shared" ca="1" si="103"/>
        <v>2.6758020044903468</v>
      </c>
      <c r="V180" s="1360">
        <f t="shared" ca="1" si="103"/>
        <v>7.0772693749609363</v>
      </c>
      <c r="W180" s="1360">
        <f t="shared" ca="1" si="103"/>
        <v>3.8607127442038944</v>
      </c>
      <c r="X180" s="1360">
        <f t="shared" ca="1" si="103"/>
        <v>4.9057775593274835</v>
      </c>
      <c r="Y180" s="1360">
        <f t="shared" ca="1" si="103"/>
        <v>6.6154691556286505</v>
      </c>
      <c r="Z180" s="1360">
        <f t="shared" ca="1" si="103"/>
        <v>5.5076140267242195</v>
      </c>
      <c r="AA180" s="1360">
        <f t="shared" ca="1" si="103"/>
        <v>4.0976137849380816</v>
      </c>
      <c r="AB180" s="1360">
        <f t="shared" ca="1" si="103"/>
        <v>7.5317567999699966</v>
      </c>
      <c r="AC180" s="1360">
        <f t="shared" ca="1" si="103"/>
        <v>5.6675665624868081</v>
      </c>
      <c r="AD180" s="1360">
        <f t="shared" ca="1" si="103"/>
        <v>4.7858961434245106</v>
      </c>
      <c r="AE180" s="1360">
        <f t="shared" ca="1" si="103"/>
        <v>5.5305268556646787</v>
      </c>
      <c r="AF180" s="1360">
        <f t="shared" ca="1" si="103"/>
        <v>9.1103047107291708</v>
      </c>
      <c r="AG180" s="1360">
        <f t="shared" ca="1" si="103"/>
        <v>8.1664036670843672</v>
      </c>
      <c r="AH180" s="1360">
        <f t="shared" ca="1" si="103"/>
        <v>11.46524196704048</v>
      </c>
      <c r="AI180" s="1360">
        <f t="shared" ca="1" si="103"/>
        <v>9.1084453477856862</v>
      </c>
      <c r="AJ180" s="1360">
        <f t="shared" ca="1" si="103"/>
        <v>9.5007679478174296</v>
      </c>
      <c r="AK180" s="1360">
        <f t="shared" ca="1" si="103"/>
        <v>11.253779601783432</v>
      </c>
      <c r="AL180" s="1360">
        <f t="shared" ca="1" si="103"/>
        <v>11.122452989829437</v>
      </c>
      <c r="AM180" s="1360">
        <f t="shared" ca="1" si="103"/>
        <v>9.4820299688283143</v>
      </c>
      <c r="AN180" s="1360">
        <f t="shared" ca="1" si="103"/>
        <v>12.660761011414543</v>
      </c>
      <c r="AO180" s="1360">
        <f t="shared" ca="1" si="103"/>
        <v>9.2054337354895566</v>
      </c>
      <c r="AP180" s="1360">
        <f t="shared" ca="1" si="103"/>
        <v>11.863676915097138</v>
      </c>
      <c r="AQ180" s="1360">
        <f t="shared" ca="1" si="103"/>
        <v>13.738606132880815</v>
      </c>
      <c r="AR180" s="1360">
        <f t="shared" ca="1" si="103"/>
        <v>11.658509045766237</v>
      </c>
      <c r="AS180" s="1360">
        <f t="shared" ca="1" si="103"/>
        <v>12.214247550437186</v>
      </c>
      <c r="AT180" s="1360">
        <f t="shared" ca="1" si="103"/>
        <v>15.836631525208844</v>
      </c>
      <c r="AU180" s="1360">
        <f t="shared" ca="1" si="103"/>
        <v>14.067523774026188</v>
      </c>
      <c r="AV180" s="1360">
        <f t="shared" ca="1" si="103"/>
        <v>14.616227580866401</v>
      </c>
      <c r="AW180" s="1360">
        <f t="shared" ca="1" si="103"/>
        <v>16.650439833760466</v>
      </c>
      <c r="AX180" s="1360">
        <f t="shared" ca="1" si="103"/>
        <v>15.797908554717765</v>
      </c>
      <c r="AY180" s="1360">
        <f t="shared" ca="1" si="103"/>
        <v>-3.9999994427830643E-8</v>
      </c>
      <c r="AZ180" s="1360">
        <f t="shared" ca="1" si="103"/>
        <v>0</v>
      </c>
      <c r="BA180" s="1360">
        <f t="shared" ca="1" si="103"/>
        <v>0</v>
      </c>
      <c r="BB180" s="1360">
        <f t="shared" ca="1" si="103"/>
        <v>0</v>
      </c>
    </row>
    <row r="181" spans="3:190" ht="17.100000000000001" customHeight="1">
      <c r="C181" s="1409"/>
      <c r="D181" s="1410" t="s">
        <v>1270</v>
      </c>
      <c r="E181" s="1411"/>
      <c r="F181" s="1667"/>
      <c r="G181" s="1667"/>
      <c r="H181" s="1667"/>
      <c r="I181" s="945"/>
      <c r="J181" s="945">
        <f>SUMIF('IS(Q)'!$4:$4,J$179,'IS(Q)'!101:101)</f>
        <v>5.3392381200000001</v>
      </c>
      <c r="K181" s="945">
        <f>SUMIF('IS(Q)'!$4:$4,K$179,'IS(Q)'!101:101)</f>
        <v>7.5251328600000003</v>
      </c>
      <c r="L181" s="946">
        <f ca="1">SUMIF('IS(Q)'!$4:$4,L$179,'IS(Q)'!101:101)</f>
        <v>5.2355096093159554</v>
      </c>
      <c r="M181" s="946">
        <f ca="1">SUMIF('IS(Q)'!$4:$4,M$179,'IS(Q)'!101:101)</f>
        <v>6.7084938446903912</v>
      </c>
      <c r="N181" s="946">
        <f ca="1">SUMIF('IS(Q)'!$4:$4,N$179,'IS(Q)'!101:101)</f>
        <v>8.6752477741600575</v>
      </c>
      <c r="O181" s="946">
        <f ca="1">SUMIF('IS(Q)'!$4:$4,O$179,'IS(Q)'!101:101)</f>
        <v>9.7965879044912416</v>
      </c>
      <c r="P181" s="946">
        <f ca="1">SUMIF('IS(Q)'!$4:$4,P$179,'IS(Q)'!101:101)</f>
        <v>10.550787845059059</v>
      </c>
      <c r="Q181" s="946">
        <f ca="1">SUMIF('IS(Q)'!$4:$4,Q$179,'IS(Q)'!101:101)</f>
        <v>0.42560324564593505</v>
      </c>
      <c r="R181" s="946">
        <f ca="1">SUMIF('IS(Q)'!$4:$4,R$179,'IS(Q)'!101:101)</f>
        <v>3.6742500225554662</v>
      </c>
      <c r="S181" s="946">
        <f ca="1">SUMIF('IS(Q)'!$4:$4,S$179,'IS(Q)'!101:101)</f>
        <v>4.8126959772467677</v>
      </c>
      <c r="T181" s="946">
        <f ca="1">SUMIF('IS(Q)'!$4:$4,T$179,'IS(Q)'!101:101)</f>
        <v>4.4062230331137267</v>
      </c>
      <c r="U181" s="946">
        <f ca="1">SUMIF('IS(Q)'!$4:$4,U$179,'IS(Q)'!101:101)</f>
        <v>8.6044539315177975</v>
      </c>
      <c r="V181" s="946">
        <f ca="1">SUMIF('IS(Q)'!$4:$4,V$179,'IS(Q)'!101:101)</f>
        <v>7.4870127499627923</v>
      </c>
      <c r="W181" s="946">
        <f ca="1">SUMIF('IS(Q)'!$4:$4,W$179,'IS(Q)'!101:101)</f>
        <v>7.9733569743088806</v>
      </c>
      <c r="X181" s="946">
        <f ca="1">SUMIF('IS(Q)'!$4:$4,X$179,'IS(Q)'!101:101)</f>
        <v>9.9262206827830983</v>
      </c>
      <c r="Y181" s="946">
        <f ca="1">SUMIF('IS(Q)'!$4:$4,Y$179,'IS(Q)'!101:101)</f>
        <v>9.7947974081157785</v>
      </c>
      <c r="Z181" s="946">
        <f ca="1">SUMIF('IS(Q)'!$4:$4,Z$179,'IS(Q)'!101:101)</f>
        <v>8.3190855289959647</v>
      </c>
      <c r="AA181" s="946">
        <f ca="1">SUMIF('IS(Q)'!$4:$4,AA$179,'IS(Q)'!101:101)</f>
        <v>11.015372604467975</v>
      </c>
      <c r="AB181" s="946">
        <f ca="1">SUMIF('IS(Q)'!$4:$4,AB$179,'IS(Q)'!101:101)</f>
        <v>10.499325904720786</v>
      </c>
      <c r="AC181" s="946">
        <f ca="1">SUMIF('IS(Q)'!$4:$4,AC$179,'IS(Q)'!101:101)</f>
        <v>9.3596321357848939</v>
      </c>
      <c r="AD181" s="946">
        <f ca="1">SUMIF('IS(Q)'!$4:$4,AD$179,'IS(Q)'!101:101)</f>
        <v>9.5344159635571248</v>
      </c>
      <c r="AE181" s="946">
        <f ca="1">SUMIF('IS(Q)'!$4:$4,AE$179,'IS(Q)'!101:101)</f>
        <v>13.201585732507731</v>
      </c>
      <c r="AF181" s="946">
        <f ca="1">SUMIF('IS(Q)'!$4:$4,AF$179,'IS(Q)'!101:101)</f>
        <v>14.091269573338259</v>
      </c>
      <c r="AG181" s="946">
        <f ca="1">SUMIF('IS(Q)'!$4:$4,AG$179,'IS(Q)'!101:101)</f>
        <v>17.834949793709598</v>
      </c>
      <c r="AH181" s="946">
        <f ca="1">SUMIF('IS(Q)'!$4:$4,AH$179,'IS(Q)'!101:101)</f>
        <v>17.349993284640476</v>
      </c>
      <c r="AI181" s="946">
        <f ca="1">SUMIF('IS(Q)'!$4:$4,AI$179,'IS(Q)'!101:101)</f>
        <v>17.499837630137659</v>
      </c>
      <c r="AJ181" s="946">
        <f ca="1">SUMIF('IS(Q)'!$4:$4,AJ$179,'IS(Q)'!101:101)</f>
        <v>19.327771456852229</v>
      </c>
      <c r="AK181" s="946">
        <f ca="1">SUMIF('IS(Q)'!$4:$4,AK$179,'IS(Q)'!101:101)</f>
        <v>20.110411758255474</v>
      </c>
      <c r="AL181" s="946">
        <f ca="1">SUMIF('IS(Q)'!$4:$4,AL$179,'IS(Q)'!101:101)</f>
        <v>18.861308887955943</v>
      </c>
      <c r="AM181" s="946">
        <f ca="1">SUMIF('IS(Q)'!$4:$4,AM$179,'IS(Q)'!101:101)</f>
        <v>21.415488495392388</v>
      </c>
      <c r="AN181" s="946">
        <f ca="1">SUMIF('IS(Q)'!$4:$4,AN$179,'IS(Q)'!101:101)</f>
        <v>19.237251023185603</v>
      </c>
      <c r="AO181" s="946">
        <f ca="1">SUMIF('IS(Q)'!$4:$4,AO$179,'IS(Q)'!101:101)</f>
        <v>20.806375466689765</v>
      </c>
      <c r="AP181" s="946">
        <f ca="1">SUMIF('IS(Q)'!$4:$4,AP$179,'IS(Q)'!101:101)</f>
        <v>23.465866906225489</v>
      </c>
      <c r="AQ181" s="946">
        <f ca="1">SUMIF('IS(Q)'!$4:$4,AQ$179,'IS(Q)'!101:101)</f>
        <v>22.71551553887873</v>
      </c>
      <c r="AR181" s="946">
        <f ca="1">SUMIF('IS(Q)'!$4:$4,AR$179,'IS(Q)'!101:101)</f>
        <v>22.896078359876327</v>
      </c>
      <c r="AS181" s="946">
        <f ca="1">SUMIF('IS(Q)'!$4:$4,AS$179,'IS(Q)'!101:101)</f>
        <v>26.608743745146676</v>
      </c>
      <c r="AT181" s="946">
        <f ca="1">SUMIF('IS(Q)'!$4:$4,AT$179,'IS(Q)'!101:101)</f>
        <v>26.695968686599247</v>
      </c>
      <c r="AU181" s="946">
        <f ca="1">SUMIF('IS(Q)'!$4:$4,AU$179,'IS(Q)'!101:101)</f>
        <v>27.288284964165722</v>
      </c>
      <c r="AV181" s="946">
        <f ca="1">SUMIF('IS(Q)'!$4:$4,AV$179,'IS(Q)'!101:101)</f>
        <v>29.618655355843007</v>
      </c>
      <c r="AW181" s="946">
        <f ca="1">SUMIF('IS(Q)'!$4:$4,AW$179,'IS(Q)'!101:101)</f>
        <v>29.931309272639005</v>
      </c>
      <c r="AX181" s="946">
        <f ca="1">SUMIF('IS(Q)'!$4:$4,AX$179,'IS(Q)'!101:101)</f>
        <v>0</v>
      </c>
      <c r="AY181" s="946">
        <f>SUMIF('IS(Q)'!$4:$4,AY$179,'IS(Q)'!101:101)</f>
        <v>0</v>
      </c>
      <c r="AZ181" s="946">
        <f>SUMIF('IS(Q)'!$4:$4,AZ$179,'IS(Q)'!101:101)</f>
        <v>0</v>
      </c>
      <c r="BA181" s="946">
        <f>SUMIF('IS(Q)'!$4:$4,BA$179,'IS(Q)'!101:101)</f>
        <v>0</v>
      </c>
      <c r="BB181" s="946">
        <f>SUMIF('IS(Q)'!$4:$4,BB$179,'IS(Q)'!101:101)</f>
        <v>0</v>
      </c>
    </row>
    <row r="182" spans="3:190" ht="17.100000000000001" customHeight="1">
      <c r="C182" s="307"/>
      <c r="D182" s="754" t="s">
        <v>1271</v>
      </c>
      <c r="E182" s="727"/>
      <c r="F182" s="1630"/>
      <c r="G182" s="1630"/>
      <c r="H182" s="1630"/>
      <c r="I182" s="947"/>
      <c r="J182" s="947">
        <f>SUMIF('IS(Q)'!$4:$4,J$179,'IS(Q)'!102:102)</f>
        <v>0</v>
      </c>
      <c r="K182" s="947">
        <f>SUMIF('IS(Q)'!$4:$4,K$179,'IS(Q)'!102:102)</f>
        <v>8.0088571799999997</v>
      </c>
      <c r="L182" s="948">
        <f ca="1">SUMIF('IS(Q)'!$4:$4,L$179,'IS(Q)'!102:102)</f>
        <v>8.9092976999999998</v>
      </c>
      <c r="M182" s="948">
        <f ca="1">SUMIF('IS(Q)'!$4:$4,M$179,'IS(Q)'!102:102)</f>
        <v>3.7994805139739332</v>
      </c>
      <c r="N182" s="948">
        <f ca="1">SUMIF('IS(Q)'!$4:$4,N$179,'IS(Q)'!102:102)</f>
        <v>7.4449859623776113</v>
      </c>
      <c r="O182" s="948">
        <f ca="1">SUMIF('IS(Q)'!$4:$4,O$179,'IS(Q)'!102:102)</f>
        <v>9.6586247388948863</v>
      </c>
      <c r="P182" s="948">
        <f ca="1">SUMIF('IS(Q)'!$4:$4,P$179,'IS(Q)'!102:102)</f>
        <v>10.357257969656832</v>
      </c>
      <c r="Q182" s="948">
        <f ca="1">SUMIF('IS(Q)'!$4:$4,Q$179,'IS(Q)'!102:102)</f>
        <v>10.927887815342961</v>
      </c>
      <c r="R182" s="948">
        <f ca="1">SUMIF('IS(Q)'!$4:$4,R$179,'IS(Q)'!102:102)</f>
        <v>-4.636989054060626</v>
      </c>
      <c r="S182" s="948">
        <f ca="1">SUMIF('IS(Q)'!$4:$4,S$179,'IS(Q)'!102:102)</f>
        <v>5.2985734110102367</v>
      </c>
      <c r="T182" s="948">
        <f ca="1">SUMIF('IS(Q)'!$4:$4,T$179,'IS(Q)'!102:102)</f>
        <v>5.3819189545924182</v>
      </c>
      <c r="U182" s="948">
        <f ca="1">SUMIF('IS(Q)'!$4:$4,U$179,'IS(Q)'!102:102)</f>
        <v>4.2029865610472079</v>
      </c>
      <c r="V182" s="948">
        <f ca="1">SUMIF('IS(Q)'!$4:$4,V$179,'IS(Q)'!102:102)</f>
        <v>10.703569380719834</v>
      </c>
      <c r="W182" s="948">
        <f ca="1">SUMIF('IS(Q)'!$4:$4,W$179,'IS(Q)'!102:102)</f>
        <v>6.9282921591852924</v>
      </c>
      <c r="X182" s="948">
        <f ca="1">SUMIF('IS(Q)'!$4:$4,X$179,'IS(Q)'!102:102)</f>
        <v>8.2165290864819323</v>
      </c>
      <c r="Y182" s="948">
        <f ca="1">SUMIF('IS(Q)'!$4:$4,Y$179,'IS(Q)'!102:102)</f>
        <v>10.902652537020209</v>
      </c>
      <c r="Z182" s="948">
        <f ca="1">SUMIF('IS(Q)'!$4:$4,Z$179,'IS(Q)'!102:102)</f>
        <v>9.7290857707821026</v>
      </c>
      <c r="AA182" s="948">
        <f ca="1">SUMIF('IS(Q)'!$4:$4,AA$179,'IS(Q)'!102:102)</f>
        <v>7.5812295894360604</v>
      </c>
      <c r="AB182" s="948">
        <f ca="1">SUMIF('IS(Q)'!$4:$4,AB$179,'IS(Q)'!102:102)</f>
        <v>12.363516142203974</v>
      </c>
      <c r="AC182" s="948">
        <f ca="1">SUMIF('IS(Q)'!$4:$4,AC$179,'IS(Q)'!102:102)</f>
        <v>10.241302554847191</v>
      </c>
      <c r="AD182" s="948">
        <f ca="1">SUMIF('IS(Q)'!$4:$4,AD$179,'IS(Q)'!102:102)</f>
        <v>8.7897852513169568</v>
      </c>
      <c r="AE182" s="948">
        <f ca="1">SUMIF('IS(Q)'!$4:$4,AE$179,'IS(Q)'!102:102)</f>
        <v>9.6218078774432385</v>
      </c>
      <c r="AF182" s="948">
        <f ca="1">SUMIF('IS(Q)'!$4:$4,AF$179,'IS(Q)'!102:102)</f>
        <v>15.035170616983063</v>
      </c>
      <c r="AG182" s="948">
        <f ca="1">SUMIF('IS(Q)'!$4:$4,AG$179,'IS(Q)'!102:102)</f>
        <v>14.536111493753484</v>
      </c>
      <c r="AH182" s="948">
        <f ca="1">SUMIF('IS(Q)'!$4:$4,AH$179,'IS(Q)'!102:102)</f>
        <v>19.70678990389527</v>
      </c>
      <c r="AI182" s="948">
        <f ca="1">SUMIF('IS(Q)'!$4:$4,AI$179,'IS(Q)'!102:102)</f>
        <v>17.107515030105915</v>
      </c>
      <c r="AJ182" s="948">
        <f ca="1">SUMIF('IS(Q)'!$4:$4,AJ$179,'IS(Q)'!102:102)</f>
        <v>17.574759802886227</v>
      </c>
      <c r="AK182" s="948">
        <f ca="1">SUMIF('IS(Q)'!$4:$4,AK$179,'IS(Q)'!102:102)</f>
        <v>20.241738370209468</v>
      </c>
      <c r="AL182" s="948">
        <f ca="1">SUMIF('IS(Q)'!$4:$4,AL$179,'IS(Q)'!102:102)</f>
        <v>20.501731908957066</v>
      </c>
      <c r="AM182" s="948">
        <f ca="1">SUMIF('IS(Q)'!$4:$4,AM$179,'IS(Q)'!102:102)</f>
        <v>18.23675745280616</v>
      </c>
      <c r="AN182" s="948">
        <f ca="1">SUMIF('IS(Q)'!$4:$4,AN$179,'IS(Q)'!102:102)</f>
        <v>22.69257829911059</v>
      </c>
      <c r="AO182" s="948">
        <f ca="1">SUMIF('IS(Q)'!$4:$4,AO$179,'IS(Q)'!102:102)</f>
        <v>18.148132287082184</v>
      </c>
      <c r="AP182" s="948">
        <f ca="1">SUMIF('IS(Q)'!$4:$4,AP$179,'IS(Q)'!102:102)</f>
        <v>21.590937688441816</v>
      </c>
      <c r="AQ182" s="948">
        <f ca="1">SUMIF('IS(Q)'!$4:$4,AQ$179,'IS(Q)'!102:102)</f>
        <v>24.795612625993307</v>
      </c>
      <c r="AR182" s="948">
        <f ca="1">SUMIF('IS(Q)'!$4:$4,AR$179,'IS(Q)'!102:102)</f>
        <v>22.340339855205379</v>
      </c>
      <c r="AS182" s="948">
        <f ca="1">SUMIF('IS(Q)'!$4:$4,AS$179,'IS(Q)'!102:102)</f>
        <v>22.986359770375017</v>
      </c>
      <c r="AT182" s="948">
        <f ca="1">SUMIF('IS(Q)'!$4:$4,AT$179,'IS(Q)'!102:102)</f>
        <v>28.465076437781899</v>
      </c>
      <c r="AU182" s="948">
        <f ca="1">SUMIF('IS(Q)'!$4:$4,AU$179,'IS(Q)'!102:102)</f>
        <v>26.73958115732551</v>
      </c>
      <c r="AV182" s="948">
        <f ca="1">SUMIF('IS(Q)'!$4:$4,AV$179,'IS(Q)'!102:102)</f>
        <v>27.584443102948946</v>
      </c>
      <c r="AW182" s="948">
        <f ca="1">SUMIF('IS(Q)'!$4:$4,AW$179,'IS(Q)'!102:102)</f>
        <v>30.783840551681706</v>
      </c>
      <c r="AX182" s="948">
        <f ca="1">SUMIF('IS(Q)'!$4:$4,AX$179,'IS(Q)'!102:102)</f>
        <v>15.797908594717759</v>
      </c>
      <c r="AY182" s="948">
        <f ca="1">SUMIF('IS(Q)'!$4:$4,AY$179,'IS(Q)'!102:102)</f>
        <v>0</v>
      </c>
      <c r="AZ182" s="948">
        <f ca="1">SUMIF('IS(Q)'!$4:$4,AZ$179,'IS(Q)'!102:102)</f>
        <v>0</v>
      </c>
      <c r="BA182" s="948">
        <f ca="1">SUMIF('IS(Q)'!$4:$4,BA$179,'IS(Q)'!102:102)</f>
        <v>0</v>
      </c>
      <c r="BB182" s="948">
        <f ca="1">SUMIF('IS(Q)'!$4:$4,BB$179,'IS(Q)'!102:102)</f>
        <v>0</v>
      </c>
    </row>
    <row r="183" spans="3:190" ht="17.100000000000001" customHeight="1">
      <c r="C183" s="952"/>
      <c r="D183" s="1741" t="s">
        <v>1096</v>
      </c>
      <c r="E183" s="747"/>
      <c r="F183" s="1668"/>
      <c r="G183" s="1668"/>
      <c r="H183" s="1668"/>
      <c r="I183" s="1639"/>
      <c r="J183" s="1639">
        <f t="shared" ref="J183:BB183" si="104">IF(ABS(J180+J181-J182)&lt;0.0000001,0,J180+J181-J182)</f>
        <v>5.3392381200000001</v>
      </c>
      <c r="K183" s="1639">
        <f t="shared" si="104"/>
        <v>4.8555138000000007</v>
      </c>
      <c r="L183" s="954">
        <f t="shared" ca="1" si="104"/>
        <v>1.8576526693159554</v>
      </c>
      <c r="M183" s="954">
        <f t="shared" ca="1" si="104"/>
        <v>4.7666660000324139</v>
      </c>
      <c r="N183" s="954">
        <f t="shared" ca="1" si="104"/>
        <v>5.9969278118148601</v>
      </c>
      <c r="O183" s="954">
        <f t="shared" ca="1" si="104"/>
        <v>6.1348909774112155</v>
      </c>
      <c r="P183" s="954">
        <f t="shared" ca="1" si="104"/>
        <v>6.3284208528134407</v>
      </c>
      <c r="Q183" s="954">
        <f t="shared" ca="1" si="104"/>
        <v>-4.1738637168835853</v>
      </c>
      <c r="R183" s="954">
        <f t="shared" ca="1" si="104"/>
        <v>4.1373753597325074</v>
      </c>
      <c r="S183" s="954">
        <f t="shared" ca="1" si="104"/>
        <v>3.6514979259690374</v>
      </c>
      <c r="T183" s="954">
        <f t="shared" ca="1" si="104"/>
        <v>2.6758020044903468</v>
      </c>
      <c r="U183" s="954">
        <f t="shared" ca="1" si="104"/>
        <v>7.0772693749609363</v>
      </c>
      <c r="V183" s="954">
        <f t="shared" ca="1" si="104"/>
        <v>3.8607127442038944</v>
      </c>
      <c r="W183" s="954">
        <f t="shared" ca="1" si="104"/>
        <v>4.9057775593274835</v>
      </c>
      <c r="X183" s="954">
        <f t="shared" ca="1" si="104"/>
        <v>6.6154691556286505</v>
      </c>
      <c r="Y183" s="954">
        <f t="shared" ca="1" si="104"/>
        <v>5.5076140267242195</v>
      </c>
      <c r="Z183" s="954">
        <f t="shared" ca="1" si="104"/>
        <v>4.0976137849380816</v>
      </c>
      <c r="AA183" s="954">
        <f t="shared" ca="1" si="104"/>
        <v>7.5317567999699966</v>
      </c>
      <c r="AB183" s="954">
        <f t="shared" ca="1" si="104"/>
        <v>5.6675665624868081</v>
      </c>
      <c r="AC183" s="954">
        <f t="shared" ca="1" si="104"/>
        <v>4.7858961434245106</v>
      </c>
      <c r="AD183" s="954">
        <f t="shared" ca="1" si="104"/>
        <v>5.5305268556646787</v>
      </c>
      <c r="AE183" s="954">
        <f t="shared" ca="1" si="104"/>
        <v>9.1103047107291708</v>
      </c>
      <c r="AF183" s="954">
        <f t="shared" ca="1" si="104"/>
        <v>8.1664036670843672</v>
      </c>
      <c r="AG183" s="954">
        <f t="shared" ca="1" si="104"/>
        <v>11.46524196704048</v>
      </c>
      <c r="AH183" s="954">
        <f t="shared" ca="1" si="104"/>
        <v>9.1084453477856862</v>
      </c>
      <c r="AI183" s="954">
        <f t="shared" ca="1" si="104"/>
        <v>9.5007679478174296</v>
      </c>
      <c r="AJ183" s="1283">
        <f t="shared" ca="1" si="104"/>
        <v>11.253779601783432</v>
      </c>
      <c r="AK183" s="954">
        <f t="shared" ca="1" si="104"/>
        <v>11.122452989829437</v>
      </c>
      <c r="AL183" s="954">
        <f t="shared" ca="1" si="104"/>
        <v>9.4820299688283143</v>
      </c>
      <c r="AM183" s="954">
        <f t="shared" ca="1" si="104"/>
        <v>12.660761011414543</v>
      </c>
      <c r="AN183" s="1283">
        <f t="shared" ca="1" si="104"/>
        <v>9.2054337354895566</v>
      </c>
      <c r="AO183" s="954">
        <f t="shared" ca="1" si="104"/>
        <v>11.863676915097138</v>
      </c>
      <c r="AP183" s="954">
        <f t="shared" ca="1" si="104"/>
        <v>13.738606132880815</v>
      </c>
      <c r="AQ183" s="954">
        <f t="shared" ca="1" si="104"/>
        <v>11.658509045766237</v>
      </c>
      <c r="AR183" s="1283">
        <f t="shared" ca="1" si="104"/>
        <v>12.214247550437186</v>
      </c>
      <c r="AS183" s="954">
        <f t="shared" ca="1" si="104"/>
        <v>15.836631525208844</v>
      </c>
      <c r="AT183" s="954">
        <f t="shared" ca="1" si="104"/>
        <v>14.067523774026188</v>
      </c>
      <c r="AU183" s="954">
        <f t="shared" ca="1" si="104"/>
        <v>14.616227580866401</v>
      </c>
      <c r="AV183" s="1283">
        <f t="shared" ca="1" si="104"/>
        <v>16.650439833760466</v>
      </c>
      <c r="AW183" s="954">
        <f t="shared" ca="1" si="104"/>
        <v>15.797908554717765</v>
      </c>
      <c r="AX183" s="954">
        <f ca="1">AX180+AX181-AX182</f>
        <v>-3.9999994427830643E-8</v>
      </c>
      <c r="AY183" s="954">
        <f t="shared" ca="1" si="104"/>
        <v>0</v>
      </c>
      <c r="AZ183" s="1283">
        <f t="shared" ca="1" si="104"/>
        <v>0</v>
      </c>
      <c r="BA183" s="954">
        <f t="shared" ca="1" si="104"/>
        <v>0</v>
      </c>
      <c r="BB183" s="954">
        <f t="shared" ca="1" si="104"/>
        <v>0</v>
      </c>
    </row>
    <row r="184" spans="3:190" ht="17.100000000000001" customHeight="1">
      <c r="C184" s="952"/>
      <c r="D184" s="777" t="s">
        <v>657</v>
      </c>
      <c r="E184" s="747"/>
      <c r="F184" s="1668"/>
      <c r="G184" s="1668"/>
      <c r="H184" s="1668"/>
      <c r="I184" s="1742">
        <f>I15</f>
        <v>0</v>
      </c>
      <c r="J184" s="1639">
        <f>-J183*(J183&lt;=0)</f>
        <v>0</v>
      </c>
      <c r="K184" s="1687">
        <f>실적!C20/단위</f>
        <v>0</v>
      </c>
      <c r="L184" s="954">
        <f t="shared" ref="L184:BB184" ca="1" si="105">-L183*(L183&lt;=0)</f>
        <v>0</v>
      </c>
      <c r="M184" s="954">
        <f t="shared" ca="1" si="105"/>
        <v>0</v>
      </c>
      <c r="N184" s="954">
        <f t="shared" ca="1" si="105"/>
        <v>0</v>
      </c>
      <c r="O184" s="954">
        <f t="shared" ca="1" si="105"/>
        <v>0</v>
      </c>
      <c r="P184" s="954">
        <f t="shared" ca="1" si="105"/>
        <v>0</v>
      </c>
      <c r="Q184" s="954">
        <f t="shared" ca="1" si="105"/>
        <v>4.1738637168835853</v>
      </c>
      <c r="R184" s="954">
        <f t="shared" ca="1" si="105"/>
        <v>0</v>
      </c>
      <c r="S184" s="954">
        <f t="shared" ca="1" si="105"/>
        <v>0</v>
      </c>
      <c r="T184" s="954">
        <f t="shared" ca="1" si="105"/>
        <v>0</v>
      </c>
      <c r="U184" s="954">
        <f t="shared" ca="1" si="105"/>
        <v>0</v>
      </c>
      <c r="V184" s="954">
        <f t="shared" ca="1" si="105"/>
        <v>0</v>
      </c>
      <c r="W184" s="954">
        <f t="shared" ca="1" si="105"/>
        <v>0</v>
      </c>
      <c r="X184" s="954">
        <f t="shared" ca="1" si="105"/>
        <v>0</v>
      </c>
      <c r="Y184" s="954">
        <f t="shared" ca="1" si="105"/>
        <v>0</v>
      </c>
      <c r="Z184" s="954">
        <f t="shared" ca="1" si="105"/>
        <v>0</v>
      </c>
      <c r="AA184" s="954">
        <f t="shared" ca="1" si="105"/>
        <v>0</v>
      </c>
      <c r="AB184" s="954">
        <f t="shared" ca="1" si="105"/>
        <v>0</v>
      </c>
      <c r="AC184" s="954">
        <f t="shared" ca="1" si="105"/>
        <v>0</v>
      </c>
      <c r="AD184" s="954">
        <f t="shared" ca="1" si="105"/>
        <v>0</v>
      </c>
      <c r="AE184" s="954">
        <f t="shared" ca="1" si="105"/>
        <v>0</v>
      </c>
      <c r="AF184" s="954">
        <f t="shared" ca="1" si="105"/>
        <v>0</v>
      </c>
      <c r="AG184" s="954">
        <f t="shared" ca="1" si="105"/>
        <v>0</v>
      </c>
      <c r="AH184" s="954">
        <f t="shared" ca="1" si="105"/>
        <v>0</v>
      </c>
      <c r="AI184" s="954">
        <f t="shared" ca="1" si="105"/>
        <v>0</v>
      </c>
      <c r="AJ184" s="954">
        <f t="shared" ca="1" si="105"/>
        <v>0</v>
      </c>
      <c r="AK184" s="954">
        <f t="shared" ca="1" si="105"/>
        <v>0</v>
      </c>
      <c r="AL184" s="954">
        <f t="shared" ca="1" si="105"/>
        <v>0</v>
      </c>
      <c r="AM184" s="954">
        <f t="shared" ca="1" si="105"/>
        <v>0</v>
      </c>
      <c r="AN184" s="954">
        <f t="shared" ca="1" si="105"/>
        <v>0</v>
      </c>
      <c r="AO184" s="954">
        <f t="shared" ca="1" si="105"/>
        <v>0</v>
      </c>
      <c r="AP184" s="954">
        <f t="shared" ca="1" si="105"/>
        <v>0</v>
      </c>
      <c r="AQ184" s="954">
        <f t="shared" ca="1" si="105"/>
        <v>0</v>
      </c>
      <c r="AR184" s="954">
        <f t="shared" ca="1" si="105"/>
        <v>0</v>
      </c>
      <c r="AS184" s="954">
        <f t="shared" ca="1" si="105"/>
        <v>0</v>
      </c>
      <c r="AT184" s="954">
        <f t="shared" ca="1" si="105"/>
        <v>0</v>
      </c>
      <c r="AU184" s="954">
        <f t="shared" ca="1" si="105"/>
        <v>0</v>
      </c>
      <c r="AV184" s="954">
        <f t="shared" ca="1" si="105"/>
        <v>0</v>
      </c>
      <c r="AW184" s="954">
        <f t="shared" ca="1" si="105"/>
        <v>0</v>
      </c>
      <c r="AX184" s="1707">
        <f t="shared" ca="1" si="105"/>
        <v>3.9999994427830643E-8</v>
      </c>
      <c r="AY184" s="954">
        <f t="shared" ca="1" si="105"/>
        <v>0</v>
      </c>
      <c r="AZ184" s="954">
        <f t="shared" ca="1" si="105"/>
        <v>0</v>
      </c>
      <c r="BA184" s="954">
        <f t="shared" ca="1" si="105"/>
        <v>0</v>
      </c>
      <c r="BB184" s="954">
        <f t="shared" ca="1" si="105"/>
        <v>0</v>
      </c>
    </row>
    <row r="185" spans="3:190" ht="17.100000000000001" customHeight="1">
      <c r="C185" s="952"/>
      <c r="D185" s="777" t="s">
        <v>1272</v>
      </c>
      <c r="E185" s="747"/>
      <c r="F185" s="1668"/>
      <c r="G185" s="1668"/>
      <c r="H185" s="1668"/>
      <c r="I185" s="1742">
        <f>I33</f>
        <v>0</v>
      </c>
      <c r="J185" s="1639">
        <f>J183*(J183&gt;0)</f>
        <v>5.3392381200000001</v>
      </c>
      <c r="K185" s="1687">
        <f>실적!C50/단위</f>
        <v>5.5314407599999997</v>
      </c>
      <c r="L185" s="954">
        <f t="shared" ref="L185:BB185" ca="1" si="106">L183*(L183&gt;0)</f>
        <v>1.8576526693159554</v>
      </c>
      <c r="M185" s="954">
        <f t="shared" ca="1" si="106"/>
        <v>4.7666660000324139</v>
      </c>
      <c r="N185" s="954">
        <f t="shared" ca="1" si="106"/>
        <v>5.9969278118148601</v>
      </c>
      <c r="O185" s="954">
        <f t="shared" ca="1" si="106"/>
        <v>6.1348909774112155</v>
      </c>
      <c r="P185" s="954">
        <f t="shared" ca="1" si="106"/>
        <v>6.3284208528134407</v>
      </c>
      <c r="Q185" s="954">
        <f t="shared" ca="1" si="106"/>
        <v>0</v>
      </c>
      <c r="R185" s="954">
        <f t="shared" ca="1" si="106"/>
        <v>4.1373753597325074</v>
      </c>
      <c r="S185" s="954">
        <f t="shared" ca="1" si="106"/>
        <v>3.6514979259690374</v>
      </c>
      <c r="T185" s="954">
        <f t="shared" ca="1" si="106"/>
        <v>2.6758020044903468</v>
      </c>
      <c r="U185" s="954">
        <f t="shared" ca="1" si="106"/>
        <v>7.0772693749609363</v>
      </c>
      <c r="V185" s="954">
        <f t="shared" ca="1" si="106"/>
        <v>3.8607127442038944</v>
      </c>
      <c r="W185" s="954">
        <f t="shared" ca="1" si="106"/>
        <v>4.9057775593274835</v>
      </c>
      <c r="X185" s="954">
        <f t="shared" ca="1" si="106"/>
        <v>6.6154691556286505</v>
      </c>
      <c r="Y185" s="954">
        <f t="shared" ca="1" si="106"/>
        <v>5.5076140267242195</v>
      </c>
      <c r="Z185" s="954">
        <f t="shared" ca="1" si="106"/>
        <v>4.0976137849380816</v>
      </c>
      <c r="AA185" s="954">
        <f t="shared" ca="1" si="106"/>
        <v>7.5317567999699966</v>
      </c>
      <c r="AB185" s="954">
        <f t="shared" ca="1" si="106"/>
        <v>5.6675665624868081</v>
      </c>
      <c r="AC185" s="954">
        <f t="shared" ca="1" si="106"/>
        <v>4.7858961434245106</v>
      </c>
      <c r="AD185" s="954">
        <f t="shared" ca="1" si="106"/>
        <v>5.5305268556646787</v>
      </c>
      <c r="AE185" s="954">
        <f t="shared" ca="1" si="106"/>
        <v>9.1103047107291708</v>
      </c>
      <c r="AF185" s="954">
        <f t="shared" ca="1" si="106"/>
        <v>8.1664036670843672</v>
      </c>
      <c r="AG185" s="954">
        <f t="shared" ca="1" si="106"/>
        <v>11.46524196704048</v>
      </c>
      <c r="AH185" s="954">
        <f t="shared" ca="1" si="106"/>
        <v>9.1084453477856862</v>
      </c>
      <c r="AI185" s="954">
        <f t="shared" ca="1" si="106"/>
        <v>9.5007679478174296</v>
      </c>
      <c r="AJ185" s="954">
        <f t="shared" ca="1" si="106"/>
        <v>11.253779601783432</v>
      </c>
      <c r="AK185" s="954">
        <f t="shared" ca="1" si="106"/>
        <v>11.122452989829437</v>
      </c>
      <c r="AL185" s="954">
        <f t="shared" ca="1" si="106"/>
        <v>9.4820299688283143</v>
      </c>
      <c r="AM185" s="954">
        <f t="shared" ca="1" si="106"/>
        <v>12.660761011414543</v>
      </c>
      <c r="AN185" s="954">
        <f t="shared" ca="1" si="106"/>
        <v>9.2054337354895566</v>
      </c>
      <c r="AO185" s="954">
        <f t="shared" ca="1" si="106"/>
        <v>11.863676915097138</v>
      </c>
      <c r="AP185" s="954">
        <f t="shared" ca="1" si="106"/>
        <v>13.738606132880815</v>
      </c>
      <c r="AQ185" s="954">
        <f t="shared" ca="1" si="106"/>
        <v>11.658509045766237</v>
      </c>
      <c r="AR185" s="954">
        <f t="shared" ca="1" si="106"/>
        <v>12.214247550437186</v>
      </c>
      <c r="AS185" s="954">
        <f t="shared" ca="1" si="106"/>
        <v>15.836631525208844</v>
      </c>
      <c r="AT185" s="954">
        <f t="shared" ca="1" si="106"/>
        <v>14.067523774026188</v>
      </c>
      <c r="AU185" s="954">
        <f t="shared" ca="1" si="106"/>
        <v>14.616227580866401</v>
      </c>
      <c r="AV185" s="954">
        <f t="shared" ca="1" si="106"/>
        <v>16.650439833760466</v>
      </c>
      <c r="AW185" s="954">
        <f t="shared" ca="1" si="106"/>
        <v>15.797908554717765</v>
      </c>
      <c r="AX185" s="954">
        <f t="shared" ca="1" si="106"/>
        <v>0</v>
      </c>
      <c r="AY185" s="954">
        <f t="shared" ca="1" si="106"/>
        <v>0</v>
      </c>
      <c r="AZ185" s="954">
        <f t="shared" ca="1" si="106"/>
        <v>0</v>
      </c>
      <c r="BA185" s="954">
        <f t="shared" ca="1" si="106"/>
        <v>0</v>
      </c>
      <c r="BB185" s="954">
        <f t="shared" ca="1" si="106"/>
        <v>0</v>
      </c>
    </row>
    <row r="186" spans="3:190" ht="17.100000000000001" customHeight="1">
      <c r="D186" s="331"/>
      <c r="E186" s="787"/>
      <c r="F186" s="787"/>
      <c r="G186" s="787"/>
      <c r="H186" s="787"/>
      <c r="I186" s="1743"/>
      <c r="J186" s="935"/>
      <c r="K186" s="935"/>
      <c r="L186" s="935"/>
      <c r="M186" s="935"/>
      <c r="N186" s="935"/>
      <c r="O186" s="935"/>
      <c r="P186" s="935"/>
      <c r="Q186" s="935"/>
      <c r="R186" s="935"/>
      <c r="S186" s="935"/>
      <c r="T186" s="935"/>
      <c r="U186" s="935"/>
      <c r="V186" s="935"/>
      <c r="W186" s="935"/>
      <c r="X186" s="935"/>
      <c r="Y186" s="935"/>
      <c r="Z186" s="935"/>
      <c r="AA186" s="935"/>
      <c r="AB186" s="935"/>
      <c r="AC186" s="935"/>
      <c r="AD186" s="935"/>
      <c r="AE186" s="935"/>
      <c r="AF186" s="935"/>
      <c r="AG186" s="935"/>
      <c r="AH186" s="935"/>
      <c r="AI186" s="935"/>
      <c r="AJ186" s="935"/>
      <c r="AK186" s="935"/>
      <c r="AL186" s="935"/>
      <c r="AM186" s="935"/>
      <c r="AN186" s="935"/>
      <c r="AO186" s="935"/>
      <c r="AP186" s="935"/>
      <c r="AQ186" s="935"/>
      <c r="AR186" s="935"/>
      <c r="AS186" s="935"/>
      <c r="AT186" s="935"/>
      <c r="AU186" s="935"/>
      <c r="AV186" s="935"/>
      <c r="AW186" s="935"/>
      <c r="AX186" s="935"/>
      <c r="AY186" s="935"/>
      <c r="AZ186" s="935"/>
      <c r="BA186" s="935"/>
      <c r="BB186" s="935"/>
    </row>
    <row r="187" spans="3:190" ht="17.100000000000001" customHeight="1">
      <c r="C187" s="302" t="s">
        <v>715</v>
      </c>
      <c r="I187" s="1738"/>
      <c r="J187" s="1714"/>
      <c r="K187" s="1714"/>
      <c r="L187" s="1714"/>
      <c r="M187" s="1714"/>
      <c r="N187" s="1714"/>
      <c r="O187" s="1714"/>
      <c r="P187" s="1714"/>
      <c r="Q187" s="1714"/>
      <c r="R187" s="1714"/>
      <c r="S187" s="1714"/>
      <c r="T187" s="1714"/>
      <c r="U187" s="1714"/>
      <c r="V187" s="1714"/>
      <c r="W187" s="788"/>
      <c r="X187" s="788"/>
      <c r="Y187" s="788"/>
      <c r="Z187" s="788"/>
      <c r="AA187" s="788"/>
      <c r="AB187" s="788"/>
      <c r="AC187" s="788"/>
      <c r="AD187" s="788"/>
      <c r="AE187" s="788"/>
      <c r="AF187" s="788"/>
      <c r="AG187" s="788"/>
      <c r="AH187" s="788"/>
      <c r="AI187" s="788"/>
      <c r="AJ187" s="788"/>
      <c r="AK187" s="788"/>
      <c r="AL187" s="788"/>
      <c r="AM187" s="788"/>
      <c r="AN187" s="788"/>
      <c r="AO187" s="788"/>
      <c r="AP187" s="788"/>
      <c r="AQ187" s="788"/>
      <c r="AR187" s="788"/>
      <c r="AS187" s="788"/>
      <c r="AT187" s="788"/>
      <c r="AU187" s="788"/>
      <c r="AV187" s="788"/>
      <c r="AW187" s="788"/>
      <c r="AX187" s="788"/>
      <c r="AY187" s="788"/>
      <c r="AZ187" s="788"/>
      <c r="BA187" s="788"/>
      <c r="BB187" s="788"/>
    </row>
    <row r="188" spans="3:190" ht="17.100000000000001" customHeight="1">
      <c r="C188" s="717"/>
      <c r="D188" s="718" t="s">
        <v>780</v>
      </c>
      <c r="E188" s="719"/>
      <c r="F188" s="718"/>
      <c r="G188" s="718"/>
      <c r="H188" s="718"/>
      <c r="I188" s="1684">
        <f t="shared" ref="I188:BB188" si="107">I142</f>
        <v>2018</v>
      </c>
      <c r="J188" s="766">
        <f t="shared" si="107"/>
        <v>2019</v>
      </c>
      <c r="K188" s="766">
        <f t="shared" si="107"/>
        <v>2020</v>
      </c>
      <c r="L188" s="766">
        <f t="shared" si="107"/>
        <v>2021</v>
      </c>
      <c r="M188" s="766">
        <f t="shared" si="107"/>
        <v>2022</v>
      </c>
      <c r="N188" s="766">
        <f t="shared" si="107"/>
        <v>2023</v>
      </c>
      <c r="O188" s="766">
        <f t="shared" si="107"/>
        <v>2024</v>
      </c>
      <c r="P188" s="766">
        <f t="shared" si="107"/>
        <v>2025</v>
      </c>
      <c r="Q188" s="766">
        <f t="shared" si="107"/>
        <v>2026</v>
      </c>
      <c r="R188" s="766">
        <f t="shared" si="107"/>
        <v>2027</v>
      </c>
      <c r="S188" s="766">
        <f t="shared" si="107"/>
        <v>2028</v>
      </c>
      <c r="T188" s="766">
        <f t="shared" si="107"/>
        <v>2029</v>
      </c>
      <c r="U188" s="766">
        <f t="shared" si="107"/>
        <v>2030</v>
      </c>
      <c r="V188" s="766">
        <f t="shared" si="107"/>
        <v>2031</v>
      </c>
      <c r="W188" s="766">
        <f t="shared" si="107"/>
        <v>2032</v>
      </c>
      <c r="X188" s="766">
        <f t="shared" si="107"/>
        <v>2033</v>
      </c>
      <c r="Y188" s="766">
        <f t="shared" si="107"/>
        <v>2034</v>
      </c>
      <c r="Z188" s="766">
        <f t="shared" si="107"/>
        <v>2035</v>
      </c>
      <c r="AA188" s="766">
        <f t="shared" si="107"/>
        <v>2036</v>
      </c>
      <c r="AB188" s="766">
        <f t="shared" si="107"/>
        <v>2037</v>
      </c>
      <c r="AC188" s="766">
        <f t="shared" si="107"/>
        <v>2038</v>
      </c>
      <c r="AD188" s="766">
        <f t="shared" si="107"/>
        <v>2039</v>
      </c>
      <c r="AE188" s="766">
        <f t="shared" si="107"/>
        <v>2040</v>
      </c>
      <c r="AF188" s="766">
        <f t="shared" si="107"/>
        <v>2041</v>
      </c>
      <c r="AG188" s="766">
        <f t="shared" si="107"/>
        <v>2042</v>
      </c>
      <c r="AH188" s="766">
        <f t="shared" si="107"/>
        <v>2043</v>
      </c>
      <c r="AI188" s="766">
        <f t="shared" si="107"/>
        <v>2044</v>
      </c>
      <c r="AJ188" s="766">
        <f t="shared" si="107"/>
        <v>2045</v>
      </c>
      <c r="AK188" s="766">
        <f t="shared" si="107"/>
        <v>2046</v>
      </c>
      <c r="AL188" s="766">
        <f t="shared" si="107"/>
        <v>2047</v>
      </c>
      <c r="AM188" s="766">
        <f t="shared" si="107"/>
        <v>2048</v>
      </c>
      <c r="AN188" s="766">
        <f t="shared" si="107"/>
        <v>2049</v>
      </c>
      <c r="AO188" s="766">
        <f t="shared" si="107"/>
        <v>2050</v>
      </c>
      <c r="AP188" s="766">
        <f t="shared" si="107"/>
        <v>2051</v>
      </c>
      <c r="AQ188" s="766">
        <f t="shared" si="107"/>
        <v>2052</v>
      </c>
      <c r="AR188" s="766">
        <f t="shared" si="107"/>
        <v>2053</v>
      </c>
      <c r="AS188" s="766">
        <f t="shared" si="107"/>
        <v>2054</v>
      </c>
      <c r="AT188" s="766">
        <f t="shared" si="107"/>
        <v>2055</v>
      </c>
      <c r="AU188" s="766">
        <f t="shared" si="107"/>
        <v>2056</v>
      </c>
      <c r="AV188" s="766">
        <f t="shared" si="107"/>
        <v>2057</v>
      </c>
      <c r="AW188" s="766">
        <f t="shared" si="107"/>
        <v>2058</v>
      </c>
      <c r="AX188" s="766">
        <f t="shared" si="107"/>
        <v>2059</v>
      </c>
      <c r="AY188" s="766">
        <f t="shared" si="107"/>
        <v>2060</v>
      </c>
      <c r="AZ188" s="766">
        <f t="shared" si="107"/>
        <v>2061</v>
      </c>
      <c r="BA188" s="766">
        <f t="shared" si="107"/>
        <v>2062</v>
      </c>
      <c r="BB188" s="766">
        <f t="shared" si="107"/>
        <v>2063</v>
      </c>
    </row>
    <row r="189" spans="3:190" ht="16.899999999999999" customHeight="1">
      <c r="C189" s="720"/>
      <c r="D189" s="774" t="s">
        <v>1080</v>
      </c>
      <c r="E189" s="722"/>
      <c r="F189" s="1625"/>
      <c r="G189" s="1625"/>
      <c r="H189" s="1625"/>
      <c r="I189" s="1666"/>
      <c r="J189" s="1666">
        <f t="shared" ref="J189:BB189" si="108">I192</f>
        <v>680</v>
      </c>
      <c r="K189" s="1666">
        <f t="shared" si="108"/>
        <v>680</v>
      </c>
      <c r="L189" s="1360">
        <f t="shared" si="108"/>
        <v>680</v>
      </c>
      <c r="M189" s="1360">
        <f t="shared" si="108"/>
        <v>680</v>
      </c>
      <c r="N189" s="1360">
        <f t="shared" si="108"/>
        <v>680</v>
      </c>
      <c r="O189" s="1360">
        <f t="shared" si="108"/>
        <v>680</v>
      </c>
      <c r="P189" s="1360">
        <f t="shared" si="108"/>
        <v>680</v>
      </c>
      <c r="Q189" s="1360">
        <f t="shared" si="108"/>
        <v>680</v>
      </c>
      <c r="R189" s="1360">
        <f t="shared" si="108"/>
        <v>680</v>
      </c>
      <c r="S189" s="1360">
        <f t="shared" si="108"/>
        <v>680</v>
      </c>
      <c r="T189" s="1360">
        <f t="shared" si="108"/>
        <v>680</v>
      </c>
      <c r="U189" s="1360">
        <f t="shared" si="108"/>
        <v>680</v>
      </c>
      <c r="V189" s="1360">
        <f t="shared" si="108"/>
        <v>680</v>
      </c>
      <c r="W189" s="1360">
        <f t="shared" si="108"/>
        <v>680</v>
      </c>
      <c r="X189" s="1360">
        <f t="shared" si="108"/>
        <v>680</v>
      </c>
      <c r="Y189" s="1360">
        <f t="shared" si="108"/>
        <v>680</v>
      </c>
      <c r="Z189" s="1360">
        <f t="shared" si="108"/>
        <v>680</v>
      </c>
      <c r="AA189" s="1360">
        <f t="shared" si="108"/>
        <v>680</v>
      </c>
      <c r="AB189" s="1360">
        <f t="shared" si="108"/>
        <v>680</v>
      </c>
      <c r="AC189" s="1360">
        <f t="shared" si="108"/>
        <v>680</v>
      </c>
      <c r="AD189" s="1360">
        <f t="shared" si="108"/>
        <v>680</v>
      </c>
      <c r="AE189" s="1360">
        <f t="shared" si="108"/>
        <v>680</v>
      </c>
      <c r="AF189" s="1360">
        <f t="shared" si="108"/>
        <v>680</v>
      </c>
      <c r="AG189" s="1360">
        <f t="shared" si="108"/>
        <v>680</v>
      </c>
      <c r="AH189" s="1360">
        <f t="shared" si="108"/>
        <v>680</v>
      </c>
      <c r="AI189" s="1360">
        <f t="shared" si="108"/>
        <v>680</v>
      </c>
      <c r="AJ189" s="1360">
        <f t="shared" si="108"/>
        <v>680</v>
      </c>
      <c r="AK189" s="1360">
        <f t="shared" si="108"/>
        <v>680</v>
      </c>
      <c r="AL189" s="1360">
        <f t="shared" si="108"/>
        <v>680</v>
      </c>
      <c r="AM189" s="1360">
        <f t="shared" si="108"/>
        <v>680</v>
      </c>
      <c r="AN189" s="1360">
        <f t="shared" si="108"/>
        <v>680</v>
      </c>
      <c r="AO189" s="1360">
        <f t="shared" si="108"/>
        <v>680</v>
      </c>
      <c r="AP189" s="1360">
        <f t="shared" si="108"/>
        <v>680</v>
      </c>
      <c r="AQ189" s="1360">
        <f t="shared" si="108"/>
        <v>680</v>
      </c>
      <c r="AR189" s="1360">
        <f t="shared" si="108"/>
        <v>680</v>
      </c>
      <c r="AS189" s="1360">
        <f t="shared" si="108"/>
        <v>680</v>
      </c>
      <c r="AT189" s="1360">
        <f t="shared" si="108"/>
        <v>680</v>
      </c>
      <c r="AU189" s="1360">
        <f t="shared" si="108"/>
        <v>680</v>
      </c>
      <c r="AV189" s="1360">
        <f t="shared" si="108"/>
        <v>680</v>
      </c>
      <c r="AW189" s="1360">
        <f t="shared" si="108"/>
        <v>680</v>
      </c>
      <c r="AX189" s="1360">
        <f t="shared" si="108"/>
        <v>680</v>
      </c>
      <c r="AY189" s="1360">
        <f t="shared" si="108"/>
        <v>680</v>
      </c>
      <c r="AZ189" s="1360">
        <f t="shared" si="108"/>
        <v>680</v>
      </c>
      <c r="BA189" s="1360">
        <f t="shared" si="108"/>
        <v>680</v>
      </c>
      <c r="BB189" s="1360">
        <f t="shared" si="108"/>
        <v>0</v>
      </c>
    </row>
    <row r="190" spans="3:190" ht="17.100000000000001" customHeight="1">
      <c r="C190" s="1409"/>
      <c r="D190" s="1410" t="s">
        <v>1270</v>
      </c>
      <c r="E190" s="1411"/>
      <c r="F190" s="1667"/>
      <c r="G190" s="1667"/>
      <c r="H190" s="1667"/>
      <c r="I190" s="945"/>
      <c r="J190" s="945">
        <f>'CF(Y)'!K34</f>
        <v>0</v>
      </c>
      <c r="K190" s="945">
        <f>'CF(Y)'!L34</f>
        <v>0</v>
      </c>
      <c r="L190" s="946">
        <f>'CF(Y)'!M34</f>
        <v>0</v>
      </c>
      <c r="M190" s="946">
        <f>'CF(Y)'!N34</f>
        <v>0</v>
      </c>
      <c r="N190" s="946">
        <f>'CF(Y)'!O34</f>
        <v>0</v>
      </c>
      <c r="O190" s="946">
        <f>'CF(Y)'!P34</f>
        <v>0</v>
      </c>
      <c r="P190" s="946">
        <f>'CF(Y)'!Q34</f>
        <v>0</v>
      </c>
      <c r="Q190" s="946">
        <f>'CF(Y)'!R34</f>
        <v>0</v>
      </c>
      <c r="R190" s="946">
        <f>'CF(Y)'!S34</f>
        <v>0</v>
      </c>
      <c r="S190" s="946">
        <f>'CF(Y)'!T34</f>
        <v>0</v>
      </c>
      <c r="T190" s="946">
        <f>'CF(Y)'!U34</f>
        <v>0</v>
      </c>
      <c r="U190" s="946">
        <f>'CF(Y)'!V34</f>
        <v>0</v>
      </c>
      <c r="V190" s="946">
        <f>'CF(Y)'!W34</f>
        <v>0</v>
      </c>
      <c r="W190" s="946">
        <f>'CF(Y)'!X34</f>
        <v>0</v>
      </c>
      <c r="X190" s="946">
        <f>'CF(Y)'!Y34</f>
        <v>0</v>
      </c>
      <c r="Y190" s="946">
        <f>'CF(Y)'!Z34</f>
        <v>0</v>
      </c>
      <c r="Z190" s="946">
        <f>'CF(Y)'!AA34</f>
        <v>0</v>
      </c>
      <c r="AA190" s="946">
        <f>'CF(Y)'!AB34</f>
        <v>0</v>
      </c>
      <c r="AB190" s="946">
        <f>'CF(Y)'!AC34</f>
        <v>0</v>
      </c>
      <c r="AC190" s="946">
        <f>'CF(Y)'!AD34</f>
        <v>0</v>
      </c>
      <c r="AD190" s="946">
        <f>'CF(Y)'!AE34</f>
        <v>0</v>
      </c>
      <c r="AE190" s="946">
        <f>'CF(Y)'!AF34</f>
        <v>0</v>
      </c>
      <c r="AF190" s="946">
        <f>'CF(Y)'!AG34</f>
        <v>0</v>
      </c>
      <c r="AG190" s="946">
        <f>'CF(Y)'!AH34</f>
        <v>0</v>
      </c>
      <c r="AH190" s="946">
        <f>'CF(Y)'!AI34</f>
        <v>0</v>
      </c>
      <c r="AI190" s="946">
        <f>'CF(Y)'!AJ34</f>
        <v>0</v>
      </c>
      <c r="AJ190" s="946">
        <f>'CF(Y)'!AK34</f>
        <v>0</v>
      </c>
      <c r="AK190" s="946">
        <f>'CF(Y)'!AL34</f>
        <v>0</v>
      </c>
      <c r="AL190" s="946">
        <f>'CF(Y)'!AM34</f>
        <v>0</v>
      </c>
      <c r="AM190" s="946">
        <f>'CF(Y)'!AN34</f>
        <v>0</v>
      </c>
      <c r="AN190" s="946">
        <f>'CF(Y)'!AO34</f>
        <v>0</v>
      </c>
      <c r="AO190" s="946">
        <f>'CF(Y)'!AP34</f>
        <v>0</v>
      </c>
      <c r="AP190" s="946">
        <f>'CF(Y)'!AQ34</f>
        <v>0</v>
      </c>
      <c r="AQ190" s="946">
        <f>'CF(Y)'!AR34</f>
        <v>0</v>
      </c>
      <c r="AR190" s="946">
        <f>'CF(Y)'!AS34</f>
        <v>0</v>
      </c>
      <c r="AS190" s="946">
        <f>'CF(Y)'!AT34</f>
        <v>0</v>
      </c>
      <c r="AT190" s="946">
        <f>'CF(Y)'!AU34</f>
        <v>0</v>
      </c>
      <c r="AU190" s="946">
        <f>'CF(Y)'!AV34</f>
        <v>0</v>
      </c>
      <c r="AV190" s="946">
        <f>'CF(Y)'!AW34</f>
        <v>0</v>
      </c>
      <c r="AW190" s="946">
        <f>'CF(Y)'!AX34</f>
        <v>0</v>
      </c>
      <c r="AX190" s="946">
        <f>'CF(Y)'!AY34</f>
        <v>0</v>
      </c>
      <c r="AY190" s="946">
        <f>'CF(Y)'!AZ34</f>
        <v>0</v>
      </c>
      <c r="AZ190" s="946">
        <f>'CF(Y)'!BA34</f>
        <v>0</v>
      </c>
      <c r="BA190" s="946">
        <f>'CF(Y)'!BB34</f>
        <v>0</v>
      </c>
      <c r="BB190" s="946">
        <f>'CF(Y)'!BC34</f>
        <v>0</v>
      </c>
    </row>
    <row r="191" spans="3:190" ht="17.100000000000001" customHeight="1">
      <c r="C191" s="1415"/>
      <c r="D191" s="1416" t="s">
        <v>1271</v>
      </c>
      <c r="E191" s="1352"/>
      <c r="F191" s="1685"/>
      <c r="G191" s="1685"/>
      <c r="H191" s="1685"/>
      <c r="I191" s="1686"/>
      <c r="J191" s="1744">
        <v>0</v>
      </c>
      <c r="K191" s="1744">
        <v>0</v>
      </c>
      <c r="L191" s="1353">
        <v>0</v>
      </c>
      <c r="M191" s="1353">
        <v>0</v>
      </c>
      <c r="N191" s="1353">
        <v>0</v>
      </c>
      <c r="O191" s="1353">
        <v>0</v>
      </c>
      <c r="P191" s="1353">
        <v>0</v>
      </c>
      <c r="Q191" s="1353">
        <v>0</v>
      </c>
      <c r="R191" s="1353">
        <v>0</v>
      </c>
      <c r="S191" s="1353">
        <v>0</v>
      </c>
      <c r="T191" s="1353">
        <v>0</v>
      </c>
      <c r="U191" s="1353">
        <v>0</v>
      </c>
      <c r="V191" s="1353">
        <v>0</v>
      </c>
      <c r="W191" s="1353">
        <v>0</v>
      </c>
      <c r="X191" s="1353">
        <v>0</v>
      </c>
      <c r="Y191" s="1353">
        <v>0</v>
      </c>
      <c r="Z191" s="1353">
        <v>0</v>
      </c>
      <c r="AA191" s="1353">
        <v>0</v>
      </c>
      <c r="AB191" s="1353">
        <v>0</v>
      </c>
      <c r="AC191" s="1353">
        <v>0</v>
      </c>
      <c r="AD191" s="1353">
        <v>0</v>
      </c>
      <c r="AE191" s="1353">
        <v>0</v>
      </c>
      <c r="AF191" s="1353">
        <v>0</v>
      </c>
      <c r="AG191" s="1353">
        <v>0</v>
      </c>
      <c r="AH191" s="1353">
        <v>0</v>
      </c>
      <c r="AI191" s="1353">
        <v>0</v>
      </c>
      <c r="AJ191" s="1353">
        <v>0</v>
      </c>
      <c r="AK191" s="1353">
        <v>0</v>
      </c>
      <c r="AL191" s="1353">
        <v>0</v>
      </c>
      <c r="AM191" s="1353">
        <v>0</v>
      </c>
      <c r="AN191" s="1353">
        <v>0</v>
      </c>
      <c r="AO191" s="1353">
        <v>0</v>
      </c>
      <c r="AP191" s="1353">
        <v>0</v>
      </c>
      <c r="AQ191" s="1353">
        <v>0</v>
      </c>
      <c r="AR191" s="1353">
        <v>0</v>
      </c>
      <c r="AS191" s="1353">
        <v>0</v>
      </c>
      <c r="AT191" s="1353">
        <v>0</v>
      </c>
      <c r="AU191" s="1353">
        <v>0</v>
      </c>
      <c r="AV191" s="1353">
        <v>0</v>
      </c>
      <c r="AW191" s="1353">
        <v>0</v>
      </c>
      <c r="AX191" s="1353">
        <v>0</v>
      </c>
      <c r="AY191" s="1353">
        <v>0</v>
      </c>
      <c r="AZ191" s="1353">
        <v>0</v>
      </c>
      <c r="BA191" s="1353">
        <v>0</v>
      </c>
      <c r="BB191" s="1353">
        <v>0</v>
      </c>
    </row>
    <row r="192" spans="3:190" ht="17.100000000000001" customHeight="1">
      <c r="C192" s="952"/>
      <c r="D192" s="777" t="s">
        <v>1096</v>
      </c>
      <c r="E192" s="747"/>
      <c r="F192" s="1668"/>
      <c r="G192" s="1668"/>
      <c r="H192" s="1668"/>
      <c r="I192" s="1639">
        <f>I44</f>
        <v>680</v>
      </c>
      <c r="J192" s="1639">
        <f t="shared" ref="J192:BB192" si="109">J189+J190-J191</f>
        <v>680</v>
      </c>
      <c r="K192" s="1687">
        <f>실적!D61/단위</f>
        <v>680</v>
      </c>
      <c r="L192" s="954">
        <f t="shared" si="109"/>
        <v>680</v>
      </c>
      <c r="M192" s="954">
        <f t="shared" si="109"/>
        <v>680</v>
      </c>
      <c r="N192" s="954">
        <f t="shared" si="109"/>
        <v>680</v>
      </c>
      <c r="O192" s="954">
        <f t="shared" si="109"/>
        <v>680</v>
      </c>
      <c r="P192" s="954">
        <f t="shared" si="109"/>
        <v>680</v>
      </c>
      <c r="Q192" s="954">
        <f t="shared" si="109"/>
        <v>680</v>
      </c>
      <c r="R192" s="954">
        <f t="shared" si="109"/>
        <v>680</v>
      </c>
      <c r="S192" s="954">
        <f t="shared" si="109"/>
        <v>680</v>
      </c>
      <c r="T192" s="954">
        <f t="shared" si="109"/>
        <v>680</v>
      </c>
      <c r="U192" s="954">
        <f t="shared" si="109"/>
        <v>680</v>
      </c>
      <c r="V192" s="954">
        <f t="shared" si="109"/>
        <v>680</v>
      </c>
      <c r="W192" s="954">
        <f t="shared" si="109"/>
        <v>680</v>
      </c>
      <c r="X192" s="954">
        <f t="shared" si="109"/>
        <v>680</v>
      </c>
      <c r="Y192" s="954">
        <f t="shared" si="109"/>
        <v>680</v>
      </c>
      <c r="Z192" s="954">
        <f t="shared" si="109"/>
        <v>680</v>
      </c>
      <c r="AA192" s="954">
        <f t="shared" si="109"/>
        <v>680</v>
      </c>
      <c r="AB192" s="954">
        <f t="shared" si="109"/>
        <v>680</v>
      </c>
      <c r="AC192" s="954">
        <f t="shared" si="109"/>
        <v>680</v>
      </c>
      <c r="AD192" s="954">
        <f t="shared" si="109"/>
        <v>680</v>
      </c>
      <c r="AE192" s="954">
        <f t="shared" si="109"/>
        <v>680</v>
      </c>
      <c r="AF192" s="954">
        <f t="shared" si="109"/>
        <v>680</v>
      </c>
      <c r="AG192" s="954">
        <f t="shared" si="109"/>
        <v>680</v>
      </c>
      <c r="AH192" s="954">
        <f t="shared" si="109"/>
        <v>680</v>
      </c>
      <c r="AI192" s="954">
        <f t="shared" si="109"/>
        <v>680</v>
      </c>
      <c r="AJ192" s="954">
        <f t="shared" si="109"/>
        <v>680</v>
      </c>
      <c r="AK192" s="954">
        <f t="shared" si="109"/>
        <v>680</v>
      </c>
      <c r="AL192" s="954">
        <f t="shared" si="109"/>
        <v>680</v>
      </c>
      <c r="AM192" s="954">
        <f t="shared" si="109"/>
        <v>680</v>
      </c>
      <c r="AN192" s="954">
        <f t="shared" si="109"/>
        <v>680</v>
      </c>
      <c r="AO192" s="954">
        <f t="shared" si="109"/>
        <v>680</v>
      </c>
      <c r="AP192" s="954">
        <f t="shared" si="109"/>
        <v>680</v>
      </c>
      <c r="AQ192" s="954">
        <f t="shared" si="109"/>
        <v>680</v>
      </c>
      <c r="AR192" s="954">
        <f t="shared" si="109"/>
        <v>680</v>
      </c>
      <c r="AS192" s="954">
        <f t="shared" si="109"/>
        <v>680</v>
      </c>
      <c r="AT192" s="954">
        <f t="shared" si="109"/>
        <v>680</v>
      </c>
      <c r="AU192" s="954">
        <f t="shared" si="109"/>
        <v>680</v>
      </c>
      <c r="AV192" s="954">
        <f t="shared" si="109"/>
        <v>680</v>
      </c>
      <c r="AW192" s="954">
        <f t="shared" si="109"/>
        <v>680</v>
      </c>
      <c r="AX192" s="954">
        <f t="shared" si="109"/>
        <v>680</v>
      </c>
      <c r="AY192" s="954">
        <f t="shared" si="109"/>
        <v>680</v>
      </c>
      <c r="AZ192" s="954">
        <f t="shared" si="109"/>
        <v>680</v>
      </c>
      <c r="BA192" s="954">
        <v>0</v>
      </c>
      <c r="BB192" s="954">
        <f t="shared" si="109"/>
        <v>0</v>
      </c>
    </row>
    <row r="193" spans="3:57" ht="17.100000000000001" customHeight="1">
      <c r="D193" s="396"/>
      <c r="E193" s="787"/>
      <c r="F193" s="787"/>
      <c r="G193" s="787"/>
      <c r="H193" s="787"/>
      <c r="I193" s="1745"/>
      <c r="J193" s="644"/>
      <c r="K193" s="935"/>
      <c r="L193" s="935"/>
      <c r="M193" s="935"/>
      <c r="N193" s="935"/>
      <c r="O193" s="935"/>
      <c r="P193" s="935"/>
      <c r="Q193" s="935"/>
      <c r="R193" s="935"/>
      <c r="S193" s="935"/>
      <c r="T193" s="935"/>
      <c r="U193" s="935"/>
      <c r="V193" s="935"/>
      <c r="W193" s="935"/>
      <c r="X193" s="935"/>
      <c r="Y193" s="935"/>
      <c r="Z193" s="935"/>
      <c r="AA193" s="935"/>
      <c r="AB193" s="935"/>
      <c r="AC193" s="935"/>
      <c r="AD193" s="935"/>
      <c r="AE193" s="935"/>
      <c r="AF193" s="935"/>
      <c r="AG193" s="935"/>
      <c r="AH193" s="935"/>
      <c r="AI193" s="935"/>
      <c r="AJ193" s="935"/>
      <c r="AK193" s="935"/>
      <c r="AL193" s="935"/>
      <c r="AM193" s="935"/>
      <c r="AN193" s="935"/>
      <c r="AO193" s="935"/>
      <c r="AP193" s="935"/>
      <c r="AQ193" s="935"/>
      <c r="AR193" s="935"/>
      <c r="AS193" s="935"/>
      <c r="AT193" s="935"/>
      <c r="AU193" s="935"/>
      <c r="AV193" s="935"/>
      <c r="AW193" s="935"/>
      <c r="AX193" s="935"/>
      <c r="AY193" s="935"/>
      <c r="AZ193" s="935"/>
      <c r="BA193" s="935"/>
      <c r="BB193" s="935"/>
    </row>
    <row r="194" spans="3:57" ht="17.100000000000001" customHeight="1">
      <c r="C194" s="302" t="s">
        <v>135</v>
      </c>
      <c r="I194" s="1738"/>
      <c r="J194" s="1714"/>
      <c r="K194" s="1714"/>
      <c r="L194" s="1714"/>
      <c r="M194" s="1714"/>
      <c r="N194" s="1714"/>
      <c r="O194" s="1714"/>
      <c r="P194" s="1714"/>
      <c r="Q194" s="1714"/>
      <c r="R194" s="1714"/>
      <c r="S194" s="1714"/>
      <c r="T194" s="1714"/>
      <c r="U194" s="1714"/>
      <c r="V194" s="1714"/>
      <c r="W194" s="788"/>
      <c r="X194" s="788"/>
      <c r="Y194" s="788"/>
      <c r="Z194" s="788"/>
      <c r="AA194" s="788"/>
      <c r="AB194" s="788"/>
      <c r="AC194" s="788"/>
      <c r="AD194" s="788"/>
      <c r="AE194" s="788"/>
      <c r="AF194" s="788"/>
      <c r="AG194" s="788"/>
      <c r="AH194" s="788"/>
      <c r="AI194" s="788"/>
      <c r="AJ194" s="788"/>
      <c r="AK194" s="788"/>
      <c r="AL194" s="788"/>
      <c r="AM194" s="788"/>
      <c r="AN194" s="788"/>
      <c r="AO194" s="788"/>
      <c r="AP194" s="788"/>
      <c r="AQ194" s="788"/>
      <c r="AR194" s="788"/>
      <c r="AS194" s="788"/>
      <c r="AT194" s="788"/>
      <c r="AU194" s="788"/>
      <c r="AV194" s="788"/>
      <c r="AW194" s="788"/>
      <c r="AX194" s="788"/>
      <c r="AY194" s="788"/>
      <c r="AZ194" s="788"/>
      <c r="BA194" s="788"/>
      <c r="BB194" s="788"/>
    </row>
    <row r="195" spans="3:57" ht="17.100000000000001" customHeight="1">
      <c r="C195" s="717"/>
      <c r="D195" s="718" t="s">
        <v>780</v>
      </c>
      <c r="E195" s="719"/>
      <c r="F195" s="718"/>
      <c r="G195" s="718"/>
      <c r="H195" s="718"/>
      <c r="I195" s="1684">
        <f>I$112</f>
        <v>2018</v>
      </c>
      <c r="J195" s="766">
        <f t="shared" ref="J195:BB195" si="110">J$112</f>
        <v>2019</v>
      </c>
      <c r="K195" s="766">
        <f t="shared" si="110"/>
        <v>2020</v>
      </c>
      <c r="L195" s="766">
        <f t="shared" si="110"/>
        <v>2021</v>
      </c>
      <c r="M195" s="766">
        <f t="shared" si="110"/>
        <v>2022</v>
      </c>
      <c r="N195" s="766">
        <f t="shared" si="110"/>
        <v>2023</v>
      </c>
      <c r="O195" s="766">
        <f t="shared" si="110"/>
        <v>2024</v>
      </c>
      <c r="P195" s="766">
        <f t="shared" si="110"/>
        <v>2025</v>
      </c>
      <c r="Q195" s="766">
        <f t="shared" si="110"/>
        <v>2026</v>
      </c>
      <c r="R195" s="766">
        <f t="shared" si="110"/>
        <v>2027</v>
      </c>
      <c r="S195" s="766">
        <f t="shared" si="110"/>
        <v>2028</v>
      </c>
      <c r="T195" s="766">
        <f t="shared" si="110"/>
        <v>2029</v>
      </c>
      <c r="U195" s="766">
        <f t="shared" si="110"/>
        <v>2030</v>
      </c>
      <c r="V195" s="766">
        <f t="shared" si="110"/>
        <v>2031</v>
      </c>
      <c r="W195" s="766">
        <f t="shared" si="110"/>
        <v>2032</v>
      </c>
      <c r="X195" s="766">
        <f t="shared" si="110"/>
        <v>2033</v>
      </c>
      <c r="Y195" s="766">
        <f t="shared" si="110"/>
        <v>2034</v>
      </c>
      <c r="Z195" s="766">
        <f t="shared" si="110"/>
        <v>2035</v>
      </c>
      <c r="AA195" s="766">
        <f t="shared" si="110"/>
        <v>2036</v>
      </c>
      <c r="AB195" s="766">
        <f t="shared" si="110"/>
        <v>2037</v>
      </c>
      <c r="AC195" s="766">
        <f t="shared" si="110"/>
        <v>2038</v>
      </c>
      <c r="AD195" s="766">
        <f t="shared" si="110"/>
        <v>2039</v>
      </c>
      <c r="AE195" s="766">
        <f t="shared" si="110"/>
        <v>2040</v>
      </c>
      <c r="AF195" s="766">
        <f t="shared" si="110"/>
        <v>2041</v>
      </c>
      <c r="AG195" s="766">
        <f t="shared" si="110"/>
        <v>2042</v>
      </c>
      <c r="AH195" s="766">
        <f t="shared" si="110"/>
        <v>2043</v>
      </c>
      <c r="AI195" s="766">
        <f t="shared" si="110"/>
        <v>2044</v>
      </c>
      <c r="AJ195" s="766">
        <f t="shared" si="110"/>
        <v>2045</v>
      </c>
      <c r="AK195" s="766">
        <f t="shared" si="110"/>
        <v>2046</v>
      </c>
      <c r="AL195" s="766">
        <f t="shared" si="110"/>
        <v>2047</v>
      </c>
      <c r="AM195" s="766">
        <f t="shared" si="110"/>
        <v>2048</v>
      </c>
      <c r="AN195" s="766">
        <f t="shared" si="110"/>
        <v>2049</v>
      </c>
      <c r="AO195" s="766">
        <f t="shared" si="110"/>
        <v>2050</v>
      </c>
      <c r="AP195" s="766">
        <f t="shared" si="110"/>
        <v>2051</v>
      </c>
      <c r="AQ195" s="766">
        <f t="shared" si="110"/>
        <v>2052</v>
      </c>
      <c r="AR195" s="766">
        <f t="shared" si="110"/>
        <v>2053</v>
      </c>
      <c r="AS195" s="766">
        <f t="shared" si="110"/>
        <v>2054</v>
      </c>
      <c r="AT195" s="766">
        <f t="shared" si="110"/>
        <v>2055</v>
      </c>
      <c r="AU195" s="766">
        <f t="shared" si="110"/>
        <v>2056</v>
      </c>
      <c r="AV195" s="766">
        <f t="shared" si="110"/>
        <v>2057</v>
      </c>
      <c r="AW195" s="766">
        <f t="shared" si="110"/>
        <v>2058</v>
      </c>
      <c r="AX195" s="766">
        <f t="shared" si="110"/>
        <v>2059</v>
      </c>
      <c r="AY195" s="766">
        <f t="shared" si="110"/>
        <v>2060</v>
      </c>
      <c r="AZ195" s="766">
        <f t="shared" si="110"/>
        <v>2061</v>
      </c>
      <c r="BA195" s="766">
        <f t="shared" si="110"/>
        <v>2062</v>
      </c>
      <c r="BB195" s="766">
        <f t="shared" si="110"/>
        <v>2063</v>
      </c>
    </row>
    <row r="196" spans="3:57" ht="17.100000000000001" customHeight="1">
      <c r="C196" s="720"/>
      <c r="D196" s="774" t="s">
        <v>1080</v>
      </c>
      <c r="E196" s="722"/>
      <c r="F196" s="1625"/>
      <c r="G196" s="1625"/>
      <c r="H196" s="1625"/>
      <c r="I196" s="1666"/>
      <c r="J196" s="1666"/>
      <c r="K196" s="1666">
        <f t="shared" ref="K196:AX196" si="111">J199</f>
        <v>0</v>
      </c>
      <c r="L196" s="1360">
        <f t="shared" si="111"/>
        <v>0</v>
      </c>
      <c r="M196" s="1360">
        <f t="shared" ca="1" si="111"/>
        <v>0</v>
      </c>
      <c r="N196" s="1360">
        <f t="shared" ca="1" si="111"/>
        <v>0</v>
      </c>
      <c r="O196" s="1360">
        <f t="shared" ca="1" si="111"/>
        <v>0</v>
      </c>
      <c r="P196" s="1360">
        <f t="shared" ca="1" si="111"/>
        <v>0</v>
      </c>
      <c r="Q196" s="1360">
        <f t="shared" ca="1" si="111"/>
        <v>0</v>
      </c>
      <c r="R196" s="1360">
        <f t="shared" ca="1" si="111"/>
        <v>0</v>
      </c>
      <c r="S196" s="1360">
        <f t="shared" ca="1" si="111"/>
        <v>0</v>
      </c>
      <c r="T196" s="1360">
        <f t="shared" ca="1" si="111"/>
        <v>0</v>
      </c>
      <c r="U196" s="1360">
        <f t="shared" ca="1" si="111"/>
        <v>0</v>
      </c>
      <c r="V196" s="1360">
        <f t="shared" ca="1" si="111"/>
        <v>0</v>
      </c>
      <c r="W196" s="1360">
        <f t="shared" ca="1" si="111"/>
        <v>0</v>
      </c>
      <c r="X196" s="1360">
        <f t="shared" ca="1" si="111"/>
        <v>0</v>
      </c>
      <c r="Y196" s="1360">
        <f t="shared" ca="1" si="111"/>
        <v>0</v>
      </c>
      <c r="Z196" s="1360">
        <f t="shared" ca="1" si="111"/>
        <v>0</v>
      </c>
      <c r="AA196" s="1360">
        <f t="shared" ca="1" si="111"/>
        <v>0</v>
      </c>
      <c r="AB196" s="1360">
        <f t="shared" ca="1" si="111"/>
        <v>0</v>
      </c>
      <c r="AC196" s="1360">
        <f t="shared" ca="1" si="111"/>
        <v>0</v>
      </c>
      <c r="AD196" s="1360">
        <f t="shared" ca="1" si="111"/>
        <v>0</v>
      </c>
      <c r="AE196" s="1360">
        <f t="shared" ca="1" si="111"/>
        <v>0</v>
      </c>
      <c r="AF196" s="1360">
        <f t="shared" ca="1" si="111"/>
        <v>0</v>
      </c>
      <c r="AG196" s="1360">
        <f t="shared" ca="1" si="111"/>
        <v>0</v>
      </c>
      <c r="AH196" s="1360">
        <f t="shared" ca="1" si="111"/>
        <v>0</v>
      </c>
      <c r="AI196" s="1360">
        <f t="shared" ca="1" si="111"/>
        <v>0</v>
      </c>
      <c r="AJ196" s="1360">
        <f t="shared" ca="1" si="111"/>
        <v>0</v>
      </c>
      <c r="AK196" s="1360">
        <f t="shared" ca="1" si="111"/>
        <v>0</v>
      </c>
      <c r="AL196" s="1360">
        <f t="shared" ca="1" si="111"/>
        <v>0</v>
      </c>
      <c r="AM196" s="1360">
        <f t="shared" ca="1" si="111"/>
        <v>0</v>
      </c>
      <c r="AN196" s="1360">
        <f t="shared" ca="1" si="111"/>
        <v>0</v>
      </c>
      <c r="AO196" s="1360">
        <f t="shared" ca="1" si="111"/>
        <v>0</v>
      </c>
      <c r="AP196" s="1360">
        <f t="shared" ca="1" si="111"/>
        <v>0</v>
      </c>
      <c r="AQ196" s="1360">
        <f t="shared" ca="1" si="111"/>
        <v>0</v>
      </c>
      <c r="AR196" s="1360">
        <f t="shared" ca="1" si="111"/>
        <v>0</v>
      </c>
      <c r="AS196" s="1360">
        <f t="shared" ca="1" si="111"/>
        <v>0</v>
      </c>
      <c r="AT196" s="1360">
        <f t="shared" ca="1" si="111"/>
        <v>0</v>
      </c>
      <c r="AU196" s="1360">
        <f t="shared" ca="1" si="111"/>
        <v>0</v>
      </c>
      <c r="AV196" s="1360">
        <f t="shared" ca="1" si="111"/>
        <v>0</v>
      </c>
      <c r="AW196" s="1360">
        <f t="shared" ca="1" si="111"/>
        <v>0</v>
      </c>
      <c r="AX196" s="1360">
        <f t="shared" ca="1" si="111"/>
        <v>0</v>
      </c>
      <c r="AY196" s="1360">
        <f ca="1">AX199</f>
        <v>0</v>
      </c>
      <c r="AZ196" s="1360">
        <f ca="1">AY199</f>
        <v>0</v>
      </c>
      <c r="BA196" s="1360">
        <f ca="1">AZ199</f>
        <v>0</v>
      </c>
      <c r="BB196" s="1360">
        <f ca="1">BA199</f>
        <v>0</v>
      </c>
    </row>
    <row r="197" spans="3:57" ht="17.100000000000001" customHeight="1">
      <c r="C197" s="1409"/>
      <c r="D197" s="1410" t="s">
        <v>1270</v>
      </c>
      <c r="E197" s="1411"/>
      <c r="F197" s="1667"/>
      <c r="G197" s="1667"/>
      <c r="H197" s="1667"/>
      <c r="I197" s="945"/>
      <c r="J197" s="945"/>
      <c r="K197" s="945">
        <f ca="1">'CF(Y)'!L37</f>
        <v>0</v>
      </c>
      <c r="L197" s="946">
        <f ca="1">'CF(Y)'!M37</f>
        <v>0</v>
      </c>
      <c r="M197" s="946">
        <f ca="1">'CF(Y)'!N37</f>
        <v>0</v>
      </c>
      <c r="N197" s="946">
        <f ca="1">'CF(Y)'!O37</f>
        <v>0</v>
      </c>
      <c r="O197" s="946">
        <f ca="1">'CF(Y)'!P37</f>
        <v>0</v>
      </c>
      <c r="P197" s="946">
        <f ca="1">'CF(Y)'!Q37</f>
        <v>0</v>
      </c>
      <c r="Q197" s="946">
        <f ca="1">'CF(Y)'!R37</f>
        <v>0</v>
      </c>
      <c r="R197" s="946">
        <f ca="1">'CF(Y)'!S37</f>
        <v>0</v>
      </c>
      <c r="S197" s="946">
        <f ca="1">'CF(Y)'!T37</f>
        <v>0</v>
      </c>
      <c r="T197" s="946">
        <f ca="1">'CF(Y)'!U37</f>
        <v>0</v>
      </c>
      <c r="U197" s="946">
        <f ca="1">'CF(Y)'!V37</f>
        <v>0</v>
      </c>
      <c r="V197" s="946">
        <f ca="1">'CF(Y)'!W37</f>
        <v>0</v>
      </c>
      <c r="W197" s="946">
        <f ca="1">'CF(Y)'!X37</f>
        <v>0</v>
      </c>
      <c r="X197" s="946">
        <f ca="1">'CF(Y)'!Y37</f>
        <v>0</v>
      </c>
      <c r="Y197" s="946">
        <f ca="1">'CF(Y)'!Z37</f>
        <v>0</v>
      </c>
      <c r="Z197" s="946">
        <f ca="1">'CF(Y)'!AA37</f>
        <v>0</v>
      </c>
      <c r="AA197" s="946">
        <f ca="1">'CF(Y)'!AB37</f>
        <v>0</v>
      </c>
      <c r="AB197" s="946">
        <f ca="1">'CF(Y)'!AC37</f>
        <v>0</v>
      </c>
      <c r="AC197" s="946">
        <f ca="1">'CF(Y)'!AD37</f>
        <v>0</v>
      </c>
      <c r="AD197" s="946">
        <f ca="1">'CF(Y)'!AE37</f>
        <v>0</v>
      </c>
      <c r="AE197" s="946">
        <f ca="1">'CF(Y)'!AF37</f>
        <v>0</v>
      </c>
      <c r="AF197" s="946">
        <f ca="1">'CF(Y)'!AG37</f>
        <v>0</v>
      </c>
      <c r="AG197" s="946">
        <f ca="1">'CF(Y)'!AH37</f>
        <v>0</v>
      </c>
      <c r="AH197" s="946">
        <f ca="1">'CF(Y)'!AI37</f>
        <v>0</v>
      </c>
      <c r="AI197" s="946">
        <f ca="1">'CF(Y)'!AJ37</f>
        <v>0</v>
      </c>
      <c r="AJ197" s="946">
        <f ca="1">'CF(Y)'!AK37</f>
        <v>0</v>
      </c>
      <c r="AK197" s="946">
        <f ca="1">'CF(Y)'!AL37</f>
        <v>0</v>
      </c>
      <c r="AL197" s="946">
        <f ca="1">'CF(Y)'!AM37</f>
        <v>0</v>
      </c>
      <c r="AM197" s="946">
        <f ca="1">'CF(Y)'!AN37</f>
        <v>0</v>
      </c>
      <c r="AN197" s="946">
        <f ca="1">'CF(Y)'!AO37</f>
        <v>0</v>
      </c>
      <c r="AO197" s="946">
        <f ca="1">'CF(Y)'!AP37</f>
        <v>0</v>
      </c>
      <c r="AP197" s="946">
        <f ca="1">'CF(Y)'!AQ37</f>
        <v>0</v>
      </c>
      <c r="AQ197" s="946">
        <f ca="1">'CF(Y)'!AR37</f>
        <v>0</v>
      </c>
      <c r="AR197" s="946">
        <f ca="1">'CF(Y)'!AS37</f>
        <v>0</v>
      </c>
      <c r="AS197" s="946">
        <f ca="1">'CF(Y)'!AT37</f>
        <v>0</v>
      </c>
      <c r="AT197" s="946">
        <f ca="1">'CF(Y)'!AU37</f>
        <v>0</v>
      </c>
      <c r="AU197" s="946">
        <f ca="1">'CF(Y)'!AV37</f>
        <v>0</v>
      </c>
      <c r="AV197" s="946">
        <f ca="1">'CF(Y)'!AW37</f>
        <v>0</v>
      </c>
      <c r="AW197" s="946">
        <f ca="1">'CF(Y)'!AX37</f>
        <v>0</v>
      </c>
      <c r="AX197" s="946">
        <f ca="1">'CF(Y)'!AY37</f>
        <v>0</v>
      </c>
      <c r="AY197" s="946">
        <f>'CF(Y)'!AZ37</f>
        <v>0</v>
      </c>
      <c r="AZ197" s="946">
        <f>'CF(Y)'!BA37</f>
        <v>0</v>
      </c>
      <c r="BA197" s="946">
        <f>'CF(Y)'!BB37</f>
        <v>0</v>
      </c>
      <c r="BB197" s="946">
        <f>'CF(Y)'!BC37</f>
        <v>0</v>
      </c>
    </row>
    <row r="198" spans="3:57" ht="17.100000000000001" customHeight="1">
      <c r="C198" s="1415"/>
      <c r="D198" s="1416" t="s">
        <v>1271</v>
      </c>
      <c r="E198" s="1352"/>
      <c r="F198" s="1685"/>
      <c r="G198" s="1685"/>
      <c r="H198" s="1685"/>
      <c r="I198" s="1686"/>
      <c r="J198" s="1686"/>
      <c r="K198" s="1686">
        <f ca="1">SUMIF(Waterfall!3:3,K195,Waterfall!94:94)</f>
        <v>0</v>
      </c>
      <c r="L198" s="1353">
        <f ca="1">SUMIF(Waterfall!3:3,L195,Waterfall!94:94)</f>
        <v>0</v>
      </c>
      <c r="M198" s="1353">
        <f ca="1">SUMIF(Waterfall!3:3,M195,Waterfall!94:94)</f>
        <v>0</v>
      </c>
      <c r="N198" s="1353">
        <f ca="1">SUMIF(Waterfall!3:3,N195,Waterfall!94:94)</f>
        <v>0</v>
      </c>
      <c r="O198" s="1353">
        <f ca="1">SUMIF(Waterfall!3:3,O195,Waterfall!94:94)</f>
        <v>0</v>
      </c>
      <c r="P198" s="1353">
        <f ca="1">SUMIF(Waterfall!3:3,P195,Waterfall!94:94)</f>
        <v>0</v>
      </c>
      <c r="Q198" s="1353">
        <f ca="1">SUMIF(Waterfall!3:3,Q195,Waterfall!94:94)</f>
        <v>0</v>
      </c>
      <c r="R198" s="1353">
        <f ca="1">SUMIF(Waterfall!3:3,R195,Waterfall!94:94)</f>
        <v>0</v>
      </c>
      <c r="S198" s="1353">
        <f ca="1">SUMIF(Waterfall!3:3,S195,Waterfall!94:94)</f>
        <v>0</v>
      </c>
      <c r="T198" s="1353">
        <f ca="1">SUMIF(Waterfall!3:3,T195,Waterfall!94:94)</f>
        <v>0</v>
      </c>
      <c r="U198" s="1353">
        <f ca="1">SUMIF(Waterfall!3:3,U195,Waterfall!94:94)</f>
        <v>0</v>
      </c>
      <c r="V198" s="1353">
        <f ca="1">SUMIF(Waterfall!3:3,V195,Waterfall!94:94)</f>
        <v>0</v>
      </c>
      <c r="W198" s="1353">
        <f ca="1">SUMIF(Waterfall!3:3,W195,Waterfall!94:94)</f>
        <v>0</v>
      </c>
      <c r="X198" s="1353">
        <f ca="1">SUMIF(Waterfall!3:3,X195,Waterfall!94:94)</f>
        <v>0</v>
      </c>
      <c r="Y198" s="1353">
        <f ca="1">SUMIF(Waterfall!3:3,Y195,Waterfall!94:94)</f>
        <v>0</v>
      </c>
      <c r="Z198" s="1353">
        <f ca="1">SUMIF(Waterfall!3:3,Z195,Waterfall!94:94)</f>
        <v>0</v>
      </c>
      <c r="AA198" s="1353">
        <f ca="1">SUMIF(Waterfall!3:3,AA195,Waterfall!94:94)</f>
        <v>0</v>
      </c>
      <c r="AB198" s="1353">
        <f ca="1">SUMIF(Waterfall!3:3,AB195,Waterfall!94:94)</f>
        <v>0</v>
      </c>
      <c r="AC198" s="1353">
        <f ca="1">SUMIF(Waterfall!3:3,AC195,Waterfall!94:94)</f>
        <v>0</v>
      </c>
      <c r="AD198" s="1353">
        <f ca="1">SUMIF(Waterfall!3:3,AD195,Waterfall!94:94)</f>
        <v>0</v>
      </c>
      <c r="AE198" s="1353">
        <f ca="1">SUMIF(Waterfall!3:3,AE195,Waterfall!94:94)</f>
        <v>0</v>
      </c>
      <c r="AF198" s="1353">
        <f ca="1">SUMIF(Waterfall!3:3,AF195,Waterfall!94:94)</f>
        <v>0</v>
      </c>
      <c r="AG198" s="1353">
        <f ca="1">SUMIF(Waterfall!3:3,AG195,Waterfall!94:94)</f>
        <v>0</v>
      </c>
      <c r="AH198" s="1353">
        <f ca="1">SUMIF(Waterfall!3:3,AH195,Waterfall!94:94)</f>
        <v>0</v>
      </c>
      <c r="AI198" s="1353">
        <f ca="1">SUMIF(Waterfall!3:3,AI195,Waterfall!94:94)</f>
        <v>0</v>
      </c>
      <c r="AJ198" s="1353">
        <f ca="1">SUMIF(Waterfall!3:3,AJ195,Waterfall!94:94)</f>
        <v>0</v>
      </c>
      <c r="AK198" s="1353">
        <f ca="1">SUMIF(Waterfall!3:3,AK195,Waterfall!94:94)</f>
        <v>0</v>
      </c>
      <c r="AL198" s="1353">
        <f ca="1">SUMIF(Waterfall!3:3,AL195,Waterfall!94:94)</f>
        <v>0</v>
      </c>
      <c r="AM198" s="1353">
        <f ca="1">SUMIF(Waterfall!3:3,AM195,Waterfall!94:94)</f>
        <v>0</v>
      </c>
      <c r="AN198" s="1353">
        <f ca="1">SUMIF(Waterfall!3:3,AN195,Waterfall!94:94)</f>
        <v>0</v>
      </c>
      <c r="AO198" s="1353">
        <f ca="1">SUMIF(Waterfall!3:3,AO195,Waterfall!94:94)</f>
        <v>0</v>
      </c>
      <c r="AP198" s="1353">
        <f ca="1">SUMIF(Waterfall!3:3,AP195,Waterfall!94:94)</f>
        <v>0</v>
      </c>
      <c r="AQ198" s="1353">
        <f ca="1">SUMIF(Waterfall!3:3,AQ195,Waterfall!94:94)</f>
        <v>0</v>
      </c>
      <c r="AR198" s="1353">
        <f ca="1">SUMIF(Waterfall!3:3,AR195,Waterfall!94:94)</f>
        <v>0</v>
      </c>
      <c r="AS198" s="1353">
        <f ca="1">SUMIF(Waterfall!3:3,AS195,Waterfall!94:94)</f>
        <v>0</v>
      </c>
      <c r="AT198" s="1353">
        <f ca="1">SUMIF(Waterfall!3:3,AT195,Waterfall!94:94)</f>
        <v>0</v>
      </c>
      <c r="AU198" s="1353">
        <f ca="1">SUMIF(Waterfall!3:3,AU195,Waterfall!94:94)</f>
        <v>0</v>
      </c>
      <c r="AV198" s="1353">
        <f ca="1">SUMIF(Waterfall!3:3,AV195,Waterfall!94:94)</f>
        <v>0</v>
      </c>
      <c r="AW198" s="1353">
        <f ca="1">SUMIF(Waterfall!3:3,AW195,Waterfall!94:94)</f>
        <v>0</v>
      </c>
      <c r="AX198" s="1353">
        <f ca="1">SUMIF(Waterfall!3:3,AX195,Waterfall!94:94)</f>
        <v>0</v>
      </c>
      <c r="AY198" s="1353">
        <f ca="1">SUMIF(Waterfall!3:3,AY195,Waterfall!94:94)</f>
        <v>0</v>
      </c>
      <c r="AZ198" s="1353">
        <f ca="1">SUMIF(Waterfall!3:3,AZ195,Waterfall!94:94)</f>
        <v>0</v>
      </c>
      <c r="BA198" s="1353">
        <f ca="1">SUMIF(Waterfall!3:3,BA195,Waterfall!94:94)</f>
        <v>0</v>
      </c>
      <c r="BB198" s="1353">
        <f ca="1">SUMIF(Waterfall!3:3,BB195,Waterfall!94:94)</f>
        <v>0</v>
      </c>
    </row>
    <row r="199" spans="3:57" ht="17.100000000000001" customHeight="1">
      <c r="C199" s="952"/>
      <c r="D199" s="777" t="s">
        <v>1096</v>
      </c>
      <c r="E199" s="747"/>
      <c r="F199" s="1668"/>
      <c r="G199" s="1668"/>
      <c r="H199" s="1668"/>
      <c r="I199" s="1639"/>
      <c r="J199" s="1639"/>
      <c r="K199" s="1687">
        <v>0</v>
      </c>
      <c r="L199" s="954">
        <f t="shared" ref="L199:BB199" ca="1" si="112">L196+L197-L198</f>
        <v>0</v>
      </c>
      <c r="M199" s="954">
        <f t="shared" ca="1" si="112"/>
        <v>0</v>
      </c>
      <c r="N199" s="954">
        <f t="shared" ca="1" si="112"/>
        <v>0</v>
      </c>
      <c r="O199" s="954">
        <f t="shared" ca="1" si="112"/>
        <v>0</v>
      </c>
      <c r="P199" s="954">
        <f t="shared" ca="1" si="112"/>
        <v>0</v>
      </c>
      <c r="Q199" s="954">
        <f t="shared" ca="1" si="112"/>
        <v>0</v>
      </c>
      <c r="R199" s="954">
        <f t="shared" ca="1" si="112"/>
        <v>0</v>
      </c>
      <c r="S199" s="954">
        <f t="shared" ca="1" si="112"/>
        <v>0</v>
      </c>
      <c r="T199" s="954">
        <f t="shared" ca="1" si="112"/>
        <v>0</v>
      </c>
      <c r="U199" s="954">
        <f t="shared" ca="1" si="112"/>
        <v>0</v>
      </c>
      <c r="V199" s="954">
        <f t="shared" ca="1" si="112"/>
        <v>0</v>
      </c>
      <c r="W199" s="954">
        <f t="shared" ca="1" si="112"/>
        <v>0</v>
      </c>
      <c r="X199" s="954">
        <f t="shared" ca="1" si="112"/>
        <v>0</v>
      </c>
      <c r="Y199" s="954">
        <f t="shared" ca="1" si="112"/>
        <v>0</v>
      </c>
      <c r="Z199" s="954">
        <f t="shared" ca="1" si="112"/>
        <v>0</v>
      </c>
      <c r="AA199" s="954">
        <f t="shared" ca="1" si="112"/>
        <v>0</v>
      </c>
      <c r="AB199" s="954">
        <f t="shared" ca="1" si="112"/>
        <v>0</v>
      </c>
      <c r="AC199" s="954">
        <f t="shared" ca="1" si="112"/>
        <v>0</v>
      </c>
      <c r="AD199" s="954">
        <f t="shared" ca="1" si="112"/>
        <v>0</v>
      </c>
      <c r="AE199" s="954">
        <f t="shared" ca="1" si="112"/>
        <v>0</v>
      </c>
      <c r="AF199" s="954">
        <f t="shared" ca="1" si="112"/>
        <v>0</v>
      </c>
      <c r="AG199" s="954">
        <f t="shared" ca="1" si="112"/>
        <v>0</v>
      </c>
      <c r="AH199" s="954">
        <f t="shared" ca="1" si="112"/>
        <v>0</v>
      </c>
      <c r="AI199" s="954">
        <f t="shared" ca="1" si="112"/>
        <v>0</v>
      </c>
      <c r="AJ199" s="954">
        <f t="shared" ca="1" si="112"/>
        <v>0</v>
      </c>
      <c r="AK199" s="954">
        <f t="shared" ca="1" si="112"/>
        <v>0</v>
      </c>
      <c r="AL199" s="954">
        <f t="shared" ca="1" si="112"/>
        <v>0</v>
      </c>
      <c r="AM199" s="954">
        <f t="shared" ca="1" si="112"/>
        <v>0</v>
      </c>
      <c r="AN199" s="954">
        <f t="shared" ca="1" si="112"/>
        <v>0</v>
      </c>
      <c r="AO199" s="954">
        <f t="shared" ca="1" si="112"/>
        <v>0</v>
      </c>
      <c r="AP199" s="954">
        <f t="shared" ca="1" si="112"/>
        <v>0</v>
      </c>
      <c r="AQ199" s="954">
        <f t="shared" ca="1" si="112"/>
        <v>0</v>
      </c>
      <c r="AR199" s="954">
        <f t="shared" ca="1" si="112"/>
        <v>0</v>
      </c>
      <c r="AS199" s="954">
        <f t="shared" ca="1" si="112"/>
        <v>0</v>
      </c>
      <c r="AT199" s="954">
        <f t="shared" ca="1" si="112"/>
        <v>0</v>
      </c>
      <c r="AU199" s="954">
        <f t="shared" ca="1" si="112"/>
        <v>0</v>
      </c>
      <c r="AV199" s="954">
        <f t="shared" ca="1" si="112"/>
        <v>0</v>
      </c>
      <c r="AW199" s="954">
        <f t="shared" ca="1" si="112"/>
        <v>0</v>
      </c>
      <c r="AX199" s="954">
        <f t="shared" ca="1" si="112"/>
        <v>0</v>
      </c>
      <c r="AY199" s="954">
        <f t="shared" ca="1" si="112"/>
        <v>0</v>
      </c>
      <c r="AZ199" s="954">
        <f t="shared" ca="1" si="112"/>
        <v>0</v>
      </c>
      <c r="BA199" s="954">
        <f t="shared" ca="1" si="112"/>
        <v>0</v>
      </c>
      <c r="BB199" s="954">
        <f t="shared" ca="1" si="112"/>
        <v>0</v>
      </c>
    </row>
    <row r="200" spans="3:57" ht="17.100000000000001" customHeight="1">
      <c r="D200" s="396"/>
      <c r="E200" s="787"/>
      <c r="F200" s="787"/>
      <c r="G200" s="787"/>
      <c r="H200" s="787"/>
      <c r="I200" s="1746"/>
      <c r="J200" s="935"/>
      <c r="K200" s="935"/>
      <c r="L200" s="935"/>
      <c r="M200" s="935"/>
      <c r="N200" s="935"/>
      <c r="O200" s="935"/>
      <c r="P200" s="935"/>
      <c r="Q200" s="935"/>
      <c r="R200" s="935"/>
      <c r="S200" s="935"/>
      <c r="T200" s="935"/>
      <c r="U200" s="935"/>
      <c r="V200" s="935"/>
      <c r="W200" s="935"/>
      <c r="X200" s="935"/>
      <c r="Y200" s="935"/>
      <c r="Z200" s="935"/>
      <c r="AA200" s="935"/>
      <c r="AB200" s="935"/>
      <c r="AC200" s="935"/>
      <c r="AD200" s="935"/>
      <c r="AE200" s="935"/>
      <c r="AF200" s="935"/>
      <c r="AG200" s="935"/>
      <c r="AH200" s="935"/>
      <c r="AI200" s="935"/>
      <c r="AJ200" s="935"/>
      <c r="AK200" s="935"/>
      <c r="AL200" s="935"/>
      <c r="AM200" s="935"/>
      <c r="AN200" s="935"/>
      <c r="AO200" s="935"/>
      <c r="AP200" s="935"/>
      <c r="AQ200" s="935"/>
      <c r="AR200" s="935"/>
      <c r="AS200" s="935"/>
      <c r="AT200" s="935"/>
      <c r="AU200" s="935"/>
      <c r="AV200" s="935"/>
      <c r="AW200" s="935"/>
      <c r="AX200" s="935"/>
      <c r="AY200" s="935"/>
      <c r="AZ200" s="935"/>
      <c r="BA200" s="935"/>
      <c r="BB200" s="935"/>
    </row>
    <row r="201" spans="3:57" ht="17.100000000000001" customHeight="1">
      <c r="C201" s="302" t="s">
        <v>1378</v>
      </c>
      <c r="I201" s="1738"/>
      <c r="J201" s="1714"/>
      <c r="K201" s="1714"/>
      <c r="L201" s="1714"/>
      <c r="M201" s="1714"/>
      <c r="N201" s="1714"/>
      <c r="O201" s="1714"/>
      <c r="P201" s="1714"/>
      <c r="Q201" s="1714"/>
      <c r="R201" s="1714"/>
      <c r="S201" s="1714"/>
      <c r="T201" s="1714"/>
      <c r="U201" s="1714"/>
      <c r="V201" s="1714"/>
      <c r="W201" s="788"/>
      <c r="X201" s="788"/>
      <c r="Y201" s="788"/>
      <c r="Z201" s="788"/>
      <c r="AA201" s="788"/>
      <c r="AB201" s="788"/>
      <c r="AC201" s="788"/>
      <c r="AD201" s="788"/>
      <c r="AE201" s="788"/>
      <c r="AF201" s="788"/>
      <c r="AG201" s="788"/>
      <c r="AH201" s="788"/>
      <c r="AI201" s="788"/>
      <c r="AJ201" s="788"/>
      <c r="AK201" s="788"/>
      <c r="AL201" s="788"/>
      <c r="AM201" s="788"/>
      <c r="AN201" s="788"/>
      <c r="AO201" s="788"/>
      <c r="AP201" s="788"/>
      <c r="AQ201" s="788"/>
      <c r="AR201" s="788"/>
      <c r="AS201" s="788"/>
      <c r="AT201" s="788"/>
      <c r="AU201" s="788"/>
      <c r="AV201" s="788"/>
      <c r="AW201" s="788"/>
      <c r="AX201" s="788"/>
      <c r="AY201" s="788"/>
      <c r="AZ201" s="788"/>
      <c r="BA201" s="788"/>
      <c r="BB201" s="788"/>
    </row>
    <row r="202" spans="3:57" ht="17.100000000000001" customHeight="1">
      <c r="C202" s="717"/>
      <c r="D202" s="718" t="s">
        <v>780</v>
      </c>
      <c r="E202" s="719"/>
      <c r="F202" s="718"/>
      <c r="G202" s="718"/>
      <c r="H202" s="718"/>
      <c r="I202" s="1684">
        <f>I188</f>
        <v>2018</v>
      </c>
      <c r="J202" s="766">
        <f t="shared" ref="J202:BB202" si="113">J188</f>
        <v>2019</v>
      </c>
      <c r="K202" s="766">
        <f t="shared" si="113"/>
        <v>2020</v>
      </c>
      <c r="L202" s="766">
        <f t="shared" si="113"/>
        <v>2021</v>
      </c>
      <c r="M202" s="766">
        <f t="shared" si="113"/>
        <v>2022</v>
      </c>
      <c r="N202" s="766">
        <f t="shared" si="113"/>
        <v>2023</v>
      </c>
      <c r="O202" s="766">
        <f t="shared" si="113"/>
        <v>2024</v>
      </c>
      <c r="P202" s="766">
        <f t="shared" si="113"/>
        <v>2025</v>
      </c>
      <c r="Q202" s="766">
        <f t="shared" si="113"/>
        <v>2026</v>
      </c>
      <c r="R202" s="766">
        <f t="shared" si="113"/>
        <v>2027</v>
      </c>
      <c r="S202" s="766">
        <f t="shared" si="113"/>
        <v>2028</v>
      </c>
      <c r="T202" s="766">
        <f t="shared" si="113"/>
        <v>2029</v>
      </c>
      <c r="U202" s="766">
        <f t="shared" si="113"/>
        <v>2030</v>
      </c>
      <c r="V202" s="766">
        <f t="shared" si="113"/>
        <v>2031</v>
      </c>
      <c r="W202" s="766">
        <f t="shared" si="113"/>
        <v>2032</v>
      </c>
      <c r="X202" s="766">
        <f t="shared" si="113"/>
        <v>2033</v>
      </c>
      <c r="Y202" s="766">
        <f t="shared" si="113"/>
        <v>2034</v>
      </c>
      <c r="Z202" s="766">
        <f t="shared" si="113"/>
        <v>2035</v>
      </c>
      <c r="AA202" s="766">
        <f t="shared" si="113"/>
        <v>2036</v>
      </c>
      <c r="AB202" s="766">
        <f t="shared" si="113"/>
        <v>2037</v>
      </c>
      <c r="AC202" s="766">
        <f t="shared" si="113"/>
        <v>2038</v>
      </c>
      <c r="AD202" s="766">
        <f t="shared" si="113"/>
        <v>2039</v>
      </c>
      <c r="AE202" s="766">
        <f t="shared" si="113"/>
        <v>2040</v>
      </c>
      <c r="AF202" s="766">
        <f t="shared" si="113"/>
        <v>2041</v>
      </c>
      <c r="AG202" s="766">
        <f t="shared" si="113"/>
        <v>2042</v>
      </c>
      <c r="AH202" s="766">
        <f t="shared" si="113"/>
        <v>2043</v>
      </c>
      <c r="AI202" s="766">
        <f t="shared" si="113"/>
        <v>2044</v>
      </c>
      <c r="AJ202" s="766">
        <f t="shared" si="113"/>
        <v>2045</v>
      </c>
      <c r="AK202" s="766">
        <f t="shared" si="113"/>
        <v>2046</v>
      </c>
      <c r="AL202" s="766">
        <f t="shared" si="113"/>
        <v>2047</v>
      </c>
      <c r="AM202" s="766">
        <f t="shared" si="113"/>
        <v>2048</v>
      </c>
      <c r="AN202" s="766">
        <f t="shared" si="113"/>
        <v>2049</v>
      </c>
      <c r="AO202" s="766">
        <f t="shared" si="113"/>
        <v>2050</v>
      </c>
      <c r="AP202" s="766">
        <f t="shared" si="113"/>
        <v>2051</v>
      </c>
      <c r="AQ202" s="766">
        <f t="shared" si="113"/>
        <v>2052</v>
      </c>
      <c r="AR202" s="766">
        <f t="shared" si="113"/>
        <v>2053</v>
      </c>
      <c r="AS202" s="766">
        <f t="shared" si="113"/>
        <v>2054</v>
      </c>
      <c r="AT202" s="766">
        <f t="shared" si="113"/>
        <v>2055</v>
      </c>
      <c r="AU202" s="766">
        <f t="shared" si="113"/>
        <v>2056</v>
      </c>
      <c r="AV202" s="766">
        <f t="shared" si="113"/>
        <v>2057</v>
      </c>
      <c r="AW202" s="766">
        <f t="shared" si="113"/>
        <v>2058</v>
      </c>
      <c r="AX202" s="766">
        <f t="shared" si="113"/>
        <v>2059</v>
      </c>
      <c r="AY202" s="766">
        <f t="shared" si="113"/>
        <v>2060</v>
      </c>
      <c r="AZ202" s="766">
        <f t="shared" si="113"/>
        <v>2061</v>
      </c>
      <c r="BA202" s="766">
        <f t="shared" si="113"/>
        <v>2062</v>
      </c>
      <c r="BB202" s="766">
        <f t="shared" si="113"/>
        <v>2063</v>
      </c>
    </row>
    <row r="203" spans="3:57" ht="17.100000000000001" customHeight="1">
      <c r="C203" s="720"/>
      <c r="D203" s="774" t="s">
        <v>1080</v>
      </c>
      <c r="E203" s="722"/>
      <c r="F203" s="1625"/>
      <c r="G203" s="1625"/>
      <c r="H203" s="1625"/>
      <c r="I203" s="1666"/>
      <c r="J203" s="1666">
        <f t="shared" ref="J203:AZ203" si="114">I206</f>
        <v>0</v>
      </c>
      <c r="K203" s="1666">
        <f t="shared" si="114"/>
        <v>0</v>
      </c>
      <c r="L203" s="1360">
        <f t="shared" si="114"/>
        <v>0</v>
      </c>
      <c r="M203" s="1360">
        <f t="shared" ca="1" si="114"/>
        <v>0</v>
      </c>
      <c r="N203" s="1360">
        <f t="shared" ca="1" si="114"/>
        <v>0</v>
      </c>
      <c r="O203" s="1360">
        <f t="shared" ca="1" si="114"/>
        <v>0</v>
      </c>
      <c r="P203" s="1360">
        <f t="shared" ca="1" si="114"/>
        <v>0</v>
      </c>
      <c r="Q203" s="1360">
        <f t="shared" ca="1" si="114"/>
        <v>0.58379567439345004</v>
      </c>
      <c r="R203" s="1360">
        <f t="shared" ca="1" si="114"/>
        <v>1.2398260415846702</v>
      </c>
      <c r="S203" s="1360">
        <f t="shared" ca="1" si="114"/>
        <v>3.0086088096620589</v>
      </c>
      <c r="T203" s="1360">
        <f t="shared" ca="1" si="114"/>
        <v>6.1145673899008539</v>
      </c>
      <c r="U203" s="1360">
        <f t="shared" ca="1" si="114"/>
        <v>7.6902810753730169</v>
      </c>
      <c r="V203" s="1360">
        <f t="shared" ca="1" si="114"/>
        <v>10.554526557432473</v>
      </c>
      <c r="W203" s="1360">
        <f t="shared" ca="1" si="114"/>
        <v>13.058605047089902</v>
      </c>
      <c r="X203" s="1360">
        <f t="shared" ca="1" si="114"/>
        <v>15.719439113189459</v>
      </c>
      <c r="Y203" s="1360">
        <f t="shared" ca="1" si="114"/>
        <v>19.009708589458391</v>
      </c>
      <c r="Z203" s="1360">
        <f t="shared" ca="1" si="114"/>
        <v>22.257618497859344</v>
      </c>
      <c r="AA203" s="1360">
        <f t="shared" ca="1" si="114"/>
        <v>25.662629913683727</v>
      </c>
      <c r="AB203" s="1360">
        <f t="shared" ca="1" si="114"/>
        <v>31.244196768239998</v>
      </c>
      <c r="AC203" s="1360">
        <f t="shared" ca="1" si="114"/>
        <v>36.983828415099985</v>
      </c>
      <c r="AD203" s="1360">
        <f t="shared" ca="1" si="114"/>
        <v>44.076903252272913</v>
      </c>
      <c r="AE203" s="1360">
        <f t="shared" ca="1" si="114"/>
        <v>51.415434017386367</v>
      </c>
      <c r="AF203" s="1360">
        <f t="shared" ca="1" si="114"/>
        <v>59.935945121252495</v>
      </c>
      <c r="AG203" s="1360">
        <f t="shared" ca="1" si="114"/>
        <v>68.743213826708626</v>
      </c>
      <c r="AH203" s="1360">
        <f t="shared" ca="1" si="114"/>
        <v>78.757123264350568</v>
      </c>
      <c r="AI203" s="1360">
        <f t="shared" ca="1" si="114"/>
        <v>89.998054437229015</v>
      </c>
      <c r="AJ203" s="1360">
        <f t="shared" ca="1" si="114"/>
        <v>100.8361553773762</v>
      </c>
      <c r="AK203" s="1360">
        <f t="shared" ca="1" si="114"/>
        <v>111.33122221057651</v>
      </c>
      <c r="AL203" s="1360">
        <f t="shared" ca="1" si="114"/>
        <v>120.73013629811722</v>
      </c>
      <c r="AM203" s="1360">
        <f t="shared" ca="1" si="114"/>
        <v>126.90031023721045</v>
      </c>
      <c r="AN203" s="1360">
        <f t="shared" ca="1" si="114"/>
        <v>133.89373214894849</v>
      </c>
      <c r="AO203" s="1360">
        <f t="shared" ca="1" si="114"/>
        <v>140.18507752005789</v>
      </c>
      <c r="AP203" s="1360">
        <f t="shared" ca="1" si="114"/>
        <v>146.98217374485873</v>
      </c>
      <c r="AQ203" s="1360">
        <f t="shared" ca="1" si="114"/>
        <v>154.63646142537769</v>
      </c>
      <c r="AR203" s="1360">
        <f t="shared" ca="1" si="114"/>
        <v>162.04890031807415</v>
      </c>
      <c r="AS203" s="1360">
        <f t="shared" ca="1" si="114"/>
        <v>169.51953714481115</v>
      </c>
      <c r="AT203" s="1360">
        <f t="shared" ca="1" si="114"/>
        <v>178.18681818663529</v>
      </c>
      <c r="AU203" s="1360">
        <f t="shared" ca="1" si="114"/>
        <v>186.88221305256397</v>
      </c>
      <c r="AV203" s="1360">
        <f t="shared" ca="1" si="114"/>
        <v>195.76851977655127</v>
      </c>
      <c r="AW203" s="1360">
        <f t="shared" ca="1" si="114"/>
        <v>205.40593761851721</v>
      </c>
      <c r="AX203" s="1360">
        <f t="shared" ca="1" si="114"/>
        <v>215.14412821052483</v>
      </c>
      <c r="AY203" s="1360">
        <f t="shared" ca="1" si="114"/>
        <v>215.14412821052483</v>
      </c>
      <c r="AZ203" s="1360">
        <f t="shared" ca="1" si="114"/>
        <v>215.14412821052483</v>
      </c>
      <c r="BA203" s="1360">
        <v>0</v>
      </c>
      <c r="BB203" s="1360">
        <f>BA206</f>
        <v>0</v>
      </c>
    </row>
    <row r="204" spans="3:57" ht="17.100000000000001" customHeight="1">
      <c r="C204" s="1409"/>
      <c r="D204" s="1410" t="s">
        <v>1270</v>
      </c>
      <c r="E204" s="1411"/>
      <c r="F204" s="1667"/>
      <c r="G204" s="1667"/>
      <c r="H204" s="1667"/>
      <c r="I204" s="945"/>
      <c r="J204" s="945">
        <f>J224</f>
        <v>0</v>
      </c>
      <c r="K204" s="945">
        <f t="shared" ref="K204:BB204" si="115">K224</f>
        <v>0</v>
      </c>
      <c r="L204" s="946">
        <f t="shared" ca="1" si="115"/>
        <v>0</v>
      </c>
      <c r="M204" s="946">
        <f t="shared" ca="1" si="115"/>
        <v>0</v>
      </c>
      <c r="N204" s="946">
        <f t="shared" ca="1" si="115"/>
        <v>0</v>
      </c>
      <c r="O204" s="946">
        <f t="shared" ca="1" si="115"/>
        <v>0</v>
      </c>
      <c r="P204" s="946">
        <f t="shared" ca="1" si="115"/>
        <v>0.58379567439345004</v>
      </c>
      <c r="Q204" s="946">
        <f t="shared" ca="1" si="115"/>
        <v>0.65603036719122021</v>
      </c>
      <c r="R204" s="946">
        <f t="shared" ca="1" si="115"/>
        <v>1.7687827680773889</v>
      </c>
      <c r="S204" s="946">
        <f t="shared" ca="1" si="115"/>
        <v>3.1059585802387955</v>
      </c>
      <c r="T204" s="946">
        <f t="shared" ca="1" si="115"/>
        <v>1.575713685472163</v>
      </c>
      <c r="U204" s="946">
        <f t="shared" ca="1" si="115"/>
        <v>2.8642454820594554</v>
      </c>
      <c r="V204" s="946">
        <f t="shared" ca="1" si="115"/>
        <v>2.5040784896574291</v>
      </c>
      <c r="W204" s="946">
        <f t="shared" ca="1" si="115"/>
        <v>2.6608340660995564</v>
      </c>
      <c r="X204" s="946">
        <f t="shared" ca="1" si="115"/>
        <v>3.2902694762689317</v>
      </c>
      <c r="Y204" s="946">
        <f t="shared" ca="1" si="115"/>
        <v>3.2479099084009531</v>
      </c>
      <c r="Z204" s="946">
        <f t="shared" ca="1" si="115"/>
        <v>3.4050114158243834</v>
      </c>
      <c r="AA204" s="946">
        <f t="shared" ca="1" si="115"/>
        <v>5.5815668545562724</v>
      </c>
      <c r="AB204" s="946">
        <f t="shared" ca="1" si="115"/>
        <v>5.7396316468599897</v>
      </c>
      <c r="AC204" s="946">
        <f t="shared" ca="1" si="115"/>
        <v>7.0930748371729306</v>
      </c>
      <c r="AD204" s="946">
        <f t="shared" ca="1" si="115"/>
        <v>7.338530765113453</v>
      </c>
      <c r="AE204" s="946">
        <f t="shared" ca="1" si="115"/>
        <v>8.520511103866129</v>
      </c>
      <c r="AF204" s="946">
        <f t="shared" ca="1" si="115"/>
        <v>8.8072687054561332</v>
      </c>
      <c r="AG204" s="946">
        <f t="shared" ca="1" si="115"/>
        <v>10.013909437641937</v>
      </c>
      <c r="AH204" s="946">
        <f t="shared" ca="1" si="115"/>
        <v>11.240931172878449</v>
      </c>
      <c r="AI204" s="946">
        <f t="shared" ca="1" si="115"/>
        <v>10.838100940147186</v>
      </c>
      <c r="AJ204" s="946">
        <f t="shared" ca="1" si="115"/>
        <v>10.495066833200307</v>
      </c>
      <c r="AK204" s="946">
        <f t="shared" ca="1" si="115"/>
        <v>9.3989140875407031</v>
      </c>
      <c r="AL204" s="946">
        <f t="shared" ca="1" si="115"/>
        <v>6.170173939093238</v>
      </c>
      <c r="AM204" s="946">
        <f t="shared" ca="1" si="115"/>
        <v>6.9934219117380421</v>
      </c>
      <c r="AN204" s="946">
        <f t="shared" ca="1" si="115"/>
        <v>6.2913453711094096</v>
      </c>
      <c r="AO204" s="946">
        <f t="shared" ca="1" si="115"/>
        <v>6.7970962248008338</v>
      </c>
      <c r="AP204" s="946">
        <f t="shared" ca="1" si="115"/>
        <v>7.6542876805189612</v>
      </c>
      <c r="AQ204" s="946">
        <f t="shared" ca="1" si="115"/>
        <v>7.41243889269645</v>
      </c>
      <c r="AR204" s="946">
        <f t="shared" ca="1" si="115"/>
        <v>7.4706368267369969</v>
      </c>
      <c r="AS204" s="946">
        <f t="shared" ca="1" si="115"/>
        <v>8.6672810418241344</v>
      </c>
      <c r="AT204" s="946">
        <f t="shared" ca="1" si="115"/>
        <v>8.6953948659286837</v>
      </c>
      <c r="AU204" s="946">
        <f t="shared" ca="1" si="115"/>
        <v>8.8863067239872997</v>
      </c>
      <c r="AV204" s="946">
        <f t="shared" ca="1" si="115"/>
        <v>9.6374178419659273</v>
      </c>
      <c r="AW204" s="946">
        <f t="shared" ca="1" si="115"/>
        <v>9.7381905920076139</v>
      </c>
      <c r="AX204" s="946">
        <f t="shared" ca="1" si="115"/>
        <v>0</v>
      </c>
      <c r="AY204" s="946">
        <f t="shared" ca="1" si="115"/>
        <v>0</v>
      </c>
      <c r="AZ204" s="946">
        <f t="shared" ca="1" si="115"/>
        <v>0</v>
      </c>
      <c r="BA204" s="946">
        <f t="shared" ca="1" si="115"/>
        <v>0</v>
      </c>
      <c r="BB204" s="946">
        <f t="shared" ca="1" si="115"/>
        <v>0</v>
      </c>
    </row>
    <row r="205" spans="3:57" ht="17.100000000000001" customHeight="1">
      <c r="C205" s="1415"/>
      <c r="D205" s="1416" t="s">
        <v>1271</v>
      </c>
      <c r="E205" s="1352"/>
      <c r="F205" s="1685"/>
      <c r="G205" s="1685"/>
      <c r="H205" s="1685"/>
      <c r="I205" s="1686"/>
      <c r="J205" s="1686"/>
      <c r="K205" s="1686"/>
      <c r="L205" s="1353"/>
      <c r="M205" s="1353"/>
      <c r="N205" s="1353"/>
      <c r="O205" s="1353"/>
      <c r="P205" s="1353"/>
      <c r="Q205" s="1353"/>
      <c r="R205" s="1353"/>
      <c r="S205" s="1353"/>
      <c r="T205" s="1353"/>
      <c r="U205" s="1353"/>
      <c r="V205" s="1353"/>
      <c r="W205" s="1353"/>
      <c r="X205" s="1353"/>
      <c r="Y205" s="1353"/>
      <c r="Z205" s="1353"/>
      <c r="AA205" s="1353"/>
      <c r="AB205" s="1353"/>
      <c r="AC205" s="1353"/>
      <c r="AD205" s="1353"/>
      <c r="AE205" s="1353"/>
      <c r="AF205" s="1353"/>
      <c r="AG205" s="1353"/>
      <c r="AH205" s="1353"/>
      <c r="AI205" s="1353"/>
      <c r="AJ205" s="1353"/>
      <c r="AK205" s="1353"/>
      <c r="AL205" s="1353"/>
      <c r="AM205" s="1353"/>
      <c r="AN205" s="1353"/>
      <c r="AO205" s="1353"/>
      <c r="AP205" s="1353"/>
      <c r="AQ205" s="1353"/>
      <c r="AR205" s="1353"/>
      <c r="AS205" s="1353"/>
      <c r="AT205" s="1353"/>
      <c r="AU205" s="1353"/>
      <c r="AV205" s="1353"/>
      <c r="AW205" s="1353"/>
      <c r="AX205" s="1353"/>
      <c r="AY205" s="1353"/>
      <c r="AZ205" s="1353"/>
      <c r="BA205" s="1353"/>
      <c r="BB205" s="1353"/>
    </row>
    <row r="206" spans="3:57" ht="17.100000000000001" customHeight="1">
      <c r="C206" s="952"/>
      <c r="D206" s="777" t="s">
        <v>1096</v>
      </c>
      <c r="E206" s="747"/>
      <c r="F206" s="1668"/>
      <c r="G206" s="1668"/>
      <c r="H206" s="1668"/>
      <c r="I206" s="1639">
        <v>0</v>
      </c>
      <c r="J206" s="1639">
        <f t="shared" ref="J206:AZ206" si="116">J203+J204-J205</f>
        <v>0</v>
      </c>
      <c r="K206" s="1687">
        <v>0</v>
      </c>
      <c r="L206" s="954">
        <f t="shared" ca="1" si="116"/>
        <v>0</v>
      </c>
      <c r="M206" s="954">
        <f t="shared" ca="1" si="116"/>
        <v>0</v>
      </c>
      <c r="N206" s="954">
        <f t="shared" ca="1" si="116"/>
        <v>0</v>
      </c>
      <c r="O206" s="954">
        <f t="shared" ca="1" si="116"/>
        <v>0</v>
      </c>
      <c r="P206" s="954">
        <f t="shared" ca="1" si="116"/>
        <v>0.58379567439345004</v>
      </c>
      <c r="Q206" s="954">
        <f t="shared" ca="1" si="116"/>
        <v>1.2398260415846702</v>
      </c>
      <c r="R206" s="954">
        <f t="shared" ca="1" si="116"/>
        <v>3.0086088096620589</v>
      </c>
      <c r="S206" s="954">
        <f t="shared" ca="1" si="116"/>
        <v>6.1145673899008539</v>
      </c>
      <c r="T206" s="954">
        <f t="shared" ca="1" si="116"/>
        <v>7.6902810753730169</v>
      </c>
      <c r="U206" s="954">
        <f t="shared" ca="1" si="116"/>
        <v>10.554526557432473</v>
      </c>
      <c r="V206" s="954">
        <f t="shared" ca="1" si="116"/>
        <v>13.058605047089902</v>
      </c>
      <c r="W206" s="954">
        <f t="shared" ca="1" si="116"/>
        <v>15.719439113189459</v>
      </c>
      <c r="X206" s="954">
        <f t="shared" ca="1" si="116"/>
        <v>19.009708589458391</v>
      </c>
      <c r="Y206" s="954">
        <f t="shared" ca="1" si="116"/>
        <v>22.257618497859344</v>
      </c>
      <c r="Z206" s="954">
        <f t="shared" ca="1" si="116"/>
        <v>25.662629913683727</v>
      </c>
      <c r="AA206" s="954">
        <f t="shared" ca="1" si="116"/>
        <v>31.244196768239998</v>
      </c>
      <c r="AB206" s="954">
        <f t="shared" ca="1" si="116"/>
        <v>36.983828415099985</v>
      </c>
      <c r="AC206" s="954">
        <f t="shared" ca="1" si="116"/>
        <v>44.076903252272913</v>
      </c>
      <c r="AD206" s="954">
        <f t="shared" ca="1" si="116"/>
        <v>51.415434017386367</v>
      </c>
      <c r="AE206" s="954">
        <f t="shared" ca="1" si="116"/>
        <v>59.935945121252495</v>
      </c>
      <c r="AF206" s="954">
        <f t="shared" ca="1" si="116"/>
        <v>68.743213826708626</v>
      </c>
      <c r="AG206" s="954">
        <f t="shared" ca="1" si="116"/>
        <v>78.757123264350568</v>
      </c>
      <c r="AH206" s="954">
        <f t="shared" ca="1" si="116"/>
        <v>89.998054437229015</v>
      </c>
      <c r="AI206" s="954">
        <f t="shared" ca="1" si="116"/>
        <v>100.8361553773762</v>
      </c>
      <c r="AJ206" s="954">
        <f t="shared" ca="1" si="116"/>
        <v>111.33122221057651</v>
      </c>
      <c r="AK206" s="954">
        <f t="shared" ca="1" si="116"/>
        <v>120.73013629811722</v>
      </c>
      <c r="AL206" s="954">
        <f t="shared" ca="1" si="116"/>
        <v>126.90031023721045</v>
      </c>
      <c r="AM206" s="954">
        <f t="shared" ca="1" si="116"/>
        <v>133.89373214894849</v>
      </c>
      <c r="AN206" s="954">
        <f t="shared" ca="1" si="116"/>
        <v>140.18507752005789</v>
      </c>
      <c r="AO206" s="954">
        <f t="shared" ca="1" si="116"/>
        <v>146.98217374485873</v>
      </c>
      <c r="AP206" s="954">
        <f t="shared" ca="1" si="116"/>
        <v>154.63646142537769</v>
      </c>
      <c r="AQ206" s="954">
        <f t="shared" ca="1" si="116"/>
        <v>162.04890031807415</v>
      </c>
      <c r="AR206" s="954">
        <f t="shared" ca="1" si="116"/>
        <v>169.51953714481115</v>
      </c>
      <c r="AS206" s="954">
        <f t="shared" ca="1" si="116"/>
        <v>178.18681818663529</v>
      </c>
      <c r="AT206" s="954">
        <f t="shared" ca="1" si="116"/>
        <v>186.88221305256397</v>
      </c>
      <c r="AU206" s="954">
        <f t="shared" ca="1" si="116"/>
        <v>195.76851977655127</v>
      </c>
      <c r="AV206" s="954">
        <f t="shared" ca="1" si="116"/>
        <v>205.40593761851721</v>
      </c>
      <c r="AW206" s="954">
        <f t="shared" ca="1" si="116"/>
        <v>215.14412821052483</v>
      </c>
      <c r="AX206" s="954">
        <f t="shared" ca="1" si="116"/>
        <v>215.14412821052483</v>
      </c>
      <c r="AY206" s="954">
        <f t="shared" ca="1" si="116"/>
        <v>215.14412821052483</v>
      </c>
      <c r="AZ206" s="954">
        <f t="shared" ca="1" si="116"/>
        <v>215.14412821052483</v>
      </c>
      <c r="BA206" s="954">
        <v>0</v>
      </c>
      <c r="BB206" s="954">
        <f ca="1">BB203+BB204-BB205</f>
        <v>0</v>
      </c>
    </row>
    <row r="207" spans="3:57" ht="17.100000000000001" customHeight="1">
      <c r="D207" s="754"/>
      <c r="E207" s="755"/>
      <c r="F207" s="755"/>
      <c r="G207" s="755"/>
      <c r="H207" s="755"/>
      <c r="I207" s="753"/>
      <c r="J207" s="788"/>
      <c r="K207" s="788"/>
      <c r="L207" s="788"/>
      <c r="M207" s="788"/>
      <c r="N207" s="788"/>
      <c r="O207" s="788"/>
      <c r="P207" s="788"/>
      <c r="Q207" s="788"/>
      <c r="R207" s="788"/>
      <c r="S207" s="788"/>
      <c r="T207" s="788"/>
      <c r="U207" s="788"/>
      <c r="V207" s="788"/>
      <c r="W207" s="788"/>
      <c r="X207" s="788"/>
      <c r="Y207" s="788"/>
      <c r="Z207" s="788"/>
      <c r="AA207" s="788"/>
      <c r="AB207" s="788"/>
      <c r="AC207" s="788"/>
      <c r="AD207" s="788"/>
      <c r="AE207" s="788"/>
      <c r="AF207" s="788"/>
      <c r="AG207" s="788"/>
      <c r="AH207" s="788"/>
      <c r="AI207" s="788"/>
      <c r="AJ207" s="788"/>
      <c r="AK207" s="788"/>
      <c r="AL207" s="788"/>
      <c r="AM207" s="788"/>
      <c r="AN207" s="788"/>
      <c r="AO207" s="788"/>
      <c r="AP207" s="788"/>
      <c r="AQ207" s="788"/>
      <c r="AR207" s="788"/>
      <c r="AS207" s="788"/>
      <c r="AT207" s="788"/>
      <c r="AU207" s="788"/>
      <c r="AV207" s="788"/>
      <c r="AW207" s="788"/>
      <c r="AX207" s="788"/>
      <c r="AY207" s="788"/>
      <c r="AZ207" s="788"/>
      <c r="BA207" s="788"/>
      <c r="BB207" s="788"/>
    </row>
    <row r="208" spans="3:57" ht="17.100000000000001" customHeight="1">
      <c r="C208" s="302" t="s">
        <v>1379</v>
      </c>
      <c r="I208" s="1747"/>
      <c r="J208" s="1748"/>
      <c r="K208" s="1748"/>
      <c r="L208" s="1748"/>
      <c r="M208" s="1748"/>
      <c r="N208" s="1748"/>
      <c r="O208" s="1748"/>
      <c r="P208" s="1748"/>
      <c r="Q208" s="1748"/>
      <c r="R208" s="1748"/>
      <c r="S208" s="1748"/>
      <c r="T208" s="1748"/>
      <c r="U208" s="1748"/>
      <c r="V208" s="1748"/>
      <c r="W208" s="1748"/>
      <c r="X208" s="1748"/>
      <c r="Y208" s="1748"/>
      <c r="Z208" s="1749"/>
      <c r="AA208" s="1748"/>
      <c r="AB208" s="1748"/>
      <c r="AC208" s="1748"/>
      <c r="AD208" s="1748"/>
      <c r="AE208" s="1748"/>
      <c r="AF208" s="1748"/>
      <c r="AG208" s="1748"/>
      <c r="AH208" s="1748"/>
      <c r="AI208" s="1748"/>
      <c r="AJ208" s="1748"/>
      <c r="AK208" s="1748"/>
      <c r="AL208" s="1748"/>
      <c r="AM208" s="1748"/>
      <c r="AN208" s="1748"/>
      <c r="AO208" s="1748"/>
      <c r="AP208" s="1748"/>
      <c r="AQ208" s="1748"/>
      <c r="AR208" s="1748"/>
      <c r="AT208" s="1748"/>
      <c r="AU208" s="1748"/>
      <c r="AV208" s="1748"/>
      <c r="AW208" s="1748"/>
      <c r="AX208" s="1748"/>
      <c r="AY208" s="1748"/>
      <c r="AZ208" s="1748"/>
      <c r="BA208" s="1748"/>
      <c r="BB208" s="1748"/>
      <c r="BD208" s="1748"/>
      <c r="BE208" s="1748"/>
    </row>
    <row r="209" spans="2:57" ht="17.100000000000001" customHeight="1">
      <c r="C209" s="717"/>
      <c r="D209" s="718" t="s">
        <v>780</v>
      </c>
      <c r="E209" s="719"/>
      <c r="F209" s="718"/>
      <c r="G209" s="718"/>
      <c r="H209" s="718"/>
      <c r="I209" s="1684">
        <f>I188</f>
        <v>2018</v>
      </c>
      <c r="J209" s="766">
        <f>기준년도</f>
        <v>2019</v>
      </c>
      <c r="K209" s="766">
        <f t="shared" ref="K209:BB209" si="117">J209+1</f>
        <v>2020</v>
      </c>
      <c r="L209" s="766">
        <f t="shared" si="117"/>
        <v>2021</v>
      </c>
      <c r="M209" s="766">
        <f t="shared" si="117"/>
        <v>2022</v>
      </c>
      <c r="N209" s="766">
        <f t="shared" si="117"/>
        <v>2023</v>
      </c>
      <c r="O209" s="766">
        <f t="shared" si="117"/>
        <v>2024</v>
      </c>
      <c r="P209" s="766">
        <f t="shared" si="117"/>
        <v>2025</v>
      </c>
      <c r="Q209" s="766">
        <f t="shared" si="117"/>
        <v>2026</v>
      </c>
      <c r="R209" s="766">
        <f t="shared" si="117"/>
        <v>2027</v>
      </c>
      <c r="S209" s="766">
        <f t="shared" si="117"/>
        <v>2028</v>
      </c>
      <c r="T209" s="766">
        <f t="shared" si="117"/>
        <v>2029</v>
      </c>
      <c r="U209" s="766">
        <f t="shared" si="117"/>
        <v>2030</v>
      </c>
      <c r="V209" s="766">
        <f t="shared" si="117"/>
        <v>2031</v>
      </c>
      <c r="W209" s="766">
        <f t="shared" si="117"/>
        <v>2032</v>
      </c>
      <c r="X209" s="766">
        <f t="shared" si="117"/>
        <v>2033</v>
      </c>
      <c r="Y209" s="766">
        <f t="shared" si="117"/>
        <v>2034</v>
      </c>
      <c r="Z209" s="766">
        <f t="shared" si="117"/>
        <v>2035</v>
      </c>
      <c r="AA209" s="766">
        <f t="shared" si="117"/>
        <v>2036</v>
      </c>
      <c r="AB209" s="766">
        <f t="shared" si="117"/>
        <v>2037</v>
      </c>
      <c r="AC209" s="766">
        <f t="shared" si="117"/>
        <v>2038</v>
      </c>
      <c r="AD209" s="766">
        <f t="shared" si="117"/>
        <v>2039</v>
      </c>
      <c r="AE209" s="766">
        <f t="shared" si="117"/>
        <v>2040</v>
      </c>
      <c r="AF209" s="766">
        <f t="shared" si="117"/>
        <v>2041</v>
      </c>
      <c r="AG209" s="766">
        <f t="shared" si="117"/>
        <v>2042</v>
      </c>
      <c r="AH209" s="766">
        <f t="shared" si="117"/>
        <v>2043</v>
      </c>
      <c r="AI209" s="766">
        <f t="shared" si="117"/>
        <v>2044</v>
      </c>
      <c r="AJ209" s="766">
        <f t="shared" si="117"/>
        <v>2045</v>
      </c>
      <c r="AK209" s="766">
        <f t="shared" si="117"/>
        <v>2046</v>
      </c>
      <c r="AL209" s="766">
        <f t="shared" si="117"/>
        <v>2047</v>
      </c>
      <c r="AM209" s="766">
        <f t="shared" si="117"/>
        <v>2048</v>
      </c>
      <c r="AN209" s="766">
        <f t="shared" si="117"/>
        <v>2049</v>
      </c>
      <c r="AO209" s="766">
        <f t="shared" si="117"/>
        <v>2050</v>
      </c>
      <c r="AP209" s="766">
        <f t="shared" si="117"/>
        <v>2051</v>
      </c>
      <c r="AQ209" s="766">
        <f t="shared" si="117"/>
        <v>2052</v>
      </c>
      <c r="AR209" s="766">
        <f t="shared" si="117"/>
        <v>2053</v>
      </c>
      <c r="AS209" s="766">
        <f t="shared" si="117"/>
        <v>2054</v>
      </c>
      <c r="AT209" s="766">
        <f t="shared" si="117"/>
        <v>2055</v>
      </c>
      <c r="AU209" s="766">
        <f t="shared" si="117"/>
        <v>2056</v>
      </c>
      <c r="AV209" s="766">
        <f t="shared" si="117"/>
        <v>2057</v>
      </c>
      <c r="AW209" s="766">
        <f t="shared" si="117"/>
        <v>2058</v>
      </c>
      <c r="AX209" s="766">
        <f t="shared" si="117"/>
        <v>2059</v>
      </c>
      <c r="AY209" s="766">
        <f t="shared" si="117"/>
        <v>2060</v>
      </c>
      <c r="AZ209" s="766">
        <f t="shared" si="117"/>
        <v>2061</v>
      </c>
      <c r="BA209" s="766">
        <f t="shared" si="117"/>
        <v>2062</v>
      </c>
      <c r="BB209" s="766">
        <f t="shared" si="117"/>
        <v>2063</v>
      </c>
    </row>
    <row r="210" spans="2:57" ht="17.100000000000001" customHeight="1">
      <c r="C210" s="307"/>
      <c r="D210" s="754" t="s">
        <v>1380</v>
      </c>
      <c r="E210" s="1750"/>
      <c r="F210" s="1751"/>
      <c r="G210" s="1751"/>
      <c r="H210" s="1751"/>
      <c r="I210" s="1752"/>
      <c r="J210" s="1752">
        <f>I213</f>
        <v>3.3917389999999998</v>
      </c>
      <c r="K210" s="1752">
        <f t="shared" ref="K210:BB210" si="118">J213</f>
        <v>3.3917389999999998</v>
      </c>
      <c r="L210" s="1753">
        <f t="shared" si="118"/>
        <v>3.3917389999999998</v>
      </c>
      <c r="M210" s="1753">
        <f t="shared" si="118"/>
        <v>3.3917389999999998</v>
      </c>
      <c r="N210" s="1753">
        <f t="shared" ca="1" si="118"/>
        <v>3.3917389999999998</v>
      </c>
      <c r="O210" s="1753">
        <f t="shared" ca="1" si="118"/>
        <v>3.3917389999999998</v>
      </c>
      <c r="P210" s="1753">
        <f t="shared" ca="1" si="118"/>
        <v>3.3917389999999998</v>
      </c>
      <c r="Q210" s="1753">
        <f t="shared" ca="1" si="118"/>
        <v>3.3917389999999998</v>
      </c>
      <c r="R210" s="1753">
        <f t="shared" ca="1" si="118"/>
        <v>2.2611593333333335</v>
      </c>
      <c r="S210" s="1753">
        <f t="shared" ca="1" si="118"/>
        <v>1.130579666666667</v>
      </c>
      <c r="T210" s="1753">
        <f t="shared" ca="1" si="118"/>
        <v>0</v>
      </c>
      <c r="U210" s="1753">
        <f t="shared" ca="1" si="118"/>
        <v>0</v>
      </c>
      <c r="V210" s="1753">
        <f t="shared" ca="1" si="118"/>
        <v>0</v>
      </c>
      <c r="W210" s="1753">
        <f t="shared" ca="1" si="118"/>
        <v>0</v>
      </c>
      <c r="X210" s="1753">
        <f t="shared" ca="1" si="118"/>
        <v>0</v>
      </c>
      <c r="Y210" s="1753">
        <f t="shared" ca="1" si="118"/>
        <v>0</v>
      </c>
      <c r="Z210" s="1753">
        <f t="shared" ca="1" si="118"/>
        <v>0</v>
      </c>
      <c r="AA210" s="1753">
        <f t="shared" ca="1" si="118"/>
        <v>0</v>
      </c>
      <c r="AB210" s="1753">
        <f t="shared" ca="1" si="118"/>
        <v>0</v>
      </c>
      <c r="AC210" s="1753">
        <f t="shared" ca="1" si="118"/>
        <v>0</v>
      </c>
      <c r="AD210" s="1753">
        <f t="shared" ca="1" si="118"/>
        <v>0</v>
      </c>
      <c r="AE210" s="1753">
        <f t="shared" ca="1" si="118"/>
        <v>0</v>
      </c>
      <c r="AF210" s="1753">
        <f t="shared" ca="1" si="118"/>
        <v>0</v>
      </c>
      <c r="AG210" s="1753">
        <f t="shared" ca="1" si="118"/>
        <v>0</v>
      </c>
      <c r="AH210" s="1753">
        <f t="shared" ca="1" si="118"/>
        <v>0</v>
      </c>
      <c r="AI210" s="1753">
        <f t="shared" ca="1" si="118"/>
        <v>0</v>
      </c>
      <c r="AJ210" s="1753">
        <f t="shared" ca="1" si="118"/>
        <v>0</v>
      </c>
      <c r="AK210" s="1753">
        <f t="shared" ca="1" si="118"/>
        <v>0</v>
      </c>
      <c r="AL210" s="1753">
        <f t="shared" ca="1" si="118"/>
        <v>0</v>
      </c>
      <c r="AM210" s="1753">
        <f t="shared" ca="1" si="118"/>
        <v>0</v>
      </c>
      <c r="AN210" s="1753">
        <f t="shared" ca="1" si="118"/>
        <v>0</v>
      </c>
      <c r="AO210" s="1753">
        <f t="shared" ca="1" si="118"/>
        <v>0</v>
      </c>
      <c r="AP210" s="1753">
        <f t="shared" ca="1" si="118"/>
        <v>0</v>
      </c>
      <c r="AQ210" s="1753">
        <f t="shared" ca="1" si="118"/>
        <v>0</v>
      </c>
      <c r="AR210" s="1753">
        <f t="shared" ca="1" si="118"/>
        <v>0</v>
      </c>
      <c r="AS210" s="1753">
        <f t="shared" ca="1" si="118"/>
        <v>0</v>
      </c>
      <c r="AT210" s="1753">
        <f t="shared" ca="1" si="118"/>
        <v>0</v>
      </c>
      <c r="AU210" s="1753">
        <f t="shared" ca="1" si="118"/>
        <v>0</v>
      </c>
      <c r="AV210" s="1753">
        <f t="shared" ca="1" si="118"/>
        <v>0</v>
      </c>
      <c r="AW210" s="1753">
        <f t="shared" ca="1" si="118"/>
        <v>0</v>
      </c>
      <c r="AX210" s="1753">
        <f t="shared" ca="1" si="118"/>
        <v>0</v>
      </c>
      <c r="AY210" s="1753">
        <f t="shared" ca="1" si="118"/>
        <v>0</v>
      </c>
      <c r="AZ210" s="1753">
        <f t="shared" ca="1" si="118"/>
        <v>0</v>
      </c>
      <c r="BA210" s="1753">
        <f t="shared" ca="1" si="118"/>
        <v>0</v>
      </c>
      <c r="BB210" s="1754">
        <f t="shared" ca="1" si="118"/>
        <v>0</v>
      </c>
      <c r="BC210" s="1755"/>
      <c r="BD210" s="1755"/>
      <c r="BE210" s="1755"/>
    </row>
    <row r="211" spans="2:57" ht="17.100000000000001" customHeight="1">
      <c r="C211" s="1409"/>
      <c r="D211" s="1410" t="s">
        <v>1381</v>
      </c>
      <c r="E211" s="1756"/>
      <c r="F211" s="1757"/>
      <c r="G211" s="1757"/>
      <c r="H211" s="1757"/>
      <c r="I211" s="1758"/>
      <c r="J211" s="1758">
        <f>-($J$193-$I$193)*($I$193&gt;0)</f>
        <v>0</v>
      </c>
      <c r="K211" s="1758">
        <v>0</v>
      </c>
      <c r="L211" s="1759">
        <v>0</v>
      </c>
      <c r="M211" s="1759">
        <v>0</v>
      </c>
      <c r="N211" s="1759">
        <v>0</v>
      </c>
      <c r="O211" s="1759">
        <v>0</v>
      </c>
      <c r="P211" s="1759">
        <v>0</v>
      </c>
      <c r="Q211" s="1759">
        <v>0</v>
      </c>
      <c r="R211" s="1759">
        <v>0</v>
      </c>
      <c r="S211" s="1759">
        <v>0</v>
      </c>
      <c r="T211" s="1759">
        <v>0</v>
      </c>
      <c r="U211" s="1759"/>
      <c r="V211" s="1759"/>
      <c r="W211" s="1759"/>
      <c r="X211" s="1759"/>
      <c r="Y211" s="1759"/>
      <c r="Z211" s="1759"/>
      <c r="AA211" s="1759"/>
      <c r="AB211" s="1759"/>
      <c r="AC211" s="1759"/>
      <c r="AD211" s="1759"/>
      <c r="AE211" s="1759"/>
      <c r="AF211" s="1759"/>
      <c r="AG211" s="1759"/>
      <c r="AH211" s="1759"/>
      <c r="AI211" s="1759"/>
      <c r="AJ211" s="1759"/>
      <c r="AK211" s="1759"/>
      <c r="AL211" s="1759"/>
      <c r="AM211" s="1759"/>
      <c r="AN211" s="1759"/>
      <c r="AO211" s="1759"/>
      <c r="AP211" s="1759"/>
      <c r="AQ211" s="1759"/>
      <c r="AR211" s="1759"/>
      <c r="AS211" s="1759"/>
      <c r="AT211" s="1759"/>
      <c r="AU211" s="1759"/>
      <c r="AV211" s="1759"/>
      <c r="AW211" s="1759"/>
      <c r="AX211" s="1759"/>
      <c r="AY211" s="1759"/>
      <c r="AZ211" s="1759"/>
      <c r="BA211" s="1759"/>
      <c r="BB211" s="1760"/>
      <c r="BC211" s="1755"/>
      <c r="BD211" s="1755"/>
      <c r="BE211" s="1755"/>
    </row>
    <row r="212" spans="2:57" ht="17.100000000000001" customHeight="1">
      <c r="C212" s="1415"/>
      <c r="D212" s="1416" t="s">
        <v>1382</v>
      </c>
      <c r="E212" s="1761"/>
      <c r="F212" s="1762"/>
      <c r="G212" s="1762"/>
      <c r="H212" s="1762"/>
      <c r="I212" s="1763"/>
      <c r="J212" s="1763">
        <f>MIN(J211,I48)</f>
        <v>0</v>
      </c>
      <c r="K212" s="1763">
        <f>J223*(K209&lt;=2059)</f>
        <v>0</v>
      </c>
      <c r="L212" s="1764">
        <f t="shared" ref="L212:BB212" si="119">K223*(L209&lt;=2059)</f>
        <v>0</v>
      </c>
      <c r="M212" s="1764">
        <f t="shared" ca="1" si="119"/>
        <v>0</v>
      </c>
      <c r="N212" s="1764">
        <f t="shared" ca="1" si="119"/>
        <v>0</v>
      </c>
      <c r="O212" s="1764">
        <f t="shared" ca="1" si="119"/>
        <v>0</v>
      </c>
      <c r="P212" s="1764">
        <f t="shared" ca="1" si="119"/>
        <v>0</v>
      </c>
      <c r="Q212" s="1764">
        <f t="shared" ca="1" si="119"/>
        <v>1.1305796666666665</v>
      </c>
      <c r="R212" s="1764">
        <f t="shared" ca="1" si="119"/>
        <v>1.1305796666666665</v>
      </c>
      <c r="S212" s="1764">
        <f t="shared" ca="1" si="119"/>
        <v>1.1305796666666665</v>
      </c>
      <c r="T212" s="1764">
        <f t="shared" ca="1" si="119"/>
        <v>0</v>
      </c>
      <c r="U212" s="1764">
        <f t="shared" ca="1" si="119"/>
        <v>0</v>
      </c>
      <c r="V212" s="1764">
        <f t="shared" ca="1" si="119"/>
        <v>0</v>
      </c>
      <c r="W212" s="1764">
        <f t="shared" ca="1" si="119"/>
        <v>0</v>
      </c>
      <c r="X212" s="1764">
        <f t="shared" ca="1" si="119"/>
        <v>0</v>
      </c>
      <c r="Y212" s="1764">
        <f t="shared" ca="1" si="119"/>
        <v>0</v>
      </c>
      <c r="Z212" s="1764">
        <f t="shared" ca="1" si="119"/>
        <v>0</v>
      </c>
      <c r="AA212" s="1764">
        <f t="shared" ca="1" si="119"/>
        <v>0</v>
      </c>
      <c r="AB212" s="1764">
        <f t="shared" ca="1" si="119"/>
        <v>0</v>
      </c>
      <c r="AC212" s="1764">
        <f t="shared" ca="1" si="119"/>
        <v>0</v>
      </c>
      <c r="AD212" s="1764">
        <f t="shared" ca="1" si="119"/>
        <v>0</v>
      </c>
      <c r="AE212" s="1764">
        <f t="shared" ca="1" si="119"/>
        <v>0</v>
      </c>
      <c r="AF212" s="1764">
        <f t="shared" ca="1" si="119"/>
        <v>0</v>
      </c>
      <c r="AG212" s="1764">
        <f t="shared" ca="1" si="119"/>
        <v>0</v>
      </c>
      <c r="AH212" s="1764">
        <f t="shared" ca="1" si="119"/>
        <v>0</v>
      </c>
      <c r="AI212" s="1764">
        <f t="shared" ca="1" si="119"/>
        <v>0</v>
      </c>
      <c r="AJ212" s="1764">
        <f t="shared" ca="1" si="119"/>
        <v>0</v>
      </c>
      <c r="AK212" s="1764">
        <f t="shared" ca="1" si="119"/>
        <v>0</v>
      </c>
      <c r="AL212" s="1764">
        <f t="shared" ca="1" si="119"/>
        <v>0</v>
      </c>
      <c r="AM212" s="1764">
        <f t="shared" ca="1" si="119"/>
        <v>0</v>
      </c>
      <c r="AN212" s="1764">
        <f t="shared" ca="1" si="119"/>
        <v>0</v>
      </c>
      <c r="AO212" s="1764">
        <f t="shared" ca="1" si="119"/>
        <v>0</v>
      </c>
      <c r="AP212" s="1764">
        <f t="shared" ca="1" si="119"/>
        <v>0</v>
      </c>
      <c r="AQ212" s="1764">
        <f t="shared" ca="1" si="119"/>
        <v>0</v>
      </c>
      <c r="AR212" s="1764">
        <f t="shared" ca="1" si="119"/>
        <v>0</v>
      </c>
      <c r="AS212" s="1764">
        <f t="shared" ca="1" si="119"/>
        <v>0</v>
      </c>
      <c r="AT212" s="1764">
        <f t="shared" ca="1" si="119"/>
        <v>0</v>
      </c>
      <c r="AU212" s="1764">
        <f t="shared" ca="1" si="119"/>
        <v>0</v>
      </c>
      <c r="AV212" s="1764">
        <f t="shared" ca="1" si="119"/>
        <v>0</v>
      </c>
      <c r="AW212" s="1764">
        <f t="shared" ca="1" si="119"/>
        <v>0</v>
      </c>
      <c r="AX212" s="1764">
        <f t="shared" ca="1" si="119"/>
        <v>0</v>
      </c>
      <c r="AY212" s="1764">
        <f t="shared" ca="1" si="119"/>
        <v>0</v>
      </c>
      <c r="AZ212" s="1764">
        <f t="shared" ca="1" si="119"/>
        <v>0</v>
      </c>
      <c r="BA212" s="1764">
        <f t="shared" ca="1" si="119"/>
        <v>0</v>
      </c>
      <c r="BB212" s="1765">
        <f t="shared" ca="1" si="119"/>
        <v>0</v>
      </c>
      <c r="BC212" s="1755"/>
      <c r="BD212" s="1755"/>
      <c r="BE212" s="1755"/>
    </row>
    <row r="213" spans="2:57" ht="17.100000000000001" customHeight="1">
      <c r="C213" s="952"/>
      <c r="D213" s="1741" t="s">
        <v>1383</v>
      </c>
      <c r="E213" s="1766"/>
      <c r="F213" s="1767"/>
      <c r="G213" s="1767"/>
      <c r="H213" s="1767"/>
      <c r="I213" s="1768">
        <f>-I52</f>
        <v>3.3917389999999998</v>
      </c>
      <c r="J213" s="1768">
        <f t="shared" ref="J213:AU213" si="120">J210+J211-J212</f>
        <v>3.3917389999999998</v>
      </c>
      <c r="K213" s="1769">
        <f>-실적!C67/단위</f>
        <v>3.3917389999999998</v>
      </c>
      <c r="L213" s="1770">
        <f t="shared" si="120"/>
        <v>3.3917389999999998</v>
      </c>
      <c r="M213" s="1770">
        <f t="shared" ca="1" si="120"/>
        <v>3.3917389999999998</v>
      </c>
      <c r="N213" s="1770">
        <f t="shared" ca="1" si="120"/>
        <v>3.3917389999999998</v>
      </c>
      <c r="O213" s="1770">
        <f t="shared" ca="1" si="120"/>
        <v>3.3917389999999998</v>
      </c>
      <c r="P213" s="1770">
        <f t="shared" ca="1" si="120"/>
        <v>3.3917389999999998</v>
      </c>
      <c r="Q213" s="1770">
        <f t="shared" ca="1" si="120"/>
        <v>2.2611593333333335</v>
      </c>
      <c r="R213" s="1770">
        <f t="shared" ca="1" si="120"/>
        <v>1.130579666666667</v>
      </c>
      <c r="S213" s="1770">
        <f t="shared" ca="1" si="120"/>
        <v>0</v>
      </c>
      <c r="T213" s="1770">
        <f t="shared" ca="1" si="120"/>
        <v>0</v>
      </c>
      <c r="U213" s="1770">
        <f t="shared" ca="1" si="120"/>
        <v>0</v>
      </c>
      <c r="V213" s="1770">
        <f t="shared" ca="1" si="120"/>
        <v>0</v>
      </c>
      <c r="W213" s="1770">
        <f t="shared" ca="1" si="120"/>
        <v>0</v>
      </c>
      <c r="X213" s="1770">
        <f t="shared" ca="1" si="120"/>
        <v>0</v>
      </c>
      <c r="Y213" s="1770">
        <f t="shared" ca="1" si="120"/>
        <v>0</v>
      </c>
      <c r="Z213" s="1770">
        <f t="shared" ca="1" si="120"/>
        <v>0</v>
      </c>
      <c r="AA213" s="1770">
        <f t="shared" ca="1" si="120"/>
        <v>0</v>
      </c>
      <c r="AB213" s="1770">
        <f t="shared" ca="1" si="120"/>
        <v>0</v>
      </c>
      <c r="AC213" s="1770">
        <f t="shared" ca="1" si="120"/>
        <v>0</v>
      </c>
      <c r="AD213" s="1770">
        <f t="shared" ca="1" si="120"/>
        <v>0</v>
      </c>
      <c r="AE213" s="1770">
        <f t="shared" ca="1" si="120"/>
        <v>0</v>
      </c>
      <c r="AF213" s="1770">
        <f t="shared" ca="1" si="120"/>
        <v>0</v>
      </c>
      <c r="AG213" s="1770">
        <f t="shared" ca="1" si="120"/>
        <v>0</v>
      </c>
      <c r="AH213" s="1770">
        <f t="shared" ca="1" si="120"/>
        <v>0</v>
      </c>
      <c r="AI213" s="1770">
        <f t="shared" ca="1" si="120"/>
        <v>0</v>
      </c>
      <c r="AJ213" s="1770">
        <f t="shared" ca="1" si="120"/>
        <v>0</v>
      </c>
      <c r="AK213" s="1770">
        <f t="shared" ca="1" si="120"/>
        <v>0</v>
      </c>
      <c r="AL213" s="1770">
        <f t="shared" ca="1" si="120"/>
        <v>0</v>
      </c>
      <c r="AM213" s="1770">
        <f t="shared" ca="1" si="120"/>
        <v>0</v>
      </c>
      <c r="AN213" s="1770">
        <f t="shared" ca="1" si="120"/>
        <v>0</v>
      </c>
      <c r="AO213" s="1770">
        <f t="shared" ca="1" si="120"/>
        <v>0</v>
      </c>
      <c r="AP213" s="1770">
        <f t="shared" ca="1" si="120"/>
        <v>0</v>
      </c>
      <c r="AQ213" s="1770">
        <f t="shared" ca="1" si="120"/>
        <v>0</v>
      </c>
      <c r="AR213" s="1770">
        <f t="shared" ca="1" si="120"/>
        <v>0</v>
      </c>
      <c r="AS213" s="1770">
        <f t="shared" ca="1" si="120"/>
        <v>0</v>
      </c>
      <c r="AT213" s="1770">
        <f t="shared" ca="1" si="120"/>
        <v>0</v>
      </c>
      <c r="AU213" s="1770">
        <f t="shared" ca="1" si="120"/>
        <v>0</v>
      </c>
      <c r="AV213" s="1770">
        <f ca="1">AV210+AV211-AV212</f>
        <v>0</v>
      </c>
      <c r="AW213" s="1770">
        <f ca="1">AW210+AW211-AW212</f>
        <v>0</v>
      </c>
      <c r="AX213" s="1770">
        <f ca="1">(AX210+AX211-AX212)*(AY4&gt;0.0001)</f>
        <v>0</v>
      </c>
      <c r="AY213" s="1770">
        <f ca="1">(AY210+AY211-AY212)*(AZ4&gt;0.0001)</f>
        <v>0</v>
      </c>
      <c r="AZ213" s="1770">
        <f ca="1">(AZ210+AZ211-AZ212)*(BA4&gt;0.0001)</f>
        <v>0</v>
      </c>
      <c r="BA213" s="1770">
        <f ca="1">(BA210+BA211-BA212)*(BB4&gt;0.0001)</f>
        <v>0</v>
      </c>
      <c r="BB213" s="1771">
        <f ca="1">(BB210+BB211-BB212)*(BC4&gt;0.0001)</f>
        <v>0</v>
      </c>
      <c r="BC213" s="1755"/>
      <c r="BD213" s="1755"/>
      <c r="BE213" s="1755"/>
    </row>
    <row r="214" spans="2:57" s="793" customFormat="1" ht="17.100000000000001" customHeight="1"/>
    <row r="215" spans="2:57" ht="17.100000000000001" customHeight="1">
      <c r="B215" s="1772" t="s">
        <v>1384</v>
      </c>
    </row>
    <row r="216" spans="2:57" ht="17.100000000000001" customHeight="1">
      <c r="B216" s="793"/>
      <c r="C216" s="793"/>
      <c r="I216" s="1748"/>
      <c r="J216" s="1748"/>
      <c r="K216" s="1748"/>
      <c r="L216" s="1748"/>
      <c r="M216" s="1748"/>
      <c r="N216" s="1773"/>
      <c r="O216" s="1748"/>
      <c r="P216" s="1748"/>
      <c r="Q216" s="1774"/>
      <c r="R216" s="1748"/>
      <c r="S216" s="1748"/>
      <c r="T216" s="1748"/>
      <c r="U216" s="1748"/>
      <c r="V216" s="1748"/>
      <c r="W216" s="1748"/>
      <c r="X216" s="1748"/>
      <c r="Y216" s="1748"/>
      <c r="Z216" s="1749"/>
      <c r="AA216" s="1748"/>
      <c r="AB216" s="1748"/>
      <c r="AC216" s="1748"/>
      <c r="AD216" s="1748"/>
      <c r="AE216" s="1748"/>
      <c r="AF216" s="1748"/>
      <c r="AG216" s="1748"/>
      <c r="AH216" s="1748"/>
      <c r="AI216" s="1748"/>
      <c r="AJ216" s="1748"/>
      <c r="AK216" s="1748"/>
      <c r="AL216" s="1748"/>
      <c r="AM216" s="1748"/>
      <c r="AN216" s="1748"/>
      <c r="AO216" s="1748"/>
      <c r="AP216" s="1748"/>
      <c r="AQ216" s="1748"/>
      <c r="AR216" s="1748"/>
      <c r="AT216" s="1748"/>
      <c r="AU216" s="1748"/>
    </row>
    <row r="217" spans="2:57" ht="17.100000000000001" customHeight="1">
      <c r="B217" s="793"/>
      <c r="C217" s="414" t="s">
        <v>1385</v>
      </c>
      <c r="I217" s="1748"/>
      <c r="J217" s="1748"/>
      <c r="K217" s="1775">
        <f>K29-K30-K35-K44-K48-K51</f>
        <v>-368.09849705999949</v>
      </c>
      <c r="L217" s="1775">
        <f ca="1">L29-L30-L35-L44-L48-L51</f>
        <v>-299.31478533484682</v>
      </c>
      <c r="M217" s="1776">
        <f ca="1">M227-배당!I20</f>
        <v>0</v>
      </c>
      <c r="N217" s="1776">
        <f ca="1">N227-배당!J20</f>
        <v>0</v>
      </c>
      <c r="O217" s="1776">
        <f ca="1">O227-배당!K20</f>
        <v>0</v>
      </c>
      <c r="P217" s="1776">
        <f ca="1">P227-배당!L20</f>
        <v>0</v>
      </c>
      <c r="Q217" s="1776">
        <f ca="1">Q227-배당!M20</f>
        <v>0</v>
      </c>
      <c r="R217" s="1776">
        <f ca="1">R227-배당!N20</f>
        <v>0</v>
      </c>
      <c r="S217" s="1776">
        <f ca="1">S227-배당!O20</f>
        <v>0</v>
      </c>
      <c r="T217" s="1776">
        <f ca="1">T227-배당!P20</f>
        <v>0</v>
      </c>
      <c r="U217" s="1776">
        <f ca="1">U227-배당!Q20</f>
        <v>0</v>
      </c>
      <c r="V217" s="1776">
        <f ca="1">V227-배당!R20</f>
        <v>0</v>
      </c>
      <c r="W217" s="1776">
        <f ca="1">W227-배당!S20</f>
        <v>0</v>
      </c>
      <c r="X217" s="1776">
        <f ca="1">X227-배당!T20</f>
        <v>0</v>
      </c>
      <c r="Y217" s="1776">
        <f ca="1">Y227-배당!U20</f>
        <v>0</v>
      </c>
      <c r="Z217" s="1776">
        <f ca="1">Z227-배당!V20</f>
        <v>0</v>
      </c>
      <c r="AA217" s="1776">
        <f ca="1">AA227-배당!W20</f>
        <v>0</v>
      </c>
      <c r="AB217" s="1776">
        <f ca="1">AB227-배당!X20</f>
        <v>0</v>
      </c>
      <c r="AC217" s="1776">
        <f ca="1">AC227-배당!Y20</f>
        <v>0</v>
      </c>
      <c r="AD217" s="1776">
        <f ca="1">AD227-배당!Z20</f>
        <v>0</v>
      </c>
      <c r="AE217" s="1776">
        <f ca="1">AE227-배당!AA20</f>
        <v>0</v>
      </c>
      <c r="AF217" s="1776">
        <f ca="1">AF227-배당!AB20</f>
        <v>0</v>
      </c>
      <c r="AG217" s="1776">
        <f ca="1">AG227-배당!AC20</f>
        <v>0</v>
      </c>
      <c r="AH217" s="1776">
        <f ca="1">AH227-배당!AD20</f>
        <v>0</v>
      </c>
      <c r="AI217" s="1774">
        <f ca="1">ROUND(AI227-배당!AE20,6)</f>
        <v>0</v>
      </c>
      <c r="AJ217" s="1776">
        <f ca="1">ROUND(AJ227-배당!AF20,6)</f>
        <v>0</v>
      </c>
      <c r="AK217" s="1776">
        <f ca="1">AK227-배당!AG20</f>
        <v>0</v>
      </c>
      <c r="AL217" s="1776">
        <f ca="1">AL227-배당!AH20</f>
        <v>0</v>
      </c>
      <c r="AM217" s="1776">
        <f ca="1">AM227-배당!AI20</f>
        <v>0</v>
      </c>
      <c r="AN217" s="1776">
        <f ca="1">AN227-배당!AJ20</f>
        <v>0</v>
      </c>
      <c r="AO217" s="1776">
        <f ca="1">AO227-배당!AK20</f>
        <v>0</v>
      </c>
      <c r="AP217" s="1776">
        <f ca="1">AP227-배당!AL20</f>
        <v>0</v>
      </c>
      <c r="AQ217" s="1776">
        <f ca="1">AQ227-배당!AM20</f>
        <v>1.4210854715202004E-14</v>
      </c>
      <c r="AR217" s="1776">
        <f ca="1">AR227-배당!AN20</f>
        <v>0</v>
      </c>
      <c r="AS217" s="1776">
        <f ca="1">AS227-배당!AO20</f>
        <v>0</v>
      </c>
      <c r="AT217" s="1776">
        <f ca="1">AT227-배당!AP20</f>
        <v>-1.4210854715202004E-14</v>
      </c>
      <c r="AU217" s="1776">
        <f ca="1">AU227-배당!AQ20</f>
        <v>0</v>
      </c>
      <c r="AV217" s="1776">
        <f ca="1">AV227-배당!AR20</f>
        <v>0</v>
      </c>
      <c r="AW217" s="1776">
        <f ca="1">AW227-배당!AS20</f>
        <v>0</v>
      </c>
      <c r="AX217" s="1748"/>
      <c r="AY217" s="1748"/>
      <c r="AZ217" s="1748"/>
      <c r="BA217" s="1748"/>
      <c r="BB217" s="1748"/>
      <c r="BD217" s="1748"/>
      <c r="BE217" s="1748"/>
    </row>
    <row r="218" spans="2:57" ht="17.100000000000001" customHeight="1">
      <c r="C218" s="717"/>
      <c r="D218" s="718" t="s">
        <v>780</v>
      </c>
      <c r="E218" s="719"/>
      <c r="F218" s="718"/>
      <c r="G218" s="718"/>
      <c r="H218" s="718"/>
      <c r="I218" s="1684" t="s">
        <v>1386</v>
      </c>
      <c r="J218" s="766">
        <f>기준년도</f>
        <v>2019</v>
      </c>
      <c r="K218" s="766">
        <f t="shared" ref="K218:BB218" si="121">J218+1</f>
        <v>2020</v>
      </c>
      <c r="L218" s="766">
        <f t="shared" si="121"/>
        <v>2021</v>
      </c>
      <c r="M218" s="766">
        <f t="shared" si="121"/>
        <v>2022</v>
      </c>
      <c r="N218" s="766">
        <f t="shared" si="121"/>
        <v>2023</v>
      </c>
      <c r="O218" s="766">
        <f t="shared" si="121"/>
        <v>2024</v>
      </c>
      <c r="P218" s="766">
        <f t="shared" si="121"/>
        <v>2025</v>
      </c>
      <c r="Q218" s="766">
        <f t="shared" si="121"/>
        <v>2026</v>
      </c>
      <c r="R218" s="766">
        <f t="shared" si="121"/>
        <v>2027</v>
      </c>
      <c r="S218" s="766">
        <f t="shared" si="121"/>
        <v>2028</v>
      </c>
      <c r="T218" s="766">
        <f t="shared" si="121"/>
        <v>2029</v>
      </c>
      <c r="U218" s="766">
        <f t="shared" si="121"/>
        <v>2030</v>
      </c>
      <c r="V218" s="766">
        <f t="shared" si="121"/>
        <v>2031</v>
      </c>
      <c r="W218" s="766">
        <f t="shared" si="121"/>
        <v>2032</v>
      </c>
      <c r="X218" s="766">
        <f t="shared" si="121"/>
        <v>2033</v>
      </c>
      <c r="Y218" s="766">
        <f t="shared" si="121"/>
        <v>2034</v>
      </c>
      <c r="Z218" s="766">
        <f t="shared" si="121"/>
        <v>2035</v>
      </c>
      <c r="AA218" s="766">
        <f t="shared" si="121"/>
        <v>2036</v>
      </c>
      <c r="AB218" s="766">
        <f t="shared" si="121"/>
        <v>2037</v>
      </c>
      <c r="AC218" s="766">
        <f t="shared" si="121"/>
        <v>2038</v>
      </c>
      <c r="AD218" s="766">
        <f t="shared" si="121"/>
        <v>2039</v>
      </c>
      <c r="AE218" s="766">
        <f t="shared" si="121"/>
        <v>2040</v>
      </c>
      <c r="AF218" s="766">
        <f t="shared" si="121"/>
        <v>2041</v>
      </c>
      <c r="AG218" s="766">
        <f t="shared" si="121"/>
        <v>2042</v>
      </c>
      <c r="AH218" s="766">
        <f t="shared" si="121"/>
        <v>2043</v>
      </c>
      <c r="AI218" s="766">
        <f t="shared" si="121"/>
        <v>2044</v>
      </c>
      <c r="AJ218" s="766">
        <f t="shared" si="121"/>
        <v>2045</v>
      </c>
      <c r="AK218" s="766">
        <f t="shared" si="121"/>
        <v>2046</v>
      </c>
      <c r="AL218" s="766">
        <f t="shared" si="121"/>
        <v>2047</v>
      </c>
      <c r="AM218" s="766">
        <f t="shared" si="121"/>
        <v>2048</v>
      </c>
      <c r="AN218" s="766">
        <f t="shared" si="121"/>
        <v>2049</v>
      </c>
      <c r="AO218" s="766">
        <f t="shared" si="121"/>
        <v>2050</v>
      </c>
      <c r="AP218" s="766">
        <f t="shared" si="121"/>
        <v>2051</v>
      </c>
      <c r="AQ218" s="766">
        <f t="shared" si="121"/>
        <v>2052</v>
      </c>
      <c r="AR218" s="766">
        <f t="shared" si="121"/>
        <v>2053</v>
      </c>
      <c r="AS218" s="766">
        <f t="shared" si="121"/>
        <v>2054</v>
      </c>
      <c r="AT218" s="766">
        <f t="shared" si="121"/>
        <v>2055</v>
      </c>
      <c r="AU218" s="766">
        <f t="shared" si="121"/>
        <v>2056</v>
      </c>
      <c r="AV218" s="766">
        <f t="shared" si="121"/>
        <v>2057</v>
      </c>
      <c r="AW218" s="766">
        <f t="shared" si="121"/>
        <v>2058</v>
      </c>
      <c r="AX218" s="766">
        <f t="shared" si="121"/>
        <v>2059</v>
      </c>
      <c r="AY218" s="766">
        <f t="shared" si="121"/>
        <v>2060</v>
      </c>
      <c r="AZ218" s="766">
        <f t="shared" si="121"/>
        <v>2061</v>
      </c>
      <c r="BA218" s="766">
        <f t="shared" si="121"/>
        <v>2062</v>
      </c>
      <c r="BB218" s="766">
        <f t="shared" si="121"/>
        <v>2063</v>
      </c>
    </row>
    <row r="219" spans="2:57" ht="17.100000000000001" customHeight="1">
      <c r="C219" s="307" t="s">
        <v>1387</v>
      </c>
      <c r="D219" s="754"/>
      <c r="E219" s="1750"/>
      <c r="F219" s="1751"/>
      <c r="G219" s="1751"/>
      <c r="H219" s="1751"/>
      <c r="I219" s="1777"/>
      <c r="J219" s="1777">
        <f t="shared" ref="J219:BB219" ca="1" si="122">SUM(J220:J221)</f>
        <v>-432.98638123581247</v>
      </c>
      <c r="K219" s="1778">
        <f>-실적!C69/단위</f>
        <v>-368.09849706</v>
      </c>
      <c r="L219" s="1779">
        <f t="shared" ca="1" si="122"/>
        <v>-299.31478533484682</v>
      </c>
      <c r="M219" s="1779">
        <f t="shared" ca="1" si="122"/>
        <v>-227.29039458078276</v>
      </c>
      <c r="N219" s="1779">
        <f t="shared" ca="1" si="122"/>
        <v>-134.88328128494217</v>
      </c>
      <c r="O219" s="1779">
        <f t="shared" ca="1" si="122"/>
        <v>-30.855006638396588</v>
      </c>
      <c r="P219" s="1779">
        <f t="shared" ca="1" si="122"/>
        <v>7.5523320849946174</v>
      </c>
      <c r="Q219" s="1779">
        <f t="shared" ca="1" si="122"/>
        <v>8.3469137057700884</v>
      </c>
      <c r="R219" s="1779">
        <f t="shared" ca="1" si="122"/>
        <v>20.587190115517945</v>
      </c>
      <c r="S219" s="1779">
        <f t="shared" ca="1" si="122"/>
        <v>34.165544382626749</v>
      </c>
      <c r="T219" s="1779">
        <f t="shared" ca="1" si="122"/>
        <v>17.332850540193792</v>
      </c>
      <c r="U219" s="1779">
        <f t="shared" ca="1" si="122"/>
        <v>31.506700302654011</v>
      </c>
      <c r="V219" s="1779">
        <f t="shared" ca="1" si="122"/>
        <v>27.544863386231718</v>
      </c>
      <c r="W219" s="1779">
        <f t="shared" ca="1" si="122"/>
        <v>29.269174727095123</v>
      </c>
      <c r="X219" s="1779">
        <f t="shared" ca="1" si="122"/>
        <v>36.192964238958254</v>
      </c>
      <c r="Y219" s="1779">
        <f t="shared" ca="1" si="122"/>
        <v>35.727008992410482</v>
      </c>
      <c r="Z219" s="1779">
        <f t="shared" ca="1" si="122"/>
        <v>37.455125574068219</v>
      </c>
      <c r="AA219" s="1779">
        <f t="shared" ca="1" si="122"/>
        <v>61.397235400119001</v>
      </c>
      <c r="AB219" s="1779">
        <f t="shared" ca="1" si="122"/>
        <v>63.13594811545989</v>
      </c>
      <c r="AC219" s="1779">
        <f t="shared" ca="1" si="122"/>
        <v>78.023823208902243</v>
      </c>
      <c r="AD219" s="1779">
        <f t="shared" ca="1" si="122"/>
        <v>80.723838416247986</v>
      </c>
      <c r="AE219" s="1779">
        <f t="shared" ca="1" si="122"/>
        <v>93.725622142527413</v>
      </c>
      <c r="AF219" s="1779">
        <f t="shared" ca="1" si="122"/>
        <v>96.879955760017452</v>
      </c>
      <c r="AG219" s="1779">
        <f t="shared" ca="1" si="122"/>
        <v>110.15300381406131</v>
      </c>
      <c r="AH219" s="1779">
        <f t="shared" ca="1" si="122"/>
        <v>123.65024290166293</v>
      </c>
      <c r="AI219" s="1779">
        <f t="shared" ca="1" si="122"/>
        <v>119.21911034161904</v>
      </c>
      <c r="AJ219" s="1779">
        <f t="shared" ca="1" si="122"/>
        <v>115.44573516520336</v>
      </c>
      <c r="AK219" s="1779">
        <f t="shared" ca="1" si="122"/>
        <v>103.38805496294775</v>
      </c>
      <c r="AL219" s="1779">
        <f t="shared" ca="1" si="122"/>
        <v>67.87191333002562</v>
      </c>
      <c r="AM219" s="1779">
        <f t="shared" ca="1" si="122"/>
        <v>76.927641029118462</v>
      </c>
      <c r="AN219" s="1779">
        <f t="shared" ca="1" si="122"/>
        <v>69.204799082203508</v>
      </c>
      <c r="AO219" s="1779">
        <f t="shared" ca="1" si="122"/>
        <v>74.768058472809173</v>
      </c>
      <c r="AP219" s="1779">
        <f t="shared" ca="1" si="122"/>
        <v>84.197164485708569</v>
      </c>
      <c r="AQ219" s="1779">
        <f t="shared" ca="1" si="122"/>
        <v>81.536827819660957</v>
      </c>
      <c r="AR219" s="1779">
        <f t="shared" ca="1" si="122"/>
        <v>82.177005094106988</v>
      </c>
      <c r="AS219" s="1779">
        <f t="shared" ca="1" si="122"/>
        <v>95.34009146006548</v>
      </c>
      <c r="AT219" s="1779">
        <f t="shared" ca="1" si="122"/>
        <v>95.649343525215514</v>
      </c>
      <c r="AU219" s="1779">
        <f t="shared" ca="1" si="122"/>
        <v>97.749373963860293</v>
      </c>
      <c r="AV219" s="1779">
        <f t="shared" ca="1" si="122"/>
        <v>106.01159626162521</v>
      </c>
      <c r="AW219" s="1779">
        <f t="shared" ca="1" si="122"/>
        <v>107.12009651208376</v>
      </c>
      <c r="AX219" s="1779">
        <f t="shared" ca="1" si="122"/>
        <v>-123.97761239101396</v>
      </c>
      <c r="AY219" s="1779">
        <f t="shared" ca="1" si="122"/>
        <v>0</v>
      </c>
      <c r="AZ219" s="1779">
        <f t="shared" ca="1" si="122"/>
        <v>0</v>
      </c>
      <c r="BA219" s="1779">
        <v>0</v>
      </c>
      <c r="BB219" s="1780">
        <f t="shared" ca="1" si="122"/>
        <v>0</v>
      </c>
      <c r="BC219" s="1781"/>
      <c r="BD219" s="1781"/>
      <c r="BE219" s="1781"/>
    </row>
    <row r="220" spans="2:57" ht="17.100000000000001" customHeight="1">
      <c r="C220" s="307"/>
      <c r="D220" s="342" t="s">
        <v>1388</v>
      </c>
      <c r="E220" s="1756"/>
      <c r="F220" s="1757"/>
      <c r="G220" s="1757"/>
      <c r="H220" s="1757"/>
      <c r="I220" s="1782">
        <f ca="1">SUM(J220:AU220)</f>
        <v>-1504.6042847452659</v>
      </c>
      <c r="J220" s="1782">
        <f>I55</f>
        <v>-501.90986641000001</v>
      </c>
      <c r="K220" s="1783">
        <f>K219-K221</f>
        <v>-446.51587324000002</v>
      </c>
      <c r="L220" s="1784">
        <f t="shared" ref="L220:BB220" ca="1" si="123">K227</f>
        <v>-368.09849706</v>
      </c>
      <c r="M220" s="1784">
        <f t="shared" ca="1" si="123"/>
        <v>-299.31478533484682</v>
      </c>
      <c r="N220" s="1784">
        <f t="shared" ca="1" si="123"/>
        <v>-227.29039458078276</v>
      </c>
      <c r="O220" s="1784">
        <f t="shared" ca="1" si="123"/>
        <v>-134.88328128494217</v>
      </c>
      <c r="P220" s="1784">
        <f t="shared" ca="1" si="123"/>
        <v>-30.855006638396588</v>
      </c>
      <c r="Q220" s="1784">
        <f t="shared" ca="1" si="123"/>
        <v>5.8379567439345008</v>
      </c>
      <c r="R220" s="1784">
        <f t="shared" ca="1" si="123"/>
        <v>6.5603036719122017</v>
      </c>
      <c r="S220" s="1784">
        <f t="shared" ca="1" si="123"/>
        <v>16.102349554206391</v>
      </c>
      <c r="T220" s="1784">
        <f t="shared" ca="1" si="123"/>
        <v>0.71078705915421381</v>
      </c>
      <c r="U220" s="1784">
        <f t="shared" ca="1" si="123"/>
        <v>0</v>
      </c>
      <c r="V220" s="1784">
        <f t="shared" ca="1" si="123"/>
        <v>0</v>
      </c>
      <c r="W220" s="1784">
        <f t="shared" ca="1" si="123"/>
        <v>0</v>
      </c>
      <c r="X220" s="1784">
        <f t="shared" ca="1" si="123"/>
        <v>0</v>
      </c>
      <c r="Y220" s="1784">
        <f t="shared" ca="1" si="123"/>
        <v>0</v>
      </c>
      <c r="Z220" s="1784">
        <f t="shared" ca="1" si="123"/>
        <v>6.9601859712643446</v>
      </c>
      <c r="AA220" s="1784">
        <f t="shared" ca="1" si="123"/>
        <v>21.342732529732551</v>
      </c>
      <c r="AB220" s="1784">
        <f t="shared" ca="1" si="123"/>
        <v>24.911065362358926</v>
      </c>
      <c r="AC220" s="1784">
        <f t="shared" ca="1" si="123"/>
        <v>43.839672909301257</v>
      </c>
      <c r="AD220" s="1784">
        <f t="shared" ca="1" si="123"/>
        <v>45.92</v>
      </c>
      <c r="AE220" s="1784">
        <f t="shared" ca="1" si="123"/>
        <v>45.92</v>
      </c>
      <c r="AF220" s="1784">
        <f t="shared" ca="1" si="123"/>
        <v>45.92</v>
      </c>
      <c r="AG220" s="1784">
        <f t="shared" ca="1" si="123"/>
        <v>45.92</v>
      </c>
      <c r="AH220" s="1784">
        <f t="shared" ca="1" si="123"/>
        <v>61.136630347028515</v>
      </c>
      <c r="AI220" s="1784">
        <f t="shared" ca="1" si="123"/>
        <v>56.17423147113098</v>
      </c>
      <c r="AJ220" s="1784">
        <f t="shared" ca="1" si="123"/>
        <v>45.92</v>
      </c>
      <c r="AK220" s="1784">
        <f t="shared" ca="1" si="123"/>
        <v>31.087504183678348</v>
      </c>
      <c r="AL220" s="1784">
        <f t="shared" ca="1" si="123"/>
        <v>0</v>
      </c>
      <c r="AM220" s="1784">
        <f t="shared" ca="1" si="123"/>
        <v>0</v>
      </c>
      <c r="AN220" s="1784">
        <f t="shared" ca="1" si="123"/>
        <v>0</v>
      </c>
      <c r="AO220" s="1784">
        <f t="shared" ca="1" si="123"/>
        <v>0</v>
      </c>
      <c r="AP220" s="1784">
        <f t="shared" ca="1" si="123"/>
        <v>0</v>
      </c>
      <c r="AQ220" s="1784">
        <f t="shared" ca="1" si="123"/>
        <v>0</v>
      </c>
      <c r="AR220" s="1784">
        <f t="shared" ca="1" si="123"/>
        <v>0</v>
      </c>
      <c r="AS220" s="1784">
        <f t="shared" ca="1" si="123"/>
        <v>0</v>
      </c>
      <c r="AT220" s="1784">
        <f t="shared" ca="1" si="123"/>
        <v>0</v>
      </c>
      <c r="AU220" s="1784">
        <f t="shared" ca="1" si="123"/>
        <v>0</v>
      </c>
      <c r="AV220" s="1784">
        <f t="shared" ca="1" si="123"/>
        <v>0</v>
      </c>
      <c r="AW220" s="1784">
        <f t="shared" ca="1" si="123"/>
        <v>0</v>
      </c>
      <c r="AX220" s="1784">
        <f t="shared" ca="1" si="123"/>
        <v>0</v>
      </c>
      <c r="AY220" s="1784">
        <f t="shared" si="123"/>
        <v>0</v>
      </c>
      <c r="AZ220" s="1784">
        <f t="shared" ca="1" si="123"/>
        <v>0</v>
      </c>
      <c r="BA220" s="1784">
        <f t="shared" ca="1" si="123"/>
        <v>0</v>
      </c>
      <c r="BB220" s="1785">
        <f t="shared" ca="1" si="123"/>
        <v>0</v>
      </c>
      <c r="BC220" s="1781"/>
      <c r="BD220" s="1781"/>
      <c r="BE220" s="1781"/>
    </row>
    <row r="221" spans="2:57" ht="17.100000000000001" customHeight="1">
      <c r="C221" s="952"/>
      <c r="D221" s="1282" t="s">
        <v>1389</v>
      </c>
      <c r="E221" s="1766"/>
      <c r="F221" s="1767"/>
      <c r="G221" s="1767"/>
      <c r="H221" s="1767"/>
      <c r="I221" s="1786">
        <f ca="1">SUM(J221:AU221)</f>
        <v>2168.0213951525488</v>
      </c>
      <c r="J221" s="1786">
        <f ca="1">'IS(Y)'!K35</f>
        <v>68.923485174187562</v>
      </c>
      <c r="K221" s="1787">
        <f>실적!D119/단위</f>
        <v>78.417376180000005</v>
      </c>
      <c r="L221" s="1788">
        <f ca="1">L217-L220</f>
        <v>68.783711725153182</v>
      </c>
      <c r="M221" s="1788">
        <f ca="1">'IS(Y)'!N35</f>
        <v>72.024390754064058</v>
      </c>
      <c r="N221" s="1788">
        <f ca="1">'IS(Y)'!O35</f>
        <v>92.407113295840588</v>
      </c>
      <c r="O221" s="1788">
        <f ca="1">'IS(Y)'!P35</f>
        <v>104.02827464654558</v>
      </c>
      <c r="P221" s="1788">
        <f ca="1">'IS(Y)'!Q35</f>
        <v>38.407338723391206</v>
      </c>
      <c r="Q221" s="1788">
        <f ca="1">'IS(Y)'!R35</f>
        <v>2.508956961835588</v>
      </c>
      <c r="R221" s="1788">
        <f ca="1">'IS(Y)'!S35</f>
        <v>14.026886443605743</v>
      </c>
      <c r="S221" s="1788">
        <f ca="1">'IS(Y)'!T35</f>
        <v>18.063194828420357</v>
      </c>
      <c r="T221" s="1788">
        <f ca="1">'IS(Y)'!U35</f>
        <v>16.622063481039579</v>
      </c>
      <c r="U221" s="1788">
        <f ca="1">'IS(Y)'!V35</f>
        <v>31.506700302654011</v>
      </c>
      <c r="V221" s="1788">
        <f ca="1">'IS(Y)'!W35</f>
        <v>27.544863386231718</v>
      </c>
      <c r="W221" s="1788">
        <f ca="1">'IS(Y)'!X35</f>
        <v>29.269174727095123</v>
      </c>
      <c r="X221" s="1788">
        <f ca="1">'IS(Y)'!Y35</f>
        <v>36.192964238958254</v>
      </c>
      <c r="Y221" s="1788">
        <f ca="1">'IS(Y)'!Z35</f>
        <v>35.727008992410482</v>
      </c>
      <c r="Z221" s="1788">
        <f ca="1">'IS(Y)'!AA35</f>
        <v>30.494939602803875</v>
      </c>
      <c r="AA221" s="1788">
        <f ca="1">'IS(Y)'!AB35</f>
        <v>40.05450287038645</v>
      </c>
      <c r="AB221" s="1788">
        <f ca="1">'IS(Y)'!AC35</f>
        <v>38.224882753100964</v>
      </c>
      <c r="AC221" s="1788">
        <f ca="1">'IS(Y)'!AD35</f>
        <v>34.184150299600987</v>
      </c>
      <c r="AD221" s="1788">
        <f ca="1">'IS(Y)'!AE35</f>
        <v>34.803838416247984</v>
      </c>
      <c r="AE221" s="1788">
        <f ca="1">'IS(Y)'!AF35</f>
        <v>47.805622142527405</v>
      </c>
      <c r="AF221" s="1788">
        <f ca="1">'IS(Y)'!AG35</f>
        <v>50.959955760017458</v>
      </c>
      <c r="AG221" s="1788">
        <f ca="1">'IS(Y)'!AH35</f>
        <v>64.233003814061306</v>
      </c>
      <c r="AH221" s="1788">
        <f ca="1">'IS(Y)'!AI35</f>
        <v>62.51361255463442</v>
      </c>
      <c r="AI221" s="1788">
        <f ca="1">'IS(Y)'!AJ35</f>
        <v>63.044878870488063</v>
      </c>
      <c r="AJ221" s="1788">
        <f ca="1">'IS(Y)'!AK35</f>
        <v>69.525735165203358</v>
      </c>
      <c r="AK221" s="1788">
        <f ca="1">'IS(Y)'!AL35</f>
        <v>72.3005507792694</v>
      </c>
      <c r="AL221" s="1788">
        <f ca="1">'IS(Y)'!AM35</f>
        <v>67.87191333002562</v>
      </c>
      <c r="AM221" s="1788">
        <f ca="1">'IS(Y)'!AN35</f>
        <v>76.927641029118462</v>
      </c>
      <c r="AN221" s="1788">
        <f ca="1">'IS(Y)'!AO35</f>
        <v>69.204799082203508</v>
      </c>
      <c r="AO221" s="1788">
        <f ca="1">'IS(Y)'!AP35</f>
        <v>74.768058472809173</v>
      </c>
      <c r="AP221" s="1788">
        <f ca="1">'IS(Y)'!AQ35</f>
        <v>84.197164485708569</v>
      </c>
      <c r="AQ221" s="1788">
        <f ca="1">'IS(Y)'!AR35</f>
        <v>81.536827819660957</v>
      </c>
      <c r="AR221" s="1788">
        <f ca="1">'IS(Y)'!AS35</f>
        <v>82.177005094106988</v>
      </c>
      <c r="AS221" s="1770">
        <f ca="1">'IS(Y)'!AT35</f>
        <v>95.34009146006548</v>
      </c>
      <c r="AT221" s="1770">
        <f ca="1">'IS(Y)'!AU35</f>
        <v>95.649343525215514</v>
      </c>
      <c r="AU221" s="1788">
        <f ca="1">'IS(Y)'!AV35</f>
        <v>97.749373963860293</v>
      </c>
      <c r="AV221" s="1788">
        <f ca="1">'IS(Y)'!AW35</f>
        <v>106.01159626162521</v>
      </c>
      <c r="AW221" s="1788">
        <f ca="1">'IS(Y)'!AX35</f>
        <v>107.12009651208376</v>
      </c>
      <c r="AX221" s="1788">
        <f ca="1">'IS(Y)'!AY35</f>
        <v>-123.97761239101396</v>
      </c>
      <c r="AY221" s="1788">
        <f ca="1">'IS(Y)'!AZ35</f>
        <v>0</v>
      </c>
      <c r="AZ221" s="1788">
        <f ca="1">'IS(Y)'!BA35</f>
        <v>0</v>
      </c>
      <c r="BA221" s="1788">
        <f ca="1">'IS(Y)'!BB35</f>
        <v>0</v>
      </c>
      <c r="BB221" s="1789">
        <f ca="1">'IS(Y)'!BC35</f>
        <v>0</v>
      </c>
      <c r="BC221" s="1781"/>
      <c r="BD221" s="1781"/>
      <c r="BE221" s="1781"/>
    </row>
    <row r="222" spans="2:57" ht="17.100000000000001" customHeight="1">
      <c r="C222" s="307" t="s">
        <v>1390</v>
      </c>
      <c r="D222" s="1364"/>
      <c r="E222" s="1761"/>
      <c r="F222" s="1762"/>
      <c r="G222" s="1762"/>
      <c r="H222" s="1762"/>
      <c r="I222" s="1790"/>
      <c r="J222" s="1790">
        <f ca="1">SUM(J223:J225)</f>
        <v>0</v>
      </c>
      <c r="K222" s="1791">
        <f ca="1">SUM(K223:K226)</f>
        <v>0</v>
      </c>
      <c r="L222" s="1792">
        <f t="shared" ref="L222:BB222" ca="1" si="124">SUM(L223:L226)</f>
        <v>0</v>
      </c>
      <c r="M222" s="1792">
        <f t="shared" ca="1" si="124"/>
        <v>0</v>
      </c>
      <c r="N222" s="1792">
        <f t="shared" ca="1" si="124"/>
        <v>0</v>
      </c>
      <c r="O222" s="1792">
        <f t="shared" ca="1" si="124"/>
        <v>0</v>
      </c>
      <c r="P222" s="1792">
        <f t="shared" ca="1" si="124"/>
        <v>1.7143753410601166</v>
      </c>
      <c r="Q222" s="1792">
        <f t="shared" ca="1" si="124"/>
        <v>1.7866100338578867</v>
      </c>
      <c r="R222" s="1792">
        <f t="shared" ca="1" si="124"/>
        <v>4.4848405613115538</v>
      </c>
      <c r="S222" s="1792">
        <f t="shared" ca="1" si="124"/>
        <v>33.454757323472535</v>
      </c>
      <c r="T222" s="1792">
        <f t="shared" ca="1" si="124"/>
        <v>17.332850540193792</v>
      </c>
      <c r="U222" s="1792">
        <f t="shared" ca="1" si="124"/>
        <v>31.506700302654011</v>
      </c>
      <c r="V222" s="1792">
        <f t="shared" ca="1" si="124"/>
        <v>27.544863386231718</v>
      </c>
      <c r="W222" s="1792">
        <f t="shared" ca="1" si="124"/>
        <v>29.269174727095123</v>
      </c>
      <c r="X222" s="1792">
        <f t="shared" ca="1" si="124"/>
        <v>36.192964238958254</v>
      </c>
      <c r="Y222" s="1792">
        <f t="shared" ca="1" si="124"/>
        <v>28.766823021146138</v>
      </c>
      <c r="Z222" s="1792">
        <f t="shared" ca="1" si="124"/>
        <v>16.112393044335668</v>
      </c>
      <c r="AA222" s="1792">
        <f t="shared" ca="1" si="124"/>
        <v>36.486170037760076</v>
      </c>
      <c r="AB222" s="1792">
        <f t="shared" ca="1" si="124"/>
        <v>19.296275206158633</v>
      </c>
      <c r="AC222" s="1792">
        <f t="shared" ca="1" si="124"/>
        <v>32.103823208902242</v>
      </c>
      <c r="AD222" s="1792">
        <f t="shared" ca="1" si="124"/>
        <v>34.803838416247984</v>
      </c>
      <c r="AE222" s="1792">
        <f t="shared" ca="1" si="124"/>
        <v>47.805622142527412</v>
      </c>
      <c r="AF222" s="1792">
        <f t="shared" ca="1" si="124"/>
        <v>50.959955760017451</v>
      </c>
      <c r="AG222" s="1792">
        <f t="shared" ca="1" si="124"/>
        <v>49.016373467032793</v>
      </c>
      <c r="AH222" s="1792">
        <f t="shared" ca="1" si="124"/>
        <v>67.476011430531955</v>
      </c>
      <c r="AI222" s="1792">
        <f t="shared" ca="1" si="124"/>
        <v>73.299110341619041</v>
      </c>
      <c r="AJ222" s="1792">
        <f t="shared" ca="1" si="124"/>
        <v>84.358230981525011</v>
      </c>
      <c r="AK222" s="1792">
        <f t="shared" ca="1" si="124"/>
        <v>103.38805496294775</v>
      </c>
      <c r="AL222" s="1792">
        <f t="shared" ca="1" si="124"/>
        <v>67.87191333002562</v>
      </c>
      <c r="AM222" s="1792">
        <f t="shared" ca="1" si="124"/>
        <v>76.927641029118462</v>
      </c>
      <c r="AN222" s="1792">
        <f t="shared" ca="1" si="124"/>
        <v>69.204799082203508</v>
      </c>
      <c r="AO222" s="1792">
        <f t="shared" ca="1" si="124"/>
        <v>74.768058472809173</v>
      </c>
      <c r="AP222" s="1792">
        <f t="shared" ca="1" si="124"/>
        <v>84.197164485708569</v>
      </c>
      <c r="AQ222" s="1792">
        <f t="shared" ca="1" si="124"/>
        <v>81.536827819660971</v>
      </c>
      <c r="AR222" s="1792">
        <f t="shared" ca="1" si="124"/>
        <v>82.177005094106974</v>
      </c>
      <c r="AS222" s="1792">
        <f t="shared" ca="1" si="124"/>
        <v>95.34009146006548</v>
      </c>
      <c r="AT222" s="1792">
        <f t="shared" ca="1" si="124"/>
        <v>95.6493435252155</v>
      </c>
      <c r="AU222" s="1792">
        <f t="shared" ca="1" si="124"/>
        <v>97.749373963860307</v>
      </c>
      <c r="AV222" s="1792">
        <f t="shared" ca="1" si="124"/>
        <v>106.01159626162521</v>
      </c>
      <c r="AW222" s="1792">
        <f t="shared" ca="1" si="124"/>
        <v>107.12009651208376</v>
      </c>
      <c r="AX222" s="1792">
        <f t="shared" ca="1" si="124"/>
        <v>0</v>
      </c>
      <c r="AY222" s="1792">
        <f t="shared" ca="1" si="124"/>
        <v>0</v>
      </c>
      <c r="AZ222" s="1792">
        <f t="shared" ca="1" si="124"/>
        <v>0</v>
      </c>
      <c r="BA222" s="1792">
        <f t="shared" ca="1" si="124"/>
        <v>0</v>
      </c>
      <c r="BB222" s="1793">
        <f t="shared" ca="1" si="124"/>
        <v>0</v>
      </c>
      <c r="BC222" s="1781"/>
      <c r="BD222" s="1781"/>
      <c r="BE222" s="1781"/>
    </row>
    <row r="223" spans="2:57" ht="17.100000000000001" customHeight="1">
      <c r="C223" s="391"/>
      <c r="D223" s="342" t="str">
        <f>배당!D16</f>
        <v>주식할인차금상각</v>
      </c>
      <c r="E223" s="1756"/>
      <c r="F223" s="1757"/>
      <c r="G223" s="1757"/>
      <c r="H223" s="1757"/>
      <c r="I223" s="1782">
        <f ca="1">SUM(J223:AU223)</f>
        <v>3.3917389999999994</v>
      </c>
      <c r="J223" s="1782"/>
      <c r="K223" s="1783">
        <f>배당!G16</f>
        <v>0</v>
      </c>
      <c r="L223" s="1784">
        <f ca="1">배당!H16</f>
        <v>0</v>
      </c>
      <c r="M223" s="1784">
        <f ca="1">배당!I16</f>
        <v>0</v>
      </c>
      <c r="N223" s="1784">
        <f ca="1">배당!J16</f>
        <v>0</v>
      </c>
      <c r="O223" s="1784">
        <f ca="1">배당!K16</f>
        <v>0</v>
      </c>
      <c r="P223" s="1784">
        <f ca="1">배당!L16</f>
        <v>1.1305796666666665</v>
      </c>
      <c r="Q223" s="1784">
        <f ca="1">배당!M16</f>
        <v>1.1305796666666665</v>
      </c>
      <c r="R223" s="1784">
        <f ca="1">배당!N16</f>
        <v>1.1305796666666665</v>
      </c>
      <c r="S223" s="1784">
        <f ca="1">배당!O16</f>
        <v>0</v>
      </c>
      <c r="T223" s="1784">
        <f ca="1">배당!P16</f>
        <v>0</v>
      </c>
      <c r="U223" s="1784">
        <f ca="1">배당!Q16</f>
        <v>0</v>
      </c>
      <c r="V223" s="1784">
        <f ca="1">배당!R16</f>
        <v>0</v>
      </c>
      <c r="W223" s="1784">
        <f ca="1">배당!S16</f>
        <v>0</v>
      </c>
      <c r="X223" s="1784">
        <f ca="1">배당!T16</f>
        <v>0</v>
      </c>
      <c r="Y223" s="1784">
        <f ca="1">배당!U16</f>
        <v>0</v>
      </c>
      <c r="Z223" s="1784">
        <f ca="1">배당!V16</f>
        <v>0</v>
      </c>
      <c r="AA223" s="1784">
        <f ca="1">배당!W16</f>
        <v>0</v>
      </c>
      <c r="AB223" s="1784">
        <f ca="1">배당!X16</f>
        <v>0</v>
      </c>
      <c r="AC223" s="1784">
        <f ca="1">배당!Y16</f>
        <v>0</v>
      </c>
      <c r="AD223" s="1784">
        <f ca="1">배당!Z16</f>
        <v>0</v>
      </c>
      <c r="AE223" s="1784">
        <f ca="1">배당!AA16</f>
        <v>0</v>
      </c>
      <c r="AF223" s="1784">
        <f ca="1">배당!AB16</f>
        <v>0</v>
      </c>
      <c r="AG223" s="1784">
        <f ca="1">배당!AC16</f>
        <v>0</v>
      </c>
      <c r="AH223" s="1784">
        <f ca="1">배당!AD16</f>
        <v>0</v>
      </c>
      <c r="AI223" s="1784">
        <f ca="1">배당!AE16</f>
        <v>0</v>
      </c>
      <c r="AJ223" s="1784">
        <f ca="1">배당!AF16</f>
        <v>0</v>
      </c>
      <c r="AK223" s="1784">
        <f ca="1">배당!AG16</f>
        <v>0</v>
      </c>
      <c r="AL223" s="1784">
        <f ca="1">배당!AH16</f>
        <v>0</v>
      </c>
      <c r="AM223" s="1784">
        <f ca="1">배당!AI16</f>
        <v>0</v>
      </c>
      <c r="AN223" s="1784">
        <f ca="1">배당!AJ16</f>
        <v>0</v>
      </c>
      <c r="AO223" s="1784">
        <f ca="1">배당!AK16</f>
        <v>0</v>
      </c>
      <c r="AP223" s="1784">
        <f ca="1">배당!AL16</f>
        <v>0</v>
      </c>
      <c r="AQ223" s="1784">
        <f ca="1">배당!AM16</f>
        <v>0</v>
      </c>
      <c r="AR223" s="1784">
        <f ca="1">배당!AN16</f>
        <v>0</v>
      </c>
      <c r="AS223" s="1784">
        <f ca="1">배당!AO16</f>
        <v>0</v>
      </c>
      <c r="AT223" s="1784">
        <f ca="1">배당!AP16</f>
        <v>0</v>
      </c>
      <c r="AU223" s="1784">
        <f ca="1">배당!AQ16</f>
        <v>0</v>
      </c>
      <c r="AV223" s="1784">
        <f ca="1">배당!AR16</f>
        <v>0</v>
      </c>
      <c r="AW223" s="1784">
        <f ca="1">배당!AS16</f>
        <v>0</v>
      </c>
      <c r="AX223" s="1784">
        <f ca="1">배당!AT16</f>
        <v>0</v>
      </c>
      <c r="AY223" s="1784">
        <f ca="1">배당!AU16</f>
        <v>0</v>
      </c>
      <c r="AZ223" s="1784">
        <f ca="1">배당!AV16</f>
        <v>0</v>
      </c>
      <c r="BA223" s="1784">
        <f ca="1">배당!AW16</f>
        <v>0</v>
      </c>
      <c r="BB223" s="1785">
        <f ca="1">배당!AX16</f>
        <v>0</v>
      </c>
      <c r="BC223" s="1781"/>
      <c r="BD223" s="1781"/>
      <c r="BE223" s="1781"/>
    </row>
    <row r="224" spans="2:57" ht="17.100000000000001" customHeight="1">
      <c r="C224" s="391"/>
      <c r="D224" s="1274" t="str">
        <f>배당!D17</f>
        <v>이익준비금</v>
      </c>
      <c r="E224" s="1750"/>
      <c r="F224" s="1751"/>
      <c r="G224" s="1751"/>
      <c r="H224" s="1751"/>
      <c r="I224" s="1777">
        <f ca="1">SUM(J224:AU224)</f>
        <v>195.76851977655127</v>
      </c>
      <c r="J224" s="1777"/>
      <c r="K224" s="1778">
        <f>배당!G17</f>
        <v>0</v>
      </c>
      <c r="L224" s="1779">
        <f ca="1">배당!H17</f>
        <v>0</v>
      </c>
      <c r="M224" s="1779">
        <f ca="1">배당!I17</f>
        <v>0</v>
      </c>
      <c r="N224" s="1779">
        <f ca="1">배당!J17</f>
        <v>0</v>
      </c>
      <c r="O224" s="1779">
        <f ca="1">배당!K17</f>
        <v>0</v>
      </c>
      <c r="P224" s="1779">
        <f ca="1">배당!L17</f>
        <v>0.58379567439345004</v>
      </c>
      <c r="Q224" s="1779">
        <f ca="1">배당!M17</f>
        <v>0.65603036719122021</v>
      </c>
      <c r="R224" s="1779">
        <f ca="1">배당!N17</f>
        <v>1.7687827680773889</v>
      </c>
      <c r="S224" s="1779">
        <f ca="1">배당!O17</f>
        <v>3.1059585802387955</v>
      </c>
      <c r="T224" s="1779">
        <f ca="1">배당!P17</f>
        <v>1.575713685472163</v>
      </c>
      <c r="U224" s="1779">
        <f ca="1">배당!Q17</f>
        <v>2.8642454820594554</v>
      </c>
      <c r="V224" s="1779">
        <f ca="1">배당!R17</f>
        <v>2.5040784896574291</v>
      </c>
      <c r="W224" s="1779">
        <f ca="1">배당!S17</f>
        <v>2.6608340660995564</v>
      </c>
      <c r="X224" s="1779">
        <f ca="1">배당!T17</f>
        <v>3.2902694762689317</v>
      </c>
      <c r="Y224" s="1779">
        <f ca="1">배당!U17</f>
        <v>3.2479099084009531</v>
      </c>
      <c r="Z224" s="1779">
        <f ca="1">배당!V17</f>
        <v>3.4050114158243834</v>
      </c>
      <c r="AA224" s="1779">
        <f ca="1">배당!W17</f>
        <v>5.5815668545562724</v>
      </c>
      <c r="AB224" s="1779">
        <f ca="1">배당!X17</f>
        <v>5.7396316468599897</v>
      </c>
      <c r="AC224" s="1779">
        <f ca="1">배당!Y17</f>
        <v>7.0930748371729306</v>
      </c>
      <c r="AD224" s="1779">
        <f ca="1">배당!Z17</f>
        <v>7.338530765113453</v>
      </c>
      <c r="AE224" s="1779">
        <f ca="1">배당!AA17</f>
        <v>8.520511103866129</v>
      </c>
      <c r="AF224" s="1779">
        <f ca="1">배당!AB17</f>
        <v>8.8072687054561332</v>
      </c>
      <c r="AG224" s="1779">
        <f ca="1">배당!AC17</f>
        <v>10.013909437641937</v>
      </c>
      <c r="AH224" s="1779">
        <f ca="1">배당!AD17</f>
        <v>11.240931172878449</v>
      </c>
      <c r="AI224" s="1779">
        <f ca="1">배당!AE17</f>
        <v>10.838100940147186</v>
      </c>
      <c r="AJ224" s="1779">
        <f ca="1">배당!AF17</f>
        <v>10.495066833200307</v>
      </c>
      <c r="AK224" s="1779">
        <f ca="1">배당!AG17</f>
        <v>9.3989140875407031</v>
      </c>
      <c r="AL224" s="1779">
        <f ca="1">배당!AH17</f>
        <v>6.170173939093238</v>
      </c>
      <c r="AM224" s="1779">
        <f ca="1">배당!AI17</f>
        <v>6.9934219117380421</v>
      </c>
      <c r="AN224" s="1779">
        <f ca="1">배당!AJ17</f>
        <v>6.2913453711094096</v>
      </c>
      <c r="AO224" s="1779">
        <f ca="1">배당!AK17</f>
        <v>6.7970962248008338</v>
      </c>
      <c r="AP224" s="1779">
        <f ca="1">배당!AL17</f>
        <v>7.6542876805189612</v>
      </c>
      <c r="AQ224" s="1779">
        <f ca="1">배당!AM17</f>
        <v>7.41243889269645</v>
      </c>
      <c r="AR224" s="1779">
        <f ca="1">배당!AN17</f>
        <v>7.4706368267369969</v>
      </c>
      <c r="AS224" s="1779">
        <f ca="1">배당!AO17</f>
        <v>8.6672810418241344</v>
      </c>
      <c r="AT224" s="1779">
        <f ca="1">배당!AP17</f>
        <v>8.6953948659286837</v>
      </c>
      <c r="AU224" s="1779">
        <f ca="1">배당!AQ17</f>
        <v>8.8863067239872997</v>
      </c>
      <c r="AV224" s="1779">
        <f ca="1">배당!AR17</f>
        <v>9.6374178419659273</v>
      </c>
      <c r="AW224" s="1779">
        <f ca="1">배당!AS17</f>
        <v>9.7381905920076139</v>
      </c>
      <c r="AX224" s="1779">
        <f ca="1">배당!AT17</f>
        <v>0</v>
      </c>
      <c r="AY224" s="1779">
        <f ca="1">배당!AU17</f>
        <v>0</v>
      </c>
      <c r="AZ224" s="1779">
        <f ca="1">배당!AV17</f>
        <v>0</v>
      </c>
      <c r="BA224" s="1779">
        <f ca="1">배당!AW17</f>
        <v>0</v>
      </c>
      <c r="BB224" s="1780">
        <f ca="1">배당!AX17</f>
        <v>0</v>
      </c>
      <c r="BC224" s="1781"/>
      <c r="BD224" s="1781"/>
      <c r="BE224" s="1781"/>
    </row>
    <row r="225" spans="3:57" ht="17.100000000000001" customHeight="1">
      <c r="C225" s="391"/>
      <c r="D225" s="1341" t="str">
        <f>배당!D18</f>
        <v>배당금</v>
      </c>
      <c r="E225" s="1761"/>
      <c r="F225" s="1762"/>
      <c r="G225" s="1762"/>
      <c r="H225" s="1762"/>
      <c r="I225" s="1790">
        <f ca="1">SUM(J225:AU225)</f>
        <v>1903.0029389181459</v>
      </c>
      <c r="J225" s="1790">
        <f ca="1">J244*(J218)+MAX(J219*(J218=2059),0)</f>
        <v>0</v>
      </c>
      <c r="K225" s="1791">
        <f ca="1">배당!G18</f>
        <v>0</v>
      </c>
      <c r="L225" s="1792">
        <f ca="1">배당!H18</f>
        <v>0</v>
      </c>
      <c r="M225" s="1792">
        <f ca="1">배당!I18</f>
        <v>0</v>
      </c>
      <c r="N225" s="1792">
        <f ca="1">배당!J18</f>
        <v>0</v>
      </c>
      <c r="O225" s="1792">
        <f ca="1">배당!K18</f>
        <v>0</v>
      </c>
      <c r="P225" s="1792">
        <f ca="1">배당!L18</f>
        <v>0</v>
      </c>
      <c r="Q225" s="1792">
        <f ca="1">배당!M18</f>
        <v>0</v>
      </c>
      <c r="R225" s="1792">
        <f ca="1">배당!N18</f>
        <v>1.585478126567498</v>
      </c>
      <c r="S225" s="1792">
        <f ca="1">배당!O18</f>
        <v>30.34879874323374</v>
      </c>
      <c r="T225" s="1792">
        <f ca="1">배당!P18</f>
        <v>15.75713685472163</v>
      </c>
      <c r="U225" s="1792">
        <f ca="1">배당!Q18</f>
        <v>28.642454820594555</v>
      </c>
      <c r="V225" s="1792">
        <f ca="1">배당!R18</f>
        <v>25.040784896574287</v>
      </c>
      <c r="W225" s="1792">
        <f ca="1">배당!S18</f>
        <v>26.608340660995566</v>
      </c>
      <c r="X225" s="1792">
        <f ca="1">배당!T18</f>
        <v>32.902694762689322</v>
      </c>
      <c r="Y225" s="1792">
        <f ca="1">배당!U18</f>
        <v>32.479099084009526</v>
      </c>
      <c r="Z225" s="1792">
        <f ca="1">배당!V18</f>
        <v>34.050114158243836</v>
      </c>
      <c r="AA225" s="1792">
        <f ca="1">배당!W18</f>
        <v>55.81566854556273</v>
      </c>
      <c r="AB225" s="1792">
        <f ca="1">배당!X18</f>
        <v>57.396316468599899</v>
      </c>
      <c r="AC225" s="1792">
        <f ca="1">배당!Y18</f>
        <v>70.930748371729308</v>
      </c>
      <c r="AD225" s="1792">
        <f ca="1">배당!Z18</f>
        <v>73.385307651134539</v>
      </c>
      <c r="AE225" s="1792">
        <f ca="1">배당!AA18</f>
        <v>85.205111038661286</v>
      </c>
      <c r="AF225" s="1792">
        <f ca="1">배당!AB18</f>
        <v>88.072687054561314</v>
      </c>
      <c r="AG225" s="1792">
        <f ca="1">배당!AC18</f>
        <v>84.922464029390852</v>
      </c>
      <c r="AH225" s="1792">
        <f ca="1">배당!AD18</f>
        <v>102.15508025765351</v>
      </c>
      <c r="AI225" s="1792">
        <f ca="1">배당!AE18</f>
        <v>108.38100940147186</v>
      </c>
      <c r="AJ225" s="1792">
        <f ca="1">배당!AF18</f>
        <v>104.95066833200305</v>
      </c>
      <c r="AK225" s="1792">
        <f ca="1">배당!AG18</f>
        <v>93.989140875407045</v>
      </c>
      <c r="AL225" s="1792">
        <f ca="1">배당!AH18</f>
        <v>61.701739390932381</v>
      </c>
      <c r="AM225" s="1792">
        <f ca="1">배당!AI18</f>
        <v>69.934219117380422</v>
      </c>
      <c r="AN225" s="1792">
        <f ca="1">배당!AJ18</f>
        <v>62.9134537110941</v>
      </c>
      <c r="AO225" s="1792">
        <f ca="1">배당!AK18</f>
        <v>67.970962248008334</v>
      </c>
      <c r="AP225" s="1792">
        <f ca="1">배당!AL18</f>
        <v>76.542876805189607</v>
      </c>
      <c r="AQ225" s="1792">
        <f ca="1">배당!AM18</f>
        <v>74.124388926964514</v>
      </c>
      <c r="AR225" s="1792">
        <f ca="1">배당!AN18</f>
        <v>74.706368267369982</v>
      </c>
      <c r="AS225" s="1792">
        <f ca="1">배당!AO18</f>
        <v>86.67281041824134</v>
      </c>
      <c r="AT225" s="1792">
        <f ca="1">배당!AP18</f>
        <v>86.953948659286823</v>
      </c>
      <c r="AU225" s="1792">
        <f ca="1">배당!AQ18</f>
        <v>88.863067239873004</v>
      </c>
      <c r="AV225" s="1792">
        <f ca="1">배당!AR18</f>
        <v>96.374178419659287</v>
      </c>
      <c r="AW225" s="1792">
        <f ca="1">배당!AS18</f>
        <v>97.38190592007615</v>
      </c>
      <c r="AX225" s="1792">
        <f ca="1">배당!AT18</f>
        <v>0</v>
      </c>
      <c r="AY225" s="1792">
        <f ca="1">배당!AU18</f>
        <v>0</v>
      </c>
      <c r="AZ225" s="1792">
        <f ca="1">배당!AV18</f>
        <v>0</v>
      </c>
      <c r="BA225" s="1792">
        <f ca="1">배당!AW18</f>
        <v>0</v>
      </c>
      <c r="BB225" s="1793">
        <f ca="1">배당!AX18</f>
        <v>0</v>
      </c>
      <c r="BC225" s="1781"/>
      <c r="BD225" s="1781"/>
      <c r="BE225" s="1781"/>
    </row>
    <row r="226" spans="3:57" ht="17.100000000000001" customHeight="1">
      <c r="C226" s="391"/>
      <c r="D226" s="331" t="str">
        <f>배당!D19</f>
        <v>상환우선주(미지급운영비)</v>
      </c>
      <c r="E226" s="1750"/>
      <c r="F226" s="1751"/>
      <c r="G226" s="1751"/>
      <c r="H226" s="1751"/>
      <c r="I226" s="1777">
        <f ca="1">SUM(J226:AU226)</f>
        <v>-449.58116095633551</v>
      </c>
      <c r="J226" s="1777">
        <v>0</v>
      </c>
      <c r="K226" s="1778">
        <f ca="1">배당!G19</f>
        <v>0</v>
      </c>
      <c r="L226" s="1779">
        <f ca="1">배당!H19</f>
        <v>0</v>
      </c>
      <c r="M226" s="1779">
        <f ca="1">배당!I19</f>
        <v>0</v>
      </c>
      <c r="N226" s="1779">
        <f ca="1">배당!J19</f>
        <v>0</v>
      </c>
      <c r="O226" s="1779">
        <f ca="1">배당!K19</f>
        <v>0</v>
      </c>
      <c r="P226" s="1779">
        <f ca="1">배당!L19</f>
        <v>0</v>
      </c>
      <c r="Q226" s="1779">
        <f ca="1">배당!M19</f>
        <v>0</v>
      </c>
      <c r="R226" s="1779">
        <f ca="1">배당!N19</f>
        <v>0</v>
      </c>
      <c r="S226" s="1779">
        <f ca="1">배당!O19</f>
        <v>0</v>
      </c>
      <c r="T226" s="1779">
        <f ca="1">배당!P19</f>
        <v>0</v>
      </c>
      <c r="U226" s="1779">
        <f ca="1">배당!Q19</f>
        <v>0</v>
      </c>
      <c r="V226" s="1779">
        <f ca="1">배당!R19</f>
        <v>0</v>
      </c>
      <c r="W226" s="1779">
        <f ca="1">배당!S19</f>
        <v>0</v>
      </c>
      <c r="X226" s="1779">
        <f ca="1">배당!T19</f>
        <v>0</v>
      </c>
      <c r="Y226" s="1779">
        <f ca="1">배당!U19</f>
        <v>-6.9601859712643455</v>
      </c>
      <c r="Z226" s="1779">
        <f ca="1">배당!V19</f>
        <v>-21.342732529732551</v>
      </c>
      <c r="AA226" s="1779">
        <f ca="1">배당!W19</f>
        <v>-24.911065362358926</v>
      </c>
      <c r="AB226" s="1779">
        <f ca="1">배당!X19</f>
        <v>-43.839672909301257</v>
      </c>
      <c r="AC226" s="1779">
        <f ca="1">배당!Y19</f>
        <v>-45.92</v>
      </c>
      <c r="AD226" s="1779">
        <f ca="1">배당!Z19</f>
        <v>-45.92</v>
      </c>
      <c r="AE226" s="1779">
        <f ca="1">배당!AA19</f>
        <v>-45.92</v>
      </c>
      <c r="AF226" s="1779">
        <f ca="1">배당!AB19</f>
        <v>-45.92</v>
      </c>
      <c r="AG226" s="1779">
        <f ca="1">배당!AC19</f>
        <v>-45.92</v>
      </c>
      <c r="AH226" s="1779">
        <f ca="1">배당!AD19</f>
        <v>-45.92</v>
      </c>
      <c r="AI226" s="1779">
        <f ca="1">배당!AE19</f>
        <v>-45.92</v>
      </c>
      <c r="AJ226" s="1779">
        <f ca="1">배당!AF19</f>
        <v>-31.087504183678348</v>
      </c>
      <c r="AK226" s="1779">
        <f ca="1">배당!AG19</f>
        <v>0</v>
      </c>
      <c r="AL226" s="1779">
        <f ca="1">배당!AH19</f>
        <v>0</v>
      </c>
      <c r="AM226" s="1779">
        <f ca="1">배당!AI19</f>
        <v>0</v>
      </c>
      <c r="AN226" s="1779">
        <f ca="1">배당!AJ19</f>
        <v>0</v>
      </c>
      <c r="AO226" s="1779">
        <f ca="1">배당!AK19</f>
        <v>0</v>
      </c>
      <c r="AP226" s="1779">
        <f ca="1">배당!AL19</f>
        <v>0</v>
      </c>
      <c r="AQ226" s="1779">
        <f ca="1">배당!AM19</f>
        <v>0</v>
      </c>
      <c r="AR226" s="1779">
        <f ca="1">배당!AN19</f>
        <v>0</v>
      </c>
      <c r="AS226" s="1779">
        <f ca="1">배당!AO19</f>
        <v>0</v>
      </c>
      <c r="AT226" s="1779">
        <f ca="1">배당!AP19</f>
        <v>0</v>
      </c>
      <c r="AU226" s="1779">
        <f ca="1">배당!AQ19</f>
        <v>0</v>
      </c>
      <c r="AV226" s="1779">
        <f ca="1">배당!AR19</f>
        <v>0</v>
      </c>
      <c r="AW226" s="1779">
        <f ca="1">배당!AS19</f>
        <v>0</v>
      </c>
      <c r="AX226" s="1779">
        <f ca="1">배당!AT19</f>
        <v>0</v>
      </c>
      <c r="AY226" s="1779">
        <f ca="1">배당!AU19</f>
        <v>0</v>
      </c>
      <c r="AZ226" s="1779">
        <f ca="1">배당!AV19</f>
        <v>0</v>
      </c>
      <c r="BA226" s="1779">
        <f ca="1">배당!AW19</f>
        <v>0</v>
      </c>
      <c r="BB226" s="1780">
        <f ca="1">배당!AX19</f>
        <v>0</v>
      </c>
      <c r="BC226" s="1781"/>
      <c r="BD226" s="1781"/>
      <c r="BE226" s="1781"/>
    </row>
    <row r="227" spans="3:57" ht="17.100000000000001" customHeight="1">
      <c r="C227" s="930" t="s">
        <v>1391</v>
      </c>
      <c r="D227" s="770"/>
      <c r="E227" s="1794"/>
      <c r="F227" s="1795"/>
      <c r="G227" s="1795"/>
      <c r="H227" s="1795"/>
      <c r="I227" s="1796"/>
      <c r="J227" s="1796">
        <f t="shared" ref="J227:AW227" ca="1" si="125">J219-J222</f>
        <v>-432.98638123581247</v>
      </c>
      <c r="K227" s="1797">
        <f ca="1">K219-K222</f>
        <v>-368.09849706</v>
      </c>
      <c r="L227" s="1798">
        <f t="shared" ca="1" si="125"/>
        <v>-299.31478533484682</v>
      </c>
      <c r="M227" s="1798">
        <f t="shared" ca="1" si="125"/>
        <v>-227.29039458078276</v>
      </c>
      <c r="N227" s="1798">
        <f t="shared" ca="1" si="125"/>
        <v>-134.88328128494217</v>
      </c>
      <c r="O227" s="1798">
        <f t="shared" ca="1" si="125"/>
        <v>-30.855006638396588</v>
      </c>
      <c r="P227" s="1798">
        <f t="shared" ca="1" si="125"/>
        <v>5.8379567439345008</v>
      </c>
      <c r="Q227" s="1798">
        <f t="shared" ca="1" si="125"/>
        <v>6.5603036719122017</v>
      </c>
      <c r="R227" s="1798">
        <f t="shared" ca="1" si="125"/>
        <v>16.102349554206391</v>
      </c>
      <c r="S227" s="1798">
        <f t="shared" ca="1" si="125"/>
        <v>0.71078705915421381</v>
      </c>
      <c r="T227" s="1798">
        <f t="shared" ca="1" si="125"/>
        <v>0</v>
      </c>
      <c r="U227" s="1798">
        <f t="shared" ca="1" si="125"/>
        <v>0</v>
      </c>
      <c r="V227" s="1798">
        <f t="shared" ca="1" si="125"/>
        <v>0</v>
      </c>
      <c r="W227" s="1798">
        <f t="shared" ca="1" si="125"/>
        <v>0</v>
      </c>
      <c r="X227" s="1798">
        <f t="shared" ca="1" si="125"/>
        <v>0</v>
      </c>
      <c r="Y227" s="1798">
        <f t="shared" ca="1" si="125"/>
        <v>6.9601859712643446</v>
      </c>
      <c r="Z227" s="1798">
        <f t="shared" ca="1" si="125"/>
        <v>21.342732529732551</v>
      </c>
      <c r="AA227" s="1798">
        <f t="shared" ca="1" si="125"/>
        <v>24.911065362358926</v>
      </c>
      <c r="AB227" s="1798">
        <f t="shared" ca="1" si="125"/>
        <v>43.839672909301257</v>
      </c>
      <c r="AC227" s="1798">
        <f t="shared" ca="1" si="125"/>
        <v>45.92</v>
      </c>
      <c r="AD227" s="1798">
        <f t="shared" ca="1" si="125"/>
        <v>45.92</v>
      </c>
      <c r="AE227" s="1798">
        <f t="shared" ca="1" si="125"/>
        <v>45.92</v>
      </c>
      <c r="AF227" s="1798">
        <f t="shared" ca="1" si="125"/>
        <v>45.92</v>
      </c>
      <c r="AG227" s="1798">
        <f t="shared" ca="1" si="125"/>
        <v>61.136630347028515</v>
      </c>
      <c r="AH227" s="1798">
        <f t="shared" ca="1" si="125"/>
        <v>56.17423147113098</v>
      </c>
      <c r="AI227" s="1798">
        <f t="shared" ca="1" si="125"/>
        <v>45.92</v>
      </c>
      <c r="AJ227" s="1798">
        <f t="shared" ca="1" si="125"/>
        <v>31.087504183678348</v>
      </c>
      <c r="AK227" s="1798">
        <f t="shared" ca="1" si="125"/>
        <v>0</v>
      </c>
      <c r="AL227" s="1798">
        <f t="shared" ca="1" si="125"/>
        <v>0</v>
      </c>
      <c r="AM227" s="1798">
        <f t="shared" ca="1" si="125"/>
        <v>0</v>
      </c>
      <c r="AN227" s="1798">
        <f t="shared" ca="1" si="125"/>
        <v>0</v>
      </c>
      <c r="AO227" s="1798">
        <f t="shared" ca="1" si="125"/>
        <v>0</v>
      </c>
      <c r="AP227" s="1798">
        <f t="shared" ca="1" si="125"/>
        <v>0</v>
      </c>
      <c r="AQ227" s="1798">
        <f t="shared" ca="1" si="125"/>
        <v>0</v>
      </c>
      <c r="AR227" s="1798">
        <f t="shared" ca="1" si="125"/>
        <v>0</v>
      </c>
      <c r="AS227" s="1798">
        <f t="shared" ca="1" si="125"/>
        <v>0</v>
      </c>
      <c r="AT227" s="1798">
        <f t="shared" ca="1" si="125"/>
        <v>0</v>
      </c>
      <c r="AU227" s="1798">
        <f t="shared" ca="1" si="125"/>
        <v>0</v>
      </c>
      <c r="AV227" s="1798">
        <f t="shared" ca="1" si="125"/>
        <v>0</v>
      </c>
      <c r="AW227" s="1798">
        <f t="shared" ca="1" si="125"/>
        <v>0</v>
      </c>
      <c r="AX227" s="1798">
        <v>0</v>
      </c>
      <c r="AY227" s="1798">
        <f ca="1">AY219-AY222</f>
        <v>0</v>
      </c>
      <c r="AZ227" s="1798">
        <f ca="1">AZ219-AZ222</f>
        <v>0</v>
      </c>
      <c r="BA227" s="1798">
        <f ca="1">BA219-BA222</f>
        <v>0</v>
      </c>
      <c r="BB227" s="1799">
        <f ca="1">BB219-BB222</f>
        <v>0</v>
      </c>
      <c r="BC227" s="1781"/>
      <c r="BD227" s="1781"/>
      <c r="BE227" s="1781"/>
    </row>
    <row r="228" spans="3:57" ht="17.100000000000001" customHeight="1">
      <c r="C228" s="758"/>
      <c r="D228" s="770"/>
      <c r="E228" s="1800"/>
      <c r="F228" s="1800"/>
      <c r="G228" s="1800"/>
      <c r="H228" s="1800"/>
      <c r="I228" s="1799"/>
      <c r="J228" s="1799"/>
      <c r="K228" s="1799"/>
      <c r="L228" s="1799"/>
      <c r="M228" s="1799"/>
      <c r="N228" s="1799"/>
      <c r="O228" s="1799"/>
      <c r="P228" s="1799"/>
      <c r="Q228" s="1799"/>
      <c r="R228" s="1799"/>
      <c r="S228" s="1799"/>
      <c r="T228" s="1799"/>
      <c r="U228" s="1799"/>
      <c r="V228" s="1799"/>
      <c r="W228" s="1799"/>
      <c r="X228" s="1799"/>
      <c r="Y228" s="1799"/>
      <c r="Z228" s="1799"/>
      <c r="AA228" s="1799"/>
      <c r="AB228" s="1799"/>
      <c r="AC228" s="1799"/>
      <c r="AD228" s="1799"/>
      <c r="AE228" s="1799"/>
      <c r="AF228" s="1799"/>
      <c r="AG228" s="1799"/>
      <c r="AH228" s="1799"/>
      <c r="AI228" s="1799"/>
      <c r="AJ228" s="1799"/>
      <c r="AK228" s="1799"/>
      <c r="AL228" s="1799"/>
      <c r="AM228" s="1799"/>
      <c r="AN228" s="1799"/>
      <c r="AO228" s="1799"/>
      <c r="AP228" s="1799"/>
      <c r="AQ228" s="1799"/>
      <c r="AR228" s="1799"/>
      <c r="AS228" s="1799"/>
      <c r="AT228" s="1799"/>
      <c r="AU228" s="1799"/>
      <c r="AV228" s="1799"/>
      <c r="AW228" s="1799"/>
      <c r="AX228" s="1799"/>
      <c r="AY228" s="1799"/>
      <c r="AZ228" s="1799"/>
      <c r="BA228" s="1799"/>
      <c r="BB228" s="1799"/>
      <c r="BC228" s="1781"/>
      <c r="BD228" s="1781"/>
      <c r="BE228" s="1781"/>
    </row>
    <row r="229" spans="3:57" ht="17.100000000000001" customHeight="1">
      <c r="C229" s="717"/>
      <c r="D229" s="718" t="s">
        <v>780</v>
      </c>
      <c r="E229" s="719"/>
      <c r="F229" s="718"/>
      <c r="G229" s="718"/>
      <c r="H229" s="718"/>
      <c r="I229" s="1684" t="s">
        <v>1386</v>
      </c>
      <c r="J229" s="766">
        <f>기준년도</f>
        <v>2019</v>
      </c>
      <c r="K229" s="766">
        <f t="shared" ref="K229:BB229" si="126">J229+1</f>
        <v>2020</v>
      </c>
      <c r="L229" s="766">
        <f t="shared" si="126"/>
        <v>2021</v>
      </c>
      <c r="M229" s="766">
        <f t="shared" si="126"/>
        <v>2022</v>
      </c>
      <c r="N229" s="766">
        <f t="shared" si="126"/>
        <v>2023</v>
      </c>
      <c r="O229" s="766">
        <f t="shared" si="126"/>
        <v>2024</v>
      </c>
      <c r="P229" s="766">
        <f t="shared" si="126"/>
        <v>2025</v>
      </c>
      <c r="Q229" s="766">
        <f t="shared" si="126"/>
        <v>2026</v>
      </c>
      <c r="R229" s="766">
        <f t="shared" si="126"/>
        <v>2027</v>
      </c>
      <c r="S229" s="766">
        <f t="shared" si="126"/>
        <v>2028</v>
      </c>
      <c r="T229" s="766">
        <f t="shared" si="126"/>
        <v>2029</v>
      </c>
      <c r="U229" s="766">
        <f t="shared" si="126"/>
        <v>2030</v>
      </c>
      <c r="V229" s="766">
        <f t="shared" si="126"/>
        <v>2031</v>
      </c>
      <c r="W229" s="766">
        <f t="shared" si="126"/>
        <v>2032</v>
      </c>
      <c r="X229" s="766">
        <f t="shared" si="126"/>
        <v>2033</v>
      </c>
      <c r="Y229" s="766">
        <f t="shared" si="126"/>
        <v>2034</v>
      </c>
      <c r="Z229" s="766">
        <f t="shared" si="126"/>
        <v>2035</v>
      </c>
      <c r="AA229" s="766">
        <f t="shared" si="126"/>
        <v>2036</v>
      </c>
      <c r="AB229" s="766">
        <f t="shared" si="126"/>
        <v>2037</v>
      </c>
      <c r="AC229" s="766">
        <f t="shared" si="126"/>
        <v>2038</v>
      </c>
      <c r="AD229" s="766">
        <f t="shared" si="126"/>
        <v>2039</v>
      </c>
      <c r="AE229" s="766">
        <f t="shared" si="126"/>
        <v>2040</v>
      </c>
      <c r="AF229" s="766">
        <f t="shared" si="126"/>
        <v>2041</v>
      </c>
      <c r="AG229" s="766">
        <f t="shared" si="126"/>
        <v>2042</v>
      </c>
      <c r="AH229" s="766">
        <f t="shared" si="126"/>
        <v>2043</v>
      </c>
      <c r="AI229" s="766">
        <f t="shared" si="126"/>
        <v>2044</v>
      </c>
      <c r="AJ229" s="766">
        <f t="shared" si="126"/>
        <v>2045</v>
      </c>
      <c r="AK229" s="766">
        <f t="shared" si="126"/>
        <v>2046</v>
      </c>
      <c r="AL229" s="766">
        <f t="shared" si="126"/>
        <v>2047</v>
      </c>
      <c r="AM229" s="766">
        <f t="shared" si="126"/>
        <v>2048</v>
      </c>
      <c r="AN229" s="766">
        <f t="shared" si="126"/>
        <v>2049</v>
      </c>
      <c r="AO229" s="766">
        <f t="shared" si="126"/>
        <v>2050</v>
      </c>
      <c r="AP229" s="766">
        <f t="shared" si="126"/>
        <v>2051</v>
      </c>
      <c r="AQ229" s="766">
        <f t="shared" si="126"/>
        <v>2052</v>
      </c>
      <c r="AR229" s="766">
        <f t="shared" si="126"/>
        <v>2053</v>
      </c>
      <c r="AS229" s="766">
        <f t="shared" si="126"/>
        <v>2054</v>
      </c>
      <c r="AT229" s="766">
        <f t="shared" si="126"/>
        <v>2055</v>
      </c>
      <c r="AU229" s="766">
        <f t="shared" si="126"/>
        <v>2056</v>
      </c>
      <c r="AV229" s="766">
        <f t="shared" si="126"/>
        <v>2057</v>
      </c>
      <c r="AW229" s="766">
        <f t="shared" si="126"/>
        <v>2058</v>
      </c>
      <c r="AX229" s="766">
        <f t="shared" si="126"/>
        <v>2059</v>
      </c>
      <c r="AY229" s="766">
        <f t="shared" si="126"/>
        <v>2060</v>
      </c>
      <c r="AZ229" s="766">
        <f t="shared" si="126"/>
        <v>2061</v>
      </c>
      <c r="BA229" s="766">
        <f t="shared" si="126"/>
        <v>2062</v>
      </c>
      <c r="BB229" s="766">
        <f t="shared" si="126"/>
        <v>2063</v>
      </c>
    </row>
    <row r="230" spans="3:57" ht="17.100000000000001" customHeight="1">
      <c r="C230" s="307" t="s">
        <v>1392</v>
      </c>
      <c r="D230" s="1801"/>
      <c r="E230" s="1750"/>
      <c r="F230" s="1750"/>
      <c r="G230" s="1750"/>
      <c r="H230" s="1750"/>
      <c r="I230" s="1753"/>
      <c r="J230" s="1752"/>
      <c r="K230" s="1752"/>
      <c r="L230" s="1753"/>
      <c r="M230" s="1753"/>
      <c r="N230" s="1753"/>
      <c r="O230" s="1753"/>
      <c r="P230" s="1753"/>
      <c r="Q230" s="1753"/>
      <c r="R230" s="1753"/>
      <c r="S230" s="1753"/>
      <c r="T230" s="1753"/>
      <c r="U230" s="1753"/>
      <c r="V230" s="1753"/>
      <c r="W230" s="1753"/>
      <c r="X230" s="1753"/>
      <c r="Y230" s="1753"/>
      <c r="Z230" s="1753"/>
      <c r="AA230" s="1753"/>
      <c r="AB230" s="1753"/>
      <c r="AC230" s="1753"/>
      <c r="AD230" s="1753"/>
      <c r="AE230" s="1753"/>
      <c r="AF230" s="1753"/>
      <c r="AG230" s="1753"/>
      <c r="AH230" s="1753"/>
      <c r="AI230" s="1753"/>
      <c r="AJ230" s="1753"/>
      <c r="AK230" s="1753"/>
      <c r="AL230" s="1753"/>
      <c r="AM230" s="1753"/>
      <c r="AN230" s="1753"/>
      <c r="AO230" s="1753"/>
      <c r="AP230" s="1753"/>
      <c r="AQ230" s="1753"/>
      <c r="AR230" s="1753"/>
      <c r="AS230" s="1753"/>
      <c r="AT230" s="1753"/>
      <c r="AU230" s="1753"/>
      <c r="AV230" s="1753"/>
      <c r="AW230" s="1753"/>
      <c r="AX230" s="1753"/>
      <c r="AY230" s="1753"/>
      <c r="AZ230" s="1753"/>
      <c r="BA230" s="1753"/>
      <c r="BB230" s="1754"/>
      <c r="BC230" s="1755"/>
      <c r="BD230" s="1755"/>
      <c r="BE230" s="1755"/>
    </row>
    <row r="231" spans="3:57" ht="17.100000000000001" customHeight="1">
      <c r="C231" s="307"/>
      <c r="D231" s="342" t="s">
        <v>1393</v>
      </c>
      <c r="E231" s="1756"/>
      <c r="F231" s="1756"/>
      <c r="G231" s="1756"/>
      <c r="H231" s="1756"/>
      <c r="I231" s="1759"/>
      <c r="J231" s="1758">
        <v>0</v>
      </c>
      <c r="K231" s="1758">
        <f t="shared" ref="K231:BB231" si="127">SUM(J31,J47:J47)</f>
        <v>0</v>
      </c>
      <c r="L231" s="1759">
        <f t="shared" si="127"/>
        <v>0</v>
      </c>
      <c r="M231" s="1759">
        <f t="shared" ca="1" si="127"/>
        <v>0</v>
      </c>
      <c r="N231" s="1759">
        <f t="shared" ca="1" si="127"/>
        <v>0</v>
      </c>
      <c r="O231" s="1759">
        <f t="shared" ca="1" si="127"/>
        <v>0</v>
      </c>
      <c r="P231" s="1759">
        <f t="shared" ca="1" si="127"/>
        <v>0</v>
      </c>
      <c r="Q231" s="1759">
        <f t="shared" ca="1" si="127"/>
        <v>0</v>
      </c>
      <c r="R231" s="1759">
        <f t="shared" ca="1" si="127"/>
        <v>0</v>
      </c>
      <c r="S231" s="1759">
        <f t="shared" ca="1" si="127"/>
        <v>0</v>
      </c>
      <c r="T231" s="1759">
        <f t="shared" ca="1" si="127"/>
        <v>0</v>
      </c>
      <c r="U231" s="1759">
        <f t="shared" ca="1" si="127"/>
        <v>0</v>
      </c>
      <c r="V231" s="1759">
        <f t="shared" ca="1" si="127"/>
        <v>0</v>
      </c>
      <c r="W231" s="1759">
        <f t="shared" ca="1" si="127"/>
        <v>0</v>
      </c>
      <c r="X231" s="1759">
        <f t="shared" ca="1" si="127"/>
        <v>0</v>
      </c>
      <c r="Y231" s="1759">
        <f t="shared" ca="1" si="127"/>
        <v>0</v>
      </c>
      <c r="Z231" s="1759">
        <f t="shared" ca="1" si="127"/>
        <v>0</v>
      </c>
      <c r="AA231" s="1759">
        <f t="shared" ca="1" si="127"/>
        <v>0</v>
      </c>
      <c r="AB231" s="1759">
        <f t="shared" ca="1" si="127"/>
        <v>0</v>
      </c>
      <c r="AC231" s="1759">
        <f t="shared" ca="1" si="127"/>
        <v>0</v>
      </c>
      <c r="AD231" s="1759">
        <f t="shared" ca="1" si="127"/>
        <v>0</v>
      </c>
      <c r="AE231" s="1759">
        <f t="shared" ca="1" si="127"/>
        <v>0</v>
      </c>
      <c r="AF231" s="1759">
        <f t="shared" ca="1" si="127"/>
        <v>0</v>
      </c>
      <c r="AG231" s="1759">
        <f t="shared" ca="1" si="127"/>
        <v>0</v>
      </c>
      <c r="AH231" s="1759">
        <f t="shared" ca="1" si="127"/>
        <v>0</v>
      </c>
      <c r="AI231" s="1759">
        <f t="shared" ca="1" si="127"/>
        <v>0</v>
      </c>
      <c r="AJ231" s="1759">
        <f t="shared" ca="1" si="127"/>
        <v>0</v>
      </c>
      <c r="AK231" s="1759">
        <f t="shared" ca="1" si="127"/>
        <v>0</v>
      </c>
      <c r="AL231" s="1759">
        <f t="shared" ca="1" si="127"/>
        <v>0</v>
      </c>
      <c r="AM231" s="1759">
        <f t="shared" ca="1" si="127"/>
        <v>0</v>
      </c>
      <c r="AN231" s="1759">
        <f t="shared" ca="1" si="127"/>
        <v>0</v>
      </c>
      <c r="AO231" s="1759">
        <f t="shared" ca="1" si="127"/>
        <v>0</v>
      </c>
      <c r="AP231" s="1759">
        <f t="shared" ca="1" si="127"/>
        <v>0</v>
      </c>
      <c r="AQ231" s="1759">
        <f t="shared" ca="1" si="127"/>
        <v>0</v>
      </c>
      <c r="AR231" s="1759">
        <f t="shared" ca="1" si="127"/>
        <v>0</v>
      </c>
      <c r="AS231" s="1759">
        <f t="shared" ca="1" si="127"/>
        <v>0</v>
      </c>
      <c r="AT231" s="1759">
        <f t="shared" ca="1" si="127"/>
        <v>0</v>
      </c>
      <c r="AU231" s="1759">
        <f t="shared" ca="1" si="127"/>
        <v>0</v>
      </c>
      <c r="AV231" s="1759">
        <f t="shared" ca="1" si="127"/>
        <v>0</v>
      </c>
      <c r="AW231" s="1759">
        <f t="shared" ca="1" si="127"/>
        <v>0</v>
      </c>
      <c r="AX231" s="1759">
        <f t="shared" ca="1" si="127"/>
        <v>0</v>
      </c>
      <c r="AY231" s="1759">
        <f t="shared" ca="1" si="127"/>
        <v>0</v>
      </c>
      <c r="AZ231" s="1759">
        <f t="shared" si="127"/>
        <v>0</v>
      </c>
      <c r="BA231" s="1759">
        <f t="shared" si="127"/>
        <v>0</v>
      </c>
      <c r="BB231" s="1760">
        <f t="shared" si="127"/>
        <v>0</v>
      </c>
      <c r="BC231" s="1802"/>
      <c r="BD231" s="1802"/>
      <c r="BE231" s="1802"/>
    </row>
    <row r="232" spans="3:57" ht="17.100000000000001" customHeight="1">
      <c r="C232" s="307"/>
      <c r="D232" s="1341" t="s">
        <v>1394</v>
      </c>
      <c r="E232" s="1761"/>
      <c r="F232" s="1761"/>
      <c r="G232" s="1761"/>
      <c r="H232" s="1761"/>
      <c r="I232" s="1764"/>
      <c r="J232" s="1803">
        <f>1*(J231&lt;0.0001)</f>
        <v>1</v>
      </c>
      <c r="K232" s="1803">
        <f t="shared" ref="K232:BB232" si="128">1*(K231&lt;0.0001)</f>
        <v>1</v>
      </c>
      <c r="L232" s="1804">
        <f t="shared" si="128"/>
        <v>1</v>
      </c>
      <c r="M232" s="1804">
        <f t="shared" ca="1" si="128"/>
        <v>1</v>
      </c>
      <c r="N232" s="1804">
        <f t="shared" ca="1" si="128"/>
        <v>1</v>
      </c>
      <c r="O232" s="1804">
        <f t="shared" ca="1" si="128"/>
        <v>1</v>
      </c>
      <c r="P232" s="1804">
        <f t="shared" ca="1" si="128"/>
        <v>1</v>
      </c>
      <c r="Q232" s="1804">
        <f t="shared" ca="1" si="128"/>
        <v>1</v>
      </c>
      <c r="R232" s="1804">
        <f t="shared" ca="1" si="128"/>
        <v>1</v>
      </c>
      <c r="S232" s="1804">
        <f t="shared" ca="1" si="128"/>
        <v>1</v>
      </c>
      <c r="T232" s="1804">
        <f t="shared" ca="1" si="128"/>
        <v>1</v>
      </c>
      <c r="U232" s="1804">
        <f t="shared" ca="1" si="128"/>
        <v>1</v>
      </c>
      <c r="V232" s="1804">
        <f t="shared" ca="1" si="128"/>
        <v>1</v>
      </c>
      <c r="W232" s="1804">
        <f t="shared" ca="1" si="128"/>
        <v>1</v>
      </c>
      <c r="X232" s="1804">
        <f t="shared" ca="1" si="128"/>
        <v>1</v>
      </c>
      <c r="Y232" s="1804">
        <f t="shared" ca="1" si="128"/>
        <v>1</v>
      </c>
      <c r="Z232" s="1804">
        <f t="shared" ca="1" si="128"/>
        <v>1</v>
      </c>
      <c r="AA232" s="1804">
        <f t="shared" ca="1" si="128"/>
        <v>1</v>
      </c>
      <c r="AB232" s="1804">
        <f t="shared" ca="1" si="128"/>
        <v>1</v>
      </c>
      <c r="AC232" s="1804">
        <f t="shared" ca="1" si="128"/>
        <v>1</v>
      </c>
      <c r="AD232" s="1804">
        <f t="shared" ca="1" si="128"/>
        <v>1</v>
      </c>
      <c r="AE232" s="1804">
        <f t="shared" ca="1" si="128"/>
        <v>1</v>
      </c>
      <c r="AF232" s="1804">
        <f t="shared" ca="1" si="128"/>
        <v>1</v>
      </c>
      <c r="AG232" s="1804">
        <f t="shared" ca="1" si="128"/>
        <v>1</v>
      </c>
      <c r="AH232" s="1804">
        <f t="shared" ca="1" si="128"/>
        <v>1</v>
      </c>
      <c r="AI232" s="1804">
        <f t="shared" ca="1" si="128"/>
        <v>1</v>
      </c>
      <c r="AJ232" s="1804">
        <f t="shared" ca="1" si="128"/>
        <v>1</v>
      </c>
      <c r="AK232" s="1804">
        <f t="shared" ca="1" si="128"/>
        <v>1</v>
      </c>
      <c r="AL232" s="1804">
        <f t="shared" ca="1" si="128"/>
        <v>1</v>
      </c>
      <c r="AM232" s="1804">
        <f t="shared" ca="1" si="128"/>
        <v>1</v>
      </c>
      <c r="AN232" s="1804">
        <f t="shared" ca="1" si="128"/>
        <v>1</v>
      </c>
      <c r="AO232" s="1804">
        <f t="shared" ca="1" si="128"/>
        <v>1</v>
      </c>
      <c r="AP232" s="1804">
        <f t="shared" ca="1" si="128"/>
        <v>1</v>
      </c>
      <c r="AQ232" s="1804">
        <f t="shared" ca="1" si="128"/>
        <v>1</v>
      </c>
      <c r="AR232" s="1804">
        <f t="shared" ca="1" si="128"/>
        <v>1</v>
      </c>
      <c r="AS232" s="1804">
        <f t="shared" ca="1" si="128"/>
        <v>1</v>
      </c>
      <c r="AT232" s="1804">
        <f t="shared" ca="1" si="128"/>
        <v>1</v>
      </c>
      <c r="AU232" s="1804">
        <f t="shared" ca="1" si="128"/>
        <v>1</v>
      </c>
      <c r="AV232" s="1804">
        <f t="shared" ca="1" si="128"/>
        <v>1</v>
      </c>
      <c r="AW232" s="1804">
        <f t="shared" ca="1" si="128"/>
        <v>1</v>
      </c>
      <c r="AX232" s="1804">
        <f t="shared" ca="1" si="128"/>
        <v>1</v>
      </c>
      <c r="AY232" s="1804">
        <f t="shared" ca="1" si="128"/>
        <v>1</v>
      </c>
      <c r="AZ232" s="1804">
        <f t="shared" si="128"/>
        <v>1</v>
      </c>
      <c r="BA232" s="1804">
        <f t="shared" si="128"/>
        <v>1</v>
      </c>
      <c r="BB232" s="1805">
        <f t="shared" si="128"/>
        <v>1</v>
      </c>
      <c r="BC232" s="1802"/>
      <c r="BD232" s="1802"/>
      <c r="BE232" s="1802"/>
    </row>
    <row r="233" spans="3:57" ht="17.100000000000001" customHeight="1">
      <c r="C233" s="307" t="s">
        <v>1395</v>
      </c>
      <c r="D233" s="1801"/>
      <c r="E233" s="1750"/>
      <c r="F233" s="1750"/>
      <c r="G233" s="1750"/>
      <c r="H233" s="1750"/>
      <c r="I233" s="1753"/>
      <c r="J233" s="1752"/>
      <c r="K233" s="1752"/>
      <c r="L233" s="1753"/>
      <c r="M233" s="1753"/>
      <c r="N233" s="1753"/>
      <c r="O233" s="1753"/>
      <c r="P233" s="1753"/>
      <c r="Q233" s="1753"/>
      <c r="R233" s="1753"/>
      <c r="S233" s="1753"/>
      <c r="T233" s="1753"/>
      <c r="U233" s="1753"/>
      <c r="V233" s="1753"/>
      <c r="W233" s="1753"/>
      <c r="X233" s="1753"/>
      <c r="Y233" s="1753"/>
      <c r="Z233" s="1753"/>
      <c r="AA233" s="1753"/>
      <c r="AB233" s="1753"/>
      <c r="AC233" s="1753"/>
      <c r="AD233" s="1753"/>
      <c r="AE233" s="1753"/>
      <c r="AF233" s="1753"/>
      <c r="AG233" s="1753"/>
      <c r="AH233" s="1753"/>
      <c r="AI233" s="1753"/>
      <c r="AJ233" s="1753"/>
      <c r="AK233" s="1753"/>
      <c r="AL233" s="1753"/>
      <c r="AM233" s="1753"/>
      <c r="AN233" s="1753"/>
      <c r="AO233" s="1753"/>
      <c r="AP233" s="1753"/>
      <c r="AQ233" s="1753"/>
      <c r="AR233" s="1753"/>
      <c r="AS233" s="1753"/>
      <c r="AT233" s="1753"/>
      <c r="AU233" s="1753"/>
      <c r="AV233" s="1753"/>
      <c r="AW233" s="1753"/>
      <c r="AX233" s="1753"/>
      <c r="AY233" s="1753"/>
      <c r="AZ233" s="1753"/>
      <c r="BA233" s="1753"/>
      <c r="BB233" s="1754"/>
      <c r="BC233" s="1755"/>
      <c r="BD233" s="1755"/>
      <c r="BE233" s="1755"/>
    </row>
    <row r="234" spans="3:57" ht="17.100000000000001" customHeight="1">
      <c r="C234" s="307"/>
      <c r="D234" s="342" t="s">
        <v>34</v>
      </c>
      <c r="E234" s="1756"/>
      <c r="F234" s="1756"/>
      <c r="G234" s="1756"/>
      <c r="H234" s="1756"/>
      <c r="I234" s="1759"/>
      <c r="J234" s="1806"/>
      <c r="K234" s="1806">
        <f ca="1">'CF(Y)'!K48</f>
        <v>1.4272039887706607</v>
      </c>
      <c r="L234" s="1807">
        <f ca="1">'CF(Y)'!L48</f>
        <v>2.5326680277842399</v>
      </c>
      <c r="M234" s="1807">
        <f ca="1">'CF(Y)'!M48</f>
        <v>1.5881199774157337</v>
      </c>
      <c r="N234" s="1807">
        <f ca="1">'CF(Y)'!N48</f>
        <v>1.5727842086829662</v>
      </c>
      <c r="O234" s="1807">
        <f ca="1">'CF(Y)'!O48</f>
        <v>2.1820473062767372</v>
      </c>
      <c r="P234" s="1807">
        <f ca="1">'CF(Y)'!P48</f>
        <v>2.0094375132625144</v>
      </c>
      <c r="Q234" s="1807">
        <f ca="1">'CF(Y)'!Q48</f>
        <v>1.3735820263812935</v>
      </c>
      <c r="R234" s="1807">
        <f ca="1">'CF(Y)'!R48</f>
        <v>1.8178923974804437</v>
      </c>
      <c r="S234" s="1807">
        <f ca="1">'CF(Y)'!S48</f>
        <v>7.0181792893274988</v>
      </c>
      <c r="T234" s="1807">
        <f ca="1">'CF(Y)'!T48</f>
        <v>7.261227535274859</v>
      </c>
      <c r="U234" s="1807">
        <f ca="1">'CF(Y)'!U48</f>
        <v>10.301621284739729</v>
      </c>
      <c r="V234" s="1807" t="str">
        <f ca="1">'CF(Y)'!V48</f>
        <v/>
      </c>
      <c r="W234" s="1807" t="str">
        <f ca="1">'CF(Y)'!W48</f>
        <v/>
      </c>
      <c r="X234" s="1807" t="str">
        <f ca="1">'CF(Y)'!X48</f>
        <v/>
      </c>
      <c r="Y234" s="1807" t="str">
        <f ca="1">'CF(Y)'!Y48</f>
        <v/>
      </c>
      <c r="Z234" s="1807" t="str">
        <f ca="1">'CF(Y)'!Z48</f>
        <v/>
      </c>
      <c r="AA234" s="1807" t="str">
        <f ca="1">'CF(Y)'!AA48</f>
        <v/>
      </c>
      <c r="AB234" s="1807" t="str">
        <f ca="1">'CF(Y)'!AB48</f>
        <v/>
      </c>
      <c r="AC234" s="1807" t="str">
        <f ca="1">'CF(Y)'!AC48</f>
        <v/>
      </c>
      <c r="AD234" s="1807" t="str">
        <f ca="1">'CF(Y)'!AD48</f>
        <v/>
      </c>
      <c r="AE234" s="1807" t="str">
        <f ca="1">'CF(Y)'!AE48</f>
        <v/>
      </c>
      <c r="AF234" s="1807" t="str">
        <f ca="1">'CF(Y)'!AF48</f>
        <v/>
      </c>
      <c r="AG234" s="1807" t="str">
        <f ca="1">'CF(Y)'!AG48</f>
        <v/>
      </c>
      <c r="AH234" s="1807" t="str">
        <f ca="1">'CF(Y)'!AH48</f>
        <v/>
      </c>
      <c r="AI234" s="1807" t="str">
        <f ca="1">'CF(Y)'!AI48</f>
        <v/>
      </c>
      <c r="AJ234" s="1807" t="str">
        <f ca="1">'CF(Y)'!AJ48</f>
        <v/>
      </c>
      <c r="AK234" s="1807" t="str">
        <f ca="1">'CF(Y)'!AK48</f>
        <v/>
      </c>
      <c r="AL234" s="1807" t="str">
        <f ca="1">'CF(Y)'!AL48</f>
        <v/>
      </c>
      <c r="AM234" s="1807" t="str">
        <f ca="1">'CF(Y)'!AM48</f>
        <v/>
      </c>
      <c r="AN234" s="1807" t="str">
        <f ca="1">'CF(Y)'!AN48</f>
        <v/>
      </c>
      <c r="AO234" s="1807" t="str">
        <f ca="1">'CF(Y)'!AO48</f>
        <v/>
      </c>
      <c r="AP234" s="1807" t="str">
        <f ca="1">'CF(Y)'!AP48</f>
        <v/>
      </c>
      <c r="AQ234" s="1807" t="str">
        <f ca="1">'CF(Y)'!AQ48</f>
        <v/>
      </c>
      <c r="AR234" s="1807" t="str">
        <f ca="1">'CF(Y)'!AR48</f>
        <v/>
      </c>
      <c r="AS234" s="1807" t="str">
        <f ca="1">'CF(Y)'!AS48</f>
        <v/>
      </c>
      <c r="AT234" s="1807" t="str">
        <f ca="1">'CF(Y)'!AT48</f>
        <v/>
      </c>
      <c r="AU234" s="1807" t="str">
        <f ca="1">'CF(Y)'!AU48</f>
        <v/>
      </c>
      <c r="AV234" s="1807" t="str">
        <f ca="1">'CF(Y)'!AV48</f>
        <v/>
      </c>
      <c r="AW234" s="1807" t="str">
        <f ca="1">'CF(Y)'!AW48</f>
        <v/>
      </c>
      <c r="AX234" s="1807" t="str">
        <f ca="1">'CF(Y)'!AX48</f>
        <v/>
      </c>
      <c r="AY234" s="1807" t="str">
        <f ca="1">'CF(Y)'!AY48</f>
        <v/>
      </c>
      <c r="AZ234" s="1807" t="str">
        <f>'CF(Y)'!AZ48</f>
        <v/>
      </c>
      <c r="BA234" s="1807" t="str">
        <f>'CF(Y)'!BA48</f>
        <v/>
      </c>
      <c r="BB234" s="1808" t="str">
        <f>'CF(Y)'!BB48</f>
        <v/>
      </c>
      <c r="BC234" s="1802"/>
      <c r="BD234" s="1802"/>
      <c r="BE234" s="1802"/>
    </row>
    <row r="235" spans="3:57" ht="17.100000000000001" customHeight="1">
      <c r="C235" s="307"/>
      <c r="D235" s="1341" t="s">
        <v>1396</v>
      </c>
      <c r="E235" s="1761"/>
      <c r="F235" s="1761"/>
      <c r="G235" s="1761"/>
      <c r="H235" s="1761"/>
      <c r="I235" s="1764"/>
      <c r="J235" s="1803">
        <f t="shared" ref="J235:BB235" ca="1" si="129">단순DSCR</f>
        <v>1.2</v>
      </c>
      <c r="K235" s="1803">
        <f t="shared" ca="1" si="129"/>
        <v>1.2</v>
      </c>
      <c r="L235" s="1804">
        <f t="shared" ca="1" si="129"/>
        <v>1.2</v>
      </c>
      <c r="M235" s="1804">
        <f t="shared" ca="1" si="129"/>
        <v>1.2</v>
      </c>
      <c r="N235" s="1804">
        <f t="shared" ca="1" si="129"/>
        <v>1.2</v>
      </c>
      <c r="O235" s="1804">
        <f t="shared" ca="1" si="129"/>
        <v>1.2</v>
      </c>
      <c r="P235" s="1804">
        <f t="shared" ca="1" si="129"/>
        <v>1.2</v>
      </c>
      <c r="Q235" s="1804">
        <f t="shared" ca="1" si="129"/>
        <v>1.2</v>
      </c>
      <c r="R235" s="1804">
        <f t="shared" ca="1" si="129"/>
        <v>1.2</v>
      </c>
      <c r="S235" s="1804">
        <f t="shared" ca="1" si="129"/>
        <v>1.2</v>
      </c>
      <c r="T235" s="1804">
        <f t="shared" ca="1" si="129"/>
        <v>1.2</v>
      </c>
      <c r="U235" s="1804">
        <f t="shared" ca="1" si="129"/>
        <v>1.2</v>
      </c>
      <c r="V235" s="1804">
        <f t="shared" ca="1" si="129"/>
        <v>1.2</v>
      </c>
      <c r="W235" s="1804">
        <f t="shared" ca="1" si="129"/>
        <v>1.2</v>
      </c>
      <c r="X235" s="1804">
        <f t="shared" ca="1" si="129"/>
        <v>1.2</v>
      </c>
      <c r="Y235" s="1804">
        <f t="shared" ca="1" si="129"/>
        <v>1.2</v>
      </c>
      <c r="Z235" s="1804">
        <f t="shared" ca="1" si="129"/>
        <v>1.2</v>
      </c>
      <c r="AA235" s="1804">
        <f t="shared" ca="1" si="129"/>
        <v>1.2</v>
      </c>
      <c r="AB235" s="1804">
        <f t="shared" ca="1" si="129"/>
        <v>1.2</v>
      </c>
      <c r="AC235" s="1804">
        <f t="shared" ca="1" si="129"/>
        <v>1.2</v>
      </c>
      <c r="AD235" s="1804">
        <f t="shared" ca="1" si="129"/>
        <v>1.2</v>
      </c>
      <c r="AE235" s="1804">
        <f t="shared" ca="1" si="129"/>
        <v>1.2</v>
      </c>
      <c r="AF235" s="1804">
        <f t="shared" ca="1" si="129"/>
        <v>1.2</v>
      </c>
      <c r="AG235" s="1804">
        <f t="shared" ca="1" si="129"/>
        <v>1.2</v>
      </c>
      <c r="AH235" s="1804">
        <f t="shared" ca="1" si="129"/>
        <v>1.2</v>
      </c>
      <c r="AI235" s="1804">
        <f t="shared" ca="1" si="129"/>
        <v>1.2</v>
      </c>
      <c r="AJ235" s="1804">
        <f t="shared" ca="1" si="129"/>
        <v>1.2</v>
      </c>
      <c r="AK235" s="1804">
        <f t="shared" ca="1" si="129"/>
        <v>1.2</v>
      </c>
      <c r="AL235" s="1804">
        <f t="shared" ca="1" si="129"/>
        <v>1.2</v>
      </c>
      <c r="AM235" s="1804">
        <f t="shared" ca="1" si="129"/>
        <v>1.2</v>
      </c>
      <c r="AN235" s="1804">
        <f t="shared" ca="1" si="129"/>
        <v>1.2</v>
      </c>
      <c r="AO235" s="1804">
        <f t="shared" ca="1" si="129"/>
        <v>1.2</v>
      </c>
      <c r="AP235" s="1804">
        <f t="shared" ca="1" si="129"/>
        <v>1.2</v>
      </c>
      <c r="AQ235" s="1804">
        <f t="shared" ca="1" si="129"/>
        <v>1.2</v>
      </c>
      <c r="AR235" s="1804">
        <f t="shared" ca="1" si="129"/>
        <v>1.2</v>
      </c>
      <c r="AS235" s="1804">
        <f t="shared" ca="1" si="129"/>
        <v>1.2</v>
      </c>
      <c r="AT235" s="1804">
        <f t="shared" ca="1" si="129"/>
        <v>1.2</v>
      </c>
      <c r="AU235" s="1804">
        <f t="shared" ca="1" si="129"/>
        <v>1.2</v>
      </c>
      <c r="AV235" s="1804">
        <f t="shared" ca="1" si="129"/>
        <v>1.2</v>
      </c>
      <c r="AW235" s="1804">
        <f t="shared" ca="1" si="129"/>
        <v>1.2</v>
      </c>
      <c r="AX235" s="1804">
        <f t="shared" ca="1" si="129"/>
        <v>1.2</v>
      </c>
      <c r="AY235" s="1804">
        <f t="shared" ca="1" si="129"/>
        <v>1.2</v>
      </c>
      <c r="AZ235" s="1804">
        <f t="shared" ca="1" si="129"/>
        <v>1.2</v>
      </c>
      <c r="BA235" s="1804">
        <f t="shared" ca="1" si="129"/>
        <v>1.2</v>
      </c>
      <c r="BB235" s="1805">
        <f t="shared" ca="1" si="129"/>
        <v>1.2</v>
      </c>
      <c r="BC235" s="1802"/>
      <c r="BD235" s="1802"/>
      <c r="BE235" s="1802"/>
    </row>
    <row r="236" spans="3:57" ht="17.100000000000001" customHeight="1">
      <c r="C236" s="307"/>
      <c r="D236" s="342" t="s">
        <v>1397</v>
      </c>
      <c r="E236" s="1756"/>
      <c r="F236" s="1756"/>
      <c r="G236" s="1756"/>
      <c r="H236" s="1756"/>
      <c r="I236" s="1759"/>
      <c r="J236" s="1806"/>
      <c r="K236" s="1806">
        <f ca="1">'CF(Y)'!K49</f>
        <v>2.2196904524657479</v>
      </c>
      <c r="L236" s="1807">
        <f ca="1">'CF(Y)'!L49</f>
        <v>2.6121279219203206</v>
      </c>
      <c r="M236" s="1807">
        <f ca="1">'CF(Y)'!M49</f>
        <v>1.8376083813756545</v>
      </c>
      <c r="N236" s="1807">
        <f ca="1">'CF(Y)'!N49</f>
        <v>1.6109090671773765</v>
      </c>
      <c r="O236" s="1807">
        <f ca="1">'CF(Y)'!O49</f>
        <v>2.1820473062767372</v>
      </c>
      <c r="P236" s="1807">
        <f ca="1">'CF(Y)'!P49</f>
        <v>2.0873638094812574</v>
      </c>
      <c r="Q236" s="1807">
        <f ca="1">'CF(Y)'!Q49</f>
        <v>1.4057266829396537</v>
      </c>
      <c r="R236" s="1807">
        <f ca="1">'CF(Y)'!R49</f>
        <v>1.8178923974804437</v>
      </c>
      <c r="S236" s="1807">
        <f ca="1">'CF(Y)'!S49</f>
        <v>7.0181792893274988</v>
      </c>
      <c r="T236" s="1807">
        <f ca="1">'CF(Y)'!T49</f>
        <v>7.7698797194719909</v>
      </c>
      <c r="U236" s="1807">
        <f ca="1">'CF(Y)'!U49</f>
        <v>11.783737160756189</v>
      </c>
      <c r="V236" s="1807" t="str">
        <f ca="1">'CF(Y)'!V49</f>
        <v/>
      </c>
      <c r="W236" s="1807" t="str">
        <f ca="1">'CF(Y)'!W49</f>
        <v/>
      </c>
      <c r="X236" s="1807" t="str">
        <f ca="1">'CF(Y)'!X49</f>
        <v/>
      </c>
      <c r="Y236" s="1807" t="str">
        <f ca="1">'CF(Y)'!Y49</f>
        <v/>
      </c>
      <c r="Z236" s="1807" t="str">
        <f ca="1">'CF(Y)'!Z49</f>
        <v/>
      </c>
      <c r="AA236" s="1807" t="str">
        <f ca="1">'CF(Y)'!AA49</f>
        <v/>
      </c>
      <c r="AB236" s="1807" t="str">
        <f ca="1">'CF(Y)'!AB49</f>
        <v/>
      </c>
      <c r="AC236" s="1807" t="str">
        <f ca="1">'CF(Y)'!AC49</f>
        <v/>
      </c>
      <c r="AD236" s="1807" t="str">
        <f ca="1">'CF(Y)'!AD49</f>
        <v/>
      </c>
      <c r="AE236" s="1807" t="str">
        <f ca="1">'CF(Y)'!AE49</f>
        <v/>
      </c>
      <c r="AF236" s="1807" t="str">
        <f ca="1">'CF(Y)'!AF49</f>
        <v/>
      </c>
      <c r="AG236" s="1807" t="str">
        <f ca="1">'CF(Y)'!AG49</f>
        <v/>
      </c>
      <c r="AH236" s="1807" t="str">
        <f ca="1">'CF(Y)'!AH49</f>
        <v/>
      </c>
      <c r="AI236" s="1807" t="str">
        <f ca="1">'CF(Y)'!AI49</f>
        <v/>
      </c>
      <c r="AJ236" s="1807" t="str">
        <f ca="1">'CF(Y)'!AJ49</f>
        <v/>
      </c>
      <c r="AK236" s="1807" t="str">
        <f ca="1">'CF(Y)'!AK49</f>
        <v/>
      </c>
      <c r="AL236" s="1807" t="str">
        <f ca="1">'CF(Y)'!AL49</f>
        <v/>
      </c>
      <c r="AM236" s="1807" t="str">
        <f ca="1">'CF(Y)'!AM49</f>
        <v/>
      </c>
      <c r="AN236" s="1807" t="str">
        <f ca="1">'CF(Y)'!AN49</f>
        <v/>
      </c>
      <c r="AO236" s="1807" t="str">
        <f ca="1">'CF(Y)'!AO49</f>
        <v/>
      </c>
      <c r="AP236" s="1807" t="str">
        <f ca="1">'CF(Y)'!AP49</f>
        <v/>
      </c>
      <c r="AQ236" s="1807" t="str">
        <f ca="1">'CF(Y)'!AQ49</f>
        <v/>
      </c>
      <c r="AR236" s="1807" t="str">
        <f ca="1">'CF(Y)'!AR49</f>
        <v/>
      </c>
      <c r="AS236" s="1807" t="str">
        <f ca="1">'CF(Y)'!AS49</f>
        <v/>
      </c>
      <c r="AT236" s="1807" t="str">
        <f ca="1">'CF(Y)'!AT49</f>
        <v/>
      </c>
      <c r="AU236" s="1807" t="str">
        <f ca="1">'CF(Y)'!AU49</f>
        <v/>
      </c>
      <c r="AV236" s="1807" t="str">
        <f ca="1">'CF(Y)'!AV49</f>
        <v/>
      </c>
      <c r="AW236" s="1807" t="str">
        <f ca="1">'CF(Y)'!AW49</f>
        <v/>
      </c>
      <c r="AX236" s="1807" t="str">
        <f ca="1">'CF(Y)'!AX49</f>
        <v/>
      </c>
      <c r="AY236" s="1807" t="str">
        <f ca="1">'CF(Y)'!AY49</f>
        <v/>
      </c>
      <c r="AZ236" s="1807" t="str">
        <f>'CF(Y)'!AZ49</f>
        <v/>
      </c>
      <c r="BA236" s="1807" t="str">
        <f>'CF(Y)'!BA49</f>
        <v/>
      </c>
      <c r="BB236" s="1808" t="str">
        <f>'CF(Y)'!BB49</f>
        <v/>
      </c>
      <c r="BC236" s="1802"/>
      <c r="BD236" s="1802"/>
      <c r="BE236" s="1802"/>
    </row>
    <row r="237" spans="3:57" ht="17.100000000000001" customHeight="1">
      <c r="C237" s="307"/>
      <c r="D237" s="1341" t="s">
        <v>1396</v>
      </c>
      <c r="E237" s="1761"/>
      <c r="F237" s="1761"/>
      <c r="G237" s="1761"/>
      <c r="H237" s="1761"/>
      <c r="I237" s="1764"/>
      <c r="J237" s="1803">
        <f t="shared" ref="J237:BB237" ca="1" si="130">MinDSCR</f>
        <v>1.3</v>
      </c>
      <c r="K237" s="1803">
        <f t="shared" ca="1" si="130"/>
        <v>1.3</v>
      </c>
      <c r="L237" s="1804">
        <f t="shared" ca="1" si="130"/>
        <v>1.3</v>
      </c>
      <c r="M237" s="1804">
        <f t="shared" ca="1" si="130"/>
        <v>1.3</v>
      </c>
      <c r="N237" s="1804">
        <f t="shared" ca="1" si="130"/>
        <v>1.3</v>
      </c>
      <c r="O237" s="1804">
        <f t="shared" ca="1" si="130"/>
        <v>1.3</v>
      </c>
      <c r="P237" s="1804">
        <f t="shared" ca="1" si="130"/>
        <v>1.3</v>
      </c>
      <c r="Q237" s="1804">
        <f t="shared" ca="1" si="130"/>
        <v>1.3</v>
      </c>
      <c r="R237" s="1804">
        <f t="shared" ca="1" si="130"/>
        <v>1.3</v>
      </c>
      <c r="S237" s="1804">
        <f t="shared" ca="1" si="130"/>
        <v>1.3</v>
      </c>
      <c r="T237" s="1804">
        <f t="shared" ca="1" si="130"/>
        <v>1.3</v>
      </c>
      <c r="U237" s="1804">
        <f t="shared" ca="1" si="130"/>
        <v>1.3</v>
      </c>
      <c r="V237" s="1804">
        <f t="shared" ca="1" si="130"/>
        <v>1.3</v>
      </c>
      <c r="W237" s="1804">
        <f t="shared" ca="1" si="130"/>
        <v>1.3</v>
      </c>
      <c r="X237" s="1804">
        <f t="shared" ca="1" si="130"/>
        <v>1.3</v>
      </c>
      <c r="Y237" s="1804">
        <f t="shared" ca="1" si="130"/>
        <v>1.3</v>
      </c>
      <c r="Z237" s="1804">
        <f t="shared" ca="1" si="130"/>
        <v>1.3</v>
      </c>
      <c r="AA237" s="1804">
        <f t="shared" ca="1" si="130"/>
        <v>1.3</v>
      </c>
      <c r="AB237" s="1804">
        <f t="shared" ca="1" si="130"/>
        <v>1.3</v>
      </c>
      <c r="AC237" s="1804">
        <f t="shared" ca="1" si="130"/>
        <v>1.3</v>
      </c>
      <c r="AD237" s="1804">
        <f t="shared" ca="1" si="130"/>
        <v>1.3</v>
      </c>
      <c r="AE237" s="1804">
        <f t="shared" ca="1" si="130"/>
        <v>1.3</v>
      </c>
      <c r="AF237" s="1804">
        <f t="shared" ca="1" si="130"/>
        <v>1.3</v>
      </c>
      <c r="AG237" s="1804">
        <f t="shared" ca="1" si="130"/>
        <v>1.3</v>
      </c>
      <c r="AH237" s="1804">
        <f t="shared" ca="1" si="130"/>
        <v>1.3</v>
      </c>
      <c r="AI237" s="1804">
        <f t="shared" ca="1" si="130"/>
        <v>1.3</v>
      </c>
      <c r="AJ237" s="1804">
        <f t="shared" ca="1" si="130"/>
        <v>1.3</v>
      </c>
      <c r="AK237" s="1804">
        <f t="shared" ca="1" si="130"/>
        <v>1.3</v>
      </c>
      <c r="AL237" s="1804">
        <f t="shared" ca="1" si="130"/>
        <v>1.3</v>
      </c>
      <c r="AM237" s="1804">
        <f t="shared" ca="1" si="130"/>
        <v>1.3</v>
      </c>
      <c r="AN237" s="1804">
        <f t="shared" ca="1" si="130"/>
        <v>1.3</v>
      </c>
      <c r="AO237" s="1804">
        <f t="shared" ca="1" si="130"/>
        <v>1.3</v>
      </c>
      <c r="AP237" s="1804">
        <f t="shared" ca="1" si="130"/>
        <v>1.3</v>
      </c>
      <c r="AQ237" s="1804">
        <f t="shared" ca="1" si="130"/>
        <v>1.3</v>
      </c>
      <c r="AR237" s="1804">
        <f t="shared" ca="1" si="130"/>
        <v>1.3</v>
      </c>
      <c r="AS237" s="1804">
        <f t="shared" ca="1" si="130"/>
        <v>1.3</v>
      </c>
      <c r="AT237" s="1804">
        <f t="shared" ca="1" si="130"/>
        <v>1.3</v>
      </c>
      <c r="AU237" s="1804">
        <f t="shared" ca="1" si="130"/>
        <v>1.3</v>
      </c>
      <c r="AV237" s="1804">
        <f t="shared" ca="1" si="130"/>
        <v>1.3</v>
      </c>
      <c r="AW237" s="1804">
        <f t="shared" ca="1" si="130"/>
        <v>1.3</v>
      </c>
      <c r="AX237" s="1804">
        <f t="shared" ca="1" si="130"/>
        <v>1.3</v>
      </c>
      <c r="AY237" s="1804">
        <f t="shared" ca="1" si="130"/>
        <v>1.3</v>
      </c>
      <c r="AZ237" s="1804">
        <f t="shared" ca="1" si="130"/>
        <v>1.3</v>
      </c>
      <c r="BA237" s="1804">
        <f t="shared" ca="1" si="130"/>
        <v>1.3</v>
      </c>
      <c r="BB237" s="1805">
        <f t="shared" ca="1" si="130"/>
        <v>1.3</v>
      </c>
      <c r="BC237" s="1802"/>
      <c r="BD237" s="1802"/>
      <c r="BE237" s="1802"/>
    </row>
    <row r="238" spans="3:57" ht="17.100000000000001" customHeight="1">
      <c r="C238" s="307" t="s">
        <v>1398</v>
      </c>
      <c r="D238" s="1364"/>
      <c r="E238" s="1809"/>
      <c r="F238" s="1809"/>
      <c r="G238" s="1809"/>
      <c r="H238" s="1809"/>
      <c r="I238" s="1810"/>
      <c r="J238" s="1811">
        <f ca="1">1*(J236&gt;J237)</f>
        <v>0</v>
      </c>
      <c r="K238" s="1812">
        <v>0</v>
      </c>
      <c r="L238" s="1813">
        <v>0</v>
      </c>
      <c r="M238" s="1813">
        <v>0</v>
      </c>
      <c r="N238" s="1813">
        <v>0</v>
      </c>
      <c r="O238" s="1813">
        <v>0</v>
      </c>
      <c r="P238" s="1813">
        <v>0</v>
      </c>
      <c r="Q238" s="1813">
        <v>0</v>
      </c>
      <c r="R238" s="1814">
        <f t="shared" ref="R238:BB238" ca="1" si="131">1*(R236&gt;R237)</f>
        <v>1</v>
      </c>
      <c r="S238" s="1814">
        <f t="shared" ca="1" si="131"/>
        <v>1</v>
      </c>
      <c r="T238" s="1814">
        <f t="shared" ca="1" si="131"/>
        <v>1</v>
      </c>
      <c r="U238" s="1814">
        <f t="shared" ca="1" si="131"/>
        <v>1</v>
      </c>
      <c r="V238" s="1814">
        <f t="shared" ca="1" si="131"/>
        <v>1</v>
      </c>
      <c r="W238" s="1814">
        <f t="shared" ca="1" si="131"/>
        <v>1</v>
      </c>
      <c r="X238" s="1814">
        <f t="shared" ca="1" si="131"/>
        <v>1</v>
      </c>
      <c r="Y238" s="1814">
        <f t="shared" ca="1" si="131"/>
        <v>1</v>
      </c>
      <c r="Z238" s="1814">
        <f t="shared" ca="1" si="131"/>
        <v>1</v>
      </c>
      <c r="AA238" s="1814">
        <f t="shared" ca="1" si="131"/>
        <v>1</v>
      </c>
      <c r="AB238" s="1814">
        <f t="shared" ca="1" si="131"/>
        <v>1</v>
      </c>
      <c r="AC238" s="1814">
        <f t="shared" ca="1" si="131"/>
        <v>1</v>
      </c>
      <c r="AD238" s="1814">
        <f t="shared" ca="1" si="131"/>
        <v>1</v>
      </c>
      <c r="AE238" s="1814">
        <f t="shared" ca="1" si="131"/>
        <v>1</v>
      </c>
      <c r="AF238" s="1814">
        <f t="shared" ca="1" si="131"/>
        <v>1</v>
      </c>
      <c r="AG238" s="1814">
        <f t="shared" ca="1" si="131"/>
        <v>1</v>
      </c>
      <c r="AH238" s="1814">
        <f t="shared" ca="1" si="131"/>
        <v>1</v>
      </c>
      <c r="AI238" s="1814">
        <f t="shared" ca="1" si="131"/>
        <v>1</v>
      </c>
      <c r="AJ238" s="1814">
        <f t="shared" ca="1" si="131"/>
        <v>1</v>
      </c>
      <c r="AK238" s="1814">
        <f t="shared" ca="1" si="131"/>
        <v>1</v>
      </c>
      <c r="AL238" s="1814">
        <f t="shared" ca="1" si="131"/>
        <v>1</v>
      </c>
      <c r="AM238" s="1814">
        <f t="shared" ca="1" si="131"/>
        <v>1</v>
      </c>
      <c r="AN238" s="1814">
        <f t="shared" ca="1" si="131"/>
        <v>1</v>
      </c>
      <c r="AO238" s="1814">
        <f t="shared" ca="1" si="131"/>
        <v>1</v>
      </c>
      <c r="AP238" s="1814">
        <f t="shared" ca="1" si="131"/>
        <v>1</v>
      </c>
      <c r="AQ238" s="1814">
        <f t="shared" ca="1" si="131"/>
        <v>1</v>
      </c>
      <c r="AR238" s="1814">
        <f t="shared" ca="1" si="131"/>
        <v>1</v>
      </c>
      <c r="AS238" s="1814">
        <f t="shared" ca="1" si="131"/>
        <v>1</v>
      </c>
      <c r="AT238" s="1814">
        <f t="shared" ca="1" si="131"/>
        <v>1</v>
      </c>
      <c r="AU238" s="1814">
        <f t="shared" ca="1" si="131"/>
        <v>1</v>
      </c>
      <c r="AV238" s="1814">
        <f t="shared" ca="1" si="131"/>
        <v>1</v>
      </c>
      <c r="AW238" s="1814">
        <f t="shared" ca="1" si="131"/>
        <v>1</v>
      </c>
      <c r="AX238" s="1814">
        <f t="shared" ca="1" si="131"/>
        <v>1</v>
      </c>
      <c r="AY238" s="1814">
        <f t="shared" ca="1" si="131"/>
        <v>1</v>
      </c>
      <c r="AZ238" s="1814">
        <f t="shared" ca="1" si="131"/>
        <v>1</v>
      </c>
      <c r="BA238" s="1814">
        <f t="shared" ca="1" si="131"/>
        <v>1</v>
      </c>
      <c r="BB238" s="1815">
        <f t="shared" ca="1" si="131"/>
        <v>1</v>
      </c>
      <c r="BC238" s="1816"/>
      <c r="BD238" s="1816"/>
      <c r="BE238" s="1816"/>
    </row>
    <row r="239" spans="3:57" ht="17.100000000000001" customHeight="1">
      <c r="C239" s="720"/>
      <c r="D239" s="1511" t="s">
        <v>1399</v>
      </c>
      <c r="E239" s="1817"/>
      <c r="F239" s="1817"/>
      <c r="G239" s="1817"/>
      <c r="H239" s="1817"/>
      <c r="I239" s="1818">
        <f ca="1">SUM(L239:AU239)</f>
        <v>6629.8606197374511</v>
      </c>
      <c r="J239" s="1819">
        <f ca="1">MAX(SUMIF(Waterfall!4:4,J229,Waterfall!109:109),0)</f>
        <v>16.724687388554173</v>
      </c>
      <c r="K239" s="1819">
        <f ca="1">배당!G46</f>
        <v>3.524976305712201</v>
      </c>
      <c r="L239" s="1818">
        <f ca="1">배당!H46</f>
        <v>0</v>
      </c>
      <c r="M239" s="1818">
        <f ca="1">배당!I46</f>
        <v>0</v>
      </c>
      <c r="N239" s="1818">
        <f ca="1">배당!J46</f>
        <v>0</v>
      </c>
      <c r="O239" s="1818">
        <f ca="1">배당!K46</f>
        <v>0</v>
      </c>
      <c r="P239" s="1818">
        <f ca="1">배당!L46</f>
        <v>0</v>
      </c>
      <c r="Q239" s="1818">
        <f ca="1">배당!M46</f>
        <v>0</v>
      </c>
      <c r="R239" s="1818">
        <f ca="1">배당!N46</f>
        <v>1.585478126567498</v>
      </c>
      <c r="S239" s="1818">
        <f ca="1">배당!O46</f>
        <v>30.34879874323374</v>
      </c>
      <c r="T239" s="1818">
        <f ca="1">배당!P46</f>
        <v>31.691078883427188</v>
      </c>
      <c r="U239" s="1818">
        <f ca="1">배당!Q46</f>
        <v>75.701666940570306</v>
      </c>
      <c r="V239" s="1818">
        <f ca="1">배당!R46</f>
        <v>81.295871253783048</v>
      </c>
      <c r="W239" s="1818">
        <f ca="1">배당!S46</f>
        <v>109.17991588362491</v>
      </c>
      <c r="X239" s="1818">
        <f ca="1">배당!T46</f>
        <v>173.4002076250149</v>
      </c>
      <c r="Y239" s="1818">
        <f ca="1">배당!U46</f>
        <v>196.50844482471453</v>
      </c>
      <c r="Z239" s="1818">
        <f ca="1">배당!V46</f>
        <v>207.15284251572609</v>
      </c>
      <c r="AA239" s="1818">
        <f ca="1">배당!W46</f>
        <v>217.08205362971017</v>
      </c>
      <c r="AB239" s="1818">
        <f ca="1">배당!X46</f>
        <v>235.65535461086336</v>
      </c>
      <c r="AC239" s="1818">
        <f ca="1">배당!Y46</f>
        <v>216.78245164330912</v>
      </c>
      <c r="AD239" s="1818">
        <f ca="1">배당!Z46</f>
        <v>113.86392878454463</v>
      </c>
      <c r="AE239" s="1818">
        <f ca="1">배당!AA46</f>
        <v>97.975403428847684</v>
      </c>
      <c r="AF239" s="1818">
        <f ca="1">배당!AB46</f>
        <v>89.787580862347966</v>
      </c>
      <c r="AG239" s="1818">
        <f ca="1">배당!AC46</f>
        <v>84.922464029390852</v>
      </c>
      <c r="AH239" s="1818">
        <f ca="1">배당!AD46</f>
        <v>102.15508025765351</v>
      </c>
      <c r="AI239" s="1818">
        <f ca="1">배당!AE46</f>
        <v>122.61254465735641</v>
      </c>
      <c r="AJ239" s="1818">
        <f ca="1">배당!AF46</f>
        <v>143.56453632750632</v>
      </c>
      <c r="AK239" s="1818">
        <f ca="1">배당!AG46</f>
        <v>153.88015800935779</v>
      </c>
      <c r="AL239" s="1818">
        <f ca="1">배당!AH46</f>
        <v>174.48789605051275</v>
      </c>
      <c r="AM239" s="1818">
        <f ca="1">배당!AI46</f>
        <v>237.57201318085373</v>
      </c>
      <c r="AN239" s="1818">
        <f ca="1">배당!AJ46</f>
        <v>266.04151714105956</v>
      </c>
      <c r="AO239" s="1818">
        <f ca="1">배당!AK46</f>
        <v>340.30394981478099</v>
      </c>
      <c r="AP239" s="1818">
        <f ca="1">배당!AL46</f>
        <v>371.0851413251491</v>
      </c>
      <c r="AQ239" s="1818">
        <f ca="1">배당!AM46</f>
        <v>423.90468438091142</v>
      </c>
      <c r="AR239" s="1818">
        <f ca="1">배당!AN46</f>
        <v>491.35841604953441</v>
      </c>
      <c r="AS239" s="1818">
        <f ca="1">배당!AO46</f>
        <v>552.17237322877213</v>
      </c>
      <c r="AT239" s="1818">
        <f ca="1">배당!AP46</f>
        <v>615.41721292211844</v>
      </c>
      <c r="AU239" s="1818">
        <f ca="1">배당!AQ46</f>
        <v>672.37155460620841</v>
      </c>
      <c r="AV239" s="1818">
        <f ca="1">배당!AR46</f>
        <v>741.73628648346823</v>
      </c>
      <c r="AW239" s="1818">
        <f ca="1">배당!AS46</f>
        <v>788.20611928272911</v>
      </c>
      <c r="AX239" s="1818">
        <f ca="1">배당!AT46</f>
        <v>0</v>
      </c>
      <c r="AY239" s="1818">
        <f ca="1">배당!AU46</f>
        <v>0</v>
      </c>
      <c r="AZ239" s="1818">
        <f ca="1">배당!AV46</f>
        <v>0</v>
      </c>
      <c r="BA239" s="1818">
        <f ca="1">배당!AW46</f>
        <v>0</v>
      </c>
      <c r="BB239" s="1820">
        <f ca="1">배당!AX46</f>
        <v>0</v>
      </c>
      <c r="BC239" s="1755"/>
      <c r="BD239" s="1755"/>
      <c r="BE239" s="1755"/>
    </row>
    <row r="240" spans="3:57" ht="17.100000000000001" customHeight="1">
      <c r="C240" s="391"/>
      <c r="D240" s="331" t="s">
        <v>1400</v>
      </c>
      <c r="E240" s="1821"/>
      <c r="F240" s="331"/>
      <c r="G240" s="331"/>
      <c r="H240" s="331"/>
      <c r="I240" s="1753">
        <f t="shared" ref="I240:I250" ca="1" si="132">SUM(L240:AU240)</f>
        <v>2153.4537175420637</v>
      </c>
      <c r="J240" s="1752">
        <f ca="1">MAX(J219-J223,0)</f>
        <v>0</v>
      </c>
      <c r="K240" s="1752">
        <f>배당!G47</f>
        <v>0</v>
      </c>
      <c r="L240" s="1753">
        <f ca="1">배당!H47</f>
        <v>0</v>
      </c>
      <c r="M240" s="1753">
        <f ca="1">배당!I47</f>
        <v>0</v>
      </c>
      <c r="N240" s="1753">
        <f ca="1">배당!J47</f>
        <v>0</v>
      </c>
      <c r="O240" s="1753">
        <f ca="1">배당!K47</f>
        <v>0</v>
      </c>
      <c r="P240" s="1753">
        <f ca="1">배당!L47</f>
        <v>6.4217524183279506</v>
      </c>
      <c r="Q240" s="1753">
        <f ca="1">배당!M47</f>
        <v>7.2163340391034216</v>
      </c>
      <c r="R240" s="1753">
        <f ca="1">배당!N47</f>
        <v>19.456610448851279</v>
      </c>
      <c r="S240" s="1753">
        <f ca="1">배당!O47</f>
        <v>34.165544382626749</v>
      </c>
      <c r="T240" s="1753">
        <f ca="1">배당!P47</f>
        <v>17.332850540193792</v>
      </c>
      <c r="U240" s="1753">
        <f ca="1">배당!Q47</f>
        <v>31.506700302654011</v>
      </c>
      <c r="V240" s="1753">
        <f ca="1">배당!R47</f>
        <v>27.544863386231718</v>
      </c>
      <c r="W240" s="1753">
        <f ca="1">배당!S47</f>
        <v>29.269174727095123</v>
      </c>
      <c r="X240" s="1753">
        <f ca="1">배당!T47</f>
        <v>36.192964238958254</v>
      </c>
      <c r="Y240" s="1753">
        <f ca="1">배당!U47</f>
        <v>35.727008992410482</v>
      </c>
      <c r="Z240" s="1753">
        <f ca="1">배당!V47</f>
        <v>37.455125574068219</v>
      </c>
      <c r="AA240" s="1753">
        <f ca="1">배당!W47</f>
        <v>61.397235400119001</v>
      </c>
      <c r="AB240" s="1753">
        <f ca="1">배당!X47</f>
        <v>63.13594811545989</v>
      </c>
      <c r="AC240" s="1753">
        <f ca="1">배당!Y47</f>
        <v>78.023823208902243</v>
      </c>
      <c r="AD240" s="1753">
        <f ca="1">배당!Z47</f>
        <v>80.723838416247986</v>
      </c>
      <c r="AE240" s="1753">
        <f ca="1">배당!AA47</f>
        <v>93.725622142527413</v>
      </c>
      <c r="AF240" s="1753">
        <f ca="1">배당!AB47</f>
        <v>96.879955760017452</v>
      </c>
      <c r="AG240" s="1753">
        <f ca="1">배당!AC47</f>
        <v>110.15300381406131</v>
      </c>
      <c r="AH240" s="1753">
        <f ca="1">배당!AD47</f>
        <v>123.65024290166293</v>
      </c>
      <c r="AI240" s="1753">
        <f ca="1">배당!AE47</f>
        <v>119.21911034161904</v>
      </c>
      <c r="AJ240" s="1753">
        <f ca="1">배당!AF47</f>
        <v>115.44573516520336</v>
      </c>
      <c r="AK240" s="1753">
        <f ca="1">배당!AG47</f>
        <v>103.38805496294775</v>
      </c>
      <c r="AL240" s="1753">
        <f ca="1">배당!AH47</f>
        <v>67.87191333002562</v>
      </c>
      <c r="AM240" s="1753">
        <f ca="1">배당!AI47</f>
        <v>76.927641029118462</v>
      </c>
      <c r="AN240" s="1753">
        <f ca="1">배당!AJ47</f>
        <v>69.204799082203508</v>
      </c>
      <c r="AO240" s="1753">
        <f ca="1">배당!AK47</f>
        <v>74.768058472809173</v>
      </c>
      <c r="AP240" s="1753">
        <f ca="1">배당!AL47</f>
        <v>84.197164485708569</v>
      </c>
      <c r="AQ240" s="1753">
        <f ca="1">배당!AM47</f>
        <v>81.536827819660957</v>
      </c>
      <c r="AR240" s="1753">
        <f ca="1">배당!AN47</f>
        <v>82.177005094106974</v>
      </c>
      <c r="AS240" s="1753">
        <f ca="1">배당!AO47</f>
        <v>95.34009146006548</v>
      </c>
      <c r="AT240" s="1753">
        <f ca="1">배당!AP47</f>
        <v>95.649343525215514</v>
      </c>
      <c r="AU240" s="1753">
        <f ca="1">배당!AQ47</f>
        <v>97.749373963860307</v>
      </c>
      <c r="AV240" s="1753">
        <f ca="1">배당!AR47</f>
        <v>106.01159626162521</v>
      </c>
      <c r="AW240" s="1753">
        <f ca="1">배당!AS47</f>
        <v>107.12009651208376</v>
      </c>
      <c r="AX240" s="1753">
        <f ca="1">배당!AT47</f>
        <v>0</v>
      </c>
      <c r="AY240" s="1753">
        <f ca="1">배당!AU47</f>
        <v>0</v>
      </c>
      <c r="AZ240" s="1753">
        <f ca="1">배당!AV47</f>
        <v>0</v>
      </c>
      <c r="BA240" s="1753">
        <f ca="1">배당!AW47</f>
        <v>0</v>
      </c>
      <c r="BB240" s="1754">
        <f ca="1">배당!AX47</f>
        <v>0</v>
      </c>
      <c r="BC240" s="1755"/>
      <c r="BD240" s="1755"/>
      <c r="BE240" s="1755"/>
    </row>
    <row r="241" spans="3:57" ht="17.100000000000001" customHeight="1">
      <c r="C241" s="391"/>
      <c r="D241" s="331" t="s">
        <v>1401</v>
      </c>
      <c r="E241" s="1821"/>
      <c r="F241" s="331"/>
      <c r="G241" s="331"/>
      <c r="H241" s="331"/>
      <c r="I241" s="1753">
        <f t="shared" ca="1" si="132"/>
        <v>195.76851977655127</v>
      </c>
      <c r="J241" s="1752"/>
      <c r="K241" s="1752">
        <f>배당!G48</f>
        <v>0</v>
      </c>
      <c r="L241" s="1753">
        <f ca="1">배당!H48</f>
        <v>0</v>
      </c>
      <c r="M241" s="1753">
        <f ca="1">배당!I48</f>
        <v>0</v>
      </c>
      <c r="N241" s="1753">
        <f ca="1">배당!J48</f>
        <v>0</v>
      </c>
      <c r="O241" s="1753">
        <f ca="1">배당!K48</f>
        <v>0</v>
      </c>
      <c r="P241" s="1753">
        <f ca="1">배당!L48</f>
        <v>0.58379567439345004</v>
      </c>
      <c r="Q241" s="1753">
        <f ca="1">배당!M48</f>
        <v>0.65603036719122021</v>
      </c>
      <c r="R241" s="1753">
        <f ca="1">배당!N48</f>
        <v>1.7687827680773889</v>
      </c>
      <c r="S241" s="1753">
        <f ca="1">배당!O48</f>
        <v>3.1059585802387955</v>
      </c>
      <c r="T241" s="1753">
        <f ca="1">배당!P48</f>
        <v>1.575713685472163</v>
      </c>
      <c r="U241" s="1753">
        <f ca="1">배당!Q48</f>
        <v>2.8642454820594554</v>
      </c>
      <c r="V241" s="1753">
        <f ca="1">배당!R48</f>
        <v>2.5040784896574291</v>
      </c>
      <c r="W241" s="1753">
        <f ca="1">배당!S48</f>
        <v>2.6608340660995564</v>
      </c>
      <c r="X241" s="1753">
        <f ca="1">배당!T48</f>
        <v>3.2902694762689317</v>
      </c>
      <c r="Y241" s="1753">
        <f ca="1">배당!U48</f>
        <v>3.2479099084009531</v>
      </c>
      <c r="Z241" s="1753">
        <f ca="1">배당!V48</f>
        <v>3.4050114158243834</v>
      </c>
      <c r="AA241" s="1753">
        <f ca="1">배당!W48</f>
        <v>5.5815668545562724</v>
      </c>
      <c r="AB241" s="1753">
        <f ca="1">배당!X48</f>
        <v>5.7396316468599897</v>
      </c>
      <c r="AC241" s="1753">
        <f ca="1">배당!Y48</f>
        <v>7.0930748371729306</v>
      </c>
      <c r="AD241" s="1753">
        <f ca="1">배당!Z48</f>
        <v>7.338530765113453</v>
      </c>
      <c r="AE241" s="1753">
        <f ca="1">배당!AA48</f>
        <v>8.520511103866129</v>
      </c>
      <c r="AF241" s="1753">
        <f ca="1">배당!AB48</f>
        <v>8.8072687054561332</v>
      </c>
      <c r="AG241" s="1753">
        <f ca="1">배당!AC48</f>
        <v>10.013909437641937</v>
      </c>
      <c r="AH241" s="1753">
        <f ca="1">배당!AD48</f>
        <v>11.240931172878449</v>
      </c>
      <c r="AI241" s="1753">
        <f ca="1">배당!AE48</f>
        <v>10.838100940147186</v>
      </c>
      <c r="AJ241" s="1753">
        <f ca="1">배당!AF48</f>
        <v>10.495066833200307</v>
      </c>
      <c r="AK241" s="1753">
        <f ca="1">배당!AG48</f>
        <v>9.3989140875407031</v>
      </c>
      <c r="AL241" s="1753">
        <f ca="1">배당!AH48</f>
        <v>6.170173939093238</v>
      </c>
      <c r="AM241" s="1753">
        <f ca="1">배당!AI48</f>
        <v>6.9934219117380421</v>
      </c>
      <c r="AN241" s="1753">
        <f ca="1">배당!AJ48</f>
        <v>6.2913453711094096</v>
      </c>
      <c r="AO241" s="1753">
        <f ca="1">배당!AK48</f>
        <v>6.7970962248008338</v>
      </c>
      <c r="AP241" s="1753">
        <f ca="1">배당!AL48</f>
        <v>7.6542876805189612</v>
      </c>
      <c r="AQ241" s="1753">
        <f ca="1">배당!AM48</f>
        <v>7.41243889269645</v>
      </c>
      <c r="AR241" s="1753">
        <f ca="1">배당!AN48</f>
        <v>7.4706368267369969</v>
      </c>
      <c r="AS241" s="1753">
        <f ca="1">배당!AO48</f>
        <v>8.6672810418241344</v>
      </c>
      <c r="AT241" s="1753">
        <f ca="1">배당!AP48</f>
        <v>8.6953948659286837</v>
      </c>
      <c r="AU241" s="1753">
        <f ca="1">배당!AQ48</f>
        <v>8.8863067239872997</v>
      </c>
      <c r="AV241" s="1753">
        <f ca="1">배당!AR48</f>
        <v>9.6374178419659273</v>
      </c>
      <c r="AW241" s="1753">
        <f ca="1">배당!AS48</f>
        <v>9.7381905920076139</v>
      </c>
      <c r="AX241" s="1753">
        <f ca="1">배당!AT48</f>
        <v>0</v>
      </c>
      <c r="AY241" s="1753">
        <f ca="1">배당!AU48</f>
        <v>0</v>
      </c>
      <c r="AZ241" s="1753">
        <f ca="1">배당!AV48</f>
        <v>0</v>
      </c>
      <c r="BA241" s="1753">
        <f ca="1">배당!AW48</f>
        <v>0</v>
      </c>
      <c r="BB241" s="1754">
        <f ca="1">배당!AX48</f>
        <v>0</v>
      </c>
      <c r="BC241" s="1755"/>
      <c r="BD241" s="1755"/>
      <c r="BE241" s="1755"/>
    </row>
    <row r="242" spans="3:57" ht="17.100000000000001" customHeight="1">
      <c r="C242" s="391"/>
      <c r="D242" s="1822" t="s">
        <v>1402</v>
      </c>
      <c r="E242" s="1823"/>
      <c r="F242" s="1823"/>
      <c r="G242" s="1823"/>
      <c r="H242" s="1823"/>
      <c r="I242" s="1824">
        <f t="shared" ca="1" si="132"/>
        <v>1957.6851977655126</v>
      </c>
      <c r="J242" s="1825">
        <f t="shared" ref="J242" ca="1" si="133">J240-J241</f>
        <v>0</v>
      </c>
      <c r="K242" s="1825">
        <f>배당!G49</f>
        <v>0</v>
      </c>
      <c r="L242" s="1824">
        <f ca="1">배당!H49</f>
        <v>0</v>
      </c>
      <c r="M242" s="1824">
        <f ca="1">배당!I49</f>
        <v>0</v>
      </c>
      <c r="N242" s="1824">
        <f ca="1">배당!J49</f>
        <v>0</v>
      </c>
      <c r="O242" s="1824">
        <f ca="1">배당!K49</f>
        <v>0</v>
      </c>
      <c r="P242" s="1824">
        <f ca="1">배당!L49</f>
        <v>5.8379567439345008</v>
      </c>
      <c r="Q242" s="1824">
        <f ca="1">배당!M49</f>
        <v>6.5603036719122017</v>
      </c>
      <c r="R242" s="1824">
        <f ca="1">배당!N49</f>
        <v>17.687827680773889</v>
      </c>
      <c r="S242" s="1824">
        <f ca="1">배당!O49</f>
        <v>31.059585802387954</v>
      </c>
      <c r="T242" s="1824">
        <f ca="1">배당!P49</f>
        <v>15.75713685472163</v>
      </c>
      <c r="U242" s="1824">
        <f ca="1">배당!Q49</f>
        <v>28.642454820594555</v>
      </c>
      <c r="V242" s="1824">
        <f ca="1">배당!R49</f>
        <v>25.040784896574287</v>
      </c>
      <c r="W242" s="1824">
        <f ca="1">배당!S49</f>
        <v>26.608340660995566</v>
      </c>
      <c r="X242" s="1824">
        <f ca="1">배당!T49</f>
        <v>32.902694762689322</v>
      </c>
      <c r="Y242" s="1824">
        <f ca="1">배당!U49</f>
        <v>32.479099084009526</v>
      </c>
      <c r="Z242" s="1824">
        <f ca="1">배당!V49</f>
        <v>34.050114158243836</v>
      </c>
      <c r="AA242" s="1824">
        <f ca="1">배당!W49</f>
        <v>55.81566854556273</v>
      </c>
      <c r="AB242" s="1824">
        <f ca="1">배당!X49</f>
        <v>57.396316468599899</v>
      </c>
      <c r="AC242" s="1824">
        <f ca="1">배당!Y49</f>
        <v>70.930748371729308</v>
      </c>
      <c r="AD242" s="1824">
        <f ca="1">배당!Z49</f>
        <v>73.385307651134539</v>
      </c>
      <c r="AE242" s="1824">
        <f ca="1">배당!AA49</f>
        <v>85.205111038661286</v>
      </c>
      <c r="AF242" s="1824">
        <f ca="1">배당!AB49</f>
        <v>88.072687054561314</v>
      </c>
      <c r="AG242" s="1824">
        <f ca="1">배당!AC49</f>
        <v>100.13909437641937</v>
      </c>
      <c r="AH242" s="1824">
        <f ca="1">배당!AD49</f>
        <v>112.40931172878449</v>
      </c>
      <c r="AI242" s="1824">
        <f ca="1">배당!AE49</f>
        <v>108.38100940147186</v>
      </c>
      <c r="AJ242" s="1824">
        <f ca="1">배당!AF49</f>
        <v>104.95066833200305</v>
      </c>
      <c r="AK242" s="1824">
        <f ca="1">배당!AG49</f>
        <v>93.989140875407045</v>
      </c>
      <c r="AL242" s="1824">
        <f ca="1">배당!AH49</f>
        <v>61.701739390932381</v>
      </c>
      <c r="AM242" s="1824">
        <f ca="1">배당!AI49</f>
        <v>69.934219117380422</v>
      </c>
      <c r="AN242" s="1824">
        <f ca="1">배당!AJ49</f>
        <v>62.9134537110941</v>
      </c>
      <c r="AO242" s="1824">
        <f ca="1">배당!AK49</f>
        <v>67.970962248008334</v>
      </c>
      <c r="AP242" s="1824">
        <f ca="1">배당!AL49</f>
        <v>76.542876805189607</v>
      </c>
      <c r="AQ242" s="1824">
        <f ca="1">배당!AM49</f>
        <v>74.124388926964514</v>
      </c>
      <c r="AR242" s="1824">
        <f ca="1">배당!AN49</f>
        <v>74.706368267369982</v>
      </c>
      <c r="AS242" s="1824">
        <f ca="1">배당!AO49</f>
        <v>86.67281041824134</v>
      </c>
      <c r="AT242" s="1824">
        <f ca="1">배당!AP49</f>
        <v>86.953948659286823</v>
      </c>
      <c r="AU242" s="1824">
        <f ca="1">배당!AQ49</f>
        <v>88.863067239873004</v>
      </c>
      <c r="AV242" s="1824">
        <f ca="1">배당!AR49</f>
        <v>96.374178419659287</v>
      </c>
      <c r="AW242" s="1824">
        <f ca="1">배당!AS49</f>
        <v>97.38190592007615</v>
      </c>
      <c r="AX242" s="1824">
        <f ca="1">배당!AT49</f>
        <v>0</v>
      </c>
      <c r="AY242" s="1824">
        <f ca="1">배당!AU49</f>
        <v>0</v>
      </c>
      <c r="AZ242" s="1824">
        <f ca="1">배당!AV49</f>
        <v>0</v>
      </c>
      <c r="BA242" s="1824">
        <f ca="1">배당!AW49</f>
        <v>0</v>
      </c>
      <c r="BB242" s="1826">
        <f ca="1">배당!AX49</f>
        <v>0</v>
      </c>
      <c r="BC242" s="1755"/>
      <c r="BD242" s="1755"/>
      <c r="BE242" s="1755"/>
    </row>
    <row r="243" spans="3:57" ht="17.100000000000001" customHeight="1">
      <c r="C243" s="720" t="s">
        <v>152</v>
      </c>
      <c r="D243" s="331"/>
      <c r="E243" s="1827"/>
      <c r="F243" s="1827"/>
      <c r="G243" s="1827"/>
      <c r="H243" s="1827"/>
      <c r="I243" s="1828">
        <f t="shared" si="132"/>
        <v>0</v>
      </c>
      <c r="J243" s="1829"/>
      <c r="K243" s="1829"/>
      <c r="L243" s="1828"/>
      <c r="M243" s="1828"/>
      <c r="N243" s="1828"/>
      <c r="O243" s="1828"/>
      <c r="P243" s="1828"/>
      <c r="Q243" s="1828"/>
      <c r="R243" s="1828"/>
      <c r="S243" s="1828"/>
      <c r="T243" s="1828"/>
      <c r="U243" s="1828"/>
      <c r="V243" s="1828"/>
      <c r="W243" s="1828"/>
      <c r="X243" s="1828"/>
      <c r="Y243" s="1828"/>
      <c r="Z243" s="1828"/>
      <c r="AA243" s="1828"/>
      <c r="AB243" s="1828"/>
      <c r="AC243" s="1828"/>
      <c r="AD243" s="1828"/>
      <c r="AE243" s="1828"/>
      <c r="AF243" s="1828"/>
      <c r="AG243" s="1828"/>
      <c r="AH243" s="1828"/>
      <c r="AI243" s="1828"/>
      <c r="AJ243" s="1828"/>
      <c r="AK243" s="1828"/>
      <c r="AL243" s="1828"/>
      <c r="AM243" s="1828"/>
      <c r="AN243" s="1828"/>
      <c r="AO243" s="1828"/>
      <c r="AP243" s="1828"/>
      <c r="AQ243" s="1828"/>
      <c r="AR243" s="1828"/>
      <c r="AS243" s="1828"/>
      <c r="AT243" s="1828"/>
      <c r="AU243" s="1828"/>
      <c r="AV243" s="1828"/>
      <c r="AW243" s="1828"/>
      <c r="AX243" s="1828"/>
      <c r="AY243" s="1828"/>
      <c r="AZ243" s="1828"/>
      <c r="BA243" s="1828"/>
      <c r="BB243" s="1754"/>
      <c r="BC243" s="1755"/>
      <c r="BD243" s="1755"/>
      <c r="BE243" s="1755"/>
    </row>
    <row r="244" spans="3:57" ht="17.100000000000001" customHeight="1">
      <c r="C244" s="952"/>
      <c r="D244" s="1219" t="s">
        <v>1403</v>
      </c>
      <c r="E244" s="1830"/>
      <c r="F244" s="931"/>
      <c r="G244" s="931"/>
      <c r="H244" s="931"/>
      <c r="I244" s="1831">
        <f t="shared" ca="1" si="132"/>
        <v>1903.0029389181459</v>
      </c>
      <c r="J244" s="1832">
        <f t="shared" ref="J244" ca="1" si="134">MIN(J239,J242)*J238</f>
        <v>0</v>
      </c>
      <c r="K244" s="1832">
        <f ca="1">배당!G50</f>
        <v>0</v>
      </c>
      <c r="L244" s="1831">
        <f ca="1">배당!H50</f>
        <v>0</v>
      </c>
      <c r="M244" s="1831">
        <f ca="1">배당!I50</f>
        <v>0</v>
      </c>
      <c r="N244" s="1831">
        <f ca="1">배당!J50</f>
        <v>0</v>
      </c>
      <c r="O244" s="1831">
        <f ca="1">배당!K50</f>
        <v>0</v>
      </c>
      <c r="P244" s="1831">
        <f ca="1">배당!L50</f>
        <v>0</v>
      </c>
      <c r="Q244" s="1831">
        <f ca="1">배당!M50</f>
        <v>0</v>
      </c>
      <c r="R244" s="1831">
        <f ca="1">배당!N50</f>
        <v>1.585478126567498</v>
      </c>
      <c r="S244" s="1831">
        <f ca="1">배당!O50</f>
        <v>30.34879874323374</v>
      </c>
      <c r="T244" s="1831">
        <f ca="1">배당!P50</f>
        <v>15.75713685472163</v>
      </c>
      <c r="U244" s="1831">
        <f ca="1">배당!Q50</f>
        <v>28.642454820594555</v>
      </c>
      <c r="V244" s="1831">
        <f ca="1">배당!R50</f>
        <v>25.040784896574287</v>
      </c>
      <c r="W244" s="1831">
        <f ca="1">배당!S50</f>
        <v>26.608340660995566</v>
      </c>
      <c r="X244" s="1831">
        <f ca="1">배당!T50</f>
        <v>32.902694762689322</v>
      </c>
      <c r="Y244" s="1831">
        <f ca="1">배당!U50</f>
        <v>32.479099084009526</v>
      </c>
      <c r="Z244" s="1831">
        <f ca="1">배당!V50</f>
        <v>34.050114158243836</v>
      </c>
      <c r="AA244" s="1831">
        <f ca="1">배당!W50</f>
        <v>55.81566854556273</v>
      </c>
      <c r="AB244" s="1831">
        <f ca="1">배당!X50</f>
        <v>57.396316468599899</v>
      </c>
      <c r="AC244" s="1831">
        <f ca="1">배당!Y50</f>
        <v>70.930748371729308</v>
      </c>
      <c r="AD244" s="1831">
        <f ca="1">배당!Z50</f>
        <v>73.385307651134539</v>
      </c>
      <c r="AE244" s="1831">
        <f ca="1">배당!AA50</f>
        <v>85.205111038661286</v>
      </c>
      <c r="AF244" s="1831">
        <f ca="1">배당!AB50</f>
        <v>88.072687054561314</v>
      </c>
      <c r="AG244" s="1831">
        <f ca="1">배당!AC50</f>
        <v>84.922464029390852</v>
      </c>
      <c r="AH244" s="1831">
        <f ca="1">배당!AD50</f>
        <v>102.15508025765351</v>
      </c>
      <c r="AI244" s="1831">
        <f ca="1">배당!AE50</f>
        <v>108.38100940147186</v>
      </c>
      <c r="AJ244" s="1831">
        <f ca="1">배당!AF50</f>
        <v>104.95066833200305</v>
      </c>
      <c r="AK244" s="1831">
        <f ca="1">배당!AG50</f>
        <v>93.989140875407045</v>
      </c>
      <c r="AL244" s="1831">
        <f ca="1">배당!AH50</f>
        <v>61.701739390932381</v>
      </c>
      <c r="AM244" s="1831">
        <f ca="1">배당!AI50</f>
        <v>69.934219117380422</v>
      </c>
      <c r="AN244" s="1831">
        <f ca="1">배당!AJ50</f>
        <v>62.9134537110941</v>
      </c>
      <c r="AO244" s="1831">
        <f ca="1">배당!AK50</f>
        <v>67.970962248008334</v>
      </c>
      <c r="AP244" s="1831">
        <f ca="1">배당!AL50</f>
        <v>76.542876805189607</v>
      </c>
      <c r="AQ244" s="1831">
        <f ca="1">배당!AM50</f>
        <v>74.124388926964514</v>
      </c>
      <c r="AR244" s="1831">
        <f ca="1">배당!AN50</f>
        <v>74.706368267369982</v>
      </c>
      <c r="AS244" s="1831">
        <f ca="1">배당!AO50</f>
        <v>86.67281041824134</v>
      </c>
      <c r="AT244" s="1831">
        <f ca="1">배당!AP50</f>
        <v>86.953948659286823</v>
      </c>
      <c r="AU244" s="1831">
        <f ca="1">배당!AQ50</f>
        <v>88.863067239873004</v>
      </c>
      <c r="AV244" s="1831">
        <f ca="1">배당!AR50</f>
        <v>96.374178419659287</v>
      </c>
      <c r="AW244" s="1831">
        <f ca="1">배당!AS50</f>
        <v>97.38190592007615</v>
      </c>
      <c r="AX244" s="1831">
        <f ca="1">배당!AT50</f>
        <v>0</v>
      </c>
      <c r="AY244" s="1831">
        <f ca="1">배당!AU50</f>
        <v>0</v>
      </c>
      <c r="AZ244" s="1831">
        <f ca="1">배당!AV50</f>
        <v>0</v>
      </c>
      <c r="BA244" s="1831">
        <f ca="1">배당!AW50</f>
        <v>0</v>
      </c>
      <c r="BB244" s="1833">
        <f ca="1">배당!AX50</f>
        <v>0</v>
      </c>
      <c r="BC244" s="1755"/>
      <c r="BD244" s="1755"/>
      <c r="BE244" s="1755"/>
    </row>
    <row r="245" spans="3:57" ht="17.100000000000001" customHeight="1">
      <c r="D245" s="331"/>
      <c r="E245" s="1834"/>
      <c r="F245" s="1834"/>
      <c r="G245" s="1834"/>
      <c r="H245" s="1834"/>
      <c r="I245" s="1754"/>
      <c r="J245" s="1755"/>
      <c r="K245" s="1755"/>
      <c r="L245" s="1755"/>
      <c r="M245" s="1754"/>
      <c r="N245" s="1754"/>
      <c r="O245" s="1754"/>
      <c r="P245" s="1754"/>
      <c r="Q245" s="1754"/>
      <c r="R245" s="1754"/>
      <c r="S245" s="1754"/>
      <c r="T245" s="1754"/>
      <c r="U245" s="1754"/>
      <c r="V245" s="1754"/>
      <c r="W245" s="1754"/>
      <c r="X245" s="1754"/>
      <c r="Y245" s="1754"/>
      <c r="Z245" s="1754"/>
      <c r="AA245" s="1754"/>
      <c r="AB245" s="1754"/>
      <c r="AC245" s="1754"/>
      <c r="AD245" s="1754"/>
      <c r="AE245" s="1754"/>
      <c r="AF245" s="1754"/>
      <c r="AG245" s="1754"/>
      <c r="AH245" s="1754"/>
      <c r="AI245" s="1754"/>
      <c r="AJ245" s="1754"/>
      <c r="AK245" s="1754"/>
      <c r="AL245" s="1754"/>
      <c r="AM245" s="1754"/>
      <c r="AN245" s="1754"/>
      <c r="AO245" s="1754"/>
      <c r="AP245" s="1754"/>
      <c r="AQ245" s="1754"/>
      <c r="AR245" s="1754"/>
      <c r="AS245" s="1754"/>
      <c r="AT245" s="1754"/>
      <c r="AU245" s="1754"/>
    </row>
    <row r="246" spans="3:57" ht="17.100000000000001" customHeight="1">
      <c r="C246" s="1835"/>
      <c r="D246" s="1219" t="s">
        <v>153</v>
      </c>
      <c r="E246" s="1830"/>
      <c r="F246" s="931"/>
      <c r="G246" s="931"/>
      <c r="H246" s="931"/>
      <c r="I246" s="1831">
        <f t="shared" ca="1" si="132"/>
        <v>356.1600000000002</v>
      </c>
      <c r="J246" s="1832"/>
      <c r="K246" s="1832">
        <f ca="1">배당!G62</f>
        <v>0</v>
      </c>
      <c r="L246" s="1831">
        <f ca="1">배당!H62</f>
        <v>0</v>
      </c>
      <c r="M246" s="1831">
        <f ca="1">배당!I62</f>
        <v>0</v>
      </c>
      <c r="N246" s="1831">
        <f ca="1">배당!J62</f>
        <v>0</v>
      </c>
      <c r="O246" s="1831">
        <f ca="1">배당!K62</f>
        <v>0</v>
      </c>
      <c r="P246" s="1831">
        <f ca="1">배당!L62</f>
        <v>0</v>
      </c>
      <c r="Q246" s="1831">
        <f ca="1">배당!M62</f>
        <v>0</v>
      </c>
      <c r="R246" s="1831">
        <f ca="1">배당!N62</f>
        <v>1.585478126567498</v>
      </c>
      <c r="S246" s="1831">
        <f ca="1">배당!O62</f>
        <v>30.34879874323374</v>
      </c>
      <c r="T246" s="1831">
        <f ca="1">배당!P62</f>
        <v>15.75713685472163</v>
      </c>
      <c r="U246" s="1831">
        <f ca="1">배당!Q62</f>
        <v>28.642454820594555</v>
      </c>
      <c r="V246" s="1831">
        <f ca="1">배당!R62</f>
        <v>25.040784896574287</v>
      </c>
      <c r="W246" s="1831">
        <f ca="1">배당!S62</f>
        <v>26.608340660995566</v>
      </c>
      <c r="X246" s="1831">
        <f ca="1">배당!T62</f>
        <v>25.942508791424977</v>
      </c>
      <c r="Y246" s="1831">
        <f ca="1">배당!U62</f>
        <v>11.136366554276975</v>
      </c>
      <c r="Z246" s="1831">
        <f ca="1">배당!V62</f>
        <v>9.1390487958849107</v>
      </c>
      <c r="AA246" s="1831">
        <f ca="1">배당!W62</f>
        <v>11.975995636261473</v>
      </c>
      <c r="AB246" s="1831">
        <f ca="1">배당!X62</f>
        <v>8.863086119464441</v>
      </c>
      <c r="AC246" s="1831">
        <f ca="1">배당!Y62</f>
        <v>8.48</v>
      </c>
      <c r="AD246" s="1831">
        <f ca="1">배당!Z62</f>
        <v>8.48</v>
      </c>
      <c r="AE246" s="1831">
        <f ca="1">배당!AA62</f>
        <v>8.48</v>
      </c>
      <c r="AF246" s="1831">
        <f ca="1">배당!AB62</f>
        <v>8.48</v>
      </c>
      <c r="AG246" s="1831">
        <f ca="1">배당!AC62</f>
        <v>8.48</v>
      </c>
      <c r="AH246" s="1831">
        <f ca="1">배당!AD62</f>
        <v>8.48</v>
      </c>
      <c r="AI246" s="1831">
        <f ca="1">배당!AE62</f>
        <v>8.48</v>
      </c>
      <c r="AJ246" s="1831">
        <f ca="1">배당!AF62</f>
        <v>8.48</v>
      </c>
      <c r="AK246" s="1831">
        <f ca="1">배당!AG62</f>
        <v>8.48</v>
      </c>
      <c r="AL246" s="1831">
        <f ca="1">배당!AH62</f>
        <v>8.48</v>
      </c>
      <c r="AM246" s="1831">
        <f ca="1">배당!AI62</f>
        <v>8.48</v>
      </c>
      <c r="AN246" s="1831">
        <f ca="1">배당!AJ62</f>
        <v>8.48</v>
      </c>
      <c r="AO246" s="1831">
        <f ca="1">배당!AK62</f>
        <v>8.48</v>
      </c>
      <c r="AP246" s="1831">
        <f ca="1">배당!AL62</f>
        <v>8.48</v>
      </c>
      <c r="AQ246" s="1831">
        <f ca="1">배당!AM62</f>
        <v>8.48</v>
      </c>
      <c r="AR246" s="1831">
        <f ca="1">배당!AN62</f>
        <v>8.48</v>
      </c>
      <c r="AS246" s="1831">
        <f ca="1">배당!AO62</f>
        <v>8.48</v>
      </c>
      <c r="AT246" s="1831">
        <f ca="1">배당!AP62</f>
        <v>8.48</v>
      </c>
      <c r="AU246" s="1831">
        <f ca="1">배당!AQ62</f>
        <v>8.48</v>
      </c>
      <c r="AV246" s="1831">
        <f ca="1">배당!AR62</f>
        <v>8.48</v>
      </c>
      <c r="AW246" s="1831">
        <f ca="1">배당!AS62</f>
        <v>8.48</v>
      </c>
      <c r="AX246" s="1831">
        <f ca="1">배당!AT62</f>
        <v>0</v>
      </c>
      <c r="AY246" s="1831">
        <f ca="1">배당!AU62</f>
        <v>0</v>
      </c>
      <c r="AZ246" s="1831">
        <f ca="1">배당!AV62</f>
        <v>0</v>
      </c>
      <c r="BA246" s="1831">
        <f ca="1">배당!AW62</f>
        <v>0</v>
      </c>
      <c r="BB246" s="1833">
        <f ca="1">배당!AX62</f>
        <v>0</v>
      </c>
      <c r="BC246" s="1755"/>
      <c r="BD246" s="1755"/>
      <c r="BE246" s="1755"/>
    </row>
    <row r="247" spans="3:57" ht="17.100000000000001" customHeight="1">
      <c r="C247" s="1835"/>
      <c r="D247" s="760" t="s">
        <v>1404</v>
      </c>
      <c r="E247" s="1836" t="s">
        <v>180</v>
      </c>
      <c r="F247" s="1259"/>
      <c r="G247" s="1259"/>
      <c r="H247" s="1259"/>
      <c r="I247" s="1837">
        <f t="shared" si="132"/>
        <v>0</v>
      </c>
      <c r="J247" s="1838">
        <v>0</v>
      </c>
      <c r="K247" s="1838">
        <v>0</v>
      </c>
      <c r="L247" s="1837">
        <v>0</v>
      </c>
      <c r="M247" s="1837">
        <v>0</v>
      </c>
      <c r="N247" s="1837">
        <v>0</v>
      </c>
      <c r="O247" s="1837">
        <v>0</v>
      </c>
      <c r="P247" s="1837">
        <v>0</v>
      </c>
      <c r="Q247" s="1837">
        <v>0</v>
      </c>
      <c r="R247" s="1837">
        <v>0</v>
      </c>
      <c r="S247" s="1837">
        <v>0</v>
      </c>
      <c r="T247" s="1837">
        <v>0</v>
      </c>
      <c r="U247" s="1837">
        <v>0</v>
      </c>
      <c r="V247" s="1837">
        <v>0</v>
      </c>
      <c r="W247" s="1837">
        <v>0</v>
      </c>
      <c r="X247" s="1837">
        <v>0</v>
      </c>
      <c r="Y247" s="1837">
        <v>0</v>
      </c>
      <c r="Z247" s="1837">
        <v>0</v>
      </c>
      <c r="AA247" s="1837">
        <v>0</v>
      </c>
      <c r="AB247" s="1837">
        <v>0</v>
      </c>
      <c r="AC247" s="1837">
        <v>0</v>
      </c>
      <c r="AD247" s="1837">
        <v>0</v>
      </c>
      <c r="AE247" s="1837">
        <v>0</v>
      </c>
      <c r="AF247" s="1837">
        <v>0</v>
      </c>
      <c r="AG247" s="1837">
        <v>0</v>
      </c>
      <c r="AH247" s="1837">
        <v>0</v>
      </c>
      <c r="AI247" s="1837">
        <v>0</v>
      </c>
      <c r="AJ247" s="1837">
        <v>0</v>
      </c>
      <c r="AK247" s="1837">
        <v>0</v>
      </c>
      <c r="AL247" s="1837">
        <v>0</v>
      </c>
      <c r="AM247" s="1837">
        <v>0</v>
      </c>
      <c r="AN247" s="1837">
        <v>0</v>
      </c>
      <c r="AO247" s="1837">
        <v>0</v>
      </c>
      <c r="AP247" s="1837">
        <v>0</v>
      </c>
      <c r="AQ247" s="1837">
        <v>0</v>
      </c>
      <c r="AR247" s="1837">
        <v>0</v>
      </c>
      <c r="AS247" s="1837">
        <v>0</v>
      </c>
      <c r="AT247" s="1837">
        <v>0</v>
      </c>
      <c r="AU247" s="1837">
        <v>0</v>
      </c>
      <c r="AV247" s="1837">
        <v>0</v>
      </c>
      <c r="AW247" s="1837">
        <v>0</v>
      </c>
      <c r="AX247" s="1837">
        <v>0</v>
      </c>
      <c r="AY247" s="1837">
        <v>0</v>
      </c>
      <c r="AZ247" s="1837">
        <v>0</v>
      </c>
      <c r="BA247" s="1837">
        <v>0</v>
      </c>
      <c r="BB247" s="1839">
        <v>0</v>
      </c>
      <c r="BC247" s="1755"/>
      <c r="BD247" s="1755"/>
      <c r="BE247" s="1755"/>
    </row>
    <row r="248" spans="3:57" ht="17.100000000000001" customHeight="1">
      <c r="C248" s="1835"/>
      <c r="D248" s="764"/>
      <c r="E248" s="1840" t="s">
        <v>178</v>
      </c>
      <c r="F248" s="1238"/>
      <c r="G248" s="1238"/>
      <c r="H248" s="1238"/>
      <c r="I248" s="1770">
        <f t="shared" ca="1" si="132"/>
        <v>1015.4536567726568</v>
      </c>
      <c r="J248" s="1768">
        <f t="shared" ref="J248:J250" ca="1" si="135">MIN(J243,J246)*J242</f>
        <v>0</v>
      </c>
      <c r="K248" s="1768">
        <f ca="1">배당!G75</f>
        <v>0</v>
      </c>
      <c r="L248" s="1770">
        <f ca="1">배당!H75</f>
        <v>0</v>
      </c>
      <c r="M248" s="1770">
        <f ca="1">배당!I75</f>
        <v>0</v>
      </c>
      <c r="N248" s="1770">
        <f ca="1">배당!J75</f>
        <v>0</v>
      </c>
      <c r="O248" s="1770">
        <f ca="1">배당!K75</f>
        <v>0</v>
      </c>
      <c r="P248" s="1770">
        <f ca="1">배당!L75</f>
        <v>0</v>
      </c>
      <c r="Q248" s="1770">
        <f ca="1">배당!M75</f>
        <v>0</v>
      </c>
      <c r="R248" s="1770">
        <f ca="1">배당!N75</f>
        <v>0</v>
      </c>
      <c r="S248" s="1770">
        <f ca="1">배당!O75</f>
        <v>0</v>
      </c>
      <c r="T248" s="1770">
        <f ca="1">배당!P75</f>
        <v>0</v>
      </c>
      <c r="U248" s="1770">
        <f ca="1">배당!Q75</f>
        <v>0</v>
      </c>
      <c r="V248" s="1770">
        <f ca="1">배당!R75</f>
        <v>0</v>
      </c>
      <c r="W248" s="1770">
        <f ca="1">배당!S75</f>
        <v>0</v>
      </c>
      <c r="X248" s="1770">
        <f ca="1">배당!T75</f>
        <v>6.9601859712643455</v>
      </c>
      <c r="Y248" s="1770">
        <f ca="1">배당!U75</f>
        <v>21.342732529732551</v>
      </c>
      <c r="Z248" s="1770">
        <f ca="1">배당!V75</f>
        <v>24.911065362358926</v>
      </c>
      <c r="AA248" s="1770">
        <f ca="1">배당!W75</f>
        <v>43.839672909301257</v>
      </c>
      <c r="AB248" s="1770">
        <f ca="1">배당!X75</f>
        <v>45.92</v>
      </c>
      <c r="AC248" s="1770">
        <f ca="1">배당!Y75</f>
        <v>45.92</v>
      </c>
      <c r="AD248" s="1770">
        <f ca="1">배당!Z75</f>
        <v>45.92</v>
      </c>
      <c r="AE248" s="1770">
        <f ca="1">배당!AA75</f>
        <v>45.92</v>
      </c>
      <c r="AF248" s="1770">
        <f ca="1">배당!AB75</f>
        <v>45.92</v>
      </c>
      <c r="AG248" s="1770">
        <f ca="1">배당!AC75</f>
        <v>45.92</v>
      </c>
      <c r="AH248" s="1770">
        <f ca="1">배당!AD75</f>
        <v>45.92</v>
      </c>
      <c r="AI248" s="1770">
        <f ca="1">배당!AE75</f>
        <v>45.92</v>
      </c>
      <c r="AJ248" s="1770">
        <f ca="1">배당!AF75</f>
        <v>45.92</v>
      </c>
      <c r="AK248" s="1770">
        <f ca="1">배당!AG75</f>
        <v>45.92</v>
      </c>
      <c r="AL248" s="1770">
        <f ca="1">배당!AH75</f>
        <v>45.92</v>
      </c>
      <c r="AM248" s="1770">
        <f ca="1">배당!AI75</f>
        <v>45.92</v>
      </c>
      <c r="AN248" s="1770">
        <f ca="1">배당!AJ75</f>
        <v>45.92</v>
      </c>
      <c r="AO248" s="1770">
        <f ca="1">배당!AK75</f>
        <v>45.92</v>
      </c>
      <c r="AP248" s="1770">
        <f ca="1">배당!AL75</f>
        <v>45.92</v>
      </c>
      <c r="AQ248" s="1770">
        <f ca="1">배당!AM75</f>
        <v>45.92</v>
      </c>
      <c r="AR248" s="1770">
        <f ca="1">배당!AN75</f>
        <v>45.92</v>
      </c>
      <c r="AS248" s="1770">
        <f ca="1">배당!AO75</f>
        <v>45.92</v>
      </c>
      <c r="AT248" s="1770">
        <f ca="1">배당!AP75</f>
        <v>45.92</v>
      </c>
      <c r="AU248" s="1770">
        <f ca="1">배당!AQ75</f>
        <v>45.92</v>
      </c>
      <c r="AV248" s="1770">
        <f ca="1">배당!AR75</f>
        <v>45.92</v>
      </c>
      <c r="AW248" s="1770">
        <f ca="1">배당!AS75</f>
        <v>45.92</v>
      </c>
      <c r="AX248" s="1770">
        <f ca="1">배당!AT75</f>
        <v>0</v>
      </c>
      <c r="AY248" s="1770">
        <f ca="1">배당!AU75</f>
        <v>0</v>
      </c>
      <c r="AZ248" s="1770">
        <f ca="1">배당!AV75</f>
        <v>0</v>
      </c>
      <c r="BA248" s="1770">
        <f ca="1">배당!AW75</f>
        <v>0</v>
      </c>
      <c r="BB248" s="1771">
        <f ca="1">배당!AX75</f>
        <v>0</v>
      </c>
      <c r="BC248" s="1755"/>
      <c r="BD248" s="1755"/>
      <c r="BE248" s="1755"/>
    </row>
    <row r="249" spans="3:57" ht="17.100000000000001" customHeight="1">
      <c r="C249" s="1835"/>
      <c r="D249" s="760" t="s">
        <v>1405</v>
      </c>
      <c r="E249" s="1836" t="str">
        <f>E247</f>
        <v>우선주</v>
      </c>
      <c r="F249" s="1259"/>
      <c r="G249" s="1259"/>
      <c r="H249" s="1259"/>
      <c r="I249" s="1837">
        <f t="shared" ca="1" si="132"/>
        <v>82.843589086481671</v>
      </c>
      <c r="J249" s="1838">
        <f t="shared" ca="1" si="135"/>
        <v>0</v>
      </c>
      <c r="K249" s="1838">
        <f ca="1">배당!G81</f>
        <v>0</v>
      </c>
      <c r="L249" s="1837">
        <f ca="1">배당!H81</f>
        <v>0</v>
      </c>
      <c r="M249" s="1837">
        <f ca="1">배당!I81</f>
        <v>0</v>
      </c>
      <c r="N249" s="1837">
        <f ca="1">배당!J81</f>
        <v>0</v>
      </c>
      <c r="O249" s="1837">
        <f ca="1">배당!K81</f>
        <v>0</v>
      </c>
      <c r="P249" s="1837">
        <f ca="1">배당!L81</f>
        <v>0</v>
      </c>
      <c r="Q249" s="1837">
        <f ca="1">배당!M81</f>
        <v>0</v>
      </c>
      <c r="R249" s="1837">
        <f ca="1">배당!N81</f>
        <v>0</v>
      </c>
      <c r="S249" s="1837">
        <f ca="1">배당!O81</f>
        <v>0</v>
      </c>
      <c r="T249" s="1837">
        <f ca="1">배당!P81</f>
        <v>0</v>
      </c>
      <c r="U249" s="1837">
        <f ca="1">배당!Q81</f>
        <v>0</v>
      </c>
      <c r="V249" s="1837">
        <f ca="1">배당!R81</f>
        <v>0</v>
      </c>
      <c r="W249" s="1837">
        <f ca="1">배당!S81</f>
        <v>0</v>
      </c>
      <c r="X249" s="1837">
        <f ca="1">배당!T81</f>
        <v>0</v>
      </c>
      <c r="Y249" s="1837">
        <f ca="1">배당!U81</f>
        <v>0</v>
      </c>
      <c r="Z249" s="1837">
        <f ca="1">배당!V81</f>
        <v>0</v>
      </c>
      <c r="AA249" s="1837">
        <f ca="1">배당!W81</f>
        <v>0</v>
      </c>
      <c r="AB249" s="1837">
        <f ca="1">배당!X81</f>
        <v>0.40740261143021655</v>
      </c>
      <c r="AC249" s="1837">
        <f ca="1">배당!Y81</f>
        <v>2.5771436711525983</v>
      </c>
      <c r="AD249" s="1837">
        <f ca="1">배당!Z81</f>
        <v>2.9598094628118741</v>
      </c>
      <c r="AE249" s="1837">
        <f ca="1">배당!AA81</f>
        <v>4.802516810927294</v>
      </c>
      <c r="AF249" s="1837">
        <f ca="1">배당!AB81</f>
        <v>5.2495719118061084</v>
      </c>
      <c r="AG249" s="1837">
        <f ca="1">배당!AC81</f>
        <v>4.7584521421820334</v>
      </c>
      <c r="AH249" s="1837">
        <f ca="1">배당!AD81</f>
        <v>7.445017012168182</v>
      </c>
      <c r="AI249" s="1837">
        <f ca="1">배당!AE81</f>
        <v>8.4156393656894615</v>
      </c>
      <c r="AJ249" s="1837">
        <f ca="1">배당!AF81</f>
        <v>7.8808491929592748</v>
      </c>
      <c r="AK249" s="1837">
        <f ca="1">배당!AG81</f>
        <v>6.171947062475958</v>
      </c>
      <c r="AL249" s="1837">
        <f ca="1">배당!AH81</f>
        <v>1.1383411710463587</v>
      </c>
      <c r="AM249" s="1837">
        <f ca="1">배당!AI81</f>
        <v>2.421784760399607</v>
      </c>
      <c r="AN249" s="1837">
        <f ca="1">배당!AJ81</f>
        <v>1.3272474335595705</v>
      </c>
      <c r="AO249" s="1837">
        <f ca="1">배당!AK81</f>
        <v>2.1157130144644984</v>
      </c>
      <c r="AP249" s="1837">
        <f ca="1">배당!AL81</f>
        <v>3.4520744939290591</v>
      </c>
      <c r="AQ249" s="1837">
        <f ca="1">배당!AM81</f>
        <v>3.0750322337137672</v>
      </c>
      <c r="AR249" s="1837">
        <f ca="1">배당!AN81</f>
        <v>3.1657628128829796</v>
      </c>
      <c r="AS249" s="1837">
        <f ca="1">배당!AO81</f>
        <v>5.0313311442038247</v>
      </c>
      <c r="AT249" s="1837">
        <f ca="1">배당!AP81</f>
        <v>5.0751605959828154</v>
      </c>
      <c r="AU249" s="1837">
        <f ca="1">배당!AQ81</f>
        <v>5.3727921826962008</v>
      </c>
      <c r="AV249" s="1837">
        <f ca="1">배당!AR81</f>
        <v>6.543774415624882</v>
      </c>
      <c r="AW249" s="1837">
        <f ca="1">배당!AS81</f>
        <v>6.7008791329398711</v>
      </c>
      <c r="AX249" s="1837">
        <f ca="1">배당!AT81</f>
        <v>0</v>
      </c>
      <c r="AY249" s="1837">
        <f ca="1">배당!AU81</f>
        <v>0</v>
      </c>
      <c r="AZ249" s="1837">
        <f ca="1">배당!AV81</f>
        <v>0</v>
      </c>
      <c r="BA249" s="1837">
        <f ca="1">배당!AW81</f>
        <v>0</v>
      </c>
      <c r="BB249" s="1839">
        <f ca="1">배당!AX81</f>
        <v>0</v>
      </c>
      <c r="BC249" s="1755"/>
      <c r="BD249" s="1755"/>
      <c r="BE249" s="1755"/>
    </row>
    <row r="250" spans="3:57" ht="17.100000000000001" customHeight="1">
      <c r="C250" s="1835"/>
      <c r="D250" s="764"/>
      <c r="E250" s="1840" t="str">
        <f>E248</f>
        <v>보통주</v>
      </c>
      <c r="F250" s="1238"/>
      <c r="G250" s="1238"/>
      <c r="H250" s="1238"/>
      <c r="I250" s="1770">
        <f t="shared" ca="1" si="132"/>
        <v>448.54569305900702</v>
      </c>
      <c r="J250" s="1768">
        <f t="shared" ca="1" si="135"/>
        <v>0</v>
      </c>
      <c r="K250" s="1768">
        <f ca="1">배당!G82</f>
        <v>0</v>
      </c>
      <c r="L250" s="1770">
        <f ca="1">배당!H82</f>
        <v>0</v>
      </c>
      <c r="M250" s="1770">
        <f ca="1">배당!I82</f>
        <v>0</v>
      </c>
      <c r="N250" s="1770">
        <f ca="1">배당!J82</f>
        <v>0</v>
      </c>
      <c r="O250" s="1770">
        <f ca="1">배당!K82</f>
        <v>0</v>
      </c>
      <c r="P250" s="1770">
        <f ca="1">배당!L82</f>
        <v>0</v>
      </c>
      <c r="Q250" s="1770">
        <f ca="1">배당!M82</f>
        <v>0</v>
      </c>
      <c r="R250" s="1770">
        <f ca="1">배당!N82</f>
        <v>0</v>
      </c>
      <c r="S250" s="1770">
        <f ca="1">배당!O82</f>
        <v>0</v>
      </c>
      <c r="T250" s="1770">
        <f ca="1">배당!P82</f>
        <v>0</v>
      </c>
      <c r="U250" s="1770">
        <f ca="1">배당!Q82</f>
        <v>0</v>
      </c>
      <c r="V250" s="1770">
        <f ca="1">배당!R82</f>
        <v>0</v>
      </c>
      <c r="W250" s="1770">
        <f ca="1">배당!S82</f>
        <v>0</v>
      </c>
      <c r="X250" s="1770">
        <f ca="1">배당!T82</f>
        <v>0</v>
      </c>
      <c r="Y250" s="1770">
        <f ca="1">배당!U82</f>
        <v>0</v>
      </c>
      <c r="Z250" s="1770">
        <f ca="1">배당!V82</f>
        <v>0</v>
      </c>
      <c r="AA250" s="1770">
        <f ca="1">배당!W82</f>
        <v>0</v>
      </c>
      <c r="AB250" s="1770">
        <f ca="1">배당!X82</f>
        <v>2.2058277377052327</v>
      </c>
      <c r="AC250" s="1770">
        <f ca="1">배당!Y82</f>
        <v>13.953604700576705</v>
      </c>
      <c r="AD250" s="1770">
        <f ca="1">배당!Z82</f>
        <v>16.025498188322658</v>
      </c>
      <c r="AE250" s="1770">
        <f ca="1">배당!AA82</f>
        <v>26.002594227733987</v>
      </c>
      <c r="AF250" s="1770">
        <f ca="1">배당!AB82</f>
        <v>28.423115142755201</v>
      </c>
      <c r="AG250" s="1770">
        <f ca="1">배당!AC82</f>
        <v>25.764011887208813</v>
      </c>
      <c r="AH250" s="1770">
        <f ca="1">배당!AD82</f>
        <v>40.310063245485324</v>
      </c>
      <c r="AI250" s="1770">
        <f ca="1">배당!AE82</f>
        <v>45.565370035782394</v>
      </c>
      <c r="AJ250" s="1770">
        <f ca="1">배당!AF82</f>
        <v>42.669819139043767</v>
      </c>
      <c r="AK250" s="1770">
        <f ca="1">배당!AG82</f>
        <v>33.417193812931082</v>
      </c>
      <c r="AL250" s="1770">
        <f ca="1">배당!AH82</f>
        <v>6.163398219886024</v>
      </c>
      <c r="AM250" s="1770">
        <f ca="1">배당!AI82</f>
        <v>13.11243435698081</v>
      </c>
      <c r="AN250" s="1770">
        <f ca="1">배당!AJ82</f>
        <v>7.1862062775345308</v>
      </c>
      <c r="AO250" s="1770">
        <f ca="1">배당!AK82</f>
        <v>11.45524923354383</v>
      </c>
      <c r="AP250" s="1770">
        <f ca="1">배당!AL82</f>
        <v>18.690802311260541</v>
      </c>
      <c r="AQ250" s="1770">
        <f ca="1">배당!AM82</f>
        <v>16.649356693250741</v>
      </c>
      <c r="AR250" s="1770">
        <f ca="1">배당!AN82</f>
        <v>17.140605454486995</v>
      </c>
      <c r="AS250" s="1770">
        <f ca="1">배당!AO82</f>
        <v>27.241479274037509</v>
      </c>
      <c r="AT250" s="1770">
        <f ca="1">배당!AP82</f>
        <v>27.478788063304002</v>
      </c>
      <c r="AU250" s="1770">
        <f ca="1">배당!AQ82</f>
        <v>29.090275057176797</v>
      </c>
      <c r="AV250" s="1770">
        <f ca="1">배당!AR82</f>
        <v>35.430404004034401</v>
      </c>
      <c r="AW250" s="1770">
        <f ca="1">배당!AS82</f>
        <v>36.28102678713627</v>
      </c>
      <c r="AX250" s="1770">
        <f ca="1">배당!AT82</f>
        <v>0</v>
      </c>
      <c r="AY250" s="1770">
        <f ca="1">배당!AU82</f>
        <v>0</v>
      </c>
      <c r="AZ250" s="1770">
        <f ca="1">배당!AV82</f>
        <v>0</v>
      </c>
      <c r="BA250" s="1770">
        <f ca="1">배당!AW82</f>
        <v>0</v>
      </c>
      <c r="BB250" s="1771">
        <f ca="1">배당!AX82</f>
        <v>0</v>
      </c>
      <c r="BC250" s="1755"/>
      <c r="BD250" s="1755"/>
      <c r="BE250" s="1755"/>
    </row>
    <row r="251" spans="3:57" s="793" customFormat="1" ht="17.100000000000001" customHeight="1">
      <c r="I251" s="1841">
        <f ca="1">SUM(L251:BB251)</f>
        <v>2096.7590232578814</v>
      </c>
      <c r="J251" s="1842">
        <f ca="1">SUM(J246:J250)</f>
        <v>0</v>
      </c>
      <c r="K251" s="1842">
        <f t="shared" ref="K251:BB251" ca="1" si="136">SUM(K246:K250)</f>
        <v>0</v>
      </c>
      <c r="L251" s="1842">
        <f t="shared" ca="1" si="136"/>
        <v>0</v>
      </c>
      <c r="M251" s="1842">
        <f t="shared" ca="1" si="136"/>
        <v>0</v>
      </c>
      <c r="N251" s="1842">
        <f t="shared" ca="1" si="136"/>
        <v>0</v>
      </c>
      <c r="O251" s="1842">
        <f t="shared" ca="1" si="136"/>
        <v>0</v>
      </c>
      <c r="P251" s="1842">
        <f t="shared" ca="1" si="136"/>
        <v>0</v>
      </c>
      <c r="Q251" s="1842">
        <f t="shared" ca="1" si="136"/>
        <v>0</v>
      </c>
      <c r="R251" s="1842">
        <f t="shared" ca="1" si="136"/>
        <v>1.585478126567498</v>
      </c>
      <c r="S251" s="1842">
        <f t="shared" ca="1" si="136"/>
        <v>30.34879874323374</v>
      </c>
      <c r="T251" s="1842">
        <f t="shared" ca="1" si="136"/>
        <v>15.75713685472163</v>
      </c>
      <c r="U251" s="1842">
        <f t="shared" ca="1" si="136"/>
        <v>28.642454820594555</v>
      </c>
      <c r="V251" s="1842">
        <f t="shared" ca="1" si="136"/>
        <v>25.040784896574287</v>
      </c>
      <c r="W251" s="1842">
        <f t="shared" ca="1" si="136"/>
        <v>26.608340660995566</v>
      </c>
      <c r="X251" s="1842">
        <f t="shared" ca="1" si="136"/>
        <v>32.902694762689322</v>
      </c>
      <c r="Y251" s="1842">
        <f t="shared" ca="1" si="136"/>
        <v>32.479099084009526</v>
      </c>
      <c r="Z251" s="1842">
        <f t="shared" ca="1" si="136"/>
        <v>34.050114158243836</v>
      </c>
      <c r="AA251" s="1842">
        <f t="shared" ca="1" si="136"/>
        <v>55.81566854556273</v>
      </c>
      <c r="AB251" s="1842">
        <f t="shared" ca="1" si="136"/>
        <v>57.396316468599892</v>
      </c>
      <c r="AC251" s="1842">
        <f t="shared" ca="1" si="136"/>
        <v>70.930748371729308</v>
      </c>
      <c r="AD251" s="1843">
        <f t="shared" ca="1" si="136"/>
        <v>73.385307651134539</v>
      </c>
      <c r="AE251" s="1842">
        <f t="shared" ca="1" si="136"/>
        <v>85.205111038661286</v>
      </c>
      <c r="AF251" s="1842">
        <f t="shared" ca="1" si="136"/>
        <v>88.072687054561314</v>
      </c>
      <c r="AG251" s="1842">
        <f t="shared" ca="1" si="136"/>
        <v>84.922464029390852</v>
      </c>
      <c r="AH251" s="1842">
        <f t="shared" ca="1" si="136"/>
        <v>102.15508025765351</v>
      </c>
      <c r="AI251" s="1842">
        <f t="shared" ca="1" si="136"/>
        <v>108.38100940147186</v>
      </c>
      <c r="AJ251" s="1842">
        <f t="shared" ca="1" si="136"/>
        <v>104.95066833200305</v>
      </c>
      <c r="AK251" s="1842">
        <f t="shared" ca="1" si="136"/>
        <v>93.989140875407045</v>
      </c>
      <c r="AL251" s="1842">
        <f t="shared" ca="1" si="136"/>
        <v>61.701739390932389</v>
      </c>
      <c r="AM251" s="1842">
        <f t="shared" ca="1" si="136"/>
        <v>69.934219117380422</v>
      </c>
      <c r="AN251" s="1842">
        <f t="shared" ca="1" si="136"/>
        <v>62.913453711094107</v>
      </c>
      <c r="AO251" s="1842">
        <f t="shared" ca="1" si="136"/>
        <v>67.970962248008334</v>
      </c>
      <c r="AP251" s="1842">
        <f t="shared" ca="1" si="136"/>
        <v>76.542876805189607</v>
      </c>
      <c r="AQ251" s="1842">
        <f t="shared" ca="1" si="136"/>
        <v>74.124388926964514</v>
      </c>
      <c r="AR251" s="1842">
        <f t="shared" ca="1" si="136"/>
        <v>74.706368267369982</v>
      </c>
      <c r="AS251" s="1842">
        <f t="shared" ca="1" si="136"/>
        <v>86.67281041824134</v>
      </c>
      <c r="AT251" s="1842">
        <f t="shared" ca="1" si="136"/>
        <v>86.953948659286823</v>
      </c>
      <c r="AU251" s="1842">
        <f t="shared" ca="1" si="136"/>
        <v>88.863067239873004</v>
      </c>
      <c r="AV251" s="1842">
        <f t="shared" ca="1" si="136"/>
        <v>96.374178419659287</v>
      </c>
      <c r="AW251" s="1842">
        <f t="shared" ca="1" si="136"/>
        <v>97.38190592007615</v>
      </c>
      <c r="AX251" s="1842">
        <f t="shared" ca="1" si="136"/>
        <v>0</v>
      </c>
      <c r="AY251" s="1842">
        <f t="shared" ca="1" si="136"/>
        <v>0</v>
      </c>
      <c r="AZ251" s="1842">
        <f t="shared" ca="1" si="136"/>
        <v>0</v>
      </c>
      <c r="BA251" s="1842">
        <f t="shared" ca="1" si="136"/>
        <v>0</v>
      </c>
      <c r="BB251" s="1842">
        <f t="shared" ca="1" si="136"/>
        <v>0</v>
      </c>
    </row>
    <row r="252" spans="3:57" s="793" customFormat="1" ht="17.100000000000001" customHeight="1">
      <c r="I252" s="1842">
        <f ca="1">SUM(L252:BB252)</f>
        <v>0</v>
      </c>
      <c r="J252" s="1842">
        <f ca="1">J251-J244</f>
        <v>0</v>
      </c>
      <c r="K252" s="1842">
        <f t="shared" ref="K252:BB252" ca="1" si="137">K251-K244</f>
        <v>0</v>
      </c>
      <c r="L252" s="1842">
        <f t="shared" ca="1" si="137"/>
        <v>0</v>
      </c>
      <c r="M252" s="1842">
        <f t="shared" ca="1" si="137"/>
        <v>0</v>
      </c>
      <c r="N252" s="1842">
        <f t="shared" ca="1" si="137"/>
        <v>0</v>
      </c>
      <c r="O252" s="1842">
        <f t="shared" ca="1" si="137"/>
        <v>0</v>
      </c>
      <c r="P252" s="1842">
        <f t="shared" ca="1" si="137"/>
        <v>0</v>
      </c>
      <c r="Q252" s="1842">
        <f t="shared" ca="1" si="137"/>
        <v>0</v>
      </c>
      <c r="R252" s="1842">
        <f t="shared" ca="1" si="137"/>
        <v>0</v>
      </c>
      <c r="S252" s="1842">
        <f t="shared" ca="1" si="137"/>
        <v>0</v>
      </c>
      <c r="T252" s="1842">
        <f t="shared" ca="1" si="137"/>
        <v>0</v>
      </c>
      <c r="U252" s="1842">
        <f t="shared" ca="1" si="137"/>
        <v>0</v>
      </c>
      <c r="V252" s="1842">
        <f t="shared" ca="1" si="137"/>
        <v>0</v>
      </c>
      <c r="W252" s="1842">
        <f t="shared" ca="1" si="137"/>
        <v>0</v>
      </c>
      <c r="X252" s="1842">
        <f t="shared" ca="1" si="137"/>
        <v>0</v>
      </c>
      <c r="Y252" s="1842">
        <f t="shared" ca="1" si="137"/>
        <v>0</v>
      </c>
      <c r="Z252" s="1842">
        <f t="shared" ca="1" si="137"/>
        <v>0</v>
      </c>
      <c r="AA252" s="1842">
        <f t="shared" ca="1" si="137"/>
        <v>0</v>
      </c>
      <c r="AB252" s="1842">
        <f t="shared" ca="1" si="137"/>
        <v>0</v>
      </c>
      <c r="AC252" s="1842">
        <f t="shared" ca="1" si="137"/>
        <v>0</v>
      </c>
      <c r="AD252" s="1843">
        <f t="shared" ca="1" si="137"/>
        <v>0</v>
      </c>
      <c r="AE252" s="1842">
        <f t="shared" ca="1" si="137"/>
        <v>0</v>
      </c>
      <c r="AF252" s="1842">
        <f t="shared" ca="1" si="137"/>
        <v>0</v>
      </c>
      <c r="AG252" s="1842">
        <f t="shared" ca="1" si="137"/>
        <v>0</v>
      </c>
      <c r="AH252" s="1842">
        <f t="shared" ca="1" si="137"/>
        <v>0</v>
      </c>
      <c r="AI252" s="1842">
        <f t="shared" ca="1" si="137"/>
        <v>0</v>
      </c>
      <c r="AJ252" s="1842">
        <f t="shared" ca="1" si="137"/>
        <v>0</v>
      </c>
      <c r="AK252" s="1842">
        <f t="shared" ca="1" si="137"/>
        <v>0</v>
      </c>
      <c r="AL252" s="1842">
        <f t="shared" ca="1" si="137"/>
        <v>0</v>
      </c>
      <c r="AM252" s="1842">
        <f t="shared" ca="1" si="137"/>
        <v>0</v>
      </c>
      <c r="AN252" s="1842">
        <f t="shared" ca="1" si="137"/>
        <v>0</v>
      </c>
      <c r="AO252" s="1842">
        <f t="shared" ca="1" si="137"/>
        <v>0</v>
      </c>
      <c r="AP252" s="1842">
        <f t="shared" ca="1" si="137"/>
        <v>0</v>
      </c>
      <c r="AQ252" s="1842">
        <f t="shared" ca="1" si="137"/>
        <v>0</v>
      </c>
      <c r="AR252" s="1842">
        <f t="shared" ca="1" si="137"/>
        <v>0</v>
      </c>
      <c r="AS252" s="1842">
        <f t="shared" ca="1" si="137"/>
        <v>0</v>
      </c>
      <c r="AT252" s="1842">
        <f t="shared" ca="1" si="137"/>
        <v>0</v>
      </c>
      <c r="AU252" s="1842">
        <f t="shared" ca="1" si="137"/>
        <v>0</v>
      </c>
      <c r="AV252" s="1842">
        <f t="shared" ca="1" si="137"/>
        <v>0</v>
      </c>
      <c r="AW252" s="1842">
        <f t="shared" ca="1" si="137"/>
        <v>0</v>
      </c>
      <c r="AX252" s="1842">
        <f t="shared" ca="1" si="137"/>
        <v>0</v>
      </c>
      <c r="AY252" s="1842">
        <f t="shared" ca="1" si="137"/>
        <v>0</v>
      </c>
      <c r="AZ252" s="1842">
        <f t="shared" ca="1" si="137"/>
        <v>0</v>
      </c>
      <c r="BA252" s="1842">
        <f t="shared" ca="1" si="137"/>
        <v>0</v>
      </c>
      <c r="BB252" s="1842">
        <f t="shared" ca="1" si="137"/>
        <v>0</v>
      </c>
    </row>
    <row r="253" spans="3:57" s="793" customFormat="1" ht="17.100000000000001" customHeight="1"/>
  </sheetData>
  <phoneticPr fontId="12" type="noConversion"/>
  <pageMargins left="0.59055118110236227" right="0.59055118110236227" top="0.59055118110236227" bottom="0.59055118110236227" header="0.51181102362204722" footer="0.39370078740157483"/>
  <pageSetup paperSize="8" scale="85" firstPageNumber="4" orientation="landscape" useFirstPageNumber="1" r:id="rId1"/>
  <headerFooter alignWithMargins="0">
    <oddFooter>&amp;RⅢ - &amp;P</oddFooter>
  </headerFooter>
  <rowBreaks count="1" manualBreakCount="1">
    <brk id="57" max="39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50B4F-931B-44A2-AA18-3F3B150DFEBA}">
  <sheetPr codeName="Sheet4"/>
  <dimension ref="A2:GE322"/>
  <sheetViews>
    <sheetView showGridLines="0" zoomScale="78" zoomScaleNormal="78" workbookViewId="0">
      <pane xSplit="9" ySplit="10" topLeftCell="N11" activePane="bottomRight" state="frozen"/>
      <selection pane="topRight" activeCell="J1" sqref="J1"/>
      <selection pane="bottomLeft" activeCell="A11" sqref="A11"/>
      <selection pane="bottomRight" activeCell="S75" sqref="S75"/>
    </sheetView>
  </sheetViews>
  <sheetFormatPr defaultColWidth="0" defaultRowHeight="12" outlineLevelRow="1" outlineLevelCol="1"/>
  <cols>
    <col min="1" max="1" width="0.88671875" style="2348" customWidth="1"/>
    <col min="2" max="2" width="2.5546875" style="2348" customWidth="1"/>
    <col min="3" max="3" width="1.5546875" style="2348" customWidth="1"/>
    <col min="4" max="4" width="6.33203125" style="2348" customWidth="1"/>
    <col min="5" max="5" width="8.5546875" style="2348" customWidth="1"/>
    <col min="6" max="6" width="9.44140625" style="2348" customWidth="1"/>
    <col min="7" max="7" width="12.5546875" style="2348" customWidth="1"/>
    <col min="8" max="8" width="9.33203125" style="2348" customWidth="1"/>
    <col min="9" max="9" width="0.5546875" style="2348" customWidth="1"/>
    <col min="10" max="21" width="7.6640625" style="2348" customWidth="1" outlineLevel="1"/>
    <col min="22" max="22" width="7.6640625" style="2348" customWidth="1" outlineLevel="1" collapsed="1"/>
    <col min="23" max="27" width="7.6640625" style="2348" customWidth="1" outlineLevel="1"/>
    <col min="28" max="66" width="7.6640625" style="2348" customWidth="1"/>
    <col min="67" max="67" width="8.88671875" style="2348" customWidth="1"/>
    <col min="68" max="187" width="0" style="2348" hidden="1" customWidth="1"/>
    <col min="188" max="16384" width="8.88671875" style="2348" hidden="1"/>
  </cols>
  <sheetData>
    <row r="2" spans="1:187" s="305" customFormat="1" ht="18.75" customHeight="1">
      <c r="A2" s="303"/>
      <c r="B2" s="304" t="s">
        <v>3907</v>
      </c>
      <c r="C2" s="304"/>
      <c r="D2" s="304"/>
      <c r="E2" s="304"/>
      <c r="F2" s="2344"/>
      <c r="H2" s="2344"/>
      <c r="I2" s="2344"/>
      <c r="J2" s="2344"/>
      <c r="K2" s="2344"/>
      <c r="L2" s="2344"/>
      <c r="M2" s="2344"/>
      <c r="N2" s="2344"/>
      <c r="O2" s="2344"/>
    </row>
    <row r="3" spans="1:187" s="302" customFormat="1" ht="17.100000000000001" customHeight="1">
      <c r="C3" s="302" t="s">
        <v>3908</v>
      </c>
      <c r="F3" s="2345">
        <f>Sensitivity!E11</f>
        <v>39995</v>
      </c>
      <c r="G3" s="2346">
        <f>EOMONTH(F3,H3*12-1)</f>
        <v>58256</v>
      </c>
      <c r="H3" s="792">
        <f>SUM(J3:BN3)</f>
        <v>50</v>
      </c>
      <c r="I3" s="792"/>
      <c r="J3" s="792">
        <v>0</v>
      </c>
      <c r="K3" s="792">
        <v>0</v>
      </c>
      <c r="L3" s="792">
        <v>0</v>
      </c>
      <c r="M3" s="792">
        <v>0</v>
      </c>
      <c r="N3" s="2347">
        <v>0</v>
      </c>
      <c r="O3" s="2347">
        <v>0</v>
      </c>
      <c r="P3" s="2347">
        <v>0.50410958904109593</v>
      </c>
      <c r="Q3" s="2347">
        <v>1</v>
      </c>
      <c r="R3" s="2347">
        <v>1</v>
      </c>
      <c r="S3" s="2347">
        <v>1</v>
      </c>
      <c r="T3" s="2347">
        <v>1</v>
      </c>
      <c r="U3" s="2347">
        <v>1</v>
      </c>
      <c r="V3" s="2347">
        <v>1</v>
      </c>
      <c r="W3" s="2347">
        <v>1</v>
      </c>
      <c r="X3" s="2347">
        <v>1</v>
      </c>
      <c r="Y3" s="2347">
        <v>1</v>
      </c>
      <c r="Z3" s="2347">
        <v>1</v>
      </c>
      <c r="AA3" s="2347">
        <v>1</v>
      </c>
      <c r="AB3" s="2347">
        <v>1</v>
      </c>
      <c r="AC3" s="2347">
        <v>1</v>
      </c>
      <c r="AD3" s="2347">
        <v>1</v>
      </c>
      <c r="AE3" s="2347">
        <v>1</v>
      </c>
      <c r="AF3" s="2347">
        <v>1</v>
      </c>
      <c r="AG3" s="2347">
        <v>1</v>
      </c>
      <c r="AH3" s="2347">
        <v>1</v>
      </c>
      <c r="AI3" s="2347">
        <v>1</v>
      </c>
      <c r="AJ3" s="2347">
        <v>1</v>
      </c>
      <c r="AK3" s="2347">
        <v>1</v>
      </c>
      <c r="AL3" s="2347">
        <v>1</v>
      </c>
      <c r="AM3" s="2347">
        <v>1</v>
      </c>
      <c r="AN3" s="2347">
        <v>1</v>
      </c>
      <c r="AO3" s="2347">
        <v>1</v>
      </c>
      <c r="AP3" s="2347">
        <v>1</v>
      </c>
      <c r="AQ3" s="2347">
        <v>1</v>
      </c>
      <c r="AR3" s="2347">
        <v>1</v>
      </c>
      <c r="AS3" s="2347">
        <v>1</v>
      </c>
      <c r="AT3" s="2347">
        <v>1</v>
      </c>
      <c r="AU3" s="2347">
        <v>1</v>
      </c>
      <c r="AV3" s="2347">
        <v>1</v>
      </c>
      <c r="AW3" s="2347">
        <v>1</v>
      </c>
      <c r="AX3" s="2347">
        <v>1</v>
      </c>
      <c r="AY3" s="2347">
        <v>1</v>
      </c>
      <c r="AZ3" s="2347">
        <v>1</v>
      </c>
      <c r="BA3" s="2347">
        <v>1</v>
      </c>
      <c r="BB3" s="2347">
        <v>1</v>
      </c>
      <c r="BC3" s="2347">
        <v>1</v>
      </c>
      <c r="BD3" s="2347">
        <v>1</v>
      </c>
      <c r="BE3" s="2347">
        <v>1</v>
      </c>
      <c r="BF3" s="2347">
        <v>1</v>
      </c>
      <c r="BG3" s="2347">
        <v>1</v>
      </c>
      <c r="BH3" s="2347">
        <v>1</v>
      </c>
      <c r="BI3" s="2347">
        <v>1</v>
      </c>
      <c r="BJ3" s="2347">
        <v>1</v>
      </c>
      <c r="BK3" s="2347">
        <v>1</v>
      </c>
      <c r="BL3" s="2347">
        <v>1</v>
      </c>
      <c r="BM3" s="1256">
        <v>1</v>
      </c>
      <c r="BN3" s="1256">
        <v>0.49589041095890407</v>
      </c>
      <c r="DZ3" s="792"/>
      <c r="EA3" s="792"/>
      <c r="EB3" s="792"/>
      <c r="EC3" s="792"/>
      <c r="ED3" s="792"/>
      <c r="EE3" s="792"/>
      <c r="EF3" s="792"/>
      <c r="EG3" s="792"/>
      <c r="EH3" s="792"/>
      <c r="EI3" s="792"/>
      <c r="ET3" s="792"/>
      <c r="EU3" s="792"/>
      <c r="EV3" s="792"/>
      <c r="EW3" s="792"/>
      <c r="EX3" s="792"/>
      <c r="EY3" s="792"/>
      <c r="EZ3" s="792"/>
      <c r="FA3" s="792"/>
      <c r="FB3" s="792"/>
      <c r="FC3" s="792"/>
      <c r="FN3" s="792"/>
      <c r="FO3" s="792"/>
      <c r="FP3" s="792"/>
      <c r="FQ3" s="792"/>
      <c r="FR3" s="792"/>
      <c r="FS3" s="792"/>
      <c r="FT3" s="792"/>
      <c r="FU3" s="792"/>
      <c r="FV3" s="792"/>
      <c r="FW3" s="792"/>
      <c r="FX3" s="792"/>
      <c r="FY3" s="792"/>
      <c r="FZ3" s="792"/>
      <c r="GA3" s="792"/>
      <c r="GB3" s="792"/>
      <c r="GC3" s="792"/>
      <c r="GD3" s="792"/>
      <c r="GE3" s="792"/>
    </row>
    <row r="4" spans="1:187" s="302" customFormat="1" ht="17.100000000000001" customHeight="1">
      <c r="C4" s="302" t="s">
        <v>3909</v>
      </c>
      <c r="F4" s="2345">
        <v>37803</v>
      </c>
      <c r="G4" s="2346">
        <f>F3-1</f>
        <v>39994</v>
      </c>
      <c r="H4" s="2347">
        <f>SUM(J4:AT4)</f>
        <v>5.9958904109589044</v>
      </c>
      <c r="I4" s="2347"/>
      <c r="J4" s="2347">
        <v>0.5</v>
      </c>
      <c r="K4" s="2347">
        <v>1</v>
      </c>
      <c r="L4" s="2347">
        <v>1</v>
      </c>
      <c r="M4" s="2347">
        <v>1</v>
      </c>
      <c r="N4" s="2347">
        <v>1</v>
      </c>
      <c r="O4" s="2347">
        <v>1</v>
      </c>
      <c r="P4" s="2347">
        <f>1-P3</f>
        <v>0.49589041095890407</v>
      </c>
      <c r="Q4" s="2347"/>
      <c r="R4" s="2347"/>
      <c r="S4" s="2347"/>
      <c r="T4" s="2347"/>
      <c r="U4" s="2347"/>
      <c r="V4" s="2347"/>
      <c r="W4" s="2347"/>
      <c r="X4" s="2347"/>
      <c r="Y4" s="2347"/>
      <c r="Z4" s="2347"/>
      <c r="AA4" s="2347"/>
      <c r="AB4" s="2347"/>
      <c r="AC4" s="2347"/>
      <c r="AD4" s="2347"/>
      <c r="AE4" s="2347"/>
      <c r="AF4" s="2347"/>
      <c r="AG4" s="2347"/>
      <c r="AH4" s="2347"/>
      <c r="AI4" s="2347"/>
      <c r="AJ4" s="2347"/>
      <c r="AK4" s="2347"/>
      <c r="AL4" s="2347"/>
      <c r="AM4" s="2347"/>
      <c r="AN4" s="1256"/>
      <c r="AO4" s="1256"/>
      <c r="AP4" s="1256"/>
      <c r="AQ4" s="1256"/>
      <c r="AR4" s="1256"/>
      <c r="AS4" s="1256"/>
      <c r="AT4" s="1256"/>
      <c r="AU4" s="1256"/>
      <c r="AV4" s="1256"/>
      <c r="AW4" s="1256"/>
      <c r="AX4" s="1256"/>
      <c r="AY4" s="1256"/>
      <c r="AZ4" s="1256"/>
      <c r="BA4" s="1256"/>
      <c r="BB4" s="1256"/>
      <c r="BC4" s="1256"/>
      <c r="BD4" s="1256"/>
      <c r="BE4" s="1256"/>
      <c r="BF4" s="1256"/>
      <c r="BG4" s="1256"/>
      <c r="BH4" s="1256"/>
      <c r="BI4" s="1256"/>
      <c r="BJ4" s="1256"/>
      <c r="BK4" s="1256"/>
      <c r="BL4" s="1256"/>
      <c r="BM4" s="1256"/>
      <c r="BN4" s="1256"/>
      <c r="DZ4" s="792"/>
      <c r="EA4" s="792"/>
      <c r="EB4" s="792"/>
      <c r="EC4" s="792"/>
      <c r="ED4" s="792"/>
      <c r="EE4" s="792"/>
      <c r="EF4" s="792"/>
      <c r="EG4" s="792"/>
      <c r="EH4" s="792"/>
      <c r="EI4" s="792"/>
      <c r="ET4" s="792"/>
      <c r="EU4" s="792"/>
      <c r="EV4" s="792"/>
      <c r="EW4" s="792"/>
      <c r="EX4" s="792"/>
      <c r="EY4" s="792"/>
      <c r="EZ4" s="792"/>
      <c r="FA4" s="792"/>
      <c r="FB4" s="792"/>
      <c r="FC4" s="792"/>
      <c r="FN4" s="792"/>
      <c r="FO4" s="792"/>
      <c r="FP4" s="792"/>
      <c r="FQ4" s="792"/>
      <c r="FR4" s="792"/>
      <c r="FS4" s="792"/>
      <c r="FT4" s="792"/>
      <c r="FU4" s="792"/>
      <c r="FV4" s="792"/>
      <c r="FW4" s="792"/>
      <c r="FX4" s="792"/>
      <c r="FY4" s="792"/>
      <c r="FZ4" s="792"/>
      <c r="GA4" s="792"/>
      <c r="GB4" s="792"/>
      <c r="GC4" s="792"/>
      <c r="GD4" s="792"/>
      <c r="GE4" s="792"/>
    </row>
    <row r="5" spans="1:187" ht="9" customHeight="1"/>
    <row r="6" spans="1:187" s="2349" customFormat="1" ht="9" customHeight="1"/>
    <row r="7" spans="1:187" ht="9" customHeight="1"/>
    <row r="8" spans="1:187" ht="15.75" customHeight="1">
      <c r="B8" s="2350" t="s">
        <v>3910</v>
      </c>
    </row>
    <row r="9" spans="1:187" ht="15.75" customHeight="1">
      <c r="B9" s="2350"/>
    </row>
    <row r="10" spans="1:187" ht="15.75" customHeight="1">
      <c r="C10" s="2351" t="s">
        <v>11</v>
      </c>
      <c r="D10" s="2352"/>
      <c r="E10" s="2352"/>
      <c r="F10" s="2352"/>
      <c r="G10" s="2352"/>
      <c r="H10" s="766" t="s">
        <v>40</v>
      </c>
      <c r="J10" s="5062">
        <f>J17</f>
        <v>2003</v>
      </c>
      <c r="K10" s="5062">
        <f>J10+1</f>
        <v>2004</v>
      </c>
      <c r="L10" s="5062">
        <f t="shared" ref="L10:BN10" si="0">K10+1</f>
        <v>2005</v>
      </c>
      <c r="M10" s="5062">
        <f t="shared" si="0"/>
        <v>2006</v>
      </c>
      <c r="N10" s="5062">
        <f t="shared" si="0"/>
        <v>2007</v>
      </c>
      <c r="O10" s="5062">
        <f t="shared" si="0"/>
        <v>2008</v>
      </c>
      <c r="P10" s="5062">
        <f t="shared" si="0"/>
        <v>2009</v>
      </c>
      <c r="Q10" s="5062">
        <f t="shared" si="0"/>
        <v>2010</v>
      </c>
      <c r="R10" s="5062">
        <f t="shared" si="0"/>
        <v>2011</v>
      </c>
      <c r="S10" s="5062">
        <f t="shared" si="0"/>
        <v>2012</v>
      </c>
      <c r="T10" s="5062">
        <f t="shared" si="0"/>
        <v>2013</v>
      </c>
      <c r="U10" s="5062">
        <f t="shared" si="0"/>
        <v>2014</v>
      </c>
      <c r="V10" s="5062">
        <f t="shared" si="0"/>
        <v>2015</v>
      </c>
      <c r="W10" s="5062">
        <f t="shared" si="0"/>
        <v>2016</v>
      </c>
      <c r="X10" s="5062">
        <f t="shared" si="0"/>
        <v>2017</v>
      </c>
      <c r="Y10" s="5062">
        <f t="shared" si="0"/>
        <v>2018</v>
      </c>
      <c r="Z10" s="5062">
        <f t="shared" si="0"/>
        <v>2019</v>
      </c>
      <c r="AA10" s="5062">
        <f t="shared" si="0"/>
        <v>2020</v>
      </c>
      <c r="AB10" s="2353">
        <f t="shared" si="0"/>
        <v>2021</v>
      </c>
      <c r="AC10" s="2353">
        <f t="shared" si="0"/>
        <v>2022</v>
      </c>
      <c r="AD10" s="2353">
        <f t="shared" si="0"/>
        <v>2023</v>
      </c>
      <c r="AE10" s="2353">
        <f t="shared" si="0"/>
        <v>2024</v>
      </c>
      <c r="AF10" s="2353">
        <f t="shared" si="0"/>
        <v>2025</v>
      </c>
      <c r="AG10" s="2353">
        <f t="shared" si="0"/>
        <v>2026</v>
      </c>
      <c r="AH10" s="2353">
        <f t="shared" si="0"/>
        <v>2027</v>
      </c>
      <c r="AI10" s="2353">
        <f t="shared" si="0"/>
        <v>2028</v>
      </c>
      <c r="AJ10" s="2353">
        <f t="shared" si="0"/>
        <v>2029</v>
      </c>
      <c r="AK10" s="2353">
        <f t="shared" si="0"/>
        <v>2030</v>
      </c>
      <c r="AL10" s="2353">
        <f t="shared" si="0"/>
        <v>2031</v>
      </c>
      <c r="AM10" s="2353">
        <f t="shared" si="0"/>
        <v>2032</v>
      </c>
      <c r="AN10" s="2353">
        <f t="shared" si="0"/>
        <v>2033</v>
      </c>
      <c r="AO10" s="2353">
        <f t="shared" si="0"/>
        <v>2034</v>
      </c>
      <c r="AP10" s="2353">
        <f t="shared" si="0"/>
        <v>2035</v>
      </c>
      <c r="AQ10" s="2353">
        <f t="shared" si="0"/>
        <v>2036</v>
      </c>
      <c r="AR10" s="2353">
        <f t="shared" si="0"/>
        <v>2037</v>
      </c>
      <c r="AS10" s="2353">
        <f t="shared" si="0"/>
        <v>2038</v>
      </c>
      <c r="AT10" s="2353">
        <f t="shared" si="0"/>
        <v>2039</v>
      </c>
      <c r="AU10" s="2353">
        <f t="shared" si="0"/>
        <v>2040</v>
      </c>
      <c r="AV10" s="2353">
        <f t="shared" si="0"/>
        <v>2041</v>
      </c>
      <c r="AW10" s="2353">
        <f t="shared" si="0"/>
        <v>2042</v>
      </c>
      <c r="AX10" s="2353">
        <f t="shared" si="0"/>
        <v>2043</v>
      </c>
      <c r="AY10" s="2353">
        <f t="shared" si="0"/>
        <v>2044</v>
      </c>
      <c r="AZ10" s="2353">
        <f t="shared" si="0"/>
        <v>2045</v>
      </c>
      <c r="BA10" s="2353">
        <f t="shared" si="0"/>
        <v>2046</v>
      </c>
      <c r="BB10" s="2353">
        <f t="shared" si="0"/>
        <v>2047</v>
      </c>
      <c r="BC10" s="2353">
        <f t="shared" si="0"/>
        <v>2048</v>
      </c>
      <c r="BD10" s="2353">
        <f t="shared" si="0"/>
        <v>2049</v>
      </c>
      <c r="BE10" s="2353">
        <f t="shared" si="0"/>
        <v>2050</v>
      </c>
      <c r="BF10" s="2353">
        <f t="shared" si="0"/>
        <v>2051</v>
      </c>
      <c r="BG10" s="2353">
        <f t="shared" si="0"/>
        <v>2052</v>
      </c>
      <c r="BH10" s="2353">
        <f t="shared" si="0"/>
        <v>2053</v>
      </c>
      <c r="BI10" s="2353">
        <f t="shared" si="0"/>
        <v>2054</v>
      </c>
      <c r="BJ10" s="2353">
        <f t="shared" si="0"/>
        <v>2055</v>
      </c>
      <c r="BK10" s="2353">
        <f t="shared" si="0"/>
        <v>2056</v>
      </c>
      <c r="BL10" s="2353">
        <f t="shared" si="0"/>
        <v>2057</v>
      </c>
      <c r="BM10" s="2353">
        <f t="shared" si="0"/>
        <v>2058</v>
      </c>
      <c r="BN10" s="2353">
        <f t="shared" si="0"/>
        <v>2059</v>
      </c>
    </row>
    <row r="11" spans="1:187" ht="15.75" customHeight="1">
      <c r="C11" s="2354"/>
      <c r="D11" s="2355" t="str">
        <f>B16</f>
        <v>1. 사업시행자 귀책사유</v>
      </c>
      <c r="E11" s="2356"/>
      <c r="F11" s="2356"/>
      <c r="G11" s="2356"/>
      <c r="H11" s="2357">
        <f ca="1">SUM(J11:AT11)</f>
        <v>1891898.0847133154</v>
      </c>
      <c r="I11" s="2358"/>
      <c r="J11" s="5063"/>
      <c r="K11" s="5063"/>
      <c r="L11" s="5063"/>
      <c r="M11" s="5063"/>
      <c r="N11" s="5063"/>
      <c r="O11" s="5063"/>
      <c r="P11" s="5063"/>
      <c r="Q11" s="5063"/>
      <c r="R11" s="5063"/>
      <c r="S11" s="5063"/>
      <c r="T11" s="5063"/>
      <c r="U11" s="5063"/>
      <c r="V11" s="5063">
        <f>V30</f>
        <v>136053.61020570088</v>
      </c>
      <c r="W11" s="5063">
        <f t="shared" ref="W11:BN11" si="1">W30</f>
        <v>128533.29574607371</v>
      </c>
      <c r="X11" s="5063">
        <f t="shared" si="1"/>
        <v>121519.5045942264</v>
      </c>
      <c r="Y11" s="5063">
        <f t="shared" si="1"/>
        <v>114785.00988821698</v>
      </c>
      <c r="Z11" s="5063">
        <f t="shared" si="1"/>
        <v>107799.94683040405</v>
      </c>
      <c r="AA11" s="5063">
        <f t="shared" si="1"/>
        <v>101113.58628189348</v>
      </c>
      <c r="AB11" s="2357">
        <f t="shared" si="1"/>
        <v>97751.058874510767</v>
      </c>
      <c r="AC11" s="2357">
        <f t="shared" ca="1" si="1"/>
        <v>92497.487855435451</v>
      </c>
      <c r="AD11" s="2357">
        <f t="shared" ca="1" si="1"/>
        <v>87526.26680545765</v>
      </c>
      <c r="AE11" s="2357">
        <f t="shared" ca="1" si="1"/>
        <v>82822.220997756333</v>
      </c>
      <c r="AF11" s="2357">
        <f t="shared" ca="1" si="1"/>
        <v>78370.991261945019</v>
      </c>
      <c r="AG11" s="2357">
        <f t="shared" ca="1" si="1"/>
        <v>74158.990152488797</v>
      </c>
      <c r="AH11" s="2357">
        <f t="shared" ca="1" si="1"/>
        <v>70173.360472823013</v>
      </c>
      <c r="AI11" s="2357">
        <f t="shared" ca="1" si="1"/>
        <v>66401.936028567914</v>
      </c>
      <c r="AJ11" s="2357">
        <f t="shared" ca="1" si="1"/>
        <v>62833.20449003781</v>
      </c>
      <c r="AK11" s="2357">
        <f t="shared" ca="1" si="1"/>
        <v>59456.272250682086</v>
      </c>
      <c r="AL11" s="2357">
        <f t="shared" ca="1" si="1"/>
        <v>56260.831174187675</v>
      </c>
      <c r="AM11" s="2357">
        <f t="shared" ca="1" si="1"/>
        <v>53237.127128738452</v>
      </c>
      <c r="AN11" s="2357">
        <f t="shared" ca="1" si="1"/>
        <v>50375.930212381601</v>
      </c>
      <c r="AO11" s="2357">
        <f t="shared" ca="1" si="1"/>
        <v>47668.506578613262</v>
      </c>
      <c r="AP11" s="2357">
        <f t="shared" ca="1" si="1"/>
        <v>45106.59177618134</v>
      </c>
      <c r="AQ11" s="2357">
        <f t="shared" ca="1" si="1"/>
        <v>42682.365521723877</v>
      </c>
      <c r="AR11" s="2357">
        <f t="shared" ca="1" si="1"/>
        <v>40388.427828236883</v>
      </c>
      <c r="AS11" s="2357">
        <f t="shared" ca="1" si="1"/>
        <v>38217.776416503002</v>
      </c>
      <c r="AT11" s="2357">
        <f t="shared" ca="1" si="1"/>
        <v>36163.785340529124</v>
      </c>
      <c r="AU11" s="2357">
        <f t="shared" ca="1" si="1"/>
        <v>34220.184761747012</v>
      </c>
      <c r="AV11" s="2357">
        <f t="shared" ca="1" si="1"/>
        <v>32381.041810236798</v>
      </c>
      <c r="AW11" s="2357">
        <f t="shared" ca="1" si="1"/>
        <v>30640.742474552699</v>
      </c>
      <c r="AX11" s="2357">
        <f t="shared" ca="1" si="1"/>
        <v>28993.974464868908</v>
      </c>
      <c r="AY11" s="2357">
        <f t="shared" ca="1" si="1"/>
        <v>27435.710997135127</v>
      </c>
      <c r="AZ11" s="2357">
        <f t="shared" ca="1" si="1"/>
        <v>25961.19544874287</v>
      </c>
      <c r="BA11" s="2357">
        <f t="shared" ca="1" si="1"/>
        <v>24565.926838863608</v>
      </c>
      <c r="BB11" s="2357">
        <f t="shared" ca="1" si="1"/>
        <v>23245.646089137324</v>
      </c>
      <c r="BC11" s="2357">
        <f t="shared" ca="1" si="1"/>
        <v>21996.323022771878</v>
      </c>
      <c r="BD11" s="2357">
        <f t="shared" ca="1" si="1"/>
        <v>20814.144062367937</v>
      </c>
      <c r="BE11" s="2357">
        <f t="shared" ca="1" si="1"/>
        <v>19695.500588916755</v>
      </c>
      <c r="BF11" s="2357">
        <f t="shared" ca="1" si="1"/>
        <v>18636.977926436481</v>
      </c>
      <c r="BG11" s="2357">
        <f t="shared" ca="1" si="1"/>
        <v>17635.344918622559</v>
      </c>
      <c r="BH11" s="2357">
        <f t="shared" ca="1" si="1"/>
        <v>16687.544065694594</v>
      </c>
      <c r="BI11" s="2357">
        <f t="shared" ca="1" si="1"/>
        <v>15790.682191332484</v>
      </c>
      <c r="BJ11" s="2357">
        <f t="shared" ca="1" si="1"/>
        <v>14942.021611212211</v>
      </c>
      <c r="BK11" s="2357">
        <f t="shared" ca="1" si="1"/>
        <v>14138.971776183436</v>
      </c>
      <c r="BL11" s="2357">
        <f t="shared" ca="1" si="1"/>
        <v>13379.081364579402</v>
      </c>
      <c r="BM11" s="2357">
        <f t="shared" ca="1" si="1"/>
        <v>12660.030799520669</v>
      </c>
      <c r="BN11" s="2357">
        <f t="shared" ca="1" si="1"/>
        <v>12410.756948848672</v>
      </c>
    </row>
    <row r="12" spans="1:187" s="2359" customFormat="1" ht="15.75" customHeight="1">
      <c r="C12" s="2360"/>
      <c r="D12" s="2359" t="str">
        <f>B37</f>
        <v>2. 정부 귀책사유</v>
      </c>
      <c r="H12" s="2361">
        <f ca="1">SUM(J12:AT12)</f>
        <v>3603956.0887129065</v>
      </c>
      <c r="I12" s="2362"/>
      <c r="J12" s="5064"/>
      <c r="K12" s="5064"/>
      <c r="L12" s="5064"/>
      <c r="M12" s="5064"/>
      <c r="N12" s="5064"/>
      <c r="O12" s="5064"/>
      <c r="P12" s="2612"/>
      <c r="Q12" s="2612"/>
      <c r="R12" s="2612"/>
      <c r="S12" s="2612"/>
      <c r="T12" s="5064"/>
      <c r="U12" s="5064"/>
      <c r="V12" s="5064">
        <f>V56</f>
        <v>194488.25873666679</v>
      </c>
      <c r="W12" s="5064">
        <f t="shared" ref="W12:BN12" si="2">W56</f>
        <v>188992.13799200533</v>
      </c>
      <c r="X12" s="5064">
        <f t="shared" si="2"/>
        <v>185074.69525535207</v>
      </c>
      <c r="Y12" s="5064">
        <f t="shared" si="2"/>
        <v>182577.44010585587</v>
      </c>
      <c r="Z12" s="5064">
        <f t="shared" si="2"/>
        <v>179342.5529278458</v>
      </c>
      <c r="AA12" s="5064">
        <f t="shared" si="2"/>
        <v>186035.80088636861</v>
      </c>
      <c r="AB12" s="1496">
        <f t="shared" si="2"/>
        <v>184037.60476005971</v>
      </c>
      <c r="AC12" s="1496">
        <f t="shared" ca="1" si="2"/>
        <v>170476.12126252061</v>
      </c>
      <c r="AD12" s="1496">
        <f t="shared" ca="1" si="2"/>
        <v>165740.56816320214</v>
      </c>
      <c r="AE12" s="1496">
        <f t="shared" ca="1" si="2"/>
        <v>164363.02939435892</v>
      </c>
      <c r="AF12" s="1496">
        <f t="shared" ca="1" si="2"/>
        <v>163722.61864978581</v>
      </c>
      <c r="AG12" s="1496">
        <f t="shared" ca="1" si="2"/>
        <v>148800.48666972871</v>
      </c>
      <c r="AH12" s="1496">
        <f t="shared" ca="1" si="2"/>
        <v>129487.25049609528</v>
      </c>
      <c r="AI12" s="1496">
        <f t="shared" ca="1" si="2"/>
        <v>122944.00230077436</v>
      </c>
      <c r="AJ12" s="1496">
        <f t="shared" ca="1" si="2"/>
        <v>123403.3397445415</v>
      </c>
      <c r="AK12" s="1496">
        <f t="shared" ca="1" si="2"/>
        <v>122866.80828850986</v>
      </c>
      <c r="AL12" s="1496">
        <f t="shared" ca="1" si="2"/>
        <v>122207.08360684452</v>
      </c>
      <c r="AM12" s="1496">
        <f t="shared" ca="1" si="2"/>
        <v>121140.49001284249</v>
      </c>
      <c r="AN12" s="1496">
        <f t="shared" ca="1" si="2"/>
        <v>119016.96301926405</v>
      </c>
      <c r="AO12" s="1496">
        <f t="shared" ca="1" si="2"/>
        <v>115899.41657324179</v>
      </c>
      <c r="AP12" s="1496">
        <f t="shared" ca="1" si="2"/>
        <v>111727.33621377396</v>
      </c>
      <c r="AQ12" s="1496">
        <f t="shared" ca="1" si="2"/>
        <v>106907.70152781249</v>
      </c>
      <c r="AR12" s="1496">
        <f t="shared" ca="1" si="2"/>
        <v>102730.74876759821</v>
      </c>
      <c r="AS12" s="1496">
        <f t="shared" ca="1" si="2"/>
        <v>98388.494654205948</v>
      </c>
      <c r="AT12" s="1496">
        <f t="shared" ca="1" si="2"/>
        <v>93585.138703652134</v>
      </c>
      <c r="AU12" s="1496">
        <f t="shared" ca="1" si="2"/>
        <v>89301.495589268277</v>
      </c>
      <c r="AV12" s="1496">
        <f t="shared" ca="1" si="2"/>
        <v>84603.030318799327</v>
      </c>
      <c r="AW12" s="1496">
        <f t="shared" ca="1" si="2"/>
        <v>79325.280824988018</v>
      </c>
      <c r="AX12" s="1496">
        <f t="shared" ca="1" si="2"/>
        <v>74522.137593399035</v>
      </c>
      <c r="AY12" s="1496">
        <f t="shared" ca="1" si="2"/>
        <v>69319.210965512932</v>
      </c>
      <c r="AZ12" s="1496">
        <f t="shared" ca="1" si="2"/>
        <v>63783.940384001238</v>
      </c>
      <c r="BA12" s="1496">
        <f t="shared" ca="1" si="2"/>
        <v>58554.217559061217</v>
      </c>
      <c r="BB12" s="1496">
        <f t="shared" ca="1" si="2"/>
        <v>53353.155797734682</v>
      </c>
      <c r="BC12" s="1496">
        <f t="shared" ca="1" si="2"/>
        <v>50400.838194358286</v>
      </c>
      <c r="BD12" s="1496">
        <f t="shared" ca="1" si="2"/>
        <v>48033.720078635233</v>
      </c>
      <c r="BE12" s="1496">
        <f t="shared" ca="1" si="2"/>
        <v>43768.630500746134</v>
      </c>
      <c r="BF12" s="1496">
        <f t="shared" ca="1" si="2"/>
        <v>39174.095825397591</v>
      </c>
      <c r="BG12" s="1496">
        <f t="shared" ca="1" si="2"/>
        <v>35142.986103700328</v>
      </c>
      <c r="BH12" s="1496">
        <f t="shared" ca="1" si="2"/>
        <v>31179.593307468174</v>
      </c>
      <c r="BI12" s="1496">
        <f t="shared" ca="1" si="2"/>
        <v>27087.440317344568</v>
      </c>
      <c r="BJ12" s="1496">
        <f t="shared" ca="1" si="2"/>
        <v>23456.340009679414</v>
      </c>
      <c r="BK12" s="1496">
        <f t="shared" ca="1" si="2"/>
        <v>20442.939303380757</v>
      </c>
      <c r="BL12" s="1496">
        <f t="shared" ca="1" si="2"/>
        <v>18147.352195562631</v>
      </c>
      <c r="BM12" s="1496">
        <f t="shared" ca="1" si="2"/>
        <v>16865.801157418213</v>
      </c>
      <c r="BN12" s="1496">
        <f t="shared" ca="1" si="2"/>
        <v>16533.71640456461</v>
      </c>
    </row>
    <row r="13" spans="1:187" s="2359" customFormat="1" ht="15.75" customHeight="1">
      <c r="C13" s="2360"/>
      <c r="D13" s="2359" t="str">
        <f>B132</f>
        <v>3. 비정치적 불가항력</v>
      </c>
      <c r="H13" s="2361">
        <f ca="1">SUM(J13:AT13)</f>
        <v>3511109.6866568048</v>
      </c>
      <c r="I13" s="2362"/>
      <c r="J13" s="5064"/>
      <c r="K13" s="5064"/>
      <c r="L13" s="5064"/>
      <c r="M13" s="5064"/>
      <c r="N13" s="5064"/>
      <c r="O13" s="5064"/>
      <c r="P13" s="2612"/>
      <c r="Q13" s="2612"/>
      <c r="R13" s="2612"/>
      <c r="S13" s="2612"/>
      <c r="T13" s="2612"/>
      <c r="U13" s="2612"/>
      <c r="V13" s="2612">
        <f>V151</f>
        <v>191727.98121967001</v>
      </c>
      <c r="W13" s="2612">
        <f t="shared" ref="W13:BN13" si="3">W151</f>
        <v>185983.50205404137</v>
      </c>
      <c r="X13" s="2612">
        <f t="shared" si="3"/>
        <v>181851.18047408541</v>
      </c>
      <c r="Y13" s="2612">
        <f t="shared" si="3"/>
        <v>179174.52245979471</v>
      </c>
      <c r="Z13" s="2612">
        <f t="shared" si="3"/>
        <v>175810.45595720696</v>
      </c>
      <c r="AA13" s="2612">
        <f t="shared" si="3"/>
        <v>182407.38255963201</v>
      </c>
      <c r="AB13" s="2361">
        <f t="shared" si="3"/>
        <v>180224.9360580795</v>
      </c>
      <c r="AC13" s="2361">
        <f t="shared" ca="1" si="3"/>
        <v>166579.8362396514</v>
      </c>
      <c r="AD13" s="2361">
        <f t="shared" ca="1" si="3"/>
        <v>161780.6673746602</v>
      </c>
      <c r="AE13" s="2361">
        <f t="shared" ca="1" si="3"/>
        <v>160357.60508243763</v>
      </c>
      <c r="AF13" s="2361">
        <f t="shared" ca="1" si="3"/>
        <v>159688.00209529052</v>
      </c>
      <c r="AG13" s="2361">
        <f t="shared" ca="1" si="3"/>
        <v>144751.38521687011</v>
      </c>
      <c r="AH13" s="2361">
        <f t="shared" ca="1" si="3"/>
        <v>125436.8749352102</v>
      </c>
      <c r="AI13" s="2361">
        <f t="shared" ca="1" si="3"/>
        <v>118904.1852495082</v>
      </c>
      <c r="AJ13" s="2361">
        <f t="shared" ca="1" si="3"/>
        <v>119384.64562711699</v>
      </c>
      <c r="AK13" s="2361">
        <f t="shared" ca="1" si="3"/>
        <v>118878.63547425439</v>
      </c>
      <c r="AL13" s="2361">
        <f t="shared" ca="1" si="3"/>
        <v>118257.75923309712</v>
      </c>
      <c r="AM13" s="2361">
        <f t="shared" ca="1" si="3"/>
        <v>117237.35798356438</v>
      </c>
      <c r="AN13" s="2361">
        <f t="shared" ca="1" si="3"/>
        <v>115166.46563899616</v>
      </c>
      <c r="AO13" s="2361">
        <f t="shared" ca="1" si="3"/>
        <v>112107.17024635752</v>
      </c>
      <c r="AP13" s="2361">
        <f t="shared" ca="1" si="3"/>
        <v>107998.20161114514</v>
      </c>
      <c r="AQ13" s="2361">
        <f t="shared" ca="1" si="3"/>
        <v>103245.8485969248</v>
      </c>
      <c r="AR13" s="2361">
        <f t="shared" ca="1" si="3"/>
        <v>99139.716937714606</v>
      </c>
      <c r="AS13" s="2361">
        <f t="shared" ca="1" si="3"/>
        <v>94871.248565276779</v>
      </c>
      <c r="AT13" s="2361">
        <f t="shared" ca="1" si="3"/>
        <v>90144.119766219097</v>
      </c>
      <c r="AU13" s="2361">
        <f t="shared" ca="1" si="3"/>
        <v>85938.669662512781</v>
      </c>
      <c r="AV13" s="2361">
        <f t="shared" ca="1" si="3"/>
        <v>81319.931775062665</v>
      </c>
      <c r="AW13" s="2361">
        <f t="shared" ca="1" si="3"/>
        <v>76123.053251460762</v>
      </c>
      <c r="AX13" s="2361">
        <f t="shared" ca="1" si="3"/>
        <v>71401.571365167707</v>
      </c>
      <c r="AY13" s="2361">
        <f t="shared" ca="1" si="3"/>
        <v>66280.777908692806</v>
      </c>
      <c r="AZ13" s="2361">
        <f t="shared" ca="1" si="3"/>
        <v>60827.825733210295</v>
      </c>
      <c r="BA13" s="2361">
        <f t="shared" ca="1" si="3"/>
        <v>55680.349399939805</v>
      </c>
      <c r="BB13" s="2361">
        <f t="shared" ca="1" si="3"/>
        <v>50561.232172532662</v>
      </c>
      <c r="BC13" s="2361">
        <f t="shared" ca="1" si="3"/>
        <v>47690.352036740078</v>
      </c>
      <c r="BD13" s="2361">
        <f t="shared" ca="1" si="3"/>
        <v>45403.982132744066</v>
      </c>
      <c r="BE13" s="2361">
        <f t="shared" ca="1" si="3"/>
        <v>41218.790369173992</v>
      </c>
      <c r="BF13" s="2361">
        <f t="shared" ca="1" si="3"/>
        <v>36703.161280981447</v>
      </c>
      <c r="BG13" s="2361">
        <f t="shared" ca="1" si="3"/>
        <v>32749.840790967872</v>
      </c>
      <c r="BH13" s="2361">
        <f t="shared" ca="1" si="3"/>
        <v>28863.012951046228</v>
      </c>
      <c r="BI13" s="2361">
        <f t="shared" ca="1" si="3"/>
        <v>24846.107546685042</v>
      </c>
      <c r="BJ13" s="2361">
        <f t="shared" ca="1" si="3"/>
        <v>21288.857902015898</v>
      </c>
      <c r="BK13" s="2361">
        <f t="shared" ca="1" si="3"/>
        <v>18347.843739870659</v>
      </c>
      <c r="BL13" s="2361">
        <f t="shared" ca="1" si="3"/>
        <v>16123.123119066287</v>
      </c>
      <c r="BM13" s="2361">
        <f t="shared" ca="1" si="3"/>
        <v>14891.289991212961</v>
      </c>
      <c r="BN13" s="2361">
        <f t="shared" ca="1" si="3"/>
        <v>14598.083026998926</v>
      </c>
    </row>
    <row r="14" spans="1:187" s="2359" customFormat="1" ht="15.75" customHeight="1">
      <c r="C14" s="2363"/>
      <c r="D14" s="2364" t="str">
        <f>B199</f>
        <v>4. 정치적 불가항력</v>
      </c>
      <c r="E14" s="2364"/>
      <c r="F14" s="2364"/>
      <c r="G14" s="2364"/>
      <c r="H14" s="2365">
        <f ca="1">SUM(J14:AT14)</f>
        <v>3556160.6335022608</v>
      </c>
      <c r="I14" s="2362"/>
      <c r="J14" s="5065"/>
      <c r="K14" s="5065"/>
      <c r="L14" s="5065"/>
      <c r="M14" s="5065"/>
      <c r="N14" s="5065"/>
      <c r="O14" s="5065"/>
      <c r="P14" s="2630"/>
      <c r="Q14" s="2630"/>
      <c r="R14" s="2630"/>
      <c r="S14" s="2630"/>
      <c r="T14" s="2630"/>
      <c r="U14" s="2630"/>
      <c r="V14" s="2630">
        <f>V218</f>
        <v>193067.32354143055</v>
      </c>
      <c r="W14" s="2630">
        <f t="shared" ref="W14:BN14" si="4">W218</f>
        <v>187443.35289065909</v>
      </c>
      <c r="X14" s="2630">
        <f t="shared" si="4"/>
        <v>183415.29485924641</v>
      </c>
      <c r="Y14" s="2630">
        <f t="shared" si="4"/>
        <v>180825.68673323136</v>
      </c>
      <c r="Z14" s="2630">
        <f t="shared" si="4"/>
        <v>177524.30064427518</v>
      </c>
      <c r="AA14" s="2630">
        <f>AA218</f>
        <v>184167.96431133113</v>
      </c>
      <c r="AB14" s="2365">
        <f t="shared" si="4"/>
        <v>182074.91980789095</v>
      </c>
      <c r="AC14" s="2365">
        <f t="shared" ca="1" si="4"/>
        <v>168470.39231476962</v>
      </c>
      <c r="AD14" s="2365">
        <f t="shared" ca="1" si="4"/>
        <v>163702.09110231409</v>
      </c>
      <c r="AE14" s="2365">
        <f t="shared" ca="1" si="4"/>
        <v>162301.11774177398</v>
      </c>
      <c r="AF14" s="2365">
        <f t="shared" ca="1" si="4"/>
        <v>161645.67941948597</v>
      </c>
      <c r="AG14" s="2365">
        <f t="shared" ca="1" si="4"/>
        <v>146716.0909058894</v>
      </c>
      <c r="AH14" s="2365">
        <f t="shared" ca="1" si="4"/>
        <v>127402.19884714068</v>
      </c>
      <c r="AI14" s="2365">
        <f t="shared" ca="1" si="4"/>
        <v>120864.38595962283</v>
      </c>
      <c r="AJ14" s="2365">
        <f t="shared" ca="1" si="4"/>
        <v>121334.59706371484</v>
      </c>
      <c r="AK14" s="2365">
        <f t="shared" ca="1" si="4"/>
        <v>120813.77735898731</v>
      </c>
      <c r="AL14" s="2365">
        <f t="shared" ca="1" si="4"/>
        <v>120174.05107098276</v>
      </c>
      <c r="AM14" s="2365">
        <f t="shared" ca="1" si="4"/>
        <v>119131.23636428562</v>
      </c>
      <c r="AN14" s="2365">
        <f t="shared" ca="1" si="4"/>
        <v>117034.80462645847</v>
      </c>
      <c r="AO14" s="2365">
        <f t="shared" ca="1" si="4"/>
        <v>113947.24464788474</v>
      </c>
      <c r="AP14" s="2365">
        <f t="shared" ca="1" si="4"/>
        <v>109807.65293119808</v>
      </c>
      <c r="AQ14" s="2365">
        <f t="shared" ca="1" si="4"/>
        <v>105022.65349288208</v>
      </c>
      <c r="AR14" s="2365">
        <f t="shared" ca="1" si="4"/>
        <v>100882.15800711299</v>
      </c>
      <c r="AS14" s="2365">
        <f t="shared" ca="1" si="4"/>
        <v>96577.887305020209</v>
      </c>
      <c r="AT14" s="2365">
        <f t="shared" ca="1" si="4"/>
        <v>91813.771554673251</v>
      </c>
      <c r="AU14" s="2365">
        <f t="shared" ca="1" si="4"/>
        <v>87570.380625154532</v>
      </c>
      <c r="AV14" s="2365">
        <f t="shared" ca="1" si="4"/>
        <v>82912.9574034861</v>
      </c>
      <c r="AW14" s="2365">
        <f t="shared" ca="1" si="4"/>
        <v>77676.838654096617</v>
      </c>
      <c r="AX14" s="2365">
        <f t="shared" ca="1" si="4"/>
        <v>72915.733036083402</v>
      </c>
      <c r="AY14" s="2365">
        <f t="shared" ca="1" si="4"/>
        <v>67755.086908341196</v>
      </c>
      <c r="AZ14" s="2365">
        <f t="shared" ca="1" si="4"/>
        <v>62262.192182018829</v>
      </c>
      <c r="BA14" s="2365">
        <f t="shared" ca="1" si="4"/>
        <v>57074.808192206183</v>
      </c>
      <c r="BB14" s="2365">
        <f t="shared" ca="1" si="4"/>
        <v>51915.929824247272</v>
      </c>
      <c r="BC14" s="2365">
        <f t="shared" ca="1" si="4"/>
        <v>49005.534586715694</v>
      </c>
      <c r="BD14" s="2365">
        <f t="shared" ca="1" si="4"/>
        <v>46679.984021823591</v>
      </c>
      <c r="BE14" s="2365">
        <f t="shared" ca="1" si="4"/>
        <v>42456.024227330992</v>
      </c>
      <c r="BF14" s="2365">
        <f t="shared" ca="1" si="4"/>
        <v>37902.108556847161</v>
      </c>
      <c r="BG14" s="2365">
        <f t="shared" ca="1" si="4"/>
        <v>33911.043162732589</v>
      </c>
      <c r="BH14" s="2365">
        <f t="shared" ca="1" si="4"/>
        <v>29987.06446181277</v>
      </c>
      <c r="BI14" s="2365">
        <f t="shared" ca="1" si="4"/>
        <v>25933.647411212631</v>
      </c>
      <c r="BJ14" s="2365">
        <f t="shared" ca="1" si="4"/>
        <v>22340.563935404563</v>
      </c>
      <c r="BK14" s="2365">
        <f t="shared" ca="1" si="4"/>
        <v>19364.426362111823</v>
      </c>
      <c r="BL14" s="2365">
        <f t="shared" ca="1" si="4"/>
        <v>17105.319892541298</v>
      </c>
      <c r="BM14" s="2365">
        <f t="shared" ca="1" si="4"/>
        <v>15849.362631881659</v>
      </c>
      <c r="BN14" s="2365">
        <f t="shared" ca="1" si="4"/>
        <v>15537.291380515015</v>
      </c>
    </row>
    <row r="15" spans="1:187" ht="15.75" customHeight="1">
      <c r="L15" s="2366"/>
      <c r="M15" s="2366"/>
      <c r="N15" s="2366"/>
      <c r="O15" s="2366"/>
      <c r="P15" s="2366"/>
      <c r="Q15" s="2366"/>
      <c r="R15" s="2366"/>
      <c r="S15" s="2366"/>
      <c r="T15" s="2366"/>
    </row>
    <row r="16" spans="1:187" s="2367" customFormat="1" ht="17.25" customHeight="1">
      <c r="B16" s="2368" t="s">
        <v>3911</v>
      </c>
      <c r="H16" s="2369"/>
      <c r="I16" s="2369"/>
      <c r="J16" s="2369"/>
      <c r="K16" s="2369"/>
      <c r="L16" s="2370"/>
      <c r="M16" s="2369"/>
      <c r="N16" s="2369"/>
      <c r="O16" s="2371"/>
      <c r="P16" s="2369">
        <f>(1+G24)^0.5</f>
        <v>1.0333094710363144</v>
      </c>
      <c r="Q16" s="2369">
        <f>P16^2-1</f>
        <v>6.7728462933347888E-2</v>
      </c>
      <c r="R16" s="5348"/>
      <c r="S16" s="2369"/>
      <c r="T16" s="2369"/>
      <c r="U16" s="2369"/>
      <c r="V16" s="2369"/>
      <c r="W16" s="2369"/>
      <c r="X16" s="2369"/>
      <c r="Y16" s="2369"/>
      <c r="Z16" s="2369"/>
      <c r="AA16" s="2369"/>
      <c r="AB16" s="2369"/>
      <c r="AC16" s="2369"/>
      <c r="AD16" s="2369"/>
      <c r="AE16" s="2369"/>
      <c r="AF16" s="2369"/>
      <c r="AG16" s="2369"/>
      <c r="AH16" s="2369"/>
      <c r="AI16" s="2369"/>
      <c r="AJ16" s="2369"/>
      <c r="AK16" s="2369"/>
      <c r="AL16" s="2369"/>
      <c r="AM16" s="2369"/>
      <c r="AN16" s="2369"/>
      <c r="AO16" s="2369"/>
      <c r="AP16" s="2369"/>
      <c r="AQ16" s="2369"/>
      <c r="AR16" s="2369"/>
      <c r="AS16" s="2369"/>
      <c r="AT16" s="2369"/>
      <c r="AU16" s="2369"/>
      <c r="AV16" s="2369"/>
      <c r="AW16" s="2369"/>
      <c r="AX16" s="2369"/>
      <c r="AY16" s="2369"/>
      <c r="AZ16" s="2369"/>
      <c r="BA16" s="2369"/>
      <c r="BB16" s="2369"/>
      <c r="BC16" s="2369"/>
      <c r="BD16" s="2369"/>
      <c r="BE16" s="2369"/>
      <c r="BF16" s="2369"/>
      <c r="BG16" s="2369"/>
      <c r="BH16" s="2369"/>
      <c r="BI16" s="2369"/>
      <c r="BJ16" s="2369"/>
      <c r="BK16" s="2369"/>
      <c r="BL16" s="2369"/>
      <c r="BM16" s="2369"/>
      <c r="BN16" s="2369"/>
      <c r="BR16" s="2368"/>
      <c r="CD16" s="2368"/>
      <c r="CP16" s="2368"/>
      <c r="DB16" s="2368"/>
      <c r="DN16" s="2368"/>
      <c r="DZ16" s="2368"/>
      <c r="EL16" s="2368"/>
    </row>
    <row r="17" spans="2:152" ht="15.75" customHeight="1">
      <c r="C17" s="2351" t="s">
        <v>11</v>
      </c>
      <c r="D17" s="2352"/>
      <c r="E17" s="2352"/>
      <c r="F17" s="2352"/>
      <c r="G17" s="2352"/>
      <c r="H17" s="766" t="s">
        <v>40</v>
      </c>
      <c r="J17" s="2353">
        <v>2003</v>
      </c>
      <c r="K17" s="2353">
        <f>J17+1</f>
        <v>2004</v>
      </c>
      <c r="L17" s="2353">
        <f t="shared" ref="L17:BN17" si="5">K17+1</f>
        <v>2005</v>
      </c>
      <c r="M17" s="2353">
        <f t="shared" si="5"/>
        <v>2006</v>
      </c>
      <c r="N17" s="2353">
        <f t="shared" si="5"/>
        <v>2007</v>
      </c>
      <c r="O17" s="2353">
        <f t="shared" si="5"/>
        <v>2008</v>
      </c>
      <c r="P17" s="2353">
        <f t="shared" si="5"/>
        <v>2009</v>
      </c>
      <c r="Q17" s="2353">
        <f t="shared" si="5"/>
        <v>2010</v>
      </c>
      <c r="R17" s="2353">
        <f t="shared" si="5"/>
        <v>2011</v>
      </c>
      <c r="S17" s="2353">
        <f t="shared" si="5"/>
        <v>2012</v>
      </c>
      <c r="T17" s="2353">
        <f t="shared" si="5"/>
        <v>2013</v>
      </c>
      <c r="U17" s="2353">
        <f t="shared" si="5"/>
        <v>2014</v>
      </c>
      <c r="V17" s="2353">
        <f t="shared" si="5"/>
        <v>2015</v>
      </c>
      <c r="W17" s="2353">
        <f t="shared" si="5"/>
        <v>2016</v>
      </c>
      <c r="X17" s="2353">
        <f t="shared" si="5"/>
        <v>2017</v>
      </c>
      <c r="Y17" s="2353">
        <f t="shared" si="5"/>
        <v>2018</v>
      </c>
      <c r="Z17" s="2353">
        <f t="shared" si="5"/>
        <v>2019</v>
      </c>
      <c r="AA17" s="2353">
        <f t="shared" si="5"/>
        <v>2020</v>
      </c>
      <c r="AB17" s="2353">
        <f t="shared" si="5"/>
        <v>2021</v>
      </c>
      <c r="AC17" s="2353">
        <f t="shared" si="5"/>
        <v>2022</v>
      </c>
      <c r="AD17" s="2353">
        <f t="shared" si="5"/>
        <v>2023</v>
      </c>
      <c r="AE17" s="2353">
        <f t="shared" si="5"/>
        <v>2024</v>
      </c>
      <c r="AF17" s="2353">
        <f t="shared" si="5"/>
        <v>2025</v>
      </c>
      <c r="AG17" s="2353">
        <f t="shared" si="5"/>
        <v>2026</v>
      </c>
      <c r="AH17" s="2353">
        <f t="shared" si="5"/>
        <v>2027</v>
      </c>
      <c r="AI17" s="2353">
        <f t="shared" si="5"/>
        <v>2028</v>
      </c>
      <c r="AJ17" s="2353">
        <f t="shared" si="5"/>
        <v>2029</v>
      </c>
      <c r="AK17" s="2353">
        <f t="shared" si="5"/>
        <v>2030</v>
      </c>
      <c r="AL17" s="2353">
        <f t="shared" si="5"/>
        <v>2031</v>
      </c>
      <c r="AM17" s="2353">
        <f t="shared" si="5"/>
        <v>2032</v>
      </c>
      <c r="AN17" s="2353">
        <f t="shared" si="5"/>
        <v>2033</v>
      </c>
      <c r="AO17" s="2353">
        <f t="shared" si="5"/>
        <v>2034</v>
      </c>
      <c r="AP17" s="2353">
        <f t="shared" si="5"/>
        <v>2035</v>
      </c>
      <c r="AQ17" s="2353">
        <f t="shared" si="5"/>
        <v>2036</v>
      </c>
      <c r="AR17" s="2353">
        <f t="shared" si="5"/>
        <v>2037</v>
      </c>
      <c r="AS17" s="2353">
        <f t="shared" si="5"/>
        <v>2038</v>
      </c>
      <c r="AT17" s="2353">
        <f t="shared" si="5"/>
        <v>2039</v>
      </c>
      <c r="AU17" s="2353">
        <f t="shared" si="5"/>
        <v>2040</v>
      </c>
      <c r="AV17" s="2353">
        <f t="shared" si="5"/>
        <v>2041</v>
      </c>
      <c r="AW17" s="2353">
        <f t="shared" si="5"/>
        <v>2042</v>
      </c>
      <c r="AX17" s="2353">
        <f t="shared" si="5"/>
        <v>2043</v>
      </c>
      <c r="AY17" s="2353">
        <f t="shared" si="5"/>
        <v>2044</v>
      </c>
      <c r="AZ17" s="2353">
        <f t="shared" si="5"/>
        <v>2045</v>
      </c>
      <c r="BA17" s="2353">
        <f t="shared" si="5"/>
        <v>2046</v>
      </c>
      <c r="BB17" s="2353">
        <f t="shared" si="5"/>
        <v>2047</v>
      </c>
      <c r="BC17" s="2353">
        <f t="shared" si="5"/>
        <v>2048</v>
      </c>
      <c r="BD17" s="2353">
        <f t="shared" si="5"/>
        <v>2049</v>
      </c>
      <c r="BE17" s="2353">
        <f t="shared" si="5"/>
        <v>2050</v>
      </c>
      <c r="BF17" s="2353">
        <f t="shared" si="5"/>
        <v>2051</v>
      </c>
      <c r="BG17" s="2353">
        <f t="shared" si="5"/>
        <v>2052</v>
      </c>
      <c r="BH17" s="2353">
        <f t="shared" si="5"/>
        <v>2053</v>
      </c>
      <c r="BI17" s="2353">
        <f t="shared" si="5"/>
        <v>2054</v>
      </c>
      <c r="BJ17" s="2353">
        <f t="shared" si="5"/>
        <v>2055</v>
      </c>
      <c r="BK17" s="2353">
        <f t="shared" si="5"/>
        <v>2056</v>
      </c>
      <c r="BL17" s="2353">
        <f t="shared" si="5"/>
        <v>2057</v>
      </c>
      <c r="BM17" s="2353">
        <f t="shared" si="5"/>
        <v>2058</v>
      </c>
      <c r="BN17" s="2353">
        <f t="shared" si="5"/>
        <v>2059</v>
      </c>
    </row>
    <row r="18" spans="2:152" outlineLevel="1">
      <c r="C18" s="2372" t="s">
        <v>3912</v>
      </c>
      <c r="D18" s="2373"/>
      <c r="E18" s="2373"/>
      <c r="F18" s="2373"/>
      <c r="G18" s="2374"/>
      <c r="H18" s="2375"/>
      <c r="I18" s="2376"/>
      <c r="J18" s="2377"/>
      <c r="K18" s="2377"/>
      <c r="L18" s="2378"/>
      <c r="M18" s="2379"/>
      <c r="N18" s="2377"/>
      <c r="O18" s="2378"/>
      <c r="P18" s="2378"/>
      <c r="Q18" s="2380"/>
      <c r="R18" s="2379"/>
      <c r="S18" s="2378"/>
      <c r="T18" s="2380"/>
      <c r="U18" s="2381"/>
      <c r="V18" s="2381"/>
      <c r="W18" s="2381"/>
      <c r="X18" s="2381"/>
      <c r="Y18" s="2381"/>
      <c r="Z18" s="2381"/>
      <c r="AA18" s="2381"/>
      <c r="AB18" s="2381"/>
      <c r="AC18" s="2381"/>
      <c r="AD18" s="2381"/>
      <c r="AE18" s="2381"/>
      <c r="AF18" s="2381"/>
      <c r="AG18" s="2381"/>
      <c r="AH18" s="2381"/>
      <c r="AI18" s="2381"/>
      <c r="AJ18" s="2381"/>
      <c r="AK18" s="2381"/>
      <c r="AL18" s="2381"/>
      <c r="AM18" s="2381"/>
      <c r="AN18" s="2381"/>
      <c r="AO18" s="2381"/>
      <c r="AP18" s="2381"/>
      <c r="AQ18" s="2381"/>
      <c r="AR18" s="2381"/>
      <c r="AS18" s="2381"/>
      <c r="AT18" s="2381"/>
      <c r="AU18" s="2381"/>
      <c r="AV18" s="2381"/>
      <c r="AW18" s="2381"/>
      <c r="AX18" s="2381"/>
      <c r="AY18" s="2381"/>
      <c r="AZ18" s="2381"/>
      <c r="BA18" s="2381"/>
      <c r="BB18" s="2381"/>
      <c r="BC18" s="2381"/>
      <c r="BD18" s="2381"/>
      <c r="BE18" s="2381"/>
      <c r="BF18" s="2381"/>
      <c r="BG18" s="2381"/>
      <c r="BH18" s="2381"/>
      <c r="BI18" s="2381"/>
      <c r="BJ18" s="2381"/>
      <c r="BK18" s="2381"/>
      <c r="BL18" s="2381"/>
      <c r="BM18" s="2381"/>
      <c r="BN18" s="2381"/>
      <c r="BO18" s="2382"/>
      <c r="BP18" s="2382"/>
      <c r="BQ18" s="2382"/>
      <c r="BR18" s="2382"/>
      <c r="BS18" s="2382"/>
      <c r="BT18" s="2382"/>
      <c r="BU18" s="2382"/>
      <c r="BV18" s="2382"/>
      <c r="BW18" s="2382"/>
      <c r="BX18" s="2382"/>
      <c r="BY18" s="2382"/>
      <c r="BZ18" s="2382"/>
      <c r="CA18" s="2382"/>
      <c r="CB18" s="2382"/>
      <c r="CC18" s="2382"/>
      <c r="CD18" s="2382"/>
      <c r="CE18" s="2382"/>
      <c r="CF18" s="2382"/>
      <c r="CG18" s="2382"/>
      <c r="CH18" s="2382"/>
      <c r="CI18" s="2382"/>
      <c r="CJ18" s="2382"/>
      <c r="CK18" s="2382"/>
      <c r="CL18" s="2382"/>
      <c r="CM18" s="2382"/>
      <c r="CN18" s="2382"/>
      <c r="CO18" s="2382"/>
      <c r="CP18" s="2382"/>
      <c r="CQ18" s="2382"/>
      <c r="CR18" s="2382"/>
      <c r="CS18" s="2382"/>
      <c r="CT18" s="2382"/>
      <c r="CU18" s="2382"/>
      <c r="CV18" s="2382"/>
      <c r="CW18" s="2382"/>
      <c r="CX18" s="2382"/>
      <c r="CY18" s="2382"/>
      <c r="CZ18" s="2382"/>
      <c r="DA18" s="2382"/>
      <c r="DB18" s="2382"/>
      <c r="DC18" s="2382"/>
      <c r="DD18" s="2382"/>
      <c r="DE18" s="2382"/>
      <c r="DF18" s="2382"/>
      <c r="DG18" s="2382"/>
      <c r="DH18" s="2382"/>
      <c r="DI18" s="2382"/>
      <c r="DJ18" s="2382"/>
      <c r="DK18" s="2382"/>
      <c r="DL18" s="2382"/>
      <c r="DM18" s="2382"/>
      <c r="DN18" s="2382"/>
      <c r="DO18" s="2382"/>
      <c r="DP18" s="2382"/>
      <c r="DQ18" s="2382"/>
      <c r="DR18" s="2382"/>
      <c r="DS18" s="2382"/>
      <c r="DT18" s="2382"/>
      <c r="DU18" s="2382"/>
      <c r="DV18" s="2382"/>
      <c r="DW18" s="2382"/>
      <c r="DX18" s="2382"/>
      <c r="DY18" s="2382"/>
      <c r="DZ18" s="2382"/>
      <c r="EA18" s="2382"/>
      <c r="EB18" s="2382"/>
      <c r="EC18" s="2382"/>
      <c r="ED18" s="2382"/>
      <c r="EE18" s="2382"/>
      <c r="EF18" s="2382"/>
      <c r="EG18" s="2382"/>
      <c r="EH18" s="2382"/>
      <c r="EI18" s="2382"/>
      <c r="EJ18" s="2382"/>
      <c r="EK18" s="2382"/>
      <c r="EL18" s="2382"/>
      <c r="EM18" s="2382"/>
      <c r="EN18" s="2382"/>
      <c r="EO18" s="2382"/>
      <c r="EP18" s="2382"/>
      <c r="EQ18" s="2382"/>
      <c r="ER18" s="2382"/>
      <c r="ES18" s="2382"/>
      <c r="ET18" s="2382"/>
      <c r="EU18" s="2382"/>
      <c r="EV18" s="2382"/>
    </row>
    <row r="19" spans="2:152" outlineLevel="1">
      <c r="C19" s="2383"/>
      <c r="D19" s="2384" t="s">
        <v>3913</v>
      </c>
      <c r="E19" s="2385"/>
      <c r="F19" s="2385"/>
      <c r="G19" s="2386"/>
      <c r="H19" s="2387">
        <f>SUM(J19:AT19)</f>
        <v>205118.76659655815</v>
      </c>
      <c r="I19" s="2388"/>
      <c r="J19" s="2389">
        <v>7882.1971394732718</v>
      </c>
      <c r="K19" s="2389">
        <v>13777.829413443524</v>
      </c>
      <c r="L19" s="2390">
        <v>31983.881554919371</v>
      </c>
      <c r="M19" s="2391">
        <v>23887.821116323503</v>
      </c>
      <c r="N19" s="2389">
        <v>45650.592924399076</v>
      </c>
      <c r="O19" s="2390">
        <v>81936.444447999398</v>
      </c>
      <c r="P19" s="2387">
        <v>0</v>
      </c>
      <c r="Q19" s="2392">
        <v>0</v>
      </c>
      <c r="R19" s="2393">
        <v>0</v>
      </c>
      <c r="S19" s="2387">
        <v>0</v>
      </c>
      <c r="T19" s="2392">
        <v>0</v>
      </c>
      <c r="U19" s="2394">
        <v>0</v>
      </c>
      <c r="V19" s="2394">
        <v>0</v>
      </c>
      <c r="W19" s="2394">
        <v>0</v>
      </c>
      <c r="X19" s="2394">
        <v>0</v>
      </c>
      <c r="Y19" s="2394">
        <v>0</v>
      </c>
      <c r="Z19" s="2394">
        <v>0</v>
      </c>
      <c r="AA19" s="2394">
        <v>0</v>
      </c>
      <c r="AB19" s="2394">
        <v>0</v>
      </c>
      <c r="AC19" s="2394">
        <v>0</v>
      </c>
      <c r="AD19" s="2394">
        <v>0</v>
      </c>
      <c r="AE19" s="2394">
        <v>0</v>
      </c>
      <c r="AF19" s="2394">
        <v>0</v>
      </c>
      <c r="AG19" s="2394">
        <v>0</v>
      </c>
      <c r="AH19" s="2394">
        <v>0</v>
      </c>
      <c r="AI19" s="2394">
        <v>0</v>
      </c>
      <c r="AJ19" s="2394">
        <v>0</v>
      </c>
      <c r="AK19" s="2394">
        <v>0</v>
      </c>
      <c r="AL19" s="2394">
        <v>0</v>
      </c>
      <c r="AM19" s="2394">
        <v>0</v>
      </c>
      <c r="AN19" s="2394">
        <v>0</v>
      </c>
      <c r="AO19" s="2394">
        <v>0</v>
      </c>
      <c r="AP19" s="2394">
        <v>0</v>
      </c>
      <c r="AQ19" s="2394">
        <v>0</v>
      </c>
      <c r="AR19" s="2394">
        <v>0</v>
      </c>
      <c r="AS19" s="2394">
        <v>0</v>
      </c>
      <c r="AT19" s="2394">
        <v>0</v>
      </c>
      <c r="AU19" s="2394">
        <v>0</v>
      </c>
      <c r="AV19" s="2394">
        <v>0</v>
      </c>
      <c r="AW19" s="2394">
        <v>0</v>
      </c>
      <c r="AX19" s="2394">
        <v>0</v>
      </c>
      <c r="AY19" s="2394">
        <v>0</v>
      </c>
      <c r="AZ19" s="2394">
        <v>0</v>
      </c>
      <c r="BA19" s="2394">
        <v>0</v>
      </c>
      <c r="BB19" s="2394">
        <v>0</v>
      </c>
      <c r="BC19" s="2394">
        <v>0</v>
      </c>
      <c r="BD19" s="2394">
        <v>0</v>
      </c>
      <c r="BE19" s="2394">
        <v>0</v>
      </c>
      <c r="BF19" s="2394">
        <v>0</v>
      </c>
      <c r="BG19" s="2394">
        <v>0</v>
      </c>
      <c r="BH19" s="2394">
        <v>0</v>
      </c>
      <c r="BI19" s="2394">
        <v>0</v>
      </c>
      <c r="BJ19" s="2394">
        <v>0</v>
      </c>
      <c r="BK19" s="2394">
        <v>0</v>
      </c>
      <c r="BL19" s="2394">
        <v>0</v>
      </c>
      <c r="BM19" s="2394">
        <v>0</v>
      </c>
      <c r="BN19" s="2394">
        <v>0</v>
      </c>
    </row>
    <row r="20" spans="2:152" outlineLevel="1">
      <c r="C20" s="2383"/>
      <c r="D20" s="2384" t="s">
        <v>3914</v>
      </c>
      <c r="E20" s="2385"/>
      <c r="F20" s="2385"/>
      <c r="G20" s="2386"/>
      <c r="H20" s="2387">
        <f>SUM(J20:AT20)</f>
        <v>15903.097116257035</v>
      </c>
      <c r="I20" s="2388"/>
      <c r="J20" s="2389">
        <v>0</v>
      </c>
      <c r="K20" s="2389">
        <v>0</v>
      </c>
      <c r="L20" s="2390">
        <v>0</v>
      </c>
      <c r="M20" s="2391">
        <v>842.91268733576055</v>
      </c>
      <c r="N20" s="2389">
        <v>4245.3194015968584</v>
      </c>
      <c r="O20" s="2390">
        <v>10814.865027324417</v>
      </c>
      <c r="P20" s="2387">
        <v>0</v>
      </c>
      <c r="Q20" s="2392">
        <v>0</v>
      </c>
      <c r="R20" s="2393">
        <v>0</v>
      </c>
      <c r="S20" s="2387">
        <v>0</v>
      </c>
      <c r="T20" s="2392">
        <v>0</v>
      </c>
      <c r="U20" s="2394">
        <v>0</v>
      </c>
      <c r="V20" s="2394">
        <v>0</v>
      </c>
      <c r="W20" s="2394">
        <v>0</v>
      </c>
      <c r="X20" s="2394">
        <v>0</v>
      </c>
      <c r="Y20" s="2394">
        <v>0</v>
      </c>
      <c r="Z20" s="2394">
        <v>0</v>
      </c>
      <c r="AA20" s="2394">
        <v>0</v>
      </c>
      <c r="AB20" s="2394">
        <v>0</v>
      </c>
      <c r="AC20" s="2394">
        <v>0</v>
      </c>
      <c r="AD20" s="2394">
        <v>0</v>
      </c>
      <c r="AE20" s="2394">
        <v>0</v>
      </c>
      <c r="AF20" s="2394">
        <v>0</v>
      </c>
      <c r="AG20" s="2394">
        <v>0</v>
      </c>
      <c r="AH20" s="2394">
        <v>0</v>
      </c>
      <c r="AI20" s="2394">
        <v>0</v>
      </c>
      <c r="AJ20" s="2394">
        <v>0</v>
      </c>
      <c r="AK20" s="2394">
        <v>0</v>
      </c>
      <c r="AL20" s="2394">
        <v>0</v>
      </c>
      <c r="AM20" s="2394">
        <v>0</v>
      </c>
      <c r="AN20" s="2394">
        <v>0</v>
      </c>
      <c r="AO20" s="2394">
        <v>0</v>
      </c>
      <c r="AP20" s="2394">
        <v>0</v>
      </c>
      <c r="AQ20" s="2394">
        <v>0</v>
      </c>
      <c r="AR20" s="2394">
        <v>0</v>
      </c>
      <c r="AS20" s="2394">
        <v>0</v>
      </c>
      <c r="AT20" s="2394">
        <v>0</v>
      </c>
      <c r="AU20" s="2394">
        <v>0</v>
      </c>
      <c r="AV20" s="2394">
        <v>0</v>
      </c>
      <c r="AW20" s="2394">
        <v>0</v>
      </c>
      <c r="AX20" s="2394">
        <v>0</v>
      </c>
      <c r="AY20" s="2394">
        <v>0</v>
      </c>
      <c r="AZ20" s="2394">
        <v>0</v>
      </c>
      <c r="BA20" s="2394">
        <v>0</v>
      </c>
      <c r="BB20" s="2394">
        <v>0</v>
      </c>
      <c r="BC20" s="2394">
        <v>0</v>
      </c>
      <c r="BD20" s="2394">
        <v>0</v>
      </c>
      <c r="BE20" s="2394">
        <v>0</v>
      </c>
      <c r="BF20" s="2394">
        <v>0</v>
      </c>
      <c r="BG20" s="2394">
        <v>0</v>
      </c>
      <c r="BH20" s="2394">
        <v>0</v>
      </c>
      <c r="BI20" s="2394">
        <v>0</v>
      </c>
      <c r="BJ20" s="2394">
        <v>0</v>
      </c>
      <c r="BK20" s="2394">
        <v>0</v>
      </c>
      <c r="BL20" s="2394">
        <v>0</v>
      </c>
      <c r="BM20" s="2394">
        <v>0</v>
      </c>
      <c r="BN20" s="2394">
        <v>0</v>
      </c>
    </row>
    <row r="21" spans="2:152" outlineLevel="1">
      <c r="C21" s="2383"/>
      <c r="D21" s="2384" t="s">
        <v>3915</v>
      </c>
      <c r="E21" s="2385"/>
      <c r="F21" s="2385"/>
      <c r="G21" s="2386"/>
      <c r="H21" s="2387">
        <f>SUM(J21:AT21)</f>
        <v>189215.66948030109</v>
      </c>
      <c r="I21" s="2388"/>
      <c r="J21" s="2395">
        <f t="shared" ref="J21:BN21" si="6">J19-J20</f>
        <v>7882.1971394732718</v>
      </c>
      <c r="K21" s="2395">
        <f t="shared" si="6"/>
        <v>13777.829413443524</v>
      </c>
      <c r="L21" s="2387">
        <f t="shared" si="6"/>
        <v>31983.881554919371</v>
      </c>
      <c r="M21" s="2393">
        <f t="shared" si="6"/>
        <v>23044.908428987743</v>
      </c>
      <c r="N21" s="2395">
        <f t="shared" si="6"/>
        <v>41405.273522802221</v>
      </c>
      <c r="O21" s="2387">
        <f t="shared" si="6"/>
        <v>71121.579420674985</v>
      </c>
      <c r="P21" s="2387">
        <f t="shared" si="6"/>
        <v>0</v>
      </c>
      <c r="Q21" s="2392">
        <f t="shared" si="6"/>
        <v>0</v>
      </c>
      <c r="R21" s="2393">
        <f t="shared" si="6"/>
        <v>0</v>
      </c>
      <c r="S21" s="2387">
        <f t="shared" si="6"/>
        <v>0</v>
      </c>
      <c r="T21" s="2392">
        <f t="shared" si="6"/>
        <v>0</v>
      </c>
      <c r="U21" s="2394">
        <f t="shared" si="6"/>
        <v>0</v>
      </c>
      <c r="V21" s="2394">
        <f t="shared" si="6"/>
        <v>0</v>
      </c>
      <c r="W21" s="2394">
        <f t="shared" si="6"/>
        <v>0</v>
      </c>
      <c r="X21" s="2394">
        <f t="shared" si="6"/>
        <v>0</v>
      </c>
      <c r="Y21" s="2394">
        <f t="shared" si="6"/>
        <v>0</v>
      </c>
      <c r="Z21" s="2394">
        <f t="shared" si="6"/>
        <v>0</v>
      </c>
      <c r="AA21" s="2394">
        <f t="shared" si="6"/>
        <v>0</v>
      </c>
      <c r="AB21" s="2394">
        <f t="shared" si="6"/>
        <v>0</v>
      </c>
      <c r="AC21" s="2394">
        <f t="shared" si="6"/>
        <v>0</v>
      </c>
      <c r="AD21" s="2394">
        <f t="shared" si="6"/>
        <v>0</v>
      </c>
      <c r="AE21" s="2394">
        <f t="shared" si="6"/>
        <v>0</v>
      </c>
      <c r="AF21" s="2394">
        <f t="shared" si="6"/>
        <v>0</v>
      </c>
      <c r="AG21" s="2394">
        <f t="shared" si="6"/>
        <v>0</v>
      </c>
      <c r="AH21" s="2394">
        <f t="shared" si="6"/>
        <v>0</v>
      </c>
      <c r="AI21" s="2394">
        <f t="shared" si="6"/>
        <v>0</v>
      </c>
      <c r="AJ21" s="2394">
        <f t="shared" si="6"/>
        <v>0</v>
      </c>
      <c r="AK21" s="2394">
        <f t="shared" si="6"/>
        <v>0</v>
      </c>
      <c r="AL21" s="2394">
        <f t="shared" si="6"/>
        <v>0</v>
      </c>
      <c r="AM21" s="2394">
        <f t="shared" si="6"/>
        <v>0</v>
      </c>
      <c r="AN21" s="2394">
        <f t="shared" si="6"/>
        <v>0</v>
      </c>
      <c r="AO21" s="2394">
        <f t="shared" si="6"/>
        <v>0</v>
      </c>
      <c r="AP21" s="2394">
        <f t="shared" si="6"/>
        <v>0</v>
      </c>
      <c r="AQ21" s="2394">
        <f t="shared" si="6"/>
        <v>0</v>
      </c>
      <c r="AR21" s="2394">
        <f t="shared" si="6"/>
        <v>0</v>
      </c>
      <c r="AS21" s="2394">
        <f t="shared" si="6"/>
        <v>0</v>
      </c>
      <c r="AT21" s="2394">
        <f t="shared" si="6"/>
        <v>0</v>
      </c>
      <c r="AU21" s="2394">
        <f t="shared" si="6"/>
        <v>0</v>
      </c>
      <c r="AV21" s="2394">
        <f t="shared" si="6"/>
        <v>0</v>
      </c>
      <c r="AW21" s="2394">
        <f t="shared" si="6"/>
        <v>0</v>
      </c>
      <c r="AX21" s="2394">
        <f t="shared" si="6"/>
        <v>0</v>
      </c>
      <c r="AY21" s="2394">
        <f t="shared" si="6"/>
        <v>0</v>
      </c>
      <c r="AZ21" s="2394">
        <f t="shared" si="6"/>
        <v>0</v>
      </c>
      <c r="BA21" s="2394">
        <f t="shared" si="6"/>
        <v>0</v>
      </c>
      <c r="BB21" s="2394">
        <f t="shared" si="6"/>
        <v>0</v>
      </c>
      <c r="BC21" s="2394">
        <f t="shared" si="6"/>
        <v>0</v>
      </c>
      <c r="BD21" s="2394">
        <f t="shared" si="6"/>
        <v>0</v>
      </c>
      <c r="BE21" s="2394">
        <f t="shared" si="6"/>
        <v>0</v>
      </c>
      <c r="BF21" s="2394">
        <f t="shared" si="6"/>
        <v>0</v>
      </c>
      <c r="BG21" s="2394">
        <f t="shared" si="6"/>
        <v>0</v>
      </c>
      <c r="BH21" s="2394">
        <f t="shared" si="6"/>
        <v>0</v>
      </c>
      <c r="BI21" s="2394">
        <f t="shared" si="6"/>
        <v>0</v>
      </c>
      <c r="BJ21" s="2394">
        <f t="shared" si="6"/>
        <v>0</v>
      </c>
      <c r="BK21" s="2394">
        <f t="shared" si="6"/>
        <v>0</v>
      </c>
      <c r="BL21" s="2394">
        <f t="shared" si="6"/>
        <v>0</v>
      </c>
      <c r="BM21" s="2394">
        <f t="shared" si="6"/>
        <v>0</v>
      </c>
      <c r="BN21" s="2394">
        <f t="shared" si="6"/>
        <v>0</v>
      </c>
    </row>
    <row r="22" spans="2:152">
      <c r="C22" s="2372" t="s">
        <v>185</v>
      </c>
      <c r="D22" s="2373"/>
      <c r="E22" s="2396"/>
      <c r="F22" s="2396"/>
      <c r="G22" s="2397"/>
      <c r="H22" s="2398"/>
      <c r="I22" s="2388"/>
      <c r="J22" s="2399"/>
      <c r="K22" s="2399"/>
      <c r="L22" s="2398"/>
      <c r="M22" s="2400"/>
      <c r="N22" s="2399"/>
      <c r="O22" s="2398"/>
      <c r="P22" s="2398"/>
      <c r="Q22" s="2401"/>
      <c r="R22" s="2400"/>
      <c r="S22" s="2398"/>
      <c r="T22" s="2401"/>
      <c r="U22" s="2402"/>
      <c r="V22" s="2402"/>
      <c r="W22" s="2402"/>
      <c r="X22" s="2402"/>
      <c r="Y22" s="2402"/>
      <c r="Z22" s="2402"/>
      <c r="AA22" s="2402"/>
      <c r="AB22" s="2402"/>
      <c r="AC22" s="2402"/>
      <c r="AD22" s="2402"/>
      <c r="AE22" s="2402"/>
      <c r="AF22" s="2402"/>
      <c r="AG22" s="2402"/>
      <c r="AH22" s="2402"/>
      <c r="AI22" s="2402"/>
      <c r="AJ22" s="2402"/>
      <c r="AK22" s="2402"/>
      <c r="AL22" s="2402"/>
      <c r="AM22" s="2402"/>
      <c r="AN22" s="2402"/>
      <c r="AO22" s="2402"/>
      <c r="AP22" s="2402"/>
      <c r="AQ22" s="2402"/>
      <c r="AR22" s="2402"/>
      <c r="AS22" s="2402"/>
      <c r="AT22" s="2402"/>
      <c r="AU22" s="2402"/>
      <c r="AV22" s="2402"/>
      <c r="AW22" s="2402"/>
      <c r="AX22" s="2402"/>
      <c r="AY22" s="2402"/>
      <c r="AZ22" s="2402"/>
      <c r="BA22" s="2402"/>
      <c r="BB22" s="2402"/>
      <c r="BC22" s="2402"/>
      <c r="BD22" s="2402"/>
      <c r="BE22" s="2402"/>
      <c r="BF22" s="2402"/>
      <c r="BG22" s="2402"/>
      <c r="BH22" s="2402"/>
      <c r="BI22" s="2402"/>
      <c r="BJ22" s="2402"/>
      <c r="BK22" s="2402"/>
      <c r="BL22" s="2402"/>
      <c r="BM22" s="2402"/>
      <c r="BN22" s="2402"/>
    </row>
    <row r="23" spans="2:152">
      <c r="C23" s="2383"/>
      <c r="D23" s="2384" t="s">
        <v>3916</v>
      </c>
      <c r="E23" s="2385"/>
      <c r="F23" s="2385"/>
      <c r="G23" s="2386"/>
      <c r="H23" s="2403">
        <f>P23</f>
        <v>189215.66948030109</v>
      </c>
      <c r="I23" s="2388"/>
      <c r="J23" s="2395">
        <f>SUM($I21:J21)</f>
        <v>7882.1971394732718</v>
      </c>
      <c r="K23" s="2395">
        <f>SUM($I21:K21)</f>
        <v>21660.026552916795</v>
      </c>
      <c r="L23" s="2387">
        <f>SUM($I21:L21)</f>
        <v>53643.908107836163</v>
      </c>
      <c r="M23" s="2393">
        <f>SUM($I21:M21)</f>
        <v>76688.816536823899</v>
      </c>
      <c r="N23" s="2395">
        <f>SUM($I21:N21)</f>
        <v>118094.09005962612</v>
      </c>
      <c r="O23" s="2387">
        <f>SUM($I21:O21)</f>
        <v>189215.66948030109</v>
      </c>
      <c r="P23" s="2387">
        <f>SUM($I21:P21)</f>
        <v>189215.66948030109</v>
      </c>
      <c r="Q23" s="2392"/>
      <c r="R23" s="2393"/>
      <c r="S23" s="2387"/>
      <c r="T23" s="2392"/>
      <c r="U23" s="2394"/>
      <c r="V23" s="2394"/>
      <c r="W23" s="2394"/>
      <c r="X23" s="2394"/>
      <c r="Y23" s="2394"/>
      <c r="Z23" s="2394"/>
      <c r="AA23" s="2394"/>
      <c r="AB23" s="2394"/>
      <c r="AC23" s="2394"/>
      <c r="AD23" s="2394"/>
      <c r="AE23" s="2394"/>
      <c r="AF23" s="2394"/>
      <c r="AG23" s="2394"/>
      <c r="AH23" s="2394"/>
      <c r="AI23" s="2394"/>
      <c r="AJ23" s="2394"/>
      <c r="AK23" s="2394"/>
      <c r="AL23" s="2394"/>
      <c r="AM23" s="2394"/>
      <c r="AN23" s="2394"/>
      <c r="AO23" s="2394"/>
      <c r="AP23" s="2394"/>
      <c r="AQ23" s="2394"/>
      <c r="AR23" s="2394"/>
      <c r="AS23" s="2394"/>
      <c r="AT23" s="2394"/>
      <c r="AU23" s="2394"/>
      <c r="AV23" s="2394"/>
      <c r="AW23" s="2394"/>
      <c r="AX23" s="2394"/>
      <c r="AY23" s="2394"/>
      <c r="AZ23" s="2394"/>
      <c r="BA23" s="2394"/>
      <c r="BB23" s="2394"/>
      <c r="BC23" s="2394"/>
      <c r="BD23" s="2394"/>
      <c r="BE23" s="2394"/>
      <c r="BF23" s="2394"/>
      <c r="BG23" s="2394"/>
      <c r="BH23" s="2394"/>
      <c r="BI23" s="2394"/>
      <c r="BJ23" s="2394"/>
      <c r="BK23" s="2394"/>
      <c r="BL23" s="2394"/>
      <c r="BM23" s="2394"/>
      <c r="BN23" s="2394"/>
    </row>
    <row r="24" spans="2:152">
      <c r="C24" s="2383"/>
      <c r="D24" s="2384" t="s">
        <v>3917</v>
      </c>
      <c r="E24" s="2385"/>
      <c r="F24" s="2385"/>
      <c r="G24" s="2404">
        <f>1-(3%)^(1/Sensitivity!E12)</f>
        <v>6.7728462933347999E-2</v>
      </c>
      <c r="H24" s="2387">
        <f>SUM(J24:AT24)</f>
        <v>166937.63000656466</v>
      </c>
      <c r="I24" s="2388"/>
      <c r="J24" s="2395"/>
      <c r="K24" s="2395"/>
      <c r="L24" s="2387"/>
      <c r="M24" s="2393"/>
      <c r="N24" s="2395"/>
      <c r="O24" s="2387"/>
      <c r="P24" s="2392">
        <f>SUMIFS('TP(분기)'!26:26,'TP(분기)'!18:18,TP!P17)</f>
        <v>6572.1714410310378</v>
      </c>
      <c r="Q24" s="2392">
        <f>SUMIFS('TP(분기)'!26:26,'TP(분기)'!18:18,TP!Q17)</f>
        <v>12370.1633869697</v>
      </c>
      <c r="R24" s="2393">
        <f>SUMIFS('TP(분기)'!26:26,'TP(분기)'!18:18,TP!R17)</f>
        <v>11532.351234535863</v>
      </c>
      <c r="S24" s="2387">
        <f>SUMIFS('TP(분기)'!26:26,'TP(분기)'!18:18,TP!S17)</f>
        <v>10751.282811413254</v>
      </c>
      <c r="T24" s="2392">
        <f>SUMIFS('TP(분기)'!26:26,'TP(분기)'!18:18,TP!T17)</f>
        <v>10023.11495203451</v>
      </c>
      <c r="U24" s="2394">
        <f>SUMIFS('TP(분기)'!26:26,'TP(분기)'!18:18,TP!U17)</f>
        <v>9344.2647825289569</v>
      </c>
      <c r="V24" s="2394">
        <f>SUMIFS('TP(분기)'!26:26,'TP(분기)'!18:18,TP!V17)</f>
        <v>8711.3920915660565</v>
      </c>
      <c r="W24" s="2394">
        <f>SUMIFS('TP(분기)'!26:26,'TP(분기)'!18:18,TP!W17)</f>
        <v>8121.3828951945652</v>
      </c>
      <c r="X24" s="2394">
        <f>SUMIFS('TP(분기)'!26:26,'TP(분기)'!18:18,TP!X17)</f>
        <v>7571.3341148098543</v>
      </c>
      <c r="Y24" s="2394">
        <f>SUMIFS('TP(분기)'!26:26,'TP(분기)'!18:18,TP!Y17)</f>
        <v>7058.5392928589627</v>
      </c>
      <c r="Z24" s="2394">
        <f>SUMIFS('TP(분기)'!26:26,'TP(분기)'!18:18,TP!Z17)</f>
        <v>6580.4752759989842</v>
      </c>
      <c r="AA24" s="2394">
        <f>SUMIFS('TP(분기)'!26:26,'TP(분기)'!18:18,TP!AA17)</f>
        <v>6134.7898001846752</v>
      </c>
      <c r="AB24" s="2394">
        <f>SUMIFS('TP(분기)'!26:26,'TP(분기)'!18:18,TP!AB17)</f>
        <v>5719.2899165989857</v>
      </c>
      <c r="AC24" s="2394">
        <f>SUMIFS('TP(분기)'!26:26,'TP(분기)'!18:18,TP!AC17)</f>
        <v>5331.9312014775414</v>
      </c>
      <c r="AD24" s="2394">
        <f>SUMIFS('TP(분기)'!26:26,'TP(분기)'!18:18,TP!AD17)</f>
        <v>4970.8076967351089</v>
      </c>
      <c r="AE24" s="2394">
        <f>SUMIFS('TP(분기)'!26:26,'TP(분기)'!18:18,TP!AE17)</f>
        <v>4634.1425318979855</v>
      </c>
      <c r="AF24" s="2394">
        <f>SUMIFS('TP(분기)'!26:26,'TP(분기)'!18:18,TP!AF17)</f>
        <v>4320.2791811984825</v>
      </c>
      <c r="AG24" s="2394">
        <f>SUMIFS('TP(분기)'!26:26,'TP(분기)'!18:18,TP!AG17)</f>
        <v>4027.6733128129663</v>
      </c>
      <c r="AH24" s="2394">
        <f>SUMIFS('TP(분기)'!26:26,'TP(분기)'!18:18,TP!AH17)</f>
        <v>3754.8851901384783</v>
      </c>
      <c r="AI24" s="2394">
        <f>SUMIFS('TP(분기)'!26:26,'TP(분기)'!18:18,TP!AI17)</f>
        <v>3500.5725877192071</v>
      </c>
      <c r="AJ24" s="2394">
        <f>SUMIFS('TP(분기)'!26:26,'TP(분기)'!18:18,TP!AJ17)</f>
        <v>3263.4841869663733</v>
      </c>
      <c r="AK24" s="2394">
        <f>SUMIFS('TP(분기)'!26:26,'TP(분기)'!18:18,TP!AK17)</f>
        <v>3042.453419175853</v>
      </c>
      <c r="AL24" s="2394">
        <f>SUMIFS('TP(분기)'!26:26,'TP(분기)'!18:18,TP!AL17)</f>
        <v>2836.3927255487629</v>
      </c>
      <c r="AM24" s="2394">
        <f>SUMIFS('TP(분기)'!26:26,'TP(분기)'!18:18,TP!AM17)</f>
        <v>2644.2882059720159</v>
      </c>
      <c r="AN24" s="2394">
        <f>SUMIFS('TP(분기)'!26:26,'TP(분기)'!18:18,TP!AN17)</f>
        <v>2465.1946302287511</v>
      </c>
      <c r="AO24" s="2394">
        <f>SUMIFS('TP(분기)'!26:26,'TP(분기)'!18:18,TP!AO17)</f>
        <v>2298.2307870918162</v>
      </c>
      <c r="AP24" s="2394">
        <f>SUMIFS('TP(분기)'!26:26,'TP(분기)'!18:18,TP!AP17)</f>
        <v>2142.57514841599</v>
      </c>
      <c r="AQ24" s="2394">
        <f>SUMIFS('TP(분기)'!26:26,'TP(분기)'!18:18,TP!AQ17)</f>
        <v>1997.4618268945858</v>
      </c>
      <c r="AR24" s="2394">
        <f>SUMIFS('TP(분기)'!26:26,'TP(분기)'!18:18,TP!AR17)</f>
        <v>1862.1768075909783</v>
      </c>
      <c r="AS24" s="2394">
        <f>SUMIFS('TP(분기)'!26:26,'TP(분기)'!18:18,TP!AS17)</f>
        <v>1736.0544347027123</v>
      </c>
      <c r="AT24" s="2394">
        <f>SUMIFS('TP(분기)'!26:26,'TP(분기)'!18:18,TP!AT17)</f>
        <v>1618.4741362716761</v>
      </c>
      <c r="AU24" s="2394">
        <f>SUMIFS('TP(분기)'!26:26,'TP(분기)'!18:18,TP!AU17)</f>
        <v>1508.8573707246189</v>
      </c>
      <c r="AV24" s="2394">
        <f>SUMIFS('TP(분기)'!26:26,'TP(분기)'!18:18,TP!AV17)</f>
        <v>1406.6647802197874</v>
      </c>
      <c r="AW24" s="2394">
        <f>SUMIFS('TP(분기)'!26:26,'TP(분기)'!18:18,TP!AW17)</f>
        <v>1311.3935367930258</v>
      </c>
      <c r="AX24" s="2394">
        <f>SUMIFS('TP(분기)'!26:26,'TP(분기)'!18:18,TP!AX17)</f>
        <v>1222.5748682453063</v>
      </c>
      <c r="AY24" s="2394">
        <f>SUMIFS('TP(분기)'!26:26,'TP(분기)'!18:18,TP!AY17)</f>
        <v>1139.7717515981112</v>
      </c>
      <c r="AZ24" s="2394">
        <f>SUMIFS('TP(분기)'!26:26,'TP(분기)'!18:18,TP!AZ17)</f>
        <v>1062.5767627675218</v>
      </c>
      <c r="BA24" s="2394">
        <f>SUMIFS('TP(분기)'!26:26,'TP(분기)'!18:18,TP!BA17)</f>
        <v>990.61007187658561</v>
      </c>
      <c r="BB24" s="2394">
        <f>SUMIFS('TP(분기)'!26:26,'TP(분기)'!18:18,TP!BB17)</f>
        <v>923.51757434209253</v>
      </c>
      <c r="BC24" s="2394">
        <f>SUMIFS('TP(분기)'!26:26,'TP(분기)'!18:18,TP!BC17)</f>
        <v>860.96914853996975</v>
      </c>
      <c r="BD24" s="2394">
        <f>SUMIFS('TP(분기)'!26:26,'TP(분기)'!18:18,TP!BD17)</f>
        <v>802.65703147632541</v>
      </c>
      <c r="BE24" s="2394">
        <f>SUMIFS('TP(분기)'!26:26,'TP(분기)'!18:18,TP!BE17)</f>
        <v>748.2943044717897</v>
      </c>
      <c r="BF24" s="2394">
        <f>SUMIFS('TP(분기)'!26:26,'TP(분기)'!18:18,TP!BF17)</f>
        <v>697.61348140813516</v>
      </c>
      <c r="BG24" s="2394">
        <f>SUMIFS('TP(분기)'!26:26,'TP(분기)'!18:18,TP!BG17)</f>
        <v>650.36519259077954</v>
      </c>
      <c r="BH24" s="2394">
        <f>SUMIFS('TP(분기)'!26:26,'TP(분기)'!18:18,TP!BH17)</f>
        <v>606.31695775125627</v>
      </c>
      <c r="BI24" s="2394">
        <f>SUMIFS('TP(분기)'!26:26,'TP(분기)'!18:18,TP!BI17)</f>
        <v>565.25204215234078</v>
      </c>
      <c r="BJ24" s="2394">
        <f>SUMIFS('TP(분기)'!26:26,'TP(분기)'!18:18,TP!BJ17)</f>
        <v>526.9683901674282</v>
      </c>
      <c r="BK24" s="2394">
        <f>SUMIFS('TP(분기)'!26:26,'TP(분기)'!18:18,TP!BK17)</f>
        <v>491.27763108692687</v>
      </c>
      <c r="BL24" s="2394">
        <f>SUMIFS('TP(분기)'!26:26,'TP(분기)'!18:18,TP!BL17)</f>
        <v>458.00415225987217</v>
      </c>
      <c r="BM24" s="2394">
        <f>SUMIFS('TP(분기)'!26:26,'TP(분기)'!18:18,TP!BM17)</f>
        <v>426.98423501021932</v>
      </c>
      <c r="BN24" s="2394">
        <f>SUMIFS('TP(분기)'!26:26,'TP(분기)'!18:18,TP!BN17)</f>
        <v>200.8718927012909</v>
      </c>
    </row>
    <row r="25" spans="2:152">
      <c r="C25" s="2383"/>
      <c r="D25" s="2384" t="s">
        <v>3918</v>
      </c>
      <c r="E25" s="2385"/>
      <c r="F25" s="2385"/>
      <c r="G25" s="5346">
        <f>BN25-H21*3%</f>
        <v>2.8213144040819316E-2</v>
      </c>
      <c r="H25" s="2387">
        <f>MAX(J25:AT25)</f>
        <v>189215.66948030109</v>
      </c>
      <c r="I25" s="2388"/>
      <c r="J25" s="2395">
        <f>($H$23-SUM($I24:J24))</f>
        <v>189215.66948030109</v>
      </c>
      <c r="K25" s="2395">
        <f>($H$23-SUM($I24:K24))</f>
        <v>189215.66948030109</v>
      </c>
      <c r="L25" s="2387">
        <f>($H$23-SUM($I24:L24))</f>
        <v>189215.66948030109</v>
      </c>
      <c r="M25" s="2393">
        <f>($H$23-SUM($I24:M24))</f>
        <v>189215.66948030109</v>
      </c>
      <c r="N25" s="2395">
        <f>($H$23-SUM($I24:N24))</f>
        <v>189215.66948030109</v>
      </c>
      <c r="O25" s="2387">
        <f>($H$23-SUM($I24:O24))</f>
        <v>189215.66948030109</v>
      </c>
      <c r="P25" s="2387">
        <f>($H$23-SUM($I24:P24))</f>
        <v>182643.49803927005</v>
      </c>
      <c r="Q25" s="2392">
        <f>($H$23-SUM($I24:Q24))</f>
        <v>170273.33465230034</v>
      </c>
      <c r="R25" s="2393">
        <f>($H$23-SUM($I24:R24))</f>
        <v>158740.98341776448</v>
      </c>
      <c r="S25" s="2387">
        <f>($H$23-SUM($I24:S24))</f>
        <v>147989.70060635125</v>
      </c>
      <c r="T25" s="2392">
        <f>($H$23-SUM($I24:T24))</f>
        <v>137966.58565431673</v>
      </c>
      <c r="U25" s="2394">
        <f>($H$23-SUM($I24:U24))</f>
        <v>128622.32087178777</v>
      </c>
      <c r="V25" s="2394">
        <f>($H$23-SUM($I24:V24))</f>
        <v>119910.92878022171</v>
      </c>
      <c r="W25" s="2394">
        <f>($H$23-SUM($I24:W24))</f>
        <v>111789.54588502715</v>
      </c>
      <c r="X25" s="2394">
        <f>($H$23-SUM($I24:X24))</f>
        <v>104218.2117702173</v>
      </c>
      <c r="Y25" s="2394">
        <f>($H$23-SUM($I24:Y24))</f>
        <v>97159.672477358341</v>
      </c>
      <c r="Z25" s="2394">
        <f>($H$23-SUM($I24:Z24))</f>
        <v>90579.197201359362</v>
      </c>
      <c r="AA25" s="2394">
        <f>($H$23-SUM($I24:AA24))</f>
        <v>84444.407401174685</v>
      </c>
      <c r="AB25" s="2394">
        <f>($H$23-SUM($I24:AB24))</f>
        <v>78725.117484575705</v>
      </c>
      <c r="AC25" s="2394">
        <f>($H$23-SUM($I24:AC24))</f>
        <v>73393.18628309817</v>
      </c>
      <c r="AD25" s="2394">
        <f>($H$23-SUM($I24:AD24))</f>
        <v>68422.378586363062</v>
      </c>
      <c r="AE25" s="2394">
        <f>($H$23-SUM($I24:AE24))</f>
        <v>63788.236054465073</v>
      </c>
      <c r="AF25" s="2394">
        <f>($H$23-SUM($I24:AF24))</f>
        <v>59467.956873266594</v>
      </c>
      <c r="AG25" s="2394">
        <f>($H$23-SUM($I24:AG24))</f>
        <v>55440.283560453623</v>
      </c>
      <c r="AH25" s="2394">
        <f>($H$23-SUM($I24:AH24))</f>
        <v>51685.398370315146</v>
      </c>
      <c r="AI25" s="2394">
        <f>($H$23-SUM($I24:AI24))</f>
        <v>48184.82578259593</v>
      </c>
      <c r="AJ25" s="2394">
        <f>($H$23-SUM($I24:AJ24))</f>
        <v>44921.34159562955</v>
      </c>
      <c r="AK25" s="2394">
        <f>($H$23-SUM($I24:AK24))</f>
        <v>41878.888176453707</v>
      </c>
      <c r="AL25" s="2394">
        <f>($H$23-SUM($I24:AL24))</f>
        <v>39042.495450904942</v>
      </c>
      <c r="AM25" s="2394">
        <f>($H$23-SUM($I24:AM24))</f>
        <v>36398.207244932913</v>
      </c>
      <c r="AN25" s="2394">
        <f>($H$23-SUM($I24:AN24))</f>
        <v>33933.012614704174</v>
      </c>
      <c r="AO25" s="2394">
        <f>($H$23-SUM($I24:AO24))</f>
        <v>31634.781827612343</v>
      </c>
      <c r="AP25" s="2394">
        <f>($H$23-SUM($I24:AP24))</f>
        <v>29492.206679196359</v>
      </c>
      <c r="AQ25" s="2394">
        <f>($H$23-SUM($I24:AQ24))</f>
        <v>27494.744852301781</v>
      </c>
      <c r="AR25" s="2394">
        <f>($H$23-SUM($I24:AR24))</f>
        <v>25632.568044710817</v>
      </c>
      <c r="AS25" s="2394">
        <f>($H$23-SUM($I24:AS24))</f>
        <v>23896.513610008114</v>
      </c>
      <c r="AT25" s="2394">
        <f>($H$23-SUM($I24:AT24))</f>
        <v>22278.039473736426</v>
      </c>
      <c r="AU25" s="2394">
        <f>($H$23-SUM($I24:AU24))</f>
        <v>20769.182103011815</v>
      </c>
      <c r="AV25" s="2394">
        <f>($H$23-SUM($I24:AV24))</f>
        <v>19362.517322792031</v>
      </c>
      <c r="AW25" s="2394">
        <f>($H$23-SUM($I24:AW24))</f>
        <v>18051.123785998992</v>
      </c>
      <c r="AX25" s="2394">
        <f>($H$23-SUM($I24:AX24))</f>
        <v>16828.54891775368</v>
      </c>
      <c r="AY25" s="2394">
        <f>($H$23-SUM($I24:AY24))</f>
        <v>15688.777166155574</v>
      </c>
      <c r="AZ25" s="2394">
        <f>($H$23-SUM($I24:AZ24))</f>
        <v>14626.200403388066</v>
      </c>
      <c r="BA25" s="2394">
        <f>($H$23-SUM($I24:BA24))</f>
        <v>13635.590331511485</v>
      </c>
      <c r="BB25" s="2394">
        <f>($H$23-SUM($I24:BB24))</f>
        <v>12712.072757169401</v>
      </c>
      <c r="BC25" s="2394">
        <f>($H$23-SUM($I24:BC24))</f>
        <v>11851.103608629433</v>
      </c>
      <c r="BD25" s="2394">
        <f>($H$23-SUM($I24:BD24))</f>
        <v>11048.44657715311</v>
      </c>
      <c r="BE25" s="2394">
        <f>($H$23-SUM($I24:BE24))</f>
        <v>10300.152272681327</v>
      </c>
      <c r="BF25" s="2394">
        <f>($H$23-SUM($I24:BF24))</f>
        <v>9602.5387912731967</v>
      </c>
      <c r="BG25" s="2394">
        <f>($H$23-SUM($I24:BG24))</f>
        <v>8952.1735986824206</v>
      </c>
      <c r="BH25" s="2394">
        <f>($H$23-SUM($I24:BH24))</f>
        <v>8345.8566409311607</v>
      </c>
      <c r="BI25" s="2394">
        <f>($H$23-SUM($I24:BI24))</f>
        <v>7780.6045987788239</v>
      </c>
      <c r="BJ25" s="2394">
        <f>($H$23-SUM($I24:BJ24))</f>
        <v>7253.636208611395</v>
      </c>
      <c r="BK25" s="2394">
        <f>($H$23-SUM($I24:BK24))</f>
        <v>6762.3585775244574</v>
      </c>
      <c r="BL25" s="2394">
        <f>($H$23-SUM($I24:BL24))</f>
        <v>6304.3544252645806</v>
      </c>
      <c r="BM25" s="2394">
        <f>($H$23-SUM($I24:BM24))</f>
        <v>5877.3701902543544</v>
      </c>
      <c r="BN25" s="2394">
        <f>($H$23-SUM($I24:BN24))</f>
        <v>5676.4982975530729</v>
      </c>
    </row>
    <row r="26" spans="2:152">
      <c r="C26" s="2405"/>
      <c r="D26" s="2406" t="s">
        <v>3919</v>
      </c>
      <c r="E26" s="2356"/>
      <c r="F26" s="2356"/>
      <c r="G26" s="2407">
        <f ca="1">민감도!E88</f>
        <v>1.4999999999999999E-2</v>
      </c>
      <c r="H26" s="2357"/>
      <c r="I26" s="2408"/>
      <c r="J26" s="2409"/>
      <c r="K26" s="2409"/>
      <c r="L26" s="2410"/>
      <c r="M26" s="2411"/>
      <c r="N26" s="2409"/>
      <c r="O26" s="2410"/>
      <c r="P26" s="2412">
        <f>Index!N85</f>
        <v>1.0106217925766798</v>
      </c>
      <c r="Q26" s="2413">
        <f>Index!O85</f>
        <v>1.0412937104666427</v>
      </c>
      <c r="R26" s="2414">
        <f>Index!P85</f>
        <v>1.0846163026614153</v>
      </c>
      <c r="S26" s="2412">
        <f>Index!Q85</f>
        <v>1.1001312805824084</v>
      </c>
      <c r="T26" s="2415">
        <f>Index!R85</f>
        <v>1.1126626089032103</v>
      </c>
      <c r="U26" s="2416">
        <f>Index!S85</f>
        <v>1.1219715956558061</v>
      </c>
      <c r="V26" s="2416">
        <f>Index!T85</f>
        <v>1.1346222699606157</v>
      </c>
      <c r="W26" s="2417">
        <f>Index!U85</f>
        <v>1.1497792099295858</v>
      </c>
      <c r="X26" s="2417">
        <f>Index!V85</f>
        <v>1.1660102637546246</v>
      </c>
      <c r="Y26" s="2417">
        <f>Index!W85</f>
        <v>1.1814058956916098</v>
      </c>
      <c r="Z26" s="2417">
        <f>Index!X85</f>
        <v>1.1901181525241675</v>
      </c>
      <c r="AA26" s="2417">
        <f>Index!Y85</f>
        <v>1.1973982575486333</v>
      </c>
      <c r="AB26" s="2417">
        <f>Index!Z85</f>
        <v>1.2416756176154673</v>
      </c>
      <c r="AC26" s="2418">
        <f t="shared" ref="AC26:BN26" ca="1" si="7">AB26*(1+$G$26)</f>
        <v>1.2603007518796991</v>
      </c>
      <c r="AD26" s="2418">
        <f t="shared" ca="1" si="7"/>
        <v>1.2792052631578945</v>
      </c>
      <c r="AE26" s="2418">
        <f t="shared" ca="1" si="7"/>
        <v>1.2983933421052629</v>
      </c>
      <c r="AF26" s="2418">
        <f t="shared" ca="1" si="7"/>
        <v>1.3178692422368417</v>
      </c>
      <c r="AG26" s="2418">
        <f t="shared" ca="1" si="7"/>
        <v>1.3376372808703942</v>
      </c>
      <c r="AH26" s="2418">
        <f t="shared" ca="1" si="7"/>
        <v>1.35770184008345</v>
      </c>
      <c r="AI26" s="2418">
        <f t="shared" ca="1" si="7"/>
        <v>1.3780673676847015</v>
      </c>
      <c r="AJ26" s="2418">
        <f t="shared" ca="1" si="7"/>
        <v>1.3987383781999718</v>
      </c>
      <c r="AK26" s="2418">
        <f t="shared" ca="1" si="7"/>
        <v>1.4197194538729712</v>
      </c>
      <c r="AL26" s="2418">
        <f t="shared" ca="1" si="7"/>
        <v>1.4410152456810656</v>
      </c>
      <c r="AM26" s="2418">
        <f t="shared" ca="1" si="7"/>
        <v>1.4626304743662815</v>
      </c>
      <c r="AN26" s="2418">
        <f t="shared" ca="1" si="7"/>
        <v>1.4845699314817755</v>
      </c>
      <c r="AO26" s="2418">
        <f t="shared" ca="1" si="7"/>
        <v>1.506838480454002</v>
      </c>
      <c r="AP26" s="2418">
        <f t="shared" ca="1" si="7"/>
        <v>1.529441057660812</v>
      </c>
      <c r="AQ26" s="2418">
        <f t="shared" ca="1" si="7"/>
        <v>1.552382673525724</v>
      </c>
      <c r="AR26" s="2418">
        <f t="shared" ca="1" si="7"/>
        <v>1.5756684136286097</v>
      </c>
      <c r="AS26" s="2418">
        <f t="shared" ca="1" si="7"/>
        <v>1.5993034398330386</v>
      </c>
      <c r="AT26" s="2418">
        <f t="shared" ca="1" si="7"/>
        <v>1.6232929914305341</v>
      </c>
      <c r="AU26" s="2418">
        <f t="shared" ca="1" si="7"/>
        <v>1.647642386301992</v>
      </c>
      <c r="AV26" s="2418">
        <f t="shared" ca="1" si="7"/>
        <v>1.6723570220965218</v>
      </c>
      <c r="AW26" s="2418">
        <f t="shared" ca="1" si="7"/>
        <v>1.6974423774279694</v>
      </c>
      <c r="AX26" s="2418">
        <f t="shared" ca="1" si="7"/>
        <v>1.7229040130893889</v>
      </c>
      <c r="AY26" s="2418">
        <f t="shared" ca="1" si="7"/>
        <v>1.7487475732857296</v>
      </c>
      <c r="AZ26" s="2418">
        <f t="shared" ca="1" si="7"/>
        <v>1.7749787868850153</v>
      </c>
      <c r="BA26" s="2418">
        <f t="shared" ca="1" si="7"/>
        <v>1.8016034686882905</v>
      </c>
      <c r="BB26" s="2418">
        <f t="shared" ca="1" si="7"/>
        <v>1.8286275207186147</v>
      </c>
      <c r="BC26" s="2418">
        <f t="shared" ca="1" si="7"/>
        <v>1.8560569335293937</v>
      </c>
      <c r="BD26" s="2418">
        <f t="shared" ca="1" si="7"/>
        <v>1.8838977875323344</v>
      </c>
      <c r="BE26" s="2418">
        <f t="shared" ca="1" si="7"/>
        <v>1.9121562543453192</v>
      </c>
      <c r="BF26" s="2418">
        <f t="shared" ca="1" si="7"/>
        <v>1.9408385981604988</v>
      </c>
      <c r="BG26" s="2418">
        <f t="shared" ca="1" si="7"/>
        <v>1.9699511771329061</v>
      </c>
      <c r="BH26" s="2418">
        <f t="shared" ca="1" si="7"/>
        <v>1.9995004447898996</v>
      </c>
      <c r="BI26" s="2418">
        <f t="shared" ca="1" si="7"/>
        <v>2.0294929514617479</v>
      </c>
      <c r="BJ26" s="2418">
        <f t="shared" ca="1" si="7"/>
        <v>2.059935345733674</v>
      </c>
      <c r="BK26" s="2418">
        <f t="shared" ca="1" si="7"/>
        <v>2.090834375919679</v>
      </c>
      <c r="BL26" s="2418">
        <f t="shared" ca="1" si="7"/>
        <v>2.1221968915584739</v>
      </c>
      <c r="BM26" s="2418">
        <f t="shared" ca="1" si="7"/>
        <v>2.1540298449318507</v>
      </c>
      <c r="BN26" s="2418">
        <f t="shared" ca="1" si="7"/>
        <v>2.1863402926058284</v>
      </c>
    </row>
    <row r="27" spans="2:152">
      <c r="C27" s="2419"/>
      <c r="D27" s="2373" t="s">
        <v>3920</v>
      </c>
      <c r="E27" s="2396"/>
      <c r="F27" s="2396"/>
      <c r="G27" s="2420"/>
      <c r="H27" s="2398">
        <f ca="1">SUM(펀드차입금!D83:D84)*100</f>
        <v>8860174.3999999985</v>
      </c>
      <c r="I27" s="2421"/>
      <c r="J27" s="2399"/>
      <c r="K27" s="2399"/>
      <c r="L27" s="2398"/>
      <c r="M27" s="2400"/>
      <c r="N27" s="2399"/>
      <c r="O27" s="2398"/>
      <c r="P27" s="2398">
        <f>$P$23*P3/50</f>
        <v>1907.7086676370084</v>
      </c>
      <c r="Q27" s="2401">
        <f t="shared" ref="Q27:BN27" si="8">$P$23*Q3/50</f>
        <v>3784.3133896060217</v>
      </c>
      <c r="R27" s="2400">
        <f t="shared" si="8"/>
        <v>3784.3133896060217</v>
      </c>
      <c r="S27" s="2398">
        <f t="shared" si="8"/>
        <v>3784.3133896060217</v>
      </c>
      <c r="T27" s="2401">
        <f t="shared" si="8"/>
        <v>3784.3133896060217</v>
      </c>
      <c r="U27" s="2402">
        <f t="shared" si="8"/>
        <v>3784.3133896060217</v>
      </c>
      <c r="V27" s="2402">
        <f t="shared" si="8"/>
        <v>3784.3133896060217</v>
      </c>
      <c r="W27" s="2402">
        <f t="shared" si="8"/>
        <v>3784.3133896060217</v>
      </c>
      <c r="X27" s="2402">
        <f t="shared" si="8"/>
        <v>3784.3133896060217</v>
      </c>
      <c r="Y27" s="2402">
        <f t="shared" si="8"/>
        <v>3784.3133896060217</v>
      </c>
      <c r="Z27" s="2402">
        <f t="shared" si="8"/>
        <v>3784.3133896060217</v>
      </c>
      <c r="AA27" s="2402">
        <f t="shared" si="8"/>
        <v>3784.3133896060217</v>
      </c>
      <c r="AB27" s="2402">
        <f t="shared" si="8"/>
        <v>3784.3133896060217</v>
      </c>
      <c r="AC27" s="2402">
        <f t="shared" si="8"/>
        <v>3784.3133896060217</v>
      </c>
      <c r="AD27" s="2402">
        <f t="shared" si="8"/>
        <v>3784.3133896060217</v>
      </c>
      <c r="AE27" s="2402">
        <f t="shared" si="8"/>
        <v>3784.3133896060217</v>
      </c>
      <c r="AF27" s="2402">
        <f t="shared" si="8"/>
        <v>3784.3133896060217</v>
      </c>
      <c r="AG27" s="2402">
        <f t="shared" si="8"/>
        <v>3784.3133896060217</v>
      </c>
      <c r="AH27" s="2402">
        <f t="shared" si="8"/>
        <v>3784.3133896060217</v>
      </c>
      <c r="AI27" s="2402">
        <f t="shared" si="8"/>
        <v>3784.3133896060217</v>
      </c>
      <c r="AJ27" s="2402">
        <f t="shared" si="8"/>
        <v>3784.3133896060217</v>
      </c>
      <c r="AK27" s="2402">
        <f t="shared" si="8"/>
        <v>3784.3133896060217</v>
      </c>
      <c r="AL27" s="2402">
        <f t="shared" si="8"/>
        <v>3784.3133896060217</v>
      </c>
      <c r="AM27" s="2402">
        <f t="shared" si="8"/>
        <v>3784.3133896060217</v>
      </c>
      <c r="AN27" s="2402">
        <f t="shared" si="8"/>
        <v>3784.3133896060217</v>
      </c>
      <c r="AO27" s="2402">
        <f t="shared" si="8"/>
        <v>3784.3133896060217</v>
      </c>
      <c r="AP27" s="2402">
        <f t="shared" si="8"/>
        <v>3784.3133896060217</v>
      </c>
      <c r="AQ27" s="2402">
        <f t="shared" si="8"/>
        <v>3784.3133896060217</v>
      </c>
      <c r="AR27" s="2402">
        <f t="shared" si="8"/>
        <v>3784.3133896060217</v>
      </c>
      <c r="AS27" s="2402">
        <f t="shared" si="8"/>
        <v>3784.3133896060217</v>
      </c>
      <c r="AT27" s="2402">
        <f t="shared" si="8"/>
        <v>3784.3133896060217</v>
      </c>
      <c r="AU27" s="2402">
        <f t="shared" si="8"/>
        <v>3784.3133896060217</v>
      </c>
      <c r="AV27" s="2402">
        <f t="shared" si="8"/>
        <v>3784.3133896060217</v>
      </c>
      <c r="AW27" s="2402">
        <f t="shared" si="8"/>
        <v>3784.3133896060217</v>
      </c>
      <c r="AX27" s="2402">
        <f t="shared" si="8"/>
        <v>3784.3133896060217</v>
      </c>
      <c r="AY27" s="2402">
        <f t="shared" si="8"/>
        <v>3784.3133896060217</v>
      </c>
      <c r="AZ27" s="2402">
        <f t="shared" si="8"/>
        <v>3784.3133896060217</v>
      </c>
      <c r="BA27" s="2402">
        <f t="shared" si="8"/>
        <v>3784.3133896060217</v>
      </c>
      <c r="BB27" s="2402">
        <f t="shared" si="8"/>
        <v>3784.3133896060217</v>
      </c>
      <c r="BC27" s="2402">
        <f t="shared" si="8"/>
        <v>3784.3133896060217</v>
      </c>
      <c r="BD27" s="2402">
        <f t="shared" si="8"/>
        <v>3784.3133896060217</v>
      </c>
      <c r="BE27" s="2402">
        <f t="shared" si="8"/>
        <v>3784.3133896060217</v>
      </c>
      <c r="BF27" s="2402">
        <f t="shared" si="8"/>
        <v>3784.3133896060217</v>
      </c>
      <c r="BG27" s="2402">
        <f t="shared" si="8"/>
        <v>3784.3133896060217</v>
      </c>
      <c r="BH27" s="2402">
        <f t="shared" si="8"/>
        <v>3784.3133896060217</v>
      </c>
      <c r="BI27" s="2402">
        <f t="shared" si="8"/>
        <v>3784.3133896060217</v>
      </c>
      <c r="BJ27" s="2402">
        <f t="shared" si="8"/>
        <v>3784.3133896060217</v>
      </c>
      <c r="BK27" s="2402">
        <f t="shared" si="8"/>
        <v>3784.3133896060217</v>
      </c>
      <c r="BL27" s="2402">
        <f t="shared" si="8"/>
        <v>3784.3133896060217</v>
      </c>
      <c r="BM27" s="2402">
        <f t="shared" si="8"/>
        <v>3784.3133896060217</v>
      </c>
      <c r="BN27" s="2402">
        <f t="shared" si="8"/>
        <v>1876.6047219690133</v>
      </c>
    </row>
    <row r="28" spans="2:152">
      <c r="C28" s="2422"/>
      <c r="D28" s="2423" t="s">
        <v>3921</v>
      </c>
      <c r="E28" s="2424"/>
      <c r="F28" s="2424"/>
      <c r="G28" s="2425"/>
      <c r="H28" s="2426">
        <f>SUM(Sensitivity!J48:J48)*100</f>
        <v>0</v>
      </c>
      <c r="I28" s="2427"/>
      <c r="J28" s="2428"/>
      <c r="K28" s="2428"/>
      <c r="L28" s="2426"/>
      <c r="M28" s="2429"/>
      <c r="N28" s="2428"/>
      <c r="O28" s="2426"/>
      <c r="P28" s="2430">
        <f>$P$23-SUM($P27:P27)</f>
        <v>187307.9608126641</v>
      </c>
      <c r="Q28" s="2430">
        <f>$P$23-SUM($P27:Q27)</f>
        <v>183523.64742305805</v>
      </c>
      <c r="R28" s="2430">
        <f>$P$23-SUM($P27:R27)</f>
        <v>179739.33403345203</v>
      </c>
      <c r="S28" s="2430">
        <f>$P$23-SUM($P27:S27)</f>
        <v>175955.02064384602</v>
      </c>
      <c r="T28" s="2430">
        <f>$P$23-SUM($P27:T27)</f>
        <v>172170.70725424</v>
      </c>
      <c r="U28" s="2431">
        <f>$P$23-SUM($P27:U27)</f>
        <v>168386.39386463398</v>
      </c>
      <c r="V28" s="2431">
        <f>$P$23-SUM($P27:V27)</f>
        <v>164602.08047502796</v>
      </c>
      <c r="W28" s="2431">
        <f>$P$23-SUM($P27:W27)</f>
        <v>160817.76708542195</v>
      </c>
      <c r="X28" s="2431">
        <f>$P$23-SUM($P27:X27)</f>
        <v>157033.45369581593</v>
      </c>
      <c r="Y28" s="2431">
        <f>$P$23-SUM($P27:Y27)</f>
        <v>153249.14030620988</v>
      </c>
      <c r="Z28" s="2431">
        <f>$P$23-SUM($P27:Z27)</f>
        <v>149464.82691660387</v>
      </c>
      <c r="AA28" s="2431">
        <f>$P$23-SUM($P27:AA27)</f>
        <v>145680.51352699785</v>
      </c>
      <c r="AB28" s="2431">
        <f>$P$23-SUM($P27:AB27)</f>
        <v>141896.2001373918</v>
      </c>
      <c r="AC28" s="2431">
        <f>$P$23-SUM($P27:AC27)</f>
        <v>138111.88674778579</v>
      </c>
      <c r="AD28" s="2431">
        <f>$P$23-SUM($P27:AD27)</f>
        <v>134327.57335817977</v>
      </c>
      <c r="AE28" s="2431">
        <f>$P$23-SUM($P27:AE27)</f>
        <v>130543.25996857375</v>
      </c>
      <c r="AF28" s="2431">
        <f>$P$23-SUM($P27:AF27)</f>
        <v>126758.94657896772</v>
      </c>
      <c r="AG28" s="2431">
        <f>$P$23-SUM($P27:AG27)</f>
        <v>122974.6331893617</v>
      </c>
      <c r="AH28" s="2431">
        <f>$P$23-SUM($P27:AH27)</f>
        <v>119190.31979975569</v>
      </c>
      <c r="AI28" s="2431">
        <f>$P$23-SUM($P27:AI27)</f>
        <v>115406.00641014967</v>
      </c>
      <c r="AJ28" s="2431">
        <f>$P$23-SUM($P27:AJ27)</f>
        <v>111621.69302054365</v>
      </c>
      <c r="AK28" s="2431">
        <f>$P$23-SUM($P27:AK27)</f>
        <v>107837.37963093763</v>
      </c>
      <c r="AL28" s="2431">
        <f>$P$23-SUM($P27:AL27)</f>
        <v>104053.06624133162</v>
      </c>
      <c r="AM28" s="2431">
        <f>$P$23-SUM($P27:AM27)</f>
        <v>100268.7528517256</v>
      </c>
      <c r="AN28" s="2431">
        <f>$P$23-SUM($P27:AN27)</f>
        <v>96484.439462119582</v>
      </c>
      <c r="AO28" s="2431">
        <f>$P$23-SUM($P27:AO27)</f>
        <v>92700.126072513565</v>
      </c>
      <c r="AP28" s="2431">
        <f>$P$23-SUM($P27:AP27)</f>
        <v>88915.812682907548</v>
      </c>
      <c r="AQ28" s="2431">
        <f>$P$23-SUM($P27:AQ27)</f>
        <v>85131.499293301531</v>
      </c>
      <c r="AR28" s="2431">
        <f>$P$23-SUM($P27:AR27)</f>
        <v>81347.185903695514</v>
      </c>
      <c r="AS28" s="2431">
        <f>$P$23-SUM($P27:AS27)</f>
        <v>77562.872514089497</v>
      </c>
      <c r="AT28" s="2431">
        <f>$P$23-SUM($P27:AT27)</f>
        <v>73778.55912448348</v>
      </c>
      <c r="AU28" s="2431">
        <f>$P$23-SUM($P27:AU27)</f>
        <v>69994.245734877462</v>
      </c>
      <c r="AV28" s="2431">
        <f>$P$23-SUM($P27:AV27)</f>
        <v>66209.932345271445</v>
      </c>
      <c r="AW28" s="2431">
        <f>$P$23-SUM($P27:AW27)</f>
        <v>62425.618955665428</v>
      </c>
      <c r="AX28" s="2431">
        <f>$P$23-SUM($P27:AX27)</f>
        <v>58641.305566059411</v>
      </c>
      <c r="AY28" s="2431">
        <f>$P$23-SUM($P27:AY27)</f>
        <v>54856.992176453379</v>
      </c>
      <c r="AZ28" s="2431">
        <f>$P$23-SUM($P27:AZ27)</f>
        <v>51072.678786847362</v>
      </c>
      <c r="BA28" s="2431">
        <f>$P$23-SUM($P27:BA27)</f>
        <v>47288.365397241345</v>
      </c>
      <c r="BB28" s="2431">
        <f>$P$23-SUM($P27:BB27)</f>
        <v>43504.052007635328</v>
      </c>
      <c r="BC28" s="2431">
        <f>$P$23-SUM($P27:BC27)</f>
        <v>39719.738618029311</v>
      </c>
      <c r="BD28" s="2431">
        <f>$P$23-SUM($P27:BD27)</f>
        <v>35935.425228423293</v>
      </c>
      <c r="BE28" s="2431">
        <f>$P$23-SUM($P27:BE27)</f>
        <v>32151.111838817276</v>
      </c>
      <c r="BF28" s="2431">
        <f>$P$23-SUM($P27:BF27)</f>
        <v>28366.798449211259</v>
      </c>
      <c r="BG28" s="2431">
        <f>$P$23-SUM($P27:BG27)</f>
        <v>24582.485059605242</v>
      </c>
      <c r="BH28" s="2431">
        <f>$P$23-SUM($P27:BH27)</f>
        <v>20798.171669999225</v>
      </c>
      <c r="BI28" s="2431">
        <f>$P$23-SUM($P27:BI27)</f>
        <v>17013.858280393208</v>
      </c>
      <c r="BJ28" s="2431">
        <f>$P$23-SUM($P27:BJ27)</f>
        <v>13229.544890787191</v>
      </c>
      <c r="BK28" s="2431">
        <f>$P$23-SUM($P27:BK27)</f>
        <v>9445.2315011811734</v>
      </c>
      <c r="BL28" s="2431">
        <f>$P$23-SUM($P27:BL27)</f>
        <v>5660.9181115751562</v>
      </c>
      <c r="BM28" s="2431">
        <f>$P$23-SUM($P27:BM27)</f>
        <v>1876.6047219691391</v>
      </c>
      <c r="BN28" s="2431">
        <f>$P$23-SUM($P27:BN27)</f>
        <v>0</v>
      </c>
    </row>
    <row r="29" spans="2:152">
      <c r="C29" s="2432"/>
      <c r="D29" s="2433" t="s">
        <v>3922</v>
      </c>
      <c r="E29" s="2434"/>
      <c r="F29" s="2434"/>
      <c r="H29" s="2435">
        <f ca="1">MAX(J29:AT29)</f>
        <v>184583.4993909224</v>
      </c>
      <c r="I29" s="2436"/>
      <c r="J29" s="2436"/>
      <c r="K29" s="2436"/>
      <c r="L29" s="2435"/>
      <c r="M29" s="2437"/>
      <c r="N29" s="2436"/>
      <c r="O29" s="2435"/>
      <c r="P29" s="2435">
        <f t="shared" ref="P29:BN29" si="9">P25*P26</f>
        <v>184583.4993909224</v>
      </c>
      <c r="Q29" s="2438">
        <f t="shared" si="9"/>
        <v>177304.55243362219</v>
      </c>
      <c r="R29" s="2437">
        <f t="shared" si="9"/>
        <v>172173.05851541273</v>
      </c>
      <c r="S29" s="2439">
        <f t="shared" si="9"/>
        <v>162808.09884107241</v>
      </c>
      <c r="T29" s="2440">
        <f t="shared" si="9"/>
        <v>153510.26113560027</v>
      </c>
      <c r="U29" s="2441">
        <f t="shared" si="9"/>
        <v>144310.59058547282</v>
      </c>
      <c r="V29" s="2441">
        <f t="shared" si="9"/>
        <v>136053.61020570088</v>
      </c>
      <c r="W29" s="2441">
        <f t="shared" si="9"/>
        <v>128533.29574607371</v>
      </c>
      <c r="X29" s="2441">
        <f t="shared" si="9"/>
        <v>121519.5045942264</v>
      </c>
      <c r="Y29" s="2441">
        <f t="shared" si="9"/>
        <v>114785.00988821698</v>
      </c>
      <c r="Z29" s="2441">
        <f t="shared" si="9"/>
        <v>107799.94683040405</v>
      </c>
      <c r="AA29" s="2441">
        <f t="shared" si="9"/>
        <v>101113.58628189348</v>
      </c>
      <c r="AB29" s="2441">
        <f t="shared" si="9"/>
        <v>97751.058874510767</v>
      </c>
      <c r="AC29" s="2441">
        <f t="shared" ca="1" si="9"/>
        <v>92497.487855435451</v>
      </c>
      <c r="AD29" s="2441">
        <f t="shared" ca="1" si="9"/>
        <v>87526.26680545765</v>
      </c>
      <c r="AE29" s="2441">
        <f t="shared" ca="1" si="9"/>
        <v>82822.220997756333</v>
      </c>
      <c r="AF29" s="2441">
        <f t="shared" ca="1" si="9"/>
        <v>78370.991261945019</v>
      </c>
      <c r="AG29" s="2441">
        <f t="shared" ca="1" si="9"/>
        <v>74158.990152488797</v>
      </c>
      <c r="AH29" s="2441">
        <f t="shared" ca="1" si="9"/>
        <v>70173.360472823013</v>
      </c>
      <c r="AI29" s="2441">
        <f t="shared" ca="1" si="9"/>
        <v>66401.936028567914</v>
      </c>
      <c r="AJ29" s="2441">
        <f t="shared" ca="1" si="9"/>
        <v>62833.20449003781</v>
      </c>
      <c r="AK29" s="2441">
        <f t="shared" ca="1" si="9"/>
        <v>59456.272250682086</v>
      </c>
      <c r="AL29" s="2441">
        <f t="shared" ca="1" si="9"/>
        <v>56260.831174187675</v>
      </c>
      <c r="AM29" s="2441">
        <f t="shared" ca="1" si="9"/>
        <v>53237.127128738452</v>
      </c>
      <c r="AN29" s="2441">
        <f t="shared" ca="1" si="9"/>
        <v>50375.930212381601</v>
      </c>
      <c r="AO29" s="2441">
        <f t="shared" ca="1" si="9"/>
        <v>47668.506578613262</v>
      </c>
      <c r="AP29" s="2441">
        <f t="shared" ca="1" si="9"/>
        <v>45106.59177618134</v>
      </c>
      <c r="AQ29" s="2441">
        <f t="shared" ca="1" si="9"/>
        <v>42682.365521723877</v>
      </c>
      <c r="AR29" s="2441">
        <f t="shared" ca="1" si="9"/>
        <v>40388.427828236883</v>
      </c>
      <c r="AS29" s="2441">
        <f t="shared" ca="1" si="9"/>
        <v>38217.776416503002</v>
      </c>
      <c r="AT29" s="2441">
        <f t="shared" ca="1" si="9"/>
        <v>36163.785340529124</v>
      </c>
      <c r="AU29" s="2441">
        <f t="shared" ca="1" si="9"/>
        <v>34220.184761747012</v>
      </c>
      <c r="AV29" s="2441">
        <f t="shared" ca="1" si="9"/>
        <v>32381.041810236798</v>
      </c>
      <c r="AW29" s="2441">
        <f t="shared" ca="1" si="9"/>
        <v>30640.742474552699</v>
      </c>
      <c r="AX29" s="2441">
        <f t="shared" ca="1" si="9"/>
        <v>28993.974464868908</v>
      </c>
      <c r="AY29" s="2441">
        <f t="shared" ca="1" si="9"/>
        <v>27435.710997135127</v>
      </c>
      <c r="AZ29" s="2441">
        <f t="shared" ca="1" si="9"/>
        <v>25961.19544874287</v>
      </c>
      <c r="BA29" s="2441">
        <f t="shared" ca="1" si="9"/>
        <v>24565.926838863608</v>
      </c>
      <c r="BB29" s="2441">
        <f t="shared" ca="1" si="9"/>
        <v>23245.646089137324</v>
      </c>
      <c r="BC29" s="2441">
        <f t="shared" ca="1" si="9"/>
        <v>21996.323022771878</v>
      </c>
      <c r="BD29" s="2441">
        <f t="shared" ca="1" si="9"/>
        <v>20814.144062367937</v>
      </c>
      <c r="BE29" s="2441">
        <f t="shared" ca="1" si="9"/>
        <v>19695.500588916755</v>
      </c>
      <c r="BF29" s="2441">
        <f t="shared" ca="1" si="9"/>
        <v>18636.977926436481</v>
      </c>
      <c r="BG29" s="2441">
        <f t="shared" ca="1" si="9"/>
        <v>17635.344918622559</v>
      </c>
      <c r="BH29" s="2441">
        <f t="shared" ca="1" si="9"/>
        <v>16687.544065694594</v>
      </c>
      <c r="BI29" s="2441">
        <f t="shared" ca="1" si="9"/>
        <v>15790.682191332484</v>
      </c>
      <c r="BJ29" s="2441">
        <f t="shared" ca="1" si="9"/>
        <v>14942.021611212211</v>
      </c>
      <c r="BK29" s="2441">
        <f t="shared" ca="1" si="9"/>
        <v>14138.971776183436</v>
      </c>
      <c r="BL29" s="2441">
        <f t="shared" ca="1" si="9"/>
        <v>13379.081364579402</v>
      </c>
      <c r="BM29" s="2441">
        <f t="shared" ca="1" si="9"/>
        <v>12660.030799520669</v>
      </c>
      <c r="BN29" s="2441">
        <f t="shared" ca="1" si="9"/>
        <v>12410.756948848672</v>
      </c>
    </row>
    <row r="30" spans="2:152">
      <c r="C30" s="2432"/>
      <c r="D30" s="2433" t="s">
        <v>3923</v>
      </c>
      <c r="E30" s="2434"/>
      <c r="F30" s="2434"/>
      <c r="G30" s="2442">
        <v>1</v>
      </c>
      <c r="H30" s="2435"/>
      <c r="I30" s="2436"/>
      <c r="J30" s="2436"/>
      <c r="K30" s="2436"/>
      <c r="L30" s="2435"/>
      <c r="M30" s="2437"/>
      <c r="N30" s="2436"/>
      <c r="O30" s="2435"/>
      <c r="P30" s="2435">
        <f>CHOOSE($G30,P29,P28)</f>
        <v>184583.4993909224</v>
      </c>
      <c r="Q30" s="2438">
        <f t="shared" ref="Q30:BN30" si="10">CHOOSE($G30,Q29,Q28)</f>
        <v>177304.55243362219</v>
      </c>
      <c r="R30" s="2438">
        <f t="shared" si="10"/>
        <v>172173.05851541273</v>
      </c>
      <c r="S30" s="2438">
        <f t="shared" si="10"/>
        <v>162808.09884107241</v>
      </c>
      <c r="T30" s="2438">
        <f t="shared" si="10"/>
        <v>153510.26113560027</v>
      </c>
      <c r="U30" s="2438">
        <f t="shared" si="10"/>
        <v>144310.59058547282</v>
      </c>
      <c r="V30" s="2438">
        <f t="shared" si="10"/>
        <v>136053.61020570088</v>
      </c>
      <c r="W30" s="2438">
        <f t="shared" si="10"/>
        <v>128533.29574607371</v>
      </c>
      <c r="X30" s="2438">
        <f t="shared" si="10"/>
        <v>121519.5045942264</v>
      </c>
      <c r="Y30" s="2438">
        <f t="shared" si="10"/>
        <v>114785.00988821698</v>
      </c>
      <c r="Z30" s="2438">
        <f t="shared" si="10"/>
        <v>107799.94683040405</v>
      </c>
      <c r="AA30" s="2438">
        <f t="shared" si="10"/>
        <v>101113.58628189348</v>
      </c>
      <c r="AB30" s="2438">
        <f t="shared" si="10"/>
        <v>97751.058874510767</v>
      </c>
      <c r="AC30" s="2438">
        <f t="shared" ca="1" si="10"/>
        <v>92497.487855435451</v>
      </c>
      <c r="AD30" s="2438">
        <f t="shared" ca="1" si="10"/>
        <v>87526.26680545765</v>
      </c>
      <c r="AE30" s="2438">
        <f t="shared" ca="1" si="10"/>
        <v>82822.220997756333</v>
      </c>
      <c r="AF30" s="2438">
        <f t="shared" ca="1" si="10"/>
        <v>78370.991261945019</v>
      </c>
      <c r="AG30" s="2438">
        <f t="shared" ca="1" si="10"/>
        <v>74158.990152488797</v>
      </c>
      <c r="AH30" s="2438">
        <f t="shared" ca="1" si="10"/>
        <v>70173.360472823013</v>
      </c>
      <c r="AI30" s="2438">
        <f t="shared" ca="1" si="10"/>
        <v>66401.936028567914</v>
      </c>
      <c r="AJ30" s="2438">
        <f t="shared" ca="1" si="10"/>
        <v>62833.20449003781</v>
      </c>
      <c r="AK30" s="2438">
        <f t="shared" ca="1" si="10"/>
        <v>59456.272250682086</v>
      </c>
      <c r="AL30" s="2438">
        <f t="shared" ca="1" si="10"/>
        <v>56260.831174187675</v>
      </c>
      <c r="AM30" s="2438">
        <f t="shared" ca="1" si="10"/>
        <v>53237.127128738452</v>
      </c>
      <c r="AN30" s="2438">
        <f t="shared" ca="1" si="10"/>
        <v>50375.930212381601</v>
      </c>
      <c r="AO30" s="2438">
        <f t="shared" ca="1" si="10"/>
        <v>47668.506578613262</v>
      </c>
      <c r="AP30" s="2438">
        <f t="shared" ca="1" si="10"/>
        <v>45106.59177618134</v>
      </c>
      <c r="AQ30" s="2438">
        <f t="shared" ca="1" si="10"/>
        <v>42682.365521723877</v>
      </c>
      <c r="AR30" s="2438">
        <f t="shared" ca="1" si="10"/>
        <v>40388.427828236883</v>
      </c>
      <c r="AS30" s="2438">
        <f t="shared" ca="1" si="10"/>
        <v>38217.776416503002</v>
      </c>
      <c r="AT30" s="2438">
        <f t="shared" ca="1" si="10"/>
        <v>36163.785340529124</v>
      </c>
      <c r="AU30" s="2438">
        <f t="shared" ca="1" si="10"/>
        <v>34220.184761747012</v>
      </c>
      <c r="AV30" s="2438">
        <f t="shared" ca="1" si="10"/>
        <v>32381.041810236798</v>
      </c>
      <c r="AW30" s="2438">
        <f t="shared" ca="1" si="10"/>
        <v>30640.742474552699</v>
      </c>
      <c r="AX30" s="2438">
        <f t="shared" ca="1" si="10"/>
        <v>28993.974464868908</v>
      </c>
      <c r="AY30" s="2438">
        <f t="shared" ca="1" si="10"/>
        <v>27435.710997135127</v>
      </c>
      <c r="AZ30" s="2438">
        <f t="shared" ca="1" si="10"/>
        <v>25961.19544874287</v>
      </c>
      <c r="BA30" s="2438">
        <f t="shared" ca="1" si="10"/>
        <v>24565.926838863608</v>
      </c>
      <c r="BB30" s="2438">
        <f t="shared" ca="1" si="10"/>
        <v>23245.646089137324</v>
      </c>
      <c r="BC30" s="2438">
        <f t="shared" ca="1" si="10"/>
        <v>21996.323022771878</v>
      </c>
      <c r="BD30" s="2438">
        <f t="shared" ca="1" si="10"/>
        <v>20814.144062367937</v>
      </c>
      <c r="BE30" s="2438">
        <f t="shared" ca="1" si="10"/>
        <v>19695.500588916755</v>
      </c>
      <c r="BF30" s="2438">
        <f t="shared" ca="1" si="10"/>
        <v>18636.977926436481</v>
      </c>
      <c r="BG30" s="2438">
        <f t="shared" ca="1" si="10"/>
        <v>17635.344918622559</v>
      </c>
      <c r="BH30" s="2438">
        <f t="shared" ca="1" si="10"/>
        <v>16687.544065694594</v>
      </c>
      <c r="BI30" s="2438">
        <f t="shared" ca="1" si="10"/>
        <v>15790.682191332484</v>
      </c>
      <c r="BJ30" s="2438">
        <f t="shared" ca="1" si="10"/>
        <v>14942.021611212211</v>
      </c>
      <c r="BK30" s="2438">
        <f t="shared" ca="1" si="10"/>
        <v>14138.971776183436</v>
      </c>
      <c r="BL30" s="2438">
        <f t="shared" ca="1" si="10"/>
        <v>13379.081364579402</v>
      </c>
      <c r="BM30" s="2438">
        <f t="shared" ca="1" si="10"/>
        <v>12660.030799520669</v>
      </c>
      <c r="BN30" s="2438">
        <f t="shared" ca="1" si="10"/>
        <v>12410.756948848672</v>
      </c>
    </row>
    <row r="31" spans="2:152" s="2367" customFormat="1" ht="17.25" customHeight="1">
      <c r="B31" s="2368"/>
      <c r="H31" s="2369"/>
      <c r="I31" s="2369"/>
      <c r="J31" s="2369"/>
      <c r="K31" s="2369"/>
      <c r="L31" s="2370"/>
      <c r="M31" s="2369"/>
      <c r="N31" s="2369"/>
      <c r="O31" s="2371"/>
      <c r="P31" s="2369"/>
      <c r="Q31" s="2443"/>
      <c r="R31" s="2443"/>
      <c r="S31" s="2444"/>
      <c r="T31" s="2445"/>
      <c r="U31" s="2443"/>
      <c r="V31" s="2443"/>
      <c r="W31" s="2443"/>
      <c r="X31" s="2443"/>
      <c r="Y31" s="2369"/>
      <c r="Z31" s="2369"/>
      <c r="AA31" s="2369"/>
      <c r="AB31" s="2369"/>
      <c r="AC31" s="2369"/>
      <c r="AD31" s="2369"/>
      <c r="AE31" s="2369"/>
      <c r="AF31" s="2369"/>
      <c r="AG31" s="2369"/>
      <c r="AH31" s="2369"/>
      <c r="AI31" s="2369"/>
      <c r="AJ31" s="2369"/>
      <c r="AK31" s="2369"/>
      <c r="AL31" s="2369"/>
      <c r="AM31" s="2369"/>
      <c r="AN31" s="2369"/>
      <c r="AO31" s="2369"/>
      <c r="AP31" s="2369"/>
      <c r="AQ31" s="2369"/>
      <c r="AR31" s="2369"/>
      <c r="AS31" s="2369"/>
      <c r="AT31" s="2369"/>
      <c r="AU31" s="2369"/>
      <c r="AV31" s="2369"/>
      <c r="AW31" s="2369"/>
      <c r="AX31" s="2369"/>
      <c r="AY31" s="2369"/>
      <c r="AZ31" s="2369"/>
      <c r="BA31" s="2369"/>
      <c r="BB31" s="2369"/>
      <c r="BC31" s="2369"/>
      <c r="BD31" s="2369"/>
      <c r="BE31" s="2369"/>
      <c r="BF31" s="2369"/>
      <c r="BG31" s="2369"/>
      <c r="BH31" s="2369"/>
      <c r="BI31" s="2369"/>
      <c r="BJ31" s="2369"/>
      <c r="BK31" s="2369"/>
      <c r="BL31" s="2369"/>
      <c r="BM31" s="2369"/>
      <c r="BN31" s="2369"/>
      <c r="BR31" s="2368"/>
      <c r="CD31" s="2368"/>
      <c r="CP31" s="2368"/>
      <c r="DB31" s="2368"/>
      <c r="DN31" s="2368"/>
      <c r="DZ31" s="2368"/>
      <c r="EL31" s="2368"/>
    </row>
    <row r="32" spans="2:152" ht="15.75" customHeight="1">
      <c r="C32" s="2351" t="s">
        <v>11</v>
      </c>
      <c r="D32" s="2352"/>
      <c r="E32" s="2352"/>
      <c r="F32" s="2352"/>
      <c r="G32" s="2352"/>
      <c r="H32" s="766" t="s">
        <v>40</v>
      </c>
      <c r="J32" s="2353">
        <f>J17</f>
        <v>2003</v>
      </c>
      <c r="K32" s="2353">
        <f t="shared" ref="K32:BN32" si="11">K17</f>
        <v>2004</v>
      </c>
      <c r="L32" s="2353">
        <f t="shared" si="11"/>
        <v>2005</v>
      </c>
      <c r="M32" s="2353">
        <f t="shared" si="11"/>
        <v>2006</v>
      </c>
      <c r="N32" s="2353">
        <f t="shared" si="11"/>
        <v>2007</v>
      </c>
      <c r="O32" s="2353">
        <f t="shared" si="11"/>
        <v>2008</v>
      </c>
      <c r="P32" s="2353">
        <f t="shared" si="11"/>
        <v>2009</v>
      </c>
      <c r="Q32" s="2353">
        <f t="shared" si="11"/>
        <v>2010</v>
      </c>
      <c r="R32" s="2353">
        <f t="shared" si="11"/>
        <v>2011</v>
      </c>
      <c r="S32" s="2353">
        <f t="shared" si="11"/>
        <v>2012</v>
      </c>
      <c r="T32" s="2353">
        <f t="shared" si="11"/>
        <v>2013</v>
      </c>
      <c r="U32" s="2353">
        <f t="shared" si="11"/>
        <v>2014</v>
      </c>
      <c r="V32" s="2353">
        <f t="shared" si="11"/>
        <v>2015</v>
      </c>
      <c r="W32" s="2353">
        <f t="shared" si="11"/>
        <v>2016</v>
      </c>
      <c r="X32" s="2353">
        <f t="shared" si="11"/>
        <v>2017</v>
      </c>
      <c r="Y32" s="2353">
        <f t="shared" si="11"/>
        <v>2018</v>
      </c>
      <c r="Z32" s="2353">
        <f t="shared" si="11"/>
        <v>2019</v>
      </c>
      <c r="AA32" s="2353">
        <f t="shared" si="11"/>
        <v>2020</v>
      </c>
      <c r="AB32" s="2353">
        <f t="shared" si="11"/>
        <v>2021</v>
      </c>
      <c r="AC32" s="2353">
        <f t="shared" si="11"/>
        <v>2022</v>
      </c>
      <c r="AD32" s="2353">
        <f t="shared" si="11"/>
        <v>2023</v>
      </c>
      <c r="AE32" s="2353">
        <f t="shared" si="11"/>
        <v>2024</v>
      </c>
      <c r="AF32" s="2353">
        <f t="shared" si="11"/>
        <v>2025</v>
      </c>
      <c r="AG32" s="2353">
        <f t="shared" si="11"/>
        <v>2026</v>
      </c>
      <c r="AH32" s="2353">
        <f t="shared" si="11"/>
        <v>2027</v>
      </c>
      <c r="AI32" s="2353">
        <f t="shared" si="11"/>
        <v>2028</v>
      </c>
      <c r="AJ32" s="2353">
        <f t="shared" si="11"/>
        <v>2029</v>
      </c>
      <c r="AK32" s="2353">
        <f t="shared" si="11"/>
        <v>2030</v>
      </c>
      <c r="AL32" s="2353">
        <f t="shared" si="11"/>
        <v>2031</v>
      </c>
      <c r="AM32" s="2353">
        <f t="shared" si="11"/>
        <v>2032</v>
      </c>
      <c r="AN32" s="2353">
        <f t="shared" si="11"/>
        <v>2033</v>
      </c>
      <c r="AO32" s="2353">
        <f t="shared" si="11"/>
        <v>2034</v>
      </c>
      <c r="AP32" s="2353">
        <f t="shared" si="11"/>
        <v>2035</v>
      </c>
      <c r="AQ32" s="2353">
        <f t="shared" si="11"/>
        <v>2036</v>
      </c>
      <c r="AR32" s="2353">
        <f t="shared" si="11"/>
        <v>2037</v>
      </c>
      <c r="AS32" s="2353">
        <f t="shared" si="11"/>
        <v>2038</v>
      </c>
      <c r="AT32" s="2353">
        <f t="shared" si="11"/>
        <v>2039</v>
      </c>
      <c r="AU32" s="2353">
        <f t="shared" si="11"/>
        <v>2040</v>
      </c>
      <c r="AV32" s="2353">
        <f t="shared" si="11"/>
        <v>2041</v>
      </c>
      <c r="AW32" s="2353">
        <f t="shared" si="11"/>
        <v>2042</v>
      </c>
      <c r="AX32" s="2353">
        <f t="shared" si="11"/>
        <v>2043</v>
      </c>
      <c r="AY32" s="2353">
        <f t="shared" si="11"/>
        <v>2044</v>
      </c>
      <c r="AZ32" s="2353">
        <f t="shared" si="11"/>
        <v>2045</v>
      </c>
      <c r="BA32" s="2353">
        <f t="shared" si="11"/>
        <v>2046</v>
      </c>
      <c r="BB32" s="2353">
        <f t="shared" si="11"/>
        <v>2047</v>
      </c>
      <c r="BC32" s="2353">
        <f t="shared" si="11"/>
        <v>2048</v>
      </c>
      <c r="BD32" s="2353">
        <f t="shared" si="11"/>
        <v>2049</v>
      </c>
      <c r="BE32" s="2353">
        <f t="shared" si="11"/>
        <v>2050</v>
      </c>
      <c r="BF32" s="2353">
        <f t="shared" si="11"/>
        <v>2051</v>
      </c>
      <c r="BG32" s="2353">
        <f t="shared" si="11"/>
        <v>2052</v>
      </c>
      <c r="BH32" s="2353">
        <f t="shared" si="11"/>
        <v>2053</v>
      </c>
      <c r="BI32" s="2353">
        <f t="shared" si="11"/>
        <v>2054</v>
      </c>
      <c r="BJ32" s="2353">
        <f t="shared" si="11"/>
        <v>2055</v>
      </c>
      <c r="BK32" s="2353">
        <f t="shared" si="11"/>
        <v>2056</v>
      </c>
      <c r="BL32" s="2353">
        <f t="shared" si="11"/>
        <v>2057</v>
      </c>
      <c r="BM32" s="2353">
        <f t="shared" si="11"/>
        <v>2058</v>
      </c>
      <c r="BN32" s="2353">
        <f t="shared" si="11"/>
        <v>2059</v>
      </c>
    </row>
    <row r="33" spans="2:142">
      <c r="C33" s="2372" t="s">
        <v>185</v>
      </c>
      <c r="D33" s="2373"/>
      <c r="E33" s="2396"/>
      <c r="F33" s="2396"/>
      <c r="G33" s="2397"/>
      <c r="H33" s="2398"/>
      <c r="I33" s="2388"/>
      <c r="J33" s="2399"/>
      <c r="K33" s="2399"/>
      <c r="L33" s="2398"/>
      <c r="M33" s="2400"/>
      <c r="N33" s="2399"/>
      <c r="O33" s="2398"/>
      <c r="P33" s="2398"/>
      <c r="Q33" s="2401"/>
      <c r="R33" s="2400"/>
      <c r="S33" s="2398"/>
      <c r="T33" s="2401"/>
      <c r="U33" s="2402"/>
      <c r="V33" s="2402"/>
      <c r="W33" s="2402"/>
      <c r="X33" s="2402"/>
      <c r="Y33" s="2402"/>
      <c r="Z33" s="2402"/>
      <c r="AA33" s="2402"/>
      <c r="AB33" s="2402"/>
      <c r="AC33" s="2402"/>
      <c r="AD33" s="2402"/>
      <c r="AE33" s="2402"/>
      <c r="AF33" s="2402"/>
      <c r="AG33" s="2402"/>
      <c r="AH33" s="2402"/>
      <c r="AI33" s="2402"/>
      <c r="AJ33" s="2402"/>
      <c r="AK33" s="2402"/>
      <c r="AL33" s="2402"/>
      <c r="AM33" s="2402"/>
      <c r="AN33" s="2402"/>
      <c r="AO33" s="2402"/>
      <c r="AP33" s="2402"/>
      <c r="AQ33" s="2402"/>
      <c r="AR33" s="2402"/>
      <c r="AS33" s="2402"/>
      <c r="AT33" s="2402"/>
      <c r="AU33" s="2402"/>
      <c r="AV33" s="2402"/>
      <c r="AW33" s="2402"/>
      <c r="AX33" s="2402"/>
      <c r="AY33" s="2402"/>
      <c r="AZ33" s="2402"/>
      <c r="BA33" s="2402"/>
      <c r="BB33" s="2402"/>
      <c r="BC33" s="2402"/>
      <c r="BD33" s="2402"/>
      <c r="BE33" s="2402"/>
      <c r="BF33" s="2402"/>
      <c r="BG33" s="2402"/>
      <c r="BH33" s="2402"/>
      <c r="BI33" s="2402"/>
      <c r="BJ33" s="2402"/>
      <c r="BK33" s="2402"/>
      <c r="BL33" s="2402"/>
      <c r="BM33" s="2402"/>
      <c r="BN33" s="2402"/>
    </row>
    <row r="34" spans="2:142">
      <c r="C34" s="2383"/>
      <c r="D34" s="2406" t="s">
        <v>3924</v>
      </c>
      <c r="E34" s="2356"/>
      <c r="F34" s="2356"/>
      <c r="G34" s="2446"/>
      <c r="H34" s="2447">
        <f ca="1">MAX(J34:AT34)</f>
        <v>184583.4993909224</v>
      </c>
      <c r="I34" s="2388"/>
      <c r="J34" s="2448">
        <f>J$30</f>
        <v>0</v>
      </c>
      <c r="K34" s="2448">
        <f t="shared" ref="K34:BN34" si="12">K$30</f>
        <v>0</v>
      </c>
      <c r="L34" s="2447">
        <f t="shared" si="12"/>
        <v>0</v>
      </c>
      <c r="M34" s="2449">
        <f t="shared" si="12"/>
        <v>0</v>
      </c>
      <c r="N34" s="2448">
        <f t="shared" si="12"/>
        <v>0</v>
      </c>
      <c r="O34" s="2447">
        <f t="shared" si="12"/>
        <v>0</v>
      </c>
      <c r="P34" s="2447">
        <f t="shared" si="12"/>
        <v>184583.4993909224</v>
      </c>
      <c r="Q34" s="2450">
        <f t="shared" si="12"/>
        <v>177304.55243362219</v>
      </c>
      <c r="R34" s="2449">
        <f t="shared" si="12"/>
        <v>172173.05851541273</v>
      </c>
      <c r="S34" s="2447">
        <f t="shared" si="12"/>
        <v>162808.09884107241</v>
      </c>
      <c r="T34" s="2450">
        <f t="shared" si="12"/>
        <v>153510.26113560027</v>
      </c>
      <c r="U34" s="2451">
        <f t="shared" si="12"/>
        <v>144310.59058547282</v>
      </c>
      <c r="V34" s="2451">
        <f t="shared" si="12"/>
        <v>136053.61020570088</v>
      </c>
      <c r="W34" s="2451">
        <f t="shared" si="12"/>
        <v>128533.29574607371</v>
      </c>
      <c r="X34" s="2451">
        <f t="shared" si="12"/>
        <v>121519.5045942264</v>
      </c>
      <c r="Y34" s="2451">
        <f t="shared" si="12"/>
        <v>114785.00988821698</v>
      </c>
      <c r="Z34" s="2451">
        <f t="shared" si="12"/>
        <v>107799.94683040405</v>
      </c>
      <c r="AA34" s="2451">
        <f t="shared" si="12"/>
        <v>101113.58628189348</v>
      </c>
      <c r="AB34" s="2451">
        <f t="shared" si="12"/>
        <v>97751.058874510767</v>
      </c>
      <c r="AC34" s="2451">
        <f t="shared" ca="1" si="12"/>
        <v>92497.487855435451</v>
      </c>
      <c r="AD34" s="2451">
        <f t="shared" ca="1" si="12"/>
        <v>87526.26680545765</v>
      </c>
      <c r="AE34" s="2451">
        <f t="shared" ca="1" si="12"/>
        <v>82822.220997756333</v>
      </c>
      <c r="AF34" s="2451">
        <f t="shared" ca="1" si="12"/>
        <v>78370.991261945019</v>
      </c>
      <c r="AG34" s="2451">
        <f t="shared" ca="1" si="12"/>
        <v>74158.990152488797</v>
      </c>
      <c r="AH34" s="2451">
        <f t="shared" ca="1" si="12"/>
        <v>70173.360472823013</v>
      </c>
      <c r="AI34" s="2451">
        <f t="shared" ca="1" si="12"/>
        <v>66401.936028567914</v>
      </c>
      <c r="AJ34" s="2451">
        <f t="shared" ca="1" si="12"/>
        <v>62833.20449003781</v>
      </c>
      <c r="AK34" s="2451">
        <f t="shared" ca="1" si="12"/>
        <v>59456.272250682086</v>
      </c>
      <c r="AL34" s="2451">
        <f t="shared" ca="1" si="12"/>
        <v>56260.831174187675</v>
      </c>
      <c r="AM34" s="2451">
        <f t="shared" ca="1" si="12"/>
        <v>53237.127128738452</v>
      </c>
      <c r="AN34" s="2451">
        <f t="shared" ca="1" si="12"/>
        <v>50375.930212381601</v>
      </c>
      <c r="AO34" s="2451">
        <f t="shared" ca="1" si="12"/>
        <v>47668.506578613262</v>
      </c>
      <c r="AP34" s="2451">
        <f t="shared" ca="1" si="12"/>
        <v>45106.59177618134</v>
      </c>
      <c r="AQ34" s="2451">
        <f t="shared" ca="1" si="12"/>
        <v>42682.365521723877</v>
      </c>
      <c r="AR34" s="2451">
        <f t="shared" ca="1" si="12"/>
        <v>40388.427828236883</v>
      </c>
      <c r="AS34" s="2451">
        <f t="shared" ca="1" si="12"/>
        <v>38217.776416503002</v>
      </c>
      <c r="AT34" s="2451">
        <f t="shared" ca="1" si="12"/>
        <v>36163.785340529124</v>
      </c>
      <c r="AU34" s="2451">
        <f t="shared" ca="1" si="12"/>
        <v>34220.184761747012</v>
      </c>
      <c r="AV34" s="2451">
        <f t="shared" ca="1" si="12"/>
        <v>32381.041810236798</v>
      </c>
      <c r="AW34" s="2451">
        <f t="shared" ca="1" si="12"/>
        <v>30640.742474552699</v>
      </c>
      <c r="AX34" s="2451">
        <f t="shared" ca="1" si="12"/>
        <v>28993.974464868908</v>
      </c>
      <c r="AY34" s="2451">
        <f t="shared" ca="1" si="12"/>
        <v>27435.710997135127</v>
      </c>
      <c r="AZ34" s="2451">
        <f t="shared" ca="1" si="12"/>
        <v>25961.19544874287</v>
      </c>
      <c r="BA34" s="2451">
        <f t="shared" ca="1" si="12"/>
        <v>24565.926838863608</v>
      </c>
      <c r="BB34" s="2451">
        <f t="shared" ca="1" si="12"/>
        <v>23245.646089137324</v>
      </c>
      <c r="BC34" s="2451">
        <f t="shared" ca="1" si="12"/>
        <v>21996.323022771878</v>
      </c>
      <c r="BD34" s="2451">
        <f t="shared" ca="1" si="12"/>
        <v>20814.144062367937</v>
      </c>
      <c r="BE34" s="2451">
        <f t="shared" ca="1" si="12"/>
        <v>19695.500588916755</v>
      </c>
      <c r="BF34" s="2451">
        <f t="shared" ca="1" si="12"/>
        <v>18636.977926436481</v>
      </c>
      <c r="BG34" s="2451">
        <f t="shared" ca="1" si="12"/>
        <v>17635.344918622559</v>
      </c>
      <c r="BH34" s="2451">
        <f t="shared" ca="1" si="12"/>
        <v>16687.544065694594</v>
      </c>
      <c r="BI34" s="2451">
        <f t="shared" ca="1" si="12"/>
        <v>15790.682191332484</v>
      </c>
      <c r="BJ34" s="2451">
        <f t="shared" ca="1" si="12"/>
        <v>14942.021611212211</v>
      </c>
      <c r="BK34" s="2451">
        <f t="shared" ca="1" si="12"/>
        <v>14138.971776183436</v>
      </c>
      <c r="BL34" s="2451">
        <f t="shared" ca="1" si="12"/>
        <v>13379.081364579402</v>
      </c>
      <c r="BM34" s="2451">
        <f t="shared" ca="1" si="12"/>
        <v>12660.030799520669</v>
      </c>
      <c r="BN34" s="2451">
        <f t="shared" ca="1" si="12"/>
        <v>12410.756948848672</v>
      </c>
    </row>
    <row r="35" spans="2:142">
      <c r="C35" s="2422"/>
      <c r="D35" s="2452" t="s">
        <v>3925</v>
      </c>
      <c r="E35" s="2349"/>
      <c r="F35" s="2349"/>
      <c r="G35" s="2453"/>
      <c r="H35" s="2427">
        <f>SUM(Sensitivity!J54:J56)*100</f>
        <v>0</v>
      </c>
      <c r="I35" s="2427"/>
      <c r="J35" s="2454"/>
      <c r="K35" s="2454"/>
      <c r="L35" s="2427"/>
      <c r="M35" s="2455"/>
      <c r="N35" s="2454"/>
      <c r="O35" s="2427"/>
      <c r="P35" s="2427"/>
      <c r="Q35" s="2456"/>
      <c r="R35" s="2455"/>
      <c r="S35" s="2427"/>
      <c r="T35" s="2456">
        <f t="shared" ref="T35:BN35" si="13">T$49</f>
        <v>140919.04168208118</v>
      </c>
      <c r="U35" s="2457">
        <f t="shared" si="13"/>
        <v>140042.76853834913</v>
      </c>
      <c r="V35" s="2457">
        <f t="shared" si="13"/>
        <v>135731.45453272946</v>
      </c>
      <c r="W35" s="2457">
        <f t="shared" si="13"/>
        <v>130983.73877872723</v>
      </c>
      <c r="X35" s="2457">
        <f t="shared" si="13"/>
        <v>127612.99509804517</v>
      </c>
      <c r="Y35" s="2457">
        <f t="shared" si="13"/>
        <v>125758.99314428587</v>
      </c>
      <c r="Z35" s="2457">
        <f t="shared" si="13"/>
        <v>124381.83028731339</v>
      </c>
      <c r="AA35" s="2457">
        <f t="shared" si="13"/>
        <v>131828.51166169738</v>
      </c>
      <c r="AB35" s="2457">
        <f t="shared" si="13"/>
        <v>127511.03569455996</v>
      </c>
      <c r="AC35" s="2457">
        <f t="shared" si="13"/>
        <v>116904.45084481186</v>
      </c>
      <c r="AD35" s="2457">
        <f t="shared" ca="1" si="13"/>
        <v>113865.00424360942</v>
      </c>
      <c r="AE35" s="2457">
        <f t="shared" ca="1" si="13"/>
        <v>113888.6223488445</v>
      </c>
      <c r="AF35" s="2457">
        <f t="shared" ca="1" si="13"/>
        <v>114765.37875521832</v>
      </c>
      <c r="AG35" s="2457">
        <f t="shared" ca="1" si="13"/>
        <v>102982.54431794747</v>
      </c>
      <c r="AH35" s="2457">
        <f t="shared" ca="1" si="13"/>
        <v>86970.648836566776</v>
      </c>
      <c r="AI35" s="2457">
        <f t="shared" ca="1" si="13"/>
        <v>82476.927161115629</v>
      </c>
      <c r="AJ35" s="2457">
        <f t="shared" ca="1" si="13"/>
        <v>84620.711833963214</v>
      </c>
      <c r="AK35" s="2457">
        <f t="shared" ca="1" si="13"/>
        <v>86028.63491732585</v>
      </c>
      <c r="AL35" s="2457">
        <f t="shared" ca="1" si="13"/>
        <v>87515.476900404989</v>
      </c>
      <c r="AM35" s="2457">
        <f t="shared" ca="1" si="13"/>
        <v>88796.663750111911</v>
      </c>
      <c r="AN35" s="2457">
        <f t="shared" ca="1" si="13"/>
        <v>89182.392231340898</v>
      </c>
      <c r="AO35" s="2457">
        <f t="shared" ca="1" si="13"/>
        <v>88669.382739718189</v>
      </c>
      <c r="AP35" s="2457">
        <f t="shared" ca="1" si="13"/>
        <v>87114.717758796818</v>
      </c>
      <c r="AQ35" s="2457">
        <f t="shared" ca="1" si="13"/>
        <v>84878.465982909795</v>
      </c>
      <c r="AR35" s="2457">
        <f t="shared" ca="1" si="13"/>
        <v>83380.973251573494</v>
      </c>
      <c r="AS35" s="2457">
        <f t="shared" ca="1" si="13"/>
        <v>81718.461387543444</v>
      </c>
      <c r="AT35" s="2457">
        <f t="shared" ca="1" si="13"/>
        <v>79498.173580259536</v>
      </c>
      <c r="AU35" s="2457">
        <f t="shared" ca="1" si="13"/>
        <v>77907.779218070747</v>
      </c>
      <c r="AV35" s="2457">
        <f t="shared" ca="1" si="13"/>
        <v>75762.12689243599</v>
      </c>
      <c r="AW35" s="2457">
        <f t="shared" ca="1" si="13"/>
        <v>72746.946458707913</v>
      </c>
      <c r="AX35" s="2457">
        <f t="shared" ca="1" si="13"/>
        <v>70269.947353701224</v>
      </c>
      <c r="AY35" s="2457">
        <f t="shared" ca="1" si="13"/>
        <v>67047.831531652817</v>
      </c>
      <c r="AZ35" s="2457">
        <f t="shared" ca="1" si="13"/>
        <v>63045.617552546042</v>
      </c>
      <c r="BA35" s="2457">
        <f t="shared" ca="1" si="13"/>
        <v>59203.07108336431</v>
      </c>
      <c r="BB35" s="2457">
        <f t="shared" ca="1" si="13"/>
        <v>55010.026011213988</v>
      </c>
      <c r="BC35" s="2457">
        <f t="shared" ca="1" si="13"/>
        <v>54820.528284979671</v>
      </c>
      <c r="BD35" s="2457">
        <f t="shared" ca="1" si="13"/>
        <v>56023.189177871704</v>
      </c>
      <c r="BE35" s="2457">
        <f t="shared" ca="1" si="13"/>
        <v>53048.660734194607</v>
      </c>
      <c r="BF35" s="2457">
        <f t="shared" ca="1" si="13"/>
        <v>48675.178519906527</v>
      </c>
      <c r="BG35" s="2457">
        <f t="shared" ca="1" si="13"/>
        <v>45026.989599697015</v>
      </c>
      <c r="BH35" s="2457">
        <f t="shared" ca="1" si="13"/>
        <v>40630.136487764517</v>
      </c>
      <c r="BI35" s="2457">
        <f t="shared" ca="1" si="13"/>
        <v>34116.590791419614</v>
      </c>
      <c r="BJ35" s="2457">
        <f t="shared" ca="1" si="13"/>
        <v>26898.141601130625</v>
      </c>
      <c r="BK35" s="2457">
        <f t="shared" ca="1" si="13"/>
        <v>19130.124584158173</v>
      </c>
      <c r="BL35" s="2457">
        <f t="shared" ca="1" si="13"/>
        <v>10578.929995566998</v>
      </c>
      <c r="BM35" s="2457">
        <f t="shared" ca="1" si="13"/>
        <v>3012.512359865907</v>
      </c>
      <c r="BN35" s="2457">
        <f t="shared" ca="1" si="13"/>
        <v>3288.3083968555643</v>
      </c>
    </row>
    <row r="36" spans="2:142">
      <c r="U36" s="2458"/>
    </row>
    <row r="37" spans="2:142" s="2367" customFormat="1" ht="17.25" customHeight="1">
      <c r="B37" s="2368" t="s">
        <v>3926</v>
      </c>
      <c r="H37" s="2369"/>
      <c r="I37" s="2369"/>
      <c r="J37" s="2369"/>
      <c r="K37" s="2369"/>
      <c r="L37" s="2370"/>
      <c r="M37" s="2369"/>
      <c r="N37" s="2369"/>
      <c r="O37" s="2371"/>
      <c r="P37" s="2369"/>
      <c r="Q37" s="2369"/>
      <c r="R37" s="2369"/>
      <c r="S37" s="2369"/>
      <c r="T37" s="2369"/>
      <c r="U37" s="2369"/>
      <c r="V37" s="2369"/>
      <c r="W37" s="2369"/>
      <c r="X37" s="2369"/>
      <c r="Y37" s="2369"/>
      <c r="Z37" s="2369"/>
      <c r="AA37" s="2369"/>
      <c r="AB37" s="2369"/>
      <c r="AC37" s="2369"/>
      <c r="AD37" s="2369"/>
      <c r="AE37" s="2369"/>
      <c r="AF37" s="2369"/>
      <c r="AG37" s="2369"/>
      <c r="AH37" s="2369"/>
      <c r="AI37" s="2369"/>
      <c r="AJ37" s="2369"/>
      <c r="AK37" s="2369"/>
      <c r="AL37" s="2369"/>
      <c r="AM37" s="2369"/>
      <c r="AN37" s="2369"/>
      <c r="AO37" s="2369"/>
      <c r="AP37" s="2369"/>
      <c r="AQ37" s="2369"/>
      <c r="AR37" s="2369"/>
      <c r="AS37" s="2369"/>
      <c r="AT37" s="2369"/>
      <c r="AU37" s="2369"/>
      <c r="AV37" s="2369"/>
      <c r="AW37" s="2369"/>
      <c r="AX37" s="2369"/>
      <c r="AY37" s="2369"/>
      <c r="AZ37" s="2369"/>
      <c r="BA37" s="2369"/>
      <c r="BB37" s="2369"/>
      <c r="BC37" s="2369"/>
      <c r="BD37" s="2369"/>
      <c r="BE37" s="2369"/>
      <c r="BF37" s="2369"/>
      <c r="BG37" s="2369"/>
      <c r="BH37" s="2369"/>
      <c r="BI37" s="2369"/>
      <c r="BJ37" s="2369"/>
      <c r="BK37" s="2369"/>
      <c r="BL37" s="2369"/>
      <c r="BM37" s="2369"/>
      <c r="BN37" s="2369"/>
      <c r="BR37" s="2368"/>
      <c r="CD37" s="2368"/>
      <c r="CP37" s="2368"/>
      <c r="DB37" s="2368"/>
      <c r="DN37" s="2368"/>
      <c r="DZ37" s="2368"/>
      <c r="EL37" s="2368"/>
    </row>
    <row r="38" spans="2:142" ht="15.75" customHeight="1">
      <c r="C38" s="2351" t="s">
        <v>11</v>
      </c>
      <c r="D38" s="2352"/>
      <c r="E38" s="2352"/>
      <c r="F38" s="2352"/>
      <c r="G38" s="2352"/>
      <c r="H38" s="766" t="s">
        <v>40</v>
      </c>
      <c r="J38" s="2353">
        <f t="shared" ref="J38:BN38" si="14">J$10</f>
        <v>2003</v>
      </c>
      <c r="K38" s="2353">
        <f t="shared" si="14"/>
        <v>2004</v>
      </c>
      <c r="L38" s="2353">
        <f t="shared" si="14"/>
        <v>2005</v>
      </c>
      <c r="M38" s="2353">
        <f t="shared" si="14"/>
        <v>2006</v>
      </c>
      <c r="N38" s="2353">
        <f t="shared" si="14"/>
        <v>2007</v>
      </c>
      <c r="O38" s="2353">
        <f t="shared" si="14"/>
        <v>2008</v>
      </c>
      <c r="P38" s="2353">
        <f t="shared" si="14"/>
        <v>2009</v>
      </c>
      <c r="Q38" s="2353">
        <f t="shared" si="14"/>
        <v>2010</v>
      </c>
      <c r="R38" s="2353">
        <f t="shared" si="14"/>
        <v>2011</v>
      </c>
      <c r="S38" s="2353">
        <f t="shared" si="14"/>
        <v>2012</v>
      </c>
      <c r="T38" s="2353">
        <f t="shared" si="14"/>
        <v>2013</v>
      </c>
      <c r="U38" s="2353">
        <f t="shared" si="14"/>
        <v>2014</v>
      </c>
      <c r="V38" s="2353">
        <f t="shared" si="14"/>
        <v>2015</v>
      </c>
      <c r="W38" s="2353">
        <f t="shared" si="14"/>
        <v>2016</v>
      </c>
      <c r="X38" s="2353">
        <f t="shared" si="14"/>
        <v>2017</v>
      </c>
      <c r="Y38" s="2353">
        <f t="shared" si="14"/>
        <v>2018</v>
      </c>
      <c r="Z38" s="2353">
        <f t="shared" si="14"/>
        <v>2019</v>
      </c>
      <c r="AA38" s="2353">
        <f t="shared" si="14"/>
        <v>2020</v>
      </c>
      <c r="AB38" s="2353">
        <f t="shared" si="14"/>
        <v>2021</v>
      </c>
      <c r="AC38" s="2353">
        <f t="shared" si="14"/>
        <v>2022</v>
      </c>
      <c r="AD38" s="2353">
        <f t="shared" si="14"/>
        <v>2023</v>
      </c>
      <c r="AE38" s="2353">
        <f t="shared" si="14"/>
        <v>2024</v>
      </c>
      <c r="AF38" s="2353">
        <f t="shared" si="14"/>
        <v>2025</v>
      </c>
      <c r="AG38" s="2353">
        <f t="shared" si="14"/>
        <v>2026</v>
      </c>
      <c r="AH38" s="2353">
        <f t="shared" si="14"/>
        <v>2027</v>
      </c>
      <c r="AI38" s="2353">
        <f t="shared" si="14"/>
        <v>2028</v>
      </c>
      <c r="AJ38" s="2353">
        <f t="shared" si="14"/>
        <v>2029</v>
      </c>
      <c r="AK38" s="2353">
        <f t="shared" si="14"/>
        <v>2030</v>
      </c>
      <c r="AL38" s="2353">
        <f t="shared" si="14"/>
        <v>2031</v>
      </c>
      <c r="AM38" s="2353">
        <f t="shared" si="14"/>
        <v>2032</v>
      </c>
      <c r="AN38" s="2353">
        <f t="shared" si="14"/>
        <v>2033</v>
      </c>
      <c r="AO38" s="2353">
        <f t="shared" si="14"/>
        <v>2034</v>
      </c>
      <c r="AP38" s="2353">
        <f t="shared" si="14"/>
        <v>2035</v>
      </c>
      <c r="AQ38" s="2353">
        <f t="shared" si="14"/>
        <v>2036</v>
      </c>
      <c r="AR38" s="2353">
        <f t="shared" si="14"/>
        <v>2037</v>
      </c>
      <c r="AS38" s="2353">
        <f t="shared" si="14"/>
        <v>2038</v>
      </c>
      <c r="AT38" s="2353">
        <f t="shared" si="14"/>
        <v>2039</v>
      </c>
      <c r="AU38" s="2353">
        <f t="shared" si="14"/>
        <v>2040</v>
      </c>
      <c r="AV38" s="2353">
        <f t="shared" si="14"/>
        <v>2041</v>
      </c>
      <c r="AW38" s="2353">
        <f t="shared" si="14"/>
        <v>2042</v>
      </c>
      <c r="AX38" s="2353">
        <f t="shared" si="14"/>
        <v>2043</v>
      </c>
      <c r="AY38" s="2353">
        <f t="shared" si="14"/>
        <v>2044</v>
      </c>
      <c r="AZ38" s="2353">
        <f t="shared" si="14"/>
        <v>2045</v>
      </c>
      <c r="BA38" s="2353">
        <f t="shared" si="14"/>
        <v>2046</v>
      </c>
      <c r="BB38" s="2353">
        <f t="shared" si="14"/>
        <v>2047</v>
      </c>
      <c r="BC38" s="2353">
        <f t="shared" si="14"/>
        <v>2048</v>
      </c>
      <c r="BD38" s="2353">
        <f t="shared" si="14"/>
        <v>2049</v>
      </c>
      <c r="BE38" s="2353">
        <f t="shared" si="14"/>
        <v>2050</v>
      </c>
      <c r="BF38" s="2353">
        <f t="shared" si="14"/>
        <v>2051</v>
      </c>
      <c r="BG38" s="2353">
        <f t="shared" si="14"/>
        <v>2052</v>
      </c>
      <c r="BH38" s="2353">
        <f t="shared" si="14"/>
        <v>2053</v>
      </c>
      <c r="BI38" s="2353">
        <f t="shared" si="14"/>
        <v>2054</v>
      </c>
      <c r="BJ38" s="2353">
        <f t="shared" si="14"/>
        <v>2055</v>
      </c>
      <c r="BK38" s="2353">
        <f t="shared" si="14"/>
        <v>2056</v>
      </c>
      <c r="BL38" s="2353">
        <f t="shared" si="14"/>
        <v>2057</v>
      </c>
      <c r="BM38" s="2353">
        <f t="shared" si="14"/>
        <v>2058</v>
      </c>
      <c r="BN38" s="2353">
        <f t="shared" si="14"/>
        <v>2059</v>
      </c>
    </row>
    <row r="39" spans="2:142">
      <c r="C39" s="2372" t="s">
        <v>185</v>
      </c>
      <c r="D39" s="2373"/>
      <c r="E39" s="2396"/>
      <c r="F39" s="2396"/>
      <c r="G39" s="2397"/>
      <c r="H39" s="2398"/>
      <c r="I39" s="2459"/>
      <c r="J39" s="2399"/>
      <c r="K39" s="2398"/>
      <c r="L39" s="2400"/>
      <c r="M39" s="2399"/>
      <c r="N39" s="2398"/>
      <c r="O39" s="2400"/>
      <c r="P39" s="2398"/>
      <c r="Q39" s="2401"/>
      <c r="R39" s="2400"/>
      <c r="S39" s="2398"/>
      <c r="T39" s="2401"/>
      <c r="U39" s="2402"/>
      <c r="V39" s="2402"/>
      <c r="W39" s="2402"/>
      <c r="X39" s="2402"/>
      <c r="Y39" s="2402"/>
      <c r="Z39" s="2402"/>
      <c r="AA39" s="2402"/>
      <c r="AB39" s="2402"/>
      <c r="AC39" s="2402"/>
      <c r="AD39" s="2402"/>
      <c r="AE39" s="2402"/>
      <c r="AF39" s="2402"/>
      <c r="AG39" s="2402"/>
      <c r="AH39" s="2402"/>
      <c r="AI39" s="2402"/>
      <c r="AJ39" s="2402"/>
      <c r="AK39" s="2402"/>
      <c r="AL39" s="2402"/>
      <c r="AM39" s="2402"/>
      <c r="AN39" s="2402"/>
      <c r="AO39" s="2402"/>
      <c r="AP39" s="2402"/>
      <c r="AQ39" s="2402"/>
      <c r="AR39" s="2402"/>
      <c r="AS39" s="2402"/>
      <c r="AT39" s="2402"/>
      <c r="AU39" s="2402"/>
      <c r="AV39" s="2402"/>
      <c r="AW39" s="2402"/>
      <c r="AX39" s="2402"/>
      <c r="AY39" s="2402"/>
      <c r="AZ39" s="2402"/>
      <c r="BA39" s="2402"/>
      <c r="BB39" s="2402"/>
      <c r="BC39" s="2402"/>
      <c r="BD39" s="2402"/>
      <c r="BE39" s="2402"/>
      <c r="BF39" s="2402"/>
      <c r="BG39" s="2402"/>
      <c r="BH39" s="2402"/>
      <c r="BI39" s="2402"/>
      <c r="BJ39" s="2402"/>
      <c r="BK39" s="2402"/>
      <c r="BL39" s="2402"/>
      <c r="BM39" s="2402"/>
      <c r="BN39" s="2402"/>
    </row>
    <row r="40" spans="2:142">
      <c r="C40" s="2383"/>
      <c r="D40" s="2384" t="s">
        <v>3916</v>
      </c>
      <c r="E40" s="2385"/>
      <c r="F40" s="2385"/>
      <c r="G40" s="2386"/>
      <c r="H40" s="2460">
        <f>MAX(J40:AT40)</f>
        <v>189215.66948030109</v>
      </c>
      <c r="I40" s="2459"/>
      <c r="J40" s="2395">
        <f>SUM($J21:J21)</f>
        <v>7882.1971394732718</v>
      </c>
      <c r="K40" s="2387">
        <f>SUM($J21:K21)</f>
        <v>21660.026552916795</v>
      </c>
      <c r="L40" s="2393">
        <f>SUM($J21:L21)</f>
        <v>53643.908107836163</v>
      </c>
      <c r="M40" s="2395">
        <f>SUM($J21:M21)</f>
        <v>76688.816536823899</v>
      </c>
      <c r="N40" s="2387">
        <f>SUM($J21:N21)</f>
        <v>118094.09005962612</v>
      </c>
      <c r="O40" s="2393">
        <f>SUM($J21:O21)</f>
        <v>189215.66948030109</v>
      </c>
      <c r="P40" s="2387">
        <f>SUM($J21:P21)</f>
        <v>189215.66948030109</v>
      </c>
      <c r="Q40" s="2392"/>
      <c r="R40" s="2393"/>
      <c r="S40" s="2387"/>
      <c r="T40" s="2392"/>
      <c r="U40" s="2394"/>
      <c r="V40" s="2394"/>
      <c r="W40" s="2394"/>
      <c r="X40" s="2394"/>
      <c r="Y40" s="2394"/>
      <c r="Z40" s="2394"/>
      <c r="AA40" s="2394"/>
      <c r="AB40" s="2394"/>
      <c r="AC40" s="2394"/>
      <c r="AD40" s="2394"/>
      <c r="AE40" s="2394"/>
      <c r="AF40" s="2394"/>
      <c r="AG40" s="2394"/>
      <c r="AH40" s="2394"/>
      <c r="AI40" s="2394"/>
      <c r="AJ40" s="2394"/>
      <c r="AK40" s="2394"/>
      <c r="AL40" s="2394"/>
      <c r="AM40" s="2394"/>
      <c r="AN40" s="2394"/>
      <c r="AO40" s="2394"/>
      <c r="AP40" s="2394"/>
      <c r="AQ40" s="2394"/>
      <c r="AR40" s="2394"/>
      <c r="AS40" s="2394"/>
      <c r="AT40" s="2394"/>
      <c r="AU40" s="2394"/>
      <c r="AV40" s="2394"/>
      <c r="AW40" s="2394"/>
      <c r="AX40" s="2394"/>
      <c r="AY40" s="2394"/>
      <c r="AZ40" s="2394"/>
      <c r="BA40" s="2394"/>
      <c r="BB40" s="2394"/>
      <c r="BC40" s="2394"/>
      <c r="BD40" s="2394"/>
      <c r="BE40" s="2394"/>
      <c r="BF40" s="2394"/>
      <c r="BG40" s="2394"/>
      <c r="BH40" s="2394"/>
      <c r="BI40" s="2394"/>
      <c r="BJ40" s="2394"/>
      <c r="BK40" s="2394"/>
      <c r="BL40" s="2394"/>
      <c r="BM40" s="2394"/>
      <c r="BN40" s="2394"/>
    </row>
    <row r="41" spans="2:142">
      <c r="C41" s="2383"/>
      <c r="D41" s="2384" t="s">
        <v>3927</v>
      </c>
      <c r="E41" s="2385"/>
      <c r="F41" s="2385"/>
      <c r="G41" s="2386"/>
      <c r="H41" s="2460">
        <f>MAX(J41:AT41)</f>
        <v>62859.06144715703</v>
      </c>
      <c r="I41" s="2459"/>
      <c r="J41" s="2395">
        <f t="shared" ref="J41:BN41" si="15">(I41+SUMIF($D$78:$D$105,J38,$C$78:$C$105))*(J4&gt;0)</f>
        <v>72.010881250868138</v>
      </c>
      <c r="K41" s="2387">
        <f t="shared" si="15"/>
        <v>1598.6068983629978</v>
      </c>
      <c r="L41" s="2393">
        <f t="shared" si="15"/>
        <v>5834.5469247835899</v>
      </c>
      <c r="M41" s="2395">
        <f t="shared" si="15"/>
        <v>13059.044199806252</v>
      </c>
      <c r="N41" s="2387">
        <f t="shared" si="15"/>
        <v>26153.115461010424</v>
      </c>
      <c r="O41" s="2393">
        <f t="shared" si="15"/>
        <v>49059.382304846913</v>
      </c>
      <c r="P41" s="2387">
        <f t="shared" si="15"/>
        <v>62859.06144715703</v>
      </c>
      <c r="Q41" s="2392">
        <f t="shared" si="15"/>
        <v>0</v>
      </c>
      <c r="R41" s="2393">
        <f t="shared" si="15"/>
        <v>0</v>
      </c>
      <c r="S41" s="2387">
        <f t="shared" si="15"/>
        <v>0</v>
      </c>
      <c r="T41" s="2392">
        <f t="shared" si="15"/>
        <v>0</v>
      </c>
      <c r="U41" s="2394">
        <f t="shared" si="15"/>
        <v>0</v>
      </c>
      <c r="V41" s="2394">
        <f t="shared" si="15"/>
        <v>0</v>
      </c>
      <c r="W41" s="2394">
        <f t="shared" si="15"/>
        <v>0</v>
      </c>
      <c r="X41" s="2394">
        <f t="shared" si="15"/>
        <v>0</v>
      </c>
      <c r="Y41" s="2394">
        <f t="shared" si="15"/>
        <v>0</v>
      </c>
      <c r="Z41" s="2394">
        <f t="shared" si="15"/>
        <v>0</v>
      </c>
      <c r="AA41" s="2394">
        <f t="shared" si="15"/>
        <v>0</v>
      </c>
      <c r="AB41" s="2394">
        <f t="shared" si="15"/>
        <v>0</v>
      </c>
      <c r="AC41" s="2394">
        <f t="shared" si="15"/>
        <v>0</v>
      </c>
      <c r="AD41" s="2394">
        <f t="shared" si="15"/>
        <v>0</v>
      </c>
      <c r="AE41" s="2394">
        <f t="shared" si="15"/>
        <v>0</v>
      </c>
      <c r="AF41" s="2394">
        <f t="shared" si="15"/>
        <v>0</v>
      </c>
      <c r="AG41" s="2394">
        <f t="shared" si="15"/>
        <v>0</v>
      </c>
      <c r="AH41" s="2394">
        <f t="shared" si="15"/>
        <v>0</v>
      </c>
      <c r="AI41" s="2394">
        <f t="shared" si="15"/>
        <v>0</v>
      </c>
      <c r="AJ41" s="2394">
        <f t="shared" si="15"/>
        <v>0</v>
      </c>
      <c r="AK41" s="2394">
        <f t="shared" si="15"/>
        <v>0</v>
      </c>
      <c r="AL41" s="2394">
        <f t="shared" si="15"/>
        <v>0</v>
      </c>
      <c r="AM41" s="2394">
        <f t="shared" si="15"/>
        <v>0</v>
      </c>
      <c r="AN41" s="2394">
        <f t="shared" si="15"/>
        <v>0</v>
      </c>
      <c r="AO41" s="2394">
        <f t="shared" si="15"/>
        <v>0</v>
      </c>
      <c r="AP41" s="2394">
        <f t="shared" si="15"/>
        <v>0</v>
      </c>
      <c r="AQ41" s="2394">
        <f t="shared" si="15"/>
        <v>0</v>
      </c>
      <c r="AR41" s="2394">
        <f t="shared" si="15"/>
        <v>0</v>
      </c>
      <c r="AS41" s="2394">
        <f t="shared" si="15"/>
        <v>0</v>
      </c>
      <c r="AT41" s="2394">
        <f t="shared" si="15"/>
        <v>0</v>
      </c>
      <c r="AU41" s="2394">
        <f t="shared" si="15"/>
        <v>0</v>
      </c>
      <c r="AV41" s="2394">
        <f t="shared" si="15"/>
        <v>0</v>
      </c>
      <c r="AW41" s="2394">
        <f t="shared" si="15"/>
        <v>0</v>
      </c>
      <c r="AX41" s="2394">
        <f t="shared" si="15"/>
        <v>0</v>
      </c>
      <c r="AY41" s="2394">
        <f t="shared" si="15"/>
        <v>0</v>
      </c>
      <c r="AZ41" s="2394">
        <f t="shared" si="15"/>
        <v>0</v>
      </c>
      <c r="BA41" s="2394">
        <f t="shared" si="15"/>
        <v>0</v>
      </c>
      <c r="BB41" s="2394">
        <f t="shared" si="15"/>
        <v>0</v>
      </c>
      <c r="BC41" s="2394">
        <f t="shared" si="15"/>
        <v>0</v>
      </c>
      <c r="BD41" s="2394">
        <f t="shared" si="15"/>
        <v>0</v>
      </c>
      <c r="BE41" s="2394">
        <f t="shared" si="15"/>
        <v>0</v>
      </c>
      <c r="BF41" s="2394">
        <f t="shared" si="15"/>
        <v>0</v>
      </c>
      <c r="BG41" s="2394">
        <f t="shared" si="15"/>
        <v>0</v>
      </c>
      <c r="BH41" s="2394">
        <f t="shared" si="15"/>
        <v>0</v>
      </c>
      <c r="BI41" s="2394">
        <f t="shared" si="15"/>
        <v>0</v>
      </c>
      <c r="BJ41" s="2394">
        <f t="shared" si="15"/>
        <v>0</v>
      </c>
      <c r="BK41" s="2394">
        <f t="shared" si="15"/>
        <v>0</v>
      </c>
      <c r="BL41" s="2394">
        <f t="shared" si="15"/>
        <v>0</v>
      </c>
      <c r="BM41" s="2394">
        <f t="shared" si="15"/>
        <v>0</v>
      </c>
      <c r="BN41" s="2394">
        <f t="shared" si="15"/>
        <v>0</v>
      </c>
    </row>
    <row r="42" spans="2:142">
      <c r="C42" s="2383"/>
      <c r="D42" s="2384" t="s">
        <v>3928</v>
      </c>
      <c r="E42" s="2385"/>
      <c r="F42" s="2385"/>
      <c r="G42" s="2386"/>
      <c r="H42" s="2460">
        <f>MAX(J42:AT42)</f>
        <v>252074.73092745812</v>
      </c>
      <c r="I42" s="2459"/>
      <c r="J42" s="2395">
        <f t="shared" ref="J42:BN42" si="16">SUM(J40:J41)</f>
        <v>7954.2080207241397</v>
      </c>
      <c r="K42" s="2387">
        <f t="shared" si="16"/>
        <v>23258.633451279795</v>
      </c>
      <c r="L42" s="2393">
        <f t="shared" si="16"/>
        <v>59478.45503261975</v>
      </c>
      <c r="M42" s="2395">
        <f t="shared" si="16"/>
        <v>89747.860736630158</v>
      </c>
      <c r="N42" s="2387">
        <f t="shared" si="16"/>
        <v>144247.20552063655</v>
      </c>
      <c r="O42" s="2393">
        <f t="shared" si="16"/>
        <v>238275.05178514801</v>
      </c>
      <c r="P42" s="2387">
        <f t="shared" si="16"/>
        <v>252074.73092745812</v>
      </c>
      <c r="Q42" s="2392">
        <f t="shared" si="16"/>
        <v>0</v>
      </c>
      <c r="R42" s="2393">
        <f t="shared" si="16"/>
        <v>0</v>
      </c>
      <c r="S42" s="2387">
        <f t="shared" si="16"/>
        <v>0</v>
      </c>
      <c r="T42" s="2392">
        <f t="shared" si="16"/>
        <v>0</v>
      </c>
      <c r="U42" s="2394">
        <f t="shared" si="16"/>
        <v>0</v>
      </c>
      <c r="V42" s="2394">
        <f t="shared" si="16"/>
        <v>0</v>
      </c>
      <c r="W42" s="2394">
        <f t="shared" si="16"/>
        <v>0</v>
      </c>
      <c r="X42" s="2394">
        <f t="shared" si="16"/>
        <v>0</v>
      </c>
      <c r="Y42" s="2394">
        <f t="shared" si="16"/>
        <v>0</v>
      </c>
      <c r="Z42" s="2394">
        <f t="shared" si="16"/>
        <v>0</v>
      </c>
      <c r="AA42" s="2394">
        <f t="shared" si="16"/>
        <v>0</v>
      </c>
      <c r="AB42" s="2394">
        <f t="shared" si="16"/>
        <v>0</v>
      </c>
      <c r="AC42" s="2394">
        <f t="shared" si="16"/>
        <v>0</v>
      </c>
      <c r="AD42" s="2394">
        <f t="shared" si="16"/>
        <v>0</v>
      </c>
      <c r="AE42" s="2394">
        <f t="shared" si="16"/>
        <v>0</v>
      </c>
      <c r="AF42" s="2394">
        <f t="shared" si="16"/>
        <v>0</v>
      </c>
      <c r="AG42" s="2394">
        <f t="shared" si="16"/>
        <v>0</v>
      </c>
      <c r="AH42" s="2394">
        <f t="shared" si="16"/>
        <v>0</v>
      </c>
      <c r="AI42" s="2394">
        <f t="shared" si="16"/>
        <v>0</v>
      </c>
      <c r="AJ42" s="2394">
        <f t="shared" si="16"/>
        <v>0</v>
      </c>
      <c r="AK42" s="2394">
        <f t="shared" si="16"/>
        <v>0</v>
      </c>
      <c r="AL42" s="2394">
        <f t="shared" si="16"/>
        <v>0</v>
      </c>
      <c r="AM42" s="2394">
        <f t="shared" si="16"/>
        <v>0</v>
      </c>
      <c r="AN42" s="2394">
        <f t="shared" si="16"/>
        <v>0</v>
      </c>
      <c r="AO42" s="2394">
        <f t="shared" si="16"/>
        <v>0</v>
      </c>
      <c r="AP42" s="2394">
        <f t="shared" si="16"/>
        <v>0</v>
      </c>
      <c r="AQ42" s="2394">
        <f t="shared" si="16"/>
        <v>0</v>
      </c>
      <c r="AR42" s="2394">
        <f t="shared" si="16"/>
        <v>0</v>
      </c>
      <c r="AS42" s="2394">
        <f t="shared" si="16"/>
        <v>0</v>
      </c>
      <c r="AT42" s="2394">
        <f t="shared" si="16"/>
        <v>0</v>
      </c>
      <c r="AU42" s="2394">
        <f t="shared" si="16"/>
        <v>0</v>
      </c>
      <c r="AV42" s="2394">
        <f t="shared" si="16"/>
        <v>0</v>
      </c>
      <c r="AW42" s="2394">
        <f t="shared" si="16"/>
        <v>0</v>
      </c>
      <c r="AX42" s="2394">
        <f t="shared" si="16"/>
        <v>0</v>
      </c>
      <c r="AY42" s="2394">
        <f t="shared" si="16"/>
        <v>0</v>
      </c>
      <c r="AZ42" s="2394">
        <f t="shared" si="16"/>
        <v>0</v>
      </c>
      <c r="BA42" s="2394">
        <f t="shared" si="16"/>
        <v>0</v>
      </c>
      <c r="BB42" s="2394">
        <f t="shared" si="16"/>
        <v>0</v>
      </c>
      <c r="BC42" s="2394">
        <f t="shared" si="16"/>
        <v>0</v>
      </c>
      <c r="BD42" s="2394">
        <f t="shared" si="16"/>
        <v>0</v>
      </c>
      <c r="BE42" s="2394">
        <f t="shared" si="16"/>
        <v>0</v>
      </c>
      <c r="BF42" s="2394">
        <f t="shared" si="16"/>
        <v>0</v>
      </c>
      <c r="BG42" s="2394">
        <f t="shared" si="16"/>
        <v>0</v>
      </c>
      <c r="BH42" s="2394">
        <f t="shared" si="16"/>
        <v>0</v>
      </c>
      <c r="BI42" s="2394">
        <f t="shared" si="16"/>
        <v>0</v>
      </c>
      <c r="BJ42" s="2394">
        <f t="shared" si="16"/>
        <v>0</v>
      </c>
      <c r="BK42" s="2394">
        <f t="shared" si="16"/>
        <v>0</v>
      </c>
      <c r="BL42" s="2394">
        <f t="shared" si="16"/>
        <v>0</v>
      </c>
      <c r="BM42" s="2394">
        <f t="shared" si="16"/>
        <v>0</v>
      </c>
      <c r="BN42" s="2394">
        <f t="shared" si="16"/>
        <v>0</v>
      </c>
    </row>
    <row r="43" spans="2:142">
      <c r="C43" s="2383"/>
      <c r="D43" s="2406" t="s">
        <v>3929</v>
      </c>
      <c r="E43" s="2356"/>
      <c r="F43" s="2356"/>
      <c r="G43" s="2446"/>
      <c r="H43" s="2447">
        <f>SUM(J43:BN43)</f>
        <v>244512.45141384288</v>
      </c>
      <c r="I43" s="2459"/>
      <c r="J43" s="2448"/>
      <c r="K43" s="2447"/>
      <c r="L43" s="2449"/>
      <c r="M43" s="2448"/>
      <c r="N43" s="2447"/>
      <c r="O43" s="2449"/>
      <c r="P43" s="2447">
        <f>SUMIFS('TP(분기)'!47:47,'TP(분기)'!41:41,TP!P38)</f>
        <v>8755.5029250867483</v>
      </c>
      <c r="Q43" s="2392">
        <f>SUMIFS('TP(분기)'!47:47,'TP(분기)'!41:41,TP!Q38)</f>
        <v>16479.637314729429</v>
      </c>
      <c r="R43" s="2449">
        <f>SUMIFS('TP(분기)'!47:47,'TP(분기)'!41:41,TP!R38)</f>
        <v>15363.49680970376</v>
      </c>
      <c r="S43" s="2447">
        <f>SUMIFS('TP(분기)'!47:47,'TP(분기)'!41:41,TP!S38)</f>
        <v>14322.950785501132</v>
      </c>
      <c r="T43" s="2450">
        <f>SUMIFS('TP(분기)'!47:47,'TP(분기)'!41:41,TP!T38)</f>
        <v>13352.879344129155</v>
      </c>
      <c r="U43" s="2451">
        <f>SUMIFS('TP(분기)'!47:47,'TP(분기)'!41:41,TP!U38)</f>
        <v>12448.509350416838</v>
      </c>
      <c r="V43" s="2451">
        <f>SUMIFS('TP(분기)'!47:47,'TP(분기)'!41:41,TP!V38)</f>
        <v>11605.390946301695</v>
      </c>
      <c r="W43" s="2451">
        <f>SUMIFS('TP(분기)'!47:47,'TP(분기)'!41:41,TP!W38)</f>
        <v>10819.37565576809</v>
      </c>
      <c r="X43" s="2451">
        <f>SUMIFS('TP(분기)'!47:47,'TP(분기)'!41:41,TP!X38)</f>
        <v>10086.595972704436</v>
      </c>
      <c r="Y43" s="2451">
        <f>SUMIFS('TP(분기)'!47:47,'TP(분기)'!41:41,TP!Y38)</f>
        <v>9403.4463312434673</v>
      </c>
      <c r="Z43" s="2451">
        <f>SUMIFS('TP(분기)'!47:47,'TP(분기)'!41:41,TP!Z38)</f>
        <v>8766.5653649521155</v>
      </c>
      <c r="AA43" s="2451">
        <f>SUMIFS('TP(분기)'!47:47,'TP(분기)'!41:41,TP!AA38)</f>
        <v>8172.8193675791845</v>
      </c>
      <c r="AB43" s="2451">
        <f>SUMIFS('TP(분기)'!47:47,'TP(분기)'!41:41,TP!AB38)</f>
        <v>7619.2868739811493</v>
      </c>
      <c r="AC43" s="2451">
        <f>SUMIFS('TP(분기)'!47:47,'TP(분기)'!41:41,TP!AC38)</f>
        <v>7103.2442853581733</v>
      </c>
      <c r="AD43" s="2451">
        <f>SUMIFS('TP(분기)'!47:47,'TP(분기)'!41:41,TP!AD38)</f>
        <v>6622.1524680707762</v>
      </c>
      <c r="AE43" s="2451">
        <f>SUMIFS('TP(분기)'!47:47,'TP(분기)'!41:41,TP!AE38)</f>
        <v>6173.6442600980645</v>
      </c>
      <c r="AF43" s="2451">
        <f>SUMIFS('TP(분기)'!47:47,'TP(분기)'!41:41,TP!AF38)</f>
        <v>5755.5128236643377</v>
      </c>
      <c r="AG43" s="2451">
        <f>SUMIFS('TP(분기)'!47:47,'TP(분기)'!41:41,TP!AG38)</f>
        <v>5365.7007867243792</v>
      </c>
      <c r="AH43" s="2451">
        <f>SUMIFS('TP(분기)'!47:47,'TP(분기)'!41:41,TP!AH38)</f>
        <v>5002.2901198792806</v>
      </c>
      <c r="AI43" s="2451">
        <f>SUMIFS('TP(분기)'!47:47,'TP(분기)'!41:41,TP!AI38)</f>
        <v>4663.4926989131836</v>
      </c>
      <c r="AJ43" s="2451">
        <f>SUMIFS('TP(분기)'!47:47,'TP(분기)'!41:41,TP!AJ38)</f>
        <v>4347.6415065149049</v>
      </c>
      <c r="AK43" s="2451">
        <f>SUMIFS('TP(분기)'!47:47,'TP(분기)'!41:41,TP!AK38)</f>
        <v>4053.1824298934257</v>
      </c>
      <c r="AL43" s="2451">
        <f>SUMIFS('TP(분기)'!47:47,'TP(분기)'!41:41,TP!AL38)</f>
        <v>3778.6666139282929</v>
      </c>
      <c r="AM43" s="2451">
        <f>SUMIFS('TP(분기)'!47:47,'TP(분기)'!41:41,TP!AM38)</f>
        <v>3522.7433322293709</v>
      </c>
      <c r="AN43" s="2451">
        <f>SUMIFS('TP(분기)'!47:47,'TP(분기)'!41:41,TP!AN38)</f>
        <v>3284.1533410287748</v>
      </c>
      <c r="AO43" s="2451">
        <f>SUMIFS('TP(분기)'!47:47,'TP(분기)'!41:41,TP!AO38)</f>
        <v>3061.7226832034767</v>
      </c>
      <c r="AP43" s="2451">
        <f>SUMIFS('TP(분기)'!47:47,'TP(분기)'!41:41,TP!AP38)</f>
        <v>2854.3569119419412</v>
      </c>
      <c r="AQ43" s="2451">
        <f>SUMIFS('TP(분기)'!47:47,'TP(분기)'!41:41,TP!AQ38)</f>
        <v>2661.0357056329358</v>
      </c>
      <c r="AR43" s="2451">
        <f>SUMIFS('TP(분기)'!47:47,'TP(분기)'!41:41,TP!AR38)</f>
        <v>2480.8078474796603</v>
      </c>
      <c r="AS43" s="2451">
        <f>SUMIFS('TP(분기)'!47:47,'TP(분기)'!41:41,TP!AS38)</f>
        <v>2312.7865451368748</v>
      </c>
      <c r="AT43" s="2451">
        <f>SUMIFS('TP(분기)'!47:47,'TP(분기)'!41:41,TP!AT38)</f>
        <v>2156.1450673418276</v>
      </c>
      <c r="AU43" s="2451">
        <f>SUMIFS('TP(분기)'!47:47,'TP(분기)'!41:41,TP!AU38)</f>
        <v>2010.1126760694451</v>
      </c>
      <c r="AV43" s="2451">
        <f>SUMIFS('TP(분기)'!47:47,'TP(분기)'!41:41,TP!AV38)</f>
        <v>1873.9708341964226</v>
      </c>
      <c r="AW43" s="2451">
        <f>SUMIFS('TP(분기)'!47:47,'TP(분기)'!41:41,TP!AW38)</f>
        <v>1747.0496700143744</v>
      </c>
      <c r="AX43" s="2451">
        <f>SUMIFS('TP(분기)'!47:47,'TP(분기)'!41:41,TP!AX38)</f>
        <v>1628.7246811960874</v>
      </c>
      <c r="AY43" s="2451">
        <f>SUMIFS('TP(분기)'!47:47,'TP(분기)'!41:41,TP!AY38)</f>
        <v>1518.4136619970691</v>
      </c>
      <c r="AZ43" s="2451">
        <f>SUMIFS('TP(분기)'!47:47,'TP(분기)'!41:41,TP!AZ38)</f>
        <v>1415.5738385730119</v>
      </c>
      <c r="BA43" s="2451">
        <f>SUMIFS('TP(분기)'!47:47,'TP(분기)'!41:41,TP!BA38)</f>
        <v>1319.6991983178025</v>
      </c>
      <c r="BB43" s="2451">
        <f>SUMIFS('TP(분기)'!47:47,'TP(분기)'!41:41,TP!BB38)</f>
        <v>1230.3180000813645</v>
      </c>
      <c r="BC43" s="2451">
        <f>SUMIFS('TP(분기)'!47:47,'TP(분기)'!41:41,TP!BC38)</f>
        <v>1146.9904530166236</v>
      </c>
      <c r="BD43" s="2451">
        <f>SUMIFS('TP(분기)'!47:47,'TP(분기)'!41:41,TP!BD38)</f>
        <v>1069.3065526345836</v>
      </c>
      <c r="BE43" s="2451">
        <f>SUMIFS('TP(분기)'!47:47,'TP(분기)'!41:41,TP!BE38)</f>
        <v>996.88406342008727</v>
      </c>
      <c r="BF43" s="2451">
        <f>SUMIFS('TP(분기)'!47:47,'TP(분기)'!41:41,TP!BF38)</f>
        <v>929.36663808189553</v>
      </c>
      <c r="BG43" s="2451">
        <f>SUMIFS('TP(분기)'!47:47,'TP(분기)'!41:41,TP!BG38)</f>
        <v>866.42206418307637</v>
      </c>
      <c r="BH43" s="2451">
        <f>SUMIFS('TP(분기)'!47:47,'TP(분기)'!41:41,TP!BH38)</f>
        <v>807.74062952441875</v>
      </c>
      <c r="BI43" s="2451">
        <f>SUMIFS('TP(분기)'!47:47,'TP(분기)'!41:41,TP!BI38)</f>
        <v>753.03359823791357</v>
      </c>
      <c r="BJ43" s="2451">
        <f>SUMIFS('TP(분기)'!47:47,'TP(분기)'!41:41,TP!BJ38)</f>
        <v>702.031790092091</v>
      </c>
      <c r="BK43" s="2451">
        <f>SUMIFS('TP(분기)'!47:47,'TP(분기)'!41:41,TP!BK38)</f>
        <v>654.48425601880876</v>
      </c>
      <c r="BL43" s="2451">
        <f>SUMIFS('TP(분기)'!47:47,'TP(분기)'!41:41,TP!BL38)</f>
        <v>610.15704334457882</v>
      </c>
      <c r="BM43" s="2451">
        <f>SUMIFS('TP(분기)'!47:47,'TP(분기)'!41:41,TP!BM38)</f>
        <v>568.83204465089329</v>
      </c>
      <c r="BN43" s="2451">
        <f>SUMIFS('TP(분기)'!47:47,'TP(분기)'!41:41,TP!BN38)</f>
        <v>267.60325105547611</v>
      </c>
    </row>
    <row r="44" spans="2:142">
      <c r="C44" s="2383"/>
      <c r="D44" s="2406" t="s">
        <v>3930</v>
      </c>
      <c r="E44" s="2356"/>
      <c r="F44" s="2356"/>
      <c r="G44" s="2446"/>
      <c r="H44" s="2447">
        <f>H42*3%-BN44</f>
        <v>-3.7585791498713661E-2</v>
      </c>
      <c r="I44" s="2459"/>
      <c r="J44" s="2448">
        <f>$H42-SUM($I43:J43)</f>
        <v>252074.73092745812</v>
      </c>
      <c r="K44" s="2447">
        <f>$H42-SUM($I43:K43)</f>
        <v>252074.73092745812</v>
      </c>
      <c r="L44" s="2449">
        <f>$H42-SUM($I43:L43)</f>
        <v>252074.73092745812</v>
      </c>
      <c r="M44" s="2448">
        <f>$H42-SUM($I43:M43)</f>
        <v>252074.73092745812</v>
      </c>
      <c r="N44" s="2447">
        <f>$H42-SUM($I43:N43)</f>
        <v>252074.73092745812</v>
      </c>
      <c r="O44" s="2449">
        <f>$H42-SUM($I43:O43)</f>
        <v>252074.73092745812</v>
      </c>
      <c r="P44" s="2447">
        <f>$H42-SUM($I43:P43)</f>
        <v>243319.22800237138</v>
      </c>
      <c r="Q44" s="2450">
        <f>$H42-SUM($I43:Q43)</f>
        <v>226839.59068764193</v>
      </c>
      <c r="R44" s="2449">
        <f>$H42-SUM($I43:R43)</f>
        <v>211476.09387793817</v>
      </c>
      <c r="S44" s="2447">
        <f>$H42-SUM($I43:S43)</f>
        <v>197153.14309243707</v>
      </c>
      <c r="T44" s="2450">
        <f>$H42-SUM($I43:T43)</f>
        <v>183800.26374830789</v>
      </c>
      <c r="U44" s="2451">
        <f>$H42-SUM($I43:U43)</f>
        <v>171351.75439789105</v>
      </c>
      <c r="V44" s="2451">
        <f>$H42-SUM($I43:V43)</f>
        <v>159746.36345158936</v>
      </c>
      <c r="W44" s="2451">
        <f>$H42-SUM($I43:W43)</f>
        <v>148926.98779582127</v>
      </c>
      <c r="X44" s="2451">
        <f>$H42-SUM($I43:X43)</f>
        <v>138840.39182311686</v>
      </c>
      <c r="Y44" s="2451">
        <f>$H42-SUM($I43:Y43)</f>
        <v>129436.94549187338</v>
      </c>
      <c r="Z44" s="2451">
        <f>$H42-SUM($I43:Z43)</f>
        <v>120670.38012692126</v>
      </c>
      <c r="AA44" s="2451">
        <f>$H42-SUM($I43:AA43)</f>
        <v>112497.56075934207</v>
      </c>
      <c r="AB44" s="2451">
        <f>$H42-SUM($I43:AB43)</f>
        <v>104878.27388536092</v>
      </c>
      <c r="AC44" s="2451">
        <f>$H42-SUM($I43:AC43)</f>
        <v>97775.029600002745</v>
      </c>
      <c r="AD44" s="2451">
        <f>$H42-SUM($I43:AD43)</f>
        <v>91152.877131931979</v>
      </c>
      <c r="AE44" s="2451">
        <f>$H42-SUM($I43:AE43)</f>
        <v>84979.232871833927</v>
      </c>
      <c r="AF44" s="2451">
        <f>$H42-SUM($I43:AF43)</f>
        <v>79223.720048169576</v>
      </c>
      <c r="AG44" s="2451">
        <f>$H42-SUM($I43:AG43)</f>
        <v>73858.01926144521</v>
      </c>
      <c r="AH44" s="2451">
        <f>$H42-SUM($I43:AH43)</f>
        <v>68855.729141565942</v>
      </c>
      <c r="AI44" s="2451">
        <f>$H42-SUM($I43:AI43)</f>
        <v>64192.236442652764</v>
      </c>
      <c r="AJ44" s="2451">
        <f>$H42-SUM($I43:AJ43)</f>
        <v>59844.594936137873</v>
      </c>
      <c r="AK44" s="2451">
        <f>$H42-SUM($I43:AK43)</f>
        <v>55791.412506244436</v>
      </c>
      <c r="AL44" s="2451">
        <f>$H42-SUM($I43:AL43)</f>
        <v>52012.745892316132</v>
      </c>
      <c r="AM44" s="2451">
        <f>$H42-SUM($I43:AM43)</f>
        <v>48490.002560086752</v>
      </c>
      <c r="AN44" s="2451">
        <f>$H42-SUM($I43:AN43)</f>
        <v>45205.849219057971</v>
      </c>
      <c r="AO44" s="2451">
        <f>$H42-SUM($I43:AO43)</f>
        <v>42144.126535854506</v>
      </c>
      <c r="AP44" s="2451">
        <f>$H42-SUM($I43:AP43)</f>
        <v>39289.769623912551</v>
      </c>
      <c r="AQ44" s="2451">
        <f>$H42-SUM($I43:AQ43)</f>
        <v>36628.733918279613</v>
      </c>
      <c r="AR44" s="2451">
        <f>$H42-SUM($I43:AR43)</f>
        <v>34147.926070799964</v>
      </c>
      <c r="AS44" s="2451">
        <f>$H42-SUM($I43:AS43)</f>
        <v>31835.139525663079</v>
      </c>
      <c r="AT44" s="2451">
        <f>$H42-SUM($I43:AT43)</f>
        <v>29678.994458321249</v>
      </c>
      <c r="AU44" s="2451">
        <f>$H42-SUM($I43:AU43)</f>
        <v>27668.881782251818</v>
      </c>
      <c r="AV44" s="2451">
        <f>$H42-SUM($I43:AV43)</f>
        <v>25794.910948055389</v>
      </c>
      <c r="AW44" s="2451">
        <f>$H42-SUM($I43:AW43)</f>
        <v>24047.861278041004</v>
      </c>
      <c r="AX44" s="2451">
        <f>$H42-SUM($I43:AX43)</f>
        <v>22419.13659684491</v>
      </c>
      <c r="AY44" s="2451">
        <f>$H42-SUM($I43:AY43)</f>
        <v>20900.722934847843</v>
      </c>
      <c r="AZ44" s="2451">
        <f>$H42-SUM($I43:AZ43)</f>
        <v>19485.149096274836</v>
      </c>
      <c r="BA44" s="2451">
        <f>$H42-SUM($I43:BA43)</f>
        <v>18165.449897957034</v>
      </c>
      <c r="BB44" s="2451">
        <f>$H42-SUM($I43:BB43)</f>
        <v>16935.131897875661</v>
      </c>
      <c r="BC44" s="2451">
        <f>$H42-SUM($I43:BC43)</f>
        <v>15788.141444859037</v>
      </c>
      <c r="BD44" s="2451">
        <f>$H42-SUM($I43:BD43)</f>
        <v>14718.834892224462</v>
      </c>
      <c r="BE44" s="2451">
        <f>$H42-SUM($I43:BE43)</f>
        <v>13721.950828804373</v>
      </c>
      <c r="BF44" s="2451">
        <f>$H42-SUM($I43:BF43)</f>
        <v>12792.584190722468</v>
      </c>
      <c r="BG44" s="2451">
        <f>$H42-SUM($I43:BG43)</f>
        <v>11926.162126539391</v>
      </c>
      <c r="BH44" s="2451">
        <f>$H42-SUM($I43:BH43)</f>
        <v>11118.421497014962</v>
      </c>
      <c r="BI44" s="2451">
        <f>$H42-SUM($I43:BI43)</f>
        <v>10365.387898777059</v>
      </c>
      <c r="BJ44" s="2451">
        <f>$H42-SUM($I43:BJ43)</f>
        <v>9663.3561086849659</v>
      </c>
      <c r="BK44" s="2451">
        <f>$H42-SUM($I43:BK43)</f>
        <v>9008.8718526661687</v>
      </c>
      <c r="BL44" s="2451">
        <f>$H42-SUM($I43:BL43)</f>
        <v>8398.7148093215947</v>
      </c>
      <c r="BM44" s="2451">
        <f>$H42-SUM($I43:BM43)</f>
        <v>7829.8827646707068</v>
      </c>
      <c r="BN44" s="2451">
        <f>$H42-SUM($I43:BN43)</f>
        <v>7562.2795136152417</v>
      </c>
    </row>
    <row r="45" spans="2:142">
      <c r="C45" s="2383"/>
      <c r="D45" s="2406" t="s">
        <v>3931</v>
      </c>
      <c r="E45" s="2356"/>
      <c r="F45" s="2356"/>
      <c r="G45" s="2461"/>
      <c r="H45" s="2447"/>
      <c r="I45" s="2459"/>
      <c r="J45" s="2448">
        <f t="shared" ref="J45:BN45" si="17">J$26</f>
        <v>0</v>
      </c>
      <c r="K45" s="2447">
        <f t="shared" si="17"/>
        <v>0</v>
      </c>
      <c r="L45" s="2449">
        <f t="shared" si="17"/>
        <v>0</v>
      </c>
      <c r="M45" s="2448">
        <f t="shared" si="17"/>
        <v>0</v>
      </c>
      <c r="N45" s="2447">
        <f t="shared" si="17"/>
        <v>0</v>
      </c>
      <c r="O45" s="2449">
        <f t="shared" si="17"/>
        <v>0</v>
      </c>
      <c r="P45" s="2462">
        <f t="shared" si="17"/>
        <v>1.0106217925766798</v>
      </c>
      <c r="Q45" s="2463">
        <f t="shared" si="17"/>
        <v>1.0412937104666427</v>
      </c>
      <c r="R45" s="2464">
        <f t="shared" si="17"/>
        <v>1.0846163026614153</v>
      </c>
      <c r="S45" s="2462">
        <f t="shared" si="17"/>
        <v>1.1001312805824084</v>
      </c>
      <c r="T45" s="2463">
        <f t="shared" si="17"/>
        <v>1.1126626089032103</v>
      </c>
      <c r="U45" s="2465">
        <f t="shared" si="17"/>
        <v>1.1219715956558061</v>
      </c>
      <c r="V45" s="2465">
        <f t="shared" si="17"/>
        <v>1.1346222699606157</v>
      </c>
      <c r="W45" s="2465">
        <f t="shared" si="17"/>
        <v>1.1497792099295858</v>
      </c>
      <c r="X45" s="2465">
        <f t="shared" si="17"/>
        <v>1.1660102637546246</v>
      </c>
      <c r="Y45" s="2465">
        <f t="shared" si="17"/>
        <v>1.1814058956916098</v>
      </c>
      <c r="Z45" s="2465">
        <f t="shared" si="17"/>
        <v>1.1901181525241675</v>
      </c>
      <c r="AA45" s="2465">
        <f t="shared" si="17"/>
        <v>1.1973982575486333</v>
      </c>
      <c r="AB45" s="2465">
        <f t="shared" si="17"/>
        <v>1.2416756176154673</v>
      </c>
      <c r="AC45" s="2465">
        <f t="shared" ca="1" si="17"/>
        <v>1.2603007518796991</v>
      </c>
      <c r="AD45" s="2465">
        <f t="shared" ca="1" si="17"/>
        <v>1.2792052631578945</v>
      </c>
      <c r="AE45" s="2465">
        <f t="shared" ca="1" si="17"/>
        <v>1.2983933421052629</v>
      </c>
      <c r="AF45" s="2465">
        <f t="shared" ca="1" si="17"/>
        <v>1.3178692422368417</v>
      </c>
      <c r="AG45" s="2465">
        <f t="shared" ca="1" si="17"/>
        <v>1.3376372808703942</v>
      </c>
      <c r="AH45" s="2465">
        <f t="shared" ca="1" si="17"/>
        <v>1.35770184008345</v>
      </c>
      <c r="AI45" s="2465">
        <f t="shared" ca="1" si="17"/>
        <v>1.3780673676847015</v>
      </c>
      <c r="AJ45" s="2465">
        <f t="shared" ca="1" si="17"/>
        <v>1.3987383781999718</v>
      </c>
      <c r="AK45" s="2465">
        <f t="shared" ca="1" si="17"/>
        <v>1.4197194538729712</v>
      </c>
      <c r="AL45" s="2465">
        <f t="shared" ca="1" si="17"/>
        <v>1.4410152456810656</v>
      </c>
      <c r="AM45" s="2465">
        <f t="shared" ca="1" si="17"/>
        <v>1.4626304743662815</v>
      </c>
      <c r="AN45" s="2465">
        <f t="shared" ca="1" si="17"/>
        <v>1.4845699314817755</v>
      </c>
      <c r="AO45" s="2465">
        <f t="shared" ca="1" si="17"/>
        <v>1.506838480454002</v>
      </c>
      <c r="AP45" s="2465">
        <f t="shared" ca="1" si="17"/>
        <v>1.529441057660812</v>
      </c>
      <c r="AQ45" s="2465">
        <f t="shared" ca="1" si="17"/>
        <v>1.552382673525724</v>
      </c>
      <c r="AR45" s="2465">
        <f t="shared" ca="1" si="17"/>
        <v>1.5756684136286097</v>
      </c>
      <c r="AS45" s="2465">
        <f t="shared" ca="1" si="17"/>
        <v>1.5993034398330386</v>
      </c>
      <c r="AT45" s="2465">
        <f t="shared" ca="1" si="17"/>
        <v>1.6232929914305341</v>
      </c>
      <c r="AU45" s="2465">
        <f t="shared" ca="1" si="17"/>
        <v>1.647642386301992</v>
      </c>
      <c r="AV45" s="2465">
        <f t="shared" ca="1" si="17"/>
        <v>1.6723570220965218</v>
      </c>
      <c r="AW45" s="2465">
        <f t="shared" ca="1" si="17"/>
        <v>1.6974423774279694</v>
      </c>
      <c r="AX45" s="2465">
        <f t="shared" ca="1" si="17"/>
        <v>1.7229040130893889</v>
      </c>
      <c r="AY45" s="2465">
        <f t="shared" ca="1" si="17"/>
        <v>1.7487475732857296</v>
      </c>
      <c r="AZ45" s="2465">
        <f t="shared" ca="1" si="17"/>
        <v>1.7749787868850153</v>
      </c>
      <c r="BA45" s="2465">
        <f t="shared" ca="1" si="17"/>
        <v>1.8016034686882905</v>
      </c>
      <c r="BB45" s="2465">
        <f t="shared" ca="1" si="17"/>
        <v>1.8286275207186147</v>
      </c>
      <c r="BC45" s="2465">
        <f t="shared" ca="1" si="17"/>
        <v>1.8560569335293937</v>
      </c>
      <c r="BD45" s="2465">
        <f t="shared" ca="1" si="17"/>
        <v>1.8838977875323344</v>
      </c>
      <c r="BE45" s="2465">
        <f t="shared" ca="1" si="17"/>
        <v>1.9121562543453192</v>
      </c>
      <c r="BF45" s="2465">
        <f t="shared" ca="1" si="17"/>
        <v>1.9408385981604988</v>
      </c>
      <c r="BG45" s="2465">
        <f t="shared" ca="1" si="17"/>
        <v>1.9699511771329061</v>
      </c>
      <c r="BH45" s="2465">
        <f t="shared" ca="1" si="17"/>
        <v>1.9995004447898996</v>
      </c>
      <c r="BI45" s="2465">
        <f t="shared" ca="1" si="17"/>
        <v>2.0294929514617479</v>
      </c>
      <c r="BJ45" s="2465">
        <f t="shared" ca="1" si="17"/>
        <v>2.059935345733674</v>
      </c>
      <c r="BK45" s="2465">
        <f t="shared" ca="1" si="17"/>
        <v>2.090834375919679</v>
      </c>
      <c r="BL45" s="2465">
        <f t="shared" ca="1" si="17"/>
        <v>2.1221968915584739</v>
      </c>
      <c r="BM45" s="2465">
        <f t="shared" ca="1" si="17"/>
        <v>2.1540298449318507</v>
      </c>
      <c r="BN45" s="2465">
        <f t="shared" ca="1" si="17"/>
        <v>2.1863402926058284</v>
      </c>
    </row>
    <row r="46" spans="2:142">
      <c r="C46" s="2466"/>
      <c r="D46" s="2467" t="s">
        <v>3932</v>
      </c>
      <c r="E46" s="2356"/>
      <c r="F46" s="2356"/>
      <c r="G46" s="2446"/>
      <c r="H46" s="2447">
        <f ca="1">MAX(J46:AT46)</f>
        <v>245903.71437213043</v>
      </c>
      <c r="I46" s="2459"/>
      <c r="J46" s="2448">
        <f t="shared" ref="J46:BN46" si="18">J44*J45</f>
        <v>0</v>
      </c>
      <c r="K46" s="2447">
        <f t="shared" si="18"/>
        <v>0</v>
      </c>
      <c r="L46" s="2449">
        <f t="shared" si="18"/>
        <v>0</v>
      </c>
      <c r="M46" s="2448">
        <f t="shared" si="18"/>
        <v>0</v>
      </c>
      <c r="N46" s="2447">
        <f t="shared" si="18"/>
        <v>0</v>
      </c>
      <c r="O46" s="2449">
        <f t="shared" si="18"/>
        <v>0</v>
      </c>
      <c r="P46" s="2447">
        <f t="shared" si="18"/>
        <v>245903.71437213043</v>
      </c>
      <c r="Q46" s="2450">
        <f t="shared" si="18"/>
        <v>236206.63906786914</v>
      </c>
      <c r="R46" s="2449">
        <f t="shared" si="18"/>
        <v>229370.41904316767</v>
      </c>
      <c r="S46" s="2447">
        <f t="shared" si="18"/>
        <v>216894.33978112959</v>
      </c>
      <c r="T46" s="2450">
        <f t="shared" si="18"/>
        <v>204507.6809792904</v>
      </c>
      <c r="U46" s="2451">
        <f t="shared" si="18"/>
        <v>192251.8013002236</v>
      </c>
      <c r="V46" s="2451">
        <f t="shared" si="18"/>
        <v>181251.78151739587</v>
      </c>
      <c r="W46" s="2451">
        <f t="shared" si="18"/>
        <v>171233.15436507246</v>
      </c>
      <c r="X46" s="2451">
        <f t="shared" si="18"/>
        <v>161889.32188946792</v>
      </c>
      <c r="Y46" s="2451">
        <f t="shared" si="18"/>
        <v>152917.57052441276</v>
      </c>
      <c r="Z46" s="2451">
        <f t="shared" si="18"/>
        <v>143612.00986104054</v>
      </c>
      <c r="AA46" s="2451">
        <f t="shared" si="18"/>
        <v>134704.3832317077</v>
      </c>
      <c r="AB46" s="2451">
        <f t="shared" si="18"/>
        <v>130224.79550104965</v>
      </c>
      <c r="AC46" s="2451">
        <f t="shared" ca="1" si="18"/>
        <v>123225.9433199433</v>
      </c>
      <c r="AD46" s="2451">
        <f t="shared" ca="1" si="18"/>
        <v>116603.24017915227</v>
      </c>
      <c r="AE46" s="2451">
        <f t="shared" ca="1" si="18"/>
        <v>110336.47017800187</v>
      </c>
      <c r="AF46" s="2451">
        <f t="shared" ca="1" si="18"/>
        <v>104406.50390706492</v>
      </c>
      <c r="AG46" s="2451">
        <f t="shared" ca="1" si="18"/>
        <v>98795.24005535277</v>
      </c>
      <c r="AH46" s="2451">
        <f t="shared" ca="1" si="18"/>
        <v>93485.550155791701</v>
      </c>
      <c r="AI46" s="2451">
        <f t="shared" ca="1" si="18"/>
        <v>88461.226300320457</v>
      </c>
      <c r="AJ46" s="2451">
        <f t="shared" ca="1" si="18"/>
        <v>83706.931665007738</v>
      </c>
      <c r="AK46" s="2451">
        <f t="shared" ca="1" si="18"/>
        <v>79208.153694167006</v>
      </c>
      <c r="AL46" s="2451">
        <f t="shared" ca="1" si="18"/>
        <v>74951.159800562775</v>
      </c>
      <c r="AM46" s="2451">
        <f t="shared" ca="1" si="18"/>
        <v>70922.955446481894</v>
      </c>
      <c r="AN46" s="2451">
        <f t="shared" ca="1" si="18"/>
        <v>67111.24447771236</v>
      </c>
      <c r="AO46" s="2451">
        <f t="shared" ca="1" si="18"/>
        <v>63504.39158934819</v>
      </c>
      <c r="AP46" s="2451">
        <f t="shared" ca="1" si="18"/>
        <v>60091.386808846451</v>
      </c>
      <c r="AQ46" s="2451">
        <f t="shared" ca="1" si="18"/>
        <v>56861.811887921271</v>
      </c>
      <c r="AR46" s="2451">
        <f t="shared" ca="1" si="18"/>
        <v>53805.808500684419</v>
      </c>
      <c r="AS46" s="2451">
        <f t="shared" ca="1" si="18"/>
        <v>50914.048150957693</v>
      </c>
      <c r="AT46" s="2451">
        <f t="shared" ca="1" si="18"/>
        <v>48177.703696898541</v>
      </c>
      <c r="AU46" s="2451">
        <f t="shared" ca="1" si="18"/>
        <v>45588.422406017096</v>
      </c>
      <c r="AV46" s="2451">
        <f t="shared" ca="1" si="18"/>
        <v>43138.300458334881</v>
      </c>
      <c r="AW46" s="2451">
        <f t="shared" ca="1" si="18"/>
        <v>40819.85881985593</v>
      </c>
      <c r="AX46" s="2451">
        <f t="shared" ca="1" si="18"/>
        <v>38626.020412703278</v>
      </c>
      <c r="AY46" s="2451">
        <f t="shared" ca="1" si="18"/>
        <v>36550.088512232556</v>
      </c>
      <c r="AZ46" s="2451">
        <f t="shared" ca="1" si="18"/>
        <v>34585.72630517956</v>
      </c>
      <c r="BA46" s="2451">
        <f t="shared" ca="1" si="18"/>
        <v>32726.937546442747</v>
      </c>
      <c r="BB46" s="2451">
        <f t="shared" ca="1" si="18"/>
        <v>30968.048255455098</v>
      </c>
      <c r="BC46" s="2451">
        <f t="shared" ca="1" si="18"/>
        <v>29303.689396273396</v>
      </c>
      <c r="BD46" s="2451">
        <f t="shared" ca="1" si="18"/>
        <v>27728.780488515389</v>
      </c>
      <c r="BE46" s="2451">
        <f t="shared" ca="1" si="18"/>
        <v>26238.514099117219</v>
      </c>
      <c r="BF46" s="2451">
        <f t="shared" ca="1" si="18"/>
        <v>24828.341167571951</v>
      </c>
      <c r="BG46" s="2451">
        <f t="shared" ca="1" si="18"/>
        <v>23493.957119854156</v>
      </c>
      <c r="BH46" s="2451">
        <f t="shared" ca="1" si="18"/>
        <v>22231.288728642998</v>
      </c>
      <c r="BI46" s="2451">
        <f t="shared" ca="1" si="18"/>
        <v>21036.481679734938</v>
      </c>
      <c r="BJ46" s="2451">
        <f t="shared" ca="1" si="18"/>
        <v>19905.888806691575</v>
      </c>
      <c r="BK46" s="2451">
        <f t="shared" ca="1" si="18"/>
        <v>18836.05895780963</v>
      </c>
      <c r="BL46" s="2451">
        <f t="shared" ca="1" si="18"/>
        <v>17823.72646142841</v>
      </c>
      <c r="BM46" s="2451">
        <f t="shared" ca="1" si="18"/>
        <v>16865.801157418213</v>
      </c>
      <c r="BN46" s="2451">
        <f t="shared" ca="1" si="18"/>
        <v>16533.71640456461</v>
      </c>
    </row>
    <row r="47" spans="2:142">
      <c r="C47" s="2466"/>
      <c r="D47" s="2467" t="s">
        <v>3933</v>
      </c>
      <c r="E47" s="2356"/>
      <c r="F47" s="2356"/>
      <c r="G47" s="2446"/>
      <c r="H47" s="2468">
        <f>MAX(J47:BN47)</f>
        <v>1</v>
      </c>
      <c r="I47" s="2358"/>
      <c r="J47" s="2469">
        <f>SUM($I$3:J$3)/$H$3*(J$3&gt;0)</f>
        <v>0</v>
      </c>
      <c r="K47" s="2470">
        <f>SUM($I$3:K$3)/$H$3*(K$3&gt;0)</f>
        <v>0</v>
      </c>
      <c r="L47" s="2471">
        <f>SUM($I$3:L$3)/$H$3*(L$3&gt;0)</f>
        <v>0</v>
      </c>
      <c r="M47" s="2469">
        <f>SUM($I$3:M$3)/$H$3*(M$3&gt;0)</f>
        <v>0</v>
      </c>
      <c r="N47" s="2472">
        <f>SUM($I$3:N$3)/$H$3*(N$3&gt;0)</f>
        <v>0</v>
      </c>
      <c r="O47" s="2473">
        <f>SUM($I$3:O$3)/$H$3*(O$3&gt;0)</f>
        <v>0</v>
      </c>
      <c r="P47" s="2472">
        <f>SUM($I$3:P$3)/$H$3*(P$3&gt;0)</f>
        <v>1.0082191780821918E-2</v>
      </c>
      <c r="Q47" s="2474">
        <f>SUM($I$3:Q$3)/$H$3*(Q$3&gt;0)</f>
        <v>3.0082191780821922E-2</v>
      </c>
      <c r="R47" s="2471">
        <f>SUM($I$3:R$3)/$H$3*(R$3&gt;0)</f>
        <v>5.0082191780821919E-2</v>
      </c>
      <c r="S47" s="2470">
        <f>SUM($I$3:S$3)/$H$3*(S$3&gt;0)</f>
        <v>7.0082191780821923E-2</v>
      </c>
      <c r="T47" s="2468">
        <f>SUM($I$3:T$3)/$H$3*(T$3&gt;0)</f>
        <v>9.0082191780821927E-2</v>
      </c>
      <c r="U47" s="2475">
        <f>SUM($I$3:U$3)/$H$3*(U$3&gt;0)</f>
        <v>0.11008219178082193</v>
      </c>
      <c r="V47" s="2475">
        <f>SUM($I$3:V$3)/$H$3*(V$3&gt;0)</f>
        <v>0.13008219178082192</v>
      </c>
      <c r="W47" s="2475">
        <f>SUM($I$3:W$3)/$H$3*(W$3&gt;0)</f>
        <v>0.15008219178082194</v>
      </c>
      <c r="X47" s="2475">
        <f>SUM($I$3:X$3)/$H$3*(X$3&gt;0)</f>
        <v>0.17008219178082193</v>
      </c>
      <c r="Y47" s="2475">
        <f>SUM($I$3:Y$3)/$H$3*(Y$3&gt;0)</f>
        <v>0.19008219178082192</v>
      </c>
      <c r="Z47" s="2475">
        <f>SUM($I$3:Z$3)/$H$3*(Z$3&gt;0)</f>
        <v>0.21008219178082194</v>
      </c>
      <c r="AA47" s="2475">
        <f>SUM($I$3:AA$3)/$H$3*(AA$3&gt;0)</f>
        <v>0.23008219178082193</v>
      </c>
      <c r="AB47" s="2475">
        <f>SUM($I$3:AB$3)/$H$3*(AB$3&gt;0)</f>
        <v>0.25008219178082192</v>
      </c>
      <c r="AC47" s="2475">
        <f>SUM($I$3:AC$3)/$H$3*(AC$3&gt;0)</f>
        <v>0.27008219178082193</v>
      </c>
      <c r="AD47" s="2475">
        <f>SUM($I$3:AD$3)/$H$3*(AD$3&gt;0)</f>
        <v>0.29008219178082195</v>
      </c>
      <c r="AE47" s="2475">
        <f>SUM($I$3:AE$3)/$H$3*(AE$3&gt;0)</f>
        <v>0.31008219178082191</v>
      </c>
      <c r="AF47" s="2475">
        <f>SUM($I$3:AF$3)/$H$3*(AF$3&gt;0)</f>
        <v>0.33008219178082193</v>
      </c>
      <c r="AG47" s="2475">
        <f>SUM($I$3:AG$3)/$H$3*(AG$3&gt;0)</f>
        <v>0.35008219178082195</v>
      </c>
      <c r="AH47" s="2475">
        <f>SUM($I$3:AH$3)/$H$3*(AH$3&gt;0)</f>
        <v>0.37008219178082191</v>
      </c>
      <c r="AI47" s="2475">
        <f>SUM($I$3:AI$3)/$H$3*(AI$3&gt;0)</f>
        <v>0.39008219178082193</v>
      </c>
      <c r="AJ47" s="2475">
        <f>SUM($I$3:AJ$3)/$H$3*(AJ$3&gt;0)</f>
        <v>0.41008219178082195</v>
      </c>
      <c r="AK47" s="2475">
        <f>SUM($I$3:AK$3)/$H$3*(AK$3&gt;0)</f>
        <v>0.43008219178082191</v>
      </c>
      <c r="AL47" s="2475">
        <f>SUM($I$3:AL$3)/$H$3*(AL$3&gt;0)</f>
        <v>0.45008219178082193</v>
      </c>
      <c r="AM47" s="2475">
        <f>SUM($I$3:AM$3)/$H$3*(AM$3&gt;0)</f>
        <v>0.47008219178082195</v>
      </c>
      <c r="AN47" s="2475">
        <f>SUM($I$3:AN$3)/$H$3*(AN$3&gt;0)</f>
        <v>0.49008219178082191</v>
      </c>
      <c r="AO47" s="2475">
        <f>SUM($I$3:AO$3)/$H$3*(AO$3&gt;0)</f>
        <v>0.51008219178082193</v>
      </c>
      <c r="AP47" s="2475">
        <f>SUM($I$3:AP$3)/$H$3*(AP$3&gt;0)</f>
        <v>0.53008219178082194</v>
      </c>
      <c r="AQ47" s="2475">
        <f>SUM($I$3:AQ$3)/$H$3*(AQ$3&gt;0)</f>
        <v>0.55008219178082196</v>
      </c>
      <c r="AR47" s="2475">
        <f>SUM($I$3:AR$3)/$H$3*(AR$3&gt;0)</f>
        <v>0.57008219178082198</v>
      </c>
      <c r="AS47" s="2475">
        <f>SUM($I$3:AS$3)/$H$3*(AS$3&gt;0)</f>
        <v>0.59008219178082189</v>
      </c>
      <c r="AT47" s="2475">
        <f>SUM($I$3:AT$3)/$H$3*(AT$3&gt;0)</f>
        <v>0.6100821917808219</v>
      </c>
      <c r="AU47" s="2475">
        <f>SUM($I$3:AU$3)/$H$3*(AU$3&gt;0)</f>
        <v>0.63008219178082192</v>
      </c>
      <c r="AV47" s="2475">
        <f>SUM($I$3:AV$3)/$H$3*(AV$3&gt;0)</f>
        <v>0.65008219178082183</v>
      </c>
      <c r="AW47" s="2475">
        <f>SUM($I$3:AW$3)/$H$3*(AW$3&gt;0)</f>
        <v>0.67008219178082185</v>
      </c>
      <c r="AX47" s="2475">
        <f>SUM($I$3:AX$3)/$H$3*(AX$3&gt;0)</f>
        <v>0.69008219178082186</v>
      </c>
      <c r="AY47" s="2475">
        <f>SUM($I$3:AY$3)/$H$3*(AY$3&gt;0)</f>
        <v>0.71008219178082188</v>
      </c>
      <c r="AZ47" s="2475">
        <f>SUM($I$3:AZ$3)/$H$3*(AZ$3&gt;0)</f>
        <v>0.7300821917808219</v>
      </c>
      <c r="BA47" s="2475">
        <f>SUM($I$3:BA$3)/$H$3*(BA$3&gt;0)</f>
        <v>0.75008219178082181</v>
      </c>
      <c r="BB47" s="2475">
        <f>SUM($I$3:BB$3)/$H$3*(BB$3&gt;0)</f>
        <v>0.77008219178082182</v>
      </c>
      <c r="BC47" s="2475">
        <f>SUM($I$3:BC$3)/$H$3*(BC$3&gt;0)</f>
        <v>0.79008219178082184</v>
      </c>
      <c r="BD47" s="2475">
        <f>SUM($I$3:BD$3)/$H$3*(BD$3&gt;0)</f>
        <v>0.81008219178082186</v>
      </c>
      <c r="BE47" s="2475">
        <f>SUM($I$3:BE$3)/$H$3*(BE$3&gt;0)</f>
        <v>0.83008219178082188</v>
      </c>
      <c r="BF47" s="2475">
        <f>SUM($I$3:BF$3)/$H$3*(BF$3&gt;0)</f>
        <v>0.85008219178082189</v>
      </c>
      <c r="BG47" s="2475">
        <f>SUM($I$3:BG$3)/$H$3*(BG$3&gt;0)</f>
        <v>0.87008219178082191</v>
      </c>
      <c r="BH47" s="2475">
        <f>SUM($I$3:BH$3)/$H$3*(BH$3&gt;0)</f>
        <v>0.89008219178082182</v>
      </c>
      <c r="BI47" s="2475">
        <f>SUM($I$3:BI$3)/$H$3*(BI$3&gt;0)</f>
        <v>0.91008219178082184</v>
      </c>
      <c r="BJ47" s="2475">
        <f>SUM($I$3:BJ$3)/$H$3*(BJ$3&gt;0)</f>
        <v>0.93008219178082185</v>
      </c>
      <c r="BK47" s="2475">
        <f>SUM($I$3:BK$3)/$H$3*(BK$3&gt;0)</f>
        <v>0.95008219178082187</v>
      </c>
      <c r="BL47" s="2475">
        <f>SUM($I$3:BL$3)/$H$3*(BL$3&gt;0)</f>
        <v>0.97008219178082189</v>
      </c>
      <c r="BM47" s="2475">
        <f>SUM($I$3:BM$3)/$H$3*(BM$3&gt;0)</f>
        <v>0.99008219178082191</v>
      </c>
      <c r="BN47" s="2475">
        <f>SUM($I$3:BN$3)/$H$3*(BN$3&gt;0)</f>
        <v>1</v>
      </c>
    </row>
    <row r="48" spans="2:142">
      <c r="C48" s="2466"/>
      <c r="D48" s="2476" t="s">
        <v>3934</v>
      </c>
      <c r="E48" s="2356"/>
      <c r="F48" s="2356"/>
      <c r="G48" s="2446"/>
      <c r="H48" s="2477">
        <f ca="1">MAX(J48:AT48)</f>
        <v>34597.337301491352</v>
      </c>
      <c r="I48" s="2358"/>
      <c r="J48" s="2478">
        <f t="shared" ref="J48:BN48" si="19">J46*J47</f>
        <v>0</v>
      </c>
      <c r="K48" s="2357">
        <f t="shared" si="19"/>
        <v>0</v>
      </c>
      <c r="L48" s="2479">
        <f t="shared" si="19"/>
        <v>0</v>
      </c>
      <c r="M48" s="2478">
        <f t="shared" si="19"/>
        <v>0</v>
      </c>
      <c r="N48" s="2357">
        <f t="shared" si="19"/>
        <v>0</v>
      </c>
      <c r="O48" s="2479">
        <f t="shared" si="19"/>
        <v>0</v>
      </c>
      <c r="P48" s="2357">
        <f t="shared" si="19"/>
        <v>2479.2484079162741</v>
      </c>
      <c r="Q48" s="2477">
        <f t="shared" si="19"/>
        <v>7105.6134163430233</v>
      </c>
      <c r="R48" s="2479">
        <f t="shared" si="19"/>
        <v>11487.373315367411</v>
      </c>
      <c r="S48" s="2357">
        <f t="shared" si="19"/>
        <v>15200.430716715877</v>
      </c>
      <c r="T48" s="2477">
        <f t="shared" si="19"/>
        <v>18422.500138627587</v>
      </c>
      <c r="U48" s="2480">
        <f t="shared" si="19"/>
        <v>21163.499660939684</v>
      </c>
      <c r="V48" s="2480">
        <f t="shared" si="19"/>
        <v>23577.629003961523</v>
      </c>
      <c r="W48" s="2480">
        <f t="shared" si="19"/>
        <v>25699.047112653894</v>
      </c>
      <c r="X48" s="2480">
        <f t="shared" si="19"/>
        <v>27534.490692871696</v>
      </c>
      <c r="Y48" s="2480">
        <f t="shared" si="19"/>
        <v>29066.906967078787</v>
      </c>
      <c r="Z48" s="2480">
        <f t="shared" si="19"/>
        <v>30170.325797656409</v>
      </c>
      <c r="AA48" s="2480">
        <f t="shared" si="19"/>
        <v>30993.079736435106</v>
      </c>
      <c r="AB48" s="2480">
        <f t="shared" si="19"/>
        <v>32566.902283111813</v>
      </c>
      <c r="AC48" s="2480">
        <f t="shared" ca="1" si="19"/>
        <v>33281.132856109616</v>
      </c>
      <c r="AD48" s="2480">
        <f t="shared" ca="1" si="19"/>
        <v>33824.523479914096</v>
      </c>
      <c r="AE48" s="2480">
        <f t="shared" ca="1" si="19"/>
        <v>34213.374506154112</v>
      </c>
      <c r="AF48" s="2480">
        <f t="shared" ca="1" si="19"/>
        <v>34462.727645816936</v>
      </c>
      <c r="AG48" s="2480">
        <f t="shared" ca="1" si="19"/>
        <v>34586.454176090352</v>
      </c>
      <c r="AH48" s="2480">
        <f t="shared" ca="1" si="19"/>
        <v>34597.337301491352</v>
      </c>
      <c r="AI48" s="2480">
        <f t="shared" ca="1" si="19"/>
        <v>34507.149042848294</v>
      </c>
      <c r="AJ48" s="2480">
        <f t="shared" ca="1" si="19"/>
        <v>34326.722004433861</v>
      </c>
      <c r="AK48" s="2480">
        <f t="shared" ca="1" si="19"/>
        <v>34066.016347699551</v>
      </c>
      <c r="AL48" s="2480">
        <f t="shared" ca="1" si="19"/>
        <v>33734.182279551926</v>
      </c>
      <c r="AM48" s="2480">
        <f t="shared" ca="1" si="19"/>
        <v>33339.618343855793</v>
      </c>
      <c r="AN48" s="2480">
        <f t="shared" ca="1" si="19"/>
        <v>32890.025786775856</v>
      </c>
      <c r="AO48" s="2480">
        <f t="shared" ca="1" si="19"/>
        <v>32392.459249602318</v>
      </c>
      <c r="AP48" s="2480">
        <f t="shared" ca="1" si="19"/>
        <v>31853.374026782498</v>
      </c>
      <c r="AQ48" s="2480">
        <f t="shared" ca="1" si="19"/>
        <v>31278.670111936532</v>
      </c>
      <c r="AR48" s="2480">
        <f t="shared" ca="1" si="19"/>
        <v>30673.733240609356</v>
      </c>
      <c r="AS48" s="2480">
        <f t="shared" ca="1" si="19"/>
        <v>30043.473125351418</v>
      </c>
      <c r="AT48" s="2480">
        <f t="shared" ca="1" si="19"/>
        <v>29392.359066370867</v>
      </c>
      <c r="AU48" s="2480">
        <f t="shared" ca="1" si="19"/>
        <v>28724.453109413182</v>
      </c>
      <c r="AV48" s="2480">
        <f t="shared" ca="1" si="19"/>
        <v>28043.440911653972</v>
      </c>
      <c r="AW48" s="2480">
        <f t="shared" ca="1" si="19"/>
        <v>27352.660466192774</v>
      </c>
      <c r="AX48" s="2480">
        <f t="shared" ca="1" si="19"/>
        <v>26655.128826169042</v>
      </c>
      <c r="AY48" s="2480">
        <f t="shared" ca="1" si="19"/>
        <v>25953.566960549131</v>
      </c>
      <c r="AZ48" s="2480">
        <f t="shared" ca="1" si="19"/>
        <v>25250.422865217119</v>
      </c>
      <c r="BA48" s="2480">
        <f t="shared" ca="1" si="19"/>
        <v>24547.893045109846</v>
      </c>
      <c r="BB48" s="2480">
        <f t="shared" ca="1" si="19"/>
        <v>23847.942475735119</v>
      </c>
      <c r="BC48" s="2480">
        <f t="shared" ca="1" si="19"/>
        <v>23152.323145472114</v>
      </c>
      <c r="BD48" s="2480">
        <f t="shared" ca="1" si="19"/>
        <v>22462.591273545833</v>
      </c>
      <c r="BE48" s="2480">
        <f t="shared" ca="1" si="19"/>
        <v>21780.123292467219</v>
      </c>
      <c r="BF48" s="2480">
        <f t="shared" ca="1" si="19"/>
        <v>21106.130678011574</v>
      </c>
      <c r="BG48" s="2480">
        <f t="shared" ca="1" si="19"/>
        <v>20441.673704447352</v>
      </c>
      <c r="BH48" s="2480">
        <f t="shared" ca="1" si="19"/>
        <v>19787.67419770284</v>
      </c>
      <c r="BI48" s="2480">
        <f t="shared" ca="1" si="19"/>
        <v>19144.927354450276</v>
      </c>
      <c r="BJ48" s="2480">
        <f t="shared" ca="1" si="19"/>
        <v>18514.112690673028</v>
      </c>
      <c r="BK48" s="2480">
        <f t="shared" ca="1" si="19"/>
        <v>17895.804179148556</v>
      </c>
      <c r="BL48" s="2480">
        <f t="shared" ca="1" si="19"/>
        <v>17290.479631404305</v>
      </c>
      <c r="BM48" s="2480">
        <f t="shared" ca="1" si="19"/>
        <v>16698.529376076149</v>
      </c>
      <c r="BN48" s="2480">
        <f t="shared" ca="1" si="19"/>
        <v>16533.71640456461</v>
      </c>
    </row>
    <row r="49" spans="3:66">
      <c r="C49" s="2466"/>
      <c r="D49" s="2481" t="s">
        <v>3935</v>
      </c>
      <c r="E49" s="2385"/>
      <c r="F49" s="2385"/>
      <c r="G49" s="2386"/>
      <c r="H49" s="2392"/>
      <c r="I49" s="2482"/>
      <c r="J49" s="2395"/>
      <c r="K49" s="2387"/>
      <c r="L49" s="2393"/>
      <c r="M49" s="2395"/>
      <c r="N49" s="2387"/>
      <c r="O49" s="2393"/>
      <c r="P49" s="2387"/>
      <c r="Q49" s="2392"/>
      <c r="R49" s="2395"/>
      <c r="S49" s="2387">
        <f t="shared" ref="S49:BN49" si="20">S$117</f>
        <v>0</v>
      </c>
      <c r="T49" s="2392">
        <f t="shared" si="20"/>
        <v>140919.04168208118</v>
      </c>
      <c r="U49" s="2394">
        <f t="shared" si="20"/>
        <v>140042.76853834913</v>
      </c>
      <c r="V49" s="2394">
        <f t="shared" si="20"/>
        <v>135731.45453272946</v>
      </c>
      <c r="W49" s="2394">
        <f>W$117</f>
        <v>130983.73877872723</v>
      </c>
      <c r="X49" s="2394">
        <f>X$117</f>
        <v>127612.99509804517</v>
      </c>
      <c r="Y49" s="2394">
        <f t="shared" si="20"/>
        <v>125758.99314428587</v>
      </c>
      <c r="Z49" s="2394">
        <f t="shared" si="20"/>
        <v>124381.83028731339</v>
      </c>
      <c r="AA49" s="2394">
        <f t="shared" si="20"/>
        <v>131828.51166169738</v>
      </c>
      <c r="AB49" s="2394">
        <f t="shared" si="20"/>
        <v>127511.03569455996</v>
      </c>
      <c r="AC49" s="2394">
        <f t="shared" si="20"/>
        <v>116904.45084481186</v>
      </c>
      <c r="AD49" s="2394">
        <f t="shared" ca="1" si="20"/>
        <v>113865.00424360942</v>
      </c>
      <c r="AE49" s="2394">
        <f ca="1">AE$117</f>
        <v>113888.6223488445</v>
      </c>
      <c r="AF49" s="2394">
        <f t="shared" ca="1" si="20"/>
        <v>114765.37875521832</v>
      </c>
      <c r="AG49" s="2394">
        <f t="shared" ca="1" si="20"/>
        <v>102982.54431794747</v>
      </c>
      <c r="AH49" s="2394">
        <f t="shared" ca="1" si="20"/>
        <v>86970.648836566776</v>
      </c>
      <c r="AI49" s="2394">
        <f t="shared" ca="1" si="20"/>
        <v>82476.927161115629</v>
      </c>
      <c r="AJ49" s="2394">
        <f t="shared" ca="1" si="20"/>
        <v>84620.711833963214</v>
      </c>
      <c r="AK49" s="2394">
        <f t="shared" ca="1" si="20"/>
        <v>86028.63491732585</v>
      </c>
      <c r="AL49" s="2394">
        <f t="shared" ca="1" si="20"/>
        <v>87515.476900404989</v>
      </c>
      <c r="AM49" s="2394">
        <f t="shared" ca="1" si="20"/>
        <v>88796.663750111911</v>
      </c>
      <c r="AN49" s="2394">
        <f t="shared" ca="1" si="20"/>
        <v>89182.392231340898</v>
      </c>
      <c r="AO49" s="2394">
        <f t="shared" ca="1" si="20"/>
        <v>88669.382739718189</v>
      </c>
      <c r="AP49" s="2394">
        <f t="shared" ca="1" si="20"/>
        <v>87114.717758796818</v>
      </c>
      <c r="AQ49" s="2394">
        <f t="shared" ca="1" si="20"/>
        <v>84878.465982909795</v>
      </c>
      <c r="AR49" s="2394">
        <f t="shared" ca="1" si="20"/>
        <v>83380.973251573494</v>
      </c>
      <c r="AS49" s="2394">
        <f t="shared" ca="1" si="20"/>
        <v>81718.461387543444</v>
      </c>
      <c r="AT49" s="2394">
        <f t="shared" ca="1" si="20"/>
        <v>79498.173580259536</v>
      </c>
      <c r="AU49" s="2394">
        <f t="shared" ca="1" si="20"/>
        <v>77907.779218070747</v>
      </c>
      <c r="AV49" s="2394">
        <f t="shared" ca="1" si="20"/>
        <v>75762.12689243599</v>
      </c>
      <c r="AW49" s="2394">
        <f t="shared" ca="1" si="20"/>
        <v>72746.946458707913</v>
      </c>
      <c r="AX49" s="2394">
        <f t="shared" ca="1" si="20"/>
        <v>70269.947353701224</v>
      </c>
      <c r="AY49" s="2394">
        <f t="shared" ca="1" si="20"/>
        <v>67047.831531652817</v>
      </c>
      <c r="AZ49" s="2394">
        <f t="shared" ca="1" si="20"/>
        <v>63045.617552546042</v>
      </c>
      <c r="BA49" s="2394">
        <f t="shared" ca="1" si="20"/>
        <v>59203.07108336431</v>
      </c>
      <c r="BB49" s="2394">
        <f t="shared" ca="1" si="20"/>
        <v>55010.026011213988</v>
      </c>
      <c r="BC49" s="2394">
        <f t="shared" ca="1" si="20"/>
        <v>54820.528284979671</v>
      </c>
      <c r="BD49" s="2394">
        <f t="shared" ca="1" si="20"/>
        <v>56023.189177871704</v>
      </c>
      <c r="BE49" s="2394">
        <f t="shared" ca="1" si="20"/>
        <v>53048.660734194607</v>
      </c>
      <c r="BF49" s="2394">
        <f t="shared" ca="1" si="20"/>
        <v>48675.178519906527</v>
      </c>
      <c r="BG49" s="2394">
        <f t="shared" ca="1" si="20"/>
        <v>45026.989599697015</v>
      </c>
      <c r="BH49" s="2394">
        <f t="shared" ca="1" si="20"/>
        <v>40630.136487764517</v>
      </c>
      <c r="BI49" s="2394">
        <f t="shared" ca="1" si="20"/>
        <v>34116.590791419614</v>
      </c>
      <c r="BJ49" s="2394">
        <f t="shared" ca="1" si="20"/>
        <v>26898.141601130625</v>
      </c>
      <c r="BK49" s="2394">
        <f t="shared" ca="1" si="20"/>
        <v>19130.124584158173</v>
      </c>
      <c r="BL49" s="2394">
        <f t="shared" ca="1" si="20"/>
        <v>10578.929995566998</v>
      </c>
      <c r="BM49" s="2394">
        <f t="shared" ca="1" si="20"/>
        <v>3012.512359865907</v>
      </c>
      <c r="BN49" s="2394">
        <f t="shared" ca="1" si="20"/>
        <v>3288.3083968555643</v>
      </c>
    </row>
    <row r="50" spans="3:66">
      <c r="C50" s="2466"/>
      <c r="D50" s="2481" t="s">
        <v>3936</v>
      </c>
      <c r="E50" s="2385"/>
      <c r="F50" s="2385"/>
      <c r="G50" s="2386"/>
      <c r="H50" s="2392"/>
      <c r="I50" s="2482"/>
      <c r="J50" s="2483">
        <f>Index!H86</f>
        <v>1.0768879415347137</v>
      </c>
      <c r="K50" s="2417">
        <f>Index!I86</f>
        <v>1.1096224116930571</v>
      </c>
      <c r="L50" s="2417">
        <f>Index!J86</f>
        <v>1.1387028014616321</v>
      </c>
      <c r="M50" s="2417">
        <f>Index!K86</f>
        <v>1.1624543239951277</v>
      </c>
      <c r="N50" s="2417">
        <f>Index!L86</f>
        <v>1.2043239951278926</v>
      </c>
      <c r="O50" s="2417">
        <f>Index!M86</f>
        <v>1.2542630937880632</v>
      </c>
      <c r="P50" s="2417">
        <f>Index!N86</f>
        <v>1.289281364190012</v>
      </c>
      <c r="Q50" s="2417">
        <f>Index!O86</f>
        <v>1.3284104750304506</v>
      </c>
      <c r="R50" s="2417">
        <f>Index!P86</f>
        <v>1.3836784409257001</v>
      </c>
      <c r="S50" s="2417">
        <f>Index!Q86</f>
        <v>1.4034713763702802</v>
      </c>
      <c r="T50" s="2417">
        <f>Index!R86</f>
        <v>1.4194579780755177</v>
      </c>
      <c r="U50" s="2417">
        <f>Index!S86</f>
        <v>1.4313337393422654</v>
      </c>
      <c r="V50" s="2417">
        <f>Index!T86</f>
        <v>1.4474725943970765</v>
      </c>
      <c r="W50" s="2417">
        <f>Index!U86</f>
        <v>1.4668087697929353</v>
      </c>
      <c r="X50" s="2417">
        <f>Index!V86</f>
        <v>1.4875152253349573</v>
      </c>
      <c r="Y50" s="2417">
        <f>Index!W86</f>
        <v>1.5071559074299632</v>
      </c>
      <c r="Z50" s="2417">
        <f>Index!X86</f>
        <v>1.5182704019488427</v>
      </c>
      <c r="AA50" s="2417">
        <f>Index!Y86</f>
        <v>1.5275578562728378</v>
      </c>
      <c r="AB50" s="2417">
        <f>Index!Z86</f>
        <v>1.5840438489646771</v>
      </c>
      <c r="AC50" s="2465">
        <f ca="1">AB50*(1+$G$26)</f>
        <v>1.6078045066991471</v>
      </c>
      <c r="AD50" s="2465">
        <f t="shared" ref="AD50:BN50" ca="1" si="21">AC50*(1+$G$26)</f>
        <v>1.6319215742996342</v>
      </c>
      <c r="AE50" s="2465">
        <f t="shared" ca="1" si="21"/>
        <v>1.6564003979141286</v>
      </c>
      <c r="AF50" s="2465">
        <f t="shared" ca="1" si="21"/>
        <v>1.6812464038828403</v>
      </c>
      <c r="AG50" s="2465">
        <f t="shared" ca="1" si="21"/>
        <v>1.7064650999410826</v>
      </c>
      <c r="AH50" s="2465">
        <f t="shared" ca="1" si="21"/>
        <v>1.7320620764401986</v>
      </c>
      <c r="AI50" s="2465">
        <f t="shared" ca="1" si="21"/>
        <v>1.7580430075868014</v>
      </c>
      <c r="AJ50" s="2465">
        <f t="shared" ca="1" si="21"/>
        <v>1.7844136527006034</v>
      </c>
      <c r="AK50" s="2465">
        <f t="shared" ca="1" si="21"/>
        <v>1.8111798574911122</v>
      </c>
      <c r="AL50" s="2465">
        <f t="shared" ca="1" si="21"/>
        <v>1.8383475553534787</v>
      </c>
      <c r="AM50" s="2465">
        <f t="shared" ca="1" si="21"/>
        <v>1.8659227686837807</v>
      </c>
      <c r="AN50" s="2465">
        <f t="shared" ca="1" si="21"/>
        <v>1.8939116102140372</v>
      </c>
      <c r="AO50" s="2465">
        <f t="shared" ca="1" si="21"/>
        <v>1.9223202843672476</v>
      </c>
      <c r="AP50" s="2465">
        <f t="shared" ca="1" si="21"/>
        <v>1.951155088632756</v>
      </c>
      <c r="AQ50" s="2465">
        <f t="shared" ca="1" si="21"/>
        <v>1.9804224149622471</v>
      </c>
      <c r="AR50" s="2465">
        <f t="shared" ca="1" si="21"/>
        <v>2.0101287511866808</v>
      </c>
      <c r="AS50" s="2465">
        <f t="shared" ca="1" si="21"/>
        <v>2.0402806824544806</v>
      </c>
      <c r="AT50" s="2465">
        <f t="shared" ca="1" si="21"/>
        <v>2.0708848926912977</v>
      </c>
      <c r="AU50" s="2465">
        <f t="shared" ca="1" si="21"/>
        <v>2.1019481660816668</v>
      </c>
      <c r="AV50" s="2465">
        <f t="shared" ca="1" si="21"/>
        <v>2.1334773885728917</v>
      </c>
      <c r="AW50" s="2465">
        <f t="shared" ca="1" si="21"/>
        <v>2.1654795494014847</v>
      </c>
      <c r="AX50" s="2465">
        <f t="shared" ca="1" si="21"/>
        <v>2.1979617426425069</v>
      </c>
      <c r="AY50" s="2465">
        <f t="shared" ca="1" si="21"/>
        <v>2.2309311687821443</v>
      </c>
      <c r="AZ50" s="2465">
        <f t="shared" ca="1" si="21"/>
        <v>2.2643951363138761</v>
      </c>
      <c r="BA50" s="2465">
        <f t="shared" ca="1" si="21"/>
        <v>2.298361063358584</v>
      </c>
      <c r="BB50" s="2465">
        <f t="shared" ca="1" si="21"/>
        <v>2.3328364793089627</v>
      </c>
      <c r="BC50" s="2465">
        <f t="shared" ca="1" si="21"/>
        <v>2.3678290264985971</v>
      </c>
      <c r="BD50" s="2465">
        <f t="shared" ca="1" si="21"/>
        <v>2.4033464618960756</v>
      </c>
      <c r="BE50" s="2465">
        <f t="shared" ca="1" si="21"/>
        <v>2.4393966588245166</v>
      </c>
      <c r="BF50" s="2465">
        <f t="shared" ca="1" si="21"/>
        <v>2.4759876087068839</v>
      </c>
      <c r="BG50" s="2465">
        <f t="shared" ca="1" si="21"/>
        <v>2.5131274228374871</v>
      </c>
      <c r="BH50" s="2465">
        <f t="shared" ca="1" si="21"/>
        <v>2.5508243341800494</v>
      </c>
      <c r="BI50" s="2465">
        <f t="shared" ca="1" si="21"/>
        <v>2.5890866991927499</v>
      </c>
      <c r="BJ50" s="2465">
        <f t="shared" ca="1" si="21"/>
        <v>2.6279229996806408</v>
      </c>
      <c r="BK50" s="2465">
        <f t="shared" ca="1" si="21"/>
        <v>2.6673418446758501</v>
      </c>
      <c r="BL50" s="2465">
        <f t="shared" ca="1" si="21"/>
        <v>2.7073519723459878</v>
      </c>
      <c r="BM50" s="2465">
        <f t="shared" ca="1" si="21"/>
        <v>2.7479622519311775</v>
      </c>
      <c r="BN50" s="2465">
        <f t="shared" ca="1" si="21"/>
        <v>2.7891816857101448</v>
      </c>
    </row>
    <row r="51" spans="3:66">
      <c r="C51" s="2466"/>
      <c r="D51" s="2481" t="s">
        <v>3937</v>
      </c>
      <c r="E51" s="2385"/>
      <c r="F51" s="2385"/>
      <c r="G51" s="2386"/>
      <c r="H51" s="2392">
        <f ca="1">MAX(J51:AT51)</f>
        <v>201983.07176708308</v>
      </c>
      <c r="I51" s="2482"/>
      <c r="J51" s="2395">
        <f t="shared" ref="J51:BN51" si="22">J49*J50</f>
        <v>0</v>
      </c>
      <c r="K51" s="2387">
        <f t="shared" si="22"/>
        <v>0</v>
      </c>
      <c r="L51" s="2393">
        <f t="shared" si="22"/>
        <v>0</v>
      </c>
      <c r="M51" s="2395">
        <f t="shared" si="22"/>
        <v>0</v>
      </c>
      <c r="N51" s="2387">
        <f t="shared" si="22"/>
        <v>0</v>
      </c>
      <c r="O51" s="2393">
        <f t="shared" si="22"/>
        <v>0</v>
      </c>
      <c r="P51" s="2387">
        <f t="shared" si="22"/>
        <v>0</v>
      </c>
      <c r="Q51" s="2392">
        <f t="shared" si="22"/>
        <v>0</v>
      </c>
      <c r="R51" s="2395">
        <f t="shared" si="22"/>
        <v>0</v>
      </c>
      <c r="S51" s="2387">
        <f t="shared" si="22"/>
        <v>0</v>
      </c>
      <c r="T51" s="2392">
        <f t="shared" si="22"/>
        <v>200028.65797838656</v>
      </c>
      <c r="U51" s="2394">
        <f t="shared" si="22"/>
        <v>200447.93955983862</v>
      </c>
      <c r="V51" s="2394">
        <f t="shared" si="22"/>
        <v>196467.56063377875</v>
      </c>
      <c r="W51" s="2394">
        <f>W49*W50</f>
        <v>192128.09674090409</v>
      </c>
      <c r="X51" s="2394">
        <f t="shared" si="22"/>
        <v>189826.27315893746</v>
      </c>
      <c r="Y51" s="2394">
        <f t="shared" si="22"/>
        <v>189538.40942985468</v>
      </c>
      <c r="Z51" s="2394">
        <f t="shared" si="22"/>
        <v>188845.25146545205</v>
      </c>
      <c r="AA51" s="2394">
        <f t="shared" si="22"/>
        <v>201375.67866958125</v>
      </c>
      <c r="AB51" s="2394">
        <f t="shared" si="22"/>
        <v>201983.07176708308</v>
      </c>
      <c r="AC51" s="2394">
        <f t="shared" ca="1" si="22"/>
        <v>187959.50292147743</v>
      </c>
      <c r="AD51" s="2394">
        <f t="shared" ca="1" si="22"/>
        <v>185818.75698286563</v>
      </c>
      <c r="AE51" s="2394">
        <f t="shared" ca="1" si="22"/>
        <v>188645.15937651796</v>
      </c>
      <c r="AF51" s="2394">
        <f t="shared" ca="1" si="22"/>
        <v>192948.88032246291</v>
      </c>
      <c r="AG51" s="2394">
        <f t="shared" ca="1" si="22"/>
        <v>175736.1177817132</v>
      </c>
      <c r="AH51" s="2394">
        <f t="shared" ca="1" si="22"/>
        <v>150638.56261321518</v>
      </c>
      <c r="AI51" s="2394">
        <f t="shared" ca="1" si="22"/>
        <v>144997.98508284526</v>
      </c>
      <c r="AJ51" s="2394">
        <f t="shared" ca="1" si="22"/>
        <v>150998.35349776747</v>
      </c>
      <c r="AK51" s="2394">
        <f t="shared" ca="1" si="22"/>
        <v>155813.33072971716</v>
      </c>
      <c r="AL51" s="2394">
        <f t="shared" ca="1" si="22"/>
        <v>160883.86301545336</v>
      </c>
      <c r="AM51" s="2394">
        <f t="shared" ca="1" si="22"/>
        <v>165687.71667449153</v>
      </c>
      <c r="AN51" s="2394">
        <f t="shared" ca="1" si="22"/>
        <v>168903.5680735987</v>
      </c>
      <c r="AO51" s="2394">
        <f t="shared" ca="1" si="22"/>
        <v>170450.95304288337</v>
      </c>
      <c r="AP51" s="2394">
        <f t="shared" ca="1" si="22"/>
        <v>169974.32484988272</v>
      </c>
      <c r="AQ51" s="2394">
        <f t="shared" ca="1" si="22"/>
        <v>168095.21658016517</v>
      </c>
      <c r="AR51" s="2394">
        <f t="shared" ca="1" si="22"/>
        <v>167606.49163491547</v>
      </c>
      <c r="AS51" s="2394">
        <f t="shared" ca="1" si="22"/>
        <v>166728.59816890725</v>
      </c>
      <c r="AT51" s="2394">
        <f t="shared" ca="1" si="22"/>
        <v>164631.56666390994</v>
      </c>
      <c r="AU51" s="2394">
        <f t="shared" ca="1" si="22"/>
        <v>163758.1136509192</v>
      </c>
      <c r="AV51" s="2394">
        <f t="shared" ca="1" si="22"/>
        <v>161636.78463520238</v>
      </c>
      <c r="AW51" s="2394">
        <f t="shared" ca="1" si="22"/>
        <v>157532.02483773674</v>
      </c>
      <c r="AX51" s="2394">
        <f t="shared" ca="1" si="22"/>
        <v>154450.65594093836</v>
      </c>
      <c r="AY51" s="2394">
        <f t="shared" ca="1" si="22"/>
        <v>149579.09716321851</v>
      </c>
      <c r="AZ51" s="2394">
        <f t="shared" ca="1" si="22"/>
        <v>142760.18975188999</v>
      </c>
      <c r="BA51" s="2394">
        <f t="shared" ca="1" si="22"/>
        <v>136070.03340925503</v>
      </c>
      <c r="BB51" s="2394">
        <f t="shared" ca="1" si="22"/>
        <v>128329.39540669489</v>
      </c>
      <c r="BC51" s="2394">
        <f t="shared" ca="1" si="22"/>
        <v>129805.63812116222</v>
      </c>
      <c r="BD51" s="2394">
        <f t="shared" ca="1" si="22"/>
        <v>134643.13349477248</v>
      </c>
      <c r="BE51" s="2394">
        <f t="shared" ca="1" si="22"/>
        <v>129406.72575010966</v>
      </c>
      <c r="BF51" s="2394">
        <f t="shared" ca="1" si="22"/>
        <v>120519.13886688405</v>
      </c>
      <c r="BG51" s="2394">
        <f t="shared" ca="1" si="22"/>
        <v>113158.5623308169</v>
      </c>
      <c r="BH51" s="2394">
        <f t="shared" ca="1" si="22"/>
        <v>103640.34085404646</v>
      </c>
      <c r="BI51" s="2394">
        <f t="shared" ca="1" si="22"/>
        <v>88330.811439866375</v>
      </c>
      <c r="BJ51" s="2394">
        <f t="shared" ca="1" si="22"/>
        <v>70686.244962277822</v>
      </c>
      <c r="BK51" s="2394">
        <f t="shared" ca="1" si="22"/>
        <v>51026.581797187289</v>
      </c>
      <c r="BL51" s="2394">
        <f t="shared" ca="1" si="22"/>
        <v>28640.886988808445</v>
      </c>
      <c r="BM51" s="2394">
        <f t="shared" ca="1" si="22"/>
        <v>8278.2702483876237</v>
      </c>
      <c r="BN51" s="2394">
        <f t="shared" ca="1" si="22"/>
        <v>9171.6895574764258</v>
      </c>
    </row>
    <row r="52" spans="3:66">
      <c r="C52" s="2466"/>
      <c r="D52" s="2481" t="s">
        <v>3938</v>
      </c>
      <c r="E52" s="2385"/>
      <c r="F52" s="2385"/>
      <c r="G52" s="2386"/>
      <c r="H52" s="2484">
        <f>MAX(J52:BN52)</f>
        <v>0.98991780821917807</v>
      </c>
      <c r="I52" s="2482"/>
      <c r="J52" s="2485">
        <f t="shared" ref="J52:BN52" si="23">(1-J47)*(J$3&gt;0)</f>
        <v>0</v>
      </c>
      <c r="K52" s="2486">
        <f t="shared" si="23"/>
        <v>0</v>
      </c>
      <c r="L52" s="2487">
        <f t="shared" si="23"/>
        <v>0</v>
      </c>
      <c r="M52" s="2485">
        <f t="shared" si="23"/>
        <v>0</v>
      </c>
      <c r="N52" s="2486">
        <f t="shared" si="23"/>
        <v>0</v>
      </c>
      <c r="O52" s="2487">
        <f t="shared" si="23"/>
        <v>0</v>
      </c>
      <c r="P52" s="2486">
        <f t="shared" si="23"/>
        <v>0.98991780821917807</v>
      </c>
      <c r="Q52" s="2488">
        <f t="shared" si="23"/>
        <v>0.96991780821917806</v>
      </c>
      <c r="R52" s="2485">
        <f t="shared" si="23"/>
        <v>0.94991780821917804</v>
      </c>
      <c r="S52" s="2486">
        <f t="shared" si="23"/>
        <v>0.92991780821917813</v>
      </c>
      <c r="T52" s="2488">
        <f t="shared" si="23"/>
        <v>0.90991780821917811</v>
      </c>
      <c r="U52" s="2489">
        <f t="shared" si="23"/>
        <v>0.8899178082191781</v>
      </c>
      <c r="V52" s="2489">
        <f t="shared" si="23"/>
        <v>0.86991780821917808</v>
      </c>
      <c r="W52" s="2489">
        <f t="shared" si="23"/>
        <v>0.84991780821917806</v>
      </c>
      <c r="X52" s="2489">
        <f>(1-X47)*(X$3&gt;0)</f>
        <v>0.82991780821917804</v>
      </c>
      <c r="Y52" s="2489">
        <f t="shared" si="23"/>
        <v>0.80991780821917803</v>
      </c>
      <c r="Z52" s="2489">
        <f t="shared" si="23"/>
        <v>0.78991780821917801</v>
      </c>
      <c r="AA52" s="2489">
        <f t="shared" si="23"/>
        <v>0.7699178082191781</v>
      </c>
      <c r="AB52" s="2489">
        <f t="shared" si="23"/>
        <v>0.74991780821917808</v>
      </c>
      <c r="AC52" s="2489">
        <f t="shared" si="23"/>
        <v>0.72991780821917807</v>
      </c>
      <c r="AD52" s="2489">
        <f t="shared" si="23"/>
        <v>0.70991780821917805</v>
      </c>
      <c r="AE52" s="2489">
        <f t="shared" si="23"/>
        <v>0.68991780821917814</v>
      </c>
      <c r="AF52" s="2489">
        <f t="shared" si="23"/>
        <v>0.66991780821917812</v>
      </c>
      <c r="AG52" s="2489">
        <f t="shared" si="23"/>
        <v>0.64991780821917811</v>
      </c>
      <c r="AH52" s="2489">
        <f t="shared" si="23"/>
        <v>0.62991780821917809</v>
      </c>
      <c r="AI52" s="2489">
        <f t="shared" si="23"/>
        <v>0.60991780821917807</v>
      </c>
      <c r="AJ52" s="2489">
        <f t="shared" si="23"/>
        <v>0.58991780821917805</v>
      </c>
      <c r="AK52" s="2489">
        <f t="shared" si="23"/>
        <v>0.56991780821917803</v>
      </c>
      <c r="AL52" s="2489">
        <f t="shared" si="23"/>
        <v>0.54991780821917802</v>
      </c>
      <c r="AM52" s="2489">
        <f t="shared" si="23"/>
        <v>0.529917808219178</v>
      </c>
      <c r="AN52" s="2489">
        <f t="shared" si="23"/>
        <v>0.50991780821917809</v>
      </c>
      <c r="AO52" s="2489">
        <f t="shared" si="23"/>
        <v>0.48991780821917807</v>
      </c>
      <c r="AP52" s="2489">
        <f t="shared" si="23"/>
        <v>0.46991780821917806</v>
      </c>
      <c r="AQ52" s="2489">
        <f t="shared" si="23"/>
        <v>0.44991780821917804</v>
      </c>
      <c r="AR52" s="2489">
        <f t="shared" si="23"/>
        <v>0.42991780821917802</v>
      </c>
      <c r="AS52" s="2489">
        <f t="shared" si="23"/>
        <v>0.40991780821917811</v>
      </c>
      <c r="AT52" s="2489">
        <f t="shared" si="23"/>
        <v>0.3899178082191781</v>
      </c>
      <c r="AU52" s="2489">
        <f t="shared" si="23"/>
        <v>0.36991780821917808</v>
      </c>
      <c r="AV52" s="2489">
        <f t="shared" si="23"/>
        <v>0.34991780821917817</v>
      </c>
      <c r="AW52" s="2489">
        <f t="shared" si="23"/>
        <v>0.32991780821917815</v>
      </c>
      <c r="AX52" s="2489">
        <f t="shared" si="23"/>
        <v>0.30991780821917814</v>
      </c>
      <c r="AY52" s="2489">
        <f t="shared" si="23"/>
        <v>0.28991780821917812</v>
      </c>
      <c r="AZ52" s="2489">
        <f t="shared" si="23"/>
        <v>0.2699178082191781</v>
      </c>
      <c r="BA52" s="2489">
        <f t="shared" si="23"/>
        <v>0.24991780821917819</v>
      </c>
      <c r="BB52" s="2489">
        <f t="shared" si="23"/>
        <v>0.22991780821917818</v>
      </c>
      <c r="BC52" s="2489">
        <f t="shared" si="23"/>
        <v>0.20991780821917816</v>
      </c>
      <c r="BD52" s="2489">
        <f t="shared" si="23"/>
        <v>0.18991780821917814</v>
      </c>
      <c r="BE52" s="2489">
        <f t="shared" si="23"/>
        <v>0.16991780821917812</v>
      </c>
      <c r="BF52" s="2489">
        <f t="shared" si="23"/>
        <v>0.14991780821917811</v>
      </c>
      <c r="BG52" s="2489">
        <f t="shared" si="23"/>
        <v>0.12991780821917809</v>
      </c>
      <c r="BH52" s="2489">
        <f t="shared" si="23"/>
        <v>0.10991780821917818</v>
      </c>
      <c r="BI52" s="2489">
        <f t="shared" si="23"/>
        <v>8.9917808219178164E-2</v>
      </c>
      <c r="BJ52" s="2489">
        <f t="shared" si="23"/>
        <v>6.9917808219178146E-2</v>
      </c>
      <c r="BK52" s="2489">
        <f t="shared" si="23"/>
        <v>4.9917808219178128E-2</v>
      </c>
      <c r="BL52" s="2489">
        <f t="shared" si="23"/>
        <v>2.991780821917811E-2</v>
      </c>
      <c r="BM52" s="2489">
        <f t="shared" si="23"/>
        <v>9.9178082191780925E-3</v>
      </c>
      <c r="BN52" s="2489">
        <f t="shared" si="23"/>
        <v>0</v>
      </c>
    </row>
    <row r="53" spans="3:66">
      <c r="C53" s="2466"/>
      <c r="D53" s="2490" t="s">
        <v>3939</v>
      </c>
      <c r="E53" s="2385"/>
      <c r="F53" s="2385"/>
      <c r="G53" s="2386"/>
      <c r="H53" s="2392">
        <f ca="1">MAX(J53:AT53)</f>
        <v>182009.63804871711</v>
      </c>
      <c r="I53" s="2482"/>
      <c r="J53" s="2395">
        <f t="shared" ref="J53:BN53" si="24">J51*J52</f>
        <v>0</v>
      </c>
      <c r="K53" s="2387">
        <f t="shared" si="24"/>
        <v>0</v>
      </c>
      <c r="L53" s="2393">
        <f t="shared" si="24"/>
        <v>0</v>
      </c>
      <c r="M53" s="2395">
        <f t="shared" si="24"/>
        <v>0</v>
      </c>
      <c r="N53" s="2387">
        <f t="shared" si="24"/>
        <v>0</v>
      </c>
      <c r="O53" s="2393">
        <f t="shared" si="24"/>
        <v>0</v>
      </c>
      <c r="P53" s="2387">
        <f t="shared" si="24"/>
        <v>0</v>
      </c>
      <c r="Q53" s="2392">
        <f t="shared" si="24"/>
        <v>0</v>
      </c>
      <c r="R53" s="2395">
        <f t="shared" si="24"/>
        <v>0</v>
      </c>
      <c r="S53" s="2387">
        <f t="shared" si="24"/>
        <v>0</v>
      </c>
      <c r="T53" s="2392">
        <f t="shared" si="24"/>
        <v>182009.63804871711</v>
      </c>
      <c r="U53" s="2394">
        <f t="shared" si="24"/>
        <v>178382.19103514188</v>
      </c>
      <c r="V53" s="2394">
        <f t="shared" si="24"/>
        <v>170910.62973270527</v>
      </c>
      <c r="W53" s="2394">
        <f t="shared" si="24"/>
        <v>163293.09087935142</v>
      </c>
      <c r="X53" s="2394">
        <f t="shared" si="24"/>
        <v>157540.20456248036</v>
      </c>
      <c r="Y53" s="2394">
        <f t="shared" si="24"/>
        <v>153510.5331387771</v>
      </c>
      <c r="Z53" s="2394">
        <f t="shared" si="24"/>
        <v>149172.22713018939</v>
      </c>
      <c r="AA53" s="2394">
        <f t="shared" si="24"/>
        <v>155042.7211499335</v>
      </c>
      <c r="AB53" s="2394">
        <f t="shared" si="24"/>
        <v>151470.70247694789</v>
      </c>
      <c r="AC53" s="2394">
        <f t="shared" ca="1" si="24"/>
        <v>137194.98840641099</v>
      </c>
      <c r="AD53" s="2394">
        <f t="shared" ca="1" si="24"/>
        <v>131916.04468328806</v>
      </c>
      <c r="AE53" s="2394">
        <f t="shared" ca="1" si="24"/>
        <v>130149.65488820481</v>
      </c>
      <c r="AF53" s="2394">
        <f t="shared" ca="1" si="24"/>
        <v>129259.89100396886</v>
      </c>
      <c r="AG53" s="2394">
        <f t="shared" ca="1" si="24"/>
        <v>114214.03249363837</v>
      </c>
      <c r="AH53" s="2394">
        <f t="shared" ca="1" si="24"/>
        <v>94889.913194603927</v>
      </c>
      <c r="AI53" s="2394">
        <f t="shared" ca="1" si="24"/>
        <v>88436.853257926065</v>
      </c>
      <c r="AJ53" s="2394">
        <f t="shared" ca="1" si="24"/>
        <v>89076.617740107642</v>
      </c>
      <c r="AK53" s="2394">
        <f t="shared" ca="1" si="24"/>
        <v>88800.791940810304</v>
      </c>
      <c r="AL53" s="2394">
        <f t="shared" ca="1" si="24"/>
        <v>88472.901327292595</v>
      </c>
      <c r="AM53" s="2394">
        <f t="shared" ca="1" si="24"/>
        <v>87800.8716689867</v>
      </c>
      <c r="AN53" s="2394">
        <f t="shared" ca="1" si="24"/>
        <v>86126.937232488199</v>
      </c>
      <c r="AO53" s="2394">
        <f t="shared" ca="1" si="24"/>
        <v>83506.957323639464</v>
      </c>
      <c r="AP53" s="2394">
        <f t="shared" ca="1" si="24"/>
        <v>79873.962186991455</v>
      </c>
      <c r="AQ53" s="2394">
        <f t="shared" ca="1" si="24"/>
        <v>75629.031415875957</v>
      </c>
      <c r="AR53" s="2394">
        <f t="shared" ca="1" si="24"/>
        <v>72057.015526988849</v>
      </c>
      <c r="AS53" s="2394">
        <f t="shared" ca="1" si="24"/>
        <v>68345.02152885453</v>
      </c>
      <c r="AT53" s="2394">
        <f t="shared" ca="1" si="24"/>
        <v>64192.779637281266</v>
      </c>
      <c r="AU53" s="2394">
        <f t="shared" ca="1" si="24"/>
        <v>60577.042479855096</v>
      </c>
      <c r="AV53" s="2394">
        <f t="shared" ca="1" si="24"/>
        <v>56559.589407145351</v>
      </c>
      <c r="AW53" s="2394">
        <f t="shared" ca="1" si="24"/>
        <v>51972.62035879524</v>
      </c>
      <c r="AX53" s="2394">
        <f t="shared" ca="1" si="24"/>
        <v>47867.00876723</v>
      </c>
      <c r="AY53" s="2394">
        <f t="shared" ca="1" si="24"/>
        <v>43365.644004963797</v>
      </c>
      <c r="AZ53" s="2394">
        <f t="shared" ca="1" si="24"/>
        <v>38533.517518784116</v>
      </c>
      <c r="BA53" s="2394">
        <f t="shared" ca="1" si="24"/>
        <v>34006.324513951367</v>
      </c>
      <c r="BB53" s="2394">
        <f t="shared" ca="1" si="24"/>
        <v>29505.213321999563</v>
      </c>
      <c r="BC53" s="2394">
        <f t="shared" ca="1" si="24"/>
        <v>27248.515048886173</v>
      </c>
      <c r="BD53" s="2394">
        <f t="shared" ca="1" si="24"/>
        <v>25571.1288050894</v>
      </c>
      <c r="BE53" s="2394">
        <f t="shared" ca="1" si="24"/>
        <v>21988.507208278912</v>
      </c>
      <c r="BF53" s="2394">
        <f t="shared" ca="1" si="24"/>
        <v>18067.965147386018</v>
      </c>
      <c r="BG53" s="2394">
        <f t="shared" ca="1" si="24"/>
        <v>14701.31239925298</v>
      </c>
      <c r="BH53" s="2394">
        <f t="shared" ca="1" si="24"/>
        <v>11391.919109765337</v>
      </c>
      <c r="BI53" s="2394">
        <f t="shared" ca="1" si="24"/>
        <v>7942.5129628942932</v>
      </c>
      <c r="BJ53" s="2394">
        <f t="shared" ca="1" si="24"/>
        <v>4942.2273190063879</v>
      </c>
      <c r="BK53" s="2394">
        <f t="shared" ca="1" si="24"/>
        <v>2547.1351242322007</v>
      </c>
      <c r="BL53" s="2394">
        <f t="shared" ca="1" si="24"/>
        <v>856.87256415832474</v>
      </c>
      <c r="BM53" s="2394">
        <f t="shared" ca="1" si="24"/>
        <v>82.102296710036242</v>
      </c>
      <c r="BN53" s="2394">
        <f t="shared" ca="1" si="24"/>
        <v>0</v>
      </c>
    </row>
    <row r="54" spans="3:66">
      <c r="C54" s="2466"/>
      <c r="D54" s="2476" t="s">
        <v>3940</v>
      </c>
      <c r="E54" s="2356"/>
      <c r="F54" s="2356"/>
      <c r="G54" s="2446"/>
      <c r="H54" s="2477"/>
      <c r="I54" s="2358"/>
      <c r="J54" s="2478">
        <f t="shared" ref="J54:BN54" si="25">SUM(J48,J53)</f>
        <v>0</v>
      </c>
      <c r="K54" s="2357">
        <f t="shared" si="25"/>
        <v>0</v>
      </c>
      <c r="L54" s="2479">
        <f t="shared" si="25"/>
        <v>0</v>
      </c>
      <c r="M54" s="2478">
        <f t="shared" si="25"/>
        <v>0</v>
      </c>
      <c r="N54" s="2357">
        <f t="shared" si="25"/>
        <v>0</v>
      </c>
      <c r="O54" s="2479">
        <f t="shared" si="25"/>
        <v>0</v>
      </c>
      <c r="P54" s="2357">
        <f t="shared" si="25"/>
        <v>2479.2484079162741</v>
      </c>
      <c r="Q54" s="2477">
        <f t="shared" si="25"/>
        <v>7105.6134163430233</v>
      </c>
      <c r="R54" s="2478">
        <f t="shared" si="25"/>
        <v>11487.373315367411</v>
      </c>
      <c r="S54" s="2357">
        <f t="shared" si="25"/>
        <v>15200.430716715877</v>
      </c>
      <c r="T54" s="2477">
        <f t="shared" si="25"/>
        <v>200432.13818734471</v>
      </c>
      <c r="U54" s="2480">
        <f t="shared" si="25"/>
        <v>199545.69069608155</v>
      </c>
      <c r="V54" s="2480">
        <f t="shared" si="25"/>
        <v>194488.25873666679</v>
      </c>
      <c r="W54" s="2480">
        <f t="shared" si="25"/>
        <v>188992.13799200533</v>
      </c>
      <c r="X54" s="2480">
        <f t="shared" si="25"/>
        <v>185074.69525535207</v>
      </c>
      <c r="Y54" s="2480">
        <f t="shared" si="25"/>
        <v>182577.44010585587</v>
      </c>
      <c r="Z54" s="2480">
        <f t="shared" si="25"/>
        <v>179342.5529278458</v>
      </c>
      <c r="AA54" s="2480">
        <f t="shared" si="25"/>
        <v>186035.80088636861</v>
      </c>
      <c r="AB54" s="2480">
        <f t="shared" si="25"/>
        <v>184037.60476005971</v>
      </c>
      <c r="AC54" s="2480">
        <f ca="1">SUM(AC48,AC53)</f>
        <v>170476.12126252061</v>
      </c>
      <c r="AD54" s="2480">
        <f t="shared" ca="1" si="25"/>
        <v>165740.56816320214</v>
      </c>
      <c r="AE54" s="2480">
        <f t="shared" ca="1" si="25"/>
        <v>164363.02939435892</v>
      </c>
      <c r="AF54" s="2480">
        <f t="shared" ca="1" si="25"/>
        <v>163722.61864978581</v>
      </c>
      <c r="AG54" s="2480">
        <f t="shared" ca="1" si="25"/>
        <v>148800.48666972871</v>
      </c>
      <c r="AH54" s="2480">
        <f ca="1">SUM(AH48,AH53)</f>
        <v>129487.25049609528</v>
      </c>
      <c r="AI54" s="2480">
        <f t="shared" ca="1" si="25"/>
        <v>122944.00230077436</v>
      </c>
      <c r="AJ54" s="2480">
        <f t="shared" ca="1" si="25"/>
        <v>123403.3397445415</v>
      </c>
      <c r="AK54" s="2480">
        <f t="shared" ca="1" si="25"/>
        <v>122866.80828850986</v>
      </c>
      <c r="AL54" s="2480">
        <f t="shared" ca="1" si="25"/>
        <v>122207.08360684452</v>
      </c>
      <c r="AM54" s="2480">
        <f t="shared" ca="1" si="25"/>
        <v>121140.49001284249</v>
      </c>
      <c r="AN54" s="2480">
        <f t="shared" ca="1" si="25"/>
        <v>119016.96301926405</v>
      </c>
      <c r="AO54" s="2480">
        <f t="shared" ca="1" si="25"/>
        <v>115899.41657324179</v>
      </c>
      <c r="AP54" s="2480">
        <f t="shared" ca="1" si="25"/>
        <v>111727.33621377396</v>
      </c>
      <c r="AQ54" s="2480">
        <f t="shared" ca="1" si="25"/>
        <v>106907.70152781249</v>
      </c>
      <c r="AR54" s="2480">
        <f t="shared" ca="1" si="25"/>
        <v>102730.74876759821</v>
      </c>
      <c r="AS54" s="2480">
        <f t="shared" ca="1" si="25"/>
        <v>98388.494654205948</v>
      </c>
      <c r="AT54" s="2480">
        <f t="shared" ca="1" si="25"/>
        <v>93585.138703652134</v>
      </c>
      <c r="AU54" s="2480">
        <f t="shared" ca="1" si="25"/>
        <v>89301.495589268277</v>
      </c>
      <c r="AV54" s="2480">
        <f t="shared" ca="1" si="25"/>
        <v>84603.030318799327</v>
      </c>
      <c r="AW54" s="2480">
        <f t="shared" ca="1" si="25"/>
        <v>79325.280824988018</v>
      </c>
      <c r="AX54" s="2480">
        <f t="shared" ca="1" si="25"/>
        <v>74522.137593399035</v>
      </c>
      <c r="AY54" s="2480">
        <f t="shared" ca="1" si="25"/>
        <v>69319.210965512932</v>
      </c>
      <c r="AZ54" s="2480">
        <f t="shared" ca="1" si="25"/>
        <v>63783.940384001238</v>
      </c>
      <c r="BA54" s="2480">
        <f t="shared" ca="1" si="25"/>
        <v>58554.217559061217</v>
      </c>
      <c r="BB54" s="2480">
        <f t="shared" ca="1" si="25"/>
        <v>53353.155797734682</v>
      </c>
      <c r="BC54" s="2480">
        <f t="shared" ca="1" si="25"/>
        <v>50400.838194358286</v>
      </c>
      <c r="BD54" s="2480">
        <f t="shared" ca="1" si="25"/>
        <v>48033.720078635233</v>
      </c>
      <c r="BE54" s="2480">
        <f t="shared" ca="1" si="25"/>
        <v>43768.630500746134</v>
      </c>
      <c r="BF54" s="2480">
        <f t="shared" ca="1" si="25"/>
        <v>39174.095825397591</v>
      </c>
      <c r="BG54" s="2480">
        <f t="shared" ca="1" si="25"/>
        <v>35142.986103700328</v>
      </c>
      <c r="BH54" s="2480">
        <f t="shared" ca="1" si="25"/>
        <v>31179.593307468174</v>
      </c>
      <c r="BI54" s="2480">
        <f t="shared" ca="1" si="25"/>
        <v>27087.440317344568</v>
      </c>
      <c r="BJ54" s="2480">
        <f t="shared" ca="1" si="25"/>
        <v>23456.340009679414</v>
      </c>
      <c r="BK54" s="2480">
        <f t="shared" ca="1" si="25"/>
        <v>20442.939303380757</v>
      </c>
      <c r="BL54" s="2480">
        <f t="shared" ca="1" si="25"/>
        <v>18147.352195562631</v>
      </c>
      <c r="BM54" s="2480">
        <f t="shared" ca="1" si="25"/>
        <v>16780.631672786185</v>
      </c>
      <c r="BN54" s="2480">
        <f t="shared" ca="1" si="25"/>
        <v>16533.71640456461</v>
      </c>
    </row>
    <row r="55" spans="3:66">
      <c r="C55" s="2466"/>
      <c r="D55" s="2476" t="s">
        <v>3941</v>
      </c>
      <c r="E55" s="2356"/>
      <c r="F55" s="2356"/>
      <c r="G55" s="2446"/>
      <c r="H55" s="2477"/>
      <c r="I55" s="2358"/>
      <c r="J55" s="2478">
        <f t="shared" ref="J55:BN55" si="26">J46</f>
        <v>0</v>
      </c>
      <c r="K55" s="2357">
        <f t="shared" si="26"/>
        <v>0</v>
      </c>
      <c r="L55" s="2479">
        <f t="shared" si="26"/>
        <v>0</v>
      </c>
      <c r="M55" s="2478">
        <f t="shared" si="26"/>
        <v>0</v>
      </c>
      <c r="N55" s="2357">
        <f t="shared" si="26"/>
        <v>0</v>
      </c>
      <c r="O55" s="2479">
        <f t="shared" si="26"/>
        <v>0</v>
      </c>
      <c r="P55" s="2357">
        <f t="shared" si="26"/>
        <v>245903.71437213043</v>
      </c>
      <c r="Q55" s="2477">
        <f t="shared" si="26"/>
        <v>236206.63906786914</v>
      </c>
      <c r="R55" s="2478">
        <f t="shared" si="26"/>
        <v>229370.41904316767</v>
      </c>
      <c r="S55" s="2357">
        <f t="shared" si="26"/>
        <v>216894.33978112959</v>
      </c>
      <c r="T55" s="2477">
        <f t="shared" si="26"/>
        <v>204507.6809792904</v>
      </c>
      <c r="U55" s="2480">
        <f t="shared" si="26"/>
        <v>192251.8013002236</v>
      </c>
      <c r="V55" s="2480">
        <f t="shared" si="26"/>
        <v>181251.78151739587</v>
      </c>
      <c r="W55" s="2480">
        <f t="shared" si="26"/>
        <v>171233.15436507246</v>
      </c>
      <c r="X55" s="2480">
        <f t="shared" si="26"/>
        <v>161889.32188946792</v>
      </c>
      <c r="Y55" s="2480">
        <f t="shared" si="26"/>
        <v>152917.57052441276</v>
      </c>
      <c r="Z55" s="2480">
        <f t="shared" si="26"/>
        <v>143612.00986104054</v>
      </c>
      <c r="AA55" s="2480">
        <f t="shared" si="26"/>
        <v>134704.3832317077</v>
      </c>
      <c r="AB55" s="2480">
        <f t="shared" si="26"/>
        <v>130224.79550104965</v>
      </c>
      <c r="AC55" s="2480">
        <f t="shared" ca="1" si="26"/>
        <v>123225.9433199433</v>
      </c>
      <c r="AD55" s="2480">
        <f t="shared" ca="1" si="26"/>
        <v>116603.24017915227</v>
      </c>
      <c r="AE55" s="2480">
        <f t="shared" ca="1" si="26"/>
        <v>110336.47017800187</v>
      </c>
      <c r="AF55" s="2480">
        <f t="shared" ca="1" si="26"/>
        <v>104406.50390706492</v>
      </c>
      <c r="AG55" s="2480">
        <f t="shared" ca="1" si="26"/>
        <v>98795.24005535277</v>
      </c>
      <c r="AH55" s="2480">
        <f t="shared" ca="1" si="26"/>
        <v>93485.550155791701</v>
      </c>
      <c r="AI55" s="2480">
        <f t="shared" ca="1" si="26"/>
        <v>88461.226300320457</v>
      </c>
      <c r="AJ55" s="2480">
        <f t="shared" ca="1" si="26"/>
        <v>83706.931665007738</v>
      </c>
      <c r="AK55" s="2480">
        <f t="shared" ca="1" si="26"/>
        <v>79208.153694167006</v>
      </c>
      <c r="AL55" s="2480">
        <f t="shared" ca="1" si="26"/>
        <v>74951.159800562775</v>
      </c>
      <c r="AM55" s="2480">
        <f t="shared" ca="1" si="26"/>
        <v>70922.955446481894</v>
      </c>
      <c r="AN55" s="2480">
        <f t="shared" ca="1" si="26"/>
        <v>67111.24447771236</v>
      </c>
      <c r="AO55" s="2480">
        <f t="shared" ca="1" si="26"/>
        <v>63504.39158934819</v>
      </c>
      <c r="AP55" s="2480">
        <f t="shared" ca="1" si="26"/>
        <v>60091.386808846451</v>
      </c>
      <c r="AQ55" s="2480">
        <f t="shared" ca="1" si="26"/>
        <v>56861.811887921271</v>
      </c>
      <c r="AR55" s="2480">
        <f t="shared" ca="1" si="26"/>
        <v>53805.808500684419</v>
      </c>
      <c r="AS55" s="2480">
        <f t="shared" ca="1" si="26"/>
        <v>50914.048150957693</v>
      </c>
      <c r="AT55" s="2480">
        <f t="shared" ca="1" si="26"/>
        <v>48177.703696898541</v>
      </c>
      <c r="AU55" s="2480">
        <f t="shared" ca="1" si="26"/>
        <v>45588.422406017096</v>
      </c>
      <c r="AV55" s="2480">
        <f t="shared" ca="1" si="26"/>
        <v>43138.300458334881</v>
      </c>
      <c r="AW55" s="2480">
        <f t="shared" ca="1" si="26"/>
        <v>40819.85881985593</v>
      </c>
      <c r="AX55" s="2480">
        <f t="shared" ca="1" si="26"/>
        <v>38626.020412703278</v>
      </c>
      <c r="AY55" s="2480">
        <f t="shared" ca="1" si="26"/>
        <v>36550.088512232556</v>
      </c>
      <c r="AZ55" s="2480">
        <f t="shared" ca="1" si="26"/>
        <v>34585.72630517956</v>
      </c>
      <c r="BA55" s="2480">
        <f t="shared" ca="1" si="26"/>
        <v>32726.937546442747</v>
      </c>
      <c r="BB55" s="2480">
        <f t="shared" ca="1" si="26"/>
        <v>30968.048255455098</v>
      </c>
      <c r="BC55" s="2480">
        <f t="shared" ca="1" si="26"/>
        <v>29303.689396273396</v>
      </c>
      <c r="BD55" s="2480">
        <f t="shared" ca="1" si="26"/>
        <v>27728.780488515389</v>
      </c>
      <c r="BE55" s="2480">
        <f t="shared" ca="1" si="26"/>
        <v>26238.514099117219</v>
      </c>
      <c r="BF55" s="2480">
        <f t="shared" ca="1" si="26"/>
        <v>24828.341167571951</v>
      </c>
      <c r="BG55" s="2480">
        <f t="shared" ca="1" si="26"/>
        <v>23493.957119854156</v>
      </c>
      <c r="BH55" s="2480">
        <f t="shared" ca="1" si="26"/>
        <v>22231.288728642998</v>
      </c>
      <c r="BI55" s="2480">
        <f t="shared" ca="1" si="26"/>
        <v>21036.481679734938</v>
      </c>
      <c r="BJ55" s="2480">
        <f t="shared" ca="1" si="26"/>
        <v>19905.888806691575</v>
      </c>
      <c r="BK55" s="2480">
        <f t="shared" ca="1" si="26"/>
        <v>18836.05895780963</v>
      </c>
      <c r="BL55" s="2480">
        <f t="shared" ca="1" si="26"/>
        <v>17823.72646142841</v>
      </c>
      <c r="BM55" s="2480">
        <f t="shared" ca="1" si="26"/>
        <v>16865.801157418213</v>
      </c>
      <c r="BN55" s="2480">
        <f t="shared" ca="1" si="26"/>
        <v>16533.71640456461</v>
      </c>
    </row>
    <row r="56" spans="3:66">
      <c r="C56" s="2491"/>
      <c r="D56" s="2492" t="s">
        <v>3942</v>
      </c>
      <c r="E56" s="2424"/>
      <c r="F56" s="2424"/>
      <c r="G56" s="2493"/>
      <c r="H56" s="2494"/>
      <c r="I56" s="2358"/>
      <c r="J56" s="2495">
        <f t="shared" ref="J56:X57" si="27">MAX(J54,J55)</f>
        <v>0</v>
      </c>
      <c r="K56" s="2496">
        <f t="shared" si="27"/>
        <v>0</v>
      </c>
      <c r="L56" s="2497">
        <f t="shared" si="27"/>
        <v>0</v>
      </c>
      <c r="M56" s="2495">
        <f t="shared" si="27"/>
        <v>0</v>
      </c>
      <c r="N56" s="2496">
        <f t="shared" si="27"/>
        <v>0</v>
      </c>
      <c r="O56" s="2497">
        <f t="shared" si="27"/>
        <v>0</v>
      </c>
      <c r="P56" s="2496">
        <f t="shared" si="27"/>
        <v>245903.71437213043</v>
      </c>
      <c r="Q56" s="2494">
        <f t="shared" si="27"/>
        <v>236206.63906786914</v>
      </c>
      <c r="R56" s="2495">
        <f t="shared" si="27"/>
        <v>229370.41904316767</v>
      </c>
      <c r="S56" s="2496">
        <f t="shared" si="27"/>
        <v>216894.33978112959</v>
      </c>
      <c r="T56" s="2494">
        <f t="shared" si="27"/>
        <v>204507.6809792904</v>
      </c>
      <c r="U56" s="2498">
        <f t="shared" si="27"/>
        <v>199545.69069608155</v>
      </c>
      <c r="V56" s="2498">
        <f t="shared" si="27"/>
        <v>194488.25873666679</v>
      </c>
      <c r="W56" s="2498">
        <f t="shared" si="27"/>
        <v>188992.13799200533</v>
      </c>
      <c r="X56" s="2498">
        <f t="shared" si="27"/>
        <v>185074.69525535207</v>
      </c>
      <c r="Y56" s="2498">
        <f t="shared" ref="Y56:BN56" si="28">CHOOSE($G$30,MAX(Y54,Y55),Y57)</f>
        <v>182577.44010585587</v>
      </c>
      <c r="Z56" s="2498">
        <f t="shared" si="28"/>
        <v>179342.5529278458</v>
      </c>
      <c r="AA56" s="2498">
        <f t="shared" si="28"/>
        <v>186035.80088636861</v>
      </c>
      <c r="AB56" s="2498">
        <f t="shared" si="28"/>
        <v>184037.60476005971</v>
      </c>
      <c r="AC56" s="2498">
        <f t="shared" ca="1" si="28"/>
        <v>170476.12126252061</v>
      </c>
      <c r="AD56" s="2498">
        <f t="shared" ca="1" si="28"/>
        <v>165740.56816320214</v>
      </c>
      <c r="AE56" s="2498">
        <f t="shared" ca="1" si="28"/>
        <v>164363.02939435892</v>
      </c>
      <c r="AF56" s="2498">
        <f t="shared" ca="1" si="28"/>
        <v>163722.61864978581</v>
      </c>
      <c r="AG56" s="2498">
        <f t="shared" ca="1" si="28"/>
        <v>148800.48666972871</v>
      </c>
      <c r="AH56" s="2498">
        <f t="shared" ca="1" si="28"/>
        <v>129487.25049609528</v>
      </c>
      <c r="AI56" s="2498">
        <f t="shared" ca="1" si="28"/>
        <v>122944.00230077436</v>
      </c>
      <c r="AJ56" s="2498">
        <f t="shared" ca="1" si="28"/>
        <v>123403.3397445415</v>
      </c>
      <c r="AK56" s="2498">
        <f t="shared" ca="1" si="28"/>
        <v>122866.80828850986</v>
      </c>
      <c r="AL56" s="2498">
        <f t="shared" ca="1" si="28"/>
        <v>122207.08360684452</v>
      </c>
      <c r="AM56" s="2498">
        <f t="shared" ca="1" si="28"/>
        <v>121140.49001284249</v>
      </c>
      <c r="AN56" s="2498">
        <f t="shared" ca="1" si="28"/>
        <v>119016.96301926405</v>
      </c>
      <c r="AO56" s="2498">
        <f t="shared" ca="1" si="28"/>
        <v>115899.41657324179</v>
      </c>
      <c r="AP56" s="2498">
        <f t="shared" ca="1" si="28"/>
        <v>111727.33621377396</v>
      </c>
      <c r="AQ56" s="2498">
        <f t="shared" ca="1" si="28"/>
        <v>106907.70152781249</v>
      </c>
      <c r="AR56" s="2498">
        <f t="shared" ca="1" si="28"/>
        <v>102730.74876759821</v>
      </c>
      <c r="AS56" s="2498">
        <f t="shared" ca="1" si="28"/>
        <v>98388.494654205948</v>
      </c>
      <c r="AT56" s="2498">
        <f t="shared" ca="1" si="28"/>
        <v>93585.138703652134</v>
      </c>
      <c r="AU56" s="2498">
        <f t="shared" ca="1" si="28"/>
        <v>89301.495589268277</v>
      </c>
      <c r="AV56" s="2498">
        <f t="shared" ca="1" si="28"/>
        <v>84603.030318799327</v>
      </c>
      <c r="AW56" s="2498">
        <f t="shared" ca="1" si="28"/>
        <v>79325.280824988018</v>
      </c>
      <c r="AX56" s="2498">
        <f t="shared" ca="1" si="28"/>
        <v>74522.137593399035</v>
      </c>
      <c r="AY56" s="2498">
        <f t="shared" ca="1" si="28"/>
        <v>69319.210965512932</v>
      </c>
      <c r="AZ56" s="2498">
        <f t="shared" ca="1" si="28"/>
        <v>63783.940384001238</v>
      </c>
      <c r="BA56" s="2498">
        <f t="shared" ca="1" si="28"/>
        <v>58554.217559061217</v>
      </c>
      <c r="BB56" s="2498">
        <f t="shared" ca="1" si="28"/>
        <v>53353.155797734682</v>
      </c>
      <c r="BC56" s="2498">
        <f t="shared" ca="1" si="28"/>
        <v>50400.838194358286</v>
      </c>
      <c r="BD56" s="2498">
        <f t="shared" ca="1" si="28"/>
        <v>48033.720078635233</v>
      </c>
      <c r="BE56" s="2498">
        <f t="shared" ca="1" si="28"/>
        <v>43768.630500746134</v>
      </c>
      <c r="BF56" s="2498">
        <f t="shared" ca="1" si="28"/>
        <v>39174.095825397591</v>
      </c>
      <c r="BG56" s="2498">
        <f t="shared" ca="1" si="28"/>
        <v>35142.986103700328</v>
      </c>
      <c r="BH56" s="2498">
        <f t="shared" ca="1" si="28"/>
        <v>31179.593307468174</v>
      </c>
      <c r="BI56" s="2498">
        <f t="shared" ca="1" si="28"/>
        <v>27087.440317344568</v>
      </c>
      <c r="BJ56" s="2498">
        <f t="shared" ca="1" si="28"/>
        <v>23456.340009679414</v>
      </c>
      <c r="BK56" s="2498">
        <f t="shared" ca="1" si="28"/>
        <v>20442.939303380757</v>
      </c>
      <c r="BL56" s="2498">
        <f t="shared" ca="1" si="28"/>
        <v>18147.352195562631</v>
      </c>
      <c r="BM56" s="2498">
        <f t="shared" ca="1" si="28"/>
        <v>16865.801157418213</v>
      </c>
      <c r="BN56" s="2498">
        <f t="shared" ca="1" si="28"/>
        <v>16533.71640456461</v>
      </c>
    </row>
    <row r="57" spans="3:66">
      <c r="C57" s="2491"/>
      <c r="D57" s="2492" t="s">
        <v>3943</v>
      </c>
      <c r="E57" s="2424"/>
      <c r="F57" s="2424"/>
      <c r="G57" s="2499">
        <v>1</v>
      </c>
      <c r="H57" s="2494"/>
      <c r="I57" s="2358"/>
      <c r="J57" s="2495">
        <f t="shared" si="27"/>
        <v>0</v>
      </c>
      <c r="K57" s="2496">
        <f t="shared" si="27"/>
        <v>0</v>
      </c>
      <c r="L57" s="2497">
        <f t="shared" si="27"/>
        <v>0</v>
      </c>
      <c r="M57" s="2495">
        <f t="shared" si="27"/>
        <v>0</v>
      </c>
      <c r="N57" s="2496">
        <f t="shared" si="27"/>
        <v>0</v>
      </c>
      <c r="O57" s="2497">
        <f t="shared" si="27"/>
        <v>0</v>
      </c>
      <c r="P57" s="2496">
        <f t="shared" ref="P57:X57" si="29">P$34*P$47+P$35*P$50*P$52*$G57</f>
        <v>1861.0062404345053</v>
      </c>
      <c r="Q57" s="2494">
        <f t="shared" si="29"/>
        <v>5333.7095499210191</v>
      </c>
      <c r="R57" s="2495">
        <f t="shared" si="29"/>
        <v>8622.8041360595744</v>
      </c>
      <c r="S57" s="2496">
        <f t="shared" si="29"/>
        <v>11409.948406451049</v>
      </c>
      <c r="T57" s="2494">
        <f t="shared" si="29"/>
        <v>195838.1788326583</v>
      </c>
      <c r="U57" s="2498">
        <f t="shared" si="29"/>
        <v>194268.21714397558</v>
      </c>
      <c r="V57" s="2498">
        <f t="shared" si="29"/>
        <v>188608.78154795646</v>
      </c>
      <c r="W57" s="2498">
        <f t="shared" si="29"/>
        <v>182583.64962173477</v>
      </c>
      <c r="X57" s="2498">
        <f t="shared" si="29"/>
        <v>178208.50824798603</v>
      </c>
      <c r="Y57" s="2498">
        <f>Y$34*Y$47+Y$35*Y$50*Y$52*$G57</f>
        <v>175329.1194019127</v>
      </c>
      <c r="Z57" s="2498">
        <f t="shared" ref="Z57:BN57" si="30">Z$34*Z$47+Z$35*Z$50*Z$52*$G57</f>
        <v>171819.07623417675</v>
      </c>
      <c r="AA57" s="2498">
        <f t="shared" si="30"/>
        <v>178307.1567004908</v>
      </c>
      <c r="AB57" s="2498">
        <f t="shared" si="30"/>
        <v>175916.5015291817</v>
      </c>
      <c r="AC57" s="2498">
        <f t="shared" ca="1" si="30"/>
        <v>162176.91266062696</v>
      </c>
      <c r="AD57" s="2498">
        <f t="shared" ca="1" si="30"/>
        <v>157305.85599660821</v>
      </c>
      <c r="AE57" s="2498">
        <f t="shared" ca="1" si="30"/>
        <v>155831.35070334471</v>
      </c>
      <c r="AF57" s="2498">
        <f t="shared" ca="1" si="30"/>
        <v>155128.75957174733</v>
      </c>
      <c r="AG57" s="2498">
        <f t="shared" ca="1" si="30"/>
        <v>140175.77430647405</v>
      </c>
      <c r="AH57" s="2498">
        <f t="shared" ca="1" si="30"/>
        <v>120859.82424301196</v>
      </c>
      <c r="AI57" s="2498">
        <f t="shared" ca="1" si="30"/>
        <v>114339.06600243977</v>
      </c>
      <c r="AJ57" s="2498">
        <f t="shared" ca="1" si="30"/>
        <v>114843.39595399493</v>
      </c>
      <c r="AK57" s="2498">
        <f t="shared" ca="1" si="30"/>
        <v>114371.87582550092</v>
      </c>
      <c r="AL57" s="2498">
        <f t="shared" ca="1" si="30"/>
        <v>113794.89953358177</v>
      </c>
      <c r="AM57" s="2498">
        <f t="shared" ca="1" si="30"/>
        <v>112826.69707377833</v>
      </c>
      <c r="AN57" s="2498">
        <f t="shared" ca="1" si="30"/>
        <v>110815.28352396991</v>
      </c>
      <c r="AO57" s="2498">
        <f t="shared" ca="1" si="30"/>
        <v>107821.81363817705</v>
      </c>
      <c r="AP57" s="2498">
        <f t="shared" ca="1" si="30"/>
        <v>103784.16321947245</v>
      </c>
      <c r="AQ57" s="2498">
        <f t="shared" ca="1" si="30"/>
        <v>99107.840592456021</v>
      </c>
      <c r="AR57" s="2498">
        <f t="shared" ca="1" si="30"/>
        <v>95081.738985891672</v>
      </c>
      <c r="AS57" s="2498">
        <f t="shared" ca="1" si="30"/>
        <v>90896.650801694021</v>
      </c>
      <c r="AT57" s="2498">
        <f t="shared" ca="1" si="30"/>
        <v>86255.66106092243</v>
      </c>
      <c r="AU57" s="2498">
        <f t="shared" ca="1" si="30"/>
        <v>82138.571497681332</v>
      </c>
      <c r="AV57" s="2498">
        <f t="shared" ca="1" si="30"/>
        <v>77609.92803929052</v>
      </c>
      <c r="AW57" s="2498">
        <f t="shared" ca="1" si="30"/>
        <v>72504.436233935237</v>
      </c>
      <c r="AX57" s="2498">
        <f t="shared" ca="1" si="30"/>
        <v>67875.23421438392</v>
      </c>
      <c r="AY57" s="2498">
        <f t="shared" ca="1" si="30"/>
        <v>62847.253802874708</v>
      </c>
      <c r="AZ57" s="2498">
        <f t="shared" ca="1" si="30"/>
        <v>57487.323993252605</v>
      </c>
      <c r="BA57" s="2498">
        <f t="shared" ca="1" si="30"/>
        <v>52432.7887603735</v>
      </c>
      <c r="BB57" s="2498">
        <f t="shared" ca="1" si="30"/>
        <v>47406.271411683723</v>
      </c>
      <c r="BC57" s="2498">
        <f t="shared" ca="1" si="30"/>
        <v>44627.418153836727</v>
      </c>
      <c r="BD57" s="2498">
        <f t="shared" ca="1" si="30"/>
        <v>42432.296247174199</v>
      </c>
      <c r="BE57" s="2498">
        <f t="shared" ca="1" si="30"/>
        <v>38337.391505347397</v>
      </c>
      <c r="BF57" s="2498">
        <f t="shared" ca="1" si="30"/>
        <v>33910.928191261941</v>
      </c>
      <c r="BG57" s="2498">
        <f t="shared" ca="1" si="30"/>
        <v>30045.511958858879</v>
      </c>
      <c r="BH57" s="2498">
        <f t="shared" ca="1" si="30"/>
        <v>26245.204907197825</v>
      </c>
      <c r="BI57" s="2498">
        <f t="shared" ca="1" si="30"/>
        <v>22313.331621296551</v>
      </c>
      <c r="BJ57" s="2498">
        <f t="shared" ca="1" si="30"/>
        <v>18839.535528799046</v>
      </c>
      <c r="BK57" s="2498">
        <f t="shared" ca="1" si="30"/>
        <v>15980.320418875741</v>
      </c>
      <c r="BL57" s="2498">
        <f t="shared" ca="1" si="30"/>
        <v>13835.68113832346</v>
      </c>
      <c r="BM57" s="2498">
        <f t="shared" ca="1" si="30"/>
        <v>12616.573338712171</v>
      </c>
      <c r="BN57" s="2498">
        <f t="shared" ca="1" si="30"/>
        <v>12410.756948848672</v>
      </c>
    </row>
    <row r="59" spans="3:66" outlineLevel="1">
      <c r="C59" s="2500" t="s">
        <v>3944</v>
      </c>
      <c r="D59" s="2501"/>
      <c r="E59" s="2501"/>
      <c r="F59" s="2501"/>
      <c r="P59" s="2502"/>
      <c r="Q59" s="2503"/>
      <c r="R59" s="2503"/>
    </row>
    <row r="60" spans="3:66" outlineLevel="1"/>
    <row r="61" spans="3:66" outlineLevel="1">
      <c r="C61" s="2348" t="s">
        <v>3945</v>
      </c>
    </row>
    <row r="62" spans="3:66" outlineLevel="1">
      <c r="P62" s="2504"/>
      <c r="Q62" s="2504"/>
    </row>
    <row r="63" spans="3:66" outlineLevel="1">
      <c r="J63" s="2505">
        <v>2003</v>
      </c>
      <c r="K63" s="2506">
        <v>2003</v>
      </c>
      <c r="L63" s="2506">
        <v>2003</v>
      </c>
      <c r="M63" s="2507">
        <v>2003</v>
      </c>
      <c r="N63" s="2505">
        <v>2004</v>
      </c>
      <c r="O63" s="2506">
        <v>2004</v>
      </c>
      <c r="P63" s="2506">
        <v>2004</v>
      </c>
      <c r="Q63" s="2508">
        <v>2004</v>
      </c>
      <c r="R63" s="2509">
        <v>2005</v>
      </c>
      <c r="S63" s="2506">
        <v>2005</v>
      </c>
      <c r="T63" s="2506">
        <v>2005</v>
      </c>
      <c r="U63" s="2507">
        <v>2005</v>
      </c>
      <c r="V63" s="2505">
        <v>2006</v>
      </c>
      <c r="W63" s="2506">
        <v>2006</v>
      </c>
      <c r="X63" s="2506">
        <v>2006</v>
      </c>
      <c r="Y63" s="2508">
        <v>2006</v>
      </c>
      <c r="Z63" s="2509">
        <v>2007</v>
      </c>
      <c r="AA63" s="2506">
        <v>2007</v>
      </c>
      <c r="AB63" s="2506">
        <v>2007</v>
      </c>
      <c r="AC63" s="2507">
        <v>2007</v>
      </c>
      <c r="AD63" s="2505">
        <v>2008</v>
      </c>
      <c r="AE63" s="2506">
        <v>2008</v>
      </c>
      <c r="AF63" s="2506">
        <v>2008</v>
      </c>
      <c r="AG63" s="2508">
        <v>2008</v>
      </c>
      <c r="AH63" s="2505">
        <v>2009</v>
      </c>
      <c r="AI63" s="2506">
        <v>2009</v>
      </c>
      <c r="AJ63" s="2506">
        <v>2009</v>
      </c>
      <c r="AK63" s="2508">
        <v>2009</v>
      </c>
    </row>
    <row r="64" spans="3:66" outlineLevel="1">
      <c r="C64" s="2510" t="s">
        <v>11</v>
      </c>
      <c r="D64" s="2511"/>
      <c r="E64" s="2511"/>
      <c r="F64" s="2511"/>
      <c r="G64" s="2512"/>
      <c r="H64" s="2512" t="s">
        <v>40</v>
      </c>
      <c r="J64" s="2513">
        <v>1</v>
      </c>
      <c r="K64" s="2514">
        <v>2</v>
      </c>
      <c r="L64" s="2514">
        <v>3</v>
      </c>
      <c r="M64" s="2515">
        <v>4</v>
      </c>
      <c r="N64" s="2513">
        <v>1</v>
      </c>
      <c r="O64" s="2514">
        <v>2</v>
      </c>
      <c r="P64" s="2514">
        <v>3</v>
      </c>
      <c r="Q64" s="2515">
        <v>4</v>
      </c>
      <c r="R64" s="2513">
        <v>1</v>
      </c>
      <c r="S64" s="2514">
        <v>2</v>
      </c>
      <c r="T64" s="2514">
        <v>3</v>
      </c>
      <c r="U64" s="2515">
        <v>4</v>
      </c>
      <c r="V64" s="2513">
        <v>1</v>
      </c>
      <c r="W64" s="2514">
        <v>2</v>
      </c>
      <c r="X64" s="2514">
        <v>3</v>
      </c>
      <c r="Y64" s="2515">
        <v>4</v>
      </c>
      <c r="Z64" s="2513">
        <v>1</v>
      </c>
      <c r="AA64" s="2514">
        <v>2</v>
      </c>
      <c r="AB64" s="2514">
        <v>3</v>
      </c>
      <c r="AC64" s="2515">
        <v>4</v>
      </c>
      <c r="AD64" s="2513">
        <v>1</v>
      </c>
      <c r="AE64" s="2514">
        <v>2</v>
      </c>
      <c r="AF64" s="2514">
        <v>3</v>
      </c>
      <c r="AG64" s="2515">
        <v>4</v>
      </c>
      <c r="AH64" s="2513">
        <v>1</v>
      </c>
      <c r="AI64" s="2514">
        <v>2</v>
      </c>
      <c r="AJ64" s="2514">
        <v>3</v>
      </c>
      <c r="AK64" s="2515">
        <v>4</v>
      </c>
    </row>
    <row r="65" spans="3:37" outlineLevel="1">
      <c r="C65" s="2354"/>
      <c r="D65" s="2348" t="s">
        <v>3946</v>
      </c>
      <c r="G65" s="2516">
        <f>H65-$H$19</f>
        <v>0</v>
      </c>
      <c r="H65" s="2517">
        <f>SUM(J65:AK65)</f>
        <v>205118.76659655818</v>
      </c>
      <c r="J65" s="2518">
        <v>0</v>
      </c>
      <c r="K65" s="2519">
        <v>0</v>
      </c>
      <c r="L65" s="2519">
        <v>2393.0090441241896</v>
      </c>
      <c r="M65" s="2520">
        <v>5489.1880953490809</v>
      </c>
      <c r="N65" s="2518">
        <v>1060.3877162313115</v>
      </c>
      <c r="O65" s="2519">
        <v>5987.0940573733396</v>
      </c>
      <c r="P65" s="2519">
        <v>3734.9465462205612</v>
      </c>
      <c r="Q65" s="2520">
        <v>2995.4010936183126</v>
      </c>
      <c r="R65" s="2518">
        <v>6847.8663328448738</v>
      </c>
      <c r="S65" s="2519">
        <v>14217.89659421601</v>
      </c>
      <c r="T65" s="2519">
        <v>3761.4510464833324</v>
      </c>
      <c r="U65" s="2520">
        <v>7156.6675813751644</v>
      </c>
      <c r="V65" s="2518">
        <v>3536.6882392147218</v>
      </c>
      <c r="W65" s="2519">
        <v>2084.4415062290755</v>
      </c>
      <c r="X65" s="2519">
        <v>7875.1459526639092</v>
      </c>
      <c r="Y65" s="2520">
        <v>10391.545418215796</v>
      </c>
      <c r="Z65" s="2518">
        <v>7107.6529540117117</v>
      </c>
      <c r="AA65" s="2519">
        <v>11394.943407562469</v>
      </c>
      <c r="AB65" s="2519">
        <v>12605.457416925397</v>
      </c>
      <c r="AC65" s="2520">
        <v>14542.539145899496</v>
      </c>
      <c r="AD65" s="2518">
        <v>20453.001105194617</v>
      </c>
      <c r="AE65" s="2519">
        <v>18577.836926543598</v>
      </c>
      <c r="AF65" s="2519">
        <v>25869.659017439379</v>
      </c>
      <c r="AG65" s="2520">
        <v>17035.947398821816</v>
      </c>
      <c r="AH65" s="2518">
        <v>0</v>
      </c>
      <c r="AI65" s="2519">
        <v>0</v>
      </c>
      <c r="AJ65" s="2519">
        <v>0</v>
      </c>
      <c r="AK65" s="2520">
        <v>0</v>
      </c>
    </row>
    <row r="66" spans="3:37" outlineLevel="1">
      <c r="C66" s="2354"/>
      <c r="D66" s="2348" t="s">
        <v>3947</v>
      </c>
      <c r="G66" s="2516">
        <f>H66-$H$20</f>
        <v>0</v>
      </c>
      <c r="H66" s="2517">
        <f>SUM(J66:AK66)</f>
        <v>15903.097116257035</v>
      </c>
      <c r="J66" s="2518">
        <v>0</v>
      </c>
      <c r="K66" s="2519">
        <v>0</v>
      </c>
      <c r="L66" s="2519">
        <v>0</v>
      </c>
      <c r="M66" s="2520">
        <v>0</v>
      </c>
      <c r="N66" s="2518">
        <v>0</v>
      </c>
      <c r="O66" s="2519">
        <v>0</v>
      </c>
      <c r="P66" s="2519">
        <v>0</v>
      </c>
      <c r="Q66" s="2520">
        <v>0</v>
      </c>
      <c r="R66" s="2518">
        <v>0</v>
      </c>
      <c r="S66" s="2519">
        <v>0</v>
      </c>
      <c r="T66" s="2519">
        <v>0</v>
      </c>
      <c r="U66" s="2520">
        <v>0</v>
      </c>
      <c r="V66" s="2518">
        <v>62.060682040786773</v>
      </c>
      <c r="W66" s="2519">
        <v>154.89874832017321</v>
      </c>
      <c r="X66" s="2519">
        <v>209.61533785868644</v>
      </c>
      <c r="Y66" s="2520">
        <v>416.33791911611405</v>
      </c>
      <c r="Z66" s="2518">
        <v>689.11598634427867</v>
      </c>
      <c r="AA66" s="2519">
        <v>875.69187638708615</v>
      </c>
      <c r="AB66" s="2519">
        <v>1174.8091408356008</v>
      </c>
      <c r="AC66" s="2520">
        <v>1505.7023980298925</v>
      </c>
      <c r="AD66" s="2518">
        <v>1887.4440506097544</v>
      </c>
      <c r="AE66" s="2519">
        <v>2424.335329621113</v>
      </c>
      <c r="AF66" s="2519">
        <v>2912.0035489428828</v>
      </c>
      <c r="AG66" s="2520">
        <v>3591.0820981506663</v>
      </c>
      <c r="AH66" s="2518">
        <v>0</v>
      </c>
      <c r="AI66" s="2519">
        <v>0</v>
      </c>
      <c r="AJ66" s="2519">
        <v>0</v>
      </c>
      <c r="AK66" s="2520">
        <v>0</v>
      </c>
    </row>
    <row r="67" spans="3:37" outlineLevel="1">
      <c r="C67" s="2521"/>
      <c r="D67" s="2434" t="s">
        <v>3948</v>
      </c>
      <c r="E67" s="2434"/>
      <c r="F67" s="2434"/>
      <c r="G67" s="2522">
        <f>H67-$H$21</f>
        <v>0</v>
      </c>
      <c r="H67" s="2523">
        <f>SUM(J67:AK67)</f>
        <v>189215.66948030112</v>
      </c>
      <c r="J67" s="2524">
        <f t="shared" ref="J67:AK67" si="31">J65-J66</f>
        <v>0</v>
      </c>
      <c r="K67" s="2525">
        <f t="shared" si="31"/>
        <v>0</v>
      </c>
      <c r="L67" s="2525">
        <f t="shared" si="31"/>
        <v>2393.0090441241896</v>
      </c>
      <c r="M67" s="2526">
        <f t="shared" si="31"/>
        <v>5489.1880953490809</v>
      </c>
      <c r="N67" s="2524">
        <f t="shared" si="31"/>
        <v>1060.3877162313115</v>
      </c>
      <c r="O67" s="2525">
        <f t="shared" si="31"/>
        <v>5987.0940573733396</v>
      </c>
      <c r="P67" s="2525">
        <f t="shared" si="31"/>
        <v>3734.9465462205612</v>
      </c>
      <c r="Q67" s="2526">
        <f t="shared" si="31"/>
        <v>2995.4010936183126</v>
      </c>
      <c r="R67" s="2527">
        <f t="shared" si="31"/>
        <v>6847.8663328448738</v>
      </c>
      <c r="S67" s="2525">
        <f t="shared" si="31"/>
        <v>14217.89659421601</v>
      </c>
      <c r="T67" s="2525">
        <f t="shared" si="31"/>
        <v>3761.4510464833324</v>
      </c>
      <c r="U67" s="2526">
        <f t="shared" si="31"/>
        <v>7156.6675813751644</v>
      </c>
      <c r="V67" s="2524">
        <f t="shared" si="31"/>
        <v>3474.6275571739352</v>
      </c>
      <c r="W67" s="2525">
        <f t="shared" si="31"/>
        <v>1929.5427579089023</v>
      </c>
      <c r="X67" s="2525">
        <f t="shared" si="31"/>
        <v>7665.5306148052223</v>
      </c>
      <c r="Y67" s="2526">
        <f t="shared" si="31"/>
        <v>9975.2074990996807</v>
      </c>
      <c r="Z67" s="2524">
        <f t="shared" si="31"/>
        <v>6418.5369676674327</v>
      </c>
      <c r="AA67" s="2525">
        <f t="shared" si="31"/>
        <v>10519.251531175383</v>
      </c>
      <c r="AB67" s="2525">
        <f t="shared" si="31"/>
        <v>11430.648276089796</v>
      </c>
      <c r="AC67" s="2526">
        <f t="shared" si="31"/>
        <v>13036.836747869604</v>
      </c>
      <c r="AD67" s="2524">
        <f t="shared" si="31"/>
        <v>18565.55705458486</v>
      </c>
      <c r="AE67" s="2525">
        <f t="shared" si="31"/>
        <v>16153.501596922484</v>
      </c>
      <c r="AF67" s="2525">
        <f t="shared" si="31"/>
        <v>22957.655468496494</v>
      </c>
      <c r="AG67" s="2526">
        <f t="shared" si="31"/>
        <v>13444.86530067115</v>
      </c>
      <c r="AH67" s="2524">
        <f t="shared" si="31"/>
        <v>0</v>
      </c>
      <c r="AI67" s="2525">
        <f t="shared" si="31"/>
        <v>0</v>
      </c>
      <c r="AJ67" s="2525">
        <f t="shared" si="31"/>
        <v>0</v>
      </c>
      <c r="AK67" s="2526">
        <f t="shared" si="31"/>
        <v>0</v>
      </c>
    </row>
    <row r="68" spans="3:37" outlineLevel="1"/>
    <row r="69" spans="3:37" outlineLevel="1">
      <c r="C69" s="2348" t="s">
        <v>3949</v>
      </c>
    </row>
    <row r="70" spans="3:37" outlineLevel="1">
      <c r="J70" s="2528"/>
      <c r="K70" s="2528"/>
      <c r="L70" s="2528"/>
      <c r="M70" s="2528"/>
      <c r="N70" s="2528"/>
      <c r="O70" s="2528"/>
      <c r="P70" s="2528"/>
      <c r="Q70" s="2528"/>
      <c r="R70" s="2528"/>
      <c r="S70" s="2528"/>
      <c r="T70" s="2528"/>
      <c r="U70" s="2528"/>
      <c r="V70" s="2528"/>
      <c r="W70" s="2528"/>
      <c r="X70" s="2528"/>
      <c r="Y70" s="2528"/>
      <c r="Z70" s="2528"/>
      <c r="AA70" s="2528"/>
      <c r="AB70" s="2528"/>
      <c r="AC70" s="2528"/>
      <c r="AD70" s="2528"/>
      <c r="AE70" s="2528"/>
      <c r="AF70" s="2528"/>
      <c r="AG70" s="2528"/>
      <c r="AH70" s="2528"/>
      <c r="AI70" s="2528"/>
      <c r="AJ70" s="2528"/>
      <c r="AK70" s="2528"/>
    </row>
    <row r="71" spans="3:37" outlineLevel="1">
      <c r="E71" s="2529" t="s">
        <v>3950</v>
      </c>
      <c r="F71" s="2511"/>
      <c r="G71" s="2511"/>
      <c r="H71" s="2512"/>
      <c r="J71" s="2530">
        <v>2003</v>
      </c>
      <c r="K71" s="2531">
        <v>2004</v>
      </c>
      <c r="L71" s="2531">
        <v>2005</v>
      </c>
      <c r="M71" s="2531">
        <v>2006</v>
      </c>
      <c r="N71" s="2531">
        <v>2007</v>
      </c>
      <c r="O71" s="2531">
        <v>2008</v>
      </c>
      <c r="P71" s="2532">
        <v>2009</v>
      </c>
      <c r="Q71" s="2533"/>
      <c r="R71" s="2533"/>
      <c r="S71" s="2533"/>
      <c r="T71" s="2533"/>
      <c r="U71" s="2533"/>
      <c r="V71" s="2533"/>
      <c r="W71" s="2533"/>
      <c r="X71" s="2533"/>
      <c r="Y71" s="2533"/>
      <c r="Z71" s="2533"/>
      <c r="AA71" s="2533"/>
      <c r="AB71" s="2533"/>
      <c r="AC71" s="2533"/>
      <c r="AD71" s="2533"/>
      <c r="AE71" s="2533"/>
      <c r="AF71" s="2533"/>
      <c r="AG71" s="2533"/>
      <c r="AH71" s="2533"/>
      <c r="AI71" s="2533"/>
      <c r="AJ71" s="2533"/>
      <c r="AK71" s="2533"/>
    </row>
    <row r="72" spans="3:37" outlineLevel="1">
      <c r="E72" s="2534"/>
      <c r="F72" s="2348" t="s">
        <v>3951</v>
      </c>
      <c r="H72" s="2535"/>
      <c r="J72" s="2536">
        <v>3.4180045219719846E-2</v>
      </c>
      <c r="K72" s="2537">
        <v>3.0351145038167937E-2</v>
      </c>
      <c r="L72" s="2537">
        <v>2.6197249881460438E-2</v>
      </c>
      <c r="M72" s="2537">
        <v>2.0884833083054222E-2</v>
      </c>
      <c r="N72" s="2537">
        <v>3.6072325691914209E-2</v>
      </c>
      <c r="O72" s="2537">
        <v>4.1390909289474198E-2</v>
      </c>
      <c r="P72" s="2538">
        <v>2.8000335584546399E-2</v>
      </c>
      <c r="Q72" s="2539"/>
      <c r="R72" s="2539"/>
      <c r="S72" s="2539"/>
      <c r="T72" s="2539"/>
      <c r="U72" s="2539"/>
      <c r="V72" s="2539"/>
      <c r="W72" s="2539"/>
      <c r="X72" s="2539"/>
      <c r="Y72" s="2539"/>
      <c r="Z72" s="2539"/>
      <c r="AA72" s="2539"/>
      <c r="AB72" s="2539"/>
      <c r="AC72" s="2539"/>
      <c r="AD72" s="2539"/>
      <c r="AE72" s="2539"/>
      <c r="AF72" s="2539"/>
      <c r="AG72" s="2539"/>
      <c r="AH72" s="2539"/>
      <c r="AI72" s="2539"/>
      <c r="AJ72" s="2539"/>
      <c r="AK72" s="2539"/>
    </row>
    <row r="73" spans="3:37" outlineLevel="1">
      <c r="E73" s="2534"/>
      <c r="F73" s="2348" t="s">
        <v>3952</v>
      </c>
      <c r="H73" s="2540">
        <v>8.8700000000000001E-2</v>
      </c>
      <c r="I73" s="2541"/>
      <c r="J73" s="2542">
        <f t="shared" ref="J73:P73" si="32">$H$73</f>
        <v>8.8700000000000001E-2</v>
      </c>
      <c r="K73" s="2543">
        <f t="shared" si="32"/>
        <v>8.8700000000000001E-2</v>
      </c>
      <c r="L73" s="2543">
        <f t="shared" si="32"/>
        <v>8.8700000000000001E-2</v>
      </c>
      <c r="M73" s="2543">
        <f t="shared" si="32"/>
        <v>8.8700000000000001E-2</v>
      </c>
      <c r="N73" s="2543">
        <f t="shared" si="32"/>
        <v>8.8700000000000001E-2</v>
      </c>
      <c r="O73" s="2543">
        <f t="shared" si="32"/>
        <v>8.8700000000000001E-2</v>
      </c>
      <c r="P73" s="2544">
        <f t="shared" si="32"/>
        <v>8.8700000000000001E-2</v>
      </c>
      <c r="Q73" s="2545"/>
      <c r="R73" s="2545"/>
      <c r="S73" s="2545"/>
      <c r="T73" s="2545"/>
      <c r="U73" s="2545"/>
      <c r="V73" s="2545"/>
      <c r="W73" s="2545"/>
      <c r="X73" s="2545"/>
      <c r="Y73" s="2545"/>
      <c r="Z73" s="2545"/>
      <c r="AA73" s="2545"/>
      <c r="AB73" s="2545"/>
      <c r="AC73" s="2545"/>
      <c r="AD73" s="2545"/>
      <c r="AE73" s="2545"/>
      <c r="AF73" s="2545"/>
      <c r="AG73" s="2545"/>
      <c r="AH73" s="2545"/>
      <c r="AI73" s="2545"/>
      <c r="AJ73" s="2545"/>
      <c r="AK73" s="2545"/>
    </row>
    <row r="74" spans="3:37" outlineLevel="1">
      <c r="E74" s="2354"/>
      <c r="F74" s="2348" t="s">
        <v>3953</v>
      </c>
      <c r="H74" s="2535"/>
      <c r="I74" s="2541"/>
      <c r="J74" s="2542">
        <f t="shared" ref="J74:P74" si="33">(1+J72)*(1+J73)-1</f>
        <v>0.12591181523070905</v>
      </c>
      <c r="K74" s="2543">
        <f t="shared" si="33"/>
        <v>0.12174329160305342</v>
      </c>
      <c r="L74" s="2543">
        <f t="shared" si="33"/>
        <v>0.1172209459459459</v>
      </c>
      <c r="M74" s="2543">
        <f t="shared" si="33"/>
        <v>0.11143731777752119</v>
      </c>
      <c r="N74" s="2543">
        <f t="shared" si="33"/>
        <v>0.1279719409807869</v>
      </c>
      <c r="O74" s="2543">
        <f t="shared" si="33"/>
        <v>0.13376228294345061</v>
      </c>
      <c r="P74" s="2544">
        <f t="shared" si="33"/>
        <v>0.1191839653508957</v>
      </c>
      <c r="Q74" s="2546"/>
      <c r="R74" s="2546"/>
      <c r="S74" s="2546"/>
      <c r="T74" s="2546"/>
      <c r="U74" s="2546"/>
      <c r="V74" s="2546"/>
      <c r="W74" s="2546"/>
      <c r="X74" s="2546"/>
      <c r="Y74" s="2546"/>
      <c r="Z74" s="2546"/>
      <c r="AA74" s="2546"/>
      <c r="AB74" s="2546"/>
      <c r="AC74" s="2546"/>
      <c r="AD74" s="2546"/>
      <c r="AE74" s="2546"/>
      <c r="AF74" s="2546"/>
      <c r="AG74" s="2546"/>
      <c r="AH74" s="2546"/>
      <c r="AI74" s="2546"/>
      <c r="AJ74" s="2546"/>
      <c r="AK74" s="2546"/>
    </row>
    <row r="75" spans="3:37" outlineLevel="1">
      <c r="E75" s="2547"/>
      <c r="F75" s="2349" t="s">
        <v>3954</v>
      </c>
      <c r="G75" s="2349"/>
      <c r="H75" s="2548"/>
      <c r="I75" s="2541"/>
      <c r="J75" s="2549">
        <f t="shared" ref="J75:P75" si="34">(1+J74)^(1/4)-1</f>
        <v>3.0092189341149433E-2</v>
      </c>
      <c r="K75" s="2550">
        <f t="shared" si="34"/>
        <v>2.9137421360120097E-2</v>
      </c>
      <c r="L75" s="2550">
        <f t="shared" si="34"/>
        <v>2.809859902346834E-2</v>
      </c>
      <c r="M75" s="2550">
        <f t="shared" si="34"/>
        <v>2.6765443245098774E-2</v>
      </c>
      <c r="N75" s="2550">
        <f t="shared" si="34"/>
        <v>3.0563066560455709E-2</v>
      </c>
      <c r="O75" s="2550">
        <f t="shared" si="34"/>
        <v>3.1883103740301566E-2</v>
      </c>
      <c r="P75" s="2551">
        <f t="shared" si="34"/>
        <v>2.8549908386192646E-2</v>
      </c>
      <c r="Q75" s="2546"/>
      <c r="R75" s="2546"/>
      <c r="S75" s="2546"/>
      <c r="T75" s="2546"/>
      <c r="U75" s="2546"/>
      <c r="V75" s="2546"/>
      <c r="W75" s="2546"/>
      <c r="X75" s="2546"/>
      <c r="Y75" s="2546"/>
      <c r="Z75" s="2546"/>
      <c r="AA75" s="2546"/>
      <c r="AB75" s="2546"/>
      <c r="AC75" s="2546"/>
      <c r="AD75" s="2546"/>
      <c r="AE75" s="2546"/>
      <c r="AF75" s="2546"/>
      <c r="AG75" s="2546"/>
      <c r="AH75" s="2546"/>
      <c r="AI75" s="2546"/>
      <c r="AJ75" s="2546"/>
      <c r="AK75" s="2546"/>
    </row>
    <row r="76" spans="3:37" outlineLevel="1"/>
    <row r="77" spans="3:37" outlineLevel="1">
      <c r="C77" s="2529" t="s">
        <v>3955</v>
      </c>
      <c r="D77" s="2511" t="s">
        <v>3956</v>
      </c>
      <c r="E77" s="2511" t="s">
        <v>3957</v>
      </c>
      <c r="F77" s="2511" t="s">
        <v>3958</v>
      </c>
      <c r="G77" s="2512" t="s">
        <v>3959</v>
      </c>
      <c r="H77" s="2512" t="s">
        <v>40</v>
      </c>
    </row>
    <row r="78" spans="3:37" outlineLevel="1">
      <c r="C78" s="2552">
        <f t="shared" ref="C78:C105" si="35">H78*E78</f>
        <v>0</v>
      </c>
      <c r="D78" s="2553">
        <v>2003</v>
      </c>
      <c r="E78" s="2554">
        <v>1</v>
      </c>
      <c r="F78" s="2528">
        <v>37711</v>
      </c>
      <c r="G78" s="2555">
        <f t="shared" ref="G78:G105" si="36">SUMIF($J$71:$P$71,D78,$J$75:$P$75)</f>
        <v>3.0092189341149433E-2</v>
      </c>
      <c r="H78" s="2517">
        <f t="shared" ref="H78:H105" si="37">SUM(J78:AK78)</f>
        <v>0</v>
      </c>
      <c r="J78" s="2556"/>
      <c r="K78" s="2557"/>
      <c r="L78" s="2558"/>
      <c r="M78" s="2559"/>
      <c r="N78" s="2560"/>
      <c r="O78" s="2558"/>
      <c r="P78" s="2558"/>
      <c r="Q78" s="2559"/>
      <c r="R78" s="2560"/>
      <c r="S78" s="2558"/>
      <c r="T78" s="2558"/>
      <c r="U78" s="2559"/>
      <c r="V78" s="2556"/>
      <c r="W78" s="2557"/>
      <c r="X78" s="2557"/>
      <c r="Y78" s="2561"/>
      <c r="Z78" s="2556"/>
      <c r="AA78" s="2557"/>
      <c r="AB78" s="2557"/>
      <c r="AC78" s="2561"/>
      <c r="AD78" s="2556"/>
      <c r="AE78" s="2557"/>
      <c r="AF78" s="2557"/>
      <c r="AG78" s="2561"/>
      <c r="AH78" s="2556"/>
      <c r="AI78" s="2557"/>
      <c r="AJ78" s="2557"/>
      <c r="AK78" s="2561"/>
    </row>
    <row r="79" spans="3:37" outlineLevel="1">
      <c r="C79" s="2552">
        <f t="shared" si="35"/>
        <v>0</v>
      </c>
      <c r="D79" s="2562">
        <f>D78</f>
        <v>2003</v>
      </c>
      <c r="E79" s="2554">
        <v>1</v>
      </c>
      <c r="F79" s="2528">
        <f t="shared" ref="F79:F105" si="38">EOMONTH(F78,3)</f>
        <v>37802</v>
      </c>
      <c r="G79" s="2555">
        <f t="shared" si="36"/>
        <v>3.0092189341149433E-2</v>
      </c>
      <c r="H79" s="2517">
        <f t="shared" si="37"/>
        <v>0</v>
      </c>
      <c r="J79" s="2563"/>
      <c r="K79" s="2564"/>
      <c r="L79" s="2565"/>
      <c r="M79" s="2566"/>
      <c r="N79" s="2567"/>
      <c r="O79" s="2565"/>
      <c r="P79" s="2565"/>
      <c r="Q79" s="2566"/>
      <c r="R79" s="2567"/>
      <c r="S79" s="2565"/>
      <c r="T79" s="2565"/>
      <c r="U79" s="2566"/>
      <c r="V79" s="2563"/>
      <c r="W79" s="2564"/>
      <c r="X79" s="2564"/>
      <c r="Y79" s="2568"/>
      <c r="Z79" s="2563"/>
      <c r="AA79" s="2564"/>
      <c r="AB79" s="2564"/>
      <c r="AC79" s="2568"/>
      <c r="AD79" s="2563"/>
      <c r="AE79" s="2564"/>
      <c r="AF79" s="2564"/>
      <c r="AG79" s="2568"/>
      <c r="AH79" s="2563"/>
      <c r="AI79" s="2564"/>
      <c r="AJ79" s="2564"/>
      <c r="AK79" s="2568"/>
    </row>
    <row r="80" spans="3:37" outlineLevel="1">
      <c r="C80" s="2552">
        <f t="shared" si="35"/>
        <v>0</v>
      </c>
      <c r="D80" s="2562">
        <f>D79</f>
        <v>2003</v>
      </c>
      <c r="E80" s="2554">
        <v>1</v>
      </c>
      <c r="F80" s="2528">
        <f t="shared" si="38"/>
        <v>37894</v>
      </c>
      <c r="G80" s="2555">
        <f t="shared" si="36"/>
        <v>3.0092189341149433E-2</v>
      </c>
      <c r="H80" s="2517">
        <f t="shared" si="37"/>
        <v>0</v>
      </c>
      <c r="J80" s="2563"/>
      <c r="K80" s="2564"/>
      <c r="L80" s="2565"/>
      <c r="M80" s="2566"/>
      <c r="N80" s="2567"/>
      <c r="O80" s="2565"/>
      <c r="P80" s="2565"/>
      <c r="Q80" s="2566"/>
      <c r="R80" s="2567"/>
      <c r="S80" s="2565"/>
      <c r="T80" s="2565"/>
      <c r="U80" s="2566"/>
      <c r="V80" s="2563"/>
      <c r="W80" s="2564"/>
      <c r="X80" s="2564"/>
      <c r="Y80" s="2568"/>
      <c r="Z80" s="2563"/>
      <c r="AA80" s="2564"/>
      <c r="AB80" s="2564"/>
      <c r="AC80" s="2568"/>
      <c r="AD80" s="2563"/>
      <c r="AE80" s="2564"/>
      <c r="AF80" s="2564"/>
      <c r="AG80" s="2568"/>
      <c r="AH80" s="2563"/>
      <c r="AI80" s="2564"/>
      <c r="AJ80" s="2564"/>
      <c r="AK80" s="2568"/>
    </row>
    <row r="81" spans="3:37" outlineLevel="1">
      <c r="C81" s="2569">
        <f t="shared" si="35"/>
        <v>72.010881250868138</v>
      </c>
      <c r="D81" s="2570">
        <f>D80</f>
        <v>2003</v>
      </c>
      <c r="E81" s="2571">
        <v>1</v>
      </c>
      <c r="F81" s="2572">
        <f t="shared" si="38"/>
        <v>37986</v>
      </c>
      <c r="G81" s="2573">
        <f t="shared" si="36"/>
        <v>3.0092189341149433E-2</v>
      </c>
      <c r="H81" s="2574">
        <f t="shared" si="37"/>
        <v>72.010881250868138</v>
      </c>
      <c r="J81" s="2575"/>
      <c r="K81" s="2576"/>
      <c r="L81" s="2577">
        <f>(L$67+SUM(L$78:L80))*$G81</f>
        <v>72.010881250868138</v>
      </c>
      <c r="M81" s="2578"/>
      <c r="N81" s="2579"/>
      <c r="O81" s="2580"/>
      <c r="P81" s="2580"/>
      <c r="Q81" s="2578"/>
      <c r="R81" s="2579"/>
      <c r="S81" s="2580"/>
      <c r="T81" s="2580"/>
      <c r="U81" s="2578"/>
      <c r="V81" s="2575"/>
      <c r="W81" s="2576"/>
      <c r="X81" s="2576"/>
      <c r="Y81" s="2581"/>
      <c r="Z81" s="2575"/>
      <c r="AA81" s="2576"/>
      <c r="AB81" s="2576"/>
      <c r="AC81" s="2581"/>
      <c r="AD81" s="2575"/>
      <c r="AE81" s="2576"/>
      <c r="AF81" s="2576"/>
      <c r="AG81" s="2581"/>
      <c r="AH81" s="2575"/>
      <c r="AI81" s="2576"/>
      <c r="AJ81" s="2576"/>
      <c r="AK81" s="2581"/>
    </row>
    <row r="82" spans="3:37" outlineLevel="1">
      <c r="C82" s="2552">
        <f t="shared" si="35"/>
        <v>231.76511068588613</v>
      </c>
      <c r="D82" s="2553">
        <f>D81+1</f>
        <v>2004</v>
      </c>
      <c r="E82" s="2582">
        <v>1</v>
      </c>
      <c r="F82" s="2528">
        <f t="shared" si="38"/>
        <v>38077</v>
      </c>
      <c r="G82" s="2555">
        <f t="shared" si="36"/>
        <v>2.9137421360120097E-2</v>
      </c>
      <c r="H82" s="2517">
        <f t="shared" si="37"/>
        <v>231.76511068588613</v>
      </c>
      <c r="J82" s="2563"/>
      <c r="K82" s="2564"/>
      <c r="L82" s="2583">
        <f>(L$67+SUM(L$78:L81))*$G82</f>
        <v>71.824324226744864</v>
      </c>
      <c r="M82" s="2584">
        <f>(M$67+SUM(M$78:M81))*$G82</f>
        <v>159.94078645914126</v>
      </c>
      <c r="N82" s="2563"/>
      <c r="O82" s="2564"/>
      <c r="P82" s="2564"/>
      <c r="Q82" s="2568"/>
      <c r="R82" s="2560"/>
      <c r="S82" s="2558"/>
      <c r="T82" s="2558"/>
      <c r="U82" s="2559"/>
      <c r="V82" s="2563"/>
      <c r="W82" s="2564"/>
      <c r="X82" s="2564"/>
      <c r="Y82" s="2568"/>
      <c r="Z82" s="2563"/>
      <c r="AA82" s="2564"/>
      <c r="AB82" s="2564"/>
      <c r="AC82" s="2568"/>
      <c r="AD82" s="2563"/>
      <c r="AE82" s="2564"/>
      <c r="AF82" s="2564"/>
      <c r="AG82" s="2568"/>
      <c r="AH82" s="2563"/>
      <c r="AI82" s="2564"/>
      <c r="AJ82" s="2564"/>
      <c r="AK82" s="2568"/>
    </row>
    <row r="83" spans="3:37" outlineLevel="1">
      <c r="C83" s="2552">
        <f t="shared" si="35"/>
        <v>269.41511206544283</v>
      </c>
      <c r="D83" s="2562">
        <f>D82</f>
        <v>2004</v>
      </c>
      <c r="E83" s="2582">
        <v>1</v>
      </c>
      <c r="F83" s="2528">
        <f t="shared" si="38"/>
        <v>38168</v>
      </c>
      <c r="G83" s="2555">
        <f t="shared" si="36"/>
        <v>2.9137421360120097E-2</v>
      </c>
      <c r="H83" s="2517">
        <f t="shared" si="37"/>
        <v>269.41511206544283</v>
      </c>
      <c r="J83" s="2563"/>
      <c r="K83" s="2564"/>
      <c r="L83" s="2583">
        <f>(L$67+SUM(L$78:L82))*$G83</f>
        <v>73.917099825645394</v>
      </c>
      <c r="M83" s="2584">
        <f>(M$67+SUM(M$78:M82))*$G83</f>
        <v>164.60104854687026</v>
      </c>
      <c r="N83" s="2585">
        <f>(N$67+SUM(N$78:N82))*$G83</f>
        <v>30.896963692927184</v>
      </c>
      <c r="O83" s="2564"/>
      <c r="P83" s="2564"/>
      <c r="Q83" s="2568"/>
      <c r="R83" s="2567"/>
      <c r="S83" s="2565"/>
      <c r="T83" s="2565"/>
      <c r="U83" s="2566"/>
      <c r="V83" s="2563"/>
      <c r="W83" s="2564"/>
      <c r="X83" s="2564"/>
      <c r="Y83" s="2568"/>
      <c r="Z83" s="2563"/>
      <c r="AA83" s="2564"/>
      <c r="AB83" s="2564"/>
      <c r="AC83" s="2568"/>
      <c r="AD83" s="2563"/>
      <c r="AE83" s="2564"/>
      <c r="AF83" s="2564"/>
      <c r="AG83" s="2568"/>
      <c r="AH83" s="2563"/>
      <c r="AI83" s="2564"/>
      <c r="AJ83" s="2564"/>
      <c r="AK83" s="2568"/>
    </row>
    <row r="84" spans="3:37" outlineLevel="1">
      <c r="C84" s="2552">
        <f t="shared" si="35"/>
        <v>451.71365597883562</v>
      </c>
      <c r="D84" s="2562">
        <f>D83</f>
        <v>2004</v>
      </c>
      <c r="E84" s="2582">
        <v>1</v>
      </c>
      <c r="F84" s="2528">
        <f t="shared" si="38"/>
        <v>38260</v>
      </c>
      <c r="G84" s="2555">
        <f t="shared" si="36"/>
        <v>2.9137421360120097E-2</v>
      </c>
      <c r="H84" s="2517">
        <f t="shared" si="37"/>
        <v>451.71365597883562</v>
      </c>
      <c r="J84" s="2563"/>
      <c r="K84" s="2564"/>
      <c r="L84" s="2583">
        <f>(L$67+SUM(L$78:L83))*$G84</f>
        <v>76.070853508983291</v>
      </c>
      <c r="M84" s="2584">
        <f>(M$67+SUM(M$78:M83))*$G84</f>
        <v>169.397098654698</v>
      </c>
      <c r="N84" s="2585">
        <f>(N$67+SUM(N$78:N83))*$G84</f>
        <v>31.797221542796333</v>
      </c>
      <c r="O84" s="2583">
        <f>(O$67+SUM(O$78:O83))*$G84</f>
        <v>174.44848227235804</v>
      </c>
      <c r="P84" s="2564"/>
      <c r="Q84" s="2568"/>
      <c r="R84" s="2567"/>
      <c r="S84" s="2565"/>
      <c r="T84" s="2565"/>
      <c r="U84" s="2566"/>
      <c r="V84" s="2563"/>
      <c r="W84" s="2564"/>
      <c r="X84" s="2564"/>
      <c r="Y84" s="2568"/>
      <c r="Z84" s="2563"/>
      <c r="AA84" s="2564"/>
      <c r="AB84" s="2564"/>
      <c r="AC84" s="2568"/>
      <c r="AD84" s="2563"/>
      <c r="AE84" s="2564"/>
      <c r="AF84" s="2564"/>
      <c r="AG84" s="2568"/>
      <c r="AH84" s="2563"/>
      <c r="AI84" s="2564"/>
      <c r="AJ84" s="2564"/>
      <c r="AK84" s="2568"/>
    </row>
    <row r="85" spans="3:37" outlineLevel="1">
      <c r="C85" s="2569">
        <f t="shared" si="35"/>
        <v>573.70213838196514</v>
      </c>
      <c r="D85" s="2570">
        <f>D84</f>
        <v>2004</v>
      </c>
      <c r="E85" s="2586">
        <v>1</v>
      </c>
      <c r="F85" s="2572">
        <f t="shared" si="38"/>
        <v>38352</v>
      </c>
      <c r="G85" s="2573">
        <f t="shared" si="36"/>
        <v>2.9137421360120097E-2</v>
      </c>
      <c r="H85" s="2574">
        <f t="shared" si="37"/>
        <v>573.70213838196514</v>
      </c>
      <c r="J85" s="2575"/>
      <c r="K85" s="2576"/>
      <c r="L85" s="2577">
        <f>(L$67+SUM(L$78:L84))*$G85</f>
        <v>78.287362020898513</v>
      </c>
      <c r="M85" s="2587">
        <f>(M$67+SUM(M$78:M84))*$G85</f>
        <v>174.33289329538175</v>
      </c>
      <c r="N85" s="2588">
        <f>(N$67+SUM(N$78:N84))*$G85</f>
        <v>32.723710584969879</v>
      </c>
      <c r="O85" s="2577">
        <f>(O$67+SUM(O$78:O84))*$G85</f>
        <v>179.53146120596119</v>
      </c>
      <c r="P85" s="2577">
        <f>(P$67+SUM(P$78:P84))*$G85</f>
        <v>108.82671127475376</v>
      </c>
      <c r="Q85" s="2581"/>
      <c r="R85" s="2579"/>
      <c r="S85" s="2580"/>
      <c r="T85" s="2580"/>
      <c r="U85" s="2578"/>
      <c r="V85" s="2575"/>
      <c r="W85" s="2576"/>
      <c r="X85" s="2576"/>
      <c r="Y85" s="2581"/>
      <c r="Z85" s="2575"/>
      <c r="AA85" s="2576"/>
      <c r="AB85" s="2576"/>
      <c r="AC85" s="2581"/>
      <c r="AD85" s="2575"/>
      <c r="AE85" s="2576"/>
      <c r="AF85" s="2576"/>
      <c r="AG85" s="2581"/>
      <c r="AH85" s="2575"/>
      <c r="AI85" s="2576"/>
      <c r="AJ85" s="2576"/>
      <c r="AK85" s="2581"/>
    </row>
    <row r="86" spans="3:37" outlineLevel="1">
      <c r="C86" s="2552">
        <f t="shared" si="35"/>
        <v>653.53501518133839</v>
      </c>
      <c r="D86" s="2553">
        <f>D85+1</f>
        <v>2005</v>
      </c>
      <c r="E86" s="2582">
        <v>1</v>
      </c>
      <c r="F86" s="2528">
        <f t="shared" si="38"/>
        <v>38442</v>
      </c>
      <c r="G86" s="2555">
        <f t="shared" si="36"/>
        <v>2.809859902346834E-2</v>
      </c>
      <c r="H86" s="2517">
        <f t="shared" si="37"/>
        <v>653.53501518133839</v>
      </c>
      <c r="J86" s="2563"/>
      <c r="K86" s="2564"/>
      <c r="L86" s="2583">
        <f>(L$67+SUM(L$78:L85))*$G86</f>
        <v>77.695985907683223</v>
      </c>
      <c r="M86" s="2584">
        <f>(M$67+SUM(M$78:M85))*$G86</f>
        <v>173.01599735992954</v>
      </c>
      <c r="N86" s="2585">
        <f>(N$67+SUM(N$78:N85))*$G86</f>
        <v>32.476518442123698</v>
      </c>
      <c r="O86" s="2583">
        <f>(O$67+SUM(O$78:O85))*$G86</f>
        <v>178.17529572807089</v>
      </c>
      <c r="P86" s="2583">
        <f>(P$67+SUM(P$78:P85))*$G86</f>
        <v>108.00464349949158</v>
      </c>
      <c r="Q86" s="2584">
        <f>(Q$67+SUM(Q$78:Q85))*$G86</f>
        <v>84.166574244039523</v>
      </c>
      <c r="R86" s="2563"/>
      <c r="S86" s="2564"/>
      <c r="T86" s="2564"/>
      <c r="U86" s="2568"/>
      <c r="V86" s="2563"/>
      <c r="W86" s="2564"/>
      <c r="X86" s="2564"/>
      <c r="Y86" s="2568"/>
      <c r="Z86" s="2563"/>
      <c r="AA86" s="2564"/>
      <c r="AB86" s="2564"/>
      <c r="AC86" s="2568"/>
      <c r="AD86" s="2563"/>
      <c r="AE86" s="2564"/>
      <c r="AF86" s="2564"/>
      <c r="AG86" s="2568"/>
      <c r="AH86" s="2563"/>
      <c r="AI86" s="2564"/>
      <c r="AJ86" s="2564"/>
      <c r="AK86" s="2568"/>
    </row>
    <row r="87" spans="3:37" outlineLevel="1">
      <c r="C87" s="2552">
        <f t="shared" si="35"/>
        <v>864.3138837736318</v>
      </c>
      <c r="D87" s="2562">
        <f>D86</f>
        <v>2005</v>
      </c>
      <c r="E87" s="2582">
        <v>1</v>
      </c>
      <c r="F87" s="2528">
        <f t="shared" si="38"/>
        <v>38533</v>
      </c>
      <c r="G87" s="2555">
        <f t="shared" si="36"/>
        <v>2.809859902346834E-2</v>
      </c>
      <c r="H87" s="2517">
        <f t="shared" si="37"/>
        <v>864.3138837736318</v>
      </c>
      <c r="J87" s="2563"/>
      <c r="K87" s="2564"/>
      <c r="L87" s="2583">
        <f>(L$67+SUM(L$78:L86))*$G87</f>
        <v>79.879134261436263</v>
      </c>
      <c r="M87" s="2584">
        <f>(M$67+SUM(M$78:M86))*$G87</f>
        <v>177.87750449439164</v>
      </c>
      <c r="N87" s="2585">
        <f>(N$67+SUM(N$78:N86))*$G87</f>
        <v>33.389063111507198</v>
      </c>
      <c r="O87" s="2583">
        <f>(O$67+SUM(O$78:O86))*$G87</f>
        <v>183.18177191862188</v>
      </c>
      <c r="P87" s="2583">
        <f>(P$67+SUM(P$78:P86))*$G87</f>
        <v>111.03942266985645</v>
      </c>
      <c r="Q87" s="2584">
        <f>(Q$67+SUM(Q$78:Q86))*$G87</f>
        <v>86.531537064901769</v>
      </c>
      <c r="R87" s="2585">
        <f>(R$67+SUM(R$78:R86))*$G87</f>
        <v>192.41545025291668</v>
      </c>
      <c r="S87" s="2564"/>
      <c r="T87" s="2564"/>
      <c r="U87" s="2568"/>
      <c r="V87" s="2563"/>
      <c r="W87" s="2564"/>
      <c r="X87" s="2564"/>
      <c r="Y87" s="2568"/>
      <c r="Z87" s="2563"/>
      <c r="AA87" s="2564"/>
      <c r="AB87" s="2564"/>
      <c r="AC87" s="2568"/>
      <c r="AD87" s="2563"/>
      <c r="AE87" s="2564"/>
      <c r="AF87" s="2564"/>
      <c r="AG87" s="2568"/>
      <c r="AH87" s="2563"/>
      <c r="AI87" s="2564"/>
      <c r="AJ87" s="2564"/>
      <c r="AK87" s="2568"/>
    </row>
    <row r="88" spans="3:37" outlineLevel="1">
      <c r="C88" s="2552">
        <f t="shared" si="35"/>
        <v>1288.1028683822158</v>
      </c>
      <c r="D88" s="2562">
        <f>D87</f>
        <v>2005</v>
      </c>
      <c r="E88" s="2582">
        <v>1</v>
      </c>
      <c r="F88" s="2528">
        <f t="shared" si="38"/>
        <v>38625</v>
      </c>
      <c r="G88" s="2555">
        <f t="shared" si="36"/>
        <v>2.809859902346834E-2</v>
      </c>
      <c r="H88" s="2517">
        <f t="shared" si="37"/>
        <v>1288.1028683822158</v>
      </c>
      <c r="J88" s="2563"/>
      <c r="K88" s="2564"/>
      <c r="L88" s="2583">
        <f>(L$67+SUM(L$78:L87))*$G88</f>
        <v>82.123626025390152</v>
      </c>
      <c r="M88" s="2584">
        <f>(M$67+SUM(M$78:M87))*$G88</f>
        <v>182.87561316847476</v>
      </c>
      <c r="N88" s="2585">
        <f>(N$67+SUM(N$78:N87))*$G88</f>
        <v>34.327249007646721</v>
      </c>
      <c r="O88" s="2583">
        <f>(O$67+SUM(O$78:O87))*$G88</f>
        <v>188.32892307617166</v>
      </c>
      <c r="P88" s="2583">
        <f>(P$67+SUM(P$78:P87))*$G88</f>
        <v>114.15947488325416</v>
      </c>
      <c r="Q88" s="2584">
        <f>(Q$67+SUM(Q$78:Q87))*$G88</f>
        <v>88.962952027772829</v>
      </c>
      <c r="R88" s="2585">
        <f>(R$67+SUM(R$78:R87))*$G88</f>
        <v>197.8220548354935</v>
      </c>
      <c r="S88" s="2583">
        <f>(S$67+SUM(S$78:S87))*$G88</f>
        <v>399.50297535801184</v>
      </c>
      <c r="T88" s="2564"/>
      <c r="U88" s="2568"/>
      <c r="V88" s="2563"/>
      <c r="W88" s="2564"/>
      <c r="X88" s="2564"/>
      <c r="Y88" s="2568"/>
      <c r="Z88" s="2563"/>
      <c r="AA88" s="2564"/>
      <c r="AB88" s="2564"/>
      <c r="AC88" s="2568"/>
      <c r="AD88" s="2563"/>
      <c r="AE88" s="2564"/>
      <c r="AF88" s="2564"/>
      <c r="AG88" s="2568"/>
      <c r="AH88" s="2563"/>
      <c r="AI88" s="2564"/>
      <c r="AJ88" s="2564"/>
      <c r="AK88" s="2568"/>
    </row>
    <row r="89" spans="3:37" outlineLevel="1">
      <c r="C89" s="2569">
        <f t="shared" si="35"/>
        <v>1429.9882590834072</v>
      </c>
      <c r="D89" s="2570">
        <f>D88</f>
        <v>2005</v>
      </c>
      <c r="E89" s="2586">
        <v>1</v>
      </c>
      <c r="F89" s="2572">
        <f t="shared" si="38"/>
        <v>38717</v>
      </c>
      <c r="G89" s="2573">
        <f t="shared" si="36"/>
        <v>2.809859902346834E-2</v>
      </c>
      <c r="H89" s="2574">
        <f t="shared" si="37"/>
        <v>1429.9882590834072</v>
      </c>
      <c r="J89" s="2575"/>
      <c r="K89" s="2576"/>
      <c r="L89" s="2577">
        <f>(L$67+SUM(L$78:L88))*$G89</f>
        <v>84.431184863430857</v>
      </c>
      <c r="M89" s="2587">
        <f>(M$67+SUM(M$78:M88))*$G89</f>
        <v>188.01416169406664</v>
      </c>
      <c r="N89" s="2588">
        <f>(N$67+SUM(N$78:N88))*$G89</f>
        <v>35.291796613091336</v>
      </c>
      <c r="O89" s="2577">
        <f>(O$67+SUM(O$78:O88))*$G89</f>
        <v>193.6207019702106</v>
      </c>
      <c r="P89" s="2577">
        <f>(P$67+SUM(P$78:P88))*$G89</f>
        <v>117.36719619272843</v>
      </c>
      <c r="Q89" s="2587">
        <f>(Q$67+SUM(Q$78:Q88))*$G89</f>
        <v>91.462686344745265</v>
      </c>
      <c r="R89" s="2588">
        <f>(R$67+SUM(R$78:R88))*$G89</f>
        <v>203.38057743231462</v>
      </c>
      <c r="S89" s="2577">
        <f>(S$67+SUM(S$78:S88))*$G89</f>
        <v>410.72844927127915</v>
      </c>
      <c r="T89" s="2577">
        <f>(T$67+SUM(T$78:T88))*$G89</f>
        <v>105.69150470154054</v>
      </c>
      <c r="U89" s="2581"/>
      <c r="V89" s="2575"/>
      <c r="W89" s="2576"/>
      <c r="X89" s="2576"/>
      <c r="Y89" s="2581"/>
      <c r="Z89" s="2575"/>
      <c r="AA89" s="2576"/>
      <c r="AB89" s="2576"/>
      <c r="AC89" s="2581"/>
      <c r="AD89" s="2575"/>
      <c r="AE89" s="2576"/>
      <c r="AF89" s="2576"/>
      <c r="AG89" s="2581"/>
      <c r="AH89" s="2575"/>
      <c r="AI89" s="2576"/>
      <c r="AJ89" s="2576"/>
      <c r="AK89" s="2581"/>
    </row>
    <row r="90" spans="3:37" outlineLevel="1">
      <c r="C90" s="2552">
        <f t="shared" si="35"/>
        <v>1591.9672124817439</v>
      </c>
      <c r="D90" s="2553">
        <f>D89+1</f>
        <v>2006</v>
      </c>
      <c r="E90" s="2582">
        <v>1</v>
      </c>
      <c r="F90" s="2528">
        <f t="shared" si="38"/>
        <v>38807</v>
      </c>
      <c r="G90" s="2555">
        <f t="shared" si="36"/>
        <v>2.6765443245098774E-2</v>
      </c>
      <c r="H90" s="2517">
        <f t="shared" si="37"/>
        <v>1591.9672124817439</v>
      </c>
      <c r="J90" s="2563"/>
      <c r="K90" s="2564"/>
      <c r="L90" s="2583">
        <f>(L$67+SUM(L$78:L89))*$G90</f>
        <v>82.685132055546717</v>
      </c>
      <c r="M90" s="2584">
        <f>(M$67+SUM(M$78:M89))*$G90</f>
        <v>184.12599341265602</v>
      </c>
      <c r="N90" s="2585">
        <f>(N$67+SUM(N$78:N89))*$G90</f>
        <v>34.56195561096353</v>
      </c>
      <c r="O90" s="2583">
        <f>(O$67+SUM(O$78:O89))*$G90</f>
        <v>189.61658937974505</v>
      </c>
      <c r="P90" s="2583">
        <f>(P$67+SUM(P$78:P89))*$G90</f>
        <v>114.94002046616151</v>
      </c>
      <c r="Q90" s="2584">
        <f>(Q$67+SUM(Q$78:Q89))*$G90</f>
        <v>89.571220761653109</v>
      </c>
      <c r="R90" s="2585">
        <f>(R$67+SUM(R$78:R89))*$G90</f>
        <v>199.17462877875496</v>
      </c>
      <c r="S90" s="2583">
        <f>(S$67+SUM(S$78:S89))*$G90</f>
        <v>402.23450756848263</v>
      </c>
      <c r="T90" s="2583">
        <f>(T$67+SUM(T$78:T89))*$G90</f>
        <v>103.50578447444519</v>
      </c>
      <c r="U90" s="2584">
        <f>(U$67+SUM(U$78:U89))*$G90</f>
        <v>191.55137997333529</v>
      </c>
      <c r="V90" s="2563"/>
      <c r="W90" s="2564"/>
      <c r="X90" s="2564"/>
      <c r="Y90" s="2568"/>
      <c r="Z90" s="2563"/>
      <c r="AA90" s="2564"/>
      <c r="AB90" s="2564"/>
      <c r="AC90" s="2568"/>
      <c r="AD90" s="2563"/>
      <c r="AE90" s="2564"/>
      <c r="AF90" s="2564"/>
      <c r="AG90" s="2568"/>
      <c r="AH90" s="2563"/>
      <c r="AI90" s="2564"/>
      <c r="AJ90" s="2564"/>
      <c r="AK90" s="2568"/>
    </row>
    <row r="91" spans="3:37" outlineLevel="1">
      <c r="C91" s="2552">
        <f t="shared" si="35"/>
        <v>1727.5768672348772</v>
      </c>
      <c r="D91" s="2562">
        <f>D90</f>
        <v>2006</v>
      </c>
      <c r="E91" s="2582">
        <v>1</v>
      </c>
      <c r="F91" s="2528">
        <f t="shared" si="38"/>
        <v>38898</v>
      </c>
      <c r="G91" s="2555">
        <f t="shared" si="36"/>
        <v>2.6765443245098774E-2</v>
      </c>
      <c r="H91" s="2517">
        <f t="shared" si="37"/>
        <v>1727.5768672348772</v>
      </c>
      <c r="J91" s="2563"/>
      <c r="K91" s="2564"/>
      <c r="L91" s="2583">
        <f>(L$67+SUM(L$78:L90))*$G91</f>
        <v>84.898236264792942</v>
      </c>
      <c r="M91" s="2584">
        <f>(M$67+SUM(M$78:M90))*$G91</f>
        <v>189.05420723928987</v>
      </c>
      <c r="N91" s="2585">
        <f>(N$67+SUM(N$78:N90))*$G91</f>
        <v>35.487021672308394</v>
      </c>
      <c r="O91" s="2583">
        <f>(O$67+SUM(O$78:O90))*$G91</f>
        <v>194.69176144111782</v>
      </c>
      <c r="P91" s="2583">
        <f>(P$67+SUM(P$78:P90))*$G91</f>
        <v>118.01644106053905</v>
      </c>
      <c r="Q91" s="2584">
        <f>(Q$67+SUM(Q$78:Q90))*$G91</f>
        <v>91.968634187343355</v>
      </c>
      <c r="R91" s="2585">
        <f>(R$67+SUM(R$78:R90))*$G91</f>
        <v>204.50562600119633</v>
      </c>
      <c r="S91" s="2583">
        <f>(S$67+SUM(S$78:S90))*$G91</f>
        <v>413.00049245202706</v>
      </c>
      <c r="T91" s="2583">
        <f>(T$67+SUM(T$78:T90))*$G91</f>
        <v>106.27616267433538</v>
      </c>
      <c r="U91" s="2584">
        <f>(U$67+SUM(U$78:U90))*$G91</f>
        <v>196.67833756253194</v>
      </c>
      <c r="V91" s="2585">
        <f>(V$67+SUM(V$78:V90))*$G91</f>
        <v>92.999946679395165</v>
      </c>
      <c r="W91" s="2564"/>
      <c r="X91" s="2564"/>
      <c r="Y91" s="2568"/>
      <c r="Z91" s="2563"/>
      <c r="AA91" s="2564"/>
      <c r="AB91" s="2564"/>
      <c r="AC91" s="2568"/>
      <c r="AD91" s="2563"/>
      <c r="AE91" s="2564"/>
      <c r="AF91" s="2564"/>
      <c r="AG91" s="2568"/>
      <c r="AH91" s="2563"/>
      <c r="AI91" s="2564"/>
      <c r="AJ91" s="2564"/>
      <c r="AK91" s="2568"/>
    </row>
    <row r="92" spans="3:37" outlineLevel="1">
      <c r="C92" s="2552">
        <f t="shared" si="35"/>
        <v>1825.4612950022004</v>
      </c>
      <c r="D92" s="2562">
        <f>D91</f>
        <v>2006</v>
      </c>
      <c r="E92" s="2582">
        <v>1</v>
      </c>
      <c r="F92" s="2528">
        <f t="shared" si="38"/>
        <v>38990</v>
      </c>
      <c r="G92" s="2589">
        <f t="shared" si="36"/>
        <v>2.6765443245098774E-2</v>
      </c>
      <c r="H92" s="2517">
        <f t="shared" si="37"/>
        <v>1825.4612950022004</v>
      </c>
      <c r="J92" s="2563"/>
      <c r="K92" s="2564"/>
      <c r="L92" s="2583">
        <f>(L$67+SUM(L$78:L91))*$G92</f>
        <v>87.170575189147243</v>
      </c>
      <c r="M92" s="2584">
        <f>(M$67+SUM(M$78:M91))*$G92</f>
        <v>194.11432689340023</v>
      </c>
      <c r="N92" s="2585">
        <f>(N$67+SUM(N$78:N91))*$G92</f>
        <v>36.436847536816153</v>
      </c>
      <c r="O92" s="2583">
        <f>(O$67+SUM(O$78:O91))*$G92</f>
        <v>199.90277273225837</v>
      </c>
      <c r="P92" s="2583">
        <f>(P$67+SUM(P$78:P91))*$G92</f>
        <v>121.17520341573344</v>
      </c>
      <c r="Q92" s="2584">
        <f>(Q$67+SUM(Q$78:Q91))*$G92</f>
        <v>94.430215446013946</v>
      </c>
      <c r="R92" s="2585">
        <f>(R$67+SUM(R$78:R91))*$G92</f>
        <v>209.97930972723478</v>
      </c>
      <c r="S92" s="2583">
        <f>(S$67+SUM(S$78:S91))*$G92</f>
        <v>424.05463369294966</v>
      </c>
      <c r="T92" s="2583">
        <f>(T$67+SUM(T$78:T91))*$G92</f>
        <v>109.1206912747022</v>
      </c>
      <c r="U92" s="2584">
        <f>(U$67+SUM(U$78:U91))*$G92</f>
        <v>201.94252044410226</v>
      </c>
      <c r="V92" s="2585">
        <f>(V$67+SUM(V$78:V91))*$G92</f>
        <v>95.489131474039723</v>
      </c>
      <c r="W92" s="2583">
        <f>(W$67+SUM(W$78:W91))*$G92</f>
        <v>51.64506717580209</v>
      </c>
      <c r="X92" s="2564"/>
      <c r="Y92" s="2568"/>
      <c r="Z92" s="2563"/>
      <c r="AA92" s="2564"/>
      <c r="AB92" s="2564"/>
      <c r="AC92" s="2568"/>
      <c r="AD92" s="2563"/>
      <c r="AE92" s="2564"/>
      <c r="AF92" s="2564"/>
      <c r="AG92" s="2568"/>
      <c r="AH92" s="2563"/>
      <c r="AI92" s="2564"/>
      <c r="AJ92" s="2564"/>
      <c r="AK92" s="2568"/>
    </row>
    <row r="93" spans="3:37" outlineLevel="1">
      <c r="C93" s="2569">
        <f t="shared" si="35"/>
        <v>2079.4919003038422</v>
      </c>
      <c r="D93" s="2570">
        <f>D92</f>
        <v>2006</v>
      </c>
      <c r="E93" s="2586">
        <v>1</v>
      </c>
      <c r="F93" s="2572">
        <f t="shared" si="38"/>
        <v>39082</v>
      </c>
      <c r="G93" s="2590">
        <f t="shared" si="36"/>
        <v>2.6765443245098774E-2</v>
      </c>
      <c r="H93" s="2574">
        <f t="shared" si="37"/>
        <v>2079.4919003038422</v>
      </c>
      <c r="J93" s="2575"/>
      <c r="K93" s="2576"/>
      <c r="L93" s="2577">
        <f>(L$67+SUM(L$78:L92))*$G93</f>
        <v>89.503734272014981</v>
      </c>
      <c r="M93" s="2587">
        <f>(M$67+SUM(M$78:M92))*$G93</f>
        <v>199.30988289292608</v>
      </c>
      <c r="N93" s="2588">
        <f>(N$67+SUM(N$78:N92))*$G93</f>
        <v>37.412095911593127</v>
      </c>
      <c r="O93" s="2577">
        <f>(O$67+SUM(O$78:O92))*$G93</f>
        <v>205.25325905036152</v>
      </c>
      <c r="P93" s="2577">
        <f>(P$67+SUM(P$78:P92))*$G93</f>
        <v>124.41851144547054</v>
      </c>
      <c r="Q93" s="2587">
        <f>(Q$67+SUM(Q$78:Q92))*$G93</f>
        <v>96.957682018156689</v>
      </c>
      <c r="R93" s="2588">
        <f>(R$67+SUM(R$78:R92))*$G93</f>
        <v>215.59949902438407</v>
      </c>
      <c r="S93" s="2577">
        <f>(S$67+SUM(S$78:S92))*$G93</f>
        <v>435.40464392387946</v>
      </c>
      <c r="T93" s="2577">
        <f>(T$67+SUM(T$78:T92))*$G93</f>
        <v>112.04135494388119</v>
      </c>
      <c r="U93" s="2587">
        <f>(U$67+SUM(U$78:U92))*$G93</f>
        <v>207.34760151382108</v>
      </c>
      <c r="V93" s="2588">
        <f>(V$67+SUM(V$78:V92))*$G93</f>
        <v>98.044940403031916</v>
      </c>
      <c r="W93" s="2577">
        <f>(W$67+SUM(W$78:W92))*$G93</f>
        <v>53.027370290185331</v>
      </c>
      <c r="X93" s="2577">
        <f>(X$67+SUM(X$78:X92))*$G93</f>
        <v>205.1713246141363</v>
      </c>
      <c r="Y93" s="2581"/>
      <c r="Z93" s="2575"/>
      <c r="AA93" s="2576"/>
      <c r="AB93" s="2576"/>
      <c r="AC93" s="2581"/>
      <c r="AD93" s="2575"/>
      <c r="AE93" s="2576"/>
      <c r="AF93" s="2576"/>
      <c r="AG93" s="2581"/>
      <c r="AH93" s="2575"/>
      <c r="AI93" s="2576"/>
      <c r="AJ93" s="2576"/>
      <c r="AK93" s="2581"/>
    </row>
    <row r="94" spans="3:37" outlineLevel="1">
      <c r="C94" s="2552">
        <f t="shared" si="35"/>
        <v>2742.9698413521373</v>
      </c>
      <c r="D94" s="2553">
        <f>D93+1</f>
        <v>2007</v>
      </c>
      <c r="E94" s="2582">
        <v>1</v>
      </c>
      <c r="F94" s="2528">
        <f t="shared" si="38"/>
        <v>39172</v>
      </c>
      <c r="G94" s="2589">
        <f t="shared" si="36"/>
        <v>3.0563066560455709E-2</v>
      </c>
      <c r="H94" s="2517">
        <f t="shared" si="37"/>
        <v>2742.9698413521373</v>
      </c>
      <c r="J94" s="2563"/>
      <c r="K94" s="2564"/>
      <c r="L94" s="2583">
        <f>(L$67+SUM(L$78:L93))*$G94</f>
        <v>104.93850828855292</v>
      </c>
      <c r="M94" s="2584">
        <f>(M$67+SUM(M$78:M93))*$G94</f>
        <v>233.68054939903652</v>
      </c>
      <c r="N94" s="2585">
        <f>(N$67+SUM(N$78:N93))*$G94</f>
        <v>43.863751259575999</v>
      </c>
      <c r="O94" s="2583">
        <f>(O$67+SUM(O$78:O93))*$G94</f>
        <v>240.64885114903439</v>
      </c>
      <c r="P94" s="2583">
        <f>(P$67+SUM(P$78:P93))*$G94</f>
        <v>145.87428223821294</v>
      </c>
      <c r="Q94" s="2584">
        <f>(Q$67+SUM(Q$78:Q93))*$G94</f>
        <v>113.67787725123432</v>
      </c>
      <c r="R94" s="2585">
        <f>(R$67+SUM(R$78:R93))*$G94</f>
        <v>252.77928344998921</v>
      </c>
      <c r="S94" s="2583">
        <f>(S$67+SUM(S$78:S93))*$G94</f>
        <v>510.48946959486267</v>
      </c>
      <c r="T94" s="2583">
        <f>(T$67+SUM(T$78:T93))*$G94</f>
        <v>131.36270514374911</v>
      </c>
      <c r="U94" s="2584">
        <f>(U$67+SUM(U$78:U93))*$G94</f>
        <v>243.10435957835742</v>
      </c>
      <c r="V94" s="2585">
        <f>(V$67+SUM(V$78:V93))*$G94</f>
        <v>114.95263158367676</v>
      </c>
      <c r="W94" s="2583">
        <f>(W$67+SUM(W$78:W93))*$G94</f>
        <v>62.171854414533172</v>
      </c>
      <c r="X94" s="2583">
        <f>(X$67+SUM(X$78:X93))*$G94</f>
        <v>240.5527872519817</v>
      </c>
      <c r="Y94" s="2584">
        <f>(Y$67+SUM(Y$78:Y93))*$G94</f>
        <v>304.87293074934047</v>
      </c>
      <c r="Z94" s="2563"/>
      <c r="AA94" s="2564"/>
      <c r="AB94" s="2564"/>
      <c r="AC94" s="2568"/>
      <c r="AD94" s="2563"/>
      <c r="AE94" s="2564"/>
      <c r="AF94" s="2564"/>
      <c r="AG94" s="2568"/>
      <c r="AH94" s="2563"/>
      <c r="AI94" s="2564"/>
      <c r="AJ94" s="2564"/>
      <c r="AK94" s="2568"/>
    </row>
    <row r="95" spans="3:37" outlineLevel="1">
      <c r="C95" s="2552">
        <f t="shared" si="35"/>
        <v>3022.9735837502712</v>
      </c>
      <c r="D95" s="2562">
        <f>D94</f>
        <v>2007</v>
      </c>
      <c r="E95" s="2582">
        <v>1</v>
      </c>
      <c r="F95" s="2528">
        <f t="shared" si="38"/>
        <v>39263</v>
      </c>
      <c r="G95" s="2589">
        <f t="shared" si="36"/>
        <v>3.0563066560455709E-2</v>
      </c>
      <c r="H95" s="2517">
        <f t="shared" si="37"/>
        <v>3022.9735837502712</v>
      </c>
      <c r="J95" s="2563"/>
      <c r="K95" s="2564"/>
      <c r="L95" s="2583">
        <f>(L$67+SUM(L$78:L94))*$G95</f>
        <v>108.1457509021309</v>
      </c>
      <c r="M95" s="2584">
        <f>(M$67+SUM(M$78:M94))*$G95</f>
        <v>240.82254358420312</v>
      </c>
      <c r="N95" s="2585">
        <f>(N$67+SUM(N$78:N94))*$G95</f>
        <v>45.204362008913691</v>
      </c>
      <c r="O95" s="2583">
        <f>(O$67+SUM(O$78:O94))*$G95</f>
        <v>248.00381800439956</v>
      </c>
      <c r="P95" s="2583">
        <f>(P$67+SUM(P$78:P94))*$G95</f>
        <v>150.33264763571819</v>
      </c>
      <c r="Q95" s="2584">
        <f>(Q$67+SUM(Q$78:Q94))*$G95</f>
        <v>117.1522217801151</v>
      </c>
      <c r="R95" s="2591">
        <f>(R$67+SUM(R$78:R94))*$G95</f>
        <v>260.5049935151755</v>
      </c>
      <c r="S95" s="2592">
        <f>(S$67+SUM(S$78:S94))*$G95</f>
        <v>526.09159323250208</v>
      </c>
      <c r="T95" s="2592">
        <f>(T$67+SUM(T$78:T94))*$G95</f>
        <v>135.37755224461904</v>
      </c>
      <c r="U95" s="2593">
        <f>(U$67+SUM(U$78:U94))*$G95</f>
        <v>250.5343743012877</v>
      </c>
      <c r="V95" s="2591">
        <f>(V$67+SUM(V$78:V94))*$G95</f>
        <v>118.4659365140682</v>
      </c>
      <c r="W95" s="2592">
        <f>(W$67+SUM(W$78:W94))*$G95</f>
        <v>64.072016939191514</v>
      </c>
      <c r="X95" s="2592">
        <f>(X$67+SUM(X$78:X94))*$G95</f>
        <v>247.90481810006716</v>
      </c>
      <c r="Y95" s="2593">
        <f>(Y$67+SUM(Y$78:Y94))*$G95</f>
        <v>314.1907824243138</v>
      </c>
      <c r="Z95" s="2585">
        <f>(Z$67+SUM(Z$78:Z94))*$G95</f>
        <v>196.1701725635653</v>
      </c>
      <c r="AA95" s="2564"/>
      <c r="AB95" s="2564"/>
      <c r="AC95" s="2568"/>
      <c r="AD95" s="2563"/>
      <c r="AE95" s="2564"/>
      <c r="AF95" s="2564"/>
      <c r="AG95" s="2568"/>
      <c r="AH95" s="2563"/>
      <c r="AI95" s="2564"/>
      <c r="AJ95" s="2564"/>
      <c r="AK95" s="2568"/>
    </row>
    <row r="96" spans="3:37" outlineLevel="1">
      <c r="C96" s="2594">
        <f t="shared" si="35"/>
        <v>3436.8655113144187</v>
      </c>
      <c r="D96" s="2562">
        <f>D95</f>
        <v>2007</v>
      </c>
      <c r="E96" s="2582">
        <v>1</v>
      </c>
      <c r="F96" s="2528">
        <f t="shared" si="38"/>
        <v>39355</v>
      </c>
      <c r="G96" s="2595">
        <f t="shared" si="36"/>
        <v>3.0563066560455709E-2</v>
      </c>
      <c r="H96" s="2596">
        <f t="shared" si="37"/>
        <v>3436.8655113144187</v>
      </c>
      <c r="J96" s="2563"/>
      <c r="K96" s="2564"/>
      <c r="L96" s="2592">
        <f>(L$67+SUM(L$78:L95))*$G96</f>
        <v>111.45101668518318</v>
      </c>
      <c r="M96" s="2593">
        <f>(M$67+SUM(M$78:M95))*$G96</f>
        <v>248.18281901302535</v>
      </c>
      <c r="N96" s="2591">
        <f>(N$67+SUM(N$78:N95))*$G96</f>
        <v>46.585945933815047</v>
      </c>
      <c r="O96" s="2592">
        <f>(O$67+SUM(O$78:O95))*$G96</f>
        <v>255.58357520131514</v>
      </c>
      <c r="P96" s="2592">
        <f>(P$67+SUM(P$78:P95))*$G96</f>
        <v>154.92727435161817</v>
      </c>
      <c r="Q96" s="2593">
        <f>(Q$67+SUM(Q$78:Q95))*$G96</f>
        <v>120.73275293208603</v>
      </c>
      <c r="R96" s="2591">
        <f>(R$67+SUM(R$78:R95))*$G96</f>
        <v>268.46682497131087</v>
      </c>
      <c r="S96" s="2592">
        <f>(S$67+SUM(S$78:S95))*$G96</f>
        <v>542.17056561336335</v>
      </c>
      <c r="T96" s="2592">
        <f>(T$67+SUM(T$78:T95))*$G96</f>
        <v>139.51510538466289</v>
      </c>
      <c r="U96" s="2593">
        <f>(U$67+SUM(U$78:U95))*$G96</f>
        <v>258.19147305874009</v>
      </c>
      <c r="V96" s="2591">
        <f>(V$67+SUM(V$78:V95))*$G96</f>
        <v>122.0866188168944</v>
      </c>
      <c r="W96" s="2592">
        <f>(W$67+SUM(W$78:W95))*$G96</f>
        <v>66.030254257566668</v>
      </c>
      <c r="X96" s="2592">
        <f>(X$67+SUM(X$78:X95))*$G96</f>
        <v>255.48154955631719</v>
      </c>
      <c r="Y96" s="2593">
        <f>(Y$67+SUM(Y$78:Y95))*$G96</f>
        <v>323.79341622022974</v>
      </c>
      <c r="Z96" s="2585">
        <f>(Z$67+SUM(Z$78:Z95))*$G96</f>
        <v>202.16573460480163</v>
      </c>
      <c r="AA96" s="2583">
        <f>(AA$67+SUM(AA$78:AA95))*$G96</f>
        <v>321.50058471348888</v>
      </c>
      <c r="AB96" s="2564"/>
      <c r="AC96" s="2568"/>
      <c r="AD96" s="2563"/>
      <c r="AE96" s="2564"/>
      <c r="AF96" s="2564"/>
      <c r="AG96" s="2568"/>
      <c r="AH96" s="2563"/>
      <c r="AI96" s="2564"/>
      <c r="AJ96" s="2564"/>
      <c r="AK96" s="2568"/>
    </row>
    <row r="97" spans="3:66" outlineLevel="1">
      <c r="C97" s="2569">
        <f t="shared" si="35"/>
        <v>3891.2623247873457</v>
      </c>
      <c r="D97" s="2570">
        <f>D96</f>
        <v>2007</v>
      </c>
      <c r="E97" s="2586">
        <v>1</v>
      </c>
      <c r="F97" s="2572">
        <f t="shared" si="38"/>
        <v>39447</v>
      </c>
      <c r="G97" s="2590">
        <f t="shared" si="36"/>
        <v>3.0563066560455709E-2</v>
      </c>
      <c r="H97" s="2574">
        <f t="shared" si="37"/>
        <v>3891.2623247873457</v>
      </c>
      <c r="J97" s="2575"/>
      <c r="K97" s="2576"/>
      <c r="L97" s="2577">
        <f>(L$67+SUM(L$78:L96))*$G97</f>
        <v>114.85730152636289</v>
      </c>
      <c r="M97" s="2587">
        <f>(M$67+SUM(M$78:M96))*$G97</f>
        <v>255.76804702968198</v>
      </c>
      <c r="N97" s="2588">
        <f>(N$67+SUM(N$78:N96))*$G97</f>
        <v>48.009755300172031</v>
      </c>
      <c r="O97" s="2577">
        <f>(O$67+SUM(O$78:O96))*$G97</f>
        <v>263.39499302195219</v>
      </c>
      <c r="P97" s="2577">
        <f>(P$67+SUM(P$78:P96))*$G97</f>
        <v>159.66232694965663</v>
      </c>
      <c r="Q97" s="2587">
        <f>(Q$67+SUM(Q$78:Q96))*$G97</f>
        <v>124.42271609597644</v>
      </c>
      <c r="R97" s="2588">
        <f>(R$67+SUM(R$78:R96))*$G97</f>
        <v>276.67199441218332</v>
      </c>
      <c r="S97" s="2577">
        <f>(S$67+SUM(S$78:S96))*$G97</f>
        <v>558.74096069732434</v>
      </c>
      <c r="T97" s="2577">
        <f>(T$67+SUM(T$78:T96))*$G97</f>
        <v>143.77911483672332</v>
      </c>
      <c r="U97" s="2587">
        <f>(U$67+SUM(U$78:U96))*$G97</f>
        <v>266.08259623517642</v>
      </c>
      <c r="V97" s="2588">
        <f>(V$67+SUM(V$78:V96))*$G97</f>
        <v>125.81796027393614</v>
      </c>
      <c r="W97" s="2577">
        <f>(W$67+SUM(W$78:W96))*$G97</f>
        <v>68.048341313444496</v>
      </c>
      <c r="X97" s="2577">
        <f>(X$67+SUM(X$78:X96))*$G97</f>
        <v>263.28984916037524</v>
      </c>
      <c r="Y97" s="2587">
        <f>(Y$67+SUM(Y$78:Y96))*$G97</f>
        <v>333.68953595200594</v>
      </c>
      <c r="Z97" s="2588">
        <f>(Z$67+SUM(Z$78:Z96))*$G97</f>
        <v>208.34453940777161</v>
      </c>
      <c r="AA97" s="2577">
        <f>(AA$67+SUM(AA$78:AA96))*$G97</f>
        <v>331.32662848331267</v>
      </c>
      <c r="AB97" s="2577">
        <f>(AB$67+SUM(AB$78:AB96))*$G97</f>
        <v>349.35566409129075</v>
      </c>
      <c r="AC97" s="2581"/>
      <c r="AD97" s="2575"/>
      <c r="AE97" s="2576"/>
      <c r="AF97" s="2576"/>
      <c r="AG97" s="2581"/>
      <c r="AH97" s="2575"/>
      <c r="AI97" s="2576"/>
      <c r="AJ97" s="2576"/>
      <c r="AK97" s="2581"/>
    </row>
    <row r="98" spans="3:66" outlineLevel="1">
      <c r="C98" s="2552">
        <f t="shared" si="35"/>
        <v>4599.0486178630563</v>
      </c>
      <c r="D98" s="2553">
        <f>D97+1</f>
        <v>2008</v>
      </c>
      <c r="E98" s="2582">
        <v>1</v>
      </c>
      <c r="F98" s="2528">
        <f t="shared" si="38"/>
        <v>39538</v>
      </c>
      <c r="G98" s="2589">
        <f t="shared" si="36"/>
        <v>3.1883103740301566E-2</v>
      </c>
      <c r="H98" s="2517">
        <f t="shared" si="37"/>
        <v>4599.0486178630563</v>
      </c>
      <c r="J98" s="2563"/>
      <c r="K98" s="2564"/>
      <c r="L98" s="2583">
        <f>(L$67+SUM(L$78:L97))*$G98</f>
        <v>123.4800645432659</v>
      </c>
      <c r="M98" s="2584">
        <f>(M$67+SUM(M$78:M97))*$G98</f>
        <v>274.96950159569269</v>
      </c>
      <c r="N98" s="2585">
        <f>(N$67+SUM(N$78:N97))*$G98</f>
        <v>51.614025441917157</v>
      </c>
      <c r="O98" s="2583">
        <f>(O$67+SUM(O$78:O97))*$G98</f>
        <v>283.16903067114606</v>
      </c>
      <c r="P98" s="2583">
        <f>(P$67+SUM(P$78:P97))*$G98</f>
        <v>171.64876916724768</v>
      </c>
      <c r="Q98" s="2584">
        <f>(Q$67+SUM(Q$78:Q97))*$G98</f>
        <v>133.76359021157418</v>
      </c>
      <c r="R98" s="2585">
        <f>(R$67+SUM(R$78:R97))*$G98</f>
        <v>297.44278572911662</v>
      </c>
      <c r="S98" s="2583">
        <f>(S$67+SUM(S$78:S97))*$G98</f>
        <v>600.68771399819241</v>
      </c>
      <c r="T98" s="2583">
        <f>(T$67+SUM(T$78:T97))*$G98</f>
        <v>154.57314549512765</v>
      </c>
      <c r="U98" s="2584">
        <f>(U$67+SUM(U$78:U97))*$G98</f>
        <v>286.05840221153051</v>
      </c>
      <c r="V98" s="2585">
        <f>(V$67+SUM(V$78:V97))*$G98</f>
        <v>135.26358053747029</v>
      </c>
      <c r="W98" s="2583">
        <f>(W$67+SUM(W$78:W97))*$G98</f>
        <v>73.156982323128005</v>
      </c>
      <c r="X98" s="2583">
        <f>(X$67+SUM(X$78:X97))*$G98</f>
        <v>283.05599327046446</v>
      </c>
      <c r="Y98" s="2584">
        <f>(Y$67+SUM(Y$78:Y97))*$G98</f>
        <v>358.74084528538827</v>
      </c>
      <c r="Z98" s="2585">
        <f>(Z$67+SUM(Z$78:Z97))*$G98</f>
        <v>223.9857356165009</v>
      </c>
      <c r="AA98" s="2583">
        <f>(AA$67+SUM(AA$78:AA97))*$G98</f>
        <v>356.20054560163646</v>
      </c>
      <c r="AB98" s="2583">
        <f>(AB$67+SUM(AB$78:AB97))*$G98</f>
        <v>375.58308768595475</v>
      </c>
      <c r="AC98" s="2584">
        <f>(AC$67+SUM(AC$78:AC97))*$G98</f>
        <v>415.65481847770224</v>
      </c>
      <c r="AD98" s="2563"/>
      <c r="AE98" s="2564"/>
      <c r="AF98" s="2564"/>
      <c r="AG98" s="2568"/>
      <c r="AH98" s="2563"/>
      <c r="AI98" s="2564"/>
      <c r="AJ98" s="2564"/>
      <c r="AK98" s="2568"/>
    </row>
    <row r="99" spans="3:66" outlineLevel="1">
      <c r="C99" s="2552">
        <f t="shared" si="35"/>
        <v>5337.6081436208906</v>
      </c>
      <c r="D99" s="2562">
        <f>D98</f>
        <v>2008</v>
      </c>
      <c r="E99" s="2582">
        <v>1</v>
      </c>
      <c r="F99" s="2528">
        <f t="shared" si="38"/>
        <v>39629</v>
      </c>
      <c r="G99" s="2589">
        <f t="shared" si="36"/>
        <v>3.1883103740301566E-2</v>
      </c>
      <c r="H99" s="2517">
        <f t="shared" si="37"/>
        <v>5337.6081436208906</v>
      </c>
      <c r="J99" s="2563"/>
      <c r="K99" s="2564"/>
      <c r="L99" s="2583">
        <f>(L$67+SUM(L$78:L98))*$G99</f>
        <v>127.41699225095799</v>
      </c>
      <c r="M99" s="2584">
        <f>(M$67+SUM(M$78:M98))*$G99</f>
        <v>283.73638274048722</v>
      </c>
      <c r="N99" s="2585">
        <f>(N$67+SUM(N$78:N98))*$G99</f>
        <v>53.259640769536361</v>
      </c>
      <c r="O99" s="2583">
        <f>(O$67+SUM(O$78:O98))*$G99</f>
        <v>292.19733825207487</v>
      </c>
      <c r="P99" s="2583">
        <f>(P$67+SUM(P$78:P98))*$G99</f>
        <v>177.12146468150209</v>
      </c>
      <c r="Q99" s="2584">
        <f>(Q$67+SUM(Q$78:Q98))*$G99</f>
        <v>138.02838863496498</v>
      </c>
      <c r="R99" s="2585">
        <f>(R$67+SUM(R$78:R98))*$G99</f>
        <v>306.9261849233223</v>
      </c>
      <c r="S99" s="2583">
        <f>(S$67+SUM(S$78:S98))*$G99</f>
        <v>619.83950269912134</v>
      </c>
      <c r="T99" s="2583">
        <f>(T$67+SUM(T$78:T98))*$G99</f>
        <v>159.50141712841352</v>
      </c>
      <c r="U99" s="2584">
        <f>(U$67+SUM(U$78:U98))*$G99</f>
        <v>295.17883192502563</v>
      </c>
      <c r="V99" s="2585">
        <f>(V$67+SUM(V$78:V98))*$G99</f>
        <v>139.5762033080311</v>
      </c>
      <c r="W99" s="2583">
        <f>(W$67+SUM(W$78:W98))*$G99</f>
        <v>75.489453979863697</v>
      </c>
      <c r="X99" s="2583">
        <f>(X$67+SUM(X$78:X98))*$G99</f>
        <v>292.08069686822074</v>
      </c>
      <c r="Y99" s="2584">
        <f>(Y$67+SUM(Y$78:Y98))*$G99</f>
        <v>370.17861687150582</v>
      </c>
      <c r="Z99" s="2585">
        <f>(Z$67+SUM(Z$78:Z98))*$G99</f>
        <v>231.12709606150955</v>
      </c>
      <c r="AA99" s="2583">
        <f>(AA$67+SUM(AA$78:AA98))*$G99</f>
        <v>367.55732454940545</v>
      </c>
      <c r="AB99" s="2583">
        <f>(AB$67+SUM(AB$78:AB98))*$G99</f>
        <v>387.55784223374883</v>
      </c>
      <c r="AC99" s="2584">
        <f>(AC$67+SUM(AC$78:AC98))*$G99</f>
        <v>428.90718417538307</v>
      </c>
      <c r="AD99" s="2585">
        <f>(AD$67+SUM(AD$78:AD98))*$G99</f>
        <v>591.92758156781667</v>
      </c>
      <c r="AE99" s="2564"/>
      <c r="AF99" s="2564"/>
      <c r="AG99" s="2568"/>
      <c r="AH99" s="2563"/>
      <c r="AI99" s="2564"/>
      <c r="AJ99" s="2564"/>
      <c r="AK99" s="2568"/>
    </row>
    <row r="100" spans="3:66" outlineLevel="1">
      <c r="C100" s="2594">
        <f t="shared" si="35"/>
        <v>6022.8114249728424</v>
      </c>
      <c r="D100" s="2562">
        <f>D99</f>
        <v>2008</v>
      </c>
      <c r="E100" s="2582">
        <v>1</v>
      </c>
      <c r="F100" s="2528">
        <f t="shared" si="38"/>
        <v>39721</v>
      </c>
      <c r="G100" s="2595">
        <f t="shared" si="36"/>
        <v>3.1883103740301566E-2</v>
      </c>
      <c r="H100" s="2596">
        <f t="shared" si="37"/>
        <v>6022.8114249728424</v>
      </c>
      <c r="J100" s="2563"/>
      <c r="K100" s="2564"/>
      <c r="L100" s="2583">
        <f>(L$67+SUM(L$78:L99))*$G100</f>
        <v>131.4794414331725</v>
      </c>
      <c r="M100" s="2584">
        <f>(M$67+SUM(M$78:M99))*$G100</f>
        <v>292.78277926630005</v>
      </c>
      <c r="N100" s="2585">
        <f>(N$67+SUM(N$78:N99))*$G100</f>
        <v>54.957723421362687</v>
      </c>
      <c r="O100" s="2583">
        <f>(O$67+SUM(O$78:O99))*$G100</f>
        <v>301.51349630020576</v>
      </c>
      <c r="P100" s="2583">
        <f>(P$67+SUM(P$78:P99))*$G100</f>
        <v>182.76864671457659</v>
      </c>
      <c r="Q100" s="2584">
        <f>(Q$67+SUM(Q$78:Q99))*$G100</f>
        <v>142.42916206892022</v>
      </c>
      <c r="R100" s="2585">
        <f>(R$67+SUM(R$78:R99))*$G100</f>
        <v>316.71194431784761</v>
      </c>
      <c r="S100" s="2583">
        <f>(S$67+SUM(S$78:S99))*$G100</f>
        <v>639.60190986601435</v>
      </c>
      <c r="T100" s="2583">
        <f>(T$67+SUM(T$78:T99))*$G100</f>
        <v>164.58681735744383</v>
      </c>
      <c r="U100" s="2584">
        <f>(U$67+SUM(U$78:U99))*$G100</f>
        <v>304.59004924523231</v>
      </c>
      <c r="V100" s="2585">
        <f>(V$67+SUM(V$78:V99))*$G100</f>
        <v>144.02632587777848</v>
      </c>
      <c r="W100" s="2583">
        <f>(W$67+SUM(W$78:W99))*$G100</f>
        <v>77.896292072402417</v>
      </c>
      <c r="X100" s="2583">
        <f>(X$67+SUM(X$78:X99))*$G100</f>
        <v>301.3931360270098</v>
      </c>
      <c r="Y100" s="2584">
        <f>(Y$67+SUM(Y$78:Y99))*$G100</f>
        <v>381.98106011566131</v>
      </c>
      <c r="Z100" s="2585">
        <f>(Z$67+SUM(Z$78:Z99))*$G100</f>
        <v>238.49614524243333</v>
      </c>
      <c r="AA100" s="2583">
        <f>(AA$67+SUM(AA$78:AA99))*$G100</f>
        <v>379.27619285852182</v>
      </c>
      <c r="AB100" s="2583">
        <f>(AB$67+SUM(AB$78:AB99))*$G100</f>
        <v>399.91438912305489</v>
      </c>
      <c r="AC100" s="2584">
        <f>(AC$67+SUM(AC$78:AC99))*$G100</f>
        <v>442.58207642340744</v>
      </c>
      <c r="AD100" s="2585">
        <f>(AD$67+SUM(AD$78:AD99))*$G100</f>
        <v>610.80007005768914</v>
      </c>
      <c r="AE100" s="2583">
        <f>(AE$67+SUM(AE$78:AE99))*$G100</f>
        <v>515.02376718380663</v>
      </c>
      <c r="AF100" s="2564"/>
      <c r="AG100" s="2568"/>
      <c r="AH100" s="2563"/>
      <c r="AI100" s="2564"/>
      <c r="AJ100" s="2564"/>
      <c r="AK100" s="2568"/>
    </row>
    <row r="101" spans="3:66" outlineLevel="1">
      <c r="C101" s="2569">
        <f t="shared" si="35"/>
        <v>6946.7986573796998</v>
      </c>
      <c r="D101" s="2570">
        <f>D100</f>
        <v>2008</v>
      </c>
      <c r="E101" s="2586">
        <v>1</v>
      </c>
      <c r="F101" s="2572">
        <f t="shared" si="38"/>
        <v>39813</v>
      </c>
      <c r="G101" s="2590">
        <f t="shared" si="36"/>
        <v>3.1883103740301566E-2</v>
      </c>
      <c r="H101" s="2574">
        <f t="shared" si="37"/>
        <v>6946.7986573796998</v>
      </c>
      <c r="J101" s="2575"/>
      <c r="K101" s="2576"/>
      <c r="L101" s="2577">
        <f>(L$67+SUM(L$78:L100))*$G101</f>
        <v>135.67141410410323</v>
      </c>
      <c r="M101" s="2587">
        <f>(M$67+SUM(M$78:M100))*$G101</f>
        <v>302.11760299102133</v>
      </c>
      <c r="N101" s="2588">
        <f>(N$67+SUM(N$78:N100))*$G101</f>
        <v>56.7099462185368</v>
      </c>
      <c r="O101" s="2577">
        <f>(O$67+SUM(O$78:O100))*$G101</f>
        <v>311.12668238184625</v>
      </c>
      <c r="P101" s="2577">
        <f>(P$67+SUM(P$78:P100))*$G101</f>
        <v>188.59587843825196</v>
      </c>
      <c r="Q101" s="2587">
        <f>(Q$67+SUM(Q$78:Q100))*$G101</f>
        <v>146.97024581880785</v>
      </c>
      <c r="R101" s="2588">
        <f>(R$67+SUM(R$78:R100))*$G101</f>
        <v>326.80970409432609</v>
      </c>
      <c r="S101" s="2577">
        <f>(S$67+SUM(S$78:S100))*$G101</f>
        <v>659.99440391076746</v>
      </c>
      <c r="T101" s="2577">
        <f>(T$67+SUM(T$78:T100))*$G101</f>
        <v>169.83435592953728</v>
      </c>
      <c r="U101" s="2587">
        <f>(U$67+SUM(U$78:U100))*$G101</f>
        <v>314.30132538358157</v>
      </c>
      <c r="V101" s="2588">
        <f>(V$67+SUM(V$78:V100))*$G101</f>
        <v>148.61833216707416</v>
      </c>
      <c r="W101" s="2577">
        <f>(W$67+SUM(W$78:W100))*$G101</f>
        <v>80.37986763353166</v>
      </c>
      <c r="X101" s="2577">
        <f>(X$67+SUM(X$78:X100))*$G101</f>
        <v>311.00248464957383</v>
      </c>
      <c r="Y101" s="2587">
        <f>(Y$67+SUM(Y$78:Y100))*$G101</f>
        <v>394.15980188215934</v>
      </c>
      <c r="Z101" s="2588">
        <f>(Z$67+SUM(Z$78:Z100))*$G101</f>
        <v>246.10014258285986</v>
      </c>
      <c r="AA101" s="2577">
        <f>(AA$67+SUM(AA$78:AA100))*$G101</f>
        <v>391.36869506165669</v>
      </c>
      <c r="AB101" s="2577">
        <f>(AB$67+SUM(AB$78:AB100))*$G101</f>
        <v>412.66490107870459</v>
      </c>
      <c r="AC101" s="2587">
        <f>(AC$67+SUM(AC$78:AC100))*$G101</f>
        <v>456.69296667961299</v>
      </c>
      <c r="AD101" s="2588">
        <f>(AD$67+SUM(AD$78:AD100))*$G101</f>
        <v>630.27427205592187</v>
      </c>
      <c r="AE101" s="2577">
        <f>(AE$67+SUM(AE$78:AE100))*$G101</f>
        <v>531.44432338164881</v>
      </c>
      <c r="AF101" s="2577">
        <f>(AF$67+SUM(AF$78:AF100))*$G101</f>
        <v>731.96131093617532</v>
      </c>
      <c r="AG101" s="2581"/>
      <c r="AH101" s="2575"/>
      <c r="AI101" s="2576"/>
      <c r="AJ101" s="2576"/>
      <c r="AK101" s="2581"/>
    </row>
    <row r="102" spans="3:66" outlineLevel="1">
      <c r="C102" s="2552">
        <f t="shared" si="35"/>
        <v>6802.7308991812852</v>
      </c>
      <c r="D102" s="2553">
        <f>D101+1</f>
        <v>2009</v>
      </c>
      <c r="E102" s="2582">
        <v>1</v>
      </c>
      <c r="F102" s="2528">
        <f t="shared" si="38"/>
        <v>39903</v>
      </c>
      <c r="G102" s="2589">
        <f t="shared" si="36"/>
        <v>2.8549908386192646E-2</v>
      </c>
      <c r="H102" s="2517">
        <f t="shared" si="37"/>
        <v>6802.7308991812852</v>
      </c>
      <c r="J102" s="2563"/>
      <c r="K102" s="2564"/>
      <c r="L102" s="2583">
        <f>(L$67+SUM(L$78:L101))*$G102</f>
        <v>125.36115352236249</v>
      </c>
      <c r="M102" s="2584">
        <f>(M$67+SUM(M$78:M101))*$G102</f>
        <v>279.15837290016225</v>
      </c>
      <c r="N102" s="2585">
        <f>(N$67+SUM(N$78:N101))*$G102</f>
        <v>52.400310862035163</v>
      </c>
      <c r="O102" s="2583">
        <f>(O$67+SUM(O$78:O101))*$G102</f>
        <v>287.48281318160394</v>
      </c>
      <c r="P102" s="2583">
        <f>(P$67+SUM(P$78:P101))*$G102</f>
        <v>174.26365772557736</v>
      </c>
      <c r="Q102" s="2584">
        <f>(Q$67+SUM(Q$78:Q101))*$G102</f>
        <v>135.80133789402066</v>
      </c>
      <c r="R102" s="2585">
        <f>(R$67+SUM(R$78:R101))*$G102</f>
        <v>301.97401389308288</v>
      </c>
      <c r="S102" s="2583">
        <f>(S$67+SUM(S$78:S101))*$G102</f>
        <v>609.83855986841616</v>
      </c>
      <c r="T102" s="2583">
        <f>(T$67+SUM(T$78:T101))*$G102</f>
        <v>156.92790487698147</v>
      </c>
      <c r="U102" s="2584">
        <f>(U$67+SUM(U$78:U101))*$G102</f>
        <v>290.4162012600525</v>
      </c>
      <c r="V102" s="2585">
        <f>(V$67+SUM(V$78:V101))*$G102</f>
        <v>137.32417899571797</v>
      </c>
      <c r="W102" s="2583">
        <f>(W$67+SUM(W$78:W101))*$G102</f>
        <v>74.271452045030202</v>
      </c>
      <c r="X102" s="2583">
        <f>(X$67+SUM(X$78:X101))*$G102</f>
        <v>287.36805377494971</v>
      </c>
      <c r="Y102" s="2584">
        <f>(Y$67+SUM(Y$78:Y101))*$G102</f>
        <v>364.20588494919315</v>
      </c>
      <c r="Z102" s="2585">
        <f>(Z$67+SUM(Z$78:Z101))*$G102</f>
        <v>227.39792284122822</v>
      </c>
      <c r="AA102" s="2583">
        <f>(AA$67+SUM(AA$78:AA101))*$G102</f>
        <v>361.62688647016302</v>
      </c>
      <c r="AB102" s="2583">
        <f>(AB$67+SUM(AB$78:AB101))*$G102</f>
        <v>381.30470120789749</v>
      </c>
      <c r="AC102" s="2584">
        <f>(AC$67+SUM(AC$78:AC101))*$G102</f>
        <v>421.98688269421251</v>
      </c>
      <c r="AD102" s="2585">
        <f>(AD$67+SUM(AD$78:AD101))*$G102</f>
        <v>582.37699003984994</v>
      </c>
      <c r="AE102" s="2583">
        <f>(AE$67+SUM(AE$78:AE101))*$G102</f>
        <v>491.05755882307125</v>
      </c>
      <c r="AF102" s="2583">
        <f>(AF$67+SUM(AF$78:AF101))*$G102</f>
        <v>676.33638875681481</v>
      </c>
      <c r="AG102" s="2584">
        <f>(AG$67+SUM(AG$78:AG101))*$G102</f>
        <v>383.84967259886179</v>
      </c>
      <c r="AH102" s="2563"/>
      <c r="AI102" s="2564"/>
      <c r="AJ102" s="2564"/>
      <c r="AK102" s="2568"/>
    </row>
    <row r="103" spans="3:66" outlineLevel="1">
      <c r="C103" s="2552">
        <f t="shared" si="35"/>
        <v>6996.9482431288325</v>
      </c>
      <c r="D103" s="2562">
        <f>D102</f>
        <v>2009</v>
      </c>
      <c r="E103" s="2582">
        <v>1</v>
      </c>
      <c r="F103" s="2528">
        <f t="shared" si="38"/>
        <v>39994</v>
      </c>
      <c r="G103" s="2589">
        <f t="shared" si="36"/>
        <v>2.8549908386192646E-2</v>
      </c>
      <c r="H103" s="2517">
        <f t="shared" si="37"/>
        <v>6996.9482431288325</v>
      </c>
      <c r="J103" s="2563"/>
      <c r="K103" s="2564"/>
      <c r="L103" s="2583">
        <f>(L$67+SUM(L$78:L102))*$G103</f>
        <v>128.94020297061337</v>
      </c>
      <c r="M103" s="2584">
        <f>(M$67+SUM(M$78:M102))*$G103</f>
        <v>287.12831887170051</v>
      </c>
      <c r="N103" s="2585">
        <f>(N$67+SUM(N$78:N102))*$G103</f>
        <v>53.896334936554283</v>
      </c>
      <c r="O103" s="2583">
        <f>(O$67+SUM(O$78:O102))*$G103</f>
        <v>295.69042116054374</v>
      </c>
      <c r="P103" s="2583">
        <f>(P$67+SUM(P$78:P102))*$G103</f>
        <v>179.23886918868544</v>
      </c>
      <c r="Q103" s="2584">
        <f>(Q$67+SUM(Q$78:Q102))*$G103</f>
        <v>139.67845364961732</v>
      </c>
      <c r="R103" s="2591">
        <f>(R$67+SUM(R$78:R102))*$G103</f>
        <v>310.59534432474129</v>
      </c>
      <c r="S103" s="2592">
        <f>(S$67+SUM(S$78:S102))*$G103</f>
        <v>627.24939488302721</v>
      </c>
      <c r="T103" s="2592">
        <f>(T$67+SUM(T$78:T102))*$G103</f>
        <v>161.40818218445645</v>
      </c>
      <c r="U103" s="2593">
        <f>(U$67+SUM(U$78:U102))*$G103</f>
        <v>298.70755719989313</v>
      </c>
      <c r="V103" s="2591">
        <f>(V$67+SUM(V$78:V102))*$G103</f>
        <v>141.24477172525485</v>
      </c>
      <c r="W103" s="2592">
        <f>(W$67+SUM(W$78:W102))*$G103</f>
        <v>76.391895196625313</v>
      </c>
      <c r="X103" s="2592">
        <f>(X$67+SUM(X$78:X102))*$G103</f>
        <v>295.57238538334298</v>
      </c>
      <c r="Y103" s="2593">
        <f>(Y$67+SUM(Y$78:Y102))*$G103</f>
        <v>374.60392959820479</v>
      </c>
      <c r="Z103" s="2591">
        <f>(Z$67+SUM(Z$78:Z102))*$G103</f>
        <v>233.89011270555579</v>
      </c>
      <c r="AA103" s="2592">
        <f>(AA$67+SUM(AA$78:AA102))*$G103</f>
        <v>371.95130094887026</v>
      </c>
      <c r="AB103" s="2592">
        <f>(AB$67+SUM(AB$78:AB102))*$G103</f>
        <v>392.19091549460757</v>
      </c>
      <c r="AC103" s="2593">
        <f>(AC$67+SUM(AC$78:AC102))*$G103</f>
        <v>434.0345695353073</v>
      </c>
      <c r="AD103" s="2591">
        <f>(AD$67+SUM(AD$78:AD102))*$G103</f>
        <v>599.00379975171427</v>
      </c>
      <c r="AE103" s="2592">
        <f>(AE$67+SUM(AE$78:AE102))*$G103</f>
        <v>505.07720713981735</v>
      </c>
      <c r="AF103" s="2592">
        <f>(AF$67+SUM(AF$78:AF102))*$G103</f>
        <v>695.64573069407027</v>
      </c>
      <c r="AG103" s="2593">
        <f>(AG$67+SUM(AG$78:AG102))*$G103</f>
        <v>394.80854558562936</v>
      </c>
      <c r="AH103" s="2563"/>
      <c r="AI103" s="2564"/>
      <c r="AJ103" s="2564"/>
      <c r="AK103" s="2568"/>
    </row>
    <row r="104" spans="3:66" outlineLevel="1">
      <c r="C104" s="2594">
        <f t="shared" si="35"/>
        <v>0</v>
      </c>
      <c r="D104" s="2562">
        <f>D103</f>
        <v>2009</v>
      </c>
      <c r="E104" s="2582">
        <v>0</v>
      </c>
      <c r="F104" s="2528">
        <f t="shared" si="38"/>
        <v>40086</v>
      </c>
      <c r="G104" s="2595">
        <f t="shared" si="36"/>
        <v>2.8549908386192646E-2</v>
      </c>
      <c r="H104" s="2596">
        <f t="shared" si="37"/>
        <v>0</v>
      </c>
      <c r="J104" s="2563"/>
      <c r="K104" s="2564"/>
      <c r="L104" s="2564"/>
      <c r="M104" s="2568"/>
      <c r="N104" s="2563"/>
      <c r="O104" s="2564"/>
      <c r="P104" s="2564"/>
      <c r="Q104" s="2568"/>
      <c r="R104" s="2563"/>
      <c r="S104" s="2564"/>
      <c r="T104" s="2564"/>
      <c r="U104" s="2568"/>
      <c r="V104" s="2563"/>
      <c r="W104" s="2564"/>
      <c r="X104" s="2564"/>
      <c r="Y104" s="2568"/>
      <c r="Z104" s="2563"/>
      <c r="AA104" s="2564"/>
      <c r="AB104" s="2564"/>
      <c r="AC104" s="2568"/>
      <c r="AD104" s="2563"/>
      <c r="AE104" s="2564"/>
      <c r="AF104" s="2564"/>
      <c r="AG104" s="2568"/>
      <c r="AH104" s="2563"/>
      <c r="AI104" s="2564"/>
      <c r="AJ104" s="2564"/>
      <c r="AK104" s="2568"/>
    </row>
    <row r="105" spans="3:66" outlineLevel="1">
      <c r="C105" s="2569">
        <f t="shared" si="35"/>
        <v>0</v>
      </c>
      <c r="D105" s="2570">
        <f>D104</f>
        <v>2009</v>
      </c>
      <c r="E105" s="2586">
        <v>0</v>
      </c>
      <c r="F105" s="2572">
        <f t="shared" si="38"/>
        <v>40178</v>
      </c>
      <c r="G105" s="2590">
        <f t="shared" si="36"/>
        <v>2.8549908386192646E-2</v>
      </c>
      <c r="H105" s="2574">
        <f t="shared" si="37"/>
        <v>0</v>
      </c>
      <c r="J105" s="2575"/>
      <c r="K105" s="2576"/>
      <c r="L105" s="2576"/>
      <c r="M105" s="2581"/>
      <c r="N105" s="2575"/>
      <c r="O105" s="2576"/>
      <c r="P105" s="2576"/>
      <c r="Q105" s="2581"/>
      <c r="R105" s="2575"/>
      <c r="S105" s="2576"/>
      <c r="T105" s="2576"/>
      <c r="U105" s="2581"/>
      <c r="V105" s="2575"/>
      <c r="W105" s="2576"/>
      <c r="X105" s="2576"/>
      <c r="Y105" s="2581"/>
      <c r="Z105" s="2575"/>
      <c r="AA105" s="2576"/>
      <c r="AB105" s="2576"/>
      <c r="AC105" s="2581"/>
      <c r="AD105" s="2575"/>
      <c r="AE105" s="2576"/>
      <c r="AF105" s="2576"/>
      <c r="AG105" s="2581"/>
      <c r="AH105" s="2575"/>
      <c r="AI105" s="2576"/>
      <c r="AJ105" s="2576"/>
      <c r="AK105" s="2581"/>
    </row>
    <row r="106" spans="3:66" outlineLevel="1">
      <c r="D106" s="2562"/>
      <c r="F106" s="2539"/>
      <c r="G106" s="2555"/>
      <c r="H106" s="2597"/>
      <c r="J106" s="2598"/>
      <c r="K106" s="2598"/>
      <c r="L106" s="2598"/>
      <c r="M106" s="2598"/>
      <c r="N106" s="2598"/>
      <c r="O106" s="2598"/>
      <c r="P106" s="2598"/>
      <c r="Q106" s="2598"/>
      <c r="R106" s="2599"/>
      <c r="S106" s="2599"/>
      <c r="T106" s="2599"/>
      <c r="U106" s="2599"/>
      <c r="V106" s="2599"/>
      <c r="W106" s="2599"/>
      <c r="X106" s="2599"/>
      <c r="Y106" s="2599"/>
      <c r="Z106" s="2599"/>
      <c r="AA106" s="2599"/>
      <c r="AB106" s="2599"/>
      <c r="AC106" s="2599"/>
      <c r="AD106" s="2599"/>
      <c r="AE106" s="2599"/>
      <c r="AF106" s="2599"/>
      <c r="AG106" s="2599"/>
      <c r="AH106" s="2599"/>
      <c r="AI106" s="2599"/>
      <c r="AJ106" s="2599"/>
      <c r="AK106" s="2599"/>
      <c r="AL106" s="2599"/>
      <c r="AM106" s="2599"/>
      <c r="AN106" s="2600"/>
      <c r="AO106" s="2600"/>
      <c r="AP106" s="2600"/>
      <c r="AQ106" s="2600"/>
    </row>
    <row r="107" spans="3:66" outlineLevel="1">
      <c r="D107" s="2562"/>
      <c r="F107" s="2539"/>
      <c r="G107" s="2555"/>
      <c r="H107" s="2597"/>
      <c r="J107" s="2598"/>
      <c r="K107" s="2598"/>
      <c r="L107" s="2598"/>
      <c r="M107" s="2598"/>
      <c r="N107" s="2598"/>
      <c r="O107" s="2598"/>
      <c r="P107" s="2598"/>
      <c r="Q107" s="2598"/>
      <c r="R107" s="2599"/>
      <c r="S107" s="2599"/>
      <c r="T107" s="2599"/>
      <c r="U107" s="2599"/>
      <c r="V107" s="2599"/>
      <c r="W107" s="2599"/>
      <c r="X107" s="2599"/>
      <c r="Y107" s="2599"/>
      <c r="Z107" s="2599"/>
      <c r="AA107" s="2599"/>
      <c r="AB107" s="2599"/>
      <c r="AC107" s="2599"/>
      <c r="AD107" s="2599"/>
      <c r="AE107" s="2599"/>
      <c r="AF107" s="2599"/>
      <c r="AG107" s="2599"/>
      <c r="AH107" s="2599"/>
      <c r="AI107" s="2599"/>
      <c r="AJ107" s="2599"/>
      <c r="AK107" s="2599"/>
      <c r="AL107" s="2599"/>
      <c r="AM107" s="2599"/>
      <c r="AN107" s="2600"/>
      <c r="AO107" s="2600"/>
      <c r="AP107" s="2600"/>
      <c r="AQ107" s="2600"/>
    </row>
    <row r="108" spans="3:66" outlineLevel="1">
      <c r="D108" s="2553"/>
    </row>
    <row r="109" spans="3:66">
      <c r="D109" s="2348" t="s">
        <v>3960</v>
      </c>
      <c r="F109" s="2539"/>
    </row>
    <row r="110" spans="3:66" outlineLevel="1">
      <c r="J110" s="2601">
        <f t="shared" ref="J110:BN110" si="39">DATE(J111,12,31)</f>
        <v>37986</v>
      </c>
      <c r="K110" s="2601">
        <f t="shared" si="39"/>
        <v>38352</v>
      </c>
      <c r="L110" s="2601">
        <f t="shared" si="39"/>
        <v>38717</v>
      </c>
      <c r="M110" s="2601">
        <f t="shared" si="39"/>
        <v>39082</v>
      </c>
      <c r="N110" s="2601">
        <f t="shared" si="39"/>
        <v>39447</v>
      </c>
      <c r="O110" s="2601">
        <f t="shared" si="39"/>
        <v>39813</v>
      </c>
      <c r="P110" s="2601">
        <f t="shared" si="39"/>
        <v>40178</v>
      </c>
      <c r="Q110" s="2601">
        <f t="shared" si="39"/>
        <v>40543</v>
      </c>
      <c r="R110" s="2601">
        <f t="shared" si="39"/>
        <v>40908</v>
      </c>
      <c r="S110" s="2601">
        <f t="shared" si="39"/>
        <v>41274</v>
      </c>
      <c r="T110" s="2601">
        <f t="shared" si="39"/>
        <v>41639</v>
      </c>
      <c r="U110" s="2601">
        <f t="shared" si="39"/>
        <v>42004</v>
      </c>
      <c r="V110" s="2601">
        <f t="shared" si="39"/>
        <v>42369</v>
      </c>
      <c r="W110" s="2601">
        <f t="shared" si="39"/>
        <v>42735</v>
      </c>
      <c r="X110" s="2601">
        <f t="shared" si="39"/>
        <v>43100</v>
      </c>
      <c r="Y110" s="2601">
        <f t="shared" si="39"/>
        <v>43465</v>
      </c>
      <c r="Z110" s="2601">
        <f t="shared" si="39"/>
        <v>43830</v>
      </c>
      <c r="AA110" s="2601">
        <f t="shared" si="39"/>
        <v>44196</v>
      </c>
      <c r="AB110" s="2601">
        <f t="shared" si="39"/>
        <v>44561</v>
      </c>
      <c r="AC110" s="2601">
        <f t="shared" si="39"/>
        <v>44926</v>
      </c>
      <c r="AD110" s="2601">
        <f t="shared" si="39"/>
        <v>45291</v>
      </c>
      <c r="AE110" s="2601">
        <f t="shared" si="39"/>
        <v>45657</v>
      </c>
      <c r="AF110" s="2601">
        <f t="shared" si="39"/>
        <v>46022</v>
      </c>
      <c r="AG110" s="2601">
        <f t="shared" si="39"/>
        <v>46387</v>
      </c>
      <c r="AH110" s="2601">
        <f t="shared" si="39"/>
        <v>46752</v>
      </c>
      <c r="AI110" s="2601">
        <f t="shared" si="39"/>
        <v>47118</v>
      </c>
      <c r="AJ110" s="2601">
        <f t="shared" si="39"/>
        <v>47483</v>
      </c>
      <c r="AK110" s="2601">
        <f t="shared" si="39"/>
        <v>47848</v>
      </c>
      <c r="AL110" s="2601">
        <f t="shared" si="39"/>
        <v>48213</v>
      </c>
      <c r="AM110" s="2601">
        <f t="shared" si="39"/>
        <v>48579</v>
      </c>
      <c r="AN110" s="2601">
        <f t="shared" si="39"/>
        <v>48944</v>
      </c>
      <c r="AO110" s="2601">
        <f t="shared" si="39"/>
        <v>49309</v>
      </c>
      <c r="AP110" s="2601">
        <f t="shared" si="39"/>
        <v>49674</v>
      </c>
      <c r="AQ110" s="2601">
        <f t="shared" si="39"/>
        <v>50040</v>
      </c>
      <c r="AR110" s="2601">
        <f t="shared" si="39"/>
        <v>50405</v>
      </c>
      <c r="AS110" s="2601">
        <f t="shared" si="39"/>
        <v>50770</v>
      </c>
      <c r="AT110" s="2601">
        <f t="shared" si="39"/>
        <v>51135</v>
      </c>
      <c r="AU110" s="2601">
        <f t="shared" si="39"/>
        <v>51501</v>
      </c>
      <c r="AV110" s="2601">
        <f t="shared" si="39"/>
        <v>51866</v>
      </c>
      <c r="AW110" s="2601">
        <f t="shared" si="39"/>
        <v>52231</v>
      </c>
      <c r="AX110" s="2601">
        <f t="shared" si="39"/>
        <v>52596</v>
      </c>
      <c r="AY110" s="2601">
        <f t="shared" si="39"/>
        <v>52962</v>
      </c>
      <c r="AZ110" s="2601">
        <f t="shared" si="39"/>
        <v>53327</v>
      </c>
      <c r="BA110" s="2601">
        <f t="shared" si="39"/>
        <v>53692</v>
      </c>
      <c r="BB110" s="2601">
        <f t="shared" si="39"/>
        <v>54057</v>
      </c>
      <c r="BC110" s="2601">
        <f t="shared" si="39"/>
        <v>54423</v>
      </c>
      <c r="BD110" s="2601">
        <f t="shared" si="39"/>
        <v>54788</v>
      </c>
      <c r="BE110" s="2601">
        <f t="shared" si="39"/>
        <v>55153</v>
      </c>
      <c r="BF110" s="2601">
        <f t="shared" si="39"/>
        <v>55518</v>
      </c>
      <c r="BG110" s="2601">
        <f t="shared" si="39"/>
        <v>55884</v>
      </c>
      <c r="BH110" s="2601">
        <f t="shared" si="39"/>
        <v>56249</v>
      </c>
      <c r="BI110" s="2601">
        <f t="shared" si="39"/>
        <v>56614</v>
      </c>
      <c r="BJ110" s="2601">
        <f t="shared" si="39"/>
        <v>56979</v>
      </c>
      <c r="BK110" s="2601">
        <f t="shared" si="39"/>
        <v>57345</v>
      </c>
      <c r="BL110" s="2601">
        <f t="shared" si="39"/>
        <v>57710</v>
      </c>
      <c r="BM110" s="2601">
        <f t="shared" si="39"/>
        <v>58075</v>
      </c>
      <c r="BN110" s="2601">
        <f t="shared" si="39"/>
        <v>58440</v>
      </c>
    </row>
    <row r="111" spans="3:66" ht="15.75" customHeight="1">
      <c r="C111" s="2351" t="s">
        <v>11</v>
      </c>
      <c r="D111" s="2352"/>
      <c r="E111" s="2352"/>
      <c r="F111" s="2352"/>
      <c r="G111" s="2352"/>
      <c r="H111" s="766" t="s">
        <v>40</v>
      </c>
      <c r="J111" s="2353">
        <f t="shared" ref="J111:BN111" si="40">J$10</f>
        <v>2003</v>
      </c>
      <c r="K111" s="2353">
        <f t="shared" si="40"/>
        <v>2004</v>
      </c>
      <c r="L111" s="2353">
        <f t="shared" si="40"/>
        <v>2005</v>
      </c>
      <c r="M111" s="2353">
        <f t="shared" si="40"/>
        <v>2006</v>
      </c>
      <c r="N111" s="2353">
        <f t="shared" si="40"/>
        <v>2007</v>
      </c>
      <c r="O111" s="2353">
        <f t="shared" si="40"/>
        <v>2008</v>
      </c>
      <c r="P111" s="2353">
        <f t="shared" si="40"/>
        <v>2009</v>
      </c>
      <c r="Q111" s="2353">
        <f t="shared" si="40"/>
        <v>2010</v>
      </c>
      <c r="R111" s="2353">
        <f t="shared" si="40"/>
        <v>2011</v>
      </c>
      <c r="S111" s="2353">
        <f t="shared" si="40"/>
        <v>2012</v>
      </c>
      <c r="T111" s="2353">
        <f t="shared" si="40"/>
        <v>2013</v>
      </c>
      <c r="U111" s="2353">
        <f t="shared" si="40"/>
        <v>2014</v>
      </c>
      <c r="V111" s="2353">
        <f t="shared" si="40"/>
        <v>2015</v>
      </c>
      <c r="W111" s="2353">
        <f t="shared" si="40"/>
        <v>2016</v>
      </c>
      <c r="X111" s="2353">
        <f t="shared" si="40"/>
        <v>2017</v>
      </c>
      <c r="Y111" s="2353">
        <f t="shared" si="40"/>
        <v>2018</v>
      </c>
      <c r="Z111" s="2353">
        <f t="shared" si="40"/>
        <v>2019</v>
      </c>
      <c r="AA111" s="2353">
        <f t="shared" si="40"/>
        <v>2020</v>
      </c>
      <c r="AB111" s="2353">
        <f t="shared" si="40"/>
        <v>2021</v>
      </c>
      <c r="AC111" s="2353">
        <f t="shared" si="40"/>
        <v>2022</v>
      </c>
      <c r="AD111" s="2353">
        <f t="shared" si="40"/>
        <v>2023</v>
      </c>
      <c r="AE111" s="2353">
        <f t="shared" si="40"/>
        <v>2024</v>
      </c>
      <c r="AF111" s="2353">
        <f t="shared" si="40"/>
        <v>2025</v>
      </c>
      <c r="AG111" s="2353">
        <f t="shared" si="40"/>
        <v>2026</v>
      </c>
      <c r="AH111" s="2353">
        <f t="shared" si="40"/>
        <v>2027</v>
      </c>
      <c r="AI111" s="2353">
        <f t="shared" si="40"/>
        <v>2028</v>
      </c>
      <c r="AJ111" s="2353">
        <f t="shared" si="40"/>
        <v>2029</v>
      </c>
      <c r="AK111" s="2353">
        <f t="shared" si="40"/>
        <v>2030</v>
      </c>
      <c r="AL111" s="2353">
        <f t="shared" si="40"/>
        <v>2031</v>
      </c>
      <c r="AM111" s="2353">
        <f t="shared" si="40"/>
        <v>2032</v>
      </c>
      <c r="AN111" s="2353">
        <f t="shared" si="40"/>
        <v>2033</v>
      </c>
      <c r="AO111" s="2353">
        <f t="shared" si="40"/>
        <v>2034</v>
      </c>
      <c r="AP111" s="2353">
        <f t="shared" si="40"/>
        <v>2035</v>
      </c>
      <c r="AQ111" s="2353">
        <f t="shared" si="40"/>
        <v>2036</v>
      </c>
      <c r="AR111" s="2353">
        <f t="shared" si="40"/>
        <v>2037</v>
      </c>
      <c r="AS111" s="2353">
        <f t="shared" si="40"/>
        <v>2038</v>
      </c>
      <c r="AT111" s="2353">
        <f t="shared" si="40"/>
        <v>2039</v>
      </c>
      <c r="AU111" s="2353">
        <f t="shared" si="40"/>
        <v>2040</v>
      </c>
      <c r="AV111" s="2353">
        <f t="shared" si="40"/>
        <v>2041</v>
      </c>
      <c r="AW111" s="2353">
        <f t="shared" si="40"/>
        <v>2042</v>
      </c>
      <c r="AX111" s="2353">
        <f t="shared" si="40"/>
        <v>2043</v>
      </c>
      <c r="AY111" s="2353">
        <f t="shared" si="40"/>
        <v>2044</v>
      </c>
      <c r="AZ111" s="2353">
        <f t="shared" si="40"/>
        <v>2045</v>
      </c>
      <c r="BA111" s="2353">
        <f t="shared" si="40"/>
        <v>2046</v>
      </c>
      <c r="BB111" s="2353">
        <f t="shared" si="40"/>
        <v>2047</v>
      </c>
      <c r="BC111" s="2353">
        <f t="shared" si="40"/>
        <v>2048</v>
      </c>
      <c r="BD111" s="2353">
        <f t="shared" si="40"/>
        <v>2049</v>
      </c>
      <c r="BE111" s="2353">
        <f t="shared" si="40"/>
        <v>2050</v>
      </c>
      <c r="BF111" s="2353">
        <f t="shared" si="40"/>
        <v>2051</v>
      </c>
      <c r="BG111" s="2353">
        <f t="shared" si="40"/>
        <v>2052</v>
      </c>
      <c r="BH111" s="2353">
        <f t="shared" si="40"/>
        <v>2053</v>
      </c>
      <c r="BI111" s="2353">
        <f t="shared" si="40"/>
        <v>2054</v>
      </c>
      <c r="BJ111" s="2353">
        <f t="shared" si="40"/>
        <v>2055</v>
      </c>
      <c r="BK111" s="2353">
        <f t="shared" si="40"/>
        <v>2056</v>
      </c>
      <c r="BL111" s="2353">
        <f t="shared" si="40"/>
        <v>2057</v>
      </c>
      <c r="BM111" s="2353">
        <f t="shared" si="40"/>
        <v>2058</v>
      </c>
      <c r="BN111" s="2353">
        <f t="shared" si="40"/>
        <v>2059</v>
      </c>
    </row>
    <row r="112" spans="3:66" outlineLevel="1">
      <c r="C112" s="2602"/>
      <c r="D112" s="2348" t="s">
        <v>3961</v>
      </c>
      <c r="E112" s="2600"/>
      <c r="F112" s="2603"/>
      <c r="G112" s="2604"/>
      <c r="H112" s="2605">
        <v>0.6</v>
      </c>
      <c r="J112" s="2606"/>
      <c r="K112" s="2606"/>
      <c r="L112" s="2606"/>
      <c r="M112" s="2606"/>
      <c r="N112" s="2606"/>
      <c r="O112" s="2606"/>
      <c r="P112" s="2607"/>
      <c r="Q112" s="2608"/>
      <c r="R112" s="2608"/>
      <c r="S112" s="2608"/>
      <c r="T112" s="2609">
        <f t="shared" ref="T112:Z112" si="41">$H$112</f>
        <v>0.6</v>
      </c>
      <c r="U112" s="2609">
        <f t="shared" si="41"/>
        <v>0.6</v>
      </c>
      <c r="V112" s="2609">
        <f t="shared" si="41"/>
        <v>0.6</v>
      </c>
      <c r="W112" s="2609">
        <f t="shared" si="41"/>
        <v>0.6</v>
      </c>
      <c r="X112" s="2609">
        <f t="shared" si="41"/>
        <v>0.6</v>
      </c>
      <c r="Y112" s="2609">
        <f t="shared" si="41"/>
        <v>0.6</v>
      </c>
      <c r="Z112" s="2609">
        <f t="shared" si="41"/>
        <v>0.6</v>
      </c>
      <c r="AA112" s="2608">
        <f>AA127</f>
        <v>0.64463211449801228</v>
      </c>
      <c r="AB112" s="2608">
        <f t="shared" ref="AB112:BN112" si="42">AB127</f>
        <v>0.6320115668787869</v>
      </c>
      <c r="AC112" s="2608">
        <f t="shared" si="42"/>
        <v>0.58811830988316827</v>
      </c>
      <c r="AD112" s="2608">
        <f t="shared" ca="1" si="42"/>
        <v>0.58171467373304608</v>
      </c>
      <c r="AE112" s="2608">
        <f t="shared" ca="1" si="42"/>
        <v>0.58976912828673189</v>
      </c>
      <c r="AF112" s="2608">
        <f ca="1">AF127</f>
        <v>0.60374735825200154</v>
      </c>
      <c r="AG112" s="2608">
        <f t="shared" ca="1" si="42"/>
        <v>0.55268616154494965</v>
      </c>
      <c r="AH112" s="2608">
        <f t="shared" ca="1" si="42"/>
        <v>0.47497890024100886</v>
      </c>
      <c r="AI112" s="2608">
        <f t="shared" ca="1" si="42"/>
        <v>0.43757017314548757</v>
      </c>
      <c r="AJ112" s="2608">
        <f t="shared" ca="1" si="42"/>
        <v>0.43175474360707666</v>
      </c>
      <c r="AK112" s="2608">
        <f t="shared" ca="1" si="42"/>
        <v>0.43822977977783539</v>
      </c>
      <c r="AL112" s="2608">
        <f t="shared" ca="1" si="42"/>
        <v>0.44910550564517726</v>
      </c>
      <c r="AM112" s="2608">
        <f t="shared" ca="1" si="42"/>
        <v>0.45437836135286158</v>
      </c>
      <c r="AN112" s="2608">
        <f t="shared" ca="1" si="42"/>
        <v>0.4551909975793022</v>
      </c>
      <c r="AO112" s="2608">
        <f t="shared" ca="1" si="42"/>
        <v>0.45946576392574739</v>
      </c>
      <c r="AP112" s="2608">
        <f t="shared" ca="1" si="42"/>
        <v>0.46141050992586496</v>
      </c>
      <c r="AQ112" s="2608">
        <f t="shared" ca="1" si="42"/>
        <v>0.46103469141257242</v>
      </c>
      <c r="AR112" s="2608">
        <f t="shared" ca="1" si="42"/>
        <v>0.46525268845001183</v>
      </c>
      <c r="AS112" s="2608">
        <f t="shared" ca="1" si="42"/>
        <v>0.46711071645026075</v>
      </c>
      <c r="AT112" s="2608">
        <f t="shared" ca="1" si="42"/>
        <v>0.46661896143715015</v>
      </c>
      <c r="AU112" s="2608">
        <f t="shared" ca="1" si="42"/>
        <v>0.47078086510873629</v>
      </c>
      <c r="AV112" s="2608">
        <f t="shared" ca="1" si="42"/>
        <v>0.47255420772415807</v>
      </c>
      <c r="AW112" s="2608">
        <f t="shared" ca="1" si="42"/>
        <v>0.4719498807775252</v>
      </c>
      <c r="AX112" s="2608">
        <f t="shared" ca="1" si="42"/>
        <v>0.47605636615739244</v>
      </c>
      <c r="AY112" s="2608">
        <f t="shared" ca="1" si="42"/>
        <v>0.47774702081255427</v>
      </c>
      <c r="AZ112" s="2608">
        <f t="shared" ca="1" si="42"/>
        <v>0.47703341756253292</v>
      </c>
      <c r="BA112" s="2608">
        <f t="shared" ca="1" si="42"/>
        <v>0.48108515845554012</v>
      </c>
      <c r="BB112" s="2608">
        <f t="shared" ca="1" si="42"/>
        <v>0.48269508771141323</v>
      </c>
      <c r="BC112" s="2608">
        <f t="shared" ca="1" si="42"/>
        <v>0.48187543589420867</v>
      </c>
      <c r="BD112" s="2608">
        <f t="shared" ca="1" si="42"/>
        <v>0.48587310445992959</v>
      </c>
      <c r="BE112" s="2608">
        <f t="shared" ca="1" si="42"/>
        <v>0.48740423635074276</v>
      </c>
      <c r="BF112" s="2608">
        <f t="shared" ca="1" si="42"/>
        <v>0.48648169684679593</v>
      </c>
      <c r="BG112" s="2608">
        <f t="shared" ca="1" si="42"/>
        <v>0.49042596324659371</v>
      </c>
      <c r="BH112" s="2608">
        <f t="shared" ca="1" si="42"/>
        <v>0.4918801916257719</v>
      </c>
      <c r="BI112" s="2608">
        <f t="shared" ca="1" si="42"/>
        <v>0.49085785949323019</v>
      </c>
      <c r="BJ112" s="2608">
        <f t="shared" ca="1" si="42"/>
        <v>0.49474939155930492</v>
      </c>
      <c r="BK112" s="2608">
        <f t="shared" ca="1" si="42"/>
        <v>0.49612857645364844</v>
      </c>
      <c r="BL112" s="2608">
        <f t="shared" ca="1" si="42"/>
        <v>0.4950094819565633</v>
      </c>
      <c r="BM112" s="2608">
        <f t="shared" ca="1" si="42"/>
        <v>0.49884894488191295</v>
      </c>
      <c r="BN112" s="2608">
        <f t="shared" ca="1" si="42"/>
        <v>0.500154912853219</v>
      </c>
    </row>
    <row r="113" spans="3:66" outlineLevel="1">
      <c r="C113" s="2602"/>
      <c r="D113" s="2348" t="s">
        <v>3962</v>
      </c>
      <c r="E113" s="2600"/>
      <c r="F113" s="2603"/>
      <c r="G113" s="2604"/>
      <c r="H113" s="2610">
        <f>SUM(J113:BN113)</f>
        <v>895127.14485805866</v>
      </c>
      <c r="J113" s="2606"/>
      <c r="K113" s="2606"/>
      <c r="L113" s="2606"/>
      <c r="M113" s="2606"/>
      <c r="N113" s="2606"/>
      <c r="O113" s="2606"/>
      <c r="P113" s="2606"/>
      <c r="Q113" s="2611"/>
      <c r="R113" s="2611"/>
      <c r="S113" s="2611"/>
      <c r="T113" s="2612">
        <f t="shared" ref="T113:BN113" si="43">S118/2+T118/2</f>
        <v>13415.424007407024</v>
      </c>
      <c r="U113" s="2612">
        <f t="shared" si="43"/>
        <v>22292.986901554428</v>
      </c>
      <c r="V113" s="2612">
        <f t="shared" si="43"/>
        <v>27888.5126249522</v>
      </c>
      <c r="W113" s="2612">
        <f t="shared" si="43"/>
        <v>27978.492951758897</v>
      </c>
      <c r="X113" s="2612">
        <f t="shared" si="43"/>
        <v>24981.668850591926</v>
      </c>
      <c r="Y113" s="2612">
        <f t="shared" si="43"/>
        <v>21955.457698259896</v>
      </c>
      <c r="Z113" s="2612">
        <f t="shared" si="43"/>
        <v>20886.642581451044</v>
      </c>
      <c r="AA113" s="2610">
        <f t="shared" si="43"/>
        <v>21188.900890541212</v>
      </c>
      <c r="AB113" s="2610">
        <f t="shared" si="43"/>
        <v>20886.976011823317</v>
      </c>
      <c r="AC113" s="2610">
        <f t="shared" si="43"/>
        <v>20872.781710628391</v>
      </c>
      <c r="AD113" s="2610">
        <f t="shared" si="43"/>
        <v>20668.327326895607</v>
      </c>
      <c r="AE113" s="2610">
        <f>AD118/2+AE118/2</f>
        <v>19995.335995736157</v>
      </c>
      <c r="AF113" s="2610">
        <f t="shared" si="43"/>
        <v>20147.314284714797</v>
      </c>
      <c r="AG113" s="2610">
        <f t="shared" si="43"/>
        <v>20618.295790892487</v>
      </c>
      <c r="AH113" s="2610">
        <f t="shared" si="43"/>
        <v>19754.282227315576</v>
      </c>
      <c r="AI113" s="2610">
        <f t="shared" si="43"/>
        <v>10857.124268551572</v>
      </c>
      <c r="AJ113" s="2610">
        <f t="shared" si="43"/>
        <v>9214.8372244640977</v>
      </c>
      <c r="AK113" s="2610">
        <f t="shared" si="43"/>
        <v>17067.663472583401</v>
      </c>
      <c r="AL113" s="2610">
        <f t="shared" si="43"/>
        <v>18855.882308354085</v>
      </c>
      <c r="AM113" s="2610">
        <f t="shared" si="43"/>
        <v>16726.317186885921</v>
      </c>
      <c r="AN113" s="2610">
        <f t="shared" si="43"/>
        <v>16835.638276151039</v>
      </c>
      <c r="AO113" s="2610">
        <f t="shared" si="43"/>
        <v>20317.72984976722</v>
      </c>
      <c r="AP113" s="2610">
        <f t="shared" si="43"/>
        <v>21300.409706015853</v>
      </c>
      <c r="AQ113" s="2610">
        <f t="shared" si="43"/>
        <v>21443.242463066872</v>
      </c>
      <c r="AR113" s="2610">
        <f t="shared" si="43"/>
        <v>21217.812122542964</v>
      </c>
      <c r="AS113" s="2610">
        <f t="shared" si="43"/>
        <v>20168.515403041703</v>
      </c>
      <c r="AT113" s="2610">
        <f t="shared" si="43"/>
        <v>20091.456656686685</v>
      </c>
      <c r="AU113" s="2610">
        <f t="shared" si="43"/>
        <v>19996.230611655781</v>
      </c>
      <c r="AV113" s="2610">
        <f t="shared" si="43"/>
        <v>19840.192571061474</v>
      </c>
      <c r="AW113" s="2610">
        <f t="shared" si="43"/>
        <v>20404.282129093004</v>
      </c>
      <c r="AX113" s="2610">
        <f t="shared" si="43"/>
        <v>20205.122682656882</v>
      </c>
      <c r="AY113" s="2610">
        <f t="shared" si="43"/>
        <v>20359.625873050831</v>
      </c>
      <c r="AZ113" s="2610">
        <f t="shared" si="43"/>
        <v>20628.167383743687</v>
      </c>
      <c r="BA113" s="2610">
        <f t="shared" si="43"/>
        <v>20823.082357126634</v>
      </c>
      <c r="BB113" s="2610">
        <f t="shared" si="43"/>
        <v>20012.739594046536</v>
      </c>
      <c r="BC113" s="2610">
        <f t="shared" si="43"/>
        <v>10308.038186633026</v>
      </c>
      <c r="BD113" s="2610">
        <f t="shared" si="43"/>
        <v>8551.7282408310766</v>
      </c>
      <c r="BE113" s="2610">
        <f t="shared" si="43"/>
        <v>16692.49097424886</v>
      </c>
      <c r="BF113" s="2610">
        <f t="shared" si="43"/>
        <v>18437.659303289907</v>
      </c>
      <c r="BG113" s="2610">
        <f t="shared" si="43"/>
        <v>17118.441051623071</v>
      </c>
      <c r="BH113" s="2610">
        <f t="shared" si="43"/>
        <v>17354.033948235345</v>
      </c>
      <c r="BI113" s="2610">
        <f t="shared" si="43"/>
        <v>20424.450483168876</v>
      </c>
      <c r="BJ113" s="2610">
        <f t="shared" si="43"/>
        <v>21301.813372073353</v>
      </c>
      <c r="BK113" s="2610">
        <f t="shared" si="43"/>
        <v>20630.772005542814</v>
      </c>
      <c r="BL113" s="2610">
        <f t="shared" si="43"/>
        <v>20607.803641554267</v>
      </c>
      <c r="BM113" s="2610">
        <f t="shared" si="43"/>
        <v>17227.861835915042</v>
      </c>
      <c r="BN113" s="2610">
        <f t="shared" si="43"/>
        <v>6574.579819873903</v>
      </c>
    </row>
    <row r="114" spans="3:66" outlineLevel="1">
      <c r="C114" s="2613"/>
      <c r="D114" s="2348" t="s">
        <v>5110</v>
      </c>
      <c r="E114" s="2599"/>
      <c r="F114" s="2614">
        <v>8.8700000000000001E-2</v>
      </c>
      <c r="G114" s="2615">
        <v>37040</v>
      </c>
      <c r="H114" s="2607"/>
      <c r="J114" s="2616"/>
      <c r="K114" s="2616"/>
      <c r="L114" s="2616"/>
      <c r="M114" s="2616"/>
      <c r="N114" s="2616"/>
      <c r="O114" s="2616"/>
      <c r="P114" s="2616"/>
      <c r="Q114" s="2616"/>
      <c r="R114" s="2616"/>
      <c r="S114" s="2616"/>
      <c r="T114" s="2617">
        <f t="shared" ref="T114:BN114" si="44">(1+$F$114)^(YEARFRAC(T110,$G$114))</f>
        <v>2.9149661603546506</v>
      </c>
      <c r="U114" s="2617">
        <f t="shared" si="44"/>
        <v>3.1735236587781079</v>
      </c>
      <c r="V114" s="2617">
        <f t="shared" si="44"/>
        <v>3.4550152073117268</v>
      </c>
      <c r="W114" s="2617">
        <f t="shared" si="44"/>
        <v>3.7614750562002768</v>
      </c>
      <c r="X114" s="2617">
        <f t="shared" si="44"/>
        <v>4.0951178936852406</v>
      </c>
      <c r="Y114" s="2617">
        <f t="shared" si="44"/>
        <v>4.4583548508551223</v>
      </c>
      <c r="Z114" s="2617">
        <f t="shared" si="44"/>
        <v>4.8538109261259716</v>
      </c>
      <c r="AA114" s="2618">
        <f t="shared" si="44"/>
        <v>5.2843439552733447</v>
      </c>
      <c r="AB114" s="2618">
        <f t="shared" si="44"/>
        <v>5.7530652641060911</v>
      </c>
      <c r="AC114" s="2618">
        <f t="shared" si="44"/>
        <v>6.2633621530323014</v>
      </c>
      <c r="AD114" s="2618">
        <f t="shared" si="44"/>
        <v>6.8189223760062658</v>
      </c>
      <c r="AE114" s="2618">
        <f t="shared" si="44"/>
        <v>7.4237607907580214</v>
      </c>
      <c r="AF114" s="2618">
        <f t="shared" si="44"/>
        <v>8.0822483728982597</v>
      </c>
      <c r="AG114" s="2618">
        <f t="shared" si="44"/>
        <v>8.799143803574335</v>
      </c>
      <c r="AH114" s="2618">
        <f t="shared" si="44"/>
        <v>9.5796278589513761</v>
      </c>
      <c r="AI114" s="2618">
        <f t="shared" si="44"/>
        <v>10.429340850040365</v>
      </c>
      <c r="AJ114" s="2618">
        <f t="shared" si="44"/>
        <v>11.354423383438947</v>
      </c>
      <c r="AK114" s="2618">
        <f t="shared" si="44"/>
        <v>12.361560737549977</v>
      </c>
      <c r="AL114" s="2618">
        <f t="shared" si="44"/>
        <v>13.458031174970664</v>
      </c>
      <c r="AM114" s="2618">
        <f t="shared" si="44"/>
        <v>14.651758540190563</v>
      </c>
      <c r="AN114" s="2618">
        <f t="shared" si="44"/>
        <v>15.951369522705461</v>
      </c>
      <c r="AO114" s="2618">
        <f t="shared" si="44"/>
        <v>17.366255999369439</v>
      </c>
      <c r="AP114" s="2618">
        <f t="shared" si="44"/>
        <v>18.906642906513504</v>
      </c>
      <c r="AQ114" s="2618">
        <f t="shared" si="44"/>
        <v>20.583662132321255</v>
      </c>
      <c r="AR114" s="2618">
        <f t="shared" si="44"/>
        <v>22.409432963458151</v>
      </c>
      <c r="AS114" s="2618">
        <f t="shared" si="44"/>
        <v>24.397149667316882</v>
      </c>
      <c r="AT114" s="2618">
        <f t="shared" si="44"/>
        <v>26.561176842807892</v>
      </c>
      <c r="AU114" s="2618">
        <f t="shared" si="44"/>
        <v>28.91715322876496</v>
      </c>
      <c r="AV114" s="2618">
        <f t="shared" si="44"/>
        <v>31.4821047201564</v>
      </c>
      <c r="AW114" s="2618">
        <f t="shared" si="44"/>
        <v>34.27456740883428</v>
      </c>
      <c r="AX114" s="2618">
        <f t="shared" si="44"/>
        <v>37.314721537997883</v>
      </c>
      <c r="AY114" s="2618">
        <f t="shared" si="44"/>
        <v>40.624537338418286</v>
      </c>
      <c r="AZ114" s="2618">
        <f t="shared" si="44"/>
        <v>44.227933800335997</v>
      </c>
      <c r="BA114" s="2618">
        <f t="shared" si="44"/>
        <v>48.150951528425807</v>
      </c>
      <c r="BB114" s="2618">
        <f t="shared" si="44"/>
        <v>52.421940928997159</v>
      </c>
      <c r="BC114" s="2618">
        <f t="shared" si="44"/>
        <v>57.071767089399216</v>
      </c>
      <c r="BD114" s="2618">
        <f t="shared" si="44"/>
        <v>62.134032830228932</v>
      </c>
      <c r="BE114" s="2618">
        <f t="shared" si="44"/>
        <v>67.645321542270253</v>
      </c>
      <c r="BF114" s="2618">
        <f t="shared" si="44"/>
        <v>73.645461563069574</v>
      </c>
      <c r="BG114" s="2618">
        <f t="shared" si="44"/>
        <v>80.177814003713848</v>
      </c>
      <c r="BH114" s="2618">
        <f t="shared" si="44"/>
        <v>87.289586105843284</v>
      </c>
      <c r="BI114" s="2618">
        <f t="shared" si="44"/>
        <v>95.032172393431594</v>
      </c>
      <c r="BJ114" s="2618">
        <f t="shared" si="44"/>
        <v>103.46152608472899</v>
      </c>
      <c r="BK114" s="2618">
        <f t="shared" si="44"/>
        <v>112.63856344844447</v>
      </c>
      <c r="BL114" s="2618">
        <f t="shared" si="44"/>
        <v>122.6296040263214</v>
      </c>
      <c r="BM114" s="2618">
        <f t="shared" si="44"/>
        <v>133.50684990345613</v>
      </c>
      <c r="BN114" s="2618">
        <f t="shared" si="44"/>
        <v>145.34890748989272</v>
      </c>
    </row>
    <row r="115" spans="3:66" outlineLevel="1">
      <c r="C115" s="2613"/>
      <c r="D115" s="2348" t="s">
        <v>5111</v>
      </c>
      <c r="E115" s="2599"/>
      <c r="F115" s="2619"/>
      <c r="G115" s="2620"/>
      <c r="H115" s="2517"/>
      <c r="J115" s="2621"/>
      <c r="K115" s="2621"/>
      <c r="L115" s="2621"/>
      <c r="M115" s="2621"/>
      <c r="N115" s="2621"/>
      <c r="O115" s="2621"/>
      <c r="P115" s="2606"/>
      <c r="Q115" s="2606"/>
      <c r="R115" s="2606"/>
      <c r="S115" s="2621"/>
      <c r="T115" s="2612">
        <f t="shared" ref="T115:BN115" si="45">T113/T114</f>
        <v>4602.2572027988244</v>
      </c>
      <c r="U115" s="2612">
        <f t="shared" si="45"/>
        <v>7024.6795986193556</v>
      </c>
      <c r="V115" s="2612">
        <f t="shared" si="45"/>
        <v>8071.8928721160837</v>
      </c>
      <c r="W115" s="2612">
        <f t="shared" si="45"/>
        <v>7438.170540474589</v>
      </c>
      <c r="X115" s="2612">
        <f t="shared" si="45"/>
        <v>6100.354006685423</v>
      </c>
      <c r="Y115" s="2612">
        <f t="shared" si="45"/>
        <v>4924.5648748772855</v>
      </c>
      <c r="Z115" s="2612">
        <f t="shared" si="45"/>
        <v>4303.1430147036117</v>
      </c>
      <c r="AA115" s="2388">
        <f t="shared" si="45"/>
        <v>4009.7505139491186</v>
      </c>
      <c r="AB115" s="2388">
        <f t="shared" si="45"/>
        <v>3630.5821423822708</v>
      </c>
      <c r="AC115" s="2388">
        <f t="shared" si="45"/>
        <v>3332.5203302387977</v>
      </c>
      <c r="AD115" s="2388">
        <f t="shared" si="45"/>
        <v>3031.0254593337545</v>
      </c>
      <c r="AE115" s="2388">
        <f t="shared" si="45"/>
        <v>2693.4240689205294</v>
      </c>
      <c r="AF115" s="2388">
        <f t="shared" si="45"/>
        <v>2492.7858381924552</v>
      </c>
      <c r="AG115" s="2388">
        <f t="shared" si="45"/>
        <v>2343.2161413837844</v>
      </c>
      <c r="AH115" s="2388">
        <f t="shared" si="45"/>
        <v>2062.1137395078267</v>
      </c>
      <c r="AI115" s="2388">
        <f t="shared" si="45"/>
        <v>1041.0173015401592</v>
      </c>
      <c r="AJ115" s="2388">
        <f t="shared" si="45"/>
        <v>811.56364469414154</v>
      </c>
      <c r="AK115" s="2388">
        <f t="shared" si="45"/>
        <v>1380.7045756558859</v>
      </c>
      <c r="AL115" s="2388">
        <f t="shared" si="45"/>
        <v>1401.0877269642815</v>
      </c>
      <c r="AM115" s="2388">
        <f t="shared" si="45"/>
        <v>1141.5911025973251</v>
      </c>
      <c r="AN115" s="2388">
        <f t="shared" si="45"/>
        <v>1055.4352873705857</v>
      </c>
      <c r="AO115" s="2388">
        <f t="shared" si="45"/>
        <v>1169.9545285123602</v>
      </c>
      <c r="AP115" s="2388">
        <f t="shared" si="45"/>
        <v>1126.6098276324706</v>
      </c>
      <c r="AQ115" s="2388">
        <f t="shared" si="45"/>
        <v>1041.7603206475037</v>
      </c>
      <c r="AR115" s="2388">
        <f t="shared" si="45"/>
        <v>946.82503377670025</v>
      </c>
      <c r="AS115" s="2388">
        <f t="shared" si="45"/>
        <v>826.67506975456331</v>
      </c>
      <c r="AT115" s="2388">
        <f t="shared" si="45"/>
        <v>756.42193023261893</v>
      </c>
      <c r="AU115" s="2388">
        <f t="shared" si="45"/>
        <v>691.50066237380497</v>
      </c>
      <c r="AV115" s="2388">
        <f t="shared" si="45"/>
        <v>630.20540549688224</v>
      </c>
      <c r="AW115" s="2388">
        <f t="shared" si="45"/>
        <v>595.31844372261264</v>
      </c>
      <c r="AX115" s="2388">
        <f t="shared" si="45"/>
        <v>541.47858673102633</v>
      </c>
      <c r="AY115" s="2388">
        <f t="shared" si="45"/>
        <v>501.16572906288593</v>
      </c>
      <c r="AZ115" s="2388">
        <f t="shared" si="45"/>
        <v>466.40585736761176</v>
      </c>
      <c r="BA115" s="2388">
        <f t="shared" si="45"/>
        <v>432.45422356469476</v>
      </c>
      <c r="BB115" s="2388">
        <f t="shared" si="45"/>
        <v>381.76265966864463</v>
      </c>
      <c r="BC115" s="2388">
        <f t="shared" si="45"/>
        <v>180.61536749836665</v>
      </c>
      <c r="BD115" s="2388">
        <f t="shared" si="45"/>
        <v>137.63356169391537</v>
      </c>
      <c r="BE115" s="2388">
        <f t="shared" si="45"/>
        <v>246.7648995328974</v>
      </c>
      <c r="BF115" s="2388">
        <f t="shared" si="45"/>
        <v>250.3570337121181</v>
      </c>
      <c r="BG115" s="2388">
        <f t="shared" si="45"/>
        <v>213.5059587784489</v>
      </c>
      <c r="BH115" s="2388">
        <f t="shared" si="45"/>
        <v>198.80990072736341</v>
      </c>
      <c r="BI115" s="2388">
        <f t="shared" si="45"/>
        <v>214.9214310140359</v>
      </c>
      <c r="BJ115" s="2388">
        <f t="shared" si="45"/>
        <v>205.89115759445113</v>
      </c>
      <c r="BK115" s="2388">
        <f t="shared" si="45"/>
        <v>183.15904761148411</v>
      </c>
      <c r="BL115" s="2388">
        <f t="shared" si="45"/>
        <v>168.04917381231189</v>
      </c>
      <c r="BM115" s="2388">
        <f t="shared" si="45"/>
        <v>129.04103308836335</v>
      </c>
      <c r="BN115" s="2388">
        <f t="shared" si="45"/>
        <v>45.233087289156863</v>
      </c>
    </row>
    <row r="116" spans="3:66" outlineLevel="1">
      <c r="C116" s="2613"/>
      <c r="D116" s="2348" t="s">
        <v>5112</v>
      </c>
      <c r="E116" s="2599"/>
      <c r="F116" s="2619"/>
      <c r="G116" s="2620"/>
      <c r="H116" s="2517"/>
      <c r="J116" s="2621"/>
      <c r="K116" s="2621"/>
      <c r="L116" s="2621"/>
      <c r="M116" s="2621"/>
      <c r="N116" s="2621"/>
      <c r="O116" s="2621"/>
      <c r="P116" s="2606"/>
      <c r="Q116" s="2606"/>
      <c r="R116" s="2606"/>
      <c r="S116" s="2621"/>
      <c r="T116" s="2612">
        <f>SUM(U115:$BN$115)*(1+$F$114)^(YEARFRAC(T110,$G$114))</f>
        <v>234865.06947013532</v>
      </c>
      <c r="U116" s="2612">
        <f>SUM(V115:$BN$115)*(1+$F$114)^(YEARFRAC(U110,$G$114))</f>
        <v>233404.61423058191</v>
      </c>
      <c r="V116" s="2612">
        <f>SUM(W115:$BN$115)*(1+$F$114)^(YEARFRAC(V110,$G$114))</f>
        <v>226219.09088788246</v>
      </c>
      <c r="W116" s="2612">
        <f>SUM(X115:$BN$115)*(1+$F$114)^(YEARFRAC(W110,$G$114))</f>
        <v>218306.23129787872</v>
      </c>
      <c r="X116" s="2612">
        <f>SUM(Y115:$BN$115)*(1+$F$114)^(YEARFRAC(X110,$G$114))</f>
        <v>212688.32516340862</v>
      </c>
      <c r="Y116" s="2612">
        <f>SUM(Z115:$BN$115)*(1+$F$114)^(YEARFRAC(Y110,$G$114))</f>
        <v>209598.32190714311</v>
      </c>
      <c r="Z116" s="2612">
        <f>SUM(AA115:$BN$115)*(1+$F$114)^(YEARFRAC(Z110,$G$114))</f>
        <v>207303.05047885567</v>
      </c>
      <c r="AA116" s="2388">
        <f>SUM(AB115:$BN$115)*(1+$F$114)^(YEARFRAC(AA110,$G$114))</f>
        <v>204501.93016578894</v>
      </c>
      <c r="AB116" s="2388">
        <f>SUM(AC115:$BN$115)*(1+$F$114)^(YEARFRAC(AB110,$G$114))</f>
        <v>201754.2753596711</v>
      </c>
      <c r="AC116" s="2388">
        <f>SUM(AD115:$BN$115)*(1+$F$114)^(YEARFRAC(AC110,$G$114))</f>
        <v>198777.09787344545</v>
      </c>
      <c r="AD116" s="2388">
        <f>SUM(AE115:$BN$115)*(1+$F$114)^(YEARFRAC(AD110,$G$114))</f>
        <v>195740.29912792446</v>
      </c>
      <c r="AE116" s="2388">
        <f>SUM(AF115:$BN$115)*(1+$F$114)^(YEARFRAC(AE110,$G$114))</f>
        <v>193107.12766483519</v>
      </c>
      <c r="AF116" s="2388">
        <f>SUM(AG115:$BN$115)*(1+$F$114)^(YEARFRAC(AF110,$G$114))</f>
        <v>190088.41560399134</v>
      </c>
      <c r="AG116" s="2388">
        <f>SUM(AH115:$BN$115)*(1+$F$114)^(YEARFRAC(AG110,$G$114))</f>
        <v>186330.96227717283</v>
      </c>
      <c r="AH116" s="2388">
        <f>SUM(AI115:$BN$115)*(1+$F$114)^(YEARFRAC(AH110,$G$114))</f>
        <v>183104.23640384243</v>
      </c>
      <c r="AI116" s="2388">
        <f>SUM(AJ115:$BN$115)*(1+$F$114)^(YEARFRAC(AI110,$G$114))</f>
        <v>188488.45790431174</v>
      </c>
      <c r="AJ116" s="2388">
        <f>SUM(AK115:$BN$115)*(1+$F$114)^(YEARFRAC(AJ110,$G$114))</f>
        <v>195992.54689596014</v>
      </c>
      <c r="AK116" s="2388">
        <f>SUM(AL115:$BN$115)*(1+$F$114)^(YEARFRAC(AK110,$G$114))</f>
        <v>196309.42233304834</v>
      </c>
      <c r="AL116" s="2388">
        <f>SUM(AM115:$BN$115)*(1+$F$114)^(YEARFRAC(AL110,$G$114))</f>
        <v>194866.18578563572</v>
      </c>
      <c r="AM116" s="2388">
        <f>SUM(AN115:$BN$115)*(1+$F$114)^(YEARFRAC(AM110,$G$114))</f>
        <v>195424.49927793571</v>
      </c>
      <c r="AN116" s="2388">
        <f>SUM(AO115:$BN$115)*(1+$F$114)^(YEARFRAC(AN110,$G$114))</f>
        <v>195923.01408773748</v>
      </c>
      <c r="AO116" s="2388">
        <f>SUM(AP115:$BN$115)*(1+$F$114)^(YEARFRAC(AO110,$G$114))</f>
        <v>192983.65558755261</v>
      </c>
      <c r="AP116" s="2388">
        <f>SUM(AQ115:$BN$115)*(1+$F$114)^(YEARFRAC(AP110,$G$114))</f>
        <v>188800.89613215264</v>
      </c>
      <c r="AQ116" s="2388">
        <f>SUM(AR115:$BN$115)*(1+$F$114)^(YEARFRAC(AQ110,$G$114))</f>
        <v>184104.29315600774</v>
      </c>
      <c r="AR116" s="2388">
        <f>SUM(AS115:$BN$115)*(1+$F$114)^(YEARFRAC(AR110,$G$114))</f>
        <v>179216.53183640269</v>
      </c>
      <c r="AS116" s="2388">
        <f>SUM(AT115:$BN$115)*(1+$F$114)^(YEARFRAC(AS110,$G$114))</f>
        <v>174944.52280724983</v>
      </c>
      <c r="AT116" s="2388">
        <f>SUM(AU115:$BN$115)*(1+$F$114)^(YEARFRAC(AT110,$G$114))</f>
        <v>170370.64532356622</v>
      </c>
      <c r="AU116" s="2388">
        <f>SUM(AV115:$BN$115)*(1+$F$114)^(YEARFRAC(AU110,$G$114))</f>
        <v>165486.29095211078</v>
      </c>
      <c r="AV116" s="2388">
        <f>SUM(AW115:$BN$115)*(1+$F$114)^(YEARFRAC(AV110,$G$114))</f>
        <v>160324.73238850149</v>
      </c>
      <c r="AW116" s="2388">
        <f>SUM(AX115:$BN$115)*(1+$F$114)^(YEARFRAC(AW110,$G$114))</f>
        <v>154141.25402226864</v>
      </c>
      <c r="AX116" s="2388">
        <f>SUM(AY115:$BN$115)*(1+$F$114)^(YEARFRAC(AX110,$G$114))</f>
        <v>147608.46057138697</v>
      </c>
      <c r="AY116" s="2388">
        <f>SUM(AZ115:$BN$115)*(1+$F$114)^(YEARFRAC(AY110,$G$114))</f>
        <v>140341.70515101813</v>
      </c>
      <c r="AZ116" s="2388">
        <f>SUM(BA115:$BN$115)*(1+$F$114)^(YEARFRAC(AZ110,$G$114))</f>
        <v>132161.84701416976</v>
      </c>
      <c r="BA116" s="2388">
        <f>SUM(BB115:$BN$115)*(1+$F$114)^(YEARFRAC(BA110,$G$114))</f>
        <v>123061.5204872</v>
      </c>
      <c r="BB116" s="2388">
        <f>SUM(BC115:$BN$115)*(1+$F$114)^(YEARFRAC(BB110,$G$114))</f>
        <v>113964.33776036807</v>
      </c>
      <c r="BC116" s="2388">
        <f>SUM(BD115:$BN$115)*(1+$F$114)^(YEARFRAC(BC110,$G$114))</f>
        <v>113764.93633307969</v>
      </c>
      <c r="BD116" s="2388">
        <f>SUM(BE115:$BN$115)*(1+$F$114)^(YEARFRAC(BD110,$G$114))</f>
        <v>115304.1579449928</v>
      </c>
      <c r="BE116" s="2388">
        <f>SUM(BF115:$BN$115)*(1+$F$114)^(YEARFRAC(BE110,$G$114))</f>
        <v>108839.14578046479</v>
      </c>
      <c r="BF116" s="2388">
        <f>SUM(BG115:$BN$115)*(1+$F$114)^(YEARFRAC(BF110,$G$114))</f>
        <v>100055.51870790205</v>
      </c>
      <c r="BG116" s="2388">
        <f>SUM(BH115:$BN$115)*(1+$F$114)^(YEARFRAC(BG110,$G$114))</f>
        <v>91812.00216566991</v>
      </c>
      <c r="BH116" s="2388">
        <f>SUM(BI115:$BN$115)*(1+$F$114)^(YEARFRAC(BH110,$G$114))</f>
        <v>82601.692809529501</v>
      </c>
      <c r="BI116" s="2388">
        <f>SUM(BJ115:$BN$115)*(1+$F$114)^(YEARFRAC(BI110,$G$114))</f>
        <v>69504.012478565899</v>
      </c>
      <c r="BJ116" s="2388">
        <f>SUM(BK115:$BN$115)*(1+$F$114)^(YEARFRAC(BJ110,$G$114))</f>
        <v>54367.20501334135</v>
      </c>
      <c r="BK116" s="2388">
        <f>SUM(BL115:$BN$115)*(1+$F$114)^(YEARFRAC(BK110,$G$114))</f>
        <v>38558.804092481929</v>
      </c>
      <c r="BL116" s="2388">
        <f>SUM(BM115:$BN$115)*(1+$F$114)^(YEARFRAC(BL110,$G$114))</f>
        <v>21371.166373930773</v>
      </c>
      <c r="BM116" s="2388">
        <f>SUM(BN115:$BN$115)*(1+$F$114)^(YEARFRAC(BM110,$G$114))</f>
        <v>6038.9269953833946</v>
      </c>
      <c r="BN116" s="2388">
        <f>SUM($BN115:BO$115)*(1+$F$114)^(YEARFRAC(BN110,$G$114))</f>
        <v>6574.579819873903</v>
      </c>
    </row>
    <row r="117" spans="3:66" outlineLevel="1">
      <c r="C117" s="2622"/>
      <c r="D117" s="2349" t="s">
        <v>5113</v>
      </c>
      <c r="E117" s="2623"/>
      <c r="F117" s="2624"/>
      <c r="G117" s="2625"/>
      <c r="H117" s="2626"/>
      <c r="J117" s="2627"/>
      <c r="K117" s="2627"/>
      <c r="L117" s="2627"/>
      <c r="M117" s="2627"/>
      <c r="N117" s="2627"/>
      <c r="O117" s="2627"/>
      <c r="P117" s="2628"/>
      <c r="Q117" s="2628"/>
      <c r="R117" s="2628"/>
      <c r="S117" s="2629"/>
      <c r="T117" s="2630">
        <f t="shared" ref="T117:BN117" si="46">T116*T112</f>
        <v>140919.04168208118</v>
      </c>
      <c r="U117" s="2630">
        <f t="shared" si="46"/>
        <v>140042.76853834913</v>
      </c>
      <c r="V117" s="2630">
        <f t="shared" si="46"/>
        <v>135731.45453272946</v>
      </c>
      <c r="W117" s="2630">
        <f t="shared" si="46"/>
        <v>130983.73877872723</v>
      </c>
      <c r="X117" s="2630">
        <f t="shared" si="46"/>
        <v>127612.99509804517</v>
      </c>
      <c r="Y117" s="2630">
        <f t="shared" si="46"/>
        <v>125758.99314428587</v>
      </c>
      <c r="Z117" s="2630">
        <f t="shared" si="46"/>
        <v>124381.83028731339</v>
      </c>
      <c r="AA117" s="2427">
        <f t="shared" si="46"/>
        <v>131828.51166169738</v>
      </c>
      <c r="AB117" s="2427">
        <f t="shared" si="46"/>
        <v>127511.03569455996</v>
      </c>
      <c r="AC117" s="2427">
        <f t="shared" si="46"/>
        <v>116904.45084481186</v>
      </c>
      <c r="AD117" s="2427">
        <f t="shared" ca="1" si="46"/>
        <v>113865.00424360942</v>
      </c>
      <c r="AE117" s="2427">
        <f t="shared" ca="1" si="46"/>
        <v>113888.6223488445</v>
      </c>
      <c r="AF117" s="2427">
        <f t="shared" ca="1" si="46"/>
        <v>114765.37875521832</v>
      </c>
      <c r="AG117" s="2427">
        <f t="shared" ca="1" si="46"/>
        <v>102982.54431794747</v>
      </c>
      <c r="AH117" s="2427">
        <f t="shared" ca="1" si="46"/>
        <v>86970.648836566776</v>
      </c>
      <c r="AI117" s="2427">
        <f t="shared" ca="1" si="46"/>
        <v>82476.927161115629</v>
      </c>
      <c r="AJ117" s="2427">
        <f t="shared" ca="1" si="46"/>
        <v>84620.711833963214</v>
      </c>
      <c r="AK117" s="2427">
        <f t="shared" ca="1" si="46"/>
        <v>86028.63491732585</v>
      </c>
      <c r="AL117" s="2427">
        <f t="shared" ca="1" si="46"/>
        <v>87515.476900404989</v>
      </c>
      <c r="AM117" s="2427">
        <f t="shared" ca="1" si="46"/>
        <v>88796.663750111911</v>
      </c>
      <c r="AN117" s="2427">
        <f t="shared" ca="1" si="46"/>
        <v>89182.392231340898</v>
      </c>
      <c r="AO117" s="2427">
        <f t="shared" ca="1" si="46"/>
        <v>88669.382739718189</v>
      </c>
      <c r="AP117" s="2427">
        <f t="shared" ca="1" si="46"/>
        <v>87114.717758796818</v>
      </c>
      <c r="AQ117" s="2427">
        <f t="shared" ca="1" si="46"/>
        <v>84878.465982909795</v>
      </c>
      <c r="AR117" s="2427">
        <f t="shared" ca="1" si="46"/>
        <v>83380.973251573494</v>
      </c>
      <c r="AS117" s="2427">
        <f t="shared" ca="1" si="46"/>
        <v>81718.461387543444</v>
      </c>
      <c r="AT117" s="2427">
        <f t="shared" ca="1" si="46"/>
        <v>79498.173580259536</v>
      </c>
      <c r="AU117" s="2427">
        <f t="shared" ca="1" si="46"/>
        <v>77907.779218070747</v>
      </c>
      <c r="AV117" s="2427">
        <f t="shared" ca="1" si="46"/>
        <v>75762.12689243599</v>
      </c>
      <c r="AW117" s="2427">
        <f t="shared" ca="1" si="46"/>
        <v>72746.946458707913</v>
      </c>
      <c r="AX117" s="2427">
        <f t="shared" ca="1" si="46"/>
        <v>70269.947353701224</v>
      </c>
      <c r="AY117" s="2427">
        <f t="shared" ca="1" si="46"/>
        <v>67047.831531652817</v>
      </c>
      <c r="AZ117" s="2427">
        <f t="shared" ca="1" si="46"/>
        <v>63045.617552546042</v>
      </c>
      <c r="BA117" s="2427">
        <f t="shared" ca="1" si="46"/>
        <v>59203.07108336431</v>
      </c>
      <c r="BB117" s="2427">
        <f t="shared" ca="1" si="46"/>
        <v>55010.026011213988</v>
      </c>
      <c r="BC117" s="2427">
        <f t="shared" ca="1" si="46"/>
        <v>54820.528284979671</v>
      </c>
      <c r="BD117" s="2427">
        <f t="shared" ca="1" si="46"/>
        <v>56023.189177871704</v>
      </c>
      <c r="BE117" s="2427">
        <f t="shared" ca="1" si="46"/>
        <v>53048.660734194607</v>
      </c>
      <c r="BF117" s="2427">
        <f t="shared" ca="1" si="46"/>
        <v>48675.178519906527</v>
      </c>
      <c r="BG117" s="2427">
        <f t="shared" ca="1" si="46"/>
        <v>45026.989599697015</v>
      </c>
      <c r="BH117" s="2427">
        <f t="shared" ca="1" si="46"/>
        <v>40630.136487764517</v>
      </c>
      <c r="BI117" s="2427">
        <f t="shared" ca="1" si="46"/>
        <v>34116.590791419614</v>
      </c>
      <c r="BJ117" s="2427">
        <f t="shared" ca="1" si="46"/>
        <v>26898.141601130625</v>
      </c>
      <c r="BK117" s="2427">
        <f t="shared" ca="1" si="46"/>
        <v>19130.124584158173</v>
      </c>
      <c r="BL117" s="2427">
        <f t="shared" ca="1" si="46"/>
        <v>10578.929995566998</v>
      </c>
      <c r="BM117" s="2427">
        <f t="shared" ca="1" si="46"/>
        <v>3012.512359865907</v>
      </c>
      <c r="BN117" s="2427">
        <f t="shared" ca="1" si="46"/>
        <v>3288.3083968555643</v>
      </c>
    </row>
    <row r="118" spans="3:66" outlineLevel="1">
      <c r="D118" s="2348" t="s">
        <v>3963</v>
      </c>
      <c r="H118" s="2482">
        <f>SUM(J118:BN118)</f>
        <v>754321.76556114596</v>
      </c>
      <c r="I118" s="2482"/>
      <c r="J118" s="2631">
        <v>-7464.8867133030653</v>
      </c>
      <c r="K118" s="2631">
        <v>-12468.136063654434</v>
      </c>
      <c r="L118" s="2631">
        <v>-28716.477552351043</v>
      </c>
      <c r="M118" s="2631">
        <v>-20213.061300536847</v>
      </c>
      <c r="N118" s="2631">
        <v>-35352.599115277502</v>
      </c>
      <c r="O118" s="2631">
        <v>-58462.019257497988</v>
      </c>
      <c r="P118" s="2631">
        <v>2742.8422688145529</v>
      </c>
      <c r="Q118" s="2631">
        <v>6103.4769125267594</v>
      </c>
      <c r="R118" s="2631">
        <v>8834.5768489604288</v>
      </c>
      <c r="S118" s="2631">
        <v>8381.8093508131096</v>
      </c>
      <c r="T118" s="2631">
        <v>18449.038664000938</v>
      </c>
      <c r="U118" s="2631">
        <v>26136.935139107918</v>
      </c>
      <c r="V118" s="2631">
        <v>29640.090110796486</v>
      </c>
      <c r="W118" s="2631">
        <v>26316.895792721312</v>
      </c>
      <c r="X118" s="2631">
        <v>23646.441908462541</v>
      </c>
      <c r="Y118" s="2631">
        <v>20264.473488057251</v>
      </c>
      <c r="Z118" s="2631">
        <v>21508.811674844834</v>
      </c>
      <c r="AA118" s="2631">
        <v>20868.99010623759</v>
      </c>
      <c r="AB118" s="2631">
        <v>20904.961917409044</v>
      </c>
      <c r="AC118" s="2631">
        <v>20840.601503847742</v>
      </c>
      <c r="AD118" s="2631">
        <v>20496.053149943473</v>
      </c>
      <c r="AE118" s="2631">
        <v>19494.618841528842</v>
      </c>
      <c r="AF118" s="2631">
        <v>20800.009727900757</v>
      </c>
      <c r="AG118" s="2631">
        <v>20436.581853884218</v>
      </c>
      <c r="AH118" s="2631">
        <v>19071.982600746938</v>
      </c>
      <c r="AI118" s="2631">
        <v>2642.2659363562052</v>
      </c>
      <c r="AJ118" s="2631">
        <v>15787.40851257199</v>
      </c>
      <c r="AK118" s="2631">
        <v>18347.918432594808</v>
      </c>
      <c r="AL118" s="2631">
        <v>19363.846184113361</v>
      </c>
      <c r="AM118" s="2631">
        <v>14088.78818965848</v>
      </c>
      <c r="AN118" s="2631">
        <v>19582.488362643599</v>
      </c>
      <c r="AO118" s="2631">
        <v>21052.971336890841</v>
      </c>
      <c r="AP118" s="2631">
        <v>21547.848075140864</v>
      </c>
      <c r="AQ118" s="2631">
        <v>21338.63685099288</v>
      </c>
      <c r="AR118" s="2631">
        <v>21096.987394093048</v>
      </c>
      <c r="AS118" s="2631">
        <v>19240.043411990355</v>
      </c>
      <c r="AT118" s="2631">
        <v>20942.869901383012</v>
      </c>
      <c r="AU118" s="2631">
        <v>19049.59132192855</v>
      </c>
      <c r="AV118" s="2631">
        <v>20630.793820194394</v>
      </c>
      <c r="AW118" s="2631">
        <v>20177.770437991614</v>
      </c>
      <c r="AX118" s="2631">
        <v>20232.474927322153</v>
      </c>
      <c r="AY118" s="2631">
        <v>20486.776818779508</v>
      </c>
      <c r="AZ118" s="2631">
        <v>20769.557948707865</v>
      </c>
      <c r="BA118" s="2631">
        <v>20876.606765545403</v>
      </c>
      <c r="BB118" s="2631">
        <v>19148.872422547673</v>
      </c>
      <c r="BC118" s="2631">
        <v>1467.2039507183799</v>
      </c>
      <c r="BD118" s="2631">
        <v>15636.252530943773</v>
      </c>
      <c r="BE118" s="2631">
        <v>17748.72941755395</v>
      </c>
      <c r="BF118" s="2631">
        <v>19126.589189025864</v>
      </c>
      <c r="BG118" s="2631">
        <v>15110.292914220274</v>
      </c>
      <c r="BH118" s="2631">
        <v>19597.774982250416</v>
      </c>
      <c r="BI118" s="2631">
        <v>21251.125984087335</v>
      </c>
      <c r="BJ118" s="2631">
        <v>21352.500760059371</v>
      </c>
      <c r="BK118" s="2632">
        <v>19909.043251026254</v>
      </c>
      <c r="BL118" s="2631">
        <v>21306.564032082279</v>
      </c>
      <c r="BM118" s="2631">
        <v>13149.159639747806</v>
      </c>
    </row>
    <row r="119" spans="3:66" outlineLevel="1"/>
    <row r="120" spans="3:66" s="2359" customFormat="1" outlineLevel="1">
      <c r="C120" s="2633"/>
      <c r="D120" s="2634" t="s">
        <v>5109</v>
      </c>
      <c r="E120" s="2634"/>
      <c r="F120" s="2634"/>
      <c r="G120" s="2635"/>
      <c r="H120" s="2636"/>
      <c r="J120" s="2636"/>
      <c r="K120" s="2636"/>
      <c r="L120" s="2636"/>
      <c r="M120" s="2636"/>
      <c r="N120" s="2636"/>
      <c r="O120" s="2636"/>
      <c r="P120" s="2636"/>
      <c r="Q120" s="2636"/>
      <c r="R120" s="2636"/>
      <c r="S120" s="2636"/>
      <c r="T120" s="2637"/>
      <c r="U120" s="2637"/>
      <c r="V120" s="2637"/>
      <c r="W120" s="2637"/>
      <c r="X120" s="2637">
        <f t="shared" ref="X120:BN120" si="47">X121*0.5+W121*0.5</f>
        <v>40685</v>
      </c>
      <c r="Y120" s="2637">
        <f t="shared" si="47"/>
        <v>40685</v>
      </c>
      <c r="Z120" s="2637">
        <f t="shared" si="47"/>
        <v>40685</v>
      </c>
      <c r="AA120" s="2637">
        <f t="shared" si="47"/>
        <v>40685</v>
      </c>
      <c r="AB120" s="2637">
        <f t="shared" si="47"/>
        <v>40685</v>
      </c>
      <c r="AC120" s="2637">
        <f t="shared" si="47"/>
        <v>40685</v>
      </c>
      <c r="AD120" s="2637">
        <f t="shared" si="47"/>
        <v>40685</v>
      </c>
      <c r="AE120" s="2637">
        <f t="shared" si="47"/>
        <v>40685</v>
      </c>
      <c r="AF120" s="2637">
        <f t="shared" si="47"/>
        <v>40685</v>
      </c>
      <c r="AG120" s="2637">
        <f t="shared" si="47"/>
        <v>40685</v>
      </c>
      <c r="AH120" s="2637">
        <f t="shared" si="47"/>
        <v>40685</v>
      </c>
      <c r="AI120" s="2637">
        <f t="shared" si="47"/>
        <v>40685</v>
      </c>
      <c r="AJ120" s="2637">
        <f t="shared" si="47"/>
        <v>40685</v>
      </c>
      <c r="AK120" s="2637">
        <f t="shared" si="47"/>
        <v>40685</v>
      </c>
      <c r="AL120" s="2637">
        <f t="shared" si="47"/>
        <v>40685</v>
      </c>
      <c r="AM120" s="2637">
        <f t="shared" si="47"/>
        <v>40685</v>
      </c>
      <c r="AN120" s="2637">
        <f t="shared" si="47"/>
        <v>40685</v>
      </c>
      <c r="AO120" s="2637">
        <f t="shared" si="47"/>
        <v>40685</v>
      </c>
      <c r="AP120" s="2637">
        <f t="shared" si="47"/>
        <v>40685</v>
      </c>
      <c r="AQ120" s="2637">
        <f t="shared" si="47"/>
        <v>40685</v>
      </c>
      <c r="AR120" s="2637">
        <f t="shared" si="47"/>
        <v>40685</v>
      </c>
      <c r="AS120" s="2637">
        <f t="shared" si="47"/>
        <v>40685</v>
      </c>
      <c r="AT120" s="2637">
        <f t="shared" si="47"/>
        <v>40685</v>
      </c>
      <c r="AU120" s="2637">
        <f t="shared" si="47"/>
        <v>40685</v>
      </c>
      <c r="AV120" s="2637">
        <f t="shared" si="47"/>
        <v>40685</v>
      </c>
      <c r="AW120" s="2637">
        <f t="shared" si="47"/>
        <v>40685</v>
      </c>
      <c r="AX120" s="2637">
        <f t="shared" si="47"/>
        <v>40685</v>
      </c>
      <c r="AY120" s="2637">
        <f t="shared" si="47"/>
        <v>40685</v>
      </c>
      <c r="AZ120" s="2637">
        <f t="shared" si="47"/>
        <v>40685</v>
      </c>
      <c r="BA120" s="2637">
        <f t="shared" si="47"/>
        <v>40685</v>
      </c>
      <c r="BB120" s="2637">
        <f t="shared" si="47"/>
        <v>40685</v>
      </c>
      <c r="BC120" s="2637">
        <f t="shared" si="47"/>
        <v>40685</v>
      </c>
      <c r="BD120" s="2637">
        <f t="shared" si="47"/>
        <v>40685</v>
      </c>
      <c r="BE120" s="2637">
        <f t="shared" si="47"/>
        <v>40685</v>
      </c>
      <c r="BF120" s="2637">
        <f t="shared" si="47"/>
        <v>40685</v>
      </c>
      <c r="BG120" s="2637">
        <f t="shared" si="47"/>
        <v>40685</v>
      </c>
      <c r="BH120" s="2637">
        <f t="shared" si="47"/>
        <v>40685</v>
      </c>
      <c r="BI120" s="2637">
        <f t="shared" si="47"/>
        <v>40685</v>
      </c>
      <c r="BJ120" s="2637">
        <f t="shared" si="47"/>
        <v>40685</v>
      </c>
      <c r="BK120" s="2637">
        <f t="shared" si="47"/>
        <v>40685</v>
      </c>
      <c r="BL120" s="2637">
        <f t="shared" si="47"/>
        <v>40685</v>
      </c>
      <c r="BM120" s="2637">
        <f t="shared" si="47"/>
        <v>40685</v>
      </c>
      <c r="BN120" s="2637">
        <f t="shared" si="47"/>
        <v>20342.5</v>
      </c>
    </row>
    <row r="121" spans="3:66" s="2359" customFormat="1" outlineLevel="1">
      <c r="C121" s="2360"/>
      <c r="D121" s="2638" t="s">
        <v>3964</v>
      </c>
      <c r="G121" s="2639"/>
      <c r="H121" s="2640"/>
      <c r="J121" s="2641">
        <v>0</v>
      </c>
      <c r="K121" s="2641">
        <v>0</v>
      </c>
      <c r="L121" s="2641">
        <v>0</v>
      </c>
      <c r="M121" s="2641">
        <v>0</v>
      </c>
      <c r="N121" s="2641">
        <v>0</v>
      </c>
      <c r="O121" s="2641">
        <v>0</v>
      </c>
      <c r="P121" s="2641">
        <v>15535</v>
      </c>
      <c r="Q121" s="2641">
        <v>17550</v>
      </c>
      <c r="R121" s="2641">
        <v>19825</v>
      </c>
      <c r="S121" s="2641">
        <v>24112</v>
      </c>
      <c r="T121" s="2641">
        <v>30960</v>
      </c>
      <c r="U121" s="2641">
        <v>37070.5</v>
      </c>
      <c r="V121" s="2641">
        <v>40685</v>
      </c>
      <c r="W121" s="2641">
        <v>40685</v>
      </c>
      <c r="X121" s="2641">
        <v>40685</v>
      </c>
      <c r="Y121" s="2641">
        <v>40685</v>
      </c>
      <c r="Z121" s="2641">
        <v>40685</v>
      </c>
      <c r="AA121" s="2641">
        <v>40685</v>
      </c>
      <c r="AB121" s="2641">
        <v>40685</v>
      </c>
      <c r="AC121" s="2641">
        <v>40685</v>
      </c>
      <c r="AD121" s="2641">
        <v>40685</v>
      </c>
      <c r="AE121" s="2641">
        <v>40685</v>
      </c>
      <c r="AF121" s="2641">
        <v>40685</v>
      </c>
      <c r="AG121" s="2641">
        <v>40685</v>
      </c>
      <c r="AH121" s="2641">
        <v>40685</v>
      </c>
      <c r="AI121" s="2641">
        <v>40685</v>
      </c>
      <c r="AJ121" s="2641">
        <v>40685</v>
      </c>
      <c r="AK121" s="2641">
        <v>40685</v>
      </c>
      <c r="AL121" s="2641">
        <v>40685</v>
      </c>
      <c r="AM121" s="2641">
        <v>40685</v>
      </c>
      <c r="AN121" s="2641">
        <v>40685</v>
      </c>
      <c r="AO121" s="2641">
        <v>40685</v>
      </c>
      <c r="AP121" s="2641">
        <v>40685</v>
      </c>
      <c r="AQ121" s="2641">
        <v>40685</v>
      </c>
      <c r="AR121" s="2641">
        <v>40685</v>
      </c>
      <c r="AS121" s="2641">
        <v>40685</v>
      </c>
      <c r="AT121" s="2641">
        <v>40685</v>
      </c>
      <c r="AU121" s="2641">
        <v>40685</v>
      </c>
      <c r="AV121" s="2641">
        <v>40685</v>
      </c>
      <c r="AW121" s="2641">
        <v>40685</v>
      </c>
      <c r="AX121" s="2641">
        <v>40685</v>
      </c>
      <c r="AY121" s="2641">
        <v>40685</v>
      </c>
      <c r="AZ121" s="2641">
        <v>40685</v>
      </c>
      <c r="BA121" s="2641">
        <v>40685</v>
      </c>
      <c r="BB121" s="2641">
        <v>40685</v>
      </c>
      <c r="BC121" s="2641">
        <v>40685</v>
      </c>
      <c r="BD121" s="2641">
        <v>40685</v>
      </c>
      <c r="BE121" s="2641">
        <v>40685</v>
      </c>
      <c r="BF121" s="2641">
        <v>40685</v>
      </c>
      <c r="BG121" s="2641">
        <v>40685</v>
      </c>
      <c r="BH121" s="2641">
        <v>40685</v>
      </c>
      <c r="BI121" s="2641">
        <v>40685</v>
      </c>
      <c r="BJ121" s="2641">
        <v>40685</v>
      </c>
      <c r="BK121" s="2641">
        <v>40685</v>
      </c>
      <c r="BL121" s="2641">
        <v>40685</v>
      </c>
      <c r="BM121" s="2641">
        <v>40685</v>
      </c>
      <c r="BN121" s="2641">
        <v>0</v>
      </c>
    </row>
    <row r="122" spans="3:66" s="2359" customFormat="1" outlineLevel="1">
      <c r="C122" s="2360"/>
      <c r="D122" s="2359" t="s">
        <v>3965</v>
      </c>
      <c r="G122" s="2639"/>
      <c r="H122" s="2640"/>
      <c r="J122" s="2640"/>
      <c r="K122" s="2640"/>
      <c r="L122" s="2640"/>
      <c r="M122" s="2640"/>
      <c r="N122" s="2640"/>
      <c r="O122" s="2640"/>
      <c r="P122" s="2640"/>
      <c r="Q122" s="2640"/>
      <c r="R122" s="2640"/>
      <c r="S122" s="2640"/>
      <c r="T122" s="2640"/>
      <c r="U122" s="2640"/>
      <c r="V122" s="2640"/>
      <c r="W122" s="2640"/>
      <c r="X122" s="2361">
        <f>SUM(X124:X125)/X123</f>
        <v>27969.122448230093</v>
      </c>
      <c r="Y122" s="2361">
        <f t="shared" ref="Y122:BN122" si="48">SUM(Y124:Y125)/Y123</f>
        <v>27152.100996493391</v>
      </c>
      <c r="Z122" s="2361">
        <f t="shared" si="48"/>
        <v>25029.273676297638</v>
      </c>
      <c r="AA122" s="2361">
        <f t="shared" si="48"/>
        <v>25689.898413897339</v>
      </c>
      <c r="AB122" s="2361">
        <f t="shared" si="48"/>
        <v>22385.496707162631</v>
      </c>
      <c r="AC122" s="2361">
        <f t="shared" ca="1" si="48"/>
        <v>23847.159058917096</v>
      </c>
      <c r="AD122" s="2361">
        <f t="shared" ca="1" si="48"/>
        <v>24629.57569369243</v>
      </c>
      <c r="AE122" s="2361">
        <f t="shared" ca="1" si="48"/>
        <v>24758.152392198048</v>
      </c>
      <c r="AF122" s="2361">
        <f t="shared" ca="1" si="48"/>
        <v>20256.779472216385</v>
      </c>
      <c r="AG122" s="2361">
        <f t="shared" ca="1" si="48"/>
        <v>16891.796000400616</v>
      </c>
      <c r="AH122" s="2361">
        <f t="shared" ca="1" si="48"/>
        <v>17591.627831175785</v>
      </c>
      <c r="AI122" s="2361">
        <f t="shared" ca="1" si="48"/>
        <v>17773.532933057104</v>
      </c>
      <c r="AJ122" s="2361">
        <f t="shared" ca="1" si="48"/>
        <v>17945.859281425805</v>
      </c>
      <c r="AK122" s="2361">
        <f t="shared" ca="1" si="48"/>
        <v>18655.297829045168</v>
      </c>
      <c r="AL122" s="2361">
        <f t="shared" ca="1" si="48"/>
        <v>18553.948950110302</v>
      </c>
      <c r="AM122" s="2361">
        <f t="shared" ca="1" si="48"/>
        <v>18451.159563272566</v>
      </c>
      <c r="AN122" s="2361">
        <f t="shared" ca="1" si="48"/>
        <v>18901.306518419591</v>
      </c>
      <c r="AO122" s="2361">
        <f t="shared" ca="1" si="48"/>
        <v>18793.715659297053</v>
      </c>
      <c r="AP122" s="2361">
        <f t="shared" ca="1" si="48"/>
        <v>18684.813561236453</v>
      </c>
      <c r="AQ122" s="2361">
        <f t="shared" ca="1" si="48"/>
        <v>19136.496998587478</v>
      </c>
      <c r="AR122" s="2361">
        <f t="shared" ca="1" si="48"/>
        <v>19022.863144753916</v>
      </c>
      <c r="AS122" s="2361">
        <f t="shared" ca="1" si="48"/>
        <v>18908.043796109141</v>
      </c>
      <c r="AT122" s="2361">
        <f t="shared" ca="1" si="48"/>
        <v>19361.122081573809</v>
      </c>
      <c r="AU122" s="2361">
        <f t="shared" ca="1" si="48"/>
        <v>19241.639896095821</v>
      </c>
      <c r="AV122" s="2361">
        <f t="shared" ca="1" si="48"/>
        <v>19121.094507612077</v>
      </c>
      <c r="AW122" s="2361">
        <f t="shared" ca="1" si="48"/>
        <v>19575.430210453698</v>
      </c>
      <c r="AX122" s="2361">
        <f t="shared" ca="1" si="48"/>
        <v>19450.290107344386</v>
      </c>
      <c r="AY122" s="2361">
        <f t="shared" ca="1" si="48"/>
        <v>19324.205712015817</v>
      </c>
      <c r="AZ122" s="2361">
        <f t="shared" ca="1" si="48"/>
        <v>19779.665499735296</v>
      </c>
      <c r="BA122" s="2361">
        <f t="shared" ca="1" si="48"/>
        <v>19649.053716582228</v>
      </c>
      <c r="BB122" s="2361">
        <f t="shared" ca="1" si="48"/>
        <v>19517.61324107851</v>
      </c>
      <c r="BC122" s="2361">
        <f t="shared" ca="1" si="48"/>
        <v>19974.067776991389</v>
      </c>
      <c r="BD122" s="2361">
        <f t="shared" ca="1" si="48"/>
        <v>19838.16644683951</v>
      </c>
      <c r="BE122" s="2361">
        <f t="shared" ca="1" si="48"/>
        <v>19701.548782200316</v>
      </c>
      <c r="BF122" s="2361">
        <f t="shared" ca="1" si="48"/>
        <v>20158.872625628617</v>
      </c>
      <c r="BG122" s="2361">
        <f t="shared" ca="1" si="48"/>
        <v>20017.85984810321</v>
      </c>
      <c r="BH122" s="2361">
        <f t="shared" ca="1" si="48"/>
        <v>19876.239919685795</v>
      </c>
      <c r="BI122" s="2361">
        <f t="shared" ca="1" si="48"/>
        <v>20334.311428689041</v>
      </c>
      <c r="BJ122" s="2361">
        <f t="shared" ca="1" si="48"/>
        <v>20188.361340345415</v>
      </c>
      <c r="BK122" s="2361">
        <f t="shared" ca="1" si="48"/>
        <v>20041.910177012265</v>
      </c>
      <c r="BL122" s="2361">
        <f t="shared" ca="1" si="48"/>
        <v>20500.611413584607</v>
      </c>
      <c r="BM122" s="2361">
        <f t="shared" ca="1" si="48"/>
        <v>20349.894257472599</v>
      </c>
      <c r="BN122" s="2361">
        <f t="shared" ca="1" si="48"/>
        <v>10099.389530003653</v>
      </c>
    </row>
    <row r="123" spans="3:66" s="2359" customFormat="1" outlineLevel="1">
      <c r="C123" s="2360"/>
      <c r="D123" s="2638" t="s">
        <v>3966</v>
      </c>
      <c r="G123" s="2639"/>
      <c r="H123" s="2640"/>
      <c r="J123" s="2642"/>
      <c r="K123" s="2642"/>
      <c r="L123" s="2642"/>
      <c r="M123" s="2642"/>
      <c r="N123" s="2642"/>
      <c r="O123" s="2642"/>
      <c r="P123" s="2642"/>
      <c r="Q123" s="2642"/>
      <c r="R123" s="2642"/>
      <c r="S123" s="2642"/>
      <c r="T123" s="2642"/>
      <c r="U123" s="2642"/>
      <c r="V123" s="2642"/>
      <c r="W123" s="2642"/>
      <c r="X123" s="2642">
        <f t="shared" ref="X123:BN123" si="49">X50</f>
        <v>1.4875152253349573</v>
      </c>
      <c r="Y123" s="2642">
        <f t="shared" si="49"/>
        <v>1.5071559074299632</v>
      </c>
      <c r="Z123" s="2642">
        <f t="shared" si="49"/>
        <v>1.5182704019488427</v>
      </c>
      <c r="AA123" s="2642">
        <f t="shared" si="49"/>
        <v>1.5275578562728378</v>
      </c>
      <c r="AB123" s="2642">
        <f t="shared" si="49"/>
        <v>1.5840438489646771</v>
      </c>
      <c r="AC123" s="2642">
        <f t="shared" ca="1" si="49"/>
        <v>1.6078045066991471</v>
      </c>
      <c r="AD123" s="2642">
        <f t="shared" ca="1" si="49"/>
        <v>1.6319215742996342</v>
      </c>
      <c r="AE123" s="2642">
        <f t="shared" ca="1" si="49"/>
        <v>1.6564003979141286</v>
      </c>
      <c r="AF123" s="2642">
        <f t="shared" ca="1" si="49"/>
        <v>1.6812464038828403</v>
      </c>
      <c r="AG123" s="2642">
        <f t="shared" ca="1" si="49"/>
        <v>1.7064650999410826</v>
      </c>
      <c r="AH123" s="2642">
        <f t="shared" ca="1" si="49"/>
        <v>1.7320620764401986</v>
      </c>
      <c r="AI123" s="2642">
        <f t="shared" ca="1" si="49"/>
        <v>1.7580430075868014</v>
      </c>
      <c r="AJ123" s="2642">
        <f t="shared" ca="1" si="49"/>
        <v>1.7844136527006034</v>
      </c>
      <c r="AK123" s="2642">
        <f t="shared" ca="1" si="49"/>
        <v>1.8111798574911122</v>
      </c>
      <c r="AL123" s="2642">
        <f t="shared" ca="1" si="49"/>
        <v>1.8383475553534787</v>
      </c>
      <c r="AM123" s="2642">
        <f t="shared" ca="1" si="49"/>
        <v>1.8659227686837807</v>
      </c>
      <c r="AN123" s="2642">
        <f t="shared" ca="1" si="49"/>
        <v>1.8939116102140372</v>
      </c>
      <c r="AO123" s="2642">
        <f t="shared" ca="1" si="49"/>
        <v>1.9223202843672476</v>
      </c>
      <c r="AP123" s="2642">
        <f t="shared" ca="1" si="49"/>
        <v>1.951155088632756</v>
      </c>
      <c r="AQ123" s="2642">
        <f t="shared" ca="1" si="49"/>
        <v>1.9804224149622471</v>
      </c>
      <c r="AR123" s="2642">
        <f t="shared" ca="1" si="49"/>
        <v>2.0101287511866808</v>
      </c>
      <c r="AS123" s="2642">
        <f t="shared" ca="1" si="49"/>
        <v>2.0402806824544806</v>
      </c>
      <c r="AT123" s="2642">
        <f t="shared" ca="1" si="49"/>
        <v>2.0708848926912977</v>
      </c>
      <c r="AU123" s="2642">
        <f t="shared" ca="1" si="49"/>
        <v>2.1019481660816668</v>
      </c>
      <c r="AV123" s="2642">
        <f t="shared" ca="1" si="49"/>
        <v>2.1334773885728917</v>
      </c>
      <c r="AW123" s="2642">
        <f t="shared" ca="1" si="49"/>
        <v>2.1654795494014847</v>
      </c>
      <c r="AX123" s="2642">
        <f t="shared" ca="1" si="49"/>
        <v>2.1979617426425069</v>
      </c>
      <c r="AY123" s="2642">
        <f t="shared" ca="1" si="49"/>
        <v>2.2309311687821443</v>
      </c>
      <c r="AZ123" s="2642">
        <f t="shared" ca="1" si="49"/>
        <v>2.2643951363138761</v>
      </c>
      <c r="BA123" s="2642">
        <f t="shared" ca="1" si="49"/>
        <v>2.298361063358584</v>
      </c>
      <c r="BB123" s="2642">
        <f t="shared" ca="1" si="49"/>
        <v>2.3328364793089627</v>
      </c>
      <c r="BC123" s="2642">
        <f t="shared" ca="1" si="49"/>
        <v>2.3678290264985971</v>
      </c>
      <c r="BD123" s="2642">
        <f t="shared" ca="1" si="49"/>
        <v>2.4033464618960756</v>
      </c>
      <c r="BE123" s="2642">
        <f t="shared" ca="1" si="49"/>
        <v>2.4393966588245166</v>
      </c>
      <c r="BF123" s="2642">
        <f t="shared" ca="1" si="49"/>
        <v>2.4759876087068839</v>
      </c>
      <c r="BG123" s="2642">
        <f t="shared" ca="1" si="49"/>
        <v>2.5131274228374871</v>
      </c>
      <c r="BH123" s="2642">
        <f t="shared" ca="1" si="49"/>
        <v>2.5508243341800494</v>
      </c>
      <c r="BI123" s="2642">
        <f t="shared" ca="1" si="49"/>
        <v>2.5890866991927499</v>
      </c>
      <c r="BJ123" s="2642">
        <f t="shared" ca="1" si="49"/>
        <v>2.6279229996806408</v>
      </c>
      <c r="BK123" s="2642">
        <f t="shared" ca="1" si="49"/>
        <v>2.6673418446758501</v>
      </c>
      <c r="BL123" s="2642">
        <f t="shared" ca="1" si="49"/>
        <v>2.7073519723459878</v>
      </c>
      <c r="BM123" s="2642">
        <f t="shared" ca="1" si="49"/>
        <v>2.7479622519311775</v>
      </c>
      <c r="BN123" s="2642">
        <f t="shared" ca="1" si="49"/>
        <v>2.7891816857101448</v>
      </c>
    </row>
    <row r="124" spans="3:66" s="2359" customFormat="1" outlineLevel="1">
      <c r="C124" s="2360"/>
      <c r="D124" s="2638" t="s">
        <v>3967</v>
      </c>
      <c r="G124" s="2639"/>
      <c r="H124" s="2640"/>
      <c r="J124" s="2640"/>
      <c r="K124" s="2640"/>
      <c r="L124" s="2640"/>
      <c r="M124" s="2640"/>
      <c r="N124" s="2640"/>
      <c r="O124" s="2640"/>
      <c r="P124" s="2640"/>
      <c r="Q124" s="2640"/>
      <c r="R124" s="2640"/>
      <c r="S124" s="2640"/>
      <c r="T124" s="2640"/>
      <c r="U124" s="2640"/>
      <c r="V124" s="2640"/>
      <c r="W124" s="2640"/>
      <c r="X124" s="2643">
        <v>41604.495480999998</v>
      </c>
      <c r="Y124" s="2643">
        <v>40922.449416000003</v>
      </c>
      <c r="Z124" s="2643">
        <f>실적!F81/10^6</f>
        <v>38001.205405000001</v>
      </c>
      <c r="AA124" s="2643">
        <f>실적!D81/10^6</f>
        <v>39242.806148999996</v>
      </c>
      <c r="AB124" s="2361"/>
      <c r="AC124" s="2361"/>
      <c r="AD124" s="2640"/>
      <c r="AE124" s="2640"/>
      <c r="AF124" s="2640"/>
      <c r="AG124" s="2640"/>
      <c r="AH124" s="2640"/>
      <c r="AI124" s="2640"/>
      <c r="AJ124" s="2640"/>
      <c r="AK124" s="2640"/>
      <c r="AL124" s="2640"/>
      <c r="AM124" s="2640"/>
      <c r="AN124" s="2640"/>
      <c r="AO124" s="2640"/>
      <c r="AP124" s="2640"/>
      <c r="AQ124" s="2640"/>
      <c r="AR124" s="2640"/>
      <c r="AS124" s="2640"/>
      <c r="AT124" s="2640"/>
      <c r="AU124" s="2640"/>
      <c r="AV124" s="2640"/>
      <c r="AW124" s="2640"/>
      <c r="AX124" s="2640"/>
      <c r="AY124" s="2640"/>
      <c r="AZ124" s="2640"/>
      <c r="BA124" s="2640"/>
      <c r="BB124" s="2640"/>
      <c r="BC124" s="2640"/>
      <c r="BD124" s="2640"/>
      <c r="BE124" s="2640"/>
      <c r="BF124" s="2640"/>
      <c r="BG124" s="2640"/>
      <c r="BH124" s="2640"/>
      <c r="BI124" s="2640"/>
      <c r="BJ124" s="2640"/>
      <c r="BK124" s="2640"/>
      <c r="BL124" s="2640"/>
      <c r="BM124" s="2640"/>
      <c r="BN124" s="2640"/>
    </row>
    <row r="125" spans="3:66" s="2359" customFormat="1" outlineLevel="1">
      <c r="C125" s="2360"/>
      <c r="D125" s="2638" t="s">
        <v>3968</v>
      </c>
      <c r="G125" s="2639"/>
      <c r="H125" s="2640"/>
      <c r="J125" s="2640"/>
      <c r="K125" s="2640"/>
      <c r="L125" s="2640"/>
      <c r="M125" s="2640"/>
      <c r="N125" s="2640"/>
      <c r="O125" s="2640"/>
      <c r="P125" s="2640"/>
      <c r="Q125" s="2640"/>
      <c r="R125" s="2640"/>
      <c r="S125" s="2640"/>
      <c r="T125" s="2640"/>
      <c r="U125" s="2640"/>
      <c r="V125" s="2640"/>
      <c r="W125" s="2640"/>
      <c r="X125" s="2361"/>
      <c r="Y125" s="2361"/>
      <c r="Z125" s="2361"/>
      <c r="AA125" s="2361"/>
      <c r="AB125" s="2361">
        <f>'IS(Y)'!M4*100</f>
        <v>35459.608365</v>
      </c>
      <c r="AC125" s="2361">
        <f ca="1">'IS(Y)'!N4*100</f>
        <v>38341.569806898297</v>
      </c>
      <c r="AD125" s="2361">
        <f ca="1">'IS(Y)'!O4*100</f>
        <v>40193.535940382557</v>
      </c>
      <c r="AE125" s="2361">
        <f ca="1">'IS(Y)'!P4*100</f>
        <v>41009.41347405548</v>
      </c>
      <c r="AF125" s="2361">
        <f ca="1">'IS(Y)'!Q4*100</f>
        <v>34056.63764191154</v>
      </c>
      <c r="AG125" s="2361">
        <f ca="1">'IS(Y)'!R4*100</f>
        <v>28825.260350008019</v>
      </c>
      <c r="AH125" s="2361">
        <f ca="1">'IS(Y)'!S4*100</f>
        <v>30469.791429229521</v>
      </c>
      <c r="AI125" s="2361">
        <f ca="1">'IS(Y)'!T4*100</f>
        <v>31246.635293074774</v>
      </c>
      <c r="AJ125" s="2361">
        <f ca="1">'IS(Y)'!U4*100</f>
        <v>32022.836311220046</v>
      </c>
      <c r="AK125" s="2361">
        <f ca="1">'IS(Y)'!V4*100</f>
        <v>33788.09966346428</v>
      </c>
      <c r="AL125" s="2361">
        <f ca="1">'IS(Y)'!W4*100</f>
        <v>34108.606694588518</v>
      </c>
      <c r="AM125" s="2361">
        <f ca="1">'IS(Y)'!X4*100</f>
        <v>34428.438737727767</v>
      </c>
      <c r="AN125" s="2361">
        <f ca="1">'IS(Y)'!Y4*100</f>
        <v>35797.403863449123</v>
      </c>
      <c r="AO125" s="2361">
        <f ca="1">'IS(Y)'!Z4*100</f>
        <v>36127.540830497106</v>
      </c>
      <c r="AP125" s="2361">
        <f ca="1">'IS(Y)'!AA4*100</f>
        <v>36456.969060160831</v>
      </c>
      <c r="AQ125" s="2361">
        <f ca="1">'IS(Y)'!AB4*100</f>
        <v>37898.347599860404</v>
      </c>
      <c r="AR125" s="2361">
        <f ca="1">'IS(Y)'!AC4*100</f>
        <v>38238.404137159327</v>
      </c>
      <c r="AS125" s="2361">
        <f ca="1">'IS(Y)'!AD4*100</f>
        <v>38577.71650020477</v>
      </c>
      <c r="AT125" s="2361">
        <f ca="1">'IS(Y)'!AE4*100</f>
        <v>40094.655224283095</v>
      </c>
      <c r="AU125" s="2361">
        <f ca="1">'IS(Y)'!AF4*100</f>
        <v>40444.929692002443</v>
      </c>
      <c r="AV125" s="2361">
        <f ca="1">'IS(Y)'!AG4*100</f>
        <v>40794.422776755673</v>
      </c>
      <c r="AW125" s="2361">
        <f ca="1">'IS(Y)'!AH4*100</f>
        <v>42390.193791473488</v>
      </c>
      <c r="AX125" s="2361">
        <f ca="1">'IS(Y)'!AI4*100</f>
        <v>42750.993539240982</v>
      </c>
      <c r="AY125" s="2361">
        <f ca="1">'IS(Y)'!AJ4*100</f>
        <v>43110.972834894033</v>
      </c>
      <c r="AZ125" s="2361">
        <f ca="1">'IS(Y)'!AK4*100</f>
        <v>44788.978355515981</v>
      </c>
      <c r="BA125" s="2361">
        <f ca="1">'IS(Y)'!AL4*100</f>
        <v>45160.61999403387</v>
      </c>
      <c r="BB125" s="2361">
        <f ca="1">'IS(Y)'!AM4*100</f>
        <v>45531.400157831587</v>
      </c>
      <c r="BC125" s="2361">
        <f ca="1">'IS(Y)'!AN4*100</f>
        <v>47295.177459610517</v>
      </c>
      <c r="BD125" s="2361">
        <f ca="1">'IS(Y)'!AO4*100</f>
        <v>47677.98714051718</v>
      </c>
      <c r="BE125" s="2361">
        <f ca="1">'IS(Y)'!AP4*100</f>
        <v>48059.892272967678</v>
      </c>
      <c r="BF125" s="2361">
        <f ca="1">'IS(Y)'!AQ4*100</f>
        <v>49913.118826556863</v>
      </c>
      <c r="BG125" s="2361">
        <f ca="1">'IS(Y)'!AR4*100</f>
        <v>50307.432530785634</v>
      </c>
      <c r="BH125" s="2361">
        <f ca="1">'IS(Y)'!AS4*100</f>
        <v>50700.796459135432</v>
      </c>
      <c r="BI125" s="2361">
        <f ca="1">'IS(Y)'!AT4*100</f>
        <v>52647.295257261918</v>
      </c>
      <c r="BJ125" s="2361">
        <f ca="1">'IS(Y)'!AU4*100</f>
        <v>53053.459092157209</v>
      </c>
      <c r="BK125" s="2361">
        <f ca="1">'IS(Y)'!AV4*100</f>
        <v>53458.625662379585</v>
      </c>
      <c r="BL125" s="2361">
        <f ca="1">'IS(Y)'!AW4*100</f>
        <v>55502.370744866959</v>
      </c>
      <c r="BM125" s="2361">
        <f ca="1">'IS(Y)'!AX4*100</f>
        <v>55920.741250325736</v>
      </c>
      <c r="BN125" s="2361">
        <f ca="1">'IS(Y)'!AY4*100</f>
        <v>28169.032313938977</v>
      </c>
    </row>
    <row r="126" spans="3:66" s="2359" customFormat="1" outlineLevel="1">
      <c r="C126" s="2360"/>
      <c r="D126" s="2359" t="s">
        <v>3969</v>
      </c>
      <c r="G126" s="2639"/>
      <c r="H126" s="2640"/>
      <c r="J126" s="2640"/>
      <c r="K126" s="2640"/>
      <c r="L126" s="2640"/>
      <c r="M126" s="2640"/>
      <c r="N126" s="2640"/>
      <c r="O126" s="2640"/>
      <c r="P126" s="2640"/>
      <c r="Q126" s="2640"/>
      <c r="R126" s="2640"/>
      <c r="S126" s="2640"/>
      <c r="T126" s="2640"/>
      <c r="U126" s="2640"/>
      <c r="V126" s="2640"/>
      <c r="W126" s="2640"/>
      <c r="X126" s="2644">
        <f>X122/X120</f>
        <v>0.6874553876915348</v>
      </c>
      <c r="Y126" s="2644">
        <f t="shared" ref="Y126:BN126" si="50">Y122/Y120</f>
        <v>0.66737374945295291</v>
      </c>
      <c r="Z126" s="2644">
        <f t="shared" si="50"/>
        <v>0.61519660013021105</v>
      </c>
      <c r="AA126" s="2644">
        <f t="shared" si="50"/>
        <v>0.63143415051978224</v>
      </c>
      <c r="AB126" s="2644">
        <f t="shared" si="50"/>
        <v>0.55021498604307806</v>
      </c>
      <c r="AC126" s="2644">
        <f t="shared" ca="1" si="50"/>
        <v>0.58614130659744612</v>
      </c>
      <c r="AD126" s="2644">
        <f t="shared" ca="1" si="50"/>
        <v>0.60537239016080691</v>
      </c>
      <c r="AE126" s="2644">
        <f t="shared" ca="1" si="50"/>
        <v>0.60853268753098311</v>
      </c>
      <c r="AF126" s="2644">
        <f t="shared" ca="1" si="50"/>
        <v>0.49789306801564176</v>
      </c>
      <c r="AG126" s="2644">
        <f t="shared" ca="1" si="50"/>
        <v>0.41518485929459548</v>
      </c>
      <c r="AH126" s="2644">
        <f t="shared" ca="1" si="50"/>
        <v>0.43238608408936424</v>
      </c>
      <c r="AI126" s="2644">
        <f t="shared" ca="1" si="50"/>
        <v>0.43685714472304543</v>
      </c>
      <c r="AJ126" s="2644">
        <f t="shared" ca="1" si="50"/>
        <v>0.44109276837718581</v>
      </c>
      <c r="AK126" s="2644">
        <f t="shared" ca="1" si="50"/>
        <v>0.4585301174645488</v>
      </c>
      <c r="AL126" s="2644">
        <f t="shared" ca="1" si="50"/>
        <v>0.45603905493696206</v>
      </c>
      <c r="AM126" s="2644">
        <f t="shared" ca="1" si="50"/>
        <v>0.45351258604578015</v>
      </c>
      <c r="AN126" s="2644">
        <f t="shared" ca="1" si="50"/>
        <v>0.46457678550865406</v>
      </c>
      <c r="AO126" s="2644">
        <f t="shared" ca="1" si="50"/>
        <v>0.46193230083070058</v>
      </c>
      <c r="AP126" s="2644">
        <f t="shared" ca="1" si="50"/>
        <v>0.45925558710179309</v>
      </c>
      <c r="AQ126" s="2644">
        <f t="shared" ca="1" si="50"/>
        <v>0.47035755188859474</v>
      </c>
      <c r="AR126" s="2644">
        <f t="shared" ca="1" si="50"/>
        <v>0.46756453594086067</v>
      </c>
      <c r="AS126" s="2644">
        <f t="shared" ca="1" si="50"/>
        <v>0.46474238161752834</v>
      </c>
      <c r="AT126" s="2644">
        <f t="shared" ca="1" si="50"/>
        <v>0.47587863049216689</v>
      </c>
      <c r="AU126" s="2644">
        <f t="shared" ca="1" si="50"/>
        <v>0.4729418679143621</v>
      </c>
      <c r="AV126" s="2644">
        <f t="shared" ca="1" si="50"/>
        <v>0.46997897278142009</v>
      </c>
      <c r="AW126" s="2644">
        <f t="shared" ca="1" si="50"/>
        <v>0.48114612782238414</v>
      </c>
      <c r="AX126" s="2644">
        <f t="shared" ca="1" si="50"/>
        <v>0.47807029881637919</v>
      </c>
      <c r="AY126" s="2644">
        <f t="shared" ca="1" si="50"/>
        <v>0.47497125997335177</v>
      </c>
      <c r="AZ126" s="2644">
        <f t="shared" ca="1" si="50"/>
        <v>0.48616604399005275</v>
      </c>
      <c r="BA126" s="2644">
        <f t="shared" ca="1" si="50"/>
        <v>0.48295572610500742</v>
      </c>
      <c r="BB126" s="2644">
        <f t="shared" ca="1" si="50"/>
        <v>0.47972503972172814</v>
      </c>
      <c r="BC126" s="2644">
        <f t="shared" ca="1" si="50"/>
        <v>0.49094427373703797</v>
      </c>
      <c r="BD126" s="2644">
        <f t="shared" ca="1" si="50"/>
        <v>0.48760394363621751</v>
      </c>
      <c r="BE126" s="2644">
        <f t="shared" ca="1" si="50"/>
        <v>0.48424600669043422</v>
      </c>
      <c r="BF126" s="2644">
        <f t="shared" ca="1" si="50"/>
        <v>0.49548660748749213</v>
      </c>
      <c r="BG126" s="2644">
        <f t="shared" ca="1" si="50"/>
        <v>0.49202064269640433</v>
      </c>
      <c r="BH126" s="2644">
        <f t="shared" ca="1" si="50"/>
        <v>0.4885397546930268</v>
      </c>
      <c r="BI126" s="2644">
        <f t="shared" ca="1" si="50"/>
        <v>0.49979873242445721</v>
      </c>
      <c r="BJ126" s="2644">
        <f t="shared" ca="1" si="50"/>
        <v>0.49621141305998318</v>
      </c>
      <c r="BK126" s="2644">
        <f t="shared" ca="1" si="50"/>
        <v>0.4926117777316521</v>
      </c>
      <c r="BL126" s="2644">
        <f t="shared" ca="1" si="50"/>
        <v>0.50388623358939677</v>
      </c>
      <c r="BM126" s="2644">
        <f t="shared" ca="1" si="50"/>
        <v>0.50018174406962268</v>
      </c>
      <c r="BN126" s="2644">
        <f t="shared" ca="1" si="50"/>
        <v>0.49646747105830913</v>
      </c>
    </row>
    <row r="127" spans="3:66" s="2359" customFormat="1" outlineLevel="1">
      <c r="C127" s="2360"/>
      <c r="D127" s="2359" t="s">
        <v>3970</v>
      </c>
      <c r="G127" s="2639"/>
      <c r="H127" s="2640"/>
      <c r="J127" s="2640"/>
      <c r="K127" s="2640"/>
      <c r="L127" s="2640"/>
      <c r="M127" s="2640"/>
      <c r="N127" s="2640"/>
      <c r="O127" s="2640"/>
      <c r="P127" s="2640"/>
      <c r="Q127" s="2640"/>
      <c r="R127" s="2640"/>
      <c r="S127" s="2640"/>
      <c r="T127" s="2640"/>
      <c r="U127" s="2640"/>
      <c r="V127" s="2640"/>
      <c r="W127" s="2640"/>
      <c r="X127" s="2644"/>
      <c r="Y127" s="2644"/>
      <c r="Z127" s="2644"/>
      <c r="AA127" s="2644">
        <f>SUMPRODUCT(X126:Z126,$E$129:$G$129)</f>
        <v>0.64463211449801228</v>
      </c>
      <c r="AB127" s="2644">
        <f t="shared" ref="AB127:BN127" si="51">SUMPRODUCT(Y126:AA126,$E$129:$G$129)</f>
        <v>0.6320115668787869</v>
      </c>
      <c r="AC127" s="2644">
        <f t="shared" si="51"/>
        <v>0.58811830988316827</v>
      </c>
      <c r="AD127" s="2644">
        <f t="shared" ca="1" si="51"/>
        <v>0.58171467373304608</v>
      </c>
      <c r="AE127" s="2644">
        <f t="shared" ca="1" si="51"/>
        <v>0.58976912828673189</v>
      </c>
      <c r="AF127" s="2644">
        <f t="shared" ca="1" si="51"/>
        <v>0.60374735825200154</v>
      </c>
      <c r="AG127" s="2644">
        <f t="shared" ca="1" si="51"/>
        <v>0.55268616154494965</v>
      </c>
      <c r="AH127" s="2644">
        <f t="shared" ca="1" si="51"/>
        <v>0.47497890024100886</v>
      </c>
      <c r="AI127" s="2644">
        <f t="shared" ca="1" si="51"/>
        <v>0.43757017314548757</v>
      </c>
      <c r="AJ127" s="2644">
        <f t="shared" ca="1" si="51"/>
        <v>0.43175474360707666</v>
      </c>
      <c r="AK127" s="2644">
        <f t="shared" ca="1" si="51"/>
        <v>0.43822977977783539</v>
      </c>
      <c r="AL127" s="2644">
        <f t="shared" ca="1" si="51"/>
        <v>0.44910550564517726</v>
      </c>
      <c r="AM127" s="2644">
        <f t="shared" ca="1" si="51"/>
        <v>0.45437836135286158</v>
      </c>
      <c r="AN127" s="2644">
        <f t="shared" ca="1" si="51"/>
        <v>0.4551909975793022</v>
      </c>
      <c r="AO127" s="2644">
        <f t="shared" ca="1" si="51"/>
        <v>0.45946576392574739</v>
      </c>
      <c r="AP127" s="2644">
        <f t="shared" ca="1" si="51"/>
        <v>0.46141050992586496</v>
      </c>
      <c r="AQ127" s="2644">
        <f t="shared" ca="1" si="51"/>
        <v>0.46103469141257242</v>
      </c>
      <c r="AR127" s="2644">
        <f t="shared" ca="1" si="51"/>
        <v>0.46525268845001183</v>
      </c>
      <c r="AS127" s="2644">
        <f t="shared" ca="1" si="51"/>
        <v>0.46711071645026075</v>
      </c>
      <c r="AT127" s="2644">
        <f t="shared" ca="1" si="51"/>
        <v>0.46661896143715015</v>
      </c>
      <c r="AU127" s="2644">
        <f t="shared" ca="1" si="51"/>
        <v>0.47078086510873629</v>
      </c>
      <c r="AV127" s="2644">
        <f t="shared" ca="1" si="51"/>
        <v>0.47255420772415807</v>
      </c>
      <c r="AW127" s="2644">
        <f t="shared" ca="1" si="51"/>
        <v>0.4719498807775252</v>
      </c>
      <c r="AX127" s="2644">
        <f t="shared" ca="1" si="51"/>
        <v>0.47605636615739244</v>
      </c>
      <c r="AY127" s="2644">
        <f t="shared" ca="1" si="51"/>
        <v>0.47774702081255427</v>
      </c>
      <c r="AZ127" s="2644">
        <f t="shared" ca="1" si="51"/>
        <v>0.47703341756253292</v>
      </c>
      <c r="BA127" s="2644">
        <f t="shared" ca="1" si="51"/>
        <v>0.48108515845554012</v>
      </c>
      <c r="BB127" s="2644">
        <f t="shared" ca="1" si="51"/>
        <v>0.48269508771141323</v>
      </c>
      <c r="BC127" s="2644">
        <f t="shared" ca="1" si="51"/>
        <v>0.48187543589420867</v>
      </c>
      <c r="BD127" s="2644">
        <f t="shared" ca="1" si="51"/>
        <v>0.48587310445992959</v>
      </c>
      <c r="BE127" s="2644">
        <f t="shared" ca="1" si="51"/>
        <v>0.48740423635074276</v>
      </c>
      <c r="BF127" s="2644">
        <f t="shared" ca="1" si="51"/>
        <v>0.48648169684679593</v>
      </c>
      <c r="BG127" s="2644">
        <f t="shared" ca="1" si="51"/>
        <v>0.49042596324659371</v>
      </c>
      <c r="BH127" s="2644">
        <f t="shared" ca="1" si="51"/>
        <v>0.4918801916257719</v>
      </c>
      <c r="BI127" s="2644">
        <f t="shared" ca="1" si="51"/>
        <v>0.49085785949323019</v>
      </c>
      <c r="BJ127" s="2644">
        <f t="shared" ca="1" si="51"/>
        <v>0.49474939155930492</v>
      </c>
      <c r="BK127" s="2644">
        <f t="shared" ca="1" si="51"/>
        <v>0.49612857645364844</v>
      </c>
      <c r="BL127" s="2644">
        <f t="shared" ca="1" si="51"/>
        <v>0.4950094819565633</v>
      </c>
      <c r="BM127" s="2644">
        <f t="shared" ca="1" si="51"/>
        <v>0.49884894488191295</v>
      </c>
      <c r="BN127" s="2644">
        <f t="shared" ca="1" si="51"/>
        <v>0.500154912853219</v>
      </c>
    </row>
    <row r="128" spans="3:66" s="2359" customFormat="1" outlineLevel="1">
      <c r="C128" s="2360"/>
      <c r="D128" s="2364"/>
      <c r="E128" s="2364" t="s">
        <v>3971</v>
      </c>
      <c r="F128" s="2364" t="s">
        <v>3972</v>
      </c>
      <c r="G128" s="2645" t="s">
        <v>3973</v>
      </c>
      <c r="H128" s="2640"/>
      <c r="J128" s="2640"/>
      <c r="K128" s="2640"/>
      <c r="L128" s="2640"/>
      <c r="M128" s="2640"/>
      <c r="N128" s="2640"/>
      <c r="O128" s="2640"/>
      <c r="P128" s="2640"/>
      <c r="Q128" s="2640"/>
      <c r="R128" s="2640"/>
      <c r="S128" s="2640"/>
      <c r="T128" s="2640"/>
      <c r="U128" s="2640"/>
      <c r="V128" s="2640"/>
      <c r="W128" s="2640"/>
      <c r="X128" s="2640"/>
      <c r="Y128" s="2640"/>
      <c r="Z128" s="2640"/>
      <c r="AA128" s="2640"/>
      <c r="AB128" s="2640"/>
      <c r="AC128" s="2640"/>
      <c r="AD128" s="2640"/>
      <c r="AE128" s="2640"/>
      <c r="AF128" s="2640"/>
      <c r="AG128" s="2640"/>
      <c r="AH128" s="2640"/>
      <c r="AI128" s="2640"/>
      <c r="AJ128" s="2640"/>
      <c r="AK128" s="2640"/>
      <c r="AL128" s="2640"/>
      <c r="AM128" s="2640"/>
      <c r="AN128" s="2640"/>
      <c r="AO128" s="2640"/>
      <c r="AP128" s="2640"/>
      <c r="AQ128" s="2640"/>
      <c r="AR128" s="2640"/>
      <c r="AS128" s="2640"/>
      <c r="AT128" s="2640"/>
      <c r="AU128" s="2640"/>
      <c r="AV128" s="2640"/>
      <c r="AW128" s="2640"/>
      <c r="AX128" s="2640"/>
      <c r="AY128" s="2640"/>
      <c r="AZ128" s="2640"/>
      <c r="BA128" s="2640"/>
      <c r="BB128" s="2640"/>
      <c r="BC128" s="2640"/>
      <c r="BD128" s="2640"/>
      <c r="BE128" s="2640"/>
      <c r="BF128" s="2640"/>
      <c r="BG128" s="2640"/>
      <c r="BH128" s="2640"/>
      <c r="BI128" s="2640"/>
      <c r="BJ128" s="2640"/>
      <c r="BK128" s="2640"/>
      <c r="BL128" s="2640"/>
      <c r="BM128" s="2640"/>
      <c r="BN128" s="2640"/>
    </row>
    <row r="129" spans="2:142" s="2359" customFormat="1" outlineLevel="1">
      <c r="C129" s="2363"/>
      <c r="D129" s="2364" t="s">
        <v>3974</v>
      </c>
      <c r="E129" s="2646">
        <v>0.16666666666666666</v>
      </c>
      <c r="F129" s="2646">
        <v>0.33333333333333331</v>
      </c>
      <c r="G129" s="2647">
        <v>0.5</v>
      </c>
      <c r="H129" s="2648"/>
      <c r="J129" s="2648"/>
      <c r="K129" s="2648"/>
      <c r="L129" s="2648"/>
      <c r="M129" s="2648"/>
      <c r="N129" s="2648"/>
      <c r="O129" s="2648"/>
      <c r="P129" s="2648"/>
      <c r="Q129" s="2648"/>
      <c r="R129" s="2648"/>
      <c r="S129" s="2648"/>
      <c r="T129" s="2648"/>
      <c r="U129" s="2648"/>
      <c r="V129" s="2648"/>
      <c r="W129" s="2648"/>
      <c r="X129" s="2648"/>
      <c r="Y129" s="2648"/>
      <c r="Z129" s="2648"/>
      <c r="AA129" s="2648"/>
      <c r="AB129" s="2648"/>
      <c r="AC129" s="2648"/>
      <c r="AD129" s="2648"/>
      <c r="AE129" s="2648"/>
      <c r="AF129" s="2648"/>
      <c r="AG129" s="2648"/>
      <c r="AH129" s="2648"/>
      <c r="AI129" s="2648"/>
      <c r="AJ129" s="2648"/>
      <c r="AK129" s="2648"/>
      <c r="AL129" s="2648"/>
      <c r="AM129" s="2648"/>
      <c r="AN129" s="2648"/>
      <c r="AO129" s="2648"/>
      <c r="AP129" s="2648"/>
      <c r="AQ129" s="2648"/>
      <c r="AR129" s="2648"/>
      <c r="AS129" s="2648"/>
      <c r="AT129" s="2648"/>
      <c r="AU129" s="2648"/>
      <c r="AV129" s="2648"/>
      <c r="AW129" s="2648"/>
      <c r="AX129" s="2648"/>
      <c r="AY129" s="2648"/>
      <c r="AZ129" s="2648"/>
      <c r="BA129" s="2648"/>
      <c r="BB129" s="2648"/>
      <c r="BC129" s="2648"/>
      <c r="BD129" s="2648"/>
      <c r="BE129" s="2648"/>
      <c r="BF129" s="2648"/>
      <c r="BG129" s="2648"/>
      <c r="BH129" s="2648"/>
      <c r="BI129" s="2648"/>
      <c r="BJ129" s="2648"/>
      <c r="BK129" s="2648"/>
      <c r="BL129" s="2648"/>
      <c r="BM129" s="2648"/>
      <c r="BN129" s="2648"/>
    </row>
    <row r="130" spans="2:142" outlineLevel="1"/>
    <row r="132" spans="2:142" s="2367" customFormat="1" ht="17.25" customHeight="1">
      <c r="B132" s="2368" t="s">
        <v>3975</v>
      </c>
      <c r="H132" s="2369"/>
      <c r="I132" s="2369"/>
      <c r="J132" s="2369"/>
      <c r="K132" s="2369"/>
      <c r="L132" s="2370"/>
      <c r="M132" s="2369"/>
      <c r="N132" s="2369"/>
      <c r="O132" s="2371"/>
      <c r="P132" s="2369"/>
      <c r="Q132" s="5347"/>
      <c r="R132" s="2369"/>
      <c r="S132" s="2369"/>
      <c r="T132" s="2369"/>
      <c r="U132" s="2369"/>
      <c r="V132" s="2369"/>
      <c r="W132" s="2369"/>
      <c r="X132" s="2369"/>
      <c r="Y132" s="2369"/>
      <c r="Z132" s="2369"/>
      <c r="AA132" s="2369"/>
      <c r="AB132" s="2369"/>
      <c r="AC132" s="2369"/>
      <c r="AD132" s="2369"/>
      <c r="AE132" s="2369"/>
      <c r="AF132" s="2369"/>
      <c r="AG132" s="2369"/>
      <c r="AH132" s="2369"/>
      <c r="AI132" s="2369"/>
      <c r="AJ132" s="2369"/>
      <c r="AK132" s="2369"/>
      <c r="AL132" s="2369"/>
      <c r="AM132" s="2369"/>
      <c r="AN132" s="2369"/>
      <c r="AO132" s="2369"/>
      <c r="AP132" s="2369"/>
      <c r="AQ132" s="2369"/>
      <c r="AR132" s="2369"/>
      <c r="AS132" s="2369"/>
      <c r="AT132" s="2369"/>
      <c r="AU132" s="2369"/>
      <c r="AV132" s="2369"/>
      <c r="AW132" s="2369"/>
      <c r="AX132" s="2369"/>
      <c r="AY132" s="2369"/>
      <c r="AZ132" s="2369"/>
      <c r="BA132" s="2369"/>
      <c r="BB132" s="2369"/>
      <c r="BC132" s="2369"/>
      <c r="BD132" s="2369"/>
      <c r="BE132" s="2369"/>
      <c r="BF132" s="2369"/>
      <c r="BG132" s="2369"/>
      <c r="BH132" s="2369"/>
      <c r="BI132" s="2369"/>
      <c r="BJ132" s="2369"/>
      <c r="BK132" s="2369"/>
      <c r="BL132" s="2369"/>
      <c r="BM132" s="2369"/>
      <c r="BN132" s="2369"/>
      <c r="BR132" s="2368"/>
      <c r="CD132" s="2368"/>
      <c r="CP132" s="2368"/>
      <c r="DB132" s="2368"/>
      <c r="DN132" s="2368"/>
      <c r="DZ132" s="2368"/>
      <c r="EL132" s="2368"/>
    </row>
    <row r="133" spans="2:142" ht="15.75" customHeight="1">
      <c r="C133" s="2351" t="s">
        <v>11</v>
      </c>
      <c r="D133" s="2352"/>
      <c r="E133" s="2352"/>
      <c r="F133" s="2352"/>
      <c r="G133" s="2352"/>
      <c r="H133" s="766" t="s">
        <v>40</v>
      </c>
      <c r="J133" s="2353">
        <f t="shared" ref="J133:BN133" si="52">J$10</f>
        <v>2003</v>
      </c>
      <c r="K133" s="2353">
        <f t="shared" si="52"/>
        <v>2004</v>
      </c>
      <c r="L133" s="2353">
        <f t="shared" si="52"/>
        <v>2005</v>
      </c>
      <c r="M133" s="2353">
        <f t="shared" si="52"/>
        <v>2006</v>
      </c>
      <c r="N133" s="2353">
        <f t="shared" si="52"/>
        <v>2007</v>
      </c>
      <c r="O133" s="2353">
        <f t="shared" si="52"/>
        <v>2008</v>
      </c>
      <c r="P133" s="2353">
        <f t="shared" si="52"/>
        <v>2009</v>
      </c>
      <c r="Q133" s="2353">
        <f t="shared" si="52"/>
        <v>2010</v>
      </c>
      <c r="R133" s="2353">
        <f t="shared" si="52"/>
        <v>2011</v>
      </c>
      <c r="S133" s="2353">
        <f t="shared" si="52"/>
        <v>2012</v>
      </c>
      <c r="T133" s="2353">
        <f t="shared" si="52"/>
        <v>2013</v>
      </c>
      <c r="U133" s="2353">
        <f t="shared" si="52"/>
        <v>2014</v>
      </c>
      <c r="V133" s="2353">
        <f t="shared" si="52"/>
        <v>2015</v>
      </c>
      <c r="W133" s="2353">
        <f t="shared" si="52"/>
        <v>2016</v>
      </c>
      <c r="X133" s="2353">
        <f t="shared" si="52"/>
        <v>2017</v>
      </c>
      <c r="Y133" s="2353">
        <f t="shared" si="52"/>
        <v>2018</v>
      </c>
      <c r="Z133" s="2353">
        <f t="shared" si="52"/>
        <v>2019</v>
      </c>
      <c r="AA133" s="2353">
        <f t="shared" si="52"/>
        <v>2020</v>
      </c>
      <c r="AB133" s="2353">
        <f t="shared" si="52"/>
        <v>2021</v>
      </c>
      <c r="AC133" s="2353">
        <f t="shared" si="52"/>
        <v>2022</v>
      </c>
      <c r="AD133" s="2353">
        <f t="shared" si="52"/>
        <v>2023</v>
      </c>
      <c r="AE133" s="2353">
        <f t="shared" si="52"/>
        <v>2024</v>
      </c>
      <c r="AF133" s="2353">
        <f t="shared" si="52"/>
        <v>2025</v>
      </c>
      <c r="AG133" s="2353">
        <f t="shared" si="52"/>
        <v>2026</v>
      </c>
      <c r="AH133" s="2353">
        <f t="shared" si="52"/>
        <v>2027</v>
      </c>
      <c r="AI133" s="2353">
        <f t="shared" si="52"/>
        <v>2028</v>
      </c>
      <c r="AJ133" s="2353">
        <f t="shared" si="52"/>
        <v>2029</v>
      </c>
      <c r="AK133" s="2353">
        <f t="shared" si="52"/>
        <v>2030</v>
      </c>
      <c r="AL133" s="2353">
        <f t="shared" si="52"/>
        <v>2031</v>
      </c>
      <c r="AM133" s="2353">
        <f t="shared" si="52"/>
        <v>2032</v>
      </c>
      <c r="AN133" s="2353">
        <f t="shared" si="52"/>
        <v>2033</v>
      </c>
      <c r="AO133" s="2353">
        <f t="shared" si="52"/>
        <v>2034</v>
      </c>
      <c r="AP133" s="2353">
        <f t="shared" si="52"/>
        <v>2035</v>
      </c>
      <c r="AQ133" s="2353">
        <f t="shared" si="52"/>
        <v>2036</v>
      </c>
      <c r="AR133" s="2353">
        <f t="shared" si="52"/>
        <v>2037</v>
      </c>
      <c r="AS133" s="2353">
        <f t="shared" si="52"/>
        <v>2038</v>
      </c>
      <c r="AT133" s="2353">
        <f t="shared" si="52"/>
        <v>2039</v>
      </c>
      <c r="AU133" s="2353">
        <f t="shared" si="52"/>
        <v>2040</v>
      </c>
      <c r="AV133" s="2353">
        <f t="shared" si="52"/>
        <v>2041</v>
      </c>
      <c r="AW133" s="2353">
        <f t="shared" si="52"/>
        <v>2042</v>
      </c>
      <c r="AX133" s="2353">
        <f t="shared" si="52"/>
        <v>2043</v>
      </c>
      <c r="AY133" s="2353">
        <f t="shared" si="52"/>
        <v>2044</v>
      </c>
      <c r="AZ133" s="2353">
        <f t="shared" si="52"/>
        <v>2045</v>
      </c>
      <c r="BA133" s="2353">
        <f t="shared" si="52"/>
        <v>2046</v>
      </c>
      <c r="BB133" s="2353">
        <f t="shared" si="52"/>
        <v>2047</v>
      </c>
      <c r="BC133" s="2353">
        <f t="shared" si="52"/>
        <v>2048</v>
      </c>
      <c r="BD133" s="2353">
        <f t="shared" si="52"/>
        <v>2049</v>
      </c>
      <c r="BE133" s="2353">
        <f t="shared" si="52"/>
        <v>2050</v>
      </c>
      <c r="BF133" s="2353">
        <f t="shared" si="52"/>
        <v>2051</v>
      </c>
      <c r="BG133" s="2353">
        <f t="shared" si="52"/>
        <v>2052</v>
      </c>
      <c r="BH133" s="2353">
        <f t="shared" si="52"/>
        <v>2053</v>
      </c>
      <c r="BI133" s="2353">
        <f t="shared" si="52"/>
        <v>2054</v>
      </c>
      <c r="BJ133" s="2353">
        <f t="shared" si="52"/>
        <v>2055</v>
      </c>
      <c r="BK133" s="2353">
        <f t="shared" si="52"/>
        <v>2056</v>
      </c>
      <c r="BL133" s="2353">
        <f t="shared" si="52"/>
        <v>2057</v>
      </c>
      <c r="BM133" s="2353">
        <f t="shared" si="52"/>
        <v>2058</v>
      </c>
      <c r="BN133" s="2353">
        <f t="shared" si="52"/>
        <v>2059</v>
      </c>
    </row>
    <row r="134" spans="2:142">
      <c r="C134" s="2372" t="s">
        <v>3976</v>
      </c>
      <c r="D134" s="2373"/>
      <c r="E134" s="2396"/>
      <c r="F134" s="2396"/>
      <c r="G134" s="2397"/>
      <c r="H134" s="2649"/>
      <c r="I134" s="2650"/>
      <c r="J134" s="2651"/>
      <c r="K134" s="2649"/>
      <c r="L134" s="2652"/>
      <c r="M134" s="2651"/>
      <c r="N134" s="2649"/>
      <c r="O134" s="2652"/>
      <c r="P134" s="2649"/>
      <c r="Q134" s="2653"/>
      <c r="R134" s="2652"/>
      <c r="S134" s="2649"/>
      <c r="T134" s="2653"/>
      <c r="U134" s="2654"/>
      <c r="V134" s="2654"/>
      <c r="W134" s="2654"/>
      <c r="X134" s="2654"/>
      <c r="Y134" s="2654"/>
      <c r="Z134" s="2654"/>
      <c r="AA134" s="2654"/>
      <c r="AB134" s="2654"/>
      <c r="AC134" s="2654"/>
      <c r="AD134" s="2654"/>
      <c r="AE134" s="2654"/>
      <c r="AF134" s="2654"/>
      <c r="AG134" s="2654"/>
      <c r="AH134" s="2654"/>
      <c r="AI134" s="2654"/>
      <c r="AJ134" s="2654"/>
      <c r="AK134" s="2654"/>
      <c r="AL134" s="2654"/>
      <c r="AM134" s="2654"/>
      <c r="AN134" s="2654"/>
      <c r="AO134" s="2654"/>
      <c r="AP134" s="2654"/>
      <c r="AQ134" s="2654"/>
      <c r="AR134" s="2654"/>
      <c r="AS134" s="2654"/>
      <c r="AT134" s="2654"/>
      <c r="AU134" s="2654"/>
      <c r="AV134" s="2654"/>
      <c r="AW134" s="2654"/>
      <c r="AX134" s="2654"/>
      <c r="AY134" s="2654"/>
      <c r="AZ134" s="2654"/>
      <c r="BA134" s="2654"/>
      <c r="BB134" s="2654"/>
      <c r="BC134" s="2654"/>
      <c r="BD134" s="2654"/>
      <c r="BE134" s="2654"/>
      <c r="BF134" s="2654"/>
      <c r="BG134" s="2654"/>
      <c r="BH134" s="2654"/>
      <c r="BI134" s="2654"/>
      <c r="BJ134" s="2654"/>
      <c r="BK134" s="2654"/>
      <c r="BL134" s="2654"/>
      <c r="BM134" s="2654"/>
      <c r="BN134" s="2654"/>
    </row>
    <row r="135" spans="2:142">
      <c r="C135" s="2383"/>
      <c r="D135" s="2384" t="s">
        <v>3916</v>
      </c>
      <c r="E135" s="2385"/>
      <c r="F135" s="2385"/>
      <c r="G135" s="2386"/>
      <c r="H135" s="2460">
        <f>MAX(J135:T135)</f>
        <v>189215.66948030109</v>
      </c>
      <c r="I135" s="2459"/>
      <c r="J135" s="2395">
        <f>J$40</f>
        <v>7882.1971394732718</v>
      </c>
      <c r="K135" s="2387">
        <f t="shared" ref="K135:BN135" si="53">K$40</f>
        <v>21660.026552916795</v>
      </c>
      <c r="L135" s="2393">
        <f t="shared" si="53"/>
        <v>53643.908107836163</v>
      </c>
      <c r="M135" s="2395">
        <f t="shared" si="53"/>
        <v>76688.816536823899</v>
      </c>
      <c r="N135" s="2387">
        <f t="shared" si="53"/>
        <v>118094.09005962612</v>
      </c>
      <c r="O135" s="2393">
        <f t="shared" si="53"/>
        <v>189215.66948030109</v>
      </c>
      <c r="P135" s="2387">
        <f t="shared" si="53"/>
        <v>189215.66948030109</v>
      </c>
      <c r="Q135" s="2392">
        <f t="shared" si="53"/>
        <v>0</v>
      </c>
      <c r="R135" s="2393">
        <f t="shared" si="53"/>
        <v>0</v>
      </c>
      <c r="S135" s="2387">
        <f t="shared" si="53"/>
        <v>0</v>
      </c>
      <c r="T135" s="2392">
        <f t="shared" si="53"/>
        <v>0</v>
      </c>
      <c r="U135" s="2394">
        <f t="shared" si="53"/>
        <v>0</v>
      </c>
      <c r="V135" s="2394">
        <f t="shared" si="53"/>
        <v>0</v>
      </c>
      <c r="W135" s="2394">
        <f t="shared" si="53"/>
        <v>0</v>
      </c>
      <c r="X135" s="2394">
        <f t="shared" si="53"/>
        <v>0</v>
      </c>
      <c r="Y135" s="2394">
        <f t="shared" si="53"/>
        <v>0</v>
      </c>
      <c r="Z135" s="2394">
        <f t="shared" si="53"/>
        <v>0</v>
      </c>
      <c r="AA135" s="2394">
        <f t="shared" si="53"/>
        <v>0</v>
      </c>
      <c r="AB135" s="2394">
        <f t="shared" si="53"/>
        <v>0</v>
      </c>
      <c r="AC135" s="2394">
        <f t="shared" si="53"/>
        <v>0</v>
      </c>
      <c r="AD135" s="2394">
        <f t="shared" si="53"/>
        <v>0</v>
      </c>
      <c r="AE135" s="2394">
        <f t="shared" si="53"/>
        <v>0</v>
      </c>
      <c r="AF135" s="2394">
        <f t="shared" si="53"/>
        <v>0</v>
      </c>
      <c r="AG135" s="2394">
        <f t="shared" si="53"/>
        <v>0</v>
      </c>
      <c r="AH135" s="2394">
        <f t="shared" si="53"/>
        <v>0</v>
      </c>
      <c r="AI135" s="2394">
        <f t="shared" si="53"/>
        <v>0</v>
      </c>
      <c r="AJ135" s="2394">
        <f t="shared" si="53"/>
        <v>0</v>
      </c>
      <c r="AK135" s="2394">
        <f t="shared" si="53"/>
        <v>0</v>
      </c>
      <c r="AL135" s="2394">
        <f t="shared" si="53"/>
        <v>0</v>
      </c>
      <c r="AM135" s="2394">
        <f t="shared" si="53"/>
        <v>0</v>
      </c>
      <c r="AN135" s="2394">
        <f t="shared" si="53"/>
        <v>0</v>
      </c>
      <c r="AO135" s="2394">
        <f t="shared" si="53"/>
        <v>0</v>
      </c>
      <c r="AP135" s="2394">
        <f t="shared" si="53"/>
        <v>0</v>
      </c>
      <c r="AQ135" s="2394">
        <f t="shared" si="53"/>
        <v>0</v>
      </c>
      <c r="AR135" s="2394">
        <f t="shared" si="53"/>
        <v>0</v>
      </c>
      <c r="AS135" s="2394">
        <f t="shared" si="53"/>
        <v>0</v>
      </c>
      <c r="AT135" s="2394">
        <f t="shared" si="53"/>
        <v>0</v>
      </c>
      <c r="AU135" s="2394">
        <f t="shared" si="53"/>
        <v>0</v>
      </c>
      <c r="AV135" s="2394">
        <f t="shared" si="53"/>
        <v>0</v>
      </c>
      <c r="AW135" s="2394">
        <f t="shared" si="53"/>
        <v>0</v>
      </c>
      <c r="AX135" s="2394">
        <f t="shared" si="53"/>
        <v>0</v>
      </c>
      <c r="AY135" s="2394">
        <f t="shared" si="53"/>
        <v>0</v>
      </c>
      <c r="AZ135" s="2394">
        <f t="shared" si="53"/>
        <v>0</v>
      </c>
      <c r="BA135" s="2394">
        <f t="shared" si="53"/>
        <v>0</v>
      </c>
      <c r="BB135" s="2394">
        <f t="shared" si="53"/>
        <v>0</v>
      </c>
      <c r="BC135" s="2394">
        <f t="shared" si="53"/>
        <v>0</v>
      </c>
      <c r="BD135" s="2394">
        <f t="shared" si="53"/>
        <v>0</v>
      </c>
      <c r="BE135" s="2394">
        <f t="shared" si="53"/>
        <v>0</v>
      </c>
      <c r="BF135" s="2394">
        <f t="shared" si="53"/>
        <v>0</v>
      </c>
      <c r="BG135" s="2394">
        <f t="shared" si="53"/>
        <v>0</v>
      </c>
      <c r="BH135" s="2394">
        <f t="shared" si="53"/>
        <v>0</v>
      </c>
      <c r="BI135" s="2394">
        <f t="shared" si="53"/>
        <v>0</v>
      </c>
      <c r="BJ135" s="2394">
        <f t="shared" si="53"/>
        <v>0</v>
      </c>
      <c r="BK135" s="2394">
        <f t="shared" si="53"/>
        <v>0</v>
      </c>
      <c r="BL135" s="2394">
        <f t="shared" si="53"/>
        <v>0</v>
      </c>
      <c r="BM135" s="2394">
        <f t="shared" si="53"/>
        <v>0</v>
      </c>
      <c r="BN135" s="2394">
        <f t="shared" si="53"/>
        <v>0</v>
      </c>
    </row>
    <row r="136" spans="2:142">
      <c r="C136" s="2383"/>
      <c r="D136" s="2384" t="s">
        <v>3927</v>
      </c>
      <c r="E136" s="2385"/>
      <c r="F136" s="2385"/>
      <c r="G136" s="2386"/>
      <c r="H136" s="2460">
        <f>MAX(J136:T136)</f>
        <v>33348.19704831663</v>
      </c>
      <c r="I136" s="2459"/>
      <c r="J136" s="2395">
        <f t="shared" ref="J136:AO136" si="54">(I136+SUMIF($D$171:$D$198,J133,$C$171:$C$198))*(J$4&gt;0)</f>
        <v>39.455290546144582</v>
      </c>
      <c r="K136" s="2387">
        <f t="shared" si="54"/>
        <v>837.68579798359042</v>
      </c>
      <c r="L136" s="2393">
        <f t="shared" si="54"/>
        <v>3152.7919041832552</v>
      </c>
      <c r="M136" s="2395">
        <f t="shared" si="54"/>
        <v>7481.7364648168823</v>
      </c>
      <c r="N136" s="2387">
        <f t="shared" si="54"/>
        <v>14535.471428158675</v>
      </c>
      <c r="O136" s="2393">
        <f t="shared" si="54"/>
        <v>26307.809771809843</v>
      </c>
      <c r="P136" s="2387">
        <f t="shared" si="54"/>
        <v>33348.19704831663</v>
      </c>
      <c r="Q136" s="2392">
        <f t="shared" si="54"/>
        <v>0</v>
      </c>
      <c r="R136" s="2393">
        <f t="shared" si="54"/>
        <v>0</v>
      </c>
      <c r="S136" s="2387">
        <f t="shared" si="54"/>
        <v>0</v>
      </c>
      <c r="T136" s="2392">
        <f t="shared" si="54"/>
        <v>0</v>
      </c>
      <c r="U136" s="2394">
        <f t="shared" si="54"/>
        <v>0</v>
      </c>
      <c r="V136" s="2394">
        <f t="shared" si="54"/>
        <v>0</v>
      </c>
      <c r="W136" s="2394">
        <f t="shared" si="54"/>
        <v>0</v>
      </c>
      <c r="X136" s="2394">
        <f t="shared" si="54"/>
        <v>0</v>
      </c>
      <c r="Y136" s="2394">
        <f t="shared" si="54"/>
        <v>0</v>
      </c>
      <c r="Z136" s="2394">
        <f t="shared" si="54"/>
        <v>0</v>
      </c>
      <c r="AA136" s="2394">
        <f t="shared" si="54"/>
        <v>0</v>
      </c>
      <c r="AB136" s="2394">
        <f t="shared" si="54"/>
        <v>0</v>
      </c>
      <c r="AC136" s="2394">
        <f t="shared" si="54"/>
        <v>0</v>
      </c>
      <c r="AD136" s="2394">
        <f t="shared" si="54"/>
        <v>0</v>
      </c>
      <c r="AE136" s="2394">
        <f t="shared" si="54"/>
        <v>0</v>
      </c>
      <c r="AF136" s="2394">
        <f t="shared" si="54"/>
        <v>0</v>
      </c>
      <c r="AG136" s="2394">
        <f t="shared" si="54"/>
        <v>0</v>
      </c>
      <c r="AH136" s="2394">
        <f t="shared" si="54"/>
        <v>0</v>
      </c>
      <c r="AI136" s="2394">
        <f t="shared" si="54"/>
        <v>0</v>
      </c>
      <c r="AJ136" s="2394">
        <f t="shared" si="54"/>
        <v>0</v>
      </c>
      <c r="AK136" s="2394">
        <f t="shared" si="54"/>
        <v>0</v>
      </c>
      <c r="AL136" s="2394">
        <f t="shared" si="54"/>
        <v>0</v>
      </c>
      <c r="AM136" s="2394">
        <f t="shared" si="54"/>
        <v>0</v>
      </c>
      <c r="AN136" s="2394">
        <f t="shared" si="54"/>
        <v>0</v>
      </c>
      <c r="AO136" s="2394">
        <f t="shared" si="54"/>
        <v>0</v>
      </c>
      <c r="AP136" s="2394">
        <f t="shared" ref="AP136:BN136" si="55">(AO136+SUMIF($D$171:$D$198,AP133,$C$171:$C$198))*(AP$4&gt;0)</f>
        <v>0</v>
      </c>
      <c r="AQ136" s="2394">
        <f t="shared" si="55"/>
        <v>0</v>
      </c>
      <c r="AR136" s="2394">
        <f t="shared" si="55"/>
        <v>0</v>
      </c>
      <c r="AS136" s="2394">
        <f t="shared" si="55"/>
        <v>0</v>
      </c>
      <c r="AT136" s="2394">
        <f t="shared" si="55"/>
        <v>0</v>
      </c>
      <c r="AU136" s="2394">
        <f t="shared" si="55"/>
        <v>0</v>
      </c>
      <c r="AV136" s="2394">
        <f t="shared" si="55"/>
        <v>0</v>
      </c>
      <c r="AW136" s="2394">
        <f t="shared" si="55"/>
        <v>0</v>
      </c>
      <c r="AX136" s="2394">
        <f t="shared" si="55"/>
        <v>0</v>
      </c>
      <c r="AY136" s="2394">
        <f t="shared" si="55"/>
        <v>0</v>
      </c>
      <c r="AZ136" s="2394">
        <f t="shared" si="55"/>
        <v>0</v>
      </c>
      <c r="BA136" s="2394">
        <f t="shared" si="55"/>
        <v>0</v>
      </c>
      <c r="BB136" s="2394">
        <f t="shared" si="55"/>
        <v>0</v>
      </c>
      <c r="BC136" s="2394">
        <f t="shared" si="55"/>
        <v>0</v>
      </c>
      <c r="BD136" s="2394">
        <f t="shared" si="55"/>
        <v>0</v>
      </c>
      <c r="BE136" s="2394">
        <f t="shared" si="55"/>
        <v>0</v>
      </c>
      <c r="BF136" s="2394">
        <f t="shared" si="55"/>
        <v>0</v>
      </c>
      <c r="BG136" s="2394">
        <f t="shared" si="55"/>
        <v>0</v>
      </c>
      <c r="BH136" s="2394">
        <f t="shared" si="55"/>
        <v>0</v>
      </c>
      <c r="BI136" s="2394">
        <f t="shared" si="55"/>
        <v>0</v>
      </c>
      <c r="BJ136" s="2394">
        <f t="shared" si="55"/>
        <v>0</v>
      </c>
      <c r="BK136" s="2394">
        <f t="shared" si="55"/>
        <v>0</v>
      </c>
      <c r="BL136" s="2394">
        <f t="shared" si="55"/>
        <v>0</v>
      </c>
      <c r="BM136" s="2394">
        <f t="shared" si="55"/>
        <v>0</v>
      </c>
      <c r="BN136" s="2394">
        <f t="shared" si="55"/>
        <v>0</v>
      </c>
    </row>
    <row r="137" spans="2:142">
      <c r="C137" s="2383"/>
      <c r="D137" s="2384" t="s">
        <v>3977</v>
      </c>
      <c r="E137" s="2385"/>
      <c r="F137" s="2385"/>
      <c r="G137" s="2386"/>
      <c r="H137" s="2460">
        <f>MAX(J137:T137)</f>
        <v>222563.86652861771</v>
      </c>
      <c r="I137" s="2459"/>
      <c r="J137" s="2395">
        <f t="shared" ref="J137:BN137" si="56">SUM(J135:J136)</f>
        <v>7921.652430019416</v>
      </c>
      <c r="K137" s="2387">
        <f t="shared" si="56"/>
        <v>22497.712350900387</v>
      </c>
      <c r="L137" s="2393">
        <f t="shared" si="56"/>
        <v>56796.700012019421</v>
      </c>
      <c r="M137" s="2395">
        <f t="shared" si="56"/>
        <v>84170.553001640787</v>
      </c>
      <c r="N137" s="2387">
        <f t="shared" si="56"/>
        <v>132629.56148778478</v>
      </c>
      <c r="O137" s="2393">
        <f t="shared" si="56"/>
        <v>215523.47925211093</v>
      </c>
      <c r="P137" s="2387">
        <f t="shared" si="56"/>
        <v>222563.86652861771</v>
      </c>
      <c r="Q137" s="2392">
        <f t="shared" si="56"/>
        <v>0</v>
      </c>
      <c r="R137" s="2393">
        <f t="shared" si="56"/>
        <v>0</v>
      </c>
      <c r="S137" s="2387">
        <f t="shared" si="56"/>
        <v>0</v>
      </c>
      <c r="T137" s="2392">
        <f t="shared" si="56"/>
        <v>0</v>
      </c>
      <c r="U137" s="2394">
        <f t="shared" si="56"/>
        <v>0</v>
      </c>
      <c r="V137" s="2394">
        <f t="shared" si="56"/>
        <v>0</v>
      </c>
      <c r="W137" s="2394">
        <f t="shared" si="56"/>
        <v>0</v>
      </c>
      <c r="X137" s="2394">
        <f t="shared" si="56"/>
        <v>0</v>
      </c>
      <c r="Y137" s="2394">
        <f t="shared" si="56"/>
        <v>0</v>
      </c>
      <c r="Z137" s="2394">
        <f t="shared" si="56"/>
        <v>0</v>
      </c>
      <c r="AA137" s="2394">
        <f t="shared" si="56"/>
        <v>0</v>
      </c>
      <c r="AB137" s="2394">
        <f t="shared" si="56"/>
        <v>0</v>
      </c>
      <c r="AC137" s="2394">
        <f t="shared" si="56"/>
        <v>0</v>
      </c>
      <c r="AD137" s="2394">
        <f t="shared" si="56"/>
        <v>0</v>
      </c>
      <c r="AE137" s="2394">
        <f t="shared" si="56"/>
        <v>0</v>
      </c>
      <c r="AF137" s="2394">
        <f t="shared" si="56"/>
        <v>0</v>
      </c>
      <c r="AG137" s="2394">
        <f t="shared" si="56"/>
        <v>0</v>
      </c>
      <c r="AH137" s="2394">
        <f t="shared" si="56"/>
        <v>0</v>
      </c>
      <c r="AI137" s="2394">
        <f t="shared" si="56"/>
        <v>0</v>
      </c>
      <c r="AJ137" s="2394">
        <f t="shared" si="56"/>
        <v>0</v>
      </c>
      <c r="AK137" s="2394">
        <f t="shared" si="56"/>
        <v>0</v>
      </c>
      <c r="AL137" s="2394">
        <f t="shared" si="56"/>
        <v>0</v>
      </c>
      <c r="AM137" s="2394">
        <f t="shared" si="56"/>
        <v>0</v>
      </c>
      <c r="AN137" s="2394">
        <f t="shared" si="56"/>
        <v>0</v>
      </c>
      <c r="AO137" s="2394">
        <f t="shared" si="56"/>
        <v>0</v>
      </c>
      <c r="AP137" s="2394">
        <f t="shared" si="56"/>
        <v>0</v>
      </c>
      <c r="AQ137" s="2394">
        <f t="shared" si="56"/>
        <v>0</v>
      </c>
      <c r="AR137" s="2394">
        <f t="shared" si="56"/>
        <v>0</v>
      </c>
      <c r="AS137" s="2394">
        <f t="shared" si="56"/>
        <v>0</v>
      </c>
      <c r="AT137" s="2394">
        <f t="shared" si="56"/>
        <v>0</v>
      </c>
      <c r="AU137" s="2394">
        <f t="shared" si="56"/>
        <v>0</v>
      </c>
      <c r="AV137" s="2394">
        <f t="shared" si="56"/>
        <v>0</v>
      </c>
      <c r="AW137" s="2394">
        <f t="shared" si="56"/>
        <v>0</v>
      </c>
      <c r="AX137" s="2394">
        <f t="shared" si="56"/>
        <v>0</v>
      </c>
      <c r="AY137" s="2394">
        <f t="shared" si="56"/>
        <v>0</v>
      </c>
      <c r="AZ137" s="2394">
        <f t="shared" si="56"/>
        <v>0</v>
      </c>
      <c r="BA137" s="2394">
        <f t="shared" si="56"/>
        <v>0</v>
      </c>
      <c r="BB137" s="2394">
        <f t="shared" si="56"/>
        <v>0</v>
      </c>
      <c r="BC137" s="2394">
        <f t="shared" si="56"/>
        <v>0</v>
      </c>
      <c r="BD137" s="2394">
        <f t="shared" si="56"/>
        <v>0</v>
      </c>
      <c r="BE137" s="2394">
        <f t="shared" si="56"/>
        <v>0</v>
      </c>
      <c r="BF137" s="2394">
        <f t="shared" si="56"/>
        <v>0</v>
      </c>
      <c r="BG137" s="2394">
        <f t="shared" si="56"/>
        <v>0</v>
      </c>
      <c r="BH137" s="2394">
        <f t="shared" si="56"/>
        <v>0</v>
      </c>
      <c r="BI137" s="2394">
        <f t="shared" si="56"/>
        <v>0</v>
      </c>
      <c r="BJ137" s="2394">
        <f t="shared" si="56"/>
        <v>0</v>
      </c>
      <c r="BK137" s="2394">
        <f t="shared" si="56"/>
        <v>0</v>
      </c>
      <c r="BL137" s="2394">
        <f t="shared" si="56"/>
        <v>0</v>
      </c>
      <c r="BM137" s="2394">
        <f t="shared" si="56"/>
        <v>0</v>
      </c>
      <c r="BN137" s="2394">
        <f t="shared" si="56"/>
        <v>0</v>
      </c>
    </row>
    <row r="138" spans="2:142">
      <c r="C138" s="2383"/>
      <c r="D138" s="2406" t="s">
        <v>3929</v>
      </c>
      <c r="E138" s="2356"/>
      <c r="F138" s="2356"/>
      <c r="G138" s="2446"/>
      <c r="H138" s="2447">
        <f>SUM(J138:T138)</f>
        <v>60281.446476861704</v>
      </c>
      <c r="I138" s="2459"/>
      <c r="J138" s="2448"/>
      <c r="K138" s="2447"/>
      <c r="L138" s="2449"/>
      <c r="M138" s="2448"/>
      <c r="N138" s="2447"/>
      <c r="O138" s="2449"/>
      <c r="P138" s="2447">
        <f>SUMIFS('TP(분기)'!135:135,'TP(분기)'!129:129,TP!P133)</f>
        <v>7730.4796765635056</v>
      </c>
      <c r="Q138" s="2392">
        <f>SUMIFS('TP(분기)'!135:135,'TP(분기)'!129:129,TP!Q133)</f>
        <v>14550.335078254941</v>
      </c>
      <c r="R138" s="2449">
        <f>SUMIFS('TP(분기)'!135:135,'TP(분기)'!129:129,TP!R133)</f>
        <v>13564.863248239559</v>
      </c>
      <c r="S138" s="2447">
        <f>SUMIFS('TP(분기)'!135:135,'TP(분기)'!129:129,TP!S133)</f>
        <v>12646.135910535233</v>
      </c>
      <c r="T138" s="2450">
        <f>SUMIFS('TP(분기)'!135:135,'TP(분기)'!129:129,TP!T133)</f>
        <v>11789.632563268467</v>
      </c>
      <c r="U138" s="2451">
        <f>SUMIFS('TP(분기)'!135:135,'TP(분기)'!129:129,TP!U133)</f>
        <v>10991.13887120935</v>
      </c>
      <c r="V138" s="2451">
        <f>SUMIFS('TP(분기)'!135:135,'TP(분기)'!129:129,TP!V133)</f>
        <v>10246.725929575367</v>
      </c>
      <c r="W138" s="2451">
        <f>SUMIFS('TP(분기)'!135:135,'TP(분기)'!129:129,TP!W133)</f>
        <v>9552.7309322659476</v>
      </c>
      <c r="X138" s="2451">
        <f>SUMIFS('TP(분기)'!135:135,'TP(분기)'!129:129,TP!X133)</f>
        <v>8905.7391494077274</v>
      </c>
      <c r="Y138" s="2451">
        <f>SUMIFS('TP(분기)'!135:135,'TP(분기)'!129:129,TP!Y133)</f>
        <v>8302.5671255330017</v>
      </c>
      <c r="Z138" s="2451">
        <f>SUMIFS('TP(분기)'!135:135,'TP(분기)'!129:129,TP!Z133)</f>
        <v>7740.2470157197067</v>
      </c>
      <c r="AA138" s="2451">
        <f>SUMIFS('TP(분기)'!135:135,'TP(분기)'!129:129,TP!AA133)</f>
        <v>7216.0119826205782</v>
      </c>
      <c r="AB138" s="2451">
        <f>SUMIFS('TP(분기)'!135:135,'TP(분기)'!129:129,TP!AB133)</f>
        <v>6727.2825825290656</v>
      </c>
      <c r="AC138" s="2451">
        <f>SUMIFS('TP(분기)'!135:135,'TP(분기)'!129:129,TP!AC133)</f>
        <v>6271.654073496089</v>
      </c>
      <c r="AD138" s="2451">
        <f>SUMIFS('TP(분기)'!135:135,'TP(분기)'!129:129,TP!AD133)</f>
        <v>5846.8845830485307</v>
      </c>
      <c r="AE138" s="2451">
        <f>SUMIFS('TP(분기)'!135:135,'TP(분기)'!129:129,TP!AE133)</f>
        <v>5450.8840772899657</v>
      </c>
      <c r="AF138" s="2451">
        <f>SUMIFS('TP(분기)'!135:135,'TP(분기)'!129:129,TP!AF133)</f>
        <v>5081.7040771072561</v>
      </c>
      <c r="AG138" s="2451">
        <f>SUMIFS('TP(분기)'!135:135,'TP(분기)'!129:129,TP!AG133)</f>
        <v>4737.528070882654</v>
      </c>
      <c r="AH138" s="2451">
        <f>SUMIFS('TP(분기)'!135:135,'TP(분기)'!129:129,TP!AH133)</f>
        <v>4416.6625765381814</v>
      </c>
      <c r="AI138" s="2451">
        <f>SUMIFS('TP(분기)'!135:135,'TP(분기)'!129:129,TP!AI133)</f>
        <v>4117.528808934012</v>
      </c>
      <c r="AJ138" s="2451">
        <f>SUMIFS('TP(분기)'!135:135,'TP(분기)'!129:129,TP!AJ133)</f>
        <v>3838.654911621134</v>
      </c>
      <c r="AK138" s="2451">
        <f>SUMIFS('TP(분기)'!135:135,'TP(분기)'!129:129,TP!AK133)</f>
        <v>3578.6687147254884</v>
      </c>
      <c r="AL138" s="2451">
        <f>SUMIFS('TP(분기)'!135:135,'TP(분기)'!129:129,TP!AL133)</f>
        <v>3336.2909833294725</v>
      </c>
      <c r="AM138" s="2451">
        <f>SUMIFS('TP(분기)'!135:135,'TP(분기)'!129:129,TP!AM133)</f>
        <v>3110.3291231301805</v>
      </c>
      <c r="AN138" s="2451">
        <f>SUMIFS('TP(분기)'!135:135,'TP(분기)'!129:129,TP!AN133)</f>
        <v>2899.6713124037456</v>
      </c>
      <c r="AO138" s="2451">
        <f>SUMIFS('TP(분기)'!135:135,'TP(분기)'!129:129,TP!AO133)</f>
        <v>2703.2810314027161</v>
      </c>
      <c r="AP138" s="2451">
        <f>SUMIFS('TP(분기)'!135:135,'TP(분기)'!129:129,TP!AP133)</f>
        <v>2520.1919622689352</v>
      </c>
      <c r="AQ138" s="2451">
        <f>SUMIFS('TP(분기)'!135:135,'TP(분기)'!129:129,TP!AQ133)</f>
        <v>2349.5032343674839</v>
      </c>
      <c r="AR138" s="2451">
        <f>SUMIFS('TP(분기)'!135:135,'TP(분기)'!129:129,TP!AR133)</f>
        <v>2190.374991646846</v>
      </c>
      <c r="AS138" s="2451">
        <f>SUMIFS('TP(분기)'!135:135,'TP(분기)'!129:129,TP!AS133)</f>
        <v>2042.0242602149592</v>
      </c>
      <c r="AT138" s="2451">
        <f>SUMIFS('TP(분기)'!135:135,'TP(분기)'!129:129,TP!AT133)</f>
        <v>1903.721095797993</v>
      </c>
      <c r="AU138" s="2451">
        <f>SUMIFS('TP(분기)'!135:135,'TP(분기)'!129:129,TP!AU133)</f>
        <v>1774.7849921258071</v>
      </c>
      <c r="AV138" s="2451">
        <f>SUMIFS('TP(분기)'!135:135,'TP(분기)'!129:129,TP!AV133)</f>
        <v>1654.5815325719532</v>
      </c>
      <c r="AW138" s="2451">
        <f>SUMIFS('TP(분기)'!135:135,'TP(분기)'!129:129,TP!AW133)</f>
        <v>1542.5192685729526</v>
      </c>
      <c r="AX138" s="2451">
        <f>SUMIFS('TP(분기)'!135:135,'TP(분기)'!129:129,TP!AX133)</f>
        <v>1438.0468094674347</v>
      </c>
      <c r="AY138" s="2451">
        <f>SUMIFS('TP(분기)'!135:135,'TP(분기)'!129:129,TP!AY133)</f>
        <v>1340.650109436001</v>
      </c>
      <c r="AZ138" s="2451">
        <f>SUMIFS('TP(분기)'!135:135,'TP(분기)'!129:129,TP!AZ133)</f>
        <v>1249.8499381924767</v>
      </c>
      <c r="BA138" s="2451">
        <f>SUMIFS('TP(분기)'!135:135,'TP(분기)'!129:129,TP!BA133)</f>
        <v>1165.199522981361</v>
      </c>
      <c r="BB138" s="2451">
        <f>SUMIFS('TP(분기)'!135:135,'TP(분기)'!129:129,TP!BB133)</f>
        <v>1086.2823502791632</v>
      </c>
      <c r="BC138" s="2451">
        <f>SUMIFS('TP(분기)'!135:135,'TP(분기)'!129:129,TP!BC133)</f>
        <v>1012.7101163831305</v>
      </c>
      <c r="BD138" s="2451">
        <f>SUMIFS('TP(분기)'!135:135,'TP(분기)'!129:129,TP!BD133)</f>
        <v>944.12081680344863</v>
      </c>
      <c r="BE138" s="2451">
        <f>SUMIFS('TP(분기)'!135:135,'TP(분기)'!129:129,TP!BE133)</f>
        <v>880.17696505797278</v>
      </c>
      <c r="BF138" s="2451">
        <f>SUMIFS('TP(분기)'!135:135,'TP(분기)'!129:129,TP!BF133)</f>
        <v>820.56393210525721</v>
      </c>
      <c r="BG138" s="2451">
        <f>SUMIFS('TP(분기)'!135:135,'TP(분기)'!129:129,TP!BG133)</f>
        <v>764.98839824522361</v>
      </c>
      <c r="BH138" s="2451">
        <f>SUMIFS('TP(분기)'!135:135,'TP(분기)'!129:129,TP!BH133)</f>
        <v>713.17690987023127</v>
      </c>
      <c r="BI138" s="2451">
        <f>SUMIFS('TP(분기)'!135:135,'TP(분기)'!129:129,TP!BI133)</f>
        <v>664.87453396516662</v>
      </c>
      <c r="BJ138" s="2451">
        <f>SUMIFS('TP(분기)'!135:135,'TP(분기)'!129:129,TP!BJ133)</f>
        <v>619.84360373618074</v>
      </c>
      <c r="BK138" s="2451">
        <f>SUMIFS('TP(분기)'!135:135,'TP(분기)'!129:129,TP!BK133)</f>
        <v>577.86254919606313</v>
      </c>
      <c r="BL138" s="2451">
        <f>SUMIFS('TP(분기)'!135:135,'TP(분기)'!129:129,TP!BL133)</f>
        <v>538.72480695226659</v>
      </c>
      <c r="BM138" s="2451">
        <f>SUMIFS('TP(분기)'!135:135,'TP(분기)'!129:129,TP!BM133)</f>
        <v>502.23780383332496</v>
      </c>
      <c r="BN138" s="2451">
        <f>SUMIFS('TP(분기)'!135:135,'TP(분기)'!129:129,TP!BN133)</f>
        <v>236.27443350390905</v>
      </c>
    </row>
    <row r="139" spans="2:142">
      <c r="C139" s="2383"/>
      <c r="D139" s="2406" t="s">
        <v>3930</v>
      </c>
      <c r="E139" s="2356"/>
      <c r="F139" s="2356"/>
      <c r="G139" s="2446"/>
      <c r="H139" s="2447">
        <f>H137*3%-BN139</f>
        <v>-3.3185551807036973E-2</v>
      </c>
      <c r="I139" s="2459"/>
      <c r="J139" s="2448">
        <f>$H137-SUM($I138:J138)</f>
        <v>222563.86652861771</v>
      </c>
      <c r="K139" s="2447">
        <f>$H137-SUM($I138:K138)</f>
        <v>222563.86652861771</v>
      </c>
      <c r="L139" s="2449">
        <f>$H137-SUM($I138:L138)</f>
        <v>222563.86652861771</v>
      </c>
      <c r="M139" s="2448">
        <f>$H137-SUM($I138:M138)</f>
        <v>222563.86652861771</v>
      </c>
      <c r="N139" s="2447">
        <f>$H137-SUM($I138:N138)</f>
        <v>222563.86652861771</v>
      </c>
      <c r="O139" s="2449">
        <f>$H137-SUM($I138:O138)</f>
        <v>222563.86652861771</v>
      </c>
      <c r="P139" s="2447">
        <f>$H137-SUM($I138:P138)</f>
        <v>214833.38685205422</v>
      </c>
      <c r="Q139" s="2450">
        <f>$H137-SUM($I138:Q138)</f>
        <v>200283.05177379926</v>
      </c>
      <c r="R139" s="2449">
        <f>$H137-SUM($I138:R138)</f>
        <v>186718.1885255597</v>
      </c>
      <c r="S139" s="2447">
        <f>$H137-SUM($I138:S138)</f>
        <v>174072.05261502447</v>
      </c>
      <c r="T139" s="2450">
        <f>$H137-SUM($I138:T138)</f>
        <v>162282.42005175602</v>
      </c>
      <c r="U139" s="2451">
        <f>$H137-SUM($I138:U138)</f>
        <v>151291.28118054668</v>
      </c>
      <c r="V139" s="2451">
        <f>$H137-SUM($I138:V138)</f>
        <v>141044.55525097129</v>
      </c>
      <c r="W139" s="2451">
        <f>$H137-SUM($I138:W138)</f>
        <v>131491.82431870536</v>
      </c>
      <c r="X139" s="2451">
        <f>$H137-SUM($I138:X138)</f>
        <v>122586.08516929763</v>
      </c>
      <c r="Y139" s="2451">
        <f>$H137-SUM($I138:Y138)</f>
        <v>114283.51804376463</v>
      </c>
      <c r="Z139" s="2451">
        <f>$H137-SUM($I138:Z138)</f>
        <v>106543.27102804492</v>
      </c>
      <c r="AA139" s="2451">
        <f>$H137-SUM($I138:AA138)</f>
        <v>99327.259045424347</v>
      </c>
      <c r="AB139" s="2451">
        <f>$H137-SUM($I138:AB138)</f>
        <v>92599.976462895283</v>
      </c>
      <c r="AC139" s="2451">
        <f>$H137-SUM($I138:AC138)</f>
        <v>86328.322389399196</v>
      </c>
      <c r="AD139" s="2451">
        <f>$H137-SUM($I138:AD138)</f>
        <v>80481.437806350674</v>
      </c>
      <c r="AE139" s="2451">
        <f>$H137-SUM($I138:AE138)</f>
        <v>75030.553729060717</v>
      </c>
      <c r="AF139" s="2451">
        <f>$H137-SUM($I138:AF138)</f>
        <v>69948.849651953467</v>
      </c>
      <c r="AG139" s="2451">
        <f>$H137-SUM($I138:AG138)</f>
        <v>65211.321581070806</v>
      </c>
      <c r="AH139" s="2451">
        <f>$H137-SUM($I138:AH138)</f>
        <v>60794.659004532616</v>
      </c>
      <c r="AI139" s="2451">
        <f>$H137-SUM($I138:AI138)</f>
        <v>56677.130195598613</v>
      </c>
      <c r="AJ139" s="2451">
        <f>$H137-SUM($I138:AJ138)</f>
        <v>52838.475283977488</v>
      </c>
      <c r="AK139" s="2451">
        <f>$H137-SUM($I138:AK138)</f>
        <v>49259.806569251989</v>
      </c>
      <c r="AL139" s="2451">
        <f>$H137-SUM($I138:AL138)</f>
        <v>45923.51558592252</v>
      </c>
      <c r="AM139" s="2451">
        <f>$H137-SUM($I138:AM138)</f>
        <v>42813.186462792335</v>
      </c>
      <c r="AN139" s="2451">
        <f>$H137-SUM($I138:AN138)</f>
        <v>39913.515150388586</v>
      </c>
      <c r="AO139" s="2451">
        <f>$H137-SUM($I138:AO138)</f>
        <v>37210.234118985856</v>
      </c>
      <c r="AP139" s="2451">
        <f>$H137-SUM($I138:AP138)</f>
        <v>34690.042156716925</v>
      </c>
      <c r="AQ139" s="2451">
        <f>$H137-SUM($I138:AQ138)</f>
        <v>32340.538922349428</v>
      </c>
      <c r="AR139" s="2451">
        <f>$H137-SUM($I138:AR138)</f>
        <v>30150.163930702576</v>
      </c>
      <c r="AS139" s="2451">
        <f>$H137-SUM($I138:AS138)</f>
        <v>28108.13967048761</v>
      </c>
      <c r="AT139" s="2451">
        <f>$H137-SUM($I138:AT138)</f>
        <v>26204.418574689626</v>
      </c>
      <c r="AU139" s="2451">
        <f>$H137-SUM($I138:AU138)</f>
        <v>24429.633582563809</v>
      </c>
      <c r="AV139" s="2451">
        <f>$H137-SUM($I138:AV138)</f>
        <v>22775.052049991849</v>
      </c>
      <c r="AW139" s="2451">
        <f>$H137-SUM($I138:AW138)</f>
        <v>21232.532781418908</v>
      </c>
      <c r="AX139" s="2451">
        <f>$H137-SUM($I138:AX138)</f>
        <v>19794.485971951479</v>
      </c>
      <c r="AY139" s="2451">
        <f>$H137-SUM($I138:AY138)</f>
        <v>18453.835862515465</v>
      </c>
      <c r="AZ139" s="2451">
        <f>$H137-SUM($I138:AZ138)</f>
        <v>17203.985924323002</v>
      </c>
      <c r="BA139" s="2451">
        <f>$H137-SUM($I138:BA138)</f>
        <v>16038.78640134164</v>
      </c>
      <c r="BB139" s="2451">
        <f>$H137-SUM($I138:BB138)</f>
        <v>14952.504051062482</v>
      </c>
      <c r="BC139" s="2451">
        <f>$H137-SUM($I138:BC138)</f>
        <v>13939.793934679357</v>
      </c>
      <c r="BD139" s="2451">
        <f>$H137-SUM($I138:BD138)</f>
        <v>12995.673117875907</v>
      </c>
      <c r="BE139" s="2451">
        <f>$H137-SUM($I138:BE138)</f>
        <v>12115.496152817941</v>
      </c>
      <c r="BF139" s="2451">
        <f>$H137-SUM($I138:BF138)</f>
        <v>11294.932220712682</v>
      </c>
      <c r="BG139" s="2451">
        <f>$H137-SUM($I138:BG138)</f>
        <v>10529.943822467467</v>
      </c>
      <c r="BH139" s="2451">
        <f>$H137-SUM($I138:BH138)</f>
        <v>9816.7669125972316</v>
      </c>
      <c r="BI139" s="2451">
        <f>$H137-SUM($I138:BI138)</f>
        <v>9151.8923786320665</v>
      </c>
      <c r="BJ139" s="2451">
        <f>$H137-SUM($I138:BJ138)</f>
        <v>8532.0487748958985</v>
      </c>
      <c r="BK139" s="2451">
        <f>$H137-SUM($I138:BK138)</f>
        <v>7954.1862256998429</v>
      </c>
      <c r="BL139" s="2451">
        <f>$H137-SUM($I138:BL138)</f>
        <v>7415.4614187475818</v>
      </c>
      <c r="BM139" s="2451">
        <f>$H137-SUM($I138:BM138)</f>
        <v>6913.2236149142554</v>
      </c>
      <c r="BN139" s="2451">
        <f>$H137-SUM($I138:BN138)</f>
        <v>6676.9491814103385</v>
      </c>
    </row>
    <row r="140" spans="2:142">
      <c r="C140" s="2383"/>
      <c r="D140" s="2406" t="s">
        <v>3931</v>
      </c>
      <c r="E140" s="2356"/>
      <c r="F140" s="2356"/>
      <c r="G140" s="2461"/>
      <c r="H140" s="2447"/>
      <c r="I140" s="2459"/>
      <c r="J140" s="2655">
        <f t="shared" ref="J140:BN140" si="57">J$26</f>
        <v>0</v>
      </c>
      <c r="K140" s="2462">
        <f t="shared" si="57"/>
        <v>0</v>
      </c>
      <c r="L140" s="2464">
        <f t="shared" si="57"/>
        <v>0</v>
      </c>
      <c r="M140" s="2655">
        <f t="shared" si="57"/>
        <v>0</v>
      </c>
      <c r="N140" s="2462">
        <f t="shared" si="57"/>
        <v>0</v>
      </c>
      <c r="O140" s="2464">
        <f t="shared" si="57"/>
        <v>0</v>
      </c>
      <c r="P140" s="2462">
        <f t="shared" si="57"/>
        <v>1.0106217925766798</v>
      </c>
      <c r="Q140" s="2463">
        <f t="shared" si="57"/>
        <v>1.0412937104666427</v>
      </c>
      <c r="R140" s="2464">
        <f t="shared" si="57"/>
        <v>1.0846163026614153</v>
      </c>
      <c r="S140" s="2462">
        <f t="shared" si="57"/>
        <v>1.1001312805824084</v>
      </c>
      <c r="T140" s="2463">
        <f t="shared" si="57"/>
        <v>1.1126626089032103</v>
      </c>
      <c r="U140" s="2465">
        <f t="shared" si="57"/>
        <v>1.1219715956558061</v>
      </c>
      <c r="V140" s="2465">
        <f t="shared" si="57"/>
        <v>1.1346222699606157</v>
      </c>
      <c r="W140" s="2465">
        <f t="shared" si="57"/>
        <v>1.1497792099295858</v>
      </c>
      <c r="X140" s="2465">
        <f t="shared" si="57"/>
        <v>1.1660102637546246</v>
      </c>
      <c r="Y140" s="2465">
        <f t="shared" si="57"/>
        <v>1.1814058956916098</v>
      </c>
      <c r="Z140" s="2465">
        <f t="shared" si="57"/>
        <v>1.1901181525241675</v>
      </c>
      <c r="AA140" s="2465">
        <f t="shared" si="57"/>
        <v>1.1973982575486333</v>
      </c>
      <c r="AB140" s="2465">
        <f t="shared" si="57"/>
        <v>1.2416756176154673</v>
      </c>
      <c r="AC140" s="2465">
        <f t="shared" ca="1" si="57"/>
        <v>1.2603007518796991</v>
      </c>
      <c r="AD140" s="2465">
        <f t="shared" ca="1" si="57"/>
        <v>1.2792052631578945</v>
      </c>
      <c r="AE140" s="2465">
        <f t="shared" ca="1" si="57"/>
        <v>1.2983933421052629</v>
      </c>
      <c r="AF140" s="2465">
        <f t="shared" ca="1" si="57"/>
        <v>1.3178692422368417</v>
      </c>
      <c r="AG140" s="2465">
        <f t="shared" ca="1" si="57"/>
        <v>1.3376372808703942</v>
      </c>
      <c r="AH140" s="2465">
        <f t="shared" ca="1" si="57"/>
        <v>1.35770184008345</v>
      </c>
      <c r="AI140" s="2465">
        <f t="shared" ca="1" si="57"/>
        <v>1.3780673676847015</v>
      </c>
      <c r="AJ140" s="2465">
        <f t="shared" ca="1" si="57"/>
        <v>1.3987383781999718</v>
      </c>
      <c r="AK140" s="2465">
        <f t="shared" ca="1" si="57"/>
        <v>1.4197194538729712</v>
      </c>
      <c r="AL140" s="2465">
        <f t="shared" ca="1" si="57"/>
        <v>1.4410152456810656</v>
      </c>
      <c r="AM140" s="2465">
        <f t="shared" ca="1" si="57"/>
        <v>1.4626304743662815</v>
      </c>
      <c r="AN140" s="2465">
        <f t="shared" ca="1" si="57"/>
        <v>1.4845699314817755</v>
      </c>
      <c r="AO140" s="2465">
        <f t="shared" ca="1" si="57"/>
        <v>1.506838480454002</v>
      </c>
      <c r="AP140" s="2465">
        <f t="shared" ca="1" si="57"/>
        <v>1.529441057660812</v>
      </c>
      <c r="AQ140" s="2465">
        <f t="shared" ca="1" si="57"/>
        <v>1.552382673525724</v>
      </c>
      <c r="AR140" s="2465">
        <f t="shared" ca="1" si="57"/>
        <v>1.5756684136286097</v>
      </c>
      <c r="AS140" s="2465">
        <f t="shared" ca="1" si="57"/>
        <v>1.5993034398330386</v>
      </c>
      <c r="AT140" s="2465">
        <f t="shared" ca="1" si="57"/>
        <v>1.6232929914305341</v>
      </c>
      <c r="AU140" s="2465">
        <f t="shared" ca="1" si="57"/>
        <v>1.647642386301992</v>
      </c>
      <c r="AV140" s="2465">
        <f t="shared" ca="1" si="57"/>
        <v>1.6723570220965218</v>
      </c>
      <c r="AW140" s="2465">
        <f t="shared" ca="1" si="57"/>
        <v>1.6974423774279694</v>
      </c>
      <c r="AX140" s="2465">
        <f t="shared" ca="1" si="57"/>
        <v>1.7229040130893889</v>
      </c>
      <c r="AY140" s="2465">
        <f t="shared" ca="1" si="57"/>
        <v>1.7487475732857296</v>
      </c>
      <c r="AZ140" s="2465">
        <f t="shared" ca="1" si="57"/>
        <v>1.7749787868850153</v>
      </c>
      <c r="BA140" s="2465">
        <f t="shared" ca="1" si="57"/>
        <v>1.8016034686882905</v>
      </c>
      <c r="BB140" s="2465">
        <f t="shared" ca="1" si="57"/>
        <v>1.8286275207186147</v>
      </c>
      <c r="BC140" s="2465">
        <f t="shared" ca="1" si="57"/>
        <v>1.8560569335293937</v>
      </c>
      <c r="BD140" s="2465">
        <f t="shared" ca="1" si="57"/>
        <v>1.8838977875323344</v>
      </c>
      <c r="BE140" s="2465">
        <f t="shared" ca="1" si="57"/>
        <v>1.9121562543453192</v>
      </c>
      <c r="BF140" s="2465">
        <f t="shared" ca="1" si="57"/>
        <v>1.9408385981604988</v>
      </c>
      <c r="BG140" s="2465">
        <f t="shared" ca="1" si="57"/>
        <v>1.9699511771329061</v>
      </c>
      <c r="BH140" s="2465">
        <f t="shared" ca="1" si="57"/>
        <v>1.9995004447898996</v>
      </c>
      <c r="BI140" s="2465">
        <f t="shared" ca="1" si="57"/>
        <v>2.0294929514617479</v>
      </c>
      <c r="BJ140" s="2465">
        <f t="shared" ca="1" si="57"/>
        <v>2.059935345733674</v>
      </c>
      <c r="BK140" s="2465">
        <f t="shared" ca="1" si="57"/>
        <v>2.090834375919679</v>
      </c>
      <c r="BL140" s="2465">
        <f t="shared" ca="1" si="57"/>
        <v>2.1221968915584739</v>
      </c>
      <c r="BM140" s="2465">
        <f t="shared" ca="1" si="57"/>
        <v>2.1540298449318507</v>
      </c>
      <c r="BN140" s="2465">
        <f t="shared" ca="1" si="57"/>
        <v>2.1863402926058284</v>
      </c>
    </row>
    <row r="141" spans="2:142">
      <c r="C141" s="2466"/>
      <c r="D141" s="2467" t="s">
        <v>3932</v>
      </c>
      <c r="E141" s="2356"/>
      <c r="F141" s="2356"/>
      <c r="G141" s="2446"/>
      <c r="H141" s="2447">
        <f>MAX(J141:T141)</f>
        <v>217115.30252574236</v>
      </c>
      <c r="I141" s="2459"/>
      <c r="J141" s="2448">
        <f t="shared" ref="J141:BN141" si="58">J139*J140</f>
        <v>0</v>
      </c>
      <c r="K141" s="2447">
        <f t="shared" si="58"/>
        <v>0</v>
      </c>
      <c r="L141" s="2449">
        <f t="shared" si="58"/>
        <v>0</v>
      </c>
      <c r="M141" s="2448">
        <f t="shared" si="58"/>
        <v>0</v>
      </c>
      <c r="N141" s="2447">
        <f t="shared" si="58"/>
        <v>0</v>
      </c>
      <c r="O141" s="2449">
        <f t="shared" si="58"/>
        <v>0</v>
      </c>
      <c r="P141" s="2447">
        <f t="shared" si="58"/>
        <v>217115.30252574236</v>
      </c>
      <c r="Q141" s="2450">
        <f t="shared" si="58"/>
        <v>208553.48212512213</v>
      </c>
      <c r="R141" s="2449">
        <f t="shared" si="58"/>
        <v>202517.59127822967</v>
      </c>
      <c r="S141" s="2447">
        <f t="shared" si="58"/>
        <v>191502.11015697525</v>
      </c>
      <c r="T141" s="2450">
        <f t="shared" si="58"/>
        <v>180565.58087391351</v>
      </c>
      <c r="U141" s="2451">
        <f t="shared" si="58"/>
        <v>169744.52015494919</v>
      </c>
      <c r="V141" s="2451">
        <f t="shared" si="58"/>
        <v>160032.2934444425</v>
      </c>
      <c r="W141" s="2451">
        <f t="shared" si="58"/>
        <v>151186.56587736096</v>
      </c>
      <c r="X141" s="2451">
        <f t="shared" si="58"/>
        <v>142936.6335008996</v>
      </c>
      <c r="Y141" s="2451">
        <f t="shared" si="58"/>
        <v>135015.221997282</v>
      </c>
      <c r="Z141" s="2451">
        <f t="shared" si="58"/>
        <v>126799.08087977848</v>
      </c>
      <c r="AA141" s="2451">
        <f t="shared" si="58"/>
        <v>118934.28690807284</v>
      </c>
      <c r="AB141" s="2451">
        <f t="shared" si="58"/>
        <v>114979.13296574324</v>
      </c>
      <c r="AC141" s="2451">
        <f t="shared" ca="1" si="58"/>
        <v>108799.64961587287</v>
      </c>
      <c r="AD141" s="2451">
        <f t="shared" ca="1" si="58"/>
        <v>102952.27882839853</v>
      </c>
      <c r="AE141" s="2451">
        <f t="shared" ca="1" si="58"/>
        <v>97419.171416283643</v>
      </c>
      <c r="AF141" s="2451">
        <f t="shared" ca="1" si="58"/>
        <v>92183.437486158684</v>
      </c>
      <c r="AG141" s="2451">
        <f t="shared" ca="1" si="58"/>
        <v>87229.09488166841</v>
      </c>
      <c r="AH141" s="2451">
        <f t="shared" ca="1" si="58"/>
        <v>82541.020397699816</v>
      </c>
      <c r="AI141" s="2451">
        <f t="shared" ca="1" si="58"/>
        <v>78104.903616571697</v>
      </c>
      <c r="AJ141" s="2451">
        <f t="shared" ca="1" si="58"/>
        <v>73907.203225269972</v>
      </c>
      <c r="AK141" s="2451">
        <f t="shared" ca="1" si="58"/>
        <v>69935.105680386623</v>
      </c>
      <c r="AL141" s="2451">
        <f t="shared" ca="1" si="58"/>
        <v>66176.486094586391</v>
      </c>
      <c r="AM141" s="2451">
        <f t="shared" ca="1" si="58"/>
        <v>62619.871225206014</v>
      </c>
      <c r="AN141" s="2451">
        <f t="shared" ca="1" si="58"/>
        <v>59254.404452009192</v>
      </c>
      <c r="AO141" s="2451">
        <f t="shared" ca="1" si="58"/>
        <v>56069.812637190305</v>
      </c>
      <c r="AP141" s="2451">
        <f t="shared" ca="1" si="58"/>
        <v>53056.374766467285</v>
      </c>
      <c r="AQ141" s="2451">
        <f t="shared" ca="1" si="58"/>
        <v>50204.89227553954</v>
      </c>
      <c r="AR141" s="2451">
        <f t="shared" ca="1" si="58"/>
        <v>47506.660971332654</v>
      </c>
      <c r="AS141" s="2451">
        <f t="shared" ca="1" si="58"/>
        <v>44953.444462318323</v>
      </c>
      <c r="AT141" s="2451">
        <f t="shared" ca="1" si="58"/>
        <v>42537.449016805775</v>
      </c>
      <c r="AU141" s="2451">
        <f t="shared" ca="1" si="58"/>
        <v>40251.299772458719</v>
      </c>
      <c r="AV141" s="2451">
        <f t="shared" ca="1" si="58"/>
        <v>38088.018224417654</v>
      </c>
      <c r="AW141" s="2451">
        <f t="shared" ca="1" si="58"/>
        <v>36041.00092330901</v>
      </c>
      <c r="AX141" s="2451">
        <f t="shared" ca="1" si="58"/>
        <v>34103.999318116817</v>
      </c>
      <c r="AY141" s="2451">
        <f t="shared" ca="1" si="58"/>
        <v>32271.100682387088</v>
      </c>
      <c r="AZ141" s="2451">
        <f t="shared" ca="1" si="58"/>
        <v>30536.71006554172</v>
      </c>
      <c r="BA141" s="2451">
        <f t="shared" ca="1" si="58"/>
        <v>28895.533214207684</v>
      </c>
      <c r="BB141" s="2451">
        <f t="shared" ca="1" si="58"/>
        <v>27342.560411429429</v>
      </c>
      <c r="BC141" s="2451">
        <f t="shared" ca="1" si="58"/>
        <v>25873.05118443261</v>
      </c>
      <c r="BD141" s="2451">
        <f t="shared" ca="1" si="58"/>
        <v>24482.519834259856</v>
      </c>
      <c r="BE141" s="2451">
        <f t="shared" ca="1" si="58"/>
        <v>23166.721743107479</v>
      </c>
      <c r="BF141" s="2451">
        <f t="shared" ca="1" si="58"/>
        <v>21921.64041756585</v>
      </c>
      <c r="BG141" s="2451">
        <f t="shared" ca="1" si="58"/>
        <v>20743.475228213159</v>
      </c>
      <c r="BH141" s="2451">
        <f t="shared" ca="1" si="58"/>
        <v>19628.629808136935</v>
      </c>
      <c r="BI141" s="2451">
        <f t="shared" ca="1" si="58"/>
        <v>18573.701074970268</v>
      </c>
      <c r="BJ141" s="2451">
        <f t="shared" ca="1" si="58"/>
        <v>17575.468842931754</v>
      </c>
      <c r="BK141" s="2451">
        <f t="shared" ca="1" si="58"/>
        <v>16630.885993160038</v>
      </c>
      <c r="BL141" s="2451">
        <f t="shared" ca="1" si="58"/>
        <v>15737.06917233791</v>
      </c>
      <c r="BM141" s="2451">
        <f t="shared" ca="1" si="58"/>
        <v>14891.289991212961</v>
      </c>
      <c r="BN141" s="2451">
        <f t="shared" ca="1" si="58"/>
        <v>14598.083026998926</v>
      </c>
    </row>
    <row r="142" spans="2:142">
      <c r="C142" s="2466"/>
      <c r="D142" s="2467" t="s">
        <v>3933</v>
      </c>
      <c r="E142" s="2356"/>
      <c r="F142" s="2356"/>
      <c r="G142" s="2446"/>
      <c r="H142" s="2488">
        <f>MAX(J142:BN142)</f>
        <v>1</v>
      </c>
      <c r="I142" s="2656"/>
      <c r="J142" s="2469">
        <f>SUM($I$3:J$3)/$H$3*(J$3&gt;0)</f>
        <v>0</v>
      </c>
      <c r="K142" s="2470">
        <f>SUM($I$3:K$3)/$H$3*(K$3&gt;0)</f>
        <v>0</v>
      </c>
      <c r="L142" s="2471">
        <f>SUM($I$3:L$3)/$H$3*(L$3&gt;0)</f>
        <v>0</v>
      </c>
      <c r="M142" s="2469">
        <f>SUM($I$3:M$3)/$H$3*(M$3&gt;0)</f>
        <v>0</v>
      </c>
      <c r="N142" s="2472">
        <f>SUM($I$3:N$3)/$H$3*(N$3&gt;0)</f>
        <v>0</v>
      </c>
      <c r="O142" s="2473">
        <f>SUM($I$3:O$3)/$H$3*(O$3&gt;0)</f>
        <v>0</v>
      </c>
      <c r="P142" s="2472">
        <f>SUM($I$3:P$3)/$H$3*(P$3&gt;0)</f>
        <v>1.0082191780821918E-2</v>
      </c>
      <c r="Q142" s="2474">
        <f>SUM($I$3:Q$3)/$H$3*(Q$3&gt;0)</f>
        <v>3.0082191780821922E-2</v>
      </c>
      <c r="R142" s="2471">
        <f>SUM($I$3:R$3)/$H$3*(R$3&gt;0)</f>
        <v>5.0082191780821919E-2</v>
      </c>
      <c r="S142" s="2470">
        <f>SUM($I$3:S$3)/$H$3*(S$3&gt;0)</f>
        <v>7.0082191780821923E-2</v>
      </c>
      <c r="T142" s="2468">
        <f>SUM($I$3:T$3)/$H$3*(T$3&gt;0)</f>
        <v>9.0082191780821927E-2</v>
      </c>
      <c r="U142" s="2475">
        <f>SUM($I$3:U$3)/$H$3*(U$3&gt;0)</f>
        <v>0.11008219178082193</v>
      </c>
      <c r="V142" s="2475">
        <f>SUM($I$3:V$3)/$H$3*(V$3&gt;0)</f>
        <v>0.13008219178082192</v>
      </c>
      <c r="W142" s="2475">
        <f>SUM($I$3:W$3)/$H$3*(W$3&gt;0)</f>
        <v>0.15008219178082194</v>
      </c>
      <c r="X142" s="2475">
        <f>SUM($I$3:X$3)/$H$3*(X$3&gt;0)</f>
        <v>0.17008219178082193</v>
      </c>
      <c r="Y142" s="2475">
        <f>SUM($I$3:Y$3)/$H$3*(Y$3&gt;0)</f>
        <v>0.19008219178082192</v>
      </c>
      <c r="Z142" s="2475">
        <f>SUM($I$3:Z$3)/$H$3*(Z$3&gt;0)</f>
        <v>0.21008219178082194</v>
      </c>
      <c r="AA142" s="2475">
        <f>SUM($I$3:AA$3)/$H$3*(AA$3&gt;0)</f>
        <v>0.23008219178082193</v>
      </c>
      <c r="AB142" s="2475">
        <f>SUM($I$3:AB$3)/$H$3*(AB$3&gt;0)</f>
        <v>0.25008219178082192</v>
      </c>
      <c r="AC142" s="2475">
        <f>SUM($I$3:AC$3)/$H$3*(AC$3&gt;0)</f>
        <v>0.27008219178082193</v>
      </c>
      <c r="AD142" s="2475">
        <f>SUM($I$3:AD$3)/$H$3*(AD$3&gt;0)</f>
        <v>0.29008219178082195</v>
      </c>
      <c r="AE142" s="2475">
        <f>SUM($I$3:AE$3)/$H$3*(AE$3&gt;0)</f>
        <v>0.31008219178082191</v>
      </c>
      <c r="AF142" s="2475">
        <f>SUM($I$3:AF$3)/$H$3*(AF$3&gt;0)</f>
        <v>0.33008219178082193</v>
      </c>
      <c r="AG142" s="2475">
        <f>SUM($I$3:AG$3)/$H$3*(AG$3&gt;0)</f>
        <v>0.35008219178082195</v>
      </c>
      <c r="AH142" s="2475">
        <f>SUM($I$3:AH$3)/$H$3*(AH$3&gt;0)</f>
        <v>0.37008219178082191</v>
      </c>
      <c r="AI142" s="2475">
        <f>SUM($I$3:AI$3)/$H$3*(AI$3&gt;0)</f>
        <v>0.39008219178082193</v>
      </c>
      <c r="AJ142" s="2475">
        <f>SUM($I$3:AJ$3)/$H$3*(AJ$3&gt;0)</f>
        <v>0.41008219178082195</v>
      </c>
      <c r="AK142" s="2475">
        <f>SUM($I$3:AK$3)/$H$3*(AK$3&gt;0)</f>
        <v>0.43008219178082191</v>
      </c>
      <c r="AL142" s="2475">
        <f>SUM($I$3:AL$3)/$H$3*(AL$3&gt;0)</f>
        <v>0.45008219178082193</v>
      </c>
      <c r="AM142" s="2475">
        <f>SUM($I$3:AM$3)/$H$3*(AM$3&gt;0)</f>
        <v>0.47008219178082195</v>
      </c>
      <c r="AN142" s="2475">
        <f>SUM($I$3:AN$3)/$H$3*(AN$3&gt;0)</f>
        <v>0.49008219178082191</v>
      </c>
      <c r="AO142" s="2475">
        <f>SUM($I$3:AO$3)/$H$3*(AO$3&gt;0)</f>
        <v>0.51008219178082193</v>
      </c>
      <c r="AP142" s="2475">
        <f>SUM($I$3:AP$3)/$H$3*(AP$3&gt;0)</f>
        <v>0.53008219178082194</v>
      </c>
      <c r="AQ142" s="2475">
        <f>SUM($I$3:AQ$3)/$H$3*(AQ$3&gt;0)</f>
        <v>0.55008219178082196</v>
      </c>
      <c r="AR142" s="2475">
        <f>SUM($I$3:AR$3)/$H$3*(AR$3&gt;0)</f>
        <v>0.57008219178082198</v>
      </c>
      <c r="AS142" s="2475">
        <f>SUM($I$3:AS$3)/$H$3*(AS$3&gt;0)</f>
        <v>0.59008219178082189</v>
      </c>
      <c r="AT142" s="2475">
        <f>SUM($I$3:AT$3)/$H$3*(AT$3&gt;0)</f>
        <v>0.6100821917808219</v>
      </c>
      <c r="AU142" s="2475">
        <f>SUM($I$3:AU$3)/$H$3*(AU$3&gt;0)</f>
        <v>0.63008219178082192</v>
      </c>
      <c r="AV142" s="2475">
        <f>SUM($I$3:AV$3)/$H$3*(AV$3&gt;0)</f>
        <v>0.65008219178082183</v>
      </c>
      <c r="AW142" s="2475">
        <f>SUM($I$3:AW$3)/$H$3*(AW$3&gt;0)</f>
        <v>0.67008219178082185</v>
      </c>
      <c r="AX142" s="2475">
        <f>SUM($I$3:AX$3)/$H$3*(AX$3&gt;0)</f>
        <v>0.69008219178082186</v>
      </c>
      <c r="AY142" s="2475">
        <f>SUM($I$3:AY$3)/$H$3*(AY$3&gt;0)</f>
        <v>0.71008219178082188</v>
      </c>
      <c r="AZ142" s="2475">
        <f>SUM($I$3:AZ$3)/$H$3*(AZ$3&gt;0)</f>
        <v>0.7300821917808219</v>
      </c>
      <c r="BA142" s="2475">
        <f>SUM($I$3:BA$3)/$H$3*(BA$3&gt;0)</f>
        <v>0.75008219178082181</v>
      </c>
      <c r="BB142" s="2475">
        <f>SUM($I$3:BB$3)/$H$3*(BB$3&gt;0)</f>
        <v>0.77008219178082182</v>
      </c>
      <c r="BC142" s="2475">
        <f>SUM($I$3:BC$3)/$H$3*(BC$3&gt;0)</f>
        <v>0.79008219178082184</v>
      </c>
      <c r="BD142" s="2475">
        <f>SUM($I$3:BD$3)/$H$3*(BD$3&gt;0)</f>
        <v>0.81008219178082186</v>
      </c>
      <c r="BE142" s="2475">
        <f>SUM($I$3:BE$3)/$H$3*(BE$3&gt;0)</f>
        <v>0.83008219178082188</v>
      </c>
      <c r="BF142" s="2475">
        <f>SUM($I$3:BF$3)/$H$3*(BF$3&gt;0)</f>
        <v>0.85008219178082189</v>
      </c>
      <c r="BG142" s="2475">
        <f>SUM($I$3:BG$3)/$H$3*(BG$3&gt;0)</f>
        <v>0.87008219178082191</v>
      </c>
      <c r="BH142" s="2475">
        <f>SUM($I$3:BH$3)/$H$3*(BH$3&gt;0)</f>
        <v>0.89008219178082182</v>
      </c>
      <c r="BI142" s="2475">
        <f>SUM($I$3:BI$3)/$H$3*(BI$3&gt;0)</f>
        <v>0.91008219178082184</v>
      </c>
      <c r="BJ142" s="2475">
        <f>SUM($I$3:BJ$3)/$H$3*(BJ$3&gt;0)</f>
        <v>0.93008219178082185</v>
      </c>
      <c r="BK142" s="2475">
        <f>SUM($I$3:BK$3)/$H$3*(BK$3&gt;0)</f>
        <v>0.95008219178082187</v>
      </c>
      <c r="BL142" s="2475">
        <f>SUM($I$3:BL$3)/$H$3*(BL$3&gt;0)</f>
        <v>0.97008219178082189</v>
      </c>
      <c r="BM142" s="2475">
        <f>SUM($I$3:BM$3)/$H$3*(BM$3&gt;0)</f>
        <v>0.99008219178082191</v>
      </c>
      <c r="BN142" s="2475">
        <f>SUM($I$3:BN$3)/$H$3*(BN$3&gt;0)</f>
        <v>1</v>
      </c>
    </row>
    <row r="143" spans="2:142">
      <c r="C143" s="2466"/>
      <c r="D143" s="2476" t="s">
        <v>3934</v>
      </c>
      <c r="E143" s="2356"/>
      <c r="F143" s="2356"/>
      <c r="G143" s="2446"/>
      <c r="H143" s="2450">
        <f>MAX(J143:T143)</f>
        <v>16265.743285299388</v>
      </c>
      <c r="I143" s="2482"/>
      <c r="J143" s="2448">
        <f t="shared" ref="J143:BN143" si="59">J141*J142</f>
        <v>0</v>
      </c>
      <c r="K143" s="2447">
        <f t="shared" si="59"/>
        <v>0</v>
      </c>
      <c r="L143" s="2449">
        <f t="shared" si="59"/>
        <v>0</v>
      </c>
      <c r="M143" s="2448">
        <f t="shared" si="59"/>
        <v>0</v>
      </c>
      <c r="N143" s="2447">
        <f t="shared" si="59"/>
        <v>0</v>
      </c>
      <c r="O143" s="2449">
        <f t="shared" si="59"/>
        <v>0</v>
      </c>
      <c r="P143" s="2447">
        <f t="shared" si="59"/>
        <v>2188.9981186157038</v>
      </c>
      <c r="Q143" s="2450">
        <f t="shared" si="59"/>
        <v>6273.7458458461406</v>
      </c>
      <c r="R143" s="2449">
        <f t="shared" si="59"/>
        <v>10142.524845386406</v>
      </c>
      <c r="S143" s="2447">
        <f t="shared" si="59"/>
        <v>13420.887610453225</v>
      </c>
      <c r="T143" s="2450">
        <f t="shared" si="59"/>
        <v>16265.743285299388</v>
      </c>
      <c r="U143" s="2451">
        <f t="shared" si="59"/>
        <v>18685.848821440712</v>
      </c>
      <c r="V143" s="2451">
        <f t="shared" si="59"/>
        <v>20817.351486964741</v>
      </c>
      <c r="W143" s="2451">
        <f t="shared" si="59"/>
        <v>22690.411174689958</v>
      </c>
      <c r="X143" s="2451">
        <f t="shared" si="59"/>
        <v>24310.975911605063</v>
      </c>
      <c r="Y143" s="2451">
        <f t="shared" si="59"/>
        <v>25663.989321017605</v>
      </c>
      <c r="Z143" s="2451">
        <f t="shared" si="59"/>
        <v>26638.228827017574</v>
      </c>
      <c r="AA143" s="2451">
        <f t="shared" si="59"/>
        <v>27364.661409698514</v>
      </c>
      <c r="AB143" s="2451">
        <f t="shared" si="59"/>
        <v>28754.233581131622</v>
      </c>
      <c r="AC143" s="2451">
        <f t="shared" ca="1" si="59"/>
        <v>29384.847833240405</v>
      </c>
      <c r="AD143" s="2451">
        <f t="shared" ca="1" si="59"/>
        <v>29864.622691372158</v>
      </c>
      <c r="AE143" s="2451">
        <f t="shared" ca="1" si="59"/>
        <v>30207.950194232828</v>
      </c>
      <c r="AF143" s="2451">
        <f t="shared" ca="1" si="59"/>
        <v>30428.11109132164</v>
      </c>
      <c r="AG143" s="2451">
        <f t="shared" ca="1" si="59"/>
        <v>30537.352723231754</v>
      </c>
      <c r="AH143" s="2451">
        <f t="shared" ca="1" si="59"/>
        <v>30546.961740606275</v>
      </c>
      <c r="AI143" s="2451">
        <f t="shared" ca="1" si="59"/>
        <v>30467.331991582134</v>
      </c>
      <c r="AJ143" s="2451">
        <f t="shared" ca="1" si="59"/>
        <v>30308.027887009343</v>
      </c>
      <c r="AK143" s="2451">
        <f t="shared" ca="1" si="59"/>
        <v>30077.843533444087</v>
      </c>
      <c r="AL143" s="2451">
        <f t="shared" ca="1" si="59"/>
        <v>29784.857905804529</v>
      </c>
      <c r="AM143" s="2451">
        <f t="shared" ca="1" si="59"/>
        <v>29436.486314577669</v>
      </c>
      <c r="AN143" s="2451">
        <f t="shared" ca="1" si="59"/>
        <v>29039.528406507958</v>
      </c>
      <c r="AO143" s="2451">
        <f t="shared" ca="1" si="59"/>
        <v>28600.212922718059</v>
      </c>
      <c r="AP143" s="2451">
        <f t="shared" ca="1" si="59"/>
        <v>28124.239424153675</v>
      </c>
      <c r="AQ143" s="2451">
        <f t="shared" ca="1" si="59"/>
        <v>27616.817181048849</v>
      </c>
      <c r="AR143" s="2451">
        <f t="shared" ca="1" si="59"/>
        <v>27082.701410725753</v>
      </c>
      <c r="AS143" s="2451">
        <f t="shared" ca="1" si="59"/>
        <v>26526.227036422246</v>
      </c>
      <c r="AT143" s="2451">
        <f t="shared" ca="1" si="59"/>
        <v>25951.340128937834</v>
      </c>
      <c r="AU143" s="2451">
        <f t="shared" ca="1" si="59"/>
        <v>25361.627182657689</v>
      </c>
      <c r="AV143" s="2451">
        <f t="shared" ca="1" si="59"/>
        <v>24760.342367917314</v>
      </c>
      <c r="AW143" s="2451">
        <f t="shared" ca="1" si="59"/>
        <v>24150.432892665525</v>
      </c>
      <c r="AX143" s="2451">
        <f t="shared" ca="1" si="59"/>
        <v>23534.562597937707</v>
      </c>
      <c r="AY143" s="2451">
        <f t="shared" ca="1" si="59"/>
        <v>22915.133903729002</v>
      </c>
      <c r="AZ143" s="2451">
        <f t="shared" ca="1" si="59"/>
        <v>22294.308214426183</v>
      </c>
      <c r="BA143" s="2451">
        <f t="shared" ca="1" si="59"/>
        <v>21674.024885988434</v>
      </c>
      <c r="BB143" s="2451">
        <f t="shared" ca="1" si="59"/>
        <v>21056.018850533103</v>
      </c>
      <c r="BC143" s="2451">
        <f t="shared" ca="1" si="59"/>
        <v>20441.836987853905</v>
      </c>
      <c r="BD143" s="2451">
        <f t="shared" ca="1" si="59"/>
        <v>19832.853327654666</v>
      </c>
      <c r="BE143" s="2451">
        <f t="shared" ca="1" si="59"/>
        <v>19230.283160895076</v>
      </c>
      <c r="BF143" s="2451">
        <f t="shared" ca="1" si="59"/>
        <v>18635.196133595429</v>
      </c>
      <c r="BG143" s="2451">
        <f t="shared" ca="1" si="59"/>
        <v>18048.528391714892</v>
      </c>
      <c r="BH143" s="2451">
        <f t="shared" ca="1" si="59"/>
        <v>17471.093841280894</v>
      </c>
      <c r="BI143" s="2451">
        <f t="shared" ca="1" si="59"/>
        <v>16903.594583790749</v>
      </c>
      <c r="BJ143" s="2451">
        <f t="shared" ca="1" si="59"/>
        <v>16346.63058300951</v>
      </c>
      <c r="BK143" s="2451">
        <f t="shared" ca="1" si="59"/>
        <v>15800.708615638459</v>
      </c>
      <c r="BL143" s="2451">
        <f t="shared" ca="1" si="59"/>
        <v>15266.250554907963</v>
      </c>
      <c r="BM143" s="2451">
        <f t="shared" ca="1" si="59"/>
        <v>14743.601032943945</v>
      </c>
      <c r="BN143" s="2451">
        <f t="shared" ca="1" si="59"/>
        <v>14598.083026998926</v>
      </c>
    </row>
    <row r="144" spans="2:142">
      <c r="C144" s="2466"/>
      <c r="D144" s="2481" t="s">
        <v>3935</v>
      </c>
      <c r="E144" s="2385"/>
      <c r="F144" s="2385"/>
      <c r="G144" s="2386"/>
      <c r="H144" s="2392"/>
      <c r="I144" s="2482"/>
      <c r="J144" s="2395">
        <f>J$49</f>
        <v>0</v>
      </c>
      <c r="K144" s="2387">
        <f t="shared" ref="K144:BN144" si="60">K$49</f>
        <v>0</v>
      </c>
      <c r="L144" s="2393">
        <f t="shared" si="60"/>
        <v>0</v>
      </c>
      <c r="M144" s="2395">
        <f t="shared" si="60"/>
        <v>0</v>
      </c>
      <c r="N144" s="2387">
        <f t="shared" si="60"/>
        <v>0</v>
      </c>
      <c r="O144" s="2393">
        <f t="shared" si="60"/>
        <v>0</v>
      </c>
      <c r="P144" s="2387">
        <f t="shared" si="60"/>
        <v>0</v>
      </c>
      <c r="Q144" s="2392">
        <f t="shared" si="60"/>
        <v>0</v>
      </c>
      <c r="R144" s="2395">
        <f t="shared" si="60"/>
        <v>0</v>
      </c>
      <c r="S144" s="2387">
        <f t="shared" si="60"/>
        <v>0</v>
      </c>
      <c r="T144" s="2392">
        <f t="shared" si="60"/>
        <v>140919.04168208118</v>
      </c>
      <c r="U144" s="2394">
        <f t="shared" si="60"/>
        <v>140042.76853834913</v>
      </c>
      <c r="V144" s="2394">
        <f t="shared" si="60"/>
        <v>135731.45453272946</v>
      </c>
      <c r="W144" s="2394">
        <f t="shared" si="60"/>
        <v>130983.73877872723</v>
      </c>
      <c r="X144" s="2394">
        <f t="shared" si="60"/>
        <v>127612.99509804517</v>
      </c>
      <c r="Y144" s="2394">
        <f t="shared" si="60"/>
        <v>125758.99314428587</v>
      </c>
      <c r="Z144" s="2394">
        <f t="shared" si="60"/>
        <v>124381.83028731339</v>
      </c>
      <c r="AA144" s="2394">
        <f t="shared" si="60"/>
        <v>131828.51166169738</v>
      </c>
      <c r="AB144" s="2394">
        <f t="shared" si="60"/>
        <v>127511.03569455996</v>
      </c>
      <c r="AC144" s="2394">
        <f t="shared" si="60"/>
        <v>116904.45084481186</v>
      </c>
      <c r="AD144" s="2394">
        <f t="shared" ca="1" si="60"/>
        <v>113865.00424360942</v>
      </c>
      <c r="AE144" s="2394">
        <f t="shared" ca="1" si="60"/>
        <v>113888.6223488445</v>
      </c>
      <c r="AF144" s="2394">
        <f t="shared" ca="1" si="60"/>
        <v>114765.37875521832</v>
      </c>
      <c r="AG144" s="2394">
        <f t="shared" ca="1" si="60"/>
        <v>102982.54431794747</v>
      </c>
      <c r="AH144" s="2394">
        <f t="shared" ca="1" si="60"/>
        <v>86970.648836566776</v>
      </c>
      <c r="AI144" s="2394">
        <f t="shared" ca="1" si="60"/>
        <v>82476.927161115629</v>
      </c>
      <c r="AJ144" s="2394">
        <f t="shared" ca="1" si="60"/>
        <v>84620.711833963214</v>
      </c>
      <c r="AK144" s="2394">
        <f t="shared" ca="1" si="60"/>
        <v>86028.63491732585</v>
      </c>
      <c r="AL144" s="2394">
        <f t="shared" ca="1" si="60"/>
        <v>87515.476900404989</v>
      </c>
      <c r="AM144" s="2394">
        <f t="shared" ca="1" si="60"/>
        <v>88796.663750111911</v>
      </c>
      <c r="AN144" s="2394">
        <f t="shared" ca="1" si="60"/>
        <v>89182.392231340898</v>
      </c>
      <c r="AO144" s="2394">
        <f t="shared" ca="1" si="60"/>
        <v>88669.382739718189</v>
      </c>
      <c r="AP144" s="2394">
        <f t="shared" ca="1" si="60"/>
        <v>87114.717758796818</v>
      </c>
      <c r="AQ144" s="2394">
        <f t="shared" ca="1" si="60"/>
        <v>84878.465982909795</v>
      </c>
      <c r="AR144" s="2394">
        <f t="shared" ca="1" si="60"/>
        <v>83380.973251573494</v>
      </c>
      <c r="AS144" s="2394">
        <f t="shared" ca="1" si="60"/>
        <v>81718.461387543444</v>
      </c>
      <c r="AT144" s="2394">
        <f t="shared" ca="1" si="60"/>
        <v>79498.173580259536</v>
      </c>
      <c r="AU144" s="2394">
        <f t="shared" ca="1" si="60"/>
        <v>77907.779218070747</v>
      </c>
      <c r="AV144" s="2394">
        <f t="shared" ca="1" si="60"/>
        <v>75762.12689243599</v>
      </c>
      <c r="AW144" s="2394">
        <f t="shared" ca="1" si="60"/>
        <v>72746.946458707913</v>
      </c>
      <c r="AX144" s="2394">
        <f t="shared" ca="1" si="60"/>
        <v>70269.947353701224</v>
      </c>
      <c r="AY144" s="2394">
        <f t="shared" ca="1" si="60"/>
        <v>67047.831531652817</v>
      </c>
      <c r="AZ144" s="2394">
        <f t="shared" ca="1" si="60"/>
        <v>63045.617552546042</v>
      </c>
      <c r="BA144" s="2394">
        <f t="shared" ca="1" si="60"/>
        <v>59203.07108336431</v>
      </c>
      <c r="BB144" s="2394">
        <f t="shared" ca="1" si="60"/>
        <v>55010.026011213988</v>
      </c>
      <c r="BC144" s="2394">
        <f t="shared" ca="1" si="60"/>
        <v>54820.528284979671</v>
      </c>
      <c r="BD144" s="2394">
        <f t="shared" ca="1" si="60"/>
        <v>56023.189177871704</v>
      </c>
      <c r="BE144" s="2394">
        <f t="shared" ca="1" si="60"/>
        <v>53048.660734194607</v>
      </c>
      <c r="BF144" s="2394">
        <f t="shared" ca="1" si="60"/>
        <v>48675.178519906527</v>
      </c>
      <c r="BG144" s="2394">
        <f t="shared" ca="1" si="60"/>
        <v>45026.989599697015</v>
      </c>
      <c r="BH144" s="2394">
        <f t="shared" ca="1" si="60"/>
        <v>40630.136487764517</v>
      </c>
      <c r="BI144" s="2394">
        <f t="shared" ca="1" si="60"/>
        <v>34116.590791419614</v>
      </c>
      <c r="BJ144" s="2394">
        <f t="shared" ca="1" si="60"/>
        <v>26898.141601130625</v>
      </c>
      <c r="BK144" s="2394">
        <f t="shared" ca="1" si="60"/>
        <v>19130.124584158173</v>
      </c>
      <c r="BL144" s="2394">
        <f t="shared" ca="1" si="60"/>
        <v>10578.929995566998</v>
      </c>
      <c r="BM144" s="2394">
        <f t="shared" ca="1" si="60"/>
        <v>3012.512359865907</v>
      </c>
      <c r="BN144" s="2394">
        <f t="shared" ca="1" si="60"/>
        <v>3288.3083968555643</v>
      </c>
    </row>
    <row r="145" spans="3:66">
      <c r="C145" s="2466"/>
      <c r="D145" s="2481" t="s">
        <v>3936</v>
      </c>
      <c r="E145" s="2385"/>
      <c r="F145" s="2385"/>
      <c r="G145" s="2386"/>
      <c r="H145" s="2392"/>
      <c r="I145" s="2482"/>
      <c r="J145" s="2655">
        <f t="shared" ref="J145:BN145" si="61">J$50</f>
        <v>1.0768879415347137</v>
      </c>
      <c r="K145" s="2462">
        <f t="shared" si="61"/>
        <v>1.1096224116930571</v>
      </c>
      <c r="L145" s="2464">
        <f t="shared" si="61"/>
        <v>1.1387028014616321</v>
      </c>
      <c r="M145" s="2655">
        <f t="shared" si="61"/>
        <v>1.1624543239951277</v>
      </c>
      <c r="N145" s="2462">
        <f t="shared" si="61"/>
        <v>1.2043239951278926</v>
      </c>
      <c r="O145" s="2464">
        <f t="shared" si="61"/>
        <v>1.2542630937880632</v>
      </c>
      <c r="P145" s="2462">
        <f t="shared" si="61"/>
        <v>1.289281364190012</v>
      </c>
      <c r="Q145" s="2463">
        <f t="shared" si="61"/>
        <v>1.3284104750304506</v>
      </c>
      <c r="R145" s="2464">
        <f t="shared" si="61"/>
        <v>1.3836784409257001</v>
      </c>
      <c r="S145" s="2462">
        <f t="shared" si="61"/>
        <v>1.4034713763702802</v>
      </c>
      <c r="T145" s="2463">
        <f t="shared" si="61"/>
        <v>1.4194579780755177</v>
      </c>
      <c r="U145" s="2465">
        <f t="shared" si="61"/>
        <v>1.4313337393422654</v>
      </c>
      <c r="V145" s="2465">
        <f t="shared" si="61"/>
        <v>1.4474725943970765</v>
      </c>
      <c r="W145" s="2465">
        <f t="shared" si="61"/>
        <v>1.4668087697929353</v>
      </c>
      <c r="X145" s="2465">
        <f t="shared" si="61"/>
        <v>1.4875152253349573</v>
      </c>
      <c r="Y145" s="2465">
        <f t="shared" si="61"/>
        <v>1.5071559074299632</v>
      </c>
      <c r="Z145" s="2465">
        <f t="shared" si="61"/>
        <v>1.5182704019488427</v>
      </c>
      <c r="AA145" s="2465">
        <f t="shared" si="61"/>
        <v>1.5275578562728378</v>
      </c>
      <c r="AB145" s="2465">
        <f t="shared" si="61"/>
        <v>1.5840438489646771</v>
      </c>
      <c r="AC145" s="2465">
        <f t="shared" ca="1" si="61"/>
        <v>1.6078045066991471</v>
      </c>
      <c r="AD145" s="2465">
        <f t="shared" ca="1" si="61"/>
        <v>1.6319215742996342</v>
      </c>
      <c r="AE145" s="2465">
        <f t="shared" ca="1" si="61"/>
        <v>1.6564003979141286</v>
      </c>
      <c r="AF145" s="2465">
        <f t="shared" ca="1" si="61"/>
        <v>1.6812464038828403</v>
      </c>
      <c r="AG145" s="2465">
        <f t="shared" ca="1" si="61"/>
        <v>1.7064650999410826</v>
      </c>
      <c r="AH145" s="2465">
        <f t="shared" ca="1" si="61"/>
        <v>1.7320620764401986</v>
      </c>
      <c r="AI145" s="2465">
        <f t="shared" ca="1" si="61"/>
        <v>1.7580430075868014</v>
      </c>
      <c r="AJ145" s="2465">
        <f t="shared" ca="1" si="61"/>
        <v>1.7844136527006034</v>
      </c>
      <c r="AK145" s="2465">
        <f t="shared" ca="1" si="61"/>
        <v>1.8111798574911122</v>
      </c>
      <c r="AL145" s="2465">
        <f t="shared" ca="1" si="61"/>
        <v>1.8383475553534787</v>
      </c>
      <c r="AM145" s="2465">
        <f t="shared" ca="1" si="61"/>
        <v>1.8659227686837807</v>
      </c>
      <c r="AN145" s="2465">
        <f t="shared" ca="1" si="61"/>
        <v>1.8939116102140372</v>
      </c>
      <c r="AO145" s="2465">
        <f t="shared" ca="1" si="61"/>
        <v>1.9223202843672476</v>
      </c>
      <c r="AP145" s="2465">
        <f t="shared" ca="1" si="61"/>
        <v>1.951155088632756</v>
      </c>
      <c r="AQ145" s="2465">
        <f t="shared" ca="1" si="61"/>
        <v>1.9804224149622471</v>
      </c>
      <c r="AR145" s="2465">
        <f t="shared" ca="1" si="61"/>
        <v>2.0101287511866808</v>
      </c>
      <c r="AS145" s="2465">
        <f t="shared" ca="1" si="61"/>
        <v>2.0402806824544806</v>
      </c>
      <c r="AT145" s="2465">
        <f t="shared" ca="1" si="61"/>
        <v>2.0708848926912977</v>
      </c>
      <c r="AU145" s="2465">
        <f t="shared" ca="1" si="61"/>
        <v>2.1019481660816668</v>
      </c>
      <c r="AV145" s="2465">
        <f t="shared" ca="1" si="61"/>
        <v>2.1334773885728917</v>
      </c>
      <c r="AW145" s="2465">
        <f t="shared" ca="1" si="61"/>
        <v>2.1654795494014847</v>
      </c>
      <c r="AX145" s="2465">
        <f t="shared" ca="1" si="61"/>
        <v>2.1979617426425069</v>
      </c>
      <c r="AY145" s="2465">
        <f t="shared" ca="1" si="61"/>
        <v>2.2309311687821443</v>
      </c>
      <c r="AZ145" s="2465">
        <f t="shared" ca="1" si="61"/>
        <v>2.2643951363138761</v>
      </c>
      <c r="BA145" s="2465">
        <f t="shared" ca="1" si="61"/>
        <v>2.298361063358584</v>
      </c>
      <c r="BB145" s="2465">
        <f t="shared" ca="1" si="61"/>
        <v>2.3328364793089627</v>
      </c>
      <c r="BC145" s="2465">
        <f t="shared" ca="1" si="61"/>
        <v>2.3678290264985971</v>
      </c>
      <c r="BD145" s="2465">
        <f t="shared" ca="1" si="61"/>
        <v>2.4033464618960756</v>
      </c>
      <c r="BE145" s="2465">
        <f t="shared" ca="1" si="61"/>
        <v>2.4393966588245166</v>
      </c>
      <c r="BF145" s="2465">
        <f t="shared" ca="1" si="61"/>
        <v>2.4759876087068839</v>
      </c>
      <c r="BG145" s="2465">
        <f t="shared" ca="1" si="61"/>
        <v>2.5131274228374871</v>
      </c>
      <c r="BH145" s="2465">
        <f t="shared" ca="1" si="61"/>
        <v>2.5508243341800494</v>
      </c>
      <c r="BI145" s="2465">
        <f t="shared" ca="1" si="61"/>
        <v>2.5890866991927499</v>
      </c>
      <c r="BJ145" s="2465">
        <f t="shared" ca="1" si="61"/>
        <v>2.6279229996806408</v>
      </c>
      <c r="BK145" s="2465">
        <f t="shared" ca="1" si="61"/>
        <v>2.6673418446758501</v>
      </c>
      <c r="BL145" s="2465">
        <f t="shared" ca="1" si="61"/>
        <v>2.7073519723459878</v>
      </c>
      <c r="BM145" s="2465">
        <f t="shared" ca="1" si="61"/>
        <v>2.7479622519311775</v>
      </c>
      <c r="BN145" s="2465">
        <f t="shared" ca="1" si="61"/>
        <v>2.7891816857101448</v>
      </c>
    </row>
    <row r="146" spans="3:66">
      <c r="C146" s="2466"/>
      <c r="D146" s="2481" t="s">
        <v>3937</v>
      </c>
      <c r="E146" s="2385"/>
      <c r="F146" s="2385"/>
      <c r="G146" s="2386"/>
      <c r="H146" s="2392">
        <f>MAX(J146:T146)</f>
        <v>200028.65797838656</v>
      </c>
      <c r="I146" s="2482"/>
      <c r="J146" s="2395">
        <f t="shared" ref="J146:BN146" si="62">J144*J145</f>
        <v>0</v>
      </c>
      <c r="K146" s="2387">
        <f t="shared" si="62"/>
        <v>0</v>
      </c>
      <c r="L146" s="2393">
        <f t="shared" si="62"/>
        <v>0</v>
      </c>
      <c r="M146" s="2395">
        <f t="shared" si="62"/>
        <v>0</v>
      </c>
      <c r="N146" s="2387">
        <f t="shared" si="62"/>
        <v>0</v>
      </c>
      <c r="O146" s="2393">
        <f t="shared" si="62"/>
        <v>0</v>
      </c>
      <c r="P146" s="2387">
        <f t="shared" si="62"/>
        <v>0</v>
      </c>
      <c r="Q146" s="2392">
        <f t="shared" si="62"/>
        <v>0</v>
      </c>
      <c r="R146" s="2395">
        <f t="shared" si="62"/>
        <v>0</v>
      </c>
      <c r="S146" s="2387">
        <f t="shared" si="62"/>
        <v>0</v>
      </c>
      <c r="T146" s="2392">
        <f t="shared" si="62"/>
        <v>200028.65797838656</v>
      </c>
      <c r="U146" s="2394">
        <f t="shared" si="62"/>
        <v>200447.93955983862</v>
      </c>
      <c r="V146" s="2394">
        <f t="shared" si="62"/>
        <v>196467.56063377875</v>
      </c>
      <c r="W146" s="2394">
        <f t="shared" si="62"/>
        <v>192128.09674090409</v>
      </c>
      <c r="X146" s="2394">
        <f t="shared" si="62"/>
        <v>189826.27315893746</v>
      </c>
      <c r="Y146" s="2394">
        <f t="shared" si="62"/>
        <v>189538.40942985468</v>
      </c>
      <c r="Z146" s="2394">
        <f t="shared" si="62"/>
        <v>188845.25146545205</v>
      </c>
      <c r="AA146" s="2394">
        <f t="shared" si="62"/>
        <v>201375.67866958125</v>
      </c>
      <c r="AB146" s="2394">
        <f t="shared" si="62"/>
        <v>201983.07176708308</v>
      </c>
      <c r="AC146" s="2394">
        <f t="shared" ca="1" si="62"/>
        <v>187959.50292147743</v>
      </c>
      <c r="AD146" s="2394">
        <f t="shared" ca="1" si="62"/>
        <v>185818.75698286563</v>
      </c>
      <c r="AE146" s="2394">
        <f t="shared" ca="1" si="62"/>
        <v>188645.15937651796</v>
      </c>
      <c r="AF146" s="2394">
        <f t="shared" ca="1" si="62"/>
        <v>192948.88032246291</v>
      </c>
      <c r="AG146" s="2394">
        <f t="shared" ca="1" si="62"/>
        <v>175736.1177817132</v>
      </c>
      <c r="AH146" s="2394">
        <f t="shared" ca="1" si="62"/>
        <v>150638.56261321518</v>
      </c>
      <c r="AI146" s="2394">
        <f t="shared" ca="1" si="62"/>
        <v>144997.98508284526</v>
      </c>
      <c r="AJ146" s="2394">
        <f t="shared" ca="1" si="62"/>
        <v>150998.35349776747</v>
      </c>
      <c r="AK146" s="2394">
        <f t="shared" ca="1" si="62"/>
        <v>155813.33072971716</v>
      </c>
      <c r="AL146" s="2394">
        <f t="shared" ca="1" si="62"/>
        <v>160883.86301545336</v>
      </c>
      <c r="AM146" s="2394">
        <f t="shared" ca="1" si="62"/>
        <v>165687.71667449153</v>
      </c>
      <c r="AN146" s="2394">
        <f t="shared" ca="1" si="62"/>
        <v>168903.5680735987</v>
      </c>
      <c r="AO146" s="2394">
        <f t="shared" ca="1" si="62"/>
        <v>170450.95304288337</v>
      </c>
      <c r="AP146" s="2394">
        <f t="shared" ca="1" si="62"/>
        <v>169974.32484988272</v>
      </c>
      <c r="AQ146" s="2394">
        <f t="shared" ca="1" si="62"/>
        <v>168095.21658016517</v>
      </c>
      <c r="AR146" s="2394">
        <f t="shared" ca="1" si="62"/>
        <v>167606.49163491547</v>
      </c>
      <c r="AS146" s="2394">
        <f t="shared" ca="1" si="62"/>
        <v>166728.59816890725</v>
      </c>
      <c r="AT146" s="2394">
        <f t="shared" ca="1" si="62"/>
        <v>164631.56666390994</v>
      </c>
      <c r="AU146" s="2394">
        <f t="shared" ca="1" si="62"/>
        <v>163758.1136509192</v>
      </c>
      <c r="AV146" s="2394">
        <f t="shared" ca="1" si="62"/>
        <v>161636.78463520238</v>
      </c>
      <c r="AW146" s="2394">
        <f t="shared" ca="1" si="62"/>
        <v>157532.02483773674</v>
      </c>
      <c r="AX146" s="2394">
        <f t="shared" ca="1" si="62"/>
        <v>154450.65594093836</v>
      </c>
      <c r="AY146" s="2394">
        <f t="shared" ca="1" si="62"/>
        <v>149579.09716321851</v>
      </c>
      <c r="AZ146" s="2394">
        <f t="shared" ca="1" si="62"/>
        <v>142760.18975188999</v>
      </c>
      <c r="BA146" s="2394">
        <f t="shared" ca="1" si="62"/>
        <v>136070.03340925503</v>
      </c>
      <c r="BB146" s="2394">
        <f t="shared" ca="1" si="62"/>
        <v>128329.39540669489</v>
      </c>
      <c r="BC146" s="2394">
        <f t="shared" ca="1" si="62"/>
        <v>129805.63812116222</v>
      </c>
      <c r="BD146" s="2394">
        <f t="shared" ca="1" si="62"/>
        <v>134643.13349477248</v>
      </c>
      <c r="BE146" s="2394">
        <f t="shared" ca="1" si="62"/>
        <v>129406.72575010966</v>
      </c>
      <c r="BF146" s="2394">
        <f t="shared" ca="1" si="62"/>
        <v>120519.13886688405</v>
      </c>
      <c r="BG146" s="2394">
        <f t="shared" ca="1" si="62"/>
        <v>113158.5623308169</v>
      </c>
      <c r="BH146" s="2394">
        <f t="shared" ca="1" si="62"/>
        <v>103640.34085404646</v>
      </c>
      <c r="BI146" s="2394">
        <f t="shared" ca="1" si="62"/>
        <v>88330.811439866375</v>
      </c>
      <c r="BJ146" s="2394">
        <f t="shared" ca="1" si="62"/>
        <v>70686.244962277822</v>
      </c>
      <c r="BK146" s="2394">
        <f t="shared" ca="1" si="62"/>
        <v>51026.581797187289</v>
      </c>
      <c r="BL146" s="2394">
        <f t="shared" ca="1" si="62"/>
        <v>28640.886988808445</v>
      </c>
      <c r="BM146" s="2394">
        <f t="shared" ca="1" si="62"/>
        <v>8278.2702483876237</v>
      </c>
      <c r="BN146" s="2394">
        <f t="shared" ca="1" si="62"/>
        <v>9171.6895574764258</v>
      </c>
    </row>
    <row r="147" spans="3:66">
      <c r="C147" s="2466"/>
      <c r="D147" s="2481" t="s">
        <v>3938</v>
      </c>
      <c r="E147" s="2385"/>
      <c r="F147" s="2385"/>
      <c r="G147" s="2386"/>
      <c r="H147" s="2488">
        <f>MAX(J147:BN147)</f>
        <v>0.98991780821917807</v>
      </c>
      <c r="I147" s="2656"/>
      <c r="J147" s="2485">
        <f t="shared" ref="J147:BN147" si="63">(1-J142)*(J$3&gt;0)</f>
        <v>0</v>
      </c>
      <c r="K147" s="2486">
        <f t="shared" si="63"/>
        <v>0</v>
      </c>
      <c r="L147" s="2487">
        <f t="shared" si="63"/>
        <v>0</v>
      </c>
      <c r="M147" s="2485">
        <f t="shared" si="63"/>
        <v>0</v>
      </c>
      <c r="N147" s="2486">
        <f t="shared" si="63"/>
        <v>0</v>
      </c>
      <c r="O147" s="2487">
        <f t="shared" si="63"/>
        <v>0</v>
      </c>
      <c r="P147" s="2486">
        <f t="shared" si="63"/>
        <v>0.98991780821917807</v>
      </c>
      <c r="Q147" s="2488">
        <f t="shared" si="63"/>
        <v>0.96991780821917806</v>
      </c>
      <c r="R147" s="2485">
        <f t="shared" si="63"/>
        <v>0.94991780821917804</v>
      </c>
      <c r="S147" s="2486">
        <f t="shared" si="63"/>
        <v>0.92991780821917813</v>
      </c>
      <c r="T147" s="2488">
        <f t="shared" si="63"/>
        <v>0.90991780821917811</v>
      </c>
      <c r="U147" s="2489">
        <f t="shared" si="63"/>
        <v>0.8899178082191781</v>
      </c>
      <c r="V147" s="2489">
        <f t="shared" si="63"/>
        <v>0.86991780821917808</v>
      </c>
      <c r="W147" s="2489">
        <f t="shared" si="63"/>
        <v>0.84991780821917806</v>
      </c>
      <c r="X147" s="2489">
        <f t="shared" si="63"/>
        <v>0.82991780821917804</v>
      </c>
      <c r="Y147" s="2489">
        <f t="shared" si="63"/>
        <v>0.80991780821917803</v>
      </c>
      <c r="Z147" s="2489">
        <f t="shared" si="63"/>
        <v>0.78991780821917801</v>
      </c>
      <c r="AA147" s="2489">
        <f t="shared" si="63"/>
        <v>0.7699178082191781</v>
      </c>
      <c r="AB147" s="2489">
        <f t="shared" si="63"/>
        <v>0.74991780821917808</v>
      </c>
      <c r="AC147" s="2489">
        <f t="shared" si="63"/>
        <v>0.72991780821917807</v>
      </c>
      <c r="AD147" s="2489">
        <f t="shared" si="63"/>
        <v>0.70991780821917805</v>
      </c>
      <c r="AE147" s="2489">
        <f t="shared" si="63"/>
        <v>0.68991780821917814</v>
      </c>
      <c r="AF147" s="2489">
        <f t="shared" si="63"/>
        <v>0.66991780821917812</v>
      </c>
      <c r="AG147" s="2489">
        <f t="shared" si="63"/>
        <v>0.64991780821917811</v>
      </c>
      <c r="AH147" s="2489">
        <f t="shared" si="63"/>
        <v>0.62991780821917809</v>
      </c>
      <c r="AI147" s="2489">
        <f t="shared" si="63"/>
        <v>0.60991780821917807</v>
      </c>
      <c r="AJ147" s="2489">
        <f t="shared" si="63"/>
        <v>0.58991780821917805</v>
      </c>
      <c r="AK147" s="2489">
        <f t="shared" si="63"/>
        <v>0.56991780821917803</v>
      </c>
      <c r="AL147" s="2489">
        <f t="shared" si="63"/>
        <v>0.54991780821917802</v>
      </c>
      <c r="AM147" s="2489">
        <f t="shared" si="63"/>
        <v>0.529917808219178</v>
      </c>
      <c r="AN147" s="2489">
        <f t="shared" si="63"/>
        <v>0.50991780821917809</v>
      </c>
      <c r="AO147" s="2489">
        <f t="shared" si="63"/>
        <v>0.48991780821917807</v>
      </c>
      <c r="AP147" s="2489">
        <f t="shared" si="63"/>
        <v>0.46991780821917806</v>
      </c>
      <c r="AQ147" s="2489">
        <f t="shared" si="63"/>
        <v>0.44991780821917804</v>
      </c>
      <c r="AR147" s="2489">
        <f t="shared" si="63"/>
        <v>0.42991780821917802</v>
      </c>
      <c r="AS147" s="2489">
        <f t="shared" si="63"/>
        <v>0.40991780821917811</v>
      </c>
      <c r="AT147" s="2489">
        <f t="shared" si="63"/>
        <v>0.3899178082191781</v>
      </c>
      <c r="AU147" s="2489">
        <f t="shared" si="63"/>
        <v>0.36991780821917808</v>
      </c>
      <c r="AV147" s="2489">
        <f t="shared" si="63"/>
        <v>0.34991780821917817</v>
      </c>
      <c r="AW147" s="2489">
        <f t="shared" si="63"/>
        <v>0.32991780821917815</v>
      </c>
      <c r="AX147" s="2489">
        <f t="shared" si="63"/>
        <v>0.30991780821917814</v>
      </c>
      <c r="AY147" s="2489">
        <f t="shared" si="63"/>
        <v>0.28991780821917812</v>
      </c>
      <c r="AZ147" s="2489">
        <f t="shared" si="63"/>
        <v>0.2699178082191781</v>
      </c>
      <c r="BA147" s="2489">
        <f t="shared" si="63"/>
        <v>0.24991780821917819</v>
      </c>
      <c r="BB147" s="2489">
        <f t="shared" si="63"/>
        <v>0.22991780821917818</v>
      </c>
      <c r="BC147" s="2489">
        <f t="shared" si="63"/>
        <v>0.20991780821917816</v>
      </c>
      <c r="BD147" s="2489">
        <f t="shared" si="63"/>
        <v>0.18991780821917814</v>
      </c>
      <c r="BE147" s="2489">
        <f t="shared" si="63"/>
        <v>0.16991780821917812</v>
      </c>
      <c r="BF147" s="2489">
        <f t="shared" si="63"/>
        <v>0.14991780821917811</v>
      </c>
      <c r="BG147" s="2489">
        <f t="shared" si="63"/>
        <v>0.12991780821917809</v>
      </c>
      <c r="BH147" s="2489">
        <f t="shared" si="63"/>
        <v>0.10991780821917818</v>
      </c>
      <c r="BI147" s="2489">
        <f t="shared" si="63"/>
        <v>8.9917808219178164E-2</v>
      </c>
      <c r="BJ147" s="2489">
        <f t="shared" si="63"/>
        <v>6.9917808219178146E-2</v>
      </c>
      <c r="BK147" s="2489">
        <f t="shared" si="63"/>
        <v>4.9917808219178128E-2</v>
      </c>
      <c r="BL147" s="2489">
        <f t="shared" si="63"/>
        <v>2.991780821917811E-2</v>
      </c>
      <c r="BM147" s="2489">
        <f t="shared" si="63"/>
        <v>9.9178082191780925E-3</v>
      </c>
      <c r="BN147" s="2489">
        <f t="shared" si="63"/>
        <v>0</v>
      </c>
    </row>
    <row r="148" spans="3:66">
      <c r="C148" s="2466"/>
      <c r="D148" s="2490" t="s">
        <v>3939</v>
      </c>
      <c r="E148" s="2385"/>
      <c r="F148" s="2385"/>
      <c r="G148" s="2386"/>
      <c r="H148" s="2392">
        <f>MAX(J148:T148)</f>
        <v>182009.63804871711</v>
      </c>
      <c r="I148" s="2482"/>
      <c r="J148" s="2395">
        <f t="shared" ref="J148:BN148" si="64">J146*J147</f>
        <v>0</v>
      </c>
      <c r="K148" s="2387">
        <f t="shared" si="64"/>
        <v>0</v>
      </c>
      <c r="L148" s="2393">
        <f t="shared" si="64"/>
        <v>0</v>
      </c>
      <c r="M148" s="2395">
        <f t="shared" si="64"/>
        <v>0</v>
      </c>
      <c r="N148" s="2387">
        <f t="shared" si="64"/>
        <v>0</v>
      </c>
      <c r="O148" s="2393">
        <f t="shared" si="64"/>
        <v>0</v>
      </c>
      <c r="P148" s="2387">
        <f t="shared" si="64"/>
        <v>0</v>
      </c>
      <c r="Q148" s="2392">
        <f t="shared" si="64"/>
        <v>0</v>
      </c>
      <c r="R148" s="2395">
        <f t="shared" si="64"/>
        <v>0</v>
      </c>
      <c r="S148" s="2387">
        <f t="shared" si="64"/>
        <v>0</v>
      </c>
      <c r="T148" s="2392">
        <f t="shared" si="64"/>
        <v>182009.63804871711</v>
      </c>
      <c r="U148" s="2394">
        <f t="shared" si="64"/>
        <v>178382.19103514188</v>
      </c>
      <c r="V148" s="2394">
        <f t="shared" si="64"/>
        <v>170910.62973270527</v>
      </c>
      <c r="W148" s="2394">
        <f t="shared" si="64"/>
        <v>163293.09087935142</v>
      </c>
      <c r="X148" s="2394">
        <f t="shared" si="64"/>
        <v>157540.20456248036</v>
      </c>
      <c r="Y148" s="2394">
        <f t="shared" si="64"/>
        <v>153510.5331387771</v>
      </c>
      <c r="Z148" s="2394">
        <f t="shared" si="64"/>
        <v>149172.22713018939</v>
      </c>
      <c r="AA148" s="2394">
        <f t="shared" si="64"/>
        <v>155042.7211499335</v>
      </c>
      <c r="AB148" s="2394">
        <f t="shared" si="64"/>
        <v>151470.70247694789</v>
      </c>
      <c r="AC148" s="2394">
        <f t="shared" ca="1" si="64"/>
        <v>137194.98840641099</v>
      </c>
      <c r="AD148" s="2394">
        <f t="shared" ca="1" si="64"/>
        <v>131916.04468328806</v>
      </c>
      <c r="AE148" s="2394">
        <f t="shared" ca="1" si="64"/>
        <v>130149.65488820481</v>
      </c>
      <c r="AF148" s="2394">
        <f t="shared" ca="1" si="64"/>
        <v>129259.89100396886</v>
      </c>
      <c r="AG148" s="2394">
        <f t="shared" ca="1" si="64"/>
        <v>114214.03249363837</v>
      </c>
      <c r="AH148" s="2394">
        <f t="shared" ca="1" si="64"/>
        <v>94889.913194603927</v>
      </c>
      <c r="AI148" s="2394">
        <f t="shared" ca="1" si="64"/>
        <v>88436.853257926065</v>
      </c>
      <c r="AJ148" s="2394">
        <f t="shared" ca="1" si="64"/>
        <v>89076.617740107642</v>
      </c>
      <c r="AK148" s="2394">
        <f t="shared" ca="1" si="64"/>
        <v>88800.791940810304</v>
      </c>
      <c r="AL148" s="2394">
        <f t="shared" ca="1" si="64"/>
        <v>88472.901327292595</v>
      </c>
      <c r="AM148" s="2394">
        <f t="shared" ca="1" si="64"/>
        <v>87800.8716689867</v>
      </c>
      <c r="AN148" s="2394">
        <f t="shared" ca="1" si="64"/>
        <v>86126.937232488199</v>
      </c>
      <c r="AO148" s="2394">
        <f t="shared" ca="1" si="64"/>
        <v>83506.957323639464</v>
      </c>
      <c r="AP148" s="2394">
        <f t="shared" ca="1" si="64"/>
        <v>79873.962186991455</v>
      </c>
      <c r="AQ148" s="2394">
        <f t="shared" ca="1" si="64"/>
        <v>75629.031415875957</v>
      </c>
      <c r="AR148" s="2394">
        <f t="shared" ca="1" si="64"/>
        <v>72057.015526988849</v>
      </c>
      <c r="AS148" s="2394">
        <f t="shared" ca="1" si="64"/>
        <v>68345.02152885453</v>
      </c>
      <c r="AT148" s="2394">
        <f t="shared" ca="1" si="64"/>
        <v>64192.779637281266</v>
      </c>
      <c r="AU148" s="2394">
        <f t="shared" ca="1" si="64"/>
        <v>60577.042479855096</v>
      </c>
      <c r="AV148" s="2394">
        <f t="shared" ca="1" si="64"/>
        <v>56559.589407145351</v>
      </c>
      <c r="AW148" s="2394">
        <f t="shared" ca="1" si="64"/>
        <v>51972.62035879524</v>
      </c>
      <c r="AX148" s="2394">
        <f t="shared" ca="1" si="64"/>
        <v>47867.00876723</v>
      </c>
      <c r="AY148" s="2394">
        <f t="shared" ca="1" si="64"/>
        <v>43365.644004963797</v>
      </c>
      <c r="AZ148" s="2394">
        <f t="shared" ca="1" si="64"/>
        <v>38533.517518784116</v>
      </c>
      <c r="BA148" s="2394">
        <f t="shared" ca="1" si="64"/>
        <v>34006.324513951367</v>
      </c>
      <c r="BB148" s="2394">
        <f t="shared" ca="1" si="64"/>
        <v>29505.213321999563</v>
      </c>
      <c r="BC148" s="2394">
        <f t="shared" ca="1" si="64"/>
        <v>27248.515048886173</v>
      </c>
      <c r="BD148" s="2394">
        <f t="shared" ca="1" si="64"/>
        <v>25571.1288050894</v>
      </c>
      <c r="BE148" s="2394">
        <f t="shared" ca="1" si="64"/>
        <v>21988.507208278912</v>
      </c>
      <c r="BF148" s="2394">
        <f t="shared" ca="1" si="64"/>
        <v>18067.965147386018</v>
      </c>
      <c r="BG148" s="2394">
        <f t="shared" ca="1" si="64"/>
        <v>14701.31239925298</v>
      </c>
      <c r="BH148" s="2394">
        <f t="shared" ca="1" si="64"/>
        <v>11391.919109765337</v>
      </c>
      <c r="BI148" s="2394">
        <f t="shared" ca="1" si="64"/>
        <v>7942.5129628942932</v>
      </c>
      <c r="BJ148" s="2394">
        <f t="shared" ca="1" si="64"/>
        <v>4942.2273190063879</v>
      </c>
      <c r="BK148" s="2394">
        <f t="shared" ca="1" si="64"/>
        <v>2547.1351242322007</v>
      </c>
      <c r="BL148" s="2394">
        <f t="shared" ca="1" si="64"/>
        <v>856.87256415832474</v>
      </c>
      <c r="BM148" s="2394">
        <f t="shared" ca="1" si="64"/>
        <v>82.102296710036242</v>
      </c>
      <c r="BN148" s="2394">
        <f t="shared" ca="1" si="64"/>
        <v>0</v>
      </c>
    </row>
    <row r="149" spans="3:66">
      <c r="C149" s="2466"/>
      <c r="D149" s="2476" t="s">
        <v>3940</v>
      </c>
      <c r="E149" s="2356"/>
      <c r="F149" s="2356"/>
      <c r="G149" s="2446"/>
      <c r="H149" s="2477"/>
      <c r="I149" s="2358"/>
      <c r="J149" s="2478">
        <f t="shared" ref="J149:BN149" si="65">SUM(J143,J148)</f>
        <v>0</v>
      </c>
      <c r="K149" s="2357">
        <f t="shared" si="65"/>
        <v>0</v>
      </c>
      <c r="L149" s="2479">
        <f t="shared" si="65"/>
        <v>0</v>
      </c>
      <c r="M149" s="2478">
        <f t="shared" si="65"/>
        <v>0</v>
      </c>
      <c r="N149" s="2357">
        <f t="shared" si="65"/>
        <v>0</v>
      </c>
      <c r="O149" s="2479">
        <f t="shared" si="65"/>
        <v>0</v>
      </c>
      <c r="P149" s="2357">
        <f t="shared" si="65"/>
        <v>2188.9981186157038</v>
      </c>
      <c r="Q149" s="2477">
        <f t="shared" si="65"/>
        <v>6273.7458458461406</v>
      </c>
      <c r="R149" s="2478">
        <f t="shared" si="65"/>
        <v>10142.524845386406</v>
      </c>
      <c r="S149" s="2357">
        <f t="shared" si="65"/>
        <v>13420.887610453225</v>
      </c>
      <c r="T149" s="2477">
        <f t="shared" si="65"/>
        <v>198275.38133401651</v>
      </c>
      <c r="U149" s="2480">
        <f t="shared" si="65"/>
        <v>197068.03985658259</v>
      </c>
      <c r="V149" s="2480">
        <f t="shared" si="65"/>
        <v>191727.98121967001</v>
      </c>
      <c r="W149" s="2480">
        <f t="shared" si="65"/>
        <v>185983.50205404137</v>
      </c>
      <c r="X149" s="2480">
        <f t="shared" si="65"/>
        <v>181851.18047408541</v>
      </c>
      <c r="Y149" s="2480">
        <f t="shared" si="65"/>
        <v>179174.52245979471</v>
      </c>
      <c r="Z149" s="2480">
        <f t="shared" si="65"/>
        <v>175810.45595720696</v>
      </c>
      <c r="AA149" s="2480">
        <f t="shared" si="65"/>
        <v>182407.38255963201</v>
      </c>
      <c r="AB149" s="2480">
        <f t="shared" si="65"/>
        <v>180224.9360580795</v>
      </c>
      <c r="AC149" s="2480">
        <f t="shared" ca="1" si="65"/>
        <v>166579.8362396514</v>
      </c>
      <c r="AD149" s="2480">
        <f t="shared" ca="1" si="65"/>
        <v>161780.6673746602</v>
      </c>
      <c r="AE149" s="2480">
        <f t="shared" ca="1" si="65"/>
        <v>160357.60508243763</v>
      </c>
      <c r="AF149" s="2480">
        <f t="shared" ca="1" si="65"/>
        <v>159688.00209529052</v>
      </c>
      <c r="AG149" s="2480">
        <f t="shared" ca="1" si="65"/>
        <v>144751.38521687011</v>
      </c>
      <c r="AH149" s="2480">
        <f t="shared" ca="1" si="65"/>
        <v>125436.8749352102</v>
      </c>
      <c r="AI149" s="2480">
        <f t="shared" ca="1" si="65"/>
        <v>118904.1852495082</v>
      </c>
      <c r="AJ149" s="2480">
        <f t="shared" ca="1" si="65"/>
        <v>119384.64562711699</v>
      </c>
      <c r="AK149" s="2480">
        <f t="shared" ca="1" si="65"/>
        <v>118878.63547425439</v>
      </c>
      <c r="AL149" s="2480">
        <f t="shared" ca="1" si="65"/>
        <v>118257.75923309712</v>
      </c>
      <c r="AM149" s="2480">
        <f t="shared" ca="1" si="65"/>
        <v>117237.35798356438</v>
      </c>
      <c r="AN149" s="2480">
        <f t="shared" ca="1" si="65"/>
        <v>115166.46563899616</v>
      </c>
      <c r="AO149" s="2480">
        <f t="shared" ca="1" si="65"/>
        <v>112107.17024635752</v>
      </c>
      <c r="AP149" s="2480">
        <f t="shared" ca="1" si="65"/>
        <v>107998.20161114514</v>
      </c>
      <c r="AQ149" s="2480">
        <f t="shared" ca="1" si="65"/>
        <v>103245.8485969248</v>
      </c>
      <c r="AR149" s="2480">
        <f t="shared" ca="1" si="65"/>
        <v>99139.716937714606</v>
      </c>
      <c r="AS149" s="2480">
        <f t="shared" ca="1" si="65"/>
        <v>94871.248565276779</v>
      </c>
      <c r="AT149" s="2480">
        <f t="shared" ca="1" si="65"/>
        <v>90144.119766219097</v>
      </c>
      <c r="AU149" s="2480">
        <f t="shared" ca="1" si="65"/>
        <v>85938.669662512781</v>
      </c>
      <c r="AV149" s="2480">
        <f t="shared" ca="1" si="65"/>
        <v>81319.931775062665</v>
      </c>
      <c r="AW149" s="2480">
        <f t="shared" ca="1" si="65"/>
        <v>76123.053251460762</v>
      </c>
      <c r="AX149" s="2480">
        <f t="shared" ca="1" si="65"/>
        <v>71401.571365167707</v>
      </c>
      <c r="AY149" s="2480">
        <f t="shared" ca="1" si="65"/>
        <v>66280.777908692806</v>
      </c>
      <c r="AZ149" s="2480">
        <f t="shared" ca="1" si="65"/>
        <v>60827.825733210295</v>
      </c>
      <c r="BA149" s="2480">
        <f t="shared" ca="1" si="65"/>
        <v>55680.349399939805</v>
      </c>
      <c r="BB149" s="2480">
        <f t="shared" ca="1" si="65"/>
        <v>50561.232172532662</v>
      </c>
      <c r="BC149" s="2480">
        <f t="shared" ca="1" si="65"/>
        <v>47690.352036740078</v>
      </c>
      <c r="BD149" s="2480">
        <f t="shared" ca="1" si="65"/>
        <v>45403.982132744066</v>
      </c>
      <c r="BE149" s="2480">
        <f t="shared" ca="1" si="65"/>
        <v>41218.790369173992</v>
      </c>
      <c r="BF149" s="2480">
        <f t="shared" ca="1" si="65"/>
        <v>36703.161280981447</v>
      </c>
      <c r="BG149" s="2480">
        <f t="shared" ca="1" si="65"/>
        <v>32749.840790967872</v>
      </c>
      <c r="BH149" s="2480">
        <f t="shared" ca="1" si="65"/>
        <v>28863.012951046228</v>
      </c>
      <c r="BI149" s="2480">
        <f t="shared" ca="1" si="65"/>
        <v>24846.107546685042</v>
      </c>
      <c r="BJ149" s="2480">
        <f t="shared" ca="1" si="65"/>
        <v>21288.857902015898</v>
      </c>
      <c r="BK149" s="2480">
        <f t="shared" ca="1" si="65"/>
        <v>18347.843739870659</v>
      </c>
      <c r="BL149" s="2480">
        <f t="shared" ca="1" si="65"/>
        <v>16123.123119066287</v>
      </c>
      <c r="BM149" s="2480">
        <f t="shared" ca="1" si="65"/>
        <v>14825.703329653981</v>
      </c>
      <c r="BN149" s="2480">
        <f t="shared" ca="1" si="65"/>
        <v>14598.083026998926</v>
      </c>
    </row>
    <row r="150" spans="3:66">
      <c r="C150" s="2466"/>
      <c r="D150" s="2476" t="s">
        <v>3941</v>
      </c>
      <c r="E150" s="2356"/>
      <c r="F150" s="2356"/>
      <c r="G150" s="2446"/>
      <c r="H150" s="2477"/>
      <c r="I150" s="2358"/>
      <c r="J150" s="2478">
        <f t="shared" ref="J150:BN150" si="66">J141</f>
        <v>0</v>
      </c>
      <c r="K150" s="2357">
        <f t="shared" si="66"/>
        <v>0</v>
      </c>
      <c r="L150" s="2479">
        <f t="shared" si="66"/>
        <v>0</v>
      </c>
      <c r="M150" s="2478">
        <f t="shared" si="66"/>
        <v>0</v>
      </c>
      <c r="N150" s="2357">
        <f t="shared" si="66"/>
        <v>0</v>
      </c>
      <c r="O150" s="2479">
        <f t="shared" si="66"/>
        <v>0</v>
      </c>
      <c r="P150" s="2357">
        <f t="shared" si="66"/>
        <v>217115.30252574236</v>
      </c>
      <c r="Q150" s="2477">
        <f t="shared" si="66"/>
        <v>208553.48212512213</v>
      </c>
      <c r="R150" s="2478">
        <f t="shared" si="66"/>
        <v>202517.59127822967</v>
      </c>
      <c r="S150" s="2357">
        <f t="shared" si="66"/>
        <v>191502.11015697525</v>
      </c>
      <c r="T150" s="2477">
        <f t="shared" si="66"/>
        <v>180565.58087391351</v>
      </c>
      <c r="U150" s="2480">
        <f t="shared" si="66"/>
        <v>169744.52015494919</v>
      </c>
      <c r="V150" s="2480">
        <f t="shared" si="66"/>
        <v>160032.2934444425</v>
      </c>
      <c r="W150" s="2480">
        <f t="shared" si="66"/>
        <v>151186.56587736096</v>
      </c>
      <c r="X150" s="2480">
        <f t="shared" si="66"/>
        <v>142936.6335008996</v>
      </c>
      <c r="Y150" s="2480">
        <f t="shared" si="66"/>
        <v>135015.221997282</v>
      </c>
      <c r="Z150" s="2480">
        <f t="shared" si="66"/>
        <v>126799.08087977848</v>
      </c>
      <c r="AA150" s="2480">
        <f t="shared" si="66"/>
        <v>118934.28690807284</v>
      </c>
      <c r="AB150" s="2480">
        <f t="shared" si="66"/>
        <v>114979.13296574324</v>
      </c>
      <c r="AC150" s="2480">
        <f t="shared" ca="1" si="66"/>
        <v>108799.64961587287</v>
      </c>
      <c r="AD150" s="2480">
        <f t="shared" ca="1" si="66"/>
        <v>102952.27882839853</v>
      </c>
      <c r="AE150" s="2480">
        <f t="shared" ca="1" si="66"/>
        <v>97419.171416283643</v>
      </c>
      <c r="AF150" s="2480">
        <f t="shared" ca="1" si="66"/>
        <v>92183.437486158684</v>
      </c>
      <c r="AG150" s="2480">
        <f t="shared" ca="1" si="66"/>
        <v>87229.09488166841</v>
      </c>
      <c r="AH150" s="2480">
        <f t="shared" ca="1" si="66"/>
        <v>82541.020397699816</v>
      </c>
      <c r="AI150" s="2480">
        <f t="shared" ca="1" si="66"/>
        <v>78104.903616571697</v>
      </c>
      <c r="AJ150" s="2480">
        <f t="shared" ca="1" si="66"/>
        <v>73907.203225269972</v>
      </c>
      <c r="AK150" s="2480">
        <f t="shared" ca="1" si="66"/>
        <v>69935.105680386623</v>
      </c>
      <c r="AL150" s="2480">
        <f t="shared" ca="1" si="66"/>
        <v>66176.486094586391</v>
      </c>
      <c r="AM150" s="2480">
        <f t="shared" ca="1" si="66"/>
        <v>62619.871225206014</v>
      </c>
      <c r="AN150" s="2480">
        <f t="shared" ca="1" si="66"/>
        <v>59254.404452009192</v>
      </c>
      <c r="AO150" s="2480">
        <f t="shared" ca="1" si="66"/>
        <v>56069.812637190305</v>
      </c>
      <c r="AP150" s="2480">
        <f t="shared" ca="1" si="66"/>
        <v>53056.374766467285</v>
      </c>
      <c r="AQ150" s="2480">
        <f t="shared" ca="1" si="66"/>
        <v>50204.89227553954</v>
      </c>
      <c r="AR150" s="2480">
        <f t="shared" ca="1" si="66"/>
        <v>47506.660971332654</v>
      </c>
      <c r="AS150" s="2480">
        <f t="shared" ca="1" si="66"/>
        <v>44953.444462318323</v>
      </c>
      <c r="AT150" s="2480">
        <f t="shared" ca="1" si="66"/>
        <v>42537.449016805775</v>
      </c>
      <c r="AU150" s="2480">
        <f t="shared" ca="1" si="66"/>
        <v>40251.299772458719</v>
      </c>
      <c r="AV150" s="2480">
        <f t="shared" ca="1" si="66"/>
        <v>38088.018224417654</v>
      </c>
      <c r="AW150" s="2480">
        <f t="shared" ca="1" si="66"/>
        <v>36041.00092330901</v>
      </c>
      <c r="AX150" s="2480">
        <f t="shared" ca="1" si="66"/>
        <v>34103.999318116817</v>
      </c>
      <c r="AY150" s="2480">
        <f t="shared" ca="1" si="66"/>
        <v>32271.100682387088</v>
      </c>
      <c r="AZ150" s="2480">
        <f t="shared" ca="1" si="66"/>
        <v>30536.71006554172</v>
      </c>
      <c r="BA150" s="2480">
        <f t="shared" ca="1" si="66"/>
        <v>28895.533214207684</v>
      </c>
      <c r="BB150" s="2480">
        <f t="shared" ca="1" si="66"/>
        <v>27342.560411429429</v>
      </c>
      <c r="BC150" s="2480">
        <f t="shared" ca="1" si="66"/>
        <v>25873.05118443261</v>
      </c>
      <c r="BD150" s="2480">
        <f t="shared" ca="1" si="66"/>
        <v>24482.519834259856</v>
      </c>
      <c r="BE150" s="2480">
        <f t="shared" ca="1" si="66"/>
        <v>23166.721743107479</v>
      </c>
      <c r="BF150" s="2480">
        <f t="shared" ca="1" si="66"/>
        <v>21921.64041756585</v>
      </c>
      <c r="BG150" s="2480">
        <f t="shared" ca="1" si="66"/>
        <v>20743.475228213159</v>
      </c>
      <c r="BH150" s="2480">
        <f t="shared" ca="1" si="66"/>
        <v>19628.629808136935</v>
      </c>
      <c r="BI150" s="2480">
        <f t="shared" ca="1" si="66"/>
        <v>18573.701074970268</v>
      </c>
      <c r="BJ150" s="2480">
        <f t="shared" ca="1" si="66"/>
        <v>17575.468842931754</v>
      </c>
      <c r="BK150" s="2480">
        <f t="shared" ca="1" si="66"/>
        <v>16630.885993160038</v>
      </c>
      <c r="BL150" s="2480">
        <f t="shared" ca="1" si="66"/>
        <v>15737.06917233791</v>
      </c>
      <c r="BM150" s="2480">
        <f t="shared" ca="1" si="66"/>
        <v>14891.289991212961</v>
      </c>
      <c r="BN150" s="2480">
        <f t="shared" ca="1" si="66"/>
        <v>14598.083026998926</v>
      </c>
    </row>
    <row r="151" spans="3:66">
      <c r="C151" s="2491"/>
      <c r="D151" s="2492" t="s">
        <v>3942</v>
      </c>
      <c r="E151" s="2424"/>
      <c r="F151" s="2424"/>
      <c r="G151" s="2493"/>
      <c r="H151" s="2494"/>
      <c r="I151" s="2358"/>
      <c r="J151" s="2495">
        <f t="shared" ref="J151:X152" si="67">MAX(J149,J150)</f>
        <v>0</v>
      </c>
      <c r="K151" s="2496">
        <f t="shared" si="67"/>
        <v>0</v>
      </c>
      <c r="L151" s="2497">
        <f t="shared" si="67"/>
        <v>0</v>
      </c>
      <c r="M151" s="2495">
        <f t="shared" si="67"/>
        <v>0</v>
      </c>
      <c r="N151" s="2496">
        <f t="shared" si="67"/>
        <v>0</v>
      </c>
      <c r="O151" s="2497">
        <f t="shared" si="67"/>
        <v>0</v>
      </c>
      <c r="P151" s="2496">
        <f t="shared" si="67"/>
        <v>217115.30252574236</v>
      </c>
      <c r="Q151" s="2494">
        <f t="shared" si="67"/>
        <v>208553.48212512213</v>
      </c>
      <c r="R151" s="2495">
        <f t="shared" si="67"/>
        <v>202517.59127822967</v>
      </c>
      <c r="S151" s="2496">
        <f t="shared" si="67"/>
        <v>191502.11015697525</v>
      </c>
      <c r="T151" s="2494">
        <f t="shared" si="67"/>
        <v>198275.38133401651</v>
      </c>
      <c r="U151" s="2498">
        <f t="shared" si="67"/>
        <v>197068.03985658259</v>
      </c>
      <c r="V151" s="2498">
        <f t="shared" si="67"/>
        <v>191727.98121967001</v>
      </c>
      <c r="W151" s="2498">
        <f t="shared" si="67"/>
        <v>185983.50205404137</v>
      </c>
      <c r="X151" s="2498">
        <f t="shared" si="67"/>
        <v>181851.18047408541</v>
      </c>
      <c r="Y151" s="2498">
        <f t="shared" ref="Y151:BN151" si="68">CHOOSE($G$30,MAX(Y149,Y150),Y152)</f>
        <v>179174.52245979471</v>
      </c>
      <c r="Z151" s="2498">
        <f t="shared" si="68"/>
        <v>175810.45595720696</v>
      </c>
      <c r="AA151" s="2498">
        <f t="shared" si="68"/>
        <v>182407.38255963201</v>
      </c>
      <c r="AB151" s="2498">
        <f t="shared" si="68"/>
        <v>180224.9360580795</v>
      </c>
      <c r="AC151" s="2498">
        <f t="shared" ca="1" si="68"/>
        <v>166579.8362396514</v>
      </c>
      <c r="AD151" s="2498">
        <f t="shared" ca="1" si="68"/>
        <v>161780.6673746602</v>
      </c>
      <c r="AE151" s="2498">
        <f t="shared" ca="1" si="68"/>
        <v>160357.60508243763</v>
      </c>
      <c r="AF151" s="2498">
        <f t="shared" ca="1" si="68"/>
        <v>159688.00209529052</v>
      </c>
      <c r="AG151" s="2498">
        <f t="shared" ca="1" si="68"/>
        <v>144751.38521687011</v>
      </c>
      <c r="AH151" s="2498">
        <f t="shared" ca="1" si="68"/>
        <v>125436.8749352102</v>
      </c>
      <c r="AI151" s="2498">
        <f t="shared" ca="1" si="68"/>
        <v>118904.1852495082</v>
      </c>
      <c r="AJ151" s="2498">
        <f t="shared" ca="1" si="68"/>
        <v>119384.64562711699</v>
      </c>
      <c r="AK151" s="2498">
        <f t="shared" ca="1" si="68"/>
        <v>118878.63547425439</v>
      </c>
      <c r="AL151" s="2498">
        <f t="shared" ca="1" si="68"/>
        <v>118257.75923309712</v>
      </c>
      <c r="AM151" s="2498">
        <f t="shared" ca="1" si="68"/>
        <v>117237.35798356438</v>
      </c>
      <c r="AN151" s="2498">
        <f t="shared" ca="1" si="68"/>
        <v>115166.46563899616</v>
      </c>
      <c r="AO151" s="2498">
        <f t="shared" ca="1" si="68"/>
        <v>112107.17024635752</v>
      </c>
      <c r="AP151" s="2498">
        <f t="shared" ca="1" si="68"/>
        <v>107998.20161114514</v>
      </c>
      <c r="AQ151" s="2498">
        <f t="shared" ca="1" si="68"/>
        <v>103245.8485969248</v>
      </c>
      <c r="AR151" s="2498">
        <f t="shared" ca="1" si="68"/>
        <v>99139.716937714606</v>
      </c>
      <c r="AS151" s="2498">
        <f t="shared" ca="1" si="68"/>
        <v>94871.248565276779</v>
      </c>
      <c r="AT151" s="2498">
        <f t="shared" ca="1" si="68"/>
        <v>90144.119766219097</v>
      </c>
      <c r="AU151" s="2498">
        <f t="shared" ca="1" si="68"/>
        <v>85938.669662512781</v>
      </c>
      <c r="AV151" s="2498">
        <f t="shared" ca="1" si="68"/>
        <v>81319.931775062665</v>
      </c>
      <c r="AW151" s="2498">
        <f t="shared" ca="1" si="68"/>
        <v>76123.053251460762</v>
      </c>
      <c r="AX151" s="2498">
        <f t="shared" ca="1" si="68"/>
        <v>71401.571365167707</v>
      </c>
      <c r="AY151" s="2498">
        <f t="shared" ca="1" si="68"/>
        <v>66280.777908692806</v>
      </c>
      <c r="AZ151" s="2498">
        <f t="shared" ca="1" si="68"/>
        <v>60827.825733210295</v>
      </c>
      <c r="BA151" s="2498">
        <f t="shared" ca="1" si="68"/>
        <v>55680.349399939805</v>
      </c>
      <c r="BB151" s="2498">
        <f t="shared" ca="1" si="68"/>
        <v>50561.232172532662</v>
      </c>
      <c r="BC151" s="2498">
        <f t="shared" ca="1" si="68"/>
        <v>47690.352036740078</v>
      </c>
      <c r="BD151" s="2498">
        <f t="shared" ca="1" si="68"/>
        <v>45403.982132744066</v>
      </c>
      <c r="BE151" s="2498">
        <f t="shared" ca="1" si="68"/>
        <v>41218.790369173992</v>
      </c>
      <c r="BF151" s="2498">
        <f t="shared" ca="1" si="68"/>
        <v>36703.161280981447</v>
      </c>
      <c r="BG151" s="2498">
        <f t="shared" ca="1" si="68"/>
        <v>32749.840790967872</v>
      </c>
      <c r="BH151" s="2498">
        <f t="shared" ca="1" si="68"/>
        <v>28863.012951046228</v>
      </c>
      <c r="BI151" s="2498">
        <f t="shared" ca="1" si="68"/>
        <v>24846.107546685042</v>
      </c>
      <c r="BJ151" s="2498">
        <f t="shared" ca="1" si="68"/>
        <v>21288.857902015898</v>
      </c>
      <c r="BK151" s="2498">
        <f t="shared" ca="1" si="68"/>
        <v>18347.843739870659</v>
      </c>
      <c r="BL151" s="2498">
        <f t="shared" ca="1" si="68"/>
        <v>16123.123119066287</v>
      </c>
      <c r="BM151" s="2498">
        <f t="shared" ca="1" si="68"/>
        <v>14891.289991212961</v>
      </c>
      <c r="BN151" s="2498">
        <f t="shared" ca="1" si="68"/>
        <v>14598.083026998926</v>
      </c>
    </row>
    <row r="152" spans="3:66">
      <c r="C152" s="2491"/>
      <c r="D152" s="2492" t="s">
        <v>3943</v>
      </c>
      <c r="E152" s="2424"/>
      <c r="F152" s="2424"/>
      <c r="G152" s="2657">
        <v>0.8</v>
      </c>
      <c r="H152" s="2494"/>
      <c r="I152" s="2358"/>
      <c r="J152" s="2495">
        <f t="shared" si="67"/>
        <v>0</v>
      </c>
      <c r="K152" s="2496">
        <f t="shared" si="67"/>
        <v>0</v>
      </c>
      <c r="L152" s="2497">
        <f t="shared" si="67"/>
        <v>0</v>
      </c>
      <c r="M152" s="2495">
        <f t="shared" si="67"/>
        <v>0</v>
      </c>
      <c r="N152" s="2496">
        <f t="shared" si="67"/>
        <v>0</v>
      </c>
      <c r="O152" s="2497">
        <f t="shared" si="67"/>
        <v>0</v>
      </c>
      <c r="P152" s="2496"/>
      <c r="Q152" s="2494"/>
      <c r="R152" s="2495"/>
      <c r="S152" s="2496"/>
      <c r="T152" s="2494"/>
      <c r="U152" s="2498"/>
      <c r="V152" s="2498">
        <f>V$34*V$47+V$35*V$50*V$52*$G152</f>
        <v>154426.6556014154</v>
      </c>
      <c r="W152" s="2498">
        <f>W$34*W$47+W$35*W$50*W$52*$G152</f>
        <v>149925.0314458645</v>
      </c>
      <c r="X152" s="2498">
        <f>X$34*X$47+X$35*X$50*X$52*$G152</f>
        <v>146700.46733548999</v>
      </c>
      <c r="Y152" s="2498">
        <f t="shared" ref="Y152:BN152" si="69">Y$34*Y$47+Y$35*Y$50*Y$52*$G152</f>
        <v>144627.01277415728</v>
      </c>
      <c r="Z152" s="2498">
        <f t="shared" si="69"/>
        <v>141984.63080813887</v>
      </c>
      <c r="AA152" s="2498">
        <f t="shared" si="69"/>
        <v>147298.6124705041</v>
      </c>
      <c r="AB152" s="2498">
        <f t="shared" si="69"/>
        <v>145622.36103379214</v>
      </c>
      <c r="AC152" s="2498">
        <f t="shared" ca="1" si="69"/>
        <v>134737.91497934476</v>
      </c>
      <c r="AD152" s="2498">
        <f t="shared" ca="1" si="69"/>
        <v>130922.6470599506</v>
      </c>
      <c r="AE152" s="2498">
        <f t="shared" ca="1" si="69"/>
        <v>129801.41972570374</v>
      </c>
      <c r="AF152" s="2498">
        <f t="shared" ca="1" si="69"/>
        <v>129276.78137095355</v>
      </c>
      <c r="AG152" s="2498">
        <f t="shared" ca="1" si="69"/>
        <v>117332.96780774636</v>
      </c>
      <c r="AH152" s="2498">
        <f t="shared" ca="1" si="69"/>
        <v>101881.84160409117</v>
      </c>
      <c r="AI152" s="2498">
        <f t="shared" ca="1" si="69"/>
        <v>96651.695350854556</v>
      </c>
      <c r="AJ152" s="2498">
        <f t="shared" ca="1" si="69"/>
        <v>97028.072405973406</v>
      </c>
      <c r="AK152" s="2498">
        <f t="shared" ca="1" si="69"/>
        <v>96611.717437338855</v>
      </c>
      <c r="AL152" s="2498">
        <f t="shared" ca="1" si="69"/>
        <v>96100.319268123261</v>
      </c>
      <c r="AM152" s="2498">
        <f t="shared" ca="1" si="69"/>
        <v>95266.522739980996</v>
      </c>
      <c r="AN152" s="2498">
        <f t="shared" ca="1" si="69"/>
        <v>93589.896077472251</v>
      </c>
      <c r="AO152" s="2498">
        <f t="shared" ca="1" si="69"/>
        <v>91120.422173449158</v>
      </c>
      <c r="AP152" s="2498">
        <f t="shared" ca="1" si="69"/>
        <v>87809.370782074169</v>
      </c>
      <c r="AQ152" s="2498">
        <f t="shared" ca="1" si="69"/>
        <v>83982.034309280833</v>
      </c>
      <c r="AR152" s="2498">
        <f t="shared" ca="1" si="69"/>
        <v>80670.335880493905</v>
      </c>
      <c r="AS152" s="2498">
        <f t="shared" ca="1" si="69"/>
        <v>77227.646495923123</v>
      </c>
      <c r="AT152" s="2498">
        <f t="shared" ca="1" si="69"/>
        <v>73417.10513346619</v>
      </c>
      <c r="AU152" s="2498">
        <f t="shared" ca="1" si="69"/>
        <v>70023.163001710316</v>
      </c>
      <c r="AV152" s="2498">
        <f t="shared" ca="1" si="69"/>
        <v>66298.010157861456</v>
      </c>
      <c r="AW152" s="2498">
        <f t="shared" ca="1" si="69"/>
        <v>62109.912162176195</v>
      </c>
      <c r="AX152" s="2498">
        <f t="shared" ca="1" si="69"/>
        <v>58301.83246093792</v>
      </c>
      <c r="AY152" s="2498">
        <f t="shared" ca="1" si="69"/>
        <v>54174.125001881948</v>
      </c>
      <c r="AZ152" s="2498">
        <f t="shared" ca="1" si="69"/>
        <v>49780.620489495792</v>
      </c>
      <c r="BA152" s="2498">
        <f t="shared" ca="1" si="69"/>
        <v>45631.523857583219</v>
      </c>
      <c r="BB152" s="2498">
        <f t="shared" ca="1" si="69"/>
        <v>41505.228747283807</v>
      </c>
      <c r="BC152" s="2498">
        <f t="shared" ca="1" si="69"/>
        <v>39177.715144059497</v>
      </c>
      <c r="BD152" s="2498">
        <f t="shared" ca="1" si="69"/>
        <v>37318.070486156321</v>
      </c>
      <c r="BE152" s="2498">
        <f t="shared" ca="1" si="69"/>
        <v>33939.690063691618</v>
      </c>
      <c r="BF152" s="2498">
        <f t="shared" ca="1" si="69"/>
        <v>30297.335161784737</v>
      </c>
      <c r="BG152" s="2498">
        <f t="shared" ca="1" si="69"/>
        <v>27105.249479008282</v>
      </c>
      <c r="BH152" s="2498">
        <f t="shared" ca="1" si="69"/>
        <v>23966.821085244759</v>
      </c>
      <c r="BI152" s="2498">
        <f t="shared" ca="1" si="69"/>
        <v>20724.829028717693</v>
      </c>
      <c r="BJ152" s="2498">
        <f t="shared" ca="1" si="69"/>
        <v>17851.09006499777</v>
      </c>
      <c r="BK152" s="2498">
        <f t="shared" ca="1" si="69"/>
        <v>15470.893394029299</v>
      </c>
      <c r="BL152" s="2498">
        <f t="shared" ca="1" si="69"/>
        <v>13664.306625491796</v>
      </c>
      <c r="BM152" s="2498">
        <f t="shared" ca="1" si="69"/>
        <v>12600.152879370164</v>
      </c>
      <c r="BN152" s="2498">
        <f t="shared" ca="1" si="69"/>
        <v>12410.756948848672</v>
      </c>
    </row>
    <row r="154" spans="3:66" hidden="1" outlineLevel="1">
      <c r="C154" s="2348" t="s">
        <v>3945</v>
      </c>
    </row>
    <row r="155" spans="3:66" hidden="1" outlineLevel="1">
      <c r="P155" s="2504"/>
      <c r="Q155" s="2504"/>
    </row>
    <row r="156" spans="3:66" hidden="1" outlineLevel="1">
      <c r="J156" s="2658">
        <f t="shared" ref="J156:AK156" si="70">J63</f>
        <v>2003</v>
      </c>
      <c r="K156" s="2659">
        <f t="shared" si="70"/>
        <v>2003</v>
      </c>
      <c r="L156" s="2659">
        <f t="shared" si="70"/>
        <v>2003</v>
      </c>
      <c r="M156" s="2660">
        <f t="shared" si="70"/>
        <v>2003</v>
      </c>
      <c r="N156" s="2658">
        <f t="shared" si="70"/>
        <v>2004</v>
      </c>
      <c r="O156" s="2659">
        <f t="shared" si="70"/>
        <v>2004</v>
      </c>
      <c r="P156" s="2659">
        <f t="shared" si="70"/>
        <v>2004</v>
      </c>
      <c r="Q156" s="2661">
        <f t="shared" si="70"/>
        <v>2004</v>
      </c>
      <c r="R156" s="2662">
        <f t="shared" si="70"/>
        <v>2005</v>
      </c>
      <c r="S156" s="2659">
        <f t="shared" si="70"/>
        <v>2005</v>
      </c>
      <c r="T156" s="2659">
        <f t="shared" si="70"/>
        <v>2005</v>
      </c>
      <c r="U156" s="2660">
        <f t="shared" si="70"/>
        <v>2005</v>
      </c>
      <c r="V156" s="2658">
        <f t="shared" si="70"/>
        <v>2006</v>
      </c>
      <c r="W156" s="2659">
        <f t="shared" si="70"/>
        <v>2006</v>
      </c>
      <c r="X156" s="2659">
        <f t="shared" si="70"/>
        <v>2006</v>
      </c>
      <c r="Y156" s="2661">
        <f t="shared" si="70"/>
        <v>2006</v>
      </c>
      <c r="Z156" s="2662">
        <f t="shared" si="70"/>
        <v>2007</v>
      </c>
      <c r="AA156" s="2659">
        <f t="shared" si="70"/>
        <v>2007</v>
      </c>
      <c r="AB156" s="2659">
        <f t="shared" si="70"/>
        <v>2007</v>
      </c>
      <c r="AC156" s="2660">
        <f t="shared" si="70"/>
        <v>2007</v>
      </c>
      <c r="AD156" s="2658">
        <f t="shared" si="70"/>
        <v>2008</v>
      </c>
      <c r="AE156" s="2659">
        <f t="shared" si="70"/>
        <v>2008</v>
      </c>
      <c r="AF156" s="2659">
        <f t="shared" si="70"/>
        <v>2008</v>
      </c>
      <c r="AG156" s="2661">
        <f t="shared" si="70"/>
        <v>2008</v>
      </c>
      <c r="AH156" s="2658">
        <f t="shared" si="70"/>
        <v>2009</v>
      </c>
      <c r="AI156" s="2659">
        <f t="shared" si="70"/>
        <v>2009</v>
      </c>
      <c r="AJ156" s="2659">
        <f t="shared" si="70"/>
        <v>2009</v>
      </c>
      <c r="AK156" s="2661">
        <f t="shared" si="70"/>
        <v>2009</v>
      </c>
    </row>
    <row r="157" spans="3:66" hidden="1" outlineLevel="1">
      <c r="C157" s="2510" t="s">
        <v>11</v>
      </c>
      <c r="D157" s="2511"/>
      <c r="E157" s="2511"/>
      <c r="F157" s="2511"/>
      <c r="G157" s="2512"/>
      <c r="H157" s="2512" t="s">
        <v>40</v>
      </c>
      <c r="J157" s="2513">
        <f t="shared" ref="J157:AK157" si="71">J64</f>
        <v>1</v>
      </c>
      <c r="K157" s="2514">
        <f t="shared" si="71"/>
        <v>2</v>
      </c>
      <c r="L157" s="2514">
        <f t="shared" si="71"/>
        <v>3</v>
      </c>
      <c r="M157" s="2515">
        <f t="shared" si="71"/>
        <v>4</v>
      </c>
      <c r="N157" s="2513">
        <f t="shared" si="71"/>
        <v>1</v>
      </c>
      <c r="O157" s="2514">
        <f t="shared" si="71"/>
        <v>2</v>
      </c>
      <c r="P157" s="2514">
        <f t="shared" si="71"/>
        <v>3</v>
      </c>
      <c r="Q157" s="2515">
        <f t="shared" si="71"/>
        <v>4</v>
      </c>
      <c r="R157" s="2513">
        <f t="shared" si="71"/>
        <v>1</v>
      </c>
      <c r="S157" s="2514">
        <f t="shared" si="71"/>
        <v>2</v>
      </c>
      <c r="T157" s="2514">
        <f t="shared" si="71"/>
        <v>3</v>
      </c>
      <c r="U157" s="2515">
        <f t="shared" si="71"/>
        <v>4</v>
      </c>
      <c r="V157" s="2513">
        <f t="shared" si="71"/>
        <v>1</v>
      </c>
      <c r="W157" s="2514">
        <f t="shared" si="71"/>
        <v>2</v>
      </c>
      <c r="X157" s="2514">
        <f t="shared" si="71"/>
        <v>3</v>
      </c>
      <c r="Y157" s="2515">
        <f t="shared" si="71"/>
        <v>4</v>
      </c>
      <c r="Z157" s="2513">
        <f t="shared" si="71"/>
        <v>1</v>
      </c>
      <c r="AA157" s="2514">
        <f t="shared" si="71"/>
        <v>2</v>
      </c>
      <c r="AB157" s="2514">
        <f t="shared" si="71"/>
        <v>3</v>
      </c>
      <c r="AC157" s="2515">
        <f t="shared" si="71"/>
        <v>4</v>
      </c>
      <c r="AD157" s="2513">
        <f t="shared" si="71"/>
        <v>1</v>
      </c>
      <c r="AE157" s="2514">
        <f t="shared" si="71"/>
        <v>2</v>
      </c>
      <c r="AF157" s="2514">
        <f t="shared" si="71"/>
        <v>3</v>
      </c>
      <c r="AG157" s="2515">
        <f t="shared" si="71"/>
        <v>4</v>
      </c>
      <c r="AH157" s="2513">
        <f t="shared" si="71"/>
        <v>1</v>
      </c>
      <c r="AI157" s="2514">
        <f t="shared" si="71"/>
        <v>2</v>
      </c>
      <c r="AJ157" s="2514">
        <f t="shared" si="71"/>
        <v>3</v>
      </c>
      <c r="AK157" s="2515">
        <f t="shared" si="71"/>
        <v>4</v>
      </c>
    </row>
    <row r="158" spans="3:66" hidden="1" outlineLevel="1">
      <c r="C158" s="2354"/>
      <c r="D158" s="2348" t="s">
        <v>3946</v>
      </c>
      <c r="G158" s="2516">
        <f>H158-$H$19</f>
        <v>0</v>
      </c>
      <c r="H158" s="2517">
        <f>SUM(J158:AK158)</f>
        <v>205118.76659655818</v>
      </c>
      <c r="J158" s="2663">
        <f t="shared" ref="J158:AK158" si="72">J65</f>
        <v>0</v>
      </c>
      <c r="K158" s="2664">
        <f t="shared" si="72"/>
        <v>0</v>
      </c>
      <c r="L158" s="2664">
        <f t="shared" si="72"/>
        <v>2393.0090441241896</v>
      </c>
      <c r="M158" s="2665">
        <f t="shared" si="72"/>
        <v>5489.1880953490809</v>
      </c>
      <c r="N158" s="2663">
        <f t="shared" si="72"/>
        <v>1060.3877162313115</v>
      </c>
      <c r="O158" s="2664">
        <f t="shared" si="72"/>
        <v>5987.0940573733396</v>
      </c>
      <c r="P158" s="2664">
        <f t="shared" si="72"/>
        <v>3734.9465462205612</v>
      </c>
      <c r="Q158" s="2665">
        <f t="shared" si="72"/>
        <v>2995.4010936183126</v>
      </c>
      <c r="R158" s="2663">
        <f t="shared" si="72"/>
        <v>6847.8663328448738</v>
      </c>
      <c r="S158" s="2664">
        <f t="shared" si="72"/>
        <v>14217.89659421601</v>
      </c>
      <c r="T158" s="2664">
        <f t="shared" si="72"/>
        <v>3761.4510464833324</v>
      </c>
      <c r="U158" s="2665">
        <f t="shared" si="72"/>
        <v>7156.6675813751644</v>
      </c>
      <c r="V158" s="2663">
        <f t="shared" si="72"/>
        <v>3536.6882392147218</v>
      </c>
      <c r="W158" s="2664">
        <f t="shared" si="72"/>
        <v>2084.4415062290755</v>
      </c>
      <c r="X158" s="2664">
        <f t="shared" si="72"/>
        <v>7875.1459526639092</v>
      </c>
      <c r="Y158" s="2665">
        <f t="shared" si="72"/>
        <v>10391.545418215796</v>
      </c>
      <c r="Z158" s="2663">
        <f t="shared" si="72"/>
        <v>7107.6529540117117</v>
      </c>
      <c r="AA158" s="2664">
        <f t="shared" si="72"/>
        <v>11394.943407562469</v>
      </c>
      <c r="AB158" s="2664">
        <f t="shared" si="72"/>
        <v>12605.457416925397</v>
      </c>
      <c r="AC158" s="2665">
        <f t="shared" si="72"/>
        <v>14542.539145899496</v>
      </c>
      <c r="AD158" s="2663">
        <f t="shared" si="72"/>
        <v>20453.001105194617</v>
      </c>
      <c r="AE158" s="2664">
        <f t="shared" si="72"/>
        <v>18577.836926543598</v>
      </c>
      <c r="AF158" s="2664">
        <f t="shared" si="72"/>
        <v>25869.659017439379</v>
      </c>
      <c r="AG158" s="2665">
        <f t="shared" si="72"/>
        <v>17035.947398821816</v>
      </c>
      <c r="AH158" s="2663">
        <f t="shared" si="72"/>
        <v>0</v>
      </c>
      <c r="AI158" s="2664">
        <f t="shared" si="72"/>
        <v>0</v>
      </c>
      <c r="AJ158" s="2664">
        <f t="shared" si="72"/>
        <v>0</v>
      </c>
      <c r="AK158" s="2665">
        <f t="shared" si="72"/>
        <v>0</v>
      </c>
    </row>
    <row r="159" spans="3:66" hidden="1" outlineLevel="1">
      <c r="C159" s="2354"/>
      <c r="D159" s="2348" t="s">
        <v>3947</v>
      </c>
      <c r="G159" s="2516">
        <f>H159-$H$20</f>
        <v>0</v>
      </c>
      <c r="H159" s="2517">
        <f>SUM(J159:AK159)</f>
        <v>15903.097116257035</v>
      </c>
      <c r="J159" s="2663">
        <f t="shared" ref="J159:AK159" si="73">J66</f>
        <v>0</v>
      </c>
      <c r="K159" s="2664">
        <f t="shared" si="73"/>
        <v>0</v>
      </c>
      <c r="L159" s="2664">
        <f t="shared" si="73"/>
        <v>0</v>
      </c>
      <c r="M159" s="2665">
        <f t="shared" si="73"/>
        <v>0</v>
      </c>
      <c r="N159" s="2663">
        <f t="shared" si="73"/>
        <v>0</v>
      </c>
      <c r="O159" s="2664">
        <f t="shared" si="73"/>
        <v>0</v>
      </c>
      <c r="P159" s="2664">
        <f t="shared" si="73"/>
        <v>0</v>
      </c>
      <c r="Q159" s="2665">
        <f t="shared" si="73"/>
        <v>0</v>
      </c>
      <c r="R159" s="2663">
        <f t="shared" si="73"/>
        <v>0</v>
      </c>
      <c r="S159" s="2664">
        <f t="shared" si="73"/>
        <v>0</v>
      </c>
      <c r="T159" s="2664">
        <f t="shared" si="73"/>
        <v>0</v>
      </c>
      <c r="U159" s="2665">
        <f t="shared" si="73"/>
        <v>0</v>
      </c>
      <c r="V159" s="2663">
        <f t="shared" si="73"/>
        <v>62.060682040786773</v>
      </c>
      <c r="W159" s="2664">
        <f t="shared" si="73"/>
        <v>154.89874832017321</v>
      </c>
      <c r="X159" s="2664">
        <f t="shared" si="73"/>
        <v>209.61533785868644</v>
      </c>
      <c r="Y159" s="2665">
        <f t="shared" si="73"/>
        <v>416.33791911611405</v>
      </c>
      <c r="Z159" s="2663">
        <f t="shared" si="73"/>
        <v>689.11598634427867</v>
      </c>
      <c r="AA159" s="2664">
        <f t="shared" si="73"/>
        <v>875.69187638708615</v>
      </c>
      <c r="AB159" s="2664">
        <f t="shared" si="73"/>
        <v>1174.8091408356008</v>
      </c>
      <c r="AC159" s="2665">
        <f t="shared" si="73"/>
        <v>1505.7023980298925</v>
      </c>
      <c r="AD159" s="2663">
        <f t="shared" si="73"/>
        <v>1887.4440506097544</v>
      </c>
      <c r="AE159" s="2664">
        <f t="shared" si="73"/>
        <v>2424.335329621113</v>
      </c>
      <c r="AF159" s="2664">
        <f t="shared" si="73"/>
        <v>2912.0035489428828</v>
      </c>
      <c r="AG159" s="2665">
        <f t="shared" si="73"/>
        <v>3591.0820981506663</v>
      </c>
      <c r="AH159" s="2663">
        <f t="shared" si="73"/>
        <v>0</v>
      </c>
      <c r="AI159" s="2664">
        <f t="shared" si="73"/>
        <v>0</v>
      </c>
      <c r="AJ159" s="2664">
        <f t="shared" si="73"/>
        <v>0</v>
      </c>
      <c r="AK159" s="2665">
        <f t="shared" si="73"/>
        <v>0</v>
      </c>
    </row>
    <row r="160" spans="3:66" hidden="1" outlineLevel="1">
      <c r="C160" s="2521"/>
      <c r="D160" s="2434" t="s">
        <v>3948</v>
      </c>
      <c r="E160" s="2434"/>
      <c r="F160" s="2434"/>
      <c r="G160" s="2522">
        <f>H160-$H$21</f>
        <v>0</v>
      </c>
      <c r="H160" s="2523">
        <f>SUM(J160:AK160)</f>
        <v>189215.66948030112</v>
      </c>
      <c r="J160" s="2524">
        <f t="shared" ref="J160:AK160" si="74">J158-J159</f>
        <v>0</v>
      </c>
      <c r="K160" s="2525">
        <f t="shared" si="74"/>
        <v>0</v>
      </c>
      <c r="L160" s="2525">
        <f t="shared" si="74"/>
        <v>2393.0090441241896</v>
      </c>
      <c r="M160" s="2526">
        <f t="shared" si="74"/>
        <v>5489.1880953490809</v>
      </c>
      <c r="N160" s="2524">
        <f t="shared" si="74"/>
        <v>1060.3877162313115</v>
      </c>
      <c r="O160" s="2525">
        <f t="shared" si="74"/>
        <v>5987.0940573733396</v>
      </c>
      <c r="P160" s="2525">
        <f t="shared" si="74"/>
        <v>3734.9465462205612</v>
      </c>
      <c r="Q160" s="2526">
        <f t="shared" si="74"/>
        <v>2995.4010936183126</v>
      </c>
      <c r="R160" s="2524">
        <f t="shared" si="74"/>
        <v>6847.8663328448738</v>
      </c>
      <c r="S160" s="2525">
        <f t="shared" si="74"/>
        <v>14217.89659421601</v>
      </c>
      <c r="T160" s="2525">
        <f t="shared" si="74"/>
        <v>3761.4510464833324</v>
      </c>
      <c r="U160" s="2526">
        <f t="shared" si="74"/>
        <v>7156.6675813751644</v>
      </c>
      <c r="V160" s="2524">
        <f t="shared" si="74"/>
        <v>3474.6275571739352</v>
      </c>
      <c r="W160" s="2525">
        <f t="shared" si="74"/>
        <v>1929.5427579089023</v>
      </c>
      <c r="X160" s="2525">
        <f t="shared" si="74"/>
        <v>7665.5306148052223</v>
      </c>
      <c r="Y160" s="2526">
        <f t="shared" si="74"/>
        <v>9975.2074990996807</v>
      </c>
      <c r="Z160" s="2524">
        <f t="shared" si="74"/>
        <v>6418.5369676674327</v>
      </c>
      <c r="AA160" s="2525">
        <f t="shared" si="74"/>
        <v>10519.251531175383</v>
      </c>
      <c r="AB160" s="2525">
        <f t="shared" si="74"/>
        <v>11430.648276089796</v>
      </c>
      <c r="AC160" s="2526">
        <f t="shared" si="74"/>
        <v>13036.836747869604</v>
      </c>
      <c r="AD160" s="2524">
        <f t="shared" si="74"/>
        <v>18565.55705458486</v>
      </c>
      <c r="AE160" s="2525">
        <f t="shared" si="74"/>
        <v>16153.501596922484</v>
      </c>
      <c r="AF160" s="2525">
        <f t="shared" si="74"/>
        <v>22957.655468496494</v>
      </c>
      <c r="AG160" s="2526">
        <f t="shared" si="74"/>
        <v>13444.86530067115</v>
      </c>
      <c r="AH160" s="2524">
        <f t="shared" si="74"/>
        <v>0</v>
      </c>
      <c r="AI160" s="2525">
        <f t="shared" si="74"/>
        <v>0</v>
      </c>
      <c r="AJ160" s="2525">
        <f t="shared" si="74"/>
        <v>0</v>
      </c>
      <c r="AK160" s="2526">
        <f t="shared" si="74"/>
        <v>0</v>
      </c>
    </row>
    <row r="161" spans="3:37" hidden="1" outlineLevel="1"/>
    <row r="162" spans="3:37" hidden="1" outlineLevel="1">
      <c r="C162" s="2348" t="s">
        <v>3949</v>
      </c>
    </row>
    <row r="163" spans="3:37" hidden="1" outlineLevel="1"/>
    <row r="164" spans="3:37" hidden="1" outlineLevel="1">
      <c r="E164" s="2529" t="s">
        <v>3978</v>
      </c>
      <c r="F164" s="2511"/>
      <c r="G164" s="2511"/>
      <c r="H164" s="2512"/>
      <c r="J164" s="2530">
        <v>2003</v>
      </c>
      <c r="K164" s="2531">
        <v>2004</v>
      </c>
      <c r="L164" s="2531">
        <v>2005</v>
      </c>
      <c r="M164" s="2531">
        <v>2006</v>
      </c>
      <c r="N164" s="2531">
        <v>2007</v>
      </c>
      <c r="O164" s="2531">
        <v>2008</v>
      </c>
      <c r="P164" s="2532">
        <v>2009</v>
      </c>
    </row>
    <row r="165" spans="3:37" hidden="1" outlineLevel="1">
      <c r="E165" s="2666"/>
      <c r="F165" s="2355" t="s">
        <v>3979</v>
      </c>
      <c r="G165" s="2355"/>
      <c r="H165" s="2667"/>
      <c r="J165" s="2536">
        <v>4.7600000000000003E-2</v>
      </c>
      <c r="K165" s="2537">
        <v>4.3499999999999997E-2</v>
      </c>
      <c r="L165" s="2537">
        <v>4.5199999999999997E-2</v>
      </c>
      <c r="M165" s="2537">
        <v>4.9599999999999998E-2</v>
      </c>
      <c r="N165" s="2537">
        <v>5.28E-2</v>
      </c>
      <c r="O165" s="2537">
        <v>5.3600000000000002E-2</v>
      </c>
      <c r="P165" s="2538">
        <v>4.6399999999999997E-2</v>
      </c>
    </row>
    <row r="166" spans="3:37" hidden="1" outlineLevel="1">
      <c r="E166" s="2534"/>
      <c r="F166" s="2348" t="s">
        <v>3980</v>
      </c>
      <c r="H166" s="2540">
        <v>0.02</v>
      </c>
      <c r="I166" s="2541"/>
      <c r="J166" s="2542">
        <f t="shared" ref="J166:P166" si="75">$H$166</f>
        <v>0.02</v>
      </c>
      <c r="K166" s="2543">
        <f t="shared" si="75"/>
        <v>0.02</v>
      </c>
      <c r="L166" s="2543">
        <f t="shared" si="75"/>
        <v>0.02</v>
      </c>
      <c r="M166" s="2543">
        <f t="shared" si="75"/>
        <v>0.02</v>
      </c>
      <c r="N166" s="2543">
        <f t="shared" si="75"/>
        <v>0.02</v>
      </c>
      <c r="O166" s="2543">
        <f t="shared" si="75"/>
        <v>0.02</v>
      </c>
      <c r="P166" s="2544">
        <f t="shared" si="75"/>
        <v>0.02</v>
      </c>
    </row>
    <row r="167" spans="3:37" hidden="1" outlineLevel="1">
      <c r="E167" s="2534"/>
      <c r="F167" s="2348" t="s">
        <v>3981</v>
      </c>
      <c r="H167" s="2540"/>
      <c r="I167" s="2541"/>
      <c r="J167" s="2542">
        <f t="shared" ref="J167:P167" si="76">J165+J166</f>
        <v>6.7600000000000007E-2</v>
      </c>
      <c r="K167" s="2543">
        <f t="shared" si="76"/>
        <v>6.3500000000000001E-2</v>
      </c>
      <c r="L167" s="2543">
        <f t="shared" si="76"/>
        <v>6.5199999999999994E-2</v>
      </c>
      <c r="M167" s="2543">
        <f t="shared" si="76"/>
        <v>6.9599999999999995E-2</v>
      </c>
      <c r="N167" s="2543">
        <f t="shared" si="76"/>
        <v>7.2800000000000004E-2</v>
      </c>
      <c r="O167" s="2543">
        <f t="shared" si="76"/>
        <v>7.3599999999999999E-2</v>
      </c>
      <c r="P167" s="2544">
        <f t="shared" si="76"/>
        <v>6.6400000000000001E-2</v>
      </c>
    </row>
    <row r="168" spans="3:37" hidden="1" outlineLevel="1">
      <c r="E168" s="2547"/>
      <c r="F168" s="2349" t="s">
        <v>3982</v>
      </c>
      <c r="G168" s="2349"/>
      <c r="H168" s="2548"/>
      <c r="I168" s="2541"/>
      <c r="J168" s="2549">
        <f t="shared" ref="J168:P168" si="77">(1+J167)^(1/4)-1</f>
        <v>1.6487731478919132E-2</v>
      </c>
      <c r="K168" s="2550">
        <f t="shared" si="77"/>
        <v>1.5510395601027183E-2</v>
      </c>
      <c r="L168" s="2550">
        <f t="shared" si="77"/>
        <v>1.5915974771168573E-2</v>
      </c>
      <c r="M168" s="2550">
        <f t="shared" si="77"/>
        <v>1.6963459475231923E-2</v>
      </c>
      <c r="N168" s="2550">
        <f t="shared" si="77"/>
        <v>1.77232384582382E-2</v>
      </c>
      <c r="O168" s="2550">
        <f t="shared" si="77"/>
        <v>1.7912917571581533E-2</v>
      </c>
      <c r="P168" s="2551">
        <f t="shared" si="77"/>
        <v>1.6201973760160859E-2</v>
      </c>
    </row>
    <row r="169" spans="3:37" hidden="1" outlineLevel="1"/>
    <row r="170" spans="3:37" hidden="1" outlineLevel="1">
      <c r="C170" s="2529" t="s">
        <v>3955</v>
      </c>
      <c r="D170" s="2511" t="s">
        <v>3956</v>
      </c>
      <c r="E170" s="2511" t="s">
        <v>3957</v>
      </c>
      <c r="F170" s="2511" t="s">
        <v>3958</v>
      </c>
      <c r="G170" s="2512" t="s">
        <v>3983</v>
      </c>
      <c r="H170" s="2512" t="s">
        <v>40</v>
      </c>
    </row>
    <row r="171" spans="3:37" hidden="1" outlineLevel="1">
      <c r="C171" s="2552">
        <f t="shared" ref="C171:C198" si="78">H171*E171</f>
        <v>0</v>
      </c>
      <c r="D171" s="2553">
        <v>2003</v>
      </c>
      <c r="E171" s="2554">
        <v>1</v>
      </c>
      <c r="F171" s="2528">
        <v>37711</v>
      </c>
      <c r="G171" s="2555">
        <f t="shared" ref="G171:G198" si="79">SUMIF($J$164:$P$164,D171,$J$168:$P$168)</f>
        <v>1.6487731478919132E-2</v>
      </c>
      <c r="H171" s="2517">
        <f t="shared" ref="H171:H198" si="80">SUM(J171:AK171)</f>
        <v>0</v>
      </c>
      <c r="J171" s="2556"/>
      <c r="K171" s="2557"/>
      <c r="L171" s="2558"/>
      <c r="M171" s="2559"/>
      <c r="N171" s="2560"/>
      <c r="O171" s="2558"/>
      <c r="P171" s="2558"/>
      <c r="Q171" s="2559"/>
      <c r="R171" s="2560"/>
      <c r="S171" s="2558"/>
      <c r="T171" s="2558"/>
      <c r="U171" s="2559"/>
      <c r="V171" s="2556"/>
      <c r="W171" s="2557"/>
      <c r="X171" s="2557"/>
      <c r="Y171" s="2561"/>
      <c r="Z171" s="2556"/>
      <c r="AA171" s="2557"/>
      <c r="AB171" s="2557"/>
      <c r="AC171" s="2561"/>
      <c r="AD171" s="2556"/>
      <c r="AE171" s="2557"/>
      <c r="AF171" s="2557"/>
      <c r="AG171" s="2561"/>
      <c r="AH171" s="2556"/>
      <c r="AI171" s="2557"/>
      <c r="AJ171" s="2557"/>
      <c r="AK171" s="2561"/>
    </row>
    <row r="172" spans="3:37" hidden="1" outlineLevel="1">
      <c r="C172" s="2552">
        <f t="shared" si="78"/>
        <v>0</v>
      </c>
      <c r="D172" s="2562">
        <f>D171</f>
        <v>2003</v>
      </c>
      <c r="E172" s="2554">
        <v>1</v>
      </c>
      <c r="F172" s="2528">
        <f t="shared" ref="F172:F198" si="81">EOMONTH(F171,3)</f>
        <v>37802</v>
      </c>
      <c r="G172" s="2555">
        <f t="shared" si="79"/>
        <v>1.6487731478919132E-2</v>
      </c>
      <c r="H172" s="2517">
        <f t="shared" si="80"/>
        <v>0</v>
      </c>
      <c r="J172" s="2563"/>
      <c r="K172" s="2564"/>
      <c r="L172" s="2565"/>
      <c r="M172" s="2566"/>
      <c r="N172" s="2567"/>
      <c r="O172" s="2565"/>
      <c r="P172" s="2565"/>
      <c r="Q172" s="2566"/>
      <c r="R172" s="2567"/>
      <c r="S172" s="2565"/>
      <c r="T172" s="2565"/>
      <c r="U172" s="2566"/>
      <c r="V172" s="2563"/>
      <c r="W172" s="2564"/>
      <c r="X172" s="2564"/>
      <c r="Y172" s="2568"/>
      <c r="Z172" s="2563"/>
      <c r="AA172" s="2564"/>
      <c r="AB172" s="2564"/>
      <c r="AC172" s="2568"/>
      <c r="AD172" s="2563"/>
      <c r="AE172" s="2564"/>
      <c r="AF172" s="2564"/>
      <c r="AG172" s="2568"/>
      <c r="AH172" s="2563"/>
      <c r="AI172" s="2564"/>
      <c r="AJ172" s="2564"/>
      <c r="AK172" s="2568"/>
    </row>
    <row r="173" spans="3:37" hidden="1" outlineLevel="1">
      <c r="C173" s="2552">
        <f t="shared" si="78"/>
        <v>0</v>
      </c>
      <c r="D173" s="2562">
        <f>D172</f>
        <v>2003</v>
      </c>
      <c r="E173" s="2554">
        <v>1</v>
      </c>
      <c r="F173" s="2528">
        <f t="shared" si="81"/>
        <v>37894</v>
      </c>
      <c r="G173" s="2555">
        <f t="shared" si="79"/>
        <v>1.6487731478919132E-2</v>
      </c>
      <c r="H173" s="2517">
        <f t="shared" si="80"/>
        <v>0</v>
      </c>
      <c r="J173" s="2563"/>
      <c r="K173" s="2564"/>
      <c r="L173" s="2565"/>
      <c r="M173" s="2566"/>
      <c r="N173" s="2567"/>
      <c r="O173" s="2565"/>
      <c r="P173" s="2565"/>
      <c r="Q173" s="2566"/>
      <c r="R173" s="2567"/>
      <c r="S173" s="2565"/>
      <c r="T173" s="2565"/>
      <c r="U173" s="2566"/>
      <c r="V173" s="2563"/>
      <c r="W173" s="2564"/>
      <c r="X173" s="2564"/>
      <c r="Y173" s="2568"/>
      <c r="Z173" s="2563"/>
      <c r="AA173" s="2564"/>
      <c r="AB173" s="2564"/>
      <c r="AC173" s="2568"/>
      <c r="AD173" s="2563"/>
      <c r="AE173" s="2564"/>
      <c r="AF173" s="2564"/>
      <c r="AG173" s="2568"/>
      <c r="AH173" s="2563"/>
      <c r="AI173" s="2564"/>
      <c r="AJ173" s="2564"/>
      <c r="AK173" s="2568"/>
    </row>
    <row r="174" spans="3:37" hidden="1" outlineLevel="1">
      <c r="C174" s="2569">
        <f t="shared" si="78"/>
        <v>39.455290546144582</v>
      </c>
      <c r="D174" s="2570">
        <f>D173</f>
        <v>2003</v>
      </c>
      <c r="E174" s="2571">
        <v>1</v>
      </c>
      <c r="F174" s="2572">
        <f t="shared" si="81"/>
        <v>37986</v>
      </c>
      <c r="G174" s="2573">
        <f t="shared" si="79"/>
        <v>1.6487731478919132E-2</v>
      </c>
      <c r="H174" s="2574">
        <f t="shared" si="80"/>
        <v>39.455290546144582</v>
      </c>
      <c r="J174" s="2575"/>
      <c r="K174" s="2576"/>
      <c r="L174" s="2577">
        <f>(L$160+SUM(L$171:L173))*$G174</f>
        <v>39.455290546144582</v>
      </c>
      <c r="M174" s="2578"/>
      <c r="N174" s="2579"/>
      <c r="O174" s="2580"/>
      <c r="P174" s="2580"/>
      <c r="Q174" s="2578"/>
      <c r="R174" s="2579"/>
      <c r="S174" s="2580"/>
      <c r="T174" s="2580"/>
      <c r="U174" s="2578"/>
      <c r="V174" s="2575"/>
      <c r="W174" s="2576"/>
      <c r="X174" s="2576"/>
      <c r="Y174" s="2581"/>
      <c r="Z174" s="2575"/>
      <c r="AA174" s="2576"/>
      <c r="AB174" s="2576"/>
      <c r="AC174" s="2581"/>
      <c r="AD174" s="2575"/>
      <c r="AE174" s="2576"/>
      <c r="AF174" s="2576"/>
      <c r="AG174" s="2581"/>
      <c r="AH174" s="2575"/>
      <c r="AI174" s="2576"/>
      <c r="AJ174" s="2576"/>
      <c r="AK174" s="2581"/>
    </row>
    <row r="175" spans="3:37" hidden="1" outlineLevel="1">
      <c r="C175" s="2552">
        <f t="shared" si="78"/>
        <v>122.86796300343943</v>
      </c>
      <c r="D175" s="2553">
        <f>D174+1</f>
        <v>2004</v>
      </c>
      <c r="E175" s="2582">
        <v>1</v>
      </c>
      <c r="F175" s="2528">
        <f t="shared" si="81"/>
        <v>38077</v>
      </c>
      <c r="G175" s="2555">
        <f t="shared" si="79"/>
        <v>1.5510395601027183E-2</v>
      </c>
      <c r="H175" s="2517">
        <f t="shared" si="80"/>
        <v>122.86796300343943</v>
      </c>
      <c r="J175" s="2563"/>
      <c r="K175" s="2564"/>
      <c r="L175" s="2583">
        <f>(L$160+SUM(L$171:L174))*$G175</f>
        <v>37.728484116126268</v>
      </c>
      <c r="M175" s="2584">
        <f>(M$160+SUM(M$171:M174))*$G175</f>
        <v>85.13947888731316</v>
      </c>
      <c r="N175" s="2563"/>
      <c r="O175" s="2564"/>
      <c r="P175" s="2564"/>
      <c r="Q175" s="2568"/>
      <c r="R175" s="2560"/>
      <c r="S175" s="2558"/>
      <c r="T175" s="2558"/>
      <c r="U175" s="2559"/>
      <c r="V175" s="2563"/>
      <c r="W175" s="2564"/>
      <c r="X175" s="2564"/>
      <c r="Y175" s="2568"/>
      <c r="Z175" s="2563"/>
      <c r="AA175" s="2564"/>
      <c r="AB175" s="2564"/>
      <c r="AC175" s="2568"/>
      <c r="AD175" s="2563"/>
      <c r="AE175" s="2564"/>
      <c r="AF175" s="2564"/>
      <c r="AG175" s="2568"/>
      <c r="AH175" s="2563"/>
      <c r="AI175" s="2564"/>
      <c r="AJ175" s="2564"/>
      <c r="AK175" s="2568"/>
    </row>
    <row r="176" spans="3:37" hidden="1" outlineLevel="1">
      <c r="C176" s="2552">
        <f t="shared" si="78"/>
        <v>141.22072668553253</v>
      </c>
      <c r="D176" s="2562">
        <f>D175</f>
        <v>2004</v>
      </c>
      <c r="E176" s="2582">
        <v>1</v>
      </c>
      <c r="F176" s="2528">
        <f t="shared" si="81"/>
        <v>38168</v>
      </c>
      <c r="G176" s="2555">
        <f t="shared" si="79"/>
        <v>1.5510395601027183E-2</v>
      </c>
      <c r="H176" s="2517">
        <f t="shared" si="80"/>
        <v>141.22072668553253</v>
      </c>
      <c r="J176" s="2563"/>
      <c r="K176" s="2564"/>
      <c r="L176" s="2583">
        <f>(L$160+SUM(L$171:L175))*$G176</f>
        <v>38.313667830194454</v>
      </c>
      <c r="M176" s="2584">
        <f>(M$160+SUM(M$171:M175))*$G176</f>
        <v>86.46002588612069</v>
      </c>
      <c r="N176" s="2585">
        <f>(N$160+SUM(N$171:N175))*$G176</f>
        <v>16.447032969217396</v>
      </c>
      <c r="O176" s="2564"/>
      <c r="P176" s="2564"/>
      <c r="Q176" s="2568"/>
      <c r="R176" s="2567"/>
      <c r="S176" s="2565"/>
      <c r="T176" s="2565"/>
      <c r="U176" s="2566"/>
      <c r="V176" s="2563"/>
      <c r="W176" s="2564"/>
      <c r="X176" s="2564"/>
      <c r="Y176" s="2568"/>
      <c r="Z176" s="2563"/>
      <c r="AA176" s="2564"/>
      <c r="AB176" s="2564"/>
      <c r="AC176" s="2568"/>
      <c r="AD176" s="2563"/>
      <c r="AE176" s="2564"/>
      <c r="AF176" s="2564"/>
      <c r="AG176" s="2568"/>
      <c r="AH176" s="2563"/>
      <c r="AI176" s="2564"/>
      <c r="AJ176" s="2564"/>
      <c r="AK176" s="2568"/>
    </row>
    <row r="177" spans="3:37" hidden="1" outlineLevel="1">
      <c r="C177" s="2552">
        <f t="shared" si="78"/>
        <v>236.27331335390912</v>
      </c>
      <c r="D177" s="2562">
        <f>D176</f>
        <v>2004</v>
      </c>
      <c r="E177" s="2582">
        <v>1</v>
      </c>
      <c r="F177" s="2528">
        <f t="shared" si="81"/>
        <v>38260</v>
      </c>
      <c r="G177" s="2555">
        <f t="shared" si="79"/>
        <v>1.5510395601027183E-2</v>
      </c>
      <c r="H177" s="2517">
        <f t="shared" si="80"/>
        <v>236.27331335390912</v>
      </c>
      <c r="J177" s="2563"/>
      <c r="K177" s="2564"/>
      <c r="L177" s="2583">
        <f>(L$160+SUM(L$171:L176))*$G177</f>
        <v>38.907927975167119</v>
      </c>
      <c r="M177" s="2584">
        <f>(M$160+SUM(M$171:M176))*$G177</f>
        <v>87.801055091289484</v>
      </c>
      <c r="N177" s="2585">
        <f>(N$160+SUM(N$171:N176))*$G177</f>
        <v>16.702132957033093</v>
      </c>
      <c r="O177" s="2583">
        <f>(O$160+SUM(O$171:O176))*$G177</f>
        <v>92.862197330419434</v>
      </c>
      <c r="P177" s="2564"/>
      <c r="Q177" s="2568"/>
      <c r="R177" s="2567"/>
      <c r="S177" s="2565"/>
      <c r="T177" s="2565"/>
      <c r="U177" s="2566"/>
      <c r="V177" s="2563"/>
      <c r="W177" s="2564"/>
      <c r="X177" s="2564"/>
      <c r="Y177" s="2568"/>
      <c r="Z177" s="2563"/>
      <c r="AA177" s="2564"/>
      <c r="AB177" s="2564"/>
      <c r="AC177" s="2568"/>
      <c r="AD177" s="2563"/>
      <c r="AE177" s="2564"/>
      <c r="AF177" s="2564"/>
      <c r="AG177" s="2568"/>
      <c r="AH177" s="2563"/>
      <c r="AI177" s="2564"/>
      <c r="AJ177" s="2564"/>
      <c r="AK177" s="2568"/>
    </row>
    <row r="178" spans="3:37" hidden="1" outlineLevel="1">
      <c r="C178" s="2569">
        <f t="shared" si="78"/>
        <v>297.86850439456475</v>
      </c>
      <c r="D178" s="2570">
        <f>D177</f>
        <v>2004</v>
      </c>
      <c r="E178" s="2586">
        <v>1</v>
      </c>
      <c r="F178" s="2572">
        <f t="shared" si="81"/>
        <v>38352</v>
      </c>
      <c r="G178" s="2573">
        <f t="shared" si="79"/>
        <v>1.5510395601027183E-2</v>
      </c>
      <c r="H178" s="2574">
        <f t="shared" si="80"/>
        <v>297.86850439456475</v>
      </c>
      <c r="J178" s="2575"/>
      <c r="K178" s="2576"/>
      <c r="L178" s="2577">
        <f>(L$160+SUM(L$171:L177))*$G178</f>
        <v>39.511405330078233</v>
      </c>
      <c r="M178" s="2587">
        <f>(M$160+SUM(M$171:M177))*$G178</f>
        <v>89.162884189942957</v>
      </c>
      <c r="N178" s="2588">
        <f>(N$160+SUM(N$171:N177))*$G178</f>
        <v>16.961189646577633</v>
      </c>
      <c r="O178" s="2577">
        <f>(O$160+SUM(O$171:O177))*$G178</f>
        <v>94.302526747394893</v>
      </c>
      <c r="P178" s="2577">
        <f>(P$160+SUM(P$171:P177))*$G178</f>
        <v>57.93049848057106</v>
      </c>
      <c r="Q178" s="2581"/>
      <c r="R178" s="2579"/>
      <c r="S178" s="2580"/>
      <c r="T178" s="2580"/>
      <c r="U178" s="2578"/>
      <c r="V178" s="2575"/>
      <c r="W178" s="2576"/>
      <c r="X178" s="2576"/>
      <c r="Y178" s="2581"/>
      <c r="Z178" s="2575"/>
      <c r="AA178" s="2576"/>
      <c r="AB178" s="2576"/>
      <c r="AC178" s="2581"/>
      <c r="AD178" s="2575"/>
      <c r="AE178" s="2576"/>
      <c r="AF178" s="2576"/>
      <c r="AG178" s="2581"/>
      <c r="AH178" s="2575"/>
      <c r="AI178" s="2576"/>
      <c r="AJ178" s="2576"/>
      <c r="AK178" s="2581"/>
    </row>
    <row r="179" spans="3:37" hidden="1" outlineLevel="1">
      <c r="C179" s="2552">
        <f t="shared" si="78"/>
        <v>358.07302218593816</v>
      </c>
      <c r="D179" s="2553">
        <f>D178+1</f>
        <v>2005</v>
      </c>
      <c r="E179" s="2582">
        <v>1</v>
      </c>
      <c r="F179" s="2528">
        <f t="shared" si="81"/>
        <v>38442</v>
      </c>
      <c r="G179" s="2555">
        <f t="shared" si="79"/>
        <v>1.5915974771168573E-2</v>
      </c>
      <c r="H179" s="2517">
        <f t="shared" si="80"/>
        <v>358.07302218593816</v>
      </c>
      <c r="J179" s="2563"/>
      <c r="K179" s="2564"/>
      <c r="L179" s="2583">
        <f>(L$160+SUM(L$171:L178))*$G179</f>
        <v>41.173446084761537</v>
      </c>
      <c r="M179" s="2584">
        <f>(M$160+SUM(M$171:M178))*$G179</f>
        <v>92.913506221500541</v>
      </c>
      <c r="N179" s="2585">
        <f>(N$160+SUM(N$171:N178))*$G179</f>
        <v>17.674659294266036</v>
      </c>
      <c r="O179" s="2583">
        <f>(O$160+SUM(O$171:O178))*$G179</f>
        <v>98.269346996242589</v>
      </c>
      <c r="P179" s="2583">
        <f>(P$160+SUM(P$171:P178))*$G179</f>
        <v>60.367335353607643</v>
      </c>
      <c r="Q179" s="2584">
        <f>(Q$160+SUM(Q$171:Q178))*$G179</f>
        <v>47.674728235559819</v>
      </c>
      <c r="R179" s="2563"/>
      <c r="S179" s="2564"/>
      <c r="T179" s="2564"/>
      <c r="U179" s="2568"/>
      <c r="V179" s="2563"/>
      <c r="W179" s="2564"/>
      <c r="X179" s="2564"/>
      <c r="Y179" s="2568"/>
      <c r="Z179" s="2563"/>
      <c r="AA179" s="2564"/>
      <c r="AB179" s="2564"/>
      <c r="AC179" s="2568"/>
      <c r="AD179" s="2563"/>
      <c r="AE179" s="2564"/>
      <c r="AF179" s="2564"/>
      <c r="AG179" s="2568"/>
      <c r="AH179" s="2563"/>
      <c r="AI179" s="2564"/>
      <c r="AJ179" s="2564"/>
      <c r="AK179" s="2568"/>
    </row>
    <row r="180" spans="3:37" hidden="1" outlineLevel="1">
      <c r="C180" s="2552">
        <f t="shared" si="78"/>
        <v>472.76257116317925</v>
      </c>
      <c r="D180" s="2562">
        <f>D179</f>
        <v>2005</v>
      </c>
      <c r="E180" s="2582">
        <v>1</v>
      </c>
      <c r="F180" s="2528">
        <f t="shared" si="81"/>
        <v>38533</v>
      </c>
      <c r="G180" s="2555">
        <f t="shared" si="79"/>
        <v>1.5915974771168573E-2</v>
      </c>
      <c r="H180" s="2517">
        <f t="shared" si="80"/>
        <v>472.76257116317925</v>
      </c>
      <c r="J180" s="2563"/>
      <c r="K180" s="2564"/>
      <c r="L180" s="2583">
        <f>(L$160+SUM(L$171:L179))*$G180</f>
        <v>41.828761613888673</v>
      </c>
      <c r="M180" s="2584">
        <f>(M$160+SUM(M$171:M179))*$G180</f>
        <v>94.392315242422754</v>
      </c>
      <c r="N180" s="2585">
        <f>(N$160+SUM(N$171:N179))*$G180</f>
        <v>17.95596872568257</v>
      </c>
      <c r="O180" s="2583">
        <f>(O$160+SUM(O$171:O179))*$G180</f>
        <v>99.833399443813988</v>
      </c>
      <c r="P180" s="2583">
        <f>(P$160+SUM(P$171:P179))*$G180</f>
        <v>61.328140340098329</v>
      </c>
      <c r="Q180" s="2584">
        <f>(Q$160+SUM(Q$171:Q179))*$G180</f>
        <v>48.433518007379305</v>
      </c>
      <c r="R180" s="2585">
        <f>(R$160+SUM(R$171:R179))*$G180</f>
        <v>108.99046778989367</v>
      </c>
      <c r="S180" s="2564"/>
      <c r="T180" s="2564"/>
      <c r="U180" s="2568"/>
      <c r="V180" s="2563"/>
      <c r="W180" s="2564"/>
      <c r="X180" s="2564"/>
      <c r="Y180" s="2568"/>
      <c r="Z180" s="2563"/>
      <c r="AA180" s="2564"/>
      <c r="AB180" s="2564"/>
      <c r="AC180" s="2568"/>
      <c r="AD180" s="2563"/>
      <c r="AE180" s="2564"/>
      <c r="AF180" s="2564"/>
      <c r="AG180" s="2568"/>
      <c r="AH180" s="2563"/>
      <c r="AI180" s="2564"/>
      <c r="AJ180" s="2564"/>
      <c r="AK180" s="2568"/>
    </row>
    <row r="181" spans="3:37" hidden="1" outlineLevel="1">
      <c r="C181" s="2552">
        <f t="shared" si="78"/>
        <v>706.57873181119078</v>
      </c>
      <c r="D181" s="2562">
        <f>D180</f>
        <v>2005</v>
      </c>
      <c r="E181" s="2582">
        <v>1</v>
      </c>
      <c r="F181" s="2528">
        <f t="shared" si="81"/>
        <v>38625</v>
      </c>
      <c r="G181" s="2555">
        <f t="shared" si="79"/>
        <v>1.5915974771168573E-2</v>
      </c>
      <c r="H181" s="2517">
        <f t="shared" si="80"/>
        <v>706.57873181119078</v>
      </c>
      <c r="J181" s="2563"/>
      <c r="K181" s="2564"/>
      <c r="L181" s="2583">
        <f>(L$160+SUM(L$171:L180))*$G181</f>
        <v>42.494507128444546</v>
      </c>
      <c r="M181" s="2584">
        <f>(M$160+SUM(M$171:M180))*$G181</f>
        <v>95.894660950413353</v>
      </c>
      <c r="N181" s="2585">
        <f>(N$160+SUM(N$171:N180))*$G181</f>
        <v>18.241755470912427</v>
      </c>
      <c r="O181" s="2583">
        <f>(O$160+SUM(O$171:O180))*$G181</f>
        <v>101.42234531068172</v>
      </c>
      <c r="P181" s="2583">
        <f>(P$160+SUM(P$171:P180))*$G181</f>
        <v>62.304237474514018</v>
      </c>
      <c r="Q181" s="2584">
        <f>(Q$160+SUM(Q$171:Q180))*$G181</f>
        <v>49.204384658063688</v>
      </c>
      <c r="R181" s="2585">
        <f>(R$160+SUM(R$171:R180))*$G181</f>
        <v>110.72515732553548</v>
      </c>
      <c r="S181" s="2583">
        <f>(S$160+SUM(S$171:S180))*$G181</f>
        <v>226.29168349262559</v>
      </c>
      <c r="T181" s="2564"/>
      <c r="U181" s="2568"/>
      <c r="V181" s="2563"/>
      <c r="W181" s="2564"/>
      <c r="X181" s="2564"/>
      <c r="Y181" s="2568"/>
      <c r="Z181" s="2563"/>
      <c r="AA181" s="2564"/>
      <c r="AB181" s="2564"/>
      <c r="AC181" s="2568"/>
      <c r="AD181" s="2563"/>
      <c r="AE181" s="2564"/>
      <c r="AF181" s="2564"/>
      <c r="AG181" s="2568"/>
      <c r="AH181" s="2563"/>
      <c r="AI181" s="2564"/>
      <c r="AJ181" s="2564"/>
      <c r="AK181" s="2568"/>
    </row>
    <row r="182" spans="3:37" hidden="1" outlineLevel="1">
      <c r="C182" s="2569">
        <f t="shared" si="78"/>
        <v>777.69178103935644</v>
      </c>
      <c r="D182" s="2570">
        <f>D181</f>
        <v>2005</v>
      </c>
      <c r="E182" s="2586">
        <v>1</v>
      </c>
      <c r="F182" s="2572">
        <f t="shared" si="81"/>
        <v>38717</v>
      </c>
      <c r="G182" s="2573">
        <f t="shared" si="79"/>
        <v>1.5915974771168573E-2</v>
      </c>
      <c r="H182" s="2574">
        <f t="shared" si="80"/>
        <v>777.69178103935644</v>
      </c>
      <c r="J182" s="2575"/>
      <c r="K182" s="2576"/>
      <c r="L182" s="2577">
        <f>(L$160+SUM(L$171:L181))*$G182</f>
        <v>43.170848631814117</v>
      </c>
      <c r="M182" s="2587">
        <f>(M$160+SUM(M$171:M181))*$G182</f>
        <v>97.4209179547899</v>
      </c>
      <c r="N182" s="2588">
        <f>(N$160+SUM(N$171:N181))*$G182</f>
        <v>18.532090790769296</v>
      </c>
      <c r="O182" s="2577">
        <f>(O$160+SUM(O$171:O181))*$G182</f>
        <v>103.03658079987929</v>
      </c>
      <c r="P182" s="2577">
        <f>(P$160+SUM(P$171:P181))*$G182</f>
        <v>63.295870146295279</v>
      </c>
      <c r="Q182" s="2587">
        <f>(Q$160+SUM(Q$171:Q181))*$G182</f>
        <v>49.987520402912303</v>
      </c>
      <c r="R182" s="2588">
        <f>(R$160+SUM(R$171:R181))*$G182</f>
        <v>112.48745613606236</v>
      </c>
      <c r="S182" s="2577">
        <f>(S$160+SUM(S$171:S181))*$G182</f>
        <v>229.8933362180195</v>
      </c>
      <c r="T182" s="2577">
        <f>(T$160+SUM(T$171:T181))*$G182</f>
        <v>59.867159958814348</v>
      </c>
      <c r="U182" s="2581"/>
      <c r="V182" s="2575"/>
      <c r="W182" s="2576"/>
      <c r="X182" s="2576"/>
      <c r="Y182" s="2581"/>
      <c r="Z182" s="2575"/>
      <c r="AA182" s="2576"/>
      <c r="AB182" s="2576"/>
      <c r="AC182" s="2581"/>
      <c r="AD182" s="2575"/>
      <c r="AE182" s="2576"/>
      <c r="AF182" s="2576"/>
      <c r="AG182" s="2581"/>
      <c r="AH182" s="2575"/>
      <c r="AI182" s="2576"/>
      <c r="AJ182" s="2576"/>
      <c r="AK182" s="2581"/>
    </row>
    <row r="183" spans="3:37" hidden="1" outlineLevel="1">
      <c r="C183" s="2552">
        <f t="shared" si="78"/>
        <v>963.46851898079615</v>
      </c>
      <c r="D183" s="2553">
        <f>D182+1</f>
        <v>2006</v>
      </c>
      <c r="E183" s="2582">
        <v>1</v>
      </c>
      <c r="F183" s="2528">
        <f t="shared" si="81"/>
        <v>38807</v>
      </c>
      <c r="G183" s="2555">
        <f t="shared" si="79"/>
        <v>1.6963459475231923E-2</v>
      </c>
      <c r="H183" s="2517">
        <f t="shared" si="80"/>
        <v>963.46851898079615</v>
      </c>
      <c r="J183" s="2563"/>
      <c r="K183" s="2564"/>
      <c r="L183" s="2583">
        <f>(L$160+SUM(L$171:L182))*$G183</f>
        <v>46.744396689197579</v>
      </c>
      <c r="M183" s="2584">
        <f>(M$160+SUM(M$171:M182))*$G183</f>
        <v>105.48511736571595</v>
      </c>
      <c r="N183" s="2585">
        <f>(N$160+SUM(N$171:N182))*$G183</f>
        <v>20.06611940367462</v>
      </c>
      <c r="O183" s="2583">
        <f>(O$160+SUM(O$171:O182))*$G183</f>
        <v>111.56562724733547</v>
      </c>
      <c r="P183" s="2583">
        <f>(P$160+SUM(P$171:P182))*$G183</f>
        <v>68.535304648284693</v>
      </c>
      <c r="Q183" s="2584">
        <f>(Q$160+SUM(Q$171:Q182))*$G183</f>
        <v>54.12533126581026</v>
      </c>
      <c r="R183" s="2585">
        <f>(R$160+SUM(R$171:R182))*$G183</f>
        <v>121.79881653537591</v>
      </c>
      <c r="S183" s="2583">
        <f>(S$160+SUM(S$171:S182))*$G183</f>
        <v>248.92318879409066</v>
      </c>
      <c r="T183" s="2583">
        <f>(T$160+SUM(T$171:T182))*$G183</f>
        <v>64.822776536947288</v>
      </c>
      <c r="U183" s="2584">
        <f>(U$160+SUM(U$171:U182))*$G183</f>
        <v>121.40184049436367</v>
      </c>
      <c r="V183" s="2563"/>
      <c r="W183" s="2564"/>
      <c r="X183" s="2564"/>
      <c r="Y183" s="2568"/>
      <c r="Z183" s="2563"/>
      <c r="AA183" s="2564"/>
      <c r="AB183" s="2564"/>
      <c r="AC183" s="2568"/>
      <c r="AD183" s="2563"/>
      <c r="AE183" s="2564"/>
      <c r="AF183" s="2564"/>
      <c r="AG183" s="2568"/>
      <c r="AH183" s="2563"/>
      <c r="AI183" s="2564"/>
      <c r="AJ183" s="2564"/>
      <c r="AK183" s="2568"/>
    </row>
    <row r="184" spans="3:37" hidden="1" outlineLevel="1">
      <c r="C184" s="2552">
        <f t="shared" si="78"/>
        <v>1038.7539819158326</v>
      </c>
      <c r="D184" s="2562">
        <f>D183</f>
        <v>2006</v>
      </c>
      <c r="E184" s="2582">
        <v>1</v>
      </c>
      <c r="F184" s="2528">
        <f t="shared" si="81"/>
        <v>38898</v>
      </c>
      <c r="G184" s="2555">
        <f t="shared" si="79"/>
        <v>1.6963459475231923E-2</v>
      </c>
      <c r="H184" s="2517">
        <f t="shared" si="80"/>
        <v>1038.7539819158326</v>
      </c>
      <c r="J184" s="2563"/>
      <c r="K184" s="2564"/>
      <c r="L184" s="2583">
        <f>(L$160+SUM(L$171:L183))*$G184</f>
        <v>47.537343368128951</v>
      </c>
      <c r="M184" s="2584">
        <f>(M$160+SUM(M$171:M183))*$G184</f>
        <v>107.27450987938936</v>
      </c>
      <c r="N184" s="2585">
        <f>(N$160+SUM(N$171:N183))*$G184</f>
        <v>20.406510207004018</v>
      </c>
      <c r="O184" s="2583">
        <f>(O$160+SUM(O$171:O183))*$G184</f>
        <v>113.45816624397449</v>
      </c>
      <c r="P184" s="2583">
        <f>(P$160+SUM(P$171:P183))*$G184</f>
        <v>69.697900511308546</v>
      </c>
      <c r="Q184" s="2584">
        <f>(Q$160+SUM(Q$171:Q183))*$G184</f>
        <v>55.043484129321335</v>
      </c>
      <c r="R184" s="2585">
        <f>(R$160+SUM(R$171:R183))*$G184</f>
        <v>123.86494582380497</v>
      </c>
      <c r="S184" s="2583">
        <f>(S$160+SUM(S$171:S183))*$G184</f>
        <v>253.14578721964475</v>
      </c>
      <c r="T184" s="2583">
        <f>(T$160+SUM(T$171:T183))*$G184</f>
        <v>65.92239507980382</v>
      </c>
      <c r="U184" s="2584">
        <f>(U$160+SUM(U$171:U183))*$G184</f>
        <v>123.46123569580837</v>
      </c>
      <c r="V184" s="2585">
        <f>(V$160+SUM(V$171:V183))*$G184</f>
        <v>58.941703757644142</v>
      </c>
      <c r="W184" s="2564"/>
      <c r="X184" s="2564"/>
      <c r="Y184" s="2568"/>
      <c r="Z184" s="2563"/>
      <c r="AA184" s="2564"/>
      <c r="AB184" s="2564"/>
      <c r="AC184" s="2568"/>
      <c r="AD184" s="2563"/>
      <c r="AE184" s="2564"/>
      <c r="AF184" s="2564"/>
      <c r="AG184" s="2568"/>
      <c r="AH184" s="2563"/>
      <c r="AI184" s="2564"/>
      <c r="AJ184" s="2564"/>
      <c r="AK184" s="2568"/>
    </row>
    <row r="185" spans="3:37" hidden="1" outlineLevel="1">
      <c r="C185" s="2552">
        <f t="shared" si="78"/>
        <v>1089.1065633723126</v>
      </c>
      <c r="D185" s="2562">
        <f>D184</f>
        <v>2006</v>
      </c>
      <c r="E185" s="2582">
        <v>1</v>
      </c>
      <c r="F185" s="2528">
        <f t="shared" si="81"/>
        <v>38990</v>
      </c>
      <c r="G185" s="2589">
        <f t="shared" si="79"/>
        <v>1.6963459475231923E-2</v>
      </c>
      <c r="H185" s="2517">
        <f t="shared" si="80"/>
        <v>1089.1065633723126</v>
      </c>
      <c r="J185" s="2563"/>
      <c r="K185" s="2564"/>
      <c r="L185" s="2583">
        <f>(L$160+SUM(L$171:L184))*$G185</f>
        <v>48.343741165914388</v>
      </c>
      <c r="M185" s="2584">
        <f>(M$160+SUM(M$171:M184))*$G185</f>
        <v>109.09425668045375</v>
      </c>
      <c r="N185" s="2585">
        <f>(N$160+SUM(N$171:N184))*$G185</f>
        <v>20.75267521593144</v>
      </c>
      <c r="O185" s="2583">
        <f>(O$160+SUM(O$171:O184))*$G185</f>
        <v>115.38280924918827</v>
      </c>
      <c r="P185" s="2583">
        <f>(P$160+SUM(P$171:P184))*$G185</f>
        <v>70.880218022140866</v>
      </c>
      <c r="Q185" s="2584">
        <f>(Q$160+SUM(Q$171:Q184))*$G185</f>
        <v>55.977212041724648</v>
      </c>
      <c r="R185" s="2585">
        <f>(R$160+SUM(R$171:R184))*$G185</f>
        <v>125.96612381268889</v>
      </c>
      <c r="S185" s="2583">
        <f>(S$160+SUM(S$171:S184))*$G185</f>
        <v>257.44001552247084</v>
      </c>
      <c r="T185" s="2583">
        <f>(T$160+SUM(T$171:T184))*$G185</f>
        <v>67.040666957250295</v>
      </c>
      <c r="U185" s="2584">
        <f>(U$160+SUM(U$171:U184))*$G185</f>
        <v>125.55556536429629</v>
      </c>
      <c r="V185" s="2585">
        <f>(V$160+SUM(V$171:V184))*$G185</f>
        <v>59.941558960738064</v>
      </c>
      <c r="W185" s="2583">
        <f>(W$160+SUM(W$171:W184))*$G185</f>
        <v>32.731720379514904</v>
      </c>
      <c r="X185" s="2564"/>
      <c r="Y185" s="2568"/>
      <c r="Z185" s="2563"/>
      <c r="AA185" s="2564"/>
      <c r="AB185" s="2564"/>
      <c r="AC185" s="2568"/>
      <c r="AD185" s="2563"/>
      <c r="AE185" s="2564"/>
      <c r="AF185" s="2564"/>
      <c r="AG185" s="2568"/>
      <c r="AH185" s="2563"/>
      <c r="AI185" s="2564"/>
      <c r="AJ185" s="2564"/>
      <c r="AK185" s="2568"/>
    </row>
    <row r="186" spans="3:37" hidden="1" outlineLevel="1">
      <c r="C186" s="2569">
        <f t="shared" si="78"/>
        <v>1237.6154963646859</v>
      </c>
      <c r="D186" s="2570">
        <f>D185</f>
        <v>2006</v>
      </c>
      <c r="E186" s="2586">
        <v>1</v>
      </c>
      <c r="F186" s="2572">
        <f t="shared" si="81"/>
        <v>39082</v>
      </c>
      <c r="G186" s="2590">
        <f t="shared" si="79"/>
        <v>1.6963459475231923E-2</v>
      </c>
      <c r="H186" s="2574">
        <f t="shared" si="80"/>
        <v>1237.6154963646859</v>
      </c>
      <c r="J186" s="2575"/>
      <c r="K186" s="2576"/>
      <c r="L186" s="2577">
        <f>(L$160+SUM(L$171:L185))*$G186</f>
        <v>49.163818260063479</v>
      </c>
      <c r="M186" s="2587">
        <f>(M$160+SUM(M$171:M185))*$G186</f>
        <v>110.94487268263316</v>
      </c>
      <c r="N186" s="2588">
        <f>(N$160+SUM(N$171:N185))*$G186</f>
        <v>21.10471238095954</v>
      </c>
      <c r="O186" s="2577">
        <f>(O$160+SUM(O$171:O185))*$G186</f>
        <v>117.34010085802529</v>
      </c>
      <c r="P186" s="2577">
        <f>(P$160+SUM(P$171:P185))*$G186</f>
        <v>72.082591728155066</v>
      </c>
      <c r="Q186" s="2587">
        <f>(Q$160+SUM(Q$171:Q185))*$G186</f>
        <v>56.92677920973091</v>
      </c>
      <c r="R186" s="2588">
        <f>(R$160+SUM(R$171:R185))*$G186</f>
        <v>128.10294504923746</v>
      </c>
      <c r="S186" s="2577">
        <f>(S$160+SUM(S$171:S185))*$G186</f>
        <v>261.80708879308935</v>
      </c>
      <c r="T186" s="2577">
        <f>(T$160+SUM(T$171:T185))*$G186</f>
        <v>68.177908594372127</v>
      </c>
      <c r="U186" s="2587">
        <f>(U$160+SUM(U$171:U185))*$G186</f>
        <v>127.68542210924335</v>
      </c>
      <c r="V186" s="2588">
        <f>(V$160+SUM(V$171:V185))*$G186</f>
        <v>60.958375167050775</v>
      </c>
      <c r="W186" s="2577">
        <f>(W$160+SUM(W$171:W185))*$G186</f>
        <v>33.286963591727428</v>
      </c>
      <c r="X186" s="2577">
        <f>(X$160+SUM(X$171:X185))*$G186</f>
        <v>130.03391794039803</v>
      </c>
      <c r="Y186" s="2581"/>
      <c r="Z186" s="2575"/>
      <c r="AA186" s="2576"/>
      <c r="AB186" s="2576"/>
      <c r="AC186" s="2581"/>
      <c r="AD186" s="2575"/>
      <c r="AE186" s="2576"/>
      <c r="AF186" s="2576"/>
      <c r="AG186" s="2581"/>
      <c r="AH186" s="2575"/>
      <c r="AI186" s="2576"/>
      <c r="AJ186" s="2576"/>
      <c r="AK186" s="2581"/>
    </row>
    <row r="187" spans="3:37" hidden="1" outlineLevel="1">
      <c r="C187" s="2552">
        <f t="shared" si="78"/>
        <v>1491.7747820098571</v>
      </c>
      <c r="D187" s="2553">
        <f>D186+1</f>
        <v>2007</v>
      </c>
      <c r="E187" s="2582">
        <v>1</v>
      </c>
      <c r="F187" s="2528">
        <f t="shared" si="81"/>
        <v>39172</v>
      </c>
      <c r="G187" s="2589">
        <f t="shared" si="79"/>
        <v>1.77232384582382E-2</v>
      </c>
      <c r="H187" s="2517">
        <f t="shared" si="80"/>
        <v>1491.7747820098571</v>
      </c>
      <c r="J187" s="2563"/>
      <c r="K187" s="2564"/>
      <c r="L187" s="2583">
        <f>(L$160+SUM(L$171:L186))*$G187</f>
        <v>52.237166116082541</v>
      </c>
      <c r="M187" s="2584">
        <f>(M$160+SUM(M$171:M186))*$G187</f>
        <v>117.88030200164631</v>
      </c>
      <c r="N187" s="2585">
        <f>(N$160+SUM(N$171:N186))*$G187</f>
        <v>22.424018424375813</v>
      </c>
      <c r="O187" s="2583">
        <f>(O$160+SUM(O$171:O186))*$G187</f>
        <v>124.67531118464093</v>
      </c>
      <c r="P187" s="2583">
        <f>(P$160+SUM(P$171:P186))*$G187</f>
        <v>76.588646924522493</v>
      </c>
      <c r="Q187" s="2584">
        <f>(Q$160+SUM(Q$171:Q186))*$G187</f>
        <v>60.485408320041813</v>
      </c>
      <c r="R187" s="2585">
        <f>(R$160+SUM(R$171:R186))*$G187</f>
        <v>136.1109665058747</v>
      </c>
      <c r="S187" s="2583">
        <f>(S$160+SUM(S$171:S186))*$G187</f>
        <v>278.17327603218024</v>
      </c>
      <c r="T187" s="2583">
        <f>(T$160+SUM(T$171:T186))*$G187</f>
        <v>72.439872709892938</v>
      </c>
      <c r="U187" s="2584">
        <f>(U$160+SUM(U$171:U186))*$G187</f>
        <v>135.6673432083843</v>
      </c>
      <c r="V187" s="2585">
        <f>(V$160+SUM(V$171:V186))*$G187</f>
        <v>64.769028982322993</v>
      </c>
      <c r="W187" s="2583">
        <f>(W$160+SUM(W$171:W186))*$G187</f>
        <v>35.367811292507454</v>
      </c>
      <c r="X187" s="2583">
        <f>(X$160+SUM(X$171:X186))*$G187</f>
        <v>138.16264913043489</v>
      </c>
      <c r="Y187" s="2584">
        <f>(Y$160+SUM(Y$171:Y186))*$G187</f>
        <v>176.79298117694955</v>
      </c>
      <c r="Z187" s="2563"/>
      <c r="AA187" s="2564"/>
      <c r="AB187" s="2564"/>
      <c r="AC187" s="2568"/>
      <c r="AD187" s="2563"/>
      <c r="AE187" s="2564"/>
      <c r="AF187" s="2564"/>
      <c r="AG187" s="2568"/>
      <c r="AH187" s="2563"/>
      <c r="AI187" s="2564"/>
      <c r="AJ187" s="2564"/>
      <c r="AK187" s="2568"/>
    </row>
    <row r="188" spans="3:37" hidden="1" outlineLevel="1">
      <c r="C188" s="2552">
        <f t="shared" si="78"/>
        <v>1631.9711234283907</v>
      </c>
      <c r="D188" s="2562">
        <f>D187</f>
        <v>2007</v>
      </c>
      <c r="E188" s="2582">
        <v>1</v>
      </c>
      <c r="F188" s="2528">
        <f t="shared" si="81"/>
        <v>39263</v>
      </c>
      <c r="G188" s="2589">
        <f t="shared" si="79"/>
        <v>1.77232384582382E-2</v>
      </c>
      <c r="H188" s="2517">
        <f t="shared" si="80"/>
        <v>1631.9711234283907</v>
      </c>
      <c r="J188" s="2563"/>
      <c r="K188" s="2564"/>
      <c r="L188" s="2583">
        <f>(L$160+SUM(L$171:L187))*$G188</f>
        <v>53.162977867540469</v>
      </c>
      <c r="M188" s="2584">
        <f>(M$160+SUM(M$171:M187))*$G188</f>
        <v>119.96952270355064</v>
      </c>
      <c r="N188" s="2585">
        <f>(N$160+SUM(N$171:N187))*$G188</f>
        <v>22.821444650102954</v>
      </c>
      <c r="O188" s="2583">
        <f>(O$160+SUM(O$171:O187))*$G188</f>
        <v>126.88496145462138</v>
      </c>
      <c r="P188" s="2583">
        <f>(P$160+SUM(P$171:P187))*$G188</f>
        <v>77.946045777159611</v>
      </c>
      <c r="Q188" s="2584">
        <f>(Q$160+SUM(Q$171:Q187))*$G188</f>
        <v>61.557405634941823</v>
      </c>
      <c r="R188" s="2591">
        <f>(R$160+SUM(R$171:R187))*$G188</f>
        <v>138.5232936220396</v>
      </c>
      <c r="S188" s="2592">
        <f>(S$160+SUM(S$171:S187))*$G188</f>
        <v>283.10340733600788</v>
      </c>
      <c r="T188" s="2592">
        <f>(T$160+SUM(T$171:T187))*$G188</f>
        <v>73.723741847814793</v>
      </c>
      <c r="U188" s="2593">
        <f>(U$160+SUM(U$171:U187))*$G188</f>
        <v>138.07180788306215</v>
      </c>
      <c r="V188" s="2591">
        <f>(V$160+SUM(V$171:V187))*$G188</f>
        <v>65.916945927685234</v>
      </c>
      <c r="W188" s="2592">
        <f>(W$160+SUM(W$171:W187))*$G188</f>
        <v>35.99464344579053</v>
      </c>
      <c r="X188" s="2592">
        <f>(X$160+SUM(X$171:X187))*$G188</f>
        <v>140.61133870699547</v>
      </c>
      <c r="Y188" s="2593">
        <f>(Y$160+SUM(Y$171:Y187))*$G188</f>
        <v>179.92632534009147</v>
      </c>
      <c r="Z188" s="2585">
        <f>(Z$160+SUM(Z$171:Z187))*$G188</f>
        <v>113.75726123098704</v>
      </c>
      <c r="AA188" s="2564"/>
      <c r="AB188" s="2564"/>
      <c r="AC188" s="2568"/>
      <c r="AD188" s="2563"/>
      <c r="AE188" s="2564"/>
      <c r="AF188" s="2564"/>
      <c r="AG188" s="2568"/>
      <c r="AH188" s="2563"/>
      <c r="AI188" s="2564"/>
      <c r="AJ188" s="2564"/>
      <c r="AK188" s="2568"/>
    </row>
    <row r="189" spans="3:37" hidden="1" outlineLevel="1">
      <c r="C189" s="2594">
        <f t="shared" si="78"/>
        <v>1847.33014009508</v>
      </c>
      <c r="D189" s="2562">
        <f>D188</f>
        <v>2007</v>
      </c>
      <c r="E189" s="2582">
        <v>1</v>
      </c>
      <c r="F189" s="2528">
        <f t="shared" si="81"/>
        <v>39355</v>
      </c>
      <c r="G189" s="2595">
        <f t="shared" si="79"/>
        <v>1.77232384582382E-2</v>
      </c>
      <c r="H189" s="2596">
        <f t="shared" si="80"/>
        <v>1847.33014009508</v>
      </c>
      <c r="J189" s="2563"/>
      <c r="K189" s="2564"/>
      <c r="L189" s="2592">
        <f>(L$160+SUM(L$171:L188))*$G189</f>
        <v>54.105198001436932</v>
      </c>
      <c r="M189" s="2593">
        <f>(M$160+SUM(M$171:M188))*$G189</f>
        <v>122.09577116214666</v>
      </c>
      <c r="N189" s="2591">
        <f>(N$160+SUM(N$171:N188))*$G189</f>
        <v>23.225914555598212</v>
      </c>
      <c r="O189" s="2592">
        <f>(O$160+SUM(O$171:O188))*$G189</f>
        <v>129.13377388324599</v>
      </c>
      <c r="P189" s="2592">
        <f>(P$160+SUM(P$171:P188))*$G189</f>
        <v>79.327502133344964</v>
      </c>
      <c r="Q189" s="2593">
        <f>(Q$160+SUM(Q$171:Q188))*$G189</f>
        <v>62.648402213880395</v>
      </c>
      <c r="R189" s="2591">
        <f>(R$160+SUM(R$171:R188))*$G189</f>
        <v>140.97837498692354</v>
      </c>
      <c r="S189" s="2592">
        <f>(S$160+SUM(S$171:S188))*$G189</f>
        <v>288.12091653256368</v>
      </c>
      <c r="T189" s="2592">
        <f>(T$160+SUM(T$171:T188))*$G189</f>
        <v>75.030365304617206</v>
      </c>
      <c r="U189" s="2593">
        <f>(U$160+SUM(U$171:U188))*$G189</f>
        <v>140.5188874585337</v>
      </c>
      <c r="V189" s="2591">
        <f>(V$160+SUM(V$171:V188))*$G189</f>
        <v>67.085207678800401</v>
      </c>
      <c r="W189" s="2592">
        <f>(W$160+SUM(W$171:W188))*$G189</f>
        <v>36.632585094799538</v>
      </c>
      <c r="X189" s="2592">
        <f>(X$160+SUM(X$171:X188))*$G189</f>
        <v>143.10342699283166</v>
      </c>
      <c r="Y189" s="2593">
        <f>(Y$160+SUM(Y$171:Y188))*$G189</f>
        <v>183.11520250900844</v>
      </c>
      <c r="Z189" s="2585">
        <f>(Z$160+SUM(Z$171:Z188))*$G189</f>
        <v>115.77340829813991</v>
      </c>
      <c r="AA189" s="2583">
        <f>(AA$160+SUM(AA$171:AA188))*$G189</f>
        <v>186.43520328920863</v>
      </c>
      <c r="AB189" s="2564"/>
      <c r="AC189" s="2568"/>
      <c r="AD189" s="2563"/>
      <c r="AE189" s="2564"/>
      <c r="AF189" s="2564"/>
      <c r="AG189" s="2568"/>
      <c r="AH189" s="2563"/>
      <c r="AI189" s="2564"/>
      <c r="AJ189" s="2564"/>
      <c r="AK189" s="2568"/>
    </row>
    <row r="190" spans="3:37" hidden="1" outlineLevel="1">
      <c r="C190" s="2569">
        <f t="shared" si="78"/>
        <v>2082.6589178084646</v>
      </c>
      <c r="D190" s="2570">
        <f>D189</f>
        <v>2007</v>
      </c>
      <c r="E190" s="2586">
        <v>1</v>
      </c>
      <c r="F190" s="2572">
        <f t="shared" si="81"/>
        <v>39447</v>
      </c>
      <c r="G190" s="2590">
        <f t="shared" si="79"/>
        <v>1.77232384582382E-2</v>
      </c>
      <c r="H190" s="2574">
        <f t="shared" si="80"/>
        <v>2082.6589178084646</v>
      </c>
      <c r="J190" s="2575"/>
      <c r="K190" s="2576"/>
      <c r="L190" s="2577">
        <f>(L$160+SUM(L$171:L189))*$G190</f>
        <v>55.064117327446588</v>
      </c>
      <c r="M190" s="2587">
        <f>(M$160+SUM(M$171:M189))*$G190</f>
        <v>124.25970362919588</v>
      </c>
      <c r="N190" s="2588">
        <f>(N$160+SUM(N$171:N189))*$G190</f>
        <v>23.637552977677746</v>
      </c>
      <c r="O190" s="2577">
        <f>(O$160+SUM(O$171:O189))*$G190</f>
        <v>131.42244255079098</v>
      </c>
      <c r="P190" s="2577">
        <f>(P$160+SUM(P$171:P189))*$G190</f>
        <v>80.733442369950637</v>
      </c>
      <c r="Q190" s="2587">
        <f>(Q$160+SUM(Q$171:Q189))*$G190</f>
        <v>63.758734785344615</v>
      </c>
      <c r="R190" s="2588">
        <f>(R$160+SUM(R$171:R189))*$G190</f>
        <v>143.47696834427171</v>
      </c>
      <c r="S190" s="2577">
        <f>(S$160+SUM(S$171:S189))*$G190</f>
        <v>293.22735224107646</v>
      </c>
      <c r="T190" s="2577">
        <f>(T$160+SUM(T$171:T189))*$G190</f>
        <v>76.36014636051965</v>
      </c>
      <c r="U190" s="2587">
        <f>(U$160+SUM(U$171:U189))*$G190</f>
        <v>143.00933720884763</v>
      </c>
      <c r="V190" s="2588">
        <f>(V$160+SUM(V$171:V189))*$G190</f>
        <v>68.274174811512211</v>
      </c>
      <c r="W190" s="2577">
        <f>(W$160+SUM(W$171:W189))*$G190</f>
        <v>37.281833135776374</v>
      </c>
      <c r="X190" s="2577">
        <f>(X$160+SUM(X$171:X189))*$G190</f>
        <v>145.63968315361669</v>
      </c>
      <c r="Y190" s="2587">
        <f>(Y$160+SUM(Y$171:Y189))*$G190</f>
        <v>186.36059690840418</v>
      </c>
      <c r="Z190" s="2588">
        <f>(Z$160+SUM(Z$171:Z189))*$G190</f>
        <v>117.82528802053083</v>
      </c>
      <c r="AA190" s="2577">
        <f>(AA$160+SUM(AA$171:AA189))*$G190</f>
        <v>189.73943885411339</v>
      </c>
      <c r="AB190" s="2577">
        <f>(AB$160+SUM(AB$171:AB189))*$G190</f>
        <v>202.58810512938885</v>
      </c>
      <c r="AC190" s="2581"/>
      <c r="AD190" s="2575"/>
      <c r="AE190" s="2576"/>
      <c r="AF190" s="2576"/>
      <c r="AG190" s="2581"/>
      <c r="AH190" s="2575"/>
      <c r="AI190" s="2576"/>
      <c r="AJ190" s="2576"/>
      <c r="AK190" s="2581"/>
    </row>
    <row r="191" spans="3:37" hidden="1" outlineLevel="1">
      <c r="C191" s="2552">
        <f t="shared" si="78"/>
        <v>2375.7824024856941</v>
      </c>
      <c r="D191" s="2553">
        <f>D190+1</f>
        <v>2008</v>
      </c>
      <c r="E191" s="2582">
        <v>1</v>
      </c>
      <c r="F191" s="2528">
        <f t="shared" si="81"/>
        <v>39538</v>
      </c>
      <c r="G191" s="2589">
        <f t="shared" si="79"/>
        <v>1.7912917571581533E-2</v>
      </c>
      <c r="H191" s="2517">
        <f t="shared" si="80"/>
        <v>2375.7824024856941</v>
      </c>
      <c r="J191" s="2563"/>
      <c r="K191" s="2564"/>
      <c r="L191" s="2583">
        <f>(L$160+SUM(L$171:L190))*$G191</f>
        <v>56.63978808809545</v>
      </c>
      <c r="M191" s="2584">
        <f>(M$160+SUM(M$171:M190))*$G191</f>
        <v>127.81541996931459</v>
      </c>
      <c r="N191" s="2585">
        <f>(N$160+SUM(N$171:N190))*$G191</f>
        <v>24.31394629673764</v>
      </c>
      <c r="O191" s="2583">
        <f>(O$160+SUM(O$171:O190))*$G191</f>
        <v>135.18312210166644</v>
      </c>
      <c r="P191" s="2583">
        <f>(P$160+SUM(P$171:P190))*$G191</f>
        <v>83.043646014774225</v>
      </c>
      <c r="Q191" s="2584">
        <f>(Q$160+SUM(Q$171:Q190))*$G191</f>
        <v>65.58320376829073</v>
      </c>
      <c r="R191" s="2585">
        <f>(R$160+SUM(R$171:R190))*$G191</f>
        <v>147.58259056830991</v>
      </c>
      <c r="S191" s="2583">
        <f>(S$160+SUM(S$171:S190))*$G191</f>
        <v>301.61811173334655</v>
      </c>
      <c r="T191" s="2583">
        <f>(T$160+SUM(T$171:T190))*$G191</f>
        <v>78.545207262951763</v>
      </c>
      <c r="U191" s="2584">
        <f>(U$160+SUM(U$171:U190))*$G191</f>
        <v>147.10157807416039</v>
      </c>
      <c r="V191" s="2585">
        <f>(V$160+SUM(V$171:V190))*$G191</f>
        <v>70.227854016396279</v>
      </c>
      <c r="W191" s="2583">
        <f>(W$160+SUM(W$171:W190))*$G191</f>
        <v>38.348660267973976</v>
      </c>
      <c r="X191" s="2583">
        <f>(X$160+SUM(X$171:X190))*$G191</f>
        <v>149.80719189566517</v>
      </c>
      <c r="Y191" s="2584">
        <f>(Y$160+SUM(Y$171:Y190))*$G191</f>
        <v>191.69334276428432</v>
      </c>
      <c r="Z191" s="2585">
        <f>(Z$160+SUM(Z$171:Z190))*$G191</f>
        <v>121.19688226756038</v>
      </c>
      <c r="AA191" s="2583">
        <f>(AA$160+SUM(AA$171:AA190))*$G191</f>
        <v>195.16887094990997</v>
      </c>
      <c r="AB191" s="2583">
        <f>(AB$160+SUM(AB$171:AB190))*$G191</f>
        <v>208.38520438750271</v>
      </c>
      <c r="AC191" s="2584">
        <f>(AC$160+SUM(AC$171:AC190))*$G191</f>
        <v>233.52778205875327</v>
      </c>
      <c r="AD191" s="2563"/>
      <c r="AE191" s="2564"/>
      <c r="AF191" s="2564"/>
      <c r="AG191" s="2568"/>
      <c r="AH191" s="2563"/>
      <c r="AI191" s="2564"/>
      <c r="AJ191" s="2564"/>
      <c r="AK191" s="2568"/>
    </row>
    <row r="192" spans="3:37" hidden="1" outlineLevel="1">
      <c r="C192" s="2552">
        <f t="shared" si="78"/>
        <v>2750.9028900187068</v>
      </c>
      <c r="D192" s="2562">
        <f>D191</f>
        <v>2008</v>
      </c>
      <c r="E192" s="2582">
        <v>1</v>
      </c>
      <c r="F192" s="2528">
        <f t="shared" si="81"/>
        <v>39629</v>
      </c>
      <c r="G192" s="2589">
        <f t="shared" si="79"/>
        <v>1.7912917571581533E-2</v>
      </c>
      <c r="H192" s="2517">
        <f t="shared" si="80"/>
        <v>2750.9028900187068</v>
      </c>
      <c r="J192" s="2563"/>
      <c r="K192" s="2564"/>
      <c r="L192" s="2583">
        <f>(L$160+SUM(L$171:L191))*$G192</f>
        <v>57.654371943389343</v>
      </c>
      <c r="M192" s="2584">
        <f>(M$160+SUM(M$171:M191))*$G192</f>
        <v>130.10496705160202</v>
      </c>
      <c r="N192" s="2585">
        <f>(N$160+SUM(N$171:N191))*$G192</f>
        <v>24.749480012590961</v>
      </c>
      <c r="O192" s="2583">
        <f>(O$160+SUM(O$171:O191))*$G192</f>
        <v>137.6046462249426</v>
      </c>
      <c r="P192" s="2583">
        <f>(P$160+SUM(P$171:P191))*$G192</f>
        <v>84.531200000680457</v>
      </c>
      <c r="Q192" s="2584">
        <f>(Q$160+SUM(Q$171:Q191))*$G192</f>
        <v>66.757990291472368</v>
      </c>
      <c r="R192" s="2585">
        <f>(R$160+SUM(R$171:R191))*$G192</f>
        <v>150.22622534816051</v>
      </c>
      <c r="S192" s="2583">
        <f>(S$160+SUM(S$171:S191))*$G192</f>
        <v>307.02097210692204</v>
      </c>
      <c r="T192" s="2583">
        <f>(T$160+SUM(T$171:T191))*$G192</f>
        <v>79.952181086295809</v>
      </c>
      <c r="U192" s="2584">
        <f>(U$160+SUM(U$171:U191))*$G192</f>
        <v>149.73659651685242</v>
      </c>
      <c r="V192" s="2585">
        <f>(V$160+SUM(V$171:V191))*$G192</f>
        <v>71.485839776621035</v>
      </c>
      <c r="W192" s="2583">
        <f>(W$160+SUM(W$171:W191))*$G192</f>
        <v>39.035596658334782</v>
      </c>
      <c r="X192" s="2583">
        <f>(X$160+SUM(X$171:X191))*$G192</f>
        <v>152.49067577572231</v>
      </c>
      <c r="Y192" s="2584">
        <f>(Y$160+SUM(Y$171:Y191))*$G192</f>
        <v>195.12712981224186</v>
      </c>
      <c r="Z192" s="2585">
        <f>(Z$160+SUM(Z$171:Z191))*$G192</f>
        <v>123.36787202955188</v>
      </c>
      <c r="AA192" s="2583">
        <f>(AA$160+SUM(AA$171:AA191))*$G192</f>
        <v>198.66491484777436</v>
      </c>
      <c r="AB192" s="2583">
        <f>(AB$160+SUM(AB$171:AB191))*$G192</f>
        <v>212.1179913768332</v>
      </c>
      <c r="AC192" s="2584">
        <f>(AC$160+SUM(AC$171:AC191))*$G192</f>
        <v>237.71094596944596</v>
      </c>
      <c r="AD192" s="2585">
        <f>(AD$160+SUM(AD$171:AD191))*$G192</f>
        <v>332.56329318927266</v>
      </c>
      <c r="AE192" s="2564"/>
      <c r="AF192" s="2564"/>
      <c r="AG192" s="2568"/>
      <c r="AH192" s="2563"/>
      <c r="AI192" s="2564"/>
      <c r="AJ192" s="2564"/>
      <c r="AK192" s="2568"/>
    </row>
    <row r="193" spans="2:142" hidden="1" outlineLevel="1">
      <c r="C193" s="2594">
        <f t="shared" si="78"/>
        <v>3089.5359293331207</v>
      </c>
      <c r="D193" s="2562">
        <f>D192</f>
        <v>2008</v>
      </c>
      <c r="E193" s="2582">
        <v>1</v>
      </c>
      <c r="F193" s="2528">
        <f t="shared" si="81"/>
        <v>39721</v>
      </c>
      <c r="G193" s="2595">
        <f t="shared" si="79"/>
        <v>1.7912917571581533E-2</v>
      </c>
      <c r="H193" s="2596">
        <f t="shared" si="80"/>
        <v>3089.5359293331207</v>
      </c>
      <c r="J193" s="2563"/>
      <c r="K193" s="2564"/>
      <c r="L193" s="2583">
        <f>(L$160+SUM(L$171:L192))*$G193</f>
        <v>58.68712995565258</v>
      </c>
      <c r="M193" s="2584">
        <f>(M$160+SUM(M$171:M192))*$G193</f>
        <v>132.43552660205069</v>
      </c>
      <c r="N193" s="2585">
        <f>(N$160+SUM(N$171:N192))*$G193</f>
        <v>25.192815407996008</v>
      </c>
      <c r="O193" s="2583">
        <f>(O$160+SUM(O$171:O192))*$G193</f>
        <v>140.06954691023665</v>
      </c>
      <c r="P193" s="2583">
        <f>(P$160+SUM(P$171:P192))*$G193</f>
        <v>86.045400418519534</v>
      </c>
      <c r="Q193" s="2584">
        <f>(Q$160+SUM(Q$171:Q192))*$G193</f>
        <v>67.95382066880795</v>
      </c>
      <c r="R193" s="2585">
        <f>(R$160+SUM(R$171:R192))*$G193</f>
        <v>152.91721533991193</v>
      </c>
      <c r="S193" s="2583">
        <f>(S$160+SUM(S$171:S192))*$G193</f>
        <v>312.52061347302021</v>
      </c>
      <c r="T193" s="2583">
        <f>(T$160+SUM(T$171:T192))*$G193</f>
        <v>81.384357915762791</v>
      </c>
      <c r="U193" s="2584">
        <f>(U$160+SUM(U$171:U192))*$G193</f>
        <v>152.41881582770793</v>
      </c>
      <c r="V193" s="2585">
        <f>(V$160+SUM(V$171:V192))*$G193</f>
        <v>72.766359732074932</v>
      </c>
      <c r="W193" s="2583">
        <f>(W$160+SUM(W$171:W192))*$G193</f>
        <v>39.734838083633036</v>
      </c>
      <c r="X193" s="2583">
        <f>(X$160+SUM(X$171:X192))*$G193</f>
        <v>155.22222868132758</v>
      </c>
      <c r="Y193" s="2584">
        <f>(Y$160+SUM(Y$171:Y192))*$G193</f>
        <v>198.62242600454786</v>
      </c>
      <c r="Z193" s="2585">
        <f>(Z$160+SUM(Z$171:Z192))*$G193</f>
        <v>125.57775055219867</v>
      </c>
      <c r="AA193" s="2583">
        <f>(AA$160+SUM(AA$171:AA192))*$G193</f>
        <v>202.22358309180777</v>
      </c>
      <c r="AB193" s="2583">
        <f>(AB$160+SUM(AB$171:AB192))*$G193</f>
        <v>215.91764347181584</v>
      </c>
      <c r="AC193" s="2584">
        <f>(AC$160+SUM(AC$171:AC192))*$G193</f>
        <v>241.96904255045933</v>
      </c>
      <c r="AD193" s="2585">
        <f>(AD$160+SUM(AD$171:AD192))*$G193</f>
        <v>338.52047204750579</v>
      </c>
      <c r="AE193" s="2583">
        <f>(AE$160+SUM(AE$171:AE192))*$G193</f>
        <v>289.35634259808313</v>
      </c>
      <c r="AF193" s="2564"/>
      <c r="AG193" s="2568"/>
      <c r="AH193" s="2563"/>
      <c r="AI193" s="2564"/>
      <c r="AJ193" s="2564"/>
      <c r="AK193" s="2568"/>
    </row>
    <row r="194" spans="2:142" hidden="1" outlineLevel="1">
      <c r="C194" s="2569">
        <f t="shared" si="78"/>
        <v>3556.1171218136496</v>
      </c>
      <c r="D194" s="2570">
        <f>D193</f>
        <v>2008</v>
      </c>
      <c r="E194" s="2586">
        <v>1</v>
      </c>
      <c r="F194" s="2572">
        <f t="shared" si="81"/>
        <v>39813</v>
      </c>
      <c r="G194" s="2590">
        <f t="shared" si="79"/>
        <v>1.7912917571581533E-2</v>
      </c>
      <c r="H194" s="2574">
        <f t="shared" si="80"/>
        <v>3556.1171218136496</v>
      </c>
      <c r="J194" s="2575"/>
      <c r="K194" s="2576"/>
      <c r="L194" s="2577">
        <f>(L$160+SUM(L$171:L193))*$G194</f>
        <v>59.738387677060878</v>
      </c>
      <c r="M194" s="2587">
        <f>(M$160+SUM(M$171:M193))*$G194</f>
        <v>134.80783327362221</v>
      </c>
      <c r="N194" s="2588">
        <f>(N$160+SUM(N$171:N193))*$G194</f>
        <v>25.644092233795512</v>
      </c>
      <c r="O194" s="2577">
        <f>(O$160+SUM(O$171:O193))*$G194</f>
        <v>142.5786011583285</v>
      </c>
      <c r="P194" s="2577">
        <f>(P$160+SUM(P$171:P193))*$G194</f>
        <v>87.586724583630215</v>
      </c>
      <c r="Q194" s="2587">
        <f>(Q$160+SUM(Q$171:Q193))*$G194</f>
        <v>69.171071857122342</v>
      </c>
      <c r="R194" s="2588">
        <f>(R$160+SUM(R$171:R193))*$G194</f>
        <v>155.65640881357157</v>
      </c>
      <c r="S194" s="2577">
        <f>(S$160+SUM(S$171:S193))*$G194</f>
        <v>318.11876946158253</v>
      </c>
      <c r="T194" s="2577">
        <f>(T$160+SUM(T$171:T193))*$G194</f>
        <v>82.842189210723944</v>
      </c>
      <c r="U194" s="2587">
        <f>(U$160+SUM(U$171:U193))*$G194</f>
        <v>155.14908151198776</v>
      </c>
      <c r="V194" s="2588">
        <f>(V$160+SUM(V$171:V193))*$G194</f>
        <v>74.069817535939634</v>
      </c>
      <c r="W194" s="2577">
        <f>(W$160+SUM(W$171:W193))*$G194</f>
        <v>40.446604962945294</v>
      </c>
      <c r="X194" s="2577">
        <f>(X$160+SUM(X$171:X193))*$G194</f>
        <v>158.0027116689734</v>
      </c>
      <c r="Y194" s="2587">
        <f>(Y$160+SUM(Y$171:Y193))*$G194</f>
        <v>202.18033314943489</v>
      </c>
      <c r="Z194" s="2588">
        <f>(Z$160+SUM(Z$171:Z193))*$G194</f>
        <v>127.82721444666481</v>
      </c>
      <c r="AA194" s="2577">
        <f>(AA$160+SUM(AA$171:AA193))*$G194</f>
        <v>205.84599746676122</v>
      </c>
      <c r="AB194" s="2577">
        <f>(AB$160+SUM(AB$171:AB193))*$G194</f>
        <v>219.78535842157663</v>
      </c>
      <c r="AC194" s="2587">
        <f>(AC$160+SUM(AC$171:AC193))*$G194</f>
        <v>246.30341406454019</v>
      </c>
      <c r="AD194" s="2588">
        <f>(AD$160+SUM(AD$171:AD193))*$G194</f>
        <v>344.58436135958561</v>
      </c>
      <c r="AE194" s="2577">
        <f>(AE$160+SUM(AE$171:AE193))*$G194</f>
        <v>294.53955891185689</v>
      </c>
      <c r="AF194" s="2577">
        <f>(AF$160+SUM(AF$171:AF193))*$G194</f>
        <v>411.23859004394569</v>
      </c>
      <c r="AG194" s="2581"/>
      <c r="AH194" s="2575"/>
      <c r="AI194" s="2576"/>
      <c r="AJ194" s="2576"/>
      <c r="AK194" s="2581"/>
    </row>
    <row r="195" spans="2:142" hidden="1" outlineLevel="1">
      <c r="C195" s="2552">
        <f t="shared" si="78"/>
        <v>3491.9057555412755</v>
      </c>
      <c r="D195" s="2553">
        <f>D194+1</f>
        <v>2009</v>
      </c>
      <c r="E195" s="2582">
        <v>1</v>
      </c>
      <c r="F195" s="2528">
        <f t="shared" si="81"/>
        <v>39903</v>
      </c>
      <c r="G195" s="2589">
        <f t="shared" si="79"/>
        <v>1.6201973760160859E-2</v>
      </c>
      <c r="H195" s="2517">
        <f t="shared" si="80"/>
        <v>3491.9057555412755</v>
      </c>
      <c r="J195" s="2563"/>
      <c r="K195" s="2564"/>
      <c r="L195" s="2583">
        <f>(L$160+SUM(L$171:L194))*$G195</f>
        <v>55.000383749418454</v>
      </c>
      <c r="M195" s="2584">
        <f>(M$160+SUM(M$171:M194))*$G195</f>
        <v>124.11588010307068</v>
      </c>
      <c r="N195" s="2585">
        <f>(N$160+SUM(N$171:N194))*$G195</f>
        <v>23.610193857070424</v>
      </c>
      <c r="O195" s="2583">
        <f>(O$160+SUM(O$171:O194))*$G195</f>
        <v>131.27032856252617</v>
      </c>
      <c r="P195" s="2583">
        <f>(P$160+SUM(P$171:P194))*$G195</f>
        <v>80.639998010928821</v>
      </c>
      <c r="Q195" s="2584">
        <f>(Q$160+SUM(Q$171:Q194))*$G195</f>
        <v>63.684937683063787</v>
      </c>
      <c r="R195" s="2585">
        <f>(R$160+SUM(R$171:R194))*$G195</f>
        <v>143.31090192931708</v>
      </c>
      <c r="S195" s="2583">
        <f>(S$160+SUM(S$171:S194))*$G195</f>
        <v>292.88795829014998</v>
      </c>
      <c r="T195" s="2583">
        <f>(T$160+SUM(T$171:T194))*$G195</f>
        <v>76.271763842420469</v>
      </c>
      <c r="U195" s="2584">
        <f>(U$160+SUM(U$171:U194))*$G195</f>
        <v>142.84381205028473</v>
      </c>
      <c r="V195" s="2585">
        <f>(V$160+SUM(V$171:V194))*$G195</f>
        <v>68.195151344709316</v>
      </c>
      <c r="W195" s="2583">
        <f>(W$160+SUM(W$171:W194))*$G195</f>
        <v>37.238681538392882</v>
      </c>
      <c r="X195" s="2583">
        <f>(X$160+SUM(X$171:X194))*$G195</f>
        <v>145.47111351951054</v>
      </c>
      <c r="Y195" s="2584">
        <f>(Y$160+SUM(Y$171:Y194))*$G195</f>
        <v>186.14489513707093</v>
      </c>
      <c r="Z195" s="2585">
        <f>(Z$160+SUM(Z$171:Z194))*$G195</f>
        <v>117.68891196381337</v>
      </c>
      <c r="AA195" s="2583">
        <f>(AA$160+SUM(AA$171:AA194))*$G195</f>
        <v>189.51982626576819</v>
      </c>
      <c r="AB195" s="2583">
        <f>(AB$160+SUM(AB$171:AB194))*$G195</f>
        <v>202.35362094199951</v>
      </c>
      <c r="AC195" s="2584">
        <f>(AC$160+SUM(AC$171:AC194))*$G195</f>
        <v>226.76846194065413</v>
      </c>
      <c r="AD195" s="2585">
        <f>(AD$160+SUM(AD$171:AD194))*$G195</f>
        <v>317.25449657729928</v>
      </c>
      <c r="AE195" s="2583">
        <f>(AE$160+SUM(AE$171:AE194))*$G195</f>
        <v>271.17887508298412</v>
      </c>
      <c r="AF195" s="2583">
        <f>(AF$160+SUM(AF$171:AF194))*$G195</f>
        <v>378.62220834045121</v>
      </c>
      <c r="AG195" s="2584">
        <f>(AG$160+SUM(AG$171:AG194))*$G195</f>
        <v>217.83335481037122</v>
      </c>
      <c r="AH195" s="2563"/>
      <c r="AI195" s="2564"/>
      <c r="AJ195" s="2564"/>
      <c r="AK195" s="2568"/>
      <c r="AL195" s="2599"/>
      <c r="AM195" s="2599"/>
      <c r="AN195" s="2600"/>
      <c r="AO195" s="2600"/>
      <c r="AP195" s="2600"/>
      <c r="AQ195" s="2600"/>
    </row>
    <row r="196" spans="2:142" hidden="1" outlineLevel="1">
      <c r="C196" s="2552">
        <f t="shared" si="78"/>
        <v>3548.4815209655094</v>
      </c>
      <c r="D196" s="2562">
        <f>D195</f>
        <v>2009</v>
      </c>
      <c r="E196" s="2582">
        <v>1</v>
      </c>
      <c r="F196" s="2528">
        <f t="shared" si="81"/>
        <v>39994</v>
      </c>
      <c r="G196" s="2589">
        <f t="shared" si="79"/>
        <v>1.6201973760160859E-2</v>
      </c>
      <c r="H196" s="2517">
        <f t="shared" si="80"/>
        <v>3548.4815209655094</v>
      </c>
      <c r="J196" s="2563"/>
      <c r="K196" s="2564"/>
      <c r="L196" s="2583">
        <f>(L$160+SUM(L$171:L195))*$G196</f>
        <v>55.891498523725303</v>
      </c>
      <c r="M196" s="2584">
        <f>(M$160+SUM(M$171:M195))*$G196</f>
        <v>126.1268023357199</v>
      </c>
      <c r="N196" s="2585">
        <f>(N$160+SUM(N$171:N195))*$G196</f>
        <v>23.992725598414992</v>
      </c>
      <c r="O196" s="2583">
        <f>(O$160+SUM(O$171:O195))*$G196</f>
        <v>133.39716698138389</v>
      </c>
      <c r="P196" s="2583">
        <f>(P$160+SUM(P$171:P195))*$G196</f>
        <v>81.946525142721313</v>
      </c>
      <c r="Q196" s="2584">
        <f>(Q$160+SUM(Q$171:Q195))*$G196</f>
        <v>64.716759372322258</v>
      </c>
      <c r="R196" s="2591">
        <f>(R$160+SUM(R$171:R195))*$G196</f>
        <v>145.63282140192086</v>
      </c>
      <c r="S196" s="2592">
        <f>(S$160+SUM(S$171:S195))*$G196</f>
        <v>297.63332130503409</v>
      </c>
      <c r="T196" s="2592">
        <f>(T$160+SUM(T$171:T195))*$G196</f>
        <v>77.507516958836561</v>
      </c>
      <c r="U196" s="2593">
        <f>(U$160+SUM(U$171:U195))*$G196</f>
        <v>145.15816374492479</v>
      </c>
      <c r="V196" s="2591">
        <f>(V$160+SUM(V$171:V195))*$G196</f>
        <v>69.300047397366498</v>
      </c>
      <c r="W196" s="2592">
        <f>(W$160+SUM(W$171:W195))*$G196</f>
        <v>37.842021679540913</v>
      </c>
      <c r="X196" s="2592">
        <f>(X$160+SUM(X$171:X195))*$G196</f>
        <v>147.82803268361505</v>
      </c>
      <c r="Y196" s="2593">
        <f>(Y$160+SUM(Y$171:Y195))*$G196</f>
        <v>189.16080984366965</v>
      </c>
      <c r="Z196" s="2591">
        <f>(Z$160+SUM(Z$171:Z195))*$G196</f>
        <v>119.59570462731295</v>
      </c>
      <c r="AA196" s="2592">
        <f>(AA$160+SUM(AA$171:AA195))*$G196</f>
        <v>192.5904215179564</v>
      </c>
      <c r="AB196" s="2592">
        <f>(AB$160+SUM(AB$171:AB195))*$G196</f>
        <v>205.63214899877534</v>
      </c>
      <c r="AC196" s="2593">
        <f>(AC$160+SUM(AC$171:AC195))*$G196</f>
        <v>230.44255861064863</v>
      </c>
      <c r="AD196" s="2591">
        <f>(AD$160+SUM(AD$171:AD195))*$G196</f>
        <v>322.39464560613771</v>
      </c>
      <c r="AE196" s="2592">
        <f>(AE$160+SUM(AE$171:AE195))*$G196</f>
        <v>275.57250810138856</v>
      </c>
      <c r="AF196" s="2592">
        <f>(AF$160+SUM(AF$171:AF195))*$G196</f>
        <v>384.7566354249974</v>
      </c>
      <c r="AG196" s="2593">
        <f>(AG$160+SUM(AG$171:AG195))*$G196</f>
        <v>221.36268510909665</v>
      </c>
      <c r="AH196" s="2563"/>
      <c r="AI196" s="2564"/>
      <c r="AJ196" s="2564"/>
      <c r="AK196" s="2568"/>
      <c r="AL196" s="2599"/>
      <c r="AM196" s="2599"/>
      <c r="AN196" s="2600"/>
      <c r="AO196" s="2600"/>
      <c r="AP196" s="2600"/>
      <c r="AQ196" s="2600"/>
    </row>
    <row r="197" spans="2:142" hidden="1" outlineLevel="1">
      <c r="C197" s="2594">
        <f t="shared" si="78"/>
        <v>0</v>
      </c>
      <c r="D197" s="2562">
        <f>D196</f>
        <v>2009</v>
      </c>
      <c r="E197" s="2582">
        <v>0</v>
      </c>
      <c r="F197" s="2528">
        <f t="shared" si="81"/>
        <v>40086</v>
      </c>
      <c r="G197" s="2595">
        <f t="shared" si="79"/>
        <v>1.6201973760160859E-2</v>
      </c>
      <c r="H197" s="2596">
        <f t="shared" si="80"/>
        <v>0</v>
      </c>
      <c r="J197" s="2563"/>
      <c r="K197" s="2564"/>
      <c r="L197" s="2564"/>
      <c r="M197" s="2568"/>
      <c r="N197" s="2563"/>
      <c r="O197" s="2564"/>
      <c r="P197" s="2564"/>
      <c r="Q197" s="2568"/>
      <c r="R197" s="2563"/>
      <c r="S197" s="2564"/>
      <c r="T197" s="2564"/>
      <c r="U197" s="2568"/>
      <c r="V197" s="2563"/>
      <c r="W197" s="2564"/>
      <c r="X197" s="2564"/>
      <c r="Y197" s="2568"/>
      <c r="Z197" s="2563"/>
      <c r="AA197" s="2564"/>
      <c r="AB197" s="2564"/>
      <c r="AC197" s="2568"/>
      <c r="AD197" s="2563"/>
      <c r="AE197" s="2564"/>
      <c r="AF197" s="2564"/>
      <c r="AG197" s="2568"/>
      <c r="AH197" s="2563"/>
      <c r="AI197" s="2564"/>
      <c r="AJ197" s="2564"/>
      <c r="AK197" s="2568"/>
    </row>
    <row r="198" spans="2:142" hidden="1" outlineLevel="1">
      <c r="C198" s="2569">
        <f t="shared" si="78"/>
        <v>0</v>
      </c>
      <c r="D198" s="2570">
        <f>D197</f>
        <v>2009</v>
      </c>
      <c r="E198" s="2586">
        <v>0</v>
      </c>
      <c r="F198" s="2572">
        <f t="shared" si="81"/>
        <v>40178</v>
      </c>
      <c r="G198" s="2590">
        <f t="shared" si="79"/>
        <v>1.6201973760160859E-2</v>
      </c>
      <c r="H198" s="2574">
        <f t="shared" si="80"/>
        <v>0</v>
      </c>
      <c r="J198" s="2575"/>
      <c r="K198" s="2576"/>
      <c r="L198" s="2576"/>
      <c r="M198" s="2581"/>
      <c r="N198" s="2575"/>
      <c r="O198" s="2576"/>
      <c r="P198" s="2576"/>
      <c r="Q198" s="2581"/>
      <c r="R198" s="2575"/>
      <c r="S198" s="2576"/>
      <c r="T198" s="2576"/>
      <c r="U198" s="2581"/>
      <c r="V198" s="2575"/>
      <c r="W198" s="2576"/>
      <c r="X198" s="2576"/>
      <c r="Y198" s="2581"/>
      <c r="Z198" s="2575"/>
      <c r="AA198" s="2576"/>
      <c r="AB198" s="2576"/>
      <c r="AC198" s="2581"/>
      <c r="AD198" s="2575"/>
      <c r="AE198" s="2576"/>
      <c r="AF198" s="2576"/>
      <c r="AG198" s="2581"/>
      <c r="AH198" s="2575"/>
      <c r="AI198" s="2576"/>
      <c r="AJ198" s="2576"/>
      <c r="AK198" s="2581"/>
    </row>
    <row r="199" spans="2:142" s="2367" customFormat="1" ht="17.25" customHeight="1" collapsed="1">
      <c r="B199" s="2368" t="s">
        <v>3984</v>
      </c>
      <c r="H199" s="2369"/>
      <c r="I199" s="2369"/>
      <c r="J199" s="2369"/>
      <c r="K199" s="2369"/>
      <c r="L199" s="2370"/>
      <c r="M199" s="2369"/>
      <c r="N199" s="2369"/>
      <c r="O199" s="2371"/>
      <c r="P199" s="2369"/>
      <c r="Q199" s="2369"/>
      <c r="R199" s="2369"/>
      <c r="S199" s="2369"/>
      <c r="T199" s="2369"/>
      <c r="U199" s="2369"/>
      <c r="V199" s="2369"/>
      <c r="W199" s="2369"/>
      <c r="X199" s="2369"/>
      <c r="Y199" s="2369"/>
      <c r="Z199" s="2369"/>
      <c r="AA199" s="2369"/>
      <c r="AB199" s="2369"/>
      <c r="AC199" s="2369"/>
      <c r="AD199" s="2369"/>
      <c r="AE199" s="2369"/>
      <c r="AF199" s="2369"/>
      <c r="AG199" s="2369"/>
      <c r="AH199" s="2369"/>
      <c r="AI199" s="2369"/>
      <c r="AJ199" s="2369"/>
      <c r="AK199" s="2369"/>
      <c r="AL199" s="2369"/>
      <c r="AM199" s="2369"/>
      <c r="AN199" s="2369"/>
      <c r="AO199" s="2369"/>
      <c r="AP199" s="2369"/>
      <c r="AQ199" s="2369"/>
      <c r="AR199" s="2369"/>
      <c r="AS199" s="2369"/>
      <c r="AT199" s="2369"/>
      <c r="AU199" s="2369"/>
      <c r="AV199" s="2369"/>
      <c r="AW199" s="2369"/>
      <c r="AX199" s="2369"/>
      <c r="AY199" s="2369"/>
      <c r="AZ199" s="2369"/>
      <c r="BA199" s="2369"/>
      <c r="BB199" s="2369"/>
      <c r="BC199" s="2369"/>
      <c r="BD199" s="2369"/>
      <c r="BE199" s="2369"/>
      <c r="BF199" s="2369"/>
      <c r="BG199" s="2369"/>
      <c r="BH199" s="2369"/>
      <c r="BI199" s="2369"/>
      <c r="BJ199" s="2369"/>
      <c r="BK199" s="2369"/>
      <c r="BL199" s="2369"/>
      <c r="BM199" s="2369"/>
      <c r="BN199" s="2369"/>
      <c r="BR199" s="2368"/>
      <c r="CD199" s="2368"/>
      <c r="CP199" s="2368"/>
      <c r="DB199" s="2368"/>
      <c r="DN199" s="2368"/>
      <c r="DZ199" s="2368"/>
      <c r="EL199" s="2368"/>
    </row>
    <row r="200" spans="2:142" ht="15.75" customHeight="1">
      <c r="C200" s="2351" t="s">
        <v>11</v>
      </c>
      <c r="D200" s="2352"/>
      <c r="E200" s="2352"/>
      <c r="F200" s="2352"/>
      <c r="G200" s="2352"/>
      <c r="H200" s="766" t="s">
        <v>40</v>
      </c>
      <c r="J200" s="2353">
        <f t="shared" ref="J200:AO200" si="82">J10</f>
        <v>2003</v>
      </c>
      <c r="K200" s="2353">
        <f t="shared" si="82"/>
        <v>2004</v>
      </c>
      <c r="L200" s="2353">
        <f t="shared" si="82"/>
        <v>2005</v>
      </c>
      <c r="M200" s="2353">
        <f t="shared" si="82"/>
        <v>2006</v>
      </c>
      <c r="N200" s="2353">
        <f t="shared" si="82"/>
        <v>2007</v>
      </c>
      <c r="O200" s="2353">
        <f t="shared" si="82"/>
        <v>2008</v>
      </c>
      <c r="P200" s="2353">
        <f t="shared" si="82"/>
        <v>2009</v>
      </c>
      <c r="Q200" s="2353">
        <f t="shared" si="82"/>
        <v>2010</v>
      </c>
      <c r="R200" s="2353">
        <f t="shared" si="82"/>
        <v>2011</v>
      </c>
      <c r="S200" s="2353">
        <f t="shared" si="82"/>
        <v>2012</v>
      </c>
      <c r="T200" s="2353">
        <f t="shared" si="82"/>
        <v>2013</v>
      </c>
      <c r="U200" s="2353">
        <f t="shared" si="82"/>
        <v>2014</v>
      </c>
      <c r="V200" s="2353">
        <f t="shared" si="82"/>
        <v>2015</v>
      </c>
      <c r="W200" s="2353">
        <f t="shared" si="82"/>
        <v>2016</v>
      </c>
      <c r="X200" s="2353">
        <f t="shared" si="82"/>
        <v>2017</v>
      </c>
      <c r="Y200" s="2353">
        <f t="shared" si="82"/>
        <v>2018</v>
      </c>
      <c r="Z200" s="2353">
        <f t="shared" si="82"/>
        <v>2019</v>
      </c>
      <c r="AA200" s="2353">
        <f t="shared" si="82"/>
        <v>2020</v>
      </c>
      <c r="AB200" s="2353">
        <f t="shared" si="82"/>
        <v>2021</v>
      </c>
      <c r="AC200" s="2353">
        <f t="shared" si="82"/>
        <v>2022</v>
      </c>
      <c r="AD200" s="2353">
        <f t="shared" si="82"/>
        <v>2023</v>
      </c>
      <c r="AE200" s="2353">
        <f t="shared" si="82"/>
        <v>2024</v>
      </c>
      <c r="AF200" s="2353">
        <f t="shared" si="82"/>
        <v>2025</v>
      </c>
      <c r="AG200" s="2353">
        <f t="shared" si="82"/>
        <v>2026</v>
      </c>
      <c r="AH200" s="2353">
        <f t="shared" si="82"/>
        <v>2027</v>
      </c>
      <c r="AI200" s="2353">
        <f t="shared" si="82"/>
        <v>2028</v>
      </c>
      <c r="AJ200" s="2353">
        <f t="shared" si="82"/>
        <v>2029</v>
      </c>
      <c r="AK200" s="2353">
        <f t="shared" si="82"/>
        <v>2030</v>
      </c>
      <c r="AL200" s="2353">
        <f t="shared" si="82"/>
        <v>2031</v>
      </c>
      <c r="AM200" s="2353">
        <f t="shared" si="82"/>
        <v>2032</v>
      </c>
      <c r="AN200" s="2353">
        <f t="shared" si="82"/>
        <v>2033</v>
      </c>
      <c r="AO200" s="2353">
        <f t="shared" si="82"/>
        <v>2034</v>
      </c>
      <c r="AP200" s="2353">
        <f t="shared" ref="AP200:BN200" si="83">AP10</f>
        <v>2035</v>
      </c>
      <c r="AQ200" s="2353">
        <f t="shared" si="83"/>
        <v>2036</v>
      </c>
      <c r="AR200" s="2353">
        <f t="shared" si="83"/>
        <v>2037</v>
      </c>
      <c r="AS200" s="2353">
        <f t="shared" si="83"/>
        <v>2038</v>
      </c>
      <c r="AT200" s="2353">
        <f t="shared" si="83"/>
        <v>2039</v>
      </c>
      <c r="AU200" s="2353">
        <f t="shared" si="83"/>
        <v>2040</v>
      </c>
      <c r="AV200" s="2353">
        <f t="shared" si="83"/>
        <v>2041</v>
      </c>
      <c r="AW200" s="2353">
        <f t="shared" si="83"/>
        <v>2042</v>
      </c>
      <c r="AX200" s="2353">
        <f t="shared" si="83"/>
        <v>2043</v>
      </c>
      <c r="AY200" s="2353">
        <f t="shared" si="83"/>
        <v>2044</v>
      </c>
      <c r="AZ200" s="2353">
        <f t="shared" si="83"/>
        <v>2045</v>
      </c>
      <c r="BA200" s="2353">
        <f t="shared" si="83"/>
        <v>2046</v>
      </c>
      <c r="BB200" s="2353">
        <f t="shared" si="83"/>
        <v>2047</v>
      </c>
      <c r="BC200" s="2353">
        <f t="shared" si="83"/>
        <v>2048</v>
      </c>
      <c r="BD200" s="2353">
        <f t="shared" si="83"/>
        <v>2049</v>
      </c>
      <c r="BE200" s="2353">
        <f t="shared" si="83"/>
        <v>2050</v>
      </c>
      <c r="BF200" s="2353">
        <f t="shared" si="83"/>
        <v>2051</v>
      </c>
      <c r="BG200" s="2353">
        <f t="shared" si="83"/>
        <v>2052</v>
      </c>
      <c r="BH200" s="2353">
        <f t="shared" si="83"/>
        <v>2053</v>
      </c>
      <c r="BI200" s="2353">
        <f t="shared" si="83"/>
        <v>2054</v>
      </c>
      <c r="BJ200" s="2353">
        <f t="shared" si="83"/>
        <v>2055</v>
      </c>
      <c r="BK200" s="2353">
        <f t="shared" si="83"/>
        <v>2056</v>
      </c>
      <c r="BL200" s="2353">
        <f t="shared" si="83"/>
        <v>2057</v>
      </c>
      <c r="BM200" s="2353">
        <f t="shared" si="83"/>
        <v>2058</v>
      </c>
      <c r="BN200" s="2353">
        <f t="shared" si="83"/>
        <v>2059</v>
      </c>
    </row>
    <row r="201" spans="2:142">
      <c r="C201" s="2372" t="s">
        <v>3976</v>
      </c>
      <c r="D201" s="2373"/>
      <c r="E201" s="2396"/>
      <c r="F201" s="2396"/>
      <c r="G201" s="2397"/>
      <c r="H201" s="2649"/>
      <c r="I201" s="2650"/>
      <c r="J201" s="2651"/>
      <c r="K201" s="2649"/>
      <c r="L201" s="2652"/>
      <c r="M201" s="2651"/>
      <c r="N201" s="2651"/>
      <c r="O201" s="2649"/>
      <c r="P201" s="2653"/>
      <c r="Q201" s="2653"/>
      <c r="R201" s="2652"/>
      <c r="S201" s="2649"/>
      <c r="T201" s="2653"/>
      <c r="U201" s="2654"/>
      <c r="V201" s="2654"/>
      <c r="W201" s="2654"/>
      <c r="X201" s="2654"/>
      <c r="Y201" s="2654"/>
      <c r="Z201" s="2654"/>
      <c r="AA201" s="2654"/>
      <c r="AB201" s="2654"/>
      <c r="AC201" s="2654"/>
      <c r="AD201" s="2654"/>
      <c r="AE201" s="2654"/>
      <c r="AF201" s="2654"/>
      <c r="AG201" s="2654"/>
      <c r="AH201" s="2654"/>
      <c r="AI201" s="2654"/>
      <c r="AJ201" s="2654"/>
      <c r="AK201" s="2654"/>
      <c r="AL201" s="2654"/>
      <c r="AM201" s="2654"/>
      <c r="AN201" s="2654"/>
      <c r="AO201" s="2654"/>
      <c r="AP201" s="2654"/>
      <c r="AQ201" s="2654"/>
      <c r="AR201" s="2654"/>
      <c r="AS201" s="2654"/>
      <c r="AT201" s="2654"/>
      <c r="AU201" s="2654"/>
      <c r="AV201" s="2654"/>
      <c r="AW201" s="2654"/>
      <c r="AX201" s="2654"/>
      <c r="AY201" s="2654"/>
      <c r="AZ201" s="2654"/>
      <c r="BA201" s="2654"/>
      <c r="BB201" s="2654"/>
      <c r="BC201" s="2654"/>
      <c r="BD201" s="2654"/>
      <c r="BE201" s="2654"/>
      <c r="BF201" s="2654"/>
      <c r="BG201" s="2654"/>
      <c r="BH201" s="2654"/>
      <c r="BI201" s="2654"/>
      <c r="BJ201" s="2654"/>
      <c r="BK201" s="2654"/>
      <c r="BL201" s="2654"/>
      <c r="BM201" s="2654"/>
      <c r="BN201" s="2654"/>
    </row>
    <row r="202" spans="2:142">
      <c r="C202" s="2383"/>
      <c r="D202" s="2384" t="s">
        <v>3916</v>
      </c>
      <c r="E202" s="2385"/>
      <c r="F202" s="2385"/>
      <c r="G202" s="2386"/>
      <c r="H202" s="2460">
        <f>MAX(J202:AT202)</f>
        <v>189215.66948030109</v>
      </c>
      <c r="I202" s="2459"/>
      <c r="J202" s="2395">
        <f>J135</f>
        <v>7882.1971394732718</v>
      </c>
      <c r="K202" s="2387">
        <f t="shared" ref="K202:BN202" si="84">K135</f>
        <v>21660.026552916795</v>
      </c>
      <c r="L202" s="2393">
        <f t="shared" si="84"/>
        <v>53643.908107836163</v>
      </c>
      <c r="M202" s="2395">
        <f t="shared" si="84"/>
        <v>76688.816536823899</v>
      </c>
      <c r="N202" s="2395">
        <f t="shared" si="84"/>
        <v>118094.09005962612</v>
      </c>
      <c r="O202" s="2387">
        <f t="shared" si="84"/>
        <v>189215.66948030109</v>
      </c>
      <c r="P202" s="2392">
        <f t="shared" si="84"/>
        <v>189215.66948030109</v>
      </c>
      <c r="Q202" s="2392">
        <f t="shared" si="84"/>
        <v>0</v>
      </c>
      <c r="R202" s="2393">
        <f t="shared" si="84"/>
        <v>0</v>
      </c>
      <c r="S202" s="2387">
        <f t="shared" si="84"/>
        <v>0</v>
      </c>
      <c r="T202" s="2392">
        <f t="shared" si="84"/>
        <v>0</v>
      </c>
      <c r="U202" s="2394">
        <f t="shared" si="84"/>
        <v>0</v>
      </c>
      <c r="V202" s="2394">
        <f t="shared" si="84"/>
        <v>0</v>
      </c>
      <c r="W202" s="2394">
        <f t="shared" si="84"/>
        <v>0</v>
      </c>
      <c r="X202" s="2394">
        <f t="shared" si="84"/>
        <v>0</v>
      </c>
      <c r="Y202" s="2394">
        <f t="shared" si="84"/>
        <v>0</v>
      </c>
      <c r="Z202" s="2394">
        <f t="shared" si="84"/>
        <v>0</v>
      </c>
      <c r="AA202" s="2394">
        <f t="shared" si="84"/>
        <v>0</v>
      </c>
      <c r="AB202" s="2394">
        <f t="shared" si="84"/>
        <v>0</v>
      </c>
      <c r="AC202" s="2394">
        <f t="shared" si="84"/>
        <v>0</v>
      </c>
      <c r="AD202" s="2394">
        <f t="shared" si="84"/>
        <v>0</v>
      </c>
      <c r="AE202" s="2394">
        <f t="shared" si="84"/>
        <v>0</v>
      </c>
      <c r="AF202" s="2394">
        <f t="shared" si="84"/>
        <v>0</v>
      </c>
      <c r="AG202" s="2394">
        <f t="shared" si="84"/>
        <v>0</v>
      </c>
      <c r="AH202" s="2394">
        <f t="shared" si="84"/>
        <v>0</v>
      </c>
      <c r="AI202" s="2394">
        <f t="shared" si="84"/>
        <v>0</v>
      </c>
      <c r="AJ202" s="2394">
        <f t="shared" si="84"/>
        <v>0</v>
      </c>
      <c r="AK202" s="2394">
        <f t="shared" si="84"/>
        <v>0</v>
      </c>
      <c r="AL202" s="2394">
        <f t="shared" si="84"/>
        <v>0</v>
      </c>
      <c r="AM202" s="2394">
        <f t="shared" si="84"/>
        <v>0</v>
      </c>
      <c r="AN202" s="2394">
        <f t="shared" si="84"/>
        <v>0</v>
      </c>
      <c r="AO202" s="2394">
        <f t="shared" si="84"/>
        <v>0</v>
      </c>
      <c r="AP202" s="2394">
        <f t="shared" si="84"/>
        <v>0</v>
      </c>
      <c r="AQ202" s="2394">
        <f t="shared" si="84"/>
        <v>0</v>
      </c>
      <c r="AR202" s="2394">
        <f t="shared" si="84"/>
        <v>0</v>
      </c>
      <c r="AS202" s="2394">
        <f t="shared" si="84"/>
        <v>0</v>
      </c>
      <c r="AT202" s="2394">
        <f t="shared" si="84"/>
        <v>0</v>
      </c>
      <c r="AU202" s="2394">
        <f t="shared" si="84"/>
        <v>0</v>
      </c>
      <c r="AV202" s="2394">
        <f t="shared" si="84"/>
        <v>0</v>
      </c>
      <c r="AW202" s="2394">
        <f t="shared" si="84"/>
        <v>0</v>
      </c>
      <c r="AX202" s="2394">
        <f t="shared" si="84"/>
        <v>0</v>
      </c>
      <c r="AY202" s="2394">
        <f t="shared" si="84"/>
        <v>0</v>
      </c>
      <c r="AZ202" s="2394">
        <f t="shared" si="84"/>
        <v>0</v>
      </c>
      <c r="BA202" s="2394">
        <f t="shared" si="84"/>
        <v>0</v>
      </c>
      <c r="BB202" s="2394">
        <f t="shared" si="84"/>
        <v>0</v>
      </c>
      <c r="BC202" s="2394">
        <f t="shared" si="84"/>
        <v>0</v>
      </c>
      <c r="BD202" s="2394">
        <f t="shared" si="84"/>
        <v>0</v>
      </c>
      <c r="BE202" s="2394">
        <f t="shared" si="84"/>
        <v>0</v>
      </c>
      <c r="BF202" s="2394">
        <f t="shared" si="84"/>
        <v>0</v>
      </c>
      <c r="BG202" s="2394">
        <f t="shared" si="84"/>
        <v>0</v>
      </c>
      <c r="BH202" s="2394">
        <f t="shared" si="84"/>
        <v>0</v>
      </c>
      <c r="BI202" s="2394">
        <f t="shared" si="84"/>
        <v>0</v>
      </c>
      <c r="BJ202" s="2394">
        <f t="shared" si="84"/>
        <v>0</v>
      </c>
      <c r="BK202" s="2394">
        <f t="shared" si="84"/>
        <v>0</v>
      </c>
      <c r="BL202" s="2394">
        <f t="shared" si="84"/>
        <v>0</v>
      </c>
      <c r="BM202" s="2394">
        <f t="shared" si="84"/>
        <v>0</v>
      </c>
      <c r="BN202" s="2394">
        <f t="shared" si="84"/>
        <v>0</v>
      </c>
    </row>
    <row r="203" spans="2:142">
      <c r="C203" s="2383"/>
      <c r="D203" s="2384" t="s">
        <v>3927</v>
      </c>
      <c r="E203" s="2385"/>
      <c r="F203" s="2385"/>
      <c r="G203" s="2386"/>
      <c r="H203" s="2460">
        <f>MAX(J203:AT203)</f>
        <v>47667.463642969567</v>
      </c>
      <c r="I203" s="2459"/>
      <c r="J203" s="2395">
        <f t="shared" ref="J203:AO203" si="85">(I203+SUMIF($D$238:$D$265,J$200,$C$238:$C$265))*(J$4&gt;0)</f>
        <v>55.895378752587284</v>
      </c>
      <c r="K203" s="2387">
        <f t="shared" si="85"/>
        <v>1218.7353437408131</v>
      </c>
      <c r="L203" s="2393">
        <f t="shared" si="85"/>
        <v>4486.0654965474077</v>
      </c>
      <c r="M203" s="2395">
        <f t="shared" si="85"/>
        <v>10234.539633462267</v>
      </c>
      <c r="N203" s="2395">
        <f t="shared" si="85"/>
        <v>20229.879481135722</v>
      </c>
      <c r="O203" s="2387">
        <f t="shared" si="85"/>
        <v>37387.191381667348</v>
      </c>
      <c r="P203" s="2392">
        <f t="shared" si="85"/>
        <v>47667.463642969567</v>
      </c>
      <c r="Q203" s="2392">
        <f t="shared" si="85"/>
        <v>0</v>
      </c>
      <c r="R203" s="2393">
        <f t="shared" si="85"/>
        <v>0</v>
      </c>
      <c r="S203" s="2387">
        <f t="shared" si="85"/>
        <v>0</v>
      </c>
      <c r="T203" s="2392">
        <f t="shared" si="85"/>
        <v>0</v>
      </c>
      <c r="U203" s="2394">
        <f t="shared" si="85"/>
        <v>0</v>
      </c>
      <c r="V203" s="2394">
        <f t="shared" si="85"/>
        <v>0</v>
      </c>
      <c r="W203" s="2394">
        <f t="shared" si="85"/>
        <v>0</v>
      </c>
      <c r="X203" s="2394">
        <f t="shared" si="85"/>
        <v>0</v>
      </c>
      <c r="Y203" s="2394">
        <f t="shared" si="85"/>
        <v>0</v>
      </c>
      <c r="Z203" s="2394">
        <f t="shared" si="85"/>
        <v>0</v>
      </c>
      <c r="AA203" s="2394">
        <f t="shared" si="85"/>
        <v>0</v>
      </c>
      <c r="AB203" s="2394">
        <f t="shared" si="85"/>
        <v>0</v>
      </c>
      <c r="AC203" s="2394">
        <f t="shared" si="85"/>
        <v>0</v>
      </c>
      <c r="AD203" s="2394">
        <f t="shared" si="85"/>
        <v>0</v>
      </c>
      <c r="AE203" s="2394">
        <f t="shared" si="85"/>
        <v>0</v>
      </c>
      <c r="AF203" s="2394">
        <f t="shared" si="85"/>
        <v>0</v>
      </c>
      <c r="AG203" s="2394">
        <f t="shared" si="85"/>
        <v>0</v>
      </c>
      <c r="AH203" s="2394">
        <f t="shared" si="85"/>
        <v>0</v>
      </c>
      <c r="AI203" s="2394">
        <f t="shared" si="85"/>
        <v>0</v>
      </c>
      <c r="AJ203" s="2394">
        <f t="shared" si="85"/>
        <v>0</v>
      </c>
      <c r="AK203" s="2394">
        <f t="shared" si="85"/>
        <v>0</v>
      </c>
      <c r="AL203" s="2394">
        <f t="shared" si="85"/>
        <v>0</v>
      </c>
      <c r="AM203" s="2394">
        <f t="shared" si="85"/>
        <v>0</v>
      </c>
      <c r="AN203" s="2394">
        <f t="shared" si="85"/>
        <v>0</v>
      </c>
      <c r="AO203" s="2394">
        <f t="shared" si="85"/>
        <v>0</v>
      </c>
      <c r="AP203" s="2394">
        <f t="shared" ref="AP203:BN203" si="86">(AO203+SUMIF($D$238:$D$265,AP$200,$C$238:$C$265))*(AP$4&gt;0)</f>
        <v>0</v>
      </c>
      <c r="AQ203" s="2394">
        <f t="shared" si="86"/>
        <v>0</v>
      </c>
      <c r="AR203" s="2394">
        <f t="shared" si="86"/>
        <v>0</v>
      </c>
      <c r="AS203" s="2394">
        <f t="shared" si="86"/>
        <v>0</v>
      </c>
      <c r="AT203" s="2394">
        <f t="shared" si="86"/>
        <v>0</v>
      </c>
      <c r="AU203" s="2394">
        <f t="shared" si="86"/>
        <v>0</v>
      </c>
      <c r="AV203" s="2394">
        <f t="shared" si="86"/>
        <v>0</v>
      </c>
      <c r="AW203" s="2394">
        <f t="shared" si="86"/>
        <v>0</v>
      </c>
      <c r="AX203" s="2394">
        <f t="shared" si="86"/>
        <v>0</v>
      </c>
      <c r="AY203" s="2394">
        <f t="shared" si="86"/>
        <v>0</v>
      </c>
      <c r="AZ203" s="2394">
        <f t="shared" si="86"/>
        <v>0</v>
      </c>
      <c r="BA203" s="2394">
        <f t="shared" si="86"/>
        <v>0</v>
      </c>
      <c r="BB203" s="2394">
        <f t="shared" si="86"/>
        <v>0</v>
      </c>
      <c r="BC203" s="2394">
        <f t="shared" si="86"/>
        <v>0</v>
      </c>
      <c r="BD203" s="2394">
        <f t="shared" si="86"/>
        <v>0</v>
      </c>
      <c r="BE203" s="2394">
        <f t="shared" si="86"/>
        <v>0</v>
      </c>
      <c r="BF203" s="2394">
        <f t="shared" si="86"/>
        <v>0</v>
      </c>
      <c r="BG203" s="2394">
        <f t="shared" si="86"/>
        <v>0</v>
      </c>
      <c r="BH203" s="2394">
        <f t="shared" si="86"/>
        <v>0</v>
      </c>
      <c r="BI203" s="2394">
        <f t="shared" si="86"/>
        <v>0</v>
      </c>
      <c r="BJ203" s="2394">
        <f t="shared" si="86"/>
        <v>0</v>
      </c>
      <c r="BK203" s="2394">
        <f t="shared" si="86"/>
        <v>0</v>
      </c>
      <c r="BL203" s="2394">
        <f t="shared" si="86"/>
        <v>0</v>
      </c>
      <c r="BM203" s="2394">
        <f t="shared" si="86"/>
        <v>0</v>
      </c>
      <c r="BN203" s="2394">
        <f t="shared" si="86"/>
        <v>0</v>
      </c>
    </row>
    <row r="204" spans="2:142">
      <c r="C204" s="2383"/>
      <c r="D204" s="2384" t="s">
        <v>3985</v>
      </c>
      <c r="E204" s="2385"/>
      <c r="F204" s="2385"/>
      <c r="G204" s="2386"/>
      <c r="H204" s="2460">
        <f>MAX(J204:AT204)</f>
        <v>236883.13312327064</v>
      </c>
      <c r="I204" s="2459"/>
      <c r="J204" s="2395">
        <f t="shared" ref="J204:BN204" si="87">SUM(J202:J203)</f>
        <v>7938.0925182258588</v>
      </c>
      <c r="K204" s="2387">
        <f t="shared" si="87"/>
        <v>22878.761896657608</v>
      </c>
      <c r="L204" s="2393">
        <f t="shared" si="87"/>
        <v>58129.973604383573</v>
      </c>
      <c r="M204" s="2395">
        <f t="shared" si="87"/>
        <v>86923.356170286163</v>
      </c>
      <c r="N204" s="2395">
        <f t="shared" si="87"/>
        <v>138323.96954076184</v>
      </c>
      <c r="O204" s="2387">
        <f t="shared" si="87"/>
        <v>226602.86086196842</v>
      </c>
      <c r="P204" s="2392">
        <f t="shared" si="87"/>
        <v>236883.13312327064</v>
      </c>
      <c r="Q204" s="2392">
        <f t="shared" si="87"/>
        <v>0</v>
      </c>
      <c r="R204" s="2393">
        <f t="shared" si="87"/>
        <v>0</v>
      </c>
      <c r="S204" s="2387">
        <f t="shared" si="87"/>
        <v>0</v>
      </c>
      <c r="T204" s="2392">
        <f t="shared" si="87"/>
        <v>0</v>
      </c>
      <c r="U204" s="2394">
        <f t="shared" si="87"/>
        <v>0</v>
      </c>
      <c r="V204" s="2394">
        <f t="shared" si="87"/>
        <v>0</v>
      </c>
      <c r="W204" s="2394">
        <f t="shared" si="87"/>
        <v>0</v>
      </c>
      <c r="X204" s="2394">
        <f t="shared" si="87"/>
        <v>0</v>
      </c>
      <c r="Y204" s="2394">
        <f t="shared" si="87"/>
        <v>0</v>
      </c>
      <c r="Z204" s="2394">
        <f t="shared" si="87"/>
        <v>0</v>
      </c>
      <c r="AA204" s="2394">
        <f t="shared" si="87"/>
        <v>0</v>
      </c>
      <c r="AB204" s="2394">
        <f t="shared" si="87"/>
        <v>0</v>
      </c>
      <c r="AC204" s="2394">
        <f t="shared" si="87"/>
        <v>0</v>
      </c>
      <c r="AD204" s="2394">
        <f t="shared" si="87"/>
        <v>0</v>
      </c>
      <c r="AE204" s="2394">
        <f t="shared" si="87"/>
        <v>0</v>
      </c>
      <c r="AF204" s="2394">
        <f t="shared" si="87"/>
        <v>0</v>
      </c>
      <c r="AG204" s="2394">
        <f t="shared" si="87"/>
        <v>0</v>
      </c>
      <c r="AH204" s="2394">
        <f t="shared" si="87"/>
        <v>0</v>
      </c>
      <c r="AI204" s="2394">
        <f t="shared" si="87"/>
        <v>0</v>
      </c>
      <c r="AJ204" s="2394">
        <f t="shared" si="87"/>
        <v>0</v>
      </c>
      <c r="AK204" s="2394">
        <f t="shared" si="87"/>
        <v>0</v>
      </c>
      <c r="AL204" s="2394">
        <f t="shared" si="87"/>
        <v>0</v>
      </c>
      <c r="AM204" s="2394">
        <f t="shared" si="87"/>
        <v>0</v>
      </c>
      <c r="AN204" s="2394">
        <f t="shared" si="87"/>
        <v>0</v>
      </c>
      <c r="AO204" s="2394">
        <f t="shared" si="87"/>
        <v>0</v>
      </c>
      <c r="AP204" s="2394">
        <f t="shared" si="87"/>
        <v>0</v>
      </c>
      <c r="AQ204" s="2394">
        <f t="shared" si="87"/>
        <v>0</v>
      </c>
      <c r="AR204" s="2394">
        <f t="shared" si="87"/>
        <v>0</v>
      </c>
      <c r="AS204" s="2394">
        <f t="shared" si="87"/>
        <v>0</v>
      </c>
      <c r="AT204" s="2394">
        <f t="shared" si="87"/>
        <v>0</v>
      </c>
      <c r="AU204" s="2394">
        <f t="shared" si="87"/>
        <v>0</v>
      </c>
      <c r="AV204" s="2394">
        <f t="shared" si="87"/>
        <v>0</v>
      </c>
      <c r="AW204" s="2394">
        <f t="shared" si="87"/>
        <v>0</v>
      </c>
      <c r="AX204" s="2394">
        <f t="shared" si="87"/>
        <v>0</v>
      </c>
      <c r="AY204" s="2394">
        <f t="shared" si="87"/>
        <v>0</v>
      </c>
      <c r="AZ204" s="2394">
        <f t="shared" si="87"/>
        <v>0</v>
      </c>
      <c r="BA204" s="2394">
        <f t="shared" si="87"/>
        <v>0</v>
      </c>
      <c r="BB204" s="2394">
        <f t="shared" si="87"/>
        <v>0</v>
      </c>
      <c r="BC204" s="2394">
        <f t="shared" si="87"/>
        <v>0</v>
      </c>
      <c r="BD204" s="2394">
        <f t="shared" si="87"/>
        <v>0</v>
      </c>
      <c r="BE204" s="2394">
        <f t="shared" si="87"/>
        <v>0</v>
      </c>
      <c r="BF204" s="2394">
        <f t="shared" si="87"/>
        <v>0</v>
      </c>
      <c r="BG204" s="2394">
        <f t="shared" si="87"/>
        <v>0</v>
      </c>
      <c r="BH204" s="2394">
        <f t="shared" si="87"/>
        <v>0</v>
      </c>
      <c r="BI204" s="2394">
        <f t="shared" si="87"/>
        <v>0</v>
      </c>
      <c r="BJ204" s="2394">
        <f t="shared" si="87"/>
        <v>0</v>
      </c>
      <c r="BK204" s="2394">
        <f t="shared" si="87"/>
        <v>0</v>
      </c>
      <c r="BL204" s="2394">
        <f t="shared" si="87"/>
        <v>0</v>
      </c>
      <c r="BM204" s="2394">
        <f t="shared" si="87"/>
        <v>0</v>
      </c>
      <c r="BN204" s="2394">
        <f t="shared" si="87"/>
        <v>0</v>
      </c>
    </row>
    <row r="205" spans="2:142">
      <c r="C205" s="2383"/>
      <c r="D205" s="2406" t="s">
        <v>3929</v>
      </c>
      <c r="E205" s="2356"/>
      <c r="F205" s="2356"/>
      <c r="G205" s="2446"/>
      <c r="H205" s="2447">
        <f>SUM(J205:AT205)</f>
        <v>208992.78025303979</v>
      </c>
      <c r="I205" s="2459"/>
      <c r="J205" s="2448"/>
      <c r="K205" s="2447"/>
      <c r="L205" s="2449"/>
      <c r="M205" s="2448"/>
      <c r="N205" s="2447"/>
      <c r="O205" s="2449"/>
      <c r="P205" s="2447">
        <f>SUMIFS('TP(분기)'!203:203,'TP(분기)'!197:197,TP!P200)</f>
        <v>8227.8416298751217</v>
      </c>
      <c r="Q205" s="2392">
        <f>SUMIFS('TP(분기)'!203:203,'TP(분기)'!197:197,TP!Q200)</f>
        <v>15486.471434424295</v>
      </c>
      <c r="R205" s="2449">
        <f>SUMIFS('TP(분기)'!203:203,'TP(분기)'!197:197,TP!R200)</f>
        <v>14437.596527909538</v>
      </c>
      <c r="S205" s="2447">
        <f>SUMIFS('TP(분기)'!203:203,'TP(분기)'!197:197,TP!S200)</f>
        <v>13459.760306622386</v>
      </c>
      <c r="T205" s="2450">
        <f>SUMIFS('TP(분기)'!203:203,'TP(분기)'!197:197,TP!T200)</f>
        <v>12548.151429603564</v>
      </c>
      <c r="U205" s="2451">
        <f>SUMIFS('TP(분기)'!203:203,'TP(분기)'!197:197,TP!U200)</f>
        <v>11698.284420621623</v>
      </c>
      <c r="V205" s="2451">
        <f>SUMIFS('TP(분기)'!203:203,'TP(분기)'!197:197,TP!V200)</f>
        <v>10905.97759785579</v>
      </c>
      <c r="W205" s="2451">
        <f>SUMIFS('TP(분기)'!203:203,'TP(분기)'!197:197,TP!W200)</f>
        <v>10167.332498367494</v>
      </c>
      <c r="X205" s="2451">
        <f>SUMIFS('TP(분기)'!203:203,'TP(분기)'!197:197,TP!X200)</f>
        <v>9478.7146961207873</v>
      </c>
      <c r="Y205" s="2451">
        <f>SUMIFS('TP(분기)'!203:203,'TP(분기)'!197:197,TP!Y200)</f>
        <v>8836.735919168792</v>
      </c>
      <c r="Z205" s="2451">
        <f>SUMIFS('TP(분기)'!203:203,'TP(분기)'!197:197,TP!Z200)</f>
        <v>8238.2373780155831</v>
      </c>
      <c r="AA205" s="2451">
        <f>SUMIFS('TP(분기)'!203:203,'TP(분기)'!197:197,TP!AA200)</f>
        <v>7680.2742231225347</v>
      </c>
      <c r="AB205" s="2451">
        <f>SUMIFS('TP(분기)'!203:203,'TP(분기)'!197:197,TP!AB200)</f>
        <v>7160.1010550838337</v>
      </c>
      <c r="AC205" s="2451">
        <f>SUMIFS('TP(분기)'!203:203,'TP(분기)'!197:197,TP!AC200)</f>
        <v>6675.1584161755627</v>
      </c>
      <c r="AD205" s="2451">
        <f>SUMIFS('TP(분기)'!203:203,'TP(분기)'!197:197,TP!AD200)</f>
        <v>6223.0601968113897</v>
      </c>
      <c r="AE205" s="2451">
        <f>SUMIFS('TP(분기)'!203:203,'TP(분기)'!197:197,TP!AE200)</f>
        <v>5801.581894939658</v>
      </c>
      <c r="AF205" s="2451">
        <f>SUMIFS('TP(분기)'!203:203,'TP(분기)'!197:197,TP!AF200)</f>
        <v>5408.6496706134549</v>
      </c>
      <c r="AG205" s="2451">
        <f>SUMIFS('TP(분기)'!203:203,'TP(분기)'!197:197,TP!AG200)</f>
        <v>5042.3301418778483</v>
      </c>
      <c r="AH205" s="2451">
        <f>SUMIFS('TP(분기)'!203:203,'TP(분기)'!197:197,TP!AH200)</f>
        <v>4700.8208717659736</v>
      </c>
      <c r="AI205" s="2451">
        <f>SUMIFS('TP(분기)'!203:203,'TP(분기)'!197:197,TP!AI200)</f>
        <v>4382.4414995962625</v>
      </c>
      <c r="AJ205" s="2451">
        <f>SUMIFS('TP(분기)'!203:203,'TP(분기)'!197:197,TP!AJ200)</f>
        <v>4085.6254729332909</v>
      </c>
      <c r="AK205" s="2451">
        <f>SUMIFS('TP(분기)'!203:203,'TP(분기)'!197:197,TP!AK200)</f>
        <v>3808.9123395301867</v>
      </c>
      <c r="AL205" s="2451">
        <f>SUMIFS('TP(분기)'!203:203,'TP(분기)'!197:197,TP!AL200)</f>
        <v>3550.9405613259451</v>
      </c>
      <c r="AM205" s="2451">
        <f>SUMIFS('TP(분기)'!203:203,'TP(분기)'!197:197,TP!AM200)</f>
        <v>3310.4408151396583</v>
      </c>
      <c r="AN205" s="2451">
        <f>SUMIFS('TP(분기)'!203:203,'TP(분기)'!197:197,TP!AN200)</f>
        <v>3086.2297470984304</v>
      </c>
      <c r="AO205" s="2451">
        <f>SUMIFS('TP(분기)'!203:203,'TP(분기)'!197:197,TP!AO200)</f>
        <v>2877.2041500682781</v>
      </c>
      <c r="AP205" s="2451">
        <f>SUMIFS('TP(분기)'!203:203,'TP(분기)'!197:197,TP!AP200)</f>
        <v>2682.335535438704</v>
      </c>
      <c r="AQ205" s="2451">
        <f>SUMIFS('TP(분기)'!203:203,'TP(분기)'!197:197,TP!AQ200)</f>
        <v>2500.6650725519421</v>
      </c>
      <c r="AR205" s="2451">
        <f>SUMIFS('TP(분기)'!203:203,'TP(분기)'!197:197,TP!AR200)</f>
        <v>2331.2988708768899</v>
      </c>
      <c r="AS205" s="2451">
        <f>SUMIFS('TP(분기)'!203:203,'TP(분기)'!197:197,TP!AS200)</f>
        <v>2173.403581714148</v>
      </c>
      <c r="AT205" s="2451">
        <f>SUMIFS('TP(분기)'!203:203,'TP(분기)'!197:197,TP!AT200)</f>
        <v>2026.2022977908134</v>
      </c>
      <c r="AU205" s="2451">
        <f>SUMIFS('TP(분기)'!203:203,'TP(분기)'!197:197,TP!AU200)</f>
        <v>1888.970730569423</v>
      </c>
      <c r="AV205" s="2451">
        <f>SUMIFS('TP(분기)'!203:203,'TP(분기)'!197:197,TP!AV200)</f>
        <v>1761.0336464618736</v>
      </c>
      <c r="AW205" s="2451">
        <f>SUMIFS('TP(분기)'!203:203,'TP(분기)'!197:197,TP!AW200)</f>
        <v>1641.7615444131013</v>
      </c>
      <c r="AX205" s="2451">
        <f>SUMIFS('TP(분기)'!203:203,'TP(분기)'!197:197,TP!AX200)</f>
        <v>1530.5675585069218</v>
      </c>
      <c r="AY205" s="2451">
        <f>SUMIFS('TP(분기)'!203:203,'TP(분기)'!197:197,TP!AY200)</f>
        <v>1426.9045703536005</v>
      </c>
      <c r="AZ205" s="2451">
        <f>SUMIFS('TP(분기)'!203:203,'TP(분기)'!197:197,TP!AZ200)</f>
        <v>1330.2625170509832</v>
      </c>
      <c r="BA205" s="2451">
        <f>SUMIFS('TP(분기)'!203:203,'TP(분기)'!197:197,TP!BA200)</f>
        <v>1240.1658814732741</v>
      </c>
      <c r="BB205" s="2451">
        <f>SUMIFS('TP(분기)'!203:203,'TP(분기)'!197:197,TP!BB200)</f>
        <v>1156.1713525387088</v>
      </c>
      <c r="BC205" s="2451">
        <f>SUMIFS('TP(분기)'!203:203,'TP(분기)'!197:197,TP!BC200)</f>
        <v>1077.8656439436909</v>
      </c>
      <c r="BD205" s="2451">
        <f>SUMIFS('TP(분기)'!203:203,'TP(분기)'!197:197,TP!BD200)</f>
        <v>1004.8634606307199</v>
      </c>
      <c r="BE205" s="2451">
        <f>SUMIFS('TP(분기)'!203:203,'TP(분기)'!197:197,TP!BE200)</f>
        <v>936.80560298431669</v>
      </c>
      <c r="BF205" s="2451">
        <f>SUMIFS('TP(분기)'!203:203,'TP(분기)'!197:197,TP!BF200)</f>
        <v>873.35719942684193</v>
      </c>
      <c r="BG205" s="2451">
        <f>SUMIFS('TP(분기)'!203:203,'TP(분기)'!197:197,TP!BG200)</f>
        <v>814.20605871789007</v>
      </c>
      <c r="BH205" s="2451">
        <f>SUMIFS('TP(분기)'!203:203,'TP(분기)'!197:197,TP!BH200)</f>
        <v>759.06113384990908</v>
      </c>
      <c r="BI205" s="2451">
        <f>SUMIFS('TP(분기)'!203:203,'TP(분기)'!197:197,TP!BI200)</f>
        <v>707.65108998180972</v>
      </c>
      <c r="BJ205" s="2451">
        <f>SUMIFS('TP(분기)'!203:203,'TP(분기)'!197:197,TP!BJ200)</f>
        <v>659.72296936423322</v>
      </c>
      <c r="BK205" s="2451">
        <f>SUMIFS('TP(분기)'!203:203,'TP(분기)'!197:197,TP!BK200)</f>
        <v>615.04094668737014</v>
      </c>
      <c r="BL205" s="2451">
        <f>SUMIFS('TP(분기)'!203:203,'TP(분기)'!197:197,TP!BL200)</f>
        <v>573.38516872716332</v>
      </c>
      <c r="BM205" s="2451">
        <f>SUMIFS('TP(분기)'!203:203,'TP(분기)'!197:197,TP!BM200)</f>
        <v>534.55067258049462</v>
      </c>
      <c r="BN205" s="2451">
        <f>SUMIFS('TP(분기)'!203:203,'TP(분기)'!197:197,TP!BN200)</f>
        <v>251.47580763355791</v>
      </c>
    </row>
    <row r="206" spans="2:142">
      <c r="C206" s="2383"/>
      <c r="D206" s="2406" t="s">
        <v>3930</v>
      </c>
      <c r="E206" s="2356"/>
      <c r="F206" s="2356"/>
      <c r="G206" s="2446"/>
      <c r="H206" s="2447">
        <f>H204*3%-BN206</f>
        <v>-3.5320636850883602E-2</v>
      </c>
      <c r="I206" s="2459"/>
      <c r="J206" s="2448">
        <f>$H204-SUM($I205:J205)</f>
        <v>236883.13312327064</v>
      </c>
      <c r="K206" s="2447">
        <f>$H204-SUM($I205:K205)</f>
        <v>236883.13312327064</v>
      </c>
      <c r="L206" s="2449">
        <f>$H204-SUM($I205:L205)</f>
        <v>236883.13312327064</v>
      </c>
      <c r="M206" s="2448">
        <f>$H204-SUM($I205:M205)</f>
        <v>236883.13312327064</v>
      </c>
      <c r="N206" s="2448">
        <f>$H204-SUM($I205:N205)</f>
        <v>236883.13312327064</v>
      </c>
      <c r="O206" s="2447">
        <f>$H204-SUM($I205:O205)</f>
        <v>236883.13312327064</v>
      </c>
      <c r="P206" s="2450">
        <f>$H204-SUM($I205:P205)</f>
        <v>228655.29149339552</v>
      </c>
      <c r="Q206" s="2450">
        <f>$H204-SUM($I205:Q205)</f>
        <v>213168.82005897124</v>
      </c>
      <c r="R206" s="2449">
        <f>$H204-SUM($I205:R205)</f>
        <v>198731.2235310617</v>
      </c>
      <c r="S206" s="2447">
        <f>$H204-SUM($I205:S205)</f>
        <v>185271.4632244393</v>
      </c>
      <c r="T206" s="2450">
        <f>$H204-SUM($I205:T205)</f>
        <v>172723.31179483572</v>
      </c>
      <c r="U206" s="2451">
        <f>$H204-SUM($I205:U205)</f>
        <v>161025.02737421411</v>
      </c>
      <c r="V206" s="2451">
        <f>$H204-SUM($I205:V205)</f>
        <v>150119.04977635833</v>
      </c>
      <c r="W206" s="2451">
        <f>$H204-SUM($I205:W205)</f>
        <v>139951.71727799083</v>
      </c>
      <c r="X206" s="2451">
        <f>$H204-SUM($I205:X205)</f>
        <v>130473.00258187004</v>
      </c>
      <c r="Y206" s="2451">
        <f>$H204-SUM($I205:Y205)</f>
        <v>121636.26666270125</v>
      </c>
      <c r="Z206" s="2451">
        <f>$H204-SUM($I205:Z205)</f>
        <v>113398.02928468568</v>
      </c>
      <c r="AA206" s="2451">
        <f>$H204-SUM($I205:AA205)</f>
        <v>105717.75506156313</v>
      </c>
      <c r="AB206" s="2451">
        <f>$H204-SUM($I205:AB205)</f>
        <v>98557.654006479308</v>
      </c>
      <c r="AC206" s="2451">
        <f>$H204-SUM($I205:AC205)</f>
        <v>91882.495590303733</v>
      </c>
      <c r="AD206" s="2451">
        <f>$H204-SUM($I205:AD205)</f>
        <v>85659.435393492342</v>
      </c>
      <c r="AE206" s="2451">
        <f>$H204-SUM($I205:AE205)</f>
        <v>79857.853498552693</v>
      </c>
      <c r="AF206" s="2451">
        <f>$H204-SUM($I205:AF205)</f>
        <v>74449.203827939229</v>
      </c>
      <c r="AG206" s="2451">
        <f>$H204-SUM($I205:AG205)</f>
        <v>69406.873686061386</v>
      </c>
      <c r="AH206" s="2451">
        <f>$H204-SUM($I205:AH205)</f>
        <v>64706.052814295399</v>
      </c>
      <c r="AI206" s="2451">
        <f>$H204-SUM($I205:AI205)</f>
        <v>60323.611314699141</v>
      </c>
      <c r="AJ206" s="2451">
        <f>$H204-SUM($I205:AJ205)</f>
        <v>56237.985841765854</v>
      </c>
      <c r="AK206" s="2451">
        <f>$H204-SUM($I205:AK205)</f>
        <v>52429.073502235668</v>
      </c>
      <c r="AL206" s="2451">
        <f>$H204-SUM($I205:AL205)</f>
        <v>48878.132940909709</v>
      </c>
      <c r="AM206" s="2451">
        <f>$H204-SUM($I205:AM205)</f>
        <v>45567.69212577006</v>
      </c>
      <c r="AN206" s="2451">
        <f>$H204-SUM($I205:AN205)</f>
        <v>42481.462378671626</v>
      </c>
      <c r="AO206" s="2451">
        <f>$H204-SUM($I205:AO205)</f>
        <v>39604.258228603343</v>
      </c>
      <c r="AP206" s="2451">
        <f>$H204-SUM($I205:AP205)</f>
        <v>36921.922693164641</v>
      </c>
      <c r="AQ206" s="2451">
        <f>$H204-SUM($I205:AQ205)</f>
        <v>34421.257620612712</v>
      </c>
      <c r="AR206" s="2451">
        <f>$H204-SUM($I205:AR205)</f>
        <v>32089.958749735815</v>
      </c>
      <c r="AS206" s="2451">
        <f>$H204-SUM($I205:AS205)</f>
        <v>29916.555168021674</v>
      </c>
      <c r="AT206" s="2451">
        <f>$H204-SUM($I205:AT205)</f>
        <v>27890.352870230854</v>
      </c>
      <c r="AU206" s="2451">
        <f>$H204-SUM($I205:AU205)</f>
        <v>26001.382139661437</v>
      </c>
      <c r="AV206" s="2451">
        <f>$H204-SUM($I205:AV205)</f>
        <v>24240.348493199563</v>
      </c>
      <c r="AW206" s="2451">
        <f>$H204-SUM($I205:AW205)</f>
        <v>22598.586948786455</v>
      </c>
      <c r="AX206" s="2451">
        <f>$H204-SUM($I205:AX205)</f>
        <v>21068.019390279544</v>
      </c>
      <c r="AY206" s="2451">
        <f>$H204-SUM($I205:AY205)</f>
        <v>19641.114819925948</v>
      </c>
      <c r="AZ206" s="2451">
        <f>$H204-SUM($I205:AZ205)</f>
        <v>18310.852302874962</v>
      </c>
      <c r="BA206" s="2451">
        <f>$H204-SUM($I205:BA205)</f>
        <v>17070.686421401682</v>
      </c>
      <c r="BB206" s="2451">
        <f>$H204-SUM($I205:BB205)</f>
        <v>15914.515068862966</v>
      </c>
      <c r="BC206" s="2451">
        <f>$H204-SUM($I205:BC205)</f>
        <v>14836.649424919276</v>
      </c>
      <c r="BD206" s="2451">
        <f>$H204-SUM($I205:BD205)</f>
        <v>13831.785964288545</v>
      </c>
      <c r="BE206" s="2451">
        <f>$H204-SUM($I205:BE205)</f>
        <v>12894.980361304217</v>
      </c>
      <c r="BF206" s="2451">
        <f>$H204-SUM($I205:BF205)</f>
        <v>12021.623161877389</v>
      </c>
      <c r="BG206" s="2451">
        <f>$H204-SUM($I205:BG205)</f>
        <v>11207.417103159503</v>
      </c>
      <c r="BH206" s="2451">
        <f>$H204-SUM($I205:BH205)</f>
        <v>10448.355969309603</v>
      </c>
      <c r="BI206" s="2451">
        <f>$H204-SUM($I205:BI205)</f>
        <v>9740.7048793277936</v>
      </c>
      <c r="BJ206" s="2451">
        <f>$H204-SUM($I205:BJ205)</f>
        <v>9080.9819099635642</v>
      </c>
      <c r="BK206" s="2451">
        <f>$H204-SUM($I205:BK205)</f>
        <v>8465.9409632761963</v>
      </c>
      <c r="BL206" s="2451">
        <f>$H204-SUM($I205:BL205)</f>
        <v>7892.5557945490291</v>
      </c>
      <c r="BM206" s="2451">
        <f>$H204-SUM($I205:BM205)</f>
        <v>7358.0051219685411</v>
      </c>
      <c r="BN206" s="2451">
        <f>$H204-SUM($I205:BN205)</f>
        <v>7106.52931433497</v>
      </c>
    </row>
    <row r="207" spans="2:142">
      <c r="C207" s="2383"/>
      <c r="D207" s="2406" t="s">
        <v>3931</v>
      </c>
      <c r="E207" s="2356"/>
      <c r="F207" s="2356"/>
      <c r="G207" s="2461"/>
      <c r="H207" s="2447"/>
      <c r="I207" s="2459"/>
      <c r="J207" s="2655">
        <f t="shared" ref="J207:BN207" si="88">J$26</f>
        <v>0</v>
      </c>
      <c r="K207" s="2462">
        <f t="shared" si="88"/>
        <v>0</v>
      </c>
      <c r="L207" s="2464">
        <f t="shared" si="88"/>
        <v>0</v>
      </c>
      <c r="M207" s="2655">
        <f t="shared" si="88"/>
        <v>0</v>
      </c>
      <c r="N207" s="2655">
        <f t="shared" si="88"/>
        <v>0</v>
      </c>
      <c r="O207" s="2462">
        <f t="shared" si="88"/>
        <v>0</v>
      </c>
      <c r="P207" s="2463">
        <f t="shared" si="88"/>
        <v>1.0106217925766798</v>
      </c>
      <c r="Q207" s="2463">
        <f t="shared" si="88"/>
        <v>1.0412937104666427</v>
      </c>
      <c r="R207" s="2464">
        <f t="shared" si="88"/>
        <v>1.0846163026614153</v>
      </c>
      <c r="S207" s="2462">
        <f t="shared" si="88"/>
        <v>1.1001312805824084</v>
      </c>
      <c r="T207" s="2463">
        <f t="shared" si="88"/>
        <v>1.1126626089032103</v>
      </c>
      <c r="U207" s="2465">
        <f t="shared" si="88"/>
        <v>1.1219715956558061</v>
      </c>
      <c r="V207" s="2465">
        <f t="shared" si="88"/>
        <v>1.1346222699606157</v>
      </c>
      <c r="W207" s="2465">
        <f t="shared" si="88"/>
        <v>1.1497792099295858</v>
      </c>
      <c r="X207" s="2465">
        <f t="shared" si="88"/>
        <v>1.1660102637546246</v>
      </c>
      <c r="Y207" s="2465">
        <f t="shared" si="88"/>
        <v>1.1814058956916098</v>
      </c>
      <c r="Z207" s="2465">
        <f t="shared" si="88"/>
        <v>1.1901181525241675</v>
      </c>
      <c r="AA207" s="2465">
        <f t="shared" si="88"/>
        <v>1.1973982575486333</v>
      </c>
      <c r="AB207" s="2465">
        <f t="shared" si="88"/>
        <v>1.2416756176154673</v>
      </c>
      <c r="AC207" s="2465">
        <f t="shared" ca="1" si="88"/>
        <v>1.2603007518796991</v>
      </c>
      <c r="AD207" s="2465">
        <f t="shared" ca="1" si="88"/>
        <v>1.2792052631578945</v>
      </c>
      <c r="AE207" s="2465">
        <f t="shared" ca="1" si="88"/>
        <v>1.2983933421052629</v>
      </c>
      <c r="AF207" s="2465">
        <f t="shared" ca="1" si="88"/>
        <v>1.3178692422368417</v>
      </c>
      <c r="AG207" s="2465">
        <f t="shared" ca="1" si="88"/>
        <v>1.3376372808703942</v>
      </c>
      <c r="AH207" s="2465">
        <f t="shared" ca="1" si="88"/>
        <v>1.35770184008345</v>
      </c>
      <c r="AI207" s="2465">
        <f t="shared" ca="1" si="88"/>
        <v>1.3780673676847015</v>
      </c>
      <c r="AJ207" s="2465">
        <f t="shared" ca="1" si="88"/>
        <v>1.3987383781999718</v>
      </c>
      <c r="AK207" s="2465">
        <f t="shared" ca="1" si="88"/>
        <v>1.4197194538729712</v>
      </c>
      <c r="AL207" s="2465">
        <f t="shared" ca="1" si="88"/>
        <v>1.4410152456810656</v>
      </c>
      <c r="AM207" s="2465">
        <f t="shared" ca="1" si="88"/>
        <v>1.4626304743662815</v>
      </c>
      <c r="AN207" s="2465">
        <f t="shared" ca="1" si="88"/>
        <v>1.4845699314817755</v>
      </c>
      <c r="AO207" s="2465">
        <f t="shared" ca="1" si="88"/>
        <v>1.506838480454002</v>
      </c>
      <c r="AP207" s="2465">
        <f t="shared" ca="1" si="88"/>
        <v>1.529441057660812</v>
      </c>
      <c r="AQ207" s="2465">
        <f t="shared" ca="1" si="88"/>
        <v>1.552382673525724</v>
      </c>
      <c r="AR207" s="2465">
        <f t="shared" ca="1" si="88"/>
        <v>1.5756684136286097</v>
      </c>
      <c r="AS207" s="2465">
        <f t="shared" ca="1" si="88"/>
        <v>1.5993034398330386</v>
      </c>
      <c r="AT207" s="2465">
        <f t="shared" ca="1" si="88"/>
        <v>1.6232929914305341</v>
      </c>
      <c r="AU207" s="2465">
        <f t="shared" ca="1" si="88"/>
        <v>1.647642386301992</v>
      </c>
      <c r="AV207" s="2465">
        <f t="shared" ca="1" si="88"/>
        <v>1.6723570220965218</v>
      </c>
      <c r="AW207" s="2465">
        <f t="shared" ca="1" si="88"/>
        <v>1.6974423774279694</v>
      </c>
      <c r="AX207" s="2465">
        <f t="shared" ca="1" si="88"/>
        <v>1.7229040130893889</v>
      </c>
      <c r="AY207" s="2465">
        <f t="shared" ca="1" si="88"/>
        <v>1.7487475732857296</v>
      </c>
      <c r="AZ207" s="2465">
        <f t="shared" ca="1" si="88"/>
        <v>1.7749787868850153</v>
      </c>
      <c r="BA207" s="2465">
        <f t="shared" ca="1" si="88"/>
        <v>1.8016034686882905</v>
      </c>
      <c r="BB207" s="2465">
        <f t="shared" ca="1" si="88"/>
        <v>1.8286275207186147</v>
      </c>
      <c r="BC207" s="2465">
        <f t="shared" ca="1" si="88"/>
        <v>1.8560569335293937</v>
      </c>
      <c r="BD207" s="2465">
        <f t="shared" ca="1" si="88"/>
        <v>1.8838977875323344</v>
      </c>
      <c r="BE207" s="2465">
        <f t="shared" ca="1" si="88"/>
        <v>1.9121562543453192</v>
      </c>
      <c r="BF207" s="2465">
        <f t="shared" ca="1" si="88"/>
        <v>1.9408385981604988</v>
      </c>
      <c r="BG207" s="2465">
        <f t="shared" ca="1" si="88"/>
        <v>1.9699511771329061</v>
      </c>
      <c r="BH207" s="2465">
        <f t="shared" ca="1" si="88"/>
        <v>1.9995004447898996</v>
      </c>
      <c r="BI207" s="2465">
        <f t="shared" ca="1" si="88"/>
        <v>2.0294929514617479</v>
      </c>
      <c r="BJ207" s="2465">
        <f t="shared" ca="1" si="88"/>
        <v>2.059935345733674</v>
      </c>
      <c r="BK207" s="2465">
        <f t="shared" ca="1" si="88"/>
        <v>2.090834375919679</v>
      </c>
      <c r="BL207" s="2465">
        <f t="shared" ca="1" si="88"/>
        <v>2.1221968915584739</v>
      </c>
      <c r="BM207" s="2465">
        <f t="shared" ca="1" si="88"/>
        <v>2.1540298449318507</v>
      </c>
      <c r="BN207" s="2465">
        <f t="shared" ca="1" si="88"/>
        <v>2.1863402926058284</v>
      </c>
    </row>
    <row r="208" spans="2:142">
      <c r="C208" s="2466"/>
      <c r="D208" s="2467" t="s">
        <v>3932</v>
      </c>
      <c r="E208" s="2356"/>
      <c r="F208" s="2356"/>
      <c r="G208" s="2446"/>
      <c r="H208" s="2447">
        <f ca="1">MAX(J208:AT208)</f>
        <v>231084.02057119863</v>
      </c>
      <c r="I208" s="2459"/>
      <c r="J208" s="2448">
        <f t="shared" ref="J208:BN208" si="89">J206*J207</f>
        <v>0</v>
      </c>
      <c r="K208" s="2447">
        <f t="shared" si="89"/>
        <v>0</v>
      </c>
      <c r="L208" s="2449">
        <f t="shared" si="89"/>
        <v>0</v>
      </c>
      <c r="M208" s="2448">
        <f t="shared" si="89"/>
        <v>0</v>
      </c>
      <c r="N208" s="2448">
        <f t="shared" si="89"/>
        <v>0</v>
      </c>
      <c r="O208" s="2447">
        <f t="shared" si="89"/>
        <v>0</v>
      </c>
      <c r="P208" s="2450">
        <f t="shared" si="89"/>
        <v>231084.02057119863</v>
      </c>
      <c r="Q208" s="2450">
        <f t="shared" si="89"/>
        <v>221971.35159500223</v>
      </c>
      <c r="R208" s="2449">
        <f t="shared" si="89"/>
        <v>215547.12488963938</v>
      </c>
      <c r="S208" s="2447">
        <f t="shared" si="89"/>
        <v>203822.93209247899</v>
      </c>
      <c r="T208" s="2450">
        <f t="shared" si="89"/>
        <v>192182.77072004456</v>
      </c>
      <c r="U208" s="2451">
        <f t="shared" si="89"/>
        <v>180665.50690356686</v>
      </c>
      <c r="V208" s="2451">
        <f t="shared" si="89"/>
        <v>170328.41702158234</v>
      </c>
      <c r="W208" s="2451">
        <f t="shared" si="89"/>
        <v>160913.57492017705</v>
      </c>
      <c r="X208" s="2451">
        <f t="shared" si="89"/>
        <v>152132.86015334411</v>
      </c>
      <c r="Y208" s="2451">
        <f t="shared" si="89"/>
        <v>143701.80256523206</v>
      </c>
      <c r="Z208" s="2451">
        <f t="shared" si="89"/>
        <v>134957.05311217156</v>
      </c>
      <c r="AA208" s="2451">
        <f t="shared" si="89"/>
        <v>126586.2557026689</v>
      </c>
      <c r="AB208" s="2451">
        <f t="shared" si="89"/>
        <v>122376.63590922672</v>
      </c>
      <c r="AC208" s="2451">
        <f t="shared" ca="1" si="89"/>
        <v>115799.57827704294</v>
      </c>
      <c r="AD208" s="2451">
        <f t="shared" ca="1" si="89"/>
        <v>109576.00059448903</v>
      </c>
      <c r="AE208" s="2451">
        <f t="shared" ca="1" si="89"/>
        <v>103686.90529733829</v>
      </c>
      <c r="AF208" s="2451">
        <f t="shared" ca="1" si="89"/>
        <v>98114.315833862449</v>
      </c>
      <c r="AG208" s="2451">
        <f t="shared" ca="1" si="89"/>
        <v>92841.221791138072</v>
      </c>
      <c r="AH208" s="2451">
        <f t="shared" ca="1" si="89"/>
        <v>87851.526970505758</v>
      </c>
      <c r="AI208" s="2451">
        <f t="shared" ca="1" si="89"/>
        <v>83130.00025368252</v>
      </c>
      <c r="AJ208" s="2451">
        <f t="shared" ca="1" si="89"/>
        <v>78662.229109544554</v>
      </c>
      <c r="AK208" s="2451">
        <f t="shared" ca="1" si="89"/>
        <v>74434.575599659889</v>
      </c>
      <c r="AL208" s="2451">
        <f t="shared" ca="1" si="89"/>
        <v>70434.134748276789</v>
      </c>
      <c r="AM208" s="2451">
        <f t="shared" ca="1" si="89"/>
        <v>66648.695149691732</v>
      </c>
      <c r="AN208" s="2451">
        <f t="shared" ca="1" si="89"/>
        <v>63066.701692750161</v>
      </c>
      <c r="AO208" s="2451">
        <f t="shared" ca="1" si="89"/>
        <v>59677.220288696568</v>
      </c>
      <c r="AP208" s="2451">
        <f t="shared" ca="1" si="89"/>
        <v>56469.90449470446</v>
      </c>
      <c r="AQ208" s="2451">
        <f t="shared" ca="1" si="89"/>
        <v>53434.963931204467</v>
      </c>
      <c r="AR208" s="2451">
        <f t="shared" ca="1" si="89"/>
        <v>50563.134396603753</v>
      </c>
      <c r="AS208" s="2451">
        <f t="shared" ca="1" si="89"/>
        <v>47845.649588171931</v>
      </c>
      <c r="AT208" s="2451">
        <f t="shared" ca="1" si="89"/>
        <v>45274.214342770225</v>
      </c>
      <c r="AU208" s="2451">
        <f t="shared" ca="1" si="89"/>
        <v>42840.979315741766</v>
      </c>
      <c r="AV208" s="2451">
        <f t="shared" ca="1" si="89"/>
        <v>40538.517020669133</v>
      </c>
      <c r="AW208" s="2451">
        <f t="shared" ca="1" si="89"/>
        <v>38359.799156860761</v>
      </c>
      <c r="AX208" s="2451">
        <f t="shared" ca="1" si="89"/>
        <v>36298.175155357683</v>
      </c>
      <c r="AY208" s="2451">
        <f t="shared" ca="1" si="89"/>
        <v>34347.35187797188</v>
      </c>
      <c r="AZ208" s="2451">
        <f t="shared" ca="1" si="89"/>
        <v>32501.374407387691</v>
      </c>
      <c r="BA208" s="2451">
        <f t="shared" ca="1" si="89"/>
        <v>30754.60786968737</v>
      </c>
      <c r="BB208" s="2451">
        <f t="shared" ca="1" si="89"/>
        <v>29101.720233813918</v>
      </c>
      <c r="BC208" s="2451">
        <f t="shared" ca="1" si="89"/>
        <v>27537.666035466314</v>
      </c>
      <c r="BD208" s="2451">
        <f t="shared" ca="1" si="89"/>
        <v>26057.670975743986</v>
      </c>
      <c r="BE208" s="2451">
        <f t="shared" ca="1" si="89"/>
        <v>24657.217347527923</v>
      </c>
      <c r="BF208" s="2451">
        <f t="shared" ca="1" si="89"/>
        <v>23332.030245111895</v>
      </c>
      <c r="BG208" s="2451">
        <f t="shared" ca="1" si="89"/>
        <v>22078.064514988528</v>
      </c>
      <c r="BH208" s="2451">
        <f t="shared" ca="1" si="89"/>
        <v>20891.492407957754</v>
      </c>
      <c r="BI208" s="2451">
        <f t="shared" ca="1" si="89"/>
        <v>19768.691894864813</v>
      </c>
      <c r="BJ208" s="2451">
        <f t="shared" ca="1" si="89"/>
        <v>18706.235610302036</v>
      </c>
      <c r="BK208" s="2451">
        <f t="shared" ca="1" si="89"/>
        <v>17700.880390524431</v>
      </c>
      <c r="BL208" s="2451">
        <f t="shared" ca="1" si="89"/>
        <v>16749.557373643769</v>
      </c>
      <c r="BM208" s="2451">
        <f t="shared" ca="1" si="89"/>
        <v>15849.362631881659</v>
      </c>
      <c r="BN208" s="2451">
        <f t="shared" ca="1" si="89"/>
        <v>15537.291380515015</v>
      </c>
    </row>
    <row r="209" spans="3:66">
      <c r="C209" s="2466"/>
      <c r="D209" s="2467" t="s">
        <v>3933</v>
      </c>
      <c r="E209" s="2356"/>
      <c r="F209" s="2356"/>
      <c r="G209" s="2446"/>
      <c r="H209" s="2484">
        <f>MAX(J209:BN209)</f>
        <v>1</v>
      </c>
      <c r="I209" s="2656"/>
      <c r="J209" s="2469">
        <f>SUM($I$3:J$3)/$H$3*(J$3&gt;0)</f>
        <v>0</v>
      </c>
      <c r="K209" s="2470">
        <f>SUM($I$3:K$3)/$H$3*(K$3&gt;0)</f>
        <v>0</v>
      </c>
      <c r="L209" s="2471">
        <f>SUM($I$3:L$3)/$H$3*(L$3&gt;0)</f>
        <v>0</v>
      </c>
      <c r="M209" s="2469">
        <f>SUM($I$3:M$3)/$H$3*(M$3&gt;0)</f>
        <v>0</v>
      </c>
      <c r="N209" s="2668">
        <f>SUM($I$3:N$3)/$H$3*(N$3&gt;0)</f>
        <v>0</v>
      </c>
      <c r="O209" s="2472">
        <f>SUM($I$3:O$3)/$H$3*(O$3&gt;0)</f>
        <v>0</v>
      </c>
      <c r="P209" s="2474">
        <f>SUM($I$3:P$3)/$H$3*(P$3&gt;0)</f>
        <v>1.0082191780821918E-2</v>
      </c>
      <c r="Q209" s="2474">
        <f>SUM($I$3:Q$3)/$H$3*(Q$3&gt;0)</f>
        <v>3.0082191780821922E-2</v>
      </c>
      <c r="R209" s="2471">
        <f>SUM($I$3:R$3)/$H$3*(R$3&gt;0)</f>
        <v>5.0082191780821919E-2</v>
      </c>
      <c r="S209" s="2470">
        <f>SUM($I$3:S$3)/$H$3*(S$3&gt;0)</f>
        <v>7.0082191780821923E-2</v>
      </c>
      <c r="T209" s="2468">
        <f>SUM($I$3:T$3)/$H$3*(T$3&gt;0)</f>
        <v>9.0082191780821927E-2</v>
      </c>
      <c r="U209" s="2475">
        <f>SUM($I$3:U$3)/$H$3*(U$3&gt;0)</f>
        <v>0.11008219178082193</v>
      </c>
      <c r="V209" s="2475">
        <f>SUM($I$3:V$3)/$H$3*(V$3&gt;0)</f>
        <v>0.13008219178082192</v>
      </c>
      <c r="W209" s="2475">
        <f>SUM($I$3:W$3)/$H$3*(W$3&gt;0)</f>
        <v>0.15008219178082194</v>
      </c>
      <c r="X209" s="2475">
        <f>SUM($I$3:X$3)/$H$3*(X$3&gt;0)</f>
        <v>0.17008219178082193</v>
      </c>
      <c r="Y209" s="2475">
        <f>SUM($I$3:Y$3)/$H$3*(Y$3&gt;0)</f>
        <v>0.19008219178082192</v>
      </c>
      <c r="Z209" s="2475">
        <f>SUM($I$3:Z$3)/$H$3*(Z$3&gt;0)</f>
        <v>0.21008219178082194</v>
      </c>
      <c r="AA209" s="2475">
        <f>SUM($I$3:AA$3)/$H$3*(AA$3&gt;0)</f>
        <v>0.23008219178082193</v>
      </c>
      <c r="AB209" s="2475">
        <f>SUM($I$3:AB$3)/$H$3*(AB$3&gt;0)</f>
        <v>0.25008219178082192</v>
      </c>
      <c r="AC209" s="2475">
        <f>SUM($I$3:AC$3)/$H$3*(AC$3&gt;0)</f>
        <v>0.27008219178082193</v>
      </c>
      <c r="AD209" s="2475">
        <f>SUM($I$3:AD$3)/$H$3*(AD$3&gt;0)</f>
        <v>0.29008219178082195</v>
      </c>
      <c r="AE209" s="2475">
        <f>SUM($I$3:AE$3)/$H$3*(AE$3&gt;0)</f>
        <v>0.31008219178082191</v>
      </c>
      <c r="AF209" s="2475">
        <f>SUM($I$3:AF$3)/$H$3*(AF$3&gt;0)</f>
        <v>0.33008219178082193</v>
      </c>
      <c r="AG209" s="2475">
        <f>SUM($I$3:AG$3)/$H$3*(AG$3&gt;0)</f>
        <v>0.35008219178082195</v>
      </c>
      <c r="AH209" s="2475">
        <f>SUM($I$3:AH$3)/$H$3*(AH$3&gt;0)</f>
        <v>0.37008219178082191</v>
      </c>
      <c r="AI209" s="2475">
        <f>SUM($I$3:AI$3)/$H$3*(AI$3&gt;0)</f>
        <v>0.39008219178082193</v>
      </c>
      <c r="AJ209" s="2475">
        <f>SUM($I$3:AJ$3)/$H$3*(AJ$3&gt;0)</f>
        <v>0.41008219178082195</v>
      </c>
      <c r="AK209" s="2475">
        <f>SUM($I$3:AK$3)/$H$3*(AK$3&gt;0)</f>
        <v>0.43008219178082191</v>
      </c>
      <c r="AL209" s="2475">
        <f>SUM($I$3:AL$3)/$H$3*(AL$3&gt;0)</f>
        <v>0.45008219178082193</v>
      </c>
      <c r="AM209" s="2475">
        <f>SUM($I$3:AM$3)/$H$3*(AM$3&gt;0)</f>
        <v>0.47008219178082195</v>
      </c>
      <c r="AN209" s="2475">
        <f>SUM($I$3:AN$3)/$H$3*(AN$3&gt;0)</f>
        <v>0.49008219178082191</v>
      </c>
      <c r="AO209" s="2475">
        <f>SUM($I$3:AO$3)/$H$3*(AO$3&gt;0)</f>
        <v>0.51008219178082193</v>
      </c>
      <c r="AP209" s="2475">
        <f>SUM($I$3:AP$3)/$H$3*(AP$3&gt;0)</f>
        <v>0.53008219178082194</v>
      </c>
      <c r="AQ209" s="2475">
        <f>SUM($I$3:AQ$3)/$H$3*(AQ$3&gt;0)</f>
        <v>0.55008219178082196</v>
      </c>
      <c r="AR209" s="2475">
        <f>SUM($I$3:AR$3)/$H$3*(AR$3&gt;0)</f>
        <v>0.57008219178082198</v>
      </c>
      <c r="AS209" s="2475">
        <f>SUM($I$3:AS$3)/$H$3*(AS$3&gt;0)</f>
        <v>0.59008219178082189</v>
      </c>
      <c r="AT209" s="2475">
        <f>SUM($I$3:AT$3)/$H$3*(AT$3&gt;0)</f>
        <v>0.6100821917808219</v>
      </c>
      <c r="AU209" s="2475">
        <f>SUM($I$3:AU$3)/$H$3*(AU$3&gt;0)</f>
        <v>0.63008219178082192</v>
      </c>
      <c r="AV209" s="2475">
        <f>SUM($I$3:AV$3)/$H$3*(AV$3&gt;0)</f>
        <v>0.65008219178082183</v>
      </c>
      <c r="AW209" s="2475">
        <f>SUM($I$3:AW$3)/$H$3*(AW$3&gt;0)</f>
        <v>0.67008219178082185</v>
      </c>
      <c r="AX209" s="2475">
        <f>SUM($I$3:AX$3)/$H$3*(AX$3&gt;0)</f>
        <v>0.69008219178082186</v>
      </c>
      <c r="AY209" s="2475">
        <f>SUM($I$3:AY$3)/$H$3*(AY$3&gt;0)</f>
        <v>0.71008219178082188</v>
      </c>
      <c r="AZ209" s="2475">
        <f>SUM($I$3:AZ$3)/$H$3*(AZ$3&gt;0)</f>
        <v>0.7300821917808219</v>
      </c>
      <c r="BA209" s="2475">
        <f>SUM($I$3:BA$3)/$H$3*(BA$3&gt;0)</f>
        <v>0.75008219178082181</v>
      </c>
      <c r="BB209" s="2475">
        <f>SUM($I$3:BB$3)/$H$3*(BB$3&gt;0)</f>
        <v>0.77008219178082182</v>
      </c>
      <c r="BC209" s="2475">
        <f>SUM($I$3:BC$3)/$H$3*(BC$3&gt;0)</f>
        <v>0.79008219178082184</v>
      </c>
      <c r="BD209" s="2475">
        <f>SUM($I$3:BD$3)/$H$3*(BD$3&gt;0)</f>
        <v>0.81008219178082186</v>
      </c>
      <c r="BE209" s="2475">
        <f>SUM($I$3:BE$3)/$H$3*(BE$3&gt;0)</f>
        <v>0.83008219178082188</v>
      </c>
      <c r="BF209" s="2475">
        <f>SUM($I$3:BF$3)/$H$3*(BF$3&gt;0)</f>
        <v>0.85008219178082189</v>
      </c>
      <c r="BG209" s="2475">
        <f>SUM($I$3:BG$3)/$H$3*(BG$3&gt;0)</f>
        <v>0.87008219178082191</v>
      </c>
      <c r="BH209" s="2475">
        <f>SUM($I$3:BH$3)/$H$3*(BH$3&gt;0)</f>
        <v>0.89008219178082182</v>
      </c>
      <c r="BI209" s="2475">
        <f>SUM($I$3:BI$3)/$H$3*(BI$3&gt;0)</f>
        <v>0.91008219178082184</v>
      </c>
      <c r="BJ209" s="2475">
        <f>SUM($I$3:BJ$3)/$H$3*(BJ$3&gt;0)</f>
        <v>0.93008219178082185</v>
      </c>
      <c r="BK209" s="2475">
        <f>SUM($I$3:BK$3)/$H$3*(BK$3&gt;0)</f>
        <v>0.95008219178082187</v>
      </c>
      <c r="BL209" s="2475">
        <f>SUM($I$3:BL$3)/$H$3*(BL$3&gt;0)</f>
        <v>0.97008219178082189</v>
      </c>
      <c r="BM209" s="2475">
        <f>SUM($I$3:BM$3)/$H$3*(BM$3&gt;0)</f>
        <v>0.99008219178082191</v>
      </c>
      <c r="BN209" s="2475">
        <f>SUM($I$3:BN$3)/$H$3*(BN$3&gt;0)</f>
        <v>1</v>
      </c>
    </row>
    <row r="210" spans="3:66">
      <c r="C210" s="2466"/>
      <c r="D210" s="2476" t="s">
        <v>3934</v>
      </c>
      <c r="E210" s="2356"/>
      <c r="F210" s="2356"/>
      <c r="G210" s="2446"/>
      <c r="H210" s="2450">
        <f ca="1">MAX(J210:AT210)</f>
        <v>32512.285652536761</v>
      </c>
      <c r="I210" s="2482"/>
      <c r="J210" s="2448">
        <f t="shared" ref="J210:BN210" si="90">J208*J209</f>
        <v>0</v>
      </c>
      <c r="K210" s="2447">
        <f t="shared" si="90"/>
        <v>0</v>
      </c>
      <c r="L210" s="2449">
        <f t="shared" si="90"/>
        <v>0</v>
      </c>
      <c r="M210" s="2448">
        <f t="shared" si="90"/>
        <v>0</v>
      </c>
      <c r="N210" s="2448">
        <f t="shared" si="90"/>
        <v>0</v>
      </c>
      <c r="O210" s="2447">
        <f t="shared" si="90"/>
        <v>0</v>
      </c>
      <c r="P210" s="2450">
        <f t="shared" si="90"/>
        <v>2329.8334128822221</v>
      </c>
      <c r="Q210" s="2450">
        <f t="shared" si="90"/>
        <v>6677.3847685291094</v>
      </c>
      <c r="R210" s="2449">
        <f t="shared" si="90"/>
        <v>10795.072446527693</v>
      </c>
      <c r="S210" s="2447">
        <f t="shared" si="90"/>
        <v>14284.357816234557</v>
      </c>
      <c r="T210" s="2450">
        <f t="shared" si="90"/>
        <v>17312.245208972781</v>
      </c>
      <c r="U210" s="2451">
        <f t="shared" si="90"/>
        <v>19888.054979137854</v>
      </c>
      <c r="V210" s="2451">
        <f t="shared" si="90"/>
        <v>22156.693808725286</v>
      </c>
      <c r="W210" s="2451">
        <f t="shared" si="90"/>
        <v>24150.26201130767</v>
      </c>
      <c r="X210" s="2451">
        <f t="shared" si="90"/>
        <v>25875.090296766037</v>
      </c>
      <c r="Y210" s="2451">
        <f t="shared" si="90"/>
        <v>27315.153594454248</v>
      </c>
      <c r="Z210" s="2451">
        <f t="shared" si="90"/>
        <v>28352.073514085798</v>
      </c>
      <c r="AA210" s="2451">
        <f t="shared" si="90"/>
        <v>29125.24316139763</v>
      </c>
      <c r="AB210" s="2451">
        <f t="shared" si="90"/>
        <v>30604.217330943055</v>
      </c>
      <c r="AC210" s="2451">
        <f t="shared" ca="1" si="90"/>
        <v>31275.40390835861</v>
      </c>
      <c r="AD210" s="2451">
        <f t="shared" ca="1" si="90"/>
        <v>31786.046419026028</v>
      </c>
      <c r="AE210" s="2451">
        <f t="shared" ca="1" si="90"/>
        <v>32151.462853569174</v>
      </c>
      <c r="AF210" s="2451">
        <f t="shared" ca="1" si="90"/>
        <v>32385.78841551712</v>
      </c>
      <c r="AG210" s="2451">
        <f t="shared" ca="1" si="90"/>
        <v>32502.058412251023</v>
      </c>
      <c r="AH210" s="2451">
        <f t="shared" ca="1" si="90"/>
        <v>32512.285652536761</v>
      </c>
      <c r="AI210" s="2451">
        <f t="shared" ca="1" si="90"/>
        <v>32427.53270169676</v>
      </c>
      <c r="AJ210" s="2451">
        <f t="shared" ca="1" si="90"/>
        <v>32257.979323607204</v>
      </c>
      <c r="AK210" s="2451">
        <f t="shared" ca="1" si="90"/>
        <v>32012.98541817701</v>
      </c>
      <c r="AL210" s="2451">
        <f t="shared" ca="1" si="90"/>
        <v>31701.149743690166</v>
      </c>
      <c r="AM210" s="2451">
        <f t="shared" ca="1" si="90"/>
        <v>31330.364695298926</v>
      </c>
      <c r="AN210" s="2451">
        <f t="shared" ca="1" si="90"/>
        <v>30907.867393970271</v>
      </c>
      <c r="AO210" s="2451">
        <f t="shared" ca="1" si="90"/>
        <v>30440.287324245281</v>
      </c>
      <c r="AP210" s="2451">
        <f t="shared" ca="1" si="90"/>
        <v>29933.690744206629</v>
      </c>
      <c r="AQ210" s="2451">
        <f t="shared" ca="1" si="90"/>
        <v>29393.622077006119</v>
      </c>
      <c r="AR210" s="2451">
        <f t="shared" ca="1" si="90"/>
        <v>28825.142480124137</v>
      </c>
      <c r="AS210" s="2451">
        <f t="shared" ca="1" si="90"/>
        <v>28232.865776165672</v>
      </c>
      <c r="AT210" s="2451">
        <f t="shared" ca="1" si="90"/>
        <v>27620.991917391981</v>
      </c>
      <c r="AU210" s="2451">
        <f t="shared" ca="1" si="90"/>
        <v>26993.338145299429</v>
      </c>
      <c r="AV210" s="2451">
        <f t="shared" ca="1" si="90"/>
        <v>26353.367996340741</v>
      </c>
      <c r="AW210" s="2451">
        <f t="shared" ca="1" si="90"/>
        <v>25704.21829530138</v>
      </c>
      <c r="AX210" s="2451">
        <f t="shared" ca="1" si="90"/>
        <v>25048.724268853402</v>
      </c>
      <c r="AY210" s="2451">
        <f t="shared" ca="1" si="90"/>
        <v>24389.442903377399</v>
      </c>
      <c r="AZ210" s="2451">
        <f t="shared" ca="1" si="90"/>
        <v>23728.674663234717</v>
      </c>
      <c r="BA210" s="2451">
        <f t="shared" ca="1" si="90"/>
        <v>23068.483678254812</v>
      </c>
      <c r="BB210" s="2451">
        <f t="shared" ca="1" si="90"/>
        <v>22410.716502247713</v>
      </c>
      <c r="BC210" s="2451">
        <f t="shared" ca="1" si="90"/>
        <v>21757.019537829521</v>
      </c>
      <c r="BD210" s="2451">
        <f t="shared" ca="1" si="90"/>
        <v>21108.855216734195</v>
      </c>
      <c r="BE210" s="2451">
        <f t="shared" ca="1" si="90"/>
        <v>20467.51701905208</v>
      </c>
      <c r="BF210" s="2451">
        <f t="shared" ca="1" si="90"/>
        <v>19834.143409461147</v>
      </c>
      <c r="BG210" s="2451">
        <f t="shared" ca="1" si="90"/>
        <v>19209.730763479605</v>
      </c>
      <c r="BH210" s="2451">
        <f t="shared" ca="1" si="90"/>
        <v>18595.145352047435</v>
      </c>
      <c r="BI210" s="2451">
        <f t="shared" ca="1" si="90"/>
        <v>17991.134448318338</v>
      </c>
      <c r="BJ210" s="2451">
        <f t="shared" ca="1" si="90"/>
        <v>17398.336616398177</v>
      </c>
      <c r="BK210" s="2451">
        <f t="shared" ca="1" si="90"/>
        <v>16817.291237879621</v>
      </c>
      <c r="BL210" s="2451">
        <f t="shared" ca="1" si="90"/>
        <v>16248.447328382974</v>
      </c>
      <c r="BM210" s="2451">
        <f t="shared" ca="1" si="90"/>
        <v>15692.171692902448</v>
      </c>
      <c r="BN210" s="2451">
        <f t="shared" ca="1" si="90"/>
        <v>15537.291380515015</v>
      </c>
    </row>
    <row r="211" spans="3:66">
      <c r="C211" s="2466"/>
      <c r="D211" s="2481" t="s">
        <v>3935</v>
      </c>
      <c r="E211" s="2385"/>
      <c r="F211" s="2385"/>
      <c r="G211" s="2386"/>
      <c r="H211" s="2392"/>
      <c r="I211" s="2482"/>
      <c r="J211" s="2395">
        <f t="shared" ref="J211:BN211" si="91">J$49</f>
        <v>0</v>
      </c>
      <c r="K211" s="2387">
        <f t="shared" si="91"/>
        <v>0</v>
      </c>
      <c r="L211" s="2393">
        <f t="shared" si="91"/>
        <v>0</v>
      </c>
      <c r="M211" s="2395">
        <f t="shared" si="91"/>
        <v>0</v>
      </c>
      <c r="N211" s="2395">
        <f t="shared" si="91"/>
        <v>0</v>
      </c>
      <c r="O211" s="2387">
        <f t="shared" si="91"/>
        <v>0</v>
      </c>
      <c r="P211" s="2392">
        <f t="shared" si="91"/>
        <v>0</v>
      </c>
      <c r="Q211" s="2392">
        <f t="shared" si="91"/>
        <v>0</v>
      </c>
      <c r="R211" s="2395">
        <f t="shared" si="91"/>
        <v>0</v>
      </c>
      <c r="S211" s="2387">
        <f t="shared" si="91"/>
        <v>0</v>
      </c>
      <c r="T211" s="2392">
        <f t="shared" si="91"/>
        <v>140919.04168208118</v>
      </c>
      <c r="U211" s="2394">
        <f t="shared" si="91"/>
        <v>140042.76853834913</v>
      </c>
      <c r="V211" s="2394">
        <f t="shared" si="91"/>
        <v>135731.45453272946</v>
      </c>
      <c r="W211" s="2394">
        <f t="shared" si="91"/>
        <v>130983.73877872723</v>
      </c>
      <c r="X211" s="2394">
        <f t="shared" si="91"/>
        <v>127612.99509804517</v>
      </c>
      <c r="Y211" s="2394">
        <f t="shared" si="91"/>
        <v>125758.99314428587</v>
      </c>
      <c r="Z211" s="2394">
        <f t="shared" si="91"/>
        <v>124381.83028731339</v>
      </c>
      <c r="AA211" s="2394">
        <f>AA$49</f>
        <v>131828.51166169738</v>
      </c>
      <c r="AB211" s="2394">
        <f t="shared" si="91"/>
        <v>127511.03569455996</v>
      </c>
      <c r="AC211" s="2394">
        <f t="shared" si="91"/>
        <v>116904.45084481186</v>
      </c>
      <c r="AD211" s="2394">
        <f t="shared" ca="1" si="91"/>
        <v>113865.00424360942</v>
      </c>
      <c r="AE211" s="2394">
        <f t="shared" ca="1" si="91"/>
        <v>113888.6223488445</v>
      </c>
      <c r="AF211" s="2394">
        <f t="shared" ca="1" si="91"/>
        <v>114765.37875521832</v>
      </c>
      <c r="AG211" s="2394">
        <f t="shared" ca="1" si="91"/>
        <v>102982.54431794747</v>
      </c>
      <c r="AH211" s="2394">
        <f t="shared" ca="1" si="91"/>
        <v>86970.648836566776</v>
      </c>
      <c r="AI211" s="2394">
        <f t="shared" ca="1" si="91"/>
        <v>82476.927161115629</v>
      </c>
      <c r="AJ211" s="2394">
        <f t="shared" ca="1" si="91"/>
        <v>84620.711833963214</v>
      </c>
      <c r="AK211" s="2394">
        <f t="shared" ca="1" si="91"/>
        <v>86028.63491732585</v>
      </c>
      <c r="AL211" s="2394">
        <f t="shared" ca="1" si="91"/>
        <v>87515.476900404989</v>
      </c>
      <c r="AM211" s="2394">
        <f t="shared" ca="1" si="91"/>
        <v>88796.663750111911</v>
      </c>
      <c r="AN211" s="2394">
        <f t="shared" ca="1" si="91"/>
        <v>89182.392231340898</v>
      </c>
      <c r="AO211" s="2394">
        <f t="shared" ca="1" si="91"/>
        <v>88669.382739718189</v>
      </c>
      <c r="AP211" s="2394">
        <f t="shared" ca="1" si="91"/>
        <v>87114.717758796818</v>
      </c>
      <c r="AQ211" s="2394">
        <f t="shared" ca="1" si="91"/>
        <v>84878.465982909795</v>
      </c>
      <c r="AR211" s="2394">
        <f t="shared" ca="1" si="91"/>
        <v>83380.973251573494</v>
      </c>
      <c r="AS211" s="2394">
        <f t="shared" ca="1" si="91"/>
        <v>81718.461387543444</v>
      </c>
      <c r="AT211" s="2394">
        <f t="shared" ca="1" si="91"/>
        <v>79498.173580259536</v>
      </c>
      <c r="AU211" s="2394">
        <f t="shared" ca="1" si="91"/>
        <v>77907.779218070747</v>
      </c>
      <c r="AV211" s="2394">
        <f t="shared" ca="1" si="91"/>
        <v>75762.12689243599</v>
      </c>
      <c r="AW211" s="2394">
        <f t="shared" ca="1" si="91"/>
        <v>72746.946458707913</v>
      </c>
      <c r="AX211" s="2394">
        <f t="shared" ca="1" si="91"/>
        <v>70269.947353701224</v>
      </c>
      <c r="AY211" s="2394">
        <f t="shared" ca="1" si="91"/>
        <v>67047.831531652817</v>
      </c>
      <c r="AZ211" s="2394">
        <f t="shared" ca="1" si="91"/>
        <v>63045.617552546042</v>
      </c>
      <c r="BA211" s="2394">
        <f t="shared" ca="1" si="91"/>
        <v>59203.07108336431</v>
      </c>
      <c r="BB211" s="2394">
        <f t="shared" ca="1" si="91"/>
        <v>55010.026011213988</v>
      </c>
      <c r="BC211" s="2394">
        <f t="shared" ca="1" si="91"/>
        <v>54820.528284979671</v>
      </c>
      <c r="BD211" s="2394">
        <f t="shared" ca="1" si="91"/>
        <v>56023.189177871704</v>
      </c>
      <c r="BE211" s="2394">
        <f t="shared" ca="1" si="91"/>
        <v>53048.660734194607</v>
      </c>
      <c r="BF211" s="2394">
        <f t="shared" ca="1" si="91"/>
        <v>48675.178519906527</v>
      </c>
      <c r="BG211" s="2394">
        <f t="shared" ca="1" si="91"/>
        <v>45026.989599697015</v>
      </c>
      <c r="BH211" s="2394">
        <f t="shared" ca="1" si="91"/>
        <v>40630.136487764517</v>
      </c>
      <c r="BI211" s="2394">
        <f t="shared" ca="1" si="91"/>
        <v>34116.590791419614</v>
      </c>
      <c r="BJ211" s="2394">
        <f t="shared" ca="1" si="91"/>
        <v>26898.141601130625</v>
      </c>
      <c r="BK211" s="2394">
        <f t="shared" ca="1" si="91"/>
        <v>19130.124584158173</v>
      </c>
      <c r="BL211" s="2394">
        <f t="shared" ca="1" si="91"/>
        <v>10578.929995566998</v>
      </c>
      <c r="BM211" s="2394">
        <f t="shared" ca="1" si="91"/>
        <v>3012.512359865907</v>
      </c>
      <c r="BN211" s="2394">
        <f t="shared" ca="1" si="91"/>
        <v>3288.3083968555643</v>
      </c>
    </row>
    <row r="212" spans="3:66">
      <c r="C212" s="2466"/>
      <c r="D212" s="2481" t="s">
        <v>3936</v>
      </c>
      <c r="E212" s="2385"/>
      <c r="F212" s="2385"/>
      <c r="G212" s="2386"/>
      <c r="H212" s="2392"/>
      <c r="I212" s="2482"/>
      <c r="J212" s="2655">
        <f t="shared" ref="J212:BN212" si="92">J$50</f>
        <v>1.0768879415347137</v>
      </c>
      <c r="K212" s="2462">
        <f t="shared" si="92"/>
        <v>1.1096224116930571</v>
      </c>
      <c r="L212" s="2464">
        <f t="shared" si="92"/>
        <v>1.1387028014616321</v>
      </c>
      <c r="M212" s="2655">
        <f t="shared" si="92"/>
        <v>1.1624543239951277</v>
      </c>
      <c r="N212" s="2655">
        <f t="shared" si="92"/>
        <v>1.2043239951278926</v>
      </c>
      <c r="O212" s="2462">
        <f t="shared" si="92"/>
        <v>1.2542630937880632</v>
      </c>
      <c r="P212" s="2463">
        <f t="shared" si="92"/>
        <v>1.289281364190012</v>
      </c>
      <c r="Q212" s="2463">
        <f t="shared" si="92"/>
        <v>1.3284104750304506</v>
      </c>
      <c r="R212" s="2464">
        <f t="shared" si="92"/>
        <v>1.3836784409257001</v>
      </c>
      <c r="S212" s="2462">
        <f t="shared" si="92"/>
        <v>1.4034713763702802</v>
      </c>
      <c r="T212" s="2463">
        <f t="shared" si="92"/>
        <v>1.4194579780755177</v>
      </c>
      <c r="U212" s="2465">
        <f>U$50</f>
        <v>1.4313337393422654</v>
      </c>
      <c r="V212" s="2465">
        <f t="shared" si="92"/>
        <v>1.4474725943970765</v>
      </c>
      <c r="W212" s="2465">
        <f t="shared" si="92"/>
        <v>1.4668087697929353</v>
      </c>
      <c r="X212" s="2465">
        <f t="shared" si="92"/>
        <v>1.4875152253349573</v>
      </c>
      <c r="Y212" s="2465">
        <f t="shared" si="92"/>
        <v>1.5071559074299632</v>
      </c>
      <c r="Z212" s="2465">
        <f t="shared" si="92"/>
        <v>1.5182704019488427</v>
      </c>
      <c r="AA212" s="2465">
        <f t="shared" si="92"/>
        <v>1.5275578562728378</v>
      </c>
      <c r="AB212" s="2465">
        <f t="shared" si="92"/>
        <v>1.5840438489646771</v>
      </c>
      <c r="AC212" s="2465">
        <f t="shared" ca="1" si="92"/>
        <v>1.6078045066991471</v>
      </c>
      <c r="AD212" s="2465">
        <f t="shared" ca="1" si="92"/>
        <v>1.6319215742996342</v>
      </c>
      <c r="AE212" s="2465">
        <f t="shared" ca="1" si="92"/>
        <v>1.6564003979141286</v>
      </c>
      <c r="AF212" s="2465">
        <f t="shared" ca="1" si="92"/>
        <v>1.6812464038828403</v>
      </c>
      <c r="AG212" s="2465">
        <f t="shared" ca="1" si="92"/>
        <v>1.7064650999410826</v>
      </c>
      <c r="AH212" s="2465">
        <f t="shared" ca="1" si="92"/>
        <v>1.7320620764401986</v>
      </c>
      <c r="AI212" s="2465">
        <f t="shared" ca="1" si="92"/>
        <v>1.7580430075868014</v>
      </c>
      <c r="AJ212" s="2465">
        <f t="shared" ca="1" si="92"/>
        <v>1.7844136527006034</v>
      </c>
      <c r="AK212" s="2465">
        <f t="shared" ca="1" si="92"/>
        <v>1.8111798574911122</v>
      </c>
      <c r="AL212" s="2465">
        <f t="shared" ca="1" si="92"/>
        <v>1.8383475553534787</v>
      </c>
      <c r="AM212" s="2465">
        <f t="shared" ca="1" si="92"/>
        <v>1.8659227686837807</v>
      </c>
      <c r="AN212" s="2465">
        <f t="shared" ca="1" si="92"/>
        <v>1.8939116102140372</v>
      </c>
      <c r="AO212" s="2465">
        <f t="shared" ca="1" si="92"/>
        <v>1.9223202843672476</v>
      </c>
      <c r="AP212" s="2465">
        <f t="shared" ca="1" si="92"/>
        <v>1.951155088632756</v>
      </c>
      <c r="AQ212" s="2465">
        <f t="shared" ca="1" si="92"/>
        <v>1.9804224149622471</v>
      </c>
      <c r="AR212" s="2465">
        <f t="shared" ca="1" si="92"/>
        <v>2.0101287511866808</v>
      </c>
      <c r="AS212" s="2465">
        <f t="shared" ca="1" si="92"/>
        <v>2.0402806824544806</v>
      </c>
      <c r="AT212" s="2465">
        <f t="shared" ca="1" si="92"/>
        <v>2.0708848926912977</v>
      </c>
      <c r="AU212" s="2465">
        <f t="shared" ca="1" si="92"/>
        <v>2.1019481660816668</v>
      </c>
      <c r="AV212" s="2465">
        <f t="shared" ca="1" si="92"/>
        <v>2.1334773885728917</v>
      </c>
      <c r="AW212" s="2465">
        <f t="shared" ca="1" si="92"/>
        <v>2.1654795494014847</v>
      </c>
      <c r="AX212" s="2465">
        <f t="shared" ca="1" si="92"/>
        <v>2.1979617426425069</v>
      </c>
      <c r="AY212" s="2465">
        <f t="shared" ca="1" si="92"/>
        <v>2.2309311687821443</v>
      </c>
      <c r="AZ212" s="2465">
        <f t="shared" ca="1" si="92"/>
        <v>2.2643951363138761</v>
      </c>
      <c r="BA212" s="2465">
        <f t="shared" ca="1" si="92"/>
        <v>2.298361063358584</v>
      </c>
      <c r="BB212" s="2465">
        <f t="shared" ca="1" si="92"/>
        <v>2.3328364793089627</v>
      </c>
      <c r="BC212" s="2465">
        <f t="shared" ca="1" si="92"/>
        <v>2.3678290264985971</v>
      </c>
      <c r="BD212" s="2465">
        <f t="shared" ca="1" si="92"/>
        <v>2.4033464618960756</v>
      </c>
      <c r="BE212" s="2465">
        <f t="shared" ca="1" si="92"/>
        <v>2.4393966588245166</v>
      </c>
      <c r="BF212" s="2465">
        <f t="shared" ca="1" si="92"/>
        <v>2.4759876087068839</v>
      </c>
      <c r="BG212" s="2465">
        <f t="shared" ca="1" si="92"/>
        <v>2.5131274228374871</v>
      </c>
      <c r="BH212" s="2465">
        <f t="shared" ca="1" si="92"/>
        <v>2.5508243341800494</v>
      </c>
      <c r="BI212" s="2465">
        <f t="shared" ca="1" si="92"/>
        <v>2.5890866991927499</v>
      </c>
      <c r="BJ212" s="2465">
        <f t="shared" ca="1" si="92"/>
        <v>2.6279229996806408</v>
      </c>
      <c r="BK212" s="2465">
        <f t="shared" ca="1" si="92"/>
        <v>2.6673418446758501</v>
      </c>
      <c r="BL212" s="2465">
        <f t="shared" ca="1" si="92"/>
        <v>2.7073519723459878</v>
      </c>
      <c r="BM212" s="2465">
        <f t="shared" ca="1" si="92"/>
        <v>2.7479622519311775</v>
      </c>
      <c r="BN212" s="2465">
        <f t="shared" ca="1" si="92"/>
        <v>2.7891816857101448</v>
      </c>
    </row>
    <row r="213" spans="3:66">
      <c r="C213" s="2466"/>
      <c r="D213" s="2481" t="s">
        <v>3937</v>
      </c>
      <c r="E213" s="2385"/>
      <c r="F213" s="2385"/>
      <c r="G213" s="2386"/>
      <c r="H213" s="2392">
        <f ca="1">MAX(J213:AT213)</f>
        <v>201983.07176708308</v>
      </c>
      <c r="I213" s="2482"/>
      <c r="J213" s="2395">
        <f t="shared" ref="J213:BN213" si="93">J211*J212</f>
        <v>0</v>
      </c>
      <c r="K213" s="2387">
        <f t="shared" si="93"/>
        <v>0</v>
      </c>
      <c r="L213" s="2393">
        <f t="shared" si="93"/>
        <v>0</v>
      </c>
      <c r="M213" s="2395">
        <f t="shared" si="93"/>
        <v>0</v>
      </c>
      <c r="N213" s="2395">
        <f t="shared" si="93"/>
        <v>0</v>
      </c>
      <c r="O213" s="2387">
        <f t="shared" si="93"/>
        <v>0</v>
      </c>
      <c r="P213" s="2392">
        <f t="shared" si="93"/>
        <v>0</v>
      </c>
      <c r="Q213" s="2392">
        <f t="shared" si="93"/>
        <v>0</v>
      </c>
      <c r="R213" s="2395">
        <f t="shared" si="93"/>
        <v>0</v>
      </c>
      <c r="S213" s="2387">
        <f t="shared" si="93"/>
        <v>0</v>
      </c>
      <c r="T213" s="2392">
        <f t="shared" si="93"/>
        <v>200028.65797838656</v>
      </c>
      <c r="U213" s="2394">
        <f t="shared" si="93"/>
        <v>200447.93955983862</v>
      </c>
      <c r="V213" s="2394">
        <f t="shared" si="93"/>
        <v>196467.56063377875</v>
      </c>
      <c r="W213" s="2394">
        <f t="shared" si="93"/>
        <v>192128.09674090409</v>
      </c>
      <c r="X213" s="2394">
        <f t="shared" si="93"/>
        <v>189826.27315893746</v>
      </c>
      <c r="Y213" s="2394">
        <f t="shared" si="93"/>
        <v>189538.40942985468</v>
      </c>
      <c r="Z213" s="2394">
        <f t="shared" si="93"/>
        <v>188845.25146545205</v>
      </c>
      <c r="AA213" s="2394">
        <f t="shared" si="93"/>
        <v>201375.67866958125</v>
      </c>
      <c r="AB213" s="2394">
        <f t="shared" si="93"/>
        <v>201983.07176708308</v>
      </c>
      <c r="AC213" s="2394">
        <f t="shared" ca="1" si="93"/>
        <v>187959.50292147743</v>
      </c>
      <c r="AD213" s="2394">
        <f t="shared" ca="1" si="93"/>
        <v>185818.75698286563</v>
      </c>
      <c r="AE213" s="2394">
        <f t="shared" ca="1" si="93"/>
        <v>188645.15937651796</v>
      </c>
      <c r="AF213" s="2394">
        <f t="shared" ca="1" si="93"/>
        <v>192948.88032246291</v>
      </c>
      <c r="AG213" s="2394">
        <f t="shared" ca="1" si="93"/>
        <v>175736.1177817132</v>
      </c>
      <c r="AH213" s="2394">
        <f t="shared" ca="1" si="93"/>
        <v>150638.56261321518</v>
      </c>
      <c r="AI213" s="2394">
        <f t="shared" ca="1" si="93"/>
        <v>144997.98508284526</v>
      </c>
      <c r="AJ213" s="2394">
        <f t="shared" ca="1" si="93"/>
        <v>150998.35349776747</v>
      </c>
      <c r="AK213" s="2394">
        <f t="shared" ca="1" si="93"/>
        <v>155813.33072971716</v>
      </c>
      <c r="AL213" s="2394">
        <f t="shared" ca="1" si="93"/>
        <v>160883.86301545336</v>
      </c>
      <c r="AM213" s="2394">
        <f t="shared" ca="1" si="93"/>
        <v>165687.71667449153</v>
      </c>
      <c r="AN213" s="2394">
        <f t="shared" ca="1" si="93"/>
        <v>168903.5680735987</v>
      </c>
      <c r="AO213" s="2394">
        <f t="shared" ca="1" si="93"/>
        <v>170450.95304288337</v>
      </c>
      <c r="AP213" s="2394">
        <f t="shared" ca="1" si="93"/>
        <v>169974.32484988272</v>
      </c>
      <c r="AQ213" s="2394">
        <f t="shared" ca="1" si="93"/>
        <v>168095.21658016517</v>
      </c>
      <c r="AR213" s="2394">
        <f t="shared" ca="1" si="93"/>
        <v>167606.49163491547</v>
      </c>
      <c r="AS213" s="2394">
        <f t="shared" ca="1" si="93"/>
        <v>166728.59816890725</v>
      </c>
      <c r="AT213" s="2394">
        <f t="shared" ca="1" si="93"/>
        <v>164631.56666390994</v>
      </c>
      <c r="AU213" s="2394">
        <f t="shared" ca="1" si="93"/>
        <v>163758.1136509192</v>
      </c>
      <c r="AV213" s="2394">
        <f t="shared" ca="1" si="93"/>
        <v>161636.78463520238</v>
      </c>
      <c r="AW213" s="2394">
        <f t="shared" ca="1" si="93"/>
        <v>157532.02483773674</v>
      </c>
      <c r="AX213" s="2394">
        <f t="shared" ca="1" si="93"/>
        <v>154450.65594093836</v>
      </c>
      <c r="AY213" s="2394">
        <f t="shared" ca="1" si="93"/>
        <v>149579.09716321851</v>
      </c>
      <c r="AZ213" s="2394">
        <f t="shared" ca="1" si="93"/>
        <v>142760.18975188999</v>
      </c>
      <c r="BA213" s="2394">
        <f t="shared" ca="1" si="93"/>
        <v>136070.03340925503</v>
      </c>
      <c r="BB213" s="2394">
        <f t="shared" ca="1" si="93"/>
        <v>128329.39540669489</v>
      </c>
      <c r="BC213" s="2394">
        <f t="shared" ca="1" si="93"/>
        <v>129805.63812116222</v>
      </c>
      <c r="BD213" s="2394">
        <f t="shared" ca="1" si="93"/>
        <v>134643.13349477248</v>
      </c>
      <c r="BE213" s="2394">
        <f t="shared" ca="1" si="93"/>
        <v>129406.72575010966</v>
      </c>
      <c r="BF213" s="2394">
        <f t="shared" ca="1" si="93"/>
        <v>120519.13886688405</v>
      </c>
      <c r="BG213" s="2394">
        <f t="shared" ca="1" si="93"/>
        <v>113158.5623308169</v>
      </c>
      <c r="BH213" s="2394">
        <f t="shared" ca="1" si="93"/>
        <v>103640.34085404646</v>
      </c>
      <c r="BI213" s="2394">
        <f t="shared" ca="1" si="93"/>
        <v>88330.811439866375</v>
      </c>
      <c r="BJ213" s="2394">
        <f t="shared" ca="1" si="93"/>
        <v>70686.244962277822</v>
      </c>
      <c r="BK213" s="2394">
        <f t="shared" ca="1" si="93"/>
        <v>51026.581797187289</v>
      </c>
      <c r="BL213" s="2394">
        <f t="shared" ca="1" si="93"/>
        <v>28640.886988808445</v>
      </c>
      <c r="BM213" s="2394">
        <f t="shared" ca="1" si="93"/>
        <v>8278.2702483876237</v>
      </c>
      <c r="BN213" s="2394">
        <f t="shared" ca="1" si="93"/>
        <v>9171.6895574764258</v>
      </c>
    </row>
    <row r="214" spans="3:66">
      <c r="C214" s="2466"/>
      <c r="D214" s="2481" t="s">
        <v>3938</v>
      </c>
      <c r="E214" s="2385"/>
      <c r="F214" s="2385"/>
      <c r="G214" s="2386"/>
      <c r="H214" s="2488">
        <f>MAX(J214:AT214)</f>
        <v>0.98991780821917807</v>
      </c>
      <c r="I214" s="2656"/>
      <c r="J214" s="2485">
        <f t="shared" ref="J214:BN214" si="94">(1-J209)*(J$3&gt;0)</f>
        <v>0</v>
      </c>
      <c r="K214" s="2486">
        <f t="shared" si="94"/>
        <v>0</v>
      </c>
      <c r="L214" s="2487">
        <f t="shared" si="94"/>
        <v>0</v>
      </c>
      <c r="M214" s="2485">
        <f t="shared" si="94"/>
        <v>0</v>
      </c>
      <c r="N214" s="2485">
        <f t="shared" si="94"/>
        <v>0</v>
      </c>
      <c r="O214" s="2486">
        <f t="shared" si="94"/>
        <v>0</v>
      </c>
      <c r="P214" s="2488">
        <f t="shared" si="94"/>
        <v>0.98991780821917807</v>
      </c>
      <c r="Q214" s="2488">
        <f t="shared" si="94"/>
        <v>0.96991780821917806</v>
      </c>
      <c r="R214" s="2485">
        <f t="shared" si="94"/>
        <v>0.94991780821917804</v>
      </c>
      <c r="S214" s="2486">
        <f t="shared" si="94"/>
        <v>0.92991780821917813</v>
      </c>
      <c r="T214" s="2488">
        <f t="shared" si="94"/>
        <v>0.90991780821917811</v>
      </c>
      <c r="U214" s="2489">
        <f t="shared" si="94"/>
        <v>0.8899178082191781</v>
      </c>
      <c r="V214" s="2489">
        <f t="shared" si="94"/>
        <v>0.86991780821917808</v>
      </c>
      <c r="W214" s="2489">
        <f t="shared" si="94"/>
        <v>0.84991780821917806</v>
      </c>
      <c r="X214" s="2489">
        <f t="shared" si="94"/>
        <v>0.82991780821917804</v>
      </c>
      <c r="Y214" s="2489">
        <f t="shared" si="94"/>
        <v>0.80991780821917803</v>
      </c>
      <c r="Z214" s="2489">
        <f t="shared" si="94"/>
        <v>0.78991780821917801</v>
      </c>
      <c r="AA214" s="2489">
        <f t="shared" si="94"/>
        <v>0.7699178082191781</v>
      </c>
      <c r="AB214" s="2489">
        <f t="shared" si="94"/>
        <v>0.74991780821917808</v>
      </c>
      <c r="AC214" s="2489">
        <f t="shared" si="94"/>
        <v>0.72991780821917807</v>
      </c>
      <c r="AD214" s="2489">
        <f t="shared" si="94"/>
        <v>0.70991780821917805</v>
      </c>
      <c r="AE214" s="2489">
        <f t="shared" si="94"/>
        <v>0.68991780821917814</v>
      </c>
      <c r="AF214" s="2489">
        <f t="shared" si="94"/>
        <v>0.66991780821917812</v>
      </c>
      <c r="AG214" s="2489">
        <f t="shared" si="94"/>
        <v>0.64991780821917811</v>
      </c>
      <c r="AH214" s="2489">
        <f t="shared" si="94"/>
        <v>0.62991780821917809</v>
      </c>
      <c r="AI214" s="2489">
        <f t="shared" si="94"/>
        <v>0.60991780821917807</v>
      </c>
      <c r="AJ214" s="2489">
        <f t="shared" si="94"/>
        <v>0.58991780821917805</v>
      </c>
      <c r="AK214" s="2489">
        <f t="shared" si="94"/>
        <v>0.56991780821917803</v>
      </c>
      <c r="AL214" s="2489">
        <f t="shared" si="94"/>
        <v>0.54991780821917802</v>
      </c>
      <c r="AM214" s="2489">
        <f t="shared" si="94"/>
        <v>0.529917808219178</v>
      </c>
      <c r="AN214" s="2489">
        <f t="shared" si="94"/>
        <v>0.50991780821917809</v>
      </c>
      <c r="AO214" s="2489">
        <f t="shared" si="94"/>
        <v>0.48991780821917807</v>
      </c>
      <c r="AP214" s="2489">
        <f t="shared" si="94"/>
        <v>0.46991780821917806</v>
      </c>
      <c r="AQ214" s="2489">
        <f t="shared" si="94"/>
        <v>0.44991780821917804</v>
      </c>
      <c r="AR214" s="2489">
        <f t="shared" si="94"/>
        <v>0.42991780821917802</v>
      </c>
      <c r="AS214" s="2489">
        <f t="shared" si="94"/>
        <v>0.40991780821917811</v>
      </c>
      <c r="AT214" s="2489">
        <f t="shared" si="94"/>
        <v>0.3899178082191781</v>
      </c>
      <c r="AU214" s="2489">
        <f t="shared" si="94"/>
        <v>0.36991780821917808</v>
      </c>
      <c r="AV214" s="2489">
        <f t="shared" si="94"/>
        <v>0.34991780821917817</v>
      </c>
      <c r="AW214" s="2489">
        <f t="shared" si="94"/>
        <v>0.32991780821917815</v>
      </c>
      <c r="AX214" s="2489">
        <f t="shared" si="94"/>
        <v>0.30991780821917814</v>
      </c>
      <c r="AY214" s="2489">
        <f t="shared" si="94"/>
        <v>0.28991780821917812</v>
      </c>
      <c r="AZ214" s="2489">
        <f t="shared" si="94"/>
        <v>0.2699178082191781</v>
      </c>
      <c r="BA214" s="2489">
        <f t="shared" si="94"/>
        <v>0.24991780821917819</v>
      </c>
      <c r="BB214" s="2489">
        <f t="shared" si="94"/>
        <v>0.22991780821917818</v>
      </c>
      <c r="BC214" s="2489">
        <f t="shared" si="94"/>
        <v>0.20991780821917816</v>
      </c>
      <c r="BD214" s="2489">
        <f t="shared" si="94"/>
        <v>0.18991780821917814</v>
      </c>
      <c r="BE214" s="2489">
        <f t="shared" si="94"/>
        <v>0.16991780821917812</v>
      </c>
      <c r="BF214" s="2489">
        <f t="shared" si="94"/>
        <v>0.14991780821917811</v>
      </c>
      <c r="BG214" s="2489">
        <f t="shared" si="94"/>
        <v>0.12991780821917809</v>
      </c>
      <c r="BH214" s="2489">
        <f t="shared" si="94"/>
        <v>0.10991780821917818</v>
      </c>
      <c r="BI214" s="2489">
        <f t="shared" si="94"/>
        <v>8.9917808219178164E-2</v>
      </c>
      <c r="BJ214" s="2489">
        <f t="shared" si="94"/>
        <v>6.9917808219178146E-2</v>
      </c>
      <c r="BK214" s="2489">
        <f t="shared" si="94"/>
        <v>4.9917808219178128E-2</v>
      </c>
      <c r="BL214" s="2489">
        <f t="shared" si="94"/>
        <v>2.991780821917811E-2</v>
      </c>
      <c r="BM214" s="2489">
        <f t="shared" si="94"/>
        <v>9.9178082191780925E-3</v>
      </c>
      <c r="BN214" s="2394">
        <f t="shared" si="94"/>
        <v>0</v>
      </c>
    </row>
    <row r="215" spans="3:66">
      <c r="C215" s="2466"/>
      <c r="D215" s="2490" t="s">
        <v>3939</v>
      </c>
      <c r="E215" s="2385"/>
      <c r="F215" s="2385"/>
      <c r="G215" s="2386"/>
      <c r="H215" s="2392">
        <f ca="1">MAX(J215:AT215)</f>
        <v>182009.63804871711</v>
      </c>
      <c r="I215" s="2482"/>
      <c r="J215" s="2395">
        <f t="shared" ref="J215:BN215" si="95">J213*J214</f>
        <v>0</v>
      </c>
      <c r="K215" s="2387">
        <f t="shared" si="95"/>
        <v>0</v>
      </c>
      <c r="L215" s="2393">
        <f t="shared" si="95"/>
        <v>0</v>
      </c>
      <c r="M215" s="2395">
        <f t="shared" si="95"/>
        <v>0</v>
      </c>
      <c r="N215" s="2395">
        <f t="shared" si="95"/>
        <v>0</v>
      </c>
      <c r="O215" s="2387">
        <f t="shared" si="95"/>
        <v>0</v>
      </c>
      <c r="P215" s="2392">
        <f t="shared" si="95"/>
        <v>0</v>
      </c>
      <c r="Q215" s="2392">
        <f t="shared" si="95"/>
        <v>0</v>
      </c>
      <c r="R215" s="2395">
        <f t="shared" si="95"/>
        <v>0</v>
      </c>
      <c r="S215" s="2387">
        <f t="shared" si="95"/>
        <v>0</v>
      </c>
      <c r="T215" s="2392">
        <f t="shared" si="95"/>
        <v>182009.63804871711</v>
      </c>
      <c r="U215" s="2394">
        <f t="shared" si="95"/>
        <v>178382.19103514188</v>
      </c>
      <c r="V215" s="2394">
        <f t="shared" si="95"/>
        <v>170910.62973270527</v>
      </c>
      <c r="W215" s="2394">
        <f t="shared" si="95"/>
        <v>163293.09087935142</v>
      </c>
      <c r="X215" s="2394">
        <f t="shared" si="95"/>
        <v>157540.20456248036</v>
      </c>
      <c r="Y215" s="2394">
        <f t="shared" si="95"/>
        <v>153510.5331387771</v>
      </c>
      <c r="Z215" s="2394">
        <f t="shared" si="95"/>
        <v>149172.22713018939</v>
      </c>
      <c r="AA215" s="2394">
        <f t="shared" si="95"/>
        <v>155042.7211499335</v>
      </c>
      <c r="AB215" s="2394">
        <f t="shared" si="95"/>
        <v>151470.70247694789</v>
      </c>
      <c r="AC215" s="2394">
        <f t="shared" ca="1" si="95"/>
        <v>137194.98840641099</v>
      </c>
      <c r="AD215" s="2394">
        <f t="shared" ca="1" si="95"/>
        <v>131916.04468328806</v>
      </c>
      <c r="AE215" s="2394">
        <f t="shared" ca="1" si="95"/>
        <v>130149.65488820481</v>
      </c>
      <c r="AF215" s="2394">
        <f t="shared" ca="1" si="95"/>
        <v>129259.89100396886</v>
      </c>
      <c r="AG215" s="2394">
        <f t="shared" ca="1" si="95"/>
        <v>114214.03249363837</v>
      </c>
      <c r="AH215" s="2394">
        <f t="shared" ca="1" si="95"/>
        <v>94889.913194603927</v>
      </c>
      <c r="AI215" s="2394">
        <f t="shared" ca="1" si="95"/>
        <v>88436.853257926065</v>
      </c>
      <c r="AJ215" s="2394">
        <f t="shared" ca="1" si="95"/>
        <v>89076.617740107642</v>
      </c>
      <c r="AK215" s="2394">
        <f t="shared" ca="1" si="95"/>
        <v>88800.791940810304</v>
      </c>
      <c r="AL215" s="2394">
        <f t="shared" ca="1" si="95"/>
        <v>88472.901327292595</v>
      </c>
      <c r="AM215" s="2394">
        <f t="shared" ca="1" si="95"/>
        <v>87800.8716689867</v>
      </c>
      <c r="AN215" s="2394">
        <f t="shared" ca="1" si="95"/>
        <v>86126.937232488199</v>
      </c>
      <c r="AO215" s="2394">
        <f t="shared" ca="1" si="95"/>
        <v>83506.957323639464</v>
      </c>
      <c r="AP215" s="2394">
        <f t="shared" ca="1" si="95"/>
        <v>79873.962186991455</v>
      </c>
      <c r="AQ215" s="2394">
        <f t="shared" ca="1" si="95"/>
        <v>75629.031415875957</v>
      </c>
      <c r="AR215" s="2394">
        <f t="shared" ca="1" si="95"/>
        <v>72057.015526988849</v>
      </c>
      <c r="AS215" s="2394">
        <f t="shared" ca="1" si="95"/>
        <v>68345.02152885453</v>
      </c>
      <c r="AT215" s="2394">
        <f t="shared" ca="1" si="95"/>
        <v>64192.779637281266</v>
      </c>
      <c r="AU215" s="2394">
        <f t="shared" ca="1" si="95"/>
        <v>60577.042479855096</v>
      </c>
      <c r="AV215" s="2394">
        <f t="shared" ca="1" si="95"/>
        <v>56559.589407145351</v>
      </c>
      <c r="AW215" s="2394">
        <f t="shared" ca="1" si="95"/>
        <v>51972.62035879524</v>
      </c>
      <c r="AX215" s="2394">
        <f t="shared" ca="1" si="95"/>
        <v>47867.00876723</v>
      </c>
      <c r="AY215" s="2394">
        <f t="shared" ca="1" si="95"/>
        <v>43365.644004963797</v>
      </c>
      <c r="AZ215" s="2394">
        <f t="shared" ca="1" si="95"/>
        <v>38533.517518784116</v>
      </c>
      <c r="BA215" s="2394">
        <f t="shared" ca="1" si="95"/>
        <v>34006.324513951367</v>
      </c>
      <c r="BB215" s="2394">
        <f t="shared" ca="1" si="95"/>
        <v>29505.213321999563</v>
      </c>
      <c r="BC215" s="2394">
        <f t="shared" ca="1" si="95"/>
        <v>27248.515048886173</v>
      </c>
      <c r="BD215" s="2394">
        <f t="shared" ca="1" si="95"/>
        <v>25571.1288050894</v>
      </c>
      <c r="BE215" s="2394">
        <f t="shared" ca="1" si="95"/>
        <v>21988.507208278912</v>
      </c>
      <c r="BF215" s="2394">
        <f t="shared" ca="1" si="95"/>
        <v>18067.965147386018</v>
      </c>
      <c r="BG215" s="2394">
        <f t="shared" ca="1" si="95"/>
        <v>14701.31239925298</v>
      </c>
      <c r="BH215" s="2394">
        <f t="shared" ca="1" si="95"/>
        <v>11391.919109765337</v>
      </c>
      <c r="BI215" s="2394">
        <f t="shared" ca="1" si="95"/>
        <v>7942.5129628942932</v>
      </c>
      <c r="BJ215" s="2394">
        <f t="shared" ca="1" si="95"/>
        <v>4942.2273190063879</v>
      </c>
      <c r="BK215" s="2394">
        <f t="shared" ca="1" si="95"/>
        <v>2547.1351242322007</v>
      </c>
      <c r="BL215" s="2394">
        <f t="shared" ca="1" si="95"/>
        <v>856.87256415832474</v>
      </c>
      <c r="BM215" s="2394">
        <f t="shared" ca="1" si="95"/>
        <v>82.102296710036242</v>
      </c>
      <c r="BN215" s="2394">
        <f t="shared" ca="1" si="95"/>
        <v>0</v>
      </c>
    </row>
    <row r="216" spans="3:66">
      <c r="C216" s="2466"/>
      <c r="D216" s="2476" t="s">
        <v>3940</v>
      </c>
      <c r="E216" s="2356"/>
      <c r="F216" s="2356"/>
      <c r="G216" s="2446"/>
      <c r="H216" s="2477"/>
      <c r="I216" s="2358"/>
      <c r="J216" s="2478">
        <f t="shared" ref="J216:BN216" si="96">SUM(J210,J215)</f>
        <v>0</v>
      </c>
      <c r="K216" s="2357">
        <f t="shared" si="96"/>
        <v>0</v>
      </c>
      <c r="L216" s="2479">
        <f t="shared" si="96"/>
        <v>0</v>
      </c>
      <c r="M216" s="2478">
        <f t="shared" si="96"/>
        <v>0</v>
      </c>
      <c r="N216" s="2478">
        <f t="shared" si="96"/>
        <v>0</v>
      </c>
      <c r="O216" s="2357">
        <f t="shared" si="96"/>
        <v>0</v>
      </c>
      <c r="P216" s="2477">
        <f t="shared" si="96"/>
        <v>2329.8334128822221</v>
      </c>
      <c r="Q216" s="2477">
        <f t="shared" si="96"/>
        <v>6677.3847685291094</v>
      </c>
      <c r="R216" s="2478">
        <f t="shared" si="96"/>
        <v>10795.072446527693</v>
      </c>
      <c r="S216" s="2357">
        <f t="shared" si="96"/>
        <v>14284.357816234557</v>
      </c>
      <c r="T216" s="2477">
        <f t="shared" si="96"/>
        <v>199321.88325768989</v>
      </c>
      <c r="U216" s="2480">
        <f t="shared" si="96"/>
        <v>198270.24601427972</v>
      </c>
      <c r="V216" s="2480">
        <f t="shared" si="96"/>
        <v>193067.32354143055</v>
      </c>
      <c r="W216" s="2480">
        <f t="shared" si="96"/>
        <v>187443.35289065909</v>
      </c>
      <c r="X216" s="2480">
        <f t="shared" si="96"/>
        <v>183415.29485924641</v>
      </c>
      <c r="Y216" s="2480">
        <f t="shared" si="96"/>
        <v>180825.68673323136</v>
      </c>
      <c r="Z216" s="2480">
        <f t="shared" si="96"/>
        <v>177524.30064427518</v>
      </c>
      <c r="AA216" s="2480">
        <f t="shared" si="96"/>
        <v>184167.96431133113</v>
      </c>
      <c r="AB216" s="2480">
        <f t="shared" si="96"/>
        <v>182074.91980789095</v>
      </c>
      <c r="AC216" s="2480">
        <f t="shared" ca="1" si="96"/>
        <v>168470.39231476962</v>
      </c>
      <c r="AD216" s="2480">
        <f t="shared" ca="1" si="96"/>
        <v>163702.09110231409</v>
      </c>
      <c r="AE216" s="2480">
        <f t="shared" ca="1" si="96"/>
        <v>162301.11774177398</v>
      </c>
      <c r="AF216" s="2480">
        <f t="shared" ca="1" si="96"/>
        <v>161645.67941948597</v>
      </c>
      <c r="AG216" s="2480">
        <f t="shared" ca="1" si="96"/>
        <v>146716.0909058894</v>
      </c>
      <c r="AH216" s="2480">
        <f t="shared" ca="1" si="96"/>
        <v>127402.19884714068</v>
      </c>
      <c r="AI216" s="2480">
        <f t="shared" ca="1" si="96"/>
        <v>120864.38595962283</v>
      </c>
      <c r="AJ216" s="2480">
        <f t="shared" ca="1" si="96"/>
        <v>121334.59706371484</v>
      </c>
      <c r="AK216" s="2480">
        <f t="shared" ca="1" si="96"/>
        <v>120813.77735898731</v>
      </c>
      <c r="AL216" s="2480">
        <f t="shared" ca="1" si="96"/>
        <v>120174.05107098276</v>
      </c>
      <c r="AM216" s="2480">
        <f t="shared" ca="1" si="96"/>
        <v>119131.23636428562</v>
      </c>
      <c r="AN216" s="2480">
        <f t="shared" ca="1" si="96"/>
        <v>117034.80462645847</v>
      </c>
      <c r="AO216" s="2480">
        <f t="shared" ca="1" si="96"/>
        <v>113947.24464788474</v>
      </c>
      <c r="AP216" s="2480">
        <f t="shared" ca="1" si="96"/>
        <v>109807.65293119808</v>
      </c>
      <c r="AQ216" s="2480">
        <f t="shared" ca="1" si="96"/>
        <v>105022.65349288208</v>
      </c>
      <c r="AR216" s="2480">
        <f t="shared" ca="1" si="96"/>
        <v>100882.15800711299</v>
      </c>
      <c r="AS216" s="2480">
        <f t="shared" ca="1" si="96"/>
        <v>96577.887305020209</v>
      </c>
      <c r="AT216" s="2480">
        <f t="shared" ca="1" si="96"/>
        <v>91813.771554673251</v>
      </c>
      <c r="AU216" s="2480">
        <f t="shared" ca="1" si="96"/>
        <v>87570.380625154532</v>
      </c>
      <c r="AV216" s="2480">
        <f t="shared" ca="1" si="96"/>
        <v>82912.9574034861</v>
      </c>
      <c r="AW216" s="2480">
        <f t="shared" ca="1" si="96"/>
        <v>77676.838654096617</v>
      </c>
      <c r="AX216" s="2480">
        <f t="shared" ca="1" si="96"/>
        <v>72915.733036083402</v>
      </c>
      <c r="AY216" s="2480">
        <f t="shared" ca="1" si="96"/>
        <v>67755.086908341196</v>
      </c>
      <c r="AZ216" s="2480">
        <f t="shared" ca="1" si="96"/>
        <v>62262.192182018829</v>
      </c>
      <c r="BA216" s="2480">
        <f t="shared" ca="1" si="96"/>
        <v>57074.808192206183</v>
      </c>
      <c r="BB216" s="2480">
        <f t="shared" ca="1" si="96"/>
        <v>51915.929824247272</v>
      </c>
      <c r="BC216" s="2480">
        <f t="shared" ca="1" si="96"/>
        <v>49005.534586715694</v>
      </c>
      <c r="BD216" s="2480">
        <f t="shared" ca="1" si="96"/>
        <v>46679.984021823591</v>
      </c>
      <c r="BE216" s="2480">
        <f t="shared" ca="1" si="96"/>
        <v>42456.024227330992</v>
      </c>
      <c r="BF216" s="2480">
        <f t="shared" ca="1" si="96"/>
        <v>37902.108556847161</v>
      </c>
      <c r="BG216" s="2480">
        <f t="shared" ca="1" si="96"/>
        <v>33911.043162732589</v>
      </c>
      <c r="BH216" s="2480">
        <f t="shared" ca="1" si="96"/>
        <v>29987.06446181277</v>
      </c>
      <c r="BI216" s="2480">
        <f t="shared" ca="1" si="96"/>
        <v>25933.647411212631</v>
      </c>
      <c r="BJ216" s="2480">
        <f t="shared" ca="1" si="96"/>
        <v>22340.563935404563</v>
      </c>
      <c r="BK216" s="2480">
        <f t="shared" ca="1" si="96"/>
        <v>19364.426362111823</v>
      </c>
      <c r="BL216" s="2480">
        <f t="shared" ca="1" si="96"/>
        <v>17105.319892541298</v>
      </c>
      <c r="BM216" s="2480">
        <f t="shared" ca="1" si="96"/>
        <v>15774.273989612484</v>
      </c>
      <c r="BN216" s="2480">
        <f t="shared" ca="1" si="96"/>
        <v>15537.291380515015</v>
      </c>
    </row>
    <row r="217" spans="3:66">
      <c r="C217" s="2466"/>
      <c r="D217" s="2476" t="s">
        <v>3941</v>
      </c>
      <c r="E217" s="2356"/>
      <c r="F217" s="2356"/>
      <c r="G217" s="2446"/>
      <c r="H217" s="2477"/>
      <c r="I217" s="2358"/>
      <c r="J217" s="2478">
        <f t="shared" ref="J217:BN217" si="97">J208</f>
        <v>0</v>
      </c>
      <c r="K217" s="2357">
        <f t="shared" si="97"/>
        <v>0</v>
      </c>
      <c r="L217" s="2479">
        <f t="shared" si="97"/>
        <v>0</v>
      </c>
      <c r="M217" s="2478">
        <f t="shared" si="97"/>
        <v>0</v>
      </c>
      <c r="N217" s="2478">
        <f t="shared" si="97"/>
        <v>0</v>
      </c>
      <c r="O217" s="2357">
        <f t="shared" si="97"/>
        <v>0</v>
      </c>
      <c r="P217" s="2477">
        <f t="shared" si="97"/>
        <v>231084.02057119863</v>
      </c>
      <c r="Q217" s="2477">
        <f t="shared" si="97"/>
        <v>221971.35159500223</v>
      </c>
      <c r="R217" s="2478">
        <f t="shared" si="97"/>
        <v>215547.12488963938</v>
      </c>
      <c r="S217" s="2357">
        <f t="shared" si="97"/>
        <v>203822.93209247899</v>
      </c>
      <c r="T217" s="2477">
        <f t="shared" si="97"/>
        <v>192182.77072004456</v>
      </c>
      <c r="U217" s="2480">
        <f t="shared" si="97"/>
        <v>180665.50690356686</v>
      </c>
      <c r="V217" s="2480">
        <f t="shared" si="97"/>
        <v>170328.41702158234</v>
      </c>
      <c r="W217" s="2480">
        <f t="shared" si="97"/>
        <v>160913.57492017705</v>
      </c>
      <c r="X217" s="2480">
        <f t="shared" si="97"/>
        <v>152132.86015334411</v>
      </c>
      <c r="Y217" s="2480">
        <f t="shared" si="97"/>
        <v>143701.80256523206</v>
      </c>
      <c r="Z217" s="2480">
        <f t="shared" si="97"/>
        <v>134957.05311217156</v>
      </c>
      <c r="AA217" s="2480">
        <f t="shared" si="97"/>
        <v>126586.2557026689</v>
      </c>
      <c r="AB217" s="2480">
        <f t="shared" si="97"/>
        <v>122376.63590922672</v>
      </c>
      <c r="AC217" s="2480">
        <f t="shared" ca="1" si="97"/>
        <v>115799.57827704294</v>
      </c>
      <c r="AD217" s="2480">
        <f t="shared" ca="1" si="97"/>
        <v>109576.00059448903</v>
      </c>
      <c r="AE217" s="2480">
        <f t="shared" ca="1" si="97"/>
        <v>103686.90529733829</v>
      </c>
      <c r="AF217" s="2480">
        <f t="shared" ca="1" si="97"/>
        <v>98114.315833862449</v>
      </c>
      <c r="AG217" s="2480">
        <f t="shared" ca="1" si="97"/>
        <v>92841.221791138072</v>
      </c>
      <c r="AH217" s="2480">
        <f t="shared" ca="1" si="97"/>
        <v>87851.526970505758</v>
      </c>
      <c r="AI217" s="2480">
        <f t="shared" ca="1" si="97"/>
        <v>83130.00025368252</v>
      </c>
      <c r="AJ217" s="2480">
        <f t="shared" ca="1" si="97"/>
        <v>78662.229109544554</v>
      </c>
      <c r="AK217" s="2480">
        <f t="shared" ca="1" si="97"/>
        <v>74434.575599659889</v>
      </c>
      <c r="AL217" s="2480">
        <f t="shared" ca="1" si="97"/>
        <v>70434.134748276789</v>
      </c>
      <c r="AM217" s="2480">
        <f t="shared" ca="1" si="97"/>
        <v>66648.695149691732</v>
      </c>
      <c r="AN217" s="2480">
        <f t="shared" ca="1" si="97"/>
        <v>63066.701692750161</v>
      </c>
      <c r="AO217" s="2480">
        <f t="shared" ca="1" si="97"/>
        <v>59677.220288696568</v>
      </c>
      <c r="AP217" s="2480">
        <f t="shared" ca="1" si="97"/>
        <v>56469.90449470446</v>
      </c>
      <c r="AQ217" s="2480">
        <f t="shared" ca="1" si="97"/>
        <v>53434.963931204467</v>
      </c>
      <c r="AR217" s="2480">
        <f t="shared" ca="1" si="97"/>
        <v>50563.134396603753</v>
      </c>
      <c r="AS217" s="2480">
        <f t="shared" ca="1" si="97"/>
        <v>47845.649588171931</v>
      </c>
      <c r="AT217" s="2480">
        <f t="shared" ca="1" si="97"/>
        <v>45274.214342770225</v>
      </c>
      <c r="AU217" s="2480">
        <f t="shared" ca="1" si="97"/>
        <v>42840.979315741766</v>
      </c>
      <c r="AV217" s="2480">
        <f t="shared" ca="1" si="97"/>
        <v>40538.517020669133</v>
      </c>
      <c r="AW217" s="2480">
        <f t="shared" ca="1" si="97"/>
        <v>38359.799156860761</v>
      </c>
      <c r="AX217" s="2480">
        <f t="shared" ca="1" si="97"/>
        <v>36298.175155357683</v>
      </c>
      <c r="AY217" s="2480">
        <f t="shared" ca="1" si="97"/>
        <v>34347.35187797188</v>
      </c>
      <c r="AZ217" s="2480">
        <f t="shared" ca="1" si="97"/>
        <v>32501.374407387691</v>
      </c>
      <c r="BA217" s="2480">
        <f t="shared" ca="1" si="97"/>
        <v>30754.60786968737</v>
      </c>
      <c r="BB217" s="2480">
        <f t="shared" ca="1" si="97"/>
        <v>29101.720233813918</v>
      </c>
      <c r="BC217" s="2480">
        <f t="shared" ca="1" si="97"/>
        <v>27537.666035466314</v>
      </c>
      <c r="BD217" s="2480">
        <f t="shared" ca="1" si="97"/>
        <v>26057.670975743986</v>
      </c>
      <c r="BE217" s="2480">
        <f t="shared" ca="1" si="97"/>
        <v>24657.217347527923</v>
      </c>
      <c r="BF217" s="2480">
        <f t="shared" ca="1" si="97"/>
        <v>23332.030245111895</v>
      </c>
      <c r="BG217" s="2480">
        <f t="shared" ca="1" si="97"/>
        <v>22078.064514988528</v>
      </c>
      <c r="BH217" s="2480">
        <f t="shared" ca="1" si="97"/>
        <v>20891.492407957754</v>
      </c>
      <c r="BI217" s="2480">
        <f t="shared" ca="1" si="97"/>
        <v>19768.691894864813</v>
      </c>
      <c r="BJ217" s="2480">
        <f t="shared" ca="1" si="97"/>
        <v>18706.235610302036</v>
      </c>
      <c r="BK217" s="2480">
        <f t="shared" ca="1" si="97"/>
        <v>17700.880390524431</v>
      </c>
      <c r="BL217" s="2480">
        <f t="shared" ca="1" si="97"/>
        <v>16749.557373643769</v>
      </c>
      <c r="BM217" s="2480">
        <f t="shared" ca="1" si="97"/>
        <v>15849.362631881659</v>
      </c>
      <c r="BN217" s="2480">
        <f t="shared" ca="1" si="97"/>
        <v>15537.291380515015</v>
      </c>
    </row>
    <row r="218" spans="3:66">
      <c r="C218" s="2491"/>
      <c r="D218" s="2492" t="s">
        <v>3942</v>
      </c>
      <c r="E218" s="2424"/>
      <c r="F218" s="2424"/>
      <c r="G218" s="2493"/>
      <c r="H218" s="2494"/>
      <c r="I218" s="2358"/>
      <c r="J218" s="2495">
        <f t="shared" ref="J218:X219" si="98">MAX(J216,J217)</f>
        <v>0</v>
      </c>
      <c r="K218" s="2496">
        <f t="shared" si="98"/>
        <v>0</v>
      </c>
      <c r="L218" s="2497">
        <f t="shared" si="98"/>
        <v>0</v>
      </c>
      <c r="M218" s="2495">
        <f t="shared" si="98"/>
        <v>0</v>
      </c>
      <c r="N218" s="2495">
        <f t="shared" si="98"/>
        <v>0</v>
      </c>
      <c r="O218" s="2496">
        <f t="shared" si="98"/>
        <v>0</v>
      </c>
      <c r="P218" s="2494">
        <f t="shared" si="98"/>
        <v>231084.02057119863</v>
      </c>
      <c r="Q218" s="2494">
        <f t="shared" si="98"/>
        <v>221971.35159500223</v>
      </c>
      <c r="R218" s="2495">
        <f t="shared" si="98"/>
        <v>215547.12488963938</v>
      </c>
      <c r="S218" s="2496">
        <f t="shared" si="98"/>
        <v>203822.93209247899</v>
      </c>
      <c r="T218" s="2494">
        <f t="shared" si="98"/>
        <v>199321.88325768989</v>
      </c>
      <c r="U218" s="2498">
        <f t="shared" si="98"/>
        <v>198270.24601427972</v>
      </c>
      <c r="V218" s="2498">
        <f t="shared" si="98"/>
        <v>193067.32354143055</v>
      </c>
      <c r="W218" s="2498">
        <f t="shared" si="98"/>
        <v>187443.35289065909</v>
      </c>
      <c r="X218" s="2498">
        <f t="shared" si="98"/>
        <v>183415.29485924641</v>
      </c>
      <c r="Y218" s="2498">
        <f t="shared" ref="Y218:BN218" si="99">CHOOSE($G$30,MAX(Y216,Y217),Y219)</f>
        <v>180825.68673323136</v>
      </c>
      <c r="Z218" s="2498">
        <f t="shared" si="99"/>
        <v>177524.30064427518</v>
      </c>
      <c r="AA218" s="2498">
        <f t="shared" si="99"/>
        <v>184167.96431133113</v>
      </c>
      <c r="AB218" s="2498">
        <f t="shared" si="99"/>
        <v>182074.91980789095</v>
      </c>
      <c r="AC218" s="2498">
        <f t="shared" ca="1" si="99"/>
        <v>168470.39231476962</v>
      </c>
      <c r="AD218" s="2498">
        <f t="shared" ca="1" si="99"/>
        <v>163702.09110231409</v>
      </c>
      <c r="AE218" s="2498">
        <f t="shared" ca="1" si="99"/>
        <v>162301.11774177398</v>
      </c>
      <c r="AF218" s="2498">
        <f t="shared" ca="1" si="99"/>
        <v>161645.67941948597</v>
      </c>
      <c r="AG218" s="2498">
        <f t="shared" ca="1" si="99"/>
        <v>146716.0909058894</v>
      </c>
      <c r="AH218" s="2498">
        <f t="shared" ca="1" si="99"/>
        <v>127402.19884714068</v>
      </c>
      <c r="AI218" s="2498">
        <f t="shared" ca="1" si="99"/>
        <v>120864.38595962283</v>
      </c>
      <c r="AJ218" s="2498">
        <f t="shared" ca="1" si="99"/>
        <v>121334.59706371484</v>
      </c>
      <c r="AK218" s="2498">
        <f t="shared" ca="1" si="99"/>
        <v>120813.77735898731</v>
      </c>
      <c r="AL218" s="2498">
        <f t="shared" ca="1" si="99"/>
        <v>120174.05107098276</v>
      </c>
      <c r="AM218" s="2498">
        <f t="shared" ca="1" si="99"/>
        <v>119131.23636428562</v>
      </c>
      <c r="AN218" s="2498">
        <f t="shared" ca="1" si="99"/>
        <v>117034.80462645847</v>
      </c>
      <c r="AO218" s="2498">
        <f t="shared" ca="1" si="99"/>
        <v>113947.24464788474</v>
      </c>
      <c r="AP218" s="2498">
        <f t="shared" ca="1" si="99"/>
        <v>109807.65293119808</v>
      </c>
      <c r="AQ218" s="2498">
        <f t="shared" ca="1" si="99"/>
        <v>105022.65349288208</v>
      </c>
      <c r="AR218" s="2498">
        <f t="shared" ca="1" si="99"/>
        <v>100882.15800711299</v>
      </c>
      <c r="AS218" s="2498">
        <f t="shared" ca="1" si="99"/>
        <v>96577.887305020209</v>
      </c>
      <c r="AT218" s="2498">
        <f t="shared" ca="1" si="99"/>
        <v>91813.771554673251</v>
      </c>
      <c r="AU218" s="2498">
        <f t="shared" ca="1" si="99"/>
        <v>87570.380625154532</v>
      </c>
      <c r="AV218" s="2498">
        <f t="shared" ca="1" si="99"/>
        <v>82912.9574034861</v>
      </c>
      <c r="AW218" s="2498">
        <f t="shared" ca="1" si="99"/>
        <v>77676.838654096617</v>
      </c>
      <c r="AX218" s="2498">
        <f t="shared" ca="1" si="99"/>
        <v>72915.733036083402</v>
      </c>
      <c r="AY218" s="2498">
        <f t="shared" ca="1" si="99"/>
        <v>67755.086908341196</v>
      </c>
      <c r="AZ218" s="2498">
        <f t="shared" ca="1" si="99"/>
        <v>62262.192182018829</v>
      </c>
      <c r="BA218" s="2498">
        <f t="shared" ca="1" si="99"/>
        <v>57074.808192206183</v>
      </c>
      <c r="BB218" s="2498">
        <f t="shared" ca="1" si="99"/>
        <v>51915.929824247272</v>
      </c>
      <c r="BC218" s="2498">
        <f t="shared" ca="1" si="99"/>
        <v>49005.534586715694</v>
      </c>
      <c r="BD218" s="2498">
        <f t="shared" ca="1" si="99"/>
        <v>46679.984021823591</v>
      </c>
      <c r="BE218" s="2498">
        <f t="shared" ca="1" si="99"/>
        <v>42456.024227330992</v>
      </c>
      <c r="BF218" s="2498">
        <f t="shared" ca="1" si="99"/>
        <v>37902.108556847161</v>
      </c>
      <c r="BG218" s="2498">
        <f t="shared" ca="1" si="99"/>
        <v>33911.043162732589</v>
      </c>
      <c r="BH218" s="2498">
        <f t="shared" ca="1" si="99"/>
        <v>29987.06446181277</v>
      </c>
      <c r="BI218" s="2498">
        <f t="shared" ca="1" si="99"/>
        <v>25933.647411212631</v>
      </c>
      <c r="BJ218" s="2498">
        <f t="shared" ca="1" si="99"/>
        <v>22340.563935404563</v>
      </c>
      <c r="BK218" s="2498">
        <f t="shared" ca="1" si="99"/>
        <v>19364.426362111823</v>
      </c>
      <c r="BL218" s="2498">
        <f t="shared" ca="1" si="99"/>
        <v>17105.319892541298</v>
      </c>
      <c r="BM218" s="2498">
        <f t="shared" ca="1" si="99"/>
        <v>15849.362631881659</v>
      </c>
      <c r="BN218" s="2498">
        <f t="shared" ca="1" si="99"/>
        <v>15537.291380515015</v>
      </c>
    </row>
    <row r="219" spans="3:66">
      <c r="C219" s="2491"/>
      <c r="D219" s="2492" t="s">
        <v>3943</v>
      </c>
      <c r="E219" s="2424"/>
      <c r="F219" s="2424"/>
      <c r="G219" s="2657">
        <v>0.9</v>
      </c>
      <c r="H219" s="2494"/>
      <c r="I219" s="2358"/>
      <c r="J219" s="2495">
        <f t="shared" si="98"/>
        <v>0</v>
      </c>
      <c r="K219" s="2496">
        <f t="shared" si="98"/>
        <v>0</v>
      </c>
      <c r="L219" s="2497">
        <f t="shared" si="98"/>
        <v>0</v>
      </c>
      <c r="M219" s="2495">
        <f t="shared" si="98"/>
        <v>0</v>
      </c>
      <c r="N219" s="2496">
        <f t="shared" si="98"/>
        <v>0</v>
      </c>
      <c r="O219" s="2497">
        <f t="shared" si="98"/>
        <v>0</v>
      </c>
      <c r="P219" s="2496"/>
      <c r="Q219" s="2494"/>
      <c r="R219" s="2495"/>
      <c r="S219" s="2496"/>
      <c r="T219" s="2494"/>
      <c r="U219" s="2498"/>
      <c r="V219" s="2498">
        <f>V$34*V$47+V$35*V$50*V$52*$G219</f>
        <v>171517.71857468595</v>
      </c>
      <c r="W219" s="2498">
        <f>W$34*W$47+W$35*W$50*W$52*$G219</f>
        <v>166254.34053379964</v>
      </c>
      <c r="X219" s="2498">
        <f>X$34*X$47+X$35*X$50*X$52*$G219</f>
        <v>162454.48779173801</v>
      </c>
      <c r="Y219" s="2498">
        <f t="shared" ref="Y219:BN219" si="100">Y$34*Y$47+Y$35*Y$50*Y$52*$G219</f>
        <v>159978.066088035</v>
      </c>
      <c r="Z219" s="2498">
        <f t="shared" si="100"/>
        <v>156901.85352115781</v>
      </c>
      <c r="AA219" s="2498">
        <f t="shared" si="100"/>
        <v>162802.88458549746</v>
      </c>
      <c r="AB219" s="2498">
        <f t="shared" si="100"/>
        <v>160769.4312814869</v>
      </c>
      <c r="AC219" s="2498">
        <f t="shared" ca="1" si="100"/>
        <v>148457.41381998587</v>
      </c>
      <c r="AD219" s="2498">
        <f t="shared" ca="1" si="100"/>
        <v>144114.25152827939</v>
      </c>
      <c r="AE219" s="2498">
        <f t="shared" ca="1" si="100"/>
        <v>142816.38521452423</v>
      </c>
      <c r="AF219" s="2498">
        <f t="shared" ca="1" si="100"/>
        <v>142202.77047135044</v>
      </c>
      <c r="AG219" s="2498">
        <f t="shared" ca="1" si="100"/>
        <v>128754.3710571102</v>
      </c>
      <c r="AH219" s="2498">
        <f t="shared" ca="1" si="100"/>
        <v>111370.83292355157</v>
      </c>
      <c r="AI219" s="2498">
        <f t="shared" ca="1" si="100"/>
        <v>105495.38067664717</v>
      </c>
      <c r="AJ219" s="2498">
        <f t="shared" ca="1" si="100"/>
        <v>105935.73417998417</v>
      </c>
      <c r="AK219" s="2498">
        <f t="shared" ca="1" si="100"/>
        <v>105491.79663141989</v>
      </c>
      <c r="AL219" s="2498">
        <f t="shared" ca="1" si="100"/>
        <v>104947.60940085251</v>
      </c>
      <c r="AM219" s="2498">
        <f t="shared" ca="1" si="100"/>
        <v>104046.60990687966</v>
      </c>
      <c r="AN219" s="2498">
        <f t="shared" ca="1" si="100"/>
        <v>102202.58980072109</v>
      </c>
      <c r="AO219" s="2498">
        <f t="shared" ca="1" si="100"/>
        <v>99471.117905813095</v>
      </c>
      <c r="AP219" s="2498">
        <f t="shared" ca="1" si="100"/>
        <v>95796.76700077331</v>
      </c>
      <c r="AQ219" s="2498">
        <f t="shared" ca="1" si="100"/>
        <v>91544.937450868427</v>
      </c>
      <c r="AR219" s="2498">
        <f t="shared" ca="1" si="100"/>
        <v>87876.037433192789</v>
      </c>
      <c r="AS219" s="2498">
        <f t="shared" ca="1" si="100"/>
        <v>84062.148648808579</v>
      </c>
      <c r="AT219" s="2498">
        <f t="shared" ca="1" si="100"/>
        <v>79836.38309719431</v>
      </c>
      <c r="AU219" s="2498">
        <f t="shared" ca="1" si="100"/>
        <v>76080.867249695832</v>
      </c>
      <c r="AV219" s="2498">
        <f t="shared" ca="1" si="100"/>
        <v>71953.969098575995</v>
      </c>
      <c r="AW219" s="2498">
        <f t="shared" ca="1" si="100"/>
        <v>67307.174198055713</v>
      </c>
      <c r="AX219" s="2498">
        <f t="shared" ca="1" si="100"/>
        <v>63088.53333766092</v>
      </c>
      <c r="AY219" s="2498">
        <f t="shared" ca="1" si="100"/>
        <v>58510.689402378332</v>
      </c>
      <c r="AZ219" s="2498">
        <f t="shared" ca="1" si="100"/>
        <v>53633.972241374198</v>
      </c>
      <c r="BA219" s="2498">
        <f t="shared" ca="1" si="100"/>
        <v>49032.156308978359</v>
      </c>
      <c r="BB219" s="2498">
        <f t="shared" ca="1" si="100"/>
        <v>44455.750079483769</v>
      </c>
      <c r="BC219" s="2498">
        <f t="shared" ca="1" si="100"/>
        <v>41902.566648948108</v>
      </c>
      <c r="BD219" s="2498">
        <f t="shared" ca="1" si="100"/>
        <v>39875.18336666526</v>
      </c>
      <c r="BE219" s="2498">
        <f t="shared" ca="1" si="100"/>
        <v>36138.540784519508</v>
      </c>
      <c r="BF219" s="2498">
        <f t="shared" ca="1" si="100"/>
        <v>32104.131676523335</v>
      </c>
      <c r="BG219" s="2498">
        <f t="shared" ca="1" si="100"/>
        <v>28575.380718933578</v>
      </c>
      <c r="BH219" s="2498">
        <f t="shared" ca="1" si="100"/>
        <v>25106.012996221296</v>
      </c>
      <c r="BI219" s="2498">
        <f t="shared" ca="1" si="100"/>
        <v>21519.080325007122</v>
      </c>
      <c r="BJ219" s="2498">
        <f t="shared" ca="1" si="100"/>
        <v>18345.312796898408</v>
      </c>
      <c r="BK219" s="2498">
        <f t="shared" ca="1" si="100"/>
        <v>15725.60690645252</v>
      </c>
      <c r="BL219" s="2498">
        <f t="shared" ca="1" si="100"/>
        <v>13749.993881907629</v>
      </c>
      <c r="BM219" s="2498">
        <f t="shared" ca="1" si="100"/>
        <v>12608.363109041167</v>
      </c>
      <c r="BN219" s="2498">
        <f t="shared" ca="1" si="100"/>
        <v>12410.756948848672</v>
      </c>
    </row>
    <row r="221" spans="3:66" hidden="1" outlineLevel="1">
      <c r="C221" s="2348" t="s">
        <v>3945</v>
      </c>
    </row>
    <row r="222" spans="3:66" hidden="1" outlineLevel="1">
      <c r="P222" s="2504"/>
      <c r="Q222" s="2504"/>
    </row>
    <row r="223" spans="3:66" hidden="1" outlineLevel="1">
      <c r="J223" s="2658">
        <f t="shared" ref="J223:AK223" si="101">J63</f>
        <v>2003</v>
      </c>
      <c r="K223" s="2659">
        <f t="shared" si="101"/>
        <v>2003</v>
      </c>
      <c r="L223" s="2659">
        <f t="shared" si="101"/>
        <v>2003</v>
      </c>
      <c r="M223" s="2660">
        <f t="shared" si="101"/>
        <v>2003</v>
      </c>
      <c r="N223" s="2658">
        <f t="shared" si="101"/>
        <v>2004</v>
      </c>
      <c r="O223" s="2659">
        <f t="shared" si="101"/>
        <v>2004</v>
      </c>
      <c r="P223" s="2659">
        <f t="shared" si="101"/>
        <v>2004</v>
      </c>
      <c r="Q223" s="2661">
        <f t="shared" si="101"/>
        <v>2004</v>
      </c>
      <c r="R223" s="2662">
        <f t="shared" si="101"/>
        <v>2005</v>
      </c>
      <c r="S223" s="2659">
        <f t="shared" si="101"/>
        <v>2005</v>
      </c>
      <c r="T223" s="2659">
        <f t="shared" si="101"/>
        <v>2005</v>
      </c>
      <c r="U223" s="2660">
        <f t="shared" si="101"/>
        <v>2005</v>
      </c>
      <c r="V223" s="2658">
        <f t="shared" si="101"/>
        <v>2006</v>
      </c>
      <c r="W223" s="2659">
        <f t="shared" si="101"/>
        <v>2006</v>
      </c>
      <c r="X223" s="2659">
        <f t="shared" si="101"/>
        <v>2006</v>
      </c>
      <c r="Y223" s="2661">
        <f t="shared" si="101"/>
        <v>2006</v>
      </c>
      <c r="Z223" s="2662">
        <f t="shared" si="101"/>
        <v>2007</v>
      </c>
      <c r="AA223" s="2659">
        <f t="shared" si="101"/>
        <v>2007</v>
      </c>
      <c r="AB223" s="2659">
        <f t="shared" si="101"/>
        <v>2007</v>
      </c>
      <c r="AC223" s="2660">
        <f t="shared" si="101"/>
        <v>2007</v>
      </c>
      <c r="AD223" s="2658">
        <f t="shared" si="101"/>
        <v>2008</v>
      </c>
      <c r="AE223" s="2659">
        <f t="shared" si="101"/>
        <v>2008</v>
      </c>
      <c r="AF223" s="2659">
        <f t="shared" si="101"/>
        <v>2008</v>
      </c>
      <c r="AG223" s="2661">
        <f t="shared" si="101"/>
        <v>2008</v>
      </c>
      <c r="AH223" s="2658">
        <f t="shared" si="101"/>
        <v>2009</v>
      </c>
      <c r="AI223" s="2659">
        <f t="shared" si="101"/>
        <v>2009</v>
      </c>
      <c r="AJ223" s="2659">
        <f t="shared" si="101"/>
        <v>2009</v>
      </c>
      <c r="AK223" s="2661">
        <f t="shared" si="101"/>
        <v>2009</v>
      </c>
    </row>
    <row r="224" spans="3:66" hidden="1" outlineLevel="1">
      <c r="C224" s="2510" t="s">
        <v>11</v>
      </c>
      <c r="D224" s="2511"/>
      <c r="E224" s="2511"/>
      <c r="F224" s="2511"/>
      <c r="G224" s="2512"/>
      <c r="H224" s="2512" t="s">
        <v>40</v>
      </c>
      <c r="J224" s="2513">
        <f t="shared" ref="J224:AK224" si="102">J64</f>
        <v>1</v>
      </c>
      <c r="K224" s="2514">
        <f t="shared" si="102"/>
        <v>2</v>
      </c>
      <c r="L224" s="2514">
        <f t="shared" si="102"/>
        <v>3</v>
      </c>
      <c r="M224" s="2515">
        <f t="shared" si="102"/>
        <v>4</v>
      </c>
      <c r="N224" s="2513">
        <f t="shared" si="102"/>
        <v>1</v>
      </c>
      <c r="O224" s="2514">
        <f t="shared" si="102"/>
        <v>2</v>
      </c>
      <c r="P224" s="2514">
        <f t="shared" si="102"/>
        <v>3</v>
      </c>
      <c r="Q224" s="2515">
        <f t="shared" si="102"/>
        <v>4</v>
      </c>
      <c r="R224" s="2513">
        <f t="shared" si="102"/>
        <v>1</v>
      </c>
      <c r="S224" s="2514">
        <f t="shared" si="102"/>
        <v>2</v>
      </c>
      <c r="T224" s="2514">
        <f t="shared" si="102"/>
        <v>3</v>
      </c>
      <c r="U224" s="2515">
        <f t="shared" si="102"/>
        <v>4</v>
      </c>
      <c r="V224" s="2513">
        <f t="shared" si="102"/>
        <v>1</v>
      </c>
      <c r="W224" s="2514">
        <f t="shared" si="102"/>
        <v>2</v>
      </c>
      <c r="X224" s="2514">
        <f t="shared" si="102"/>
        <v>3</v>
      </c>
      <c r="Y224" s="2515">
        <f t="shared" si="102"/>
        <v>4</v>
      </c>
      <c r="Z224" s="2513">
        <f t="shared" si="102"/>
        <v>1</v>
      </c>
      <c r="AA224" s="2514">
        <f t="shared" si="102"/>
        <v>2</v>
      </c>
      <c r="AB224" s="2514">
        <f t="shared" si="102"/>
        <v>3</v>
      </c>
      <c r="AC224" s="2515">
        <f t="shared" si="102"/>
        <v>4</v>
      </c>
      <c r="AD224" s="2513">
        <f t="shared" si="102"/>
        <v>1</v>
      </c>
      <c r="AE224" s="2514">
        <f t="shared" si="102"/>
        <v>2</v>
      </c>
      <c r="AF224" s="2514">
        <f t="shared" si="102"/>
        <v>3</v>
      </c>
      <c r="AG224" s="2515">
        <f t="shared" si="102"/>
        <v>4</v>
      </c>
      <c r="AH224" s="2513">
        <f t="shared" si="102"/>
        <v>1</v>
      </c>
      <c r="AI224" s="2514">
        <f t="shared" si="102"/>
        <v>2</v>
      </c>
      <c r="AJ224" s="2514">
        <f t="shared" si="102"/>
        <v>3</v>
      </c>
      <c r="AK224" s="2515">
        <f t="shared" si="102"/>
        <v>4</v>
      </c>
    </row>
    <row r="225" spans="3:39" hidden="1" outlineLevel="1">
      <c r="C225" s="2354"/>
      <c r="D225" s="2348" t="s">
        <v>3946</v>
      </c>
      <c r="G225" s="2516">
        <f>H225-$H$19</f>
        <v>0</v>
      </c>
      <c r="H225" s="2517">
        <f>SUM(J225:AK225)</f>
        <v>205118.76659655818</v>
      </c>
      <c r="J225" s="2663">
        <f t="shared" ref="J225:AK225" si="103">J65</f>
        <v>0</v>
      </c>
      <c r="K225" s="2664">
        <f t="shared" si="103"/>
        <v>0</v>
      </c>
      <c r="L225" s="2664">
        <f t="shared" si="103"/>
        <v>2393.0090441241896</v>
      </c>
      <c r="M225" s="2665">
        <f t="shared" si="103"/>
        <v>5489.1880953490809</v>
      </c>
      <c r="N225" s="2663">
        <f t="shared" si="103"/>
        <v>1060.3877162313115</v>
      </c>
      <c r="O225" s="2664">
        <f t="shared" si="103"/>
        <v>5987.0940573733396</v>
      </c>
      <c r="P225" s="2664">
        <f t="shared" si="103"/>
        <v>3734.9465462205612</v>
      </c>
      <c r="Q225" s="2665">
        <f t="shared" si="103"/>
        <v>2995.4010936183126</v>
      </c>
      <c r="R225" s="2663">
        <f t="shared" si="103"/>
        <v>6847.8663328448738</v>
      </c>
      <c r="S225" s="2664">
        <f t="shared" si="103"/>
        <v>14217.89659421601</v>
      </c>
      <c r="T225" s="2664">
        <f t="shared" si="103"/>
        <v>3761.4510464833324</v>
      </c>
      <c r="U225" s="2665">
        <f t="shared" si="103"/>
        <v>7156.6675813751644</v>
      </c>
      <c r="V225" s="2663">
        <f t="shared" si="103"/>
        <v>3536.6882392147218</v>
      </c>
      <c r="W225" s="2664">
        <f t="shared" si="103"/>
        <v>2084.4415062290755</v>
      </c>
      <c r="X225" s="2664">
        <f t="shared" si="103"/>
        <v>7875.1459526639092</v>
      </c>
      <c r="Y225" s="2665">
        <f t="shared" si="103"/>
        <v>10391.545418215796</v>
      </c>
      <c r="Z225" s="2663">
        <f t="shared" si="103"/>
        <v>7107.6529540117117</v>
      </c>
      <c r="AA225" s="2664">
        <f t="shared" si="103"/>
        <v>11394.943407562469</v>
      </c>
      <c r="AB225" s="2664">
        <f t="shared" si="103"/>
        <v>12605.457416925397</v>
      </c>
      <c r="AC225" s="2665">
        <f t="shared" si="103"/>
        <v>14542.539145899496</v>
      </c>
      <c r="AD225" s="2663">
        <f t="shared" si="103"/>
        <v>20453.001105194617</v>
      </c>
      <c r="AE225" s="2664">
        <f t="shared" si="103"/>
        <v>18577.836926543598</v>
      </c>
      <c r="AF225" s="2664">
        <f t="shared" si="103"/>
        <v>25869.659017439379</v>
      </c>
      <c r="AG225" s="2665">
        <f t="shared" si="103"/>
        <v>17035.947398821816</v>
      </c>
      <c r="AH225" s="2663">
        <f t="shared" si="103"/>
        <v>0</v>
      </c>
      <c r="AI225" s="2664">
        <f t="shared" si="103"/>
        <v>0</v>
      </c>
      <c r="AJ225" s="2664">
        <f t="shared" si="103"/>
        <v>0</v>
      </c>
      <c r="AK225" s="2665">
        <f t="shared" si="103"/>
        <v>0</v>
      </c>
    </row>
    <row r="226" spans="3:39" hidden="1" outlineLevel="1">
      <c r="C226" s="2354"/>
      <c r="D226" s="2348" t="s">
        <v>3947</v>
      </c>
      <c r="G226" s="2516">
        <f>H226-$H$20</f>
        <v>0</v>
      </c>
      <c r="H226" s="2517">
        <f>SUM(J226:AK226)</f>
        <v>15903.097116257035</v>
      </c>
      <c r="J226" s="2663">
        <f t="shared" ref="J226:AK226" si="104">J66</f>
        <v>0</v>
      </c>
      <c r="K226" s="2664">
        <f t="shared" si="104"/>
        <v>0</v>
      </c>
      <c r="L226" s="2664">
        <f t="shared" si="104"/>
        <v>0</v>
      </c>
      <c r="M226" s="2665">
        <f t="shared" si="104"/>
        <v>0</v>
      </c>
      <c r="N226" s="2663">
        <f t="shared" si="104"/>
        <v>0</v>
      </c>
      <c r="O226" s="2664">
        <f t="shared" si="104"/>
        <v>0</v>
      </c>
      <c r="P226" s="2664">
        <f t="shared" si="104"/>
        <v>0</v>
      </c>
      <c r="Q226" s="2665">
        <f t="shared" si="104"/>
        <v>0</v>
      </c>
      <c r="R226" s="2663">
        <f t="shared" si="104"/>
        <v>0</v>
      </c>
      <c r="S226" s="2664">
        <f t="shared" si="104"/>
        <v>0</v>
      </c>
      <c r="T226" s="2664">
        <f t="shared" si="104"/>
        <v>0</v>
      </c>
      <c r="U226" s="2665">
        <f t="shared" si="104"/>
        <v>0</v>
      </c>
      <c r="V226" s="2663">
        <f t="shared" si="104"/>
        <v>62.060682040786773</v>
      </c>
      <c r="W226" s="2664">
        <f t="shared" si="104"/>
        <v>154.89874832017321</v>
      </c>
      <c r="X226" s="2664">
        <f t="shared" si="104"/>
        <v>209.61533785868644</v>
      </c>
      <c r="Y226" s="2665">
        <f t="shared" si="104"/>
        <v>416.33791911611405</v>
      </c>
      <c r="Z226" s="2663">
        <f t="shared" si="104"/>
        <v>689.11598634427867</v>
      </c>
      <c r="AA226" s="2664">
        <f t="shared" si="104"/>
        <v>875.69187638708615</v>
      </c>
      <c r="AB226" s="2664">
        <f t="shared" si="104"/>
        <v>1174.8091408356008</v>
      </c>
      <c r="AC226" s="2665">
        <f t="shared" si="104"/>
        <v>1505.7023980298925</v>
      </c>
      <c r="AD226" s="2663">
        <f t="shared" si="104"/>
        <v>1887.4440506097544</v>
      </c>
      <c r="AE226" s="2664">
        <f t="shared" si="104"/>
        <v>2424.335329621113</v>
      </c>
      <c r="AF226" s="2664">
        <f t="shared" si="104"/>
        <v>2912.0035489428828</v>
      </c>
      <c r="AG226" s="2665">
        <f t="shared" si="104"/>
        <v>3591.0820981506663</v>
      </c>
      <c r="AH226" s="2663">
        <f t="shared" si="104"/>
        <v>0</v>
      </c>
      <c r="AI226" s="2664">
        <f t="shared" si="104"/>
        <v>0</v>
      </c>
      <c r="AJ226" s="2664">
        <f t="shared" si="104"/>
        <v>0</v>
      </c>
      <c r="AK226" s="2665">
        <f t="shared" si="104"/>
        <v>0</v>
      </c>
    </row>
    <row r="227" spans="3:39" hidden="1" outlineLevel="1">
      <c r="C227" s="2521"/>
      <c r="D227" s="2434" t="s">
        <v>3948</v>
      </c>
      <c r="E227" s="2434"/>
      <c r="F227" s="2434"/>
      <c r="G227" s="2522">
        <f>H227-$H$21</f>
        <v>0</v>
      </c>
      <c r="H227" s="2523">
        <f>SUM(J227:AK227)</f>
        <v>189215.66948030112</v>
      </c>
      <c r="J227" s="2524">
        <f t="shared" ref="J227:AK227" si="105">J225-J226</f>
        <v>0</v>
      </c>
      <c r="K227" s="2525">
        <f t="shared" si="105"/>
        <v>0</v>
      </c>
      <c r="L227" s="2525">
        <f t="shared" si="105"/>
        <v>2393.0090441241896</v>
      </c>
      <c r="M227" s="2526">
        <f t="shared" si="105"/>
        <v>5489.1880953490809</v>
      </c>
      <c r="N227" s="2524">
        <f t="shared" si="105"/>
        <v>1060.3877162313115</v>
      </c>
      <c r="O227" s="2525">
        <f t="shared" si="105"/>
        <v>5987.0940573733396</v>
      </c>
      <c r="P227" s="2525">
        <f t="shared" si="105"/>
        <v>3734.9465462205612</v>
      </c>
      <c r="Q227" s="2526">
        <f t="shared" si="105"/>
        <v>2995.4010936183126</v>
      </c>
      <c r="R227" s="2524">
        <f t="shared" si="105"/>
        <v>6847.8663328448738</v>
      </c>
      <c r="S227" s="2525">
        <f t="shared" si="105"/>
        <v>14217.89659421601</v>
      </c>
      <c r="T227" s="2525">
        <f t="shared" si="105"/>
        <v>3761.4510464833324</v>
      </c>
      <c r="U227" s="2526">
        <f t="shared" si="105"/>
        <v>7156.6675813751644</v>
      </c>
      <c r="V227" s="2524">
        <f t="shared" si="105"/>
        <v>3474.6275571739352</v>
      </c>
      <c r="W227" s="2525">
        <f t="shared" si="105"/>
        <v>1929.5427579089023</v>
      </c>
      <c r="X227" s="2525">
        <f t="shared" si="105"/>
        <v>7665.5306148052223</v>
      </c>
      <c r="Y227" s="2526">
        <f t="shared" si="105"/>
        <v>9975.2074990996807</v>
      </c>
      <c r="Z227" s="2524">
        <f t="shared" si="105"/>
        <v>6418.5369676674327</v>
      </c>
      <c r="AA227" s="2525">
        <f t="shared" si="105"/>
        <v>10519.251531175383</v>
      </c>
      <c r="AB227" s="2525">
        <f t="shared" si="105"/>
        <v>11430.648276089796</v>
      </c>
      <c r="AC227" s="2526">
        <f t="shared" si="105"/>
        <v>13036.836747869604</v>
      </c>
      <c r="AD227" s="2524">
        <f t="shared" si="105"/>
        <v>18565.55705458486</v>
      </c>
      <c r="AE227" s="2525">
        <f t="shared" si="105"/>
        <v>16153.501596922484</v>
      </c>
      <c r="AF227" s="2525">
        <f t="shared" si="105"/>
        <v>22957.655468496494</v>
      </c>
      <c r="AG227" s="2526">
        <f t="shared" si="105"/>
        <v>13444.86530067115</v>
      </c>
      <c r="AH227" s="2524">
        <f t="shared" si="105"/>
        <v>0</v>
      </c>
      <c r="AI227" s="2525">
        <f t="shared" si="105"/>
        <v>0</v>
      </c>
      <c r="AJ227" s="2525">
        <f t="shared" si="105"/>
        <v>0</v>
      </c>
      <c r="AK227" s="2526">
        <f t="shared" si="105"/>
        <v>0</v>
      </c>
    </row>
    <row r="228" spans="3:39" hidden="1" outlineLevel="1"/>
    <row r="229" spans="3:39" hidden="1" outlineLevel="1">
      <c r="C229" s="2348" t="s">
        <v>3949</v>
      </c>
    </row>
    <row r="230" spans="3:39" hidden="1" outlineLevel="1">
      <c r="AF230" s="2669"/>
    </row>
    <row r="231" spans="3:39" hidden="1" outlineLevel="1">
      <c r="E231" s="2529" t="s">
        <v>3978</v>
      </c>
      <c r="F231" s="2511"/>
      <c r="G231" s="2511"/>
      <c r="H231" s="2512"/>
      <c r="J231" s="2530">
        <v>2003</v>
      </c>
      <c r="K231" s="2531">
        <v>2004</v>
      </c>
      <c r="L231" s="2531">
        <v>2005</v>
      </c>
      <c r="M231" s="2531">
        <v>2006</v>
      </c>
      <c r="N231" s="2531">
        <v>2007</v>
      </c>
      <c r="O231" s="2531">
        <v>2008</v>
      </c>
      <c r="P231" s="2532">
        <v>2009</v>
      </c>
      <c r="AM231" s="2669"/>
    </row>
    <row r="232" spans="3:39" hidden="1" outlineLevel="1">
      <c r="E232" s="2666"/>
      <c r="F232" s="2355" t="s">
        <v>3983</v>
      </c>
      <c r="G232" s="2355"/>
      <c r="H232" s="2667"/>
      <c r="J232" s="2670">
        <f t="shared" ref="J232:P232" si="106">J167</f>
        <v>6.7600000000000007E-2</v>
      </c>
      <c r="K232" s="2671">
        <f t="shared" si="106"/>
        <v>6.3500000000000001E-2</v>
      </c>
      <c r="L232" s="2671">
        <f t="shared" si="106"/>
        <v>6.5199999999999994E-2</v>
      </c>
      <c r="M232" s="2671">
        <f t="shared" si="106"/>
        <v>6.9599999999999995E-2</v>
      </c>
      <c r="N232" s="2671">
        <f t="shared" si="106"/>
        <v>7.2800000000000004E-2</v>
      </c>
      <c r="O232" s="2671">
        <f t="shared" si="106"/>
        <v>7.3599999999999999E-2</v>
      </c>
      <c r="P232" s="2672">
        <f t="shared" si="106"/>
        <v>6.6400000000000001E-2</v>
      </c>
      <c r="AM232" s="2669"/>
    </row>
    <row r="233" spans="3:39" hidden="1" outlineLevel="1">
      <c r="E233" s="2534"/>
      <c r="F233" s="2348" t="s">
        <v>3986</v>
      </c>
      <c r="H233" s="2535"/>
      <c r="I233" s="2541"/>
      <c r="J233" s="2542">
        <f t="shared" ref="J233:P233" si="107">J74</f>
        <v>0.12591181523070905</v>
      </c>
      <c r="K233" s="2543">
        <f t="shared" si="107"/>
        <v>0.12174329160305342</v>
      </c>
      <c r="L233" s="2543">
        <f t="shared" si="107"/>
        <v>0.1172209459459459</v>
      </c>
      <c r="M233" s="2543">
        <f t="shared" si="107"/>
        <v>0.11143731777752119</v>
      </c>
      <c r="N233" s="2543">
        <f t="shared" si="107"/>
        <v>0.1279719409807869</v>
      </c>
      <c r="O233" s="2543">
        <f t="shared" si="107"/>
        <v>0.13376228294345061</v>
      </c>
      <c r="P233" s="2544">
        <f t="shared" si="107"/>
        <v>0.1191839653508957</v>
      </c>
      <c r="AM233" s="2669"/>
    </row>
    <row r="234" spans="3:39" hidden="1" outlineLevel="1">
      <c r="E234" s="2534"/>
      <c r="F234" s="2348" t="s">
        <v>3987</v>
      </c>
      <c r="H234" s="2540"/>
      <c r="I234" s="2541"/>
      <c r="J234" s="2542">
        <f t="shared" ref="J234:P234" si="108">AVERAGE(J232:J233)</f>
        <v>9.6755907615354519E-2</v>
      </c>
      <c r="K234" s="2543">
        <f t="shared" si="108"/>
        <v>9.2621645801526709E-2</v>
      </c>
      <c r="L234" s="2543">
        <f t="shared" si="108"/>
        <v>9.1210472972972939E-2</v>
      </c>
      <c r="M234" s="2543">
        <f t="shared" si="108"/>
        <v>9.0518658888760595E-2</v>
      </c>
      <c r="N234" s="2543">
        <f t="shared" si="108"/>
        <v>0.10038597049039345</v>
      </c>
      <c r="O234" s="2543">
        <f t="shared" si="108"/>
        <v>0.1036811414717253</v>
      </c>
      <c r="P234" s="2544">
        <f t="shared" si="108"/>
        <v>9.2791982675447859E-2</v>
      </c>
      <c r="AM234" s="2669"/>
    </row>
    <row r="235" spans="3:39" hidden="1" outlineLevel="1">
      <c r="E235" s="2547"/>
      <c r="F235" s="2349" t="s">
        <v>3988</v>
      </c>
      <c r="G235" s="2349"/>
      <c r="H235" s="2548"/>
      <c r="I235" s="2541"/>
      <c r="J235" s="2549">
        <f t="shared" ref="J235:P235" si="109">(1+J234)^(1/4)-1</f>
        <v>2.3357779984088722E-2</v>
      </c>
      <c r="K235" s="2550">
        <f t="shared" si="109"/>
        <v>2.2392017514329288E-2</v>
      </c>
      <c r="L235" s="2550">
        <f t="shared" si="109"/>
        <v>2.2061740527347551E-2</v>
      </c>
      <c r="M235" s="2550">
        <f t="shared" si="109"/>
        <v>2.1899708341305724E-2</v>
      </c>
      <c r="N235" s="2550">
        <f t="shared" si="109"/>
        <v>2.4203513098642215E-2</v>
      </c>
      <c r="O235" s="2550">
        <f t="shared" si="109"/>
        <v>2.4969413084385828E-2</v>
      </c>
      <c r="P235" s="2551">
        <f t="shared" si="109"/>
        <v>2.2431862249385537E-2</v>
      </c>
      <c r="AM235" s="2669"/>
    </row>
    <row r="236" spans="3:39" hidden="1" outlineLevel="1"/>
    <row r="237" spans="3:39" hidden="1" outlineLevel="1">
      <c r="C237" s="2529" t="s">
        <v>3955</v>
      </c>
      <c r="D237" s="2511" t="s">
        <v>3956</v>
      </c>
      <c r="E237" s="2511" t="s">
        <v>3957</v>
      </c>
      <c r="F237" s="2511" t="s">
        <v>3958</v>
      </c>
      <c r="G237" s="2512" t="s">
        <v>3989</v>
      </c>
      <c r="H237" s="2512" t="s">
        <v>40</v>
      </c>
    </row>
    <row r="238" spans="3:39" hidden="1" outlineLevel="1">
      <c r="C238" s="2552">
        <f t="shared" ref="C238:C265" si="110">H238*E238</f>
        <v>0</v>
      </c>
      <c r="D238" s="2553">
        <v>2003</v>
      </c>
      <c r="E238" s="2554">
        <v>1</v>
      </c>
      <c r="F238" s="2528">
        <v>37711</v>
      </c>
      <c r="G238" s="2555">
        <f t="shared" ref="G238:G265" si="111">SUMIF($J$231:$P$231,D238,$J$235:$P$235)</f>
        <v>2.3357779984088722E-2</v>
      </c>
      <c r="H238" s="2517">
        <f t="shared" ref="H238:H265" si="112">SUM(J238:AK238)</f>
        <v>0</v>
      </c>
      <c r="J238" s="2556"/>
      <c r="K238" s="2557"/>
      <c r="L238" s="2558"/>
      <c r="M238" s="2559"/>
      <c r="N238" s="2560"/>
      <c r="O238" s="2558"/>
      <c r="P238" s="2558"/>
      <c r="Q238" s="2559"/>
      <c r="R238" s="2560"/>
      <c r="S238" s="2558"/>
      <c r="T238" s="2558"/>
      <c r="U238" s="2559"/>
      <c r="V238" s="2556"/>
      <c r="W238" s="2557"/>
      <c r="X238" s="2557"/>
      <c r="Y238" s="2561"/>
      <c r="Z238" s="2556"/>
      <c r="AA238" s="2557"/>
      <c r="AB238" s="2557"/>
      <c r="AC238" s="2561"/>
      <c r="AD238" s="2556"/>
      <c r="AE238" s="2557"/>
      <c r="AF238" s="2557"/>
      <c r="AG238" s="2561"/>
      <c r="AH238" s="2556"/>
      <c r="AI238" s="2557"/>
      <c r="AJ238" s="2557"/>
      <c r="AK238" s="2561"/>
    </row>
    <row r="239" spans="3:39" hidden="1" outlineLevel="1">
      <c r="C239" s="2552">
        <f t="shared" si="110"/>
        <v>0</v>
      </c>
      <c r="D239" s="2562">
        <f>D238</f>
        <v>2003</v>
      </c>
      <c r="E239" s="2554">
        <v>1</v>
      </c>
      <c r="F239" s="2528">
        <f t="shared" ref="F239:F265" si="113">EOMONTH(F238,3)</f>
        <v>37802</v>
      </c>
      <c r="G239" s="2555">
        <f t="shared" si="111"/>
        <v>2.3357779984088722E-2</v>
      </c>
      <c r="H239" s="2517">
        <f t="shared" si="112"/>
        <v>0</v>
      </c>
      <c r="J239" s="2563"/>
      <c r="K239" s="2564"/>
      <c r="L239" s="2565"/>
      <c r="M239" s="2566"/>
      <c r="N239" s="2567"/>
      <c r="O239" s="2565"/>
      <c r="P239" s="2565"/>
      <c r="Q239" s="2566"/>
      <c r="R239" s="2567"/>
      <c r="S239" s="2565"/>
      <c r="T239" s="2565"/>
      <c r="U239" s="2566"/>
      <c r="V239" s="2563"/>
      <c r="W239" s="2564"/>
      <c r="X239" s="2564"/>
      <c r="Y239" s="2568"/>
      <c r="Z239" s="2563"/>
      <c r="AA239" s="2564"/>
      <c r="AB239" s="2564"/>
      <c r="AC239" s="2568"/>
      <c r="AD239" s="2563"/>
      <c r="AE239" s="2564"/>
      <c r="AF239" s="2564"/>
      <c r="AG239" s="2568"/>
      <c r="AH239" s="2563"/>
      <c r="AI239" s="2564"/>
      <c r="AJ239" s="2564"/>
      <c r="AK239" s="2568"/>
    </row>
    <row r="240" spans="3:39" hidden="1" outlineLevel="1">
      <c r="C240" s="2552">
        <f t="shared" si="110"/>
        <v>0</v>
      </c>
      <c r="D240" s="2562">
        <f>D239</f>
        <v>2003</v>
      </c>
      <c r="E240" s="2554">
        <v>1</v>
      </c>
      <c r="F240" s="2528">
        <f t="shared" si="113"/>
        <v>37894</v>
      </c>
      <c r="G240" s="2555">
        <f t="shared" si="111"/>
        <v>2.3357779984088722E-2</v>
      </c>
      <c r="H240" s="2517">
        <f t="shared" si="112"/>
        <v>0</v>
      </c>
      <c r="J240" s="2563"/>
      <c r="K240" s="2564"/>
      <c r="L240" s="2565"/>
      <c r="M240" s="2566"/>
      <c r="N240" s="2567"/>
      <c r="O240" s="2565"/>
      <c r="P240" s="2565"/>
      <c r="Q240" s="2566"/>
      <c r="R240" s="2567"/>
      <c r="S240" s="2565"/>
      <c r="T240" s="2565"/>
      <c r="U240" s="2566"/>
      <c r="V240" s="2563"/>
      <c r="W240" s="2564"/>
      <c r="X240" s="2564"/>
      <c r="Y240" s="2568"/>
      <c r="Z240" s="2563"/>
      <c r="AA240" s="2564"/>
      <c r="AB240" s="2564"/>
      <c r="AC240" s="2568"/>
      <c r="AD240" s="2563"/>
      <c r="AE240" s="2564"/>
      <c r="AF240" s="2564"/>
      <c r="AG240" s="2568"/>
      <c r="AH240" s="2563"/>
      <c r="AI240" s="2564"/>
      <c r="AJ240" s="2564"/>
      <c r="AK240" s="2568"/>
    </row>
    <row r="241" spans="3:37" hidden="1" outlineLevel="1">
      <c r="C241" s="2569">
        <f t="shared" si="110"/>
        <v>55.895378752587284</v>
      </c>
      <c r="D241" s="2570">
        <f>D240</f>
        <v>2003</v>
      </c>
      <c r="E241" s="2571">
        <v>1</v>
      </c>
      <c r="F241" s="2572">
        <f t="shared" si="113"/>
        <v>37986</v>
      </c>
      <c r="G241" s="2573">
        <f t="shared" si="111"/>
        <v>2.3357779984088722E-2</v>
      </c>
      <c r="H241" s="2574">
        <f t="shared" si="112"/>
        <v>55.895378752587284</v>
      </c>
      <c r="J241" s="2575"/>
      <c r="K241" s="2576"/>
      <c r="L241" s="2577">
        <f>(L$227+SUM(L$238:L240))*$G241</f>
        <v>55.895378752587284</v>
      </c>
      <c r="M241" s="2578"/>
      <c r="N241" s="2579"/>
      <c r="O241" s="2580"/>
      <c r="P241" s="2580"/>
      <c r="Q241" s="2578"/>
      <c r="R241" s="2579"/>
      <c r="S241" s="2580"/>
      <c r="T241" s="2580"/>
      <c r="U241" s="2578"/>
      <c r="V241" s="2575"/>
      <c r="W241" s="2576"/>
      <c r="X241" s="2576"/>
      <c r="Y241" s="2581"/>
      <c r="Z241" s="2575"/>
      <c r="AA241" s="2576"/>
      <c r="AB241" s="2576"/>
      <c r="AC241" s="2581"/>
      <c r="AD241" s="2575"/>
      <c r="AE241" s="2576"/>
      <c r="AF241" s="2576"/>
      <c r="AG241" s="2581"/>
      <c r="AH241" s="2575"/>
      <c r="AI241" s="2576"/>
      <c r="AJ241" s="2576"/>
      <c r="AK241" s="2581"/>
    </row>
    <row r="242" spans="3:37" hidden="1" outlineLevel="1">
      <c r="C242" s="2552">
        <f t="shared" si="110"/>
        <v>177.74990669847969</v>
      </c>
      <c r="D242" s="2553">
        <f>D241+1</f>
        <v>2004</v>
      </c>
      <c r="E242" s="2582">
        <v>1</v>
      </c>
      <c r="F242" s="2528">
        <f t="shared" si="113"/>
        <v>38077</v>
      </c>
      <c r="G242" s="2555">
        <f t="shared" si="111"/>
        <v>2.2392017514329288E-2</v>
      </c>
      <c r="H242" s="2517">
        <f t="shared" si="112"/>
        <v>177.74990669847969</v>
      </c>
      <c r="J242" s="2563"/>
      <c r="K242" s="2564"/>
      <c r="L242" s="2583">
        <f>(L$227+SUM(L$238:L241))*$G242</f>
        <v>54.835910727975246</v>
      </c>
      <c r="M242" s="2584">
        <f>(M$227+SUM(M$238:M241))*$G242</f>
        <v>122.91399597050444</v>
      </c>
      <c r="N242" s="2563"/>
      <c r="O242" s="2564"/>
      <c r="P242" s="2564"/>
      <c r="Q242" s="2568"/>
      <c r="R242" s="2560"/>
      <c r="S242" s="2558"/>
      <c r="T242" s="2558"/>
      <c r="U242" s="2559"/>
      <c r="V242" s="2563"/>
      <c r="W242" s="2564"/>
      <c r="X242" s="2564"/>
      <c r="Y242" s="2568"/>
      <c r="Z242" s="2563"/>
      <c r="AA242" s="2564"/>
      <c r="AB242" s="2564"/>
      <c r="AC242" s="2568"/>
      <c r="AD242" s="2563"/>
      <c r="AE242" s="2564"/>
      <c r="AF242" s="2564"/>
      <c r="AG242" s="2568"/>
      <c r="AH242" s="2563"/>
      <c r="AI242" s="2564"/>
      <c r="AJ242" s="2564"/>
      <c r="AK242" s="2568"/>
    </row>
    <row r="243" spans="3:37" hidden="1" outlineLevel="1">
      <c r="C243" s="2552">
        <f t="shared" si="110"/>
        <v>205.47430603627362</v>
      </c>
      <c r="D243" s="2562">
        <f>D242</f>
        <v>2004</v>
      </c>
      <c r="E243" s="2582">
        <v>1</v>
      </c>
      <c r="F243" s="2528">
        <f t="shared" si="113"/>
        <v>38168</v>
      </c>
      <c r="G243" s="2555">
        <f t="shared" si="111"/>
        <v>2.2392017514329288E-2</v>
      </c>
      <c r="H243" s="2517">
        <f t="shared" si="112"/>
        <v>205.47430603627362</v>
      </c>
      <c r="J243" s="2563"/>
      <c r="K243" s="2564"/>
      <c r="L243" s="2583">
        <f>(L$227+SUM(L$238:L242))*$G243</f>
        <v>56.06379740141027</v>
      </c>
      <c r="M243" s="2584">
        <f>(M$227+SUM(M$238:M242))*$G243</f>
        <v>125.66628832103218</v>
      </c>
      <c r="N243" s="2585">
        <f>(N$227+SUM(N$238:N242))*$G243</f>
        <v>23.74422031383116</v>
      </c>
      <c r="O243" s="2564"/>
      <c r="P243" s="2564"/>
      <c r="Q243" s="2568"/>
      <c r="R243" s="2567"/>
      <c r="S243" s="2565"/>
      <c r="T243" s="2565"/>
      <c r="U243" s="2566"/>
      <c r="V243" s="2563"/>
      <c r="W243" s="2564"/>
      <c r="X243" s="2564"/>
      <c r="Y243" s="2568"/>
      <c r="Z243" s="2563"/>
      <c r="AA243" s="2564"/>
      <c r="AB243" s="2564"/>
      <c r="AC243" s="2568"/>
      <c r="AD243" s="2563"/>
      <c r="AE243" s="2564"/>
      <c r="AF243" s="2564"/>
      <c r="AG243" s="2568"/>
      <c r="AH243" s="2563"/>
      <c r="AI243" s="2564"/>
      <c r="AJ243" s="2564"/>
      <c r="AK243" s="2568"/>
    </row>
    <row r="244" spans="3:37" hidden="1" outlineLevel="1">
      <c r="C244" s="2552">
        <f t="shared" si="110"/>
        <v>344.13840528842309</v>
      </c>
      <c r="D244" s="2562">
        <f>D243</f>
        <v>2004</v>
      </c>
      <c r="E244" s="2582">
        <v>1</v>
      </c>
      <c r="F244" s="2528">
        <f t="shared" si="113"/>
        <v>38260</v>
      </c>
      <c r="G244" s="2555">
        <f t="shared" si="111"/>
        <v>2.2392017514329288E-2</v>
      </c>
      <c r="H244" s="2517">
        <f t="shared" si="112"/>
        <v>344.13840528842309</v>
      </c>
      <c r="J244" s="2563"/>
      <c r="K244" s="2564"/>
      <c r="L244" s="2583">
        <f>(L$227+SUM(L$238:L243))*$G244</f>
        <v>57.319178934742453</v>
      </c>
      <c r="M244" s="2584">
        <f>(M$227+SUM(M$238:M243))*$G244</f>
        <v>128.48021005007749</v>
      </c>
      <c r="N244" s="2585">
        <f>(N$227+SUM(N$238:N243))*$G244</f>
        <v>24.275901310962563</v>
      </c>
      <c r="O244" s="2583">
        <f>(O$227+SUM(O$238:O243))*$G244</f>
        <v>134.06311499264061</v>
      </c>
      <c r="P244" s="2564"/>
      <c r="Q244" s="2568"/>
      <c r="R244" s="2567"/>
      <c r="S244" s="2565"/>
      <c r="T244" s="2565"/>
      <c r="U244" s="2566"/>
      <c r="V244" s="2563"/>
      <c r="W244" s="2564"/>
      <c r="X244" s="2564"/>
      <c r="Y244" s="2568"/>
      <c r="Z244" s="2563"/>
      <c r="AA244" s="2564"/>
      <c r="AB244" s="2564"/>
      <c r="AC244" s="2568"/>
      <c r="AD244" s="2563"/>
      <c r="AE244" s="2564"/>
      <c r="AF244" s="2564"/>
      <c r="AG244" s="2568"/>
      <c r="AH244" s="2563"/>
      <c r="AI244" s="2564"/>
      <c r="AJ244" s="2564"/>
      <c r="AK244" s="2568"/>
    </row>
    <row r="245" spans="3:37" hidden="1" outlineLevel="1">
      <c r="C245" s="2569">
        <f t="shared" si="110"/>
        <v>435.47734696504926</v>
      </c>
      <c r="D245" s="2570">
        <f>D244</f>
        <v>2004</v>
      </c>
      <c r="E245" s="2586">
        <v>1</v>
      </c>
      <c r="F245" s="2572">
        <f t="shared" si="113"/>
        <v>38352</v>
      </c>
      <c r="G245" s="2573">
        <f t="shared" si="111"/>
        <v>2.2392017514329288E-2</v>
      </c>
      <c r="H245" s="2574">
        <f t="shared" si="112"/>
        <v>435.47734696504926</v>
      </c>
      <c r="J245" s="2575"/>
      <c r="K245" s="2576"/>
      <c r="L245" s="2577">
        <f>(L$227+SUM(L$238:L244))*$G245</f>
        <v>58.60267099335617</v>
      </c>
      <c r="M245" s="2587">
        <f>(M$227+SUM(M$238:M244))*$G245</f>
        <v>131.35714116376352</v>
      </c>
      <c r="N245" s="2588">
        <f>(N$227+SUM(N$238:N244))*$G245</f>
        <v>24.819487718293768</v>
      </c>
      <c r="O245" s="2577">
        <f>(O$227+SUM(O$238:O244))*$G245</f>
        <v>137.06505861158135</v>
      </c>
      <c r="P245" s="2577">
        <f>(P$227+SUM(P$238:P244))*$G245</f>
        <v>83.632988478054486</v>
      </c>
      <c r="Q245" s="2581"/>
      <c r="R245" s="2579"/>
      <c r="S245" s="2580"/>
      <c r="T245" s="2580"/>
      <c r="U245" s="2578"/>
      <c r="V245" s="2575"/>
      <c r="W245" s="2576"/>
      <c r="X245" s="2576"/>
      <c r="Y245" s="2581"/>
      <c r="Z245" s="2575"/>
      <c r="AA245" s="2576"/>
      <c r="AB245" s="2576"/>
      <c r="AC245" s="2581"/>
      <c r="AD245" s="2575"/>
      <c r="AE245" s="2576"/>
      <c r="AF245" s="2576"/>
      <c r="AG245" s="2581"/>
      <c r="AH245" s="2575"/>
      <c r="AI245" s="2576"/>
      <c r="AJ245" s="2576"/>
      <c r="AK245" s="2581"/>
    </row>
    <row r="246" spans="3:37" hidden="1" outlineLevel="1">
      <c r="C246" s="2552">
        <f t="shared" si="110"/>
        <v>504.74530855102603</v>
      </c>
      <c r="D246" s="2553">
        <f>D245+1</f>
        <v>2005</v>
      </c>
      <c r="E246" s="2582">
        <v>1</v>
      </c>
      <c r="F246" s="2528">
        <f t="shared" si="113"/>
        <v>38442</v>
      </c>
      <c r="G246" s="2555">
        <f t="shared" si="111"/>
        <v>2.2061740527347551E-2</v>
      </c>
      <c r="H246" s="2517">
        <f t="shared" si="112"/>
        <v>504.74530855102603</v>
      </c>
      <c r="J246" s="2563"/>
      <c r="K246" s="2564"/>
      <c r="L246" s="2583">
        <f>(L$227+SUM(L$238:L245))*$G246</f>
        <v>59.03117231365416</v>
      </c>
      <c r="M246" s="2584">
        <f>(M$227+SUM(M$238:M245))*$G246</f>
        <v>132.31762141944373</v>
      </c>
      <c r="N246" s="2585">
        <f>(N$227+SUM(N$238:N245))*$G246</f>
        <v>25.000967215322394</v>
      </c>
      <c r="O246" s="2583">
        <f>(O$227+SUM(O$238:O245))*$G246</f>
        <v>138.06727502230507</v>
      </c>
      <c r="P246" s="2583">
        <f>(P$227+SUM(P$238:P245))*$G246</f>
        <v>84.244510877560401</v>
      </c>
      <c r="Q246" s="2584">
        <f>(Q$227+SUM(Q$238:Q245))*$G246</f>
        <v>66.083761702740304</v>
      </c>
      <c r="R246" s="2563"/>
      <c r="S246" s="2564"/>
      <c r="T246" s="2564"/>
      <c r="U246" s="2568"/>
      <c r="V246" s="2563"/>
      <c r="W246" s="2564"/>
      <c r="X246" s="2564"/>
      <c r="Y246" s="2568"/>
      <c r="Z246" s="2563"/>
      <c r="AA246" s="2564"/>
      <c r="AB246" s="2564"/>
      <c r="AC246" s="2568"/>
      <c r="AD246" s="2563"/>
      <c r="AE246" s="2564"/>
      <c r="AF246" s="2564"/>
      <c r="AG246" s="2568"/>
      <c r="AH246" s="2563"/>
      <c r="AI246" s="2564"/>
      <c r="AJ246" s="2564"/>
      <c r="AK246" s="2568"/>
    </row>
    <row r="247" spans="3:37" hidden="1" outlineLevel="1">
      <c r="C247" s="2552">
        <f t="shared" si="110"/>
        <v>666.95671878185749</v>
      </c>
      <c r="D247" s="2562">
        <f>D246</f>
        <v>2005</v>
      </c>
      <c r="E247" s="2582">
        <v>1</v>
      </c>
      <c r="F247" s="2528">
        <f t="shared" si="113"/>
        <v>38533</v>
      </c>
      <c r="G247" s="2555">
        <f t="shared" si="111"/>
        <v>2.2061740527347551E-2</v>
      </c>
      <c r="H247" s="2517">
        <f t="shared" si="112"/>
        <v>666.95671878185749</v>
      </c>
      <c r="J247" s="2563"/>
      <c r="K247" s="2564"/>
      <c r="L247" s="2583">
        <f>(L$227+SUM(L$238:L246))*$G247</f>
        <v>60.333502720263148</v>
      </c>
      <c r="M247" s="2584">
        <f>(M$227+SUM(M$238:M246))*$G247</f>
        <v>135.23677845039532</v>
      </c>
      <c r="N247" s="2585">
        <f>(N$227+SUM(N$238:N246))*$G247</f>
        <v>25.552532066959561</v>
      </c>
      <c r="O247" s="2583">
        <f>(O$227+SUM(O$238:O246))*$G247</f>
        <v>141.11327941916511</v>
      </c>
      <c r="P247" s="2583">
        <f>(P$227+SUM(P$238:P246))*$G247</f>
        <v>86.103091417394452</v>
      </c>
      <c r="Q247" s="2584">
        <f>(Q$227+SUM(Q$238:Q246))*$G247</f>
        <v>67.541684506497234</v>
      </c>
      <c r="R247" s="2585">
        <f>(R$227+SUM(R$238:R246))*$G247</f>
        <v>151.07585020118262</v>
      </c>
      <c r="S247" s="2564"/>
      <c r="T247" s="2564"/>
      <c r="U247" s="2568"/>
      <c r="V247" s="2563"/>
      <c r="W247" s="2564"/>
      <c r="X247" s="2564"/>
      <c r="Y247" s="2568"/>
      <c r="Z247" s="2563"/>
      <c r="AA247" s="2564"/>
      <c r="AB247" s="2564"/>
      <c r="AC247" s="2568"/>
      <c r="AD247" s="2563"/>
      <c r="AE247" s="2564"/>
      <c r="AF247" s="2564"/>
      <c r="AG247" s="2568"/>
      <c r="AH247" s="2563"/>
      <c r="AI247" s="2564"/>
      <c r="AJ247" s="2564"/>
      <c r="AK247" s="2568"/>
    </row>
    <row r="248" spans="3:37" hidden="1" outlineLevel="1">
      <c r="C248" s="2552">
        <f t="shared" si="110"/>
        <v>995.34249036084589</v>
      </c>
      <c r="D248" s="2562">
        <f>D247</f>
        <v>2005</v>
      </c>
      <c r="E248" s="2582">
        <v>1</v>
      </c>
      <c r="F248" s="2528">
        <f t="shared" si="113"/>
        <v>38625</v>
      </c>
      <c r="G248" s="2555">
        <f t="shared" si="111"/>
        <v>2.2061740527347551E-2</v>
      </c>
      <c r="H248" s="2517">
        <f t="shared" si="112"/>
        <v>995.34249036084589</v>
      </c>
      <c r="J248" s="2563"/>
      <c r="K248" s="2564"/>
      <c r="L248" s="2583">
        <f>(L$227+SUM(L$238:L247))*$G248</f>
        <v>61.664564802383616</v>
      </c>
      <c r="M248" s="2584">
        <f>(M$227+SUM(M$238:M247))*$G248</f>
        <v>138.22033716632231</v>
      </c>
      <c r="N248" s="2585">
        <f>(N$227+SUM(N$238:N247))*$G248</f>
        <v>26.116265399237552</v>
      </c>
      <c r="O248" s="2583">
        <f>(O$227+SUM(O$238:O247))*$G248</f>
        <v>144.22648397467381</v>
      </c>
      <c r="P248" s="2583">
        <f>(P$227+SUM(P$238:P247))*$G248</f>
        <v>88.002675478847493</v>
      </c>
      <c r="Q248" s="2584">
        <f>(Q$227+SUM(Q$238:Q247))*$G248</f>
        <v>69.03177162485953</v>
      </c>
      <c r="R248" s="2585">
        <f>(R$227+SUM(R$238:R247))*$G248</f>
        <v>154.40884640826951</v>
      </c>
      <c r="S248" s="2583">
        <f>(S$227+SUM(S$238:S247))*$G248</f>
        <v>313.67154550625207</v>
      </c>
      <c r="T248" s="2564"/>
      <c r="U248" s="2568"/>
      <c r="V248" s="2563"/>
      <c r="W248" s="2564"/>
      <c r="X248" s="2564"/>
      <c r="Y248" s="2568"/>
      <c r="Z248" s="2563"/>
      <c r="AA248" s="2564"/>
      <c r="AB248" s="2564"/>
      <c r="AC248" s="2568"/>
      <c r="AD248" s="2563"/>
      <c r="AE248" s="2564"/>
      <c r="AF248" s="2564"/>
      <c r="AG248" s="2568"/>
      <c r="AH248" s="2563"/>
      <c r="AI248" s="2564"/>
      <c r="AJ248" s="2564"/>
      <c r="AK248" s="2568"/>
    </row>
    <row r="249" spans="3:37" hidden="1" outlineLevel="1">
      <c r="C249" s="2569">
        <f t="shared" si="110"/>
        <v>1100.285635112866</v>
      </c>
      <c r="D249" s="2570">
        <f>D248</f>
        <v>2005</v>
      </c>
      <c r="E249" s="2586">
        <v>1</v>
      </c>
      <c r="F249" s="2572">
        <f t="shared" si="113"/>
        <v>38717</v>
      </c>
      <c r="G249" s="2573">
        <f t="shared" si="111"/>
        <v>2.2061740527347551E-2</v>
      </c>
      <c r="H249" s="2574">
        <f t="shared" si="112"/>
        <v>1100.285635112866</v>
      </c>
      <c r="J249" s="2575"/>
      <c r="K249" s="2576"/>
      <c r="L249" s="2577">
        <f>(L$227+SUM(L$238:L248))*$G249</f>
        <v>63.024992430785609</v>
      </c>
      <c r="M249" s="2587">
        <f>(M$227+SUM(M$238:M248))*$G249</f>
        <v>141.2697183804882</v>
      </c>
      <c r="N249" s="2588">
        <f>(N$227+SUM(N$238:N248))*$G249</f>
        <v>26.692435670018877</v>
      </c>
      <c r="O249" s="2577">
        <f>(O$227+SUM(O$238:O248))*$G249</f>
        <v>147.40837124129473</v>
      </c>
      <c r="P249" s="2577">
        <f>(P$227+SUM(P$238:P248))*$G249</f>
        <v>89.944167670974196</v>
      </c>
      <c r="Q249" s="2587">
        <f>(Q$227+SUM(Q$238:Q248))*$G249</f>
        <v>70.554732658590311</v>
      </c>
      <c r="R249" s="2588">
        <f>(R$227+SUM(R$238:R248))*$G249</f>
        <v>157.81537431285582</v>
      </c>
      <c r="S249" s="2577">
        <f>(S$227+SUM(S$238:S248))*$G249</f>
        <v>320.5916857540231</v>
      </c>
      <c r="T249" s="2577">
        <f>(T$227+SUM(T$238:T248))*$G249</f>
        <v>82.984156993835185</v>
      </c>
      <c r="U249" s="2581"/>
      <c r="V249" s="2575"/>
      <c r="W249" s="2576"/>
      <c r="X249" s="2576"/>
      <c r="Y249" s="2581"/>
      <c r="Z249" s="2575"/>
      <c r="AA249" s="2576"/>
      <c r="AB249" s="2576"/>
      <c r="AC249" s="2581"/>
      <c r="AD249" s="2575"/>
      <c r="AE249" s="2576"/>
      <c r="AF249" s="2576"/>
      <c r="AG249" s="2581"/>
      <c r="AH249" s="2575"/>
      <c r="AI249" s="2576"/>
      <c r="AJ249" s="2576"/>
      <c r="AK249" s="2581"/>
    </row>
    <row r="250" spans="3:37" hidden="1" outlineLevel="1">
      <c r="C250" s="2552">
        <f t="shared" si="110"/>
        <v>1273.0294678238008</v>
      </c>
      <c r="D250" s="2553">
        <f>D249+1</f>
        <v>2006</v>
      </c>
      <c r="E250" s="2582">
        <v>1</v>
      </c>
      <c r="F250" s="2528">
        <f t="shared" si="113"/>
        <v>38807</v>
      </c>
      <c r="G250" s="2555">
        <f t="shared" si="111"/>
        <v>2.1899708341305724E-2</v>
      </c>
      <c r="H250" s="2517">
        <f t="shared" si="112"/>
        <v>1273.0294678238008</v>
      </c>
      <c r="J250" s="2563"/>
      <c r="K250" s="2564"/>
      <c r="L250" s="2583">
        <f>(L$227+SUM(L$238:L249))*$G250</f>
        <v>63.942335089824958</v>
      </c>
      <c r="M250" s="2584">
        <f>(M$227+SUM(M$238:M249))*$G250</f>
        <v>143.32593027520946</v>
      </c>
      <c r="N250" s="2585">
        <f>(N$227+SUM(N$238:N249))*$G250</f>
        <v>27.080949955691541</v>
      </c>
      <c r="O250" s="2583">
        <f>(O$227+SUM(O$238:O249))*$G250</f>
        <v>149.55393258170508</v>
      </c>
      <c r="P250" s="2583">
        <f>(P$227+SUM(P$238:P249))*$G250</f>
        <v>91.253324860116024</v>
      </c>
      <c r="Q250" s="2584">
        <f>(Q$227+SUM(Q$238:Q249))*$G250</f>
        <v>71.581672346618362</v>
      </c>
      <c r="R250" s="2585">
        <f>(R$227+SUM(R$238:R249))*$G250</f>
        <v>160.11241187725432</v>
      </c>
      <c r="S250" s="2583">
        <f>(S$227+SUM(S$238:S249))*$G250</f>
        <v>325.25796841638874</v>
      </c>
      <c r="T250" s="2583">
        <f>(T$227+SUM(T$238:T249))*$G250</f>
        <v>84.192009693198301</v>
      </c>
      <c r="U250" s="2584">
        <f>(U$227+SUM(U$238:U249))*$G250</f>
        <v>156.72893272779396</v>
      </c>
      <c r="V250" s="2563"/>
      <c r="W250" s="2564"/>
      <c r="X250" s="2564"/>
      <c r="Y250" s="2568"/>
      <c r="Z250" s="2563"/>
      <c r="AA250" s="2564"/>
      <c r="AB250" s="2564"/>
      <c r="AC250" s="2568"/>
      <c r="AD250" s="2563"/>
      <c r="AE250" s="2564"/>
      <c r="AF250" s="2564"/>
      <c r="AG250" s="2568"/>
      <c r="AH250" s="2563"/>
      <c r="AI250" s="2564"/>
      <c r="AJ250" s="2564"/>
      <c r="AK250" s="2568"/>
    </row>
    <row r="251" spans="3:37" hidden="1" outlineLevel="1">
      <c r="C251" s="2552">
        <f t="shared" si="110"/>
        <v>1377.0017719758023</v>
      </c>
      <c r="D251" s="2562">
        <f>D250</f>
        <v>2006</v>
      </c>
      <c r="E251" s="2582">
        <v>1</v>
      </c>
      <c r="F251" s="2528">
        <f t="shared" si="113"/>
        <v>38898</v>
      </c>
      <c r="G251" s="2555">
        <f t="shared" si="111"/>
        <v>2.1899708341305724E-2</v>
      </c>
      <c r="H251" s="2517">
        <f t="shared" si="112"/>
        <v>1377.0017719758023</v>
      </c>
      <c r="J251" s="2563"/>
      <c r="K251" s="2564"/>
      <c r="L251" s="2583">
        <f>(L$227+SUM(L$238:L250))*$G251</f>
        <v>65.34265357895417</v>
      </c>
      <c r="M251" s="2584">
        <f>(M$227+SUM(M$238:M250))*$G251</f>
        <v>146.46472634598283</v>
      </c>
      <c r="N251" s="2585">
        <f>(N$227+SUM(N$238:N250))*$G251</f>
        <v>27.674014861326686</v>
      </c>
      <c r="O251" s="2583">
        <f>(O$227+SUM(O$238:O250))*$G251</f>
        <v>152.82912008653972</v>
      </c>
      <c r="P251" s="2583">
        <f>(P$227+SUM(P$238:P250))*$G251</f>
        <v>93.251746059726983</v>
      </c>
      <c r="Q251" s="2584">
        <f>(Q$227+SUM(Q$238:Q250))*$G251</f>
        <v>73.149290093592214</v>
      </c>
      <c r="R251" s="2585">
        <f>(R$227+SUM(R$238:R250))*$G251</f>
        <v>163.6188269991892</v>
      </c>
      <c r="S251" s="2583">
        <f>(S$227+SUM(S$238:S250))*$G251</f>
        <v>332.38102306039332</v>
      </c>
      <c r="T251" s="2583">
        <f>(T$227+SUM(T$238:T250))*$G251</f>
        <v>86.035790150147719</v>
      </c>
      <c r="U251" s="2584">
        <f>(U$227+SUM(U$238:U250))*$G251</f>
        <v>160.16125064317677</v>
      </c>
      <c r="V251" s="2585">
        <f>(V$227+SUM(V$238:V250))*$G251</f>
        <v>76.09333009677276</v>
      </c>
      <c r="W251" s="2564"/>
      <c r="X251" s="2564"/>
      <c r="Y251" s="2568"/>
      <c r="Z251" s="2563"/>
      <c r="AA251" s="2564"/>
      <c r="AB251" s="2564"/>
      <c r="AC251" s="2568"/>
      <c r="AD251" s="2563"/>
      <c r="AE251" s="2564"/>
      <c r="AF251" s="2564"/>
      <c r="AG251" s="2568"/>
      <c r="AH251" s="2563"/>
      <c r="AI251" s="2564"/>
      <c r="AJ251" s="2564"/>
      <c r="AK251" s="2568"/>
    </row>
    <row r="252" spans="3:37" hidden="1" outlineLevel="1">
      <c r="C252" s="2552">
        <f t="shared" si="110"/>
        <v>1449.4141327978173</v>
      </c>
      <c r="D252" s="2562">
        <f>D251</f>
        <v>2006</v>
      </c>
      <c r="E252" s="2582">
        <v>1</v>
      </c>
      <c r="F252" s="2528">
        <f t="shared" si="113"/>
        <v>38990</v>
      </c>
      <c r="G252" s="2589">
        <f t="shared" si="111"/>
        <v>2.1899708341305724E-2</v>
      </c>
      <c r="H252" s="2517">
        <f t="shared" si="112"/>
        <v>1449.4141327978173</v>
      </c>
      <c r="J252" s="2563"/>
      <c r="K252" s="2564"/>
      <c r="L252" s="2583">
        <f>(L$227+SUM(L$238:L251))*$G252</f>
        <v>66.773638634580237</v>
      </c>
      <c r="M252" s="2584">
        <f>(M$227+SUM(M$238:M251))*$G252</f>
        <v>149.67226113524902</v>
      </c>
      <c r="N252" s="2585">
        <f>(N$227+SUM(N$238:N251))*$G252</f>
        <v>28.2800677154227</v>
      </c>
      <c r="O252" s="2583">
        <f>(O$227+SUM(O$238:O251))*$G252</f>
        <v>156.17603324249333</v>
      </c>
      <c r="P252" s="2583">
        <f>(P$227+SUM(P$238:P251))*$G252</f>
        <v>95.293932100752514</v>
      </c>
      <c r="Q252" s="2584">
        <f>(Q$227+SUM(Q$238:Q251))*$G252</f>
        <v>74.751238212015437</v>
      </c>
      <c r="R252" s="2585">
        <f>(R$227+SUM(R$238:R251))*$G252</f>
        <v>167.202031589618</v>
      </c>
      <c r="S252" s="2583">
        <f>(S$227+SUM(S$238:S251))*$G252</f>
        <v>339.66007052360072</v>
      </c>
      <c r="T252" s="2583">
        <f>(T$227+SUM(T$238:T251))*$G252</f>
        <v>87.919948861349738</v>
      </c>
      <c r="U252" s="2584">
        <f>(U$227+SUM(U$238:U251))*$G252</f>
        <v>163.66873531984109</v>
      </c>
      <c r="V252" s="2585">
        <f>(V$227+SUM(V$238:V251))*$G252</f>
        <v>77.759751832610775</v>
      </c>
      <c r="W252" s="2583">
        <f>(W$227+SUM(W$238:W251))*$G252</f>
        <v>42.256423630283642</v>
      </c>
      <c r="X252" s="2564"/>
      <c r="Y252" s="2568"/>
      <c r="Z252" s="2563"/>
      <c r="AA252" s="2564"/>
      <c r="AB252" s="2564"/>
      <c r="AC252" s="2568"/>
      <c r="AD252" s="2563"/>
      <c r="AE252" s="2564"/>
      <c r="AF252" s="2564"/>
      <c r="AG252" s="2568"/>
      <c r="AH252" s="2563"/>
      <c r="AI252" s="2564"/>
      <c r="AJ252" s="2564"/>
      <c r="AK252" s="2568"/>
    </row>
    <row r="253" spans="3:37" hidden="1" outlineLevel="1">
      <c r="C253" s="2569">
        <f t="shared" si="110"/>
        <v>1649.0287643174406</v>
      </c>
      <c r="D253" s="2570">
        <f>D252</f>
        <v>2006</v>
      </c>
      <c r="E253" s="2586">
        <v>1</v>
      </c>
      <c r="F253" s="2572">
        <f t="shared" si="113"/>
        <v>39082</v>
      </c>
      <c r="G253" s="2590">
        <f t="shared" si="111"/>
        <v>2.1899708341305724E-2</v>
      </c>
      <c r="H253" s="2574">
        <f t="shared" si="112"/>
        <v>1649.0287643174406</v>
      </c>
      <c r="J253" s="2575"/>
      <c r="K253" s="2576"/>
      <c r="L253" s="2577">
        <f>(L$227+SUM(L$238:L252))*$G253</f>
        <v>68.235961845565285</v>
      </c>
      <c r="M253" s="2587">
        <f>(M$227+SUM(M$238:M252))*$G253</f>
        <v>152.95004000089475</v>
      </c>
      <c r="N253" s="2588">
        <f>(N$227+SUM(N$238:N252))*$G253</f>
        <v>28.899392950262829</v>
      </c>
      <c r="O253" s="2577">
        <f>(O$227+SUM(O$238:O252))*$G253</f>
        <v>159.59624282040599</v>
      </c>
      <c r="P253" s="2577">
        <f>(P$227+SUM(P$238:P252))*$G253</f>
        <v>97.380841420455184</v>
      </c>
      <c r="Q253" s="2587">
        <f>(Q$227+SUM(Q$238:Q252))*$G253</f>
        <v>76.388268527010055</v>
      </c>
      <c r="R253" s="2588">
        <f>(R$227+SUM(R$238:R252))*$G253</f>
        <v>170.86370731550443</v>
      </c>
      <c r="S253" s="2577">
        <f>(S$227+SUM(S$238:S252))*$G253</f>
        <v>347.09852700325496</v>
      </c>
      <c r="T253" s="2577">
        <f>(T$227+SUM(T$238:T252))*$G253</f>
        <v>89.845370098795811</v>
      </c>
      <c r="U253" s="2587">
        <f>(U$227+SUM(U$238:U252))*$G253</f>
        <v>167.25303288793597</v>
      </c>
      <c r="V253" s="2588">
        <f>(V$227+SUM(V$238:V252))*$G253</f>
        <v>79.462667718437274</v>
      </c>
      <c r="W253" s="2577">
        <f>(W$227+SUM(W$238:W252))*$G253</f>
        <v>43.181826983333515</v>
      </c>
      <c r="X253" s="2577">
        <f>(X$227+SUM(X$238:X252))*$G253</f>
        <v>167.87288474558432</v>
      </c>
      <c r="Y253" s="2581"/>
      <c r="Z253" s="2575"/>
      <c r="AA253" s="2576"/>
      <c r="AB253" s="2576"/>
      <c r="AC253" s="2581"/>
      <c r="AD253" s="2575"/>
      <c r="AE253" s="2576"/>
      <c r="AF253" s="2576"/>
      <c r="AG253" s="2581"/>
      <c r="AH253" s="2575"/>
      <c r="AI253" s="2576"/>
      <c r="AJ253" s="2576"/>
      <c r="AK253" s="2581"/>
    </row>
    <row r="254" spans="3:37" hidden="1" outlineLevel="1">
      <c r="C254" s="2552">
        <f t="shared" si="110"/>
        <v>2103.8505896454644</v>
      </c>
      <c r="D254" s="2553">
        <f>D253+1</f>
        <v>2007</v>
      </c>
      <c r="E254" s="2582">
        <v>1</v>
      </c>
      <c r="F254" s="2528">
        <f t="shared" si="113"/>
        <v>39172</v>
      </c>
      <c r="G254" s="2589">
        <f t="shared" si="111"/>
        <v>2.4203513098642215E-2</v>
      </c>
      <c r="H254" s="2517">
        <f t="shared" si="112"/>
        <v>2103.8505896454644</v>
      </c>
      <c r="J254" s="2563"/>
      <c r="K254" s="2564"/>
      <c r="L254" s="2583">
        <f>(L$227+SUM(L$238:L253))*$G254</f>
        <v>77.065796185741434</v>
      </c>
      <c r="M254" s="2584">
        <f>(M$227+SUM(M$238:M253))*$G254</f>
        <v>172.74200129232904</v>
      </c>
      <c r="N254" s="2585">
        <f>(N$227+SUM(N$238:N253))*$G254</f>
        <v>32.639017121751806</v>
      </c>
      <c r="O254" s="2583">
        <f>(O$227+SUM(O$238:O253))*$G254</f>
        <v>180.24823258216969</v>
      </c>
      <c r="P254" s="2583">
        <f>(P$227+SUM(P$238:P253))*$G254</f>
        <v>109.98206626426482</v>
      </c>
      <c r="Q254" s="2584">
        <f>(Q$227+SUM(Q$238:Q253))*$G254</f>
        <v>86.273023403814463</v>
      </c>
      <c r="R254" s="2585">
        <f>(R$227+SUM(R$238:R253))*$G254</f>
        <v>192.97372364030986</v>
      </c>
      <c r="S254" s="2583">
        <f>(S$227+SUM(S$238:S253))*$G254</f>
        <v>392.01358953427552</v>
      </c>
      <c r="T254" s="2583">
        <f>(T$227+SUM(T$238:T253))*$G254</f>
        <v>101.47149381343853</v>
      </c>
      <c r="U254" s="2584">
        <f>(U$227+SUM(U$238:U253))*$G254</f>
        <v>188.8958226039351</v>
      </c>
      <c r="V254" s="2585">
        <f>(V$227+SUM(V$238:V253))*$G254</f>
        <v>89.745254395683105</v>
      </c>
      <c r="W254" s="2583">
        <f>(W$227+SUM(W$238:W253))*$G254</f>
        <v>48.769619233290101</v>
      </c>
      <c r="X254" s="2583">
        <f>(X$227+SUM(X$238:X253))*$G254</f>
        <v>189.5958842083277</v>
      </c>
      <c r="Y254" s="2584">
        <f>(Y$227+SUM(Y$238:Y253))*$G254</f>
        <v>241.43506536613319</v>
      </c>
      <c r="Z254" s="2563"/>
      <c r="AA254" s="2564"/>
      <c r="AB254" s="2564"/>
      <c r="AC254" s="2568"/>
      <c r="AD254" s="2563"/>
      <c r="AE254" s="2564"/>
      <c r="AF254" s="2564"/>
      <c r="AG254" s="2568"/>
      <c r="AH254" s="2563"/>
      <c r="AI254" s="2564"/>
      <c r="AJ254" s="2564"/>
      <c r="AK254" s="2568"/>
    </row>
    <row r="255" spans="3:37" hidden="1" outlineLevel="1">
      <c r="C255" s="2552">
        <f t="shared" si="110"/>
        <v>2310.1223085205925</v>
      </c>
      <c r="D255" s="2562">
        <f>D254</f>
        <v>2007</v>
      </c>
      <c r="E255" s="2582">
        <v>1</v>
      </c>
      <c r="F255" s="2528">
        <f t="shared" si="113"/>
        <v>39263</v>
      </c>
      <c r="G255" s="2589">
        <f t="shared" si="111"/>
        <v>2.4203513098642215E-2</v>
      </c>
      <c r="H255" s="2517">
        <f t="shared" si="112"/>
        <v>2310.1223085205925</v>
      </c>
      <c r="J255" s="2563"/>
      <c r="K255" s="2564"/>
      <c r="L255" s="2583">
        <f>(L$227+SUM(L$238:L254))*$G255</f>
        <v>78.931059193180317</v>
      </c>
      <c r="M255" s="2584">
        <f>(M$227+SUM(M$238:M254))*$G255</f>
        <v>176.92296458329358</v>
      </c>
      <c r="N255" s="2585">
        <f>(N$227+SUM(N$238:N254))*$G255</f>
        <v>33.428996000184931</v>
      </c>
      <c r="O255" s="2583">
        <f>(O$227+SUM(O$238:O254))*$G255</f>
        <v>184.61087304047936</v>
      </c>
      <c r="P255" s="2583">
        <f>(P$227+SUM(P$238:P254))*$G255</f>
        <v>112.64401864570769</v>
      </c>
      <c r="Q255" s="2584">
        <f>(Q$227+SUM(Q$238:Q254))*$G255</f>
        <v>88.361133655828141</v>
      </c>
      <c r="R255" s="2591">
        <f>(R$227+SUM(R$238:R254))*$G255</f>
        <v>197.64436568813184</v>
      </c>
      <c r="S255" s="2592">
        <f>(S$227+SUM(S$238:S254))*$G255</f>
        <v>401.50169558341412</v>
      </c>
      <c r="T255" s="2592">
        <f>(T$227+SUM(T$238:T254))*$G255</f>
        <v>103.92746044309088</v>
      </c>
      <c r="U255" s="2593">
        <f>(U$227+SUM(U$238:U254))*$G255</f>
        <v>193.46776512060825</v>
      </c>
      <c r="V255" s="2591">
        <f>(V$227+SUM(V$238:V254))*$G255</f>
        <v>91.917404835989998</v>
      </c>
      <c r="W255" s="2592">
        <f>(W$227+SUM(W$238:W254))*$G255</f>
        <v>49.950015351218831</v>
      </c>
      <c r="X255" s="2592">
        <f>(X$227+SUM(X$238:X254))*$G255</f>
        <v>194.18477067521263</v>
      </c>
      <c r="Y255" s="2593">
        <f>(Y$227+SUM(Y$238:Y254))*$G255</f>
        <v>247.27864213319393</v>
      </c>
      <c r="Z255" s="2585">
        <f>(Z$227+SUM(Z$238:Z254))*$G255</f>
        <v>155.351143571058</v>
      </c>
      <c r="AA255" s="2564"/>
      <c r="AB255" s="2564"/>
      <c r="AC255" s="2568"/>
      <c r="AD255" s="2563"/>
      <c r="AE255" s="2564"/>
      <c r="AF255" s="2564"/>
      <c r="AG255" s="2568"/>
      <c r="AH255" s="2563"/>
      <c r="AI255" s="2564"/>
      <c r="AJ255" s="2564"/>
      <c r="AK255" s="2568"/>
    </row>
    <row r="256" spans="3:37" hidden="1" outlineLevel="1">
      <c r="C256" s="2594">
        <f t="shared" si="110"/>
        <v>2620.6382262970519</v>
      </c>
      <c r="D256" s="2562">
        <f>D255</f>
        <v>2007</v>
      </c>
      <c r="E256" s="2582">
        <v>1</v>
      </c>
      <c r="F256" s="2528">
        <f t="shared" si="113"/>
        <v>39355</v>
      </c>
      <c r="G256" s="2595">
        <f t="shared" si="111"/>
        <v>2.4203513098642215E-2</v>
      </c>
      <c r="H256" s="2596">
        <f t="shared" si="112"/>
        <v>2620.6382262970519</v>
      </c>
      <c r="J256" s="2563"/>
      <c r="K256" s="2564"/>
      <c r="L256" s="2592">
        <f>(L$227+SUM(L$238:L255))*$G256</f>
        <v>80.841468118252166</v>
      </c>
      <c r="M256" s="2593">
        <f>(M$227+SUM(M$238:M255))*$G256</f>
        <v>181.20512187403594</v>
      </c>
      <c r="N256" s="2591">
        <f>(N$227+SUM(N$238:N255))*$G256</f>
        <v>34.23809514274987</v>
      </c>
      <c r="O256" s="2592">
        <f>(O$227+SUM(O$238:O255))*$G256</f>
        <v>189.07910472426636</v>
      </c>
      <c r="P256" s="2592">
        <f>(P$227+SUM(P$238:P255))*$G256</f>
        <v>115.37039962648277</v>
      </c>
      <c r="Q256" s="2593">
        <f>(Q$227+SUM(Q$238:Q255))*$G256</f>
        <v>90.499783511677848</v>
      </c>
      <c r="R256" s="2591">
        <f>(R$227+SUM(R$238:R255))*$G256</f>
        <v>202.42805368193737</v>
      </c>
      <c r="S256" s="2592">
        <f>(S$227+SUM(S$238:S255))*$G256</f>
        <v>411.21944713159439</v>
      </c>
      <c r="T256" s="2592">
        <f>(T$227+SUM(T$238:T255))*$G256</f>
        <v>106.44287009323386</v>
      </c>
      <c r="U256" s="2593">
        <f>(U$227+SUM(U$238:U255))*$G256</f>
        <v>198.1503647078699</v>
      </c>
      <c r="V256" s="2591">
        <f>(V$227+SUM(V$238:V255))*$G256</f>
        <v>94.142128947931084</v>
      </c>
      <c r="W256" s="2592">
        <f>(W$227+SUM(W$238:W255))*$G256</f>
        <v>51.158981202049439</v>
      </c>
      <c r="X256" s="2592">
        <f>(X$227+SUM(X$238:X255))*$G256</f>
        <v>198.88472431580701</v>
      </c>
      <c r="Y256" s="2593">
        <f>(Y$227+SUM(Y$238:Y255))*$G256</f>
        <v>253.26365398707915</v>
      </c>
      <c r="Z256" s="2585">
        <f>(Z$227+SUM(Z$238:Z255))*$G256</f>
        <v>159.11118700936913</v>
      </c>
      <c r="AA256" s="2583">
        <f>(AA$227+SUM(AA$238:AA255))*$G256</f>
        <v>254.60284222271557</v>
      </c>
      <c r="AB256" s="2564"/>
      <c r="AC256" s="2568"/>
      <c r="AD256" s="2563"/>
      <c r="AE256" s="2564"/>
      <c r="AF256" s="2564"/>
      <c r="AG256" s="2568"/>
      <c r="AH256" s="2563"/>
      <c r="AI256" s="2564"/>
      <c r="AJ256" s="2564"/>
      <c r="AK256" s="2568"/>
    </row>
    <row r="257" spans="3:66" hidden="1" outlineLevel="1">
      <c r="C257" s="2569">
        <f t="shared" si="110"/>
        <v>2960.7287232103467</v>
      </c>
      <c r="D257" s="2570">
        <f>D256</f>
        <v>2007</v>
      </c>
      <c r="E257" s="2586">
        <v>1</v>
      </c>
      <c r="F257" s="2572">
        <f t="shared" si="113"/>
        <v>39447</v>
      </c>
      <c r="G257" s="2590">
        <f t="shared" si="111"/>
        <v>2.4203513098642215E-2</v>
      </c>
      <c r="H257" s="2574">
        <f t="shared" si="112"/>
        <v>2960.7287232103467</v>
      </c>
      <c r="J257" s="2575"/>
      <c r="K257" s="2576"/>
      <c r="L257" s="2577">
        <f>(L$227+SUM(L$238:L256))*$G257</f>
        <v>82.798115650765752</v>
      </c>
      <c r="M257" s="2587">
        <f>(M$227+SUM(M$238:M256))*$G257</f>
        <v>185.59092241485524</v>
      </c>
      <c r="N257" s="2588">
        <f>(N$227+SUM(N$238:N256))*$G257</f>
        <v>35.066777327009973</v>
      </c>
      <c r="O257" s="2577">
        <f>(O$227+SUM(O$238:O256))*$G257</f>
        <v>193.65548331213969</v>
      </c>
      <c r="P257" s="2577">
        <f>(P$227+SUM(P$238:P256))*$G257</f>
        <v>118.16276860503794</v>
      </c>
      <c r="Q257" s="2587">
        <f>(Q$227+SUM(Q$238:Q256))*$G257</f>
        <v>92.690196207327034</v>
      </c>
      <c r="R257" s="2588">
        <f>(R$227+SUM(R$238:R256))*$G257</f>
        <v>207.32752373076082</v>
      </c>
      <c r="S257" s="2577">
        <f>(S$227+SUM(S$238:S256))*$G257</f>
        <v>421.1724024066603</v>
      </c>
      <c r="T257" s="2577">
        <f>(T$227+SUM(T$238:T256))*$G257</f>
        <v>109.01916149379252</v>
      </c>
      <c r="U257" s="2587">
        <f>(U$227+SUM(U$238:U256))*$G257</f>
        <v>202.94629965557758</v>
      </c>
      <c r="V257" s="2588">
        <f>(V$227+SUM(V$238:V256))*$G257</f>
        <v>96.420699199056386</v>
      </c>
      <c r="W257" s="2577">
        <f>(W$227+SUM(W$238:W256))*$G257</f>
        <v>52.397208273686431</v>
      </c>
      <c r="X257" s="2577">
        <f>(X$227+SUM(X$238:X256))*$G257</f>
        <v>203.69843334590442</v>
      </c>
      <c r="Y257" s="2587">
        <f>(Y$227+SUM(Y$238:Y256))*$G257</f>
        <v>259.39352415376538</v>
      </c>
      <c r="Z257" s="2588">
        <f>(Z$227+SUM(Z$238:Z256))*$G257</f>
        <v>162.96223670829093</v>
      </c>
      <c r="AA257" s="2577">
        <f>(AA$227+SUM(AA$238:AA256))*$G257</f>
        <v>260.76512544940459</v>
      </c>
      <c r="AB257" s="2577">
        <f>(AB$227+SUM(AB$238:AB256))*$G257</f>
        <v>276.66184527631145</v>
      </c>
      <c r="AC257" s="2581"/>
      <c r="AD257" s="2575"/>
      <c r="AE257" s="2576"/>
      <c r="AF257" s="2576"/>
      <c r="AG257" s="2581"/>
      <c r="AH257" s="2575"/>
      <c r="AI257" s="2576"/>
      <c r="AJ257" s="2576"/>
      <c r="AK257" s="2581"/>
    </row>
    <row r="258" spans="3:66" hidden="1" outlineLevel="1">
      <c r="C258" s="2552">
        <f t="shared" si="110"/>
        <v>3453.8683349352859</v>
      </c>
      <c r="D258" s="2553">
        <f>D257+1</f>
        <v>2008</v>
      </c>
      <c r="E258" s="2582">
        <v>1</v>
      </c>
      <c r="F258" s="2528">
        <f t="shared" si="113"/>
        <v>39538</v>
      </c>
      <c r="G258" s="2589">
        <f t="shared" si="111"/>
        <v>2.4969413084385828E-2</v>
      </c>
      <c r="H258" s="2517">
        <f t="shared" si="112"/>
        <v>3453.8683349352859</v>
      </c>
      <c r="J258" s="2563"/>
      <c r="K258" s="2564"/>
      <c r="L258" s="2583">
        <f>(L$227+SUM(L$238:L257))*$G258</f>
        <v>87.485613317375169</v>
      </c>
      <c r="M258" s="2584">
        <f>(M$227+SUM(M$238:M257))*$G258</f>
        <v>196.09788877424577</v>
      </c>
      <c r="N258" s="2585">
        <f>(N$227+SUM(N$238:N257))*$G258</f>
        <v>37.052033097674972</v>
      </c>
      <c r="O258" s="2583">
        <f>(O$227+SUM(O$238:O257))*$G258</f>
        <v>204.61901332749187</v>
      </c>
      <c r="P258" s="2583">
        <f>(P$227+SUM(P$238:P257))*$G258</f>
        <v>124.85238584768712</v>
      </c>
      <c r="Q258" s="2584">
        <f>(Q$227+SUM(Q$238:Q257))*$G258</f>
        <v>97.937719958616611</v>
      </c>
      <c r="R258" s="2585">
        <f>(R$227+SUM(R$238:R257))*$G258</f>
        <v>219.06507688729647</v>
      </c>
      <c r="S258" s="2583">
        <f>(S$227+SUM(S$238:S257))*$G258</f>
        <v>445.01647950919568</v>
      </c>
      <c r="T258" s="2583">
        <f>(T$227+SUM(T$238:T257))*$G258</f>
        <v>115.191126412334</v>
      </c>
      <c r="U258" s="2584">
        <f>(U$227+SUM(U$238:U257))*$G258</f>
        <v>214.43581603654289</v>
      </c>
      <c r="V258" s="2585">
        <f>(V$227+SUM(V$238:V257))*$G258</f>
        <v>101.87942007641063</v>
      </c>
      <c r="W258" s="2583">
        <f>(W$227+SUM(W$238:W257))*$G258</f>
        <v>55.36360176693595</v>
      </c>
      <c r="X258" s="2583">
        <f>(X$227+SUM(X$238:X257))*$G258</f>
        <v>215.23053070701258</v>
      </c>
      <c r="Y258" s="2584">
        <f>(Y$227+SUM(Y$238:Y257))*$G258</f>
        <v>274.07871994170995</v>
      </c>
      <c r="Z258" s="2585">
        <f>(Z$227+SUM(Z$238:Z257))*$G258</f>
        <v>172.18811218035549</v>
      </c>
      <c r="AA258" s="2583">
        <f>(AA$227+SUM(AA$238:AA257))*$G258</f>
        <v>275.52797249574184</v>
      </c>
      <c r="AB258" s="2583">
        <f>(AB$227+SUM(AB$238:AB257))*$G258</f>
        <v>292.32466252740153</v>
      </c>
      <c r="AC258" s="2584">
        <f>(AC$227+SUM(AC$238:AC257))*$G258</f>
        <v>325.52216207125724</v>
      </c>
      <c r="AD258" s="2563"/>
      <c r="AE258" s="2564"/>
      <c r="AF258" s="2564"/>
      <c r="AG258" s="2568"/>
      <c r="AH258" s="2563"/>
      <c r="AI258" s="2564"/>
      <c r="AJ258" s="2564"/>
      <c r="AK258" s="2568"/>
    </row>
    <row r="259" spans="3:66" hidden="1" outlineLevel="1">
      <c r="C259" s="2552">
        <f t="shared" si="110"/>
        <v>4003.6804633670267</v>
      </c>
      <c r="D259" s="2562">
        <f>D258</f>
        <v>2008</v>
      </c>
      <c r="E259" s="2582">
        <v>1</v>
      </c>
      <c r="F259" s="2528">
        <f t="shared" si="113"/>
        <v>39629</v>
      </c>
      <c r="G259" s="2589">
        <f t="shared" si="111"/>
        <v>2.4969413084385828E-2</v>
      </c>
      <c r="H259" s="2517">
        <f t="shared" si="112"/>
        <v>4003.6804633670267</v>
      </c>
      <c r="J259" s="2563"/>
      <c r="K259" s="2564"/>
      <c r="L259" s="2583">
        <f>(L$227+SUM(L$238:L258))*$G259</f>
        <v>89.670077735237541</v>
      </c>
      <c r="M259" s="2584">
        <f>(M$227+SUM(M$238:M258))*$G259</f>
        <v>200.99433796402585</v>
      </c>
      <c r="N259" s="2585">
        <f>(N$227+SUM(N$238:N258))*$G259</f>
        <v>37.977200617707162</v>
      </c>
      <c r="O259" s="2583">
        <f>(O$227+SUM(O$238:O258))*$G259</f>
        <v>209.72822999618549</v>
      </c>
      <c r="P259" s="2583">
        <f>(P$227+SUM(P$238:P258))*$G259</f>
        <v>127.96987664448916</v>
      </c>
      <c r="Q259" s="2584">
        <f>(Q$227+SUM(Q$238:Q258))*$G259</f>
        <v>100.3831673448062</v>
      </c>
      <c r="R259" s="2585">
        <f>(R$227+SUM(R$238:R258))*$G259</f>
        <v>224.53500328445813</v>
      </c>
      <c r="S259" s="2583">
        <f>(S$227+SUM(S$238:S258))*$G259</f>
        <v>456.12827981541989</v>
      </c>
      <c r="T259" s="2583">
        <f>(T$227+SUM(T$238:T258))*$G259</f>
        <v>118.0673812313793</v>
      </c>
      <c r="U259" s="2584">
        <f>(U$227+SUM(U$238:U258))*$G259</f>
        <v>219.79015250724669</v>
      </c>
      <c r="V259" s="2585">
        <f>(V$227+SUM(V$238:V258))*$G259</f>
        <v>104.42328940109618</v>
      </c>
      <c r="W259" s="2583">
        <f>(W$227+SUM(W$238:W258))*$G259</f>
        <v>56.745998409294003</v>
      </c>
      <c r="X259" s="2583">
        <f>(X$227+SUM(X$238:X258))*$G259</f>
        <v>220.60471073660753</v>
      </c>
      <c r="Y259" s="2584">
        <f>(Y$227+SUM(Y$238:Y258))*$G259</f>
        <v>280.92230471757415</v>
      </c>
      <c r="Z259" s="2585">
        <f>(Z$227+SUM(Z$238:Z258))*$G259</f>
        <v>176.48754828160736</v>
      </c>
      <c r="AA259" s="2583">
        <f>(AA$227+SUM(AA$238:AA258))*$G259</f>
        <v>282.40774425729131</v>
      </c>
      <c r="AB259" s="2583">
        <f>(AB$227+SUM(AB$238:AB258))*$G259</f>
        <v>299.62383778080186</v>
      </c>
      <c r="AC259" s="2584">
        <f>(AC$227+SUM(AC$238:AC258))*$G259</f>
        <v>333.65025940413688</v>
      </c>
      <c r="AD259" s="2585">
        <f>(AD$227+SUM(AD$238:AD258))*$G259</f>
        <v>463.57106323766283</v>
      </c>
      <c r="AE259" s="2564"/>
      <c r="AF259" s="2564"/>
      <c r="AG259" s="2568"/>
      <c r="AH259" s="2563"/>
      <c r="AI259" s="2564"/>
      <c r="AJ259" s="2564"/>
      <c r="AK259" s="2568"/>
    </row>
    <row r="260" spans="3:66" hidden="1" outlineLevel="1">
      <c r="C260" s="2594">
        <f t="shared" si="110"/>
        <v>4506.9934688475669</v>
      </c>
      <c r="D260" s="2562">
        <f>D259</f>
        <v>2008</v>
      </c>
      <c r="E260" s="2582">
        <v>1</v>
      </c>
      <c r="F260" s="2528">
        <f t="shared" si="113"/>
        <v>39721</v>
      </c>
      <c r="G260" s="2595">
        <f t="shared" si="111"/>
        <v>2.4969413084385828E-2</v>
      </c>
      <c r="H260" s="2596">
        <f t="shared" si="112"/>
        <v>4506.9934688475669</v>
      </c>
      <c r="J260" s="2563"/>
      <c r="K260" s="2564"/>
      <c r="L260" s="2583">
        <f>(L$227+SUM(L$238:L259))*$G260</f>
        <v>91.909086947517679</v>
      </c>
      <c r="M260" s="2584">
        <f>(M$227+SUM(M$238:M259))*$G260</f>
        <v>206.01304861627227</v>
      </c>
      <c r="N260" s="2585">
        <f>(N$227+SUM(N$238:N259))*$G260</f>
        <v>38.925469027719288</v>
      </c>
      <c r="O260" s="2583">
        <f>(O$227+SUM(O$238:O259))*$G260</f>
        <v>214.9650208064173</v>
      </c>
      <c r="P260" s="2583">
        <f>(P$227+SUM(P$238:P259))*$G260</f>
        <v>131.16520935678329</v>
      </c>
      <c r="Q260" s="2584">
        <f>(Q$227+SUM(Q$238:Q259))*$G260</f>
        <v>102.88967611695769</v>
      </c>
      <c r="R260" s="2585">
        <f>(R$227+SUM(R$238:R259))*$G260</f>
        <v>230.14151053337167</v>
      </c>
      <c r="S260" s="2583">
        <f>(S$227+SUM(S$238:S259))*$G260</f>
        <v>467.51753525360147</v>
      </c>
      <c r="T260" s="2583">
        <f>(T$227+SUM(T$238:T259))*$G260</f>
        <v>121.01545444513725</v>
      </c>
      <c r="U260" s="2584">
        <f>(U$227+SUM(U$238:U259))*$G260</f>
        <v>225.27818361708029</v>
      </c>
      <c r="V260" s="2585">
        <f>(V$227+SUM(V$238:V259))*$G260</f>
        <v>107.03067764978253</v>
      </c>
      <c r="W260" s="2583">
        <f>(W$227+SUM(W$238:W259))*$G260</f>
        <v>58.162912684461567</v>
      </c>
      <c r="X260" s="2583">
        <f>(X$227+SUM(X$238:X259))*$G260</f>
        <v>226.11308088735134</v>
      </c>
      <c r="Y260" s="2584">
        <f>(Y$227+SUM(Y$238:Y259))*$G260</f>
        <v>287.93676978868501</v>
      </c>
      <c r="Z260" s="2585">
        <f>(Z$227+SUM(Z$238:Z259))*$G260</f>
        <v>180.8943387789013</v>
      </c>
      <c r="AA260" s="2583">
        <f>(AA$227+SUM(AA$238:AA259))*$G260</f>
        <v>289.45929988188118</v>
      </c>
      <c r="AB260" s="2583">
        <f>(AB$227+SUM(AB$238:AB259))*$G260</f>
        <v>307.10526915627975</v>
      </c>
      <c r="AC260" s="2584">
        <f>(AC$227+SUM(AC$238:AC259))*$G260</f>
        <v>341.98131055691124</v>
      </c>
      <c r="AD260" s="2585">
        <f>(AD$227+SUM(AD$238:AD259))*$G260</f>
        <v>475.14616060961191</v>
      </c>
      <c r="AE260" s="2583">
        <f>(AE$227+SUM(AE$238:AE259))*$G260</f>
        <v>403.34345413284365</v>
      </c>
      <c r="AF260" s="2564"/>
      <c r="AG260" s="2568"/>
      <c r="AH260" s="2563"/>
      <c r="AI260" s="2564"/>
      <c r="AJ260" s="2564"/>
      <c r="AK260" s="2568"/>
    </row>
    <row r="261" spans="3:66" hidden="1" outlineLevel="1">
      <c r="C261" s="2569">
        <f t="shared" si="110"/>
        <v>5192.7696333817494</v>
      </c>
      <c r="D261" s="2570">
        <f>D260</f>
        <v>2008</v>
      </c>
      <c r="E261" s="2586">
        <v>1</v>
      </c>
      <c r="F261" s="2572">
        <f t="shared" si="113"/>
        <v>39813</v>
      </c>
      <c r="G261" s="2590">
        <f t="shared" si="111"/>
        <v>2.4969413084385828E-2</v>
      </c>
      <c r="H261" s="2574">
        <f t="shared" si="112"/>
        <v>5192.7696333817494</v>
      </c>
      <c r="J261" s="2575"/>
      <c r="K261" s="2576"/>
      <c r="L261" s="2577">
        <f>(L$227+SUM(L$238:L260))*$G261</f>
        <v>94.20400290571898</v>
      </c>
      <c r="M261" s="2587">
        <f>(M$227+SUM(M$238:M260))*$G261</f>
        <v>211.15707352794564</v>
      </c>
      <c r="N261" s="2588">
        <f>(N$227+SUM(N$238:N260))*$G261</f>
        <v>39.897415143375873</v>
      </c>
      <c r="O261" s="2577">
        <f>(O$227+SUM(O$238:O260))*$G261</f>
        <v>220.33257120962634</v>
      </c>
      <c r="P261" s="2577">
        <f>(P$227+SUM(P$238:P260))*$G261</f>
        <v>134.44032765151277</v>
      </c>
      <c r="Q261" s="2587">
        <f>(Q$227+SUM(Q$238:Q260))*$G261</f>
        <v>105.45877094204069</v>
      </c>
      <c r="R261" s="2588">
        <f>(R$227+SUM(R$238:R260))*$G261</f>
        <v>235.88800897774394</v>
      </c>
      <c r="S261" s="2577">
        <f>(S$227+SUM(S$238:S260))*$G261</f>
        <v>479.1911737155425</v>
      </c>
      <c r="T261" s="2577">
        <f>(T$227+SUM(T$238:T260))*$G261</f>
        <v>124.03713931677258</v>
      </c>
      <c r="U261" s="2587">
        <f>(U$227+SUM(U$238:U260))*$G261</f>
        <v>230.90324764271534</v>
      </c>
      <c r="V261" s="2588">
        <f>(V$227+SUM(V$238:V260))*$G261</f>
        <v>109.7031708527217</v>
      </c>
      <c r="W261" s="2577">
        <f>(W$227+SUM(W$238:W260))*$G261</f>
        <v>59.615206477470956</v>
      </c>
      <c r="X261" s="2577">
        <f>(X$227+SUM(X$238:X260))*$G261</f>
        <v>231.75899180781079</v>
      </c>
      <c r="Y261" s="2587">
        <f>(Y$227+SUM(Y$238:Y260))*$G261</f>
        <v>295.12638193572241</v>
      </c>
      <c r="Z261" s="2588">
        <f>(Z$227+SUM(Z$238:Z260))*$G261</f>
        <v>185.41116424849849</v>
      </c>
      <c r="AA261" s="2577">
        <f>(AA$227+SUM(AA$238:AA260))*$G261</f>
        <v>296.68692871174898</v>
      </c>
      <c r="AB261" s="2577">
        <f>(AB$227+SUM(AB$238:AB260))*$G261</f>
        <v>314.77350748223438</v>
      </c>
      <c r="AC261" s="2587">
        <f>(AC$227+SUM(AC$238:AC260))*$G261</f>
        <v>350.52038316734644</v>
      </c>
      <c r="AD261" s="2588">
        <f>(AD$227+SUM(AD$238:AD260))*$G261</f>
        <v>487.01028136933326</v>
      </c>
      <c r="AE261" s="2577">
        <f>(AE$227+SUM(AE$238:AE260))*$G261</f>
        <v>413.41470345396959</v>
      </c>
      <c r="AF261" s="2577">
        <f>(AF$227+SUM(AF$238:AF260))*$G261</f>
        <v>573.23918284189824</v>
      </c>
      <c r="AG261" s="2581"/>
      <c r="AH261" s="2575"/>
      <c r="AI261" s="2576"/>
      <c r="AJ261" s="2576"/>
      <c r="AK261" s="2581"/>
    </row>
    <row r="262" spans="3:66" hidden="1" outlineLevel="1">
      <c r="C262" s="2552">
        <f t="shared" si="110"/>
        <v>5083.1241601723532</v>
      </c>
      <c r="D262" s="2553">
        <f>D261+1</f>
        <v>2009</v>
      </c>
      <c r="E262" s="2582">
        <v>1</v>
      </c>
      <c r="F262" s="2528">
        <f t="shared" si="113"/>
        <v>39903</v>
      </c>
      <c r="G262" s="2589">
        <f t="shared" si="111"/>
        <v>2.2431862249385537E-2</v>
      </c>
      <c r="H262" s="2517">
        <f t="shared" si="112"/>
        <v>5083.1241601723532</v>
      </c>
      <c r="J262" s="2563"/>
      <c r="K262" s="2564"/>
      <c r="L262" s="2583">
        <f>(L$227+SUM(L$238:L261))*$G262</f>
        <v>86.743563183693695</v>
      </c>
      <c r="M262" s="2584">
        <f>(M$227+SUM(M$238:M261))*$G262</f>
        <v>194.4345928440716</v>
      </c>
      <c r="N262" s="2585">
        <f>(N$227+SUM(N$238:N261))*$G262</f>
        <v>36.737758955096162</v>
      </c>
      <c r="O262" s="2583">
        <f>(O$227+SUM(O$238:O261))*$G262</f>
        <v>202.88344149532551</v>
      </c>
      <c r="P262" s="2583">
        <f>(P$227+SUM(P$238:P261))*$G262</f>
        <v>123.79339196177095</v>
      </c>
      <c r="Q262" s="2584">
        <f>(Q$227+SUM(Q$238:Q261))*$G262</f>
        <v>97.107015395523433</v>
      </c>
      <c r="R262" s="2585">
        <f>(R$227+SUM(R$238:R261))*$G262</f>
        <v>217.20697401271929</v>
      </c>
      <c r="S262" s="2583">
        <f>(S$227+SUM(S$238:S261))*$G262</f>
        <v>441.24186416858782</v>
      </c>
      <c r="T262" s="2583">
        <f>(T$227+SUM(T$238:T261))*$G262</f>
        <v>114.21407901548831</v>
      </c>
      <c r="U262" s="2584">
        <f>(U$227+SUM(U$238:U261))*$G262</f>
        <v>212.61697840230519</v>
      </c>
      <c r="V262" s="2585">
        <f>(V$227+SUM(V$238:V261))*$G262</f>
        <v>101.01528214080703</v>
      </c>
      <c r="W262" s="2583">
        <f>(W$227+SUM(W$238:W261))*$G262</f>
        <v>54.894009493024527</v>
      </c>
      <c r="X262" s="2583">
        <f>(X$227+SUM(X$238:X261))*$G262</f>
        <v>213.40495232872448</v>
      </c>
      <c r="Y262" s="2584">
        <f>(Y$227+SUM(Y$238:Y261))*$G262</f>
        <v>271.75399313166656</v>
      </c>
      <c r="Z262" s="2585">
        <f>(Z$227+SUM(Z$238:Z261))*$G262</f>
        <v>170.72761819949639</v>
      </c>
      <c r="AA262" s="2583">
        <f>(AA$227+SUM(AA$238:AA261))*$G262</f>
        <v>273.19095317255625</v>
      </c>
      <c r="AB262" s="2583">
        <f>(AB$227+SUM(AB$238:AB261))*$G262</f>
        <v>289.84517422433709</v>
      </c>
      <c r="AC262" s="2584">
        <f>(AC$227+SUM(AC$238:AC261))*$G262</f>
        <v>322.76109365415692</v>
      </c>
      <c r="AD262" s="2585">
        <f>(AD$227+SUM(AD$238:AD261))*$G262</f>
        <v>448.44174143373453</v>
      </c>
      <c r="AE262" s="2583">
        <f>(AE$227+SUM(AE$238:AE261))*$G262</f>
        <v>380.6745291494438</v>
      </c>
      <c r="AF262" s="2583">
        <f>(AF$227+SUM(AF$238:AF261))*$G262</f>
        <v>527.84178742362576</v>
      </c>
      <c r="AG262" s="2584">
        <f>(AG$227+SUM(AG$238:AG261))*$G262</f>
        <v>301.59336638619868</v>
      </c>
      <c r="AH262" s="2563"/>
      <c r="AI262" s="2564"/>
      <c r="AJ262" s="2564"/>
      <c r="AK262" s="2568"/>
      <c r="AL262" s="2599"/>
      <c r="AM262" s="2599"/>
      <c r="AN262" s="2600"/>
      <c r="AO262" s="2600"/>
      <c r="AP262" s="2600"/>
      <c r="AQ262" s="2600"/>
    </row>
    <row r="263" spans="3:66" hidden="1" outlineLevel="1">
      <c r="C263" s="2552">
        <f t="shared" si="110"/>
        <v>5197.1481011298647</v>
      </c>
      <c r="D263" s="2562">
        <f>D262</f>
        <v>2009</v>
      </c>
      <c r="E263" s="2582">
        <v>1</v>
      </c>
      <c r="F263" s="2528">
        <f t="shared" si="113"/>
        <v>39994</v>
      </c>
      <c r="G263" s="2589">
        <f t="shared" si="111"/>
        <v>2.2431862249385537E-2</v>
      </c>
      <c r="H263" s="2517">
        <f t="shared" si="112"/>
        <v>5197.1481011298647</v>
      </c>
      <c r="J263" s="2563"/>
      <c r="K263" s="2564"/>
      <c r="L263" s="2583">
        <f>(L$227+SUM(L$238:L262))*$G263</f>
        <v>88.689382844051167</v>
      </c>
      <c r="M263" s="2584">
        <f>(M$227+SUM(M$238:M262))*$G263</f>
        <v>198.79612284726517</v>
      </c>
      <c r="N263" s="2585">
        <f>(N$227+SUM(N$238:N262))*$G263</f>
        <v>37.561855303328009</v>
      </c>
      <c r="O263" s="2583">
        <f>(O$227+SUM(O$238:O262))*$G263</f>
        <v>207.43449490762993</v>
      </c>
      <c r="P263" s="2583">
        <f>(P$227+SUM(P$238:P262))*$G263</f>
        <v>126.57030827764159</v>
      </c>
      <c r="Q263" s="2584">
        <f>(Q$227+SUM(Q$238:Q262))*$G263</f>
        <v>99.285306588324758</v>
      </c>
      <c r="R263" s="2591">
        <f>(R$227+SUM(R$238:R262))*$G263</f>
        <v>222.07933093337851</v>
      </c>
      <c r="S263" s="2592">
        <f>(S$227+SUM(S$238:S262))*$G263</f>
        <v>451.13974088427966</v>
      </c>
      <c r="T263" s="2592">
        <f>(T$227+SUM(T$238:T262))*$G263</f>
        <v>116.7761135029042</v>
      </c>
      <c r="U263" s="2593">
        <f>(U$227+SUM(U$238:U262))*$G263</f>
        <v>217.38637317370629</v>
      </c>
      <c r="V263" s="2591">
        <f>(V$227+SUM(V$238:V262))*$G263</f>
        <v>103.28124303487243</v>
      </c>
      <c r="W263" s="2592">
        <f>(W$227+SUM(W$238:W262))*$G263</f>
        <v>56.125384352288513</v>
      </c>
      <c r="X263" s="2592">
        <f>(X$227+SUM(X$238:X262))*$G263</f>
        <v>218.19202282269913</v>
      </c>
      <c r="Y263" s="2593">
        <f>(Y$227+SUM(Y$238:Y262))*$G263</f>
        <v>277.84994127131654</v>
      </c>
      <c r="Z263" s="2591">
        <f>(Z$227+SUM(Z$238:Z262))*$G263</f>
        <v>174.5573566131132</v>
      </c>
      <c r="AA263" s="2592">
        <f>(AA$227+SUM(AA$238:AA262))*$G263</f>
        <v>279.31913500190137</v>
      </c>
      <c r="AB263" s="2592">
        <f>(AB$227+SUM(AB$238:AB262))*$G263</f>
        <v>296.34694124618659</v>
      </c>
      <c r="AC263" s="2593">
        <f>(AC$227+SUM(AC$238:AC262))*$G263</f>
        <v>330.00122604646799</v>
      </c>
      <c r="AD263" s="2591">
        <f>(AD$227+SUM(AD$238:AD262))*$G263</f>
        <v>458.50112480445057</v>
      </c>
      <c r="AE263" s="2592">
        <f>(AE$227+SUM(AE$238:AE262))*$G263</f>
        <v>389.21376774917383</v>
      </c>
      <c r="AF263" s="2592">
        <f>(AF$227+SUM(AF$238:AF262))*$G263</f>
        <v>539.682261688582</v>
      </c>
      <c r="AG263" s="2593">
        <f>(AG$227+SUM(AG$238:AG262))*$G263</f>
        <v>308.35866723630238</v>
      </c>
      <c r="AH263" s="2563"/>
      <c r="AI263" s="2564"/>
      <c r="AJ263" s="2564"/>
      <c r="AK263" s="2568"/>
      <c r="AL263" s="2599"/>
      <c r="AM263" s="2599"/>
      <c r="AN263" s="2600"/>
      <c r="AO263" s="2600"/>
      <c r="AP263" s="2600"/>
      <c r="AQ263" s="2600"/>
    </row>
    <row r="264" spans="3:66" hidden="1" outlineLevel="1">
      <c r="C264" s="2594">
        <f t="shared" si="110"/>
        <v>0</v>
      </c>
      <c r="D264" s="2562">
        <f>D263</f>
        <v>2009</v>
      </c>
      <c r="E264" s="2582">
        <v>0</v>
      </c>
      <c r="F264" s="2528">
        <f t="shared" si="113"/>
        <v>40086</v>
      </c>
      <c r="G264" s="2595">
        <f t="shared" si="111"/>
        <v>2.2431862249385537E-2</v>
      </c>
      <c r="H264" s="2596">
        <f t="shared" si="112"/>
        <v>0</v>
      </c>
      <c r="J264" s="2563"/>
      <c r="K264" s="2564"/>
      <c r="L264" s="2564"/>
      <c r="M264" s="2568"/>
      <c r="N264" s="2563"/>
      <c r="O264" s="2564"/>
      <c r="P264" s="2564"/>
      <c r="Q264" s="2568"/>
      <c r="R264" s="2563"/>
      <c r="S264" s="2564"/>
      <c r="T264" s="2564"/>
      <c r="U264" s="2568"/>
      <c r="V264" s="2563"/>
      <c r="W264" s="2564"/>
      <c r="X264" s="2564"/>
      <c r="Y264" s="2568"/>
      <c r="Z264" s="2563"/>
      <c r="AA264" s="2564"/>
      <c r="AB264" s="2564"/>
      <c r="AC264" s="2568"/>
      <c r="AD264" s="2563"/>
      <c r="AE264" s="2564"/>
      <c r="AF264" s="2564"/>
      <c r="AG264" s="2568"/>
      <c r="AH264" s="2563"/>
      <c r="AI264" s="2564"/>
      <c r="AJ264" s="2564"/>
      <c r="AK264" s="2568"/>
    </row>
    <row r="265" spans="3:66" hidden="1" outlineLevel="1">
      <c r="C265" s="2569">
        <f t="shared" si="110"/>
        <v>0</v>
      </c>
      <c r="D265" s="2570">
        <f>D264</f>
        <v>2009</v>
      </c>
      <c r="E265" s="2586">
        <v>0</v>
      </c>
      <c r="F265" s="2572">
        <f t="shared" si="113"/>
        <v>40178</v>
      </c>
      <c r="G265" s="2590">
        <f t="shared" si="111"/>
        <v>2.2431862249385537E-2</v>
      </c>
      <c r="H265" s="2574">
        <f t="shared" si="112"/>
        <v>0</v>
      </c>
      <c r="J265" s="2575"/>
      <c r="K265" s="2576"/>
      <c r="L265" s="2576"/>
      <c r="M265" s="2581"/>
      <c r="N265" s="2575"/>
      <c r="O265" s="2576"/>
      <c r="P265" s="2576"/>
      <c r="Q265" s="2581"/>
      <c r="R265" s="2575"/>
      <c r="S265" s="2576"/>
      <c r="T265" s="2576"/>
      <c r="U265" s="2581"/>
      <c r="V265" s="2575"/>
      <c r="W265" s="2576"/>
      <c r="X265" s="2576"/>
      <c r="Y265" s="2581"/>
      <c r="Z265" s="2575"/>
      <c r="AA265" s="2576"/>
      <c r="AB265" s="2576"/>
      <c r="AC265" s="2581"/>
      <c r="AD265" s="2575"/>
      <c r="AE265" s="2576"/>
      <c r="AF265" s="2576"/>
      <c r="AG265" s="2581"/>
      <c r="AH265" s="2575"/>
      <c r="AI265" s="2576"/>
      <c r="AJ265" s="2576"/>
      <c r="AK265" s="2581"/>
    </row>
    <row r="266" spans="3:66" collapsed="1">
      <c r="K266" s="2673"/>
      <c r="L266" s="2673"/>
      <c r="M266" s="2673"/>
      <c r="N266" s="2673"/>
      <c r="O266" s="2673"/>
      <c r="P266" s="2673"/>
      <c r="Q266" s="2673"/>
      <c r="R266" s="2673"/>
      <c r="S266" s="2673"/>
      <c r="T266" s="2673"/>
      <c r="U266" s="2673"/>
      <c r="V266" s="2673"/>
      <c r="W266" s="2673"/>
      <c r="X266" s="2673"/>
      <c r="Y266" s="2673"/>
      <c r="Z266" s="2673"/>
      <c r="AA266" s="2673"/>
      <c r="AB266" s="2673"/>
      <c r="AC266" s="2673"/>
      <c r="AD266" s="2673"/>
      <c r="AE266" s="2673"/>
      <c r="AF266" s="2673"/>
      <c r="AG266" s="2673"/>
      <c r="AH266" s="2673"/>
      <c r="AI266" s="2673"/>
      <c r="AJ266" s="2673"/>
      <c r="AK266" s="2673"/>
      <c r="AL266" s="2673"/>
      <c r="AM266" s="2673"/>
      <c r="AN266" s="2673"/>
      <c r="AO266" s="2673"/>
      <c r="AP266" s="2673"/>
      <c r="AQ266" s="2673"/>
      <c r="AR266" s="2673"/>
      <c r="AS266" s="2673"/>
      <c r="AT266" s="2673"/>
      <c r="AU266" s="2673"/>
    </row>
    <row r="267" spans="3:66">
      <c r="G267" s="2674"/>
      <c r="H267" s="2675"/>
      <c r="I267" s="5066"/>
      <c r="J267" s="5069"/>
      <c r="K267" s="5069"/>
      <c r="L267" s="5069"/>
      <c r="M267" s="5069"/>
      <c r="N267" s="5069"/>
      <c r="O267" s="5069"/>
      <c r="P267" s="5069"/>
      <c r="Q267" s="5069"/>
      <c r="R267" s="5069"/>
      <c r="S267" s="5069"/>
      <c r="T267" s="5069"/>
      <c r="U267" s="5069"/>
      <c r="V267" s="5070"/>
      <c r="W267" s="5071">
        <f t="shared" ref="W267:BN267" si="114">W10</f>
        <v>2016</v>
      </c>
      <c r="X267" s="5071">
        <f t="shared" si="114"/>
        <v>2017</v>
      </c>
      <c r="Y267" s="5071">
        <f t="shared" si="114"/>
        <v>2018</v>
      </c>
      <c r="Z267" s="5071">
        <f t="shared" si="114"/>
        <v>2019</v>
      </c>
      <c r="AA267" s="5071">
        <f t="shared" si="114"/>
        <v>2020</v>
      </c>
      <c r="AB267" s="5071">
        <f t="shared" si="114"/>
        <v>2021</v>
      </c>
      <c r="AC267" s="2676">
        <f t="shared" si="114"/>
        <v>2022</v>
      </c>
      <c r="AD267" s="2676">
        <f t="shared" si="114"/>
        <v>2023</v>
      </c>
      <c r="AE267" s="2676">
        <f t="shared" si="114"/>
        <v>2024</v>
      </c>
      <c r="AF267" s="2676">
        <f t="shared" si="114"/>
        <v>2025</v>
      </c>
      <c r="AG267" s="2676">
        <f t="shared" si="114"/>
        <v>2026</v>
      </c>
      <c r="AH267" s="2676">
        <f t="shared" si="114"/>
        <v>2027</v>
      </c>
      <c r="AI267" s="2676">
        <f t="shared" si="114"/>
        <v>2028</v>
      </c>
      <c r="AJ267" s="2676">
        <f t="shared" si="114"/>
        <v>2029</v>
      </c>
      <c r="AK267" s="2676">
        <f t="shared" si="114"/>
        <v>2030</v>
      </c>
      <c r="AL267" s="2676">
        <f t="shared" si="114"/>
        <v>2031</v>
      </c>
      <c r="AM267" s="2676">
        <f t="shared" si="114"/>
        <v>2032</v>
      </c>
      <c r="AN267" s="2676">
        <f t="shared" si="114"/>
        <v>2033</v>
      </c>
      <c r="AO267" s="2676">
        <f t="shared" si="114"/>
        <v>2034</v>
      </c>
      <c r="AP267" s="2676">
        <f t="shared" si="114"/>
        <v>2035</v>
      </c>
      <c r="AQ267" s="2676">
        <f t="shared" si="114"/>
        <v>2036</v>
      </c>
      <c r="AR267" s="2676">
        <f t="shared" si="114"/>
        <v>2037</v>
      </c>
      <c r="AS267" s="2676">
        <f t="shared" si="114"/>
        <v>2038</v>
      </c>
      <c r="AT267" s="2676">
        <f t="shared" si="114"/>
        <v>2039</v>
      </c>
      <c r="AU267" s="2676">
        <f t="shared" si="114"/>
        <v>2040</v>
      </c>
      <c r="AV267" s="2676">
        <f t="shared" si="114"/>
        <v>2041</v>
      </c>
      <c r="AW267" s="2676">
        <f t="shared" si="114"/>
        <v>2042</v>
      </c>
      <c r="AX267" s="2676">
        <f t="shared" si="114"/>
        <v>2043</v>
      </c>
      <c r="AY267" s="2676">
        <f t="shared" si="114"/>
        <v>2044</v>
      </c>
      <c r="AZ267" s="2676">
        <f t="shared" si="114"/>
        <v>2045</v>
      </c>
      <c r="BA267" s="2676">
        <f t="shared" si="114"/>
        <v>2046</v>
      </c>
      <c r="BB267" s="2676">
        <f t="shared" si="114"/>
        <v>2047</v>
      </c>
      <c r="BC267" s="2676">
        <f t="shared" si="114"/>
        <v>2048</v>
      </c>
      <c r="BD267" s="2676">
        <f t="shared" si="114"/>
        <v>2049</v>
      </c>
      <c r="BE267" s="2676">
        <f t="shared" si="114"/>
        <v>2050</v>
      </c>
      <c r="BF267" s="2676">
        <f t="shared" si="114"/>
        <v>2051</v>
      </c>
      <c r="BG267" s="2676">
        <f t="shared" si="114"/>
        <v>2052</v>
      </c>
      <c r="BH267" s="2676">
        <f t="shared" si="114"/>
        <v>2053</v>
      </c>
      <c r="BI267" s="2676">
        <f t="shared" si="114"/>
        <v>2054</v>
      </c>
      <c r="BJ267" s="2676">
        <f t="shared" si="114"/>
        <v>2055</v>
      </c>
      <c r="BK267" s="2676">
        <f t="shared" si="114"/>
        <v>2056</v>
      </c>
      <c r="BL267" s="2676">
        <f t="shared" si="114"/>
        <v>2057</v>
      </c>
      <c r="BM267" s="2676">
        <f t="shared" si="114"/>
        <v>2058</v>
      </c>
      <c r="BN267" s="2676">
        <f t="shared" si="114"/>
        <v>2059</v>
      </c>
    </row>
    <row r="268" spans="3:66">
      <c r="G268" s="2521" t="s">
        <v>3990</v>
      </c>
      <c r="H268" s="2677"/>
      <c r="I268" s="5067"/>
      <c r="J268" s="5069"/>
      <c r="K268" s="5069"/>
      <c r="L268" s="5069"/>
      <c r="M268" s="5069"/>
      <c r="N268" s="5069"/>
      <c r="O268" s="5069"/>
      <c r="P268" s="5069"/>
      <c r="Q268" s="5069"/>
      <c r="R268" s="5069"/>
      <c r="S268" s="5069"/>
      <c r="T268" s="5069"/>
      <c r="U268" s="5069"/>
      <c r="V268" s="5070"/>
      <c r="W268" s="5072">
        <f t="shared" ref="W268:AF271" si="115">W11/100</f>
        <v>1285.3329574607371</v>
      </c>
      <c r="X268" s="5072">
        <f t="shared" si="115"/>
        <v>1215.195045942264</v>
      </c>
      <c r="Y268" s="5072">
        <f t="shared" si="115"/>
        <v>1147.8500988821697</v>
      </c>
      <c r="Z268" s="5072">
        <f t="shared" si="115"/>
        <v>1077.9994683040404</v>
      </c>
      <c r="AA268" s="5072">
        <f t="shared" si="115"/>
        <v>1011.1358628189348</v>
      </c>
      <c r="AB268" s="5072">
        <f t="shared" si="115"/>
        <v>977.51058874510773</v>
      </c>
      <c r="AC268" s="2678">
        <f t="shared" ca="1" si="115"/>
        <v>924.97487855435452</v>
      </c>
      <c r="AD268" s="2678">
        <f t="shared" ca="1" si="115"/>
        <v>875.26266805457647</v>
      </c>
      <c r="AE268" s="2678">
        <f t="shared" ca="1" si="115"/>
        <v>828.22220997756335</v>
      </c>
      <c r="AF268" s="2678">
        <f t="shared" ca="1" si="115"/>
        <v>783.70991261945017</v>
      </c>
      <c r="AG268" s="2678">
        <f t="shared" ref="AG268:AP271" ca="1" si="116">AG11/100</f>
        <v>741.58990152488798</v>
      </c>
      <c r="AH268" s="2678">
        <f t="shared" ca="1" si="116"/>
        <v>701.73360472823015</v>
      </c>
      <c r="AI268" s="2678">
        <f t="shared" ca="1" si="116"/>
        <v>664.01936028567911</v>
      </c>
      <c r="AJ268" s="2678">
        <f t="shared" ca="1" si="116"/>
        <v>628.33204490037815</v>
      </c>
      <c r="AK268" s="2678">
        <f t="shared" ca="1" si="116"/>
        <v>594.56272250682082</v>
      </c>
      <c r="AL268" s="2678">
        <f t="shared" ca="1" si="116"/>
        <v>562.60831174187672</v>
      </c>
      <c r="AM268" s="2678">
        <f t="shared" ca="1" si="116"/>
        <v>532.3712712873845</v>
      </c>
      <c r="AN268" s="2678">
        <f t="shared" ca="1" si="116"/>
        <v>503.75930212381604</v>
      </c>
      <c r="AO268" s="2678">
        <f t="shared" ca="1" si="116"/>
        <v>476.68506578613261</v>
      </c>
      <c r="AP268" s="2678">
        <f t="shared" ca="1" si="116"/>
        <v>451.06591776181341</v>
      </c>
      <c r="AQ268" s="2678">
        <f t="shared" ref="AQ268:AZ271" ca="1" si="117">AQ11/100</f>
        <v>426.82365521723875</v>
      </c>
      <c r="AR268" s="2678">
        <f t="shared" ca="1" si="117"/>
        <v>403.88427828236883</v>
      </c>
      <c r="AS268" s="2678">
        <f t="shared" ca="1" si="117"/>
        <v>382.17776416503</v>
      </c>
      <c r="AT268" s="2678">
        <f t="shared" ca="1" si="117"/>
        <v>361.63785340529125</v>
      </c>
      <c r="AU268" s="2678">
        <f t="shared" ca="1" si="117"/>
        <v>342.20184761747009</v>
      </c>
      <c r="AV268" s="2678">
        <f t="shared" ca="1" si="117"/>
        <v>323.81041810236798</v>
      </c>
      <c r="AW268" s="2678">
        <f t="shared" ca="1" si="117"/>
        <v>306.40742474552701</v>
      </c>
      <c r="AX268" s="2678">
        <f t="shared" ca="1" si="117"/>
        <v>289.9397446486891</v>
      </c>
      <c r="AY268" s="2678">
        <f t="shared" ca="1" si="117"/>
        <v>274.35710997135129</v>
      </c>
      <c r="AZ268" s="2678">
        <f t="shared" ca="1" si="117"/>
        <v>259.6119544874287</v>
      </c>
      <c r="BA268" s="2678">
        <f t="shared" ref="BA268:BJ271" ca="1" si="118">BA11/100</f>
        <v>245.65926838863609</v>
      </c>
      <c r="BB268" s="2678">
        <f t="shared" ca="1" si="118"/>
        <v>232.45646089137324</v>
      </c>
      <c r="BC268" s="2678">
        <f t="shared" ca="1" si="118"/>
        <v>219.96323022771878</v>
      </c>
      <c r="BD268" s="2678">
        <f t="shared" ca="1" si="118"/>
        <v>208.14144062367939</v>
      </c>
      <c r="BE268" s="2678">
        <f t="shared" ca="1" si="118"/>
        <v>196.95500588916755</v>
      </c>
      <c r="BF268" s="2678">
        <f t="shared" ca="1" si="118"/>
        <v>186.36977926436481</v>
      </c>
      <c r="BG268" s="2678">
        <f t="shared" ca="1" si="118"/>
        <v>176.35344918622559</v>
      </c>
      <c r="BH268" s="2678">
        <f t="shared" ca="1" si="118"/>
        <v>166.87544065694593</v>
      </c>
      <c r="BI268" s="2678">
        <f t="shared" ca="1" si="118"/>
        <v>157.90682191332485</v>
      </c>
      <c r="BJ268" s="2678">
        <f t="shared" ca="1" si="118"/>
        <v>149.42021611212212</v>
      </c>
      <c r="BK268" s="2678">
        <f t="shared" ref="BK268:BN271" ca="1" si="119">BK11/100</f>
        <v>141.38971776183436</v>
      </c>
      <c r="BL268" s="2678">
        <f t="shared" ca="1" si="119"/>
        <v>133.79081364579403</v>
      </c>
      <c r="BM268" s="2678">
        <f t="shared" ca="1" si="119"/>
        <v>126.60030799520669</v>
      </c>
      <c r="BN268" s="2678">
        <f t="shared" ca="1" si="119"/>
        <v>124.10756948848672</v>
      </c>
    </row>
    <row r="269" spans="3:66">
      <c r="G269" s="2521" t="s">
        <v>3991</v>
      </c>
      <c r="H269" s="2677"/>
      <c r="I269" s="5067"/>
      <c r="J269" s="5069"/>
      <c r="K269" s="5069"/>
      <c r="L269" s="5069"/>
      <c r="M269" s="5069"/>
      <c r="N269" s="5069"/>
      <c r="O269" s="5069"/>
      <c r="P269" s="5069"/>
      <c r="Q269" s="5069"/>
      <c r="R269" s="5069"/>
      <c r="S269" s="5069"/>
      <c r="T269" s="5069"/>
      <c r="U269" s="5069"/>
      <c r="V269" s="5070"/>
      <c r="W269" s="5072">
        <f t="shared" si="115"/>
        <v>1889.9213799200534</v>
      </c>
      <c r="X269" s="5072">
        <f t="shared" si="115"/>
        <v>1850.7469525535207</v>
      </c>
      <c r="Y269" s="5072">
        <f t="shared" si="115"/>
        <v>1825.7744010585586</v>
      </c>
      <c r="Z269" s="5072">
        <f t="shared" si="115"/>
        <v>1793.425529278458</v>
      </c>
      <c r="AA269" s="5072">
        <f t="shared" si="115"/>
        <v>1860.3580088636861</v>
      </c>
      <c r="AB269" s="5072">
        <f t="shared" si="115"/>
        <v>1840.3760476005971</v>
      </c>
      <c r="AC269" s="2678">
        <f t="shared" ca="1" si="115"/>
        <v>1704.7612126252061</v>
      </c>
      <c r="AD269" s="2678">
        <f t="shared" ca="1" si="115"/>
        <v>1657.4056816320215</v>
      </c>
      <c r="AE269" s="2678">
        <f t="shared" ca="1" si="115"/>
        <v>1643.6302939435891</v>
      </c>
      <c r="AF269" s="2678">
        <f t="shared" ca="1" si="115"/>
        <v>1637.2261864978582</v>
      </c>
      <c r="AG269" s="2678">
        <f t="shared" ca="1" si="116"/>
        <v>1488.0048666972871</v>
      </c>
      <c r="AH269" s="2678">
        <f t="shared" ca="1" si="116"/>
        <v>1294.8725049609527</v>
      </c>
      <c r="AI269" s="2678">
        <f t="shared" ca="1" si="116"/>
        <v>1229.4400230077435</v>
      </c>
      <c r="AJ269" s="2678">
        <f t="shared" ca="1" si="116"/>
        <v>1234.0333974454149</v>
      </c>
      <c r="AK269" s="2678">
        <f t="shared" ca="1" si="116"/>
        <v>1228.6680828850986</v>
      </c>
      <c r="AL269" s="2678">
        <f t="shared" ca="1" si="116"/>
        <v>1222.0708360684453</v>
      </c>
      <c r="AM269" s="2678">
        <f t="shared" ca="1" si="116"/>
        <v>1211.404900128425</v>
      </c>
      <c r="AN269" s="2678">
        <f t="shared" ca="1" si="116"/>
        <v>1190.1696301926404</v>
      </c>
      <c r="AO269" s="2678">
        <f t="shared" ca="1" si="116"/>
        <v>1158.994165732418</v>
      </c>
      <c r="AP269" s="2678">
        <f t="shared" ca="1" si="116"/>
        <v>1117.2733621377397</v>
      </c>
      <c r="AQ269" s="2678">
        <f t="shared" ca="1" si="117"/>
        <v>1069.0770152781249</v>
      </c>
      <c r="AR269" s="2678">
        <f t="shared" ca="1" si="117"/>
        <v>1027.3074876759822</v>
      </c>
      <c r="AS269" s="2678">
        <f t="shared" ca="1" si="117"/>
        <v>983.88494654205942</v>
      </c>
      <c r="AT269" s="2678">
        <f t="shared" ca="1" si="117"/>
        <v>935.85138703652137</v>
      </c>
      <c r="AU269" s="2678">
        <f t="shared" ca="1" si="117"/>
        <v>893.01495589268279</v>
      </c>
      <c r="AV269" s="2678">
        <f t="shared" ca="1" si="117"/>
        <v>846.03030318799324</v>
      </c>
      <c r="AW269" s="2678">
        <f t="shared" ca="1" si="117"/>
        <v>793.25280824988022</v>
      </c>
      <c r="AX269" s="2678">
        <f t="shared" ca="1" si="117"/>
        <v>745.22137593399032</v>
      </c>
      <c r="AY269" s="2678">
        <f t="shared" ca="1" si="117"/>
        <v>693.19210965512934</v>
      </c>
      <c r="AZ269" s="2678">
        <f t="shared" ca="1" si="117"/>
        <v>637.83940384001244</v>
      </c>
      <c r="BA269" s="2678">
        <f t="shared" ca="1" si="118"/>
        <v>585.54217559061215</v>
      </c>
      <c r="BB269" s="2678">
        <f t="shared" ca="1" si="118"/>
        <v>533.53155797734678</v>
      </c>
      <c r="BC269" s="2678">
        <f t="shared" ca="1" si="118"/>
        <v>504.00838194358289</v>
      </c>
      <c r="BD269" s="2678">
        <f t="shared" ca="1" si="118"/>
        <v>480.33720078635235</v>
      </c>
      <c r="BE269" s="2678">
        <f t="shared" ca="1" si="118"/>
        <v>437.68630500746133</v>
      </c>
      <c r="BF269" s="2678">
        <f t="shared" ca="1" si="118"/>
        <v>391.74095825397592</v>
      </c>
      <c r="BG269" s="2678">
        <f t="shared" ca="1" si="118"/>
        <v>351.42986103700326</v>
      </c>
      <c r="BH269" s="2678">
        <f t="shared" ca="1" si="118"/>
        <v>311.79593307468173</v>
      </c>
      <c r="BI269" s="2678">
        <f t="shared" ca="1" si="118"/>
        <v>270.87440317344567</v>
      </c>
      <c r="BJ269" s="2678">
        <f t="shared" ca="1" si="118"/>
        <v>234.56340009679414</v>
      </c>
      <c r="BK269" s="2678">
        <f t="shared" ca="1" si="119"/>
        <v>204.42939303380757</v>
      </c>
      <c r="BL269" s="2678">
        <f t="shared" ca="1" si="119"/>
        <v>181.47352195562632</v>
      </c>
      <c r="BM269" s="2678">
        <f t="shared" ca="1" si="119"/>
        <v>168.65801157418213</v>
      </c>
      <c r="BN269" s="2678">
        <f t="shared" ca="1" si="119"/>
        <v>165.33716404564609</v>
      </c>
    </row>
    <row r="270" spans="3:66">
      <c r="G270" s="2521" t="s">
        <v>3992</v>
      </c>
      <c r="H270" s="2677"/>
      <c r="I270" s="5067"/>
      <c r="J270" s="5069"/>
      <c r="K270" s="5069"/>
      <c r="L270" s="5069"/>
      <c r="M270" s="5069"/>
      <c r="N270" s="5069"/>
      <c r="O270" s="5069"/>
      <c r="P270" s="5069"/>
      <c r="Q270" s="5069"/>
      <c r="R270" s="5069"/>
      <c r="S270" s="5069"/>
      <c r="T270" s="5069"/>
      <c r="U270" s="5069"/>
      <c r="V270" s="5070"/>
      <c r="W270" s="5072">
        <f t="shared" si="115"/>
        <v>1859.8350205404138</v>
      </c>
      <c r="X270" s="5072">
        <f t="shared" si="115"/>
        <v>1818.5118047408541</v>
      </c>
      <c r="Y270" s="5072">
        <f t="shared" si="115"/>
        <v>1791.7452245979471</v>
      </c>
      <c r="Z270" s="5072">
        <f t="shared" si="115"/>
        <v>1758.1045595720695</v>
      </c>
      <c r="AA270" s="5072">
        <f t="shared" si="115"/>
        <v>1824.0738255963201</v>
      </c>
      <c r="AB270" s="5072">
        <f t="shared" si="115"/>
        <v>1802.2493605807949</v>
      </c>
      <c r="AC270" s="2678">
        <f t="shared" ca="1" si="115"/>
        <v>1665.798362396514</v>
      </c>
      <c r="AD270" s="2678">
        <f t="shared" ca="1" si="115"/>
        <v>1617.806673746602</v>
      </c>
      <c r="AE270" s="2678">
        <f t="shared" ca="1" si="115"/>
        <v>1603.5760508243764</v>
      </c>
      <c r="AF270" s="2678">
        <f t="shared" ca="1" si="115"/>
        <v>1596.8800209529052</v>
      </c>
      <c r="AG270" s="2678">
        <f t="shared" ca="1" si="116"/>
        <v>1447.5138521687011</v>
      </c>
      <c r="AH270" s="2678">
        <f t="shared" ca="1" si="116"/>
        <v>1254.368749352102</v>
      </c>
      <c r="AI270" s="2678">
        <f t="shared" ca="1" si="116"/>
        <v>1189.0418524950819</v>
      </c>
      <c r="AJ270" s="2678">
        <f t="shared" ca="1" si="116"/>
        <v>1193.8464562711699</v>
      </c>
      <c r="AK270" s="2678">
        <f t="shared" ca="1" si="116"/>
        <v>1188.7863547425438</v>
      </c>
      <c r="AL270" s="2678">
        <f t="shared" ca="1" si="116"/>
        <v>1182.5775923309711</v>
      </c>
      <c r="AM270" s="2678">
        <f t="shared" ca="1" si="116"/>
        <v>1172.3735798356438</v>
      </c>
      <c r="AN270" s="2678">
        <f t="shared" ca="1" si="116"/>
        <v>1151.6646563899617</v>
      </c>
      <c r="AO270" s="2678">
        <f t="shared" ca="1" si="116"/>
        <v>1121.0717024635751</v>
      </c>
      <c r="AP270" s="2678">
        <f t="shared" ca="1" si="116"/>
        <v>1079.9820161114515</v>
      </c>
      <c r="AQ270" s="2678">
        <f t="shared" ca="1" si="117"/>
        <v>1032.4584859692479</v>
      </c>
      <c r="AR270" s="2678">
        <f t="shared" ca="1" si="117"/>
        <v>991.39716937714604</v>
      </c>
      <c r="AS270" s="2678">
        <f t="shared" ca="1" si="117"/>
        <v>948.71248565276778</v>
      </c>
      <c r="AT270" s="2678">
        <f t="shared" ca="1" si="117"/>
        <v>901.44119766219092</v>
      </c>
      <c r="AU270" s="2678">
        <f t="shared" ca="1" si="117"/>
        <v>859.3866966251278</v>
      </c>
      <c r="AV270" s="2678">
        <f t="shared" ca="1" si="117"/>
        <v>813.19931775062662</v>
      </c>
      <c r="AW270" s="2678">
        <f t="shared" ca="1" si="117"/>
        <v>761.2305325146076</v>
      </c>
      <c r="AX270" s="2678">
        <f t="shared" ca="1" si="117"/>
        <v>714.01571365167706</v>
      </c>
      <c r="AY270" s="2678">
        <f t="shared" ca="1" si="117"/>
        <v>662.80777908692801</v>
      </c>
      <c r="AZ270" s="2678">
        <f t="shared" ca="1" si="117"/>
        <v>608.27825733210295</v>
      </c>
      <c r="BA270" s="2678">
        <f t="shared" ca="1" si="118"/>
        <v>556.80349399939803</v>
      </c>
      <c r="BB270" s="2678">
        <f t="shared" ca="1" si="118"/>
        <v>505.61232172532664</v>
      </c>
      <c r="BC270" s="2678">
        <f t="shared" ca="1" si="118"/>
        <v>476.9035203674008</v>
      </c>
      <c r="BD270" s="2678">
        <f t="shared" ca="1" si="118"/>
        <v>454.03982132744068</v>
      </c>
      <c r="BE270" s="2678">
        <f t="shared" ca="1" si="118"/>
        <v>412.1879036917399</v>
      </c>
      <c r="BF270" s="2678">
        <f t="shared" ca="1" si="118"/>
        <v>367.03161280981448</v>
      </c>
      <c r="BG270" s="2678">
        <f t="shared" ca="1" si="118"/>
        <v>327.49840790967869</v>
      </c>
      <c r="BH270" s="2678">
        <f t="shared" ca="1" si="118"/>
        <v>288.63012951046227</v>
      </c>
      <c r="BI270" s="2678">
        <f t="shared" ca="1" si="118"/>
        <v>248.46107546685042</v>
      </c>
      <c r="BJ270" s="2678">
        <f t="shared" ca="1" si="118"/>
        <v>212.88857902015897</v>
      </c>
      <c r="BK270" s="2678">
        <f t="shared" ca="1" si="119"/>
        <v>183.4784373987066</v>
      </c>
      <c r="BL270" s="2678">
        <f t="shared" ca="1" si="119"/>
        <v>161.23123119066287</v>
      </c>
      <c r="BM270" s="2678">
        <f t="shared" ca="1" si="119"/>
        <v>148.9128999121296</v>
      </c>
      <c r="BN270" s="2678">
        <f t="shared" ca="1" si="119"/>
        <v>145.98083026998927</v>
      </c>
    </row>
    <row r="271" spans="3:66">
      <c r="G271" s="2521" t="s">
        <v>3993</v>
      </c>
      <c r="H271" s="2677"/>
      <c r="I271" s="5067"/>
      <c r="J271" s="5069"/>
      <c r="K271" s="5069"/>
      <c r="L271" s="5069"/>
      <c r="M271" s="5069"/>
      <c r="N271" s="5069"/>
      <c r="O271" s="5069"/>
      <c r="P271" s="5069"/>
      <c r="Q271" s="5069"/>
      <c r="R271" s="5069"/>
      <c r="S271" s="5069"/>
      <c r="T271" s="5069"/>
      <c r="U271" s="5069"/>
      <c r="V271" s="5070"/>
      <c r="W271" s="5072">
        <f t="shared" si="115"/>
        <v>1874.4335289065909</v>
      </c>
      <c r="X271" s="5072">
        <f t="shared" si="115"/>
        <v>1834.1529485924641</v>
      </c>
      <c r="Y271" s="5072">
        <f t="shared" si="115"/>
        <v>1808.2568673323135</v>
      </c>
      <c r="Z271" s="5072">
        <f t="shared" si="115"/>
        <v>1775.2430064427517</v>
      </c>
      <c r="AA271" s="5072">
        <f t="shared" si="115"/>
        <v>1841.6796431133114</v>
      </c>
      <c r="AB271" s="5072">
        <f t="shared" si="115"/>
        <v>1820.7491980789096</v>
      </c>
      <c r="AC271" s="2678">
        <f t="shared" ca="1" si="115"/>
        <v>1684.7039231476963</v>
      </c>
      <c r="AD271" s="2678">
        <f t="shared" ca="1" si="115"/>
        <v>1637.020911023141</v>
      </c>
      <c r="AE271" s="2678">
        <f t="shared" ca="1" si="115"/>
        <v>1623.0111774177399</v>
      </c>
      <c r="AF271" s="2678">
        <f t="shared" ca="1" si="115"/>
        <v>1616.4567941948596</v>
      </c>
      <c r="AG271" s="2678">
        <f t="shared" ca="1" si="116"/>
        <v>1467.160909058894</v>
      </c>
      <c r="AH271" s="2678">
        <f t="shared" ca="1" si="116"/>
        <v>1274.0219884714068</v>
      </c>
      <c r="AI271" s="2678">
        <f t="shared" ca="1" si="116"/>
        <v>1208.6438595962284</v>
      </c>
      <c r="AJ271" s="2678">
        <f t="shared" ca="1" si="116"/>
        <v>1213.3459706371484</v>
      </c>
      <c r="AK271" s="2678">
        <f t="shared" ca="1" si="116"/>
        <v>1208.1377735898732</v>
      </c>
      <c r="AL271" s="2678">
        <f t="shared" ca="1" si="116"/>
        <v>1201.7405107098277</v>
      </c>
      <c r="AM271" s="2678">
        <f t="shared" ca="1" si="116"/>
        <v>1191.3123636428563</v>
      </c>
      <c r="AN271" s="2678">
        <f t="shared" ca="1" si="116"/>
        <v>1170.3480462645848</v>
      </c>
      <c r="AO271" s="2678">
        <f t="shared" ca="1" si="116"/>
        <v>1139.4724464788474</v>
      </c>
      <c r="AP271" s="2678">
        <f t="shared" ca="1" si="116"/>
        <v>1098.0765293119809</v>
      </c>
      <c r="AQ271" s="2678">
        <f t="shared" ca="1" si="117"/>
        <v>1050.2265349288207</v>
      </c>
      <c r="AR271" s="2678">
        <f t="shared" ca="1" si="117"/>
        <v>1008.8215800711299</v>
      </c>
      <c r="AS271" s="2678">
        <f t="shared" ca="1" si="117"/>
        <v>965.77887305020204</v>
      </c>
      <c r="AT271" s="2678">
        <f t="shared" ca="1" si="117"/>
        <v>918.13771554673247</v>
      </c>
      <c r="AU271" s="2678">
        <f t="shared" ca="1" si="117"/>
        <v>875.7038062515453</v>
      </c>
      <c r="AV271" s="2678">
        <f t="shared" ca="1" si="117"/>
        <v>829.12957403486098</v>
      </c>
      <c r="AW271" s="2678">
        <f t="shared" ca="1" si="117"/>
        <v>776.76838654096616</v>
      </c>
      <c r="AX271" s="2678">
        <f t="shared" ca="1" si="117"/>
        <v>729.15733036083407</v>
      </c>
      <c r="AY271" s="2678">
        <f t="shared" ca="1" si="117"/>
        <v>677.55086908341195</v>
      </c>
      <c r="AZ271" s="2678">
        <f t="shared" ca="1" si="117"/>
        <v>622.62192182018828</v>
      </c>
      <c r="BA271" s="2678">
        <f t="shared" ca="1" si="118"/>
        <v>570.74808192206183</v>
      </c>
      <c r="BB271" s="2678">
        <f t="shared" ca="1" si="118"/>
        <v>519.15929824247269</v>
      </c>
      <c r="BC271" s="2678">
        <f t="shared" ca="1" si="118"/>
        <v>490.05534586715692</v>
      </c>
      <c r="BD271" s="2678">
        <f t="shared" ca="1" si="118"/>
        <v>466.79984021823589</v>
      </c>
      <c r="BE271" s="2678">
        <f t="shared" ca="1" si="118"/>
        <v>424.56024227330994</v>
      </c>
      <c r="BF271" s="2678">
        <f t="shared" ca="1" si="118"/>
        <v>379.02108556847162</v>
      </c>
      <c r="BG271" s="2678">
        <f t="shared" ca="1" si="118"/>
        <v>339.11043162732591</v>
      </c>
      <c r="BH271" s="2678">
        <f t="shared" ca="1" si="118"/>
        <v>299.8706446181277</v>
      </c>
      <c r="BI271" s="2678">
        <f t="shared" ca="1" si="118"/>
        <v>259.33647411212633</v>
      </c>
      <c r="BJ271" s="2678">
        <f t="shared" ca="1" si="118"/>
        <v>223.40563935404563</v>
      </c>
      <c r="BK271" s="2678">
        <f t="shared" ca="1" si="119"/>
        <v>193.64426362111823</v>
      </c>
      <c r="BL271" s="2678">
        <f t="shared" ca="1" si="119"/>
        <v>171.05319892541297</v>
      </c>
      <c r="BM271" s="2678">
        <f t="shared" ca="1" si="119"/>
        <v>158.49362631881658</v>
      </c>
      <c r="BN271" s="2678">
        <f t="shared" ca="1" si="119"/>
        <v>155.37291380515015</v>
      </c>
    </row>
    <row r="272" spans="3:66">
      <c r="G272" s="2679"/>
      <c r="H272" s="2397"/>
      <c r="I272" s="5067"/>
      <c r="J272" s="5069"/>
      <c r="K272" s="5069"/>
      <c r="L272" s="5069"/>
      <c r="M272" s="5069"/>
      <c r="N272" s="5069"/>
      <c r="O272" s="5069"/>
      <c r="P272" s="5069"/>
      <c r="Q272" s="5069"/>
      <c r="R272" s="5069"/>
      <c r="S272" s="5069"/>
      <c r="T272" s="5069"/>
      <c r="U272" s="5069"/>
      <c r="V272" s="5070"/>
      <c r="W272" s="5073"/>
      <c r="X272" s="5073"/>
      <c r="Y272" s="5073"/>
      <c r="Z272" s="5073"/>
      <c r="AA272" s="5073"/>
      <c r="AB272" s="5073"/>
      <c r="AC272" s="2680"/>
      <c r="AD272" s="2680"/>
      <c r="AE272" s="2680"/>
      <c r="AF272" s="2680"/>
      <c r="AG272" s="2680"/>
      <c r="AH272" s="2680"/>
      <c r="AI272" s="2680"/>
      <c r="AJ272" s="2680"/>
      <c r="AK272" s="2680"/>
      <c r="AL272" s="2680"/>
      <c r="AM272" s="2680"/>
      <c r="AN272" s="2680"/>
      <c r="AO272" s="2680"/>
      <c r="AP272" s="2680"/>
      <c r="AQ272" s="2680"/>
      <c r="AR272" s="2680"/>
      <c r="AS272" s="2680"/>
      <c r="AT272" s="2680"/>
      <c r="AU272" s="2680"/>
      <c r="AV272" s="2680"/>
      <c r="AW272" s="2680"/>
      <c r="AX272" s="2680"/>
      <c r="AY272" s="2680"/>
      <c r="AZ272" s="2680"/>
      <c r="BA272" s="2680"/>
      <c r="BB272" s="2680"/>
      <c r="BC272" s="2680"/>
      <c r="BD272" s="2680"/>
      <c r="BE272" s="2680"/>
      <c r="BF272" s="2680"/>
      <c r="BG272" s="2680"/>
      <c r="BH272" s="2680"/>
      <c r="BI272" s="2680"/>
      <c r="BJ272" s="2680"/>
      <c r="BK272" s="2680"/>
      <c r="BL272" s="2680"/>
      <c r="BM272" s="2680"/>
      <c r="BN272" s="2680"/>
    </row>
    <row r="273" spans="7:66">
      <c r="G273" s="2681"/>
      <c r="H273" s="2386"/>
      <c r="I273" s="5067"/>
      <c r="J273" s="5069"/>
      <c r="K273" s="5069"/>
      <c r="L273" s="5069"/>
      <c r="M273" s="5069"/>
      <c r="N273" s="5069"/>
      <c r="O273" s="5069"/>
      <c r="P273" s="5069"/>
      <c r="Q273" s="5069"/>
      <c r="R273" s="5069"/>
      <c r="S273" s="5069"/>
      <c r="T273" s="5069"/>
      <c r="U273" s="5069"/>
      <c r="V273" s="5070"/>
      <c r="W273" s="5074"/>
      <c r="X273" s="5074"/>
      <c r="Y273" s="5074"/>
      <c r="Z273" s="5074"/>
      <c r="AA273" s="5074"/>
      <c r="AB273" s="5074"/>
      <c r="AC273" s="2682"/>
      <c r="AD273" s="2682"/>
      <c r="AE273" s="2682"/>
      <c r="AF273" s="2682"/>
      <c r="AG273" s="2682"/>
      <c r="AH273" s="2682"/>
      <c r="AI273" s="2682"/>
      <c r="AJ273" s="2682"/>
      <c r="AK273" s="2682"/>
      <c r="AL273" s="2682"/>
      <c r="AM273" s="2682"/>
      <c r="AN273" s="2682"/>
      <c r="AO273" s="2682"/>
      <c r="AP273" s="2682"/>
      <c r="AQ273" s="2682"/>
      <c r="AR273" s="2682"/>
      <c r="AS273" s="2682"/>
      <c r="AT273" s="2682"/>
      <c r="AU273" s="2682"/>
      <c r="AV273" s="2682"/>
      <c r="AW273" s="2682"/>
      <c r="AX273" s="2682"/>
      <c r="AY273" s="2682"/>
      <c r="AZ273" s="2682"/>
      <c r="BA273" s="2682"/>
      <c r="BB273" s="2682"/>
      <c r="BC273" s="2682"/>
      <c r="BD273" s="2682"/>
      <c r="BE273" s="2682"/>
      <c r="BF273" s="2682"/>
      <c r="BG273" s="2682"/>
      <c r="BH273" s="2682"/>
      <c r="BI273" s="2682"/>
      <c r="BJ273" s="2682"/>
      <c r="BK273" s="2682"/>
      <c r="BL273" s="2682"/>
      <c r="BM273" s="2682"/>
      <c r="BN273" s="2682"/>
    </row>
    <row r="274" spans="7:66">
      <c r="G274" s="2683" t="s">
        <v>3994</v>
      </c>
      <c r="H274" s="2493"/>
      <c r="I274" s="5067"/>
      <c r="J274" s="5069"/>
      <c r="K274" s="5069"/>
      <c r="L274" s="5069"/>
      <c r="M274" s="5069"/>
      <c r="N274" s="5069"/>
      <c r="O274" s="5069"/>
      <c r="P274" s="5069"/>
      <c r="Q274" s="5069"/>
      <c r="R274" s="5069"/>
      <c r="S274" s="5069"/>
      <c r="T274" s="5069"/>
      <c r="U274" s="5069"/>
      <c r="V274" s="5070"/>
      <c r="W274" s="5075"/>
      <c r="X274" s="5075"/>
      <c r="Y274" s="5075"/>
      <c r="Z274" s="5075"/>
      <c r="AA274" s="5075"/>
      <c r="AB274" s="5075">
        <f>BS!L45</f>
        <v>574</v>
      </c>
      <c r="AC274" s="2684">
        <f>BS!M45</f>
        <v>574</v>
      </c>
      <c r="AD274" s="2684">
        <f>BS!N45</f>
        <v>574</v>
      </c>
      <c r="AE274" s="2684">
        <f>BS!O45</f>
        <v>574</v>
      </c>
      <c r="AF274" s="2684">
        <f>BS!P45</f>
        <v>574</v>
      </c>
      <c r="AG274" s="2684">
        <f>BS!Q45</f>
        <v>574</v>
      </c>
      <c r="AH274" s="2684">
        <f>BS!R45</f>
        <v>574</v>
      </c>
      <c r="AI274" s="2684">
        <f>BS!S45</f>
        <v>574</v>
      </c>
      <c r="AJ274" s="2684">
        <f>BS!T45</f>
        <v>574</v>
      </c>
      <c r="AK274" s="2684">
        <f>BS!U45</f>
        <v>574</v>
      </c>
      <c r="AL274" s="2684">
        <f>BS!V45</f>
        <v>574</v>
      </c>
      <c r="AM274" s="2684">
        <f>BS!W45</f>
        <v>574</v>
      </c>
      <c r="AN274" s="2684">
        <f>BS!X45</f>
        <v>574</v>
      </c>
      <c r="AO274" s="2684">
        <f>BS!Y45</f>
        <v>574</v>
      </c>
      <c r="AP274" s="2684">
        <f>BS!Z45</f>
        <v>574</v>
      </c>
      <c r="AQ274" s="2684">
        <f>BS!AA45</f>
        <v>574</v>
      </c>
      <c r="AR274" s="2684">
        <f>BS!AB45</f>
        <v>574</v>
      </c>
      <c r="AS274" s="2684">
        <f>BS!AC45</f>
        <v>574</v>
      </c>
      <c r="AT274" s="2684">
        <f>BS!AD45</f>
        <v>574</v>
      </c>
      <c r="AU274" s="2684">
        <f>BS!AE45</f>
        <v>574</v>
      </c>
      <c r="AV274" s="2684">
        <f>BS!AF45</f>
        <v>574</v>
      </c>
      <c r="AW274" s="2684">
        <f>BS!AG45</f>
        <v>574</v>
      </c>
      <c r="AX274" s="2684">
        <f>BS!AH45</f>
        <v>574</v>
      </c>
      <c r="AY274" s="2684">
        <f>BS!AI45</f>
        <v>574</v>
      </c>
      <c r="AZ274" s="2684">
        <f>BS!AJ45</f>
        <v>574</v>
      </c>
      <c r="BA274" s="2684">
        <f>BS!AK45</f>
        <v>574</v>
      </c>
      <c r="BB274" s="2684">
        <f>BS!AL45</f>
        <v>574</v>
      </c>
      <c r="BC274" s="2684">
        <f>BS!AM45</f>
        <v>574</v>
      </c>
      <c r="BD274" s="2684">
        <f>BS!AN45</f>
        <v>574</v>
      </c>
      <c r="BE274" s="2684">
        <f>BS!AO45</f>
        <v>574</v>
      </c>
      <c r="BF274" s="2684">
        <f>BS!AP45</f>
        <v>574</v>
      </c>
      <c r="BG274" s="2684">
        <f>BS!AQ45</f>
        <v>574</v>
      </c>
      <c r="BH274" s="2684">
        <f>BS!AR45</f>
        <v>574</v>
      </c>
      <c r="BI274" s="2684">
        <f>BS!AS45</f>
        <v>574</v>
      </c>
      <c r="BJ274" s="2684">
        <f>BS!AT45</f>
        <v>574</v>
      </c>
      <c r="BK274" s="2684">
        <f>BS!AU45</f>
        <v>574</v>
      </c>
      <c r="BL274" s="2684">
        <f>BS!AV45</f>
        <v>574</v>
      </c>
      <c r="BM274" s="2684">
        <f>BS!AW45</f>
        <v>574</v>
      </c>
      <c r="BN274" s="2684">
        <f>BS!AX45</f>
        <v>0</v>
      </c>
    </row>
    <row r="275" spans="7:66">
      <c r="G275" s="2354" t="s">
        <v>3995</v>
      </c>
      <c r="H275" s="2535"/>
      <c r="I275" s="5067"/>
      <c r="J275" s="5069"/>
      <c r="K275" s="5069"/>
      <c r="L275" s="5069"/>
      <c r="M275" s="5069"/>
      <c r="N275" s="5069"/>
      <c r="O275" s="5069"/>
      <c r="P275" s="5069"/>
      <c r="Q275" s="5069"/>
      <c r="R275" s="5069"/>
      <c r="S275" s="5069"/>
      <c r="T275" s="5069"/>
      <c r="U275" s="5069"/>
      <c r="V275" s="5070"/>
      <c r="W275" s="5076"/>
      <c r="X275" s="5076"/>
      <c r="Y275" s="5076"/>
      <c r="Z275" s="5076"/>
      <c r="AA275" s="5076"/>
      <c r="AB275" s="5076">
        <f>BS!L46</f>
        <v>106</v>
      </c>
      <c r="AC275" s="2685">
        <f>BS!M46</f>
        <v>106</v>
      </c>
      <c r="AD275" s="2685">
        <f>BS!N46</f>
        <v>106</v>
      </c>
      <c r="AE275" s="2685">
        <f>BS!O46</f>
        <v>106</v>
      </c>
      <c r="AF275" s="2685">
        <f>BS!P46</f>
        <v>106</v>
      </c>
      <c r="AG275" s="2685">
        <f>BS!Q46</f>
        <v>106</v>
      </c>
      <c r="AH275" s="2685">
        <f>BS!R46</f>
        <v>106</v>
      </c>
      <c r="AI275" s="2685">
        <f>BS!S46</f>
        <v>106</v>
      </c>
      <c r="AJ275" s="2685">
        <f>BS!T46</f>
        <v>106</v>
      </c>
      <c r="AK275" s="2685">
        <f>BS!U46</f>
        <v>106</v>
      </c>
      <c r="AL275" s="2685">
        <f>BS!V46</f>
        <v>106</v>
      </c>
      <c r="AM275" s="2685">
        <f>BS!W46</f>
        <v>106</v>
      </c>
      <c r="AN275" s="2685">
        <f>BS!X46</f>
        <v>106</v>
      </c>
      <c r="AO275" s="2685">
        <f>BS!Y46</f>
        <v>106</v>
      </c>
      <c r="AP275" s="2685">
        <f>BS!Z46</f>
        <v>106</v>
      </c>
      <c r="AQ275" s="2685">
        <f>BS!AA46</f>
        <v>106</v>
      </c>
      <c r="AR275" s="2685">
        <f>BS!AB46</f>
        <v>106</v>
      </c>
      <c r="AS275" s="2685">
        <f>BS!AC46</f>
        <v>106</v>
      </c>
      <c r="AT275" s="2685">
        <f>BS!AD46</f>
        <v>106</v>
      </c>
      <c r="AU275" s="2685">
        <f>BS!AE46</f>
        <v>106</v>
      </c>
      <c r="AV275" s="2685">
        <f>BS!AF46</f>
        <v>106</v>
      </c>
      <c r="AW275" s="2685">
        <f>BS!AG46</f>
        <v>106</v>
      </c>
      <c r="AX275" s="2685">
        <f>BS!AH46</f>
        <v>106</v>
      </c>
      <c r="AY275" s="2685">
        <f>BS!AI46</f>
        <v>106</v>
      </c>
      <c r="AZ275" s="2685">
        <f>BS!AJ46</f>
        <v>106</v>
      </c>
      <c r="BA275" s="2685">
        <f>BS!AK46</f>
        <v>106</v>
      </c>
      <c r="BB275" s="2685">
        <f>BS!AL46</f>
        <v>106</v>
      </c>
      <c r="BC275" s="2685">
        <f>BS!AM46</f>
        <v>106</v>
      </c>
      <c r="BD275" s="2685">
        <f>BS!AN46</f>
        <v>106</v>
      </c>
      <c r="BE275" s="2685">
        <f>BS!AO46</f>
        <v>106</v>
      </c>
      <c r="BF275" s="2685">
        <f>BS!AP46</f>
        <v>106</v>
      </c>
      <c r="BG275" s="2685">
        <f>BS!AQ46</f>
        <v>106</v>
      </c>
      <c r="BH275" s="2685">
        <f>BS!AR46</f>
        <v>106</v>
      </c>
      <c r="BI275" s="2685">
        <f>BS!AS46</f>
        <v>106</v>
      </c>
      <c r="BJ275" s="2685">
        <f>BS!AT46</f>
        <v>106</v>
      </c>
      <c r="BK275" s="2685">
        <f>BS!AU46</f>
        <v>106</v>
      </c>
      <c r="BL275" s="2685">
        <f>BS!AV46</f>
        <v>106</v>
      </c>
      <c r="BM275" s="2685">
        <f>BS!AW46</f>
        <v>106</v>
      </c>
      <c r="BN275" s="2685">
        <f>BS!AX46</f>
        <v>0</v>
      </c>
    </row>
    <row r="276" spans="7:66">
      <c r="G276" s="2679" t="s">
        <v>4972</v>
      </c>
      <c r="H276" s="2397"/>
      <c r="I276" s="5067"/>
      <c r="J276" s="5069"/>
      <c r="K276" s="5069"/>
      <c r="L276" s="5069"/>
      <c r="M276" s="5069"/>
      <c r="N276" s="5069"/>
      <c r="O276" s="5069"/>
      <c r="P276" s="5069"/>
      <c r="Q276" s="5069"/>
      <c r="R276" s="5069"/>
      <c r="S276" s="5069"/>
      <c r="T276" s="5069"/>
      <c r="U276" s="5069"/>
      <c r="V276" s="5070"/>
      <c r="W276" s="5073"/>
      <c r="X276" s="5073"/>
      <c r="Y276" s="5073"/>
      <c r="Z276" s="5073"/>
      <c r="AA276" s="5073"/>
      <c r="AB276" s="5073">
        <f>차입금상환!J104</f>
        <v>955.06349999999975</v>
      </c>
      <c r="AC276" s="2680">
        <f>차입금상환!K104</f>
        <v>796.43990999999983</v>
      </c>
      <c r="AD276" s="2680">
        <f>차입금상환!L104</f>
        <v>631.17239999999981</v>
      </c>
      <c r="AE276" s="2680">
        <f>차입금상환!M104</f>
        <v>465.07439999999986</v>
      </c>
      <c r="AF276" s="2680">
        <f>차입금상환!N104</f>
        <v>253.29944999999987</v>
      </c>
      <c r="AG276" s="2680">
        <f>차입금상환!O104</f>
        <v>109.62467999999987</v>
      </c>
      <c r="AH276" s="2680">
        <f>차입금상환!P104</f>
        <v>69.761159999999876</v>
      </c>
      <c r="AI276" s="2680">
        <f>차입금상환!Q104</f>
        <v>29.897639999999875</v>
      </c>
      <c r="AJ276" s="2680"/>
      <c r="AK276" s="2680"/>
      <c r="AL276" s="2680"/>
      <c r="AM276" s="2680"/>
      <c r="AN276" s="2680"/>
      <c r="AO276" s="2680"/>
      <c r="AP276" s="2680"/>
      <c r="AQ276" s="2680"/>
      <c r="AR276" s="2680"/>
      <c r="AS276" s="2680"/>
      <c r="AT276" s="2680"/>
      <c r="AU276" s="2680"/>
      <c r="AV276" s="2680"/>
      <c r="AW276" s="2680"/>
      <c r="AX276" s="2680"/>
      <c r="AY276" s="2680"/>
      <c r="AZ276" s="2680"/>
      <c r="BA276" s="2680"/>
      <c r="BB276" s="2680"/>
      <c r="BC276" s="2680"/>
      <c r="BD276" s="2680"/>
      <c r="BE276" s="2680"/>
      <c r="BF276" s="2680"/>
      <c r="BG276" s="2680"/>
      <c r="BH276" s="2680"/>
      <c r="BI276" s="2680"/>
      <c r="BJ276" s="2680">
        <f t="shared" ref="BJ276:BN276" ca="1" si="120">MAX(SUM(BJ272:BJ273)-BJ268,0)</f>
        <v>0</v>
      </c>
      <c r="BK276" s="2680">
        <f t="shared" ca="1" si="120"/>
        <v>0</v>
      </c>
      <c r="BL276" s="2680">
        <f t="shared" ca="1" si="120"/>
        <v>0</v>
      </c>
      <c r="BM276" s="2680">
        <f t="shared" ca="1" si="120"/>
        <v>0</v>
      </c>
      <c r="BN276" s="2680">
        <f t="shared" ca="1" si="120"/>
        <v>0</v>
      </c>
    </row>
    <row r="277" spans="7:66">
      <c r="G277" s="2683" t="s">
        <v>3996</v>
      </c>
      <c r="H277" s="2493"/>
      <c r="I277" s="5067"/>
      <c r="J277" s="5069"/>
      <c r="K277" s="5069"/>
      <c r="L277" s="5069"/>
      <c r="M277" s="5069"/>
      <c r="N277" s="5069"/>
      <c r="O277" s="5069"/>
      <c r="P277" s="5069"/>
      <c r="Q277" s="5069"/>
      <c r="R277" s="5069"/>
      <c r="S277" s="5069"/>
      <c r="T277" s="5069"/>
      <c r="U277" s="5069"/>
      <c r="V277" s="5070"/>
      <c r="W277" s="5075"/>
      <c r="X277" s="5075"/>
      <c r="Y277" s="5075"/>
      <c r="Z277" s="5075"/>
      <c r="AA277" s="5075"/>
      <c r="AB277" s="5075"/>
      <c r="AC277" s="2684"/>
      <c r="AD277" s="2684"/>
      <c r="AE277" s="2684"/>
      <c r="AF277" s="2684"/>
      <c r="AG277" s="2684"/>
      <c r="AH277" s="2684"/>
      <c r="AI277" s="2684"/>
      <c r="AJ277" s="2684"/>
      <c r="AK277" s="2684"/>
      <c r="AL277" s="2684"/>
      <c r="AM277" s="2684"/>
      <c r="AN277" s="2684"/>
      <c r="AO277" s="2684"/>
      <c r="AP277" s="2684"/>
      <c r="AQ277" s="2684"/>
      <c r="AR277" s="2684"/>
      <c r="AS277" s="2684"/>
      <c r="AT277" s="2684"/>
      <c r="AU277" s="2684"/>
      <c r="AV277" s="2684"/>
      <c r="AW277" s="2684"/>
      <c r="AX277" s="2684"/>
      <c r="AY277" s="2684"/>
      <c r="AZ277" s="2684"/>
      <c r="BA277" s="2684"/>
      <c r="BB277" s="2684"/>
      <c r="BC277" s="2684"/>
      <c r="BD277" s="2684"/>
      <c r="BE277" s="2684"/>
      <c r="BF277" s="2684"/>
      <c r="BG277" s="2684"/>
      <c r="BH277" s="2684"/>
      <c r="BI277" s="2684"/>
      <c r="BJ277" s="2684"/>
      <c r="BK277" s="2684"/>
      <c r="BL277" s="2684"/>
      <c r="BM277" s="2684"/>
      <c r="BN277" s="2684"/>
    </row>
    <row r="278" spans="7:66">
      <c r="G278" s="2683" t="s">
        <v>3997</v>
      </c>
      <c r="H278" s="2493"/>
      <c r="I278" s="5067"/>
      <c r="J278" s="5069"/>
      <c r="K278" s="5069"/>
      <c r="L278" s="5069"/>
      <c r="M278" s="5069"/>
      <c r="N278" s="5069"/>
      <c r="O278" s="5069"/>
      <c r="P278" s="5069"/>
      <c r="Q278" s="5069"/>
      <c r="R278" s="5069"/>
      <c r="S278" s="5069"/>
      <c r="T278" s="5069"/>
      <c r="U278" s="5069"/>
      <c r="V278" s="5070"/>
      <c r="W278" s="5077"/>
      <c r="X278" s="5077"/>
      <c r="Y278" s="5077"/>
      <c r="Z278" s="5077"/>
      <c r="AA278" s="5077"/>
      <c r="AB278" s="5077">
        <f>AB268/(AB272+AB276)</f>
        <v>1.0235032421876744</v>
      </c>
      <c r="AC278" s="2686">
        <f t="shared" ref="AC278:AI278" ca="1" si="121">AC268/(AC272+AC276)</f>
        <v>1.1613869005564459</v>
      </c>
      <c r="AD278" s="2686">
        <f t="shared" ca="1" si="121"/>
        <v>1.3867251927596591</v>
      </c>
      <c r="AE278" s="2686">
        <f t="shared" ca="1" si="121"/>
        <v>1.7808380981141159</v>
      </c>
      <c r="AF278" s="2686">
        <f t="shared" ca="1" si="121"/>
        <v>3.0940055835867413</v>
      </c>
      <c r="AG278" s="2686">
        <f t="shared" ca="1" si="121"/>
        <v>6.7648079020608209</v>
      </c>
      <c r="AH278" s="2686">
        <f t="shared" ca="1" si="121"/>
        <v>10.059087387999732</v>
      </c>
      <c r="AI278" s="2686">
        <f t="shared" ca="1" si="121"/>
        <v>22.209758371753821</v>
      </c>
      <c r="AJ278" s="2686"/>
      <c r="AK278" s="2686"/>
      <c r="AL278" s="2686"/>
      <c r="AM278" s="2686"/>
      <c r="AN278" s="2686"/>
      <c r="AO278" s="2686"/>
      <c r="AP278" s="2686"/>
      <c r="AQ278" s="2686"/>
      <c r="AR278" s="2686"/>
      <c r="AS278" s="2686"/>
      <c r="AT278" s="2686"/>
      <c r="AU278" s="2686"/>
      <c r="AV278" s="2686"/>
      <c r="AW278" s="2686"/>
      <c r="AX278" s="2686"/>
      <c r="AY278" s="2686"/>
      <c r="AZ278" s="2686"/>
      <c r="BA278" s="2686"/>
      <c r="BB278" s="2686"/>
      <c r="BC278" s="2686"/>
      <c r="BD278" s="2686"/>
      <c r="BE278" s="2686"/>
      <c r="BF278" s="2686"/>
      <c r="BG278" s="2684"/>
      <c r="BH278" s="2684"/>
      <c r="BI278" s="2684"/>
      <c r="BJ278" s="2684"/>
      <c r="BK278" s="2684"/>
      <c r="BL278" s="2684"/>
      <c r="BM278" s="2684"/>
      <c r="BN278" s="2684"/>
    </row>
    <row r="279" spans="7:66" ht="12.75" thickBot="1">
      <c r="J279" s="5070"/>
      <c r="K279" s="5070"/>
      <c r="L279" s="5070"/>
      <c r="M279" s="5070"/>
      <c r="N279" s="5070"/>
      <c r="O279" s="5070"/>
      <c r="P279" s="5070"/>
      <c r="Q279" s="5070"/>
      <c r="R279" s="5070"/>
      <c r="S279" s="5070"/>
      <c r="T279" s="5070"/>
      <c r="U279" s="5070"/>
      <c r="V279" s="5070"/>
      <c r="W279" s="5078"/>
      <c r="X279" s="5078"/>
      <c r="Y279" s="5078"/>
      <c r="Z279" s="5078"/>
      <c r="AA279" s="5078"/>
      <c r="AB279" s="5078"/>
      <c r="AC279" s="2673"/>
      <c r="AD279" s="2673"/>
      <c r="AE279" s="2673"/>
      <c r="AF279" s="2673"/>
      <c r="AG279" s="2673"/>
      <c r="AH279" s="2673"/>
      <c r="AI279" s="2673"/>
      <c r="AJ279" s="2673"/>
      <c r="AK279" s="2673"/>
      <c r="AL279" s="2673"/>
      <c r="AM279" s="2673"/>
      <c r="AN279" s="2673"/>
      <c r="AO279" s="2673"/>
      <c r="AP279" s="2673"/>
      <c r="AQ279" s="2673"/>
      <c r="AR279" s="2673"/>
      <c r="AS279" s="2673"/>
      <c r="AT279" s="2673"/>
      <c r="AU279" s="2673"/>
      <c r="AV279" s="2673"/>
      <c r="AW279" s="2673"/>
      <c r="AX279" s="2673"/>
      <c r="AY279" s="2673"/>
      <c r="AZ279" s="2673"/>
      <c r="BA279" s="2673"/>
      <c r="BB279" s="2673"/>
      <c r="BC279" s="2673"/>
      <c r="BD279" s="2673"/>
      <c r="BE279" s="2673"/>
      <c r="BF279" s="2673"/>
      <c r="BG279" s="2673"/>
      <c r="BH279" s="2673"/>
      <c r="BI279" s="2673"/>
      <c r="BJ279" s="2673"/>
      <c r="BK279" s="2673"/>
      <c r="BL279" s="2673"/>
      <c r="BM279" s="2673"/>
      <c r="BN279" s="2673"/>
    </row>
    <row r="280" spans="7:66" ht="12.75" thickBot="1">
      <c r="G280" s="2687" t="s">
        <v>3998</v>
      </c>
      <c r="H280" s="2688">
        <f>MIN(W280:BN280)</f>
        <v>0</v>
      </c>
      <c r="I280" s="5068"/>
      <c r="J280" s="5079"/>
      <c r="K280" s="5079"/>
      <c r="L280" s="5079"/>
      <c r="M280" s="5079"/>
      <c r="N280" s="5079"/>
      <c r="O280" s="5079"/>
      <c r="P280" s="5079"/>
      <c r="Q280" s="5079"/>
      <c r="R280" s="5079"/>
      <c r="S280" s="5079"/>
      <c r="T280" s="5079"/>
      <c r="U280" s="5079"/>
      <c r="V280" s="5070"/>
      <c r="W280" s="5072"/>
      <c r="X280" s="5072"/>
      <c r="Y280" s="5072"/>
      <c r="Z280" s="5072"/>
      <c r="AA280" s="5072"/>
      <c r="AB280" s="5072"/>
      <c r="AC280" s="2678"/>
      <c r="AD280" s="2678"/>
      <c r="AE280" s="2678"/>
      <c r="AF280" s="2678"/>
      <c r="AG280" s="2678"/>
      <c r="AH280" s="2678"/>
      <c r="AI280" s="2678"/>
      <c r="AJ280" s="2678"/>
      <c r="AK280" s="2678"/>
      <c r="AL280" s="2678"/>
      <c r="AM280" s="2678"/>
      <c r="AN280" s="2678"/>
      <c r="AO280" s="2678"/>
      <c r="AP280" s="2678"/>
      <c r="AQ280" s="2678"/>
      <c r="AR280" s="2678"/>
      <c r="AS280" s="2678"/>
      <c r="AT280" s="2678"/>
      <c r="AU280" s="2678"/>
      <c r="AV280" s="2678"/>
      <c r="AW280" s="2678"/>
      <c r="AX280" s="2678"/>
      <c r="AY280" s="2678"/>
      <c r="AZ280" s="2678"/>
      <c r="BA280" s="2678"/>
      <c r="BB280" s="2678"/>
      <c r="BC280" s="2678"/>
      <c r="BD280" s="2678"/>
      <c r="BE280" s="2678"/>
      <c r="BF280" s="2678"/>
      <c r="BG280" s="2678"/>
      <c r="BH280" s="2678"/>
      <c r="BI280" s="2678"/>
      <c r="BJ280" s="2678"/>
      <c r="BK280" s="2678"/>
      <c r="BL280" s="2678"/>
      <c r="BM280" s="2678"/>
      <c r="BN280" s="2678"/>
    </row>
    <row r="281" spans="7:66">
      <c r="H281" s="2673"/>
      <c r="J281" s="2673"/>
      <c r="K281" s="2673"/>
      <c r="L281" s="2673"/>
      <c r="M281" s="2673"/>
      <c r="N281" s="2673"/>
      <c r="O281" s="2673"/>
      <c r="P281" s="2673"/>
      <c r="Q281" s="2673"/>
      <c r="R281" s="2673"/>
      <c r="S281" s="2673"/>
      <c r="T281" s="2673"/>
      <c r="U281" s="2673"/>
      <c r="V281" s="2673"/>
      <c r="W281" s="2673"/>
      <c r="X281" s="2673"/>
      <c r="Y281" s="2673"/>
      <c r="Z281" s="2673"/>
      <c r="AA281" s="2673"/>
      <c r="AB281" s="2673"/>
      <c r="AC281" s="2673"/>
      <c r="AD281" s="2673"/>
      <c r="AE281" s="2673"/>
      <c r="AF281" s="2673"/>
      <c r="AG281" s="2673"/>
      <c r="AH281" s="2673"/>
      <c r="AI281" s="2673"/>
      <c r="AJ281" s="2673"/>
      <c r="AK281" s="2673"/>
      <c r="AL281" s="2673"/>
      <c r="AM281" s="2673"/>
      <c r="AN281" s="2673"/>
      <c r="AO281" s="2673"/>
      <c r="AP281" s="2673"/>
      <c r="AQ281" s="2673"/>
      <c r="AR281" s="2673"/>
      <c r="AS281" s="2673"/>
      <c r="AT281" s="2673"/>
      <c r="AU281" s="2673"/>
      <c r="AV281" s="2673"/>
      <c r="AW281" s="2673"/>
      <c r="AX281" s="2673"/>
      <c r="AY281" s="2673"/>
      <c r="AZ281" s="2673"/>
      <c r="BA281" s="2673"/>
    </row>
    <row r="319" spans="27:66">
      <c r="AA319" s="2348" t="s">
        <v>5248</v>
      </c>
      <c r="AC319" s="5345">
        <f ca="1">SUMIFS('TP(분기)'!12:12,'TP(분기)'!$10:$10,AC$267,'TP(분기)'!$11:$11,4)/100-AC268</f>
        <v>0</v>
      </c>
      <c r="AD319" s="5345">
        <f ca="1">SUMIFS('TP(분기)'!12:12,'TP(분기)'!$10:$10,AD$267,'TP(분기)'!$11:$11,4)/100-AD268</f>
        <v>0</v>
      </c>
      <c r="AE319" s="5345">
        <f ca="1">SUMIFS('TP(분기)'!12:12,'TP(분기)'!$10:$10,AE$267,'TP(분기)'!$11:$11,4)/100-AE268</f>
        <v>0</v>
      </c>
      <c r="AF319" s="5345">
        <f ca="1">SUMIFS('TP(분기)'!12:12,'TP(분기)'!$10:$10,AF$267,'TP(분기)'!$11:$11,4)/100-AF268</f>
        <v>0</v>
      </c>
      <c r="AG319" s="5345">
        <f ca="1">SUMIFS('TP(분기)'!12:12,'TP(분기)'!$10:$10,AG$267,'TP(분기)'!$11:$11,4)/100-AG268</f>
        <v>0</v>
      </c>
      <c r="AH319" s="5345">
        <f ca="1">SUMIFS('TP(분기)'!12:12,'TP(분기)'!$10:$10,AH$267,'TP(분기)'!$11:$11,4)/100-AH268</f>
        <v>0</v>
      </c>
      <c r="AI319" s="5345">
        <f ca="1">SUMIFS('TP(분기)'!12:12,'TP(분기)'!$10:$10,AI$267,'TP(분기)'!$11:$11,4)/100-AI268</f>
        <v>0</v>
      </c>
      <c r="AJ319" s="5345">
        <f ca="1">SUMIFS('TP(분기)'!12:12,'TP(분기)'!$10:$10,AJ$267,'TP(분기)'!$11:$11,4)/100-AJ268</f>
        <v>0</v>
      </c>
      <c r="AK319" s="5345">
        <f ca="1">SUMIFS('TP(분기)'!12:12,'TP(분기)'!$10:$10,AK$267,'TP(분기)'!$11:$11,4)/100-AK268</f>
        <v>0</v>
      </c>
      <c r="AL319" s="5345">
        <f ca="1">SUMIFS('TP(분기)'!12:12,'TP(분기)'!$10:$10,AL$267,'TP(분기)'!$11:$11,4)/100-AL268</f>
        <v>0</v>
      </c>
      <c r="AM319" s="5345">
        <f ca="1">SUMIFS('TP(분기)'!12:12,'TP(분기)'!$10:$10,AM$267,'TP(분기)'!$11:$11,4)/100-AM268</f>
        <v>0</v>
      </c>
      <c r="AN319" s="5345">
        <f ca="1">SUMIFS('TP(분기)'!12:12,'TP(분기)'!$10:$10,AN$267,'TP(분기)'!$11:$11,4)/100-AN268</f>
        <v>-4.5474735088646412E-13</v>
      </c>
      <c r="AO319" s="5345">
        <f ca="1">SUMIFS('TP(분기)'!12:12,'TP(분기)'!$10:$10,AO$267,'TP(분기)'!$11:$11,4)/100-AO268</f>
        <v>0</v>
      </c>
      <c r="AP319" s="5345">
        <f ca="1">SUMIFS('TP(분기)'!12:12,'TP(분기)'!$10:$10,AP$267,'TP(분기)'!$11:$11,4)/100-AP268</f>
        <v>0</v>
      </c>
      <c r="AQ319" s="5345">
        <f ca="1">SUMIFS('TP(분기)'!12:12,'TP(분기)'!$10:$10,AQ$267,'TP(분기)'!$11:$11,4)/100-AQ268</f>
        <v>0</v>
      </c>
      <c r="AR319" s="5345">
        <f ca="1">SUMIFS('TP(분기)'!12:12,'TP(분기)'!$10:$10,AR$267,'TP(분기)'!$11:$11,4)/100-AR268</f>
        <v>-5.6843418860808015E-13</v>
      </c>
      <c r="AS319" s="5345">
        <f ca="1">SUMIFS('TP(분기)'!12:12,'TP(분기)'!$10:$10,AS$267,'TP(분기)'!$11:$11,4)/100-AS268</f>
        <v>-6.2527760746888816E-13</v>
      </c>
      <c r="AT319" s="5345">
        <f ca="1">SUMIFS('TP(분기)'!12:12,'TP(분기)'!$10:$10,AT$267,'TP(분기)'!$11:$11,4)/100-AT268</f>
        <v>0</v>
      </c>
      <c r="AU319" s="5345">
        <f ca="1">SUMIFS('TP(분기)'!12:12,'TP(분기)'!$10:$10,AU$267,'TP(분기)'!$11:$11,4)/100-AU268</f>
        <v>0</v>
      </c>
      <c r="AV319" s="5345">
        <f ca="1">SUMIFS('TP(분기)'!12:12,'TP(분기)'!$10:$10,AV$267,'TP(분기)'!$11:$11,4)/100-AV268</f>
        <v>0</v>
      </c>
      <c r="AW319" s="5345">
        <f ca="1">SUMIFS('TP(분기)'!12:12,'TP(분기)'!$10:$10,AW$267,'TP(분기)'!$11:$11,4)/100-AW268</f>
        <v>0</v>
      </c>
      <c r="AX319" s="5345">
        <f ca="1">SUMIFS('TP(분기)'!12:12,'TP(분기)'!$10:$10,AX$267,'TP(분기)'!$11:$11,4)/100-AX268</f>
        <v>0</v>
      </c>
      <c r="AY319" s="5345">
        <f ca="1">SUMIFS('TP(분기)'!12:12,'TP(분기)'!$10:$10,AY$267,'TP(분기)'!$11:$11,4)/100-AY268</f>
        <v>0</v>
      </c>
      <c r="AZ319" s="5345">
        <f ca="1">SUMIFS('TP(분기)'!12:12,'TP(분기)'!$10:$10,AZ$267,'TP(분기)'!$11:$11,4)/100-AZ268</f>
        <v>-6.2527760746888816E-13</v>
      </c>
      <c r="BA319" s="5345">
        <f ca="1">SUMIFS('TP(분기)'!12:12,'TP(분기)'!$10:$10,BA$267,'TP(분기)'!$11:$11,4)/100-BA268</f>
        <v>0</v>
      </c>
      <c r="BB319" s="5345">
        <f ca="1">SUMIFS('TP(분기)'!12:12,'TP(분기)'!$10:$10,BB$267,'TP(분기)'!$11:$11,4)/100-BB268</f>
        <v>0</v>
      </c>
      <c r="BC319" s="5345">
        <f ca="1">SUMIFS('TP(분기)'!12:12,'TP(분기)'!$10:$10,BC$267,'TP(분기)'!$11:$11,4)/100-BC268</f>
        <v>4.2632564145606011E-13</v>
      </c>
      <c r="BD319" s="5345">
        <f ca="1">SUMIFS('TP(분기)'!12:12,'TP(분기)'!$10:$10,BD$267,'TP(분기)'!$11:$11,4)/100-BD268</f>
        <v>4.2632564145606011E-13</v>
      </c>
      <c r="BE319" s="5345">
        <f ca="1">SUMIFS('TP(분기)'!12:12,'TP(분기)'!$10:$10,BE$267,'TP(분기)'!$11:$11,4)/100-BE268</f>
        <v>0</v>
      </c>
      <c r="BF319" s="5345">
        <f ca="1">SUMIFS('TP(분기)'!12:12,'TP(분기)'!$10:$10,BF$267,'TP(분기)'!$11:$11,4)/100-BF268</f>
        <v>-6.5369931689929217E-13</v>
      </c>
      <c r="BG319" s="5345">
        <f ca="1">SUMIFS('TP(분기)'!12:12,'TP(분기)'!$10:$10,BG$267,'TP(분기)'!$11:$11,4)/100-BG268</f>
        <v>-6.5369931689929217E-13</v>
      </c>
      <c r="BH319" s="5345">
        <f ca="1">SUMIFS('TP(분기)'!12:12,'TP(분기)'!$10:$10,BH$267,'TP(분기)'!$11:$11,4)/100-BH268</f>
        <v>0</v>
      </c>
      <c r="BI319" s="5345">
        <f ca="1">SUMIFS('TP(분기)'!12:12,'TP(분기)'!$10:$10,BI$267,'TP(분기)'!$11:$11,4)/100-BI268</f>
        <v>0</v>
      </c>
      <c r="BJ319" s="5345">
        <f ca="1">SUMIFS('TP(분기)'!12:12,'TP(분기)'!$10:$10,BJ$267,'TP(분기)'!$11:$11,4)/100-BJ268</f>
        <v>0</v>
      </c>
      <c r="BK319" s="5345">
        <f ca="1">SUMIFS('TP(분기)'!12:12,'TP(분기)'!$10:$10,BK$267,'TP(분기)'!$11:$11,4)/100-BK268</f>
        <v>0</v>
      </c>
      <c r="BL319" s="5345">
        <f ca="1">SUMIFS('TP(분기)'!12:12,'TP(분기)'!$10:$10,BL$267,'TP(분기)'!$11:$11,4)/100-BL268</f>
        <v>0</v>
      </c>
      <c r="BM319" s="5345">
        <f ca="1">SUMIFS('TP(분기)'!12:12,'TP(분기)'!$10:$10,BM$267,'TP(분기)'!$11:$11,4)/100-BM268</f>
        <v>0</v>
      </c>
      <c r="BN319" s="5345">
        <f ca="1">SUMIFS('TP(분기)'!12:12,'TP(분기)'!$10:$10,BN$267,'TP(분기)'!$11:$11,2)/100-BN268</f>
        <v>-0.92046439457570273</v>
      </c>
    </row>
    <row r="320" spans="27:66">
      <c r="AC320" s="5345">
        <f ca="1">SUMIFS('TP(분기)'!13:13,'TP(분기)'!$10:$10,AC$267,'TP(분기)'!$11:$11,4)/100-AC269</f>
        <v>0</v>
      </c>
      <c r="AD320" s="5345">
        <f ca="1">SUMIFS('TP(분기)'!13:13,'TP(분기)'!$10:$10,AD$267,'TP(분기)'!$11:$11,4)/100-AD269</f>
        <v>0</v>
      </c>
      <c r="AE320" s="5345">
        <f ca="1">SUMIFS('TP(분기)'!13:13,'TP(분기)'!$10:$10,AE$267,'TP(분기)'!$11:$11,4)/100-AE269</f>
        <v>0</v>
      </c>
      <c r="AF320" s="5345">
        <f ca="1">SUMIFS('TP(분기)'!13:13,'TP(분기)'!$10:$10,AF$267,'TP(분기)'!$11:$11,4)/100-AF269</f>
        <v>0</v>
      </c>
      <c r="AG320" s="5345">
        <f ca="1">SUMIFS('TP(분기)'!13:13,'TP(분기)'!$10:$10,AG$267,'TP(분기)'!$11:$11,4)/100-AG269</f>
        <v>0</v>
      </c>
      <c r="AH320" s="5345">
        <f ca="1">SUMIFS('TP(분기)'!13:13,'TP(분기)'!$10:$10,AH$267,'TP(분기)'!$11:$11,4)/100-AH269</f>
        <v>0</v>
      </c>
      <c r="AI320" s="5345">
        <f ca="1">SUMIFS('TP(분기)'!13:13,'TP(분기)'!$10:$10,AI$267,'TP(분기)'!$11:$11,4)/100-AI269</f>
        <v>0</v>
      </c>
      <c r="AJ320" s="5345">
        <f ca="1">SUMIFS('TP(분기)'!13:13,'TP(분기)'!$10:$10,AJ$267,'TP(분기)'!$11:$11,4)/100-AJ269</f>
        <v>0</v>
      </c>
      <c r="AK320" s="5345">
        <f ca="1">SUMIFS('TP(분기)'!13:13,'TP(분기)'!$10:$10,AK$267,'TP(분기)'!$11:$11,4)/100-AK269</f>
        <v>0</v>
      </c>
      <c r="AL320" s="5345">
        <f ca="1">SUMIFS('TP(분기)'!13:13,'TP(분기)'!$10:$10,AL$267,'TP(분기)'!$11:$11,4)/100-AL269</f>
        <v>0</v>
      </c>
      <c r="AM320" s="5345">
        <f ca="1">SUMIFS('TP(분기)'!13:13,'TP(분기)'!$10:$10,AM$267,'TP(분기)'!$11:$11,4)/100-AM269</f>
        <v>0</v>
      </c>
      <c r="AN320" s="5345">
        <f ca="1">SUMIFS('TP(분기)'!13:13,'TP(분기)'!$10:$10,AN$267,'TP(분기)'!$11:$11,4)/100-AN269</f>
        <v>0</v>
      </c>
      <c r="AO320" s="5345">
        <f ca="1">SUMIFS('TP(분기)'!13:13,'TP(분기)'!$10:$10,AO$267,'TP(분기)'!$11:$11,4)/100-AO269</f>
        <v>0</v>
      </c>
      <c r="AP320" s="5345">
        <f ca="1">SUMIFS('TP(분기)'!13:13,'TP(분기)'!$10:$10,AP$267,'TP(분기)'!$11:$11,4)/100-AP269</f>
        <v>0</v>
      </c>
      <c r="AQ320" s="5345">
        <f ca="1">SUMIFS('TP(분기)'!13:13,'TP(분기)'!$10:$10,AQ$267,'TP(분기)'!$11:$11,4)/100-AQ269</f>
        <v>0</v>
      </c>
      <c r="AR320" s="5345">
        <f ca="1">SUMIFS('TP(분기)'!13:13,'TP(분기)'!$10:$10,AR$267,'TP(분기)'!$11:$11,4)/100-AR269</f>
        <v>0</v>
      </c>
      <c r="AS320" s="5345">
        <f ca="1">SUMIFS('TP(분기)'!13:13,'TP(분기)'!$10:$10,AS$267,'TP(분기)'!$11:$11,4)/100-AS269</f>
        <v>0</v>
      </c>
      <c r="AT320" s="5345">
        <f ca="1">SUMIFS('TP(분기)'!13:13,'TP(분기)'!$10:$10,AT$267,'TP(분기)'!$11:$11,4)/100-AT269</f>
        <v>0</v>
      </c>
      <c r="AU320" s="5345">
        <f ca="1">SUMIFS('TP(분기)'!13:13,'TP(분기)'!$10:$10,AU$267,'TP(분기)'!$11:$11,4)/100-AU269</f>
        <v>0</v>
      </c>
      <c r="AV320" s="5345">
        <f ca="1">SUMIFS('TP(분기)'!13:13,'TP(분기)'!$10:$10,AV$267,'TP(분기)'!$11:$11,4)/100-AV269</f>
        <v>0</v>
      </c>
      <c r="AW320" s="5345">
        <f ca="1">SUMIFS('TP(분기)'!13:13,'TP(분기)'!$10:$10,AW$267,'TP(분기)'!$11:$11,4)/100-AW269</f>
        <v>-1.0231815394945443E-12</v>
      </c>
      <c r="AX320" s="5345">
        <f ca="1">SUMIFS('TP(분기)'!13:13,'TP(분기)'!$10:$10,AX$267,'TP(분기)'!$11:$11,4)/100-AX269</f>
        <v>0</v>
      </c>
      <c r="AY320" s="5345">
        <f ca="1">SUMIFS('TP(분기)'!13:13,'TP(분기)'!$10:$10,AY$267,'TP(분기)'!$11:$11,4)/100-AY269</f>
        <v>-1.0231815394945443E-12</v>
      </c>
      <c r="AZ320" s="5345">
        <f ca="1">SUMIFS('TP(분기)'!13:13,'TP(분기)'!$10:$10,AZ$267,'TP(분기)'!$11:$11,4)/100-AZ269</f>
        <v>-9.0949470177292824E-13</v>
      </c>
      <c r="BA320" s="5345">
        <f ca="1">SUMIFS('TP(분기)'!13:13,'TP(분기)'!$10:$10,BA$267,'TP(분기)'!$11:$11,4)/100-BA269</f>
        <v>-1.0231815394945443E-12</v>
      </c>
      <c r="BB320" s="5345">
        <f ca="1">SUMIFS('TP(분기)'!13:13,'TP(분기)'!$10:$10,BB$267,'TP(분기)'!$11:$11,4)/100-BB269</f>
        <v>-1.1368683772161603E-12</v>
      </c>
      <c r="BC320" s="5345">
        <f ca="1">SUMIFS('TP(분기)'!13:13,'TP(분기)'!$10:$10,BC$267,'TP(분기)'!$11:$11,4)/100-BC269</f>
        <v>-1.2505552149377763E-12</v>
      </c>
      <c r="BD320" s="5345">
        <f ca="1">SUMIFS('TP(분기)'!13:13,'TP(분기)'!$10:$10,BD$267,'TP(분기)'!$11:$11,4)/100-BD269</f>
        <v>-7.9580786405131221E-13</v>
      </c>
      <c r="BE320" s="5345">
        <f ca="1">SUMIFS('TP(분기)'!13:13,'TP(분기)'!$10:$10,BE$267,'TP(분기)'!$11:$11,4)/100-BE269</f>
        <v>-8.5265128291212022E-13</v>
      </c>
      <c r="BF320" s="5345">
        <f ca="1">SUMIFS('TP(분기)'!13:13,'TP(분기)'!$10:$10,BF$267,'TP(분기)'!$11:$11,4)/100-BF269</f>
        <v>0</v>
      </c>
      <c r="BG320" s="5345">
        <f ca="1">SUMIFS('TP(분기)'!13:13,'TP(분기)'!$10:$10,BG$267,'TP(분기)'!$11:$11,4)/100-BG269</f>
        <v>0</v>
      </c>
      <c r="BH320" s="5345">
        <f ca="1">SUMIFS('TP(분기)'!13:13,'TP(분기)'!$10:$10,BH$267,'TP(분기)'!$11:$11,4)/100-BH269</f>
        <v>-5.1159076974727213E-13</v>
      </c>
      <c r="BI320" s="5345">
        <f ca="1">SUMIFS('TP(분기)'!13:13,'TP(분기)'!$10:$10,BI$267,'TP(분기)'!$11:$11,4)/100-BI269</f>
        <v>-1.0800249583553523E-12</v>
      </c>
      <c r="BJ320" s="5345">
        <f ca="1">SUMIFS('TP(분기)'!13:13,'TP(분기)'!$10:$10,BJ$267,'TP(분기)'!$11:$11,4)/100-BJ269</f>
        <v>-5.9685589803848416E-13</v>
      </c>
      <c r="BK320" s="5345">
        <f ca="1">SUMIFS('TP(분기)'!13:13,'TP(분기)'!$10:$10,BK$267,'TP(분기)'!$11:$11,4)/100-BK269</f>
        <v>-6.2527760746888816E-13</v>
      </c>
      <c r="BL320" s="5345">
        <f ca="1">SUMIFS('TP(분기)'!13:13,'TP(분기)'!$10:$10,BL$267,'TP(분기)'!$11:$11,4)/100-BL269</f>
        <v>-1.2789769243681803E-12</v>
      </c>
      <c r="BM320" s="5345">
        <f ca="1">SUMIFS('TP(분기)'!13:13,'TP(분기)'!$10:$10,BM$267,'TP(분기)'!$11:$11,4)/100-BM269</f>
        <v>-1.3073986337985843E-12</v>
      </c>
      <c r="BN320" s="5345">
        <f ca="1">SUMIFS('TP(분기)'!13:13,'TP(분기)'!$10:$10,BN$267,'TP(분기)'!$11:$11,2)/100-BN269</f>
        <v>-1.2262505279220193</v>
      </c>
    </row>
    <row r="321" spans="29:66">
      <c r="AC321" s="5345">
        <f ca="1">SUMIFS('TP(분기)'!14:14,'TP(분기)'!$10:$10,AC$267,'TP(분기)'!$11:$11,4)/100-AC270</f>
        <v>0</v>
      </c>
      <c r="AD321" s="5345">
        <f ca="1">SUMIFS('TP(분기)'!14:14,'TP(분기)'!$10:$10,AD$267,'TP(분기)'!$11:$11,4)/100-AD270</f>
        <v>0</v>
      </c>
      <c r="AE321" s="5345">
        <f ca="1">SUMIFS('TP(분기)'!14:14,'TP(분기)'!$10:$10,AE$267,'TP(분기)'!$11:$11,4)/100-AE270</f>
        <v>0</v>
      </c>
      <c r="AF321" s="5345">
        <f ca="1">SUMIFS('TP(분기)'!14:14,'TP(분기)'!$10:$10,AF$267,'TP(분기)'!$11:$11,4)/100-AF270</f>
        <v>0</v>
      </c>
      <c r="AG321" s="5345">
        <f ca="1">SUMIFS('TP(분기)'!14:14,'TP(분기)'!$10:$10,AG$267,'TP(분기)'!$11:$11,4)/100-AG270</f>
        <v>0</v>
      </c>
      <c r="AH321" s="5345">
        <f ca="1">SUMIFS('TP(분기)'!14:14,'TP(분기)'!$10:$10,AH$267,'TP(분기)'!$11:$11,4)/100-AH270</f>
        <v>0</v>
      </c>
      <c r="AI321" s="5345">
        <f ca="1">SUMIFS('TP(분기)'!14:14,'TP(분기)'!$10:$10,AI$267,'TP(분기)'!$11:$11,4)/100-AI270</f>
        <v>0</v>
      </c>
      <c r="AJ321" s="5345">
        <f ca="1">SUMIFS('TP(분기)'!14:14,'TP(분기)'!$10:$10,AJ$267,'TP(분기)'!$11:$11,4)/100-AJ270</f>
        <v>0</v>
      </c>
      <c r="AK321" s="5345">
        <f ca="1">SUMIFS('TP(분기)'!14:14,'TP(분기)'!$10:$10,AK$267,'TP(분기)'!$11:$11,4)/100-AK270</f>
        <v>0</v>
      </c>
      <c r="AL321" s="5345">
        <f ca="1">SUMIFS('TP(분기)'!14:14,'TP(분기)'!$10:$10,AL$267,'TP(분기)'!$11:$11,4)/100-AL270</f>
        <v>0</v>
      </c>
      <c r="AM321" s="5345">
        <f ca="1">SUMIFS('TP(분기)'!14:14,'TP(분기)'!$10:$10,AM$267,'TP(분기)'!$11:$11,4)/100-AM270</f>
        <v>0</v>
      </c>
      <c r="AN321" s="5345">
        <f ca="1">SUMIFS('TP(분기)'!14:14,'TP(분기)'!$10:$10,AN$267,'TP(분기)'!$11:$11,4)/100-AN270</f>
        <v>0</v>
      </c>
      <c r="AO321" s="5345">
        <f ca="1">SUMIFS('TP(분기)'!14:14,'TP(분기)'!$10:$10,AO$267,'TP(분기)'!$11:$11,4)/100-AO270</f>
        <v>0</v>
      </c>
      <c r="AP321" s="5345">
        <f ca="1">SUMIFS('TP(분기)'!14:14,'TP(분기)'!$10:$10,AP$267,'TP(분기)'!$11:$11,4)/100-AP270</f>
        <v>0</v>
      </c>
      <c r="AQ321" s="5345">
        <f ca="1">SUMIFS('TP(분기)'!14:14,'TP(분기)'!$10:$10,AQ$267,'TP(분기)'!$11:$11,4)/100-AQ270</f>
        <v>0</v>
      </c>
      <c r="AR321" s="5345">
        <f ca="1">SUMIFS('TP(분기)'!14:14,'TP(분기)'!$10:$10,AR$267,'TP(분기)'!$11:$11,4)/100-AR270</f>
        <v>9.0949470177292824E-13</v>
      </c>
      <c r="AS321" s="5345">
        <f ca="1">SUMIFS('TP(분기)'!14:14,'TP(분기)'!$10:$10,AS$267,'TP(분기)'!$11:$11,4)/100-AS270</f>
        <v>1.0231815394945443E-12</v>
      </c>
      <c r="AT321" s="5345">
        <f ca="1">SUMIFS('TP(분기)'!14:14,'TP(분기)'!$10:$10,AT$267,'TP(분기)'!$11:$11,4)/100-AT270</f>
        <v>1.3642420526593924E-12</v>
      </c>
      <c r="AU321" s="5345">
        <f ca="1">SUMIFS('TP(분기)'!14:14,'TP(분기)'!$10:$10,AU$267,'TP(분기)'!$11:$11,4)/100-AU270</f>
        <v>1.5916157281026244E-12</v>
      </c>
      <c r="AV321" s="5345">
        <f ca="1">SUMIFS('TP(분기)'!14:14,'TP(분기)'!$10:$10,AV$267,'TP(분기)'!$11:$11,4)/100-AV270</f>
        <v>2.0463630789890885E-12</v>
      </c>
      <c r="AW321" s="5345">
        <f ca="1">SUMIFS('TP(분기)'!14:14,'TP(분기)'!$10:$10,AW$267,'TP(분기)'!$11:$11,4)/100-AW270</f>
        <v>1.3642420526593924E-12</v>
      </c>
      <c r="AX321" s="5345">
        <f ca="1">SUMIFS('TP(분기)'!14:14,'TP(분기)'!$10:$10,AX$267,'TP(분기)'!$11:$11,4)/100-AX270</f>
        <v>1.4779288903810084E-12</v>
      </c>
      <c r="AY321" s="5345">
        <f ca="1">SUMIFS('TP(분기)'!14:14,'TP(분기)'!$10:$10,AY$267,'TP(분기)'!$11:$11,4)/100-AY270</f>
        <v>1.8189894035458565E-12</v>
      </c>
      <c r="AZ321" s="5345">
        <f ca="1">SUMIFS('TP(분기)'!14:14,'TP(분기)'!$10:$10,AZ$267,'TP(분기)'!$11:$11,4)/100-AZ270</f>
        <v>2.2737367544323206E-12</v>
      </c>
      <c r="BA321" s="5345">
        <f ca="1">SUMIFS('TP(분기)'!14:14,'TP(분기)'!$10:$10,BA$267,'TP(분기)'!$11:$11,4)/100-BA270</f>
        <v>2.5011104298755527E-12</v>
      </c>
      <c r="BB321" s="5345">
        <f ca="1">SUMIFS('TP(분기)'!14:14,'TP(분기)'!$10:$10,BB$267,'TP(분기)'!$11:$11,4)/100-BB270</f>
        <v>2.6147972675971687E-12</v>
      </c>
      <c r="BC321" s="5345">
        <f ca="1">SUMIFS('TP(분기)'!14:14,'TP(분기)'!$10:$10,BC$267,'TP(분기)'!$11:$11,4)/100-BC270</f>
        <v>2.1600499167107046E-12</v>
      </c>
      <c r="BD321" s="5345">
        <f ca="1">SUMIFS('TP(분기)'!14:14,'TP(분기)'!$10:$10,BD$267,'TP(분기)'!$11:$11,4)/100-BD270</f>
        <v>2.3305801732931286E-12</v>
      </c>
      <c r="BE321" s="5345">
        <f ca="1">SUMIFS('TP(분기)'!14:14,'TP(분기)'!$10:$10,BE$267,'TP(분기)'!$11:$11,4)/100-BE270</f>
        <v>1.9895196601282805E-12</v>
      </c>
      <c r="BF321" s="5345">
        <f ca="1">SUMIFS('TP(분기)'!14:14,'TP(분기)'!$10:$10,BF$267,'TP(분기)'!$11:$11,4)/100-BF270</f>
        <v>1.9326762412674725E-12</v>
      </c>
      <c r="BG321" s="5345">
        <f ca="1">SUMIFS('TP(분기)'!14:14,'TP(분기)'!$10:$10,BG$267,'TP(분기)'!$11:$11,4)/100-BG270</f>
        <v>1.9895196601282805E-12</v>
      </c>
      <c r="BH321" s="5345">
        <f ca="1">SUMIFS('TP(분기)'!14:14,'TP(분기)'!$10:$10,BH$267,'TP(분기)'!$11:$11,4)/100-BH270</f>
        <v>2.6147972675971687E-12</v>
      </c>
      <c r="BI321" s="5345">
        <f ca="1">SUMIFS('TP(분기)'!14:14,'TP(분기)'!$10:$10,BI$267,'TP(분기)'!$11:$11,4)/100-BI270</f>
        <v>2.6432189770275727E-12</v>
      </c>
      <c r="BJ321" s="5345">
        <f ca="1">SUMIFS('TP(분기)'!14:14,'TP(분기)'!$10:$10,BJ$267,'TP(분기)'!$11:$11,4)/100-BJ270</f>
        <v>2.7284841053187847E-12</v>
      </c>
      <c r="BK321" s="5345">
        <f ca="1">SUMIFS('TP(분기)'!14:14,'TP(분기)'!$10:$10,BK$267,'TP(분기)'!$11:$11,4)/100-BK270</f>
        <v>2.8705926524708048E-12</v>
      </c>
      <c r="BL321" s="5345">
        <f ca="1">SUMIFS('TP(분기)'!14:14,'TP(분기)'!$10:$10,BL$267,'TP(분기)'!$11:$11,4)/100-BL270</f>
        <v>2.3305801732931286E-12</v>
      </c>
      <c r="BM321" s="5345">
        <f ca="1">SUMIFS('TP(분기)'!14:14,'TP(분기)'!$10:$10,BM$267,'TP(분기)'!$11:$11,4)/100-BM270</f>
        <v>2.4726887204451486E-12</v>
      </c>
      <c r="BN321" s="5345">
        <f ca="1">SUMIFS('TP(분기)'!14:14,'TP(분기)'!$10:$10,BN$267,'TP(분기)'!$11:$11,2)/100-BN270</f>
        <v>-1.0826910647557213</v>
      </c>
    </row>
    <row r="322" spans="29:66">
      <c r="AC322" s="5345">
        <f ca="1">SUMIFS('TP(분기)'!15:15,'TP(분기)'!$10:$10,AC$267,'TP(분기)'!$11:$11,4)/100-AC271</f>
        <v>0</v>
      </c>
      <c r="AD322" s="5345">
        <f ca="1">SUMIFS('TP(분기)'!15:15,'TP(분기)'!$10:$10,AD$267,'TP(분기)'!$11:$11,4)/100-AD271</f>
        <v>0</v>
      </c>
      <c r="AE322" s="5345">
        <f ca="1">SUMIFS('TP(분기)'!15:15,'TP(분기)'!$10:$10,AE$267,'TP(분기)'!$11:$11,4)/100-AE271</f>
        <v>0</v>
      </c>
      <c r="AF322" s="5345">
        <f ca="1">SUMIFS('TP(분기)'!15:15,'TP(분기)'!$10:$10,AF$267,'TP(분기)'!$11:$11,4)/100-AF271</f>
        <v>0</v>
      </c>
      <c r="AG322" s="5345">
        <f ca="1">SUMIFS('TP(분기)'!15:15,'TP(분기)'!$10:$10,AG$267,'TP(분기)'!$11:$11,4)/100-AG271</f>
        <v>0</v>
      </c>
      <c r="AH322" s="5345">
        <f ca="1">SUMIFS('TP(분기)'!15:15,'TP(분기)'!$10:$10,AH$267,'TP(분기)'!$11:$11,4)/100-AH271</f>
        <v>0</v>
      </c>
      <c r="AI322" s="5345">
        <f ca="1">SUMIFS('TP(분기)'!15:15,'TP(분기)'!$10:$10,AI$267,'TP(분기)'!$11:$11,4)/100-AI271</f>
        <v>0</v>
      </c>
      <c r="AJ322" s="5345">
        <f ca="1">SUMIFS('TP(분기)'!15:15,'TP(분기)'!$10:$10,AJ$267,'TP(분기)'!$11:$11,4)/100-AJ271</f>
        <v>0</v>
      </c>
      <c r="AK322" s="5345">
        <f ca="1">SUMIFS('TP(분기)'!15:15,'TP(분기)'!$10:$10,AK$267,'TP(분기)'!$11:$11,4)/100-AK271</f>
        <v>0</v>
      </c>
      <c r="AL322" s="5345">
        <f ca="1">SUMIFS('TP(분기)'!15:15,'TP(분기)'!$10:$10,AL$267,'TP(분기)'!$11:$11,4)/100-AL271</f>
        <v>0</v>
      </c>
      <c r="AM322" s="5345">
        <f ca="1">SUMIFS('TP(분기)'!15:15,'TP(분기)'!$10:$10,AM$267,'TP(분기)'!$11:$11,4)/100-AM271</f>
        <v>0</v>
      </c>
      <c r="AN322" s="5345">
        <f ca="1">SUMIFS('TP(분기)'!15:15,'TP(분기)'!$10:$10,AN$267,'TP(분기)'!$11:$11,4)/100-AN271</f>
        <v>0</v>
      </c>
      <c r="AO322" s="5345">
        <f ca="1">SUMIFS('TP(분기)'!15:15,'TP(분기)'!$10:$10,AO$267,'TP(분기)'!$11:$11,4)/100-AO271</f>
        <v>0</v>
      </c>
      <c r="AP322" s="5345">
        <f ca="1">SUMIFS('TP(분기)'!15:15,'TP(분기)'!$10:$10,AP$267,'TP(분기)'!$11:$11,4)/100-AP271</f>
        <v>0</v>
      </c>
      <c r="AQ322" s="5345">
        <f ca="1">SUMIFS('TP(분기)'!15:15,'TP(분기)'!$10:$10,AQ$267,'TP(분기)'!$11:$11,4)/100-AQ271</f>
        <v>0</v>
      </c>
      <c r="AR322" s="5345">
        <f ca="1">SUMIFS('TP(분기)'!15:15,'TP(분기)'!$10:$10,AR$267,'TP(분기)'!$11:$11,4)/100-AR271</f>
        <v>0</v>
      </c>
      <c r="AS322" s="5345">
        <f ca="1">SUMIFS('TP(분기)'!15:15,'TP(분기)'!$10:$10,AS$267,'TP(분기)'!$11:$11,4)/100-AS271</f>
        <v>0</v>
      </c>
      <c r="AT322" s="5345">
        <f ca="1">SUMIFS('TP(분기)'!15:15,'TP(분기)'!$10:$10,AT$267,'TP(분기)'!$11:$11,4)/100-AT271</f>
        <v>0</v>
      </c>
      <c r="AU322" s="5345">
        <f ca="1">SUMIFS('TP(분기)'!15:15,'TP(분기)'!$10:$10,AU$267,'TP(분기)'!$11:$11,4)/100-AU271</f>
        <v>0</v>
      </c>
      <c r="AV322" s="5345">
        <f ca="1">SUMIFS('TP(분기)'!15:15,'TP(분기)'!$10:$10,AV$267,'TP(분기)'!$11:$11,4)/100-AV271</f>
        <v>0</v>
      </c>
      <c r="AW322" s="5345">
        <f ca="1">SUMIFS('TP(분기)'!15:15,'TP(분기)'!$10:$10,AW$267,'TP(분기)'!$11:$11,4)/100-AW271</f>
        <v>0</v>
      </c>
      <c r="AX322" s="5345">
        <f ca="1">SUMIFS('TP(분기)'!15:15,'TP(분기)'!$10:$10,AX$267,'TP(분기)'!$11:$11,4)/100-AX271</f>
        <v>0</v>
      </c>
      <c r="AY322" s="5345">
        <f ca="1">SUMIFS('TP(분기)'!15:15,'TP(분기)'!$10:$10,AY$267,'TP(분기)'!$11:$11,4)/100-AY271</f>
        <v>0</v>
      </c>
      <c r="AZ322" s="5345">
        <f ca="1">SUMIFS('TP(분기)'!15:15,'TP(분기)'!$10:$10,AZ$267,'TP(분기)'!$11:$11,4)/100-AZ271</f>
        <v>0</v>
      </c>
      <c r="BA322" s="5345">
        <f ca="1">SUMIFS('TP(분기)'!15:15,'TP(분기)'!$10:$10,BA$267,'TP(분기)'!$11:$11,4)/100-BA271</f>
        <v>0</v>
      </c>
      <c r="BB322" s="5345">
        <f ca="1">SUMIFS('TP(분기)'!15:15,'TP(분기)'!$10:$10,BB$267,'TP(분기)'!$11:$11,4)/100-BB271</f>
        <v>0</v>
      </c>
      <c r="BC322" s="5345">
        <f ca="1">SUMIFS('TP(분기)'!15:15,'TP(분기)'!$10:$10,BC$267,'TP(분기)'!$11:$11,4)/100-BC271</f>
        <v>0</v>
      </c>
      <c r="BD322" s="5345">
        <f ca="1">SUMIFS('TP(분기)'!15:15,'TP(분기)'!$10:$10,BD$267,'TP(분기)'!$11:$11,4)/100-BD271</f>
        <v>0</v>
      </c>
      <c r="BE322" s="5345">
        <f ca="1">SUMIFS('TP(분기)'!15:15,'TP(분기)'!$10:$10,BE$267,'TP(분기)'!$11:$11,4)/100-BE271</f>
        <v>0</v>
      </c>
      <c r="BF322" s="5345">
        <f ca="1">SUMIFS('TP(분기)'!15:15,'TP(분기)'!$10:$10,BF$267,'TP(분기)'!$11:$11,4)/100-BF271</f>
        <v>0</v>
      </c>
      <c r="BG322" s="5345">
        <f ca="1">SUMIFS('TP(분기)'!15:15,'TP(분기)'!$10:$10,BG$267,'TP(분기)'!$11:$11,4)/100-BG271</f>
        <v>5.1159076974727213E-13</v>
      </c>
      <c r="BH322" s="5345">
        <f ca="1">SUMIFS('TP(분기)'!15:15,'TP(분기)'!$10:$10,BH$267,'TP(분기)'!$11:$11,4)/100-BH271</f>
        <v>0</v>
      </c>
      <c r="BI322" s="5345">
        <f ca="1">SUMIFS('TP(분기)'!15:15,'TP(분기)'!$10:$10,BI$267,'TP(분기)'!$11:$11,4)/100-BI271</f>
        <v>0</v>
      </c>
      <c r="BJ322" s="5345">
        <f ca="1">SUMIFS('TP(분기)'!15:15,'TP(분기)'!$10:$10,BJ$267,'TP(분기)'!$11:$11,4)/100-BJ271</f>
        <v>0</v>
      </c>
      <c r="BK322" s="5345">
        <f ca="1">SUMIFS('TP(분기)'!15:15,'TP(분기)'!$10:$10,BK$267,'TP(분기)'!$11:$11,4)/100-BK271</f>
        <v>0</v>
      </c>
      <c r="BL322" s="5345">
        <f ca="1">SUMIFS('TP(분기)'!15:15,'TP(분기)'!$10:$10,BL$267,'TP(분기)'!$11:$11,4)/100-BL271</f>
        <v>0</v>
      </c>
      <c r="BM322" s="5345">
        <f ca="1">SUMIFS('TP(분기)'!15:15,'TP(분기)'!$10:$10,BM$267,'TP(분기)'!$11:$11,4)/100-BM271</f>
        <v>0</v>
      </c>
      <c r="BN322" s="5345">
        <f ca="1">SUMIFS('TP(분기)'!15:15,'TP(분기)'!$10:$10,BN$267,'TP(분기)'!$11:$11,2)/100-BN271</f>
        <v>-1.1523490116562982</v>
      </c>
    </row>
  </sheetData>
  <phoneticPr fontId="12" type="noConversion"/>
  <conditionalFormatting sqref="J281:BA281 W280:BN280">
    <cfRule type="cellIs" dxfId="2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54ECE-0423-43D8-9B4C-5AE124B365B6}">
  <sheetPr codeName="Sheet16">
    <tabColor rgb="FFFFFF00"/>
  </sheetPr>
  <dimension ref="A2:MT280"/>
  <sheetViews>
    <sheetView showGridLines="0" zoomScale="87" zoomScaleNormal="87" workbookViewId="0">
      <pane xSplit="9" ySplit="11" topLeftCell="CO362" activePane="bottomRight" state="frozen"/>
      <selection pane="topRight" activeCell="J1" sqref="J1"/>
      <selection pane="bottomLeft" activeCell="A12" sqref="A12"/>
      <selection pane="bottomRight" activeCell="DK383" sqref="H379:DK383"/>
    </sheetView>
  </sheetViews>
  <sheetFormatPr defaultColWidth="0" defaultRowHeight="12" outlineLevelRow="1" outlineLevelCol="1"/>
  <cols>
    <col min="1" max="1" width="0.88671875" style="2348" customWidth="1"/>
    <col min="2" max="2" width="2.5546875" style="2348" customWidth="1"/>
    <col min="3" max="3" width="1.6640625" style="2348" customWidth="1"/>
    <col min="4" max="4" width="6.33203125" style="2348" customWidth="1"/>
    <col min="5" max="5" width="8.5546875" style="2348" customWidth="1"/>
    <col min="6" max="6" width="9.44140625" style="2348" customWidth="1"/>
    <col min="7" max="7" width="12.5546875" style="2348" customWidth="1"/>
    <col min="8" max="8" width="9.33203125" style="2348" customWidth="1"/>
    <col min="9" max="9" width="0.5546875" style="2348" customWidth="1"/>
    <col min="10" max="21" width="7.6640625" style="2348" hidden="1" customWidth="1" outlineLevel="1"/>
    <col min="22" max="22" width="7.6640625" style="2348" hidden="1" customWidth="1" outlineLevel="1" collapsed="1"/>
    <col min="23" max="85" width="7.6640625" style="2348" hidden="1" customWidth="1" outlineLevel="1"/>
    <col min="86" max="86" width="7.6640625" style="2348" customWidth="1" collapsed="1"/>
    <col min="87" max="235" width="7.6640625" style="2348" customWidth="1"/>
    <col min="236" max="236" width="2" style="2348" customWidth="1"/>
    <col min="237" max="358" width="0" style="2348" hidden="1" customWidth="1"/>
    <col min="359" max="16384" width="8.88671875" style="2348" hidden="1"/>
  </cols>
  <sheetData>
    <row r="2" spans="1:356" s="305" customFormat="1" ht="18.75" customHeight="1">
      <c r="A2" s="303"/>
      <c r="B2" s="304" t="s">
        <v>3907</v>
      </c>
      <c r="C2" s="304"/>
      <c r="D2" s="304"/>
      <c r="E2" s="304"/>
      <c r="F2" s="2344"/>
      <c r="H2" s="2344"/>
      <c r="I2" s="2344"/>
      <c r="J2" s="2344"/>
      <c r="K2" s="2344"/>
      <c r="L2" s="2344"/>
      <c r="M2" s="2344"/>
      <c r="N2" s="2344"/>
      <c r="O2" s="2344"/>
    </row>
    <row r="3" spans="1:356" s="302" customFormat="1" ht="17.100000000000001" customHeight="1">
      <c r="C3" s="302" t="s">
        <v>3908</v>
      </c>
      <c r="F3" s="2345">
        <f>Sensitivity!E11</f>
        <v>39995</v>
      </c>
      <c r="G3" s="2346">
        <f>EOMONTH(F3,H3*12-1)</f>
        <v>113042</v>
      </c>
      <c r="H3" s="2347">
        <f>SUM(J3:IA3)</f>
        <v>200</v>
      </c>
      <c r="I3" s="792"/>
      <c r="J3" s="792">
        <v>0</v>
      </c>
      <c r="K3" s="792">
        <v>0</v>
      </c>
      <c r="L3" s="792">
        <v>0</v>
      </c>
      <c r="M3" s="792">
        <v>0</v>
      </c>
      <c r="N3" s="2347">
        <v>0</v>
      </c>
      <c r="O3" s="2347">
        <v>0</v>
      </c>
      <c r="P3" s="2347">
        <v>0</v>
      </c>
      <c r="Q3" s="2347">
        <v>0</v>
      </c>
      <c r="R3" s="2347">
        <v>0</v>
      </c>
      <c r="S3" s="2347">
        <v>0</v>
      </c>
      <c r="T3" s="2347">
        <v>0</v>
      </c>
      <c r="U3" s="2347">
        <v>0</v>
      </c>
      <c r="V3" s="2347">
        <v>0</v>
      </c>
      <c r="W3" s="2347">
        <v>0</v>
      </c>
      <c r="X3" s="2347">
        <v>0</v>
      </c>
      <c r="Y3" s="2347">
        <v>0</v>
      </c>
      <c r="Z3" s="2347">
        <v>0</v>
      </c>
      <c r="AA3" s="2347">
        <v>0</v>
      </c>
      <c r="AB3" s="2347">
        <v>0</v>
      </c>
      <c r="AC3" s="2347">
        <v>0</v>
      </c>
      <c r="AD3" s="2347">
        <v>0</v>
      </c>
      <c r="AE3" s="2347">
        <v>0</v>
      </c>
      <c r="AF3" s="2347">
        <v>0</v>
      </c>
      <c r="AG3" s="2347">
        <v>0</v>
      </c>
      <c r="AH3" s="2347">
        <v>0</v>
      </c>
      <c r="AI3" s="5349">
        <f>(TP!P3-SUM('TP(분기)'!AJ4:AK4))*4</f>
        <v>1.6438356164383716E-2</v>
      </c>
      <c r="AJ3" s="2347">
        <v>1</v>
      </c>
      <c r="AK3" s="2347">
        <v>1</v>
      </c>
      <c r="AL3" s="2347">
        <v>1</v>
      </c>
      <c r="AM3" s="2347">
        <v>1</v>
      </c>
      <c r="AN3" s="2347">
        <v>1</v>
      </c>
      <c r="AO3" s="2347">
        <v>1</v>
      </c>
      <c r="AP3" s="2347">
        <v>1</v>
      </c>
      <c r="AQ3" s="2347">
        <v>1</v>
      </c>
      <c r="AR3" s="2347">
        <v>1</v>
      </c>
      <c r="AS3" s="2347">
        <v>1</v>
      </c>
      <c r="AT3" s="2347">
        <v>1</v>
      </c>
      <c r="AU3" s="2347">
        <v>1</v>
      </c>
      <c r="AV3" s="2347">
        <v>1</v>
      </c>
      <c r="AW3" s="2347">
        <v>1</v>
      </c>
      <c r="AX3" s="2347">
        <v>1</v>
      </c>
      <c r="AY3" s="2347">
        <v>1</v>
      </c>
      <c r="AZ3" s="2347">
        <v>1</v>
      </c>
      <c r="BA3" s="2347">
        <v>1</v>
      </c>
      <c r="BB3" s="2347">
        <v>1</v>
      </c>
      <c r="BC3" s="2347">
        <v>1</v>
      </c>
      <c r="BD3" s="2347">
        <v>1</v>
      </c>
      <c r="BE3" s="2347">
        <v>1</v>
      </c>
      <c r="BF3" s="2347">
        <v>1</v>
      </c>
      <c r="BG3" s="2347">
        <v>1</v>
      </c>
      <c r="BH3" s="2347">
        <v>1</v>
      </c>
      <c r="BI3" s="2347">
        <v>1</v>
      </c>
      <c r="BJ3" s="2347">
        <v>1</v>
      </c>
      <c r="BK3" s="2347">
        <v>1</v>
      </c>
      <c r="BL3" s="2347">
        <v>1</v>
      </c>
      <c r="BM3" s="2347">
        <v>1</v>
      </c>
      <c r="BN3" s="2347">
        <v>1</v>
      </c>
      <c r="BO3" s="2347">
        <v>1</v>
      </c>
      <c r="BP3" s="2347">
        <v>1</v>
      </c>
      <c r="BQ3" s="2347">
        <v>1</v>
      </c>
      <c r="BR3" s="2347">
        <v>1</v>
      </c>
      <c r="BS3" s="2347">
        <v>1</v>
      </c>
      <c r="BT3" s="2347">
        <v>1</v>
      </c>
      <c r="BU3" s="2347">
        <v>1</v>
      </c>
      <c r="BV3" s="2347">
        <v>1</v>
      </c>
      <c r="BW3" s="2347">
        <v>1</v>
      </c>
      <c r="BX3" s="2347">
        <v>1</v>
      </c>
      <c r="BY3" s="2347">
        <v>1</v>
      </c>
      <c r="BZ3" s="2347">
        <v>1</v>
      </c>
      <c r="CA3" s="2347">
        <v>1</v>
      </c>
      <c r="CB3" s="2347">
        <v>1</v>
      </c>
      <c r="CC3" s="2347">
        <v>1</v>
      </c>
      <c r="CD3" s="2347">
        <v>1</v>
      </c>
      <c r="CE3" s="2347">
        <v>1</v>
      </c>
      <c r="CF3" s="2347">
        <v>1</v>
      </c>
      <c r="CG3" s="2347">
        <v>1</v>
      </c>
      <c r="CH3" s="2347">
        <v>1</v>
      </c>
      <c r="CI3" s="2347">
        <v>1</v>
      </c>
      <c r="CJ3" s="2347">
        <v>1</v>
      </c>
      <c r="CK3" s="2347">
        <v>1</v>
      </c>
      <c r="CL3" s="2347">
        <v>1</v>
      </c>
      <c r="CM3" s="2347">
        <v>1</v>
      </c>
      <c r="CN3" s="2347">
        <v>1</v>
      </c>
      <c r="CO3" s="2347">
        <v>1</v>
      </c>
      <c r="CP3" s="2347">
        <v>1</v>
      </c>
      <c r="CQ3" s="2347">
        <v>1</v>
      </c>
      <c r="CR3" s="2347">
        <v>1</v>
      </c>
      <c r="CS3" s="2347">
        <v>1</v>
      </c>
      <c r="CT3" s="2347">
        <v>1</v>
      </c>
      <c r="CU3" s="2347">
        <v>1</v>
      </c>
      <c r="CV3" s="2347">
        <v>1</v>
      </c>
      <c r="CW3" s="2347">
        <v>1</v>
      </c>
      <c r="CX3" s="2347">
        <v>1</v>
      </c>
      <c r="CY3" s="2347">
        <v>1</v>
      </c>
      <c r="CZ3" s="2347">
        <v>1</v>
      </c>
      <c r="DA3" s="2347">
        <v>1</v>
      </c>
      <c r="DB3" s="2347">
        <v>1</v>
      </c>
      <c r="DC3" s="2347">
        <v>1</v>
      </c>
      <c r="DD3" s="2347">
        <v>1</v>
      </c>
      <c r="DE3" s="2347">
        <v>1</v>
      </c>
      <c r="DF3" s="2347">
        <v>1</v>
      </c>
      <c r="DG3" s="2347">
        <v>1</v>
      </c>
      <c r="DH3" s="2347">
        <v>1</v>
      </c>
      <c r="DI3" s="2347">
        <v>1</v>
      </c>
      <c r="DJ3" s="2347">
        <v>1</v>
      </c>
      <c r="DK3" s="2347">
        <v>1</v>
      </c>
      <c r="DL3" s="2347">
        <v>1</v>
      </c>
      <c r="DM3" s="2347">
        <v>1</v>
      </c>
      <c r="DN3" s="2347">
        <v>1</v>
      </c>
      <c r="DO3" s="2347">
        <v>1</v>
      </c>
      <c r="DP3" s="2347">
        <v>1</v>
      </c>
      <c r="DQ3" s="2347">
        <v>1</v>
      </c>
      <c r="DR3" s="2347">
        <v>1</v>
      </c>
      <c r="DS3" s="2347">
        <v>1</v>
      </c>
      <c r="DT3" s="2347">
        <v>1</v>
      </c>
      <c r="DU3" s="2347">
        <v>1</v>
      </c>
      <c r="DV3" s="2347">
        <v>1</v>
      </c>
      <c r="DW3" s="2347">
        <v>1</v>
      </c>
      <c r="DX3" s="2347">
        <v>1</v>
      </c>
      <c r="DY3" s="2347">
        <v>1</v>
      </c>
      <c r="DZ3" s="2347">
        <v>1</v>
      </c>
      <c r="EA3" s="2347">
        <v>1</v>
      </c>
      <c r="EB3" s="2347">
        <v>1</v>
      </c>
      <c r="EC3" s="2347">
        <v>1</v>
      </c>
      <c r="ED3" s="2347">
        <v>1</v>
      </c>
      <c r="EE3" s="2347">
        <v>1</v>
      </c>
      <c r="EF3" s="2347">
        <v>1</v>
      </c>
      <c r="EG3" s="2347">
        <v>1</v>
      </c>
      <c r="EH3" s="2347">
        <v>1</v>
      </c>
      <c r="EI3" s="2347">
        <v>1</v>
      </c>
      <c r="EJ3" s="2347">
        <v>1</v>
      </c>
      <c r="EK3" s="2347">
        <v>1</v>
      </c>
      <c r="EL3" s="2347">
        <v>1</v>
      </c>
      <c r="EM3" s="2347">
        <v>1</v>
      </c>
      <c r="EN3" s="2347">
        <v>1</v>
      </c>
      <c r="EO3" s="2347">
        <v>1</v>
      </c>
      <c r="EP3" s="2347">
        <v>1</v>
      </c>
      <c r="EQ3" s="2347">
        <v>1</v>
      </c>
      <c r="ER3" s="2347">
        <v>1</v>
      </c>
      <c r="ES3" s="2347">
        <v>1</v>
      </c>
      <c r="ET3" s="2347">
        <v>1</v>
      </c>
      <c r="EU3" s="2347">
        <v>1</v>
      </c>
      <c r="EV3" s="2347">
        <v>1</v>
      </c>
      <c r="EW3" s="2347">
        <v>1</v>
      </c>
      <c r="EX3" s="2347">
        <v>1</v>
      </c>
      <c r="EY3" s="2347">
        <v>1</v>
      </c>
      <c r="EZ3" s="2347">
        <v>1</v>
      </c>
      <c r="FA3" s="2347">
        <v>1</v>
      </c>
      <c r="FB3" s="2347">
        <v>1</v>
      </c>
      <c r="FC3" s="2347">
        <v>1</v>
      </c>
      <c r="FD3" s="2347">
        <v>1</v>
      </c>
      <c r="FE3" s="2347">
        <v>1</v>
      </c>
      <c r="FF3" s="2347">
        <v>1</v>
      </c>
      <c r="FG3" s="2347">
        <v>1</v>
      </c>
      <c r="FH3" s="2347">
        <v>1</v>
      </c>
      <c r="FI3" s="2347">
        <v>1</v>
      </c>
      <c r="FJ3" s="2347">
        <v>1</v>
      </c>
      <c r="FK3" s="2347">
        <v>1</v>
      </c>
      <c r="FL3" s="2347">
        <v>1</v>
      </c>
      <c r="FM3" s="2347">
        <v>1</v>
      </c>
      <c r="FN3" s="2347">
        <v>1</v>
      </c>
      <c r="FO3" s="2347">
        <v>1</v>
      </c>
      <c r="FP3" s="2347">
        <v>1</v>
      </c>
      <c r="FQ3" s="2347">
        <v>1</v>
      </c>
      <c r="FR3" s="2347">
        <v>1</v>
      </c>
      <c r="FS3" s="2347">
        <v>1</v>
      </c>
      <c r="FT3" s="2347">
        <v>1</v>
      </c>
      <c r="FU3" s="2347">
        <v>1</v>
      </c>
      <c r="FV3" s="2347">
        <v>1</v>
      </c>
      <c r="FW3" s="2347">
        <v>1</v>
      </c>
      <c r="FX3" s="2347">
        <v>1</v>
      </c>
      <c r="FY3" s="2347">
        <v>1</v>
      </c>
      <c r="FZ3" s="2347">
        <v>1</v>
      </c>
      <c r="GA3" s="2347">
        <v>1</v>
      </c>
      <c r="GB3" s="2347">
        <v>1</v>
      </c>
      <c r="GC3" s="2347">
        <v>1</v>
      </c>
      <c r="GD3" s="2347">
        <v>1</v>
      </c>
      <c r="GE3" s="2347">
        <v>1</v>
      </c>
      <c r="GF3" s="2347">
        <v>1</v>
      </c>
      <c r="GG3" s="2347">
        <v>1</v>
      </c>
      <c r="GH3" s="2347">
        <v>1</v>
      </c>
      <c r="GI3" s="2347">
        <v>1</v>
      </c>
      <c r="GJ3" s="2347">
        <v>1</v>
      </c>
      <c r="GK3" s="2347">
        <v>1</v>
      </c>
      <c r="GL3" s="2347">
        <v>1</v>
      </c>
      <c r="GM3" s="2347">
        <v>1</v>
      </c>
      <c r="GN3" s="2347">
        <v>1</v>
      </c>
      <c r="GO3" s="2347">
        <v>1</v>
      </c>
      <c r="GP3" s="2347">
        <v>1</v>
      </c>
      <c r="GQ3" s="2347">
        <v>1</v>
      </c>
      <c r="GR3" s="2347">
        <v>1</v>
      </c>
      <c r="GS3" s="2347">
        <v>1</v>
      </c>
      <c r="GT3" s="2347">
        <v>1</v>
      </c>
      <c r="GU3" s="2347">
        <v>1</v>
      </c>
      <c r="GV3" s="2347">
        <v>1</v>
      </c>
      <c r="GW3" s="2347">
        <v>1</v>
      </c>
      <c r="GX3" s="2347">
        <v>1</v>
      </c>
      <c r="GY3" s="2347">
        <v>1</v>
      </c>
      <c r="GZ3" s="2347">
        <v>1</v>
      </c>
      <c r="HA3" s="2347">
        <v>1</v>
      </c>
      <c r="HB3" s="2347">
        <v>1</v>
      </c>
      <c r="HC3" s="2347">
        <v>1</v>
      </c>
      <c r="HD3" s="2347">
        <v>1</v>
      </c>
      <c r="HE3" s="2347">
        <v>1</v>
      </c>
      <c r="HF3" s="2347">
        <v>1</v>
      </c>
      <c r="HG3" s="2347">
        <v>1</v>
      </c>
      <c r="HH3" s="2347">
        <v>1</v>
      </c>
      <c r="HI3" s="2347">
        <v>1</v>
      </c>
      <c r="HJ3" s="2347">
        <v>1</v>
      </c>
      <c r="HK3" s="2347">
        <v>1</v>
      </c>
      <c r="HL3" s="2347">
        <v>1</v>
      </c>
      <c r="HM3" s="2347">
        <v>1</v>
      </c>
      <c r="HN3" s="2347">
        <v>1</v>
      </c>
      <c r="HO3" s="2347">
        <v>1</v>
      </c>
      <c r="HP3" s="2347">
        <v>1</v>
      </c>
      <c r="HQ3" s="2347">
        <v>1</v>
      </c>
      <c r="HR3" s="2347">
        <v>1</v>
      </c>
      <c r="HS3" s="2347">
        <v>1</v>
      </c>
      <c r="HT3" s="2347">
        <v>1</v>
      </c>
      <c r="HU3" s="2347">
        <v>1</v>
      </c>
      <c r="HV3" s="2347">
        <v>1</v>
      </c>
      <c r="HW3" s="2347">
        <v>1</v>
      </c>
      <c r="HX3" s="2347">
        <v>1</v>
      </c>
      <c r="HY3" s="2347">
        <v>1</v>
      </c>
      <c r="HZ3" s="2347">
        <v>1</v>
      </c>
      <c r="IA3" s="5350">
        <f>1-AI3</f>
        <v>0.98356164383561628</v>
      </c>
      <c r="KM3" s="792"/>
      <c r="KN3" s="792"/>
      <c r="KO3" s="792"/>
      <c r="KP3" s="792"/>
      <c r="KQ3" s="792"/>
      <c r="KR3" s="792"/>
      <c r="KS3" s="792"/>
      <c r="KT3" s="792"/>
      <c r="KU3" s="792"/>
      <c r="KV3" s="792"/>
      <c r="LG3" s="792"/>
      <c r="LH3" s="792"/>
      <c r="LI3" s="792"/>
      <c r="LJ3" s="792"/>
      <c r="LK3" s="792"/>
      <c r="LL3" s="792"/>
      <c r="LM3" s="792"/>
      <c r="LN3" s="792"/>
      <c r="LO3" s="792"/>
      <c r="LP3" s="792"/>
      <c r="MA3" s="792"/>
      <c r="MB3" s="792"/>
      <c r="MC3" s="792"/>
      <c r="MD3" s="792"/>
      <c r="ME3" s="792"/>
      <c r="MF3" s="792"/>
      <c r="MG3" s="792"/>
      <c r="MH3" s="792"/>
      <c r="MI3" s="792"/>
      <c r="MJ3" s="792"/>
      <c r="MK3" s="792"/>
      <c r="ML3" s="792"/>
      <c r="MM3" s="792"/>
      <c r="MN3" s="792"/>
      <c r="MO3" s="792"/>
      <c r="MP3" s="792"/>
      <c r="MQ3" s="792"/>
      <c r="MR3" s="792"/>
    </row>
    <row r="4" spans="1:356" s="302" customFormat="1" ht="17.100000000000001" customHeight="1">
      <c r="F4" s="2345"/>
      <c r="G4" s="2346"/>
      <c r="H4" s="2347">
        <f>SUM(J4:IA4)</f>
        <v>50</v>
      </c>
      <c r="I4" s="792"/>
      <c r="J4" s="5278">
        <f t="shared" ref="J4:BU4" si="0">J3/4</f>
        <v>0</v>
      </c>
      <c r="K4" s="5278">
        <f t="shared" si="0"/>
        <v>0</v>
      </c>
      <c r="L4" s="5278">
        <f t="shared" si="0"/>
        <v>0</v>
      </c>
      <c r="M4" s="5278">
        <f t="shared" si="0"/>
        <v>0</v>
      </c>
      <c r="N4" s="5278">
        <f t="shared" si="0"/>
        <v>0</v>
      </c>
      <c r="O4" s="5278">
        <f t="shared" si="0"/>
        <v>0</v>
      </c>
      <c r="P4" s="5278">
        <f t="shared" si="0"/>
        <v>0</v>
      </c>
      <c r="Q4" s="5278">
        <f t="shared" si="0"/>
        <v>0</v>
      </c>
      <c r="R4" s="5278">
        <f t="shared" si="0"/>
        <v>0</v>
      </c>
      <c r="S4" s="5278">
        <f t="shared" si="0"/>
        <v>0</v>
      </c>
      <c r="T4" s="5278">
        <f t="shared" si="0"/>
        <v>0</v>
      </c>
      <c r="U4" s="5278">
        <f t="shared" si="0"/>
        <v>0</v>
      </c>
      <c r="V4" s="5278">
        <f t="shared" si="0"/>
        <v>0</v>
      </c>
      <c r="W4" s="5278">
        <f t="shared" si="0"/>
        <v>0</v>
      </c>
      <c r="X4" s="5278">
        <f t="shared" si="0"/>
        <v>0</v>
      </c>
      <c r="Y4" s="5278">
        <f t="shared" si="0"/>
        <v>0</v>
      </c>
      <c r="Z4" s="5278">
        <f t="shared" si="0"/>
        <v>0</v>
      </c>
      <c r="AA4" s="5278">
        <f t="shared" si="0"/>
        <v>0</v>
      </c>
      <c r="AB4" s="5278">
        <f t="shared" si="0"/>
        <v>0</v>
      </c>
      <c r="AC4" s="5278">
        <f t="shared" si="0"/>
        <v>0</v>
      </c>
      <c r="AD4" s="5278">
        <f t="shared" si="0"/>
        <v>0</v>
      </c>
      <c r="AE4" s="5278">
        <f t="shared" si="0"/>
        <v>0</v>
      </c>
      <c r="AF4" s="5278">
        <f t="shared" si="0"/>
        <v>0</v>
      </c>
      <c r="AG4" s="5278">
        <f t="shared" si="0"/>
        <v>0</v>
      </c>
      <c r="AH4" s="5278">
        <f t="shared" si="0"/>
        <v>0</v>
      </c>
      <c r="AI4" s="5278">
        <f t="shared" si="0"/>
        <v>4.109589041095929E-3</v>
      </c>
      <c r="AJ4" s="5278">
        <f t="shared" si="0"/>
        <v>0.25</v>
      </c>
      <c r="AK4" s="5278">
        <f t="shared" si="0"/>
        <v>0.25</v>
      </c>
      <c r="AL4" s="5278">
        <f t="shared" si="0"/>
        <v>0.25</v>
      </c>
      <c r="AM4" s="5278">
        <f t="shared" si="0"/>
        <v>0.25</v>
      </c>
      <c r="AN4" s="5278">
        <f t="shared" si="0"/>
        <v>0.25</v>
      </c>
      <c r="AO4" s="5278">
        <f t="shared" si="0"/>
        <v>0.25</v>
      </c>
      <c r="AP4" s="5278">
        <f t="shared" si="0"/>
        <v>0.25</v>
      </c>
      <c r="AQ4" s="5278">
        <f t="shared" si="0"/>
        <v>0.25</v>
      </c>
      <c r="AR4" s="5278">
        <f t="shared" si="0"/>
        <v>0.25</v>
      </c>
      <c r="AS4" s="5278">
        <f t="shared" si="0"/>
        <v>0.25</v>
      </c>
      <c r="AT4" s="5278">
        <f t="shared" si="0"/>
        <v>0.25</v>
      </c>
      <c r="AU4" s="5278">
        <f t="shared" si="0"/>
        <v>0.25</v>
      </c>
      <c r="AV4" s="5278">
        <f t="shared" si="0"/>
        <v>0.25</v>
      </c>
      <c r="AW4" s="5278">
        <f t="shared" si="0"/>
        <v>0.25</v>
      </c>
      <c r="AX4" s="5278">
        <f t="shared" si="0"/>
        <v>0.25</v>
      </c>
      <c r="AY4" s="5278">
        <f t="shared" si="0"/>
        <v>0.25</v>
      </c>
      <c r="AZ4" s="5278">
        <f t="shared" si="0"/>
        <v>0.25</v>
      </c>
      <c r="BA4" s="5278">
        <f t="shared" si="0"/>
        <v>0.25</v>
      </c>
      <c r="BB4" s="5278">
        <f t="shared" si="0"/>
        <v>0.25</v>
      </c>
      <c r="BC4" s="5278">
        <f t="shared" si="0"/>
        <v>0.25</v>
      </c>
      <c r="BD4" s="5278">
        <f t="shared" si="0"/>
        <v>0.25</v>
      </c>
      <c r="BE4" s="5278">
        <f t="shared" si="0"/>
        <v>0.25</v>
      </c>
      <c r="BF4" s="5278">
        <f t="shared" si="0"/>
        <v>0.25</v>
      </c>
      <c r="BG4" s="5278">
        <f t="shared" si="0"/>
        <v>0.25</v>
      </c>
      <c r="BH4" s="5278">
        <f t="shared" si="0"/>
        <v>0.25</v>
      </c>
      <c r="BI4" s="5278">
        <f t="shared" si="0"/>
        <v>0.25</v>
      </c>
      <c r="BJ4" s="5278">
        <f t="shared" si="0"/>
        <v>0.25</v>
      </c>
      <c r="BK4" s="5278">
        <f t="shared" si="0"/>
        <v>0.25</v>
      </c>
      <c r="BL4" s="5278">
        <f t="shared" si="0"/>
        <v>0.25</v>
      </c>
      <c r="BM4" s="5278">
        <f t="shared" si="0"/>
        <v>0.25</v>
      </c>
      <c r="BN4" s="5278">
        <f t="shared" si="0"/>
        <v>0.25</v>
      </c>
      <c r="BO4" s="5278">
        <f t="shared" si="0"/>
        <v>0.25</v>
      </c>
      <c r="BP4" s="5278">
        <f t="shared" si="0"/>
        <v>0.25</v>
      </c>
      <c r="BQ4" s="5278">
        <f t="shared" si="0"/>
        <v>0.25</v>
      </c>
      <c r="BR4" s="5278">
        <f t="shared" si="0"/>
        <v>0.25</v>
      </c>
      <c r="BS4" s="5278">
        <f t="shared" si="0"/>
        <v>0.25</v>
      </c>
      <c r="BT4" s="5278">
        <f t="shared" si="0"/>
        <v>0.25</v>
      </c>
      <c r="BU4" s="5278">
        <f t="shared" si="0"/>
        <v>0.25</v>
      </c>
      <c r="BV4" s="5278">
        <f t="shared" ref="BV4:EG4" si="1">BV3/4</f>
        <v>0.25</v>
      </c>
      <c r="BW4" s="5278">
        <f t="shared" si="1"/>
        <v>0.25</v>
      </c>
      <c r="BX4" s="5278">
        <f t="shared" si="1"/>
        <v>0.25</v>
      </c>
      <c r="BY4" s="5278">
        <f t="shared" si="1"/>
        <v>0.25</v>
      </c>
      <c r="BZ4" s="5278">
        <f t="shared" si="1"/>
        <v>0.25</v>
      </c>
      <c r="CA4" s="5278">
        <f t="shared" si="1"/>
        <v>0.25</v>
      </c>
      <c r="CB4" s="5278">
        <f t="shared" si="1"/>
        <v>0.25</v>
      </c>
      <c r="CC4" s="5278">
        <f t="shared" si="1"/>
        <v>0.25</v>
      </c>
      <c r="CD4" s="5278">
        <f t="shared" si="1"/>
        <v>0.25</v>
      </c>
      <c r="CE4" s="5278">
        <f t="shared" si="1"/>
        <v>0.25</v>
      </c>
      <c r="CF4" s="5278">
        <f t="shared" si="1"/>
        <v>0.25</v>
      </c>
      <c r="CG4" s="5278">
        <f t="shared" si="1"/>
        <v>0.25</v>
      </c>
      <c r="CH4" s="5278">
        <f t="shared" si="1"/>
        <v>0.25</v>
      </c>
      <c r="CI4" s="5278">
        <f t="shared" si="1"/>
        <v>0.25</v>
      </c>
      <c r="CJ4" s="5278">
        <f t="shared" si="1"/>
        <v>0.25</v>
      </c>
      <c r="CK4" s="5278">
        <f t="shared" si="1"/>
        <v>0.25</v>
      </c>
      <c r="CL4" s="5278">
        <f t="shared" si="1"/>
        <v>0.25</v>
      </c>
      <c r="CM4" s="5278">
        <f t="shared" si="1"/>
        <v>0.25</v>
      </c>
      <c r="CN4" s="5278">
        <f t="shared" si="1"/>
        <v>0.25</v>
      </c>
      <c r="CO4" s="5278">
        <f t="shared" si="1"/>
        <v>0.25</v>
      </c>
      <c r="CP4" s="5278">
        <f t="shared" si="1"/>
        <v>0.25</v>
      </c>
      <c r="CQ4" s="5278">
        <f t="shared" si="1"/>
        <v>0.25</v>
      </c>
      <c r="CR4" s="5278">
        <f t="shared" si="1"/>
        <v>0.25</v>
      </c>
      <c r="CS4" s="5278">
        <f t="shared" si="1"/>
        <v>0.25</v>
      </c>
      <c r="CT4" s="5278">
        <f t="shared" si="1"/>
        <v>0.25</v>
      </c>
      <c r="CU4" s="5278">
        <f t="shared" si="1"/>
        <v>0.25</v>
      </c>
      <c r="CV4" s="5278">
        <f t="shared" si="1"/>
        <v>0.25</v>
      </c>
      <c r="CW4" s="5278">
        <f t="shared" si="1"/>
        <v>0.25</v>
      </c>
      <c r="CX4" s="5278">
        <f t="shared" si="1"/>
        <v>0.25</v>
      </c>
      <c r="CY4" s="5278">
        <f t="shared" si="1"/>
        <v>0.25</v>
      </c>
      <c r="CZ4" s="5278">
        <f t="shared" si="1"/>
        <v>0.25</v>
      </c>
      <c r="DA4" s="5278">
        <f t="shared" si="1"/>
        <v>0.25</v>
      </c>
      <c r="DB4" s="5278">
        <f t="shared" si="1"/>
        <v>0.25</v>
      </c>
      <c r="DC4" s="5278">
        <f t="shared" si="1"/>
        <v>0.25</v>
      </c>
      <c r="DD4" s="5278">
        <f t="shared" si="1"/>
        <v>0.25</v>
      </c>
      <c r="DE4" s="5278">
        <f t="shared" si="1"/>
        <v>0.25</v>
      </c>
      <c r="DF4" s="5278">
        <f t="shared" si="1"/>
        <v>0.25</v>
      </c>
      <c r="DG4" s="5278">
        <f t="shared" si="1"/>
        <v>0.25</v>
      </c>
      <c r="DH4" s="5278">
        <f t="shared" si="1"/>
        <v>0.25</v>
      </c>
      <c r="DI4" s="5278">
        <f t="shared" si="1"/>
        <v>0.25</v>
      </c>
      <c r="DJ4" s="5278">
        <f t="shared" si="1"/>
        <v>0.25</v>
      </c>
      <c r="DK4" s="5278">
        <f t="shared" si="1"/>
        <v>0.25</v>
      </c>
      <c r="DL4" s="5278">
        <f t="shared" si="1"/>
        <v>0.25</v>
      </c>
      <c r="DM4" s="5278">
        <f t="shared" si="1"/>
        <v>0.25</v>
      </c>
      <c r="DN4" s="5278">
        <f t="shared" si="1"/>
        <v>0.25</v>
      </c>
      <c r="DO4" s="5278">
        <f t="shared" si="1"/>
        <v>0.25</v>
      </c>
      <c r="DP4" s="5278">
        <f t="shared" si="1"/>
        <v>0.25</v>
      </c>
      <c r="DQ4" s="5278">
        <f t="shared" si="1"/>
        <v>0.25</v>
      </c>
      <c r="DR4" s="5278">
        <f t="shared" si="1"/>
        <v>0.25</v>
      </c>
      <c r="DS4" s="5278">
        <f t="shared" si="1"/>
        <v>0.25</v>
      </c>
      <c r="DT4" s="5278">
        <f t="shared" si="1"/>
        <v>0.25</v>
      </c>
      <c r="DU4" s="5278">
        <f t="shared" si="1"/>
        <v>0.25</v>
      </c>
      <c r="DV4" s="5278">
        <f t="shared" si="1"/>
        <v>0.25</v>
      </c>
      <c r="DW4" s="5278">
        <f t="shared" si="1"/>
        <v>0.25</v>
      </c>
      <c r="DX4" s="5278">
        <f t="shared" si="1"/>
        <v>0.25</v>
      </c>
      <c r="DY4" s="5278">
        <f t="shared" si="1"/>
        <v>0.25</v>
      </c>
      <c r="DZ4" s="5278">
        <f t="shared" si="1"/>
        <v>0.25</v>
      </c>
      <c r="EA4" s="5278">
        <f t="shared" si="1"/>
        <v>0.25</v>
      </c>
      <c r="EB4" s="5278">
        <f t="shared" si="1"/>
        <v>0.25</v>
      </c>
      <c r="EC4" s="5278">
        <f t="shared" si="1"/>
        <v>0.25</v>
      </c>
      <c r="ED4" s="5278">
        <f t="shared" si="1"/>
        <v>0.25</v>
      </c>
      <c r="EE4" s="5278">
        <f t="shared" si="1"/>
        <v>0.25</v>
      </c>
      <c r="EF4" s="5278">
        <f t="shared" si="1"/>
        <v>0.25</v>
      </c>
      <c r="EG4" s="5278">
        <f t="shared" si="1"/>
        <v>0.25</v>
      </c>
      <c r="EH4" s="5278">
        <f t="shared" ref="EH4:GS4" si="2">EH3/4</f>
        <v>0.25</v>
      </c>
      <c r="EI4" s="5278">
        <f t="shared" si="2"/>
        <v>0.25</v>
      </c>
      <c r="EJ4" s="5278">
        <f t="shared" si="2"/>
        <v>0.25</v>
      </c>
      <c r="EK4" s="5278">
        <f t="shared" si="2"/>
        <v>0.25</v>
      </c>
      <c r="EL4" s="5278">
        <f t="shared" si="2"/>
        <v>0.25</v>
      </c>
      <c r="EM4" s="5278">
        <f t="shared" si="2"/>
        <v>0.25</v>
      </c>
      <c r="EN4" s="5278">
        <f t="shared" si="2"/>
        <v>0.25</v>
      </c>
      <c r="EO4" s="5278">
        <f t="shared" si="2"/>
        <v>0.25</v>
      </c>
      <c r="EP4" s="5278">
        <f t="shared" si="2"/>
        <v>0.25</v>
      </c>
      <c r="EQ4" s="5278">
        <f t="shared" si="2"/>
        <v>0.25</v>
      </c>
      <c r="ER4" s="5278">
        <f t="shared" si="2"/>
        <v>0.25</v>
      </c>
      <c r="ES4" s="5278">
        <f t="shared" si="2"/>
        <v>0.25</v>
      </c>
      <c r="ET4" s="5278">
        <f t="shared" si="2"/>
        <v>0.25</v>
      </c>
      <c r="EU4" s="5278">
        <f t="shared" si="2"/>
        <v>0.25</v>
      </c>
      <c r="EV4" s="5278">
        <f t="shared" si="2"/>
        <v>0.25</v>
      </c>
      <c r="EW4" s="5278">
        <f t="shared" si="2"/>
        <v>0.25</v>
      </c>
      <c r="EX4" s="5278">
        <f t="shared" si="2"/>
        <v>0.25</v>
      </c>
      <c r="EY4" s="5278">
        <f t="shared" si="2"/>
        <v>0.25</v>
      </c>
      <c r="EZ4" s="5278">
        <f t="shared" si="2"/>
        <v>0.25</v>
      </c>
      <c r="FA4" s="5278">
        <f t="shared" si="2"/>
        <v>0.25</v>
      </c>
      <c r="FB4" s="5278">
        <f t="shared" si="2"/>
        <v>0.25</v>
      </c>
      <c r="FC4" s="5278">
        <f t="shared" si="2"/>
        <v>0.25</v>
      </c>
      <c r="FD4" s="5278">
        <f t="shared" si="2"/>
        <v>0.25</v>
      </c>
      <c r="FE4" s="5278">
        <f t="shared" si="2"/>
        <v>0.25</v>
      </c>
      <c r="FF4" s="5278">
        <f t="shared" si="2"/>
        <v>0.25</v>
      </c>
      <c r="FG4" s="5278">
        <f t="shared" si="2"/>
        <v>0.25</v>
      </c>
      <c r="FH4" s="5278">
        <f t="shared" si="2"/>
        <v>0.25</v>
      </c>
      <c r="FI4" s="5278">
        <f t="shared" si="2"/>
        <v>0.25</v>
      </c>
      <c r="FJ4" s="5278">
        <f t="shared" si="2"/>
        <v>0.25</v>
      </c>
      <c r="FK4" s="5278">
        <f t="shared" si="2"/>
        <v>0.25</v>
      </c>
      <c r="FL4" s="5278">
        <f t="shared" si="2"/>
        <v>0.25</v>
      </c>
      <c r="FM4" s="5278">
        <f t="shared" si="2"/>
        <v>0.25</v>
      </c>
      <c r="FN4" s="5278">
        <f t="shared" si="2"/>
        <v>0.25</v>
      </c>
      <c r="FO4" s="5278">
        <f t="shared" si="2"/>
        <v>0.25</v>
      </c>
      <c r="FP4" s="5278">
        <f t="shared" si="2"/>
        <v>0.25</v>
      </c>
      <c r="FQ4" s="5278">
        <f t="shared" si="2"/>
        <v>0.25</v>
      </c>
      <c r="FR4" s="5278">
        <f t="shared" si="2"/>
        <v>0.25</v>
      </c>
      <c r="FS4" s="5278">
        <f t="shared" si="2"/>
        <v>0.25</v>
      </c>
      <c r="FT4" s="5278">
        <f t="shared" si="2"/>
        <v>0.25</v>
      </c>
      <c r="FU4" s="5278">
        <f t="shared" si="2"/>
        <v>0.25</v>
      </c>
      <c r="FV4" s="5278">
        <f t="shared" si="2"/>
        <v>0.25</v>
      </c>
      <c r="FW4" s="5278">
        <f t="shared" si="2"/>
        <v>0.25</v>
      </c>
      <c r="FX4" s="5278">
        <f t="shared" si="2"/>
        <v>0.25</v>
      </c>
      <c r="FY4" s="5278">
        <f t="shared" si="2"/>
        <v>0.25</v>
      </c>
      <c r="FZ4" s="5278">
        <f t="shared" si="2"/>
        <v>0.25</v>
      </c>
      <c r="GA4" s="5278">
        <f t="shared" si="2"/>
        <v>0.25</v>
      </c>
      <c r="GB4" s="5278">
        <f t="shared" si="2"/>
        <v>0.25</v>
      </c>
      <c r="GC4" s="5278">
        <f t="shared" si="2"/>
        <v>0.25</v>
      </c>
      <c r="GD4" s="5278">
        <f t="shared" si="2"/>
        <v>0.25</v>
      </c>
      <c r="GE4" s="5278">
        <f t="shared" si="2"/>
        <v>0.25</v>
      </c>
      <c r="GF4" s="5278">
        <f t="shared" si="2"/>
        <v>0.25</v>
      </c>
      <c r="GG4" s="5278">
        <f t="shared" si="2"/>
        <v>0.25</v>
      </c>
      <c r="GH4" s="5278">
        <f t="shared" si="2"/>
        <v>0.25</v>
      </c>
      <c r="GI4" s="5278">
        <f t="shared" si="2"/>
        <v>0.25</v>
      </c>
      <c r="GJ4" s="5278">
        <f t="shared" si="2"/>
        <v>0.25</v>
      </c>
      <c r="GK4" s="5278">
        <f t="shared" si="2"/>
        <v>0.25</v>
      </c>
      <c r="GL4" s="5278">
        <f t="shared" si="2"/>
        <v>0.25</v>
      </c>
      <c r="GM4" s="5278">
        <f t="shared" si="2"/>
        <v>0.25</v>
      </c>
      <c r="GN4" s="5278">
        <f t="shared" si="2"/>
        <v>0.25</v>
      </c>
      <c r="GO4" s="5278">
        <f t="shared" si="2"/>
        <v>0.25</v>
      </c>
      <c r="GP4" s="5278">
        <f t="shared" si="2"/>
        <v>0.25</v>
      </c>
      <c r="GQ4" s="5278">
        <f t="shared" si="2"/>
        <v>0.25</v>
      </c>
      <c r="GR4" s="5278">
        <f t="shared" si="2"/>
        <v>0.25</v>
      </c>
      <c r="GS4" s="5278">
        <f t="shared" si="2"/>
        <v>0.25</v>
      </c>
      <c r="GT4" s="5278">
        <f t="shared" ref="GT4:IA4" si="3">GT3/4</f>
        <v>0.25</v>
      </c>
      <c r="GU4" s="5278">
        <f t="shared" si="3"/>
        <v>0.25</v>
      </c>
      <c r="GV4" s="5278">
        <f t="shared" si="3"/>
        <v>0.25</v>
      </c>
      <c r="GW4" s="5278">
        <f t="shared" si="3"/>
        <v>0.25</v>
      </c>
      <c r="GX4" s="5278">
        <f t="shared" si="3"/>
        <v>0.25</v>
      </c>
      <c r="GY4" s="5278">
        <f t="shared" si="3"/>
        <v>0.25</v>
      </c>
      <c r="GZ4" s="5278">
        <f t="shared" si="3"/>
        <v>0.25</v>
      </c>
      <c r="HA4" s="5278">
        <f t="shared" si="3"/>
        <v>0.25</v>
      </c>
      <c r="HB4" s="5278">
        <f t="shared" si="3"/>
        <v>0.25</v>
      </c>
      <c r="HC4" s="5278">
        <f t="shared" si="3"/>
        <v>0.25</v>
      </c>
      <c r="HD4" s="5278">
        <f t="shared" si="3"/>
        <v>0.25</v>
      </c>
      <c r="HE4" s="5278">
        <f t="shared" si="3"/>
        <v>0.25</v>
      </c>
      <c r="HF4" s="5278">
        <f t="shared" si="3"/>
        <v>0.25</v>
      </c>
      <c r="HG4" s="5278">
        <f t="shared" si="3"/>
        <v>0.25</v>
      </c>
      <c r="HH4" s="5278">
        <f t="shared" si="3"/>
        <v>0.25</v>
      </c>
      <c r="HI4" s="5278">
        <f t="shared" si="3"/>
        <v>0.25</v>
      </c>
      <c r="HJ4" s="5278">
        <f t="shared" si="3"/>
        <v>0.25</v>
      </c>
      <c r="HK4" s="5278">
        <f t="shared" si="3"/>
        <v>0.25</v>
      </c>
      <c r="HL4" s="5278">
        <f t="shared" si="3"/>
        <v>0.25</v>
      </c>
      <c r="HM4" s="5278">
        <f t="shared" si="3"/>
        <v>0.25</v>
      </c>
      <c r="HN4" s="5278">
        <f t="shared" si="3"/>
        <v>0.25</v>
      </c>
      <c r="HO4" s="5278">
        <f t="shared" si="3"/>
        <v>0.25</v>
      </c>
      <c r="HP4" s="5278">
        <f t="shared" si="3"/>
        <v>0.25</v>
      </c>
      <c r="HQ4" s="5278">
        <f t="shared" si="3"/>
        <v>0.25</v>
      </c>
      <c r="HR4" s="5278">
        <f t="shared" si="3"/>
        <v>0.25</v>
      </c>
      <c r="HS4" s="5278">
        <f t="shared" si="3"/>
        <v>0.25</v>
      </c>
      <c r="HT4" s="5278">
        <f t="shared" si="3"/>
        <v>0.25</v>
      </c>
      <c r="HU4" s="5278">
        <f t="shared" si="3"/>
        <v>0.25</v>
      </c>
      <c r="HV4" s="5278">
        <f t="shared" si="3"/>
        <v>0.25</v>
      </c>
      <c r="HW4" s="5278">
        <f t="shared" si="3"/>
        <v>0.25</v>
      </c>
      <c r="HX4" s="5278">
        <f t="shared" si="3"/>
        <v>0.25</v>
      </c>
      <c r="HY4" s="5278">
        <f t="shared" si="3"/>
        <v>0.25</v>
      </c>
      <c r="HZ4" s="5278">
        <f t="shared" si="3"/>
        <v>0.25</v>
      </c>
      <c r="IA4" s="5278">
        <f t="shared" si="3"/>
        <v>0.24589041095890407</v>
      </c>
      <c r="KM4" s="792"/>
      <c r="KN4" s="792"/>
      <c r="KO4" s="792"/>
      <c r="KP4" s="792"/>
      <c r="KQ4" s="792"/>
      <c r="KR4" s="792"/>
      <c r="KS4" s="792"/>
      <c r="KT4" s="792"/>
      <c r="KU4" s="792"/>
      <c r="KV4" s="792"/>
      <c r="LG4" s="792"/>
      <c r="LH4" s="792"/>
      <c r="LI4" s="792"/>
      <c r="LJ4" s="792"/>
      <c r="LK4" s="792"/>
      <c r="LL4" s="792"/>
      <c r="LM4" s="792"/>
      <c r="LN4" s="792"/>
      <c r="LO4" s="792"/>
      <c r="LP4" s="792"/>
      <c r="MA4" s="792"/>
      <c r="MB4" s="792"/>
      <c r="MC4" s="792"/>
      <c r="MD4" s="792"/>
      <c r="ME4" s="792"/>
      <c r="MF4" s="792"/>
      <c r="MG4" s="792"/>
      <c r="MH4" s="792"/>
      <c r="MI4" s="792"/>
      <c r="MJ4" s="792"/>
      <c r="MK4" s="792"/>
      <c r="ML4" s="792"/>
      <c r="MM4" s="792"/>
      <c r="MN4" s="792"/>
      <c r="MO4" s="792"/>
      <c r="MP4" s="792"/>
      <c r="MQ4" s="792"/>
      <c r="MR4" s="792"/>
    </row>
    <row r="5" spans="1:356" s="302" customFormat="1" ht="17.100000000000001" customHeight="1">
      <c r="C5" s="302" t="s">
        <v>3909</v>
      </c>
      <c r="F5" s="2345">
        <v>37803</v>
      </c>
      <c r="G5" s="2346">
        <f>F3-1</f>
        <v>39994</v>
      </c>
      <c r="H5" s="2347">
        <f>SUM(J5:AT5)</f>
        <v>24</v>
      </c>
      <c r="I5" s="2347"/>
      <c r="J5" s="2347">
        <v>0</v>
      </c>
      <c r="K5" s="2347">
        <v>0</v>
      </c>
      <c r="L5" s="2347">
        <v>1</v>
      </c>
      <c r="M5" s="2347">
        <v>1</v>
      </c>
      <c r="N5" s="2347">
        <v>1</v>
      </c>
      <c r="O5" s="2347">
        <v>1</v>
      </c>
      <c r="P5" s="2347">
        <v>1</v>
      </c>
      <c r="Q5" s="2347">
        <v>1</v>
      </c>
      <c r="R5" s="2347">
        <v>1</v>
      </c>
      <c r="S5" s="2347">
        <v>1</v>
      </c>
      <c r="T5" s="2347">
        <v>1</v>
      </c>
      <c r="U5" s="2347">
        <v>1</v>
      </c>
      <c r="V5" s="2347">
        <v>1</v>
      </c>
      <c r="W5" s="2347">
        <v>1</v>
      </c>
      <c r="X5" s="2347">
        <v>1</v>
      </c>
      <c r="Y5" s="2347">
        <v>1</v>
      </c>
      <c r="Z5" s="2347">
        <v>1</v>
      </c>
      <c r="AA5" s="2347">
        <v>1</v>
      </c>
      <c r="AB5" s="2347">
        <v>1</v>
      </c>
      <c r="AC5" s="2347">
        <v>1</v>
      </c>
      <c r="AD5" s="2347">
        <v>1</v>
      </c>
      <c r="AE5" s="2347">
        <v>1</v>
      </c>
      <c r="AF5" s="2347">
        <v>1</v>
      </c>
      <c r="AG5" s="2347">
        <v>1</v>
      </c>
      <c r="AH5" s="2347">
        <v>1</v>
      </c>
      <c r="AI5" s="2347">
        <v>1</v>
      </c>
      <c r="AJ5" s="2347"/>
      <c r="AK5" s="2347"/>
      <c r="AL5" s="2347"/>
      <c r="AM5" s="2347"/>
      <c r="AN5" s="1256"/>
      <c r="AO5" s="1256"/>
      <c r="AP5" s="1256"/>
      <c r="AQ5" s="1256"/>
      <c r="AR5" s="1256"/>
      <c r="AS5" s="1256"/>
      <c r="AT5" s="1256"/>
      <c r="AU5" s="1256"/>
      <c r="AV5" s="1256"/>
      <c r="AW5" s="1256"/>
      <c r="AX5" s="1256"/>
      <c r="AY5" s="1256"/>
      <c r="AZ5" s="1256"/>
      <c r="BA5" s="1256"/>
      <c r="BB5" s="1256"/>
      <c r="BC5" s="1256"/>
      <c r="BD5" s="1256"/>
      <c r="BE5" s="1256"/>
      <c r="BF5" s="1256"/>
      <c r="BG5" s="1256"/>
      <c r="BH5" s="1256"/>
      <c r="BI5" s="1256"/>
      <c r="BJ5" s="1256"/>
      <c r="BK5" s="1256"/>
      <c r="BL5" s="1256"/>
      <c r="BM5" s="1256"/>
      <c r="BN5" s="1256"/>
      <c r="BO5" s="1256"/>
      <c r="BP5" s="1256"/>
      <c r="BQ5" s="1256"/>
      <c r="BR5" s="1256"/>
      <c r="BS5" s="1256"/>
      <c r="BT5" s="1256"/>
      <c r="BU5" s="1256"/>
      <c r="BV5" s="1256"/>
      <c r="BW5" s="1256"/>
      <c r="BX5" s="1256"/>
      <c r="BY5" s="1256"/>
      <c r="BZ5" s="1256"/>
      <c r="CA5" s="1256"/>
      <c r="CB5" s="1256"/>
      <c r="CC5" s="1256"/>
      <c r="CD5" s="1256"/>
      <c r="CE5" s="1256"/>
      <c r="CF5" s="1256"/>
      <c r="CG5" s="1256"/>
      <c r="CH5" s="1256"/>
      <c r="CI5" s="1256"/>
      <c r="CJ5" s="1256"/>
      <c r="CK5" s="1256"/>
      <c r="CL5" s="1256"/>
      <c r="CM5" s="1256"/>
      <c r="CN5" s="1256"/>
      <c r="CO5" s="1256"/>
      <c r="CP5" s="1256"/>
      <c r="CQ5" s="1256"/>
      <c r="CR5" s="1256"/>
      <c r="CS5" s="1256"/>
      <c r="CT5" s="1256"/>
      <c r="CU5" s="1256"/>
      <c r="CV5" s="1256"/>
      <c r="CW5" s="1256"/>
      <c r="CX5" s="1256"/>
      <c r="CY5" s="1256"/>
      <c r="CZ5" s="1256"/>
      <c r="DA5" s="1256"/>
      <c r="DB5" s="1256"/>
      <c r="DC5" s="1256"/>
      <c r="DD5" s="1256"/>
      <c r="DE5" s="1256"/>
      <c r="DF5" s="1256"/>
      <c r="DG5" s="1256"/>
      <c r="DH5" s="1256"/>
      <c r="DI5" s="1256"/>
      <c r="DJ5" s="1256"/>
      <c r="DK5" s="1256"/>
      <c r="DL5" s="1256"/>
      <c r="DM5" s="1256"/>
      <c r="DN5" s="1256"/>
      <c r="DO5" s="1256"/>
      <c r="DP5" s="1256"/>
      <c r="DQ5" s="1256"/>
      <c r="DR5" s="1256"/>
      <c r="DS5" s="1256"/>
      <c r="DT5" s="1256"/>
      <c r="DU5" s="1256"/>
      <c r="DV5" s="1256"/>
      <c r="DW5" s="1256"/>
      <c r="DX5" s="1256"/>
      <c r="DY5" s="1256"/>
      <c r="DZ5" s="1256"/>
      <c r="EA5" s="1256"/>
      <c r="EB5" s="1256"/>
      <c r="EC5" s="1256"/>
      <c r="ED5" s="1256"/>
      <c r="EE5" s="1256"/>
      <c r="EF5" s="1256"/>
      <c r="EG5" s="1256"/>
      <c r="EH5" s="1256"/>
      <c r="EI5" s="1256"/>
      <c r="EJ5" s="1256"/>
      <c r="EK5" s="1256"/>
      <c r="EL5" s="1256"/>
      <c r="EM5" s="1256"/>
      <c r="EN5" s="1256"/>
      <c r="EO5" s="1256"/>
      <c r="EP5" s="1256"/>
      <c r="EQ5" s="1256"/>
      <c r="ER5" s="1256"/>
      <c r="ES5" s="1256"/>
      <c r="ET5" s="1256"/>
      <c r="EU5" s="1256"/>
      <c r="EV5" s="1256"/>
      <c r="EW5" s="1256"/>
      <c r="EX5" s="1256"/>
      <c r="EY5" s="1256"/>
      <c r="EZ5" s="1256"/>
      <c r="FA5" s="1256"/>
      <c r="FB5" s="1256"/>
      <c r="FC5" s="1256"/>
      <c r="FD5" s="1256"/>
      <c r="FE5" s="1256"/>
      <c r="FF5" s="1256"/>
      <c r="FG5" s="1256"/>
      <c r="FH5" s="1256"/>
      <c r="FI5" s="1256"/>
      <c r="FJ5" s="1256"/>
      <c r="FK5" s="1256"/>
      <c r="FL5" s="1256"/>
      <c r="FM5" s="1256"/>
      <c r="FN5" s="1256"/>
      <c r="FO5" s="1256"/>
      <c r="FP5" s="1256"/>
      <c r="FQ5" s="1256"/>
      <c r="FR5" s="1256"/>
      <c r="FS5" s="1256"/>
      <c r="FT5" s="1256"/>
      <c r="FU5" s="1256"/>
      <c r="FV5" s="1256"/>
      <c r="FW5" s="1256"/>
      <c r="FX5" s="1256"/>
      <c r="FY5" s="1256"/>
      <c r="FZ5" s="1256"/>
      <c r="GA5" s="1256"/>
      <c r="GB5" s="1256"/>
      <c r="GC5" s="1256"/>
      <c r="GD5" s="1256"/>
      <c r="GE5" s="1256"/>
      <c r="GF5" s="1256"/>
      <c r="GG5" s="1256"/>
      <c r="GH5" s="1256"/>
      <c r="GI5" s="1256"/>
      <c r="GJ5" s="1256"/>
      <c r="GK5" s="1256"/>
      <c r="GL5" s="1256"/>
      <c r="GM5" s="1256"/>
      <c r="GN5" s="1256"/>
      <c r="GO5" s="1256"/>
      <c r="GP5" s="1256"/>
      <c r="GQ5" s="1256"/>
      <c r="GR5" s="1256"/>
      <c r="GS5" s="1256"/>
      <c r="GT5" s="1256"/>
      <c r="GU5" s="1256"/>
      <c r="GV5" s="1256"/>
      <c r="GW5" s="1256"/>
      <c r="GX5" s="1256"/>
      <c r="GY5" s="1256"/>
      <c r="GZ5" s="1256"/>
      <c r="HA5" s="1256"/>
      <c r="HB5" s="1256"/>
      <c r="HC5" s="1256"/>
      <c r="HD5" s="1256"/>
      <c r="HE5" s="1256"/>
      <c r="HF5" s="1256"/>
      <c r="HG5" s="1256"/>
      <c r="HH5" s="1256"/>
      <c r="HI5" s="1256"/>
      <c r="HJ5" s="1256"/>
      <c r="HK5" s="1256"/>
      <c r="HL5" s="1256"/>
      <c r="HM5" s="1256"/>
      <c r="HN5" s="1256"/>
      <c r="HO5" s="1256"/>
      <c r="HP5" s="1256"/>
      <c r="HQ5" s="1256"/>
      <c r="HR5" s="1256"/>
      <c r="HS5" s="1256"/>
      <c r="HT5" s="1256"/>
      <c r="HU5" s="1256"/>
      <c r="HV5" s="1256"/>
      <c r="HW5" s="1256"/>
      <c r="HX5" s="1256"/>
      <c r="HY5" s="1256"/>
      <c r="HZ5" s="1256"/>
      <c r="IA5" s="1256"/>
      <c r="KM5" s="792"/>
      <c r="KN5" s="792"/>
      <c r="KO5" s="792"/>
      <c r="KP5" s="792"/>
      <c r="KQ5" s="792"/>
      <c r="KR5" s="792"/>
      <c r="KS5" s="792"/>
      <c r="KT5" s="792"/>
      <c r="KU5" s="792"/>
      <c r="KV5" s="792"/>
      <c r="LG5" s="792"/>
      <c r="LH5" s="792"/>
      <c r="LI5" s="792"/>
      <c r="LJ5" s="792"/>
      <c r="LK5" s="792"/>
      <c r="LL5" s="792"/>
      <c r="LM5" s="792"/>
      <c r="LN5" s="792"/>
      <c r="LO5" s="792"/>
      <c r="LP5" s="792"/>
      <c r="MA5" s="792"/>
      <c r="MB5" s="792"/>
      <c r="MC5" s="792"/>
      <c r="MD5" s="792"/>
      <c r="ME5" s="792"/>
      <c r="MF5" s="792"/>
      <c r="MG5" s="792"/>
      <c r="MH5" s="792"/>
      <c r="MI5" s="792"/>
      <c r="MJ5" s="792"/>
      <c r="MK5" s="792"/>
      <c r="ML5" s="792"/>
      <c r="MM5" s="792"/>
      <c r="MN5" s="792"/>
      <c r="MO5" s="792"/>
      <c r="MP5" s="792"/>
      <c r="MQ5" s="792"/>
      <c r="MR5" s="792"/>
    </row>
    <row r="6" spans="1:356" s="2349" customFormat="1" ht="9" customHeight="1"/>
    <row r="7" spans="1:356" ht="9" customHeight="1"/>
    <row r="8" spans="1:356" ht="15.75" customHeight="1">
      <c r="B8" s="2350" t="s">
        <v>3910</v>
      </c>
    </row>
    <row r="9" spans="1:356" ht="15.75" customHeight="1">
      <c r="B9" s="2350"/>
    </row>
    <row r="10" spans="1:356" ht="15.75" customHeight="1">
      <c r="C10" s="2351" t="s">
        <v>11</v>
      </c>
      <c r="D10" s="2352"/>
      <c r="E10" s="2352"/>
      <c r="F10" s="2352"/>
      <c r="G10" s="2352"/>
      <c r="H10" s="766" t="s">
        <v>40</v>
      </c>
      <c r="J10" s="5062">
        <f t="shared" ref="J10:BU10" si="4">J18</f>
        <v>2003</v>
      </c>
      <c r="K10" s="5062">
        <f t="shared" si="4"/>
        <v>2003</v>
      </c>
      <c r="L10" s="5062">
        <f t="shared" si="4"/>
        <v>2003</v>
      </c>
      <c r="M10" s="5062">
        <f t="shared" si="4"/>
        <v>2003</v>
      </c>
      <c r="N10" s="5062">
        <f t="shared" si="4"/>
        <v>2004</v>
      </c>
      <c r="O10" s="5062">
        <f t="shared" si="4"/>
        <v>2004</v>
      </c>
      <c r="P10" s="5062">
        <f t="shared" si="4"/>
        <v>2004</v>
      </c>
      <c r="Q10" s="5062">
        <f t="shared" si="4"/>
        <v>2004</v>
      </c>
      <c r="R10" s="5062">
        <f t="shared" si="4"/>
        <v>2005</v>
      </c>
      <c r="S10" s="5062">
        <f t="shared" si="4"/>
        <v>2005</v>
      </c>
      <c r="T10" s="5062">
        <f t="shared" si="4"/>
        <v>2005</v>
      </c>
      <c r="U10" s="5062">
        <f t="shared" si="4"/>
        <v>2005</v>
      </c>
      <c r="V10" s="5062">
        <f t="shared" si="4"/>
        <v>2006</v>
      </c>
      <c r="W10" s="5062">
        <f t="shared" si="4"/>
        <v>2006</v>
      </c>
      <c r="X10" s="5062">
        <f t="shared" si="4"/>
        <v>2006</v>
      </c>
      <c r="Y10" s="5062">
        <f t="shared" si="4"/>
        <v>2006</v>
      </c>
      <c r="Z10" s="5062">
        <f t="shared" si="4"/>
        <v>2007</v>
      </c>
      <c r="AA10" s="5062">
        <f t="shared" si="4"/>
        <v>2007</v>
      </c>
      <c r="AB10" s="5293">
        <f t="shared" si="4"/>
        <v>2007</v>
      </c>
      <c r="AC10" s="5293">
        <f t="shared" si="4"/>
        <v>2007</v>
      </c>
      <c r="AD10" s="5293">
        <f t="shared" si="4"/>
        <v>2008</v>
      </c>
      <c r="AE10" s="5293">
        <f t="shared" si="4"/>
        <v>2008</v>
      </c>
      <c r="AF10" s="5293">
        <f t="shared" si="4"/>
        <v>2008</v>
      </c>
      <c r="AG10" s="5293">
        <f t="shared" si="4"/>
        <v>2008</v>
      </c>
      <c r="AH10" s="5293">
        <f t="shared" si="4"/>
        <v>2009</v>
      </c>
      <c r="AI10" s="5293">
        <f t="shared" si="4"/>
        <v>2009</v>
      </c>
      <c r="AJ10" s="5293">
        <f t="shared" si="4"/>
        <v>2009</v>
      </c>
      <c r="AK10" s="5293">
        <f t="shared" si="4"/>
        <v>2009</v>
      </c>
      <c r="AL10" s="5293">
        <f t="shared" si="4"/>
        <v>2010</v>
      </c>
      <c r="AM10" s="5293">
        <f t="shared" si="4"/>
        <v>2010</v>
      </c>
      <c r="AN10" s="5293">
        <f t="shared" si="4"/>
        <v>2010</v>
      </c>
      <c r="AO10" s="5293">
        <f t="shared" si="4"/>
        <v>2010</v>
      </c>
      <c r="AP10" s="5293">
        <f t="shared" si="4"/>
        <v>2011</v>
      </c>
      <c r="AQ10" s="5293">
        <f t="shared" si="4"/>
        <v>2011</v>
      </c>
      <c r="AR10" s="5293">
        <f t="shared" si="4"/>
        <v>2011</v>
      </c>
      <c r="AS10" s="5293">
        <f t="shared" si="4"/>
        <v>2011</v>
      </c>
      <c r="AT10" s="5293">
        <f t="shared" si="4"/>
        <v>2012</v>
      </c>
      <c r="AU10" s="5293">
        <f t="shared" si="4"/>
        <v>2012</v>
      </c>
      <c r="AV10" s="5293">
        <f t="shared" si="4"/>
        <v>2012</v>
      </c>
      <c r="AW10" s="5293">
        <f t="shared" si="4"/>
        <v>2012</v>
      </c>
      <c r="AX10" s="5293">
        <f t="shared" si="4"/>
        <v>2013</v>
      </c>
      <c r="AY10" s="5293">
        <f t="shared" si="4"/>
        <v>2013</v>
      </c>
      <c r="AZ10" s="5293">
        <f t="shared" si="4"/>
        <v>2013</v>
      </c>
      <c r="BA10" s="5293">
        <f t="shared" si="4"/>
        <v>2013</v>
      </c>
      <c r="BB10" s="5293">
        <f t="shared" si="4"/>
        <v>2014</v>
      </c>
      <c r="BC10" s="5293">
        <f t="shared" si="4"/>
        <v>2014</v>
      </c>
      <c r="BD10" s="5293">
        <f t="shared" si="4"/>
        <v>2014</v>
      </c>
      <c r="BE10" s="5293">
        <f t="shared" si="4"/>
        <v>2014</v>
      </c>
      <c r="BF10" s="5293">
        <f t="shared" si="4"/>
        <v>2015</v>
      </c>
      <c r="BG10" s="5293">
        <f t="shared" si="4"/>
        <v>2015</v>
      </c>
      <c r="BH10" s="5293">
        <f t="shared" si="4"/>
        <v>2015</v>
      </c>
      <c r="BI10" s="5293">
        <f t="shared" si="4"/>
        <v>2015</v>
      </c>
      <c r="BJ10" s="5293">
        <f t="shared" si="4"/>
        <v>2016</v>
      </c>
      <c r="BK10" s="5293">
        <f t="shared" si="4"/>
        <v>2016</v>
      </c>
      <c r="BL10" s="5293">
        <f t="shared" si="4"/>
        <v>2016</v>
      </c>
      <c r="BM10" s="5293">
        <f t="shared" si="4"/>
        <v>2016</v>
      </c>
      <c r="BN10" s="5293">
        <f t="shared" si="4"/>
        <v>2017</v>
      </c>
      <c r="BO10" s="5293">
        <f t="shared" si="4"/>
        <v>2017</v>
      </c>
      <c r="BP10" s="5293">
        <f t="shared" si="4"/>
        <v>2017</v>
      </c>
      <c r="BQ10" s="5293">
        <f t="shared" si="4"/>
        <v>2017</v>
      </c>
      <c r="BR10" s="5293">
        <f t="shared" si="4"/>
        <v>2018</v>
      </c>
      <c r="BS10" s="5293">
        <f t="shared" si="4"/>
        <v>2018</v>
      </c>
      <c r="BT10" s="5293">
        <f t="shared" si="4"/>
        <v>2018</v>
      </c>
      <c r="BU10" s="5293">
        <f t="shared" si="4"/>
        <v>2018</v>
      </c>
      <c r="BV10" s="5293">
        <f t="shared" ref="BV10:EG10" si="5">BV18</f>
        <v>2019</v>
      </c>
      <c r="BW10" s="5293">
        <f t="shared" si="5"/>
        <v>2019</v>
      </c>
      <c r="BX10" s="5293">
        <f t="shared" si="5"/>
        <v>2019</v>
      </c>
      <c r="BY10" s="5293">
        <f t="shared" si="5"/>
        <v>2019</v>
      </c>
      <c r="BZ10" s="5293">
        <f t="shared" si="5"/>
        <v>2020</v>
      </c>
      <c r="CA10" s="5293">
        <f t="shared" si="5"/>
        <v>2020</v>
      </c>
      <c r="CB10" s="5293">
        <f t="shared" si="5"/>
        <v>2020</v>
      </c>
      <c r="CC10" s="5293">
        <f t="shared" si="5"/>
        <v>2020</v>
      </c>
      <c r="CD10" s="5293">
        <f t="shared" si="5"/>
        <v>2021</v>
      </c>
      <c r="CE10" s="5293">
        <f t="shared" si="5"/>
        <v>2021</v>
      </c>
      <c r="CF10" s="5293">
        <f t="shared" si="5"/>
        <v>2021</v>
      </c>
      <c r="CG10" s="5293">
        <f t="shared" si="5"/>
        <v>2021</v>
      </c>
      <c r="CH10" s="2353">
        <f t="shared" si="5"/>
        <v>2022</v>
      </c>
      <c r="CI10" s="2353">
        <f t="shared" si="5"/>
        <v>2022</v>
      </c>
      <c r="CJ10" s="2353">
        <f t="shared" si="5"/>
        <v>2022</v>
      </c>
      <c r="CK10" s="2353">
        <f t="shared" si="5"/>
        <v>2022</v>
      </c>
      <c r="CL10" s="2353">
        <f t="shared" si="5"/>
        <v>2023</v>
      </c>
      <c r="CM10" s="2353">
        <f t="shared" si="5"/>
        <v>2023</v>
      </c>
      <c r="CN10" s="2353">
        <f t="shared" si="5"/>
        <v>2023</v>
      </c>
      <c r="CO10" s="2353">
        <f t="shared" si="5"/>
        <v>2023</v>
      </c>
      <c r="CP10" s="2353">
        <f t="shared" si="5"/>
        <v>2024</v>
      </c>
      <c r="CQ10" s="2353">
        <f t="shared" si="5"/>
        <v>2024</v>
      </c>
      <c r="CR10" s="2353">
        <f t="shared" si="5"/>
        <v>2024</v>
      </c>
      <c r="CS10" s="2353">
        <f t="shared" si="5"/>
        <v>2024</v>
      </c>
      <c r="CT10" s="2353">
        <f t="shared" si="5"/>
        <v>2025</v>
      </c>
      <c r="CU10" s="2353">
        <f t="shared" si="5"/>
        <v>2025</v>
      </c>
      <c r="CV10" s="2353">
        <f t="shared" si="5"/>
        <v>2025</v>
      </c>
      <c r="CW10" s="2353">
        <f t="shared" si="5"/>
        <v>2025</v>
      </c>
      <c r="CX10" s="2353">
        <f t="shared" si="5"/>
        <v>2026</v>
      </c>
      <c r="CY10" s="2353">
        <f t="shared" si="5"/>
        <v>2026</v>
      </c>
      <c r="CZ10" s="2353">
        <f t="shared" si="5"/>
        <v>2026</v>
      </c>
      <c r="DA10" s="2353">
        <f t="shared" si="5"/>
        <v>2026</v>
      </c>
      <c r="DB10" s="2353">
        <f t="shared" si="5"/>
        <v>2027</v>
      </c>
      <c r="DC10" s="2353">
        <f t="shared" si="5"/>
        <v>2027</v>
      </c>
      <c r="DD10" s="2353">
        <f t="shared" si="5"/>
        <v>2027</v>
      </c>
      <c r="DE10" s="2353">
        <f t="shared" si="5"/>
        <v>2027</v>
      </c>
      <c r="DF10" s="2353">
        <f t="shared" si="5"/>
        <v>2028</v>
      </c>
      <c r="DG10" s="2353">
        <f t="shared" si="5"/>
        <v>2028</v>
      </c>
      <c r="DH10" s="2353">
        <f t="shared" si="5"/>
        <v>2028</v>
      </c>
      <c r="DI10" s="2353">
        <f t="shared" si="5"/>
        <v>2028</v>
      </c>
      <c r="DJ10" s="2353">
        <f t="shared" si="5"/>
        <v>2029</v>
      </c>
      <c r="DK10" s="2353">
        <f t="shared" si="5"/>
        <v>2029</v>
      </c>
      <c r="DL10" s="2353">
        <f t="shared" si="5"/>
        <v>2029</v>
      </c>
      <c r="DM10" s="2353">
        <f t="shared" si="5"/>
        <v>2029</v>
      </c>
      <c r="DN10" s="2353">
        <f t="shared" si="5"/>
        <v>2030</v>
      </c>
      <c r="DO10" s="2353">
        <f t="shared" si="5"/>
        <v>2030</v>
      </c>
      <c r="DP10" s="2353">
        <f t="shared" si="5"/>
        <v>2030</v>
      </c>
      <c r="DQ10" s="2353">
        <f t="shared" si="5"/>
        <v>2030</v>
      </c>
      <c r="DR10" s="2353">
        <f t="shared" si="5"/>
        <v>2031</v>
      </c>
      <c r="DS10" s="2353">
        <f t="shared" si="5"/>
        <v>2031</v>
      </c>
      <c r="DT10" s="2353">
        <f t="shared" si="5"/>
        <v>2031</v>
      </c>
      <c r="DU10" s="2353">
        <f t="shared" si="5"/>
        <v>2031</v>
      </c>
      <c r="DV10" s="2353">
        <f t="shared" si="5"/>
        <v>2032</v>
      </c>
      <c r="DW10" s="5267">
        <f t="shared" si="5"/>
        <v>2032</v>
      </c>
      <c r="DX10" s="5267">
        <f t="shared" si="5"/>
        <v>2032</v>
      </c>
      <c r="DY10" s="5267">
        <f t="shared" si="5"/>
        <v>2032</v>
      </c>
      <c r="DZ10" s="5267">
        <f t="shared" si="5"/>
        <v>2033</v>
      </c>
      <c r="EA10" s="5267">
        <f t="shared" si="5"/>
        <v>2033</v>
      </c>
      <c r="EB10" s="5267">
        <f t="shared" si="5"/>
        <v>2033</v>
      </c>
      <c r="EC10" s="5267">
        <f t="shared" si="5"/>
        <v>2033</v>
      </c>
      <c r="ED10" s="5267">
        <f t="shared" si="5"/>
        <v>2034</v>
      </c>
      <c r="EE10" s="5267">
        <f t="shared" si="5"/>
        <v>2034</v>
      </c>
      <c r="EF10" s="5267">
        <f t="shared" si="5"/>
        <v>2034</v>
      </c>
      <c r="EG10" s="5267">
        <f t="shared" si="5"/>
        <v>2034</v>
      </c>
      <c r="EH10" s="5267">
        <f t="shared" ref="EH10:GS10" si="6">EH18</f>
        <v>2035</v>
      </c>
      <c r="EI10" s="5267">
        <f t="shared" si="6"/>
        <v>2035</v>
      </c>
      <c r="EJ10" s="5267">
        <f t="shared" si="6"/>
        <v>2035</v>
      </c>
      <c r="EK10" s="5267">
        <f t="shared" si="6"/>
        <v>2035</v>
      </c>
      <c r="EL10" s="5267">
        <f t="shared" si="6"/>
        <v>2036</v>
      </c>
      <c r="EM10" s="5267">
        <f t="shared" si="6"/>
        <v>2036</v>
      </c>
      <c r="EN10" s="5267">
        <f t="shared" si="6"/>
        <v>2036</v>
      </c>
      <c r="EO10" s="5267">
        <f t="shared" si="6"/>
        <v>2036</v>
      </c>
      <c r="EP10" s="5267">
        <f t="shared" si="6"/>
        <v>2037</v>
      </c>
      <c r="EQ10" s="5267">
        <f t="shared" si="6"/>
        <v>2037</v>
      </c>
      <c r="ER10" s="5267">
        <f t="shared" si="6"/>
        <v>2037</v>
      </c>
      <c r="ES10" s="5267">
        <f t="shared" si="6"/>
        <v>2037</v>
      </c>
      <c r="ET10" s="5267">
        <f t="shared" si="6"/>
        <v>2038</v>
      </c>
      <c r="EU10" s="5267">
        <f t="shared" si="6"/>
        <v>2038</v>
      </c>
      <c r="EV10" s="5267">
        <f t="shared" si="6"/>
        <v>2038</v>
      </c>
      <c r="EW10" s="5267">
        <f t="shared" si="6"/>
        <v>2038</v>
      </c>
      <c r="EX10" s="5267">
        <f t="shared" si="6"/>
        <v>2039</v>
      </c>
      <c r="EY10" s="5267">
        <f t="shared" si="6"/>
        <v>2039</v>
      </c>
      <c r="EZ10" s="5267">
        <f t="shared" si="6"/>
        <v>2039</v>
      </c>
      <c r="FA10" s="5267">
        <f t="shared" si="6"/>
        <v>2039</v>
      </c>
      <c r="FB10" s="5267">
        <f t="shared" si="6"/>
        <v>2040</v>
      </c>
      <c r="FC10" s="5267">
        <f t="shared" si="6"/>
        <v>2040</v>
      </c>
      <c r="FD10" s="5267">
        <f t="shared" si="6"/>
        <v>2040</v>
      </c>
      <c r="FE10" s="5267">
        <f t="shared" si="6"/>
        <v>2040</v>
      </c>
      <c r="FF10" s="5267">
        <f t="shared" si="6"/>
        <v>2041</v>
      </c>
      <c r="FG10" s="5267">
        <f t="shared" si="6"/>
        <v>2041</v>
      </c>
      <c r="FH10" s="5267">
        <f t="shared" si="6"/>
        <v>2041</v>
      </c>
      <c r="FI10" s="5267">
        <f t="shared" si="6"/>
        <v>2041</v>
      </c>
      <c r="FJ10" s="5267">
        <f t="shared" si="6"/>
        <v>2042</v>
      </c>
      <c r="FK10" s="5267">
        <f t="shared" si="6"/>
        <v>2042</v>
      </c>
      <c r="FL10" s="5267">
        <f t="shared" si="6"/>
        <v>2042</v>
      </c>
      <c r="FM10" s="5267">
        <f t="shared" si="6"/>
        <v>2042</v>
      </c>
      <c r="FN10" s="5267">
        <f t="shared" si="6"/>
        <v>2043</v>
      </c>
      <c r="FO10" s="5267">
        <f t="shared" si="6"/>
        <v>2043</v>
      </c>
      <c r="FP10" s="5267">
        <f t="shared" si="6"/>
        <v>2043</v>
      </c>
      <c r="FQ10" s="5267">
        <f t="shared" si="6"/>
        <v>2043</v>
      </c>
      <c r="FR10" s="5267">
        <f t="shared" si="6"/>
        <v>2044</v>
      </c>
      <c r="FS10" s="5267">
        <f t="shared" si="6"/>
        <v>2044</v>
      </c>
      <c r="FT10" s="5267">
        <f t="shared" si="6"/>
        <v>2044</v>
      </c>
      <c r="FU10" s="5267">
        <f t="shared" si="6"/>
        <v>2044</v>
      </c>
      <c r="FV10" s="5267">
        <f t="shared" si="6"/>
        <v>2045</v>
      </c>
      <c r="FW10" s="5267">
        <f t="shared" si="6"/>
        <v>2045</v>
      </c>
      <c r="FX10" s="5267">
        <f t="shared" si="6"/>
        <v>2045</v>
      </c>
      <c r="FY10" s="5267">
        <f t="shared" si="6"/>
        <v>2045</v>
      </c>
      <c r="FZ10" s="5267">
        <f t="shared" si="6"/>
        <v>2046</v>
      </c>
      <c r="GA10" s="5267">
        <f t="shared" si="6"/>
        <v>2046</v>
      </c>
      <c r="GB10" s="5267">
        <f t="shared" si="6"/>
        <v>2046</v>
      </c>
      <c r="GC10" s="5267">
        <f t="shared" si="6"/>
        <v>2046</v>
      </c>
      <c r="GD10" s="5267">
        <f t="shared" si="6"/>
        <v>2047</v>
      </c>
      <c r="GE10" s="5267">
        <f t="shared" si="6"/>
        <v>2047</v>
      </c>
      <c r="GF10" s="5267">
        <f t="shared" si="6"/>
        <v>2047</v>
      </c>
      <c r="GG10" s="5267">
        <f t="shared" si="6"/>
        <v>2047</v>
      </c>
      <c r="GH10" s="5267">
        <f t="shared" si="6"/>
        <v>2048</v>
      </c>
      <c r="GI10" s="5267">
        <f t="shared" si="6"/>
        <v>2048</v>
      </c>
      <c r="GJ10" s="5267">
        <f t="shared" si="6"/>
        <v>2048</v>
      </c>
      <c r="GK10" s="5267">
        <f t="shared" si="6"/>
        <v>2048</v>
      </c>
      <c r="GL10" s="5267">
        <f t="shared" si="6"/>
        <v>2049</v>
      </c>
      <c r="GM10" s="5267">
        <f t="shared" si="6"/>
        <v>2049</v>
      </c>
      <c r="GN10" s="5267">
        <f t="shared" si="6"/>
        <v>2049</v>
      </c>
      <c r="GO10" s="5267">
        <f t="shared" si="6"/>
        <v>2049</v>
      </c>
      <c r="GP10" s="5267">
        <f t="shared" si="6"/>
        <v>2050</v>
      </c>
      <c r="GQ10" s="5267">
        <f t="shared" si="6"/>
        <v>2050</v>
      </c>
      <c r="GR10" s="5267">
        <f t="shared" si="6"/>
        <v>2050</v>
      </c>
      <c r="GS10" s="5267">
        <f t="shared" si="6"/>
        <v>2050</v>
      </c>
      <c r="GT10" s="5267">
        <f t="shared" ref="GT10:IA10" si="7">GT18</f>
        <v>2051</v>
      </c>
      <c r="GU10" s="5267">
        <f t="shared" si="7"/>
        <v>2051</v>
      </c>
      <c r="GV10" s="5267">
        <f t="shared" si="7"/>
        <v>2051</v>
      </c>
      <c r="GW10" s="5267">
        <f t="shared" si="7"/>
        <v>2051</v>
      </c>
      <c r="GX10" s="5267">
        <f t="shared" si="7"/>
        <v>2052</v>
      </c>
      <c r="GY10" s="5267">
        <f t="shared" si="7"/>
        <v>2052</v>
      </c>
      <c r="GZ10" s="5267">
        <f t="shared" si="7"/>
        <v>2052</v>
      </c>
      <c r="HA10" s="5267">
        <f t="shared" si="7"/>
        <v>2052</v>
      </c>
      <c r="HB10" s="5267">
        <f t="shared" si="7"/>
        <v>2053</v>
      </c>
      <c r="HC10" s="5267">
        <f t="shared" si="7"/>
        <v>2053</v>
      </c>
      <c r="HD10" s="5267">
        <f t="shared" si="7"/>
        <v>2053</v>
      </c>
      <c r="HE10" s="5267">
        <f t="shared" si="7"/>
        <v>2053</v>
      </c>
      <c r="HF10" s="5267">
        <f t="shared" si="7"/>
        <v>2054</v>
      </c>
      <c r="HG10" s="5267">
        <f t="shared" si="7"/>
        <v>2054</v>
      </c>
      <c r="HH10" s="5267">
        <f t="shared" si="7"/>
        <v>2054</v>
      </c>
      <c r="HI10" s="5267">
        <f t="shared" si="7"/>
        <v>2054</v>
      </c>
      <c r="HJ10" s="5267">
        <f t="shared" si="7"/>
        <v>2055</v>
      </c>
      <c r="HK10" s="5267">
        <f t="shared" si="7"/>
        <v>2055</v>
      </c>
      <c r="HL10" s="5267">
        <f t="shared" si="7"/>
        <v>2055</v>
      </c>
      <c r="HM10" s="5267">
        <f t="shared" si="7"/>
        <v>2055</v>
      </c>
      <c r="HN10" s="5267">
        <f t="shared" si="7"/>
        <v>2056</v>
      </c>
      <c r="HO10" s="5267">
        <f t="shared" si="7"/>
        <v>2056</v>
      </c>
      <c r="HP10" s="5267">
        <f t="shared" si="7"/>
        <v>2056</v>
      </c>
      <c r="HQ10" s="5267">
        <f t="shared" si="7"/>
        <v>2056</v>
      </c>
      <c r="HR10" s="5267">
        <f t="shared" si="7"/>
        <v>2057</v>
      </c>
      <c r="HS10" s="5267">
        <f t="shared" si="7"/>
        <v>2057</v>
      </c>
      <c r="HT10" s="5267">
        <f t="shared" si="7"/>
        <v>2057</v>
      </c>
      <c r="HU10" s="5267">
        <f t="shared" si="7"/>
        <v>2057</v>
      </c>
      <c r="HV10" s="5267">
        <f t="shared" si="7"/>
        <v>2058</v>
      </c>
      <c r="HW10" s="5267">
        <f t="shared" si="7"/>
        <v>2058</v>
      </c>
      <c r="HX10" s="5267">
        <f t="shared" si="7"/>
        <v>2058</v>
      </c>
      <c r="HY10" s="5267">
        <f t="shared" si="7"/>
        <v>2058</v>
      </c>
      <c r="HZ10" s="5267">
        <f t="shared" si="7"/>
        <v>2059</v>
      </c>
      <c r="IA10" s="5267">
        <f t="shared" si="7"/>
        <v>2059</v>
      </c>
    </row>
    <row r="11" spans="1:356" ht="15.75" customHeight="1">
      <c r="C11" s="5276"/>
      <c r="D11" s="5266"/>
      <c r="E11" s="5277"/>
      <c r="F11" s="5277"/>
      <c r="G11" s="5277"/>
      <c r="H11" s="5263"/>
      <c r="J11" s="5291">
        <f t="shared" ref="J11:BU11" si="8">J19</f>
        <v>1</v>
      </c>
      <c r="K11" s="5291">
        <f t="shared" si="8"/>
        <v>2</v>
      </c>
      <c r="L11" s="5291">
        <f t="shared" si="8"/>
        <v>3</v>
      </c>
      <c r="M11" s="5291">
        <f t="shared" si="8"/>
        <v>4</v>
      </c>
      <c r="N11" s="5291">
        <f t="shared" si="8"/>
        <v>1</v>
      </c>
      <c r="O11" s="5291">
        <f t="shared" si="8"/>
        <v>2</v>
      </c>
      <c r="P11" s="5291">
        <f t="shared" si="8"/>
        <v>3</v>
      </c>
      <c r="Q11" s="5291">
        <f t="shared" si="8"/>
        <v>4</v>
      </c>
      <c r="R11" s="5291">
        <f t="shared" si="8"/>
        <v>1</v>
      </c>
      <c r="S11" s="5291">
        <f t="shared" si="8"/>
        <v>2</v>
      </c>
      <c r="T11" s="5291">
        <f t="shared" si="8"/>
        <v>3</v>
      </c>
      <c r="U11" s="5291">
        <f t="shared" si="8"/>
        <v>4</v>
      </c>
      <c r="V11" s="5291">
        <f t="shared" si="8"/>
        <v>1</v>
      </c>
      <c r="W11" s="5291">
        <f t="shared" si="8"/>
        <v>2</v>
      </c>
      <c r="X11" s="5291">
        <f t="shared" si="8"/>
        <v>3</v>
      </c>
      <c r="Y11" s="5291">
        <f t="shared" si="8"/>
        <v>4</v>
      </c>
      <c r="Z11" s="5291">
        <f t="shared" si="8"/>
        <v>1</v>
      </c>
      <c r="AA11" s="5291">
        <f t="shared" si="8"/>
        <v>2</v>
      </c>
      <c r="AB11" s="5294">
        <f t="shared" si="8"/>
        <v>3</v>
      </c>
      <c r="AC11" s="5294">
        <f t="shared" si="8"/>
        <v>4</v>
      </c>
      <c r="AD11" s="5294">
        <f t="shared" si="8"/>
        <v>1</v>
      </c>
      <c r="AE11" s="5294">
        <f t="shared" si="8"/>
        <v>2</v>
      </c>
      <c r="AF11" s="5294">
        <f t="shared" si="8"/>
        <v>3</v>
      </c>
      <c r="AG11" s="5294">
        <f t="shared" si="8"/>
        <v>4</v>
      </c>
      <c r="AH11" s="5294">
        <f t="shared" si="8"/>
        <v>1</v>
      </c>
      <c r="AI11" s="5294">
        <f t="shared" si="8"/>
        <v>2</v>
      </c>
      <c r="AJ11" s="5294">
        <f t="shared" si="8"/>
        <v>3</v>
      </c>
      <c r="AK11" s="5294">
        <f t="shared" si="8"/>
        <v>4</v>
      </c>
      <c r="AL11" s="5294">
        <f t="shared" si="8"/>
        <v>1</v>
      </c>
      <c r="AM11" s="5294">
        <f t="shared" si="8"/>
        <v>2</v>
      </c>
      <c r="AN11" s="5294">
        <f t="shared" si="8"/>
        <v>3</v>
      </c>
      <c r="AO11" s="5294">
        <f t="shared" si="8"/>
        <v>4</v>
      </c>
      <c r="AP11" s="5294">
        <f t="shared" si="8"/>
        <v>1</v>
      </c>
      <c r="AQ11" s="5294">
        <f t="shared" si="8"/>
        <v>2</v>
      </c>
      <c r="AR11" s="5294">
        <f t="shared" si="8"/>
        <v>3</v>
      </c>
      <c r="AS11" s="5294">
        <f t="shared" si="8"/>
        <v>4</v>
      </c>
      <c r="AT11" s="5294">
        <f t="shared" si="8"/>
        <v>1</v>
      </c>
      <c r="AU11" s="5294">
        <f t="shared" si="8"/>
        <v>2</v>
      </c>
      <c r="AV11" s="5294">
        <f t="shared" si="8"/>
        <v>3</v>
      </c>
      <c r="AW11" s="5294">
        <f t="shared" si="8"/>
        <v>4</v>
      </c>
      <c r="AX11" s="5294">
        <f t="shared" si="8"/>
        <v>1</v>
      </c>
      <c r="AY11" s="5294">
        <f t="shared" si="8"/>
        <v>2</v>
      </c>
      <c r="AZ11" s="5294">
        <f t="shared" si="8"/>
        <v>3</v>
      </c>
      <c r="BA11" s="5294">
        <f t="shared" si="8"/>
        <v>4</v>
      </c>
      <c r="BB11" s="5294">
        <f t="shared" si="8"/>
        <v>1</v>
      </c>
      <c r="BC11" s="5294">
        <f t="shared" si="8"/>
        <v>2</v>
      </c>
      <c r="BD11" s="5294">
        <f t="shared" si="8"/>
        <v>3</v>
      </c>
      <c r="BE11" s="5294">
        <f t="shared" si="8"/>
        <v>4</v>
      </c>
      <c r="BF11" s="5294">
        <f t="shared" si="8"/>
        <v>1</v>
      </c>
      <c r="BG11" s="5294">
        <f t="shared" si="8"/>
        <v>2</v>
      </c>
      <c r="BH11" s="5294">
        <f t="shared" si="8"/>
        <v>3</v>
      </c>
      <c r="BI11" s="5294">
        <f t="shared" si="8"/>
        <v>4</v>
      </c>
      <c r="BJ11" s="5294">
        <f t="shared" si="8"/>
        <v>1</v>
      </c>
      <c r="BK11" s="5294">
        <f t="shared" si="8"/>
        <v>2</v>
      </c>
      <c r="BL11" s="5294">
        <f t="shared" si="8"/>
        <v>3</v>
      </c>
      <c r="BM11" s="5294">
        <f t="shared" si="8"/>
        <v>4</v>
      </c>
      <c r="BN11" s="5294">
        <f t="shared" si="8"/>
        <v>1</v>
      </c>
      <c r="BO11" s="5294">
        <f t="shared" si="8"/>
        <v>2</v>
      </c>
      <c r="BP11" s="5294">
        <f t="shared" si="8"/>
        <v>3</v>
      </c>
      <c r="BQ11" s="5294">
        <f t="shared" si="8"/>
        <v>4</v>
      </c>
      <c r="BR11" s="5294">
        <f t="shared" si="8"/>
        <v>1</v>
      </c>
      <c r="BS11" s="5294">
        <f t="shared" si="8"/>
        <v>2</v>
      </c>
      <c r="BT11" s="5294">
        <f t="shared" si="8"/>
        <v>3</v>
      </c>
      <c r="BU11" s="5294">
        <f t="shared" si="8"/>
        <v>4</v>
      </c>
      <c r="BV11" s="5294">
        <f t="shared" ref="BV11:EG11" si="9">BV19</f>
        <v>1</v>
      </c>
      <c r="BW11" s="5294">
        <f t="shared" si="9"/>
        <v>2</v>
      </c>
      <c r="BX11" s="5294">
        <f t="shared" si="9"/>
        <v>3</v>
      </c>
      <c r="BY11" s="5294">
        <f t="shared" si="9"/>
        <v>4</v>
      </c>
      <c r="BZ11" s="5294">
        <f t="shared" si="9"/>
        <v>1</v>
      </c>
      <c r="CA11" s="5294">
        <f t="shared" si="9"/>
        <v>2</v>
      </c>
      <c r="CB11" s="5294">
        <f t="shared" si="9"/>
        <v>3</v>
      </c>
      <c r="CC11" s="5294">
        <f t="shared" si="9"/>
        <v>4</v>
      </c>
      <c r="CD11" s="5294">
        <f t="shared" si="9"/>
        <v>1</v>
      </c>
      <c r="CE11" s="5294">
        <f t="shared" si="9"/>
        <v>2</v>
      </c>
      <c r="CF11" s="5294">
        <f t="shared" si="9"/>
        <v>3</v>
      </c>
      <c r="CG11" s="5294">
        <f t="shared" si="9"/>
        <v>4</v>
      </c>
      <c r="CH11" s="5292">
        <f t="shared" si="9"/>
        <v>1</v>
      </c>
      <c r="CI11" s="5292">
        <f t="shared" si="9"/>
        <v>2</v>
      </c>
      <c r="CJ11" s="5292">
        <f t="shared" si="9"/>
        <v>3</v>
      </c>
      <c r="CK11" s="5292">
        <f t="shared" si="9"/>
        <v>4</v>
      </c>
      <c r="CL11" s="5292">
        <f t="shared" si="9"/>
        <v>1</v>
      </c>
      <c r="CM11" s="5292">
        <f t="shared" si="9"/>
        <v>2</v>
      </c>
      <c r="CN11" s="5292">
        <f t="shared" si="9"/>
        <v>3</v>
      </c>
      <c r="CO11" s="5292">
        <f t="shared" si="9"/>
        <v>4</v>
      </c>
      <c r="CP11" s="5292">
        <f t="shared" si="9"/>
        <v>1</v>
      </c>
      <c r="CQ11" s="5292">
        <f t="shared" si="9"/>
        <v>2</v>
      </c>
      <c r="CR11" s="5292">
        <f t="shared" si="9"/>
        <v>3</v>
      </c>
      <c r="CS11" s="5292">
        <f t="shared" si="9"/>
        <v>4</v>
      </c>
      <c r="CT11" s="5292">
        <f t="shared" si="9"/>
        <v>1</v>
      </c>
      <c r="CU11" s="5292">
        <f t="shared" si="9"/>
        <v>2</v>
      </c>
      <c r="CV11" s="5292">
        <f t="shared" si="9"/>
        <v>3</v>
      </c>
      <c r="CW11" s="5292">
        <f t="shared" si="9"/>
        <v>4</v>
      </c>
      <c r="CX11" s="5292">
        <f t="shared" si="9"/>
        <v>1</v>
      </c>
      <c r="CY11" s="5292">
        <f t="shared" si="9"/>
        <v>2</v>
      </c>
      <c r="CZ11" s="5292">
        <f t="shared" si="9"/>
        <v>3</v>
      </c>
      <c r="DA11" s="5292">
        <f t="shared" si="9"/>
        <v>4</v>
      </c>
      <c r="DB11" s="5292">
        <f t="shared" si="9"/>
        <v>1</v>
      </c>
      <c r="DC11" s="5292">
        <f t="shared" si="9"/>
        <v>2</v>
      </c>
      <c r="DD11" s="5292">
        <f t="shared" si="9"/>
        <v>3</v>
      </c>
      <c r="DE11" s="5292">
        <f t="shared" si="9"/>
        <v>4</v>
      </c>
      <c r="DF11" s="5292">
        <f t="shared" si="9"/>
        <v>1</v>
      </c>
      <c r="DG11" s="5292">
        <f t="shared" si="9"/>
        <v>2</v>
      </c>
      <c r="DH11" s="5292">
        <f t="shared" si="9"/>
        <v>3</v>
      </c>
      <c r="DI11" s="5292">
        <f t="shared" si="9"/>
        <v>4</v>
      </c>
      <c r="DJ11" s="5292">
        <f t="shared" si="9"/>
        <v>1</v>
      </c>
      <c r="DK11" s="5292">
        <f t="shared" si="9"/>
        <v>2</v>
      </c>
      <c r="DL11" s="5292">
        <f t="shared" si="9"/>
        <v>3</v>
      </c>
      <c r="DM11" s="5292">
        <f t="shared" si="9"/>
        <v>4</v>
      </c>
      <c r="DN11" s="5292">
        <f t="shared" si="9"/>
        <v>1</v>
      </c>
      <c r="DO11" s="5292">
        <f t="shared" si="9"/>
        <v>2</v>
      </c>
      <c r="DP11" s="5292">
        <f t="shared" si="9"/>
        <v>3</v>
      </c>
      <c r="DQ11" s="5292">
        <f t="shared" si="9"/>
        <v>4</v>
      </c>
      <c r="DR11" s="5292">
        <f t="shared" si="9"/>
        <v>1</v>
      </c>
      <c r="DS11" s="5292">
        <f t="shared" si="9"/>
        <v>2</v>
      </c>
      <c r="DT11" s="5292">
        <f t="shared" si="9"/>
        <v>3</v>
      </c>
      <c r="DU11" s="5292">
        <f t="shared" si="9"/>
        <v>4</v>
      </c>
      <c r="DV11" s="5292">
        <f t="shared" si="9"/>
        <v>1</v>
      </c>
      <c r="DW11" s="5292">
        <f t="shared" si="9"/>
        <v>2</v>
      </c>
      <c r="DX11" s="5292">
        <f t="shared" si="9"/>
        <v>3</v>
      </c>
      <c r="DY11" s="5292">
        <f t="shared" si="9"/>
        <v>4</v>
      </c>
      <c r="DZ11" s="5292">
        <f t="shared" si="9"/>
        <v>1</v>
      </c>
      <c r="EA11" s="5292">
        <f t="shared" si="9"/>
        <v>2</v>
      </c>
      <c r="EB11" s="5292">
        <f t="shared" si="9"/>
        <v>3</v>
      </c>
      <c r="EC11" s="5292">
        <f t="shared" si="9"/>
        <v>4</v>
      </c>
      <c r="ED11" s="5292">
        <f t="shared" si="9"/>
        <v>1</v>
      </c>
      <c r="EE11" s="5292">
        <f t="shared" si="9"/>
        <v>2</v>
      </c>
      <c r="EF11" s="5292">
        <f t="shared" si="9"/>
        <v>3</v>
      </c>
      <c r="EG11" s="5292">
        <f t="shared" si="9"/>
        <v>4</v>
      </c>
      <c r="EH11" s="5292">
        <f t="shared" ref="EH11:GS11" si="10">EH19</f>
        <v>1</v>
      </c>
      <c r="EI11" s="5292">
        <f t="shared" si="10"/>
        <v>2</v>
      </c>
      <c r="EJ11" s="5292">
        <f t="shared" si="10"/>
        <v>3</v>
      </c>
      <c r="EK11" s="5292">
        <f t="shared" si="10"/>
        <v>4</v>
      </c>
      <c r="EL11" s="5292">
        <f t="shared" si="10"/>
        <v>1</v>
      </c>
      <c r="EM11" s="5292">
        <f t="shared" si="10"/>
        <v>2</v>
      </c>
      <c r="EN11" s="5292">
        <f t="shared" si="10"/>
        <v>3</v>
      </c>
      <c r="EO11" s="5292">
        <f t="shared" si="10"/>
        <v>4</v>
      </c>
      <c r="EP11" s="5292">
        <f t="shared" si="10"/>
        <v>1</v>
      </c>
      <c r="EQ11" s="5292">
        <f t="shared" si="10"/>
        <v>2</v>
      </c>
      <c r="ER11" s="5292">
        <f t="shared" si="10"/>
        <v>3</v>
      </c>
      <c r="ES11" s="5292">
        <f t="shared" si="10"/>
        <v>4</v>
      </c>
      <c r="ET11" s="5292">
        <f t="shared" si="10"/>
        <v>1</v>
      </c>
      <c r="EU11" s="5292">
        <f t="shared" si="10"/>
        <v>2</v>
      </c>
      <c r="EV11" s="5292">
        <f t="shared" si="10"/>
        <v>3</v>
      </c>
      <c r="EW11" s="5292">
        <f t="shared" si="10"/>
        <v>4</v>
      </c>
      <c r="EX11" s="5292">
        <f t="shared" si="10"/>
        <v>1</v>
      </c>
      <c r="EY11" s="5292">
        <f t="shared" si="10"/>
        <v>2</v>
      </c>
      <c r="EZ11" s="5292">
        <f t="shared" si="10"/>
        <v>3</v>
      </c>
      <c r="FA11" s="5292">
        <f t="shared" si="10"/>
        <v>4</v>
      </c>
      <c r="FB11" s="5292">
        <f t="shared" si="10"/>
        <v>1</v>
      </c>
      <c r="FC11" s="5292">
        <f t="shared" si="10"/>
        <v>2</v>
      </c>
      <c r="FD11" s="5292">
        <f t="shared" si="10"/>
        <v>3</v>
      </c>
      <c r="FE11" s="5292">
        <f t="shared" si="10"/>
        <v>4</v>
      </c>
      <c r="FF11" s="5292">
        <f t="shared" si="10"/>
        <v>1</v>
      </c>
      <c r="FG11" s="5292">
        <f t="shared" si="10"/>
        <v>2</v>
      </c>
      <c r="FH11" s="5292">
        <f t="shared" si="10"/>
        <v>3</v>
      </c>
      <c r="FI11" s="5292">
        <f t="shared" si="10"/>
        <v>4</v>
      </c>
      <c r="FJ11" s="5292">
        <f t="shared" si="10"/>
        <v>1</v>
      </c>
      <c r="FK11" s="5292">
        <f t="shared" si="10"/>
        <v>2</v>
      </c>
      <c r="FL11" s="5292">
        <f t="shared" si="10"/>
        <v>3</v>
      </c>
      <c r="FM11" s="5292">
        <f t="shared" si="10"/>
        <v>4</v>
      </c>
      <c r="FN11" s="5292">
        <f t="shared" si="10"/>
        <v>1</v>
      </c>
      <c r="FO11" s="5292">
        <f t="shared" si="10"/>
        <v>2</v>
      </c>
      <c r="FP11" s="5292">
        <f t="shared" si="10"/>
        <v>3</v>
      </c>
      <c r="FQ11" s="5292">
        <f t="shared" si="10"/>
        <v>4</v>
      </c>
      <c r="FR11" s="5292">
        <f t="shared" si="10"/>
        <v>1</v>
      </c>
      <c r="FS11" s="5292">
        <f t="shared" si="10"/>
        <v>2</v>
      </c>
      <c r="FT11" s="5292">
        <f t="shared" si="10"/>
        <v>3</v>
      </c>
      <c r="FU11" s="5292">
        <f t="shared" si="10"/>
        <v>4</v>
      </c>
      <c r="FV11" s="5292">
        <f t="shared" si="10"/>
        <v>1</v>
      </c>
      <c r="FW11" s="5292">
        <f t="shared" si="10"/>
        <v>2</v>
      </c>
      <c r="FX11" s="5292">
        <f t="shared" si="10"/>
        <v>3</v>
      </c>
      <c r="FY11" s="5292">
        <f t="shared" si="10"/>
        <v>4</v>
      </c>
      <c r="FZ11" s="5292">
        <f t="shared" si="10"/>
        <v>1</v>
      </c>
      <c r="GA11" s="5292">
        <f t="shared" si="10"/>
        <v>2</v>
      </c>
      <c r="GB11" s="5292">
        <f t="shared" si="10"/>
        <v>3</v>
      </c>
      <c r="GC11" s="5292">
        <f t="shared" si="10"/>
        <v>4</v>
      </c>
      <c r="GD11" s="5292">
        <f t="shared" si="10"/>
        <v>1</v>
      </c>
      <c r="GE11" s="5292">
        <f t="shared" si="10"/>
        <v>2</v>
      </c>
      <c r="GF11" s="5292">
        <f t="shared" si="10"/>
        <v>3</v>
      </c>
      <c r="GG11" s="5292">
        <f t="shared" si="10"/>
        <v>4</v>
      </c>
      <c r="GH11" s="5292">
        <f t="shared" si="10"/>
        <v>1</v>
      </c>
      <c r="GI11" s="5292">
        <f t="shared" si="10"/>
        <v>2</v>
      </c>
      <c r="GJ11" s="5292">
        <f t="shared" si="10"/>
        <v>3</v>
      </c>
      <c r="GK11" s="5292">
        <f t="shared" si="10"/>
        <v>4</v>
      </c>
      <c r="GL11" s="5292">
        <f t="shared" si="10"/>
        <v>1</v>
      </c>
      <c r="GM11" s="5292">
        <f t="shared" si="10"/>
        <v>2</v>
      </c>
      <c r="GN11" s="5292">
        <f t="shared" si="10"/>
        <v>3</v>
      </c>
      <c r="GO11" s="5292">
        <f t="shared" si="10"/>
        <v>4</v>
      </c>
      <c r="GP11" s="5292">
        <f t="shared" si="10"/>
        <v>1</v>
      </c>
      <c r="GQ11" s="5292">
        <f t="shared" si="10"/>
        <v>2</v>
      </c>
      <c r="GR11" s="5292">
        <f t="shared" si="10"/>
        <v>3</v>
      </c>
      <c r="GS11" s="5292">
        <f t="shared" si="10"/>
        <v>4</v>
      </c>
      <c r="GT11" s="5292">
        <f t="shared" ref="GT11:IA11" si="11">GT19</f>
        <v>1</v>
      </c>
      <c r="GU11" s="5292">
        <f t="shared" si="11"/>
        <v>2</v>
      </c>
      <c r="GV11" s="5292">
        <f t="shared" si="11"/>
        <v>3</v>
      </c>
      <c r="GW11" s="5292">
        <f t="shared" si="11"/>
        <v>4</v>
      </c>
      <c r="GX11" s="5292">
        <f t="shared" si="11"/>
        <v>1</v>
      </c>
      <c r="GY11" s="5292">
        <f t="shared" si="11"/>
        <v>2</v>
      </c>
      <c r="GZ11" s="5292">
        <f t="shared" si="11"/>
        <v>3</v>
      </c>
      <c r="HA11" s="5292">
        <f t="shared" si="11"/>
        <v>4</v>
      </c>
      <c r="HB11" s="5292">
        <f t="shared" si="11"/>
        <v>1</v>
      </c>
      <c r="HC11" s="5292">
        <f t="shared" si="11"/>
        <v>2</v>
      </c>
      <c r="HD11" s="5292">
        <f t="shared" si="11"/>
        <v>3</v>
      </c>
      <c r="HE11" s="5292">
        <f t="shared" si="11"/>
        <v>4</v>
      </c>
      <c r="HF11" s="5292">
        <f t="shared" si="11"/>
        <v>1</v>
      </c>
      <c r="HG11" s="5292">
        <f t="shared" si="11"/>
        <v>2</v>
      </c>
      <c r="HH11" s="5292">
        <f t="shared" si="11"/>
        <v>3</v>
      </c>
      <c r="HI11" s="5292">
        <f t="shared" si="11"/>
        <v>4</v>
      </c>
      <c r="HJ11" s="5292">
        <f t="shared" si="11"/>
        <v>1</v>
      </c>
      <c r="HK11" s="5292">
        <f t="shared" si="11"/>
        <v>2</v>
      </c>
      <c r="HL11" s="5292">
        <f t="shared" si="11"/>
        <v>3</v>
      </c>
      <c r="HM11" s="5292">
        <f t="shared" si="11"/>
        <v>4</v>
      </c>
      <c r="HN11" s="5292">
        <f t="shared" si="11"/>
        <v>1</v>
      </c>
      <c r="HO11" s="5292">
        <f t="shared" si="11"/>
        <v>2</v>
      </c>
      <c r="HP11" s="5292">
        <f t="shared" si="11"/>
        <v>3</v>
      </c>
      <c r="HQ11" s="5292">
        <f t="shared" si="11"/>
        <v>4</v>
      </c>
      <c r="HR11" s="5292">
        <f t="shared" si="11"/>
        <v>1</v>
      </c>
      <c r="HS11" s="5292">
        <f t="shared" si="11"/>
        <v>2</v>
      </c>
      <c r="HT11" s="5292">
        <f t="shared" si="11"/>
        <v>3</v>
      </c>
      <c r="HU11" s="5292">
        <f t="shared" si="11"/>
        <v>4</v>
      </c>
      <c r="HV11" s="5292">
        <f t="shared" si="11"/>
        <v>1</v>
      </c>
      <c r="HW11" s="5292">
        <f t="shared" si="11"/>
        <v>2</v>
      </c>
      <c r="HX11" s="5292">
        <f t="shared" si="11"/>
        <v>3</v>
      </c>
      <c r="HY11" s="5292">
        <f t="shared" si="11"/>
        <v>4</v>
      </c>
      <c r="HZ11" s="5292">
        <f t="shared" si="11"/>
        <v>1</v>
      </c>
      <c r="IA11" s="5292">
        <f t="shared" si="11"/>
        <v>2</v>
      </c>
    </row>
    <row r="12" spans="1:356" ht="15.75" customHeight="1">
      <c r="C12" s="2354"/>
      <c r="D12" s="2355" t="str">
        <f>B17</f>
        <v>1. 사업시행자 귀책사유</v>
      </c>
      <c r="E12" s="2356"/>
      <c r="F12" s="2356"/>
      <c r="G12" s="2356"/>
      <c r="H12" s="2357">
        <f>SUM(J12:AT12)</f>
        <v>1966090.5084687169</v>
      </c>
      <c r="I12" s="2358"/>
      <c r="J12" s="2612"/>
      <c r="K12" s="2612"/>
      <c r="L12" s="2612"/>
      <c r="M12" s="2612"/>
      <c r="N12" s="2612"/>
      <c r="O12" s="2612"/>
      <c r="P12" s="2612"/>
      <c r="Q12" s="2612"/>
      <c r="R12" s="2612"/>
      <c r="S12" s="2612"/>
      <c r="T12" s="2612"/>
      <c r="U12" s="2612"/>
      <c r="V12" s="2612">
        <f t="shared" ref="V12:CG12" si="12">V32</f>
        <v>0</v>
      </c>
      <c r="W12" s="2612">
        <f t="shared" si="12"/>
        <v>0</v>
      </c>
      <c r="X12" s="2612">
        <f t="shared" si="12"/>
        <v>0</v>
      </c>
      <c r="Y12" s="2612">
        <f t="shared" si="12"/>
        <v>0</v>
      </c>
      <c r="Z12" s="2612">
        <f t="shared" si="12"/>
        <v>0</v>
      </c>
      <c r="AA12" s="2612">
        <f t="shared" si="12"/>
        <v>0</v>
      </c>
      <c r="AB12" s="2610">
        <f t="shared" si="12"/>
        <v>0</v>
      </c>
      <c r="AC12" s="2610">
        <f t="shared" si="12"/>
        <v>0</v>
      </c>
      <c r="AD12" s="2610">
        <f t="shared" si="12"/>
        <v>0</v>
      </c>
      <c r="AE12" s="2610">
        <f t="shared" si="12"/>
        <v>0</v>
      </c>
      <c r="AF12" s="2610">
        <f t="shared" si="12"/>
        <v>0</v>
      </c>
      <c r="AG12" s="2610">
        <f t="shared" si="12"/>
        <v>0</v>
      </c>
      <c r="AH12" s="2610">
        <f t="shared" si="12"/>
        <v>0</v>
      </c>
      <c r="AI12" s="2610">
        <f t="shared" si="12"/>
        <v>0</v>
      </c>
      <c r="AJ12" s="2610">
        <f t="shared" si="12"/>
        <v>187360.26702602781</v>
      </c>
      <c r="AK12" s="2610">
        <f t="shared" si="12"/>
        <v>184583.49939092243</v>
      </c>
      <c r="AL12" s="2610">
        <f t="shared" si="12"/>
        <v>183560.17119721512</v>
      </c>
      <c r="AM12" s="2610">
        <f t="shared" si="12"/>
        <v>181085.48480025071</v>
      </c>
      <c r="AN12" s="2610">
        <f t="shared" si="12"/>
        <v>180626.73523475698</v>
      </c>
      <c r="AO12" s="2610">
        <f t="shared" si="12"/>
        <v>177304.55243362222</v>
      </c>
      <c r="AP12" s="2610">
        <f t="shared" si="12"/>
        <v>178196.68429081625</v>
      </c>
      <c r="AQ12" s="2610">
        <f t="shared" si="12"/>
        <v>175943.34047760171</v>
      </c>
      <c r="AR12" s="2610">
        <f t="shared" si="12"/>
        <v>174717.0658355263</v>
      </c>
      <c r="AS12" s="2610">
        <f t="shared" si="12"/>
        <v>172173.05851541279</v>
      </c>
      <c r="AT12" s="2610">
        <f t="shared" si="12"/>
        <v>170539.64926656464</v>
      </c>
      <c r="AU12" s="2610">
        <f t="shared" si="12"/>
        <v>167630.54968231311</v>
      </c>
      <c r="AV12" s="2610">
        <f t="shared" si="12"/>
        <v>166280.90358545989</v>
      </c>
      <c r="AW12" s="2610">
        <f t="shared" si="12"/>
        <v>162808.09884107241</v>
      </c>
      <c r="AX12" s="2610">
        <f t="shared" si="12"/>
        <v>161314.83250233959</v>
      </c>
      <c r="AY12" s="2610">
        <f t="shared" si="12"/>
        <v>158101.90205721074</v>
      </c>
      <c r="AZ12" s="2610">
        <f t="shared" si="12"/>
        <v>156543.840044874</v>
      </c>
      <c r="BA12" s="2610">
        <f t="shared" si="12"/>
        <v>153510.26113560033</v>
      </c>
      <c r="BB12" s="2610">
        <f t="shared" si="12"/>
        <v>152330.77684557534</v>
      </c>
      <c r="BC12" s="2610">
        <f t="shared" si="12"/>
        <v>149842.25413386369</v>
      </c>
      <c r="BD12" s="2610">
        <f t="shared" si="12"/>
        <v>147612.9277345117</v>
      </c>
      <c r="BE12" s="2610">
        <f t="shared" si="12"/>
        <v>144310.59058547285</v>
      </c>
      <c r="BF12" s="2610">
        <f t="shared" si="12"/>
        <v>142692.41689736917</v>
      </c>
      <c r="BG12" s="2610">
        <f t="shared" si="12"/>
        <v>140671.89479919637</v>
      </c>
      <c r="BH12" s="2610">
        <f t="shared" si="12"/>
        <v>138314.40351270486</v>
      </c>
      <c r="BI12" s="2610">
        <f t="shared" si="12"/>
        <v>136053.61020570091</v>
      </c>
      <c r="BJ12" s="2610">
        <f t="shared" si="12"/>
        <v>134138.98984636826</v>
      </c>
      <c r="BK12" s="2610">
        <f t="shared" si="12"/>
        <v>132111.6471068135</v>
      </c>
      <c r="BL12" s="2610">
        <f t="shared" si="12"/>
        <v>130684.51590260056</v>
      </c>
      <c r="BM12" s="2610">
        <f t="shared" si="12"/>
        <v>128533.29574607374</v>
      </c>
      <c r="BN12" s="2610">
        <f t="shared" si="12"/>
        <v>127911.8890471716</v>
      </c>
      <c r="BO12" s="2610">
        <f t="shared" si="12"/>
        <v>125392.49850387929</v>
      </c>
      <c r="BP12" s="2610">
        <f t="shared" si="12"/>
        <v>124263.79459093137</v>
      </c>
      <c r="BQ12" s="2610">
        <f t="shared" si="12"/>
        <v>121519.50459422643</v>
      </c>
      <c r="BR12" s="2610">
        <f t="shared" si="12"/>
        <v>120690.79198879462</v>
      </c>
      <c r="BS12" s="2610">
        <f t="shared" si="12"/>
        <v>118629.21620872608</v>
      </c>
      <c r="BT12" s="2610">
        <f t="shared" si="12"/>
        <v>118266.74493465353</v>
      </c>
      <c r="BU12" s="2610">
        <f t="shared" si="12"/>
        <v>114785.009888217</v>
      </c>
      <c r="BV12" s="2610">
        <f t="shared" si="12"/>
        <v>112938.17130511587</v>
      </c>
      <c r="BW12" s="2610">
        <f t="shared" si="12"/>
        <v>111389.5617160033</v>
      </c>
      <c r="BX12" s="2610">
        <f t="shared" si="12"/>
        <v>109783.65692668382</v>
      </c>
      <c r="BY12" s="2610">
        <f t="shared" si="12"/>
        <v>107799.94683040405</v>
      </c>
      <c r="BZ12" s="2610">
        <f t="shared" si="12"/>
        <v>106160.0778153587</v>
      </c>
      <c r="CA12" s="2610">
        <f t="shared" si="12"/>
        <v>104074.94873073477</v>
      </c>
      <c r="CB12" s="2610">
        <f t="shared" si="12"/>
        <v>103322.53242748525</v>
      </c>
      <c r="CC12" s="2610">
        <f t="shared" si="12"/>
        <v>101113.58628189348</v>
      </c>
      <c r="CD12" s="2610">
        <f t="shared" si="12"/>
        <v>100851.57821509764</v>
      </c>
      <c r="CE12" s="2610">
        <f t="shared" si="12"/>
        <v>99303.126795721095</v>
      </c>
      <c r="CF12" s="2610">
        <f t="shared" si="12"/>
        <v>98648.151398439586</v>
      </c>
      <c r="CG12" s="2610">
        <f t="shared" si="12"/>
        <v>97751.058874510738</v>
      </c>
      <c r="CH12" s="2610">
        <f t="shared" ref="CH12:ES12" ca="1" si="13">CH32</f>
        <v>96410.333988262166</v>
      </c>
      <c r="CI12" s="2610">
        <f t="shared" ca="1" si="13"/>
        <v>95087.998091772926</v>
      </c>
      <c r="CJ12" s="2610">
        <f t="shared" ca="1" si="13"/>
        <v>93783.798967046721</v>
      </c>
      <c r="CK12" s="2610">
        <f t="shared" ca="1" si="13"/>
        <v>92497.487855435422</v>
      </c>
      <c r="CL12" s="2610">
        <f t="shared" ca="1" si="13"/>
        <v>91228.819410191674</v>
      </c>
      <c r="CM12" s="2610">
        <f t="shared" ca="1" si="13"/>
        <v>89977.551649672154</v>
      </c>
      <c r="CN12" s="2610">
        <f t="shared" ca="1" si="13"/>
        <v>88743.44591118292</v>
      </c>
      <c r="CO12" s="2610">
        <f t="shared" ca="1" si="13"/>
        <v>87526.266805457635</v>
      </c>
      <c r="CP12" s="2610">
        <f t="shared" ca="1" si="13"/>
        <v>86325.782171760133</v>
      </c>
      <c r="CQ12" s="2610">
        <f t="shared" ca="1" si="13"/>
        <v>85141.76303360294</v>
      </c>
      <c r="CR12" s="2610">
        <f t="shared" ca="1" si="13"/>
        <v>83973.983555072948</v>
      </c>
      <c r="CS12" s="2610">
        <f t="shared" ca="1" si="13"/>
        <v>82822.220997756333</v>
      </c>
      <c r="CT12" s="2610">
        <f t="shared" ca="1" si="13"/>
        <v>81686.255678254034</v>
      </c>
      <c r="CU12" s="2610">
        <f t="shared" ca="1" si="13"/>
        <v>80565.8709262802</v>
      </c>
      <c r="CV12" s="2610">
        <f t="shared" ca="1" si="13"/>
        <v>79460.853043335097</v>
      </c>
      <c r="CW12" s="2610">
        <f t="shared" ca="1" si="13"/>
        <v>78370.991261945019</v>
      </c>
      <c r="CX12" s="2610">
        <f t="shared" ca="1" si="13"/>
        <v>77296.077705461212</v>
      </c>
      <c r="CY12" s="2610">
        <f t="shared" ca="1" si="13"/>
        <v>76235.907348410081</v>
      </c>
      <c r="CZ12" s="2610">
        <f t="shared" ca="1" si="13"/>
        <v>75190.277977387421</v>
      </c>
      <c r="DA12" s="2610">
        <f t="shared" ca="1" si="13"/>
        <v>74158.990152488797</v>
      </c>
      <c r="DB12" s="2610">
        <f t="shared" ca="1" si="13"/>
        <v>73141.847169269109</v>
      </c>
      <c r="DC12" s="2610">
        <f t="shared" ca="1" si="13"/>
        <v>72138.655021223734</v>
      </c>
      <c r="DD12" s="2610">
        <f t="shared" ca="1" si="13"/>
        <v>71149.222362784538</v>
      </c>
      <c r="DE12" s="2610">
        <f t="shared" ca="1" si="13"/>
        <v>70173.360472823013</v>
      </c>
      <c r="DF12" s="2610">
        <f t="shared" ca="1" si="13"/>
        <v>69210.883218654475</v>
      </c>
      <c r="DG12" s="2610">
        <f t="shared" ca="1" si="13"/>
        <v>68261.607020535565</v>
      </c>
      <c r="DH12" s="2610">
        <f t="shared" ca="1" si="13"/>
        <v>67325.350816648861</v>
      </c>
      <c r="DI12" s="2610">
        <f t="shared" ca="1" si="13"/>
        <v>66401.936028567914</v>
      </c>
      <c r="DJ12" s="2610">
        <f t="shared" ca="1" si="13"/>
        <v>65491.186527195481</v>
      </c>
      <c r="DK12" s="2610">
        <f t="shared" ca="1" si="13"/>
        <v>64592.928599169551</v>
      </c>
      <c r="DL12" s="2610">
        <f t="shared" ca="1" si="13"/>
        <v>63706.990913729671</v>
      </c>
      <c r="DM12" s="2610">
        <f t="shared" ca="1" si="13"/>
        <v>62833.20449003781</v>
      </c>
      <c r="DN12" s="2610">
        <f t="shared" ca="1" si="13"/>
        <v>61971.402664947731</v>
      </c>
      <c r="DO12" s="2610">
        <f t="shared" ca="1" si="13"/>
        <v>61121.42106121606</v>
      </c>
      <c r="DP12" s="2610">
        <f t="shared" ca="1" si="13"/>
        <v>60283.097556149463</v>
      </c>
      <c r="DQ12" s="2610">
        <f t="shared" ca="1" si="13"/>
        <v>59456.272250682043</v>
      </c>
      <c r="DR12" s="2610">
        <f t="shared" ca="1" si="13"/>
        <v>58640.787438876621</v>
      </c>
      <c r="DS12" s="2610">
        <f t="shared" ca="1" si="13"/>
        <v>57836.487577844455</v>
      </c>
      <c r="DT12" s="2610">
        <f t="shared" ca="1" si="13"/>
        <v>57043.21925807753</v>
      </c>
      <c r="DU12" s="2610">
        <f t="shared" ca="1" si="13"/>
        <v>56260.831174187631</v>
      </c>
      <c r="DV12" s="2610">
        <f t="shared" ca="1" si="13"/>
        <v>55489.174096046925</v>
      </c>
      <c r="DW12" s="2610">
        <f t="shared" ca="1" si="13"/>
        <v>54728.100840324405</v>
      </c>
      <c r="DX12" s="2610">
        <f t="shared" ca="1" si="13"/>
        <v>53977.466242412353</v>
      </c>
      <c r="DY12" s="2610">
        <f t="shared" ca="1" si="13"/>
        <v>53237.127128738408</v>
      </c>
      <c r="DZ12" s="2610">
        <f t="shared" ca="1" si="13"/>
        <v>52506.942289456936</v>
      </c>
      <c r="EA12" s="2610">
        <f t="shared" ca="1" si="13"/>
        <v>51786.772451515179</v>
      </c>
      <c r="EB12" s="2610">
        <f t="shared" ca="1" si="13"/>
        <v>51076.480252088746</v>
      </c>
      <c r="EC12" s="2610">
        <f t="shared" ca="1" si="13"/>
        <v>50375.930212381558</v>
      </c>
      <c r="ED12" s="2610">
        <f t="shared" ca="1" si="13"/>
        <v>49684.98871178495</v>
      </c>
      <c r="EE12" s="2610">
        <f t="shared" ca="1" si="13"/>
        <v>49003.523962391446</v>
      </c>
      <c r="EF12" s="2610">
        <f t="shared" ca="1" si="13"/>
        <v>48331.40598385784</v>
      </c>
      <c r="EG12" s="2610">
        <f t="shared" ca="1" si="13"/>
        <v>47668.506578613255</v>
      </c>
      <c r="EH12" s="2610">
        <f t="shared" ca="1" si="13"/>
        <v>47014.699307407172</v>
      </c>
      <c r="EI12" s="2610">
        <f t="shared" ca="1" si="13"/>
        <v>46369.85946519272</v>
      </c>
      <c r="EJ12" s="2610">
        <f t="shared" ca="1" si="13"/>
        <v>45733.864057340987</v>
      </c>
      <c r="EK12" s="2610">
        <f t="shared" ca="1" si="13"/>
        <v>45106.591776181333</v>
      </c>
      <c r="EL12" s="2610">
        <f t="shared" ca="1" si="13"/>
        <v>44487.922977863585</v>
      </c>
      <c r="EM12" s="2610">
        <f t="shared" ca="1" si="13"/>
        <v>43877.739659537569</v>
      </c>
      <c r="EN12" s="2610">
        <f t="shared" ca="1" si="13"/>
        <v>43275.925436845646</v>
      </c>
      <c r="EO12" s="2610">
        <f t="shared" ca="1" si="13"/>
        <v>42682.365521723863</v>
      </c>
      <c r="EP12" s="2610">
        <f t="shared" ca="1" si="13"/>
        <v>42096.946700507848</v>
      </c>
      <c r="EQ12" s="2610">
        <f t="shared" ca="1" si="13"/>
        <v>41519.557312338606</v>
      </c>
      <c r="ER12" s="2610">
        <f t="shared" ca="1" si="13"/>
        <v>40950.087227864729</v>
      </c>
      <c r="ES12" s="2610">
        <f t="shared" ca="1" si="13"/>
        <v>40388.427828236825</v>
      </c>
      <c r="ET12" s="2610">
        <f t="shared" ref="ET12:HE12" ca="1" si="14">ET32</f>
        <v>39834.471984389806</v>
      </c>
      <c r="EU12" s="2610">
        <f t="shared" ca="1" si="14"/>
        <v>39288.114036609368</v>
      </c>
      <c r="EV12" s="2610">
        <f t="shared" ca="1" si="14"/>
        <v>38749.249774378943</v>
      </c>
      <c r="EW12" s="2610">
        <f t="shared" ca="1" si="14"/>
        <v>38217.776416502937</v>
      </c>
      <c r="EX12" s="2610">
        <f t="shared" ca="1" si="14"/>
        <v>37693.592591502471</v>
      </c>
      <c r="EY12" s="2610">
        <f t="shared" ca="1" si="14"/>
        <v>37176.598318280121</v>
      </c>
      <c r="EZ12" s="2610">
        <f t="shared" ca="1" si="14"/>
        <v>36666.694987050003</v>
      </c>
      <c r="FA12" s="2610">
        <f t="shared" ca="1" si="14"/>
        <v>36163.785340529117</v>
      </c>
      <c r="FB12" s="2610">
        <f t="shared" ca="1" si="14"/>
        <v>35667.77345538685</v>
      </c>
      <c r="FC12" s="2610">
        <f t="shared" ca="1" si="14"/>
        <v>35178.564723948941</v>
      </c>
      <c r="FD12" s="2610">
        <f t="shared" ca="1" si="14"/>
        <v>34696.065836152215</v>
      </c>
      <c r="FE12" s="2610">
        <f t="shared" ca="1" si="14"/>
        <v>34220.184761747005</v>
      </c>
      <c r="FF12" s="2610">
        <f t="shared" ca="1" si="14"/>
        <v>33750.83073274362</v>
      </c>
      <c r="FG12" s="2610">
        <f t="shared" ca="1" si="14"/>
        <v>33287.914226099485</v>
      </c>
      <c r="FH12" s="2610">
        <f t="shared" ca="1" si="14"/>
        <v>32831.346946643898</v>
      </c>
      <c r="FI12" s="2610">
        <f t="shared" ca="1" si="14"/>
        <v>32381.041810236791</v>
      </c>
      <c r="FJ12" s="2610">
        <f t="shared" ca="1" si="14"/>
        <v>31936.91292715865</v>
      </c>
      <c r="FK12" s="2610">
        <f t="shared" ca="1" si="14"/>
        <v>31498.875585728259</v>
      </c>
      <c r="FL12" s="2610">
        <f t="shared" ca="1" si="14"/>
        <v>31066.846236144982</v>
      </c>
      <c r="FM12" s="2610">
        <f t="shared" ca="1" si="14"/>
        <v>30640.742474552688</v>
      </c>
      <c r="FN12" s="2610">
        <f t="shared" ca="1" si="14"/>
        <v>30220.483027322516</v>
      </c>
      <c r="FO12" s="2610">
        <f t="shared" ca="1" si="14"/>
        <v>29805.987735550785</v>
      </c>
      <c r="FP12" s="2610">
        <f t="shared" ca="1" si="14"/>
        <v>29397.177539769931</v>
      </c>
      <c r="FQ12" s="2610">
        <f t="shared" ca="1" si="14"/>
        <v>28993.974464868894</v>
      </c>
      <c r="FR12" s="2610">
        <f t="shared" ca="1" si="14"/>
        <v>28596.301605220291</v>
      </c>
      <c r="FS12" s="2610">
        <f t="shared" ca="1" si="14"/>
        <v>28204.083110011859</v>
      </c>
      <c r="FT12" s="2610">
        <f t="shared" ca="1" si="14"/>
        <v>27817.244168778925</v>
      </c>
      <c r="FU12" s="2610">
        <f t="shared" ca="1" si="14"/>
        <v>27435.710997135113</v>
      </c>
      <c r="FV12" s="2610">
        <f t="shared" ca="1" si="14"/>
        <v>27059.41082269909</v>
      </c>
      <c r="FW12" s="2610">
        <f t="shared" ca="1" si="14"/>
        <v>26688.271871214285</v>
      </c>
      <c r="FX12" s="2610">
        <f t="shared" ca="1" si="14"/>
        <v>26322.223352858677</v>
      </c>
      <c r="FY12" s="2610">
        <f t="shared" ca="1" si="14"/>
        <v>25961.195448742808</v>
      </c>
      <c r="FZ12" s="2610">
        <f t="shared" ca="1" si="14"/>
        <v>25605.119297592631</v>
      </c>
      <c r="GA12" s="2610">
        <f t="shared" ca="1" si="14"/>
        <v>25253.926982615107</v>
      </c>
      <c r="GB12" s="2610">
        <f t="shared" ca="1" si="14"/>
        <v>24907.551518544049</v>
      </c>
      <c r="GC12" s="2610">
        <f t="shared" ca="1" si="14"/>
        <v>24565.926838863594</v>
      </c>
      <c r="GD12" s="2610">
        <f t="shared" ca="1" si="14"/>
        <v>24228.987783206856</v>
      </c>
      <c r="GE12" s="2610">
        <f t="shared" ca="1" si="14"/>
        <v>23896.67008492738</v>
      </c>
      <c r="GF12" s="2610">
        <f t="shared" ca="1" si="14"/>
        <v>23568.910358841287</v>
      </c>
      <c r="GG12" s="2610">
        <f t="shared" ca="1" si="14"/>
        <v>23245.646089137314</v>
      </c>
      <c r="GH12" s="2610">
        <f t="shared" ca="1" si="14"/>
        <v>22926.815617452681</v>
      </c>
      <c r="GI12" s="2610">
        <f t="shared" ca="1" si="14"/>
        <v>22612.358131112709</v>
      </c>
      <c r="GJ12" s="2610">
        <f t="shared" ca="1" si="14"/>
        <v>22302.213651531503</v>
      </c>
      <c r="GK12" s="2610">
        <f t="shared" ca="1" si="14"/>
        <v>21996.323022771921</v>
      </c>
      <c r="GL12" s="2610">
        <f t="shared" ca="1" si="14"/>
        <v>21694.62790026228</v>
      </c>
      <c r="GM12" s="2610">
        <f t="shared" ca="1" si="14"/>
        <v>21397.070739667968</v>
      </c>
      <c r="GN12" s="2610">
        <f t="shared" ca="1" si="14"/>
        <v>21103.594785915677</v>
      </c>
      <c r="GO12" s="2610">
        <f t="shared" ca="1" si="14"/>
        <v>20814.144062367981</v>
      </c>
      <c r="GP12" s="2610">
        <f t="shared" ca="1" si="14"/>
        <v>20528.663360146573</v>
      </c>
      <c r="GQ12" s="2610">
        <f t="shared" ca="1" si="14"/>
        <v>20247.098227602055</v>
      </c>
      <c r="GR12" s="2610">
        <f t="shared" ca="1" si="14"/>
        <v>19969.394959927828</v>
      </c>
      <c r="GS12" s="2610">
        <f t="shared" ca="1" si="14"/>
        <v>19695.500588916744</v>
      </c>
      <c r="GT12" s="2610">
        <f t="shared" ca="1" si="14"/>
        <v>19425.362872857979</v>
      </c>
      <c r="GU12" s="2610">
        <f t="shared" ca="1" si="14"/>
        <v>19158.930286572799</v>
      </c>
      <c r="GV12" s="2610">
        <f t="shared" ca="1" si="14"/>
        <v>18896.152011586666</v>
      </c>
      <c r="GW12" s="2610">
        <f t="shared" ca="1" si="14"/>
        <v>18636.977926436415</v>
      </c>
      <c r="GX12" s="2610">
        <f t="shared" ca="1" si="14"/>
        <v>18381.358597110098</v>
      </c>
      <c r="GY12" s="2610">
        <f t="shared" ca="1" si="14"/>
        <v>18129.24526761828</v>
      </c>
      <c r="GZ12" s="2610">
        <f t="shared" ca="1" si="14"/>
        <v>17880.589850694312</v>
      </c>
      <c r="HA12" s="2610">
        <f t="shared" ca="1" si="14"/>
        <v>17635.344918622493</v>
      </c>
      <c r="HB12" s="2610">
        <f t="shared" ca="1" si="14"/>
        <v>17393.463694191683</v>
      </c>
      <c r="HC12" s="2610">
        <f t="shared" ca="1" si="14"/>
        <v>17154.900041773362</v>
      </c>
      <c r="HD12" s="2610">
        <f t="shared" ca="1" si="14"/>
        <v>16919.608458521703</v>
      </c>
      <c r="HE12" s="2610">
        <f t="shared" ca="1" si="14"/>
        <v>16687.544065694583</v>
      </c>
      <c r="HF12" s="2610">
        <f t="shared" ref="HF12:IA12" ca="1" si="15">HF32</f>
        <v>16458.662600093587</v>
      </c>
      <c r="HG12" s="2610">
        <f t="shared" ca="1" si="15"/>
        <v>16232.920405621357</v>
      </c>
      <c r="HH12" s="2610">
        <f t="shared" ca="1" si="15"/>
        <v>16010.274424954827</v>
      </c>
      <c r="HI12" s="2610">
        <f t="shared" ca="1" si="15"/>
        <v>15790.682191332477</v>
      </c>
      <c r="HJ12" s="2610">
        <f t="shared" ca="1" si="15"/>
        <v>15574.101820454473</v>
      </c>
      <c r="HK12" s="2610">
        <f t="shared" ca="1" si="15"/>
        <v>15360.492002493746</v>
      </c>
      <c r="HL12" s="2610">
        <f t="shared" ca="1" si="15"/>
        <v>15149.811994216769</v>
      </c>
      <c r="HM12" s="2610">
        <f t="shared" ca="1" si="15"/>
        <v>14942.021611212203</v>
      </c>
      <c r="HN12" s="2610">
        <f t="shared" ca="1" si="15"/>
        <v>14737.081220226419</v>
      </c>
      <c r="HO12" s="2610">
        <f t="shared" ca="1" si="15"/>
        <v>14534.951731603818</v>
      </c>
      <c r="HP12" s="2610">
        <f t="shared" ca="1" si="15"/>
        <v>14335.594591831024</v>
      </c>
      <c r="HQ12" s="2610">
        <f t="shared" ca="1" si="15"/>
        <v>14138.971776183431</v>
      </c>
      <c r="HR12" s="2610">
        <f t="shared" ca="1" si="15"/>
        <v>13945.0457814724</v>
      </c>
      <c r="HS12" s="2610">
        <f t="shared" ca="1" si="15"/>
        <v>13753.779618892033</v>
      </c>
      <c r="HT12" s="2610">
        <f t="shared" ca="1" si="15"/>
        <v>13565.13680696403</v>
      </c>
      <c r="HU12" s="2610">
        <f t="shared" ca="1" si="15"/>
        <v>13379.081364579397</v>
      </c>
      <c r="HV12" s="2610">
        <f t="shared" ca="1" si="15"/>
        <v>13195.577804135446</v>
      </c>
      <c r="HW12" s="2610">
        <f t="shared" ca="1" si="15"/>
        <v>13014.591124767156</v>
      </c>
      <c r="HX12" s="2610">
        <f t="shared" ca="1" si="15"/>
        <v>12836.086805670977</v>
      </c>
      <c r="HY12" s="2610">
        <f t="shared" ca="1" si="15"/>
        <v>12660.030799520664</v>
      </c>
      <c r="HZ12" s="2610">
        <f t="shared" ca="1" si="15"/>
        <v>12486.389525973153</v>
      </c>
      <c r="IA12" s="2610">
        <f t="shared" ca="1" si="15"/>
        <v>12318.710509391101</v>
      </c>
    </row>
    <row r="13" spans="1:356" s="2359" customFormat="1" ht="15.75" customHeight="1">
      <c r="C13" s="2360"/>
      <c r="D13" s="2359" t="str">
        <f>B40</f>
        <v>2. 정부 귀책사유</v>
      </c>
      <c r="H13" s="2361">
        <f>SUM(J13:AT13)</f>
        <v>2619242.5672910633</v>
      </c>
      <c r="I13" s="2362"/>
      <c r="J13" s="5064"/>
      <c r="K13" s="5064"/>
      <c r="L13" s="5064"/>
      <c r="M13" s="5064"/>
      <c r="N13" s="5064"/>
      <c r="O13" s="5064"/>
      <c r="P13" s="2612"/>
      <c r="Q13" s="2612"/>
      <c r="R13" s="2612"/>
      <c r="S13" s="2612"/>
      <c r="T13" s="5064"/>
      <c r="U13" s="5064"/>
      <c r="V13" s="5064">
        <f t="shared" ref="V13:CG13" si="16">V60</f>
        <v>0</v>
      </c>
      <c r="W13" s="5064">
        <f t="shared" si="16"/>
        <v>0</v>
      </c>
      <c r="X13" s="5064">
        <f t="shared" si="16"/>
        <v>0</v>
      </c>
      <c r="Y13" s="5064">
        <f t="shared" si="16"/>
        <v>0</v>
      </c>
      <c r="Z13" s="5064">
        <f t="shared" si="16"/>
        <v>0</v>
      </c>
      <c r="AA13" s="5064">
        <f t="shared" si="16"/>
        <v>0</v>
      </c>
      <c r="AB13" s="1496">
        <f t="shared" si="16"/>
        <v>0</v>
      </c>
      <c r="AC13" s="1496">
        <f t="shared" si="16"/>
        <v>0</v>
      </c>
      <c r="AD13" s="1496">
        <f t="shared" si="16"/>
        <v>0</v>
      </c>
      <c r="AE13" s="1496">
        <f t="shared" si="16"/>
        <v>0</v>
      </c>
      <c r="AF13" s="1496">
        <f t="shared" si="16"/>
        <v>0</v>
      </c>
      <c r="AG13" s="1496">
        <f t="shared" si="16"/>
        <v>0</v>
      </c>
      <c r="AH13" s="1496">
        <f t="shared" si="16"/>
        <v>0</v>
      </c>
      <c r="AI13" s="1496">
        <f t="shared" si="16"/>
        <v>0</v>
      </c>
      <c r="AJ13" s="1496">
        <f t="shared" si="16"/>
        <v>249602.9479313264</v>
      </c>
      <c r="AK13" s="1496">
        <f t="shared" si="16"/>
        <v>245903.71437213046</v>
      </c>
      <c r="AL13" s="1496">
        <f t="shared" si="16"/>
        <v>244540.42781247213</v>
      </c>
      <c r="AM13" s="1496">
        <f t="shared" si="16"/>
        <v>241243.62945873116</v>
      </c>
      <c r="AN13" s="1496">
        <f t="shared" si="16"/>
        <v>240632.47936951002</v>
      </c>
      <c r="AO13" s="1496">
        <f t="shared" si="16"/>
        <v>236206.63906786917</v>
      </c>
      <c r="AP13" s="1496">
        <f t="shared" si="16"/>
        <v>237395.14474750799</v>
      </c>
      <c r="AQ13" s="1496">
        <f t="shared" si="16"/>
        <v>234393.22087427272</v>
      </c>
      <c r="AR13" s="1496">
        <f t="shared" si="16"/>
        <v>232759.56732278128</v>
      </c>
      <c r="AS13" s="1496">
        <f t="shared" si="16"/>
        <v>229370.4190431677</v>
      </c>
      <c r="AT13" s="1496">
        <f t="shared" si="16"/>
        <v>227194.37729129425</v>
      </c>
      <c r="AU13" s="1496">
        <f t="shared" si="16"/>
        <v>223318.84997923023</v>
      </c>
      <c r="AV13" s="1496">
        <f t="shared" si="16"/>
        <v>221520.83992199771</v>
      </c>
      <c r="AW13" s="1496">
        <f t="shared" si="16"/>
        <v>216894.33978112959</v>
      </c>
      <c r="AX13" s="1496">
        <f t="shared" si="16"/>
        <v>214904.99761103891</v>
      </c>
      <c r="AY13" s="1496">
        <f t="shared" si="16"/>
        <v>210624.70423116736</v>
      </c>
      <c r="AZ13" s="1496">
        <f t="shared" si="16"/>
        <v>208549.04071129716</v>
      </c>
      <c r="BA13" s="1496">
        <f t="shared" si="16"/>
        <v>204507.68097929048</v>
      </c>
      <c r="BB13" s="1496">
        <f t="shared" si="16"/>
        <v>202936.36193442583</v>
      </c>
      <c r="BC13" s="1496">
        <f t="shared" si="16"/>
        <v>202963.38625194956</v>
      </c>
      <c r="BD13" s="1496">
        <f t="shared" si="16"/>
        <v>202073.23328804408</v>
      </c>
      <c r="BE13" s="1496">
        <f t="shared" si="16"/>
        <v>199545.69069608167</v>
      </c>
      <c r="BF13" s="1496">
        <f t="shared" si="16"/>
        <v>199514.28778109446</v>
      </c>
      <c r="BG13" s="1496">
        <f t="shared" si="16"/>
        <v>198702.78727513109</v>
      </c>
      <c r="BH13" s="1496">
        <f t="shared" si="16"/>
        <v>196615.90833001415</v>
      </c>
      <c r="BI13" s="1496">
        <f t="shared" si="16"/>
        <v>194488.25873666673</v>
      </c>
      <c r="BJ13" s="1496">
        <f t="shared" si="16"/>
        <v>193060.781125774</v>
      </c>
      <c r="BK13" s="1496">
        <f t="shared" si="16"/>
        <v>191228.2139165421</v>
      </c>
      <c r="BL13" s="1496">
        <f t="shared" si="16"/>
        <v>190711.80237497206</v>
      </c>
      <c r="BM13" s="1496">
        <f t="shared" si="16"/>
        <v>188992.13799200518</v>
      </c>
      <c r="BN13" s="1496">
        <f t="shared" si="16"/>
        <v>189713.33945981995</v>
      </c>
      <c r="BO13" s="1496">
        <f t="shared" si="16"/>
        <v>187409.15495668224</v>
      </c>
      <c r="BP13" s="1496">
        <f t="shared" si="16"/>
        <v>187528.04826785834</v>
      </c>
      <c r="BQ13" s="1496">
        <f t="shared" si="16"/>
        <v>185074.69525535183</v>
      </c>
      <c r="BR13" s="1496">
        <f t="shared" si="16"/>
        <v>185695.77546970971</v>
      </c>
      <c r="BS13" s="1496">
        <f t="shared" si="16"/>
        <v>184232.6566004974</v>
      </c>
      <c r="BT13" s="1496">
        <f t="shared" si="16"/>
        <v>185914.15814795697</v>
      </c>
      <c r="BU13" s="1496">
        <f t="shared" si="16"/>
        <v>182577.4401058557</v>
      </c>
      <c r="BV13" s="1496">
        <f t="shared" si="16"/>
        <v>181930.68243910684</v>
      </c>
      <c r="BW13" s="1496">
        <f t="shared" si="16"/>
        <v>181590.82461400219</v>
      </c>
      <c r="BX13" s="1496">
        <f t="shared" si="16"/>
        <v>180837.16484691098</v>
      </c>
      <c r="BY13" s="1496">
        <f t="shared" si="16"/>
        <v>179342.55292784568</v>
      </c>
      <c r="BZ13" s="1496">
        <f t="shared" si="16"/>
        <v>189566.99485581281</v>
      </c>
      <c r="CA13" s="1496">
        <f t="shared" si="16"/>
        <v>187702.41876410085</v>
      </c>
      <c r="CB13" s="1496">
        <f t="shared" si="16"/>
        <v>188251.5849000561</v>
      </c>
      <c r="CC13" s="1496">
        <f t="shared" si="16"/>
        <v>186035.80088636844</v>
      </c>
      <c r="CD13" s="1496">
        <f t="shared" si="16"/>
        <v>184499.99630158622</v>
      </c>
      <c r="CE13" s="1496">
        <f t="shared" si="16"/>
        <v>183491.98537783121</v>
      </c>
      <c r="CF13" s="1496">
        <f t="shared" si="16"/>
        <v>184034.23190946327</v>
      </c>
      <c r="CG13" s="1496">
        <f t="shared" si="16"/>
        <v>184037.60476005968</v>
      </c>
      <c r="CH13" s="1496">
        <f t="shared" ref="CH13:ES13" ca="1" si="17">CH60</f>
        <v>172897.9482087752</v>
      </c>
      <c r="CI13" s="1496">
        <f t="shared" ca="1" si="17"/>
        <v>172149.26723282319</v>
      </c>
      <c r="CJ13" s="1496">
        <f t="shared" ca="1" si="17"/>
        <v>171346.49943581643</v>
      </c>
      <c r="CK13" s="1496">
        <f ca="1">CK60</f>
        <v>170476.12126252064</v>
      </c>
      <c r="CL13" s="1496">
        <f t="shared" ca="1" si="17"/>
        <v>168284.57395346498</v>
      </c>
      <c r="CM13" s="1496">
        <f t="shared" ca="1" si="17"/>
        <v>167462.21823365692</v>
      </c>
      <c r="CN13" s="1496">
        <f t="shared" ca="1" si="17"/>
        <v>166633.50501375739</v>
      </c>
      <c r="CO13" s="1496">
        <f t="shared" ca="1" si="17"/>
        <v>165740.56816320212</v>
      </c>
      <c r="CP13" s="1496">
        <f t="shared" ca="1" si="17"/>
        <v>166819.8578053602</v>
      </c>
      <c r="CQ13" s="1496">
        <f t="shared" ca="1" si="17"/>
        <v>165950.8033379491</v>
      </c>
      <c r="CR13" s="1496">
        <f t="shared" ca="1" si="17"/>
        <v>165186.06045684946</v>
      </c>
      <c r="CS13" s="1496">
        <f t="shared" ca="1" si="17"/>
        <v>164363.02939435889</v>
      </c>
      <c r="CT13" s="1496">
        <f t="shared" ca="1" si="17"/>
        <v>166757.33859699281</v>
      </c>
      <c r="CU13" s="1496">
        <f t="shared" ca="1" si="17"/>
        <v>165950.5883616668</v>
      </c>
      <c r="CV13" s="1496">
        <f t="shared" ca="1" si="17"/>
        <v>164869.84280079851</v>
      </c>
      <c r="CW13" s="1496">
        <f t="shared" ca="1" si="17"/>
        <v>163722.61864978576</v>
      </c>
      <c r="CX13" s="1496">
        <f t="shared" ca="1" si="17"/>
        <v>151893.32615853616</v>
      </c>
      <c r="CY13" s="1496">
        <f t="shared" ca="1" si="17"/>
        <v>150884.43538406841</v>
      </c>
      <c r="CZ13" s="1496">
        <f t="shared" ca="1" si="17"/>
        <v>149871.98182081734</v>
      </c>
      <c r="DA13" s="1496">
        <f t="shared" ca="1" si="17"/>
        <v>148800.48666972871</v>
      </c>
      <c r="DB13" s="1496">
        <f t="shared" ca="1" si="17"/>
        <v>131947.1705666671</v>
      </c>
      <c r="DC13" s="1496">
        <f t="shared" ca="1" si="17"/>
        <v>131059.03192361907</v>
      </c>
      <c r="DD13" s="1496">
        <f t="shared" ca="1" si="17"/>
        <v>130295.68763602054</v>
      </c>
      <c r="DE13" s="1496">
        <f t="shared" ca="1" si="17"/>
        <v>129487.25049609529</v>
      </c>
      <c r="DF13" s="1496">
        <f t="shared" ca="1" si="17"/>
        <v>121372.33456704702</v>
      </c>
      <c r="DG13" s="1496">
        <f t="shared" ca="1" si="17"/>
        <v>120651.62333963861</v>
      </c>
      <c r="DH13" s="1496">
        <f t="shared" ca="1" si="17"/>
        <v>121785.92339366558</v>
      </c>
      <c r="DI13" s="1496">
        <f t="shared" ca="1" si="17"/>
        <v>122944.00230077436</v>
      </c>
      <c r="DJ13" s="1496">
        <f t="shared" ca="1" si="17"/>
        <v>122918.71705562953</v>
      </c>
      <c r="DK13" s="1496">
        <f t="shared" ca="1" si="17"/>
        <v>124051.2370564841</v>
      </c>
      <c r="DL13" s="1496">
        <f t="shared" ca="1" si="17"/>
        <v>123739.47400544555</v>
      </c>
      <c r="DM13" s="1496">
        <f t="shared" ca="1" si="17"/>
        <v>123403.3397445415</v>
      </c>
      <c r="DN13" s="1496">
        <f t="shared" ca="1" si="17"/>
        <v>124481.25705127639</v>
      </c>
      <c r="DO13" s="1496">
        <f t="shared" ca="1" si="17"/>
        <v>124159.08481465743</v>
      </c>
      <c r="DP13" s="1496">
        <f t="shared" ca="1" si="17"/>
        <v>123529.51420547438</v>
      </c>
      <c r="DQ13" s="1496">
        <f t="shared" ca="1" si="17"/>
        <v>122866.80828850984</v>
      </c>
      <c r="DR13" s="1496">
        <f t="shared" ca="1" si="17"/>
        <v>124491.23879285628</v>
      </c>
      <c r="DS13" s="1496">
        <f t="shared" ca="1" si="17"/>
        <v>123838.75938249147</v>
      </c>
      <c r="DT13" s="1496">
        <f t="shared" ca="1" si="17"/>
        <v>123041.2756138031</v>
      </c>
      <c r="DU13" s="1496">
        <f t="shared" ca="1" si="17"/>
        <v>122207.08360684451</v>
      </c>
      <c r="DV13" s="1496">
        <f t="shared" ca="1" si="17"/>
        <v>122506.27559240386</v>
      </c>
      <c r="DW13" s="1496">
        <f t="shared" ca="1" si="17"/>
        <v>121691.25969348909</v>
      </c>
      <c r="DX13" s="1496">
        <f t="shared" ca="1" si="17"/>
        <v>121424.7300061799</v>
      </c>
      <c r="DY13" s="1496">
        <f t="shared" ca="1" si="17"/>
        <v>121140.49001284252</v>
      </c>
      <c r="DZ13" s="1496">
        <f t="shared" ca="1" si="17"/>
        <v>121084.02810706251</v>
      </c>
      <c r="EA13" s="1496">
        <f t="shared" ca="1" si="17"/>
        <v>120813.81604778435</v>
      </c>
      <c r="EB13" s="1496">
        <f t="shared" ca="1" si="17"/>
        <v>119933.08866398036</v>
      </c>
      <c r="EC13" s="1496">
        <f t="shared" ca="1" si="17"/>
        <v>119016.96301926406</v>
      </c>
      <c r="ED13" s="1496">
        <f t="shared" ca="1" si="17"/>
        <v>119003.88713625836</v>
      </c>
      <c r="EE13" s="1496">
        <f t="shared" ca="1" si="17"/>
        <v>118108.99171206306</v>
      </c>
      <c r="EF13" s="1496">
        <f t="shared" ca="1" si="17"/>
        <v>117024.01887234335</v>
      </c>
      <c r="EG13" s="1496">
        <f t="shared" ca="1" si="17"/>
        <v>115899.41657324178</v>
      </c>
      <c r="EH13" s="1496">
        <f t="shared" ca="1" si="17"/>
        <v>115232.54016282171</v>
      </c>
      <c r="EI13" s="1496">
        <f t="shared" ca="1" si="17"/>
        <v>114136.86002157578</v>
      </c>
      <c r="EJ13" s="1496">
        <f t="shared" ca="1" si="17"/>
        <v>112952.304599323</v>
      </c>
      <c r="EK13" s="1496">
        <f t="shared" ca="1" si="17"/>
        <v>111727.33621377398</v>
      </c>
      <c r="EL13" s="1496">
        <f t="shared" ca="1" si="17"/>
        <v>110547.16256592202</v>
      </c>
      <c r="EM13" s="1496">
        <f t="shared" ca="1" si="17"/>
        <v>109358.04046499368</v>
      </c>
      <c r="EN13" s="1496">
        <f t="shared" ca="1" si="17"/>
        <v>108152.26818286401</v>
      </c>
      <c r="EO13" s="1496">
        <f t="shared" ca="1" si="17"/>
        <v>106907.70152781252</v>
      </c>
      <c r="EP13" s="1496">
        <f t="shared" ca="1" si="17"/>
        <v>106451.47770268071</v>
      </c>
      <c r="EQ13" s="1496">
        <f t="shared" ca="1" si="17"/>
        <v>105232.11996093021</v>
      </c>
      <c r="ER13" s="1496">
        <f t="shared" ca="1" si="17"/>
        <v>104000.13315921967</v>
      </c>
      <c r="ES13" s="1496">
        <f t="shared" ca="1" si="17"/>
        <v>102730.74876759814</v>
      </c>
      <c r="ET13" s="1496">
        <f t="shared" ref="ET13:HE13" ca="1" si="18">ET60</f>
        <v>101847.82147662927</v>
      </c>
      <c r="EU13" s="1496">
        <f t="shared" ca="1" si="18"/>
        <v>100609.26861107776</v>
      </c>
      <c r="EV13" s="1496">
        <f t="shared" ca="1" si="18"/>
        <v>99514.706804828194</v>
      </c>
      <c r="EW13" s="1496">
        <f t="shared" ca="1" si="18"/>
        <v>98388.494654205904</v>
      </c>
      <c r="EX13" s="1496">
        <f t="shared" ca="1" si="18"/>
        <v>97281.626052209031</v>
      </c>
      <c r="EY13" s="1496">
        <f t="shared" ca="1" si="18"/>
        <v>96186.165166987339</v>
      </c>
      <c r="EZ13" s="1496">
        <f t="shared" ca="1" si="18"/>
        <v>94902.895561570127</v>
      </c>
      <c r="FA13" s="1496">
        <f t="shared" ca="1" si="18"/>
        <v>93585.138703652105</v>
      </c>
      <c r="FB13" s="1496">
        <f t="shared" ca="1" si="18"/>
        <v>92927.723489606826</v>
      </c>
      <c r="FC13" s="1496">
        <f t="shared" ca="1" si="18"/>
        <v>91636.059210382955</v>
      </c>
      <c r="FD13" s="1496">
        <f t="shared" ca="1" si="18"/>
        <v>90483.413988780259</v>
      </c>
      <c r="FE13" s="1496">
        <f t="shared" ca="1" si="18"/>
        <v>89301.495589268219</v>
      </c>
      <c r="FF13" s="1496">
        <f t="shared" ca="1" si="18"/>
        <v>88429.514754538424</v>
      </c>
      <c r="FG13" s="1496">
        <f t="shared" ca="1" si="18"/>
        <v>87274.416425416333</v>
      </c>
      <c r="FH13" s="1496">
        <f t="shared" ca="1" si="18"/>
        <v>85954.268181226682</v>
      </c>
      <c r="FI13" s="1496">
        <f t="shared" ca="1" si="18"/>
        <v>84603.030318799269</v>
      </c>
      <c r="FJ13" s="1496">
        <f t="shared" ca="1" si="18"/>
        <v>83272.475466353877</v>
      </c>
      <c r="FK13" s="1496">
        <f t="shared" ca="1" si="18"/>
        <v>81959.988161353336</v>
      </c>
      <c r="FL13" s="1496">
        <f t="shared" ca="1" si="18"/>
        <v>80656.877350324634</v>
      </c>
      <c r="FM13" s="1496">
        <f t="shared" ca="1" si="18"/>
        <v>79325.280824987916</v>
      </c>
      <c r="FN13" s="1496">
        <f t="shared" ca="1" si="18"/>
        <v>78523.23592536732</v>
      </c>
      <c r="FO13" s="1496">
        <f t="shared" ca="1" si="18"/>
        <v>77218.810738318236</v>
      </c>
      <c r="FP13" s="1496">
        <f t="shared" ca="1" si="18"/>
        <v>75883.89898316309</v>
      </c>
      <c r="FQ13" s="1496">
        <f t="shared" ca="1" si="18"/>
        <v>74522.137593398948</v>
      </c>
      <c r="FR13" s="1496">
        <f t="shared" ca="1" si="18"/>
        <v>73411.732154794649</v>
      </c>
      <c r="FS13" s="1496">
        <f t="shared" ca="1" si="18"/>
        <v>72085.003674063963</v>
      </c>
      <c r="FT13" s="1496">
        <f t="shared" ca="1" si="18"/>
        <v>70714.610512430081</v>
      </c>
      <c r="FU13" s="1496">
        <f t="shared" ca="1" si="18"/>
        <v>69319.21096551283</v>
      </c>
      <c r="FV13" s="1496">
        <f t="shared" ca="1" si="18"/>
        <v>67945.28048851878</v>
      </c>
      <c r="FW13" s="1496">
        <f t="shared" ca="1" si="18"/>
        <v>66594.023774958478</v>
      </c>
      <c r="FX13" s="1496">
        <f t="shared" ca="1" si="18"/>
        <v>65200.287081670853</v>
      </c>
      <c r="FY13" s="1496">
        <f t="shared" ca="1" si="18"/>
        <v>63783.940384001158</v>
      </c>
      <c r="FZ13" s="1496">
        <f t="shared" ca="1" si="18"/>
        <v>62768.697554206548</v>
      </c>
      <c r="GA13" s="1496">
        <f t="shared" ca="1" si="18"/>
        <v>61388.400701454972</v>
      </c>
      <c r="GB13" s="1496">
        <f t="shared" ca="1" si="18"/>
        <v>59981.182520348142</v>
      </c>
      <c r="GC13" s="1496">
        <f t="shared" ca="1" si="18"/>
        <v>58554.217559061115</v>
      </c>
      <c r="GD13" s="1496">
        <f t="shared" ca="1" si="18"/>
        <v>57319.966266587697</v>
      </c>
      <c r="GE13" s="1496">
        <f t="shared" ca="1" si="18"/>
        <v>55939.408457825644</v>
      </c>
      <c r="GF13" s="1496">
        <f t="shared" ca="1" si="18"/>
        <v>54653.953051626471</v>
      </c>
      <c r="GG13" s="1496">
        <f t="shared" ca="1" si="18"/>
        <v>53353.155797734566</v>
      </c>
      <c r="GH13" s="1496">
        <f t="shared" ca="1" si="18"/>
        <v>52076.740716162007</v>
      </c>
      <c r="GI13" s="1496">
        <f t="shared" ca="1" si="18"/>
        <v>50824.215636398338</v>
      </c>
      <c r="GJ13" s="1496">
        <f t="shared" ca="1" si="18"/>
        <v>50616.634396317968</v>
      </c>
      <c r="GK13" s="1496">
        <f t="shared" ca="1" si="18"/>
        <v>50400.838194358163</v>
      </c>
      <c r="GL13" s="1496">
        <f t="shared" ca="1" si="18"/>
        <v>50396.084936938205</v>
      </c>
      <c r="GM13" s="1496">
        <f t="shared" ca="1" si="18"/>
        <v>50142.80534225575</v>
      </c>
      <c r="GN13" s="1496">
        <f t="shared" ca="1" si="18"/>
        <v>49093.130172435216</v>
      </c>
      <c r="GO13" s="1496">
        <f t="shared" ca="1" si="18"/>
        <v>48033.720078635153</v>
      </c>
      <c r="GP13" s="1496">
        <f t="shared" ca="1" si="18"/>
        <v>47101.653858965168</v>
      </c>
      <c r="GQ13" s="1496">
        <f t="shared" ca="1" si="18"/>
        <v>46069.102331509785</v>
      </c>
      <c r="GR13" s="1496">
        <f t="shared" ca="1" si="18"/>
        <v>44921.991269890597</v>
      </c>
      <c r="GS13" s="1496">
        <f t="shared" ca="1" si="18"/>
        <v>43768.630500746047</v>
      </c>
      <c r="GT13" s="1496">
        <f t="shared" ca="1" si="18"/>
        <v>42632.588982916459</v>
      </c>
      <c r="GU13" s="1496">
        <f t="shared" ca="1" si="18"/>
        <v>41524.010810228472</v>
      </c>
      <c r="GV13" s="1496">
        <f t="shared" ca="1" si="18"/>
        <v>40349.694125824069</v>
      </c>
      <c r="GW13" s="1496">
        <f t="shared" ca="1" si="18"/>
        <v>39174.095825397555</v>
      </c>
      <c r="GX13" s="1496">
        <f t="shared" ca="1" si="18"/>
        <v>38198.785445431124</v>
      </c>
      <c r="GY13" s="1496">
        <f t="shared" ca="1" si="18"/>
        <v>37069.892050208546</v>
      </c>
      <c r="GZ13" s="1496">
        <f t="shared" ca="1" si="18"/>
        <v>36106.483899931132</v>
      </c>
      <c r="HA13" s="1496">
        <f t="shared" ca="1" si="18"/>
        <v>35142.986103700285</v>
      </c>
      <c r="HB13" s="1496">
        <f t="shared" ca="1" si="18"/>
        <v>34263.690155929835</v>
      </c>
      <c r="HC13" s="1496">
        <f t="shared" ca="1" si="18"/>
        <v>33335.663060102954</v>
      </c>
      <c r="HD13" s="1496">
        <f t="shared" ca="1" si="18"/>
        <v>32252.68923063936</v>
      </c>
      <c r="HE13" s="1496">
        <f t="shared" ca="1" si="18"/>
        <v>31179.593307468123</v>
      </c>
      <c r="HF13" s="1496">
        <f t="shared" ref="HF13:IA13" ca="1" si="19">HF60</f>
        <v>30145.232741763572</v>
      </c>
      <c r="HG13" s="1496">
        <f t="shared" ca="1" si="19"/>
        <v>29142.020420183602</v>
      </c>
      <c r="HH13" s="1496">
        <f t="shared" ca="1" si="19"/>
        <v>28104.932987346438</v>
      </c>
      <c r="HI13" s="1496">
        <f t="shared" ca="1" si="19"/>
        <v>27087.440317344459</v>
      </c>
      <c r="HJ13" s="1496">
        <f t="shared" ca="1" si="19"/>
        <v>26193.314263563683</v>
      </c>
      <c r="HK13" s="1496">
        <f t="shared" ca="1" si="19"/>
        <v>25255.687602526235</v>
      </c>
      <c r="HL13" s="1496">
        <f t="shared" ca="1" si="19"/>
        <v>24341.538422991594</v>
      </c>
      <c r="HM13" s="1496">
        <f t="shared" ca="1" si="19"/>
        <v>23456.340009679356</v>
      </c>
      <c r="HN13" s="1496">
        <f t="shared" ca="1" si="19"/>
        <v>22650.775420816411</v>
      </c>
      <c r="HO13" s="1496">
        <f t="shared" ca="1" si="19"/>
        <v>21861.839332975673</v>
      </c>
      <c r="HP13" s="1496">
        <f t="shared" ca="1" si="19"/>
        <v>21134.422915453379</v>
      </c>
      <c r="HQ13" s="1496">
        <f t="shared" ca="1" si="19"/>
        <v>20442.939303380695</v>
      </c>
      <c r="HR13" s="1496">
        <f t="shared" ca="1" si="19"/>
        <v>19809.893634774591</v>
      </c>
      <c r="HS13" s="1496">
        <f t="shared" ca="1" si="19"/>
        <v>19220.85210239052</v>
      </c>
      <c r="HT13" s="1496">
        <f t="shared" ca="1" si="19"/>
        <v>18658.815989287046</v>
      </c>
      <c r="HU13" s="1496">
        <f t="shared" ca="1" si="19"/>
        <v>18147.352195562504</v>
      </c>
      <c r="HV13" s="1496">
        <f t="shared" ca="1" si="19"/>
        <v>17709.796143142597</v>
      </c>
      <c r="HW13" s="1496">
        <f t="shared" ca="1" si="19"/>
        <v>17338.149450926408</v>
      </c>
      <c r="HX13" s="1496">
        <f t="shared" ca="1" si="19"/>
        <v>17100.344472463767</v>
      </c>
      <c r="HY13" s="1496">
        <f t="shared" ca="1" si="19"/>
        <v>16865.801157418082</v>
      </c>
      <c r="HZ13" s="1496">
        <f t="shared" ca="1" si="19"/>
        <v>16634.474769769426</v>
      </c>
      <c r="IA13" s="1496">
        <f t="shared" ca="1" si="19"/>
        <v>16411.091351772408</v>
      </c>
    </row>
    <row r="14" spans="1:356" s="2359" customFormat="1" ht="15.75" customHeight="1">
      <c r="C14" s="2360"/>
      <c r="D14" s="2359" t="str">
        <f>B128</f>
        <v>3. 비정치적 불가항력</v>
      </c>
      <c r="H14" s="2361">
        <f>SUM(J14:AT14)</f>
        <v>2312602.8975923127</v>
      </c>
      <c r="I14" s="2362"/>
      <c r="J14" s="5064"/>
      <c r="K14" s="5064"/>
      <c r="L14" s="5064"/>
      <c r="M14" s="5064"/>
      <c r="N14" s="5064"/>
      <c r="O14" s="5064"/>
      <c r="P14" s="2612"/>
      <c r="Q14" s="2612"/>
      <c r="R14" s="2612"/>
      <c r="S14" s="2612"/>
      <c r="T14" s="2612"/>
      <c r="U14" s="2612"/>
      <c r="V14" s="2612">
        <f t="shared" ref="V14:CG14" si="20">V148</f>
        <v>0</v>
      </c>
      <c r="W14" s="2612">
        <f t="shared" si="20"/>
        <v>0</v>
      </c>
      <c r="X14" s="2612">
        <f t="shared" si="20"/>
        <v>0</v>
      </c>
      <c r="Y14" s="2612">
        <f t="shared" si="20"/>
        <v>0</v>
      </c>
      <c r="Z14" s="2612">
        <f t="shared" si="20"/>
        <v>0</v>
      </c>
      <c r="AA14" s="2612">
        <f t="shared" si="20"/>
        <v>0</v>
      </c>
      <c r="AB14" s="2361">
        <f t="shared" si="20"/>
        <v>0</v>
      </c>
      <c r="AC14" s="2361">
        <f t="shared" si="20"/>
        <v>0</v>
      </c>
      <c r="AD14" s="2361">
        <f t="shared" si="20"/>
        <v>0</v>
      </c>
      <c r="AE14" s="2361">
        <f t="shared" si="20"/>
        <v>0</v>
      </c>
      <c r="AF14" s="2361">
        <f t="shared" si="20"/>
        <v>0</v>
      </c>
      <c r="AG14" s="2361">
        <f t="shared" si="20"/>
        <v>0</v>
      </c>
      <c r="AH14" s="2361">
        <f t="shared" si="20"/>
        <v>0</v>
      </c>
      <c r="AI14" s="2361">
        <f t="shared" si="20"/>
        <v>0</v>
      </c>
      <c r="AJ14" s="2361">
        <f t="shared" si="20"/>
        <v>220381.45983194219</v>
      </c>
      <c r="AK14" s="2361">
        <f t="shared" si="20"/>
        <v>217115.30252574239</v>
      </c>
      <c r="AL14" s="2361">
        <f t="shared" si="20"/>
        <v>215911.61849605924</v>
      </c>
      <c r="AM14" s="2361">
        <f t="shared" si="20"/>
        <v>213000.78254644186</v>
      </c>
      <c r="AN14" s="2361">
        <f t="shared" si="20"/>
        <v>212461.18095136766</v>
      </c>
      <c r="AO14" s="2361">
        <f t="shared" si="20"/>
        <v>208553.48212512216</v>
      </c>
      <c r="AP14" s="2361">
        <f t="shared" si="20"/>
        <v>209602.84720221019</v>
      </c>
      <c r="AQ14" s="2361">
        <f t="shared" si="20"/>
        <v>206952.36422125611</v>
      </c>
      <c r="AR14" s="2361">
        <f t="shared" si="20"/>
        <v>205509.96557363929</v>
      </c>
      <c r="AS14" s="2361">
        <f t="shared" si="20"/>
        <v>202517.59127822969</v>
      </c>
      <c r="AT14" s="2361">
        <f t="shared" si="20"/>
        <v>200596.302840302</v>
      </c>
      <c r="AU14" s="2361">
        <f t="shared" si="20"/>
        <v>197174.49082353761</v>
      </c>
      <c r="AV14" s="2361">
        <f t="shared" si="20"/>
        <v>195586.97719643719</v>
      </c>
      <c r="AW14" s="2361">
        <f t="shared" si="20"/>
        <v>191502.11015697528</v>
      </c>
      <c r="AX14" s="2361">
        <f t="shared" si="20"/>
        <v>195652.30639512488</v>
      </c>
      <c r="AY14" s="2361">
        <f t="shared" si="20"/>
        <v>197108.52983116801</v>
      </c>
      <c r="AZ14" s="2361">
        <f t="shared" si="20"/>
        <v>198676.53198821118</v>
      </c>
      <c r="BA14" s="2361">
        <f t="shared" si="20"/>
        <v>198275.38133401677</v>
      </c>
      <c r="BB14" s="2361">
        <f t="shared" si="20"/>
        <v>200389.54683898098</v>
      </c>
      <c r="BC14" s="2361">
        <f t="shared" si="20"/>
        <v>200624.46318354909</v>
      </c>
      <c r="BD14" s="2361">
        <f t="shared" si="20"/>
        <v>199653.99666389936</v>
      </c>
      <c r="BE14" s="2361">
        <f t="shared" si="20"/>
        <v>197068.03985658268</v>
      </c>
      <c r="BF14" s="2361">
        <f t="shared" si="20"/>
        <v>196953.14464711887</v>
      </c>
      <c r="BG14" s="2361">
        <f t="shared" si="20"/>
        <v>196068.21100768246</v>
      </c>
      <c r="BH14" s="2361">
        <f t="shared" si="20"/>
        <v>193917.62392903707</v>
      </c>
      <c r="BI14" s="2361">
        <f t="shared" si="20"/>
        <v>191727.98121966995</v>
      </c>
      <c r="BJ14" s="2361">
        <f t="shared" si="20"/>
        <v>190234.74335492702</v>
      </c>
      <c r="BK14" s="2361">
        <f t="shared" si="20"/>
        <v>188341.86474984643</v>
      </c>
      <c r="BL14" s="2361">
        <f t="shared" si="20"/>
        <v>187754.72238014496</v>
      </c>
      <c r="BM14" s="2361">
        <f t="shared" si="20"/>
        <v>185983.50205404125</v>
      </c>
      <c r="BN14" s="2361">
        <f t="shared" si="20"/>
        <v>186619.50070789177</v>
      </c>
      <c r="BO14" s="2361">
        <f t="shared" si="20"/>
        <v>184278.46968806238</v>
      </c>
      <c r="BP14" s="2361">
        <f t="shared" si="20"/>
        <v>184328.6399502054</v>
      </c>
      <c r="BQ14" s="2361">
        <f t="shared" si="20"/>
        <v>181851.18047408521</v>
      </c>
      <c r="BR14" s="2361">
        <f t="shared" si="20"/>
        <v>182400.1265272983</v>
      </c>
      <c r="BS14" s="2361">
        <f t="shared" si="20"/>
        <v>180900.7926418948</v>
      </c>
      <c r="BT14" s="2361">
        <f t="shared" si="20"/>
        <v>182500.24781918651</v>
      </c>
      <c r="BU14" s="2361">
        <f t="shared" si="20"/>
        <v>179174.52245979451</v>
      </c>
      <c r="BV14" s="2361">
        <f t="shared" si="20"/>
        <v>178494.44465025465</v>
      </c>
      <c r="BW14" s="2361">
        <f t="shared" si="20"/>
        <v>178114.84065842989</v>
      </c>
      <c r="BX14" s="2361">
        <f t="shared" si="20"/>
        <v>177325.68261477345</v>
      </c>
      <c r="BY14" s="2361">
        <f t="shared" si="20"/>
        <v>175810.45595720684</v>
      </c>
      <c r="BZ14" s="2361">
        <f t="shared" si="20"/>
        <v>186005.8428349946</v>
      </c>
      <c r="CA14" s="2361">
        <f t="shared" si="20"/>
        <v>184130.05282449178</v>
      </c>
      <c r="CB14" s="2361">
        <f t="shared" si="20"/>
        <v>184624.47253794142</v>
      </c>
      <c r="CC14" s="2361">
        <f t="shared" si="20"/>
        <v>182407.38255963183</v>
      </c>
      <c r="CD14" s="2361">
        <f t="shared" si="20"/>
        <v>180802.33386136938</v>
      </c>
      <c r="CE14" s="2361">
        <f t="shared" si="20"/>
        <v>179773.65732973156</v>
      </c>
      <c r="CF14" s="2361">
        <f t="shared" si="20"/>
        <v>180263.50101959682</v>
      </c>
      <c r="CG14" s="2361">
        <f t="shared" si="20"/>
        <v>180224.93605807947</v>
      </c>
      <c r="CH14" s="2361">
        <f t="shared" ref="CH14:ES14" ca="1" si="21">CH148</f>
        <v>169062.39016627532</v>
      </c>
      <c r="CI14" s="2361">
        <f t="shared" ca="1" si="21"/>
        <v>168292.16497837979</v>
      </c>
      <c r="CJ14" s="2361">
        <f t="shared" ca="1" si="21"/>
        <v>167469.16550518369</v>
      </c>
      <c r="CK14" s="2361">
        <f ca="1">CK148</f>
        <v>166579.83623965143</v>
      </c>
      <c r="CL14" s="2361">
        <f t="shared" ca="1" si="21"/>
        <v>164370.58710007899</v>
      </c>
      <c r="CM14" s="2361">
        <f t="shared" ca="1" si="21"/>
        <v>163531.74810754953</v>
      </c>
      <c r="CN14" s="2361">
        <f t="shared" ca="1" si="21"/>
        <v>162687.7400760398</v>
      </c>
      <c r="CO14" s="2361">
        <f t="shared" ca="1" si="21"/>
        <v>161780.6673746602</v>
      </c>
      <c r="CP14" s="2361">
        <f t="shared" ca="1" si="21"/>
        <v>162846.95121211602</v>
      </c>
      <c r="CQ14" s="2361">
        <f t="shared" ca="1" si="21"/>
        <v>161965.99264660664</v>
      </c>
      <c r="CR14" s="2361">
        <f t="shared" ca="1" si="21"/>
        <v>161190.41959930272</v>
      </c>
      <c r="CS14" s="2361">
        <f t="shared" ca="1" si="21"/>
        <v>160357.60508243763</v>
      </c>
      <c r="CT14" s="2361">
        <f t="shared" ca="1" si="21"/>
        <v>162743.15086711882</v>
      </c>
      <c r="CU14" s="2361">
        <f t="shared" ca="1" si="21"/>
        <v>161928.63110968989</v>
      </c>
      <c r="CV14" s="2361">
        <f t="shared" ca="1" si="21"/>
        <v>160841.0843071795</v>
      </c>
      <c r="CW14" s="2361">
        <f t="shared" ca="1" si="21"/>
        <v>159688.00209529046</v>
      </c>
      <c r="CX14" s="2361">
        <f t="shared" ca="1" si="21"/>
        <v>147853.77013060212</v>
      </c>
      <c r="CY14" s="2361">
        <f t="shared" ca="1" si="21"/>
        <v>146840.83437400282</v>
      </c>
      <c r="CZ14" s="2361">
        <f t="shared" ca="1" si="21"/>
        <v>145825.20671198278</v>
      </c>
      <c r="DA14" s="2361">
        <f t="shared" ca="1" si="21"/>
        <v>144751.38521687014</v>
      </c>
      <c r="DB14" s="2361">
        <f t="shared" ca="1" si="21"/>
        <v>127896.56786653146</v>
      </c>
      <c r="DC14" s="2361">
        <f t="shared" ca="1" si="21"/>
        <v>127007.7308770161</v>
      </c>
      <c r="DD14" s="2361">
        <f t="shared" ca="1" si="21"/>
        <v>126244.46940147089</v>
      </c>
      <c r="DE14" s="2361">
        <f t="shared" ca="1" si="21"/>
        <v>125436.87493521026</v>
      </c>
      <c r="DF14" s="2361">
        <f t="shared" ca="1" si="21"/>
        <v>117323.54068178065</v>
      </c>
      <c r="DG14" s="2361">
        <f t="shared" ca="1" si="21"/>
        <v>116605.12970155211</v>
      </c>
      <c r="DH14" s="2361">
        <f t="shared" ca="1" si="21"/>
        <v>117742.42856534029</v>
      </c>
      <c r="DI14" s="2361">
        <f t="shared" ca="1" si="21"/>
        <v>118904.18524950826</v>
      </c>
      <c r="DJ14" s="2361">
        <f t="shared" ca="1" si="21"/>
        <v>118883.23755954957</v>
      </c>
      <c r="DK14" s="2361">
        <f t="shared" ca="1" si="21"/>
        <v>120020.73610320452</v>
      </c>
      <c r="DL14" s="2361">
        <f t="shared" ca="1" si="21"/>
        <v>119714.57418340039</v>
      </c>
      <c r="DM14" s="2361">
        <f t="shared" ca="1" si="21"/>
        <v>119384.64562711705</v>
      </c>
      <c r="DN14" s="2361">
        <f t="shared" ca="1" si="21"/>
        <v>120469.35557386781</v>
      </c>
      <c r="DO14" s="2361">
        <f t="shared" ca="1" si="21"/>
        <v>120154.54564477102</v>
      </c>
      <c r="DP14" s="2361">
        <f t="shared" ca="1" si="21"/>
        <v>119532.89010599551</v>
      </c>
      <c r="DQ14" s="2361">
        <f t="shared" ca="1" si="21"/>
        <v>118878.63547425444</v>
      </c>
      <c r="DR14" s="2361">
        <f t="shared" ca="1" si="21"/>
        <v>120512.0372805217</v>
      </c>
      <c r="DS14" s="2361">
        <f t="shared" ca="1" si="21"/>
        <v>119869.0333341207</v>
      </c>
      <c r="DT14" s="2361">
        <f t="shared" ca="1" si="21"/>
        <v>119081.51367387449</v>
      </c>
      <c r="DU14" s="2361">
        <f t="shared" ca="1" si="21"/>
        <v>118257.75923309718</v>
      </c>
      <c r="DV14" s="2361">
        <f t="shared" ca="1" si="21"/>
        <v>118567.84738050745</v>
      </c>
      <c r="DW14" s="2361">
        <f t="shared" ca="1" si="21"/>
        <v>117764.17169566409</v>
      </c>
      <c r="DX14" s="2361">
        <f t="shared" ca="1" si="21"/>
        <v>117509.41204387377</v>
      </c>
      <c r="DY14" s="2361">
        <f t="shared" ca="1" si="21"/>
        <v>117237.35798356448</v>
      </c>
      <c r="DZ14" s="2361">
        <f t="shared" ca="1" si="21"/>
        <v>117193.48428547864</v>
      </c>
      <c r="EA14" s="2361">
        <f t="shared" ca="1" si="21"/>
        <v>116936.24938117253</v>
      </c>
      <c r="EB14" s="2361">
        <f t="shared" ca="1" si="21"/>
        <v>116068.87506214318</v>
      </c>
      <c r="EC14" s="2361">
        <f t="shared" ca="1" si="21"/>
        <v>115166.46563899625</v>
      </c>
      <c r="ED14" s="2361">
        <f t="shared" ca="1" si="21"/>
        <v>115167.45666046339</v>
      </c>
      <c r="EE14" s="2361">
        <f t="shared" ca="1" si="21"/>
        <v>114286.96662361242</v>
      </c>
      <c r="EF14" s="2361">
        <f t="shared" ca="1" si="21"/>
        <v>113216.72572276989</v>
      </c>
      <c r="EG14" s="2361">
        <f t="shared" ca="1" si="21"/>
        <v>112107.17024635762</v>
      </c>
      <c r="EH14" s="2361">
        <f t="shared" ca="1" si="21"/>
        <v>111455.64413334933</v>
      </c>
      <c r="EI14" s="2361">
        <f t="shared" ca="1" si="21"/>
        <v>110375.60660887924</v>
      </c>
      <c r="EJ14" s="2361">
        <f t="shared" ca="1" si="21"/>
        <v>109206.9752163254</v>
      </c>
      <c r="EK14" s="2361">
        <f t="shared" ca="1" si="21"/>
        <v>107998.20161114524</v>
      </c>
      <c r="EL14" s="2361">
        <f t="shared" ca="1" si="21"/>
        <v>106834.48307161999</v>
      </c>
      <c r="EM14" s="2361">
        <f t="shared" ca="1" si="21"/>
        <v>105662.06621924008</v>
      </c>
      <c r="EN14" s="2361">
        <f t="shared" ca="1" si="21"/>
        <v>104473.23936863535</v>
      </c>
      <c r="EO14" s="2361">
        <f t="shared" ca="1" si="21"/>
        <v>103245.84859692496</v>
      </c>
      <c r="EP14" s="2361">
        <f t="shared" ca="1" si="21"/>
        <v>102807.02159754615</v>
      </c>
      <c r="EQ14" s="2361">
        <f t="shared" ca="1" si="21"/>
        <v>101605.27233205992</v>
      </c>
      <c r="ER14" s="2361">
        <f t="shared" ca="1" si="21"/>
        <v>100391.09657855047</v>
      </c>
      <c r="ES14" s="2361">
        <f t="shared" ca="1" si="21"/>
        <v>99139.716937714693</v>
      </c>
      <c r="ET14" s="2361">
        <f t="shared" ref="ET14:HE14" ca="1" si="22">ET148</f>
        <v>98274.979435955043</v>
      </c>
      <c r="EU14" s="2361">
        <f t="shared" ca="1" si="22"/>
        <v>97054.79293510571</v>
      </c>
      <c r="EV14" s="2361">
        <f t="shared" ca="1" si="22"/>
        <v>95978.7658034614</v>
      </c>
      <c r="EW14" s="2361">
        <f t="shared" ca="1" si="22"/>
        <v>94871.248565276881</v>
      </c>
      <c r="EX14" s="2361">
        <f t="shared" ca="1" si="22"/>
        <v>93783.227231245502</v>
      </c>
      <c r="EY14" s="2361">
        <f t="shared" ca="1" si="22"/>
        <v>92706.758273290994</v>
      </c>
      <c r="EZ14" s="2361">
        <f t="shared" ca="1" si="22"/>
        <v>91442.617740673653</v>
      </c>
      <c r="FA14" s="2361">
        <f t="shared" ca="1" si="22"/>
        <v>90144.119766219228</v>
      </c>
      <c r="FB14" s="2361">
        <f t="shared" ca="1" si="22"/>
        <v>89506.086086838128</v>
      </c>
      <c r="FC14" s="2361">
        <f t="shared" ca="1" si="22"/>
        <v>88233.919005990057</v>
      </c>
      <c r="FD14" s="2361">
        <f t="shared" ca="1" si="22"/>
        <v>87100.879827589364</v>
      </c>
      <c r="FE14" s="2361">
        <f t="shared" ca="1" si="22"/>
        <v>85938.669662512941</v>
      </c>
      <c r="FF14" s="2361">
        <f t="shared" ca="1" si="22"/>
        <v>85086.492761901318</v>
      </c>
      <c r="FG14" s="2361">
        <f t="shared" ca="1" si="22"/>
        <v>83951.287733877136</v>
      </c>
      <c r="FH14" s="2361">
        <f t="shared" ca="1" si="22"/>
        <v>82651.115980774106</v>
      </c>
      <c r="FI14" s="2361">
        <f t="shared" ca="1" si="22"/>
        <v>81319.931775062869</v>
      </c>
      <c r="FJ14" s="2361">
        <f t="shared" ca="1" si="22"/>
        <v>80009.501870210981</v>
      </c>
      <c r="FK14" s="2361">
        <f t="shared" ca="1" si="22"/>
        <v>78717.205075565391</v>
      </c>
      <c r="FL14" s="2361">
        <f t="shared" ca="1" si="22"/>
        <v>77434.344753256169</v>
      </c>
      <c r="FM14" s="2361">
        <f t="shared" ca="1" si="22"/>
        <v>76123.053251460893</v>
      </c>
      <c r="FN14" s="2361">
        <f t="shared" ca="1" si="22"/>
        <v>75341.362604701892</v>
      </c>
      <c r="FO14" s="2361">
        <f t="shared" ca="1" si="22"/>
        <v>74057.335729611004</v>
      </c>
      <c r="FP14" s="2361">
        <f t="shared" ca="1" si="22"/>
        <v>72742.861307852785</v>
      </c>
      <c r="FQ14" s="2361">
        <f t="shared" ca="1" si="22"/>
        <v>71401.571365167852</v>
      </c>
      <c r="FR14" s="2361">
        <f t="shared" ca="1" si="22"/>
        <v>70311.666706854783</v>
      </c>
      <c r="FS14" s="2361">
        <f t="shared" ca="1" si="22"/>
        <v>69005.46368387455</v>
      </c>
      <c r="FT14" s="2361">
        <f t="shared" ca="1" si="22"/>
        <v>67655.616123893196</v>
      </c>
      <c r="FU14" s="2361">
        <f t="shared" ca="1" si="22"/>
        <v>66280.77790869298</v>
      </c>
      <c r="FV14" s="2361">
        <f t="shared" ca="1" si="22"/>
        <v>64927.420196931344</v>
      </c>
      <c r="FW14" s="2361">
        <f t="shared" ca="1" si="22"/>
        <v>63596.74350047081</v>
      </c>
      <c r="FX14" s="2361">
        <f t="shared" ca="1" si="22"/>
        <v>62223.590007060004</v>
      </c>
      <c r="FY14" s="2361">
        <f t="shared" ca="1" si="22"/>
        <v>60827.825733210528</v>
      </c>
      <c r="FZ14" s="2361">
        <f t="shared" ca="1" si="22"/>
        <v>59833.160700343578</v>
      </c>
      <c r="GA14" s="2361">
        <f t="shared" ca="1" si="22"/>
        <v>58473.433272570968</v>
      </c>
      <c r="GB14" s="2361">
        <f t="shared" ca="1" si="22"/>
        <v>57086.772503040898</v>
      </c>
      <c r="GC14" s="2361">
        <f t="shared" ca="1" si="22"/>
        <v>55680.349399940053</v>
      </c>
      <c r="GD14" s="2361">
        <f t="shared" ca="1" si="22"/>
        <v>54466.620971640747</v>
      </c>
      <c r="GE14" s="2361">
        <f t="shared" ca="1" si="22"/>
        <v>53106.563689726259</v>
      </c>
      <c r="GF14" s="2361">
        <f t="shared" ca="1" si="22"/>
        <v>51841.58322501865</v>
      </c>
      <c r="GG14" s="2361">
        <f t="shared" ca="1" si="22"/>
        <v>50561.232172532924</v>
      </c>
      <c r="GH14" s="2361">
        <f t="shared" ca="1" si="22"/>
        <v>49305.231488903708</v>
      </c>
      <c r="GI14" s="2361">
        <f t="shared" ca="1" si="22"/>
        <v>48073.086029682418</v>
      </c>
      <c r="GJ14" s="2361">
        <f t="shared" ca="1" si="22"/>
        <v>47885.846746367592</v>
      </c>
      <c r="GK14" s="2361">
        <f t="shared" ca="1" si="22"/>
        <v>47690.352036740296</v>
      </c>
      <c r="GL14" s="2361">
        <f t="shared" ca="1" si="22"/>
        <v>47705.857090474907</v>
      </c>
      <c r="GM14" s="2361">
        <f t="shared" ca="1" si="22"/>
        <v>47472.789991160535</v>
      </c>
      <c r="GN14" s="2361">
        <f t="shared" ca="1" si="22"/>
        <v>46443.27894670736</v>
      </c>
      <c r="GO14" s="2361">
        <f t="shared" ca="1" si="22"/>
        <v>45403.982132744299</v>
      </c>
      <c r="GP14" s="2361">
        <f t="shared" ca="1" si="22"/>
        <v>44491.975948858031</v>
      </c>
      <c r="GQ14" s="2361">
        <f t="shared" ca="1" si="22"/>
        <v>43479.428889970084</v>
      </c>
      <c r="GR14" s="2361">
        <f t="shared" ca="1" si="22"/>
        <v>42352.26448028296</v>
      </c>
      <c r="GS14" s="2361">
        <f t="shared" ca="1" si="22"/>
        <v>41218.790369174189</v>
      </c>
      <c r="GT14" s="2361">
        <f t="shared" ca="1" si="22"/>
        <v>40102.573408824988</v>
      </c>
      <c r="GU14" s="2361">
        <f t="shared" ca="1" si="22"/>
        <v>39013.755655477624</v>
      </c>
      <c r="GV14" s="2361">
        <f t="shared" ca="1" si="22"/>
        <v>37859.133282265851</v>
      </c>
      <c r="GW14" s="2361">
        <f t="shared" ca="1" si="22"/>
        <v>36703.161280981643</v>
      </c>
      <c r="GX14" s="2361">
        <f t="shared" ca="1" si="22"/>
        <v>35747.407348867971</v>
      </c>
      <c r="GY14" s="2361">
        <f t="shared" ca="1" si="22"/>
        <v>34637.998774216627</v>
      </c>
      <c r="GZ14" s="2361">
        <f t="shared" ca="1" si="22"/>
        <v>33694.002103095467</v>
      </c>
      <c r="HA14" s="2361">
        <f t="shared" ca="1" si="22"/>
        <v>32749.840790968068</v>
      </c>
      <c r="HB14" s="2361">
        <f t="shared" ca="1" si="22"/>
        <v>31889.804737769147</v>
      </c>
      <c r="HC14" s="2361">
        <f t="shared" ca="1" si="22"/>
        <v>30980.959410349718</v>
      </c>
      <c r="HD14" s="2361">
        <f t="shared" ca="1" si="22"/>
        <v>29917.087743057309</v>
      </c>
      <c r="HE14" s="2361">
        <f t="shared" ca="1" si="22"/>
        <v>28863.01295104649</v>
      </c>
      <c r="HF14" s="2361">
        <f t="shared" ref="HF14:IA14" ca="1" si="23">HF148</f>
        <v>27847.591114776133</v>
      </c>
      <c r="HG14" s="2361">
        <f t="shared" ca="1" si="23"/>
        <v>26863.233803033112</v>
      </c>
      <c r="HH14" s="2361">
        <f t="shared" ca="1" si="23"/>
        <v>25844.916394217034</v>
      </c>
      <c r="HI14" s="2361">
        <f t="shared" ca="1" si="23"/>
        <v>24846.107546685307</v>
      </c>
      <c r="HJ14" s="2361">
        <f t="shared" ca="1" si="23"/>
        <v>23970.577947425765</v>
      </c>
      <c r="HK14" s="2361">
        <f t="shared" ca="1" si="23"/>
        <v>23051.459254774669</v>
      </c>
      <c r="HL14" s="2361">
        <f t="shared" ca="1" si="23"/>
        <v>22155.728486414773</v>
      </c>
      <c r="HM14" s="2361">
        <f t="shared" ca="1" si="23"/>
        <v>21288.857902016171</v>
      </c>
      <c r="HN14" s="2361">
        <f t="shared" ca="1" si="23"/>
        <v>20501.529579722319</v>
      </c>
      <c r="HO14" s="2361">
        <f t="shared" ca="1" si="23"/>
        <v>19730.737259948222</v>
      </c>
      <c r="HP14" s="2361">
        <f t="shared" ca="1" si="23"/>
        <v>19021.371218737018</v>
      </c>
      <c r="HQ14" s="2361">
        <f t="shared" ca="1" si="23"/>
        <v>18347.843739870947</v>
      </c>
      <c r="HR14" s="2361">
        <f t="shared" ca="1" si="23"/>
        <v>17732.659150940592</v>
      </c>
      <c r="HS14" s="2361">
        <f t="shared" ca="1" si="23"/>
        <v>17161.382874235303</v>
      </c>
      <c r="HT14" s="2361">
        <f t="shared" ca="1" si="23"/>
        <v>16617.015461363972</v>
      </c>
      <c r="HU14" s="2361">
        <f t="shared" ca="1" si="23"/>
        <v>16123.12311906652</v>
      </c>
      <c r="HV14" s="2361">
        <f t="shared" ca="1" si="23"/>
        <v>15703.04061309401</v>
      </c>
      <c r="HW14" s="2361">
        <f t="shared" ca="1" si="23"/>
        <v>15330.973430110495</v>
      </c>
      <c r="HX14" s="2361">
        <f t="shared" ca="1" si="23"/>
        <v>15098.374877798036</v>
      </c>
      <c r="HY14" s="2361">
        <f t="shared" ca="1" si="23"/>
        <v>14891.289991213207</v>
      </c>
      <c r="HZ14" s="2361">
        <f t="shared" ca="1" si="23"/>
        <v>14687.045420264956</v>
      </c>
      <c r="IA14" s="2361">
        <f t="shared" ca="1" si="23"/>
        <v>14489.813920523355</v>
      </c>
    </row>
    <row r="15" spans="1:356" s="2359" customFormat="1" ht="15.75" customHeight="1">
      <c r="C15" s="2363"/>
      <c r="D15" s="2364" t="str">
        <f>B196</f>
        <v>4. 정치적 불가항력</v>
      </c>
      <c r="E15" s="2364"/>
      <c r="F15" s="2364"/>
      <c r="G15" s="2364"/>
      <c r="H15" s="2365">
        <f>SUM(J15:AT15)</f>
        <v>2461390.6497763959</v>
      </c>
      <c r="I15" s="2362"/>
      <c r="J15" s="5065"/>
      <c r="K15" s="5065"/>
      <c r="L15" s="5065"/>
      <c r="M15" s="5065"/>
      <c r="N15" s="5065"/>
      <c r="O15" s="5065"/>
      <c r="P15" s="2630"/>
      <c r="Q15" s="2630"/>
      <c r="R15" s="2630"/>
      <c r="S15" s="2630"/>
      <c r="T15" s="2630"/>
      <c r="U15" s="2630"/>
      <c r="V15" s="2630">
        <f t="shared" ref="V15:CG15" si="24">V216</f>
        <v>0</v>
      </c>
      <c r="W15" s="2630">
        <f t="shared" si="24"/>
        <v>0</v>
      </c>
      <c r="X15" s="2630">
        <f t="shared" si="24"/>
        <v>0</v>
      </c>
      <c r="Y15" s="2630">
        <f t="shared" si="24"/>
        <v>0</v>
      </c>
      <c r="Z15" s="2630">
        <f t="shared" si="24"/>
        <v>0</v>
      </c>
      <c r="AA15" s="2630">
        <f t="shared" si="24"/>
        <v>0</v>
      </c>
      <c r="AB15" s="2365">
        <f t="shared" si="24"/>
        <v>0</v>
      </c>
      <c r="AC15" s="2365">
        <f t="shared" si="24"/>
        <v>0</v>
      </c>
      <c r="AD15" s="2365">
        <f t="shared" si="24"/>
        <v>0</v>
      </c>
      <c r="AE15" s="2365">
        <f t="shared" si="24"/>
        <v>0</v>
      </c>
      <c r="AF15" s="2365">
        <f t="shared" si="24"/>
        <v>0</v>
      </c>
      <c r="AG15" s="2365">
        <f t="shared" si="24"/>
        <v>0</v>
      </c>
      <c r="AH15" s="2365">
        <f t="shared" si="24"/>
        <v>0</v>
      </c>
      <c r="AI15" s="2365">
        <f t="shared" si="24"/>
        <v>0</v>
      </c>
      <c r="AJ15" s="2365">
        <f t="shared" si="24"/>
        <v>234560.31520982814</v>
      </c>
      <c r="AK15" s="2365">
        <f t="shared" si="24"/>
        <v>231084.02057119869</v>
      </c>
      <c r="AL15" s="2365">
        <f t="shared" si="24"/>
        <v>229802.89417503623</v>
      </c>
      <c r="AM15" s="2365">
        <f t="shared" si="24"/>
        <v>226704.7814826754</v>
      </c>
      <c r="AN15" s="2365">
        <f t="shared" si="24"/>
        <v>226130.46311521906</v>
      </c>
      <c r="AO15" s="2365">
        <f t="shared" si="24"/>
        <v>221971.35159500231</v>
      </c>
      <c r="AP15" s="2365">
        <f t="shared" si="24"/>
        <v>223088.23049869796</v>
      </c>
      <c r="AQ15" s="2365">
        <f t="shared" si="24"/>
        <v>220267.22130879169</v>
      </c>
      <c r="AR15" s="2365">
        <f t="shared" si="24"/>
        <v>218732.0219245003</v>
      </c>
      <c r="AS15" s="2365">
        <f t="shared" si="24"/>
        <v>215547.12488963944</v>
      </c>
      <c r="AT15" s="2365">
        <f t="shared" si="24"/>
        <v>213502.22500580631</v>
      </c>
      <c r="AU15" s="2365">
        <f t="shared" si="24"/>
        <v>209860.26117702917</v>
      </c>
      <c r="AV15" s="2365">
        <f t="shared" si="24"/>
        <v>208170.61043664231</v>
      </c>
      <c r="AW15" s="2365">
        <f t="shared" si="24"/>
        <v>203822.93209247905</v>
      </c>
      <c r="AX15" s="2365">
        <f t="shared" si="24"/>
        <v>201953.48010746058</v>
      </c>
      <c r="AY15" s="2365">
        <f t="shared" si="24"/>
        <v>198066.68693049726</v>
      </c>
      <c r="AZ15" s="2365">
        <f t="shared" si="24"/>
        <v>199684.48045404229</v>
      </c>
      <c r="BA15" s="2365">
        <f t="shared" si="24"/>
        <v>199321.88325769018</v>
      </c>
      <c r="BB15" s="2365">
        <f t="shared" si="24"/>
        <v>201485.64769588099</v>
      </c>
      <c r="BC15" s="2365">
        <f t="shared" si="24"/>
        <v>201759.3558287854</v>
      </c>
      <c r="BD15" s="2365">
        <f t="shared" si="24"/>
        <v>200827.85906618257</v>
      </c>
      <c r="BE15" s="2365">
        <f t="shared" si="24"/>
        <v>198270.24601427984</v>
      </c>
      <c r="BF15" s="2365">
        <f t="shared" si="24"/>
        <v>198195.86295000606</v>
      </c>
      <c r="BG15" s="2365">
        <f t="shared" si="24"/>
        <v>197346.5605479631</v>
      </c>
      <c r="BH15" s="2365">
        <f t="shared" si="24"/>
        <v>195226.88594059992</v>
      </c>
      <c r="BI15" s="2365">
        <f t="shared" si="24"/>
        <v>193067.32354143047</v>
      </c>
      <c r="BJ15" s="2365">
        <f t="shared" si="24"/>
        <v>191605.99387813796</v>
      </c>
      <c r="BK15" s="2365">
        <f t="shared" si="24"/>
        <v>189742.37957871039</v>
      </c>
      <c r="BL15" s="2365">
        <f t="shared" si="24"/>
        <v>189189.55723334933</v>
      </c>
      <c r="BM15" s="2365">
        <f t="shared" si="24"/>
        <v>187443.35289065895</v>
      </c>
      <c r="BN15" s="2365">
        <f t="shared" si="24"/>
        <v>188120.69366825349</v>
      </c>
      <c r="BO15" s="2365">
        <f t="shared" si="24"/>
        <v>185797.54132145995</v>
      </c>
      <c r="BP15" s="2365">
        <f t="shared" si="24"/>
        <v>185881.05739303105</v>
      </c>
      <c r="BQ15" s="2365">
        <f t="shared" si="24"/>
        <v>183415.29485924621</v>
      </c>
      <c r="BR15" s="2365">
        <f t="shared" si="24"/>
        <v>183999.24186228079</v>
      </c>
      <c r="BS15" s="2365">
        <f t="shared" si="24"/>
        <v>182517.48023313395</v>
      </c>
      <c r="BT15" s="2365">
        <f t="shared" si="24"/>
        <v>184156.74596397905</v>
      </c>
      <c r="BU15" s="2365">
        <f t="shared" si="24"/>
        <v>180825.68673323115</v>
      </c>
      <c r="BV15" s="2365">
        <f t="shared" si="24"/>
        <v>180161.77652898908</v>
      </c>
      <c r="BW15" s="2365">
        <f t="shared" si="24"/>
        <v>179801.45817887541</v>
      </c>
      <c r="BX15" s="2365">
        <f t="shared" si="24"/>
        <v>179029.52461495358</v>
      </c>
      <c r="BY15" s="2365">
        <f t="shared" si="24"/>
        <v>177524.30064427509</v>
      </c>
      <c r="BZ15" s="2365">
        <f t="shared" si="24"/>
        <v>187733.78561840515</v>
      </c>
      <c r="CA15" s="2365">
        <f t="shared" si="24"/>
        <v>185863.436827467</v>
      </c>
      <c r="CB15" s="2365">
        <f t="shared" si="24"/>
        <v>186384.42060926673</v>
      </c>
      <c r="CC15" s="2365">
        <f t="shared" si="24"/>
        <v>184167.96431133099</v>
      </c>
      <c r="CD15" s="2365">
        <f t="shared" si="24"/>
        <v>182596.51425347541</v>
      </c>
      <c r="CE15" s="2365">
        <f t="shared" si="24"/>
        <v>181577.8650915756</v>
      </c>
      <c r="CF15" s="2365">
        <f t="shared" si="24"/>
        <v>182093.13569715011</v>
      </c>
      <c r="CG15" s="2365">
        <f t="shared" si="24"/>
        <v>182074.91980789092</v>
      </c>
      <c r="CH15" s="2365">
        <f t="shared" ref="CH15:ES15" ca="1" si="25">CH216</f>
        <v>170923.48028574942</v>
      </c>
      <c r="CI15" s="2365">
        <f t="shared" ca="1" si="25"/>
        <v>170163.70878400217</v>
      </c>
      <c r="CJ15" s="2365">
        <f t="shared" ca="1" si="25"/>
        <v>169350.52612813466</v>
      </c>
      <c r="CK15" s="2365">
        <f t="shared" ca="1" si="25"/>
        <v>168470.39231476965</v>
      </c>
      <c r="CL15" s="2365">
        <f t="shared" ca="1" si="25"/>
        <v>166269.73246038239</v>
      </c>
      <c r="CM15" s="2365">
        <f t="shared" ca="1" si="25"/>
        <v>165438.89148421941</v>
      </c>
      <c r="CN15" s="2365">
        <f t="shared" ca="1" si="25"/>
        <v>164602.30480377554</v>
      </c>
      <c r="CO15" s="2365">
        <f t="shared" ca="1" si="25"/>
        <v>163702.09110231407</v>
      </c>
      <c r="CP15" s="2365">
        <f t="shared" ca="1" si="25"/>
        <v>164774.68561851833</v>
      </c>
      <c r="CQ15" s="2365">
        <f t="shared" ca="1" si="25"/>
        <v>163899.50316149343</v>
      </c>
      <c r="CR15" s="2365">
        <f t="shared" ca="1" si="25"/>
        <v>163129.18512925948</v>
      </c>
      <c r="CS15" s="2365">
        <f t="shared" ca="1" si="25"/>
        <v>162301.11774177398</v>
      </c>
      <c r="CT15" s="2365">
        <f t="shared" ca="1" si="25"/>
        <v>164690.9157135904</v>
      </c>
      <c r="CU15" s="2365">
        <f t="shared" ca="1" si="25"/>
        <v>163880.16588498501</v>
      </c>
      <c r="CV15" s="2365">
        <f t="shared" ca="1" si="25"/>
        <v>162795.91918208986</v>
      </c>
      <c r="CW15" s="2365">
        <f t="shared" ca="1" si="25"/>
        <v>161645.679419486</v>
      </c>
      <c r="CX15" s="2365">
        <f t="shared" ca="1" si="25"/>
        <v>149813.84418693164</v>
      </c>
      <c r="CY15" s="2365">
        <f t="shared" ca="1" si="25"/>
        <v>148802.87113724358</v>
      </c>
      <c r="CZ15" s="2365">
        <f t="shared" ca="1" si="25"/>
        <v>147788.78361196289</v>
      </c>
      <c r="DA15" s="2365">
        <f t="shared" ca="1" si="25"/>
        <v>146716.09090588946</v>
      </c>
      <c r="DB15" s="2365">
        <f t="shared" ca="1" si="25"/>
        <v>129862.00199100743</v>
      </c>
      <c r="DC15" s="2365">
        <f t="shared" ca="1" si="25"/>
        <v>128973.5038532826</v>
      </c>
      <c r="DD15" s="2365">
        <f t="shared" ca="1" si="25"/>
        <v>128210.20219565893</v>
      </c>
      <c r="DE15" s="2365">
        <f t="shared" ca="1" si="25"/>
        <v>127402.1988471408</v>
      </c>
      <c r="DF15" s="2365">
        <f t="shared" ca="1" si="25"/>
        <v>119288.09713280106</v>
      </c>
      <c r="DG15" s="2365">
        <f t="shared" ca="1" si="25"/>
        <v>118568.57002624843</v>
      </c>
      <c r="DH15" s="2365">
        <f t="shared" ca="1" si="25"/>
        <v>119704.41380705913</v>
      </c>
      <c r="DI15" s="2365">
        <f t="shared" ca="1" si="25"/>
        <v>120864.38595962292</v>
      </c>
      <c r="DJ15" s="2365">
        <f t="shared" ca="1" si="25"/>
        <v>120841.33360040616</v>
      </c>
      <c r="DK15" s="2365">
        <f t="shared" ca="1" si="25"/>
        <v>121976.41645468488</v>
      </c>
      <c r="DL15" s="2365">
        <f t="shared" ca="1" si="25"/>
        <v>121667.53675303969</v>
      </c>
      <c r="DM15" s="2365">
        <f t="shared" ca="1" si="25"/>
        <v>121334.59706371493</v>
      </c>
      <c r="DN15" s="2365">
        <f t="shared" ca="1" si="25"/>
        <v>122416.01108453299</v>
      </c>
      <c r="DO15" s="2365">
        <f t="shared" ca="1" si="25"/>
        <v>122097.62881534013</v>
      </c>
      <c r="DP15" s="2365">
        <f t="shared" ca="1" si="25"/>
        <v>121472.13272476819</v>
      </c>
      <c r="DQ15" s="2365">
        <f t="shared" ca="1" si="25"/>
        <v>120813.7773589874</v>
      </c>
      <c r="DR15" s="2365">
        <f t="shared" ca="1" si="25"/>
        <v>122442.82610862542</v>
      </c>
      <c r="DS15" s="2365">
        <f t="shared" ca="1" si="25"/>
        <v>121795.22447600379</v>
      </c>
      <c r="DT15" s="2365">
        <f t="shared" ca="1" si="25"/>
        <v>121002.87002938084</v>
      </c>
      <c r="DU15" s="2365">
        <f t="shared" ca="1" si="25"/>
        <v>120174.05107098285</v>
      </c>
      <c r="DV15" s="2365">
        <f t="shared" ca="1" si="25"/>
        <v>120478.85218090437</v>
      </c>
      <c r="DW15" s="2365">
        <f t="shared" ca="1" si="25"/>
        <v>119669.67399547904</v>
      </c>
      <c r="DX15" s="2365">
        <f t="shared" ca="1" si="25"/>
        <v>119409.20328507164</v>
      </c>
      <c r="DY15" s="2365">
        <f t="shared" ca="1" si="25"/>
        <v>119131.23636428575</v>
      </c>
      <c r="DZ15" s="2365">
        <f t="shared" ca="1" si="25"/>
        <v>119081.25461394209</v>
      </c>
      <c r="EA15" s="2365">
        <f t="shared" ca="1" si="25"/>
        <v>118817.72293231446</v>
      </c>
      <c r="EB15" s="2365">
        <f t="shared" ca="1" si="25"/>
        <v>117943.86943694588</v>
      </c>
      <c r="EC15" s="2365">
        <f t="shared" ca="1" si="25"/>
        <v>117034.80462645857</v>
      </c>
      <c r="ED15" s="2365">
        <f t="shared" ca="1" si="25"/>
        <v>117028.97010216786</v>
      </c>
      <c r="EE15" s="2365">
        <f t="shared" ca="1" si="25"/>
        <v>116141.49028084311</v>
      </c>
      <c r="EF15" s="2365">
        <f t="shared" ca="1" si="25"/>
        <v>115064.10114613702</v>
      </c>
      <c r="EG15" s="2365">
        <f t="shared" ca="1" si="25"/>
        <v>113947.24464788483</v>
      </c>
      <c r="EH15" s="2365">
        <f t="shared" ca="1" si="25"/>
        <v>113288.27026098067</v>
      </c>
      <c r="EI15" s="2365">
        <f t="shared" ca="1" si="25"/>
        <v>112200.64262336364</v>
      </c>
      <c r="EJ15" s="2365">
        <f t="shared" ca="1" si="25"/>
        <v>111024.28457043692</v>
      </c>
      <c r="EK15" s="2365">
        <f t="shared" ca="1" si="25"/>
        <v>109807.6529311982</v>
      </c>
      <c r="EL15" s="2365">
        <f t="shared" ca="1" si="25"/>
        <v>108635.95004123882</v>
      </c>
      <c r="EM15" s="2365">
        <f t="shared" ca="1" si="25"/>
        <v>107455.42746534428</v>
      </c>
      <c r="EN15" s="2365">
        <f t="shared" ca="1" si="25"/>
        <v>106258.37834960058</v>
      </c>
      <c r="EO15" s="2365">
        <f t="shared" ca="1" si="25"/>
        <v>105022.65349288218</v>
      </c>
      <c r="EP15" s="2365">
        <f t="shared" ca="1" si="25"/>
        <v>104575.38520278104</v>
      </c>
      <c r="EQ15" s="2365">
        <f t="shared" ca="1" si="25"/>
        <v>103365.09194947574</v>
      </c>
      <c r="ER15" s="2365">
        <f t="shared" ca="1" si="25"/>
        <v>102142.27391615794</v>
      </c>
      <c r="ES15" s="2365">
        <f t="shared" ca="1" si="25"/>
        <v>100882.15800711303</v>
      </c>
      <c r="ET15" s="2365">
        <f t="shared" ref="ET15:HE15" ca="1" si="26">ET216</f>
        <v>100008.59445276923</v>
      </c>
      <c r="EU15" s="2365">
        <f t="shared" ca="1" si="26"/>
        <v>98779.49622134534</v>
      </c>
      <c r="EV15" s="2365">
        <f t="shared" ca="1" si="26"/>
        <v>97694.475691766915</v>
      </c>
      <c r="EW15" s="2365">
        <f t="shared" ca="1" si="26"/>
        <v>96577.887305020209</v>
      </c>
      <c r="EX15" s="2365">
        <f t="shared" ca="1" si="26"/>
        <v>95480.720896451821</v>
      </c>
      <c r="EY15" s="2365">
        <f t="shared" ca="1" si="26"/>
        <v>94395.036672349583</v>
      </c>
      <c r="EZ15" s="2365">
        <f t="shared" ca="1" si="26"/>
        <v>93121.614327806004</v>
      </c>
      <c r="FA15" s="2365">
        <f t="shared" ca="1" si="26"/>
        <v>91813.771554673251</v>
      </c>
      <c r="FB15" s="2365">
        <f t="shared" ca="1" si="26"/>
        <v>91166.333563777618</v>
      </c>
      <c r="FC15" s="2365">
        <f t="shared" ca="1" si="26"/>
        <v>89884.70604904939</v>
      </c>
      <c r="FD15" s="2365">
        <f t="shared" ca="1" si="26"/>
        <v>88742.153623063627</v>
      </c>
      <c r="FE15" s="2365">
        <f t="shared" ca="1" si="26"/>
        <v>87570.380625154532</v>
      </c>
      <c r="FF15" s="2365">
        <f t="shared" ca="1" si="26"/>
        <v>86708.594456294159</v>
      </c>
      <c r="FG15" s="2365">
        <f t="shared" ca="1" si="26"/>
        <v>85563.736797360267</v>
      </c>
      <c r="FH15" s="2365">
        <f t="shared" ca="1" si="26"/>
        <v>84253.872047887169</v>
      </c>
      <c r="FI15" s="2365">
        <f t="shared" ca="1" si="26"/>
        <v>82912.9574034861</v>
      </c>
      <c r="FJ15" s="2365">
        <f t="shared" ca="1" si="26"/>
        <v>81592.762468172892</v>
      </c>
      <c r="FK15" s="2365">
        <f t="shared" ca="1" si="26"/>
        <v>80290.668830691837</v>
      </c>
      <c r="FL15" s="2365">
        <f t="shared" ca="1" si="26"/>
        <v>78997.982562834979</v>
      </c>
      <c r="FM15" s="2365">
        <f t="shared" ca="1" si="26"/>
        <v>77676.838654096588</v>
      </c>
      <c r="FN15" s="2365">
        <f t="shared" ca="1" si="26"/>
        <v>76885.271713335445</v>
      </c>
      <c r="FO15" s="2365">
        <f t="shared" ca="1" si="26"/>
        <v>75591.347165880143</v>
      </c>
      <c r="FP15" s="2365">
        <f t="shared" ca="1" si="26"/>
        <v>74266.956137768415</v>
      </c>
      <c r="FQ15" s="2365">
        <f t="shared" ca="1" si="26"/>
        <v>72915.733036083344</v>
      </c>
      <c r="FR15" s="2365">
        <f t="shared" ca="1" si="26"/>
        <v>71815.880985704047</v>
      </c>
      <c r="FS15" s="2365">
        <f t="shared" ca="1" si="26"/>
        <v>70499.718596656661</v>
      </c>
      <c r="FT15" s="2365">
        <f t="shared" ca="1" si="26"/>
        <v>69139.901896380587</v>
      </c>
      <c r="FU15" s="2365">
        <f t="shared" ca="1" si="26"/>
        <v>67755.086908341138</v>
      </c>
      <c r="FV15" s="2365">
        <f t="shared" ca="1" si="26"/>
        <v>66391.746875968005</v>
      </c>
      <c r="FW15" s="2365">
        <f t="shared" ca="1" si="26"/>
        <v>65051.084340143658</v>
      </c>
      <c r="FX15" s="2365">
        <f t="shared" ca="1" si="26"/>
        <v>63667.943463021424</v>
      </c>
      <c r="FY15" s="2365">
        <f t="shared" ca="1" si="26"/>
        <v>62262.192182018829</v>
      </c>
      <c r="FZ15" s="2365">
        <f t="shared" ca="1" si="26"/>
        <v>61257.542387060341</v>
      </c>
      <c r="GA15" s="2365">
        <f t="shared" ca="1" si="26"/>
        <v>59887.834259434545</v>
      </c>
      <c r="GB15" s="2365">
        <f t="shared" ca="1" si="26"/>
        <v>58491.198619196381</v>
      </c>
      <c r="GC15" s="2365">
        <f t="shared" ca="1" si="26"/>
        <v>57074.808192206197</v>
      </c>
      <c r="GD15" s="2365">
        <f t="shared" ca="1" si="26"/>
        <v>55851.12165629529</v>
      </c>
      <c r="GE15" s="2365">
        <f t="shared" ca="1" si="26"/>
        <v>54481.11710529057</v>
      </c>
      <c r="GF15" s="2365">
        <f t="shared" ca="1" si="26"/>
        <v>53206.201786023448</v>
      </c>
      <c r="GG15" s="2365">
        <f t="shared" ca="1" si="26"/>
        <v>51915.929824247287</v>
      </c>
      <c r="GH15" s="2365">
        <f t="shared" ca="1" si="26"/>
        <v>50650.023663009226</v>
      </c>
      <c r="GI15" s="2365">
        <f t="shared" ca="1" si="26"/>
        <v>49407.989600875444</v>
      </c>
      <c r="GJ15" s="2365">
        <f t="shared" ca="1" si="26"/>
        <v>49210.879989872279</v>
      </c>
      <c r="GK15" s="2365">
        <f t="shared" ca="1" si="26"/>
        <v>49005.534586715657</v>
      </c>
      <c r="GL15" s="2365">
        <f t="shared" ca="1" si="26"/>
        <v>49011.209899299356</v>
      </c>
      <c r="GM15" s="2365">
        <f t="shared" ca="1" si="26"/>
        <v>48768.335289577706</v>
      </c>
      <c r="GN15" s="2365">
        <f t="shared" ca="1" si="26"/>
        <v>47729.040204817175</v>
      </c>
      <c r="GO15" s="2365">
        <f t="shared" ca="1" si="26"/>
        <v>46679.984021823562</v>
      </c>
      <c r="GP15" s="2365">
        <f t="shared" ca="1" si="26"/>
        <v>45758.244303995278</v>
      </c>
      <c r="GQ15" s="2365">
        <f t="shared" ca="1" si="26"/>
        <v>44735.990673499342</v>
      </c>
      <c r="GR15" s="2365">
        <f t="shared" ca="1" si="26"/>
        <v>43599.147746001756</v>
      </c>
      <c r="GS15" s="2365">
        <f t="shared" ca="1" si="26"/>
        <v>42456.024227331007</v>
      </c>
      <c r="GT15" s="2365">
        <f t="shared" ca="1" si="26"/>
        <v>41330.187991861749</v>
      </c>
      <c r="GU15" s="2365">
        <f t="shared" ca="1" si="26"/>
        <v>40231.782084513332</v>
      </c>
      <c r="GV15" s="2365">
        <f t="shared" ca="1" si="26"/>
        <v>39067.603634307234</v>
      </c>
      <c r="GW15" s="2365">
        <f t="shared" ca="1" si="26"/>
        <v>37902.108556847168</v>
      </c>
      <c r="GX15" s="2365">
        <f t="shared" ca="1" si="26"/>
        <v>36936.865441812159</v>
      </c>
      <c r="GY15" s="2365">
        <f t="shared" ca="1" si="26"/>
        <v>35818.002439241071</v>
      </c>
      <c r="GZ15" s="2365">
        <f t="shared" ca="1" si="26"/>
        <v>34864.586926933887</v>
      </c>
      <c r="HA15" s="2365">
        <f t="shared" ca="1" si="26"/>
        <v>33911.04316273264</v>
      </c>
      <c r="HB15" s="2365">
        <f t="shared" ca="1" si="26"/>
        <v>33041.661820245426</v>
      </c>
      <c r="HC15" s="2365">
        <f t="shared" ca="1" si="26"/>
        <v>32123.509111928171</v>
      </c>
      <c r="HD15" s="2365">
        <f t="shared" ca="1" si="26"/>
        <v>31050.368690289342</v>
      </c>
      <c r="HE15" s="2365">
        <f t="shared" ca="1" si="26"/>
        <v>29987.064461812774</v>
      </c>
      <c r="HF15" s="2365">
        <f t="shared" ref="HF15:IA15" ca="1" si="27">HF216</f>
        <v>28962.453172056179</v>
      </c>
      <c r="HG15" s="2365">
        <f t="shared" ca="1" si="27"/>
        <v>27968.947029264014</v>
      </c>
      <c r="HH15" s="2365">
        <f t="shared" ca="1" si="27"/>
        <v>26941.522026230632</v>
      </c>
      <c r="HI15" s="2365">
        <f t="shared" ca="1" si="27"/>
        <v>25933.647411212631</v>
      </c>
      <c r="HJ15" s="2365">
        <f t="shared" ca="1" si="27"/>
        <v>25049.094437157743</v>
      </c>
      <c r="HK15" s="2365">
        <f t="shared" ca="1" si="27"/>
        <v>24120.995304968597</v>
      </c>
      <c r="HL15" s="2365">
        <f t="shared" ca="1" si="27"/>
        <v>23216.327552035946</v>
      </c>
      <c r="HM15" s="2365">
        <f t="shared" ca="1" si="27"/>
        <v>22340.563935404556</v>
      </c>
      <c r="HN15" s="2365">
        <f t="shared" ca="1" si="27"/>
        <v>21544.387008774196</v>
      </c>
      <c r="HO15" s="2365">
        <f t="shared" ca="1" si="27"/>
        <v>20764.790966802513</v>
      </c>
      <c r="HP15" s="2365">
        <f t="shared" ca="1" si="27"/>
        <v>20046.666518957089</v>
      </c>
      <c r="HQ15" s="2365">
        <f t="shared" ca="1" si="27"/>
        <v>19364.426362111815</v>
      </c>
      <c r="HR15" s="2365">
        <f t="shared" ca="1" si="27"/>
        <v>18740.575217092548</v>
      </c>
      <c r="HS15" s="2365">
        <f t="shared" ca="1" si="27"/>
        <v>18160.678880034324</v>
      </c>
      <c r="HT15" s="2365">
        <f t="shared" ca="1" si="27"/>
        <v>17607.738257460085</v>
      </c>
      <c r="HU15" s="2365">
        <f t="shared" ca="1" si="27"/>
        <v>17105.319892541294</v>
      </c>
      <c r="HV15" s="2365">
        <f t="shared" ca="1" si="27"/>
        <v>16676.75886941822</v>
      </c>
      <c r="HW15" s="2365">
        <f t="shared" ca="1" si="27"/>
        <v>16296.260975533254</v>
      </c>
      <c r="HX15" s="2365">
        <f t="shared" ca="1" si="27"/>
        <v>16069.770901749609</v>
      </c>
      <c r="HY15" s="2365">
        <f t="shared" ca="1" si="27"/>
        <v>15849.362631881653</v>
      </c>
      <c r="HZ15" s="2365">
        <f t="shared" ca="1" si="27"/>
        <v>15631.977417272139</v>
      </c>
      <c r="IA15" s="2365">
        <f t="shared" ca="1" si="27"/>
        <v>15422.056479349385</v>
      </c>
    </row>
    <row r="16" spans="1:356" ht="15.75" customHeight="1">
      <c r="L16" s="2366"/>
      <c r="M16" s="2366"/>
      <c r="N16" s="2366"/>
      <c r="O16" s="2366"/>
      <c r="P16" s="2366"/>
      <c r="Q16" s="2366"/>
      <c r="R16" s="2366"/>
      <c r="S16" s="2366"/>
      <c r="T16" s="2366"/>
    </row>
    <row r="17" spans="2:321" s="2367" customFormat="1" ht="17.25" customHeight="1">
      <c r="B17" s="2368" t="s">
        <v>3911</v>
      </c>
      <c r="H17" s="2369"/>
      <c r="I17" s="2369"/>
      <c r="J17" s="2369"/>
      <c r="K17" s="2369"/>
      <c r="L17" s="2370"/>
      <c r="M17" s="2369"/>
      <c r="N17" s="2369"/>
      <c r="O17" s="2371"/>
      <c r="P17" s="2369"/>
      <c r="Q17" s="2369"/>
      <c r="R17" s="2369"/>
      <c r="S17" s="2369"/>
      <c r="T17" s="2369"/>
      <c r="U17" s="2369"/>
      <c r="V17" s="2369"/>
      <c r="W17" s="2369"/>
      <c r="X17" s="2369"/>
      <c r="Y17" s="2369"/>
      <c r="Z17" s="2369"/>
      <c r="AA17" s="2369"/>
      <c r="AB17" s="2369"/>
      <c r="AC17" s="2369"/>
      <c r="AD17" s="2369"/>
      <c r="AE17" s="2369"/>
      <c r="AF17" s="2369"/>
      <c r="AG17" s="2369"/>
      <c r="AH17" s="2369"/>
      <c r="AI17" s="2369"/>
      <c r="AJ17" s="2369"/>
      <c r="AK17" s="2369"/>
      <c r="AL17" s="2369"/>
      <c r="AM17" s="2369"/>
      <c r="AN17" s="2369"/>
      <c r="AO17" s="2369"/>
      <c r="AP17" s="2369"/>
      <c r="AQ17" s="2369"/>
      <c r="AR17" s="2369"/>
      <c r="AS17" s="2369"/>
      <c r="AT17" s="2369"/>
      <c r="AU17" s="2369"/>
      <c r="AV17" s="2369"/>
      <c r="AW17" s="2369"/>
      <c r="AX17" s="2369"/>
      <c r="AY17" s="2369"/>
      <c r="AZ17" s="2369"/>
      <c r="BA17" s="2369"/>
      <c r="BB17" s="2369"/>
      <c r="BC17" s="2369"/>
      <c r="BD17" s="2369"/>
      <c r="BE17" s="2369"/>
      <c r="BF17" s="2369"/>
      <c r="BG17" s="2369"/>
      <c r="BH17" s="2369"/>
      <c r="BI17" s="2369"/>
      <c r="BJ17" s="2369"/>
      <c r="BK17" s="2369"/>
      <c r="BL17" s="2369"/>
      <c r="BM17" s="2369"/>
      <c r="BN17" s="2369"/>
      <c r="BO17" s="2369"/>
      <c r="BP17" s="2369"/>
      <c r="BQ17" s="2369"/>
      <c r="BR17" s="2369"/>
      <c r="BS17" s="2369"/>
      <c r="BT17" s="2369"/>
      <c r="BU17" s="2369"/>
      <c r="BV17" s="2369"/>
      <c r="BW17" s="2369"/>
      <c r="BX17" s="2369"/>
      <c r="BY17" s="2369"/>
      <c r="BZ17" s="2369"/>
      <c r="CA17" s="2369"/>
      <c r="CB17" s="2369"/>
      <c r="CC17" s="2369"/>
      <c r="CD17" s="2369"/>
      <c r="CE17" s="2369"/>
      <c r="CF17" s="2369"/>
      <c r="CG17" s="2369"/>
      <c r="CH17" s="2369"/>
      <c r="CI17" s="2369"/>
      <c r="CJ17" s="2369"/>
      <c r="CK17" s="2369"/>
      <c r="CL17" s="2369"/>
      <c r="CM17" s="2369"/>
      <c r="CN17" s="2369"/>
      <c r="CO17" s="2369"/>
      <c r="CP17" s="2369"/>
      <c r="CQ17" s="2369"/>
      <c r="CR17" s="2369"/>
      <c r="CS17" s="2369"/>
      <c r="CT17" s="2369"/>
      <c r="CU17" s="2369"/>
      <c r="CV17" s="2369"/>
      <c r="CW17" s="2369"/>
      <c r="CX17" s="2369"/>
      <c r="CY17" s="2369"/>
      <c r="CZ17" s="2369"/>
      <c r="DA17" s="2369"/>
      <c r="DB17" s="2369"/>
      <c r="DC17" s="2369"/>
      <c r="DD17" s="2369"/>
      <c r="DE17" s="2369"/>
      <c r="DF17" s="2369"/>
      <c r="DG17" s="2369"/>
      <c r="DH17" s="2369"/>
      <c r="DI17" s="2369"/>
      <c r="DJ17" s="2369"/>
      <c r="DK17" s="2369"/>
      <c r="DL17" s="2369"/>
      <c r="DM17" s="2369"/>
      <c r="DN17" s="2369"/>
      <c r="DO17" s="2369"/>
      <c r="DP17" s="2369"/>
      <c r="DQ17" s="2369"/>
      <c r="DR17" s="2369"/>
      <c r="DS17" s="2369"/>
      <c r="DT17" s="2369"/>
      <c r="DU17" s="2369"/>
      <c r="DV17" s="2369"/>
      <c r="DW17" s="2369"/>
      <c r="DX17" s="2369"/>
      <c r="DY17" s="2369"/>
      <c r="DZ17" s="2369"/>
      <c r="EA17" s="2369"/>
      <c r="EB17" s="2369"/>
      <c r="EC17" s="2369"/>
      <c r="ED17" s="2369"/>
      <c r="EE17" s="2369"/>
      <c r="EF17" s="2369"/>
      <c r="EG17" s="2369"/>
      <c r="EH17" s="2369"/>
      <c r="EI17" s="2369"/>
      <c r="EJ17" s="2369"/>
      <c r="EK17" s="2369"/>
      <c r="EL17" s="2369"/>
      <c r="EM17" s="2369"/>
      <c r="EN17" s="2369"/>
      <c r="EO17" s="2369"/>
      <c r="EP17" s="2369"/>
      <c r="EQ17" s="2369"/>
      <c r="ER17" s="2369"/>
      <c r="ES17" s="2369"/>
      <c r="ET17" s="2369"/>
      <c r="EU17" s="2369"/>
      <c r="EV17" s="2369"/>
      <c r="EW17" s="2369"/>
      <c r="EX17" s="2369"/>
      <c r="EY17" s="2369"/>
      <c r="EZ17" s="2369"/>
      <c r="FA17" s="2369"/>
      <c r="FB17" s="2369"/>
      <c r="FC17" s="2369"/>
      <c r="FD17" s="2369"/>
      <c r="FE17" s="2369"/>
      <c r="FF17" s="2369"/>
      <c r="FG17" s="2369"/>
      <c r="FH17" s="2369"/>
      <c r="FI17" s="2369"/>
      <c r="FJ17" s="2369"/>
      <c r="FK17" s="2369"/>
      <c r="FL17" s="2369"/>
      <c r="FM17" s="2369"/>
      <c r="FN17" s="2369"/>
      <c r="FO17" s="2369"/>
      <c r="FP17" s="2369"/>
      <c r="FQ17" s="2369"/>
      <c r="FR17" s="2369"/>
      <c r="FS17" s="2369"/>
      <c r="FT17" s="2369"/>
      <c r="FU17" s="2369"/>
      <c r="FV17" s="2369"/>
      <c r="FW17" s="2369"/>
      <c r="FX17" s="2369"/>
      <c r="FY17" s="2369"/>
      <c r="FZ17" s="2369"/>
      <c r="GA17" s="2369"/>
      <c r="GB17" s="2369"/>
      <c r="GC17" s="2369"/>
      <c r="GD17" s="2369"/>
      <c r="GE17" s="2369"/>
      <c r="GF17" s="2369"/>
      <c r="GG17" s="2369"/>
      <c r="GH17" s="2369"/>
      <c r="GI17" s="2369"/>
      <c r="GJ17" s="2369"/>
      <c r="GK17" s="2369"/>
      <c r="GL17" s="2369"/>
      <c r="GM17" s="2369"/>
      <c r="GN17" s="2369"/>
      <c r="GO17" s="2369"/>
      <c r="GP17" s="2369"/>
      <c r="GQ17" s="2369"/>
      <c r="GR17" s="2369"/>
      <c r="GS17" s="2369"/>
      <c r="GT17" s="2369"/>
      <c r="GU17" s="2369"/>
      <c r="GV17" s="2369"/>
      <c r="GW17" s="2369"/>
      <c r="GX17" s="2369"/>
      <c r="GY17" s="2369"/>
      <c r="GZ17" s="2369"/>
      <c r="HA17" s="2369"/>
      <c r="HB17" s="2369"/>
      <c r="HC17" s="2369"/>
      <c r="HD17" s="2369"/>
      <c r="HE17" s="2369"/>
      <c r="HF17" s="2369"/>
      <c r="HG17" s="2369"/>
      <c r="HH17" s="2369"/>
      <c r="HI17" s="2369"/>
      <c r="HJ17" s="2369"/>
      <c r="HK17" s="2369"/>
      <c r="HL17" s="2369"/>
      <c r="HM17" s="2369"/>
      <c r="HN17" s="2369"/>
      <c r="HO17" s="2369"/>
      <c r="HP17" s="2369"/>
      <c r="HQ17" s="2369"/>
      <c r="HR17" s="2369"/>
      <c r="HS17" s="2369"/>
      <c r="HT17" s="2369"/>
      <c r="HU17" s="2369"/>
      <c r="HV17" s="2369"/>
      <c r="HW17" s="2369"/>
      <c r="HX17" s="2369"/>
      <c r="HY17" s="2369"/>
      <c r="HZ17" s="2369"/>
      <c r="IA17" s="2369"/>
      <c r="IE17" s="2368"/>
      <c r="IQ17" s="2368"/>
      <c r="JC17" s="2368"/>
      <c r="JO17" s="2368"/>
      <c r="KA17" s="2368"/>
      <c r="KM17" s="2368"/>
      <c r="KY17" s="2368"/>
    </row>
    <row r="18" spans="2:321" ht="15.75" customHeight="1">
      <c r="C18" s="2351" t="s">
        <v>11</v>
      </c>
      <c r="D18" s="2352"/>
      <c r="E18" s="2352"/>
      <c r="F18" s="2352"/>
      <c r="G18" s="2352"/>
      <c r="H18" s="766" t="s">
        <v>40</v>
      </c>
      <c r="J18" s="2353">
        <v>2003</v>
      </c>
      <c r="K18" s="2353">
        <f>J18</f>
        <v>2003</v>
      </c>
      <c r="L18" s="2353">
        <f>K18</f>
        <v>2003</v>
      </c>
      <c r="M18" s="2353">
        <f>L18</f>
        <v>2003</v>
      </c>
      <c r="N18" s="2353">
        <f>M18+1</f>
        <v>2004</v>
      </c>
      <c r="O18" s="2353">
        <f>N18</f>
        <v>2004</v>
      </c>
      <c r="P18" s="2353">
        <f>O18</f>
        <v>2004</v>
      </c>
      <c r="Q18" s="2353">
        <f>P18</f>
        <v>2004</v>
      </c>
      <c r="R18" s="2353">
        <f>Q18+1</f>
        <v>2005</v>
      </c>
      <c r="S18" s="2353">
        <f>R18</f>
        <v>2005</v>
      </c>
      <c r="T18" s="2353">
        <f>S18</f>
        <v>2005</v>
      </c>
      <c r="U18" s="2353">
        <f>T18</f>
        <v>2005</v>
      </c>
      <c r="V18" s="2353">
        <f>U18+1</f>
        <v>2006</v>
      </c>
      <c r="W18" s="2353">
        <f>V18</f>
        <v>2006</v>
      </c>
      <c r="X18" s="2353">
        <f>W18</f>
        <v>2006</v>
      </c>
      <c r="Y18" s="2353">
        <f>X18</f>
        <v>2006</v>
      </c>
      <c r="Z18" s="2353">
        <f>Y18+1</f>
        <v>2007</v>
      </c>
      <c r="AA18" s="2353">
        <f>Z18</f>
        <v>2007</v>
      </c>
      <c r="AB18" s="2353">
        <f>AA18</f>
        <v>2007</v>
      </c>
      <c r="AC18" s="2353">
        <f>AB18</f>
        <v>2007</v>
      </c>
      <c r="AD18" s="2353">
        <f>AC18+1</f>
        <v>2008</v>
      </c>
      <c r="AE18" s="2353">
        <f>AD18</f>
        <v>2008</v>
      </c>
      <c r="AF18" s="2353">
        <f>AE18</f>
        <v>2008</v>
      </c>
      <c r="AG18" s="2353">
        <f>AF18</f>
        <v>2008</v>
      </c>
      <c r="AH18" s="2353">
        <f>AG18+1</f>
        <v>2009</v>
      </c>
      <c r="AI18" s="2353">
        <f>AH18</f>
        <v>2009</v>
      </c>
      <c r="AJ18" s="2353">
        <f>AI18</f>
        <v>2009</v>
      </c>
      <c r="AK18" s="2353">
        <f>AJ18</f>
        <v>2009</v>
      </c>
      <c r="AL18" s="2353">
        <f>AK18+1</f>
        <v>2010</v>
      </c>
      <c r="AM18" s="2353">
        <f>AL18</f>
        <v>2010</v>
      </c>
      <c r="AN18" s="2353">
        <f>AM18</f>
        <v>2010</v>
      </c>
      <c r="AO18" s="2353">
        <f>AN18</f>
        <v>2010</v>
      </c>
      <c r="AP18" s="2353">
        <f>AO18+1</f>
        <v>2011</v>
      </c>
      <c r="AQ18" s="2353">
        <f>AP18</f>
        <v>2011</v>
      </c>
      <c r="AR18" s="2353">
        <f>AQ18</f>
        <v>2011</v>
      </c>
      <c r="AS18" s="2353">
        <f>AR18</f>
        <v>2011</v>
      </c>
      <c r="AT18" s="2353">
        <f>AS18+1</f>
        <v>2012</v>
      </c>
      <c r="AU18" s="2353">
        <f>AT18</f>
        <v>2012</v>
      </c>
      <c r="AV18" s="2353">
        <f>AU18</f>
        <v>2012</v>
      </c>
      <c r="AW18" s="2353">
        <f>AV18</f>
        <v>2012</v>
      </c>
      <c r="AX18" s="2353">
        <f>AW18+1</f>
        <v>2013</v>
      </c>
      <c r="AY18" s="2353">
        <f>AX18</f>
        <v>2013</v>
      </c>
      <c r="AZ18" s="2353">
        <f>AY18</f>
        <v>2013</v>
      </c>
      <c r="BA18" s="2353">
        <f>AZ18</f>
        <v>2013</v>
      </c>
      <c r="BB18" s="2353">
        <f>BA18+1</f>
        <v>2014</v>
      </c>
      <c r="BC18" s="2353">
        <f>BB18</f>
        <v>2014</v>
      </c>
      <c r="BD18" s="2353">
        <f>BC18</f>
        <v>2014</v>
      </c>
      <c r="BE18" s="2353">
        <f>BD18</f>
        <v>2014</v>
      </c>
      <c r="BF18" s="2353">
        <f>BE18+1</f>
        <v>2015</v>
      </c>
      <c r="BG18" s="2353">
        <f>BF18</f>
        <v>2015</v>
      </c>
      <c r="BH18" s="2353">
        <f>BG18</f>
        <v>2015</v>
      </c>
      <c r="BI18" s="2353">
        <f>BH18</f>
        <v>2015</v>
      </c>
      <c r="BJ18" s="2353">
        <f>BI18+1</f>
        <v>2016</v>
      </c>
      <c r="BK18" s="2353">
        <f>BJ18</f>
        <v>2016</v>
      </c>
      <c r="BL18" s="2353">
        <f>BK18</f>
        <v>2016</v>
      </c>
      <c r="BM18" s="2353">
        <f>BL18</f>
        <v>2016</v>
      </c>
      <c r="BN18" s="2353">
        <f>BM18+1</f>
        <v>2017</v>
      </c>
      <c r="BO18" s="2353">
        <f>BN18</f>
        <v>2017</v>
      </c>
      <c r="BP18" s="2353">
        <f>BO18</f>
        <v>2017</v>
      </c>
      <c r="BQ18" s="2353">
        <f>BP18</f>
        <v>2017</v>
      </c>
      <c r="BR18" s="2353">
        <f>BQ18+1</f>
        <v>2018</v>
      </c>
      <c r="BS18" s="2353">
        <f>BR18</f>
        <v>2018</v>
      </c>
      <c r="BT18" s="2353">
        <f>BS18</f>
        <v>2018</v>
      </c>
      <c r="BU18" s="2353">
        <f>BT18</f>
        <v>2018</v>
      </c>
      <c r="BV18" s="2353">
        <f>BU18+1</f>
        <v>2019</v>
      </c>
      <c r="BW18" s="2353">
        <f>BV18</f>
        <v>2019</v>
      </c>
      <c r="BX18" s="2353">
        <f>BW18</f>
        <v>2019</v>
      </c>
      <c r="BY18" s="2353">
        <f>BX18</f>
        <v>2019</v>
      </c>
      <c r="BZ18" s="2353">
        <f>BY18+1</f>
        <v>2020</v>
      </c>
      <c r="CA18" s="2353">
        <f>BZ18</f>
        <v>2020</v>
      </c>
      <c r="CB18" s="2353">
        <f>CA18</f>
        <v>2020</v>
      </c>
      <c r="CC18" s="2353">
        <f>CB18</f>
        <v>2020</v>
      </c>
      <c r="CD18" s="2353">
        <f>CC18+1</f>
        <v>2021</v>
      </c>
      <c r="CE18" s="2353">
        <f>CD18</f>
        <v>2021</v>
      </c>
      <c r="CF18" s="2353">
        <f>CE18</f>
        <v>2021</v>
      </c>
      <c r="CG18" s="2353">
        <f>CF18</f>
        <v>2021</v>
      </c>
      <c r="CH18" s="2353">
        <f>CG18+1</f>
        <v>2022</v>
      </c>
      <c r="CI18" s="2353">
        <f>CH18</f>
        <v>2022</v>
      </c>
      <c r="CJ18" s="2353">
        <f>CI18</f>
        <v>2022</v>
      </c>
      <c r="CK18" s="2353">
        <f>CJ18</f>
        <v>2022</v>
      </c>
      <c r="CL18" s="2353">
        <f>CK18+1</f>
        <v>2023</v>
      </c>
      <c r="CM18" s="2353">
        <f>CL18</f>
        <v>2023</v>
      </c>
      <c r="CN18" s="2353">
        <f>CM18</f>
        <v>2023</v>
      </c>
      <c r="CO18" s="2353">
        <f>CN18</f>
        <v>2023</v>
      </c>
      <c r="CP18" s="2353">
        <f>CO18+1</f>
        <v>2024</v>
      </c>
      <c r="CQ18" s="2353">
        <f>CP18</f>
        <v>2024</v>
      </c>
      <c r="CR18" s="2353">
        <f>CQ18</f>
        <v>2024</v>
      </c>
      <c r="CS18" s="2353">
        <f>CR18</f>
        <v>2024</v>
      </c>
      <c r="CT18" s="2353">
        <f>CS18+1</f>
        <v>2025</v>
      </c>
      <c r="CU18" s="2353">
        <f>CT18</f>
        <v>2025</v>
      </c>
      <c r="CV18" s="2353">
        <f>CU18</f>
        <v>2025</v>
      </c>
      <c r="CW18" s="2353">
        <f>CV18</f>
        <v>2025</v>
      </c>
      <c r="CX18" s="2353">
        <f>CW18+1</f>
        <v>2026</v>
      </c>
      <c r="CY18" s="2353">
        <f>CX18</f>
        <v>2026</v>
      </c>
      <c r="CZ18" s="2353">
        <f>CY18</f>
        <v>2026</v>
      </c>
      <c r="DA18" s="2353">
        <f>CZ18</f>
        <v>2026</v>
      </c>
      <c r="DB18" s="2353">
        <f>DA18+1</f>
        <v>2027</v>
      </c>
      <c r="DC18" s="2353">
        <f>DB18</f>
        <v>2027</v>
      </c>
      <c r="DD18" s="2353">
        <f>DC18</f>
        <v>2027</v>
      </c>
      <c r="DE18" s="2353">
        <f>DD18</f>
        <v>2027</v>
      </c>
      <c r="DF18" s="2353">
        <f>DE18+1</f>
        <v>2028</v>
      </c>
      <c r="DG18" s="2353">
        <f>DF18</f>
        <v>2028</v>
      </c>
      <c r="DH18" s="2353">
        <f>DG18</f>
        <v>2028</v>
      </c>
      <c r="DI18" s="2353">
        <f>DH18</f>
        <v>2028</v>
      </c>
      <c r="DJ18" s="2353">
        <f>DI18+1</f>
        <v>2029</v>
      </c>
      <c r="DK18" s="2353">
        <f>DJ18</f>
        <v>2029</v>
      </c>
      <c r="DL18" s="2353">
        <f>DK18</f>
        <v>2029</v>
      </c>
      <c r="DM18" s="2353">
        <f>DL18</f>
        <v>2029</v>
      </c>
      <c r="DN18" s="2353">
        <f>DM18+1</f>
        <v>2030</v>
      </c>
      <c r="DO18" s="2353">
        <f>DN18</f>
        <v>2030</v>
      </c>
      <c r="DP18" s="2353">
        <f>DO18</f>
        <v>2030</v>
      </c>
      <c r="DQ18" s="2353">
        <f>DP18</f>
        <v>2030</v>
      </c>
      <c r="DR18" s="2353">
        <f>DQ18+1</f>
        <v>2031</v>
      </c>
      <c r="DS18" s="2353">
        <f>DR18</f>
        <v>2031</v>
      </c>
      <c r="DT18" s="2353">
        <f>DS18</f>
        <v>2031</v>
      </c>
      <c r="DU18" s="2353">
        <f>DT18</f>
        <v>2031</v>
      </c>
      <c r="DV18" s="2353">
        <f>DU18+1</f>
        <v>2032</v>
      </c>
      <c r="DW18" s="2353">
        <f>DV18</f>
        <v>2032</v>
      </c>
      <c r="DX18" s="2353">
        <f>DW18</f>
        <v>2032</v>
      </c>
      <c r="DY18" s="2353">
        <f>DX18</f>
        <v>2032</v>
      </c>
      <c r="DZ18" s="2353">
        <f>DY18+1</f>
        <v>2033</v>
      </c>
      <c r="EA18" s="2353">
        <f>DZ18</f>
        <v>2033</v>
      </c>
      <c r="EB18" s="2353">
        <f>EA18</f>
        <v>2033</v>
      </c>
      <c r="EC18" s="2353">
        <f>EB18</f>
        <v>2033</v>
      </c>
      <c r="ED18" s="2353">
        <f>EC18+1</f>
        <v>2034</v>
      </c>
      <c r="EE18" s="2353">
        <f>ED18</f>
        <v>2034</v>
      </c>
      <c r="EF18" s="2353">
        <f>EE18</f>
        <v>2034</v>
      </c>
      <c r="EG18" s="2353">
        <f>EF18</f>
        <v>2034</v>
      </c>
      <c r="EH18" s="2353">
        <f>EG18+1</f>
        <v>2035</v>
      </c>
      <c r="EI18" s="2353">
        <f>EH18</f>
        <v>2035</v>
      </c>
      <c r="EJ18" s="2353">
        <f>EI18</f>
        <v>2035</v>
      </c>
      <c r="EK18" s="2353">
        <f>EJ18</f>
        <v>2035</v>
      </c>
      <c r="EL18" s="2353">
        <f>EK18+1</f>
        <v>2036</v>
      </c>
      <c r="EM18" s="2353">
        <f>EL18</f>
        <v>2036</v>
      </c>
      <c r="EN18" s="2353">
        <f>EM18</f>
        <v>2036</v>
      </c>
      <c r="EO18" s="2353">
        <f>EN18</f>
        <v>2036</v>
      </c>
      <c r="EP18" s="2353">
        <f>EO18+1</f>
        <v>2037</v>
      </c>
      <c r="EQ18" s="2353">
        <f>EP18</f>
        <v>2037</v>
      </c>
      <c r="ER18" s="2353">
        <f>EQ18</f>
        <v>2037</v>
      </c>
      <c r="ES18" s="2353">
        <f>ER18</f>
        <v>2037</v>
      </c>
      <c r="ET18" s="2353">
        <f>ES18+1</f>
        <v>2038</v>
      </c>
      <c r="EU18" s="2353">
        <f>ET18</f>
        <v>2038</v>
      </c>
      <c r="EV18" s="2353">
        <f>EU18</f>
        <v>2038</v>
      </c>
      <c r="EW18" s="2353">
        <f>EV18</f>
        <v>2038</v>
      </c>
      <c r="EX18" s="2353">
        <f>EW18+1</f>
        <v>2039</v>
      </c>
      <c r="EY18" s="2353">
        <f>EX18</f>
        <v>2039</v>
      </c>
      <c r="EZ18" s="2353">
        <f>EY18</f>
        <v>2039</v>
      </c>
      <c r="FA18" s="2353">
        <f>EZ18</f>
        <v>2039</v>
      </c>
      <c r="FB18" s="2353">
        <f>FA18+1</f>
        <v>2040</v>
      </c>
      <c r="FC18" s="2353">
        <f>FB18</f>
        <v>2040</v>
      </c>
      <c r="FD18" s="2353">
        <f>FC18</f>
        <v>2040</v>
      </c>
      <c r="FE18" s="2353">
        <f>FD18</f>
        <v>2040</v>
      </c>
      <c r="FF18" s="2353">
        <f>FE18+1</f>
        <v>2041</v>
      </c>
      <c r="FG18" s="2353">
        <f>FF18</f>
        <v>2041</v>
      </c>
      <c r="FH18" s="2353">
        <f>FG18</f>
        <v>2041</v>
      </c>
      <c r="FI18" s="2353">
        <f>FH18</f>
        <v>2041</v>
      </c>
      <c r="FJ18" s="2353">
        <f>FI18+1</f>
        <v>2042</v>
      </c>
      <c r="FK18" s="2353">
        <f>FJ18</f>
        <v>2042</v>
      </c>
      <c r="FL18" s="2353">
        <f>FK18</f>
        <v>2042</v>
      </c>
      <c r="FM18" s="2353">
        <f>FL18</f>
        <v>2042</v>
      </c>
      <c r="FN18" s="2353">
        <f>FM18+1</f>
        <v>2043</v>
      </c>
      <c r="FO18" s="2353">
        <f>FN18</f>
        <v>2043</v>
      </c>
      <c r="FP18" s="2353">
        <f>FO18</f>
        <v>2043</v>
      </c>
      <c r="FQ18" s="2353">
        <f>FP18</f>
        <v>2043</v>
      </c>
      <c r="FR18" s="2353">
        <f>FQ18+1</f>
        <v>2044</v>
      </c>
      <c r="FS18" s="2353">
        <f>FR18</f>
        <v>2044</v>
      </c>
      <c r="FT18" s="2353">
        <f>FS18</f>
        <v>2044</v>
      </c>
      <c r="FU18" s="2353">
        <f>FT18</f>
        <v>2044</v>
      </c>
      <c r="FV18" s="2353">
        <f>FU18+1</f>
        <v>2045</v>
      </c>
      <c r="FW18" s="2353">
        <f>FV18</f>
        <v>2045</v>
      </c>
      <c r="FX18" s="2353">
        <f>FW18</f>
        <v>2045</v>
      </c>
      <c r="FY18" s="2353">
        <f>FX18</f>
        <v>2045</v>
      </c>
      <c r="FZ18" s="2353">
        <f>FY18+1</f>
        <v>2046</v>
      </c>
      <c r="GA18" s="2353">
        <f>FZ18</f>
        <v>2046</v>
      </c>
      <c r="GB18" s="2353">
        <f>GA18</f>
        <v>2046</v>
      </c>
      <c r="GC18" s="2353">
        <f>GB18</f>
        <v>2046</v>
      </c>
      <c r="GD18" s="2353">
        <f>GC18+1</f>
        <v>2047</v>
      </c>
      <c r="GE18" s="2353">
        <f>GD18</f>
        <v>2047</v>
      </c>
      <c r="GF18" s="2353">
        <f>GE18</f>
        <v>2047</v>
      </c>
      <c r="GG18" s="2353">
        <f>GF18</f>
        <v>2047</v>
      </c>
      <c r="GH18" s="2353">
        <f>GG18+1</f>
        <v>2048</v>
      </c>
      <c r="GI18" s="2353">
        <f>GH18</f>
        <v>2048</v>
      </c>
      <c r="GJ18" s="2353">
        <f>GI18</f>
        <v>2048</v>
      </c>
      <c r="GK18" s="2353">
        <f>GJ18</f>
        <v>2048</v>
      </c>
      <c r="GL18" s="2353">
        <f>GK18+1</f>
        <v>2049</v>
      </c>
      <c r="GM18" s="2353">
        <f>GL18</f>
        <v>2049</v>
      </c>
      <c r="GN18" s="2353">
        <f>GM18</f>
        <v>2049</v>
      </c>
      <c r="GO18" s="2353">
        <f>GN18</f>
        <v>2049</v>
      </c>
      <c r="GP18" s="2353">
        <f>GO18+1</f>
        <v>2050</v>
      </c>
      <c r="GQ18" s="2353">
        <f>GP18</f>
        <v>2050</v>
      </c>
      <c r="GR18" s="2353">
        <f>GQ18</f>
        <v>2050</v>
      </c>
      <c r="GS18" s="2353">
        <f>GR18</f>
        <v>2050</v>
      </c>
      <c r="GT18" s="2353">
        <f>GS18+1</f>
        <v>2051</v>
      </c>
      <c r="GU18" s="2353">
        <f>GT18</f>
        <v>2051</v>
      </c>
      <c r="GV18" s="2353">
        <f>GU18</f>
        <v>2051</v>
      </c>
      <c r="GW18" s="2353">
        <f>GV18</f>
        <v>2051</v>
      </c>
      <c r="GX18" s="2353">
        <f>GW18+1</f>
        <v>2052</v>
      </c>
      <c r="GY18" s="2353">
        <f>GX18</f>
        <v>2052</v>
      </c>
      <c r="GZ18" s="2353">
        <f>GY18</f>
        <v>2052</v>
      </c>
      <c r="HA18" s="2353">
        <f>GZ18</f>
        <v>2052</v>
      </c>
      <c r="HB18" s="2353">
        <f>HA18+1</f>
        <v>2053</v>
      </c>
      <c r="HC18" s="2353">
        <f>HB18</f>
        <v>2053</v>
      </c>
      <c r="HD18" s="2353">
        <f>HC18</f>
        <v>2053</v>
      </c>
      <c r="HE18" s="2353">
        <f>HD18</f>
        <v>2053</v>
      </c>
      <c r="HF18" s="2353">
        <f>HE18+1</f>
        <v>2054</v>
      </c>
      <c r="HG18" s="2353">
        <f>HF18</f>
        <v>2054</v>
      </c>
      <c r="HH18" s="2353">
        <f>HG18</f>
        <v>2054</v>
      </c>
      <c r="HI18" s="2353">
        <f>HH18</f>
        <v>2054</v>
      </c>
      <c r="HJ18" s="2353">
        <f>HI18+1</f>
        <v>2055</v>
      </c>
      <c r="HK18" s="2353">
        <f>HJ18</f>
        <v>2055</v>
      </c>
      <c r="HL18" s="2353">
        <f>HK18</f>
        <v>2055</v>
      </c>
      <c r="HM18" s="2353">
        <f>HL18</f>
        <v>2055</v>
      </c>
      <c r="HN18" s="2353">
        <f>HM18+1</f>
        <v>2056</v>
      </c>
      <c r="HO18" s="2353">
        <f>HN18</f>
        <v>2056</v>
      </c>
      <c r="HP18" s="2353">
        <f>HO18</f>
        <v>2056</v>
      </c>
      <c r="HQ18" s="2353">
        <f>HP18</f>
        <v>2056</v>
      </c>
      <c r="HR18" s="2353">
        <f>HQ18+1</f>
        <v>2057</v>
      </c>
      <c r="HS18" s="2353">
        <f>HR18</f>
        <v>2057</v>
      </c>
      <c r="HT18" s="2353">
        <f>HS18</f>
        <v>2057</v>
      </c>
      <c r="HU18" s="2353">
        <f>HT18</f>
        <v>2057</v>
      </c>
      <c r="HV18" s="2353">
        <f>HU18+1</f>
        <v>2058</v>
      </c>
      <c r="HW18" s="2353">
        <f>HV18</f>
        <v>2058</v>
      </c>
      <c r="HX18" s="2353">
        <f>HW18</f>
        <v>2058</v>
      </c>
      <c r="HY18" s="2353">
        <f>HX18</f>
        <v>2058</v>
      </c>
      <c r="HZ18" s="2353">
        <f>HY18+1</f>
        <v>2059</v>
      </c>
      <c r="IA18" s="2353">
        <f>HZ18</f>
        <v>2059</v>
      </c>
    </row>
    <row r="19" spans="2:321" ht="15.75" customHeight="1">
      <c r="C19" s="5265"/>
      <c r="D19" s="5266"/>
      <c r="E19" s="5266"/>
      <c r="F19" s="5266"/>
      <c r="G19" s="5266"/>
      <c r="H19" s="5262"/>
      <c r="J19" s="5287">
        <v>1</v>
      </c>
      <c r="K19" s="5287">
        <f>J19+1</f>
        <v>2</v>
      </c>
      <c r="L19" s="5288">
        <f>K19+1</f>
        <v>3</v>
      </c>
      <c r="M19" s="5289">
        <f>L19+1</f>
        <v>4</v>
      </c>
      <c r="N19" s="5287">
        <v>1</v>
      </c>
      <c r="O19" s="5288">
        <f>N19+1</f>
        <v>2</v>
      </c>
      <c r="P19" s="5288">
        <f>O19+1</f>
        <v>3</v>
      </c>
      <c r="Q19" s="5290">
        <f>P19+1</f>
        <v>4</v>
      </c>
      <c r="R19" s="5289">
        <v>1</v>
      </c>
      <c r="S19" s="5288">
        <f>R19+1</f>
        <v>2</v>
      </c>
      <c r="T19" s="5290">
        <f>S19+1</f>
        <v>3</v>
      </c>
      <c r="U19" s="5290">
        <f>T19+1</f>
        <v>4</v>
      </c>
      <c r="V19" s="5290">
        <v>1</v>
      </c>
      <c r="W19" s="5290">
        <f>V19+1</f>
        <v>2</v>
      </c>
      <c r="X19" s="5290">
        <f>W19+1</f>
        <v>3</v>
      </c>
      <c r="Y19" s="5290">
        <f>X19+1</f>
        <v>4</v>
      </c>
      <c r="Z19" s="5290">
        <v>1</v>
      </c>
      <c r="AA19" s="5290">
        <f>Z19+1</f>
        <v>2</v>
      </c>
      <c r="AB19" s="5290">
        <f>AA19+1</f>
        <v>3</v>
      </c>
      <c r="AC19" s="5290">
        <f>AB19+1</f>
        <v>4</v>
      </c>
      <c r="AD19" s="5290">
        <v>1</v>
      </c>
      <c r="AE19" s="5290">
        <f>AD19+1</f>
        <v>2</v>
      </c>
      <c r="AF19" s="5290">
        <f>AE19+1</f>
        <v>3</v>
      </c>
      <c r="AG19" s="5290">
        <f>AF19+1</f>
        <v>4</v>
      </c>
      <c r="AH19" s="5290">
        <v>1</v>
      </c>
      <c r="AI19" s="5290">
        <f>AH19+1</f>
        <v>2</v>
      </c>
      <c r="AJ19" s="5290">
        <f>AI19+1</f>
        <v>3</v>
      </c>
      <c r="AK19" s="5290">
        <f>AJ19+1</f>
        <v>4</v>
      </c>
      <c r="AL19" s="5290">
        <v>1</v>
      </c>
      <c r="AM19" s="5290">
        <f>AL19+1</f>
        <v>2</v>
      </c>
      <c r="AN19" s="5290">
        <f>AM19+1</f>
        <v>3</v>
      </c>
      <c r="AO19" s="5290">
        <f>AN19+1</f>
        <v>4</v>
      </c>
      <c r="AP19" s="5290">
        <v>1</v>
      </c>
      <c r="AQ19" s="5290">
        <f>AP19+1</f>
        <v>2</v>
      </c>
      <c r="AR19" s="5290">
        <f>AQ19+1</f>
        <v>3</v>
      </c>
      <c r="AS19" s="5290">
        <f>AR19+1</f>
        <v>4</v>
      </c>
      <c r="AT19" s="5290">
        <v>1</v>
      </c>
      <c r="AU19" s="5290">
        <f>AT19+1</f>
        <v>2</v>
      </c>
      <c r="AV19" s="5290">
        <f>AU19+1</f>
        <v>3</v>
      </c>
      <c r="AW19" s="5290">
        <f>AV19+1</f>
        <v>4</v>
      </c>
      <c r="AX19" s="5290">
        <v>1</v>
      </c>
      <c r="AY19" s="5290">
        <f>AX19+1</f>
        <v>2</v>
      </c>
      <c r="AZ19" s="5290">
        <f>AY19+1</f>
        <v>3</v>
      </c>
      <c r="BA19" s="5290">
        <f>AZ19+1</f>
        <v>4</v>
      </c>
      <c r="BB19" s="5290">
        <v>1</v>
      </c>
      <c r="BC19" s="5290">
        <f>BB19+1</f>
        <v>2</v>
      </c>
      <c r="BD19" s="5290">
        <f>BC19+1</f>
        <v>3</v>
      </c>
      <c r="BE19" s="5290">
        <f>BD19+1</f>
        <v>4</v>
      </c>
      <c r="BF19" s="5290">
        <v>1</v>
      </c>
      <c r="BG19" s="5290">
        <f>BF19+1</f>
        <v>2</v>
      </c>
      <c r="BH19" s="5290">
        <f>BG19+1</f>
        <v>3</v>
      </c>
      <c r="BI19" s="5290">
        <f>BH19+1</f>
        <v>4</v>
      </c>
      <c r="BJ19" s="5290">
        <v>1</v>
      </c>
      <c r="BK19" s="5290">
        <f>BJ19+1</f>
        <v>2</v>
      </c>
      <c r="BL19" s="5290">
        <f>BK19+1</f>
        <v>3</v>
      </c>
      <c r="BM19" s="5290">
        <f>BL19+1</f>
        <v>4</v>
      </c>
      <c r="BN19" s="5290">
        <v>1</v>
      </c>
      <c r="BO19" s="5290">
        <f>BN19+1</f>
        <v>2</v>
      </c>
      <c r="BP19" s="5290">
        <f>BO19+1</f>
        <v>3</v>
      </c>
      <c r="BQ19" s="5290">
        <f>BP19+1</f>
        <v>4</v>
      </c>
      <c r="BR19" s="5290">
        <v>1</v>
      </c>
      <c r="BS19" s="5290">
        <f>BR19+1</f>
        <v>2</v>
      </c>
      <c r="BT19" s="5290">
        <f>BS19+1</f>
        <v>3</v>
      </c>
      <c r="BU19" s="5290">
        <f>BT19+1</f>
        <v>4</v>
      </c>
      <c r="BV19" s="5290">
        <v>1</v>
      </c>
      <c r="BW19" s="5290">
        <f>BV19+1</f>
        <v>2</v>
      </c>
      <c r="BX19" s="5290">
        <f>BW19+1</f>
        <v>3</v>
      </c>
      <c r="BY19" s="5290">
        <f>BX19+1</f>
        <v>4</v>
      </c>
      <c r="BZ19" s="5290">
        <v>1</v>
      </c>
      <c r="CA19" s="5290">
        <f>BZ19+1</f>
        <v>2</v>
      </c>
      <c r="CB19" s="5290">
        <f>CA19+1</f>
        <v>3</v>
      </c>
      <c r="CC19" s="5290">
        <f>CB19+1</f>
        <v>4</v>
      </c>
      <c r="CD19" s="5290">
        <v>1</v>
      </c>
      <c r="CE19" s="5290">
        <f>CD19+1</f>
        <v>2</v>
      </c>
      <c r="CF19" s="5290">
        <f>CE19+1</f>
        <v>3</v>
      </c>
      <c r="CG19" s="5290">
        <f>CF19+1</f>
        <v>4</v>
      </c>
      <c r="CH19" s="5290">
        <v>1</v>
      </c>
      <c r="CI19" s="5290">
        <f>CH19+1</f>
        <v>2</v>
      </c>
      <c r="CJ19" s="5290">
        <f>CI19+1</f>
        <v>3</v>
      </c>
      <c r="CK19" s="5290">
        <f>CJ19+1</f>
        <v>4</v>
      </c>
      <c r="CL19" s="5290">
        <v>1</v>
      </c>
      <c r="CM19" s="5290">
        <f>CL19+1</f>
        <v>2</v>
      </c>
      <c r="CN19" s="5290">
        <f>CM19+1</f>
        <v>3</v>
      </c>
      <c r="CO19" s="5290">
        <f>CN19+1</f>
        <v>4</v>
      </c>
      <c r="CP19" s="5290">
        <v>1</v>
      </c>
      <c r="CQ19" s="5290">
        <f>CP19+1</f>
        <v>2</v>
      </c>
      <c r="CR19" s="5290">
        <f>CQ19+1</f>
        <v>3</v>
      </c>
      <c r="CS19" s="5290">
        <f>CR19+1</f>
        <v>4</v>
      </c>
      <c r="CT19" s="5290">
        <v>1</v>
      </c>
      <c r="CU19" s="5290">
        <f>CT19+1</f>
        <v>2</v>
      </c>
      <c r="CV19" s="5290">
        <f>CU19+1</f>
        <v>3</v>
      </c>
      <c r="CW19" s="5290">
        <f>CV19+1</f>
        <v>4</v>
      </c>
      <c r="CX19" s="5290">
        <v>1</v>
      </c>
      <c r="CY19" s="5290">
        <f>CX19+1</f>
        <v>2</v>
      </c>
      <c r="CZ19" s="5290">
        <f>CY19+1</f>
        <v>3</v>
      </c>
      <c r="DA19" s="5290">
        <f>CZ19+1</f>
        <v>4</v>
      </c>
      <c r="DB19" s="5290">
        <v>1</v>
      </c>
      <c r="DC19" s="5290">
        <f>DB19+1</f>
        <v>2</v>
      </c>
      <c r="DD19" s="5290">
        <f>DC19+1</f>
        <v>3</v>
      </c>
      <c r="DE19" s="5290">
        <f>DD19+1</f>
        <v>4</v>
      </c>
      <c r="DF19" s="5290">
        <v>1</v>
      </c>
      <c r="DG19" s="5290">
        <f>DF19+1</f>
        <v>2</v>
      </c>
      <c r="DH19" s="5290">
        <f>DG19+1</f>
        <v>3</v>
      </c>
      <c r="DI19" s="5290">
        <f>DH19+1</f>
        <v>4</v>
      </c>
      <c r="DJ19" s="5290">
        <v>1</v>
      </c>
      <c r="DK19" s="5290">
        <f>DJ19+1</f>
        <v>2</v>
      </c>
      <c r="DL19" s="5290">
        <f>DK19+1</f>
        <v>3</v>
      </c>
      <c r="DM19" s="5290">
        <f>DL19+1</f>
        <v>4</v>
      </c>
      <c r="DN19" s="5290">
        <v>1</v>
      </c>
      <c r="DO19" s="5290">
        <f>DN19+1</f>
        <v>2</v>
      </c>
      <c r="DP19" s="5290">
        <f>DO19+1</f>
        <v>3</v>
      </c>
      <c r="DQ19" s="5290">
        <f>DP19+1</f>
        <v>4</v>
      </c>
      <c r="DR19" s="5290">
        <v>1</v>
      </c>
      <c r="DS19" s="5290">
        <f>DR19+1</f>
        <v>2</v>
      </c>
      <c r="DT19" s="5290">
        <f>DS19+1</f>
        <v>3</v>
      </c>
      <c r="DU19" s="5290">
        <f>DT19+1</f>
        <v>4</v>
      </c>
      <c r="DV19" s="5290">
        <v>1</v>
      </c>
      <c r="DW19" s="5290">
        <f>DV19+1</f>
        <v>2</v>
      </c>
      <c r="DX19" s="5290">
        <f>DW19+1</f>
        <v>3</v>
      </c>
      <c r="DY19" s="5290">
        <f>DX19+1</f>
        <v>4</v>
      </c>
      <c r="DZ19" s="5290">
        <v>1</v>
      </c>
      <c r="EA19" s="5290">
        <f>DZ19+1</f>
        <v>2</v>
      </c>
      <c r="EB19" s="5290">
        <f>EA19+1</f>
        <v>3</v>
      </c>
      <c r="EC19" s="5290">
        <f>EB19+1</f>
        <v>4</v>
      </c>
      <c r="ED19" s="5290">
        <v>1</v>
      </c>
      <c r="EE19" s="5290">
        <f>ED19+1</f>
        <v>2</v>
      </c>
      <c r="EF19" s="5290">
        <f>EE19+1</f>
        <v>3</v>
      </c>
      <c r="EG19" s="5290">
        <f>EF19+1</f>
        <v>4</v>
      </c>
      <c r="EH19" s="5290">
        <v>1</v>
      </c>
      <c r="EI19" s="5290">
        <f>EH19+1</f>
        <v>2</v>
      </c>
      <c r="EJ19" s="5290">
        <f>EI19+1</f>
        <v>3</v>
      </c>
      <c r="EK19" s="5290">
        <f>EJ19+1</f>
        <v>4</v>
      </c>
      <c r="EL19" s="5290">
        <v>1</v>
      </c>
      <c r="EM19" s="5290">
        <f>EL19+1</f>
        <v>2</v>
      </c>
      <c r="EN19" s="5290">
        <f>EM19+1</f>
        <v>3</v>
      </c>
      <c r="EO19" s="5290">
        <f>EN19+1</f>
        <v>4</v>
      </c>
      <c r="EP19" s="5290">
        <v>1</v>
      </c>
      <c r="EQ19" s="5290">
        <f>EP19+1</f>
        <v>2</v>
      </c>
      <c r="ER19" s="5290">
        <f>EQ19+1</f>
        <v>3</v>
      </c>
      <c r="ES19" s="5290">
        <f>ER19+1</f>
        <v>4</v>
      </c>
      <c r="ET19" s="5290">
        <v>1</v>
      </c>
      <c r="EU19" s="5290">
        <f>ET19+1</f>
        <v>2</v>
      </c>
      <c r="EV19" s="5290">
        <f>EU19+1</f>
        <v>3</v>
      </c>
      <c r="EW19" s="5290">
        <f>EV19+1</f>
        <v>4</v>
      </c>
      <c r="EX19" s="5290">
        <v>1</v>
      </c>
      <c r="EY19" s="5290">
        <f>EX19+1</f>
        <v>2</v>
      </c>
      <c r="EZ19" s="5290">
        <f>EY19+1</f>
        <v>3</v>
      </c>
      <c r="FA19" s="5290">
        <f>EZ19+1</f>
        <v>4</v>
      </c>
      <c r="FB19" s="5290">
        <v>1</v>
      </c>
      <c r="FC19" s="5290">
        <f>FB19+1</f>
        <v>2</v>
      </c>
      <c r="FD19" s="5290">
        <f>FC19+1</f>
        <v>3</v>
      </c>
      <c r="FE19" s="5290">
        <f>FD19+1</f>
        <v>4</v>
      </c>
      <c r="FF19" s="5290">
        <v>1</v>
      </c>
      <c r="FG19" s="5290">
        <f>FF19+1</f>
        <v>2</v>
      </c>
      <c r="FH19" s="5290">
        <f>FG19+1</f>
        <v>3</v>
      </c>
      <c r="FI19" s="5290">
        <f>FH19+1</f>
        <v>4</v>
      </c>
      <c r="FJ19" s="5290">
        <v>1</v>
      </c>
      <c r="FK19" s="5290">
        <f>FJ19+1</f>
        <v>2</v>
      </c>
      <c r="FL19" s="5290">
        <f>FK19+1</f>
        <v>3</v>
      </c>
      <c r="FM19" s="5290">
        <f>FL19+1</f>
        <v>4</v>
      </c>
      <c r="FN19" s="5290">
        <v>1</v>
      </c>
      <c r="FO19" s="5290">
        <f>FN19+1</f>
        <v>2</v>
      </c>
      <c r="FP19" s="5290">
        <f>FO19+1</f>
        <v>3</v>
      </c>
      <c r="FQ19" s="5290">
        <f>FP19+1</f>
        <v>4</v>
      </c>
      <c r="FR19" s="5290">
        <v>1</v>
      </c>
      <c r="FS19" s="5290">
        <f>FR19+1</f>
        <v>2</v>
      </c>
      <c r="FT19" s="5290">
        <f>FS19+1</f>
        <v>3</v>
      </c>
      <c r="FU19" s="5290">
        <f>FT19+1</f>
        <v>4</v>
      </c>
      <c r="FV19" s="5290">
        <v>1</v>
      </c>
      <c r="FW19" s="5290">
        <f>FV19+1</f>
        <v>2</v>
      </c>
      <c r="FX19" s="5290">
        <f>FW19+1</f>
        <v>3</v>
      </c>
      <c r="FY19" s="5290">
        <f>FX19+1</f>
        <v>4</v>
      </c>
      <c r="FZ19" s="5290">
        <v>1</v>
      </c>
      <c r="GA19" s="5290">
        <f>FZ19+1</f>
        <v>2</v>
      </c>
      <c r="GB19" s="5290">
        <f>GA19+1</f>
        <v>3</v>
      </c>
      <c r="GC19" s="5290">
        <f>GB19+1</f>
        <v>4</v>
      </c>
      <c r="GD19" s="5290">
        <v>1</v>
      </c>
      <c r="GE19" s="5290">
        <f>GD19+1</f>
        <v>2</v>
      </c>
      <c r="GF19" s="5290">
        <f>GE19+1</f>
        <v>3</v>
      </c>
      <c r="GG19" s="5290">
        <f>GF19+1</f>
        <v>4</v>
      </c>
      <c r="GH19" s="5290">
        <v>1</v>
      </c>
      <c r="GI19" s="5290">
        <f>GH19+1</f>
        <v>2</v>
      </c>
      <c r="GJ19" s="5290">
        <f>GI19+1</f>
        <v>3</v>
      </c>
      <c r="GK19" s="5290">
        <f>GJ19+1</f>
        <v>4</v>
      </c>
      <c r="GL19" s="5290">
        <v>1</v>
      </c>
      <c r="GM19" s="5290">
        <f>GL19+1</f>
        <v>2</v>
      </c>
      <c r="GN19" s="5290">
        <f>GM19+1</f>
        <v>3</v>
      </c>
      <c r="GO19" s="5290">
        <f>GN19+1</f>
        <v>4</v>
      </c>
      <c r="GP19" s="5290">
        <v>1</v>
      </c>
      <c r="GQ19" s="5290">
        <f>GP19+1</f>
        <v>2</v>
      </c>
      <c r="GR19" s="5290">
        <f>GQ19+1</f>
        <v>3</v>
      </c>
      <c r="GS19" s="5290">
        <f>GR19+1</f>
        <v>4</v>
      </c>
      <c r="GT19" s="5290">
        <v>1</v>
      </c>
      <c r="GU19" s="5290">
        <f>GT19+1</f>
        <v>2</v>
      </c>
      <c r="GV19" s="5290">
        <f>GU19+1</f>
        <v>3</v>
      </c>
      <c r="GW19" s="5290">
        <f>GV19+1</f>
        <v>4</v>
      </c>
      <c r="GX19" s="5290">
        <v>1</v>
      </c>
      <c r="GY19" s="5290">
        <f>GX19+1</f>
        <v>2</v>
      </c>
      <c r="GZ19" s="5290">
        <f>GY19+1</f>
        <v>3</v>
      </c>
      <c r="HA19" s="5290">
        <f>GZ19+1</f>
        <v>4</v>
      </c>
      <c r="HB19" s="5290">
        <v>1</v>
      </c>
      <c r="HC19" s="5290">
        <f>HB19+1</f>
        <v>2</v>
      </c>
      <c r="HD19" s="5290">
        <f>HC19+1</f>
        <v>3</v>
      </c>
      <c r="HE19" s="5290">
        <f>HD19+1</f>
        <v>4</v>
      </c>
      <c r="HF19" s="5290">
        <v>1</v>
      </c>
      <c r="HG19" s="5290">
        <f>HF19+1</f>
        <v>2</v>
      </c>
      <c r="HH19" s="5290">
        <f>HG19+1</f>
        <v>3</v>
      </c>
      <c r="HI19" s="5290">
        <f>HH19+1</f>
        <v>4</v>
      </c>
      <c r="HJ19" s="5290">
        <v>1</v>
      </c>
      <c r="HK19" s="5290">
        <f>HJ19+1</f>
        <v>2</v>
      </c>
      <c r="HL19" s="5290">
        <f>HK19+1</f>
        <v>3</v>
      </c>
      <c r="HM19" s="5290">
        <f>HL19+1</f>
        <v>4</v>
      </c>
      <c r="HN19" s="5290">
        <v>1</v>
      </c>
      <c r="HO19" s="5290">
        <f>HN19+1</f>
        <v>2</v>
      </c>
      <c r="HP19" s="5290">
        <f>HO19+1</f>
        <v>3</v>
      </c>
      <c r="HQ19" s="5290">
        <f>HP19+1</f>
        <v>4</v>
      </c>
      <c r="HR19" s="5290">
        <v>1</v>
      </c>
      <c r="HS19" s="5290">
        <f>HR19+1</f>
        <v>2</v>
      </c>
      <c r="HT19" s="5290">
        <f>HS19+1</f>
        <v>3</v>
      </c>
      <c r="HU19" s="5290">
        <f>HT19+1</f>
        <v>4</v>
      </c>
      <c r="HV19" s="5290">
        <v>1</v>
      </c>
      <c r="HW19" s="5290">
        <f>HV19+1</f>
        <v>2</v>
      </c>
      <c r="HX19" s="5290">
        <f>HW19+1</f>
        <v>3</v>
      </c>
      <c r="HY19" s="5290">
        <f>HX19+1</f>
        <v>4</v>
      </c>
      <c r="HZ19" s="5290">
        <v>1</v>
      </c>
      <c r="IA19" s="5290">
        <f>HZ19+1</f>
        <v>2</v>
      </c>
    </row>
    <row r="20" spans="2:321" outlineLevel="1">
      <c r="C20" s="2372" t="s">
        <v>3912</v>
      </c>
      <c r="D20" s="2373"/>
      <c r="E20" s="2373"/>
      <c r="F20" s="2373"/>
      <c r="G20" s="2374"/>
      <c r="H20" s="2375"/>
      <c r="I20" s="2376"/>
      <c r="J20" s="2377"/>
      <c r="K20" s="2377"/>
      <c r="L20" s="2378"/>
      <c r="M20" s="2379"/>
      <c r="N20" s="2377"/>
      <c r="O20" s="2378"/>
      <c r="P20" s="2378"/>
      <c r="Q20" s="2380"/>
      <c r="R20" s="2379"/>
      <c r="S20" s="2378"/>
      <c r="T20" s="2380"/>
      <c r="U20" s="2381"/>
      <c r="V20" s="2381"/>
      <c r="W20" s="2381"/>
      <c r="X20" s="2381"/>
      <c r="Y20" s="2381"/>
      <c r="Z20" s="2381"/>
      <c r="AA20" s="2381"/>
      <c r="AB20" s="2381"/>
      <c r="AC20" s="2381"/>
      <c r="AD20" s="2381"/>
      <c r="AE20" s="2381"/>
      <c r="AF20" s="2381"/>
      <c r="AG20" s="2381"/>
      <c r="AH20" s="2381"/>
      <c r="AI20" s="2381"/>
      <c r="AJ20" s="2381"/>
      <c r="AK20" s="2381"/>
      <c r="AL20" s="2381"/>
      <c r="AM20" s="2381"/>
      <c r="AN20" s="2381"/>
      <c r="AO20" s="2381"/>
      <c r="AP20" s="2381"/>
      <c r="AQ20" s="2381"/>
      <c r="AR20" s="2381"/>
      <c r="AS20" s="2381"/>
      <c r="AT20" s="2381"/>
      <c r="AU20" s="2381"/>
      <c r="AV20" s="2381"/>
      <c r="AW20" s="2381"/>
      <c r="AX20" s="2381"/>
      <c r="AY20" s="2381"/>
      <c r="AZ20" s="2381"/>
      <c r="BA20" s="2381"/>
      <c r="BB20" s="2381"/>
      <c r="BC20" s="2381"/>
      <c r="BD20" s="2381"/>
      <c r="BE20" s="2381"/>
      <c r="BF20" s="2381"/>
      <c r="BG20" s="2381"/>
      <c r="BH20" s="2381"/>
      <c r="BI20" s="2381"/>
      <c r="BJ20" s="2381"/>
      <c r="BK20" s="2381"/>
      <c r="BL20" s="2381"/>
      <c r="BM20" s="2381"/>
      <c r="BN20" s="2381"/>
      <c r="BO20" s="2381"/>
      <c r="BP20" s="2381"/>
      <c r="BQ20" s="2381"/>
      <c r="BR20" s="2381"/>
      <c r="BS20" s="2381"/>
      <c r="BT20" s="2381"/>
      <c r="BU20" s="2381"/>
      <c r="BV20" s="2381"/>
      <c r="BW20" s="2381"/>
      <c r="BX20" s="2381"/>
      <c r="BY20" s="2381"/>
      <c r="BZ20" s="2381"/>
      <c r="CA20" s="2381"/>
      <c r="CB20" s="2381"/>
      <c r="CC20" s="2381"/>
      <c r="CD20" s="2381"/>
      <c r="CE20" s="2381"/>
      <c r="CF20" s="2381"/>
      <c r="CG20" s="2381"/>
      <c r="CH20" s="2381"/>
      <c r="CI20" s="2381"/>
      <c r="CJ20" s="2381"/>
      <c r="CK20" s="2381"/>
      <c r="CL20" s="2381"/>
      <c r="CM20" s="2381"/>
      <c r="CN20" s="2381"/>
      <c r="CO20" s="2381"/>
      <c r="CP20" s="2381"/>
      <c r="CQ20" s="2381"/>
      <c r="CR20" s="2381"/>
      <c r="CS20" s="2381"/>
      <c r="CT20" s="2381"/>
      <c r="CU20" s="2381"/>
      <c r="CV20" s="2381"/>
      <c r="CW20" s="2381"/>
      <c r="CX20" s="2381"/>
      <c r="CY20" s="2381"/>
      <c r="CZ20" s="2381"/>
      <c r="DA20" s="2381"/>
      <c r="DB20" s="2381"/>
      <c r="DC20" s="2381"/>
      <c r="DD20" s="2381"/>
      <c r="DE20" s="2381"/>
      <c r="DF20" s="2381"/>
      <c r="DG20" s="2381"/>
      <c r="DH20" s="2381"/>
      <c r="DI20" s="2381"/>
      <c r="DJ20" s="2381"/>
      <c r="DK20" s="2381"/>
      <c r="DL20" s="2381"/>
      <c r="DM20" s="2381"/>
      <c r="DN20" s="2381"/>
      <c r="DO20" s="2381"/>
      <c r="DP20" s="2381"/>
      <c r="DQ20" s="2381"/>
      <c r="DR20" s="2381"/>
      <c r="DS20" s="2381"/>
      <c r="DT20" s="2381"/>
      <c r="DU20" s="2381"/>
      <c r="DV20" s="2381"/>
      <c r="DW20" s="5268"/>
      <c r="DX20" s="5268"/>
      <c r="DY20" s="5268"/>
      <c r="DZ20" s="5268"/>
      <c r="EA20" s="5268"/>
      <c r="EB20" s="5268"/>
      <c r="EC20" s="5268"/>
      <c r="ED20" s="5268"/>
      <c r="EE20" s="5268"/>
      <c r="EF20" s="5268"/>
      <c r="EG20" s="5268"/>
      <c r="EH20" s="5268"/>
      <c r="EI20" s="5268"/>
      <c r="EJ20" s="5268"/>
      <c r="EK20" s="5268"/>
      <c r="EL20" s="5268"/>
      <c r="EM20" s="5268"/>
      <c r="EN20" s="5268"/>
      <c r="EO20" s="5268"/>
      <c r="EP20" s="5268"/>
      <c r="EQ20" s="5268"/>
      <c r="ER20" s="5268"/>
      <c r="ES20" s="5268"/>
      <c r="ET20" s="5268"/>
      <c r="EU20" s="5268"/>
      <c r="EV20" s="5268"/>
      <c r="EW20" s="5268"/>
      <c r="EX20" s="5268"/>
      <c r="EY20" s="5268"/>
      <c r="EZ20" s="5268"/>
      <c r="FA20" s="5268"/>
      <c r="FB20" s="5268"/>
      <c r="FC20" s="5268"/>
      <c r="FD20" s="5268"/>
      <c r="FE20" s="5268"/>
      <c r="FF20" s="5268"/>
      <c r="FG20" s="5268"/>
      <c r="FH20" s="5268"/>
      <c r="FI20" s="5268"/>
      <c r="FJ20" s="5268"/>
      <c r="FK20" s="5268"/>
      <c r="FL20" s="5268"/>
      <c r="FM20" s="5268"/>
      <c r="FN20" s="5268"/>
      <c r="FO20" s="5268"/>
      <c r="FP20" s="5268"/>
      <c r="FQ20" s="5268"/>
      <c r="FR20" s="5268"/>
      <c r="FS20" s="5268"/>
      <c r="FT20" s="5268"/>
      <c r="FU20" s="5268"/>
      <c r="FV20" s="5268"/>
      <c r="FW20" s="5268"/>
      <c r="FX20" s="5268"/>
      <c r="FY20" s="5268"/>
      <c r="FZ20" s="5268"/>
      <c r="GA20" s="5268"/>
      <c r="GB20" s="5268"/>
      <c r="GC20" s="5268"/>
      <c r="GD20" s="5268"/>
      <c r="GE20" s="5268"/>
      <c r="GF20" s="5268"/>
      <c r="GG20" s="5268"/>
      <c r="GH20" s="5268"/>
      <c r="GI20" s="5268"/>
      <c r="GJ20" s="5268"/>
      <c r="GK20" s="5268"/>
      <c r="GL20" s="5268"/>
      <c r="GM20" s="5268"/>
      <c r="GN20" s="5268"/>
      <c r="GO20" s="5268"/>
      <c r="GP20" s="5268"/>
      <c r="GQ20" s="5268"/>
      <c r="GR20" s="5268"/>
      <c r="GS20" s="5268"/>
      <c r="GT20" s="5268"/>
      <c r="GU20" s="5268"/>
      <c r="GV20" s="5268"/>
      <c r="GW20" s="5268"/>
      <c r="GX20" s="5268"/>
      <c r="GY20" s="5268"/>
      <c r="GZ20" s="5268"/>
      <c r="HA20" s="5268"/>
      <c r="HB20" s="5268"/>
      <c r="HC20" s="5268"/>
      <c r="HD20" s="5268"/>
      <c r="HE20" s="5268"/>
      <c r="HF20" s="5268"/>
      <c r="HG20" s="5268"/>
      <c r="HH20" s="5268"/>
      <c r="HI20" s="5268"/>
      <c r="HJ20" s="5268"/>
      <c r="HK20" s="5268"/>
      <c r="HL20" s="5268"/>
      <c r="HM20" s="5268"/>
      <c r="HN20" s="5268"/>
      <c r="HO20" s="5268"/>
      <c r="HP20" s="5268"/>
      <c r="HQ20" s="5268"/>
      <c r="HR20" s="5268"/>
      <c r="HS20" s="5268"/>
      <c r="HT20" s="5268"/>
      <c r="HU20" s="5268"/>
      <c r="HV20" s="5268"/>
      <c r="HW20" s="5268"/>
      <c r="HX20" s="5268"/>
      <c r="HY20" s="5268"/>
      <c r="HZ20" s="5268"/>
      <c r="IA20" s="5268"/>
      <c r="IB20" s="2382"/>
      <c r="IC20" s="2382"/>
      <c r="ID20" s="2382"/>
      <c r="IE20" s="2382"/>
      <c r="IF20" s="2382"/>
      <c r="IG20" s="2382"/>
      <c r="IH20" s="2382"/>
      <c r="II20" s="2382"/>
      <c r="IJ20" s="2382"/>
      <c r="IK20" s="2382"/>
      <c r="IL20" s="2382"/>
      <c r="IM20" s="2382"/>
      <c r="IN20" s="2382"/>
      <c r="IO20" s="2382"/>
      <c r="IP20" s="2382"/>
      <c r="IQ20" s="2382"/>
      <c r="IR20" s="2382"/>
      <c r="IS20" s="2382"/>
      <c r="IT20" s="2382"/>
      <c r="IU20" s="2382"/>
      <c r="IV20" s="2382"/>
      <c r="IW20" s="2382"/>
      <c r="IX20" s="2382"/>
      <c r="IY20" s="2382"/>
      <c r="IZ20" s="2382"/>
      <c r="JA20" s="2382"/>
      <c r="JB20" s="2382"/>
      <c r="JC20" s="2382"/>
      <c r="JD20" s="2382"/>
      <c r="JE20" s="2382"/>
      <c r="JF20" s="2382"/>
      <c r="JG20" s="2382"/>
      <c r="JH20" s="2382"/>
      <c r="JI20" s="2382"/>
      <c r="JJ20" s="2382"/>
      <c r="JK20" s="2382"/>
      <c r="JL20" s="2382"/>
      <c r="JM20" s="2382"/>
      <c r="JN20" s="2382"/>
      <c r="JO20" s="2382"/>
      <c r="JP20" s="2382"/>
      <c r="JQ20" s="2382"/>
      <c r="JR20" s="2382"/>
      <c r="JS20" s="2382"/>
      <c r="JT20" s="2382"/>
      <c r="JU20" s="2382"/>
      <c r="JV20" s="2382"/>
      <c r="JW20" s="2382"/>
      <c r="JX20" s="2382"/>
      <c r="JY20" s="2382"/>
      <c r="JZ20" s="2382"/>
      <c r="KA20" s="2382"/>
      <c r="KB20" s="2382"/>
      <c r="KC20" s="2382"/>
      <c r="KD20" s="2382"/>
      <c r="KE20" s="2382"/>
      <c r="KF20" s="2382"/>
      <c r="KG20" s="2382"/>
      <c r="KH20" s="2382"/>
      <c r="KI20" s="2382"/>
      <c r="KJ20" s="2382"/>
      <c r="KK20" s="2382"/>
      <c r="KL20" s="2382"/>
      <c r="KM20" s="2382"/>
      <c r="KN20" s="2382"/>
      <c r="KO20" s="2382"/>
      <c r="KP20" s="2382"/>
      <c r="KQ20" s="2382"/>
      <c r="KR20" s="2382"/>
      <c r="KS20" s="2382"/>
      <c r="KT20" s="2382"/>
      <c r="KU20" s="2382"/>
      <c r="KV20" s="2382"/>
      <c r="KW20" s="2382"/>
      <c r="KX20" s="2382"/>
      <c r="KY20" s="2382"/>
      <c r="KZ20" s="2382"/>
      <c r="LA20" s="2382"/>
      <c r="LB20" s="2382"/>
      <c r="LC20" s="2382"/>
      <c r="LD20" s="2382"/>
      <c r="LE20" s="2382"/>
      <c r="LF20" s="2382"/>
      <c r="LG20" s="2382"/>
      <c r="LH20" s="2382"/>
      <c r="LI20" s="2382"/>
    </row>
    <row r="21" spans="2:321" outlineLevel="1">
      <c r="C21" s="2383"/>
      <c r="D21" s="2384" t="s">
        <v>3913</v>
      </c>
      <c r="E21" s="2385"/>
      <c r="F21" s="2385"/>
      <c r="G21" s="2386"/>
      <c r="H21" s="2387">
        <f>SUM(J21:IA21)</f>
        <v>205118.76659655818</v>
      </c>
      <c r="I21" s="2388"/>
      <c r="J21" s="2389">
        <f>TP!J65</f>
        <v>0</v>
      </c>
      <c r="K21" s="2389">
        <f>TP!K65</f>
        <v>0</v>
      </c>
      <c r="L21" s="2389">
        <f>TP!L65</f>
        <v>2393.0090441241896</v>
      </c>
      <c r="M21" s="2389">
        <f>TP!M65</f>
        <v>5489.1880953490809</v>
      </c>
      <c r="N21" s="2389">
        <f>TP!N65</f>
        <v>1060.3877162313115</v>
      </c>
      <c r="O21" s="2389">
        <f>TP!O65</f>
        <v>5987.0940573733396</v>
      </c>
      <c r="P21" s="2389">
        <f>TP!P65</f>
        <v>3734.9465462205612</v>
      </c>
      <c r="Q21" s="2389">
        <f>TP!Q65</f>
        <v>2995.4010936183126</v>
      </c>
      <c r="R21" s="2389">
        <f>TP!R65</f>
        <v>6847.8663328448738</v>
      </c>
      <c r="S21" s="2389">
        <f>TP!S65</f>
        <v>14217.89659421601</v>
      </c>
      <c r="T21" s="2389">
        <f>TP!T65</f>
        <v>3761.4510464833324</v>
      </c>
      <c r="U21" s="2389">
        <f>TP!U65</f>
        <v>7156.6675813751644</v>
      </c>
      <c r="V21" s="2389">
        <f>TP!V65</f>
        <v>3536.6882392147218</v>
      </c>
      <c r="W21" s="2389">
        <f>TP!W65</f>
        <v>2084.4415062290755</v>
      </c>
      <c r="X21" s="2389">
        <f>TP!X65</f>
        <v>7875.1459526639092</v>
      </c>
      <c r="Y21" s="2389">
        <f>TP!Y65</f>
        <v>10391.545418215796</v>
      </c>
      <c r="Z21" s="2389">
        <f>TP!Z65</f>
        <v>7107.6529540117117</v>
      </c>
      <c r="AA21" s="2389">
        <f>TP!AA65</f>
        <v>11394.943407562469</v>
      </c>
      <c r="AB21" s="2389">
        <f>TP!AB65</f>
        <v>12605.457416925397</v>
      </c>
      <c r="AC21" s="2389">
        <f>TP!AC65</f>
        <v>14542.539145899496</v>
      </c>
      <c r="AD21" s="2389">
        <f>TP!AD65</f>
        <v>20453.001105194617</v>
      </c>
      <c r="AE21" s="2389">
        <f>TP!AE65</f>
        <v>18577.836926543598</v>
      </c>
      <c r="AF21" s="2389">
        <f>TP!AF65</f>
        <v>25869.659017439379</v>
      </c>
      <c r="AG21" s="2389">
        <f>TP!AG65</f>
        <v>17035.947398821816</v>
      </c>
      <c r="AH21" s="2394"/>
      <c r="AI21" s="2394"/>
      <c r="AJ21" s="2394"/>
      <c r="AK21" s="2394"/>
      <c r="AL21" s="2394"/>
      <c r="AM21" s="2394"/>
      <c r="AN21" s="2394"/>
      <c r="AO21" s="2394"/>
      <c r="AP21" s="2394"/>
      <c r="AQ21" s="2394"/>
      <c r="AR21" s="2394"/>
      <c r="AS21" s="2394"/>
      <c r="AT21" s="2394"/>
      <c r="AU21" s="2394"/>
      <c r="AV21" s="2394"/>
      <c r="AW21" s="2394"/>
      <c r="AX21" s="2394"/>
      <c r="AY21" s="2394"/>
      <c r="AZ21" s="2394"/>
      <c r="BA21" s="2394"/>
      <c r="BB21" s="2394"/>
      <c r="BC21" s="2394"/>
      <c r="BD21" s="2394"/>
      <c r="BE21" s="2394"/>
      <c r="BF21" s="2394"/>
      <c r="BG21" s="2394"/>
      <c r="BH21" s="2394"/>
      <c r="BI21" s="2394"/>
      <c r="BJ21" s="2394"/>
      <c r="BK21" s="2394"/>
      <c r="BL21" s="2394"/>
      <c r="BM21" s="2394"/>
      <c r="BN21" s="2394"/>
      <c r="BO21" s="2394"/>
      <c r="BP21" s="2394"/>
      <c r="BQ21" s="2394"/>
      <c r="BR21" s="2394"/>
      <c r="BS21" s="2394"/>
      <c r="BT21" s="2394"/>
      <c r="BU21" s="2394"/>
      <c r="BV21" s="2394"/>
      <c r="BW21" s="2394"/>
      <c r="BX21" s="2394"/>
      <c r="BY21" s="2394"/>
      <c r="BZ21" s="2394"/>
      <c r="CA21" s="2394"/>
      <c r="CB21" s="2394"/>
      <c r="CC21" s="2394"/>
      <c r="CD21" s="2394"/>
      <c r="CE21" s="2394"/>
      <c r="CF21" s="2394"/>
      <c r="CG21" s="2394"/>
      <c r="CH21" s="2394"/>
      <c r="CI21" s="2394"/>
      <c r="CJ21" s="2394"/>
      <c r="CK21" s="2394"/>
      <c r="CL21" s="2394"/>
      <c r="CM21" s="2394"/>
      <c r="CN21" s="2394"/>
      <c r="CO21" s="2394"/>
      <c r="CP21" s="2394"/>
      <c r="CQ21" s="2394"/>
      <c r="CR21" s="2394"/>
      <c r="CS21" s="2394"/>
      <c r="CT21" s="2394"/>
      <c r="CU21" s="2394"/>
      <c r="CV21" s="2394"/>
      <c r="CW21" s="2394"/>
      <c r="CX21" s="2394"/>
      <c r="CY21" s="2394"/>
      <c r="CZ21" s="2394"/>
      <c r="DA21" s="2394"/>
      <c r="DB21" s="2394"/>
      <c r="DC21" s="2394"/>
      <c r="DD21" s="2394"/>
      <c r="DE21" s="2394"/>
      <c r="DF21" s="2394"/>
      <c r="DG21" s="2394"/>
      <c r="DH21" s="2394"/>
      <c r="DI21" s="2394"/>
      <c r="DJ21" s="2394"/>
      <c r="DK21" s="2394"/>
      <c r="DL21" s="2394"/>
      <c r="DM21" s="2394"/>
      <c r="DN21" s="2394"/>
      <c r="DO21" s="2394"/>
      <c r="DP21" s="2394"/>
      <c r="DQ21" s="2394"/>
      <c r="DR21" s="2394"/>
      <c r="DS21" s="2394"/>
      <c r="DT21" s="2394"/>
      <c r="DU21" s="2394"/>
      <c r="DV21" s="2394"/>
      <c r="DW21" s="2394"/>
      <c r="DX21" s="2394"/>
      <c r="DY21" s="2394"/>
      <c r="DZ21" s="2394"/>
      <c r="EA21" s="2394"/>
      <c r="EB21" s="2394"/>
      <c r="EC21" s="2394"/>
      <c r="ED21" s="2394"/>
      <c r="EE21" s="2394"/>
      <c r="EF21" s="2394"/>
      <c r="EG21" s="2394"/>
      <c r="EH21" s="2394"/>
      <c r="EI21" s="2394"/>
      <c r="EJ21" s="2394"/>
      <c r="EK21" s="2394"/>
      <c r="EL21" s="2394"/>
      <c r="EM21" s="2394"/>
      <c r="EN21" s="2394"/>
      <c r="EO21" s="2394"/>
      <c r="EP21" s="2394"/>
      <c r="EQ21" s="2394"/>
      <c r="ER21" s="2394"/>
      <c r="ES21" s="2394"/>
      <c r="ET21" s="2394"/>
      <c r="EU21" s="2394"/>
      <c r="EV21" s="2394"/>
      <c r="EW21" s="2394"/>
      <c r="EX21" s="2394"/>
      <c r="EY21" s="2394"/>
      <c r="EZ21" s="2394"/>
      <c r="FA21" s="2394"/>
      <c r="FB21" s="2394"/>
      <c r="FC21" s="2394"/>
      <c r="FD21" s="2394"/>
      <c r="FE21" s="2394"/>
      <c r="FF21" s="2394"/>
      <c r="FG21" s="2394"/>
      <c r="FH21" s="2394"/>
      <c r="FI21" s="2394"/>
      <c r="FJ21" s="2394"/>
      <c r="FK21" s="2394"/>
      <c r="FL21" s="2394"/>
      <c r="FM21" s="2394"/>
      <c r="FN21" s="2394"/>
      <c r="FO21" s="2394"/>
      <c r="FP21" s="2394"/>
      <c r="FQ21" s="2394"/>
      <c r="FR21" s="2394"/>
      <c r="FS21" s="2394"/>
      <c r="FT21" s="2394"/>
      <c r="FU21" s="2394"/>
      <c r="FV21" s="2394"/>
      <c r="FW21" s="2394"/>
      <c r="FX21" s="2394"/>
      <c r="FY21" s="2394"/>
      <c r="FZ21" s="2394"/>
      <c r="GA21" s="2394"/>
      <c r="GB21" s="2394"/>
      <c r="GC21" s="2394"/>
      <c r="GD21" s="2394"/>
      <c r="GE21" s="2394"/>
      <c r="GF21" s="2394"/>
      <c r="GG21" s="2394"/>
      <c r="GH21" s="2394"/>
      <c r="GI21" s="2394"/>
      <c r="GJ21" s="2394"/>
      <c r="GK21" s="2394"/>
      <c r="GL21" s="2394"/>
      <c r="GM21" s="2394"/>
      <c r="GN21" s="2394"/>
      <c r="GO21" s="2394"/>
      <c r="GP21" s="2394"/>
      <c r="GQ21" s="2394"/>
      <c r="GR21" s="2394"/>
      <c r="GS21" s="2394"/>
      <c r="GT21" s="2394"/>
      <c r="GU21" s="2394"/>
      <c r="GV21" s="2394"/>
      <c r="GW21" s="2394"/>
      <c r="GX21" s="2394"/>
      <c r="GY21" s="2394"/>
      <c r="GZ21" s="2394"/>
      <c r="HA21" s="2394"/>
      <c r="HB21" s="2394"/>
      <c r="HC21" s="2394"/>
      <c r="HD21" s="2394"/>
      <c r="HE21" s="2394"/>
      <c r="HF21" s="2394"/>
      <c r="HG21" s="2394"/>
      <c r="HH21" s="2394"/>
      <c r="HI21" s="2394"/>
      <c r="HJ21" s="2394"/>
      <c r="HK21" s="2394"/>
      <c r="HL21" s="2394"/>
      <c r="HM21" s="2394"/>
      <c r="HN21" s="2394"/>
      <c r="HO21" s="2394"/>
      <c r="HP21" s="2394"/>
      <c r="HQ21" s="2394"/>
      <c r="HR21" s="2394"/>
      <c r="HS21" s="2394"/>
      <c r="HT21" s="2394"/>
      <c r="HU21" s="2394"/>
      <c r="HV21" s="2394"/>
      <c r="HW21" s="2394"/>
      <c r="HX21" s="2394"/>
      <c r="HY21" s="2394"/>
      <c r="HZ21" s="2394"/>
      <c r="IA21" s="2394"/>
    </row>
    <row r="22" spans="2:321" outlineLevel="1">
      <c r="C22" s="2383"/>
      <c r="D22" s="2384" t="s">
        <v>3914</v>
      </c>
      <c r="E22" s="2385"/>
      <c r="F22" s="2385"/>
      <c r="G22" s="2386"/>
      <c r="H22" s="2387">
        <f>SUM(J22:IA22)</f>
        <v>15903.097116257035</v>
      </c>
      <c r="I22" s="2388"/>
      <c r="J22" s="2389">
        <f>TP!J66</f>
        <v>0</v>
      </c>
      <c r="K22" s="2389">
        <f>TP!K66</f>
        <v>0</v>
      </c>
      <c r="L22" s="2389">
        <f>TP!L66</f>
        <v>0</v>
      </c>
      <c r="M22" s="2389">
        <f>TP!M66</f>
        <v>0</v>
      </c>
      <c r="N22" s="2389">
        <f>TP!N66</f>
        <v>0</v>
      </c>
      <c r="O22" s="2389">
        <f>TP!O66</f>
        <v>0</v>
      </c>
      <c r="P22" s="2389">
        <f>TP!P66</f>
        <v>0</v>
      </c>
      <c r="Q22" s="2389">
        <f>TP!Q66</f>
        <v>0</v>
      </c>
      <c r="R22" s="2389">
        <f>TP!R66</f>
        <v>0</v>
      </c>
      <c r="S22" s="2389">
        <f>TP!S66</f>
        <v>0</v>
      </c>
      <c r="T22" s="2389">
        <f>TP!T66</f>
        <v>0</v>
      </c>
      <c r="U22" s="2389">
        <f>TP!U66</f>
        <v>0</v>
      </c>
      <c r="V22" s="2389">
        <f>TP!V66</f>
        <v>62.060682040786773</v>
      </c>
      <c r="W22" s="2389">
        <f>TP!W66</f>
        <v>154.89874832017321</v>
      </c>
      <c r="X22" s="2389">
        <f>TP!X66</f>
        <v>209.61533785868644</v>
      </c>
      <c r="Y22" s="2389">
        <f>TP!Y66</f>
        <v>416.33791911611405</v>
      </c>
      <c r="Z22" s="2389">
        <f>TP!Z66</f>
        <v>689.11598634427867</v>
      </c>
      <c r="AA22" s="2389">
        <f>TP!AA66</f>
        <v>875.69187638708615</v>
      </c>
      <c r="AB22" s="2389">
        <f>TP!AB66</f>
        <v>1174.8091408356008</v>
      </c>
      <c r="AC22" s="2389">
        <f>TP!AC66</f>
        <v>1505.7023980298925</v>
      </c>
      <c r="AD22" s="2389">
        <f>TP!AD66</f>
        <v>1887.4440506097544</v>
      </c>
      <c r="AE22" s="2389">
        <f>TP!AE66</f>
        <v>2424.335329621113</v>
      </c>
      <c r="AF22" s="2389">
        <f>TP!AF66</f>
        <v>2912.0035489428828</v>
      </c>
      <c r="AG22" s="2389">
        <f>TP!AG66</f>
        <v>3591.0820981506663</v>
      </c>
      <c r="AH22" s="2394"/>
      <c r="AI22" s="2394"/>
      <c r="AJ22" s="2394"/>
      <c r="AK22" s="2394"/>
      <c r="AL22" s="2394"/>
      <c r="AM22" s="2394"/>
      <c r="AN22" s="2394"/>
      <c r="AO22" s="2394"/>
      <c r="AP22" s="2394"/>
      <c r="AQ22" s="2394"/>
      <c r="AR22" s="2394"/>
      <c r="AS22" s="2394"/>
      <c r="AT22" s="2394"/>
      <c r="AU22" s="2394"/>
      <c r="AV22" s="2394"/>
      <c r="AW22" s="2394"/>
      <c r="AX22" s="2394"/>
      <c r="AY22" s="2394"/>
      <c r="AZ22" s="2394"/>
      <c r="BA22" s="2394"/>
      <c r="BB22" s="2394"/>
      <c r="BC22" s="2394"/>
      <c r="BD22" s="2394"/>
      <c r="BE22" s="2394"/>
      <c r="BF22" s="2394"/>
      <c r="BG22" s="2394"/>
      <c r="BH22" s="2394"/>
      <c r="BI22" s="2394"/>
      <c r="BJ22" s="2394"/>
      <c r="BK22" s="2394"/>
      <c r="BL22" s="2394"/>
      <c r="BM22" s="2394"/>
      <c r="BN22" s="2394"/>
      <c r="BO22" s="2394"/>
      <c r="BP22" s="2394"/>
      <c r="BQ22" s="2394"/>
      <c r="BR22" s="2394"/>
      <c r="BS22" s="2394"/>
      <c r="BT22" s="2394"/>
      <c r="BU22" s="2394"/>
      <c r="BV22" s="2394"/>
      <c r="BW22" s="2394"/>
      <c r="BX22" s="2394"/>
      <c r="BY22" s="2394"/>
      <c r="BZ22" s="2394"/>
      <c r="CA22" s="2394"/>
      <c r="CB22" s="2394"/>
      <c r="CC22" s="2394"/>
      <c r="CD22" s="2394"/>
      <c r="CE22" s="2394"/>
      <c r="CF22" s="2394"/>
      <c r="CG22" s="2394"/>
      <c r="CH22" s="2394"/>
      <c r="CI22" s="2394"/>
      <c r="CJ22" s="2394"/>
      <c r="CK22" s="2394"/>
      <c r="CL22" s="2394"/>
      <c r="CM22" s="2394"/>
      <c r="CN22" s="2394"/>
      <c r="CO22" s="2394"/>
      <c r="CP22" s="2394"/>
      <c r="CQ22" s="2394"/>
      <c r="CR22" s="2394"/>
      <c r="CS22" s="2394"/>
      <c r="CT22" s="2394"/>
      <c r="CU22" s="2394"/>
      <c r="CV22" s="2394"/>
      <c r="CW22" s="2394"/>
      <c r="CX22" s="2394"/>
      <c r="CY22" s="2394"/>
      <c r="CZ22" s="2394"/>
      <c r="DA22" s="2394"/>
      <c r="DB22" s="2394"/>
      <c r="DC22" s="2394"/>
      <c r="DD22" s="2394"/>
      <c r="DE22" s="2394"/>
      <c r="DF22" s="2394"/>
      <c r="DG22" s="2394"/>
      <c r="DH22" s="2394"/>
      <c r="DI22" s="2394"/>
      <c r="DJ22" s="2394"/>
      <c r="DK22" s="2394"/>
      <c r="DL22" s="2394"/>
      <c r="DM22" s="2394"/>
      <c r="DN22" s="2394"/>
      <c r="DO22" s="2394"/>
      <c r="DP22" s="2394"/>
      <c r="DQ22" s="2394"/>
      <c r="DR22" s="2394"/>
      <c r="DS22" s="2394"/>
      <c r="DT22" s="2394"/>
      <c r="DU22" s="2394"/>
      <c r="DV22" s="2394"/>
      <c r="DW22" s="2394"/>
      <c r="DX22" s="2394"/>
      <c r="DY22" s="2394"/>
      <c r="DZ22" s="2394"/>
      <c r="EA22" s="2394"/>
      <c r="EB22" s="2394"/>
      <c r="EC22" s="2394"/>
      <c r="ED22" s="2394"/>
      <c r="EE22" s="2394"/>
      <c r="EF22" s="2394"/>
      <c r="EG22" s="2394"/>
      <c r="EH22" s="2394"/>
      <c r="EI22" s="2394"/>
      <c r="EJ22" s="2394"/>
      <c r="EK22" s="2394"/>
      <c r="EL22" s="2394"/>
      <c r="EM22" s="2394"/>
      <c r="EN22" s="2394"/>
      <c r="EO22" s="2394"/>
      <c r="EP22" s="2394"/>
      <c r="EQ22" s="2394"/>
      <c r="ER22" s="2394"/>
      <c r="ES22" s="2394"/>
      <c r="ET22" s="2394"/>
      <c r="EU22" s="2394"/>
      <c r="EV22" s="2394"/>
      <c r="EW22" s="2394"/>
      <c r="EX22" s="2394"/>
      <c r="EY22" s="2394"/>
      <c r="EZ22" s="2394"/>
      <c r="FA22" s="2394"/>
      <c r="FB22" s="2394"/>
      <c r="FC22" s="2394"/>
      <c r="FD22" s="2394"/>
      <c r="FE22" s="2394"/>
      <c r="FF22" s="2394"/>
      <c r="FG22" s="2394"/>
      <c r="FH22" s="2394"/>
      <c r="FI22" s="2394"/>
      <c r="FJ22" s="2394"/>
      <c r="FK22" s="2394"/>
      <c r="FL22" s="2394"/>
      <c r="FM22" s="2394"/>
      <c r="FN22" s="2394"/>
      <c r="FO22" s="2394"/>
      <c r="FP22" s="2394"/>
      <c r="FQ22" s="2394"/>
      <c r="FR22" s="2394"/>
      <c r="FS22" s="2394"/>
      <c r="FT22" s="2394"/>
      <c r="FU22" s="2394"/>
      <c r="FV22" s="2394"/>
      <c r="FW22" s="2394"/>
      <c r="FX22" s="2394"/>
      <c r="FY22" s="2394"/>
      <c r="FZ22" s="2394"/>
      <c r="GA22" s="2394"/>
      <c r="GB22" s="2394"/>
      <c r="GC22" s="2394"/>
      <c r="GD22" s="2394"/>
      <c r="GE22" s="2394"/>
      <c r="GF22" s="2394"/>
      <c r="GG22" s="2394"/>
      <c r="GH22" s="2394"/>
      <c r="GI22" s="2394"/>
      <c r="GJ22" s="2394"/>
      <c r="GK22" s="2394"/>
      <c r="GL22" s="2394"/>
      <c r="GM22" s="2394"/>
      <c r="GN22" s="2394"/>
      <c r="GO22" s="2394"/>
      <c r="GP22" s="2394"/>
      <c r="GQ22" s="2394"/>
      <c r="GR22" s="2394"/>
      <c r="GS22" s="2394"/>
      <c r="GT22" s="2394"/>
      <c r="GU22" s="2394"/>
      <c r="GV22" s="2394"/>
      <c r="GW22" s="2394"/>
      <c r="GX22" s="2394"/>
      <c r="GY22" s="2394"/>
      <c r="GZ22" s="2394"/>
      <c r="HA22" s="2394"/>
      <c r="HB22" s="2394"/>
      <c r="HC22" s="2394"/>
      <c r="HD22" s="2394"/>
      <c r="HE22" s="2394"/>
      <c r="HF22" s="2394"/>
      <c r="HG22" s="2394"/>
      <c r="HH22" s="2394"/>
      <c r="HI22" s="2394"/>
      <c r="HJ22" s="2394"/>
      <c r="HK22" s="2394"/>
      <c r="HL22" s="2394"/>
      <c r="HM22" s="2394"/>
      <c r="HN22" s="2394"/>
      <c r="HO22" s="2394"/>
      <c r="HP22" s="2394"/>
      <c r="HQ22" s="2394"/>
      <c r="HR22" s="2394"/>
      <c r="HS22" s="2394"/>
      <c r="HT22" s="2394"/>
      <c r="HU22" s="2394"/>
      <c r="HV22" s="2394"/>
      <c r="HW22" s="2394"/>
      <c r="HX22" s="2394"/>
      <c r="HY22" s="2394"/>
      <c r="HZ22" s="2394"/>
      <c r="IA22" s="2394"/>
    </row>
    <row r="23" spans="2:321" outlineLevel="1">
      <c r="C23" s="2383"/>
      <c r="D23" s="2384" t="s">
        <v>3915</v>
      </c>
      <c r="E23" s="2385"/>
      <c r="F23" s="2385"/>
      <c r="G23" s="2386"/>
      <c r="H23" s="2387">
        <f>SUM(J23:IA23)</f>
        <v>189215.66948030112</v>
      </c>
      <c r="I23" s="2388"/>
      <c r="J23" s="2395">
        <f t="shared" ref="J23:AO23" si="28">J21-J22</f>
        <v>0</v>
      </c>
      <c r="K23" s="2395">
        <f t="shared" si="28"/>
        <v>0</v>
      </c>
      <c r="L23" s="2387">
        <f t="shared" si="28"/>
        <v>2393.0090441241896</v>
      </c>
      <c r="M23" s="2393">
        <f t="shared" si="28"/>
        <v>5489.1880953490809</v>
      </c>
      <c r="N23" s="2395">
        <f t="shared" si="28"/>
        <v>1060.3877162313115</v>
      </c>
      <c r="O23" s="2387">
        <f t="shared" si="28"/>
        <v>5987.0940573733396</v>
      </c>
      <c r="P23" s="2387">
        <f t="shared" si="28"/>
        <v>3734.9465462205612</v>
      </c>
      <c r="Q23" s="2392">
        <f t="shared" si="28"/>
        <v>2995.4010936183126</v>
      </c>
      <c r="R23" s="2393">
        <f t="shared" si="28"/>
        <v>6847.8663328448738</v>
      </c>
      <c r="S23" s="2387">
        <f t="shared" si="28"/>
        <v>14217.89659421601</v>
      </c>
      <c r="T23" s="2392">
        <f t="shared" si="28"/>
        <v>3761.4510464833324</v>
      </c>
      <c r="U23" s="2394">
        <f t="shared" si="28"/>
        <v>7156.6675813751644</v>
      </c>
      <c r="V23" s="2394">
        <f t="shared" si="28"/>
        <v>3474.6275571739352</v>
      </c>
      <c r="W23" s="2394">
        <f t="shared" si="28"/>
        <v>1929.5427579089023</v>
      </c>
      <c r="X23" s="2394">
        <f t="shared" si="28"/>
        <v>7665.5306148052223</v>
      </c>
      <c r="Y23" s="2394">
        <f t="shared" si="28"/>
        <v>9975.2074990996807</v>
      </c>
      <c r="Z23" s="2394">
        <f t="shared" si="28"/>
        <v>6418.5369676674327</v>
      </c>
      <c r="AA23" s="2394">
        <f t="shared" si="28"/>
        <v>10519.251531175383</v>
      </c>
      <c r="AB23" s="2394">
        <f t="shared" si="28"/>
        <v>11430.648276089796</v>
      </c>
      <c r="AC23" s="2394">
        <f t="shared" si="28"/>
        <v>13036.836747869604</v>
      </c>
      <c r="AD23" s="2394">
        <f t="shared" si="28"/>
        <v>18565.55705458486</v>
      </c>
      <c r="AE23" s="2394">
        <f t="shared" si="28"/>
        <v>16153.501596922484</v>
      </c>
      <c r="AF23" s="2394">
        <f t="shared" si="28"/>
        <v>22957.655468496494</v>
      </c>
      <c r="AG23" s="2394">
        <f t="shared" si="28"/>
        <v>13444.86530067115</v>
      </c>
      <c r="AH23" s="2394">
        <f t="shared" si="28"/>
        <v>0</v>
      </c>
      <c r="AI23" s="2394">
        <f t="shared" si="28"/>
        <v>0</v>
      </c>
      <c r="AJ23" s="2394">
        <f t="shared" si="28"/>
        <v>0</v>
      </c>
      <c r="AK23" s="2394">
        <f t="shared" si="28"/>
        <v>0</v>
      </c>
      <c r="AL23" s="2394">
        <f t="shared" si="28"/>
        <v>0</v>
      </c>
      <c r="AM23" s="2394">
        <f t="shared" si="28"/>
        <v>0</v>
      </c>
      <c r="AN23" s="2394">
        <f t="shared" si="28"/>
        <v>0</v>
      </c>
      <c r="AO23" s="2394">
        <f t="shared" si="28"/>
        <v>0</v>
      </c>
      <c r="AP23" s="2394">
        <f t="shared" ref="AP23:BN23" si="29">AP21-AP22</f>
        <v>0</v>
      </c>
      <c r="AQ23" s="2394">
        <f t="shared" si="29"/>
        <v>0</v>
      </c>
      <c r="AR23" s="2394">
        <f t="shared" si="29"/>
        <v>0</v>
      </c>
      <c r="AS23" s="2394">
        <f t="shared" si="29"/>
        <v>0</v>
      </c>
      <c r="AT23" s="2394">
        <f t="shared" si="29"/>
        <v>0</v>
      </c>
      <c r="AU23" s="2394">
        <f t="shared" si="29"/>
        <v>0</v>
      </c>
      <c r="AV23" s="2394">
        <f t="shared" si="29"/>
        <v>0</v>
      </c>
      <c r="AW23" s="2394">
        <f t="shared" si="29"/>
        <v>0</v>
      </c>
      <c r="AX23" s="2394">
        <f t="shared" si="29"/>
        <v>0</v>
      </c>
      <c r="AY23" s="2394">
        <f t="shared" si="29"/>
        <v>0</v>
      </c>
      <c r="AZ23" s="2394">
        <f t="shared" si="29"/>
        <v>0</v>
      </c>
      <c r="BA23" s="2394">
        <f t="shared" si="29"/>
        <v>0</v>
      </c>
      <c r="BB23" s="2394">
        <f t="shared" si="29"/>
        <v>0</v>
      </c>
      <c r="BC23" s="2394">
        <f t="shared" si="29"/>
        <v>0</v>
      </c>
      <c r="BD23" s="2394">
        <f t="shared" si="29"/>
        <v>0</v>
      </c>
      <c r="BE23" s="2394">
        <f t="shared" si="29"/>
        <v>0</v>
      </c>
      <c r="BF23" s="2394">
        <f t="shared" si="29"/>
        <v>0</v>
      </c>
      <c r="BG23" s="2394">
        <f t="shared" si="29"/>
        <v>0</v>
      </c>
      <c r="BH23" s="2394">
        <f t="shared" si="29"/>
        <v>0</v>
      </c>
      <c r="BI23" s="2394">
        <f t="shared" si="29"/>
        <v>0</v>
      </c>
      <c r="BJ23" s="2394">
        <f t="shared" si="29"/>
        <v>0</v>
      </c>
      <c r="BK23" s="2394">
        <f t="shared" si="29"/>
        <v>0</v>
      </c>
      <c r="BL23" s="2394">
        <f t="shared" si="29"/>
        <v>0</v>
      </c>
      <c r="BM23" s="2394">
        <f t="shared" si="29"/>
        <v>0</v>
      </c>
      <c r="BN23" s="2394">
        <f t="shared" si="29"/>
        <v>0</v>
      </c>
      <c r="BO23" s="2394"/>
      <c r="BP23" s="2394"/>
      <c r="BQ23" s="2394"/>
      <c r="BR23" s="2394"/>
      <c r="BS23" s="2394"/>
      <c r="BT23" s="2394"/>
      <c r="BU23" s="2394"/>
      <c r="BV23" s="2394"/>
      <c r="BW23" s="2394"/>
      <c r="BX23" s="2394"/>
      <c r="BY23" s="2394"/>
      <c r="BZ23" s="2394"/>
      <c r="CA23" s="2394"/>
      <c r="CB23" s="2394"/>
      <c r="CC23" s="2394"/>
      <c r="CD23" s="2394"/>
      <c r="CE23" s="2394"/>
      <c r="CF23" s="2394"/>
      <c r="CG23" s="2394"/>
      <c r="CH23" s="2394"/>
      <c r="CI23" s="2394"/>
      <c r="CJ23" s="2394"/>
      <c r="CK23" s="2394"/>
      <c r="CL23" s="2394"/>
      <c r="CM23" s="2394"/>
      <c r="CN23" s="2394"/>
      <c r="CO23" s="2394"/>
      <c r="CP23" s="2394"/>
      <c r="CQ23" s="2394"/>
      <c r="CR23" s="2394"/>
      <c r="CS23" s="2394"/>
      <c r="CT23" s="2394"/>
      <c r="CU23" s="2394"/>
      <c r="CV23" s="2394"/>
      <c r="CW23" s="2394"/>
      <c r="CX23" s="2394"/>
      <c r="CY23" s="2394"/>
      <c r="CZ23" s="2394"/>
      <c r="DA23" s="2394"/>
      <c r="DB23" s="2394"/>
      <c r="DC23" s="2394"/>
      <c r="DD23" s="2394"/>
      <c r="DE23" s="2394"/>
      <c r="DF23" s="2394"/>
      <c r="DG23" s="2394"/>
      <c r="DH23" s="2394"/>
      <c r="DI23" s="2394"/>
      <c r="DJ23" s="2394"/>
      <c r="DK23" s="2394"/>
      <c r="DL23" s="2394"/>
      <c r="DM23" s="2394"/>
      <c r="DN23" s="2394"/>
      <c r="DO23" s="2394"/>
      <c r="DP23" s="2394"/>
      <c r="DQ23" s="2394"/>
      <c r="DR23" s="2394"/>
      <c r="DS23" s="2394"/>
      <c r="DT23" s="2394"/>
      <c r="DU23" s="2394"/>
      <c r="DV23" s="2394"/>
      <c r="DW23" s="2394"/>
      <c r="DX23" s="2394"/>
      <c r="DY23" s="2394"/>
      <c r="DZ23" s="2394"/>
      <c r="EA23" s="2394"/>
      <c r="EB23" s="2394"/>
      <c r="EC23" s="2394"/>
      <c r="ED23" s="2394"/>
      <c r="EE23" s="2394"/>
      <c r="EF23" s="2394"/>
      <c r="EG23" s="2394"/>
      <c r="EH23" s="2394"/>
      <c r="EI23" s="2394"/>
      <c r="EJ23" s="2394"/>
      <c r="EK23" s="2394"/>
      <c r="EL23" s="2394"/>
      <c r="EM23" s="2394"/>
      <c r="EN23" s="2394"/>
      <c r="EO23" s="2394"/>
      <c r="EP23" s="2394"/>
      <c r="EQ23" s="2394"/>
      <c r="ER23" s="2394"/>
      <c r="ES23" s="2394"/>
      <c r="ET23" s="2394"/>
      <c r="EU23" s="2394"/>
      <c r="EV23" s="2394"/>
      <c r="EW23" s="2394"/>
      <c r="EX23" s="2394"/>
      <c r="EY23" s="2394"/>
      <c r="EZ23" s="2394"/>
      <c r="FA23" s="2394"/>
      <c r="FB23" s="2394"/>
      <c r="FC23" s="2394"/>
      <c r="FD23" s="2394"/>
      <c r="FE23" s="2394"/>
      <c r="FF23" s="2394"/>
      <c r="FG23" s="2394"/>
      <c r="FH23" s="2394"/>
      <c r="FI23" s="2394"/>
      <c r="FJ23" s="2394"/>
      <c r="FK23" s="2394"/>
      <c r="FL23" s="2394"/>
      <c r="FM23" s="2394"/>
      <c r="FN23" s="2394"/>
      <c r="FO23" s="2394"/>
      <c r="FP23" s="2394"/>
      <c r="FQ23" s="2394"/>
      <c r="FR23" s="2394"/>
      <c r="FS23" s="2394"/>
      <c r="FT23" s="2394"/>
      <c r="FU23" s="2394"/>
      <c r="FV23" s="2394"/>
      <c r="FW23" s="2394"/>
      <c r="FX23" s="2394"/>
      <c r="FY23" s="2394"/>
      <c r="FZ23" s="2394"/>
      <c r="GA23" s="2394"/>
      <c r="GB23" s="2394"/>
      <c r="GC23" s="2394"/>
      <c r="GD23" s="2394"/>
      <c r="GE23" s="2394"/>
      <c r="GF23" s="2394"/>
      <c r="GG23" s="2394"/>
      <c r="GH23" s="2394"/>
      <c r="GI23" s="2394"/>
      <c r="GJ23" s="2394"/>
      <c r="GK23" s="2394"/>
      <c r="GL23" s="2394"/>
      <c r="GM23" s="2394"/>
      <c r="GN23" s="2394"/>
      <c r="GO23" s="2394"/>
      <c r="GP23" s="2394"/>
      <c r="GQ23" s="2394"/>
      <c r="GR23" s="2394"/>
      <c r="GS23" s="2394"/>
      <c r="GT23" s="2394"/>
      <c r="GU23" s="2394"/>
      <c r="GV23" s="2394"/>
      <c r="GW23" s="2394"/>
      <c r="GX23" s="2394"/>
      <c r="GY23" s="2394"/>
      <c r="GZ23" s="2394"/>
      <c r="HA23" s="2394"/>
      <c r="HB23" s="2394"/>
      <c r="HC23" s="2394"/>
      <c r="HD23" s="2394"/>
      <c r="HE23" s="2394"/>
      <c r="HF23" s="2394"/>
      <c r="HG23" s="2394"/>
      <c r="HH23" s="2394"/>
      <c r="HI23" s="2394"/>
      <c r="HJ23" s="2394"/>
      <c r="HK23" s="2394"/>
      <c r="HL23" s="2394"/>
      <c r="HM23" s="2394"/>
      <c r="HN23" s="2394"/>
      <c r="HO23" s="2394"/>
      <c r="HP23" s="2394"/>
      <c r="HQ23" s="2394"/>
      <c r="HR23" s="2394"/>
      <c r="HS23" s="2394"/>
      <c r="HT23" s="2394"/>
      <c r="HU23" s="2394"/>
      <c r="HV23" s="2394"/>
      <c r="HW23" s="2394"/>
      <c r="HX23" s="2394"/>
      <c r="HY23" s="2394"/>
      <c r="HZ23" s="2394"/>
      <c r="IA23" s="2394"/>
    </row>
    <row r="24" spans="2:321">
      <c r="C24" s="2372" t="s">
        <v>185</v>
      </c>
      <c r="D24" s="2373"/>
      <c r="E24" s="2396"/>
      <c r="F24" s="2396"/>
      <c r="G24" s="2397"/>
      <c r="H24" s="2398"/>
      <c r="I24" s="2388"/>
      <c r="J24" s="2399"/>
      <c r="K24" s="2399"/>
      <c r="L24" s="2398"/>
      <c r="M24" s="2400"/>
      <c r="N24" s="2399"/>
      <c r="O24" s="2398"/>
      <c r="P24" s="2398"/>
      <c r="Q24" s="2401"/>
      <c r="R24" s="2400"/>
      <c r="S24" s="2398"/>
      <c r="T24" s="2401"/>
      <c r="U24" s="2402"/>
      <c r="V24" s="2402"/>
      <c r="W24" s="2402"/>
      <c r="X24" s="2402"/>
      <c r="Y24" s="2402"/>
      <c r="Z24" s="2402"/>
      <c r="AA24" s="2402"/>
      <c r="AB24" s="2402"/>
      <c r="AC24" s="2402"/>
      <c r="AD24" s="2402"/>
      <c r="AE24" s="2402"/>
      <c r="AF24" s="2402"/>
      <c r="AG24" s="2402"/>
      <c r="AH24" s="2402"/>
      <c r="AI24" s="2402"/>
      <c r="AJ24" s="2402"/>
      <c r="AK24" s="2402"/>
      <c r="AL24" s="2402"/>
      <c r="AM24" s="2402"/>
      <c r="AN24" s="2402"/>
      <c r="AO24" s="2402"/>
      <c r="AP24" s="2402"/>
      <c r="AQ24" s="2402"/>
      <c r="AR24" s="2402"/>
      <c r="AS24" s="2402"/>
      <c r="AT24" s="2402"/>
      <c r="AU24" s="2402"/>
      <c r="AV24" s="2402"/>
      <c r="AW24" s="2402"/>
      <c r="AX24" s="2402"/>
      <c r="AY24" s="2402"/>
      <c r="AZ24" s="2402"/>
      <c r="BA24" s="2402"/>
      <c r="BB24" s="2402"/>
      <c r="BC24" s="2402"/>
      <c r="BD24" s="2402"/>
      <c r="BE24" s="2402"/>
      <c r="BF24" s="2402"/>
      <c r="BG24" s="2402"/>
      <c r="BH24" s="2402"/>
      <c r="BI24" s="2402"/>
      <c r="BJ24" s="2402"/>
      <c r="BK24" s="2402"/>
      <c r="BL24" s="2402"/>
      <c r="BM24" s="2402"/>
      <c r="BN24" s="2402"/>
      <c r="BO24" s="2402"/>
      <c r="BP24" s="2402"/>
      <c r="BQ24" s="2402"/>
      <c r="BR24" s="2402"/>
      <c r="BS24" s="2402"/>
      <c r="BT24" s="2402"/>
      <c r="BU24" s="2402"/>
      <c r="BV24" s="2402"/>
      <c r="BW24" s="2402"/>
      <c r="BX24" s="2402"/>
      <c r="BY24" s="2402"/>
      <c r="BZ24" s="2402"/>
      <c r="CA24" s="2402"/>
      <c r="CB24" s="2402"/>
      <c r="CC24" s="2402"/>
      <c r="CD24" s="2402"/>
      <c r="CE24" s="2402"/>
      <c r="CF24" s="2402"/>
      <c r="CG24" s="2402"/>
      <c r="CH24" s="2402"/>
      <c r="CI24" s="2402"/>
      <c r="CJ24" s="2402"/>
      <c r="CK24" s="2402"/>
      <c r="CL24" s="2402"/>
      <c r="CM24" s="2402"/>
      <c r="CN24" s="2402"/>
      <c r="CO24" s="2402"/>
      <c r="CP24" s="2402"/>
      <c r="CQ24" s="2402"/>
      <c r="CR24" s="2402"/>
      <c r="CS24" s="2402"/>
      <c r="CT24" s="2402"/>
      <c r="CU24" s="2402"/>
      <c r="CV24" s="2402"/>
      <c r="CW24" s="2402"/>
      <c r="CX24" s="2402"/>
      <c r="CY24" s="2402"/>
      <c r="CZ24" s="2402"/>
      <c r="DA24" s="2402"/>
      <c r="DB24" s="2402"/>
      <c r="DC24" s="2402"/>
      <c r="DD24" s="2402"/>
      <c r="DE24" s="2402"/>
      <c r="DF24" s="2402"/>
      <c r="DG24" s="2402"/>
      <c r="DH24" s="2402"/>
      <c r="DI24" s="2402"/>
      <c r="DJ24" s="2402"/>
      <c r="DK24" s="2402"/>
      <c r="DL24" s="2402"/>
      <c r="DM24" s="2402"/>
      <c r="DN24" s="2402"/>
      <c r="DO24" s="2402"/>
      <c r="DP24" s="2402"/>
      <c r="DQ24" s="2402"/>
      <c r="DR24" s="2402"/>
      <c r="DS24" s="2402"/>
      <c r="DT24" s="2402"/>
      <c r="DU24" s="2402"/>
      <c r="DV24" s="2402"/>
      <c r="DW24" s="5269"/>
      <c r="DX24" s="5269"/>
      <c r="DY24" s="5269"/>
      <c r="DZ24" s="5269"/>
      <c r="EA24" s="5269"/>
      <c r="EB24" s="5269"/>
      <c r="EC24" s="5269"/>
      <c r="ED24" s="5269"/>
      <c r="EE24" s="5269"/>
      <c r="EF24" s="5269"/>
      <c r="EG24" s="5269"/>
      <c r="EH24" s="5269"/>
      <c r="EI24" s="5269"/>
      <c r="EJ24" s="5269"/>
      <c r="EK24" s="5269"/>
      <c r="EL24" s="5269"/>
      <c r="EM24" s="5269"/>
      <c r="EN24" s="5269"/>
      <c r="EO24" s="5269"/>
      <c r="EP24" s="5269"/>
      <c r="EQ24" s="5269"/>
      <c r="ER24" s="5269"/>
      <c r="ES24" s="5269"/>
      <c r="ET24" s="5269"/>
      <c r="EU24" s="5269"/>
      <c r="EV24" s="5269"/>
      <c r="EW24" s="5269"/>
      <c r="EX24" s="5269"/>
      <c r="EY24" s="5269"/>
      <c r="EZ24" s="5269"/>
      <c r="FA24" s="5269"/>
      <c r="FB24" s="5269"/>
      <c r="FC24" s="5269"/>
      <c r="FD24" s="5269"/>
      <c r="FE24" s="5269"/>
      <c r="FF24" s="5269"/>
      <c r="FG24" s="5269"/>
      <c r="FH24" s="5269"/>
      <c r="FI24" s="5269"/>
      <c r="FJ24" s="5269"/>
      <c r="FK24" s="5269"/>
      <c r="FL24" s="5269"/>
      <c r="FM24" s="5269"/>
      <c r="FN24" s="5269"/>
      <c r="FO24" s="5269"/>
      <c r="FP24" s="5269"/>
      <c r="FQ24" s="5269"/>
      <c r="FR24" s="5269"/>
      <c r="FS24" s="5269"/>
      <c r="FT24" s="5269"/>
      <c r="FU24" s="5269"/>
      <c r="FV24" s="5269"/>
      <c r="FW24" s="5269"/>
      <c r="FX24" s="5269"/>
      <c r="FY24" s="5269"/>
      <c r="FZ24" s="5269"/>
      <c r="GA24" s="5269"/>
      <c r="GB24" s="5269"/>
      <c r="GC24" s="5269"/>
      <c r="GD24" s="5269"/>
      <c r="GE24" s="5269"/>
      <c r="GF24" s="5269"/>
      <c r="GG24" s="5269"/>
      <c r="GH24" s="5269"/>
      <c r="GI24" s="5269"/>
      <c r="GJ24" s="5269"/>
      <c r="GK24" s="5269"/>
      <c r="GL24" s="5269"/>
      <c r="GM24" s="5269"/>
      <c r="GN24" s="5269"/>
      <c r="GO24" s="5269"/>
      <c r="GP24" s="5269"/>
      <c r="GQ24" s="5269"/>
      <c r="GR24" s="5269"/>
      <c r="GS24" s="5269"/>
      <c r="GT24" s="5269"/>
      <c r="GU24" s="5269"/>
      <c r="GV24" s="5269"/>
      <c r="GW24" s="5269"/>
      <c r="GX24" s="5269"/>
      <c r="GY24" s="5269"/>
      <c r="GZ24" s="5269"/>
      <c r="HA24" s="5269"/>
      <c r="HB24" s="5269"/>
      <c r="HC24" s="5269"/>
      <c r="HD24" s="5269"/>
      <c r="HE24" s="5269"/>
      <c r="HF24" s="5269"/>
      <c r="HG24" s="5269"/>
      <c r="HH24" s="5269"/>
      <c r="HI24" s="5269"/>
      <c r="HJ24" s="5269"/>
      <c r="HK24" s="5269"/>
      <c r="HL24" s="5269"/>
      <c r="HM24" s="5269"/>
      <c r="HN24" s="5269"/>
      <c r="HO24" s="5269"/>
      <c r="HP24" s="5269"/>
      <c r="HQ24" s="5269"/>
      <c r="HR24" s="5269"/>
      <c r="HS24" s="5269"/>
      <c r="HT24" s="5269"/>
      <c r="HU24" s="5269"/>
      <c r="HV24" s="5269"/>
      <c r="HW24" s="5269"/>
      <c r="HX24" s="5269"/>
      <c r="HY24" s="5269"/>
      <c r="HZ24" s="5269"/>
      <c r="IA24" s="5269"/>
    </row>
    <row r="25" spans="2:321">
      <c r="C25" s="2383"/>
      <c r="D25" s="2384" t="s">
        <v>3916</v>
      </c>
      <c r="E25" s="2385"/>
      <c r="F25" s="2385"/>
      <c r="G25" s="5344"/>
      <c r="H25" s="2403">
        <f>MAX(J25:IA25)</f>
        <v>189215.66948030112</v>
      </c>
      <c r="I25" s="2388"/>
      <c r="J25" s="2395">
        <f>SUM($I23:J23)</f>
        <v>0</v>
      </c>
      <c r="K25" s="2395">
        <f>SUM($I23:K23)</f>
        <v>0</v>
      </c>
      <c r="L25" s="2387">
        <f>SUM($I23:L23)</f>
        <v>2393.0090441241896</v>
      </c>
      <c r="M25" s="2393">
        <f>SUM($I23:M23)</f>
        <v>7882.19713947327</v>
      </c>
      <c r="N25" s="2395">
        <f>SUM($I23:N23)</f>
        <v>8942.5848557045811</v>
      </c>
      <c r="O25" s="2387">
        <f>SUM($I23:O23)</f>
        <v>14929.678913077922</v>
      </c>
      <c r="P25" s="2387">
        <f>SUM($I23:P23)</f>
        <v>18664.625459298484</v>
      </c>
      <c r="Q25" s="2387">
        <f>SUM($I23:Q23)</f>
        <v>21660.026552916795</v>
      </c>
      <c r="R25" s="2387">
        <f>SUM($I23:R23)</f>
        <v>28507.89288576167</v>
      </c>
      <c r="S25" s="2387">
        <f>SUM($I23:S23)</f>
        <v>42725.789479977684</v>
      </c>
      <c r="T25" s="2387">
        <f>SUM($I23:T23)</f>
        <v>46487.240526461013</v>
      </c>
      <c r="U25" s="2387">
        <f>SUM($I23:U23)</f>
        <v>53643.908107836178</v>
      </c>
      <c r="V25" s="2387">
        <f>SUM($I23:V23)</f>
        <v>57118.535665010117</v>
      </c>
      <c r="W25" s="2387">
        <f>SUM($I23:W23)</f>
        <v>59048.078422919018</v>
      </c>
      <c r="X25" s="2387">
        <f>SUM($I23:X23)</f>
        <v>66713.609037724236</v>
      </c>
      <c r="Y25" s="2387">
        <f>SUM($I23:Y23)</f>
        <v>76688.816536823913</v>
      </c>
      <c r="Z25" s="2387">
        <f>SUM($I23:Z23)</f>
        <v>83107.353504491344</v>
      </c>
      <c r="AA25" s="2387">
        <f>SUM($I23:AA23)</f>
        <v>93626.605035666726</v>
      </c>
      <c r="AB25" s="2387">
        <f>SUM($I23:AB23)</f>
        <v>105057.25331175652</v>
      </c>
      <c r="AC25" s="2387">
        <f>SUM($I23:AC23)</f>
        <v>118094.09005962612</v>
      </c>
      <c r="AD25" s="2387">
        <f>SUM($I23:AD23)</f>
        <v>136659.64711421099</v>
      </c>
      <c r="AE25" s="2387">
        <f>SUM($I23:AE23)</f>
        <v>152813.14871113349</v>
      </c>
      <c r="AF25" s="2387">
        <f>SUM($I23:AF23)</f>
        <v>175770.80417962998</v>
      </c>
      <c r="AG25" s="2387">
        <f>SUM($I23:AG23)</f>
        <v>189215.66948030112</v>
      </c>
      <c r="AH25" s="2394"/>
      <c r="AI25" s="2394"/>
      <c r="AJ25" s="2394"/>
      <c r="AK25" s="2394"/>
      <c r="AL25" s="2394"/>
      <c r="AM25" s="2394"/>
      <c r="AN25" s="2394"/>
      <c r="AO25" s="2394"/>
      <c r="AP25" s="2394"/>
      <c r="AQ25" s="2394"/>
      <c r="AR25" s="2394"/>
      <c r="AS25" s="2394"/>
      <c r="AT25" s="2394"/>
      <c r="AU25" s="2394"/>
      <c r="AV25" s="2394"/>
      <c r="AW25" s="2394"/>
      <c r="AX25" s="2394"/>
      <c r="AY25" s="2394"/>
      <c r="AZ25" s="2394"/>
      <c r="BA25" s="2394"/>
      <c r="BB25" s="2394"/>
      <c r="BC25" s="2394"/>
      <c r="BD25" s="2394"/>
      <c r="BE25" s="2394"/>
      <c r="BF25" s="2394"/>
      <c r="BG25" s="2394"/>
      <c r="BH25" s="2394"/>
      <c r="BI25" s="2394"/>
      <c r="BJ25" s="2394"/>
      <c r="BK25" s="2394"/>
      <c r="BL25" s="2394"/>
      <c r="BM25" s="2394"/>
      <c r="BN25" s="2394"/>
      <c r="BO25" s="2394"/>
      <c r="BP25" s="2394"/>
      <c r="BQ25" s="2394"/>
      <c r="BR25" s="2394"/>
      <c r="BS25" s="2394"/>
      <c r="BT25" s="2394"/>
      <c r="BU25" s="2394"/>
      <c r="BV25" s="2394"/>
      <c r="BW25" s="2394"/>
      <c r="BX25" s="2394"/>
      <c r="BY25" s="2394"/>
      <c r="BZ25" s="2394"/>
      <c r="CA25" s="2394"/>
      <c r="CB25" s="2394"/>
      <c r="CC25" s="2394"/>
      <c r="CD25" s="2394"/>
      <c r="CE25" s="2394"/>
      <c r="CF25" s="2394"/>
      <c r="CG25" s="2394"/>
      <c r="CH25" s="2394"/>
      <c r="CI25" s="2394"/>
      <c r="CJ25" s="2394"/>
      <c r="CK25" s="2394"/>
      <c r="CL25" s="2394"/>
      <c r="CM25" s="2394"/>
      <c r="CN25" s="2394"/>
      <c r="CO25" s="2394"/>
      <c r="CP25" s="2394"/>
      <c r="CQ25" s="2394"/>
      <c r="CR25" s="2394"/>
      <c r="CS25" s="2394"/>
      <c r="CT25" s="2394"/>
      <c r="CU25" s="2394"/>
      <c r="CV25" s="2394"/>
      <c r="CW25" s="2394"/>
      <c r="CX25" s="2394"/>
      <c r="CY25" s="2394"/>
      <c r="CZ25" s="2394"/>
      <c r="DA25" s="2394"/>
      <c r="DB25" s="2394"/>
      <c r="DC25" s="2394"/>
      <c r="DD25" s="2394"/>
      <c r="DE25" s="2394"/>
      <c r="DF25" s="2394"/>
      <c r="DG25" s="2394"/>
      <c r="DH25" s="2394"/>
      <c r="DI25" s="2394"/>
      <c r="DJ25" s="2394"/>
      <c r="DK25" s="2394"/>
      <c r="DL25" s="2394"/>
      <c r="DM25" s="2394"/>
      <c r="DN25" s="2394"/>
      <c r="DO25" s="2394"/>
      <c r="DP25" s="2394"/>
      <c r="DQ25" s="2394"/>
      <c r="DR25" s="2394"/>
      <c r="DS25" s="2394"/>
      <c r="DT25" s="2394"/>
      <c r="DU25" s="2394"/>
      <c r="DV25" s="2394"/>
      <c r="DW25" s="2394"/>
      <c r="DX25" s="2394"/>
      <c r="DY25" s="2394"/>
      <c r="DZ25" s="2394"/>
      <c r="EA25" s="2394"/>
      <c r="EB25" s="2394"/>
      <c r="EC25" s="2394"/>
      <c r="ED25" s="2394"/>
      <c r="EE25" s="2394"/>
      <c r="EF25" s="2394"/>
      <c r="EG25" s="2394"/>
      <c r="EH25" s="2394"/>
      <c r="EI25" s="2394"/>
      <c r="EJ25" s="2394"/>
      <c r="EK25" s="2394"/>
      <c r="EL25" s="2394"/>
      <c r="EM25" s="2394"/>
      <c r="EN25" s="2394"/>
      <c r="EO25" s="2394"/>
      <c r="EP25" s="2394"/>
      <c r="EQ25" s="2394"/>
      <c r="ER25" s="2394"/>
      <c r="ES25" s="2394"/>
      <c r="ET25" s="2394"/>
      <c r="EU25" s="2394"/>
      <c r="EV25" s="2394"/>
      <c r="EW25" s="2394"/>
      <c r="EX25" s="2394"/>
      <c r="EY25" s="2394"/>
      <c r="EZ25" s="2394"/>
      <c r="FA25" s="2394"/>
      <c r="FB25" s="2394"/>
      <c r="FC25" s="2394"/>
      <c r="FD25" s="2394"/>
      <c r="FE25" s="2394"/>
      <c r="FF25" s="2394"/>
      <c r="FG25" s="2394"/>
      <c r="FH25" s="2394"/>
      <c r="FI25" s="2394"/>
      <c r="FJ25" s="2394"/>
      <c r="FK25" s="2394"/>
      <c r="FL25" s="2394"/>
      <c r="FM25" s="2394"/>
      <c r="FN25" s="2394"/>
      <c r="FO25" s="2394"/>
      <c r="FP25" s="2394"/>
      <c r="FQ25" s="2394"/>
      <c r="FR25" s="2394"/>
      <c r="FS25" s="2394"/>
      <c r="FT25" s="2394"/>
      <c r="FU25" s="2394"/>
      <c r="FV25" s="2394"/>
      <c r="FW25" s="2394"/>
      <c r="FX25" s="2394"/>
      <c r="FY25" s="2394"/>
      <c r="FZ25" s="2394"/>
      <c r="GA25" s="2394"/>
      <c r="GB25" s="2394"/>
      <c r="GC25" s="2394"/>
      <c r="GD25" s="2394"/>
      <c r="GE25" s="2394"/>
      <c r="GF25" s="2394"/>
      <c r="GG25" s="2394"/>
      <c r="GH25" s="2394"/>
      <c r="GI25" s="2394"/>
      <c r="GJ25" s="2394"/>
      <c r="GK25" s="2394"/>
      <c r="GL25" s="2394"/>
      <c r="GM25" s="2394"/>
      <c r="GN25" s="2394"/>
      <c r="GO25" s="2394"/>
      <c r="GP25" s="2394"/>
      <c r="GQ25" s="2394"/>
      <c r="GR25" s="2394"/>
      <c r="GS25" s="2394"/>
      <c r="GT25" s="2394"/>
      <c r="GU25" s="2394"/>
      <c r="GV25" s="2394"/>
      <c r="GW25" s="2394"/>
      <c r="GX25" s="2394"/>
      <c r="GY25" s="2394"/>
      <c r="GZ25" s="2394"/>
      <c r="HA25" s="2394"/>
      <c r="HB25" s="2394"/>
      <c r="HC25" s="2394"/>
      <c r="HD25" s="2394"/>
      <c r="HE25" s="2394"/>
      <c r="HF25" s="2394"/>
      <c r="HG25" s="2394"/>
      <c r="HH25" s="2394"/>
      <c r="HI25" s="2394"/>
      <c r="HJ25" s="2394"/>
      <c r="HK25" s="2394"/>
      <c r="HL25" s="2394"/>
      <c r="HM25" s="2394"/>
      <c r="HN25" s="2394"/>
      <c r="HO25" s="2394"/>
      <c r="HP25" s="2394"/>
      <c r="HQ25" s="2394"/>
      <c r="HR25" s="2394"/>
      <c r="HS25" s="2394"/>
      <c r="HT25" s="2394"/>
      <c r="HU25" s="2394"/>
      <c r="HV25" s="2394"/>
      <c r="HW25" s="2394"/>
      <c r="HX25" s="2394"/>
      <c r="HY25" s="2394"/>
      <c r="HZ25" s="2394"/>
      <c r="IA25" s="2394"/>
    </row>
    <row r="26" spans="2:321">
      <c r="C26" s="2383"/>
      <c r="D26" s="2384" t="s">
        <v>3917</v>
      </c>
      <c r="E26" s="2385"/>
      <c r="F26" s="5286"/>
      <c r="G26" s="2404">
        <f>1-(3%)^(1/Sensitivity!E12/4)</f>
        <v>1.7379984468996801E-2</v>
      </c>
      <c r="H26" s="2387">
        <f>SUM(J26:IA26)</f>
        <v>183539.17118274805</v>
      </c>
      <c r="I26" s="2388"/>
      <c r="J26" s="2395"/>
      <c r="K26" s="2395"/>
      <c r="L26" s="2387"/>
      <c r="M26" s="2393"/>
      <c r="N26" s="2395"/>
      <c r="O26" s="2387"/>
      <c r="P26" s="2387">
        <f>$H$25*$G$26*P3</f>
        <v>0</v>
      </c>
      <c r="Q26" s="2392">
        <f t="shared" ref="Q26:CB26" si="30">P27*$G$26*Q3</f>
        <v>0</v>
      </c>
      <c r="R26" s="2393">
        <f t="shared" si="30"/>
        <v>0</v>
      </c>
      <c r="S26" s="2387">
        <f t="shared" si="30"/>
        <v>0</v>
      </c>
      <c r="T26" s="2392">
        <f t="shared" si="30"/>
        <v>0</v>
      </c>
      <c r="U26" s="2394">
        <f t="shared" si="30"/>
        <v>0</v>
      </c>
      <c r="V26" s="2394">
        <f t="shared" si="30"/>
        <v>0</v>
      </c>
      <c r="W26" s="2394">
        <f t="shared" si="30"/>
        <v>0</v>
      </c>
      <c r="X26" s="2394">
        <f t="shared" si="30"/>
        <v>0</v>
      </c>
      <c r="Y26" s="2394">
        <f t="shared" si="30"/>
        <v>0</v>
      </c>
      <c r="Z26" s="2394">
        <f t="shared" si="30"/>
        <v>0</v>
      </c>
      <c r="AA26" s="2394">
        <f t="shared" si="30"/>
        <v>0</v>
      </c>
      <c r="AB26" s="2394">
        <f t="shared" si="30"/>
        <v>0</v>
      </c>
      <c r="AC26" s="2394">
        <f t="shared" si="30"/>
        <v>0</v>
      </c>
      <c r="AD26" s="2394">
        <f t="shared" si="30"/>
        <v>0</v>
      </c>
      <c r="AE26" s="2394">
        <f t="shared" si="30"/>
        <v>0</v>
      </c>
      <c r="AF26" s="2394">
        <f t="shared" si="30"/>
        <v>0</v>
      </c>
      <c r="AG26" s="2394">
        <f t="shared" si="30"/>
        <v>0</v>
      </c>
      <c r="AH26" s="2394">
        <f t="shared" si="30"/>
        <v>0</v>
      </c>
      <c r="AI26" s="2394">
        <f t="shared" si="30"/>
        <v>54.058609263427343</v>
      </c>
      <c r="AJ26" s="2394">
        <f t="shared" si="30"/>
        <v>3287.6258590690518</v>
      </c>
      <c r="AK26" s="2394">
        <f t="shared" si="30"/>
        <v>3230.4869726985594</v>
      </c>
      <c r="AL26" s="2394">
        <f t="shared" si="30"/>
        <v>3174.3411592857615</v>
      </c>
      <c r="AM26" s="2394">
        <f t="shared" si="30"/>
        <v>3119.1711592380775</v>
      </c>
      <c r="AN26" s="2394">
        <f t="shared" si="30"/>
        <v>3064.9600129343776</v>
      </c>
      <c r="AO26" s="2394">
        <f t="shared" si="30"/>
        <v>3011.6910555114819</v>
      </c>
      <c r="AP26" s="2394">
        <f t="shared" si="30"/>
        <v>2959.3479117412753</v>
      </c>
      <c r="AQ26" s="2394">
        <f t="shared" si="30"/>
        <v>2907.9144909968541</v>
      </c>
      <c r="AR26" s="2394">
        <f t="shared" si="30"/>
        <v>2857.3749823061576</v>
      </c>
      <c r="AS26" s="2394">
        <f t="shared" si="30"/>
        <v>2807.7138494915766</v>
      </c>
      <c r="AT26" s="2394">
        <f t="shared" si="30"/>
        <v>2758.9158263940258</v>
      </c>
      <c r="AU26" s="2394">
        <f t="shared" si="30"/>
        <v>2710.9659121800282</v>
      </c>
      <c r="AV26" s="2394">
        <f t="shared" si="30"/>
        <v>2663.8493667303596</v>
      </c>
      <c r="AW26" s="2394">
        <f t="shared" si="30"/>
        <v>2617.551706108839</v>
      </c>
      <c r="AX26" s="2394">
        <f t="shared" si="30"/>
        <v>2572.0586981098713</v>
      </c>
      <c r="AY26" s="2394">
        <f t="shared" si="30"/>
        <v>2527.3563578833737</v>
      </c>
      <c r="AZ26" s="2394">
        <f t="shared" si="30"/>
        <v>2483.4309436357403</v>
      </c>
      <c r="BA26" s="2394">
        <f t="shared" si="30"/>
        <v>2440.2689524055249</v>
      </c>
      <c r="BB26" s="2394">
        <f t="shared" si="30"/>
        <v>2397.8571159125422</v>
      </c>
      <c r="BC26" s="2394">
        <f t="shared" si="30"/>
        <v>2356.1823964791088</v>
      </c>
      <c r="BD26" s="2394">
        <f t="shared" si="30"/>
        <v>2315.2319830221777</v>
      </c>
      <c r="BE26" s="2394">
        <f t="shared" si="30"/>
        <v>2274.9932871151277</v>
      </c>
      <c r="BF26" s="2394">
        <f t="shared" si="30"/>
        <v>2235.4539391179951</v>
      </c>
      <c r="BG26" s="2394">
        <f t="shared" si="30"/>
        <v>2196.6017843749664</v>
      </c>
      <c r="BH26" s="2394">
        <f t="shared" si="30"/>
        <v>2158.4248794779592</v>
      </c>
      <c r="BI26" s="2394">
        <f t="shared" si="30"/>
        <v>2120.9114885951358</v>
      </c>
      <c r="BJ26" s="2394">
        <f t="shared" si="30"/>
        <v>2084.0500798632356</v>
      </c>
      <c r="BK26" s="2394">
        <f t="shared" si="30"/>
        <v>2047.8293218426006</v>
      </c>
      <c r="BL26" s="2394">
        <f t="shared" si="30"/>
        <v>2012.2380800338201</v>
      </c>
      <c r="BM26" s="2394">
        <f t="shared" si="30"/>
        <v>1977.2654134549084</v>
      </c>
      <c r="BN26" s="2394">
        <f t="shared" si="30"/>
        <v>1942.9005712779776</v>
      </c>
      <c r="BO26" s="2394">
        <f t="shared" si="30"/>
        <v>1909.1329895243614</v>
      </c>
      <c r="BP26" s="2394">
        <f t="shared" si="30"/>
        <v>1875.9522878171788</v>
      </c>
      <c r="BQ26" s="2394">
        <f t="shared" si="30"/>
        <v>1843.348266190337</v>
      </c>
      <c r="BR26" s="2394">
        <f t="shared" si="30"/>
        <v>1811.3109019529968</v>
      </c>
      <c r="BS26" s="2394">
        <f t="shared" si="30"/>
        <v>1779.830346608529</v>
      </c>
      <c r="BT26" s="2394">
        <f t="shared" si="30"/>
        <v>1748.8969228270237</v>
      </c>
      <c r="BU26" s="2394">
        <f t="shared" si="30"/>
        <v>1718.5011214704134</v>
      </c>
      <c r="BV26" s="2394">
        <f t="shared" si="30"/>
        <v>1688.6335986693041</v>
      </c>
      <c r="BW26" s="2394">
        <f t="shared" si="30"/>
        <v>1659.2851729506056</v>
      </c>
      <c r="BX26" s="2394">
        <f t="shared" si="30"/>
        <v>1630.4468224150874</v>
      </c>
      <c r="BY26" s="2394">
        <f t="shared" si="30"/>
        <v>1602.1096819639879</v>
      </c>
      <c r="BZ26" s="2394">
        <f t="shared" si="30"/>
        <v>1574.2650405738243</v>
      </c>
      <c r="CA26" s="2394">
        <f t="shared" si="30"/>
        <v>1546.9043386185665</v>
      </c>
      <c r="CB26" s="2394">
        <f t="shared" si="30"/>
        <v>1520.0191652383521</v>
      </c>
      <c r="CC26" s="2394">
        <f t="shared" ref="CC26:EN26" si="31">CB27*$G$26*CC3</f>
        <v>1493.601255753932</v>
      </c>
      <c r="CD26" s="2394">
        <f t="shared" si="31"/>
        <v>1467.6424891260544</v>
      </c>
      <c r="CE26" s="2394">
        <f t="shared" si="31"/>
        <v>1442.134885459004</v>
      </c>
      <c r="CF26" s="2394">
        <f t="shared" si="31"/>
        <v>1417.070603547528</v>
      </c>
      <c r="CG26" s="2394">
        <f t="shared" si="31"/>
        <v>1392.4419384664</v>
      </c>
      <c r="CH26" s="2394">
        <f t="shared" si="31"/>
        <v>1368.2413192018739</v>
      </c>
      <c r="CI26" s="2394">
        <f t="shared" si="31"/>
        <v>1344.4613063243057</v>
      </c>
      <c r="CJ26" s="2394">
        <f t="shared" si="31"/>
        <v>1321.0945897012223</v>
      </c>
      <c r="CK26" s="2394">
        <f t="shared" si="31"/>
        <v>1298.1339862501393</v>
      </c>
      <c r="CL26" s="2394">
        <f t="shared" si="31"/>
        <v>1275.572437730435</v>
      </c>
      <c r="CM26" s="2394">
        <f t="shared" si="31"/>
        <v>1253.4030085735997</v>
      </c>
      <c r="CN26" s="2394">
        <f t="shared" si="31"/>
        <v>1231.6188837511968</v>
      </c>
      <c r="CO26" s="2394">
        <f t="shared" si="31"/>
        <v>1210.2133666798777</v>
      </c>
      <c r="CP26" s="2394">
        <f t="shared" si="31"/>
        <v>1189.1798771628091</v>
      </c>
      <c r="CQ26" s="2394">
        <f t="shared" si="31"/>
        <v>1168.5119493668758</v>
      </c>
      <c r="CR26" s="2394">
        <f t="shared" si="31"/>
        <v>1148.2032298350425</v>
      </c>
      <c r="CS26" s="2394">
        <f t="shared" si="31"/>
        <v>1128.2474755332576</v>
      </c>
      <c r="CT26" s="2394">
        <f t="shared" si="31"/>
        <v>1108.6385519313048</v>
      </c>
      <c r="CU26" s="2394">
        <f t="shared" si="31"/>
        <v>1089.3704311170075</v>
      </c>
      <c r="CV26" s="2394">
        <f t="shared" si="31"/>
        <v>1070.4371899432097</v>
      </c>
      <c r="CW26" s="2394">
        <f t="shared" si="31"/>
        <v>1051.8330082069601</v>
      </c>
      <c r="CX26" s="2394">
        <f t="shared" si="31"/>
        <v>1033.5521668603449</v>
      </c>
      <c r="CY26" s="2394">
        <f t="shared" si="31"/>
        <v>1015.5890462524142</v>
      </c>
      <c r="CZ26" s="2394">
        <f t="shared" si="31"/>
        <v>997.93812440166391</v>
      </c>
      <c r="DA26" s="2394">
        <f t="shared" si="31"/>
        <v>980.59397529854311</v>
      </c>
      <c r="DB26" s="2394">
        <f t="shared" si="31"/>
        <v>963.55126723746264</v>
      </c>
      <c r="DC26" s="2394">
        <f t="shared" si="31"/>
        <v>946.80476117779335</v>
      </c>
      <c r="DD26" s="2394">
        <f t="shared" si="31"/>
        <v>930.34930913335097</v>
      </c>
      <c r="DE26" s="2394">
        <f t="shared" si="31"/>
        <v>914.17985258987164</v>
      </c>
      <c r="DF26" s="2394">
        <f t="shared" si="31"/>
        <v>898.29142094998986</v>
      </c>
      <c r="DG26" s="2394">
        <f t="shared" si="31"/>
        <v>882.67913000524572</v>
      </c>
      <c r="DH26" s="2394">
        <f t="shared" si="31"/>
        <v>867.33818043464703</v>
      </c>
      <c r="DI26" s="2394">
        <f t="shared" si="31"/>
        <v>852.26385632932465</v>
      </c>
      <c r="DJ26" s="2394">
        <f t="shared" si="31"/>
        <v>837.45152374283384</v>
      </c>
      <c r="DK26" s="2394">
        <f t="shared" si="31"/>
        <v>822.89662926664562</v>
      </c>
      <c r="DL26" s="2394">
        <f t="shared" si="31"/>
        <v>808.59469863040147</v>
      </c>
      <c r="DM26" s="2394">
        <f t="shared" si="31"/>
        <v>794.54133532649212</v>
      </c>
      <c r="DN26" s="2394">
        <f t="shared" si="31"/>
        <v>780.73221925854159</v>
      </c>
      <c r="DO26" s="2394">
        <f t="shared" si="31"/>
        <v>767.16310541338248</v>
      </c>
      <c r="DP26" s="2394">
        <f t="shared" si="31"/>
        <v>753.82982255611057</v>
      </c>
      <c r="DQ26" s="2394">
        <f t="shared" si="31"/>
        <v>740.72827194781871</v>
      </c>
      <c r="DR26" s="2394">
        <f t="shared" si="31"/>
        <v>727.85442608561868</v>
      </c>
      <c r="DS26" s="2394">
        <f t="shared" si="31"/>
        <v>715.20432746455992</v>
      </c>
      <c r="DT26" s="2394">
        <f t="shared" si="31"/>
        <v>702.77408736106634</v>
      </c>
      <c r="DU26" s="2394">
        <f t="shared" si="31"/>
        <v>690.55988463751771</v>
      </c>
      <c r="DV26" s="2394">
        <f t="shared" si="31"/>
        <v>678.55796456760561</v>
      </c>
      <c r="DW26" s="2394">
        <f t="shared" si="31"/>
        <v>666.76463768210635</v>
      </c>
      <c r="DX26" s="2394">
        <f t="shared" si="31"/>
        <v>655.17627863471535</v>
      </c>
      <c r="DY26" s="2394">
        <f t="shared" si="31"/>
        <v>643.78932508758862</v>
      </c>
      <c r="DZ26" s="2394">
        <f t="shared" si="31"/>
        <v>632.60027661626032</v>
      </c>
      <c r="EA26" s="2394">
        <f t="shared" si="31"/>
        <v>621.60569363358672</v>
      </c>
      <c r="EB26" s="2394">
        <f t="shared" si="31"/>
        <v>610.80219633239517</v>
      </c>
      <c r="EC26" s="2394">
        <f t="shared" si="31"/>
        <v>600.18646364650886</v>
      </c>
      <c r="ED26" s="2394">
        <f t="shared" si="31"/>
        <v>589.75523222983054</v>
      </c>
      <c r="EE26" s="2394">
        <f t="shared" si="31"/>
        <v>579.50529545316658</v>
      </c>
      <c r="EF26" s="2394">
        <f t="shared" si="31"/>
        <v>569.4335024184893</v>
      </c>
      <c r="EG26" s="2394">
        <f t="shared" si="31"/>
        <v>559.53675699032954</v>
      </c>
      <c r="EH26" s="2394">
        <f t="shared" si="31"/>
        <v>549.8120168440048</v>
      </c>
      <c r="EI26" s="2394">
        <f t="shared" si="31"/>
        <v>540.25629253038835</v>
      </c>
      <c r="EJ26" s="2394">
        <f t="shared" si="31"/>
        <v>530.86664655693232</v>
      </c>
      <c r="EK26" s="2394">
        <f t="shared" si="31"/>
        <v>521.64019248466434</v>
      </c>
      <c r="EL26" s="2394">
        <f t="shared" si="31"/>
        <v>512.57409404087639</v>
      </c>
      <c r="EM26" s="2394">
        <f t="shared" si="31"/>
        <v>503.66556424723598</v>
      </c>
      <c r="EN26" s="2394">
        <f t="shared" si="31"/>
        <v>494.91186456305053</v>
      </c>
      <c r="EO26" s="2394">
        <f t="shared" ref="EO26:GZ26" si="32">EN27*$G$26*EO3</f>
        <v>486.31030404342272</v>
      </c>
      <c r="EP26" s="2394">
        <f t="shared" si="32"/>
        <v>477.85823851203469</v>
      </c>
      <c r="EQ26" s="2394">
        <f t="shared" si="32"/>
        <v>469.55306974831331</v>
      </c>
      <c r="ER26" s="2394">
        <f t="shared" si="32"/>
        <v>461.39224468871799</v>
      </c>
      <c r="ES26" s="2394">
        <f t="shared" si="32"/>
        <v>453.3732546419123</v>
      </c>
      <c r="ET26" s="2394">
        <f t="shared" si="32"/>
        <v>445.49363451757716</v>
      </c>
      <c r="EU26" s="2394">
        <f t="shared" si="32"/>
        <v>437.75096206862497</v>
      </c>
      <c r="EV26" s="2394">
        <f t="shared" si="32"/>
        <v>430.14285714658394</v>
      </c>
      <c r="EW26" s="2394">
        <f t="shared" si="32"/>
        <v>422.66698096992621</v>
      </c>
      <c r="EX26" s="2394">
        <f t="shared" si="32"/>
        <v>415.32103540511122</v>
      </c>
      <c r="EY26" s="2394">
        <f t="shared" si="32"/>
        <v>408.10276226012292</v>
      </c>
      <c r="EZ26" s="2394">
        <f t="shared" si="32"/>
        <v>401.00994259028727</v>
      </c>
      <c r="FA26" s="2394">
        <f t="shared" si="32"/>
        <v>394.04039601615477</v>
      </c>
      <c r="FB26" s="2394">
        <f t="shared" si="32"/>
        <v>387.19198005323676</v>
      </c>
      <c r="FC26" s="2394">
        <f t="shared" si="32"/>
        <v>380.46258945339139</v>
      </c>
      <c r="FD26" s="2394">
        <f t="shared" si="32"/>
        <v>373.85015555765733</v>
      </c>
      <c r="FE26" s="2394">
        <f t="shared" si="32"/>
        <v>367.35264566033334</v>
      </c>
      <c r="FF26" s="2394">
        <f t="shared" si="32"/>
        <v>360.96806238411165</v>
      </c>
      <c r="FG26" s="2394">
        <f t="shared" si="32"/>
        <v>354.69444306607193</v>
      </c>
      <c r="FH26" s="2394">
        <f t="shared" si="32"/>
        <v>348.52985915434397</v>
      </c>
      <c r="FI26" s="2394">
        <f t="shared" si="32"/>
        <v>342.47241561525993</v>
      </c>
      <c r="FJ26" s="2394">
        <f t="shared" si="32"/>
        <v>336.52025035080703</v>
      </c>
      <c r="FK26" s="2394">
        <f t="shared" si="32"/>
        <v>330.67153362620689</v>
      </c>
      <c r="FL26" s="2394">
        <f t="shared" si="32"/>
        <v>324.92446750744392</v>
      </c>
      <c r="FM26" s="2394">
        <f t="shared" si="32"/>
        <v>319.27728530856774</v>
      </c>
      <c r="FN26" s="2394">
        <f t="shared" si="32"/>
        <v>313.72825104860124</v>
      </c>
      <c r="FO26" s="2394">
        <f t="shared" si="32"/>
        <v>308.27565891789106</v>
      </c>
      <c r="FP26" s="2394">
        <f t="shared" si="32"/>
        <v>302.91783275372813</v>
      </c>
      <c r="FQ26" s="2394">
        <f t="shared" si="32"/>
        <v>297.65312552508601</v>
      </c>
      <c r="FR26" s="2394">
        <f t="shared" si="32"/>
        <v>292.47991882631186</v>
      </c>
      <c r="FS26" s="2394">
        <f t="shared" si="32"/>
        <v>287.3966223796171</v>
      </c>
      <c r="FT26" s="2394">
        <f t="shared" si="32"/>
        <v>282.40167354621701</v>
      </c>
      <c r="FU26" s="2394">
        <f t="shared" si="32"/>
        <v>277.4935368459652</v>
      </c>
      <c r="FV26" s="2394">
        <f t="shared" si="32"/>
        <v>272.67070348533554</v>
      </c>
      <c r="FW26" s="2394">
        <f t="shared" si="32"/>
        <v>267.93169089360975</v>
      </c>
      <c r="FX26" s="2394">
        <f t="shared" si="32"/>
        <v>263.27504226712693</v>
      </c>
      <c r="FY26" s="2394">
        <f t="shared" si="32"/>
        <v>258.69932612144959</v>
      </c>
      <c r="FZ26" s="2394">
        <f t="shared" si="32"/>
        <v>254.20313585131882</v>
      </c>
      <c r="GA26" s="2394">
        <f t="shared" si="32"/>
        <v>249.78508929825284</v>
      </c>
      <c r="GB26" s="2394">
        <f t="shared" si="32"/>
        <v>245.44382832566248</v>
      </c>
      <c r="GC26" s="2394">
        <f t="shared" si="32"/>
        <v>241.17801840135138</v>
      </c>
      <c r="GD26" s="2394">
        <f t="shared" si="32"/>
        <v>236.98634818727254</v>
      </c>
      <c r="GE26" s="2394">
        <f t="shared" si="32"/>
        <v>232.86752913641371</v>
      </c>
      <c r="GF26" s="2394">
        <f t="shared" si="32"/>
        <v>228.82029509668905</v>
      </c>
      <c r="GG26" s="2394">
        <f t="shared" si="32"/>
        <v>224.84340192171723</v>
      </c>
      <c r="GH26" s="2394">
        <f t="shared" si="32"/>
        <v>220.93562708836151</v>
      </c>
      <c r="GI26" s="2394">
        <f t="shared" si="32"/>
        <v>217.09576932091778</v>
      </c>
      <c r="GJ26" s="2394">
        <f t="shared" si="32"/>
        <v>213.32264822183555</v>
      </c>
      <c r="GK26" s="2394">
        <f t="shared" si="32"/>
        <v>209.61510390885485</v>
      </c>
      <c r="GL26" s="2394">
        <f t="shared" si="32"/>
        <v>205.97199665845201</v>
      </c>
      <c r="GM26" s="2394">
        <f t="shared" si="32"/>
        <v>202.39220655547985</v>
      </c>
      <c r="GN26" s="2394">
        <f t="shared" si="32"/>
        <v>198.87463314889936</v>
      </c>
      <c r="GO26" s="2394">
        <f t="shared" si="32"/>
        <v>195.41819511349414</v>
      </c>
      <c r="GP26" s="2394">
        <f t="shared" si="32"/>
        <v>192.02182991746244</v>
      </c>
      <c r="GQ26" s="2394">
        <f t="shared" si="32"/>
        <v>188.68449349578839</v>
      </c>
      <c r="GR26" s="2394">
        <f t="shared" si="32"/>
        <v>185.40515992929099</v>
      </c>
      <c r="GS26" s="2394">
        <f t="shared" si="32"/>
        <v>182.18282112924786</v>
      </c>
      <c r="GT26" s="2394">
        <f t="shared" si="32"/>
        <v>179.01648652750356</v>
      </c>
      <c r="GU26" s="2394">
        <f t="shared" si="32"/>
        <v>175.90518277196099</v>
      </c>
      <c r="GV26" s="2394">
        <f t="shared" si="32"/>
        <v>172.84795342736817</v>
      </c>
      <c r="GW26" s="2394">
        <f t="shared" si="32"/>
        <v>169.84385868130244</v>
      </c>
      <c r="GX26" s="2394">
        <f t="shared" si="32"/>
        <v>166.89197505526695</v>
      </c>
      <c r="GY26" s="2394">
        <f t="shared" si="32"/>
        <v>163.99139512080609</v>
      </c>
      <c r="GZ26" s="2394">
        <f t="shared" si="32"/>
        <v>161.14122722055748</v>
      </c>
      <c r="HA26" s="2394">
        <f t="shared" ref="HA26:IA26" si="33">GZ27*$G$26*HA3</f>
        <v>158.34059519414899</v>
      </c>
      <c r="HB26" s="2394">
        <f t="shared" si="33"/>
        <v>155.58863810886317</v>
      </c>
      <c r="HC26" s="2394">
        <f t="shared" si="33"/>
        <v>152.88450999497874</v>
      </c>
      <c r="HD26" s="2394">
        <f t="shared" si="33"/>
        <v>150.22737958571599</v>
      </c>
      <c r="HE26" s="2394">
        <f t="shared" si="33"/>
        <v>147.6164300616984</v>
      </c>
      <c r="HF26" s="2394">
        <f t="shared" si="33"/>
        <v>145.05085879985739</v>
      </c>
      <c r="HG26" s="2394">
        <f t="shared" si="33"/>
        <v>142.52987712670111</v>
      </c>
      <c r="HH26" s="2394">
        <f t="shared" si="33"/>
        <v>140.05271007587083</v>
      </c>
      <c r="HI26" s="2394">
        <f t="shared" si="33"/>
        <v>137.61859614991144</v>
      </c>
      <c r="HJ26" s="2394">
        <f t="shared" si="33"/>
        <v>135.22678708618105</v>
      </c>
      <c r="HK26" s="2394">
        <f t="shared" si="33"/>
        <v>132.8765476268311</v>
      </c>
      <c r="HL26" s="2394">
        <f t="shared" si="33"/>
        <v>130.56715529278287</v>
      </c>
      <c r="HM26" s="2394">
        <f t="shared" si="33"/>
        <v>128.29790016163321</v>
      </c>
      <c r="HN26" s="2394">
        <f t="shared" si="33"/>
        <v>126.06808464941888</v>
      </c>
      <c r="HO26" s="2394">
        <f t="shared" si="33"/>
        <v>123.87702329617576</v>
      </c>
      <c r="HP26" s="2394">
        <f t="shared" si="33"/>
        <v>121.72404255522279</v>
      </c>
      <c r="HQ26" s="2394">
        <f t="shared" si="33"/>
        <v>119.60848058610939</v>
      </c>
      <c r="HR26" s="2394">
        <f t="shared" si="33"/>
        <v>117.52968705116237</v>
      </c>
      <c r="HS26" s="2394">
        <f t="shared" si="33"/>
        <v>115.48702291556704</v>
      </c>
      <c r="HT26" s="2394">
        <f t="shared" si="33"/>
        <v>113.47986025092386</v>
      </c>
      <c r="HU26" s="2394">
        <f t="shared" si="33"/>
        <v>111.50758204221884</v>
      </c>
      <c r="HV26" s="2394">
        <f t="shared" si="33"/>
        <v>109.56958199814966</v>
      </c>
      <c r="HW26" s="2394">
        <f t="shared" si="33"/>
        <v>107.66526436474712</v>
      </c>
      <c r="HX26" s="2394">
        <f t="shared" si="33"/>
        <v>105.79404374223752</v>
      </c>
      <c r="HY26" s="2394">
        <f t="shared" si="33"/>
        <v>103.95534490508507</v>
      </c>
      <c r="HZ26" s="2394">
        <f t="shared" si="33"/>
        <v>102.14860262516545</v>
      </c>
      <c r="IA26" s="2394">
        <f t="shared" si="33"/>
        <v>98.723290076125465</v>
      </c>
    </row>
    <row r="27" spans="2:321">
      <c r="C27" s="2383"/>
      <c r="D27" s="2384" t="s">
        <v>3918</v>
      </c>
      <c r="E27" s="2385"/>
      <c r="F27" s="2385"/>
      <c r="G27" s="2392">
        <f>H25*3%-IA27</f>
        <v>-2.8213144039909821E-2</v>
      </c>
      <c r="H27" s="2387">
        <f>MAX(J27:AT27)</f>
        <v>189215.66948030112</v>
      </c>
      <c r="I27" s="2388"/>
      <c r="J27" s="2395">
        <f>($H$25-SUM($I26:J26))</f>
        <v>189215.66948030112</v>
      </c>
      <c r="K27" s="2395">
        <f>($H$25-SUM($I26:K26))</f>
        <v>189215.66948030112</v>
      </c>
      <c r="L27" s="2387">
        <f>($H$25-SUM($I26:L26))</f>
        <v>189215.66948030112</v>
      </c>
      <c r="M27" s="2393">
        <f>($H$25-SUM($I26:M26))</f>
        <v>189215.66948030112</v>
      </c>
      <c r="N27" s="2395">
        <f>($H$25-SUM($I26:N26))</f>
        <v>189215.66948030112</v>
      </c>
      <c r="O27" s="2387">
        <f>($H$25-SUM($I26:O26))</f>
        <v>189215.66948030112</v>
      </c>
      <c r="P27" s="2387">
        <f>($H$25-SUM($I26:P26))</f>
        <v>189215.66948030112</v>
      </c>
      <c r="Q27" s="2392">
        <f>($H$25-SUM($I26:Q26))</f>
        <v>189215.66948030112</v>
      </c>
      <c r="R27" s="2393">
        <f>($H$25-SUM($I26:R26))</f>
        <v>189215.66948030112</v>
      </c>
      <c r="S27" s="2387">
        <f>($H$25-SUM($I26:S26))</f>
        <v>189215.66948030112</v>
      </c>
      <c r="T27" s="2392">
        <f>($H$25-SUM($I26:T26))</f>
        <v>189215.66948030112</v>
      </c>
      <c r="U27" s="2394">
        <f>($H$25-SUM($I26:U26))</f>
        <v>189215.66948030112</v>
      </c>
      <c r="V27" s="2394">
        <f>($H$25-SUM($I26:V26))</f>
        <v>189215.66948030112</v>
      </c>
      <c r="W27" s="2394">
        <f>($H$25-SUM($I26:W26))</f>
        <v>189215.66948030112</v>
      </c>
      <c r="X27" s="2394">
        <f>($H$25-SUM($I26:X26))</f>
        <v>189215.66948030112</v>
      </c>
      <c r="Y27" s="2394">
        <f>($H$25-SUM($I26:Y26))</f>
        <v>189215.66948030112</v>
      </c>
      <c r="Z27" s="2394">
        <f>($H$25-SUM($I26:Z26))</f>
        <v>189215.66948030112</v>
      </c>
      <c r="AA27" s="2394">
        <f>($H$25-SUM($I26:AA26))</f>
        <v>189215.66948030112</v>
      </c>
      <c r="AB27" s="2394">
        <f>($H$25-SUM($I26:AB26))</f>
        <v>189215.66948030112</v>
      </c>
      <c r="AC27" s="2394">
        <f>($H$25-SUM($I26:AC26))</f>
        <v>189215.66948030112</v>
      </c>
      <c r="AD27" s="2394">
        <f>($H$25-SUM($I26:AD26))</f>
        <v>189215.66948030112</v>
      </c>
      <c r="AE27" s="2394">
        <f>($H$25-SUM($I26:AE26))</f>
        <v>189215.66948030112</v>
      </c>
      <c r="AF27" s="2394">
        <f>($H$25-SUM($I26:AF26))</f>
        <v>189215.66948030112</v>
      </c>
      <c r="AG27" s="2394">
        <f>($H$25-SUM($I26:AG26))</f>
        <v>189215.66948030112</v>
      </c>
      <c r="AH27" s="2394">
        <f>($H$25-SUM($I26:AH26))</f>
        <v>189215.66948030112</v>
      </c>
      <c r="AI27" s="2394">
        <f>($H$25-SUM($I26:AI26))</f>
        <v>189161.6108710377</v>
      </c>
      <c r="AJ27" s="2394">
        <f>($H$25-SUM($I26:AJ26))</f>
        <v>185873.98501196865</v>
      </c>
      <c r="AK27" s="2394">
        <f>($H$25-SUM($I26:AK26))</f>
        <v>182643.49803927008</v>
      </c>
      <c r="AL27" s="2394">
        <f>($H$25-SUM($I26:AL26))</f>
        <v>179469.15687998431</v>
      </c>
      <c r="AM27" s="2394">
        <f>($H$25-SUM($I26:AM26))</f>
        <v>176349.98572074625</v>
      </c>
      <c r="AN27" s="2394">
        <f>($H$25-SUM($I26:AN26))</f>
        <v>173285.02570781187</v>
      </c>
      <c r="AO27" s="2394">
        <f>($H$25-SUM($I26:AO26))</f>
        <v>170273.33465230037</v>
      </c>
      <c r="AP27" s="2394">
        <f>($H$25-SUM($I26:AP26))</f>
        <v>167313.98674055911</v>
      </c>
      <c r="AQ27" s="2394">
        <f>($H$25-SUM($I26:AQ26))</f>
        <v>164406.07224956225</v>
      </c>
      <c r="AR27" s="2394">
        <f>($H$25-SUM($I26:AR26))</f>
        <v>161548.6972672561</v>
      </c>
      <c r="AS27" s="2394">
        <f>($H$25-SUM($I26:AS26))</f>
        <v>158740.98341776451</v>
      </c>
      <c r="AT27" s="2394">
        <f>($H$25-SUM($I26:AT26))</f>
        <v>155982.06759137049</v>
      </c>
      <c r="AU27" s="2394">
        <f>($H$25-SUM($I26:AU26))</f>
        <v>153271.10167919047</v>
      </c>
      <c r="AV27" s="2394">
        <f>($H$25-SUM($I26:AV26))</f>
        <v>150607.2523124601</v>
      </c>
      <c r="AW27" s="2394">
        <f>($H$25-SUM($I26:AW26))</f>
        <v>147989.70060635125</v>
      </c>
      <c r="AX27" s="2394">
        <f>($H$25-SUM($I26:AX26))</f>
        <v>145417.64190824138</v>
      </c>
      <c r="AY27" s="2394">
        <f>($H$25-SUM($I26:AY26))</f>
        <v>142890.28555035801</v>
      </c>
      <c r="AZ27" s="2394">
        <f>($H$25-SUM($I26:AZ26))</f>
        <v>140406.85460672228</v>
      </c>
      <c r="BA27" s="2394">
        <f>($H$25-SUM($I26:BA26))</f>
        <v>137966.58565431676</v>
      </c>
      <c r="BB27" s="2394">
        <f>($H$25-SUM($I26:BB26))</f>
        <v>135568.72853840422</v>
      </c>
      <c r="BC27" s="2394">
        <f>($H$25-SUM($I26:BC26))</f>
        <v>133212.54614192509</v>
      </c>
      <c r="BD27" s="2394">
        <f>($H$25-SUM($I26:BD26))</f>
        <v>130897.31415890293</v>
      </c>
      <c r="BE27" s="2394">
        <f>($H$25-SUM($I26:BE26))</f>
        <v>128622.3208717878</v>
      </c>
      <c r="BF27" s="2394">
        <f>($H$25-SUM($I26:BF26))</f>
        <v>126386.8669326698</v>
      </c>
      <c r="BG27" s="2394">
        <f>($H$25-SUM($I26:BG26))</f>
        <v>124190.26514829484</v>
      </c>
      <c r="BH27" s="2394">
        <f>($H$25-SUM($I26:BH26))</f>
        <v>122031.84026881689</v>
      </c>
      <c r="BI27" s="2394">
        <f>($H$25-SUM($I26:BI26))</f>
        <v>119910.92878022174</v>
      </c>
      <c r="BJ27" s="2394">
        <f>($H$25-SUM($I26:BJ26))</f>
        <v>117826.8787003585</v>
      </c>
      <c r="BK27" s="2394">
        <f>($H$25-SUM($I26:BK26))</f>
        <v>115779.04937851591</v>
      </c>
      <c r="BL27" s="2394">
        <f>($H$25-SUM($I26:BL26))</f>
        <v>113766.81129848209</v>
      </c>
      <c r="BM27" s="2394">
        <f>($H$25-SUM($I26:BM26))</f>
        <v>111789.54588502718</v>
      </c>
      <c r="BN27" s="2394">
        <f>($H$25-SUM($I26:BN26))</f>
        <v>109846.64531374921</v>
      </c>
      <c r="BO27" s="2394">
        <f>($H$25-SUM($I26:BO26))</f>
        <v>107937.51232422485</v>
      </c>
      <c r="BP27" s="2394">
        <f>($H$25-SUM($I26:BP26))</f>
        <v>106061.56003640767</v>
      </c>
      <c r="BQ27" s="2394">
        <f>($H$25-SUM($I26:BQ26))</f>
        <v>104218.21177021733</v>
      </c>
      <c r="BR27" s="2394">
        <f>($H$25-SUM($I26:BR26))</f>
        <v>102406.90086826433</v>
      </c>
      <c r="BS27" s="2394">
        <f>($H$25-SUM($I26:BS26))</f>
        <v>100627.0705216558</v>
      </c>
      <c r="BT27" s="2394">
        <f>($H$25-SUM($I26:BT26))</f>
        <v>98878.173598828769</v>
      </c>
      <c r="BU27" s="2394">
        <f>($H$25-SUM($I26:BU26))</f>
        <v>97159.672477358356</v>
      </c>
      <c r="BV27" s="2394">
        <f>($H$25-SUM($I26:BV26))</f>
        <v>95471.038878689054</v>
      </c>
      <c r="BW27" s="2394">
        <f>($H$25-SUM($I26:BW26))</f>
        <v>93811.753705738447</v>
      </c>
      <c r="BX27" s="2394">
        <f>($H$25-SUM($I26:BX26))</f>
        <v>92181.306883323356</v>
      </c>
      <c r="BY27" s="2394">
        <f>($H$25-SUM($I26:BY26))</f>
        <v>90579.197201359362</v>
      </c>
      <c r="BZ27" s="2394">
        <f>($H$25-SUM($I26:BZ26))</f>
        <v>89004.932160785538</v>
      </c>
      <c r="CA27" s="2394">
        <f>($H$25-SUM($I26:CA26))</f>
        <v>87458.027822166972</v>
      </c>
      <c r="CB27" s="2394">
        <f>($H$25-SUM($I26:CB26))</f>
        <v>85938.008656928621</v>
      </c>
      <c r="CC27" s="2394">
        <f>($H$25-SUM($I26:CC26))</f>
        <v>84444.407401174685</v>
      </c>
      <c r="CD27" s="2394">
        <f>($H$25-SUM($I26:CD26))</f>
        <v>82976.764912048631</v>
      </c>
      <c r="CE27" s="2394">
        <f>($H$25-SUM($I26:CE26))</f>
        <v>81534.630026589628</v>
      </c>
      <c r="CF27" s="2394">
        <f>($H$25-SUM($I26:CF26))</f>
        <v>80117.559423042097</v>
      </c>
      <c r="CG27" s="2394">
        <f>($H$25-SUM($I26:CG26))</f>
        <v>78725.11748457569</v>
      </c>
      <c r="CH27" s="2394">
        <f>($H$25-SUM($I26:CH26))</f>
        <v>77356.876165373818</v>
      </c>
      <c r="CI27" s="2394">
        <f>($H$25-SUM($I26:CI26))</f>
        <v>76012.414859049517</v>
      </c>
      <c r="CJ27" s="2394">
        <f>($H$25-SUM($I26:CJ26))</f>
        <v>74691.320269348289</v>
      </c>
      <c r="CK27" s="2394">
        <f>($H$25-SUM($I26:CK26))</f>
        <v>73393.186283098155</v>
      </c>
      <c r="CL27" s="2394">
        <f>($H$25-SUM($I26:CL26))</f>
        <v>72117.613845367727</v>
      </c>
      <c r="CM27" s="2394">
        <f>($H$25-SUM($I26:CM26))</f>
        <v>70864.210836794125</v>
      </c>
      <c r="CN27" s="2394">
        <f>($H$25-SUM($I26:CN26))</f>
        <v>69632.591953042924</v>
      </c>
      <c r="CO27" s="2394">
        <f>($H$25-SUM($I26:CO26))</f>
        <v>68422.378586363047</v>
      </c>
      <c r="CP27" s="2394">
        <f>($H$25-SUM($I26:CP26))</f>
        <v>67233.198709200238</v>
      </c>
      <c r="CQ27" s="2394">
        <f>($H$25-SUM($I26:CQ26))</f>
        <v>66064.686759833363</v>
      </c>
      <c r="CR27" s="2394">
        <f>($H$25-SUM($I26:CR26))</f>
        <v>64916.483529998324</v>
      </c>
      <c r="CS27" s="2394">
        <f>($H$25-SUM($I26:CS26))</f>
        <v>63788.236054465073</v>
      </c>
      <c r="CT27" s="2394">
        <f>($H$25-SUM($I26:CT26))</f>
        <v>62679.597502533768</v>
      </c>
      <c r="CU27" s="2394">
        <f>($H$25-SUM($I26:CU26))</f>
        <v>61590.227071416768</v>
      </c>
      <c r="CV27" s="2394">
        <f>($H$25-SUM($I26:CV26))</f>
        <v>60519.789881473553</v>
      </c>
      <c r="CW27" s="2394">
        <f>($H$25-SUM($I26:CW26))</f>
        <v>59467.956873266594</v>
      </c>
      <c r="CX27" s="2394">
        <f>($H$25-SUM($I26:CX26))</f>
        <v>58434.404706406247</v>
      </c>
      <c r="CY27" s="2394">
        <f>($H$25-SUM($I26:CY26))</f>
        <v>57418.815660153836</v>
      </c>
      <c r="CZ27" s="2394">
        <f>($H$25-SUM($I26:CZ26))</f>
        <v>56420.877535752166</v>
      </c>
      <c r="DA27" s="2394">
        <f>($H$25-SUM($I26:DA26))</f>
        <v>55440.283560453623</v>
      </c>
      <c r="DB27" s="2394">
        <f>($H$25-SUM($I26:DB26))</f>
        <v>54476.732293216162</v>
      </c>
      <c r="DC27" s="2394">
        <f>($H$25-SUM($I26:DC26))</f>
        <v>53529.92753203836</v>
      </c>
      <c r="DD27" s="2394">
        <f>($H$25-SUM($I26:DD26))</f>
        <v>52599.578222905024</v>
      </c>
      <c r="DE27" s="2394">
        <f>($H$25-SUM($I26:DE26))</f>
        <v>51685.398370315146</v>
      </c>
      <c r="DF27" s="2394">
        <f>($H$25-SUM($I26:DF26))</f>
        <v>50787.106949365145</v>
      </c>
      <c r="DG27" s="2394">
        <f>($H$25-SUM($I26:DG26))</f>
        <v>49904.427819359902</v>
      </c>
      <c r="DH27" s="2394">
        <f>($H$25-SUM($I26:DH26))</f>
        <v>49037.089638925245</v>
      </c>
      <c r="DI27" s="2394">
        <f>($H$25-SUM($I26:DI26))</f>
        <v>48184.82578259593</v>
      </c>
      <c r="DJ27" s="2394">
        <f>($H$25-SUM($I26:DJ26))</f>
        <v>47347.374258853088</v>
      </c>
      <c r="DK27" s="2394">
        <f>($H$25-SUM($I26:DK26))</f>
        <v>46524.477629586443</v>
      </c>
      <c r="DL27" s="2394">
        <f>($H$25-SUM($I26:DL26))</f>
        <v>45715.882930956053</v>
      </c>
      <c r="DM27" s="2394">
        <f>($H$25-SUM($I26:DM26))</f>
        <v>44921.34159562955</v>
      </c>
      <c r="DN27" s="2394">
        <f>($H$25-SUM($I26:DN26))</f>
        <v>44140.609376370994</v>
      </c>
      <c r="DO27" s="2394">
        <f>($H$25-SUM($I26:DO26))</f>
        <v>43373.446270957618</v>
      </c>
      <c r="DP27" s="2394">
        <f>($H$25-SUM($I26:DP26))</f>
        <v>42619.616448401503</v>
      </c>
      <c r="DQ27" s="2394">
        <f>($H$25-SUM($I26:DQ26))</f>
        <v>41878.888176453678</v>
      </c>
      <c r="DR27" s="2394">
        <f>($H$25-SUM($I26:DR26))</f>
        <v>41151.033750368049</v>
      </c>
      <c r="DS27" s="2394">
        <f>($H$25-SUM($I26:DS26))</f>
        <v>40435.82942290348</v>
      </c>
      <c r="DT27" s="2394">
        <f>($H$25-SUM($I26:DT26))</f>
        <v>39733.05533554242</v>
      </c>
      <c r="DU27" s="2394">
        <f>($H$25-SUM($I26:DU26))</f>
        <v>39042.495450904913</v>
      </c>
      <c r="DV27" s="2394">
        <f>($H$25-SUM($I26:DV26))</f>
        <v>38363.937486337294</v>
      </c>
      <c r="DW27" s="2394">
        <f>($H$25-SUM($I26:DW26))</f>
        <v>37697.172848655202</v>
      </c>
      <c r="DX27" s="2394">
        <f>($H$25-SUM($I26:DX26))</f>
        <v>37041.996570020478</v>
      </c>
      <c r="DY27" s="2394">
        <f>($H$25-SUM($I26:DY26))</f>
        <v>36398.207244932884</v>
      </c>
      <c r="DZ27" s="2394">
        <f>($H$25-SUM($I26:DZ26))</f>
        <v>35765.606968316628</v>
      </c>
      <c r="EA27" s="2394">
        <f>($H$25-SUM($I26:EA26))</f>
        <v>35144.001274683047</v>
      </c>
      <c r="EB27" s="2394">
        <f>($H$25-SUM($I26:EB26))</f>
        <v>34533.199078350648</v>
      </c>
      <c r="EC27" s="2394">
        <f>($H$25-SUM($I26:EC26))</f>
        <v>33933.012614704145</v>
      </c>
      <c r="ED27" s="2394">
        <f>($H$25-SUM($I26:ED26))</f>
        <v>33343.257382474316</v>
      </c>
      <c r="EE27" s="2394">
        <f>($H$25-SUM($I26:EE26))</f>
        <v>32763.752087021159</v>
      </c>
      <c r="EF27" s="2394">
        <f>($H$25-SUM($I26:EF26))</f>
        <v>32194.318584602675</v>
      </c>
      <c r="EG27" s="2394">
        <f>($H$25-SUM($I26:EG26))</f>
        <v>31634.781827612343</v>
      </c>
      <c r="EH27" s="2394">
        <f>($H$25-SUM($I26:EH26))</f>
        <v>31084.969810768351</v>
      </c>
      <c r="EI27" s="2394">
        <f>($H$25-SUM($I26:EI26))</f>
        <v>30544.713518237957</v>
      </c>
      <c r="EJ27" s="2394">
        <f>($H$25-SUM($I26:EJ26))</f>
        <v>30013.846871681017</v>
      </c>
      <c r="EK27" s="2394">
        <f>($H$25-SUM($I26:EK26))</f>
        <v>29492.206679196359</v>
      </c>
      <c r="EL27" s="2394">
        <f>($H$25-SUM($I26:EL26))</f>
        <v>28979.632585155487</v>
      </c>
      <c r="EM27" s="2394">
        <f>($H$25-SUM($I26:EM26))</f>
        <v>28475.967020908254</v>
      </c>
      <c r="EN27" s="2394">
        <f>($H$25-SUM($I26:EN26))</f>
        <v>27981.055156345217</v>
      </c>
      <c r="EO27" s="2394">
        <f>($H$25-SUM($I26:EO26))</f>
        <v>27494.744852301781</v>
      </c>
      <c r="EP27" s="2394">
        <f>($H$25-SUM($I26:EP26))</f>
        <v>27016.886613789742</v>
      </c>
      <c r="EQ27" s="2394">
        <f>($H$25-SUM($I26:EQ26))</f>
        <v>26547.333544041438</v>
      </c>
      <c r="ER27" s="2394">
        <f>($H$25-SUM($I26:ER26))</f>
        <v>26085.941299352708</v>
      </c>
      <c r="ES27" s="2394">
        <f>($H$25-SUM($I26:ES26))</f>
        <v>25632.568044710788</v>
      </c>
      <c r="ET27" s="2394">
        <f>($H$25-SUM($I26:ET26))</f>
        <v>25187.074410193221</v>
      </c>
      <c r="EU27" s="2394">
        <f>($H$25-SUM($I26:EU26))</f>
        <v>24749.323448124604</v>
      </c>
      <c r="EV27" s="2394">
        <f>($H$25-SUM($I26:EV26))</f>
        <v>24319.180590978009</v>
      </c>
      <c r="EW27" s="2394">
        <f>($H$25-SUM($I26:EW26))</f>
        <v>23896.513610008085</v>
      </c>
      <c r="EX27" s="2394">
        <f>($H$25-SUM($I26:EX26))</f>
        <v>23481.192574602988</v>
      </c>
      <c r="EY27" s="2394">
        <f>($H$25-SUM($I26:EY26))</f>
        <v>23073.089812342863</v>
      </c>
      <c r="EZ27" s="2394">
        <f>($H$25-SUM($I26:EZ26))</f>
        <v>22672.079869752575</v>
      </c>
      <c r="FA27" s="2394">
        <f>($H$25-SUM($I26:FA26))</f>
        <v>22278.039473736426</v>
      </c>
      <c r="FB27" s="2394">
        <f>($H$25-SUM($I26:FB26))</f>
        <v>21890.847493683192</v>
      </c>
      <c r="FC27" s="2394">
        <f>($H$25-SUM($I26:FC26))</f>
        <v>21510.38490422981</v>
      </c>
      <c r="FD27" s="2394">
        <f>($H$25-SUM($I26:FD26))</f>
        <v>21136.534748672158</v>
      </c>
      <c r="FE27" s="2394">
        <f>($H$25-SUM($I26:FE26))</f>
        <v>20769.182103011815</v>
      </c>
      <c r="FF27" s="2394">
        <f>($H$25-SUM($I26:FF26))</f>
        <v>20408.214040627703</v>
      </c>
      <c r="FG27" s="2394">
        <f>($H$25-SUM($I26:FG26))</f>
        <v>20053.519597561623</v>
      </c>
      <c r="FH27" s="2394">
        <f>($H$25-SUM($I26:FH26))</f>
        <v>19704.989738407283</v>
      </c>
      <c r="FI27" s="2394">
        <f>($H$25-SUM($I26:FI26))</f>
        <v>19362.517322792031</v>
      </c>
      <c r="FJ27" s="2394">
        <f>($H$25-SUM($I26:FJ26))</f>
        <v>19025.997072441212</v>
      </c>
      <c r="FK27" s="2394">
        <f>($H$25-SUM($I26:FK26))</f>
        <v>18695.325538814999</v>
      </c>
      <c r="FL27" s="2394">
        <f>($H$25-SUM($I26:FL26))</f>
        <v>18370.40107130757</v>
      </c>
      <c r="FM27" s="2394">
        <f>($H$25-SUM($I26:FM26))</f>
        <v>18051.123785998992</v>
      </c>
      <c r="FN27" s="2394">
        <f>($H$25-SUM($I26:FN26))</f>
        <v>17737.395534950396</v>
      </c>
      <c r="FO27" s="2394">
        <f>($H$25-SUM($I26:FO26))</f>
        <v>17429.119876032491</v>
      </c>
      <c r="FP27" s="2394">
        <f>($H$25-SUM($I26:FP26))</f>
        <v>17126.202043278754</v>
      </c>
      <c r="FQ27" s="2394">
        <f>($H$25-SUM($I26:FQ26))</f>
        <v>16828.54891775368</v>
      </c>
      <c r="FR27" s="2394">
        <f>($H$25-SUM($I26:FR26))</f>
        <v>16536.068998927367</v>
      </c>
      <c r="FS27" s="2394">
        <f>($H$25-SUM($I26:FS26))</f>
        <v>16248.672376547736</v>
      </c>
      <c r="FT27" s="2394">
        <f>($H$25-SUM($I26:FT26))</f>
        <v>15966.27070300153</v>
      </c>
      <c r="FU27" s="2394">
        <f>($H$25-SUM($I26:FU26))</f>
        <v>15688.777166155574</v>
      </c>
      <c r="FV27" s="2394">
        <f>($H$25-SUM($I26:FV26))</f>
        <v>15416.106462670228</v>
      </c>
      <c r="FW27" s="2394">
        <f>($H$25-SUM($I26:FW26))</f>
        <v>15148.174771776627</v>
      </c>
      <c r="FX27" s="2394">
        <f>($H$25-SUM($I26:FX26))</f>
        <v>14884.899729509489</v>
      </c>
      <c r="FY27" s="2394">
        <f>($H$25-SUM($I26:FY26))</f>
        <v>14626.200403388037</v>
      </c>
      <c r="FZ27" s="2394">
        <f>($H$25-SUM($I26:FZ26))</f>
        <v>14371.997267536732</v>
      </c>
      <c r="GA27" s="2394">
        <f>($H$25-SUM($I26:GA26))</f>
        <v>14122.212178238493</v>
      </c>
      <c r="GB27" s="2394">
        <f>($H$25-SUM($I26:GB26))</f>
        <v>13876.768349912832</v>
      </c>
      <c r="GC27" s="2394">
        <f>($H$25-SUM($I26:GC26))</f>
        <v>13635.590331511485</v>
      </c>
      <c r="GD27" s="2394">
        <f>($H$25-SUM($I26:GD26))</f>
        <v>13398.603983324225</v>
      </c>
      <c r="GE27" s="2394">
        <f>($H$25-SUM($I26:GE26))</f>
        <v>13165.736454187805</v>
      </c>
      <c r="GF27" s="2394">
        <f>($H$25-SUM($I26:GF26))</f>
        <v>12936.91615909111</v>
      </c>
      <c r="GG27" s="2394">
        <f>($H$25-SUM($I26:GG26))</f>
        <v>12712.072757169401</v>
      </c>
      <c r="GH27" s="2394">
        <f>($H$25-SUM($I26:GH26))</f>
        <v>12491.137130081042</v>
      </c>
      <c r="GI27" s="2394">
        <f>($H$25-SUM($I26:GI26))</f>
        <v>12274.041360760137</v>
      </c>
      <c r="GJ27" s="2394">
        <f>($H$25-SUM($I26:GJ26))</f>
        <v>12060.718712538306</v>
      </c>
      <c r="GK27" s="2394">
        <f>($H$25-SUM($I26:GK26))</f>
        <v>11851.103608629463</v>
      </c>
      <c r="GL27" s="2394">
        <f>($H$25-SUM($I26:GL26))</f>
        <v>11645.13161197101</v>
      </c>
      <c r="GM27" s="2394">
        <f>($H$25-SUM($I26:GM26))</f>
        <v>11442.739405415516</v>
      </c>
      <c r="GN27" s="2394">
        <f>($H$25-SUM($I26:GN26))</f>
        <v>11243.864772266621</v>
      </c>
      <c r="GO27" s="2394">
        <f>($H$25-SUM($I26:GO26))</f>
        <v>11048.44657715314</v>
      </c>
      <c r="GP27" s="2394">
        <f>($H$25-SUM($I26:GP26))</f>
        <v>10856.424747235666</v>
      </c>
      <c r="GQ27" s="2394">
        <f>($H$25-SUM($I26:GQ26))</f>
        <v>10667.740253739874</v>
      </c>
      <c r="GR27" s="2394">
        <f>($H$25-SUM($I26:GR26))</f>
        <v>10482.335093810572</v>
      </c>
      <c r="GS27" s="2394">
        <f>($H$25-SUM($I26:GS26))</f>
        <v>10300.152272681327</v>
      </c>
      <c r="GT27" s="2394">
        <f>($H$25-SUM($I26:GT26))</f>
        <v>10121.135786153813</v>
      </c>
      <c r="GU27" s="2394">
        <f>($H$25-SUM($I26:GU26))</f>
        <v>9945.2306033818459</v>
      </c>
      <c r="GV27" s="2394">
        <f>($H$25-SUM($I26:GV26))</f>
        <v>9772.3826499544666</v>
      </c>
      <c r="GW27" s="2394">
        <f>($H$25-SUM($I26:GW26))</f>
        <v>9602.5387912731676</v>
      </c>
      <c r="GX27" s="2394">
        <f>($H$25-SUM($I26:GX26))</f>
        <v>9435.6468162178935</v>
      </c>
      <c r="GY27" s="2394">
        <f>($H$25-SUM($I26:GY26))</f>
        <v>9271.6554210970935</v>
      </c>
      <c r="GZ27" s="2394">
        <f>($H$25-SUM($I26:GZ26))</f>
        <v>9110.51419387653</v>
      </c>
      <c r="HA27" s="2394">
        <f>($H$25-SUM($I26:HA26))</f>
        <v>8952.1735986823915</v>
      </c>
      <c r="HB27" s="2394">
        <f>($H$25-SUM($I26:HB26))</f>
        <v>8796.5849605735275</v>
      </c>
      <c r="HC27" s="2394">
        <f>($H$25-SUM($I26:HC26))</f>
        <v>8643.700450578559</v>
      </c>
      <c r="HD27" s="2394">
        <f>($H$25-SUM($I26:HD26))</f>
        <v>8493.4730709928554</v>
      </c>
      <c r="HE27" s="2394">
        <f>($H$25-SUM($I26:HE26))</f>
        <v>8345.8566409311607</v>
      </c>
      <c r="HF27" s="2394">
        <f>($H$25-SUM($I26:HF26))</f>
        <v>8200.8057821312977</v>
      </c>
      <c r="HG27" s="2394">
        <f>($H$25-SUM($I26:HG26))</f>
        <v>8058.2759050045861</v>
      </c>
      <c r="HH27" s="2394">
        <f>($H$25-SUM($I26:HH26))</f>
        <v>7918.2231949287234</v>
      </c>
      <c r="HI27" s="2394">
        <f>($H$25-SUM($I26:HI26))</f>
        <v>7780.6045987788239</v>
      </c>
      <c r="HJ27" s="2394">
        <f>($H$25-SUM($I26:HJ26))</f>
        <v>7645.3778116926551</v>
      </c>
      <c r="HK27" s="2394">
        <f>($H$25-SUM($I26:HK26))</f>
        <v>7512.5012640658242</v>
      </c>
      <c r="HL27" s="2394">
        <f>($H$25-SUM($I26:HL26))</f>
        <v>7381.9341087730427</v>
      </c>
      <c r="HM27" s="2394">
        <f>($H$25-SUM($I26:HM26))</f>
        <v>7253.636208611395</v>
      </c>
      <c r="HN27" s="2394">
        <f>($H$25-SUM($I26:HN26))</f>
        <v>7127.5681239619735</v>
      </c>
      <c r="HO27" s="2394">
        <f>($H$25-SUM($I26:HO26))</f>
        <v>7003.6911006658047</v>
      </c>
      <c r="HP27" s="2394">
        <f>($H$25-SUM($I26:HP26))</f>
        <v>6881.9670581105747</v>
      </c>
      <c r="HQ27" s="2394">
        <f>($H$25-SUM($I26:HQ26))</f>
        <v>6762.3585775244574</v>
      </c>
      <c r="HR27" s="2394">
        <f>($H$25-SUM($I26:HR26))</f>
        <v>6644.8288904732908</v>
      </c>
      <c r="HS27" s="2394">
        <f>($H$25-SUM($I26:HS26))</f>
        <v>6529.3418675577268</v>
      </c>
      <c r="HT27" s="2394">
        <f>($H$25-SUM($I26:HT26))</f>
        <v>6415.8620073068014</v>
      </c>
      <c r="HU27" s="2394">
        <f>($H$25-SUM($I26:HU26))</f>
        <v>6304.3544252645806</v>
      </c>
      <c r="HV27" s="2394">
        <f>($H$25-SUM($I26:HV26))</f>
        <v>6194.7848432664177</v>
      </c>
      <c r="HW27" s="2394">
        <f>($H$25-SUM($I26:HW26))</f>
        <v>6087.1195789016783</v>
      </c>
      <c r="HX27" s="2394">
        <f>($H$25-SUM($I26:HX26))</f>
        <v>5981.3255351594416</v>
      </c>
      <c r="HY27" s="2394">
        <f>($H$25-SUM($I26:HY26))</f>
        <v>5877.3701902543544</v>
      </c>
      <c r="HZ27" s="2394">
        <f>($H$25-SUM($I26:HZ26))</f>
        <v>5775.221587629203</v>
      </c>
      <c r="IA27" s="2394">
        <f>($H$25-SUM($I26:IA26))</f>
        <v>5676.4982975530729</v>
      </c>
      <c r="IB27" s="2504"/>
    </row>
    <row r="28" spans="2:321">
      <c r="C28" s="2405"/>
      <c r="D28" s="2406" t="s">
        <v>3919</v>
      </c>
      <c r="E28" s="2356"/>
      <c r="F28" s="2356"/>
      <c r="G28" s="2407">
        <f ca="1">(1+민감도!E88)^0.25-1</f>
        <v>3.7290889380929837E-3</v>
      </c>
      <c r="H28" s="2357"/>
      <c r="I28" s="2408"/>
      <c r="J28" s="2409"/>
      <c r="K28" s="5283"/>
      <c r="L28" s="5284"/>
      <c r="M28" s="5285"/>
      <c r="N28" s="5283"/>
      <c r="O28" s="5284"/>
      <c r="P28" s="2412"/>
      <c r="Q28" s="2413"/>
      <c r="R28" s="2414"/>
      <c r="S28" s="2412"/>
      <c r="T28" s="2415"/>
      <c r="U28" s="2416"/>
      <c r="V28" s="2416"/>
      <c r="W28" s="2417"/>
      <c r="X28" s="2417"/>
      <c r="Y28" s="2417"/>
      <c r="Z28" s="2417"/>
      <c r="AA28" s="2417"/>
      <c r="AB28" s="2417"/>
      <c r="AC28" s="2417"/>
      <c r="AD28" s="2417"/>
      <c r="AE28" s="2417"/>
      <c r="AF28" s="2417"/>
      <c r="AG28" s="2417"/>
      <c r="AH28" s="2417"/>
      <c r="AI28" s="2417"/>
      <c r="AJ28" s="2417">
        <f>Index!AH108</f>
        <v>1.0079961809285116</v>
      </c>
      <c r="AK28" s="2417">
        <f>Index!AI108</f>
        <v>1.0106217925766798</v>
      </c>
      <c r="AL28" s="2417">
        <f>Index!AJ108</f>
        <v>1.0227950829454588</v>
      </c>
      <c r="AM28" s="2417">
        <f>Index!AK108</f>
        <v>1.0268528464017186</v>
      </c>
      <c r="AN28" s="2417">
        <f>Index!AL108</f>
        <v>1.0423678243227115</v>
      </c>
      <c r="AO28" s="2417">
        <f>Index!AM108</f>
        <v>1.0412937104666427</v>
      </c>
      <c r="AP28" s="2417">
        <f>Index!AN108</f>
        <v>1.0650435612841627</v>
      </c>
      <c r="AQ28" s="2417">
        <f>Index!AO108</f>
        <v>1.0701754385964912</v>
      </c>
      <c r="AR28" s="2417">
        <f>Index!AP108</f>
        <v>1.0815133070772169</v>
      </c>
      <c r="AS28" s="2417">
        <f>Index!AQ108</f>
        <v>1.0846163026614153</v>
      </c>
      <c r="AT28" s="2417">
        <f>Index!AR108</f>
        <v>1.093328559493973</v>
      </c>
      <c r="AU28" s="2417">
        <f>Index!AS108</f>
        <v>1.0936865974459959</v>
      </c>
      <c r="AV28" s="2417">
        <f>Index!AT108</f>
        <v>1.1040696980546605</v>
      </c>
      <c r="AW28" s="2417">
        <f>Index!AU108</f>
        <v>1.1001312805824084</v>
      </c>
      <c r="AX28" s="2417">
        <f>Index!AV108</f>
        <v>1.1093209213509965</v>
      </c>
      <c r="AY28" s="2417">
        <f>Index!AW108</f>
        <v>1.106456617734813</v>
      </c>
      <c r="AZ28" s="2417">
        <f>Index!AX108</f>
        <v>1.1149301825993554</v>
      </c>
      <c r="BA28" s="2417">
        <f>Index!AY108</f>
        <v>1.1126626089032103</v>
      </c>
      <c r="BB28" s="2417">
        <f>Index!AZ108</f>
        <v>1.1236424394319131</v>
      </c>
      <c r="BC28" s="2417">
        <f>Index!BA108</f>
        <v>1.1248358992719893</v>
      </c>
      <c r="BD28" s="2417">
        <f>Index!BB108</f>
        <v>1.1277002028881726</v>
      </c>
      <c r="BE28" s="2417">
        <f>Index!BC108</f>
        <v>1.1219715956558061</v>
      </c>
      <c r="BF28" s="2417">
        <f>Index!BD108</f>
        <v>1.1290130087122567</v>
      </c>
      <c r="BG28" s="2417">
        <f>Index!BE108</f>
        <v>1.1327127342164935</v>
      </c>
      <c r="BH28" s="2417">
        <f>Index!BF108</f>
        <v>1.1334288101205394</v>
      </c>
      <c r="BI28" s="2417">
        <f>Index!BG108</f>
        <v>1.1346222699606157</v>
      </c>
      <c r="BJ28" s="2417">
        <f>Index!BH108</f>
        <v>1.1384413414488601</v>
      </c>
      <c r="BK28" s="2417">
        <f>Index!BI108</f>
        <v>1.1410669530970281</v>
      </c>
      <c r="BL28" s="2417">
        <f>Index!BJ108</f>
        <v>1.148705096073517</v>
      </c>
      <c r="BM28" s="2417">
        <f>Index!BK108</f>
        <v>1.1497792099295858</v>
      </c>
      <c r="BN28" s="2417">
        <f>Index!BL108</f>
        <v>1.1644587659625252</v>
      </c>
      <c r="BO28" s="2417">
        <f>Index!BM108</f>
        <v>1.1617138083303495</v>
      </c>
      <c r="BP28" s="2417">
        <f>Index!BN108</f>
        <v>1.1716195250029835</v>
      </c>
      <c r="BQ28" s="2417">
        <f>Index!BO108</f>
        <v>1.1660102637546246</v>
      </c>
      <c r="BR28" s="2417">
        <f>Index!BP108</f>
        <v>1.1785415920754265</v>
      </c>
      <c r="BS28" s="2417">
        <f>Index!BQ108</f>
        <v>1.1788996300274495</v>
      </c>
      <c r="BT28" s="2417">
        <f>Index!BR108</f>
        <v>1.1960854517245494</v>
      </c>
      <c r="BU28" s="2417">
        <f>Index!BS108</f>
        <v>1.1814058956916098</v>
      </c>
      <c r="BV28" s="2417">
        <f>Index!BT108</f>
        <v>1.1829573934837092</v>
      </c>
      <c r="BW28" s="2417">
        <f>Index!BU108</f>
        <v>1.1873731948919917</v>
      </c>
      <c r="BX28" s="2417">
        <f>Index!BV108</f>
        <v>1.190953574412221</v>
      </c>
      <c r="BY28" s="2417">
        <f>Index!BW108</f>
        <v>1.1901181525241675</v>
      </c>
      <c r="BZ28" s="2417">
        <f>Index!BX108</f>
        <v>1.1927437641723355</v>
      </c>
      <c r="CA28" s="2417">
        <f>Index!BY108</f>
        <v>1.1899988065401597</v>
      </c>
      <c r="CB28" s="2417">
        <f>Index!BZ108</f>
        <v>1.2022914428929465</v>
      </c>
      <c r="CC28" s="2417">
        <f>Index!CA108</f>
        <v>1.1973982575486333</v>
      </c>
      <c r="CD28" s="2417">
        <f>Index!CB108</f>
        <v>1.2154195011337867</v>
      </c>
      <c r="CE28" s="2417">
        <f>Index!CC108</f>
        <v>1.2179257667979471</v>
      </c>
      <c r="CF28" s="2417">
        <f>Index!CD108</f>
        <v>1.2312925170068028</v>
      </c>
      <c r="CG28" s="2417">
        <f>Index!CE108</f>
        <v>1.2416756176154673</v>
      </c>
      <c r="CH28" s="2418">
        <f t="shared" ref="CH28:DM28" ca="1" si="34">CG28*(1+$G$28)</f>
        <v>1.2463059364258169</v>
      </c>
      <c r="CI28" s="2418">
        <f t="shared" ca="1" si="34"/>
        <v>1.250953522106822</v>
      </c>
      <c r="CJ28" s="2418">
        <f t="shared" ca="1" si="34"/>
        <v>1.255618439048179</v>
      </c>
      <c r="CK28" s="2418">
        <f t="shared" ca="1" si="34"/>
        <v>1.2603007518796991</v>
      </c>
      <c r="CL28" s="2418">
        <f t="shared" ca="1" si="34"/>
        <v>1.2650005254722041</v>
      </c>
      <c r="CM28" s="2418">
        <f t="shared" ca="1" si="34"/>
        <v>1.2697178249384242</v>
      </c>
      <c r="CN28" s="2418">
        <f t="shared" ca="1" si="34"/>
        <v>1.2744527156339016</v>
      </c>
      <c r="CO28" s="2418">
        <f t="shared" ca="1" si="34"/>
        <v>1.2792052631578945</v>
      </c>
      <c r="CP28" s="2418">
        <f t="shared" ca="1" si="34"/>
        <v>1.283975533354287</v>
      </c>
      <c r="CQ28" s="2418">
        <f t="shared" ca="1" si="34"/>
        <v>1.2887635923125005</v>
      </c>
      <c r="CR28" s="2418">
        <f t="shared" ca="1" si="34"/>
        <v>1.2935695063684101</v>
      </c>
      <c r="CS28" s="2418">
        <f t="shared" ca="1" si="34"/>
        <v>1.2983933421052629</v>
      </c>
      <c r="CT28" s="2418">
        <f t="shared" ca="1" si="34"/>
        <v>1.3032351663546011</v>
      </c>
      <c r="CU28" s="2418">
        <f t="shared" ca="1" si="34"/>
        <v>1.3080950461971879</v>
      </c>
      <c r="CV28" s="2418">
        <f t="shared" ca="1" si="34"/>
        <v>1.312973048963936</v>
      </c>
      <c r="CW28" s="2418">
        <f t="shared" ca="1" si="34"/>
        <v>1.3178692422368417</v>
      </c>
      <c r="CX28" s="2418">
        <f t="shared" ca="1" si="34"/>
        <v>1.32278369384992</v>
      </c>
      <c r="CY28" s="2418">
        <f t="shared" ca="1" si="34"/>
        <v>1.3277164718901455</v>
      </c>
      <c r="CZ28" s="2418">
        <f t="shared" ca="1" si="34"/>
        <v>1.3326676446983949</v>
      </c>
      <c r="DA28" s="2418">
        <f t="shared" ca="1" si="34"/>
        <v>1.3376372808703942</v>
      </c>
      <c r="DB28" s="2418">
        <f t="shared" ca="1" si="34"/>
        <v>1.3426254492576688</v>
      </c>
      <c r="DC28" s="2418">
        <f t="shared" ca="1" si="34"/>
        <v>1.3476322189684977</v>
      </c>
      <c r="DD28" s="2418">
        <f t="shared" ca="1" si="34"/>
        <v>1.3526576593688708</v>
      </c>
      <c r="DE28" s="2418">
        <f t="shared" ca="1" si="34"/>
        <v>1.35770184008345</v>
      </c>
      <c r="DF28" s="2418">
        <f t="shared" ca="1" si="34"/>
        <v>1.3627648309965337</v>
      </c>
      <c r="DG28" s="2418">
        <f t="shared" ca="1" si="34"/>
        <v>1.367846702253025</v>
      </c>
      <c r="DH28" s="2418">
        <f t="shared" ca="1" si="34"/>
        <v>1.3729475242594036</v>
      </c>
      <c r="DI28" s="2418">
        <f t="shared" ca="1" si="34"/>
        <v>1.3780673676847015</v>
      </c>
      <c r="DJ28" s="2418">
        <f t="shared" ca="1" si="34"/>
        <v>1.3832063034614814</v>
      </c>
      <c r="DK28" s="2418">
        <f t="shared" ca="1" si="34"/>
        <v>1.3883644027868201</v>
      </c>
      <c r="DL28" s="2418">
        <f t="shared" ca="1" si="34"/>
        <v>1.3935417371232945</v>
      </c>
      <c r="DM28" s="2418">
        <f t="shared" ca="1" si="34"/>
        <v>1.3987383781999718</v>
      </c>
      <c r="DN28" s="2418">
        <f t="shared" ref="DN28:ES28" ca="1" si="35">DM28*(1+$G$28)</f>
        <v>1.4039543980134035</v>
      </c>
      <c r="DO28" s="2418">
        <f t="shared" ca="1" si="35"/>
        <v>1.4091898688286222</v>
      </c>
      <c r="DP28" s="2418">
        <f t="shared" ca="1" si="35"/>
        <v>1.4144448631801436</v>
      </c>
      <c r="DQ28" s="2418">
        <f t="shared" ca="1" si="35"/>
        <v>1.4197194538729712</v>
      </c>
      <c r="DR28" s="2418">
        <f t="shared" ca="1" si="35"/>
        <v>1.4250137139836043</v>
      </c>
      <c r="DS28" s="2418">
        <f t="shared" ca="1" si="35"/>
        <v>1.4303277168610513</v>
      </c>
      <c r="DT28" s="2418">
        <f t="shared" ca="1" si="35"/>
        <v>1.4356615361278457</v>
      </c>
      <c r="DU28" s="2418">
        <f t="shared" ca="1" si="35"/>
        <v>1.4410152456810656</v>
      </c>
      <c r="DV28" s="2418">
        <f t="shared" ca="1" si="35"/>
        <v>1.4463889196933581</v>
      </c>
      <c r="DW28" s="2418">
        <f t="shared" ca="1" si="35"/>
        <v>1.4517826326139669</v>
      </c>
      <c r="DX28" s="2418">
        <f t="shared" ca="1" si="35"/>
        <v>1.4571964591697633</v>
      </c>
      <c r="DY28" s="2418">
        <f t="shared" ca="1" si="35"/>
        <v>1.4626304743662815</v>
      </c>
      <c r="DZ28" s="2418">
        <f t="shared" ca="1" si="35"/>
        <v>1.4680847534887584</v>
      </c>
      <c r="EA28" s="2418">
        <f t="shared" ca="1" si="35"/>
        <v>1.4735593721031763</v>
      </c>
      <c r="EB28" s="2418">
        <f t="shared" ca="1" si="35"/>
        <v>1.4790544060573094</v>
      </c>
      <c r="EC28" s="2418">
        <f t="shared" ca="1" si="35"/>
        <v>1.4845699314817755</v>
      </c>
      <c r="ED28" s="2418">
        <f t="shared" ca="1" si="35"/>
        <v>1.4901060247910896</v>
      </c>
      <c r="EE28" s="2418">
        <f t="shared" ca="1" si="35"/>
        <v>1.4956627626847236</v>
      </c>
      <c r="EF28" s="2418">
        <f t="shared" ca="1" si="35"/>
        <v>1.5012402221481689</v>
      </c>
      <c r="EG28" s="2418">
        <f t="shared" ca="1" si="35"/>
        <v>1.5068384804540018</v>
      </c>
      <c r="EH28" s="2418">
        <f t="shared" ca="1" si="35"/>
        <v>1.5124576151629556</v>
      </c>
      <c r="EI28" s="2418">
        <f t="shared" ca="1" si="35"/>
        <v>1.5180977041249943</v>
      </c>
      <c r="EJ28" s="2418">
        <f t="shared" ca="1" si="35"/>
        <v>1.5237588254803913</v>
      </c>
      <c r="EK28" s="2418">
        <f t="shared" ca="1" si="35"/>
        <v>1.5294410576608117</v>
      </c>
      <c r="EL28" s="2418">
        <f t="shared" ca="1" si="35"/>
        <v>1.5351444793903999</v>
      </c>
      <c r="EM28" s="2418">
        <f t="shared" ca="1" si="35"/>
        <v>1.540869169686869</v>
      </c>
      <c r="EN28" s="2418">
        <f t="shared" ca="1" si="35"/>
        <v>1.5466152078625968</v>
      </c>
      <c r="EO28" s="2418">
        <f t="shared" ca="1" si="35"/>
        <v>1.5523826735257236</v>
      </c>
      <c r="EP28" s="2418">
        <f t="shared" ca="1" si="35"/>
        <v>1.5581716465812556</v>
      </c>
      <c r="EQ28" s="2418">
        <f t="shared" ca="1" si="35"/>
        <v>1.5639822072321719</v>
      </c>
      <c r="ER28" s="2418">
        <f t="shared" ca="1" si="35"/>
        <v>1.5698144359805355</v>
      </c>
      <c r="ES28" s="2418">
        <f t="shared" ca="1" si="35"/>
        <v>1.5756684136286092</v>
      </c>
      <c r="ET28" s="2418">
        <f t="shared" ref="ET28:FY28" ca="1" si="36">ES28*(1+$G$28)</f>
        <v>1.5815442212799742</v>
      </c>
      <c r="EU28" s="2418">
        <f t="shared" ca="1" si="36"/>
        <v>1.5874419403406541</v>
      </c>
      <c r="EV28" s="2418">
        <f t="shared" ca="1" si="36"/>
        <v>1.5933616525202432</v>
      </c>
      <c r="EW28" s="2418">
        <f t="shared" ca="1" si="36"/>
        <v>1.5993034398330379</v>
      </c>
      <c r="EX28" s="2418">
        <f t="shared" ca="1" si="36"/>
        <v>1.6052673845991734</v>
      </c>
      <c r="EY28" s="2418">
        <f t="shared" ca="1" si="36"/>
        <v>1.6112535694457637</v>
      </c>
      <c r="EZ28" s="2418">
        <f t="shared" ca="1" si="36"/>
        <v>1.6172620773080468</v>
      </c>
      <c r="FA28" s="2418">
        <f t="shared" ca="1" si="36"/>
        <v>1.6232929914305336</v>
      </c>
      <c r="FB28" s="2418">
        <f t="shared" ca="1" si="36"/>
        <v>1.6293463953681611</v>
      </c>
      <c r="FC28" s="2418">
        <f t="shared" ca="1" si="36"/>
        <v>1.6354223729874502</v>
      </c>
      <c r="FD28" s="2418">
        <f t="shared" ca="1" si="36"/>
        <v>1.6415210084676675</v>
      </c>
      <c r="FE28" s="2418">
        <f t="shared" ca="1" si="36"/>
        <v>1.6476423863019916</v>
      </c>
      <c r="FF28" s="2418">
        <f t="shared" ca="1" si="36"/>
        <v>1.6537865912986836</v>
      </c>
      <c r="FG28" s="2418">
        <f t="shared" ca="1" si="36"/>
        <v>1.659953708582262</v>
      </c>
      <c r="FH28" s="2418">
        <f t="shared" ca="1" si="36"/>
        <v>1.6661438235946826</v>
      </c>
      <c r="FI28" s="2418">
        <f t="shared" ca="1" si="36"/>
        <v>1.6723570220965214</v>
      </c>
      <c r="FJ28" s="2418">
        <f t="shared" ca="1" si="36"/>
        <v>1.6785933901681636</v>
      </c>
      <c r="FK28" s="2418">
        <f t="shared" ca="1" si="36"/>
        <v>1.6848530142109956</v>
      </c>
      <c r="FL28" s="2418">
        <f t="shared" ca="1" si="36"/>
        <v>1.6911359809486024</v>
      </c>
      <c r="FM28" s="2418">
        <f t="shared" ca="1" si="36"/>
        <v>1.6974423774279688</v>
      </c>
      <c r="FN28" s="2418">
        <f t="shared" ca="1" si="36"/>
        <v>1.7037722910206856</v>
      </c>
      <c r="FO28" s="2418">
        <f t="shared" ca="1" si="36"/>
        <v>1.7101258094241603</v>
      </c>
      <c r="FP28" s="2418">
        <f t="shared" ca="1" si="36"/>
        <v>1.7165030206628311</v>
      </c>
      <c r="FQ28" s="2418">
        <f t="shared" ca="1" si="36"/>
        <v>1.722904013089388</v>
      </c>
      <c r="FR28" s="2418">
        <f t="shared" ca="1" si="36"/>
        <v>1.7293288753859957</v>
      </c>
      <c r="FS28" s="2418">
        <f t="shared" ca="1" si="36"/>
        <v>1.7357776965655223</v>
      </c>
      <c r="FT28" s="2418">
        <f t="shared" ca="1" si="36"/>
        <v>1.7422505659727734</v>
      </c>
      <c r="FU28" s="2418">
        <f t="shared" ca="1" si="36"/>
        <v>1.7487475732857287</v>
      </c>
      <c r="FV28" s="2418">
        <f t="shared" ca="1" si="36"/>
        <v>1.7552688085167856</v>
      </c>
      <c r="FW28" s="2418">
        <f t="shared" ca="1" si="36"/>
        <v>1.7618143620140052</v>
      </c>
      <c r="FX28" s="2418">
        <f t="shared" ca="1" si="36"/>
        <v>1.7683843244623649</v>
      </c>
      <c r="FY28" s="2418">
        <f t="shared" ca="1" si="36"/>
        <v>1.7749787868850146</v>
      </c>
      <c r="FZ28" s="2418">
        <f t="shared" ref="FZ28:HE28" ca="1" si="37">FY28*(1+$G$28)</f>
        <v>1.7815978406445372</v>
      </c>
      <c r="GA28" s="2418">
        <f t="shared" ca="1" si="37"/>
        <v>1.7882415774442151</v>
      </c>
      <c r="GB28" s="2418">
        <f t="shared" ca="1" si="37"/>
        <v>1.7949100893293002</v>
      </c>
      <c r="GC28" s="2418">
        <f t="shared" ca="1" si="37"/>
        <v>1.8016034686882896</v>
      </c>
      <c r="GD28" s="2418">
        <f t="shared" ca="1" si="37"/>
        <v>1.808321808254205</v>
      </c>
      <c r="GE28" s="2418">
        <f t="shared" ca="1" si="37"/>
        <v>1.8150652011058781</v>
      </c>
      <c r="GF28" s="2418">
        <f t="shared" ca="1" si="37"/>
        <v>1.8218337406692395</v>
      </c>
      <c r="GG28" s="2418">
        <f t="shared" ca="1" si="37"/>
        <v>1.8286275207186138</v>
      </c>
      <c r="GH28" s="2418">
        <f t="shared" ca="1" si="37"/>
        <v>1.8354466353780179</v>
      </c>
      <c r="GI28" s="2418">
        <f t="shared" ca="1" si="37"/>
        <v>1.8422911791224661</v>
      </c>
      <c r="GJ28" s="2418">
        <f t="shared" ca="1" si="37"/>
        <v>1.849161246779278</v>
      </c>
      <c r="GK28" s="2418">
        <f t="shared" ca="1" si="37"/>
        <v>1.8560569335293928</v>
      </c>
      <c r="GL28" s="2418">
        <f t="shared" ca="1" si="37"/>
        <v>1.8629783349086881</v>
      </c>
      <c r="GM28" s="2418">
        <f t="shared" ca="1" si="37"/>
        <v>1.869925546809303</v>
      </c>
      <c r="GN28" s="2418">
        <f t="shared" ca="1" si="37"/>
        <v>1.876898665480967</v>
      </c>
      <c r="GO28" s="2418">
        <f t="shared" ca="1" si="37"/>
        <v>1.8838977875323335</v>
      </c>
      <c r="GP28" s="2418">
        <f t="shared" ca="1" si="37"/>
        <v>1.8909230099323182</v>
      </c>
      <c r="GQ28" s="2418">
        <f t="shared" ca="1" si="37"/>
        <v>1.8979744300114423</v>
      </c>
      <c r="GR28" s="2418">
        <f t="shared" ca="1" si="37"/>
        <v>1.9050521454631812</v>
      </c>
      <c r="GS28" s="2418">
        <f t="shared" ca="1" si="37"/>
        <v>1.9121562543453183</v>
      </c>
      <c r="GT28" s="2418">
        <f t="shared" ca="1" si="37"/>
        <v>1.9192868550813027</v>
      </c>
      <c r="GU28" s="2418">
        <f t="shared" ca="1" si="37"/>
        <v>1.9264440464616137</v>
      </c>
      <c r="GV28" s="2418">
        <f t="shared" ca="1" si="37"/>
        <v>1.9336279276451287</v>
      </c>
      <c r="GW28" s="2418">
        <f t="shared" ca="1" si="37"/>
        <v>1.9408385981604979</v>
      </c>
      <c r="GX28" s="2418">
        <f t="shared" ca="1" si="37"/>
        <v>1.9480761579075221</v>
      </c>
      <c r="GY28" s="2418">
        <f t="shared" ca="1" si="37"/>
        <v>1.9553407071585378</v>
      </c>
      <c r="GZ28" s="2418">
        <f t="shared" ca="1" si="37"/>
        <v>1.9626323465598057</v>
      </c>
      <c r="HA28" s="2418">
        <f t="shared" ca="1" si="37"/>
        <v>1.9699511771329052</v>
      </c>
      <c r="HB28" s="2418">
        <f t="shared" ca="1" si="37"/>
        <v>1.9772973002761347</v>
      </c>
      <c r="HC28" s="2418">
        <f t="shared" ca="1" si="37"/>
        <v>1.9846708177659156</v>
      </c>
      <c r="HD28" s="2418">
        <f t="shared" ca="1" si="37"/>
        <v>1.9920718317582025</v>
      </c>
      <c r="HE28" s="2418">
        <f t="shared" ca="1" si="37"/>
        <v>1.9995004447898985</v>
      </c>
      <c r="HF28" s="2418">
        <f t="shared" ref="HF28:IA28" ca="1" si="38">HE28*(1+$G$28)</f>
        <v>2.0069567597802767</v>
      </c>
      <c r="HG28" s="2418">
        <f t="shared" ca="1" si="38"/>
        <v>2.0144408800324043</v>
      </c>
      <c r="HH28" s="2418">
        <f t="shared" ca="1" si="38"/>
        <v>2.0219529092345754</v>
      </c>
      <c r="HI28" s="2418">
        <f t="shared" ca="1" si="38"/>
        <v>2.029492951461747</v>
      </c>
      <c r="HJ28" s="2418">
        <f t="shared" ca="1" si="38"/>
        <v>2.0370611111769805</v>
      </c>
      <c r="HK28" s="2418">
        <f t="shared" ca="1" si="38"/>
        <v>2.04465749323289</v>
      </c>
      <c r="HL28" s="2418">
        <f t="shared" ca="1" si="38"/>
        <v>2.0522822028730938</v>
      </c>
      <c r="HM28" s="2418">
        <f t="shared" ca="1" si="38"/>
        <v>2.0599353457336731</v>
      </c>
      <c r="HN28" s="2418">
        <f t="shared" ca="1" si="38"/>
        <v>2.0676170278446353</v>
      </c>
      <c r="HO28" s="2418">
        <f t="shared" ca="1" si="38"/>
        <v>2.0753273556313836</v>
      </c>
      <c r="HP28" s="2418">
        <f t="shared" ca="1" si="38"/>
        <v>2.0830664359161903</v>
      </c>
      <c r="HQ28" s="2418">
        <f t="shared" ca="1" si="38"/>
        <v>2.0908343759196781</v>
      </c>
      <c r="HR28" s="2418">
        <f t="shared" ca="1" si="38"/>
        <v>2.0986312832623049</v>
      </c>
      <c r="HS28" s="2418">
        <f t="shared" ca="1" si="38"/>
        <v>2.106457265965854</v>
      </c>
      <c r="HT28" s="2418">
        <f t="shared" ca="1" si="38"/>
        <v>2.1143124324549327</v>
      </c>
      <c r="HU28" s="2418">
        <f t="shared" ca="1" si="38"/>
        <v>2.122196891558473</v>
      </c>
      <c r="HV28" s="2418">
        <f t="shared" ca="1" si="38"/>
        <v>2.1301107525112388</v>
      </c>
      <c r="HW28" s="2418">
        <f t="shared" ca="1" si="38"/>
        <v>2.1380541249553415</v>
      </c>
      <c r="HX28" s="2418">
        <f t="shared" ca="1" si="38"/>
        <v>2.1460271189417566</v>
      </c>
      <c r="HY28" s="2418">
        <f t="shared" ca="1" si="38"/>
        <v>2.1540298449318498</v>
      </c>
      <c r="HZ28" s="2418">
        <f t="shared" ca="1" si="38"/>
        <v>2.1620624137989073</v>
      </c>
      <c r="IA28" s="2418">
        <f t="shared" ca="1" si="38"/>
        <v>2.1701249368296716</v>
      </c>
    </row>
    <row r="29" spans="2:321">
      <c r="C29" s="2419"/>
      <c r="D29" s="2373" t="s">
        <v>3920</v>
      </c>
      <c r="E29" s="2396"/>
      <c r="F29" s="2396"/>
      <c r="G29" s="2420"/>
      <c r="H29" s="2398">
        <f ca="1">SUM(펀드차입금!D83:D84)*100</f>
        <v>8860174.3999999985</v>
      </c>
      <c r="I29" s="2421"/>
      <c r="J29" s="2399"/>
      <c r="K29" s="2399"/>
      <c r="L29" s="2398"/>
      <c r="M29" s="2400"/>
      <c r="N29" s="2399"/>
      <c r="O29" s="2398"/>
      <c r="P29" s="2398">
        <f t="shared" ref="P29:CA29" si="39">$H$25*P3/$H$3</f>
        <v>0</v>
      </c>
      <c r="Q29" s="2401">
        <f t="shared" si="39"/>
        <v>0</v>
      </c>
      <c r="R29" s="2400">
        <f t="shared" si="39"/>
        <v>0</v>
      </c>
      <c r="S29" s="2398">
        <f t="shared" si="39"/>
        <v>0</v>
      </c>
      <c r="T29" s="2401">
        <f t="shared" si="39"/>
        <v>0</v>
      </c>
      <c r="U29" s="2402">
        <f t="shared" si="39"/>
        <v>0</v>
      </c>
      <c r="V29" s="2402">
        <f t="shared" si="39"/>
        <v>0</v>
      </c>
      <c r="W29" s="2402">
        <f t="shared" si="39"/>
        <v>0</v>
      </c>
      <c r="X29" s="2402">
        <f t="shared" si="39"/>
        <v>0</v>
      </c>
      <c r="Y29" s="2402">
        <f t="shared" si="39"/>
        <v>0</v>
      </c>
      <c r="Z29" s="2402">
        <f t="shared" si="39"/>
        <v>0</v>
      </c>
      <c r="AA29" s="2402">
        <f t="shared" si="39"/>
        <v>0</v>
      </c>
      <c r="AB29" s="2402">
        <f t="shared" si="39"/>
        <v>0</v>
      </c>
      <c r="AC29" s="2402">
        <f t="shared" si="39"/>
        <v>0</v>
      </c>
      <c r="AD29" s="2402">
        <f t="shared" si="39"/>
        <v>0</v>
      </c>
      <c r="AE29" s="2402">
        <f t="shared" si="39"/>
        <v>0</v>
      </c>
      <c r="AF29" s="2402">
        <f t="shared" si="39"/>
        <v>0</v>
      </c>
      <c r="AG29" s="2402">
        <f t="shared" si="39"/>
        <v>0</v>
      </c>
      <c r="AH29" s="2402">
        <f t="shared" si="39"/>
        <v>0</v>
      </c>
      <c r="AI29" s="2402">
        <f t="shared" si="39"/>
        <v>15.5519728339975</v>
      </c>
      <c r="AJ29" s="2402">
        <f t="shared" si="39"/>
        <v>946.07834740150565</v>
      </c>
      <c r="AK29" s="2402">
        <f t="shared" si="39"/>
        <v>946.07834740150565</v>
      </c>
      <c r="AL29" s="2402">
        <f t="shared" si="39"/>
        <v>946.07834740150565</v>
      </c>
      <c r="AM29" s="2402">
        <f t="shared" si="39"/>
        <v>946.07834740150565</v>
      </c>
      <c r="AN29" s="2402">
        <f t="shared" si="39"/>
        <v>946.07834740150565</v>
      </c>
      <c r="AO29" s="2402">
        <f t="shared" si="39"/>
        <v>946.07834740150565</v>
      </c>
      <c r="AP29" s="2402">
        <f t="shared" si="39"/>
        <v>946.07834740150565</v>
      </c>
      <c r="AQ29" s="2402">
        <f t="shared" si="39"/>
        <v>946.07834740150565</v>
      </c>
      <c r="AR29" s="2402">
        <f t="shared" si="39"/>
        <v>946.07834740150565</v>
      </c>
      <c r="AS29" s="2402">
        <f t="shared" si="39"/>
        <v>946.07834740150565</v>
      </c>
      <c r="AT29" s="2402">
        <f t="shared" si="39"/>
        <v>946.07834740150565</v>
      </c>
      <c r="AU29" s="2402">
        <f t="shared" si="39"/>
        <v>946.07834740150565</v>
      </c>
      <c r="AV29" s="2402">
        <f t="shared" si="39"/>
        <v>946.07834740150565</v>
      </c>
      <c r="AW29" s="2402">
        <f t="shared" si="39"/>
        <v>946.07834740150565</v>
      </c>
      <c r="AX29" s="2402">
        <f t="shared" si="39"/>
        <v>946.07834740150565</v>
      </c>
      <c r="AY29" s="2402">
        <f t="shared" si="39"/>
        <v>946.07834740150565</v>
      </c>
      <c r="AZ29" s="2402">
        <f t="shared" si="39"/>
        <v>946.07834740150565</v>
      </c>
      <c r="BA29" s="2402">
        <f t="shared" si="39"/>
        <v>946.07834740150565</v>
      </c>
      <c r="BB29" s="2402">
        <f t="shared" si="39"/>
        <v>946.07834740150565</v>
      </c>
      <c r="BC29" s="2402">
        <f t="shared" si="39"/>
        <v>946.07834740150565</v>
      </c>
      <c r="BD29" s="2402">
        <f t="shared" si="39"/>
        <v>946.07834740150565</v>
      </c>
      <c r="BE29" s="2402">
        <f t="shared" si="39"/>
        <v>946.07834740150565</v>
      </c>
      <c r="BF29" s="2402">
        <f t="shared" si="39"/>
        <v>946.07834740150565</v>
      </c>
      <c r="BG29" s="2402">
        <f t="shared" si="39"/>
        <v>946.07834740150565</v>
      </c>
      <c r="BH29" s="2402">
        <f t="shared" si="39"/>
        <v>946.07834740150565</v>
      </c>
      <c r="BI29" s="2402">
        <f t="shared" si="39"/>
        <v>946.07834740150565</v>
      </c>
      <c r="BJ29" s="2402">
        <f t="shared" si="39"/>
        <v>946.07834740150565</v>
      </c>
      <c r="BK29" s="2402">
        <f t="shared" si="39"/>
        <v>946.07834740150565</v>
      </c>
      <c r="BL29" s="2402">
        <f t="shared" si="39"/>
        <v>946.07834740150565</v>
      </c>
      <c r="BM29" s="2402">
        <f t="shared" si="39"/>
        <v>946.07834740150565</v>
      </c>
      <c r="BN29" s="2402">
        <f t="shared" si="39"/>
        <v>946.07834740150565</v>
      </c>
      <c r="BO29" s="2402">
        <f t="shared" si="39"/>
        <v>946.07834740150565</v>
      </c>
      <c r="BP29" s="2402">
        <f t="shared" si="39"/>
        <v>946.07834740150565</v>
      </c>
      <c r="BQ29" s="2402">
        <f t="shared" si="39"/>
        <v>946.07834740150565</v>
      </c>
      <c r="BR29" s="2402">
        <f t="shared" si="39"/>
        <v>946.07834740150565</v>
      </c>
      <c r="BS29" s="2402">
        <f t="shared" si="39"/>
        <v>946.07834740150565</v>
      </c>
      <c r="BT29" s="2402">
        <f t="shared" si="39"/>
        <v>946.07834740150565</v>
      </c>
      <c r="BU29" s="2402">
        <f t="shared" si="39"/>
        <v>946.07834740150565</v>
      </c>
      <c r="BV29" s="2402">
        <f t="shared" si="39"/>
        <v>946.07834740150565</v>
      </c>
      <c r="BW29" s="2402">
        <f t="shared" si="39"/>
        <v>946.07834740150565</v>
      </c>
      <c r="BX29" s="2402">
        <f t="shared" si="39"/>
        <v>946.07834740150565</v>
      </c>
      <c r="BY29" s="2402">
        <f t="shared" si="39"/>
        <v>946.07834740150565</v>
      </c>
      <c r="BZ29" s="2402">
        <f t="shared" si="39"/>
        <v>946.07834740150565</v>
      </c>
      <c r="CA29" s="2402">
        <f t="shared" si="39"/>
        <v>946.07834740150565</v>
      </c>
      <c r="CB29" s="2402">
        <f t="shared" ref="CB29:EM29" si="40">$H$25*CB3/$H$3</f>
        <v>946.07834740150565</v>
      </c>
      <c r="CC29" s="2402">
        <f t="shared" si="40"/>
        <v>946.07834740150565</v>
      </c>
      <c r="CD29" s="2402">
        <f t="shared" si="40"/>
        <v>946.07834740150565</v>
      </c>
      <c r="CE29" s="2402">
        <f t="shared" si="40"/>
        <v>946.07834740150565</v>
      </c>
      <c r="CF29" s="2402">
        <f t="shared" si="40"/>
        <v>946.07834740150565</v>
      </c>
      <c r="CG29" s="2402">
        <f t="shared" si="40"/>
        <v>946.07834740150565</v>
      </c>
      <c r="CH29" s="2402">
        <f t="shared" si="40"/>
        <v>946.07834740150565</v>
      </c>
      <c r="CI29" s="2402">
        <f t="shared" si="40"/>
        <v>946.07834740150565</v>
      </c>
      <c r="CJ29" s="2402">
        <f t="shared" si="40"/>
        <v>946.07834740150565</v>
      </c>
      <c r="CK29" s="2402">
        <f t="shared" si="40"/>
        <v>946.07834740150565</v>
      </c>
      <c r="CL29" s="2402">
        <f t="shared" si="40"/>
        <v>946.07834740150565</v>
      </c>
      <c r="CM29" s="2402">
        <f t="shared" si="40"/>
        <v>946.07834740150565</v>
      </c>
      <c r="CN29" s="2402">
        <f t="shared" si="40"/>
        <v>946.07834740150565</v>
      </c>
      <c r="CO29" s="2402">
        <f t="shared" si="40"/>
        <v>946.07834740150565</v>
      </c>
      <c r="CP29" s="2402">
        <f t="shared" si="40"/>
        <v>946.07834740150565</v>
      </c>
      <c r="CQ29" s="2402">
        <f t="shared" si="40"/>
        <v>946.07834740150565</v>
      </c>
      <c r="CR29" s="2402">
        <f t="shared" si="40"/>
        <v>946.07834740150565</v>
      </c>
      <c r="CS29" s="2402">
        <f t="shared" si="40"/>
        <v>946.07834740150565</v>
      </c>
      <c r="CT29" s="2402">
        <f t="shared" si="40"/>
        <v>946.07834740150565</v>
      </c>
      <c r="CU29" s="2402">
        <f t="shared" si="40"/>
        <v>946.07834740150565</v>
      </c>
      <c r="CV29" s="2402">
        <f t="shared" si="40"/>
        <v>946.07834740150565</v>
      </c>
      <c r="CW29" s="2402">
        <f t="shared" si="40"/>
        <v>946.07834740150565</v>
      </c>
      <c r="CX29" s="2402">
        <f t="shared" si="40"/>
        <v>946.07834740150565</v>
      </c>
      <c r="CY29" s="2402">
        <f t="shared" si="40"/>
        <v>946.07834740150565</v>
      </c>
      <c r="CZ29" s="2402">
        <f t="shared" si="40"/>
        <v>946.07834740150565</v>
      </c>
      <c r="DA29" s="2402">
        <f t="shared" si="40"/>
        <v>946.07834740150565</v>
      </c>
      <c r="DB29" s="2402">
        <f t="shared" si="40"/>
        <v>946.07834740150565</v>
      </c>
      <c r="DC29" s="2402">
        <f t="shared" si="40"/>
        <v>946.07834740150565</v>
      </c>
      <c r="DD29" s="2402">
        <f t="shared" si="40"/>
        <v>946.07834740150565</v>
      </c>
      <c r="DE29" s="2402">
        <f t="shared" si="40"/>
        <v>946.07834740150565</v>
      </c>
      <c r="DF29" s="2402">
        <f t="shared" si="40"/>
        <v>946.07834740150565</v>
      </c>
      <c r="DG29" s="2402">
        <f t="shared" si="40"/>
        <v>946.07834740150565</v>
      </c>
      <c r="DH29" s="2402">
        <f t="shared" si="40"/>
        <v>946.07834740150565</v>
      </c>
      <c r="DI29" s="2402">
        <f t="shared" si="40"/>
        <v>946.07834740150565</v>
      </c>
      <c r="DJ29" s="2402">
        <f t="shared" si="40"/>
        <v>946.07834740150565</v>
      </c>
      <c r="DK29" s="2402">
        <f t="shared" si="40"/>
        <v>946.07834740150565</v>
      </c>
      <c r="DL29" s="2402">
        <f t="shared" si="40"/>
        <v>946.07834740150565</v>
      </c>
      <c r="DM29" s="2402">
        <f t="shared" si="40"/>
        <v>946.07834740150565</v>
      </c>
      <c r="DN29" s="2402">
        <f t="shared" si="40"/>
        <v>946.07834740150565</v>
      </c>
      <c r="DO29" s="2402">
        <f t="shared" si="40"/>
        <v>946.07834740150565</v>
      </c>
      <c r="DP29" s="2402">
        <f t="shared" si="40"/>
        <v>946.07834740150565</v>
      </c>
      <c r="DQ29" s="2402">
        <f t="shared" si="40"/>
        <v>946.07834740150565</v>
      </c>
      <c r="DR29" s="2402">
        <f t="shared" si="40"/>
        <v>946.07834740150565</v>
      </c>
      <c r="DS29" s="2402">
        <f t="shared" si="40"/>
        <v>946.07834740150565</v>
      </c>
      <c r="DT29" s="2402">
        <f t="shared" si="40"/>
        <v>946.07834740150565</v>
      </c>
      <c r="DU29" s="2402">
        <f t="shared" si="40"/>
        <v>946.07834740150565</v>
      </c>
      <c r="DV29" s="2402">
        <f t="shared" si="40"/>
        <v>946.07834740150565</v>
      </c>
      <c r="DW29" s="5269">
        <f t="shared" si="40"/>
        <v>946.07834740150565</v>
      </c>
      <c r="DX29" s="5269">
        <f t="shared" si="40"/>
        <v>946.07834740150565</v>
      </c>
      <c r="DY29" s="5269">
        <f t="shared" si="40"/>
        <v>946.07834740150565</v>
      </c>
      <c r="DZ29" s="5269">
        <f t="shared" si="40"/>
        <v>946.07834740150565</v>
      </c>
      <c r="EA29" s="5269">
        <f t="shared" si="40"/>
        <v>946.07834740150565</v>
      </c>
      <c r="EB29" s="5269">
        <f t="shared" si="40"/>
        <v>946.07834740150565</v>
      </c>
      <c r="EC29" s="5269">
        <f t="shared" si="40"/>
        <v>946.07834740150565</v>
      </c>
      <c r="ED29" s="5269">
        <f t="shared" si="40"/>
        <v>946.07834740150565</v>
      </c>
      <c r="EE29" s="5269">
        <f t="shared" si="40"/>
        <v>946.07834740150565</v>
      </c>
      <c r="EF29" s="5269">
        <f t="shared" si="40"/>
        <v>946.07834740150565</v>
      </c>
      <c r="EG29" s="5269">
        <f t="shared" si="40"/>
        <v>946.07834740150565</v>
      </c>
      <c r="EH29" s="5269">
        <f t="shared" si="40"/>
        <v>946.07834740150565</v>
      </c>
      <c r="EI29" s="5269">
        <f t="shared" si="40"/>
        <v>946.07834740150565</v>
      </c>
      <c r="EJ29" s="5269">
        <f t="shared" si="40"/>
        <v>946.07834740150565</v>
      </c>
      <c r="EK29" s="5269">
        <f t="shared" si="40"/>
        <v>946.07834740150565</v>
      </c>
      <c r="EL29" s="5269">
        <f t="shared" si="40"/>
        <v>946.07834740150565</v>
      </c>
      <c r="EM29" s="5269">
        <f t="shared" si="40"/>
        <v>946.07834740150565</v>
      </c>
      <c r="EN29" s="5269">
        <f t="shared" ref="EN29:GY29" si="41">$H$25*EN3/$H$3</f>
        <v>946.07834740150565</v>
      </c>
      <c r="EO29" s="5269">
        <f t="shared" si="41"/>
        <v>946.07834740150565</v>
      </c>
      <c r="EP29" s="5269">
        <f t="shared" si="41"/>
        <v>946.07834740150565</v>
      </c>
      <c r="EQ29" s="5269">
        <f t="shared" si="41"/>
        <v>946.07834740150565</v>
      </c>
      <c r="ER29" s="5269">
        <f t="shared" si="41"/>
        <v>946.07834740150565</v>
      </c>
      <c r="ES29" s="5269">
        <f t="shared" si="41"/>
        <v>946.07834740150565</v>
      </c>
      <c r="ET29" s="5269">
        <f t="shared" si="41"/>
        <v>946.07834740150565</v>
      </c>
      <c r="EU29" s="5269">
        <f t="shared" si="41"/>
        <v>946.07834740150565</v>
      </c>
      <c r="EV29" s="5269">
        <f t="shared" si="41"/>
        <v>946.07834740150565</v>
      </c>
      <c r="EW29" s="5269">
        <f t="shared" si="41"/>
        <v>946.07834740150565</v>
      </c>
      <c r="EX29" s="5269">
        <f t="shared" si="41"/>
        <v>946.07834740150565</v>
      </c>
      <c r="EY29" s="5269">
        <f t="shared" si="41"/>
        <v>946.07834740150565</v>
      </c>
      <c r="EZ29" s="5269">
        <f t="shared" si="41"/>
        <v>946.07834740150565</v>
      </c>
      <c r="FA29" s="5269">
        <f t="shared" si="41"/>
        <v>946.07834740150565</v>
      </c>
      <c r="FB29" s="5269">
        <f t="shared" si="41"/>
        <v>946.07834740150565</v>
      </c>
      <c r="FC29" s="5269">
        <f t="shared" si="41"/>
        <v>946.07834740150565</v>
      </c>
      <c r="FD29" s="5269">
        <f t="shared" si="41"/>
        <v>946.07834740150565</v>
      </c>
      <c r="FE29" s="5269">
        <f t="shared" si="41"/>
        <v>946.07834740150565</v>
      </c>
      <c r="FF29" s="5269">
        <f t="shared" si="41"/>
        <v>946.07834740150565</v>
      </c>
      <c r="FG29" s="5269">
        <f t="shared" si="41"/>
        <v>946.07834740150565</v>
      </c>
      <c r="FH29" s="5269">
        <f t="shared" si="41"/>
        <v>946.07834740150565</v>
      </c>
      <c r="FI29" s="5269">
        <f t="shared" si="41"/>
        <v>946.07834740150565</v>
      </c>
      <c r="FJ29" s="5269">
        <f t="shared" si="41"/>
        <v>946.07834740150565</v>
      </c>
      <c r="FK29" s="5269">
        <f t="shared" si="41"/>
        <v>946.07834740150565</v>
      </c>
      <c r="FL29" s="5269">
        <f t="shared" si="41"/>
        <v>946.07834740150565</v>
      </c>
      <c r="FM29" s="5269">
        <f t="shared" si="41"/>
        <v>946.07834740150565</v>
      </c>
      <c r="FN29" s="5269">
        <f t="shared" si="41"/>
        <v>946.07834740150565</v>
      </c>
      <c r="FO29" s="5269">
        <f t="shared" si="41"/>
        <v>946.07834740150565</v>
      </c>
      <c r="FP29" s="5269">
        <f t="shared" si="41"/>
        <v>946.07834740150565</v>
      </c>
      <c r="FQ29" s="5269">
        <f t="shared" si="41"/>
        <v>946.07834740150565</v>
      </c>
      <c r="FR29" s="5269">
        <f t="shared" si="41"/>
        <v>946.07834740150565</v>
      </c>
      <c r="FS29" s="5269">
        <f t="shared" si="41"/>
        <v>946.07834740150565</v>
      </c>
      <c r="FT29" s="5269">
        <f t="shared" si="41"/>
        <v>946.07834740150565</v>
      </c>
      <c r="FU29" s="5269">
        <f t="shared" si="41"/>
        <v>946.07834740150565</v>
      </c>
      <c r="FV29" s="5269">
        <f t="shared" si="41"/>
        <v>946.07834740150565</v>
      </c>
      <c r="FW29" s="5269">
        <f t="shared" si="41"/>
        <v>946.07834740150565</v>
      </c>
      <c r="FX29" s="5269">
        <f t="shared" si="41"/>
        <v>946.07834740150565</v>
      </c>
      <c r="FY29" s="5269">
        <f t="shared" si="41"/>
        <v>946.07834740150565</v>
      </c>
      <c r="FZ29" s="5269">
        <f t="shared" si="41"/>
        <v>946.07834740150565</v>
      </c>
      <c r="GA29" s="5269">
        <f t="shared" si="41"/>
        <v>946.07834740150565</v>
      </c>
      <c r="GB29" s="5269">
        <f t="shared" si="41"/>
        <v>946.07834740150565</v>
      </c>
      <c r="GC29" s="5269">
        <f t="shared" si="41"/>
        <v>946.07834740150565</v>
      </c>
      <c r="GD29" s="5269">
        <f t="shared" si="41"/>
        <v>946.07834740150565</v>
      </c>
      <c r="GE29" s="5269">
        <f t="shared" si="41"/>
        <v>946.07834740150565</v>
      </c>
      <c r="GF29" s="5269">
        <f t="shared" si="41"/>
        <v>946.07834740150565</v>
      </c>
      <c r="GG29" s="5269">
        <f t="shared" si="41"/>
        <v>946.07834740150565</v>
      </c>
      <c r="GH29" s="5269">
        <f t="shared" si="41"/>
        <v>946.07834740150565</v>
      </c>
      <c r="GI29" s="5269">
        <f t="shared" si="41"/>
        <v>946.07834740150565</v>
      </c>
      <c r="GJ29" s="5269">
        <f t="shared" si="41"/>
        <v>946.07834740150565</v>
      </c>
      <c r="GK29" s="5269">
        <f t="shared" si="41"/>
        <v>946.07834740150565</v>
      </c>
      <c r="GL29" s="5269">
        <f t="shared" si="41"/>
        <v>946.07834740150565</v>
      </c>
      <c r="GM29" s="5269">
        <f t="shared" si="41"/>
        <v>946.07834740150565</v>
      </c>
      <c r="GN29" s="5269">
        <f t="shared" si="41"/>
        <v>946.07834740150565</v>
      </c>
      <c r="GO29" s="5269">
        <f t="shared" si="41"/>
        <v>946.07834740150565</v>
      </c>
      <c r="GP29" s="5269">
        <f t="shared" si="41"/>
        <v>946.07834740150565</v>
      </c>
      <c r="GQ29" s="5269">
        <f t="shared" si="41"/>
        <v>946.07834740150565</v>
      </c>
      <c r="GR29" s="5269">
        <f t="shared" si="41"/>
        <v>946.07834740150565</v>
      </c>
      <c r="GS29" s="5269">
        <f t="shared" si="41"/>
        <v>946.07834740150565</v>
      </c>
      <c r="GT29" s="5269">
        <f t="shared" si="41"/>
        <v>946.07834740150565</v>
      </c>
      <c r="GU29" s="5269">
        <f t="shared" si="41"/>
        <v>946.07834740150565</v>
      </c>
      <c r="GV29" s="5269">
        <f t="shared" si="41"/>
        <v>946.07834740150565</v>
      </c>
      <c r="GW29" s="5269">
        <f t="shared" si="41"/>
        <v>946.07834740150565</v>
      </c>
      <c r="GX29" s="5269">
        <f t="shared" si="41"/>
        <v>946.07834740150565</v>
      </c>
      <c r="GY29" s="5269">
        <f t="shared" si="41"/>
        <v>946.07834740150565</v>
      </c>
      <c r="GZ29" s="5269">
        <f t="shared" ref="GZ29:IA29" si="42">$H$25*GZ3/$H$3</f>
        <v>946.07834740150565</v>
      </c>
      <c r="HA29" s="5269">
        <f t="shared" si="42"/>
        <v>946.07834740150565</v>
      </c>
      <c r="HB29" s="5269">
        <f t="shared" si="42"/>
        <v>946.07834740150565</v>
      </c>
      <c r="HC29" s="5269">
        <f t="shared" si="42"/>
        <v>946.07834740150565</v>
      </c>
      <c r="HD29" s="5269">
        <f t="shared" si="42"/>
        <v>946.07834740150565</v>
      </c>
      <c r="HE29" s="5269">
        <f t="shared" si="42"/>
        <v>946.07834740150565</v>
      </c>
      <c r="HF29" s="5269">
        <f t="shared" si="42"/>
        <v>946.07834740150565</v>
      </c>
      <c r="HG29" s="5269">
        <f t="shared" si="42"/>
        <v>946.07834740150565</v>
      </c>
      <c r="HH29" s="5269">
        <f t="shared" si="42"/>
        <v>946.07834740150565</v>
      </c>
      <c r="HI29" s="5269">
        <f t="shared" si="42"/>
        <v>946.07834740150565</v>
      </c>
      <c r="HJ29" s="5269">
        <f t="shared" si="42"/>
        <v>946.07834740150565</v>
      </c>
      <c r="HK29" s="5269">
        <f t="shared" si="42"/>
        <v>946.07834740150565</v>
      </c>
      <c r="HL29" s="5269">
        <f t="shared" si="42"/>
        <v>946.07834740150565</v>
      </c>
      <c r="HM29" s="5269">
        <f t="shared" si="42"/>
        <v>946.07834740150565</v>
      </c>
      <c r="HN29" s="5269">
        <f t="shared" si="42"/>
        <v>946.07834740150565</v>
      </c>
      <c r="HO29" s="5269">
        <f t="shared" si="42"/>
        <v>946.07834740150565</v>
      </c>
      <c r="HP29" s="5269">
        <f t="shared" si="42"/>
        <v>946.07834740150565</v>
      </c>
      <c r="HQ29" s="5269">
        <f t="shared" si="42"/>
        <v>946.07834740150565</v>
      </c>
      <c r="HR29" s="5269">
        <f t="shared" si="42"/>
        <v>946.07834740150565</v>
      </c>
      <c r="HS29" s="5269">
        <f t="shared" si="42"/>
        <v>946.07834740150565</v>
      </c>
      <c r="HT29" s="5269">
        <f t="shared" si="42"/>
        <v>946.07834740150565</v>
      </c>
      <c r="HU29" s="5269">
        <f t="shared" si="42"/>
        <v>946.07834740150565</v>
      </c>
      <c r="HV29" s="5269">
        <f t="shared" si="42"/>
        <v>946.07834740150565</v>
      </c>
      <c r="HW29" s="5269">
        <f t="shared" si="42"/>
        <v>946.07834740150565</v>
      </c>
      <c r="HX29" s="5269">
        <f t="shared" si="42"/>
        <v>946.07834740150565</v>
      </c>
      <c r="HY29" s="5269">
        <f t="shared" si="42"/>
        <v>946.07834740150565</v>
      </c>
      <c r="HZ29" s="5269">
        <f t="shared" si="42"/>
        <v>946.07834740150565</v>
      </c>
      <c r="IA29" s="5269">
        <f t="shared" si="42"/>
        <v>930.52637456750801</v>
      </c>
    </row>
    <row r="30" spans="2:321">
      <c r="C30" s="2422"/>
      <c r="D30" s="2423" t="s">
        <v>3921</v>
      </c>
      <c r="E30" s="2424"/>
      <c r="F30" s="2424"/>
      <c r="G30" s="2425"/>
      <c r="H30" s="2426">
        <f>SUM(Sensitivity!J48:J48)*100</f>
        <v>0</v>
      </c>
      <c r="I30" s="2427"/>
      <c r="J30" s="2428"/>
      <c r="K30" s="2428"/>
      <c r="L30" s="2426"/>
      <c r="M30" s="2429"/>
      <c r="N30" s="2428"/>
      <c r="O30" s="2426"/>
      <c r="P30" s="2430">
        <f>$H$25-SUM($P29:P29)</f>
        <v>189215.66948030112</v>
      </c>
      <c r="Q30" s="2430">
        <f>$H$25-SUM($P29:Q29)</f>
        <v>189215.66948030112</v>
      </c>
      <c r="R30" s="2430">
        <f>$H$25-SUM($P29:R29)</f>
        <v>189215.66948030112</v>
      </c>
      <c r="S30" s="2430">
        <f>$H$25-SUM($P29:S29)</f>
        <v>189215.66948030112</v>
      </c>
      <c r="T30" s="2430">
        <f>$H$25-SUM($P29:T29)</f>
        <v>189215.66948030112</v>
      </c>
      <c r="U30" s="2431">
        <f>$H$25-SUM($P29:U29)</f>
        <v>189215.66948030112</v>
      </c>
      <c r="V30" s="2431">
        <f>$H$25-SUM($P29:V29)</f>
        <v>189215.66948030112</v>
      </c>
      <c r="W30" s="2431">
        <f>$H$25-SUM($P29:W29)</f>
        <v>189215.66948030112</v>
      </c>
      <c r="X30" s="2431">
        <f>$H$25-SUM($P29:X29)</f>
        <v>189215.66948030112</v>
      </c>
      <c r="Y30" s="2431">
        <f>$H$25-SUM($P29:Y29)</f>
        <v>189215.66948030112</v>
      </c>
      <c r="Z30" s="2431">
        <f>$H$25-SUM($P29:Z29)</f>
        <v>189215.66948030112</v>
      </c>
      <c r="AA30" s="2431">
        <f>$H$25-SUM($P29:AA29)</f>
        <v>189215.66948030112</v>
      </c>
      <c r="AB30" s="2431">
        <f>$H$25-SUM($P29:AB29)</f>
        <v>189215.66948030112</v>
      </c>
      <c r="AC30" s="2431">
        <f>$H$25-SUM($P29:AC29)</f>
        <v>189215.66948030112</v>
      </c>
      <c r="AD30" s="2431">
        <f>$H$25-SUM($P29:AD29)</f>
        <v>189215.66948030112</v>
      </c>
      <c r="AE30" s="2431">
        <f>$H$25-SUM($P29:AE29)</f>
        <v>189215.66948030112</v>
      </c>
      <c r="AF30" s="2431">
        <f>$H$25-SUM($P29:AF29)</f>
        <v>189215.66948030112</v>
      </c>
      <c r="AG30" s="2431">
        <f>$H$25-SUM($P29:AG29)</f>
        <v>189215.66948030112</v>
      </c>
      <c r="AH30" s="2431">
        <f>$H$25-SUM($P29:AH29)</f>
        <v>189215.66948030112</v>
      </c>
      <c r="AI30" s="2431">
        <f>$H$25-SUM($P29:AI29)</f>
        <v>189200.11750746713</v>
      </c>
      <c r="AJ30" s="2431">
        <f>$H$25-SUM($P29:AJ29)</f>
        <v>188254.03916006561</v>
      </c>
      <c r="AK30" s="2431">
        <f>$H$25-SUM($P29:AK29)</f>
        <v>187307.96081266413</v>
      </c>
      <c r="AL30" s="2431">
        <f>$H$25-SUM($P29:AL29)</f>
        <v>186361.88246526261</v>
      </c>
      <c r="AM30" s="2431">
        <f>$H$25-SUM($P29:AM29)</f>
        <v>185415.80411786109</v>
      </c>
      <c r="AN30" s="2431">
        <f>$H$25-SUM($P29:AN29)</f>
        <v>184469.7257704596</v>
      </c>
      <c r="AO30" s="2431">
        <f>$H$25-SUM($P29:AO29)</f>
        <v>183523.64742305808</v>
      </c>
      <c r="AP30" s="2431">
        <f>$H$25-SUM($P29:AP29)</f>
        <v>182577.56907565659</v>
      </c>
      <c r="AQ30" s="2431">
        <f>$H$25-SUM($P29:AQ29)</f>
        <v>181631.49072825507</v>
      </c>
      <c r="AR30" s="2431">
        <f>$H$25-SUM($P29:AR29)</f>
        <v>180685.41238085358</v>
      </c>
      <c r="AS30" s="2431">
        <f>$H$25-SUM($P29:AS29)</f>
        <v>179739.33403345206</v>
      </c>
      <c r="AT30" s="2431">
        <f>$H$25-SUM($P29:AT29)</f>
        <v>178793.25568605057</v>
      </c>
      <c r="AU30" s="2431">
        <f>$H$25-SUM($P29:AU29)</f>
        <v>177847.17733864905</v>
      </c>
      <c r="AV30" s="2431">
        <f>$H$25-SUM($P29:AV29)</f>
        <v>176901.09899124753</v>
      </c>
      <c r="AW30" s="2431">
        <f>$H$25-SUM($P29:AW29)</f>
        <v>175955.02064384604</v>
      </c>
      <c r="AX30" s="2431">
        <f>$H$25-SUM($P29:AX29)</f>
        <v>175008.94229644453</v>
      </c>
      <c r="AY30" s="2431">
        <f>$H$25-SUM($P29:AY29)</f>
        <v>174062.86394904304</v>
      </c>
      <c r="AZ30" s="2431">
        <f>$H$25-SUM($P29:AZ29)</f>
        <v>173116.78560164152</v>
      </c>
      <c r="BA30" s="2431">
        <f>$H$25-SUM($P29:BA29)</f>
        <v>172170.70725424003</v>
      </c>
      <c r="BB30" s="2431">
        <f>$H$25-SUM($P29:BB29)</f>
        <v>171224.62890683851</v>
      </c>
      <c r="BC30" s="2431">
        <f>$H$25-SUM($P29:BC29)</f>
        <v>170278.55055943702</v>
      </c>
      <c r="BD30" s="2431">
        <f>$H$25-SUM($P29:BD29)</f>
        <v>169332.4722120355</v>
      </c>
      <c r="BE30" s="2431">
        <f>$H$25-SUM($P29:BE29)</f>
        <v>168386.39386463401</v>
      </c>
      <c r="BF30" s="2431">
        <f>$H$25-SUM($P29:BF29)</f>
        <v>167440.31551723249</v>
      </c>
      <c r="BG30" s="2431">
        <f>$H$25-SUM($P29:BG29)</f>
        <v>166494.237169831</v>
      </c>
      <c r="BH30" s="2431">
        <f>$H$25-SUM($P29:BH29)</f>
        <v>165548.15882242948</v>
      </c>
      <c r="BI30" s="2431">
        <f>$H$25-SUM($P29:BI29)</f>
        <v>164602.08047502799</v>
      </c>
      <c r="BJ30" s="2431">
        <f>$H$25-SUM($P29:BJ29)</f>
        <v>163656.00212762647</v>
      </c>
      <c r="BK30" s="2431">
        <f>$H$25-SUM($P29:BK29)</f>
        <v>162709.92378022498</v>
      </c>
      <c r="BL30" s="2431">
        <f>$H$25-SUM($P29:BL29)</f>
        <v>161763.84543282347</v>
      </c>
      <c r="BM30" s="2431">
        <f>$H$25-SUM($P29:BM29)</f>
        <v>160817.76708542198</v>
      </c>
      <c r="BN30" s="2431">
        <f>$H$25-SUM($P29:BN29)</f>
        <v>159871.68873802046</v>
      </c>
      <c r="BO30" s="2431">
        <f>$H$25-SUM($P29:BO29)</f>
        <v>158925.61039061897</v>
      </c>
      <c r="BP30" s="2431">
        <f>$H$25-SUM($P29:BP29)</f>
        <v>157979.53204321745</v>
      </c>
      <c r="BQ30" s="2431">
        <f>$H$25-SUM($P29:BQ29)</f>
        <v>157033.45369581596</v>
      </c>
      <c r="BR30" s="2431">
        <f>$H$25-SUM($P29:BR29)</f>
        <v>156087.37534841444</v>
      </c>
      <c r="BS30" s="2431">
        <f>$H$25-SUM($P29:BS29)</f>
        <v>155141.29700101295</v>
      </c>
      <c r="BT30" s="2431">
        <f>$H$25-SUM($P29:BT29)</f>
        <v>154195.21865361143</v>
      </c>
      <c r="BU30" s="2431">
        <f>$H$25-SUM($P29:BU29)</f>
        <v>153249.14030620991</v>
      </c>
      <c r="BV30" s="2431">
        <f>$H$25-SUM($P29:BV29)</f>
        <v>152303.06195880842</v>
      </c>
      <c r="BW30" s="2431">
        <f>$H$25-SUM($P29:BW29)</f>
        <v>151356.98361140693</v>
      </c>
      <c r="BX30" s="2431">
        <f>$H$25-SUM($P29:BX29)</f>
        <v>150410.90526400541</v>
      </c>
      <c r="BY30" s="2431">
        <f>$H$25-SUM($P29:BY29)</f>
        <v>149464.8269166039</v>
      </c>
      <c r="BZ30" s="2431">
        <f>$H$25-SUM($P29:BZ29)</f>
        <v>148518.74856920241</v>
      </c>
      <c r="CA30" s="2431">
        <f>$H$25-SUM($P29:CA29)</f>
        <v>147572.67022180092</v>
      </c>
      <c r="CB30" s="2431">
        <f>$H$25-SUM($P29:CB29)</f>
        <v>146626.5918743994</v>
      </c>
      <c r="CC30" s="2431">
        <f>$H$25-SUM($P29:CC29)</f>
        <v>145680.51352699788</v>
      </c>
      <c r="CD30" s="2431">
        <f>$H$25-SUM($P29:CD29)</f>
        <v>144734.43517959639</v>
      </c>
      <c r="CE30" s="2431">
        <f>$H$25-SUM($P29:CE29)</f>
        <v>143788.3568321949</v>
      </c>
      <c r="CF30" s="2431">
        <f>$H$25-SUM($P29:CF29)</f>
        <v>142842.27848479338</v>
      </c>
      <c r="CG30" s="2431">
        <f>$H$25-SUM($P29:CG29)</f>
        <v>141896.20013739186</v>
      </c>
      <c r="CH30" s="2431">
        <f>$H$25-SUM($P29:CH29)</f>
        <v>140950.12178999037</v>
      </c>
      <c r="CI30" s="2431">
        <f>$H$25-SUM($P29:CI29)</f>
        <v>140004.04344258888</v>
      </c>
      <c r="CJ30" s="2431">
        <f>$H$25-SUM($P29:CJ29)</f>
        <v>139057.96509518736</v>
      </c>
      <c r="CK30" s="2431">
        <f>$H$25-SUM($P29:CK29)</f>
        <v>138111.88674778584</v>
      </c>
      <c r="CL30" s="2431">
        <f>$H$25-SUM($P29:CL29)</f>
        <v>137165.80840038435</v>
      </c>
      <c r="CM30" s="2431">
        <f>$H$25-SUM($P29:CM29)</f>
        <v>136219.73005298286</v>
      </c>
      <c r="CN30" s="2431">
        <f>$H$25-SUM($P29:CN29)</f>
        <v>135273.65170558135</v>
      </c>
      <c r="CO30" s="2431">
        <f>$H$25-SUM($P29:CO29)</f>
        <v>134327.57335817983</v>
      </c>
      <c r="CP30" s="2431">
        <f>$H$25-SUM($P29:CP29)</f>
        <v>133381.49501077834</v>
      </c>
      <c r="CQ30" s="2431">
        <f>$H$25-SUM($P29:CQ29)</f>
        <v>132435.41666337685</v>
      </c>
      <c r="CR30" s="2431">
        <f>$H$25-SUM($P29:CR29)</f>
        <v>131489.33831597533</v>
      </c>
      <c r="CS30" s="2431">
        <f>$H$25-SUM($P29:CS29)</f>
        <v>130543.25996857382</v>
      </c>
      <c r="CT30" s="2431">
        <f>$H$25-SUM($P29:CT29)</f>
        <v>129597.18162117232</v>
      </c>
      <c r="CU30" s="2431">
        <f>$H$25-SUM($P29:CU29)</f>
        <v>128651.10327377082</v>
      </c>
      <c r="CV30" s="2431">
        <f>$H$25-SUM($P29:CV29)</f>
        <v>127705.02492636931</v>
      </c>
      <c r="CW30" s="2431">
        <f>$H$25-SUM($P29:CW29)</f>
        <v>126758.94657896781</v>
      </c>
      <c r="CX30" s="2431">
        <f>$H$25-SUM($P29:CX29)</f>
        <v>125812.8682315663</v>
      </c>
      <c r="CY30" s="2431">
        <f>$H$25-SUM($P29:CY29)</f>
        <v>124866.7898841648</v>
      </c>
      <c r="CZ30" s="2431">
        <f>$H$25-SUM($P29:CZ29)</f>
        <v>123920.71153676329</v>
      </c>
      <c r="DA30" s="2431">
        <f>$H$25-SUM($P29:DA29)</f>
        <v>122974.63318936179</v>
      </c>
      <c r="DB30" s="2431">
        <f>$H$25-SUM($P29:DB29)</f>
        <v>122028.55484196029</v>
      </c>
      <c r="DC30" s="2431">
        <f>$H$25-SUM($P29:DC29)</f>
        <v>121082.47649455878</v>
      </c>
      <c r="DD30" s="2431">
        <f>$H$25-SUM($P29:DD29)</f>
        <v>120136.39814715728</v>
      </c>
      <c r="DE30" s="2431">
        <f>$H$25-SUM($P29:DE29)</f>
        <v>119190.31979975577</v>
      </c>
      <c r="DF30" s="2431">
        <f>$H$25-SUM($P29:DF29)</f>
        <v>118244.24145235427</v>
      </c>
      <c r="DG30" s="2431">
        <f>$H$25-SUM($P29:DG29)</f>
        <v>117298.16310495276</v>
      </c>
      <c r="DH30" s="2431">
        <f>$H$25-SUM($P29:DH29)</f>
        <v>116352.08475755126</v>
      </c>
      <c r="DI30" s="2431">
        <f>$H$25-SUM($P29:DI29)</f>
        <v>115406.00641014976</v>
      </c>
      <c r="DJ30" s="2431">
        <f>$H$25-SUM($P29:DJ29)</f>
        <v>114459.92806274825</v>
      </c>
      <c r="DK30" s="2431">
        <f>$H$25-SUM($P29:DK29)</f>
        <v>113513.84971534675</v>
      </c>
      <c r="DL30" s="2431">
        <f>$H$25-SUM($P29:DL29)</f>
        <v>112567.77136794524</v>
      </c>
      <c r="DM30" s="2431">
        <f>$H$25-SUM($P29:DM29)</f>
        <v>111621.69302054374</v>
      </c>
      <c r="DN30" s="2431">
        <f>$H$25-SUM($P29:DN29)</f>
        <v>110675.61467314223</v>
      </c>
      <c r="DO30" s="2431">
        <f>$H$25-SUM($P29:DO29)</f>
        <v>109729.53632574073</v>
      </c>
      <c r="DP30" s="2431">
        <f>$H$25-SUM($P29:DP29)</f>
        <v>108783.45797833923</v>
      </c>
      <c r="DQ30" s="2431">
        <f>$H$25-SUM($P29:DQ29)</f>
        <v>107837.37963093772</v>
      </c>
      <c r="DR30" s="2431">
        <f>$H$25-SUM($P29:DR29)</f>
        <v>106891.30128353622</v>
      </c>
      <c r="DS30" s="2431">
        <f>$H$25-SUM($P29:DS29)</f>
        <v>105945.22293613471</v>
      </c>
      <c r="DT30" s="2431">
        <f>$H$25-SUM($P29:DT29)</f>
        <v>104999.14458873321</v>
      </c>
      <c r="DU30" s="2431">
        <f>$H$25-SUM($P29:DU29)</f>
        <v>104053.0662413317</v>
      </c>
      <c r="DV30" s="2431">
        <f>$H$25-SUM($P29:DV29)</f>
        <v>103106.9878939302</v>
      </c>
      <c r="DW30" s="2431">
        <f>$H$25-SUM($P29:DW29)</f>
        <v>102160.9095465287</v>
      </c>
      <c r="DX30" s="2431">
        <f>$H$25-SUM($P29:DX29)</f>
        <v>101214.83119912719</v>
      </c>
      <c r="DY30" s="2431">
        <f>$H$25-SUM($P29:DY29)</f>
        <v>100268.75285172569</v>
      </c>
      <c r="DZ30" s="2431">
        <f>$H$25-SUM($P29:DZ29)</f>
        <v>99322.674504324183</v>
      </c>
      <c r="EA30" s="2431">
        <f>$H$25-SUM($P29:EA29)</f>
        <v>98376.596156922678</v>
      </c>
      <c r="EB30" s="2431">
        <f>$H$25-SUM($P29:EB29)</f>
        <v>97430.517809521174</v>
      </c>
      <c r="EC30" s="2431">
        <f>$H$25-SUM($P29:EC29)</f>
        <v>96484.43946211967</v>
      </c>
      <c r="ED30" s="2431">
        <f>$H$25-SUM($P29:ED29)</f>
        <v>95538.361114718165</v>
      </c>
      <c r="EE30" s="2431">
        <f>$H$25-SUM($P29:EE29)</f>
        <v>94592.282767316661</v>
      </c>
      <c r="EF30" s="2431">
        <f>$H$25-SUM($P29:EF29)</f>
        <v>93646.204419915157</v>
      </c>
      <c r="EG30" s="2431">
        <f>$H$25-SUM($P29:EG29)</f>
        <v>92700.126072513653</v>
      </c>
      <c r="EH30" s="2431">
        <f>$H$25-SUM($P29:EH29)</f>
        <v>91754.047725112148</v>
      </c>
      <c r="EI30" s="2431">
        <f>$H$25-SUM($P29:EI29)</f>
        <v>90807.969377710644</v>
      </c>
      <c r="EJ30" s="2431">
        <f>$H$25-SUM($P29:EJ29)</f>
        <v>89861.89103030914</v>
      </c>
      <c r="EK30" s="2431">
        <f>$H$25-SUM($P29:EK29)</f>
        <v>88915.812682907635</v>
      </c>
      <c r="EL30" s="2431">
        <f>$H$25-SUM($P29:EL29)</f>
        <v>87969.734335506131</v>
      </c>
      <c r="EM30" s="2431">
        <f>$H$25-SUM($P29:EM29)</f>
        <v>87023.655988104627</v>
      </c>
      <c r="EN30" s="2431">
        <f>$H$25-SUM($P29:EN29)</f>
        <v>86077.577640703123</v>
      </c>
      <c r="EO30" s="2431">
        <f>$H$25-SUM($P29:EO29)</f>
        <v>85131.499293301618</v>
      </c>
      <c r="EP30" s="2431">
        <f>$H$25-SUM($P29:EP29)</f>
        <v>84185.420945900114</v>
      </c>
      <c r="EQ30" s="2431">
        <f>$H$25-SUM($P29:EQ29)</f>
        <v>83239.34259849861</v>
      </c>
      <c r="ER30" s="2431">
        <f>$H$25-SUM($P29:ER29)</f>
        <v>82293.264251097105</v>
      </c>
      <c r="ES30" s="2431">
        <f>$H$25-SUM($P29:ES29)</f>
        <v>81347.185903695601</v>
      </c>
      <c r="ET30" s="2431">
        <f>$H$25-SUM($P29:ET29)</f>
        <v>80401.107556294097</v>
      </c>
      <c r="EU30" s="2431">
        <f>$H$25-SUM($P29:EU29)</f>
        <v>79455.029208892593</v>
      </c>
      <c r="EV30" s="2431">
        <f>$H$25-SUM($P29:EV29)</f>
        <v>78508.950861491088</v>
      </c>
      <c r="EW30" s="2431">
        <f>$H$25-SUM($P29:EW29)</f>
        <v>77562.872514089584</v>
      </c>
      <c r="EX30" s="2431">
        <f>$H$25-SUM($P29:EX29)</f>
        <v>76616.79416668808</v>
      </c>
      <c r="EY30" s="2431">
        <f>$H$25-SUM($P29:EY29)</f>
        <v>75670.715819286575</v>
      </c>
      <c r="EZ30" s="2431">
        <f>$H$25-SUM($P29:EZ29)</f>
        <v>74724.637471885071</v>
      </c>
      <c r="FA30" s="2431">
        <f>$H$25-SUM($P29:FA29)</f>
        <v>73778.559124483567</v>
      </c>
      <c r="FB30" s="2431">
        <f>$H$25-SUM($P29:FB29)</f>
        <v>72832.480777082063</v>
      </c>
      <c r="FC30" s="2431">
        <f>$H$25-SUM($P29:FC29)</f>
        <v>71886.402429680558</v>
      </c>
      <c r="FD30" s="2431">
        <f>$H$25-SUM($P29:FD29)</f>
        <v>70940.324082279054</v>
      </c>
      <c r="FE30" s="2431">
        <f>$H$25-SUM($P29:FE29)</f>
        <v>69994.24573487755</v>
      </c>
      <c r="FF30" s="2431">
        <f>$H$25-SUM($P29:FF29)</f>
        <v>69048.167387476045</v>
      </c>
      <c r="FG30" s="2431">
        <f>$H$25-SUM($P29:FG29)</f>
        <v>68102.089040074541</v>
      </c>
      <c r="FH30" s="2431">
        <f>$H$25-SUM($P29:FH29)</f>
        <v>67156.010692673037</v>
      </c>
      <c r="FI30" s="2431">
        <f>$H$25-SUM($P29:FI29)</f>
        <v>66209.932345271533</v>
      </c>
      <c r="FJ30" s="2431">
        <f>$H$25-SUM($P29:FJ29)</f>
        <v>65263.853997870028</v>
      </c>
      <c r="FK30" s="2431">
        <f>$H$25-SUM($P29:FK29)</f>
        <v>64317.775650468524</v>
      </c>
      <c r="FL30" s="2431">
        <f>$H$25-SUM($P29:FL29)</f>
        <v>63371.69730306702</v>
      </c>
      <c r="FM30" s="2431">
        <f>$H$25-SUM($P29:FM29)</f>
        <v>62425.618955665515</v>
      </c>
      <c r="FN30" s="2431">
        <f>$H$25-SUM($P29:FN29)</f>
        <v>61479.540608264011</v>
      </c>
      <c r="FO30" s="2431">
        <f>$H$25-SUM($P29:FO29)</f>
        <v>60533.462260862507</v>
      </c>
      <c r="FP30" s="2431">
        <f>$H$25-SUM($P29:FP29)</f>
        <v>59587.383913461003</v>
      </c>
      <c r="FQ30" s="2431">
        <f>$H$25-SUM($P29:FQ29)</f>
        <v>58641.305566059498</v>
      </c>
      <c r="FR30" s="2431">
        <f>$H$25-SUM($P29:FR29)</f>
        <v>57695.227218657994</v>
      </c>
      <c r="FS30" s="2431">
        <f>$H$25-SUM($P29:FS29)</f>
        <v>56749.148871256475</v>
      </c>
      <c r="FT30" s="2431">
        <f>$H$25-SUM($P29:FT29)</f>
        <v>55803.070523854956</v>
      </c>
      <c r="FU30" s="2431">
        <f>$H$25-SUM($P29:FU29)</f>
        <v>54856.992176453437</v>
      </c>
      <c r="FV30" s="2431">
        <f>$H$25-SUM($P29:FV29)</f>
        <v>53910.913829051919</v>
      </c>
      <c r="FW30" s="2431">
        <f>$H$25-SUM($P29:FW29)</f>
        <v>52964.8354816504</v>
      </c>
      <c r="FX30" s="2431">
        <f>$H$25-SUM($P29:FX29)</f>
        <v>52018.757134248881</v>
      </c>
      <c r="FY30" s="2431">
        <f>$H$25-SUM($P29:FY29)</f>
        <v>51072.678786847362</v>
      </c>
      <c r="FZ30" s="2431">
        <f>$H$25-SUM($P29:FZ29)</f>
        <v>50126.600439445843</v>
      </c>
      <c r="GA30" s="2431">
        <f>$H$25-SUM($P29:GA29)</f>
        <v>49180.522092044324</v>
      </c>
      <c r="GB30" s="2431">
        <f>$H$25-SUM($P29:GB29)</f>
        <v>48234.443744642806</v>
      </c>
      <c r="GC30" s="2431">
        <f>$H$25-SUM($P29:GC29)</f>
        <v>47288.365397241287</v>
      </c>
      <c r="GD30" s="2431">
        <f>$H$25-SUM($P29:GD29)</f>
        <v>46342.287049839768</v>
      </c>
      <c r="GE30" s="2431">
        <f>$H$25-SUM($P29:GE29)</f>
        <v>45396.208702438249</v>
      </c>
      <c r="GF30" s="2431">
        <f>$H$25-SUM($P29:GF29)</f>
        <v>44450.13035503673</v>
      </c>
      <c r="GG30" s="2431">
        <f>$H$25-SUM($P29:GG29)</f>
        <v>43504.052007635211</v>
      </c>
      <c r="GH30" s="2431">
        <f>$H$25-SUM($P29:GH29)</f>
        <v>42557.973660233692</v>
      </c>
      <c r="GI30" s="2431">
        <f>$H$25-SUM($P29:GI29)</f>
        <v>41611.895312832174</v>
      </c>
      <c r="GJ30" s="2431">
        <f>$H$25-SUM($P29:GJ29)</f>
        <v>40665.816965430655</v>
      </c>
      <c r="GK30" s="2431">
        <f>$H$25-SUM($P29:GK29)</f>
        <v>39719.738618029136</v>
      </c>
      <c r="GL30" s="2431">
        <f>$H$25-SUM($P29:GL29)</f>
        <v>38773.660270627617</v>
      </c>
      <c r="GM30" s="2431">
        <f>$H$25-SUM($P29:GM29)</f>
        <v>37827.581923226098</v>
      </c>
      <c r="GN30" s="2431">
        <f>$H$25-SUM($P29:GN29)</f>
        <v>36881.503575824579</v>
      </c>
      <c r="GO30" s="2431">
        <f>$H$25-SUM($P29:GO29)</f>
        <v>35935.425228423061</v>
      </c>
      <c r="GP30" s="2431">
        <f>$H$25-SUM($P29:GP29)</f>
        <v>34989.346881021542</v>
      </c>
      <c r="GQ30" s="2431">
        <f>$H$25-SUM($P29:GQ29)</f>
        <v>34043.268533620023</v>
      </c>
      <c r="GR30" s="2431">
        <f>$H$25-SUM($P29:GR29)</f>
        <v>33097.190186218504</v>
      </c>
      <c r="GS30" s="2431">
        <f>$H$25-SUM($P29:GS29)</f>
        <v>32151.111838816985</v>
      </c>
      <c r="GT30" s="2431">
        <f>$H$25-SUM($P29:GT29)</f>
        <v>31205.033491415466</v>
      </c>
      <c r="GU30" s="2431">
        <f>$H$25-SUM($P29:GU29)</f>
        <v>30258.955144013948</v>
      </c>
      <c r="GV30" s="2431">
        <f>$H$25-SUM($P29:GV29)</f>
        <v>29312.876796612429</v>
      </c>
      <c r="GW30" s="2431">
        <f>$H$25-SUM($P29:GW29)</f>
        <v>28366.79844921091</v>
      </c>
      <c r="GX30" s="2431">
        <f>$H$25-SUM($P29:GX29)</f>
        <v>27420.720101809391</v>
      </c>
      <c r="GY30" s="2431">
        <f>$H$25-SUM($P29:GY29)</f>
        <v>26474.641754407872</v>
      </c>
      <c r="GZ30" s="2431">
        <f>$H$25-SUM($P29:GZ29)</f>
        <v>25528.563407006353</v>
      </c>
      <c r="HA30" s="2431">
        <f>$H$25-SUM($P29:HA29)</f>
        <v>24582.485059604835</v>
      </c>
      <c r="HB30" s="2431">
        <f>$H$25-SUM($P29:HB29)</f>
        <v>23636.406712203316</v>
      </c>
      <c r="HC30" s="2431">
        <f>$H$25-SUM($P29:HC29)</f>
        <v>22690.328364801797</v>
      </c>
      <c r="HD30" s="2431">
        <f>$H$25-SUM($P29:HD29)</f>
        <v>21744.250017400278</v>
      </c>
      <c r="HE30" s="2431">
        <f>$H$25-SUM($P29:HE29)</f>
        <v>20798.171669998759</v>
      </c>
      <c r="HF30" s="2431">
        <f>$H$25-SUM($P29:HF29)</f>
        <v>19852.09332259724</v>
      </c>
      <c r="HG30" s="2431">
        <f>$H$25-SUM($P29:HG29)</f>
        <v>18906.014975195721</v>
      </c>
      <c r="HH30" s="2431">
        <f>$H$25-SUM($P29:HH29)</f>
        <v>17959.936627794203</v>
      </c>
      <c r="HI30" s="2431">
        <f>$H$25-SUM($P29:HI29)</f>
        <v>17013.858280392684</v>
      </c>
      <c r="HJ30" s="2431">
        <f>$H$25-SUM($P29:HJ29)</f>
        <v>16067.779932991165</v>
      </c>
      <c r="HK30" s="2431">
        <f>$H$25-SUM($P29:HK29)</f>
        <v>15121.701585589646</v>
      </c>
      <c r="HL30" s="2431">
        <f>$H$25-SUM($P29:HL29)</f>
        <v>14175.623238188127</v>
      </c>
      <c r="HM30" s="2431">
        <f>$H$25-SUM($P29:HM29)</f>
        <v>13229.544890786608</v>
      </c>
      <c r="HN30" s="2431">
        <f>$H$25-SUM($P29:HN29)</f>
        <v>12283.46654338509</v>
      </c>
      <c r="HO30" s="2431">
        <f>$H$25-SUM($P29:HO29)</f>
        <v>11337.388195983571</v>
      </c>
      <c r="HP30" s="2431">
        <f>$H$25-SUM($P29:HP29)</f>
        <v>10391.309848582052</v>
      </c>
      <c r="HQ30" s="2431">
        <f>$H$25-SUM($P29:HQ29)</f>
        <v>9445.2315011805331</v>
      </c>
      <c r="HR30" s="2431">
        <f>$H$25-SUM($P29:HR29)</f>
        <v>8499.1531537790142</v>
      </c>
      <c r="HS30" s="2431">
        <f>$H$25-SUM($P29:HS29)</f>
        <v>7553.0748063774954</v>
      </c>
      <c r="HT30" s="2431">
        <f>$H$25-SUM($P29:HT29)</f>
        <v>6606.9964589759766</v>
      </c>
      <c r="HU30" s="2431">
        <f>$H$25-SUM($P29:HU29)</f>
        <v>5660.9181115744577</v>
      </c>
      <c r="HV30" s="2431">
        <f>$H$25-SUM($P29:HV29)</f>
        <v>4714.8397641729389</v>
      </c>
      <c r="HW30" s="2431">
        <f>$H$25-SUM($P29:HW29)</f>
        <v>3768.76141677142</v>
      </c>
      <c r="HX30" s="2431">
        <f>$H$25-SUM($P29:HX29)</f>
        <v>2822.6830693699012</v>
      </c>
      <c r="HY30" s="2431">
        <f>$H$25-SUM($P29:HY29)</f>
        <v>1876.6047219683824</v>
      </c>
      <c r="HZ30" s="2431">
        <f>$H$25-SUM($P29:HZ29)</f>
        <v>930.52637456686352</v>
      </c>
      <c r="IA30" s="2431">
        <f>$H$25-SUM($P29:IA29)</f>
        <v>-6.4028427004814148E-10</v>
      </c>
    </row>
    <row r="31" spans="2:321">
      <c r="C31" s="2432"/>
      <c r="D31" s="2433" t="s">
        <v>3922</v>
      </c>
      <c r="E31" s="2434"/>
      <c r="F31" s="2434"/>
      <c r="H31" s="2435">
        <f ca="1">MAX(J31:IA31)</f>
        <v>187360.26702602781</v>
      </c>
      <c r="I31" s="2436"/>
      <c r="J31" s="2436"/>
      <c r="K31" s="2436"/>
      <c r="L31" s="2435"/>
      <c r="M31" s="2437"/>
      <c r="N31" s="2436"/>
      <c r="O31" s="2435"/>
      <c r="P31" s="2435">
        <f t="shared" ref="P31:CA31" si="43">P27*P28</f>
        <v>0</v>
      </c>
      <c r="Q31" s="2438">
        <f t="shared" si="43"/>
        <v>0</v>
      </c>
      <c r="R31" s="2437">
        <f t="shared" si="43"/>
        <v>0</v>
      </c>
      <c r="S31" s="2439">
        <f t="shared" si="43"/>
        <v>0</v>
      </c>
      <c r="T31" s="2440">
        <f t="shared" si="43"/>
        <v>0</v>
      </c>
      <c r="U31" s="2441">
        <f t="shared" si="43"/>
        <v>0</v>
      </c>
      <c r="V31" s="2441">
        <f t="shared" si="43"/>
        <v>0</v>
      </c>
      <c r="W31" s="2441">
        <f t="shared" si="43"/>
        <v>0</v>
      </c>
      <c r="X31" s="2441">
        <f t="shared" si="43"/>
        <v>0</v>
      </c>
      <c r="Y31" s="2441">
        <f t="shared" si="43"/>
        <v>0</v>
      </c>
      <c r="Z31" s="2441">
        <f t="shared" si="43"/>
        <v>0</v>
      </c>
      <c r="AA31" s="2441">
        <f t="shared" si="43"/>
        <v>0</v>
      </c>
      <c r="AB31" s="2441">
        <f t="shared" si="43"/>
        <v>0</v>
      </c>
      <c r="AC31" s="2441">
        <f t="shared" si="43"/>
        <v>0</v>
      </c>
      <c r="AD31" s="2441">
        <f t="shared" si="43"/>
        <v>0</v>
      </c>
      <c r="AE31" s="2441">
        <f t="shared" si="43"/>
        <v>0</v>
      </c>
      <c r="AF31" s="2441">
        <f t="shared" si="43"/>
        <v>0</v>
      </c>
      <c r="AG31" s="2441">
        <f t="shared" si="43"/>
        <v>0</v>
      </c>
      <c r="AH31" s="2441">
        <f t="shared" si="43"/>
        <v>0</v>
      </c>
      <c r="AI31" s="2441">
        <f t="shared" si="43"/>
        <v>0</v>
      </c>
      <c r="AJ31" s="2441">
        <f t="shared" si="43"/>
        <v>187360.26702602781</v>
      </c>
      <c r="AK31" s="2441">
        <f t="shared" si="43"/>
        <v>184583.49939092243</v>
      </c>
      <c r="AL31" s="2441">
        <f t="shared" si="43"/>
        <v>183560.17119721512</v>
      </c>
      <c r="AM31" s="2441">
        <f t="shared" si="43"/>
        <v>181085.48480025071</v>
      </c>
      <c r="AN31" s="2441">
        <f t="shared" si="43"/>
        <v>180626.73523475698</v>
      </c>
      <c r="AO31" s="2441">
        <f t="shared" si="43"/>
        <v>177304.55243362222</v>
      </c>
      <c r="AP31" s="2441">
        <f t="shared" si="43"/>
        <v>178196.68429081625</v>
      </c>
      <c r="AQ31" s="2441">
        <f t="shared" si="43"/>
        <v>175943.34047760171</v>
      </c>
      <c r="AR31" s="2441">
        <f t="shared" si="43"/>
        <v>174717.0658355263</v>
      </c>
      <c r="AS31" s="2441">
        <f t="shared" si="43"/>
        <v>172173.05851541279</v>
      </c>
      <c r="AT31" s="2441">
        <f t="shared" si="43"/>
        <v>170539.64926656464</v>
      </c>
      <c r="AU31" s="2441">
        <f t="shared" si="43"/>
        <v>167630.54968231311</v>
      </c>
      <c r="AV31" s="2441">
        <f t="shared" si="43"/>
        <v>166280.90358545989</v>
      </c>
      <c r="AW31" s="2441">
        <f t="shared" si="43"/>
        <v>162808.09884107241</v>
      </c>
      <c r="AX31" s="2441">
        <f t="shared" si="43"/>
        <v>161314.83250233959</v>
      </c>
      <c r="AY31" s="2441">
        <f t="shared" si="43"/>
        <v>158101.90205721074</v>
      </c>
      <c r="AZ31" s="2441">
        <f t="shared" si="43"/>
        <v>156543.840044874</v>
      </c>
      <c r="BA31" s="2441">
        <f t="shared" si="43"/>
        <v>153510.26113560033</v>
      </c>
      <c r="BB31" s="2441">
        <f t="shared" si="43"/>
        <v>152330.77684557534</v>
      </c>
      <c r="BC31" s="2441">
        <f t="shared" si="43"/>
        <v>149842.25413386369</v>
      </c>
      <c r="BD31" s="2441">
        <f t="shared" si="43"/>
        <v>147612.9277345117</v>
      </c>
      <c r="BE31" s="2441">
        <f t="shared" si="43"/>
        <v>144310.59058547285</v>
      </c>
      <c r="BF31" s="2441">
        <f t="shared" si="43"/>
        <v>142692.41689736917</v>
      </c>
      <c r="BG31" s="2441">
        <f t="shared" si="43"/>
        <v>140671.89479919637</v>
      </c>
      <c r="BH31" s="2441">
        <f t="shared" si="43"/>
        <v>138314.40351270486</v>
      </c>
      <c r="BI31" s="2441">
        <f t="shared" si="43"/>
        <v>136053.61020570091</v>
      </c>
      <c r="BJ31" s="2441">
        <f t="shared" si="43"/>
        <v>134138.98984636826</v>
      </c>
      <c r="BK31" s="2441">
        <f t="shared" si="43"/>
        <v>132111.6471068135</v>
      </c>
      <c r="BL31" s="2441">
        <f t="shared" si="43"/>
        <v>130684.51590260056</v>
      </c>
      <c r="BM31" s="2441">
        <f t="shared" si="43"/>
        <v>128533.29574607374</v>
      </c>
      <c r="BN31" s="2441">
        <f t="shared" si="43"/>
        <v>127911.8890471716</v>
      </c>
      <c r="BO31" s="2441">
        <f t="shared" si="43"/>
        <v>125392.49850387929</v>
      </c>
      <c r="BP31" s="2441">
        <f t="shared" si="43"/>
        <v>124263.79459093137</v>
      </c>
      <c r="BQ31" s="2441">
        <f t="shared" si="43"/>
        <v>121519.50459422643</v>
      </c>
      <c r="BR31" s="2441">
        <f t="shared" si="43"/>
        <v>120690.79198879462</v>
      </c>
      <c r="BS31" s="2441">
        <f t="shared" si="43"/>
        <v>118629.21620872608</v>
      </c>
      <c r="BT31" s="2441">
        <f t="shared" si="43"/>
        <v>118266.74493465353</v>
      </c>
      <c r="BU31" s="2441">
        <f t="shared" si="43"/>
        <v>114785.009888217</v>
      </c>
      <c r="BV31" s="2441">
        <f t="shared" si="43"/>
        <v>112938.17130511587</v>
      </c>
      <c r="BW31" s="2441">
        <f t="shared" si="43"/>
        <v>111389.5617160033</v>
      </c>
      <c r="BX31" s="2441">
        <f t="shared" si="43"/>
        <v>109783.65692668382</v>
      </c>
      <c r="BY31" s="2441">
        <f t="shared" si="43"/>
        <v>107799.94683040405</v>
      </c>
      <c r="BZ31" s="2441">
        <f t="shared" si="43"/>
        <v>106160.0778153587</v>
      </c>
      <c r="CA31" s="2441">
        <f t="shared" si="43"/>
        <v>104074.94873073477</v>
      </c>
      <c r="CB31" s="2441">
        <f t="shared" ref="CB31:EM31" si="44">CB27*CB28</f>
        <v>103322.53242748525</v>
      </c>
      <c r="CC31" s="2441">
        <f t="shared" si="44"/>
        <v>101113.58628189348</v>
      </c>
      <c r="CD31" s="2441">
        <f t="shared" si="44"/>
        <v>100851.57821509764</v>
      </c>
      <c r="CE31" s="2441">
        <f t="shared" si="44"/>
        <v>99303.126795721095</v>
      </c>
      <c r="CF31" s="2441">
        <f t="shared" si="44"/>
        <v>98648.151398439586</v>
      </c>
      <c r="CG31" s="2441">
        <f t="shared" si="44"/>
        <v>97751.058874510738</v>
      </c>
      <c r="CH31" s="2441">
        <f t="shared" ca="1" si="44"/>
        <v>96410.333988262166</v>
      </c>
      <c r="CI31" s="2441">
        <f t="shared" ca="1" si="44"/>
        <v>95087.998091772926</v>
      </c>
      <c r="CJ31" s="2441">
        <f t="shared" ca="1" si="44"/>
        <v>93783.798967046721</v>
      </c>
      <c r="CK31" s="2441">
        <f t="shared" ca="1" si="44"/>
        <v>92497.487855435422</v>
      </c>
      <c r="CL31" s="2441">
        <f t="shared" ca="1" si="44"/>
        <v>91228.819410191674</v>
      </c>
      <c r="CM31" s="2441">
        <f t="shared" ca="1" si="44"/>
        <v>89977.551649672154</v>
      </c>
      <c r="CN31" s="2441">
        <f t="shared" ca="1" si="44"/>
        <v>88743.44591118292</v>
      </c>
      <c r="CO31" s="2441">
        <f t="shared" ca="1" si="44"/>
        <v>87526.266805457635</v>
      </c>
      <c r="CP31" s="2441">
        <f t="shared" ca="1" si="44"/>
        <v>86325.782171760133</v>
      </c>
      <c r="CQ31" s="2441">
        <f t="shared" ca="1" si="44"/>
        <v>85141.76303360294</v>
      </c>
      <c r="CR31" s="2441">
        <f t="shared" ca="1" si="44"/>
        <v>83973.983555072948</v>
      </c>
      <c r="CS31" s="2441">
        <f t="shared" ca="1" si="44"/>
        <v>82822.220997756333</v>
      </c>
      <c r="CT31" s="2441">
        <f t="shared" ca="1" si="44"/>
        <v>81686.255678254034</v>
      </c>
      <c r="CU31" s="2441">
        <f t="shared" ca="1" si="44"/>
        <v>80565.8709262802</v>
      </c>
      <c r="CV31" s="2441">
        <f t="shared" ca="1" si="44"/>
        <v>79460.853043335097</v>
      </c>
      <c r="CW31" s="2441">
        <f t="shared" ca="1" si="44"/>
        <v>78370.991261945019</v>
      </c>
      <c r="CX31" s="2441">
        <f t="shared" ca="1" si="44"/>
        <v>77296.077705461212</v>
      </c>
      <c r="CY31" s="2441">
        <f t="shared" ca="1" si="44"/>
        <v>76235.907348410081</v>
      </c>
      <c r="CZ31" s="2441">
        <f t="shared" ca="1" si="44"/>
        <v>75190.277977387421</v>
      </c>
      <c r="DA31" s="2441">
        <f t="shared" ca="1" si="44"/>
        <v>74158.990152488797</v>
      </c>
      <c r="DB31" s="2441">
        <f t="shared" ca="1" si="44"/>
        <v>73141.847169269109</v>
      </c>
      <c r="DC31" s="2441">
        <f t="shared" ca="1" si="44"/>
        <v>72138.655021223734</v>
      </c>
      <c r="DD31" s="2441">
        <f t="shared" ca="1" si="44"/>
        <v>71149.222362784538</v>
      </c>
      <c r="DE31" s="2441">
        <f t="shared" ca="1" si="44"/>
        <v>70173.360472823013</v>
      </c>
      <c r="DF31" s="2441">
        <f t="shared" ca="1" si="44"/>
        <v>69210.883218654475</v>
      </c>
      <c r="DG31" s="2441">
        <f t="shared" ca="1" si="44"/>
        <v>68261.607020535565</v>
      </c>
      <c r="DH31" s="2441">
        <f t="shared" ca="1" si="44"/>
        <v>67325.350816648861</v>
      </c>
      <c r="DI31" s="2441">
        <f t="shared" ca="1" si="44"/>
        <v>66401.936028567914</v>
      </c>
      <c r="DJ31" s="2441">
        <f t="shared" ca="1" si="44"/>
        <v>65491.186527195481</v>
      </c>
      <c r="DK31" s="2441">
        <f t="shared" ca="1" si="44"/>
        <v>64592.928599169551</v>
      </c>
      <c r="DL31" s="2441">
        <f t="shared" ca="1" si="44"/>
        <v>63706.990913729671</v>
      </c>
      <c r="DM31" s="2441">
        <f t="shared" ca="1" si="44"/>
        <v>62833.20449003781</v>
      </c>
      <c r="DN31" s="2441">
        <f t="shared" ca="1" si="44"/>
        <v>61971.402664947731</v>
      </c>
      <c r="DO31" s="2441">
        <f t="shared" ca="1" si="44"/>
        <v>61121.42106121606</v>
      </c>
      <c r="DP31" s="2441">
        <f t="shared" ca="1" si="44"/>
        <v>60283.097556149463</v>
      </c>
      <c r="DQ31" s="2441">
        <f t="shared" ca="1" si="44"/>
        <v>59456.272250682043</v>
      </c>
      <c r="DR31" s="2441">
        <f t="shared" ca="1" si="44"/>
        <v>58640.787438876621</v>
      </c>
      <c r="DS31" s="2441">
        <f t="shared" ca="1" si="44"/>
        <v>57836.487577844455</v>
      </c>
      <c r="DT31" s="2441">
        <f t="shared" ca="1" si="44"/>
        <v>57043.21925807753</v>
      </c>
      <c r="DU31" s="2441">
        <f t="shared" ca="1" si="44"/>
        <v>56260.831174187631</v>
      </c>
      <c r="DV31" s="2441">
        <f t="shared" ca="1" si="44"/>
        <v>55489.174096046925</v>
      </c>
      <c r="DW31" s="5270">
        <f t="shared" ca="1" si="44"/>
        <v>54728.100840324405</v>
      </c>
      <c r="DX31" s="5270">
        <f t="shared" ca="1" si="44"/>
        <v>53977.466242412353</v>
      </c>
      <c r="DY31" s="5270">
        <f t="shared" ca="1" si="44"/>
        <v>53237.127128738408</v>
      </c>
      <c r="DZ31" s="5270">
        <f t="shared" ca="1" si="44"/>
        <v>52506.942289456936</v>
      </c>
      <c r="EA31" s="5270">
        <f t="shared" ca="1" si="44"/>
        <v>51786.772451515179</v>
      </c>
      <c r="EB31" s="5270">
        <f t="shared" ca="1" si="44"/>
        <v>51076.480252088746</v>
      </c>
      <c r="EC31" s="5270">
        <f t="shared" ca="1" si="44"/>
        <v>50375.930212381558</v>
      </c>
      <c r="ED31" s="5270">
        <f t="shared" ca="1" si="44"/>
        <v>49684.98871178495</v>
      </c>
      <c r="EE31" s="5270">
        <f t="shared" ca="1" si="44"/>
        <v>49003.523962391446</v>
      </c>
      <c r="EF31" s="5270">
        <f t="shared" ca="1" si="44"/>
        <v>48331.40598385784</v>
      </c>
      <c r="EG31" s="5270">
        <f t="shared" ca="1" si="44"/>
        <v>47668.506578613255</v>
      </c>
      <c r="EH31" s="5270">
        <f t="shared" ca="1" si="44"/>
        <v>47014.699307407172</v>
      </c>
      <c r="EI31" s="5270">
        <f t="shared" ca="1" si="44"/>
        <v>46369.85946519272</v>
      </c>
      <c r="EJ31" s="5270">
        <f t="shared" ca="1" si="44"/>
        <v>45733.864057340987</v>
      </c>
      <c r="EK31" s="5270">
        <f t="shared" ca="1" si="44"/>
        <v>45106.591776181333</v>
      </c>
      <c r="EL31" s="5270">
        <f t="shared" ca="1" si="44"/>
        <v>44487.922977863585</v>
      </c>
      <c r="EM31" s="5270">
        <f t="shared" ca="1" si="44"/>
        <v>43877.739659537569</v>
      </c>
      <c r="EN31" s="5270">
        <f t="shared" ref="EN31:GY31" ca="1" si="45">EN27*EN28</f>
        <v>43275.925436845646</v>
      </c>
      <c r="EO31" s="5270">
        <f t="shared" ca="1" si="45"/>
        <v>42682.365521723863</v>
      </c>
      <c r="EP31" s="5270">
        <f t="shared" ca="1" si="45"/>
        <v>42096.946700507848</v>
      </c>
      <c r="EQ31" s="5270">
        <f t="shared" ca="1" si="45"/>
        <v>41519.557312338606</v>
      </c>
      <c r="ER31" s="5270">
        <f t="shared" ca="1" si="45"/>
        <v>40950.087227864729</v>
      </c>
      <c r="ES31" s="5270">
        <f t="shared" ca="1" si="45"/>
        <v>40388.427828236825</v>
      </c>
      <c r="ET31" s="5270">
        <f t="shared" ca="1" si="45"/>
        <v>39834.471984389806</v>
      </c>
      <c r="EU31" s="5270">
        <f t="shared" ca="1" si="45"/>
        <v>39288.114036609368</v>
      </c>
      <c r="EV31" s="5270">
        <f t="shared" ca="1" si="45"/>
        <v>38749.249774378943</v>
      </c>
      <c r="EW31" s="5270">
        <f t="shared" ca="1" si="45"/>
        <v>38217.776416502937</v>
      </c>
      <c r="EX31" s="5270">
        <f t="shared" ca="1" si="45"/>
        <v>37693.592591502471</v>
      </c>
      <c r="EY31" s="5270">
        <f t="shared" ca="1" si="45"/>
        <v>37176.598318280121</v>
      </c>
      <c r="EZ31" s="5270">
        <f t="shared" ca="1" si="45"/>
        <v>36666.694987050003</v>
      </c>
      <c r="FA31" s="5270">
        <f t="shared" ca="1" si="45"/>
        <v>36163.785340529117</v>
      </c>
      <c r="FB31" s="5270">
        <f t="shared" ca="1" si="45"/>
        <v>35667.77345538685</v>
      </c>
      <c r="FC31" s="5270">
        <f t="shared" ca="1" si="45"/>
        <v>35178.564723948941</v>
      </c>
      <c r="FD31" s="5270">
        <f t="shared" ca="1" si="45"/>
        <v>34696.065836152215</v>
      </c>
      <c r="FE31" s="5270">
        <f t="shared" ca="1" si="45"/>
        <v>34220.184761747005</v>
      </c>
      <c r="FF31" s="5270">
        <f t="shared" ca="1" si="45"/>
        <v>33750.83073274362</v>
      </c>
      <c r="FG31" s="5270">
        <f t="shared" ca="1" si="45"/>
        <v>33287.914226099485</v>
      </c>
      <c r="FH31" s="5270">
        <f t="shared" ca="1" si="45"/>
        <v>32831.346946643898</v>
      </c>
      <c r="FI31" s="5270">
        <f t="shared" ca="1" si="45"/>
        <v>32381.041810236791</v>
      </c>
      <c r="FJ31" s="5270">
        <f t="shared" ca="1" si="45"/>
        <v>31936.91292715865</v>
      </c>
      <c r="FK31" s="5270">
        <f t="shared" ca="1" si="45"/>
        <v>31498.875585728259</v>
      </c>
      <c r="FL31" s="5270">
        <f t="shared" ca="1" si="45"/>
        <v>31066.846236144982</v>
      </c>
      <c r="FM31" s="5270">
        <f t="shared" ca="1" si="45"/>
        <v>30640.742474552688</v>
      </c>
      <c r="FN31" s="5270">
        <f t="shared" ca="1" si="45"/>
        <v>30220.483027322516</v>
      </c>
      <c r="FO31" s="5270">
        <f t="shared" ca="1" si="45"/>
        <v>29805.987735550785</v>
      </c>
      <c r="FP31" s="5270">
        <f t="shared" ca="1" si="45"/>
        <v>29397.177539769931</v>
      </c>
      <c r="FQ31" s="5270">
        <f t="shared" ca="1" si="45"/>
        <v>28993.974464868894</v>
      </c>
      <c r="FR31" s="5270">
        <f t="shared" ca="1" si="45"/>
        <v>28596.301605220291</v>
      </c>
      <c r="FS31" s="5270">
        <f t="shared" ca="1" si="45"/>
        <v>28204.083110011859</v>
      </c>
      <c r="FT31" s="5270">
        <f t="shared" ca="1" si="45"/>
        <v>27817.244168778925</v>
      </c>
      <c r="FU31" s="5270">
        <f t="shared" ca="1" si="45"/>
        <v>27435.710997135113</v>
      </c>
      <c r="FV31" s="5270">
        <f t="shared" ca="1" si="45"/>
        <v>27059.41082269909</v>
      </c>
      <c r="FW31" s="5270">
        <f t="shared" ca="1" si="45"/>
        <v>26688.271871214285</v>
      </c>
      <c r="FX31" s="5270">
        <f t="shared" ca="1" si="45"/>
        <v>26322.223352858677</v>
      </c>
      <c r="FY31" s="5270">
        <f t="shared" ca="1" si="45"/>
        <v>25961.195448742808</v>
      </c>
      <c r="FZ31" s="5270">
        <f t="shared" ca="1" si="45"/>
        <v>25605.119297592631</v>
      </c>
      <c r="GA31" s="5270">
        <f t="shared" ca="1" si="45"/>
        <v>25253.926982615107</v>
      </c>
      <c r="GB31" s="5270">
        <f t="shared" ca="1" si="45"/>
        <v>24907.551518544049</v>
      </c>
      <c r="GC31" s="5270">
        <f t="shared" ca="1" si="45"/>
        <v>24565.926838863594</v>
      </c>
      <c r="GD31" s="5270">
        <f t="shared" ca="1" si="45"/>
        <v>24228.987783206856</v>
      </c>
      <c r="GE31" s="5270">
        <f t="shared" ca="1" si="45"/>
        <v>23896.67008492738</v>
      </c>
      <c r="GF31" s="5270">
        <f t="shared" ca="1" si="45"/>
        <v>23568.910358841287</v>
      </c>
      <c r="GG31" s="5270">
        <f t="shared" ca="1" si="45"/>
        <v>23245.646089137314</v>
      </c>
      <c r="GH31" s="5270">
        <f t="shared" ca="1" si="45"/>
        <v>22926.815617452681</v>
      </c>
      <c r="GI31" s="5270">
        <f t="shared" ca="1" si="45"/>
        <v>22612.358131112709</v>
      </c>
      <c r="GJ31" s="5270">
        <f t="shared" ca="1" si="45"/>
        <v>22302.213651531503</v>
      </c>
      <c r="GK31" s="5270">
        <f t="shared" ca="1" si="45"/>
        <v>21996.323022771921</v>
      </c>
      <c r="GL31" s="5270">
        <f t="shared" ca="1" si="45"/>
        <v>21694.62790026228</v>
      </c>
      <c r="GM31" s="5270">
        <f t="shared" ca="1" si="45"/>
        <v>21397.070739667968</v>
      </c>
      <c r="GN31" s="5270">
        <f t="shared" ca="1" si="45"/>
        <v>21103.594785915677</v>
      </c>
      <c r="GO31" s="5270">
        <f t="shared" ca="1" si="45"/>
        <v>20814.144062367981</v>
      </c>
      <c r="GP31" s="5270">
        <f t="shared" ca="1" si="45"/>
        <v>20528.663360146573</v>
      </c>
      <c r="GQ31" s="5270">
        <f t="shared" ca="1" si="45"/>
        <v>20247.098227602055</v>
      </c>
      <c r="GR31" s="5270">
        <f t="shared" ca="1" si="45"/>
        <v>19969.394959927828</v>
      </c>
      <c r="GS31" s="5270">
        <f t="shared" ca="1" si="45"/>
        <v>19695.500588916744</v>
      </c>
      <c r="GT31" s="5270">
        <f t="shared" ca="1" si="45"/>
        <v>19425.362872857979</v>
      </c>
      <c r="GU31" s="5270">
        <f t="shared" ca="1" si="45"/>
        <v>19158.930286572799</v>
      </c>
      <c r="GV31" s="5270">
        <f t="shared" ca="1" si="45"/>
        <v>18896.152011586666</v>
      </c>
      <c r="GW31" s="5270">
        <f t="shared" ca="1" si="45"/>
        <v>18636.977926436415</v>
      </c>
      <c r="GX31" s="5270">
        <f t="shared" ca="1" si="45"/>
        <v>18381.358597110098</v>
      </c>
      <c r="GY31" s="5270">
        <f t="shared" ca="1" si="45"/>
        <v>18129.24526761828</v>
      </c>
      <c r="GZ31" s="5270">
        <f t="shared" ref="GZ31:IA31" ca="1" si="46">GZ27*GZ28</f>
        <v>17880.589850694312</v>
      </c>
      <c r="HA31" s="5270">
        <f t="shared" ca="1" si="46"/>
        <v>17635.344918622493</v>
      </c>
      <c r="HB31" s="5270">
        <f t="shared" ca="1" si="46"/>
        <v>17393.463694191683</v>
      </c>
      <c r="HC31" s="5270">
        <f t="shared" ca="1" si="46"/>
        <v>17154.900041773362</v>
      </c>
      <c r="HD31" s="5270">
        <f t="shared" ca="1" si="46"/>
        <v>16919.608458521703</v>
      </c>
      <c r="HE31" s="5270">
        <f t="shared" ca="1" si="46"/>
        <v>16687.544065694583</v>
      </c>
      <c r="HF31" s="5270">
        <f t="shared" ca="1" si="46"/>
        <v>16458.662600093587</v>
      </c>
      <c r="HG31" s="5270">
        <f t="shared" ca="1" si="46"/>
        <v>16232.920405621357</v>
      </c>
      <c r="HH31" s="5270">
        <f t="shared" ca="1" si="46"/>
        <v>16010.274424954827</v>
      </c>
      <c r="HI31" s="5270">
        <f t="shared" ca="1" si="46"/>
        <v>15790.682191332477</v>
      </c>
      <c r="HJ31" s="5270">
        <f t="shared" ca="1" si="46"/>
        <v>15574.101820454473</v>
      </c>
      <c r="HK31" s="5270">
        <f t="shared" ca="1" si="46"/>
        <v>15360.492002493746</v>
      </c>
      <c r="HL31" s="5270">
        <f t="shared" ca="1" si="46"/>
        <v>15149.811994216769</v>
      </c>
      <c r="HM31" s="5270">
        <f t="shared" ca="1" si="46"/>
        <v>14942.021611212203</v>
      </c>
      <c r="HN31" s="5270">
        <f t="shared" ca="1" si="46"/>
        <v>14737.081220226419</v>
      </c>
      <c r="HO31" s="5270">
        <f t="shared" ca="1" si="46"/>
        <v>14534.951731603818</v>
      </c>
      <c r="HP31" s="5270">
        <f t="shared" ca="1" si="46"/>
        <v>14335.594591831024</v>
      </c>
      <c r="HQ31" s="5270">
        <f t="shared" ca="1" si="46"/>
        <v>14138.971776183431</v>
      </c>
      <c r="HR31" s="5270">
        <f t="shared" ca="1" si="46"/>
        <v>13945.0457814724</v>
      </c>
      <c r="HS31" s="5270">
        <f t="shared" ca="1" si="46"/>
        <v>13753.779618892033</v>
      </c>
      <c r="HT31" s="5270">
        <f t="shared" ca="1" si="46"/>
        <v>13565.13680696403</v>
      </c>
      <c r="HU31" s="5270">
        <f t="shared" ca="1" si="46"/>
        <v>13379.081364579397</v>
      </c>
      <c r="HV31" s="5270">
        <f t="shared" ca="1" si="46"/>
        <v>13195.577804135446</v>
      </c>
      <c r="HW31" s="5270">
        <f t="shared" ca="1" si="46"/>
        <v>13014.591124767156</v>
      </c>
      <c r="HX31" s="5270">
        <f t="shared" ca="1" si="46"/>
        <v>12836.086805670977</v>
      </c>
      <c r="HY31" s="5270">
        <f t="shared" ca="1" si="46"/>
        <v>12660.030799520664</v>
      </c>
      <c r="HZ31" s="5270">
        <f t="shared" ca="1" si="46"/>
        <v>12486.389525973153</v>
      </c>
      <c r="IA31" s="5270">
        <f t="shared" ca="1" si="46"/>
        <v>12318.710509391101</v>
      </c>
    </row>
    <row r="32" spans="2:321">
      <c r="C32" s="2432"/>
      <c r="D32" s="2433" t="s">
        <v>3923</v>
      </c>
      <c r="E32" s="2434"/>
      <c r="F32" s="2434"/>
      <c r="G32" s="2442">
        <v>1</v>
      </c>
      <c r="H32" s="2435"/>
      <c r="I32" s="2436"/>
      <c r="J32" s="2436"/>
      <c r="K32" s="2436"/>
      <c r="L32" s="2435"/>
      <c r="M32" s="2437"/>
      <c r="N32" s="2436"/>
      <c r="O32" s="2435"/>
      <c r="P32" s="2435">
        <f t="shared" ref="P32:CA32" si="47">CHOOSE($G32,P31,P30)</f>
        <v>0</v>
      </c>
      <c r="Q32" s="2438">
        <f t="shared" si="47"/>
        <v>0</v>
      </c>
      <c r="R32" s="2438">
        <f t="shared" si="47"/>
        <v>0</v>
      </c>
      <c r="S32" s="2438">
        <f t="shared" si="47"/>
        <v>0</v>
      </c>
      <c r="T32" s="2438">
        <f t="shared" si="47"/>
        <v>0</v>
      </c>
      <c r="U32" s="2438">
        <f t="shared" si="47"/>
        <v>0</v>
      </c>
      <c r="V32" s="2438">
        <f t="shared" si="47"/>
        <v>0</v>
      </c>
      <c r="W32" s="2438">
        <f t="shared" si="47"/>
        <v>0</v>
      </c>
      <c r="X32" s="2438">
        <f t="shared" si="47"/>
        <v>0</v>
      </c>
      <c r="Y32" s="2438">
        <f t="shared" si="47"/>
        <v>0</v>
      </c>
      <c r="Z32" s="2438">
        <f t="shared" si="47"/>
        <v>0</v>
      </c>
      <c r="AA32" s="2438">
        <f t="shared" si="47"/>
        <v>0</v>
      </c>
      <c r="AB32" s="2438">
        <f t="shared" si="47"/>
        <v>0</v>
      </c>
      <c r="AC32" s="2438">
        <f t="shared" si="47"/>
        <v>0</v>
      </c>
      <c r="AD32" s="2438">
        <f t="shared" si="47"/>
        <v>0</v>
      </c>
      <c r="AE32" s="2438">
        <f t="shared" si="47"/>
        <v>0</v>
      </c>
      <c r="AF32" s="2438">
        <f t="shared" si="47"/>
        <v>0</v>
      </c>
      <c r="AG32" s="2438">
        <f t="shared" si="47"/>
        <v>0</v>
      </c>
      <c r="AH32" s="2438">
        <f t="shared" si="47"/>
        <v>0</v>
      </c>
      <c r="AI32" s="2438">
        <f t="shared" si="47"/>
        <v>0</v>
      </c>
      <c r="AJ32" s="2438">
        <f t="shared" si="47"/>
        <v>187360.26702602781</v>
      </c>
      <c r="AK32" s="2438">
        <f t="shared" si="47"/>
        <v>184583.49939092243</v>
      </c>
      <c r="AL32" s="2438">
        <f t="shared" si="47"/>
        <v>183560.17119721512</v>
      </c>
      <c r="AM32" s="2438">
        <f t="shared" si="47"/>
        <v>181085.48480025071</v>
      </c>
      <c r="AN32" s="2438">
        <f t="shared" si="47"/>
        <v>180626.73523475698</v>
      </c>
      <c r="AO32" s="2438">
        <f t="shared" si="47"/>
        <v>177304.55243362222</v>
      </c>
      <c r="AP32" s="2438">
        <f t="shared" si="47"/>
        <v>178196.68429081625</v>
      </c>
      <c r="AQ32" s="2438">
        <f t="shared" si="47"/>
        <v>175943.34047760171</v>
      </c>
      <c r="AR32" s="2438">
        <f t="shared" si="47"/>
        <v>174717.0658355263</v>
      </c>
      <c r="AS32" s="2438">
        <f t="shared" si="47"/>
        <v>172173.05851541279</v>
      </c>
      <c r="AT32" s="2438">
        <f t="shared" si="47"/>
        <v>170539.64926656464</v>
      </c>
      <c r="AU32" s="2438">
        <f t="shared" si="47"/>
        <v>167630.54968231311</v>
      </c>
      <c r="AV32" s="2438">
        <f t="shared" si="47"/>
        <v>166280.90358545989</v>
      </c>
      <c r="AW32" s="2438">
        <f t="shared" si="47"/>
        <v>162808.09884107241</v>
      </c>
      <c r="AX32" s="2438">
        <f t="shared" si="47"/>
        <v>161314.83250233959</v>
      </c>
      <c r="AY32" s="2438">
        <f t="shared" si="47"/>
        <v>158101.90205721074</v>
      </c>
      <c r="AZ32" s="2438">
        <f t="shared" si="47"/>
        <v>156543.840044874</v>
      </c>
      <c r="BA32" s="2438">
        <f t="shared" si="47"/>
        <v>153510.26113560033</v>
      </c>
      <c r="BB32" s="2438">
        <f t="shared" si="47"/>
        <v>152330.77684557534</v>
      </c>
      <c r="BC32" s="2438">
        <f t="shared" si="47"/>
        <v>149842.25413386369</v>
      </c>
      <c r="BD32" s="2438">
        <f t="shared" si="47"/>
        <v>147612.9277345117</v>
      </c>
      <c r="BE32" s="2438">
        <f t="shared" si="47"/>
        <v>144310.59058547285</v>
      </c>
      <c r="BF32" s="2438">
        <f t="shared" si="47"/>
        <v>142692.41689736917</v>
      </c>
      <c r="BG32" s="2438">
        <f t="shared" si="47"/>
        <v>140671.89479919637</v>
      </c>
      <c r="BH32" s="2438">
        <f t="shared" si="47"/>
        <v>138314.40351270486</v>
      </c>
      <c r="BI32" s="2438">
        <f t="shared" si="47"/>
        <v>136053.61020570091</v>
      </c>
      <c r="BJ32" s="2438">
        <f t="shared" si="47"/>
        <v>134138.98984636826</v>
      </c>
      <c r="BK32" s="2438">
        <f t="shared" si="47"/>
        <v>132111.6471068135</v>
      </c>
      <c r="BL32" s="2438">
        <f t="shared" si="47"/>
        <v>130684.51590260056</v>
      </c>
      <c r="BM32" s="2438">
        <f t="shared" si="47"/>
        <v>128533.29574607374</v>
      </c>
      <c r="BN32" s="2438">
        <f t="shared" si="47"/>
        <v>127911.8890471716</v>
      </c>
      <c r="BO32" s="2438">
        <f t="shared" si="47"/>
        <v>125392.49850387929</v>
      </c>
      <c r="BP32" s="2438">
        <f t="shared" si="47"/>
        <v>124263.79459093137</v>
      </c>
      <c r="BQ32" s="2438">
        <f t="shared" si="47"/>
        <v>121519.50459422643</v>
      </c>
      <c r="BR32" s="2438">
        <f t="shared" si="47"/>
        <v>120690.79198879462</v>
      </c>
      <c r="BS32" s="2438">
        <f t="shared" si="47"/>
        <v>118629.21620872608</v>
      </c>
      <c r="BT32" s="2438">
        <f t="shared" si="47"/>
        <v>118266.74493465353</v>
      </c>
      <c r="BU32" s="2438">
        <f t="shared" si="47"/>
        <v>114785.009888217</v>
      </c>
      <c r="BV32" s="2438">
        <f t="shared" si="47"/>
        <v>112938.17130511587</v>
      </c>
      <c r="BW32" s="2438">
        <f t="shared" si="47"/>
        <v>111389.5617160033</v>
      </c>
      <c r="BX32" s="2438">
        <f t="shared" si="47"/>
        <v>109783.65692668382</v>
      </c>
      <c r="BY32" s="2438">
        <f t="shared" si="47"/>
        <v>107799.94683040405</v>
      </c>
      <c r="BZ32" s="2438">
        <f t="shared" si="47"/>
        <v>106160.0778153587</v>
      </c>
      <c r="CA32" s="2438">
        <f t="shared" si="47"/>
        <v>104074.94873073477</v>
      </c>
      <c r="CB32" s="2438">
        <f t="shared" ref="CB32:EM32" si="48">CHOOSE($G32,CB31,CB30)</f>
        <v>103322.53242748525</v>
      </c>
      <c r="CC32" s="2438">
        <f t="shared" si="48"/>
        <v>101113.58628189348</v>
      </c>
      <c r="CD32" s="2438">
        <f t="shared" si="48"/>
        <v>100851.57821509764</v>
      </c>
      <c r="CE32" s="2438">
        <f t="shared" si="48"/>
        <v>99303.126795721095</v>
      </c>
      <c r="CF32" s="2438">
        <f t="shared" si="48"/>
        <v>98648.151398439586</v>
      </c>
      <c r="CG32" s="2438">
        <f t="shared" si="48"/>
        <v>97751.058874510738</v>
      </c>
      <c r="CH32" s="2438">
        <f t="shared" ca="1" si="48"/>
        <v>96410.333988262166</v>
      </c>
      <c r="CI32" s="2438">
        <f t="shared" ca="1" si="48"/>
        <v>95087.998091772926</v>
      </c>
      <c r="CJ32" s="2438">
        <f t="shared" ca="1" si="48"/>
        <v>93783.798967046721</v>
      </c>
      <c r="CK32" s="2438">
        <f t="shared" ca="1" si="48"/>
        <v>92497.487855435422</v>
      </c>
      <c r="CL32" s="2438">
        <f t="shared" ca="1" si="48"/>
        <v>91228.819410191674</v>
      </c>
      <c r="CM32" s="2438">
        <f t="shared" ca="1" si="48"/>
        <v>89977.551649672154</v>
      </c>
      <c r="CN32" s="2438">
        <f t="shared" ca="1" si="48"/>
        <v>88743.44591118292</v>
      </c>
      <c r="CO32" s="2438">
        <f t="shared" ca="1" si="48"/>
        <v>87526.266805457635</v>
      </c>
      <c r="CP32" s="2438">
        <f t="shared" ca="1" si="48"/>
        <v>86325.782171760133</v>
      </c>
      <c r="CQ32" s="2438">
        <f t="shared" ca="1" si="48"/>
        <v>85141.76303360294</v>
      </c>
      <c r="CR32" s="2438">
        <f t="shared" ca="1" si="48"/>
        <v>83973.983555072948</v>
      </c>
      <c r="CS32" s="2438">
        <f t="shared" ca="1" si="48"/>
        <v>82822.220997756333</v>
      </c>
      <c r="CT32" s="2438">
        <f t="shared" ca="1" si="48"/>
        <v>81686.255678254034</v>
      </c>
      <c r="CU32" s="2438">
        <f t="shared" ca="1" si="48"/>
        <v>80565.8709262802</v>
      </c>
      <c r="CV32" s="2438">
        <f t="shared" ca="1" si="48"/>
        <v>79460.853043335097</v>
      </c>
      <c r="CW32" s="2438">
        <f t="shared" ca="1" si="48"/>
        <v>78370.991261945019</v>
      </c>
      <c r="CX32" s="2438">
        <f t="shared" ca="1" si="48"/>
        <v>77296.077705461212</v>
      </c>
      <c r="CY32" s="2438">
        <f t="shared" ca="1" si="48"/>
        <v>76235.907348410081</v>
      </c>
      <c r="CZ32" s="2438">
        <f t="shared" ca="1" si="48"/>
        <v>75190.277977387421</v>
      </c>
      <c r="DA32" s="2438">
        <f t="shared" ca="1" si="48"/>
        <v>74158.990152488797</v>
      </c>
      <c r="DB32" s="2438">
        <f t="shared" ca="1" si="48"/>
        <v>73141.847169269109</v>
      </c>
      <c r="DC32" s="2438">
        <f t="shared" ca="1" si="48"/>
        <v>72138.655021223734</v>
      </c>
      <c r="DD32" s="2438">
        <f t="shared" ca="1" si="48"/>
        <v>71149.222362784538</v>
      </c>
      <c r="DE32" s="2438">
        <f t="shared" ca="1" si="48"/>
        <v>70173.360472823013</v>
      </c>
      <c r="DF32" s="2438">
        <f t="shared" ca="1" si="48"/>
        <v>69210.883218654475</v>
      </c>
      <c r="DG32" s="2438">
        <f t="shared" ca="1" si="48"/>
        <v>68261.607020535565</v>
      </c>
      <c r="DH32" s="2438">
        <f t="shared" ca="1" si="48"/>
        <v>67325.350816648861</v>
      </c>
      <c r="DI32" s="2438">
        <f t="shared" ca="1" si="48"/>
        <v>66401.936028567914</v>
      </c>
      <c r="DJ32" s="2438">
        <f t="shared" ca="1" si="48"/>
        <v>65491.186527195481</v>
      </c>
      <c r="DK32" s="2438">
        <f t="shared" ca="1" si="48"/>
        <v>64592.928599169551</v>
      </c>
      <c r="DL32" s="2438">
        <f t="shared" ca="1" si="48"/>
        <v>63706.990913729671</v>
      </c>
      <c r="DM32" s="2438">
        <f t="shared" ca="1" si="48"/>
        <v>62833.20449003781</v>
      </c>
      <c r="DN32" s="2438">
        <f t="shared" ca="1" si="48"/>
        <v>61971.402664947731</v>
      </c>
      <c r="DO32" s="2438">
        <f t="shared" ca="1" si="48"/>
        <v>61121.42106121606</v>
      </c>
      <c r="DP32" s="2438">
        <f t="shared" ca="1" si="48"/>
        <v>60283.097556149463</v>
      </c>
      <c r="DQ32" s="2438">
        <f t="shared" ca="1" si="48"/>
        <v>59456.272250682043</v>
      </c>
      <c r="DR32" s="2438">
        <f t="shared" ca="1" si="48"/>
        <v>58640.787438876621</v>
      </c>
      <c r="DS32" s="2438">
        <f t="shared" ca="1" si="48"/>
        <v>57836.487577844455</v>
      </c>
      <c r="DT32" s="2438">
        <f t="shared" ca="1" si="48"/>
        <v>57043.21925807753</v>
      </c>
      <c r="DU32" s="2438">
        <f t="shared" ca="1" si="48"/>
        <v>56260.831174187631</v>
      </c>
      <c r="DV32" s="2438">
        <f t="shared" ca="1" si="48"/>
        <v>55489.174096046925</v>
      </c>
      <c r="DW32" s="5271">
        <f t="shared" ca="1" si="48"/>
        <v>54728.100840324405</v>
      </c>
      <c r="DX32" s="5271">
        <f t="shared" ca="1" si="48"/>
        <v>53977.466242412353</v>
      </c>
      <c r="DY32" s="5271">
        <f t="shared" ca="1" si="48"/>
        <v>53237.127128738408</v>
      </c>
      <c r="DZ32" s="5271">
        <f t="shared" ca="1" si="48"/>
        <v>52506.942289456936</v>
      </c>
      <c r="EA32" s="5271">
        <f t="shared" ca="1" si="48"/>
        <v>51786.772451515179</v>
      </c>
      <c r="EB32" s="5271">
        <f t="shared" ca="1" si="48"/>
        <v>51076.480252088746</v>
      </c>
      <c r="EC32" s="5271">
        <f t="shared" ca="1" si="48"/>
        <v>50375.930212381558</v>
      </c>
      <c r="ED32" s="5271">
        <f t="shared" ca="1" si="48"/>
        <v>49684.98871178495</v>
      </c>
      <c r="EE32" s="5271">
        <f t="shared" ca="1" si="48"/>
        <v>49003.523962391446</v>
      </c>
      <c r="EF32" s="5271">
        <f t="shared" ca="1" si="48"/>
        <v>48331.40598385784</v>
      </c>
      <c r="EG32" s="5271">
        <f t="shared" ca="1" si="48"/>
        <v>47668.506578613255</v>
      </c>
      <c r="EH32" s="5271">
        <f t="shared" ca="1" si="48"/>
        <v>47014.699307407172</v>
      </c>
      <c r="EI32" s="5271">
        <f t="shared" ca="1" si="48"/>
        <v>46369.85946519272</v>
      </c>
      <c r="EJ32" s="5271">
        <f t="shared" ca="1" si="48"/>
        <v>45733.864057340987</v>
      </c>
      <c r="EK32" s="5271">
        <f t="shared" ca="1" si="48"/>
        <v>45106.591776181333</v>
      </c>
      <c r="EL32" s="5271">
        <f t="shared" ca="1" si="48"/>
        <v>44487.922977863585</v>
      </c>
      <c r="EM32" s="5271">
        <f t="shared" ca="1" si="48"/>
        <v>43877.739659537569</v>
      </c>
      <c r="EN32" s="5271">
        <f t="shared" ref="EN32:GY32" ca="1" si="49">CHOOSE($G32,EN31,EN30)</f>
        <v>43275.925436845646</v>
      </c>
      <c r="EO32" s="5271">
        <f t="shared" ca="1" si="49"/>
        <v>42682.365521723863</v>
      </c>
      <c r="EP32" s="5271">
        <f t="shared" ca="1" si="49"/>
        <v>42096.946700507848</v>
      </c>
      <c r="EQ32" s="5271">
        <f t="shared" ca="1" si="49"/>
        <v>41519.557312338606</v>
      </c>
      <c r="ER32" s="5271">
        <f t="shared" ca="1" si="49"/>
        <v>40950.087227864729</v>
      </c>
      <c r="ES32" s="5271">
        <f t="shared" ca="1" si="49"/>
        <v>40388.427828236825</v>
      </c>
      <c r="ET32" s="5271">
        <f t="shared" ca="1" si="49"/>
        <v>39834.471984389806</v>
      </c>
      <c r="EU32" s="5271">
        <f t="shared" ca="1" si="49"/>
        <v>39288.114036609368</v>
      </c>
      <c r="EV32" s="5271">
        <f t="shared" ca="1" si="49"/>
        <v>38749.249774378943</v>
      </c>
      <c r="EW32" s="5271">
        <f t="shared" ca="1" si="49"/>
        <v>38217.776416502937</v>
      </c>
      <c r="EX32" s="5271">
        <f t="shared" ca="1" si="49"/>
        <v>37693.592591502471</v>
      </c>
      <c r="EY32" s="5271">
        <f t="shared" ca="1" si="49"/>
        <v>37176.598318280121</v>
      </c>
      <c r="EZ32" s="5271">
        <f t="shared" ca="1" si="49"/>
        <v>36666.694987050003</v>
      </c>
      <c r="FA32" s="5271">
        <f t="shared" ca="1" si="49"/>
        <v>36163.785340529117</v>
      </c>
      <c r="FB32" s="5271">
        <f t="shared" ca="1" si="49"/>
        <v>35667.77345538685</v>
      </c>
      <c r="FC32" s="5271">
        <f t="shared" ca="1" si="49"/>
        <v>35178.564723948941</v>
      </c>
      <c r="FD32" s="5271">
        <f t="shared" ca="1" si="49"/>
        <v>34696.065836152215</v>
      </c>
      <c r="FE32" s="5271">
        <f t="shared" ca="1" si="49"/>
        <v>34220.184761747005</v>
      </c>
      <c r="FF32" s="5271">
        <f t="shared" ca="1" si="49"/>
        <v>33750.83073274362</v>
      </c>
      <c r="FG32" s="5271">
        <f t="shared" ca="1" si="49"/>
        <v>33287.914226099485</v>
      </c>
      <c r="FH32" s="5271">
        <f t="shared" ca="1" si="49"/>
        <v>32831.346946643898</v>
      </c>
      <c r="FI32" s="5271">
        <f t="shared" ca="1" si="49"/>
        <v>32381.041810236791</v>
      </c>
      <c r="FJ32" s="5271">
        <f t="shared" ca="1" si="49"/>
        <v>31936.91292715865</v>
      </c>
      <c r="FK32" s="5271">
        <f t="shared" ca="1" si="49"/>
        <v>31498.875585728259</v>
      </c>
      <c r="FL32" s="5271">
        <f t="shared" ca="1" si="49"/>
        <v>31066.846236144982</v>
      </c>
      <c r="FM32" s="5271">
        <f t="shared" ca="1" si="49"/>
        <v>30640.742474552688</v>
      </c>
      <c r="FN32" s="5271">
        <f t="shared" ca="1" si="49"/>
        <v>30220.483027322516</v>
      </c>
      <c r="FO32" s="5271">
        <f t="shared" ca="1" si="49"/>
        <v>29805.987735550785</v>
      </c>
      <c r="FP32" s="5271">
        <f t="shared" ca="1" si="49"/>
        <v>29397.177539769931</v>
      </c>
      <c r="FQ32" s="5271">
        <f t="shared" ca="1" si="49"/>
        <v>28993.974464868894</v>
      </c>
      <c r="FR32" s="5271">
        <f t="shared" ca="1" si="49"/>
        <v>28596.301605220291</v>
      </c>
      <c r="FS32" s="5271">
        <f t="shared" ca="1" si="49"/>
        <v>28204.083110011859</v>
      </c>
      <c r="FT32" s="5271">
        <f t="shared" ca="1" si="49"/>
        <v>27817.244168778925</v>
      </c>
      <c r="FU32" s="5271">
        <f t="shared" ca="1" si="49"/>
        <v>27435.710997135113</v>
      </c>
      <c r="FV32" s="5271">
        <f t="shared" ca="1" si="49"/>
        <v>27059.41082269909</v>
      </c>
      <c r="FW32" s="5271">
        <f t="shared" ca="1" si="49"/>
        <v>26688.271871214285</v>
      </c>
      <c r="FX32" s="5271">
        <f t="shared" ca="1" si="49"/>
        <v>26322.223352858677</v>
      </c>
      <c r="FY32" s="5271">
        <f t="shared" ca="1" si="49"/>
        <v>25961.195448742808</v>
      </c>
      <c r="FZ32" s="5271">
        <f t="shared" ca="1" si="49"/>
        <v>25605.119297592631</v>
      </c>
      <c r="GA32" s="5271">
        <f t="shared" ca="1" si="49"/>
        <v>25253.926982615107</v>
      </c>
      <c r="GB32" s="5271">
        <f t="shared" ca="1" si="49"/>
        <v>24907.551518544049</v>
      </c>
      <c r="GC32" s="5271">
        <f t="shared" ca="1" si="49"/>
        <v>24565.926838863594</v>
      </c>
      <c r="GD32" s="5271">
        <f t="shared" ca="1" si="49"/>
        <v>24228.987783206856</v>
      </c>
      <c r="GE32" s="5271">
        <f t="shared" ca="1" si="49"/>
        <v>23896.67008492738</v>
      </c>
      <c r="GF32" s="5271">
        <f t="shared" ca="1" si="49"/>
        <v>23568.910358841287</v>
      </c>
      <c r="GG32" s="5271">
        <f t="shared" ca="1" si="49"/>
        <v>23245.646089137314</v>
      </c>
      <c r="GH32" s="5271">
        <f t="shared" ca="1" si="49"/>
        <v>22926.815617452681</v>
      </c>
      <c r="GI32" s="5271">
        <f t="shared" ca="1" si="49"/>
        <v>22612.358131112709</v>
      </c>
      <c r="GJ32" s="5271">
        <f t="shared" ca="1" si="49"/>
        <v>22302.213651531503</v>
      </c>
      <c r="GK32" s="5271">
        <f t="shared" ca="1" si="49"/>
        <v>21996.323022771921</v>
      </c>
      <c r="GL32" s="5271">
        <f t="shared" ca="1" si="49"/>
        <v>21694.62790026228</v>
      </c>
      <c r="GM32" s="5271">
        <f t="shared" ca="1" si="49"/>
        <v>21397.070739667968</v>
      </c>
      <c r="GN32" s="5271">
        <f t="shared" ca="1" si="49"/>
        <v>21103.594785915677</v>
      </c>
      <c r="GO32" s="5271">
        <f t="shared" ca="1" si="49"/>
        <v>20814.144062367981</v>
      </c>
      <c r="GP32" s="5271">
        <f t="shared" ca="1" si="49"/>
        <v>20528.663360146573</v>
      </c>
      <c r="GQ32" s="5271">
        <f t="shared" ca="1" si="49"/>
        <v>20247.098227602055</v>
      </c>
      <c r="GR32" s="5271">
        <f t="shared" ca="1" si="49"/>
        <v>19969.394959927828</v>
      </c>
      <c r="GS32" s="5271">
        <f t="shared" ca="1" si="49"/>
        <v>19695.500588916744</v>
      </c>
      <c r="GT32" s="5271">
        <f t="shared" ca="1" si="49"/>
        <v>19425.362872857979</v>
      </c>
      <c r="GU32" s="5271">
        <f t="shared" ca="1" si="49"/>
        <v>19158.930286572799</v>
      </c>
      <c r="GV32" s="5271">
        <f t="shared" ca="1" si="49"/>
        <v>18896.152011586666</v>
      </c>
      <c r="GW32" s="5271">
        <f t="shared" ca="1" si="49"/>
        <v>18636.977926436415</v>
      </c>
      <c r="GX32" s="5271">
        <f t="shared" ca="1" si="49"/>
        <v>18381.358597110098</v>
      </c>
      <c r="GY32" s="5271">
        <f t="shared" ca="1" si="49"/>
        <v>18129.24526761828</v>
      </c>
      <c r="GZ32" s="5271">
        <f t="shared" ref="GZ32:IA32" ca="1" si="50">CHOOSE($G32,GZ31,GZ30)</f>
        <v>17880.589850694312</v>
      </c>
      <c r="HA32" s="5271">
        <f t="shared" ca="1" si="50"/>
        <v>17635.344918622493</v>
      </c>
      <c r="HB32" s="5271">
        <f t="shared" ca="1" si="50"/>
        <v>17393.463694191683</v>
      </c>
      <c r="HC32" s="5271">
        <f t="shared" ca="1" si="50"/>
        <v>17154.900041773362</v>
      </c>
      <c r="HD32" s="5271">
        <f t="shared" ca="1" si="50"/>
        <v>16919.608458521703</v>
      </c>
      <c r="HE32" s="5271">
        <f t="shared" ca="1" si="50"/>
        <v>16687.544065694583</v>
      </c>
      <c r="HF32" s="5271">
        <f t="shared" ca="1" si="50"/>
        <v>16458.662600093587</v>
      </c>
      <c r="HG32" s="5271">
        <f t="shared" ca="1" si="50"/>
        <v>16232.920405621357</v>
      </c>
      <c r="HH32" s="5271">
        <f t="shared" ca="1" si="50"/>
        <v>16010.274424954827</v>
      </c>
      <c r="HI32" s="5271">
        <f t="shared" ca="1" si="50"/>
        <v>15790.682191332477</v>
      </c>
      <c r="HJ32" s="5271">
        <f t="shared" ca="1" si="50"/>
        <v>15574.101820454473</v>
      </c>
      <c r="HK32" s="5271">
        <f t="shared" ca="1" si="50"/>
        <v>15360.492002493746</v>
      </c>
      <c r="HL32" s="5271">
        <f t="shared" ca="1" si="50"/>
        <v>15149.811994216769</v>
      </c>
      <c r="HM32" s="5271">
        <f t="shared" ca="1" si="50"/>
        <v>14942.021611212203</v>
      </c>
      <c r="HN32" s="5271">
        <f t="shared" ca="1" si="50"/>
        <v>14737.081220226419</v>
      </c>
      <c r="HO32" s="5271">
        <f t="shared" ca="1" si="50"/>
        <v>14534.951731603818</v>
      </c>
      <c r="HP32" s="5271">
        <f t="shared" ca="1" si="50"/>
        <v>14335.594591831024</v>
      </c>
      <c r="HQ32" s="5271">
        <f t="shared" ca="1" si="50"/>
        <v>14138.971776183431</v>
      </c>
      <c r="HR32" s="5271">
        <f t="shared" ca="1" si="50"/>
        <v>13945.0457814724</v>
      </c>
      <c r="HS32" s="5271">
        <f t="shared" ca="1" si="50"/>
        <v>13753.779618892033</v>
      </c>
      <c r="HT32" s="5271">
        <f t="shared" ca="1" si="50"/>
        <v>13565.13680696403</v>
      </c>
      <c r="HU32" s="5271">
        <f t="shared" ca="1" si="50"/>
        <v>13379.081364579397</v>
      </c>
      <c r="HV32" s="5271">
        <f t="shared" ca="1" si="50"/>
        <v>13195.577804135446</v>
      </c>
      <c r="HW32" s="5271">
        <f t="shared" ca="1" si="50"/>
        <v>13014.591124767156</v>
      </c>
      <c r="HX32" s="5271">
        <f t="shared" ca="1" si="50"/>
        <v>12836.086805670977</v>
      </c>
      <c r="HY32" s="5271">
        <f t="shared" ca="1" si="50"/>
        <v>12660.030799520664</v>
      </c>
      <c r="HZ32" s="5271">
        <f t="shared" ca="1" si="50"/>
        <v>12486.389525973153</v>
      </c>
      <c r="IA32" s="5271">
        <f t="shared" ca="1" si="50"/>
        <v>12318.710509391101</v>
      </c>
    </row>
    <row r="33" spans="2:311" s="2367" customFormat="1" ht="17.25" customHeight="1">
      <c r="B33" s="2368"/>
      <c r="H33" s="2369"/>
      <c r="I33" s="2369"/>
      <c r="J33" s="2369"/>
      <c r="K33" s="2369"/>
      <c r="L33" s="2370"/>
      <c r="M33" s="2369"/>
      <c r="N33" s="2369"/>
      <c r="O33" s="2371"/>
      <c r="P33" s="2369"/>
      <c r="Q33" s="2443"/>
      <c r="R33" s="2443"/>
      <c r="S33" s="2444"/>
      <c r="T33" s="2445"/>
      <c r="U33" s="2443"/>
      <c r="V33" s="2443"/>
      <c r="W33" s="2443"/>
      <c r="X33" s="2443"/>
      <c r="Y33" s="2369"/>
      <c r="Z33" s="2369"/>
      <c r="AA33" s="2369"/>
      <c r="AB33" s="2369"/>
      <c r="AC33" s="2369"/>
      <c r="AD33" s="2369"/>
      <c r="AE33" s="2369"/>
      <c r="AF33" s="2369"/>
      <c r="AG33" s="2369"/>
      <c r="AH33" s="2369"/>
      <c r="AI33" s="2369"/>
      <c r="AJ33" s="2369"/>
      <c r="AK33" s="2443"/>
      <c r="AL33" s="2369"/>
      <c r="AM33" s="2369"/>
      <c r="AN33" s="2369"/>
      <c r="AO33" s="2443"/>
      <c r="AP33" s="2369"/>
      <c r="AQ33" s="2369"/>
      <c r="AR33" s="2369"/>
      <c r="AS33" s="2369"/>
      <c r="AT33" s="2369"/>
      <c r="AU33" s="2369"/>
      <c r="AV33" s="2369"/>
      <c r="AW33" s="2369"/>
      <c r="AX33" s="2369"/>
      <c r="AY33" s="2369"/>
      <c r="AZ33" s="2369"/>
      <c r="BA33" s="2369"/>
      <c r="BB33" s="2369"/>
      <c r="BC33" s="2369"/>
      <c r="BD33" s="2369"/>
      <c r="BE33" s="2369"/>
      <c r="BF33" s="2369"/>
      <c r="BG33" s="2369"/>
      <c r="BH33" s="2369"/>
      <c r="BI33" s="2369"/>
      <c r="BJ33" s="2369"/>
      <c r="BK33" s="2369"/>
      <c r="BL33" s="2369"/>
      <c r="BM33" s="2369"/>
      <c r="BN33" s="2369"/>
      <c r="BO33" s="2369"/>
      <c r="BP33" s="2369"/>
      <c r="BQ33" s="2369"/>
      <c r="BR33" s="2369"/>
      <c r="BS33" s="2369"/>
      <c r="BT33" s="2369"/>
      <c r="BU33" s="2369"/>
      <c r="BV33" s="2369"/>
      <c r="BW33" s="2369"/>
      <c r="BX33" s="2369"/>
      <c r="BY33" s="2369"/>
      <c r="BZ33" s="2369"/>
      <c r="CA33" s="2369"/>
      <c r="CB33" s="2369"/>
      <c r="CC33" s="2369"/>
      <c r="CD33" s="2369"/>
      <c r="CE33" s="2369"/>
      <c r="CF33" s="2369"/>
      <c r="CG33" s="2369"/>
      <c r="CH33" s="2369"/>
      <c r="CI33" s="2369"/>
      <c r="CJ33" s="2369"/>
      <c r="CL33" s="2369"/>
      <c r="CM33" s="2369"/>
      <c r="CN33" s="2369"/>
      <c r="CO33" s="2369"/>
      <c r="CP33" s="2369"/>
      <c r="CQ33" s="2369"/>
      <c r="CR33" s="2369"/>
      <c r="CS33" s="2369"/>
      <c r="CT33" s="2369"/>
      <c r="CU33" s="2369"/>
      <c r="CV33" s="2369"/>
      <c r="CW33" s="2369"/>
      <c r="CX33" s="2369"/>
      <c r="CY33" s="2369"/>
      <c r="CZ33" s="2369"/>
      <c r="DA33" s="2369"/>
      <c r="DB33" s="2369"/>
      <c r="DC33" s="2369"/>
      <c r="DD33" s="2369"/>
      <c r="DE33" s="2369"/>
      <c r="DF33" s="2369"/>
      <c r="DG33" s="2369"/>
      <c r="DH33" s="2369"/>
      <c r="DI33" s="2369"/>
      <c r="DJ33" s="2369"/>
      <c r="DK33" s="2369"/>
      <c r="DL33" s="2369"/>
      <c r="DM33" s="2369"/>
      <c r="DN33" s="2369"/>
      <c r="DO33" s="2369"/>
      <c r="DP33" s="2369"/>
      <c r="DQ33" s="2369"/>
      <c r="DR33" s="2369"/>
      <c r="DS33" s="2369"/>
      <c r="DT33" s="2369"/>
      <c r="DU33" s="2369"/>
      <c r="DV33" s="2369"/>
      <c r="DW33" s="2369"/>
      <c r="DX33" s="2369"/>
      <c r="DY33" s="2369"/>
      <c r="DZ33" s="2369"/>
      <c r="EA33" s="2369"/>
      <c r="EB33" s="2369"/>
      <c r="EC33" s="2369"/>
      <c r="ED33" s="2369"/>
      <c r="EE33" s="2369"/>
      <c r="EF33" s="2369"/>
      <c r="EG33" s="2369"/>
      <c r="EH33" s="2369"/>
      <c r="EI33" s="2369"/>
      <c r="EJ33" s="2369"/>
      <c r="EK33" s="2369"/>
      <c r="EL33" s="2369"/>
      <c r="EM33" s="2369"/>
      <c r="EN33" s="2369"/>
      <c r="EO33" s="2369"/>
      <c r="EP33" s="2369"/>
      <c r="EQ33" s="2369"/>
      <c r="ER33" s="2369"/>
      <c r="ES33" s="2369"/>
      <c r="ET33" s="2369"/>
      <c r="EU33" s="2369"/>
      <c r="EV33" s="2369"/>
      <c r="EW33" s="2369"/>
      <c r="EX33" s="2369"/>
      <c r="EY33" s="2369"/>
      <c r="EZ33" s="2369"/>
      <c r="FA33" s="2369"/>
      <c r="FB33" s="2369"/>
      <c r="FC33" s="2369"/>
      <c r="FD33" s="2369"/>
      <c r="FE33" s="2369"/>
      <c r="FF33" s="2369"/>
      <c r="FG33" s="2369"/>
      <c r="FH33" s="2369"/>
      <c r="FI33" s="2369"/>
      <c r="FJ33" s="2369"/>
      <c r="FK33" s="2369"/>
      <c r="FL33" s="2369"/>
      <c r="FM33" s="2369"/>
      <c r="FN33" s="2369"/>
      <c r="FO33" s="2369"/>
      <c r="FP33" s="2369"/>
      <c r="FQ33" s="2369"/>
      <c r="FR33" s="2369"/>
      <c r="FS33" s="2369"/>
      <c r="FT33" s="2369"/>
      <c r="FU33" s="2369"/>
      <c r="FV33" s="2369"/>
      <c r="FW33" s="2369"/>
      <c r="FX33" s="2369"/>
      <c r="FY33" s="2369"/>
      <c r="FZ33" s="2369"/>
      <c r="GA33" s="2369"/>
      <c r="GB33" s="2369"/>
      <c r="GC33" s="2369"/>
      <c r="GD33" s="2369"/>
      <c r="GE33" s="2369"/>
      <c r="GF33" s="2369"/>
      <c r="GG33" s="2369"/>
      <c r="GH33" s="2369"/>
      <c r="GI33" s="2369"/>
      <c r="GJ33" s="2369"/>
      <c r="GK33" s="2369"/>
      <c r="GL33" s="2369"/>
      <c r="GM33" s="2369"/>
      <c r="GN33" s="2369"/>
      <c r="GO33" s="2369"/>
      <c r="GP33" s="2369"/>
      <c r="GQ33" s="2369"/>
      <c r="GR33" s="2369"/>
      <c r="GS33" s="2369"/>
      <c r="GT33" s="2369"/>
      <c r="GU33" s="2369"/>
      <c r="GV33" s="2369"/>
      <c r="GW33" s="2369"/>
      <c r="GX33" s="2369"/>
      <c r="GY33" s="2369"/>
      <c r="GZ33" s="2369"/>
      <c r="HA33" s="2369"/>
      <c r="HB33" s="2369"/>
      <c r="HC33" s="2369"/>
      <c r="HD33" s="2369"/>
      <c r="HE33" s="2369"/>
      <c r="HF33" s="2369"/>
      <c r="HG33" s="2369"/>
      <c r="HH33" s="2369"/>
      <c r="HI33" s="2369"/>
      <c r="HJ33" s="2369"/>
      <c r="HK33" s="2369"/>
      <c r="HL33" s="2369"/>
      <c r="HM33" s="2369"/>
      <c r="HN33" s="2369"/>
      <c r="HO33" s="2369"/>
      <c r="HP33" s="2369"/>
      <c r="HQ33" s="2369"/>
      <c r="HR33" s="2369"/>
      <c r="HS33" s="2369"/>
      <c r="HT33" s="2369"/>
      <c r="HU33" s="2369"/>
      <c r="HV33" s="2369"/>
      <c r="HW33" s="2369"/>
      <c r="HX33" s="2369"/>
      <c r="HY33" s="2369"/>
      <c r="HZ33" s="2369"/>
      <c r="IA33" s="2369"/>
      <c r="IE33" s="2368"/>
      <c r="IQ33" s="2368"/>
      <c r="JC33" s="2368"/>
      <c r="JO33" s="2368"/>
      <c r="KA33" s="2368"/>
      <c r="KM33" s="2368"/>
      <c r="KY33" s="2368"/>
    </row>
    <row r="34" spans="2:311" ht="15.75" customHeight="1">
      <c r="C34" s="2351" t="s">
        <v>11</v>
      </c>
      <c r="D34" s="2352"/>
      <c r="E34" s="2352"/>
      <c r="F34" s="2352"/>
      <c r="G34" s="2352"/>
      <c r="H34" s="766" t="s">
        <v>40</v>
      </c>
      <c r="J34" s="2353">
        <f t="shared" ref="J34:BU34" si="51">J10</f>
        <v>2003</v>
      </c>
      <c r="K34" s="2353">
        <f t="shared" si="51"/>
        <v>2003</v>
      </c>
      <c r="L34" s="2353">
        <f t="shared" si="51"/>
        <v>2003</v>
      </c>
      <c r="M34" s="2353">
        <f t="shared" si="51"/>
        <v>2003</v>
      </c>
      <c r="N34" s="2353">
        <f t="shared" si="51"/>
        <v>2004</v>
      </c>
      <c r="O34" s="2353">
        <f t="shared" si="51"/>
        <v>2004</v>
      </c>
      <c r="P34" s="2353">
        <f t="shared" si="51"/>
        <v>2004</v>
      </c>
      <c r="Q34" s="2353">
        <f t="shared" si="51"/>
        <v>2004</v>
      </c>
      <c r="R34" s="2353">
        <f t="shared" si="51"/>
        <v>2005</v>
      </c>
      <c r="S34" s="2353">
        <f t="shared" si="51"/>
        <v>2005</v>
      </c>
      <c r="T34" s="2353">
        <f t="shared" si="51"/>
        <v>2005</v>
      </c>
      <c r="U34" s="2353">
        <f t="shared" si="51"/>
        <v>2005</v>
      </c>
      <c r="V34" s="2353">
        <f t="shared" si="51"/>
        <v>2006</v>
      </c>
      <c r="W34" s="2353">
        <f t="shared" si="51"/>
        <v>2006</v>
      </c>
      <c r="X34" s="2353">
        <f t="shared" si="51"/>
        <v>2006</v>
      </c>
      <c r="Y34" s="2353">
        <f t="shared" si="51"/>
        <v>2006</v>
      </c>
      <c r="Z34" s="2353">
        <f t="shared" si="51"/>
        <v>2007</v>
      </c>
      <c r="AA34" s="2353">
        <f t="shared" si="51"/>
        <v>2007</v>
      </c>
      <c r="AB34" s="2353">
        <f t="shared" si="51"/>
        <v>2007</v>
      </c>
      <c r="AC34" s="2353">
        <f t="shared" si="51"/>
        <v>2007</v>
      </c>
      <c r="AD34" s="2353">
        <f t="shared" si="51"/>
        <v>2008</v>
      </c>
      <c r="AE34" s="2353">
        <f t="shared" si="51"/>
        <v>2008</v>
      </c>
      <c r="AF34" s="2353">
        <f t="shared" si="51"/>
        <v>2008</v>
      </c>
      <c r="AG34" s="2353">
        <f t="shared" si="51"/>
        <v>2008</v>
      </c>
      <c r="AH34" s="2353">
        <f t="shared" si="51"/>
        <v>2009</v>
      </c>
      <c r="AI34" s="2353">
        <f t="shared" si="51"/>
        <v>2009</v>
      </c>
      <c r="AJ34" s="2353">
        <f t="shared" si="51"/>
        <v>2009</v>
      </c>
      <c r="AK34" s="2353">
        <f t="shared" si="51"/>
        <v>2009</v>
      </c>
      <c r="AL34" s="2353">
        <f t="shared" si="51"/>
        <v>2010</v>
      </c>
      <c r="AM34" s="2353">
        <f t="shared" si="51"/>
        <v>2010</v>
      </c>
      <c r="AN34" s="2353">
        <f t="shared" si="51"/>
        <v>2010</v>
      </c>
      <c r="AO34" s="2353">
        <f t="shared" si="51"/>
        <v>2010</v>
      </c>
      <c r="AP34" s="2353">
        <f t="shared" si="51"/>
        <v>2011</v>
      </c>
      <c r="AQ34" s="2353">
        <f t="shared" si="51"/>
        <v>2011</v>
      </c>
      <c r="AR34" s="2353">
        <f t="shared" si="51"/>
        <v>2011</v>
      </c>
      <c r="AS34" s="2353">
        <f t="shared" si="51"/>
        <v>2011</v>
      </c>
      <c r="AT34" s="2353">
        <f t="shared" si="51"/>
        <v>2012</v>
      </c>
      <c r="AU34" s="2353">
        <f t="shared" si="51"/>
        <v>2012</v>
      </c>
      <c r="AV34" s="2353">
        <f t="shared" si="51"/>
        <v>2012</v>
      </c>
      <c r="AW34" s="2353">
        <f t="shared" si="51"/>
        <v>2012</v>
      </c>
      <c r="AX34" s="2353">
        <f t="shared" si="51"/>
        <v>2013</v>
      </c>
      <c r="AY34" s="2353">
        <f t="shared" si="51"/>
        <v>2013</v>
      </c>
      <c r="AZ34" s="2353">
        <f t="shared" si="51"/>
        <v>2013</v>
      </c>
      <c r="BA34" s="2353">
        <f t="shared" si="51"/>
        <v>2013</v>
      </c>
      <c r="BB34" s="2353">
        <f t="shared" si="51"/>
        <v>2014</v>
      </c>
      <c r="BC34" s="2353">
        <f t="shared" si="51"/>
        <v>2014</v>
      </c>
      <c r="BD34" s="2353">
        <f t="shared" si="51"/>
        <v>2014</v>
      </c>
      <c r="BE34" s="2353">
        <f t="shared" si="51"/>
        <v>2014</v>
      </c>
      <c r="BF34" s="2353">
        <f t="shared" si="51"/>
        <v>2015</v>
      </c>
      <c r="BG34" s="2353">
        <f t="shared" si="51"/>
        <v>2015</v>
      </c>
      <c r="BH34" s="2353">
        <f t="shared" si="51"/>
        <v>2015</v>
      </c>
      <c r="BI34" s="2353">
        <f t="shared" si="51"/>
        <v>2015</v>
      </c>
      <c r="BJ34" s="2353">
        <f t="shared" si="51"/>
        <v>2016</v>
      </c>
      <c r="BK34" s="2353">
        <f t="shared" si="51"/>
        <v>2016</v>
      </c>
      <c r="BL34" s="2353">
        <f t="shared" si="51"/>
        <v>2016</v>
      </c>
      <c r="BM34" s="2353">
        <f t="shared" si="51"/>
        <v>2016</v>
      </c>
      <c r="BN34" s="2353">
        <f t="shared" si="51"/>
        <v>2017</v>
      </c>
      <c r="BO34" s="2353">
        <f t="shared" si="51"/>
        <v>2017</v>
      </c>
      <c r="BP34" s="2353">
        <f t="shared" si="51"/>
        <v>2017</v>
      </c>
      <c r="BQ34" s="2353">
        <f t="shared" si="51"/>
        <v>2017</v>
      </c>
      <c r="BR34" s="2353">
        <f t="shared" si="51"/>
        <v>2018</v>
      </c>
      <c r="BS34" s="2353">
        <f t="shared" si="51"/>
        <v>2018</v>
      </c>
      <c r="BT34" s="2353">
        <f t="shared" si="51"/>
        <v>2018</v>
      </c>
      <c r="BU34" s="2353">
        <f t="shared" si="51"/>
        <v>2018</v>
      </c>
      <c r="BV34" s="2353">
        <f t="shared" ref="BV34:EG34" si="52">BV10</f>
        <v>2019</v>
      </c>
      <c r="BW34" s="2353">
        <f t="shared" si="52"/>
        <v>2019</v>
      </c>
      <c r="BX34" s="2353">
        <f t="shared" si="52"/>
        <v>2019</v>
      </c>
      <c r="BY34" s="2353">
        <f t="shared" si="52"/>
        <v>2019</v>
      </c>
      <c r="BZ34" s="2353">
        <f t="shared" si="52"/>
        <v>2020</v>
      </c>
      <c r="CA34" s="2353">
        <f t="shared" si="52"/>
        <v>2020</v>
      </c>
      <c r="CB34" s="2353">
        <f t="shared" si="52"/>
        <v>2020</v>
      </c>
      <c r="CC34" s="2353">
        <f t="shared" si="52"/>
        <v>2020</v>
      </c>
      <c r="CD34" s="2353">
        <f t="shared" si="52"/>
        <v>2021</v>
      </c>
      <c r="CE34" s="2353">
        <f t="shared" si="52"/>
        <v>2021</v>
      </c>
      <c r="CF34" s="2353">
        <f t="shared" si="52"/>
        <v>2021</v>
      </c>
      <c r="CG34" s="2353">
        <f t="shared" si="52"/>
        <v>2021</v>
      </c>
      <c r="CH34" s="2353">
        <f t="shared" si="52"/>
        <v>2022</v>
      </c>
      <c r="CI34" s="2353">
        <f t="shared" si="52"/>
        <v>2022</v>
      </c>
      <c r="CJ34" s="2353">
        <f t="shared" si="52"/>
        <v>2022</v>
      </c>
      <c r="CK34" s="2353">
        <f t="shared" si="52"/>
        <v>2022</v>
      </c>
      <c r="CL34" s="2353">
        <f t="shared" si="52"/>
        <v>2023</v>
      </c>
      <c r="CM34" s="2353">
        <f t="shared" si="52"/>
        <v>2023</v>
      </c>
      <c r="CN34" s="2353">
        <f t="shared" si="52"/>
        <v>2023</v>
      </c>
      <c r="CO34" s="2353">
        <f t="shared" si="52"/>
        <v>2023</v>
      </c>
      <c r="CP34" s="2353">
        <f t="shared" si="52"/>
        <v>2024</v>
      </c>
      <c r="CQ34" s="2353">
        <f t="shared" si="52"/>
        <v>2024</v>
      </c>
      <c r="CR34" s="2353">
        <f t="shared" si="52"/>
        <v>2024</v>
      </c>
      <c r="CS34" s="2353">
        <f t="shared" si="52"/>
        <v>2024</v>
      </c>
      <c r="CT34" s="2353">
        <f t="shared" si="52"/>
        <v>2025</v>
      </c>
      <c r="CU34" s="2353">
        <f t="shared" si="52"/>
        <v>2025</v>
      </c>
      <c r="CV34" s="2353">
        <f t="shared" si="52"/>
        <v>2025</v>
      </c>
      <c r="CW34" s="2353">
        <f t="shared" si="52"/>
        <v>2025</v>
      </c>
      <c r="CX34" s="2353">
        <f t="shared" si="52"/>
        <v>2026</v>
      </c>
      <c r="CY34" s="2353">
        <f t="shared" si="52"/>
        <v>2026</v>
      </c>
      <c r="CZ34" s="2353">
        <f t="shared" si="52"/>
        <v>2026</v>
      </c>
      <c r="DA34" s="2353">
        <f t="shared" si="52"/>
        <v>2026</v>
      </c>
      <c r="DB34" s="2353">
        <f t="shared" si="52"/>
        <v>2027</v>
      </c>
      <c r="DC34" s="2353">
        <f t="shared" si="52"/>
        <v>2027</v>
      </c>
      <c r="DD34" s="2353">
        <f t="shared" si="52"/>
        <v>2027</v>
      </c>
      <c r="DE34" s="2353">
        <f t="shared" si="52"/>
        <v>2027</v>
      </c>
      <c r="DF34" s="2353">
        <f t="shared" si="52"/>
        <v>2028</v>
      </c>
      <c r="DG34" s="2353">
        <f t="shared" si="52"/>
        <v>2028</v>
      </c>
      <c r="DH34" s="2353">
        <f t="shared" si="52"/>
        <v>2028</v>
      </c>
      <c r="DI34" s="2353">
        <f t="shared" si="52"/>
        <v>2028</v>
      </c>
      <c r="DJ34" s="2353">
        <f t="shared" si="52"/>
        <v>2029</v>
      </c>
      <c r="DK34" s="2353">
        <f t="shared" si="52"/>
        <v>2029</v>
      </c>
      <c r="DL34" s="2353">
        <f t="shared" si="52"/>
        <v>2029</v>
      </c>
      <c r="DM34" s="2353">
        <f t="shared" si="52"/>
        <v>2029</v>
      </c>
      <c r="DN34" s="2353">
        <f t="shared" si="52"/>
        <v>2030</v>
      </c>
      <c r="DO34" s="2353">
        <f t="shared" si="52"/>
        <v>2030</v>
      </c>
      <c r="DP34" s="2353">
        <f t="shared" si="52"/>
        <v>2030</v>
      </c>
      <c r="DQ34" s="2353">
        <f t="shared" si="52"/>
        <v>2030</v>
      </c>
      <c r="DR34" s="2353">
        <f t="shared" si="52"/>
        <v>2031</v>
      </c>
      <c r="DS34" s="2353">
        <f t="shared" si="52"/>
        <v>2031</v>
      </c>
      <c r="DT34" s="2353">
        <f t="shared" si="52"/>
        <v>2031</v>
      </c>
      <c r="DU34" s="2353">
        <f t="shared" si="52"/>
        <v>2031</v>
      </c>
      <c r="DV34" s="2353">
        <f t="shared" si="52"/>
        <v>2032</v>
      </c>
      <c r="DW34" s="5267">
        <f t="shared" si="52"/>
        <v>2032</v>
      </c>
      <c r="DX34" s="5267">
        <f t="shared" si="52"/>
        <v>2032</v>
      </c>
      <c r="DY34" s="5267">
        <f t="shared" si="52"/>
        <v>2032</v>
      </c>
      <c r="DZ34" s="5267">
        <f t="shared" si="52"/>
        <v>2033</v>
      </c>
      <c r="EA34" s="5267">
        <f t="shared" si="52"/>
        <v>2033</v>
      </c>
      <c r="EB34" s="5267">
        <f t="shared" si="52"/>
        <v>2033</v>
      </c>
      <c r="EC34" s="5267">
        <f t="shared" si="52"/>
        <v>2033</v>
      </c>
      <c r="ED34" s="5267">
        <f t="shared" si="52"/>
        <v>2034</v>
      </c>
      <c r="EE34" s="5267">
        <f t="shared" si="52"/>
        <v>2034</v>
      </c>
      <c r="EF34" s="5267">
        <f t="shared" si="52"/>
        <v>2034</v>
      </c>
      <c r="EG34" s="5267">
        <f t="shared" si="52"/>
        <v>2034</v>
      </c>
      <c r="EH34" s="5267">
        <f t="shared" ref="EH34:GS34" si="53">EH10</f>
        <v>2035</v>
      </c>
      <c r="EI34" s="5267">
        <f t="shared" si="53"/>
        <v>2035</v>
      </c>
      <c r="EJ34" s="5267">
        <f t="shared" si="53"/>
        <v>2035</v>
      </c>
      <c r="EK34" s="5267">
        <f t="shared" si="53"/>
        <v>2035</v>
      </c>
      <c r="EL34" s="5267">
        <f t="shared" si="53"/>
        <v>2036</v>
      </c>
      <c r="EM34" s="5267">
        <f t="shared" si="53"/>
        <v>2036</v>
      </c>
      <c r="EN34" s="5267">
        <f t="shared" si="53"/>
        <v>2036</v>
      </c>
      <c r="EO34" s="5267">
        <f t="shared" si="53"/>
        <v>2036</v>
      </c>
      <c r="EP34" s="5267">
        <f t="shared" si="53"/>
        <v>2037</v>
      </c>
      <c r="EQ34" s="5267">
        <f t="shared" si="53"/>
        <v>2037</v>
      </c>
      <c r="ER34" s="5267">
        <f t="shared" si="53"/>
        <v>2037</v>
      </c>
      <c r="ES34" s="5267">
        <f t="shared" si="53"/>
        <v>2037</v>
      </c>
      <c r="ET34" s="5267">
        <f t="shared" si="53"/>
        <v>2038</v>
      </c>
      <c r="EU34" s="5267">
        <f t="shared" si="53"/>
        <v>2038</v>
      </c>
      <c r="EV34" s="5267">
        <f t="shared" si="53"/>
        <v>2038</v>
      </c>
      <c r="EW34" s="5267">
        <f t="shared" si="53"/>
        <v>2038</v>
      </c>
      <c r="EX34" s="5267">
        <f t="shared" si="53"/>
        <v>2039</v>
      </c>
      <c r="EY34" s="5267">
        <f t="shared" si="53"/>
        <v>2039</v>
      </c>
      <c r="EZ34" s="5267">
        <f t="shared" si="53"/>
        <v>2039</v>
      </c>
      <c r="FA34" s="5267">
        <f t="shared" si="53"/>
        <v>2039</v>
      </c>
      <c r="FB34" s="5267">
        <f t="shared" si="53"/>
        <v>2040</v>
      </c>
      <c r="FC34" s="5267">
        <f t="shared" si="53"/>
        <v>2040</v>
      </c>
      <c r="FD34" s="5267">
        <f t="shared" si="53"/>
        <v>2040</v>
      </c>
      <c r="FE34" s="5267">
        <f t="shared" si="53"/>
        <v>2040</v>
      </c>
      <c r="FF34" s="5267">
        <f t="shared" si="53"/>
        <v>2041</v>
      </c>
      <c r="FG34" s="5267">
        <f t="shared" si="53"/>
        <v>2041</v>
      </c>
      <c r="FH34" s="5267">
        <f t="shared" si="53"/>
        <v>2041</v>
      </c>
      <c r="FI34" s="5267">
        <f t="shared" si="53"/>
        <v>2041</v>
      </c>
      <c r="FJ34" s="5267">
        <f t="shared" si="53"/>
        <v>2042</v>
      </c>
      <c r="FK34" s="5267">
        <f t="shared" si="53"/>
        <v>2042</v>
      </c>
      <c r="FL34" s="5267">
        <f t="shared" si="53"/>
        <v>2042</v>
      </c>
      <c r="FM34" s="5267">
        <f t="shared" si="53"/>
        <v>2042</v>
      </c>
      <c r="FN34" s="5267">
        <f t="shared" si="53"/>
        <v>2043</v>
      </c>
      <c r="FO34" s="5267">
        <f t="shared" si="53"/>
        <v>2043</v>
      </c>
      <c r="FP34" s="5267">
        <f t="shared" si="53"/>
        <v>2043</v>
      </c>
      <c r="FQ34" s="5267">
        <f t="shared" si="53"/>
        <v>2043</v>
      </c>
      <c r="FR34" s="5267">
        <f t="shared" si="53"/>
        <v>2044</v>
      </c>
      <c r="FS34" s="5267">
        <f t="shared" si="53"/>
        <v>2044</v>
      </c>
      <c r="FT34" s="5267">
        <f t="shared" si="53"/>
        <v>2044</v>
      </c>
      <c r="FU34" s="5267">
        <f t="shared" si="53"/>
        <v>2044</v>
      </c>
      <c r="FV34" s="5267">
        <f t="shared" si="53"/>
        <v>2045</v>
      </c>
      <c r="FW34" s="5267">
        <f t="shared" si="53"/>
        <v>2045</v>
      </c>
      <c r="FX34" s="5267">
        <f t="shared" si="53"/>
        <v>2045</v>
      </c>
      <c r="FY34" s="5267">
        <f t="shared" si="53"/>
        <v>2045</v>
      </c>
      <c r="FZ34" s="5267">
        <f t="shared" si="53"/>
        <v>2046</v>
      </c>
      <c r="GA34" s="5267">
        <f t="shared" si="53"/>
        <v>2046</v>
      </c>
      <c r="GB34" s="5267">
        <f t="shared" si="53"/>
        <v>2046</v>
      </c>
      <c r="GC34" s="5267">
        <f t="shared" si="53"/>
        <v>2046</v>
      </c>
      <c r="GD34" s="5267">
        <f t="shared" si="53"/>
        <v>2047</v>
      </c>
      <c r="GE34" s="5267">
        <f t="shared" si="53"/>
        <v>2047</v>
      </c>
      <c r="GF34" s="5267">
        <f t="shared" si="53"/>
        <v>2047</v>
      </c>
      <c r="GG34" s="5267">
        <f t="shared" si="53"/>
        <v>2047</v>
      </c>
      <c r="GH34" s="5267">
        <f t="shared" si="53"/>
        <v>2048</v>
      </c>
      <c r="GI34" s="5267">
        <f t="shared" si="53"/>
        <v>2048</v>
      </c>
      <c r="GJ34" s="5267">
        <f t="shared" si="53"/>
        <v>2048</v>
      </c>
      <c r="GK34" s="5267">
        <f t="shared" si="53"/>
        <v>2048</v>
      </c>
      <c r="GL34" s="5267">
        <f t="shared" si="53"/>
        <v>2049</v>
      </c>
      <c r="GM34" s="5267">
        <f t="shared" si="53"/>
        <v>2049</v>
      </c>
      <c r="GN34" s="5267">
        <f t="shared" si="53"/>
        <v>2049</v>
      </c>
      <c r="GO34" s="5267">
        <f t="shared" si="53"/>
        <v>2049</v>
      </c>
      <c r="GP34" s="5267">
        <f t="shared" si="53"/>
        <v>2050</v>
      </c>
      <c r="GQ34" s="5267">
        <f t="shared" si="53"/>
        <v>2050</v>
      </c>
      <c r="GR34" s="5267">
        <f t="shared" si="53"/>
        <v>2050</v>
      </c>
      <c r="GS34" s="5267">
        <f t="shared" si="53"/>
        <v>2050</v>
      </c>
      <c r="GT34" s="5267">
        <f t="shared" ref="GT34:IA34" si="54">GT10</f>
        <v>2051</v>
      </c>
      <c r="GU34" s="5267">
        <f t="shared" si="54"/>
        <v>2051</v>
      </c>
      <c r="GV34" s="5267">
        <f t="shared" si="54"/>
        <v>2051</v>
      </c>
      <c r="GW34" s="5267">
        <f t="shared" si="54"/>
        <v>2051</v>
      </c>
      <c r="GX34" s="5267">
        <f t="shared" si="54"/>
        <v>2052</v>
      </c>
      <c r="GY34" s="5267">
        <f t="shared" si="54"/>
        <v>2052</v>
      </c>
      <c r="GZ34" s="5267">
        <f t="shared" si="54"/>
        <v>2052</v>
      </c>
      <c r="HA34" s="5267">
        <f t="shared" si="54"/>
        <v>2052</v>
      </c>
      <c r="HB34" s="5267">
        <f t="shared" si="54"/>
        <v>2053</v>
      </c>
      <c r="HC34" s="5267">
        <f t="shared" si="54"/>
        <v>2053</v>
      </c>
      <c r="HD34" s="5267">
        <f t="shared" si="54"/>
        <v>2053</v>
      </c>
      <c r="HE34" s="5267">
        <f t="shared" si="54"/>
        <v>2053</v>
      </c>
      <c r="HF34" s="5267">
        <f t="shared" si="54"/>
        <v>2054</v>
      </c>
      <c r="HG34" s="5267">
        <f t="shared" si="54"/>
        <v>2054</v>
      </c>
      <c r="HH34" s="5267">
        <f t="shared" si="54"/>
        <v>2054</v>
      </c>
      <c r="HI34" s="5267">
        <f t="shared" si="54"/>
        <v>2054</v>
      </c>
      <c r="HJ34" s="5267">
        <f t="shared" si="54"/>
        <v>2055</v>
      </c>
      <c r="HK34" s="5267">
        <f t="shared" si="54"/>
        <v>2055</v>
      </c>
      <c r="HL34" s="5267">
        <f t="shared" si="54"/>
        <v>2055</v>
      </c>
      <c r="HM34" s="5267">
        <f t="shared" si="54"/>
        <v>2055</v>
      </c>
      <c r="HN34" s="5267">
        <f t="shared" si="54"/>
        <v>2056</v>
      </c>
      <c r="HO34" s="5267">
        <f t="shared" si="54"/>
        <v>2056</v>
      </c>
      <c r="HP34" s="5267">
        <f t="shared" si="54"/>
        <v>2056</v>
      </c>
      <c r="HQ34" s="5267">
        <f t="shared" si="54"/>
        <v>2056</v>
      </c>
      <c r="HR34" s="5267">
        <f t="shared" si="54"/>
        <v>2057</v>
      </c>
      <c r="HS34" s="5267">
        <f t="shared" si="54"/>
        <v>2057</v>
      </c>
      <c r="HT34" s="5267">
        <f t="shared" si="54"/>
        <v>2057</v>
      </c>
      <c r="HU34" s="5267">
        <f t="shared" si="54"/>
        <v>2057</v>
      </c>
      <c r="HV34" s="5267">
        <f t="shared" si="54"/>
        <v>2058</v>
      </c>
      <c r="HW34" s="5267">
        <f t="shared" si="54"/>
        <v>2058</v>
      </c>
      <c r="HX34" s="5267">
        <f t="shared" si="54"/>
        <v>2058</v>
      </c>
      <c r="HY34" s="5267">
        <f t="shared" si="54"/>
        <v>2058</v>
      </c>
      <c r="HZ34" s="5267">
        <f t="shared" si="54"/>
        <v>2059</v>
      </c>
      <c r="IA34" s="5267">
        <f t="shared" si="54"/>
        <v>2059</v>
      </c>
    </row>
    <row r="35" spans="2:311" ht="15.75" customHeight="1">
      <c r="C35" s="5265"/>
      <c r="D35" s="5266"/>
      <c r="E35" s="5266"/>
      <c r="F35" s="5266"/>
      <c r="G35" s="5266"/>
      <c r="H35" s="5262"/>
      <c r="J35" s="5287">
        <f t="shared" ref="J35:BU35" si="55">J11</f>
        <v>1</v>
      </c>
      <c r="K35" s="5287">
        <f t="shared" si="55"/>
        <v>2</v>
      </c>
      <c r="L35" s="5288">
        <f t="shared" si="55"/>
        <v>3</v>
      </c>
      <c r="M35" s="5289">
        <f t="shared" si="55"/>
        <v>4</v>
      </c>
      <c r="N35" s="5287">
        <f t="shared" si="55"/>
        <v>1</v>
      </c>
      <c r="O35" s="5288">
        <f t="shared" si="55"/>
        <v>2</v>
      </c>
      <c r="P35" s="5288">
        <f t="shared" si="55"/>
        <v>3</v>
      </c>
      <c r="Q35" s="5290">
        <f t="shared" si="55"/>
        <v>4</v>
      </c>
      <c r="R35" s="5289">
        <f t="shared" si="55"/>
        <v>1</v>
      </c>
      <c r="S35" s="5288">
        <f t="shared" si="55"/>
        <v>2</v>
      </c>
      <c r="T35" s="5290">
        <f t="shared" si="55"/>
        <v>3</v>
      </c>
      <c r="U35" s="5290">
        <f t="shared" si="55"/>
        <v>4</v>
      </c>
      <c r="V35" s="5290">
        <f t="shared" si="55"/>
        <v>1</v>
      </c>
      <c r="W35" s="5290">
        <f t="shared" si="55"/>
        <v>2</v>
      </c>
      <c r="X35" s="5290">
        <f t="shared" si="55"/>
        <v>3</v>
      </c>
      <c r="Y35" s="5290">
        <f t="shared" si="55"/>
        <v>4</v>
      </c>
      <c r="Z35" s="5290">
        <f t="shared" si="55"/>
        <v>1</v>
      </c>
      <c r="AA35" s="5290">
        <f t="shared" si="55"/>
        <v>2</v>
      </c>
      <c r="AB35" s="5290">
        <f t="shared" si="55"/>
        <v>3</v>
      </c>
      <c r="AC35" s="5290">
        <f t="shared" si="55"/>
        <v>4</v>
      </c>
      <c r="AD35" s="5290">
        <f t="shared" si="55"/>
        <v>1</v>
      </c>
      <c r="AE35" s="5290">
        <f t="shared" si="55"/>
        <v>2</v>
      </c>
      <c r="AF35" s="5290">
        <f t="shared" si="55"/>
        <v>3</v>
      </c>
      <c r="AG35" s="5290">
        <f t="shared" si="55"/>
        <v>4</v>
      </c>
      <c r="AH35" s="5290">
        <f t="shared" si="55"/>
        <v>1</v>
      </c>
      <c r="AI35" s="5290">
        <f t="shared" si="55"/>
        <v>2</v>
      </c>
      <c r="AJ35" s="5290">
        <f t="shared" si="55"/>
        <v>3</v>
      </c>
      <c r="AK35" s="5290">
        <f t="shared" si="55"/>
        <v>4</v>
      </c>
      <c r="AL35" s="5290">
        <f t="shared" si="55"/>
        <v>1</v>
      </c>
      <c r="AM35" s="5290">
        <f t="shared" si="55"/>
        <v>2</v>
      </c>
      <c r="AN35" s="5290">
        <f t="shared" si="55"/>
        <v>3</v>
      </c>
      <c r="AO35" s="5290">
        <f t="shared" si="55"/>
        <v>4</v>
      </c>
      <c r="AP35" s="5290">
        <f t="shared" si="55"/>
        <v>1</v>
      </c>
      <c r="AQ35" s="5290">
        <f t="shared" si="55"/>
        <v>2</v>
      </c>
      <c r="AR35" s="5290">
        <f t="shared" si="55"/>
        <v>3</v>
      </c>
      <c r="AS35" s="5290">
        <f t="shared" si="55"/>
        <v>4</v>
      </c>
      <c r="AT35" s="5290">
        <f t="shared" si="55"/>
        <v>1</v>
      </c>
      <c r="AU35" s="5290">
        <f t="shared" si="55"/>
        <v>2</v>
      </c>
      <c r="AV35" s="5290">
        <f t="shared" si="55"/>
        <v>3</v>
      </c>
      <c r="AW35" s="5290">
        <f t="shared" si="55"/>
        <v>4</v>
      </c>
      <c r="AX35" s="5290">
        <f t="shared" si="55"/>
        <v>1</v>
      </c>
      <c r="AY35" s="5290">
        <f t="shared" si="55"/>
        <v>2</v>
      </c>
      <c r="AZ35" s="5290">
        <f t="shared" si="55"/>
        <v>3</v>
      </c>
      <c r="BA35" s="5290">
        <f t="shared" si="55"/>
        <v>4</v>
      </c>
      <c r="BB35" s="5290">
        <f t="shared" si="55"/>
        <v>1</v>
      </c>
      <c r="BC35" s="5290">
        <f t="shared" si="55"/>
        <v>2</v>
      </c>
      <c r="BD35" s="5290">
        <f t="shared" si="55"/>
        <v>3</v>
      </c>
      <c r="BE35" s="5290">
        <f t="shared" si="55"/>
        <v>4</v>
      </c>
      <c r="BF35" s="5290">
        <f t="shared" si="55"/>
        <v>1</v>
      </c>
      <c r="BG35" s="5290">
        <f t="shared" si="55"/>
        <v>2</v>
      </c>
      <c r="BH35" s="5290">
        <f t="shared" si="55"/>
        <v>3</v>
      </c>
      <c r="BI35" s="5290">
        <f t="shared" si="55"/>
        <v>4</v>
      </c>
      <c r="BJ35" s="5290">
        <f t="shared" si="55"/>
        <v>1</v>
      </c>
      <c r="BK35" s="5290">
        <f t="shared" si="55"/>
        <v>2</v>
      </c>
      <c r="BL35" s="5290">
        <f t="shared" si="55"/>
        <v>3</v>
      </c>
      <c r="BM35" s="5290">
        <f t="shared" si="55"/>
        <v>4</v>
      </c>
      <c r="BN35" s="5290">
        <f t="shared" si="55"/>
        <v>1</v>
      </c>
      <c r="BO35" s="5290">
        <f t="shared" si="55"/>
        <v>2</v>
      </c>
      <c r="BP35" s="5290">
        <f t="shared" si="55"/>
        <v>3</v>
      </c>
      <c r="BQ35" s="5290">
        <f t="shared" si="55"/>
        <v>4</v>
      </c>
      <c r="BR35" s="5290">
        <f t="shared" si="55"/>
        <v>1</v>
      </c>
      <c r="BS35" s="5290">
        <f t="shared" si="55"/>
        <v>2</v>
      </c>
      <c r="BT35" s="5290">
        <f t="shared" si="55"/>
        <v>3</v>
      </c>
      <c r="BU35" s="5290">
        <f t="shared" si="55"/>
        <v>4</v>
      </c>
      <c r="BV35" s="5290">
        <f t="shared" ref="BV35:EG35" si="56">BV11</f>
        <v>1</v>
      </c>
      <c r="BW35" s="5290">
        <f t="shared" si="56"/>
        <v>2</v>
      </c>
      <c r="BX35" s="5290">
        <f t="shared" si="56"/>
        <v>3</v>
      </c>
      <c r="BY35" s="5290">
        <f t="shared" si="56"/>
        <v>4</v>
      </c>
      <c r="BZ35" s="5290">
        <f t="shared" si="56"/>
        <v>1</v>
      </c>
      <c r="CA35" s="5290">
        <f t="shared" si="56"/>
        <v>2</v>
      </c>
      <c r="CB35" s="5290">
        <f t="shared" si="56"/>
        <v>3</v>
      </c>
      <c r="CC35" s="5290">
        <f t="shared" si="56"/>
        <v>4</v>
      </c>
      <c r="CD35" s="5290">
        <f t="shared" si="56"/>
        <v>1</v>
      </c>
      <c r="CE35" s="5290">
        <f t="shared" si="56"/>
        <v>2</v>
      </c>
      <c r="CF35" s="5290">
        <f t="shared" si="56"/>
        <v>3</v>
      </c>
      <c r="CG35" s="5290">
        <f t="shared" si="56"/>
        <v>4</v>
      </c>
      <c r="CH35" s="5290">
        <f t="shared" si="56"/>
        <v>1</v>
      </c>
      <c r="CI35" s="5290">
        <f t="shared" si="56"/>
        <v>2</v>
      </c>
      <c r="CJ35" s="5290">
        <f t="shared" si="56"/>
        <v>3</v>
      </c>
      <c r="CK35" s="5290">
        <f t="shared" si="56"/>
        <v>4</v>
      </c>
      <c r="CL35" s="5290">
        <f t="shared" si="56"/>
        <v>1</v>
      </c>
      <c r="CM35" s="5290">
        <f t="shared" si="56"/>
        <v>2</v>
      </c>
      <c r="CN35" s="5290">
        <f t="shared" si="56"/>
        <v>3</v>
      </c>
      <c r="CO35" s="5290">
        <f t="shared" si="56"/>
        <v>4</v>
      </c>
      <c r="CP35" s="5290">
        <f t="shared" si="56"/>
        <v>1</v>
      </c>
      <c r="CQ35" s="5290">
        <f t="shared" si="56"/>
        <v>2</v>
      </c>
      <c r="CR35" s="5290">
        <f t="shared" si="56"/>
        <v>3</v>
      </c>
      <c r="CS35" s="5290">
        <f t="shared" si="56"/>
        <v>4</v>
      </c>
      <c r="CT35" s="5290">
        <f t="shared" si="56"/>
        <v>1</v>
      </c>
      <c r="CU35" s="5290">
        <f t="shared" si="56"/>
        <v>2</v>
      </c>
      <c r="CV35" s="5290">
        <f t="shared" si="56"/>
        <v>3</v>
      </c>
      <c r="CW35" s="5290">
        <f t="shared" si="56"/>
        <v>4</v>
      </c>
      <c r="CX35" s="5290">
        <f t="shared" si="56"/>
        <v>1</v>
      </c>
      <c r="CY35" s="5290">
        <f t="shared" si="56"/>
        <v>2</v>
      </c>
      <c r="CZ35" s="5290">
        <f t="shared" si="56"/>
        <v>3</v>
      </c>
      <c r="DA35" s="5290">
        <f t="shared" si="56"/>
        <v>4</v>
      </c>
      <c r="DB35" s="5290">
        <f t="shared" si="56"/>
        <v>1</v>
      </c>
      <c r="DC35" s="5290">
        <f t="shared" si="56"/>
        <v>2</v>
      </c>
      <c r="DD35" s="5290">
        <f t="shared" si="56"/>
        <v>3</v>
      </c>
      <c r="DE35" s="5290">
        <f t="shared" si="56"/>
        <v>4</v>
      </c>
      <c r="DF35" s="5290">
        <f t="shared" si="56"/>
        <v>1</v>
      </c>
      <c r="DG35" s="5290">
        <f t="shared" si="56"/>
        <v>2</v>
      </c>
      <c r="DH35" s="5290">
        <f t="shared" si="56"/>
        <v>3</v>
      </c>
      <c r="DI35" s="5290">
        <f t="shared" si="56"/>
        <v>4</v>
      </c>
      <c r="DJ35" s="5290">
        <f t="shared" si="56"/>
        <v>1</v>
      </c>
      <c r="DK35" s="5290">
        <f t="shared" si="56"/>
        <v>2</v>
      </c>
      <c r="DL35" s="5290">
        <f t="shared" si="56"/>
        <v>3</v>
      </c>
      <c r="DM35" s="5290">
        <f t="shared" si="56"/>
        <v>4</v>
      </c>
      <c r="DN35" s="5290">
        <f t="shared" si="56"/>
        <v>1</v>
      </c>
      <c r="DO35" s="5290">
        <f t="shared" si="56"/>
        <v>2</v>
      </c>
      <c r="DP35" s="5290">
        <f t="shared" si="56"/>
        <v>3</v>
      </c>
      <c r="DQ35" s="5290">
        <f t="shared" si="56"/>
        <v>4</v>
      </c>
      <c r="DR35" s="5290">
        <f t="shared" si="56"/>
        <v>1</v>
      </c>
      <c r="DS35" s="5290">
        <f t="shared" si="56"/>
        <v>2</v>
      </c>
      <c r="DT35" s="5290">
        <f t="shared" si="56"/>
        <v>3</v>
      </c>
      <c r="DU35" s="5290">
        <f t="shared" si="56"/>
        <v>4</v>
      </c>
      <c r="DV35" s="5290">
        <f t="shared" si="56"/>
        <v>1</v>
      </c>
      <c r="DW35" s="5290">
        <f t="shared" si="56"/>
        <v>2</v>
      </c>
      <c r="DX35" s="5290">
        <f t="shared" si="56"/>
        <v>3</v>
      </c>
      <c r="DY35" s="5290">
        <f t="shared" si="56"/>
        <v>4</v>
      </c>
      <c r="DZ35" s="5290">
        <f t="shared" si="56"/>
        <v>1</v>
      </c>
      <c r="EA35" s="5290">
        <f t="shared" si="56"/>
        <v>2</v>
      </c>
      <c r="EB35" s="5290">
        <f t="shared" si="56"/>
        <v>3</v>
      </c>
      <c r="EC35" s="5290">
        <f t="shared" si="56"/>
        <v>4</v>
      </c>
      <c r="ED35" s="5290">
        <f t="shared" si="56"/>
        <v>1</v>
      </c>
      <c r="EE35" s="5290">
        <f t="shared" si="56"/>
        <v>2</v>
      </c>
      <c r="EF35" s="5290">
        <f t="shared" si="56"/>
        <v>3</v>
      </c>
      <c r="EG35" s="5290">
        <f t="shared" si="56"/>
        <v>4</v>
      </c>
      <c r="EH35" s="5290">
        <f t="shared" ref="EH35:GS35" si="57">EH11</f>
        <v>1</v>
      </c>
      <c r="EI35" s="5290">
        <f t="shared" si="57"/>
        <v>2</v>
      </c>
      <c r="EJ35" s="5290">
        <f t="shared" si="57"/>
        <v>3</v>
      </c>
      <c r="EK35" s="5290">
        <f t="shared" si="57"/>
        <v>4</v>
      </c>
      <c r="EL35" s="5290">
        <f t="shared" si="57"/>
        <v>1</v>
      </c>
      <c r="EM35" s="5290">
        <f t="shared" si="57"/>
        <v>2</v>
      </c>
      <c r="EN35" s="5290">
        <f t="shared" si="57"/>
        <v>3</v>
      </c>
      <c r="EO35" s="5290">
        <f t="shared" si="57"/>
        <v>4</v>
      </c>
      <c r="EP35" s="5290">
        <f t="shared" si="57"/>
        <v>1</v>
      </c>
      <c r="EQ35" s="5290">
        <f t="shared" si="57"/>
        <v>2</v>
      </c>
      <c r="ER35" s="5290">
        <f t="shared" si="57"/>
        <v>3</v>
      </c>
      <c r="ES35" s="5290">
        <f t="shared" si="57"/>
        <v>4</v>
      </c>
      <c r="ET35" s="5290">
        <f t="shared" si="57"/>
        <v>1</v>
      </c>
      <c r="EU35" s="5290">
        <f t="shared" si="57"/>
        <v>2</v>
      </c>
      <c r="EV35" s="5290">
        <f t="shared" si="57"/>
        <v>3</v>
      </c>
      <c r="EW35" s="5290">
        <f t="shared" si="57"/>
        <v>4</v>
      </c>
      <c r="EX35" s="5290">
        <f t="shared" si="57"/>
        <v>1</v>
      </c>
      <c r="EY35" s="5290">
        <f t="shared" si="57"/>
        <v>2</v>
      </c>
      <c r="EZ35" s="5290">
        <f t="shared" si="57"/>
        <v>3</v>
      </c>
      <c r="FA35" s="5290">
        <f t="shared" si="57"/>
        <v>4</v>
      </c>
      <c r="FB35" s="5290">
        <f t="shared" si="57"/>
        <v>1</v>
      </c>
      <c r="FC35" s="5290">
        <f t="shared" si="57"/>
        <v>2</v>
      </c>
      <c r="FD35" s="5290">
        <f t="shared" si="57"/>
        <v>3</v>
      </c>
      <c r="FE35" s="5290">
        <f t="shared" si="57"/>
        <v>4</v>
      </c>
      <c r="FF35" s="5290">
        <f t="shared" si="57"/>
        <v>1</v>
      </c>
      <c r="FG35" s="5290">
        <f t="shared" si="57"/>
        <v>2</v>
      </c>
      <c r="FH35" s="5290">
        <f t="shared" si="57"/>
        <v>3</v>
      </c>
      <c r="FI35" s="5290">
        <f t="shared" si="57"/>
        <v>4</v>
      </c>
      <c r="FJ35" s="5290">
        <f t="shared" si="57"/>
        <v>1</v>
      </c>
      <c r="FK35" s="5290">
        <f t="shared" si="57"/>
        <v>2</v>
      </c>
      <c r="FL35" s="5290">
        <f t="shared" si="57"/>
        <v>3</v>
      </c>
      <c r="FM35" s="5290">
        <f t="shared" si="57"/>
        <v>4</v>
      </c>
      <c r="FN35" s="5290">
        <f t="shared" si="57"/>
        <v>1</v>
      </c>
      <c r="FO35" s="5290">
        <f t="shared" si="57"/>
        <v>2</v>
      </c>
      <c r="FP35" s="5290">
        <f t="shared" si="57"/>
        <v>3</v>
      </c>
      <c r="FQ35" s="5290">
        <f t="shared" si="57"/>
        <v>4</v>
      </c>
      <c r="FR35" s="5290">
        <f t="shared" si="57"/>
        <v>1</v>
      </c>
      <c r="FS35" s="5290">
        <f t="shared" si="57"/>
        <v>2</v>
      </c>
      <c r="FT35" s="5290">
        <f t="shared" si="57"/>
        <v>3</v>
      </c>
      <c r="FU35" s="5290">
        <f t="shared" si="57"/>
        <v>4</v>
      </c>
      <c r="FV35" s="5290">
        <f t="shared" si="57"/>
        <v>1</v>
      </c>
      <c r="FW35" s="5290">
        <f t="shared" si="57"/>
        <v>2</v>
      </c>
      <c r="FX35" s="5290">
        <f t="shared" si="57"/>
        <v>3</v>
      </c>
      <c r="FY35" s="5290">
        <f t="shared" si="57"/>
        <v>4</v>
      </c>
      <c r="FZ35" s="5290">
        <f t="shared" si="57"/>
        <v>1</v>
      </c>
      <c r="GA35" s="5290">
        <f t="shared" si="57"/>
        <v>2</v>
      </c>
      <c r="GB35" s="5290">
        <f t="shared" si="57"/>
        <v>3</v>
      </c>
      <c r="GC35" s="5290">
        <f t="shared" si="57"/>
        <v>4</v>
      </c>
      <c r="GD35" s="5290">
        <f t="shared" si="57"/>
        <v>1</v>
      </c>
      <c r="GE35" s="5290">
        <f t="shared" si="57"/>
        <v>2</v>
      </c>
      <c r="GF35" s="5290">
        <f t="shared" si="57"/>
        <v>3</v>
      </c>
      <c r="GG35" s="5290">
        <f t="shared" si="57"/>
        <v>4</v>
      </c>
      <c r="GH35" s="5290">
        <f t="shared" si="57"/>
        <v>1</v>
      </c>
      <c r="GI35" s="5290">
        <f t="shared" si="57"/>
        <v>2</v>
      </c>
      <c r="GJ35" s="5290">
        <f t="shared" si="57"/>
        <v>3</v>
      </c>
      <c r="GK35" s="5290">
        <f t="shared" si="57"/>
        <v>4</v>
      </c>
      <c r="GL35" s="5290">
        <f t="shared" si="57"/>
        <v>1</v>
      </c>
      <c r="GM35" s="5290">
        <f t="shared" si="57"/>
        <v>2</v>
      </c>
      <c r="GN35" s="5290">
        <f t="shared" si="57"/>
        <v>3</v>
      </c>
      <c r="GO35" s="5290">
        <f t="shared" si="57"/>
        <v>4</v>
      </c>
      <c r="GP35" s="5290">
        <f t="shared" si="57"/>
        <v>1</v>
      </c>
      <c r="GQ35" s="5290">
        <f t="shared" si="57"/>
        <v>2</v>
      </c>
      <c r="GR35" s="5290">
        <f t="shared" si="57"/>
        <v>3</v>
      </c>
      <c r="GS35" s="5290">
        <f t="shared" si="57"/>
        <v>4</v>
      </c>
      <c r="GT35" s="5290">
        <f t="shared" ref="GT35:IA35" si="58">GT11</f>
        <v>1</v>
      </c>
      <c r="GU35" s="5290">
        <f t="shared" si="58"/>
        <v>2</v>
      </c>
      <c r="GV35" s="5290">
        <f t="shared" si="58"/>
        <v>3</v>
      </c>
      <c r="GW35" s="5290">
        <f t="shared" si="58"/>
        <v>4</v>
      </c>
      <c r="GX35" s="5290">
        <f t="shared" si="58"/>
        <v>1</v>
      </c>
      <c r="GY35" s="5290">
        <f t="shared" si="58"/>
        <v>2</v>
      </c>
      <c r="GZ35" s="5290">
        <f t="shared" si="58"/>
        <v>3</v>
      </c>
      <c r="HA35" s="5290">
        <f t="shared" si="58"/>
        <v>4</v>
      </c>
      <c r="HB35" s="5290">
        <f t="shared" si="58"/>
        <v>1</v>
      </c>
      <c r="HC35" s="5290">
        <f t="shared" si="58"/>
        <v>2</v>
      </c>
      <c r="HD35" s="5290">
        <f t="shared" si="58"/>
        <v>3</v>
      </c>
      <c r="HE35" s="5290">
        <f t="shared" si="58"/>
        <v>4</v>
      </c>
      <c r="HF35" s="5290">
        <f t="shared" si="58"/>
        <v>1</v>
      </c>
      <c r="HG35" s="5290">
        <f t="shared" si="58"/>
        <v>2</v>
      </c>
      <c r="HH35" s="5290">
        <f t="shared" si="58"/>
        <v>3</v>
      </c>
      <c r="HI35" s="5290">
        <f t="shared" si="58"/>
        <v>4</v>
      </c>
      <c r="HJ35" s="5290">
        <f t="shared" si="58"/>
        <v>1</v>
      </c>
      <c r="HK35" s="5290">
        <f t="shared" si="58"/>
        <v>2</v>
      </c>
      <c r="HL35" s="5290">
        <f t="shared" si="58"/>
        <v>3</v>
      </c>
      <c r="HM35" s="5290">
        <f t="shared" si="58"/>
        <v>4</v>
      </c>
      <c r="HN35" s="5290">
        <f t="shared" si="58"/>
        <v>1</v>
      </c>
      <c r="HO35" s="5290">
        <f t="shared" si="58"/>
        <v>2</v>
      </c>
      <c r="HP35" s="5290">
        <f t="shared" si="58"/>
        <v>3</v>
      </c>
      <c r="HQ35" s="5290">
        <f t="shared" si="58"/>
        <v>4</v>
      </c>
      <c r="HR35" s="5290">
        <f t="shared" si="58"/>
        <v>1</v>
      </c>
      <c r="HS35" s="5290">
        <f t="shared" si="58"/>
        <v>2</v>
      </c>
      <c r="HT35" s="5290">
        <f t="shared" si="58"/>
        <v>3</v>
      </c>
      <c r="HU35" s="5290">
        <f t="shared" si="58"/>
        <v>4</v>
      </c>
      <c r="HV35" s="5290">
        <f t="shared" si="58"/>
        <v>1</v>
      </c>
      <c r="HW35" s="5290">
        <f t="shared" si="58"/>
        <v>2</v>
      </c>
      <c r="HX35" s="5290">
        <f t="shared" si="58"/>
        <v>3</v>
      </c>
      <c r="HY35" s="5290">
        <f t="shared" si="58"/>
        <v>4</v>
      </c>
      <c r="HZ35" s="5290">
        <f t="shared" si="58"/>
        <v>1</v>
      </c>
      <c r="IA35" s="5290">
        <f t="shared" si="58"/>
        <v>2</v>
      </c>
    </row>
    <row r="36" spans="2:311">
      <c r="C36" s="2372" t="s">
        <v>185</v>
      </c>
      <c r="D36" s="2373"/>
      <c r="E36" s="2396"/>
      <c r="F36" s="2396"/>
      <c r="G36" s="2397"/>
      <c r="H36" s="2398"/>
      <c r="I36" s="2388"/>
      <c r="J36" s="2399"/>
      <c r="K36" s="2399"/>
      <c r="L36" s="2398"/>
      <c r="M36" s="2400"/>
      <c r="N36" s="2399"/>
      <c r="O36" s="2398"/>
      <c r="P36" s="2398"/>
      <c r="Q36" s="2401"/>
      <c r="R36" s="2400"/>
      <c r="S36" s="2398"/>
      <c r="T36" s="2401"/>
      <c r="U36" s="2402"/>
      <c r="V36" s="2402"/>
      <c r="W36" s="2402"/>
      <c r="X36" s="2402"/>
      <c r="Y36" s="2402"/>
      <c r="Z36" s="2402"/>
      <c r="AA36" s="2402"/>
      <c r="AB36" s="2402"/>
      <c r="AC36" s="2402"/>
      <c r="AD36" s="2402"/>
      <c r="AE36" s="2402"/>
      <c r="AF36" s="2402"/>
      <c r="AG36" s="2402"/>
      <c r="AH36" s="2402"/>
      <c r="AI36" s="2402"/>
      <c r="AJ36" s="2402"/>
      <c r="AK36" s="2402"/>
      <c r="AL36" s="2402"/>
      <c r="AM36" s="2402"/>
      <c r="AN36" s="2402"/>
      <c r="AO36" s="2402"/>
      <c r="AP36" s="2402"/>
      <c r="AQ36" s="2402"/>
      <c r="AR36" s="2402"/>
      <c r="AS36" s="2402"/>
      <c r="AT36" s="2402"/>
      <c r="AU36" s="2402"/>
      <c r="AV36" s="2402"/>
      <c r="AW36" s="2402"/>
      <c r="AX36" s="2402"/>
      <c r="AY36" s="2402"/>
      <c r="AZ36" s="2402"/>
      <c r="BA36" s="2402"/>
      <c r="BB36" s="2402"/>
      <c r="BC36" s="2402"/>
      <c r="BD36" s="2402"/>
      <c r="BE36" s="2402"/>
      <c r="BF36" s="2402"/>
      <c r="BG36" s="2402"/>
      <c r="BH36" s="2402"/>
      <c r="BI36" s="2402"/>
      <c r="BJ36" s="2402"/>
      <c r="BK36" s="2402"/>
      <c r="BL36" s="2402"/>
      <c r="BM36" s="2402"/>
      <c r="BN36" s="2402"/>
      <c r="BO36" s="2402"/>
      <c r="BP36" s="2402"/>
      <c r="BQ36" s="2402"/>
      <c r="BR36" s="2402"/>
      <c r="BS36" s="2402"/>
      <c r="BT36" s="2402"/>
      <c r="BU36" s="2402"/>
      <c r="BV36" s="2402"/>
      <c r="BW36" s="2402"/>
      <c r="BX36" s="2402"/>
      <c r="BY36" s="2402"/>
      <c r="BZ36" s="2402"/>
      <c r="CA36" s="2402"/>
      <c r="CB36" s="2402"/>
      <c r="CC36" s="2402"/>
      <c r="CD36" s="2402"/>
      <c r="CE36" s="2402"/>
      <c r="CF36" s="2402"/>
      <c r="CG36" s="2402"/>
      <c r="CH36" s="2402"/>
      <c r="CI36" s="2402"/>
      <c r="CJ36" s="2402"/>
      <c r="CK36" s="2402"/>
      <c r="CL36" s="2402"/>
      <c r="CM36" s="2402"/>
      <c r="CN36" s="2402"/>
      <c r="CO36" s="2402"/>
      <c r="CP36" s="2402"/>
      <c r="CQ36" s="2402"/>
      <c r="CR36" s="2402"/>
      <c r="CS36" s="2402"/>
      <c r="CT36" s="2402"/>
      <c r="CU36" s="2402"/>
      <c r="CV36" s="2402"/>
      <c r="CW36" s="2402"/>
      <c r="CX36" s="2402"/>
      <c r="CY36" s="2402"/>
      <c r="CZ36" s="2402"/>
      <c r="DA36" s="2402"/>
      <c r="DB36" s="2402"/>
      <c r="DC36" s="2402"/>
      <c r="DD36" s="2402"/>
      <c r="DE36" s="2402"/>
      <c r="DF36" s="2402"/>
      <c r="DG36" s="2402"/>
      <c r="DH36" s="2402"/>
      <c r="DI36" s="2402"/>
      <c r="DJ36" s="2402"/>
      <c r="DK36" s="2402"/>
      <c r="DL36" s="2402"/>
      <c r="DM36" s="2402"/>
      <c r="DN36" s="2402"/>
      <c r="DO36" s="2402"/>
      <c r="DP36" s="2402"/>
      <c r="DQ36" s="2402"/>
      <c r="DR36" s="2402"/>
      <c r="DS36" s="2402"/>
      <c r="DT36" s="2402"/>
      <c r="DU36" s="2402"/>
      <c r="DV36" s="2402"/>
      <c r="DW36" s="5269"/>
      <c r="DX36" s="5269"/>
      <c r="DY36" s="5269"/>
      <c r="DZ36" s="5269"/>
      <c r="EA36" s="5269"/>
      <c r="EB36" s="5269"/>
      <c r="EC36" s="5269"/>
      <c r="ED36" s="5269"/>
      <c r="EE36" s="5269"/>
      <c r="EF36" s="5269"/>
      <c r="EG36" s="5269"/>
      <c r="EH36" s="5269"/>
      <c r="EI36" s="5269"/>
      <c r="EJ36" s="5269"/>
      <c r="EK36" s="5269"/>
      <c r="EL36" s="5269"/>
      <c r="EM36" s="5269"/>
      <c r="EN36" s="5269"/>
      <c r="EO36" s="5269"/>
      <c r="EP36" s="5269"/>
      <c r="EQ36" s="5269"/>
      <c r="ER36" s="5269"/>
      <c r="ES36" s="5269"/>
      <c r="ET36" s="5269"/>
      <c r="EU36" s="5269"/>
      <c r="EV36" s="5269"/>
      <c r="EW36" s="5269"/>
      <c r="EX36" s="5269"/>
      <c r="EY36" s="5269"/>
      <c r="EZ36" s="5269"/>
      <c r="FA36" s="5269"/>
      <c r="FB36" s="5269"/>
      <c r="FC36" s="5269"/>
      <c r="FD36" s="5269"/>
      <c r="FE36" s="5269"/>
      <c r="FF36" s="5269"/>
      <c r="FG36" s="5269"/>
      <c r="FH36" s="5269"/>
      <c r="FI36" s="5269"/>
      <c r="FJ36" s="5269"/>
      <c r="FK36" s="5269"/>
      <c r="FL36" s="5269"/>
      <c r="FM36" s="5269"/>
      <c r="FN36" s="5269"/>
      <c r="FO36" s="5269"/>
      <c r="FP36" s="5269"/>
      <c r="FQ36" s="5269"/>
      <c r="FR36" s="5269"/>
      <c r="FS36" s="5269"/>
      <c r="FT36" s="5269"/>
      <c r="FU36" s="5269"/>
      <c r="FV36" s="5269"/>
      <c r="FW36" s="5269"/>
      <c r="FX36" s="5269"/>
      <c r="FY36" s="5269"/>
      <c r="FZ36" s="5269"/>
      <c r="GA36" s="5269"/>
      <c r="GB36" s="5269"/>
      <c r="GC36" s="5269"/>
      <c r="GD36" s="5269"/>
      <c r="GE36" s="5269"/>
      <c r="GF36" s="5269"/>
      <c r="GG36" s="5269"/>
      <c r="GH36" s="5269"/>
      <c r="GI36" s="5269"/>
      <c r="GJ36" s="5269"/>
      <c r="GK36" s="5269"/>
      <c r="GL36" s="5269"/>
      <c r="GM36" s="5269"/>
      <c r="GN36" s="5269"/>
      <c r="GO36" s="5269"/>
      <c r="GP36" s="5269"/>
      <c r="GQ36" s="5269"/>
      <c r="GR36" s="5269"/>
      <c r="GS36" s="5269"/>
      <c r="GT36" s="5269"/>
      <c r="GU36" s="5269"/>
      <c r="GV36" s="5269"/>
      <c r="GW36" s="5269"/>
      <c r="GX36" s="5269"/>
      <c r="GY36" s="5269"/>
      <c r="GZ36" s="5269"/>
      <c r="HA36" s="5269"/>
      <c r="HB36" s="5269"/>
      <c r="HC36" s="5269"/>
      <c r="HD36" s="5269"/>
      <c r="HE36" s="5269"/>
      <c r="HF36" s="5269"/>
      <c r="HG36" s="5269"/>
      <c r="HH36" s="5269"/>
      <c r="HI36" s="5269"/>
      <c r="HJ36" s="5269"/>
      <c r="HK36" s="5269"/>
      <c r="HL36" s="5269"/>
      <c r="HM36" s="5269"/>
      <c r="HN36" s="5269"/>
      <c r="HO36" s="5269"/>
      <c r="HP36" s="5269"/>
      <c r="HQ36" s="5269"/>
      <c r="HR36" s="5269"/>
      <c r="HS36" s="5269"/>
      <c r="HT36" s="5269"/>
      <c r="HU36" s="5269"/>
      <c r="HV36" s="5269"/>
      <c r="HW36" s="5269"/>
      <c r="HX36" s="5269"/>
      <c r="HY36" s="5269"/>
      <c r="HZ36" s="5269"/>
      <c r="IA36" s="5269"/>
    </row>
    <row r="37" spans="2:311">
      <c r="C37" s="2383"/>
      <c r="D37" s="2406" t="s">
        <v>3924</v>
      </c>
      <c r="E37" s="2356"/>
      <c r="F37" s="2356"/>
      <c r="G37" s="2446"/>
      <c r="H37" s="2447">
        <f ca="1">MAX(J37:IA37)</f>
        <v>187360.26702602781</v>
      </c>
      <c r="I37" s="2388"/>
      <c r="J37" s="2448">
        <f t="shared" ref="J37:BU37" si="59">J$32</f>
        <v>0</v>
      </c>
      <c r="K37" s="2448">
        <f t="shared" si="59"/>
        <v>0</v>
      </c>
      <c r="L37" s="2447">
        <f t="shared" si="59"/>
        <v>0</v>
      </c>
      <c r="M37" s="2449">
        <f t="shared" si="59"/>
        <v>0</v>
      </c>
      <c r="N37" s="2448">
        <f t="shared" si="59"/>
        <v>0</v>
      </c>
      <c r="O37" s="2447">
        <f t="shared" si="59"/>
        <v>0</v>
      </c>
      <c r="P37" s="2447">
        <f t="shared" si="59"/>
        <v>0</v>
      </c>
      <c r="Q37" s="2450">
        <f t="shared" si="59"/>
        <v>0</v>
      </c>
      <c r="R37" s="2449">
        <f t="shared" si="59"/>
        <v>0</v>
      </c>
      <c r="S37" s="2447">
        <f t="shared" si="59"/>
        <v>0</v>
      </c>
      <c r="T37" s="2450">
        <f t="shared" si="59"/>
        <v>0</v>
      </c>
      <c r="U37" s="2451">
        <f t="shared" si="59"/>
        <v>0</v>
      </c>
      <c r="V37" s="2451">
        <f t="shared" si="59"/>
        <v>0</v>
      </c>
      <c r="W37" s="2451">
        <f t="shared" si="59"/>
        <v>0</v>
      </c>
      <c r="X37" s="2451">
        <f t="shared" si="59"/>
        <v>0</v>
      </c>
      <c r="Y37" s="2451">
        <f t="shared" si="59"/>
        <v>0</v>
      </c>
      <c r="Z37" s="2451">
        <f t="shared" si="59"/>
        <v>0</v>
      </c>
      <c r="AA37" s="2451">
        <f t="shared" si="59"/>
        <v>0</v>
      </c>
      <c r="AB37" s="2451">
        <f t="shared" si="59"/>
        <v>0</v>
      </c>
      <c r="AC37" s="2451">
        <f t="shared" si="59"/>
        <v>0</v>
      </c>
      <c r="AD37" s="2451">
        <f t="shared" si="59"/>
        <v>0</v>
      </c>
      <c r="AE37" s="2451">
        <f t="shared" si="59"/>
        <v>0</v>
      </c>
      <c r="AF37" s="2451">
        <f t="shared" si="59"/>
        <v>0</v>
      </c>
      <c r="AG37" s="2451">
        <f t="shared" si="59"/>
        <v>0</v>
      </c>
      <c r="AH37" s="2451">
        <f t="shared" si="59"/>
        <v>0</v>
      </c>
      <c r="AI37" s="2451">
        <f t="shared" si="59"/>
        <v>0</v>
      </c>
      <c r="AJ37" s="2451">
        <f t="shared" si="59"/>
        <v>187360.26702602781</v>
      </c>
      <c r="AK37" s="2451">
        <f t="shared" si="59"/>
        <v>184583.49939092243</v>
      </c>
      <c r="AL37" s="2451">
        <f t="shared" si="59"/>
        <v>183560.17119721512</v>
      </c>
      <c r="AM37" s="2451">
        <f t="shared" si="59"/>
        <v>181085.48480025071</v>
      </c>
      <c r="AN37" s="2451">
        <f t="shared" si="59"/>
        <v>180626.73523475698</v>
      </c>
      <c r="AO37" s="2451">
        <f t="shared" si="59"/>
        <v>177304.55243362222</v>
      </c>
      <c r="AP37" s="2451">
        <f t="shared" si="59"/>
        <v>178196.68429081625</v>
      </c>
      <c r="AQ37" s="2451">
        <f t="shared" si="59"/>
        <v>175943.34047760171</v>
      </c>
      <c r="AR37" s="2451">
        <f t="shared" si="59"/>
        <v>174717.0658355263</v>
      </c>
      <c r="AS37" s="2451">
        <f t="shared" si="59"/>
        <v>172173.05851541279</v>
      </c>
      <c r="AT37" s="2451">
        <f t="shared" si="59"/>
        <v>170539.64926656464</v>
      </c>
      <c r="AU37" s="2451">
        <f t="shared" si="59"/>
        <v>167630.54968231311</v>
      </c>
      <c r="AV37" s="2451">
        <f t="shared" si="59"/>
        <v>166280.90358545989</v>
      </c>
      <c r="AW37" s="2451">
        <f t="shared" si="59"/>
        <v>162808.09884107241</v>
      </c>
      <c r="AX37" s="2451">
        <f t="shared" si="59"/>
        <v>161314.83250233959</v>
      </c>
      <c r="AY37" s="2451">
        <f t="shared" si="59"/>
        <v>158101.90205721074</v>
      </c>
      <c r="AZ37" s="2451">
        <f t="shared" si="59"/>
        <v>156543.840044874</v>
      </c>
      <c r="BA37" s="2451">
        <f t="shared" si="59"/>
        <v>153510.26113560033</v>
      </c>
      <c r="BB37" s="2451">
        <f t="shared" si="59"/>
        <v>152330.77684557534</v>
      </c>
      <c r="BC37" s="2451">
        <f t="shared" si="59"/>
        <v>149842.25413386369</v>
      </c>
      <c r="BD37" s="2451">
        <f t="shared" si="59"/>
        <v>147612.9277345117</v>
      </c>
      <c r="BE37" s="2451">
        <f t="shared" si="59"/>
        <v>144310.59058547285</v>
      </c>
      <c r="BF37" s="2451">
        <f t="shared" si="59"/>
        <v>142692.41689736917</v>
      </c>
      <c r="BG37" s="2451">
        <f t="shared" si="59"/>
        <v>140671.89479919637</v>
      </c>
      <c r="BH37" s="2451">
        <f t="shared" si="59"/>
        <v>138314.40351270486</v>
      </c>
      <c r="BI37" s="2451">
        <f t="shared" si="59"/>
        <v>136053.61020570091</v>
      </c>
      <c r="BJ37" s="2451">
        <f t="shared" si="59"/>
        <v>134138.98984636826</v>
      </c>
      <c r="BK37" s="2451">
        <f t="shared" si="59"/>
        <v>132111.6471068135</v>
      </c>
      <c r="BL37" s="2451">
        <f t="shared" si="59"/>
        <v>130684.51590260056</v>
      </c>
      <c r="BM37" s="2451">
        <f t="shared" si="59"/>
        <v>128533.29574607374</v>
      </c>
      <c r="BN37" s="2451">
        <f t="shared" si="59"/>
        <v>127911.8890471716</v>
      </c>
      <c r="BO37" s="2451">
        <f t="shared" si="59"/>
        <v>125392.49850387929</v>
      </c>
      <c r="BP37" s="2451">
        <f t="shared" si="59"/>
        <v>124263.79459093137</v>
      </c>
      <c r="BQ37" s="2451">
        <f t="shared" si="59"/>
        <v>121519.50459422643</v>
      </c>
      <c r="BR37" s="2451">
        <f t="shared" si="59"/>
        <v>120690.79198879462</v>
      </c>
      <c r="BS37" s="2451">
        <f t="shared" si="59"/>
        <v>118629.21620872608</v>
      </c>
      <c r="BT37" s="2451">
        <f t="shared" si="59"/>
        <v>118266.74493465353</v>
      </c>
      <c r="BU37" s="2451">
        <f t="shared" si="59"/>
        <v>114785.009888217</v>
      </c>
      <c r="BV37" s="2451">
        <f t="shared" ref="BV37:EG37" si="60">BV$32</f>
        <v>112938.17130511587</v>
      </c>
      <c r="BW37" s="2451">
        <f t="shared" si="60"/>
        <v>111389.5617160033</v>
      </c>
      <c r="BX37" s="2451">
        <f t="shared" si="60"/>
        <v>109783.65692668382</v>
      </c>
      <c r="BY37" s="2451">
        <f t="shared" si="60"/>
        <v>107799.94683040405</v>
      </c>
      <c r="BZ37" s="2451">
        <f t="shared" si="60"/>
        <v>106160.0778153587</v>
      </c>
      <c r="CA37" s="2451">
        <f t="shared" si="60"/>
        <v>104074.94873073477</v>
      </c>
      <c r="CB37" s="2451">
        <f t="shared" si="60"/>
        <v>103322.53242748525</v>
      </c>
      <c r="CC37" s="2451">
        <f t="shared" si="60"/>
        <v>101113.58628189348</v>
      </c>
      <c r="CD37" s="2451">
        <f t="shared" si="60"/>
        <v>100851.57821509764</v>
      </c>
      <c r="CE37" s="2451">
        <f t="shared" si="60"/>
        <v>99303.126795721095</v>
      </c>
      <c r="CF37" s="2451">
        <f t="shared" si="60"/>
        <v>98648.151398439586</v>
      </c>
      <c r="CG37" s="2451">
        <f t="shared" si="60"/>
        <v>97751.058874510738</v>
      </c>
      <c r="CH37" s="2451">
        <f t="shared" ca="1" si="60"/>
        <v>96410.333988262166</v>
      </c>
      <c r="CI37" s="2451">
        <f t="shared" ca="1" si="60"/>
        <v>95087.998091772926</v>
      </c>
      <c r="CJ37" s="2451">
        <f t="shared" ca="1" si="60"/>
        <v>93783.798967046721</v>
      </c>
      <c r="CK37" s="2451">
        <f t="shared" ca="1" si="60"/>
        <v>92497.487855435422</v>
      </c>
      <c r="CL37" s="2451">
        <f t="shared" ca="1" si="60"/>
        <v>91228.819410191674</v>
      </c>
      <c r="CM37" s="2451">
        <f t="shared" ca="1" si="60"/>
        <v>89977.551649672154</v>
      </c>
      <c r="CN37" s="2451">
        <f t="shared" ca="1" si="60"/>
        <v>88743.44591118292</v>
      </c>
      <c r="CO37" s="2451">
        <f t="shared" ca="1" si="60"/>
        <v>87526.266805457635</v>
      </c>
      <c r="CP37" s="2451">
        <f t="shared" ca="1" si="60"/>
        <v>86325.782171760133</v>
      </c>
      <c r="CQ37" s="2451">
        <f t="shared" ca="1" si="60"/>
        <v>85141.76303360294</v>
      </c>
      <c r="CR37" s="2451">
        <f t="shared" ca="1" si="60"/>
        <v>83973.983555072948</v>
      </c>
      <c r="CS37" s="2451">
        <f t="shared" ca="1" si="60"/>
        <v>82822.220997756333</v>
      </c>
      <c r="CT37" s="2451">
        <f t="shared" ca="1" si="60"/>
        <v>81686.255678254034</v>
      </c>
      <c r="CU37" s="2451">
        <f t="shared" ca="1" si="60"/>
        <v>80565.8709262802</v>
      </c>
      <c r="CV37" s="2451">
        <f t="shared" ca="1" si="60"/>
        <v>79460.853043335097</v>
      </c>
      <c r="CW37" s="2451">
        <f t="shared" ca="1" si="60"/>
        <v>78370.991261945019</v>
      </c>
      <c r="CX37" s="2451">
        <f t="shared" ca="1" si="60"/>
        <v>77296.077705461212</v>
      </c>
      <c r="CY37" s="2451">
        <f t="shared" ca="1" si="60"/>
        <v>76235.907348410081</v>
      </c>
      <c r="CZ37" s="2451">
        <f t="shared" ca="1" si="60"/>
        <v>75190.277977387421</v>
      </c>
      <c r="DA37" s="2451">
        <f t="shared" ca="1" si="60"/>
        <v>74158.990152488797</v>
      </c>
      <c r="DB37" s="2451">
        <f t="shared" ca="1" si="60"/>
        <v>73141.847169269109</v>
      </c>
      <c r="DC37" s="2451">
        <f t="shared" ca="1" si="60"/>
        <v>72138.655021223734</v>
      </c>
      <c r="DD37" s="2451">
        <f t="shared" ca="1" si="60"/>
        <v>71149.222362784538</v>
      </c>
      <c r="DE37" s="2451">
        <f t="shared" ca="1" si="60"/>
        <v>70173.360472823013</v>
      </c>
      <c r="DF37" s="2451">
        <f t="shared" ca="1" si="60"/>
        <v>69210.883218654475</v>
      </c>
      <c r="DG37" s="2451">
        <f t="shared" ca="1" si="60"/>
        <v>68261.607020535565</v>
      </c>
      <c r="DH37" s="2451">
        <f t="shared" ca="1" si="60"/>
        <v>67325.350816648861</v>
      </c>
      <c r="DI37" s="2451">
        <f t="shared" ca="1" si="60"/>
        <v>66401.936028567914</v>
      </c>
      <c r="DJ37" s="2451">
        <f t="shared" ca="1" si="60"/>
        <v>65491.186527195481</v>
      </c>
      <c r="DK37" s="2451">
        <f t="shared" ca="1" si="60"/>
        <v>64592.928599169551</v>
      </c>
      <c r="DL37" s="2451">
        <f t="shared" ca="1" si="60"/>
        <v>63706.990913729671</v>
      </c>
      <c r="DM37" s="2451">
        <f t="shared" ca="1" si="60"/>
        <v>62833.20449003781</v>
      </c>
      <c r="DN37" s="2451">
        <f t="shared" ca="1" si="60"/>
        <v>61971.402664947731</v>
      </c>
      <c r="DO37" s="2451">
        <f t="shared" ca="1" si="60"/>
        <v>61121.42106121606</v>
      </c>
      <c r="DP37" s="2451">
        <f t="shared" ca="1" si="60"/>
        <v>60283.097556149463</v>
      </c>
      <c r="DQ37" s="2451">
        <f t="shared" ca="1" si="60"/>
        <v>59456.272250682043</v>
      </c>
      <c r="DR37" s="2451">
        <f t="shared" ca="1" si="60"/>
        <v>58640.787438876621</v>
      </c>
      <c r="DS37" s="2451">
        <f t="shared" ca="1" si="60"/>
        <v>57836.487577844455</v>
      </c>
      <c r="DT37" s="2451">
        <f t="shared" ca="1" si="60"/>
        <v>57043.21925807753</v>
      </c>
      <c r="DU37" s="2451">
        <f t="shared" ca="1" si="60"/>
        <v>56260.831174187631</v>
      </c>
      <c r="DV37" s="2451">
        <f t="shared" ca="1" si="60"/>
        <v>55489.174096046925</v>
      </c>
      <c r="DW37" s="2451">
        <f t="shared" ca="1" si="60"/>
        <v>54728.100840324405</v>
      </c>
      <c r="DX37" s="2451">
        <f t="shared" ca="1" si="60"/>
        <v>53977.466242412353</v>
      </c>
      <c r="DY37" s="2451">
        <f t="shared" ca="1" si="60"/>
        <v>53237.127128738408</v>
      </c>
      <c r="DZ37" s="2451">
        <f t="shared" ca="1" si="60"/>
        <v>52506.942289456936</v>
      </c>
      <c r="EA37" s="2451">
        <f t="shared" ca="1" si="60"/>
        <v>51786.772451515179</v>
      </c>
      <c r="EB37" s="2451">
        <f t="shared" ca="1" si="60"/>
        <v>51076.480252088746</v>
      </c>
      <c r="EC37" s="2451">
        <f t="shared" ca="1" si="60"/>
        <v>50375.930212381558</v>
      </c>
      <c r="ED37" s="2451">
        <f t="shared" ca="1" si="60"/>
        <v>49684.98871178495</v>
      </c>
      <c r="EE37" s="2451">
        <f t="shared" ca="1" si="60"/>
        <v>49003.523962391446</v>
      </c>
      <c r="EF37" s="2451">
        <f t="shared" ca="1" si="60"/>
        <v>48331.40598385784</v>
      </c>
      <c r="EG37" s="2451">
        <f t="shared" ca="1" si="60"/>
        <v>47668.506578613255</v>
      </c>
      <c r="EH37" s="2451">
        <f t="shared" ref="EH37:GS37" ca="1" si="61">EH$32</f>
        <v>47014.699307407172</v>
      </c>
      <c r="EI37" s="2451">
        <f t="shared" ca="1" si="61"/>
        <v>46369.85946519272</v>
      </c>
      <c r="EJ37" s="2451">
        <f t="shared" ca="1" si="61"/>
        <v>45733.864057340987</v>
      </c>
      <c r="EK37" s="2451">
        <f t="shared" ca="1" si="61"/>
        <v>45106.591776181333</v>
      </c>
      <c r="EL37" s="2451">
        <f t="shared" ca="1" si="61"/>
        <v>44487.922977863585</v>
      </c>
      <c r="EM37" s="2451">
        <f t="shared" ca="1" si="61"/>
        <v>43877.739659537569</v>
      </c>
      <c r="EN37" s="2451">
        <f t="shared" ca="1" si="61"/>
        <v>43275.925436845646</v>
      </c>
      <c r="EO37" s="2451">
        <f t="shared" ca="1" si="61"/>
        <v>42682.365521723863</v>
      </c>
      <c r="EP37" s="2451">
        <f t="shared" ca="1" si="61"/>
        <v>42096.946700507848</v>
      </c>
      <c r="EQ37" s="2451">
        <f t="shared" ca="1" si="61"/>
        <v>41519.557312338606</v>
      </c>
      <c r="ER37" s="2451">
        <f t="shared" ca="1" si="61"/>
        <v>40950.087227864729</v>
      </c>
      <c r="ES37" s="2451">
        <f t="shared" ca="1" si="61"/>
        <v>40388.427828236825</v>
      </c>
      <c r="ET37" s="2451">
        <f t="shared" ca="1" si="61"/>
        <v>39834.471984389806</v>
      </c>
      <c r="EU37" s="2451">
        <f t="shared" ca="1" si="61"/>
        <v>39288.114036609368</v>
      </c>
      <c r="EV37" s="2451">
        <f t="shared" ca="1" si="61"/>
        <v>38749.249774378943</v>
      </c>
      <c r="EW37" s="2451">
        <f t="shared" ca="1" si="61"/>
        <v>38217.776416502937</v>
      </c>
      <c r="EX37" s="2451">
        <f t="shared" ca="1" si="61"/>
        <v>37693.592591502471</v>
      </c>
      <c r="EY37" s="2451">
        <f t="shared" ca="1" si="61"/>
        <v>37176.598318280121</v>
      </c>
      <c r="EZ37" s="2451">
        <f t="shared" ca="1" si="61"/>
        <v>36666.694987050003</v>
      </c>
      <c r="FA37" s="2451">
        <f t="shared" ca="1" si="61"/>
        <v>36163.785340529117</v>
      </c>
      <c r="FB37" s="2451">
        <f t="shared" ca="1" si="61"/>
        <v>35667.77345538685</v>
      </c>
      <c r="FC37" s="2451">
        <f t="shared" ca="1" si="61"/>
        <v>35178.564723948941</v>
      </c>
      <c r="FD37" s="2451">
        <f t="shared" ca="1" si="61"/>
        <v>34696.065836152215</v>
      </c>
      <c r="FE37" s="2451">
        <f t="shared" ca="1" si="61"/>
        <v>34220.184761747005</v>
      </c>
      <c r="FF37" s="2451">
        <f t="shared" ca="1" si="61"/>
        <v>33750.83073274362</v>
      </c>
      <c r="FG37" s="2451">
        <f t="shared" ca="1" si="61"/>
        <v>33287.914226099485</v>
      </c>
      <c r="FH37" s="2451">
        <f t="shared" ca="1" si="61"/>
        <v>32831.346946643898</v>
      </c>
      <c r="FI37" s="2451">
        <f t="shared" ca="1" si="61"/>
        <v>32381.041810236791</v>
      </c>
      <c r="FJ37" s="2451">
        <f t="shared" ca="1" si="61"/>
        <v>31936.91292715865</v>
      </c>
      <c r="FK37" s="2451">
        <f t="shared" ca="1" si="61"/>
        <v>31498.875585728259</v>
      </c>
      <c r="FL37" s="2451">
        <f t="shared" ca="1" si="61"/>
        <v>31066.846236144982</v>
      </c>
      <c r="FM37" s="2451">
        <f t="shared" ca="1" si="61"/>
        <v>30640.742474552688</v>
      </c>
      <c r="FN37" s="2451">
        <f t="shared" ca="1" si="61"/>
        <v>30220.483027322516</v>
      </c>
      <c r="FO37" s="2451">
        <f t="shared" ca="1" si="61"/>
        <v>29805.987735550785</v>
      </c>
      <c r="FP37" s="2451">
        <f t="shared" ca="1" si="61"/>
        <v>29397.177539769931</v>
      </c>
      <c r="FQ37" s="2451">
        <f t="shared" ca="1" si="61"/>
        <v>28993.974464868894</v>
      </c>
      <c r="FR37" s="2451">
        <f t="shared" ca="1" si="61"/>
        <v>28596.301605220291</v>
      </c>
      <c r="FS37" s="2451">
        <f t="shared" ca="1" si="61"/>
        <v>28204.083110011859</v>
      </c>
      <c r="FT37" s="2451">
        <f t="shared" ca="1" si="61"/>
        <v>27817.244168778925</v>
      </c>
      <c r="FU37" s="2451">
        <f t="shared" ca="1" si="61"/>
        <v>27435.710997135113</v>
      </c>
      <c r="FV37" s="2451">
        <f t="shared" ca="1" si="61"/>
        <v>27059.41082269909</v>
      </c>
      <c r="FW37" s="2451">
        <f t="shared" ca="1" si="61"/>
        <v>26688.271871214285</v>
      </c>
      <c r="FX37" s="2451">
        <f t="shared" ca="1" si="61"/>
        <v>26322.223352858677</v>
      </c>
      <c r="FY37" s="2451">
        <f t="shared" ca="1" si="61"/>
        <v>25961.195448742808</v>
      </c>
      <c r="FZ37" s="2451">
        <f t="shared" ca="1" si="61"/>
        <v>25605.119297592631</v>
      </c>
      <c r="GA37" s="2451">
        <f t="shared" ca="1" si="61"/>
        <v>25253.926982615107</v>
      </c>
      <c r="GB37" s="2451">
        <f t="shared" ca="1" si="61"/>
        <v>24907.551518544049</v>
      </c>
      <c r="GC37" s="2451">
        <f t="shared" ca="1" si="61"/>
        <v>24565.926838863594</v>
      </c>
      <c r="GD37" s="2451">
        <f t="shared" ca="1" si="61"/>
        <v>24228.987783206856</v>
      </c>
      <c r="GE37" s="2451">
        <f t="shared" ca="1" si="61"/>
        <v>23896.67008492738</v>
      </c>
      <c r="GF37" s="2451">
        <f t="shared" ca="1" si="61"/>
        <v>23568.910358841287</v>
      </c>
      <c r="GG37" s="2451">
        <f t="shared" ca="1" si="61"/>
        <v>23245.646089137314</v>
      </c>
      <c r="GH37" s="2451">
        <f t="shared" ca="1" si="61"/>
        <v>22926.815617452681</v>
      </c>
      <c r="GI37" s="2451">
        <f t="shared" ca="1" si="61"/>
        <v>22612.358131112709</v>
      </c>
      <c r="GJ37" s="2451">
        <f t="shared" ca="1" si="61"/>
        <v>22302.213651531503</v>
      </c>
      <c r="GK37" s="2451">
        <f t="shared" ca="1" si="61"/>
        <v>21996.323022771921</v>
      </c>
      <c r="GL37" s="2451">
        <f t="shared" ca="1" si="61"/>
        <v>21694.62790026228</v>
      </c>
      <c r="GM37" s="2451">
        <f t="shared" ca="1" si="61"/>
        <v>21397.070739667968</v>
      </c>
      <c r="GN37" s="2451">
        <f t="shared" ca="1" si="61"/>
        <v>21103.594785915677</v>
      </c>
      <c r="GO37" s="2451">
        <f t="shared" ca="1" si="61"/>
        <v>20814.144062367981</v>
      </c>
      <c r="GP37" s="2451">
        <f t="shared" ca="1" si="61"/>
        <v>20528.663360146573</v>
      </c>
      <c r="GQ37" s="2451">
        <f t="shared" ca="1" si="61"/>
        <v>20247.098227602055</v>
      </c>
      <c r="GR37" s="2451">
        <f t="shared" ca="1" si="61"/>
        <v>19969.394959927828</v>
      </c>
      <c r="GS37" s="2451">
        <f t="shared" ca="1" si="61"/>
        <v>19695.500588916744</v>
      </c>
      <c r="GT37" s="2451">
        <f t="shared" ref="GT37:IA37" ca="1" si="62">GT$32</f>
        <v>19425.362872857979</v>
      </c>
      <c r="GU37" s="2451">
        <f t="shared" ca="1" si="62"/>
        <v>19158.930286572799</v>
      </c>
      <c r="GV37" s="2451">
        <f t="shared" ca="1" si="62"/>
        <v>18896.152011586666</v>
      </c>
      <c r="GW37" s="2451">
        <f t="shared" ca="1" si="62"/>
        <v>18636.977926436415</v>
      </c>
      <c r="GX37" s="2451">
        <f t="shared" ca="1" si="62"/>
        <v>18381.358597110098</v>
      </c>
      <c r="GY37" s="2451">
        <f t="shared" ca="1" si="62"/>
        <v>18129.24526761828</v>
      </c>
      <c r="GZ37" s="2451">
        <f t="shared" ca="1" si="62"/>
        <v>17880.589850694312</v>
      </c>
      <c r="HA37" s="2451">
        <f t="shared" ca="1" si="62"/>
        <v>17635.344918622493</v>
      </c>
      <c r="HB37" s="2451">
        <f t="shared" ca="1" si="62"/>
        <v>17393.463694191683</v>
      </c>
      <c r="HC37" s="2451">
        <f t="shared" ca="1" si="62"/>
        <v>17154.900041773362</v>
      </c>
      <c r="HD37" s="2451">
        <f t="shared" ca="1" si="62"/>
        <v>16919.608458521703</v>
      </c>
      <c r="HE37" s="2451">
        <f t="shared" ca="1" si="62"/>
        <v>16687.544065694583</v>
      </c>
      <c r="HF37" s="2451">
        <f t="shared" ca="1" si="62"/>
        <v>16458.662600093587</v>
      </c>
      <c r="HG37" s="2451">
        <f t="shared" ca="1" si="62"/>
        <v>16232.920405621357</v>
      </c>
      <c r="HH37" s="2451">
        <f t="shared" ca="1" si="62"/>
        <v>16010.274424954827</v>
      </c>
      <c r="HI37" s="2451">
        <f t="shared" ca="1" si="62"/>
        <v>15790.682191332477</v>
      </c>
      <c r="HJ37" s="2451">
        <f t="shared" ca="1" si="62"/>
        <v>15574.101820454473</v>
      </c>
      <c r="HK37" s="2451">
        <f t="shared" ca="1" si="62"/>
        <v>15360.492002493746</v>
      </c>
      <c r="HL37" s="2451">
        <f t="shared" ca="1" si="62"/>
        <v>15149.811994216769</v>
      </c>
      <c r="HM37" s="2451">
        <f t="shared" ca="1" si="62"/>
        <v>14942.021611212203</v>
      </c>
      <c r="HN37" s="2451">
        <f t="shared" ca="1" si="62"/>
        <v>14737.081220226419</v>
      </c>
      <c r="HO37" s="2451">
        <f t="shared" ca="1" si="62"/>
        <v>14534.951731603818</v>
      </c>
      <c r="HP37" s="2451">
        <f t="shared" ca="1" si="62"/>
        <v>14335.594591831024</v>
      </c>
      <c r="HQ37" s="2451">
        <f t="shared" ca="1" si="62"/>
        <v>14138.971776183431</v>
      </c>
      <c r="HR37" s="2451">
        <f t="shared" ca="1" si="62"/>
        <v>13945.0457814724</v>
      </c>
      <c r="HS37" s="2451">
        <f t="shared" ca="1" si="62"/>
        <v>13753.779618892033</v>
      </c>
      <c r="HT37" s="2451">
        <f t="shared" ca="1" si="62"/>
        <v>13565.13680696403</v>
      </c>
      <c r="HU37" s="2451">
        <f t="shared" ca="1" si="62"/>
        <v>13379.081364579397</v>
      </c>
      <c r="HV37" s="2451">
        <f t="shared" ca="1" si="62"/>
        <v>13195.577804135446</v>
      </c>
      <c r="HW37" s="2451">
        <f t="shared" ca="1" si="62"/>
        <v>13014.591124767156</v>
      </c>
      <c r="HX37" s="2451">
        <f t="shared" ca="1" si="62"/>
        <v>12836.086805670977</v>
      </c>
      <c r="HY37" s="2451">
        <f t="shared" ca="1" si="62"/>
        <v>12660.030799520664</v>
      </c>
      <c r="HZ37" s="2451">
        <f t="shared" ca="1" si="62"/>
        <v>12486.389525973153</v>
      </c>
      <c r="IA37" s="2451">
        <f t="shared" ca="1" si="62"/>
        <v>12318.710509391101</v>
      </c>
    </row>
    <row r="38" spans="2:311">
      <c r="C38" s="2422"/>
      <c r="D38" s="2452" t="s">
        <v>3925</v>
      </c>
      <c r="E38" s="2349"/>
      <c r="F38" s="2349"/>
      <c r="G38" s="2453"/>
      <c r="H38" s="2427">
        <f>SUM(Sensitivity!J54:J56)*100</f>
        <v>0</v>
      </c>
      <c r="I38" s="2427"/>
      <c r="J38" s="2454"/>
      <c r="K38" s="2454"/>
      <c r="L38" s="2427"/>
      <c r="M38" s="2455"/>
      <c r="N38" s="2454"/>
      <c r="O38" s="2427"/>
      <c r="P38" s="2427"/>
      <c r="Q38" s="2456"/>
      <c r="R38" s="2455"/>
      <c r="S38" s="2427"/>
      <c r="T38" s="2456">
        <f t="shared" ref="T38:CE38" si="63">T$53</f>
        <v>0</v>
      </c>
      <c r="U38" s="2457">
        <f t="shared" si="63"/>
        <v>0</v>
      </c>
      <c r="V38" s="2457">
        <f t="shared" si="63"/>
        <v>0</v>
      </c>
      <c r="W38" s="2457">
        <f t="shared" si="63"/>
        <v>0</v>
      </c>
      <c r="X38" s="2457">
        <f t="shared" si="63"/>
        <v>0</v>
      </c>
      <c r="Y38" s="2457">
        <f t="shared" si="63"/>
        <v>0</v>
      </c>
      <c r="Z38" s="2457">
        <f t="shared" si="63"/>
        <v>0</v>
      </c>
      <c r="AA38" s="2457">
        <f t="shared" si="63"/>
        <v>0</v>
      </c>
      <c r="AB38" s="2457">
        <f t="shared" si="63"/>
        <v>0</v>
      </c>
      <c r="AC38" s="2457">
        <f t="shared" si="63"/>
        <v>0</v>
      </c>
      <c r="AD38" s="2457">
        <f t="shared" si="63"/>
        <v>0</v>
      </c>
      <c r="AE38" s="2457">
        <f t="shared" si="63"/>
        <v>0</v>
      </c>
      <c r="AF38" s="2457">
        <f t="shared" si="63"/>
        <v>0</v>
      </c>
      <c r="AG38" s="2457">
        <f t="shared" si="63"/>
        <v>0</v>
      </c>
      <c r="AH38" s="2457">
        <f t="shared" si="63"/>
        <v>0</v>
      </c>
      <c r="AI38" s="2457">
        <f t="shared" si="63"/>
        <v>0</v>
      </c>
      <c r="AJ38" s="2457">
        <f t="shared" si="63"/>
        <v>0</v>
      </c>
      <c r="AK38" s="2457">
        <f t="shared" si="63"/>
        <v>0</v>
      </c>
      <c r="AL38" s="2457">
        <f t="shared" si="63"/>
        <v>0</v>
      </c>
      <c r="AM38" s="2457">
        <f t="shared" si="63"/>
        <v>0</v>
      </c>
      <c r="AN38" s="2457">
        <f t="shared" si="63"/>
        <v>0</v>
      </c>
      <c r="AO38" s="2457">
        <f t="shared" si="63"/>
        <v>0</v>
      </c>
      <c r="AP38" s="2457">
        <f t="shared" si="63"/>
        <v>0</v>
      </c>
      <c r="AQ38" s="2457">
        <f t="shared" si="63"/>
        <v>0</v>
      </c>
      <c r="AR38" s="2457">
        <f t="shared" si="63"/>
        <v>0</v>
      </c>
      <c r="AS38" s="2457">
        <f t="shared" si="63"/>
        <v>0</v>
      </c>
      <c r="AT38" s="2457">
        <f t="shared" si="63"/>
        <v>0</v>
      </c>
      <c r="AU38" s="2457">
        <f t="shared" si="63"/>
        <v>0</v>
      </c>
      <c r="AV38" s="2457">
        <f t="shared" si="63"/>
        <v>0</v>
      </c>
      <c r="AW38" s="2457">
        <f t="shared" si="63"/>
        <v>0</v>
      </c>
      <c r="AX38" s="2457">
        <f t="shared" si="63"/>
        <v>138589.95179174127</v>
      </c>
      <c r="AY38" s="2457">
        <f t="shared" si="63"/>
        <v>140327.85017177768</v>
      </c>
      <c r="AZ38" s="2457">
        <f t="shared" si="63"/>
        <v>140632.62320153727</v>
      </c>
      <c r="BA38" s="2457">
        <f t="shared" si="63"/>
        <v>140919.04168208138</v>
      </c>
      <c r="BB38" s="2457">
        <f t="shared" si="63"/>
        <v>141348.57751019343</v>
      </c>
      <c r="BC38" s="2457">
        <f t="shared" si="63"/>
        <v>141698.12757668554</v>
      </c>
      <c r="BD38" s="2457">
        <f t="shared" si="63"/>
        <v>140903.6493186079</v>
      </c>
      <c r="BE38" s="2457">
        <f t="shared" si="63"/>
        <v>140042.76853834922</v>
      </c>
      <c r="BF38" s="2457">
        <f t="shared" si="63"/>
        <v>139371.51183788144</v>
      </c>
      <c r="BG38" s="2457">
        <f t="shared" si="63"/>
        <v>138574.13550564114</v>
      </c>
      <c r="BH38" s="2457">
        <f t="shared" si="63"/>
        <v>137198.26922407805</v>
      </c>
      <c r="BI38" s="2457">
        <f t="shared" si="63"/>
        <v>135731.45453272937</v>
      </c>
      <c r="BJ38" s="2457">
        <f t="shared" si="63"/>
        <v>134474.59375529306</v>
      </c>
      <c r="BK38" s="2457">
        <f t="shared" si="63"/>
        <v>133069.75107552609</v>
      </c>
      <c r="BL38" s="2457">
        <f t="shared" si="63"/>
        <v>132063.57196821159</v>
      </c>
      <c r="BM38" s="2457">
        <f t="shared" si="63"/>
        <v>130983.73877872714</v>
      </c>
      <c r="BN38" s="2457">
        <f t="shared" si="63"/>
        <v>130092.62680889813</v>
      </c>
      <c r="BO38" s="2457">
        <f t="shared" si="63"/>
        <v>129072.37363150725</v>
      </c>
      <c r="BP38" s="2457">
        <f t="shared" si="63"/>
        <v>128372.41208472819</v>
      </c>
      <c r="BQ38" s="2457">
        <f t="shared" si="63"/>
        <v>127612.99509804499</v>
      </c>
      <c r="BR38" s="2457">
        <f t="shared" si="63"/>
        <v>127025.33507675672</v>
      </c>
      <c r="BS38" s="2457">
        <f t="shared" si="63"/>
        <v>126323.76933355199</v>
      </c>
      <c r="BT38" s="2457">
        <f t="shared" si="63"/>
        <v>126061.29963720351</v>
      </c>
      <c r="BU38" s="2457">
        <f t="shared" si="63"/>
        <v>125758.99314428572</v>
      </c>
      <c r="BV38" s="2457">
        <f t="shared" si="63"/>
        <v>125607.49148883716</v>
      </c>
      <c r="BW38" s="2457">
        <f t="shared" si="63"/>
        <v>125361.89769074578</v>
      </c>
      <c r="BX38" s="2457">
        <f t="shared" si="63"/>
        <v>124896.08952279836</v>
      </c>
      <c r="BY38" s="2457">
        <f t="shared" si="63"/>
        <v>124381.83028731331</v>
      </c>
      <c r="BZ38" s="2457">
        <f t="shared" si="63"/>
        <v>133251.50808108476</v>
      </c>
      <c r="CA38" s="2457">
        <f t="shared" si="63"/>
        <v>132759.41338106734</v>
      </c>
      <c r="CB38" s="2457">
        <f t="shared" si="63"/>
        <v>132318.48056150906</v>
      </c>
      <c r="CC38" s="2457">
        <f t="shared" si="63"/>
        <v>131828.51166169724</v>
      </c>
      <c r="CD38" s="2457">
        <f t="shared" si="63"/>
        <v>128929.21798149546</v>
      </c>
      <c r="CE38" s="2457">
        <f t="shared" si="63"/>
        <v>128507.24095138341</v>
      </c>
      <c r="CF38" s="2457">
        <f t="shared" ref="CF38:EQ38" si="64">CF$53</f>
        <v>128033.88186104895</v>
      </c>
      <c r="CG38" s="2457">
        <f t="shared" si="64"/>
        <v>127511.03569455992</v>
      </c>
      <c r="CH38" s="2457">
        <f t="shared" si="64"/>
        <v>118319.46457565539</v>
      </c>
      <c r="CI38" s="2457">
        <f t="shared" si="64"/>
        <v>117886.57385782884</v>
      </c>
      <c r="CJ38" s="2457">
        <f t="shared" si="64"/>
        <v>117418.93619039399</v>
      </c>
      <c r="CK38" s="2457">
        <f t="shared" si="64"/>
        <v>120758.21822507742</v>
      </c>
      <c r="CL38" s="2457">
        <f t="shared" ca="1" si="64"/>
        <v>115270.88619314223</v>
      </c>
      <c r="CM38" s="2457">
        <f t="shared" ca="1" si="64"/>
        <v>114814.30263507871</v>
      </c>
      <c r="CN38" s="2457">
        <f t="shared" ca="1" si="64"/>
        <v>114362.39000191793</v>
      </c>
      <c r="CO38" s="2457">
        <f t="shared" ca="1" si="64"/>
        <v>113865.00424360941</v>
      </c>
      <c r="CP38" s="2457">
        <f t="shared" ca="1" si="64"/>
        <v>115085.12832009835</v>
      </c>
      <c r="CQ38" s="2457">
        <f t="shared" ca="1" si="64"/>
        <v>114633.06717793335</v>
      </c>
      <c r="CR38" s="2457">
        <f t="shared" ca="1" si="64"/>
        <v>114281.38447811644</v>
      </c>
      <c r="CS38" s="2457">
        <f t="shared" ca="1" si="64"/>
        <v>113888.6223488445</v>
      </c>
      <c r="CT38" s="2457">
        <f t="shared" ca="1" si="64"/>
        <v>116330.69440364877</v>
      </c>
      <c r="CU38" s="2457">
        <f t="shared" ca="1" si="64"/>
        <v>115981.28161433071</v>
      </c>
      <c r="CV38" s="2457">
        <f t="shared" ca="1" si="64"/>
        <v>115399.02838977661</v>
      </c>
      <c r="CW38" s="2457">
        <f t="shared" ca="1" si="64"/>
        <v>114765.37875521831</v>
      </c>
      <c r="CX38" s="2457">
        <f t="shared" ca="1" si="64"/>
        <v>104618.71091854967</v>
      </c>
      <c r="CY38" s="2457">
        <f t="shared" ca="1" si="64"/>
        <v>104086.24813553962</v>
      </c>
      <c r="CZ38" s="2457">
        <f t="shared" ca="1" si="64"/>
        <v>103557.59169818764</v>
      </c>
      <c r="DA38" s="2457">
        <f t="shared" ca="1" si="64"/>
        <v>102982.54431794748</v>
      </c>
      <c r="DB38" s="2457">
        <f t="shared" ca="1" si="64"/>
        <v>88126.85384168569</v>
      </c>
      <c r="DC38" s="2457">
        <f t="shared" ca="1" si="64"/>
        <v>87672.757487581111</v>
      </c>
      <c r="DD38" s="2457">
        <f t="shared" ca="1" si="64"/>
        <v>87338.822837010564</v>
      </c>
      <c r="DE38" s="2457">
        <f t="shared" ca="1" si="64"/>
        <v>86970.648836566805</v>
      </c>
      <c r="DF38" s="2457">
        <f t="shared" ca="1" si="64"/>
        <v>79883.917745692263</v>
      </c>
      <c r="DG38" s="2457">
        <f t="shared" ca="1" si="64"/>
        <v>79580.970210527477</v>
      </c>
      <c r="DH38" s="2457">
        <f t="shared" ca="1" si="64"/>
        <v>81006.94197256559</v>
      </c>
      <c r="DI38" s="2457">
        <f t="shared" ca="1" si="64"/>
        <v>82476.927161115644</v>
      </c>
      <c r="DJ38" s="2457">
        <f t="shared" ca="1" si="64"/>
        <v>82860.715226921864</v>
      </c>
      <c r="DK38" s="2457">
        <f t="shared" ca="1" si="64"/>
        <v>84346.763750329803</v>
      </c>
      <c r="DL38" s="2457">
        <f t="shared" ca="1" si="64"/>
        <v>84490.118958649662</v>
      </c>
      <c r="DM38" s="2457">
        <f t="shared" ca="1" si="64"/>
        <v>84620.711833963243</v>
      </c>
      <c r="DN38" s="2457">
        <f t="shared" ca="1" si="64"/>
        <v>86111.290281068024</v>
      </c>
      <c r="DO38" s="2457">
        <f t="shared" ca="1" si="64"/>
        <v>86282.348267450783</v>
      </c>
      <c r="DP38" s="2457">
        <f t="shared" ca="1" si="64"/>
        <v>86167.693205226155</v>
      </c>
      <c r="DQ38" s="2457">
        <f t="shared" ca="1" si="64"/>
        <v>86028.634917325879</v>
      </c>
      <c r="DR38" s="2457">
        <f t="shared" ca="1" si="64"/>
        <v>88123.982674915474</v>
      </c>
      <c r="DS38" s="2457">
        <f t="shared" ca="1" si="64"/>
        <v>88021.185502843029</v>
      </c>
      <c r="DT38" s="2457">
        <f t="shared" ca="1" si="64"/>
        <v>87783.402211960187</v>
      </c>
      <c r="DU38" s="2457">
        <f t="shared" ca="1" si="64"/>
        <v>87515.476900405018</v>
      </c>
      <c r="DV38" s="2457">
        <f t="shared" ca="1" si="64"/>
        <v>88380.493348685268</v>
      </c>
      <c r="DW38" s="2457">
        <f t="shared" ca="1" si="64"/>
        <v>88149.39092429039</v>
      </c>
      <c r="DX38" s="2457">
        <f t="shared" ca="1" si="64"/>
        <v>88475.860285290692</v>
      </c>
      <c r="DY38" s="2457">
        <f t="shared" ca="1" si="64"/>
        <v>88796.663750111969</v>
      </c>
      <c r="DZ38" s="2457">
        <f t="shared" ca="1" si="64"/>
        <v>89361.376753496748</v>
      </c>
      <c r="EA38" s="2457">
        <f t="shared" ca="1" si="64"/>
        <v>89722.511990339874</v>
      </c>
      <c r="EB38" s="2457">
        <f t="shared" ca="1" si="64"/>
        <v>89468.076223303535</v>
      </c>
      <c r="EC38" s="2457">
        <f t="shared" ca="1" si="64"/>
        <v>89182.392231340942</v>
      </c>
      <c r="ED38" s="2457">
        <f t="shared" ca="1" si="64"/>
        <v>89842.476397857667</v>
      </c>
      <c r="EE38" s="2457">
        <f t="shared" ca="1" si="64"/>
        <v>89594.753278538454</v>
      </c>
      <c r="EF38" s="2457">
        <f t="shared" ca="1" si="64"/>
        <v>89151.771923881344</v>
      </c>
      <c r="EG38" s="2457">
        <f t="shared" ca="1" si="64"/>
        <v>88669.382739718218</v>
      </c>
      <c r="EH38" s="2457">
        <f t="shared" ca="1" si="64"/>
        <v>88678.221768227944</v>
      </c>
      <c r="EI38" s="2457">
        <f t="shared" ca="1" si="64"/>
        <v>88234.127368004338</v>
      </c>
      <c r="EJ38" s="2457">
        <f t="shared" ca="1" si="64"/>
        <v>87696.038542320064</v>
      </c>
      <c r="EK38" s="2457">
        <f t="shared" ca="1" si="64"/>
        <v>87114.717758796847</v>
      </c>
      <c r="EL38" s="2457">
        <f t="shared" ca="1" si="64"/>
        <v>86582.670271045587</v>
      </c>
      <c r="EM38" s="2457">
        <f t="shared" ca="1" si="64"/>
        <v>86041.324824718118</v>
      </c>
      <c r="EN38" s="2457">
        <f t="shared" ca="1" si="64"/>
        <v>85481.731521252383</v>
      </c>
      <c r="EO38" s="2457">
        <f t="shared" ca="1" si="64"/>
        <v>84878.465982909867</v>
      </c>
      <c r="EP38" s="2457">
        <f t="shared" ca="1" si="64"/>
        <v>85165.615963087679</v>
      </c>
      <c r="EQ38" s="2457">
        <f t="shared" ca="1" si="64"/>
        <v>84595.727637530348</v>
      </c>
      <c r="ER38" s="2457">
        <f t="shared" ref="ER38:HC38" ca="1" si="65">ER$53</f>
        <v>84010.578773293222</v>
      </c>
      <c r="ES38" s="2457">
        <f t="shared" ca="1" si="65"/>
        <v>83380.973251573494</v>
      </c>
      <c r="ET38" s="2457">
        <f t="shared" ca="1" si="65"/>
        <v>83200.057035041391</v>
      </c>
      <c r="EU38" s="2457">
        <f t="shared" ca="1" si="65"/>
        <v>82605.976970347576</v>
      </c>
      <c r="EV38" s="2457">
        <f t="shared" ca="1" si="65"/>
        <v>82180.750890153533</v>
      </c>
      <c r="EW38" s="2457">
        <f t="shared" ca="1" si="65"/>
        <v>81718.46138754343</v>
      </c>
      <c r="EX38" s="2457">
        <f t="shared" ca="1" si="65"/>
        <v>81279.507026235966</v>
      </c>
      <c r="EY38" s="2457">
        <f t="shared" ca="1" si="65"/>
        <v>80854.694889707243</v>
      </c>
      <c r="EZ38" s="2457">
        <f t="shared" ca="1" si="65"/>
        <v>80199.756912828045</v>
      </c>
      <c r="FA38" s="2457">
        <f t="shared" ca="1" si="65"/>
        <v>79498.173580259521</v>
      </c>
      <c r="FB38" s="2457">
        <f t="shared" ca="1" si="65"/>
        <v>79616.889887920508</v>
      </c>
      <c r="FC38" s="2457">
        <f t="shared" ca="1" si="65"/>
        <v>78945.5636079252</v>
      </c>
      <c r="FD38" s="2457">
        <f t="shared" ca="1" si="65"/>
        <v>78446.396700436555</v>
      </c>
      <c r="FE38" s="2457">
        <f t="shared" ca="1" si="65"/>
        <v>77907.779218070733</v>
      </c>
      <c r="FF38" s="2457">
        <f t="shared" ca="1" si="65"/>
        <v>77768.964010761469</v>
      </c>
      <c r="FG38" s="2457">
        <f t="shared" ca="1" si="65"/>
        <v>77263.819198853875</v>
      </c>
      <c r="FH38" s="2457">
        <f t="shared" ca="1" si="65"/>
        <v>76537.442788512519</v>
      </c>
      <c r="FI38" s="2457">
        <f t="shared" ca="1" si="65"/>
        <v>75762.126892435976</v>
      </c>
      <c r="FJ38" s="2457">
        <f t="shared" ca="1" si="65"/>
        <v>75006.160976961546</v>
      </c>
      <c r="FK38" s="2457">
        <f t="shared" ca="1" si="65"/>
        <v>74266.354707238381</v>
      </c>
      <c r="FL38" s="2457">
        <f t="shared" ca="1" si="65"/>
        <v>73530.978361200061</v>
      </c>
      <c r="FM38" s="2457">
        <f t="shared" ca="1" si="65"/>
        <v>72746.946458707855</v>
      </c>
      <c r="FN38" s="2457">
        <f t="shared" ca="1" si="65"/>
        <v>72702.489209761698</v>
      </c>
      <c r="FO38" s="2457">
        <f t="shared" ca="1" si="65"/>
        <v>71945.137598803267</v>
      </c>
      <c r="FP38" s="2457">
        <f t="shared" ca="1" si="65"/>
        <v>71133.269952830204</v>
      </c>
      <c r="FQ38" s="2457">
        <f t="shared" ca="1" si="65"/>
        <v>70269.94735370118</v>
      </c>
      <c r="FR38" s="2457">
        <f t="shared" ca="1" si="65"/>
        <v>69766.511204685405</v>
      </c>
      <c r="FS38" s="2457">
        <f t="shared" ca="1" si="65"/>
        <v>68932.389979326399</v>
      </c>
      <c r="FT38" s="2457">
        <f t="shared" ca="1" si="65"/>
        <v>68017.731181318159</v>
      </c>
      <c r="FU38" s="2457">
        <f t="shared" ca="1" si="65"/>
        <v>67047.831531652773</v>
      </c>
      <c r="FV38" s="2457">
        <f t="shared" ca="1" si="65"/>
        <v>66092.924800692766</v>
      </c>
      <c r="FW38" s="2457">
        <f t="shared" ca="1" si="65"/>
        <v>65155.20440651122</v>
      </c>
      <c r="FX38" s="2457">
        <f t="shared" ca="1" si="65"/>
        <v>64130.006551844293</v>
      </c>
      <c r="FY38" s="2457">
        <f t="shared" ca="1" si="65"/>
        <v>63045.617552546013</v>
      </c>
      <c r="FZ38" s="2457">
        <f t="shared" ca="1" si="65"/>
        <v>62602.672112368207</v>
      </c>
      <c r="GA38" s="2457">
        <f t="shared" ca="1" si="65"/>
        <v>61538.374082971939</v>
      </c>
      <c r="GB38" s="2457">
        <f t="shared" ca="1" si="65"/>
        <v>60402.318276207676</v>
      </c>
      <c r="GC38" s="2457">
        <f t="shared" ca="1" si="65"/>
        <v>59203.07108336431</v>
      </c>
      <c r="GD38" s="2457">
        <f t="shared" ca="1" si="65"/>
        <v>58313.040069698749</v>
      </c>
      <c r="GE38" s="2457">
        <f t="shared" ca="1" si="65"/>
        <v>57137.276012455375</v>
      </c>
      <c r="GF38" s="2457">
        <f t="shared" ca="1" si="65"/>
        <v>56102.550965892995</v>
      </c>
      <c r="GG38" s="2457">
        <f t="shared" ca="1" si="65"/>
        <v>55010.026011213995</v>
      </c>
      <c r="GH38" s="2457">
        <f t="shared" ca="1" si="65"/>
        <v>53931.46403622318</v>
      </c>
      <c r="GI38" s="2457">
        <f t="shared" ca="1" si="65"/>
        <v>52866.200221396903</v>
      </c>
      <c r="GJ38" s="2457">
        <f t="shared" ca="1" si="65"/>
        <v>53828.420680339281</v>
      </c>
      <c r="GK38" s="2457">
        <f t="shared" ca="1" si="65"/>
        <v>54820.528284979679</v>
      </c>
      <c r="GL38" s="2457">
        <f t="shared" ca="1" si="65"/>
        <v>56295.057303112495</v>
      </c>
      <c r="GM38" s="2457">
        <f t="shared" ca="1" si="65"/>
        <v>57319.565429335766</v>
      </c>
      <c r="GN38" s="2457">
        <f t="shared" ca="1" si="65"/>
        <v>56691.468039119922</v>
      </c>
      <c r="GO38" s="2457">
        <f t="shared" ca="1" si="65"/>
        <v>56023.189177871718</v>
      </c>
      <c r="GP38" s="2457">
        <f t="shared" ca="1" si="65"/>
        <v>55618.890548458985</v>
      </c>
      <c r="GQ38" s="2457">
        <f t="shared" ca="1" si="65"/>
        <v>54974.20743814516</v>
      </c>
      <c r="GR38" s="2457">
        <f t="shared" ca="1" si="65"/>
        <v>54037.952334903333</v>
      </c>
      <c r="GS38" s="2457">
        <f t="shared" ca="1" si="65"/>
        <v>53048.660734194636</v>
      </c>
      <c r="GT38" s="2457">
        <f t="shared" ca="1" si="65"/>
        <v>52059.91540829443</v>
      </c>
      <c r="GU38" s="2457">
        <f t="shared" ca="1" si="65"/>
        <v>51096.948762245738</v>
      </c>
      <c r="GV38" s="2457">
        <f t="shared" ca="1" si="65"/>
        <v>49917.427873416651</v>
      </c>
      <c r="GW38" s="2457">
        <f t="shared" ca="1" si="65"/>
        <v>48675.178519906542</v>
      </c>
      <c r="GX38" s="2457">
        <f t="shared" ca="1" si="65"/>
        <v>47923.280577670019</v>
      </c>
      <c r="GY38" s="2457">
        <f t="shared" ca="1" si="65"/>
        <v>46693.846061285098</v>
      </c>
      <c r="GZ38" s="2457">
        <f t="shared" ca="1" si="65"/>
        <v>45883.274873057853</v>
      </c>
      <c r="HA38" s="2457">
        <f t="shared" ca="1" si="65"/>
        <v>45026.989599697023</v>
      </c>
      <c r="HB38" s="2457">
        <f t="shared" ca="1" si="65"/>
        <v>44386.878192885117</v>
      </c>
      <c r="HC38" s="2457">
        <f t="shared" ca="1" si="65"/>
        <v>43548.920888832043</v>
      </c>
      <c r="HD38" s="2457">
        <f t="shared" ref="HD38:IA38" ca="1" si="66">HD$53</f>
        <v>42125.342905863712</v>
      </c>
      <c r="HE38" s="2457">
        <f t="shared" ca="1" si="66"/>
        <v>40630.136487764532</v>
      </c>
      <c r="HF38" s="2457">
        <f t="shared" ca="1" si="66"/>
        <v>39159.916010201756</v>
      </c>
      <c r="HG38" s="2457">
        <f t="shared" ca="1" si="66"/>
        <v>37687.033763129344</v>
      </c>
      <c r="HH38" s="2457">
        <f t="shared" ca="1" si="66"/>
        <v>35943.90557094643</v>
      </c>
      <c r="HI38" s="2457">
        <f t="shared" ca="1" si="66"/>
        <v>34116.590791419629</v>
      </c>
      <c r="HJ38" s="2457">
        <f t="shared" ca="1" si="66"/>
        <v>32659.287366882687</v>
      </c>
      <c r="HK38" s="2457">
        <f t="shared" ca="1" si="66"/>
        <v>30834.168353520221</v>
      </c>
      <c r="HL38" s="2457">
        <f t="shared" ca="1" si="66"/>
        <v>28911.378192381508</v>
      </c>
      <c r="HM38" s="2457">
        <f t="shared" ca="1" si="66"/>
        <v>26898.141601130625</v>
      </c>
      <c r="HN38" s="2457">
        <f t="shared" ca="1" si="66"/>
        <v>25067.468873079997</v>
      </c>
      <c r="HO38" s="2457">
        <f t="shared" ca="1" si="66"/>
        <v>23062.089648608933</v>
      </c>
      <c r="HP38" s="2457">
        <f t="shared" ca="1" si="66"/>
        <v>21140.430938347599</v>
      </c>
      <c r="HQ38" s="2457">
        <f t="shared" ca="1" si="66"/>
        <v>19130.124584158173</v>
      </c>
      <c r="HR38" s="2457">
        <f t="shared" ca="1" si="66"/>
        <v>17185.182022524386</v>
      </c>
      <c r="HS38" s="2457">
        <f t="shared" ca="1" si="66"/>
        <v>15189.327341267073</v>
      </c>
      <c r="HT38" s="2457">
        <f t="shared" ca="1" si="66"/>
        <v>12934.794544655584</v>
      </c>
      <c r="HU38" s="2457">
        <f t="shared" ca="1" si="66"/>
        <v>10578.929995566998</v>
      </c>
      <c r="HV38" s="2457">
        <f t="shared" ca="1" si="66"/>
        <v>8396.8019138427735</v>
      </c>
      <c r="HW38" s="2457">
        <f t="shared" ca="1" si="66"/>
        <v>6029.0414526608665</v>
      </c>
      <c r="HX38" s="2457">
        <f t="shared" ca="1" si="66"/>
        <v>4553.496334213165</v>
      </c>
      <c r="HY38" s="2457">
        <f t="shared" ca="1" si="66"/>
        <v>3012.512359865907</v>
      </c>
      <c r="HZ38" s="2457">
        <f t="shared" ca="1" si="66"/>
        <v>1542.6285992255121</v>
      </c>
      <c r="IA38" s="2457">
        <f t="shared" ca="1" si="66"/>
        <v>1575.3821178836358</v>
      </c>
    </row>
    <row r="39" spans="2:311">
      <c r="U39" s="2458"/>
    </row>
    <row r="40" spans="2:311" s="2367" customFormat="1" ht="17.25" customHeight="1">
      <c r="B40" s="2368" t="s">
        <v>3926</v>
      </c>
      <c r="H40" s="2369"/>
      <c r="I40" s="2369"/>
      <c r="J40" s="2369"/>
      <c r="K40" s="2369"/>
      <c r="L40" s="2370"/>
      <c r="M40" s="2369"/>
      <c r="N40" s="2369"/>
      <c r="O40" s="2371"/>
      <c r="P40" s="2369"/>
      <c r="Q40" s="2369"/>
      <c r="R40" s="2369"/>
      <c r="S40" s="2369"/>
      <c r="T40" s="2369"/>
      <c r="U40" s="2369"/>
      <c r="V40" s="2369"/>
      <c r="W40" s="2369"/>
      <c r="X40" s="2369"/>
      <c r="Y40" s="2369"/>
      <c r="Z40" s="2369"/>
      <c r="AA40" s="2369"/>
      <c r="AB40" s="2369"/>
      <c r="AC40" s="2369"/>
      <c r="AD40" s="2369"/>
      <c r="AE40" s="2369"/>
      <c r="AF40" s="2369"/>
      <c r="AG40" s="2369"/>
      <c r="AH40" s="2369"/>
      <c r="AI40" s="2369"/>
      <c r="AJ40" s="2369"/>
      <c r="AK40" s="2369"/>
      <c r="AL40" s="2369"/>
      <c r="AM40" s="2369"/>
      <c r="AN40" s="2369"/>
      <c r="AO40" s="2369"/>
      <c r="AP40" s="2369"/>
      <c r="AQ40" s="2369"/>
      <c r="AR40" s="2369"/>
      <c r="AS40" s="2369"/>
      <c r="AT40" s="2369"/>
      <c r="AU40" s="2369"/>
      <c r="AV40" s="2369"/>
      <c r="AW40" s="2369"/>
      <c r="AX40" s="2369"/>
      <c r="AY40" s="2369"/>
      <c r="AZ40" s="2369"/>
      <c r="BA40" s="2369"/>
      <c r="BB40" s="2369"/>
      <c r="BC40" s="2369"/>
      <c r="BD40" s="2369"/>
      <c r="BE40" s="2369"/>
      <c r="BF40" s="2369"/>
      <c r="BG40" s="2369"/>
      <c r="BH40" s="2369"/>
      <c r="BI40" s="2369"/>
      <c r="BJ40" s="2369"/>
      <c r="BK40" s="2369"/>
      <c r="BL40" s="2369"/>
      <c r="BM40" s="2369"/>
      <c r="BN40" s="2369"/>
      <c r="BO40" s="2369"/>
      <c r="BP40" s="2369"/>
      <c r="BQ40" s="2369"/>
      <c r="BR40" s="2369"/>
      <c r="BS40" s="2369"/>
      <c r="BT40" s="2369"/>
      <c r="BU40" s="2369"/>
      <c r="BV40" s="2369"/>
      <c r="BW40" s="2369"/>
      <c r="BX40" s="2369"/>
      <c r="BY40" s="2369"/>
      <c r="BZ40" s="2369"/>
      <c r="CA40" s="2369"/>
      <c r="CB40" s="2369"/>
      <c r="CC40" s="2369"/>
      <c r="CD40" s="2369"/>
      <c r="CE40" s="2369"/>
      <c r="CF40" s="2369"/>
      <c r="CG40" s="2369"/>
      <c r="CH40" s="2369"/>
      <c r="CI40" s="2369"/>
      <c r="CJ40" s="2369"/>
      <c r="CK40" s="2369"/>
      <c r="CL40" s="2369"/>
      <c r="CM40" s="2369"/>
      <c r="CN40" s="2369"/>
      <c r="CO40" s="2369"/>
      <c r="CP40" s="2369"/>
      <c r="CQ40" s="2369"/>
      <c r="CR40" s="2369"/>
      <c r="CS40" s="2369"/>
      <c r="CT40" s="2369"/>
      <c r="CU40" s="2369"/>
      <c r="CV40" s="2369"/>
      <c r="CW40" s="2369"/>
      <c r="CX40" s="2369"/>
      <c r="CY40" s="2369"/>
      <c r="CZ40" s="2369"/>
      <c r="DA40" s="2369"/>
      <c r="DB40" s="2369"/>
      <c r="DC40" s="2369"/>
      <c r="DD40" s="2369"/>
      <c r="DE40" s="2369"/>
      <c r="DF40" s="2369"/>
      <c r="DG40" s="2369"/>
      <c r="DH40" s="2369"/>
      <c r="DI40" s="2369"/>
      <c r="DJ40" s="2369"/>
      <c r="DK40" s="2369"/>
      <c r="DL40" s="2369"/>
      <c r="DM40" s="2369"/>
      <c r="DN40" s="2369"/>
      <c r="DO40" s="2369"/>
      <c r="DP40" s="2369"/>
      <c r="DQ40" s="2369"/>
      <c r="DR40" s="2369"/>
      <c r="DS40" s="2369"/>
      <c r="DT40" s="2369"/>
      <c r="DU40" s="2369"/>
      <c r="DV40" s="2369"/>
      <c r="DW40" s="2369"/>
      <c r="DX40" s="2369"/>
      <c r="DY40" s="2369"/>
      <c r="DZ40" s="2369"/>
      <c r="EA40" s="2369"/>
      <c r="EB40" s="2369"/>
      <c r="EC40" s="2369"/>
      <c r="ED40" s="2369"/>
      <c r="EE40" s="2369"/>
      <c r="EF40" s="2369"/>
      <c r="EG40" s="2369"/>
      <c r="EH40" s="2369"/>
      <c r="EI40" s="2369"/>
      <c r="EJ40" s="2369"/>
      <c r="EK40" s="2369"/>
      <c r="EL40" s="2369"/>
      <c r="EM40" s="2369"/>
      <c r="EN40" s="2369"/>
      <c r="EO40" s="2369"/>
      <c r="EP40" s="2369"/>
      <c r="EQ40" s="2369"/>
      <c r="ER40" s="2369"/>
      <c r="ES40" s="2369"/>
      <c r="ET40" s="2369"/>
      <c r="EU40" s="2369"/>
      <c r="EV40" s="2369"/>
      <c r="EW40" s="2369"/>
      <c r="EX40" s="2369"/>
      <c r="EY40" s="2369"/>
      <c r="EZ40" s="2369"/>
      <c r="FA40" s="2369"/>
      <c r="FB40" s="2369"/>
      <c r="FC40" s="2369"/>
      <c r="FD40" s="2369"/>
      <c r="FE40" s="2369"/>
      <c r="FF40" s="2369"/>
      <c r="FG40" s="2369"/>
      <c r="FH40" s="2369"/>
      <c r="FI40" s="2369"/>
      <c r="FJ40" s="2369"/>
      <c r="FK40" s="2369"/>
      <c r="FL40" s="2369"/>
      <c r="FM40" s="2369"/>
      <c r="FN40" s="2369"/>
      <c r="FO40" s="2369"/>
      <c r="FP40" s="2369"/>
      <c r="FQ40" s="2369"/>
      <c r="FR40" s="2369"/>
      <c r="FS40" s="2369"/>
      <c r="FT40" s="2369"/>
      <c r="FU40" s="2369"/>
      <c r="FV40" s="2369"/>
      <c r="FW40" s="2369"/>
      <c r="FX40" s="2369"/>
      <c r="FY40" s="2369"/>
      <c r="FZ40" s="2369"/>
      <c r="GA40" s="2369"/>
      <c r="GB40" s="2369"/>
      <c r="GC40" s="2369"/>
      <c r="GD40" s="2369"/>
      <c r="GE40" s="2369"/>
      <c r="GF40" s="2369"/>
      <c r="GG40" s="2369"/>
      <c r="GH40" s="2369"/>
      <c r="GI40" s="2369"/>
      <c r="GJ40" s="2369"/>
      <c r="GK40" s="2369"/>
      <c r="GL40" s="2369"/>
      <c r="GM40" s="2369"/>
      <c r="GN40" s="2369"/>
      <c r="GO40" s="2369"/>
      <c r="GP40" s="2369"/>
      <c r="GQ40" s="2369"/>
      <c r="GR40" s="2369"/>
      <c r="GS40" s="2369"/>
      <c r="GT40" s="2369"/>
      <c r="GU40" s="2369"/>
      <c r="GV40" s="2369"/>
      <c r="GW40" s="2369"/>
      <c r="GX40" s="2369"/>
      <c r="GY40" s="2369"/>
      <c r="GZ40" s="2369"/>
      <c r="HA40" s="2369"/>
      <c r="HB40" s="2369"/>
      <c r="HC40" s="2369"/>
      <c r="HD40" s="2369"/>
      <c r="HE40" s="2369"/>
      <c r="HF40" s="2369"/>
      <c r="HG40" s="2369"/>
      <c r="HH40" s="2369"/>
      <c r="HI40" s="2369"/>
      <c r="HJ40" s="2369"/>
      <c r="HK40" s="2369"/>
      <c r="HL40" s="2369"/>
      <c r="HM40" s="2369"/>
      <c r="HN40" s="2369"/>
      <c r="HO40" s="2369"/>
      <c r="HP40" s="2369"/>
      <c r="HQ40" s="2369"/>
      <c r="HR40" s="2369"/>
      <c r="HS40" s="2369"/>
      <c r="HT40" s="2369"/>
      <c r="HU40" s="2369"/>
      <c r="HV40" s="2369"/>
      <c r="HW40" s="2369"/>
      <c r="HX40" s="2369"/>
      <c r="HY40" s="2369"/>
      <c r="HZ40" s="2369"/>
      <c r="IA40" s="2369"/>
      <c r="IE40" s="2368"/>
      <c r="IQ40" s="2368"/>
      <c r="JC40" s="2368"/>
      <c r="JO40" s="2368"/>
      <c r="KA40" s="2368"/>
      <c r="KM40" s="2368"/>
      <c r="KY40" s="2368"/>
    </row>
    <row r="41" spans="2:311" ht="15.75" customHeight="1">
      <c r="C41" s="2351" t="s">
        <v>11</v>
      </c>
      <c r="D41" s="2352"/>
      <c r="E41" s="2352"/>
      <c r="F41" s="2352"/>
      <c r="G41" s="2352"/>
      <c r="H41" s="766" t="s">
        <v>40</v>
      </c>
      <c r="J41" s="2353">
        <f t="shared" ref="J41:BU41" si="67">J$10</f>
        <v>2003</v>
      </c>
      <c r="K41" s="2353">
        <f t="shared" si="67"/>
        <v>2003</v>
      </c>
      <c r="L41" s="2353">
        <f t="shared" si="67"/>
        <v>2003</v>
      </c>
      <c r="M41" s="2353">
        <f t="shared" si="67"/>
        <v>2003</v>
      </c>
      <c r="N41" s="2353">
        <f t="shared" si="67"/>
        <v>2004</v>
      </c>
      <c r="O41" s="2353">
        <f t="shared" si="67"/>
        <v>2004</v>
      </c>
      <c r="P41" s="2353">
        <f t="shared" si="67"/>
        <v>2004</v>
      </c>
      <c r="Q41" s="2353">
        <f t="shared" si="67"/>
        <v>2004</v>
      </c>
      <c r="R41" s="2353">
        <f t="shared" si="67"/>
        <v>2005</v>
      </c>
      <c r="S41" s="2353">
        <f t="shared" si="67"/>
        <v>2005</v>
      </c>
      <c r="T41" s="2353">
        <f t="shared" si="67"/>
        <v>2005</v>
      </c>
      <c r="U41" s="2353">
        <f t="shared" si="67"/>
        <v>2005</v>
      </c>
      <c r="V41" s="2353">
        <f t="shared" si="67"/>
        <v>2006</v>
      </c>
      <c r="W41" s="2353">
        <f t="shared" si="67"/>
        <v>2006</v>
      </c>
      <c r="X41" s="2353">
        <f t="shared" si="67"/>
        <v>2006</v>
      </c>
      <c r="Y41" s="2353">
        <f t="shared" si="67"/>
        <v>2006</v>
      </c>
      <c r="Z41" s="2353">
        <f t="shared" si="67"/>
        <v>2007</v>
      </c>
      <c r="AA41" s="2353">
        <f t="shared" si="67"/>
        <v>2007</v>
      </c>
      <c r="AB41" s="2353">
        <f t="shared" si="67"/>
        <v>2007</v>
      </c>
      <c r="AC41" s="2353">
        <f t="shared" si="67"/>
        <v>2007</v>
      </c>
      <c r="AD41" s="2353">
        <f t="shared" si="67"/>
        <v>2008</v>
      </c>
      <c r="AE41" s="2353">
        <f t="shared" si="67"/>
        <v>2008</v>
      </c>
      <c r="AF41" s="2353">
        <f t="shared" si="67"/>
        <v>2008</v>
      </c>
      <c r="AG41" s="2353">
        <f t="shared" si="67"/>
        <v>2008</v>
      </c>
      <c r="AH41" s="2353">
        <f t="shared" si="67"/>
        <v>2009</v>
      </c>
      <c r="AI41" s="2353">
        <f t="shared" si="67"/>
        <v>2009</v>
      </c>
      <c r="AJ41" s="2353">
        <f t="shared" si="67"/>
        <v>2009</v>
      </c>
      <c r="AK41" s="2353">
        <f t="shared" si="67"/>
        <v>2009</v>
      </c>
      <c r="AL41" s="2353">
        <f t="shared" si="67"/>
        <v>2010</v>
      </c>
      <c r="AM41" s="2353">
        <f t="shared" si="67"/>
        <v>2010</v>
      </c>
      <c r="AN41" s="2353">
        <f t="shared" si="67"/>
        <v>2010</v>
      </c>
      <c r="AO41" s="2353">
        <f t="shared" si="67"/>
        <v>2010</v>
      </c>
      <c r="AP41" s="2353">
        <f t="shared" si="67"/>
        <v>2011</v>
      </c>
      <c r="AQ41" s="2353">
        <f t="shared" si="67"/>
        <v>2011</v>
      </c>
      <c r="AR41" s="2353">
        <f t="shared" si="67"/>
        <v>2011</v>
      </c>
      <c r="AS41" s="2353">
        <f t="shared" si="67"/>
        <v>2011</v>
      </c>
      <c r="AT41" s="2353">
        <f t="shared" si="67"/>
        <v>2012</v>
      </c>
      <c r="AU41" s="2353">
        <f t="shared" si="67"/>
        <v>2012</v>
      </c>
      <c r="AV41" s="2353">
        <f t="shared" si="67"/>
        <v>2012</v>
      </c>
      <c r="AW41" s="2353">
        <f t="shared" si="67"/>
        <v>2012</v>
      </c>
      <c r="AX41" s="2353">
        <f t="shared" si="67"/>
        <v>2013</v>
      </c>
      <c r="AY41" s="2353">
        <f t="shared" si="67"/>
        <v>2013</v>
      </c>
      <c r="AZ41" s="2353">
        <f t="shared" si="67"/>
        <v>2013</v>
      </c>
      <c r="BA41" s="2353">
        <f t="shared" si="67"/>
        <v>2013</v>
      </c>
      <c r="BB41" s="2353">
        <f t="shared" si="67"/>
        <v>2014</v>
      </c>
      <c r="BC41" s="2353">
        <f t="shared" si="67"/>
        <v>2014</v>
      </c>
      <c r="BD41" s="2353">
        <f t="shared" si="67"/>
        <v>2014</v>
      </c>
      <c r="BE41" s="2353">
        <f t="shared" si="67"/>
        <v>2014</v>
      </c>
      <c r="BF41" s="2353">
        <f t="shared" si="67"/>
        <v>2015</v>
      </c>
      <c r="BG41" s="2353">
        <f t="shared" si="67"/>
        <v>2015</v>
      </c>
      <c r="BH41" s="2353">
        <f t="shared" si="67"/>
        <v>2015</v>
      </c>
      <c r="BI41" s="2353">
        <f t="shared" si="67"/>
        <v>2015</v>
      </c>
      <c r="BJ41" s="2353">
        <f t="shared" si="67"/>
        <v>2016</v>
      </c>
      <c r="BK41" s="2353">
        <f t="shared" si="67"/>
        <v>2016</v>
      </c>
      <c r="BL41" s="2353">
        <f t="shared" si="67"/>
        <v>2016</v>
      </c>
      <c r="BM41" s="2353">
        <f t="shared" si="67"/>
        <v>2016</v>
      </c>
      <c r="BN41" s="2353">
        <f t="shared" si="67"/>
        <v>2017</v>
      </c>
      <c r="BO41" s="2353">
        <f t="shared" si="67"/>
        <v>2017</v>
      </c>
      <c r="BP41" s="2353">
        <f t="shared" si="67"/>
        <v>2017</v>
      </c>
      <c r="BQ41" s="2353">
        <f t="shared" si="67"/>
        <v>2017</v>
      </c>
      <c r="BR41" s="2353">
        <f t="shared" si="67"/>
        <v>2018</v>
      </c>
      <c r="BS41" s="2353">
        <f t="shared" si="67"/>
        <v>2018</v>
      </c>
      <c r="BT41" s="2353">
        <f t="shared" si="67"/>
        <v>2018</v>
      </c>
      <c r="BU41" s="2353">
        <f t="shared" si="67"/>
        <v>2018</v>
      </c>
      <c r="BV41" s="2353">
        <f t="shared" ref="BV41:EG41" si="68">BV$10</f>
        <v>2019</v>
      </c>
      <c r="BW41" s="2353">
        <f t="shared" si="68"/>
        <v>2019</v>
      </c>
      <c r="BX41" s="2353">
        <f t="shared" si="68"/>
        <v>2019</v>
      </c>
      <c r="BY41" s="2353">
        <f t="shared" si="68"/>
        <v>2019</v>
      </c>
      <c r="BZ41" s="2353">
        <f t="shared" si="68"/>
        <v>2020</v>
      </c>
      <c r="CA41" s="2353">
        <f t="shared" si="68"/>
        <v>2020</v>
      </c>
      <c r="CB41" s="2353">
        <f t="shared" si="68"/>
        <v>2020</v>
      </c>
      <c r="CC41" s="2353">
        <f t="shared" si="68"/>
        <v>2020</v>
      </c>
      <c r="CD41" s="2353">
        <f t="shared" si="68"/>
        <v>2021</v>
      </c>
      <c r="CE41" s="2353">
        <f t="shared" si="68"/>
        <v>2021</v>
      </c>
      <c r="CF41" s="2353">
        <f t="shared" si="68"/>
        <v>2021</v>
      </c>
      <c r="CG41" s="2353">
        <f t="shared" si="68"/>
        <v>2021</v>
      </c>
      <c r="CH41" s="2353">
        <f t="shared" si="68"/>
        <v>2022</v>
      </c>
      <c r="CI41" s="2353">
        <f t="shared" si="68"/>
        <v>2022</v>
      </c>
      <c r="CJ41" s="2353">
        <f t="shared" si="68"/>
        <v>2022</v>
      </c>
      <c r="CK41" s="2353">
        <f t="shared" si="68"/>
        <v>2022</v>
      </c>
      <c r="CL41" s="2353">
        <f t="shared" si="68"/>
        <v>2023</v>
      </c>
      <c r="CM41" s="2353">
        <f t="shared" si="68"/>
        <v>2023</v>
      </c>
      <c r="CN41" s="2353">
        <f t="shared" si="68"/>
        <v>2023</v>
      </c>
      <c r="CO41" s="2353">
        <f t="shared" si="68"/>
        <v>2023</v>
      </c>
      <c r="CP41" s="2353">
        <f t="shared" si="68"/>
        <v>2024</v>
      </c>
      <c r="CQ41" s="2353">
        <f t="shared" si="68"/>
        <v>2024</v>
      </c>
      <c r="CR41" s="2353">
        <f t="shared" si="68"/>
        <v>2024</v>
      </c>
      <c r="CS41" s="2353">
        <f t="shared" si="68"/>
        <v>2024</v>
      </c>
      <c r="CT41" s="2353">
        <f t="shared" si="68"/>
        <v>2025</v>
      </c>
      <c r="CU41" s="2353">
        <f t="shared" si="68"/>
        <v>2025</v>
      </c>
      <c r="CV41" s="2353">
        <f t="shared" si="68"/>
        <v>2025</v>
      </c>
      <c r="CW41" s="2353">
        <f t="shared" si="68"/>
        <v>2025</v>
      </c>
      <c r="CX41" s="2353">
        <f t="shared" si="68"/>
        <v>2026</v>
      </c>
      <c r="CY41" s="2353">
        <f t="shared" si="68"/>
        <v>2026</v>
      </c>
      <c r="CZ41" s="2353">
        <f t="shared" si="68"/>
        <v>2026</v>
      </c>
      <c r="DA41" s="2353">
        <f t="shared" si="68"/>
        <v>2026</v>
      </c>
      <c r="DB41" s="2353">
        <f t="shared" si="68"/>
        <v>2027</v>
      </c>
      <c r="DC41" s="2353">
        <f t="shared" si="68"/>
        <v>2027</v>
      </c>
      <c r="DD41" s="2353">
        <f t="shared" si="68"/>
        <v>2027</v>
      </c>
      <c r="DE41" s="2353">
        <f t="shared" si="68"/>
        <v>2027</v>
      </c>
      <c r="DF41" s="2353">
        <f t="shared" si="68"/>
        <v>2028</v>
      </c>
      <c r="DG41" s="2353">
        <f t="shared" si="68"/>
        <v>2028</v>
      </c>
      <c r="DH41" s="2353">
        <f t="shared" si="68"/>
        <v>2028</v>
      </c>
      <c r="DI41" s="2353">
        <f t="shared" si="68"/>
        <v>2028</v>
      </c>
      <c r="DJ41" s="2353">
        <f t="shared" si="68"/>
        <v>2029</v>
      </c>
      <c r="DK41" s="2353">
        <f t="shared" si="68"/>
        <v>2029</v>
      </c>
      <c r="DL41" s="2353">
        <f t="shared" si="68"/>
        <v>2029</v>
      </c>
      <c r="DM41" s="2353">
        <f t="shared" si="68"/>
        <v>2029</v>
      </c>
      <c r="DN41" s="2353">
        <f t="shared" si="68"/>
        <v>2030</v>
      </c>
      <c r="DO41" s="2353">
        <f t="shared" si="68"/>
        <v>2030</v>
      </c>
      <c r="DP41" s="2353">
        <f t="shared" si="68"/>
        <v>2030</v>
      </c>
      <c r="DQ41" s="2353">
        <f t="shared" si="68"/>
        <v>2030</v>
      </c>
      <c r="DR41" s="2353">
        <f t="shared" si="68"/>
        <v>2031</v>
      </c>
      <c r="DS41" s="2353">
        <f t="shared" si="68"/>
        <v>2031</v>
      </c>
      <c r="DT41" s="2353">
        <f t="shared" si="68"/>
        <v>2031</v>
      </c>
      <c r="DU41" s="2353">
        <f t="shared" si="68"/>
        <v>2031</v>
      </c>
      <c r="DV41" s="2353">
        <f t="shared" si="68"/>
        <v>2032</v>
      </c>
      <c r="DW41" s="2353">
        <f t="shared" si="68"/>
        <v>2032</v>
      </c>
      <c r="DX41" s="2353">
        <f t="shared" si="68"/>
        <v>2032</v>
      </c>
      <c r="DY41" s="2353">
        <f t="shared" si="68"/>
        <v>2032</v>
      </c>
      <c r="DZ41" s="2353">
        <f t="shared" si="68"/>
        <v>2033</v>
      </c>
      <c r="EA41" s="2353">
        <f t="shared" si="68"/>
        <v>2033</v>
      </c>
      <c r="EB41" s="2353">
        <f t="shared" si="68"/>
        <v>2033</v>
      </c>
      <c r="EC41" s="2353">
        <f t="shared" si="68"/>
        <v>2033</v>
      </c>
      <c r="ED41" s="2353">
        <f t="shared" si="68"/>
        <v>2034</v>
      </c>
      <c r="EE41" s="2353">
        <f t="shared" si="68"/>
        <v>2034</v>
      </c>
      <c r="EF41" s="2353">
        <f t="shared" si="68"/>
        <v>2034</v>
      </c>
      <c r="EG41" s="2353">
        <f t="shared" si="68"/>
        <v>2034</v>
      </c>
      <c r="EH41" s="2353">
        <f t="shared" ref="EH41:GS41" si="69">EH$10</f>
        <v>2035</v>
      </c>
      <c r="EI41" s="2353">
        <f t="shared" si="69"/>
        <v>2035</v>
      </c>
      <c r="EJ41" s="2353">
        <f t="shared" si="69"/>
        <v>2035</v>
      </c>
      <c r="EK41" s="2353">
        <f t="shared" si="69"/>
        <v>2035</v>
      </c>
      <c r="EL41" s="2353">
        <f t="shared" si="69"/>
        <v>2036</v>
      </c>
      <c r="EM41" s="2353">
        <f t="shared" si="69"/>
        <v>2036</v>
      </c>
      <c r="EN41" s="2353">
        <f t="shared" si="69"/>
        <v>2036</v>
      </c>
      <c r="EO41" s="2353">
        <f t="shared" si="69"/>
        <v>2036</v>
      </c>
      <c r="EP41" s="2353">
        <f t="shared" si="69"/>
        <v>2037</v>
      </c>
      <c r="EQ41" s="2353">
        <f t="shared" si="69"/>
        <v>2037</v>
      </c>
      <c r="ER41" s="2353">
        <f t="shared" si="69"/>
        <v>2037</v>
      </c>
      <c r="ES41" s="2353">
        <f t="shared" si="69"/>
        <v>2037</v>
      </c>
      <c r="ET41" s="2353">
        <f t="shared" si="69"/>
        <v>2038</v>
      </c>
      <c r="EU41" s="2353">
        <f t="shared" si="69"/>
        <v>2038</v>
      </c>
      <c r="EV41" s="2353">
        <f t="shared" si="69"/>
        <v>2038</v>
      </c>
      <c r="EW41" s="2353">
        <f t="shared" si="69"/>
        <v>2038</v>
      </c>
      <c r="EX41" s="2353">
        <f t="shared" si="69"/>
        <v>2039</v>
      </c>
      <c r="EY41" s="2353">
        <f t="shared" si="69"/>
        <v>2039</v>
      </c>
      <c r="EZ41" s="2353">
        <f t="shared" si="69"/>
        <v>2039</v>
      </c>
      <c r="FA41" s="2353">
        <f t="shared" si="69"/>
        <v>2039</v>
      </c>
      <c r="FB41" s="2353">
        <f t="shared" si="69"/>
        <v>2040</v>
      </c>
      <c r="FC41" s="2353">
        <f t="shared" si="69"/>
        <v>2040</v>
      </c>
      <c r="FD41" s="2353">
        <f t="shared" si="69"/>
        <v>2040</v>
      </c>
      <c r="FE41" s="2353">
        <f t="shared" si="69"/>
        <v>2040</v>
      </c>
      <c r="FF41" s="2353">
        <f t="shared" si="69"/>
        <v>2041</v>
      </c>
      <c r="FG41" s="2353">
        <f t="shared" si="69"/>
        <v>2041</v>
      </c>
      <c r="FH41" s="2353">
        <f t="shared" si="69"/>
        <v>2041</v>
      </c>
      <c r="FI41" s="2353">
        <f t="shared" si="69"/>
        <v>2041</v>
      </c>
      <c r="FJ41" s="2353">
        <f t="shared" si="69"/>
        <v>2042</v>
      </c>
      <c r="FK41" s="2353">
        <f t="shared" si="69"/>
        <v>2042</v>
      </c>
      <c r="FL41" s="2353">
        <f t="shared" si="69"/>
        <v>2042</v>
      </c>
      <c r="FM41" s="2353">
        <f t="shared" si="69"/>
        <v>2042</v>
      </c>
      <c r="FN41" s="2353">
        <f t="shared" si="69"/>
        <v>2043</v>
      </c>
      <c r="FO41" s="2353">
        <f t="shared" si="69"/>
        <v>2043</v>
      </c>
      <c r="FP41" s="2353">
        <f t="shared" si="69"/>
        <v>2043</v>
      </c>
      <c r="FQ41" s="2353">
        <f t="shared" si="69"/>
        <v>2043</v>
      </c>
      <c r="FR41" s="2353">
        <f t="shared" si="69"/>
        <v>2044</v>
      </c>
      <c r="FS41" s="2353">
        <f t="shared" si="69"/>
        <v>2044</v>
      </c>
      <c r="FT41" s="2353">
        <f t="shared" si="69"/>
        <v>2044</v>
      </c>
      <c r="FU41" s="2353">
        <f t="shared" si="69"/>
        <v>2044</v>
      </c>
      <c r="FV41" s="2353">
        <f t="shared" si="69"/>
        <v>2045</v>
      </c>
      <c r="FW41" s="2353">
        <f t="shared" si="69"/>
        <v>2045</v>
      </c>
      <c r="FX41" s="2353">
        <f t="shared" si="69"/>
        <v>2045</v>
      </c>
      <c r="FY41" s="2353">
        <f t="shared" si="69"/>
        <v>2045</v>
      </c>
      <c r="FZ41" s="2353">
        <f t="shared" si="69"/>
        <v>2046</v>
      </c>
      <c r="GA41" s="2353">
        <f t="shared" si="69"/>
        <v>2046</v>
      </c>
      <c r="GB41" s="2353">
        <f t="shared" si="69"/>
        <v>2046</v>
      </c>
      <c r="GC41" s="2353">
        <f t="shared" si="69"/>
        <v>2046</v>
      </c>
      <c r="GD41" s="2353">
        <f t="shared" si="69"/>
        <v>2047</v>
      </c>
      <c r="GE41" s="2353">
        <f t="shared" si="69"/>
        <v>2047</v>
      </c>
      <c r="GF41" s="2353">
        <f t="shared" si="69"/>
        <v>2047</v>
      </c>
      <c r="GG41" s="2353">
        <f t="shared" si="69"/>
        <v>2047</v>
      </c>
      <c r="GH41" s="2353">
        <f t="shared" si="69"/>
        <v>2048</v>
      </c>
      <c r="GI41" s="2353">
        <f t="shared" si="69"/>
        <v>2048</v>
      </c>
      <c r="GJ41" s="2353">
        <f t="shared" si="69"/>
        <v>2048</v>
      </c>
      <c r="GK41" s="2353">
        <f t="shared" si="69"/>
        <v>2048</v>
      </c>
      <c r="GL41" s="2353">
        <f t="shared" si="69"/>
        <v>2049</v>
      </c>
      <c r="GM41" s="2353">
        <f t="shared" si="69"/>
        <v>2049</v>
      </c>
      <c r="GN41" s="2353">
        <f t="shared" si="69"/>
        <v>2049</v>
      </c>
      <c r="GO41" s="2353">
        <f t="shared" si="69"/>
        <v>2049</v>
      </c>
      <c r="GP41" s="2353">
        <f t="shared" si="69"/>
        <v>2050</v>
      </c>
      <c r="GQ41" s="2353">
        <f t="shared" si="69"/>
        <v>2050</v>
      </c>
      <c r="GR41" s="2353">
        <f t="shared" si="69"/>
        <v>2050</v>
      </c>
      <c r="GS41" s="2353">
        <f t="shared" si="69"/>
        <v>2050</v>
      </c>
      <c r="GT41" s="2353">
        <f t="shared" ref="GT41:IA41" si="70">GT$10</f>
        <v>2051</v>
      </c>
      <c r="GU41" s="2353">
        <f t="shared" si="70"/>
        <v>2051</v>
      </c>
      <c r="GV41" s="2353">
        <f t="shared" si="70"/>
        <v>2051</v>
      </c>
      <c r="GW41" s="2353">
        <f t="shared" si="70"/>
        <v>2051</v>
      </c>
      <c r="GX41" s="2353">
        <f t="shared" si="70"/>
        <v>2052</v>
      </c>
      <c r="GY41" s="2353">
        <f t="shared" si="70"/>
        <v>2052</v>
      </c>
      <c r="GZ41" s="2353">
        <f t="shared" si="70"/>
        <v>2052</v>
      </c>
      <c r="HA41" s="2353">
        <f t="shared" si="70"/>
        <v>2052</v>
      </c>
      <c r="HB41" s="2353">
        <f t="shared" si="70"/>
        <v>2053</v>
      </c>
      <c r="HC41" s="2353">
        <f t="shared" si="70"/>
        <v>2053</v>
      </c>
      <c r="HD41" s="2353">
        <f t="shared" si="70"/>
        <v>2053</v>
      </c>
      <c r="HE41" s="2353">
        <f t="shared" si="70"/>
        <v>2053</v>
      </c>
      <c r="HF41" s="2353">
        <f t="shared" si="70"/>
        <v>2054</v>
      </c>
      <c r="HG41" s="2353">
        <f t="shared" si="70"/>
        <v>2054</v>
      </c>
      <c r="HH41" s="2353">
        <f t="shared" si="70"/>
        <v>2054</v>
      </c>
      <c r="HI41" s="2353">
        <f t="shared" si="70"/>
        <v>2054</v>
      </c>
      <c r="HJ41" s="2353">
        <f t="shared" si="70"/>
        <v>2055</v>
      </c>
      <c r="HK41" s="2353">
        <f t="shared" si="70"/>
        <v>2055</v>
      </c>
      <c r="HL41" s="2353">
        <f t="shared" si="70"/>
        <v>2055</v>
      </c>
      <c r="HM41" s="2353">
        <f t="shared" si="70"/>
        <v>2055</v>
      </c>
      <c r="HN41" s="2353">
        <f t="shared" si="70"/>
        <v>2056</v>
      </c>
      <c r="HO41" s="2353">
        <f t="shared" si="70"/>
        <v>2056</v>
      </c>
      <c r="HP41" s="2353">
        <f t="shared" si="70"/>
        <v>2056</v>
      </c>
      <c r="HQ41" s="2353">
        <f t="shared" si="70"/>
        <v>2056</v>
      </c>
      <c r="HR41" s="2353">
        <f t="shared" si="70"/>
        <v>2057</v>
      </c>
      <c r="HS41" s="2353">
        <f t="shared" si="70"/>
        <v>2057</v>
      </c>
      <c r="HT41" s="2353">
        <f t="shared" si="70"/>
        <v>2057</v>
      </c>
      <c r="HU41" s="2353">
        <f t="shared" si="70"/>
        <v>2057</v>
      </c>
      <c r="HV41" s="2353">
        <f t="shared" si="70"/>
        <v>2058</v>
      </c>
      <c r="HW41" s="2353">
        <f t="shared" si="70"/>
        <v>2058</v>
      </c>
      <c r="HX41" s="2353">
        <f t="shared" si="70"/>
        <v>2058</v>
      </c>
      <c r="HY41" s="2353">
        <f t="shared" si="70"/>
        <v>2058</v>
      </c>
      <c r="HZ41" s="2353">
        <f t="shared" si="70"/>
        <v>2059</v>
      </c>
      <c r="IA41" s="2353">
        <f t="shared" si="70"/>
        <v>2059</v>
      </c>
    </row>
    <row r="42" spans="2:311" ht="15.75" customHeight="1">
      <c r="C42" s="5265"/>
      <c r="D42" s="5266"/>
      <c r="E42" s="5266"/>
      <c r="F42" s="5266"/>
      <c r="G42" s="5266"/>
      <c r="H42" s="5262"/>
      <c r="J42" s="5287">
        <f t="shared" ref="J42:BU42" si="71">J$11</f>
        <v>1</v>
      </c>
      <c r="K42" s="5287">
        <f t="shared" si="71"/>
        <v>2</v>
      </c>
      <c r="L42" s="5287">
        <f t="shared" si="71"/>
        <v>3</v>
      </c>
      <c r="M42" s="5287">
        <f t="shared" si="71"/>
        <v>4</v>
      </c>
      <c r="N42" s="5287">
        <f t="shared" si="71"/>
        <v>1</v>
      </c>
      <c r="O42" s="5287">
        <f t="shared" si="71"/>
        <v>2</v>
      </c>
      <c r="P42" s="5287">
        <f t="shared" si="71"/>
        <v>3</v>
      </c>
      <c r="Q42" s="5287">
        <f t="shared" si="71"/>
        <v>4</v>
      </c>
      <c r="R42" s="5287">
        <f t="shared" si="71"/>
        <v>1</v>
      </c>
      <c r="S42" s="5287">
        <f t="shared" si="71"/>
        <v>2</v>
      </c>
      <c r="T42" s="5287">
        <f t="shared" si="71"/>
        <v>3</v>
      </c>
      <c r="U42" s="5287">
        <f t="shared" si="71"/>
        <v>4</v>
      </c>
      <c r="V42" s="5287">
        <f t="shared" si="71"/>
        <v>1</v>
      </c>
      <c r="W42" s="5287">
        <f t="shared" si="71"/>
        <v>2</v>
      </c>
      <c r="X42" s="5287">
        <f t="shared" si="71"/>
        <v>3</v>
      </c>
      <c r="Y42" s="5287">
        <f t="shared" si="71"/>
        <v>4</v>
      </c>
      <c r="Z42" s="5287">
        <f t="shared" si="71"/>
        <v>1</v>
      </c>
      <c r="AA42" s="5287">
        <f t="shared" si="71"/>
        <v>2</v>
      </c>
      <c r="AB42" s="5287">
        <f t="shared" si="71"/>
        <v>3</v>
      </c>
      <c r="AC42" s="5287">
        <f t="shared" si="71"/>
        <v>4</v>
      </c>
      <c r="AD42" s="5287">
        <f t="shared" si="71"/>
        <v>1</v>
      </c>
      <c r="AE42" s="5287">
        <f t="shared" si="71"/>
        <v>2</v>
      </c>
      <c r="AF42" s="5287">
        <f t="shared" si="71"/>
        <v>3</v>
      </c>
      <c r="AG42" s="5287">
        <f t="shared" si="71"/>
        <v>4</v>
      </c>
      <c r="AH42" s="5287">
        <f t="shared" si="71"/>
        <v>1</v>
      </c>
      <c r="AI42" s="5287">
        <f t="shared" si="71"/>
        <v>2</v>
      </c>
      <c r="AJ42" s="5287">
        <f t="shared" si="71"/>
        <v>3</v>
      </c>
      <c r="AK42" s="5287">
        <f t="shared" si="71"/>
        <v>4</v>
      </c>
      <c r="AL42" s="5287">
        <f t="shared" si="71"/>
        <v>1</v>
      </c>
      <c r="AM42" s="5287">
        <f t="shared" si="71"/>
        <v>2</v>
      </c>
      <c r="AN42" s="5287">
        <f t="shared" si="71"/>
        <v>3</v>
      </c>
      <c r="AO42" s="5287">
        <f t="shared" si="71"/>
        <v>4</v>
      </c>
      <c r="AP42" s="5287">
        <f t="shared" si="71"/>
        <v>1</v>
      </c>
      <c r="AQ42" s="5287">
        <f t="shared" si="71"/>
        <v>2</v>
      </c>
      <c r="AR42" s="5287">
        <f t="shared" si="71"/>
        <v>3</v>
      </c>
      <c r="AS42" s="5287">
        <f t="shared" si="71"/>
        <v>4</v>
      </c>
      <c r="AT42" s="5287">
        <f t="shared" si="71"/>
        <v>1</v>
      </c>
      <c r="AU42" s="5287">
        <f t="shared" si="71"/>
        <v>2</v>
      </c>
      <c r="AV42" s="5287">
        <f t="shared" si="71"/>
        <v>3</v>
      </c>
      <c r="AW42" s="5287">
        <f t="shared" si="71"/>
        <v>4</v>
      </c>
      <c r="AX42" s="5287">
        <f t="shared" si="71"/>
        <v>1</v>
      </c>
      <c r="AY42" s="5287">
        <f t="shared" si="71"/>
        <v>2</v>
      </c>
      <c r="AZ42" s="5287">
        <f t="shared" si="71"/>
        <v>3</v>
      </c>
      <c r="BA42" s="5287">
        <f t="shared" si="71"/>
        <v>4</v>
      </c>
      <c r="BB42" s="5287">
        <f t="shared" si="71"/>
        <v>1</v>
      </c>
      <c r="BC42" s="5287">
        <f t="shared" si="71"/>
        <v>2</v>
      </c>
      <c r="BD42" s="5287">
        <f t="shared" si="71"/>
        <v>3</v>
      </c>
      <c r="BE42" s="5287">
        <f t="shared" si="71"/>
        <v>4</v>
      </c>
      <c r="BF42" s="5287">
        <f t="shared" si="71"/>
        <v>1</v>
      </c>
      <c r="BG42" s="5287">
        <f t="shared" si="71"/>
        <v>2</v>
      </c>
      <c r="BH42" s="5287">
        <f t="shared" si="71"/>
        <v>3</v>
      </c>
      <c r="BI42" s="5287">
        <f t="shared" si="71"/>
        <v>4</v>
      </c>
      <c r="BJ42" s="5287">
        <f t="shared" si="71"/>
        <v>1</v>
      </c>
      <c r="BK42" s="5287">
        <f t="shared" si="71"/>
        <v>2</v>
      </c>
      <c r="BL42" s="5287">
        <f t="shared" si="71"/>
        <v>3</v>
      </c>
      <c r="BM42" s="5287">
        <f t="shared" si="71"/>
        <v>4</v>
      </c>
      <c r="BN42" s="5287">
        <f t="shared" si="71"/>
        <v>1</v>
      </c>
      <c r="BO42" s="5287">
        <f t="shared" si="71"/>
        <v>2</v>
      </c>
      <c r="BP42" s="5287">
        <f t="shared" si="71"/>
        <v>3</v>
      </c>
      <c r="BQ42" s="5287">
        <f t="shared" si="71"/>
        <v>4</v>
      </c>
      <c r="BR42" s="5287">
        <f t="shared" si="71"/>
        <v>1</v>
      </c>
      <c r="BS42" s="5287">
        <f t="shared" si="71"/>
        <v>2</v>
      </c>
      <c r="BT42" s="5287">
        <f t="shared" si="71"/>
        <v>3</v>
      </c>
      <c r="BU42" s="5287">
        <f t="shared" si="71"/>
        <v>4</v>
      </c>
      <c r="BV42" s="5287">
        <f t="shared" ref="BV42:EG42" si="72">BV$11</f>
        <v>1</v>
      </c>
      <c r="BW42" s="5287">
        <f t="shared" si="72"/>
        <v>2</v>
      </c>
      <c r="BX42" s="5287">
        <f t="shared" si="72"/>
        <v>3</v>
      </c>
      <c r="BY42" s="5287">
        <f t="shared" si="72"/>
        <v>4</v>
      </c>
      <c r="BZ42" s="5287">
        <f t="shared" si="72"/>
        <v>1</v>
      </c>
      <c r="CA42" s="5287">
        <f t="shared" si="72"/>
        <v>2</v>
      </c>
      <c r="CB42" s="5287">
        <f t="shared" si="72"/>
        <v>3</v>
      </c>
      <c r="CC42" s="5287">
        <f t="shared" si="72"/>
        <v>4</v>
      </c>
      <c r="CD42" s="5287">
        <f t="shared" si="72"/>
        <v>1</v>
      </c>
      <c r="CE42" s="5287">
        <f t="shared" si="72"/>
        <v>2</v>
      </c>
      <c r="CF42" s="5287">
        <f t="shared" si="72"/>
        <v>3</v>
      </c>
      <c r="CG42" s="5287">
        <f t="shared" si="72"/>
        <v>4</v>
      </c>
      <c r="CH42" s="5287">
        <f t="shared" si="72"/>
        <v>1</v>
      </c>
      <c r="CI42" s="5287">
        <f t="shared" si="72"/>
        <v>2</v>
      </c>
      <c r="CJ42" s="5287">
        <f t="shared" si="72"/>
        <v>3</v>
      </c>
      <c r="CK42" s="5287">
        <f t="shared" si="72"/>
        <v>4</v>
      </c>
      <c r="CL42" s="5287">
        <f t="shared" si="72"/>
        <v>1</v>
      </c>
      <c r="CM42" s="5287">
        <f t="shared" si="72"/>
        <v>2</v>
      </c>
      <c r="CN42" s="5287">
        <f t="shared" si="72"/>
        <v>3</v>
      </c>
      <c r="CO42" s="5287">
        <f t="shared" si="72"/>
        <v>4</v>
      </c>
      <c r="CP42" s="5287">
        <f t="shared" si="72"/>
        <v>1</v>
      </c>
      <c r="CQ42" s="5287">
        <f t="shared" si="72"/>
        <v>2</v>
      </c>
      <c r="CR42" s="5287">
        <f t="shared" si="72"/>
        <v>3</v>
      </c>
      <c r="CS42" s="5287">
        <f t="shared" si="72"/>
        <v>4</v>
      </c>
      <c r="CT42" s="5287">
        <f t="shared" si="72"/>
        <v>1</v>
      </c>
      <c r="CU42" s="5287">
        <f t="shared" si="72"/>
        <v>2</v>
      </c>
      <c r="CV42" s="5287">
        <f t="shared" si="72"/>
        <v>3</v>
      </c>
      <c r="CW42" s="5287">
        <f t="shared" si="72"/>
        <v>4</v>
      </c>
      <c r="CX42" s="5287">
        <f t="shared" si="72"/>
        <v>1</v>
      </c>
      <c r="CY42" s="5287">
        <f t="shared" si="72"/>
        <v>2</v>
      </c>
      <c r="CZ42" s="5287">
        <f t="shared" si="72"/>
        <v>3</v>
      </c>
      <c r="DA42" s="5287">
        <f t="shared" si="72"/>
        <v>4</v>
      </c>
      <c r="DB42" s="5287">
        <f t="shared" si="72"/>
        <v>1</v>
      </c>
      <c r="DC42" s="5287">
        <f t="shared" si="72"/>
        <v>2</v>
      </c>
      <c r="DD42" s="5287">
        <f t="shared" si="72"/>
        <v>3</v>
      </c>
      <c r="DE42" s="5287">
        <f t="shared" si="72"/>
        <v>4</v>
      </c>
      <c r="DF42" s="5287">
        <f t="shared" si="72"/>
        <v>1</v>
      </c>
      <c r="DG42" s="5287">
        <f t="shared" si="72"/>
        <v>2</v>
      </c>
      <c r="DH42" s="5287">
        <f t="shared" si="72"/>
        <v>3</v>
      </c>
      <c r="DI42" s="5287">
        <f t="shared" si="72"/>
        <v>4</v>
      </c>
      <c r="DJ42" s="5287">
        <f t="shared" si="72"/>
        <v>1</v>
      </c>
      <c r="DK42" s="5287">
        <f t="shared" si="72"/>
        <v>2</v>
      </c>
      <c r="DL42" s="5287">
        <f t="shared" si="72"/>
        <v>3</v>
      </c>
      <c r="DM42" s="5287">
        <f t="shared" si="72"/>
        <v>4</v>
      </c>
      <c r="DN42" s="5287">
        <f t="shared" si="72"/>
        <v>1</v>
      </c>
      <c r="DO42" s="5287">
        <f t="shared" si="72"/>
        <v>2</v>
      </c>
      <c r="DP42" s="5287">
        <f t="shared" si="72"/>
        <v>3</v>
      </c>
      <c r="DQ42" s="5287">
        <f t="shared" si="72"/>
        <v>4</v>
      </c>
      <c r="DR42" s="5287">
        <f t="shared" si="72"/>
        <v>1</v>
      </c>
      <c r="DS42" s="5287">
        <f t="shared" si="72"/>
        <v>2</v>
      </c>
      <c r="DT42" s="5287">
        <f t="shared" si="72"/>
        <v>3</v>
      </c>
      <c r="DU42" s="5287">
        <f t="shared" si="72"/>
        <v>4</v>
      </c>
      <c r="DV42" s="5287">
        <f t="shared" si="72"/>
        <v>1</v>
      </c>
      <c r="DW42" s="5287">
        <f t="shared" si="72"/>
        <v>2</v>
      </c>
      <c r="DX42" s="5287">
        <f t="shared" si="72"/>
        <v>3</v>
      </c>
      <c r="DY42" s="5287">
        <f t="shared" si="72"/>
        <v>4</v>
      </c>
      <c r="DZ42" s="5287">
        <f t="shared" si="72"/>
        <v>1</v>
      </c>
      <c r="EA42" s="5287">
        <f t="shared" si="72"/>
        <v>2</v>
      </c>
      <c r="EB42" s="5287">
        <f t="shared" si="72"/>
        <v>3</v>
      </c>
      <c r="EC42" s="5287">
        <f t="shared" si="72"/>
        <v>4</v>
      </c>
      <c r="ED42" s="5287">
        <f t="shared" si="72"/>
        <v>1</v>
      </c>
      <c r="EE42" s="5287">
        <f t="shared" si="72"/>
        <v>2</v>
      </c>
      <c r="EF42" s="5287">
        <f t="shared" si="72"/>
        <v>3</v>
      </c>
      <c r="EG42" s="5287">
        <f t="shared" si="72"/>
        <v>4</v>
      </c>
      <c r="EH42" s="5287">
        <f t="shared" ref="EH42:GS42" si="73">EH$11</f>
        <v>1</v>
      </c>
      <c r="EI42" s="5287">
        <f t="shared" si="73"/>
        <v>2</v>
      </c>
      <c r="EJ42" s="5287">
        <f t="shared" si="73"/>
        <v>3</v>
      </c>
      <c r="EK42" s="5287">
        <f t="shared" si="73"/>
        <v>4</v>
      </c>
      <c r="EL42" s="5287">
        <f t="shared" si="73"/>
        <v>1</v>
      </c>
      <c r="EM42" s="5287">
        <f t="shared" si="73"/>
        <v>2</v>
      </c>
      <c r="EN42" s="5287">
        <f t="shared" si="73"/>
        <v>3</v>
      </c>
      <c r="EO42" s="5287">
        <f t="shared" si="73"/>
        <v>4</v>
      </c>
      <c r="EP42" s="5287">
        <f t="shared" si="73"/>
        <v>1</v>
      </c>
      <c r="EQ42" s="5287">
        <f t="shared" si="73"/>
        <v>2</v>
      </c>
      <c r="ER42" s="5287">
        <f t="shared" si="73"/>
        <v>3</v>
      </c>
      <c r="ES42" s="5287">
        <f t="shared" si="73"/>
        <v>4</v>
      </c>
      <c r="ET42" s="5287">
        <f t="shared" si="73"/>
        <v>1</v>
      </c>
      <c r="EU42" s="5287">
        <f t="shared" si="73"/>
        <v>2</v>
      </c>
      <c r="EV42" s="5287">
        <f t="shared" si="73"/>
        <v>3</v>
      </c>
      <c r="EW42" s="5287">
        <f t="shared" si="73"/>
        <v>4</v>
      </c>
      <c r="EX42" s="5287">
        <f t="shared" si="73"/>
        <v>1</v>
      </c>
      <c r="EY42" s="5287">
        <f t="shared" si="73"/>
        <v>2</v>
      </c>
      <c r="EZ42" s="5287">
        <f t="shared" si="73"/>
        <v>3</v>
      </c>
      <c r="FA42" s="5287">
        <f t="shared" si="73"/>
        <v>4</v>
      </c>
      <c r="FB42" s="5287">
        <f t="shared" si="73"/>
        <v>1</v>
      </c>
      <c r="FC42" s="5287">
        <f t="shared" si="73"/>
        <v>2</v>
      </c>
      <c r="FD42" s="5287">
        <f t="shared" si="73"/>
        <v>3</v>
      </c>
      <c r="FE42" s="5287">
        <f t="shared" si="73"/>
        <v>4</v>
      </c>
      <c r="FF42" s="5287">
        <f t="shared" si="73"/>
        <v>1</v>
      </c>
      <c r="FG42" s="5287">
        <f t="shared" si="73"/>
        <v>2</v>
      </c>
      <c r="FH42" s="5287">
        <f t="shared" si="73"/>
        <v>3</v>
      </c>
      <c r="FI42" s="5287">
        <f t="shared" si="73"/>
        <v>4</v>
      </c>
      <c r="FJ42" s="5287">
        <f t="shared" si="73"/>
        <v>1</v>
      </c>
      <c r="FK42" s="5287">
        <f t="shared" si="73"/>
        <v>2</v>
      </c>
      <c r="FL42" s="5287">
        <f t="shared" si="73"/>
        <v>3</v>
      </c>
      <c r="FM42" s="5287">
        <f t="shared" si="73"/>
        <v>4</v>
      </c>
      <c r="FN42" s="5287">
        <f t="shared" si="73"/>
        <v>1</v>
      </c>
      <c r="FO42" s="5287">
        <f t="shared" si="73"/>
        <v>2</v>
      </c>
      <c r="FP42" s="5287">
        <f t="shared" si="73"/>
        <v>3</v>
      </c>
      <c r="FQ42" s="5287">
        <f t="shared" si="73"/>
        <v>4</v>
      </c>
      <c r="FR42" s="5287">
        <f t="shared" si="73"/>
        <v>1</v>
      </c>
      <c r="FS42" s="5287">
        <f t="shared" si="73"/>
        <v>2</v>
      </c>
      <c r="FT42" s="5287">
        <f t="shared" si="73"/>
        <v>3</v>
      </c>
      <c r="FU42" s="5287">
        <f t="shared" si="73"/>
        <v>4</v>
      </c>
      <c r="FV42" s="5287">
        <f t="shared" si="73"/>
        <v>1</v>
      </c>
      <c r="FW42" s="5287">
        <f t="shared" si="73"/>
        <v>2</v>
      </c>
      <c r="FX42" s="5287">
        <f t="shared" si="73"/>
        <v>3</v>
      </c>
      <c r="FY42" s="5287">
        <f t="shared" si="73"/>
        <v>4</v>
      </c>
      <c r="FZ42" s="5287">
        <f t="shared" si="73"/>
        <v>1</v>
      </c>
      <c r="GA42" s="5287">
        <f t="shared" si="73"/>
        <v>2</v>
      </c>
      <c r="GB42" s="5287">
        <f t="shared" si="73"/>
        <v>3</v>
      </c>
      <c r="GC42" s="5287">
        <f t="shared" si="73"/>
        <v>4</v>
      </c>
      <c r="GD42" s="5287">
        <f t="shared" si="73"/>
        <v>1</v>
      </c>
      <c r="GE42" s="5287">
        <f t="shared" si="73"/>
        <v>2</v>
      </c>
      <c r="GF42" s="5287">
        <f t="shared" si="73"/>
        <v>3</v>
      </c>
      <c r="GG42" s="5287">
        <f t="shared" si="73"/>
        <v>4</v>
      </c>
      <c r="GH42" s="5287">
        <f t="shared" si="73"/>
        <v>1</v>
      </c>
      <c r="GI42" s="5287">
        <f t="shared" si="73"/>
        <v>2</v>
      </c>
      <c r="GJ42" s="5287">
        <f t="shared" si="73"/>
        <v>3</v>
      </c>
      <c r="GK42" s="5287">
        <f t="shared" si="73"/>
        <v>4</v>
      </c>
      <c r="GL42" s="5287">
        <f t="shared" si="73"/>
        <v>1</v>
      </c>
      <c r="GM42" s="5287">
        <f t="shared" si="73"/>
        <v>2</v>
      </c>
      <c r="GN42" s="5287">
        <f t="shared" si="73"/>
        <v>3</v>
      </c>
      <c r="GO42" s="5287">
        <f t="shared" si="73"/>
        <v>4</v>
      </c>
      <c r="GP42" s="5287">
        <f t="shared" si="73"/>
        <v>1</v>
      </c>
      <c r="GQ42" s="5287">
        <f t="shared" si="73"/>
        <v>2</v>
      </c>
      <c r="GR42" s="5287">
        <f t="shared" si="73"/>
        <v>3</v>
      </c>
      <c r="GS42" s="5287">
        <f t="shared" si="73"/>
        <v>4</v>
      </c>
      <c r="GT42" s="5287">
        <f t="shared" ref="GT42:IA42" si="74">GT$11</f>
        <v>1</v>
      </c>
      <c r="GU42" s="5287">
        <f t="shared" si="74"/>
        <v>2</v>
      </c>
      <c r="GV42" s="5287">
        <f t="shared" si="74"/>
        <v>3</v>
      </c>
      <c r="GW42" s="5287">
        <f t="shared" si="74"/>
        <v>4</v>
      </c>
      <c r="GX42" s="5287">
        <f t="shared" si="74"/>
        <v>1</v>
      </c>
      <c r="GY42" s="5287">
        <f t="shared" si="74"/>
        <v>2</v>
      </c>
      <c r="GZ42" s="5287">
        <f t="shared" si="74"/>
        <v>3</v>
      </c>
      <c r="HA42" s="5287">
        <f t="shared" si="74"/>
        <v>4</v>
      </c>
      <c r="HB42" s="5287">
        <f t="shared" si="74"/>
        <v>1</v>
      </c>
      <c r="HC42" s="5287">
        <f t="shared" si="74"/>
        <v>2</v>
      </c>
      <c r="HD42" s="5287">
        <f t="shared" si="74"/>
        <v>3</v>
      </c>
      <c r="HE42" s="5287">
        <f t="shared" si="74"/>
        <v>4</v>
      </c>
      <c r="HF42" s="5287">
        <f t="shared" si="74"/>
        <v>1</v>
      </c>
      <c r="HG42" s="5287">
        <f t="shared" si="74"/>
        <v>2</v>
      </c>
      <c r="HH42" s="5287">
        <f t="shared" si="74"/>
        <v>3</v>
      </c>
      <c r="HI42" s="5287">
        <f t="shared" si="74"/>
        <v>4</v>
      </c>
      <c r="HJ42" s="5287">
        <f t="shared" si="74"/>
        <v>1</v>
      </c>
      <c r="HK42" s="5287">
        <f t="shared" si="74"/>
        <v>2</v>
      </c>
      <c r="HL42" s="5287">
        <f t="shared" si="74"/>
        <v>3</v>
      </c>
      <c r="HM42" s="5287">
        <f t="shared" si="74"/>
        <v>4</v>
      </c>
      <c r="HN42" s="5287">
        <f t="shared" si="74"/>
        <v>1</v>
      </c>
      <c r="HO42" s="5287">
        <f t="shared" si="74"/>
        <v>2</v>
      </c>
      <c r="HP42" s="5287">
        <f t="shared" si="74"/>
        <v>3</v>
      </c>
      <c r="HQ42" s="5287">
        <f t="shared" si="74"/>
        <v>4</v>
      </c>
      <c r="HR42" s="5287">
        <f t="shared" si="74"/>
        <v>1</v>
      </c>
      <c r="HS42" s="5287">
        <f t="shared" si="74"/>
        <v>2</v>
      </c>
      <c r="HT42" s="5287">
        <f t="shared" si="74"/>
        <v>3</v>
      </c>
      <c r="HU42" s="5287">
        <f t="shared" si="74"/>
        <v>4</v>
      </c>
      <c r="HV42" s="5287">
        <f t="shared" si="74"/>
        <v>1</v>
      </c>
      <c r="HW42" s="5287">
        <f t="shared" si="74"/>
        <v>2</v>
      </c>
      <c r="HX42" s="5287">
        <f t="shared" si="74"/>
        <v>3</v>
      </c>
      <c r="HY42" s="5287">
        <f t="shared" si="74"/>
        <v>4</v>
      </c>
      <c r="HZ42" s="5287">
        <f t="shared" si="74"/>
        <v>1</v>
      </c>
      <c r="IA42" s="5292">
        <f t="shared" si="74"/>
        <v>2</v>
      </c>
    </row>
    <row r="43" spans="2:311">
      <c r="C43" s="2372" t="s">
        <v>185</v>
      </c>
      <c r="D43" s="2373"/>
      <c r="E43" s="2396"/>
      <c r="F43" s="2396"/>
      <c r="G43" s="2397"/>
      <c r="H43" s="2398"/>
      <c r="I43" s="2459"/>
      <c r="J43" s="2399"/>
      <c r="K43" s="2398"/>
      <c r="L43" s="2400"/>
      <c r="M43" s="2399"/>
      <c r="N43" s="2398"/>
      <c r="O43" s="2400"/>
      <c r="P43" s="2398"/>
      <c r="Q43" s="2401"/>
      <c r="R43" s="2400"/>
      <c r="S43" s="2398"/>
      <c r="T43" s="2401"/>
      <c r="U43" s="2402"/>
      <c r="V43" s="2402"/>
      <c r="W43" s="2402"/>
      <c r="X43" s="2402"/>
      <c r="Y43" s="2402"/>
      <c r="Z43" s="2402"/>
      <c r="AA43" s="2402"/>
      <c r="AB43" s="2402"/>
      <c r="AC43" s="2402"/>
      <c r="AD43" s="2402"/>
      <c r="AE43" s="2402"/>
      <c r="AF43" s="2402"/>
      <c r="AG43" s="2402"/>
      <c r="AH43" s="2402"/>
      <c r="AI43" s="2402"/>
      <c r="AJ43" s="2402"/>
      <c r="AK43" s="2402"/>
      <c r="AL43" s="2402"/>
      <c r="AM43" s="2402"/>
      <c r="AN43" s="2402"/>
      <c r="AO43" s="2402"/>
      <c r="AP43" s="2402"/>
      <c r="AQ43" s="2402"/>
      <c r="AR43" s="2402"/>
      <c r="AS43" s="2402"/>
      <c r="AT43" s="2402"/>
      <c r="AU43" s="2402"/>
      <c r="AV43" s="2402"/>
      <c r="AW43" s="2402"/>
      <c r="AX43" s="2402"/>
      <c r="AY43" s="2402"/>
      <c r="AZ43" s="2402"/>
      <c r="BA43" s="2402"/>
      <c r="BB43" s="2402"/>
      <c r="BC43" s="2402"/>
      <c r="BD43" s="2402"/>
      <c r="BE43" s="2402"/>
      <c r="BF43" s="2402"/>
      <c r="BG43" s="2402"/>
      <c r="BH43" s="2402"/>
      <c r="BI43" s="2402"/>
      <c r="BJ43" s="2402"/>
      <c r="BK43" s="2402"/>
      <c r="BL43" s="2402"/>
      <c r="BM43" s="2402"/>
      <c r="BN43" s="2402"/>
      <c r="BO43" s="2402"/>
      <c r="BP43" s="2402"/>
      <c r="BQ43" s="2402"/>
      <c r="BR43" s="2402"/>
      <c r="BS43" s="2402"/>
      <c r="BT43" s="2402"/>
      <c r="BU43" s="2402"/>
      <c r="BV43" s="2402"/>
      <c r="BW43" s="2402"/>
      <c r="BX43" s="2402"/>
      <c r="BY43" s="2402"/>
      <c r="BZ43" s="2402"/>
      <c r="CA43" s="2402"/>
      <c r="CB43" s="2402"/>
      <c r="CC43" s="2402"/>
      <c r="CD43" s="2402"/>
      <c r="CE43" s="2402"/>
      <c r="CF43" s="2402"/>
      <c r="CG43" s="2402"/>
      <c r="CH43" s="2402"/>
      <c r="CI43" s="2402"/>
      <c r="CJ43" s="2402"/>
      <c r="CK43" s="2402"/>
      <c r="CL43" s="2402"/>
      <c r="CM43" s="2402"/>
      <c r="CN43" s="2402"/>
      <c r="CO43" s="2402"/>
      <c r="CP43" s="2402"/>
      <c r="CQ43" s="2402"/>
      <c r="CR43" s="2402"/>
      <c r="CS43" s="2402"/>
      <c r="CT43" s="2402"/>
      <c r="CU43" s="2402"/>
      <c r="CV43" s="2402"/>
      <c r="CW43" s="2402"/>
      <c r="CX43" s="2402"/>
      <c r="CY43" s="2402"/>
      <c r="CZ43" s="2402"/>
      <c r="DA43" s="2402"/>
      <c r="DB43" s="2402"/>
      <c r="DC43" s="2402"/>
      <c r="DD43" s="2402"/>
      <c r="DE43" s="2402"/>
      <c r="DF43" s="2402"/>
      <c r="DG43" s="2402"/>
      <c r="DH43" s="2402"/>
      <c r="DI43" s="2402"/>
      <c r="DJ43" s="2402"/>
      <c r="DK43" s="2402"/>
      <c r="DL43" s="2402"/>
      <c r="DM43" s="2402"/>
      <c r="DN43" s="2402"/>
      <c r="DO43" s="2402"/>
      <c r="DP43" s="2402"/>
      <c r="DQ43" s="2402"/>
      <c r="DR43" s="2402"/>
      <c r="DS43" s="2402"/>
      <c r="DT43" s="2402"/>
      <c r="DU43" s="2402"/>
      <c r="DV43" s="2402"/>
      <c r="DW43" s="5269"/>
      <c r="DX43" s="5269"/>
      <c r="DY43" s="5269"/>
      <c r="DZ43" s="5269"/>
      <c r="EA43" s="5269"/>
      <c r="EB43" s="5269"/>
      <c r="EC43" s="5269"/>
      <c r="ED43" s="5269"/>
      <c r="EE43" s="5269"/>
      <c r="EF43" s="5269"/>
      <c r="EG43" s="5269"/>
      <c r="EH43" s="5269"/>
      <c r="EI43" s="5269"/>
      <c r="EJ43" s="5269"/>
      <c r="EK43" s="5269"/>
      <c r="EL43" s="5269"/>
      <c r="EM43" s="5269"/>
      <c r="EN43" s="5269"/>
      <c r="EO43" s="5269"/>
      <c r="EP43" s="5269"/>
      <c r="EQ43" s="5269"/>
      <c r="ER43" s="5269"/>
      <c r="ES43" s="5269"/>
      <c r="ET43" s="5269"/>
      <c r="EU43" s="5269"/>
      <c r="EV43" s="5269"/>
      <c r="EW43" s="5269"/>
      <c r="EX43" s="5269"/>
      <c r="EY43" s="5269"/>
      <c r="EZ43" s="5269"/>
      <c r="FA43" s="5269"/>
      <c r="FB43" s="5269"/>
      <c r="FC43" s="5269"/>
      <c r="FD43" s="5269"/>
      <c r="FE43" s="5269"/>
      <c r="FF43" s="5269"/>
      <c r="FG43" s="5269"/>
      <c r="FH43" s="5269"/>
      <c r="FI43" s="5269"/>
      <c r="FJ43" s="5269"/>
      <c r="FK43" s="5269"/>
      <c r="FL43" s="5269"/>
      <c r="FM43" s="5269"/>
      <c r="FN43" s="5269"/>
      <c r="FO43" s="5269"/>
      <c r="FP43" s="5269"/>
      <c r="FQ43" s="5269"/>
      <c r="FR43" s="5269"/>
      <c r="FS43" s="5269"/>
      <c r="FT43" s="5269"/>
      <c r="FU43" s="5269"/>
      <c r="FV43" s="5269"/>
      <c r="FW43" s="5269"/>
      <c r="FX43" s="5269"/>
      <c r="FY43" s="5269"/>
      <c r="FZ43" s="5269"/>
      <c r="GA43" s="5269"/>
      <c r="GB43" s="5269"/>
      <c r="GC43" s="5269"/>
      <c r="GD43" s="5269"/>
      <c r="GE43" s="5269"/>
      <c r="GF43" s="5269"/>
      <c r="GG43" s="5269"/>
      <c r="GH43" s="5269"/>
      <c r="GI43" s="5269"/>
      <c r="GJ43" s="5269"/>
      <c r="GK43" s="5269"/>
      <c r="GL43" s="5269"/>
      <c r="GM43" s="5269"/>
      <c r="GN43" s="5269"/>
      <c r="GO43" s="5269"/>
      <c r="GP43" s="5269"/>
      <c r="GQ43" s="5269"/>
      <c r="GR43" s="5269"/>
      <c r="GS43" s="5269"/>
      <c r="GT43" s="5269"/>
      <c r="GU43" s="5269"/>
      <c r="GV43" s="5269"/>
      <c r="GW43" s="5269"/>
      <c r="GX43" s="5269"/>
      <c r="GY43" s="5269"/>
      <c r="GZ43" s="5269"/>
      <c r="HA43" s="5269"/>
      <c r="HB43" s="5269"/>
      <c r="HC43" s="5269"/>
      <c r="HD43" s="5269"/>
      <c r="HE43" s="5269"/>
      <c r="HF43" s="5269"/>
      <c r="HG43" s="5269"/>
      <c r="HH43" s="5269"/>
      <c r="HI43" s="5269"/>
      <c r="HJ43" s="5269"/>
      <c r="HK43" s="5269"/>
      <c r="HL43" s="5269"/>
      <c r="HM43" s="5269"/>
      <c r="HN43" s="5269"/>
      <c r="HO43" s="5269"/>
      <c r="HP43" s="5269"/>
      <c r="HQ43" s="5269"/>
      <c r="HR43" s="5269"/>
      <c r="HS43" s="5269"/>
      <c r="HT43" s="5269"/>
      <c r="HU43" s="5269"/>
      <c r="HV43" s="5269"/>
      <c r="HW43" s="5269"/>
      <c r="HX43" s="5269"/>
      <c r="HY43" s="5269"/>
      <c r="HZ43" s="5269"/>
      <c r="IA43" s="5269"/>
    </row>
    <row r="44" spans="2:311">
      <c r="C44" s="2383"/>
      <c r="D44" s="2384" t="s">
        <v>3916</v>
      </c>
      <c r="E44" s="2385"/>
      <c r="F44" s="2385"/>
      <c r="G44" s="2386"/>
      <c r="H44" s="2460">
        <f>MAX(J44:IA44)</f>
        <v>189215.66948030112</v>
      </c>
      <c r="I44" s="2459"/>
      <c r="J44" s="2395">
        <f>SUM($J23:J23)*(J5&gt;0)</f>
        <v>0</v>
      </c>
      <c r="K44" s="2387">
        <f>SUM($J23:K23)*(K5&gt;0)</f>
        <v>0</v>
      </c>
      <c r="L44" s="2393">
        <f>SUM($J23:L23)*(L5&gt;0)</f>
        <v>2393.0090441241896</v>
      </c>
      <c r="M44" s="2395">
        <f>SUM($J23:M23)*(M5&gt;0)</f>
        <v>7882.19713947327</v>
      </c>
      <c r="N44" s="2387">
        <f>SUM($J23:N23)*(N5&gt;0)</f>
        <v>8942.5848557045811</v>
      </c>
      <c r="O44" s="2393">
        <f>SUM($J23:O23)*(O5&gt;0)</f>
        <v>14929.678913077922</v>
      </c>
      <c r="P44" s="2387">
        <f>SUM($J23:P23)*(P5&gt;0)</f>
        <v>18664.625459298484</v>
      </c>
      <c r="Q44" s="2387">
        <f>SUM($J23:Q23)*(Q5&gt;0)</f>
        <v>21660.026552916795</v>
      </c>
      <c r="R44" s="2387">
        <f>SUM($J23:R23)*(R5&gt;0)</f>
        <v>28507.89288576167</v>
      </c>
      <c r="S44" s="2387">
        <f>SUM($J23:S23)*(S5&gt;0)</f>
        <v>42725.789479977684</v>
      </c>
      <c r="T44" s="2387">
        <f>SUM($J23:T23)*(T5&gt;0)</f>
        <v>46487.240526461013</v>
      </c>
      <c r="U44" s="2387">
        <f>SUM($J23:U23)*(U5&gt;0)</f>
        <v>53643.908107836178</v>
      </c>
      <c r="V44" s="2387">
        <f>SUM($J23:V23)*(V5&gt;0)</f>
        <v>57118.535665010117</v>
      </c>
      <c r="W44" s="2387">
        <f>SUM($J23:W23)*(W5&gt;0)</f>
        <v>59048.078422919018</v>
      </c>
      <c r="X44" s="2387">
        <f>SUM($J23:X23)*(X5&gt;0)</f>
        <v>66713.609037724236</v>
      </c>
      <c r="Y44" s="2387">
        <f>SUM($J23:Y23)*(Y5&gt;0)</f>
        <v>76688.816536823913</v>
      </c>
      <c r="Z44" s="2387">
        <f>SUM($J23:Z23)*(Z5&gt;0)</f>
        <v>83107.353504491344</v>
      </c>
      <c r="AA44" s="2387">
        <f>SUM($J23:AA23)*(AA5&gt;0)</f>
        <v>93626.605035666726</v>
      </c>
      <c r="AB44" s="2387">
        <f>SUM($J23:AB23)*(AB5&gt;0)</f>
        <v>105057.25331175652</v>
      </c>
      <c r="AC44" s="2387">
        <f>SUM($J23:AC23)*(AC5&gt;0)</f>
        <v>118094.09005962612</v>
      </c>
      <c r="AD44" s="2387">
        <f>SUM($J23:AD23)*(AD5&gt;0)</f>
        <v>136659.64711421099</v>
      </c>
      <c r="AE44" s="2387">
        <f>SUM($J23:AE23)*(AE5&gt;0)</f>
        <v>152813.14871113349</v>
      </c>
      <c r="AF44" s="2387">
        <f>SUM($J23:AF23)*(AF5&gt;0)</f>
        <v>175770.80417962998</v>
      </c>
      <c r="AG44" s="2387">
        <f>SUM($J23:AG23)*(AG5&gt;0)</f>
        <v>189215.66948030112</v>
      </c>
      <c r="AH44" s="2387">
        <f>SUM($J23:AH23)*(AH5&gt;0)</f>
        <v>189215.66948030112</v>
      </c>
      <c r="AI44" s="2387">
        <f>SUM($J23:AI23)*(AI5&gt;0)</f>
        <v>189215.66948030112</v>
      </c>
      <c r="AJ44" s="2394">
        <f>SUM($J23:AJ23)*(AJ5&gt;0)</f>
        <v>0</v>
      </c>
      <c r="AK44" s="2394">
        <f>SUM($J23:AK23)*(AK5&gt;0)</f>
        <v>0</v>
      </c>
      <c r="AL44" s="2394">
        <f>SUM($J23:AL23)*(AL5&gt;0)</f>
        <v>0</v>
      </c>
      <c r="AM44" s="2394">
        <f>SUM($J23:AM23)*(AM5&gt;0)</f>
        <v>0</v>
      </c>
      <c r="AN44" s="2394">
        <f>SUM($J23:AN23)*(AN5&gt;0)</f>
        <v>0</v>
      </c>
      <c r="AO44" s="2394">
        <f>SUM($J23:AO23)*(AO5&gt;0)</f>
        <v>0</v>
      </c>
      <c r="AP44" s="2394">
        <f>SUM($J23:AP23)*(AP5&gt;0)</f>
        <v>0</v>
      </c>
      <c r="AQ44" s="2394">
        <f>SUM($J23:AQ23)*(AQ5&gt;0)</f>
        <v>0</v>
      </c>
      <c r="AR44" s="2394">
        <f>SUM($J23:AR23)*(AR5&gt;0)</f>
        <v>0</v>
      </c>
      <c r="AS44" s="2394">
        <f>SUM($J23:AS23)*(AS5&gt;0)</f>
        <v>0</v>
      </c>
      <c r="AT44" s="2394">
        <f>SUM($J23:AT23)*(AT5&gt;0)</f>
        <v>0</v>
      </c>
      <c r="AU44" s="2394">
        <f>SUM($J23:AU23)*(AU5&gt;0)</f>
        <v>0</v>
      </c>
      <c r="AV44" s="2394">
        <f>SUM($J23:AV23)*(AV5&gt;0)</f>
        <v>0</v>
      </c>
      <c r="AW44" s="2394">
        <f>SUM($J23:AW23)*(AW5&gt;0)</f>
        <v>0</v>
      </c>
      <c r="AX44" s="2394">
        <f>SUM($J23:AX23)*(AX5&gt;0)</f>
        <v>0</v>
      </c>
      <c r="AY44" s="2394">
        <f>SUM($J23:AY23)*(AY5&gt;0)</f>
        <v>0</v>
      </c>
      <c r="AZ44" s="2394">
        <f>SUM($J23:AZ23)*(AZ5&gt;0)</f>
        <v>0</v>
      </c>
      <c r="BA44" s="2394">
        <f>SUM($J23:BA23)*(BA5&gt;0)</f>
        <v>0</v>
      </c>
      <c r="BB44" s="2394">
        <f>SUM($J23:BB23)*(BB5&gt;0)</f>
        <v>0</v>
      </c>
      <c r="BC44" s="2394">
        <f>SUM($J23:BC23)*(BC5&gt;0)</f>
        <v>0</v>
      </c>
      <c r="BD44" s="2394">
        <f>SUM($J23:BD23)*(BD5&gt;0)</f>
        <v>0</v>
      </c>
      <c r="BE44" s="2394">
        <f>SUM($J23:BE23)*(BE5&gt;0)</f>
        <v>0</v>
      </c>
      <c r="BF44" s="2394">
        <f>SUM($J23:BF23)*(BF5&gt;0)</f>
        <v>0</v>
      </c>
      <c r="BG44" s="2394">
        <f>SUM($J23:BG23)*(BG5&gt;0)</f>
        <v>0</v>
      </c>
      <c r="BH44" s="2394">
        <f>SUM($J23:BH23)*(BH5&gt;0)</f>
        <v>0</v>
      </c>
      <c r="BI44" s="2394">
        <f>SUM($J23:BI23)*(BI5&gt;0)</f>
        <v>0</v>
      </c>
      <c r="BJ44" s="2394">
        <f>SUM($J23:BJ23)*(BJ5&gt;0)</f>
        <v>0</v>
      </c>
      <c r="BK44" s="2394">
        <f>SUM($J23:BK23)*(BK5&gt;0)</f>
        <v>0</v>
      </c>
      <c r="BL44" s="2394">
        <f>SUM($J23:BL23)*(BL5&gt;0)</f>
        <v>0</v>
      </c>
      <c r="BM44" s="2394">
        <f>SUM($J23:BM23)*(BM5&gt;0)</f>
        <v>0</v>
      </c>
      <c r="BN44" s="2394">
        <f>SUM($J23:BN23)*(BN5&gt;0)</f>
        <v>0</v>
      </c>
      <c r="BO44" s="2394">
        <f>SUM($J23:BO23)*(BO5&gt;0)</f>
        <v>0</v>
      </c>
      <c r="BP44" s="2394">
        <f>SUM($J23:BP23)*(BP5&gt;0)</f>
        <v>0</v>
      </c>
      <c r="BQ44" s="2394">
        <f>SUM($J23:BQ23)*(BQ5&gt;0)</f>
        <v>0</v>
      </c>
      <c r="BR44" s="2394">
        <f>SUM($J23:BR23)*(BR5&gt;0)</f>
        <v>0</v>
      </c>
      <c r="BS44" s="2394">
        <f>SUM($J23:BS23)*(BS5&gt;0)</f>
        <v>0</v>
      </c>
      <c r="BT44" s="2394">
        <f>SUM($J23:BT23)*(BT5&gt;0)</f>
        <v>0</v>
      </c>
      <c r="BU44" s="2394">
        <f>SUM($J23:BU23)*(BU5&gt;0)</f>
        <v>0</v>
      </c>
      <c r="BV44" s="2394">
        <f>SUM($J23:BV23)*(BV5&gt;0)</f>
        <v>0</v>
      </c>
      <c r="BW44" s="2394">
        <f>SUM($J23:BW23)*(BW5&gt;0)</f>
        <v>0</v>
      </c>
      <c r="BX44" s="2394">
        <f>SUM($J23:BX23)*(BX5&gt;0)</f>
        <v>0</v>
      </c>
      <c r="BY44" s="2394">
        <f>SUM($J23:BY23)*(BY5&gt;0)</f>
        <v>0</v>
      </c>
      <c r="BZ44" s="2394">
        <f>SUM($J23:BZ23)*(BZ5&gt;0)</f>
        <v>0</v>
      </c>
      <c r="CA44" s="2394">
        <f>SUM($J23:CA23)*(CA5&gt;0)</f>
        <v>0</v>
      </c>
      <c r="CB44" s="2394">
        <f>SUM($J23:CB23)*(CB5&gt;0)</f>
        <v>0</v>
      </c>
      <c r="CC44" s="2394">
        <f>SUM($J23:CC23)*(CC5&gt;0)</f>
        <v>0</v>
      </c>
      <c r="CD44" s="2394">
        <f>SUM($J23:CD23)*(CD5&gt;0)</f>
        <v>0</v>
      </c>
      <c r="CE44" s="2394">
        <f>SUM($J23:CE23)*(CE5&gt;0)</f>
        <v>0</v>
      </c>
      <c r="CF44" s="2394">
        <f>SUM($J23:CF23)*(CF5&gt;0)</f>
        <v>0</v>
      </c>
      <c r="CG44" s="2394">
        <f>SUM($J23:CG23)*(CG5&gt;0)</f>
        <v>0</v>
      </c>
      <c r="CH44" s="2394">
        <f>SUM($J23:CH23)*(CH5&gt;0)</f>
        <v>0</v>
      </c>
      <c r="CI44" s="2394">
        <f>SUM($J23:CI23)*(CI5&gt;0)</f>
        <v>0</v>
      </c>
      <c r="CJ44" s="2394">
        <f>SUM($J23:CJ23)*(CJ5&gt;0)</f>
        <v>0</v>
      </c>
      <c r="CK44" s="2394">
        <f>SUM($J23:CK23)*(CK5&gt;0)</f>
        <v>0</v>
      </c>
      <c r="CL44" s="2394">
        <f>SUM($J23:CL23)*(CL5&gt;0)</f>
        <v>0</v>
      </c>
      <c r="CM44" s="2394">
        <f>SUM($J23:CM23)*(CM5&gt;0)</f>
        <v>0</v>
      </c>
      <c r="CN44" s="2394">
        <f>SUM($J23:CN23)*(CN5&gt;0)</f>
        <v>0</v>
      </c>
      <c r="CO44" s="2394">
        <f>SUM($J23:CO23)*(CO5&gt;0)</f>
        <v>0</v>
      </c>
      <c r="CP44" s="2394">
        <f>SUM($J23:CP23)*(CP5&gt;0)</f>
        <v>0</v>
      </c>
      <c r="CQ44" s="2394">
        <f>SUM($J23:CQ23)*(CQ5&gt;0)</f>
        <v>0</v>
      </c>
      <c r="CR44" s="2394">
        <f>SUM($J23:CR23)*(CR5&gt;0)</f>
        <v>0</v>
      </c>
      <c r="CS44" s="2394">
        <f>SUM($J23:CS23)*(CS5&gt;0)</f>
        <v>0</v>
      </c>
      <c r="CT44" s="2394">
        <f>SUM($J23:CT23)*(CT5&gt;0)</f>
        <v>0</v>
      </c>
      <c r="CU44" s="2394">
        <f>SUM($J23:CU23)*(CU5&gt;0)</f>
        <v>0</v>
      </c>
      <c r="CV44" s="2394">
        <f>SUM($J23:CV23)*(CV5&gt;0)</f>
        <v>0</v>
      </c>
      <c r="CW44" s="2394">
        <f>SUM($J23:CW23)*(CW5&gt;0)</f>
        <v>0</v>
      </c>
      <c r="CX44" s="2394">
        <f>SUM($J23:CX23)*(CX5&gt;0)</f>
        <v>0</v>
      </c>
      <c r="CY44" s="2394">
        <f>SUM($J23:CY23)*(CY5&gt;0)</f>
        <v>0</v>
      </c>
      <c r="CZ44" s="2394">
        <f>SUM($J23:CZ23)*(CZ5&gt;0)</f>
        <v>0</v>
      </c>
      <c r="DA44" s="2394">
        <f>SUM($J23:DA23)*(DA5&gt;0)</f>
        <v>0</v>
      </c>
      <c r="DB44" s="2394">
        <f>SUM($J23:DB23)*(DB5&gt;0)</f>
        <v>0</v>
      </c>
      <c r="DC44" s="2394">
        <f>SUM($J23:DC23)*(DC5&gt;0)</f>
        <v>0</v>
      </c>
      <c r="DD44" s="2394">
        <f>SUM($J23:DD23)*(DD5&gt;0)</f>
        <v>0</v>
      </c>
      <c r="DE44" s="2394">
        <f>SUM($J23:DE23)*(DE5&gt;0)</f>
        <v>0</v>
      </c>
      <c r="DF44" s="2394">
        <f>SUM($J23:DF23)*(DF5&gt;0)</f>
        <v>0</v>
      </c>
      <c r="DG44" s="2394">
        <f>SUM($J23:DG23)*(DG5&gt;0)</f>
        <v>0</v>
      </c>
      <c r="DH44" s="2394">
        <f>SUM($J23:DH23)*(DH5&gt;0)</f>
        <v>0</v>
      </c>
      <c r="DI44" s="2394">
        <f>SUM($J23:DI23)*(DI5&gt;0)</f>
        <v>0</v>
      </c>
      <c r="DJ44" s="2394">
        <f>SUM($J23:DJ23)*(DJ5&gt;0)</f>
        <v>0</v>
      </c>
      <c r="DK44" s="2394">
        <f>SUM($J23:DK23)*(DK5&gt;0)</f>
        <v>0</v>
      </c>
      <c r="DL44" s="2394">
        <f>SUM($J23:DL23)*(DL5&gt;0)</f>
        <v>0</v>
      </c>
      <c r="DM44" s="2394">
        <f>SUM($J23:DM23)*(DM5&gt;0)</f>
        <v>0</v>
      </c>
      <c r="DN44" s="2394">
        <f>SUM($J23:DN23)*(DN5&gt;0)</f>
        <v>0</v>
      </c>
      <c r="DO44" s="2394">
        <f>SUM($J23:DO23)*(DO5&gt;0)</f>
        <v>0</v>
      </c>
      <c r="DP44" s="2394">
        <f>SUM($J23:DP23)*(DP5&gt;0)</f>
        <v>0</v>
      </c>
      <c r="DQ44" s="2394">
        <f>SUM($J23:DQ23)*(DQ5&gt;0)</f>
        <v>0</v>
      </c>
      <c r="DR44" s="2394">
        <f>SUM($J23:DR23)*(DR5&gt;0)</f>
        <v>0</v>
      </c>
      <c r="DS44" s="2394">
        <f>SUM($J23:DS23)*(DS5&gt;0)</f>
        <v>0</v>
      </c>
      <c r="DT44" s="2394">
        <f>SUM($J23:DT23)*(DT5&gt;0)</f>
        <v>0</v>
      </c>
      <c r="DU44" s="2394">
        <f>SUM($J23:DU23)*(DU5&gt;0)</f>
        <v>0</v>
      </c>
      <c r="DV44" s="2394">
        <f>SUM($J23:DV23)*(DV5&gt;0)</f>
        <v>0</v>
      </c>
      <c r="DW44" s="2394">
        <f>SUM($J23:DW23)*(DW5&gt;0)</f>
        <v>0</v>
      </c>
      <c r="DX44" s="2394">
        <f>SUM($J23:DX23)*(DX5&gt;0)</f>
        <v>0</v>
      </c>
      <c r="DY44" s="2394">
        <f>SUM($J23:DY23)*(DY5&gt;0)</f>
        <v>0</v>
      </c>
      <c r="DZ44" s="2394">
        <f>SUM($J23:DZ23)*(DZ5&gt;0)</f>
        <v>0</v>
      </c>
      <c r="EA44" s="2394">
        <f>SUM($J23:EA23)*(EA5&gt;0)</f>
        <v>0</v>
      </c>
      <c r="EB44" s="2394">
        <f>SUM($J23:EB23)*(EB5&gt;0)</f>
        <v>0</v>
      </c>
      <c r="EC44" s="2394">
        <f>SUM($J23:EC23)*(EC5&gt;0)</f>
        <v>0</v>
      </c>
      <c r="ED44" s="2394">
        <f>SUM($J23:ED23)*(ED5&gt;0)</f>
        <v>0</v>
      </c>
      <c r="EE44" s="2394">
        <f>SUM($J23:EE23)*(EE5&gt;0)</f>
        <v>0</v>
      </c>
      <c r="EF44" s="2394">
        <f>SUM($J23:EF23)*(EF5&gt;0)</f>
        <v>0</v>
      </c>
      <c r="EG44" s="2394">
        <f>SUM($J23:EG23)*(EG5&gt;0)</f>
        <v>0</v>
      </c>
      <c r="EH44" s="2394">
        <f>SUM($J23:EH23)*(EH5&gt;0)</f>
        <v>0</v>
      </c>
      <c r="EI44" s="2394">
        <f>SUM($J23:EI23)*(EI5&gt;0)</f>
        <v>0</v>
      </c>
      <c r="EJ44" s="2394">
        <f>SUM($J23:EJ23)*(EJ5&gt;0)</f>
        <v>0</v>
      </c>
      <c r="EK44" s="2394">
        <f>SUM($J23:EK23)*(EK5&gt;0)</f>
        <v>0</v>
      </c>
      <c r="EL44" s="2394">
        <f>SUM($J23:EL23)*(EL5&gt;0)</f>
        <v>0</v>
      </c>
      <c r="EM44" s="2394">
        <f>SUM($J23:EM23)*(EM5&gt;0)</f>
        <v>0</v>
      </c>
      <c r="EN44" s="2394">
        <f>SUM($J23:EN23)*(EN5&gt;0)</f>
        <v>0</v>
      </c>
      <c r="EO44" s="2394">
        <f>SUM($J23:EO23)*(EO5&gt;0)</f>
        <v>0</v>
      </c>
      <c r="EP44" s="2394">
        <f>SUM($J23:EP23)*(EP5&gt;0)</f>
        <v>0</v>
      </c>
      <c r="EQ44" s="2394">
        <f>SUM($J23:EQ23)*(EQ5&gt;0)</f>
        <v>0</v>
      </c>
      <c r="ER44" s="2394">
        <f>SUM($J23:ER23)*(ER5&gt;0)</f>
        <v>0</v>
      </c>
      <c r="ES44" s="2394">
        <f>SUM($J23:ES23)*(ES5&gt;0)</f>
        <v>0</v>
      </c>
      <c r="ET44" s="2394">
        <f>SUM($J23:ET23)*(ET5&gt;0)</f>
        <v>0</v>
      </c>
      <c r="EU44" s="2394">
        <f>SUM($J23:EU23)*(EU5&gt;0)</f>
        <v>0</v>
      </c>
      <c r="EV44" s="2394">
        <f>SUM($J23:EV23)*(EV5&gt;0)</f>
        <v>0</v>
      </c>
      <c r="EW44" s="2394">
        <f>SUM($J23:EW23)*(EW5&gt;0)</f>
        <v>0</v>
      </c>
      <c r="EX44" s="2394">
        <f>SUM($J23:EX23)*(EX5&gt;0)</f>
        <v>0</v>
      </c>
      <c r="EY44" s="2394">
        <f>SUM($J23:EY23)*(EY5&gt;0)</f>
        <v>0</v>
      </c>
      <c r="EZ44" s="2394">
        <f>SUM($J23:EZ23)*(EZ5&gt;0)</f>
        <v>0</v>
      </c>
      <c r="FA44" s="2394">
        <f>SUM($J23:FA23)*(FA5&gt;0)</f>
        <v>0</v>
      </c>
      <c r="FB44" s="2394">
        <f>SUM($J23:FB23)*(FB5&gt;0)</f>
        <v>0</v>
      </c>
      <c r="FC44" s="2394">
        <f>SUM($J23:FC23)*(FC5&gt;0)</f>
        <v>0</v>
      </c>
      <c r="FD44" s="2394">
        <f>SUM($J23:FD23)*(FD5&gt;0)</f>
        <v>0</v>
      </c>
      <c r="FE44" s="2394">
        <f>SUM($J23:FE23)*(FE5&gt;0)</f>
        <v>0</v>
      </c>
      <c r="FF44" s="2394">
        <f>SUM($J23:FF23)*(FF5&gt;0)</f>
        <v>0</v>
      </c>
      <c r="FG44" s="2394">
        <f>SUM($J23:FG23)*(FG5&gt;0)</f>
        <v>0</v>
      </c>
      <c r="FH44" s="2394">
        <f>SUM($J23:FH23)*(FH5&gt;0)</f>
        <v>0</v>
      </c>
      <c r="FI44" s="2394">
        <f>SUM($J23:FI23)*(FI5&gt;0)</f>
        <v>0</v>
      </c>
      <c r="FJ44" s="2394">
        <f>SUM($J23:FJ23)*(FJ5&gt;0)</f>
        <v>0</v>
      </c>
      <c r="FK44" s="2394">
        <f>SUM($J23:FK23)*(FK5&gt;0)</f>
        <v>0</v>
      </c>
      <c r="FL44" s="2394">
        <f>SUM($J23:FL23)*(FL5&gt;0)</f>
        <v>0</v>
      </c>
      <c r="FM44" s="2394">
        <f>SUM($J23:FM23)*(FM5&gt;0)</f>
        <v>0</v>
      </c>
      <c r="FN44" s="2394">
        <f>SUM($J23:FN23)*(FN5&gt;0)</f>
        <v>0</v>
      </c>
      <c r="FO44" s="2394">
        <f>SUM($J23:FO23)*(FO5&gt;0)</f>
        <v>0</v>
      </c>
      <c r="FP44" s="2394">
        <f>SUM($J23:FP23)*(FP5&gt;0)</f>
        <v>0</v>
      </c>
      <c r="FQ44" s="2394">
        <f>SUM($J23:FQ23)*(FQ5&gt;0)</f>
        <v>0</v>
      </c>
      <c r="FR44" s="2394">
        <f>SUM($J23:FR23)*(FR5&gt;0)</f>
        <v>0</v>
      </c>
      <c r="FS44" s="2394">
        <f>SUM($J23:FS23)*(FS5&gt;0)</f>
        <v>0</v>
      </c>
      <c r="FT44" s="2394">
        <f>SUM($J23:FT23)*(FT5&gt;0)</f>
        <v>0</v>
      </c>
      <c r="FU44" s="2394">
        <f>SUM($J23:FU23)*(FU5&gt;0)</f>
        <v>0</v>
      </c>
      <c r="FV44" s="2394">
        <f>SUM($J23:FV23)*(FV5&gt;0)</f>
        <v>0</v>
      </c>
      <c r="FW44" s="2394">
        <f>SUM($J23:FW23)*(FW5&gt;0)</f>
        <v>0</v>
      </c>
      <c r="FX44" s="2394">
        <f>SUM($J23:FX23)*(FX5&gt;0)</f>
        <v>0</v>
      </c>
      <c r="FY44" s="2394">
        <f>SUM($J23:FY23)*(FY5&gt;0)</f>
        <v>0</v>
      </c>
      <c r="FZ44" s="2394">
        <f>SUM($J23:FZ23)*(FZ5&gt;0)</f>
        <v>0</v>
      </c>
      <c r="GA44" s="2394">
        <f>SUM($J23:GA23)*(GA5&gt;0)</f>
        <v>0</v>
      </c>
      <c r="GB44" s="2394">
        <f>SUM($J23:GB23)*(GB5&gt;0)</f>
        <v>0</v>
      </c>
      <c r="GC44" s="2394">
        <f>SUM($J23:GC23)*(GC5&gt;0)</f>
        <v>0</v>
      </c>
      <c r="GD44" s="2394">
        <f>SUM($J23:GD23)*(GD5&gt;0)</f>
        <v>0</v>
      </c>
      <c r="GE44" s="2394">
        <f>SUM($J23:GE23)*(GE5&gt;0)</f>
        <v>0</v>
      </c>
      <c r="GF44" s="2394">
        <f>SUM($J23:GF23)*(GF5&gt;0)</f>
        <v>0</v>
      </c>
      <c r="GG44" s="2394">
        <f>SUM($J23:GG23)*(GG5&gt;0)</f>
        <v>0</v>
      </c>
      <c r="GH44" s="2394">
        <f>SUM($J23:GH23)*(GH5&gt;0)</f>
        <v>0</v>
      </c>
      <c r="GI44" s="2394">
        <f>SUM($J23:GI23)*(GI5&gt;0)</f>
        <v>0</v>
      </c>
      <c r="GJ44" s="2394">
        <f>SUM($J23:GJ23)*(GJ5&gt;0)</f>
        <v>0</v>
      </c>
      <c r="GK44" s="2394">
        <f>SUM($J23:GK23)*(GK5&gt;0)</f>
        <v>0</v>
      </c>
      <c r="GL44" s="2394">
        <f>SUM($J23:GL23)*(GL5&gt;0)</f>
        <v>0</v>
      </c>
      <c r="GM44" s="2394">
        <f>SUM($J23:GM23)*(GM5&gt;0)</f>
        <v>0</v>
      </c>
      <c r="GN44" s="2394">
        <f>SUM($J23:GN23)*(GN5&gt;0)</f>
        <v>0</v>
      </c>
      <c r="GO44" s="2394">
        <f>SUM($J23:GO23)*(GO5&gt;0)</f>
        <v>0</v>
      </c>
      <c r="GP44" s="2394">
        <f>SUM($J23:GP23)*(GP5&gt;0)</f>
        <v>0</v>
      </c>
      <c r="GQ44" s="2394">
        <f>SUM($J23:GQ23)*(GQ5&gt;0)</f>
        <v>0</v>
      </c>
      <c r="GR44" s="2394">
        <f>SUM($J23:GR23)*(GR5&gt;0)</f>
        <v>0</v>
      </c>
      <c r="GS44" s="2394">
        <f>SUM($J23:GS23)*(GS5&gt;0)</f>
        <v>0</v>
      </c>
      <c r="GT44" s="2394">
        <f>SUM($J23:GT23)*(GT5&gt;0)</f>
        <v>0</v>
      </c>
      <c r="GU44" s="2394">
        <f>SUM($J23:GU23)*(GU5&gt;0)</f>
        <v>0</v>
      </c>
      <c r="GV44" s="2394">
        <f>SUM($J23:GV23)*(GV5&gt;0)</f>
        <v>0</v>
      </c>
      <c r="GW44" s="2394">
        <f>SUM($J23:GW23)*(GW5&gt;0)</f>
        <v>0</v>
      </c>
      <c r="GX44" s="2394">
        <f>SUM($J23:GX23)*(GX5&gt;0)</f>
        <v>0</v>
      </c>
      <c r="GY44" s="2394">
        <f>SUM($J23:GY23)*(GY5&gt;0)</f>
        <v>0</v>
      </c>
      <c r="GZ44" s="2394">
        <f>SUM($J23:GZ23)*(GZ5&gt;0)</f>
        <v>0</v>
      </c>
      <c r="HA44" s="2394">
        <f>SUM($J23:HA23)*(HA5&gt;0)</f>
        <v>0</v>
      </c>
      <c r="HB44" s="2394">
        <f>SUM($J23:HB23)*(HB5&gt;0)</f>
        <v>0</v>
      </c>
      <c r="HC44" s="2394">
        <f>SUM($J23:HC23)*(HC5&gt;0)</f>
        <v>0</v>
      </c>
      <c r="HD44" s="2394">
        <f>SUM($J23:HD23)*(HD5&gt;0)</f>
        <v>0</v>
      </c>
      <c r="HE44" s="2394">
        <f>SUM($J23:HE23)*(HE5&gt;0)</f>
        <v>0</v>
      </c>
      <c r="HF44" s="2394">
        <f>SUM($J23:HF23)*(HF5&gt;0)</f>
        <v>0</v>
      </c>
      <c r="HG44" s="2394">
        <f>SUM($J23:HG23)*(HG5&gt;0)</f>
        <v>0</v>
      </c>
      <c r="HH44" s="2394">
        <f>SUM($J23:HH23)*(HH5&gt;0)</f>
        <v>0</v>
      </c>
      <c r="HI44" s="2394">
        <f>SUM($J23:HI23)*(HI5&gt;0)</f>
        <v>0</v>
      </c>
      <c r="HJ44" s="2394">
        <f>SUM($J23:HJ23)*(HJ5&gt;0)</f>
        <v>0</v>
      </c>
      <c r="HK44" s="2394">
        <f>SUM($J23:HK23)*(HK5&gt;0)</f>
        <v>0</v>
      </c>
      <c r="HL44" s="2394">
        <f>SUM($J23:HL23)*(HL5&gt;0)</f>
        <v>0</v>
      </c>
      <c r="HM44" s="2394">
        <f>SUM($J23:HM23)*(HM5&gt;0)</f>
        <v>0</v>
      </c>
      <c r="HN44" s="2394">
        <f>SUM($J23:HN23)*(HN5&gt;0)</f>
        <v>0</v>
      </c>
      <c r="HO44" s="2394">
        <f>SUM($J23:HO23)*(HO5&gt;0)</f>
        <v>0</v>
      </c>
      <c r="HP44" s="2394">
        <f>SUM($J23:HP23)*(HP5&gt;0)</f>
        <v>0</v>
      </c>
      <c r="HQ44" s="2394">
        <f>SUM($J23:HQ23)*(HQ5&gt;0)</f>
        <v>0</v>
      </c>
      <c r="HR44" s="2394">
        <f>SUM($J23:HR23)*(HR5&gt;0)</f>
        <v>0</v>
      </c>
      <c r="HS44" s="2394">
        <f>SUM($J23:HS23)*(HS5&gt;0)</f>
        <v>0</v>
      </c>
      <c r="HT44" s="2394">
        <f>SUM($J23:HT23)*(HT5&gt;0)</f>
        <v>0</v>
      </c>
      <c r="HU44" s="2394">
        <f>SUM($J23:HU23)*(HU5&gt;0)</f>
        <v>0</v>
      </c>
      <c r="HV44" s="2394">
        <f>SUM($J23:HV23)*(HV5&gt;0)</f>
        <v>0</v>
      </c>
      <c r="HW44" s="2394">
        <f>SUM($J23:HW23)*(HW5&gt;0)</f>
        <v>0</v>
      </c>
      <c r="HX44" s="2394">
        <f>SUM($J23:HX23)*(HX5&gt;0)</f>
        <v>0</v>
      </c>
      <c r="HY44" s="2394">
        <f>SUM($J23:HY23)*(HY5&gt;0)</f>
        <v>0</v>
      </c>
      <c r="HZ44" s="2394">
        <f>SUM($J23:HZ23)*(HZ5&gt;0)</f>
        <v>0</v>
      </c>
      <c r="IA44" s="2394">
        <f>SUM($J23:IA23)*(IA5&gt;0)</f>
        <v>0</v>
      </c>
    </row>
    <row r="45" spans="2:311">
      <c r="C45" s="2383"/>
      <c r="D45" s="2384" t="s">
        <v>3927</v>
      </c>
      <c r="E45" s="2385"/>
      <c r="F45" s="2385"/>
      <c r="G45" s="2386"/>
      <c r="H45" s="2460">
        <f>MAX(J45:IA45)</f>
        <v>62859.06144715703</v>
      </c>
      <c r="I45" s="2459"/>
      <c r="J45" s="2395">
        <f t="shared" ref="J45:BU45" si="75">(I45+SUMIFS($C$82:$C$109,$D$82:$D$109,J41,$B$82:$B$109,J42))*(J5&gt;0)</f>
        <v>0</v>
      </c>
      <c r="K45" s="2387">
        <f t="shared" si="75"/>
        <v>0</v>
      </c>
      <c r="L45" s="2393">
        <f t="shared" si="75"/>
        <v>0</v>
      </c>
      <c r="M45" s="2395">
        <f t="shared" si="75"/>
        <v>72.010881250868138</v>
      </c>
      <c r="N45" s="2387">
        <f t="shared" si="75"/>
        <v>303.77599193675428</v>
      </c>
      <c r="O45" s="2393">
        <f t="shared" si="75"/>
        <v>573.19110400219711</v>
      </c>
      <c r="P45" s="2387">
        <f t="shared" si="75"/>
        <v>1024.9047599810328</v>
      </c>
      <c r="Q45" s="2392">
        <f t="shared" si="75"/>
        <v>1598.606898362998</v>
      </c>
      <c r="R45" s="2393">
        <f t="shared" si="75"/>
        <v>2252.1419135443366</v>
      </c>
      <c r="S45" s="2387">
        <f t="shared" si="75"/>
        <v>3116.4557973179685</v>
      </c>
      <c r="T45" s="2392">
        <f t="shared" si="75"/>
        <v>4404.5586657001841</v>
      </c>
      <c r="U45" s="2394">
        <f t="shared" si="75"/>
        <v>5834.5469247835917</v>
      </c>
      <c r="V45" s="2394">
        <f t="shared" si="75"/>
        <v>7426.5141372653361</v>
      </c>
      <c r="W45" s="2394">
        <f t="shared" si="75"/>
        <v>9154.0910045002129</v>
      </c>
      <c r="X45" s="2394">
        <f t="shared" si="75"/>
        <v>10979.552299502413</v>
      </c>
      <c r="Y45" s="2394">
        <f t="shared" si="75"/>
        <v>13059.044199806256</v>
      </c>
      <c r="Z45" s="2394">
        <f t="shared" si="75"/>
        <v>15802.014041158393</v>
      </c>
      <c r="AA45" s="2394">
        <f t="shared" si="75"/>
        <v>18824.987624908663</v>
      </c>
      <c r="AB45" s="2394">
        <f t="shared" si="75"/>
        <v>22261.853136223082</v>
      </c>
      <c r="AC45" s="2394">
        <f t="shared" si="75"/>
        <v>26153.115461010428</v>
      </c>
      <c r="AD45" s="2394">
        <f t="shared" si="75"/>
        <v>30752.164078873484</v>
      </c>
      <c r="AE45" s="2394">
        <f t="shared" si="75"/>
        <v>36089.772222494372</v>
      </c>
      <c r="AF45" s="2394">
        <f t="shared" si="75"/>
        <v>42112.583647467211</v>
      </c>
      <c r="AG45" s="2394">
        <f t="shared" si="75"/>
        <v>49059.382304846913</v>
      </c>
      <c r="AH45" s="2394">
        <f t="shared" si="75"/>
        <v>55862.113204028195</v>
      </c>
      <c r="AI45" s="2394">
        <f t="shared" si="75"/>
        <v>62859.06144715703</v>
      </c>
      <c r="AJ45" s="2394">
        <f t="shared" si="75"/>
        <v>0</v>
      </c>
      <c r="AK45" s="2394">
        <f t="shared" si="75"/>
        <v>0</v>
      </c>
      <c r="AL45" s="2394">
        <f t="shared" si="75"/>
        <v>0</v>
      </c>
      <c r="AM45" s="2394">
        <f t="shared" si="75"/>
        <v>0</v>
      </c>
      <c r="AN45" s="2394">
        <f t="shared" si="75"/>
        <v>0</v>
      </c>
      <c r="AO45" s="2394">
        <f t="shared" si="75"/>
        <v>0</v>
      </c>
      <c r="AP45" s="2394">
        <f t="shared" si="75"/>
        <v>0</v>
      </c>
      <c r="AQ45" s="2394">
        <f t="shared" si="75"/>
        <v>0</v>
      </c>
      <c r="AR45" s="2394">
        <f t="shared" si="75"/>
        <v>0</v>
      </c>
      <c r="AS45" s="2394">
        <f t="shared" si="75"/>
        <v>0</v>
      </c>
      <c r="AT45" s="2394">
        <f t="shared" si="75"/>
        <v>0</v>
      </c>
      <c r="AU45" s="2394">
        <f t="shared" si="75"/>
        <v>0</v>
      </c>
      <c r="AV45" s="2394">
        <f t="shared" si="75"/>
        <v>0</v>
      </c>
      <c r="AW45" s="2394">
        <f t="shared" si="75"/>
        <v>0</v>
      </c>
      <c r="AX45" s="2394">
        <f t="shared" si="75"/>
        <v>0</v>
      </c>
      <c r="AY45" s="2394">
        <f t="shared" si="75"/>
        <v>0</v>
      </c>
      <c r="AZ45" s="2394">
        <f t="shared" si="75"/>
        <v>0</v>
      </c>
      <c r="BA45" s="2394">
        <f t="shared" si="75"/>
        <v>0</v>
      </c>
      <c r="BB45" s="2394">
        <f t="shared" si="75"/>
        <v>0</v>
      </c>
      <c r="BC45" s="2394">
        <f t="shared" si="75"/>
        <v>0</v>
      </c>
      <c r="BD45" s="2394">
        <f t="shared" si="75"/>
        <v>0</v>
      </c>
      <c r="BE45" s="2394">
        <f t="shared" si="75"/>
        <v>0</v>
      </c>
      <c r="BF45" s="2394">
        <f t="shared" si="75"/>
        <v>0</v>
      </c>
      <c r="BG45" s="2394">
        <f t="shared" si="75"/>
        <v>0</v>
      </c>
      <c r="BH45" s="2394">
        <f t="shared" si="75"/>
        <v>0</v>
      </c>
      <c r="BI45" s="2394">
        <f t="shared" si="75"/>
        <v>0</v>
      </c>
      <c r="BJ45" s="2394">
        <f t="shared" si="75"/>
        <v>0</v>
      </c>
      <c r="BK45" s="2394">
        <f t="shared" si="75"/>
        <v>0</v>
      </c>
      <c r="BL45" s="2394">
        <f t="shared" si="75"/>
        <v>0</v>
      </c>
      <c r="BM45" s="2394">
        <f t="shared" si="75"/>
        <v>0</v>
      </c>
      <c r="BN45" s="2394">
        <f t="shared" si="75"/>
        <v>0</v>
      </c>
      <c r="BO45" s="2394">
        <f t="shared" si="75"/>
        <v>0</v>
      </c>
      <c r="BP45" s="2394">
        <f t="shared" si="75"/>
        <v>0</v>
      </c>
      <c r="BQ45" s="2394">
        <f t="shared" si="75"/>
        <v>0</v>
      </c>
      <c r="BR45" s="2394">
        <f t="shared" si="75"/>
        <v>0</v>
      </c>
      <c r="BS45" s="2394">
        <f t="shared" si="75"/>
        <v>0</v>
      </c>
      <c r="BT45" s="2394">
        <f t="shared" si="75"/>
        <v>0</v>
      </c>
      <c r="BU45" s="2394">
        <f t="shared" si="75"/>
        <v>0</v>
      </c>
      <c r="BV45" s="2394">
        <f t="shared" ref="BV45:EG45" si="76">(BU45+SUMIFS($C$82:$C$109,$D$82:$D$109,BV41,$B$82:$B$109,BV42))*(BV5&gt;0)</f>
        <v>0</v>
      </c>
      <c r="BW45" s="2394">
        <f t="shared" si="76"/>
        <v>0</v>
      </c>
      <c r="BX45" s="2394">
        <f t="shared" si="76"/>
        <v>0</v>
      </c>
      <c r="BY45" s="2394">
        <f t="shared" si="76"/>
        <v>0</v>
      </c>
      <c r="BZ45" s="2394">
        <f t="shared" si="76"/>
        <v>0</v>
      </c>
      <c r="CA45" s="2394">
        <f t="shared" si="76"/>
        <v>0</v>
      </c>
      <c r="CB45" s="2394">
        <f t="shared" si="76"/>
        <v>0</v>
      </c>
      <c r="CC45" s="2394">
        <f t="shared" si="76"/>
        <v>0</v>
      </c>
      <c r="CD45" s="2394">
        <f t="shared" si="76"/>
        <v>0</v>
      </c>
      <c r="CE45" s="2394">
        <f t="shared" si="76"/>
        <v>0</v>
      </c>
      <c r="CF45" s="2394">
        <f t="shared" si="76"/>
        <v>0</v>
      </c>
      <c r="CG45" s="2394">
        <f t="shared" si="76"/>
        <v>0</v>
      </c>
      <c r="CH45" s="2394">
        <f t="shared" si="76"/>
        <v>0</v>
      </c>
      <c r="CI45" s="2394">
        <f t="shared" si="76"/>
        <v>0</v>
      </c>
      <c r="CJ45" s="2394">
        <f t="shared" si="76"/>
        <v>0</v>
      </c>
      <c r="CK45" s="2394">
        <f t="shared" si="76"/>
        <v>0</v>
      </c>
      <c r="CL45" s="2394">
        <f t="shared" si="76"/>
        <v>0</v>
      </c>
      <c r="CM45" s="2394">
        <f t="shared" si="76"/>
        <v>0</v>
      </c>
      <c r="CN45" s="2394">
        <f t="shared" si="76"/>
        <v>0</v>
      </c>
      <c r="CO45" s="2394">
        <f t="shared" si="76"/>
        <v>0</v>
      </c>
      <c r="CP45" s="2394">
        <f t="shared" si="76"/>
        <v>0</v>
      </c>
      <c r="CQ45" s="2394">
        <f t="shared" si="76"/>
        <v>0</v>
      </c>
      <c r="CR45" s="2394">
        <f t="shared" si="76"/>
        <v>0</v>
      </c>
      <c r="CS45" s="2394">
        <f t="shared" si="76"/>
        <v>0</v>
      </c>
      <c r="CT45" s="2394">
        <f t="shared" si="76"/>
        <v>0</v>
      </c>
      <c r="CU45" s="2394">
        <f t="shared" si="76"/>
        <v>0</v>
      </c>
      <c r="CV45" s="2394">
        <f t="shared" si="76"/>
        <v>0</v>
      </c>
      <c r="CW45" s="2394">
        <f t="shared" si="76"/>
        <v>0</v>
      </c>
      <c r="CX45" s="2394">
        <f t="shared" si="76"/>
        <v>0</v>
      </c>
      <c r="CY45" s="2394">
        <f t="shared" si="76"/>
        <v>0</v>
      </c>
      <c r="CZ45" s="2394">
        <f t="shared" si="76"/>
        <v>0</v>
      </c>
      <c r="DA45" s="2394">
        <f t="shared" si="76"/>
        <v>0</v>
      </c>
      <c r="DB45" s="2394">
        <f t="shared" si="76"/>
        <v>0</v>
      </c>
      <c r="DC45" s="2394">
        <f t="shared" si="76"/>
        <v>0</v>
      </c>
      <c r="DD45" s="2394">
        <f t="shared" si="76"/>
        <v>0</v>
      </c>
      <c r="DE45" s="2394">
        <f t="shared" si="76"/>
        <v>0</v>
      </c>
      <c r="DF45" s="2394">
        <f t="shared" si="76"/>
        <v>0</v>
      </c>
      <c r="DG45" s="2394">
        <f t="shared" si="76"/>
        <v>0</v>
      </c>
      <c r="DH45" s="2394">
        <f t="shared" si="76"/>
        <v>0</v>
      </c>
      <c r="DI45" s="2394">
        <f t="shared" si="76"/>
        <v>0</v>
      </c>
      <c r="DJ45" s="2394">
        <f t="shared" si="76"/>
        <v>0</v>
      </c>
      <c r="DK45" s="2394">
        <f t="shared" si="76"/>
        <v>0</v>
      </c>
      <c r="DL45" s="2394">
        <f t="shared" si="76"/>
        <v>0</v>
      </c>
      <c r="DM45" s="2394">
        <f t="shared" si="76"/>
        <v>0</v>
      </c>
      <c r="DN45" s="2394">
        <f t="shared" si="76"/>
        <v>0</v>
      </c>
      <c r="DO45" s="2394">
        <f t="shared" si="76"/>
        <v>0</v>
      </c>
      <c r="DP45" s="2394">
        <f t="shared" si="76"/>
        <v>0</v>
      </c>
      <c r="DQ45" s="2394">
        <f t="shared" si="76"/>
        <v>0</v>
      </c>
      <c r="DR45" s="2394">
        <f t="shared" si="76"/>
        <v>0</v>
      </c>
      <c r="DS45" s="2394">
        <f t="shared" si="76"/>
        <v>0</v>
      </c>
      <c r="DT45" s="2394">
        <f t="shared" si="76"/>
        <v>0</v>
      </c>
      <c r="DU45" s="2394">
        <f t="shared" si="76"/>
        <v>0</v>
      </c>
      <c r="DV45" s="2394">
        <f t="shared" si="76"/>
        <v>0</v>
      </c>
      <c r="DW45" s="2394">
        <f t="shared" si="76"/>
        <v>0</v>
      </c>
      <c r="DX45" s="2394">
        <f t="shared" si="76"/>
        <v>0</v>
      </c>
      <c r="DY45" s="2394">
        <f t="shared" si="76"/>
        <v>0</v>
      </c>
      <c r="DZ45" s="2394">
        <f t="shared" si="76"/>
        <v>0</v>
      </c>
      <c r="EA45" s="2394">
        <f t="shared" si="76"/>
        <v>0</v>
      </c>
      <c r="EB45" s="2394">
        <f t="shared" si="76"/>
        <v>0</v>
      </c>
      <c r="EC45" s="2394">
        <f t="shared" si="76"/>
        <v>0</v>
      </c>
      <c r="ED45" s="2394">
        <f t="shared" si="76"/>
        <v>0</v>
      </c>
      <c r="EE45" s="2394">
        <f t="shared" si="76"/>
        <v>0</v>
      </c>
      <c r="EF45" s="2394">
        <f t="shared" si="76"/>
        <v>0</v>
      </c>
      <c r="EG45" s="2394">
        <f t="shared" si="76"/>
        <v>0</v>
      </c>
      <c r="EH45" s="2394">
        <f t="shared" ref="EH45:GS45" si="77">(EG45+SUMIFS($C$82:$C$109,$D$82:$D$109,EH41,$B$82:$B$109,EH42))*(EH5&gt;0)</f>
        <v>0</v>
      </c>
      <c r="EI45" s="2394">
        <f t="shared" si="77"/>
        <v>0</v>
      </c>
      <c r="EJ45" s="2394">
        <f t="shared" si="77"/>
        <v>0</v>
      </c>
      <c r="EK45" s="2394">
        <f t="shared" si="77"/>
        <v>0</v>
      </c>
      <c r="EL45" s="2394">
        <f t="shared" si="77"/>
        <v>0</v>
      </c>
      <c r="EM45" s="2394">
        <f t="shared" si="77"/>
        <v>0</v>
      </c>
      <c r="EN45" s="2394">
        <f t="shared" si="77"/>
        <v>0</v>
      </c>
      <c r="EO45" s="2394">
        <f t="shared" si="77"/>
        <v>0</v>
      </c>
      <c r="EP45" s="2394">
        <f t="shared" si="77"/>
        <v>0</v>
      </c>
      <c r="EQ45" s="2394">
        <f t="shared" si="77"/>
        <v>0</v>
      </c>
      <c r="ER45" s="2394">
        <f t="shared" si="77"/>
        <v>0</v>
      </c>
      <c r="ES45" s="2394">
        <f t="shared" si="77"/>
        <v>0</v>
      </c>
      <c r="ET45" s="2394">
        <f t="shared" si="77"/>
        <v>0</v>
      </c>
      <c r="EU45" s="2394">
        <f t="shared" si="77"/>
        <v>0</v>
      </c>
      <c r="EV45" s="2394">
        <f t="shared" si="77"/>
        <v>0</v>
      </c>
      <c r="EW45" s="2394">
        <f t="shared" si="77"/>
        <v>0</v>
      </c>
      <c r="EX45" s="2394">
        <f t="shared" si="77"/>
        <v>0</v>
      </c>
      <c r="EY45" s="2394">
        <f t="shared" si="77"/>
        <v>0</v>
      </c>
      <c r="EZ45" s="2394">
        <f t="shared" si="77"/>
        <v>0</v>
      </c>
      <c r="FA45" s="2394">
        <f t="shared" si="77"/>
        <v>0</v>
      </c>
      <c r="FB45" s="2394">
        <f t="shared" si="77"/>
        <v>0</v>
      </c>
      <c r="FC45" s="2394">
        <f t="shared" si="77"/>
        <v>0</v>
      </c>
      <c r="FD45" s="2394">
        <f t="shared" si="77"/>
        <v>0</v>
      </c>
      <c r="FE45" s="2394">
        <f t="shared" si="77"/>
        <v>0</v>
      </c>
      <c r="FF45" s="2394">
        <f t="shared" si="77"/>
        <v>0</v>
      </c>
      <c r="FG45" s="2394">
        <f t="shared" si="77"/>
        <v>0</v>
      </c>
      <c r="FH45" s="2394">
        <f t="shared" si="77"/>
        <v>0</v>
      </c>
      <c r="FI45" s="2394">
        <f t="shared" si="77"/>
        <v>0</v>
      </c>
      <c r="FJ45" s="2394">
        <f t="shared" si="77"/>
        <v>0</v>
      </c>
      <c r="FK45" s="2394">
        <f t="shared" si="77"/>
        <v>0</v>
      </c>
      <c r="FL45" s="2394">
        <f t="shared" si="77"/>
        <v>0</v>
      </c>
      <c r="FM45" s="2394">
        <f t="shared" si="77"/>
        <v>0</v>
      </c>
      <c r="FN45" s="2394">
        <f t="shared" si="77"/>
        <v>0</v>
      </c>
      <c r="FO45" s="2394">
        <f t="shared" si="77"/>
        <v>0</v>
      </c>
      <c r="FP45" s="2394">
        <f t="shared" si="77"/>
        <v>0</v>
      </c>
      <c r="FQ45" s="2394">
        <f t="shared" si="77"/>
        <v>0</v>
      </c>
      <c r="FR45" s="2394">
        <f t="shared" si="77"/>
        <v>0</v>
      </c>
      <c r="FS45" s="2394">
        <f t="shared" si="77"/>
        <v>0</v>
      </c>
      <c r="FT45" s="2394">
        <f t="shared" si="77"/>
        <v>0</v>
      </c>
      <c r="FU45" s="2394">
        <f t="shared" si="77"/>
        <v>0</v>
      </c>
      <c r="FV45" s="2394">
        <f t="shared" si="77"/>
        <v>0</v>
      </c>
      <c r="FW45" s="2394">
        <f t="shared" si="77"/>
        <v>0</v>
      </c>
      <c r="FX45" s="2394">
        <f t="shared" si="77"/>
        <v>0</v>
      </c>
      <c r="FY45" s="2394">
        <f t="shared" si="77"/>
        <v>0</v>
      </c>
      <c r="FZ45" s="2394">
        <f t="shared" si="77"/>
        <v>0</v>
      </c>
      <c r="GA45" s="2394">
        <f t="shared" si="77"/>
        <v>0</v>
      </c>
      <c r="GB45" s="2394">
        <f t="shared" si="77"/>
        <v>0</v>
      </c>
      <c r="GC45" s="2394">
        <f t="shared" si="77"/>
        <v>0</v>
      </c>
      <c r="GD45" s="2394">
        <f t="shared" si="77"/>
        <v>0</v>
      </c>
      <c r="GE45" s="2394">
        <f t="shared" si="77"/>
        <v>0</v>
      </c>
      <c r="GF45" s="2394">
        <f t="shared" si="77"/>
        <v>0</v>
      </c>
      <c r="GG45" s="2394">
        <f t="shared" si="77"/>
        <v>0</v>
      </c>
      <c r="GH45" s="2394">
        <f t="shared" si="77"/>
        <v>0</v>
      </c>
      <c r="GI45" s="2394">
        <f t="shared" si="77"/>
        <v>0</v>
      </c>
      <c r="GJ45" s="2394">
        <f t="shared" si="77"/>
        <v>0</v>
      </c>
      <c r="GK45" s="2394">
        <f t="shared" si="77"/>
        <v>0</v>
      </c>
      <c r="GL45" s="2394">
        <f t="shared" si="77"/>
        <v>0</v>
      </c>
      <c r="GM45" s="2394">
        <f t="shared" si="77"/>
        <v>0</v>
      </c>
      <c r="GN45" s="2394">
        <f t="shared" si="77"/>
        <v>0</v>
      </c>
      <c r="GO45" s="2394">
        <f t="shared" si="77"/>
        <v>0</v>
      </c>
      <c r="GP45" s="2394">
        <f t="shared" si="77"/>
        <v>0</v>
      </c>
      <c r="GQ45" s="2394">
        <f t="shared" si="77"/>
        <v>0</v>
      </c>
      <c r="GR45" s="2394">
        <f t="shared" si="77"/>
        <v>0</v>
      </c>
      <c r="GS45" s="2394">
        <f t="shared" si="77"/>
        <v>0</v>
      </c>
      <c r="GT45" s="2394">
        <f t="shared" ref="GT45:IA45" si="78">(GS45+SUMIFS($C$82:$C$109,$D$82:$D$109,GT41,$B$82:$B$109,GT42))*(GT5&gt;0)</f>
        <v>0</v>
      </c>
      <c r="GU45" s="2394">
        <f t="shared" si="78"/>
        <v>0</v>
      </c>
      <c r="GV45" s="2394">
        <f t="shared" si="78"/>
        <v>0</v>
      </c>
      <c r="GW45" s="2394">
        <f t="shared" si="78"/>
        <v>0</v>
      </c>
      <c r="GX45" s="2394">
        <f t="shared" si="78"/>
        <v>0</v>
      </c>
      <c r="GY45" s="2394">
        <f t="shared" si="78"/>
        <v>0</v>
      </c>
      <c r="GZ45" s="2394">
        <f t="shared" si="78"/>
        <v>0</v>
      </c>
      <c r="HA45" s="2394">
        <f t="shared" si="78"/>
        <v>0</v>
      </c>
      <c r="HB45" s="2394">
        <f t="shared" si="78"/>
        <v>0</v>
      </c>
      <c r="HC45" s="2394">
        <f t="shared" si="78"/>
        <v>0</v>
      </c>
      <c r="HD45" s="2394">
        <f t="shared" si="78"/>
        <v>0</v>
      </c>
      <c r="HE45" s="2394">
        <f t="shared" si="78"/>
        <v>0</v>
      </c>
      <c r="HF45" s="2394">
        <f t="shared" si="78"/>
        <v>0</v>
      </c>
      <c r="HG45" s="2394">
        <f t="shared" si="78"/>
        <v>0</v>
      </c>
      <c r="HH45" s="2394">
        <f t="shared" si="78"/>
        <v>0</v>
      </c>
      <c r="HI45" s="2394">
        <f t="shared" si="78"/>
        <v>0</v>
      </c>
      <c r="HJ45" s="2394">
        <f t="shared" si="78"/>
        <v>0</v>
      </c>
      <c r="HK45" s="2394">
        <f t="shared" si="78"/>
        <v>0</v>
      </c>
      <c r="HL45" s="2394">
        <f t="shared" si="78"/>
        <v>0</v>
      </c>
      <c r="HM45" s="2394">
        <f t="shared" si="78"/>
        <v>0</v>
      </c>
      <c r="HN45" s="2394">
        <f t="shared" si="78"/>
        <v>0</v>
      </c>
      <c r="HO45" s="2394">
        <f t="shared" si="78"/>
        <v>0</v>
      </c>
      <c r="HP45" s="2394">
        <f t="shared" si="78"/>
        <v>0</v>
      </c>
      <c r="HQ45" s="2394">
        <f t="shared" si="78"/>
        <v>0</v>
      </c>
      <c r="HR45" s="2394">
        <f t="shared" si="78"/>
        <v>0</v>
      </c>
      <c r="HS45" s="2394">
        <f t="shared" si="78"/>
        <v>0</v>
      </c>
      <c r="HT45" s="2394">
        <f t="shared" si="78"/>
        <v>0</v>
      </c>
      <c r="HU45" s="2394">
        <f t="shared" si="78"/>
        <v>0</v>
      </c>
      <c r="HV45" s="2394">
        <f t="shared" si="78"/>
        <v>0</v>
      </c>
      <c r="HW45" s="2394">
        <f t="shared" si="78"/>
        <v>0</v>
      </c>
      <c r="HX45" s="2394">
        <f t="shared" si="78"/>
        <v>0</v>
      </c>
      <c r="HY45" s="2394">
        <f t="shared" si="78"/>
        <v>0</v>
      </c>
      <c r="HZ45" s="2394">
        <f t="shared" si="78"/>
        <v>0</v>
      </c>
      <c r="IA45" s="2394">
        <f t="shared" si="78"/>
        <v>0</v>
      </c>
    </row>
    <row r="46" spans="2:311">
      <c r="C46" s="2383"/>
      <c r="D46" s="2384" t="s">
        <v>3928</v>
      </c>
      <c r="E46" s="2385"/>
      <c r="F46" s="2385"/>
      <c r="G46" s="2386"/>
      <c r="H46" s="2460">
        <f>MAX(J46:IA46)</f>
        <v>252074.73092745815</v>
      </c>
      <c r="I46" s="2459"/>
      <c r="J46" s="2395">
        <f t="shared" ref="J46:AO46" si="79">SUM(J44:J45)</f>
        <v>0</v>
      </c>
      <c r="K46" s="2387">
        <f t="shared" si="79"/>
        <v>0</v>
      </c>
      <c r="L46" s="2393">
        <f t="shared" si="79"/>
        <v>2393.0090441241896</v>
      </c>
      <c r="M46" s="2395">
        <f t="shared" si="79"/>
        <v>7954.2080207241379</v>
      </c>
      <c r="N46" s="2387">
        <f t="shared" si="79"/>
        <v>9246.3608476413356</v>
      </c>
      <c r="O46" s="2393">
        <f t="shared" si="79"/>
        <v>15502.870017080118</v>
      </c>
      <c r="P46" s="2387">
        <f t="shared" si="79"/>
        <v>19689.530219279517</v>
      </c>
      <c r="Q46" s="2392">
        <f t="shared" si="79"/>
        <v>23258.633451279795</v>
      </c>
      <c r="R46" s="2393">
        <f t="shared" si="79"/>
        <v>30760.034799306006</v>
      </c>
      <c r="S46" s="2387">
        <f t="shared" si="79"/>
        <v>45842.245277295653</v>
      </c>
      <c r="T46" s="2392">
        <f t="shared" si="79"/>
        <v>50891.799192161197</v>
      </c>
      <c r="U46" s="2394">
        <f t="shared" si="79"/>
        <v>59478.455032619771</v>
      </c>
      <c r="V46" s="2394">
        <f t="shared" si="79"/>
        <v>64545.049802275455</v>
      </c>
      <c r="W46" s="2394">
        <f t="shared" si="79"/>
        <v>68202.169427419227</v>
      </c>
      <c r="X46" s="2394">
        <f t="shared" si="79"/>
        <v>77693.161337226644</v>
      </c>
      <c r="Y46" s="2394">
        <f t="shared" si="79"/>
        <v>89747.860736630173</v>
      </c>
      <c r="Z46" s="2394">
        <f t="shared" si="79"/>
        <v>98909.367545649729</v>
      </c>
      <c r="AA46" s="2394">
        <f t="shared" si="79"/>
        <v>112451.59266057539</v>
      </c>
      <c r="AB46" s="2394">
        <f t="shared" si="79"/>
        <v>127319.1064479796</v>
      </c>
      <c r="AC46" s="2394">
        <f t="shared" si="79"/>
        <v>144247.20552063655</v>
      </c>
      <c r="AD46" s="2394">
        <f t="shared" si="79"/>
        <v>167411.81119308449</v>
      </c>
      <c r="AE46" s="2394">
        <f t="shared" si="79"/>
        <v>188902.92093362787</v>
      </c>
      <c r="AF46" s="2394">
        <f t="shared" si="79"/>
        <v>217883.38782709721</v>
      </c>
      <c r="AG46" s="2394">
        <f t="shared" si="79"/>
        <v>238275.05178514804</v>
      </c>
      <c r="AH46" s="2394">
        <f t="shared" si="79"/>
        <v>245077.78268432932</v>
      </c>
      <c r="AI46" s="2394">
        <f t="shared" si="79"/>
        <v>252074.73092745815</v>
      </c>
      <c r="AJ46" s="2394">
        <f t="shared" si="79"/>
        <v>0</v>
      </c>
      <c r="AK46" s="2394">
        <f t="shared" si="79"/>
        <v>0</v>
      </c>
      <c r="AL46" s="2394">
        <f t="shared" si="79"/>
        <v>0</v>
      </c>
      <c r="AM46" s="2394">
        <f t="shared" si="79"/>
        <v>0</v>
      </c>
      <c r="AN46" s="2394">
        <f t="shared" si="79"/>
        <v>0</v>
      </c>
      <c r="AO46" s="2394">
        <f t="shared" si="79"/>
        <v>0</v>
      </c>
      <c r="AP46" s="2394">
        <f t="shared" ref="AP46:BN46" si="80">SUM(AP44:AP45)</f>
        <v>0</v>
      </c>
      <c r="AQ46" s="2394">
        <f t="shared" si="80"/>
        <v>0</v>
      </c>
      <c r="AR46" s="2394">
        <f t="shared" si="80"/>
        <v>0</v>
      </c>
      <c r="AS46" s="2394">
        <f t="shared" si="80"/>
        <v>0</v>
      </c>
      <c r="AT46" s="2394">
        <f t="shared" si="80"/>
        <v>0</v>
      </c>
      <c r="AU46" s="2394">
        <f t="shared" si="80"/>
        <v>0</v>
      </c>
      <c r="AV46" s="2394">
        <f t="shared" si="80"/>
        <v>0</v>
      </c>
      <c r="AW46" s="2394">
        <f t="shared" si="80"/>
        <v>0</v>
      </c>
      <c r="AX46" s="2394">
        <f t="shared" si="80"/>
        <v>0</v>
      </c>
      <c r="AY46" s="2394">
        <f t="shared" si="80"/>
        <v>0</v>
      </c>
      <c r="AZ46" s="2394">
        <f t="shared" si="80"/>
        <v>0</v>
      </c>
      <c r="BA46" s="2394">
        <f t="shared" si="80"/>
        <v>0</v>
      </c>
      <c r="BB46" s="2394">
        <f t="shared" si="80"/>
        <v>0</v>
      </c>
      <c r="BC46" s="2394">
        <f t="shared" si="80"/>
        <v>0</v>
      </c>
      <c r="BD46" s="2394">
        <f t="shared" si="80"/>
        <v>0</v>
      </c>
      <c r="BE46" s="2394">
        <f t="shared" si="80"/>
        <v>0</v>
      </c>
      <c r="BF46" s="2394">
        <f t="shared" si="80"/>
        <v>0</v>
      </c>
      <c r="BG46" s="2394">
        <f t="shared" si="80"/>
        <v>0</v>
      </c>
      <c r="BH46" s="2394">
        <f t="shared" si="80"/>
        <v>0</v>
      </c>
      <c r="BI46" s="2394">
        <f t="shared" si="80"/>
        <v>0</v>
      </c>
      <c r="BJ46" s="2394">
        <f t="shared" si="80"/>
        <v>0</v>
      </c>
      <c r="BK46" s="2394">
        <f t="shared" si="80"/>
        <v>0</v>
      </c>
      <c r="BL46" s="2394">
        <f t="shared" si="80"/>
        <v>0</v>
      </c>
      <c r="BM46" s="2394">
        <f t="shared" si="80"/>
        <v>0</v>
      </c>
      <c r="BN46" s="2394">
        <f t="shared" si="80"/>
        <v>0</v>
      </c>
      <c r="BO46" s="2394"/>
      <c r="BP46" s="2394"/>
      <c r="BQ46" s="2394"/>
      <c r="BR46" s="2394"/>
      <c r="BS46" s="2394"/>
      <c r="BT46" s="2394"/>
      <c r="BU46" s="2394"/>
      <c r="BV46" s="2394"/>
      <c r="BW46" s="2394"/>
      <c r="BX46" s="2394"/>
      <c r="BY46" s="2394"/>
      <c r="BZ46" s="2394"/>
      <c r="CA46" s="2394"/>
      <c r="CB46" s="2394"/>
      <c r="CC46" s="2394"/>
      <c r="CD46" s="2394"/>
      <c r="CE46" s="2394"/>
      <c r="CF46" s="2394"/>
      <c r="CG46" s="2394"/>
      <c r="CH46" s="2394"/>
      <c r="CI46" s="2394"/>
      <c r="CJ46" s="2394"/>
      <c r="CK46" s="2394"/>
      <c r="CL46" s="2394"/>
      <c r="CM46" s="2394"/>
      <c r="CN46" s="2394"/>
      <c r="CO46" s="2394"/>
      <c r="CP46" s="2394"/>
      <c r="CQ46" s="2394"/>
      <c r="CR46" s="2394"/>
      <c r="CS46" s="2394"/>
      <c r="CT46" s="2394"/>
      <c r="CU46" s="2394"/>
      <c r="CV46" s="2394"/>
      <c r="CW46" s="2394"/>
      <c r="CX46" s="2394"/>
      <c r="CY46" s="2394"/>
      <c r="CZ46" s="2394"/>
      <c r="DA46" s="2394"/>
      <c r="DB46" s="2394"/>
      <c r="DC46" s="2394"/>
      <c r="DD46" s="2394"/>
      <c r="DE46" s="2394"/>
      <c r="DF46" s="2394"/>
      <c r="DG46" s="2394"/>
      <c r="DH46" s="2394"/>
      <c r="DI46" s="2394"/>
      <c r="DJ46" s="2394"/>
      <c r="DK46" s="2394"/>
      <c r="DL46" s="2394"/>
      <c r="DM46" s="2394"/>
      <c r="DN46" s="2394"/>
      <c r="DO46" s="2394"/>
      <c r="DP46" s="2394"/>
      <c r="DQ46" s="2394"/>
      <c r="DR46" s="2394"/>
      <c r="DS46" s="2394"/>
      <c r="DT46" s="2394"/>
      <c r="DU46" s="2394"/>
      <c r="DV46" s="2394"/>
      <c r="DW46" s="2394"/>
      <c r="DX46" s="2394"/>
      <c r="DY46" s="2394"/>
      <c r="DZ46" s="2394"/>
      <c r="EA46" s="2394"/>
      <c r="EB46" s="2394"/>
      <c r="EC46" s="2394"/>
      <c r="ED46" s="2394"/>
      <c r="EE46" s="2394"/>
      <c r="EF46" s="2394"/>
      <c r="EG46" s="2394"/>
      <c r="EH46" s="2394"/>
      <c r="EI46" s="2394"/>
      <c r="EJ46" s="2394"/>
      <c r="EK46" s="2394"/>
      <c r="EL46" s="2394"/>
      <c r="EM46" s="2394"/>
      <c r="EN46" s="2394"/>
      <c r="EO46" s="2394"/>
      <c r="EP46" s="2394"/>
      <c r="EQ46" s="2394"/>
      <c r="ER46" s="2394"/>
      <c r="ES46" s="2394"/>
      <c r="ET46" s="2394"/>
      <c r="EU46" s="2394"/>
      <c r="EV46" s="2394"/>
      <c r="EW46" s="2394"/>
      <c r="EX46" s="2394"/>
      <c r="EY46" s="2394"/>
      <c r="EZ46" s="2394"/>
      <c r="FA46" s="2394"/>
      <c r="FB46" s="2394"/>
      <c r="FC46" s="2394"/>
      <c r="FD46" s="2394"/>
      <c r="FE46" s="2394"/>
      <c r="FF46" s="2394"/>
      <c r="FG46" s="2394"/>
      <c r="FH46" s="2394"/>
      <c r="FI46" s="2394"/>
      <c r="FJ46" s="2394"/>
      <c r="FK46" s="2394"/>
      <c r="FL46" s="2394"/>
      <c r="FM46" s="2394"/>
      <c r="FN46" s="2394"/>
      <c r="FO46" s="2394"/>
      <c r="FP46" s="2394"/>
      <c r="FQ46" s="2394"/>
      <c r="FR46" s="2394"/>
      <c r="FS46" s="2394"/>
      <c r="FT46" s="2394"/>
      <c r="FU46" s="2394"/>
      <c r="FV46" s="2394"/>
      <c r="FW46" s="2394"/>
      <c r="FX46" s="2394"/>
      <c r="FY46" s="2394"/>
      <c r="FZ46" s="2394"/>
      <c r="GA46" s="2394"/>
      <c r="GB46" s="2394"/>
      <c r="GC46" s="2394"/>
      <c r="GD46" s="2394"/>
      <c r="GE46" s="2394"/>
      <c r="GF46" s="2394"/>
      <c r="GG46" s="2394"/>
      <c r="GH46" s="2394"/>
      <c r="GI46" s="2394"/>
      <c r="GJ46" s="2394"/>
      <c r="GK46" s="2394"/>
      <c r="GL46" s="2394"/>
      <c r="GM46" s="2394"/>
      <c r="GN46" s="2394"/>
      <c r="GO46" s="2394"/>
      <c r="GP46" s="2394"/>
      <c r="GQ46" s="2394"/>
      <c r="GR46" s="2394"/>
      <c r="GS46" s="2394"/>
      <c r="GT46" s="2394"/>
      <c r="GU46" s="2394"/>
      <c r="GV46" s="2394"/>
      <c r="GW46" s="2394"/>
      <c r="GX46" s="2394"/>
      <c r="GY46" s="2394"/>
      <c r="GZ46" s="2394"/>
      <c r="HA46" s="2394"/>
      <c r="HB46" s="2394"/>
      <c r="HC46" s="2394"/>
      <c r="HD46" s="2394"/>
      <c r="HE46" s="2394"/>
      <c r="HF46" s="2394"/>
      <c r="HG46" s="2394"/>
      <c r="HH46" s="2394"/>
      <c r="HI46" s="2394"/>
      <c r="HJ46" s="2394"/>
      <c r="HK46" s="2394"/>
      <c r="HL46" s="2394"/>
      <c r="HM46" s="2394"/>
      <c r="HN46" s="2394"/>
      <c r="HO46" s="2394"/>
      <c r="HP46" s="2394"/>
      <c r="HQ46" s="2394"/>
      <c r="HR46" s="2394"/>
      <c r="HS46" s="2394"/>
      <c r="HT46" s="2394"/>
      <c r="HU46" s="2394"/>
      <c r="HV46" s="2394"/>
      <c r="HW46" s="2394"/>
      <c r="HX46" s="2394"/>
      <c r="HY46" s="2394"/>
      <c r="HZ46" s="2394"/>
      <c r="IA46" s="2394"/>
    </row>
    <row r="47" spans="2:311">
      <c r="C47" s="2383"/>
      <c r="D47" s="2406" t="s">
        <v>3929</v>
      </c>
      <c r="E47" s="2356"/>
      <c r="F47" s="2356"/>
      <c r="G47" s="2446"/>
      <c r="H47" s="2447">
        <f>SUM(J47:IA47)</f>
        <v>244512.45141384299</v>
      </c>
      <c r="I47" s="2459"/>
      <c r="J47" s="2448"/>
      <c r="K47" s="2447"/>
      <c r="L47" s="2449"/>
      <c r="M47" s="2448"/>
      <c r="N47" s="2447"/>
      <c r="O47" s="2449"/>
      <c r="P47" s="2447">
        <f>$H46*$G$26*P$3</f>
        <v>0</v>
      </c>
      <c r="Q47" s="2392">
        <f t="shared" ref="Q47:CB47" si="81">P48*$G$26*Q$3</f>
        <v>0</v>
      </c>
      <c r="R47" s="2449">
        <f t="shared" si="81"/>
        <v>0</v>
      </c>
      <c r="S47" s="2447">
        <f t="shared" si="81"/>
        <v>0</v>
      </c>
      <c r="T47" s="2450">
        <f t="shared" si="81"/>
        <v>0</v>
      </c>
      <c r="U47" s="2451">
        <f t="shared" si="81"/>
        <v>0</v>
      </c>
      <c r="V47" s="2451">
        <f t="shared" si="81"/>
        <v>0</v>
      </c>
      <c r="W47" s="2451">
        <f t="shared" si="81"/>
        <v>0</v>
      </c>
      <c r="X47" s="2451">
        <f t="shared" si="81"/>
        <v>0</v>
      </c>
      <c r="Y47" s="2451">
        <f t="shared" si="81"/>
        <v>0</v>
      </c>
      <c r="Z47" s="2451">
        <f t="shared" si="81"/>
        <v>0</v>
      </c>
      <c r="AA47" s="2451">
        <f t="shared" si="81"/>
        <v>0</v>
      </c>
      <c r="AB47" s="2451">
        <f t="shared" si="81"/>
        <v>0</v>
      </c>
      <c r="AC47" s="2451">
        <f t="shared" si="81"/>
        <v>0</v>
      </c>
      <c r="AD47" s="2451">
        <f t="shared" si="81"/>
        <v>0</v>
      </c>
      <c r="AE47" s="2451">
        <f t="shared" si="81"/>
        <v>0</v>
      </c>
      <c r="AF47" s="2451">
        <f t="shared" si="81"/>
        <v>0</v>
      </c>
      <c r="AG47" s="2451">
        <f t="shared" si="81"/>
        <v>0</v>
      </c>
      <c r="AH47" s="2451">
        <f t="shared" si="81"/>
        <v>0</v>
      </c>
      <c r="AI47" s="2451">
        <f t="shared" si="81"/>
        <v>72.017340962396901</v>
      </c>
      <c r="AJ47" s="2451">
        <f t="shared" si="81"/>
        <v>4379.8032482783456</v>
      </c>
      <c r="AK47" s="2451">
        <f t="shared" si="81"/>
        <v>4303.682335846006</v>
      </c>
      <c r="AL47" s="2451">
        <f t="shared" si="81"/>
        <v>4228.8844036895071</v>
      </c>
      <c r="AM47" s="2451">
        <f t="shared" si="81"/>
        <v>4155.3864584322</v>
      </c>
      <c r="AN47" s="2451">
        <f t="shared" si="81"/>
        <v>4083.1659063219686</v>
      </c>
      <c r="AO47" s="2451">
        <f t="shared" si="81"/>
        <v>4012.2005462857555</v>
      </c>
      <c r="AP47" s="2451">
        <f t="shared" si="81"/>
        <v>3942.4685631048087</v>
      </c>
      <c r="AQ47" s="2451">
        <f t="shared" si="81"/>
        <v>3873.948520708539</v>
      </c>
      <c r="AR47" s="2451">
        <f t="shared" si="81"/>
        <v>3806.6193555849313</v>
      </c>
      <c r="AS47" s="2451">
        <f t="shared" si="81"/>
        <v>3740.4603703054827</v>
      </c>
      <c r="AT47" s="2451">
        <f t="shared" si="81"/>
        <v>3675.4512271626754</v>
      </c>
      <c r="AU47" s="2451">
        <f t="shared" si="81"/>
        <v>3611.5719419180327</v>
      </c>
      <c r="AV47" s="2451">
        <f t="shared" si="81"/>
        <v>3548.802877658833</v>
      </c>
      <c r="AW47" s="2451">
        <f t="shared" si="81"/>
        <v>3487.1247387615913</v>
      </c>
      <c r="AX47" s="2451">
        <f t="shared" si="81"/>
        <v>3426.51856496046</v>
      </c>
      <c r="AY47" s="2451">
        <f t="shared" si="81"/>
        <v>3366.965725518718</v>
      </c>
      <c r="AZ47" s="2451">
        <f t="shared" si="81"/>
        <v>3308.4479135015586</v>
      </c>
      <c r="BA47" s="2451">
        <f t="shared" si="81"/>
        <v>3250.9471401484166</v>
      </c>
      <c r="BB47" s="2451">
        <f t="shared" si="81"/>
        <v>3194.4457293431078</v>
      </c>
      <c r="BC47" s="2451">
        <f t="shared" si="81"/>
        <v>3138.9263121800714</v>
      </c>
      <c r="BD47" s="2451">
        <f t="shared" si="81"/>
        <v>3084.3718216250563</v>
      </c>
      <c r="BE47" s="2451">
        <f t="shared" si="81"/>
        <v>3030.7654872686012</v>
      </c>
      <c r="BF47" s="2451">
        <f t="shared" si="81"/>
        <v>2978.0908301707018</v>
      </c>
      <c r="BG47" s="2451">
        <f t="shared" si="81"/>
        <v>2926.3316577950727</v>
      </c>
      <c r="BH47" s="2451">
        <f t="shared" si="81"/>
        <v>2875.472059031461</v>
      </c>
      <c r="BI47" s="2451">
        <f t="shared" si="81"/>
        <v>2825.4963993044603</v>
      </c>
      <c r="BJ47" s="2451">
        <f t="shared" si="81"/>
        <v>2776.3893157673424</v>
      </c>
      <c r="BK47" s="2451">
        <f t="shared" si="81"/>
        <v>2728.135712579417</v>
      </c>
      <c r="BL47" s="2451">
        <f t="shared" si="81"/>
        <v>2680.7207562654712</v>
      </c>
      <c r="BM47" s="2451">
        <f t="shared" si="81"/>
        <v>2634.1298711558597</v>
      </c>
      <c r="BN47" s="2451">
        <f t="shared" si="81"/>
        <v>2588.348734905851</v>
      </c>
      <c r="BO47" s="2451">
        <f t="shared" si="81"/>
        <v>2543.3632740928392</v>
      </c>
      <c r="BP47" s="2451">
        <f t="shared" si="81"/>
        <v>2499.1596598900887</v>
      </c>
      <c r="BQ47" s="2451">
        <f t="shared" si="81"/>
        <v>2455.7243038156557</v>
      </c>
      <c r="BR47" s="2451">
        <f t="shared" si="81"/>
        <v>2413.0438535552016</v>
      </c>
      <c r="BS47" s="2451">
        <f t="shared" si="81"/>
        <v>2371.1051888574038</v>
      </c>
      <c r="BT47" s="2451">
        <f t="shared" si="81"/>
        <v>2329.8954175007048</v>
      </c>
      <c r="BU47" s="2451">
        <f t="shared" si="81"/>
        <v>2289.4018713301557</v>
      </c>
      <c r="BV47" s="2451">
        <f t="shared" si="81"/>
        <v>2249.6121023631449</v>
      </c>
      <c r="BW47" s="2451">
        <f t="shared" si="81"/>
        <v>2210.5138789628063</v>
      </c>
      <c r="BX47" s="2451">
        <f t="shared" si="81"/>
        <v>2172.095182077931</v>
      </c>
      <c r="BY47" s="2451">
        <f t="shared" si="81"/>
        <v>2134.3442015482337</v>
      </c>
      <c r="BZ47" s="2451">
        <f t="shared" si="81"/>
        <v>2097.2493324738321</v>
      </c>
      <c r="CA47" s="2451">
        <f t="shared" si="81"/>
        <v>2060.7991716478227</v>
      </c>
      <c r="CB47" s="2451">
        <f t="shared" si="81"/>
        <v>2024.9825140508624</v>
      </c>
      <c r="CC47" s="2451">
        <f t="shared" ref="CC47:EN47" si="82">CB48*$G$26*CC$3</f>
        <v>1989.788349406668</v>
      </c>
      <c r="CD47" s="2451">
        <f t="shared" si="82"/>
        <v>1955.2058587973891</v>
      </c>
      <c r="CE47" s="2451">
        <f t="shared" si="82"/>
        <v>1921.224411337799</v>
      </c>
      <c r="CF47" s="2451">
        <f t="shared" si="82"/>
        <v>1887.8335609072903</v>
      </c>
      <c r="CG47" s="2451">
        <f t="shared" si="82"/>
        <v>1855.0230429386709</v>
      </c>
      <c r="CH47" s="2451">
        <f t="shared" si="82"/>
        <v>1822.7827712627654</v>
      </c>
      <c r="CI47" s="2451">
        <f t="shared" si="82"/>
        <v>1791.1028350078636</v>
      </c>
      <c r="CJ47" s="2451">
        <f t="shared" si="82"/>
        <v>1759.973495553051</v>
      </c>
      <c r="CK47" s="2451">
        <f t="shared" si="82"/>
        <v>1729.3851835344929</v>
      </c>
      <c r="CL47" s="2451">
        <f t="shared" si="82"/>
        <v>1699.3284959037501</v>
      </c>
      <c r="CM47" s="2451">
        <f t="shared" si="82"/>
        <v>1669.7941930372192</v>
      </c>
      <c r="CN47" s="2451">
        <f t="shared" si="82"/>
        <v>1640.7731958958111</v>
      </c>
      <c r="CO47" s="2451">
        <f t="shared" si="82"/>
        <v>1612.2565832339958</v>
      </c>
      <c r="CP47" s="2451">
        <f t="shared" si="82"/>
        <v>1584.2355888573509</v>
      </c>
      <c r="CQ47" s="2451">
        <f t="shared" si="82"/>
        <v>1556.7015989277782</v>
      </c>
      <c r="CR47" s="2451">
        <f t="shared" si="82"/>
        <v>1529.6461493155507</v>
      </c>
      <c r="CS47" s="2451">
        <f t="shared" si="82"/>
        <v>1503.0609229973857</v>
      </c>
      <c r="CT47" s="2451">
        <f t="shared" si="82"/>
        <v>1476.937747499735</v>
      </c>
      <c r="CU47" s="2451">
        <f t="shared" si="82"/>
        <v>1451.2685923865147</v>
      </c>
      <c r="CV47" s="2451">
        <f t="shared" si="82"/>
        <v>1426.0455667904944</v>
      </c>
      <c r="CW47" s="2451">
        <f t="shared" si="82"/>
        <v>1401.2609169875936</v>
      </c>
      <c r="CX47" s="2451">
        <f t="shared" si="82"/>
        <v>1376.9070240133371</v>
      </c>
      <c r="CY47" s="2451">
        <f t="shared" si="82"/>
        <v>1352.9764013207327</v>
      </c>
      <c r="CZ47" s="2451">
        <f t="shared" si="82"/>
        <v>1329.461692478859</v>
      </c>
      <c r="DA47" s="2451">
        <f t="shared" si="82"/>
        <v>1306.3556689114503</v>
      </c>
      <c r="DB47" s="2451">
        <f t="shared" si="82"/>
        <v>1283.6512276747833</v>
      </c>
      <c r="DC47" s="2451">
        <f t="shared" si="82"/>
        <v>1261.3413892741867</v>
      </c>
      <c r="DD47" s="2451">
        <f t="shared" si="82"/>
        <v>1239.4192955184983</v>
      </c>
      <c r="DE47" s="2451">
        <f t="shared" si="82"/>
        <v>1217.8782074118121</v>
      </c>
      <c r="DF47" s="2451">
        <f t="shared" si="82"/>
        <v>1196.711503081865</v>
      </c>
      <c r="DG47" s="2451">
        <f t="shared" si="82"/>
        <v>1175.9126757444324</v>
      </c>
      <c r="DH47" s="2451">
        <f t="shared" si="82"/>
        <v>1155.4753317030973</v>
      </c>
      <c r="DI47" s="2451">
        <f t="shared" si="82"/>
        <v>1135.3931883837888</v>
      </c>
      <c r="DJ47" s="2451">
        <f t="shared" si="82"/>
        <v>1115.660072403474</v>
      </c>
      <c r="DK47" s="2451">
        <f t="shared" si="82"/>
        <v>1096.2699176724218</v>
      </c>
      <c r="DL47" s="2451">
        <f t="shared" si="82"/>
        <v>1077.216763529447</v>
      </c>
      <c r="DM47" s="2451">
        <f t="shared" si="82"/>
        <v>1058.4947529095618</v>
      </c>
      <c r="DN47" s="2451">
        <f t="shared" si="82"/>
        <v>1040.0981305434793</v>
      </c>
      <c r="DO47" s="2451">
        <f t="shared" si="82"/>
        <v>1022.0212411884009</v>
      </c>
      <c r="DP47" s="2451">
        <f t="shared" si="82"/>
        <v>1004.2585278895617</v>
      </c>
      <c r="DQ47" s="2451">
        <f t="shared" si="82"/>
        <v>986.80453027198371</v>
      </c>
      <c r="DR47" s="2451">
        <f t="shared" si="82"/>
        <v>969.65388286192115</v>
      </c>
      <c r="DS47" s="2451">
        <f t="shared" si="82"/>
        <v>952.80131343747848</v>
      </c>
      <c r="DT47" s="2451">
        <f t="shared" si="82"/>
        <v>936.24164140789514</v>
      </c>
      <c r="DU47" s="2451">
        <f t="shared" si="82"/>
        <v>919.96977622099791</v>
      </c>
      <c r="DV47" s="2451">
        <f t="shared" si="82"/>
        <v>903.98071579833049</v>
      </c>
      <c r="DW47" s="2451">
        <f t="shared" si="82"/>
        <v>888.26954499748297</v>
      </c>
      <c r="DX47" s="2451">
        <f t="shared" si="82"/>
        <v>872.83143410114371</v>
      </c>
      <c r="DY47" s="2451">
        <f t="shared" si="82"/>
        <v>857.66163733241342</v>
      </c>
      <c r="DZ47" s="2451">
        <f t="shared" si="82"/>
        <v>842.75549139592181</v>
      </c>
      <c r="EA47" s="2451">
        <f t="shared" si="82"/>
        <v>828.10841404429902</v>
      </c>
      <c r="EB47" s="2451">
        <f t="shared" si="82"/>
        <v>813.71590266956332</v>
      </c>
      <c r="EC47" s="2451">
        <f t="shared" si="82"/>
        <v>799.57353291899062</v>
      </c>
      <c r="ED47" s="2451">
        <f t="shared" si="82"/>
        <v>785.67695733503763</v>
      </c>
      <c r="EE47" s="2451">
        <f t="shared" si="82"/>
        <v>772.02190401890618</v>
      </c>
      <c r="EF47" s="2451">
        <f t="shared" si="82"/>
        <v>758.60417531733219</v>
      </c>
      <c r="EG47" s="2451">
        <f t="shared" si="82"/>
        <v>745.41964653220077</v>
      </c>
      <c r="EH47" s="2451">
        <f t="shared" si="82"/>
        <v>732.46426465258628</v>
      </c>
      <c r="EI47" s="2451">
        <f t="shared" si="82"/>
        <v>719.73404710882937</v>
      </c>
      <c r="EJ47" s="2451">
        <f t="shared" si="82"/>
        <v>707.22508054826972</v>
      </c>
      <c r="EK47" s="2451">
        <f t="shared" si="82"/>
        <v>694.93351963225598</v>
      </c>
      <c r="EL47" s="2451">
        <f t="shared" si="82"/>
        <v>682.85558585406193</v>
      </c>
      <c r="EM47" s="2451">
        <f t="shared" si="82"/>
        <v>670.9875663773505</v>
      </c>
      <c r="EN47" s="2451">
        <f t="shared" si="82"/>
        <v>659.32581289482209</v>
      </c>
      <c r="EO47" s="2451">
        <f t="shared" ref="EO47:GZ47" si="83">EN48*$G$26*EO$3</f>
        <v>647.86674050670149</v>
      </c>
      <c r="EP47" s="2451">
        <f t="shared" si="83"/>
        <v>636.60682661871556</v>
      </c>
      <c r="EQ47" s="2451">
        <f t="shared" si="83"/>
        <v>625.54260985922474</v>
      </c>
      <c r="ER47" s="2451">
        <f t="shared" si="83"/>
        <v>614.67068901517564</v>
      </c>
      <c r="ES47" s="2451">
        <f t="shared" si="83"/>
        <v>603.98772198654422</v>
      </c>
      <c r="ET47" s="2451">
        <f t="shared" si="83"/>
        <v>593.49042475895328</v>
      </c>
      <c r="EU47" s="2451">
        <f t="shared" si="83"/>
        <v>583.1755703941443</v>
      </c>
      <c r="EV47" s="2451">
        <f t="shared" si="83"/>
        <v>573.03998803799573</v>
      </c>
      <c r="EW47" s="2451">
        <f t="shared" si="83"/>
        <v>563.08056194578137</v>
      </c>
      <c r="EX47" s="2451">
        <f t="shared" si="83"/>
        <v>553.29423052436994</v>
      </c>
      <c r="EY47" s="2451">
        <f t="shared" si="83"/>
        <v>543.67798539107105</v>
      </c>
      <c r="EZ47" s="2451">
        <f t="shared" si="83"/>
        <v>534.22887044883851</v>
      </c>
      <c r="FA47" s="2451">
        <f t="shared" si="83"/>
        <v>524.94398097754811</v>
      </c>
      <c r="FB47" s="2451">
        <f t="shared" si="83"/>
        <v>515.82046274106494</v>
      </c>
      <c r="FC47" s="2451">
        <f t="shared" si="83"/>
        <v>506.85551110983431</v>
      </c>
      <c r="FD47" s="2451">
        <f t="shared" si="83"/>
        <v>498.04637019871984</v>
      </c>
      <c r="FE47" s="2451">
        <f t="shared" si="83"/>
        <v>489.39033201982591</v>
      </c>
      <c r="FF47" s="2451">
        <f t="shared" si="83"/>
        <v>480.88473565004409</v>
      </c>
      <c r="FG47" s="2451">
        <f t="shared" si="83"/>
        <v>472.52696641306886</v>
      </c>
      <c r="FH47" s="2451">
        <f t="shared" si="83"/>
        <v>464.31445507562745</v>
      </c>
      <c r="FI47" s="2451">
        <f t="shared" si="83"/>
        <v>456.24467705768234</v>
      </c>
      <c r="FJ47" s="2451">
        <f t="shared" si="83"/>
        <v>448.31515165635722</v>
      </c>
      <c r="FK47" s="2451">
        <f t="shared" si="83"/>
        <v>440.52344128335358</v>
      </c>
      <c r="FL47" s="2451">
        <f t="shared" si="83"/>
        <v>432.86715071561991</v>
      </c>
      <c r="FM47" s="2451">
        <f t="shared" si="83"/>
        <v>425.34392635904368</v>
      </c>
      <c r="FN47" s="2451">
        <f t="shared" si="83"/>
        <v>417.9514555249412</v>
      </c>
      <c r="FO47" s="2451">
        <f t="shared" si="83"/>
        <v>410.687465719123</v>
      </c>
      <c r="FP47" s="2451">
        <f t="shared" si="83"/>
        <v>403.54972394331298</v>
      </c>
      <c r="FQ47" s="2451">
        <f t="shared" si="83"/>
        <v>396.5360360087102</v>
      </c>
      <c r="FR47" s="2451">
        <f t="shared" si="83"/>
        <v>389.64424586148129</v>
      </c>
      <c r="FS47" s="2451">
        <f t="shared" si="83"/>
        <v>382.87223491997486</v>
      </c>
      <c r="FT47" s="2451">
        <f t="shared" si="83"/>
        <v>376.21792142345549</v>
      </c>
      <c r="FU47" s="2451">
        <f t="shared" si="83"/>
        <v>369.67925979215744</v>
      </c>
      <c r="FV47" s="2451">
        <f t="shared" si="83"/>
        <v>363.25423999845975</v>
      </c>
      <c r="FW47" s="2451">
        <f t="shared" si="83"/>
        <v>356.94088694898915</v>
      </c>
      <c r="FX47" s="2451">
        <f t="shared" si="83"/>
        <v>350.73725987746582</v>
      </c>
      <c r="FY47" s="2451">
        <f t="shared" si="83"/>
        <v>344.64145174809698</v>
      </c>
      <c r="FZ47" s="2451">
        <f t="shared" si="83"/>
        <v>338.65158866934269</v>
      </c>
      <c r="GA47" s="2451">
        <f t="shared" si="83"/>
        <v>332.76582931786851</v>
      </c>
      <c r="GB47" s="2451">
        <f t="shared" si="83"/>
        <v>326.98236437251086</v>
      </c>
      <c r="GC47" s="2451">
        <f t="shared" si="83"/>
        <v>321.29941595808054</v>
      </c>
      <c r="GD47" s="2451">
        <f t="shared" si="83"/>
        <v>315.71523709883127</v>
      </c>
      <c r="GE47" s="2451">
        <f t="shared" si="83"/>
        <v>310.22811118142789</v>
      </c>
      <c r="GF47" s="2451">
        <f t="shared" si="83"/>
        <v>304.8363514272483</v>
      </c>
      <c r="GG47" s="2451">
        <f t="shared" si="83"/>
        <v>299.53830037385706</v>
      </c>
      <c r="GH47" s="2451">
        <f t="shared" si="83"/>
        <v>294.33232936548978</v>
      </c>
      <c r="GI47" s="2451">
        <f t="shared" si="83"/>
        <v>289.21683805239405</v>
      </c>
      <c r="GJ47" s="2451">
        <f t="shared" si="83"/>
        <v>284.19025389887133</v>
      </c>
      <c r="GK47" s="2451">
        <f t="shared" si="83"/>
        <v>279.25103169986852</v>
      </c>
      <c r="GL47" s="2451">
        <f t="shared" si="83"/>
        <v>274.39765310597323</v>
      </c>
      <c r="GM47" s="2451">
        <f t="shared" si="83"/>
        <v>269.62862615666251</v>
      </c>
      <c r="GN47" s="2451">
        <f t="shared" si="83"/>
        <v>264.94248482166284</v>
      </c>
      <c r="GO47" s="2451">
        <f t="shared" si="83"/>
        <v>260.33778855028504</v>
      </c>
      <c r="GP47" s="2451">
        <f t="shared" si="83"/>
        <v>255.81312182858835</v>
      </c>
      <c r="GQ47" s="2451">
        <f t="shared" si="83"/>
        <v>251.36709374424169</v>
      </c>
      <c r="GR47" s="2451">
        <f t="shared" si="83"/>
        <v>246.99833755894974</v>
      </c>
      <c r="GS47" s="2451">
        <f t="shared" si="83"/>
        <v>242.70551028830741</v>
      </c>
      <c r="GT47" s="2451">
        <f t="shared" si="83"/>
        <v>238.48729228895675</v>
      </c>
      <c r="GU47" s="2451">
        <f t="shared" si="83"/>
        <v>234.34238685292175</v>
      </c>
      <c r="GV47" s="2451">
        <f t="shared" si="83"/>
        <v>230.26951980899034</v>
      </c>
      <c r="GW47" s="2451">
        <f t="shared" si="83"/>
        <v>226.26743913102669</v>
      </c>
      <c r="GX47" s="2451">
        <f t="shared" si="83"/>
        <v>222.33491455308999</v>
      </c>
      <c r="GY47" s="2451">
        <f t="shared" si="83"/>
        <v>218.47073719124145</v>
      </c>
      <c r="GZ47" s="2451">
        <f t="shared" si="83"/>
        <v>214.67371917192747</v>
      </c>
      <c r="HA47" s="2451">
        <f t="shared" ref="HA47:IA47" si="84">GZ48*$G$26*HA$3</f>
        <v>210.94269326681757</v>
      </c>
      <c r="HB47" s="2451">
        <f t="shared" si="84"/>
        <v>207.27651253399199</v>
      </c>
      <c r="HC47" s="2451">
        <f t="shared" si="84"/>
        <v>203.67404996536359</v>
      </c>
      <c r="HD47" s="2451">
        <f t="shared" si="84"/>
        <v>200.13419814022782</v>
      </c>
      <c r="HE47" s="2451">
        <f t="shared" si="84"/>
        <v>196.65586888483537</v>
      </c>
      <c r="HF47" s="2451">
        <f t="shared" si="84"/>
        <v>193.23799293787971</v>
      </c>
      <c r="HG47" s="2451">
        <f t="shared" si="84"/>
        <v>189.87951962179923</v>
      </c>
      <c r="HH47" s="2451">
        <f t="shared" si="84"/>
        <v>186.57941651979155</v>
      </c>
      <c r="HI47" s="2451">
        <f t="shared" si="84"/>
        <v>183.33666915844316</v>
      </c>
      <c r="HJ47" s="2451">
        <f t="shared" si="84"/>
        <v>180.15028069587166</v>
      </c>
      <c r="HK47" s="2451">
        <f t="shared" si="84"/>
        <v>177.01927161529193</v>
      </c>
      <c r="HL47" s="2451">
        <f t="shared" si="84"/>
        <v>173.94267942390522</v>
      </c>
      <c r="HM47" s="2451">
        <f t="shared" si="84"/>
        <v>170.9195583570222</v>
      </c>
      <c r="HN47" s="2451">
        <f t="shared" si="84"/>
        <v>167.94897908732958</v>
      </c>
      <c r="HO47" s="2451">
        <f t="shared" si="84"/>
        <v>165.03002843920808</v>
      </c>
      <c r="HP47" s="2451">
        <f t="shared" si="84"/>
        <v>162.16180910801643</v>
      </c>
      <c r="HQ47" s="2451">
        <f t="shared" si="84"/>
        <v>159.34343938425468</v>
      </c>
      <c r="HR47" s="2451">
        <f t="shared" si="84"/>
        <v>156.57405288251994</v>
      </c>
      <c r="HS47" s="2451">
        <f t="shared" si="84"/>
        <v>153.85279827517374</v>
      </c>
      <c r="HT47" s="2451">
        <f t="shared" si="84"/>
        <v>151.17883903063935</v>
      </c>
      <c r="HU47" s="2451">
        <f t="shared" si="84"/>
        <v>148.55135315624577</v>
      </c>
      <c r="HV47" s="2451">
        <f t="shared" si="84"/>
        <v>145.96953294554174</v>
      </c>
      <c r="HW47" s="2451">
        <f t="shared" si="84"/>
        <v>143.43258473000148</v>
      </c>
      <c r="HX47" s="2451">
        <f t="shared" si="84"/>
        <v>140.93972863504592</v>
      </c>
      <c r="HY47" s="2451">
        <f t="shared" si="84"/>
        <v>138.49019834030423</v>
      </c>
      <c r="HZ47" s="2451">
        <f t="shared" si="84"/>
        <v>136.0832408440416</v>
      </c>
      <c r="IA47" s="2451">
        <f t="shared" si="84"/>
        <v>131.52001021143448</v>
      </c>
    </row>
    <row r="48" spans="2:311">
      <c r="C48" s="2383"/>
      <c r="D48" s="2406" t="s">
        <v>3930</v>
      </c>
      <c r="E48" s="2356"/>
      <c r="F48" s="2356"/>
      <c r="G48" s="2446"/>
      <c r="H48" s="2447">
        <f>H46*3%-IA48</f>
        <v>-3.7585791410492675E-2</v>
      </c>
      <c r="I48" s="2459"/>
      <c r="J48" s="2448">
        <f>$H46-SUM($I47:J47)</f>
        <v>252074.73092745815</v>
      </c>
      <c r="K48" s="2447">
        <f>$H46-SUM($I47:K47)</f>
        <v>252074.73092745815</v>
      </c>
      <c r="L48" s="2449">
        <f>$H46-SUM($I47:L47)</f>
        <v>252074.73092745815</v>
      </c>
      <c r="M48" s="2448">
        <f>$H46-SUM($I47:M47)</f>
        <v>252074.73092745815</v>
      </c>
      <c r="N48" s="2447">
        <f>$H46-SUM($I47:N47)</f>
        <v>252074.73092745815</v>
      </c>
      <c r="O48" s="2449">
        <f>$H46-SUM($I47:O47)</f>
        <v>252074.73092745815</v>
      </c>
      <c r="P48" s="2447">
        <f>$H46-SUM($I47:P47)</f>
        <v>252074.73092745815</v>
      </c>
      <c r="Q48" s="2450">
        <f>$H46-SUM($I47:Q47)</f>
        <v>252074.73092745815</v>
      </c>
      <c r="R48" s="2449">
        <f>$H46-SUM($I47:R47)</f>
        <v>252074.73092745815</v>
      </c>
      <c r="S48" s="2447">
        <f>$H46-SUM($I47:S47)</f>
        <v>252074.73092745815</v>
      </c>
      <c r="T48" s="2450">
        <f>$H46-SUM($I47:T47)</f>
        <v>252074.73092745815</v>
      </c>
      <c r="U48" s="2451">
        <f>$H46-SUM($I47:U47)</f>
        <v>252074.73092745815</v>
      </c>
      <c r="V48" s="2451">
        <f>$H46-SUM($I47:V47)</f>
        <v>252074.73092745815</v>
      </c>
      <c r="W48" s="2451">
        <f>$H46-SUM($I47:W47)</f>
        <v>252074.73092745815</v>
      </c>
      <c r="X48" s="2451">
        <f>$H46-SUM($I47:X47)</f>
        <v>252074.73092745815</v>
      </c>
      <c r="Y48" s="2451">
        <f>$H46-SUM($I47:Y47)</f>
        <v>252074.73092745815</v>
      </c>
      <c r="Z48" s="2451">
        <f>$H46-SUM($I47:Z47)</f>
        <v>252074.73092745815</v>
      </c>
      <c r="AA48" s="2451">
        <f>$H46-SUM($I47:AA47)</f>
        <v>252074.73092745815</v>
      </c>
      <c r="AB48" s="2451">
        <f>$H46-SUM($I47:AB47)</f>
        <v>252074.73092745815</v>
      </c>
      <c r="AC48" s="2451">
        <f>$H46-SUM($I47:AC47)</f>
        <v>252074.73092745815</v>
      </c>
      <c r="AD48" s="2451">
        <f>$H46-SUM($I47:AD47)</f>
        <v>252074.73092745815</v>
      </c>
      <c r="AE48" s="2451">
        <f>$H46-SUM($I47:AE47)</f>
        <v>252074.73092745815</v>
      </c>
      <c r="AF48" s="2451">
        <f>$H46-SUM($I47:AF47)</f>
        <v>252074.73092745815</v>
      </c>
      <c r="AG48" s="2451">
        <f>$H46-SUM($I47:AG47)</f>
        <v>252074.73092745815</v>
      </c>
      <c r="AH48" s="2451">
        <f>$H46-SUM($I47:AH47)</f>
        <v>252074.73092745815</v>
      </c>
      <c r="AI48" s="2451">
        <f>$H46-SUM($I47:AI47)</f>
        <v>252002.71358649575</v>
      </c>
      <c r="AJ48" s="2451">
        <f>$H46-SUM($I47:AJ47)</f>
        <v>247622.91033821739</v>
      </c>
      <c r="AK48" s="2451">
        <f>$H46-SUM($I47:AK47)</f>
        <v>243319.22800237141</v>
      </c>
      <c r="AL48" s="2451">
        <f>$H46-SUM($I47:AL47)</f>
        <v>239090.34359868191</v>
      </c>
      <c r="AM48" s="2451">
        <f>$H46-SUM($I47:AM47)</f>
        <v>234934.95714024969</v>
      </c>
      <c r="AN48" s="2451">
        <f>$H46-SUM($I47:AN47)</f>
        <v>230851.79123392771</v>
      </c>
      <c r="AO48" s="2451">
        <f>$H46-SUM($I47:AO47)</f>
        <v>226839.59068764196</v>
      </c>
      <c r="AP48" s="2451">
        <f>$H46-SUM($I47:AP47)</f>
        <v>222897.12212453716</v>
      </c>
      <c r="AQ48" s="2451">
        <f>$H46-SUM($I47:AQ47)</f>
        <v>219023.17360382862</v>
      </c>
      <c r="AR48" s="2451">
        <f>$H46-SUM($I47:AR47)</f>
        <v>215216.55424824369</v>
      </c>
      <c r="AS48" s="2451">
        <f>$H46-SUM($I47:AS47)</f>
        <v>211476.0938779382</v>
      </c>
      <c r="AT48" s="2451">
        <f>$H46-SUM($I47:AT47)</f>
        <v>207800.64265077552</v>
      </c>
      <c r="AU48" s="2451">
        <f>$H46-SUM($I47:AU47)</f>
        <v>204189.0707088575</v>
      </c>
      <c r="AV48" s="2451">
        <f>$H46-SUM($I47:AV47)</f>
        <v>200640.26783119867</v>
      </c>
      <c r="AW48" s="2451">
        <f>$H46-SUM($I47:AW47)</f>
        <v>197153.14309243707</v>
      </c>
      <c r="AX48" s="2451">
        <f>$H46-SUM($I47:AX47)</f>
        <v>193726.62452747661</v>
      </c>
      <c r="AY48" s="2451">
        <f>$H46-SUM($I47:AY47)</f>
        <v>190359.65880195791</v>
      </c>
      <c r="AZ48" s="2451">
        <f>$H46-SUM($I47:AZ47)</f>
        <v>187051.21088845635</v>
      </c>
      <c r="BA48" s="2451">
        <f>$H46-SUM($I47:BA47)</f>
        <v>183800.26374830795</v>
      </c>
      <c r="BB48" s="2451">
        <f>$H46-SUM($I47:BB47)</f>
        <v>180605.81801896484</v>
      </c>
      <c r="BC48" s="2451">
        <f>$H46-SUM($I47:BC47)</f>
        <v>177466.89170678475</v>
      </c>
      <c r="BD48" s="2451">
        <f>$H46-SUM($I47:BD47)</f>
        <v>174382.51988515968</v>
      </c>
      <c r="BE48" s="2451">
        <f>$H46-SUM($I47:BE47)</f>
        <v>171351.75439789111</v>
      </c>
      <c r="BF48" s="2451">
        <f>$H46-SUM($I47:BF47)</f>
        <v>168373.66356772039</v>
      </c>
      <c r="BG48" s="2451">
        <f>$H46-SUM($I47:BG47)</f>
        <v>165447.33190992533</v>
      </c>
      <c r="BH48" s="2451">
        <f>$H46-SUM($I47:BH47)</f>
        <v>162571.85985089387</v>
      </c>
      <c r="BI48" s="2451">
        <f>$H46-SUM($I47:BI47)</f>
        <v>159746.36345158942</v>
      </c>
      <c r="BJ48" s="2451">
        <f>$H46-SUM($I47:BJ47)</f>
        <v>156969.97413582206</v>
      </c>
      <c r="BK48" s="2451">
        <f>$H46-SUM($I47:BK47)</f>
        <v>154241.83842324265</v>
      </c>
      <c r="BL48" s="2451">
        <f>$H46-SUM($I47:BL47)</f>
        <v>151561.11766697717</v>
      </c>
      <c r="BM48" s="2451">
        <f>$H46-SUM($I47:BM47)</f>
        <v>148926.98779582133</v>
      </c>
      <c r="BN48" s="2451">
        <f>$H46-SUM($I47:BN47)</f>
        <v>146338.63906091545</v>
      </c>
      <c r="BO48" s="2451">
        <f>$H46-SUM($I47:BO47)</f>
        <v>143795.2757868226</v>
      </c>
      <c r="BP48" s="2451">
        <f>$H46-SUM($I47:BP47)</f>
        <v>141296.11612693252</v>
      </c>
      <c r="BQ48" s="2451">
        <f>$H46-SUM($I47:BQ47)</f>
        <v>138840.39182311686</v>
      </c>
      <c r="BR48" s="2451">
        <f>$H46-SUM($I47:BR47)</f>
        <v>136427.34796956167</v>
      </c>
      <c r="BS48" s="2451">
        <f>$H46-SUM($I47:BS47)</f>
        <v>134056.24278070428</v>
      </c>
      <c r="BT48" s="2451">
        <f>$H46-SUM($I47:BT47)</f>
        <v>131726.34736320356</v>
      </c>
      <c r="BU48" s="2451">
        <f>$H46-SUM($I47:BU47)</f>
        <v>129436.9454918734</v>
      </c>
      <c r="BV48" s="2451">
        <f>$H46-SUM($I47:BV47)</f>
        <v>127187.33338951026</v>
      </c>
      <c r="BW48" s="2451">
        <f>$H46-SUM($I47:BW47)</f>
        <v>124976.81951054744</v>
      </c>
      <c r="BX48" s="2451">
        <f>$H46-SUM($I47:BX47)</f>
        <v>122804.72432846951</v>
      </c>
      <c r="BY48" s="2451">
        <f>$H46-SUM($I47:BY47)</f>
        <v>120670.38012692129</v>
      </c>
      <c r="BZ48" s="2451">
        <f>$H46-SUM($I47:BZ47)</f>
        <v>118573.13079444744</v>
      </c>
      <c r="CA48" s="2451">
        <f>$H46-SUM($I47:CA47)</f>
        <v>116512.33162279963</v>
      </c>
      <c r="CB48" s="2451">
        <f>$H46-SUM($I47:CB47)</f>
        <v>114487.34910874875</v>
      </c>
      <c r="CC48" s="2451">
        <f>$H46-SUM($I47:CC47)</f>
        <v>112497.56075934207</v>
      </c>
      <c r="CD48" s="2451">
        <f>$H46-SUM($I47:CD47)</f>
        <v>110542.35490054468</v>
      </c>
      <c r="CE48" s="2451">
        <f>$H46-SUM($I47:CE47)</f>
        <v>108621.13048920687</v>
      </c>
      <c r="CF48" s="2451">
        <f>$H46-SUM($I47:CF47)</f>
        <v>106733.29692829959</v>
      </c>
      <c r="CG48" s="2451">
        <f>$H46-SUM($I47:CG47)</f>
        <v>104878.27388536092</v>
      </c>
      <c r="CH48" s="2451">
        <f>$H46-SUM($I47:CH47)</f>
        <v>103055.49111409814</v>
      </c>
      <c r="CI48" s="2451">
        <f>$H46-SUM($I47:CI47)</f>
        <v>101264.38827909029</v>
      </c>
      <c r="CJ48" s="2451">
        <f>$H46-SUM($I47:CJ47)</f>
        <v>99504.414783537242</v>
      </c>
      <c r="CK48" s="2451">
        <f>$H46-SUM($I47:CK47)</f>
        <v>97775.029600002745</v>
      </c>
      <c r="CL48" s="2451">
        <f>$H46-SUM($I47:CL47)</f>
        <v>96075.701104098989</v>
      </c>
      <c r="CM48" s="2451">
        <f>$H46-SUM($I47:CM47)</f>
        <v>94405.906911061757</v>
      </c>
      <c r="CN48" s="2451">
        <f>$H46-SUM($I47:CN47)</f>
        <v>92765.133715165954</v>
      </c>
      <c r="CO48" s="2451">
        <f>$H46-SUM($I47:CO47)</f>
        <v>91152.877131931949</v>
      </c>
      <c r="CP48" s="2451">
        <f>$H46-SUM($I47:CP47)</f>
        <v>89568.641543074598</v>
      </c>
      <c r="CQ48" s="2451">
        <f>$H46-SUM($I47:CQ47)</f>
        <v>88011.939944146812</v>
      </c>
      <c r="CR48" s="2451">
        <f>$H46-SUM($I47:CR47)</f>
        <v>86482.293794831261</v>
      </c>
      <c r="CS48" s="2451">
        <f>$H46-SUM($I47:CS47)</f>
        <v>84979.232871833869</v>
      </c>
      <c r="CT48" s="2451">
        <f>$H46-SUM($I47:CT47)</f>
        <v>83502.295124334138</v>
      </c>
      <c r="CU48" s="2451">
        <f>$H46-SUM($I47:CU47)</f>
        <v>82051.026531947631</v>
      </c>
      <c r="CV48" s="2451">
        <f>$H46-SUM($I47:CV47)</f>
        <v>80624.980965157127</v>
      </c>
      <c r="CW48" s="2451">
        <f>$H46-SUM($I47:CW47)</f>
        <v>79223.720048169547</v>
      </c>
      <c r="CX48" s="2451">
        <f>$H46-SUM($I47:CX47)</f>
        <v>77846.813024156203</v>
      </c>
      <c r="CY48" s="2451">
        <f>$H46-SUM($I47:CY47)</f>
        <v>76493.836622835457</v>
      </c>
      <c r="CZ48" s="2451">
        <f>$H46-SUM($I47:CZ47)</f>
        <v>75164.3749303566</v>
      </c>
      <c r="DA48" s="2451">
        <f>$H46-SUM($I47:DA47)</f>
        <v>73858.019261445152</v>
      </c>
      <c r="DB48" s="2451">
        <f>$H46-SUM($I47:DB47)</f>
        <v>72574.368033770355</v>
      </c>
      <c r="DC48" s="2451">
        <f>$H46-SUM($I47:DC47)</f>
        <v>71313.02664449616</v>
      </c>
      <c r="DD48" s="2451">
        <f>$H46-SUM($I47:DD47)</f>
        <v>70073.607348977675</v>
      </c>
      <c r="DE48" s="2451">
        <f>$H46-SUM($I47:DE47)</f>
        <v>68855.729141565855</v>
      </c>
      <c r="DF48" s="2451">
        <f>$H46-SUM($I47:DF47)</f>
        <v>67659.017638483987</v>
      </c>
      <c r="DG48" s="2451">
        <f>$H46-SUM($I47:DG47)</f>
        <v>66483.10496273954</v>
      </c>
      <c r="DH48" s="2451">
        <f>$H46-SUM($I47:DH47)</f>
        <v>65327.629631036456</v>
      </c>
      <c r="DI48" s="2451">
        <f>$H46-SUM($I47:DI47)</f>
        <v>64192.236442652676</v>
      </c>
      <c r="DJ48" s="2451">
        <f>$H46-SUM($I47:DJ47)</f>
        <v>63076.576370249211</v>
      </c>
      <c r="DK48" s="2451">
        <f>$H46-SUM($I47:DK47)</f>
        <v>61980.306452576799</v>
      </c>
      <c r="DL48" s="2451">
        <f>$H46-SUM($I47:DL47)</f>
        <v>60903.089689047338</v>
      </c>
      <c r="DM48" s="2451">
        <f>$H46-SUM($I47:DM47)</f>
        <v>59844.594936137786</v>
      </c>
      <c r="DN48" s="2451">
        <f>$H46-SUM($I47:DN47)</f>
        <v>58804.496805594303</v>
      </c>
      <c r="DO48" s="2451">
        <f>$H46-SUM($I47:DO47)</f>
        <v>57782.475564405904</v>
      </c>
      <c r="DP48" s="2451">
        <f>$H46-SUM($I47:DP47)</f>
        <v>56778.217036516347</v>
      </c>
      <c r="DQ48" s="2451">
        <f>$H46-SUM($I47:DQ47)</f>
        <v>55791.412506244378</v>
      </c>
      <c r="DR48" s="2451">
        <f>$H46-SUM($I47:DR47)</f>
        <v>54821.758623382455</v>
      </c>
      <c r="DS48" s="2451">
        <f>$H46-SUM($I47:DS47)</f>
        <v>53868.957309944963</v>
      </c>
      <c r="DT48" s="2451">
        <f>$H46-SUM($I47:DT47)</f>
        <v>52932.715668537072</v>
      </c>
      <c r="DU48" s="2451">
        <f>$H46-SUM($I47:DU47)</f>
        <v>52012.745892316074</v>
      </c>
      <c r="DV48" s="2451">
        <f>$H46-SUM($I47:DV47)</f>
        <v>51108.765176517743</v>
      </c>
      <c r="DW48" s="2451">
        <f>$H46-SUM($I47:DW47)</f>
        <v>50220.495631520258</v>
      </c>
      <c r="DX48" s="2451">
        <f>$H46-SUM($I47:DX47)</f>
        <v>49347.664197419101</v>
      </c>
      <c r="DY48" s="2451">
        <f>$H46-SUM($I47:DY47)</f>
        <v>48490.002560086694</v>
      </c>
      <c r="DZ48" s="2451">
        <f>$H46-SUM($I47:DZ47)</f>
        <v>47647.247068690776</v>
      </c>
      <c r="EA48" s="2451">
        <f>$H46-SUM($I47:EA47)</f>
        <v>46819.138654646464</v>
      </c>
      <c r="EB48" s="2451">
        <f>$H46-SUM($I47:EB47)</f>
        <v>46005.422751976905</v>
      </c>
      <c r="EC48" s="2451">
        <f>$H46-SUM($I47:EC47)</f>
        <v>45205.849219057913</v>
      </c>
      <c r="ED48" s="2451">
        <f>$H46-SUM($I47:ED47)</f>
        <v>44420.172261722881</v>
      </c>
      <c r="EE48" s="2451">
        <f>$H46-SUM($I47:EE47)</f>
        <v>43648.150357703969</v>
      </c>
      <c r="EF48" s="2451">
        <f>$H46-SUM($I47:EF47)</f>
        <v>42889.546182386635</v>
      </c>
      <c r="EG48" s="2451">
        <f>$H46-SUM($I47:EG47)</f>
        <v>42144.126535854448</v>
      </c>
      <c r="EH48" s="2451">
        <f>$H46-SUM($I47:EH47)</f>
        <v>41411.662271201872</v>
      </c>
      <c r="EI48" s="2451">
        <f>$H46-SUM($I47:EI47)</f>
        <v>40691.928224093048</v>
      </c>
      <c r="EJ48" s="2451">
        <f>$H46-SUM($I47:EJ47)</f>
        <v>39984.703143544786</v>
      </c>
      <c r="EK48" s="2451">
        <f>$H46-SUM($I47:EK47)</f>
        <v>39289.769623912522</v>
      </c>
      <c r="EL48" s="2451">
        <f>$H46-SUM($I47:EL47)</f>
        <v>38606.914038058458</v>
      </c>
      <c r="EM48" s="2451">
        <f>$H46-SUM($I47:EM47)</f>
        <v>37935.926471681101</v>
      </c>
      <c r="EN48" s="2451">
        <f>$H46-SUM($I47:EN47)</f>
        <v>37276.600658786279</v>
      </c>
      <c r="EO48" s="2451">
        <f>$H46-SUM($I47:EO47)</f>
        <v>36628.733918279584</v>
      </c>
      <c r="EP48" s="2451">
        <f>$H46-SUM($I47:EP47)</f>
        <v>35992.127091660863</v>
      </c>
      <c r="EQ48" s="2451">
        <f>$H46-SUM($I47:EQ47)</f>
        <v>35366.584481801634</v>
      </c>
      <c r="ER48" s="2451">
        <f>$H46-SUM($I47:ER47)</f>
        <v>34751.91379278645</v>
      </c>
      <c r="ES48" s="2451">
        <f>$H46-SUM($I47:ES47)</f>
        <v>34147.926070799906</v>
      </c>
      <c r="ET48" s="2451">
        <f>$H46-SUM($I47:ET47)</f>
        <v>33554.435646040947</v>
      </c>
      <c r="EU48" s="2451">
        <f>$H46-SUM($I47:EU47)</f>
        <v>32971.260075646802</v>
      </c>
      <c r="EV48" s="2451">
        <f>$H46-SUM($I47:EV47)</f>
        <v>32398.220087608817</v>
      </c>
      <c r="EW48" s="2451">
        <f>$H46-SUM($I47:EW47)</f>
        <v>31835.139525663049</v>
      </c>
      <c r="EX48" s="2451">
        <f>$H46-SUM($I47:EX47)</f>
        <v>31281.845295138686</v>
      </c>
      <c r="EY48" s="2451">
        <f>$H46-SUM($I47:EY47)</f>
        <v>30738.167309747601</v>
      </c>
      <c r="EZ48" s="2451">
        <f>$H46-SUM($I47:EZ47)</f>
        <v>30203.93843929877</v>
      </c>
      <c r="FA48" s="2451">
        <f>$H46-SUM($I47:FA47)</f>
        <v>29678.99445832122</v>
      </c>
      <c r="FB48" s="2451">
        <f>$H46-SUM($I47:FB47)</f>
        <v>29163.173995580146</v>
      </c>
      <c r="FC48" s="2451">
        <f>$H46-SUM($I47:FC47)</f>
        <v>28656.318484470306</v>
      </c>
      <c r="FD48" s="2451">
        <f>$H46-SUM($I47:FD47)</f>
        <v>28158.272114271589</v>
      </c>
      <c r="FE48" s="2451">
        <f>$H46-SUM($I47:FE47)</f>
        <v>27668.881782251759</v>
      </c>
      <c r="FF48" s="2451">
        <f>$H46-SUM($I47:FF47)</f>
        <v>27187.997046601726</v>
      </c>
      <c r="FG48" s="2451">
        <f>$H46-SUM($I47:FG47)</f>
        <v>26715.47008018865</v>
      </c>
      <c r="FH48" s="2451">
        <f>$H46-SUM($I47:FH47)</f>
        <v>26251.155625113024</v>
      </c>
      <c r="FI48" s="2451">
        <f>$H46-SUM($I47:FI47)</f>
        <v>25794.910948055331</v>
      </c>
      <c r="FJ48" s="2451">
        <f>$H46-SUM($I47:FJ47)</f>
        <v>25346.595796398964</v>
      </c>
      <c r="FK48" s="2451">
        <f>$H46-SUM($I47:FK47)</f>
        <v>24906.072355115612</v>
      </c>
      <c r="FL48" s="2451">
        <f>$H46-SUM($I47:FL47)</f>
        <v>24473.205204400001</v>
      </c>
      <c r="FM48" s="2451">
        <f>$H46-SUM($I47:FM47)</f>
        <v>24047.861278040946</v>
      </c>
      <c r="FN48" s="2451">
        <f>$H46-SUM($I47:FN47)</f>
        <v>23629.909822515998</v>
      </c>
      <c r="FO48" s="2451">
        <f>$H46-SUM($I47:FO47)</f>
        <v>23219.222356796876</v>
      </c>
      <c r="FP48" s="2451">
        <f>$H46-SUM($I47:FP47)</f>
        <v>22815.672632853559</v>
      </c>
      <c r="FQ48" s="2451">
        <f>$H46-SUM($I47:FQ47)</f>
        <v>22419.136596844852</v>
      </c>
      <c r="FR48" s="2451">
        <f>$H46-SUM($I47:FR47)</f>
        <v>22029.492350983375</v>
      </c>
      <c r="FS48" s="2451">
        <f>$H46-SUM($I47:FS47)</f>
        <v>21646.620116063394</v>
      </c>
      <c r="FT48" s="2451">
        <f>$H46-SUM($I47:FT47)</f>
        <v>21270.40219463993</v>
      </c>
      <c r="FU48" s="2451">
        <f>$H46-SUM($I47:FU47)</f>
        <v>20900.722934847785</v>
      </c>
      <c r="FV48" s="2451">
        <f>$H46-SUM($I47:FV47)</f>
        <v>20537.468694849318</v>
      </c>
      <c r="FW48" s="2451">
        <f>$H46-SUM($I47:FW47)</f>
        <v>20180.527807900333</v>
      </c>
      <c r="FX48" s="2451">
        <f>$H46-SUM($I47:FX47)</f>
        <v>19829.790548022866</v>
      </c>
      <c r="FY48" s="2451">
        <f>$H46-SUM($I47:FY47)</f>
        <v>19485.149096274778</v>
      </c>
      <c r="FZ48" s="2451">
        <f>$H46-SUM($I47:FZ47)</f>
        <v>19146.49750760544</v>
      </c>
      <c r="GA48" s="2451">
        <f>$H46-SUM($I47:GA47)</f>
        <v>18813.731678287557</v>
      </c>
      <c r="GB48" s="2451">
        <f>$H46-SUM($I47:GB47)</f>
        <v>18486.749313915032</v>
      </c>
      <c r="GC48" s="2451">
        <f>$H46-SUM($I47:GC47)</f>
        <v>18165.449897956947</v>
      </c>
      <c r="GD48" s="2451">
        <f>$H46-SUM($I47:GD47)</f>
        <v>17849.734660858114</v>
      </c>
      <c r="GE48" s="2451">
        <f>$H46-SUM($I47:GE47)</f>
        <v>17539.506549676677</v>
      </c>
      <c r="GF48" s="2451">
        <f>$H46-SUM($I47:GF47)</f>
        <v>17234.670198249427</v>
      </c>
      <c r="GG48" s="2451">
        <f>$H46-SUM($I47:GG47)</f>
        <v>16935.131897875573</v>
      </c>
      <c r="GH48" s="2451">
        <f>$H46-SUM($I47:GH47)</f>
        <v>16640.79956851009</v>
      </c>
      <c r="GI48" s="2451">
        <f>$H46-SUM($I47:GI47)</f>
        <v>16351.582730457711</v>
      </c>
      <c r="GJ48" s="2451">
        <f>$H46-SUM($I47:GJ47)</f>
        <v>16067.392476558831</v>
      </c>
      <c r="GK48" s="2451">
        <f>$H46-SUM($I47:GK47)</f>
        <v>15788.141444858949</v>
      </c>
      <c r="GL48" s="2451">
        <f>$H46-SUM($I47:GL47)</f>
        <v>15513.74379175299</v>
      </c>
      <c r="GM48" s="2451">
        <f>$H46-SUM($I47:GM47)</f>
        <v>15244.115165596333</v>
      </c>
      <c r="GN48" s="2451">
        <f>$H46-SUM($I47:GN47)</f>
        <v>14979.172680774675</v>
      </c>
      <c r="GO48" s="2451">
        <f>$H46-SUM($I47:GO47)</f>
        <v>14718.834892224404</v>
      </c>
      <c r="GP48" s="2451">
        <f>$H46-SUM($I47:GP47)</f>
        <v>14463.021770395804</v>
      </c>
      <c r="GQ48" s="2451">
        <f>$H46-SUM($I47:GQ47)</f>
        <v>14211.654676651553</v>
      </c>
      <c r="GR48" s="2451">
        <f>$H46-SUM($I47:GR47)</f>
        <v>13964.656339092617</v>
      </c>
      <c r="GS48" s="2451">
        <f>$H46-SUM($I47:GS47)</f>
        <v>13721.950828804314</v>
      </c>
      <c r="GT48" s="2451">
        <f>$H46-SUM($I47:GT47)</f>
        <v>13483.463536515366</v>
      </c>
      <c r="GU48" s="2451">
        <f>$H46-SUM($I47:GU47)</f>
        <v>13249.121149662446</v>
      </c>
      <c r="GV48" s="2451">
        <f>$H46-SUM($I47:GV47)</f>
        <v>13018.851629853452</v>
      </c>
      <c r="GW48" s="2451">
        <f>$H46-SUM($I47:GW47)</f>
        <v>12792.584190722439</v>
      </c>
      <c r="GX48" s="2451">
        <f>$H46-SUM($I47:GX47)</f>
        <v>12570.249276169343</v>
      </c>
      <c r="GY48" s="2451">
        <f>$H46-SUM($I47:GY47)</f>
        <v>12351.778538978106</v>
      </c>
      <c r="GZ48" s="2451">
        <f>$H46-SUM($I47:GZ47)</f>
        <v>12137.104819806176</v>
      </c>
      <c r="HA48" s="2451">
        <f>$H46-SUM($I47:HA47)</f>
        <v>11926.162126539362</v>
      </c>
      <c r="HB48" s="2451">
        <f>$H46-SUM($I47:HB47)</f>
        <v>11718.885614005383</v>
      </c>
      <c r="HC48" s="2451">
        <f>$H46-SUM($I47:HC47)</f>
        <v>11515.211564040015</v>
      </c>
      <c r="HD48" s="2451">
        <f>$H46-SUM($I47:HD47)</f>
        <v>11315.077365899779</v>
      </c>
      <c r="HE48" s="2451">
        <f>$H46-SUM($I47:HE47)</f>
        <v>11118.421497014933</v>
      </c>
      <c r="HF48" s="2451">
        <f>$H46-SUM($I47:HF47)</f>
        <v>10925.183504077053</v>
      </c>
      <c r="HG48" s="2451">
        <f>$H46-SUM($I47:HG47)</f>
        <v>10735.30398445524</v>
      </c>
      <c r="HH48" s="2451">
        <f>$H46-SUM($I47:HH47)</f>
        <v>10548.724567935453</v>
      </c>
      <c r="HI48" s="2451">
        <f>$H46-SUM($I47:HI47)</f>
        <v>10365.387898777</v>
      </c>
      <c r="HJ48" s="2451">
        <f>$H46-SUM($I47:HJ47)</f>
        <v>10185.237618081126</v>
      </c>
      <c r="HK48" s="2451">
        <f>$H46-SUM($I47:HK47)</f>
        <v>10008.218346465845</v>
      </c>
      <c r="HL48" s="2451">
        <f>$H46-SUM($I47:HL47)</f>
        <v>9834.2756670419476</v>
      </c>
      <c r="HM48" s="2451">
        <f>$H46-SUM($I47:HM47)</f>
        <v>9663.3561086849368</v>
      </c>
      <c r="HN48" s="2451">
        <f>$H46-SUM($I47:HN47)</f>
        <v>9495.4071295976173</v>
      </c>
      <c r="HO48" s="2451">
        <f>$H46-SUM($I47:HO47)</f>
        <v>9330.3771011584031</v>
      </c>
      <c r="HP48" s="2451">
        <f>$H46-SUM($I47:HP47)</f>
        <v>9168.2152920503868</v>
      </c>
      <c r="HQ48" s="2451">
        <f>$H46-SUM($I47:HQ47)</f>
        <v>9008.8718526661396</v>
      </c>
      <c r="HR48" s="2451">
        <f>$H46-SUM($I47:HR47)</f>
        <v>8852.2977997836133</v>
      </c>
      <c r="HS48" s="2451">
        <f>$H46-SUM($I47:HS47)</f>
        <v>8698.4450015084294</v>
      </c>
      <c r="HT48" s="2451">
        <f>$H46-SUM($I47:HT47)</f>
        <v>8547.2661624777829</v>
      </c>
      <c r="HU48" s="2451">
        <f>$H46-SUM($I47:HU47)</f>
        <v>8398.7148093215364</v>
      </c>
      <c r="HV48" s="2451">
        <f>$H46-SUM($I47:HV47)</f>
        <v>8252.7452763759939</v>
      </c>
      <c r="HW48" s="2451">
        <f>$H46-SUM($I47:HW47)</f>
        <v>8109.3126916459878</v>
      </c>
      <c r="HX48" s="2451">
        <f>$H46-SUM($I47:HX47)</f>
        <v>7968.3729630109447</v>
      </c>
      <c r="HY48" s="2451">
        <f>$H46-SUM($I47:HY47)</f>
        <v>7829.8827646706486</v>
      </c>
      <c r="HZ48" s="2451">
        <f>$H46-SUM($I47:HZ47)</f>
        <v>7693.7995238266012</v>
      </c>
      <c r="IA48" s="2451">
        <f>$H46-SUM($I47:IA47)</f>
        <v>7562.2795136151544</v>
      </c>
    </row>
    <row r="49" spans="3:235">
      <c r="C49" s="2383"/>
      <c r="D49" s="2406" t="s">
        <v>3931</v>
      </c>
      <c r="E49" s="2356"/>
      <c r="F49" s="2356"/>
      <c r="G49" s="2461"/>
      <c r="H49" s="2447"/>
      <c r="I49" s="2459"/>
      <c r="J49" s="2655">
        <f t="shared" ref="J49:BU49" si="85">J$28</f>
        <v>0</v>
      </c>
      <c r="K49" s="2462">
        <f t="shared" si="85"/>
        <v>0</v>
      </c>
      <c r="L49" s="2464">
        <f t="shared" si="85"/>
        <v>0</v>
      </c>
      <c r="M49" s="2655">
        <f t="shared" si="85"/>
        <v>0</v>
      </c>
      <c r="N49" s="2462">
        <f t="shared" si="85"/>
        <v>0</v>
      </c>
      <c r="O49" s="2464">
        <f t="shared" si="85"/>
        <v>0</v>
      </c>
      <c r="P49" s="2462">
        <f t="shared" si="85"/>
        <v>0</v>
      </c>
      <c r="Q49" s="2463">
        <f t="shared" si="85"/>
        <v>0</v>
      </c>
      <c r="R49" s="2464">
        <f t="shared" si="85"/>
        <v>0</v>
      </c>
      <c r="S49" s="2462">
        <f t="shared" si="85"/>
        <v>0</v>
      </c>
      <c r="T49" s="2463">
        <f t="shared" si="85"/>
        <v>0</v>
      </c>
      <c r="U49" s="2465">
        <f t="shared" si="85"/>
        <v>0</v>
      </c>
      <c r="V49" s="2465">
        <f t="shared" si="85"/>
        <v>0</v>
      </c>
      <c r="W49" s="2465">
        <f t="shared" si="85"/>
        <v>0</v>
      </c>
      <c r="X49" s="2465">
        <f t="shared" si="85"/>
        <v>0</v>
      </c>
      <c r="Y49" s="2465">
        <f t="shared" si="85"/>
        <v>0</v>
      </c>
      <c r="Z49" s="2465">
        <f t="shared" si="85"/>
        <v>0</v>
      </c>
      <c r="AA49" s="2465">
        <f t="shared" si="85"/>
        <v>0</v>
      </c>
      <c r="AB49" s="2465">
        <f t="shared" si="85"/>
        <v>0</v>
      </c>
      <c r="AC49" s="2465">
        <f t="shared" si="85"/>
        <v>0</v>
      </c>
      <c r="AD49" s="2465">
        <f t="shared" si="85"/>
        <v>0</v>
      </c>
      <c r="AE49" s="2465">
        <f t="shared" si="85"/>
        <v>0</v>
      </c>
      <c r="AF49" s="2465">
        <f t="shared" si="85"/>
        <v>0</v>
      </c>
      <c r="AG49" s="2465">
        <f t="shared" si="85"/>
        <v>0</v>
      </c>
      <c r="AH49" s="2465">
        <f t="shared" si="85"/>
        <v>0</v>
      </c>
      <c r="AI49" s="2465">
        <f t="shared" si="85"/>
        <v>0</v>
      </c>
      <c r="AJ49" s="2465">
        <f t="shared" si="85"/>
        <v>1.0079961809285116</v>
      </c>
      <c r="AK49" s="2465">
        <f t="shared" si="85"/>
        <v>1.0106217925766798</v>
      </c>
      <c r="AL49" s="2465">
        <f t="shared" si="85"/>
        <v>1.0227950829454588</v>
      </c>
      <c r="AM49" s="2465">
        <f t="shared" si="85"/>
        <v>1.0268528464017186</v>
      </c>
      <c r="AN49" s="2465">
        <f t="shared" si="85"/>
        <v>1.0423678243227115</v>
      </c>
      <c r="AO49" s="2465">
        <f t="shared" si="85"/>
        <v>1.0412937104666427</v>
      </c>
      <c r="AP49" s="2465">
        <f t="shared" si="85"/>
        <v>1.0650435612841627</v>
      </c>
      <c r="AQ49" s="2465">
        <f t="shared" si="85"/>
        <v>1.0701754385964912</v>
      </c>
      <c r="AR49" s="2465">
        <f t="shared" si="85"/>
        <v>1.0815133070772169</v>
      </c>
      <c r="AS49" s="2465">
        <f t="shared" si="85"/>
        <v>1.0846163026614153</v>
      </c>
      <c r="AT49" s="2465">
        <f t="shared" si="85"/>
        <v>1.093328559493973</v>
      </c>
      <c r="AU49" s="2465">
        <f t="shared" si="85"/>
        <v>1.0936865974459959</v>
      </c>
      <c r="AV49" s="2465">
        <f t="shared" si="85"/>
        <v>1.1040696980546605</v>
      </c>
      <c r="AW49" s="2465">
        <f t="shared" si="85"/>
        <v>1.1001312805824084</v>
      </c>
      <c r="AX49" s="2465">
        <f t="shared" si="85"/>
        <v>1.1093209213509965</v>
      </c>
      <c r="AY49" s="2465">
        <f t="shared" si="85"/>
        <v>1.106456617734813</v>
      </c>
      <c r="AZ49" s="2465">
        <f t="shared" si="85"/>
        <v>1.1149301825993554</v>
      </c>
      <c r="BA49" s="2465">
        <f t="shared" si="85"/>
        <v>1.1126626089032103</v>
      </c>
      <c r="BB49" s="2465">
        <f t="shared" si="85"/>
        <v>1.1236424394319131</v>
      </c>
      <c r="BC49" s="2465">
        <f t="shared" si="85"/>
        <v>1.1248358992719893</v>
      </c>
      <c r="BD49" s="2465">
        <f t="shared" si="85"/>
        <v>1.1277002028881726</v>
      </c>
      <c r="BE49" s="2465">
        <f t="shared" si="85"/>
        <v>1.1219715956558061</v>
      </c>
      <c r="BF49" s="2465">
        <f t="shared" si="85"/>
        <v>1.1290130087122567</v>
      </c>
      <c r="BG49" s="2465">
        <f t="shared" si="85"/>
        <v>1.1327127342164935</v>
      </c>
      <c r="BH49" s="2465">
        <f t="shared" si="85"/>
        <v>1.1334288101205394</v>
      </c>
      <c r="BI49" s="2465">
        <f t="shared" si="85"/>
        <v>1.1346222699606157</v>
      </c>
      <c r="BJ49" s="2465">
        <f t="shared" si="85"/>
        <v>1.1384413414488601</v>
      </c>
      <c r="BK49" s="2465">
        <f t="shared" si="85"/>
        <v>1.1410669530970281</v>
      </c>
      <c r="BL49" s="2465">
        <f t="shared" si="85"/>
        <v>1.148705096073517</v>
      </c>
      <c r="BM49" s="2465">
        <f t="shared" si="85"/>
        <v>1.1497792099295858</v>
      </c>
      <c r="BN49" s="2465">
        <f t="shared" si="85"/>
        <v>1.1644587659625252</v>
      </c>
      <c r="BO49" s="2465">
        <f t="shared" si="85"/>
        <v>1.1617138083303495</v>
      </c>
      <c r="BP49" s="2465">
        <f t="shared" si="85"/>
        <v>1.1716195250029835</v>
      </c>
      <c r="BQ49" s="2465">
        <f t="shared" si="85"/>
        <v>1.1660102637546246</v>
      </c>
      <c r="BR49" s="2465">
        <f t="shared" si="85"/>
        <v>1.1785415920754265</v>
      </c>
      <c r="BS49" s="2465">
        <f t="shared" si="85"/>
        <v>1.1788996300274495</v>
      </c>
      <c r="BT49" s="2465">
        <f t="shared" si="85"/>
        <v>1.1960854517245494</v>
      </c>
      <c r="BU49" s="2465">
        <f t="shared" si="85"/>
        <v>1.1814058956916098</v>
      </c>
      <c r="BV49" s="2465">
        <f t="shared" ref="BV49:EG49" si="86">BV$28</f>
        <v>1.1829573934837092</v>
      </c>
      <c r="BW49" s="2465">
        <f t="shared" si="86"/>
        <v>1.1873731948919917</v>
      </c>
      <c r="BX49" s="2465">
        <f t="shared" si="86"/>
        <v>1.190953574412221</v>
      </c>
      <c r="BY49" s="2465">
        <f t="shared" si="86"/>
        <v>1.1901181525241675</v>
      </c>
      <c r="BZ49" s="2465">
        <f t="shared" si="86"/>
        <v>1.1927437641723355</v>
      </c>
      <c r="CA49" s="2465">
        <f t="shared" si="86"/>
        <v>1.1899988065401597</v>
      </c>
      <c r="CB49" s="2465">
        <f t="shared" si="86"/>
        <v>1.2022914428929465</v>
      </c>
      <c r="CC49" s="2465">
        <f t="shared" si="86"/>
        <v>1.1973982575486333</v>
      </c>
      <c r="CD49" s="2465">
        <f t="shared" si="86"/>
        <v>1.2154195011337867</v>
      </c>
      <c r="CE49" s="2465">
        <f t="shared" si="86"/>
        <v>1.2179257667979471</v>
      </c>
      <c r="CF49" s="2465">
        <f t="shared" si="86"/>
        <v>1.2312925170068028</v>
      </c>
      <c r="CG49" s="2465">
        <f t="shared" si="86"/>
        <v>1.2416756176154673</v>
      </c>
      <c r="CH49" s="2465">
        <f t="shared" ca="1" si="86"/>
        <v>1.2463059364258169</v>
      </c>
      <c r="CI49" s="2465">
        <f t="shared" ca="1" si="86"/>
        <v>1.250953522106822</v>
      </c>
      <c r="CJ49" s="2465">
        <f t="shared" ca="1" si="86"/>
        <v>1.255618439048179</v>
      </c>
      <c r="CK49" s="2465">
        <f t="shared" ca="1" si="86"/>
        <v>1.2603007518796991</v>
      </c>
      <c r="CL49" s="2465">
        <f t="shared" ca="1" si="86"/>
        <v>1.2650005254722041</v>
      </c>
      <c r="CM49" s="2465">
        <f t="shared" ca="1" si="86"/>
        <v>1.2697178249384242</v>
      </c>
      <c r="CN49" s="2465">
        <f t="shared" ca="1" si="86"/>
        <v>1.2744527156339016</v>
      </c>
      <c r="CO49" s="2465">
        <f t="shared" ca="1" si="86"/>
        <v>1.2792052631578945</v>
      </c>
      <c r="CP49" s="2465">
        <f t="shared" ca="1" si="86"/>
        <v>1.283975533354287</v>
      </c>
      <c r="CQ49" s="2465">
        <f t="shared" ca="1" si="86"/>
        <v>1.2887635923125005</v>
      </c>
      <c r="CR49" s="2465">
        <f t="shared" ca="1" si="86"/>
        <v>1.2935695063684101</v>
      </c>
      <c r="CS49" s="2465">
        <f t="shared" ca="1" si="86"/>
        <v>1.2983933421052629</v>
      </c>
      <c r="CT49" s="2465">
        <f t="shared" ca="1" si="86"/>
        <v>1.3032351663546011</v>
      </c>
      <c r="CU49" s="2465">
        <f t="shared" ca="1" si="86"/>
        <v>1.3080950461971879</v>
      </c>
      <c r="CV49" s="2465">
        <f t="shared" ca="1" si="86"/>
        <v>1.312973048963936</v>
      </c>
      <c r="CW49" s="2465">
        <f t="shared" ca="1" si="86"/>
        <v>1.3178692422368417</v>
      </c>
      <c r="CX49" s="2465">
        <f t="shared" ca="1" si="86"/>
        <v>1.32278369384992</v>
      </c>
      <c r="CY49" s="2465">
        <f t="shared" ca="1" si="86"/>
        <v>1.3277164718901455</v>
      </c>
      <c r="CZ49" s="2465">
        <f t="shared" ca="1" si="86"/>
        <v>1.3326676446983949</v>
      </c>
      <c r="DA49" s="2465">
        <f t="shared" ca="1" si="86"/>
        <v>1.3376372808703942</v>
      </c>
      <c r="DB49" s="2465">
        <f t="shared" ca="1" si="86"/>
        <v>1.3426254492576688</v>
      </c>
      <c r="DC49" s="2465">
        <f t="shared" ca="1" si="86"/>
        <v>1.3476322189684977</v>
      </c>
      <c r="DD49" s="2465">
        <f t="shared" ca="1" si="86"/>
        <v>1.3526576593688708</v>
      </c>
      <c r="DE49" s="2465">
        <f t="shared" ca="1" si="86"/>
        <v>1.35770184008345</v>
      </c>
      <c r="DF49" s="2465">
        <f t="shared" ca="1" si="86"/>
        <v>1.3627648309965337</v>
      </c>
      <c r="DG49" s="2465">
        <f t="shared" ca="1" si="86"/>
        <v>1.367846702253025</v>
      </c>
      <c r="DH49" s="2465">
        <f t="shared" ca="1" si="86"/>
        <v>1.3729475242594036</v>
      </c>
      <c r="DI49" s="2465">
        <f t="shared" ca="1" si="86"/>
        <v>1.3780673676847015</v>
      </c>
      <c r="DJ49" s="2465">
        <f t="shared" ca="1" si="86"/>
        <v>1.3832063034614814</v>
      </c>
      <c r="DK49" s="2465">
        <f t="shared" ca="1" si="86"/>
        <v>1.3883644027868201</v>
      </c>
      <c r="DL49" s="2465">
        <f t="shared" ca="1" si="86"/>
        <v>1.3935417371232945</v>
      </c>
      <c r="DM49" s="2465">
        <f t="shared" ca="1" si="86"/>
        <v>1.3987383781999718</v>
      </c>
      <c r="DN49" s="2465">
        <f t="shared" ca="1" si="86"/>
        <v>1.4039543980134035</v>
      </c>
      <c r="DO49" s="2465">
        <f t="shared" ca="1" si="86"/>
        <v>1.4091898688286222</v>
      </c>
      <c r="DP49" s="2465">
        <f t="shared" ca="1" si="86"/>
        <v>1.4144448631801436</v>
      </c>
      <c r="DQ49" s="2465">
        <f t="shared" ca="1" si="86"/>
        <v>1.4197194538729712</v>
      </c>
      <c r="DR49" s="2465">
        <f t="shared" ca="1" si="86"/>
        <v>1.4250137139836043</v>
      </c>
      <c r="DS49" s="2465">
        <f t="shared" ca="1" si="86"/>
        <v>1.4303277168610513</v>
      </c>
      <c r="DT49" s="2465">
        <f t="shared" ca="1" si="86"/>
        <v>1.4356615361278457</v>
      </c>
      <c r="DU49" s="2465">
        <f t="shared" ca="1" si="86"/>
        <v>1.4410152456810656</v>
      </c>
      <c r="DV49" s="2465">
        <f t="shared" ca="1" si="86"/>
        <v>1.4463889196933581</v>
      </c>
      <c r="DW49" s="2465">
        <f t="shared" ca="1" si="86"/>
        <v>1.4517826326139669</v>
      </c>
      <c r="DX49" s="2465">
        <f t="shared" ca="1" si="86"/>
        <v>1.4571964591697633</v>
      </c>
      <c r="DY49" s="2465">
        <f t="shared" ca="1" si="86"/>
        <v>1.4626304743662815</v>
      </c>
      <c r="DZ49" s="2465">
        <f t="shared" ca="1" si="86"/>
        <v>1.4680847534887584</v>
      </c>
      <c r="EA49" s="2465">
        <f t="shared" ca="1" si="86"/>
        <v>1.4735593721031763</v>
      </c>
      <c r="EB49" s="2465">
        <f t="shared" ca="1" si="86"/>
        <v>1.4790544060573094</v>
      </c>
      <c r="EC49" s="2465">
        <f t="shared" ca="1" si="86"/>
        <v>1.4845699314817755</v>
      </c>
      <c r="ED49" s="2465">
        <f t="shared" ca="1" si="86"/>
        <v>1.4901060247910896</v>
      </c>
      <c r="EE49" s="2465">
        <f t="shared" ca="1" si="86"/>
        <v>1.4956627626847236</v>
      </c>
      <c r="EF49" s="2465">
        <f t="shared" ca="1" si="86"/>
        <v>1.5012402221481689</v>
      </c>
      <c r="EG49" s="2465">
        <f t="shared" ca="1" si="86"/>
        <v>1.5068384804540018</v>
      </c>
      <c r="EH49" s="2465">
        <f t="shared" ref="EH49:GS49" ca="1" si="87">EH$28</f>
        <v>1.5124576151629556</v>
      </c>
      <c r="EI49" s="2465">
        <f t="shared" ca="1" si="87"/>
        <v>1.5180977041249943</v>
      </c>
      <c r="EJ49" s="2465">
        <f t="shared" ca="1" si="87"/>
        <v>1.5237588254803913</v>
      </c>
      <c r="EK49" s="2465">
        <f t="shared" ca="1" si="87"/>
        <v>1.5294410576608117</v>
      </c>
      <c r="EL49" s="2465">
        <f t="shared" ca="1" si="87"/>
        <v>1.5351444793903999</v>
      </c>
      <c r="EM49" s="2465">
        <f t="shared" ca="1" si="87"/>
        <v>1.540869169686869</v>
      </c>
      <c r="EN49" s="2465">
        <f t="shared" ca="1" si="87"/>
        <v>1.5466152078625968</v>
      </c>
      <c r="EO49" s="2465">
        <f t="shared" ca="1" si="87"/>
        <v>1.5523826735257236</v>
      </c>
      <c r="EP49" s="2465">
        <f t="shared" ca="1" si="87"/>
        <v>1.5581716465812556</v>
      </c>
      <c r="EQ49" s="2465">
        <f t="shared" ca="1" si="87"/>
        <v>1.5639822072321719</v>
      </c>
      <c r="ER49" s="2465">
        <f t="shared" ca="1" si="87"/>
        <v>1.5698144359805355</v>
      </c>
      <c r="ES49" s="2465">
        <f t="shared" ca="1" si="87"/>
        <v>1.5756684136286092</v>
      </c>
      <c r="ET49" s="2465">
        <f t="shared" ca="1" si="87"/>
        <v>1.5815442212799742</v>
      </c>
      <c r="EU49" s="2465">
        <f t="shared" ca="1" si="87"/>
        <v>1.5874419403406541</v>
      </c>
      <c r="EV49" s="2465">
        <f t="shared" ca="1" si="87"/>
        <v>1.5933616525202432</v>
      </c>
      <c r="EW49" s="2465">
        <f t="shared" ca="1" si="87"/>
        <v>1.5993034398330379</v>
      </c>
      <c r="EX49" s="2465">
        <f t="shared" ca="1" si="87"/>
        <v>1.6052673845991734</v>
      </c>
      <c r="EY49" s="2465">
        <f t="shared" ca="1" si="87"/>
        <v>1.6112535694457637</v>
      </c>
      <c r="EZ49" s="2465">
        <f t="shared" ca="1" si="87"/>
        <v>1.6172620773080468</v>
      </c>
      <c r="FA49" s="2465">
        <f t="shared" ca="1" si="87"/>
        <v>1.6232929914305336</v>
      </c>
      <c r="FB49" s="2465">
        <f t="shared" ca="1" si="87"/>
        <v>1.6293463953681611</v>
      </c>
      <c r="FC49" s="2465">
        <f t="shared" ca="1" si="87"/>
        <v>1.6354223729874502</v>
      </c>
      <c r="FD49" s="2465">
        <f t="shared" ca="1" si="87"/>
        <v>1.6415210084676675</v>
      </c>
      <c r="FE49" s="2465">
        <f t="shared" ca="1" si="87"/>
        <v>1.6476423863019916</v>
      </c>
      <c r="FF49" s="2465">
        <f t="shared" ca="1" si="87"/>
        <v>1.6537865912986836</v>
      </c>
      <c r="FG49" s="2465">
        <f t="shared" ca="1" si="87"/>
        <v>1.659953708582262</v>
      </c>
      <c r="FH49" s="2465">
        <f t="shared" ca="1" si="87"/>
        <v>1.6661438235946826</v>
      </c>
      <c r="FI49" s="2465">
        <f t="shared" ca="1" si="87"/>
        <v>1.6723570220965214</v>
      </c>
      <c r="FJ49" s="2465">
        <f t="shared" ca="1" si="87"/>
        <v>1.6785933901681636</v>
      </c>
      <c r="FK49" s="2465">
        <f t="shared" ca="1" si="87"/>
        <v>1.6848530142109956</v>
      </c>
      <c r="FL49" s="2465">
        <f t="shared" ca="1" si="87"/>
        <v>1.6911359809486024</v>
      </c>
      <c r="FM49" s="2465">
        <f t="shared" ca="1" si="87"/>
        <v>1.6974423774279688</v>
      </c>
      <c r="FN49" s="2465">
        <f t="shared" ca="1" si="87"/>
        <v>1.7037722910206856</v>
      </c>
      <c r="FO49" s="2465">
        <f t="shared" ca="1" si="87"/>
        <v>1.7101258094241603</v>
      </c>
      <c r="FP49" s="2465">
        <f t="shared" ca="1" si="87"/>
        <v>1.7165030206628311</v>
      </c>
      <c r="FQ49" s="2465">
        <f t="shared" ca="1" si="87"/>
        <v>1.722904013089388</v>
      </c>
      <c r="FR49" s="2465">
        <f t="shared" ca="1" si="87"/>
        <v>1.7293288753859957</v>
      </c>
      <c r="FS49" s="2465">
        <f t="shared" ca="1" si="87"/>
        <v>1.7357776965655223</v>
      </c>
      <c r="FT49" s="2465">
        <f t="shared" ca="1" si="87"/>
        <v>1.7422505659727734</v>
      </c>
      <c r="FU49" s="2465">
        <f t="shared" ca="1" si="87"/>
        <v>1.7487475732857287</v>
      </c>
      <c r="FV49" s="2465">
        <f t="shared" ca="1" si="87"/>
        <v>1.7552688085167856</v>
      </c>
      <c r="FW49" s="2465">
        <f t="shared" ca="1" si="87"/>
        <v>1.7618143620140052</v>
      </c>
      <c r="FX49" s="2465">
        <f t="shared" ca="1" si="87"/>
        <v>1.7683843244623649</v>
      </c>
      <c r="FY49" s="2465">
        <f t="shared" ca="1" si="87"/>
        <v>1.7749787868850146</v>
      </c>
      <c r="FZ49" s="2465">
        <f t="shared" ca="1" si="87"/>
        <v>1.7815978406445372</v>
      </c>
      <c r="GA49" s="2465">
        <f t="shared" ca="1" si="87"/>
        <v>1.7882415774442151</v>
      </c>
      <c r="GB49" s="2465">
        <f t="shared" ca="1" si="87"/>
        <v>1.7949100893293002</v>
      </c>
      <c r="GC49" s="2465">
        <f t="shared" ca="1" si="87"/>
        <v>1.8016034686882896</v>
      </c>
      <c r="GD49" s="2465">
        <f t="shared" ca="1" si="87"/>
        <v>1.808321808254205</v>
      </c>
      <c r="GE49" s="2465">
        <f t="shared" ca="1" si="87"/>
        <v>1.8150652011058781</v>
      </c>
      <c r="GF49" s="2465">
        <f t="shared" ca="1" si="87"/>
        <v>1.8218337406692395</v>
      </c>
      <c r="GG49" s="2465">
        <f t="shared" ca="1" si="87"/>
        <v>1.8286275207186138</v>
      </c>
      <c r="GH49" s="2465">
        <f t="shared" ca="1" si="87"/>
        <v>1.8354466353780179</v>
      </c>
      <c r="GI49" s="2465">
        <f t="shared" ca="1" si="87"/>
        <v>1.8422911791224661</v>
      </c>
      <c r="GJ49" s="2465">
        <f t="shared" ca="1" si="87"/>
        <v>1.849161246779278</v>
      </c>
      <c r="GK49" s="2465">
        <f t="shared" ca="1" si="87"/>
        <v>1.8560569335293928</v>
      </c>
      <c r="GL49" s="2465">
        <f t="shared" ca="1" si="87"/>
        <v>1.8629783349086881</v>
      </c>
      <c r="GM49" s="2465">
        <f t="shared" ca="1" si="87"/>
        <v>1.869925546809303</v>
      </c>
      <c r="GN49" s="2465">
        <f t="shared" ca="1" si="87"/>
        <v>1.876898665480967</v>
      </c>
      <c r="GO49" s="2465">
        <f t="shared" ca="1" si="87"/>
        <v>1.8838977875323335</v>
      </c>
      <c r="GP49" s="2465">
        <f t="shared" ca="1" si="87"/>
        <v>1.8909230099323182</v>
      </c>
      <c r="GQ49" s="2465">
        <f t="shared" ca="1" si="87"/>
        <v>1.8979744300114423</v>
      </c>
      <c r="GR49" s="2465">
        <f t="shared" ca="1" si="87"/>
        <v>1.9050521454631812</v>
      </c>
      <c r="GS49" s="2465">
        <f t="shared" ca="1" si="87"/>
        <v>1.9121562543453183</v>
      </c>
      <c r="GT49" s="2465">
        <f t="shared" ref="GT49:IA49" ca="1" si="88">GT$28</f>
        <v>1.9192868550813027</v>
      </c>
      <c r="GU49" s="2465">
        <f t="shared" ca="1" si="88"/>
        <v>1.9264440464616137</v>
      </c>
      <c r="GV49" s="2465">
        <f t="shared" ca="1" si="88"/>
        <v>1.9336279276451287</v>
      </c>
      <c r="GW49" s="2465">
        <f t="shared" ca="1" si="88"/>
        <v>1.9408385981604979</v>
      </c>
      <c r="GX49" s="2465">
        <f t="shared" ca="1" si="88"/>
        <v>1.9480761579075221</v>
      </c>
      <c r="GY49" s="2465">
        <f t="shared" ca="1" si="88"/>
        <v>1.9553407071585378</v>
      </c>
      <c r="GZ49" s="2465">
        <f t="shared" ca="1" si="88"/>
        <v>1.9626323465598057</v>
      </c>
      <c r="HA49" s="2465">
        <f t="shared" ca="1" si="88"/>
        <v>1.9699511771329052</v>
      </c>
      <c r="HB49" s="2465">
        <f t="shared" ca="1" si="88"/>
        <v>1.9772973002761347</v>
      </c>
      <c r="HC49" s="2465">
        <f t="shared" ca="1" si="88"/>
        <v>1.9846708177659156</v>
      </c>
      <c r="HD49" s="2465">
        <f t="shared" ca="1" si="88"/>
        <v>1.9920718317582025</v>
      </c>
      <c r="HE49" s="2465">
        <f t="shared" ca="1" si="88"/>
        <v>1.9995004447898985</v>
      </c>
      <c r="HF49" s="2465">
        <f t="shared" ca="1" si="88"/>
        <v>2.0069567597802767</v>
      </c>
      <c r="HG49" s="2465">
        <f t="shared" ca="1" si="88"/>
        <v>2.0144408800324043</v>
      </c>
      <c r="HH49" s="2465">
        <f t="shared" ca="1" si="88"/>
        <v>2.0219529092345754</v>
      </c>
      <c r="HI49" s="2465">
        <f t="shared" ca="1" si="88"/>
        <v>2.029492951461747</v>
      </c>
      <c r="HJ49" s="2465">
        <f t="shared" ca="1" si="88"/>
        <v>2.0370611111769805</v>
      </c>
      <c r="HK49" s="2465">
        <f t="shared" ca="1" si="88"/>
        <v>2.04465749323289</v>
      </c>
      <c r="HL49" s="2465">
        <f t="shared" ca="1" si="88"/>
        <v>2.0522822028730938</v>
      </c>
      <c r="HM49" s="2465">
        <f t="shared" ca="1" si="88"/>
        <v>2.0599353457336731</v>
      </c>
      <c r="HN49" s="2465">
        <f t="shared" ca="1" si="88"/>
        <v>2.0676170278446353</v>
      </c>
      <c r="HO49" s="2465">
        <f t="shared" ca="1" si="88"/>
        <v>2.0753273556313836</v>
      </c>
      <c r="HP49" s="2465">
        <f t="shared" ca="1" si="88"/>
        <v>2.0830664359161903</v>
      </c>
      <c r="HQ49" s="2465">
        <f t="shared" ca="1" si="88"/>
        <v>2.0908343759196781</v>
      </c>
      <c r="HR49" s="2465">
        <f t="shared" ca="1" si="88"/>
        <v>2.0986312832623049</v>
      </c>
      <c r="HS49" s="2465">
        <f t="shared" ca="1" si="88"/>
        <v>2.106457265965854</v>
      </c>
      <c r="HT49" s="2465">
        <f t="shared" ca="1" si="88"/>
        <v>2.1143124324549327</v>
      </c>
      <c r="HU49" s="2465">
        <f t="shared" ca="1" si="88"/>
        <v>2.122196891558473</v>
      </c>
      <c r="HV49" s="2465">
        <f t="shared" ca="1" si="88"/>
        <v>2.1301107525112388</v>
      </c>
      <c r="HW49" s="2465">
        <f t="shared" ca="1" si="88"/>
        <v>2.1380541249553415</v>
      </c>
      <c r="HX49" s="2465">
        <f t="shared" ca="1" si="88"/>
        <v>2.1460271189417566</v>
      </c>
      <c r="HY49" s="2465">
        <f t="shared" ca="1" si="88"/>
        <v>2.1540298449318498</v>
      </c>
      <c r="HZ49" s="2465">
        <f t="shared" ca="1" si="88"/>
        <v>2.1620624137989073</v>
      </c>
      <c r="IA49" s="2465">
        <f t="shared" ca="1" si="88"/>
        <v>2.1701249368296716</v>
      </c>
    </row>
    <row r="50" spans="3:235">
      <c r="C50" s="2466"/>
      <c r="D50" s="2467" t="s">
        <v>3932</v>
      </c>
      <c r="E50" s="2356"/>
      <c r="F50" s="2356"/>
      <c r="G50" s="2446"/>
      <c r="H50" s="2447">
        <f>MAX(J50:AT50)</f>
        <v>249602.9479313264</v>
      </c>
      <c r="I50" s="2459"/>
      <c r="J50" s="2448">
        <f t="shared" ref="J50:BU50" si="89">J48*J49</f>
        <v>0</v>
      </c>
      <c r="K50" s="2447">
        <f t="shared" si="89"/>
        <v>0</v>
      </c>
      <c r="L50" s="2449">
        <f t="shared" si="89"/>
        <v>0</v>
      </c>
      <c r="M50" s="2448">
        <f t="shared" si="89"/>
        <v>0</v>
      </c>
      <c r="N50" s="2447">
        <f t="shared" si="89"/>
        <v>0</v>
      </c>
      <c r="O50" s="2449">
        <f t="shared" si="89"/>
        <v>0</v>
      </c>
      <c r="P50" s="2447">
        <f t="shared" si="89"/>
        <v>0</v>
      </c>
      <c r="Q50" s="2450">
        <f t="shared" si="89"/>
        <v>0</v>
      </c>
      <c r="R50" s="2449">
        <f t="shared" si="89"/>
        <v>0</v>
      </c>
      <c r="S50" s="2447">
        <f t="shared" si="89"/>
        <v>0</v>
      </c>
      <c r="T50" s="2450">
        <f t="shared" si="89"/>
        <v>0</v>
      </c>
      <c r="U50" s="2451">
        <f t="shared" si="89"/>
        <v>0</v>
      </c>
      <c r="V50" s="2451">
        <f t="shared" si="89"/>
        <v>0</v>
      </c>
      <c r="W50" s="2451">
        <f t="shared" si="89"/>
        <v>0</v>
      </c>
      <c r="X50" s="2451">
        <f t="shared" si="89"/>
        <v>0</v>
      </c>
      <c r="Y50" s="2451">
        <f t="shared" si="89"/>
        <v>0</v>
      </c>
      <c r="Z50" s="2451">
        <f t="shared" si="89"/>
        <v>0</v>
      </c>
      <c r="AA50" s="2451">
        <f t="shared" si="89"/>
        <v>0</v>
      </c>
      <c r="AB50" s="2451">
        <f t="shared" si="89"/>
        <v>0</v>
      </c>
      <c r="AC50" s="2451">
        <f t="shared" si="89"/>
        <v>0</v>
      </c>
      <c r="AD50" s="2451">
        <f t="shared" si="89"/>
        <v>0</v>
      </c>
      <c r="AE50" s="2451">
        <f t="shared" si="89"/>
        <v>0</v>
      </c>
      <c r="AF50" s="2451">
        <f t="shared" si="89"/>
        <v>0</v>
      </c>
      <c r="AG50" s="2451">
        <f t="shared" si="89"/>
        <v>0</v>
      </c>
      <c r="AH50" s="2451">
        <f t="shared" si="89"/>
        <v>0</v>
      </c>
      <c r="AI50" s="2451">
        <f t="shared" si="89"/>
        <v>0</v>
      </c>
      <c r="AJ50" s="2451">
        <f t="shared" si="89"/>
        <v>249602.9479313264</v>
      </c>
      <c r="AK50" s="2451">
        <f t="shared" si="89"/>
        <v>245903.71437213046</v>
      </c>
      <c r="AL50" s="2451">
        <f t="shared" si="89"/>
        <v>244540.42781247213</v>
      </c>
      <c r="AM50" s="2451">
        <f t="shared" si="89"/>
        <v>241243.62945873116</v>
      </c>
      <c r="AN50" s="2451">
        <f t="shared" si="89"/>
        <v>240632.47936951002</v>
      </c>
      <c r="AO50" s="2451">
        <f t="shared" si="89"/>
        <v>236206.63906786917</v>
      </c>
      <c r="AP50" s="2451">
        <f t="shared" si="89"/>
        <v>237395.14474750799</v>
      </c>
      <c r="AQ50" s="2451">
        <f t="shared" si="89"/>
        <v>234393.22087427272</v>
      </c>
      <c r="AR50" s="2451">
        <f t="shared" si="89"/>
        <v>232759.56732278128</v>
      </c>
      <c r="AS50" s="2451">
        <f t="shared" si="89"/>
        <v>229370.4190431677</v>
      </c>
      <c r="AT50" s="2451">
        <f t="shared" si="89"/>
        <v>227194.37729129425</v>
      </c>
      <c r="AU50" s="2451">
        <f t="shared" si="89"/>
        <v>223318.84997923023</v>
      </c>
      <c r="AV50" s="2451">
        <f t="shared" si="89"/>
        <v>221520.83992199771</v>
      </c>
      <c r="AW50" s="2451">
        <f t="shared" si="89"/>
        <v>216894.33978112959</v>
      </c>
      <c r="AX50" s="2451">
        <f t="shared" si="89"/>
        <v>214904.99761103891</v>
      </c>
      <c r="AY50" s="2451">
        <f t="shared" si="89"/>
        <v>210624.70423116736</v>
      </c>
      <c r="AZ50" s="2451">
        <f t="shared" si="89"/>
        <v>208549.04071129716</v>
      </c>
      <c r="BA50" s="2451">
        <f t="shared" si="89"/>
        <v>204507.68097929048</v>
      </c>
      <c r="BB50" s="2451">
        <f t="shared" si="89"/>
        <v>202936.36193442583</v>
      </c>
      <c r="BC50" s="2451">
        <f t="shared" si="89"/>
        <v>199621.13072400598</v>
      </c>
      <c r="BD50" s="2451">
        <f t="shared" si="89"/>
        <v>196651.20305464536</v>
      </c>
      <c r="BE50" s="2451">
        <f t="shared" si="89"/>
        <v>192251.80130022368</v>
      </c>
      <c r="BF50" s="2451">
        <f t="shared" si="89"/>
        <v>190096.05649249727</v>
      </c>
      <c r="BG50" s="2451">
        <f t="shared" si="89"/>
        <v>187404.29969651523</v>
      </c>
      <c r="BH50" s="2451">
        <f t="shared" si="89"/>
        <v>184263.62966988175</v>
      </c>
      <c r="BI50" s="2451">
        <f t="shared" si="89"/>
        <v>181251.78151739592</v>
      </c>
      <c r="BJ50" s="2451">
        <f t="shared" si="89"/>
        <v>178701.10792237814</v>
      </c>
      <c r="BK50" s="2451">
        <f t="shared" si="89"/>
        <v>176000.26460969361</v>
      </c>
      <c r="BL50" s="2451">
        <f t="shared" si="89"/>
        <v>174099.02823065463</v>
      </c>
      <c r="BM50" s="2451">
        <f t="shared" si="89"/>
        <v>171233.15436507252</v>
      </c>
      <c r="BN50" s="2451">
        <f t="shared" si="89"/>
        <v>170405.31105350898</v>
      </c>
      <c r="BO50" s="2451">
        <f t="shared" si="89"/>
        <v>167048.95745422257</v>
      </c>
      <c r="BP50" s="2451">
        <f t="shared" si="89"/>
        <v>165545.28846140308</v>
      </c>
      <c r="BQ50" s="2451">
        <f t="shared" si="89"/>
        <v>161889.32188946792</v>
      </c>
      <c r="BR50" s="2451">
        <f t="shared" si="89"/>
        <v>160785.30387867542</v>
      </c>
      <c r="BS50" s="2451">
        <f t="shared" si="89"/>
        <v>158038.85501704222</v>
      </c>
      <c r="BT50" s="2451">
        <f t="shared" si="89"/>
        <v>157555.96768994225</v>
      </c>
      <c r="BU50" s="2451">
        <f t="shared" si="89"/>
        <v>152917.57052441276</v>
      </c>
      <c r="BV50" s="2451">
        <f t="shared" ref="BV50:EG50" si="90">BV48*BV49</f>
        <v>150457.19639059858</v>
      </c>
      <c r="BW50" s="2451">
        <f t="shared" si="90"/>
        <v>148394.12546967852</v>
      </c>
      <c r="BX50" s="2451">
        <f t="shared" si="90"/>
        <v>146254.7253936982</v>
      </c>
      <c r="BY50" s="2451">
        <f t="shared" si="90"/>
        <v>143612.00986104057</v>
      </c>
      <c r="BZ50" s="2451">
        <f t="shared" si="90"/>
        <v>141427.36235346791</v>
      </c>
      <c r="CA50" s="2451">
        <f t="shared" si="90"/>
        <v>138649.53557834285</v>
      </c>
      <c r="CB50" s="2451">
        <f t="shared" si="90"/>
        <v>137647.16015294602</v>
      </c>
      <c r="CC50" s="2451">
        <f t="shared" si="90"/>
        <v>134704.3832317077</v>
      </c>
      <c r="CD50" s="2451">
        <f t="shared" si="90"/>
        <v>134355.33384737402</v>
      </c>
      <c r="CE50" s="2451">
        <f t="shared" si="90"/>
        <v>132292.47364152715</v>
      </c>
      <c r="CF50" s="2451">
        <f t="shared" si="90"/>
        <v>131419.90982328044</v>
      </c>
      <c r="CG50" s="2451">
        <f t="shared" si="90"/>
        <v>130224.79550104965</v>
      </c>
      <c r="CH50" s="2451">
        <f t="shared" ca="1" si="90"/>
        <v>128438.67035677853</v>
      </c>
      <c r="CI50" s="2451">
        <f t="shared" ca="1" si="90"/>
        <v>126677.04318172077</v>
      </c>
      <c r="CJ50" s="2451">
        <f t="shared" ca="1" si="90"/>
        <v>124939.57796890759</v>
      </c>
      <c r="CK50" s="2451">
        <f t="shared" ca="1" si="90"/>
        <v>123225.9433199433</v>
      </c>
      <c r="CL50" s="2451">
        <f t="shared" ca="1" si="90"/>
        <v>121535.81238179564</v>
      </c>
      <c r="CM50" s="2451">
        <f t="shared" ca="1" si="90"/>
        <v>119868.86278445268</v>
      </c>
      <c r="CN50" s="2451">
        <f t="shared" ca="1" si="90"/>
        <v>118224.77657943526</v>
      </c>
      <c r="CO50" s="2451">
        <f t="shared" ca="1" si="90"/>
        <v>116603.24017915223</v>
      </c>
      <c r="CP50" s="2451">
        <f t="shared" ca="1" si="90"/>
        <v>115003.94429708816</v>
      </c>
      <c r="CQ50" s="2451">
        <f t="shared" ca="1" si="90"/>
        <v>113426.5838888107</v>
      </c>
      <c r="CR50" s="2451">
        <f t="shared" ca="1" si="90"/>
        <v>111870.85809378768</v>
      </c>
      <c r="CS50" s="2451">
        <f t="shared" ca="1" si="90"/>
        <v>110336.47017800179</v>
      </c>
      <c r="CT50" s="2451">
        <f t="shared" ca="1" si="90"/>
        <v>108823.12747735259</v>
      </c>
      <c r="CU50" s="2451">
        <f t="shared" ca="1" si="90"/>
        <v>107330.54134183473</v>
      </c>
      <c r="CV50" s="2451">
        <f t="shared" ca="1" si="90"/>
        <v>105858.42708048165</v>
      </c>
      <c r="CW50" s="2451">
        <f t="shared" ca="1" si="90"/>
        <v>104406.50390706488</v>
      </c>
      <c r="CX50" s="2451">
        <f t="shared" ca="1" si="90"/>
        <v>102974.4948865374</v>
      </c>
      <c r="CY50" s="2451">
        <f t="shared" ca="1" si="90"/>
        <v>101562.12688221229</v>
      </c>
      <c r="CZ50" s="2451">
        <f t="shared" ca="1" si="90"/>
        <v>100169.13050366541</v>
      </c>
      <c r="DA50" s="2451">
        <f t="shared" ca="1" si="90"/>
        <v>98795.240055352697</v>
      </c>
      <c r="DB50" s="2451">
        <f t="shared" ca="1" si="90"/>
        <v>97440.193485932323</v>
      </c>
      <c r="DC50" s="2451">
        <f t="shared" ca="1" si="90"/>
        <v>96103.73233828196</v>
      </c>
      <c r="DD50" s="2451">
        <f t="shared" ca="1" si="90"/>
        <v>94785.601700201441</v>
      </c>
      <c r="DE50" s="2451">
        <f t="shared" ca="1" si="90"/>
        <v>93485.550155791585</v>
      </c>
      <c r="DF50" s="2451">
        <f t="shared" ca="1" si="90"/>
        <v>92203.329737500128</v>
      </c>
      <c r="DG50" s="2451">
        <f t="shared" ca="1" si="90"/>
        <v>90938.695878825005</v>
      </c>
      <c r="DH50" s="2451">
        <f t="shared" ca="1" si="90"/>
        <v>89691.407367666761</v>
      </c>
      <c r="DI50" s="2451">
        <f t="shared" ca="1" si="90"/>
        <v>88461.226300320341</v>
      </c>
      <c r="DJ50" s="2451">
        <f t="shared" ca="1" si="90"/>
        <v>87247.918036098243</v>
      </c>
      <c r="DK50" s="2451">
        <f t="shared" ca="1" si="90"/>
        <v>86051.251152575875</v>
      </c>
      <c r="DL50" s="2451">
        <f t="shared" ca="1" si="90"/>
        <v>84870.997401450833</v>
      </c>
      <c r="DM50" s="2451">
        <f t="shared" ca="1" si="90"/>
        <v>83706.931665007607</v>
      </c>
      <c r="DN50" s="2451">
        <f t="shared" ca="1" si="90"/>
        <v>82558.831913179252</v>
      </c>
      <c r="DO50" s="2451">
        <f t="shared" ca="1" si="90"/>
        <v>81426.479161198222</v>
      </c>
      <c r="DP50" s="2451">
        <f t="shared" ca="1" si="90"/>
        <v>80309.657427827871</v>
      </c>
      <c r="DQ50" s="2451">
        <f t="shared" ca="1" si="90"/>
        <v>79208.153694166918</v>
      </c>
      <c r="DR50" s="2451">
        <f t="shared" ca="1" si="90"/>
        <v>78121.757863018924</v>
      </c>
      <c r="DS50" s="2451">
        <f t="shared" ca="1" si="90"/>
        <v>77050.262718819024</v>
      </c>
      <c r="DT50" s="2451">
        <f t="shared" ca="1" si="90"/>
        <v>75993.463888110418</v>
      </c>
      <c r="DU50" s="2451">
        <f t="shared" ca="1" si="90"/>
        <v>74951.159800562687</v>
      </c>
      <c r="DV50" s="2451">
        <f t="shared" ca="1" si="90"/>
        <v>73923.151650525018</v>
      </c>
      <c r="DW50" s="2451">
        <f t="shared" ca="1" si="90"/>
        <v>72909.243359106709</v>
      </c>
      <c r="DX50" s="2451">
        <f t="shared" ca="1" si="90"/>
        <v>71909.241536777612</v>
      </c>
      <c r="DY50" s="2451">
        <f t="shared" ca="1" si="90"/>
        <v>70922.955446481807</v>
      </c>
      <c r="DZ50" s="2451">
        <f t="shared" ca="1" si="90"/>
        <v>69950.196967256867</v>
      </c>
      <c r="EA50" s="2451">
        <f t="shared" ca="1" si="90"/>
        <v>68990.780558352402</v>
      </c>
      <c r="EB50" s="2451">
        <f t="shared" ca="1" si="90"/>
        <v>68044.523223840632</v>
      </c>
      <c r="EC50" s="2451">
        <f t="shared" ca="1" si="90"/>
        <v>67111.244477712287</v>
      </c>
      <c r="ED50" s="2451">
        <f t="shared" ca="1" si="90"/>
        <v>66190.766309451297</v>
      </c>
      <c r="EE50" s="2451">
        <f t="shared" ca="1" si="90"/>
        <v>65282.913150081724</v>
      </c>
      <c r="EF50" s="2451">
        <f t="shared" ca="1" si="90"/>
        <v>64387.511838680264</v>
      </c>
      <c r="EG50" s="2451">
        <f t="shared" ca="1" si="90"/>
        <v>63504.391589348095</v>
      </c>
      <c r="EH50" s="2451">
        <f t="shared" ref="EH50:GS50" ca="1" si="91">EH48*EH49</f>
        <v>62633.383958635728</v>
      </c>
      <c r="EI50" s="2451">
        <f t="shared" ca="1" si="91"/>
        <v>61774.322813414714</v>
      </c>
      <c r="EJ50" s="2451">
        <f t="shared" ca="1" si="91"/>
        <v>60927.044299189911</v>
      </c>
      <c r="EK50" s="2451">
        <f t="shared" ca="1" si="91"/>
        <v>60091.386808846401</v>
      </c>
      <c r="EL50" s="2451">
        <f t="shared" ca="1" si="91"/>
        <v>59267.19095182517</v>
      </c>
      <c r="EM50" s="2451">
        <f t="shared" ca="1" si="91"/>
        <v>58454.299523721376</v>
      </c>
      <c r="EN50" s="2451">
        <f t="shared" ca="1" si="91"/>
        <v>57652.557476299749</v>
      </c>
      <c r="EO50" s="2451">
        <f t="shared" ca="1" si="91"/>
        <v>56861.811887921212</v>
      </c>
      <c r="EP50" s="2451">
        <f t="shared" ca="1" si="91"/>
        <v>56081.911934375028</v>
      </c>
      <c r="EQ50" s="2451">
        <f t="shared" ca="1" si="91"/>
        <v>55312.708860111197</v>
      </c>
      <c r="ER50" s="2451">
        <f t="shared" ca="1" si="91"/>
        <v>54554.055949867252</v>
      </c>
      <c r="ES50" s="2451">
        <f t="shared" ca="1" si="91"/>
        <v>53805.80850068431</v>
      </c>
      <c r="ET50" s="2451">
        <f t="shared" ca="1" si="91"/>
        <v>53067.823794306838</v>
      </c>
      <c r="EU50" s="2451">
        <f t="shared" ca="1" si="91"/>
        <v>52339.9610699611</v>
      </c>
      <c r="EV50" s="2451">
        <f t="shared" ca="1" si="91"/>
        <v>51622.081497506922</v>
      </c>
      <c r="EW50" s="2451">
        <f t="shared" ca="1" si="91"/>
        <v>50914.04815095762</v>
      </c>
      <c r="EX50" s="2451">
        <f t="shared" ca="1" si="91"/>
        <v>50215.725982363234</v>
      </c>
      <c r="EY50" s="2451">
        <f t="shared" ca="1" si="91"/>
        <v>49526.981796051914</v>
      </c>
      <c r="EZ50" s="2451">
        <f t="shared" ca="1" si="91"/>
        <v>48847.684223224693</v>
      </c>
      <c r="FA50" s="2451">
        <f t="shared" ca="1" si="91"/>
        <v>48177.703696898483</v>
      </c>
      <c r="FB50" s="2451">
        <f t="shared" ca="1" si="91"/>
        <v>47516.912427193005</v>
      </c>
      <c r="FC50" s="2451">
        <f t="shared" ca="1" si="91"/>
        <v>46865.18437695656</v>
      </c>
      <c r="FD50" s="2451">
        <f t="shared" ca="1" si="91"/>
        <v>46222.395237726101</v>
      </c>
      <c r="FE50" s="2451">
        <f t="shared" ca="1" si="91"/>
        <v>45588.422406016987</v>
      </c>
      <c r="FF50" s="2451">
        <f t="shared" ca="1" si="91"/>
        <v>44963.144959938145</v>
      </c>
      <c r="FG50" s="2451">
        <f t="shared" ca="1" si="91"/>
        <v>44346.443636127609</v>
      </c>
      <c r="FH50" s="2451">
        <f t="shared" ca="1" si="91"/>
        <v>43738.200807004876</v>
      </c>
      <c r="FI50" s="2451">
        <f t="shared" ca="1" si="91"/>
        <v>43138.300458334772</v>
      </c>
      <c r="FJ50" s="2451">
        <f t="shared" ca="1" si="91"/>
        <v>42546.628167099458</v>
      </c>
      <c r="FK50" s="2451">
        <f t="shared" ca="1" si="91"/>
        <v>41963.071079673689</v>
      </c>
      <c r="FL50" s="2451">
        <f t="shared" ca="1" si="91"/>
        <v>41387.517890299438</v>
      </c>
      <c r="FM50" s="2451">
        <f t="shared" ca="1" si="91"/>
        <v>40819.858819855814</v>
      </c>
      <c r="FN50" s="2451">
        <f t="shared" ca="1" si="91"/>
        <v>40259.985594920283</v>
      </c>
      <c r="FO50" s="2451">
        <f t="shared" ca="1" si="91"/>
        <v>39707.791427116812</v>
      </c>
      <c r="FP50" s="2451">
        <f t="shared" ca="1" si="91"/>
        <v>39163.170992747422</v>
      </c>
      <c r="FQ50" s="2451">
        <f t="shared" ca="1" si="91"/>
        <v>38626.020412703161</v>
      </c>
      <c r="FR50" s="2451">
        <f t="shared" ca="1" si="91"/>
        <v>38096.237232650477</v>
      </c>
      <c r="FS50" s="2451">
        <f t="shared" ca="1" si="91"/>
        <v>37573.720403489417</v>
      </c>
      <c r="FT50" s="2451">
        <f t="shared" ca="1" si="91"/>
        <v>37058.370262079938</v>
      </c>
      <c r="FU50" s="2451">
        <f t="shared" ca="1" si="91"/>
        <v>36550.08851223244</v>
      </c>
      <c r="FV50" s="2451">
        <f t="shared" ca="1" si="91"/>
        <v>36048.778205958944</v>
      </c>
      <c r="FW50" s="2451">
        <f t="shared" ca="1" si="91"/>
        <v>35554.343724981816</v>
      </c>
      <c r="FX50" s="2451">
        <f t="shared" ca="1" si="91"/>
        <v>35066.690762495607</v>
      </c>
      <c r="FY50" s="2451">
        <f t="shared" ca="1" si="91"/>
        <v>34585.726305179443</v>
      </c>
      <c r="FZ50" s="2451">
        <f t="shared" ca="1" si="91"/>
        <v>34111.358615455865</v>
      </c>
      <c r="GA50" s="2451">
        <f t="shared" ca="1" si="91"/>
        <v>33643.497213993141</v>
      </c>
      <c r="GB50" s="2451">
        <f t="shared" ca="1" si="91"/>
        <v>33182.052862447606</v>
      </c>
      <c r="GC50" s="2451">
        <f t="shared" ca="1" si="91"/>
        <v>32726.937546442572</v>
      </c>
      <c r="GD50" s="2451">
        <f t="shared" ca="1" si="91"/>
        <v>32278.064458780704</v>
      </c>
      <c r="GE50" s="2451">
        <f t="shared" ca="1" si="91"/>
        <v>31835.347982886764</v>
      </c>
      <c r="GF50" s="2451">
        <f t="shared" ca="1" si="91"/>
        <v>31398.703676477417</v>
      </c>
      <c r="GG50" s="2451">
        <f t="shared" ca="1" si="91"/>
        <v>30968.048255454923</v>
      </c>
      <c r="GH50" s="2451">
        <f t="shared" ca="1" si="91"/>
        <v>30543.299578021819</v>
      </c>
      <c r="GI50" s="2451">
        <f t="shared" ca="1" si="91"/>
        <v>30124.376629013488</v>
      </c>
      <c r="GJ50" s="2451">
        <f t="shared" ca="1" si="91"/>
        <v>29711.199504445518</v>
      </c>
      <c r="GK50" s="2451">
        <f t="shared" ca="1" si="91"/>
        <v>29303.689396273217</v>
      </c>
      <c r="GL50" s="2451">
        <f t="shared" ca="1" si="91"/>
        <v>28901.768577359984</v>
      </c>
      <c r="GM50" s="2451">
        <f t="shared" ca="1" si="91"/>
        <v>28505.360386651711</v>
      </c>
      <c r="GN50" s="2451">
        <f t="shared" ca="1" si="91"/>
        <v>28114.389214554943</v>
      </c>
      <c r="GO50" s="2451">
        <f t="shared" ca="1" si="91"/>
        <v>27728.780488515265</v>
      </c>
      <c r="GP50" s="2451">
        <f t="shared" ca="1" si="91"/>
        <v>27348.46065879348</v>
      </c>
      <c r="GQ50" s="2451">
        <f t="shared" ca="1" si="91"/>
        <v>26973.35718443718</v>
      </c>
      <c r="GR50" s="2451">
        <f t="shared" ca="1" si="91"/>
        <v>26603.398519444403</v>
      </c>
      <c r="GS50" s="2451">
        <f t="shared" ca="1" si="91"/>
        <v>26238.514099117096</v>
      </c>
      <c r="GT50" s="2451">
        <f t="shared" ref="GT50:IA50" ca="1" si="92">GT48*GT49</f>
        <v>25878.634326601998</v>
      </c>
      <c r="GU50" s="2451">
        <f t="shared" ca="1" si="92"/>
        <v>25523.690559615869</v>
      </c>
      <c r="GV50" s="2451">
        <f t="shared" ca="1" si="92"/>
        <v>25173.615097352937</v>
      </c>
      <c r="GW50" s="2451">
        <f t="shared" ca="1" si="92"/>
        <v>24828.341167571885</v>
      </c>
      <c r="GX50" s="2451">
        <f t="shared" ca="1" si="92"/>
        <v>24487.802913859785</v>
      </c>
      <c r="GY50" s="2451">
        <f t="shared" ca="1" si="92"/>
        <v>24151.935383071101</v>
      </c>
      <c r="GZ50" s="2451">
        <f t="shared" ca="1" si="92"/>
        <v>23820.674512938524</v>
      </c>
      <c r="HA50" s="2451">
        <f t="shared" ca="1" si="92"/>
        <v>23493.957119854091</v>
      </c>
      <c r="HB50" s="2451">
        <f t="shared" ca="1" si="92"/>
        <v>23171.720886817679</v>
      </c>
      <c r="HC50" s="2451">
        <f t="shared" ca="1" si="92"/>
        <v>22853.904351550824</v>
      </c>
      <c r="HD50" s="2451">
        <f t="shared" ca="1" si="92"/>
        <v>22540.446894773748</v>
      </c>
      <c r="HE50" s="2451">
        <f t="shared" ca="1" si="92"/>
        <v>22231.288728642929</v>
      </c>
      <c r="HF50" s="2451">
        <f t="shared" ca="1" si="92"/>
        <v>21926.370885347413</v>
      </c>
      <c r="HG50" s="2451">
        <f t="shared" ca="1" si="92"/>
        <v>21625.635205861392</v>
      </c>
      <c r="HH50" s="2451">
        <f t="shared" ca="1" si="92"/>
        <v>21329.024328851327</v>
      </c>
      <c r="HI50" s="2451">
        <f t="shared" ca="1" si="92"/>
        <v>21036.48167973481</v>
      </c>
      <c r="HJ50" s="2451">
        <f t="shared" ca="1" si="92"/>
        <v>20747.951459889922</v>
      </c>
      <c r="HK50" s="2451">
        <f t="shared" ca="1" si="92"/>
        <v>20463.378636012272</v>
      </c>
      <c r="HL50" s="2451">
        <f t="shared" ca="1" si="92"/>
        <v>20182.708929618111</v>
      </c>
      <c r="HM50" s="2451">
        <f t="shared" ca="1" si="92"/>
        <v>19905.888806691506</v>
      </c>
      <c r="HN50" s="2451">
        <f t="shared" ca="1" si="92"/>
        <v>19632.865467473384</v>
      </c>
      <c r="HO50" s="2451">
        <f t="shared" ca="1" si="92"/>
        <v>19363.586836390685</v>
      </c>
      <c r="HP50" s="2451">
        <f t="shared" ca="1" si="92"/>
        <v>19098.001552123715</v>
      </c>
      <c r="HQ50" s="2451">
        <f t="shared" ca="1" si="92"/>
        <v>18836.058957809564</v>
      </c>
      <c r="HR50" s="2451">
        <f t="shared" ca="1" si="92"/>
        <v>18577.709091379962</v>
      </c>
      <c r="HS50" s="2451">
        <f t="shared" ca="1" si="92"/>
        <v>18322.902676031794</v>
      </c>
      <c r="HT50" s="2451">
        <f t="shared" ca="1" si="92"/>
        <v>18071.59111082814</v>
      </c>
      <c r="HU50" s="2451">
        <f t="shared" ca="1" si="92"/>
        <v>17823.726461428279</v>
      </c>
      <c r="HV50" s="2451">
        <f t="shared" ca="1" si="92"/>
        <v>17579.261450944839</v>
      </c>
      <c r="HW50" s="2451">
        <f t="shared" ca="1" si="92"/>
        <v>17338.149450926408</v>
      </c>
      <c r="HX50" s="2451">
        <f t="shared" ca="1" si="92"/>
        <v>17100.344472463767</v>
      </c>
      <c r="HY50" s="2451">
        <f t="shared" ca="1" si="92"/>
        <v>16865.801157418082</v>
      </c>
      <c r="HZ50" s="2451">
        <f t="shared" ca="1" si="92"/>
        <v>16634.474769769426</v>
      </c>
      <c r="IA50" s="2451">
        <f t="shared" ca="1" si="92"/>
        <v>16411.091351772408</v>
      </c>
    </row>
    <row r="51" spans="3:235">
      <c r="C51" s="2466"/>
      <c r="D51" s="2467" t="s">
        <v>3933</v>
      </c>
      <c r="E51" s="2356"/>
      <c r="F51" s="2356"/>
      <c r="G51" s="2446"/>
      <c r="H51" s="2468">
        <f>MAX(J51:BN51)</f>
        <v>0.15508219178082194</v>
      </c>
      <c r="I51" s="2358"/>
      <c r="J51" s="2469">
        <f>SUM($I$3:J$3)/$H$3*(J$3&gt;0)</f>
        <v>0</v>
      </c>
      <c r="K51" s="2470">
        <f>SUM($I$3:K$3)/$H$3*(K$3&gt;0)</f>
        <v>0</v>
      </c>
      <c r="L51" s="2471">
        <f>SUM($I$3:L$3)/$H$3*(L$3&gt;0)</f>
        <v>0</v>
      </c>
      <c r="M51" s="2469">
        <f>SUM($I$3:M$3)/$H$3*(M$3&gt;0)</f>
        <v>0</v>
      </c>
      <c r="N51" s="2472">
        <f>SUM($I$3:N$3)/$H$3*(N$3&gt;0)</f>
        <v>0</v>
      </c>
      <c r="O51" s="2473">
        <f>SUM($I$3:O$3)/$H$3*(O$3&gt;0)</f>
        <v>0</v>
      </c>
      <c r="P51" s="2472">
        <f>SUM($I$3:P$3)/$H$3*(P$3&gt;0)</f>
        <v>0</v>
      </c>
      <c r="Q51" s="2474">
        <f>SUM($I$3:Q$3)/$H$3*(Q$3&gt;0)</f>
        <v>0</v>
      </c>
      <c r="R51" s="2471">
        <f>SUM($I$3:R$3)/$H$3*(R$3&gt;0)</f>
        <v>0</v>
      </c>
      <c r="S51" s="2470">
        <f>SUM($I$3:S$3)/$H$3*(S$3&gt;0)</f>
        <v>0</v>
      </c>
      <c r="T51" s="2468">
        <f>SUM($I$3:T$3)/$H$3*(T$3&gt;0)</f>
        <v>0</v>
      </c>
      <c r="U51" s="2475">
        <f>SUM($I$3:U$3)/$H$3*(U$3&gt;0)</f>
        <v>0</v>
      </c>
      <c r="V51" s="2475">
        <f>SUM($I$3:V$3)/$H$3*(V$3&gt;0)</f>
        <v>0</v>
      </c>
      <c r="W51" s="2475">
        <f>SUM($I$3:W$3)/$H$3*(W$3&gt;0)</f>
        <v>0</v>
      </c>
      <c r="X51" s="2475">
        <f>SUM($I$3:X$3)/$H$3*(X$3&gt;0)</f>
        <v>0</v>
      </c>
      <c r="Y51" s="2475">
        <f>SUM($I$3:Y$3)/$H$3*(Y$3&gt;0)</f>
        <v>0</v>
      </c>
      <c r="Z51" s="2475">
        <f>SUM($I$3:Z$3)/$H$3*(Z$3&gt;0)</f>
        <v>0</v>
      </c>
      <c r="AA51" s="2475">
        <f>SUM($I$3:AA$3)/$H$3*(AA$3&gt;0)</f>
        <v>0</v>
      </c>
      <c r="AB51" s="2475">
        <f>SUM($I$3:AB$3)/$H$3*(AB$3&gt;0)</f>
        <v>0</v>
      </c>
      <c r="AC51" s="2475">
        <f>SUM($I$3:AC$3)/$H$3*(AC$3&gt;0)</f>
        <v>0</v>
      </c>
      <c r="AD51" s="2475">
        <f>SUM($I$3:AD$3)/$H$3*(AD$3&gt;0)</f>
        <v>0</v>
      </c>
      <c r="AE51" s="2475">
        <f>SUM($I$3:AE$3)/$H$3*(AE$3&gt;0)</f>
        <v>0</v>
      </c>
      <c r="AF51" s="2475">
        <f>SUM($I$3:AF$3)/$H$3*(AF$3&gt;0)</f>
        <v>0</v>
      </c>
      <c r="AG51" s="2475">
        <f>SUM($I$3:AG$3)/$H$3*(AG$3&gt;0)</f>
        <v>0</v>
      </c>
      <c r="AH51" s="2475">
        <f>SUM($I$3:AH$3)/$H$3*(AH$3&gt;0)</f>
        <v>0</v>
      </c>
      <c r="AI51" s="2475">
        <f>SUM($I$3:AI$3)/$H$3*(AI$3&gt;0)</f>
        <v>8.2191780821918583E-5</v>
      </c>
      <c r="AJ51" s="2475">
        <f>SUM($I$3:AJ$3)/$H$3*(AJ$3&gt;0)</f>
        <v>5.0821917808219182E-3</v>
      </c>
      <c r="AK51" s="2475">
        <f>SUM($I$3:AK$3)/$H$3*(AK$3&gt;0)</f>
        <v>1.0082191780821918E-2</v>
      </c>
      <c r="AL51" s="2475">
        <f>SUM($I$3:AL$3)/$H$3*(AL$3&gt;0)</f>
        <v>1.5082191780821919E-2</v>
      </c>
      <c r="AM51" s="2475">
        <f>SUM($I$3:AM$3)/$H$3*(AM$3&gt;0)</f>
        <v>2.008219178082192E-2</v>
      </c>
      <c r="AN51" s="2475">
        <f>SUM($I$3:AN$3)/$H$3*(AN$3&gt;0)</f>
        <v>2.5082191780821921E-2</v>
      </c>
      <c r="AO51" s="2475">
        <f>SUM($I$3:AO$3)/$H$3*(AO$3&gt;0)</f>
        <v>3.0082191780821922E-2</v>
      </c>
      <c r="AP51" s="2475">
        <f>SUM($I$3:AP$3)/$H$3*(AP$3&gt;0)</f>
        <v>3.508219178082192E-2</v>
      </c>
      <c r="AQ51" s="2475">
        <f>SUM($I$3:AQ$3)/$H$3*(AQ$3&gt;0)</f>
        <v>4.0082191780821924E-2</v>
      </c>
      <c r="AR51" s="2475">
        <f>SUM($I$3:AR$3)/$H$3*(AR$3&gt;0)</f>
        <v>4.5082191780821922E-2</v>
      </c>
      <c r="AS51" s="2475">
        <f>SUM($I$3:AS$3)/$H$3*(AS$3&gt;0)</f>
        <v>5.0082191780821919E-2</v>
      </c>
      <c r="AT51" s="2475">
        <f>SUM($I$3:AT$3)/$H$3*(AT$3&gt;0)</f>
        <v>5.5082191780821924E-2</v>
      </c>
      <c r="AU51" s="2475">
        <f>SUM($I$3:AU$3)/$H$3*(AU$3&gt;0)</f>
        <v>6.0082191780821921E-2</v>
      </c>
      <c r="AV51" s="2475">
        <f>SUM($I$3:AV$3)/$H$3*(AV$3&gt;0)</f>
        <v>6.5082191780821919E-2</v>
      </c>
      <c r="AW51" s="2475">
        <f>SUM($I$3:AW$3)/$H$3*(AW$3&gt;0)</f>
        <v>7.0082191780821923E-2</v>
      </c>
      <c r="AX51" s="2475">
        <f>SUM($I$3:AX$3)/$H$3*(AX$3&gt;0)</f>
        <v>7.5082191780821927E-2</v>
      </c>
      <c r="AY51" s="2475">
        <f>SUM($I$3:AY$3)/$H$3*(AY$3&gt;0)</f>
        <v>8.0082191780821932E-2</v>
      </c>
      <c r="AZ51" s="2475">
        <f>SUM($I$3:AZ$3)/$H$3*(AZ$3&gt;0)</f>
        <v>8.5082191780821936E-2</v>
      </c>
      <c r="BA51" s="2475">
        <f>SUM($I$3:BA$3)/$H$3*(BA$3&gt;0)</f>
        <v>9.0082191780821927E-2</v>
      </c>
      <c r="BB51" s="2475">
        <f>SUM($I$3:BB$3)/$H$3*(BB$3&gt;0)</f>
        <v>9.5082191780821931E-2</v>
      </c>
      <c r="BC51" s="2475">
        <f>SUM($I$3:BC$3)/$H$3*(BC$3&gt;0)</f>
        <v>0.10008219178082194</v>
      </c>
      <c r="BD51" s="2475">
        <f>SUM($I$3:BD$3)/$H$3*(BD$3&gt;0)</f>
        <v>0.10508219178082193</v>
      </c>
      <c r="BE51" s="2475">
        <f>SUM($I$3:BE$3)/$H$3*(BE$3&gt;0)</f>
        <v>0.11008219178082193</v>
      </c>
      <c r="BF51" s="2475">
        <f>SUM($I$3:BF$3)/$H$3*(BF$3&gt;0)</f>
        <v>0.11508219178082194</v>
      </c>
      <c r="BG51" s="2475">
        <f>SUM($I$3:BG$3)/$H$3*(BG$3&gt;0)</f>
        <v>0.12008219178082193</v>
      </c>
      <c r="BH51" s="2475">
        <f>SUM($I$3:BH$3)/$H$3*(BH$3&gt;0)</f>
        <v>0.12508219178082192</v>
      </c>
      <c r="BI51" s="2475">
        <f>SUM($I$3:BI$3)/$H$3*(BI$3&gt;0)</f>
        <v>0.13008219178082192</v>
      </c>
      <c r="BJ51" s="2475">
        <f>SUM($I$3:BJ$3)/$H$3*(BJ$3&gt;0)</f>
        <v>0.13508219178082193</v>
      </c>
      <c r="BK51" s="2475">
        <f>SUM($I$3:BK$3)/$H$3*(BK$3&gt;0)</f>
        <v>0.14008219178082193</v>
      </c>
      <c r="BL51" s="2475">
        <f>SUM($I$3:BL$3)/$H$3*(BL$3&gt;0)</f>
        <v>0.14508219178082193</v>
      </c>
      <c r="BM51" s="2475">
        <f>SUM($I$3:BM$3)/$H$3*(BM$3&gt;0)</f>
        <v>0.15008219178082194</v>
      </c>
      <c r="BN51" s="2475">
        <f>SUM($I$3:BN$3)/$H$3*(BN$3&gt;0)</f>
        <v>0.15508219178082194</v>
      </c>
      <c r="BO51" s="2475">
        <f>SUM($I$3:BO$3)/$H$3*(BO$3&gt;0)</f>
        <v>0.16008219178082192</v>
      </c>
      <c r="BP51" s="2475">
        <f>SUM($I$3:BP$3)/$H$3*(BP$3&gt;0)</f>
        <v>0.16508219178082192</v>
      </c>
      <c r="BQ51" s="2475">
        <f>SUM($I$3:BQ$3)/$H$3*(BQ$3&gt;0)</f>
        <v>0.17008219178082193</v>
      </c>
      <c r="BR51" s="2475">
        <f>SUM($I$3:BR$3)/$H$3*(BR$3&gt;0)</f>
        <v>0.17508219178082193</v>
      </c>
      <c r="BS51" s="2475">
        <f>SUM($I$3:BS$3)/$H$3*(BS$3&gt;0)</f>
        <v>0.18008219178082194</v>
      </c>
      <c r="BT51" s="2475">
        <f>SUM($I$3:BT$3)/$H$3*(BT$3&gt;0)</f>
        <v>0.18508219178082194</v>
      </c>
      <c r="BU51" s="2475">
        <f>SUM($I$3:BU$3)/$H$3*(BU$3&gt;0)</f>
        <v>0.19008219178082192</v>
      </c>
      <c r="BV51" s="2475">
        <f>SUM($I$3:BV$3)/$H$3*(BV$3&gt;0)</f>
        <v>0.19508219178082192</v>
      </c>
      <c r="BW51" s="2475">
        <f>SUM($I$3:BW$3)/$H$3*(BW$3&gt;0)</f>
        <v>0.20008219178082193</v>
      </c>
      <c r="BX51" s="2475">
        <f>SUM($I$3:BX$3)/$H$3*(BX$3&gt;0)</f>
        <v>0.20508219178082193</v>
      </c>
      <c r="BY51" s="2475">
        <f>SUM($I$3:BY$3)/$H$3*(BY$3&gt;0)</f>
        <v>0.21008219178082194</v>
      </c>
      <c r="BZ51" s="2475">
        <f>SUM($I$3:BZ$3)/$H$3*(BZ$3&gt;0)</f>
        <v>0.21508219178082194</v>
      </c>
      <c r="CA51" s="2475">
        <f>SUM($I$3:CA$3)/$H$3*(CA$3&gt;0)</f>
        <v>0.22008219178082192</v>
      </c>
      <c r="CB51" s="2475">
        <f>SUM($I$3:CB$3)/$H$3*(CB$3&gt;0)</f>
        <v>0.22508219178082192</v>
      </c>
      <c r="CC51" s="2475">
        <f>SUM($I$3:CC$3)/$H$3*(CC$3&gt;0)</f>
        <v>0.23008219178082193</v>
      </c>
      <c r="CD51" s="2475">
        <f>SUM($I$3:CD$3)/$H$3*(CD$3&gt;0)</f>
        <v>0.23508219178082193</v>
      </c>
      <c r="CE51" s="2475">
        <f>SUM($I$3:CE$3)/$H$3*(CE$3&gt;0)</f>
        <v>0.24008219178082194</v>
      </c>
      <c r="CF51" s="2475">
        <f>SUM($I$3:CF$3)/$H$3*(CF$3&gt;0)</f>
        <v>0.24508219178082194</v>
      </c>
      <c r="CG51" s="2475">
        <f>SUM($I$3:CG$3)/$H$3*(CG$3&gt;0)</f>
        <v>0.25008219178082192</v>
      </c>
      <c r="CH51" s="2475">
        <f>SUM($I$3:CH$3)/$H$3*(CH$3&gt;0)</f>
        <v>0.25508219178082192</v>
      </c>
      <c r="CI51" s="2475">
        <f>SUM($I$3:CI$3)/$H$3*(CI$3&gt;0)</f>
        <v>0.26008219178082193</v>
      </c>
      <c r="CJ51" s="2475">
        <f>SUM($I$3:CJ$3)/$H$3*(CJ$3&gt;0)</f>
        <v>0.26508219178082193</v>
      </c>
      <c r="CK51" s="2475">
        <f>SUM($I$3:CK$3)/$H$3*(CK$3&gt;0)</f>
        <v>0.27008219178082193</v>
      </c>
      <c r="CL51" s="2475">
        <f>SUM($I$3:CL$3)/$H$3*(CL$3&gt;0)</f>
        <v>0.27508219178082194</v>
      </c>
      <c r="CM51" s="2475">
        <f>SUM($I$3:CM$3)/$H$3*(CM$3&gt;0)</f>
        <v>0.28008219178082194</v>
      </c>
      <c r="CN51" s="2475">
        <f>SUM($I$3:CN$3)/$H$3*(CN$3&gt;0)</f>
        <v>0.28508219178082195</v>
      </c>
      <c r="CO51" s="2475">
        <f>SUM($I$3:CO$3)/$H$3*(CO$3&gt;0)</f>
        <v>0.29008219178082195</v>
      </c>
      <c r="CP51" s="2475">
        <f>SUM($I$3:CP$3)/$H$3*(CP$3&gt;0)</f>
        <v>0.29508219178082196</v>
      </c>
      <c r="CQ51" s="2475">
        <f>SUM($I$3:CQ$3)/$H$3*(CQ$3&gt;0)</f>
        <v>0.30008219178082191</v>
      </c>
      <c r="CR51" s="2475">
        <f>SUM($I$3:CR$3)/$H$3*(CR$3&gt;0)</f>
        <v>0.30508219178082191</v>
      </c>
      <c r="CS51" s="2475">
        <f>SUM($I$3:CS$3)/$H$3*(CS$3&gt;0)</f>
        <v>0.31008219178082191</v>
      </c>
      <c r="CT51" s="2475">
        <f>SUM($I$3:CT$3)/$H$3*(CT$3&gt;0)</f>
        <v>0.31508219178082192</v>
      </c>
      <c r="CU51" s="2475">
        <f>SUM($I$3:CU$3)/$H$3*(CU$3&gt;0)</f>
        <v>0.32008219178082192</v>
      </c>
      <c r="CV51" s="2475">
        <f>SUM($I$3:CV$3)/$H$3*(CV$3&gt;0)</f>
        <v>0.32508219178082193</v>
      </c>
      <c r="CW51" s="2475">
        <f>SUM($I$3:CW$3)/$H$3*(CW$3&gt;0)</f>
        <v>0.33008219178082193</v>
      </c>
      <c r="CX51" s="2475">
        <f>SUM($I$3:CX$3)/$H$3*(CX$3&gt;0)</f>
        <v>0.33508219178082194</v>
      </c>
      <c r="CY51" s="2475">
        <f>SUM($I$3:CY$3)/$H$3*(CY$3&gt;0)</f>
        <v>0.34008219178082194</v>
      </c>
      <c r="CZ51" s="2475">
        <f>SUM($I$3:CZ$3)/$H$3*(CZ$3&gt;0)</f>
        <v>0.34508219178082195</v>
      </c>
      <c r="DA51" s="2475">
        <f>SUM($I$3:DA$3)/$H$3*(DA$3&gt;0)</f>
        <v>0.35008219178082195</v>
      </c>
      <c r="DB51" s="2475">
        <f>SUM($I$3:DB$3)/$H$3*(DB$3&gt;0)</f>
        <v>0.35508219178082195</v>
      </c>
      <c r="DC51" s="2475">
        <f>SUM($I$3:DC$3)/$H$3*(DC$3&gt;0)</f>
        <v>0.3600821917808219</v>
      </c>
      <c r="DD51" s="2475">
        <f>SUM($I$3:DD$3)/$H$3*(DD$3&gt;0)</f>
        <v>0.36508219178082191</v>
      </c>
      <c r="DE51" s="2475">
        <f>SUM($I$3:DE$3)/$H$3*(DE$3&gt;0)</f>
        <v>0.37008219178082191</v>
      </c>
      <c r="DF51" s="2475">
        <f>SUM($I$3:DF$3)/$H$3*(DF$3&gt;0)</f>
        <v>0.37508219178082192</v>
      </c>
      <c r="DG51" s="2475">
        <f>SUM($I$3:DG$3)/$H$3*(DG$3&gt;0)</f>
        <v>0.38008219178082192</v>
      </c>
      <c r="DH51" s="2475">
        <f>SUM($I$3:DH$3)/$H$3*(DH$3&gt;0)</f>
        <v>0.38508219178082193</v>
      </c>
      <c r="DI51" s="2475">
        <f>SUM($I$3:DI$3)/$H$3*(DI$3&gt;0)</f>
        <v>0.39008219178082193</v>
      </c>
      <c r="DJ51" s="2475">
        <f>SUM($I$3:DJ$3)/$H$3*(DJ$3&gt;0)</f>
        <v>0.39508219178082193</v>
      </c>
      <c r="DK51" s="2475">
        <f>SUM($I$3:DK$3)/$H$3*(DK$3&gt;0)</f>
        <v>0.40008219178082194</v>
      </c>
      <c r="DL51" s="2475">
        <f>SUM($I$3:DL$3)/$H$3*(DL$3&gt;0)</f>
        <v>0.40508219178082194</v>
      </c>
      <c r="DM51" s="2475">
        <f>SUM($I$3:DM$3)/$H$3*(DM$3&gt;0)</f>
        <v>0.41008219178082195</v>
      </c>
      <c r="DN51" s="2475">
        <f>SUM($I$3:DN$3)/$H$3*(DN$3&gt;0)</f>
        <v>0.41508219178082195</v>
      </c>
      <c r="DO51" s="2475">
        <f>SUM($I$3:DO$3)/$H$3*(DO$3&gt;0)</f>
        <v>0.42008219178082196</v>
      </c>
      <c r="DP51" s="2475">
        <f>SUM($I$3:DP$3)/$H$3*(DP$3&gt;0)</f>
        <v>0.42508219178082191</v>
      </c>
      <c r="DQ51" s="2475">
        <f>SUM($I$3:DQ$3)/$H$3*(DQ$3&gt;0)</f>
        <v>0.43008219178082191</v>
      </c>
      <c r="DR51" s="2475">
        <f>SUM($I$3:DR$3)/$H$3*(DR$3&gt;0)</f>
        <v>0.43508219178082191</v>
      </c>
      <c r="DS51" s="2475">
        <f>SUM($I$3:DS$3)/$H$3*(DS$3&gt;0)</f>
        <v>0.44008219178082192</v>
      </c>
      <c r="DT51" s="2475">
        <f>SUM($I$3:DT$3)/$H$3*(DT$3&gt;0)</f>
        <v>0.44508219178082192</v>
      </c>
      <c r="DU51" s="2475">
        <f>SUM($I$3:DU$3)/$H$3*(DU$3&gt;0)</f>
        <v>0.45008219178082193</v>
      </c>
      <c r="DV51" s="2475">
        <f>SUM($I$3:DV$3)/$H$3*(DV$3&gt;0)</f>
        <v>0.45508219178082193</v>
      </c>
      <c r="DW51" s="2475">
        <f>SUM($I$3:DW$3)/$H$3*(DW$3&gt;0)</f>
        <v>0.46008219178082194</v>
      </c>
      <c r="DX51" s="2475">
        <f>SUM($I$3:DX$3)/$H$3*(DX$3&gt;0)</f>
        <v>0.46508219178082194</v>
      </c>
      <c r="DY51" s="2475">
        <f>SUM($I$3:DY$3)/$H$3*(DY$3&gt;0)</f>
        <v>0.47008219178082195</v>
      </c>
      <c r="DZ51" s="2475">
        <f>SUM($I$3:DZ$3)/$H$3*(DZ$3&gt;0)</f>
        <v>0.47508219178082195</v>
      </c>
      <c r="EA51" s="2475">
        <f>SUM($I$3:EA$3)/$H$3*(EA$3&gt;0)</f>
        <v>0.48008219178082195</v>
      </c>
      <c r="EB51" s="2475">
        <f>SUM($I$3:EB$3)/$H$3*(EB$3&gt;0)</f>
        <v>0.4850821917808219</v>
      </c>
      <c r="EC51" s="2475">
        <f>SUM($I$3:EC$3)/$H$3*(EC$3&gt;0)</f>
        <v>0.49008219178082191</v>
      </c>
      <c r="ED51" s="2475">
        <f>SUM($I$3:ED$3)/$H$3*(ED$3&gt;0)</f>
        <v>0.49508219178082191</v>
      </c>
      <c r="EE51" s="2475">
        <f>SUM($I$3:EE$3)/$H$3*(EE$3&gt;0)</f>
        <v>0.50008219178082192</v>
      </c>
      <c r="EF51" s="2475">
        <f>SUM($I$3:EF$3)/$H$3*(EF$3&gt;0)</f>
        <v>0.50508219178082192</v>
      </c>
      <c r="EG51" s="2475">
        <f>SUM($I$3:EG$3)/$H$3*(EG$3&gt;0)</f>
        <v>0.51008219178082193</v>
      </c>
      <c r="EH51" s="2475">
        <f>SUM($I$3:EH$3)/$H$3*(EH$3&gt;0)</f>
        <v>0.51508219178082193</v>
      </c>
      <c r="EI51" s="2475">
        <f>SUM($I$3:EI$3)/$H$3*(EI$3&gt;0)</f>
        <v>0.52008219178082193</v>
      </c>
      <c r="EJ51" s="2475">
        <f>SUM($I$3:EJ$3)/$H$3*(EJ$3&gt;0)</f>
        <v>0.52508219178082194</v>
      </c>
      <c r="EK51" s="2475">
        <f>SUM($I$3:EK$3)/$H$3*(EK$3&gt;0)</f>
        <v>0.53008219178082194</v>
      </c>
      <c r="EL51" s="2475">
        <f>SUM($I$3:EL$3)/$H$3*(EL$3&gt;0)</f>
        <v>0.53508219178082195</v>
      </c>
      <c r="EM51" s="2475">
        <f>SUM($I$3:EM$3)/$H$3*(EM$3&gt;0)</f>
        <v>0.54008219178082195</v>
      </c>
      <c r="EN51" s="2475">
        <f>SUM($I$3:EN$3)/$H$3*(EN$3&gt;0)</f>
        <v>0.54508219178082196</v>
      </c>
      <c r="EO51" s="2475">
        <f>SUM($I$3:EO$3)/$H$3*(EO$3&gt;0)</f>
        <v>0.55008219178082196</v>
      </c>
      <c r="EP51" s="2475">
        <f>SUM($I$3:EP$3)/$H$3*(EP$3&gt;0)</f>
        <v>0.55508219178082197</v>
      </c>
      <c r="EQ51" s="2475">
        <f>SUM($I$3:EQ$3)/$H$3*(EQ$3&gt;0)</f>
        <v>0.56008219178082197</v>
      </c>
      <c r="ER51" s="2475">
        <f>SUM($I$3:ER$3)/$H$3*(ER$3&gt;0)</f>
        <v>0.56508219178082197</v>
      </c>
      <c r="ES51" s="2475">
        <f>SUM($I$3:ES$3)/$H$3*(ES$3&gt;0)</f>
        <v>0.57008219178082198</v>
      </c>
      <c r="ET51" s="2475">
        <f>SUM($I$3:ET$3)/$H$3*(ET$3&gt;0)</f>
        <v>0.57508219178082198</v>
      </c>
      <c r="EU51" s="2475">
        <f>SUM($I$3:EU$3)/$H$3*(EU$3&gt;0)</f>
        <v>0.58008219178082188</v>
      </c>
      <c r="EV51" s="2475">
        <f>SUM($I$3:EV$3)/$H$3*(EV$3&gt;0)</f>
        <v>0.58508219178082188</v>
      </c>
      <c r="EW51" s="2475">
        <f>SUM($I$3:EW$3)/$H$3*(EW$3&gt;0)</f>
        <v>0.59008219178082189</v>
      </c>
      <c r="EX51" s="2475">
        <f>SUM($I$3:EX$3)/$H$3*(EX$3&gt;0)</f>
        <v>0.59508219178082189</v>
      </c>
      <c r="EY51" s="2475">
        <f>SUM($I$3:EY$3)/$H$3*(EY$3&gt;0)</f>
        <v>0.60008219178082189</v>
      </c>
      <c r="EZ51" s="2475">
        <f>SUM($I$3:EZ$3)/$H$3*(EZ$3&gt;0)</f>
        <v>0.6050821917808219</v>
      </c>
      <c r="FA51" s="2475">
        <f>SUM($I$3:FA$3)/$H$3*(FA$3&gt;0)</f>
        <v>0.6100821917808219</v>
      </c>
      <c r="FB51" s="2475">
        <f>SUM($I$3:FB$3)/$H$3*(FB$3&gt;0)</f>
        <v>0.61508219178082191</v>
      </c>
      <c r="FC51" s="2475">
        <f>SUM($I$3:FC$3)/$H$3*(FC$3&gt;0)</f>
        <v>0.62008219178082191</v>
      </c>
      <c r="FD51" s="2475">
        <f>SUM($I$3:FD$3)/$H$3*(FD$3&gt;0)</f>
        <v>0.62508219178082192</v>
      </c>
      <c r="FE51" s="2475">
        <f>SUM($I$3:FE$3)/$H$3*(FE$3&gt;0)</f>
        <v>0.63008219178082192</v>
      </c>
      <c r="FF51" s="2475">
        <f>SUM($I$3:FF$3)/$H$3*(FF$3&gt;0)</f>
        <v>0.63508219178082193</v>
      </c>
      <c r="FG51" s="2475">
        <f>SUM($I$3:FG$3)/$H$3*(FG$3&gt;0)</f>
        <v>0.64008219178082182</v>
      </c>
      <c r="FH51" s="2475">
        <f>SUM($I$3:FH$3)/$H$3*(FH$3&gt;0)</f>
        <v>0.64508219178082182</v>
      </c>
      <c r="FI51" s="2475">
        <f>SUM($I$3:FI$3)/$H$3*(FI$3&gt;0)</f>
        <v>0.65008219178082183</v>
      </c>
      <c r="FJ51" s="2475">
        <f>SUM($I$3:FJ$3)/$H$3*(FJ$3&gt;0)</f>
        <v>0.65508219178082183</v>
      </c>
      <c r="FK51" s="2475">
        <f>SUM($I$3:FK$3)/$H$3*(FK$3&gt;0)</f>
        <v>0.66008219178082184</v>
      </c>
      <c r="FL51" s="2475">
        <f>SUM($I$3:FL$3)/$H$3*(FL$3&gt;0)</f>
        <v>0.66508219178082184</v>
      </c>
      <c r="FM51" s="2475">
        <f>SUM($I$3:FM$3)/$H$3*(FM$3&gt;0)</f>
        <v>0.67008219178082185</v>
      </c>
      <c r="FN51" s="2475">
        <f>SUM($I$3:FN$3)/$H$3*(FN$3&gt;0)</f>
        <v>0.67508219178082185</v>
      </c>
      <c r="FO51" s="2475">
        <f>SUM($I$3:FO$3)/$H$3*(FO$3&gt;0)</f>
        <v>0.68008219178082185</v>
      </c>
      <c r="FP51" s="2475">
        <f>SUM($I$3:FP$3)/$H$3*(FP$3&gt;0)</f>
        <v>0.68508219178082186</v>
      </c>
      <c r="FQ51" s="2475">
        <f>SUM($I$3:FQ$3)/$H$3*(FQ$3&gt;0)</f>
        <v>0.69008219178082186</v>
      </c>
      <c r="FR51" s="2475">
        <f>SUM($I$3:FR$3)/$H$3*(FR$3&gt;0)</f>
        <v>0.69508219178082187</v>
      </c>
      <c r="FS51" s="2475">
        <f>SUM($I$3:FS$3)/$H$3*(FS$3&gt;0)</f>
        <v>0.70008219178082187</v>
      </c>
      <c r="FT51" s="2475">
        <f>SUM($I$3:FT$3)/$H$3*(FT$3&gt;0)</f>
        <v>0.70508219178082188</v>
      </c>
      <c r="FU51" s="2475">
        <f>SUM($I$3:FU$3)/$H$3*(FU$3&gt;0)</f>
        <v>0.71008219178082188</v>
      </c>
      <c r="FV51" s="2475">
        <f>SUM($I$3:FV$3)/$H$3*(FV$3&gt;0)</f>
        <v>0.71508219178082189</v>
      </c>
      <c r="FW51" s="2475">
        <f>SUM($I$3:FW$3)/$H$3*(FW$3&gt;0)</f>
        <v>0.72008219178082189</v>
      </c>
      <c r="FX51" s="2475">
        <f>SUM($I$3:FX$3)/$H$3*(FX$3&gt;0)</f>
        <v>0.72508219178082189</v>
      </c>
      <c r="FY51" s="2475">
        <f>SUM($I$3:FY$3)/$H$3*(FY$3&gt;0)</f>
        <v>0.7300821917808219</v>
      </c>
      <c r="FZ51" s="2475">
        <f>SUM($I$3:FZ$3)/$H$3*(FZ$3&gt;0)</f>
        <v>0.7350821917808219</v>
      </c>
      <c r="GA51" s="2475">
        <f>SUM($I$3:GA$3)/$H$3*(GA$3&gt;0)</f>
        <v>0.74008219178082191</v>
      </c>
      <c r="GB51" s="2475">
        <f>SUM($I$3:GB$3)/$H$3*(GB$3&gt;0)</f>
        <v>0.74508219178082191</v>
      </c>
      <c r="GC51" s="2475">
        <f>SUM($I$3:GC$3)/$H$3*(GC$3&gt;0)</f>
        <v>0.75008219178082181</v>
      </c>
      <c r="GD51" s="2475">
        <f>SUM($I$3:GD$3)/$H$3*(GD$3&gt;0)</f>
        <v>0.75508219178082181</v>
      </c>
      <c r="GE51" s="2475">
        <f>SUM($I$3:GE$3)/$H$3*(GE$3&gt;0)</f>
        <v>0.76008219178082181</v>
      </c>
      <c r="GF51" s="2475">
        <f>SUM($I$3:GF$3)/$H$3*(GF$3&gt;0)</f>
        <v>0.76508219178082182</v>
      </c>
      <c r="GG51" s="2475">
        <f>SUM($I$3:GG$3)/$H$3*(GG$3&gt;0)</f>
        <v>0.77008219178082182</v>
      </c>
      <c r="GH51" s="2475">
        <f>SUM($I$3:GH$3)/$H$3*(GH$3&gt;0)</f>
        <v>0.77508219178082183</v>
      </c>
      <c r="GI51" s="2475">
        <f>SUM($I$3:GI$3)/$H$3*(GI$3&gt;0)</f>
        <v>0.78008219178082183</v>
      </c>
      <c r="GJ51" s="2475">
        <f>SUM($I$3:GJ$3)/$H$3*(GJ$3&gt;0)</f>
        <v>0.78508219178082184</v>
      </c>
      <c r="GK51" s="2475">
        <f>SUM($I$3:GK$3)/$H$3*(GK$3&gt;0)</f>
        <v>0.79008219178082184</v>
      </c>
      <c r="GL51" s="2475">
        <f>SUM($I$3:GL$3)/$H$3*(GL$3&gt;0)</f>
        <v>0.79508219178082185</v>
      </c>
      <c r="GM51" s="2475">
        <f>SUM($I$3:GM$3)/$H$3*(GM$3&gt;0)</f>
        <v>0.80008219178082185</v>
      </c>
      <c r="GN51" s="2475">
        <f>SUM($I$3:GN$3)/$H$3*(GN$3&gt;0)</f>
        <v>0.80508219178082185</v>
      </c>
      <c r="GO51" s="2475">
        <f>SUM($I$3:GO$3)/$H$3*(GO$3&gt;0)</f>
        <v>0.81008219178082186</v>
      </c>
      <c r="GP51" s="2475">
        <f>SUM($I$3:GP$3)/$H$3*(GP$3&gt;0)</f>
        <v>0.81508219178082186</v>
      </c>
      <c r="GQ51" s="2475">
        <f>SUM($I$3:GQ$3)/$H$3*(GQ$3&gt;0)</f>
        <v>0.82008219178082187</v>
      </c>
      <c r="GR51" s="2475">
        <f>SUM($I$3:GR$3)/$H$3*(GR$3&gt;0)</f>
        <v>0.82508219178082187</v>
      </c>
      <c r="GS51" s="2475">
        <f>SUM($I$3:GS$3)/$H$3*(GS$3&gt;0)</f>
        <v>0.83008219178082188</v>
      </c>
      <c r="GT51" s="2475">
        <f>SUM($I$3:GT$3)/$H$3*(GT$3&gt;0)</f>
        <v>0.83508219178082188</v>
      </c>
      <c r="GU51" s="2475">
        <f>SUM($I$3:GU$3)/$H$3*(GU$3&gt;0)</f>
        <v>0.84008219178082189</v>
      </c>
      <c r="GV51" s="2475">
        <f>SUM($I$3:GV$3)/$H$3*(GV$3&gt;0)</f>
        <v>0.84508219178082189</v>
      </c>
      <c r="GW51" s="2475">
        <f>SUM($I$3:GW$3)/$H$3*(GW$3&gt;0)</f>
        <v>0.85008219178082189</v>
      </c>
      <c r="GX51" s="2475">
        <f>SUM($I$3:GX$3)/$H$3*(GX$3&gt;0)</f>
        <v>0.8550821917808219</v>
      </c>
      <c r="GY51" s="2475">
        <f>SUM($I$3:GY$3)/$H$3*(GY$3&gt;0)</f>
        <v>0.8600821917808219</v>
      </c>
      <c r="GZ51" s="2475">
        <f>SUM($I$3:GZ$3)/$H$3*(GZ$3&gt;0)</f>
        <v>0.86508219178082191</v>
      </c>
      <c r="HA51" s="2475">
        <f>SUM($I$3:HA$3)/$H$3*(HA$3&gt;0)</f>
        <v>0.87008219178082191</v>
      </c>
      <c r="HB51" s="2475">
        <f>SUM($I$3:HB$3)/$H$3*(HB$3&gt;0)</f>
        <v>0.87508219178082181</v>
      </c>
      <c r="HC51" s="2475">
        <f>SUM($I$3:HC$3)/$H$3*(HC$3&gt;0)</f>
        <v>0.88008219178082181</v>
      </c>
      <c r="HD51" s="2475">
        <f>SUM($I$3:HD$3)/$H$3*(HD$3&gt;0)</f>
        <v>0.88508219178082181</v>
      </c>
      <c r="HE51" s="2475">
        <f>SUM($I$3:HE$3)/$H$3*(HE$3&gt;0)</f>
        <v>0.89008219178082182</v>
      </c>
      <c r="HF51" s="2475">
        <f>SUM($I$3:HF$3)/$H$3*(HF$3&gt;0)</f>
        <v>0.89508219178082182</v>
      </c>
      <c r="HG51" s="2475">
        <f>SUM($I$3:HG$3)/$H$3*(HG$3&gt;0)</f>
        <v>0.90008219178082183</v>
      </c>
      <c r="HH51" s="2475">
        <f>SUM($I$3:HH$3)/$H$3*(HH$3&gt;0)</f>
        <v>0.90508219178082183</v>
      </c>
      <c r="HI51" s="2475">
        <f>SUM($I$3:HI$3)/$H$3*(HI$3&gt;0)</f>
        <v>0.91008219178082184</v>
      </c>
      <c r="HJ51" s="2475">
        <f>SUM($I$3:HJ$3)/$H$3*(HJ$3&gt;0)</f>
        <v>0.91508219178082184</v>
      </c>
      <c r="HK51" s="2475">
        <f>SUM($I$3:HK$3)/$H$3*(HK$3&gt;0)</f>
        <v>0.92008219178082185</v>
      </c>
      <c r="HL51" s="2475">
        <f>SUM($I$3:HL$3)/$H$3*(HL$3&gt;0)</f>
        <v>0.92508219178082185</v>
      </c>
      <c r="HM51" s="2475">
        <f>SUM($I$3:HM$3)/$H$3*(HM$3&gt;0)</f>
        <v>0.93008219178082185</v>
      </c>
      <c r="HN51" s="2475">
        <f>SUM($I$3:HN$3)/$H$3*(HN$3&gt;0)</f>
        <v>0.93508219178082186</v>
      </c>
      <c r="HO51" s="2475">
        <f>SUM($I$3:HO$3)/$H$3*(HO$3&gt;0)</f>
        <v>0.94008219178082186</v>
      </c>
      <c r="HP51" s="2475">
        <f>SUM($I$3:HP$3)/$H$3*(HP$3&gt;0)</f>
        <v>0.94508219178082187</v>
      </c>
      <c r="HQ51" s="2475">
        <f>SUM($I$3:HQ$3)/$H$3*(HQ$3&gt;0)</f>
        <v>0.95008219178082187</v>
      </c>
      <c r="HR51" s="2475">
        <f>SUM($I$3:HR$3)/$H$3*(HR$3&gt;0)</f>
        <v>0.95508219178082188</v>
      </c>
      <c r="HS51" s="2475">
        <f>SUM($I$3:HS$3)/$H$3*(HS$3&gt;0)</f>
        <v>0.96008219178082188</v>
      </c>
      <c r="HT51" s="2475">
        <f>SUM($I$3:HT$3)/$H$3*(HT$3&gt;0)</f>
        <v>0.96508219178082189</v>
      </c>
      <c r="HU51" s="2475">
        <f>SUM($I$3:HU$3)/$H$3*(HU$3&gt;0)</f>
        <v>0.97008219178082189</v>
      </c>
      <c r="HV51" s="2475">
        <f>SUM($I$3:HV$3)/$H$3*(HV$3&gt;0)</f>
        <v>0.97508219178082189</v>
      </c>
      <c r="HW51" s="2475">
        <f>SUM($I$3:HW$3)/$H$3*(HW$3&gt;0)</f>
        <v>0.9800821917808219</v>
      </c>
      <c r="HX51" s="2475">
        <f>SUM($I$3:HX$3)/$H$3*(HX$3&gt;0)</f>
        <v>0.9850821917808219</v>
      </c>
      <c r="HY51" s="2475">
        <f>SUM($I$3:HY$3)/$H$3*(HY$3&gt;0)</f>
        <v>0.99008219178082191</v>
      </c>
      <c r="HZ51" s="2475">
        <f>SUM($I$3:HZ$3)/$H$3*(HZ$3&gt;0)</f>
        <v>0.99508219178082191</v>
      </c>
      <c r="IA51" s="2475">
        <f>SUM($I$3:IA$3)/$H$3*(IA$3&gt;0)</f>
        <v>1</v>
      </c>
    </row>
    <row r="52" spans="3:235">
      <c r="C52" s="2466"/>
      <c r="D52" s="2476" t="s">
        <v>3934</v>
      </c>
      <c r="E52" s="2356"/>
      <c r="F52" s="2356"/>
      <c r="G52" s="2446"/>
      <c r="H52" s="2477">
        <f>MAX(J52:AT52)</f>
        <v>12514.364261483483</v>
      </c>
      <c r="I52" s="2358"/>
      <c r="J52" s="2478">
        <f t="shared" ref="J52:BU52" si="93">J50*J51</f>
        <v>0</v>
      </c>
      <c r="K52" s="2357">
        <f t="shared" si="93"/>
        <v>0</v>
      </c>
      <c r="L52" s="2479">
        <f t="shared" si="93"/>
        <v>0</v>
      </c>
      <c r="M52" s="2478">
        <f t="shared" si="93"/>
        <v>0</v>
      </c>
      <c r="N52" s="2357">
        <f t="shared" si="93"/>
        <v>0</v>
      </c>
      <c r="O52" s="2479">
        <f t="shared" si="93"/>
        <v>0</v>
      </c>
      <c r="P52" s="2357">
        <f t="shared" si="93"/>
        <v>0</v>
      </c>
      <c r="Q52" s="2477">
        <f t="shared" si="93"/>
        <v>0</v>
      </c>
      <c r="R52" s="2479">
        <f t="shared" si="93"/>
        <v>0</v>
      </c>
      <c r="S52" s="2357">
        <f t="shared" si="93"/>
        <v>0</v>
      </c>
      <c r="T52" s="2477">
        <f t="shared" si="93"/>
        <v>0</v>
      </c>
      <c r="U52" s="2480">
        <f t="shared" si="93"/>
        <v>0</v>
      </c>
      <c r="V52" s="2480">
        <f t="shared" si="93"/>
        <v>0</v>
      </c>
      <c r="W52" s="2480">
        <f t="shared" si="93"/>
        <v>0</v>
      </c>
      <c r="X52" s="2480">
        <f t="shared" si="93"/>
        <v>0</v>
      </c>
      <c r="Y52" s="2480">
        <f t="shared" si="93"/>
        <v>0</v>
      </c>
      <c r="Z52" s="2480">
        <f t="shared" si="93"/>
        <v>0</v>
      </c>
      <c r="AA52" s="2480">
        <f t="shared" si="93"/>
        <v>0</v>
      </c>
      <c r="AB52" s="2480">
        <f t="shared" si="93"/>
        <v>0</v>
      </c>
      <c r="AC52" s="2480">
        <f t="shared" si="93"/>
        <v>0</v>
      </c>
      <c r="AD52" s="2480">
        <f t="shared" si="93"/>
        <v>0</v>
      </c>
      <c r="AE52" s="2480">
        <f t="shared" si="93"/>
        <v>0</v>
      </c>
      <c r="AF52" s="2480">
        <f t="shared" si="93"/>
        <v>0</v>
      </c>
      <c r="AG52" s="2480">
        <f t="shared" si="93"/>
        <v>0</v>
      </c>
      <c r="AH52" s="2480">
        <f t="shared" si="93"/>
        <v>0</v>
      </c>
      <c r="AI52" s="2480">
        <f t="shared" si="93"/>
        <v>0</v>
      </c>
      <c r="AJ52" s="2480">
        <f t="shared" si="93"/>
        <v>1268.5300504455083</v>
      </c>
      <c r="AK52" s="2480">
        <f t="shared" si="93"/>
        <v>2479.2484079162746</v>
      </c>
      <c r="AL52" s="2480">
        <f t="shared" si="93"/>
        <v>3688.2056304319431</v>
      </c>
      <c r="AM52" s="2480">
        <f t="shared" si="93"/>
        <v>4844.7008326917794</v>
      </c>
      <c r="AN52" s="2480">
        <f t="shared" si="93"/>
        <v>6035.5899962407248</v>
      </c>
      <c r="AO52" s="2480">
        <f t="shared" si="93"/>
        <v>7105.6134163430243</v>
      </c>
      <c r="AP52" s="2480">
        <f t="shared" si="93"/>
        <v>8328.3419958680552</v>
      </c>
      <c r="AQ52" s="2480">
        <f t="shared" si="93"/>
        <v>9394.9940312071521</v>
      </c>
      <c r="AR52" s="2480">
        <f t="shared" si="93"/>
        <v>10493.311452866757</v>
      </c>
      <c r="AS52" s="2480">
        <f t="shared" si="93"/>
        <v>11487.373315367413</v>
      </c>
      <c r="AT52" s="2480">
        <f t="shared" si="93"/>
        <v>12514.364261483483</v>
      </c>
      <c r="AU52" s="2480">
        <f t="shared" si="93"/>
        <v>13417.485972724709</v>
      </c>
      <c r="AV52" s="2480">
        <f t="shared" si="93"/>
        <v>14417.061787252207</v>
      </c>
      <c r="AW52" s="2480">
        <f t="shared" si="93"/>
        <v>15200.430716715877</v>
      </c>
      <c r="AX52" s="2480">
        <f t="shared" si="93"/>
        <v>16135.538245289101</v>
      </c>
      <c r="AY52" s="2480">
        <f t="shared" si="93"/>
        <v>16867.287958019242</v>
      </c>
      <c r="AZ52" s="2480">
        <f t="shared" si="93"/>
        <v>17743.809477505027</v>
      </c>
      <c r="BA52" s="2480">
        <f t="shared" si="93"/>
        <v>18422.500138627594</v>
      </c>
      <c r="BB52" s="2480">
        <f t="shared" si="93"/>
        <v>19295.634084751367</v>
      </c>
      <c r="BC52" s="2480">
        <f t="shared" si="93"/>
        <v>19978.520288624492</v>
      </c>
      <c r="BD52" s="2480">
        <f t="shared" si="93"/>
        <v>20664.539433317597</v>
      </c>
      <c r="BE52" s="2480">
        <f t="shared" si="93"/>
        <v>21163.499660939695</v>
      </c>
      <c r="BF52" s="2480">
        <f t="shared" si="93"/>
        <v>21876.670830047533</v>
      </c>
      <c r="BG52" s="2480">
        <f t="shared" si="93"/>
        <v>22503.919056707571</v>
      </c>
      <c r="BH52" s="2480">
        <f t="shared" si="93"/>
        <v>23048.098664598496</v>
      </c>
      <c r="BI52" s="2480">
        <f t="shared" si="93"/>
        <v>23577.629003961531</v>
      </c>
      <c r="BJ52" s="2480">
        <f t="shared" si="93"/>
        <v>24139.337331816041</v>
      </c>
      <c r="BK52" s="2480">
        <f t="shared" si="93"/>
        <v>24654.502820530506</v>
      </c>
      <c r="BL52" s="2480">
        <f t="shared" si="93"/>
        <v>25258.668602614565</v>
      </c>
      <c r="BM52" s="2480">
        <f t="shared" si="93"/>
        <v>25699.047112653901</v>
      </c>
      <c r="BN52" s="2480">
        <f t="shared" si="93"/>
        <v>26426.829129270896</v>
      </c>
      <c r="BO52" s="2480">
        <f t="shared" si="93"/>
        <v>26741.563243973218</v>
      </c>
      <c r="BP52" s="2480">
        <f t="shared" si="93"/>
        <v>27328.579058196829</v>
      </c>
      <c r="BQ52" s="2480">
        <f t="shared" si="93"/>
        <v>27534.490692871696</v>
      </c>
      <c r="BR52" s="2480">
        <f t="shared" si="93"/>
        <v>28150.643409223983</v>
      </c>
      <c r="BS52" s="2480">
        <f t="shared" si="93"/>
        <v>28459.98339800051</v>
      </c>
      <c r="BT52" s="2480">
        <f t="shared" si="93"/>
        <v>29160.803828202876</v>
      </c>
      <c r="BU52" s="2480">
        <f t="shared" si="93"/>
        <v>29066.906967078787</v>
      </c>
      <c r="BV52" s="2480">
        <f t="shared" ref="BV52:EG52" si="94">BV50*BV51</f>
        <v>29351.519641075538</v>
      </c>
      <c r="BW52" s="2480">
        <f t="shared" si="94"/>
        <v>29691.021871371569</v>
      </c>
      <c r="BX52" s="2480">
        <f t="shared" si="94"/>
        <v>29994.239642041863</v>
      </c>
      <c r="BY52" s="2480">
        <f t="shared" si="94"/>
        <v>30170.325797656416</v>
      </c>
      <c r="BZ52" s="2480">
        <f t="shared" si="94"/>
        <v>30418.50707276438</v>
      </c>
      <c r="CA52" s="2480">
        <f t="shared" si="94"/>
        <v>30514.293679474744</v>
      </c>
      <c r="CB52" s="2480">
        <f t="shared" si="94"/>
        <v>30981.924499630906</v>
      </c>
      <c r="CC52" s="2480">
        <f t="shared" si="94"/>
        <v>30993.079736435106</v>
      </c>
      <c r="CD52" s="2480">
        <f t="shared" si="94"/>
        <v>31584.546358284733</v>
      </c>
      <c r="CE52" s="2480">
        <f t="shared" si="94"/>
        <v>31761.067027964451</v>
      </c>
      <c r="CF52" s="2480">
        <f t="shared" si="94"/>
        <v>32208.679543127542</v>
      </c>
      <c r="CG52" s="2480">
        <f t="shared" si="94"/>
        <v>32566.902283111813</v>
      </c>
      <c r="CH52" s="2480">
        <f t="shared" ca="1" si="94"/>
        <v>32762.417544021548</v>
      </c>
      <c r="CI52" s="2480">
        <f t="shared" ca="1" si="94"/>
        <v>32946.443039015765</v>
      </c>
      <c r="CJ52" s="2480">
        <f t="shared" ca="1" si="94"/>
        <v>33119.257168168915</v>
      </c>
      <c r="CK52" s="2480">
        <f t="shared" ca="1" si="94"/>
        <v>33281.132856109616</v>
      </c>
      <c r="CL52" s="2480">
        <f t="shared" ca="1" si="94"/>
        <v>33432.337649847104</v>
      </c>
      <c r="CM52" s="2480">
        <f t="shared" ca="1" si="94"/>
        <v>33573.133814944107</v>
      </c>
      <c r="CN52" s="2480">
        <f t="shared" ca="1" si="94"/>
        <v>33703.778430063387</v>
      </c>
      <c r="CO52" s="2480">
        <f t="shared" ca="1" si="94"/>
        <v>33824.523479914082</v>
      </c>
      <c r="CP52" s="2480">
        <f t="shared" ca="1" si="94"/>
        <v>33935.615946624333</v>
      </c>
      <c r="CQ52" s="2480">
        <f t="shared" ca="1" si="94"/>
        <v>34037.297899565572</v>
      </c>
      <c r="CR52" s="2480">
        <f t="shared" ca="1" si="94"/>
        <v>34129.806583654048</v>
      </c>
      <c r="CS52" s="2480">
        <f t="shared" ca="1" si="94"/>
        <v>34213.37450615409</v>
      </c>
      <c r="CT52" s="2480">
        <f t="shared" ca="1" si="94"/>
        <v>34288.229522008041</v>
      </c>
      <c r="CU52" s="2480">
        <f t="shared" ca="1" si="94"/>
        <v>34354.594917716582</v>
      </c>
      <c r="CV52" s="2480">
        <f t="shared" ca="1" si="94"/>
        <v>34412.689493793288</v>
      </c>
      <c r="CW52" s="2480">
        <f t="shared" ca="1" si="94"/>
        <v>34462.727645816922</v>
      </c>
      <c r="CX52" s="2480">
        <f t="shared" ca="1" si="94"/>
        <v>34504.919444103994</v>
      </c>
      <c r="CY52" s="2480">
        <f t="shared" ca="1" si="94"/>
        <v>34539.470712024697</v>
      </c>
      <c r="CZ52" s="2480">
        <f t="shared" ca="1" si="94"/>
        <v>34566.583102984048</v>
      </c>
      <c r="DA52" s="2480">
        <f t="shared" ca="1" si="94"/>
        <v>34586.454176090323</v>
      </c>
      <c r="DB52" s="2480">
        <f t="shared" ca="1" si="94"/>
        <v>34599.277470532223</v>
      </c>
      <c r="DC52" s="2480">
        <f t="shared" ca="1" si="94"/>
        <v>34605.242578686019</v>
      </c>
      <c r="DD52" s="2480">
        <f t="shared" ca="1" si="94"/>
        <v>34604.535217973542</v>
      </c>
      <c r="DE52" s="2480">
        <f t="shared" ca="1" si="94"/>
        <v>34597.337301491309</v>
      </c>
      <c r="DF52" s="2480">
        <f t="shared" ca="1" si="94"/>
        <v>34583.827007431384</v>
      </c>
      <c r="DG52" s="2480">
        <f t="shared" ca="1" si="94"/>
        <v>34564.178847313407</v>
      </c>
      <c r="DH52" s="2480">
        <f t="shared" ca="1" si="94"/>
        <v>34538.563733047675</v>
      </c>
      <c r="DI52" s="2480">
        <f t="shared" ca="1" si="94"/>
        <v>34507.14904284825</v>
      </c>
      <c r="DJ52" s="2480">
        <f t="shared" ca="1" si="94"/>
        <v>34470.098686015197</v>
      </c>
      <c r="DK52" s="2480">
        <f t="shared" ca="1" si="94"/>
        <v>34427.573166604539</v>
      </c>
      <c r="DL52" s="2480">
        <f t="shared" ca="1" si="94"/>
        <v>34379.729646004147</v>
      </c>
      <c r="DM52" s="2480">
        <f t="shared" ca="1" si="94"/>
        <v>34326.72200443381</v>
      </c>
      <c r="DN52" s="2480">
        <f t="shared" ca="1" si="94"/>
        <v>34268.700901386917</v>
      </c>
      <c r="DO52" s="2480">
        <f t="shared" ca="1" si="94"/>
        <v>34205.813835031571</v>
      </c>
      <c r="DP52" s="2480">
        <f t="shared" ca="1" si="94"/>
        <v>34138.205200588032</v>
      </c>
      <c r="DQ52" s="2480">
        <f t="shared" ca="1" si="94"/>
        <v>34066.016347699515</v>
      </c>
      <c r="DR52" s="2480">
        <f t="shared" ca="1" si="94"/>
        <v>33989.385636812935</v>
      </c>
      <c r="DS52" s="2480">
        <f t="shared" ca="1" si="94"/>
        <v>33908.448494586024</v>
      </c>
      <c r="DT52" s="2480">
        <f t="shared" ca="1" si="94"/>
        <v>33823.337468336926</v>
      </c>
      <c r="DU52" s="2480">
        <f t="shared" ca="1" si="94"/>
        <v>33734.182279551889</v>
      </c>
      <c r="DV52" s="2480">
        <f t="shared" ca="1" si="94"/>
        <v>33641.10987646701</v>
      </c>
      <c r="DW52" s="2480">
        <f t="shared" ca="1" si="94"/>
        <v>33544.244485739153</v>
      </c>
      <c r="DX52" s="2480">
        <f t="shared" ca="1" si="94"/>
        <v>33443.707663221052</v>
      </c>
      <c r="DY52" s="2480">
        <f t="shared" ca="1" si="94"/>
        <v>33339.618343855749</v>
      </c>
      <c r="DZ52" s="2480">
        <f t="shared" ca="1" si="94"/>
        <v>33232.092890704596</v>
      </c>
      <c r="EA52" s="2480">
        <f t="shared" ca="1" si="94"/>
        <v>33121.245143123539</v>
      </c>
      <c r="EB52" s="2480">
        <f t="shared" ca="1" si="94"/>
        <v>33007.186464101651</v>
      </c>
      <c r="EC52" s="2480">
        <f t="shared" ca="1" si="94"/>
        <v>32890.025786775819</v>
      </c>
      <c r="ED52" s="2480">
        <f t="shared" ca="1" si="94"/>
        <v>32769.869660135329</v>
      </c>
      <c r="EE52" s="2480">
        <f t="shared" ca="1" si="94"/>
        <v>32646.822293929908</v>
      </c>
      <c r="EF52" s="2480">
        <f t="shared" ca="1" si="94"/>
        <v>32520.985602794248</v>
      </c>
      <c r="EG52" s="2480">
        <f t="shared" ca="1" si="94"/>
        <v>32392.459249602271</v>
      </c>
      <c r="EH52" s="2480">
        <f t="shared" ref="EH52:GS52" ca="1" si="95">EH50*EH51</f>
        <v>32261.340688063865</v>
      </c>
      <c r="EI52" s="2480">
        <f t="shared" ca="1" si="95"/>
        <v>32127.725204576756</v>
      </c>
      <c r="EJ52" s="2480">
        <f t="shared" ca="1" si="95"/>
        <v>31991.705959345873</v>
      </c>
      <c r="EK52" s="2480">
        <f t="shared" ca="1" si="95"/>
        <v>31853.374026782472</v>
      </c>
      <c r="EL52" s="2480">
        <f t="shared" ca="1" si="95"/>
        <v>31712.818435195109</v>
      </c>
      <c r="EM52" s="2480">
        <f t="shared" ca="1" si="95"/>
        <v>31570.126205784098</v>
      </c>
      <c r="EN52" s="2480">
        <f t="shared" ca="1" si="95"/>
        <v>31425.382390951279</v>
      </c>
      <c r="EO52" s="2480">
        <f t="shared" ca="1" si="95"/>
        <v>31278.670111936499</v>
      </c>
      <c r="EP52" s="2480">
        <f t="shared" ca="1" si="95"/>
        <v>31130.070595791927</v>
      </c>
      <c r="EQ52" s="2480">
        <f t="shared" ca="1" si="95"/>
        <v>30979.663211705571</v>
      </c>
      <c r="ER52" s="2480">
        <f t="shared" ca="1" si="95"/>
        <v>30827.525506684578</v>
      </c>
      <c r="ES52" s="2480">
        <f t="shared" ca="1" si="95"/>
        <v>30673.733240609294</v>
      </c>
      <c r="ET52" s="2480">
        <f t="shared" ca="1" si="95"/>
        <v>30518.360420668432</v>
      </c>
      <c r="EU52" s="2480">
        <f t="shared" ca="1" si="95"/>
        <v>30361.479335185926</v>
      </c>
      <c r="EV52" s="2480">
        <f t="shared" ca="1" si="95"/>
        <v>30203.160586849561</v>
      </c>
      <c r="EW52" s="2480">
        <f t="shared" ca="1" si="95"/>
        <v>30043.473125351375</v>
      </c>
      <c r="EX52" s="2480">
        <f t="shared" ca="1" si="95"/>
        <v>29882.48427944988</v>
      </c>
      <c r="EY52" s="2480">
        <f t="shared" ca="1" si="95"/>
        <v>29720.2597884637</v>
      </c>
      <c r="EZ52" s="2480">
        <f t="shared" ca="1" si="95"/>
        <v>29556.863833206273</v>
      </c>
      <c r="FA52" s="2480">
        <f t="shared" ca="1" si="95"/>
        <v>29392.359066370831</v>
      </c>
      <c r="FB52" s="2480">
        <f t="shared" ca="1" si="95"/>
        <v>29226.806642375246</v>
      </c>
      <c r="FC52" s="2480">
        <f t="shared" ca="1" si="95"/>
        <v>29060.266246675557</v>
      </c>
      <c r="FD52" s="2480">
        <f t="shared" ca="1" si="95"/>
        <v>28892.796124557255</v>
      </c>
      <c r="FE52" s="2480">
        <f t="shared" ca="1" si="95"/>
        <v>28724.453109413116</v>
      </c>
      <c r="FF52" s="2480">
        <f t="shared" ca="1" si="95"/>
        <v>28555.292650516334</v>
      </c>
      <c r="FG52" s="2480">
        <f t="shared" ca="1" si="95"/>
        <v>28385.368840297237</v>
      </c>
      <c r="FH52" s="2480">
        <f t="shared" ca="1" si="95"/>
        <v>28214.734441132416</v>
      </c>
      <c r="FI52" s="2480">
        <f t="shared" ca="1" si="95"/>
        <v>28043.440911653899</v>
      </c>
      <c r="FJ52" s="2480">
        <f t="shared" ca="1" si="95"/>
        <v>27871.538432587164</v>
      </c>
      <c r="FK52" s="2480">
        <f t="shared" ca="1" si="95"/>
        <v>27699.075932125426</v>
      </c>
      <c r="FL52" s="2480">
        <f t="shared" ca="1" si="95"/>
        <v>27526.101110848325</v>
      </c>
      <c r="FM52" s="2480">
        <f t="shared" ca="1" si="95"/>
        <v>27352.660466192694</v>
      </c>
      <c r="FN52" s="2480">
        <f t="shared" ca="1" si="95"/>
        <v>27178.799316483099</v>
      </c>
      <c r="FO52" s="2480">
        <f t="shared" ca="1" si="95"/>
        <v>27004.56182452933</v>
      </c>
      <c r="FP52" s="2480">
        <f t="shared" ca="1" si="95"/>
        <v>26829.991020798509</v>
      </c>
      <c r="FQ52" s="2480">
        <f t="shared" ca="1" si="95"/>
        <v>26655.128826168962</v>
      </c>
      <c r="FR52" s="2480">
        <f t="shared" ca="1" si="95"/>
        <v>26480.016074272844</v>
      </c>
      <c r="FS52" s="2480">
        <f t="shared" ca="1" si="95"/>
        <v>26304.692533434656</v>
      </c>
      <c r="FT52" s="2480">
        <f t="shared" ca="1" si="95"/>
        <v>26129.196928212554</v>
      </c>
      <c r="FU52" s="2480">
        <f t="shared" ca="1" si="95"/>
        <v>25953.566960549051</v>
      </c>
      <c r="FV52" s="2480">
        <f t="shared" ca="1" si="95"/>
        <v>25777.839330537845</v>
      </c>
      <c r="FW52" s="2480">
        <f t="shared" ca="1" si="95"/>
        <v>25602.049756813616</v>
      </c>
      <c r="FX52" s="2480">
        <f t="shared" ca="1" si="95"/>
        <v>25426.232996570616</v>
      </c>
      <c r="FY52" s="2480">
        <f t="shared" ca="1" si="95"/>
        <v>25250.422865217035</v>
      </c>
      <c r="FZ52" s="2480">
        <f t="shared" ca="1" si="95"/>
        <v>25074.652255670921</v>
      </c>
      <c r="GA52" s="2480">
        <f t="shared" ca="1" si="95"/>
        <v>24898.953157304019</v>
      </c>
      <c r="GB52" s="2480">
        <f t="shared" ca="1" si="95"/>
        <v>24723.356674539558</v>
      </c>
      <c r="GC52" s="2480">
        <f t="shared" ca="1" si="95"/>
        <v>24547.893045109715</v>
      </c>
      <c r="GD52" s="2480">
        <f t="shared" ca="1" si="95"/>
        <v>24372.591657978781</v>
      </c>
      <c r="GE52" s="2480">
        <f t="shared" ca="1" si="95"/>
        <v>24197.481070937738</v>
      </c>
      <c r="GF52" s="2480">
        <f t="shared" ca="1" si="95"/>
        <v>24022.589027875889</v>
      </c>
      <c r="GG52" s="2480">
        <f t="shared" ca="1" si="95"/>
        <v>23847.942475734984</v>
      </c>
      <c r="GH52" s="2480">
        <f t="shared" ca="1" si="95"/>
        <v>23673.567581151401</v>
      </c>
      <c r="GI52" s="2480">
        <f t="shared" ca="1" si="95"/>
        <v>23499.489746791805</v>
      </c>
      <c r="GJ52" s="2480">
        <f t="shared" ca="1" si="95"/>
        <v>23325.733627387355</v>
      </c>
      <c r="GK52" s="2480">
        <f t="shared" ca="1" si="95"/>
        <v>23152.323145471972</v>
      </c>
      <c r="GL52" s="2480">
        <f t="shared" ca="1" si="95"/>
        <v>22979.281506829462</v>
      </c>
      <c r="GM52" s="2480">
        <f t="shared" ca="1" si="95"/>
        <v>22806.631215654517</v>
      </c>
      <c r="GN52" s="2480">
        <f t="shared" ca="1" si="95"/>
        <v>22634.394089432993</v>
      </c>
      <c r="GO52" s="2480">
        <f t="shared" ca="1" si="95"/>
        <v>22462.591273545735</v>
      </c>
      <c r="GP52" s="2480">
        <f t="shared" ca="1" si="95"/>
        <v>22291.24325560097</v>
      </c>
      <c r="GQ52" s="2480">
        <f t="shared" ca="1" si="95"/>
        <v>22120.36987950022</v>
      </c>
      <c r="GR52" s="2480">
        <f t="shared" ca="1" si="95"/>
        <v>21949.99035924186</v>
      </c>
      <c r="GS52" s="2480">
        <f t="shared" ca="1" si="95"/>
        <v>21780.123292467117</v>
      </c>
      <c r="GT52" s="2480">
        <f t="shared" ref="GT52:IA52" ca="1" si="96">GT50*GT51</f>
        <v>21610.786673753209</v>
      </c>
      <c r="GU52" s="2480">
        <f t="shared" ca="1" si="96"/>
        <v>21441.997907657573</v>
      </c>
      <c r="GV52" s="2480">
        <f t="shared" ca="1" si="96"/>
        <v>21273.773821517807</v>
      </c>
      <c r="GW52" s="2480">
        <f t="shared" ca="1" si="96"/>
        <v>21106.130678011519</v>
      </c>
      <c r="GX52" s="2480">
        <f t="shared" ca="1" si="96"/>
        <v>20939.084187480021</v>
      </c>
      <c r="GY52" s="2480">
        <f t="shared" ca="1" si="96"/>
        <v>20772.649520020575</v>
      </c>
      <c r="GZ52" s="2480">
        <f t="shared" ca="1" si="96"/>
        <v>20606.84131735042</v>
      </c>
      <c r="HA52" s="2480">
        <f t="shared" ca="1" si="96"/>
        <v>20441.673704447294</v>
      </c>
      <c r="HB52" s="2480">
        <f t="shared" ca="1" si="96"/>
        <v>20277.160300969863</v>
      </c>
      <c r="HC52" s="2480">
        <f t="shared" ca="1" si="96"/>
        <v>20113.314232462111</v>
      </c>
      <c r="HD52" s="2480">
        <f t="shared" ca="1" si="96"/>
        <v>19950.148141345569</v>
      </c>
      <c r="HE52" s="2480">
        <f t="shared" ca="1" si="96"/>
        <v>19787.674197702778</v>
      </c>
      <c r="HF52" s="2480">
        <f t="shared" ca="1" si="96"/>
        <v>19625.904109855961</v>
      </c>
      <c r="HG52" s="2480">
        <f t="shared" ca="1" si="96"/>
        <v>19464.849134744225</v>
      </c>
      <c r="HH52" s="2480">
        <f t="shared" ca="1" si="96"/>
        <v>19304.520088103232</v>
      </c>
      <c r="HI52" s="2480">
        <f t="shared" ca="1" si="96"/>
        <v>19144.927354450159</v>
      </c>
      <c r="HJ52" s="2480">
        <f t="shared" ca="1" si="96"/>
        <v>18986.080896878171</v>
      </c>
      <c r="HK52" s="2480">
        <f t="shared" ca="1" si="96"/>
        <v>18827.990266663015</v>
      </c>
      <c r="HL52" s="2480">
        <f t="shared" ca="1" si="96"/>
        <v>18670.664612685487</v>
      </c>
      <c r="HM52" s="2480">
        <f t="shared" ca="1" si="96"/>
        <v>18514.112690672966</v>
      </c>
      <c r="HN52" s="2480">
        <f t="shared" ca="1" si="96"/>
        <v>18358.342872263023</v>
      </c>
      <c r="HO52" s="2480">
        <f t="shared" ca="1" si="96"/>
        <v>18203.363153892424</v>
      </c>
      <c r="HP52" s="2480">
        <f t="shared" ca="1" si="96"/>
        <v>18049.181165514619</v>
      </c>
      <c r="HQ52" s="2480">
        <f t="shared" ca="1" si="96"/>
        <v>17895.804179148494</v>
      </c>
      <c r="HR52" s="2480">
        <f t="shared" ca="1" si="96"/>
        <v>17743.239117261674</v>
      </c>
      <c r="HS52" s="2480">
        <f t="shared" ca="1" si="96"/>
        <v>17591.49256099129</v>
      </c>
      <c r="HT52" s="2480">
        <f t="shared" ca="1" si="96"/>
        <v>17440.570758204838</v>
      </c>
      <c r="HU52" s="2480">
        <f t="shared" ca="1" si="96"/>
        <v>17290.479631404178</v>
      </c>
      <c r="HV52" s="2480">
        <f t="shared" ca="1" si="96"/>
        <v>17141.224785475406</v>
      </c>
      <c r="HW52" s="2480">
        <f t="shared" ca="1" si="96"/>
        <v>16992.811515287409</v>
      </c>
      <c r="HX52" s="2480">
        <f t="shared" ca="1" si="96"/>
        <v>16845.244813141671</v>
      </c>
      <c r="HY52" s="2480">
        <f t="shared" ca="1" si="96"/>
        <v>16698.529376076018</v>
      </c>
      <c r="HZ52" s="2480">
        <f t="shared" ca="1" si="96"/>
        <v>16552.669613024944</v>
      </c>
      <c r="IA52" s="2480">
        <f t="shared" ca="1" si="96"/>
        <v>16411.091351772408</v>
      </c>
    </row>
    <row r="53" spans="3:235">
      <c r="C53" s="2466"/>
      <c r="D53" s="2481" t="s">
        <v>3935</v>
      </c>
      <c r="E53" s="2385"/>
      <c r="F53" s="5313"/>
      <c r="G53" s="2386"/>
      <c r="H53" s="2392"/>
      <c r="I53" s="2482"/>
      <c r="J53" s="2395"/>
      <c r="K53" s="2387"/>
      <c r="L53" s="2393"/>
      <c r="M53" s="2395"/>
      <c r="N53" s="2387"/>
      <c r="O53" s="2393"/>
      <c r="P53" s="2387"/>
      <c r="Q53" s="2392"/>
      <c r="R53" s="2395"/>
      <c r="S53" s="2387">
        <f t="shared" ref="S53:AX53" si="97">S$122</f>
        <v>0</v>
      </c>
      <c r="T53" s="2392">
        <f t="shared" si="97"/>
        <v>0</v>
      </c>
      <c r="U53" s="2394">
        <f t="shared" si="97"/>
        <v>0</v>
      </c>
      <c r="V53" s="2394">
        <f t="shared" si="97"/>
        <v>0</v>
      </c>
      <c r="W53" s="2394">
        <f t="shared" si="97"/>
        <v>0</v>
      </c>
      <c r="X53" s="2394">
        <f t="shared" si="97"/>
        <v>0</v>
      </c>
      <c r="Y53" s="2394">
        <f t="shared" si="97"/>
        <v>0</v>
      </c>
      <c r="Z53" s="2394">
        <f t="shared" si="97"/>
        <v>0</v>
      </c>
      <c r="AA53" s="2394">
        <f t="shared" si="97"/>
        <v>0</v>
      </c>
      <c r="AB53" s="2394">
        <f t="shared" si="97"/>
        <v>0</v>
      </c>
      <c r="AC53" s="2394">
        <f t="shared" si="97"/>
        <v>0</v>
      </c>
      <c r="AD53" s="2394">
        <f t="shared" si="97"/>
        <v>0</v>
      </c>
      <c r="AE53" s="2394">
        <f t="shared" si="97"/>
        <v>0</v>
      </c>
      <c r="AF53" s="2394">
        <f t="shared" si="97"/>
        <v>0</v>
      </c>
      <c r="AG53" s="2394">
        <f t="shared" si="97"/>
        <v>0</v>
      </c>
      <c r="AH53" s="2394">
        <f t="shared" si="97"/>
        <v>0</v>
      </c>
      <c r="AI53" s="2394">
        <f t="shared" si="97"/>
        <v>0</v>
      </c>
      <c r="AJ53" s="2394">
        <f t="shared" si="97"/>
        <v>0</v>
      </c>
      <c r="AK53" s="2394">
        <f t="shared" si="97"/>
        <v>0</v>
      </c>
      <c r="AL53" s="2394">
        <f t="shared" si="97"/>
        <v>0</v>
      </c>
      <c r="AM53" s="2394">
        <f t="shared" si="97"/>
        <v>0</v>
      </c>
      <c r="AN53" s="2394">
        <f t="shared" si="97"/>
        <v>0</v>
      </c>
      <c r="AO53" s="2394">
        <f t="shared" si="97"/>
        <v>0</v>
      </c>
      <c r="AP53" s="2394">
        <f t="shared" si="97"/>
        <v>0</v>
      </c>
      <c r="AQ53" s="2394">
        <f t="shared" si="97"/>
        <v>0</v>
      </c>
      <c r="AR53" s="2394">
        <f t="shared" si="97"/>
        <v>0</v>
      </c>
      <c r="AS53" s="2394">
        <f t="shared" si="97"/>
        <v>0</v>
      </c>
      <c r="AT53" s="2394">
        <f t="shared" si="97"/>
        <v>0</v>
      </c>
      <c r="AU53" s="2394">
        <f t="shared" si="97"/>
        <v>0</v>
      </c>
      <c r="AV53" s="2394">
        <f t="shared" si="97"/>
        <v>0</v>
      </c>
      <c r="AW53" s="2394">
        <f t="shared" si="97"/>
        <v>0</v>
      </c>
      <c r="AX53" s="2394">
        <f t="shared" si="97"/>
        <v>138589.95179174127</v>
      </c>
      <c r="AY53" s="2394">
        <f t="shared" ref="AY53:CD53" si="98">AY$122</f>
        <v>140327.85017177768</v>
      </c>
      <c r="AZ53" s="2394">
        <f t="shared" si="98"/>
        <v>140632.62320153727</v>
      </c>
      <c r="BA53" s="2394">
        <f t="shared" si="98"/>
        <v>140919.04168208138</v>
      </c>
      <c r="BB53" s="2394">
        <f t="shared" si="98"/>
        <v>141348.57751019343</v>
      </c>
      <c r="BC53" s="2394">
        <f t="shared" si="98"/>
        <v>141698.12757668554</v>
      </c>
      <c r="BD53" s="2394">
        <f t="shared" si="98"/>
        <v>140903.6493186079</v>
      </c>
      <c r="BE53" s="2394">
        <f t="shared" si="98"/>
        <v>140042.76853834922</v>
      </c>
      <c r="BF53" s="2394">
        <f t="shared" si="98"/>
        <v>139371.51183788144</v>
      </c>
      <c r="BG53" s="2394">
        <f t="shared" si="98"/>
        <v>138574.13550564114</v>
      </c>
      <c r="BH53" s="2394">
        <f t="shared" si="98"/>
        <v>137198.26922407805</v>
      </c>
      <c r="BI53" s="2394">
        <f t="shared" si="98"/>
        <v>135731.45453272937</v>
      </c>
      <c r="BJ53" s="2394">
        <f t="shared" si="98"/>
        <v>134474.59375529306</v>
      </c>
      <c r="BK53" s="2394">
        <f t="shared" si="98"/>
        <v>133069.75107552609</v>
      </c>
      <c r="BL53" s="2394">
        <f t="shared" si="98"/>
        <v>132063.57196821159</v>
      </c>
      <c r="BM53" s="2394">
        <f t="shared" si="98"/>
        <v>130983.73877872714</v>
      </c>
      <c r="BN53" s="2394">
        <f t="shared" si="98"/>
        <v>130092.62680889813</v>
      </c>
      <c r="BO53" s="2394">
        <f t="shared" si="98"/>
        <v>129072.37363150725</v>
      </c>
      <c r="BP53" s="2394">
        <f t="shared" si="98"/>
        <v>128372.41208472819</v>
      </c>
      <c r="BQ53" s="2394">
        <f t="shared" si="98"/>
        <v>127612.99509804499</v>
      </c>
      <c r="BR53" s="2394">
        <f t="shared" si="98"/>
        <v>127025.33507675672</v>
      </c>
      <c r="BS53" s="2394">
        <f t="shared" si="98"/>
        <v>126323.76933355199</v>
      </c>
      <c r="BT53" s="2394">
        <f t="shared" si="98"/>
        <v>126061.29963720351</v>
      </c>
      <c r="BU53" s="2394">
        <f t="shared" si="98"/>
        <v>125758.99314428572</v>
      </c>
      <c r="BV53" s="2394">
        <f t="shared" si="98"/>
        <v>125607.49148883716</v>
      </c>
      <c r="BW53" s="2394">
        <f t="shared" si="98"/>
        <v>125361.89769074578</v>
      </c>
      <c r="BX53" s="2394">
        <f t="shared" si="98"/>
        <v>124896.08952279836</v>
      </c>
      <c r="BY53" s="2394">
        <f t="shared" si="98"/>
        <v>124381.83028731331</v>
      </c>
      <c r="BZ53" s="2394">
        <f t="shared" si="98"/>
        <v>133251.50808108476</v>
      </c>
      <c r="CA53" s="2394">
        <f t="shared" si="98"/>
        <v>132759.41338106734</v>
      </c>
      <c r="CB53" s="2394">
        <f t="shared" si="98"/>
        <v>132318.48056150906</v>
      </c>
      <c r="CC53" s="2394">
        <f t="shared" si="98"/>
        <v>131828.51166169724</v>
      </c>
      <c r="CD53" s="2394">
        <f t="shared" si="98"/>
        <v>128929.21798149546</v>
      </c>
      <c r="CE53" s="2394">
        <f t="shared" ref="CE53:DJ53" si="99">CE$122</f>
        <v>128507.24095138341</v>
      </c>
      <c r="CF53" s="2394">
        <f t="shared" si="99"/>
        <v>128033.88186104895</v>
      </c>
      <c r="CG53" s="2394">
        <f t="shared" si="99"/>
        <v>127511.03569455992</v>
      </c>
      <c r="CH53" s="2394">
        <f t="shared" si="99"/>
        <v>118319.46457565539</v>
      </c>
      <c r="CI53" s="2394">
        <f t="shared" si="99"/>
        <v>117886.57385782884</v>
      </c>
      <c r="CJ53" s="2394">
        <f t="shared" si="99"/>
        <v>117418.93619039399</v>
      </c>
      <c r="CK53" s="2394">
        <f>CK$122</f>
        <v>116904.45084481187</v>
      </c>
      <c r="CL53" s="2394">
        <f t="shared" ca="1" si="99"/>
        <v>115270.88619314223</v>
      </c>
      <c r="CM53" s="2394">
        <f t="shared" ca="1" si="99"/>
        <v>114814.30263507871</v>
      </c>
      <c r="CN53" s="2394">
        <f t="shared" ca="1" si="99"/>
        <v>114362.39000191793</v>
      </c>
      <c r="CO53" s="2394">
        <f t="shared" ca="1" si="99"/>
        <v>113865.00424360941</v>
      </c>
      <c r="CP53" s="2394">
        <f t="shared" ca="1" si="99"/>
        <v>115085.12832009835</v>
      </c>
      <c r="CQ53" s="2394">
        <f t="shared" ca="1" si="99"/>
        <v>114633.06717793335</v>
      </c>
      <c r="CR53" s="2394">
        <f t="shared" ca="1" si="99"/>
        <v>114281.38447811644</v>
      </c>
      <c r="CS53" s="2394">
        <f t="shared" ca="1" si="99"/>
        <v>113888.6223488445</v>
      </c>
      <c r="CT53" s="2394">
        <f t="shared" ca="1" si="99"/>
        <v>116330.69440364877</v>
      </c>
      <c r="CU53" s="2394">
        <f t="shared" ca="1" si="99"/>
        <v>115981.28161433071</v>
      </c>
      <c r="CV53" s="2394">
        <f t="shared" ca="1" si="99"/>
        <v>115399.02838977661</v>
      </c>
      <c r="CW53" s="2394">
        <f t="shared" ca="1" si="99"/>
        <v>114765.37875521831</v>
      </c>
      <c r="CX53" s="2394">
        <f t="shared" ca="1" si="99"/>
        <v>104618.71091854967</v>
      </c>
      <c r="CY53" s="2394">
        <f t="shared" ca="1" si="99"/>
        <v>104086.24813553962</v>
      </c>
      <c r="CZ53" s="2394">
        <f t="shared" ca="1" si="99"/>
        <v>103557.59169818764</v>
      </c>
      <c r="DA53" s="2394">
        <f t="shared" ca="1" si="99"/>
        <v>102982.54431794748</v>
      </c>
      <c r="DB53" s="2394">
        <f t="shared" ca="1" si="99"/>
        <v>88126.85384168569</v>
      </c>
      <c r="DC53" s="2394">
        <f t="shared" ca="1" si="99"/>
        <v>87672.757487581111</v>
      </c>
      <c r="DD53" s="2394">
        <f t="shared" ca="1" si="99"/>
        <v>87338.822837010564</v>
      </c>
      <c r="DE53" s="2394">
        <f t="shared" ca="1" si="99"/>
        <v>86970.648836566805</v>
      </c>
      <c r="DF53" s="2394">
        <f t="shared" ca="1" si="99"/>
        <v>79883.917745692263</v>
      </c>
      <c r="DG53" s="2394">
        <f t="shared" ca="1" si="99"/>
        <v>79580.970210527477</v>
      </c>
      <c r="DH53" s="2394">
        <f t="shared" ca="1" si="99"/>
        <v>81006.94197256559</v>
      </c>
      <c r="DI53" s="2394">
        <f t="shared" ca="1" si="99"/>
        <v>82476.927161115644</v>
      </c>
      <c r="DJ53" s="2394">
        <f t="shared" ca="1" si="99"/>
        <v>82860.715226921864</v>
      </c>
      <c r="DK53" s="2394">
        <f t="shared" ref="DK53:EP53" ca="1" si="100">DK$122</f>
        <v>84346.763750329803</v>
      </c>
      <c r="DL53" s="2394">
        <f t="shared" ca="1" si="100"/>
        <v>84490.118958649662</v>
      </c>
      <c r="DM53" s="2394">
        <f t="shared" ca="1" si="100"/>
        <v>84620.711833963243</v>
      </c>
      <c r="DN53" s="2394">
        <f t="shared" ca="1" si="100"/>
        <v>86111.290281068024</v>
      </c>
      <c r="DO53" s="2394">
        <f t="shared" ca="1" si="100"/>
        <v>86282.348267450783</v>
      </c>
      <c r="DP53" s="2394">
        <f t="shared" ca="1" si="100"/>
        <v>86167.693205226155</v>
      </c>
      <c r="DQ53" s="2394">
        <f t="shared" ca="1" si="100"/>
        <v>86028.634917325879</v>
      </c>
      <c r="DR53" s="2394">
        <f t="shared" ca="1" si="100"/>
        <v>88123.982674915474</v>
      </c>
      <c r="DS53" s="2394">
        <f t="shared" ca="1" si="100"/>
        <v>88021.185502843029</v>
      </c>
      <c r="DT53" s="2394">
        <f t="shared" ca="1" si="100"/>
        <v>87783.402211960187</v>
      </c>
      <c r="DU53" s="2394">
        <f t="shared" ca="1" si="100"/>
        <v>87515.476900405018</v>
      </c>
      <c r="DV53" s="2394">
        <f t="shared" ca="1" si="100"/>
        <v>88380.493348685268</v>
      </c>
      <c r="DW53" s="2394">
        <f t="shared" ca="1" si="100"/>
        <v>88149.39092429039</v>
      </c>
      <c r="DX53" s="2394">
        <f t="shared" ca="1" si="100"/>
        <v>88475.860285290692</v>
      </c>
      <c r="DY53" s="2394">
        <f t="shared" ca="1" si="100"/>
        <v>88796.663750111969</v>
      </c>
      <c r="DZ53" s="2394">
        <f t="shared" ca="1" si="100"/>
        <v>89361.376753496748</v>
      </c>
      <c r="EA53" s="2394">
        <f t="shared" ca="1" si="100"/>
        <v>89722.511990339874</v>
      </c>
      <c r="EB53" s="2394">
        <f t="shared" ca="1" si="100"/>
        <v>89468.076223303535</v>
      </c>
      <c r="EC53" s="2394">
        <f t="shared" ca="1" si="100"/>
        <v>89182.392231340942</v>
      </c>
      <c r="ED53" s="2394">
        <f t="shared" ca="1" si="100"/>
        <v>89842.476397857667</v>
      </c>
      <c r="EE53" s="2394">
        <f t="shared" ca="1" si="100"/>
        <v>89594.753278538454</v>
      </c>
      <c r="EF53" s="2394">
        <f t="shared" ca="1" si="100"/>
        <v>89151.771923881344</v>
      </c>
      <c r="EG53" s="2394">
        <f t="shared" ca="1" si="100"/>
        <v>88669.382739718218</v>
      </c>
      <c r="EH53" s="2394">
        <f t="shared" ca="1" si="100"/>
        <v>88678.221768227944</v>
      </c>
      <c r="EI53" s="2394">
        <f t="shared" ca="1" si="100"/>
        <v>88234.127368004338</v>
      </c>
      <c r="EJ53" s="2394">
        <f t="shared" ca="1" si="100"/>
        <v>87696.038542320064</v>
      </c>
      <c r="EK53" s="2394">
        <f t="shared" ca="1" si="100"/>
        <v>87114.717758796847</v>
      </c>
      <c r="EL53" s="2394">
        <f t="shared" ca="1" si="100"/>
        <v>86582.670271045587</v>
      </c>
      <c r="EM53" s="2394">
        <f t="shared" ca="1" si="100"/>
        <v>86041.324824718118</v>
      </c>
      <c r="EN53" s="2394">
        <f t="shared" ca="1" si="100"/>
        <v>85481.731521252383</v>
      </c>
      <c r="EO53" s="2394">
        <f t="shared" ca="1" si="100"/>
        <v>84878.465982909867</v>
      </c>
      <c r="EP53" s="2394">
        <f t="shared" ca="1" si="100"/>
        <v>85165.615963087679</v>
      </c>
      <c r="EQ53" s="2394">
        <f t="shared" ref="EQ53:FV53" ca="1" si="101">EQ$122</f>
        <v>84595.727637530348</v>
      </c>
      <c r="ER53" s="2394">
        <f t="shared" ca="1" si="101"/>
        <v>84010.578773293222</v>
      </c>
      <c r="ES53" s="2394">
        <f t="shared" ca="1" si="101"/>
        <v>83380.973251573494</v>
      </c>
      <c r="ET53" s="2394">
        <f t="shared" ca="1" si="101"/>
        <v>83200.057035041391</v>
      </c>
      <c r="EU53" s="2394">
        <f t="shared" ca="1" si="101"/>
        <v>82605.976970347576</v>
      </c>
      <c r="EV53" s="2394">
        <f t="shared" ca="1" si="101"/>
        <v>82180.750890153533</v>
      </c>
      <c r="EW53" s="2394">
        <f t="shared" ca="1" si="101"/>
        <v>81718.46138754343</v>
      </c>
      <c r="EX53" s="2394">
        <f t="shared" ca="1" si="101"/>
        <v>81279.507026235966</v>
      </c>
      <c r="EY53" s="2394">
        <f t="shared" ca="1" si="101"/>
        <v>80854.694889707243</v>
      </c>
      <c r="EZ53" s="2394">
        <f t="shared" ca="1" si="101"/>
        <v>80199.756912828045</v>
      </c>
      <c r="FA53" s="2394">
        <f t="shared" ca="1" si="101"/>
        <v>79498.173580259521</v>
      </c>
      <c r="FB53" s="2394">
        <f t="shared" ca="1" si="101"/>
        <v>79616.889887920508</v>
      </c>
      <c r="FC53" s="2394">
        <f t="shared" ca="1" si="101"/>
        <v>78945.5636079252</v>
      </c>
      <c r="FD53" s="2394">
        <f t="shared" ca="1" si="101"/>
        <v>78446.396700436555</v>
      </c>
      <c r="FE53" s="2394">
        <f t="shared" ca="1" si="101"/>
        <v>77907.779218070733</v>
      </c>
      <c r="FF53" s="2394">
        <f t="shared" ca="1" si="101"/>
        <v>77768.964010761469</v>
      </c>
      <c r="FG53" s="2394">
        <f t="shared" ca="1" si="101"/>
        <v>77263.819198853875</v>
      </c>
      <c r="FH53" s="2394">
        <f t="shared" ca="1" si="101"/>
        <v>76537.442788512519</v>
      </c>
      <c r="FI53" s="2394">
        <f t="shared" ca="1" si="101"/>
        <v>75762.126892435976</v>
      </c>
      <c r="FJ53" s="2394">
        <f t="shared" ca="1" si="101"/>
        <v>75006.160976961546</v>
      </c>
      <c r="FK53" s="2394">
        <f t="shared" ca="1" si="101"/>
        <v>74266.354707238381</v>
      </c>
      <c r="FL53" s="2394">
        <f t="shared" ca="1" si="101"/>
        <v>73530.978361200061</v>
      </c>
      <c r="FM53" s="2394">
        <f t="shared" ca="1" si="101"/>
        <v>72746.946458707855</v>
      </c>
      <c r="FN53" s="2394">
        <f t="shared" ca="1" si="101"/>
        <v>72702.489209761698</v>
      </c>
      <c r="FO53" s="2394">
        <f t="shared" ca="1" si="101"/>
        <v>71945.137598803267</v>
      </c>
      <c r="FP53" s="2394">
        <f t="shared" ca="1" si="101"/>
        <v>71133.269952830204</v>
      </c>
      <c r="FQ53" s="2394">
        <f t="shared" ca="1" si="101"/>
        <v>70269.94735370118</v>
      </c>
      <c r="FR53" s="2394">
        <f t="shared" ca="1" si="101"/>
        <v>69766.511204685405</v>
      </c>
      <c r="FS53" s="2394">
        <f t="shared" ca="1" si="101"/>
        <v>68932.389979326399</v>
      </c>
      <c r="FT53" s="2394">
        <f t="shared" ca="1" si="101"/>
        <v>68017.731181318159</v>
      </c>
      <c r="FU53" s="2394">
        <f t="shared" ca="1" si="101"/>
        <v>67047.831531652773</v>
      </c>
      <c r="FV53" s="2394">
        <f t="shared" ca="1" si="101"/>
        <v>66092.924800692766</v>
      </c>
      <c r="FW53" s="2394">
        <f t="shared" ref="FW53:HB53" ca="1" si="102">FW$122</f>
        <v>65155.20440651122</v>
      </c>
      <c r="FX53" s="2394">
        <f t="shared" ca="1" si="102"/>
        <v>64130.006551844293</v>
      </c>
      <c r="FY53" s="2394">
        <f t="shared" ca="1" si="102"/>
        <v>63045.617552546013</v>
      </c>
      <c r="FZ53" s="2394">
        <f t="shared" ca="1" si="102"/>
        <v>62602.672112368207</v>
      </c>
      <c r="GA53" s="2394">
        <f t="shared" ca="1" si="102"/>
        <v>61538.374082971939</v>
      </c>
      <c r="GB53" s="2394">
        <f t="shared" ca="1" si="102"/>
        <v>60402.318276207676</v>
      </c>
      <c r="GC53" s="2394">
        <f t="shared" ca="1" si="102"/>
        <v>59203.07108336431</v>
      </c>
      <c r="GD53" s="2394">
        <f t="shared" ca="1" si="102"/>
        <v>58313.040069698749</v>
      </c>
      <c r="GE53" s="2394">
        <f t="shared" ca="1" si="102"/>
        <v>57137.276012455375</v>
      </c>
      <c r="GF53" s="2394">
        <f t="shared" ca="1" si="102"/>
        <v>56102.550965892995</v>
      </c>
      <c r="GG53" s="2394">
        <f t="shared" ca="1" si="102"/>
        <v>55010.026011213995</v>
      </c>
      <c r="GH53" s="2394">
        <f t="shared" ca="1" si="102"/>
        <v>53931.46403622318</v>
      </c>
      <c r="GI53" s="2394">
        <f t="shared" ca="1" si="102"/>
        <v>52866.200221396903</v>
      </c>
      <c r="GJ53" s="2394">
        <f t="shared" ca="1" si="102"/>
        <v>53828.420680339281</v>
      </c>
      <c r="GK53" s="2394">
        <f t="shared" ca="1" si="102"/>
        <v>54820.528284979679</v>
      </c>
      <c r="GL53" s="2394">
        <f t="shared" ca="1" si="102"/>
        <v>56295.057303112495</v>
      </c>
      <c r="GM53" s="2394">
        <f t="shared" ca="1" si="102"/>
        <v>57319.565429335766</v>
      </c>
      <c r="GN53" s="2394">
        <f t="shared" ca="1" si="102"/>
        <v>56691.468039119922</v>
      </c>
      <c r="GO53" s="2394">
        <f t="shared" ca="1" si="102"/>
        <v>56023.189177871718</v>
      </c>
      <c r="GP53" s="2394">
        <f t="shared" ca="1" si="102"/>
        <v>55618.890548458985</v>
      </c>
      <c r="GQ53" s="2394">
        <f t="shared" ca="1" si="102"/>
        <v>54974.20743814516</v>
      </c>
      <c r="GR53" s="2394">
        <f t="shared" ca="1" si="102"/>
        <v>54037.952334903333</v>
      </c>
      <c r="GS53" s="2394">
        <f t="shared" ca="1" si="102"/>
        <v>53048.660734194636</v>
      </c>
      <c r="GT53" s="2394">
        <f t="shared" ca="1" si="102"/>
        <v>52059.91540829443</v>
      </c>
      <c r="GU53" s="2394">
        <f t="shared" ca="1" si="102"/>
        <v>51096.948762245738</v>
      </c>
      <c r="GV53" s="2394">
        <f t="shared" ca="1" si="102"/>
        <v>49917.427873416651</v>
      </c>
      <c r="GW53" s="2394">
        <f t="shared" ca="1" si="102"/>
        <v>48675.178519906542</v>
      </c>
      <c r="GX53" s="2394">
        <f t="shared" ca="1" si="102"/>
        <v>47923.280577670019</v>
      </c>
      <c r="GY53" s="2394">
        <f t="shared" ca="1" si="102"/>
        <v>46693.846061285098</v>
      </c>
      <c r="GZ53" s="2394">
        <f t="shared" ca="1" si="102"/>
        <v>45883.274873057853</v>
      </c>
      <c r="HA53" s="2394">
        <f t="shared" ca="1" si="102"/>
        <v>45026.989599697023</v>
      </c>
      <c r="HB53" s="2394">
        <f t="shared" ca="1" si="102"/>
        <v>44386.878192885117</v>
      </c>
      <c r="HC53" s="2394">
        <f t="shared" ref="HC53:IA53" ca="1" si="103">HC$122</f>
        <v>43548.920888832043</v>
      </c>
      <c r="HD53" s="2394">
        <f t="shared" ca="1" si="103"/>
        <v>42125.342905863712</v>
      </c>
      <c r="HE53" s="2394">
        <f t="shared" ca="1" si="103"/>
        <v>40630.136487764532</v>
      </c>
      <c r="HF53" s="2394">
        <f t="shared" ca="1" si="103"/>
        <v>39159.916010201756</v>
      </c>
      <c r="HG53" s="2394">
        <f t="shared" ca="1" si="103"/>
        <v>37687.033763129344</v>
      </c>
      <c r="HH53" s="2394">
        <f t="shared" ca="1" si="103"/>
        <v>35943.90557094643</v>
      </c>
      <c r="HI53" s="2394">
        <f t="shared" ca="1" si="103"/>
        <v>34116.590791419629</v>
      </c>
      <c r="HJ53" s="2394">
        <f t="shared" ca="1" si="103"/>
        <v>32659.287366882687</v>
      </c>
      <c r="HK53" s="2394">
        <f t="shared" ca="1" si="103"/>
        <v>30834.168353520221</v>
      </c>
      <c r="HL53" s="2394">
        <f t="shared" ca="1" si="103"/>
        <v>28911.378192381508</v>
      </c>
      <c r="HM53" s="2394">
        <f t="shared" ca="1" si="103"/>
        <v>26898.141601130625</v>
      </c>
      <c r="HN53" s="2394">
        <f t="shared" ca="1" si="103"/>
        <v>25067.468873079997</v>
      </c>
      <c r="HO53" s="2394">
        <f t="shared" ca="1" si="103"/>
        <v>23062.089648608933</v>
      </c>
      <c r="HP53" s="2394">
        <f t="shared" ca="1" si="103"/>
        <v>21140.430938347599</v>
      </c>
      <c r="HQ53" s="2394">
        <f t="shared" ca="1" si="103"/>
        <v>19130.124584158173</v>
      </c>
      <c r="HR53" s="2394">
        <f t="shared" ca="1" si="103"/>
        <v>17185.182022524386</v>
      </c>
      <c r="HS53" s="2394">
        <f t="shared" ca="1" si="103"/>
        <v>15189.327341267073</v>
      </c>
      <c r="HT53" s="2394">
        <f t="shared" ca="1" si="103"/>
        <v>12934.794544655584</v>
      </c>
      <c r="HU53" s="2394">
        <f t="shared" ca="1" si="103"/>
        <v>10578.929995566998</v>
      </c>
      <c r="HV53" s="2394">
        <f t="shared" ca="1" si="103"/>
        <v>8396.8019138427735</v>
      </c>
      <c r="HW53" s="2394">
        <f t="shared" ca="1" si="103"/>
        <v>6029.0414526608665</v>
      </c>
      <c r="HX53" s="2394">
        <f t="shared" ca="1" si="103"/>
        <v>4553.496334213165</v>
      </c>
      <c r="HY53" s="2394">
        <f t="shared" ca="1" si="103"/>
        <v>3012.512359865907</v>
      </c>
      <c r="HZ53" s="2394">
        <f t="shared" ca="1" si="103"/>
        <v>1542.6285992255121</v>
      </c>
      <c r="IA53" s="2394">
        <f t="shared" ca="1" si="103"/>
        <v>1575.3821178836358</v>
      </c>
    </row>
    <row r="54" spans="3:235">
      <c r="C54" s="2466"/>
      <c r="D54" s="2481" t="s">
        <v>3936</v>
      </c>
      <c r="E54" s="2385"/>
      <c r="F54" s="2385"/>
      <c r="G54" s="2386"/>
      <c r="H54" s="2392"/>
      <c r="I54" s="2482"/>
      <c r="J54" s="2483">
        <f>Index!H109</f>
        <v>1.0662302070645553</v>
      </c>
      <c r="K54" s="2483">
        <f>Index!I109</f>
        <v>1.059531059683313</v>
      </c>
      <c r="L54" s="2483">
        <f>Index!J109</f>
        <v>1.0730816077953715</v>
      </c>
      <c r="M54" s="2483">
        <f>Index!K109</f>
        <v>1.0768879415347137</v>
      </c>
      <c r="N54" s="2483">
        <f>Index!L109</f>
        <v>1.0989646772228989</v>
      </c>
      <c r="O54" s="2483">
        <f>Index!M109</f>
        <v>1.0980511571254568</v>
      </c>
      <c r="P54" s="2483">
        <f>Index!N109</f>
        <v>1.1143422655298416</v>
      </c>
      <c r="Q54" s="2483">
        <f>Index!O109</f>
        <v>1.1096224116930571</v>
      </c>
      <c r="R54" s="2483">
        <f>Index!P109</f>
        <v>1.131851400730816</v>
      </c>
      <c r="S54" s="2483">
        <f>Index!Q109</f>
        <v>1.1283495736906211</v>
      </c>
      <c r="T54" s="2483">
        <f>Index!R109</f>
        <v>1.1420523751522533</v>
      </c>
      <c r="U54" s="2483">
        <f>Index!S109</f>
        <v>1.1387028014616321</v>
      </c>
      <c r="V54" s="2483">
        <f>Index!T109</f>
        <v>1.1545371498172958</v>
      </c>
      <c r="W54" s="2483">
        <f>Index!U109</f>
        <v>1.1556029232643117</v>
      </c>
      <c r="X54" s="2483">
        <f>Index!V109</f>
        <v>1.1703714981729598</v>
      </c>
      <c r="Y54" s="2483">
        <f>Index!W109</f>
        <v>1.1624543239951277</v>
      </c>
      <c r="Z54" s="2483">
        <f>Index!X109</f>
        <v>1.1793544457978073</v>
      </c>
      <c r="AA54" s="2483">
        <f>Index!Y109</f>
        <v>1.1851400730816077</v>
      </c>
      <c r="AB54" s="2483">
        <f>Index!Z109</f>
        <v>1.1976248477466502</v>
      </c>
      <c r="AC54" s="2483">
        <f>Index!AA109</f>
        <v>1.2043239951278926</v>
      </c>
      <c r="AD54" s="2483">
        <f>Index!AB109</f>
        <v>1.2259439707673567</v>
      </c>
      <c r="AE54" s="2483">
        <f>Index!AC109</f>
        <v>1.2507612667478685</v>
      </c>
      <c r="AF54" s="2483">
        <f>Index!AD109</f>
        <v>1.2586784409257004</v>
      </c>
      <c r="AG54" s="2483">
        <f>Index!AE109</f>
        <v>1.2542630937880632</v>
      </c>
      <c r="AH54" s="2483">
        <f>Index!AF109</f>
        <v>1.2734470158343483</v>
      </c>
      <c r="AI54" s="2483">
        <f>Index!AG109</f>
        <v>1.2757308160779537</v>
      </c>
      <c r="AJ54" s="2483">
        <f>Index!AH109</f>
        <v>1.2859317904993908</v>
      </c>
      <c r="AK54" s="2483">
        <f>Index!AI109</f>
        <v>1.289281364190012</v>
      </c>
      <c r="AL54" s="2483">
        <f>Index!AJ109</f>
        <v>1.3048112058465284</v>
      </c>
      <c r="AM54" s="2483">
        <f>Index!AK109</f>
        <v>1.309987819732034</v>
      </c>
      <c r="AN54" s="2483">
        <f>Index!AL109</f>
        <v>1.3297807551766139</v>
      </c>
      <c r="AO54" s="2483">
        <f>Index!AM109</f>
        <v>1.3284104750304506</v>
      </c>
      <c r="AP54" s="2483">
        <f>Index!AN109</f>
        <v>1.3587088915956149</v>
      </c>
      <c r="AQ54" s="2483">
        <f>Index!AO109</f>
        <v>1.3652557856272838</v>
      </c>
      <c r="AR54" s="2483">
        <f>Index!AP109</f>
        <v>1.3797198538367843</v>
      </c>
      <c r="AS54" s="2483">
        <f>Index!AQ109</f>
        <v>1.3836784409257001</v>
      </c>
      <c r="AT54" s="2483">
        <f>Index!AR109</f>
        <v>1.3947929354445796</v>
      </c>
      <c r="AU54" s="2483">
        <f>Index!AS109</f>
        <v>1.3952496954933007</v>
      </c>
      <c r="AV54" s="2483">
        <f>Index!AT109</f>
        <v>1.4084957369062119</v>
      </c>
      <c r="AW54" s="2483">
        <f>Index!AU109</f>
        <v>1.4034713763702802</v>
      </c>
      <c r="AX54" s="2483">
        <f>Index!AV109</f>
        <v>1.4151948842874542</v>
      </c>
      <c r="AY54" s="2483">
        <f>Index!AW109</f>
        <v>1.4115408038976855</v>
      </c>
      <c r="AZ54" s="2483">
        <f>Index!AX109</f>
        <v>1.4223507917174176</v>
      </c>
      <c r="BA54" s="2483">
        <f>Index!AY109</f>
        <v>1.4194579780755177</v>
      </c>
      <c r="BB54" s="2483">
        <f>Index!AZ109</f>
        <v>1.4334652862362971</v>
      </c>
      <c r="BC54" s="2483">
        <f>Index!BA109</f>
        <v>1.434987819732034</v>
      </c>
      <c r="BD54" s="2483">
        <f>Index!BB109</f>
        <v>1.4386419001218025</v>
      </c>
      <c r="BE54" s="2483">
        <f>Index!BC109</f>
        <v>1.4313337393422654</v>
      </c>
      <c r="BF54" s="2483">
        <f>Index!BD109</f>
        <v>1.4403166869671131</v>
      </c>
      <c r="BG54" s="2483">
        <f>Index!BE109</f>
        <v>1.4450365408038974</v>
      </c>
      <c r="BH54" s="2483">
        <f>Index!BF109</f>
        <v>1.4459500609013396</v>
      </c>
      <c r="BI54" s="2483">
        <f>Index!BG109</f>
        <v>1.4474725943970765</v>
      </c>
      <c r="BJ54" s="2483">
        <f>Index!BH109</f>
        <v>1.4523447015834348</v>
      </c>
      <c r="BK54" s="2483">
        <f>Index!BI109</f>
        <v>1.4556942752740558</v>
      </c>
      <c r="BL54" s="2483">
        <f>Index!BJ109</f>
        <v>1.465438489646772</v>
      </c>
      <c r="BM54" s="2483">
        <f>Index!BK109</f>
        <v>1.4668087697929353</v>
      </c>
      <c r="BN54" s="2483">
        <f>Index!BL109</f>
        <v>1.485535931790499</v>
      </c>
      <c r="BO54" s="2483">
        <f>Index!BM109</f>
        <v>1.4820341047503045</v>
      </c>
      <c r="BP54" s="2483">
        <f>Index!BN109</f>
        <v>1.4946711327649207</v>
      </c>
      <c r="BQ54" s="2483">
        <f>Index!BO109</f>
        <v>1.4875152253349573</v>
      </c>
      <c r="BR54" s="2483">
        <f>Index!BP109</f>
        <v>1.5035018270401947</v>
      </c>
      <c r="BS54" s="2483">
        <f>Index!BQ109</f>
        <v>1.5039585870889158</v>
      </c>
      <c r="BT54" s="2483">
        <f>Index!BR109</f>
        <v>1.5258830694275272</v>
      </c>
      <c r="BU54" s="2483">
        <f>Index!BS109</f>
        <v>1.5071559074299632</v>
      </c>
      <c r="BV54" s="2483">
        <f>Index!BT109</f>
        <v>1.5091352009744214</v>
      </c>
      <c r="BW54" s="2483">
        <f>Index!BU109</f>
        <v>1.5147685749086477</v>
      </c>
      <c r="BX54" s="2483">
        <f>Index!BV109</f>
        <v>1.5193361753958587</v>
      </c>
      <c r="BY54" s="2483">
        <f>Index!BW109</f>
        <v>1.5182704019488427</v>
      </c>
      <c r="BZ54" s="2483">
        <f>Index!BX109</f>
        <v>1.5216199756394639</v>
      </c>
      <c r="CA54" s="2483">
        <f>Index!BY109</f>
        <v>1.518118148599269</v>
      </c>
      <c r="CB54" s="2483">
        <f>Index!BZ109</f>
        <v>1.533800243605359</v>
      </c>
      <c r="CC54" s="2483">
        <f>Index!CA109</f>
        <v>1.5275578562728378</v>
      </c>
      <c r="CD54" s="2483">
        <f>Index!CB109</f>
        <v>1.5505481120584652</v>
      </c>
      <c r="CE54" s="2483">
        <f>Index!CC109</f>
        <v>1.5537454323995126</v>
      </c>
      <c r="CF54" s="2483">
        <f>Index!CD109</f>
        <v>1.5707978075517659</v>
      </c>
      <c r="CG54" s="2483">
        <f>Index!CE109</f>
        <v>1.5840438489646771</v>
      </c>
      <c r="CH54" s="2465">
        <f t="shared" ref="CH54:DM54" ca="1" si="104">CG54*(1+$G$28)</f>
        <v>1.5899508893593055</v>
      </c>
      <c r="CI54" s="2465">
        <f t="shared" ca="1" si="104"/>
        <v>1.5958799576329263</v>
      </c>
      <c r="CJ54" s="2465">
        <f t="shared" ca="1" si="104"/>
        <v>1.6018311359294597</v>
      </c>
      <c r="CK54" s="2465">
        <f t="shared" ca="1" si="104"/>
        <v>1.6078045066991471</v>
      </c>
      <c r="CL54" s="2465">
        <f t="shared" ca="1" si="104"/>
        <v>1.613800152699695</v>
      </c>
      <c r="CM54" s="2465">
        <f t="shared" ca="1" si="104"/>
        <v>1.6198181569974202</v>
      </c>
      <c r="CN54" s="2465">
        <f t="shared" ca="1" si="104"/>
        <v>1.6258586029684015</v>
      </c>
      <c r="CO54" s="2465">
        <f t="shared" ca="1" si="104"/>
        <v>1.6319215742996342</v>
      </c>
      <c r="CP54" s="2465">
        <f t="shared" ca="1" si="104"/>
        <v>1.6380071549901902</v>
      </c>
      <c r="CQ54" s="2465">
        <f t="shared" ca="1" si="104"/>
        <v>1.6441154293523812</v>
      </c>
      <c r="CR54" s="2465">
        <f t="shared" ca="1" si="104"/>
        <v>1.6502464820129272</v>
      </c>
      <c r="CS54" s="2465">
        <f t="shared" ca="1" si="104"/>
        <v>1.6564003979141284</v>
      </c>
      <c r="CT54" s="2465">
        <f t="shared" ca="1" si="104"/>
        <v>1.6625772623150428</v>
      </c>
      <c r="CU54" s="2465">
        <f t="shared" ca="1" si="104"/>
        <v>1.6687771607926667</v>
      </c>
      <c r="CV54" s="2465">
        <f t="shared" ca="1" si="104"/>
        <v>1.6750001792431208</v>
      </c>
      <c r="CW54" s="2465">
        <f t="shared" ca="1" si="104"/>
        <v>1.6812464038828401</v>
      </c>
      <c r="CX54" s="2465">
        <f t="shared" ca="1" si="104"/>
        <v>1.6875159212497681</v>
      </c>
      <c r="CY54" s="2465">
        <f t="shared" ca="1" si="104"/>
        <v>1.6938088182045565</v>
      </c>
      <c r="CZ54" s="2465">
        <f t="shared" ca="1" si="104"/>
        <v>1.7001251819317675</v>
      </c>
      <c r="DA54" s="2465">
        <f t="shared" ca="1" si="104"/>
        <v>1.7064650999410826</v>
      </c>
      <c r="DB54" s="2465">
        <f t="shared" ca="1" si="104"/>
        <v>1.7128286600685148</v>
      </c>
      <c r="DC54" s="2465">
        <f t="shared" ca="1" si="104"/>
        <v>1.719215950477625</v>
      </c>
      <c r="DD54" s="2465">
        <f t="shared" ca="1" si="104"/>
        <v>1.7256270596607441</v>
      </c>
      <c r="DE54" s="2465">
        <f t="shared" ca="1" si="104"/>
        <v>1.732062076440199</v>
      </c>
      <c r="DF54" s="2465">
        <f t="shared" ca="1" si="104"/>
        <v>1.7385210899695425</v>
      </c>
      <c r="DG54" s="2465">
        <f t="shared" ca="1" si="104"/>
        <v>1.7450041897347892</v>
      </c>
      <c r="DH54" s="2465">
        <f t="shared" ca="1" si="104"/>
        <v>1.7515114655556552</v>
      </c>
      <c r="DI54" s="2465">
        <f t="shared" ca="1" si="104"/>
        <v>1.7580430075868019</v>
      </c>
      <c r="DJ54" s="2465">
        <f t="shared" ca="1" si="104"/>
        <v>1.7645989063190854</v>
      </c>
      <c r="DK54" s="2465">
        <f t="shared" ca="1" si="104"/>
        <v>1.771179252580811</v>
      </c>
      <c r="DL54" s="2465">
        <f t="shared" ca="1" si="104"/>
        <v>1.7777841375389898</v>
      </c>
      <c r="DM54" s="2465">
        <f t="shared" ca="1" si="104"/>
        <v>1.7844136527006036</v>
      </c>
      <c r="DN54" s="2465">
        <f t="shared" ref="DN54:ES54" ca="1" si="105">DM54*(1+$G$28)</f>
        <v>1.7910678899138714</v>
      </c>
      <c r="DO54" s="2465">
        <f t="shared" ca="1" si="105"/>
        <v>1.7977469413695228</v>
      </c>
      <c r="DP54" s="2465">
        <f t="shared" ca="1" si="105"/>
        <v>1.8044508996020745</v>
      </c>
      <c r="DQ54" s="2465">
        <f t="shared" ca="1" si="105"/>
        <v>1.8111798574911124</v>
      </c>
      <c r="DR54" s="2465">
        <f t="shared" ca="1" si="105"/>
        <v>1.8179339082625794</v>
      </c>
      <c r="DS54" s="2465">
        <f t="shared" ca="1" si="105"/>
        <v>1.8247131454900656</v>
      </c>
      <c r="DT54" s="2465">
        <f t="shared" ca="1" si="105"/>
        <v>1.8315176630961054</v>
      </c>
      <c r="DU54" s="2465">
        <f t="shared" ca="1" si="105"/>
        <v>1.8383475553534789</v>
      </c>
      <c r="DV54" s="2465">
        <f t="shared" ca="1" si="105"/>
        <v>1.8452029168865178</v>
      </c>
      <c r="DW54" s="2465">
        <f t="shared" ca="1" si="105"/>
        <v>1.8520838426724162</v>
      </c>
      <c r="DX54" s="2465">
        <f t="shared" ca="1" si="105"/>
        <v>1.8589904280425467</v>
      </c>
      <c r="DY54" s="2465">
        <f t="shared" ca="1" si="105"/>
        <v>1.8659227686837809</v>
      </c>
      <c r="DZ54" s="2465">
        <f t="shared" ca="1" si="105"/>
        <v>1.8728809606398154</v>
      </c>
      <c r="EA54" s="2465">
        <f t="shared" ca="1" si="105"/>
        <v>1.8798651003125022</v>
      </c>
      <c r="EB54" s="2465">
        <f t="shared" ca="1" si="105"/>
        <v>1.8868752844631846</v>
      </c>
      <c r="EC54" s="2465">
        <f t="shared" ca="1" si="105"/>
        <v>1.8939116102140374</v>
      </c>
      <c r="ED54" s="2465">
        <f t="shared" ca="1" si="105"/>
        <v>1.9009741750494125</v>
      </c>
      <c r="EE54" s="2465">
        <f t="shared" ca="1" si="105"/>
        <v>1.9080630768171896</v>
      </c>
      <c r="EF54" s="2465">
        <f t="shared" ca="1" si="105"/>
        <v>1.9151784137301322</v>
      </c>
      <c r="EG54" s="2465">
        <f t="shared" ca="1" si="105"/>
        <v>1.9223202843672478</v>
      </c>
      <c r="EH54" s="2465">
        <f t="shared" ca="1" si="105"/>
        <v>1.9294887876751534</v>
      </c>
      <c r="EI54" s="2465">
        <f t="shared" ca="1" si="105"/>
        <v>1.9366840229694473</v>
      </c>
      <c r="EJ54" s="2465">
        <f t="shared" ca="1" si="105"/>
        <v>1.943906089936084</v>
      </c>
      <c r="EK54" s="2465">
        <f t="shared" ca="1" si="105"/>
        <v>1.9511550886327562</v>
      </c>
      <c r="EL54" s="2465">
        <f t="shared" ca="1" si="105"/>
        <v>1.9584311194902804</v>
      </c>
      <c r="EM54" s="2465">
        <f t="shared" ca="1" si="105"/>
        <v>1.9657342833139886</v>
      </c>
      <c r="EN54" s="2465">
        <f t="shared" ca="1" si="105"/>
        <v>1.9730646812851249</v>
      </c>
      <c r="EO54" s="2465">
        <f t="shared" ca="1" si="105"/>
        <v>1.9804224149622471</v>
      </c>
      <c r="EP54" s="2465">
        <f t="shared" ca="1" si="105"/>
        <v>1.9878075862826343</v>
      </c>
      <c r="EQ54" s="2465">
        <f t="shared" ca="1" si="105"/>
        <v>1.9952202975636981</v>
      </c>
      <c r="ER54" s="2465">
        <f t="shared" ca="1" si="105"/>
        <v>2.0026606515044016</v>
      </c>
      <c r="ES54" s="2465">
        <f t="shared" ca="1" si="105"/>
        <v>2.0101287511866808</v>
      </c>
      <c r="ET54" s="2465">
        <f t="shared" ref="ET54:FY54" ca="1" si="106">ES54*(1+$G$28)</f>
        <v>2.0176247000768739</v>
      </c>
      <c r="EU54" s="2465">
        <f t="shared" ca="1" si="106"/>
        <v>2.0251486020271536</v>
      </c>
      <c r="EV54" s="2465">
        <f t="shared" ca="1" si="106"/>
        <v>2.0327005612769677</v>
      </c>
      <c r="EW54" s="2465">
        <f t="shared" ca="1" si="106"/>
        <v>2.040280682454481</v>
      </c>
      <c r="EX54" s="2465">
        <f t="shared" ca="1" si="106"/>
        <v>2.047889070578027</v>
      </c>
      <c r="EY54" s="2465">
        <f t="shared" ca="1" si="106"/>
        <v>2.0555258310575613</v>
      </c>
      <c r="EZ54" s="2465">
        <f t="shared" ca="1" si="106"/>
        <v>2.0631910696961224</v>
      </c>
      <c r="FA54" s="2465">
        <f t="shared" ca="1" si="106"/>
        <v>2.0708848926912986</v>
      </c>
      <c r="FB54" s="2465">
        <f t="shared" ca="1" si="106"/>
        <v>2.0786074066366975</v>
      </c>
      <c r="FC54" s="2465">
        <f t="shared" ca="1" si="106"/>
        <v>2.0863587185234245</v>
      </c>
      <c r="FD54" s="2465">
        <f t="shared" ca="1" si="106"/>
        <v>2.0941389357415638</v>
      </c>
      <c r="FE54" s="2465">
        <f t="shared" ca="1" si="106"/>
        <v>2.1019481660816677</v>
      </c>
      <c r="FF54" s="2465">
        <f t="shared" ca="1" si="106"/>
        <v>2.1097865177362478</v>
      </c>
      <c r="FG54" s="2465">
        <f t="shared" ca="1" si="106"/>
        <v>2.1176540993012756</v>
      </c>
      <c r="FH54" s="2465">
        <f t="shared" ca="1" si="106"/>
        <v>2.1255510197776872</v>
      </c>
      <c r="FI54" s="2465">
        <f t="shared" ca="1" si="106"/>
        <v>2.1334773885728926</v>
      </c>
      <c r="FJ54" s="2465">
        <f t="shared" ca="1" si="106"/>
        <v>2.1414333155022911</v>
      </c>
      <c r="FK54" s="2465">
        <f t="shared" ca="1" si="106"/>
        <v>2.1494189107907946</v>
      </c>
      <c r="FL54" s="2465">
        <f t="shared" ca="1" si="106"/>
        <v>2.1574342850743524</v>
      </c>
      <c r="FM54" s="2465">
        <f t="shared" ca="1" si="106"/>
        <v>2.1654795494014856</v>
      </c>
      <c r="FN54" s="2465">
        <f t="shared" ca="1" si="106"/>
        <v>2.1735548152348252</v>
      </c>
      <c r="FO54" s="2465">
        <f t="shared" ca="1" si="106"/>
        <v>2.1816601944526561</v>
      </c>
      <c r="FP54" s="2465">
        <f t="shared" ca="1" si="106"/>
        <v>2.1897957993504673</v>
      </c>
      <c r="FQ54" s="2465">
        <f t="shared" ca="1" si="106"/>
        <v>2.1979617426425078</v>
      </c>
      <c r="FR54" s="2465">
        <f t="shared" ca="1" si="106"/>
        <v>2.2061581374633477</v>
      </c>
      <c r="FS54" s="2465">
        <f t="shared" ca="1" si="106"/>
        <v>2.2143850973694459</v>
      </c>
      <c r="FT54" s="2465">
        <f t="shared" ca="1" si="106"/>
        <v>2.2226427363407244</v>
      </c>
      <c r="FU54" s="2465">
        <f t="shared" ca="1" si="106"/>
        <v>2.2309311687821451</v>
      </c>
      <c r="FV54" s="2465">
        <f t="shared" ca="1" si="106"/>
        <v>2.2392505095252977</v>
      </c>
      <c r="FW54" s="2465">
        <f t="shared" ca="1" si="106"/>
        <v>2.2476008738299877</v>
      </c>
      <c r="FX54" s="2465">
        <f t="shared" ca="1" si="106"/>
        <v>2.2559823773858354</v>
      </c>
      <c r="FY54" s="2465">
        <f t="shared" ca="1" si="106"/>
        <v>2.2643951363138775</v>
      </c>
      <c r="FZ54" s="2465">
        <f t="shared" ref="FZ54:HE54" ca="1" si="107">FY54*(1+$G$28)</f>
        <v>2.2728392671681772</v>
      </c>
      <c r="GA54" s="2465">
        <f t="shared" ca="1" si="107"/>
        <v>2.2813148869374373</v>
      </c>
      <c r="GB54" s="2465">
        <f t="shared" ca="1" si="107"/>
        <v>2.2898221130466228</v>
      </c>
      <c r="GC54" s="2465">
        <f t="shared" ca="1" si="107"/>
        <v>2.2983610633585858</v>
      </c>
      <c r="GD54" s="2465">
        <f t="shared" ca="1" si="107"/>
        <v>2.3069318561756997</v>
      </c>
      <c r="GE54" s="2465">
        <f t="shared" ca="1" si="107"/>
        <v>2.3155346102414986</v>
      </c>
      <c r="GF54" s="2465">
        <f t="shared" ca="1" si="107"/>
        <v>2.3241694447423216</v>
      </c>
      <c r="GG54" s="2465">
        <f t="shared" ca="1" si="107"/>
        <v>2.332836479308964</v>
      </c>
      <c r="GH54" s="2465">
        <f t="shared" ca="1" si="107"/>
        <v>2.3415358340183348</v>
      </c>
      <c r="GI54" s="2465">
        <f t="shared" ca="1" si="107"/>
        <v>2.350267629395121</v>
      </c>
      <c r="GJ54" s="2465">
        <f t="shared" ca="1" si="107"/>
        <v>2.3590319864134566</v>
      </c>
      <c r="GK54" s="2465">
        <f t="shared" ca="1" si="107"/>
        <v>2.3678290264985984</v>
      </c>
      <c r="GL54" s="2465">
        <f t="shared" ca="1" si="107"/>
        <v>2.3766588715286097</v>
      </c>
      <c r="GM54" s="2465">
        <f t="shared" ca="1" si="107"/>
        <v>2.3855216438360474</v>
      </c>
      <c r="GN54" s="2465">
        <f t="shared" ca="1" si="107"/>
        <v>2.3944174662096578</v>
      </c>
      <c r="GO54" s="2465">
        <f t="shared" ca="1" si="107"/>
        <v>2.4033464618960769</v>
      </c>
      <c r="GP54" s="2465">
        <f t="shared" ca="1" si="107"/>
        <v>2.4123087546015385</v>
      </c>
      <c r="GQ54" s="2465">
        <f t="shared" ca="1" si="107"/>
        <v>2.421304468493588</v>
      </c>
      <c r="GR54" s="2465">
        <f t="shared" ca="1" si="107"/>
        <v>2.4303337282028026</v>
      </c>
      <c r="GS54" s="2465">
        <f t="shared" ca="1" si="107"/>
        <v>2.4393966588245179</v>
      </c>
      <c r="GT54" s="2465">
        <f t="shared" ca="1" si="107"/>
        <v>2.4484933859205613</v>
      </c>
      <c r="GU54" s="2465">
        <f t="shared" ca="1" si="107"/>
        <v>2.4576240355209915</v>
      </c>
      <c r="GV54" s="2465">
        <f t="shared" ca="1" si="107"/>
        <v>2.4667887341258443</v>
      </c>
      <c r="GW54" s="2465">
        <f t="shared" ca="1" si="107"/>
        <v>2.4759876087068853</v>
      </c>
      <c r="GX54" s="2465">
        <f t="shared" ca="1" si="107"/>
        <v>2.4852207867093696</v>
      </c>
      <c r="GY54" s="2465">
        <f t="shared" ca="1" si="107"/>
        <v>2.4944883960538062</v>
      </c>
      <c r="GZ54" s="2465">
        <f t="shared" ca="1" si="107"/>
        <v>2.5037905651377317</v>
      </c>
      <c r="HA54" s="2465">
        <f t="shared" ca="1" si="107"/>
        <v>2.5131274228374885</v>
      </c>
      <c r="HB54" s="2465">
        <f t="shared" ca="1" si="107"/>
        <v>2.5224990985100098</v>
      </c>
      <c r="HC54" s="2465">
        <f t="shared" ca="1" si="107"/>
        <v>2.5319057219946131</v>
      </c>
      <c r="HD54" s="2465">
        <f t="shared" ca="1" si="107"/>
        <v>2.5413474236147975</v>
      </c>
      <c r="HE54" s="2465">
        <f t="shared" ca="1" si="107"/>
        <v>2.5508243341800507</v>
      </c>
      <c r="HF54" s="2465">
        <f t="shared" ref="HF54:IA54" ca="1" si="108">HE54*(1+$G$28)</f>
        <v>2.56033658498766</v>
      </c>
      <c r="HG54" s="2465">
        <f t="shared" ca="1" si="108"/>
        <v>2.5698843078245321</v>
      </c>
      <c r="HH54" s="2465">
        <f t="shared" ca="1" si="108"/>
        <v>2.5794676349690193</v>
      </c>
      <c r="HI54" s="2465">
        <f t="shared" ca="1" si="108"/>
        <v>2.5890866991927513</v>
      </c>
      <c r="HJ54" s="2465">
        <f t="shared" ca="1" si="108"/>
        <v>2.5987416337624745</v>
      </c>
      <c r="HK54" s="2465">
        <f t="shared" ca="1" si="108"/>
        <v>2.6084325724418997</v>
      </c>
      <c r="HL54" s="2465">
        <f t="shared" ca="1" si="108"/>
        <v>2.6181596494935544</v>
      </c>
      <c r="HM54" s="2465">
        <f t="shared" ca="1" si="108"/>
        <v>2.6279229996806421</v>
      </c>
      <c r="HN54" s="2465">
        <f t="shared" ca="1" si="108"/>
        <v>2.6377227582689113</v>
      </c>
      <c r="HO54" s="2465">
        <f t="shared" ca="1" si="108"/>
        <v>2.6475590610285282</v>
      </c>
      <c r="HP54" s="2465">
        <f t="shared" ca="1" si="108"/>
        <v>2.6574320442359576</v>
      </c>
      <c r="HQ54" s="2465">
        <f t="shared" ca="1" si="108"/>
        <v>2.6673418446758519</v>
      </c>
      <c r="HR54" s="2465">
        <f t="shared" ca="1" si="108"/>
        <v>2.677288599642945</v>
      </c>
      <c r="HS54" s="2465">
        <f t="shared" ca="1" si="108"/>
        <v>2.6872724469439557</v>
      </c>
      <c r="HT54" s="2465">
        <f t="shared" ca="1" si="108"/>
        <v>2.6972935248994965</v>
      </c>
      <c r="HU54" s="2465">
        <f t="shared" ca="1" si="108"/>
        <v>2.7073519723459891</v>
      </c>
      <c r="HV54" s="2465">
        <f t="shared" ca="1" si="108"/>
        <v>2.7174479286375886</v>
      </c>
      <c r="HW54" s="2465">
        <f t="shared" ca="1" si="108"/>
        <v>2.7275815336481148</v>
      </c>
      <c r="HX54" s="2465">
        <f t="shared" ca="1" si="108"/>
        <v>2.7377529277729886</v>
      </c>
      <c r="HY54" s="2465">
        <f t="shared" ca="1" si="108"/>
        <v>2.7479622519311784</v>
      </c>
      <c r="HZ54" s="2465">
        <f t="shared" ca="1" si="108"/>
        <v>2.7582096475671518</v>
      </c>
      <c r="IA54" s="2465">
        <f t="shared" ca="1" si="108"/>
        <v>2.768495256652836</v>
      </c>
    </row>
    <row r="55" spans="3:235">
      <c r="C55" s="2466"/>
      <c r="D55" s="2481" t="s">
        <v>3937</v>
      </c>
      <c r="E55" s="2385"/>
      <c r="F55" s="2385"/>
      <c r="G55" s="2386"/>
      <c r="H55" s="2392">
        <f>MAX(J55:AT55)</f>
        <v>0</v>
      </c>
      <c r="I55" s="2482"/>
      <c r="J55" s="2395">
        <f t="shared" ref="J55:BU55" si="109">J53*J54</f>
        <v>0</v>
      </c>
      <c r="K55" s="2387">
        <f t="shared" si="109"/>
        <v>0</v>
      </c>
      <c r="L55" s="2393">
        <f t="shared" si="109"/>
        <v>0</v>
      </c>
      <c r="M55" s="2395">
        <f t="shared" si="109"/>
        <v>0</v>
      </c>
      <c r="N55" s="2387">
        <f t="shared" si="109"/>
        <v>0</v>
      </c>
      <c r="O55" s="2393">
        <f t="shared" si="109"/>
        <v>0</v>
      </c>
      <c r="P55" s="2387">
        <f t="shared" si="109"/>
        <v>0</v>
      </c>
      <c r="Q55" s="2392">
        <f t="shared" si="109"/>
        <v>0</v>
      </c>
      <c r="R55" s="2395">
        <f t="shared" si="109"/>
        <v>0</v>
      </c>
      <c r="S55" s="2387">
        <f t="shared" si="109"/>
        <v>0</v>
      </c>
      <c r="T55" s="2392">
        <f t="shared" si="109"/>
        <v>0</v>
      </c>
      <c r="U55" s="2394">
        <f t="shared" si="109"/>
        <v>0</v>
      </c>
      <c r="V55" s="2394">
        <f t="shared" si="109"/>
        <v>0</v>
      </c>
      <c r="W55" s="2394">
        <f t="shared" si="109"/>
        <v>0</v>
      </c>
      <c r="X55" s="2394">
        <f t="shared" si="109"/>
        <v>0</v>
      </c>
      <c r="Y55" s="2394">
        <f t="shared" si="109"/>
        <v>0</v>
      </c>
      <c r="Z55" s="2394">
        <f t="shared" si="109"/>
        <v>0</v>
      </c>
      <c r="AA55" s="2394">
        <f t="shared" si="109"/>
        <v>0</v>
      </c>
      <c r="AB55" s="2394">
        <f t="shared" si="109"/>
        <v>0</v>
      </c>
      <c r="AC55" s="2394">
        <f t="shared" si="109"/>
        <v>0</v>
      </c>
      <c r="AD55" s="2394">
        <f t="shared" si="109"/>
        <v>0</v>
      </c>
      <c r="AE55" s="2394">
        <f t="shared" si="109"/>
        <v>0</v>
      </c>
      <c r="AF55" s="2394">
        <f t="shared" si="109"/>
        <v>0</v>
      </c>
      <c r="AG55" s="2394">
        <f t="shared" si="109"/>
        <v>0</v>
      </c>
      <c r="AH55" s="2394">
        <f t="shared" si="109"/>
        <v>0</v>
      </c>
      <c r="AI55" s="2394">
        <f t="shared" si="109"/>
        <v>0</v>
      </c>
      <c r="AJ55" s="2394">
        <f t="shared" si="109"/>
        <v>0</v>
      </c>
      <c r="AK55" s="2394">
        <f t="shared" si="109"/>
        <v>0</v>
      </c>
      <c r="AL55" s="2394">
        <f t="shared" si="109"/>
        <v>0</v>
      </c>
      <c r="AM55" s="2394">
        <f t="shared" si="109"/>
        <v>0</v>
      </c>
      <c r="AN55" s="2394">
        <f t="shared" si="109"/>
        <v>0</v>
      </c>
      <c r="AO55" s="2394">
        <f t="shared" si="109"/>
        <v>0</v>
      </c>
      <c r="AP55" s="2394">
        <f t="shared" si="109"/>
        <v>0</v>
      </c>
      <c r="AQ55" s="2394">
        <f t="shared" si="109"/>
        <v>0</v>
      </c>
      <c r="AR55" s="2394">
        <f t="shared" si="109"/>
        <v>0</v>
      </c>
      <c r="AS55" s="2394">
        <f t="shared" si="109"/>
        <v>0</v>
      </c>
      <c r="AT55" s="2394">
        <f t="shared" si="109"/>
        <v>0</v>
      </c>
      <c r="AU55" s="2394">
        <f t="shared" si="109"/>
        <v>0</v>
      </c>
      <c r="AV55" s="2394">
        <f t="shared" si="109"/>
        <v>0</v>
      </c>
      <c r="AW55" s="2394">
        <f t="shared" si="109"/>
        <v>0</v>
      </c>
      <c r="AX55" s="2394">
        <f t="shared" si="109"/>
        <v>196131.79078931714</v>
      </c>
      <c r="AY55" s="2394">
        <f t="shared" si="109"/>
        <v>198078.48644070505</v>
      </c>
      <c r="AZ55" s="2394">
        <f t="shared" si="109"/>
        <v>200028.92295200381</v>
      </c>
      <c r="BA55" s="2394">
        <f t="shared" si="109"/>
        <v>200028.65797838685</v>
      </c>
      <c r="BB55" s="2394">
        <f t="shared" si="109"/>
        <v>202618.27911974286</v>
      </c>
      <c r="BC55" s="2394">
        <f t="shared" si="109"/>
        <v>203335.08715137959</v>
      </c>
      <c r="BD55" s="2394">
        <f t="shared" si="109"/>
        <v>202709.89378981819</v>
      </c>
      <c r="BE55" s="2394">
        <f t="shared" si="109"/>
        <v>200447.93955983873</v>
      </c>
      <c r="BF55" s="2394">
        <f t="shared" si="109"/>
        <v>200739.11418793519</v>
      </c>
      <c r="BG55" s="2394">
        <f t="shared" si="109"/>
        <v>200244.6894159622</v>
      </c>
      <c r="BH55" s="2394">
        <f t="shared" si="109"/>
        <v>198381.84574011405</v>
      </c>
      <c r="BI55" s="2394">
        <f t="shared" si="109"/>
        <v>196467.56063377863</v>
      </c>
      <c r="BJ55" s="2394">
        <f t="shared" si="109"/>
        <v>195303.46373808471</v>
      </c>
      <c r="BK55" s="2394">
        <f t="shared" si="109"/>
        <v>193708.87485278695</v>
      </c>
      <c r="BL55" s="2394">
        <f t="shared" si="109"/>
        <v>193531.04144245377</v>
      </c>
      <c r="BM55" s="2394">
        <f t="shared" si="109"/>
        <v>192128.09674090394</v>
      </c>
      <c r="BN55" s="2394">
        <f t="shared" si="109"/>
        <v>193257.27158563014</v>
      </c>
      <c r="BO55" s="2394">
        <f t="shared" si="109"/>
        <v>191289.65970296765</v>
      </c>
      <c r="BP55" s="2394">
        <f t="shared" si="109"/>
        <v>191874.53858644588</v>
      </c>
      <c r="BQ55" s="2394">
        <f t="shared" si="109"/>
        <v>189826.2731589372</v>
      </c>
      <c r="BR55" s="2394">
        <f t="shared" si="109"/>
        <v>190982.82336829667</v>
      </c>
      <c r="BS55" s="2394">
        <f t="shared" si="109"/>
        <v>189985.71764263496</v>
      </c>
      <c r="BT55" s="2394">
        <f t="shared" si="109"/>
        <v>192354.80282643932</v>
      </c>
      <c r="BU55" s="2394">
        <f t="shared" si="109"/>
        <v>189538.40942985445</v>
      </c>
      <c r="BV55" s="2394">
        <f t="shared" ref="BV55:EG55" si="110">BV53*BV54</f>
        <v>189558.68691189919</v>
      </c>
      <c r="BW55" s="2394">
        <f t="shared" si="110"/>
        <v>189894.26311285468</v>
      </c>
      <c r="BX55" s="2394">
        <f t="shared" si="110"/>
        <v>189759.14697746723</v>
      </c>
      <c r="BY55" s="2394">
        <f t="shared" si="110"/>
        <v>188845.2514654519</v>
      </c>
      <c r="BZ55" s="2394">
        <f t="shared" si="110"/>
        <v>202758.15648026203</v>
      </c>
      <c r="CA55" s="2394">
        <f t="shared" si="110"/>
        <v>201544.47485119096</v>
      </c>
      <c r="CB55" s="2394">
        <f t="shared" si="110"/>
        <v>202950.11771873356</v>
      </c>
      <c r="CC55" s="2394">
        <f t="shared" si="110"/>
        <v>201375.67866958104</v>
      </c>
      <c r="CD55" s="2394">
        <f t="shared" si="110"/>
        <v>199910.95553038211</v>
      </c>
      <c r="CE55" s="2394">
        <f t="shared" si="110"/>
        <v>199667.53865847556</v>
      </c>
      <c r="CF55" s="2394">
        <f t="shared" si="110"/>
        <v>201115.34091967752</v>
      </c>
      <c r="CG55" s="2394">
        <f t="shared" si="110"/>
        <v>201983.07176708302</v>
      </c>
      <c r="CH55" s="2394">
        <f t="shared" ca="1" si="110"/>
        <v>188122.13793058012</v>
      </c>
      <c r="CI55" s="2394">
        <f t="shared" ca="1" si="110"/>
        <v>188132.82049372274</v>
      </c>
      <c r="CJ55" s="2394">
        <f t="shared" ca="1" si="110"/>
        <v>188085.30793748755</v>
      </c>
      <c r="CK55" s="2394">
        <f t="shared" ca="1" si="110"/>
        <v>187959.50292147745</v>
      </c>
      <c r="CL55" s="2394">
        <f t="shared" ca="1" si="110"/>
        <v>186024.17374032209</v>
      </c>
      <c r="CM55" s="2394">
        <f t="shared" ca="1" si="110"/>
        <v>185978.29209129725</v>
      </c>
      <c r="CN55" s="2394">
        <f t="shared" ca="1" si="110"/>
        <v>185937.07564064575</v>
      </c>
      <c r="CO55" s="2394">
        <f t="shared" ca="1" si="110"/>
        <v>185818.7569828656</v>
      </c>
      <c r="CP55" s="2394">
        <f t="shared" ca="1" si="110"/>
        <v>188510.26362128527</v>
      </c>
      <c r="CQ55" s="2394">
        <f t="shared" ca="1" si="110"/>
        <v>188469.99446122826</v>
      </c>
      <c r="CR55" s="2394">
        <f t="shared" ca="1" si="110"/>
        <v>188592.45269457839</v>
      </c>
      <c r="CS55" s="2394">
        <f t="shared" ca="1" si="110"/>
        <v>188645.15937651793</v>
      </c>
      <c r="CT55" s="2394">
        <f t="shared" ca="1" si="110"/>
        <v>193408.76742482625</v>
      </c>
      <c r="CU55" s="2394">
        <f t="shared" ca="1" si="110"/>
        <v>193546.91383745751</v>
      </c>
      <c r="CV55" s="2394">
        <f t="shared" ca="1" si="110"/>
        <v>193293.39323735781</v>
      </c>
      <c r="CW55" s="2394">
        <f t="shared" ca="1" si="110"/>
        <v>192948.88032246288</v>
      </c>
      <c r="CX55" s="2394">
        <f t="shared" ca="1" si="110"/>
        <v>176545.74033567953</v>
      </c>
      <c r="CY55" s="2394">
        <f t="shared" ca="1" si="110"/>
        <v>176302.20494580458</v>
      </c>
      <c r="CZ55" s="2394">
        <f t="shared" ca="1" si="110"/>
        <v>176060.86942629697</v>
      </c>
      <c r="DA55" s="2394">
        <f t="shared" ca="1" si="110"/>
        <v>175736.11778171323</v>
      </c>
      <c r="DB55" s="2394">
        <f t="shared" ca="1" si="110"/>
        <v>150946.20098170833</v>
      </c>
      <c r="DC55" s="2394">
        <f t="shared" ca="1" si="110"/>
        <v>150728.40309500607</v>
      </c>
      <c r="DD55" s="2394">
        <f t="shared" ca="1" si="110"/>
        <v>150714.23604646118</v>
      </c>
      <c r="DE55" s="2394">
        <f t="shared" ca="1" si="110"/>
        <v>150638.56261321527</v>
      </c>
      <c r="DF55" s="2394">
        <f t="shared" ca="1" si="110"/>
        <v>138879.87575027818</v>
      </c>
      <c r="DG55" s="2394">
        <f t="shared" ca="1" si="110"/>
        <v>138869.12644052989</v>
      </c>
      <c r="DH55" s="2394">
        <f t="shared" ca="1" si="110"/>
        <v>141884.58765455027</v>
      </c>
      <c r="DI55" s="2394">
        <f t="shared" ca="1" si="110"/>
        <v>144997.98508284535</v>
      </c>
      <c r="DJ55" s="2394">
        <f t="shared" ca="1" si="110"/>
        <v>146215.92746624351</v>
      </c>
      <c r="DK55" s="2394">
        <f t="shared" ca="1" si="110"/>
        <v>149393.23797691939</v>
      </c>
      <c r="DL55" s="2394">
        <f t="shared" ca="1" si="110"/>
        <v>150205.19326346964</v>
      </c>
      <c r="DM55" s="2394">
        <f t="shared" ca="1" si="110"/>
        <v>150998.35349776753</v>
      </c>
      <c r="DN55" s="2394">
        <f t="shared" ca="1" si="110"/>
        <v>154231.16698147336</v>
      </c>
      <c r="DO55" s="2394">
        <f t="shared" ca="1" si="110"/>
        <v>155113.8276919896</v>
      </c>
      <c r="DP55" s="2394">
        <f t="shared" ca="1" si="110"/>
        <v>155485.3715208059</v>
      </c>
      <c r="DQ55" s="2394">
        <f t="shared" ca="1" si="110"/>
        <v>155813.33072971721</v>
      </c>
      <c r="DR55" s="2394">
        <f t="shared" ca="1" si="110"/>
        <v>160203.57623587293</v>
      </c>
      <c r="DS55" s="2394">
        <f t="shared" ca="1" si="110"/>
        <v>160613.41426865727</v>
      </c>
      <c r="DT55" s="2394">
        <f t="shared" ca="1" si="110"/>
        <v>160776.8516778748</v>
      </c>
      <c r="DU55" s="2394">
        <f t="shared" ca="1" si="110"/>
        <v>160883.86301545342</v>
      </c>
      <c r="DV55" s="2394">
        <f t="shared" ca="1" si="110"/>
        <v>163079.94412286356</v>
      </c>
      <c r="DW55" s="2394">
        <f t="shared" ca="1" si="110"/>
        <v>163260.06267229276</v>
      </c>
      <c r="DX55" s="2394">
        <f t="shared" ca="1" si="110"/>
        <v>164475.77738318511</v>
      </c>
      <c r="DY55" s="2394">
        <f t="shared" ca="1" si="110"/>
        <v>165687.71667449165</v>
      </c>
      <c r="DZ55" s="2394">
        <f t="shared" ca="1" si="110"/>
        <v>167363.22113818544</v>
      </c>
      <c r="EA55" s="2394">
        <f t="shared" ca="1" si="110"/>
        <v>168666.21900300996</v>
      </c>
      <c r="EB55" s="2394">
        <f t="shared" ca="1" si="110"/>
        <v>168815.10177421974</v>
      </c>
      <c r="EC55" s="2394">
        <f t="shared" ca="1" si="110"/>
        <v>168903.56807359878</v>
      </c>
      <c r="ED55" s="2394">
        <f t="shared" ca="1" si="110"/>
        <v>170788.22745481378</v>
      </c>
      <c r="EE55" s="2394">
        <f t="shared" ca="1" si="110"/>
        <v>170952.44060732506</v>
      </c>
      <c r="EF55" s="2394">
        <f t="shared" ca="1" si="110"/>
        <v>170741.54913440961</v>
      </c>
      <c r="EG55" s="2394">
        <f t="shared" ca="1" si="110"/>
        <v>170450.95304288346</v>
      </c>
      <c r="EH55" s="2394">
        <f t="shared" ref="EH55:GS55" ca="1" si="111">EH53*EH54</f>
        <v>171103.63461276653</v>
      </c>
      <c r="EI55" s="2394">
        <f t="shared" ca="1" si="111"/>
        <v>170881.62475426524</v>
      </c>
      <c r="EJ55" s="2394">
        <f t="shared" ca="1" si="111"/>
        <v>170472.86338568552</v>
      </c>
      <c r="EK55" s="2394">
        <f t="shared" ca="1" si="111"/>
        <v>169974.3248498828</v>
      </c>
      <c r="EL55" s="2394">
        <f t="shared" ca="1" si="111"/>
        <v>169566.19586738161</v>
      </c>
      <c r="EM55" s="2394">
        <f t="shared" ca="1" si="111"/>
        <v>169134.38198970337</v>
      </c>
      <c r="EN55" s="2394">
        <f t="shared" ca="1" si="111"/>
        <v>168660.98535968046</v>
      </c>
      <c r="EO55" s="2394">
        <f t="shared" ca="1" si="111"/>
        <v>168095.21658016532</v>
      </c>
      <c r="EP55" s="2394">
        <f t="shared" ca="1" si="111"/>
        <v>169292.85750185911</v>
      </c>
      <c r="EQ55" s="2394">
        <f t="shared" ca="1" si="111"/>
        <v>168787.11286957088</v>
      </c>
      <c r="ER55" s="2394">
        <f t="shared" ca="1" si="111"/>
        <v>168244.68041938526</v>
      </c>
      <c r="ES55" s="2394">
        <f t="shared" ca="1" si="111"/>
        <v>167606.49163491547</v>
      </c>
      <c r="ET55" s="2394">
        <f t="shared" ca="1" si="111"/>
        <v>167866.49012170418</v>
      </c>
      <c r="EU55" s="2394">
        <f t="shared" ca="1" si="111"/>
        <v>167289.37878058665</v>
      </c>
      <c r="EV55" s="2394">
        <f t="shared" ca="1" si="111"/>
        <v>167048.85846057776</v>
      </c>
      <c r="EW55" s="2394">
        <f t="shared" ca="1" si="111"/>
        <v>166728.59816890725</v>
      </c>
      <c r="EX55" s="2394">
        <f t="shared" ca="1" si="111"/>
        <v>166451.41410099861</v>
      </c>
      <c r="EY55" s="2394">
        <f t="shared" ca="1" si="111"/>
        <v>166198.91390807103</v>
      </c>
      <c r="EZ55" s="2394">
        <f t="shared" ca="1" si="111"/>
        <v>165467.42225434669</v>
      </c>
      <c r="FA55" s="2394">
        <f t="shared" ca="1" si="111"/>
        <v>164631.56666390997</v>
      </c>
      <c r="FB55" s="2394">
        <f t="shared" ca="1" si="111"/>
        <v>165492.25701440996</v>
      </c>
      <c r="FC55" s="2394">
        <f t="shared" ca="1" si="111"/>
        <v>164708.76492214031</v>
      </c>
      <c r="FD55" s="2394">
        <f t="shared" ca="1" si="111"/>
        <v>164277.65369901274</v>
      </c>
      <c r="FE55" s="2394">
        <f t="shared" ca="1" si="111"/>
        <v>163758.11365091923</v>
      </c>
      <c r="FF55" s="2394">
        <f t="shared" ca="1" si="111"/>
        <v>164075.91176822002</v>
      </c>
      <c r="FG55" s="2394">
        <f t="shared" ca="1" si="111"/>
        <v>163618.04345412549</v>
      </c>
      <c r="FH55" s="2394">
        <f t="shared" ca="1" si="111"/>
        <v>162684.23957029916</v>
      </c>
      <c r="FI55" s="2394">
        <f t="shared" ca="1" si="111"/>
        <v>161636.78463520244</v>
      </c>
      <c r="FJ55" s="2394">
        <f t="shared" ca="1" si="111"/>
        <v>160620.69198399334</v>
      </c>
      <c r="FK55" s="2394">
        <f t="shared" ca="1" si="111"/>
        <v>159629.50724323513</v>
      </c>
      <c r="FL55" s="2394">
        <f t="shared" ca="1" si="111"/>
        <v>158638.25373151334</v>
      </c>
      <c r="FM55" s="2394">
        <f t="shared" ca="1" si="111"/>
        <v>157532.02483773668</v>
      </c>
      <c r="FN55" s="2394">
        <f t="shared" ca="1" si="111"/>
        <v>158022.84550143545</v>
      </c>
      <c r="FO55" s="2394">
        <f t="shared" ca="1" si="111"/>
        <v>156959.84288372824</v>
      </c>
      <c r="FP55" s="2394">
        <f t="shared" ca="1" si="111"/>
        <v>155767.33573677039</v>
      </c>
      <c r="FQ55" s="2394">
        <f t="shared" ca="1" si="111"/>
        <v>154450.65594093833</v>
      </c>
      <c r="FR55" s="2394">
        <f t="shared" ca="1" si="111"/>
        <v>153915.95641664453</v>
      </c>
      <c r="FS55" s="2394">
        <f t="shared" ca="1" si="111"/>
        <v>152642.8570962793</v>
      </c>
      <c r="FT55" s="2394">
        <f t="shared" ca="1" si="111"/>
        <v>151179.11615253281</v>
      </c>
      <c r="FU55" s="2394">
        <f t="shared" ca="1" si="111"/>
        <v>149579.09716321848</v>
      </c>
      <c r="FV55" s="2394">
        <f t="shared" ca="1" si="111"/>
        <v>147998.61553596845</v>
      </c>
      <c r="FW55" s="2394">
        <f t="shared" ca="1" si="111"/>
        <v>146442.8943586461</v>
      </c>
      <c r="FX55" s="2394">
        <f t="shared" ca="1" si="111"/>
        <v>144676.16464259889</v>
      </c>
      <c r="FY55" s="2394">
        <f t="shared" ca="1" si="111"/>
        <v>142760.18975189002</v>
      </c>
      <c r="FZ55" s="2394">
        <f t="shared" ca="1" si="111"/>
        <v>142285.81140664464</v>
      </c>
      <c r="GA55" s="2394">
        <f t="shared" ca="1" si="111"/>
        <v>140388.40891340884</v>
      </c>
      <c r="GB55" s="2394">
        <f t="shared" ca="1" si="111"/>
        <v>138310.56406814049</v>
      </c>
      <c r="GC55" s="2394">
        <f t="shared" ca="1" si="111"/>
        <v>136070.03340925515</v>
      </c>
      <c r="GD55" s="2394">
        <f t="shared" ca="1" si="111"/>
        <v>134524.20976723809</v>
      </c>
      <c r="GE55" s="2394">
        <f t="shared" ca="1" si="111"/>
        <v>132303.34014176179</v>
      </c>
      <c r="GF55" s="2394">
        <f t="shared" ca="1" si="111"/>
        <v>130391.83472702732</v>
      </c>
      <c r="GG55" s="2394">
        <f t="shared" ca="1" si="111"/>
        <v>128329.39540669498</v>
      </c>
      <c r="GH55" s="2394">
        <f t="shared" ca="1" si="111"/>
        <v>126282.45562188767</v>
      </c>
      <c r="GI55" s="2394">
        <f t="shared" ca="1" si="111"/>
        <v>124249.71906947032</v>
      </c>
      <c r="GJ55" s="2394">
        <f t="shared" ca="1" si="111"/>
        <v>126982.96616303996</v>
      </c>
      <c r="GK55" s="2394">
        <f t="shared" ca="1" si="111"/>
        <v>129805.63812116231</v>
      </c>
      <c r="GL55" s="2394">
        <f t="shared" ca="1" si="111"/>
        <v>133794.14736265375</v>
      </c>
      <c r="GM55" s="2394">
        <f t="shared" ca="1" si="111"/>
        <v>136737.06394695691</v>
      </c>
      <c r="GN55" s="2394">
        <f t="shared" ca="1" si="111"/>
        <v>135743.04125793531</v>
      </c>
      <c r="GO55" s="2394">
        <f t="shared" ca="1" si="111"/>
        <v>134643.13349477257</v>
      </c>
      <c r="GP55" s="2394">
        <f t="shared" ca="1" si="111"/>
        <v>134169.93659127239</v>
      </c>
      <c r="GQ55" s="2394">
        <f t="shared" ca="1" si="111"/>
        <v>133109.29412187432</v>
      </c>
      <c r="GR55" s="2394">
        <f t="shared" ca="1" si="111"/>
        <v>131330.25816253095</v>
      </c>
      <c r="GS55" s="2394">
        <f t="shared" ca="1" si="111"/>
        <v>129406.72575010979</v>
      </c>
      <c r="GT55" s="2394">
        <f t="shared" ref="GT55:IA55" ca="1" si="112">GT53*GT54</f>
        <v>127468.35854879284</v>
      </c>
      <c r="GU55" s="2394">
        <f t="shared" ca="1" si="112"/>
        <v>125577.0894198797</v>
      </c>
      <c r="GV55" s="2394">
        <f t="shared" ca="1" si="112"/>
        <v>123135.74871468359</v>
      </c>
      <c r="GW55" s="2394">
        <f t="shared" ca="1" si="112"/>
        <v>120519.13886688414</v>
      </c>
      <c r="GX55" s="2394">
        <f t="shared" ca="1" si="112"/>
        <v>119099.93305893094</v>
      </c>
      <c r="GY55" s="2394">
        <f t="shared" ca="1" si="112"/>
        <v>116477.2571669984</v>
      </c>
      <c r="GZ55" s="2394">
        <f t="shared" ca="1" si="112"/>
        <v>114882.1107247834</v>
      </c>
      <c r="HA55" s="2394">
        <f t="shared" ca="1" si="112"/>
        <v>113158.56233081697</v>
      </c>
      <c r="HB55" s="2394">
        <f t="shared" ca="1" si="112"/>
        <v>111965.86022722632</v>
      </c>
      <c r="HC55" s="2394">
        <f t="shared" ca="1" si="112"/>
        <v>110261.76198512458</v>
      </c>
      <c r="HD55" s="2394">
        <f t="shared" ca="1" si="112"/>
        <v>107055.13166270663</v>
      </c>
      <c r="HE55" s="2394">
        <f t="shared" ca="1" si="112"/>
        <v>103640.34085404655</v>
      </c>
      <c r="HF55" s="2394">
        <f t="shared" ca="1" si="112"/>
        <v>100262.56562596356</v>
      </c>
      <c r="HG55" s="2394">
        <f t="shared" ca="1" si="112"/>
        <v>96851.316676319431</v>
      </c>
      <c r="HH55" s="2394">
        <f t="shared" ca="1" si="112"/>
        <v>92716.141094638951</v>
      </c>
      <c r="HI55" s="2394">
        <f t="shared" ca="1" si="112"/>
        <v>88330.811439866462</v>
      </c>
      <c r="HJ55" s="2394">
        <f t="shared" ca="1" si="112"/>
        <v>84873.049809330856</v>
      </c>
      <c r="HK55" s="2394">
        <f t="shared" ca="1" si="112"/>
        <v>80428.849077479361</v>
      </c>
      <c r="HL55" s="2394">
        <f t="shared" ca="1" si="112"/>
        <v>75694.603794541166</v>
      </c>
      <c r="HM55" s="2394">
        <f t="shared" ca="1" si="112"/>
        <v>70686.244962277866</v>
      </c>
      <c r="HN55" s="2394">
        <f t="shared" ca="1" si="112"/>
        <v>66121.033138720653</v>
      </c>
      <c r="HO55" s="2394">
        <f t="shared" ca="1" si="112"/>
        <v>61058.244415426809</v>
      </c>
      <c r="HP55" s="2394">
        <f t="shared" ca="1" si="112"/>
        <v>56179.258604522147</v>
      </c>
      <c r="HQ55" s="2394">
        <f t="shared" ca="1" si="112"/>
        <v>51026.581797187326</v>
      </c>
      <c r="HR55" s="2394">
        <f t="shared" ca="1" si="112"/>
        <v>46009.69191169343</v>
      </c>
      <c r="HS55" s="2394">
        <f t="shared" ca="1" si="112"/>
        <v>40817.860851799494</v>
      </c>
      <c r="HT55" s="2394">
        <f t="shared" ca="1" si="112"/>
        <v>34888.937571204835</v>
      </c>
      <c r="HU55" s="2394">
        <f t="shared" ca="1" si="112"/>
        <v>28640.886988808455</v>
      </c>
      <c r="HV55" s="2394">
        <f t="shared" ca="1" si="112"/>
        <v>22817.871967952186</v>
      </c>
      <c r="HW55" s="2394">
        <f t="shared" ca="1" si="112"/>
        <v>16444.702131876784</v>
      </c>
      <c r="HX55" s="2394">
        <f t="shared" ca="1" si="112"/>
        <v>12466.347920595663</v>
      </c>
      <c r="HY55" s="2394">
        <f t="shared" ca="1" si="112"/>
        <v>8278.2702483876255</v>
      </c>
      <c r="HZ55" s="2394">
        <f t="shared" ca="1" si="112"/>
        <v>4254.8930849968083</v>
      </c>
      <c r="IA55" s="2394">
        <f t="shared" ca="1" si="112"/>
        <v>4361.4379207765451</v>
      </c>
    </row>
    <row r="56" spans="3:235">
      <c r="C56" s="2466"/>
      <c r="D56" s="2481" t="s">
        <v>3938</v>
      </c>
      <c r="E56" s="2385"/>
      <c r="F56" s="2385"/>
      <c r="G56" s="2386"/>
      <c r="H56" s="2484">
        <f>MAX(J56:BN56)</f>
        <v>0.99991780821917808</v>
      </c>
      <c r="I56" s="2482"/>
      <c r="J56" s="2485">
        <f t="shared" ref="J56:BU56" si="113">(1-J51)*(J$3&gt;0)</f>
        <v>0</v>
      </c>
      <c r="K56" s="2486">
        <f t="shared" si="113"/>
        <v>0</v>
      </c>
      <c r="L56" s="2487">
        <f t="shared" si="113"/>
        <v>0</v>
      </c>
      <c r="M56" s="2485">
        <f t="shared" si="113"/>
        <v>0</v>
      </c>
      <c r="N56" s="2486">
        <f t="shared" si="113"/>
        <v>0</v>
      </c>
      <c r="O56" s="2487">
        <f t="shared" si="113"/>
        <v>0</v>
      </c>
      <c r="P56" s="2486">
        <f t="shared" si="113"/>
        <v>0</v>
      </c>
      <c r="Q56" s="2488">
        <f t="shared" si="113"/>
        <v>0</v>
      </c>
      <c r="R56" s="2485">
        <f t="shared" si="113"/>
        <v>0</v>
      </c>
      <c r="S56" s="2486">
        <f t="shared" si="113"/>
        <v>0</v>
      </c>
      <c r="T56" s="2488">
        <f t="shared" si="113"/>
        <v>0</v>
      </c>
      <c r="U56" s="2489">
        <f t="shared" si="113"/>
        <v>0</v>
      </c>
      <c r="V56" s="2489">
        <f t="shared" si="113"/>
        <v>0</v>
      </c>
      <c r="W56" s="2489">
        <f t="shared" si="113"/>
        <v>0</v>
      </c>
      <c r="X56" s="2489">
        <f t="shared" si="113"/>
        <v>0</v>
      </c>
      <c r="Y56" s="2489">
        <f t="shared" si="113"/>
        <v>0</v>
      </c>
      <c r="Z56" s="2489">
        <f t="shared" si="113"/>
        <v>0</v>
      </c>
      <c r="AA56" s="2489">
        <f t="shared" si="113"/>
        <v>0</v>
      </c>
      <c r="AB56" s="2489">
        <f t="shared" si="113"/>
        <v>0</v>
      </c>
      <c r="AC56" s="2489">
        <f t="shared" si="113"/>
        <v>0</v>
      </c>
      <c r="AD56" s="2489">
        <f t="shared" si="113"/>
        <v>0</v>
      </c>
      <c r="AE56" s="2489">
        <f t="shared" si="113"/>
        <v>0</v>
      </c>
      <c r="AF56" s="2489">
        <f t="shared" si="113"/>
        <v>0</v>
      </c>
      <c r="AG56" s="2489">
        <f t="shared" si="113"/>
        <v>0</v>
      </c>
      <c r="AH56" s="2489">
        <f t="shared" si="113"/>
        <v>0</v>
      </c>
      <c r="AI56" s="2489">
        <f t="shared" si="113"/>
        <v>0.99991780821917808</v>
      </c>
      <c r="AJ56" s="2489">
        <f t="shared" si="113"/>
        <v>0.99491780821917808</v>
      </c>
      <c r="AK56" s="2489">
        <f t="shared" si="113"/>
        <v>0.98991780821917807</v>
      </c>
      <c r="AL56" s="2489">
        <f t="shared" si="113"/>
        <v>0.98491780821917807</v>
      </c>
      <c r="AM56" s="2489">
        <f t="shared" si="113"/>
        <v>0.97991780821917807</v>
      </c>
      <c r="AN56" s="2489">
        <f t="shared" si="113"/>
        <v>0.97491780821917806</v>
      </c>
      <c r="AO56" s="2489">
        <f t="shared" si="113"/>
        <v>0.96991780821917806</v>
      </c>
      <c r="AP56" s="2489">
        <f t="shared" si="113"/>
        <v>0.96491780821917805</v>
      </c>
      <c r="AQ56" s="2489">
        <f t="shared" si="113"/>
        <v>0.95991780821917805</v>
      </c>
      <c r="AR56" s="2489">
        <f t="shared" si="113"/>
        <v>0.95491780821917804</v>
      </c>
      <c r="AS56" s="2489">
        <f t="shared" si="113"/>
        <v>0.94991780821917804</v>
      </c>
      <c r="AT56" s="2489">
        <f t="shared" si="113"/>
        <v>0.94491780821917803</v>
      </c>
      <c r="AU56" s="2489">
        <f t="shared" si="113"/>
        <v>0.93991780821917803</v>
      </c>
      <c r="AV56" s="2489">
        <f t="shared" si="113"/>
        <v>0.93491780821917803</v>
      </c>
      <c r="AW56" s="2489">
        <f t="shared" si="113"/>
        <v>0.92991780821917813</v>
      </c>
      <c r="AX56" s="2489">
        <f t="shared" si="113"/>
        <v>0.92491780821917802</v>
      </c>
      <c r="AY56" s="2489">
        <f t="shared" si="113"/>
        <v>0.91991780821917812</v>
      </c>
      <c r="AZ56" s="2489">
        <f t="shared" si="113"/>
        <v>0.91491780821917801</v>
      </c>
      <c r="BA56" s="2489">
        <f t="shared" si="113"/>
        <v>0.90991780821917811</v>
      </c>
      <c r="BB56" s="2489">
        <f t="shared" si="113"/>
        <v>0.90491780821917811</v>
      </c>
      <c r="BC56" s="2489">
        <f t="shared" si="113"/>
        <v>0.89991780821917811</v>
      </c>
      <c r="BD56" s="2489">
        <f t="shared" si="113"/>
        <v>0.8949178082191781</v>
      </c>
      <c r="BE56" s="2489">
        <f t="shared" si="113"/>
        <v>0.8899178082191781</v>
      </c>
      <c r="BF56" s="2489">
        <f t="shared" si="113"/>
        <v>0.88491780821917809</v>
      </c>
      <c r="BG56" s="2489">
        <f t="shared" si="113"/>
        <v>0.87991780821917809</v>
      </c>
      <c r="BH56" s="2489">
        <f t="shared" si="113"/>
        <v>0.87491780821917808</v>
      </c>
      <c r="BI56" s="2489">
        <f t="shared" si="113"/>
        <v>0.86991780821917808</v>
      </c>
      <c r="BJ56" s="2489">
        <f t="shared" si="113"/>
        <v>0.86491780821917807</v>
      </c>
      <c r="BK56" s="2489">
        <f t="shared" si="113"/>
        <v>0.85991780821917807</v>
      </c>
      <c r="BL56" s="2489">
        <f t="shared" si="113"/>
        <v>0.85491780821917807</v>
      </c>
      <c r="BM56" s="2489">
        <f t="shared" si="113"/>
        <v>0.84991780821917806</v>
      </c>
      <c r="BN56" s="2489">
        <f t="shared" si="113"/>
        <v>0.84491780821917806</v>
      </c>
      <c r="BO56" s="2489">
        <f t="shared" si="113"/>
        <v>0.83991780821917805</v>
      </c>
      <c r="BP56" s="2489">
        <f t="shared" si="113"/>
        <v>0.83491780821917805</v>
      </c>
      <c r="BQ56" s="2489">
        <f t="shared" si="113"/>
        <v>0.82991780821917804</v>
      </c>
      <c r="BR56" s="2489">
        <f t="shared" si="113"/>
        <v>0.82491780821917804</v>
      </c>
      <c r="BS56" s="2489">
        <f t="shared" si="113"/>
        <v>0.81991780821917803</v>
      </c>
      <c r="BT56" s="2489">
        <f t="shared" si="113"/>
        <v>0.81491780821917803</v>
      </c>
      <c r="BU56" s="2489">
        <f t="shared" si="113"/>
        <v>0.80991780821917803</v>
      </c>
      <c r="BV56" s="2489">
        <f t="shared" ref="BV56:EG56" si="114">(1-BV51)*(BV$3&gt;0)</f>
        <v>0.80491780821917813</v>
      </c>
      <c r="BW56" s="2489">
        <f t="shared" si="114"/>
        <v>0.79991780821917802</v>
      </c>
      <c r="BX56" s="2489">
        <f t="shared" si="114"/>
        <v>0.79491780821917812</v>
      </c>
      <c r="BY56" s="2489">
        <f t="shared" si="114"/>
        <v>0.78991780821917801</v>
      </c>
      <c r="BZ56" s="2489">
        <f t="shared" si="114"/>
        <v>0.78491780821917811</v>
      </c>
      <c r="CA56" s="2489">
        <f t="shared" si="114"/>
        <v>0.77991780821917811</v>
      </c>
      <c r="CB56" s="2489">
        <f t="shared" si="114"/>
        <v>0.77491780821917811</v>
      </c>
      <c r="CC56" s="2489">
        <f t="shared" si="114"/>
        <v>0.7699178082191781</v>
      </c>
      <c r="CD56" s="2489">
        <f t="shared" si="114"/>
        <v>0.7649178082191781</v>
      </c>
      <c r="CE56" s="2489">
        <f t="shared" si="114"/>
        <v>0.75991780821917809</v>
      </c>
      <c r="CF56" s="2489">
        <f t="shared" si="114"/>
        <v>0.75491780821917809</v>
      </c>
      <c r="CG56" s="2489">
        <f t="shared" si="114"/>
        <v>0.74991780821917808</v>
      </c>
      <c r="CH56" s="2489">
        <f t="shared" si="114"/>
        <v>0.74491780821917808</v>
      </c>
      <c r="CI56" s="2489">
        <f t="shared" si="114"/>
        <v>0.73991780821917807</v>
      </c>
      <c r="CJ56" s="2489">
        <f t="shared" si="114"/>
        <v>0.73491780821917807</v>
      </c>
      <c r="CK56" s="2489">
        <f t="shared" si="114"/>
        <v>0.72991780821917807</v>
      </c>
      <c r="CL56" s="2489">
        <f t="shared" si="114"/>
        <v>0.72491780821917806</v>
      </c>
      <c r="CM56" s="2489">
        <f t="shared" si="114"/>
        <v>0.71991780821917806</v>
      </c>
      <c r="CN56" s="2489">
        <f t="shared" si="114"/>
        <v>0.71491780821917805</v>
      </c>
      <c r="CO56" s="2489">
        <f t="shared" si="114"/>
        <v>0.70991780821917805</v>
      </c>
      <c r="CP56" s="2489">
        <f t="shared" si="114"/>
        <v>0.70491780821917804</v>
      </c>
      <c r="CQ56" s="2489">
        <f t="shared" si="114"/>
        <v>0.69991780821917815</v>
      </c>
      <c r="CR56" s="2489">
        <f t="shared" si="114"/>
        <v>0.69491780821917803</v>
      </c>
      <c r="CS56" s="2489">
        <f t="shared" si="114"/>
        <v>0.68991780821917814</v>
      </c>
      <c r="CT56" s="2489">
        <f t="shared" si="114"/>
        <v>0.68491780821917803</v>
      </c>
      <c r="CU56" s="2489">
        <f t="shared" si="114"/>
        <v>0.67991780821917813</v>
      </c>
      <c r="CV56" s="2489">
        <f t="shared" si="114"/>
        <v>0.67491780821917802</v>
      </c>
      <c r="CW56" s="2489">
        <f t="shared" si="114"/>
        <v>0.66991780821917812</v>
      </c>
      <c r="CX56" s="2489">
        <f t="shared" si="114"/>
        <v>0.66491780821917801</v>
      </c>
      <c r="CY56" s="2489">
        <f t="shared" si="114"/>
        <v>0.65991780821917811</v>
      </c>
      <c r="CZ56" s="2489">
        <f t="shared" si="114"/>
        <v>0.654917808219178</v>
      </c>
      <c r="DA56" s="2489">
        <f t="shared" si="114"/>
        <v>0.64991780821917811</v>
      </c>
      <c r="DB56" s="2489">
        <f t="shared" si="114"/>
        <v>0.64491780821917799</v>
      </c>
      <c r="DC56" s="2489">
        <f t="shared" si="114"/>
        <v>0.6399178082191781</v>
      </c>
      <c r="DD56" s="2489">
        <f t="shared" si="114"/>
        <v>0.63491780821917809</v>
      </c>
      <c r="DE56" s="2489">
        <f t="shared" si="114"/>
        <v>0.62991780821917809</v>
      </c>
      <c r="DF56" s="2489">
        <f t="shared" si="114"/>
        <v>0.62491780821917808</v>
      </c>
      <c r="DG56" s="2489">
        <f t="shared" si="114"/>
        <v>0.61991780821917808</v>
      </c>
      <c r="DH56" s="2489">
        <f t="shared" si="114"/>
        <v>0.61491780821917807</v>
      </c>
      <c r="DI56" s="2489">
        <f t="shared" si="114"/>
        <v>0.60991780821917807</v>
      </c>
      <c r="DJ56" s="2489">
        <f t="shared" si="114"/>
        <v>0.60491780821917807</v>
      </c>
      <c r="DK56" s="2489">
        <f t="shared" si="114"/>
        <v>0.59991780821917806</v>
      </c>
      <c r="DL56" s="2489">
        <f t="shared" si="114"/>
        <v>0.59491780821917806</v>
      </c>
      <c r="DM56" s="2489">
        <f t="shared" si="114"/>
        <v>0.58991780821917805</v>
      </c>
      <c r="DN56" s="2489">
        <f t="shared" si="114"/>
        <v>0.58491780821917805</v>
      </c>
      <c r="DO56" s="2489">
        <f t="shared" si="114"/>
        <v>0.57991780821917804</v>
      </c>
      <c r="DP56" s="2489">
        <f t="shared" si="114"/>
        <v>0.57491780821917815</v>
      </c>
      <c r="DQ56" s="2489">
        <f t="shared" si="114"/>
        <v>0.56991780821917803</v>
      </c>
      <c r="DR56" s="2489">
        <f t="shared" si="114"/>
        <v>0.56491780821917814</v>
      </c>
      <c r="DS56" s="2489">
        <f t="shared" si="114"/>
        <v>0.55991780821917803</v>
      </c>
      <c r="DT56" s="2489">
        <f t="shared" si="114"/>
        <v>0.55491780821917813</v>
      </c>
      <c r="DU56" s="2489">
        <f t="shared" si="114"/>
        <v>0.54991780821917802</v>
      </c>
      <c r="DV56" s="2489">
        <f t="shared" si="114"/>
        <v>0.54491780821917812</v>
      </c>
      <c r="DW56" s="2489">
        <f t="shared" si="114"/>
        <v>0.53991780821917801</v>
      </c>
      <c r="DX56" s="2489">
        <f t="shared" si="114"/>
        <v>0.53491780821917811</v>
      </c>
      <c r="DY56" s="2489">
        <f t="shared" si="114"/>
        <v>0.529917808219178</v>
      </c>
      <c r="DZ56" s="2489">
        <f t="shared" si="114"/>
        <v>0.52491780821917811</v>
      </c>
      <c r="EA56" s="2489">
        <f t="shared" si="114"/>
        <v>0.51991780821917799</v>
      </c>
      <c r="EB56" s="2489">
        <f t="shared" si="114"/>
        <v>0.5149178082191781</v>
      </c>
      <c r="EC56" s="2489">
        <f t="shared" si="114"/>
        <v>0.50991780821917809</v>
      </c>
      <c r="ED56" s="2489">
        <f t="shared" si="114"/>
        <v>0.50491780821917809</v>
      </c>
      <c r="EE56" s="2489">
        <f t="shared" si="114"/>
        <v>0.49991780821917808</v>
      </c>
      <c r="EF56" s="2489">
        <f t="shared" si="114"/>
        <v>0.49491780821917808</v>
      </c>
      <c r="EG56" s="2489">
        <f t="shared" si="114"/>
        <v>0.48991780821917807</v>
      </c>
      <c r="EH56" s="2489">
        <f t="shared" ref="EH56:GS56" si="115">(1-EH51)*(EH$3&gt;0)</f>
        <v>0.48491780821917807</v>
      </c>
      <c r="EI56" s="2489">
        <f t="shared" si="115"/>
        <v>0.47991780821917807</v>
      </c>
      <c r="EJ56" s="2489">
        <f t="shared" si="115"/>
        <v>0.47491780821917806</v>
      </c>
      <c r="EK56" s="2489">
        <f t="shared" si="115"/>
        <v>0.46991780821917806</v>
      </c>
      <c r="EL56" s="2489">
        <f t="shared" si="115"/>
        <v>0.46491780821917805</v>
      </c>
      <c r="EM56" s="2489">
        <f t="shared" si="115"/>
        <v>0.45991780821917805</v>
      </c>
      <c r="EN56" s="2489">
        <f t="shared" si="115"/>
        <v>0.45491780821917804</v>
      </c>
      <c r="EO56" s="2489">
        <f t="shared" si="115"/>
        <v>0.44991780821917804</v>
      </c>
      <c r="EP56" s="2489">
        <f t="shared" si="115"/>
        <v>0.44491780821917803</v>
      </c>
      <c r="EQ56" s="2489">
        <f t="shared" si="115"/>
        <v>0.43991780821917803</v>
      </c>
      <c r="ER56" s="2489">
        <f t="shared" si="115"/>
        <v>0.43491780821917803</v>
      </c>
      <c r="ES56" s="2489">
        <f t="shared" si="115"/>
        <v>0.42991780821917802</v>
      </c>
      <c r="ET56" s="2489">
        <f t="shared" si="115"/>
        <v>0.42491780821917802</v>
      </c>
      <c r="EU56" s="2489">
        <f t="shared" si="115"/>
        <v>0.41991780821917812</v>
      </c>
      <c r="EV56" s="2489">
        <f t="shared" si="115"/>
        <v>0.41491780821917812</v>
      </c>
      <c r="EW56" s="2489">
        <f t="shared" si="115"/>
        <v>0.40991780821917811</v>
      </c>
      <c r="EX56" s="2489">
        <f t="shared" si="115"/>
        <v>0.40491780821917811</v>
      </c>
      <c r="EY56" s="2489">
        <f t="shared" si="115"/>
        <v>0.39991780821917811</v>
      </c>
      <c r="EZ56" s="2489">
        <f t="shared" si="115"/>
        <v>0.3949178082191781</v>
      </c>
      <c r="FA56" s="2489">
        <f t="shared" si="115"/>
        <v>0.3899178082191781</v>
      </c>
      <c r="FB56" s="2489">
        <f t="shared" si="115"/>
        <v>0.38491780821917809</v>
      </c>
      <c r="FC56" s="2489">
        <f t="shared" si="115"/>
        <v>0.37991780821917809</v>
      </c>
      <c r="FD56" s="2489">
        <f t="shared" si="115"/>
        <v>0.37491780821917808</v>
      </c>
      <c r="FE56" s="2489">
        <f t="shared" si="115"/>
        <v>0.36991780821917808</v>
      </c>
      <c r="FF56" s="2489">
        <f t="shared" si="115"/>
        <v>0.36491780821917807</v>
      </c>
      <c r="FG56" s="2489">
        <f t="shared" si="115"/>
        <v>0.35991780821917818</v>
      </c>
      <c r="FH56" s="2489">
        <f t="shared" si="115"/>
        <v>0.35491780821917818</v>
      </c>
      <c r="FI56" s="2489">
        <f t="shared" si="115"/>
        <v>0.34991780821917817</v>
      </c>
      <c r="FJ56" s="2489">
        <f t="shared" si="115"/>
        <v>0.34491780821917817</v>
      </c>
      <c r="FK56" s="2489">
        <f t="shared" si="115"/>
        <v>0.33991780821917816</v>
      </c>
      <c r="FL56" s="2489">
        <f t="shared" si="115"/>
        <v>0.33491780821917816</v>
      </c>
      <c r="FM56" s="2489">
        <f t="shared" si="115"/>
        <v>0.32991780821917815</v>
      </c>
      <c r="FN56" s="2489">
        <f t="shared" si="115"/>
        <v>0.32491780821917815</v>
      </c>
      <c r="FO56" s="2489">
        <f t="shared" si="115"/>
        <v>0.31991780821917815</v>
      </c>
      <c r="FP56" s="2489">
        <f t="shared" si="115"/>
        <v>0.31491780821917814</v>
      </c>
      <c r="FQ56" s="2489">
        <f t="shared" si="115"/>
        <v>0.30991780821917814</v>
      </c>
      <c r="FR56" s="2489">
        <f t="shared" si="115"/>
        <v>0.30491780821917813</v>
      </c>
      <c r="FS56" s="2489">
        <f t="shared" si="115"/>
        <v>0.29991780821917813</v>
      </c>
      <c r="FT56" s="2489">
        <f t="shared" si="115"/>
        <v>0.29491780821917812</v>
      </c>
      <c r="FU56" s="2489">
        <f t="shared" si="115"/>
        <v>0.28991780821917812</v>
      </c>
      <c r="FV56" s="2489">
        <f t="shared" si="115"/>
        <v>0.28491780821917811</v>
      </c>
      <c r="FW56" s="2489">
        <f t="shared" si="115"/>
        <v>0.27991780821917811</v>
      </c>
      <c r="FX56" s="2489">
        <f t="shared" si="115"/>
        <v>0.27491780821917811</v>
      </c>
      <c r="FY56" s="2489">
        <f t="shared" si="115"/>
        <v>0.2699178082191781</v>
      </c>
      <c r="FZ56" s="2489">
        <f t="shared" si="115"/>
        <v>0.2649178082191781</v>
      </c>
      <c r="GA56" s="2489">
        <f t="shared" si="115"/>
        <v>0.25991780821917809</v>
      </c>
      <c r="GB56" s="2489">
        <f t="shared" si="115"/>
        <v>0.25491780821917809</v>
      </c>
      <c r="GC56" s="2489">
        <f t="shared" si="115"/>
        <v>0.24991780821917819</v>
      </c>
      <c r="GD56" s="2489">
        <f t="shared" si="115"/>
        <v>0.24491780821917819</v>
      </c>
      <c r="GE56" s="2489">
        <f t="shared" si="115"/>
        <v>0.23991780821917819</v>
      </c>
      <c r="GF56" s="2489">
        <f t="shared" si="115"/>
        <v>0.23491780821917818</v>
      </c>
      <c r="GG56" s="2489">
        <f t="shared" si="115"/>
        <v>0.22991780821917818</v>
      </c>
      <c r="GH56" s="2489">
        <f t="shared" si="115"/>
        <v>0.22491780821917817</v>
      </c>
      <c r="GI56" s="2489">
        <f t="shared" si="115"/>
        <v>0.21991780821917817</v>
      </c>
      <c r="GJ56" s="2489">
        <f t="shared" si="115"/>
        <v>0.21491780821917816</v>
      </c>
      <c r="GK56" s="2489">
        <f t="shared" si="115"/>
        <v>0.20991780821917816</v>
      </c>
      <c r="GL56" s="2489">
        <f t="shared" si="115"/>
        <v>0.20491780821917815</v>
      </c>
      <c r="GM56" s="2489">
        <f t="shared" si="115"/>
        <v>0.19991780821917815</v>
      </c>
      <c r="GN56" s="2489">
        <f t="shared" si="115"/>
        <v>0.19491780821917815</v>
      </c>
      <c r="GO56" s="2489">
        <f t="shared" si="115"/>
        <v>0.18991780821917814</v>
      </c>
      <c r="GP56" s="2489">
        <f t="shared" si="115"/>
        <v>0.18491780821917814</v>
      </c>
      <c r="GQ56" s="2489">
        <f t="shared" si="115"/>
        <v>0.17991780821917813</v>
      </c>
      <c r="GR56" s="2489">
        <f t="shared" si="115"/>
        <v>0.17491780821917813</v>
      </c>
      <c r="GS56" s="2489">
        <f t="shared" si="115"/>
        <v>0.16991780821917812</v>
      </c>
      <c r="GT56" s="2489">
        <f t="shared" ref="GT56:IA56" si="116">(1-GT51)*(GT$3&gt;0)</f>
        <v>0.16491780821917812</v>
      </c>
      <c r="GU56" s="2489">
        <f t="shared" si="116"/>
        <v>0.15991780821917811</v>
      </c>
      <c r="GV56" s="2489">
        <f t="shared" si="116"/>
        <v>0.15491780821917811</v>
      </c>
      <c r="GW56" s="2489">
        <f t="shared" si="116"/>
        <v>0.14991780821917811</v>
      </c>
      <c r="GX56" s="2489">
        <f t="shared" si="116"/>
        <v>0.1449178082191781</v>
      </c>
      <c r="GY56" s="2489">
        <f t="shared" si="116"/>
        <v>0.1399178082191781</v>
      </c>
      <c r="GZ56" s="2489">
        <f t="shared" si="116"/>
        <v>0.13491780821917809</v>
      </c>
      <c r="HA56" s="2489">
        <f t="shared" si="116"/>
        <v>0.12991780821917809</v>
      </c>
      <c r="HB56" s="2489">
        <f t="shared" si="116"/>
        <v>0.12491780821917819</v>
      </c>
      <c r="HC56" s="2489">
        <f t="shared" si="116"/>
        <v>0.11991780821917819</v>
      </c>
      <c r="HD56" s="2489">
        <f t="shared" si="116"/>
        <v>0.11491780821917819</v>
      </c>
      <c r="HE56" s="2489">
        <f t="shared" si="116"/>
        <v>0.10991780821917818</v>
      </c>
      <c r="HF56" s="2489">
        <f t="shared" si="116"/>
        <v>0.10491780821917818</v>
      </c>
      <c r="HG56" s="2489">
        <f t="shared" si="116"/>
        <v>9.9917808219178172E-2</v>
      </c>
      <c r="HH56" s="2489">
        <f t="shared" si="116"/>
        <v>9.4917808219178168E-2</v>
      </c>
      <c r="HI56" s="2489">
        <f t="shared" si="116"/>
        <v>8.9917808219178164E-2</v>
      </c>
      <c r="HJ56" s="2489">
        <f t="shared" si="116"/>
        <v>8.4917808219178159E-2</v>
      </c>
      <c r="HK56" s="2489">
        <f t="shared" si="116"/>
        <v>7.9917808219178155E-2</v>
      </c>
      <c r="HL56" s="2489">
        <f t="shared" si="116"/>
        <v>7.491780821917815E-2</v>
      </c>
      <c r="HM56" s="2489">
        <f t="shared" si="116"/>
        <v>6.9917808219178146E-2</v>
      </c>
      <c r="HN56" s="2489">
        <f t="shared" si="116"/>
        <v>6.4917808219178141E-2</v>
      </c>
      <c r="HO56" s="2489">
        <f t="shared" si="116"/>
        <v>5.9917808219178137E-2</v>
      </c>
      <c r="HP56" s="2489">
        <f t="shared" si="116"/>
        <v>5.4917808219178132E-2</v>
      </c>
      <c r="HQ56" s="2489">
        <f t="shared" si="116"/>
        <v>4.9917808219178128E-2</v>
      </c>
      <c r="HR56" s="2489">
        <f t="shared" si="116"/>
        <v>4.4917808219178124E-2</v>
      </c>
      <c r="HS56" s="2489">
        <f t="shared" si="116"/>
        <v>3.9917808219178119E-2</v>
      </c>
      <c r="HT56" s="2489">
        <f t="shared" si="116"/>
        <v>3.4917808219178115E-2</v>
      </c>
      <c r="HU56" s="2489">
        <f t="shared" si="116"/>
        <v>2.991780821917811E-2</v>
      </c>
      <c r="HV56" s="2489">
        <f t="shared" si="116"/>
        <v>2.4917808219178106E-2</v>
      </c>
      <c r="HW56" s="2489">
        <f t="shared" si="116"/>
        <v>1.9917808219178101E-2</v>
      </c>
      <c r="HX56" s="2489">
        <f t="shared" si="116"/>
        <v>1.4917808219178097E-2</v>
      </c>
      <c r="HY56" s="2489">
        <f t="shared" si="116"/>
        <v>9.9178082191780925E-3</v>
      </c>
      <c r="HZ56" s="2489">
        <f t="shared" si="116"/>
        <v>4.9178082191780881E-3</v>
      </c>
      <c r="IA56" s="2489">
        <f t="shared" si="116"/>
        <v>0</v>
      </c>
    </row>
    <row r="57" spans="3:235">
      <c r="C57" s="2466"/>
      <c r="D57" s="2490" t="s">
        <v>3939</v>
      </c>
      <c r="E57" s="2385"/>
      <c r="F57" s="2385"/>
      <c r="G57" s="2386"/>
      <c r="H57" s="2392">
        <f>MAX(J57:AT57)</f>
        <v>0</v>
      </c>
      <c r="I57" s="2482"/>
      <c r="J57" s="2395">
        <f t="shared" ref="J57:BU57" si="117">J55*J56</f>
        <v>0</v>
      </c>
      <c r="K57" s="2387">
        <f t="shared" si="117"/>
        <v>0</v>
      </c>
      <c r="L57" s="2393">
        <f t="shared" si="117"/>
        <v>0</v>
      </c>
      <c r="M57" s="2395">
        <f t="shared" si="117"/>
        <v>0</v>
      </c>
      <c r="N57" s="2387">
        <f t="shared" si="117"/>
        <v>0</v>
      </c>
      <c r="O57" s="2393">
        <f t="shared" si="117"/>
        <v>0</v>
      </c>
      <c r="P57" s="2387">
        <f t="shared" si="117"/>
        <v>0</v>
      </c>
      <c r="Q57" s="2392">
        <f t="shared" si="117"/>
        <v>0</v>
      </c>
      <c r="R57" s="2395">
        <f t="shared" si="117"/>
        <v>0</v>
      </c>
      <c r="S57" s="2387">
        <f t="shared" si="117"/>
        <v>0</v>
      </c>
      <c r="T57" s="2392">
        <f t="shared" si="117"/>
        <v>0</v>
      </c>
      <c r="U57" s="2394">
        <f t="shared" si="117"/>
        <v>0</v>
      </c>
      <c r="V57" s="2394">
        <f t="shared" si="117"/>
        <v>0</v>
      </c>
      <c r="W57" s="2394">
        <f t="shared" si="117"/>
        <v>0</v>
      </c>
      <c r="X57" s="2394">
        <f t="shared" si="117"/>
        <v>0</v>
      </c>
      <c r="Y57" s="2394">
        <f t="shared" si="117"/>
        <v>0</v>
      </c>
      <c r="Z57" s="2394">
        <f t="shared" si="117"/>
        <v>0</v>
      </c>
      <c r="AA57" s="2394">
        <f t="shared" si="117"/>
        <v>0</v>
      </c>
      <c r="AB57" s="2394">
        <f t="shared" si="117"/>
        <v>0</v>
      </c>
      <c r="AC57" s="2394">
        <f t="shared" si="117"/>
        <v>0</v>
      </c>
      <c r="AD57" s="2394">
        <f t="shared" si="117"/>
        <v>0</v>
      </c>
      <c r="AE57" s="2394">
        <f t="shared" si="117"/>
        <v>0</v>
      </c>
      <c r="AF57" s="2394">
        <f t="shared" si="117"/>
        <v>0</v>
      </c>
      <c r="AG57" s="2394">
        <f t="shared" si="117"/>
        <v>0</v>
      </c>
      <c r="AH57" s="2394">
        <f t="shared" si="117"/>
        <v>0</v>
      </c>
      <c r="AI57" s="2394">
        <f t="shared" si="117"/>
        <v>0</v>
      </c>
      <c r="AJ57" s="2394">
        <f t="shared" si="117"/>
        <v>0</v>
      </c>
      <c r="AK57" s="2394">
        <f t="shared" si="117"/>
        <v>0</v>
      </c>
      <c r="AL57" s="2394">
        <f t="shared" si="117"/>
        <v>0</v>
      </c>
      <c r="AM57" s="2394">
        <f t="shared" si="117"/>
        <v>0</v>
      </c>
      <c r="AN57" s="2394">
        <f t="shared" si="117"/>
        <v>0</v>
      </c>
      <c r="AO57" s="2394">
        <f t="shared" si="117"/>
        <v>0</v>
      </c>
      <c r="AP57" s="2394">
        <f t="shared" si="117"/>
        <v>0</v>
      </c>
      <c r="AQ57" s="2394">
        <f t="shared" si="117"/>
        <v>0</v>
      </c>
      <c r="AR57" s="2394">
        <f t="shared" si="117"/>
        <v>0</v>
      </c>
      <c r="AS57" s="2394">
        <f t="shared" si="117"/>
        <v>0</v>
      </c>
      <c r="AT57" s="2394">
        <f t="shared" si="117"/>
        <v>0</v>
      </c>
      <c r="AU57" s="2394">
        <f t="shared" si="117"/>
        <v>0</v>
      </c>
      <c r="AV57" s="2394">
        <f t="shared" si="117"/>
        <v>0</v>
      </c>
      <c r="AW57" s="2394">
        <f t="shared" si="117"/>
        <v>0</v>
      </c>
      <c r="AX57" s="2394">
        <f t="shared" si="117"/>
        <v>181405.78605895757</v>
      </c>
      <c r="AY57" s="2394">
        <f t="shared" si="117"/>
        <v>182215.92710190557</v>
      </c>
      <c r="AZ57" s="2394">
        <f t="shared" si="117"/>
        <v>183010.02376769015</v>
      </c>
      <c r="BA57" s="2394">
        <f t="shared" si="117"/>
        <v>182009.63804871737</v>
      </c>
      <c r="BB57" s="2394">
        <f t="shared" si="117"/>
        <v>183352.88904617936</v>
      </c>
      <c r="BC57" s="2394">
        <f t="shared" si="117"/>
        <v>182984.86596332508</v>
      </c>
      <c r="BD57" s="2394">
        <f t="shared" si="117"/>
        <v>181408.69385472647</v>
      </c>
      <c r="BE57" s="2394">
        <f t="shared" si="117"/>
        <v>178382.19103514196</v>
      </c>
      <c r="BF57" s="2394">
        <f t="shared" si="117"/>
        <v>177637.61695104692</v>
      </c>
      <c r="BG57" s="2394">
        <f t="shared" si="117"/>
        <v>176198.86821842351</v>
      </c>
      <c r="BH57" s="2394">
        <f t="shared" si="117"/>
        <v>173567.80966541567</v>
      </c>
      <c r="BI57" s="2394">
        <f t="shared" si="117"/>
        <v>170910.62973270519</v>
      </c>
      <c r="BJ57" s="2394">
        <f t="shared" si="117"/>
        <v>168921.44379395797</v>
      </c>
      <c r="BK57" s="2394">
        <f t="shared" si="117"/>
        <v>166573.7110960116</v>
      </c>
      <c r="BL57" s="2394">
        <f t="shared" si="117"/>
        <v>165453.13377235748</v>
      </c>
      <c r="BM57" s="2394">
        <f t="shared" si="117"/>
        <v>163293.09087935128</v>
      </c>
      <c r="BN57" s="2394">
        <f t="shared" si="117"/>
        <v>163286.51033054906</v>
      </c>
      <c r="BO57" s="2394">
        <f t="shared" si="117"/>
        <v>160667.59171270902</v>
      </c>
      <c r="BP57" s="2394">
        <f t="shared" si="117"/>
        <v>160199.4692096615</v>
      </c>
      <c r="BQ57" s="2394">
        <f t="shared" si="117"/>
        <v>157540.20456248015</v>
      </c>
      <c r="BR57" s="2394">
        <f t="shared" si="117"/>
        <v>157545.13206048572</v>
      </c>
      <c r="BS57" s="2394">
        <f t="shared" si="117"/>
        <v>155772.6732024969</v>
      </c>
      <c r="BT57" s="2394">
        <f t="shared" si="117"/>
        <v>156753.35431975409</v>
      </c>
      <c r="BU57" s="2394">
        <f t="shared" si="117"/>
        <v>153510.5331387769</v>
      </c>
      <c r="BV57" s="2394">
        <f t="shared" ref="BV57:EG57" si="118">BV55*BV56</f>
        <v>152579.16279803129</v>
      </c>
      <c r="BW57" s="2394">
        <f t="shared" si="118"/>
        <v>151899.80274263062</v>
      </c>
      <c r="BX57" s="2394">
        <f t="shared" si="118"/>
        <v>150842.92520486913</v>
      </c>
      <c r="BY57" s="2394">
        <f t="shared" si="118"/>
        <v>149172.22713018928</v>
      </c>
      <c r="BZ57" s="2394">
        <f t="shared" si="118"/>
        <v>159148.48778304842</v>
      </c>
      <c r="CA57" s="2394">
        <f t="shared" si="118"/>
        <v>157188.12508462611</v>
      </c>
      <c r="CB57" s="2394">
        <f t="shared" si="118"/>
        <v>157269.6604004252</v>
      </c>
      <c r="CC57" s="2394">
        <f t="shared" si="118"/>
        <v>155042.72114993332</v>
      </c>
      <c r="CD57" s="2394">
        <f t="shared" si="118"/>
        <v>152915.44994330147</v>
      </c>
      <c r="CE57" s="2394">
        <f t="shared" si="118"/>
        <v>151730.91834986676</v>
      </c>
      <c r="CF57" s="2394">
        <f t="shared" si="118"/>
        <v>151825.55236633573</v>
      </c>
      <c r="CG57" s="2394">
        <f t="shared" si="118"/>
        <v>151470.70247694786</v>
      </c>
      <c r="CH57" s="2394">
        <f t="shared" ca="1" si="118"/>
        <v>140135.53066475366</v>
      </c>
      <c r="CI57" s="2394">
        <f t="shared" ca="1" si="118"/>
        <v>139202.82419380741</v>
      </c>
      <c r="CJ57" s="2394">
        <f t="shared" ca="1" si="118"/>
        <v>138227.24226764753</v>
      </c>
      <c r="CK57" s="2394">
        <f t="shared" ca="1" si="118"/>
        <v>137194.98840641102</v>
      </c>
      <c r="CL57" s="2394">
        <f t="shared" ca="1" si="118"/>
        <v>134852.23630361786</v>
      </c>
      <c r="CM57" s="2394">
        <f t="shared" ca="1" si="118"/>
        <v>133889.08441871282</v>
      </c>
      <c r="CN57" s="2394">
        <f t="shared" ca="1" si="118"/>
        <v>132929.72658369399</v>
      </c>
      <c r="CO57" s="2394">
        <f t="shared" ca="1" si="118"/>
        <v>131916.04468328803</v>
      </c>
      <c r="CP57" s="2394">
        <f t="shared" ca="1" si="118"/>
        <v>132884.24185873586</v>
      </c>
      <c r="CQ57" s="2394">
        <f t="shared" ca="1" si="118"/>
        <v>131913.50543838352</v>
      </c>
      <c r="CR57" s="2394">
        <f t="shared" ca="1" si="118"/>
        <v>131056.25387319543</v>
      </c>
      <c r="CS57" s="2394">
        <f t="shared" ca="1" si="118"/>
        <v>130149.65488820479</v>
      </c>
      <c r="CT57" s="2394">
        <f t="shared" ca="1" si="118"/>
        <v>132469.10907498476</v>
      </c>
      <c r="CU57" s="2394">
        <f t="shared" ca="1" si="118"/>
        <v>131595.99344395022</v>
      </c>
      <c r="CV57" s="2394">
        <f t="shared" ca="1" si="118"/>
        <v>130457.15330700522</v>
      </c>
      <c r="CW57" s="2394">
        <f t="shared" ca="1" si="118"/>
        <v>129259.89100396883</v>
      </c>
      <c r="CX57" s="2394">
        <f t="shared" ca="1" si="118"/>
        <v>117388.40671443216</v>
      </c>
      <c r="CY57" s="2394">
        <f t="shared" ca="1" si="118"/>
        <v>116344.9646720437</v>
      </c>
      <c r="CZ57" s="2394">
        <f t="shared" ca="1" si="118"/>
        <v>115305.39871783329</v>
      </c>
      <c r="DA57" s="2394">
        <f t="shared" ca="1" si="118"/>
        <v>114214.0324936384</v>
      </c>
      <c r="DB57" s="2394">
        <f t="shared" ca="1" si="118"/>
        <v>97347.893096134867</v>
      </c>
      <c r="DC57" s="2394">
        <f t="shared" ca="1" si="118"/>
        <v>96453.789344933059</v>
      </c>
      <c r="DD57" s="2394">
        <f t="shared" ca="1" si="118"/>
        <v>95691.152418046986</v>
      </c>
      <c r="DE57" s="2394">
        <f t="shared" ca="1" si="118"/>
        <v>94889.913194603985</v>
      </c>
      <c r="DF57" s="2394">
        <f t="shared" ca="1" si="118"/>
        <v>86788.507559615624</v>
      </c>
      <c r="DG57" s="2394">
        <f t="shared" ca="1" si="118"/>
        <v>86087.444492325201</v>
      </c>
      <c r="DH57" s="2394">
        <f t="shared" ca="1" si="118"/>
        <v>87247.359660617905</v>
      </c>
      <c r="DI57" s="2394">
        <f t="shared" ca="1" si="118"/>
        <v>88436.853257926108</v>
      </c>
      <c r="DJ57" s="2394">
        <f t="shared" ca="1" si="118"/>
        <v>88448.618369614342</v>
      </c>
      <c r="DK57" s="2394">
        <f t="shared" ca="1" si="118"/>
        <v>89623.663889879565</v>
      </c>
      <c r="DL57" s="2394">
        <f t="shared" ca="1" si="118"/>
        <v>89359.744359441407</v>
      </c>
      <c r="DM57" s="2394">
        <f t="shared" ca="1" si="118"/>
        <v>89076.617740107686</v>
      </c>
      <c r="DN57" s="2394">
        <f t="shared" ca="1" si="118"/>
        <v>90212.556149889468</v>
      </c>
      <c r="DO57" s="2394">
        <f t="shared" ca="1" si="118"/>
        <v>89953.270979625857</v>
      </c>
      <c r="DP57" s="2394">
        <f t="shared" ca="1" si="118"/>
        <v>89391.309004886352</v>
      </c>
      <c r="DQ57" s="2394">
        <f t="shared" ca="1" si="118"/>
        <v>88800.791940810333</v>
      </c>
      <c r="DR57" s="2394">
        <f t="shared" ca="1" si="118"/>
        <v>90501.853156043348</v>
      </c>
      <c r="DS57" s="2394">
        <f t="shared" ca="1" si="118"/>
        <v>89930.310887905434</v>
      </c>
      <c r="DT57" s="2394">
        <f t="shared" ca="1" si="118"/>
        <v>89217.938145466178</v>
      </c>
      <c r="DU57" s="2394">
        <f t="shared" ca="1" si="118"/>
        <v>88472.901327292624</v>
      </c>
      <c r="DV57" s="2394">
        <f t="shared" ca="1" si="118"/>
        <v>88865.165715936848</v>
      </c>
      <c r="DW57" s="2394">
        <f t="shared" ca="1" si="118"/>
        <v>88147.015207749937</v>
      </c>
      <c r="DX57" s="2394">
        <f t="shared" ca="1" si="118"/>
        <v>87981.022342958851</v>
      </c>
      <c r="DY57" s="2394">
        <f t="shared" ca="1" si="118"/>
        <v>87800.871668986772</v>
      </c>
      <c r="DZ57" s="2394">
        <f t="shared" ca="1" si="118"/>
        <v>87851.935216357917</v>
      </c>
      <c r="EA57" s="2394">
        <f t="shared" ca="1" si="118"/>
        <v>87692.57090466081</v>
      </c>
      <c r="EB57" s="2394">
        <f t="shared" ca="1" si="118"/>
        <v>86925.902199878721</v>
      </c>
      <c r="EC57" s="2394">
        <f t="shared" ca="1" si="118"/>
        <v>86126.937232488242</v>
      </c>
      <c r="ED57" s="2394">
        <f t="shared" ca="1" si="118"/>
        <v>86234.01747612303</v>
      </c>
      <c r="EE57" s="2394">
        <f t="shared" ca="1" si="118"/>
        <v>85462.169418133155</v>
      </c>
      <c r="EF57" s="2394">
        <f t="shared" ca="1" si="118"/>
        <v>84503.033269549109</v>
      </c>
      <c r="EG57" s="2394">
        <f t="shared" ca="1" si="118"/>
        <v>83506.957323639508</v>
      </c>
      <c r="EH57" s="2394">
        <f t="shared" ref="EH57:GS57" ca="1" si="119">EH55*EH56</f>
        <v>82971.199474757843</v>
      </c>
      <c r="EI57" s="2394">
        <f t="shared" ca="1" si="119"/>
        <v>82009.134816999023</v>
      </c>
      <c r="EJ57" s="2394">
        <f t="shared" ca="1" si="119"/>
        <v>80960.598639977135</v>
      </c>
      <c r="EK57" s="2394">
        <f t="shared" ca="1" si="119"/>
        <v>79873.962186991499</v>
      </c>
      <c r="EL57" s="2394">
        <f t="shared" ca="1" si="119"/>
        <v>78834.344130726909</v>
      </c>
      <c r="EM57" s="2394">
        <f t="shared" ca="1" si="119"/>
        <v>77787.914259209589</v>
      </c>
      <c r="EN57" s="2394">
        <f t="shared" ca="1" si="119"/>
        <v>76726.885791912719</v>
      </c>
      <c r="EO57" s="2394">
        <f t="shared" ca="1" si="119"/>
        <v>75629.031415876016</v>
      </c>
      <c r="EP57" s="2394">
        <f t="shared" ca="1" si="119"/>
        <v>75321.407106888786</v>
      </c>
      <c r="EQ57" s="2394">
        <f t="shared" ca="1" si="119"/>
        <v>74252.456749224642</v>
      </c>
      <c r="ER57" s="2394">
        <f t="shared" ca="1" si="119"/>
        <v>73172.607652535095</v>
      </c>
      <c r="ES57" s="2394">
        <f t="shared" ca="1" si="119"/>
        <v>72057.015526988849</v>
      </c>
      <c r="ET57" s="2394">
        <f t="shared" ca="1" si="119"/>
        <v>71329.461055960841</v>
      </c>
      <c r="EU57" s="2394">
        <f t="shared" ca="1" si="119"/>
        <v>70247.789275891831</v>
      </c>
      <c r="EV57" s="2394">
        <f t="shared" ca="1" si="119"/>
        <v>69311.546217978626</v>
      </c>
      <c r="EW57" s="2394">
        <f t="shared" ca="1" si="119"/>
        <v>68345.02152885453</v>
      </c>
      <c r="EX57" s="2394">
        <f t="shared" ca="1" si="119"/>
        <v>67399.141772759147</v>
      </c>
      <c r="EY57" s="2394">
        <f t="shared" ca="1" si="119"/>
        <v>66465.905378523647</v>
      </c>
      <c r="EZ57" s="2394">
        <f t="shared" ca="1" si="119"/>
        <v>65346.031728363851</v>
      </c>
      <c r="FA57" s="2394">
        <f t="shared" ca="1" si="119"/>
        <v>64192.779637281281</v>
      </c>
      <c r="FB57" s="2394">
        <f t="shared" ca="1" si="119"/>
        <v>63700.91684723158</v>
      </c>
      <c r="FC57" s="2394">
        <f t="shared" ca="1" si="119"/>
        <v>62575.79296370739</v>
      </c>
      <c r="FD57" s="2394">
        <f t="shared" ca="1" si="119"/>
        <v>61590.617864223008</v>
      </c>
      <c r="FE57" s="2394">
        <f t="shared" ca="1" si="119"/>
        <v>60577.04247985511</v>
      </c>
      <c r="FF57" s="2394">
        <f t="shared" ca="1" si="119"/>
        <v>59874.222104022097</v>
      </c>
      <c r="FG57" s="2394">
        <f t="shared" ca="1" si="119"/>
        <v>58889.0475851191</v>
      </c>
      <c r="FH57" s="2394">
        <f t="shared" ca="1" si="119"/>
        <v>57739.533740094274</v>
      </c>
      <c r="FI57" s="2394">
        <f t="shared" ca="1" si="119"/>
        <v>56559.589407145373</v>
      </c>
      <c r="FJ57" s="2394">
        <f t="shared" ca="1" si="119"/>
        <v>55400.937033766706</v>
      </c>
      <c r="FK57" s="2394">
        <f t="shared" ca="1" si="119"/>
        <v>54260.912229227913</v>
      </c>
      <c r="FL57" s="2394">
        <f t="shared" ca="1" si="119"/>
        <v>53130.776239476305</v>
      </c>
      <c r="FM57" s="2394">
        <f t="shared" ca="1" si="119"/>
        <v>51972.620358795219</v>
      </c>
      <c r="FN57" s="2394">
        <f t="shared" ca="1" si="119"/>
        <v>51344.436608884222</v>
      </c>
      <c r="FO57" s="2394">
        <f t="shared" ca="1" si="119"/>
        <v>50214.248913788906</v>
      </c>
      <c r="FP57" s="2394">
        <f t="shared" ca="1" si="119"/>
        <v>49053.907962364588</v>
      </c>
      <c r="FQ57" s="2394">
        <f t="shared" ca="1" si="119"/>
        <v>47867.008767229992</v>
      </c>
      <c r="FR57" s="2394">
        <f t="shared" ca="1" si="119"/>
        <v>46931.716080521801</v>
      </c>
      <c r="FS57" s="2394">
        <f t="shared" ca="1" si="119"/>
        <v>45780.31114062931</v>
      </c>
      <c r="FT57" s="2394">
        <f t="shared" ca="1" si="119"/>
        <v>44585.413584217524</v>
      </c>
      <c r="FU57" s="2394">
        <f t="shared" ca="1" si="119"/>
        <v>43365.644004963782</v>
      </c>
      <c r="FV57" s="2394">
        <f t="shared" ca="1" si="119"/>
        <v>42167.441157980931</v>
      </c>
      <c r="FW57" s="2394">
        <f t="shared" ca="1" si="119"/>
        <v>40991.974018144858</v>
      </c>
      <c r="FX57" s="2394">
        <f t="shared" ca="1" si="119"/>
        <v>39774.054085100237</v>
      </c>
      <c r="FY57" s="2394">
        <f t="shared" ca="1" si="119"/>
        <v>38533.517518784123</v>
      </c>
      <c r="FZ57" s="2394">
        <f t="shared" ca="1" si="119"/>
        <v>37694.045298535631</v>
      </c>
      <c r="GA57" s="2394">
        <f t="shared" ca="1" si="119"/>
        <v>36489.447544150949</v>
      </c>
      <c r="GB57" s="2394">
        <f t="shared" ca="1" si="119"/>
        <v>35257.825845808584</v>
      </c>
      <c r="GC57" s="2394">
        <f t="shared" ca="1" si="119"/>
        <v>34006.324513951397</v>
      </c>
      <c r="GD57" s="2394">
        <f t="shared" ca="1" si="119"/>
        <v>32947.374608608916</v>
      </c>
      <c r="GE57" s="2394">
        <f t="shared" ca="1" si="119"/>
        <v>31741.927386887903</v>
      </c>
      <c r="GF57" s="2394">
        <f t="shared" ca="1" si="119"/>
        <v>30631.364023750582</v>
      </c>
      <c r="GG57" s="2394">
        <f t="shared" ca="1" si="119"/>
        <v>29505.213321999581</v>
      </c>
      <c r="GH57" s="2394">
        <f t="shared" ca="1" si="119"/>
        <v>28403.173135010609</v>
      </c>
      <c r="GI57" s="2394">
        <f t="shared" ca="1" si="119"/>
        <v>27324.725889606536</v>
      </c>
      <c r="GJ57" s="2394">
        <f t="shared" ca="1" si="119"/>
        <v>27290.900768930613</v>
      </c>
      <c r="GK57" s="2394">
        <f t="shared" ca="1" si="119"/>
        <v>27248.515048886191</v>
      </c>
      <c r="GL57" s="2394">
        <f t="shared" ca="1" si="119"/>
        <v>27416.803430108743</v>
      </c>
      <c r="GM57" s="2394">
        <f t="shared" ca="1" si="119"/>
        <v>27336.174126601232</v>
      </c>
      <c r="GN57" s="2394">
        <f t="shared" ca="1" si="119"/>
        <v>26458.736083002223</v>
      </c>
      <c r="GO57" s="2394">
        <f t="shared" ca="1" si="119"/>
        <v>25571.128805089418</v>
      </c>
      <c r="GP57" s="2394">
        <f t="shared" ca="1" si="119"/>
        <v>24810.410603364198</v>
      </c>
      <c r="GQ57" s="2394">
        <f t="shared" ca="1" si="119"/>
        <v>23948.732452009561</v>
      </c>
      <c r="GR57" s="2394">
        <f t="shared" ca="1" si="119"/>
        <v>22972.000910648741</v>
      </c>
      <c r="GS57" s="2394">
        <f t="shared" ca="1" si="119"/>
        <v>21988.507208278934</v>
      </c>
      <c r="GT57" s="2394">
        <f t="shared" ref="GT57:IA57" ca="1" si="120">GT55*GT56</f>
        <v>21021.802309163249</v>
      </c>
      <c r="GU57" s="2394">
        <f t="shared" ca="1" si="120"/>
        <v>20082.012902570903</v>
      </c>
      <c r="GV57" s="2394">
        <f t="shared" ca="1" si="120"/>
        <v>19075.920304306259</v>
      </c>
      <c r="GW57" s="2394">
        <f t="shared" ca="1" si="120"/>
        <v>18067.965147386032</v>
      </c>
      <c r="GX57" s="2394">
        <f t="shared" ca="1" si="120"/>
        <v>17259.701257951103</v>
      </c>
      <c r="GY57" s="2394">
        <f t="shared" ca="1" si="120"/>
        <v>16297.24253018797</v>
      </c>
      <c r="GZ57" s="2394">
        <f t="shared" ca="1" si="120"/>
        <v>15499.642582580709</v>
      </c>
      <c r="HA57" s="2394">
        <f t="shared" ca="1" si="120"/>
        <v>14701.312399252989</v>
      </c>
      <c r="HB57" s="2394">
        <f t="shared" ca="1" si="120"/>
        <v>13986.52985495997</v>
      </c>
      <c r="HC57" s="2394">
        <f t="shared" ca="1" si="120"/>
        <v>13222.348827640843</v>
      </c>
      <c r="HD57" s="2394">
        <f t="shared" ca="1" si="120"/>
        <v>12302.541089293791</v>
      </c>
      <c r="HE57" s="2394">
        <f t="shared" ca="1" si="120"/>
        <v>11391.919109765346</v>
      </c>
      <c r="HF57" s="2394">
        <f t="shared" ca="1" si="120"/>
        <v>10519.328631907611</v>
      </c>
      <c r="HG57" s="2394">
        <f t="shared" ca="1" si="120"/>
        <v>9677.1712854393772</v>
      </c>
      <c r="HH57" s="2394">
        <f t="shared" ca="1" si="120"/>
        <v>8800.4128992432034</v>
      </c>
      <c r="HI57" s="2394">
        <f t="shared" ca="1" si="120"/>
        <v>7942.5129628943014</v>
      </c>
      <c r="HJ57" s="2394">
        <f t="shared" ca="1" si="120"/>
        <v>7207.2333666855129</v>
      </c>
      <c r="HK57" s="2394">
        <f t="shared" ca="1" si="120"/>
        <v>6427.6973358632195</v>
      </c>
      <c r="HL57" s="2394">
        <f t="shared" ca="1" si="120"/>
        <v>5670.8738103061096</v>
      </c>
      <c r="HM57" s="2394">
        <f t="shared" ca="1" si="120"/>
        <v>4942.2273190063916</v>
      </c>
      <c r="HN57" s="2394">
        <f t="shared" ca="1" si="120"/>
        <v>4292.43254855339</v>
      </c>
      <c r="HO57" s="2394">
        <f t="shared" ca="1" si="120"/>
        <v>3658.4761790832481</v>
      </c>
      <c r="HP57" s="2394">
        <f t="shared" ca="1" si="120"/>
        <v>3085.2417499387602</v>
      </c>
      <c r="HQ57" s="2394">
        <f t="shared" ca="1" si="120"/>
        <v>2547.1351242322025</v>
      </c>
      <c r="HR57" s="2394">
        <f t="shared" ca="1" si="120"/>
        <v>2066.6545175129163</v>
      </c>
      <c r="HS57" s="2394">
        <f t="shared" ca="1" si="120"/>
        <v>1629.3595413992307</v>
      </c>
      <c r="HT57" s="2394">
        <f t="shared" ca="1" si="120"/>
        <v>1218.2452310822084</v>
      </c>
      <c r="HU57" s="2394">
        <f t="shared" ca="1" si="120"/>
        <v>856.87256415832496</v>
      </c>
      <c r="HV57" s="2394">
        <f t="shared" ca="1" si="120"/>
        <v>568.57135766719261</v>
      </c>
      <c r="HW57" s="2394">
        <f t="shared" ca="1" si="120"/>
        <v>327.54242328423106</v>
      </c>
      <c r="HX57" s="2394">
        <f t="shared" ca="1" si="120"/>
        <v>185.97058747299576</v>
      </c>
      <c r="HY57" s="2394">
        <f t="shared" ca="1" si="120"/>
        <v>82.102296710036256</v>
      </c>
      <c r="HZ57" s="2394">
        <f t="shared" ca="1" si="120"/>
        <v>20.924748185121317</v>
      </c>
      <c r="IA57" s="2394">
        <f t="shared" ca="1" si="120"/>
        <v>0</v>
      </c>
    </row>
    <row r="58" spans="3:235">
      <c r="C58" s="2466"/>
      <c r="D58" s="2476" t="s">
        <v>3940</v>
      </c>
      <c r="E58" s="2356"/>
      <c r="F58" s="2356"/>
      <c r="G58" s="2446"/>
      <c r="H58" s="2477"/>
      <c r="I58" s="2358"/>
      <c r="J58" s="2478">
        <f t="shared" ref="J58:BU58" si="121">SUM(J52,J57)</f>
        <v>0</v>
      </c>
      <c r="K58" s="2357">
        <f t="shared" si="121"/>
        <v>0</v>
      </c>
      <c r="L58" s="2479">
        <f t="shared" si="121"/>
        <v>0</v>
      </c>
      <c r="M58" s="2478">
        <f t="shared" si="121"/>
        <v>0</v>
      </c>
      <c r="N58" s="2357">
        <f t="shared" si="121"/>
        <v>0</v>
      </c>
      <c r="O58" s="2479">
        <f t="shared" si="121"/>
        <v>0</v>
      </c>
      <c r="P58" s="2357">
        <f t="shared" si="121"/>
        <v>0</v>
      </c>
      <c r="Q58" s="2477">
        <f t="shared" si="121"/>
        <v>0</v>
      </c>
      <c r="R58" s="2478">
        <f t="shared" si="121"/>
        <v>0</v>
      </c>
      <c r="S58" s="2357">
        <f t="shared" si="121"/>
        <v>0</v>
      </c>
      <c r="T58" s="2477">
        <f t="shared" si="121"/>
        <v>0</v>
      </c>
      <c r="U58" s="2480">
        <f t="shared" si="121"/>
        <v>0</v>
      </c>
      <c r="V58" s="2480">
        <f t="shared" si="121"/>
        <v>0</v>
      </c>
      <c r="W58" s="2480">
        <f t="shared" si="121"/>
        <v>0</v>
      </c>
      <c r="X58" s="2480">
        <f t="shared" si="121"/>
        <v>0</v>
      </c>
      <c r="Y58" s="2480">
        <f t="shared" si="121"/>
        <v>0</v>
      </c>
      <c r="Z58" s="2480">
        <f t="shared" si="121"/>
        <v>0</v>
      </c>
      <c r="AA58" s="2480">
        <f t="shared" si="121"/>
        <v>0</v>
      </c>
      <c r="AB58" s="2480">
        <f t="shared" si="121"/>
        <v>0</v>
      </c>
      <c r="AC58" s="2480">
        <f t="shared" si="121"/>
        <v>0</v>
      </c>
      <c r="AD58" s="2480">
        <f t="shared" si="121"/>
        <v>0</v>
      </c>
      <c r="AE58" s="2480">
        <f t="shared" si="121"/>
        <v>0</v>
      </c>
      <c r="AF58" s="2480">
        <f t="shared" si="121"/>
        <v>0</v>
      </c>
      <c r="AG58" s="2480">
        <f t="shared" si="121"/>
        <v>0</v>
      </c>
      <c r="AH58" s="2480">
        <f t="shared" si="121"/>
        <v>0</v>
      </c>
      <c r="AI58" s="2480">
        <f t="shared" si="121"/>
        <v>0</v>
      </c>
      <c r="AJ58" s="2480">
        <f t="shared" si="121"/>
        <v>1268.5300504455083</v>
      </c>
      <c r="AK58" s="2480">
        <f t="shared" si="121"/>
        <v>2479.2484079162746</v>
      </c>
      <c r="AL58" s="2480">
        <f t="shared" si="121"/>
        <v>3688.2056304319431</v>
      </c>
      <c r="AM58" s="2480">
        <f t="shared" si="121"/>
        <v>4844.7008326917794</v>
      </c>
      <c r="AN58" s="2480">
        <f t="shared" si="121"/>
        <v>6035.5899962407248</v>
      </c>
      <c r="AO58" s="2480">
        <f t="shared" si="121"/>
        <v>7105.6134163430243</v>
      </c>
      <c r="AP58" s="2480">
        <f t="shared" si="121"/>
        <v>8328.3419958680552</v>
      </c>
      <c r="AQ58" s="2480">
        <f t="shared" si="121"/>
        <v>9394.9940312071521</v>
      </c>
      <c r="AR58" s="2480">
        <f t="shared" si="121"/>
        <v>10493.311452866757</v>
      </c>
      <c r="AS58" s="2480">
        <f t="shared" si="121"/>
        <v>11487.373315367413</v>
      </c>
      <c r="AT58" s="2480">
        <f t="shared" si="121"/>
        <v>12514.364261483483</v>
      </c>
      <c r="AU58" s="2480">
        <f t="shared" si="121"/>
        <v>13417.485972724709</v>
      </c>
      <c r="AV58" s="2480">
        <f t="shared" si="121"/>
        <v>14417.061787252207</v>
      </c>
      <c r="AW58" s="2480">
        <f t="shared" si="121"/>
        <v>15200.430716715877</v>
      </c>
      <c r="AX58" s="2480">
        <f t="shared" si="121"/>
        <v>197541.32430424666</v>
      </c>
      <c r="AY58" s="2480">
        <f t="shared" si="121"/>
        <v>199083.21505992481</v>
      </c>
      <c r="AZ58" s="2480">
        <f t="shared" si="121"/>
        <v>200753.83324519516</v>
      </c>
      <c r="BA58" s="2480">
        <f t="shared" si="121"/>
        <v>200432.13818734497</v>
      </c>
      <c r="BB58" s="2480">
        <f t="shared" si="121"/>
        <v>202648.52313093073</v>
      </c>
      <c r="BC58" s="2480">
        <f t="shared" si="121"/>
        <v>202963.38625194956</v>
      </c>
      <c r="BD58" s="2480">
        <f t="shared" si="121"/>
        <v>202073.23328804408</v>
      </c>
      <c r="BE58" s="2480">
        <f t="shared" si="121"/>
        <v>199545.69069608167</v>
      </c>
      <c r="BF58" s="2480">
        <f t="shared" si="121"/>
        <v>199514.28778109446</v>
      </c>
      <c r="BG58" s="2480">
        <f t="shared" si="121"/>
        <v>198702.78727513109</v>
      </c>
      <c r="BH58" s="2480">
        <f t="shared" si="121"/>
        <v>196615.90833001415</v>
      </c>
      <c r="BI58" s="2480">
        <f t="shared" si="121"/>
        <v>194488.25873666673</v>
      </c>
      <c r="BJ58" s="2480">
        <f t="shared" si="121"/>
        <v>193060.781125774</v>
      </c>
      <c r="BK58" s="2480">
        <f t="shared" si="121"/>
        <v>191228.2139165421</v>
      </c>
      <c r="BL58" s="2480">
        <f t="shared" si="121"/>
        <v>190711.80237497206</v>
      </c>
      <c r="BM58" s="2480">
        <f t="shared" si="121"/>
        <v>188992.13799200518</v>
      </c>
      <c r="BN58" s="2480">
        <f t="shared" si="121"/>
        <v>189713.33945981995</v>
      </c>
      <c r="BO58" s="2480">
        <f t="shared" si="121"/>
        <v>187409.15495668224</v>
      </c>
      <c r="BP58" s="2480">
        <f t="shared" si="121"/>
        <v>187528.04826785834</v>
      </c>
      <c r="BQ58" s="2480">
        <f t="shared" si="121"/>
        <v>185074.69525535183</v>
      </c>
      <c r="BR58" s="2480">
        <f t="shared" si="121"/>
        <v>185695.77546970971</v>
      </c>
      <c r="BS58" s="2480">
        <f t="shared" si="121"/>
        <v>184232.6566004974</v>
      </c>
      <c r="BT58" s="2480">
        <f t="shared" si="121"/>
        <v>185914.15814795697</v>
      </c>
      <c r="BU58" s="2480">
        <f t="shared" si="121"/>
        <v>182577.4401058557</v>
      </c>
      <c r="BV58" s="2480">
        <f t="shared" ref="BV58:EG58" si="122">SUM(BV52,BV57)</f>
        <v>181930.68243910684</v>
      </c>
      <c r="BW58" s="2480">
        <f t="shared" si="122"/>
        <v>181590.82461400219</v>
      </c>
      <c r="BX58" s="2480">
        <f t="shared" si="122"/>
        <v>180837.16484691098</v>
      </c>
      <c r="BY58" s="2480">
        <f t="shared" si="122"/>
        <v>179342.55292784568</v>
      </c>
      <c r="BZ58" s="2480">
        <f t="shared" si="122"/>
        <v>189566.99485581281</v>
      </c>
      <c r="CA58" s="2480">
        <f t="shared" si="122"/>
        <v>187702.41876410085</v>
      </c>
      <c r="CB58" s="2480">
        <f t="shared" si="122"/>
        <v>188251.5849000561</v>
      </c>
      <c r="CC58" s="2480">
        <f t="shared" si="122"/>
        <v>186035.80088636844</v>
      </c>
      <c r="CD58" s="2480">
        <f t="shared" si="122"/>
        <v>184499.99630158622</v>
      </c>
      <c r="CE58" s="2480">
        <f t="shared" si="122"/>
        <v>183491.98537783121</v>
      </c>
      <c r="CF58" s="2480">
        <f t="shared" si="122"/>
        <v>184034.23190946327</v>
      </c>
      <c r="CG58" s="2480">
        <f t="shared" si="122"/>
        <v>184037.60476005968</v>
      </c>
      <c r="CH58" s="2480">
        <f t="shared" ca="1" si="122"/>
        <v>172897.9482087752</v>
      </c>
      <c r="CI58" s="2480">
        <f t="shared" ca="1" si="122"/>
        <v>172149.26723282319</v>
      </c>
      <c r="CJ58" s="2480">
        <f t="shared" ca="1" si="122"/>
        <v>171346.49943581643</v>
      </c>
      <c r="CK58" s="2480">
        <f t="shared" ca="1" si="122"/>
        <v>170476.12126252064</v>
      </c>
      <c r="CL58" s="2480">
        <f t="shared" ca="1" si="122"/>
        <v>168284.57395346498</v>
      </c>
      <c r="CM58" s="2480">
        <f t="shared" ca="1" si="122"/>
        <v>167462.21823365692</v>
      </c>
      <c r="CN58" s="2480">
        <f t="shared" ca="1" si="122"/>
        <v>166633.50501375739</v>
      </c>
      <c r="CO58" s="2480">
        <f t="shared" ca="1" si="122"/>
        <v>165740.56816320212</v>
      </c>
      <c r="CP58" s="2480">
        <f t="shared" ca="1" si="122"/>
        <v>166819.8578053602</v>
      </c>
      <c r="CQ58" s="2480">
        <f t="shared" ca="1" si="122"/>
        <v>165950.8033379491</v>
      </c>
      <c r="CR58" s="2480">
        <f t="shared" ca="1" si="122"/>
        <v>165186.06045684946</v>
      </c>
      <c r="CS58" s="2480">
        <f t="shared" ca="1" si="122"/>
        <v>164363.02939435889</v>
      </c>
      <c r="CT58" s="2480">
        <f t="shared" ca="1" si="122"/>
        <v>166757.33859699281</v>
      </c>
      <c r="CU58" s="2480">
        <f t="shared" ca="1" si="122"/>
        <v>165950.5883616668</v>
      </c>
      <c r="CV58" s="2480">
        <f t="shared" ca="1" si="122"/>
        <v>164869.84280079851</v>
      </c>
      <c r="CW58" s="2480">
        <f t="shared" ca="1" si="122"/>
        <v>163722.61864978576</v>
      </c>
      <c r="CX58" s="2480">
        <f t="shared" ca="1" si="122"/>
        <v>151893.32615853616</v>
      </c>
      <c r="CY58" s="2480">
        <f t="shared" ca="1" si="122"/>
        <v>150884.43538406841</v>
      </c>
      <c r="CZ58" s="2480">
        <f t="shared" ca="1" si="122"/>
        <v>149871.98182081734</v>
      </c>
      <c r="DA58" s="2480">
        <f t="shared" ca="1" si="122"/>
        <v>148800.48666972871</v>
      </c>
      <c r="DB58" s="2480">
        <f t="shared" ca="1" si="122"/>
        <v>131947.1705666671</v>
      </c>
      <c r="DC58" s="2480">
        <f t="shared" ca="1" si="122"/>
        <v>131059.03192361907</v>
      </c>
      <c r="DD58" s="2480">
        <f t="shared" ca="1" si="122"/>
        <v>130295.68763602054</v>
      </c>
      <c r="DE58" s="2480">
        <f t="shared" ca="1" si="122"/>
        <v>129487.25049609529</v>
      </c>
      <c r="DF58" s="2480">
        <f t="shared" ca="1" si="122"/>
        <v>121372.33456704702</v>
      </c>
      <c r="DG58" s="2480">
        <f t="shared" ca="1" si="122"/>
        <v>120651.62333963861</v>
      </c>
      <c r="DH58" s="2480">
        <f t="shared" ca="1" si="122"/>
        <v>121785.92339366558</v>
      </c>
      <c r="DI58" s="2480">
        <f t="shared" ca="1" si="122"/>
        <v>122944.00230077436</v>
      </c>
      <c r="DJ58" s="2480">
        <f t="shared" ca="1" si="122"/>
        <v>122918.71705562953</v>
      </c>
      <c r="DK58" s="2480">
        <f t="shared" ca="1" si="122"/>
        <v>124051.2370564841</v>
      </c>
      <c r="DL58" s="2480">
        <f t="shared" ca="1" si="122"/>
        <v>123739.47400544555</v>
      </c>
      <c r="DM58" s="2480">
        <f t="shared" ca="1" si="122"/>
        <v>123403.3397445415</v>
      </c>
      <c r="DN58" s="2480">
        <f t="shared" ca="1" si="122"/>
        <v>124481.25705127639</v>
      </c>
      <c r="DO58" s="2480">
        <f t="shared" ca="1" si="122"/>
        <v>124159.08481465743</v>
      </c>
      <c r="DP58" s="2480">
        <f t="shared" ca="1" si="122"/>
        <v>123529.51420547438</v>
      </c>
      <c r="DQ58" s="2480">
        <f t="shared" ca="1" si="122"/>
        <v>122866.80828850984</v>
      </c>
      <c r="DR58" s="2480">
        <f t="shared" ca="1" si="122"/>
        <v>124491.23879285628</v>
      </c>
      <c r="DS58" s="2480">
        <f t="shared" ca="1" si="122"/>
        <v>123838.75938249147</v>
      </c>
      <c r="DT58" s="2480">
        <f t="shared" ca="1" si="122"/>
        <v>123041.2756138031</v>
      </c>
      <c r="DU58" s="2480">
        <f t="shared" ca="1" si="122"/>
        <v>122207.08360684451</v>
      </c>
      <c r="DV58" s="2480">
        <f t="shared" ca="1" si="122"/>
        <v>122506.27559240386</v>
      </c>
      <c r="DW58" s="2480">
        <f t="shared" ca="1" si="122"/>
        <v>121691.25969348909</v>
      </c>
      <c r="DX58" s="2480">
        <f t="shared" ca="1" si="122"/>
        <v>121424.7300061799</v>
      </c>
      <c r="DY58" s="2480">
        <f t="shared" ca="1" si="122"/>
        <v>121140.49001284252</v>
      </c>
      <c r="DZ58" s="2480">
        <f t="shared" ca="1" si="122"/>
        <v>121084.02810706251</v>
      </c>
      <c r="EA58" s="2480">
        <f t="shared" ca="1" si="122"/>
        <v>120813.81604778435</v>
      </c>
      <c r="EB58" s="2480">
        <f t="shared" ca="1" si="122"/>
        <v>119933.08866398036</v>
      </c>
      <c r="EC58" s="2480">
        <f t="shared" ca="1" si="122"/>
        <v>119016.96301926406</v>
      </c>
      <c r="ED58" s="2480">
        <f t="shared" ca="1" si="122"/>
        <v>119003.88713625836</v>
      </c>
      <c r="EE58" s="2480">
        <f t="shared" ca="1" si="122"/>
        <v>118108.99171206306</v>
      </c>
      <c r="EF58" s="2480">
        <f t="shared" ca="1" si="122"/>
        <v>117024.01887234335</v>
      </c>
      <c r="EG58" s="2480">
        <f t="shared" ca="1" si="122"/>
        <v>115899.41657324178</v>
      </c>
      <c r="EH58" s="2480">
        <f t="shared" ref="EH58:GS58" ca="1" si="123">SUM(EH52,EH57)</f>
        <v>115232.54016282171</v>
      </c>
      <c r="EI58" s="2480">
        <f t="shared" ca="1" si="123"/>
        <v>114136.86002157578</v>
      </c>
      <c r="EJ58" s="2480">
        <f t="shared" ca="1" si="123"/>
        <v>112952.304599323</v>
      </c>
      <c r="EK58" s="2480">
        <f t="shared" ca="1" si="123"/>
        <v>111727.33621377398</v>
      </c>
      <c r="EL58" s="2480">
        <f t="shared" ca="1" si="123"/>
        <v>110547.16256592202</v>
      </c>
      <c r="EM58" s="2480">
        <f t="shared" ca="1" si="123"/>
        <v>109358.04046499368</v>
      </c>
      <c r="EN58" s="2480">
        <f t="shared" ca="1" si="123"/>
        <v>108152.26818286401</v>
      </c>
      <c r="EO58" s="2480">
        <f t="shared" ca="1" si="123"/>
        <v>106907.70152781252</v>
      </c>
      <c r="EP58" s="2480">
        <f t="shared" ca="1" si="123"/>
        <v>106451.47770268071</v>
      </c>
      <c r="EQ58" s="2480">
        <f t="shared" ca="1" si="123"/>
        <v>105232.11996093021</v>
      </c>
      <c r="ER58" s="2480">
        <f t="shared" ca="1" si="123"/>
        <v>104000.13315921967</v>
      </c>
      <c r="ES58" s="2480">
        <f t="shared" ca="1" si="123"/>
        <v>102730.74876759814</v>
      </c>
      <c r="ET58" s="2480">
        <f t="shared" ca="1" si="123"/>
        <v>101847.82147662927</v>
      </c>
      <c r="EU58" s="2480">
        <f t="shared" ca="1" si="123"/>
        <v>100609.26861107776</v>
      </c>
      <c r="EV58" s="2480">
        <f t="shared" ca="1" si="123"/>
        <v>99514.706804828194</v>
      </c>
      <c r="EW58" s="2480">
        <f t="shared" ca="1" si="123"/>
        <v>98388.494654205904</v>
      </c>
      <c r="EX58" s="2480">
        <f t="shared" ca="1" si="123"/>
        <v>97281.626052209031</v>
      </c>
      <c r="EY58" s="2480">
        <f t="shared" ca="1" si="123"/>
        <v>96186.165166987339</v>
      </c>
      <c r="EZ58" s="2480">
        <f t="shared" ca="1" si="123"/>
        <v>94902.895561570127</v>
      </c>
      <c r="FA58" s="2480">
        <f t="shared" ca="1" si="123"/>
        <v>93585.138703652105</v>
      </c>
      <c r="FB58" s="2480">
        <f t="shared" ca="1" si="123"/>
        <v>92927.723489606826</v>
      </c>
      <c r="FC58" s="2480">
        <f t="shared" ca="1" si="123"/>
        <v>91636.059210382955</v>
      </c>
      <c r="FD58" s="2480">
        <f t="shared" ca="1" si="123"/>
        <v>90483.413988780259</v>
      </c>
      <c r="FE58" s="2480">
        <f t="shared" ca="1" si="123"/>
        <v>89301.495589268219</v>
      </c>
      <c r="FF58" s="2480">
        <f t="shared" ca="1" si="123"/>
        <v>88429.514754538424</v>
      </c>
      <c r="FG58" s="2480">
        <f t="shared" ca="1" si="123"/>
        <v>87274.416425416333</v>
      </c>
      <c r="FH58" s="2480">
        <f t="shared" ca="1" si="123"/>
        <v>85954.268181226682</v>
      </c>
      <c r="FI58" s="2480">
        <f t="shared" ca="1" si="123"/>
        <v>84603.030318799269</v>
      </c>
      <c r="FJ58" s="2480">
        <f t="shared" ca="1" si="123"/>
        <v>83272.475466353877</v>
      </c>
      <c r="FK58" s="2480">
        <f t="shared" ca="1" si="123"/>
        <v>81959.988161353336</v>
      </c>
      <c r="FL58" s="2480">
        <f t="shared" ca="1" si="123"/>
        <v>80656.877350324634</v>
      </c>
      <c r="FM58" s="2480">
        <f t="shared" ca="1" si="123"/>
        <v>79325.280824987916</v>
      </c>
      <c r="FN58" s="2480">
        <f t="shared" ca="1" si="123"/>
        <v>78523.23592536732</v>
      </c>
      <c r="FO58" s="2480">
        <f t="shared" ca="1" si="123"/>
        <v>77218.810738318236</v>
      </c>
      <c r="FP58" s="2480">
        <f t="shared" ca="1" si="123"/>
        <v>75883.89898316309</v>
      </c>
      <c r="FQ58" s="2480">
        <f t="shared" ca="1" si="123"/>
        <v>74522.137593398948</v>
      </c>
      <c r="FR58" s="2480">
        <f t="shared" ca="1" si="123"/>
        <v>73411.732154794649</v>
      </c>
      <c r="FS58" s="2480">
        <f t="shared" ca="1" si="123"/>
        <v>72085.003674063963</v>
      </c>
      <c r="FT58" s="2480">
        <f t="shared" ca="1" si="123"/>
        <v>70714.610512430081</v>
      </c>
      <c r="FU58" s="2480">
        <f t="shared" ca="1" si="123"/>
        <v>69319.21096551283</v>
      </c>
      <c r="FV58" s="2480">
        <f t="shared" ca="1" si="123"/>
        <v>67945.28048851878</v>
      </c>
      <c r="FW58" s="2480">
        <f t="shared" ca="1" si="123"/>
        <v>66594.023774958478</v>
      </c>
      <c r="FX58" s="2480">
        <f t="shared" ca="1" si="123"/>
        <v>65200.287081670853</v>
      </c>
      <c r="FY58" s="2480">
        <f t="shared" ca="1" si="123"/>
        <v>63783.940384001158</v>
      </c>
      <c r="FZ58" s="2480">
        <f t="shared" ca="1" si="123"/>
        <v>62768.697554206548</v>
      </c>
      <c r="GA58" s="2480">
        <f t="shared" ca="1" si="123"/>
        <v>61388.400701454972</v>
      </c>
      <c r="GB58" s="2480">
        <f t="shared" ca="1" si="123"/>
        <v>59981.182520348142</v>
      </c>
      <c r="GC58" s="2480">
        <f t="shared" ca="1" si="123"/>
        <v>58554.217559061115</v>
      </c>
      <c r="GD58" s="2480">
        <f t="shared" ca="1" si="123"/>
        <v>57319.966266587697</v>
      </c>
      <c r="GE58" s="2480">
        <f t="shared" ca="1" si="123"/>
        <v>55939.408457825644</v>
      </c>
      <c r="GF58" s="2480">
        <f t="shared" ca="1" si="123"/>
        <v>54653.953051626471</v>
      </c>
      <c r="GG58" s="2480">
        <f t="shared" ca="1" si="123"/>
        <v>53353.155797734566</v>
      </c>
      <c r="GH58" s="2480">
        <f t="shared" ca="1" si="123"/>
        <v>52076.740716162007</v>
      </c>
      <c r="GI58" s="2480">
        <f t="shared" ca="1" si="123"/>
        <v>50824.215636398338</v>
      </c>
      <c r="GJ58" s="2480">
        <f t="shared" ca="1" si="123"/>
        <v>50616.634396317968</v>
      </c>
      <c r="GK58" s="2480">
        <f t="shared" ca="1" si="123"/>
        <v>50400.838194358163</v>
      </c>
      <c r="GL58" s="2480">
        <f t="shared" ca="1" si="123"/>
        <v>50396.084936938205</v>
      </c>
      <c r="GM58" s="2480">
        <f t="shared" ca="1" si="123"/>
        <v>50142.80534225575</v>
      </c>
      <c r="GN58" s="2480">
        <f t="shared" ca="1" si="123"/>
        <v>49093.130172435216</v>
      </c>
      <c r="GO58" s="2480">
        <f t="shared" ca="1" si="123"/>
        <v>48033.720078635153</v>
      </c>
      <c r="GP58" s="2480">
        <f t="shared" ca="1" si="123"/>
        <v>47101.653858965168</v>
      </c>
      <c r="GQ58" s="2480">
        <f t="shared" ca="1" si="123"/>
        <v>46069.102331509785</v>
      </c>
      <c r="GR58" s="2480">
        <f t="shared" ca="1" si="123"/>
        <v>44921.991269890597</v>
      </c>
      <c r="GS58" s="2480">
        <f t="shared" ca="1" si="123"/>
        <v>43768.630500746047</v>
      </c>
      <c r="GT58" s="2480">
        <f t="shared" ref="GT58:IA58" ca="1" si="124">SUM(GT52,GT57)</f>
        <v>42632.588982916459</v>
      </c>
      <c r="GU58" s="2480">
        <f t="shared" ca="1" si="124"/>
        <v>41524.010810228472</v>
      </c>
      <c r="GV58" s="2480">
        <f t="shared" ca="1" si="124"/>
        <v>40349.694125824069</v>
      </c>
      <c r="GW58" s="2480">
        <f t="shared" ca="1" si="124"/>
        <v>39174.095825397555</v>
      </c>
      <c r="GX58" s="2480">
        <f t="shared" ca="1" si="124"/>
        <v>38198.785445431124</v>
      </c>
      <c r="GY58" s="2480">
        <f t="shared" ca="1" si="124"/>
        <v>37069.892050208546</v>
      </c>
      <c r="GZ58" s="2480">
        <f t="shared" ca="1" si="124"/>
        <v>36106.483899931132</v>
      </c>
      <c r="HA58" s="2480">
        <f t="shared" ca="1" si="124"/>
        <v>35142.986103700285</v>
      </c>
      <c r="HB58" s="2480">
        <f t="shared" ca="1" si="124"/>
        <v>34263.690155929835</v>
      </c>
      <c r="HC58" s="2480">
        <f t="shared" ca="1" si="124"/>
        <v>33335.663060102954</v>
      </c>
      <c r="HD58" s="2480">
        <f t="shared" ca="1" si="124"/>
        <v>32252.68923063936</v>
      </c>
      <c r="HE58" s="2480">
        <f t="shared" ca="1" si="124"/>
        <v>31179.593307468123</v>
      </c>
      <c r="HF58" s="2480">
        <f t="shared" ca="1" si="124"/>
        <v>30145.232741763572</v>
      </c>
      <c r="HG58" s="2480">
        <f t="shared" ca="1" si="124"/>
        <v>29142.020420183602</v>
      </c>
      <c r="HH58" s="2480">
        <f t="shared" ca="1" si="124"/>
        <v>28104.932987346438</v>
      </c>
      <c r="HI58" s="2480">
        <f t="shared" ca="1" si="124"/>
        <v>27087.440317344459</v>
      </c>
      <c r="HJ58" s="2480">
        <f t="shared" ca="1" si="124"/>
        <v>26193.314263563683</v>
      </c>
      <c r="HK58" s="2480">
        <f t="shared" ca="1" si="124"/>
        <v>25255.687602526235</v>
      </c>
      <c r="HL58" s="2480">
        <f t="shared" ca="1" si="124"/>
        <v>24341.538422991594</v>
      </c>
      <c r="HM58" s="2480">
        <f t="shared" ca="1" si="124"/>
        <v>23456.340009679356</v>
      </c>
      <c r="HN58" s="2480">
        <f t="shared" ca="1" si="124"/>
        <v>22650.775420816411</v>
      </c>
      <c r="HO58" s="2480">
        <f t="shared" ca="1" si="124"/>
        <v>21861.839332975673</v>
      </c>
      <c r="HP58" s="2480">
        <f t="shared" ca="1" si="124"/>
        <v>21134.422915453379</v>
      </c>
      <c r="HQ58" s="2480">
        <f t="shared" ca="1" si="124"/>
        <v>20442.939303380695</v>
      </c>
      <c r="HR58" s="2480">
        <f t="shared" ca="1" si="124"/>
        <v>19809.893634774591</v>
      </c>
      <c r="HS58" s="2480">
        <f t="shared" ca="1" si="124"/>
        <v>19220.85210239052</v>
      </c>
      <c r="HT58" s="2480">
        <f t="shared" ca="1" si="124"/>
        <v>18658.815989287046</v>
      </c>
      <c r="HU58" s="2480">
        <f t="shared" ca="1" si="124"/>
        <v>18147.352195562504</v>
      </c>
      <c r="HV58" s="2480">
        <f t="shared" ca="1" si="124"/>
        <v>17709.796143142597</v>
      </c>
      <c r="HW58" s="2480">
        <f t="shared" ca="1" si="124"/>
        <v>17320.353938571639</v>
      </c>
      <c r="HX58" s="2480">
        <f t="shared" ca="1" si="124"/>
        <v>17031.215400614667</v>
      </c>
      <c r="HY58" s="2480">
        <f t="shared" ca="1" si="124"/>
        <v>16780.631672786054</v>
      </c>
      <c r="HZ58" s="2480">
        <f t="shared" ca="1" si="124"/>
        <v>16573.594361210064</v>
      </c>
      <c r="IA58" s="2480">
        <f t="shared" ca="1" si="124"/>
        <v>16411.091351772408</v>
      </c>
    </row>
    <row r="59" spans="3:235">
      <c r="C59" s="2466"/>
      <c r="D59" s="2476" t="s">
        <v>3941</v>
      </c>
      <c r="E59" s="2356"/>
      <c r="F59" s="2356"/>
      <c r="G59" s="2446"/>
      <c r="H59" s="2477"/>
      <c r="I59" s="2358"/>
      <c r="J59" s="2478">
        <f t="shared" ref="J59:BU59" si="125">J50</f>
        <v>0</v>
      </c>
      <c r="K59" s="2357">
        <f t="shared" si="125"/>
        <v>0</v>
      </c>
      <c r="L59" s="2479">
        <f t="shared" si="125"/>
        <v>0</v>
      </c>
      <c r="M59" s="2478">
        <f t="shared" si="125"/>
        <v>0</v>
      </c>
      <c r="N59" s="2357">
        <f t="shared" si="125"/>
        <v>0</v>
      </c>
      <c r="O59" s="2479">
        <f t="shared" si="125"/>
        <v>0</v>
      </c>
      <c r="P59" s="2357">
        <f t="shared" si="125"/>
        <v>0</v>
      </c>
      <c r="Q59" s="2477">
        <f t="shared" si="125"/>
        <v>0</v>
      </c>
      <c r="R59" s="2478">
        <f t="shared" si="125"/>
        <v>0</v>
      </c>
      <c r="S59" s="2357">
        <f t="shared" si="125"/>
        <v>0</v>
      </c>
      <c r="T59" s="2477">
        <f t="shared" si="125"/>
        <v>0</v>
      </c>
      <c r="U59" s="2480">
        <f t="shared" si="125"/>
        <v>0</v>
      </c>
      <c r="V59" s="2480">
        <f t="shared" si="125"/>
        <v>0</v>
      </c>
      <c r="W59" s="2480">
        <f t="shared" si="125"/>
        <v>0</v>
      </c>
      <c r="X59" s="2480">
        <f t="shared" si="125"/>
        <v>0</v>
      </c>
      <c r="Y59" s="2480">
        <f t="shared" si="125"/>
        <v>0</v>
      </c>
      <c r="Z59" s="2480">
        <f t="shared" si="125"/>
        <v>0</v>
      </c>
      <c r="AA59" s="2480">
        <f t="shared" si="125"/>
        <v>0</v>
      </c>
      <c r="AB59" s="2480">
        <f t="shared" si="125"/>
        <v>0</v>
      </c>
      <c r="AC59" s="2480">
        <f t="shared" si="125"/>
        <v>0</v>
      </c>
      <c r="AD59" s="2480">
        <f t="shared" si="125"/>
        <v>0</v>
      </c>
      <c r="AE59" s="2480">
        <f t="shared" si="125"/>
        <v>0</v>
      </c>
      <c r="AF59" s="2480">
        <f t="shared" si="125"/>
        <v>0</v>
      </c>
      <c r="AG59" s="2480">
        <f t="shared" si="125"/>
        <v>0</v>
      </c>
      <c r="AH59" s="2480">
        <f t="shared" si="125"/>
        <v>0</v>
      </c>
      <c r="AI59" s="2480">
        <f t="shared" si="125"/>
        <v>0</v>
      </c>
      <c r="AJ59" s="2480">
        <f t="shared" si="125"/>
        <v>249602.9479313264</v>
      </c>
      <c r="AK59" s="2480">
        <f t="shared" si="125"/>
        <v>245903.71437213046</v>
      </c>
      <c r="AL59" s="2480">
        <f t="shared" si="125"/>
        <v>244540.42781247213</v>
      </c>
      <c r="AM59" s="2480">
        <f t="shared" si="125"/>
        <v>241243.62945873116</v>
      </c>
      <c r="AN59" s="2480">
        <f t="shared" si="125"/>
        <v>240632.47936951002</v>
      </c>
      <c r="AO59" s="2480">
        <f t="shared" si="125"/>
        <v>236206.63906786917</v>
      </c>
      <c r="AP59" s="2480">
        <f t="shared" si="125"/>
        <v>237395.14474750799</v>
      </c>
      <c r="AQ59" s="2480">
        <f t="shared" si="125"/>
        <v>234393.22087427272</v>
      </c>
      <c r="AR59" s="2480">
        <f t="shared" si="125"/>
        <v>232759.56732278128</v>
      </c>
      <c r="AS59" s="2480">
        <f t="shared" si="125"/>
        <v>229370.4190431677</v>
      </c>
      <c r="AT59" s="2480">
        <f t="shared" si="125"/>
        <v>227194.37729129425</v>
      </c>
      <c r="AU59" s="2480">
        <f t="shared" si="125"/>
        <v>223318.84997923023</v>
      </c>
      <c r="AV59" s="2480">
        <f t="shared" si="125"/>
        <v>221520.83992199771</v>
      </c>
      <c r="AW59" s="2480">
        <f t="shared" si="125"/>
        <v>216894.33978112959</v>
      </c>
      <c r="AX59" s="2480">
        <f t="shared" si="125"/>
        <v>214904.99761103891</v>
      </c>
      <c r="AY59" s="2480">
        <f t="shared" si="125"/>
        <v>210624.70423116736</v>
      </c>
      <c r="AZ59" s="2480">
        <f t="shared" si="125"/>
        <v>208549.04071129716</v>
      </c>
      <c r="BA59" s="2480">
        <f t="shared" si="125"/>
        <v>204507.68097929048</v>
      </c>
      <c r="BB59" s="2480">
        <f t="shared" si="125"/>
        <v>202936.36193442583</v>
      </c>
      <c r="BC59" s="2480">
        <f t="shared" si="125"/>
        <v>199621.13072400598</v>
      </c>
      <c r="BD59" s="2480">
        <f t="shared" si="125"/>
        <v>196651.20305464536</v>
      </c>
      <c r="BE59" s="2480">
        <f t="shared" si="125"/>
        <v>192251.80130022368</v>
      </c>
      <c r="BF59" s="2480">
        <f t="shared" si="125"/>
        <v>190096.05649249727</v>
      </c>
      <c r="BG59" s="2480">
        <f t="shared" si="125"/>
        <v>187404.29969651523</v>
      </c>
      <c r="BH59" s="2480">
        <f t="shared" si="125"/>
        <v>184263.62966988175</v>
      </c>
      <c r="BI59" s="2480">
        <f t="shared" si="125"/>
        <v>181251.78151739592</v>
      </c>
      <c r="BJ59" s="2480">
        <f t="shared" si="125"/>
        <v>178701.10792237814</v>
      </c>
      <c r="BK59" s="2480">
        <f t="shared" si="125"/>
        <v>176000.26460969361</v>
      </c>
      <c r="BL59" s="2480">
        <f t="shared" si="125"/>
        <v>174099.02823065463</v>
      </c>
      <c r="BM59" s="2480">
        <f t="shared" si="125"/>
        <v>171233.15436507252</v>
      </c>
      <c r="BN59" s="2480">
        <f t="shared" si="125"/>
        <v>170405.31105350898</v>
      </c>
      <c r="BO59" s="2480">
        <f t="shared" si="125"/>
        <v>167048.95745422257</v>
      </c>
      <c r="BP59" s="2480">
        <f t="shared" si="125"/>
        <v>165545.28846140308</v>
      </c>
      <c r="BQ59" s="2480">
        <f t="shared" si="125"/>
        <v>161889.32188946792</v>
      </c>
      <c r="BR59" s="2480">
        <f t="shared" si="125"/>
        <v>160785.30387867542</v>
      </c>
      <c r="BS59" s="2480">
        <f t="shared" si="125"/>
        <v>158038.85501704222</v>
      </c>
      <c r="BT59" s="2480">
        <f t="shared" si="125"/>
        <v>157555.96768994225</v>
      </c>
      <c r="BU59" s="2480">
        <f t="shared" si="125"/>
        <v>152917.57052441276</v>
      </c>
      <c r="BV59" s="2480">
        <f t="shared" ref="BV59:EG59" si="126">BV50</f>
        <v>150457.19639059858</v>
      </c>
      <c r="BW59" s="2480">
        <f t="shared" si="126"/>
        <v>148394.12546967852</v>
      </c>
      <c r="BX59" s="2480">
        <f t="shared" si="126"/>
        <v>146254.7253936982</v>
      </c>
      <c r="BY59" s="2480">
        <f t="shared" si="126"/>
        <v>143612.00986104057</v>
      </c>
      <c r="BZ59" s="2480">
        <f t="shared" si="126"/>
        <v>141427.36235346791</v>
      </c>
      <c r="CA59" s="2480">
        <f t="shared" si="126"/>
        <v>138649.53557834285</v>
      </c>
      <c r="CB59" s="2480">
        <f t="shared" si="126"/>
        <v>137647.16015294602</v>
      </c>
      <c r="CC59" s="2480">
        <f t="shared" si="126"/>
        <v>134704.3832317077</v>
      </c>
      <c r="CD59" s="2480">
        <f t="shared" si="126"/>
        <v>134355.33384737402</v>
      </c>
      <c r="CE59" s="2480">
        <f t="shared" si="126"/>
        <v>132292.47364152715</v>
      </c>
      <c r="CF59" s="2480">
        <f t="shared" si="126"/>
        <v>131419.90982328044</v>
      </c>
      <c r="CG59" s="2480">
        <f t="shared" si="126"/>
        <v>130224.79550104965</v>
      </c>
      <c r="CH59" s="2480">
        <f t="shared" ca="1" si="126"/>
        <v>128438.67035677853</v>
      </c>
      <c r="CI59" s="2480">
        <f t="shared" ca="1" si="126"/>
        <v>126677.04318172077</v>
      </c>
      <c r="CJ59" s="2480">
        <f t="shared" ca="1" si="126"/>
        <v>124939.57796890759</v>
      </c>
      <c r="CK59" s="2480">
        <f t="shared" ca="1" si="126"/>
        <v>123225.9433199433</v>
      </c>
      <c r="CL59" s="2480">
        <f t="shared" ca="1" si="126"/>
        <v>121535.81238179564</v>
      </c>
      <c r="CM59" s="2480">
        <f t="shared" ca="1" si="126"/>
        <v>119868.86278445268</v>
      </c>
      <c r="CN59" s="2480">
        <f t="shared" ca="1" si="126"/>
        <v>118224.77657943526</v>
      </c>
      <c r="CO59" s="2480">
        <f t="shared" ca="1" si="126"/>
        <v>116603.24017915223</v>
      </c>
      <c r="CP59" s="2480">
        <f t="shared" ca="1" si="126"/>
        <v>115003.94429708816</v>
      </c>
      <c r="CQ59" s="2480">
        <f t="shared" ca="1" si="126"/>
        <v>113426.5838888107</v>
      </c>
      <c r="CR59" s="2480">
        <f t="shared" ca="1" si="126"/>
        <v>111870.85809378768</v>
      </c>
      <c r="CS59" s="2480">
        <f t="shared" ca="1" si="126"/>
        <v>110336.47017800179</v>
      </c>
      <c r="CT59" s="2480">
        <f t="shared" ca="1" si="126"/>
        <v>108823.12747735259</v>
      </c>
      <c r="CU59" s="2480">
        <f t="shared" ca="1" si="126"/>
        <v>107330.54134183473</v>
      </c>
      <c r="CV59" s="2480">
        <f t="shared" ca="1" si="126"/>
        <v>105858.42708048165</v>
      </c>
      <c r="CW59" s="2480">
        <f t="shared" ca="1" si="126"/>
        <v>104406.50390706488</v>
      </c>
      <c r="CX59" s="2480">
        <f t="shared" ca="1" si="126"/>
        <v>102974.4948865374</v>
      </c>
      <c r="CY59" s="2480">
        <f t="shared" ca="1" si="126"/>
        <v>101562.12688221229</v>
      </c>
      <c r="CZ59" s="2480">
        <f t="shared" ca="1" si="126"/>
        <v>100169.13050366541</v>
      </c>
      <c r="DA59" s="2480">
        <f t="shared" ca="1" si="126"/>
        <v>98795.240055352697</v>
      </c>
      <c r="DB59" s="2480">
        <f t="shared" ca="1" si="126"/>
        <v>97440.193485932323</v>
      </c>
      <c r="DC59" s="2480">
        <f t="shared" ca="1" si="126"/>
        <v>96103.73233828196</v>
      </c>
      <c r="DD59" s="2480">
        <f t="shared" ca="1" si="126"/>
        <v>94785.601700201441</v>
      </c>
      <c r="DE59" s="2480">
        <f t="shared" ca="1" si="126"/>
        <v>93485.550155791585</v>
      </c>
      <c r="DF59" s="2480">
        <f t="shared" ca="1" si="126"/>
        <v>92203.329737500128</v>
      </c>
      <c r="DG59" s="2480">
        <f t="shared" ca="1" si="126"/>
        <v>90938.695878825005</v>
      </c>
      <c r="DH59" s="2480">
        <f t="shared" ca="1" si="126"/>
        <v>89691.407367666761</v>
      </c>
      <c r="DI59" s="2480">
        <f t="shared" ca="1" si="126"/>
        <v>88461.226300320341</v>
      </c>
      <c r="DJ59" s="2480">
        <f t="shared" ca="1" si="126"/>
        <v>87247.918036098243</v>
      </c>
      <c r="DK59" s="2480">
        <f t="shared" ca="1" si="126"/>
        <v>86051.251152575875</v>
      </c>
      <c r="DL59" s="2480">
        <f t="shared" ca="1" si="126"/>
        <v>84870.997401450833</v>
      </c>
      <c r="DM59" s="2480">
        <f t="shared" ca="1" si="126"/>
        <v>83706.931665007607</v>
      </c>
      <c r="DN59" s="2480">
        <f t="shared" ca="1" si="126"/>
        <v>82558.831913179252</v>
      </c>
      <c r="DO59" s="2480">
        <f t="shared" ca="1" si="126"/>
        <v>81426.479161198222</v>
      </c>
      <c r="DP59" s="2480">
        <f t="shared" ca="1" si="126"/>
        <v>80309.657427827871</v>
      </c>
      <c r="DQ59" s="2480">
        <f t="shared" ca="1" si="126"/>
        <v>79208.153694166918</v>
      </c>
      <c r="DR59" s="2480">
        <f t="shared" ca="1" si="126"/>
        <v>78121.757863018924</v>
      </c>
      <c r="DS59" s="2480">
        <f t="shared" ca="1" si="126"/>
        <v>77050.262718819024</v>
      </c>
      <c r="DT59" s="2480">
        <f t="shared" ca="1" si="126"/>
        <v>75993.463888110418</v>
      </c>
      <c r="DU59" s="2480">
        <f t="shared" ca="1" si="126"/>
        <v>74951.159800562687</v>
      </c>
      <c r="DV59" s="2480">
        <f t="shared" ca="1" si="126"/>
        <v>73923.151650525018</v>
      </c>
      <c r="DW59" s="2480">
        <f t="shared" ca="1" si="126"/>
        <v>72909.243359106709</v>
      </c>
      <c r="DX59" s="2480">
        <f t="shared" ca="1" si="126"/>
        <v>71909.241536777612</v>
      </c>
      <c r="DY59" s="2480">
        <f t="shared" ca="1" si="126"/>
        <v>70922.955446481807</v>
      </c>
      <c r="DZ59" s="2480">
        <f t="shared" ca="1" si="126"/>
        <v>69950.196967256867</v>
      </c>
      <c r="EA59" s="2480">
        <f t="shared" ca="1" si="126"/>
        <v>68990.780558352402</v>
      </c>
      <c r="EB59" s="2480">
        <f t="shared" ca="1" si="126"/>
        <v>68044.523223840632</v>
      </c>
      <c r="EC59" s="2480">
        <f t="shared" ca="1" si="126"/>
        <v>67111.244477712287</v>
      </c>
      <c r="ED59" s="2480">
        <f t="shared" ca="1" si="126"/>
        <v>66190.766309451297</v>
      </c>
      <c r="EE59" s="2480">
        <f t="shared" ca="1" si="126"/>
        <v>65282.913150081724</v>
      </c>
      <c r="EF59" s="2480">
        <f t="shared" ca="1" si="126"/>
        <v>64387.511838680264</v>
      </c>
      <c r="EG59" s="2480">
        <f t="shared" ca="1" si="126"/>
        <v>63504.391589348095</v>
      </c>
      <c r="EH59" s="2480">
        <f t="shared" ref="EH59:GS59" ca="1" si="127">EH50</f>
        <v>62633.383958635728</v>
      </c>
      <c r="EI59" s="2480">
        <f t="shared" ca="1" si="127"/>
        <v>61774.322813414714</v>
      </c>
      <c r="EJ59" s="2480">
        <f t="shared" ca="1" si="127"/>
        <v>60927.044299189911</v>
      </c>
      <c r="EK59" s="2480">
        <f t="shared" ca="1" si="127"/>
        <v>60091.386808846401</v>
      </c>
      <c r="EL59" s="2480">
        <f t="shared" ca="1" si="127"/>
        <v>59267.19095182517</v>
      </c>
      <c r="EM59" s="2480">
        <f t="shared" ca="1" si="127"/>
        <v>58454.299523721376</v>
      </c>
      <c r="EN59" s="2480">
        <f t="shared" ca="1" si="127"/>
        <v>57652.557476299749</v>
      </c>
      <c r="EO59" s="2480">
        <f t="shared" ca="1" si="127"/>
        <v>56861.811887921212</v>
      </c>
      <c r="EP59" s="2480">
        <f t="shared" ca="1" si="127"/>
        <v>56081.911934375028</v>
      </c>
      <c r="EQ59" s="2480">
        <f t="shared" ca="1" si="127"/>
        <v>55312.708860111197</v>
      </c>
      <c r="ER59" s="2480">
        <f t="shared" ca="1" si="127"/>
        <v>54554.055949867252</v>
      </c>
      <c r="ES59" s="2480">
        <f t="shared" ca="1" si="127"/>
        <v>53805.80850068431</v>
      </c>
      <c r="ET59" s="2480">
        <f t="shared" ca="1" si="127"/>
        <v>53067.823794306838</v>
      </c>
      <c r="EU59" s="2480">
        <f t="shared" ca="1" si="127"/>
        <v>52339.9610699611</v>
      </c>
      <c r="EV59" s="2480">
        <f t="shared" ca="1" si="127"/>
        <v>51622.081497506922</v>
      </c>
      <c r="EW59" s="2480">
        <f t="shared" ca="1" si="127"/>
        <v>50914.04815095762</v>
      </c>
      <c r="EX59" s="2480">
        <f t="shared" ca="1" si="127"/>
        <v>50215.725982363234</v>
      </c>
      <c r="EY59" s="2480">
        <f t="shared" ca="1" si="127"/>
        <v>49526.981796051914</v>
      </c>
      <c r="EZ59" s="2480">
        <f t="shared" ca="1" si="127"/>
        <v>48847.684223224693</v>
      </c>
      <c r="FA59" s="2480">
        <f t="shared" ca="1" si="127"/>
        <v>48177.703696898483</v>
      </c>
      <c r="FB59" s="2480">
        <f t="shared" ca="1" si="127"/>
        <v>47516.912427193005</v>
      </c>
      <c r="FC59" s="2480">
        <f t="shared" ca="1" si="127"/>
        <v>46865.18437695656</v>
      </c>
      <c r="FD59" s="2480">
        <f t="shared" ca="1" si="127"/>
        <v>46222.395237726101</v>
      </c>
      <c r="FE59" s="2480">
        <f t="shared" ca="1" si="127"/>
        <v>45588.422406016987</v>
      </c>
      <c r="FF59" s="2480">
        <f t="shared" ca="1" si="127"/>
        <v>44963.144959938145</v>
      </c>
      <c r="FG59" s="2480">
        <f t="shared" ca="1" si="127"/>
        <v>44346.443636127609</v>
      </c>
      <c r="FH59" s="2480">
        <f t="shared" ca="1" si="127"/>
        <v>43738.200807004876</v>
      </c>
      <c r="FI59" s="2480">
        <f t="shared" ca="1" si="127"/>
        <v>43138.300458334772</v>
      </c>
      <c r="FJ59" s="2480">
        <f t="shared" ca="1" si="127"/>
        <v>42546.628167099458</v>
      </c>
      <c r="FK59" s="2480">
        <f t="shared" ca="1" si="127"/>
        <v>41963.071079673689</v>
      </c>
      <c r="FL59" s="2480">
        <f t="shared" ca="1" si="127"/>
        <v>41387.517890299438</v>
      </c>
      <c r="FM59" s="2480">
        <f t="shared" ca="1" si="127"/>
        <v>40819.858819855814</v>
      </c>
      <c r="FN59" s="2480">
        <f t="shared" ca="1" si="127"/>
        <v>40259.985594920283</v>
      </c>
      <c r="FO59" s="2480">
        <f t="shared" ca="1" si="127"/>
        <v>39707.791427116812</v>
      </c>
      <c r="FP59" s="2480">
        <f t="shared" ca="1" si="127"/>
        <v>39163.170992747422</v>
      </c>
      <c r="FQ59" s="2480">
        <f t="shared" ca="1" si="127"/>
        <v>38626.020412703161</v>
      </c>
      <c r="FR59" s="2480">
        <f t="shared" ca="1" si="127"/>
        <v>38096.237232650477</v>
      </c>
      <c r="FS59" s="2480">
        <f t="shared" ca="1" si="127"/>
        <v>37573.720403489417</v>
      </c>
      <c r="FT59" s="2480">
        <f t="shared" ca="1" si="127"/>
        <v>37058.370262079938</v>
      </c>
      <c r="FU59" s="2480">
        <f t="shared" ca="1" si="127"/>
        <v>36550.08851223244</v>
      </c>
      <c r="FV59" s="2480">
        <f t="shared" ca="1" si="127"/>
        <v>36048.778205958944</v>
      </c>
      <c r="FW59" s="2480">
        <f t="shared" ca="1" si="127"/>
        <v>35554.343724981816</v>
      </c>
      <c r="FX59" s="2480">
        <f t="shared" ca="1" si="127"/>
        <v>35066.690762495607</v>
      </c>
      <c r="FY59" s="2480">
        <f t="shared" ca="1" si="127"/>
        <v>34585.726305179443</v>
      </c>
      <c r="FZ59" s="2480">
        <f t="shared" ca="1" si="127"/>
        <v>34111.358615455865</v>
      </c>
      <c r="GA59" s="2480">
        <f t="shared" ca="1" si="127"/>
        <v>33643.497213993141</v>
      </c>
      <c r="GB59" s="2480">
        <f t="shared" ca="1" si="127"/>
        <v>33182.052862447606</v>
      </c>
      <c r="GC59" s="2480">
        <f t="shared" ca="1" si="127"/>
        <v>32726.937546442572</v>
      </c>
      <c r="GD59" s="2480">
        <f t="shared" ca="1" si="127"/>
        <v>32278.064458780704</v>
      </c>
      <c r="GE59" s="2480">
        <f t="shared" ca="1" si="127"/>
        <v>31835.347982886764</v>
      </c>
      <c r="GF59" s="2480">
        <f t="shared" ca="1" si="127"/>
        <v>31398.703676477417</v>
      </c>
      <c r="GG59" s="2480">
        <f t="shared" ca="1" si="127"/>
        <v>30968.048255454923</v>
      </c>
      <c r="GH59" s="2480">
        <f t="shared" ca="1" si="127"/>
        <v>30543.299578021819</v>
      </c>
      <c r="GI59" s="2480">
        <f t="shared" ca="1" si="127"/>
        <v>30124.376629013488</v>
      </c>
      <c r="GJ59" s="2480">
        <f t="shared" ca="1" si="127"/>
        <v>29711.199504445518</v>
      </c>
      <c r="GK59" s="2480">
        <f t="shared" ca="1" si="127"/>
        <v>29303.689396273217</v>
      </c>
      <c r="GL59" s="2480">
        <f t="shared" ca="1" si="127"/>
        <v>28901.768577359984</v>
      </c>
      <c r="GM59" s="2480">
        <f t="shared" ca="1" si="127"/>
        <v>28505.360386651711</v>
      </c>
      <c r="GN59" s="2480">
        <f t="shared" ca="1" si="127"/>
        <v>28114.389214554943</v>
      </c>
      <c r="GO59" s="2480">
        <f t="shared" ca="1" si="127"/>
        <v>27728.780488515265</v>
      </c>
      <c r="GP59" s="2480">
        <f t="shared" ca="1" si="127"/>
        <v>27348.46065879348</v>
      </c>
      <c r="GQ59" s="2480">
        <f t="shared" ca="1" si="127"/>
        <v>26973.35718443718</v>
      </c>
      <c r="GR59" s="2480">
        <f t="shared" ca="1" si="127"/>
        <v>26603.398519444403</v>
      </c>
      <c r="GS59" s="2480">
        <f t="shared" ca="1" si="127"/>
        <v>26238.514099117096</v>
      </c>
      <c r="GT59" s="2480">
        <f t="shared" ref="GT59:IA59" ca="1" si="128">GT50</f>
        <v>25878.634326601998</v>
      </c>
      <c r="GU59" s="2480">
        <f t="shared" ca="1" si="128"/>
        <v>25523.690559615869</v>
      </c>
      <c r="GV59" s="2480">
        <f t="shared" ca="1" si="128"/>
        <v>25173.615097352937</v>
      </c>
      <c r="GW59" s="2480">
        <f t="shared" ca="1" si="128"/>
        <v>24828.341167571885</v>
      </c>
      <c r="GX59" s="2480">
        <f t="shared" ca="1" si="128"/>
        <v>24487.802913859785</v>
      </c>
      <c r="GY59" s="2480">
        <f t="shared" ca="1" si="128"/>
        <v>24151.935383071101</v>
      </c>
      <c r="GZ59" s="2480">
        <f t="shared" ca="1" si="128"/>
        <v>23820.674512938524</v>
      </c>
      <c r="HA59" s="2480">
        <f t="shared" ca="1" si="128"/>
        <v>23493.957119854091</v>
      </c>
      <c r="HB59" s="2480">
        <f t="shared" ca="1" si="128"/>
        <v>23171.720886817679</v>
      </c>
      <c r="HC59" s="2480">
        <f t="shared" ca="1" si="128"/>
        <v>22853.904351550824</v>
      </c>
      <c r="HD59" s="2480">
        <f t="shared" ca="1" si="128"/>
        <v>22540.446894773748</v>
      </c>
      <c r="HE59" s="2480">
        <f t="shared" ca="1" si="128"/>
        <v>22231.288728642929</v>
      </c>
      <c r="HF59" s="2480">
        <f t="shared" ca="1" si="128"/>
        <v>21926.370885347413</v>
      </c>
      <c r="HG59" s="2480">
        <f t="shared" ca="1" si="128"/>
        <v>21625.635205861392</v>
      </c>
      <c r="HH59" s="2480">
        <f t="shared" ca="1" si="128"/>
        <v>21329.024328851327</v>
      </c>
      <c r="HI59" s="2480">
        <f t="shared" ca="1" si="128"/>
        <v>21036.48167973481</v>
      </c>
      <c r="HJ59" s="2480">
        <f t="shared" ca="1" si="128"/>
        <v>20747.951459889922</v>
      </c>
      <c r="HK59" s="2480">
        <f t="shared" ca="1" si="128"/>
        <v>20463.378636012272</v>
      </c>
      <c r="HL59" s="2480">
        <f t="shared" ca="1" si="128"/>
        <v>20182.708929618111</v>
      </c>
      <c r="HM59" s="2480">
        <f t="shared" ca="1" si="128"/>
        <v>19905.888806691506</v>
      </c>
      <c r="HN59" s="2480">
        <f t="shared" ca="1" si="128"/>
        <v>19632.865467473384</v>
      </c>
      <c r="HO59" s="2480">
        <f t="shared" ca="1" si="128"/>
        <v>19363.586836390685</v>
      </c>
      <c r="HP59" s="2480">
        <f t="shared" ca="1" si="128"/>
        <v>19098.001552123715</v>
      </c>
      <c r="HQ59" s="2480">
        <f t="shared" ca="1" si="128"/>
        <v>18836.058957809564</v>
      </c>
      <c r="HR59" s="2480">
        <f t="shared" ca="1" si="128"/>
        <v>18577.709091379962</v>
      </c>
      <c r="HS59" s="2480">
        <f t="shared" ca="1" si="128"/>
        <v>18322.902676031794</v>
      </c>
      <c r="HT59" s="2480">
        <f t="shared" ca="1" si="128"/>
        <v>18071.59111082814</v>
      </c>
      <c r="HU59" s="2480">
        <f t="shared" ca="1" si="128"/>
        <v>17823.726461428279</v>
      </c>
      <c r="HV59" s="2480">
        <f t="shared" ca="1" si="128"/>
        <v>17579.261450944839</v>
      </c>
      <c r="HW59" s="2480">
        <f t="shared" ca="1" si="128"/>
        <v>17338.149450926408</v>
      </c>
      <c r="HX59" s="2480">
        <f t="shared" ca="1" si="128"/>
        <v>17100.344472463767</v>
      </c>
      <c r="HY59" s="2480">
        <f t="shared" ca="1" si="128"/>
        <v>16865.801157418082</v>
      </c>
      <c r="HZ59" s="2480">
        <f t="shared" ca="1" si="128"/>
        <v>16634.474769769426</v>
      </c>
      <c r="IA59" s="2480">
        <f t="shared" ca="1" si="128"/>
        <v>16411.091351772408</v>
      </c>
    </row>
    <row r="60" spans="3:235">
      <c r="C60" s="2491"/>
      <c r="D60" s="2492" t="s">
        <v>3942</v>
      </c>
      <c r="E60" s="2424"/>
      <c r="F60" s="2424"/>
      <c r="G60" s="2493"/>
      <c r="H60" s="2494"/>
      <c r="I60" s="2358"/>
      <c r="J60" s="2495">
        <f t="shared" ref="J60:X60" si="129">MAX(J58,J59)</f>
        <v>0</v>
      </c>
      <c r="K60" s="2496">
        <f t="shared" si="129"/>
        <v>0</v>
      </c>
      <c r="L60" s="2497">
        <f t="shared" si="129"/>
        <v>0</v>
      </c>
      <c r="M60" s="2495">
        <f t="shared" si="129"/>
        <v>0</v>
      </c>
      <c r="N60" s="2496">
        <f t="shared" si="129"/>
        <v>0</v>
      </c>
      <c r="O60" s="2497">
        <f t="shared" si="129"/>
        <v>0</v>
      </c>
      <c r="P60" s="2496">
        <f t="shared" si="129"/>
        <v>0</v>
      </c>
      <c r="Q60" s="2494">
        <f t="shared" si="129"/>
        <v>0</v>
      </c>
      <c r="R60" s="2495">
        <f t="shared" si="129"/>
        <v>0</v>
      </c>
      <c r="S60" s="2496">
        <f t="shared" si="129"/>
        <v>0</v>
      </c>
      <c r="T60" s="2494">
        <f t="shared" si="129"/>
        <v>0</v>
      </c>
      <c r="U60" s="2498">
        <f t="shared" si="129"/>
        <v>0</v>
      </c>
      <c r="V60" s="2498">
        <f t="shared" si="129"/>
        <v>0</v>
      </c>
      <c r="W60" s="2498">
        <f t="shared" si="129"/>
        <v>0</v>
      </c>
      <c r="X60" s="2498">
        <f t="shared" si="129"/>
        <v>0</v>
      </c>
      <c r="Y60" s="2498">
        <f t="shared" ref="Y60:CJ60" si="130">CHOOSE($G$32,MAX(Y58,Y59),Y61)</f>
        <v>0</v>
      </c>
      <c r="Z60" s="2498">
        <f t="shared" si="130"/>
        <v>0</v>
      </c>
      <c r="AA60" s="2498">
        <f t="shared" si="130"/>
        <v>0</v>
      </c>
      <c r="AB60" s="2498">
        <f t="shared" si="130"/>
        <v>0</v>
      </c>
      <c r="AC60" s="2498">
        <f t="shared" si="130"/>
        <v>0</v>
      </c>
      <c r="AD60" s="2498">
        <f t="shared" si="130"/>
        <v>0</v>
      </c>
      <c r="AE60" s="2498">
        <f t="shared" si="130"/>
        <v>0</v>
      </c>
      <c r="AF60" s="2498">
        <f t="shared" si="130"/>
        <v>0</v>
      </c>
      <c r="AG60" s="2498">
        <f t="shared" si="130"/>
        <v>0</v>
      </c>
      <c r="AH60" s="2498">
        <f t="shared" si="130"/>
        <v>0</v>
      </c>
      <c r="AI60" s="2498">
        <f t="shared" si="130"/>
        <v>0</v>
      </c>
      <c r="AJ60" s="2498">
        <f t="shared" si="130"/>
        <v>249602.9479313264</v>
      </c>
      <c r="AK60" s="2498">
        <f t="shared" si="130"/>
        <v>245903.71437213046</v>
      </c>
      <c r="AL60" s="2498">
        <f t="shared" si="130"/>
        <v>244540.42781247213</v>
      </c>
      <c r="AM60" s="2498">
        <f t="shared" si="130"/>
        <v>241243.62945873116</v>
      </c>
      <c r="AN60" s="2498">
        <f t="shared" si="130"/>
        <v>240632.47936951002</v>
      </c>
      <c r="AO60" s="2498">
        <f t="shared" si="130"/>
        <v>236206.63906786917</v>
      </c>
      <c r="AP60" s="2498">
        <f t="shared" si="130"/>
        <v>237395.14474750799</v>
      </c>
      <c r="AQ60" s="2498">
        <f t="shared" si="130"/>
        <v>234393.22087427272</v>
      </c>
      <c r="AR60" s="2498">
        <f t="shared" si="130"/>
        <v>232759.56732278128</v>
      </c>
      <c r="AS60" s="2498">
        <f t="shared" si="130"/>
        <v>229370.4190431677</v>
      </c>
      <c r="AT60" s="2498">
        <f t="shared" si="130"/>
        <v>227194.37729129425</v>
      </c>
      <c r="AU60" s="2498">
        <f t="shared" si="130"/>
        <v>223318.84997923023</v>
      </c>
      <c r="AV60" s="2498">
        <f t="shared" si="130"/>
        <v>221520.83992199771</v>
      </c>
      <c r="AW60" s="2498">
        <f t="shared" si="130"/>
        <v>216894.33978112959</v>
      </c>
      <c r="AX60" s="2498">
        <f t="shared" si="130"/>
        <v>214904.99761103891</v>
      </c>
      <c r="AY60" s="2498">
        <f t="shared" si="130"/>
        <v>210624.70423116736</v>
      </c>
      <c r="AZ60" s="2498">
        <f t="shared" si="130"/>
        <v>208549.04071129716</v>
      </c>
      <c r="BA60" s="2498">
        <f t="shared" si="130"/>
        <v>204507.68097929048</v>
      </c>
      <c r="BB60" s="2498">
        <f t="shared" si="130"/>
        <v>202936.36193442583</v>
      </c>
      <c r="BC60" s="2498">
        <f t="shared" si="130"/>
        <v>202963.38625194956</v>
      </c>
      <c r="BD60" s="2498">
        <f t="shared" si="130"/>
        <v>202073.23328804408</v>
      </c>
      <c r="BE60" s="2498">
        <f t="shared" si="130"/>
        <v>199545.69069608167</v>
      </c>
      <c r="BF60" s="2498">
        <f t="shared" si="130"/>
        <v>199514.28778109446</v>
      </c>
      <c r="BG60" s="2498">
        <f t="shared" si="130"/>
        <v>198702.78727513109</v>
      </c>
      <c r="BH60" s="2498">
        <f t="shared" si="130"/>
        <v>196615.90833001415</v>
      </c>
      <c r="BI60" s="2498">
        <f t="shared" si="130"/>
        <v>194488.25873666673</v>
      </c>
      <c r="BJ60" s="2498">
        <f t="shared" si="130"/>
        <v>193060.781125774</v>
      </c>
      <c r="BK60" s="2498">
        <f t="shared" si="130"/>
        <v>191228.2139165421</v>
      </c>
      <c r="BL60" s="2498">
        <f t="shared" si="130"/>
        <v>190711.80237497206</v>
      </c>
      <c r="BM60" s="2498">
        <f t="shared" si="130"/>
        <v>188992.13799200518</v>
      </c>
      <c r="BN60" s="2498">
        <f t="shared" si="130"/>
        <v>189713.33945981995</v>
      </c>
      <c r="BO60" s="2498">
        <f t="shared" si="130"/>
        <v>187409.15495668224</v>
      </c>
      <c r="BP60" s="2498">
        <f t="shared" si="130"/>
        <v>187528.04826785834</v>
      </c>
      <c r="BQ60" s="2498">
        <f t="shared" si="130"/>
        <v>185074.69525535183</v>
      </c>
      <c r="BR60" s="2498">
        <f t="shared" si="130"/>
        <v>185695.77546970971</v>
      </c>
      <c r="BS60" s="2498">
        <f t="shared" si="130"/>
        <v>184232.6566004974</v>
      </c>
      <c r="BT60" s="2498">
        <f t="shared" si="130"/>
        <v>185914.15814795697</v>
      </c>
      <c r="BU60" s="2498">
        <f t="shared" si="130"/>
        <v>182577.4401058557</v>
      </c>
      <c r="BV60" s="2498">
        <f t="shared" si="130"/>
        <v>181930.68243910684</v>
      </c>
      <c r="BW60" s="2498">
        <f t="shared" si="130"/>
        <v>181590.82461400219</v>
      </c>
      <c r="BX60" s="2498">
        <f t="shared" si="130"/>
        <v>180837.16484691098</v>
      </c>
      <c r="BY60" s="2498">
        <f t="shared" si="130"/>
        <v>179342.55292784568</v>
      </c>
      <c r="BZ60" s="2498">
        <f t="shared" si="130"/>
        <v>189566.99485581281</v>
      </c>
      <c r="CA60" s="2498">
        <f t="shared" si="130"/>
        <v>187702.41876410085</v>
      </c>
      <c r="CB60" s="2498">
        <f t="shared" si="130"/>
        <v>188251.5849000561</v>
      </c>
      <c r="CC60" s="2498">
        <f t="shared" si="130"/>
        <v>186035.80088636844</v>
      </c>
      <c r="CD60" s="2498">
        <f t="shared" si="130"/>
        <v>184499.99630158622</v>
      </c>
      <c r="CE60" s="2498">
        <f t="shared" si="130"/>
        <v>183491.98537783121</v>
      </c>
      <c r="CF60" s="2498">
        <f t="shared" si="130"/>
        <v>184034.23190946327</v>
      </c>
      <c r="CG60" s="2498">
        <f t="shared" si="130"/>
        <v>184037.60476005968</v>
      </c>
      <c r="CH60" s="2498">
        <f t="shared" ca="1" si="130"/>
        <v>172897.9482087752</v>
      </c>
      <c r="CI60" s="2498">
        <f t="shared" ca="1" si="130"/>
        <v>172149.26723282319</v>
      </c>
      <c r="CJ60" s="2498">
        <f t="shared" ca="1" si="130"/>
        <v>171346.49943581643</v>
      </c>
      <c r="CK60" s="2498">
        <f t="shared" ref="CK60:EV60" ca="1" si="131">CHOOSE($G$32,MAX(CK58,CK59),CK61)</f>
        <v>170476.12126252064</v>
      </c>
      <c r="CL60" s="2498">
        <f t="shared" ca="1" si="131"/>
        <v>168284.57395346498</v>
      </c>
      <c r="CM60" s="2498">
        <f t="shared" ca="1" si="131"/>
        <v>167462.21823365692</v>
      </c>
      <c r="CN60" s="2498">
        <f t="shared" ca="1" si="131"/>
        <v>166633.50501375739</v>
      </c>
      <c r="CO60" s="2498">
        <f t="shared" ca="1" si="131"/>
        <v>165740.56816320212</v>
      </c>
      <c r="CP60" s="2498">
        <f t="shared" ca="1" si="131"/>
        <v>166819.8578053602</v>
      </c>
      <c r="CQ60" s="2498">
        <f t="shared" ca="1" si="131"/>
        <v>165950.8033379491</v>
      </c>
      <c r="CR60" s="2498">
        <f t="shared" ca="1" si="131"/>
        <v>165186.06045684946</v>
      </c>
      <c r="CS60" s="2498">
        <f t="shared" ca="1" si="131"/>
        <v>164363.02939435889</v>
      </c>
      <c r="CT60" s="2498">
        <f t="shared" ca="1" si="131"/>
        <v>166757.33859699281</v>
      </c>
      <c r="CU60" s="2498">
        <f t="shared" ca="1" si="131"/>
        <v>165950.5883616668</v>
      </c>
      <c r="CV60" s="2498">
        <f t="shared" ca="1" si="131"/>
        <v>164869.84280079851</v>
      </c>
      <c r="CW60" s="2498">
        <f t="shared" ca="1" si="131"/>
        <v>163722.61864978576</v>
      </c>
      <c r="CX60" s="2498">
        <f t="shared" ca="1" si="131"/>
        <v>151893.32615853616</v>
      </c>
      <c r="CY60" s="2498">
        <f t="shared" ca="1" si="131"/>
        <v>150884.43538406841</v>
      </c>
      <c r="CZ60" s="2498">
        <f t="shared" ca="1" si="131"/>
        <v>149871.98182081734</v>
      </c>
      <c r="DA60" s="2498">
        <f t="shared" ca="1" si="131"/>
        <v>148800.48666972871</v>
      </c>
      <c r="DB60" s="2498">
        <f t="shared" ca="1" si="131"/>
        <v>131947.1705666671</v>
      </c>
      <c r="DC60" s="2498">
        <f t="shared" ca="1" si="131"/>
        <v>131059.03192361907</v>
      </c>
      <c r="DD60" s="2498">
        <f t="shared" ca="1" si="131"/>
        <v>130295.68763602054</v>
      </c>
      <c r="DE60" s="2498">
        <f t="shared" ca="1" si="131"/>
        <v>129487.25049609529</v>
      </c>
      <c r="DF60" s="2498">
        <f t="shared" ca="1" si="131"/>
        <v>121372.33456704702</v>
      </c>
      <c r="DG60" s="2498">
        <f t="shared" ca="1" si="131"/>
        <v>120651.62333963861</v>
      </c>
      <c r="DH60" s="2498">
        <f t="shared" ca="1" si="131"/>
        <v>121785.92339366558</v>
      </c>
      <c r="DI60" s="2498">
        <f t="shared" ca="1" si="131"/>
        <v>122944.00230077436</v>
      </c>
      <c r="DJ60" s="2498">
        <f t="shared" ca="1" si="131"/>
        <v>122918.71705562953</v>
      </c>
      <c r="DK60" s="2498">
        <f t="shared" ca="1" si="131"/>
        <v>124051.2370564841</v>
      </c>
      <c r="DL60" s="2498">
        <f t="shared" ca="1" si="131"/>
        <v>123739.47400544555</v>
      </c>
      <c r="DM60" s="2498">
        <f t="shared" ca="1" si="131"/>
        <v>123403.3397445415</v>
      </c>
      <c r="DN60" s="2498">
        <f t="shared" ca="1" si="131"/>
        <v>124481.25705127639</v>
      </c>
      <c r="DO60" s="2498">
        <f t="shared" ca="1" si="131"/>
        <v>124159.08481465743</v>
      </c>
      <c r="DP60" s="2498">
        <f t="shared" ca="1" si="131"/>
        <v>123529.51420547438</v>
      </c>
      <c r="DQ60" s="2498">
        <f t="shared" ca="1" si="131"/>
        <v>122866.80828850984</v>
      </c>
      <c r="DR60" s="2498">
        <f t="shared" ca="1" si="131"/>
        <v>124491.23879285628</v>
      </c>
      <c r="DS60" s="2498">
        <f t="shared" ca="1" si="131"/>
        <v>123838.75938249147</v>
      </c>
      <c r="DT60" s="2498">
        <f t="shared" ca="1" si="131"/>
        <v>123041.2756138031</v>
      </c>
      <c r="DU60" s="2498">
        <f t="shared" ca="1" si="131"/>
        <v>122207.08360684451</v>
      </c>
      <c r="DV60" s="2498">
        <f t="shared" ca="1" si="131"/>
        <v>122506.27559240386</v>
      </c>
      <c r="DW60" s="2498">
        <f t="shared" ca="1" si="131"/>
        <v>121691.25969348909</v>
      </c>
      <c r="DX60" s="2498">
        <f t="shared" ca="1" si="131"/>
        <v>121424.7300061799</v>
      </c>
      <c r="DY60" s="2498">
        <f t="shared" ca="1" si="131"/>
        <v>121140.49001284252</v>
      </c>
      <c r="DZ60" s="2498">
        <f t="shared" ca="1" si="131"/>
        <v>121084.02810706251</v>
      </c>
      <c r="EA60" s="2498">
        <f t="shared" ca="1" si="131"/>
        <v>120813.81604778435</v>
      </c>
      <c r="EB60" s="2498">
        <f t="shared" ca="1" si="131"/>
        <v>119933.08866398036</v>
      </c>
      <c r="EC60" s="2498">
        <f t="shared" ca="1" si="131"/>
        <v>119016.96301926406</v>
      </c>
      <c r="ED60" s="2498">
        <f t="shared" ca="1" si="131"/>
        <v>119003.88713625836</v>
      </c>
      <c r="EE60" s="2498">
        <f t="shared" ca="1" si="131"/>
        <v>118108.99171206306</v>
      </c>
      <c r="EF60" s="2498">
        <f t="shared" ca="1" si="131"/>
        <v>117024.01887234335</v>
      </c>
      <c r="EG60" s="2498">
        <f t="shared" ca="1" si="131"/>
        <v>115899.41657324178</v>
      </c>
      <c r="EH60" s="2498">
        <f t="shared" ca="1" si="131"/>
        <v>115232.54016282171</v>
      </c>
      <c r="EI60" s="2498">
        <f t="shared" ca="1" si="131"/>
        <v>114136.86002157578</v>
      </c>
      <c r="EJ60" s="2498">
        <f t="shared" ca="1" si="131"/>
        <v>112952.304599323</v>
      </c>
      <c r="EK60" s="2498">
        <f t="shared" ca="1" si="131"/>
        <v>111727.33621377398</v>
      </c>
      <c r="EL60" s="2498">
        <f t="shared" ca="1" si="131"/>
        <v>110547.16256592202</v>
      </c>
      <c r="EM60" s="2498">
        <f t="shared" ca="1" si="131"/>
        <v>109358.04046499368</v>
      </c>
      <c r="EN60" s="2498">
        <f t="shared" ca="1" si="131"/>
        <v>108152.26818286401</v>
      </c>
      <c r="EO60" s="2498">
        <f t="shared" ca="1" si="131"/>
        <v>106907.70152781252</v>
      </c>
      <c r="EP60" s="2498">
        <f t="shared" ca="1" si="131"/>
        <v>106451.47770268071</v>
      </c>
      <c r="EQ60" s="2498">
        <f t="shared" ca="1" si="131"/>
        <v>105232.11996093021</v>
      </c>
      <c r="ER60" s="2498">
        <f t="shared" ca="1" si="131"/>
        <v>104000.13315921967</v>
      </c>
      <c r="ES60" s="2498">
        <f t="shared" ca="1" si="131"/>
        <v>102730.74876759814</v>
      </c>
      <c r="ET60" s="2498">
        <f t="shared" ca="1" si="131"/>
        <v>101847.82147662927</v>
      </c>
      <c r="EU60" s="2498">
        <f t="shared" ca="1" si="131"/>
        <v>100609.26861107776</v>
      </c>
      <c r="EV60" s="2498">
        <f t="shared" ca="1" si="131"/>
        <v>99514.706804828194</v>
      </c>
      <c r="EW60" s="2498">
        <f t="shared" ref="EW60:HH60" ca="1" si="132">CHOOSE($G$32,MAX(EW58,EW59),EW61)</f>
        <v>98388.494654205904</v>
      </c>
      <c r="EX60" s="2498">
        <f t="shared" ca="1" si="132"/>
        <v>97281.626052209031</v>
      </c>
      <c r="EY60" s="2498">
        <f t="shared" ca="1" si="132"/>
        <v>96186.165166987339</v>
      </c>
      <c r="EZ60" s="2498">
        <f t="shared" ca="1" si="132"/>
        <v>94902.895561570127</v>
      </c>
      <c r="FA60" s="2498">
        <f t="shared" ca="1" si="132"/>
        <v>93585.138703652105</v>
      </c>
      <c r="FB60" s="2498">
        <f t="shared" ca="1" si="132"/>
        <v>92927.723489606826</v>
      </c>
      <c r="FC60" s="2498">
        <f t="shared" ca="1" si="132"/>
        <v>91636.059210382955</v>
      </c>
      <c r="FD60" s="2498">
        <f t="shared" ca="1" si="132"/>
        <v>90483.413988780259</v>
      </c>
      <c r="FE60" s="2498">
        <f t="shared" ca="1" si="132"/>
        <v>89301.495589268219</v>
      </c>
      <c r="FF60" s="2498">
        <f t="shared" ca="1" si="132"/>
        <v>88429.514754538424</v>
      </c>
      <c r="FG60" s="2498">
        <f t="shared" ca="1" si="132"/>
        <v>87274.416425416333</v>
      </c>
      <c r="FH60" s="2498">
        <f t="shared" ca="1" si="132"/>
        <v>85954.268181226682</v>
      </c>
      <c r="FI60" s="2498">
        <f t="shared" ca="1" si="132"/>
        <v>84603.030318799269</v>
      </c>
      <c r="FJ60" s="2498">
        <f t="shared" ca="1" si="132"/>
        <v>83272.475466353877</v>
      </c>
      <c r="FK60" s="2498">
        <f t="shared" ca="1" si="132"/>
        <v>81959.988161353336</v>
      </c>
      <c r="FL60" s="2498">
        <f t="shared" ca="1" si="132"/>
        <v>80656.877350324634</v>
      </c>
      <c r="FM60" s="2498">
        <f t="shared" ca="1" si="132"/>
        <v>79325.280824987916</v>
      </c>
      <c r="FN60" s="2498">
        <f t="shared" ca="1" si="132"/>
        <v>78523.23592536732</v>
      </c>
      <c r="FO60" s="2498">
        <f t="shared" ca="1" si="132"/>
        <v>77218.810738318236</v>
      </c>
      <c r="FP60" s="2498">
        <f t="shared" ca="1" si="132"/>
        <v>75883.89898316309</v>
      </c>
      <c r="FQ60" s="2498">
        <f t="shared" ca="1" si="132"/>
        <v>74522.137593398948</v>
      </c>
      <c r="FR60" s="2498">
        <f t="shared" ca="1" si="132"/>
        <v>73411.732154794649</v>
      </c>
      <c r="FS60" s="2498">
        <f t="shared" ca="1" si="132"/>
        <v>72085.003674063963</v>
      </c>
      <c r="FT60" s="2498">
        <f t="shared" ca="1" si="132"/>
        <v>70714.610512430081</v>
      </c>
      <c r="FU60" s="2498">
        <f t="shared" ca="1" si="132"/>
        <v>69319.21096551283</v>
      </c>
      <c r="FV60" s="2498">
        <f t="shared" ca="1" si="132"/>
        <v>67945.28048851878</v>
      </c>
      <c r="FW60" s="2498">
        <f t="shared" ca="1" si="132"/>
        <v>66594.023774958478</v>
      </c>
      <c r="FX60" s="2498">
        <f t="shared" ca="1" si="132"/>
        <v>65200.287081670853</v>
      </c>
      <c r="FY60" s="2498">
        <f t="shared" ca="1" si="132"/>
        <v>63783.940384001158</v>
      </c>
      <c r="FZ60" s="2498">
        <f t="shared" ca="1" si="132"/>
        <v>62768.697554206548</v>
      </c>
      <c r="GA60" s="2498">
        <f t="shared" ca="1" si="132"/>
        <v>61388.400701454972</v>
      </c>
      <c r="GB60" s="2498">
        <f t="shared" ca="1" si="132"/>
        <v>59981.182520348142</v>
      </c>
      <c r="GC60" s="2498">
        <f t="shared" ca="1" si="132"/>
        <v>58554.217559061115</v>
      </c>
      <c r="GD60" s="2498">
        <f t="shared" ca="1" si="132"/>
        <v>57319.966266587697</v>
      </c>
      <c r="GE60" s="2498">
        <f t="shared" ca="1" si="132"/>
        <v>55939.408457825644</v>
      </c>
      <c r="GF60" s="2498">
        <f t="shared" ca="1" si="132"/>
        <v>54653.953051626471</v>
      </c>
      <c r="GG60" s="2498">
        <f t="shared" ca="1" si="132"/>
        <v>53353.155797734566</v>
      </c>
      <c r="GH60" s="2498">
        <f t="shared" ca="1" si="132"/>
        <v>52076.740716162007</v>
      </c>
      <c r="GI60" s="2498">
        <f t="shared" ca="1" si="132"/>
        <v>50824.215636398338</v>
      </c>
      <c r="GJ60" s="2498">
        <f t="shared" ca="1" si="132"/>
        <v>50616.634396317968</v>
      </c>
      <c r="GK60" s="2498">
        <f t="shared" ca="1" si="132"/>
        <v>50400.838194358163</v>
      </c>
      <c r="GL60" s="2498">
        <f t="shared" ca="1" si="132"/>
        <v>50396.084936938205</v>
      </c>
      <c r="GM60" s="2498">
        <f t="shared" ca="1" si="132"/>
        <v>50142.80534225575</v>
      </c>
      <c r="GN60" s="2498">
        <f t="shared" ca="1" si="132"/>
        <v>49093.130172435216</v>
      </c>
      <c r="GO60" s="2498">
        <f t="shared" ca="1" si="132"/>
        <v>48033.720078635153</v>
      </c>
      <c r="GP60" s="2498">
        <f t="shared" ca="1" si="132"/>
        <v>47101.653858965168</v>
      </c>
      <c r="GQ60" s="2498">
        <f t="shared" ca="1" si="132"/>
        <v>46069.102331509785</v>
      </c>
      <c r="GR60" s="2498">
        <f t="shared" ca="1" si="132"/>
        <v>44921.991269890597</v>
      </c>
      <c r="GS60" s="2498">
        <f t="shared" ca="1" si="132"/>
        <v>43768.630500746047</v>
      </c>
      <c r="GT60" s="2498">
        <f t="shared" ca="1" si="132"/>
        <v>42632.588982916459</v>
      </c>
      <c r="GU60" s="2498">
        <f t="shared" ca="1" si="132"/>
        <v>41524.010810228472</v>
      </c>
      <c r="GV60" s="2498">
        <f t="shared" ca="1" si="132"/>
        <v>40349.694125824069</v>
      </c>
      <c r="GW60" s="2498">
        <f t="shared" ca="1" si="132"/>
        <v>39174.095825397555</v>
      </c>
      <c r="GX60" s="2498">
        <f t="shared" ca="1" si="132"/>
        <v>38198.785445431124</v>
      </c>
      <c r="GY60" s="2498">
        <f t="shared" ca="1" si="132"/>
        <v>37069.892050208546</v>
      </c>
      <c r="GZ60" s="2498">
        <f t="shared" ca="1" si="132"/>
        <v>36106.483899931132</v>
      </c>
      <c r="HA60" s="2498">
        <f t="shared" ca="1" si="132"/>
        <v>35142.986103700285</v>
      </c>
      <c r="HB60" s="2498">
        <f t="shared" ca="1" si="132"/>
        <v>34263.690155929835</v>
      </c>
      <c r="HC60" s="2498">
        <f t="shared" ca="1" si="132"/>
        <v>33335.663060102954</v>
      </c>
      <c r="HD60" s="2498">
        <f t="shared" ca="1" si="132"/>
        <v>32252.68923063936</v>
      </c>
      <c r="HE60" s="2498">
        <f t="shared" ca="1" si="132"/>
        <v>31179.593307468123</v>
      </c>
      <c r="HF60" s="2498">
        <f t="shared" ca="1" si="132"/>
        <v>30145.232741763572</v>
      </c>
      <c r="HG60" s="2498">
        <f t="shared" ca="1" si="132"/>
        <v>29142.020420183602</v>
      </c>
      <c r="HH60" s="2498">
        <f t="shared" ca="1" si="132"/>
        <v>28104.932987346438</v>
      </c>
      <c r="HI60" s="2498">
        <f t="shared" ref="HI60:IA60" ca="1" si="133">CHOOSE($G$32,MAX(HI58,HI59),HI61)</f>
        <v>27087.440317344459</v>
      </c>
      <c r="HJ60" s="2498">
        <f t="shared" ca="1" si="133"/>
        <v>26193.314263563683</v>
      </c>
      <c r="HK60" s="2498">
        <f t="shared" ca="1" si="133"/>
        <v>25255.687602526235</v>
      </c>
      <c r="HL60" s="2498">
        <f t="shared" ca="1" si="133"/>
        <v>24341.538422991594</v>
      </c>
      <c r="HM60" s="2498">
        <f t="shared" ca="1" si="133"/>
        <v>23456.340009679356</v>
      </c>
      <c r="HN60" s="2498">
        <f t="shared" ca="1" si="133"/>
        <v>22650.775420816411</v>
      </c>
      <c r="HO60" s="2498">
        <f t="shared" ca="1" si="133"/>
        <v>21861.839332975673</v>
      </c>
      <c r="HP60" s="2498">
        <f t="shared" ca="1" si="133"/>
        <v>21134.422915453379</v>
      </c>
      <c r="HQ60" s="2498">
        <f t="shared" ca="1" si="133"/>
        <v>20442.939303380695</v>
      </c>
      <c r="HR60" s="2498">
        <f t="shared" ca="1" si="133"/>
        <v>19809.893634774591</v>
      </c>
      <c r="HS60" s="2498">
        <f t="shared" ca="1" si="133"/>
        <v>19220.85210239052</v>
      </c>
      <c r="HT60" s="2498">
        <f t="shared" ca="1" si="133"/>
        <v>18658.815989287046</v>
      </c>
      <c r="HU60" s="2498">
        <f t="shared" ca="1" si="133"/>
        <v>18147.352195562504</v>
      </c>
      <c r="HV60" s="2498">
        <f t="shared" ca="1" si="133"/>
        <v>17709.796143142597</v>
      </c>
      <c r="HW60" s="2498">
        <f t="shared" ca="1" si="133"/>
        <v>17338.149450926408</v>
      </c>
      <c r="HX60" s="2498">
        <f t="shared" ca="1" si="133"/>
        <v>17100.344472463767</v>
      </c>
      <c r="HY60" s="2498">
        <f t="shared" ca="1" si="133"/>
        <v>16865.801157418082</v>
      </c>
      <c r="HZ60" s="2498">
        <f t="shared" ca="1" si="133"/>
        <v>16634.474769769426</v>
      </c>
      <c r="IA60" s="2498">
        <f t="shared" ca="1" si="133"/>
        <v>16411.091351772408</v>
      </c>
    </row>
    <row r="61" spans="3:235">
      <c r="C61" s="2491"/>
      <c r="D61" s="2492" t="s">
        <v>3943</v>
      </c>
      <c r="E61" s="2424"/>
      <c r="F61" s="2424"/>
      <c r="G61" s="2499">
        <v>1</v>
      </c>
      <c r="H61" s="2494"/>
      <c r="I61" s="2358"/>
      <c r="J61" s="2495">
        <f t="shared" ref="J61:O61" si="134">MAX(J59,J60)</f>
        <v>0</v>
      </c>
      <c r="K61" s="2496">
        <f t="shared" si="134"/>
        <v>0</v>
      </c>
      <c r="L61" s="2497">
        <f t="shared" si="134"/>
        <v>0</v>
      </c>
      <c r="M61" s="2495">
        <f t="shared" si="134"/>
        <v>0</v>
      </c>
      <c r="N61" s="2496">
        <f t="shared" si="134"/>
        <v>0</v>
      </c>
      <c r="O61" s="2497">
        <f t="shared" si="134"/>
        <v>0</v>
      </c>
      <c r="P61" s="2496">
        <f t="shared" ref="P61:CA61" si="135">P$37*P$51+P$38*P$54*P$56*$G61</f>
        <v>0</v>
      </c>
      <c r="Q61" s="2494">
        <f t="shared" si="135"/>
        <v>0</v>
      </c>
      <c r="R61" s="2495">
        <f t="shared" si="135"/>
        <v>0</v>
      </c>
      <c r="S61" s="2496">
        <f t="shared" si="135"/>
        <v>0</v>
      </c>
      <c r="T61" s="2494">
        <f t="shared" si="135"/>
        <v>0</v>
      </c>
      <c r="U61" s="2498">
        <f t="shared" si="135"/>
        <v>0</v>
      </c>
      <c r="V61" s="2498">
        <f t="shared" si="135"/>
        <v>0</v>
      </c>
      <c r="W61" s="2498">
        <f t="shared" si="135"/>
        <v>0</v>
      </c>
      <c r="X61" s="2498">
        <f t="shared" si="135"/>
        <v>0</v>
      </c>
      <c r="Y61" s="2498">
        <f t="shared" si="135"/>
        <v>0</v>
      </c>
      <c r="Z61" s="2498">
        <f t="shared" si="135"/>
        <v>0</v>
      </c>
      <c r="AA61" s="2498">
        <f t="shared" si="135"/>
        <v>0</v>
      </c>
      <c r="AB61" s="2498">
        <f t="shared" si="135"/>
        <v>0</v>
      </c>
      <c r="AC61" s="2498">
        <f t="shared" si="135"/>
        <v>0</v>
      </c>
      <c r="AD61" s="2498">
        <f t="shared" si="135"/>
        <v>0</v>
      </c>
      <c r="AE61" s="2498">
        <f t="shared" si="135"/>
        <v>0</v>
      </c>
      <c r="AF61" s="2498">
        <f t="shared" si="135"/>
        <v>0</v>
      </c>
      <c r="AG61" s="2498">
        <f t="shared" si="135"/>
        <v>0</v>
      </c>
      <c r="AH61" s="2498">
        <f t="shared" si="135"/>
        <v>0</v>
      </c>
      <c r="AI61" s="2498">
        <f t="shared" si="135"/>
        <v>0</v>
      </c>
      <c r="AJ61" s="2498">
        <f t="shared" si="135"/>
        <v>952.20080913227844</v>
      </c>
      <c r="AK61" s="2498">
        <f t="shared" si="135"/>
        <v>1861.0062404345056</v>
      </c>
      <c r="AL61" s="2498">
        <f t="shared" si="135"/>
        <v>2768.4897053169025</v>
      </c>
      <c r="AM61" s="2498">
        <f t="shared" si="135"/>
        <v>3636.5934344817474</v>
      </c>
      <c r="AN61" s="2498">
        <f t="shared" si="135"/>
        <v>4530.5144139019185</v>
      </c>
      <c r="AO61" s="2498">
        <f t="shared" si="135"/>
        <v>5333.70954992102</v>
      </c>
      <c r="AP61" s="2498">
        <f t="shared" si="135"/>
        <v>6251.5302529969922</v>
      </c>
      <c r="AQ61" s="2498">
        <f t="shared" si="135"/>
        <v>7052.1947155816806</v>
      </c>
      <c r="AR61" s="2498">
        <f t="shared" si="135"/>
        <v>7876.6282693796866</v>
      </c>
      <c r="AS61" s="2498">
        <f t="shared" si="135"/>
        <v>8622.804136059578</v>
      </c>
      <c r="AT61" s="2498">
        <f t="shared" si="135"/>
        <v>9393.6976671350203</v>
      </c>
      <c r="AU61" s="2498">
        <f t="shared" si="135"/>
        <v>10071.610834337334</v>
      </c>
      <c r="AV61" s="2498">
        <f t="shared" si="135"/>
        <v>10821.925656637261</v>
      </c>
      <c r="AW61" s="2498">
        <f t="shared" si="135"/>
        <v>11409.948406451049</v>
      </c>
      <c r="AX61" s="2498">
        <f t="shared" si="135"/>
        <v>193517.6572499894</v>
      </c>
      <c r="AY61" s="2498">
        <f t="shared" si="135"/>
        <v>194877.07394336385</v>
      </c>
      <c r="AZ61" s="2498">
        <f t="shared" si="135"/>
        <v>196329.11678849443</v>
      </c>
      <c r="BA61" s="2498">
        <f t="shared" si="135"/>
        <v>195838.17883265857</v>
      </c>
      <c r="BB61" s="2498">
        <f t="shared" si="135"/>
        <v>197836.83318433195</v>
      </c>
      <c r="BC61" s="2498">
        <f t="shared" si="135"/>
        <v>197981.4071784211</v>
      </c>
      <c r="BD61" s="2498">
        <f t="shared" si="135"/>
        <v>196920.18383625304</v>
      </c>
      <c r="BE61" s="2498">
        <f t="shared" si="135"/>
        <v>194268.21714397566</v>
      </c>
      <c r="BF61" s="2498">
        <f t="shared" si="135"/>
        <v>194058.97303809895</v>
      </c>
      <c r="BG61" s="2498">
        <f t="shared" si="135"/>
        <v>193091.05766787223</v>
      </c>
      <c r="BH61" s="2498">
        <f t="shared" si="135"/>
        <v>190868.47841164182</v>
      </c>
      <c r="BI61" s="2498">
        <f t="shared" si="135"/>
        <v>188608.78154795637</v>
      </c>
      <c r="BJ61" s="2498">
        <f t="shared" si="135"/>
        <v>187041.23254567082</v>
      </c>
      <c r="BK61" s="2498">
        <f t="shared" si="135"/>
        <v>185080.2001825085</v>
      </c>
      <c r="BL61" s="2498">
        <f t="shared" si="135"/>
        <v>184413.12977132245</v>
      </c>
      <c r="BM61" s="2498">
        <f t="shared" si="135"/>
        <v>182583.64962173463</v>
      </c>
      <c r="BN61" s="2498">
        <f t="shared" si="135"/>
        <v>183123.36643880975</v>
      </c>
      <c r="BO61" s="2498">
        <f t="shared" si="135"/>
        <v>180740.69770608345</v>
      </c>
      <c r="BP61" s="2498">
        <f t="shared" si="135"/>
        <v>180713.2087797343</v>
      </c>
      <c r="BQ61" s="2498">
        <f t="shared" si="135"/>
        <v>178208.50824798585</v>
      </c>
      <c r="BR61" s="2498">
        <f t="shared" si="135"/>
        <v>178675.94044964714</v>
      </c>
      <c r="BS61" s="2498">
        <f t="shared" si="135"/>
        <v>177135.6824666053</v>
      </c>
      <c r="BT61" s="2498">
        <f t="shared" si="135"/>
        <v>178642.42268704317</v>
      </c>
      <c r="BU61" s="2498">
        <f t="shared" si="135"/>
        <v>175329.1194019125</v>
      </c>
      <c r="BV61" s="2498">
        <f t="shared" si="135"/>
        <v>174611.38879195123</v>
      </c>
      <c r="BW61" s="2498">
        <f t="shared" si="135"/>
        <v>174186.8703922737</v>
      </c>
      <c r="BX61" s="2498">
        <f t="shared" si="135"/>
        <v>173357.59818910726</v>
      </c>
      <c r="BY61" s="2498">
        <f t="shared" si="135"/>
        <v>171819.07623417664</v>
      </c>
      <c r="BZ61" s="2498">
        <f t="shared" si="135"/>
        <v>181981.62999919837</v>
      </c>
      <c r="CA61" s="2498">
        <f t="shared" si="135"/>
        <v>180093.16791076289</v>
      </c>
      <c r="CB61" s="2498">
        <f t="shared" ref="CB61:EM61" si="136">CB$37*CB$51+CB$38*CB$54*CB$56*$G61</f>
        <v>180525.72245954862</v>
      </c>
      <c r="CC61" s="2498">
        <f t="shared" si="136"/>
        <v>178307.15670049062</v>
      </c>
      <c r="CD61" s="2498">
        <f t="shared" si="136"/>
        <v>176623.85999466162</v>
      </c>
      <c r="CE61" s="2498">
        <f t="shared" si="136"/>
        <v>175571.83068167235</v>
      </c>
      <c r="CF61" s="2498">
        <f t="shared" si="136"/>
        <v>176002.45752619166</v>
      </c>
      <c r="CG61" s="2498">
        <f t="shared" si="136"/>
        <v>175916.50152918167</v>
      </c>
      <c r="CH61" s="2498">
        <f t="shared" ca="1" si="136"/>
        <v>164728.08996880066</v>
      </c>
      <c r="CI61" s="2498">
        <f t="shared" ca="1" si="136"/>
        <v>163933.51914956633</v>
      </c>
      <c r="CJ61" s="2498">
        <f t="shared" ca="1" si="136"/>
        <v>163087.65725136426</v>
      </c>
      <c r="CK61" s="2498">
        <f t="shared" ca="1" si="136"/>
        <v>166699.5597218445</v>
      </c>
      <c r="CL61" s="2498">
        <f t="shared" ca="1" si="136"/>
        <v>159947.65990055018</v>
      </c>
      <c r="CM61" s="2498">
        <f t="shared" ca="1" si="136"/>
        <v>159090.19429582512</v>
      </c>
      <c r="CN61" s="2498">
        <f t="shared" ca="1" si="136"/>
        <v>158228.90265023685</v>
      </c>
      <c r="CO61" s="2498">
        <f t="shared" ca="1" si="136"/>
        <v>157305.85599660818</v>
      </c>
      <c r="CP61" s="2498">
        <f t="shared" ca="1" si="136"/>
        <v>158357.44286917264</v>
      </c>
      <c r="CQ61" s="2498">
        <f t="shared" ca="1" si="136"/>
        <v>157463.03230159046</v>
      </c>
      <c r="CR61" s="2498">
        <f t="shared" ca="1" si="136"/>
        <v>156675.22082874377</v>
      </c>
      <c r="CS61" s="2498">
        <f t="shared" ca="1" si="136"/>
        <v>155831.35070334468</v>
      </c>
      <c r="CT61" s="2498">
        <f t="shared" ca="1" si="136"/>
        <v>158206.99355245766</v>
      </c>
      <c r="CU61" s="2498">
        <f t="shared" ca="1" si="136"/>
        <v>157383.69399276481</v>
      </c>
      <c r="CV61" s="2498">
        <f t="shared" ca="1" si="136"/>
        <v>156288.4615751064</v>
      </c>
      <c r="CW61" s="2498">
        <f t="shared" ca="1" si="136"/>
        <v>155128.7595717473</v>
      </c>
      <c r="CX61" s="2498">
        <f t="shared" ca="1" si="136"/>
        <v>143288.94584803883</v>
      </c>
      <c r="CY61" s="2498">
        <f t="shared" ca="1" si="136"/>
        <v>142271.43913549068</v>
      </c>
      <c r="CZ61" s="2498">
        <f t="shared" ca="1" si="136"/>
        <v>141252.22464287942</v>
      </c>
      <c r="DA61" s="2498">
        <f t="shared" ca="1" si="136"/>
        <v>140175.77430647408</v>
      </c>
      <c r="DB61" s="2498">
        <f t="shared" ca="1" si="136"/>
        <v>123319.26049989685</v>
      </c>
      <c r="DC61" s="2498">
        <f t="shared" ca="1" si="136"/>
        <v>122429.6343570959</v>
      </c>
      <c r="DD61" s="2498">
        <f t="shared" ca="1" si="136"/>
        <v>121666.46646175343</v>
      </c>
      <c r="DE61" s="2498">
        <f t="shared" ca="1" si="136"/>
        <v>120859.82424301202</v>
      </c>
      <c r="DF61" s="2498">
        <f t="shared" ca="1" si="136"/>
        <v>112748.27733235505</v>
      </c>
      <c r="DG61" s="2498">
        <f t="shared" ca="1" si="136"/>
        <v>112032.4657031715</v>
      </c>
      <c r="DH61" s="2498">
        <f t="shared" ca="1" si="136"/>
        <v>113173.1533155058</v>
      </c>
      <c r="DI61" s="2498">
        <f t="shared" ca="1" si="136"/>
        <v>114339.06600243981</v>
      </c>
      <c r="DJ61" s="2498">
        <f t="shared" ca="1" si="136"/>
        <v>114323.01988510537</v>
      </c>
      <c r="DK61" s="2498">
        <f t="shared" ca="1" si="136"/>
        <v>115466.14433737745</v>
      </c>
      <c r="DL61" s="2498">
        <f t="shared" ca="1" si="136"/>
        <v>115166.31187053592</v>
      </c>
      <c r="DM61" s="2498">
        <f t="shared" ca="1" si="136"/>
        <v>114843.39595399497</v>
      </c>
      <c r="DN61" s="2498">
        <f t="shared" ca="1" si="136"/>
        <v>115935.78179578784</v>
      </c>
      <c r="DO61" s="2498">
        <f t="shared" ca="1" si="136"/>
        <v>115629.29150378</v>
      </c>
      <c r="DP61" s="2498">
        <f t="shared" ca="1" si="136"/>
        <v>115016.58024139148</v>
      </c>
      <c r="DQ61" s="2498">
        <f t="shared" ca="1" si="136"/>
        <v>114371.87582550093</v>
      </c>
      <c r="DR61" s="2498">
        <f t="shared" ca="1" si="136"/>
        <v>116015.41548270307</v>
      </c>
      <c r="DS61" s="2498">
        <f t="shared" ca="1" si="136"/>
        <v>115383.1191060675</v>
      </c>
      <c r="DT61" s="2498">
        <f t="shared" ca="1" si="136"/>
        <v>114606.85919908532</v>
      </c>
      <c r="DU61" s="2498">
        <f t="shared" ca="1" si="136"/>
        <v>113794.89953358179</v>
      </c>
      <c r="DV61" s="2498">
        <f t="shared" ca="1" si="136"/>
        <v>114117.30068367349</v>
      </c>
      <c r="DW61" s="2498">
        <f t="shared" ca="1" si="136"/>
        <v>113326.43979436823</v>
      </c>
      <c r="DX61" s="2498">
        <f t="shared" ca="1" si="136"/>
        <v>113084.98064975531</v>
      </c>
      <c r="DY61" s="2498">
        <f t="shared" ca="1" si="136"/>
        <v>112826.69707377837</v>
      </c>
      <c r="DZ61" s="2498">
        <f t="shared" ca="1" si="136"/>
        <v>112797.04844294225</v>
      </c>
      <c r="EA61" s="2498">
        <f t="shared" ca="1" si="136"/>
        <v>112554.4781284389</v>
      </c>
      <c r="EB61" s="2498">
        <f t="shared" ca="1" si="136"/>
        <v>111702.1931890118</v>
      </c>
      <c r="EC61" s="2498">
        <f t="shared" ca="1" si="136"/>
        <v>110815.28352396992</v>
      </c>
      <c r="ED61" s="2498">
        <f t="shared" ca="1" si="136"/>
        <v>110832.17058615891</v>
      </c>
      <c r="EE61" s="2498">
        <f t="shared" ca="1" si="136"/>
        <v>109967.95908622989</v>
      </c>
      <c r="EF61" s="2498">
        <f t="shared" ca="1" si="136"/>
        <v>108914.36573572476</v>
      </c>
      <c r="EG61" s="2498">
        <f t="shared" ca="1" si="136"/>
        <v>107821.81363817709</v>
      </c>
      <c r="EH61" s="2498">
        <f t="shared" ca="1" si="136"/>
        <v>107187.63383993342</v>
      </c>
      <c r="EI61" s="2498">
        <f t="shared" ca="1" si="136"/>
        <v>106125.27296022515</v>
      </c>
      <c r="EJ61" s="2498">
        <f t="shared" ca="1" si="136"/>
        <v>104974.6362178119</v>
      </c>
      <c r="EK61" s="2498">
        <f t="shared" ca="1" si="136"/>
        <v>103784.1632194725</v>
      </c>
      <c r="EL61" s="2498">
        <f t="shared" ca="1" si="136"/>
        <v>102639.03946549854</v>
      </c>
      <c r="EM61" s="2498">
        <f t="shared" ca="1" si="136"/>
        <v>101485.50006492094</v>
      </c>
      <c r="EN61" s="2498">
        <f t="shared" ref="EN61:GY61" ca="1" si="137">EN$37*EN$51+EN$38*EN$54*EN$56*$G61</f>
        <v>100315.82208037196</v>
      </c>
      <c r="EO61" s="2498">
        <f t="shared" ca="1" si="137"/>
        <v>99107.840592456065</v>
      </c>
      <c r="EP61" s="2498">
        <f t="shared" ca="1" si="137"/>
        <v>98688.672548687115</v>
      </c>
      <c r="EQ61" s="2498">
        <f t="shared" ca="1" si="137"/>
        <v>97506.821410488701</v>
      </c>
      <c r="ER61" s="2498">
        <f t="shared" ca="1" si="137"/>
        <v>96312.772696872737</v>
      </c>
      <c r="ES61" s="2498">
        <f t="shared" ca="1" si="137"/>
        <v>95081.738985891643</v>
      </c>
      <c r="ET61" s="2498">
        <f t="shared" ca="1" si="137"/>
        <v>94237.556513175485</v>
      </c>
      <c r="EU61" s="2498">
        <f t="shared" ca="1" si="137"/>
        <v>93038.124577183073</v>
      </c>
      <c r="EV61" s="2498">
        <f t="shared" ca="1" si="137"/>
        <v>91983.042205834776</v>
      </c>
      <c r="EW61" s="2498">
        <f t="shared" ca="1" si="137"/>
        <v>90896.650801693992</v>
      </c>
      <c r="EX61" s="2498">
        <f t="shared" ca="1" si="137"/>
        <v>89829.927468203794</v>
      </c>
      <c r="EY61" s="2498">
        <f t="shared" ca="1" si="137"/>
        <v>88774.919980312407</v>
      </c>
      <c r="EZ61" s="2498">
        <f t="shared" ca="1" si="137"/>
        <v>87532.395896486938</v>
      </c>
      <c r="FA61" s="2498">
        <f t="shared" ca="1" si="137"/>
        <v>86255.661060922444</v>
      </c>
      <c r="FB61" s="2498">
        <f t="shared" ca="1" si="137"/>
        <v>85639.52912011274</v>
      </c>
      <c r="FC61" s="2498">
        <f t="shared" ca="1" si="137"/>
        <v>84389.39448143715</v>
      </c>
      <c r="FD61" s="2498">
        <f t="shared" ca="1" si="137"/>
        <v>83278.510743256731</v>
      </c>
      <c r="FE61" s="2498">
        <f t="shared" ca="1" si="137"/>
        <v>82138.571497681347</v>
      </c>
      <c r="FF61" s="2498">
        <f t="shared" ca="1" si="137"/>
        <v>81308.773660196443</v>
      </c>
      <c r="FG61" s="2498">
        <f t="shared" ca="1" si="137"/>
        <v>80196.04868277286</v>
      </c>
      <c r="FH61" s="2498">
        <f t="shared" ca="1" si="137"/>
        <v>78918.450987551914</v>
      </c>
      <c r="FI61" s="2498">
        <f t="shared" ca="1" si="137"/>
        <v>77609.928039290535</v>
      </c>
      <c r="FJ61" s="2498">
        <f t="shared" ca="1" si="137"/>
        <v>76322.239952803066</v>
      </c>
      <c r="FK61" s="2498">
        <f t="shared" ca="1" si="137"/>
        <v>75052.759064486832</v>
      </c>
      <c r="FL61" s="2498">
        <f t="shared" ca="1" si="137"/>
        <v>73792.782425929385</v>
      </c>
      <c r="FM61" s="2498">
        <f t="shared" ca="1" si="137"/>
        <v>72504.436233935208</v>
      </c>
      <c r="FN61" s="2498">
        <f t="shared" ca="1" si="137"/>
        <v>71745.746527644224</v>
      </c>
      <c r="FO61" s="2498">
        <f t="shared" ca="1" si="137"/>
        <v>70484.770381174574</v>
      </c>
      <c r="FP61" s="2498">
        <f t="shared" ca="1" si="137"/>
        <v>69193.390783480121</v>
      </c>
      <c r="FQ61" s="2498">
        <f t="shared" ca="1" si="137"/>
        <v>67875.234214383905</v>
      </c>
      <c r="FR61" s="2498">
        <f t="shared" ca="1" si="137"/>
        <v>66808.496077103759</v>
      </c>
      <c r="FS61" s="2498">
        <f t="shared" ca="1" si="137"/>
        <v>65525.487461454875</v>
      </c>
      <c r="FT61" s="2498">
        <f t="shared" ca="1" si="137"/>
        <v>64198.857072042454</v>
      </c>
      <c r="FU61" s="2498">
        <f t="shared" ca="1" si="137"/>
        <v>62847.253802874679</v>
      </c>
      <c r="FV61" s="2498">
        <f t="shared" ca="1" si="137"/>
        <v>61517.14395737429</v>
      </c>
      <c r="FW61" s="2498">
        <f t="shared" ca="1" si="137"/>
        <v>60209.723322011298</v>
      </c>
      <c r="FX61" s="2498">
        <f t="shared" ca="1" si="137"/>
        <v>58859.829486335337</v>
      </c>
      <c r="FY61" s="2498">
        <f t="shared" ca="1" si="137"/>
        <v>57487.323993252576</v>
      </c>
      <c r="FZ61" s="2498">
        <f t="shared" ca="1" si="137"/>
        <v>56515.912512619441</v>
      </c>
      <c r="GA61" s="2498">
        <f t="shared" ca="1" si="137"/>
        <v>55179.429176517573</v>
      </c>
      <c r="GB61" s="2498">
        <f t="shared" ca="1" si="137"/>
        <v>53815.998923139123</v>
      </c>
      <c r="GC61" s="2498">
        <f t="shared" ca="1" si="137"/>
        <v>52432.788760373514</v>
      </c>
      <c r="GD61" s="2498">
        <f t="shared" ca="1" si="137"/>
        <v>51242.251808583504</v>
      </c>
      <c r="GE61" s="2498">
        <f t="shared" ca="1" si="137"/>
        <v>49905.360761302698</v>
      </c>
      <c r="GF61" s="2498">
        <f t="shared" ca="1" si="137"/>
        <v>48663.517618978585</v>
      </c>
      <c r="GG61" s="2498">
        <f t="shared" ca="1" si="137"/>
        <v>47406.271411683731</v>
      </c>
      <c r="GH61" s="2498">
        <f t="shared" ca="1" si="137"/>
        <v>46173.339634340606</v>
      </c>
      <c r="GI61" s="2498">
        <f t="shared" ca="1" si="137"/>
        <v>44964.223781857829</v>
      </c>
      <c r="GJ61" s="2498">
        <f t="shared" ca="1" si="137"/>
        <v>44799.97154403913</v>
      </c>
      <c r="GK61" s="2498">
        <f t="shared" ca="1" si="137"/>
        <v>44627.418153836785</v>
      </c>
      <c r="GL61" s="2498">
        <f t="shared" ca="1" si="137"/>
        <v>44665.81573091865</v>
      </c>
      <c r="GM61" s="2498">
        <f t="shared" ca="1" si="137"/>
        <v>44455.589381684069</v>
      </c>
      <c r="GN61" s="2498">
        <f t="shared" ca="1" si="137"/>
        <v>43448.864427701541</v>
      </c>
      <c r="GO61" s="2498">
        <f t="shared" ca="1" si="137"/>
        <v>42432.29624717425</v>
      </c>
      <c r="GP61" s="2498">
        <f t="shared" ca="1" si="137"/>
        <v>41542.958529283118</v>
      </c>
      <c r="GQ61" s="2498">
        <f t="shared" ca="1" si="137"/>
        <v>40553.017143703051</v>
      </c>
      <c r="GR61" s="2498">
        <f t="shared" ca="1" si="137"/>
        <v>39448.393072722887</v>
      </c>
      <c r="GS61" s="2498">
        <f t="shared" ca="1" si="137"/>
        <v>38337.391505347412</v>
      </c>
      <c r="GT61" s="2498">
        <f t="shared" ca="1" si="137"/>
        <v>37243.576913167293</v>
      </c>
      <c r="GU61" s="2498">
        <f t="shared" ca="1" si="137"/>
        <v>36177.08904989095</v>
      </c>
      <c r="GV61" s="2498">
        <f t="shared" ca="1" si="137"/>
        <v>35044.721862481507</v>
      </c>
      <c r="GW61" s="2498">
        <f t="shared" ca="1" si="137"/>
        <v>33910.928191261897</v>
      </c>
      <c r="GX61" s="2498">
        <f t="shared" ca="1" si="137"/>
        <v>32977.273655077261</v>
      </c>
      <c r="GY61" s="2498">
        <f t="shared" ca="1" si="137"/>
        <v>31889.883535293193</v>
      </c>
      <c r="GZ61" s="2498">
        <f t="shared" ref="GZ61:IA61" ca="1" si="138">GZ$37*GZ$51+GZ$38*GZ$54*GZ$56*$G61</f>
        <v>30967.822440953263</v>
      </c>
      <c r="HA61" s="2498">
        <f t="shared" ca="1" si="138"/>
        <v>30045.511958858828</v>
      </c>
      <c r="HB61" s="2498">
        <f t="shared" ca="1" si="138"/>
        <v>29207.240187133379</v>
      </c>
      <c r="HC61" s="2498">
        <f t="shared" ca="1" si="138"/>
        <v>28320.070856185655</v>
      </c>
      <c r="HD61" s="2498">
        <f t="shared" ca="1" si="138"/>
        <v>27277.785227835513</v>
      </c>
      <c r="HE61" s="2498">
        <f t="shared" ca="1" si="138"/>
        <v>26245.204907197825</v>
      </c>
      <c r="HF61" s="2498">
        <f t="shared" ca="1" si="138"/>
        <v>25251.184425780419</v>
      </c>
      <c r="HG61" s="2498">
        <f t="shared" ca="1" si="138"/>
        <v>24288.133863134673</v>
      </c>
      <c r="HH61" s="2498">
        <f t="shared" ca="1" si="138"/>
        <v>23291.027166793756</v>
      </c>
      <c r="HI61" s="2498">
        <f t="shared" ca="1" si="138"/>
        <v>22313.331621296551</v>
      </c>
      <c r="HJ61" s="2498">
        <f t="shared" ca="1" si="138"/>
        <v>21458.81659556468</v>
      </c>
      <c r="HK61" s="2498">
        <f t="shared" ca="1" si="138"/>
        <v>20560.612484349451</v>
      </c>
      <c r="HL61" s="2498">
        <f t="shared" ca="1" si="138"/>
        <v>19685.695094983541</v>
      </c>
      <c r="HM61" s="2498">
        <f t="shared" ca="1" si="138"/>
        <v>18839.535528799046</v>
      </c>
      <c r="HN61" s="2498">
        <f t="shared" ca="1" si="138"/>
        <v>18072.8147564147</v>
      </c>
      <c r="HO61" s="2498">
        <f t="shared" ca="1" si="138"/>
        <v>17322.525460357818</v>
      </c>
      <c r="HP61" s="2498">
        <f t="shared" ca="1" si="138"/>
        <v>16633.556907267721</v>
      </c>
      <c r="HQ61" s="2498">
        <f t="shared" ca="1" si="138"/>
        <v>15980.320418875737</v>
      </c>
      <c r="HR61" s="2498">
        <f t="shared" ca="1" si="138"/>
        <v>15385.31940696548</v>
      </c>
      <c r="HS61" s="2498">
        <f t="shared" ca="1" si="138"/>
        <v>14834.118423175492</v>
      </c>
      <c r="HT61" s="2498">
        <f t="shared" ca="1" si="138"/>
        <v>14309.717192553755</v>
      </c>
      <c r="HU61" s="2498">
        <f t="shared" ca="1" si="138"/>
        <v>13835.681138323454</v>
      </c>
      <c r="HV61" s="2498">
        <f t="shared" ca="1" si="138"/>
        <v>13435.344284737948</v>
      </c>
      <c r="HW61" s="2498">
        <f t="shared" ca="1" si="138"/>
        <v>13082.911417977257</v>
      </c>
      <c r="HX61" s="2498">
        <f t="shared" ca="1" si="138"/>
        <v>12830.57111189225</v>
      </c>
      <c r="HY61" s="2498">
        <f t="shared" ca="1" si="138"/>
        <v>12616.573338712167</v>
      </c>
      <c r="HZ61" s="2498">
        <f t="shared" ca="1" si="138"/>
        <v>12445.908605119585</v>
      </c>
      <c r="IA61" s="2498">
        <f t="shared" ca="1" si="138"/>
        <v>12318.710509391101</v>
      </c>
    </row>
    <row r="63" spans="3:235" outlineLevel="1">
      <c r="C63" s="2500" t="s">
        <v>3944</v>
      </c>
      <c r="D63" s="2501"/>
      <c r="E63" s="2501"/>
      <c r="F63" s="2501"/>
      <c r="P63" s="2502"/>
      <c r="Q63" s="2503"/>
      <c r="R63" s="2503"/>
    </row>
    <row r="64" spans="3:235" outlineLevel="1"/>
    <row r="65" spans="3:37" outlineLevel="1">
      <c r="C65" s="2348" t="s">
        <v>3945</v>
      </c>
    </row>
    <row r="66" spans="3:37" outlineLevel="1">
      <c r="P66" s="2504"/>
      <c r="Q66" s="2504"/>
    </row>
    <row r="67" spans="3:37" outlineLevel="1">
      <c r="J67" s="2505">
        <v>2003</v>
      </c>
      <c r="K67" s="2506">
        <v>2003</v>
      </c>
      <c r="L67" s="2506">
        <v>2003</v>
      </c>
      <c r="M67" s="2507">
        <v>2003</v>
      </c>
      <c r="N67" s="2505">
        <v>2004</v>
      </c>
      <c r="O67" s="2506">
        <v>2004</v>
      </c>
      <c r="P67" s="2506">
        <v>2004</v>
      </c>
      <c r="Q67" s="2508">
        <v>2004</v>
      </c>
      <c r="R67" s="2509">
        <v>2005</v>
      </c>
      <c r="S67" s="2506">
        <v>2005</v>
      </c>
      <c r="T67" s="2506">
        <v>2005</v>
      </c>
      <c r="U67" s="2507">
        <v>2005</v>
      </c>
      <c r="V67" s="2505">
        <v>2006</v>
      </c>
      <c r="W67" s="2506">
        <v>2006</v>
      </c>
      <c r="X67" s="2506">
        <v>2006</v>
      </c>
      <c r="Y67" s="2508">
        <v>2006</v>
      </c>
      <c r="Z67" s="2509">
        <v>2007</v>
      </c>
      <c r="AA67" s="2506">
        <v>2007</v>
      </c>
      <c r="AB67" s="2506">
        <v>2007</v>
      </c>
      <c r="AC67" s="2507">
        <v>2007</v>
      </c>
      <c r="AD67" s="2505">
        <v>2008</v>
      </c>
      <c r="AE67" s="2506">
        <v>2008</v>
      </c>
      <c r="AF67" s="2506">
        <v>2008</v>
      </c>
      <c r="AG67" s="2508">
        <v>2008</v>
      </c>
      <c r="AH67" s="2505">
        <v>2009</v>
      </c>
      <c r="AI67" s="2506">
        <v>2009</v>
      </c>
      <c r="AJ67" s="2506">
        <v>2009</v>
      </c>
      <c r="AK67" s="2508">
        <v>2009</v>
      </c>
    </row>
    <row r="68" spans="3:37" outlineLevel="1">
      <c r="C68" s="2510" t="s">
        <v>11</v>
      </c>
      <c r="D68" s="2511"/>
      <c r="E68" s="2511"/>
      <c r="F68" s="2511"/>
      <c r="G68" s="2512"/>
      <c r="H68" s="2512" t="s">
        <v>40</v>
      </c>
      <c r="J68" s="2513">
        <v>1</v>
      </c>
      <c r="K68" s="2514">
        <v>2</v>
      </c>
      <c r="L68" s="2514">
        <v>3</v>
      </c>
      <c r="M68" s="2515">
        <v>4</v>
      </c>
      <c r="N68" s="2513">
        <v>1</v>
      </c>
      <c r="O68" s="2514">
        <v>2</v>
      </c>
      <c r="P68" s="2514">
        <v>3</v>
      </c>
      <c r="Q68" s="2515">
        <v>4</v>
      </c>
      <c r="R68" s="2513">
        <v>1</v>
      </c>
      <c r="S68" s="2514">
        <v>2</v>
      </c>
      <c r="T68" s="2514">
        <v>3</v>
      </c>
      <c r="U68" s="2515">
        <v>4</v>
      </c>
      <c r="V68" s="2513">
        <v>1</v>
      </c>
      <c r="W68" s="2514">
        <v>2</v>
      </c>
      <c r="X68" s="2514">
        <v>3</v>
      </c>
      <c r="Y68" s="2515">
        <v>4</v>
      </c>
      <c r="Z68" s="2513">
        <v>1</v>
      </c>
      <c r="AA68" s="2514">
        <v>2</v>
      </c>
      <c r="AB68" s="2514">
        <v>3</v>
      </c>
      <c r="AC68" s="2515">
        <v>4</v>
      </c>
      <c r="AD68" s="2513">
        <v>1</v>
      </c>
      <c r="AE68" s="2514">
        <v>2</v>
      </c>
      <c r="AF68" s="2514">
        <v>3</v>
      </c>
      <c r="AG68" s="2515">
        <v>4</v>
      </c>
      <c r="AH68" s="2513">
        <v>1</v>
      </c>
      <c r="AI68" s="2514">
        <v>2</v>
      </c>
      <c r="AJ68" s="2514">
        <v>3</v>
      </c>
      <c r="AK68" s="2515">
        <v>4</v>
      </c>
    </row>
    <row r="69" spans="3:37" outlineLevel="1">
      <c r="C69" s="2354"/>
      <c r="D69" s="2348" t="s">
        <v>3946</v>
      </c>
      <c r="G69" s="2516">
        <f>H69-$H$21</f>
        <v>0</v>
      </c>
      <c r="H69" s="2517">
        <f>SUM(J69:AK69)</f>
        <v>205118.76659655818</v>
      </c>
      <c r="J69" s="2518">
        <v>0</v>
      </c>
      <c r="K69" s="2519">
        <v>0</v>
      </c>
      <c r="L69" s="2519">
        <v>2393.0090441241896</v>
      </c>
      <c r="M69" s="2520">
        <v>5489.1880953490809</v>
      </c>
      <c r="N69" s="2518">
        <v>1060.3877162313115</v>
      </c>
      <c r="O69" s="2519">
        <v>5987.0940573733396</v>
      </c>
      <c r="P69" s="2519">
        <v>3734.9465462205612</v>
      </c>
      <c r="Q69" s="2520">
        <v>2995.4010936183126</v>
      </c>
      <c r="R69" s="2518">
        <v>6847.8663328448738</v>
      </c>
      <c r="S69" s="2519">
        <v>14217.89659421601</v>
      </c>
      <c r="T69" s="2519">
        <v>3761.4510464833324</v>
      </c>
      <c r="U69" s="2520">
        <v>7156.6675813751644</v>
      </c>
      <c r="V69" s="2518">
        <v>3536.6882392147218</v>
      </c>
      <c r="W69" s="2519">
        <v>2084.4415062290755</v>
      </c>
      <c r="X69" s="2519">
        <v>7875.1459526639092</v>
      </c>
      <c r="Y69" s="2520">
        <v>10391.545418215796</v>
      </c>
      <c r="Z69" s="2518">
        <v>7107.6529540117117</v>
      </c>
      <c r="AA69" s="2519">
        <v>11394.943407562469</v>
      </c>
      <c r="AB69" s="2519">
        <v>12605.457416925397</v>
      </c>
      <c r="AC69" s="2520">
        <v>14542.539145899496</v>
      </c>
      <c r="AD69" s="2518">
        <v>20453.001105194617</v>
      </c>
      <c r="AE69" s="2519">
        <v>18577.836926543598</v>
      </c>
      <c r="AF69" s="2519">
        <v>25869.659017439379</v>
      </c>
      <c r="AG69" s="2520">
        <v>17035.947398821816</v>
      </c>
      <c r="AH69" s="2518">
        <v>0</v>
      </c>
      <c r="AI69" s="2519">
        <v>0</v>
      </c>
      <c r="AJ69" s="2519">
        <v>0</v>
      </c>
      <c r="AK69" s="2520">
        <v>0</v>
      </c>
    </row>
    <row r="70" spans="3:37" outlineLevel="1">
      <c r="C70" s="2354"/>
      <c r="D70" s="2348" t="s">
        <v>3947</v>
      </c>
      <c r="G70" s="2516">
        <f>H70-$H$22</f>
        <v>0</v>
      </c>
      <c r="H70" s="2517">
        <f>SUM(J70:AK70)</f>
        <v>15903.097116257035</v>
      </c>
      <c r="J70" s="2518">
        <v>0</v>
      </c>
      <c r="K70" s="2519">
        <v>0</v>
      </c>
      <c r="L70" s="2519">
        <v>0</v>
      </c>
      <c r="M70" s="2520">
        <v>0</v>
      </c>
      <c r="N70" s="2518">
        <v>0</v>
      </c>
      <c r="O70" s="2519">
        <v>0</v>
      </c>
      <c r="P70" s="2519">
        <v>0</v>
      </c>
      <c r="Q70" s="2520">
        <v>0</v>
      </c>
      <c r="R70" s="2518">
        <v>0</v>
      </c>
      <c r="S70" s="2519">
        <v>0</v>
      </c>
      <c r="T70" s="2519">
        <v>0</v>
      </c>
      <c r="U70" s="2520">
        <v>0</v>
      </c>
      <c r="V70" s="2518">
        <v>62.060682040786773</v>
      </c>
      <c r="W70" s="2519">
        <v>154.89874832017321</v>
      </c>
      <c r="X70" s="2519">
        <v>209.61533785868644</v>
      </c>
      <c r="Y70" s="2520">
        <v>416.33791911611405</v>
      </c>
      <c r="Z70" s="2518">
        <v>689.11598634427867</v>
      </c>
      <c r="AA70" s="2519">
        <v>875.69187638708615</v>
      </c>
      <c r="AB70" s="2519">
        <v>1174.8091408356008</v>
      </c>
      <c r="AC70" s="2520">
        <v>1505.7023980298925</v>
      </c>
      <c r="AD70" s="2518">
        <v>1887.4440506097544</v>
      </c>
      <c r="AE70" s="2519">
        <v>2424.335329621113</v>
      </c>
      <c r="AF70" s="2519">
        <v>2912.0035489428828</v>
      </c>
      <c r="AG70" s="2520">
        <v>3591.0820981506663</v>
      </c>
      <c r="AH70" s="2518">
        <v>0</v>
      </c>
      <c r="AI70" s="2519">
        <v>0</v>
      </c>
      <c r="AJ70" s="2519">
        <v>0</v>
      </c>
      <c r="AK70" s="2520">
        <v>0</v>
      </c>
    </row>
    <row r="71" spans="3:37" outlineLevel="1">
      <c r="C71" s="2521"/>
      <c r="D71" s="2434" t="s">
        <v>3948</v>
      </c>
      <c r="E71" s="2434"/>
      <c r="F71" s="2434"/>
      <c r="G71" s="2522">
        <f>H71-$H$23</f>
        <v>0</v>
      </c>
      <c r="H71" s="2523">
        <f>SUM(J71:AK71)</f>
        <v>189215.66948030112</v>
      </c>
      <c r="J71" s="2524">
        <f t="shared" ref="J71:AK71" si="139">J69-J70</f>
        <v>0</v>
      </c>
      <c r="K71" s="2525">
        <f t="shared" si="139"/>
        <v>0</v>
      </c>
      <c r="L71" s="2525">
        <f t="shared" si="139"/>
        <v>2393.0090441241896</v>
      </c>
      <c r="M71" s="2526">
        <f t="shared" si="139"/>
        <v>5489.1880953490809</v>
      </c>
      <c r="N71" s="2524">
        <f t="shared" si="139"/>
        <v>1060.3877162313115</v>
      </c>
      <c r="O71" s="2525">
        <f t="shared" si="139"/>
        <v>5987.0940573733396</v>
      </c>
      <c r="P71" s="2525">
        <f t="shared" si="139"/>
        <v>3734.9465462205612</v>
      </c>
      <c r="Q71" s="2526">
        <f t="shared" si="139"/>
        <v>2995.4010936183126</v>
      </c>
      <c r="R71" s="2524">
        <f t="shared" si="139"/>
        <v>6847.8663328448738</v>
      </c>
      <c r="S71" s="2525">
        <f t="shared" si="139"/>
        <v>14217.89659421601</v>
      </c>
      <c r="T71" s="2525">
        <f t="shared" si="139"/>
        <v>3761.4510464833324</v>
      </c>
      <c r="U71" s="2526">
        <f t="shared" si="139"/>
        <v>7156.6675813751644</v>
      </c>
      <c r="V71" s="2524">
        <f t="shared" si="139"/>
        <v>3474.6275571739352</v>
      </c>
      <c r="W71" s="2525">
        <f t="shared" si="139"/>
        <v>1929.5427579089023</v>
      </c>
      <c r="X71" s="2525">
        <f t="shared" si="139"/>
        <v>7665.5306148052223</v>
      </c>
      <c r="Y71" s="2526">
        <f t="shared" si="139"/>
        <v>9975.2074990996807</v>
      </c>
      <c r="Z71" s="2524">
        <f t="shared" si="139"/>
        <v>6418.5369676674327</v>
      </c>
      <c r="AA71" s="2525">
        <f t="shared" si="139"/>
        <v>10519.251531175383</v>
      </c>
      <c r="AB71" s="2525">
        <f t="shared" si="139"/>
        <v>11430.648276089796</v>
      </c>
      <c r="AC71" s="2526">
        <f t="shared" si="139"/>
        <v>13036.836747869604</v>
      </c>
      <c r="AD71" s="2524">
        <f t="shared" si="139"/>
        <v>18565.55705458486</v>
      </c>
      <c r="AE71" s="2525">
        <f t="shared" si="139"/>
        <v>16153.501596922484</v>
      </c>
      <c r="AF71" s="2525">
        <f t="shared" si="139"/>
        <v>22957.655468496494</v>
      </c>
      <c r="AG71" s="2526">
        <f t="shared" si="139"/>
        <v>13444.86530067115</v>
      </c>
      <c r="AH71" s="2524">
        <f t="shared" si="139"/>
        <v>0</v>
      </c>
      <c r="AI71" s="2525">
        <f t="shared" si="139"/>
        <v>0</v>
      </c>
      <c r="AJ71" s="2525">
        <f t="shared" si="139"/>
        <v>0</v>
      </c>
      <c r="AK71" s="2526">
        <f t="shared" si="139"/>
        <v>0</v>
      </c>
    </row>
    <row r="72" spans="3:37" outlineLevel="1"/>
    <row r="73" spans="3:37" outlineLevel="1">
      <c r="C73" s="2348" t="s">
        <v>3949</v>
      </c>
    </row>
    <row r="74" spans="3:37" outlineLevel="1">
      <c r="J74" s="2528"/>
      <c r="K74" s="2528"/>
      <c r="L74" s="2528"/>
      <c r="M74" s="2528"/>
      <c r="N74" s="2528"/>
      <c r="O74" s="2528"/>
      <c r="P74" s="2528"/>
      <c r="Q74" s="2528"/>
      <c r="R74" s="2528"/>
      <c r="S74" s="2528"/>
      <c r="T74" s="2528"/>
      <c r="U74" s="2528"/>
      <c r="V74" s="2528"/>
      <c r="W74" s="2528"/>
      <c r="X74" s="2528"/>
      <c r="Y74" s="2528"/>
      <c r="Z74" s="2528"/>
      <c r="AA74" s="2528"/>
      <c r="AB74" s="2528"/>
      <c r="AC74" s="2528"/>
      <c r="AD74" s="2528"/>
      <c r="AE74" s="2528"/>
      <c r="AF74" s="2528"/>
      <c r="AG74" s="2528"/>
      <c r="AH74" s="2528"/>
      <c r="AI74" s="2528"/>
      <c r="AJ74" s="2528"/>
      <c r="AK74" s="2528"/>
    </row>
    <row r="75" spans="3:37" outlineLevel="1">
      <c r="E75" s="2529" t="s">
        <v>3950</v>
      </c>
      <c r="F75" s="2511"/>
      <c r="G75" s="2511"/>
      <c r="H75" s="2512"/>
      <c r="J75" s="2530">
        <v>2003</v>
      </c>
      <c r="K75" s="2531">
        <v>2004</v>
      </c>
      <c r="L75" s="2531">
        <v>2005</v>
      </c>
      <c r="M75" s="2531">
        <v>2006</v>
      </c>
      <c r="N75" s="2531">
        <v>2007</v>
      </c>
      <c r="O75" s="2531">
        <v>2008</v>
      </c>
      <c r="P75" s="2532">
        <v>2009</v>
      </c>
      <c r="Q75" s="2533"/>
      <c r="R75" s="2533"/>
      <c r="S75" s="2533"/>
      <c r="T75" s="2533"/>
      <c r="U75" s="2533"/>
      <c r="V75" s="2533"/>
      <c r="W75" s="2533"/>
      <c r="X75" s="2533"/>
      <c r="Y75" s="2533"/>
      <c r="Z75" s="2533"/>
      <c r="AA75" s="2533"/>
      <c r="AB75" s="2533"/>
      <c r="AC75" s="2533"/>
      <c r="AD75" s="2533"/>
      <c r="AE75" s="2533"/>
      <c r="AF75" s="2533"/>
      <c r="AG75" s="2533"/>
      <c r="AH75" s="2533"/>
      <c r="AI75" s="2533"/>
      <c r="AJ75" s="2533"/>
      <c r="AK75" s="2533"/>
    </row>
    <row r="76" spans="3:37" outlineLevel="1">
      <c r="E76" s="2534"/>
      <c r="F76" s="2348" t="s">
        <v>3951</v>
      </c>
      <c r="H76" s="2535"/>
      <c r="J76" s="2536">
        <v>3.4180045219719846E-2</v>
      </c>
      <c r="K76" s="2537">
        <v>3.0351145038167937E-2</v>
      </c>
      <c r="L76" s="2537">
        <v>2.6197249881460438E-2</v>
      </c>
      <c r="M76" s="2537">
        <v>2.0884833083054222E-2</v>
      </c>
      <c r="N76" s="2537">
        <v>3.6072325691914209E-2</v>
      </c>
      <c r="O76" s="2537">
        <v>4.1390909289474198E-2</v>
      </c>
      <c r="P76" s="2538">
        <v>2.8000335584546399E-2</v>
      </c>
      <c r="Q76" s="2539"/>
      <c r="R76" s="2539"/>
      <c r="S76" s="2539"/>
      <c r="T76" s="2539"/>
      <c r="U76" s="2539"/>
      <c r="V76" s="2539"/>
      <c r="W76" s="2539"/>
      <c r="X76" s="2539"/>
      <c r="Y76" s="2539"/>
      <c r="Z76" s="2539"/>
      <c r="AA76" s="2539"/>
      <c r="AB76" s="2539"/>
      <c r="AC76" s="2539"/>
      <c r="AD76" s="2539"/>
      <c r="AE76" s="2539"/>
      <c r="AF76" s="2539"/>
      <c r="AG76" s="2539"/>
      <c r="AH76" s="2539"/>
      <c r="AI76" s="2539"/>
      <c r="AJ76" s="2539"/>
      <c r="AK76" s="2539"/>
    </row>
    <row r="77" spans="3:37" outlineLevel="1">
      <c r="E77" s="2534"/>
      <c r="F77" s="2348" t="s">
        <v>3952</v>
      </c>
      <c r="H77" s="2540">
        <v>8.8700000000000001E-2</v>
      </c>
      <c r="I77" s="2541"/>
      <c r="J77" s="2542">
        <f t="shared" ref="J77:P77" si="140">$H$77</f>
        <v>8.8700000000000001E-2</v>
      </c>
      <c r="K77" s="2543">
        <f t="shared" si="140"/>
        <v>8.8700000000000001E-2</v>
      </c>
      <c r="L77" s="2543">
        <f t="shared" si="140"/>
        <v>8.8700000000000001E-2</v>
      </c>
      <c r="M77" s="2543">
        <f t="shared" si="140"/>
        <v>8.8700000000000001E-2</v>
      </c>
      <c r="N77" s="2543">
        <f t="shared" si="140"/>
        <v>8.8700000000000001E-2</v>
      </c>
      <c r="O77" s="2543">
        <f t="shared" si="140"/>
        <v>8.8700000000000001E-2</v>
      </c>
      <c r="P77" s="2544">
        <f t="shared" si="140"/>
        <v>8.8700000000000001E-2</v>
      </c>
      <c r="Q77" s="2545"/>
      <c r="R77" s="2545"/>
      <c r="S77" s="2545"/>
      <c r="T77" s="2545"/>
      <c r="U77" s="2545"/>
      <c r="V77" s="2545"/>
      <c r="W77" s="2545"/>
      <c r="X77" s="2545"/>
      <c r="Y77" s="2545"/>
      <c r="Z77" s="2545"/>
      <c r="AA77" s="2545"/>
      <c r="AB77" s="2545"/>
      <c r="AC77" s="2545"/>
      <c r="AD77" s="2545"/>
      <c r="AE77" s="2545"/>
      <c r="AF77" s="2545"/>
      <c r="AG77" s="2545"/>
      <c r="AH77" s="2545"/>
      <c r="AI77" s="2545"/>
      <c r="AJ77" s="2545"/>
      <c r="AK77" s="2545"/>
    </row>
    <row r="78" spans="3:37" outlineLevel="1">
      <c r="E78" s="2354"/>
      <c r="F78" s="2348" t="s">
        <v>3953</v>
      </c>
      <c r="H78" s="2535"/>
      <c r="I78" s="2541"/>
      <c r="J78" s="2542">
        <f t="shared" ref="J78:P78" si="141">(1+J76)*(1+J77)-1</f>
        <v>0.12591181523070905</v>
      </c>
      <c r="K78" s="2543">
        <f t="shared" si="141"/>
        <v>0.12174329160305342</v>
      </c>
      <c r="L78" s="2543">
        <f t="shared" si="141"/>
        <v>0.1172209459459459</v>
      </c>
      <c r="M78" s="2543">
        <f t="shared" si="141"/>
        <v>0.11143731777752119</v>
      </c>
      <c r="N78" s="2543">
        <f t="shared" si="141"/>
        <v>0.1279719409807869</v>
      </c>
      <c r="O78" s="2543">
        <f t="shared" si="141"/>
        <v>0.13376228294345061</v>
      </c>
      <c r="P78" s="2544">
        <f t="shared" si="141"/>
        <v>0.1191839653508957</v>
      </c>
      <c r="Q78" s="2546"/>
      <c r="R78" s="2546"/>
      <c r="S78" s="2546"/>
      <c r="T78" s="2546"/>
      <c r="U78" s="2546"/>
      <c r="V78" s="2546"/>
      <c r="W78" s="2546"/>
      <c r="X78" s="2546"/>
      <c r="Y78" s="2546"/>
      <c r="Z78" s="2546"/>
      <c r="AA78" s="2546"/>
      <c r="AB78" s="2546"/>
      <c r="AC78" s="2546"/>
      <c r="AD78" s="2546"/>
      <c r="AE78" s="2546"/>
      <c r="AF78" s="2546"/>
      <c r="AG78" s="2546"/>
      <c r="AH78" s="2546"/>
      <c r="AI78" s="2546"/>
      <c r="AJ78" s="2546"/>
      <c r="AK78" s="2546"/>
    </row>
    <row r="79" spans="3:37" outlineLevel="1">
      <c r="E79" s="2547"/>
      <c r="F79" s="2349" t="s">
        <v>3954</v>
      </c>
      <c r="G79" s="2349"/>
      <c r="H79" s="2548"/>
      <c r="I79" s="2541"/>
      <c r="J79" s="2549">
        <f t="shared" ref="J79:P79" si="142">(1+J78)^(1/4)-1</f>
        <v>3.0092189341149433E-2</v>
      </c>
      <c r="K79" s="2550">
        <f t="shared" si="142"/>
        <v>2.9137421360120097E-2</v>
      </c>
      <c r="L79" s="2550">
        <f t="shared" si="142"/>
        <v>2.809859902346834E-2</v>
      </c>
      <c r="M79" s="2550">
        <f t="shared" si="142"/>
        <v>2.6765443245098774E-2</v>
      </c>
      <c r="N79" s="2550">
        <f t="shared" si="142"/>
        <v>3.0563066560455709E-2</v>
      </c>
      <c r="O79" s="2550">
        <f t="shared" si="142"/>
        <v>3.1883103740301566E-2</v>
      </c>
      <c r="P79" s="2551">
        <f t="shared" si="142"/>
        <v>2.8549908386192646E-2</v>
      </c>
      <c r="Q79" s="2546"/>
      <c r="R79" s="2546"/>
      <c r="S79" s="2546"/>
      <c r="T79" s="2546"/>
      <c r="U79" s="2546"/>
      <c r="V79" s="2546"/>
      <c r="W79" s="2546"/>
      <c r="X79" s="2546"/>
      <c r="Y79" s="2546"/>
      <c r="Z79" s="2546"/>
      <c r="AA79" s="2546"/>
      <c r="AB79" s="2546"/>
      <c r="AC79" s="2546"/>
      <c r="AD79" s="2546"/>
      <c r="AE79" s="2546"/>
      <c r="AF79" s="2546"/>
      <c r="AG79" s="2546"/>
      <c r="AH79" s="2546"/>
      <c r="AI79" s="2546"/>
      <c r="AJ79" s="2546"/>
      <c r="AK79" s="2546"/>
    </row>
    <row r="80" spans="3:37" outlineLevel="1"/>
    <row r="81" spans="2:37" outlineLevel="1">
      <c r="C81" s="2529" t="s">
        <v>3955</v>
      </c>
      <c r="D81" s="2511" t="s">
        <v>3956</v>
      </c>
      <c r="E81" s="2511" t="s">
        <v>3957</v>
      </c>
      <c r="F81" s="2511" t="s">
        <v>3958</v>
      </c>
      <c r="G81" s="2512" t="s">
        <v>3959</v>
      </c>
      <c r="H81" s="2512" t="s">
        <v>40</v>
      </c>
    </row>
    <row r="82" spans="2:37" outlineLevel="1">
      <c r="B82" s="2348">
        <v>1</v>
      </c>
      <c r="C82" s="2552">
        <f t="shared" ref="C82:C109" si="143">H82*E82</f>
        <v>0</v>
      </c>
      <c r="D82" s="2553">
        <v>2003</v>
      </c>
      <c r="E82" s="2554">
        <v>1</v>
      </c>
      <c r="F82" s="2528">
        <v>37711</v>
      </c>
      <c r="G82" s="2555">
        <f t="shared" ref="G82:G109" si="144">SUMIF($J$75:$P$75,D82,$J$79:$P$79)</f>
        <v>3.0092189341149433E-2</v>
      </c>
      <c r="H82" s="2517">
        <f t="shared" ref="H82:H109" si="145">SUM(J82:AK82)</f>
        <v>0</v>
      </c>
      <c r="J82" s="2556"/>
      <c r="K82" s="2557"/>
      <c r="L82" s="2558"/>
      <c r="M82" s="2559"/>
      <c r="N82" s="2560"/>
      <c r="O82" s="2558"/>
      <c r="P82" s="2558"/>
      <c r="Q82" s="2559"/>
      <c r="R82" s="2560"/>
      <c r="S82" s="2558"/>
      <c r="T82" s="2558"/>
      <c r="U82" s="2559"/>
      <c r="V82" s="2556"/>
      <c r="W82" s="2557"/>
      <c r="X82" s="2557"/>
      <c r="Y82" s="2561"/>
      <c r="Z82" s="2556"/>
      <c r="AA82" s="2557"/>
      <c r="AB82" s="2557"/>
      <c r="AC82" s="2561"/>
      <c r="AD82" s="2556"/>
      <c r="AE82" s="2557"/>
      <c r="AF82" s="2557"/>
      <c r="AG82" s="2561"/>
      <c r="AH82" s="2556"/>
      <c r="AI82" s="2557"/>
      <c r="AJ82" s="2557"/>
      <c r="AK82" s="2561"/>
    </row>
    <row r="83" spans="2:37" outlineLevel="1">
      <c r="B83" s="2348">
        <v>2</v>
      </c>
      <c r="C83" s="2552">
        <f t="shared" si="143"/>
        <v>0</v>
      </c>
      <c r="D83" s="2562">
        <f>D82</f>
        <v>2003</v>
      </c>
      <c r="E83" s="2554">
        <v>1</v>
      </c>
      <c r="F83" s="2528">
        <f t="shared" ref="F83:F109" si="146">EOMONTH(F82,3)</f>
        <v>37802</v>
      </c>
      <c r="G83" s="2555">
        <f t="shared" si="144"/>
        <v>3.0092189341149433E-2</v>
      </c>
      <c r="H83" s="2517">
        <f t="shared" si="145"/>
        <v>0</v>
      </c>
      <c r="J83" s="2563"/>
      <c r="K83" s="2564"/>
      <c r="L83" s="2565"/>
      <c r="M83" s="2566"/>
      <c r="N83" s="2567"/>
      <c r="O83" s="2565"/>
      <c r="P83" s="2565"/>
      <c r="Q83" s="2566"/>
      <c r="R83" s="2567"/>
      <c r="S83" s="2565"/>
      <c r="T83" s="2565"/>
      <c r="U83" s="2566"/>
      <c r="V83" s="2563"/>
      <c r="W83" s="2564"/>
      <c r="X83" s="2564"/>
      <c r="Y83" s="2568"/>
      <c r="Z83" s="2563"/>
      <c r="AA83" s="2564"/>
      <c r="AB83" s="2564"/>
      <c r="AC83" s="2568"/>
      <c r="AD83" s="2563"/>
      <c r="AE83" s="2564"/>
      <c r="AF83" s="2564"/>
      <c r="AG83" s="2568"/>
      <c r="AH83" s="2563"/>
      <c r="AI83" s="2564"/>
      <c r="AJ83" s="2564"/>
      <c r="AK83" s="2568"/>
    </row>
    <row r="84" spans="2:37" outlineLevel="1">
      <c r="B84" s="2348">
        <v>3</v>
      </c>
      <c r="C84" s="2552">
        <f t="shared" si="143"/>
        <v>0</v>
      </c>
      <c r="D84" s="2562">
        <f>D83</f>
        <v>2003</v>
      </c>
      <c r="E84" s="2554">
        <v>1</v>
      </c>
      <c r="F84" s="2528">
        <f t="shared" si="146"/>
        <v>37894</v>
      </c>
      <c r="G84" s="2555">
        <f t="shared" si="144"/>
        <v>3.0092189341149433E-2</v>
      </c>
      <c r="H84" s="2517">
        <f t="shared" si="145"/>
        <v>0</v>
      </c>
      <c r="J84" s="2563"/>
      <c r="K84" s="2564"/>
      <c r="L84" s="2565"/>
      <c r="M84" s="2566"/>
      <c r="N84" s="2567"/>
      <c r="O84" s="2565"/>
      <c r="P84" s="2565"/>
      <c r="Q84" s="2566"/>
      <c r="R84" s="2567"/>
      <c r="S84" s="2565"/>
      <c r="T84" s="2565"/>
      <c r="U84" s="2566"/>
      <c r="V84" s="2563"/>
      <c r="W84" s="2564"/>
      <c r="X84" s="2564"/>
      <c r="Y84" s="2568"/>
      <c r="Z84" s="2563"/>
      <c r="AA84" s="2564"/>
      <c r="AB84" s="2564"/>
      <c r="AC84" s="2568"/>
      <c r="AD84" s="2563"/>
      <c r="AE84" s="2564"/>
      <c r="AF84" s="2564"/>
      <c r="AG84" s="2568"/>
      <c r="AH84" s="2563"/>
      <c r="AI84" s="2564"/>
      <c r="AJ84" s="2564"/>
      <c r="AK84" s="2568"/>
    </row>
    <row r="85" spans="2:37" outlineLevel="1">
      <c r="B85" s="2348">
        <v>4</v>
      </c>
      <c r="C85" s="2569">
        <f t="shared" si="143"/>
        <v>72.010881250868138</v>
      </c>
      <c r="D85" s="2570">
        <f>D84</f>
        <v>2003</v>
      </c>
      <c r="E85" s="2571">
        <v>1</v>
      </c>
      <c r="F85" s="2572">
        <f t="shared" si="146"/>
        <v>37986</v>
      </c>
      <c r="G85" s="2573">
        <f t="shared" si="144"/>
        <v>3.0092189341149433E-2</v>
      </c>
      <c r="H85" s="2574">
        <f t="shared" si="145"/>
        <v>72.010881250868138</v>
      </c>
      <c r="J85" s="2575"/>
      <c r="K85" s="2576"/>
      <c r="L85" s="2577">
        <f>(L$71+SUM(L$82:L84))*$G85</f>
        <v>72.010881250868138</v>
      </c>
      <c r="M85" s="2578"/>
      <c r="N85" s="2579"/>
      <c r="O85" s="2580"/>
      <c r="P85" s="2580"/>
      <c r="Q85" s="2578"/>
      <c r="R85" s="2579"/>
      <c r="S85" s="2580"/>
      <c r="T85" s="2580"/>
      <c r="U85" s="2578"/>
      <c r="V85" s="2575"/>
      <c r="W85" s="2576"/>
      <c r="X85" s="2576"/>
      <c r="Y85" s="2581"/>
      <c r="Z85" s="2575"/>
      <c r="AA85" s="2576"/>
      <c r="AB85" s="2576"/>
      <c r="AC85" s="2581"/>
      <c r="AD85" s="2575"/>
      <c r="AE85" s="2576"/>
      <c r="AF85" s="2576"/>
      <c r="AG85" s="2581"/>
      <c r="AH85" s="2575"/>
      <c r="AI85" s="2576"/>
      <c r="AJ85" s="2576"/>
      <c r="AK85" s="2581"/>
    </row>
    <row r="86" spans="2:37" outlineLevel="1">
      <c r="B86" s="2348">
        <v>1</v>
      </c>
      <c r="C86" s="2552">
        <f t="shared" si="143"/>
        <v>231.76511068588613</v>
      </c>
      <c r="D86" s="2553">
        <f>D85+1</f>
        <v>2004</v>
      </c>
      <c r="E86" s="2582">
        <v>1</v>
      </c>
      <c r="F86" s="2528">
        <f t="shared" si="146"/>
        <v>38077</v>
      </c>
      <c r="G86" s="2555">
        <f t="shared" si="144"/>
        <v>2.9137421360120097E-2</v>
      </c>
      <c r="H86" s="2517">
        <f t="shared" si="145"/>
        <v>231.76511068588613</v>
      </c>
      <c r="J86" s="2563"/>
      <c r="K86" s="2564"/>
      <c r="L86" s="2583">
        <f>(L$71+SUM(L$82:L85))*$G86</f>
        <v>71.824324226744864</v>
      </c>
      <c r="M86" s="2584">
        <f>(M$71+SUM(M$82:M85))*$G86</f>
        <v>159.94078645914126</v>
      </c>
      <c r="N86" s="2563"/>
      <c r="O86" s="2564"/>
      <c r="P86" s="2564"/>
      <c r="Q86" s="2568"/>
      <c r="R86" s="2560"/>
      <c r="S86" s="2558"/>
      <c r="T86" s="2558"/>
      <c r="U86" s="2559"/>
      <c r="V86" s="2563"/>
      <c r="W86" s="2564"/>
      <c r="X86" s="2564"/>
      <c r="Y86" s="2568"/>
      <c r="Z86" s="2563"/>
      <c r="AA86" s="2564"/>
      <c r="AB86" s="2564"/>
      <c r="AC86" s="2568"/>
      <c r="AD86" s="2563"/>
      <c r="AE86" s="2564"/>
      <c r="AF86" s="2564"/>
      <c r="AG86" s="2568"/>
      <c r="AH86" s="2563"/>
      <c r="AI86" s="2564"/>
      <c r="AJ86" s="2564"/>
      <c r="AK86" s="2568"/>
    </row>
    <row r="87" spans="2:37" outlineLevel="1">
      <c r="B87" s="2348">
        <v>2</v>
      </c>
      <c r="C87" s="2552">
        <f t="shared" si="143"/>
        <v>269.41511206544283</v>
      </c>
      <c r="D87" s="2562">
        <f>D86</f>
        <v>2004</v>
      </c>
      <c r="E87" s="2582">
        <v>1</v>
      </c>
      <c r="F87" s="2528">
        <f t="shared" si="146"/>
        <v>38168</v>
      </c>
      <c r="G87" s="2555">
        <f t="shared" si="144"/>
        <v>2.9137421360120097E-2</v>
      </c>
      <c r="H87" s="2517">
        <f t="shared" si="145"/>
        <v>269.41511206544283</v>
      </c>
      <c r="J87" s="2563"/>
      <c r="K87" s="2564"/>
      <c r="L87" s="2583">
        <f>(L$71+SUM(L$82:L86))*$G87</f>
        <v>73.917099825645394</v>
      </c>
      <c r="M87" s="2584">
        <f>(M$71+SUM(M$82:M86))*$G87</f>
        <v>164.60104854687026</v>
      </c>
      <c r="N87" s="2585">
        <f>(N$71+SUM(N$82:N86))*$G87</f>
        <v>30.896963692927184</v>
      </c>
      <c r="O87" s="2564"/>
      <c r="P87" s="2564"/>
      <c r="Q87" s="2568"/>
      <c r="R87" s="2567"/>
      <c r="S87" s="2565"/>
      <c r="T87" s="2565"/>
      <c r="U87" s="2566"/>
      <c r="V87" s="2563"/>
      <c r="W87" s="2564"/>
      <c r="X87" s="2564"/>
      <c r="Y87" s="2568"/>
      <c r="Z87" s="2563"/>
      <c r="AA87" s="2564"/>
      <c r="AB87" s="2564"/>
      <c r="AC87" s="2568"/>
      <c r="AD87" s="2563"/>
      <c r="AE87" s="2564"/>
      <c r="AF87" s="2564"/>
      <c r="AG87" s="2568"/>
      <c r="AH87" s="2563"/>
      <c r="AI87" s="2564"/>
      <c r="AJ87" s="2564"/>
      <c r="AK87" s="2568"/>
    </row>
    <row r="88" spans="2:37" outlineLevel="1">
      <c r="B88" s="2348">
        <v>3</v>
      </c>
      <c r="C88" s="2552">
        <f t="shared" si="143"/>
        <v>451.71365597883562</v>
      </c>
      <c r="D88" s="2562">
        <f>D87</f>
        <v>2004</v>
      </c>
      <c r="E88" s="2582">
        <v>1</v>
      </c>
      <c r="F88" s="2528">
        <f t="shared" si="146"/>
        <v>38260</v>
      </c>
      <c r="G88" s="2555">
        <f t="shared" si="144"/>
        <v>2.9137421360120097E-2</v>
      </c>
      <c r="H88" s="2517">
        <f t="shared" si="145"/>
        <v>451.71365597883562</v>
      </c>
      <c r="J88" s="2563"/>
      <c r="K88" s="2564"/>
      <c r="L88" s="2583">
        <f>(L$71+SUM(L$82:L87))*$G88</f>
        <v>76.070853508983291</v>
      </c>
      <c r="M88" s="2584">
        <f>(M$71+SUM(M$82:M87))*$G88</f>
        <v>169.397098654698</v>
      </c>
      <c r="N88" s="2585">
        <f>(N$71+SUM(N$82:N87))*$G88</f>
        <v>31.797221542796333</v>
      </c>
      <c r="O88" s="2583">
        <f>(O$71+SUM(O$82:O87))*$G88</f>
        <v>174.44848227235804</v>
      </c>
      <c r="P88" s="2564"/>
      <c r="Q88" s="2568"/>
      <c r="R88" s="2567"/>
      <c r="S88" s="2565"/>
      <c r="T88" s="2565"/>
      <c r="U88" s="2566"/>
      <c r="V88" s="2563"/>
      <c r="W88" s="2564"/>
      <c r="X88" s="2564"/>
      <c r="Y88" s="2568"/>
      <c r="Z88" s="2563"/>
      <c r="AA88" s="2564"/>
      <c r="AB88" s="2564"/>
      <c r="AC88" s="2568"/>
      <c r="AD88" s="2563"/>
      <c r="AE88" s="2564"/>
      <c r="AF88" s="2564"/>
      <c r="AG88" s="2568"/>
      <c r="AH88" s="2563"/>
      <c r="AI88" s="2564"/>
      <c r="AJ88" s="2564"/>
      <c r="AK88" s="2568"/>
    </row>
    <row r="89" spans="2:37" outlineLevel="1">
      <c r="B89" s="2348">
        <v>4</v>
      </c>
      <c r="C89" s="2569">
        <f t="shared" si="143"/>
        <v>573.70213838196514</v>
      </c>
      <c r="D89" s="2570">
        <f>D88</f>
        <v>2004</v>
      </c>
      <c r="E89" s="2586">
        <v>1</v>
      </c>
      <c r="F89" s="2572">
        <f t="shared" si="146"/>
        <v>38352</v>
      </c>
      <c r="G89" s="2573">
        <f t="shared" si="144"/>
        <v>2.9137421360120097E-2</v>
      </c>
      <c r="H89" s="2574">
        <f t="shared" si="145"/>
        <v>573.70213838196514</v>
      </c>
      <c r="J89" s="2575"/>
      <c r="K89" s="2576"/>
      <c r="L89" s="2577">
        <f>(L$71+SUM(L$82:L88))*$G89</f>
        <v>78.287362020898513</v>
      </c>
      <c r="M89" s="2587">
        <f>(M$71+SUM(M$82:M88))*$G89</f>
        <v>174.33289329538175</v>
      </c>
      <c r="N89" s="2588">
        <f>(N$71+SUM(N$82:N88))*$G89</f>
        <v>32.723710584969879</v>
      </c>
      <c r="O89" s="2577">
        <f>(O$71+SUM(O$82:O88))*$G89</f>
        <v>179.53146120596119</v>
      </c>
      <c r="P89" s="2577">
        <f>(P$71+SUM(P$82:P88))*$G89</f>
        <v>108.82671127475376</v>
      </c>
      <c r="Q89" s="2581"/>
      <c r="R89" s="2579"/>
      <c r="S89" s="2580"/>
      <c r="T89" s="2580"/>
      <c r="U89" s="2578"/>
      <c r="V89" s="2575"/>
      <c r="W89" s="2576"/>
      <c r="X89" s="2576"/>
      <c r="Y89" s="2581"/>
      <c r="Z89" s="2575"/>
      <c r="AA89" s="2576"/>
      <c r="AB89" s="2576"/>
      <c r="AC89" s="2581"/>
      <c r="AD89" s="2575"/>
      <c r="AE89" s="2576"/>
      <c r="AF89" s="2576"/>
      <c r="AG89" s="2581"/>
      <c r="AH89" s="2575"/>
      <c r="AI89" s="2576"/>
      <c r="AJ89" s="2576"/>
      <c r="AK89" s="2581"/>
    </row>
    <row r="90" spans="2:37" outlineLevel="1">
      <c r="B90" s="2348">
        <v>1</v>
      </c>
      <c r="C90" s="2552">
        <f t="shared" si="143"/>
        <v>653.53501518133839</v>
      </c>
      <c r="D90" s="2553">
        <f>D89+1</f>
        <v>2005</v>
      </c>
      <c r="E90" s="2582">
        <v>1</v>
      </c>
      <c r="F90" s="2528">
        <f t="shared" si="146"/>
        <v>38442</v>
      </c>
      <c r="G90" s="2555">
        <f t="shared" si="144"/>
        <v>2.809859902346834E-2</v>
      </c>
      <c r="H90" s="2517">
        <f t="shared" si="145"/>
        <v>653.53501518133839</v>
      </c>
      <c r="J90" s="2563"/>
      <c r="K90" s="2564"/>
      <c r="L90" s="2583">
        <f>(L$71+SUM(L$82:L89))*$G90</f>
        <v>77.695985907683223</v>
      </c>
      <c r="M90" s="2584">
        <f>(M$71+SUM(M$82:M89))*$G90</f>
        <v>173.01599735992954</v>
      </c>
      <c r="N90" s="2585">
        <f>(N$71+SUM(N$82:N89))*$G90</f>
        <v>32.476518442123698</v>
      </c>
      <c r="O90" s="2583">
        <f>(O$71+SUM(O$82:O89))*$G90</f>
        <v>178.17529572807089</v>
      </c>
      <c r="P90" s="2583">
        <f>(P$71+SUM(P$82:P89))*$G90</f>
        <v>108.00464349949158</v>
      </c>
      <c r="Q90" s="2584">
        <f>(Q$71+SUM(Q$82:Q89))*$G90</f>
        <v>84.166574244039523</v>
      </c>
      <c r="R90" s="2563"/>
      <c r="S90" s="2564"/>
      <c r="T90" s="2564"/>
      <c r="U90" s="2568"/>
      <c r="V90" s="2563"/>
      <c r="W90" s="2564"/>
      <c r="X90" s="2564"/>
      <c r="Y90" s="2568"/>
      <c r="Z90" s="2563"/>
      <c r="AA90" s="2564"/>
      <c r="AB90" s="2564"/>
      <c r="AC90" s="2568"/>
      <c r="AD90" s="2563"/>
      <c r="AE90" s="2564"/>
      <c r="AF90" s="2564"/>
      <c r="AG90" s="2568"/>
      <c r="AH90" s="2563"/>
      <c r="AI90" s="2564"/>
      <c r="AJ90" s="2564"/>
      <c r="AK90" s="2568"/>
    </row>
    <row r="91" spans="2:37" outlineLevel="1">
      <c r="B91" s="2348">
        <v>2</v>
      </c>
      <c r="C91" s="2552">
        <f t="shared" si="143"/>
        <v>864.3138837736318</v>
      </c>
      <c r="D91" s="2562">
        <f>D90</f>
        <v>2005</v>
      </c>
      <c r="E91" s="2582">
        <v>1</v>
      </c>
      <c r="F91" s="2528">
        <f t="shared" si="146"/>
        <v>38533</v>
      </c>
      <c r="G91" s="2555">
        <f t="shared" si="144"/>
        <v>2.809859902346834E-2</v>
      </c>
      <c r="H91" s="2517">
        <f t="shared" si="145"/>
        <v>864.3138837736318</v>
      </c>
      <c r="J91" s="2563"/>
      <c r="K91" s="2564"/>
      <c r="L91" s="2583">
        <f>(L$71+SUM(L$82:L90))*$G91</f>
        <v>79.879134261436263</v>
      </c>
      <c r="M91" s="2584">
        <f>(M$71+SUM(M$82:M90))*$G91</f>
        <v>177.87750449439164</v>
      </c>
      <c r="N91" s="2585">
        <f>(N$71+SUM(N$82:N90))*$G91</f>
        <v>33.389063111507198</v>
      </c>
      <c r="O91" s="2583">
        <f>(O$71+SUM(O$82:O90))*$G91</f>
        <v>183.18177191862188</v>
      </c>
      <c r="P91" s="2583">
        <f>(P$71+SUM(P$82:P90))*$G91</f>
        <v>111.03942266985645</v>
      </c>
      <c r="Q91" s="2584">
        <f>(Q$71+SUM(Q$82:Q90))*$G91</f>
        <v>86.531537064901769</v>
      </c>
      <c r="R91" s="2585">
        <f>(R$71+SUM(R$82:R90))*$G91</f>
        <v>192.41545025291668</v>
      </c>
      <c r="S91" s="2564"/>
      <c r="T91" s="2564"/>
      <c r="U91" s="2568"/>
      <c r="V91" s="2563"/>
      <c r="W91" s="2564"/>
      <c r="X91" s="2564"/>
      <c r="Y91" s="2568"/>
      <c r="Z91" s="2563"/>
      <c r="AA91" s="2564"/>
      <c r="AB91" s="2564"/>
      <c r="AC91" s="2568"/>
      <c r="AD91" s="2563"/>
      <c r="AE91" s="2564"/>
      <c r="AF91" s="2564"/>
      <c r="AG91" s="2568"/>
      <c r="AH91" s="2563"/>
      <c r="AI91" s="2564"/>
      <c r="AJ91" s="2564"/>
      <c r="AK91" s="2568"/>
    </row>
    <row r="92" spans="2:37" outlineLevel="1">
      <c r="B92" s="2348">
        <v>3</v>
      </c>
      <c r="C92" s="2552">
        <f t="shared" si="143"/>
        <v>1288.1028683822158</v>
      </c>
      <c r="D92" s="2562">
        <f>D91</f>
        <v>2005</v>
      </c>
      <c r="E92" s="2582">
        <v>1</v>
      </c>
      <c r="F92" s="2528">
        <f t="shared" si="146"/>
        <v>38625</v>
      </c>
      <c r="G92" s="2555">
        <f t="shared" si="144"/>
        <v>2.809859902346834E-2</v>
      </c>
      <c r="H92" s="2517">
        <f t="shared" si="145"/>
        <v>1288.1028683822158</v>
      </c>
      <c r="J92" s="2563"/>
      <c r="K92" s="2564"/>
      <c r="L92" s="2583">
        <f>(L$71+SUM(L$82:L91))*$G92</f>
        <v>82.123626025390152</v>
      </c>
      <c r="M92" s="2584">
        <f>(M$71+SUM(M$82:M91))*$G92</f>
        <v>182.87561316847476</v>
      </c>
      <c r="N92" s="2585">
        <f>(N$71+SUM(N$82:N91))*$G92</f>
        <v>34.327249007646721</v>
      </c>
      <c r="O92" s="2583">
        <f>(O$71+SUM(O$82:O91))*$G92</f>
        <v>188.32892307617166</v>
      </c>
      <c r="P92" s="2583">
        <f>(P$71+SUM(P$82:P91))*$G92</f>
        <v>114.15947488325416</v>
      </c>
      <c r="Q92" s="2584">
        <f>(Q$71+SUM(Q$82:Q91))*$G92</f>
        <v>88.962952027772829</v>
      </c>
      <c r="R92" s="2585">
        <f>(R$71+SUM(R$82:R91))*$G92</f>
        <v>197.8220548354935</v>
      </c>
      <c r="S92" s="2583">
        <f>(S$71+SUM(S$82:S91))*$G92</f>
        <v>399.50297535801184</v>
      </c>
      <c r="T92" s="2564"/>
      <c r="U92" s="2568"/>
      <c r="V92" s="2563"/>
      <c r="W92" s="2564"/>
      <c r="X92" s="2564"/>
      <c r="Y92" s="2568"/>
      <c r="Z92" s="2563"/>
      <c r="AA92" s="2564"/>
      <c r="AB92" s="2564"/>
      <c r="AC92" s="2568"/>
      <c r="AD92" s="2563"/>
      <c r="AE92" s="2564"/>
      <c r="AF92" s="2564"/>
      <c r="AG92" s="2568"/>
      <c r="AH92" s="2563"/>
      <c r="AI92" s="2564"/>
      <c r="AJ92" s="2564"/>
      <c r="AK92" s="2568"/>
    </row>
    <row r="93" spans="2:37" outlineLevel="1">
      <c r="B93" s="2348">
        <v>4</v>
      </c>
      <c r="C93" s="2569">
        <f t="shared" si="143"/>
        <v>1429.9882590834072</v>
      </c>
      <c r="D93" s="2570">
        <f>D92</f>
        <v>2005</v>
      </c>
      <c r="E93" s="2586">
        <v>1</v>
      </c>
      <c r="F93" s="2572">
        <f t="shared" si="146"/>
        <v>38717</v>
      </c>
      <c r="G93" s="2573">
        <f t="shared" si="144"/>
        <v>2.809859902346834E-2</v>
      </c>
      <c r="H93" s="2574">
        <f t="shared" si="145"/>
        <v>1429.9882590834072</v>
      </c>
      <c r="J93" s="2575"/>
      <c r="K93" s="2576"/>
      <c r="L93" s="2577">
        <f>(L$71+SUM(L$82:L92))*$G93</f>
        <v>84.431184863430857</v>
      </c>
      <c r="M93" s="2587">
        <f>(M$71+SUM(M$82:M92))*$G93</f>
        <v>188.01416169406664</v>
      </c>
      <c r="N93" s="2588">
        <f>(N$71+SUM(N$82:N92))*$G93</f>
        <v>35.291796613091336</v>
      </c>
      <c r="O93" s="2577">
        <f>(O$71+SUM(O$82:O92))*$G93</f>
        <v>193.6207019702106</v>
      </c>
      <c r="P93" s="2577">
        <f>(P$71+SUM(P$82:P92))*$G93</f>
        <v>117.36719619272843</v>
      </c>
      <c r="Q93" s="2587">
        <f>(Q$71+SUM(Q$82:Q92))*$G93</f>
        <v>91.462686344745265</v>
      </c>
      <c r="R93" s="2588">
        <f>(R$71+SUM(R$82:R92))*$G93</f>
        <v>203.38057743231462</v>
      </c>
      <c r="S93" s="2577">
        <f>(S$71+SUM(S$82:S92))*$G93</f>
        <v>410.72844927127915</v>
      </c>
      <c r="T93" s="2577">
        <f>(T$71+SUM(T$82:T92))*$G93</f>
        <v>105.69150470154054</v>
      </c>
      <c r="U93" s="2581"/>
      <c r="V93" s="2575"/>
      <c r="W93" s="2576"/>
      <c r="X93" s="2576"/>
      <c r="Y93" s="2581"/>
      <c r="Z93" s="2575"/>
      <c r="AA93" s="2576"/>
      <c r="AB93" s="2576"/>
      <c r="AC93" s="2581"/>
      <c r="AD93" s="2575"/>
      <c r="AE93" s="2576"/>
      <c r="AF93" s="2576"/>
      <c r="AG93" s="2581"/>
      <c r="AH93" s="2575"/>
      <c r="AI93" s="2576"/>
      <c r="AJ93" s="2576"/>
      <c r="AK93" s="2581"/>
    </row>
    <row r="94" spans="2:37" outlineLevel="1">
      <c r="B94" s="2348">
        <v>1</v>
      </c>
      <c r="C94" s="2552">
        <f t="shared" si="143"/>
        <v>1591.9672124817439</v>
      </c>
      <c r="D94" s="2553">
        <f>D93+1</f>
        <v>2006</v>
      </c>
      <c r="E94" s="2582">
        <v>1</v>
      </c>
      <c r="F94" s="2528">
        <f t="shared" si="146"/>
        <v>38807</v>
      </c>
      <c r="G94" s="2555">
        <f t="shared" si="144"/>
        <v>2.6765443245098774E-2</v>
      </c>
      <c r="H94" s="2517">
        <f t="shared" si="145"/>
        <v>1591.9672124817439</v>
      </c>
      <c r="J94" s="2563"/>
      <c r="K94" s="2564"/>
      <c r="L94" s="2583">
        <f>(L$71+SUM(L$82:L93))*$G94</f>
        <v>82.685132055546717</v>
      </c>
      <c r="M94" s="2584">
        <f>(M$71+SUM(M$82:M93))*$G94</f>
        <v>184.12599341265602</v>
      </c>
      <c r="N94" s="2585">
        <f>(N$71+SUM(N$82:N93))*$G94</f>
        <v>34.56195561096353</v>
      </c>
      <c r="O94" s="2583">
        <f>(O$71+SUM(O$82:O93))*$G94</f>
        <v>189.61658937974505</v>
      </c>
      <c r="P94" s="2583">
        <f>(P$71+SUM(P$82:P93))*$G94</f>
        <v>114.94002046616151</v>
      </c>
      <c r="Q94" s="2584">
        <f>(Q$71+SUM(Q$82:Q93))*$G94</f>
        <v>89.571220761653109</v>
      </c>
      <c r="R94" s="2585">
        <f>(R$71+SUM(R$82:R93))*$G94</f>
        <v>199.17462877875496</v>
      </c>
      <c r="S94" s="2583">
        <f>(S$71+SUM(S$82:S93))*$G94</f>
        <v>402.23450756848263</v>
      </c>
      <c r="T94" s="2583">
        <f>(T$71+SUM(T$82:T93))*$G94</f>
        <v>103.50578447444519</v>
      </c>
      <c r="U94" s="2584">
        <f>(U$71+SUM(U$82:U93))*$G94</f>
        <v>191.55137997333529</v>
      </c>
      <c r="V94" s="2563"/>
      <c r="W94" s="2564"/>
      <c r="X94" s="2564"/>
      <c r="Y94" s="2568"/>
      <c r="Z94" s="2563"/>
      <c r="AA94" s="2564"/>
      <c r="AB94" s="2564"/>
      <c r="AC94" s="2568"/>
      <c r="AD94" s="2563"/>
      <c r="AE94" s="2564"/>
      <c r="AF94" s="2564"/>
      <c r="AG94" s="2568"/>
      <c r="AH94" s="2563"/>
      <c r="AI94" s="2564"/>
      <c r="AJ94" s="2564"/>
      <c r="AK94" s="2568"/>
    </row>
    <row r="95" spans="2:37" outlineLevel="1">
      <c r="B95" s="2348">
        <v>2</v>
      </c>
      <c r="C95" s="2552">
        <f t="shared" si="143"/>
        <v>1727.5768672348772</v>
      </c>
      <c r="D95" s="2562">
        <f>D94</f>
        <v>2006</v>
      </c>
      <c r="E95" s="2582">
        <v>1</v>
      </c>
      <c r="F95" s="2528">
        <f t="shared" si="146"/>
        <v>38898</v>
      </c>
      <c r="G95" s="2555">
        <f t="shared" si="144"/>
        <v>2.6765443245098774E-2</v>
      </c>
      <c r="H95" s="2517">
        <f t="shared" si="145"/>
        <v>1727.5768672348772</v>
      </c>
      <c r="J95" s="2563"/>
      <c r="K95" s="2564"/>
      <c r="L95" s="2583">
        <f>(L$71+SUM(L$82:L94))*$G95</f>
        <v>84.898236264792942</v>
      </c>
      <c r="M95" s="2584">
        <f>(M$71+SUM(M$82:M94))*$G95</f>
        <v>189.05420723928987</v>
      </c>
      <c r="N95" s="2585">
        <f>(N$71+SUM(N$82:N94))*$G95</f>
        <v>35.487021672308394</v>
      </c>
      <c r="O95" s="2583">
        <f>(O$71+SUM(O$82:O94))*$G95</f>
        <v>194.69176144111782</v>
      </c>
      <c r="P95" s="2583">
        <f>(P$71+SUM(P$82:P94))*$G95</f>
        <v>118.01644106053905</v>
      </c>
      <c r="Q95" s="2584">
        <f>(Q$71+SUM(Q$82:Q94))*$G95</f>
        <v>91.968634187343355</v>
      </c>
      <c r="R95" s="2585">
        <f>(R$71+SUM(R$82:R94))*$G95</f>
        <v>204.50562600119633</v>
      </c>
      <c r="S95" s="2583">
        <f>(S$71+SUM(S$82:S94))*$G95</f>
        <v>413.00049245202706</v>
      </c>
      <c r="T95" s="2583">
        <f>(T$71+SUM(T$82:T94))*$G95</f>
        <v>106.27616267433538</v>
      </c>
      <c r="U95" s="2584">
        <f>(U$71+SUM(U$82:U94))*$G95</f>
        <v>196.67833756253194</v>
      </c>
      <c r="V95" s="2585">
        <f>(V$71+SUM(V$82:V94))*$G95</f>
        <v>92.999946679395165</v>
      </c>
      <c r="W95" s="2564"/>
      <c r="X95" s="2564"/>
      <c r="Y95" s="2568"/>
      <c r="Z95" s="2563"/>
      <c r="AA95" s="2564"/>
      <c r="AB95" s="2564"/>
      <c r="AC95" s="2568"/>
      <c r="AD95" s="2563"/>
      <c r="AE95" s="2564"/>
      <c r="AF95" s="2564"/>
      <c r="AG95" s="2568"/>
      <c r="AH95" s="2563"/>
      <c r="AI95" s="2564"/>
      <c r="AJ95" s="2564"/>
      <c r="AK95" s="2568"/>
    </row>
    <row r="96" spans="2:37" outlineLevel="1">
      <c r="B96" s="2348">
        <v>3</v>
      </c>
      <c r="C96" s="2552">
        <f t="shared" si="143"/>
        <v>1825.4612950022004</v>
      </c>
      <c r="D96" s="2562">
        <f>D95</f>
        <v>2006</v>
      </c>
      <c r="E96" s="2582">
        <v>1</v>
      </c>
      <c r="F96" s="2528">
        <f t="shared" si="146"/>
        <v>38990</v>
      </c>
      <c r="G96" s="2589">
        <f t="shared" si="144"/>
        <v>2.6765443245098774E-2</v>
      </c>
      <c r="H96" s="2517">
        <f t="shared" si="145"/>
        <v>1825.4612950022004</v>
      </c>
      <c r="J96" s="2563"/>
      <c r="K96" s="2564"/>
      <c r="L96" s="2583">
        <f>(L$71+SUM(L$82:L95))*$G96</f>
        <v>87.170575189147243</v>
      </c>
      <c r="M96" s="2584">
        <f>(M$71+SUM(M$82:M95))*$G96</f>
        <v>194.11432689340023</v>
      </c>
      <c r="N96" s="2585">
        <f>(N$71+SUM(N$82:N95))*$G96</f>
        <v>36.436847536816153</v>
      </c>
      <c r="O96" s="2583">
        <f>(O$71+SUM(O$82:O95))*$G96</f>
        <v>199.90277273225837</v>
      </c>
      <c r="P96" s="2583">
        <f>(P$71+SUM(P$82:P95))*$G96</f>
        <v>121.17520341573344</v>
      </c>
      <c r="Q96" s="2584">
        <f>(Q$71+SUM(Q$82:Q95))*$G96</f>
        <v>94.430215446013946</v>
      </c>
      <c r="R96" s="2585">
        <f>(R$71+SUM(R$82:R95))*$G96</f>
        <v>209.97930972723478</v>
      </c>
      <c r="S96" s="2583">
        <f>(S$71+SUM(S$82:S95))*$G96</f>
        <v>424.05463369294966</v>
      </c>
      <c r="T96" s="2583">
        <f>(T$71+SUM(T$82:T95))*$G96</f>
        <v>109.1206912747022</v>
      </c>
      <c r="U96" s="2584">
        <f>(U$71+SUM(U$82:U95))*$G96</f>
        <v>201.94252044410226</v>
      </c>
      <c r="V96" s="2585">
        <f>(V$71+SUM(V$82:V95))*$G96</f>
        <v>95.489131474039723</v>
      </c>
      <c r="W96" s="2583">
        <f>(W$71+SUM(W$82:W95))*$G96</f>
        <v>51.64506717580209</v>
      </c>
      <c r="X96" s="2564"/>
      <c r="Y96" s="2568"/>
      <c r="Z96" s="2563"/>
      <c r="AA96" s="2564"/>
      <c r="AB96" s="2564"/>
      <c r="AC96" s="2568"/>
      <c r="AD96" s="2563"/>
      <c r="AE96" s="2564"/>
      <c r="AF96" s="2564"/>
      <c r="AG96" s="2568"/>
      <c r="AH96" s="2563"/>
      <c r="AI96" s="2564"/>
      <c r="AJ96" s="2564"/>
      <c r="AK96" s="2568"/>
    </row>
    <row r="97" spans="2:43" outlineLevel="1">
      <c r="B97" s="2348">
        <v>4</v>
      </c>
      <c r="C97" s="2569">
        <f t="shared" si="143"/>
        <v>2079.4919003038422</v>
      </c>
      <c r="D97" s="2570">
        <f>D96</f>
        <v>2006</v>
      </c>
      <c r="E97" s="2586">
        <v>1</v>
      </c>
      <c r="F97" s="2572">
        <f t="shared" si="146"/>
        <v>39082</v>
      </c>
      <c r="G97" s="2590">
        <f t="shared" si="144"/>
        <v>2.6765443245098774E-2</v>
      </c>
      <c r="H97" s="2574">
        <f t="shared" si="145"/>
        <v>2079.4919003038422</v>
      </c>
      <c r="J97" s="2575"/>
      <c r="K97" s="2576"/>
      <c r="L97" s="2577">
        <f>(L$71+SUM(L$82:L96))*$G97</f>
        <v>89.503734272014981</v>
      </c>
      <c r="M97" s="2587">
        <f>(M$71+SUM(M$82:M96))*$G97</f>
        <v>199.30988289292608</v>
      </c>
      <c r="N97" s="2588">
        <f>(N$71+SUM(N$82:N96))*$G97</f>
        <v>37.412095911593127</v>
      </c>
      <c r="O97" s="2577">
        <f>(O$71+SUM(O$82:O96))*$G97</f>
        <v>205.25325905036152</v>
      </c>
      <c r="P97" s="2577">
        <f>(P$71+SUM(P$82:P96))*$G97</f>
        <v>124.41851144547054</v>
      </c>
      <c r="Q97" s="2587">
        <f>(Q$71+SUM(Q$82:Q96))*$G97</f>
        <v>96.957682018156689</v>
      </c>
      <c r="R97" s="2588">
        <f>(R$71+SUM(R$82:R96))*$G97</f>
        <v>215.59949902438407</v>
      </c>
      <c r="S97" s="2577">
        <f>(S$71+SUM(S$82:S96))*$G97</f>
        <v>435.40464392387946</v>
      </c>
      <c r="T97" s="2577">
        <f>(T$71+SUM(T$82:T96))*$G97</f>
        <v>112.04135494388119</v>
      </c>
      <c r="U97" s="2587">
        <f>(U$71+SUM(U$82:U96))*$G97</f>
        <v>207.34760151382108</v>
      </c>
      <c r="V97" s="2588">
        <f>(V$71+SUM(V$82:V96))*$G97</f>
        <v>98.044940403031916</v>
      </c>
      <c r="W97" s="2577">
        <f>(W$71+SUM(W$82:W96))*$G97</f>
        <v>53.027370290185331</v>
      </c>
      <c r="X97" s="2577">
        <f>(X$71+SUM(X$82:X96))*$G97</f>
        <v>205.1713246141363</v>
      </c>
      <c r="Y97" s="2581"/>
      <c r="Z97" s="2575"/>
      <c r="AA97" s="2576"/>
      <c r="AB97" s="2576"/>
      <c r="AC97" s="2581"/>
      <c r="AD97" s="2575"/>
      <c r="AE97" s="2576"/>
      <c r="AF97" s="2576"/>
      <c r="AG97" s="2581"/>
      <c r="AH97" s="2575"/>
      <c r="AI97" s="2576"/>
      <c r="AJ97" s="2576"/>
      <c r="AK97" s="2581"/>
    </row>
    <row r="98" spans="2:43" outlineLevel="1">
      <c r="B98" s="2348">
        <v>1</v>
      </c>
      <c r="C98" s="2552">
        <f t="shared" si="143"/>
        <v>2742.9698413521373</v>
      </c>
      <c r="D98" s="2553">
        <f>D97+1</f>
        <v>2007</v>
      </c>
      <c r="E98" s="2582">
        <v>1</v>
      </c>
      <c r="F98" s="2528">
        <f t="shared" si="146"/>
        <v>39172</v>
      </c>
      <c r="G98" s="2589">
        <f t="shared" si="144"/>
        <v>3.0563066560455709E-2</v>
      </c>
      <c r="H98" s="2517">
        <f t="shared" si="145"/>
        <v>2742.9698413521373</v>
      </c>
      <c r="J98" s="2563"/>
      <c r="K98" s="2564"/>
      <c r="L98" s="2583">
        <f>(L$71+SUM(L$82:L97))*$G98</f>
        <v>104.93850828855292</v>
      </c>
      <c r="M98" s="2584">
        <f>(M$71+SUM(M$82:M97))*$G98</f>
        <v>233.68054939903652</v>
      </c>
      <c r="N98" s="2585">
        <f>(N$71+SUM(N$82:N97))*$G98</f>
        <v>43.863751259575999</v>
      </c>
      <c r="O98" s="2583">
        <f>(O$71+SUM(O$82:O97))*$G98</f>
        <v>240.64885114903439</v>
      </c>
      <c r="P98" s="2583">
        <f>(P$71+SUM(P$82:P97))*$G98</f>
        <v>145.87428223821294</v>
      </c>
      <c r="Q98" s="2584">
        <f>(Q$71+SUM(Q$82:Q97))*$G98</f>
        <v>113.67787725123432</v>
      </c>
      <c r="R98" s="2585">
        <f>(R$71+SUM(R$82:R97))*$G98</f>
        <v>252.77928344998921</v>
      </c>
      <c r="S98" s="2583">
        <f>(S$71+SUM(S$82:S97))*$G98</f>
        <v>510.48946959486267</v>
      </c>
      <c r="T98" s="2583">
        <f>(T$71+SUM(T$82:T97))*$G98</f>
        <v>131.36270514374911</v>
      </c>
      <c r="U98" s="2584">
        <f>(U$71+SUM(U$82:U97))*$G98</f>
        <v>243.10435957835742</v>
      </c>
      <c r="V98" s="2585">
        <f>(V$71+SUM(V$82:V97))*$G98</f>
        <v>114.95263158367676</v>
      </c>
      <c r="W98" s="2583">
        <f>(W$71+SUM(W$82:W97))*$G98</f>
        <v>62.171854414533172</v>
      </c>
      <c r="X98" s="2583">
        <f>(X$71+SUM(X$82:X97))*$G98</f>
        <v>240.5527872519817</v>
      </c>
      <c r="Y98" s="2584">
        <f>(Y$71+SUM(Y$82:Y97))*$G98</f>
        <v>304.87293074934047</v>
      </c>
      <c r="Z98" s="2563"/>
      <c r="AA98" s="2564"/>
      <c r="AB98" s="2564"/>
      <c r="AC98" s="2568"/>
      <c r="AD98" s="2563"/>
      <c r="AE98" s="2564"/>
      <c r="AF98" s="2564"/>
      <c r="AG98" s="2568"/>
      <c r="AH98" s="2563"/>
      <c r="AI98" s="2564"/>
      <c r="AJ98" s="2564"/>
      <c r="AK98" s="2568"/>
    </row>
    <row r="99" spans="2:43" outlineLevel="1">
      <c r="B99" s="2348">
        <v>2</v>
      </c>
      <c r="C99" s="2552">
        <f t="shared" si="143"/>
        <v>3022.9735837502712</v>
      </c>
      <c r="D99" s="2562">
        <f>D98</f>
        <v>2007</v>
      </c>
      <c r="E99" s="2582">
        <v>1</v>
      </c>
      <c r="F99" s="2528">
        <f t="shared" si="146"/>
        <v>39263</v>
      </c>
      <c r="G99" s="2589">
        <f t="shared" si="144"/>
        <v>3.0563066560455709E-2</v>
      </c>
      <c r="H99" s="2517">
        <f t="shared" si="145"/>
        <v>3022.9735837502712</v>
      </c>
      <c r="J99" s="2563"/>
      <c r="K99" s="2564"/>
      <c r="L99" s="2583">
        <f>(L$71+SUM(L$82:L98))*$G99</f>
        <v>108.1457509021309</v>
      </c>
      <c r="M99" s="2584">
        <f>(M$71+SUM(M$82:M98))*$G99</f>
        <v>240.82254358420312</v>
      </c>
      <c r="N99" s="2585">
        <f>(N$71+SUM(N$82:N98))*$G99</f>
        <v>45.204362008913691</v>
      </c>
      <c r="O99" s="2583">
        <f>(O$71+SUM(O$82:O98))*$G99</f>
        <v>248.00381800439956</v>
      </c>
      <c r="P99" s="2583">
        <f>(P$71+SUM(P$82:P98))*$G99</f>
        <v>150.33264763571819</v>
      </c>
      <c r="Q99" s="2584">
        <f>(Q$71+SUM(Q$82:Q98))*$G99</f>
        <v>117.1522217801151</v>
      </c>
      <c r="R99" s="2591">
        <f>(R$71+SUM(R$82:R98))*$G99</f>
        <v>260.5049935151755</v>
      </c>
      <c r="S99" s="2592">
        <f>(S$71+SUM(S$82:S98))*$G99</f>
        <v>526.09159323250208</v>
      </c>
      <c r="T99" s="2592">
        <f>(T$71+SUM(T$82:T98))*$G99</f>
        <v>135.37755224461904</v>
      </c>
      <c r="U99" s="2593">
        <f>(U$71+SUM(U$82:U98))*$G99</f>
        <v>250.5343743012877</v>
      </c>
      <c r="V99" s="2591">
        <f>(V$71+SUM(V$82:V98))*$G99</f>
        <v>118.4659365140682</v>
      </c>
      <c r="W99" s="2592">
        <f>(W$71+SUM(W$82:W98))*$G99</f>
        <v>64.072016939191514</v>
      </c>
      <c r="X99" s="2592">
        <f>(X$71+SUM(X$82:X98))*$G99</f>
        <v>247.90481810006716</v>
      </c>
      <c r="Y99" s="2593">
        <f>(Y$71+SUM(Y$82:Y98))*$G99</f>
        <v>314.1907824243138</v>
      </c>
      <c r="Z99" s="2585">
        <f>(Z$71+SUM(Z$82:Z98))*$G99</f>
        <v>196.1701725635653</v>
      </c>
      <c r="AA99" s="2564"/>
      <c r="AB99" s="2564"/>
      <c r="AC99" s="2568"/>
      <c r="AD99" s="2563"/>
      <c r="AE99" s="2564"/>
      <c r="AF99" s="2564"/>
      <c r="AG99" s="2568"/>
      <c r="AH99" s="2563"/>
      <c r="AI99" s="2564"/>
      <c r="AJ99" s="2564"/>
      <c r="AK99" s="2568"/>
    </row>
    <row r="100" spans="2:43" outlineLevel="1">
      <c r="B100" s="2348">
        <v>3</v>
      </c>
      <c r="C100" s="2594">
        <f t="shared" si="143"/>
        <v>3436.8655113144187</v>
      </c>
      <c r="D100" s="2562">
        <f>D99</f>
        <v>2007</v>
      </c>
      <c r="E100" s="2582">
        <v>1</v>
      </c>
      <c r="F100" s="2528">
        <f t="shared" si="146"/>
        <v>39355</v>
      </c>
      <c r="G100" s="2595">
        <f t="shared" si="144"/>
        <v>3.0563066560455709E-2</v>
      </c>
      <c r="H100" s="2596">
        <f t="shared" si="145"/>
        <v>3436.8655113144187</v>
      </c>
      <c r="J100" s="2563"/>
      <c r="K100" s="2564"/>
      <c r="L100" s="2592">
        <f>(L$71+SUM(L$82:L99))*$G100</f>
        <v>111.45101668518318</v>
      </c>
      <c r="M100" s="2593">
        <f>(M$71+SUM(M$82:M99))*$G100</f>
        <v>248.18281901302535</v>
      </c>
      <c r="N100" s="2591">
        <f>(N$71+SUM(N$82:N99))*$G100</f>
        <v>46.585945933815047</v>
      </c>
      <c r="O100" s="2592">
        <f>(O$71+SUM(O$82:O99))*$G100</f>
        <v>255.58357520131514</v>
      </c>
      <c r="P100" s="2592">
        <f>(P$71+SUM(P$82:P99))*$G100</f>
        <v>154.92727435161817</v>
      </c>
      <c r="Q100" s="2593">
        <f>(Q$71+SUM(Q$82:Q99))*$G100</f>
        <v>120.73275293208603</v>
      </c>
      <c r="R100" s="2591">
        <f>(R$71+SUM(R$82:R99))*$G100</f>
        <v>268.46682497131087</v>
      </c>
      <c r="S100" s="2592">
        <f>(S$71+SUM(S$82:S99))*$G100</f>
        <v>542.17056561336335</v>
      </c>
      <c r="T100" s="2592">
        <f>(T$71+SUM(T$82:T99))*$G100</f>
        <v>139.51510538466289</v>
      </c>
      <c r="U100" s="2593">
        <f>(U$71+SUM(U$82:U99))*$G100</f>
        <v>258.19147305874009</v>
      </c>
      <c r="V100" s="2591">
        <f>(V$71+SUM(V$82:V99))*$G100</f>
        <v>122.0866188168944</v>
      </c>
      <c r="W100" s="2592">
        <f>(W$71+SUM(W$82:W99))*$G100</f>
        <v>66.030254257566668</v>
      </c>
      <c r="X100" s="2592">
        <f>(X$71+SUM(X$82:X99))*$G100</f>
        <v>255.48154955631719</v>
      </c>
      <c r="Y100" s="2593">
        <f>(Y$71+SUM(Y$82:Y99))*$G100</f>
        <v>323.79341622022974</v>
      </c>
      <c r="Z100" s="2585">
        <f>(Z$71+SUM(Z$82:Z99))*$G100</f>
        <v>202.16573460480163</v>
      </c>
      <c r="AA100" s="2583">
        <f>(AA$71+SUM(AA$82:AA99))*$G100</f>
        <v>321.50058471348888</v>
      </c>
      <c r="AB100" s="2564"/>
      <c r="AC100" s="2568"/>
      <c r="AD100" s="2563"/>
      <c r="AE100" s="2564"/>
      <c r="AF100" s="2564"/>
      <c r="AG100" s="2568"/>
      <c r="AH100" s="2563"/>
      <c r="AI100" s="2564"/>
      <c r="AJ100" s="2564"/>
      <c r="AK100" s="2568"/>
    </row>
    <row r="101" spans="2:43" outlineLevel="1">
      <c r="B101" s="2348">
        <v>4</v>
      </c>
      <c r="C101" s="2569">
        <f t="shared" si="143"/>
        <v>3891.2623247873457</v>
      </c>
      <c r="D101" s="2570">
        <f>D100</f>
        <v>2007</v>
      </c>
      <c r="E101" s="2586">
        <v>1</v>
      </c>
      <c r="F101" s="2572">
        <f t="shared" si="146"/>
        <v>39447</v>
      </c>
      <c r="G101" s="2590">
        <f t="shared" si="144"/>
        <v>3.0563066560455709E-2</v>
      </c>
      <c r="H101" s="2574">
        <f t="shared" si="145"/>
        <v>3891.2623247873457</v>
      </c>
      <c r="J101" s="2575"/>
      <c r="K101" s="2576"/>
      <c r="L101" s="2577">
        <f>(L$71+SUM(L$82:L100))*$G101</f>
        <v>114.85730152636289</v>
      </c>
      <c r="M101" s="2587">
        <f>(M$71+SUM(M$82:M100))*$G101</f>
        <v>255.76804702968198</v>
      </c>
      <c r="N101" s="2588">
        <f>(N$71+SUM(N$82:N100))*$G101</f>
        <v>48.009755300172031</v>
      </c>
      <c r="O101" s="2577">
        <f>(O$71+SUM(O$82:O100))*$G101</f>
        <v>263.39499302195219</v>
      </c>
      <c r="P101" s="2577">
        <f>(P$71+SUM(P$82:P100))*$G101</f>
        <v>159.66232694965663</v>
      </c>
      <c r="Q101" s="2587">
        <f>(Q$71+SUM(Q$82:Q100))*$G101</f>
        <v>124.42271609597644</v>
      </c>
      <c r="R101" s="2588">
        <f>(R$71+SUM(R$82:R100))*$G101</f>
        <v>276.67199441218332</v>
      </c>
      <c r="S101" s="2577">
        <f>(S$71+SUM(S$82:S100))*$G101</f>
        <v>558.74096069732434</v>
      </c>
      <c r="T101" s="2577">
        <f>(T$71+SUM(T$82:T100))*$G101</f>
        <v>143.77911483672332</v>
      </c>
      <c r="U101" s="2587">
        <f>(U$71+SUM(U$82:U100))*$G101</f>
        <v>266.08259623517642</v>
      </c>
      <c r="V101" s="2588">
        <f>(V$71+SUM(V$82:V100))*$G101</f>
        <v>125.81796027393614</v>
      </c>
      <c r="W101" s="2577">
        <f>(W$71+SUM(W$82:W100))*$G101</f>
        <v>68.048341313444496</v>
      </c>
      <c r="X101" s="2577">
        <f>(X$71+SUM(X$82:X100))*$G101</f>
        <v>263.28984916037524</v>
      </c>
      <c r="Y101" s="2587">
        <f>(Y$71+SUM(Y$82:Y100))*$G101</f>
        <v>333.68953595200594</v>
      </c>
      <c r="Z101" s="2588">
        <f>(Z$71+SUM(Z$82:Z100))*$G101</f>
        <v>208.34453940777161</v>
      </c>
      <c r="AA101" s="2577">
        <f>(AA$71+SUM(AA$82:AA100))*$G101</f>
        <v>331.32662848331267</v>
      </c>
      <c r="AB101" s="2577">
        <f>(AB$71+SUM(AB$82:AB100))*$G101</f>
        <v>349.35566409129075</v>
      </c>
      <c r="AC101" s="2581"/>
      <c r="AD101" s="2575"/>
      <c r="AE101" s="2576"/>
      <c r="AF101" s="2576"/>
      <c r="AG101" s="2581"/>
      <c r="AH101" s="2575"/>
      <c r="AI101" s="2576"/>
      <c r="AJ101" s="2576"/>
      <c r="AK101" s="2581"/>
    </row>
    <row r="102" spans="2:43" outlineLevel="1">
      <c r="B102" s="2348">
        <v>1</v>
      </c>
      <c r="C102" s="2552">
        <f t="shared" si="143"/>
        <v>4599.0486178630563</v>
      </c>
      <c r="D102" s="2553">
        <f>D101+1</f>
        <v>2008</v>
      </c>
      <c r="E102" s="2582">
        <v>1</v>
      </c>
      <c r="F102" s="2528">
        <f t="shared" si="146"/>
        <v>39538</v>
      </c>
      <c r="G102" s="2589">
        <f t="shared" si="144"/>
        <v>3.1883103740301566E-2</v>
      </c>
      <c r="H102" s="2517">
        <f t="shared" si="145"/>
        <v>4599.0486178630563</v>
      </c>
      <c r="J102" s="2563"/>
      <c r="K102" s="2564"/>
      <c r="L102" s="2583">
        <f>(L$71+SUM(L$82:L101))*$G102</f>
        <v>123.4800645432659</v>
      </c>
      <c r="M102" s="2584">
        <f>(M$71+SUM(M$82:M101))*$G102</f>
        <v>274.96950159569269</v>
      </c>
      <c r="N102" s="2585">
        <f>(N$71+SUM(N$82:N101))*$G102</f>
        <v>51.614025441917157</v>
      </c>
      <c r="O102" s="2583">
        <f>(O$71+SUM(O$82:O101))*$G102</f>
        <v>283.16903067114606</v>
      </c>
      <c r="P102" s="2583">
        <f>(P$71+SUM(P$82:P101))*$G102</f>
        <v>171.64876916724768</v>
      </c>
      <c r="Q102" s="2584">
        <f>(Q$71+SUM(Q$82:Q101))*$G102</f>
        <v>133.76359021157418</v>
      </c>
      <c r="R102" s="2585">
        <f>(R$71+SUM(R$82:R101))*$G102</f>
        <v>297.44278572911662</v>
      </c>
      <c r="S102" s="2583">
        <f>(S$71+SUM(S$82:S101))*$G102</f>
        <v>600.68771399819241</v>
      </c>
      <c r="T102" s="2583">
        <f>(T$71+SUM(T$82:T101))*$G102</f>
        <v>154.57314549512765</v>
      </c>
      <c r="U102" s="2584">
        <f>(U$71+SUM(U$82:U101))*$G102</f>
        <v>286.05840221153051</v>
      </c>
      <c r="V102" s="2585">
        <f>(V$71+SUM(V$82:V101))*$G102</f>
        <v>135.26358053747029</v>
      </c>
      <c r="W102" s="2583">
        <f>(W$71+SUM(W$82:W101))*$G102</f>
        <v>73.156982323128005</v>
      </c>
      <c r="X102" s="2583">
        <f>(X$71+SUM(X$82:X101))*$G102</f>
        <v>283.05599327046446</v>
      </c>
      <c r="Y102" s="2584">
        <f>(Y$71+SUM(Y$82:Y101))*$G102</f>
        <v>358.74084528538827</v>
      </c>
      <c r="Z102" s="2585">
        <f>(Z$71+SUM(Z$82:Z101))*$G102</f>
        <v>223.9857356165009</v>
      </c>
      <c r="AA102" s="2583">
        <f>(AA$71+SUM(AA$82:AA101))*$G102</f>
        <v>356.20054560163646</v>
      </c>
      <c r="AB102" s="2583">
        <f>(AB$71+SUM(AB$82:AB101))*$G102</f>
        <v>375.58308768595475</v>
      </c>
      <c r="AC102" s="2584">
        <f>(AC$71+SUM(AC$82:AC101))*$G102</f>
        <v>415.65481847770224</v>
      </c>
      <c r="AD102" s="2563"/>
      <c r="AE102" s="2564"/>
      <c r="AF102" s="2564"/>
      <c r="AG102" s="2568"/>
      <c r="AH102" s="2563"/>
      <c r="AI102" s="2564"/>
      <c r="AJ102" s="2564"/>
      <c r="AK102" s="2568"/>
    </row>
    <row r="103" spans="2:43" outlineLevel="1">
      <c r="B103" s="2348">
        <v>2</v>
      </c>
      <c r="C103" s="2552">
        <f t="shared" si="143"/>
        <v>5337.6081436208906</v>
      </c>
      <c r="D103" s="2562">
        <f>D102</f>
        <v>2008</v>
      </c>
      <c r="E103" s="2582">
        <v>1</v>
      </c>
      <c r="F103" s="2528">
        <f t="shared" si="146"/>
        <v>39629</v>
      </c>
      <c r="G103" s="2589">
        <f t="shared" si="144"/>
        <v>3.1883103740301566E-2</v>
      </c>
      <c r="H103" s="2517">
        <f t="shared" si="145"/>
        <v>5337.6081436208906</v>
      </c>
      <c r="J103" s="2563"/>
      <c r="K103" s="2564"/>
      <c r="L103" s="2583">
        <f>(L$71+SUM(L$82:L102))*$G103</f>
        <v>127.41699225095799</v>
      </c>
      <c r="M103" s="2584">
        <f>(M$71+SUM(M$82:M102))*$G103</f>
        <v>283.73638274048722</v>
      </c>
      <c r="N103" s="2585">
        <f>(N$71+SUM(N$82:N102))*$G103</f>
        <v>53.259640769536361</v>
      </c>
      <c r="O103" s="2583">
        <f>(O$71+SUM(O$82:O102))*$G103</f>
        <v>292.19733825207487</v>
      </c>
      <c r="P103" s="2583">
        <f>(P$71+SUM(P$82:P102))*$G103</f>
        <v>177.12146468150209</v>
      </c>
      <c r="Q103" s="2584">
        <f>(Q$71+SUM(Q$82:Q102))*$G103</f>
        <v>138.02838863496498</v>
      </c>
      <c r="R103" s="2585">
        <f>(R$71+SUM(R$82:R102))*$G103</f>
        <v>306.9261849233223</v>
      </c>
      <c r="S103" s="2583">
        <f>(S$71+SUM(S$82:S102))*$G103</f>
        <v>619.83950269912134</v>
      </c>
      <c r="T103" s="2583">
        <f>(T$71+SUM(T$82:T102))*$G103</f>
        <v>159.50141712841352</v>
      </c>
      <c r="U103" s="2584">
        <f>(U$71+SUM(U$82:U102))*$G103</f>
        <v>295.17883192502563</v>
      </c>
      <c r="V103" s="2585">
        <f>(V$71+SUM(V$82:V102))*$G103</f>
        <v>139.5762033080311</v>
      </c>
      <c r="W103" s="2583">
        <f>(W$71+SUM(W$82:W102))*$G103</f>
        <v>75.489453979863697</v>
      </c>
      <c r="X103" s="2583">
        <f>(X$71+SUM(X$82:X102))*$G103</f>
        <v>292.08069686822074</v>
      </c>
      <c r="Y103" s="2584">
        <f>(Y$71+SUM(Y$82:Y102))*$G103</f>
        <v>370.17861687150582</v>
      </c>
      <c r="Z103" s="2585">
        <f>(Z$71+SUM(Z$82:Z102))*$G103</f>
        <v>231.12709606150955</v>
      </c>
      <c r="AA103" s="2583">
        <f>(AA$71+SUM(AA$82:AA102))*$G103</f>
        <v>367.55732454940545</v>
      </c>
      <c r="AB103" s="2583">
        <f>(AB$71+SUM(AB$82:AB102))*$G103</f>
        <v>387.55784223374883</v>
      </c>
      <c r="AC103" s="2584">
        <f>(AC$71+SUM(AC$82:AC102))*$G103</f>
        <v>428.90718417538307</v>
      </c>
      <c r="AD103" s="2585">
        <f>(AD$71+SUM(AD$82:AD102))*$G103</f>
        <v>591.92758156781667</v>
      </c>
      <c r="AE103" s="2564"/>
      <c r="AF103" s="2564"/>
      <c r="AG103" s="2568"/>
      <c r="AH103" s="2563"/>
      <c r="AI103" s="2564"/>
      <c r="AJ103" s="2564"/>
      <c r="AK103" s="2568"/>
    </row>
    <row r="104" spans="2:43" outlineLevel="1">
      <c r="B104" s="2348">
        <v>3</v>
      </c>
      <c r="C104" s="2594">
        <f t="shared" si="143"/>
        <v>6022.8114249728424</v>
      </c>
      <c r="D104" s="2562">
        <f>D103</f>
        <v>2008</v>
      </c>
      <c r="E104" s="2582">
        <v>1</v>
      </c>
      <c r="F104" s="2528">
        <f t="shared" si="146"/>
        <v>39721</v>
      </c>
      <c r="G104" s="2595">
        <f t="shared" si="144"/>
        <v>3.1883103740301566E-2</v>
      </c>
      <c r="H104" s="2596">
        <f t="shared" si="145"/>
        <v>6022.8114249728424</v>
      </c>
      <c r="J104" s="2563"/>
      <c r="K104" s="2564"/>
      <c r="L104" s="2583">
        <f>(L$71+SUM(L$82:L103))*$G104</f>
        <v>131.4794414331725</v>
      </c>
      <c r="M104" s="2584">
        <f>(M$71+SUM(M$82:M103))*$G104</f>
        <v>292.78277926630005</v>
      </c>
      <c r="N104" s="2585">
        <f>(N$71+SUM(N$82:N103))*$G104</f>
        <v>54.957723421362687</v>
      </c>
      <c r="O104" s="2583">
        <f>(O$71+SUM(O$82:O103))*$G104</f>
        <v>301.51349630020576</v>
      </c>
      <c r="P104" s="2583">
        <f>(P$71+SUM(P$82:P103))*$G104</f>
        <v>182.76864671457659</v>
      </c>
      <c r="Q104" s="2584">
        <f>(Q$71+SUM(Q$82:Q103))*$G104</f>
        <v>142.42916206892022</v>
      </c>
      <c r="R104" s="2585">
        <f>(R$71+SUM(R$82:R103))*$G104</f>
        <v>316.71194431784761</v>
      </c>
      <c r="S104" s="2583">
        <f>(S$71+SUM(S$82:S103))*$G104</f>
        <v>639.60190986601435</v>
      </c>
      <c r="T104" s="2583">
        <f>(T$71+SUM(T$82:T103))*$G104</f>
        <v>164.58681735744383</v>
      </c>
      <c r="U104" s="2584">
        <f>(U$71+SUM(U$82:U103))*$G104</f>
        <v>304.59004924523231</v>
      </c>
      <c r="V104" s="2585">
        <f>(V$71+SUM(V$82:V103))*$G104</f>
        <v>144.02632587777848</v>
      </c>
      <c r="W104" s="2583">
        <f>(W$71+SUM(W$82:W103))*$G104</f>
        <v>77.896292072402417</v>
      </c>
      <c r="X104" s="2583">
        <f>(X$71+SUM(X$82:X103))*$G104</f>
        <v>301.3931360270098</v>
      </c>
      <c r="Y104" s="2584">
        <f>(Y$71+SUM(Y$82:Y103))*$G104</f>
        <v>381.98106011566131</v>
      </c>
      <c r="Z104" s="2585">
        <f>(Z$71+SUM(Z$82:Z103))*$G104</f>
        <v>238.49614524243333</v>
      </c>
      <c r="AA104" s="2583">
        <f>(AA$71+SUM(AA$82:AA103))*$G104</f>
        <v>379.27619285852182</v>
      </c>
      <c r="AB104" s="2583">
        <f>(AB$71+SUM(AB$82:AB103))*$G104</f>
        <v>399.91438912305489</v>
      </c>
      <c r="AC104" s="2584">
        <f>(AC$71+SUM(AC$82:AC103))*$G104</f>
        <v>442.58207642340744</v>
      </c>
      <c r="AD104" s="2585">
        <f>(AD$71+SUM(AD$82:AD103))*$G104</f>
        <v>610.80007005768914</v>
      </c>
      <c r="AE104" s="2583">
        <f>(AE$71+SUM(AE$82:AE103))*$G104</f>
        <v>515.02376718380663</v>
      </c>
      <c r="AF104" s="2564"/>
      <c r="AG104" s="2568"/>
      <c r="AH104" s="2563"/>
      <c r="AI104" s="2564"/>
      <c r="AJ104" s="2564"/>
      <c r="AK104" s="2568"/>
    </row>
    <row r="105" spans="2:43" outlineLevel="1">
      <c r="B105" s="2348">
        <v>4</v>
      </c>
      <c r="C105" s="2569">
        <f t="shared" si="143"/>
        <v>6946.7986573796998</v>
      </c>
      <c r="D105" s="2570">
        <f>D104</f>
        <v>2008</v>
      </c>
      <c r="E105" s="2586">
        <v>1</v>
      </c>
      <c r="F105" s="2572">
        <f t="shared" si="146"/>
        <v>39813</v>
      </c>
      <c r="G105" s="2590">
        <f t="shared" si="144"/>
        <v>3.1883103740301566E-2</v>
      </c>
      <c r="H105" s="2574">
        <f t="shared" si="145"/>
        <v>6946.7986573796998</v>
      </c>
      <c r="J105" s="2575"/>
      <c r="K105" s="2576"/>
      <c r="L105" s="2577">
        <f>(L$71+SUM(L$82:L104))*$G105</f>
        <v>135.67141410410323</v>
      </c>
      <c r="M105" s="2587">
        <f>(M$71+SUM(M$82:M104))*$G105</f>
        <v>302.11760299102133</v>
      </c>
      <c r="N105" s="2588">
        <f>(N$71+SUM(N$82:N104))*$G105</f>
        <v>56.7099462185368</v>
      </c>
      <c r="O105" s="2577">
        <f>(O$71+SUM(O$82:O104))*$G105</f>
        <v>311.12668238184625</v>
      </c>
      <c r="P105" s="2577">
        <f>(P$71+SUM(P$82:P104))*$G105</f>
        <v>188.59587843825196</v>
      </c>
      <c r="Q105" s="2587">
        <f>(Q$71+SUM(Q$82:Q104))*$G105</f>
        <v>146.97024581880785</v>
      </c>
      <c r="R105" s="2588">
        <f>(R$71+SUM(R$82:R104))*$G105</f>
        <v>326.80970409432609</v>
      </c>
      <c r="S105" s="2577">
        <f>(S$71+SUM(S$82:S104))*$G105</f>
        <v>659.99440391076746</v>
      </c>
      <c r="T105" s="2577">
        <f>(T$71+SUM(T$82:T104))*$G105</f>
        <v>169.83435592953728</v>
      </c>
      <c r="U105" s="2587">
        <f>(U$71+SUM(U$82:U104))*$G105</f>
        <v>314.30132538358157</v>
      </c>
      <c r="V105" s="2588">
        <f>(V$71+SUM(V$82:V104))*$G105</f>
        <v>148.61833216707416</v>
      </c>
      <c r="W105" s="2577">
        <f>(W$71+SUM(W$82:W104))*$G105</f>
        <v>80.37986763353166</v>
      </c>
      <c r="X105" s="2577">
        <f>(X$71+SUM(X$82:X104))*$G105</f>
        <v>311.00248464957383</v>
      </c>
      <c r="Y105" s="2587">
        <f>(Y$71+SUM(Y$82:Y104))*$G105</f>
        <v>394.15980188215934</v>
      </c>
      <c r="Z105" s="2588">
        <f>(Z$71+SUM(Z$82:Z104))*$G105</f>
        <v>246.10014258285986</v>
      </c>
      <c r="AA105" s="2577">
        <f>(AA$71+SUM(AA$82:AA104))*$G105</f>
        <v>391.36869506165669</v>
      </c>
      <c r="AB105" s="2577">
        <f>(AB$71+SUM(AB$82:AB104))*$G105</f>
        <v>412.66490107870459</v>
      </c>
      <c r="AC105" s="2587">
        <f>(AC$71+SUM(AC$82:AC104))*$G105</f>
        <v>456.69296667961299</v>
      </c>
      <c r="AD105" s="2588">
        <f>(AD$71+SUM(AD$82:AD104))*$G105</f>
        <v>630.27427205592187</v>
      </c>
      <c r="AE105" s="2577">
        <f>(AE$71+SUM(AE$82:AE104))*$G105</f>
        <v>531.44432338164881</v>
      </c>
      <c r="AF105" s="2577">
        <f>(AF$71+SUM(AF$82:AF104))*$G105</f>
        <v>731.96131093617532</v>
      </c>
      <c r="AG105" s="2581"/>
      <c r="AH105" s="2575"/>
      <c r="AI105" s="2576"/>
      <c r="AJ105" s="2576"/>
      <c r="AK105" s="2581"/>
    </row>
    <row r="106" spans="2:43" outlineLevel="1">
      <c r="B106" s="2348">
        <v>1</v>
      </c>
      <c r="C106" s="2552">
        <f t="shared" si="143"/>
        <v>6802.7308991812852</v>
      </c>
      <c r="D106" s="2553">
        <f>D105+1</f>
        <v>2009</v>
      </c>
      <c r="E106" s="2582">
        <v>1</v>
      </c>
      <c r="F106" s="2528">
        <f t="shared" si="146"/>
        <v>39903</v>
      </c>
      <c r="G106" s="2589">
        <f t="shared" si="144"/>
        <v>2.8549908386192646E-2</v>
      </c>
      <c r="H106" s="2517">
        <f t="shared" si="145"/>
        <v>6802.7308991812852</v>
      </c>
      <c r="J106" s="2563"/>
      <c r="K106" s="2564"/>
      <c r="L106" s="2583">
        <f>(L$71+SUM(L$82:L105))*$G106</f>
        <v>125.36115352236249</v>
      </c>
      <c r="M106" s="2584">
        <f>(M$71+SUM(M$82:M105))*$G106</f>
        <v>279.15837290016225</v>
      </c>
      <c r="N106" s="2585">
        <f>(N$71+SUM(N$82:N105))*$G106</f>
        <v>52.400310862035163</v>
      </c>
      <c r="O106" s="2583">
        <f>(O$71+SUM(O$82:O105))*$G106</f>
        <v>287.48281318160394</v>
      </c>
      <c r="P106" s="2583">
        <f>(P$71+SUM(P$82:P105))*$G106</f>
        <v>174.26365772557736</v>
      </c>
      <c r="Q106" s="2584">
        <f>(Q$71+SUM(Q$82:Q105))*$G106</f>
        <v>135.80133789402066</v>
      </c>
      <c r="R106" s="2585">
        <f>(R$71+SUM(R$82:R105))*$G106</f>
        <v>301.97401389308288</v>
      </c>
      <c r="S106" s="2583">
        <f>(S$71+SUM(S$82:S105))*$G106</f>
        <v>609.83855986841616</v>
      </c>
      <c r="T106" s="2583">
        <f>(T$71+SUM(T$82:T105))*$G106</f>
        <v>156.92790487698147</v>
      </c>
      <c r="U106" s="2584">
        <f>(U$71+SUM(U$82:U105))*$G106</f>
        <v>290.4162012600525</v>
      </c>
      <c r="V106" s="2585">
        <f>(V$71+SUM(V$82:V105))*$G106</f>
        <v>137.32417899571797</v>
      </c>
      <c r="W106" s="2583">
        <f>(W$71+SUM(W$82:W105))*$G106</f>
        <v>74.271452045030202</v>
      </c>
      <c r="X106" s="2583">
        <f>(X$71+SUM(X$82:X105))*$G106</f>
        <v>287.36805377494971</v>
      </c>
      <c r="Y106" s="2584">
        <f>(Y$71+SUM(Y$82:Y105))*$G106</f>
        <v>364.20588494919315</v>
      </c>
      <c r="Z106" s="2585">
        <f>(Z$71+SUM(Z$82:Z105))*$G106</f>
        <v>227.39792284122822</v>
      </c>
      <c r="AA106" s="2583">
        <f>(AA$71+SUM(AA$82:AA105))*$G106</f>
        <v>361.62688647016302</v>
      </c>
      <c r="AB106" s="2583">
        <f>(AB$71+SUM(AB$82:AB105))*$G106</f>
        <v>381.30470120789749</v>
      </c>
      <c r="AC106" s="2584">
        <f>(AC$71+SUM(AC$82:AC105))*$G106</f>
        <v>421.98688269421251</v>
      </c>
      <c r="AD106" s="2585">
        <f>(AD$71+SUM(AD$82:AD105))*$G106</f>
        <v>582.37699003984994</v>
      </c>
      <c r="AE106" s="2583">
        <f>(AE$71+SUM(AE$82:AE105))*$G106</f>
        <v>491.05755882307125</v>
      </c>
      <c r="AF106" s="2583">
        <f>(AF$71+SUM(AF$82:AF105))*$G106</f>
        <v>676.33638875681481</v>
      </c>
      <c r="AG106" s="2584">
        <f>(AG$71+SUM(AG$82:AG105))*$G106</f>
        <v>383.84967259886179</v>
      </c>
      <c r="AH106" s="2563"/>
      <c r="AI106" s="2564"/>
      <c r="AJ106" s="2564"/>
      <c r="AK106" s="2568"/>
    </row>
    <row r="107" spans="2:43" outlineLevel="1">
      <c r="B107" s="2348">
        <v>2</v>
      </c>
      <c r="C107" s="2552">
        <f t="shared" si="143"/>
        <v>6996.9482431288325</v>
      </c>
      <c r="D107" s="2562">
        <f>D106</f>
        <v>2009</v>
      </c>
      <c r="E107" s="2582">
        <v>1</v>
      </c>
      <c r="F107" s="2528">
        <f t="shared" si="146"/>
        <v>39994</v>
      </c>
      <c r="G107" s="2589">
        <f t="shared" si="144"/>
        <v>2.8549908386192646E-2</v>
      </c>
      <c r="H107" s="2517">
        <f t="shared" si="145"/>
        <v>6996.9482431288325</v>
      </c>
      <c r="J107" s="2563"/>
      <c r="K107" s="2564"/>
      <c r="L107" s="2583">
        <f>(L$71+SUM(L$82:L106))*$G107</f>
        <v>128.94020297061337</v>
      </c>
      <c r="M107" s="2584">
        <f>(M$71+SUM(M$82:M106))*$G107</f>
        <v>287.12831887170051</v>
      </c>
      <c r="N107" s="2585">
        <f>(N$71+SUM(N$82:N106))*$G107</f>
        <v>53.896334936554283</v>
      </c>
      <c r="O107" s="2583">
        <f>(O$71+SUM(O$82:O106))*$G107</f>
        <v>295.69042116054374</v>
      </c>
      <c r="P107" s="2583">
        <f>(P$71+SUM(P$82:P106))*$G107</f>
        <v>179.23886918868544</v>
      </c>
      <c r="Q107" s="2584">
        <f>(Q$71+SUM(Q$82:Q106))*$G107</f>
        <v>139.67845364961732</v>
      </c>
      <c r="R107" s="2591">
        <f>(R$71+SUM(R$82:R106))*$G107</f>
        <v>310.59534432474129</v>
      </c>
      <c r="S107" s="2592">
        <f>(S$71+SUM(S$82:S106))*$G107</f>
        <v>627.24939488302721</v>
      </c>
      <c r="T107" s="2592">
        <f>(T$71+SUM(T$82:T106))*$G107</f>
        <v>161.40818218445645</v>
      </c>
      <c r="U107" s="2593">
        <f>(U$71+SUM(U$82:U106))*$G107</f>
        <v>298.70755719989313</v>
      </c>
      <c r="V107" s="2591">
        <f>(V$71+SUM(V$82:V106))*$G107</f>
        <v>141.24477172525485</v>
      </c>
      <c r="W107" s="2592">
        <f>(W$71+SUM(W$82:W106))*$G107</f>
        <v>76.391895196625313</v>
      </c>
      <c r="X107" s="2592">
        <f>(X$71+SUM(X$82:X106))*$G107</f>
        <v>295.57238538334298</v>
      </c>
      <c r="Y107" s="2593">
        <f>(Y$71+SUM(Y$82:Y106))*$G107</f>
        <v>374.60392959820479</v>
      </c>
      <c r="Z107" s="2591">
        <f>(Z$71+SUM(Z$82:Z106))*$G107</f>
        <v>233.89011270555579</v>
      </c>
      <c r="AA107" s="2592">
        <f>(AA$71+SUM(AA$82:AA106))*$G107</f>
        <v>371.95130094887026</v>
      </c>
      <c r="AB107" s="2592">
        <f>(AB$71+SUM(AB$82:AB106))*$G107</f>
        <v>392.19091549460757</v>
      </c>
      <c r="AC107" s="2593">
        <f>(AC$71+SUM(AC$82:AC106))*$G107</f>
        <v>434.0345695353073</v>
      </c>
      <c r="AD107" s="2591">
        <f>(AD$71+SUM(AD$82:AD106))*$G107</f>
        <v>599.00379975171427</v>
      </c>
      <c r="AE107" s="2592">
        <f>(AE$71+SUM(AE$82:AE106))*$G107</f>
        <v>505.07720713981735</v>
      </c>
      <c r="AF107" s="2592">
        <f>(AF$71+SUM(AF$82:AF106))*$G107</f>
        <v>695.64573069407027</v>
      </c>
      <c r="AG107" s="2593">
        <f>(AG$71+SUM(AG$82:AG106))*$G107</f>
        <v>394.80854558562936</v>
      </c>
      <c r="AH107" s="2563"/>
      <c r="AI107" s="2564"/>
      <c r="AJ107" s="2564"/>
      <c r="AK107" s="2568"/>
    </row>
    <row r="108" spans="2:43" outlineLevel="1">
      <c r="B108" s="2348">
        <v>3</v>
      </c>
      <c r="C108" s="2594">
        <f t="shared" si="143"/>
        <v>0</v>
      </c>
      <c r="D108" s="2562">
        <f>D107</f>
        <v>2009</v>
      </c>
      <c r="E108" s="2582">
        <v>0</v>
      </c>
      <c r="F108" s="2528">
        <f t="shared" si="146"/>
        <v>40086</v>
      </c>
      <c r="G108" s="2595">
        <f t="shared" si="144"/>
        <v>2.8549908386192646E-2</v>
      </c>
      <c r="H108" s="2596">
        <f t="shared" si="145"/>
        <v>0</v>
      </c>
      <c r="J108" s="2563"/>
      <c r="K108" s="2564"/>
      <c r="L108" s="2564"/>
      <c r="M108" s="2568"/>
      <c r="N108" s="2563"/>
      <c r="O108" s="2564"/>
      <c r="P108" s="2564"/>
      <c r="Q108" s="2568"/>
      <c r="R108" s="2563"/>
      <c r="S108" s="2564"/>
      <c r="T108" s="2564"/>
      <c r="U108" s="2568"/>
      <c r="V108" s="2563"/>
      <c r="W108" s="2564"/>
      <c r="X108" s="2564"/>
      <c r="Y108" s="2568"/>
      <c r="Z108" s="2563"/>
      <c r="AA108" s="2564"/>
      <c r="AB108" s="2564"/>
      <c r="AC108" s="2568"/>
      <c r="AD108" s="2563"/>
      <c r="AE108" s="2564"/>
      <c r="AF108" s="2564"/>
      <c r="AG108" s="2568"/>
      <c r="AH108" s="2563"/>
      <c r="AI108" s="2564"/>
      <c r="AJ108" s="2564"/>
      <c r="AK108" s="2568"/>
    </row>
    <row r="109" spans="2:43" outlineLevel="1">
      <c r="B109" s="2348">
        <v>4</v>
      </c>
      <c r="C109" s="2569">
        <f t="shared" si="143"/>
        <v>0</v>
      </c>
      <c r="D109" s="2570">
        <f>D108</f>
        <v>2009</v>
      </c>
      <c r="E109" s="2586">
        <v>0</v>
      </c>
      <c r="F109" s="2572">
        <f t="shared" si="146"/>
        <v>40178</v>
      </c>
      <c r="G109" s="2590">
        <f t="shared" si="144"/>
        <v>2.8549908386192646E-2</v>
      </c>
      <c r="H109" s="2574">
        <f t="shared" si="145"/>
        <v>0</v>
      </c>
      <c r="J109" s="2575"/>
      <c r="K109" s="2576"/>
      <c r="L109" s="2576"/>
      <c r="M109" s="2581"/>
      <c r="N109" s="2575"/>
      <c r="O109" s="2576"/>
      <c r="P109" s="2576"/>
      <c r="Q109" s="2581"/>
      <c r="R109" s="2575"/>
      <c r="S109" s="2576"/>
      <c r="T109" s="2576"/>
      <c r="U109" s="2581"/>
      <c r="V109" s="2575"/>
      <c r="W109" s="2576"/>
      <c r="X109" s="2576"/>
      <c r="Y109" s="2581"/>
      <c r="Z109" s="2575"/>
      <c r="AA109" s="2576"/>
      <c r="AB109" s="2576"/>
      <c r="AC109" s="2581"/>
      <c r="AD109" s="2575"/>
      <c r="AE109" s="2576"/>
      <c r="AF109" s="2576"/>
      <c r="AG109" s="2581"/>
      <c r="AH109" s="2575"/>
      <c r="AI109" s="2576"/>
      <c r="AJ109" s="2576"/>
      <c r="AK109" s="2581"/>
    </row>
    <row r="110" spans="2:43" outlineLevel="1">
      <c r="D110" s="2562"/>
      <c r="F110" s="2539"/>
      <c r="G110" s="2555"/>
      <c r="H110" s="2597"/>
      <c r="J110" s="2598"/>
      <c r="K110" s="2598"/>
      <c r="L110" s="2598"/>
      <c r="M110" s="2598"/>
      <c r="N110" s="2598"/>
      <c r="O110" s="2598"/>
      <c r="P110" s="2598"/>
      <c r="Q110" s="2598"/>
      <c r="R110" s="2599"/>
      <c r="S110" s="2599"/>
      <c r="T110" s="2599"/>
      <c r="U110" s="2599"/>
      <c r="V110" s="2599"/>
      <c r="W110" s="2599"/>
      <c r="X110" s="2599"/>
      <c r="Y110" s="2599"/>
      <c r="Z110" s="2599"/>
      <c r="AA110" s="2599"/>
      <c r="AB110" s="2599"/>
      <c r="AC110" s="2599"/>
      <c r="AD110" s="2599"/>
      <c r="AE110" s="2599"/>
      <c r="AF110" s="2599"/>
      <c r="AG110" s="2599"/>
      <c r="AH110" s="2599"/>
      <c r="AI110" s="2599"/>
      <c r="AJ110" s="2599"/>
      <c r="AK110" s="2599"/>
      <c r="AL110" s="2599"/>
      <c r="AM110" s="2599"/>
      <c r="AN110" s="2600"/>
      <c r="AO110" s="2600"/>
      <c r="AP110" s="2600"/>
      <c r="AQ110" s="2600"/>
    </row>
    <row r="111" spans="2:43" outlineLevel="1">
      <c r="D111" s="2562"/>
      <c r="F111" s="2539"/>
      <c r="G111" s="2555"/>
      <c r="H111" s="2597"/>
      <c r="J111" s="2598"/>
      <c r="K111" s="2598"/>
      <c r="L111" s="2598"/>
      <c r="M111" s="2598"/>
      <c r="N111" s="2598"/>
      <c r="O111" s="2598"/>
      <c r="P111" s="2598"/>
      <c r="Q111" s="2598"/>
      <c r="R111" s="2599"/>
      <c r="S111" s="2599"/>
      <c r="T111" s="2599"/>
      <c r="U111" s="2599"/>
      <c r="V111" s="2599"/>
      <c r="W111" s="2599"/>
      <c r="X111" s="2599"/>
      <c r="Y111" s="2599"/>
      <c r="Z111" s="2599"/>
      <c r="AA111" s="2599"/>
      <c r="AB111" s="2599"/>
      <c r="AC111" s="2599"/>
      <c r="AD111" s="2599"/>
      <c r="AE111" s="2599"/>
      <c r="AF111" s="2599"/>
      <c r="AG111" s="2599"/>
      <c r="AH111" s="2599"/>
      <c r="AI111" s="2599"/>
      <c r="AJ111" s="2599"/>
      <c r="AK111" s="2599"/>
      <c r="AL111" s="2599"/>
      <c r="AM111" s="2599"/>
      <c r="AN111" s="2600"/>
      <c r="AO111" s="2600"/>
      <c r="AP111" s="2600"/>
      <c r="AQ111" s="2600"/>
    </row>
    <row r="112" spans="2:43" outlineLevel="1">
      <c r="D112" s="2553"/>
    </row>
    <row r="113" spans="2:311">
      <c r="D113" s="2348" t="s">
        <v>3960</v>
      </c>
      <c r="F113" s="2539"/>
      <c r="AG113" s="2504"/>
      <c r="AH113" s="2504"/>
      <c r="AI113" s="2504"/>
      <c r="AJ113" s="2504">
        <f t="shared" ref="AJ113:BO113" si="147">AJ3/SUMIFS(3:3,115:115,AJ115)</f>
        <v>0.49592391304347822</v>
      </c>
      <c r="AK113" s="2504">
        <f t="shared" si="147"/>
        <v>0.49592391304347822</v>
      </c>
      <c r="AL113" s="2504">
        <f t="shared" si="147"/>
        <v>0.25</v>
      </c>
      <c r="AM113" s="2504">
        <f t="shared" si="147"/>
        <v>0.25</v>
      </c>
      <c r="AN113" s="2504">
        <f t="shared" si="147"/>
        <v>0.25</v>
      </c>
      <c r="AO113" s="2504">
        <f t="shared" si="147"/>
        <v>0.25</v>
      </c>
      <c r="AP113" s="2504">
        <f t="shared" si="147"/>
        <v>0.25</v>
      </c>
      <c r="AQ113" s="2504">
        <f t="shared" si="147"/>
        <v>0.25</v>
      </c>
      <c r="AR113" s="2504">
        <f t="shared" si="147"/>
        <v>0.25</v>
      </c>
      <c r="AS113" s="2504">
        <f t="shared" si="147"/>
        <v>0.25</v>
      </c>
      <c r="AT113" s="2504">
        <f t="shared" si="147"/>
        <v>0.25</v>
      </c>
      <c r="AU113" s="2504">
        <f t="shared" si="147"/>
        <v>0.25</v>
      </c>
      <c r="AV113" s="2504">
        <f t="shared" si="147"/>
        <v>0.25</v>
      </c>
      <c r="AW113" s="2504">
        <f t="shared" si="147"/>
        <v>0.25</v>
      </c>
      <c r="AX113" s="2504">
        <f t="shared" si="147"/>
        <v>0.25</v>
      </c>
      <c r="AY113" s="2504">
        <f t="shared" si="147"/>
        <v>0.25</v>
      </c>
      <c r="AZ113" s="2504">
        <f t="shared" si="147"/>
        <v>0.25</v>
      </c>
      <c r="BA113" s="2504">
        <f t="shared" si="147"/>
        <v>0.25</v>
      </c>
      <c r="BB113" s="2504">
        <f t="shared" si="147"/>
        <v>0.25</v>
      </c>
      <c r="BC113" s="2504">
        <f t="shared" si="147"/>
        <v>0.25</v>
      </c>
      <c r="BD113" s="2504">
        <f t="shared" si="147"/>
        <v>0.25</v>
      </c>
      <c r="BE113" s="2504">
        <f t="shared" si="147"/>
        <v>0.25</v>
      </c>
      <c r="BF113" s="2504">
        <f t="shared" si="147"/>
        <v>0.25</v>
      </c>
      <c r="BG113" s="2504">
        <f t="shared" si="147"/>
        <v>0.25</v>
      </c>
      <c r="BH113" s="2504">
        <f t="shared" si="147"/>
        <v>0.25</v>
      </c>
      <c r="BI113" s="2504">
        <f t="shared" si="147"/>
        <v>0.25</v>
      </c>
      <c r="BJ113" s="2504">
        <f t="shared" si="147"/>
        <v>0.25</v>
      </c>
      <c r="BK113" s="2504">
        <f t="shared" si="147"/>
        <v>0.25</v>
      </c>
      <c r="BL113" s="2504">
        <f t="shared" si="147"/>
        <v>0.25</v>
      </c>
      <c r="BM113" s="2504">
        <f t="shared" si="147"/>
        <v>0.25</v>
      </c>
      <c r="BN113" s="2504">
        <f t="shared" si="147"/>
        <v>0.25</v>
      </c>
      <c r="BO113" s="2504">
        <f t="shared" si="147"/>
        <v>0.25</v>
      </c>
      <c r="BP113" s="2504">
        <f t="shared" ref="BP113:CU113" si="148">BP3/SUMIFS(3:3,115:115,BP115)</f>
        <v>0.25</v>
      </c>
      <c r="BQ113" s="2504">
        <f t="shared" si="148"/>
        <v>0.25</v>
      </c>
      <c r="BR113" s="2504">
        <f t="shared" si="148"/>
        <v>0.25</v>
      </c>
      <c r="BS113" s="2504">
        <f t="shared" si="148"/>
        <v>0.25</v>
      </c>
      <c r="BT113" s="2504">
        <f t="shared" si="148"/>
        <v>0.25</v>
      </c>
      <c r="BU113" s="2504">
        <f t="shared" si="148"/>
        <v>0.25</v>
      </c>
      <c r="BV113" s="2504">
        <f t="shared" si="148"/>
        <v>0.25</v>
      </c>
      <c r="BW113" s="2504">
        <f t="shared" si="148"/>
        <v>0.25</v>
      </c>
      <c r="BX113" s="2504">
        <f t="shared" si="148"/>
        <v>0.25</v>
      </c>
      <c r="BY113" s="2504">
        <f t="shared" si="148"/>
        <v>0.25</v>
      </c>
      <c r="BZ113" s="2504">
        <f t="shared" si="148"/>
        <v>0.25</v>
      </c>
      <c r="CA113" s="2504">
        <f t="shared" si="148"/>
        <v>0.25</v>
      </c>
      <c r="CB113" s="2504">
        <f t="shared" si="148"/>
        <v>0.25</v>
      </c>
      <c r="CC113" s="2504">
        <f t="shared" si="148"/>
        <v>0.25</v>
      </c>
      <c r="CD113" s="2504">
        <f t="shared" si="148"/>
        <v>0.25</v>
      </c>
      <c r="CE113" s="2504">
        <f t="shared" si="148"/>
        <v>0.25</v>
      </c>
      <c r="CF113" s="2504">
        <f t="shared" si="148"/>
        <v>0.25</v>
      </c>
      <c r="CG113" s="2504">
        <f t="shared" si="148"/>
        <v>0.25</v>
      </c>
      <c r="CH113" s="2504">
        <f t="shared" si="148"/>
        <v>0.25</v>
      </c>
      <c r="CI113" s="2504">
        <f t="shared" si="148"/>
        <v>0.25</v>
      </c>
      <c r="CJ113" s="2504">
        <f t="shared" si="148"/>
        <v>0.25</v>
      </c>
      <c r="CK113" s="2504">
        <f t="shared" si="148"/>
        <v>0.25</v>
      </c>
      <c r="CL113" s="2504">
        <f t="shared" si="148"/>
        <v>0.25</v>
      </c>
      <c r="CM113" s="2504">
        <f t="shared" si="148"/>
        <v>0.25</v>
      </c>
      <c r="CN113" s="2504">
        <f t="shared" si="148"/>
        <v>0.25</v>
      </c>
      <c r="CO113" s="2504">
        <f t="shared" si="148"/>
        <v>0.25</v>
      </c>
      <c r="CP113" s="2504">
        <f t="shared" si="148"/>
        <v>0.25</v>
      </c>
      <c r="CQ113" s="2504">
        <f t="shared" si="148"/>
        <v>0.25</v>
      </c>
      <c r="CR113" s="2504">
        <f t="shared" si="148"/>
        <v>0.25</v>
      </c>
      <c r="CS113" s="2504">
        <f t="shared" si="148"/>
        <v>0.25</v>
      </c>
      <c r="CT113" s="2504">
        <f t="shared" si="148"/>
        <v>0.25</v>
      </c>
      <c r="CU113" s="2504">
        <f t="shared" si="148"/>
        <v>0.25</v>
      </c>
      <c r="CV113" s="2504">
        <f t="shared" ref="CV113:EA113" si="149">CV3/SUMIFS(3:3,115:115,CV115)</f>
        <v>0.25</v>
      </c>
      <c r="CW113" s="2504">
        <f t="shared" si="149"/>
        <v>0.25</v>
      </c>
      <c r="CX113" s="2504">
        <f t="shared" si="149"/>
        <v>0.25</v>
      </c>
      <c r="CY113" s="2504">
        <f t="shared" si="149"/>
        <v>0.25</v>
      </c>
      <c r="CZ113" s="2504">
        <f t="shared" si="149"/>
        <v>0.25</v>
      </c>
      <c r="DA113" s="2504">
        <f t="shared" si="149"/>
        <v>0.25</v>
      </c>
      <c r="DB113" s="2504">
        <f t="shared" si="149"/>
        <v>0.25</v>
      </c>
      <c r="DC113" s="2504">
        <f t="shared" si="149"/>
        <v>0.25</v>
      </c>
      <c r="DD113" s="2504">
        <f t="shared" si="149"/>
        <v>0.25</v>
      </c>
      <c r="DE113" s="2504">
        <f t="shared" si="149"/>
        <v>0.25</v>
      </c>
      <c r="DF113" s="2504">
        <f t="shared" si="149"/>
        <v>0.25</v>
      </c>
      <c r="DG113" s="2504">
        <f t="shared" si="149"/>
        <v>0.25</v>
      </c>
      <c r="DH113" s="2504">
        <f t="shared" si="149"/>
        <v>0.25</v>
      </c>
      <c r="DI113" s="2504">
        <f t="shared" si="149"/>
        <v>0.25</v>
      </c>
      <c r="DJ113" s="2504">
        <f t="shared" si="149"/>
        <v>0.25</v>
      </c>
      <c r="DK113" s="2504">
        <f t="shared" si="149"/>
        <v>0.25</v>
      </c>
      <c r="DL113" s="2504">
        <f t="shared" si="149"/>
        <v>0.25</v>
      </c>
      <c r="DM113" s="2504">
        <f t="shared" si="149"/>
        <v>0.25</v>
      </c>
      <c r="DN113" s="2504">
        <f t="shared" si="149"/>
        <v>0.25</v>
      </c>
      <c r="DO113" s="2504">
        <f t="shared" si="149"/>
        <v>0.25</v>
      </c>
      <c r="DP113" s="2504">
        <f t="shared" si="149"/>
        <v>0.25</v>
      </c>
      <c r="DQ113" s="2504">
        <f t="shared" si="149"/>
        <v>0.25</v>
      </c>
      <c r="DR113" s="2504">
        <f t="shared" si="149"/>
        <v>0.25</v>
      </c>
      <c r="DS113" s="2504">
        <f t="shared" si="149"/>
        <v>0.25</v>
      </c>
      <c r="DT113" s="2504">
        <f t="shared" si="149"/>
        <v>0.25</v>
      </c>
      <c r="DU113" s="2504">
        <f t="shared" si="149"/>
        <v>0.25</v>
      </c>
      <c r="DV113" s="2504">
        <f t="shared" si="149"/>
        <v>0.25</v>
      </c>
      <c r="DW113" s="2504">
        <f t="shared" si="149"/>
        <v>0.25</v>
      </c>
      <c r="DX113" s="2504">
        <f t="shared" si="149"/>
        <v>0.25</v>
      </c>
      <c r="DY113" s="2504">
        <f t="shared" si="149"/>
        <v>0.25</v>
      </c>
      <c r="DZ113" s="2504">
        <f t="shared" si="149"/>
        <v>0.25</v>
      </c>
      <c r="EA113" s="2504">
        <f t="shared" si="149"/>
        <v>0.25</v>
      </c>
      <c r="EB113" s="2504">
        <f t="shared" ref="EB113:FG113" si="150">EB3/SUMIFS(3:3,115:115,EB115)</f>
        <v>0.25</v>
      </c>
      <c r="EC113" s="2504">
        <f t="shared" si="150"/>
        <v>0.25</v>
      </c>
      <c r="ED113" s="2504">
        <f t="shared" si="150"/>
        <v>0.25</v>
      </c>
      <c r="EE113" s="2504">
        <f t="shared" si="150"/>
        <v>0.25</v>
      </c>
      <c r="EF113" s="2504">
        <f t="shared" si="150"/>
        <v>0.25</v>
      </c>
      <c r="EG113" s="2504">
        <f t="shared" si="150"/>
        <v>0.25</v>
      </c>
      <c r="EH113" s="2504">
        <f t="shared" si="150"/>
        <v>0.25</v>
      </c>
      <c r="EI113" s="2504">
        <f t="shared" si="150"/>
        <v>0.25</v>
      </c>
      <c r="EJ113" s="2504">
        <f t="shared" si="150"/>
        <v>0.25</v>
      </c>
      <c r="EK113" s="2504">
        <f t="shared" si="150"/>
        <v>0.25</v>
      </c>
      <c r="EL113" s="2504">
        <f t="shared" si="150"/>
        <v>0.25</v>
      </c>
      <c r="EM113" s="2504">
        <f t="shared" si="150"/>
        <v>0.25</v>
      </c>
      <c r="EN113" s="2504">
        <f t="shared" si="150"/>
        <v>0.25</v>
      </c>
      <c r="EO113" s="2504">
        <f t="shared" si="150"/>
        <v>0.25</v>
      </c>
      <c r="EP113" s="2504">
        <f t="shared" si="150"/>
        <v>0.25</v>
      </c>
      <c r="EQ113" s="2504">
        <f t="shared" si="150"/>
        <v>0.25</v>
      </c>
      <c r="ER113" s="2504">
        <f t="shared" si="150"/>
        <v>0.25</v>
      </c>
      <c r="ES113" s="2504">
        <f t="shared" si="150"/>
        <v>0.25</v>
      </c>
      <c r="ET113" s="2504">
        <f t="shared" si="150"/>
        <v>0.25</v>
      </c>
      <c r="EU113" s="2504">
        <f t="shared" si="150"/>
        <v>0.25</v>
      </c>
      <c r="EV113" s="2504">
        <f t="shared" si="150"/>
        <v>0.25</v>
      </c>
      <c r="EW113" s="2504">
        <f t="shared" si="150"/>
        <v>0.25</v>
      </c>
      <c r="EX113" s="2504">
        <f t="shared" si="150"/>
        <v>0.25</v>
      </c>
      <c r="EY113" s="2504">
        <f t="shared" si="150"/>
        <v>0.25</v>
      </c>
      <c r="EZ113" s="2504">
        <f t="shared" si="150"/>
        <v>0.25</v>
      </c>
      <c r="FA113" s="2504">
        <f t="shared" si="150"/>
        <v>0.25</v>
      </c>
      <c r="FB113" s="2504">
        <f t="shared" si="150"/>
        <v>0.25</v>
      </c>
      <c r="FC113" s="2504">
        <f t="shared" si="150"/>
        <v>0.25</v>
      </c>
      <c r="FD113" s="2504">
        <f t="shared" si="150"/>
        <v>0.25</v>
      </c>
      <c r="FE113" s="2504">
        <f t="shared" si="150"/>
        <v>0.25</v>
      </c>
      <c r="FF113" s="2504">
        <f t="shared" si="150"/>
        <v>0.25</v>
      </c>
      <c r="FG113" s="2504">
        <f t="shared" si="150"/>
        <v>0.25</v>
      </c>
      <c r="FH113" s="2504">
        <f t="shared" ref="FH113:GM113" si="151">FH3/SUMIFS(3:3,115:115,FH115)</f>
        <v>0.25</v>
      </c>
      <c r="FI113" s="2504">
        <f t="shared" si="151"/>
        <v>0.25</v>
      </c>
      <c r="FJ113" s="2504">
        <f t="shared" si="151"/>
        <v>0.25</v>
      </c>
      <c r="FK113" s="2504">
        <f t="shared" si="151"/>
        <v>0.25</v>
      </c>
      <c r="FL113" s="2504">
        <f t="shared" si="151"/>
        <v>0.25</v>
      </c>
      <c r="FM113" s="2504">
        <f t="shared" si="151"/>
        <v>0.25</v>
      </c>
      <c r="FN113" s="2504">
        <f t="shared" si="151"/>
        <v>0.25</v>
      </c>
      <c r="FO113" s="2504">
        <f t="shared" si="151"/>
        <v>0.25</v>
      </c>
      <c r="FP113" s="2504">
        <f t="shared" si="151"/>
        <v>0.25</v>
      </c>
      <c r="FQ113" s="2504">
        <f t="shared" si="151"/>
        <v>0.25</v>
      </c>
      <c r="FR113" s="2504">
        <f t="shared" si="151"/>
        <v>0.25</v>
      </c>
      <c r="FS113" s="2504">
        <f t="shared" si="151"/>
        <v>0.25</v>
      </c>
      <c r="FT113" s="2504">
        <f t="shared" si="151"/>
        <v>0.25</v>
      </c>
      <c r="FU113" s="2504">
        <f t="shared" si="151"/>
        <v>0.25</v>
      </c>
      <c r="FV113" s="2504">
        <f t="shared" si="151"/>
        <v>0.25</v>
      </c>
      <c r="FW113" s="2504">
        <f t="shared" si="151"/>
        <v>0.25</v>
      </c>
      <c r="FX113" s="2504">
        <f t="shared" si="151"/>
        <v>0.25</v>
      </c>
      <c r="FY113" s="2504">
        <f t="shared" si="151"/>
        <v>0.25</v>
      </c>
      <c r="FZ113" s="2504">
        <f t="shared" si="151"/>
        <v>0.25</v>
      </c>
      <c r="GA113" s="2504">
        <f t="shared" si="151"/>
        <v>0.25</v>
      </c>
      <c r="GB113" s="2504">
        <f t="shared" si="151"/>
        <v>0.25</v>
      </c>
      <c r="GC113" s="2504">
        <f t="shared" si="151"/>
        <v>0.25</v>
      </c>
      <c r="GD113" s="2504">
        <f t="shared" si="151"/>
        <v>0.25</v>
      </c>
      <c r="GE113" s="2504">
        <f t="shared" si="151"/>
        <v>0.25</v>
      </c>
      <c r="GF113" s="2504">
        <f t="shared" si="151"/>
        <v>0.25</v>
      </c>
      <c r="GG113" s="2504">
        <f t="shared" si="151"/>
        <v>0.25</v>
      </c>
      <c r="GH113" s="2504">
        <f t="shared" si="151"/>
        <v>0.25</v>
      </c>
      <c r="GI113" s="2504">
        <f t="shared" si="151"/>
        <v>0.25</v>
      </c>
      <c r="GJ113" s="2504">
        <f t="shared" si="151"/>
        <v>0.25</v>
      </c>
      <c r="GK113" s="2504">
        <f t="shared" si="151"/>
        <v>0.25</v>
      </c>
      <c r="GL113" s="2504">
        <f t="shared" si="151"/>
        <v>0.25</v>
      </c>
      <c r="GM113" s="2504">
        <f t="shared" si="151"/>
        <v>0.25</v>
      </c>
      <c r="GN113" s="2504">
        <f t="shared" ref="GN113:HS113" si="152">GN3/SUMIFS(3:3,115:115,GN115)</f>
        <v>0.25</v>
      </c>
      <c r="GO113" s="2504">
        <f t="shared" si="152"/>
        <v>0.25</v>
      </c>
      <c r="GP113" s="2504">
        <f t="shared" si="152"/>
        <v>0.25</v>
      </c>
      <c r="GQ113" s="2504">
        <f t="shared" si="152"/>
        <v>0.25</v>
      </c>
      <c r="GR113" s="2504">
        <f t="shared" si="152"/>
        <v>0.25</v>
      </c>
      <c r="GS113" s="2504">
        <f t="shared" si="152"/>
        <v>0.25</v>
      </c>
      <c r="GT113" s="2504">
        <f t="shared" si="152"/>
        <v>0.25</v>
      </c>
      <c r="GU113" s="2504">
        <f t="shared" si="152"/>
        <v>0.25</v>
      </c>
      <c r="GV113" s="2504">
        <f t="shared" si="152"/>
        <v>0.25</v>
      </c>
      <c r="GW113" s="2504">
        <f t="shared" si="152"/>
        <v>0.25</v>
      </c>
      <c r="GX113" s="2504">
        <f t="shared" si="152"/>
        <v>0.25</v>
      </c>
      <c r="GY113" s="2504">
        <f t="shared" si="152"/>
        <v>0.25</v>
      </c>
      <c r="GZ113" s="2504">
        <f t="shared" si="152"/>
        <v>0.25</v>
      </c>
      <c r="HA113" s="2504">
        <f t="shared" si="152"/>
        <v>0.25</v>
      </c>
      <c r="HB113" s="2504">
        <f t="shared" si="152"/>
        <v>0.25</v>
      </c>
      <c r="HC113" s="2504">
        <f t="shared" si="152"/>
        <v>0.25</v>
      </c>
      <c r="HD113" s="2504">
        <f t="shared" si="152"/>
        <v>0.25</v>
      </c>
      <c r="HE113" s="2504">
        <f t="shared" si="152"/>
        <v>0.25</v>
      </c>
      <c r="HF113" s="2504">
        <f t="shared" si="152"/>
        <v>0.25</v>
      </c>
      <c r="HG113" s="2504">
        <f t="shared" si="152"/>
        <v>0.25</v>
      </c>
      <c r="HH113" s="2504">
        <f t="shared" si="152"/>
        <v>0.25</v>
      </c>
      <c r="HI113" s="2504">
        <f t="shared" si="152"/>
        <v>0.25</v>
      </c>
      <c r="HJ113" s="2504">
        <f t="shared" si="152"/>
        <v>0.25</v>
      </c>
      <c r="HK113" s="2504">
        <f t="shared" si="152"/>
        <v>0.25</v>
      </c>
      <c r="HL113" s="2504">
        <f t="shared" si="152"/>
        <v>0.25</v>
      </c>
      <c r="HM113" s="2504">
        <f t="shared" si="152"/>
        <v>0.25</v>
      </c>
      <c r="HN113" s="2504">
        <f t="shared" si="152"/>
        <v>0.25</v>
      </c>
      <c r="HO113" s="2504">
        <f t="shared" si="152"/>
        <v>0.25</v>
      </c>
      <c r="HP113" s="2504">
        <f t="shared" si="152"/>
        <v>0.25</v>
      </c>
      <c r="HQ113" s="2504">
        <f t="shared" si="152"/>
        <v>0.25</v>
      </c>
      <c r="HR113" s="2504">
        <f t="shared" si="152"/>
        <v>0.25</v>
      </c>
      <c r="HS113" s="2504">
        <f t="shared" si="152"/>
        <v>0.25</v>
      </c>
      <c r="HT113" s="2504">
        <f t="shared" ref="HT113:IA113" si="153">HT3/SUMIFS(3:3,115:115,HT115)</f>
        <v>0.25</v>
      </c>
      <c r="HU113" s="2504">
        <f t="shared" si="153"/>
        <v>0.25</v>
      </c>
      <c r="HV113" s="2504">
        <f t="shared" si="153"/>
        <v>0.25</v>
      </c>
      <c r="HW113" s="2504">
        <f t="shared" si="153"/>
        <v>0.25</v>
      </c>
      <c r="HX113" s="2504">
        <f t="shared" si="153"/>
        <v>0.25</v>
      </c>
      <c r="HY113" s="2504">
        <f t="shared" si="153"/>
        <v>0.25</v>
      </c>
      <c r="HZ113" s="2504">
        <f t="shared" si="153"/>
        <v>0.5041436464088398</v>
      </c>
      <c r="IA113" s="2504">
        <f t="shared" si="153"/>
        <v>0.4958563535911602</v>
      </c>
    </row>
    <row r="114" spans="2:311" outlineLevel="1">
      <c r="J114" s="2601">
        <v>37711</v>
      </c>
      <c r="K114" s="2601">
        <f>EOMONTH(J114,3)</f>
        <v>37802</v>
      </c>
      <c r="L114" s="2601">
        <f t="shared" ref="L114:BW114" si="154">EOMONTH(K114,3)</f>
        <v>37894</v>
      </c>
      <c r="M114" s="2601">
        <f t="shared" si="154"/>
        <v>37986</v>
      </c>
      <c r="N114" s="2601">
        <f t="shared" si="154"/>
        <v>38077</v>
      </c>
      <c r="O114" s="2601">
        <f t="shared" si="154"/>
        <v>38168</v>
      </c>
      <c r="P114" s="2601">
        <f t="shared" si="154"/>
        <v>38260</v>
      </c>
      <c r="Q114" s="2601">
        <f t="shared" si="154"/>
        <v>38352</v>
      </c>
      <c r="R114" s="2601">
        <f t="shared" si="154"/>
        <v>38442</v>
      </c>
      <c r="S114" s="2601">
        <f t="shared" si="154"/>
        <v>38533</v>
      </c>
      <c r="T114" s="2601">
        <f t="shared" si="154"/>
        <v>38625</v>
      </c>
      <c r="U114" s="2601">
        <f t="shared" si="154"/>
        <v>38717</v>
      </c>
      <c r="V114" s="2601">
        <f t="shared" si="154"/>
        <v>38807</v>
      </c>
      <c r="W114" s="2601">
        <f t="shared" si="154"/>
        <v>38898</v>
      </c>
      <c r="X114" s="2601">
        <f t="shared" si="154"/>
        <v>38990</v>
      </c>
      <c r="Y114" s="2601">
        <f t="shared" si="154"/>
        <v>39082</v>
      </c>
      <c r="Z114" s="2601">
        <f t="shared" si="154"/>
        <v>39172</v>
      </c>
      <c r="AA114" s="2601">
        <f t="shared" si="154"/>
        <v>39263</v>
      </c>
      <c r="AB114" s="2601">
        <f t="shared" si="154"/>
        <v>39355</v>
      </c>
      <c r="AC114" s="2601">
        <f t="shared" si="154"/>
        <v>39447</v>
      </c>
      <c r="AD114" s="2601">
        <f t="shared" si="154"/>
        <v>39538</v>
      </c>
      <c r="AE114" s="2601">
        <f t="shared" si="154"/>
        <v>39629</v>
      </c>
      <c r="AF114" s="2601">
        <f t="shared" si="154"/>
        <v>39721</v>
      </c>
      <c r="AG114" s="2601">
        <f t="shared" si="154"/>
        <v>39813</v>
      </c>
      <c r="AH114" s="2601">
        <f t="shared" si="154"/>
        <v>39903</v>
      </c>
      <c r="AI114" s="2601">
        <f t="shared" si="154"/>
        <v>39994</v>
      </c>
      <c r="AJ114" s="2601">
        <f t="shared" si="154"/>
        <v>40086</v>
      </c>
      <c r="AK114" s="2601">
        <f t="shared" si="154"/>
        <v>40178</v>
      </c>
      <c r="AL114" s="2601">
        <f t="shared" si="154"/>
        <v>40268</v>
      </c>
      <c r="AM114" s="2601">
        <f t="shared" si="154"/>
        <v>40359</v>
      </c>
      <c r="AN114" s="2601">
        <f t="shared" si="154"/>
        <v>40451</v>
      </c>
      <c r="AO114" s="2601">
        <f t="shared" si="154"/>
        <v>40543</v>
      </c>
      <c r="AP114" s="2601">
        <f t="shared" si="154"/>
        <v>40633</v>
      </c>
      <c r="AQ114" s="2601">
        <f t="shared" si="154"/>
        <v>40724</v>
      </c>
      <c r="AR114" s="2601">
        <f t="shared" si="154"/>
        <v>40816</v>
      </c>
      <c r="AS114" s="2601">
        <f t="shared" si="154"/>
        <v>40908</v>
      </c>
      <c r="AT114" s="2601">
        <f t="shared" si="154"/>
        <v>40999</v>
      </c>
      <c r="AU114" s="2601">
        <f t="shared" si="154"/>
        <v>41090</v>
      </c>
      <c r="AV114" s="2601">
        <f t="shared" si="154"/>
        <v>41182</v>
      </c>
      <c r="AW114" s="2601">
        <f t="shared" si="154"/>
        <v>41274</v>
      </c>
      <c r="AX114" s="2601">
        <f t="shared" si="154"/>
        <v>41364</v>
      </c>
      <c r="AY114" s="2601">
        <f t="shared" si="154"/>
        <v>41455</v>
      </c>
      <c r="AZ114" s="2601">
        <f t="shared" si="154"/>
        <v>41547</v>
      </c>
      <c r="BA114" s="2601">
        <f t="shared" si="154"/>
        <v>41639</v>
      </c>
      <c r="BB114" s="2601">
        <f t="shared" si="154"/>
        <v>41729</v>
      </c>
      <c r="BC114" s="2601">
        <f t="shared" si="154"/>
        <v>41820</v>
      </c>
      <c r="BD114" s="2601">
        <f t="shared" si="154"/>
        <v>41912</v>
      </c>
      <c r="BE114" s="2601">
        <f t="shared" si="154"/>
        <v>42004</v>
      </c>
      <c r="BF114" s="2601">
        <f t="shared" si="154"/>
        <v>42094</v>
      </c>
      <c r="BG114" s="2601">
        <f t="shared" si="154"/>
        <v>42185</v>
      </c>
      <c r="BH114" s="2601">
        <f t="shared" si="154"/>
        <v>42277</v>
      </c>
      <c r="BI114" s="2601">
        <f t="shared" si="154"/>
        <v>42369</v>
      </c>
      <c r="BJ114" s="2601">
        <f t="shared" si="154"/>
        <v>42460</v>
      </c>
      <c r="BK114" s="2601">
        <f t="shared" si="154"/>
        <v>42551</v>
      </c>
      <c r="BL114" s="2601">
        <f t="shared" si="154"/>
        <v>42643</v>
      </c>
      <c r="BM114" s="2601">
        <f t="shared" si="154"/>
        <v>42735</v>
      </c>
      <c r="BN114" s="2601">
        <f t="shared" si="154"/>
        <v>42825</v>
      </c>
      <c r="BO114" s="2601">
        <f t="shared" si="154"/>
        <v>42916</v>
      </c>
      <c r="BP114" s="2601">
        <f t="shared" si="154"/>
        <v>43008</v>
      </c>
      <c r="BQ114" s="2601">
        <f t="shared" si="154"/>
        <v>43100</v>
      </c>
      <c r="BR114" s="2601">
        <f t="shared" si="154"/>
        <v>43190</v>
      </c>
      <c r="BS114" s="2601">
        <f t="shared" si="154"/>
        <v>43281</v>
      </c>
      <c r="BT114" s="2601">
        <f t="shared" si="154"/>
        <v>43373</v>
      </c>
      <c r="BU114" s="2601">
        <f t="shared" si="154"/>
        <v>43465</v>
      </c>
      <c r="BV114" s="2601">
        <f t="shared" si="154"/>
        <v>43555</v>
      </c>
      <c r="BW114" s="2601">
        <f t="shared" si="154"/>
        <v>43646</v>
      </c>
      <c r="BX114" s="2601">
        <f t="shared" ref="BX114:EI114" si="155">EOMONTH(BW114,3)</f>
        <v>43738</v>
      </c>
      <c r="BY114" s="2601">
        <f t="shared" si="155"/>
        <v>43830</v>
      </c>
      <c r="BZ114" s="2601">
        <f t="shared" si="155"/>
        <v>43921</v>
      </c>
      <c r="CA114" s="2601">
        <f t="shared" si="155"/>
        <v>44012</v>
      </c>
      <c r="CB114" s="2601">
        <f t="shared" si="155"/>
        <v>44104</v>
      </c>
      <c r="CC114" s="2601">
        <f t="shared" si="155"/>
        <v>44196</v>
      </c>
      <c r="CD114" s="2601">
        <f t="shared" si="155"/>
        <v>44286</v>
      </c>
      <c r="CE114" s="2601">
        <f t="shared" si="155"/>
        <v>44377</v>
      </c>
      <c r="CF114" s="2601">
        <f t="shared" si="155"/>
        <v>44469</v>
      </c>
      <c r="CG114" s="2601">
        <f t="shared" si="155"/>
        <v>44561</v>
      </c>
      <c r="CH114" s="2601">
        <f t="shared" si="155"/>
        <v>44651</v>
      </c>
      <c r="CI114" s="2601">
        <f t="shared" si="155"/>
        <v>44742</v>
      </c>
      <c r="CJ114" s="2601">
        <f t="shared" si="155"/>
        <v>44834</v>
      </c>
      <c r="CK114" s="2601">
        <f t="shared" si="155"/>
        <v>44926</v>
      </c>
      <c r="CL114" s="2601">
        <f t="shared" si="155"/>
        <v>45016</v>
      </c>
      <c r="CM114" s="2601">
        <f t="shared" si="155"/>
        <v>45107</v>
      </c>
      <c r="CN114" s="2601">
        <f t="shared" si="155"/>
        <v>45199</v>
      </c>
      <c r="CO114" s="2601">
        <f t="shared" si="155"/>
        <v>45291</v>
      </c>
      <c r="CP114" s="2601">
        <f t="shared" si="155"/>
        <v>45382</v>
      </c>
      <c r="CQ114" s="2601">
        <f t="shared" si="155"/>
        <v>45473</v>
      </c>
      <c r="CR114" s="2601">
        <f t="shared" si="155"/>
        <v>45565</v>
      </c>
      <c r="CS114" s="2601">
        <f t="shared" si="155"/>
        <v>45657</v>
      </c>
      <c r="CT114" s="2601">
        <f t="shared" si="155"/>
        <v>45747</v>
      </c>
      <c r="CU114" s="2601">
        <f t="shared" si="155"/>
        <v>45838</v>
      </c>
      <c r="CV114" s="2601">
        <f t="shared" si="155"/>
        <v>45930</v>
      </c>
      <c r="CW114" s="2601">
        <f t="shared" si="155"/>
        <v>46022</v>
      </c>
      <c r="CX114" s="2601">
        <f t="shared" si="155"/>
        <v>46112</v>
      </c>
      <c r="CY114" s="2601">
        <f t="shared" si="155"/>
        <v>46203</v>
      </c>
      <c r="CZ114" s="2601">
        <f t="shared" si="155"/>
        <v>46295</v>
      </c>
      <c r="DA114" s="2601">
        <f t="shared" si="155"/>
        <v>46387</v>
      </c>
      <c r="DB114" s="2601">
        <f t="shared" si="155"/>
        <v>46477</v>
      </c>
      <c r="DC114" s="2601">
        <f t="shared" si="155"/>
        <v>46568</v>
      </c>
      <c r="DD114" s="2601">
        <f t="shared" si="155"/>
        <v>46660</v>
      </c>
      <c r="DE114" s="2601">
        <f t="shared" si="155"/>
        <v>46752</v>
      </c>
      <c r="DF114" s="2601">
        <f t="shared" si="155"/>
        <v>46843</v>
      </c>
      <c r="DG114" s="2601">
        <f t="shared" si="155"/>
        <v>46934</v>
      </c>
      <c r="DH114" s="2601">
        <f t="shared" si="155"/>
        <v>47026</v>
      </c>
      <c r="DI114" s="2601">
        <f t="shared" si="155"/>
        <v>47118</v>
      </c>
      <c r="DJ114" s="2601">
        <f t="shared" si="155"/>
        <v>47208</v>
      </c>
      <c r="DK114" s="2601">
        <f t="shared" si="155"/>
        <v>47299</v>
      </c>
      <c r="DL114" s="2601">
        <f t="shared" si="155"/>
        <v>47391</v>
      </c>
      <c r="DM114" s="2601">
        <f t="shared" si="155"/>
        <v>47483</v>
      </c>
      <c r="DN114" s="2601">
        <f t="shared" si="155"/>
        <v>47573</v>
      </c>
      <c r="DO114" s="2601">
        <f t="shared" si="155"/>
        <v>47664</v>
      </c>
      <c r="DP114" s="2601">
        <f t="shared" si="155"/>
        <v>47756</v>
      </c>
      <c r="DQ114" s="2601">
        <f t="shared" si="155"/>
        <v>47848</v>
      </c>
      <c r="DR114" s="2601">
        <f t="shared" si="155"/>
        <v>47938</v>
      </c>
      <c r="DS114" s="2601">
        <f t="shared" si="155"/>
        <v>48029</v>
      </c>
      <c r="DT114" s="2601">
        <f t="shared" si="155"/>
        <v>48121</v>
      </c>
      <c r="DU114" s="2601">
        <f t="shared" si="155"/>
        <v>48213</v>
      </c>
      <c r="DV114" s="2601">
        <f t="shared" si="155"/>
        <v>48304</v>
      </c>
      <c r="DW114" s="2601">
        <f t="shared" si="155"/>
        <v>48395</v>
      </c>
      <c r="DX114" s="2601">
        <f t="shared" si="155"/>
        <v>48487</v>
      </c>
      <c r="DY114" s="2601">
        <f t="shared" si="155"/>
        <v>48579</v>
      </c>
      <c r="DZ114" s="2601">
        <f t="shared" si="155"/>
        <v>48669</v>
      </c>
      <c r="EA114" s="2601">
        <f t="shared" si="155"/>
        <v>48760</v>
      </c>
      <c r="EB114" s="2601">
        <f t="shared" si="155"/>
        <v>48852</v>
      </c>
      <c r="EC114" s="2601">
        <f t="shared" si="155"/>
        <v>48944</v>
      </c>
      <c r="ED114" s="2601">
        <f t="shared" si="155"/>
        <v>49034</v>
      </c>
      <c r="EE114" s="2601">
        <f t="shared" si="155"/>
        <v>49125</v>
      </c>
      <c r="EF114" s="2601">
        <f t="shared" si="155"/>
        <v>49217</v>
      </c>
      <c r="EG114" s="2601">
        <f t="shared" si="155"/>
        <v>49309</v>
      </c>
      <c r="EH114" s="2601">
        <f t="shared" si="155"/>
        <v>49399</v>
      </c>
      <c r="EI114" s="2601">
        <f t="shared" si="155"/>
        <v>49490</v>
      </c>
      <c r="EJ114" s="2601">
        <f t="shared" ref="EJ114:GU114" si="156">EOMONTH(EI114,3)</f>
        <v>49582</v>
      </c>
      <c r="EK114" s="2601">
        <f t="shared" si="156"/>
        <v>49674</v>
      </c>
      <c r="EL114" s="2601">
        <f t="shared" si="156"/>
        <v>49765</v>
      </c>
      <c r="EM114" s="2601">
        <f t="shared" si="156"/>
        <v>49856</v>
      </c>
      <c r="EN114" s="2601">
        <f t="shared" si="156"/>
        <v>49948</v>
      </c>
      <c r="EO114" s="2601">
        <f t="shared" si="156"/>
        <v>50040</v>
      </c>
      <c r="EP114" s="2601">
        <f t="shared" si="156"/>
        <v>50130</v>
      </c>
      <c r="EQ114" s="2601">
        <f t="shared" si="156"/>
        <v>50221</v>
      </c>
      <c r="ER114" s="2601">
        <f t="shared" si="156"/>
        <v>50313</v>
      </c>
      <c r="ES114" s="2601">
        <f t="shared" si="156"/>
        <v>50405</v>
      </c>
      <c r="ET114" s="2601">
        <f t="shared" si="156"/>
        <v>50495</v>
      </c>
      <c r="EU114" s="2601">
        <f t="shared" si="156"/>
        <v>50586</v>
      </c>
      <c r="EV114" s="2601">
        <f t="shared" si="156"/>
        <v>50678</v>
      </c>
      <c r="EW114" s="2601">
        <f t="shared" si="156"/>
        <v>50770</v>
      </c>
      <c r="EX114" s="2601">
        <f t="shared" si="156"/>
        <v>50860</v>
      </c>
      <c r="EY114" s="2601">
        <f t="shared" si="156"/>
        <v>50951</v>
      </c>
      <c r="EZ114" s="2601">
        <f t="shared" si="156"/>
        <v>51043</v>
      </c>
      <c r="FA114" s="2601">
        <f t="shared" si="156"/>
        <v>51135</v>
      </c>
      <c r="FB114" s="2601">
        <f t="shared" si="156"/>
        <v>51226</v>
      </c>
      <c r="FC114" s="2601">
        <f t="shared" si="156"/>
        <v>51317</v>
      </c>
      <c r="FD114" s="2601">
        <f t="shared" si="156"/>
        <v>51409</v>
      </c>
      <c r="FE114" s="2601">
        <f t="shared" si="156"/>
        <v>51501</v>
      </c>
      <c r="FF114" s="2601">
        <f t="shared" si="156"/>
        <v>51591</v>
      </c>
      <c r="FG114" s="2601">
        <f t="shared" si="156"/>
        <v>51682</v>
      </c>
      <c r="FH114" s="2601">
        <f t="shared" si="156"/>
        <v>51774</v>
      </c>
      <c r="FI114" s="2601">
        <f t="shared" si="156"/>
        <v>51866</v>
      </c>
      <c r="FJ114" s="2601">
        <f t="shared" si="156"/>
        <v>51956</v>
      </c>
      <c r="FK114" s="2601">
        <f t="shared" si="156"/>
        <v>52047</v>
      </c>
      <c r="FL114" s="2601">
        <f t="shared" si="156"/>
        <v>52139</v>
      </c>
      <c r="FM114" s="2601">
        <f t="shared" si="156"/>
        <v>52231</v>
      </c>
      <c r="FN114" s="2601">
        <f t="shared" si="156"/>
        <v>52321</v>
      </c>
      <c r="FO114" s="2601">
        <f t="shared" si="156"/>
        <v>52412</v>
      </c>
      <c r="FP114" s="2601">
        <f t="shared" si="156"/>
        <v>52504</v>
      </c>
      <c r="FQ114" s="2601">
        <f t="shared" si="156"/>
        <v>52596</v>
      </c>
      <c r="FR114" s="2601">
        <f t="shared" si="156"/>
        <v>52687</v>
      </c>
      <c r="FS114" s="2601">
        <f t="shared" si="156"/>
        <v>52778</v>
      </c>
      <c r="FT114" s="2601">
        <f t="shared" si="156"/>
        <v>52870</v>
      </c>
      <c r="FU114" s="2601">
        <f t="shared" si="156"/>
        <v>52962</v>
      </c>
      <c r="FV114" s="2601">
        <f t="shared" si="156"/>
        <v>53052</v>
      </c>
      <c r="FW114" s="2601">
        <f t="shared" si="156"/>
        <v>53143</v>
      </c>
      <c r="FX114" s="2601">
        <f t="shared" si="156"/>
        <v>53235</v>
      </c>
      <c r="FY114" s="2601">
        <f t="shared" si="156"/>
        <v>53327</v>
      </c>
      <c r="FZ114" s="2601">
        <f t="shared" si="156"/>
        <v>53417</v>
      </c>
      <c r="GA114" s="2601">
        <f t="shared" si="156"/>
        <v>53508</v>
      </c>
      <c r="GB114" s="2601">
        <f t="shared" si="156"/>
        <v>53600</v>
      </c>
      <c r="GC114" s="2601">
        <f t="shared" si="156"/>
        <v>53692</v>
      </c>
      <c r="GD114" s="2601">
        <f t="shared" si="156"/>
        <v>53782</v>
      </c>
      <c r="GE114" s="2601">
        <f t="shared" si="156"/>
        <v>53873</v>
      </c>
      <c r="GF114" s="2601">
        <f t="shared" si="156"/>
        <v>53965</v>
      </c>
      <c r="GG114" s="2601">
        <f t="shared" si="156"/>
        <v>54057</v>
      </c>
      <c r="GH114" s="2601">
        <f t="shared" si="156"/>
        <v>54148</v>
      </c>
      <c r="GI114" s="2601">
        <f t="shared" si="156"/>
        <v>54239</v>
      </c>
      <c r="GJ114" s="2601">
        <f t="shared" si="156"/>
        <v>54331</v>
      </c>
      <c r="GK114" s="2601">
        <f t="shared" si="156"/>
        <v>54423</v>
      </c>
      <c r="GL114" s="2601">
        <f t="shared" si="156"/>
        <v>54513</v>
      </c>
      <c r="GM114" s="2601">
        <f t="shared" si="156"/>
        <v>54604</v>
      </c>
      <c r="GN114" s="2601">
        <f t="shared" si="156"/>
        <v>54696</v>
      </c>
      <c r="GO114" s="2601">
        <f t="shared" si="156"/>
        <v>54788</v>
      </c>
      <c r="GP114" s="2601">
        <f t="shared" si="156"/>
        <v>54878</v>
      </c>
      <c r="GQ114" s="2601">
        <f t="shared" si="156"/>
        <v>54969</v>
      </c>
      <c r="GR114" s="2601">
        <f t="shared" si="156"/>
        <v>55061</v>
      </c>
      <c r="GS114" s="2601">
        <f t="shared" si="156"/>
        <v>55153</v>
      </c>
      <c r="GT114" s="2601">
        <f t="shared" si="156"/>
        <v>55243</v>
      </c>
      <c r="GU114" s="2601">
        <f t="shared" si="156"/>
        <v>55334</v>
      </c>
      <c r="GV114" s="2601">
        <f t="shared" ref="GV114:IA114" si="157">EOMONTH(GU114,3)</f>
        <v>55426</v>
      </c>
      <c r="GW114" s="2601">
        <f t="shared" si="157"/>
        <v>55518</v>
      </c>
      <c r="GX114" s="2601">
        <f t="shared" si="157"/>
        <v>55609</v>
      </c>
      <c r="GY114" s="2601">
        <f t="shared" si="157"/>
        <v>55700</v>
      </c>
      <c r="GZ114" s="2601">
        <f t="shared" si="157"/>
        <v>55792</v>
      </c>
      <c r="HA114" s="2601">
        <f t="shared" si="157"/>
        <v>55884</v>
      </c>
      <c r="HB114" s="2601">
        <f t="shared" si="157"/>
        <v>55974</v>
      </c>
      <c r="HC114" s="2601">
        <f t="shared" si="157"/>
        <v>56065</v>
      </c>
      <c r="HD114" s="2601">
        <f t="shared" si="157"/>
        <v>56157</v>
      </c>
      <c r="HE114" s="2601">
        <f t="shared" si="157"/>
        <v>56249</v>
      </c>
      <c r="HF114" s="2601">
        <f t="shared" si="157"/>
        <v>56339</v>
      </c>
      <c r="HG114" s="2601">
        <f t="shared" si="157"/>
        <v>56430</v>
      </c>
      <c r="HH114" s="2601">
        <f t="shared" si="157"/>
        <v>56522</v>
      </c>
      <c r="HI114" s="2601">
        <f t="shared" si="157"/>
        <v>56614</v>
      </c>
      <c r="HJ114" s="2601">
        <f t="shared" si="157"/>
        <v>56704</v>
      </c>
      <c r="HK114" s="2601">
        <f t="shared" si="157"/>
        <v>56795</v>
      </c>
      <c r="HL114" s="2601">
        <f t="shared" si="157"/>
        <v>56887</v>
      </c>
      <c r="HM114" s="2601">
        <f t="shared" si="157"/>
        <v>56979</v>
      </c>
      <c r="HN114" s="2601">
        <f t="shared" si="157"/>
        <v>57070</v>
      </c>
      <c r="HO114" s="2601">
        <f t="shared" si="157"/>
        <v>57161</v>
      </c>
      <c r="HP114" s="2601">
        <f t="shared" si="157"/>
        <v>57253</v>
      </c>
      <c r="HQ114" s="2601">
        <f t="shared" si="157"/>
        <v>57345</v>
      </c>
      <c r="HR114" s="2601">
        <f t="shared" si="157"/>
        <v>57435</v>
      </c>
      <c r="HS114" s="2601">
        <f t="shared" si="157"/>
        <v>57526</v>
      </c>
      <c r="HT114" s="2601">
        <f t="shared" si="157"/>
        <v>57618</v>
      </c>
      <c r="HU114" s="2601">
        <f t="shared" si="157"/>
        <v>57710</v>
      </c>
      <c r="HV114" s="2601">
        <f t="shared" si="157"/>
        <v>57800</v>
      </c>
      <c r="HW114" s="2601">
        <f t="shared" si="157"/>
        <v>57891</v>
      </c>
      <c r="HX114" s="2601">
        <f t="shared" si="157"/>
        <v>57983</v>
      </c>
      <c r="HY114" s="2601">
        <f t="shared" si="157"/>
        <v>58075</v>
      </c>
      <c r="HZ114" s="2601">
        <f t="shared" si="157"/>
        <v>58165</v>
      </c>
      <c r="IA114" s="2601">
        <f t="shared" si="157"/>
        <v>58256</v>
      </c>
    </row>
    <row r="115" spans="2:311" ht="15.75" customHeight="1">
      <c r="C115" s="2351" t="s">
        <v>11</v>
      </c>
      <c r="D115" s="2352"/>
      <c r="E115" s="2352"/>
      <c r="F115" s="2352"/>
      <c r="G115" s="2352"/>
      <c r="H115" s="766" t="s">
        <v>40</v>
      </c>
      <c r="J115" s="2353">
        <f t="shared" ref="J115:AO115" si="158">J$10</f>
        <v>2003</v>
      </c>
      <c r="K115" s="2353">
        <f t="shared" si="158"/>
        <v>2003</v>
      </c>
      <c r="L115" s="2353">
        <f t="shared" si="158"/>
        <v>2003</v>
      </c>
      <c r="M115" s="2353">
        <f t="shared" si="158"/>
        <v>2003</v>
      </c>
      <c r="N115" s="2353">
        <f t="shared" si="158"/>
        <v>2004</v>
      </c>
      <c r="O115" s="2353">
        <f t="shared" si="158"/>
        <v>2004</v>
      </c>
      <c r="P115" s="2353">
        <f t="shared" si="158"/>
        <v>2004</v>
      </c>
      <c r="Q115" s="2353">
        <f t="shared" si="158"/>
        <v>2004</v>
      </c>
      <c r="R115" s="2353">
        <f t="shared" si="158"/>
        <v>2005</v>
      </c>
      <c r="S115" s="2353">
        <f t="shared" si="158"/>
        <v>2005</v>
      </c>
      <c r="T115" s="2353">
        <f t="shared" si="158"/>
        <v>2005</v>
      </c>
      <c r="U115" s="2353">
        <f t="shared" si="158"/>
        <v>2005</v>
      </c>
      <c r="V115" s="2353">
        <f t="shared" si="158"/>
        <v>2006</v>
      </c>
      <c r="W115" s="2353">
        <f t="shared" si="158"/>
        <v>2006</v>
      </c>
      <c r="X115" s="2353">
        <f t="shared" si="158"/>
        <v>2006</v>
      </c>
      <c r="Y115" s="2353">
        <f t="shared" si="158"/>
        <v>2006</v>
      </c>
      <c r="Z115" s="2353">
        <f t="shared" si="158"/>
        <v>2007</v>
      </c>
      <c r="AA115" s="2353">
        <f t="shared" si="158"/>
        <v>2007</v>
      </c>
      <c r="AB115" s="2353">
        <f t="shared" si="158"/>
        <v>2007</v>
      </c>
      <c r="AC115" s="2353">
        <f t="shared" si="158"/>
        <v>2007</v>
      </c>
      <c r="AD115" s="2353">
        <f t="shared" si="158"/>
        <v>2008</v>
      </c>
      <c r="AE115" s="2353">
        <f t="shared" si="158"/>
        <v>2008</v>
      </c>
      <c r="AF115" s="2353">
        <f t="shared" si="158"/>
        <v>2008</v>
      </c>
      <c r="AG115" s="2353">
        <f t="shared" si="158"/>
        <v>2008</v>
      </c>
      <c r="AH115" s="2353">
        <f t="shared" si="158"/>
        <v>2009</v>
      </c>
      <c r="AI115" s="2353">
        <f t="shared" si="158"/>
        <v>2009</v>
      </c>
      <c r="AJ115" s="2353">
        <f t="shared" si="158"/>
        <v>2009</v>
      </c>
      <c r="AK115" s="2353">
        <f t="shared" si="158"/>
        <v>2009</v>
      </c>
      <c r="AL115" s="2353">
        <f t="shared" si="158"/>
        <v>2010</v>
      </c>
      <c r="AM115" s="2353">
        <f t="shared" si="158"/>
        <v>2010</v>
      </c>
      <c r="AN115" s="2353">
        <f t="shared" si="158"/>
        <v>2010</v>
      </c>
      <c r="AO115" s="2353">
        <f t="shared" si="158"/>
        <v>2010</v>
      </c>
      <c r="AP115" s="2353">
        <f t="shared" ref="AP115:BU115" si="159">AP$10</f>
        <v>2011</v>
      </c>
      <c r="AQ115" s="2353">
        <f t="shared" si="159"/>
        <v>2011</v>
      </c>
      <c r="AR115" s="2353">
        <f t="shared" si="159"/>
        <v>2011</v>
      </c>
      <c r="AS115" s="2353">
        <f t="shared" si="159"/>
        <v>2011</v>
      </c>
      <c r="AT115" s="2353">
        <f t="shared" si="159"/>
        <v>2012</v>
      </c>
      <c r="AU115" s="2353">
        <f t="shared" si="159"/>
        <v>2012</v>
      </c>
      <c r="AV115" s="2353">
        <f t="shared" si="159"/>
        <v>2012</v>
      </c>
      <c r="AW115" s="2353">
        <f t="shared" si="159"/>
        <v>2012</v>
      </c>
      <c r="AX115" s="2353">
        <f t="shared" si="159"/>
        <v>2013</v>
      </c>
      <c r="AY115" s="2353">
        <f t="shared" si="159"/>
        <v>2013</v>
      </c>
      <c r="AZ115" s="2353">
        <f t="shared" si="159"/>
        <v>2013</v>
      </c>
      <c r="BA115" s="2353">
        <f t="shared" si="159"/>
        <v>2013</v>
      </c>
      <c r="BB115" s="2353">
        <f t="shared" si="159"/>
        <v>2014</v>
      </c>
      <c r="BC115" s="2353">
        <f t="shared" si="159"/>
        <v>2014</v>
      </c>
      <c r="BD115" s="2353">
        <f t="shared" si="159"/>
        <v>2014</v>
      </c>
      <c r="BE115" s="2353">
        <f t="shared" si="159"/>
        <v>2014</v>
      </c>
      <c r="BF115" s="2353">
        <f t="shared" si="159"/>
        <v>2015</v>
      </c>
      <c r="BG115" s="2353">
        <f t="shared" si="159"/>
        <v>2015</v>
      </c>
      <c r="BH115" s="2353">
        <f t="shared" si="159"/>
        <v>2015</v>
      </c>
      <c r="BI115" s="2353">
        <f t="shared" si="159"/>
        <v>2015</v>
      </c>
      <c r="BJ115" s="2353">
        <f t="shared" si="159"/>
        <v>2016</v>
      </c>
      <c r="BK115" s="2353">
        <f t="shared" si="159"/>
        <v>2016</v>
      </c>
      <c r="BL115" s="2353">
        <f t="shared" si="159"/>
        <v>2016</v>
      </c>
      <c r="BM115" s="2353">
        <f t="shared" si="159"/>
        <v>2016</v>
      </c>
      <c r="BN115" s="2353">
        <f t="shared" si="159"/>
        <v>2017</v>
      </c>
      <c r="BO115" s="2353">
        <f t="shared" si="159"/>
        <v>2017</v>
      </c>
      <c r="BP115" s="2353">
        <f t="shared" si="159"/>
        <v>2017</v>
      </c>
      <c r="BQ115" s="2353">
        <f t="shared" si="159"/>
        <v>2017</v>
      </c>
      <c r="BR115" s="2353">
        <f t="shared" si="159"/>
        <v>2018</v>
      </c>
      <c r="BS115" s="2353">
        <f t="shared" si="159"/>
        <v>2018</v>
      </c>
      <c r="BT115" s="2353">
        <f t="shared" si="159"/>
        <v>2018</v>
      </c>
      <c r="BU115" s="2353">
        <f t="shared" si="159"/>
        <v>2018</v>
      </c>
      <c r="BV115" s="2353">
        <f t="shared" ref="BV115:DA115" si="160">BV$10</f>
        <v>2019</v>
      </c>
      <c r="BW115" s="2353">
        <f t="shared" si="160"/>
        <v>2019</v>
      </c>
      <c r="BX115" s="2353">
        <f t="shared" si="160"/>
        <v>2019</v>
      </c>
      <c r="BY115" s="2353">
        <f t="shared" si="160"/>
        <v>2019</v>
      </c>
      <c r="BZ115" s="2353">
        <f t="shared" si="160"/>
        <v>2020</v>
      </c>
      <c r="CA115" s="2353">
        <f t="shared" si="160"/>
        <v>2020</v>
      </c>
      <c r="CB115" s="2353">
        <f t="shared" si="160"/>
        <v>2020</v>
      </c>
      <c r="CC115" s="2353">
        <f t="shared" si="160"/>
        <v>2020</v>
      </c>
      <c r="CD115" s="2353">
        <f t="shared" si="160"/>
        <v>2021</v>
      </c>
      <c r="CE115" s="2353">
        <f t="shared" si="160"/>
        <v>2021</v>
      </c>
      <c r="CF115" s="2353">
        <f t="shared" si="160"/>
        <v>2021</v>
      </c>
      <c r="CG115" s="2353">
        <f t="shared" si="160"/>
        <v>2021</v>
      </c>
      <c r="CH115" s="2353">
        <f t="shared" si="160"/>
        <v>2022</v>
      </c>
      <c r="CI115" s="2353">
        <f t="shared" si="160"/>
        <v>2022</v>
      </c>
      <c r="CJ115" s="2353">
        <f t="shared" si="160"/>
        <v>2022</v>
      </c>
      <c r="CK115" s="2353">
        <f t="shared" si="160"/>
        <v>2022</v>
      </c>
      <c r="CL115" s="2353">
        <f t="shared" si="160"/>
        <v>2023</v>
      </c>
      <c r="CM115" s="2353">
        <f t="shared" si="160"/>
        <v>2023</v>
      </c>
      <c r="CN115" s="2353">
        <f t="shared" si="160"/>
        <v>2023</v>
      </c>
      <c r="CO115" s="2353">
        <f t="shared" si="160"/>
        <v>2023</v>
      </c>
      <c r="CP115" s="2353">
        <f t="shared" si="160"/>
        <v>2024</v>
      </c>
      <c r="CQ115" s="2353">
        <f t="shared" si="160"/>
        <v>2024</v>
      </c>
      <c r="CR115" s="2353">
        <f t="shared" si="160"/>
        <v>2024</v>
      </c>
      <c r="CS115" s="2353">
        <f t="shared" si="160"/>
        <v>2024</v>
      </c>
      <c r="CT115" s="2353">
        <f t="shared" si="160"/>
        <v>2025</v>
      </c>
      <c r="CU115" s="2353">
        <f t="shared" si="160"/>
        <v>2025</v>
      </c>
      <c r="CV115" s="2353">
        <f t="shared" si="160"/>
        <v>2025</v>
      </c>
      <c r="CW115" s="2353">
        <f t="shared" si="160"/>
        <v>2025</v>
      </c>
      <c r="CX115" s="2353">
        <f t="shared" si="160"/>
        <v>2026</v>
      </c>
      <c r="CY115" s="2353">
        <f t="shared" si="160"/>
        <v>2026</v>
      </c>
      <c r="CZ115" s="2353">
        <f t="shared" si="160"/>
        <v>2026</v>
      </c>
      <c r="DA115" s="2353">
        <f t="shared" si="160"/>
        <v>2026</v>
      </c>
      <c r="DB115" s="2353">
        <f t="shared" ref="DB115:EH115" si="161">DB$10</f>
        <v>2027</v>
      </c>
      <c r="DC115" s="2353">
        <f t="shared" si="161"/>
        <v>2027</v>
      </c>
      <c r="DD115" s="2353">
        <f t="shared" si="161"/>
        <v>2027</v>
      </c>
      <c r="DE115" s="2353">
        <f t="shared" si="161"/>
        <v>2027</v>
      </c>
      <c r="DF115" s="2353">
        <f t="shared" si="161"/>
        <v>2028</v>
      </c>
      <c r="DG115" s="2353">
        <f t="shared" si="161"/>
        <v>2028</v>
      </c>
      <c r="DH115" s="2353">
        <f t="shared" si="161"/>
        <v>2028</v>
      </c>
      <c r="DI115" s="2353">
        <f t="shared" si="161"/>
        <v>2028</v>
      </c>
      <c r="DJ115" s="2353">
        <f t="shared" si="161"/>
        <v>2029</v>
      </c>
      <c r="DK115" s="2353">
        <f t="shared" si="161"/>
        <v>2029</v>
      </c>
      <c r="DL115" s="2353">
        <f t="shared" si="161"/>
        <v>2029</v>
      </c>
      <c r="DM115" s="2353">
        <f t="shared" si="161"/>
        <v>2029</v>
      </c>
      <c r="DN115" s="2353">
        <f t="shared" si="161"/>
        <v>2030</v>
      </c>
      <c r="DO115" s="2353">
        <f t="shared" si="161"/>
        <v>2030</v>
      </c>
      <c r="DP115" s="2353">
        <f t="shared" si="161"/>
        <v>2030</v>
      </c>
      <c r="DQ115" s="2353">
        <f t="shared" si="161"/>
        <v>2030</v>
      </c>
      <c r="DR115" s="2353">
        <f t="shared" si="161"/>
        <v>2031</v>
      </c>
      <c r="DS115" s="2353">
        <f t="shared" si="161"/>
        <v>2031</v>
      </c>
      <c r="DT115" s="2353">
        <f t="shared" si="161"/>
        <v>2031</v>
      </c>
      <c r="DU115" s="2353">
        <f t="shared" si="161"/>
        <v>2031</v>
      </c>
      <c r="DV115" s="2353">
        <f t="shared" si="161"/>
        <v>2032</v>
      </c>
      <c r="DW115" s="2353">
        <f t="shared" si="161"/>
        <v>2032</v>
      </c>
      <c r="DX115" s="2353">
        <f t="shared" si="161"/>
        <v>2032</v>
      </c>
      <c r="DY115" s="2353">
        <f t="shared" si="161"/>
        <v>2032</v>
      </c>
      <c r="DZ115" s="2353">
        <f t="shared" si="161"/>
        <v>2033</v>
      </c>
      <c r="EA115" s="2353">
        <f t="shared" si="161"/>
        <v>2033</v>
      </c>
      <c r="EB115" s="2353">
        <f t="shared" si="161"/>
        <v>2033</v>
      </c>
      <c r="EC115" s="2353">
        <f t="shared" si="161"/>
        <v>2033</v>
      </c>
      <c r="ED115" s="2353">
        <f t="shared" si="161"/>
        <v>2034</v>
      </c>
      <c r="EE115" s="2353">
        <f t="shared" si="161"/>
        <v>2034</v>
      </c>
      <c r="EF115" s="2353">
        <f t="shared" si="161"/>
        <v>2034</v>
      </c>
      <c r="EG115" s="2353">
        <f t="shared" si="161"/>
        <v>2034</v>
      </c>
      <c r="EH115" s="2353">
        <f t="shared" si="161"/>
        <v>2035</v>
      </c>
      <c r="EI115" s="2353">
        <f t="shared" ref="EI115:GT115" si="162">EI$10</f>
        <v>2035</v>
      </c>
      <c r="EJ115" s="2353">
        <f t="shared" si="162"/>
        <v>2035</v>
      </c>
      <c r="EK115" s="2353">
        <f t="shared" si="162"/>
        <v>2035</v>
      </c>
      <c r="EL115" s="2353">
        <f t="shared" si="162"/>
        <v>2036</v>
      </c>
      <c r="EM115" s="2353">
        <f t="shared" si="162"/>
        <v>2036</v>
      </c>
      <c r="EN115" s="2353">
        <f t="shared" si="162"/>
        <v>2036</v>
      </c>
      <c r="EO115" s="2353">
        <f t="shared" si="162"/>
        <v>2036</v>
      </c>
      <c r="EP115" s="2353">
        <f t="shared" si="162"/>
        <v>2037</v>
      </c>
      <c r="EQ115" s="2353">
        <f t="shared" si="162"/>
        <v>2037</v>
      </c>
      <c r="ER115" s="2353">
        <f t="shared" si="162"/>
        <v>2037</v>
      </c>
      <c r="ES115" s="2353">
        <f t="shared" si="162"/>
        <v>2037</v>
      </c>
      <c r="ET115" s="2353">
        <f t="shared" si="162"/>
        <v>2038</v>
      </c>
      <c r="EU115" s="2353">
        <f t="shared" si="162"/>
        <v>2038</v>
      </c>
      <c r="EV115" s="2353">
        <f t="shared" si="162"/>
        <v>2038</v>
      </c>
      <c r="EW115" s="2353">
        <f t="shared" si="162"/>
        <v>2038</v>
      </c>
      <c r="EX115" s="2353">
        <f t="shared" si="162"/>
        <v>2039</v>
      </c>
      <c r="EY115" s="2353">
        <f t="shared" si="162"/>
        <v>2039</v>
      </c>
      <c r="EZ115" s="2353">
        <f t="shared" si="162"/>
        <v>2039</v>
      </c>
      <c r="FA115" s="2353">
        <f t="shared" si="162"/>
        <v>2039</v>
      </c>
      <c r="FB115" s="2353">
        <f t="shared" si="162"/>
        <v>2040</v>
      </c>
      <c r="FC115" s="2353">
        <f t="shared" si="162"/>
        <v>2040</v>
      </c>
      <c r="FD115" s="2353">
        <f t="shared" si="162"/>
        <v>2040</v>
      </c>
      <c r="FE115" s="2353">
        <f t="shared" si="162"/>
        <v>2040</v>
      </c>
      <c r="FF115" s="2353">
        <f t="shared" si="162"/>
        <v>2041</v>
      </c>
      <c r="FG115" s="2353">
        <f t="shared" si="162"/>
        <v>2041</v>
      </c>
      <c r="FH115" s="2353">
        <f t="shared" si="162"/>
        <v>2041</v>
      </c>
      <c r="FI115" s="2353">
        <f t="shared" si="162"/>
        <v>2041</v>
      </c>
      <c r="FJ115" s="2353">
        <f t="shared" si="162"/>
        <v>2042</v>
      </c>
      <c r="FK115" s="2353">
        <f t="shared" si="162"/>
        <v>2042</v>
      </c>
      <c r="FL115" s="2353">
        <f t="shared" si="162"/>
        <v>2042</v>
      </c>
      <c r="FM115" s="2353">
        <f t="shared" si="162"/>
        <v>2042</v>
      </c>
      <c r="FN115" s="2353">
        <f t="shared" si="162"/>
        <v>2043</v>
      </c>
      <c r="FO115" s="2353">
        <f t="shared" si="162"/>
        <v>2043</v>
      </c>
      <c r="FP115" s="2353">
        <f t="shared" si="162"/>
        <v>2043</v>
      </c>
      <c r="FQ115" s="2353">
        <f t="shared" si="162"/>
        <v>2043</v>
      </c>
      <c r="FR115" s="2353">
        <f t="shared" si="162"/>
        <v>2044</v>
      </c>
      <c r="FS115" s="2353">
        <f t="shared" si="162"/>
        <v>2044</v>
      </c>
      <c r="FT115" s="2353">
        <f t="shared" si="162"/>
        <v>2044</v>
      </c>
      <c r="FU115" s="2353">
        <f t="shared" si="162"/>
        <v>2044</v>
      </c>
      <c r="FV115" s="2353">
        <f t="shared" si="162"/>
        <v>2045</v>
      </c>
      <c r="FW115" s="2353">
        <f t="shared" si="162"/>
        <v>2045</v>
      </c>
      <c r="FX115" s="2353">
        <f t="shared" si="162"/>
        <v>2045</v>
      </c>
      <c r="FY115" s="2353">
        <f t="shared" si="162"/>
        <v>2045</v>
      </c>
      <c r="FZ115" s="2353">
        <f t="shared" si="162"/>
        <v>2046</v>
      </c>
      <c r="GA115" s="2353">
        <f t="shared" si="162"/>
        <v>2046</v>
      </c>
      <c r="GB115" s="2353">
        <f t="shared" si="162"/>
        <v>2046</v>
      </c>
      <c r="GC115" s="2353">
        <f t="shared" si="162"/>
        <v>2046</v>
      </c>
      <c r="GD115" s="2353">
        <f t="shared" si="162"/>
        <v>2047</v>
      </c>
      <c r="GE115" s="2353">
        <f t="shared" si="162"/>
        <v>2047</v>
      </c>
      <c r="GF115" s="2353">
        <f t="shared" si="162"/>
        <v>2047</v>
      </c>
      <c r="GG115" s="2353">
        <f t="shared" si="162"/>
        <v>2047</v>
      </c>
      <c r="GH115" s="2353">
        <f t="shared" si="162"/>
        <v>2048</v>
      </c>
      <c r="GI115" s="2353">
        <f t="shared" si="162"/>
        <v>2048</v>
      </c>
      <c r="GJ115" s="2353">
        <f t="shared" si="162"/>
        <v>2048</v>
      </c>
      <c r="GK115" s="2353">
        <f t="shared" si="162"/>
        <v>2048</v>
      </c>
      <c r="GL115" s="2353">
        <f t="shared" si="162"/>
        <v>2049</v>
      </c>
      <c r="GM115" s="2353">
        <f t="shared" si="162"/>
        <v>2049</v>
      </c>
      <c r="GN115" s="2353">
        <f t="shared" si="162"/>
        <v>2049</v>
      </c>
      <c r="GO115" s="2353">
        <f t="shared" si="162"/>
        <v>2049</v>
      </c>
      <c r="GP115" s="2353">
        <f t="shared" si="162"/>
        <v>2050</v>
      </c>
      <c r="GQ115" s="2353">
        <f t="shared" si="162"/>
        <v>2050</v>
      </c>
      <c r="GR115" s="2353">
        <f t="shared" si="162"/>
        <v>2050</v>
      </c>
      <c r="GS115" s="2353">
        <f t="shared" si="162"/>
        <v>2050</v>
      </c>
      <c r="GT115" s="2353">
        <f t="shared" si="162"/>
        <v>2051</v>
      </c>
      <c r="GU115" s="2353">
        <f t="shared" ref="GU115:IA115" si="163">GU$10</f>
        <v>2051</v>
      </c>
      <c r="GV115" s="2353">
        <f t="shared" si="163"/>
        <v>2051</v>
      </c>
      <c r="GW115" s="2353">
        <f t="shared" si="163"/>
        <v>2051</v>
      </c>
      <c r="GX115" s="2353">
        <f t="shared" si="163"/>
        <v>2052</v>
      </c>
      <c r="GY115" s="2353">
        <f t="shared" si="163"/>
        <v>2052</v>
      </c>
      <c r="GZ115" s="2353">
        <f t="shared" si="163"/>
        <v>2052</v>
      </c>
      <c r="HA115" s="2353">
        <f t="shared" si="163"/>
        <v>2052</v>
      </c>
      <c r="HB115" s="2353">
        <f t="shared" si="163"/>
        <v>2053</v>
      </c>
      <c r="HC115" s="2353">
        <f t="shared" si="163"/>
        <v>2053</v>
      </c>
      <c r="HD115" s="2353">
        <f t="shared" si="163"/>
        <v>2053</v>
      </c>
      <c r="HE115" s="2353">
        <f t="shared" si="163"/>
        <v>2053</v>
      </c>
      <c r="HF115" s="2353">
        <f t="shared" si="163"/>
        <v>2054</v>
      </c>
      <c r="HG115" s="2353">
        <f t="shared" si="163"/>
        <v>2054</v>
      </c>
      <c r="HH115" s="2353">
        <f t="shared" si="163"/>
        <v>2054</v>
      </c>
      <c r="HI115" s="2353">
        <f t="shared" si="163"/>
        <v>2054</v>
      </c>
      <c r="HJ115" s="2353">
        <f t="shared" si="163"/>
        <v>2055</v>
      </c>
      <c r="HK115" s="2353">
        <f t="shared" si="163"/>
        <v>2055</v>
      </c>
      <c r="HL115" s="2353">
        <f t="shared" si="163"/>
        <v>2055</v>
      </c>
      <c r="HM115" s="2353">
        <f t="shared" si="163"/>
        <v>2055</v>
      </c>
      <c r="HN115" s="2353">
        <f t="shared" si="163"/>
        <v>2056</v>
      </c>
      <c r="HO115" s="2353">
        <f t="shared" si="163"/>
        <v>2056</v>
      </c>
      <c r="HP115" s="2353">
        <f t="shared" si="163"/>
        <v>2056</v>
      </c>
      <c r="HQ115" s="2353">
        <f t="shared" si="163"/>
        <v>2056</v>
      </c>
      <c r="HR115" s="2353">
        <f t="shared" si="163"/>
        <v>2057</v>
      </c>
      <c r="HS115" s="2353">
        <f t="shared" si="163"/>
        <v>2057</v>
      </c>
      <c r="HT115" s="2353">
        <f t="shared" si="163"/>
        <v>2057</v>
      </c>
      <c r="HU115" s="2353">
        <f t="shared" si="163"/>
        <v>2057</v>
      </c>
      <c r="HV115" s="2353">
        <f t="shared" si="163"/>
        <v>2058</v>
      </c>
      <c r="HW115" s="2353">
        <f t="shared" si="163"/>
        <v>2058</v>
      </c>
      <c r="HX115" s="2353">
        <f t="shared" si="163"/>
        <v>2058</v>
      </c>
      <c r="HY115" s="2353">
        <f t="shared" si="163"/>
        <v>2058</v>
      </c>
      <c r="HZ115" s="2353">
        <f t="shared" si="163"/>
        <v>2059</v>
      </c>
      <c r="IA115" s="2353">
        <f t="shared" si="163"/>
        <v>2059</v>
      </c>
    </row>
    <row r="116" spans="2:311" ht="15.75" customHeight="1">
      <c r="C116" s="5276"/>
      <c r="D116" s="5277"/>
      <c r="E116" s="5277"/>
      <c r="F116" s="5277"/>
      <c r="G116" s="5277"/>
      <c r="H116" s="5263"/>
      <c r="J116" s="5292">
        <f t="shared" ref="J116:AO116" si="164">J$11</f>
        <v>1</v>
      </c>
      <c r="K116" s="5292">
        <f t="shared" si="164"/>
        <v>2</v>
      </c>
      <c r="L116" s="5292">
        <f t="shared" si="164"/>
        <v>3</v>
      </c>
      <c r="M116" s="5292">
        <f t="shared" si="164"/>
        <v>4</v>
      </c>
      <c r="N116" s="5292">
        <f t="shared" si="164"/>
        <v>1</v>
      </c>
      <c r="O116" s="5292">
        <f t="shared" si="164"/>
        <v>2</v>
      </c>
      <c r="P116" s="5292">
        <f t="shared" si="164"/>
        <v>3</v>
      </c>
      <c r="Q116" s="5292">
        <f t="shared" si="164"/>
        <v>4</v>
      </c>
      <c r="R116" s="5292">
        <f t="shared" si="164"/>
        <v>1</v>
      </c>
      <c r="S116" s="5292">
        <f t="shared" si="164"/>
        <v>2</v>
      </c>
      <c r="T116" s="5292">
        <f t="shared" si="164"/>
        <v>3</v>
      </c>
      <c r="U116" s="5292">
        <f t="shared" si="164"/>
        <v>4</v>
      </c>
      <c r="V116" s="5292">
        <f t="shared" si="164"/>
        <v>1</v>
      </c>
      <c r="W116" s="5292">
        <f t="shared" si="164"/>
        <v>2</v>
      </c>
      <c r="X116" s="5292">
        <f t="shared" si="164"/>
        <v>3</v>
      </c>
      <c r="Y116" s="5292">
        <f t="shared" si="164"/>
        <v>4</v>
      </c>
      <c r="Z116" s="5292">
        <f t="shared" si="164"/>
        <v>1</v>
      </c>
      <c r="AA116" s="5292">
        <f t="shared" si="164"/>
        <v>2</v>
      </c>
      <c r="AB116" s="5292">
        <f t="shared" si="164"/>
        <v>3</v>
      </c>
      <c r="AC116" s="5292">
        <f t="shared" si="164"/>
        <v>4</v>
      </c>
      <c r="AD116" s="5292">
        <f t="shared" si="164"/>
        <v>1</v>
      </c>
      <c r="AE116" s="5292">
        <f t="shared" si="164"/>
        <v>2</v>
      </c>
      <c r="AF116" s="5292">
        <f t="shared" si="164"/>
        <v>3</v>
      </c>
      <c r="AG116" s="5292">
        <f t="shared" si="164"/>
        <v>4</v>
      </c>
      <c r="AH116" s="5292">
        <f t="shared" si="164"/>
        <v>1</v>
      </c>
      <c r="AI116" s="5292">
        <f t="shared" si="164"/>
        <v>2</v>
      </c>
      <c r="AJ116" s="5292">
        <f t="shared" si="164"/>
        <v>3</v>
      </c>
      <c r="AK116" s="5292">
        <f t="shared" si="164"/>
        <v>4</v>
      </c>
      <c r="AL116" s="5292">
        <f t="shared" si="164"/>
        <v>1</v>
      </c>
      <c r="AM116" s="5292">
        <f t="shared" si="164"/>
        <v>2</v>
      </c>
      <c r="AN116" s="5292">
        <f t="shared" si="164"/>
        <v>3</v>
      </c>
      <c r="AO116" s="5292">
        <f t="shared" si="164"/>
        <v>4</v>
      </c>
      <c r="AP116" s="5292">
        <f t="shared" ref="AP116:BU116" si="165">AP$11</f>
        <v>1</v>
      </c>
      <c r="AQ116" s="5292">
        <f t="shared" si="165"/>
        <v>2</v>
      </c>
      <c r="AR116" s="5292">
        <f t="shared" si="165"/>
        <v>3</v>
      </c>
      <c r="AS116" s="5292">
        <f t="shared" si="165"/>
        <v>4</v>
      </c>
      <c r="AT116" s="5292">
        <f t="shared" si="165"/>
        <v>1</v>
      </c>
      <c r="AU116" s="5292">
        <f t="shared" si="165"/>
        <v>2</v>
      </c>
      <c r="AV116" s="5292">
        <f t="shared" si="165"/>
        <v>3</v>
      </c>
      <c r="AW116" s="5292">
        <f t="shared" si="165"/>
        <v>4</v>
      </c>
      <c r="AX116" s="5292">
        <f t="shared" si="165"/>
        <v>1</v>
      </c>
      <c r="AY116" s="5292">
        <f t="shared" si="165"/>
        <v>2</v>
      </c>
      <c r="AZ116" s="5292">
        <f t="shared" si="165"/>
        <v>3</v>
      </c>
      <c r="BA116" s="5292">
        <f t="shared" si="165"/>
        <v>4</v>
      </c>
      <c r="BB116" s="5292">
        <f t="shared" si="165"/>
        <v>1</v>
      </c>
      <c r="BC116" s="5292">
        <f t="shared" si="165"/>
        <v>2</v>
      </c>
      <c r="BD116" s="5292">
        <f t="shared" si="165"/>
        <v>3</v>
      </c>
      <c r="BE116" s="5292">
        <f t="shared" si="165"/>
        <v>4</v>
      </c>
      <c r="BF116" s="5292">
        <f t="shared" si="165"/>
        <v>1</v>
      </c>
      <c r="BG116" s="5292">
        <f t="shared" si="165"/>
        <v>2</v>
      </c>
      <c r="BH116" s="5292">
        <f t="shared" si="165"/>
        <v>3</v>
      </c>
      <c r="BI116" s="5292">
        <f t="shared" si="165"/>
        <v>4</v>
      </c>
      <c r="BJ116" s="5292">
        <f t="shared" si="165"/>
        <v>1</v>
      </c>
      <c r="BK116" s="5292">
        <f t="shared" si="165"/>
        <v>2</v>
      </c>
      <c r="BL116" s="5292">
        <f t="shared" si="165"/>
        <v>3</v>
      </c>
      <c r="BM116" s="5292">
        <f t="shared" si="165"/>
        <v>4</v>
      </c>
      <c r="BN116" s="5292">
        <f t="shared" si="165"/>
        <v>1</v>
      </c>
      <c r="BO116" s="5292">
        <f t="shared" si="165"/>
        <v>2</v>
      </c>
      <c r="BP116" s="5292">
        <f t="shared" si="165"/>
        <v>3</v>
      </c>
      <c r="BQ116" s="5292">
        <f t="shared" si="165"/>
        <v>4</v>
      </c>
      <c r="BR116" s="5292">
        <f t="shared" si="165"/>
        <v>1</v>
      </c>
      <c r="BS116" s="5292">
        <f t="shared" si="165"/>
        <v>2</v>
      </c>
      <c r="BT116" s="5292">
        <f t="shared" si="165"/>
        <v>3</v>
      </c>
      <c r="BU116" s="5292">
        <f t="shared" si="165"/>
        <v>4</v>
      </c>
      <c r="BV116" s="5292">
        <f t="shared" ref="BV116:DA116" si="166">BV$11</f>
        <v>1</v>
      </c>
      <c r="BW116" s="5292">
        <f t="shared" si="166"/>
        <v>2</v>
      </c>
      <c r="BX116" s="5292">
        <f t="shared" si="166"/>
        <v>3</v>
      </c>
      <c r="BY116" s="5292">
        <f t="shared" si="166"/>
        <v>4</v>
      </c>
      <c r="BZ116" s="5292">
        <f t="shared" si="166"/>
        <v>1</v>
      </c>
      <c r="CA116" s="5292">
        <f t="shared" si="166"/>
        <v>2</v>
      </c>
      <c r="CB116" s="5292">
        <f t="shared" si="166"/>
        <v>3</v>
      </c>
      <c r="CC116" s="5292">
        <f t="shared" si="166"/>
        <v>4</v>
      </c>
      <c r="CD116" s="5292">
        <f t="shared" si="166"/>
        <v>1</v>
      </c>
      <c r="CE116" s="5292">
        <f t="shared" si="166"/>
        <v>2</v>
      </c>
      <c r="CF116" s="5292">
        <f t="shared" si="166"/>
        <v>3</v>
      </c>
      <c r="CG116" s="5292">
        <f t="shared" si="166"/>
        <v>4</v>
      </c>
      <c r="CH116" s="5292">
        <f t="shared" si="166"/>
        <v>1</v>
      </c>
      <c r="CI116" s="5292">
        <f t="shared" si="166"/>
        <v>2</v>
      </c>
      <c r="CJ116" s="5292">
        <f t="shared" si="166"/>
        <v>3</v>
      </c>
      <c r="CK116" s="5292">
        <f t="shared" si="166"/>
        <v>4</v>
      </c>
      <c r="CL116" s="5292">
        <f t="shared" si="166"/>
        <v>1</v>
      </c>
      <c r="CM116" s="5292">
        <f t="shared" si="166"/>
        <v>2</v>
      </c>
      <c r="CN116" s="5292">
        <f t="shared" si="166"/>
        <v>3</v>
      </c>
      <c r="CO116" s="5292">
        <f t="shared" si="166"/>
        <v>4</v>
      </c>
      <c r="CP116" s="5292">
        <f t="shared" si="166"/>
        <v>1</v>
      </c>
      <c r="CQ116" s="5292">
        <f t="shared" si="166"/>
        <v>2</v>
      </c>
      <c r="CR116" s="5292">
        <f t="shared" si="166"/>
        <v>3</v>
      </c>
      <c r="CS116" s="5292">
        <f t="shared" si="166"/>
        <v>4</v>
      </c>
      <c r="CT116" s="5292">
        <f t="shared" si="166"/>
        <v>1</v>
      </c>
      <c r="CU116" s="5292">
        <f t="shared" si="166"/>
        <v>2</v>
      </c>
      <c r="CV116" s="5292">
        <f t="shared" si="166"/>
        <v>3</v>
      </c>
      <c r="CW116" s="5292">
        <f t="shared" si="166"/>
        <v>4</v>
      </c>
      <c r="CX116" s="5292">
        <f t="shared" si="166"/>
        <v>1</v>
      </c>
      <c r="CY116" s="5292">
        <f t="shared" si="166"/>
        <v>2</v>
      </c>
      <c r="CZ116" s="5292">
        <f t="shared" si="166"/>
        <v>3</v>
      </c>
      <c r="DA116" s="5292">
        <f t="shared" si="166"/>
        <v>4</v>
      </c>
      <c r="DB116" s="5292">
        <f t="shared" ref="DB116:EH116" si="167">DB$11</f>
        <v>1</v>
      </c>
      <c r="DC116" s="5292">
        <f t="shared" si="167"/>
        <v>2</v>
      </c>
      <c r="DD116" s="5292">
        <f t="shared" si="167"/>
        <v>3</v>
      </c>
      <c r="DE116" s="5292">
        <f t="shared" si="167"/>
        <v>4</v>
      </c>
      <c r="DF116" s="5292">
        <f t="shared" si="167"/>
        <v>1</v>
      </c>
      <c r="DG116" s="5292">
        <f t="shared" si="167"/>
        <v>2</v>
      </c>
      <c r="DH116" s="5292">
        <f t="shared" si="167"/>
        <v>3</v>
      </c>
      <c r="DI116" s="5292">
        <f t="shared" si="167"/>
        <v>4</v>
      </c>
      <c r="DJ116" s="5292">
        <f t="shared" si="167"/>
        <v>1</v>
      </c>
      <c r="DK116" s="5292">
        <f t="shared" si="167"/>
        <v>2</v>
      </c>
      <c r="DL116" s="5292">
        <f t="shared" si="167"/>
        <v>3</v>
      </c>
      <c r="DM116" s="5292">
        <f t="shared" si="167"/>
        <v>4</v>
      </c>
      <c r="DN116" s="5292">
        <f t="shared" si="167"/>
        <v>1</v>
      </c>
      <c r="DO116" s="5292">
        <f t="shared" si="167"/>
        <v>2</v>
      </c>
      <c r="DP116" s="5292">
        <f t="shared" si="167"/>
        <v>3</v>
      </c>
      <c r="DQ116" s="5292">
        <f t="shared" si="167"/>
        <v>4</v>
      </c>
      <c r="DR116" s="5292">
        <f t="shared" si="167"/>
        <v>1</v>
      </c>
      <c r="DS116" s="5292">
        <f t="shared" si="167"/>
        <v>2</v>
      </c>
      <c r="DT116" s="5292">
        <f t="shared" si="167"/>
        <v>3</v>
      </c>
      <c r="DU116" s="5292">
        <f t="shared" si="167"/>
        <v>4</v>
      </c>
      <c r="DV116" s="5292">
        <f t="shared" si="167"/>
        <v>1</v>
      </c>
      <c r="DW116" s="5292">
        <f t="shared" si="167"/>
        <v>2</v>
      </c>
      <c r="DX116" s="5292">
        <f t="shared" si="167"/>
        <v>3</v>
      </c>
      <c r="DY116" s="5292">
        <f t="shared" si="167"/>
        <v>4</v>
      </c>
      <c r="DZ116" s="5292">
        <f t="shared" si="167"/>
        <v>1</v>
      </c>
      <c r="EA116" s="5292">
        <f t="shared" si="167"/>
        <v>2</v>
      </c>
      <c r="EB116" s="5292">
        <f t="shared" si="167"/>
        <v>3</v>
      </c>
      <c r="EC116" s="5292">
        <f t="shared" si="167"/>
        <v>4</v>
      </c>
      <c r="ED116" s="5292">
        <f t="shared" si="167"/>
        <v>1</v>
      </c>
      <c r="EE116" s="5292">
        <f t="shared" si="167"/>
        <v>2</v>
      </c>
      <c r="EF116" s="5292">
        <f t="shared" si="167"/>
        <v>3</v>
      </c>
      <c r="EG116" s="5292">
        <f t="shared" si="167"/>
        <v>4</v>
      </c>
      <c r="EH116" s="5292">
        <f t="shared" si="167"/>
        <v>1</v>
      </c>
      <c r="EI116" s="5292">
        <f t="shared" ref="EI116:GT116" si="168">EI$11</f>
        <v>2</v>
      </c>
      <c r="EJ116" s="5292">
        <f t="shared" si="168"/>
        <v>3</v>
      </c>
      <c r="EK116" s="5292">
        <f t="shared" si="168"/>
        <v>4</v>
      </c>
      <c r="EL116" s="5292">
        <f t="shared" si="168"/>
        <v>1</v>
      </c>
      <c r="EM116" s="5292">
        <f t="shared" si="168"/>
        <v>2</v>
      </c>
      <c r="EN116" s="5292">
        <f t="shared" si="168"/>
        <v>3</v>
      </c>
      <c r="EO116" s="5292">
        <f t="shared" si="168"/>
        <v>4</v>
      </c>
      <c r="EP116" s="5292">
        <f t="shared" si="168"/>
        <v>1</v>
      </c>
      <c r="EQ116" s="5292">
        <f t="shared" si="168"/>
        <v>2</v>
      </c>
      <c r="ER116" s="5292">
        <f t="shared" si="168"/>
        <v>3</v>
      </c>
      <c r="ES116" s="5292">
        <f t="shared" si="168"/>
        <v>4</v>
      </c>
      <c r="ET116" s="5292">
        <f t="shared" si="168"/>
        <v>1</v>
      </c>
      <c r="EU116" s="5292">
        <f t="shared" si="168"/>
        <v>2</v>
      </c>
      <c r="EV116" s="5292">
        <f t="shared" si="168"/>
        <v>3</v>
      </c>
      <c r="EW116" s="5292">
        <f t="shared" si="168"/>
        <v>4</v>
      </c>
      <c r="EX116" s="5292">
        <f t="shared" si="168"/>
        <v>1</v>
      </c>
      <c r="EY116" s="5292">
        <f t="shared" si="168"/>
        <v>2</v>
      </c>
      <c r="EZ116" s="5292">
        <f t="shared" si="168"/>
        <v>3</v>
      </c>
      <c r="FA116" s="5292">
        <f t="shared" si="168"/>
        <v>4</v>
      </c>
      <c r="FB116" s="5292">
        <f t="shared" si="168"/>
        <v>1</v>
      </c>
      <c r="FC116" s="5292">
        <f t="shared" si="168"/>
        <v>2</v>
      </c>
      <c r="FD116" s="5292">
        <f t="shared" si="168"/>
        <v>3</v>
      </c>
      <c r="FE116" s="5292">
        <f t="shared" si="168"/>
        <v>4</v>
      </c>
      <c r="FF116" s="5292">
        <f t="shared" si="168"/>
        <v>1</v>
      </c>
      <c r="FG116" s="5292">
        <f t="shared" si="168"/>
        <v>2</v>
      </c>
      <c r="FH116" s="5292">
        <f t="shared" si="168"/>
        <v>3</v>
      </c>
      <c r="FI116" s="5292">
        <f t="shared" si="168"/>
        <v>4</v>
      </c>
      <c r="FJ116" s="5292">
        <f t="shared" si="168"/>
        <v>1</v>
      </c>
      <c r="FK116" s="5292">
        <f t="shared" si="168"/>
        <v>2</v>
      </c>
      <c r="FL116" s="5292">
        <f t="shared" si="168"/>
        <v>3</v>
      </c>
      <c r="FM116" s="5292">
        <f t="shared" si="168"/>
        <v>4</v>
      </c>
      <c r="FN116" s="5292">
        <f t="shared" si="168"/>
        <v>1</v>
      </c>
      <c r="FO116" s="5292">
        <f t="shared" si="168"/>
        <v>2</v>
      </c>
      <c r="FP116" s="5292">
        <f t="shared" si="168"/>
        <v>3</v>
      </c>
      <c r="FQ116" s="5292">
        <f t="shared" si="168"/>
        <v>4</v>
      </c>
      <c r="FR116" s="5292">
        <f t="shared" si="168"/>
        <v>1</v>
      </c>
      <c r="FS116" s="5292">
        <f t="shared" si="168"/>
        <v>2</v>
      </c>
      <c r="FT116" s="5292">
        <f t="shared" si="168"/>
        <v>3</v>
      </c>
      <c r="FU116" s="5292">
        <f t="shared" si="168"/>
        <v>4</v>
      </c>
      <c r="FV116" s="5292">
        <f t="shared" si="168"/>
        <v>1</v>
      </c>
      <c r="FW116" s="5292">
        <f t="shared" si="168"/>
        <v>2</v>
      </c>
      <c r="FX116" s="5292">
        <f t="shared" si="168"/>
        <v>3</v>
      </c>
      <c r="FY116" s="5292">
        <f t="shared" si="168"/>
        <v>4</v>
      </c>
      <c r="FZ116" s="5292">
        <f t="shared" si="168"/>
        <v>1</v>
      </c>
      <c r="GA116" s="5292">
        <f t="shared" si="168"/>
        <v>2</v>
      </c>
      <c r="GB116" s="5292">
        <f t="shared" si="168"/>
        <v>3</v>
      </c>
      <c r="GC116" s="5292">
        <f t="shared" si="168"/>
        <v>4</v>
      </c>
      <c r="GD116" s="5292">
        <f t="shared" si="168"/>
        <v>1</v>
      </c>
      <c r="GE116" s="5292">
        <f t="shared" si="168"/>
        <v>2</v>
      </c>
      <c r="GF116" s="5292">
        <f t="shared" si="168"/>
        <v>3</v>
      </c>
      <c r="GG116" s="5292">
        <f t="shared" si="168"/>
        <v>4</v>
      </c>
      <c r="GH116" s="5292">
        <f t="shared" si="168"/>
        <v>1</v>
      </c>
      <c r="GI116" s="5292">
        <f t="shared" si="168"/>
        <v>2</v>
      </c>
      <c r="GJ116" s="5292">
        <f t="shared" si="168"/>
        <v>3</v>
      </c>
      <c r="GK116" s="5292">
        <f t="shared" si="168"/>
        <v>4</v>
      </c>
      <c r="GL116" s="5292">
        <f t="shared" si="168"/>
        <v>1</v>
      </c>
      <c r="GM116" s="5292">
        <f t="shared" si="168"/>
        <v>2</v>
      </c>
      <c r="GN116" s="5292">
        <f t="shared" si="168"/>
        <v>3</v>
      </c>
      <c r="GO116" s="5292">
        <f t="shared" si="168"/>
        <v>4</v>
      </c>
      <c r="GP116" s="5292">
        <f t="shared" si="168"/>
        <v>1</v>
      </c>
      <c r="GQ116" s="5292">
        <f t="shared" si="168"/>
        <v>2</v>
      </c>
      <c r="GR116" s="5292">
        <f t="shared" si="168"/>
        <v>3</v>
      </c>
      <c r="GS116" s="5292">
        <f t="shared" si="168"/>
        <v>4</v>
      </c>
      <c r="GT116" s="5292">
        <f t="shared" si="168"/>
        <v>1</v>
      </c>
      <c r="GU116" s="5292">
        <f t="shared" ref="GU116:IA116" si="169">GU$11</f>
        <v>2</v>
      </c>
      <c r="GV116" s="5292">
        <f t="shared" si="169"/>
        <v>3</v>
      </c>
      <c r="GW116" s="5292">
        <f t="shared" si="169"/>
        <v>4</v>
      </c>
      <c r="GX116" s="5292">
        <f t="shared" si="169"/>
        <v>1</v>
      </c>
      <c r="GY116" s="5292">
        <f t="shared" si="169"/>
        <v>2</v>
      </c>
      <c r="GZ116" s="5292">
        <f t="shared" si="169"/>
        <v>3</v>
      </c>
      <c r="HA116" s="5292">
        <f t="shared" si="169"/>
        <v>4</v>
      </c>
      <c r="HB116" s="5292">
        <f t="shared" si="169"/>
        <v>1</v>
      </c>
      <c r="HC116" s="5292">
        <f t="shared" si="169"/>
        <v>2</v>
      </c>
      <c r="HD116" s="5292">
        <f t="shared" si="169"/>
        <v>3</v>
      </c>
      <c r="HE116" s="5292">
        <f t="shared" si="169"/>
        <v>4</v>
      </c>
      <c r="HF116" s="5292">
        <f t="shared" si="169"/>
        <v>1</v>
      </c>
      <c r="HG116" s="5292">
        <f t="shared" si="169"/>
        <v>2</v>
      </c>
      <c r="HH116" s="5292">
        <f t="shared" si="169"/>
        <v>3</v>
      </c>
      <c r="HI116" s="5292">
        <f t="shared" si="169"/>
        <v>4</v>
      </c>
      <c r="HJ116" s="5292">
        <f t="shared" si="169"/>
        <v>1</v>
      </c>
      <c r="HK116" s="5292">
        <f t="shared" si="169"/>
        <v>2</v>
      </c>
      <c r="HL116" s="5292">
        <f t="shared" si="169"/>
        <v>3</v>
      </c>
      <c r="HM116" s="5292">
        <f t="shared" si="169"/>
        <v>4</v>
      </c>
      <c r="HN116" s="5292">
        <f t="shared" si="169"/>
        <v>1</v>
      </c>
      <c r="HO116" s="5292">
        <f t="shared" si="169"/>
        <v>2</v>
      </c>
      <c r="HP116" s="5292">
        <f t="shared" si="169"/>
        <v>3</v>
      </c>
      <c r="HQ116" s="5292">
        <f t="shared" si="169"/>
        <v>4</v>
      </c>
      <c r="HR116" s="5292">
        <f t="shared" si="169"/>
        <v>1</v>
      </c>
      <c r="HS116" s="5292">
        <f t="shared" si="169"/>
        <v>2</v>
      </c>
      <c r="HT116" s="5292">
        <f t="shared" si="169"/>
        <v>3</v>
      </c>
      <c r="HU116" s="5292">
        <f t="shared" si="169"/>
        <v>4</v>
      </c>
      <c r="HV116" s="5292">
        <f t="shared" si="169"/>
        <v>1</v>
      </c>
      <c r="HW116" s="5292">
        <f t="shared" si="169"/>
        <v>2</v>
      </c>
      <c r="HX116" s="5292">
        <f t="shared" si="169"/>
        <v>3</v>
      </c>
      <c r="HY116" s="5292">
        <f t="shared" si="169"/>
        <v>4</v>
      </c>
      <c r="HZ116" s="5292">
        <f t="shared" si="169"/>
        <v>1</v>
      </c>
      <c r="IA116" s="5292">
        <f t="shared" si="169"/>
        <v>2</v>
      </c>
    </row>
    <row r="117" spans="2:311" outlineLevel="1">
      <c r="C117" s="2602"/>
      <c r="D117" s="2348" t="s">
        <v>3961</v>
      </c>
      <c r="E117" s="2600"/>
      <c r="F117" s="2603"/>
      <c r="G117" s="2604"/>
      <c r="H117" s="2605">
        <v>0.6</v>
      </c>
      <c r="J117" s="5304"/>
      <c r="K117" s="5304"/>
      <c r="L117" s="5304"/>
      <c r="M117" s="5304"/>
      <c r="N117" s="5304"/>
      <c r="O117" s="5304"/>
      <c r="P117" s="5305"/>
      <c r="Q117" s="5295"/>
      <c r="R117" s="5295"/>
      <c r="S117" s="5295"/>
      <c r="T117" s="2609"/>
      <c r="U117" s="2609"/>
      <c r="V117" s="2609"/>
      <c r="W117" s="2609"/>
      <c r="X117" s="2609"/>
      <c r="Y117" s="2609"/>
      <c r="Z117" s="2609"/>
      <c r="AA117" s="5295"/>
      <c r="AB117" s="5295"/>
      <c r="AC117" s="5295"/>
      <c r="AD117" s="5295"/>
      <c r="AE117" s="5295"/>
      <c r="AF117" s="5295"/>
      <c r="AG117" s="5295"/>
      <c r="AH117" s="5295"/>
      <c r="AI117" s="5295"/>
      <c r="AJ117" s="5295"/>
      <c r="AK117" s="5295"/>
      <c r="AL117" s="5295"/>
      <c r="AM117" s="5295"/>
      <c r="AN117" s="5295"/>
      <c r="AO117" s="5295"/>
      <c r="AP117" s="5295"/>
      <c r="AQ117" s="5295"/>
      <c r="AR117" s="5295"/>
      <c r="AS117" s="5295"/>
      <c r="AT117" s="5295"/>
      <c r="AU117" s="5295"/>
      <c r="AV117" s="5295"/>
      <c r="AW117" s="5295"/>
      <c r="AX117" s="5295">
        <f t="shared" ref="AX117:BY117" si="170">$H$117</f>
        <v>0.6</v>
      </c>
      <c r="AY117" s="5295">
        <f t="shared" si="170"/>
        <v>0.6</v>
      </c>
      <c r="AZ117" s="5295">
        <f t="shared" si="170"/>
        <v>0.6</v>
      </c>
      <c r="BA117" s="5295">
        <f t="shared" si="170"/>
        <v>0.6</v>
      </c>
      <c r="BB117" s="5295">
        <f t="shared" si="170"/>
        <v>0.6</v>
      </c>
      <c r="BC117" s="5295">
        <f t="shared" si="170"/>
        <v>0.6</v>
      </c>
      <c r="BD117" s="5295">
        <f t="shared" si="170"/>
        <v>0.6</v>
      </c>
      <c r="BE117" s="5295">
        <f t="shared" si="170"/>
        <v>0.6</v>
      </c>
      <c r="BF117" s="5295">
        <f t="shared" si="170"/>
        <v>0.6</v>
      </c>
      <c r="BG117" s="5295">
        <f t="shared" si="170"/>
        <v>0.6</v>
      </c>
      <c r="BH117" s="5295">
        <f t="shared" si="170"/>
        <v>0.6</v>
      </c>
      <c r="BI117" s="5295">
        <f t="shared" si="170"/>
        <v>0.6</v>
      </c>
      <c r="BJ117" s="5295">
        <f t="shared" si="170"/>
        <v>0.6</v>
      </c>
      <c r="BK117" s="5295">
        <f t="shared" si="170"/>
        <v>0.6</v>
      </c>
      <c r="BL117" s="5295">
        <f t="shared" si="170"/>
        <v>0.6</v>
      </c>
      <c r="BM117" s="5295">
        <f t="shared" si="170"/>
        <v>0.6</v>
      </c>
      <c r="BN117" s="5295">
        <f t="shared" si="170"/>
        <v>0.6</v>
      </c>
      <c r="BO117" s="5295">
        <f t="shared" si="170"/>
        <v>0.6</v>
      </c>
      <c r="BP117" s="5295">
        <f t="shared" si="170"/>
        <v>0.6</v>
      </c>
      <c r="BQ117" s="5295">
        <f t="shared" si="170"/>
        <v>0.6</v>
      </c>
      <c r="BR117" s="5295">
        <f t="shared" si="170"/>
        <v>0.6</v>
      </c>
      <c r="BS117" s="5295">
        <f t="shared" si="170"/>
        <v>0.6</v>
      </c>
      <c r="BT117" s="5295">
        <f t="shared" si="170"/>
        <v>0.6</v>
      </c>
      <c r="BU117" s="5295">
        <f t="shared" si="170"/>
        <v>0.6</v>
      </c>
      <c r="BV117" s="5295">
        <f t="shared" si="170"/>
        <v>0.6</v>
      </c>
      <c r="BW117" s="5295">
        <f t="shared" si="170"/>
        <v>0.6</v>
      </c>
      <c r="BX117" s="5295">
        <f t="shared" si="170"/>
        <v>0.6</v>
      </c>
      <c r="BY117" s="5295">
        <f t="shared" si="170"/>
        <v>0.6</v>
      </c>
      <c r="BZ117" s="2608">
        <f>SUMIFS(TP!$112:$112,TP!$111:$111,BZ115)</f>
        <v>0.64463211449801228</v>
      </c>
      <c r="CA117" s="2608">
        <f>SUMIFS(TP!$112:$112,TP!$111:$111,CA115)</f>
        <v>0.64463211449801228</v>
      </c>
      <c r="CB117" s="2608">
        <f>SUMIFS(TP!$112:$112,TP!$111:$111,CB115)</f>
        <v>0.64463211449801228</v>
      </c>
      <c r="CC117" s="2608">
        <f>SUMIFS(TP!$112:$112,TP!$111:$111,CC115)</f>
        <v>0.64463211449801228</v>
      </c>
      <c r="CD117" s="2608">
        <f>SUMIFS(TP!$112:$112,TP!$111:$111,CD115)</f>
        <v>0.6320115668787869</v>
      </c>
      <c r="CE117" s="2608">
        <f>SUMIFS(TP!$112:$112,TP!$111:$111,CE115)</f>
        <v>0.6320115668787869</v>
      </c>
      <c r="CF117" s="2608">
        <f>SUMIFS(TP!$112:$112,TP!$111:$111,CF115)</f>
        <v>0.6320115668787869</v>
      </c>
      <c r="CG117" s="2608">
        <f>SUMIFS(TP!$112:$112,TP!$111:$111,CG115)</f>
        <v>0.6320115668787869</v>
      </c>
      <c r="CH117" s="2608">
        <f>SUMIFS(TP!$112:$112,TP!$111:$111,CH115)</f>
        <v>0.58811830988316827</v>
      </c>
      <c r="CI117" s="2608">
        <f>SUMIFS(TP!$112:$112,TP!$111:$111,CI115)</f>
        <v>0.58811830988316827</v>
      </c>
      <c r="CJ117" s="2608">
        <f>SUMIFS(TP!$112:$112,TP!$111:$111,CJ115)</f>
        <v>0.58811830988316827</v>
      </c>
      <c r="CK117" s="2608">
        <f>SUMIFS(TP!$112:$112,TP!$111:$111,CK115)</f>
        <v>0.58811830988316827</v>
      </c>
      <c r="CL117" s="2608">
        <f ca="1">SUMIFS(TP!$112:$112,TP!$111:$111,CL115)</f>
        <v>0.58171467373304608</v>
      </c>
      <c r="CM117" s="2608">
        <f ca="1">SUMIFS(TP!$112:$112,TP!$111:$111,CM115)</f>
        <v>0.58171467373304608</v>
      </c>
      <c r="CN117" s="2608">
        <f ca="1">SUMIFS(TP!$112:$112,TP!$111:$111,CN115)</f>
        <v>0.58171467373304608</v>
      </c>
      <c r="CO117" s="2608">
        <f ca="1">SUMIFS(TP!$112:$112,TP!$111:$111,CO115)</f>
        <v>0.58171467373304608</v>
      </c>
      <c r="CP117" s="2608">
        <f ca="1">SUMIFS(TP!$112:$112,TP!$111:$111,CP115)</f>
        <v>0.58976912828673189</v>
      </c>
      <c r="CQ117" s="2608">
        <f ca="1">SUMIFS(TP!$112:$112,TP!$111:$111,CQ115)</f>
        <v>0.58976912828673189</v>
      </c>
      <c r="CR117" s="2608">
        <f ca="1">SUMIFS(TP!$112:$112,TP!$111:$111,CR115)</f>
        <v>0.58976912828673189</v>
      </c>
      <c r="CS117" s="2608">
        <f ca="1">SUMIFS(TP!$112:$112,TP!$111:$111,CS115)</f>
        <v>0.58976912828673189</v>
      </c>
      <c r="CT117" s="2608">
        <f ca="1">SUMIFS(TP!$112:$112,TP!$111:$111,CT115)</f>
        <v>0.60374735825200154</v>
      </c>
      <c r="CU117" s="2608">
        <f ca="1">SUMIFS(TP!$112:$112,TP!$111:$111,CU115)</f>
        <v>0.60374735825200154</v>
      </c>
      <c r="CV117" s="2608">
        <f ca="1">SUMIFS(TP!$112:$112,TP!$111:$111,CV115)</f>
        <v>0.60374735825200154</v>
      </c>
      <c r="CW117" s="2608">
        <f ca="1">SUMIFS(TP!$112:$112,TP!$111:$111,CW115)</f>
        <v>0.60374735825200154</v>
      </c>
      <c r="CX117" s="2608">
        <f ca="1">SUMIFS(TP!$112:$112,TP!$111:$111,CX115)</f>
        <v>0.55268616154494965</v>
      </c>
      <c r="CY117" s="2608">
        <f ca="1">SUMIFS(TP!$112:$112,TP!$111:$111,CY115)</f>
        <v>0.55268616154494965</v>
      </c>
      <c r="CZ117" s="2608">
        <f ca="1">SUMIFS(TP!$112:$112,TP!$111:$111,CZ115)</f>
        <v>0.55268616154494965</v>
      </c>
      <c r="DA117" s="2608">
        <f ca="1">SUMIFS(TP!$112:$112,TP!$111:$111,DA115)</f>
        <v>0.55268616154494965</v>
      </c>
      <c r="DB117" s="2608">
        <f ca="1">SUMIFS(TP!$112:$112,TP!$111:$111,DB115)</f>
        <v>0.47497890024100886</v>
      </c>
      <c r="DC117" s="2608">
        <f ca="1">SUMIFS(TP!$112:$112,TP!$111:$111,DC115)</f>
        <v>0.47497890024100886</v>
      </c>
      <c r="DD117" s="2608">
        <f ca="1">SUMIFS(TP!$112:$112,TP!$111:$111,DD115)</f>
        <v>0.47497890024100886</v>
      </c>
      <c r="DE117" s="2608">
        <f ca="1">SUMIFS(TP!$112:$112,TP!$111:$111,DE115)</f>
        <v>0.47497890024100886</v>
      </c>
      <c r="DF117" s="2608">
        <f ca="1">SUMIFS(TP!$112:$112,TP!$111:$111,DF115)</f>
        <v>0.43757017314548757</v>
      </c>
      <c r="DG117" s="2608">
        <f ca="1">SUMIFS(TP!$112:$112,TP!$111:$111,DG115)</f>
        <v>0.43757017314548757</v>
      </c>
      <c r="DH117" s="2608">
        <f ca="1">SUMIFS(TP!$112:$112,TP!$111:$111,DH115)</f>
        <v>0.43757017314548757</v>
      </c>
      <c r="DI117" s="2608">
        <f ca="1">SUMIFS(TP!$112:$112,TP!$111:$111,DI115)</f>
        <v>0.43757017314548757</v>
      </c>
      <c r="DJ117" s="2608">
        <f ca="1">SUMIFS(TP!$112:$112,TP!$111:$111,DJ115)</f>
        <v>0.43175474360707666</v>
      </c>
      <c r="DK117" s="2608">
        <f ca="1">SUMIFS(TP!$112:$112,TP!$111:$111,DK115)</f>
        <v>0.43175474360707666</v>
      </c>
      <c r="DL117" s="2608">
        <f ca="1">SUMIFS(TP!$112:$112,TP!$111:$111,DL115)</f>
        <v>0.43175474360707666</v>
      </c>
      <c r="DM117" s="2608">
        <f ca="1">SUMIFS(TP!$112:$112,TP!$111:$111,DM115)</f>
        <v>0.43175474360707666</v>
      </c>
      <c r="DN117" s="2608">
        <f ca="1">SUMIFS(TP!$112:$112,TP!$111:$111,DN115)</f>
        <v>0.43822977977783539</v>
      </c>
      <c r="DO117" s="2608">
        <f ca="1">SUMIFS(TP!$112:$112,TP!$111:$111,DO115)</f>
        <v>0.43822977977783539</v>
      </c>
      <c r="DP117" s="2608">
        <f ca="1">SUMIFS(TP!$112:$112,TP!$111:$111,DP115)</f>
        <v>0.43822977977783539</v>
      </c>
      <c r="DQ117" s="2608">
        <f ca="1">SUMIFS(TP!$112:$112,TP!$111:$111,DQ115)</f>
        <v>0.43822977977783539</v>
      </c>
      <c r="DR117" s="2608">
        <f ca="1">SUMIFS(TP!$112:$112,TP!$111:$111,DR115)</f>
        <v>0.44910550564517726</v>
      </c>
      <c r="DS117" s="2608">
        <f ca="1">SUMIFS(TP!$112:$112,TP!$111:$111,DS115)</f>
        <v>0.44910550564517726</v>
      </c>
      <c r="DT117" s="2608">
        <f ca="1">SUMIFS(TP!$112:$112,TP!$111:$111,DT115)</f>
        <v>0.44910550564517726</v>
      </c>
      <c r="DU117" s="2608">
        <f ca="1">SUMIFS(TP!$112:$112,TP!$111:$111,DU115)</f>
        <v>0.44910550564517726</v>
      </c>
      <c r="DV117" s="2608">
        <f ca="1">SUMIFS(TP!$112:$112,TP!$111:$111,DV115)</f>
        <v>0.45437836135286158</v>
      </c>
      <c r="DW117" s="2608">
        <f ca="1">SUMIFS(TP!$112:$112,TP!$111:$111,DW115)</f>
        <v>0.45437836135286158</v>
      </c>
      <c r="DX117" s="2608">
        <f ca="1">SUMIFS(TP!$112:$112,TP!$111:$111,DX115)</f>
        <v>0.45437836135286158</v>
      </c>
      <c r="DY117" s="2608">
        <f ca="1">SUMIFS(TP!$112:$112,TP!$111:$111,DY115)</f>
        <v>0.45437836135286158</v>
      </c>
      <c r="DZ117" s="2608">
        <f ca="1">SUMIFS(TP!$112:$112,TP!$111:$111,DZ115)</f>
        <v>0.4551909975793022</v>
      </c>
      <c r="EA117" s="2608">
        <f ca="1">SUMIFS(TP!$112:$112,TP!$111:$111,EA115)</f>
        <v>0.4551909975793022</v>
      </c>
      <c r="EB117" s="2608">
        <f ca="1">SUMIFS(TP!$112:$112,TP!$111:$111,EB115)</f>
        <v>0.4551909975793022</v>
      </c>
      <c r="EC117" s="2608">
        <f ca="1">SUMIFS(TP!$112:$112,TP!$111:$111,EC115)</f>
        <v>0.4551909975793022</v>
      </c>
      <c r="ED117" s="2608">
        <f ca="1">SUMIFS(TP!$112:$112,TP!$111:$111,ED115)</f>
        <v>0.45946576392574739</v>
      </c>
      <c r="EE117" s="2608">
        <f ca="1">SUMIFS(TP!$112:$112,TP!$111:$111,EE115)</f>
        <v>0.45946576392574739</v>
      </c>
      <c r="EF117" s="2608">
        <f ca="1">SUMIFS(TP!$112:$112,TP!$111:$111,EF115)</f>
        <v>0.45946576392574739</v>
      </c>
      <c r="EG117" s="2608">
        <f ca="1">SUMIFS(TP!$112:$112,TP!$111:$111,EG115)</f>
        <v>0.45946576392574739</v>
      </c>
      <c r="EH117" s="2608">
        <f ca="1">SUMIFS(TP!$112:$112,TP!$111:$111,EH115)</f>
        <v>0.46141050992586496</v>
      </c>
      <c r="EI117" s="2608">
        <f ca="1">SUMIFS(TP!$112:$112,TP!$111:$111,EI115)</f>
        <v>0.46141050992586496</v>
      </c>
      <c r="EJ117" s="2608">
        <f ca="1">SUMIFS(TP!$112:$112,TP!$111:$111,EJ115)</f>
        <v>0.46141050992586496</v>
      </c>
      <c r="EK117" s="2608">
        <f ca="1">SUMIFS(TP!$112:$112,TP!$111:$111,EK115)</f>
        <v>0.46141050992586496</v>
      </c>
      <c r="EL117" s="2608">
        <f ca="1">SUMIFS(TP!$112:$112,TP!$111:$111,EL115)</f>
        <v>0.46103469141257242</v>
      </c>
      <c r="EM117" s="2608">
        <f ca="1">SUMIFS(TP!$112:$112,TP!$111:$111,EM115)</f>
        <v>0.46103469141257242</v>
      </c>
      <c r="EN117" s="2608">
        <f ca="1">SUMIFS(TP!$112:$112,TP!$111:$111,EN115)</f>
        <v>0.46103469141257242</v>
      </c>
      <c r="EO117" s="2608">
        <f ca="1">SUMIFS(TP!$112:$112,TP!$111:$111,EO115)</f>
        <v>0.46103469141257242</v>
      </c>
      <c r="EP117" s="2608">
        <f ca="1">SUMIFS(TP!$112:$112,TP!$111:$111,EP115)</f>
        <v>0.46525268845001183</v>
      </c>
      <c r="EQ117" s="2608">
        <f ca="1">SUMIFS(TP!$112:$112,TP!$111:$111,EQ115)</f>
        <v>0.46525268845001183</v>
      </c>
      <c r="ER117" s="2608">
        <f ca="1">SUMIFS(TP!$112:$112,TP!$111:$111,ER115)</f>
        <v>0.46525268845001183</v>
      </c>
      <c r="ES117" s="2608">
        <f ca="1">SUMIFS(TP!$112:$112,TP!$111:$111,ES115)</f>
        <v>0.46525268845001183</v>
      </c>
      <c r="ET117" s="2608">
        <f ca="1">SUMIFS(TP!$112:$112,TP!$111:$111,ET115)</f>
        <v>0.46711071645026075</v>
      </c>
      <c r="EU117" s="2608">
        <f ca="1">SUMIFS(TP!$112:$112,TP!$111:$111,EU115)</f>
        <v>0.46711071645026075</v>
      </c>
      <c r="EV117" s="2608">
        <f ca="1">SUMIFS(TP!$112:$112,TP!$111:$111,EV115)</f>
        <v>0.46711071645026075</v>
      </c>
      <c r="EW117" s="2608">
        <f ca="1">SUMIFS(TP!$112:$112,TP!$111:$111,EW115)</f>
        <v>0.46711071645026075</v>
      </c>
      <c r="EX117" s="2608">
        <f ca="1">SUMIFS(TP!$112:$112,TP!$111:$111,EX115)</f>
        <v>0.46661896143715015</v>
      </c>
      <c r="EY117" s="2608">
        <f ca="1">SUMIFS(TP!$112:$112,TP!$111:$111,EY115)</f>
        <v>0.46661896143715015</v>
      </c>
      <c r="EZ117" s="2608">
        <f ca="1">SUMIFS(TP!$112:$112,TP!$111:$111,EZ115)</f>
        <v>0.46661896143715015</v>
      </c>
      <c r="FA117" s="2608">
        <f ca="1">SUMIFS(TP!$112:$112,TP!$111:$111,FA115)</f>
        <v>0.46661896143715015</v>
      </c>
      <c r="FB117" s="2608">
        <f ca="1">SUMIFS(TP!$112:$112,TP!$111:$111,FB115)</f>
        <v>0.47078086510873629</v>
      </c>
      <c r="FC117" s="2608">
        <f ca="1">SUMIFS(TP!$112:$112,TP!$111:$111,FC115)</f>
        <v>0.47078086510873629</v>
      </c>
      <c r="FD117" s="2608">
        <f ca="1">SUMIFS(TP!$112:$112,TP!$111:$111,FD115)</f>
        <v>0.47078086510873629</v>
      </c>
      <c r="FE117" s="2608">
        <f ca="1">SUMIFS(TP!$112:$112,TP!$111:$111,FE115)</f>
        <v>0.47078086510873629</v>
      </c>
      <c r="FF117" s="2608">
        <f ca="1">SUMIFS(TP!$112:$112,TP!$111:$111,FF115)</f>
        <v>0.47255420772415807</v>
      </c>
      <c r="FG117" s="2608">
        <f ca="1">SUMIFS(TP!$112:$112,TP!$111:$111,FG115)</f>
        <v>0.47255420772415807</v>
      </c>
      <c r="FH117" s="2608">
        <f ca="1">SUMIFS(TP!$112:$112,TP!$111:$111,FH115)</f>
        <v>0.47255420772415807</v>
      </c>
      <c r="FI117" s="2608">
        <f ca="1">SUMIFS(TP!$112:$112,TP!$111:$111,FI115)</f>
        <v>0.47255420772415807</v>
      </c>
      <c r="FJ117" s="2608">
        <f ca="1">SUMIFS(TP!$112:$112,TP!$111:$111,FJ115)</f>
        <v>0.4719498807775252</v>
      </c>
      <c r="FK117" s="2608">
        <f ca="1">SUMIFS(TP!$112:$112,TP!$111:$111,FK115)</f>
        <v>0.4719498807775252</v>
      </c>
      <c r="FL117" s="2608">
        <f ca="1">SUMIFS(TP!$112:$112,TP!$111:$111,FL115)</f>
        <v>0.4719498807775252</v>
      </c>
      <c r="FM117" s="2608">
        <f ca="1">SUMIFS(TP!$112:$112,TP!$111:$111,FM115)</f>
        <v>0.4719498807775252</v>
      </c>
      <c r="FN117" s="2608">
        <f ca="1">SUMIFS(TP!$112:$112,TP!$111:$111,FN115)</f>
        <v>0.47605636615739244</v>
      </c>
      <c r="FO117" s="2608">
        <f ca="1">SUMIFS(TP!$112:$112,TP!$111:$111,FO115)</f>
        <v>0.47605636615739244</v>
      </c>
      <c r="FP117" s="2608">
        <f ca="1">SUMIFS(TP!$112:$112,TP!$111:$111,FP115)</f>
        <v>0.47605636615739244</v>
      </c>
      <c r="FQ117" s="2608">
        <f ca="1">SUMIFS(TP!$112:$112,TP!$111:$111,FQ115)</f>
        <v>0.47605636615739244</v>
      </c>
      <c r="FR117" s="2608">
        <f ca="1">SUMIFS(TP!$112:$112,TP!$111:$111,FR115)</f>
        <v>0.47774702081255427</v>
      </c>
      <c r="FS117" s="2608">
        <f ca="1">SUMIFS(TP!$112:$112,TP!$111:$111,FS115)</f>
        <v>0.47774702081255427</v>
      </c>
      <c r="FT117" s="2608">
        <f ca="1">SUMIFS(TP!$112:$112,TP!$111:$111,FT115)</f>
        <v>0.47774702081255427</v>
      </c>
      <c r="FU117" s="2608">
        <f ca="1">SUMIFS(TP!$112:$112,TP!$111:$111,FU115)</f>
        <v>0.47774702081255427</v>
      </c>
      <c r="FV117" s="2608">
        <f ca="1">SUMIFS(TP!$112:$112,TP!$111:$111,FV115)</f>
        <v>0.47703341756253292</v>
      </c>
      <c r="FW117" s="2608">
        <f ca="1">SUMIFS(TP!$112:$112,TP!$111:$111,FW115)</f>
        <v>0.47703341756253292</v>
      </c>
      <c r="FX117" s="2608">
        <f ca="1">SUMIFS(TP!$112:$112,TP!$111:$111,FX115)</f>
        <v>0.47703341756253292</v>
      </c>
      <c r="FY117" s="2608">
        <f ca="1">SUMIFS(TP!$112:$112,TP!$111:$111,FY115)</f>
        <v>0.47703341756253292</v>
      </c>
      <c r="FZ117" s="2608">
        <f ca="1">SUMIFS(TP!$112:$112,TP!$111:$111,FZ115)</f>
        <v>0.48108515845554012</v>
      </c>
      <c r="GA117" s="2608">
        <f ca="1">SUMIFS(TP!$112:$112,TP!$111:$111,GA115)</f>
        <v>0.48108515845554012</v>
      </c>
      <c r="GB117" s="2608">
        <f ca="1">SUMIFS(TP!$112:$112,TP!$111:$111,GB115)</f>
        <v>0.48108515845554012</v>
      </c>
      <c r="GC117" s="2608">
        <f ca="1">SUMIFS(TP!$112:$112,TP!$111:$111,GC115)</f>
        <v>0.48108515845554012</v>
      </c>
      <c r="GD117" s="2608">
        <f ca="1">SUMIFS(TP!$112:$112,TP!$111:$111,GD115)</f>
        <v>0.48269508771141323</v>
      </c>
      <c r="GE117" s="2608">
        <f ca="1">SUMIFS(TP!$112:$112,TP!$111:$111,GE115)</f>
        <v>0.48269508771141323</v>
      </c>
      <c r="GF117" s="2608">
        <f ca="1">SUMIFS(TP!$112:$112,TP!$111:$111,GF115)</f>
        <v>0.48269508771141323</v>
      </c>
      <c r="GG117" s="2608">
        <f ca="1">SUMIFS(TP!$112:$112,TP!$111:$111,GG115)</f>
        <v>0.48269508771141323</v>
      </c>
      <c r="GH117" s="2608">
        <f ca="1">SUMIFS(TP!$112:$112,TP!$111:$111,GH115)</f>
        <v>0.48187543589420867</v>
      </c>
      <c r="GI117" s="2608">
        <f ca="1">SUMIFS(TP!$112:$112,TP!$111:$111,GI115)</f>
        <v>0.48187543589420867</v>
      </c>
      <c r="GJ117" s="2608">
        <f ca="1">SUMIFS(TP!$112:$112,TP!$111:$111,GJ115)</f>
        <v>0.48187543589420867</v>
      </c>
      <c r="GK117" s="2608">
        <f ca="1">SUMIFS(TP!$112:$112,TP!$111:$111,GK115)</f>
        <v>0.48187543589420867</v>
      </c>
      <c r="GL117" s="2608">
        <f ca="1">SUMIFS(TP!$112:$112,TP!$111:$111,GL115)</f>
        <v>0.48587310445992959</v>
      </c>
      <c r="GM117" s="2608">
        <f ca="1">SUMIFS(TP!$112:$112,TP!$111:$111,GM115)</f>
        <v>0.48587310445992959</v>
      </c>
      <c r="GN117" s="2608">
        <f ca="1">SUMIFS(TP!$112:$112,TP!$111:$111,GN115)</f>
        <v>0.48587310445992959</v>
      </c>
      <c r="GO117" s="2608">
        <f ca="1">SUMIFS(TP!$112:$112,TP!$111:$111,GO115)</f>
        <v>0.48587310445992959</v>
      </c>
      <c r="GP117" s="2608">
        <f ca="1">SUMIFS(TP!$112:$112,TP!$111:$111,GP115)</f>
        <v>0.48740423635074276</v>
      </c>
      <c r="GQ117" s="2608">
        <f ca="1">SUMIFS(TP!$112:$112,TP!$111:$111,GQ115)</f>
        <v>0.48740423635074276</v>
      </c>
      <c r="GR117" s="2608">
        <f ca="1">SUMIFS(TP!$112:$112,TP!$111:$111,GR115)</f>
        <v>0.48740423635074276</v>
      </c>
      <c r="GS117" s="2608">
        <f ca="1">SUMIFS(TP!$112:$112,TP!$111:$111,GS115)</f>
        <v>0.48740423635074276</v>
      </c>
      <c r="GT117" s="2608">
        <f ca="1">SUMIFS(TP!$112:$112,TP!$111:$111,GT115)</f>
        <v>0.48648169684679593</v>
      </c>
      <c r="GU117" s="2608">
        <f ca="1">SUMIFS(TP!$112:$112,TP!$111:$111,GU115)</f>
        <v>0.48648169684679593</v>
      </c>
      <c r="GV117" s="2608">
        <f ca="1">SUMIFS(TP!$112:$112,TP!$111:$111,GV115)</f>
        <v>0.48648169684679593</v>
      </c>
      <c r="GW117" s="2608">
        <f ca="1">SUMIFS(TP!$112:$112,TP!$111:$111,GW115)</f>
        <v>0.48648169684679593</v>
      </c>
      <c r="GX117" s="2608">
        <f ca="1">SUMIFS(TP!$112:$112,TP!$111:$111,GX115)</f>
        <v>0.49042596324659371</v>
      </c>
      <c r="GY117" s="2608">
        <f ca="1">SUMIFS(TP!$112:$112,TP!$111:$111,GY115)</f>
        <v>0.49042596324659371</v>
      </c>
      <c r="GZ117" s="2608">
        <f ca="1">SUMIFS(TP!$112:$112,TP!$111:$111,GZ115)</f>
        <v>0.49042596324659371</v>
      </c>
      <c r="HA117" s="2608">
        <f ca="1">SUMIFS(TP!$112:$112,TP!$111:$111,HA115)</f>
        <v>0.49042596324659371</v>
      </c>
      <c r="HB117" s="2608">
        <f ca="1">SUMIFS(TP!$112:$112,TP!$111:$111,HB115)</f>
        <v>0.4918801916257719</v>
      </c>
      <c r="HC117" s="2608">
        <f ca="1">SUMIFS(TP!$112:$112,TP!$111:$111,HC115)</f>
        <v>0.4918801916257719</v>
      </c>
      <c r="HD117" s="2608">
        <f ca="1">SUMIFS(TP!$112:$112,TP!$111:$111,HD115)</f>
        <v>0.4918801916257719</v>
      </c>
      <c r="HE117" s="2608">
        <f ca="1">SUMIFS(TP!$112:$112,TP!$111:$111,HE115)</f>
        <v>0.4918801916257719</v>
      </c>
      <c r="HF117" s="2608">
        <f ca="1">SUMIFS(TP!$112:$112,TP!$111:$111,HF115)</f>
        <v>0.49085785949323019</v>
      </c>
      <c r="HG117" s="2608">
        <f ca="1">SUMIFS(TP!$112:$112,TP!$111:$111,HG115)</f>
        <v>0.49085785949323019</v>
      </c>
      <c r="HH117" s="2608">
        <f ca="1">SUMIFS(TP!$112:$112,TP!$111:$111,HH115)</f>
        <v>0.49085785949323019</v>
      </c>
      <c r="HI117" s="2608">
        <f ca="1">SUMIFS(TP!$112:$112,TP!$111:$111,HI115)</f>
        <v>0.49085785949323019</v>
      </c>
      <c r="HJ117" s="2608">
        <f ca="1">SUMIFS(TP!$112:$112,TP!$111:$111,HJ115)</f>
        <v>0.49474939155930492</v>
      </c>
      <c r="HK117" s="2608">
        <f ca="1">SUMIFS(TP!$112:$112,TP!$111:$111,HK115)</f>
        <v>0.49474939155930492</v>
      </c>
      <c r="HL117" s="2608">
        <f ca="1">SUMIFS(TP!$112:$112,TP!$111:$111,HL115)</f>
        <v>0.49474939155930492</v>
      </c>
      <c r="HM117" s="2608">
        <f ca="1">SUMIFS(TP!$112:$112,TP!$111:$111,HM115)</f>
        <v>0.49474939155930492</v>
      </c>
      <c r="HN117" s="2608">
        <f ca="1">SUMIFS(TP!$112:$112,TP!$111:$111,HN115)</f>
        <v>0.49612857645364844</v>
      </c>
      <c r="HO117" s="2608">
        <f ca="1">SUMIFS(TP!$112:$112,TP!$111:$111,HO115)</f>
        <v>0.49612857645364844</v>
      </c>
      <c r="HP117" s="2608">
        <f ca="1">SUMIFS(TP!$112:$112,TP!$111:$111,HP115)</f>
        <v>0.49612857645364844</v>
      </c>
      <c r="HQ117" s="2608">
        <f ca="1">SUMIFS(TP!$112:$112,TP!$111:$111,HQ115)</f>
        <v>0.49612857645364844</v>
      </c>
      <c r="HR117" s="2608">
        <f ca="1">SUMIFS(TP!$112:$112,TP!$111:$111,HR115)</f>
        <v>0.4950094819565633</v>
      </c>
      <c r="HS117" s="2608">
        <f ca="1">SUMIFS(TP!$112:$112,TP!$111:$111,HS115)</f>
        <v>0.4950094819565633</v>
      </c>
      <c r="HT117" s="2608">
        <f ca="1">SUMIFS(TP!$112:$112,TP!$111:$111,HT115)</f>
        <v>0.4950094819565633</v>
      </c>
      <c r="HU117" s="2608">
        <f ca="1">SUMIFS(TP!$112:$112,TP!$111:$111,HU115)</f>
        <v>0.4950094819565633</v>
      </c>
      <c r="HV117" s="2608">
        <f ca="1">SUMIFS(TP!$112:$112,TP!$111:$111,HV115)</f>
        <v>0.49884894488191295</v>
      </c>
      <c r="HW117" s="2608">
        <f ca="1">SUMIFS(TP!$112:$112,TP!$111:$111,HW115)</f>
        <v>0.49884894488191295</v>
      </c>
      <c r="HX117" s="2608">
        <f ca="1">SUMIFS(TP!$112:$112,TP!$111:$111,HX115)</f>
        <v>0.49884894488191295</v>
      </c>
      <c r="HY117" s="2608">
        <f ca="1">SUMIFS(TP!$112:$112,TP!$111:$111,HY115)</f>
        <v>0.49884894488191295</v>
      </c>
      <c r="HZ117" s="2608">
        <f ca="1">SUMIFS(TP!$112:$112,TP!$111:$111,HZ115)</f>
        <v>0.500154912853219</v>
      </c>
      <c r="IA117" s="2608">
        <f ca="1">SUMIFS(TP!$112:$112,TP!$111:$111,IA115)</f>
        <v>0.500154912853219</v>
      </c>
    </row>
    <row r="118" spans="2:311" outlineLevel="1">
      <c r="C118" s="2602"/>
      <c r="D118" s="2348" t="s">
        <v>3962</v>
      </c>
      <c r="E118" s="2600"/>
      <c r="F118" s="2603"/>
      <c r="G118" s="2604"/>
      <c r="H118" s="2610">
        <f>SUM(J118:BN118)</f>
        <v>98154.640433852881</v>
      </c>
      <c r="J118" s="5304"/>
      <c r="K118" s="5304"/>
      <c r="L118" s="5304"/>
      <c r="M118" s="5304"/>
      <c r="N118" s="5304"/>
      <c r="O118" s="5304"/>
      <c r="P118" s="5304"/>
      <c r="Q118" s="5306"/>
      <c r="R118" s="5306"/>
      <c r="S118" s="5306"/>
      <c r="T118" s="2612"/>
      <c r="U118" s="2612"/>
      <c r="V118" s="2612"/>
      <c r="W118" s="2612"/>
      <c r="X118" s="2612"/>
      <c r="Y118" s="2612"/>
      <c r="Z118" s="2612"/>
      <c r="AA118" s="5296"/>
      <c r="AB118" s="5296"/>
      <c r="AC118" s="5296"/>
      <c r="AD118" s="5296"/>
      <c r="AE118" s="5296"/>
      <c r="AF118" s="5296"/>
      <c r="AG118" s="5296"/>
      <c r="AH118" s="5296"/>
      <c r="AI118" s="5296"/>
      <c r="AJ118" s="5296"/>
      <c r="AK118" s="5296"/>
      <c r="AL118" s="5296"/>
      <c r="AM118" s="5296"/>
      <c r="AN118" s="5296"/>
      <c r="AO118" s="5296"/>
      <c r="AP118" s="5296"/>
      <c r="AQ118" s="5296"/>
      <c r="AR118" s="5296"/>
      <c r="AS118" s="5296"/>
      <c r="AT118" s="5296"/>
      <c r="AU118" s="5296"/>
      <c r="AV118" s="5296"/>
      <c r="AW118" s="5296"/>
      <c r="AX118" s="5296">
        <f t="shared" ref="AX118:BO118" si="171">IF(AX116&gt;=3,SUMIFS($124:$124,$123:$123,AX115)/4,SUMIFS($124:$124,$123:$123,AX115-1)/4)</f>
        <v>2095.4523377032774</v>
      </c>
      <c r="AY118" s="5296">
        <f t="shared" si="171"/>
        <v>2095.4523377032774</v>
      </c>
      <c r="AZ118" s="5296">
        <f t="shared" si="171"/>
        <v>4612.2596660002346</v>
      </c>
      <c r="BA118" s="5296">
        <f t="shared" si="171"/>
        <v>4612.2596660002346</v>
      </c>
      <c r="BB118" s="5296">
        <f t="shared" si="171"/>
        <v>4612.2596660002346</v>
      </c>
      <c r="BC118" s="5296">
        <f t="shared" si="171"/>
        <v>4612.2596660002346</v>
      </c>
      <c r="BD118" s="5296">
        <f t="shared" si="171"/>
        <v>6534.2337847769795</v>
      </c>
      <c r="BE118" s="5296">
        <f t="shared" si="171"/>
        <v>6534.2337847769795</v>
      </c>
      <c r="BF118" s="5296">
        <f t="shared" si="171"/>
        <v>6534.2337847769795</v>
      </c>
      <c r="BG118" s="5296">
        <f t="shared" si="171"/>
        <v>6534.2337847769795</v>
      </c>
      <c r="BH118" s="5296">
        <f t="shared" si="171"/>
        <v>7410.0225276991214</v>
      </c>
      <c r="BI118" s="5296">
        <f t="shared" si="171"/>
        <v>7410.0225276991214</v>
      </c>
      <c r="BJ118" s="5296">
        <f t="shared" si="171"/>
        <v>7410.0225276991214</v>
      </c>
      <c r="BK118" s="5296">
        <f t="shared" si="171"/>
        <v>7410.0225276991214</v>
      </c>
      <c r="BL118" s="5296">
        <f t="shared" si="171"/>
        <v>6579.2239481803281</v>
      </c>
      <c r="BM118" s="5296">
        <f t="shared" si="171"/>
        <v>6579.2239481803281</v>
      </c>
      <c r="BN118" s="5296">
        <f t="shared" si="171"/>
        <v>6579.2239481803281</v>
      </c>
      <c r="BO118" s="5296">
        <f t="shared" si="171"/>
        <v>6579.2239481803281</v>
      </c>
      <c r="BP118" s="5296">
        <f t="shared" ref="BP118:CU118" si="172">IF(BP116&gt;=3,SUMIFS($124:$124,$123:$123,BP115)/4,SUMIFS($124:$124,$123:$123,BP115-1)/4)</f>
        <v>5911.6104771156351</v>
      </c>
      <c r="BQ118" s="5296">
        <f t="shared" si="172"/>
        <v>5911.6104771156351</v>
      </c>
      <c r="BR118" s="5296">
        <f t="shared" si="172"/>
        <v>5911.6104771156351</v>
      </c>
      <c r="BS118" s="5296">
        <f t="shared" si="172"/>
        <v>5911.6104771156351</v>
      </c>
      <c r="BT118" s="5296">
        <f t="shared" si="172"/>
        <v>5066.1183720143126</v>
      </c>
      <c r="BU118" s="5296">
        <f t="shared" si="172"/>
        <v>5066.1183720143126</v>
      </c>
      <c r="BV118" s="5296">
        <f t="shared" si="172"/>
        <v>5066.1183720143126</v>
      </c>
      <c r="BW118" s="5296">
        <f t="shared" si="172"/>
        <v>5066.1183720143126</v>
      </c>
      <c r="BX118" s="5296">
        <f t="shared" si="172"/>
        <v>5377.2029187112084</v>
      </c>
      <c r="BY118" s="5296">
        <f t="shared" si="172"/>
        <v>5377.2029187112084</v>
      </c>
      <c r="BZ118" s="2610">
        <f t="shared" si="172"/>
        <v>5377.2029187112084</v>
      </c>
      <c r="CA118" s="2610">
        <f t="shared" si="172"/>
        <v>5377.2029187112084</v>
      </c>
      <c r="CB118" s="2610">
        <f t="shared" si="172"/>
        <v>5217.2475265593976</v>
      </c>
      <c r="CC118" s="2610">
        <f t="shared" si="172"/>
        <v>5217.2475265593976</v>
      </c>
      <c r="CD118" s="2610">
        <f t="shared" si="172"/>
        <v>5217.2475265593976</v>
      </c>
      <c r="CE118" s="2610">
        <f t="shared" si="172"/>
        <v>5217.2475265593976</v>
      </c>
      <c r="CF118" s="2610">
        <f t="shared" si="172"/>
        <v>5226.240479352261</v>
      </c>
      <c r="CG118" s="2610">
        <f t="shared" si="172"/>
        <v>5226.240479352261</v>
      </c>
      <c r="CH118" s="2610">
        <f t="shared" si="172"/>
        <v>5226.240479352261</v>
      </c>
      <c r="CI118" s="2610">
        <f t="shared" si="172"/>
        <v>5226.240479352261</v>
      </c>
      <c r="CJ118" s="2610">
        <f t="shared" si="172"/>
        <v>5210.1503759619354</v>
      </c>
      <c r="CK118" s="2610">
        <f t="shared" si="172"/>
        <v>5210.1503759619354</v>
      </c>
      <c r="CL118" s="2610">
        <f t="shared" si="172"/>
        <v>5210.1503759619354</v>
      </c>
      <c r="CM118" s="2610">
        <f t="shared" si="172"/>
        <v>5210.1503759619354</v>
      </c>
      <c r="CN118" s="2610">
        <f t="shared" si="172"/>
        <v>5124.0132874858682</v>
      </c>
      <c r="CO118" s="2610">
        <f t="shared" si="172"/>
        <v>5124.0132874858682</v>
      </c>
      <c r="CP118" s="2610">
        <f t="shared" si="172"/>
        <v>5124.0132874858682</v>
      </c>
      <c r="CQ118" s="2610">
        <f t="shared" si="172"/>
        <v>5124.0132874858682</v>
      </c>
      <c r="CR118" s="2610">
        <f t="shared" si="172"/>
        <v>4873.6547103822104</v>
      </c>
      <c r="CS118" s="2610">
        <f t="shared" si="172"/>
        <v>4873.6547103822104</v>
      </c>
      <c r="CT118" s="2610">
        <f t="shared" si="172"/>
        <v>4873.6547103822104</v>
      </c>
      <c r="CU118" s="2610">
        <f t="shared" si="172"/>
        <v>4873.6547103822104</v>
      </c>
      <c r="CV118" s="2610">
        <f t="shared" ref="CV118:EA118" si="173">IF(CV116&gt;=3,SUMIFS($124:$124,$123:$123,CV115)/4,SUMIFS($124:$124,$123:$123,CV115-1)/4)</f>
        <v>5200.0024319751892</v>
      </c>
      <c r="CW118" s="2610">
        <f t="shared" si="173"/>
        <v>5200.0024319751892</v>
      </c>
      <c r="CX118" s="2610">
        <f t="shared" si="173"/>
        <v>5200.0024319751892</v>
      </c>
      <c r="CY118" s="2610">
        <f t="shared" si="173"/>
        <v>5200.0024319751892</v>
      </c>
      <c r="CZ118" s="2610">
        <f t="shared" si="173"/>
        <v>5109.1454634710544</v>
      </c>
      <c r="DA118" s="2610">
        <f t="shared" si="173"/>
        <v>5109.1454634710544</v>
      </c>
      <c r="DB118" s="2610">
        <f t="shared" si="173"/>
        <v>5109.1454634710544</v>
      </c>
      <c r="DC118" s="2610">
        <f t="shared" si="173"/>
        <v>5109.1454634710544</v>
      </c>
      <c r="DD118" s="2610">
        <f t="shared" si="173"/>
        <v>4767.9956501867346</v>
      </c>
      <c r="DE118" s="2610">
        <f t="shared" si="173"/>
        <v>4767.9956501867346</v>
      </c>
      <c r="DF118" s="2610">
        <f t="shared" si="173"/>
        <v>4767.9956501867346</v>
      </c>
      <c r="DG118" s="2610">
        <f t="shared" si="173"/>
        <v>4767.9956501867346</v>
      </c>
      <c r="DH118" s="2610">
        <f t="shared" si="173"/>
        <v>660.5664840890513</v>
      </c>
      <c r="DI118" s="2610">
        <f t="shared" si="173"/>
        <v>660.5664840890513</v>
      </c>
      <c r="DJ118" s="2610">
        <f t="shared" si="173"/>
        <v>660.5664840890513</v>
      </c>
      <c r="DK118" s="2610">
        <f t="shared" si="173"/>
        <v>660.5664840890513</v>
      </c>
      <c r="DL118" s="2610">
        <f t="shared" si="173"/>
        <v>3946.8521281429976</v>
      </c>
      <c r="DM118" s="2610">
        <f t="shared" si="173"/>
        <v>3946.8521281429976</v>
      </c>
      <c r="DN118" s="2610">
        <f t="shared" si="173"/>
        <v>3946.8521281429976</v>
      </c>
      <c r="DO118" s="2610">
        <f t="shared" si="173"/>
        <v>3946.8521281429976</v>
      </c>
      <c r="DP118" s="2610">
        <f t="shared" si="173"/>
        <v>4586.979608148702</v>
      </c>
      <c r="DQ118" s="2610">
        <f t="shared" si="173"/>
        <v>4586.979608148702</v>
      </c>
      <c r="DR118" s="2610">
        <f t="shared" si="173"/>
        <v>4586.979608148702</v>
      </c>
      <c r="DS118" s="2610">
        <f t="shared" si="173"/>
        <v>4586.979608148702</v>
      </c>
      <c r="DT118" s="2610">
        <f t="shared" si="173"/>
        <v>4840.9615460283403</v>
      </c>
      <c r="DU118" s="2610">
        <f t="shared" si="173"/>
        <v>4840.9615460283403</v>
      </c>
      <c r="DV118" s="2610">
        <f t="shared" si="173"/>
        <v>4840.9615460283403</v>
      </c>
      <c r="DW118" s="2610">
        <f t="shared" si="173"/>
        <v>4840.9615460283403</v>
      </c>
      <c r="DX118" s="2610">
        <f t="shared" si="173"/>
        <v>3522.1970474146201</v>
      </c>
      <c r="DY118" s="2610">
        <f t="shared" si="173"/>
        <v>3522.1970474146201</v>
      </c>
      <c r="DZ118" s="2610">
        <f t="shared" si="173"/>
        <v>3522.1970474146201</v>
      </c>
      <c r="EA118" s="2610">
        <f t="shared" si="173"/>
        <v>3522.1970474146201</v>
      </c>
      <c r="EB118" s="2610">
        <f t="shared" ref="EB118:FG118" si="174">IF(EB116&gt;=3,SUMIFS($124:$124,$123:$123,EB115)/4,SUMIFS($124:$124,$123:$123,EB115-1)/4)</f>
        <v>4895.6220906608996</v>
      </c>
      <c r="EC118" s="2610">
        <f t="shared" si="174"/>
        <v>4895.6220906608996</v>
      </c>
      <c r="ED118" s="2610">
        <f t="shared" si="174"/>
        <v>4895.6220906608996</v>
      </c>
      <c r="EE118" s="2610">
        <f t="shared" si="174"/>
        <v>4895.6220906608996</v>
      </c>
      <c r="EF118" s="2610">
        <f t="shared" si="174"/>
        <v>5263.2428342227104</v>
      </c>
      <c r="EG118" s="2610">
        <f t="shared" si="174"/>
        <v>5263.2428342227104</v>
      </c>
      <c r="EH118" s="2610">
        <f t="shared" si="174"/>
        <v>5263.2428342227104</v>
      </c>
      <c r="EI118" s="2610">
        <f t="shared" si="174"/>
        <v>5263.2428342227104</v>
      </c>
      <c r="EJ118" s="2610">
        <f t="shared" si="174"/>
        <v>5386.9620187852161</v>
      </c>
      <c r="EK118" s="2610">
        <f t="shared" si="174"/>
        <v>5386.9620187852161</v>
      </c>
      <c r="EL118" s="2610">
        <f t="shared" si="174"/>
        <v>5386.9620187852161</v>
      </c>
      <c r="EM118" s="2610">
        <f t="shared" si="174"/>
        <v>5386.9620187852161</v>
      </c>
      <c r="EN118" s="2610">
        <f t="shared" si="174"/>
        <v>5334.6592127482199</v>
      </c>
      <c r="EO118" s="2610">
        <f t="shared" si="174"/>
        <v>5334.6592127482199</v>
      </c>
      <c r="EP118" s="2610">
        <f t="shared" si="174"/>
        <v>5334.6592127482199</v>
      </c>
      <c r="EQ118" s="2610">
        <f t="shared" si="174"/>
        <v>5334.6592127482199</v>
      </c>
      <c r="ER118" s="2610">
        <f t="shared" si="174"/>
        <v>5274.2468485232621</v>
      </c>
      <c r="ES118" s="2610">
        <f t="shared" si="174"/>
        <v>5274.2468485232621</v>
      </c>
      <c r="ET118" s="2610">
        <f t="shared" si="174"/>
        <v>5274.2468485232621</v>
      </c>
      <c r="EU118" s="2610">
        <f t="shared" si="174"/>
        <v>5274.2468485232621</v>
      </c>
      <c r="EV118" s="2610">
        <f t="shared" si="174"/>
        <v>4810.0108529975887</v>
      </c>
      <c r="EW118" s="2610">
        <f t="shared" si="174"/>
        <v>4810.0108529975887</v>
      </c>
      <c r="EX118" s="2610">
        <f t="shared" si="174"/>
        <v>4810.0108529975887</v>
      </c>
      <c r="EY118" s="2610">
        <f t="shared" si="174"/>
        <v>4810.0108529975887</v>
      </c>
      <c r="EZ118" s="2610">
        <f t="shared" si="174"/>
        <v>5235.717475345753</v>
      </c>
      <c r="FA118" s="2610">
        <f t="shared" si="174"/>
        <v>5235.717475345753</v>
      </c>
      <c r="FB118" s="2610">
        <f t="shared" si="174"/>
        <v>5235.717475345753</v>
      </c>
      <c r="FC118" s="2610">
        <f t="shared" si="174"/>
        <v>5235.717475345753</v>
      </c>
      <c r="FD118" s="2610">
        <f t="shared" si="174"/>
        <v>4762.3978304821376</v>
      </c>
      <c r="FE118" s="2610">
        <f t="shared" si="174"/>
        <v>4762.3978304821376</v>
      </c>
      <c r="FF118" s="2610">
        <f t="shared" si="174"/>
        <v>4762.3978304821376</v>
      </c>
      <c r="FG118" s="2610">
        <f t="shared" si="174"/>
        <v>4762.3978304821376</v>
      </c>
      <c r="FH118" s="2610">
        <f t="shared" ref="FH118:GM118" si="175">IF(FH116&gt;=3,SUMIFS($124:$124,$123:$123,FH115)/4,SUMIFS($124:$124,$123:$123,FH115-1)/4)</f>
        <v>5157.6984550485986</v>
      </c>
      <c r="FI118" s="2610">
        <f t="shared" si="175"/>
        <v>5157.6984550485986</v>
      </c>
      <c r="FJ118" s="2610">
        <f t="shared" si="175"/>
        <v>5157.6984550485986</v>
      </c>
      <c r="FK118" s="2610">
        <f t="shared" si="175"/>
        <v>5157.6984550485986</v>
      </c>
      <c r="FL118" s="2610">
        <f t="shared" si="175"/>
        <v>5044.4426094979035</v>
      </c>
      <c r="FM118" s="2610">
        <f t="shared" si="175"/>
        <v>5044.4426094979035</v>
      </c>
      <c r="FN118" s="2610">
        <f t="shared" si="175"/>
        <v>5044.4426094979035</v>
      </c>
      <c r="FO118" s="2610">
        <f t="shared" si="175"/>
        <v>5044.4426094979035</v>
      </c>
      <c r="FP118" s="2610">
        <f t="shared" si="175"/>
        <v>5058.1187318305383</v>
      </c>
      <c r="FQ118" s="2610">
        <f t="shared" si="175"/>
        <v>5058.1187318305383</v>
      </c>
      <c r="FR118" s="2610">
        <f t="shared" si="175"/>
        <v>5058.1187318305383</v>
      </c>
      <c r="FS118" s="2610">
        <f t="shared" si="175"/>
        <v>5058.1187318305383</v>
      </c>
      <c r="FT118" s="2610">
        <f t="shared" si="175"/>
        <v>5121.694204694877</v>
      </c>
      <c r="FU118" s="2610">
        <f t="shared" si="175"/>
        <v>5121.694204694877</v>
      </c>
      <c r="FV118" s="2610">
        <f t="shared" si="175"/>
        <v>5121.694204694877</v>
      </c>
      <c r="FW118" s="2610">
        <f t="shared" si="175"/>
        <v>5121.694204694877</v>
      </c>
      <c r="FX118" s="2610">
        <f t="shared" si="175"/>
        <v>5192.3894871769662</v>
      </c>
      <c r="FY118" s="2610">
        <f t="shared" si="175"/>
        <v>5192.3894871769662</v>
      </c>
      <c r="FZ118" s="2610">
        <f t="shared" si="175"/>
        <v>5192.3894871769662</v>
      </c>
      <c r="GA118" s="2610">
        <f t="shared" si="175"/>
        <v>5192.3894871769662</v>
      </c>
      <c r="GB118" s="2610">
        <f t="shared" si="175"/>
        <v>5219.1516913863506</v>
      </c>
      <c r="GC118" s="2610">
        <f t="shared" si="175"/>
        <v>5219.1516913863506</v>
      </c>
      <c r="GD118" s="2610">
        <f t="shared" si="175"/>
        <v>5219.1516913863506</v>
      </c>
      <c r="GE118" s="2610">
        <f t="shared" si="175"/>
        <v>5219.1516913863506</v>
      </c>
      <c r="GF118" s="2610">
        <f t="shared" si="175"/>
        <v>4787.2181056369182</v>
      </c>
      <c r="GG118" s="2610">
        <f t="shared" si="175"/>
        <v>4787.2181056369182</v>
      </c>
      <c r="GH118" s="2610">
        <f t="shared" si="175"/>
        <v>4787.2181056369182</v>
      </c>
      <c r="GI118" s="2610">
        <f t="shared" si="175"/>
        <v>4787.2181056369182</v>
      </c>
      <c r="GJ118" s="2610">
        <f t="shared" si="175"/>
        <v>366.80098767959498</v>
      </c>
      <c r="GK118" s="2610">
        <f t="shared" si="175"/>
        <v>366.80098767959498</v>
      </c>
      <c r="GL118" s="2610">
        <f t="shared" si="175"/>
        <v>366.80098767959498</v>
      </c>
      <c r="GM118" s="2610">
        <f t="shared" si="175"/>
        <v>366.80098767959498</v>
      </c>
      <c r="GN118" s="2610">
        <f t="shared" ref="GN118:HS118" si="176">IF(GN116&gt;=3,SUMIFS($124:$124,$123:$123,GN115)/4,SUMIFS($124:$124,$123:$123,GN115-1)/4)</f>
        <v>3909.0631327359433</v>
      </c>
      <c r="GO118" s="2610">
        <f t="shared" si="176"/>
        <v>3909.0631327359433</v>
      </c>
      <c r="GP118" s="2610">
        <f t="shared" si="176"/>
        <v>3909.0631327359433</v>
      </c>
      <c r="GQ118" s="2610">
        <f t="shared" si="176"/>
        <v>3909.0631327359433</v>
      </c>
      <c r="GR118" s="2610">
        <f t="shared" si="176"/>
        <v>4437.1823543884875</v>
      </c>
      <c r="GS118" s="2610">
        <f t="shared" si="176"/>
        <v>4437.1823543884875</v>
      </c>
      <c r="GT118" s="2610">
        <f t="shared" si="176"/>
        <v>4437.1823543884875</v>
      </c>
      <c r="GU118" s="2610">
        <f t="shared" si="176"/>
        <v>4437.1823543884875</v>
      </c>
      <c r="GV118" s="2610">
        <f t="shared" si="176"/>
        <v>4781.6472972564661</v>
      </c>
      <c r="GW118" s="2610">
        <f t="shared" si="176"/>
        <v>4781.6472972564661</v>
      </c>
      <c r="GX118" s="2610">
        <f t="shared" si="176"/>
        <v>4781.6472972564661</v>
      </c>
      <c r="GY118" s="2610">
        <f t="shared" si="176"/>
        <v>4781.6472972564661</v>
      </c>
      <c r="GZ118" s="2610">
        <f t="shared" si="176"/>
        <v>3777.5732285550685</v>
      </c>
      <c r="HA118" s="2610">
        <f t="shared" si="176"/>
        <v>3777.5732285550685</v>
      </c>
      <c r="HB118" s="2610">
        <f t="shared" si="176"/>
        <v>3777.5732285550685</v>
      </c>
      <c r="HC118" s="2610">
        <f t="shared" si="176"/>
        <v>3777.5732285550685</v>
      </c>
      <c r="HD118" s="2610">
        <f t="shared" si="176"/>
        <v>4899.4437455626039</v>
      </c>
      <c r="HE118" s="2610">
        <f t="shared" si="176"/>
        <v>4899.4437455626039</v>
      </c>
      <c r="HF118" s="2610">
        <f t="shared" si="176"/>
        <v>4899.4437455626039</v>
      </c>
      <c r="HG118" s="2610">
        <f t="shared" si="176"/>
        <v>4899.4437455626039</v>
      </c>
      <c r="HH118" s="2610">
        <f t="shared" si="176"/>
        <v>5312.7814960218338</v>
      </c>
      <c r="HI118" s="2610">
        <f t="shared" si="176"/>
        <v>5312.7814960218338</v>
      </c>
      <c r="HJ118" s="2610">
        <f t="shared" si="176"/>
        <v>5312.7814960218338</v>
      </c>
      <c r="HK118" s="2610">
        <f t="shared" si="176"/>
        <v>5312.7814960218338</v>
      </c>
      <c r="HL118" s="2610">
        <f t="shared" si="176"/>
        <v>5338.1251900148427</v>
      </c>
      <c r="HM118" s="2610">
        <f t="shared" si="176"/>
        <v>5338.1251900148427</v>
      </c>
      <c r="HN118" s="2610">
        <f t="shared" si="176"/>
        <v>5338.1251900148427</v>
      </c>
      <c r="HO118" s="2610">
        <f t="shared" si="176"/>
        <v>5338.1251900148427</v>
      </c>
      <c r="HP118" s="2610">
        <f t="shared" si="176"/>
        <v>4977.2608127565636</v>
      </c>
      <c r="HQ118" s="2610">
        <f t="shared" si="176"/>
        <v>4977.2608127565636</v>
      </c>
      <c r="HR118" s="2610">
        <f t="shared" si="176"/>
        <v>4977.2608127565636</v>
      </c>
      <c r="HS118" s="2610">
        <f t="shared" si="176"/>
        <v>4977.2608127565636</v>
      </c>
      <c r="HT118" s="2610">
        <f t="shared" ref="HT118:IA118" si="177">IF(HT116&gt;=3,SUMIFS($124:$124,$123:$123,HT115)/4,SUMIFS($124:$124,$123:$123,HT115-1)/4)</f>
        <v>5326.6410080205696</v>
      </c>
      <c r="HU118" s="2610">
        <f t="shared" si="177"/>
        <v>5326.6410080205696</v>
      </c>
      <c r="HV118" s="2610">
        <f t="shared" si="177"/>
        <v>5326.6410080205696</v>
      </c>
      <c r="HW118" s="2610">
        <f t="shared" si="177"/>
        <v>5326.6410080205696</v>
      </c>
      <c r="HX118" s="2610">
        <f t="shared" si="177"/>
        <v>3287.2899099369515</v>
      </c>
      <c r="HY118" s="2610">
        <f t="shared" si="177"/>
        <v>3287.2899099369515</v>
      </c>
      <c r="HZ118" s="2610">
        <f t="shared" si="177"/>
        <v>3287.2899099369515</v>
      </c>
      <c r="IA118" s="2610">
        <f t="shared" si="177"/>
        <v>3287.2899099369515</v>
      </c>
    </row>
    <row r="119" spans="2:311" outlineLevel="1">
      <c r="C119" s="2613"/>
      <c r="D119" s="2348" t="s">
        <v>5110</v>
      </c>
      <c r="E119" s="2599"/>
      <c r="F119" s="2614">
        <v>8.8700000000000001E-2</v>
      </c>
      <c r="G119" s="2615">
        <v>37040</v>
      </c>
      <c r="H119" s="2607"/>
      <c r="J119" s="5307"/>
      <c r="K119" s="5307"/>
      <c r="L119" s="5307"/>
      <c r="M119" s="5307"/>
      <c r="N119" s="5307"/>
      <c r="O119" s="5307"/>
      <c r="P119" s="5307"/>
      <c r="Q119" s="5307"/>
      <c r="R119" s="5307"/>
      <c r="S119" s="5307"/>
      <c r="T119" s="2617"/>
      <c r="U119" s="2617"/>
      <c r="V119" s="2617"/>
      <c r="W119" s="2617"/>
      <c r="X119" s="2617"/>
      <c r="Y119" s="2617"/>
      <c r="Z119" s="2617"/>
      <c r="AA119" s="5297"/>
      <c r="AB119" s="5297"/>
      <c r="AC119" s="5297"/>
      <c r="AD119" s="5297"/>
      <c r="AE119" s="5297"/>
      <c r="AF119" s="5297"/>
      <c r="AG119" s="5297"/>
      <c r="AH119" s="5297"/>
      <c r="AI119" s="5297"/>
      <c r="AJ119" s="5297"/>
      <c r="AK119" s="5297"/>
      <c r="AL119" s="5297"/>
      <c r="AM119" s="5297"/>
      <c r="AN119" s="5297"/>
      <c r="AO119" s="5297"/>
      <c r="AP119" s="5297"/>
      <c r="AQ119" s="5297"/>
      <c r="AR119" s="5297"/>
      <c r="AS119" s="5297"/>
      <c r="AT119" s="5297"/>
      <c r="AU119" s="5297"/>
      <c r="AV119" s="5297"/>
      <c r="AW119" s="5297"/>
      <c r="AX119" s="5297">
        <f>SUMIFS(TP!114:114,TP!111:111,'TP(분기)'!AX115)</f>
        <v>2.9149661603546506</v>
      </c>
      <c r="AY119" s="5297">
        <f>SUMIFS(TP!114:114,TP!111:111,'TP(분기)'!AY115)</f>
        <v>2.9149661603546506</v>
      </c>
      <c r="AZ119" s="5297">
        <f>SUMIFS(TP!114:114,TP!111:111,'TP(분기)'!AZ115)</f>
        <v>2.9149661603546506</v>
      </c>
      <c r="BA119" s="5297">
        <f>SUMIFS(TP!114:114,TP!111:111,'TP(분기)'!BA115)</f>
        <v>2.9149661603546506</v>
      </c>
      <c r="BB119" s="5297">
        <f>SUMIFS(TP!114:114,TP!111:111,'TP(분기)'!BB115)</f>
        <v>3.1735236587781079</v>
      </c>
      <c r="BC119" s="5297">
        <f>SUMIFS(TP!114:114,TP!111:111,'TP(분기)'!BC115)</f>
        <v>3.1735236587781079</v>
      </c>
      <c r="BD119" s="5297">
        <f>SUMIFS(TP!114:114,TP!111:111,'TP(분기)'!BD115)</f>
        <v>3.1735236587781079</v>
      </c>
      <c r="BE119" s="5297">
        <f>SUMIFS(TP!114:114,TP!111:111,'TP(분기)'!BE115)</f>
        <v>3.1735236587781079</v>
      </c>
      <c r="BF119" s="5297">
        <f>SUMIFS(TP!114:114,TP!111:111,'TP(분기)'!BF115)</f>
        <v>3.4550152073117268</v>
      </c>
      <c r="BG119" s="5297">
        <f>SUMIFS(TP!114:114,TP!111:111,'TP(분기)'!BG115)</f>
        <v>3.4550152073117268</v>
      </c>
      <c r="BH119" s="5297">
        <f>SUMIFS(TP!114:114,TP!111:111,'TP(분기)'!BH115)</f>
        <v>3.4550152073117268</v>
      </c>
      <c r="BI119" s="5297">
        <f>SUMIFS(TP!114:114,TP!111:111,'TP(분기)'!BI115)</f>
        <v>3.4550152073117268</v>
      </c>
      <c r="BJ119" s="5297">
        <f>SUMIFS(TP!114:114,TP!111:111,'TP(분기)'!BJ115)</f>
        <v>3.7614750562002768</v>
      </c>
      <c r="BK119" s="5297">
        <f>SUMIFS(TP!114:114,TP!111:111,'TP(분기)'!BK115)</f>
        <v>3.7614750562002768</v>
      </c>
      <c r="BL119" s="5297">
        <f>SUMIFS(TP!114:114,TP!111:111,'TP(분기)'!BL115)</f>
        <v>3.7614750562002768</v>
      </c>
      <c r="BM119" s="5297">
        <f>SUMIFS(TP!114:114,TP!111:111,'TP(분기)'!BM115)</f>
        <v>3.7614750562002768</v>
      </c>
      <c r="BN119" s="5297">
        <f>SUMIFS(TP!114:114,TP!111:111,'TP(분기)'!BN115)</f>
        <v>4.0951178936852406</v>
      </c>
      <c r="BO119" s="5297">
        <f>SUMIFS(TP!114:114,TP!111:111,'TP(분기)'!BO115)</f>
        <v>4.0951178936852406</v>
      </c>
      <c r="BP119" s="5297">
        <f>SUMIFS(TP!114:114,TP!111:111,'TP(분기)'!BP115)</f>
        <v>4.0951178936852406</v>
      </c>
      <c r="BQ119" s="5297">
        <f>SUMIFS(TP!114:114,TP!111:111,'TP(분기)'!BQ115)</f>
        <v>4.0951178936852406</v>
      </c>
      <c r="BR119" s="5297">
        <f>SUMIFS(TP!114:114,TP!111:111,'TP(분기)'!BR115)</f>
        <v>4.4583548508551223</v>
      </c>
      <c r="BS119" s="5297">
        <f>SUMIFS(TP!114:114,TP!111:111,'TP(분기)'!BS115)</f>
        <v>4.4583548508551223</v>
      </c>
      <c r="BT119" s="5297">
        <f>SUMIFS(TP!114:114,TP!111:111,'TP(분기)'!BT115)</f>
        <v>4.4583548508551223</v>
      </c>
      <c r="BU119" s="5297">
        <f>SUMIFS(TP!114:114,TP!111:111,'TP(분기)'!BU115)</f>
        <v>4.4583548508551223</v>
      </c>
      <c r="BV119" s="5297">
        <f>SUMIFS(TP!114:114,TP!111:111,'TP(분기)'!BV115)</f>
        <v>4.8538109261259716</v>
      </c>
      <c r="BW119" s="5297">
        <f>SUMIFS(TP!114:114,TP!111:111,'TP(분기)'!BW115)</f>
        <v>4.8538109261259716</v>
      </c>
      <c r="BX119" s="5297">
        <f>SUMIFS(TP!114:114,TP!111:111,'TP(분기)'!BX115)</f>
        <v>4.8538109261259716</v>
      </c>
      <c r="BY119" s="5297">
        <f>SUMIFS(TP!114:114,TP!111:111,'TP(분기)'!BY115)</f>
        <v>4.8538109261259716</v>
      </c>
      <c r="BZ119" s="5311">
        <f>SUMIFS(TP!114:114,TP!111:111,'TP(분기)'!BZ115)</f>
        <v>5.2843439552733447</v>
      </c>
      <c r="CA119" s="5311">
        <f>SUMIFS(TP!114:114,TP!111:111,'TP(분기)'!CA115)</f>
        <v>5.2843439552733447</v>
      </c>
      <c r="CB119" s="5311">
        <f>SUMIFS(TP!114:114,TP!111:111,'TP(분기)'!CB115)</f>
        <v>5.2843439552733447</v>
      </c>
      <c r="CC119" s="5311">
        <f>SUMIFS(TP!114:114,TP!111:111,'TP(분기)'!CC115)</f>
        <v>5.2843439552733447</v>
      </c>
      <c r="CD119" s="5311">
        <f>SUMIFS(TP!114:114,TP!111:111,'TP(분기)'!CD115)</f>
        <v>5.7530652641060911</v>
      </c>
      <c r="CE119" s="5311">
        <f>SUMIFS(TP!114:114,TP!111:111,'TP(분기)'!CE115)</f>
        <v>5.7530652641060911</v>
      </c>
      <c r="CF119" s="5311">
        <f>SUMIFS(TP!114:114,TP!111:111,'TP(분기)'!CF115)</f>
        <v>5.7530652641060911</v>
      </c>
      <c r="CG119" s="5311">
        <f>SUMIFS(TP!114:114,TP!111:111,'TP(분기)'!CG115)</f>
        <v>5.7530652641060911</v>
      </c>
      <c r="CH119" s="2618">
        <f>SUMIFS(TP!114:114,TP!111:111,'TP(분기)'!CH115)</f>
        <v>6.2633621530323014</v>
      </c>
      <c r="CI119" s="2618">
        <f>SUMIFS(TP!114:114,TP!111:111,'TP(분기)'!CI115)</f>
        <v>6.2633621530323014</v>
      </c>
      <c r="CJ119" s="2618">
        <f>SUMIFS(TP!114:114,TP!111:111,'TP(분기)'!CJ115)</f>
        <v>6.2633621530323014</v>
      </c>
      <c r="CK119" s="2618">
        <f>SUMIFS(TP!114:114,TP!111:111,'TP(분기)'!CK115)</f>
        <v>6.2633621530323014</v>
      </c>
      <c r="CL119" s="2618">
        <f>SUMIFS(TP!114:114,TP!111:111,'TP(분기)'!CL115)</f>
        <v>6.8189223760062658</v>
      </c>
      <c r="CM119" s="2618">
        <f>SUMIFS(TP!114:114,TP!111:111,'TP(분기)'!CM115)</f>
        <v>6.8189223760062658</v>
      </c>
      <c r="CN119" s="2618">
        <f>SUMIFS(TP!114:114,TP!111:111,'TP(분기)'!CN115)</f>
        <v>6.8189223760062658</v>
      </c>
      <c r="CO119" s="2618">
        <f>SUMIFS(TP!114:114,TP!111:111,'TP(분기)'!CO115)</f>
        <v>6.8189223760062658</v>
      </c>
      <c r="CP119" s="2618">
        <f>SUMIFS(TP!114:114,TP!111:111,'TP(분기)'!CP115)</f>
        <v>7.4237607907580214</v>
      </c>
      <c r="CQ119" s="2618">
        <f>SUMIFS(TP!114:114,TP!111:111,'TP(분기)'!CQ115)</f>
        <v>7.4237607907580214</v>
      </c>
      <c r="CR119" s="2618">
        <f>SUMIFS(TP!114:114,TP!111:111,'TP(분기)'!CR115)</f>
        <v>7.4237607907580214</v>
      </c>
      <c r="CS119" s="2618">
        <f>SUMIFS(TP!114:114,TP!111:111,'TP(분기)'!CS115)</f>
        <v>7.4237607907580214</v>
      </c>
      <c r="CT119" s="2618">
        <f>SUMIFS(TP!114:114,TP!111:111,'TP(분기)'!CT115)</f>
        <v>8.0822483728982597</v>
      </c>
      <c r="CU119" s="2618">
        <f>SUMIFS(TP!114:114,TP!111:111,'TP(분기)'!CU115)</f>
        <v>8.0822483728982597</v>
      </c>
      <c r="CV119" s="2618">
        <f>SUMIFS(TP!114:114,TP!111:111,'TP(분기)'!CV115)</f>
        <v>8.0822483728982597</v>
      </c>
      <c r="CW119" s="2618">
        <f>SUMIFS(TP!114:114,TP!111:111,'TP(분기)'!CW115)</f>
        <v>8.0822483728982597</v>
      </c>
      <c r="CX119" s="2618">
        <f>SUMIFS(TP!114:114,TP!111:111,'TP(분기)'!CX115)</f>
        <v>8.799143803574335</v>
      </c>
      <c r="CY119" s="2618">
        <f>SUMIFS(TP!114:114,TP!111:111,'TP(분기)'!CY115)</f>
        <v>8.799143803574335</v>
      </c>
      <c r="CZ119" s="2618">
        <f>SUMIFS(TP!114:114,TP!111:111,'TP(분기)'!CZ115)</f>
        <v>8.799143803574335</v>
      </c>
      <c r="DA119" s="2618">
        <f>SUMIFS(TP!114:114,TP!111:111,'TP(분기)'!DA115)</f>
        <v>8.799143803574335</v>
      </c>
      <c r="DB119" s="2618">
        <f>SUMIFS(TP!114:114,TP!111:111,'TP(분기)'!DB115)</f>
        <v>9.5796278589513761</v>
      </c>
      <c r="DC119" s="2618">
        <f>SUMIFS(TP!114:114,TP!111:111,'TP(분기)'!DC115)</f>
        <v>9.5796278589513761</v>
      </c>
      <c r="DD119" s="2618">
        <f>SUMIFS(TP!114:114,TP!111:111,'TP(분기)'!DD115)</f>
        <v>9.5796278589513761</v>
      </c>
      <c r="DE119" s="2618">
        <f>SUMIFS(TP!114:114,TP!111:111,'TP(분기)'!DE115)</f>
        <v>9.5796278589513761</v>
      </c>
      <c r="DF119" s="2618">
        <f>SUMIFS(TP!114:114,TP!111:111,'TP(분기)'!DF115)</f>
        <v>10.429340850040365</v>
      </c>
      <c r="DG119" s="2618">
        <f>SUMIFS(TP!114:114,TP!111:111,'TP(분기)'!DG115)</f>
        <v>10.429340850040365</v>
      </c>
      <c r="DH119" s="2618">
        <f>SUMIFS(TP!114:114,TP!111:111,'TP(분기)'!DH115)</f>
        <v>10.429340850040365</v>
      </c>
      <c r="DI119" s="2618">
        <f>SUMIFS(TP!114:114,TP!111:111,'TP(분기)'!DI115)</f>
        <v>10.429340850040365</v>
      </c>
      <c r="DJ119" s="2618">
        <f>SUMIFS(TP!114:114,TP!111:111,'TP(분기)'!DJ115)</f>
        <v>11.354423383438947</v>
      </c>
      <c r="DK119" s="2618">
        <f>SUMIFS(TP!114:114,TP!111:111,'TP(분기)'!DK115)</f>
        <v>11.354423383438947</v>
      </c>
      <c r="DL119" s="2618">
        <f>SUMIFS(TP!114:114,TP!111:111,'TP(분기)'!DL115)</f>
        <v>11.354423383438947</v>
      </c>
      <c r="DM119" s="2618">
        <f>SUMIFS(TP!114:114,TP!111:111,'TP(분기)'!DM115)</f>
        <v>11.354423383438947</v>
      </c>
      <c r="DN119" s="2618">
        <f>SUMIFS(TP!114:114,TP!111:111,'TP(분기)'!DN115)</f>
        <v>12.361560737549977</v>
      </c>
      <c r="DO119" s="2618">
        <f>SUMIFS(TP!114:114,TP!111:111,'TP(분기)'!DO115)</f>
        <v>12.361560737549977</v>
      </c>
      <c r="DP119" s="2618">
        <f>SUMIFS(TP!114:114,TP!111:111,'TP(분기)'!DP115)</f>
        <v>12.361560737549977</v>
      </c>
      <c r="DQ119" s="2618">
        <f>SUMIFS(TP!114:114,TP!111:111,'TP(분기)'!DQ115)</f>
        <v>12.361560737549977</v>
      </c>
      <c r="DR119" s="2618">
        <f>SUMIFS(TP!114:114,TP!111:111,'TP(분기)'!DR115)</f>
        <v>13.458031174970664</v>
      </c>
      <c r="DS119" s="2618">
        <f>SUMIFS(TP!114:114,TP!111:111,'TP(분기)'!DS115)</f>
        <v>13.458031174970664</v>
      </c>
      <c r="DT119" s="2618">
        <f>SUMIFS(TP!114:114,TP!111:111,'TP(분기)'!DT115)</f>
        <v>13.458031174970664</v>
      </c>
      <c r="DU119" s="2618">
        <f>SUMIFS(TP!114:114,TP!111:111,'TP(분기)'!DU115)</f>
        <v>13.458031174970664</v>
      </c>
      <c r="DV119" s="2618">
        <f>SUMIFS(TP!114:114,TP!111:111,'TP(분기)'!DV115)</f>
        <v>14.651758540190563</v>
      </c>
      <c r="DW119" s="2618">
        <f>SUMIFS(TP!114:114,TP!111:111,'TP(분기)'!DW115)</f>
        <v>14.651758540190563</v>
      </c>
      <c r="DX119" s="2618">
        <f>SUMIFS(TP!114:114,TP!111:111,'TP(분기)'!DX115)</f>
        <v>14.651758540190563</v>
      </c>
      <c r="DY119" s="2618">
        <f>SUMIFS(TP!114:114,TP!111:111,'TP(분기)'!DY115)</f>
        <v>14.651758540190563</v>
      </c>
      <c r="DZ119" s="2618">
        <f>SUMIFS(TP!114:114,TP!111:111,'TP(분기)'!DZ115)</f>
        <v>15.951369522705461</v>
      </c>
      <c r="EA119" s="2618">
        <f>SUMIFS(TP!114:114,TP!111:111,'TP(분기)'!EA115)</f>
        <v>15.951369522705461</v>
      </c>
      <c r="EB119" s="2618">
        <f>SUMIFS(TP!114:114,TP!111:111,'TP(분기)'!EB115)</f>
        <v>15.951369522705461</v>
      </c>
      <c r="EC119" s="2618">
        <f>SUMIFS(TP!114:114,TP!111:111,'TP(분기)'!EC115)</f>
        <v>15.951369522705461</v>
      </c>
      <c r="ED119" s="2618">
        <f>SUMIFS(TP!114:114,TP!111:111,'TP(분기)'!ED115)</f>
        <v>17.366255999369439</v>
      </c>
      <c r="EE119" s="2618">
        <f>SUMIFS(TP!114:114,TP!111:111,'TP(분기)'!EE115)</f>
        <v>17.366255999369439</v>
      </c>
      <c r="EF119" s="2618">
        <f>SUMIFS(TP!114:114,TP!111:111,'TP(분기)'!EF115)</f>
        <v>17.366255999369439</v>
      </c>
      <c r="EG119" s="2618">
        <f>SUMIFS(TP!114:114,TP!111:111,'TP(분기)'!EG115)</f>
        <v>17.366255999369439</v>
      </c>
      <c r="EH119" s="2618">
        <f>SUMIFS(TP!114:114,TP!111:111,'TP(분기)'!EH115)</f>
        <v>18.906642906513504</v>
      </c>
      <c r="EI119" s="2618">
        <f>SUMIFS(TP!114:114,TP!111:111,'TP(분기)'!EI115)</f>
        <v>18.906642906513504</v>
      </c>
      <c r="EJ119" s="2618">
        <f>SUMIFS(TP!114:114,TP!111:111,'TP(분기)'!EJ115)</f>
        <v>18.906642906513504</v>
      </c>
      <c r="EK119" s="2618">
        <f>SUMIFS(TP!114:114,TP!111:111,'TP(분기)'!EK115)</f>
        <v>18.906642906513504</v>
      </c>
      <c r="EL119" s="2618">
        <f>SUMIFS(TP!114:114,TP!111:111,'TP(분기)'!EL115)</f>
        <v>20.583662132321255</v>
      </c>
      <c r="EM119" s="2618">
        <f>SUMIFS(TP!114:114,TP!111:111,'TP(분기)'!EM115)</f>
        <v>20.583662132321255</v>
      </c>
      <c r="EN119" s="2618">
        <f>SUMIFS(TP!114:114,TP!111:111,'TP(분기)'!EN115)</f>
        <v>20.583662132321255</v>
      </c>
      <c r="EO119" s="2618">
        <f>SUMIFS(TP!114:114,TP!111:111,'TP(분기)'!EO115)</f>
        <v>20.583662132321255</v>
      </c>
      <c r="EP119" s="2618">
        <f>SUMIFS(TP!114:114,TP!111:111,'TP(분기)'!EP115)</f>
        <v>22.409432963458151</v>
      </c>
      <c r="EQ119" s="2618">
        <f>SUMIFS(TP!114:114,TP!111:111,'TP(분기)'!EQ115)</f>
        <v>22.409432963458151</v>
      </c>
      <c r="ER119" s="2618">
        <f>SUMIFS(TP!114:114,TP!111:111,'TP(분기)'!ER115)</f>
        <v>22.409432963458151</v>
      </c>
      <c r="ES119" s="2618">
        <f>SUMIFS(TP!114:114,TP!111:111,'TP(분기)'!ES115)</f>
        <v>22.409432963458151</v>
      </c>
      <c r="ET119" s="2618">
        <f>SUMIFS(TP!114:114,TP!111:111,'TP(분기)'!ET115)</f>
        <v>24.397149667316882</v>
      </c>
      <c r="EU119" s="2618">
        <f>SUMIFS(TP!114:114,TP!111:111,'TP(분기)'!EU115)</f>
        <v>24.397149667316882</v>
      </c>
      <c r="EV119" s="2618">
        <f>SUMIFS(TP!114:114,TP!111:111,'TP(분기)'!EV115)</f>
        <v>24.397149667316882</v>
      </c>
      <c r="EW119" s="2618">
        <f>SUMIFS(TP!114:114,TP!111:111,'TP(분기)'!EW115)</f>
        <v>24.397149667316882</v>
      </c>
      <c r="EX119" s="2618">
        <f>SUMIFS(TP!114:114,TP!111:111,'TP(분기)'!EX115)</f>
        <v>26.561176842807892</v>
      </c>
      <c r="EY119" s="2618">
        <f>SUMIFS(TP!114:114,TP!111:111,'TP(분기)'!EY115)</f>
        <v>26.561176842807892</v>
      </c>
      <c r="EZ119" s="2618">
        <f>SUMIFS(TP!114:114,TP!111:111,'TP(분기)'!EZ115)</f>
        <v>26.561176842807892</v>
      </c>
      <c r="FA119" s="2618">
        <f>SUMIFS(TP!114:114,TP!111:111,'TP(분기)'!FA115)</f>
        <v>26.561176842807892</v>
      </c>
      <c r="FB119" s="2618">
        <f>SUMIFS(TP!114:114,TP!111:111,'TP(분기)'!FB115)</f>
        <v>28.91715322876496</v>
      </c>
      <c r="FC119" s="2618">
        <f>SUMIFS(TP!114:114,TP!111:111,'TP(분기)'!FC115)</f>
        <v>28.91715322876496</v>
      </c>
      <c r="FD119" s="2618">
        <f>SUMIFS(TP!114:114,TP!111:111,'TP(분기)'!FD115)</f>
        <v>28.91715322876496</v>
      </c>
      <c r="FE119" s="2618">
        <f>SUMIFS(TP!114:114,TP!111:111,'TP(분기)'!FE115)</f>
        <v>28.91715322876496</v>
      </c>
      <c r="FF119" s="2618">
        <f>SUMIFS(TP!114:114,TP!111:111,'TP(분기)'!FF115)</f>
        <v>31.4821047201564</v>
      </c>
      <c r="FG119" s="2618">
        <f>SUMIFS(TP!114:114,TP!111:111,'TP(분기)'!FG115)</f>
        <v>31.4821047201564</v>
      </c>
      <c r="FH119" s="2618">
        <f>SUMIFS(TP!114:114,TP!111:111,'TP(분기)'!FH115)</f>
        <v>31.4821047201564</v>
      </c>
      <c r="FI119" s="2618">
        <f>SUMIFS(TP!114:114,TP!111:111,'TP(분기)'!FI115)</f>
        <v>31.4821047201564</v>
      </c>
      <c r="FJ119" s="2618">
        <f>SUMIFS(TP!114:114,TP!111:111,'TP(분기)'!FJ115)</f>
        <v>34.27456740883428</v>
      </c>
      <c r="FK119" s="2618">
        <f>SUMIFS(TP!114:114,TP!111:111,'TP(분기)'!FK115)</f>
        <v>34.27456740883428</v>
      </c>
      <c r="FL119" s="2618">
        <f>SUMIFS(TP!114:114,TP!111:111,'TP(분기)'!FL115)</f>
        <v>34.27456740883428</v>
      </c>
      <c r="FM119" s="2618">
        <f>SUMIFS(TP!114:114,TP!111:111,'TP(분기)'!FM115)</f>
        <v>34.27456740883428</v>
      </c>
      <c r="FN119" s="2618">
        <f>SUMIFS(TP!114:114,TP!111:111,'TP(분기)'!FN115)</f>
        <v>37.314721537997883</v>
      </c>
      <c r="FO119" s="2618">
        <f>SUMIFS(TP!114:114,TP!111:111,'TP(분기)'!FO115)</f>
        <v>37.314721537997883</v>
      </c>
      <c r="FP119" s="2618">
        <f>SUMIFS(TP!114:114,TP!111:111,'TP(분기)'!FP115)</f>
        <v>37.314721537997883</v>
      </c>
      <c r="FQ119" s="2618">
        <f>SUMIFS(TP!114:114,TP!111:111,'TP(분기)'!FQ115)</f>
        <v>37.314721537997883</v>
      </c>
      <c r="FR119" s="2618">
        <f>SUMIFS(TP!114:114,TP!111:111,'TP(분기)'!FR115)</f>
        <v>40.624537338418286</v>
      </c>
      <c r="FS119" s="2618">
        <f>SUMIFS(TP!114:114,TP!111:111,'TP(분기)'!FS115)</f>
        <v>40.624537338418286</v>
      </c>
      <c r="FT119" s="2618">
        <f>SUMIFS(TP!114:114,TP!111:111,'TP(분기)'!FT115)</f>
        <v>40.624537338418286</v>
      </c>
      <c r="FU119" s="2618">
        <f>SUMIFS(TP!114:114,TP!111:111,'TP(분기)'!FU115)</f>
        <v>40.624537338418286</v>
      </c>
      <c r="FV119" s="2618">
        <f>SUMIFS(TP!114:114,TP!111:111,'TP(분기)'!FV115)</f>
        <v>44.227933800335997</v>
      </c>
      <c r="FW119" s="2618">
        <f>SUMIFS(TP!114:114,TP!111:111,'TP(분기)'!FW115)</f>
        <v>44.227933800335997</v>
      </c>
      <c r="FX119" s="2618">
        <f>SUMIFS(TP!114:114,TP!111:111,'TP(분기)'!FX115)</f>
        <v>44.227933800335997</v>
      </c>
      <c r="FY119" s="2618">
        <f>SUMIFS(TP!114:114,TP!111:111,'TP(분기)'!FY115)</f>
        <v>44.227933800335997</v>
      </c>
      <c r="FZ119" s="2618">
        <f>SUMIFS(TP!114:114,TP!111:111,'TP(분기)'!FZ115)</f>
        <v>48.150951528425807</v>
      </c>
      <c r="GA119" s="2618">
        <f>SUMIFS(TP!114:114,TP!111:111,'TP(분기)'!GA115)</f>
        <v>48.150951528425807</v>
      </c>
      <c r="GB119" s="2618">
        <f>SUMIFS(TP!114:114,TP!111:111,'TP(분기)'!GB115)</f>
        <v>48.150951528425807</v>
      </c>
      <c r="GC119" s="2618">
        <f>SUMIFS(TP!114:114,TP!111:111,'TP(분기)'!GC115)</f>
        <v>48.150951528425807</v>
      </c>
      <c r="GD119" s="2618">
        <f>SUMIFS(TP!114:114,TP!111:111,'TP(분기)'!GD115)</f>
        <v>52.421940928997159</v>
      </c>
      <c r="GE119" s="2618">
        <f>SUMIFS(TP!114:114,TP!111:111,'TP(분기)'!GE115)</f>
        <v>52.421940928997159</v>
      </c>
      <c r="GF119" s="2618">
        <f>SUMIFS(TP!114:114,TP!111:111,'TP(분기)'!GF115)</f>
        <v>52.421940928997159</v>
      </c>
      <c r="GG119" s="2618">
        <f>SUMIFS(TP!114:114,TP!111:111,'TP(분기)'!GG115)</f>
        <v>52.421940928997159</v>
      </c>
      <c r="GH119" s="2618">
        <f>SUMIFS(TP!114:114,TP!111:111,'TP(분기)'!GH115)</f>
        <v>57.071767089399216</v>
      </c>
      <c r="GI119" s="2618">
        <f>SUMIFS(TP!114:114,TP!111:111,'TP(분기)'!GI115)</f>
        <v>57.071767089399216</v>
      </c>
      <c r="GJ119" s="2618">
        <f>SUMIFS(TP!114:114,TP!111:111,'TP(분기)'!GJ115)</f>
        <v>57.071767089399216</v>
      </c>
      <c r="GK119" s="2618">
        <f>SUMIFS(TP!114:114,TP!111:111,'TP(분기)'!GK115)</f>
        <v>57.071767089399216</v>
      </c>
      <c r="GL119" s="2618">
        <f>SUMIFS(TP!114:114,TP!111:111,'TP(분기)'!GL115)</f>
        <v>62.134032830228932</v>
      </c>
      <c r="GM119" s="2618">
        <f>SUMIFS(TP!114:114,TP!111:111,'TP(분기)'!GM115)</f>
        <v>62.134032830228932</v>
      </c>
      <c r="GN119" s="2618">
        <f>SUMIFS(TP!114:114,TP!111:111,'TP(분기)'!GN115)</f>
        <v>62.134032830228932</v>
      </c>
      <c r="GO119" s="2618">
        <f>SUMIFS(TP!114:114,TP!111:111,'TP(분기)'!GO115)</f>
        <v>62.134032830228932</v>
      </c>
      <c r="GP119" s="2618">
        <f>SUMIFS(TP!114:114,TP!111:111,'TP(분기)'!GP115)</f>
        <v>67.645321542270253</v>
      </c>
      <c r="GQ119" s="2618">
        <f>SUMIFS(TP!114:114,TP!111:111,'TP(분기)'!GQ115)</f>
        <v>67.645321542270253</v>
      </c>
      <c r="GR119" s="2618">
        <f>SUMIFS(TP!114:114,TP!111:111,'TP(분기)'!GR115)</f>
        <v>67.645321542270253</v>
      </c>
      <c r="GS119" s="2618">
        <f>SUMIFS(TP!114:114,TP!111:111,'TP(분기)'!GS115)</f>
        <v>67.645321542270253</v>
      </c>
      <c r="GT119" s="2618">
        <f>SUMIFS(TP!114:114,TP!111:111,'TP(분기)'!GT115)</f>
        <v>73.645461563069574</v>
      </c>
      <c r="GU119" s="2618">
        <f>SUMIFS(TP!114:114,TP!111:111,'TP(분기)'!GU115)</f>
        <v>73.645461563069574</v>
      </c>
      <c r="GV119" s="2618">
        <f>SUMIFS(TP!114:114,TP!111:111,'TP(분기)'!GV115)</f>
        <v>73.645461563069574</v>
      </c>
      <c r="GW119" s="2618">
        <f>SUMIFS(TP!114:114,TP!111:111,'TP(분기)'!GW115)</f>
        <v>73.645461563069574</v>
      </c>
      <c r="GX119" s="2618">
        <f>SUMIFS(TP!114:114,TP!111:111,'TP(분기)'!GX115)</f>
        <v>80.177814003713848</v>
      </c>
      <c r="GY119" s="2618">
        <f>SUMIFS(TP!114:114,TP!111:111,'TP(분기)'!GY115)</f>
        <v>80.177814003713848</v>
      </c>
      <c r="GZ119" s="2618">
        <f>SUMIFS(TP!114:114,TP!111:111,'TP(분기)'!GZ115)</f>
        <v>80.177814003713848</v>
      </c>
      <c r="HA119" s="2618">
        <f>SUMIFS(TP!114:114,TP!111:111,'TP(분기)'!HA115)</f>
        <v>80.177814003713848</v>
      </c>
      <c r="HB119" s="2618">
        <f>SUMIFS(TP!114:114,TP!111:111,'TP(분기)'!HB115)</f>
        <v>87.289586105843284</v>
      </c>
      <c r="HC119" s="2618">
        <f>SUMIFS(TP!114:114,TP!111:111,'TP(분기)'!HC115)</f>
        <v>87.289586105843284</v>
      </c>
      <c r="HD119" s="2618">
        <f>SUMIFS(TP!114:114,TP!111:111,'TP(분기)'!HD115)</f>
        <v>87.289586105843284</v>
      </c>
      <c r="HE119" s="2618">
        <f>SUMIFS(TP!114:114,TP!111:111,'TP(분기)'!HE115)</f>
        <v>87.289586105843284</v>
      </c>
      <c r="HF119" s="2618">
        <f>SUMIFS(TP!114:114,TP!111:111,'TP(분기)'!HF115)</f>
        <v>95.032172393431594</v>
      </c>
      <c r="HG119" s="2618">
        <f>SUMIFS(TP!114:114,TP!111:111,'TP(분기)'!HG115)</f>
        <v>95.032172393431594</v>
      </c>
      <c r="HH119" s="2618">
        <f>SUMIFS(TP!114:114,TP!111:111,'TP(분기)'!HH115)</f>
        <v>95.032172393431594</v>
      </c>
      <c r="HI119" s="2618">
        <f>SUMIFS(TP!114:114,TP!111:111,'TP(분기)'!HI115)</f>
        <v>95.032172393431594</v>
      </c>
      <c r="HJ119" s="2618">
        <f>SUMIFS(TP!114:114,TP!111:111,'TP(분기)'!HJ115)</f>
        <v>103.46152608472899</v>
      </c>
      <c r="HK119" s="2618">
        <f>SUMIFS(TP!114:114,TP!111:111,'TP(분기)'!HK115)</f>
        <v>103.46152608472899</v>
      </c>
      <c r="HL119" s="2618">
        <f>SUMIFS(TP!114:114,TP!111:111,'TP(분기)'!HL115)</f>
        <v>103.46152608472899</v>
      </c>
      <c r="HM119" s="2618">
        <f>SUMIFS(TP!114:114,TP!111:111,'TP(분기)'!HM115)</f>
        <v>103.46152608472899</v>
      </c>
      <c r="HN119" s="2618">
        <f>SUMIFS(TP!114:114,TP!111:111,'TP(분기)'!HN115)</f>
        <v>112.63856344844447</v>
      </c>
      <c r="HO119" s="2618">
        <f>SUMIFS(TP!114:114,TP!111:111,'TP(분기)'!HO115)</f>
        <v>112.63856344844447</v>
      </c>
      <c r="HP119" s="2618">
        <f>SUMIFS(TP!114:114,TP!111:111,'TP(분기)'!HP115)</f>
        <v>112.63856344844447</v>
      </c>
      <c r="HQ119" s="2618">
        <f>SUMIFS(TP!114:114,TP!111:111,'TP(분기)'!HQ115)</f>
        <v>112.63856344844447</v>
      </c>
      <c r="HR119" s="2618">
        <f>SUMIFS(TP!114:114,TP!111:111,'TP(분기)'!HR115)</f>
        <v>122.6296040263214</v>
      </c>
      <c r="HS119" s="2618">
        <f>SUMIFS(TP!114:114,TP!111:111,'TP(분기)'!HS115)</f>
        <v>122.6296040263214</v>
      </c>
      <c r="HT119" s="2618">
        <f>SUMIFS(TP!114:114,TP!111:111,'TP(분기)'!HT115)</f>
        <v>122.6296040263214</v>
      </c>
      <c r="HU119" s="2618">
        <f>SUMIFS(TP!114:114,TP!111:111,'TP(분기)'!HU115)</f>
        <v>122.6296040263214</v>
      </c>
      <c r="HV119" s="2618">
        <f>SUMIFS(TP!114:114,TP!111:111,'TP(분기)'!HV115)</f>
        <v>133.50684990345613</v>
      </c>
      <c r="HW119" s="2618">
        <f>SUMIFS(TP!114:114,TP!111:111,'TP(분기)'!HW115)</f>
        <v>133.50684990345613</v>
      </c>
      <c r="HX119" s="2618">
        <f>SUMIFS(TP!114:114,TP!111:111,'TP(분기)'!HX115)</f>
        <v>133.50684990345613</v>
      </c>
      <c r="HY119" s="2618">
        <f>SUMIFS(TP!114:114,TP!111:111,'TP(분기)'!HY115)</f>
        <v>133.50684990345613</v>
      </c>
      <c r="HZ119" s="2618">
        <f>SUMIFS(TP!114:114,TP!111:111,'TP(분기)'!HZ115)</f>
        <v>145.34890748989272</v>
      </c>
      <c r="IA119" s="2618">
        <f>SUMIFS(TP!114:114,TP!111:111,'TP(분기)'!IA115)</f>
        <v>145.34890748989272</v>
      </c>
    </row>
    <row r="120" spans="2:311" outlineLevel="1">
      <c r="C120" s="2613"/>
      <c r="D120" s="2348" t="s">
        <v>5111</v>
      </c>
      <c r="E120" s="2599"/>
      <c r="F120" s="2619"/>
      <c r="G120" s="2620"/>
      <c r="H120" s="2517"/>
      <c r="J120" s="5304"/>
      <c r="K120" s="5304"/>
      <c r="L120" s="5304"/>
      <c r="M120" s="5304"/>
      <c r="N120" s="5304"/>
      <c r="O120" s="5304"/>
      <c r="P120" s="5304"/>
      <c r="Q120" s="5304"/>
      <c r="R120" s="5304"/>
      <c r="S120" s="5304"/>
      <c r="T120" s="2612"/>
      <c r="U120" s="2612"/>
      <c r="V120" s="2612"/>
      <c r="W120" s="2612"/>
      <c r="X120" s="2612"/>
      <c r="Y120" s="2612"/>
      <c r="Z120" s="2612"/>
      <c r="AA120" s="5296"/>
      <c r="AB120" s="5296"/>
      <c r="AC120" s="5296"/>
      <c r="AD120" s="5296"/>
      <c r="AE120" s="5296"/>
      <c r="AF120" s="5296"/>
      <c r="AG120" s="5296"/>
      <c r="AH120" s="5296"/>
      <c r="AI120" s="5296"/>
      <c r="AJ120" s="5296"/>
      <c r="AK120" s="5296"/>
      <c r="AL120" s="5296"/>
      <c r="AM120" s="5296"/>
      <c r="AN120" s="5296"/>
      <c r="AO120" s="5296"/>
      <c r="AP120" s="5296"/>
      <c r="AQ120" s="5296"/>
      <c r="AR120" s="5296"/>
      <c r="AS120" s="5296"/>
      <c r="AT120" s="5296"/>
      <c r="AU120" s="5296"/>
      <c r="AV120" s="5296"/>
      <c r="AW120" s="5296"/>
      <c r="AX120" s="5296">
        <f t="shared" ref="AX120:CR120" si="178">AX118/AX119</f>
        <v>718.85991892555398</v>
      </c>
      <c r="AY120" s="5296">
        <f t="shared" si="178"/>
        <v>718.85991892555398</v>
      </c>
      <c r="AZ120" s="5296">
        <f t="shared" si="178"/>
        <v>1582.2686824738582</v>
      </c>
      <c r="BA120" s="5296">
        <f t="shared" si="178"/>
        <v>1582.2686824738582</v>
      </c>
      <c r="BB120" s="5296">
        <f t="shared" si="178"/>
        <v>1453.3560048441796</v>
      </c>
      <c r="BC120" s="5296">
        <f t="shared" si="178"/>
        <v>1453.3560048441796</v>
      </c>
      <c r="BD120" s="5296">
        <f t="shared" si="178"/>
        <v>2058.9837944654982</v>
      </c>
      <c r="BE120" s="5296">
        <f t="shared" si="178"/>
        <v>2058.9837944654982</v>
      </c>
      <c r="BF120" s="5296">
        <f t="shared" si="178"/>
        <v>1891.2315554932468</v>
      </c>
      <c r="BG120" s="5296">
        <f t="shared" si="178"/>
        <v>1891.2315554932468</v>
      </c>
      <c r="BH120" s="5296">
        <f t="shared" si="178"/>
        <v>2144.7148805647953</v>
      </c>
      <c r="BI120" s="5296">
        <f t="shared" si="178"/>
        <v>2144.7148805647953</v>
      </c>
      <c r="BJ120" s="5296">
        <f t="shared" si="178"/>
        <v>1969.9778456551808</v>
      </c>
      <c r="BK120" s="5296">
        <f t="shared" si="178"/>
        <v>1969.9778456551808</v>
      </c>
      <c r="BL120" s="5296">
        <f t="shared" si="178"/>
        <v>1749.1074245821139</v>
      </c>
      <c r="BM120" s="5296">
        <f t="shared" si="178"/>
        <v>1749.1074245821139</v>
      </c>
      <c r="BN120" s="5296">
        <f t="shared" si="178"/>
        <v>1606.6018412621606</v>
      </c>
      <c r="BO120" s="5296">
        <f t="shared" si="178"/>
        <v>1606.6018412621606</v>
      </c>
      <c r="BP120" s="5296">
        <f t="shared" si="178"/>
        <v>1443.5751620805509</v>
      </c>
      <c r="BQ120" s="5296">
        <f t="shared" si="178"/>
        <v>1443.5751620805509</v>
      </c>
      <c r="BR120" s="5296">
        <f t="shared" si="178"/>
        <v>1325.9623055759628</v>
      </c>
      <c r="BS120" s="5296">
        <f t="shared" si="178"/>
        <v>1325.9623055759628</v>
      </c>
      <c r="BT120" s="5296">
        <f t="shared" si="178"/>
        <v>1136.3201318626802</v>
      </c>
      <c r="BU120" s="5296">
        <f t="shared" si="178"/>
        <v>1136.3201318626802</v>
      </c>
      <c r="BV120" s="5296">
        <f t="shared" si="178"/>
        <v>1043.7403617733812</v>
      </c>
      <c r="BW120" s="5296">
        <f t="shared" si="178"/>
        <v>1043.7403617733812</v>
      </c>
      <c r="BX120" s="5296">
        <f t="shared" si="178"/>
        <v>1107.8311455784244</v>
      </c>
      <c r="BY120" s="5296">
        <f t="shared" si="178"/>
        <v>1107.8311455784244</v>
      </c>
      <c r="BZ120" s="2610">
        <f t="shared" si="178"/>
        <v>1017.5724676939694</v>
      </c>
      <c r="CA120" s="2610">
        <f t="shared" si="178"/>
        <v>1017.5724676939694</v>
      </c>
      <c r="CB120" s="2610">
        <f t="shared" si="178"/>
        <v>987.30278928058976</v>
      </c>
      <c r="CC120" s="2610">
        <f t="shared" si="178"/>
        <v>987.30278928058976</v>
      </c>
      <c r="CD120" s="2610">
        <f t="shared" si="178"/>
        <v>906.86395635215365</v>
      </c>
      <c r="CE120" s="2610">
        <f t="shared" si="178"/>
        <v>906.86395635215365</v>
      </c>
      <c r="CF120" s="2610">
        <f t="shared" si="178"/>
        <v>908.42711483898177</v>
      </c>
      <c r="CG120" s="2610">
        <f t="shared" si="178"/>
        <v>908.42711483898177</v>
      </c>
      <c r="CH120" s="2388">
        <f t="shared" si="178"/>
        <v>834.41454472212888</v>
      </c>
      <c r="CI120" s="2388">
        <f t="shared" si="178"/>
        <v>834.41454472212888</v>
      </c>
      <c r="CJ120" s="2388">
        <f t="shared" si="178"/>
        <v>831.84562039726995</v>
      </c>
      <c r="CK120" s="2388">
        <f t="shared" si="178"/>
        <v>831.84562039726995</v>
      </c>
      <c r="CL120" s="2388">
        <f t="shared" si="178"/>
        <v>764.07239863807297</v>
      </c>
      <c r="CM120" s="2388">
        <f t="shared" si="178"/>
        <v>764.07239863807297</v>
      </c>
      <c r="CN120" s="2388">
        <f t="shared" si="178"/>
        <v>751.44033102880417</v>
      </c>
      <c r="CO120" s="2388">
        <f t="shared" si="178"/>
        <v>751.44033102880417</v>
      </c>
      <c r="CP120" s="2388">
        <f t="shared" si="178"/>
        <v>690.21799488270801</v>
      </c>
      <c r="CQ120" s="2388">
        <f t="shared" si="178"/>
        <v>690.21799488270801</v>
      </c>
      <c r="CR120" s="2388">
        <f t="shared" si="178"/>
        <v>656.49403957755669</v>
      </c>
      <c r="CS120" s="2388">
        <f t="shared" ref="CS120:FD120" si="179">CS118/CS119</f>
        <v>656.49403957755669</v>
      </c>
      <c r="CT120" s="2388">
        <f t="shared" si="179"/>
        <v>603.00729271383909</v>
      </c>
      <c r="CU120" s="2388">
        <f t="shared" si="179"/>
        <v>603.00729271383909</v>
      </c>
      <c r="CV120" s="2388">
        <f t="shared" si="179"/>
        <v>643.38562638238875</v>
      </c>
      <c r="CW120" s="2388">
        <f t="shared" si="179"/>
        <v>643.38562638238875</v>
      </c>
      <c r="CX120" s="2388">
        <f t="shared" si="179"/>
        <v>590.96686541966449</v>
      </c>
      <c r="CY120" s="2388">
        <f t="shared" si="179"/>
        <v>590.96686541966449</v>
      </c>
      <c r="CZ120" s="2388">
        <f t="shared" si="179"/>
        <v>580.64120527222758</v>
      </c>
      <c r="DA120" s="2388">
        <f t="shared" si="179"/>
        <v>580.64120527222758</v>
      </c>
      <c r="DB120" s="2388">
        <f t="shared" si="179"/>
        <v>533.33444040803499</v>
      </c>
      <c r="DC120" s="2388">
        <f t="shared" si="179"/>
        <v>533.33444040803499</v>
      </c>
      <c r="DD120" s="2388">
        <f t="shared" si="179"/>
        <v>497.72242934587837</v>
      </c>
      <c r="DE120" s="2388">
        <f t="shared" si="179"/>
        <v>497.72242934587837</v>
      </c>
      <c r="DF120" s="2388">
        <f t="shared" si="179"/>
        <v>457.17133218138906</v>
      </c>
      <c r="DG120" s="2388">
        <f t="shared" si="179"/>
        <v>457.17133218138906</v>
      </c>
      <c r="DH120" s="2388">
        <f t="shared" si="179"/>
        <v>63.33731858869055</v>
      </c>
      <c r="DI120" s="2388">
        <f t="shared" si="179"/>
        <v>63.33731858869055</v>
      </c>
      <c r="DJ120" s="2388">
        <f t="shared" si="179"/>
        <v>58.177017166060935</v>
      </c>
      <c r="DK120" s="2388">
        <f t="shared" si="179"/>
        <v>58.177017166060935</v>
      </c>
      <c r="DL120" s="2388">
        <f t="shared" si="179"/>
        <v>347.60480518100985</v>
      </c>
      <c r="DM120" s="2388">
        <f t="shared" si="179"/>
        <v>347.60480518100985</v>
      </c>
      <c r="DN120" s="2388">
        <f t="shared" si="179"/>
        <v>319.28428876734631</v>
      </c>
      <c r="DO120" s="2388">
        <f t="shared" si="179"/>
        <v>319.28428876734631</v>
      </c>
      <c r="DP120" s="2388">
        <f t="shared" si="179"/>
        <v>371.06799906059655</v>
      </c>
      <c r="DQ120" s="2388">
        <f t="shared" si="179"/>
        <v>371.06799906059655</v>
      </c>
      <c r="DR120" s="2388">
        <f t="shared" si="179"/>
        <v>340.83585841884491</v>
      </c>
      <c r="DS120" s="2388">
        <f t="shared" si="179"/>
        <v>340.83585841884491</v>
      </c>
      <c r="DT120" s="2388">
        <f t="shared" si="179"/>
        <v>359.70800506329579</v>
      </c>
      <c r="DU120" s="2388">
        <f t="shared" si="179"/>
        <v>359.70800506329579</v>
      </c>
      <c r="DV120" s="2388">
        <f t="shared" si="179"/>
        <v>330.40140081133075</v>
      </c>
      <c r="DW120" s="2388">
        <f t="shared" si="179"/>
        <v>330.40140081133075</v>
      </c>
      <c r="DX120" s="2388">
        <f t="shared" si="179"/>
        <v>240.39415048733187</v>
      </c>
      <c r="DY120" s="2388">
        <f t="shared" si="179"/>
        <v>240.39415048733187</v>
      </c>
      <c r="DZ120" s="2388">
        <f t="shared" si="179"/>
        <v>220.80844170784601</v>
      </c>
      <c r="EA120" s="2388">
        <f t="shared" si="179"/>
        <v>220.80844170784601</v>
      </c>
      <c r="EB120" s="2388">
        <f t="shared" si="179"/>
        <v>306.9092019774468</v>
      </c>
      <c r="EC120" s="2388">
        <f t="shared" si="179"/>
        <v>306.9092019774468</v>
      </c>
      <c r="ED120" s="2388">
        <f t="shared" si="179"/>
        <v>281.90429133594813</v>
      </c>
      <c r="EE120" s="2388">
        <f t="shared" si="179"/>
        <v>281.90429133594813</v>
      </c>
      <c r="EF120" s="2388">
        <f t="shared" si="179"/>
        <v>303.07297292023196</v>
      </c>
      <c r="EG120" s="2388">
        <f t="shared" si="179"/>
        <v>303.07297292023196</v>
      </c>
      <c r="EH120" s="2388">
        <f t="shared" si="179"/>
        <v>278.38061258402871</v>
      </c>
      <c r="EI120" s="2388">
        <f t="shared" si="179"/>
        <v>278.38061258402871</v>
      </c>
      <c r="EJ120" s="2388">
        <f t="shared" si="179"/>
        <v>284.92430123220663</v>
      </c>
      <c r="EK120" s="2388">
        <f t="shared" si="179"/>
        <v>284.92430123220663</v>
      </c>
      <c r="EL120" s="2388">
        <f t="shared" si="179"/>
        <v>261.71057337393825</v>
      </c>
      <c r="EM120" s="2388">
        <f t="shared" si="179"/>
        <v>261.71057337393825</v>
      </c>
      <c r="EN120" s="2388">
        <f t="shared" si="179"/>
        <v>259.16958694981366</v>
      </c>
      <c r="EO120" s="2388">
        <f t="shared" si="179"/>
        <v>259.16958694981366</v>
      </c>
      <c r="EP120" s="2388">
        <f t="shared" si="179"/>
        <v>238.05418108736441</v>
      </c>
      <c r="EQ120" s="2388">
        <f t="shared" si="179"/>
        <v>238.05418108736441</v>
      </c>
      <c r="ER120" s="2388">
        <f t="shared" si="179"/>
        <v>235.35833580098571</v>
      </c>
      <c r="ES120" s="2388">
        <f t="shared" si="179"/>
        <v>235.35833580098571</v>
      </c>
      <c r="ET120" s="2388">
        <f t="shared" si="179"/>
        <v>216.18291154678587</v>
      </c>
      <c r="EU120" s="2388">
        <f t="shared" si="179"/>
        <v>216.18291154678587</v>
      </c>
      <c r="EV120" s="2388">
        <f t="shared" si="179"/>
        <v>197.15462333049572</v>
      </c>
      <c r="EW120" s="2388">
        <f t="shared" si="179"/>
        <v>197.15462333049572</v>
      </c>
      <c r="EX120" s="2388">
        <f t="shared" si="179"/>
        <v>181.09178224533451</v>
      </c>
      <c r="EY120" s="2388">
        <f t="shared" si="179"/>
        <v>181.09178224533451</v>
      </c>
      <c r="EZ120" s="2388">
        <f t="shared" si="179"/>
        <v>197.11918287097492</v>
      </c>
      <c r="FA120" s="2388">
        <f t="shared" si="179"/>
        <v>197.11918287097492</v>
      </c>
      <c r="FB120" s="2388">
        <f t="shared" si="179"/>
        <v>181.05922923759977</v>
      </c>
      <c r="FC120" s="2388">
        <f t="shared" si="179"/>
        <v>181.05922923759977</v>
      </c>
      <c r="FD120" s="2388">
        <f t="shared" si="179"/>
        <v>164.69110194930269</v>
      </c>
      <c r="FE120" s="2388">
        <f t="shared" ref="FE120:HP120" si="180">FE118/FE119</f>
        <v>164.69110194930269</v>
      </c>
      <c r="FF120" s="2388">
        <f t="shared" si="180"/>
        <v>151.27317162607031</v>
      </c>
      <c r="FG120" s="2388">
        <f t="shared" si="180"/>
        <v>151.27317162607031</v>
      </c>
      <c r="FH120" s="2388">
        <f t="shared" si="180"/>
        <v>163.82953112237078</v>
      </c>
      <c r="FI120" s="2388">
        <f t="shared" si="180"/>
        <v>163.82953112237078</v>
      </c>
      <c r="FJ120" s="2388">
        <f t="shared" si="180"/>
        <v>150.48179583206644</v>
      </c>
      <c r="FK120" s="2388">
        <f t="shared" si="180"/>
        <v>150.48179583206644</v>
      </c>
      <c r="FL120" s="2388">
        <f t="shared" si="180"/>
        <v>147.17742602923988</v>
      </c>
      <c r="FM120" s="2388">
        <f t="shared" si="180"/>
        <v>147.17742602923988</v>
      </c>
      <c r="FN120" s="2388">
        <f t="shared" si="180"/>
        <v>135.18639297257269</v>
      </c>
      <c r="FO120" s="2388">
        <f t="shared" si="180"/>
        <v>135.18639297257269</v>
      </c>
      <c r="FP120" s="2388">
        <f t="shared" si="180"/>
        <v>135.5529003929405</v>
      </c>
      <c r="FQ120" s="2388">
        <f t="shared" si="180"/>
        <v>135.5529003929405</v>
      </c>
      <c r="FR120" s="2388">
        <f t="shared" si="180"/>
        <v>124.50895599608756</v>
      </c>
      <c r="FS120" s="2388">
        <f t="shared" si="180"/>
        <v>124.50895599608756</v>
      </c>
      <c r="FT120" s="2388">
        <f t="shared" si="180"/>
        <v>126.0739085353554</v>
      </c>
      <c r="FU120" s="2388">
        <f t="shared" si="180"/>
        <v>126.0739085353554</v>
      </c>
      <c r="FV120" s="2388">
        <f t="shared" si="180"/>
        <v>115.80224904505866</v>
      </c>
      <c r="FW120" s="2388">
        <f t="shared" si="180"/>
        <v>115.80224904505866</v>
      </c>
      <c r="FX120" s="2388">
        <f t="shared" si="180"/>
        <v>117.40067963874722</v>
      </c>
      <c r="FY120" s="2388">
        <f t="shared" si="180"/>
        <v>117.40067963874722</v>
      </c>
      <c r="FZ120" s="2388">
        <f t="shared" si="180"/>
        <v>107.8356568740215</v>
      </c>
      <c r="GA120" s="2388">
        <f t="shared" si="180"/>
        <v>107.8356568740215</v>
      </c>
      <c r="GB120" s="2388">
        <f t="shared" si="180"/>
        <v>108.39145490832587</v>
      </c>
      <c r="GC120" s="2388">
        <f t="shared" si="180"/>
        <v>108.39145490832587</v>
      </c>
      <c r="GD120" s="2388">
        <f t="shared" si="180"/>
        <v>99.56044356418289</v>
      </c>
      <c r="GE120" s="2388">
        <f t="shared" si="180"/>
        <v>99.56044356418289</v>
      </c>
      <c r="GF120" s="2388">
        <f t="shared" si="180"/>
        <v>91.320886270139454</v>
      </c>
      <c r="GG120" s="2388">
        <f t="shared" si="180"/>
        <v>91.320886270139454</v>
      </c>
      <c r="GH120" s="2388">
        <f t="shared" si="180"/>
        <v>83.880670772609022</v>
      </c>
      <c r="GI120" s="2388">
        <f t="shared" si="180"/>
        <v>83.880670772609022</v>
      </c>
      <c r="GJ120" s="2388">
        <f t="shared" si="180"/>
        <v>6.4270129765743027</v>
      </c>
      <c r="GK120" s="2388">
        <f t="shared" si="180"/>
        <v>6.4270129765743027</v>
      </c>
      <c r="GL120" s="2388">
        <f t="shared" si="180"/>
        <v>5.9033829122570971</v>
      </c>
      <c r="GM120" s="2388">
        <f t="shared" si="180"/>
        <v>5.9033829122570971</v>
      </c>
      <c r="GN120" s="2388">
        <f t="shared" si="180"/>
        <v>62.913397934700583</v>
      </c>
      <c r="GO120" s="2388">
        <f t="shared" si="180"/>
        <v>62.913397934700583</v>
      </c>
      <c r="GP120" s="2388">
        <f t="shared" si="180"/>
        <v>57.787634733811494</v>
      </c>
      <c r="GQ120" s="2388">
        <f t="shared" si="180"/>
        <v>57.787634733811494</v>
      </c>
      <c r="GR120" s="2388">
        <f t="shared" si="180"/>
        <v>65.594815032637229</v>
      </c>
      <c r="GS120" s="2388">
        <f t="shared" si="180"/>
        <v>65.594815032637229</v>
      </c>
      <c r="GT120" s="2388">
        <f t="shared" si="180"/>
        <v>60.250587887055453</v>
      </c>
      <c r="GU120" s="2388">
        <f t="shared" si="180"/>
        <v>60.250587887055453</v>
      </c>
      <c r="GV120" s="2388">
        <f t="shared" si="180"/>
        <v>64.927928969003602</v>
      </c>
      <c r="GW120" s="2388">
        <f t="shared" si="180"/>
        <v>64.927928969003602</v>
      </c>
      <c r="GX120" s="2388">
        <f t="shared" si="180"/>
        <v>59.638035242953613</v>
      </c>
      <c r="GY120" s="2388">
        <f t="shared" si="180"/>
        <v>59.638035242953613</v>
      </c>
      <c r="GZ120" s="2388">
        <f t="shared" si="180"/>
        <v>47.114944146270823</v>
      </c>
      <c r="HA120" s="2388">
        <f t="shared" si="180"/>
        <v>47.114944146270823</v>
      </c>
      <c r="HB120" s="2388">
        <f t="shared" si="180"/>
        <v>43.276333375834305</v>
      </c>
      <c r="HC120" s="2388">
        <f t="shared" si="180"/>
        <v>43.276333375834305</v>
      </c>
      <c r="HD120" s="2388">
        <f t="shared" si="180"/>
        <v>56.128616987847401</v>
      </c>
      <c r="HE120" s="2388">
        <f t="shared" si="180"/>
        <v>56.128616987847401</v>
      </c>
      <c r="HF120" s="2388">
        <f t="shared" si="180"/>
        <v>51.55563239445889</v>
      </c>
      <c r="HG120" s="2388">
        <f t="shared" si="180"/>
        <v>51.55563239445889</v>
      </c>
      <c r="HH120" s="2388">
        <f t="shared" si="180"/>
        <v>55.905083112559062</v>
      </c>
      <c r="HI120" s="2388">
        <f t="shared" si="180"/>
        <v>55.905083112559062</v>
      </c>
      <c r="HJ120" s="2388">
        <f t="shared" si="180"/>
        <v>51.350310565407419</v>
      </c>
      <c r="HK120" s="2388">
        <f t="shared" si="180"/>
        <v>51.350310565407419</v>
      </c>
      <c r="HL120" s="2388">
        <f t="shared" si="180"/>
        <v>51.595268231818153</v>
      </c>
      <c r="HM120" s="2388">
        <f t="shared" si="180"/>
        <v>51.595268231818153</v>
      </c>
      <c r="HN120" s="2388">
        <f t="shared" si="180"/>
        <v>47.391630597793828</v>
      </c>
      <c r="HO120" s="2388">
        <f t="shared" si="180"/>
        <v>47.391630597793828</v>
      </c>
      <c r="HP120" s="2388">
        <f t="shared" si="180"/>
        <v>44.187893207948214</v>
      </c>
      <c r="HQ120" s="2388">
        <f t="shared" ref="HQ120:IA120" si="181">HQ118/HQ119</f>
        <v>44.187893207948214</v>
      </c>
      <c r="HR120" s="2388">
        <f t="shared" si="181"/>
        <v>40.587758985899008</v>
      </c>
      <c r="HS120" s="2388">
        <f t="shared" si="181"/>
        <v>40.587758985899008</v>
      </c>
      <c r="HT120" s="2388">
        <f t="shared" si="181"/>
        <v>43.436827920256931</v>
      </c>
      <c r="HU120" s="2388">
        <f t="shared" si="181"/>
        <v>43.436827920256931</v>
      </c>
      <c r="HV120" s="2388">
        <f t="shared" si="181"/>
        <v>39.897885478329137</v>
      </c>
      <c r="HW120" s="2388">
        <f t="shared" si="181"/>
        <v>39.897885478329137</v>
      </c>
      <c r="HX120" s="2388">
        <f t="shared" si="181"/>
        <v>24.622631065852545</v>
      </c>
      <c r="HY120" s="2388">
        <f t="shared" si="181"/>
        <v>24.622631065852545</v>
      </c>
      <c r="HZ120" s="2388">
        <f t="shared" si="181"/>
        <v>22.616543644578432</v>
      </c>
      <c r="IA120" s="2388">
        <f t="shared" si="181"/>
        <v>22.616543644578432</v>
      </c>
    </row>
    <row r="121" spans="2:311" outlineLevel="1">
      <c r="C121" s="2613"/>
      <c r="D121" s="2348" t="s">
        <v>5112</v>
      </c>
      <c r="E121" s="2599"/>
      <c r="F121" s="2619"/>
      <c r="G121" s="2620"/>
      <c r="H121" s="2517"/>
      <c r="J121" s="5304"/>
      <c r="K121" s="5304"/>
      <c r="L121" s="5304"/>
      <c r="M121" s="5304"/>
      <c r="N121" s="5304"/>
      <c r="O121" s="5304"/>
      <c r="P121" s="5304"/>
      <c r="Q121" s="5304"/>
      <c r="R121" s="5304"/>
      <c r="S121" s="5304"/>
      <c r="T121" s="2612"/>
      <c r="U121" s="2612"/>
      <c r="V121" s="2612"/>
      <c r="W121" s="2612"/>
      <c r="X121" s="2612"/>
      <c r="Y121" s="2612"/>
      <c r="Z121" s="2612"/>
      <c r="AA121" s="5296"/>
      <c r="AB121" s="5296"/>
      <c r="AC121" s="5296"/>
      <c r="AD121" s="5296"/>
      <c r="AE121" s="5296"/>
      <c r="AF121" s="5296"/>
      <c r="AG121" s="5296"/>
      <c r="AH121" s="5296"/>
      <c r="AI121" s="5296"/>
      <c r="AJ121" s="5296"/>
      <c r="AK121" s="5296"/>
      <c r="AL121" s="5296"/>
      <c r="AM121" s="5296"/>
      <c r="AN121" s="5296"/>
      <c r="AO121" s="5296"/>
      <c r="AP121" s="5296"/>
      <c r="AQ121" s="5296"/>
      <c r="AR121" s="5296"/>
      <c r="AS121" s="5296"/>
      <c r="AT121" s="5296"/>
      <c r="AU121" s="5296"/>
      <c r="AV121" s="5296"/>
      <c r="AW121" s="5296"/>
      <c r="AX121" s="5296">
        <f>SUM(AY120:$IA$120)*(1+$F$119)^(YEARFRAC(AX114,$G$119))</f>
        <v>230983.25298623549</v>
      </c>
      <c r="AY121" s="5296">
        <f>SUM(AZ120:$IA$120)*(1+$F$119)^(YEARFRAC(AY114,$G$119))</f>
        <v>233879.75028629613</v>
      </c>
      <c r="AZ121" s="5296">
        <f>SUM(BA120:$IA$120)*(1+$F$119)^(YEARFRAC(AZ114,$G$119))</f>
        <v>234387.70533589547</v>
      </c>
      <c r="BA121" s="5296">
        <f>SUM(BB120:$IA$120)*(1+$F$119)^(YEARFRAC(BA114,$G$119))</f>
        <v>234865.06947013564</v>
      </c>
      <c r="BB121" s="5296">
        <f>SUM(BC120:$IA$120)*(1+$F$119)^(YEARFRAC(BB114,$G$119))</f>
        <v>235580.96251698904</v>
      </c>
      <c r="BC121" s="5296">
        <f>SUM(BD120:$IA$120)*(1+$F$119)^(YEARFRAC(BC114,$G$119))</f>
        <v>236163.54596114258</v>
      </c>
      <c r="BD121" s="5296">
        <f>SUM(BE120:$IA$120)*(1+$F$119)^(YEARFRAC(BD114,$G$119))</f>
        <v>234839.41553101319</v>
      </c>
      <c r="BE121" s="5296">
        <f>SUM(BF120:$IA$120)*(1+$F$119)^(YEARFRAC(BE114,$G$119))</f>
        <v>233404.61423058202</v>
      </c>
      <c r="BF121" s="5296">
        <f>SUM(BG120:$IA$120)*(1+$F$119)^(YEARFRAC(BF114,$G$119))</f>
        <v>232285.85306313576</v>
      </c>
      <c r="BG121" s="5296">
        <f>SUM(BH120:$IA$120)*(1+$F$119)^(YEARFRAC(BG114,$G$119))</f>
        <v>230956.89250940192</v>
      </c>
      <c r="BH121" s="5296">
        <f>SUM(BI120:$IA$120)*(1+$F$119)^(YEARFRAC(BH114,$G$119))</f>
        <v>228663.78204013009</v>
      </c>
      <c r="BI121" s="5296">
        <f>SUM(BJ120:$IA$120)*(1+$F$119)^(YEARFRAC(BI114,$G$119))</f>
        <v>226219.09088788231</v>
      </c>
      <c r="BJ121" s="5296">
        <f>SUM(BK120:$IA$120)*(1+$F$119)^(YEARFRAC(BJ114,$G$119))</f>
        <v>224124.32292548844</v>
      </c>
      <c r="BK121" s="5296">
        <f>SUM(BL120:$IA$120)*(1+$F$119)^(YEARFRAC(BK114,$G$119))</f>
        <v>221782.91845921014</v>
      </c>
      <c r="BL121" s="5296">
        <f>SUM(BM120:$IA$120)*(1+$F$119)^(YEARFRAC(BL114,$G$119))</f>
        <v>220105.95328035267</v>
      </c>
      <c r="BM121" s="5296">
        <f>SUM(BN120:$IA$120)*(1+$F$119)^(YEARFRAC(BM114,$G$119))</f>
        <v>218306.23129787858</v>
      </c>
      <c r="BN121" s="5296">
        <f>SUM(BO120:$IA$120)*(1+$F$119)^(YEARFRAC(BN114,$G$119))</f>
        <v>216821.04468149689</v>
      </c>
      <c r="BO121" s="5296">
        <f>SUM(BP120:$IA$120)*(1+$F$119)^(YEARFRAC(BO114,$G$119))</f>
        <v>215120.62271917876</v>
      </c>
      <c r="BP121" s="5296">
        <f>SUM(BQ120:$IA$120)*(1+$F$119)^(YEARFRAC(BP114,$G$119))</f>
        <v>213954.02014121367</v>
      </c>
      <c r="BQ121" s="5296">
        <f>SUM(BR120:$IA$120)*(1+$F$119)^(YEARFRAC(BQ114,$G$119))</f>
        <v>212688.32516340833</v>
      </c>
      <c r="BR121" s="5296">
        <f>SUM(BS120:$IA$120)*(1+$F$119)^(YEARFRAC(BR114,$G$119))</f>
        <v>211708.89179459453</v>
      </c>
      <c r="BS121" s="5296">
        <f>SUM(BT120:$IA$120)*(1+$F$119)^(YEARFRAC(BS114,$G$119))</f>
        <v>210539.61555592</v>
      </c>
      <c r="BT121" s="5296">
        <f>SUM(BU120:$IA$120)*(1+$F$119)^(YEARFRAC(BT114,$G$119))</f>
        <v>210102.16606200585</v>
      </c>
      <c r="BU121" s="5296">
        <f>SUM(BV120:$IA$120)*(1+$F$119)^(YEARFRAC(BU114,$G$119))</f>
        <v>209598.32190714288</v>
      </c>
      <c r="BV121" s="5296">
        <f>SUM(BW120:$IA$120)*(1+$F$119)^(YEARFRAC(BV114,$G$119))</f>
        <v>209345.81914806194</v>
      </c>
      <c r="BW121" s="5296">
        <f>SUM(BX120:$IA$120)*(1+$F$119)^(YEARFRAC(BW114,$G$119))</f>
        <v>208936.49615124299</v>
      </c>
      <c r="BX121" s="5296">
        <f>SUM(BY120:$IA$120)*(1+$F$119)^(YEARFRAC(BX114,$G$119))</f>
        <v>208160.14920466393</v>
      </c>
      <c r="BY121" s="5296">
        <f>SUM(BZ120:$IA$120)*(1+$F$119)^(YEARFRAC(BY114,$G$119))</f>
        <v>207303.05047885553</v>
      </c>
      <c r="BZ121" s="2610">
        <f>SUM(CA120:$IA$120)*(1+$F$119)^(YEARFRAC(BZ114,$G$119))</f>
        <v>206709.38522020477</v>
      </c>
      <c r="CA121" s="2610">
        <f>SUM(CB120:$IA$120)*(1+$F$119)^(YEARFRAC(CA114,$G$119))</f>
        <v>205946.01229951085</v>
      </c>
      <c r="CB121" s="2610">
        <f>SUM(CC120:$IA$120)*(1+$F$119)^(YEARFRAC(CB114,$G$119))</f>
        <v>205262.00539132007</v>
      </c>
      <c r="CC121" s="2610">
        <f>SUM(CD120:$IA$120)*(1+$F$119)^(YEARFRAC(CC114,$G$119))</f>
        <v>204501.93016578874</v>
      </c>
      <c r="CD121" s="2610">
        <f>SUM(CE120:$IA$120)*(1+$F$119)^(YEARFRAC(CD114,$G$119))</f>
        <v>203998.19360619821</v>
      </c>
      <c r="CE121" s="2610">
        <f>SUM(CF120:$IA$120)*(1+$F$119)^(YEARFRAC(CE114,$G$119))</f>
        <v>203330.52065173633</v>
      </c>
      <c r="CF121" s="2610">
        <f>SUM(CG120:$IA$120)*(1+$F$119)^(YEARFRAC(CF114,$G$119))</f>
        <v>202581.54845701501</v>
      </c>
      <c r="CG121" s="2610">
        <f>SUM(CH120:$IA$120)*(1+$F$119)^(YEARFRAC(CG114,$G$119))</f>
        <v>201754.27535967104</v>
      </c>
      <c r="CH121" s="2388">
        <f>SUM(CI120:$IA$120)*(1+$F$119)^(YEARFRAC(CH114,$G$119))</f>
        <v>201183.09970515961</v>
      </c>
      <c r="CI121" s="2388">
        <f>SUM(CJ120:$IA$120)*(1+$F$119)^(YEARFRAC(CI114,$G$119))</f>
        <v>200447.03910212798</v>
      </c>
      <c r="CJ121" s="2388">
        <f>SUM(CK120:$IA$120)*(1+$F$119)^(YEARFRAC(CJ114,$G$119))</f>
        <v>199651.89693502258</v>
      </c>
      <c r="CK121" s="2388">
        <f>SUM(CL120:$IA$120)*(1+$F$119)^(YEARFRAC(CK114,$G$119))</f>
        <v>198777.09787344548</v>
      </c>
      <c r="CL121" s="2388">
        <f>SUM(CM120:$IA$120)*(1+$F$119)^(YEARFRAC(CL114,$G$119))</f>
        <v>198157.08868647352</v>
      </c>
      <c r="CM121" s="2388">
        <f>SUM(CN120:$IA$120)*(1+$F$119)^(YEARFRAC(CM114,$G$119))</f>
        <v>197372.19606010488</v>
      </c>
      <c r="CN121" s="2388">
        <f>SUM(CO120:$IA$120)*(1+$F$119)^(YEARFRAC(CN114,$G$119))</f>
        <v>196595.3330144115</v>
      </c>
      <c r="CO121" s="2388">
        <f>SUM(CP120:$IA$120)*(1+$F$119)^(YEARFRAC(CO114,$G$119))</f>
        <v>195740.29912792443</v>
      </c>
      <c r="CP121" s="2388">
        <f>SUM(CQ120:$IA$120)*(1+$F$119)^(YEARFRAC(CP114,$G$119))</f>
        <v>195135.89776124508</v>
      </c>
      <c r="CQ121" s="2388">
        <f>SUM(CR120:$IA$120)*(1+$F$119)^(YEARFRAC(CQ114,$G$119))</f>
        <v>194369.39249590808</v>
      </c>
      <c r="CR121" s="2388">
        <f>SUM(CS120:$IA$120)*(1+$F$119)^(YEARFRAC(CR114,$G$119))</f>
        <v>193773.08678414839</v>
      </c>
      <c r="CS121" s="2388">
        <f>SUM(CT120:$IA$120)*(1+$F$119)^(YEARFRAC(CS114,$G$119))</f>
        <v>193107.12766483519</v>
      </c>
      <c r="CT121" s="2388">
        <f>SUM(CU120:$IA$120)*(1+$F$119)^(YEARFRAC(CT114,$G$119))</f>
        <v>192681.08226668686</v>
      </c>
      <c r="CU121" s="2388">
        <f>SUM(CV120:$IA$120)*(1+$F$119)^(YEARFRAC(CU114,$G$119))</f>
        <v>192102.34219512829</v>
      </c>
      <c r="CV121" s="2388">
        <f>SUM(CW120:$IA$120)*(1+$F$119)^(YEARFRAC(CV114,$G$119))</f>
        <v>191137.94340050686</v>
      </c>
      <c r="CW121" s="2388">
        <f>SUM(CX120:$IA$120)*(1+$F$119)^(YEARFRAC(CW114,$G$119))</f>
        <v>190088.41560399131</v>
      </c>
      <c r="CX121" s="2388">
        <f>SUM(CY120:$IA$120)*(1+$F$119)^(YEARFRAC(CX114,$G$119))</f>
        <v>189291.35230399846</v>
      </c>
      <c r="CY121" s="2388">
        <f>SUM(CZ120:$IA$120)*(1+$F$119)^(YEARFRAC(CY114,$G$119))</f>
        <v>188327.94337492081</v>
      </c>
      <c r="CZ121" s="2388">
        <f>SUM(DA120:$IA$120)*(1+$F$119)^(YEARFRAC(CZ114,$G$119))</f>
        <v>187371.42143872072</v>
      </c>
      <c r="DA121" s="2388">
        <f>SUM(DB120:$IA$120)*(1+$F$119)^(YEARFRAC(DA114,$G$119))</f>
        <v>186330.96227717286</v>
      </c>
      <c r="DB121" s="2388">
        <f>SUM(DC120:$IA$120)*(1+$F$119)^(YEARFRAC(DB114,$G$119))</f>
        <v>185538.46033364697</v>
      </c>
      <c r="DC121" s="2388">
        <f>SUM(DD120:$IA$120)*(1+$F$119)^(YEARFRAC(DC114,$G$119))</f>
        <v>184582.42554162955</v>
      </c>
      <c r="DD121" s="2388">
        <f>SUM(DE120:$IA$120)*(1+$F$119)^(YEARFRAC(DD114,$G$119))</f>
        <v>183879.37399470588</v>
      </c>
      <c r="DE121" s="2388">
        <f>SUM(DF120:$IA$120)*(1+$F$119)^(YEARFRAC(DE114,$G$119))</f>
        <v>183104.23640384249</v>
      </c>
      <c r="DF121" s="2388">
        <f>SUM(DG120:$IA$120)*(1+$F$119)^(YEARFRAC(DF114,$G$119))</f>
        <v>182562.52973424605</v>
      </c>
      <c r="DG121" s="2388">
        <f>SUM(DH120:$IA$120)*(1+$F$119)^(YEARFRAC(DG114,$G$119))</f>
        <v>181870.18927377308</v>
      </c>
      <c r="DH121" s="2388">
        <f>SUM(DI120:$IA$120)*(1+$F$119)^(YEARFRAC(DH114,$G$119))</f>
        <v>185129.03059695437</v>
      </c>
      <c r="DI121" s="2388">
        <f>SUM(DJ120:$IA$120)*(1+$F$119)^(YEARFRAC(DI114,$G$119))</f>
        <v>188488.45790431177</v>
      </c>
      <c r="DJ121" s="2388">
        <f>SUM(DK120:$IA$120)*(1+$F$119)^(YEARFRAC(DJ114,$G$119))</f>
        <v>191916.1664204672</v>
      </c>
      <c r="DK121" s="2388">
        <f>SUM(DL120:$IA$120)*(1+$F$119)^(YEARFRAC(DK114,$G$119))</f>
        <v>195358.04759354432</v>
      </c>
      <c r="DL121" s="2388">
        <f>SUM(DM120:$IA$120)*(1+$F$119)^(YEARFRAC(DL114,$G$119))</f>
        <v>195690.0768542357</v>
      </c>
      <c r="DM121" s="2388">
        <f>SUM(DN120:$IA$120)*(1+$F$119)^(YEARFRAC(DM114,$G$119))</f>
        <v>195992.5468959602</v>
      </c>
      <c r="DN121" s="2388">
        <f>SUM(DO120:$IA$120)*(1+$F$119)^(YEARFRAC(DN114,$G$119))</f>
        <v>196498.03426121094</v>
      </c>
      <c r="DO121" s="2388">
        <f>SUM(DP120:$IA$120)*(1+$F$119)^(YEARFRAC(DO114,$G$119))</f>
        <v>196888.37283306583</v>
      </c>
      <c r="DP121" s="2388">
        <f>SUM(DQ120:$IA$120)*(1+$F$119)^(YEARFRAC(DP114,$G$119))</f>
        <v>196626.74053988219</v>
      </c>
      <c r="DQ121" s="2388">
        <f>SUM(DR120:$IA$120)*(1+$F$119)^(YEARFRAC(DQ114,$G$119))</f>
        <v>196309.42233304839</v>
      </c>
      <c r="DR121" s="2388">
        <f>SUM(DS120:$IA$120)*(1+$F$119)^(YEARFRAC(DR114,$G$119))</f>
        <v>196221.11411953875</v>
      </c>
      <c r="DS121" s="2388">
        <f>SUM(DT120:$IA$120)*(1+$F$119)^(YEARFRAC(DS114,$G$119))</f>
        <v>195992.22097354007</v>
      </c>
      <c r="DT121" s="2388">
        <f>SUM(DU120:$IA$120)*(1+$F$119)^(YEARFRAC(DT114,$G$119))</f>
        <v>195462.76121877434</v>
      </c>
      <c r="DU121" s="2388">
        <f>SUM(DV120:$IA$120)*(1+$F$119)^(YEARFRAC(DU114,$G$119))</f>
        <v>194866.18578563578</v>
      </c>
      <c r="DV121" s="2388">
        <f>SUM(DW120:$IA$120)*(1+$F$119)^(YEARFRAC(DV114,$G$119))</f>
        <v>194508.58770110019</v>
      </c>
      <c r="DW121" s="2388">
        <f>SUM(DX120:$IA$120)*(1+$F$119)^(YEARFRAC(DW114,$G$119))</f>
        <v>193999.97539899408</v>
      </c>
      <c r="DX121" s="2388">
        <f>SUM(DY120:$IA$120)*(1+$F$119)^(YEARFRAC(DX114,$G$119))</f>
        <v>194718.47211619752</v>
      </c>
      <c r="DY121" s="2388">
        <f>SUM(DZ120:$IA$120)*(1+$F$119)^(YEARFRAC(DY114,$G$119))</f>
        <v>195424.49927793586</v>
      </c>
      <c r="DZ121" s="2388">
        <f>SUM(EA120:$IA$120)*(1+$F$119)^(YEARFRAC(DZ114,$G$119))</f>
        <v>196316.221605258</v>
      </c>
      <c r="EA121" s="2388">
        <f>SUM(EB120:$IA$120)*(1+$F$119)^(YEARFRAC(EA114,$G$119))</f>
        <v>197109.59238535611</v>
      </c>
      <c r="EB121" s="2388">
        <f>SUM(EC120:$IA$120)*(1+$F$119)^(YEARFRAC(EB114,$G$119))</f>
        <v>196550.62753677732</v>
      </c>
      <c r="EC121" s="2388">
        <f>SUM(ED120:$IA$120)*(1+$F$119)^(YEARFRAC(EC114,$G$119))</f>
        <v>195923.01408773757</v>
      </c>
      <c r="ED121" s="2388">
        <f>SUM(EE120:$IA$120)*(1+$F$119)^(YEARFRAC(ED114,$G$119))</f>
        <v>195536.82439846985</v>
      </c>
      <c r="EE121" s="2388">
        <f>SUM(EF120:$IA$120)*(1+$F$119)^(YEARFRAC(EE114,$G$119))</f>
        <v>194997.66971324885</v>
      </c>
      <c r="EF121" s="2388">
        <f>SUM(EG120:$IA$120)*(1+$F$119)^(YEARFRAC(EF114,$G$119))</f>
        <v>194033.54705289606</v>
      </c>
      <c r="EG121" s="2388">
        <f>SUM(EH120:$IA$120)*(1+$F$119)^(YEARFRAC(EG114,$G$119))</f>
        <v>192983.65558755267</v>
      </c>
      <c r="EH121" s="2388">
        <f>SUM(EI120:$IA$120)*(1+$F$119)^(YEARFRAC(EH114,$G$119))</f>
        <v>192189.42755004848</v>
      </c>
      <c r="EI121" s="2388">
        <f>SUM(EJ120:$IA$120)*(1+$F$119)^(YEARFRAC(EI114,$G$119))</f>
        <v>191226.95619174553</v>
      </c>
      <c r="EJ121" s="2388">
        <f>SUM(EK120:$IA$120)*(1+$F$119)^(YEARFRAC(EJ114,$G$119))</f>
        <v>190060.77377043324</v>
      </c>
      <c r="EK121" s="2388">
        <f>SUM(EL120:$IA$120)*(1+$F$119)^(YEARFRAC(EK114,$G$119))</f>
        <v>188800.8961321527</v>
      </c>
      <c r="EL121" s="2388">
        <f>SUM(EM120:$IA$120)*(1+$F$119)^(YEARFRAC(EL114,$G$119))</f>
        <v>187800.77049248377</v>
      </c>
      <c r="EM121" s="2388">
        <f>SUM(EN120:$IA$120)*(1+$F$119)^(YEARFRAC(EM114,$G$119))</f>
        <v>186626.5737207206</v>
      </c>
      <c r="EN121" s="2388">
        <f>SUM(EO120:$IA$120)*(1+$F$119)^(YEARFRAC(EN114,$G$119))</f>
        <v>185412.79672326474</v>
      </c>
      <c r="EO121" s="2388">
        <f>SUM(EP120:$IA$120)*(1+$F$119)^(YEARFRAC(EO114,$G$119))</f>
        <v>184104.29315600789</v>
      </c>
      <c r="EP121" s="2388">
        <f>SUM(EQ120:$IA$120)*(1+$F$119)^(YEARFRAC(EP114,$G$119))</f>
        <v>183052.3886854189</v>
      </c>
      <c r="EQ121" s="2388">
        <f>SUM(ER120:$IA$120)*(1+$F$119)^(YEARFRAC(EQ114,$G$119))</f>
        <v>181827.48802454167</v>
      </c>
      <c r="ER121" s="2388">
        <f>SUM(ES120:$IA$120)*(1+$F$119)^(YEARFRAC(ER114,$G$119))</f>
        <v>180569.78682525028</v>
      </c>
      <c r="ES121" s="2388">
        <f>SUM(ET120:$IA$120)*(1+$F$119)^(YEARFRAC(ES114,$G$119))</f>
        <v>179216.53183640269</v>
      </c>
      <c r="ET121" s="2388">
        <f>SUM(EU120:$IA$120)*(1+$F$119)^(YEARFRAC(ET114,$G$119))</f>
        <v>178116.35251554064</v>
      </c>
      <c r="EU121" s="2388">
        <f>SUM(EV120:$IA$120)*(1+$F$119)^(YEARFRAC(EU114,$G$119))</f>
        <v>176844.53398564598</v>
      </c>
      <c r="EV121" s="2388">
        <f>SUM(EW120:$IA$120)*(1+$F$119)^(YEARFRAC(EV114,$G$119))</f>
        <v>175934.20145586485</v>
      </c>
      <c r="EW121" s="2388">
        <f>SUM(EX120:$IA$120)*(1+$F$119)^(YEARFRAC(EW114,$G$119))</f>
        <v>174944.52280724977</v>
      </c>
      <c r="EX121" s="2388">
        <f>SUM(EY120:$IA$120)*(1+$F$119)^(YEARFRAC(EX114,$G$119))</f>
        <v>174188.17867131118</v>
      </c>
      <c r="EY121" s="2388">
        <f>SUM(EZ120:$IA$120)*(1+$F$119)^(YEARFRAC(EY114,$G$119))</f>
        <v>173277.77388360101</v>
      </c>
      <c r="EZ121" s="2388">
        <f>SUM(FA120:$IA$120)*(1+$F$119)^(YEARFRAC(EZ114,$G$119))</f>
        <v>171874.19187985637</v>
      </c>
      <c r="FA121" s="2388">
        <f>SUM(FB120:$IA$120)*(1+$F$119)^(YEARFRAC(FA114,$G$119))</f>
        <v>170370.64532356619</v>
      </c>
      <c r="FB121" s="2388">
        <f>SUM(FC120:$IA$120)*(1+$F$119)^(YEARFRAC(FB114,$G$119))</f>
        <v>169116.66507416649</v>
      </c>
      <c r="FC121" s="2388">
        <f>SUM(FD120:$IA$120)*(1+$F$119)^(YEARFRAC(FC114,$G$119))</f>
        <v>167690.68043938265</v>
      </c>
      <c r="FD121" s="2388">
        <f>SUM(FE120:$IA$120)*(1+$F$119)^(YEARFRAC(FD114,$G$119))</f>
        <v>166630.38478065116</v>
      </c>
      <c r="FE121" s="2388">
        <f>SUM(FF120:$IA$120)*(1+$F$119)^(YEARFRAC(FE114,$G$119))</f>
        <v>165486.29095211075</v>
      </c>
      <c r="FF121" s="2388">
        <f>SUM(FG120:$IA$120)*(1+$F$119)^(YEARFRAC(FF114,$G$119))</f>
        <v>164571.51949889565</v>
      </c>
      <c r="FG121" s="2388">
        <f>SUM(FH120:$IA$120)*(1+$F$119)^(YEARFRAC(FG114,$G$119))</f>
        <v>163502.55258747953</v>
      </c>
      <c r="FH121" s="2388">
        <f>SUM(FI120:$IA$120)*(1+$F$119)^(YEARFRAC(FH114,$G$119))</f>
        <v>161965.42436288996</v>
      </c>
      <c r="FI121" s="2388">
        <f>SUM(FJ120:$IA$120)*(1+$F$119)^(YEARFRAC(FI114,$G$119))</f>
        <v>160324.73238850146</v>
      </c>
      <c r="FJ121" s="2388">
        <f>SUM(FK120:$IA$120)*(1+$F$119)^(YEARFRAC(FJ114,$G$119))</f>
        <v>158928.23376370143</v>
      </c>
      <c r="FK121" s="2388">
        <f>SUM(FL120:$IA$120)*(1+$F$119)^(YEARFRAC(FK114,$G$119))</f>
        <v>157360.68114878319</v>
      </c>
      <c r="FL121" s="2388">
        <f>SUM(FM120:$IA$120)*(1+$F$119)^(YEARFRAC(FL114,$G$119))</f>
        <v>155802.51496209655</v>
      </c>
      <c r="FM121" s="2388">
        <f>SUM(FN120:$IA$120)*(1+$F$119)^(YEARFRAC(FM114,$G$119))</f>
        <v>154141.25402226852</v>
      </c>
      <c r="FN121" s="2388">
        <f>SUM(FO120:$IA$120)*(1+$F$119)^(YEARFRAC(FN114,$G$119))</f>
        <v>152718.23754106672</v>
      </c>
      <c r="FO121" s="2388">
        <f>SUM(FP120:$IA$120)*(1+$F$119)^(YEARFRAC(FO114,$G$119))</f>
        <v>151127.35111500844</v>
      </c>
      <c r="FP121" s="2388">
        <f>SUM(FQ120:$IA$120)*(1+$F$119)^(YEARFRAC(FP114,$G$119))</f>
        <v>149421.94876417704</v>
      </c>
      <c r="FQ121" s="2388">
        <f>SUM(FR120:$IA$120)*(1+$F$119)^(YEARFRAC(FQ114,$G$119))</f>
        <v>147608.46057138688</v>
      </c>
      <c r="FR121" s="2388">
        <f>SUM(FS120:$IA$120)*(1+$F$119)^(YEARFRAC(FR114,$G$119))</f>
        <v>146032.33126608765</v>
      </c>
      <c r="FS121" s="2388">
        <f>SUM(FT120:$IA$120)*(1+$F$119)^(YEARFRAC(FS114,$G$119))</f>
        <v>144286.38374779583</v>
      </c>
      <c r="FT121" s="2388">
        <f>SUM(FU120:$IA$120)*(1+$F$119)^(YEARFRAC(FT114,$G$119))</f>
        <v>142371.85836477493</v>
      </c>
      <c r="FU121" s="2388">
        <f>SUM(FV120:$IA$120)*(1+$F$119)^(YEARFRAC(FU114,$G$119))</f>
        <v>140341.70515101805</v>
      </c>
      <c r="FV121" s="2388">
        <f>SUM(FW120:$IA$120)*(1+$F$119)^(YEARFRAC(FV114,$G$119))</f>
        <v>138549.884279394</v>
      </c>
      <c r="FW121" s="2388">
        <f>SUM(FX120:$IA$120)*(1+$F$119)^(YEARFRAC(FW114,$G$119))</f>
        <v>136584.15114695861</v>
      </c>
      <c r="FX121" s="2388">
        <f>SUM(FY120:$IA$120)*(1+$F$119)^(YEARFRAC(FX114,$G$119))</f>
        <v>134435.03995909821</v>
      </c>
      <c r="FY121" s="2388">
        <f>SUM(FZ120:$IA$120)*(1+$F$119)^(YEARFRAC(FY114,$G$119))</f>
        <v>132161.8470141697</v>
      </c>
      <c r="FZ121" s="2388">
        <f>SUM(GA120:$IA$120)*(1+$F$119)^(YEARFRAC(FZ114,$G$119))</f>
        <v>130128.04700387298</v>
      </c>
      <c r="GA121" s="2388">
        <f>SUM(GB120:$IA$120)*(1+$F$119)^(YEARFRAC(GA114,$G$119))</f>
        <v>127915.76086140903</v>
      </c>
      <c r="GB121" s="2388">
        <f>SUM(GC120:$IA$120)*(1+$F$119)^(YEARFRAC(GB114,$G$119))</f>
        <v>125554.31655826025</v>
      </c>
      <c r="GC121" s="2388">
        <f>SUM(GD120:$IA$120)*(1+$F$119)^(YEARFRAC(GC114,$G$119))</f>
        <v>123061.5204872</v>
      </c>
      <c r="GD121" s="2388">
        <f>SUM(GE120:$IA$120)*(1+$F$119)^(YEARFRAC(GD114,$G$119))</f>
        <v>120807.19600063986</v>
      </c>
      <c r="GE121" s="2388">
        <f>SUM(GF120:$IA$120)*(1+$F$119)^(YEARFRAC(GE114,$G$119))</f>
        <v>118371.36417393123</v>
      </c>
      <c r="GF121" s="2388">
        <f>SUM(GG120:$IA$120)*(1+$F$119)^(YEARFRAC(GF114,$G$119))</f>
        <v>116227.72303710449</v>
      </c>
      <c r="GG121" s="2388">
        <f>SUM(GH120:$IA$120)*(1+$F$119)^(YEARFRAC(GG114,$G$119))</f>
        <v>113964.33776036809</v>
      </c>
      <c r="GH121" s="2388">
        <f>SUM(GI120:$IA$120)*(1+$F$119)^(YEARFRAC(GH114,$G$119))</f>
        <v>111919.92788788541</v>
      </c>
      <c r="GI121" s="2388">
        <f>SUM(GJ120:$IA$120)*(1+$F$119)^(YEARFRAC(GI114,$G$119))</f>
        <v>109709.26568044275</v>
      </c>
      <c r="GJ121" s="2388">
        <f>SUM(GK120:$IA$120)*(1+$F$119)^(YEARFRAC(GJ114,$G$119))</f>
        <v>111706.08972929016</v>
      </c>
      <c r="GK121" s="2388">
        <f>SUM(GL120:$IA$120)*(1+$F$119)^(YEARFRAC(GK114,$G$119))</f>
        <v>113764.93633307971</v>
      </c>
      <c r="GL121" s="2388">
        <f>SUM(GM120:$IA$120)*(1+$F$119)^(YEARFRAC(GL114,$G$119))</f>
        <v>115863.70347806564</v>
      </c>
      <c r="GM121" s="2388">
        <f>SUM(GN120:$IA$120)*(1+$F$119)^(YEARFRAC(GM114,$G$119))</f>
        <v>117972.29544748955</v>
      </c>
      <c r="GN121" s="2388">
        <f>SUM(GO120:$IA$120)*(1+$F$119)^(YEARFRAC(GN114,$G$119))</f>
        <v>116679.57645471055</v>
      </c>
      <c r="GO121" s="2388">
        <f>SUM(GP120:$IA$120)*(1+$F$119)^(YEARFRAC(GO114,$G$119))</f>
        <v>115304.15794499282</v>
      </c>
      <c r="GP121" s="2388">
        <f>SUM(GQ120:$IA$120)*(1+$F$119)^(YEARFRAC(GP114,$G$119))</f>
        <v>114112.44794440988</v>
      </c>
      <c r="GQ121" s="2388">
        <f>SUM(GR120:$IA$120)*(1+$F$119)^(YEARFRAC(GQ114,$G$119))</f>
        <v>112789.76122518757</v>
      </c>
      <c r="GR121" s="2388">
        <f>SUM(GS120:$IA$120)*(1+$F$119)^(YEARFRAC(GR114,$G$119))</f>
        <v>110868.86059811938</v>
      </c>
      <c r="GS121" s="2388">
        <f>SUM(GT120:$IA$120)*(1+$F$119)^(YEARFRAC(GS114,$G$119))</f>
        <v>108839.14578046485</v>
      </c>
      <c r="GT121" s="2388">
        <f>SUM(GU120:$IA$120)*(1+$F$119)^(YEARFRAC(GT114,$G$119))</f>
        <v>107013.10192290599</v>
      </c>
      <c r="GU121" s="2388">
        <f>SUM(GV120:$IA$120)*(1+$F$119)^(YEARFRAC(GU114,$G$119))</f>
        <v>105033.65099537819</v>
      </c>
      <c r="GV121" s="2388">
        <f>SUM(GW120:$IA$120)*(1+$F$119)^(YEARFRAC(GV114,$G$119))</f>
        <v>102609.05640841977</v>
      </c>
      <c r="GW121" s="2388">
        <f>SUM(GX120:$IA$120)*(1+$F$119)^(YEARFRAC(GW114,$G$119))</f>
        <v>100055.51870790208</v>
      </c>
      <c r="GX121" s="2388">
        <f>SUM(GY120:$IA$120)*(1+$F$119)^(YEARFRAC(GX114,$G$119))</f>
        <v>97717.666210859752</v>
      </c>
      <c r="GY121" s="2388">
        <f>SUM(GZ120:$IA$120)*(1+$F$119)^(YEARFRAC(GY114,$G$119))</f>
        <v>95210.795432147046</v>
      </c>
      <c r="GZ121" s="2388">
        <f>SUM(HA120:$IA$120)*(1+$F$119)^(YEARFRAC(GZ114,$G$119))</f>
        <v>93558.005308921696</v>
      </c>
      <c r="HA121" s="2388">
        <f>SUM(HB120:$IA$120)*(1+$F$119)^(YEARFRAC(HA114,$G$119))</f>
        <v>91812.002165669925</v>
      </c>
      <c r="HB121" s="2388">
        <f>SUM(HC120:$IA$120)*(1+$F$119)^(YEARFRAC(HB114,$G$119))</f>
        <v>90239.206515262893</v>
      </c>
      <c r="HC121" s="2388">
        <f>SUM(HD120:$IA$120)*(1+$F$119)^(YEARFRAC(HC114,$G$119))</f>
        <v>88535.626419297972</v>
      </c>
      <c r="HD121" s="2388">
        <f>SUM(HE120:$IA$120)*(1+$F$119)^(YEARFRAC(HD114,$G$119))</f>
        <v>85641.470469933367</v>
      </c>
      <c r="HE121" s="2388">
        <f>SUM(HF120:$IA$120)*(1+$F$119)^(YEARFRAC(HE114,$G$119))</f>
        <v>82601.69280952953</v>
      </c>
      <c r="HF121" s="2388">
        <f>SUM(HG120:$IA$120)*(1+$F$119)^(YEARFRAC(HF114,$G$119))</f>
        <v>79778.524990169462</v>
      </c>
      <c r="HG121" s="2388">
        <f>SUM(HH120:$IA$120)*(1+$F$119)^(YEARFRAC(HG114,$G$119))</f>
        <v>76777.896155188515</v>
      </c>
      <c r="HH121" s="2388">
        <f>SUM(HI120:$IA$120)*(1+$F$119)^(YEARFRAC(HH114,$G$119))</f>
        <v>73226.708864467437</v>
      </c>
      <c r="HI121" s="2388">
        <f>SUM(HJ120:$IA$120)*(1+$F$119)^(YEARFRAC(HI114,$G$119))</f>
        <v>69504.012478565928</v>
      </c>
      <c r="HJ121" s="2388">
        <f>SUM(HK120:$IA$120)*(1+$F$119)^(YEARFRAC(HJ114,$G$119))</f>
        <v>66011.778739030269</v>
      </c>
      <c r="HK121" s="2388">
        <f>SUM(HL120:$IA$120)*(1+$F$119)^(YEARFRAC(HK114,$G$119))</f>
        <v>62322.801967153449</v>
      </c>
      <c r="HL121" s="2388">
        <f>SUM(HM120:$IA$120)*(1+$F$119)^(YEARFRAC(HL114,$G$119))</f>
        <v>58436.409797819717</v>
      </c>
      <c r="HM121" s="2388">
        <f>SUM(HN120:$IA$120)*(1+$F$119)^(YEARFRAC(HM114,$G$119))</f>
        <v>54367.20501334135</v>
      </c>
      <c r="HN121" s="2388">
        <f>SUM(HO120:$IA$120)*(1+$F$119)^(YEARFRAC(HN114,$G$119))</f>
        <v>50526.154031004429</v>
      </c>
      <c r="HO121" s="2388">
        <f>SUM(HP120:$IA$120)*(1+$F$119)^(YEARFRAC(HO114,$G$119))</f>
        <v>46484.098564646061</v>
      </c>
      <c r="HP121" s="2388">
        <f>SUM(HQ120:$IA$120)*(1+$F$119)^(YEARFRAC(HP114,$G$119))</f>
        <v>42610.790713690476</v>
      </c>
      <c r="HQ121" s="2388">
        <f>SUM(HR120:$IA$120)*(1+$F$119)^(YEARFRAC(HQ114,$G$119))</f>
        <v>38558.804092481929</v>
      </c>
      <c r="HR121" s="2388">
        <f>SUM(HS120:$IA$120)*(1+$F$119)^(YEARFRAC(HR114,$G$119))</f>
        <v>34716.874421472945</v>
      </c>
      <c r="HS121" s="2388">
        <f>SUM(HT120:$IA$120)*(1+$F$119)^(YEARFRAC(HS114,$G$119))</f>
        <v>30684.921996302135</v>
      </c>
      <c r="HT121" s="2388">
        <f>SUM(HU120:$IA$120)*(1+$F$119)^(YEARFRAC(HT114,$G$119))</f>
        <v>26130.39753002267</v>
      </c>
      <c r="HU121" s="2388">
        <f>SUM(HV120:$IA$120)*(1+$F$119)^(YEARFRAC(HU114,$G$119))</f>
        <v>21371.166373930773</v>
      </c>
      <c r="HV121" s="2388">
        <f>SUM(HW120:$IA$120)*(1+$F$119)^(YEARFRAC(HV114,$G$119))</f>
        <v>16832.353761578983</v>
      </c>
      <c r="HW121" s="2388">
        <f>SUM(HX120:$IA$120)*(1+$F$119)^(YEARFRAC(HW114,$G$119))</f>
        <v>12085.905993222168</v>
      </c>
      <c r="HX121" s="2388">
        <f>SUM(HY120:$IA$120)*(1+$F$119)^(YEARFRAC(HX114,$G$119))</f>
        <v>9128.0063452696377</v>
      </c>
      <c r="HY121" s="2388">
        <f>SUM(HZ120:$IA$120)*(1+$F$119)^(YEARFRAC(HY114,$G$119))</f>
        <v>6038.9269953833946</v>
      </c>
      <c r="HZ121" s="2388">
        <f>SUM(IA120:$IA$120)*(1+$F$119)^(YEARFRAC(HZ114,$G$119))</f>
        <v>3084.3016025281531</v>
      </c>
      <c r="IA121" s="2388">
        <f>SUM($IA120:IB$120)*(1+$F$119)^(YEARFRAC(IA114,$G$119))</f>
        <v>3149.7883503664893</v>
      </c>
    </row>
    <row r="122" spans="2:311" outlineLevel="1">
      <c r="C122" s="2622"/>
      <c r="D122" s="2349" t="s">
        <v>5113</v>
      </c>
      <c r="E122" s="2623"/>
      <c r="F122" s="2624"/>
      <c r="G122" s="2625"/>
      <c r="H122" s="2626"/>
      <c r="J122" s="5308"/>
      <c r="K122" s="5308"/>
      <c r="L122" s="5308"/>
      <c r="M122" s="5308"/>
      <c r="N122" s="5308"/>
      <c r="O122" s="5308"/>
      <c r="P122" s="5309"/>
      <c r="Q122" s="5309"/>
      <c r="R122" s="5309"/>
      <c r="S122" s="5310"/>
      <c r="T122" s="2630"/>
      <c r="U122" s="2630"/>
      <c r="V122" s="2630"/>
      <c r="W122" s="2630"/>
      <c r="X122" s="2630"/>
      <c r="Y122" s="2630"/>
      <c r="Z122" s="2630"/>
      <c r="AA122" s="5298"/>
      <c r="AB122" s="5298"/>
      <c r="AC122" s="5298"/>
      <c r="AD122" s="5298"/>
      <c r="AE122" s="5298"/>
      <c r="AF122" s="5298"/>
      <c r="AG122" s="5298"/>
      <c r="AH122" s="5298"/>
      <c r="AI122" s="5298"/>
      <c r="AJ122" s="5298"/>
      <c r="AK122" s="5298"/>
      <c r="AL122" s="5298"/>
      <c r="AM122" s="5298"/>
      <c r="AN122" s="5298"/>
      <c r="AO122" s="5298"/>
      <c r="AP122" s="5298"/>
      <c r="AQ122" s="5298"/>
      <c r="AR122" s="5298"/>
      <c r="AS122" s="5298"/>
      <c r="AT122" s="5298"/>
      <c r="AU122" s="5298"/>
      <c r="AV122" s="5298"/>
      <c r="AW122" s="5298"/>
      <c r="AX122" s="5298">
        <f t="shared" ref="AX122:CR122" si="182">AX121*AX117</f>
        <v>138589.95179174127</v>
      </c>
      <c r="AY122" s="5298">
        <f t="shared" si="182"/>
        <v>140327.85017177768</v>
      </c>
      <c r="AZ122" s="5298">
        <f t="shared" si="182"/>
        <v>140632.62320153727</v>
      </c>
      <c r="BA122" s="5298">
        <f t="shared" si="182"/>
        <v>140919.04168208138</v>
      </c>
      <c r="BB122" s="5298">
        <f t="shared" si="182"/>
        <v>141348.57751019343</v>
      </c>
      <c r="BC122" s="5298">
        <f t="shared" si="182"/>
        <v>141698.12757668554</v>
      </c>
      <c r="BD122" s="5298">
        <f t="shared" si="182"/>
        <v>140903.6493186079</v>
      </c>
      <c r="BE122" s="5298">
        <f t="shared" si="182"/>
        <v>140042.76853834922</v>
      </c>
      <c r="BF122" s="5298">
        <f t="shared" si="182"/>
        <v>139371.51183788144</v>
      </c>
      <c r="BG122" s="5298">
        <f t="shared" si="182"/>
        <v>138574.13550564114</v>
      </c>
      <c r="BH122" s="5298">
        <f t="shared" si="182"/>
        <v>137198.26922407805</v>
      </c>
      <c r="BI122" s="5298">
        <f t="shared" si="182"/>
        <v>135731.45453272937</v>
      </c>
      <c r="BJ122" s="5298">
        <f t="shared" si="182"/>
        <v>134474.59375529306</v>
      </c>
      <c r="BK122" s="5298">
        <f t="shared" si="182"/>
        <v>133069.75107552609</v>
      </c>
      <c r="BL122" s="5298">
        <f t="shared" si="182"/>
        <v>132063.57196821159</v>
      </c>
      <c r="BM122" s="5298">
        <f t="shared" si="182"/>
        <v>130983.73877872714</v>
      </c>
      <c r="BN122" s="5298">
        <f t="shared" si="182"/>
        <v>130092.62680889813</v>
      </c>
      <c r="BO122" s="5298">
        <f t="shared" si="182"/>
        <v>129072.37363150725</v>
      </c>
      <c r="BP122" s="5298">
        <f t="shared" si="182"/>
        <v>128372.41208472819</v>
      </c>
      <c r="BQ122" s="5298">
        <f t="shared" si="182"/>
        <v>127612.99509804499</v>
      </c>
      <c r="BR122" s="5298">
        <f t="shared" si="182"/>
        <v>127025.33507675672</v>
      </c>
      <c r="BS122" s="5298">
        <f t="shared" si="182"/>
        <v>126323.76933355199</v>
      </c>
      <c r="BT122" s="5298">
        <f t="shared" si="182"/>
        <v>126061.29963720351</v>
      </c>
      <c r="BU122" s="5298">
        <f t="shared" si="182"/>
        <v>125758.99314428572</v>
      </c>
      <c r="BV122" s="5298">
        <f t="shared" si="182"/>
        <v>125607.49148883716</v>
      </c>
      <c r="BW122" s="5298">
        <f t="shared" si="182"/>
        <v>125361.89769074578</v>
      </c>
      <c r="BX122" s="5298">
        <f t="shared" si="182"/>
        <v>124896.08952279836</v>
      </c>
      <c r="BY122" s="5298">
        <f t="shared" si="182"/>
        <v>124381.83028731331</v>
      </c>
      <c r="BZ122" s="5312">
        <f t="shared" si="182"/>
        <v>133251.50808108476</v>
      </c>
      <c r="CA122" s="5312">
        <f t="shared" si="182"/>
        <v>132759.41338106734</v>
      </c>
      <c r="CB122" s="5312">
        <f t="shared" si="182"/>
        <v>132318.48056150906</v>
      </c>
      <c r="CC122" s="5312">
        <f t="shared" si="182"/>
        <v>131828.51166169724</v>
      </c>
      <c r="CD122" s="5312">
        <f t="shared" si="182"/>
        <v>128929.21798149546</v>
      </c>
      <c r="CE122" s="5312">
        <f t="shared" si="182"/>
        <v>128507.24095138341</v>
      </c>
      <c r="CF122" s="5312">
        <f t="shared" si="182"/>
        <v>128033.88186104895</v>
      </c>
      <c r="CG122" s="5312">
        <f t="shared" si="182"/>
        <v>127511.03569455992</v>
      </c>
      <c r="CH122" s="2427">
        <f t="shared" si="182"/>
        <v>118319.46457565539</v>
      </c>
      <c r="CI122" s="2427">
        <f t="shared" si="182"/>
        <v>117886.57385782884</v>
      </c>
      <c r="CJ122" s="2427">
        <f t="shared" si="182"/>
        <v>117418.93619039399</v>
      </c>
      <c r="CK122" s="2427">
        <f t="shared" si="182"/>
        <v>116904.45084481187</v>
      </c>
      <c r="CL122" s="2427">
        <f t="shared" ca="1" si="182"/>
        <v>115270.88619314223</v>
      </c>
      <c r="CM122" s="2427">
        <f t="shared" ca="1" si="182"/>
        <v>114814.30263507871</v>
      </c>
      <c r="CN122" s="2427">
        <f t="shared" ca="1" si="182"/>
        <v>114362.39000191793</v>
      </c>
      <c r="CO122" s="2427">
        <f t="shared" ca="1" si="182"/>
        <v>113865.00424360941</v>
      </c>
      <c r="CP122" s="2427">
        <f t="shared" ca="1" si="182"/>
        <v>115085.12832009835</v>
      </c>
      <c r="CQ122" s="2427">
        <f t="shared" ca="1" si="182"/>
        <v>114633.06717793335</v>
      </c>
      <c r="CR122" s="2427">
        <f t="shared" ca="1" si="182"/>
        <v>114281.38447811644</v>
      </c>
      <c r="CS122" s="2427">
        <f t="shared" ref="CS122:FD122" ca="1" si="183">CS121*CS117</f>
        <v>113888.6223488445</v>
      </c>
      <c r="CT122" s="2427">
        <f t="shared" ca="1" si="183"/>
        <v>116330.69440364877</v>
      </c>
      <c r="CU122" s="2427">
        <f t="shared" ca="1" si="183"/>
        <v>115981.28161433071</v>
      </c>
      <c r="CV122" s="2427">
        <f t="shared" ca="1" si="183"/>
        <v>115399.02838977661</v>
      </c>
      <c r="CW122" s="2427">
        <f t="shared" ca="1" si="183"/>
        <v>114765.37875521831</v>
      </c>
      <c r="CX122" s="2427">
        <f t="shared" ca="1" si="183"/>
        <v>104618.71091854967</v>
      </c>
      <c r="CY122" s="2427">
        <f t="shared" ca="1" si="183"/>
        <v>104086.24813553962</v>
      </c>
      <c r="CZ122" s="2427">
        <f t="shared" ca="1" si="183"/>
        <v>103557.59169818764</v>
      </c>
      <c r="DA122" s="2427">
        <f t="shared" ca="1" si="183"/>
        <v>102982.54431794748</v>
      </c>
      <c r="DB122" s="2427">
        <f t="shared" ca="1" si="183"/>
        <v>88126.85384168569</v>
      </c>
      <c r="DC122" s="2427">
        <f t="shared" ca="1" si="183"/>
        <v>87672.757487581111</v>
      </c>
      <c r="DD122" s="2427">
        <f t="shared" ca="1" si="183"/>
        <v>87338.822837010564</v>
      </c>
      <c r="DE122" s="2427">
        <f t="shared" ca="1" si="183"/>
        <v>86970.648836566805</v>
      </c>
      <c r="DF122" s="2427">
        <f t="shared" ca="1" si="183"/>
        <v>79883.917745692263</v>
      </c>
      <c r="DG122" s="2427">
        <f t="shared" ca="1" si="183"/>
        <v>79580.970210527477</v>
      </c>
      <c r="DH122" s="2427">
        <f t="shared" ca="1" si="183"/>
        <v>81006.94197256559</v>
      </c>
      <c r="DI122" s="2427">
        <f t="shared" ca="1" si="183"/>
        <v>82476.927161115644</v>
      </c>
      <c r="DJ122" s="2427">
        <f t="shared" ca="1" si="183"/>
        <v>82860.715226921864</v>
      </c>
      <c r="DK122" s="2427">
        <f t="shared" ca="1" si="183"/>
        <v>84346.763750329803</v>
      </c>
      <c r="DL122" s="2427">
        <f t="shared" ca="1" si="183"/>
        <v>84490.118958649662</v>
      </c>
      <c r="DM122" s="2427">
        <f t="shared" ca="1" si="183"/>
        <v>84620.711833963243</v>
      </c>
      <c r="DN122" s="2427">
        <f t="shared" ca="1" si="183"/>
        <v>86111.290281068024</v>
      </c>
      <c r="DO122" s="2427">
        <f t="shared" ca="1" si="183"/>
        <v>86282.348267450783</v>
      </c>
      <c r="DP122" s="2427">
        <f t="shared" ca="1" si="183"/>
        <v>86167.693205226155</v>
      </c>
      <c r="DQ122" s="2427">
        <f t="shared" ca="1" si="183"/>
        <v>86028.634917325879</v>
      </c>
      <c r="DR122" s="2427">
        <f t="shared" ca="1" si="183"/>
        <v>88123.982674915474</v>
      </c>
      <c r="DS122" s="2427">
        <f t="shared" ca="1" si="183"/>
        <v>88021.185502843029</v>
      </c>
      <c r="DT122" s="2427">
        <f t="shared" ca="1" si="183"/>
        <v>87783.402211960187</v>
      </c>
      <c r="DU122" s="2427">
        <f t="shared" ca="1" si="183"/>
        <v>87515.476900405018</v>
      </c>
      <c r="DV122" s="2427">
        <f t="shared" ca="1" si="183"/>
        <v>88380.493348685268</v>
      </c>
      <c r="DW122" s="2427">
        <f t="shared" ca="1" si="183"/>
        <v>88149.39092429039</v>
      </c>
      <c r="DX122" s="2427">
        <f t="shared" ca="1" si="183"/>
        <v>88475.860285290692</v>
      </c>
      <c r="DY122" s="2427">
        <f t="shared" ca="1" si="183"/>
        <v>88796.663750111969</v>
      </c>
      <c r="DZ122" s="2427">
        <f t="shared" ca="1" si="183"/>
        <v>89361.376753496748</v>
      </c>
      <c r="EA122" s="2427">
        <f t="shared" ca="1" si="183"/>
        <v>89722.511990339874</v>
      </c>
      <c r="EB122" s="2427">
        <f t="shared" ca="1" si="183"/>
        <v>89468.076223303535</v>
      </c>
      <c r="EC122" s="2427">
        <f t="shared" ca="1" si="183"/>
        <v>89182.392231340942</v>
      </c>
      <c r="ED122" s="2427">
        <f t="shared" ca="1" si="183"/>
        <v>89842.476397857667</v>
      </c>
      <c r="EE122" s="2427">
        <f t="shared" ca="1" si="183"/>
        <v>89594.753278538454</v>
      </c>
      <c r="EF122" s="2427">
        <f t="shared" ca="1" si="183"/>
        <v>89151.771923881344</v>
      </c>
      <c r="EG122" s="2427">
        <f t="shared" ca="1" si="183"/>
        <v>88669.382739718218</v>
      </c>
      <c r="EH122" s="2427">
        <f t="shared" ca="1" si="183"/>
        <v>88678.221768227944</v>
      </c>
      <c r="EI122" s="2427">
        <f t="shared" ca="1" si="183"/>
        <v>88234.127368004338</v>
      </c>
      <c r="EJ122" s="2427">
        <f t="shared" ca="1" si="183"/>
        <v>87696.038542320064</v>
      </c>
      <c r="EK122" s="2427">
        <f t="shared" ca="1" si="183"/>
        <v>87114.717758796847</v>
      </c>
      <c r="EL122" s="2427">
        <f t="shared" ca="1" si="183"/>
        <v>86582.670271045587</v>
      </c>
      <c r="EM122" s="2427">
        <f t="shared" ca="1" si="183"/>
        <v>86041.324824718118</v>
      </c>
      <c r="EN122" s="2427">
        <f t="shared" ca="1" si="183"/>
        <v>85481.731521252383</v>
      </c>
      <c r="EO122" s="2427">
        <f t="shared" ca="1" si="183"/>
        <v>84878.465982909867</v>
      </c>
      <c r="EP122" s="2427">
        <f t="shared" ca="1" si="183"/>
        <v>85165.615963087679</v>
      </c>
      <c r="EQ122" s="2427">
        <f t="shared" ca="1" si="183"/>
        <v>84595.727637530348</v>
      </c>
      <c r="ER122" s="2427">
        <f t="shared" ca="1" si="183"/>
        <v>84010.578773293222</v>
      </c>
      <c r="ES122" s="2427">
        <f t="shared" ca="1" si="183"/>
        <v>83380.973251573494</v>
      </c>
      <c r="ET122" s="2427">
        <f t="shared" ca="1" si="183"/>
        <v>83200.057035041391</v>
      </c>
      <c r="EU122" s="2427">
        <f t="shared" ca="1" si="183"/>
        <v>82605.976970347576</v>
      </c>
      <c r="EV122" s="2427">
        <f t="shared" ca="1" si="183"/>
        <v>82180.750890153533</v>
      </c>
      <c r="EW122" s="2427">
        <f t="shared" ca="1" si="183"/>
        <v>81718.46138754343</v>
      </c>
      <c r="EX122" s="2427">
        <f t="shared" ca="1" si="183"/>
        <v>81279.507026235966</v>
      </c>
      <c r="EY122" s="2427">
        <f t="shared" ca="1" si="183"/>
        <v>80854.694889707243</v>
      </c>
      <c r="EZ122" s="2427">
        <f t="shared" ca="1" si="183"/>
        <v>80199.756912828045</v>
      </c>
      <c r="FA122" s="2427">
        <f t="shared" ca="1" si="183"/>
        <v>79498.173580259521</v>
      </c>
      <c r="FB122" s="2427">
        <f t="shared" ca="1" si="183"/>
        <v>79616.889887920508</v>
      </c>
      <c r="FC122" s="2427">
        <f t="shared" ca="1" si="183"/>
        <v>78945.5636079252</v>
      </c>
      <c r="FD122" s="2427">
        <f t="shared" ca="1" si="183"/>
        <v>78446.396700436555</v>
      </c>
      <c r="FE122" s="2427">
        <f t="shared" ref="FE122:HP122" ca="1" si="184">FE121*FE117</f>
        <v>77907.779218070733</v>
      </c>
      <c r="FF122" s="2427">
        <f t="shared" ca="1" si="184"/>
        <v>77768.964010761469</v>
      </c>
      <c r="FG122" s="2427">
        <f t="shared" ca="1" si="184"/>
        <v>77263.819198853875</v>
      </c>
      <c r="FH122" s="2427">
        <f t="shared" ca="1" si="184"/>
        <v>76537.442788512519</v>
      </c>
      <c r="FI122" s="2427">
        <f t="shared" ca="1" si="184"/>
        <v>75762.126892435976</v>
      </c>
      <c r="FJ122" s="2427">
        <f t="shared" ca="1" si="184"/>
        <v>75006.160976961546</v>
      </c>
      <c r="FK122" s="2427">
        <f t="shared" ca="1" si="184"/>
        <v>74266.354707238381</v>
      </c>
      <c r="FL122" s="2427">
        <f t="shared" ca="1" si="184"/>
        <v>73530.978361200061</v>
      </c>
      <c r="FM122" s="2427">
        <f t="shared" ca="1" si="184"/>
        <v>72746.946458707855</v>
      </c>
      <c r="FN122" s="2427">
        <f t="shared" ca="1" si="184"/>
        <v>72702.489209761698</v>
      </c>
      <c r="FO122" s="2427">
        <f t="shared" ca="1" si="184"/>
        <v>71945.137598803267</v>
      </c>
      <c r="FP122" s="2427">
        <f t="shared" ca="1" si="184"/>
        <v>71133.269952830204</v>
      </c>
      <c r="FQ122" s="2427">
        <f t="shared" ca="1" si="184"/>
        <v>70269.94735370118</v>
      </c>
      <c r="FR122" s="2427">
        <f t="shared" ca="1" si="184"/>
        <v>69766.511204685405</v>
      </c>
      <c r="FS122" s="2427">
        <f t="shared" ca="1" si="184"/>
        <v>68932.389979326399</v>
      </c>
      <c r="FT122" s="2427">
        <f t="shared" ca="1" si="184"/>
        <v>68017.731181318159</v>
      </c>
      <c r="FU122" s="2427">
        <f t="shared" ca="1" si="184"/>
        <v>67047.831531652773</v>
      </c>
      <c r="FV122" s="2427">
        <f t="shared" ca="1" si="184"/>
        <v>66092.924800692766</v>
      </c>
      <c r="FW122" s="2427">
        <f t="shared" ca="1" si="184"/>
        <v>65155.20440651122</v>
      </c>
      <c r="FX122" s="2427">
        <f t="shared" ca="1" si="184"/>
        <v>64130.006551844293</v>
      </c>
      <c r="FY122" s="2427">
        <f t="shared" ca="1" si="184"/>
        <v>63045.617552546013</v>
      </c>
      <c r="FZ122" s="2427">
        <f t="shared" ca="1" si="184"/>
        <v>62602.672112368207</v>
      </c>
      <c r="GA122" s="2427">
        <f t="shared" ca="1" si="184"/>
        <v>61538.374082971939</v>
      </c>
      <c r="GB122" s="2427">
        <f t="shared" ca="1" si="184"/>
        <v>60402.318276207676</v>
      </c>
      <c r="GC122" s="2427">
        <f t="shared" ca="1" si="184"/>
        <v>59203.07108336431</v>
      </c>
      <c r="GD122" s="2427">
        <f t="shared" ca="1" si="184"/>
        <v>58313.040069698749</v>
      </c>
      <c r="GE122" s="2427">
        <f t="shared" ca="1" si="184"/>
        <v>57137.276012455375</v>
      </c>
      <c r="GF122" s="2427">
        <f t="shared" ca="1" si="184"/>
        <v>56102.550965892995</v>
      </c>
      <c r="GG122" s="2427">
        <f t="shared" ca="1" si="184"/>
        <v>55010.026011213995</v>
      </c>
      <c r="GH122" s="2427">
        <f t="shared" ca="1" si="184"/>
        <v>53931.46403622318</v>
      </c>
      <c r="GI122" s="2427">
        <f t="shared" ca="1" si="184"/>
        <v>52866.200221396903</v>
      </c>
      <c r="GJ122" s="2427">
        <f t="shared" ca="1" si="184"/>
        <v>53828.420680339281</v>
      </c>
      <c r="GK122" s="2427">
        <f t="shared" ca="1" si="184"/>
        <v>54820.528284979679</v>
      </c>
      <c r="GL122" s="2427">
        <f t="shared" ca="1" si="184"/>
        <v>56295.057303112495</v>
      </c>
      <c r="GM122" s="2427">
        <f t="shared" ca="1" si="184"/>
        <v>57319.565429335766</v>
      </c>
      <c r="GN122" s="2427">
        <f t="shared" ca="1" si="184"/>
        <v>56691.468039119922</v>
      </c>
      <c r="GO122" s="2427">
        <f t="shared" ca="1" si="184"/>
        <v>56023.189177871718</v>
      </c>
      <c r="GP122" s="2427">
        <f t="shared" ca="1" si="184"/>
        <v>55618.890548458985</v>
      </c>
      <c r="GQ122" s="2427">
        <f t="shared" ca="1" si="184"/>
        <v>54974.20743814516</v>
      </c>
      <c r="GR122" s="2427">
        <f t="shared" ca="1" si="184"/>
        <v>54037.952334903333</v>
      </c>
      <c r="GS122" s="2427">
        <f t="shared" ca="1" si="184"/>
        <v>53048.660734194636</v>
      </c>
      <c r="GT122" s="2427">
        <f t="shared" ca="1" si="184"/>
        <v>52059.91540829443</v>
      </c>
      <c r="GU122" s="2427">
        <f t="shared" ca="1" si="184"/>
        <v>51096.948762245738</v>
      </c>
      <c r="GV122" s="2427">
        <f t="shared" ca="1" si="184"/>
        <v>49917.427873416651</v>
      </c>
      <c r="GW122" s="2427">
        <f t="shared" ca="1" si="184"/>
        <v>48675.178519906542</v>
      </c>
      <c r="GX122" s="2427">
        <f t="shared" ca="1" si="184"/>
        <v>47923.280577670019</v>
      </c>
      <c r="GY122" s="2427">
        <f t="shared" ca="1" si="184"/>
        <v>46693.846061285098</v>
      </c>
      <c r="GZ122" s="2427">
        <f t="shared" ca="1" si="184"/>
        <v>45883.274873057853</v>
      </c>
      <c r="HA122" s="2427">
        <f t="shared" ca="1" si="184"/>
        <v>45026.989599697023</v>
      </c>
      <c r="HB122" s="2427">
        <f t="shared" ca="1" si="184"/>
        <v>44386.878192885117</v>
      </c>
      <c r="HC122" s="2427">
        <f t="shared" ca="1" si="184"/>
        <v>43548.920888832043</v>
      </c>
      <c r="HD122" s="2427">
        <f t="shared" ca="1" si="184"/>
        <v>42125.342905863712</v>
      </c>
      <c r="HE122" s="2427">
        <f t="shared" ca="1" si="184"/>
        <v>40630.136487764532</v>
      </c>
      <c r="HF122" s="2427">
        <f t="shared" ca="1" si="184"/>
        <v>39159.916010201756</v>
      </c>
      <c r="HG122" s="2427">
        <f t="shared" ca="1" si="184"/>
        <v>37687.033763129344</v>
      </c>
      <c r="HH122" s="2427">
        <f t="shared" ca="1" si="184"/>
        <v>35943.90557094643</v>
      </c>
      <c r="HI122" s="2427">
        <f t="shared" ca="1" si="184"/>
        <v>34116.590791419629</v>
      </c>
      <c r="HJ122" s="2427">
        <f t="shared" ca="1" si="184"/>
        <v>32659.287366882687</v>
      </c>
      <c r="HK122" s="2427">
        <f t="shared" ca="1" si="184"/>
        <v>30834.168353520221</v>
      </c>
      <c r="HL122" s="2427">
        <f t="shared" ca="1" si="184"/>
        <v>28911.378192381508</v>
      </c>
      <c r="HM122" s="2427">
        <f t="shared" ca="1" si="184"/>
        <v>26898.141601130625</v>
      </c>
      <c r="HN122" s="2427">
        <f t="shared" ca="1" si="184"/>
        <v>25067.468873079997</v>
      </c>
      <c r="HO122" s="2427">
        <f t="shared" ca="1" si="184"/>
        <v>23062.089648608933</v>
      </c>
      <c r="HP122" s="2427">
        <f t="shared" ca="1" si="184"/>
        <v>21140.430938347599</v>
      </c>
      <c r="HQ122" s="2427">
        <f t="shared" ref="HQ122:IA122" ca="1" si="185">HQ121*HQ117</f>
        <v>19130.124584158173</v>
      </c>
      <c r="HR122" s="2427">
        <f t="shared" ca="1" si="185"/>
        <v>17185.182022524386</v>
      </c>
      <c r="HS122" s="2427">
        <f t="shared" ca="1" si="185"/>
        <v>15189.327341267073</v>
      </c>
      <c r="HT122" s="2427">
        <f t="shared" ca="1" si="185"/>
        <v>12934.794544655584</v>
      </c>
      <c r="HU122" s="2427">
        <f t="shared" ca="1" si="185"/>
        <v>10578.929995566998</v>
      </c>
      <c r="HV122" s="2427">
        <f t="shared" ca="1" si="185"/>
        <v>8396.8019138427735</v>
      </c>
      <c r="HW122" s="2427">
        <f t="shared" ca="1" si="185"/>
        <v>6029.0414526608665</v>
      </c>
      <c r="HX122" s="2427">
        <f t="shared" ca="1" si="185"/>
        <v>4553.496334213165</v>
      </c>
      <c r="HY122" s="2427">
        <f t="shared" ca="1" si="185"/>
        <v>3012.512359865907</v>
      </c>
      <c r="HZ122" s="2427">
        <f t="shared" ca="1" si="185"/>
        <v>1542.6285992255121</v>
      </c>
      <c r="IA122" s="2427">
        <f t="shared" ca="1" si="185"/>
        <v>1575.3821178836358</v>
      </c>
    </row>
    <row r="123" spans="2:311" outlineLevel="1">
      <c r="H123" s="2482"/>
      <c r="I123" s="2482"/>
      <c r="J123" s="5267">
        <f>J$10</f>
        <v>2003</v>
      </c>
      <c r="K123" s="5267">
        <f>J123+1</f>
        <v>2004</v>
      </c>
      <c r="L123" s="5267">
        <f t="shared" ref="L123:BN123" si="186">K123+1</f>
        <v>2005</v>
      </c>
      <c r="M123" s="5267">
        <f t="shared" si="186"/>
        <v>2006</v>
      </c>
      <c r="N123" s="5267">
        <f t="shared" si="186"/>
        <v>2007</v>
      </c>
      <c r="O123" s="5267">
        <f t="shared" si="186"/>
        <v>2008</v>
      </c>
      <c r="P123" s="5267">
        <f t="shared" si="186"/>
        <v>2009</v>
      </c>
      <c r="Q123" s="5267">
        <f t="shared" si="186"/>
        <v>2010</v>
      </c>
      <c r="R123" s="5267">
        <f t="shared" si="186"/>
        <v>2011</v>
      </c>
      <c r="S123" s="5267">
        <f t="shared" si="186"/>
        <v>2012</v>
      </c>
      <c r="T123" s="5267">
        <f t="shared" si="186"/>
        <v>2013</v>
      </c>
      <c r="U123" s="5267">
        <f t="shared" si="186"/>
        <v>2014</v>
      </c>
      <c r="V123" s="5267">
        <f t="shared" si="186"/>
        <v>2015</v>
      </c>
      <c r="W123" s="5267">
        <f t="shared" si="186"/>
        <v>2016</v>
      </c>
      <c r="X123" s="5267">
        <f t="shared" si="186"/>
        <v>2017</v>
      </c>
      <c r="Y123" s="5267">
        <f t="shared" si="186"/>
        <v>2018</v>
      </c>
      <c r="Z123" s="5267">
        <f t="shared" si="186"/>
        <v>2019</v>
      </c>
      <c r="AA123" s="5267">
        <f t="shared" si="186"/>
        <v>2020</v>
      </c>
      <c r="AB123" s="5267">
        <f t="shared" si="186"/>
        <v>2021</v>
      </c>
      <c r="AC123" s="5267">
        <f t="shared" si="186"/>
        <v>2022</v>
      </c>
      <c r="AD123" s="5267">
        <f t="shared" si="186"/>
        <v>2023</v>
      </c>
      <c r="AE123" s="5267">
        <f t="shared" si="186"/>
        <v>2024</v>
      </c>
      <c r="AF123" s="5267">
        <f t="shared" si="186"/>
        <v>2025</v>
      </c>
      <c r="AG123" s="5267">
        <f t="shared" si="186"/>
        <v>2026</v>
      </c>
      <c r="AH123" s="5267">
        <f t="shared" si="186"/>
        <v>2027</v>
      </c>
      <c r="AI123" s="5267">
        <f t="shared" si="186"/>
        <v>2028</v>
      </c>
      <c r="AJ123" s="5267">
        <f t="shared" si="186"/>
        <v>2029</v>
      </c>
      <c r="AK123" s="5267">
        <f t="shared" si="186"/>
        <v>2030</v>
      </c>
      <c r="AL123" s="5267">
        <f t="shared" si="186"/>
        <v>2031</v>
      </c>
      <c r="AM123" s="5267">
        <f t="shared" si="186"/>
        <v>2032</v>
      </c>
      <c r="AN123" s="5267">
        <f t="shared" si="186"/>
        <v>2033</v>
      </c>
      <c r="AO123" s="5267">
        <f t="shared" si="186"/>
        <v>2034</v>
      </c>
      <c r="AP123" s="5267">
        <f t="shared" si="186"/>
        <v>2035</v>
      </c>
      <c r="AQ123" s="5267">
        <f t="shared" si="186"/>
        <v>2036</v>
      </c>
      <c r="AR123" s="5267">
        <f t="shared" si="186"/>
        <v>2037</v>
      </c>
      <c r="AS123" s="5267">
        <f t="shared" si="186"/>
        <v>2038</v>
      </c>
      <c r="AT123" s="5267">
        <f t="shared" si="186"/>
        <v>2039</v>
      </c>
      <c r="AU123" s="5267">
        <f t="shared" si="186"/>
        <v>2040</v>
      </c>
      <c r="AV123" s="5267">
        <f t="shared" si="186"/>
        <v>2041</v>
      </c>
      <c r="AW123" s="5267">
        <f t="shared" si="186"/>
        <v>2042</v>
      </c>
      <c r="AX123" s="5267">
        <f t="shared" si="186"/>
        <v>2043</v>
      </c>
      <c r="AY123" s="5267">
        <f t="shared" si="186"/>
        <v>2044</v>
      </c>
      <c r="AZ123" s="5267">
        <f t="shared" si="186"/>
        <v>2045</v>
      </c>
      <c r="BA123" s="5267">
        <f t="shared" si="186"/>
        <v>2046</v>
      </c>
      <c r="BB123" s="5267">
        <f t="shared" si="186"/>
        <v>2047</v>
      </c>
      <c r="BC123" s="5267">
        <f t="shared" si="186"/>
        <v>2048</v>
      </c>
      <c r="BD123" s="5267">
        <f t="shared" si="186"/>
        <v>2049</v>
      </c>
      <c r="BE123" s="5267">
        <f t="shared" si="186"/>
        <v>2050</v>
      </c>
      <c r="BF123" s="5267">
        <f t="shared" si="186"/>
        <v>2051</v>
      </c>
      <c r="BG123" s="5267">
        <f t="shared" si="186"/>
        <v>2052</v>
      </c>
      <c r="BH123" s="5267">
        <f t="shared" si="186"/>
        <v>2053</v>
      </c>
      <c r="BI123" s="5267">
        <f t="shared" si="186"/>
        <v>2054</v>
      </c>
      <c r="BJ123" s="5267">
        <f t="shared" si="186"/>
        <v>2055</v>
      </c>
      <c r="BK123" s="5267">
        <f t="shared" si="186"/>
        <v>2056</v>
      </c>
      <c r="BL123" s="5267">
        <f t="shared" si="186"/>
        <v>2057</v>
      </c>
      <c r="BM123" s="5267">
        <f t="shared" si="186"/>
        <v>2058</v>
      </c>
      <c r="BN123" s="5267">
        <f t="shared" si="186"/>
        <v>2059</v>
      </c>
      <c r="BO123" s="5301"/>
      <c r="BP123" s="5302"/>
      <c r="BQ123" s="5302"/>
      <c r="BR123" s="5303"/>
      <c r="BS123" s="5301"/>
      <c r="BT123" s="5302"/>
      <c r="BU123" s="5302"/>
      <c r="BV123" s="5303"/>
      <c r="BW123" s="5301"/>
      <c r="BX123" s="5302"/>
      <c r="BY123" s="5302"/>
      <c r="BZ123" s="5303"/>
      <c r="CA123" s="5301"/>
      <c r="CB123" s="5302"/>
      <c r="CC123" s="5302"/>
      <c r="CD123" s="5303"/>
      <c r="CE123" s="5301"/>
      <c r="CF123" s="5302"/>
      <c r="CG123" s="5302"/>
      <c r="CH123" s="5303"/>
      <c r="CI123" s="5301"/>
      <c r="CJ123" s="5302"/>
      <c r="CK123" s="5302"/>
      <c r="CL123" s="5303"/>
      <c r="CM123" s="5301"/>
      <c r="CN123" s="5302"/>
      <c r="CO123" s="5302"/>
      <c r="CP123" s="5303"/>
      <c r="CQ123" s="5301"/>
      <c r="CR123" s="5302"/>
      <c r="CS123" s="5302"/>
      <c r="CT123" s="5303"/>
      <c r="CU123" s="5301"/>
      <c r="CV123" s="5302"/>
      <c r="CW123" s="5302"/>
      <c r="CX123" s="5303"/>
      <c r="CY123" s="5301"/>
      <c r="CZ123" s="5302"/>
      <c r="DA123" s="5302"/>
      <c r="DB123" s="5303"/>
      <c r="DC123" s="5301"/>
      <c r="DD123" s="5302"/>
      <c r="DE123" s="5302"/>
      <c r="DF123" s="5303"/>
      <c r="DG123" s="5301"/>
      <c r="DH123" s="5302"/>
      <c r="DI123" s="5302"/>
      <c r="DJ123" s="5303"/>
      <c r="DK123" s="5301"/>
      <c r="DL123" s="5302"/>
      <c r="DM123" s="5302"/>
      <c r="DN123" s="5303"/>
      <c r="DO123" s="5301"/>
      <c r="DP123" s="5302"/>
      <c r="DQ123" s="5302"/>
      <c r="DR123" s="5303"/>
      <c r="DS123" s="5301"/>
      <c r="DT123" s="5302"/>
      <c r="DU123" s="5302"/>
      <c r="DV123" s="5303"/>
      <c r="DW123" s="5303"/>
      <c r="DX123" s="5303"/>
      <c r="DY123" s="5303"/>
      <c r="DZ123" s="5303"/>
      <c r="EA123" s="5303"/>
      <c r="EB123" s="5303"/>
      <c r="EC123" s="5303"/>
      <c r="ED123" s="5303"/>
      <c r="EE123" s="5303"/>
      <c r="EF123" s="5303"/>
      <c r="EG123" s="5303"/>
      <c r="EH123" s="5303"/>
      <c r="EI123" s="5303"/>
      <c r="EJ123" s="5303"/>
      <c r="EK123" s="5303"/>
      <c r="EL123" s="5303"/>
      <c r="EM123" s="5303"/>
      <c r="EN123" s="5303"/>
      <c r="EO123" s="5303"/>
      <c r="EP123" s="5303"/>
      <c r="EQ123" s="5303"/>
      <c r="ER123" s="5303"/>
      <c r="ES123" s="5303"/>
      <c r="ET123" s="5303"/>
      <c r="EU123" s="5303"/>
      <c r="EV123" s="5303"/>
      <c r="EW123" s="5303"/>
      <c r="EX123" s="5303"/>
      <c r="EY123" s="5303"/>
      <c r="EZ123" s="5303"/>
      <c r="FA123" s="5303"/>
      <c r="FB123" s="5303"/>
      <c r="FC123" s="5303"/>
      <c r="FD123" s="5303"/>
      <c r="FE123" s="5303"/>
      <c r="FF123" s="5303"/>
      <c r="FG123" s="5303"/>
      <c r="FH123" s="5303"/>
      <c r="FI123" s="5303"/>
      <c r="FJ123" s="5303"/>
      <c r="FK123" s="5303"/>
      <c r="FL123" s="5303"/>
      <c r="FM123" s="5303"/>
      <c r="FN123" s="5303"/>
      <c r="FO123" s="5303"/>
      <c r="FP123" s="5303"/>
      <c r="FQ123" s="5303"/>
      <c r="FR123" s="5303"/>
      <c r="FS123" s="5303"/>
      <c r="FT123" s="5303"/>
      <c r="FU123" s="5303"/>
      <c r="FV123" s="5303"/>
      <c r="FW123" s="5303"/>
      <c r="FX123" s="5303"/>
      <c r="FY123" s="5303"/>
      <c r="FZ123" s="5303"/>
      <c r="GA123" s="5303"/>
      <c r="GB123" s="5303"/>
      <c r="GC123" s="5303"/>
      <c r="GD123" s="5303"/>
      <c r="GE123" s="5303"/>
      <c r="GF123" s="5303"/>
      <c r="GG123" s="5303"/>
      <c r="GH123" s="5303"/>
      <c r="GI123" s="5303"/>
      <c r="GJ123" s="5303"/>
      <c r="GK123" s="5303"/>
      <c r="GL123" s="5303"/>
      <c r="GM123" s="5303"/>
      <c r="GN123" s="5303"/>
      <c r="GO123" s="5303"/>
      <c r="GP123" s="5303"/>
      <c r="GQ123" s="5303"/>
      <c r="GR123" s="5303"/>
      <c r="GS123" s="5303"/>
      <c r="GT123" s="5303"/>
      <c r="GU123" s="5303"/>
      <c r="GV123" s="5303"/>
      <c r="GW123" s="5303"/>
      <c r="GX123" s="5303"/>
      <c r="GY123" s="5303"/>
      <c r="GZ123" s="5303"/>
      <c r="HA123" s="5303"/>
      <c r="HB123" s="5303"/>
      <c r="HC123" s="5303"/>
      <c r="HD123" s="5303"/>
      <c r="HE123" s="5303"/>
      <c r="HF123" s="5303"/>
      <c r="HG123" s="5303"/>
      <c r="HH123" s="5303"/>
      <c r="HI123" s="5303"/>
      <c r="HJ123" s="5303"/>
      <c r="HK123" s="5303"/>
      <c r="HL123" s="5303"/>
      <c r="HM123" s="5303"/>
      <c r="HN123" s="5303"/>
      <c r="HO123" s="5303"/>
      <c r="HP123" s="5303"/>
      <c r="HQ123" s="5303"/>
      <c r="HR123" s="5303"/>
      <c r="HS123" s="5303"/>
      <c r="HT123" s="5303"/>
      <c r="HU123" s="5303"/>
      <c r="HV123" s="5303"/>
      <c r="HW123" s="5303"/>
      <c r="HX123" s="5303"/>
      <c r="HY123" s="5303"/>
      <c r="HZ123" s="5303"/>
      <c r="IA123" s="5303"/>
    </row>
    <row r="124" spans="2:311" outlineLevel="1">
      <c r="D124" s="2348" t="s">
        <v>3963</v>
      </c>
      <c r="H124" s="2482">
        <f>SUM(J124:IA124)</f>
        <v>754321.76556114596</v>
      </c>
      <c r="I124" s="2482"/>
      <c r="J124" s="5299">
        <f>TP!J118</f>
        <v>-7464.8867133030653</v>
      </c>
      <c r="K124" s="5299">
        <v>-12468.136063654434</v>
      </c>
      <c r="L124" s="5299">
        <v>-28716.477552351043</v>
      </c>
      <c r="M124" s="5299">
        <v>-20213.061300536847</v>
      </c>
      <c r="N124" s="5299">
        <v>-35352.599115277502</v>
      </c>
      <c r="O124" s="5299">
        <v>-58462.019257497988</v>
      </c>
      <c r="P124" s="5299">
        <v>2742.8422688145529</v>
      </c>
      <c r="Q124" s="5299">
        <v>6103.4769125267594</v>
      </c>
      <c r="R124" s="5299">
        <v>8834.5768489604288</v>
      </c>
      <c r="S124" s="5299">
        <v>8381.8093508131096</v>
      </c>
      <c r="T124" s="5299">
        <v>18449.038664000938</v>
      </c>
      <c r="U124" s="5299">
        <v>26136.935139107918</v>
      </c>
      <c r="V124" s="5299">
        <v>29640.090110796486</v>
      </c>
      <c r="W124" s="5299">
        <v>26316.895792721312</v>
      </c>
      <c r="X124" s="5299">
        <v>23646.441908462541</v>
      </c>
      <c r="Y124" s="5299">
        <v>20264.473488057251</v>
      </c>
      <c r="Z124" s="5299">
        <v>21508.811674844834</v>
      </c>
      <c r="AA124" s="5299">
        <v>20868.99010623759</v>
      </c>
      <c r="AB124" s="5299">
        <v>20904.961917409044</v>
      </c>
      <c r="AC124" s="5299">
        <v>20840.601503847742</v>
      </c>
      <c r="AD124" s="5299">
        <v>20496.053149943473</v>
      </c>
      <c r="AE124" s="5299">
        <v>19494.618841528842</v>
      </c>
      <c r="AF124" s="5299">
        <v>20800.009727900757</v>
      </c>
      <c r="AG124" s="5299">
        <v>20436.581853884218</v>
      </c>
      <c r="AH124" s="5299">
        <v>19071.982600746938</v>
      </c>
      <c r="AI124" s="5299">
        <v>2642.2659363562052</v>
      </c>
      <c r="AJ124" s="5299">
        <v>15787.40851257199</v>
      </c>
      <c r="AK124" s="5299">
        <v>18347.918432594808</v>
      </c>
      <c r="AL124" s="5299">
        <v>19363.846184113361</v>
      </c>
      <c r="AM124" s="5299">
        <v>14088.78818965848</v>
      </c>
      <c r="AN124" s="5299">
        <v>19582.488362643599</v>
      </c>
      <c r="AO124" s="5299">
        <v>21052.971336890841</v>
      </c>
      <c r="AP124" s="5299">
        <v>21547.848075140864</v>
      </c>
      <c r="AQ124" s="5299">
        <v>21338.63685099288</v>
      </c>
      <c r="AR124" s="5299">
        <v>21096.987394093048</v>
      </c>
      <c r="AS124" s="5299">
        <v>19240.043411990355</v>
      </c>
      <c r="AT124" s="5299">
        <v>20942.869901383012</v>
      </c>
      <c r="AU124" s="5299">
        <v>19049.59132192855</v>
      </c>
      <c r="AV124" s="5299">
        <v>20630.793820194394</v>
      </c>
      <c r="AW124" s="5299">
        <v>20177.770437991614</v>
      </c>
      <c r="AX124" s="5299">
        <v>20232.474927322153</v>
      </c>
      <c r="AY124" s="5299">
        <v>20486.776818779508</v>
      </c>
      <c r="AZ124" s="5299">
        <v>20769.557948707865</v>
      </c>
      <c r="BA124" s="5299">
        <v>20876.606765545403</v>
      </c>
      <c r="BB124" s="5299">
        <v>19148.872422547673</v>
      </c>
      <c r="BC124" s="5299">
        <v>1467.2039507183799</v>
      </c>
      <c r="BD124" s="5299">
        <v>15636.252530943773</v>
      </c>
      <c r="BE124" s="5299">
        <v>17748.72941755395</v>
      </c>
      <c r="BF124" s="5299">
        <v>19126.589189025864</v>
      </c>
      <c r="BG124" s="5299">
        <v>15110.292914220274</v>
      </c>
      <c r="BH124" s="5299">
        <v>19597.774982250416</v>
      </c>
      <c r="BI124" s="5299">
        <v>21251.125984087335</v>
      </c>
      <c r="BJ124" s="5299">
        <v>21352.500760059371</v>
      </c>
      <c r="BK124" s="5299">
        <v>19909.043251026254</v>
      </c>
      <c r="BL124" s="5299">
        <v>21306.564032082279</v>
      </c>
      <c r="BM124" s="5299">
        <v>13149.159639747806</v>
      </c>
      <c r="BN124" s="5300"/>
      <c r="BO124" s="5301"/>
      <c r="BP124" s="5302"/>
      <c r="BQ124" s="5302"/>
      <c r="BR124" s="5303"/>
      <c r="BS124" s="5301"/>
      <c r="BT124" s="5302"/>
      <c r="BU124" s="5302"/>
      <c r="BV124" s="5303"/>
      <c r="BW124" s="5301"/>
      <c r="BX124" s="5302"/>
      <c r="BY124" s="5302"/>
      <c r="BZ124" s="5303"/>
      <c r="CA124" s="5301"/>
      <c r="CB124" s="5302"/>
      <c r="CC124" s="5302"/>
      <c r="CD124" s="5303"/>
      <c r="CE124" s="5301"/>
      <c r="CF124" s="5302"/>
      <c r="CG124" s="5302"/>
      <c r="CH124" s="5303"/>
      <c r="CI124" s="5301"/>
      <c r="CJ124" s="5302"/>
      <c r="CK124" s="5302"/>
      <c r="CL124" s="5303"/>
      <c r="CM124" s="5301"/>
      <c r="CN124" s="5302"/>
      <c r="CO124" s="5302"/>
      <c r="CP124" s="5303"/>
      <c r="CQ124" s="5301"/>
      <c r="CR124" s="5302"/>
      <c r="CS124" s="5302"/>
      <c r="CT124" s="5303"/>
      <c r="CU124" s="5301"/>
      <c r="CV124" s="5302"/>
      <c r="CW124" s="5302"/>
      <c r="CX124" s="5303"/>
      <c r="CY124" s="5301"/>
      <c r="CZ124" s="5302"/>
      <c r="DA124" s="5302"/>
      <c r="DB124" s="5303"/>
      <c r="DC124" s="5301"/>
      <c r="DD124" s="5302"/>
      <c r="DE124" s="5302"/>
      <c r="DF124" s="5303"/>
      <c r="DG124" s="5301"/>
      <c r="DH124" s="5302"/>
      <c r="DI124" s="5302"/>
      <c r="DJ124" s="5303"/>
      <c r="DK124" s="5301"/>
      <c r="DL124" s="5302"/>
      <c r="DM124" s="5302"/>
      <c r="DN124" s="5303"/>
      <c r="DO124" s="5301"/>
      <c r="DP124" s="5302"/>
      <c r="DQ124" s="5302"/>
      <c r="DR124" s="5303"/>
      <c r="DS124" s="5301"/>
      <c r="DT124" s="5302"/>
      <c r="DU124" s="5302"/>
      <c r="DV124" s="5303"/>
      <c r="DW124" s="5303"/>
      <c r="DX124" s="5303"/>
      <c r="DY124" s="5303"/>
      <c r="DZ124" s="5303"/>
      <c r="EA124" s="5303"/>
      <c r="EB124" s="5303"/>
      <c r="EC124" s="5303"/>
      <c r="ED124" s="5303"/>
      <c r="EE124" s="5303"/>
      <c r="EF124" s="5303"/>
      <c r="EG124" s="5303"/>
      <c r="EH124" s="5303"/>
      <c r="EI124" s="5303"/>
      <c r="EJ124" s="5303"/>
      <c r="EK124" s="5303"/>
      <c r="EL124" s="5303"/>
      <c r="EM124" s="5303"/>
      <c r="EN124" s="5303"/>
      <c r="EO124" s="5303"/>
      <c r="EP124" s="5303"/>
      <c r="EQ124" s="5303"/>
      <c r="ER124" s="5303"/>
      <c r="ES124" s="5303"/>
      <c r="ET124" s="5303"/>
      <c r="EU124" s="5303"/>
      <c r="EV124" s="5303"/>
      <c r="EW124" s="5303"/>
      <c r="EX124" s="5303"/>
      <c r="EY124" s="5303"/>
      <c r="EZ124" s="5303"/>
      <c r="FA124" s="5303"/>
      <c r="FB124" s="5303"/>
      <c r="FC124" s="5303"/>
      <c r="FD124" s="5303"/>
      <c r="FE124" s="5303"/>
      <c r="FF124" s="5303"/>
      <c r="FG124" s="5303"/>
      <c r="FH124" s="5303"/>
      <c r="FI124" s="5303"/>
      <c r="FJ124" s="5303"/>
      <c r="FK124" s="5303"/>
      <c r="FL124" s="5303"/>
      <c r="FM124" s="5303"/>
      <c r="FN124" s="5303"/>
      <c r="FO124" s="5303"/>
      <c r="FP124" s="5303"/>
      <c r="FQ124" s="5303"/>
      <c r="FR124" s="5303"/>
      <c r="FS124" s="5303"/>
      <c r="FT124" s="5303"/>
      <c r="FU124" s="5303"/>
      <c r="FV124" s="5303"/>
      <c r="FW124" s="5303"/>
      <c r="FX124" s="5303"/>
      <c r="FY124" s="5303"/>
      <c r="FZ124" s="5303"/>
      <c r="GA124" s="5303"/>
      <c r="GB124" s="5303"/>
      <c r="GC124" s="5303"/>
      <c r="GD124" s="5303"/>
      <c r="GE124" s="5303"/>
      <c r="GF124" s="5303"/>
      <c r="GG124" s="5303"/>
      <c r="GH124" s="5303"/>
      <c r="GI124" s="5303"/>
      <c r="GJ124" s="5303"/>
      <c r="GK124" s="5303"/>
      <c r="GL124" s="5303"/>
      <c r="GM124" s="5303"/>
      <c r="GN124" s="5303"/>
      <c r="GO124" s="5303"/>
      <c r="GP124" s="5303"/>
      <c r="GQ124" s="5303"/>
      <c r="GR124" s="5303"/>
      <c r="GS124" s="5303"/>
      <c r="GT124" s="5303"/>
      <c r="GU124" s="5303"/>
      <c r="GV124" s="5303"/>
      <c r="GW124" s="5303"/>
      <c r="GX124" s="5303"/>
      <c r="GY124" s="5303"/>
      <c r="GZ124" s="5303"/>
      <c r="HA124" s="5303"/>
      <c r="HB124" s="5303"/>
      <c r="HC124" s="5303"/>
      <c r="HD124" s="5303"/>
      <c r="HE124" s="5303"/>
      <c r="HF124" s="5303"/>
      <c r="HG124" s="5303"/>
      <c r="HH124" s="5303"/>
      <c r="HI124" s="5303"/>
      <c r="HJ124" s="5303"/>
      <c r="HK124" s="5303"/>
      <c r="HL124" s="5303"/>
      <c r="HM124" s="5303"/>
      <c r="HN124" s="5303"/>
      <c r="HO124" s="5303"/>
      <c r="HP124" s="5303"/>
      <c r="HQ124" s="5303"/>
      <c r="HR124" s="5303"/>
      <c r="HS124" s="5303"/>
      <c r="HT124" s="5303"/>
      <c r="HU124" s="5303"/>
      <c r="HV124" s="5303"/>
      <c r="HW124" s="5303"/>
      <c r="HX124" s="5303"/>
      <c r="HY124" s="5303"/>
      <c r="HZ124" s="5303"/>
      <c r="IA124" s="5303"/>
    </row>
    <row r="125" spans="2:311" outlineLevel="1">
      <c r="D125" s="2348" t="s">
        <v>5240</v>
      </c>
      <c r="J125" s="5299">
        <f>TP!J121</f>
        <v>0</v>
      </c>
      <c r="K125" s="5299">
        <f>TP!K121</f>
        <v>0</v>
      </c>
      <c r="L125" s="5299">
        <f>TP!L121</f>
        <v>0</v>
      </c>
      <c r="M125" s="5299">
        <f>TP!M121</f>
        <v>0</v>
      </c>
      <c r="N125" s="5299">
        <f>TP!N121</f>
        <v>0</v>
      </c>
      <c r="O125" s="5299">
        <f>TP!O121</f>
        <v>0</v>
      </c>
      <c r="P125" s="5299">
        <f>TP!P121</f>
        <v>15535</v>
      </c>
      <c r="Q125" s="5299">
        <f>TP!Q121</f>
        <v>17550</v>
      </c>
      <c r="R125" s="5299">
        <f>TP!R121</f>
        <v>19825</v>
      </c>
      <c r="S125" s="5299">
        <f>TP!S121</f>
        <v>24112</v>
      </c>
      <c r="T125" s="5299">
        <f>TP!T121</f>
        <v>30960</v>
      </c>
      <c r="U125" s="5299">
        <f>TP!U121</f>
        <v>37070.5</v>
      </c>
      <c r="V125" s="5299">
        <f>TP!V121</f>
        <v>40685</v>
      </c>
      <c r="W125" s="5299">
        <f>TP!W121</f>
        <v>40685</v>
      </c>
      <c r="X125" s="5299">
        <f>TP!X121</f>
        <v>40685</v>
      </c>
      <c r="Y125" s="5299">
        <f>TP!Y121</f>
        <v>40685</v>
      </c>
      <c r="Z125" s="5299">
        <f>TP!Z121</f>
        <v>40685</v>
      </c>
      <c r="AA125" s="5299">
        <f>TP!AA121</f>
        <v>40685</v>
      </c>
      <c r="AB125" s="5299">
        <f>TP!AB121</f>
        <v>40685</v>
      </c>
      <c r="AC125" s="5299">
        <f>TP!AC121</f>
        <v>40685</v>
      </c>
      <c r="AD125" s="5299">
        <f>TP!AD121</f>
        <v>40685</v>
      </c>
      <c r="AE125" s="5299">
        <f>TP!AE121</f>
        <v>40685</v>
      </c>
      <c r="AF125" s="5299">
        <f>TP!AF121</f>
        <v>40685</v>
      </c>
      <c r="AG125" s="5299">
        <f>TP!AG121</f>
        <v>40685</v>
      </c>
      <c r="AH125" s="5299">
        <f>TP!AH121</f>
        <v>40685</v>
      </c>
      <c r="AI125" s="5299">
        <f>TP!AI121</f>
        <v>40685</v>
      </c>
      <c r="AJ125" s="5299">
        <f>TP!AJ121</f>
        <v>40685</v>
      </c>
      <c r="AK125" s="5299">
        <f>TP!AK121</f>
        <v>40685</v>
      </c>
      <c r="AL125" s="5299">
        <f>TP!AL121</f>
        <v>40685</v>
      </c>
      <c r="AM125" s="5299">
        <f>TP!AM121</f>
        <v>40685</v>
      </c>
      <c r="AN125" s="5299">
        <f>TP!AN121</f>
        <v>40685</v>
      </c>
      <c r="AO125" s="5299">
        <f>TP!AO121</f>
        <v>40685</v>
      </c>
      <c r="AP125" s="5299">
        <f>TP!AP121</f>
        <v>40685</v>
      </c>
      <c r="AQ125" s="5299">
        <f>TP!AQ121</f>
        <v>40685</v>
      </c>
      <c r="AR125" s="5299">
        <f>TP!AR121</f>
        <v>40685</v>
      </c>
      <c r="AS125" s="5299">
        <f>TP!AS121</f>
        <v>40685</v>
      </c>
      <c r="AT125" s="5299">
        <f>TP!AT121</f>
        <v>40685</v>
      </c>
      <c r="AU125" s="5299">
        <f>TP!AU121</f>
        <v>40685</v>
      </c>
      <c r="AV125" s="5299">
        <f>TP!AV121</f>
        <v>40685</v>
      </c>
      <c r="AW125" s="5299">
        <f>TP!AW121</f>
        <v>40685</v>
      </c>
      <c r="AX125" s="5299">
        <f>TP!AX121</f>
        <v>40685</v>
      </c>
      <c r="AY125" s="5299">
        <f>TP!AY121</f>
        <v>40685</v>
      </c>
      <c r="AZ125" s="5299">
        <f>TP!AZ121</f>
        <v>40685</v>
      </c>
      <c r="BA125" s="5299">
        <f>TP!BA121</f>
        <v>40685</v>
      </c>
      <c r="BB125" s="5299">
        <f>TP!BB121</f>
        <v>40685</v>
      </c>
      <c r="BC125" s="5299">
        <f>TP!BC121</f>
        <v>40685</v>
      </c>
      <c r="BD125" s="5299">
        <f>TP!BD121</f>
        <v>40685</v>
      </c>
      <c r="BE125" s="5299">
        <f>TP!BE121</f>
        <v>40685</v>
      </c>
      <c r="BF125" s="5299">
        <f>TP!BF121</f>
        <v>40685</v>
      </c>
      <c r="BG125" s="5299">
        <f>TP!BG121</f>
        <v>40685</v>
      </c>
      <c r="BH125" s="5299">
        <f>TP!BH121</f>
        <v>40685</v>
      </c>
      <c r="BI125" s="5299">
        <f>TP!BI121</f>
        <v>40685</v>
      </c>
      <c r="BJ125" s="5299">
        <f>TP!BJ121</f>
        <v>40685</v>
      </c>
      <c r="BK125" s="5299">
        <f>TP!BK121</f>
        <v>40685</v>
      </c>
      <c r="BL125" s="5299">
        <f>TP!BL121</f>
        <v>40685</v>
      </c>
      <c r="BM125" s="5299">
        <f>TP!BM121</f>
        <v>40685</v>
      </c>
      <c r="BN125" s="5299">
        <f>TP!BN121</f>
        <v>0</v>
      </c>
    </row>
    <row r="126" spans="2:311" outlineLevel="1"/>
    <row r="128" spans="2:311" s="2367" customFormat="1" ht="17.25" customHeight="1">
      <c r="B128" s="2368" t="s">
        <v>3975</v>
      </c>
      <c r="H128" s="2369"/>
      <c r="I128" s="2369"/>
      <c r="J128" s="2369"/>
      <c r="K128" s="2369"/>
      <c r="L128" s="2370"/>
      <c r="M128" s="2369"/>
      <c r="N128" s="2369"/>
      <c r="O128" s="2371"/>
      <c r="P128" s="2369"/>
      <c r="Q128" s="2369"/>
      <c r="R128" s="2369"/>
      <c r="S128" s="2369"/>
      <c r="T128" s="2369"/>
      <c r="U128" s="2369"/>
      <c r="V128" s="2369"/>
      <c r="W128" s="2369"/>
      <c r="X128" s="2369"/>
      <c r="Y128" s="2369"/>
      <c r="Z128" s="2369"/>
      <c r="AA128" s="2369"/>
      <c r="AB128" s="2369"/>
      <c r="AC128" s="2369"/>
      <c r="AD128" s="2369"/>
      <c r="AE128" s="2369"/>
      <c r="AF128" s="2369"/>
      <c r="AG128" s="2369"/>
      <c r="AH128" s="2369"/>
      <c r="AI128" s="2369"/>
      <c r="AJ128" s="2369"/>
      <c r="AK128" s="2369"/>
      <c r="AL128" s="2369"/>
      <c r="AM128" s="2369"/>
      <c r="AN128" s="2369"/>
      <c r="AO128" s="2369"/>
      <c r="AP128" s="2369"/>
      <c r="AQ128" s="2369"/>
      <c r="AR128" s="2369"/>
      <c r="AS128" s="2369"/>
      <c r="AT128" s="2369"/>
      <c r="AU128" s="2369"/>
      <c r="AV128" s="2369"/>
      <c r="AW128" s="2369"/>
      <c r="AX128" s="2369"/>
      <c r="AY128" s="2369"/>
      <c r="AZ128" s="2369"/>
      <c r="BA128" s="2369"/>
      <c r="BB128" s="2369"/>
      <c r="BC128" s="2369"/>
      <c r="BD128" s="2369"/>
      <c r="BE128" s="2369"/>
      <c r="BF128" s="2369"/>
      <c r="BG128" s="2369"/>
      <c r="BH128" s="2369"/>
      <c r="BI128" s="2369"/>
      <c r="BJ128" s="2369"/>
      <c r="BK128" s="2369"/>
      <c r="BL128" s="2369"/>
      <c r="BM128" s="2369"/>
      <c r="BN128" s="2369"/>
      <c r="BO128" s="2369"/>
      <c r="BP128" s="2369"/>
      <c r="BQ128" s="2369"/>
      <c r="BR128" s="2369"/>
      <c r="BS128" s="2369"/>
      <c r="BT128" s="2369"/>
      <c r="BU128" s="2369"/>
      <c r="BV128" s="2369"/>
      <c r="BW128" s="2369"/>
      <c r="BX128" s="2369"/>
      <c r="BY128" s="2369"/>
      <c r="BZ128" s="2369"/>
      <c r="CA128" s="2369"/>
      <c r="CB128" s="2369"/>
      <c r="CC128" s="2369"/>
      <c r="CD128" s="2369"/>
      <c r="CE128" s="2369"/>
      <c r="CF128" s="2369"/>
      <c r="CG128" s="2369"/>
      <c r="CH128" s="2369"/>
      <c r="CI128" s="2369"/>
      <c r="CJ128" s="2369"/>
      <c r="CK128" s="2369"/>
      <c r="CL128" s="2369"/>
      <c r="CM128" s="2369"/>
      <c r="CN128" s="2369"/>
      <c r="CO128" s="2369"/>
      <c r="CP128" s="2369"/>
      <c r="CQ128" s="2369"/>
      <c r="CR128" s="2369"/>
      <c r="CS128" s="2369"/>
      <c r="CT128" s="2369"/>
      <c r="CU128" s="2369"/>
      <c r="CV128" s="2369"/>
      <c r="CW128" s="2369"/>
      <c r="CX128" s="2369"/>
      <c r="CY128" s="2369"/>
      <c r="CZ128" s="2369"/>
      <c r="DA128" s="2369"/>
      <c r="DB128" s="2369"/>
      <c r="DC128" s="2369"/>
      <c r="DD128" s="2369"/>
      <c r="DE128" s="2369"/>
      <c r="DF128" s="2369"/>
      <c r="DG128" s="2369"/>
      <c r="DH128" s="2369"/>
      <c r="DI128" s="2369"/>
      <c r="DJ128" s="2369"/>
      <c r="DK128" s="2369"/>
      <c r="DL128" s="2369"/>
      <c r="DM128" s="2369"/>
      <c r="DN128" s="2369"/>
      <c r="DO128" s="2369"/>
      <c r="DP128" s="2369"/>
      <c r="DQ128" s="2369"/>
      <c r="DR128" s="2369"/>
      <c r="DS128" s="2369"/>
      <c r="DT128" s="2369"/>
      <c r="DU128" s="2369"/>
      <c r="DV128" s="2369"/>
      <c r="DW128" s="2369"/>
      <c r="DX128" s="2369"/>
      <c r="DY128" s="2369"/>
      <c r="DZ128" s="2369"/>
      <c r="EA128" s="2369"/>
      <c r="EB128" s="2369"/>
      <c r="EC128" s="2369"/>
      <c r="ED128" s="2369"/>
      <c r="EE128" s="2369"/>
      <c r="EF128" s="2369"/>
      <c r="EG128" s="2369"/>
      <c r="EH128" s="2369"/>
      <c r="EI128" s="2369"/>
      <c r="EJ128" s="2369"/>
      <c r="EK128" s="2369"/>
      <c r="EL128" s="2369"/>
      <c r="EM128" s="2369"/>
      <c r="EN128" s="2369"/>
      <c r="EO128" s="2369"/>
      <c r="EP128" s="2369"/>
      <c r="EQ128" s="2369"/>
      <c r="ER128" s="2369"/>
      <c r="ES128" s="2369"/>
      <c r="ET128" s="2369"/>
      <c r="EU128" s="2369"/>
      <c r="EV128" s="2369"/>
      <c r="EW128" s="2369"/>
      <c r="EX128" s="2369"/>
      <c r="EY128" s="2369"/>
      <c r="EZ128" s="2369"/>
      <c r="FA128" s="2369"/>
      <c r="FB128" s="2369"/>
      <c r="FC128" s="2369"/>
      <c r="FD128" s="2369"/>
      <c r="FE128" s="2369"/>
      <c r="FF128" s="2369"/>
      <c r="FG128" s="2369"/>
      <c r="FH128" s="2369"/>
      <c r="FI128" s="2369"/>
      <c r="FJ128" s="2369"/>
      <c r="FK128" s="2369"/>
      <c r="FL128" s="2369"/>
      <c r="FM128" s="2369"/>
      <c r="FN128" s="2369"/>
      <c r="FO128" s="2369"/>
      <c r="FP128" s="2369"/>
      <c r="FQ128" s="2369"/>
      <c r="FR128" s="2369"/>
      <c r="FS128" s="2369"/>
      <c r="FT128" s="2369"/>
      <c r="FU128" s="2369"/>
      <c r="FV128" s="2369"/>
      <c r="FW128" s="2369"/>
      <c r="FX128" s="2369"/>
      <c r="FY128" s="2369"/>
      <c r="FZ128" s="2369"/>
      <c r="GA128" s="2369"/>
      <c r="GB128" s="2369"/>
      <c r="GC128" s="2369"/>
      <c r="GD128" s="2369"/>
      <c r="GE128" s="2369"/>
      <c r="GF128" s="2369"/>
      <c r="GG128" s="2369"/>
      <c r="GH128" s="2369"/>
      <c r="GI128" s="2369"/>
      <c r="GJ128" s="2369"/>
      <c r="GK128" s="2369"/>
      <c r="GL128" s="2369"/>
      <c r="GM128" s="2369"/>
      <c r="GN128" s="2369"/>
      <c r="GO128" s="2369"/>
      <c r="GP128" s="2369"/>
      <c r="GQ128" s="2369"/>
      <c r="GR128" s="2369"/>
      <c r="GS128" s="2369"/>
      <c r="GT128" s="2369"/>
      <c r="GU128" s="2369"/>
      <c r="GV128" s="2369"/>
      <c r="GW128" s="2369"/>
      <c r="GX128" s="2369"/>
      <c r="GY128" s="2369"/>
      <c r="GZ128" s="2369"/>
      <c r="HA128" s="2369"/>
      <c r="HB128" s="2369"/>
      <c r="HC128" s="2369"/>
      <c r="HD128" s="2369"/>
      <c r="HE128" s="2369"/>
      <c r="HF128" s="2369"/>
      <c r="HG128" s="2369"/>
      <c r="HH128" s="2369"/>
      <c r="HI128" s="2369"/>
      <c r="HJ128" s="2369"/>
      <c r="HK128" s="2369"/>
      <c r="HL128" s="2369"/>
      <c r="HM128" s="2369"/>
      <c r="HN128" s="2369"/>
      <c r="HO128" s="2369"/>
      <c r="HP128" s="2369"/>
      <c r="HQ128" s="2369"/>
      <c r="HR128" s="2369"/>
      <c r="HS128" s="2369"/>
      <c r="HT128" s="2369"/>
      <c r="HU128" s="2369"/>
      <c r="HV128" s="2369"/>
      <c r="HW128" s="2369"/>
      <c r="HX128" s="2369"/>
      <c r="HY128" s="2369"/>
      <c r="HZ128" s="2369"/>
      <c r="IA128" s="2369"/>
      <c r="IE128" s="2368"/>
      <c r="IQ128" s="2368"/>
      <c r="JC128" s="2368"/>
      <c r="JO128" s="2368"/>
      <c r="KA128" s="2368"/>
      <c r="KM128" s="2368"/>
      <c r="KY128" s="2368"/>
    </row>
    <row r="129" spans="3:235" ht="15.75" customHeight="1">
      <c r="C129" s="2351" t="s">
        <v>11</v>
      </c>
      <c r="D129" s="2352"/>
      <c r="E129" s="2352"/>
      <c r="F129" s="2352"/>
      <c r="G129" s="2352"/>
      <c r="H129" s="766" t="s">
        <v>40</v>
      </c>
      <c r="J129" s="2353">
        <f t="shared" ref="J129:AO129" si="187">J$10</f>
        <v>2003</v>
      </c>
      <c r="K129" s="2353">
        <f t="shared" si="187"/>
        <v>2003</v>
      </c>
      <c r="L129" s="2353">
        <f t="shared" si="187"/>
        <v>2003</v>
      </c>
      <c r="M129" s="2353">
        <f t="shared" si="187"/>
        <v>2003</v>
      </c>
      <c r="N129" s="2353">
        <f t="shared" si="187"/>
        <v>2004</v>
      </c>
      <c r="O129" s="2353">
        <f t="shared" si="187"/>
        <v>2004</v>
      </c>
      <c r="P129" s="2353">
        <f t="shared" si="187"/>
        <v>2004</v>
      </c>
      <c r="Q129" s="2353">
        <f t="shared" si="187"/>
        <v>2004</v>
      </c>
      <c r="R129" s="2353">
        <f t="shared" si="187"/>
        <v>2005</v>
      </c>
      <c r="S129" s="2353">
        <f t="shared" si="187"/>
        <v>2005</v>
      </c>
      <c r="T129" s="2353">
        <f t="shared" si="187"/>
        <v>2005</v>
      </c>
      <c r="U129" s="2353">
        <f t="shared" si="187"/>
        <v>2005</v>
      </c>
      <c r="V129" s="2353">
        <f t="shared" si="187"/>
        <v>2006</v>
      </c>
      <c r="W129" s="2353">
        <f t="shared" si="187"/>
        <v>2006</v>
      </c>
      <c r="X129" s="2353">
        <f t="shared" si="187"/>
        <v>2006</v>
      </c>
      <c r="Y129" s="2353">
        <f t="shared" si="187"/>
        <v>2006</v>
      </c>
      <c r="Z129" s="2353">
        <f t="shared" si="187"/>
        <v>2007</v>
      </c>
      <c r="AA129" s="2353">
        <f t="shared" si="187"/>
        <v>2007</v>
      </c>
      <c r="AB129" s="2353">
        <f t="shared" si="187"/>
        <v>2007</v>
      </c>
      <c r="AC129" s="2353">
        <f t="shared" si="187"/>
        <v>2007</v>
      </c>
      <c r="AD129" s="2353">
        <f t="shared" si="187"/>
        <v>2008</v>
      </c>
      <c r="AE129" s="2353">
        <f t="shared" si="187"/>
        <v>2008</v>
      </c>
      <c r="AF129" s="2353">
        <f t="shared" si="187"/>
        <v>2008</v>
      </c>
      <c r="AG129" s="2353">
        <f t="shared" si="187"/>
        <v>2008</v>
      </c>
      <c r="AH129" s="2353">
        <f t="shared" si="187"/>
        <v>2009</v>
      </c>
      <c r="AI129" s="2353">
        <f t="shared" si="187"/>
        <v>2009</v>
      </c>
      <c r="AJ129" s="2353">
        <f t="shared" si="187"/>
        <v>2009</v>
      </c>
      <c r="AK129" s="2353">
        <f t="shared" si="187"/>
        <v>2009</v>
      </c>
      <c r="AL129" s="2353">
        <f t="shared" si="187"/>
        <v>2010</v>
      </c>
      <c r="AM129" s="2353">
        <f t="shared" si="187"/>
        <v>2010</v>
      </c>
      <c r="AN129" s="2353">
        <f t="shared" si="187"/>
        <v>2010</v>
      </c>
      <c r="AO129" s="2353">
        <f t="shared" si="187"/>
        <v>2010</v>
      </c>
      <c r="AP129" s="2353">
        <f t="shared" ref="AP129:BU129" si="188">AP$10</f>
        <v>2011</v>
      </c>
      <c r="AQ129" s="2353">
        <f t="shared" si="188"/>
        <v>2011</v>
      </c>
      <c r="AR129" s="2353">
        <f t="shared" si="188"/>
        <v>2011</v>
      </c>
      <c r="AS129" s="2353">
        <f t="shared" si="188"/>
        <v>2011</v>
      </c>
      <c r="AT129" s="2353">
        <f t="shared" si="188"/>
        <v>2012</v>
      </c>
      <c r="AU129" s="2353">
        <f t="shared" si="188"/>
        <v>2012</v>
      </c>
      <c r="AV129" s="2353">
        <f t="shared" si="188"/>
        <v>2012</v>
      </c>
      <c r="AW129" s="2353">
        <f t="shared" si="188"/>
        <v>2012</v>
      </c>
      <c r="AX129" s="2353">
        <f t="shared" si="188"/>
        <v>2013</v>
      </c>
      <c r="AY129" s="2353">
        <f t="shared" si="188"/>
        <v>2013</v>
      </c>
      <c r="AZ129" s="2353">
        <f t="shared" si="188"/>
        <v>2013</v>
      </c>
      <c r="BA129" s="2353">
        <f t="shared" si="188"/>
        <v>2013</v>
      </c>
      <c r="BB129" s="2353">
        <f t="shared" si="188"/>
        <v>2014</v>
      </c>
      <c r="BC129" s="2353">
        <f t="shared" si="188"/>
        <v>2014</v>
      </c>
      <c r="BD129" s="2353">
        <f t="shared" si="188"/>
        <v>2014</v>
      </c>
      <c r="BE129" s="2353">
        <f t="shared" si="188"/>
        <v>2014</v>
      </c>
      <c r="BF129" s="2353">
        <f t="shared" si="188"/>
        <v>2015</v>
      </c>
      <c r="BG129" s="2353">
        <f t="shared" si="188"/>
        <v>2015</v>
      </c>
      <c r="BH129" s="2353">
        <f t="shared" si="188"/>
        <v>2015</v>
      </c>
      <c r="BI129" s="2353">
        <f t="shared" si="188"/>
        <v>2015</v>
      </c>
      <c r="BJ129" s="2353">
        <f t="shared" si="188"/>
        <v>2016</v>
      </c>
      <c r="BK129" s="2353">
        <f t="shared" si="188"/>
        <v>2016</v>
      </c>
      <c r="BL129" s="2353">
        <f t="shared" si="188"/>
        <v>2016</v>
      </c>
      <c r="BM129" s="2353">
        <f t="shared" si="188"/>
        <v>2016</v>
      </c>
      <c r="BN129" s="2353">
        <f t="shared" si="188"/>
        <v>2017</v>
      </c>
      <c r="BO129" s="2353">
        <f t="shared" si="188"/>
        <v>2017</v>
      </c>
      <c r="BP129" s="2353">
        <f t="shared" si="188"/>
        <v>2017</v>
      </c>
      <c r="BQ129" s="2353">
        <f t="shared" si="188"/>
        <v>2017</v>
      </c>
      <c r="BR129" s="2353">
        <f t="shared" si="188"/>
        <v>2018</v>
      </c>
      <c r="BS129" s="2353">
        <f t="shared" si="188"/>
        <v>2018</v>
      </c>
      <c r="BT129" s="2353">
        <f t="shared" si="188"/>
        <v>2018</v>
      </c>
      <c r="BU129" s="2353">
        <f t="shared" si="188"/>
        <v>2018</v>
      </c>
      <c r="BV129" s="2353">
        <f t="shared" ref="BV129:DA129" si="189">BV$10</f>
        <v>2019</v>
      </c>
      <c r="BW129" s="2353">
        <f t="shared" si="189"/>
        <v>2019</v>
      </c>
      <c r="BX129" s="2353">
        <f t="shared" si="189"/>
        <v>2019</v>
      </c>
      <c r="BY129" s="2353">
        <f t="shared" si="189"/>
        <v>2019</v>
      </c>
      <c r="BZ129" s="2353">
        <f t="shared" si="189"/>
        <v>2020</v>
      </c>
      <c r="CA129" s="2353">
        <f t="shared" si="189"/>
        <v>2020</v>
      </c>
      <c r="CB129" s="2353">
        <f t="shared" si="189"/>
        <v>2020</v>
      </c>
      <c r="CC129" s="2353">
        <f t="shared" si="189"/>
        <v>2020</v>
      </c>
      <c r="CD129" s="2353">
        <f t="shared" si="189"/>
        <v>2021</v>
      </c>
      <c r="CE129" s="2353">
        <f t="shared" si="189"/>
        <v>2021</v>
      </c>
      <c r="CF129" s="2353">
        <f t="shared" si="189"/>
        <v>2021</v>
      </c>
      <c r="CG129" s="2353">
        <f t="shared" si="189"/>
        <v>2021</v>
      </c>
      <c r="CH129" s="2353">
        <f t="shared" si="189"/>
        <v>2022</v>
      </c>
      <c r="CI129" s="2353">
        <f t="shared" si="189"/>
        <v>2022</v>
      </c>
      <c r="CJ129" s="2353">
        <f t="shared" si="189"/>
        <v>2022</v>
      </c>
      <c r="CK129" s="2353">
        <f t="shared" si="189"/>
        <v>2022</v>
      </c>
      <c r="CL129" s="2353">
        <f t="shared" si="189"/>
        <v>2023</v>
      </c>
      <c r="CM129" s="2353">
        <f t="shared" si="189"/>
        <v>2023</v>
      </c>
      <c r="CN129" s="2353">
        <f t="shared" si="189"/>
        <v>2023</v>
      </c>
      <c r="CO129" s="2353">
        <f t="shared" si="189"/>
        <v>2023</v>
      </c>
      <c r="CP129" s="2353">
        <f t="shared" si="189"/>
        <v>2024</v>
      </c>
      <c r="CQ129" s="2353">
        <f t="shared" si="189"/>
        <v>2024</v>
      </c>
      <c r="CR129" s="2353">
        <f t="shared" si="189"/>
        <v>2024</v>
      </c>
      <c r="CS129" s="2353">
        <f t="shared" si="189"/>
        <v>2024</v>
      </c>
      <c r="CT129" s="2353">
        <f t="shared" si="189"/>
        <v>2025</v>
      </c>
      <c r="CU129" s="2353">
        <f t="shared" si="189"/>
        <v>2025</v>
      </c>
      <c r="CV129" s="2353">
        <f t="shared" si="189"/>
        <v>2025</v>
      </c>
      <c r="CW129" s="2353">
        <f t="shared" si="189"/>
        <v>2025</v>
      </c>
      <c r="CX129" s="2353">
        <f t="shared" si="189"/>
        <v>2026</v>
      </c>
      <c r="CY129" s="2353">
        <f t="shared" si="189"/>
        <v>2026</v>
      </c>
      <c r="CZ129" s="2353">
        <f t="shared" si="189"/>
        <v>2026</v>
      </c>
      <c r="DA129" s="2353">
        <f t="shared" si="189"/>
        <v>2026</v>
      </c>
      <c r="DB129" s="2353">
        <f t="shared" ref="DB129:EG129" si="190">DB$10</f>
        <v>2027</v>
      </c>
      <c r="DC129" s="2353">
        <f t="shared" si="190"/>
        <v>2027</v>
      </c>
      <c r="DD129" s="2353">
        <f t="shared" si="190"/>
        <v>2027</v>
      </c>
      <c r="DE129" s="2353">
        <f t="shared" si="190"/>
        <v>2027</v>
      </c>
      <c r="DF129" s="2353">
        <f t="shared" si="190"/>
        <v>2028</v>
      </c>
      <c r="DG129" s="2353">
        <f t="shared" si="190"/>
        <v>2028</v>
      </c>
      <c r="DH129" s="2353">
        <f t="shared" si="190"/>
        <v>2028</v>
      </c>
      <c r="DI129" s="2353">
        <f t="shared" si="190"/>
        <v>2028</v>
      </c>
      <c r="DJ129" s="2353">
        <f t="shared" si="190"/>
        <v>2029</v>
      </c>
      <c r="DK129" s="2353">
        <f t="shared" si="190"/>
        <v>2029</v>
      </c>
      <c r="DL129" s="2353">
        <f t="shared" si="190"/>
        <v>2029</v>
      </c>
      <c r="DM129" s="2353">
        <f t="shared" si="190"/>
        <v>2029</v>
      </c>
      <c r="DN129" s="2353">
        <f t="shared" si="190"/>
        <v>2030</v>
      </c>
      <c r="DO129" s="2353">
        <f t="shared" si="190"/>
        <v>2030</v>
      </c>
      <c r="DP129" s="2353">
        <f t="shared" si="190"/>
        <v>2030</v>
      </c>
      <c r="DQ129" s="2353">
        <f t="shared" si="190"/>
        <v>2030</v>
      </c>
      <c r="DR129" s="2353">
        <f t="shared" si="190"/>
        <v>2031</v>
      </c>
      <c r="DS129" s="2353">
        <f t="shared" si="190"/>
        <v>2031</v>
      </c>
      <c r="DT129" s="2353">
        <f t="shared" si="190"/>
        <v>2031</v>
      </c>
      <c r="DU129" s="2353">
        <f t="shared" si="190"/>
        <v>2031</v>
      </c>
      <c r="DV129" s="2353">
        <f t="shared" si="190"/>
        <v>2032</v>
      </c>
      <c r="DW129" s="2353">
        <f t="shared" si="190"/>
        <v>2032</v>
      </c>
      <c r="DX129" s="2353">
        <f t="shared" si="190"/>
        <v>2032</v>
      </c>
      <c r="DY129" s="2353">
        <f t="shared" si="190"/>
        <v>2032</v>
      </c>
      <c r="DZ129" s="2353">
        <f t="shared" si="190"/>
        <v>2033</v>
      </c>
      <c r="EA129" s="2353">
        <f t="shared" si="190"/>
        <v>2033</v>
      </c>
      <c r="EB129" s="2353">
        <f t="shared" si="190"/>
        <v>2033</v>
      </c>
      <c r="EC129" s="2353">
        <f t="shared" si="190"/>
        <v>2033</v>
      </c>
      <c r="ED129" s="2353">
        <f t="shared" si="190"/>
        <v>2034</v>
      </c>
      <c r="EE129" s="2353">
        <f t="shared" si="190"/>
        <v>2034</v>
      </c>
      <c r="EF129" s="2353">
        <f t="shared" si="190"/>
        <v>2034</v>
      </c>
      <c r="EG129" s="2353">
        <f t="shared" si="190"/>
        <v>2034</v>
      </c>
      <c r="EH129" s="2353">
        <f t="shared" ref="EH129:GS129" si="191">EH$10</f>
        <v>2035</v>
      </c>
      <c r="EI129" s="2353">
        <f t="shared" si="191"/>
        <v>2035</v>
      </c>
      <c r="EJ129" s="2353">
        <f t="shared" si="191"/>
        <v>2035</v>
      </c>
      <c r="EK129" s="2353">
        <f t="shared" si="191"/>
        <v>2035</v>
      </c>
      <c r="EL129" s="2353">
        <f t="shared" si="191"/>
        <v>2036</v>
      </c>
      <c r="EM129" s="2353">
        <f t="shared" si="191"/>
        <v>2036</v>
      </c>
      <c r="EN129" s="2353">
        <f t="shared" si="191"/>
        <v>2036</v>
      </c>
      <c r="EO129" s="2353">
        <f t="shared" si="191"/>
        <v>2036</v>
      </c>
      <c r="EP129" s="2353">
        <f t="shared" si="191"/>
        <v>2037</v>
      </c>
      <c r="EQ129" s="2353">
        <f t="shared" si="191"/>
        <v>2037</v>
      </c>
      <c r="ER129" s="2353">
        <f t="shared" si="191"/>
        <v>2037</v>
      </c>
      <c r="ES129" s="2353">
        <f t="shared" si="191"/>
        <v>2037</v>
      </c>
      <c r="ET129" s="2353">
        <f t="shared" si="191"/>
        <v>2038</v>
      </c>
      <c r="EU129" s="2353">
        <f t="shared" si="191"/>
        <v>2038</v>
      </c>
      <c r="EV129" s="2353">
        <f t="shared" si="191"/>
        <v>2038</v>
      </c>
      <c r="EW129" s="2353">
        <f t="shared" si="191"/>
        <v>2038</v>
      </c>
      <c r="EX129" s="2353">
        <f t="shared" si="191"/>
        <v>2039</v>
      </c>
      <c r="EY129" s="2353">
        <f t="shared" si="191"/>
        <v>2039</v>
      </c>
      <c r="EZ129" s="2353">
        <f t="shared" si="191"/>
        <v>2039</v>
      </c>
      <c r="FA129" s="2353">
        <f t="shared" si="191"/>
        <v>2039</v>
      </c>
      <c r="FB129" s="2353">
        <f t="shared" si="191"/>
        <v>2040</v>
      </c>
      <c r="FC129" s="2353">
        <f t="shared" si="191"/>
        <v>2040</v>
      </c>
      <c r="FD129" s="2353">
        <f t="shared" si="191"/>
        <v>2040</v>
      </c>
      <c r="FE129" s="2353">
        <f t="shared" si="191"/>
        <v>2040</v>
      </c>
      <c r="FF129" s="2353">
        <f t="shared" si="191"/>
        <v>2041</v>
      </c>
      <c r="FG129" s="2353">
        <f t="shared" si="191"/>
        <v>2041</v>
      </c>
      <c r="FH129" s="2353">
        <f t="shared" si="191"/>
        <v>2041</v>
      </c>
      <c r="FI129" s="2353">
        <f t="shared" si="191"/>
        <v>2041</v>
      </c>
      <c r="FJ129" s="2353">
        <f t="shared" si="191"/>
        <v>2042</v>
      </c>
      <c r="FK129" s="2353">
        <f t="shared" si="191"/>
        <v>2042</v>
      </c>
      <c r="FL129" s="2353">
        <f t="shared" si="191"/>
        <v>2042</v>
      </c>
      <c r="FM129" s="2353">
        <f t="shared" si="191"/>
        <v>2042</v>
      </c>
      <c r="FN129" s="2353">
        <f t="shared" si="191"/>
        <v>2043</v>
      </c>
      <c r="FO129" s="2353">
        <f t="shared" si="191"/>
        <v>2043</v>
      </c>
      <c r="FP129" s="2353">
        <f t="shared" si="191"/>
        <v>2043</v>
      </c>
      <c r="FQ129" s="2353">
        <f t="shared" si="191"/>
        <v>2043</v>
      </c>
      <c r="FR129" s="2353">
        <f t="shared" si="191"/>
        <v>2044</v>
      </c>
      <c r="FS129" s="2353">
        <f t="shared" si="191"/>
        <v>2044</v>
      </c>
      <c r="FT129" s="2353">
        <f t="shared" si="191"/>
        <v>2044</v>
      </c>
      <c r="FU129" s="2353">
        <f t="shared" si="191"/>
        <v>2044</v>
      </c>
      <c r="FV129" s="2353">
        <f t="shared" si="191"/>
        <v>2045</v>
      </c>
      <c r="FW129" s="2353">
        <f t="shared" si="191"/>
        <v>2045</v>
      </c>
      <c r="FX129" s="2353">
        <f t="shared" si="191"/>
        <v>2045</v>
      </c>
      <c r="FY129" s="2353">
        <f t="shared" si="191"/>
        <v>2045</v>
      </c>
      <c r="FZ129" s="2353">
        <f t="shared" si="191"/>
        <v>2046</v>
      </c>
      <c r="GA129" s="2353">
        <f t="shared" si="191"/>
        <v>2046</v>
      </c>
      <c r="GB129" s="2353">
        <f t="shared" si="191"/>
        <v>2046</v>
      </c>
      <c r="GC129" s="2353">
        <f t="shared" si="191"/>
        <v>2046</v>
      </c>
      <c r="GD129" s="2353">
        <f t="shared" si="191"/>
        <v>2047</v>
      </c>
      <c r="GE129" s="2353">
        <f t="shared" si="191"/>
        <v>2047</v>
      </c>
      <c r="GF129" s="2353">
        <f t="shared" si="191"/>
        <v>2047</v>
      </c>
      <c r="GG129" s="2353">
        <f t="shared" si="191"/>
        <v>2047</v>
      </c>
      <c r="GH129" s="2353">
        <f t="shared" si="191"/>
        <v>2048</v>
      </c>
      <c r="GI129" s="2353">
        <f t="shared" si="191"/>
        <v>2048</v>
      </c>
      <c r="GJ129" s="2353">
        <f t="shared" si="191"/>
        <v>2048</v>
      </c>
      <c r="GK129" s="2353">
        <f t="shared" si="191"/>
        <v>2048</v>
      </c>
      <c r="GL129" s="2353">
        <f t="shared" si="191"/>
        <v>2049</v>
      </c>
      <c r="GM129" s="2353">
        <f t="shared" si="191"/>
        <v>2049</v>
      </c>
      <c r="GN129" s="2353">
        <f t="shared" si="191"/>
        <v>2049</v>
      </c>
      <c r="GO129" s="2353">
        <f t="shared" si="191"/>
        <v>2049</v>
      </c>
      <c r="GP129" s="2353">
        <f t="shared" si="191"/>
        <v>2050</v>
      </c>
      <c r="GQ129" s="2353">
        <f t="shared" si="191"/>
        <v>2050</v>
      </c>
      <c r="GR129" s="2353">
        <f t="shared" si="191"/>
        <v>2050</v>
      </c>
      <c r="GS129" s="2353">
        <f t="shared" si="191"/>
        <v>2050</v>
      </c>
      <c r="GT129" s="2353">
        <f t="shared" ref="GT129:IA129" si="192">GT$10</f>
        <v>2051</v>
      </c>
      <c r="GU129" s="2353">
        <f t="shared" si="192"/>
        <v>2051</v>
      </c>
      <c r="GV129" s="2353">
        <f t="shared" si="192"/>
        <v>2051</v>
      </c>
      <c r="GW129" s="2353">
        <f t="shared" si="192"/>
        <v>2051</v>
      </c>
      <c r="GX129" s="2353">
        <f t="shared" si="192"/>
        <v>2052</v>
      </c>
      <c r="GY129" s="2353">
        <f t="shared" si="192"/>
        <v>2052</v>
      </c>
      <c r="GZ129" s="2353">
        <f t="shared" si="192"/>
        <v>2052</v>
      </c>
      <c r="HA129" s="2353">
        <f t="shared" si="192"/>
        <v>2052</v>
      </c>
      <c r="HB129" s="2353">
        <f t="shared" si="192"/>
        <v>2053</v>
      </c>
      <c r="HC129" s="2353">
        <f t="shared" si="192"/>
        <v>2053</v>
      </c>
      <c r="HD129" s="2353">
        <f t="shared" si="192"/>
        <v>2053</v>
      </c>
      <c r="HE129" s="2353">
        <f t="shared" si="192"/>
        <v>2053</v>
      </c>
      <c r="HF129" s="2353">
        <f t="shared" si="192"/>
        <v>2054</v>
      </c>
      <c r="HG129" s="2353">
        <f t="shared" si="192"/>
        <v>2054</v>
      </c>
      <c r="HH129" s="2353">
        <f t="shared" si="192"/>
        <v>2054</v>
      </c>
      <c r="HI129" s="2353">
        <f t="shared" si="192"/>
        <v>2054</v>
      </c>
      <c r="HJ129" s="2353">
        <f t="shared" si="192"/>
        <v>2055</v>
      </c>
      <c r="HK129" s="2353">
        <f t="shared" si="192"/>
        <v>2055</v>
      </c>
      <c r="HL129" s="2353">
        <f t="shared" si="192"/>
        <v>2055</v>
      </c>
      <c r="HM129" s="2353">
        <f t="shared" si="192"/>
        <v>2055</v>
      </c>
      <c r="HN129" s="2353">
        <f t="shared" si="192"/>
        <v>2056</v>
      </c>
      <c r="HO129" s="2353">
        <f t="shared" si="192"/>
        <v>2056</v>
      </c>
      <c r="HP129" s="2353">
        <f t="shared" si="192"/>
        <v>2056</v>
      </c>
      <c r="HQ129" s="2353">
        <f t="shared" si="192"/>
        <v>2056</v>
      </c>
      <c r="HR129" s="2353">
        <f t="shared" si="192"/>
        <v>2057</v>
      </c>
      <c r="HS129" s="2353">
        <f t="shared" si="192"/>
        <v>2057</v>
      </c>
      <c r="HT129" s="2353">
        <f t="shared" si="192"/>
        <v>2057</v>
      </c>
      <c r="HU129" s="2353">
        <f t="shared" si="192"/>
        <v>2057</v>
      </c>
      <c r="HV129" s="2353">
        <f t="shared" si="192"/>
        <v>2058</v>
      </c>
      <c r="HW129" s="2353">
        <f t="shared" si="192"/>
        <v>2058</v>
      </c>
      <c r="HX129" s="2353">
        <f t="shared" si="192"/>
        <v>2058</v>
      </c>
      <c r="HY129" s="2353">
        <f t="shared" si="192"/>
        <v>2058</v>
      </c>
      <c r="HZ129" s="2353">
        <f t="shared" si="192"/>
        <v>2059</v>
      </c>
      <c r="IA129" s="2353">
        <f t="shared" si="192"/>
        <v>2059</v>
      </c>
    </row>
    <row r="130" spans="3:235" ht="15.75" customHeight="1">
      <c r="C130" s="5265"/>
      <c r="D130" s="5266"/>
      <c r="E130" s="5266"/>
      <c r="F130" s="5266"/>
      <c r="G130" s="5266"/>
      <c r="H130" s="5262"/>
      <c r="J130" s="5287">
        <f t="shared" ref="J130:AO130" si="193">J11</f>
        <v>1</v>
      </c>
      <c r="K130" s="5287">
        <f t="shared" si="193"/>
        <v>2</v>
      </c>
      <c r="L130" s="5287">
        <f t="shared" si="193"/>
        <v>3</v>
      </c>
      <c r="M130" s="5287">
        <f t="shared" si="193"/>
        <v>4</v>
      </c>
      <c r="N130" s="5287">
        <f t="shared" si="193"/>
        <v>1</v>
      </c>
      <c r="O130" s="5287">
        <f t="shared" si="193"/>
        <v>2</v>
      </c>
      <c r="P130" s="5287">
        <f t="shared" si="193"/>
        <v>3</v>
      </c>
      <c r="Q130" s="5287">
        <f t="shared" si="193"/>
        <v>4</v>
      </c>
      <c r="R130" s="5287">
        <f t="shared" si="193"/>
        <v>1</v>
      </c>
      <c r="S130" s="5287">
        <f t="shared" si="193"/>
        <v>2</v>
      </c>
      <c r="T130" s="5287">
        <f t="shared" si="193"/>
        <v>3</v>
      </c>
      <c r="U130" s="5287">
        <f t="shared" si="193"/>
        <v>4</v>
      </c>
      <c r="V130" s="5287">
        <f t="shared" si="193"/>
        <v>1</v>
      </c>
      <c r="W130" s="5287">
        <f t="shared" si="193"/>
        <v>2</v>
      </c>
      <c r="X130" s="5287">
        <f t="shared" si="193"/>
        <v>3</v>
      </c>
      <c r="Y130" s="5287">
        <f t="shared" si="193"/>
        <v>4</v>
      </c>
      <c r="Z130" s="5287">
        <f t="shared" si="193"/>
        <v>1</v>
      </c>
      <c r="AA130" s="5287">
        <f t="shared" si="193"/>
        <v>2</v>
      </c>
      <c r="AB130" s="5287">
        <f t="shared" si="193"/>
        <v>3</v>
      </c>
      <c r="AC130" s="5287">
        <f t="shared" si="193"/>
        <v>4</v>
      </c>
      <c r="AD130" s="5287">
        <f t="shared" si="193"/>
        <v>1</v>
      </c>
      <c r="AE130" s="5287">
        <f t="shared" si="193"/>
        <v>2</v>
      </c>
      <c r="AF130" s="5287">
        <f t="shared" si="193"/>
        <v>3</v>
      </c>
      <c r="AG130" s="5287">
        <f t="shared" si="193"/>
        <v>4</v>
      </c>
      <c r="AH130" s="5287">
        <f t="shared" si="193"/>
        <v>1</v>
      </c>
      <c r="AI130" s="5287">
        <f t="shared" si="193"/>
        <v>2</v>
      </c>
      <c r="AJ130" s="5287">
        <f t="shared" si="193"/>
        <v>3</v>
      </c>
      <c r="AK130" s="5287">
        <f t="shared" si="193"/>
        <v>4</v>
      </c>
      <c r="AL130" s="5287">
        <f t="shared" si="193"/>
        <v>1</v>
      </c>
      <c r="AM130" s="5287">
        <f t="shared" si="193"/>
        <v>2</v>
      </c>
      <c r="AN130" s="5287">
        <f t="shared" si="193"/>
        <v>3</v>
      </c>
      <c r="AO130" s="5287">
        <f t="shared" si="193"/>
        <v>4</v>
      </c>
      <c r="AP130" s="5287">
        <f t="shared" ref="AP130:BU130" si="194">AP11</f>
        <v>1</v>
      </c>
      <c r="AQ130" s="5287">
        <f t="shared" si="194"/>
        <v>2</v>
      </c>
      <c r="AR130" s="5287">
        <f t="shared" si="194"/>
        <v>3</v>
      </c>
      <c r="AS130" s="5287">
        <f t="shared" si="194"/>
        <v>4</v>
      </c>
      <c r="AT130" s="5287">
        <f t="shared" si="194"/>
        <v>1</v>
      </c>
      <c r="AU130" s="5287">
        <f t="shared" si="194"/>
        <v>2</v>
      </c>
      <c r="AV130" s="5287">
        <f t="shared" si="194"/>
        <v>3</v>
      </c>
      <c r="AW130" s="5287">
        <f t="shared" si="194"/>
        <v>4</v>
      </c>
      <c r="AX130" s="5287">
        <f t="shared" si="194"/>
        <v>1</v>
      </c>
      <c r="AY130" s="5287">
        <f t="shared" si="194"/>
        <v>2</v>
      </c>
      <c r="AZ130" s="5287">
        <f t="shared" si="194"/>
        <v>3</v>
      </c>
      <c r="BA130" s="5287">
        <f t="shared" si="194"/>
        <v>4</v>
      </c>
      <c r="BB130" s="5287">
        <f t="shared" si="194"/>
        <v>1</v>
      </c>
      <c r="BC130" s="5287">
        <f t="shared" si="194"/>
        <v>2</v>
      </c>
      <c r="BD130" s="5287">
        <f t="shared" si="194"/>
        <v>3</v>
      </c>
      <c r="BE130" s="5287">
        <f t="shared" si="194"/>
        <v>4</v>
      </c>
      <c r="BF130" s="5287">
        <f t="shared" si="194"/>
        <v>1</v>
      </c>
      <c r="BG130" s="5287">
        <f t="shared" si="194"/>
        <v>2</v>
      </c>
      <c r="BH130" s="5287">
        <f t="shared" si="194"/>
        <v>3</v>
      </c>
      <c r="BI130" s="5287">
        <f t="shared" si="194"/>
        <v>4</v>
      </c>
      <c r="BJ130" s="5287">
        <f t="shared" si="194"/>
        <v>1</v>
      </c>
      <c r="BK130" s="5287">
        <f t="shared" si="194"/>
        <v>2</v>
      </c>
      <c r="BL130" s="5287">
        <f t="shared" si="194"/>
        <v>3</v>
      </c>
      <c r="BM130" s="5287">
        <f t="shared" si="194"/>
        <v>4</v>
      </c>
      <c r="BN130" s="5287">
        <f t="shared" si="194"/>
        <v>1</v>
      </c>
      <c r="BO130" s="5287">
        <f t="shared" si="194"/>
        <v>2</v>
      </c>
      <c r="BP130" s="5287">
        <f t="shared" si="194"/>
        <v>3</v>
      </c>
      <c r="BQ130" s="5287">
        <f t="shared" si="194"/>
        <v>4</v>
      </c>
      <c r="BR130" s="5287">
        <f t="shared" si="194"/>
        <v>1</v>
      </c>
      <c r="BS130" s="5287">
        <f t="shared" si="194"/>
        <v>2</v>
      </c>
      <c r="BT130" s="5287">
        <f t="shared" si="194"/>
        <v>3</v>
      </c>
      <c r="BU130" s="5287">
        <f t="shared" si="194"/>
        <v>4</v>
      </c>
      <c r="BV130" s="5287">
        <f t="shared" ref="BV130:DA130" si="195">BV11</f>
        <v>1</v>
      </c>
      <c r="BW130" s="5287">
        <f t="shared" si="195"/>
        <v>2</v>
      </c>
      <c r="BX130" s="5287">
        <f t="shared" si="195"/>
        <v>3</v>
      </c>
      <c r="BY130" s="5287">
        <f t="shared" si="195"/>
        <v>4</v>
      </c>
      <c r="BZ130" s="5287">
        <f t="shared" si="195"/>
        <v>1</v>
      </c>
      <c r="CA130" s="5287">
        <f t="shared" si="195"/>
        <v>2</v>
      </c>
      <c r="CB130" s="5287">
        <f t="shared" si="195"/>
        <v>3</v>
      </c>
      <c r="CC130" s="5287">
        <f t="shared" si="195"/>
        <v>4</v>
      </c>
      <c r="CD130" s="5287">
        <f t="shared" si="195"/>
        <v>1</v>
      </c>
      <c r="CE130" s="5287">
        <f t="shared" si="195"/>
        <v>2</v>
      </c>
      <c r="CF130" s="5287">
        <f t="shared" si="195"/>
        <v>3</v>
      </c>
      <c r="CG130" s="5287">
        <f t="shared" si="195"/>
        <v>4</v>
      </c>
      <c r="CH130" s="5287">
        <f t="shared" si="195"/>
        <v>1</v>
      </c>
      <c r="CI130" s="5287">
        <f t="shared" si="195"/>
        <v>2</v>
      </c>
      <c r="CJ130" s="5287">
        <f t="shared" si="195"/>
        <v>3</v>
      </c>
      <c r="CK130" s="5287">
        <f t="shared" si="195"/>
        <v>4</v>
      </c>
      <c r="CL130" s="5287">
        <f t="shared" si="195"/>
        <v>1</v>
      </c>
      <c r="CM130" s="5287">
        <f t="shared" si="195"/>
        <v>2</v>
      </c>
      <c r="CN130" s="5287">
        <f t="shared" si="195"/>
        <v>3</v>
      </c>
      <c r="CO130" s="5287">
        <f t="shared" si="195"/>
        <v>4</v>
      </c>
      <c r="CP130" s="5287">
        <f t="shared" si="195"/>
        <v>1</v>
      </c>
      <c r="CQ130" s="5287">
        <f t="shared" si="195"/>
        <v>2</v>
      </c>
      <c r="CR130" s="5287">
        <f t="shared" si="195"/>
        <v>3</v>
      </c>
      <c r="CS130" s="5287">
        <f t="shared" si="195"/>
        <v>4</v>
      </c>
      <c r="CT130" s="5287">
        <f t="shared" si="195"/>
        <v>1</v>
      </c>
      <c r="CU130" s="5287">
        <f t="shared" si="195"/>
        <v>2</v>
      </c>
      <c r="CV130" s="5287">
        <f t="shared" si="195"/>
        <v>3</v>
      </c>
      <c r="CW130" s="5287">
        <f t="shared" si="195"/>
        <v>4</v>
      </c>
      <c r="CX130" s="5287">
        <f t="shared" si="195"/>
        <v>1</v>
      </c>
      <c r="CY130" s="5287">
        <f t="shared" si="195"/>
        <v>2</v>
      </c>
      <c r="CZ130" s="5287">
        <f t="shared" si="195"/>
        <v>3</v>
      </c>
      <c r="DA130" s="5287">
        <f t="shared" si="195"/>
        <v>4</v>
      </c>
      <c r="DB130" s="5287">
        <f t="shared" ref="DB130:EH130" si="196">DB11</f>
        <v>1</v>
      </c>
      <c r="DC130" s="5287">
        <f t="shared" si="196"/>
        <v>2</v>
      </c>
      <c r="DD130" s="5287">
        <f t="shared" si="196"/>
        <v>3</v>
      </c>
      <c r="DE130" s="5287">
        <f t="shared" si="196"/>
        <v>4</v>
      </c>
      <c r="DF130" s="5287">
        <f t="shared" si="196"/>
        <v>1</v>
      </c>
      <c r="DG130" s="5287">
        <f t="shared" si="196"/>
        <v>2</v>
      </c>
      <c r="DH130" s="5287">
        <f t="shared" si="196"/>
        <v>3</v>
      </c>
      <c r="DI130" s="5287">
        <f t="shared" si="196"/>
        <v>4</v>
      </c>
      <c r="DJ130" s="5287">
        <f t="shared" si="196"/>
        <v>1</v>
      </c>
      <c r="DK130" s="5287">
        <f t="shared" si="196"/>
        <v>2</v>
      </c>
      <c r="DL130" s="5287">
        <f t="shared" si="196"/>
        <v>3</v>
      </c>
      <c r="DM130" s="5287">
        <f t="shared" si="196"/>
        <v>4</v>
      </c>
      <c r="DN130" s="5287">
        <f t="shared" si="196"/>
        <v>1</v>
      </c>
      <c r="DO130" s="5287">
        <f t="shared" si="196"/>
        <v>2</v>
      </c>
      <c r="DP130" s="5287">
        <f t="shared" si="196"/>
        <v>3</v>
      </c>
      <c r="DQ130" s="5287">
        <f t="shared" si="196"/>
        <v>4</v>
      </c>
      <c r="DR130" s="5287">
        <f t="shared" si="196"/>
        <v>1</v>
      </c>
      <c r="DS130" s="5287">
        <f t="shared" si="196"/>
        <v>2</v>
      </c>
      <c r="DT130" s="5287">
        <f t="shared" si="196"/>
        <v>3</v>
      </c>
      <c r="DU130" s="5287">
        <f t="shared" si="196"/>
        <v>4</v>
      </c>
      <c r="DV130" s="5287">
        <f t="shared" si="196"/>
        <v>1</v>
      </c>
      <c r="DW130" s="5287">
        <f t="shared" si="196"/>
        <v>2</v>
      </c>
      <c r="DX130" s="5287">
        <f t="shared" si="196"/>
        <v>3</v>
      </c>
      <c r="DY130" s="5287">
        <f t="shared" si="196"/>
        <v>4</v>
      </c>
      <c r="DZ130" s="5287">
        <f t="shared" si="196"/>
        <v>1</v>
      </c>
      <c r="EA130" s="5287">
        <f t="shared" si="196"/>
        <v>2</v>
      </c>
      <c r="EB130" s="5287">
        <f t="shared" si="196"/>
        <v>3</v>
      </c>
      <c r="EC130" s="5287">
        <f t="shared" si="196"/>
        <v>4</v>
      </c>
      <c r="ED130" s="5287">
        <f t="shared" si="196"/>
        <v>1</v>
      </c>
      <c r="EE130" s="5287">
        <f t="shared" si="196"/>
        <v>2</v>
      </c>
      <c r="EF130" s="5287">
        <f t="shared" si="196"/>
        <v>3</v>
      </c>
      <c r="EG130" s="5287">
        <f t="shared" si="196"/>
        <v>4</v>
      </c>
      <c r="EH130" s="5287">
        <f t="shared" si="196"/>
        <v>1</v>
      </c>
      <c r="EI130" s="5287">
        <f t="shared" ref="EI130:GT130" si="197">EI11</f>
        <v>2</v>
      </c>
      <c r="EJ130" s="5287">
        <f t="shared" si="197"/>
        <v>3</v>
      </c>
      <c r="EK130" s="5287">
        <f t="shared" si="197"/>
        <v>4</v>
      </c>
      <c r="EL130" s="5287">
        <f t="shared" si="197"/>
        <v>1</v>
      </c>
      <c r="EM130" s="5287">
        <f t="shared" si="197"/>
        <v>2</v>
      </c>
      <c r="EN130" s="5287">
        <f t="shared" si="197"/>
        <v>3</v>
      </c>
      <c r="EO130" s="5287">
        <f t="shared" si="197"/>
        <v>4</v>
      </c>
      <c r="EP130" s="5287">
        <f t="shared" si="197"/>
        <v>1</v>
      </c>
      <c r="EQ130" s="5287">
        <f t="shared" si="197"/>
        <v>2</v>
      </c>
      <c r="ER130" s="5287">
        <f t="shared" si="197"/>
        <v>3</v>
      </c>
      <c r="ES130" s="5287">
        <f t="shared" si="197"/>
        <v>4</v>
      </c>
      <c r="ET130" s="5287">
        <f t="shared" si="197"/>
        <v>1</v>
      </c>
      <c r="EU130" s="5287">
        <f t="shared" si="197"/>
        <v>2</v>
      </c>
      <c r="EV130" s="5287">
        <f t="shared" si="197"/>
        <v>3</v>
      </c>
      <c r="EW130" s="5287">
        <f t="shared" si="197"/>
        <v>4</v>
      </c>
      <c r="EX130" s="5287">
        <f t="shared" si="197"/>
        <v>1</v>
      </c>
      <c r="EY130" s="5287">
        <f t="shared" si="197"/>
        <v>2</v>
      </c>
      <c r="EZ130" s="5287">
        <f t="shared" si="197"/>
        <v>3</v>
      </c>
      <c r="FA130" s="5287">
        <f t="shared" si="197"/>
        <v>4</v>
      </c>
      <c r="FB130" s="5287">
        <f t="shared" si="197"/>
        <v>1</v>
      </c>
      <c r="FC130" s="5287">
        <f t="shared" si="197"/>
        <v>2</v>
      </c>
      <c r="FD130" s="5287">
        <f t="shared" si="197"/>
        <v>3</v>
      </c>
      <c r="FE130" s="5287">
        <f t="shared" si="197"/>
        <v>4</v>
      </c>
      <c r="FF130" s="5287">
        <f t="shared" si="197"/>
        <v>1</v>
      </c>
      <c r="FG130" s="5287">
        <f t="shared" si="197"/>
        <v>2</v>
      </c>
      <c r="FH130" s="5287">
        <f t="shared" si="197"/>
        <v>3</v>
      </c>
      <c r="FI130" s="5287">
        <f t="shared" si="197"/>
        <v>4</v>
      </c>
      <c r="FJ130" s="5287">
        <f t="shared" si="197"/>
        <v>1</v>
      </c>
      <c r="FK130" s="5287">
        <f t="shared" si="197"/>
        <v>2</v>
      </c>
      <c r="FL130" s="5287">
        <f t="shared" si="197"/>
        <v>3</v>
      </c>
      <c r="FM130" s="5287">
        <f t="shared" si="197"/>
        <v>4</v>
      </c>
      <c r="FN130" s="5287">
        <f t="shared" si="197"/>
        <v>1</v>
      </c>
      <c r="FO130" s="5287">
        <f t="shared" si="197"/>
        <v>2</v>
      </c>
      <c r="FP130" s="5287">
        <f t="shared" si="197"/>
        <v>3</v>
      </c>
      <c r="FQ130" s="5287">
        <f t="shared" si="197"/>
        <v>4</v>
      </c>
      <c r="FR130" s="5287">
        <f t="shared" si="197"/>
        <v>1</v>
      </c>
      <c r="FS130" s="5287">
        <f t="shared" si="197"/>
        <v>2</v>
      </c>
      <c r="FT130" s="5287">
        <f t="shared" si="197"/>
        <v>3</v>
      </c>
      <c r="FU130" s="5287">
        <f t="shared" si="197"/>
        <v>4</v>
      </c>
      <c r="FV130" s="5287">
        <f t="shared" si="197"/>
        <v>1</v>
      </c>
      <c r="FW130" s="5287">
        <f t="shared" si="197"/>
        <v>2</v>
      </c>
      <c r="FX130" s="5287">
        <f t="shared" si="197"/>
        <v>3</v>
      </c>
      <c r="FY130" s="5287">
        <f t="shared" si="197"/>
        <v>4</v>
      </c>
      <c r="FZ130" s="5287">
        <f t="shared" si="197"/>
        <v>1</v>
      </c>
      <c r="GA130" s="5287">
        <f t="shared" si="197"/>
        <v>2</v>
      </c>
      <c r="GB130" s="5287">
        <f t="shared" si="197"/>
        <v>3</v>
      </c>
      <c r="GC130" s="5287">
        <f t="shared" si="197"/>
        <v>4</v>
      </c>
      <c r="GD130" s="5287">
        <f t="shared" si="197"/>
        <v>1</v>
      </c>
      <c r="GE130" s="5287">
        <f t="shared" si="197"/>
        <v>2</v>
      </c>
      <c r="GF130" s="5287">
        <f t="shared" si="197"/>
        <v>3</v>
      </c>
      <c r="GG130" s="5287">
        <f t="shared" si="197"/>
        <v>4</v>
      </c>
      <c r="GH130" s="5287">
        <f t="shared" si="197"/>
        <v>1</v>
      </c>
      <c r="GI130" s="5287">
        <f t="shared" si="197"/>
        <v>2</v>
      </c>
      <c r="GJ130" s="5287">
        <f t="shared" si="197"/>
        <v>3</v>
      </c>
      <c r="GK130" s="5287">
        <f t="shared" si="197"/>
        <v>4</v>
      </c>
      <c r="GL130" s="5287">
        <f t="shared" si="197"/>
        <v>1</v>
      </c>
      <c r="GM130" s="5287">
        <f t="shared" si="197"/>
        <v>2</v>
      </c>
      <c r="GN130" s="5287">
        <f t="shared" si="197"/>
        <v>3</v>
      </c>
      <c r="GO130" s="5287">
        <f t="shared" si="197"/>
        <v>4</v>
      </c>
      <c r="GP130" s="5287">
        <f t="shared" si="197"/>
        <v>1</v>
      </c>
      <c r="GQ130" s="5287">
        <f t="shared" si="197"/>
        <v>2</v>
      </c>
      <c r="GR130" s="5287">
        <f t="shared" si="197"/>
        <v>3</v>
      </c>
      <c r="GS130" s="5287">
        <f t="shared" si="197"/>
        <v>4</v>
      </c>
      <c r="GT130" s="5287">
        <f t="shared" si="197"/>
        <v>1</v>
      </c>
      <c r="GU130" s="5287">
        <f t="shared" ref="GU130:IA130" si="198">GU11</f>
        <v>2</v>
      </c>
      <c r="GV130" s="5287">
        <f t="shared" si="198"/>
        <v>3</v>
      </c>
      <c r="GW130" s="5287">
        <f t="shared" si="198"/>
        <v>4</v>
      </c>
      <c r="GX130" s="5287">
        <f t="shared" si="198"/>
        <v>1</v>
      </c>
      <c r="GY130" s="5287">
        <f t="shared" si="198"/>
        <v>2</v>
      </c>
      <c r="GZ130" s="5287">
        <f t="shared" si="198"/>
        <v>3</v>
      </c>
      <c r="HA130" s="5287">
        <f t="shared" si="198"/>
        <v>4</v>
      </c>
      <c r="HB130" s="5287">
        <f t="shared" si="198"/>
        <v>1</v>
      </c>
      <c r="HC130" s="5287">
        <f t="shared" si="198"/>
        <v>2</v>
      </c>
      <c r="HD130" s="5287">
        <f t="shared" si="198"/>
        <v>3</v>
      </c>
      <c r="HE130" s="5287">
        <f t="shared" si="198"/>
        <v>4</v>
      </c>
      <c r="HF130" s="5287">
        <f t="shared" si="198"/>
        <v>1</v>
      </c>
      <c r="HG130" s="5287">
        <f t="shared" si="198"/>
        <v>2</v>
      </c>
      <c r="HH130" s="5287">
        <f t="shared" si="198"/>
        <v>3</v>
      </c>
      <c r="HI130" s="5287">
        <f t="shared" si="198"/>
        <v>4</v>
      </c>
      <c r="HJ130" s="5287">
        <f t="shared" si="198"/>
        <v>1</v>
      </c>
      <c r="HK130" s="5287">
        <f t="shared" si="198"/>
        <v>2</v>
      </c>
      <c r="HL130" s="5287">
        <f t="shared" si="198"/>
        <v>3</v>
      </c>
      <c r="HM130" s="5287">
        <f t="shared" si="198"/>
        <v>4</v>
      </c>
      <c r="HN130" s="5287">
        <f t="shared" si="198"/>
        <v>1</v>
      </c>
      <c r="HO130" s="5287">
        <f t="shared" si="198"/>
        <v>2</v>
      </c>
      <c r="HP130" s="5287">
        <f t="shared" si="198"/>
        <v>3</v>
      </c>
      <c r="HQ130" s="5287">
        <f t="shared" si="198"/>
        <v>4</v>
      </c>
      <c r="HR130" s="5287">
        <f t="shared" si="198"/>
        <v>1</v>
      </c>
      <c r="HS130" s="5287">
        <f t="shared" si="198"/>
        <v>2</v>
      </c>
      <c r="HT130" s="5287">
        <f t="shared" si="198"/>
        <v>3</v>
      </c>
      <c r="HU130" s="5287">
        <f t="shared" si="198"/>
        <v>4</v>
      </c>
      <c r="HV130" s="5287">
        <f t="shared" si="198"/>
        <v>1</v>
      </c>
      <c r="HW130" s="5287">
        <f t="shared" si="198"/>
        <v>2</v>
      </c>
      <c r="HX130" s="5287">
        <f t="shared" si="198"/>
        <v>3</v>
      </c>
      <c r="HY130" s="5287">
        <f t="shared" si="198"/>
        <v>4</v>
      </c>
      <c r="HZ130" s="5287">
        <f t="shared" si="198"/>
        <v>1</v>
      </c>
      <c r="IA130" s="5292">
        <f t="shared" si="198"/>
        <v>2</v>
      </c>
    </row>
    <row r="131" spans="3:235">
      <c r="C131" s="2372" t="s">
        <v>3976</v>
      </c>
      <c r="D131" s="2373"/>
      <c r="E131" s="2396"/>
      <c r="F131" s="2396"/>
      <c r="G131" s="2397"/>
      <c r="H131" s="2649"/>
      <c r="I131" s="2650"/>
      <c r="J131" s="2651"/>
      <c r="K131" s="2649"/>
      <c r="L131" s="2652"/>
      <c r="M131" s="2651"/>
      <c r="N131" s="2649"/>
      <c r="O131" s="2652"/>
      <c r="P131" s="2649"/>
      <c r="Q131" s="2653"/>
      <c r="R131" s="2652"/>
      <c r="S131" s="2649"/>
      <c r="T131" s="2653"/>
      <c r="U131" s="2654"/>
      <c r="V131" s="2654"/>
      <c r="W131" s="2654"/>
      <c r="X131" s="2654"/>
      <c r="Y131" s="2654"/>
      <c r="Z131" s="2654"/>
      <c r="AA131" s="2654"/>
      <c r="AB131" s="2654"/>
      <c r="AC131" s="2654"/>
      <c r="AD131" s="2654"/>
      <c r="AE131" s="2654"/>
      <c r="AF131" s="2654"/>
      <c r="AG131" s="2654"/>
      <c r="AH131" s="2654"/>
      <c r="AI131" s="2654"/>
      <c r="AJ131" s="2654"/>
      <c r="AK131" s="2654"/>
      <c r="AL131" s="2654"/>
      <c r="AM131" s="2654"/>
      <c r="AN131" s="2654"/>
      <c r="AO131" s="2654"/>
      <c r="AP131" s="2654"/>
      <c r="AQ131" s="2654"/>
      <c r="AR131" s="2654"/>
      <c r="AS131" s="2654"/>
      <c r="AT131" s="2654"/>
      <c r="AU131" s="2654"/>
      <c r="AV131" s="2654"/>
      <c r="AW131" s="2654"/>
      <c r="AX131" s="2654"/>
      <c r="AY131" s="2654"/>
      <c r="AZ131" s="2654"/>
      <c r="BA131" s="2654"/>
      <c r="BB131" s="2654"/>
      <c r="BC131" s="2654"/>
      <c r="BD131" s="2654"/>
      <c r="BE131" s="2654"/>
      <c r="BF131" s="2654"/>
      <c r="BG131" s="2654"/>
      <c r="BH131" s="2654"/>
      <c r="BI131" s="2654"/>
      <c r="BJ131" s="2654"/>
      <c r="BK131" s="2654"/>
      <c r="BL131" s="2654"/>
      <c r="BM131" s="2654"/>
      <c r="BN131" s="2654"/>
      <c r="BO131" s="2654"/>
      <c r="BP131" s="2654"/>
      <c r="BQ131" s="2654"/>
      <c r="BR131" s="2654"/>
      <c r="BS131" s="2654"/>
      <c r="BT131" s="2654"/>
      <c r="BU131" s="2654"/>
      <c r="BV131" s="2654"/>
      <c r="BW131" s="2654"/>
      <c r="BX131" s="2654"/>
      <c r="BY131" s="2654"/>
      <c r="BZ131" s="2654"/>
      <c r="CA131" s="2654"/>
      <c r="CB131" s="2654"/>
      <c r="CC131" s="2654"/>
      <c r="CD131" s="2654"/>
      <c r="CE131" s="2654"/>
      <c r="CF131" s="2654"/>
      <c r="CG131" s="2654"/>
      <c r="CH131" s="2654"/>
      <c r="CI131" s="2654"/>
      <c r="CJ131" s="2654"/>
      <c r="CK131" s="2654"/>
      <c r="CL131" s="2654"/>
      <c r="CM131" s="2654"/>
      <c r="CN131" s="2654"/>
      <c r="CO131" s="2654"/>
      <c r="CP131" s="2654"/>
      <c r="CQ131" s="2654"/>
      <c r="CR131" s="2654"/>
      <c r="CS131" s="2654"/>
      <c r="CT131" s="2654"/>
      <c r="CU131" s="2654"/>
      <c r="CV131" s="2654"/>
      <c r="CW131" s="2654"/>
      <c r="CX131" s="2654"/>
      <c r="CY131" s="2654"/>
      <c r="CZ131" s="2654"/>
      <c r="DA131" s="2654"/>
      <c r="DB131" s="2654"/>
      <c r="DC131" s="2654"/>
      <c r="DD131" s="2654"/>
      <c r="DE131" s="2654"/>
      <c r="DF131" s="2654"/>
      <c r="DG131" s="2654"/>
      <c r="DH131" s="2654"/>
      <c r="DI131" s="2654"/>
      <c r="DJ131" s="2654"/>
      <c r="DK131" s="2654"/>
      <c r="DL131" s="2654"/>
      <c r="DM131" s="2654"/>
      <c r="DN131" s="2654"/>
      <c r="DO131" s="2654"/>
      <c r="DP131" s="2654"/>
      <c r="DQ131" s="2654"/>
      <c r="DR131" s="2654"/>
      <c r="DS131" s="2654"/>
      <c r="DT131" s="2654"/>
      <c r="DU131" s="2654"/>
      <c r="DV131" s="2654"/>
      <c r="DW131" s="2654"/>
      <c r="DX131" s="2654"/>
      <c r="DY131" s="2654"/>
      <c r="DZ131" s="2654"/>
      <c r="EA131" s="2654"/>
      <c r="EB131" s="2654"/>
      <c r="EC131" s="2654"/>
      <c r="ED131" s="2654"/>
      <c r="EE131" s="2654"/>
      <c r="EF131" s="2654"/>
      <c r="EG131" s="2654"/>
      <c r="EH131" s="2654"/>
      <c r="EI131" s="2654"/>
      <c r="EJ131" s="2654"/>
      <c r="EK131" s="2654"/>
      <c r="EL131" s="2654"/>
      <c r="EM131" s="2654"/>
      <c r="EN131" s="2654"/>
      <c r="EO131" s="2654"/>
      <c r="EP131" s="2654"/>
      <c r="EQ131" s="2654"/>
      <c r="ER131" s="2654"/>
      <c r="ES131" s="2654"/>
      <c r="ET131" s="2654"/>
      <c r="EU131" s="2654"/>
      <c r="EV131" s="2654"/>
      <c r="EW131" s="2654"/>
      <c r="EX131" s="2654"/>
      <c r="EY131" s="2654"/>
      <c r="EZ131" s="2654"/>
      <c r="FA131" s="2654"/>
      <c r="FB131" s="2654"/>
      <c r="FC131" s="2654"/>
      <c r="FD131" s="2654"/>
      <c r="FE131" s="2654"/>
      <c r="FF131" s="2654"/>
      <c r="FG131" s="2654"/>
      <c r="FH131" s="2654"/>
      <c r="FI131" s="2654"/>
      <c r="FJ131" s="2654"/>
      <c r="FK131" s="2654"/>
      <c r="FL131" s="2654"/>
      <c r="FM131" s="2654"/>
      <c r="FN131" s="2654"/>
      <c r="FO131" s="2654"/>
      <c r="FP131" s="2654"/>
      <c r="FQ131" s="2654"/>
      <c r="FR131" s="2654"/>
      <c r="FS131" s="2654"/>
      <c r="FT131" s="2654"/>
      <c r="FU131" s="2654"/>
      <c r="FV131" s="2654"/>
      <c r="FW131" s="2654"/>
      <c r="FX131" s="2654"/>
      <c r="FY131" s="2654"/>
      <c r="FZ131" s="2654"/>
      <c r="GA131" s="2654"/>
      <c r="GB131" s="2654"/>
      <c r="GC131" s="2654"/>
      <c r="GD131" s="2654"/>
      <c r="GE131" s="2654"/>
      <c r="GF131" s="2654"/>
      <c r="GG131" s="2654"/>
      <c r="GH131" s="2654"/>
      <c r="GI131" s="2654"/>
      <c r="GJ131" s="2654"/>
      <c r="GK131" s="2654"/>
      <c r="GL131" s="2654"/>
      <c r="GM131" s="2654"/>
      <c r="GN131" s="2654"/>
      <c r="GO131" s="2654"/>
      <c r="GP131" s="2654"/>
      <c r="GQ131" s="2654"/>
      <c r="GR131" s="2654"/>
      <c r="GS131" s="2654"/>
      <c r="GT131" s="2654"/>
      <c r="GU131" s="2654"/>
      <c r="GV131" s="2654"/>
      <c r="GW131" s="2654"/>
      <c r="GX131" s="2654"/>
      <c r="GY131" s="2654"/>
      <c r="GZ131" s="2654"/>
      <c r="HA131" s="2654"/>
      <c r="HB131" s="2654"/>
      <c r="HC131" s="2654"/>
      <c r="HD131" s="2654"/>
      <c r="HE131" s="2654"/>
      <c r="HF131" s="2654"/>
      <c r="HG131" s="2654"/>
      <c r="HH131" s="2654"/>
      <c r="HI131" s="2654"/>
      <c r="HJ131" s="2654"/>
      <c r="HK131" s="2654"/>
      <c r="HL131" s="2654"/>
      <c r="HM131" s="2654"/>
      <c r="HN131" s="2654"/>
      <c r="HO131" s="2654"/>
      <c r="HP131" s="2654"/>
      <c r="HQ131" s="2654"/>
      <c r="HR131" s="2654"/>
      <c r="HS131" s="2654"/>
      <c r="HT131" s="2654"/>
      <c r="HU131" s="2654"/>
      <c r="HV131" s="2654"/>
      <c r="HW131" s="2654"/>
      <c r="HX131" s="2654"/>
      <c r="HY131" s="2654"/>
      <c r="HZ131" s="2654"/>
      <c r="IA131" s="2654"/>
    </row>
    <row r="132" spans="3:235">
      <c r="C132" s="2383"/>
      <c r="D132" s="2384" t="s">
        <v>3916</v>
      </c>
      <c r="E132" s="2385"/>
      <c r="F132" s="2385"/>
      <c r="G132" s="2386"/>
      <c r="H132" s="2460">
        <f>MAX(J132:IA132)</f>
        <v>189215.66948030112</v>
      </c>
      <c r="I132" s="2459"/>
      <c r="J132" s="2395">
        <f>J$44</f>
        <v>0</v>
      </c>
      <c r="K132" s="2387">
        <f t="shared" ref="K132:BV132" si="199">K$44</f>
        <v>0</v>
      </c>
      <c r="L132" s="2393">
        <f t="shared" si="199"/>
        <v>2393.0090441241896</v>
      </c>
      <c r="M132" s="2395">
        <f t="shared" si="199"/>
        <v>7882.19713947327</v>
      </c>
      <c r="N132" s="2387">
        <f t="shared" si="199"/>
        <v>8942.5848557045811</v>
      </c>
      <c r="O132" s="2393">
        <f t="shared" si="199"/>
        <v>14929.678913077922</v>
      </c>
      <c r="P132" s="2387">
        <f t="shared" si="199"/>
        <v>18664.625459298484</v>
      </c>
      <c r="Q132" s="2392">
        <f t="shared" si="199"/>
        <v>21660.026552916795</v>
      </c>
      <c r="R132" s="2393">
        <f t="shared" si="199"/>
        <v>28507.89288576167</v>
      </c>
      <c r="S132" s="2387">
        <f t="shared" si="199"/>
        <v>42725.789479977684</v>
      </c>
      <c r="T132" s="2392">
        <f t="shared" si="199"/>
        <v>46487.240526461013</v>
      </c>
      <c r="U132" s="2394">
        <f t="shared" si="199"/>
        <v>53643.908107836178</v>
      </c>
      <c r="V132" s="2394">
        <f t="shared" si="199"/>
        <v>57118.535665010117</v>
      </c>
      <c r="W132" s="2394">
        <f t="shared" si="199"/>
        <v>59048.078422919018</v>
      </c>
      <c r="X132" s="2394">
        <f t="shared" si="199"/>
        <v>66713.609037724236</v>
      </c>
      <c r="Y132" s="2394">
        <f t="shared" si="199"/>
        <v>76688.816536823913</v>
      </c>
      <c r="Z132" s="2394">
        <f t="shared" si="199"/>
        <v>83107.353504491344</v>
      </c>
      <c r="AA132" s="2394">
        <f t="shared" si="199"/>
        <v>93626.605035666726</v>
      </c>
      <c r="AB132" s="2394">
        <f t="shared" si="199"/>
        <v>105057.25331175652</v>
      </c>
      <c r="AC132" s="2394">
        <f t="shared" si="199"/>
        <v>118094.09005962612</v>
      </c>
      <c r="AD132" s="2394">
        <f t="shared" si="199"/>
        <v>136659.64711421099</v>
      </c>
      <c r="AE132" s="2394">
        <f t="shared" si="199"/>
        <v>152813.14871113349</v>
      </c>
      <c r="AF132" s="2394">
        <f t="shared" si="199"/>
        <v>175770.80417962998</v>
      </c>
      <c r="AG132" s="2394">
        <f t="shared" si="199"/>
        <v>189215.66948030112</v>
      </c>
      <c r="AH132" s="2394">
        <f t="shared" si="199"/>
        <v>189215.66948030112</v>
      </c>
      <c r="AI132" s="2394">
        <f t="shared" si="199"/>
        <v>189215.66948030112</v>
      </c>
      <c r="AJ132" s="2394">
        <f t="shared" si="199"/>
        <v>0</v>
      </c>
      <c r="AK132" s="2394">
        <f t="shared" si="199"/>
        <v>0</v>
      </c>
      <c r="AL132" s="2394">
        <f t="shared" si="199"/>
        <v>0</v>
      </c>
      <c r="AM132" s="2394">
        <f t="shared" si="199"/>
        <v>0</v>
      </c>
      <c r="AN132" s="2394">
        <f t="shared" si="199"/>
        <v>0</v>
      </c>
      <c r="AO132" s="2394">
        <f t="shared" si="199"/>
        <v>0</v>
      </c>
      <c r="AP132" s="2394">
        <f t="shared" si="199"/>
        <v>0</v>
      </c>
      <c r="AQ132" s="2394">
        <f t="shared" si="199"/>
        <v>0</v>
      </c>
      <c r="AR132" s="2394">
        <f t="shared" si="199"/>
        <v>0</v>
      </c>
      <c r="AS132" s="2394">
        <f t="shared" si="199"/>
        <v>0</v>
      </c>
      <c r="AT132" s="2394">
        <f t="shared" si="199"/>
        <v>0</v>
      </c>
      <c r="AU132" s="2394">
        <f t="shared" si="199"/>
        <v>0</v>
      </c>
      <c r="AV132" s="2394">
        <f t="shared" si="199"/>
        <v>0</v>
      </c>
      <c r="AW132" s="2394">
        <f t="shared" si="199"/>
        <v>0</v>
      </c>
      <c r="AX132" s="2394">
        <f t="shared" si="199"/>
        <v>0</v>
      </c>
      <c r="AY132" s="2394">
        <f t="shared" si="199"/>
        <v>0</v>
      </c>
      <c r="AZ132" s="2394">
        <f t="shared" si="199"/>
        <v>0</v>
      </c>
      <c r="BA132" s="2394">
        <f t="shared" si="199"/>
        <v>0</v>
      </c>
      <c r="BB132" s="2394">
        <f t="shared" si="199"/>
        <v>0</v>
      </c>
      <c r="BC132" s="2394">
        <f t="shared" si="199"/>
        <v>0</v>
      </c>
      <c r="BD132" s="2394">
        <f t="shared" si="199"/>
        <v>0</v>
      </c>
      <c r="BE132" s="2394">
        <f t="shared" si="199"/>
        <v>0</v>
      </c>
      <c r="BF132" s="2394">
        <f t="shared" si="199"/>
        <v>0</v>
      </c>
      <c r="BG132" s="2394">
        <f t="shared" si="199"/>
        <v>0</v>
      </c>
      <c r="BH132" s="2394">
        <f t="shared" si="199"/>
        <v>0</v>
      </c>
      <c r="BI132" s="2394">
        <f t="shared" si="199"/>
        <v>0</v>
      </c>
      <c r="BJ132" s="2394">
        <f t="shared" si="199"/>
        <v>0</v>
      </c>
      <c r="BK132" s="2394">
        <f t="shared" si="199"/>
        <v>0</v>
      </c>
      <c r="BL132" s="2394">
        <f t="shared" si="199"/>
        <v>0</v>
      </c>
      <c r="BM132" s="2394">
        <f t="shared" si="199"/>
        <v>0</v>
      </c>
      <c r="BN132" s="2394">
        <f t="shared" si="199"/>
        <v>0</v>
      </c>
      <c r="BO132" s="2394">
        <f t="shared" si="199"/>
        <v>0</v>
      </c>
      <c r="BP132" s="2394">
        <f t="shared" si="199"/>
        <v>0</v>
      </c>
      <c r="BQ132" s="2394">
        <f t="shared" si="199"/>
        <v>0</v>
      </c>
      <c r="BR132" s="2394">
        <f t="shared" si="199"/>
        <v>0</v>
      </c>
      <c r="BS132" s="2394">
        <f t="shared" si="199"/>
        <v>0</v>
      </c>
      <c r="BT132" s="2394">
        <f t="shared" si="199"/>
        <v>0</v>
      </c>
      <c r="BU132" s="2394">
        <f t="shared" si="199"/>
        <v>0</v>
      </c>
      <c r="BV132" s="2394">
        <f t="shared" si="199"/>
        <v>0</v>
      </c>
      <c r="BW132" s="2394">
        <f t="shared" ref="BW132:EH132" si="200">BW$44</f>
        <v>0</v>
      </c>
      <c r="BX132" s="2394">
        <f t="shared" si="200"/>
        <v>0</v>
      </c>
      <c r="BY132" s="2394">
        <f t="shared" si="200"/>
        <v>0</v>
      </c>
      <c r="BZ132" s="2394">
        <f t="shared" si="200"/>
        <v>0</v>
      </c>
      <c r="CA132" s="2394">
        <f t="shared" si="200"/>
        <v>0</v>
      </c>
      <c r="CB132" s="2394">
        <f t="shared" si="200"/>
        <v>0</v>
      </c>
      <c r="CC132" s="2394">
        <f t="shared" si="200"/>
        <v>0</v>
      </c>
      <c r="CD132" s="2394">
        <f t="shared" si="200"/>
        <v>0</v>
      </c>
      <c r="CE132" s="2394">
        <f t="shared" si="200"/>
        <v>0</v>
      </c>
      <c r="CF132" s="2394">
        <f t="shared" si="200"/>
        <v>0</v>
      </c>
      <c r="CG132" s="2394">
        <f t="shared" si="200"/>
        <v>0</v>
      </c>
      <c r="CH132" s="2394">
        <f t="shared" si="200"/>
        <v>0</v>
      </c>
      <c r="CI132" s="2394">
        <f t="shared" si="200"/>
        <v>0</v>
      </c>
      <c r="CJ132" s="2394">
        <f t="shared" si="200"/>
        <v>0</v>
      </c>
      <c r="CK132" s="2394">
        <f t="shared" si="200"/>
        <v>0</v>
      </c>
      <c r="CL132" s="2394">
        <f t="shared" si="200"/>
        <v>0</v>
      </c>
      <c r="CM132" s="2394">
        <f t="shared" si="200"/>
        <v>0</v>
      </c>
      <c r="CN132" s="2394">
        <f t="shared" si="200"/>
        <v>0</v>
      </c>
      <c r="CO132" s="2394">
        <f t="shared" si="200"/>
        <v>0</v>
      </c>
      <c r="CP132" s="2394">
        <f t="shared" si="200"/>
        <v>0</v>
      </c>
      <c r="CQ132" s="2394">
        <f t="shared" si="200"/>
        <v>0</v>
      </c>
      <c r="CR132" s="2394">
        <f t="shared" si="200"/>
        <v>0</v>
      </c>
      <c r="CS132" s="2394">
        <f t="shared" si="200"/>
        <v>0</v>
      </c>
      <c r="CT132" s="2394">
        <f t="shared" si="200"/>
        <v>0</v>
      </c>
      <c r="CU132" s="2394">
        <f t="shared" si="200"/>
        <v>0</v>
      </c>
      <c r="CV132" s="2394">
        <f t="shared" si="200"/>
        <v>0</v>
      </c>
      <c r="CW132" s="2394">
        <f t="shared" si="200"/>
        <v>0</v>
      </c>
      <c r="CX132" s="2394">
        <f t="shared" si="200"/>
        <v>0</v>
      </c>
      <c r="CY132" s="2394">
        <f t="shared" si="200"/>
        <v>0</v>
      </c>
      <c r="CZ132" s="2394">
        <f t="shared" si="200"/>
        <v>0</v>
      </c>
      <c r="DA132" s="2394">
        <f t="shared" si="200"/>
        <v>0</v>
      </c>
      <c r="DB132" s="2394">
        <f t="shared" si="200"/>
        <v>0</v>
      </c>
      <c r="DC132" s="2394">
        <f t="shared" si="200"/>
        <v>0</v>
      </c>
      <c r="DD132" s="2394">
        <f t="shared" si="200"/>
        <v>0</v>
      </c>
      <c r="DE132" s="2394">
        <f t="shared" si="200"/>
        <v>0</v>
      </c>
      <c r="DF132" s="2394">
        <f t="shared" si="200"/>
        <v>0</v>
      </c>
      <c r="DG132" s="2394">
        <f t="shared" si="200"/>
        <v>0</v>
      </c>
      <c r="DH132" s="2394">
        <f t="shared" si="200"/>
        <v>0</v>
      </c>
      <c r="DI132" s="2394">
        <f t="shared" si="200"/>
        <v>0</v>
      </c>
      <c r="DJ132" s="2394">
        <f t="shared" si="200"/>
        <v>0</v>
      </c>
      <c r="DK132" s="2394">
        <f t="shared" si="200"/>
        <v>0</v>
      </c>
      <c r="DL132" s="2394">
        <f t="shared" si="200"/>
        <v>0</v>
      </c>
      <c r="DM132" s="2394">
        <f t="shared" si="200"/>
        <v>0</v>
      </c>
      <c r="DN132" s="2394">
        <f t="shared" si="200"/>
        <v>0</v>
      </c>
      <c r="DO132" s="2394">
        <f t="shared" si="200"/>
        <v>0</v>
      </c>
      <c r="DP132" s="2394">
        <f t="shared" si="200"/>
        <v>0</v>
      </c>
      <c r="DQ132" s="2394">
        <f t="shared" si="200"/>
        <v>0</v>
      </c>
      <c r="DR132" s="2394">
        <f t="shared" si="200"/>
        <v>0</v>
      </c>
      <c r="DS132" s="2394">
        <f t="shared" si="200"/>
        <v>0</v>
      </c>
      <c r="DT132" s="2394">
        <f t="shared" si="200"/>
        <v>0</v>
      </c>
      <c r="DU132" s="2394">
        <f t="shared" si="200"/>
        <v>0</v>
      </c>
      <c r="DV132" s="2394">
        <f t="shared" si="200"/>
        <v>0</v>
      </c>
      <c r="DW132" s="2394">
        <f t="shared" si="200"/>
        <v>0</v>
      </c>
      <c r="DX132" s="2394">
        <f t="shared" si="200"/>
        <v>0</v>
      </c>
      <c r="DY132" s="2394">
        <f t="shared" si="200"/>
        <v>0</v>
      </c>
      <c r="DZ132" s="2394">
        <f t="shared" si="200"/>
        <v>0</v>
      </c>
      <c r="EA132" s="2394">
        <f t="shared" si="200"/>
        <v>0</v>
      </c>
      <c r="EB132" s="2394">
        <f t="shared" si="200"/>
        <v>0</v>
      </c>
      <c r="EC132" s="2394">
        <f t="shared" si="200"/>
        <v>0</v>
      </c>
      <c r="ED132" s="2394">
        <f t="shared" si="200"/>
        <v>0</v>
      </c>
      <c r="EE132" s="2394">
        <f t="shared" si="200"/>
        <v>0</v>
      </c>
      <c r="EF132" s="2394">
        <f t="shared" si="200"/>
        <v>0</v>
      </c>
      <c r="EG132" s="2394">
        <f t="shared" si="200"/>
        <v>0</v>
      </c>
      <c r="EH132" s="2394">
        <f t="shared" si="200"/>
        <v>0</v>
      </c>
      <c r="EI132" s="2394">
        <f t="shared" ref="EI132:GT132" si="201">EI$44</f>
        <v>0</v>
      </c>
      <c r="EJ132" s="2394">
        <f t="shared" si="201"/>
        <v>0</v>
      </c>
      <c r="EK132" s="2394">
        <f t="shared" si="201"/>
        <v>0</v>
      </c>
      <c r="EL132" s="2394">
        <f t="shared" si="201"/>
        <v>0</v>
      </c>
      <c r="EM132" s="2394">
        <f t="shared" si="201"/>
        <v>0</v>
      </c>
      <c r="EN132" s="2394">
        <f t="shared" si="201"/>
        <v>0</v>
      </c>
      <c r="EO132" s="2394">
        <f t="shared" si="201"/>
        <v>0</v>
      </c>
      <c r="EP132" s="2394">
        <f t="shared" si="201"/>
        <v>0</v>
      </c>
      <c r="EQ132" s="2394">
        <f t="shared" si="201"/>
        <v>0</v>
      </c>
      <c r="ER132" s="2394">
        <f t="shared" si="201"/>
        <v>0</v>
      </c>
      <c r="ES132" s="2394">
        <f t="shared" si="201"/>
        <v>0</v>
      </c>
      <c r="ET132" s="2394">
        <f t="shared" si="201"/>
        <v>0</v>
      </c>
      <c r="EU132" s="2394">
        <f t="shared" si="201"/>
        <v>0</v>
      </c>
      <c r="EV132" s="2394">
        <f t="shared" si="201"/>
        <v>0</v>
      </c>
      <c r="EW132" s="2394">
        <f t="shared" si="201"/>
        <v>0</v>
      </c>
      <c r="EX132" s="2394">
        <f t="shared" si="201"/>
        <v>0</v>
      </c>
      <c r="EY132" s="2394">
        <f t="shared" si="201"/>
        <v>0</v>
      </c>
      <c r="EZ132" s="2394">
        <f t="shared" si="201"/>
        <v>0</v>
      </c>
      <c r="FA132" s="2394">
        <f t="shared" si="201"/>
        <v>0</v>
      </c>
      <c r="FB132" s="2394">
        <f t="shared" si="201"/>
        <v>0</v>
      </c>
      <c r="FC132" s="2394">
        <f t="shared" si="201"/>
        <v>0</v>
      </c>
      <c r="FD132" s="2394">
        <f t="shared" si="201"/>
        <v>0</v>
      </c>
      <c r="FE132" s="2394">
        <f t="shared" si="201"/>
        <v>0</v>
      </c>
      <c r="FF132" s="2394">
        <f t="shared" si="201"/>
        <v>0</v>
      </c>
      <c r="FG132" s="2394">
        <f t="shared" si="201"/>
        <v>0</v>
      </c>
      <c r="FH132" s="2394">
        <f t="shared" si="201"/>
        <v>0</v>
      </c>
      <c r="FI132" s="2394">
        <f t="shared" si="201"/>
        <v>0</v>
      </c>
      <c r="FJ132" s="2394">
        <f t="shared" si="201"/>
        <v>0</v>
      </c>
      <c r="FK132" s="2394">
        <f t="shared" si="201"/>
        <v>0</v>
      </c>
      <c r="FL132" s="2394">
        <f t="shared" si="201"/>
        <v>0</v>
      </c>
      <c r="FM132" s="2394">
        <f t="shared" si="201"/>
        <v>0</v>
      </c>
      <c r="FN132" s="2394">
        <f t="shared" si="201"/>
        <v>0</v>
      </c>
      <c r="FO132" s="2394">
        <f t="shared" si="201"/>
        <v>0</v>
      </c>
      <c r="FP132" s="2394">
        <f t="shared" si="201"/>
        <v>0</v>
      </c>
      <c r="FQ132" s="2394">
        <f t="shared" si="201"/>
        <v>0</v>
      </c>
      <c r="FR132" s="2394">
        <f t="shared" si="201"/>
        <v>0</v>
      </c>
      <c r="FS132" s="2394">
        <f t="shared" si="201"/>
        <v>0</v>
      </c>
      <c r="FT132" s="2394">
        <f t="shared" si="201"/>
        <v>0</v>
      </c>
      <c r="FU132" s="2394">
        <f t="shared" si="201"/>
        <v>0</v>
      </c>
      <c r="FV132" s="2394">
        <f t="shared" si="201"/>
        <v>0</v>
      </c>
      <c r="FW132" s="2394">
        <f t="shared" si="201"/>
        <v>0</v>
      </c>
      <c r="FX132" s="2394">
        <f t="shared" si="201"/>
        <v>0</v>
      </c>
      <c r="FY132" s="2394">
        <f t="shared" si="201"/>
        <v>0</v>
      </c>
      <c r="FZ132" s="2394">
        <f t="shared" si="201"/>
        <v>0</v>
      </c>
      <c r="GA132" s="2394">
        <f t="shared" si="201"/>
        <v>0</v>
      </c>
      <c r="GB132" s="2394">
        <f t="shared" si="201"/>
        <v>0</v>
      </c>
      <c r="GC132" s="2394">
        <f t="shared" si="201"/>
        <v>0</v>
      </c>
      <c r="GD132" s="2394">
        <f t="shared" si="201"/>
        <v>0</v>
      </c>
      <c r="GE132" s="2394">
        <f t="shared" si="201"/>
        <v>0</v>
      </c>
      <c r="GF132" s="2394">
        <f t="shared" si="201"/>
        <v>0</v>
      </c>
      <c r="GG132" s="2394">
        <f t="shared" si="201"/>
        <v>0</v>
      </c>
      <c r="GH132" s="2394">
        <f t="shared" si="201"/>
        <v>0</v>
      </c>
      <c r="GI132" s="2394">
        <f t="shared" si="201"/>
        <v>0</v>
      </c>
      <c r="GJ132" s="2394">
        <f t="shared" si="201"/>
        <v>0</v>
      </c>
      <c r="GK132" s="2394">
        <f t="shared" si="201"/>
        <v>0</v>
      </c>
      <c r="GL132" s="2394">
        <f t="shared" si="201"/>
        <v>0</v>
      </c>
      <c r="GM132" s="2394">
        <f t="shared" si="201"/>
        <v>0</v>
      </c>
      <c r="GN132" s="2394">
        <f t="shared" si="201"/>
        <v>0</v>
      </c>
      <c r="GO132" s="2394">
        <f t="shared" si="201"/>
        <v>0</v>
      </c>
      <c r="GP132" s="2394">
        <f t="shared" si="201"/>
        <v>0</v>
      </c>
      <c r="GQ132" s="2394">
        <f t="shared" si="201"/>
        <v>0</v>
      </c>
      <c r="GR132" s="2394">
        <f t="shared" si="201"/>
        <v>0</v>
      </c>
      <c r="GS132" s="2394">
        <f t="shared" si="201"/>
        <v>0</v>
      </c>
      <c r="GT132" s="2394">
        <f t="shared" si="201"/>
        <v>0</v>
      </c>
      <c r="GU132" s="2394">
        <f t="shared" ref="GU132:IA132" si="202">GU$44</f>
        <v>0</v>
      </c>
      <c r="GV132" s="2394">
        <f t="shared" si="202"/>
        <v>0</v>
      </c>
      <c r="GW132" s="2394">
        <f t="shared" si="202"/>
        <v>0</v>
      </c>
      <c r="GX132" s="2394">
        <f t="shared" si="202"/>
        <v>0</v>
      </c>
      <c r="GY132" s="2394">
        <f t="shared" si="202"/>
        <v>0</v>
      </c>
      <c r="GZ132" s="2394">
        <f t="shared" si="202"/>
        <v>0</v>
      </c>
      <c r="HA132" s="2394">
        <f t="shared" si="202"/>
        <v>0</v>
      </c>
      <c r="HB132" s="2394">
        <f t="shared" si="202"/>
        <v>0</v>
      </c>
      <c r="HC132" s="2394">
        <f t="shared" si="202"/>
        <v>0</v>
      </c>
      <c r="HD132" s="2394">
        <f t="shared" si="202"/>
        <v>0</v>
      </c>
      <c r="HE132" s="2394">
        <f t="shared" si="202"/>
        <v>0</v>
      </c>
      <c r="HF132" s="2394">
        <f t="shared" si="202"/>
        <v>0</v>
      </c>
      <c r="HG132" s="2394">
        <f t="shared" si="202"/>
        <v>0</v>
      </c>
      <c r="HH132" s="2394">
        <f t="shared" si="202"/>
        <v>0</v>
      </c>
      <c r="HI132" s="2394">
        <f t="shared" si="202"/>
        <v>0</v>
      </c>
      <c r="HJ132" s="2394">
        <f t="shared" si="202"/>
        <v>0</v>
      </c>
      <c r="HK132" s="2394">
        <f t="shared" si="202"/>
        <v>0</v>
      </c>
      <c r="HL132" s="2394">
        <f t="shared" si="202"/>
        <v>0</v>
      </c>
      <c r="HM132" s="2394">
        <f t="shared" si="202"/>
        <v>0</v>
      </c>
      <c r="HN132" s="2394">
        <f t="shared" si="202"/>
        <v>0</v>
      </c>
      <c r="HO132" s="2394">
        <f t="shared" si="202"/>
        <v>0</v>
      </c>
      <c r="HP132" s="2394">
        <f t="shared" si="202"/>
        <v>0</v>
      </c>
      <c r="HQ132" s="2394">
        <f t="shared" si="202"/>
        <v>0</v>
      </c>
      <c r="HR132" s="2394">
        <f t="shared" si="202"/>
        <v>0</v>
      </c>
      <c r="HS132" s="2394">
        <f t="shared" si="202"/>
        <v>0</v>
      </c>
      <c r="HT132" s="2394">
        <f t="shared" si="202"/>
        <v>0</v>
      </c>
      <c r="HU132" s="2394">
        <f t="shared" si="202"/>
        <v>0</v>
      </c>
      <c r="HV132" s="2394">
        <f t="shared" si="202"/>
        <v>0</v>
      </c>
      <c r="HW132" s="2394">
        <f t="shared" si="202"/>
        <v>0</v>
      </c>
      <c r="HX132" s="2394">
        <f t="shared" si="202"/>
        <v>0</v>
      </c>
      <c r="HY132" s="2394">
        <f t="shared" si="202"/>
        <v>0</v>
      </c>
      <c r="HZ132" s="2394">
        <f t="shared" si="202"/>
        <v>0</v>
      </c>
      <c r="IA132" s="2394">
        <f t="shared" si="202"/>
        <v>0</v>
      </c>
    </row>
    <row r="133" spans="3:235">
      <c r="C133" s="2383"/>
      <c r="D133" s="2384" t="s">
        <v>3927</v>
      </c>
      <c r="E133" s="2385"/>
      <c r="F133" s="2385"/>
      <c r="G133" s="2386"/>
      <c r="H133" s="2460">
        <f>MAX(J133:IA133)</f>
        <v>33348.197048316637</v>
      </c>
      <c r="I133" s="2459"/>
      <c r="J133" s="2395">
        <f t="shared" ref="J133:BU133" si="203">(I133+SUMIFS($C$168:$C$195,$D$168:$D$195,J129,$B$168:$B$195,J130))*(J$5&gt;0)</f>
        <v>0</v>
      </c>
      <c r="K133" s="2387">
        <f t="shared" si="203"/>
        <v>0</v>
      </c>
      <c r="L133" s="2393">
        <f t="shared" si="203"/>
        <v>0</v>
      </c>
      <c r="M133" s="2395">
        <f t="shared" si="203"/>
        <v>39.455290546144582</v>
      </c>
      <c r="N133" s="2387">
        <f t="shared" si="203"/>
        <v>162.32325354958402</v>
      </c>
      <c r="O133" s="2393">
        <f t="shared" si="203"/>
        <v>303.54398023511658</v>
      </c>
      <c r="P133" s="2387">
        <f t="shared" si="203"/>
        <v>539.81729358902567</v>
      </c>
      <c r="Q133" s="2392">
        <f t="shared" si="203"/>
        <v>837.68579798359042</v>
      </c>
      <c r="R133" s="2393">
        <f t="shared" si="203"/>
        <v>1195.7588201695285</v>
      </c>
      <c r="S133" s="2387">
        <f t="shared" si="203"/>
        <v>1668.5213913327077</v>
      </c>
      <c r="T133" s="2392">
        <f t="shared" si="203"/>
        <v>2375.1001231438986</v>
      </c>
      <c r="U133" s="2394">
        <f t="shared" si="203"/>
        <v>3152.7919041832552</v>
      </c>
      <c r="V133" s="2394">
        <f t="shared" si="203"/>
        <v>4116.2604231640516</v>
      </c>
      <c r="W133" s="2394">
        <f t="shared" si="203"/>
        <v>5155.0144050798845</v>
      </c>
      <c r="X133" s="2394">
        <f t="shared" si="203"/>
        <v>6244.1209684521973</v>
      </c>
      <c r="Y133" s="2394">
        <f t="shared" si="203"/>
        <v>7481.7364648168832</v>
      </c>
      <c r="Z133" s="2394">
        <f t="shared" si="203"/>
        <v>8973.5112468267398</v>
      </c>
      <c r="AA133" s="2394">
        <f t="shared" si="203"/>
        <v>10605.482370255131</v>
      </c>
      <c r="AB133" s="2394">
        <f t="shared" si="203"/>
        <v>12452.812510350212</v>
      </c>
      <c r="AC133" s="2394">
        <f t="shared" si="203"/>
        <v>14535.471428158677</v>
      </c>
      <c r="AD133" s="2394">
        <f t="shared" si="203"/>
        <v>16911.253830644371</v>
      </c>
      <c r="AE133" s="2394">
        <f t="shared" si="203"/>
        <v>19662.156720663079</v>
      </c>
      <c r="AF133" s="2394">
        <f t="shared" si="203"/>
        <v>22751.692649996199</v>
      </c>
      <c r="AG133" s="2394">
        <f t="shared" si="203"/>
        <v>26307.809771809851</v>
      </c>
      <c r="AH133" s="2394">
        <f t="shared" si="203"/>
        <v>29799.715527351127</v>
      </c>
      <c r="AI133" s="2394">
        <f t="shared" si="203"/>
        <v>33348.197048316637</v>
      </c>
      <c r="AJ133" s="2394">
        <f t="shared" si="203"/>
        <v>0</v>
      </c>
      <c r="AK133" s="2394">
        <f t="shared" si="203"/>
        <v>0</v>
      </c>
      <c r="AL133" s="2394">
        <f t="shared" si="203"/>
        <v>0</v>
      </c>
      <c r="AM133" s="2394">
        <f t="shared" si="203"/>
        <v>0</v>
      </c>
      <c r="AN133" s="2394">
        <f t="shared" si="203"/>
        <v>0</v>
      </c>
      <c r="AO133" s="2394">
        <f t="shared" si="203"/>
        <v>0</v>
      </c>
      <c r="AP133" s="2394">
        <f t="shared" si="203"/>
        <v>0</v>
      </c>
      <c r="AQ133" s="2394">
        <f t="shared" si="203"/>
        <v>0</v>
      </c>
      <c r="AR133" s="2394">
        <f t="shared" si="203"/>
        <v>0</v>
      </c>
      <c r="AS133" s="2394">
        <f t="shared" si="203"/>
        <v>0</v>
      </c>
      <c r="AT133" s="2394">
        <f t="shared" si="203"/>
        <v>0</v>
      </c>
      <c r="AU133" s="2394">
        <f t="shared" si="203"/>
        <v>0</v>
      </c>
      <c r="AV133" s="2394">
        <f t="shared" si="203"/>
        <v>0</v>
      </c>
      <c r="AW133" s="2394">
        <f t="shared" si="203"/>
        <v>0</v>
      </c>
      <c r="AX133" s="2394">
        <f t="shared" si="203"/>
        <v>0</v>
      </c>
      <c r="AY133" s="2394">
        <f t="shared" si="203"/>
        <v>0</v>
      </c>
      <c r="AZ133" s="2394">
        <f t="shared" si="203"/>
        <v>0</v>
      </c>
      <c r="BA133" s="2394">
        <f t="shared" si="203"/>
        <v>0</v>
      </c>
      <c r="BB133" s="2394">
        <f t="shared" si="203"/>
        <v>0</v>
      </c>
      <c r="BC133" s="2394">
        <f t="shared" si="203"/>
        <v>0</v>
      </c>
      <c r="BD133" s="2394">
        <f t="shared" si="203"/>
        <v>0</v>
      </c>
      <c r="BE133" s="2394">
        <f t="shared" si="203"/>
        <v>0</v>
      </c>
      <c r="BF133" s="2394">
        <f t="shared" si="203"/>
        <v>0</v>
      </c>
      <c r="BG133" s="2394">
        <f t="shared" si="203"/>
        <v>0</v>
      </c>
      <c r="BH133" s="2394">
        <f t="shared" si="203"/>
        <v>0</v>
      </c>
      <c r="BI133" s="2394">
        <f t="shared" si="203"/>
        <v>0</v>
      </c>
      <c r="BJ133" s="2394">
        <f t="shared" si="203"/>
        <v>0</v>
      </c>
      <c r="BK133" s="2394">
        <f t="shared" si="203"/>
        <v>0</v>
      </c>
      <c r="BL133" s="2394">
        <f t="shared" si="203"/>
        <v>0</v>
      </c>
      <c r="BM133" s="2394">
        <f t="shared" si="203"/>
        <v>0</v>
      </c>
      <c r="BN133" s="2394">
        <f t="shared" si="203"/>
        <v>0</v>
      </c>
      <c r="BO133" s="2394">
        <f t="shared" si="203"/>
        <v>0</v>
      </c>
      <c r="BP133" s="2394">
        <f t="shared" si="203"/>
        <v>0</v>
      </c>
      <c r="BQ133" s="2394">
        <f t="shared" si="203"/>
        <v>0</v>
      </c>
      <c r="BR133" s="2394">
        <f t="shared" si="203"/>
        <v>0</v>
      </c>
      <c r="BS133" s="2394">
        <f t="shared" si="203"/>
        <v>0</v>
      </c>
      <c r="BT133" s="2394">
        <f t="shared" si="203"/>
        <v>0</v>
      </c>
      <c r="BU133" s="2394">
        <f t="shared" si="203"/>
        <v>0</v>
      </c>
      <c r="BV133" s="2394">
        <f t="shared" ref="BV133:EG133" si="204">(BU133+SUMIFS($C$168:$C$195,$D$168:$D$195,BV129,$B$168:$B$195,BV130))*(BV$5&gt;0)</f>
        <v>0</v>
      </c>
      <c r="BW133" s="2394">
        <f t="shared" si="204"/>
        <v>0</v>
      </c>
      <c r="BX133" s="2394">
        <f t="shared" si="204"/>
        <v>0</v>
      </c>
      <c r="BY133" s="2394">
        <f t="shared" si="204"/>
        <v>0</v>
      </c>
      <c r="BZ133" s="2394">
        <f t="shared" si="204"/>
        <v>0</v>
      </c>
      <c r="CA133" s="2394">
        <f t="shared" si="204"/>
        <v>0</v>
      </c>
      <c r="CB133" s="2394">
        <f t="shared" si="204"/>
        <v>0</v>
      </c>
      <c r="CC133" s="2394">
        <f t="shared" si="204"/>
        <v>0</v>
      </c>
      <c r="CD133" s="2394">
        <f t="shared" si="204"/>
        <v>0</v>
      </c>
      <c r="CE133" s="2394">
        <f t="shared" si="204"/>
        <v>0</v>
      </c>
      <c r="CF133" s="2394">
        <f t="shared" si="204"/>
        <v>0</v>
      </c>
      <c r="CG133" s="2394">
        <f t="shared" si="204"/>
        <v>0</v>
      </c>
      <c r="CH133" s="2394">
        <f t="shared" si="204"/>
        <v>0</v>
      </c>
      <c r="CI133" s="2394">
        <f t="shared" si="204"/>
        <v>0</v>
      </c>
      <c r="CJ133" s="2394">
        <f t="shared" si="204"/>
        <v>0</v>
      </c>
      <c r="CK133" s="2394">
        <f t="shared" si="204"/>
        <v>0</v>
      </c>
      <c r="CL133" s="2394">
        <f t="shared" si="204"/>
        <v>0</v>
      </c>
      <c r="CM133" s="2394">
        <f t="shared" si="204"/>
        <v>0</v>
      </c>
      <c r="CN133" s="2394">
        <f t="shared" si="204"/>
        <v>0</v>
      </c>
      <c r="CO133" s="2394">
        <f t="shared" si="204"/>
        <v>0</v>
      </c>
      <c r="CP133" s="2394">
        <f t="shared" si="204"/>
        <v>0</v>
      </c>
      <c r="CQ133" s="2394">
        <f t="shared" si="204"/>
        <v>0</v>
      </c>
      <c r="CR133" s="2394">
        <f t="shared" si="204"/>
        <v>0</v>
      </c>
      <c r="CS133" s="2394">
        <f t="shared" si="204"/>
        <v>0</v>
      </c>
      <c r="CT133" s="2394">
        <f t="shared" si="204"/>
        <v>0</v>
      </c>
      <c r="CU133" s="2394">
        <f t="shared" si="204"/>
        <v>0</v>
      </c>
      <c r="CV133" s="2394">
        <f t="shared" si="204"/>
        <v>0</v>
      </c>
      <c r="CW133" s="2394">
        <f t="shared" si="204"/>
        <v>0</v>
      </c>
      <c r="CX133" s="2394">
        <f t="shared" si="204"/>
        <v>0</v>
      </c>
      <c r="CY133" s="2394">
        <f t="shared" si="204"/>
        <v>0</v>
      </c>
      <c r="CZ133" s="2394">
        <f t="shared" si="204"/>
        <v>0</v>
      </c>
      <c r="DA133" s="2394">
        <f t="shared" si="204"/>
        <v>0</v>
      </c>
      <c r="DB133" s="2394">
        <f t="shared" si="204"/>
        <v>0</v>
      </c>
      <c r="DC133" s="2394">
        <f t="shared" si="204"/>
        <v>0</v>
      </c>
      <c r="DD133" s="2394">
        <f t="shared" si="204"/>
        <v>0</v>
      </c>
      <c r="DE133" s="2394">
        <f t="shared" si="204"/>
        <v>0</v>
      </c>
      <c r="DF133" s="2394">
        <f t="shared" si="204"/>
        <v>0</v>
      </c>
      <c r="DG133" s="2394">
        <f t="shared" si="204"/>
        <v>0</v>
      </c>
      <c r="DH133" s="2394">
        <f t="shared" si="204"/>
        <v>0</v>
      </c>
      <c r="DI133" s="2394">
        <f t="shared" si="204"/>
        <v>0</v>
      </c>
      <c r="DJ133" s="2394">
        <f t="shared" si="204"/>
        <v>0</v>
      </c>
      <c r="DK133" s="2394">
        <f t="shared" si="204"/>
        <v>0</v>
      </c>
      <c r="DL133" s="2394">
        <f t="shared" si="204"/>
        <v>0</v>
      </c>
      <c r="DM133" s="2394">
        <f t="shared" si="204"/>
        <v>0</v>
      </c>
      <c r="DN133" s="2394">
        <f t="shared" si="204"/>
        <v>0</v>
      </c>
      <c r="DO133" s="2394">
        <f t="shared" si="204"/>
        <v>0</v>
      </c>
      <c r="DP133" s="2394">
        <f t="shared" si="204"/>
        <v>0</v>
      </c>
      <c r="DQ133" s="2394">
        <f t="shared" si="204"/>
        <v>0</v>
      </c>
      <c r="DR133" s="2394">
        <f t="shared" si="204"/>
        <v>0</v>
      </c>
      <c r="DS133" s="2394">
        <f t="shared" si="204"/>
        <v>0</v>
      </c>
      <c r="DT133" s="2394">
        <f t="shared" si="204"/>
        <v>0</v>
      </c>
      <c r="DU133" s="2394">
        <f t="shared" si="204"/>
        <v>0</v>
      </c>
      <c r="DV133" s="2394">
        <f t="shared" si="204"/>
        <v>0</v>
      </c>
      <c r="DW133" s="2394">
        <f t="shared" si="204"/>
        <v>0</v>
      </c>
      <c r="DX133" s="2394">
        <f t="shared" si="204"/>
        <v>0</v>
      </c>
      <c r="DY133" s="2394">
        <f t="shared" si="204"/>
        <v>0</v>
      </c>
      <c r="DZ133" s="2394">
        <f t="shared" si="204"/>
        <v>0</v>
      </c>
      <c r="EA133" s="2394">
        <f t="shared" si="204"/>
        <v>0</v>
      </c>
      <c r="EB133" s="2394">
        <f t="shared" si="204"/>
        <v>0</v>
      </c>
      <c r="EC133" s="2394">
        <f t="shared" si="204"/>
        <v>0</v>
      </c>
      <c r="ED133" s="2394">
        <f t="shared" si="204"/>
        <v>0</v>
      </c>
      <c r="EE133" s="2394">
        <f t="shared" si="204"/>
        <v>0</v>
      </c>
      <c r="EF133" s="2394">
        <f t="shared" si="204"/>
        <v>0</v>
      </c>
      <c r="EG133" s="2394">
        <f t="shared" si="204"/>
        <v>0</v>
      </c>
      <c r="EH133" s="2394">
        <f t="shared" ref="EH133:GS133" si="205">(EG133+SUMIFS($C$168:$C$195,$D$168:$D$195,EH129,$B$168:$B$195,EH130))*(EH$5&gt;0)</f>
        <v>0</v>
      </c>
      <c r="EI133" s="2394">
        <f t="shared" si="205"/>
        <v>0</v>
      </c>
      <c r="EJ133" s="2394">
        <f t="shared" si="205"/>
        <v>0</v>
      </c>
      <c r="EK133" s="2394">
        <f t="shared" si="205"/>
        <v>0</v>
      </c>
      <c r="EL133" s="2394">
        <f t="shared" si="205"/>
        <v>0</v>
      </c>
      <c r="EM133" s="2394">
        <f t="shared" si="205"/>
        <v>0</v>
      </c>
      <c r="EN133" s="2394">
        <f t="shared" si="205"/>
        <v>0</v>
      </c>
      <c r="EO133" s="2394">
        <f t="shared" si="205"/>
        <v>0</v>
      </c>
      <c r="EP133" s="2394">
        <f t="shared" si="205"/>
        <v>0</v>
      </c>
      <c r="EQ133" s="2394">
        <f t="shared" si="205"/>
        <v>0</v>
      </c>
      <c r="ER133" s="2394">
        <f t="shared" si="205"/>
        <v>0</v>
      </c>
      <c r="ES133" s="2394">
        <f t="shared" si="205"/>
        <v>0</v>
      </c>
      <c r="ET133" s="2394">
        <f t="shared" si="205"/>
        <v>0</v>
      </c>
      <c r="EU133" s="2394">
        <f t="shared" si="205"/>
        <v>0</v>
      </c>
      <c r="EV133" s="2394">
        <f t="shared" si="205"/>
        <v>0</v>
      </c>
      <c r="EW133" s="2394">
        <f t="shared" si="205"/>
        <v>0</v>
      </c>
      <c r="EX133" s="2394">
        <f t="shared" si="205"/>
        <v>0</v>
      </c>
      <c r="EY133" s="2394">
        <f t="shared" si="205"/>
        <v>0</v>
      </c>
      <c r="EZ133" s="2394">
        <f t="shared" si="205"/>
        <v>0</v>
      </c>
      <c r="FA133" s="2394">
        <f t="shared" si="205"/>
        <v>0</v>
      </c>
      <c r="FB133" s="2394">
        <f t="shared" si="205"/>
        <v>0</v>
      </c>
      <c r="FC133" s="2394">
        <f t="shared" si="205"/>
        <v>0</v>
      </c>
      <c r="FD133" s="2394">
        <f t="shared" si="205"/>
        <v>0</v>
      </c>
      <c r="FE133" s="2394">
        <f t="shared" si="205"/>
        <v>0</v>
      </c>
      <c r="FF133" s="2394">
        <f t="shared" si="205"/>
        <v>0</v>
      </c>
      <c r="FG133" s="2394">
        <f t="shared" si="205"/>
        <v>0</v>
      </c>
      <c r="FH133" s="2394">
        <f t="shared" si="205"/>
        <v>0</v>
      </c>
      <c r="FI133" s="2394">
        <f t="shared" si="205"/>
        <v>0</v>
      </c>
      <c r="FJ133" s="2394">
        <f t="shared" si="205"/>
        <v>0</v>
      </c>
      <c r="FK133" s="2394">
        <f t="shared" si="205"/>
        <v>0</v>
      </c>
      <c r="FL133" s="2394">
        <f t="shared" si="205"/>
        <v>0</v>
      </c>
      <c r="FM133" s="2394">
        <f t="shared" si="205"/>
        <v>0</v>
      </c>
      <c r="FN133" s="2394">
        <f t="shared" si="205"/>
        <v>0</v>
      </c>
      <c r="FO133" s="2394">
        <f t="shared" si="205"/>
        <v>0</v>
      </c>
      <c r="FP133" s="2394">
        <f t="shared" si="205"/>
        <v>0</v>
      </c>
      <c r="FQ133" s="2394">
        <f t="shared" si="205"/>
        <v>0</v>
      </c>
      <c r="FR133" s="2394">
        <f t="shared" si="205"/>
        <v>0</v>
      </c>
      <c r="FS133" s="2394">
        <f t="shared" si="205"/>
        <v>0</v>
      </c>
      <c r="FT133" s="2394">
        <f t="shared" si="205"/>
        <v>0</v>
      </c>
      <c r="FU133" s="2394">
        <f t="shared" si="205"/>
        <v>0</v>
      </c>
      <c r="FV133" s="2394">
        <f t="shared" si="205"/>
        <v>0</v>
      </c>
      <c r="FW133" s="2394">
        <f t="shared" si="205"/>
        <v>0</v>
      </c>
      <c r="FX133" s="2394">
        <f t="shared" si="205"/>
        <v>0</v>
      </c>
      <c r="FY133" s="2394">
        <f t="shared" si="205"/>
        <v>0</v>
      </c>
      <c r="FZ133" s="2394">
        <f t="shared" si="205"/>
        <v>0</v>
      </c>
      <c r="GA133" s="2394">
        <f t="shared" si="205"/>
        <v>0</v>
      </c>
      <c r="GB133" s="2394">
        <f t="shared" si="205"/>
        <v>0</v>
      </c>
      <c r="GC133" s="2394">
        <f t="shared" si="205"/>
        <v>0</v>
      </c>
      <c r="GD133" s="2394">
        <f t="shared" si="205"/>
        <v>0</v>
      </c>
      <c r="GE133" s="2394">
        <f t="shared" si="205"/>
        <v>0</v>
      </c>
      <c r="GF133" s="2394">
        <f t="shared" si="205"/>
        <v>0</v>
      </c>
      <c r="GG133" s="2394">
        <f t="shared" si="205"/>
        <v>0</v>
      </c>
      <c r="GH133" s="2394">
        <f t="shared" si="205"/>
        <v>0</v>
      </c>
      <c r="GI133" s="2394">
        <f t="shared" si="205"/>
        <v>0</v>
      </c>
      <c r="GJ133" s="2394">
        <f t="shared" si="205"/>
        <v>0</v>
      </c>
      <c r="GK133" s="2394">
        <f t="shared" si="205"/>
        <v>0</v>
      </c>
      <c r="GL133" s="2394">
        <f t="shared" si="205"/>
        <v>0</v>
      </c>
      <c r="GM133" s="2394">
        <f t="shared" si="205"/>
        <v>0</v>
      </c>
      <c r="GN133" s="2394">
        <f t="shared" si="205"/>
        <v>0</v>
      </c>
      <c r="GO133" s="2394">
        <f t="shared" si="205"/>
        <v>0</v>
      </c>
      <c r="GP133" s="2394">
        <f t="shared" si="205"/>
        <v>0</v>
      </c>
      <c r="GQ133" s="2394">
        <f t="shared" si="205"/>
        <v>0</v>
      </c>
      <c r="GR133" s="2394">
        <f t="shared" si="205"/>
        <v>0</v>
      </c>
      <c r="GS133" s="2394">
        <f t="shared" si="205"/>
        <v>0</v>
      </c>
      <c r="GT133" s="2394">
        <f t="shared" ref="GT133:IA133" si="206">(GS133+SUMIFS($C$168:$C$195,$D$168:$D$195,GT129,$B$168:$B$195,GT130))*(GT$5&gt;0)</f>
        <v>0</v>
      </c>
      <c r="GU133" s="2394">
        <f t="shared" si="206"/>
        <v>0</v>
      </c>
      <c r="GV133" s="2394">
        <f t="shared" si="206"/>
        <v>0</v>
      </c>
      <c r="GW133" s="2394">
        <f t="shared" si="206"/>
        <v>0</v>
      </c>
      <c r="GX133" s="2394">
        <f t="shared" si="206"/>
        <v>0</v>
      </c>
      <c r="GY133" s="2394">
        <f t="shared" si="206"/>
        <v>0</v>
      </c>
      <c r="GZ133" s="2394">
        <f t="shared" si="206"/>
        <v>0</v>
      </c>
      <c r="HA133" s="2394">
        <f t="shared" si="206"/>
        <v>0</v>
      </c>
      <c r="HB133" s="2394">
        <f t="shared" si="206"/>
        <v>0</v>
      </c>
      <c r="HC133" s="2394">
        <f t="shared" si="206"/>
        <v>0</v>
      </c>
      <c r="HD133" s="2394">
        <f t="shared" si="206"/>
        <v>0</v>
      </c>
      <c r="HE133" s="2394">
        <f t="shared" si="206"/>
        <v>0</v>
      </c>
      <c r="HF133" s="2394">
        <f t="shared" si="206"/>
        <v>0</v>
      </c>
      <c r="HG133" s="2394">
        <f t="shared" si="206"/>
        <v>0</v>
      </c>
      <c r="HH133" s="2394">
        <f t="shared" si="206"/>
        <v>0</v>
      </c>
      <c r="HI133" s="2394">
        <f t="shared" si="206"/>
        <v>0</v>
      </c>
      <c r="HJ133" s="2394">
        <f t="shared" si="206"/>
        <v>0</v>
      </c>
      <c r="HK133" s="2394">
        <f t="shared" si="206"/>
        <v>0</v>
      </c>
      <c r="HL133" s="2394">
        <f t="shared" si="206"/>
        <v>0</v>
      </c>
      <c r="HM133" s="2394">
        <f t="shared" si="206"/>
        <v>0</v>
      </c>
      <c r="HN133" s="2394">
        <f t="shared" si="206"/>
        <v>0</v>
      </c>
      <c r="HO133" s="2394">
        <f t="shared" si="206"/>
        <v>0</v>
      </c>
      <c r="HP133" s="2394">
        <f t="shared" si="206"/>
        <v>0</v>
      </c>
      <c r="HQ133" s="2394">
        <f t="shared" si="206"/>
        <v>0</v>
      </c>
      <c r="HR133" s="2394">
        <f t="shared" si="206"/>
        <v>0</v>
      </c>
      <c r="HS133" s="2394">
        <f t="shared" si="206"/>
        <v>0</v>
      </c>
      <c r="HT133" s="2394">
        <f t="shared" si="206"/>
        <v>0</v>
      </c>
      <c r="HU133" s="2394">
        <f t="shared" si="206"/>
        <v>0</v>
      </c>
      <c r="HV133" s="2394">
        <f t="shared" si="206"/>
        <v>0</v>
      </c>
      <c r="HW133" s="2394">
        <f t="shared" si="206"/>
        <v>0</v>
      </c>
      <c r="HX133" s="2394">
        <f t="shared" si="206"/>
        <v>0</v>
      </c>
      <c r="HY133" s="2394">
        <f t="shared" si="206"/>
        <v>0</v>
      </c>
      <c r="HZ133" s="2394">
        <f t="shared" si="206"/>
        <v>0</v>
      </c>
      <c r="IA133" s="2394">
        <f t="shared" si="206"/>
        <v>0</v>
      </c>
    </row>
    <row r="134" spans="3:235">
      <c r="C134" s="2383"/>
      <c r="D134" s="2384" t="s">
        <v>3977</v>
      </c>
      <c r="E134" s="2385"/>
      <c r="F134" s="2385"/>
      <c r="G134" s="2386"/>
      <c r="H134" s="2460">
        <f>MAX(J134:IA134)</f>
        <v>222563.86652861774</v>
      </c>
      <c r="I134" s="2459"/>
      <c r="J134" s="2395">
        <f t="shared" ref="J134:BN134" si="207">SUM(J132:J133)</f>
        <v>0</v>
      </c>
      <c r="K134" s="2387">
        <f t="shared" si="207"/>
        <v>0</v>
      </c>
      <c r="L134" s="2393">
        <f t="shared" si="207"/>
        <v>2393.0090441241896</v>
      </c>
      <c r="M134" s="2395">
        <f t="shared" si="207"/>
        <v>7921.6524300194142</v>
      </c>
      <c r="N134" s="2387">
        <f t="shared" si="207"/>
        <v>9104.9081092541655</v>
      </c>
      <c r="O134" s="2393">
        <f t="shared" si="207"/>
        <v>15233.222893313039</v>
      </c>
      <c r="P134" s="2387">
        <f t="shared" si="207"/>
        <v>19204.442752887509</v>
      </c>
      <c r="Q134" s="2392">
        <f t="shared" si="207"/>
        <v>22497.712350900387</v>
      </c>
      <c r="R134" s="2393">
        <f t="shared" si="207"/>
        <v>29703.651705931199</v>
      </c>
      <c r="S134" s="2387">
        <f t="shared" si="207"/>
        <v>44394.310871310394</v>
      </c>
      <c r="T134" s="2392">
        <f t="shared" si="207"/>
        <v>48862.340649604914</v>
      </c>
      <c r="U134" s="2394">
        <f t="shared" si="207"/>
        <v>56796.700012019435</v>
      </c>
      <c r="V134" s="2394">
        <f t="shared" si="207"/>
        <v>61234.796088174167</v>
      </c>
      <c r="W134" s="2394">
        <f t="shared" si="207"/>
        <v>64203.092827998902</v>
      </c>
      <c r="X134" s="2394">
        <f t="shared" si="207"/>
        <v>72957.73000617644</v>
      </c>
      <c r="Y134" s="2394">
        <f t="shared" si="207"/>
        <v>84170.553001640801</v>
      </c>
      <c r="Z134" s="2394">
        <f t="shared" si="207"/>
        <v>92080.864751318091</v>
      </c>
      <c r="AA134" s="2394">
        <f t="shared" si="207"/>
        <v>104232.08740592186</v>
      </c>
      <c r="AB134" s="2394">
        <f t="shared" si="207"/>
        <v>117510.06582210673</v>
      </c>
      <c r="AC134" s="2394">
        <f t="shared" si="207"/>
        <v>132629.56148778478</v>
      </c>
      <c r="AD134" s="2394">
        <f t="shared" si="207"/>
        <v>153570.90094485536</v>
      </c>
      <c r="AE134" s="2394">
        <f t="shared" si="207"/>
        <v>172475.30543179656</v>
      </c>
      <c r="AF134" s="2394">
        <f t="shared" si="207"/>
        <v>198522.49682962618</v>
      </c>
      <c r="AG134" s="2394">
        <f t="shared" si="207"/>
        <v>215523.47925211096</v>
      </c>
      <c r="AH134" s="2394">
        <f t="shared" si="207"/>
        <v>219015.38500765225</v>
      </c>
      <c r="AI134" s="2394">
        <f t="shared" si="207"/>
        <v>222563.86652861774</v>
      </c>
      <c r="AJ134" s="2394">
        <f t="shared" si="207"/>
        <v>0</v>
      </c>
      <c r="AK134" s="2394">
        <f t="shared" si="207"/>
        <v>0</v>
      </c>
      <c r="AL134" s="2394">
        <f t="shared" si="207"/>
        <v>0</v>
      </c>
      <c r="AM134" s="2394">
        <f t="shared" si="207"/>
        <v>0</v>
      </c>
      <c r="AN134" s="2394">
        <f t="shared" si="207"/>
        <v>0</v>
      </c>
      <c r="AO134" s="2394">
        <f t="shared" si="207"/>
        <v>0</v>
      </c>
      <c r="AP134" s="2394">
        <f t="shared" si="207"/>
        <v>0</v>
      </c>
      <c r="AQ134" s="2394">
        <f t="shared" si="207"/>
        <v>0</v>
      </c>
      <c r="AR134" s="2394">
        <f t="shared" si="207"/>
        <v>0</v>
      </c>
      <c r="AS134" s="2394">
        <f t="shared" si="207"/>
        <v>0</v>
      </c>
      <c r="AT134" s="2394">
        <f t="shared" si="207"/>
        <v>0</v>
      </c>
      <c r="AU134" s="2394">
        <f t="shared" si="207"/>
        <v>0</v>
      </c>
      <c r="AV134" s="2394">
        <f t="shared" si="207"/>
        <v>0</v>
      </c>
      <c r="AW134" s="2394">
        <f t="shared" si="207"/>
        <v>0</v>
      </c>
      <c r="AX134" s="2394">
        <f t="shared" si="207"/>
        <v>0</v>
      </c>
      <c r="AY134" s="2394">
        <f t="shared" si="207"/>
        <v>0</v>
      </c>
      <c r="AZ134" s="2394">
        <f t="shared" si="207"/>
        <v>0</v>
      </c>
      <c r="BA134" s="2394">
        <f t="shared" si="207"/>
        <v>0</v>
      </c>
      <c r="BB134" s="2394">
        <f t="shared" si="207"/>
        <v>0</v>
      </c>
      <c r="BC134" s="2394">
        <f t="shared" si="207"/>
        <v>0</v>
      </c>
      <c r="BD134" s="2394">
        <f t="shared" si="207"/>
        <v>0</v>
      </c>
      <c r="BE134" s="2394">
        <f t="shared" si="207"/>
        <v>0</v>
      </c>
      <c r="BF134" s="2394">
        <f t="shared" si="207"/>
        <v>0</v>
      </c>
      <c r="BG134" s="2394">
        <f t="shared" si="207"/>
        <v>0</v>
      </c>
      <c r="BH134" s="2394">
        <f t="shared" si="207"/>
        <v>0</v>
      </c>
      <c r="BI134" s="2394">
        <f t="shared" si="207"/>
        <v>0</v>
      </c>
      <c r="BJ134" s="2394">
        <f t="shared" si="207"/>
        <v>0</v>
      </c>
      <c r="BK134" s="2394">
        <f t="shared" si="207"/>
        <v>0</v>
      </c>
      <c r="BL134" s="2394">
        <f t="shared" si="207"/>
        <v>0</v>
      </c>
      <c r="BM134" s="2394">
        <f t="shared" si="207"/>
        <v>0</v>
      </c>
      <c r="BN134" s="2394">
        <f t="shared" si="207"/>
        <v>0</v>
      </c>
      <c r="BO134" s="2394">
        <f t="shared" ref="BO134:DZ134" si="208">SUM(BO132:BO133)</f>
        <v>0</v>
      </c>
      <c r="BP134" s="2394">
        <f t="shared" si="208"/>
        <v>0</v>
      </c>
      <c r="BQ134" s="2394">
        <f t="shared" si="208"/>
        <v>0</v>
      </c>
      <c r="BR134" s="2394">
        <f t="shared" si="208"/>
        <v>0</v>
      </c>
      <c r="BS134" s="2394">
        <f t="shared" si="208"/>
        <v>0</v>
      </c>
      <c r="BT134" s="2394">
        <f t="shared" si="208"/>
        <v>0</v>
      </c>
      <c r="BU134" s="2394">
        <f t="shared" si="208"/>
        <v>0</v>
      </c>
      <c r="BV134" s="2394">
        <f t="shared" si="208"/>
        <v>0</v>
      </c>
      <c r="BW134" s="2394">
        <f t="shared" si="208"/>
        <v>0</v>
      </c>
      <c r="BX134" s="2394">
        <f t="shared" si="208"/>
        <v>0</v>
      </c>
      <c r="BY134" s="2394">
        <f t="shared" si="208"/>
        <v>0</v>
      </c>
      <c r="BZ134" s="2394">
        <f t="shared" si="208"/>
        <v>0</v>
      </c>
      <c r="CA134" s="2394">
        <f t="shared" si="208"/>
        <v>0</v>
      </c>
      <c r="CB134" s="2394">
        <f t="shared" si="208"/>
        <v>0</v>
      </c>
      <c r="CC134" s="2394">
        <f t="shared" si="208"/>
        <v>0</v>
      </c>
      <c r="CD134" s="2394">
        <f t="shared" si="208"/>
        <v>0</v>
      </c>
      <c r="CE134" s="2394">
        <f t="shared" si="208"/>
        <v>0</v>
      </c>
      <c r="CF134" s="2394">
        <f t="shared" si="208"/>
        <v>0</v>
      </c>
      <c r="CG134" s="2394">
        <f t="shared" si="208"/>
        <v>0</v>
      </c>
      <c r="CH134" s="2394">
        <f t="shared" si="208"/>
        <v>0</v>
      </c>
      <c r="CI134" s="2394">
        <f t="shared" si="208"/>
        <v>0</v>
      </c>
      <c r="CJ134" s="2394">
        <f t="shared" si="208"/>
        <v>0</v>
      </c>
      <c r="CK134" s="2394">
        <f t="shared" si="208"/>
        <v>0</v>
      </c>
      <c r="CL134" s="2394">
        <f t="shared" si="208"/>
        <v>0</v>
      </c>
      <c r="CM134" s="2394">
        <f t="shared" si="208"/>
        <v>0</v>
      </c>
      <c r="CN134" s="2394">
        <f t="shared" si="208"/>
        <v>0</v>
      </c>
      <c r="CO134" s="2394">
        <f t="shared" si="208"/>
        <v>0</v>
      </c>
      <c r="CP134" s="2394">
        <f t="shared" si="208"/>
        <v>0</v>
      </c>
      <c r="CQ134" s="2394">
        <f t="shared" si="208"/>
        <v>0</v>
      </c>
      <c r="CR134" s="2394">
        <f t="shared" si="208"/>
        <v>0</v>
      </c>
      <c r="CS134" s="2394">
        <f t="shared" si="208"/>
        <v>0</v>
      </c>
      <c r="CT134" s="2394">
        <f t="shared" si="208"/>
        <v>0</v>
      </c>
      <c r="CU134" s="2394">
        <f t="shared" si="208"/>
        <v>0</v>
      </c>
      <c r="CV134" s="2394">
        <f t="shared" si="208"/>
        <v>0</v>
      </c>
      <c r="CW134" s="2394">
        <f t="shared" si="208"/>
        <v>0</v>
      </c>
      <c r="CX134" s="2394">
        <f t="shared" si="208"/>
        <v>0</v>
      </c>
      <c r="CY134" s="2394">
        <f t="shared" si="208"/>
        <v>0</v>
      </c>
      <c r="CZ134" s="2394">
        <f t="shared" si="208"/>
        <v>0</v>
      </c>
      <c r="DA134" s="2394">
        <f t="shared" si="208"/>
        <v>0</v>
      </c>
      <c r="DB134" s="2394">
        <f t="shared" si="208"/>
        <v>0</v>
      </c>
      <c r="DC134" s="2394">
        <f t="shared" si="208"/>
        <v>0</v>
      </c>
      <c r="DD134" s="2394">
        <f t="shared" si="208"/>
        <v>0</v>
      </c>
      <c r="DE134" s="2394">
        <f t="shared" si="208"/>
        <v>0</v>
      </c>
      <c r="DF134" s="2394">
        <f t="shared" si="208"/>
        <v>0</v>
      </c>
      <c r="DG134" s="2394">
        <f t="shared" si="208"/>
        <v>0</v>
      </c>
      <c r="DH134" s="2394">
        <f t="shared" si="208"/>
        <v>0</v>
      </c>
      <c r="DI134" s="2394">
        <f t="shared" si="208"/>
        <v>0</v>
      </c>
      <c r="DJ134" s="2394">
        <f t="shared" si="208"/>
        <v>0</v>
      </c>
      <c r="DK134" s="2394">
        <f t="shared" si="208"/>
        <v>0</v>
      </c>
      <c r="DL134" s="2394">
        <f t="shared" si="208"/>
        <v>0</v>
      </c>
      <c r="DM134" s="2394">
        <f t="shared" si="208"/>
        <v>0</v>
      </c>
      <c r="DN134" s="2394">
        <f t="shared" si="208"/>
        <v>0</v>
      </c>
      <c r="DO134" s="2394">
        <f t="shared" si="208"/>
        <v>0</v>
      </c>
      <c r="DP134" s="2394">
        <f t="shared" si="208"/>
        <v>0</v>
      </c>
      <c r="DQ134" s="2394">
        <f t="shared" si="208"/>
        <v>0</v>
      </c>
      <c r="DR134" s="2394">
        <f t="shared" si="208"/>
        <v>0</v>
      </c>
      <c r="DS134" s="2394">
        <f t="shared" si="208"/>
        <v>0</v>
      </c>
      <c r="DT134" s="2394">
        <f t="shared" si="208"/>
        <v>0</v>
      </c>
      <c r="DU134" s="2394">
        <f t="shared" si="208"/>
        <v>0</v>
      </c>
      <c r="DV134" s="2394">
        <f t="shared" si="208"/>
        <v>0</v>
      </c>
      <c r="DW134" s="2394">
        <f t="shared" si="208"/>
        <v>0</v>
      </c>
      <c r="DX134" s="2394">
        <f t="shared" si="208"/>
        <v>0</v>
      </c>
      <c r="DY134" s="2394">
        <f t="shared" si="208"/>
        <v>0</v>
      </c>
      <c r="DZ134" s="2394">
        <f t="shared" si="208"/>
        <v>0</v>
      </c>
      <c r="EA134" s="2394">
        <f t="shared" ref="EA134:GL134" si="209">SUM(EA132:EA133)</f>
        <v>0</v>
      </c>
      <c r="EB134" s="2394">
        <f t="shared" si="209"/>
        <v>0</v>
      </c>
      <c r="EC134" s="2394">
        <f t="shared" si="209"/>
        <v>0</v>
      </c>
      <c r="ED134" s="2394">
        <f t="shared" si="209"/>
        <v>0</v>
      </c>
      <c r="EE134" s="2394">
        <f t="shared" si="209"/>
        <v>0</v>
      </c>
      <c r="EF134" s="2394">
        <f t="shared" si="209"/>
        <v>0</v>
      </c>
      <c r="EG134" s="2394">
        <f t="shared" si="209"/>
        <v>0</v>
      </c>
      <c r="EH134" s="2394">
        <f t="shared" si="209"/>
        <v>0</v>
      </c>
      <c r="EI134" s="2394">
        <f t="shared" si="209"/>
        <v>0</v>
      </c>
      <c r="EJ134" s="2394">
        <f t="shared" si="209"/>
        <v>0</v>
      </c>
      <c r="EK134" s="2394">
        <f t="shared" si="209"/>
        <v>0</v>
      </c>
      <c r="EL134" s="2394">
        <f t="shared" si="209"/>
        <v>0</v>
      </c>
      <c r="EM134" s="2394">
        <f t="shared" si="209"/>
        <v>0</v>
      </c>
      <c r="EN134" s="2394">
        <f t="shared" si="209"/>
        <v>0</v>
      </c>
      <c r="EO134" s="2394">
        <f t="shared" si="209"/>
        <v>0</v>
      </c>
      <c r="EP134" s="2394">
        <f t="shared" si="209"/>
        <v>0</v>
      </c>
      <c r="EQ134" s="2394">
        <f t="shared" si="209"/>
        <v>0</v>
      </c>
      <c r="ER134" s="2394">
        <f t="shared" si="209"/>
        <v>0</v>
      </c>
      <c r="ES134" s="2394">
        <f t="shared" si="209"/>
        <v>0</v>
      </c>
      <c r="ET134" s="2394">
        <f t="shared" si="209"/>
        <v>0</v>
      </c>
      <c r="EU134" s="2394">
        <f t="shared" si="209"/>
        <v>0</v>
      </c>
      <c r="EV134" s="2394">
        <f t="shared" si="209"/>
        <v>0</v>
      </c>
      <c r="EW134" s="2394">
        <f t="shared" si="209"/>
        <v>0</v>
      </c>
      <c r="EX134" s="2394">
        <f t="shared" si="209"/>
        <v>0</v>
      </c>
      <c r="EY134" s="2394">
        <f t="shared" si="209"/>
        <v>0</v>
      </c>
      <c r="EZ134" s="2394">
        <f t="shared" si="209"/>
        <v>0</v>
      </c>
      <c r="FA134" s="2394">
        <f t="shared" si="209"/>
        <v>0</v>
      </c>
      <c r="FB134" s="2394">
        <f t="shared" si="209"/>
        <v>0</v>
      </c>
      <c r="FC134" s="2394">
        <f t="shared" si="209"/>
        <v>0</v>
      </c>
      <c r="FD134" s="2394">
        <f t="shared" si="209"/>
        <v>0</v>
      </c>
      <c r="FE134" s="2394">
        <f t="shared" si="209"/>
        <v>0</v>
      </c>
      <c r="FF134" s="2394">
        <f t="shared" si="209"/>
        <v>0</v>
      </c>
      <c r="FG134" s="2394">
        <f t="shared" si="209"/>
        <v>0</v>
      </c>
      <c r="FH134" s="2394">
        <f t="shared" si="209"/>
        <v>0</v>
      </c>
      <c r="FI134" s="2394">
        <f t="shared" si="209"/>
        <v>0</v>
      </c>
      <c r="FJ134" s="2394">
        <f t="shared" si="209"/>
        <v>0</v>
      </c>
      <c r="FK134" s="2394">
        <f t="shared" si="209"/>
        <v>0</v>
      </c>
      <c r="FL134" s="2394">
        <f t="shared" si="209"/>
        <v>0</v>
      </c>
      <c r="FM134" s="2394">
        <f t="shared" si="209"/>
        <v>0</v>
      </c>
      <c r="FN134" s="2394">
        <f t="shared" si="209"/>
        <v>0</v>
      </c>
      <c r="FO134" s="2394">
        <f t="shared" si="209"/>
        <v>0</v>
      </c>
      <c r="FP134" s="2394">
        <f t="shared" si="209"/>
        <v>0</v>
      </c>
      <c r="FQ134" s="2394">
        <f t="shared" si="209"/>
        <v>0</v>
      </c>
      <c r="FR134" s="2394">
        <f t="shared" si="209"/>
        <v>0</v>
      </c>
      <c r="FS134" s="2394">
        <f t="shared" si="209"/>
        <v>0</v>
      </c>
      <c r="FT134" s="2394">
        <f t="shared" si="209"/>
        <v>0</v>
      </c>
      <c r="FU134" s="2394">
        <f t="shared" si="209"/>
        <v>0</v>
      </c>
      <c r="FV134" s="2394">
        <f t="shared" si="209"/>
        <v>0</v>
      </c>
      <c r="FW134" s="2394">
        <f t="shared" si="209"/>
        <v>0</v>
      </c>
      <c r="FX134" s="2394">
        <f t="shared" si="209"/>
        <v>0</v>
      </c>
      <c r="FY134" s="2394">
        <f t="shared" si="209"/>
        <v>0</v>
      </c>
      <c r="FZ134" s="2394">
        <f t="shared" si="209"/>
        <v>0</v>
      </c>
      <c r="GA134" s="2394">
        <f t="shared" si="209"/>
        <v>0</v>
      </c>
      <c r="GB134" s="2394">
        <f t="shared" si="209"/>
        <v>0</v>
      </c>
      <c r="GC134" s="2394">
        <f t="shared" si="209"/>
        <v>0</v>
      </c>
      <c r="GD134" s="2394">
        <f t="shared" si="209"/>
        <v>0</v>
      </c>
      <c r="GE134" s="2394">
        <f t="shared" si="209"/>
        <v>0</v>
      </c>
      <c r="GF134" s="2394">
        <f t="shared" si="209"/>
        <v>0</v>
      </c>
      <c r="GG134" s="2394">
        <f t="shared" si="209"/>
        <v>0</v>
      </c>
      <c r="GH134" s="2394">
        <f t="shared" si="209"/>
        <v>0</v>
      </c>
      <c r="GI134" s="2394">
        <f t="shared" si="209"/>
        <v>0</v>
      </c>
      <c r="GJ134" s="2394">
        <f t="shared" si="209"/>
        <v>0</v>
      </c>
      <c r="GK134" s="2394">
        <f t="shared" si="209"/>
        <v>0</v>
      </c>
      <c r="GL134" s="2394">
        <f t="shared" si="209"/>
        <v>0</v>
      </c>
      <c r="GM134" s="2394">
        <f t="shared" ref="GM134:IA134" si="210">SUM(GM132:GM133)</f>
        <v>0</v>
      </c>
      <c r="GN134" s="2394">
        <f t="shared" si="210"/>
        <v>0</v>
      </c>
      <c r="GO134" s="2394">
        <f t="shared" si="210"/>
        <v>0</v>
      </c>
      <c r="GP134" s="2394">
        <f t="shared" si="210"/>
        <v>0</v>
      </c>
      <c r="GQ134" s="2394">
        <f t="shared" si="210"/>
        <v>0</v>
      </c>
      <c r="GR134" s="2394">
        <f t="shared" si="210"/>
        <v>0</v>
      </c>
      <c r="GS134" s="2394">
        <f t="shared" si="210"/>
        <v>0</v>
      </c>
      <c r="GT134" s="2394">
        <f t="shared" si="210"/>
        <v>0</v>
      </c>
      <c r="GU134" s="2394">
        <f t="shared" si="210"/>
        <v>0</v>
      </c>
      <c r="GV134" s="2394">
        <f t="shared" si="210"/>
        <v>0</v>
      </c>
      <c r="GW134" s="2394">
        <f t="shared" si="210"/>
        <v>0</v>
      </c>
      <c r="GX134" s="2394">
        <f t="shared" si="210"/>
        <v>0</v>
      </c>
      <c r="GY134" s="2394">
        <f t="shared" si="210"/>
        <v>0</v>
      </c>
      <c r="GZ134" s="2394">
        <f t="shared" si="210"/>
        <v>0</v>
      </c>
      <c r="HA134" s="2394">
        <f t="shared" si="210"/>
        <v>0</v>
      </c>
      <c r="HB134" s="2394">
        <f t="shared" si="210"/>
        <v>0</v>
      </c>
      <c r="HC134" s="2394">
        <f t="shared" si="210"/>
        <v>0</v>
      </c>
      <c r="HD134" s="2394">
        <f t="shared" si="210"/>
        <v>0</v>
      </c>
      <c r="HE134" s="2394">
        <f t="shared" si="210"/>
        <v>0</v>
      </c>
      <c r="HF134" s="2394">
        <f t="shared" si="210"/>
        <v>0</v>
      </c>
      <c r="HG134" s="2394">
        <f t="shared" si="210"/>
        <v>0</v>
      </c>
      <c r="HH134" s="2394">
        <f t="shared" si="210"/>
        <v>0</v>
      </c>
      <c r="HI134" s="2394">
        <f t="shared" si="210"/>
        <v>0</v>
      </c>
      <c r="HJ134" s="2394">
        <f t="shared" si="210"/>
        <v>0</v>
      </c>
      <c r="HK134" s="2394">
        <f t="shared" si="210"/>
        <v>0</v>
      </c>
      <c r="HL134" s="2394">
        <f t="shared" si="210"/>
        <v>0</v>
      </c>
      <c r="HM134" s="2394">
        <f t="shared" si="210"/>
        <v>0</v>
      </c>
      <c r="HN134" s="2394">
        <f t="shared" si="210"/>
        <v>0</v>
      </c>
      <c r="HO134" s="2394">
        <f t="shared" si="210"/>
        <v>0</v>
      </c>
      <c r="HP134" s="2394">
        <f t="shared" si="210"/>
        <v>0</v>
      </c>
      <c r="HQ134" s="2394">
        <f t="shared" si="210"/>
        <v>0</v>
      </c>
      <c r="HR134" s="2394">
        <f t="shared" si="210"/>
        <v>0</v>
      </c>
      <c r="HS134" s="2394">
        <f t="shared" si="210"/>
        <v>0</v>
      </c>
      <c r="HT134" s="2394">
        <f t="shared" si="210"/>
        <v>0</v>
      </c>
      <c r="HU134" s="2394">
        <f t="shared" si="210"/>
        <v>0</v>
      </c>
      <c r="HV134" s="2394">
        <f t="shared" si="210"/>
        <v>0</v>
      </c>
      <c r="HW134" s="2394">
        <f t="shared" si="210"/>
        <v>0</v>
      </c>
      <c r="HX134" s="2394">
        <f t="shared" si="210"/>
        <v>0</v>
      </c>
      <c r="HY134" s="2394">
        <f t="shared" si="210"/>
        <v>0</v>
      </c>
      <c r="HZ134" s="2394">
        <f t="shared" si="210"/>
        <v>0</v>
      </c>
      <c r="IA134" s="2394">
        <f t="shared" si="210"/>
        <v>0</v>
      </c>
    </row>
    <row r="135" spans="3:235">
      <c r="C135" s="2383"/>
      <c r="D135" s="2406" t="s">
        <v>3929</v>
      </c>
      <c r="E135" s="2356"/>
      <c r="F135" s="2356"/>
      <c r="G135" s="2446"/>
      <c r="H135" s="2447">
        <f>SUM(J135:IA135)</f>
        <v>215886.91734720726</v>
      </c>
      <c r="I135" s="2459"/>
      <c r="J135" s="2448"/>
      <c r="K135" s="2447"/>
      <c r="L135" s="2449"/>
      <c r="M135" s="2448"/>
      <c r="N135" s="2447"/>
      <c r="O135" s="2449"/>
      <c r="P135" s="2447">
        <f>$H134*$G$26*P$3</f>
        <v>0</v>
      </c>
      <c r="Q135" s="2392">
        <f t="shared" ref="Q135:CB135" si="211">P136*$G$26*Q$3</f>
        <v>0</v>
      </c>
      <c r="R135" s="2449">
        <f t="shared" si="211"/>
        <v>0</v>
      </c>
      <c r="S135" s="2447">
        <f t="shared" si="211"/>
        <v>0</v>
      </c>
      <c r="T135" s="2450">
        <f t="shared" si="211"/>
        <v>0</v>
      </c>
      <c r="U135" s="2451">
        <f t="shared" si="211"/>
        <v>0</v>
      </c>
      <c r="V135" s="2451">
        <f t="shared" si="211"/>
        <v>0</v>
      </c>
      <c r="W135" s="2451">
        <f t="shared" si="211"/>
        <v>0</v>
      </c>
      <c r="X135" s="2451">
        <f t="shared" si="211"/>
        <v>0</v>
      </c>
      <c r="Y135" s="2451">
        <f t="shared" si="211"/>
        <v>0</v>
      </c>
      <c r="Z135" s="2451">
        <f t="shared" si="211"/>
        <v>0</v>
      </c>
      <c r="AA135" s="2451">
        <f t="shared" si="211"/>
        <v>0</v>
      </c>
      <c r="AB135" s="2451">
        <f t="shared" si="211"/>
        <v>0</v>
      </c>
      <c r="AC135" s="2451">
        <f t="shared" si="211"/>
        <v>0</v>
      </c>
      <c r="AD135" s="2451">
        <f t="shared" si="211"/>
        <v>0</v>
      </c>
      <c r="AE135" s="2451">
        <f t="shared" si="211"/>
        <v>0</v>
      </c>
      <c r="AF135" s="2451">
        <f t="shared" si="211"/>
        <v>0</v>
      </c>
      <c r="AG135" s="2451">
        <f t="shared" si="211"/>
        <v>0</v>
      </c>
      <c r="AH135" s="2451">
        <f t="shared" si="211"/>
        <v>0</v>
      </c>
      <c r="AI135" s="2451">
        <f t="shared" si="211"/>
        <v>63.586134963736264</v>
      </c>
      <c r="AJ135" s="2451">
        <f t="shared" si="211"/>
        <v>3867.0514175891403</v>
      </c>
      <c r="AK135" s="2451">
        <f t="shared" si="211"/>
        <v>3799.8421240106286</v>
      </c>
      <c r="AL135" s="2451">
        <f t="shared" si="211"/>
        <v>3733.8009269106842</v>
      </c>
      <c r="AM135" s="2451">
        <f t="shared" si="211"/>
        <v>3668.9075247906508</v>
      </c>
      <c r="AN135" s="2451">
        <f t="shared" si="211"/>
        <v>3605.1419689916033</v>
      </c>
      <c r="AO135" s="2451">
        <f t="shared" si="211"/>
        <v>3542.4846575620013</v>
      </c>
      <c r="AP135" s="2451">
        <f t="shared" si="211"/>
        <v>3480.916329231914</v>
      </c>
      <c r="AQ135" s="2451">
        <f t="shared" si="211"/>
        <v>3420.418057491986</v>
      </c>
      <c r="AR135" s="2451">
        <f t="shared" si="211"/>
        <v>3360.9712447752991</v>
      </c>
      <c r="AS135" s="2451">
        <f t="shared" si="211"/>
        <v>3302.5576167403597</v>
      </c>
      <c r="AT135" s="2451">
        <f t="shared" si="211"/>
        <v>3245.1592166534447</v>
      </c>
      <c r="AU135" s="2451">
        <f t="shared" si="211"/>
        <v>3188.7583998685864</v>
      </c>
      <c r="AV135" s="2451">
        <f t="shared" si="211"/>
        <v>3133.337828403487</v>
      </c>
      <c r="AW135" s="2451">
        <f t="shared" si="211"/>
        <v>3078.8804656097145</v>
      </c>
      <c r="AX135" s="2451">
        <f t="shared" si="211"/>
        <v>3025.3695709355197</v>
      </c>
      <c r="AY135" s="2451">
        <f t="shared" si="211"/>
        <v>2972.7886947796856</v>
      </c>
      <c r="AZ135" s="2451">
        <f t="shared" si="211"/>
        <v>2921.1216734348045</v>
      </c>
      <c r="BA135" s="2451">
        <f t="shared" si="211"/>
        <v>2870.3526241184582</v>
      </c>
      <c r="BB135" s="2451">
        <f t="shared" si="211"/>
        <v>2820.4659400907349</v>
      </c>
      <c r="BC135" s="2451">
        <f t="shared" si="211"/>
        <v>2771.4462858566235</v>
      </c>
      <c r="BD135" s="2451">
        <f t="shared" si="211"/>
        <v>2723.2785924517766</v>
      </c>
      <c r="BE135" s="2451">
        <f t="shared" si="211"/>
        <v>2675.9480528102131</v>
      </c>
      <c r="BF135" s="2451">
        <f t="shared" si="211"/>
        <v>2629.440117212529</v>
      </c>
      <c r="BG135" s="2451">
        <f t="shared" si="211"/>
        <v>2583.7404888132187</v>
      </c>
      <c r="BH135" s="2451">
        <f t="shared" si="211"/>
        <v>2538.8351192457267</v>
      </c>
      <c r="BI135" s="2451">
        <f t="shared" si="211"/>
        <v>2494.7102043038922</v>
      </c>
      <c r="BJ135" s="2451">
        <f t="shared" si="211"/>
        <v>2451.3521796984433</v>
      </c>
      <c r="BK135" s="2451">
        <f t="shared" si="211"/>
        <v>2408.7477168872424</v>
      </c>
      <c r="BL135" s="2451">
        <f t="shared" si="211"/>
        <v>2366.8837189780111</v>
      </c>
      <c r="BM135" s="2451">
        <f t="shared" si="211"/>
        <v>2325.7473167022513</v>
      </c>
      <c r="BN135" s="2451">
        <f t="shared" si="211"/>
        <v>2285.3258644591551</v>
      </c>
      <c r="BO135" s="2451">
        <f t="shared" si="211"/>
        <v>2245.6069364282585</v>
      </c>
      <c r="BP135" s="2451">
        <f t="shared" si="211"/>
        <v>2206.5783227496636</v>
      </c>
      <c r="BQ135" s="2451">
        <f t="shared" si="211"/>
        <v>2168.2280257706498</v>
      </c>
      <c r="BR135" s="2451">
        <f t="shared" si="211"/>
        <v>2130.5442563575125</v>
      </c>
      <c r="BS135" s="2451">
        <f t="shared" si="211"/>
        <v>2093.5154302715082</v>
      </c>
      <c r="BT135" s="2451">
        <f t="shared" si="211"/>
        <v>2057.1301646077845</v>
      </c>
      <c r="BU135" s="2451">
        <f t="shared" si="211"/>
        <v>2021.3772742961964</v>
      </c>
      <c r="BV135" s="2451">
        <f t="shared" si="211"/>
        <v>1986.2457686629452</v>
      </c>
      <c r="BW135" s="2451">
        <f t="shared" si="211"/>
        <v>1951.7248480519725</v>
      </c>
      <c r="BX135" s="2451">
        <f t="shared" si="211"/>
        <v>1917.8039005050741</v>
      </c>
      <c r="BY135" s="2451">
        <f t="shared" si="211"/>
        <v>1884.4724984997144</v>
      </c>
      <c r="BZ135" s="2451">
        <f t="shared" si="211"/>
        <v>1851.7203957435379</v>
      </c>
      <c r="CA135" s="2451">
        <f t="shared" si="211"/>
        <v>1819.5375240245905</v>
      </c>
      <c r="CB135" s="2451">
        <f t="shared" si="211"/>
        <v>1787.9139901162862</v>
      </c>
      <c r="CC135" s="2451">
        <f t="shared" ref="CC135:EN135" si="212">CB136*$G$26*CC$3</f>
        <v>1756.8400727361632</v>
      </c>
      <c r="CD135" s="2451">
        <f t="shared" si="212"/>
        <v>1726.3062195574973</v>
      </c>
      <c r="CE135" s="2451">
        <f t="shared" si="212"/>
        <v>1696.3030442728555</v>
      </c>
      <c r="CF135" s="2451">
        <f t="shared" si="212"/>
        <v>1666.8213237086813</v>
      </c>
      <c r="CG135" s="2451">
        <f t="shared" si="212"/>
        <v>1637.8519949900319</v>
      </c>
      <c r="CH135" s="2451">
        <f t="shared" si="212"/>
        <v>1609.3861527545896</v>
      </c>
      <c r="CI135" s="2451">
        <f t="shared" si="212"/>
        <v>1581.4150464150964</v>
      </c>
      <c r="CJ135" s="2451">
        <f t="shared" si="212"/>
        <v>1553.9300774693643</v>
      </c>
      <c r="CK135" s="2451">
        <f t="shared" si="212"/>
        <v>1526.9227968570399</v>
      </c>
      <c r="CL135" s="2451">
        <f t="shared" si="212"/>
        <v>1500.3849023623072</v>
      </c>
      <c r="CM135" s="2451">
        <f t="shared" si="212"/>
        <v>1474.3082360617332</v>
      </c>
      <c r="CN135" s="2451">
        <f t="shared" si="212"/>
        <v>1448.6847818164661</v>
      </c>
      <c r="CO135" s="2451">
        <f t="shared" si="212"/>
        <v>1423.5066628080237</v>
      </c>
      <c r="CP135" s="2451">
        <f t="shared" si="212"/>
        <v>1398.7661391169072</v>
      </c>
      <c r="CQ135" s="2451">
        <f t="shared" si="212"/>
        <v>1374.4556053432968</v>
      </c>
      <c r="CR135" s="2451">
        <f t="shared" si="212"/>
        <v>1350.5675882691046</v>
      </c>
      <c r="CS135" s="2451">
        <f t="shared" si="212"/>
        <v>1327.0947445606573</v>
      </c>
      <c r="CT135" s="2451">
        <f t="shared" si="212"/>
        <v>1304.0298585113057</v>
      </c>
      <c r="CU135" s="2451">
        <f t="shared" si="212"/>
        <v>1281.365839823271</v>
      </c>
      <c r="CV135" s="2451">
        <f t="shared" si="212"/>
        <v>1259.0957214280395</v>
      </c>
      <c r="CW135" s="2451">
        <f t="shared" si="212"/>
        <v>1237.2126573446396</v>
      </c>
      <c r="CX135" s="2451">
        <f t="shared" si="212"/>
        <v>1215.7099205751435</v>
      </c>
      <c r="CY135" s="2451">
        <f t="shared" si="212"/>
        <v>1194.5809010367423</v>
      </c>
      <c r="CZ135" s="2451">
        <f t="shared" si="212"/>
        <v>1173.8191035297634</v>
      </c>
      <c r="DA135" s="2451">
        <f t="shared" si="212"/>
        <v>1153.4181457410045</v>
      </c>
      <c r="DB135" s="2451">
        <f t="shared" si="212"/>
        <v>1133.3717562817665</v>
      </c>
      <c r="DC135" s="2451">
        <f t="shared" si="212"/>
        <v>1113.6737727599898</v>
      </c>
      <c r="DD135" s="2451">
        <f t="shared" si="212"/>
        <v>1094.3181398858919</v>
      </c>
      <c r="DE135" s="2451">
        <f t="shared" si="212"/>
        <v>1075.2989076105337</v>
      </c>
      <c r="DF135" s="2451">
        <f t="shared" si="212"/>
        <v>1056.6102292967335</v>
      </c>
      <c r="DG135" s="2451">
        <f t="shared" si="212"/>
        <v>1038.2463599217731</v>
      </c>
      <c r="DH135" s="2451">
        <f t="shared" si="212"/>
        <v>1020.2016543113405</v>
      </c>
      <c r="DI135" s="2451">
        <f t="shared" si="212"/>
        <v>1002.4705654041647</v>
      </c>
      <c r="DJ135" s="2451">
        <f t="shared" si="212"/>
        <v>985.04764254681402</v>
      </c>
      <c r="DK135" s="2451">
        <f t="shared" si="212"/>
        <v>967.92752981812828</v>
      </c>
      <c r="DL135" s="2451">
        <f t="shared" si="212"/>
        <v>951.10496438277505</v>
      </c>
      <c r="DM135" s="2451">
        <f t="shared" si="212"/>
        <v>934.57477487341669</v>
      </c>
      <c r="DN135" s="2451">
        <f t="shared" si="212"/>
        <v>918.33187980100058</v>
      </c>
      <c r="DO135" s="2451">
        <f t="shared" si="212"/>
        <v>902.37128599267453</v>
      </c>
      <c r="DP135" s="2451">
        <f t="shared" si="212"/>
        <v>886.68808705685319</v>
      </c>
      <c r="DQ135" s="2451">
        <f t="shared" si="212"/>
        <v>871.27746187496052</v>
      </c>
      <c r="DR135" s="2451">
        <f t="shared" si="212"/>
        <v>856.13467311938666</v>
      </c>
      <c r="DS135" s="2451">
        <f t="shared" si="212"/>
        <v>841.25506579720218</v>
      </c>
      <c r="DT135" s="2451">
        <f t="shared" si="212"/>
        <v>826.63406581918218</v>
      </c>
      <c r="DU135" s="2451">
        <f t="shared" si="212"/>
        <v>812.26717859370126</v>
      </c>
      <c r="DV135" s="2451">
        <f t="shared" si="212"/>
        <v>798.14998764506697</v>
      </c>
      <c r="DW135" s="2451">
        <f t="shared" si="212"/>
        <v>784.27815325586562</v>
      </c>
      <c r="DX135" s="2451">
        <f t="shared" si="212"/>
        <v>770.64741113290506</v>
      </c>
      <c r="DY135" s="2451">
        <f t="shared" si="212"/>
        <v>757.25357109634263</v>
      </c>
      <c r="DZ135" s="2451">
        <f t="shared" si="212"/>
        <v>744.09251579159593</v>
      </c>
      <c r="EA135" s="2451">
        <f t="shared" si="212"/>
        <v>731.1601994236413</v>
      </c>
      <c r="EB135" s="2451">
        <f t="shared" si="212"/>
        <v>718.45264651330979</v>
      </c>
      <c r="EC135" s="2451">
        <f t="shared" si="212"/>
        <v>705.96595067519854</v>
      </c>
      <c r="ED135" s="2451">
        <f t="shared" si="212"/>
        <v>693.69627341682315</v>
      </c>
      <c r="EE135" s="2451">
        <f t="shared" si="212"/>
        <v>681.63984295863759</v>
      </c>
      <c r="EF135" s="2451">
        <f t="shared" si="212"/>
        <v>669.79295307456732</v>
      </c>
      <c r="EG135" s="2451">
        <f t="shared" si="212"/>
        <v>658.15196195268788</v>
      </c>
      <c r="EH135" s="2451">
        <f t="shared" si="212"/>
        <v>646.71329107571057</v>
      </c>
      <c r="EI135" s="2451">
        <f t="shared" si="212"/>
        <v>635.47342412092075</v>
      </c>
      <c r="EJ135" s="2451">
        <f t="shared" si="212"/>
        <v>624.42890587923887</v>
      </c>
      <c r="EK135" s="2451">
        <f t="shared" si="212"/>
        <v>613.5763411930651</v>
      </c>
      <c r="EL135" s="2451">
        <f t="shared" si="212"/>
        <v>602.91239391258591</v>
      </c>
      <c r="EM135" s="2451">
        <f t="shared" si="212"/>
        <v>592.43378587021959</v>
      </c>
      <c r="EN135" s="2451">
        <f t="shared" si="212"/>
        <v>582.1372958728864</v>
      </c>
      <c r="EO135" s="2451">
        <f t="shared" ref="EO135:GZ135" si="213">EN136*$G$26*EO$3</f>
        <v>572.01975871179206</v>
      </c>
      <c r="EP135" s="2451">
        <f t="shared" si="213"/>
        <v>562.07806418942164</v>
      </c>
      <c r="EQ135" s="2451">
        <f t="shared" si="213"/>
        <v>552.30915616344589</v>
      </c>
      <c r="ER135" s="2451">
        <f t="shared" si="213"/>
        <v>542.71003160724035</v>
      </c>
      <c r="ES135" s="2451">
        <f t="shared" si="213"/>
        <v>533.27773968673773</v>
      </c>
      <c r="ET135" s="2451">
        <f t="shared" si="213"/>
        <v>524.00938085332029</v>
      </c>
      <c r="EU135" s="2451">
        <f t="shared" si="213"/>
        <v>514.90210595248084</v>
      </c>
      <c r="EV135" s="2451">
        <f t="shared" si="213"/>
        <v>505.95311534797327</v>
      </c>
      <c r="EW135" s="2451">
        <f t="shared" si="213"/>
        <v>497.15965806118487</v>
      </c>
      <c r="EX135" s="2451">
        <f t="shared" si="213"/>
        <v>488.51903092546951</v>
      </c>
      <c r="EY135" s="2451">
        <f t="shared" si="213"/>
        <v>480.02857775517555</v>
      </c>
      <c r="EZ135" s="2451">
        <f t="shared" si="213"/>
        <v>471.68568852911596</v>
      </c>
      <c r="FA135" s="2451">
        <f t="shared" si="213"/>
        <v>463.48779858823201</v>
      </c>
      <c r="FB135" s="2451">
        <f t="shared" si="213"/>
        <v>455.43238784719898</v>
      </c>
      <c r="FC135" s="2451">
        <f t="shared" si="213"/>
        <v>447.51698001973671</v>
      </c>
      <c r="FD135" s="2451">
        <f t="shared" si="213"/>
        <v>439.73914185738113</v>
      </c>
      <c r="FE135" s="2451">
        <f t="shared" si="213"/>
        <v>432.09648240149011</v>
      </c>
      <c r="FF135" s="2451">
        <f t="shared" si="213"/>
        <v>424.58665224824421</v>
      </c>
      <c r="FG135" s="2451">
        <f t="shared" si="213"/>
        <v>417.20734282642621</v>
      </c>
      <c r="FH135" s="2451">
        <f t="shared" si="213"/>
        <v>409.95628568775174</v>
      </c>
      <c r="FI135" s="2451">
        <f t="shared" si="213"/>
        <v>402.83125180953112</v>
      </c>
      <c r="FJ135" s="2451">
        <f t="shared" si="213"/>
        <v>395.83005090945511</v>
      </c>
      <c r="FK135" s="2451">
        <f t="shared" si="213"/>
        <v>388.95053077228658</v>
      </c>
      <c r="FL135" s="2451">
        <f t="shared" si="213"/>
        <v>382.19057658825591</v>
      </c>
      <c r="FM135" s="2451">
        <f t="shared" si="213"/>
        <v>375.54811030295485</v>
      </c>
      <c r="FN135" s="2451">
        <f t="shared" si="213"/>
        <v>369.02108997852861</v>
      </c>
      <c r="FO135" s="2451">
        <f t="shared" si="213"/>
        <v>362.6075091659697</v>
      </c>
      <c r="FP135" s="2451">
        <f t="shared" si="213"/>
        <v>356.30539628832349</v>
      </c>
      <c r="FQ135" s="2451">
        <f t="shared" si="213"/>
        <v>350.11281403461282</v>
      </c>
      <c r="FR135" s="2451">
        <f t="shared" si="213"/>
        <v>344.02785876429425</v>
      </c>
      <c r="FS135" s="2451">
        <f t="shared" si="213"/>
        <v>338.04865992206879</v>
      </c>
      <c r="FT135" s="2451">
        <f t="shared" si="213"/>
        <v>332.17337946285824</v>
      </c>
      <c r="FU135" s="2451">
        <f t="shared" si="213"/>
        <v>326.40021128677967</v>
      </c>
      <c r="FV135" s="2451">
        <f t="shared" si="213"/>
        <v>320.72738068393801</v>
      </c>
      <c r="FW135" s="2451">
        <f t="shared" si="213"/>
        <v>315.15314378886916</v>
      </c>
      <c r="FX135" s="2451">
        <f t="shared" si="213"/>
        <v>309.67578704446322</v>
      </c>
      <c r="FY135" s="2451">
        <f t="shared" si="213"/>
        <v>304.29362667520621</v>
      </c>
      <c r="FZ135" s="2451">
        <f t="shared" si="213"/>
        <v>299.0050081695764</v>
      </c>
      <c r="GA135" s="2451">
        <f t="shared" si="213"/>
        <v>293.80830577143706</v>
      </c>
      <c r="GB135" s="2451">
        <f t="shared" si="213"/>
        <v>288.70192198026717</v>
      </c>
      <c r="GC135" s="2451">
        <f t="shared" si="213"/>
        <v>283.68428706008046</v>
      </c>
      <c r="GD135" s="2451">
        <f t="shared" si="213"/>
        <v>278.75385855687784</v>
      </c>
      <c r="GE135" s="2451">
        <f t="shared" si="213"/>
        <v>273.90912082448625</v>
      </c>
      <c r="GF135" s="2451">
        <f t="shared" si="213"/>
        <v>269.14858455864027</v>
      </c>
      <c r="GG135" s="2451">
        <f t="shared" si="213"/>
        <v>264.47078633915879</v>
      </c>
      <c r="GH135" s="2451">
        <f t="shared" si="213"/>
        <v>259.87428818008073</v>
      </c>
      <c r="GI135" s="2451">
        <f t="shared" si="213"/>
        <v>255.35767708761924</v>
      </c>
      <c r="GJ135" s="2451">
        <f t="shared" si="213"/>
        <v>250.91956462579722</v>
      </c>
      <c r="GK135" s="2451">
        <f t="shared" si="213"/>
        <v>246.55858648963334</v>
      </c>
      <c r="GL135" s="2451">
        <f t="shared" si="213"/>
        <v>242.27340208574557</v>
      </c>
      <c r="GM135" s="2451">
        <f t="shared" si="213"/>
        <v>238.06269412024454</v>
      </c>
      <c r="GN135" s="2451">
        <f t="shared" si="213"/>
        <v>233.92516819378704</v>
      </c>
      <c r="GO135" s="2451">
        <f t="shared" si="213"/>
        <v>229.85955240367153</v>
      </c>
      <c r="GP135" s="2451">
        <f t="shared" si="213"/>
        <v>225.86459695284503</v>
      </c>
      <c r="GQ135" s="2451">
        <f t="shared" si="213"/>
        <v>221.93907376570812</v>
      </c>
      <c r="GR135" s="2451">
        <f t="shared" si="213"/>
        <v>218.08177611059656</v>
      </c>
      <c r="GS135" s="2451">
        <f t="shared" si="213"/>
        <v>214.29151822882309</v>
      </c>
      <c r="GT135" s="2451">
        <f t="shared" si="213"/>
        <v>210.56713497016833</v>
      </c>
      <c r="GU135" s="2451">
        <f t="shared" si="213"/>
        <v>206.90748143470583</v>
      </c>
      <c r="GV135" s="2451">
        <f t="shared" si="213"/>
        <v>203.31143262085155</v>
      </c>
      <c r="GW135" s="2451">
        <f t="shared" si="213"/>
        <v>199.77788307953151</v>
      </c>
      <c r="GX135" s="2451">
        <f t="shared" si="213"/>
        <v>196.30574657436</v>
      </c>
      <c r="GY135" s="2451">
        <f t="shared" si="213"/>
        <v>192.89395574772274</v>
      </c>
      <c r="GZ135" s="2451">
        <f t="shared" si="213"/>
        <v>189.54146179266414</v>
      </c>
      <c r="HA135" s="2451">
        <f t="shared" ref="HA135:IA135" si="214">GZ136*$G$26*HA$3</f>
        <v>186.24723413047678</v>
      </c>
      <c r="HB135" s="2451">
        <f t="shared" si="214"/>
        <v>183.0102600938954</v>
      </c>
      <c r="HC135" s="2451">
        <f t="shared" si="214"/>
        <v>179.82954461579638</v>
      </c>
      <c r="HD135" s="2451">
        <f t="shared" si="214"/>
        <v>176.70410992330724</v>
      </c>
      <c r="HE135" s="2451">
        <f t="shared" si="214"/>
        <v>173.63299523723234</v>
      </c>
      <c r="HF135" s="2451">
        <f t="shared" si="214"/>
        <v>170.61525647670408</v>
      </c>
      <c r="HG135" s="2451">
        <f t="shared" si="214"/>
        <v>167.64996596896495</v>
      </c>
      <c r="HH135" s="2451">
        <f t="shared" si="214"/>
        <v>164.73621216419636</v>
      </c>
      <c r="HI135" s="2451">
        <f t="shared" si="214"/>
        <v>161.87309935530132</v>
      </c>
      <c r="HJ135" s="2451">
        <f t="shared" si="214"/>
        <v>159.05974740255803</v>
      </c>
      <c r="HK135" s="2451">
        <f t="shared" si="214"/>
        <v>156.29529146305904</v>
      </c>
      <c r="HL135" s="2451">
        <f t="shared" si="214"/>
        <v>153.57888172485377</v>
      </c>
      <c r="HM135" s="2451">
        <f t="shared" si="214"/>
        <v>150.90968314570989</v>
      </c>
      <c r="HN135" s="2451">
        <f t="shared" si="214"/>
        <v>148.28687519641642</v>
      </c>
      <c r="HO135" s="2451">
        <f t="shared" si="214"/>
        <v>145.70965160854672</v>
      </c>
      <c r="HP135" s="2451">
        <f t="shared" si="214"/>
        <v>143.1772201266073</v>
      </c>
      <c r="HQ135" s="2451">
        <f t="shared" si="214"/>
        <v>140.68880226449261</v>
      </c>
      <c r="HR135" s="2451">
        <f t="shared" si="214"/>
        <v>138.24363306617408</v>
      </c>
      <c r="HS135" s="2451">
        <f t="shared" si="214"/>
        <v>135.84096087054604</v>
      </c>
      <c r="HT135" s="2451">
        <f t="shared" si="214"/>
        <v>133.4800470803622</v>
      </c>
      <c r="HU135" s="2451">
        <f t="shared" si="214"/>
        <v>131.16016593518432</v>
      </c>
      <c r="HV135" s="2451">
        <f t="shared" si="214"/>
        <v>128.88060428827998</v>
      </c>
      <c r="HW135" s="2451">
        <f t="shared" si="214"/>
        <v>126.64066138739477</v>
      </c>
      <c r="HX135" s="2451">
        <f t="shared" si="214"/>
        <v>124.43964865933854</v>
      </c>
      <c r="HY135" s="2451">
        <f t="shared" si="214"/>
        <v>122.27688949831168</v>
      </c>
      <c r="HZ135" s="2451">
        <f t="shared" si="214"/>
        <v>120.15171905791371</v>
      </c>
      <c r="IA135" s="2451">
        <f t="shared" si="214"/>
        <v>116.12271444599533</v>
      </c>
    </row>
    <row r="136" spans="3:235">
      <c r="C136" s="2383"/>
      <c r="D136" s="2406" t="s">
        <v>3930</v>
      </c>
      <c r="E136" s="2356"/>
      <c r="F136" s="2356"/>
      <c r="G136" s="2446"/>
      <c r="H136" s="2447">
        <f>H134*3%-IA136</f>
        <v>-3.318555195164663E-2</v>
      </c>
      <c r="I136" s="2459"/>
      <c r="J136" s="2448">
        <f>$H134-SUM($I135:J135)</f>
        <v>222563.86652861774</v>
      </c>
      <c r="K136" s="2447">
        <f>$H134-SUM($I135:K135)</f>
        <v>222563.86652861774</v>
      </c>
      <c r="L136" s="2449">
        <f>$H134-SUM($I135:L135)</f>
        <v>222563.86652861774</v>
      </c>
      <c r="M136" s="2448">
        <f>$H134-SUM($I135:M135)</f>
        <v>222563.86652861774</v>
      </c>
      <c r="N136" s="2447">
        <f>$H134-SUM($I135:N135)</f>
        <v>222563.86652861774</v>
      </c>
      <c r="O136" s="2449">
        <f>$H134-SUM($I135:O135)</f>
        <v>222563.86652861774</v>
      </c>
      <c r="P136" s="2447">
        <f>$H134-SUM($I135:P135)</f>
        <v>222563.86652861774</v>
      </c>
      <c r="Q136" s="2450">
        <f>$H134-SUM($I135:Q135)</f>
        <v>222563.86652861774</v>
      </c>
      <c r="R136" s="2449">
        <f>$H134-SUM($I135:R135)</f>
        <v>222563.86652861774</v>
      </c>
      <c r="S136" s="2447">
        <f>$H134-SUM($I135:S135)</f>
        <v>222563.86652861774</v>
      </c>
      <c r="T136" s="2450">
        <f>$H134-SUM($I135:T135)</f>
        <v>222563.86652861774</v>
      </c>
      <c r="U136" s="2451">
        <f>$H134-SUM($I135:U135)</f>
        <v>222563.86652861774</v>
      </c>
      <c r="V136" s="2451">
        <f>$H134-SUM($I135:V135)</f>
        <v>222563.86652861774</v>
      </c>
      <c r="W136" s="2451">
        <f>$H134-SUM($I135:W135)</f>
        <v>222563.86652861774</v>
      </c>
      <c r="X136" s="2451">
        <f>$H134-SUM($I135:X135)</f>
        <v>222563.86652861774</v>
      </c>
      <c r="Y136" s="2451">
        <f>$H134-SUM($I135:Y135)</f>
        <v>222563.86652861774</v>
      </c>
      <c r="Z136" s="2451">
        <f>$H134-SUM($I135:Z135)</f>
        <v>222563.86652861774</v>
      </c>
      <c r="AA136" s="2451">
        <f>$H134-SUM($I135:AA135)</f>
        <v>222563.86652861774</v>
      </c>
      <c r="AB136" s="2451">
        <f>$H134-SUM($I135:AB135)</f>
        <v>222563.86652861774</v>
      </c>
      <c r="AC136" s="2451">
        <f>$H134-SUM($I135:AC135)</f>
        <v>222563.86652861774</v>
      </c>
      <c r="AD136" s="2451">
        <f>$H134-SUM($I135:AD135)</f>
        <v>222563.86652861774</v>
      </c>
      <c r="AE136" s="2451">
        <f>$H134-SUM($I135:AE135)</f>
        <v>222563.86652861774</v>
      </c>
      <c r="AF136" s="2451">
        <f>$H134-SUM($I135:AF135)</f>
        <v>222563.86652861774</v>
      </c>
      <c r="AG136" s="2451">
        <f>$H134-SUM($I135:AG135)</f>
        <v>222563.86652861774</v>
      </c>
      <c r="AH136" s="2451">
        <f>$H134-SUM($I135:AH135)</f>
        <v>222563.86652861774</v>
      </c>
      <c r="AI136" s="2451">
        <f>$H134-SUM($I135:AI135)</f>
        <v>222500.28039365401</v>
      </c>
      <c r="AJ136" s="2451">
        <f>$H134-SUM($I135:AJ135)</f>
        <v>218633.22897606486</v>
      </c>
      <c r="AK136" s="2451">
        <f>$H134-SUM($I135:AK135)</f>
        <v>214833.38685205425</v>
      </c>
      <c r="AL136" s="2451">
        <f>$H134-SUM($I135:AL135)</f>
        <v>211099.58592514356</v>
      </c>
      <c r="AM136" s="2451">
        <f>$H134-SUM($I135:AM135)</f>
        <v>207430.67840035289</v>
      </c>
      <c r="AN136" s="2451">
        <f>$H134-SUM($I135:AN135)</f>
        <v>203825.53643136131</v>
      </c>
      <c r="AO136" s="2451">
        <f>$H134-SUM($I135:AO135)</f>
        <v>200283.05177379929</v>
      </c>
      <c r="AP136" s="2451">
        <f>$H134-SUM($I135:AP135)</f>
        <v>196802.13544456739</v>
      </c>
      <c r="AQ136" s="2451">
        <f>$H134-SUM($I135:AQ135)</f>
        <v>193381.71738707539</v>
      </c>
      <c r="AR136" s="2451">
        <f>$H134-SUM($I135:AR135)</f>
        <v>190020.74614230011</v>
      </c>
      <c r="AS136" s="2451">
        <f>$H134-SUM($I135:AS135)</f>
        <v>186718.18852555973</v>
      </c>
      <c r="AT136" s="2451">
        <f>$H134-SUM($I135:AT135)</f>
        <v>183473.02930890629</v>
      </c>
      <c r="AU136" s="2451">
        <f>$H134-SUM($I135:AU135)</f>
        <v>180284.2709090377</v>
      </c>
      <c r="AV136" s="2451">
        <f>$H134-SUM($I135:AV135)</f>
        <v>177150.93308063422</v>
      </c>
      <c r="AW136" s="2451">
        <f>$H134-SUM($I135:AW135)</f>
        <v>174072.0526150245</v>
      </c>
      <c r="AX136" s="2451">
        <f>$H134-SUM($I135:AX135)</f>
        <v>171046.683044089</v>
      </c>
      <c r="AY136" s="2451">
        <f>$H134-SUM($I135:AY135)</f>
        <v>168073.8943493093</v>
      </c>
      <c r="AZ136" s="2451">
        <f>$H134-SUM($I135:AZ135)</f>
        <v>165152.7726758745</v>
      </c>
      <c r="BA136" s="2451">
        <f>$H134-SUM($I135:BA135)</f>
        <v>162282.42005175602</v>
      </c>
      <c r="BB136" s="2451">
        <f>$H134-SUM($I135:BB135)</f>
        <v>159461.95411166531</v>
      </c>
      <c r="BC136" s="2451">
        <f>$H134-SUM($I135:BC135)</f>
        <v>156690.50782580869</v>
      </c>
      <c r="BD136" s="2451">
        <f>$H134-SUM($I135:BD135)</f>
        <v>153967.22923335689</v>
      </c>
      <c r="BE136" s="2451">
        <f>$H134-SUM($I135:BE135)</f>
        <v>151291.28118054668</v>
      </c>
      <c r="BF136" s="2451">
        <f>$H134-SUM($I135:BF135)</f>
        <v>148661.84106333417</v>
      </c>
      <c r="BG136" s="2451">
        <f>$H134-SUM($I135:BG135)</f>
        <v>146078.10057452094</v>
      </c>
      <c r="BH136" s="2451">
        <f>$H134-SUM($I135:BH135)</f>
        <v>143539.26545527522</v>
      </c>
      <c r="BI136" s="2451">
        <f>$H134-SUM($I135:BI135)</f>
        <v>141044.55525097135</v>
      </c>
      <c r="BJ136" s="2451">
        <f>$H134-SUM($I135:BJ135)</f>
        <v>138593.20307127287</v>
      </c>
      <c r="BK136" s="2451">
        <f>$H134-SUM($I135:BK135)</f>
        <v>136184.45535438566</v>
      </c>
      <c r="BL136" s="2451">
        <f>$H134-SUM($I135:BL135)</f>
        <v>133817.57163540763</v>
      </c>
      <c r="BM136" s="2451">
        <f>$H134-SUM($I135:BM135)</f>
        <v>131491.82431870536</v>
      </c>
      <c r="BN136" s="2451">
        <f>$H134-SUM($I135:BN135)</f>
        <v>129206.49845424622</v>
      </c>
      <c r="BO136" s="2451">
        <f>$H134-SUM($I135:BO135)</f>
        <v>126960.89151781796</v>
      </c>
      <c r="BP136" s="2451">
        <f>$H134-SUM($I135:BP135)</f>
        <v>124754.3131950683</v>
      </c>
      <c r="BQ136" s="2451">
        <f>$H134-SUM($I135:BQ135)</f>
        <v>122586.08516929766</v>
      </c>
      <c r="BR136" s="2451">
        <f>$H134-SUM($I135:BR135)</f>
        <v>120455.54091294014</v>
      </c>
      <c r="BS136" s="2451">
        <f>$H134-SUM($I135:BS135)</f>
        <v>118362.02548266863</v>
      </c>
      <c r="BT136" s="2451">
        <f>$H134-SUM($I135:BT135)</f>
        <v>116304.89531806085</v>
      </c>
      <c r="BU136" s="2451">
        <f>$H134-SUM($I135:BU135)</f>
        <v>114283.51804376465</v>
      </c>
      <c r="BV136" s="2451">
        <f>$H134-SUM($I135:BV135)</f>
        <v>112297.2722751017</v>
      </c>
      <c r="BW136" s="2451">
        <f>$H134-SUM($I135:BW135)</f>
        <v>110345.54742704972</v>
      </c>
      <c r="BX136" s="2451">
        <f>$H134-SUM($I135:BX135)</f>
        <v>108427.74352654465</v>
      </c>
      <c r="BY136" s="2451">
        <f>$H134-SUM($I135:BY135)</f>
        <v>106543.27102804494</v>
      </c>
      <c r="BZ136" s="2451">
        <f>$H134-SUM($I135:BZ135)</f>
        <v>104691.5506323014</v>
      </c>
      <c r="CA136" s="2451">
        <f>$H134-SUM($I135:CA135)</f>
        <v>102872.01310827681</v>
      </c>
      <c r="CB136" s="2451">
        <f>$H134-SUM($I135:CB135)</f>
        <v>101084.09911816052</v>
      </c>
      <c r="CC136" s="2451">
        <f>$H134-SUM($I135:CC135)</f>
        <v>99327.259045424362</v>
      </c>
      <c r="CD136" s="2451">
        <f>$H134-SUM($I135:CD135)</f>
        <v>97600.952825866858</v>
      </c>
      <c r="CE136" s="2451">
        <f>$H134-SUM($I135:CE135)</f>
        <v>95904.649781594009</v>
      </c>
      <c r="CF136" s="2451">
        <f>$H134-SUM($I135:CF135)</f>
        <v>94237.828457885335</v>
      </c>
      <c r="CG136" s="2451">
        <f>$H134-SUM($I135:CG135)</f>
        <v>92599.976462895298</v>
      </c>
      <c r="CH136" s="2451">
        <f>$H134-SUM($I135:CH135)</f>
        <v>90990.590310140717</v>
      </c>
      <c r="CI136" s="2451">
        <f>$H134-SUM($I135:CI135)</f>
        <v>89409.175263725629</v>
      </c>
      <c r="CJ136" s="2451">
        <f>$H134-SUM($I135:CJ135)</f>
        <v>87855.245186256274</v>
      </c>
      <c r="CK136" s="2451">
        <f>$H134-SUM($I135:CK135)</f>
        <v>86328.322389399225</v>
      </c>
      <c r="CL136" s="2451">
        <f>$H134-SUM($I135:CL135)</f>
        <v>84827.937487036921</v>
      </c>
      <c r="CM136" s="2451">
        <f>$H134-SUM($I135:CM135)</f>
        <v>83353.62925097518</v>
      </c>
      <c r="CN136" s="2451">
        <f>$H134-SUM($I135:CN135)</f>
        <v>81904.944469158712</v>
      </c>
      <c r="CO136" s="2451">
        <f>$H134-SUM($I135:CO135)</f>
        <v>80481.437806350703</v>
      </c>
      <c r="CP136" s="2451">
        <f>$H134-SUM($I135:CP135)</f>
        <v>79082.671667233808</v>
      </c>
      <c r="CQ136" s="2451">
        <f>$H134-SUM($I135:CQ135)</f>
        <v>77708.216061890504</v>
      </c>
      <c r="CR136" s="2451">
        <f>$H134-SUM($I135:CR135)</f>
        <v>76357.648473621404</v>
      </c>
      <c r="CS136" s="2451">
        <f>$H134-SUM($I135:CS135)</f>
        <v>75030.553729060746</v>
      </c>
      <c r="CT136" s="2451">
        <f>$H134-SUM($I135:CT135)</f>
        <v>73726.523870549427</v>
      </c>
      <c r="CU136" s="2451">
        <f>$H134-SUM($I135:CU135)</f>
        <v>72445.158030726161</v>
      </c>
      <c r="CV136" s="2451">
        <f>$H134-SUM($I135:CV135)</f>
        <v>71186.062309298111</v>
      </c>
      <c r="CW136" s="2451">
        <f>$H134-SUM($I135:CW135)</f>
        <v>69948.849651953467</v>
      </c>
      <c r="CX136" s="2451">
        <f>$H134-SUM($I135:CX135)</f>
        <v>68733.139731378324</v>
      </c>
      <c r="CY136" s="2451">
        <f>$H134-SUM($I135:CY135)</f>
        <v>67538.558830341586</v>
      </c>
      <c r="CZ136" s="2451">
        <f>$H134-SUM($I135:CZ135)</f>
        <v>66364.739726811822</v>
      </c>
      <c r="DA136" s="2451">
        <f>$H134-SUM($I135:DA135)</f>
        <v>65211.321581070806</v>
      </c>
      <c r="DB136" s="2451">
        <f>$H134-SUM($I135:DB135)</f>
        <v>64077.949824789044</v>
      </c>
      <c r="DC136" s="2451">
        <f>$H134-SUM($I135:DC135)</f>
        <v>62964.276052029047</v>
      </c>
      <c r="DD136" s="2451">
        <f>$H134-SUM($I135:DD135)</f>
        <v>61869.957912143145</v>
      </c>
      <c r="DE136" s="2451">
        <f>$H134-SUM($I135:DE135)</f>
        <v>60794.659004532616</v>
      </c>
      <c r="DF136" s="2451">
        <f>$H134-SUM($I135:DF135)</f>
        <v>59738.048775235889</v>
      </c>
      <c r="DG136" s="2451">
        <f>$H134-SUM($I135:DG135)</f>
        <v>58699.80241531413</v>
      </c>
      <c r="DH136" s="2451">
        <f>$H134-SUM($I135:DH135)</f>
        <v>57679.600761002803</v>
      </c>
      <c r="DI136" s="2451">
        <f>$H134-SUM($I135:DI135)</f>
        <v>56677.130195598642</v>
      </c>
      <c r="DJ136" s="2451">
        <f>$H134-SUM($I135:DJ135)</f>
        <v>55692.08255305182</v>
      </c>
      <c r="DK136" s="2451">
        <f>$H134-SUM($I135:DK135)</f>
        <v>54724.155023233703</v>
      </c>
      <c r="DL136" s="2451">
        <f>$H134-SUM($I135:DL135)</f>
        <v>53773.050058850931</v>
      </c>
      <c r="DM136" s="2451">
        <f>$H134-SUM($I135:DM135)</f>
        <v>52838.475283977517</v>
      </c>
      <c r="DN136" s="2451">
        <f>$H134-SUM($I135:DN135)</f>
        <v>51920.143404176517</v>
      </c>
      <c r="DO136" s="2451">
        <f>$H134-SUM($I135:DO135)</f>
        <v>51017.772118183842</v>
      </c>
      <c r="DP136" s="2451">
        <f>$H134-SUM($I135:DP135)</f>
        <v>50131.084031126986</v>
      </c>
      <c r="DQ136" s="2451">
        <f>$H134-SUM($I135:DQ135)</f>
        <v>49259.806569252018</v>
      </c>
      <c r="DR136" s="2451">
        <f>$H134-SUM($I135:DR135)</f>
        <v>48403.671896132641</v>
      </c>
      <c r="DS136" s="2451">
        <f>$H134-SUM($I135:DS135)</f>
        <v>47562.416830335453</v>
      </c>
      <c r="DT136" s="2451">
        <f>$H134-SUM($I135:DT135)</f>
        <v>46735.782764516276</v>
      </c>
      <c r="DU136" s="2451">
        <f>$H134-SUM($I135:DU135)</f>
        <v>45923.515585922578</v>
      </c>
      <c r="DV136" s="2451">
        <f>$H134-SUM($I135:DV135)</f>
        <v>45125.365598277509</v>
      </c>
      <c r="DW136" s="2451">
        <f>$H134-SUM($I135:DW135)</f>
        <v>44341.087445021636</v>
      </c>
      <c r="DX136" s="2451">
        <f>$H134-SUM($I135:DX135)</f>
        <v>43570.440033888735</v>
      </c>
      <c r="DY136" s="2451">
        <f>$H134-SUM($I135:DY135)</f>
        <v>42813.186462792393</v>
      </c>
      <c r="DZ136" s="2451">
        <f>$H134-SUM($I135:DZ135)</f>
        <v>42069.093947000802</v>
      </c>
      <c r="EA136" s="2451">
        <f>$H134-SUM($I135:EA135)</f>
        <v>41337.933747577161</v>
      </c>
      <c r="EB136" s="2451">
        <f>$H134-SUM($I135:EB135)</f>
        <v>40619.481101063837</v>
      </c>
      <c r="EC136" s="2451">
        <f>$H134-SUM($I135:EC135)</f>
        <v>39913.515150388645</v>
      </c>
      <c r="ED136" s="2451">
        <f>$H134-SUM($I135:ED135)</f>
        <v>39219.818876971811</v>
      </c>
      <c r="EE136" s="2451">
        <f>$H134-SUM($I135:EE135)</f>
        <v>38538.179034013185</v>
      </c>
      <c r="EF136" s="2451">
        <f>$H134-SUM($I135:EF135)</f>
        <v>37868.386080938624</v>
      </c>
      <c r="EG136" s="2451">
        <f>$H134-SUM($I135:EG135)</f>
        <v>37210.234118985943</v>
      </c>
      <c r="EH136" s="2451">
        <f>$H134-SUM($I135:EH135)</f>
        <v>36563.520827910223</v>
      </c>
      <c r="EI136" s="2451">
        <f>$H134-SUM($I135:EI135)</f>
        <v>35928.0474037893</v>
      </c>
      <c r="EJ136" s="2451">
        <f>$H134-SUM($I135:EJ135)</f>
        <v>35303.618497910065</v>
      </c>
      <c r="EK136" s="2451">
        <f>$H134-SUM($I135:EK135)</f>
        <v>34690.042156717012</v>
      </c>
      <c r="EL136" s="2451">
        <f>$H134-SUM($I135:EL135)</f>
        <v>34087.129762804427</v>
      </c>
      <c r="EM136" s="2451">
        <f>$H134-SUM($I135:EM135)</f>
        <v>33494.695976934221</v>
      </c>
      <c r="EN136" s="2451">
        <f>$H134-SUM($I135:EN135)</f>
        <v>32912.558681061346</v>
      </c>
      <c r="EO136" s="2451">
        <f>$H134-SUM($I135:EO135)</f>
        <v>32340.538922349544</v>
      </c>
      <c r="EP136" s="2451">
        <f>$H134-SUM($I135:EP135)</f>
        <v>31778.460858160135</v>
      </c>
      <c r="EQ136" s="2451">
        <f>$H134-SUM($I135:EQ135)</f>
        <v>31226.151701996685</v>
      </c>
      <c r="ER136" s="2451">
        <f>$H134-SUM($I135:ER135)</f>
        <v>30683.441670389439</v>
      </c>
      <c r="ES136" s="2451">
        <f>$H134-SUM($I135:ES135)</f>
        <v>30150.163930702693</v>
      </c>
      <c r="ET136" s="2451">
        <f>$H134-SUM($I135:ET135)</f>
        <v>29626.154549849365</v>
      </c>
      <c r="EU136" s="2451">
        <f>$H134-SUM($I135:EU135)</f>
        <v>29111.252443896898</v>
      </c>
      <c r="EV136" s="2451">
        <f>$H134-SUM($I135:EV135)</f>
        <v>28605.299328548921</v>
      </c>
      <c r="EW136" s="2451">
        <f>$H134-SUM($I135:EW135)</f>
        <v>28108.139670487726</v>
      </c>
      <c r="EX136" s="2451">
        <f>$H134-SUM($I135:EX135)</f>
        <v>27619.620639562258</v>
      </c>
      <c r="EY136" s="2451">
        <f>$H134-SUM($I135:EY135)</f>
        <v>27139.592061807081</v>
      </c>
      <c r="EZ136" s="2451">
        <f>$H134-SUM($I135:EZ135)</f>
        <v>26667.906373277976</v>
      </c>
      <c r="FA136" s="2451">
        <f>$H134-SUM($I135:FA135)</f>
        <v>26204.418574689742</v>
      </c>
      <c r="FB136" s="2451">
        <f>$H134-SUM($I135:FB135)</f>
        <v>25748.986186842551</v>
      </c>
      <c r="FC136" s="2451">
        <f>$H134-SUM($I135:FC135)</f>
        <v>25301.469206822803</v>
      </c>
      <c r="FD136" s="2451">
        <f>$H134-SUM($I135:FD135)</f>
        <v>24861.730064965435</v>
      </c>
      <c r="FE136" s="2451">
        <f>$H134-SUM($I135:FE135)</f>
        <v>24429.633582563954</v>
      </c>
      <c r="FF136" s="2451">
        <f>$H134-SUM($I135:FF135)</f>
        <v>24005.046930315701</v>
      </c>
      <c r="FG136" s="2451">
        <f>$H134-SUM($I135:FG135)</f>
        <v>23587.839587489289</v>
      </c>
      <c r="FH136" s="2451">
        <f>$H134-SUM($I135:FH135)</f>
        <v>23177.883301801543</v>
      </c>
      <c r="FI136" s="2451">
        <f>$H134-SUM($I135:FI135)</f>
        <v>22775.052049992024</v>
      </c>
      <c r="FJ136" s="2451">
        <f>$H134-SUM($I135:FJ135)</f>
        <v>22379.221999082569</v>
      </c>
      <c r="FK136" s="2451">
        <f>$H134-SUM($I135:FK135)</f>
        <v>21990.271468310268</v>
      </c>
      <c r="FL136" s="2451">
        <f>$H134-SUM($I135:FL135)</f>
        <v>21608.080891721998</v>
      </c>
      <c r="FM136" s="2451">
        <f>$H134-SUM($I135:FM135)</f>
        <v>21232.532781419053</v>
      </c>
      <c r="FN136" s="2451">
        <f>$H134-SUM($I135:FN135)</f>
        <v>20863.511691440537</v>
      </c>
      <c r="FO136" s="2451">
        <f>$H134-SUM($I135:FO135)</f>
        <v>20500.904182274564</v>
      </c>
      <c r="FP136" s="2451">
        <f>$H134-SUM($I135:FP135)</f>
        <v>20144.598785986251</v>
      </c>
      <c r="FQ136" s="2451">
        <f>$H134-SUM($I135:FQ135)</f>
        <v>19794.485971951624</v>
      </c>
      <c r="FR136" s="2451">
        <f>$H134-SUM($I135:FR135)</f>
        <v>19450.458113187342</v>
      </c>
      <c r="FS136" s="2451">
        <f>$H134-SUM($I135:FS135)</f>
        <v>19112.409453265282</v>
      </c>
      <c r="FT136" s="2451">
        <f>$H134-SUM($I135:FT135)</f>
        <v>18780.236073802429</v>
      </c>
      <c r="FU136" s="2451">
        <f>$H134-SUM($I135:FU135)</f>
        <v>18453.83586251564</v>
      </c>
      <c r="FV136" s="2451">
        <f>$H134-SUM($I135:FV135)</f>
        <v>18133.108481831703</v>
      </c>
      <c r="FW136" s="2451">
        <f>$H134-SUM($I135:FW135)</f>
        <v>17817.955338042841</v>
      </c>
      <c r="FX136" s="2451">
        <f>$H134-SUM($I135:FX135)</f>
        <v>17508.279550998384</v>
      </c>
      <c r="FY136" s="2451">
        <f>$H134-SUM($I135:FY135)</f>
        <v>17203.985924323177</v>
      </c>
      <c r="FZ136" s="2451">
        <f>$H134-SUM($I135:FZ135)</f>
        <v>16904.98091615361</v>
      </c>
      <c r="GA136" s="2451">
        <f>$H134-SUM($I135:GA135)</f>
        <v>16611.172610382171</v>
      </c>
      <c r="GB136" s="2451">
        <f>$H134-SUM($I135:GB135)</f>
        <v>16322.470688401896</v>
      </c>
      <c r="GC136" s="2451">
        <f>$H134-SUM($I135:GC135)</f>
        <v>16038.786401341815</v>
      </c>
      <c r="GD136" s="2451">
        <f>$H134-SUM($I135:GD135)</f>
        <v>15760.032542784931</v>
      </c>
      <c r="GE136" s="2451">
        <f>$H134-SUM($I135:GE135)</f>
        <v>15486.123421960452</v>
      </c>
      <c r="GF136" s="2451">
        <f>$H134-SUM($I135:GF135)</f>
        <v>15216.974837401824</v>
      </c>
      <c r="GG136" s="2451">
        <f>$H134-SUM($I135:GG135)</f>
        <v>14952.504051062657</v>
      </c>
      <c r="GH136" s="2451">
        <f>$H134-SUM($I135:GH135)</f>
        <v>14692.629762882571</v>
      </c>
      <c r="GI136" s="2451">
        <f>$H134-SUM($I135:GI135)</f>
        <v>14437.272085794946</v>
      </c>
      <c r="GJ136" s="2451">
        <f>$H134-SUM($I135:GJ135)</f>
        <v>14186.352521169145</v>
      </c>
      <c r="GK136" s="2451">
        <f>$H134-SUM($I135:GK135)</f>
        <v>13939.793934679503</v>
      </c>
      <c r="GL136" s="2451">
        <f>$H134-SUM($I135:GL135)</f>
        <v>13697.520532593771</v>
      </c>
      <c r="GM136" s="2451">
        <f>$H134-SUM($I135:GM135)</f>
        <v>13459.457838473521</v>
      </c>
      <c r="GN136" s="2451">
        <f>$H134-SUM($I135:GN135)</f>
        <v>13225.532670279732</v>
      </c>
      <c r="GO136" s="2451">
        <f>$H134-SUM($I135:GO135)</f>
        <v>12995.673117876053</v>
      </c>
      <c r="GP136" s="2451">
        <f>$H134-SUM($I135:GP135)</f>
        <v>12769.808520923194</v>
      </c>
      <c r="GQ136" s="2451">
        <f>$H134-SUM($I135:GQ135)</f>
        <v>12547.869447157485</v>
      </c>
      <c r="GR136" s="2451">
        <f>$H134-SUM($I135:GR135)</f>
        <v>12329.787671046884</v>
      </c>
      <c r="GS136" s="2451">
        <f>$H134-SUM($I135:GS135)</f>
        <v>12115.496152818057</v>
      </c>
      <c r="GT136" s="2451">
        <f>$H134-SUM($I135:GT135)</f>
        <v>11904.929017847899</v>
      </c>
      <c r="GU136" s="2451">
        <f>$H134-SUM($I135:GU135)</f>
        <v>11698.021536413202</v>
      </c>
      <c r="GV136" s="2451">
        <f>$H134-SUM($I135:GV135)</f>
        <v>11494.710103792342</v>
      </c>
      <c r="GW136" s="2451">
        <f>$H134-SUM($I135:GW135)</f>
        <v>11294.932220712799</v>
      </c>
      <c r="GX136" s="2451">
        <f>$H134-SUM($I135:GX135)</f>
        <v>11098.626474138437</v>
      </c>
      <c r="GY136" s="2451">
        <f>$H134-SUM($I135:GY135)</f>
        <v>10905.732518390723</v>
      </c>
      <c r="GZ136" s="2451">
        <f>$H134-SUM($I135:GZ135)</f>
        <v>10716.191056598065</v>
      </c>
      <c r="HA136" s="2451">
        <f>$H134-SUM($I135:HA135)</f>
        <v>10529.943822467583</v>
      </c>
      <c r="HB136" s="2451">
        <f>$H134-SUM($I135:HB135)</f>
        <v>10346.933562373684</v>
      </c>
      <c r="HC136" s="2451">
        <f>$H134-SUM($I135:HC135)</f>
        <v>10167.104017757898</v>
      </c>
      <c r="HD136" s="2451">
        <f>$H134-SUM($I135:HD135)</f>
        <v>9990.3999078345951</v>
      </c>
      <c r="HE136" s="2451">
        <f>$H134-SUM($I135:HE135)</f>
        <v>9816.7669125973771</v>
      </c>
      <c r="HF136" s="2451">
        <f>$H134-SUM($I135:HF135)</f>
        <v>9646.1516561206663</v>
      </c>
      <c r="HG136" s="2451">
        <f>$H134-SUM($I135:HG135)</f>
        <v>9478.5016901516938</v>
      </c>
      <c r="HH136" s="2451">
        <f>$H134-SUM($I135:HH135)</f>
        <v>9313.7654779875011</v>
      </c>
      <c r="HI136" s="2451">
        <f>$H134-SUM($I135:HI135)</f>
        <v>9151.8923786322121</v>
      </c>
      <c r="HJ136" s="2451">
        <f>$H134-SUM($I135:HJ135)</f>
        <v>8992.8326312296558</v>
      </c>
      <c r="HK136" s="2451">
        <f>$H134-SUM($I135:HK135)</f>
        <v>8836.5373397665971</v>
      </c>
      <c r="HL136" s="2451">
        <f>$H134-SUM($I135:HL135)</f>
        <v>8682.9584580417431</v>
      </c>
      <c r="HM136" s="2451">
        <f>$H134-SUM($I135:HM135)</f>
        <v>8532.0487748960441</v>
      </c>
      <c r="HN136" s="2451">
        <f>$H134-SUM($I135:HN135)</f>
        <v>8383.7618996996316</v>
      </c>
      <c r="HO136" s="2451">
        <f>$H134-SUM($I135:HO135)</f>
        <v>8238.0522480910877</v>
      </c>
      <c r="HP136" s="2451">
        <f>$H134-SUM($I135:HP135)</f>
        <v>8094.8750279644737</v>
      </c>
      <c r="HQ136" s="2451">
        <f>$H134-SUM($I135:HQ135)</f>
        <v>7954.1862256999884</v>
      </c>
      <c r="HR136" s="2451">
        <f>$H134-SUM($I135:HR135)</f>
        <v>7815.9425926338008</v>
      </c>
      <c r="HS136" s="2451">
        <f>$H134-SUM($I135:HS135)</f>
        <v>7680.1016317632457</v>
      </c>
      <c r="HT136" s="2451">
        <f>$H134-SUM($I135:HT135)</f>
        <v>7546.6215846828709</v>
      </c>
      <c r="HU136" s="2451">
        <f>$H134-SUM($I135:HU135)</f>
        <v>7415.4614187476982</v>
      </c>
      <c r="HV136" s="2451">
        <f>$H134-SUM($I135:HV135)</f>
        <v>7286.5808144594193</v>
      </c>
      <c r="HW136" s="2451">
        <f>$H134-SUM($I135:HW135)</f>
        <v>7159.9401530720352</v>
      </c>
      <c r="HX136" s="2451">
        <f>$H134-SUM($I135:HX135)</f>
        <v>7035.5005044126883</v>
      </c>
      <c r="HY136" s="2451">
        <f>$H134-SUM($I135:HY135)</f>
        <v>6913.2236149143719</v>
      </c>
      <c r="HZ136" s="2451">
        <f>$H134-SUM($I135:HZ135)</f>
        <v>6793.0718958564685</v>
      </c>
      <c r="IA136" s="2451">
        <f>$H134-SUM($I135:IA135)</f>
        <v>6676.949181410484</v>
      </c>
    </row>
    <row r="137" spans="3:235">
      <c r="C137" s="2383"/>
      <c r="D137" s="2406" t="s">
        <v>3931</v>
      </c>
      <c r="E137" s="2356"/>
      <c r="F137" s="2356"/>
      <c r="G137" s="2461"/>
      <c r="H137" s="2447"/>
      <c r="I137" s="2459"/>
      <c r="J137" s="2655">
        <f t="shared" ref="J137:AO137" si="215">J$28</f>
        <v>0</v>
      </c>
      <c r="K137" s="2462">
        <f t="shared" si="215"/>
        <v>0</v>
      </c>
      <c r="L137" s="2464">
        <f t="shared" si="215"/>
        <v>0</v>
      </c>
      <c r="M137" s="2655">
        <f t="shared" si="215"/>
        <v>0</v>
      </c>
      <c r="N137" s="2462">
        <f t="shared" si="215"/>
        <v>0</v>
      </c>
      <c r="O137" s="2464">
        <f t="shared" si="215"/>
        <v>0</v>
      </c>
      <c r="P137" s="2462">
        <f t="shared" si="215"/>
        <v>0</v>
      </c>
      <c r="Q137" s="2463">
        <f t="shared" si="215"/>
        <v>0</v>
      </c>
      <c r="R137" s="2464">
        <f t="shared" si="215"/>
        <v>0</v>
      </c>
      <c r="S137" s="2462">
        <f t="shared" si="215"/>
        <v>0</v>
      </c>
      <c r="T137" s="2463">
        <f t="shared" si="215"/>
        <v>0</v>
      </c>
      <c r="U137" s="2465">
        <f t="shared" si="215"/>
        <v>0</v>
      </c>
      <c r="V137" s="2465">
        <f t="shared" si="215"/>
        <v>0</v>
      </c>
      <c r="W137" s="2465">
        <f t="shared" si="215"/>
        <v>0</v>
      </c>
      <c r="X137" s="2465">
        <f t="shared" si="215"/>
        <v>0</v>
      </c>
      <c r="Y137" s="2465">
        <f t="shared" si="215"/>
        <v>0</v>
      </c>
      <c r="Z137" s="2465">
        <f t="shared" si="215"/>
        <v>0</v>
      </c>
      <c r="AA137" s="2465">
        <f t="shared" si="215"/>
        <v>0</v>
      </c>
      <c r="AB137" s="2465">
        <f t="shared" si="215"/>
        <v>0</v>
      </c>
      <c r="AC137" s="2465">
        <f t="shared" si="215"/>
        <v>0</v>
      </c>
      <c r="AD137" s="2465">
        <f t="shared" si="215"/>
        <v>0</v>
      </c>
      <c r="AE137" s="2465">
        <f t="shared" si="215"/>
        <v>0</v>
      </c>
      <c r="AF137" s="2465">
        <f t="shared" si="215"/>
        <v>0</v>
      </c>
      <c r="AG137" s="2465">
        <f t="shared" si="215"/>
        <v>0</v>
      </c>
      <c r="AH137" s="2465">
        <f t="shared" si="215"/>
        <v>0</v>
      </c>
      <c r="AI137" s="2465">
        <f t="shared" si="215"/>
        <v>0</v>
      </c>
      <c r="AJ137" s="2465">
        <f t="shared" si="215"/>
        <v>1.0079961809285116</v>
      </c>
      <c r="AK137" s="2465">
        <f t="shared" si="215"/>
        <v>1.0106217925766798</v>
      </c>
      <c r="AL137" s="2465">
        <f t="shared" si="215"/>
        <v>1.0227950829454588</v>
      </c>
      <c r="AM137" s="2465">
        <f t="shared" si="215"/>
        <v>1.0268528464017186</v>
      </c>
      <c r="AN137" s="2465">
        <f t="shared" si="215"/>
        <v>1.0423678243227115</v>
      </c>
      <c r="AO137" s="2465">
        <f t="shared" si="215"/>
        <v>1.0412937104666427</v>
      </c>
      <c r="AP137" s="2465">
        <f t="shared" ref="AP137:BU137" si="216">AP$28</f>
        <v>1.0650435612841627</v>
      </c>
      <c r="AQ137" s="2465">
        <f t="shared" si="216"/>
        <v>1.0701754385964912</v>
      </c>
      <c r="AR137" s="2465">
        <f t="shared" si="216"/>
        <v>1.0815133070772169</v>
      </c>
      <c r="AS137" s="2465">
        <f t="shared" si="216"/>
        <v>1.0846163026614153</v>
      </c>
      <c r="AT137" s="2465">
        <f t="shared" si="216"/>
        <v>1.093328559493973</v>
      </c>
      <c r="AU137" s="2465">
        <f t="shared" si="216"/>
        <v>1.0936865974459959</v>
      </c>
      <c r="AV137" s="2465">
        <f t="shared" si="216"/>
        <v>1.1040696980546605</v>
      </c>
      <c r="AW137" s="2465">
        <f t="shared" si="216"/>
        <v>1.1001312805824084</v>
      </c>
      <c r="AX137" s="2465">
        <f t="shared" si="216"/>
        <v>1.1093209213509965</v>
      </c>
      <c r="AY137" s="2465">
        <f t="shared" si="216"/>
        <v>1.106456617734813</v>
      </c>
      <c r="AZ137" s="2465">
        <f t="shared" si="216"/>
        <v>1.1149301825993554</v>
      </c>
      <c r="BA137" s="2465">
        <f t="shared" si="216"/>
        <v>1.1126626089032103</v>
      </c>
      <c r="BB137" s="2465">
        <f t="shared" si="216"/>
        <v>1.1236424394319131</v>
      </c>
      <c r="BC137" s="2465">
        <f t="shared" si="216"/>
        <v>1.1248358992719893</v>
      </c>
      <c r="BD137" s="2465">
        <f t="shared" si="216"/>
        <v>1.1277002028881726</v>
      </c>
      <c r="BE137" s="2465">
        <f t="shared" si="216"/>
        <v>1.1219715956558061</v>
      </c>
      <c r="BF137" s="2465">
        <f t="shared" si="216"/>
        <v>1.1290130087122567</v>
      </c>
      <c r="BG137" s="2465">
        <f t="shared" si="216"/>
        <v>1.1327127342164935</v>
      </c>
      <c r="BH137" s="2465">
        <f t="shared" si="216"/>
        <v>1.1334288101205394</v>
      </c>
      <c r="BI137" s="2465">
        <f t="shared" si="216"/>
        <v>1.1346222699606157</v>
      </c>
      <c r="BJ137" s="2465">
        <f t="shared" si="216"/>
        <v>1.1384413414488601</v>
      </c>
      <c r="BK137" s="2465">
        <f t="shared" si="216"/>
        <v>1.1410669530970281</v>
      </c>
      <c r="BL137" s="2465">
        <f t="shared" si="216"/>
        <v>1.148705096073517</v>
      </c>
      <c r="BM137" s="2465">
        <f t="shared" si="216"/>
        <v>1.1497792099295858</v>
      </c>
      <c r="BN137" s="2465">
        <f t="shared" si="216"/>
        <v>1.1644587659625252</v>
      </c>
      <c r="BO137" s="2465">
        <f t="shared" si="216"/>
        <v>1.1617138083303495</v>
      </c>
      <c r="BP137" s="2465">
        <f t="shared" si="216"/>
        <v>1.1716195250029835</v>
      </c>
      <c r="BQ137" s="2465">
        <f t="shared" si="216"/>
        <v>1.1660102637546246</v>
      </c>
      <c r="BR137" s="2465">
        <f t="shared" si="216"/>
        <v>1.1785415920754265</v>
      </c>
      <c r="BS137" s="2465">
        <f t="shared" si="216"/>
        <v>1.1788996300274495</v>
      </c>
      <c r="BT137" s="2465">
        <f t="shared" si="216"/>
        <v>1.1960854517245494</v>
      </c>
      <c r="BU137" s="2465">
        <f t="shared" si="216"/>
        <v>1.1814058956916098</v>
      </c>
      <c r="BV137" s="2465">
        <f t="shared" ref="BV137:DA137" si="217">BV$28</f>
        <v>1.1829573934837092</v>
      </c>
      <c r="BW137" s="2465">
        <f t="shared" si="217"/>
        <v>1.1873731948919917</v>
      </c>
      <c r="BX137" s="2465">
        <f t="shared" si="217"/>
        <v>1.190953574412221</v>
      </c>
      <c r="BY137" s="2465">
        <f t="shared" si="217"/>
        <v>1.1901181525241675</v>
      </c>
      <c r="BZ137" s="2465">
        <f t="shared" si="217"/>
        <v>1.1927437641723355</v>
      </c>
      <c r="CA137" s="2465">
        <f t="shared" si="217"/>
        <v>1.1899988065401597</v>
      </c>
      <c r="CB137" s="2465">
        <f t="shared" si="217"/>
        <v>1.2022914428929465</v>
      </c>
      <c r="CC137" s="2465">
        <f t="shared" si="217"/>
        <v>1.1973982575486333</v>
      </c>
      <c r="CD137" s="2465">
        <f t="shared" si="217"/>
        <v>1.2154195011337867</v>
      </c>
      <c r="CE137" s="2465">
        <f t="shared" si="217"/>
        <v>1.2179257667979471</v>
      </c>
      <c r="CF137" s="2465">
        <f t="shared" si="217"/>
        <v>1.2312925170068028</v>
      </c>
      <c r="CG137" s="2465">
        <f t="shared" si="217"/>
        <v>1.2416756176154673</v>
      </c>
      <c r="CH137" s="2465">
        <f t="shared" ca="1" si="217"/>
        <v>1.2463059364258169</v>
      </c>
      <c r="CI137" s="2465">
        <f t="shared" ca="1" si="217"/>
        <v>1.250953522106822</v>
      </c>
      <c r="CJ137" s="2465">
        <f t="shared" ca="1" si="217"/>
        <v>1.255618439048179</v>
      </c>
      <c r="CK137" s="2465">
        <f t="shared" ca="1" si="217"/>
        <v>1.2603007518796991</v>
      </c>
      <c r="CL137" s="2465">
        <f t="shared" ca="1" si="217"/>
        <v>1.2650005254722041</v>
      </c>
      <c r="CM137" s="2465">
        <f t="shared" ca="1" si="217"/>
        <v>1.2697178249384242</v>
      </c>
      <c r="CN137" s="2465">
        <f t="shared" ca="1" si="217"/>
        <v>1.2744527156339016</v>
      </c>
      <c r="CO137" s="2465">
        <f t="shared" ca="1" si="217"/>
        <v>1.2792052631578945</v>
      </c>
      <c r="CP137" s="2465">
        <f t="shared" ca="1" si="217"/>
        <v>1.283975533354287</v>
      </c>
      <c r="CQ137" s="2465">
        <f t="shared" ca="1" si="217"/>
        <v>1.2887635923125005</v>
      </c>
      <c r="CR137" s="2465">
        <f t="shared" ca="1" si="217"/>
        <v>1.2935695063684101</v>
      </c>
      <c r="CS137" s="2465">
        <f t="shared" ca="1" si="217"/>
        <v>1.2983933421052629</v>
      </c>
      <c r="CT137" s="2465">
        <f t="shared" ca="1" si="217"/>
        <v>1.3032351663546011</v>
      </c>
      <c r="CU137" s="2465">
        <f t="shared" ca="1" si="217"/>
        <v>1.3080950461971879</v>
      </c>
      <c r="CV137" s="2465">
        <f t="shared" ca="1" si="217"/>
        <v>1.312973048963936</v>
      </c>
      <c r="CW137" s="2465">
        <f t="shared" ca="1" si="217"/>
        <v>1.3178692422368417</v>
      </c>
      <c r="CX137" s="2465">
        <f t="shared" ca="1" si="217"/>
        <v>1.32278369384992</v>
      </c>
      <c r="CY137" s="2465">
        <f t="shared" ca="1" si="217"/>
        <v>1.3277164718901455</v>
      </c>
      <c r="CZ137" s="2465">
        <f t="shared" ca="1" si="217"/>
        <v>1.3326676446983949</v>
      </c>
      <c r="DA137" s="2465">
        <f t="shared" ca="1" si="217"/>
        <v>1.3376372808703942</v>
      </c>
      <c r="DB137" s="2465">
        <f t="shared" ref="DB137:EG137" ca="1" si="218">DB$28</f>
        <v>1.3426254492576688</v>
      </c>
      <c r="DC137" s="2465">
        <f t="shared" ca="1" si="218"/>
        <v>1.3476322189684977</v>
      </c>
      <c r="DD137" s="2465">
        <f t="shared" ca="1" si="218"/>
        <v>1.3526576593688708</v>
      </c>
      <c r="DE137" s="2465">
        <f t="shared" ca="1" si="218"/>
        <v>1.35770184008345</v>
      </c>
      <c r="DF137" s="2465">
        <f t="shared" ca="1" si="218"/>
        <v>1.3627648309965337</v>
      </c>
      <c r="DG137" s="2465">
        <f t="shared" ca="1" si="218"/>
        <v>1.367846702253025</v>
      </c>
      <c r="DH137" s="2465">
        <f t="shared" ca="1" si="218"/>
        <v>1.3729475242594036</v>
      </c>
      <c r="DI137" s="2465">
        <f t="shared" ca="1" si="218"/>
        <v>1.3780673676847015</v>
      </c>
      <c r="DJ137" s="2465">
        <f t="shared" ca="1" si="218"/>
        <v>1.3832063034614814</v>
      </c>
      <c r="DK137" s="2465">
        <f t="shared" ca="1" si="218"/>
        <v>1.3883644027868201</v>
      </c>
      <c r="DL137" s="2465">
        <f t="shared" ca="1" si="218"/>
        <v>1.3935417371232945</v>
      </c>
      <c r="DM137" s="2465">
        <f t="shared" ca="1" si="218"/>
        <v>1.3987383781999718</v>
      </c>
      <c r="DN137" s="2465">
        <f t="shared" ca="1" si="218"/>
        <v>1.4039543980134035</v>
      </c>
      <c r="DO137" s="2465">
        <f t="shared" ca="1" si="218"/>
        <v>1.4091898688286222</v>
      </c>
      <c r="DP137" s="2465">
        <f t="shared" ca="1" si="218"/>
        <v>1.4144448631801436</v>
      </c>
      <c r="DQ137" s="2465">
        <f t="shared" ca="1" si="218"/>
        <v>1.4197194538729712</v>
      </c>
      <c r="DR137" s="2465">
        <f t="shared" ca="1" si="218"/>
        <v>1.4250137139836043</v>
      </c>
      <c r="DS137" s="2465">
        <f t="shared" ca="1" si="218"/>
        <v>1.4303277168610513</v>
      </c>
      <c r="DT137" s="2465">
        <f t="shared" ca="1" si="218"/>
        <v>1.4356615361278457</v>
      </c>
      <c r="DU137" s="2465">
        <f t="shared" ca="1" si="218"/>
        <v>1.4410152456810656</v>
      </c>
      <c r="DV137" s="2465">
        <f t="shared" ca="1" si="218"/>
        <v>1.4463889196933581</v>
      </c>
      <c r="DW137" s="2465">
        <f t="shared" ca="1" si="218"/>
        <v>1.4517826326139669</v>
      </c>
      <c r="DX137" s="2465">
        <f t="shared" ca="1" si="218"/>
        <v>1.4571964591697633</v>
      </c>
      <c r="DY137" s="2465">
        <f t="shared" ca="1" si="218"/>
        <v>1.4626304743662815</v>
      </c>
      <c r="DZ137" s="2465">
        <f t="shared" ca="1" si="218"/>
        <v>1.4680847534887584</v>
      </c>
      <c r="EA137" s="2465">
        <f t="shared" ca="1" si="218"/>
        <v>1.4735593721031763</v>
      </c>
      <c r="EB137" s="2465">
        <f t="shared" ca="1" si="218"/>
        <v>1.4790544060573094</v>
      </c>
      <c r="EC137" s="2465">
        <f t="shared" ca="1" si="218"/>
        <v>1.4845699314817755</v>
      </c>
      <c r="ED137" s="2465">
        <f t="shared" ca="1" si="218"/>
        <v>1.4901060247910896</v>
      </c>
      <c r="EE137" s="2465">
        <f t="shared" ca="1" si="218"/>
        <v>1.4956627626847236</v>
      </c>
      <c r="EF137" s="2465">
        <f t="shared" ca="1" si="218"/>
        <v>1.5012402221481689</v>
      </c>
      <c r="EG137" s="2465">
        <f t="shared" ca="1" si="218"/>
        <v>1.5068384804540018</v>
      </c>
      <c r="EH137" s="2465">
        <f t="shared" ref="EH137:GS137" ca="1" si="219">EH$28</f>
        <v>1.5124576151629556</v>
      </c>
      <c r="EI137" s="2465">
        <f t="shared" ca="1" si="219"/>
        <v>1.5180977041249943</v>
      </c>
      <c r="EJ137" s="2465">
        <f t="shared" ca="1" si="219"/>
        <v>1.5237588254803913</v>
      </c>
      <c r="EK137" s="2465">
        <f t="shared" ca="1" si="219"/>
        <v>1.5294410576608117</v>
      </c>
      <c r="EL137" s="2465">
        <f t="shared" ca="1" si="219"/>
        <v>1.5351444793903999</v>
      </c>
      <c r="EM137" s="2465">
        <f t="shared" ca="1" si="219"/>
        <v>1.540869169686869</v>
      </c>
      <c r="EN137" s="2465">
        <f t="shared" ca="1" si="219"/>
        <v>1.5466152078625968</v>
      </c>
      <c r="EO137" s="2465">
        <f t="shared" ca="1" si="219"/>
        <v>1.5523826735257236</v>
      </c>
      <c r="EP137" s="2465">
        <f t="shared" ca="1" si="219"/>
        <v>1.5581716465812556</v>
      </c>
      <c r="EQ137" s="2465">
        <f t="shared" ca="1" si="219"/>
        <v>1.5639822072321719</v>
      </c>
      <c r="ER137" s="2465">
        <f t="shared" ca="1" si="219"/>
        <v>1.5698144359805355</v>
      </c>
      <c r="ES137" s="2465">
        <f t="shared" ca="1" si="219"/>
        <v>1.5756684136286092</v>
      </c>
      <c r="ET137" s="2465">
        <f t="shared" ca="1" si="219"/>
        <v>1.5815442212799742</v>
      </c>
      <c r="EU137" s="2465">
        <f t="shared" ca="1" si="219"/>
        <v>1.5874419403406541</v>
      </c>
      <c r="EV137" s="2465">
        <f t="shared" ca="1" si="219"/>
        <v>1.5933616525202432</v>
      </c>
      <c r="EW137" s="2465">
        <f t="shared" ca="1" si="219"/>
        <v>1.5993034398330379</v>
      </c>
      <c r="EX137" s="2465">
        <f t="shared" ca="1" si="219"/>
        <v>1.6052673845991734</v>
      </c>
      <c r="EY137" s="2465">
        <f t="shared" ca="1" si="219"/>
        <v>1.6112535694457637</v>
      </c>
      <c r="EZ137" s="2465">
        <f t="shared" ca="1" si="219"/>
        <v>1.6172620773080468</v>
      </c>
      <c r="FA137" s="2465">
        <f t="shared" ca="1" si="219"/>
        <v>1.6232929914305336</v>
      </c>
      <c r="FB137" s="2465">
        <f t="shared" ca="1" si="219"/>
        <v>1.6293463953681611</v>
      </c>
      <c r="FC137" s="2465">
        <f t="shared" ca="1" si="219"/>
        <v>1.6354223729874502</v>
      </c>
      <c r="FD137" s="2465">
        <f t="shared" ca="1" si="219"/>
        <v>1.6415210084676675</v>
      </c>
      <c r="FE137" s="2465">
        <f t="shared" ca="1" si="219"/>
        <v>1.6476423863019916</v>
      </c>
      <c r="FF137" s="2465">
        <f t="shared" ca="1" si="219"/>
        <v>1.6537865912986836</v>
      </c>
      <c r="FG137" s="2465">
        <f t="shared" ca="1" si="219"/>
        <v>1.659953708582262</v>
      </c>
      <c r="FH137" s="2465">
        <f t="shared" ca="1" si="219"/>
        <v>1.6661438235946826</v>
      </c>
      <c r="FI137" s="2465">
        <f t="shared" ca="1" si="219"/>
        <v>1.6723570220965214</v>
      </c>
      <c r="FJ137" s="2465">
        <f t="shared" ca="1" si="219"/>
        <v>1.6785933901681636</v>
      </c>
      <c r="FK137" s="2465">
        <f t="shared" ca="1" si="219"/>
        <v>1.6848530142109956</v>
      </c>
      <c r="FL137" s="2465">
        <f t="shared" ca="1" si="219"/>
        <v>1.6911359809486024</v>
      </c>
      <c r="FM137" s="2465">
        <f t="shared" ca="1" si="219"/>
        <v>1.6974423774279688</v>
      </c>
      <c r="FN137" s="2465">
        <f t="shared" ca="1" si="219"/>
        <v>1.7037722910206856</v>
      </c>
      <c r="FO137" s="2465">
        <f t="shared" ca="1" si="219"/>
        <v>1.7101258094241603</v>
      </c>
      <c r="FP137" s="2465">
        <f t="shared" ca="1" si="219"/>
        <v>1.7165030206628311</v>
      </c>
      <c r="FQ137" s="2465">
        <f t="shared" ca="1" si="219"/>
        <v>1.722904013089388</v>
      </c>
      <c r="FR137" s="2465">
        <f t="shared" ca="1" si="219"/>
        <v>1.7293288753859957</v>
      </c>
      <c r="FS137" s="2465">
        <f t="shared" ca="1" si="219"/>
        <v>1.7357776965655223</v>
      </c>
      <c r="FT137" s="2465">
        <f t="shared" ca="1" si="219"/>
        <v>1.7422505659727734</v>
      </c>
      <c r="FU137" s="2465">
        <f t="shared" ca="1" si="219"/>
        <v>1.7487475732857287</v>
      </c>
      <c r="FV137" s="2465">
        <f t="shared" ca="1" si="219"/>
        <v>1.7552688085167856</v>
      </c>
      <c r="FW137" s="2465">
        <f t="shared" ca="1" si="219"/>
        <v>1.7618143620140052</v>
      </c>
      <c r="FX137" s="2465">
        <f t="shared" ca="1" si="219"/>
        <v>1.7683843244623649</v>
      </c>
      <c r="FY137" s="2465">
        <f t="shared" ca="1" si="219"/>
        <v>1.7749787868850146</v>
      </c>
      <c r="FZ137" s="2465">
        <f t="shared" ca="1" si="219"/>
        <v>1.7815978406445372</v>
      </c>
      <c r="GA137" s="2465">
        <f t="shared" ca="1" si="219"/>
        <v>1.7882415774442151</v>
      </c>
      <c r="GB137" s="2465">
        <f t="shared" ca="1" si="219"/>
        <v>1.7949100893293002</v>
      </c>
      <c r="GC137" s="2465">
        <f t="shared" ca="1" si="219"/>
        <v>1.8016034686882896</v>
      </c>
      <c r="GD137" s="2465">
        <f t="shared" ca="1" si="219"/>
        <v>1.808321808254205</v>
      </c>
      <c r="GE137" s="2465">
        <f t="shared" ca="1" si="219"/>
        <v>1.8150652011058781</v>
      </c>
      <c r="GF137" s="2465">
        <f t="shared" ca="1" si="219"/>
        <v>1.8218337406692395</v>
      </c>
      <c r="GG137" s="2465">
        <f t="shared" ca="1" si="219"/>
        <v>1.8286275207186138</v>
      </c>
      <c r="GH137" s="2465">
        <f t="shared" ca="1" si="219"/>
        <v>1.8354466353780179</v>
      </c>
      <c r="GI137" s="2465">
        <f t="shared" ca="1" si="219"/>
        <v>1.8422911791224661</v>
      </c>
      <c r="GJ137" s="2465">
        <f t="shared" ca="1" si="219"/>
        <v>1.849161246779278</v>
      </c>
      <c r="GK137" s="2465">
        <f t="shared" ca="1" si="219"/>
        <v>1.8560569335293928</v>
      </c>
      <c r="GL137" s="2465">
        <f t="shared" ca="1" si="219"/>
        <v>1.8629783349086881</v>
      </c>
      <c r="GM137" s="2465">
        <f t="shared" ca="1" si="219"/>
        <v>1.869925546809303</v>
      </c>
      <c r="GN137" s="2465">
        <f t="shared" ca="1" si="219"/>
        <v>1.876898665480967</v>
      </c>
      <c r="GO137" s="2465">
        <f t="shared" ca="1" si="219"/>
        <v>1.8838977875323335</v>
      </c>
      <c r="GP137" s="2465">
        <f t="shared" ca="1" si="219"/>
        <v>1.8909230099323182</v>
      </c>
      <c r="GQ137" s="2465">
        <f t="shared" ca="1" si="219"/>
        <v>1.8979744300114423</v>
      </c>
      <c r="GR137" s="2465">
        <f t="shared" ca="1" si="219"/>
        <v>1.9050521454631812</v>
      </c>
      <c r="GS137" s="2465">
        <f t="shared" ca="1" si="219"/>
        <v>1.9121562543453183</v>
      </c>
      <c r="GT137" s="2465">
        <f t="shared" ref="GT137:IA137" ca="1" si="220">GT$28</f>
        <v>1.9192868550813027</v>
      </c>
      <c r="GU137" s="2465">
        <f t="shared" ca="1" si="220"/>
        <v>1.9264440464616137</v>
      </c>
      <c r="GV137" s="2465">
        <f t="shared" ca="1" si="220"/>
        <v>1.9336279276451287</v>
      </c>
      <c r="GW137" s="2465">
        <f t="shared" ca="1" si="220"/>
        <v>1.9408385981604979</v>
      </c>
      <c r="GX137" s="2465">
        <f t="shared" ca="1" si="220"/>
        <v>1.9480761579075221</v>
      </c>
      <c r="GY137" s="2465">
        <f t="shared" ca="1" si="220"/>
        <v>1.9553407071585378</v>
      </c>
      <c r="GZ137" s="2465">
        <f t="shared" ca="1" si="220"/>
        <v>1.9626323465598057</v>
      </c>
      <c r="HA137" s="2465">
        <f t="shared" ca="1" si="220"/>
        <v>1.9699511771329052</v>
      </c>
      <c r="HB137" s="2465">
        <f t="shared" ca="1" si="220"/>
        <v>1.9772973002761347</v>
      </c>
      <c r="HC137" s="2465">
        <f t="shared" ca="1" si="220"/>
        <v>1.9846708177659156</v>
      </c>
      <c r="HD137" s="2465">
        <f t="shared" ca="1" si="220"/>
        <v>1.9920718317582025</v>
      </c>
      <c r="HE137" s="2465">
        <f t="shared" ca="1" si="220"/>
        <v>1.9995004447898985</v>
      </c>
      <c r="HF137" s="2465">
        <f t="shared" ca="1" si="220"/>
        <v>2.0069567597802767</v>
      </c>
      <c r="HG137" s="2465">
        <f t="shared" ca="1" si="220"/>
        <v>2.0144408800324043</v>
      </c>
      <c r="HH137" s="2465">
        <f t="shared" ca="1" si="220"/>
        <v>2.0219529092345754</v>
      </c>
      <c r="HI137" s="2465">
        <f t="shared" ca="1" si="220"/>
        <v>2.029492951461747</v>
      </c>
      <c r="HJ137" s="2465">
        <f t="shared" ca="1" si="220"/>
        <v>2.0370611111769805</v>
      </c>
      <c r="HK137" s="2465">
        <f t="shared" ca="1" si="220"/>
        <v>2.04465749323289</v>
      </c>
      <c r="HL137" s="2465">
        <f t="shared" ca="1" si="220"/>
        <v>2.0522822028730938</v>
      </c>
      <c r="HM137" s="2465">
        <f t="shared" ca="1" si="220"/>
        <v>2.0599353457336731</v>
      </c>
      <c r="HN137" s="2465">
        <f t="shared" ca="1" si="220"/>
        <v>2.0676170278446353</v>
      </c>
      <c r="HO137" s="2465">
        <f t="shared" ca="1" si="220"/>
        <v>2.0753273556313836</v>
      </c>
      <c r="HP137" s="2465">
        <f t="shared" ca="1" si="220"/>
        <v>2.0830664359161903</v>
      </c>
      <c r="HQ137" s="2465">
        <f t="shared" ca="1" si="220"/>
        <v>2.0908343759196781</v>
      </c>
      <c r="HR137" s="2465">
        <f t="shared" ca="1" si="220"/>
        <v>2.0986312832623049</v>
      </c>
      <c r="HS137" s="2465">
        <f t="shared" ca="1" si="220"/>
        <v>2.106457265965854</v>
      </c>
      <c r="HT137" s="2465">
        <f t="shared" ca="1" si="220"/>
        <v>2.1143124324549327</v>
      </c>
      <c r="HU137" s="2465">
        <f t="shared" ca="1" si="220"/>
        <v>2.122196891558473</v>
      </c>
      <c r="HV137" s="2465">
        <f t="shared" ca="1" si="220"/>
        <v>2.1301107525112388</v>
      </c>
      <c r="HW137" s="2465">
        <f t="shared" ca="1" si="220"/>
        <v>2.1380541249553415</v>
      </c>
      <c r="HX137" s="2465">
        <f t="shared" ca="1" si="220"/>
        <v>2.1460271189417566</v>
      </c>
      <c r="HY137" s="2465">
        <f t="shared" ca="1" si="220"/>
        <v>2.1540298449318498</v>
      </c>
      <c r="HZ137" s="2465">
        <f t="shared" ca="1" si="220"/>
        <v>2.1620624137989073</v>
      </c>
      <c r="IA137" s="2465">
        <f t="shared" ca="1" si="220"/>
        <v>2.1701249368296716</v>
      </c>
    </row>
    <row r="138" spans="3:235">
      <c r="C138" s="2466"/>
      <c r="D138" s="2467" t="s">
        <v>3932</v>
      </c>
      <c r="E138" s="2356"/>
      <c r="F138" s="2356"/>
      <c r="G138" s="2446"/>
      <c r="H138" s="2447">
        <f ca="1">MAX(J138:IA138)</f>
        <v>220381.45983194219</v>
      </c>
      <c r="I138" s="2459"/>
      <c r="J138" s="2448">
        <f t="shared" ref="J138:BN138" si="221">J136*J137</f>
        <v>0</v>
      </c>
      <c r="K138" s="2447">
        <f t="shared" si="221"/>
        <v>0</v>
      </c>
      <c r="L138" s="2449">
        <f t="shared" si="221"/>
        <v>0</v>
      </c>
      <c r="M138" s="2448">
        <f t="shared" si="221"/>
        <v>0</v>
      </c>
      <c r="N138" s="2447">
        <f t="shared" si="221"/>
        <v>0</v>
      </c>
      <c r="O138" s="2449">
        <f t="shared" si="221"/>
        <v>0</v>
      </c>
      <c r="P138" s="2447">
        <f t="shared" si="221"/>
        <v>0</v>
      </c>
      <c r="Q138" s="2450">
        <f t="shared" si="221"/>
        <v>0</v>
      </c>
      <c r="R138" s="2449">
        <f t="shared" si="221"/>
        <v>0</v>
      </c>
      <c r="S138" s="2447">
        <f t="shared" si="221"/>
        <v>0</v>
      </c>
      <c r="T138" s="2450">
        <f t="shared" si="221"/>
        <v>0</v>
      </c>
      <c r="U138" s="2451">
        <f t="shared" si="221"/>
        <v>0</v>
      </c>
      <c r="V138" s="2451">
        <f t="shared" si="221"/>
        <v>0</v>
      </c>
      <c r="W138" s="2451">
        <f t="shared" si="221"/>
        <v>0</v>
      </c>
      <c r="X138" s="2451">
        <f t="shared" si="221"/>
        <v>0</v>
      </c>
      <c r="Y138" s="2451">
        <f t="shared" si="221"/>
        <v>0</v>
      </c>
      <c r="Z138" s="2451">
        <f t="shared" si="221"/>
        <v>0</v>
      </c>
      <c r="AA138" s="2451">
        <f t="shared" si="221"/>
        <v>0</v>
      </c>
      <c r="AB138" s="2451">
        <f t="shared" si="221"/>
        <v>0</v>
      </c>
      <c r="AC138" s="2451">
        <f t="shared" si="221"/>
        <v>0</v>
      </c>
      <c r="AD138" s="2451">
        <f t="shared" si="221"/>
        <v>0</v>
      </c>
      <c r="AE138" s="2451">
        <f t="shared" si="221"/>
        <v>0</v>
      </c>
      <c r="AF138" s="2451">
        <f t="shared" si="221"/>
        <v>0</v>
      </c>
      <c r="AG138" s="2451">
        <f t="shared" si="221"/>
        <v>0</v>
      </c>
      <c r="AH138" s="2451">
        <f t="shared" si="221"/>
        <v>0</v>
      </c>
      <c r="AI138" s="2451">
        <f t="shared" si="221"/>
        <v>0</v>
      </c>
      <c r="AJ138" s="2451">
        <f t="shared" si="221"/>
        <v>220381.45983194219</v>
      </c>
      <c r="AK138" s="2451">
        <f t="shared" si="221"/>
        <v>217115.30252574239</v>
      </c>
      <c r="AL138" s="2451">
        <f t="shared" si="221"/>
        <v>215911.61849605924</v>
      </c>
      <c r="AM138" s="2451">
        <f t="shared" si="221"/>
        <v>213000.78254644186</v>
      </c>
      <c r="AN138" s="2451">
        <f t="shared" si="221"/>
        <v>212461.18095136766</v>
      </c>
      <c r="AO138" s="2451">
        <f t="shared" si="221"/>
        <v>208553.48212512216</v>
      </c>
      <c r="AP138" s="2451">
        <f t="shared" si="221"/>
        <v>209602.84720221019</v>
      </c>
      <c r="AQ138" s="2451">
        <f t="shared" si="221"/>
        <v>206952.36422125611</v>
      </c>
      <c r="AR138" s="2451">
        <f t="shared" si="221"/>
        <v>205509.96557363929</v>
      </c>
      <c r="AS138" s="2451">
        <f t="shared" si="221"/>
        <v>202517.59127822969</v>
      </c>
      <c r="AT138" s="2451">
        <f t="shared" si="221"/>
        <v>200596.302840302</v>
      </c>
      <c r="AU138" s="2451">
        <f t="shared" si="221"/>
        <v>197174.49082353761</v>
      </c>
      <c r="AV138" s="2451">
        <f t="shared" si="221"/>
        <v>195586.97719643719</v>
      </c>
      <c r="AW138" s="2451">
        <f t="shared" si="221"/>
        <v>191502.11015697528</v>
      </c>
      <c r="AX138" s="2451">
        <f t="shared" si="221"/>
        <v>189745.66402850067</v>
      </c>
      <c r="AY138" s="2451">
        <f t="shared" si="221"/>
        <v>185966.47267125506</v>
      </c>
      <c r="AZ138" s="2451">
        <f t="shared" si="221"/>
        <v>184133.81099630258</v>
      </c>
      <c r="BA138" s="2451">
        <f t="shared" si="221"/>
        <v>180565.58087391351</v>
      </c>
      <c r="BB138" s="2451">
        <f t="shared" si="221"/>
        <v>179178.21911461139</v>
      </c>
      <c r="BC138" s="2451">
        <f t="shared" si="221"/>
        <v>176251.1082776282</v>
      </c>
      <c r="BD138" s="2451">
        <f t="shared" si="221"/>
        <v>173628.87564458634</v>
      </c>
      <c r="BE138" s="2451">
        <f t="shared" si="221"/>
        <v>169744.52015494919</v>
      </c>
      <c r="BF138" s="2451">
        <f t="shared" si="221"/>
        <v>167841.15245961823</v>
      </c>
      <c r="BG138" s="2451">
        <f t="shared" si="221"/>
        <v>165464.52471091755</v>
      </c>
      <c r="BH138" s="2451">
        <f t="shared" si="221"/>
        <v>162691.53885054885</v>
      </c>
      <c r="BI138" s="2451">
        <f t="shared" si="221"/>
        <v>160032.29344444259</v>
      </c>
      <c r="BJ138" s="2451">
        <f t="shared" si="221"/>
        <v>157780.23202015416</v>
      </c>
      <c r="BK138" s="2451">
        <f t="shared" si="221"/>
        <v>155395.5815304071</v>
      </c>
      <c r="BL138" s="2451">
        <f t="shared" si="221"/>
        <v>153716.92648177568</v>
      </c>
      <c r="BM138" s="2451">
        <f t="shared" si="221"/>
        <v>151186.56587736096</v>
      </c>
      <c r="BN138" s="2451">
        <f t="shared" si="221"/>
        <v>150455.63974437048</v>
      </c>
      <c r="BO138" s="2451">
        <f t="shared" ref="BO138:DZ138" si="222">BO136*BO137</f>
        <v>147492.22079418067</v>
      </c>
      <c r="BP138" s="2451">
        <f t="shared" si="222"/>
        <v>146164.58916767937</v>
      </c>
      <c r="BQ138" s="2451">
        <f t="shared" si="222"/>
        <v>142936.63350089962</v>
      </c>
      <c r="BR138" s="2451">
        <f t="shared" si="222"/>
        <v>141961.86496184315</v>
      </c>
      <c r="BS138" s="2451">
        <f t="shared" si="222"/>
        <v>139536.94805081759</v>
      </c>
      <c r="BT138" s="2451">
        <f t="shared" si="222"/>
        <v>139110.59325427923</v>
      </c>
      <c r="BU138" s="2451">
        <f t="shared" si="222"/>
        <v>135015.22199728203</v>
      </c>
      <c r="BV138" s="2451">
        <f t="shared" si="222"/>
        <v>132842.88850588471</v>
      </c>
      <c r="BW138" s="2451">
        <f t="shared" si="222"/>
        <v>131021.34519056181</v>
      </c>
      <c r="BX138" s="2451">
        <f t="shared" si="222"/>
        <v>129132.40871838992</v>
      </c>
      <c r="BY138" s="2451">
        <f t="shared" si="222"/>
        <v>126799.0808797785</v>
      </c>
      <c r="BZ138" s="2451">
        <f t="shared" si="222"/>
        <v>124870.19417820981</v>
      </c>
      <c r="CA138" s="2451">
        <f t="shared" si="222"/>
        <v>122417.57282523306</v>
      </c>
      <c r="CB138" s="2451">
        <f t="shared" si="222"/>
        <v>121532.54738230683</v>
      </c>
      <c r="CC138" s="2451">
        <f t="shared" si="222"/>
        <v>118934.28690807286</v>
      </c>
      <c r="CD138" s="2451">
        <f t="shared" si="222"/>
        <v>118626.10139379735</v>
      </c>
      <c r="CE138" s="2451">
        <f t="shared" si="222"/>
        <v>116804.74412473645</v>
      </c>
      <c r="CF138" s="2451">
        <f t="shared" si="222"/>
        <v>116034.33299916494</v>
      </c>
      <c r="CG138" s="2451">
        <f t="shared" si="222"/>
        <v>114979.13296574325</v>
      </c>
      <c r="CH138" s="2451">
        <f t="shared" ca="1" si="222"/>
        <v>113402.11286241778</v>
      </c>
      <c r="CI138" s="2451">
        <f t="shared" ca="1" si="222"/>
        <v>111846.72270482373</v>
      </c>
      <c r="CJ138" s="2451">
        <f t="shared" ca="1" si="222"/>
        <v>110312.66582296215</v>
      </c>
      <c r="CK138" s="2451">
        <f t="shared" ca="1" si="222"/>
        <v>108799.64961587291</v>
      </c>
      <c r="CL138" s="2451">
        <f t="shared" ca="1" si="222"/>
        <v>107307.38549582499</v>
      </c>
      <c r="CM138" s="2451">
        <f t="shared" ca="1" si="222"/>
        <v>105835.58883327202</v>
      </c>
      <c r="CN138" s="2451">
        <f t="shared" ca="1" si="222"/>
        <v>104383.97890256323</v>
      </c>
      <c r="CO138" s="2451">
        <f t="shared" ca="1" si="222"/>
        <v>102952.27882839857</v>
      </c>
      <c r="CP138" s="2451">
        <f t="shared" ca="1" si="222"/>
        <v>101540.21553301849</v>
      </c>
      <c r="CQ138" s="2451">
        <f t="shared" ca="1" si="222"/>
        <v>100147.51968411796</v>
      </c>
      <c r="CR138" s="2451">
        <f t="shared" ca="1" si="222"/>
        <v>98773.925643475013</v>
      </c>
      <c r="CS138" s="2451">
        <f t="shared" ca="1" si="222"/>
        <v>97419.171416283672</v>
      </c>
      <c r="CT138" s="2451">
        <f t="shared" ca="1" si="222"/>
        <v>96082.998601181956</v>
      </c>
      <c r="CU138" s="2451">
        <f t="shared" ca="1" si="222"/>
        <v>94765.152340965316</v>
      </c>
      <c r="CV138" s="2451">
        <f t="shared" ca="1" si="222"/>
        <v>93465.381273975872</v>
      </c>
      <c r="CW138" s="2451">
        <f t="shared" ca="1" si="222"/>
        <v>92183.437486158684</v>
      </c>
      <c r="CX138" s="2451">
        <f t="shared" ca="1" si="222"/>
        <v>90919.076463775316</v>
      </c>
      <c r="CY138" s="2451">
        <f t="shared" ca="1" si="222"/>
        <v>89672.05704676616</v>
      </c>
      <c r="CZ138" s="2451">
        <f t="shared" ca="1" si="222"/>
        <v>88442.141382752307</v>
      </c>
      <c r="DA138" s="2451">
        <f t="shared" ca="1" si="222"/>
        <v>87229.09488166841</v>
      </c>
      <c r="DB138" s="2451">
        <f t="shared" ca="1" si="222"/>
        <v>86032.686171017747</v>
      </c>
      <c r="DC138" s="2451">
        <f t="shared" ca="1" si="222"/>
        <v>84852.687051740941</v>
      </c>
      <c r="DD138" s="2451">
        <f t="shared" ca="1" si="222"/>
        <v>83688.872454690092</v>
      </c>
      <c r="DE138" s="2451">
        <f t="shared" ca="1" si="222"/>
        <v>82541.020397699816</v>
      </c>
      <c r="DF138" s="2451">
        <f t="shared" ca="1" si="222"/>
        <v>81408.911943247018</v>
      </c>
      <c r="DG138" s="2451">
        <f t="shared" ca="1" si="222"/>
        <v>80292.33115669158</v>
      </c>
      <c r="DH138" s="2451">
        <f t="shared" ca="1" si="222"/>
        <v>79191.065065089613</v>
      </c>
      <c r="DI138" s="2451">
        <f t="shared" ca="1" si="222"/>
        <v>78104.903616571726</v>
      </c>
      <c r="DJ138" s="2451">
        <f t="shared" ca="1" si="222"/>
        <v>77033.639640278474</v>
      </c>
      <c r="DK138" s="2451">
        <f t="shared" ca="1" si="222"/>
        <v>75977.068806845215</v>
      </c>
      <c r="DL138" s="2451">
        <f t="shared" ca="1" si="222"/>
        <v>74934.989589429009</v>
      </c>
      <c r="DM138" s="2451">
        <f t="shared" ca="1" si="222"/>
        <v>73907.203225270001</v>
      </c>
      <c r="DN138" s="2451">
        <f t="shared" ca="1" si="222"/>
        <v>72893.513677780225</v>
      </c>
      <c r="DO138" s="2451">
        <f t="shared" ca="1" si="222"/>
        <v>71893.727599152029</v>
      </c>
      <c r="DP138" s="2451">
        <f t="shared" ca="1" si="222"/>
        <v>70907.654293479689</v>
      </c>
      <c r="DQ138" s="2451">
        <f t="shared" ca="1" si="222"/>
        <v>69935.105680386667</v>
      </c>
      <c r="DR138" s="2451">
        <f t="shared" ca="1" si="222"/>
        <v>68975.896259151792</v>
      </c>
      <c r="DS138" s="2451">
        <f t="shared" ca="1" si="222"/>
        <v>68029.843073327356</v>
      </c>
      <c r="DT138" s="2451">
        <f t="shared" ca="1" si="222"/>
        <v>67096.765675842733</v>
      </c>
      <c r="DU138" s="2451">
        <f t="shared" ca="1" si="222"/>
        <v>66176.486094586464</v>
      </c>
      <c r="DV138" s="2451">
        <f t="shared" ca="1" si="222"/>
        <v>65268.828798460432</v>
      </c>
      <c r="DW138" s="2451">
        <f t="shared" ca="1" si="222"/>
        <v>64373.620663899623</v>
      </c>
      <c r="DX138" s="2451">
        <f t="shared" ca="1" si="222"/>
        <v>63490.690941851164</v>
      </c>
      <c r="DY138" s="2451">
        <f t="shared" ca="1" si="222"/>
        <v>62619.871225206101</v>
      </c>
      <c r="DZ138" s="2451">
        <f t="shared" ca="1" si="222"/>
        <v>61760.995416678088</v>
      </c>
      <c r="EA138" s="2451">
        <f t="shared" ref="EA138:GL138" ca="1" si="223">EA136*EA137</f>
        <v>60913.899697122506</v>
      </c>
      <c r="EB138" s="2451">
        <f t="shared" ca="1" si="223"/>
        <v>60078.422494290076</v>
      </c>
      <c r="EC138" s="2451">
        <f t="shared" ca="1" si="223"/>
        <v>59254.404452009279</v>
      </c>
      <c r="ED138" s="2451">
        <f t="shared" ca="1" si="223"/>
        <v>58441.688399790997</v>
      </c>
      <c r="EE138" s="2451">
        <f t="shared" ca="1" si="223"/>
        <v>57640.119322850653</v>
      </c>
      <c r="EF138" s="2451">
        <f t="shared" ca="1" si="223"/>
        <v>56849.544332540929</v>
      </c>
      <c r="EG138" s="2451">
        <f t="shared" ca="1" si="223"/>
        <v>56069.812637190429</v>
      </c>
      <c r="EH138" s="2451">
        <f t="shared" ca="1" si="223"/>
        <v>55300.775513342152</v>
      </c>
      <c r="EI138" s="2451">
        <f t="shared" ca="1" si="223"/>
        <v>54542.286277386498</v>
      </c>
      <c r="EJ138" s="2451">
        <f t="shared" ca="1" si="223"/>
        <v>53794.200257583259</v>
      </c>
      <c r="EK138" s="2451">
        <f t="shared" ca="1" si="223"/>
        <v>53056.374766467416</v>
      </c>
      <c r="EL138" s="2451">
        <f t="shared" ca="1" si="223"/>
        <v>52328.669073633406</v>
      </c>
      <c r="EM138" s="2451">
        <f t="shared" ca="1" si="223"/>
        <v>51610.944378892746</v>
      </c>
      <c r="EN138" s="2451">
        <f t="shared" ca="1" si="223"/>
        <v>50903.063785799604</v>
      </c>
      <c r="EO138" s="2451">
        <f t="shared" ca="1" si="223"/>
        <v>50204.892275539707</v>
      </c>
      <c r="EP138" s="2451">
        <f t="shared" ca="1" si="223"/>
        <v>49516.296681177359</v>
      </c>
      <c r="EQ138" s="2451">
        <f t="shared" ca="1" si="223"/>
        <v>48837.145662255418</v>
      </c>
      <c r="ER138" s="2451">
        <f t="shared" ca="1" si="223"/>
        <v>48167.309679744059</v>
      </c>
      <c r="ES138" s="2451">
        <f t="shared" ca="1" si="223"/>
        <v>47506.660971332822</v>
      </c>
      <c r="ET138" s="2451">
        <f t="shared" ca="1" si="223"/>
        <v>46855.073527061679</v>
      </c>
      <c r="EU138" s="2451">
        <f t="shared" ca="1" si="223"/>
        <v>46212.423065286297</v>
      </c>
      <c r="EV138" s="2451">
        <f t="shared" ca="1" si="223"/>
        <v>45578.587008972914</v>
      </c>
      <c r="EW138" s="2451">
        <f t="shared" ca="1" si="223"/>
        <v>44953.44446231849</v>
      </c>
      <c r="EX138" s="2451">
        <f t="shared" ca="1" si="223"/>
        <v>44336.87618769145</v>
      </c>
      <c r="EY138" s="2451">
        <f t="shared" ca="1" si="223"/>
        <v>43728.764582888572</v>
      </c>
      <c r="EZ138" s="2451">
        <f t="shared" ca="1" si="223"/>
        <v>43128.993658704043</v>
      </c>
      <c r="FA138" s="2451">
        <f t="shared" ca="1" si="223"/>
        <v>42537.449016805949</v>
      </c>
      <c r="FB138" s="2451">
        <f t="shared" ca="1" si="223"/>
        <v>41954.017827916483</v>
      </c>
      <c r="FC138" s="2451">
        <f t="shared" ca="1" si="223"/>
        <v>41378.588810291047</v>
      </c>
      <c r="FD138" s="2451">
        <f t="shared" ca="1" si="223"/>
        <v>40811.052208492991</v>
      </c>
      <c r="FE138" s="2451">
        <f t="shared" ca="1" si="223"/>
        <v>40251.299772458944</v>
      </c>
      <c r="FF138" s="2451">
        <f t="shared" ca="1" si="223"/>
        <v>39699.224736851727</v>
      </c>
      <c r="FG138" s="2451">
        <f t="shared" ca="1" si="223"/>
        <v>39154.721800696338</v>
      </c>
      <c r="FH138" s="2451">
        <f t="shared" ca="1" si="223"/>
        <v>38617.687107294973</v>
      </c>
      <c r="FI138" s="2451">
        <f t="shared" ca="1" si="223"/>
        <v>38088.018224417938</v>
      </c>
      <c r="FJ138" s="2451">
        <f t="shared" ca="1" si="223"/>
        <v>37565.614124765954</v>
      </c>
      <c r="FK138" s="2451">
        <f t="shared" ca="1" si="223"/>
        <v>37050.375166700614</v>
      </c>
      <c r="FL138" s="2451">
        <f t="shared" ca="1" si="223"/>
        <v>36542.203075239035</v>
      </c>
      <c r="FM138" s="2451">
        <f t="shared" ca="1" si="223"/>
        <v>36041.000923309242</v>
      </c>
      <c r="FN138" s="2451">
        <f t="shared" ca="1" si="223"/>
        <v>35546.673113262506</v>
      </c>
      <c r="FO138" s="2451">
        <f t="shared" ca="1" si="223"/>
        <v>35059.125358639438</v>
      </c>
      <c r="FP138" s="2451">
        <f t="shared" ca="1" si="223"/>
        <v>34578.264666186202</v>
      </c>
      <c r="FQ138" s="2451">
        <f t="shared" ca="1" si="223"/>
        <v>34103.99931811705</v>
      </c>
      <c r="FR138" s="2451">
        <f t="shared" ca="1" si="223"/>
        <v>33636.238854620678</v>
      </c>
      <c r="FS138" s="2451">
        <f t="shared" ca="1" si="223"/>
        <v>33174.894056605925</v>
      </c>
      <c r="FT138" s="2451">
        <f t="shared" ca="1" si="223"/>
        <v>32719.876928684578</v>
      </c>
      <c r="FU138" s="2451">
        <f t="shared" ca="1" si="223"/>
        <v>32271.100682387376</v>
      </c>
      <c r="FV138" s="2451">
        <f t="shared" ca="1" si="223"/>
        <v>31828.479719610354</v>
      </c>
      <c r="FW138" s="2451">
        <f t="shared" ca="1" si="223"/>
        <v>31391.929616287987</v>
      </c>
      <c r="FX138" s="2451">
        <f t="shared" ca="1" si="223"/>
        <v>30961.367106290516</v>
      </c>
      <c r="FY138" s="2451">
        <f t="shared" ca="1" si="223"/>
        <v>30536.710065542018</v>
      </c>
      <c r="FZ138" s="2451">
        <f t="shared" ca="1" si="223"/>
        <v>30117.877496356381</v>
      </c>
      <c r="GA138" s="2451">
        <f t="shared" ca="1" si="223"/>
        <v>29704.789511987954</v>
      </c>
      <c r="GB138" s="2451">
        <f t="shared" ca="1" si="223"/>
        <v>29297.367321394329</v>
      </c>
      <c r="GC138" s="2451">
        <f t="shared" ca="1" si="223"/>
        <v>28895.533214207982</v>
      </c>
      <c r="GD138" s="2451">
        <f t="shared" ca="1" si="223"/>
        <v>28499.210545913964</v>
      </c>
      <c r="GE138" s="2451">
        <f t="shared" ca="1" si="223"/>
        <v>28108.323723231097</v>
      </c>
      <c r="GF138" s="2451">
        <f t="shared" ca="1" si="223"/>
        <v>27722.798189693458</v>
      </c>
      <c r="GG138" s="2451">
        <f t="shared" ca="1" si="223"/>
        <v>27342.560411429735</v>
      </c>
      <c r="GH138" s="2451">
        <f t="shared" ca="1" si="223"/>
        <v>26967.537863137739</v>
      </c>
      <c r="GI138" s="2451">
        <f t="shared" ca="1" si="223"/>
        <v>26597.659014251036</v>
      </c>
      <c r="GJ138" s="2451">
        <f t="shared" ca="1" si="223"/>
        <v>26232.853315295488</v>
      </c>
      <c r="GK138" s="2451">
        <f t="shared" ca="1" si="223"/>
        <v>25873.051184432868</v>
      </c>
      <c r="GL138" s="2451">
        <f t="shared" ca="1" si="223"/>
        <v>25518.183994189112</v>
      </c>
      <c r="GM138" s="2451">
        <f t="shared" ref="GM138:IA138" ca="1" si="224">GM136*GM137</f>
        <v>25168.184058364361</v>
      </c>
      <c r="GN138" s="2451">
        <f t="shared" ca="1" si="224"/>
        <v>24822.984619122959</v>
      </c>
      <c r="GO138" s="2451">
        <f t="shared" ca="1" si="224"/>
        <v>24482.519834260118</v>
      </c>
      <c r="GP138" s="2451">
        <f t="shared" ca="1" si="224"/>
        <v>24146.724764643452</v>
      </c>
      <c r="GQ138" s="2451">
        <f t="shared" ca="1" si="224"/>
        <v>23815.535361826718</v>
      </c>
      <c r="GR138" s="2451">
        <f t="shared" ca="1" si="224"/>
        <v>23488.888455833348</v>
      </c>
      <c r="GS138" s="2451">
        <f t="shared" ca="1" si="224"/>
        <v>23166.72174310769</v>
      </c>
      <c r="GT138" s="2451">
        <f t="shared" ca="1" si="224"/>
        <v>22848.973774631435</v>
      </c>
      <c r="GU138" s="2451">
        <f t="shared" ca="1" si="224"/>
        <v>22535.583944202954</v>
      </c>
      <c r="GV138" s="2451">
        <f t="shared" ca="1" si="224"/>
        <v>22226.492476877509</v>
      </c>
      <c r="GW138" s="2451">
        <f t="shared" ca="1" si="224"/>
        <v>21921.640417566068</v>
      </c>
      <c r="GX138" s="2451">
        <f t="shared" ca="1" si="224"/>
        <v>21620.969619790314</v>
      </c>
      <c r="GY138" s="2451">
        <f t="shared" ca="1" si="224"/>
        <v>21324.422734591979</v>
      </c>
      <c r="GZ138" s="2451">
        <f t="shared" ca="1" si="224"/>
        <v>21031.943199594265</v>
      </c>
      <c r="HA138" s="2451">
        <f t="shared" ca="1" si="224"/>
        <v>20743.475228213378</v>
      </c>
      <c r="HB138" s="2451">
        <f t="shared" ca="1" si="224"/>
        <v>20458.963799018016</v>
      </c>
      <c r="HC138" s="2451">
        <f t="shared" ca="1" si="224"/>
        <v>20178.354645234693</v>
      </c>
      <c r="HD138" s="2451">
        <f t="shared" ca="1" si="224"/>
        <v>19901.594244397038</v>
      </c>
      <c r="HE138" s="2451">
        <f t="shared" ca="1" si="224"/>
        <v>19628.629808137215</v>
      </c>
      <c r="HF138" s="2451">
        <f t="shared" ca="1" si="224"/>
        <v>19359.409272117082</v>
      </c>
      <c r="HG138" s="2451">
        <f t="shared" ca="1" si="224"/>
        <v>19093.881286097811</v>
      </c>
      <c r="HH138" s="2451">
        <f t="shared" ca="1" si="224"/>
        <v>18831.995204145383</v>
      </c>
      <c r="HI138" s="2451">
        <f t="shared" ca="1" si="224"/>
        <v>18573.701074970555</v>
      </c>
      <c r="HJ138" s="2451">
        <f t="shared" ca="1" si="224"/>
        <v>18318.949632401291</v>
      </c>
      <c r="HK138" s="2451">
        <f t="shared" ca="1" si="224"/>
        <v>18067.692285986002</v>
      </c>
      <c r="HL138" s="2451">
        <f t="shared" ca="1" si="224"/>
        <v>17819.88111172547</v>
      </c>
      <c r="HM138" s="2451">
        <f t="shared" ca="1" si="224"/>
        <v>17575.468842932045</v>
      </c>
      <c r="HN138" s="2451">
        <f t="shared" ca="1" si="224"/>
        <v>17334.408861214044</v>
      </c>
      <c r="HO138" s="2451">
        <f t="shared" ca="1" si="224"/>
        <v>17096.655187584052</v>
      </c>
      <c r="HP138" s="2451">
        <f t="shared" ca="1" si="224"/>
        <v>16862.162473688928</v>
      </c>
      <c r="HQ138" s="2451">
        <f t="shared" ca="1" si="224"/>
        <v>16630.885993160337</v>
      </c>
      <c r="HR138" s="2451">
        <f t="shared" ca="1" si="224"/>
        <v>16402.781633083581</v>
      </c>
      <c r="HS138" s="2451">
        <f t="shared" ca="1" si="224"/>
        <v>16177.805885583901</v>
      </c>
      <c r="HT138" s="2451">
        <f t="shared" ca="1" si="224"/>
        <v>15955.915839527739</v>
      </c>
      <c r="HU138" s="2451">
        <f t="shared" ca="1" si="224"/>
        <v>15737.06917233815</v>
      </c>
      <c r="HV138" s="2451">
        <f t="shared" ca="1" si="224"/>
        <v>15521.22414192211</v>
      </c>
      <c r="HW138" s="2451">
        <f t="shared" ca="1" si="224"/>
        <v>15308.339578709045</v>
      </c>
      <c r="HX138" s="2451">
        <f t="shared" ca="1" si="224"/>
        <v>15098.374877798036</v>
      </c>
      <c r="HY138" s="2451">
        <f t="shared" ca="1" si="224"/>
        <v>14891.289991213207</v>
      </c>
      <c r="HZ138" s="2451">
        <f t="shared" ca="1" si="224"/>
        <v>14687.045420264956</v>
      </c>
      <c r="IA138" s="2451">
        <f t="shared" ca="1" si="224"/>
        <v>14489.813920523355</v>
      </c>
    </row>
    <row r="139" spans="3:235">
      <c r="C139" s="2466"/>
      <c r="D139" s="2467" t="s">
        <v>3933</v>
      </c>
      <c r="E139" s="2356"/>
      <c r="F139" s="2356"/>
      <c r="G139" s="2446"/>
      <c r="H139" s="2488">
        <f>MAX(J139:IA139)</f>
        <v>1</v>
      </c>
      <c r="I139" s="2656"/>
      <c r="J139" s="2469">
        <f>SUM($I$3:J$3)/$H$3*(J$3&gt;0)</f>
        <v>0</v>
      </c>
      <c r="K139" s="2470">
        <f>SUM($I$3:K$3)/$H$3*(K$3&gt;0)</f>
        <v>0</v>
      </c>
      <c r="L139" s="2471">
        <f>SUM($I$3:L$3)/$H$3*(L$3&gt;0)</f>
        <v>0</v>
      </c>
      <c r="M139" s="2469">
        <f>SUM($I$3:M$3)/$H$3*(M$3&gt;0)</f>
        <v>0</v>
      </c>
      <c r="N139" s="2472">
        <f>SUM($I$3:N$3)/$H$3*(N$3&gt;0)</f>
        <v>0</v>
      </c>
      <c r="O139" s="2473">
        <f>SUM($I$3:O$3)/$H$3*(O$3&gt;0)</f>
        <v>0</v>
      </c>
      <c r="P139" s="2472">
        <f>SUM($I$3:P$3)/$H$3*(P$3&gt;0)</f>
        <v>0</v>
      </c>
      <c r="Q139" s="2474">
        <f>SUM($I$3:Q$3)/$H$3*(Q$3&gt;0)</f>
        <v>0</v>
      </c>
      <c r="R139" s="2471">
        <f>SUM($I$3:R$3)/$H$3*(R$3&gt;0)</f>
        <v>0</v>
      </c>
      <c r="S139" s="2470">
        <f>SUM($I$3:S$3)/$H$3*(S$3&gt;0)</f>
        <v>0</v>
      </c>
      <c r="T139" s="2468">
        <f>SUM($I$3:T$3)/$H$3*(T$3&gt;0)</f>
        <v>0</v>
      </c>
      <c r="U139" s="2475">
        <f>SUM($I$3:U$3)/$H$3*(U$3&gt;0)</f>
        <v>0</v>
      </c>
      <c r="V139" s="2475">
        <f>SUM($I$3:V$3)/$H$3*(V$3&gt;0)</f>
        <v>0</v>
      </c>
      <c r="W139" s="2475">
        <f>SUM($I$3:W$3)/$H$3*(W$3&gt;0)</f>
        <v>0</v>
      </c>
      <c r="X139" s="2475">
        <f>SUM($I$3:X$3)/$H$3*(X$3&gt;0)</f>
        <v>0</v>
      </c>
      <c r="Y139" s="2475">
        <f>SUM($I$3:Y$3)/$H$3*(Y$3&gt;0)</f>
        <v>0</v>
      </c>
      <c r="Z139" s="2475">
        <f>SUM($I$3:Z$3)/$H$3*(Z$3&gt;0)</f>
        <v>0</v>
      </c>
      <c r="AA139" s="2475">
        <f>SUM($I$3:AA$3)/$H$3*(AA$3&gt;0)</f>
        <v>0</v>
      </c>
      <c r="AB139" s="2475">
        <f>SUM($I$3:AB$3)/$H$3*(AB$3&gt;0)</f>
        <v>0</v>
      </c>
      <c r="AC139" s="2475">
        <f>SUM($I$3:AC$3)/$H$3*(AC$3&gt;0)</f>
        <v>0</v>
      </c>
      <c r="AD139" s="2475">
        <f>SUM($I$3:AD$3)/$H$3*(AD$3&gt;0)</f>
        <v>0</v>
      </c>
      <c r="AE139" s="2475">
        <f>SUM($I$3:AE$3)/$H$3*(AE$3&gt;0)</f>
        <v>0</v>
      </c>
      <c r="AF139" s="2475">
        <f>SUM($I$3:AF$3)/$H$3*(AF$3&gt;0)</f>
        <v>0</v>
      </c>
      <c r="AG139" s="2475">
        <f>SUM($I$3:AG$3)/$H$3*(AG$3&gt;0)</f>
        <v>0</v>
      </c>
      <c r="AH139" s="2475">
        <f>SUM($I$3:AH$3)/$H$3*(AH$3&gt;0)</f>
        <v>0</v>
      </c>
      <c r="AI139" s="2475">
        <f>SUM($I$3:AI$3)/$H$3*(AI$3&gt;0)</f>
        <v>8.2191780821918583E-5</v>
      </c>
      <c r="AJ139" s="2475">
        <f>SUM($I$3:AJ$3)/$H$3*(AJ$3&gt;0)</f>
        <v>5.0821917808219182E-3</v>
      </c>
      <c r="AK139" s="2475">
        <f>SUM($I$3:AK$3)/$H$3*(AK$3&gt;0)</f>
        <v>1.0082191780821918E-2</v>
      </c>
      <c r="AL139" s="2475">
        <f>SUM($I$3:AL$3)/$H$3*(AL$3&gt;0)</f>
        <v>1.5082191780821919E-2</v>
      </c>
      <c r="AM139" s="2475">
        <f>SUM($I$3:AM$3)/$H$3*(AM$3&gt;0)</f>
        <v>2.008219178082192E-2</v>
      </c>
      <c r="AN139" s="2475">
        <f>SUM($I$3:AN$3)/$H$3*(AN$3&gt;0)</f>
        <v>2.5082191780821921E-2</v>
      </c>
      <c r="AO139" s="2475">
        <f>SUM($I$3:AO$3)/$H$3*(AO$3&gt;0)</f>
        <v>3.0082191780821922E-2</v>
      </c>
      <c r="AP139" s="2475">
        <f>SUM($I$3:AP$3)/$H$3*(AP$3&gt;0)</f>
        <v>3.508219178082192E-2</v>
      </c>
      <c r="AQ139" s="2475">
        <f>SUM($I$3:AQ$3)/$H$3*(AQ$3&gt;0)</f>
        <v>4.0082191780821924E-2</v>
      </c>
      <c r="AR139" s="2475">
        <f>SUM($I$3:AR$3)/$H$3*(AR$3&gt;0)</f>
        <v>4.5082191780821922E-2</v>
      </c>
      <c r="AS139" s="2475">
        <f>SUM($I$3:AS$3)/$H$3*(AS$3&gt;0)</f>
        <v>5.0082191780821919E-2</v>
      </c>
      <c r="AT139" s="2475">
        <f>SUM($I$3:AT$3)/$H$3*(AT$3&gt;0)</f>
        <v>5.5082191780821924E-2</v>
      </c>
      <c r="AU139" s="2475">
        <f>SUM($I$3:AU$3)/$H$3*(AU$3&gt;0)</f>
        <v>6.0082191780821921E-2</v>
      </c>
      <c r="AV139" s="2475">
        <f>SUM($I$3:AV$3)/$H$3*(AV$3&gt;0)</f>
        <v>6.5082191780821919E-2</v>
      </c>
      <c r="AW139" s="2475">
        <f>SUM($I$3:AW$3)/$H$3*(AW$3&gt;0)</f>
        <v>7.0082191780821923E-2</v>
      </c>
      <c r="AX139" s="2475">
        <f>SUM($I$3:AX$3)/$H$3*(AX$3&gt;0)</f>
        <v>7.5082191780821927E-2</v>
      </c>
      <c r="AY139" s="2475">
        <f>SUM($I$3:AY$3)/$H$3*(AY$3&gt;0)</f>
        <v>8.0082191780821932E-2</v>
      </c>
      <c r="AZ139" s="2475">
        <f>SUM($I$3:AZ$3)/$H$3*(AZ$3&gt;0)</f>
        <v>8.5082191780821936E-2</v>
      </c>
      <c r="BA139" s="2475">
        <f>SUM($I$3:BA$3)/$H$3*(BA$3&gt;0)</f>
        <v>9.0082191780821927E-2</v>
      </c>
      <c r="BB139" s="2475">
        <f>SUM($I$3:BB$3)/$H$3*(BB$3&gt;0)</f>
        <v>9.5082191780821931E-2</v>
      </c>
      <c r="BC139" s="2475">
        <f>SUM($I$3:BC$3)/$H$3*(BC$3&gt;0)</f>
        <v>0.10008219178082194</v>
      </c>
      <c r="BD139" s="2475">
        <f>SUM($I$3:BD$3)/$H$3*(BD$3&gt;0)</f>
        <v>0.10508219178082193</v>
      </c>
      <c r="BE139" s="2475">
        <f>SUM($I$3:BE$3)/$H$3*(BE$3&gt;0)</f>
        <v>0.11008219178082193</v>
      </c>
      <c r="BF139" s="2475">
        <f>SUM($I$3:BF$3)/$H$3*(BF$3&gt;0)</f>
        <v>0.11508219178082194</v>
      </c>
      <c r="BG139" s="2475">
        <f>SUM($I$3:BG$3)/$H$3*(BG$3&gt;0)</f>
        <v>0.12008219178082193</v>
      </c>
      <c r="BH139" s="2475">
        <f>SUM($I$3:BH$3)/$H$3*(BH$3&gt;0)</f>
        <v>0.12508219178082192</v>
      </c>
      <c r="BI139" s="2475">
        <f>SUM($I$3:BI$3)/$H$3*(BI$3&gt;0)</f>
        <v>0.13008219178082192</v>
      </c>
      <c r="BJ139" s="2475">
        <f>SUM($I$3:BJ$3)/$H$3*(BJ$3&gt;0)</f>
        <v>0.13508219178082193</v>
      </c>
      <c r="BK139" s="2475">
        <f>SUM($I$3:BK$3)/$H$3*(BK$3&gt;0)</f>
        <v>0.14008219178082193</v>
      </c>
      <c r="BL139" s="2475">
        <f>SUM($I$3:BL$3)/$H$3*(BL$3&gt;0)</f>
        <v>0.14508219178082193</v>
      </c>
      <c r="BM139" s="2475">
        <f>SUM($I$3:BM$3)/$H$3*(BM$3&gt;0)</f>
        <v>0.15008219178082194</v>
      </c>
      <c r="BN139" s="2475">
        <f>SUM($I$3:BN$3)/$H$3*(BN$3&gt;0)</f>
        <v>0.15508219178082194</v>
      </c>
      <c r="BO139" s="2475">
        <f>SUM($I$3:BO$3)/$H$3*(BO$3&gt;0)</f>
        <v>0.16008219178082192</v>
      </c>
      <c r="BP139" s="2475">
        <f>SUM($I$3:BP$3)/$H$3*(BP$3&gt;0)</f>
        <v>0.16508219178082192</v>
      </c>
      <c r="BQ139" s="2475">
        <f>SUM($I$3:BQ$3)/$H$3*(BQ$3&gt;0)</f>
        <v>0.17008219178082193</v>
      </c>
      <c r="BR139" s="2475">
        <f>SUM($I$3:BR$3)/$H$3*(BR$3&gt;0)</f>
        <v>0.17508219178082193</v>
      </c>
      <c r="BS139" s="2475">
        <f>SUM($I$3:BS$3)/$H$3*(BS$3&gt;0)</f>
        <v>0.18008219178082194</v>
      </c>
      <c r="BT139" s="2475">
        <f>SUM($I$3:BT$3)/$H$3*(BT$3&gt;0)</f>
        <v>0.18508219178082194</v>
      </c>
      <c r="BU139" s="2475">
        <f>SUM($I$3:BU$3)/$H$3*(BU$3&gt;0)</f>
        <v>0.19008219178082192</v>
      </c>
      <c r="BV139" s="2475">
        <f>SUM($I$3:BV$3)/$H$3*(BV$3&gt;0)</f>
        <v>0.19508219178082192</v>
      </c>
      <c r="BW139" s="2475">
        <f>SUM($I$3:BW$3)/$H$3*(BW$3&gt;0)</f>
        <v>0.20008219178082193</v>
      </c>
      <c r="BX139" s="2475">
        <f>SUM($I$3:BX$3)/$H$3*(BX$3&gt;0)</f>
        <v>0.20508219178082193</v>
      </c>
      <c r="BY139" s="2475">
        <f>SUM($I$3:BY$3)/$H$3*(BY$3&gt;0)</f>
        <v>0.21008219178082194</v>
      </c>
      <c r="BZ139" s="2475">
        <f>SUM($I$3:BZ$3)/$H$3*(BZ$3&gt;0)</f>
        <v>0.21508219178082194</v>
      </c>
      <c r="CA139" s="2475">
        <f>SUM($I$3:CA$3)/$H$3*(CA$3&gt;0)</f>
        <v>0.22008219178082192</v>
      </c>
      <c r="CB139" s="2475">
        <f>SUM($I$3:CB$3)/$H$3*(CB$3&gt;0)</f>
        <v>0.22508219178082192</v>
      </c>
      <c r="CC139" s="2475">
        <f>SUM($I$3:CC$3)/$H$3*(CC$3&gt;0)</f>
        <v>0.23008219178082193</v>
      </c>
      <c r="CD139" s="2475">
        <f>SUM($I$3:CD$3)/$H$3*(CD$3&gt;0)</f>
        <v>0.23508219178082193</v>
      </c>
      <c r="CE139" s="2475">
        <f>SUM($I$3:CE$3)/$H$3*(CE$3&gt;0)</f>
        <v>0.24008219178082194</v>
      </c>
      <c r="CF139" s="2475">
        <f>SUM($I$3:CF$3)/$H$3*(CF$3&gt;0)</f>
        <v>0.24508219178082194</v>
      </c>
      <c r="CG139" s="2475">
        <f>SUM($I$3:CG$3)/$H$3*(CG$3&gt;0)</f>
        <v>0.25008219178082192</v>
      </c>
      <c r="CH139" s="2475">
        <f>SUM($I$3:CH$3)/$H$3*(CH$3&gt;0)</f>
        <v>0.25508219178082192</v>
      </c>
      <c r="CI139" s="2475">
        <f>SUM($I$3:CI$3)/$H$3*(CI$3&gt;0)</f>
        <v>0.26008219178082193</v>
      </c>
      <c r="CJ139" s="2475">
        <f>SUM($I$3:CJ$3)/$H$3*(CJ$3&gt;0)</f>
        <v>0.26508219178082193</v>
      </c>
      <c r="CK139" s="2475">
        <f>SUM($I$3:CK$3)/$H$3*(CK$3&gt;0)</f>
        <v>0.27008219178082193</v>
      </c>
      <c r="CL139" s="2475">
        <f>SUM($I$3:CL$3)/$H$3*(CL$3&gt;0)</f>
        <v>0.27508219178082194</v>
      </c>
      <c r="CM139" s="2475">
        <f>SUM($I$3:CM$3)/$H$3*(CM$3&gt;0)</f>
        <v>0.28008219178082194</v>
      </c>
      <c r="CN139" s="2475">
        <f>SUM($I$3:CN$3)/$H$3*(CN$3&gt;0)</f>
        <v>0.28508219178082195</v>
      </c>
      <c r="CO139" s="2475">
        <f>SUM($I$3:CO$3)/$H$3*(CO$3&gt;0)</f>
        <v>0.29008219178082195</v>
      </c>
      <c r="CP139" s="2475">
        <f>SUM($I$3:CP$3)/$H$3*(CP$3&gt;0)</f>
        <v>0.29508219178082196</v>
      </c>
      <c r="CQ139" s="2475">
        <f>SUM($I$3:CQ$3)/$H$3*(CQ$3&gt;0)</f>
        <v>0.30008219178082191</v>
      </c>
      <c r="CR139" s="2475">
        <f>SUM($I$3:CR$3)/$H$3*(CR$3&gt;0)</f>
        <v>0.30508219178082191</v>
      </c>
      <c r="CS139" s="2475">
        <f>SUM($I$3:CS$3)/$H$3*(CS$3&gt;0)</f>
        <v>0.31008219178082191</v>
      </c>
      <c r="CT139" s="2475">
        <f>SUM($I$3:CT$3)/$H$3*(CT$3&gt;0)</f>
        <v>0.31508219178082192</v>
      </c>
      <c r="CU139" s="2475">
        <f>SUM($I$3:CU$3)/$H$3*(CU$3&gt;0)</f>
        <v>0.32008219178082192</v>
      </c>
      <c r="CV139" s="2475">
        <f>SUM($I$3:CV$3)/$H$3*(CV$3&gt;0)</f>
        <v>0.32508219178082193</v>
      </c>
      <c r="CW139" s="2475">
        <f>SUM($I$3:CW$3)/$H$3*(CW$3&gt;0)</f>
        <v>0.33008219178082193</v>
      </c>
      <c r="CX139" s="2475">
        <f>SUM($I$3:CX$3)/$H$3*(CX$3&gt;0)</f>
        <v>0.33508219178082194</v>
      </c>
      <c r="CY139" s="2475">
        <f>SUM($I$3:CY$3)/$H$3*(CY$3&gt;0)</f>
        <v>0.34008219178082194</v>
      </c>
      <c r="CZ139" s="2475">
        <f>SUM($I$3:CZ$3)/$H$3*(CZ$3&gt;0)</f>
        <v>0.34508219178082195</v>
      </c>
      <c r="DA139" s="2475">
        <f>SUM($I$3:DA$3)/$H$3*(DA$3&gt;0)</f>
        <v>0.35008219178082195</v>
      </c>
      <c r="DB139" s="2475">
        <f>SUM($I$3:DB$3)/$H$3*(DB$3&gt;0)</f>
        <v>0.35508219178082195</v>
      </c>
      <c r="DC139" s="2475">
        <f>SUM($I$3:DC$3)/$H$3*(DC$3&gt;0)</f>
        <v>0.3600821917808219</v>
      </c>
      <c r="DD139" s="2475">
        <f>SUM($I$3:DD$3)/$H$3*(DD$3&gt;0)</f>
        <v>0.36508219178082191</v>
      </c>
      <c r="DE139" s="2475">
        <f>SUM($I$3:DE$3)/$H$3*(DE$3&gt;0)</f>
        <v>0.37008219178082191</v>
      </c>
      <c r="DF139" s="2475">
        <f>SUM($I$3:DF$3)/$H$3*(DF$3&gt;0)</f>
        <v>0.37508219178082192</v>
      </c>
      <c r="DG139" s="2475">
        <f>SUM($I$3:DG$3)/$H$3*(DG$3&gt;0)</f>
        <v>0.38008219178082192</v>
      </c>
      <c r="DH139" s="2475">
        <f>SUM($I$3:DH$3)/$H$3*(DH$3&gt;0)</f>
        <v>0.38508219178082193</v>
      </c>
      <c r="DI139" s="2475">
        <f>SUM($I$3:DI$3)/$H$3*(DI$3&gt;0)</f>
        <v>0.39008219178082193</v>
      </c>
      <c r="DJ139" s="2475">
        <f>SUM($I$3:DJ$3)/$H$3*(DJ$3&gt;0)</f>
        <v>0.39508219178082193</v>
      </c>
      <c r="DK139" s="2475">
        <f>SUM($I$3:DK$3)/$H$3*(DK$3&gt;0)</f>
        <v>0.40008219178082194</v>
      </c>
      <c r="DL139" s="2475">
        <f>SUM($I$3:DL$3)/$H$3*(DL$3&gt;0)</f>
        <v>0.40508219178082194</v>
      </c>
      <c r="DM139" s="2475">
        <f>SUM($I$3:DM$3)/$H$3*(DM$3&gt;0)</f>
        <v>0.41008219178082195</v>
      </c>
      <c r="DN139" s="2475">
        <f>SUM($I$3:DN$3)/$H$3*(DN$3&gt;0)</f>
        <v>0.41508219178082195</v>
      </c>
      <c r="DO139" s="2475">
        <f>SUM($I$3:DO$3)/$H$3*(DO$3&gt;0)</f>
        <v>0.42008219178082196</v>
      </c>
      <c r="DP139" s="2475">
        <f>SUM($I$3:DP$3)/$H$3*(DP$3&gt;0)</f>
        <v>0.42508219178082191</v>
      </c>
      <c r="DQ139" s="2475">
        <f>SUM($I$3:DQ$3)/$H$3*(DQ$3&gt;0)</f>
        <v>0.43008219178082191</v>
      </c>
      <c r="DR139" s="2475">
        <f>SUM($I$3:DR$3)/$H$3*(DR$3&gt;0)</f>
        <v>0.43508219178082191</v>
      </c>
      <c r="DS139" s="2475">
        <f>SUM($I$3:DS$3)/$H$3*(DS$3&gt;0)</f>
        <v>0.44008219178082192</v>
      </c>
      <c r="DT139" s="2475">
        <f>SUM($I$3:DT$3)/$H$3*(DT$3&gt;0)</f>
        <v>0.44508219178082192</v>
      </c>
      <c r="DU139" s="2475">
        <f>SUM($I$3:DU$3)/$H$3*(DU$3&gt;0)</f>
        <v>0.45008219178082193</v>
      </c>
      <c r="DV139" s="2475">
        <f>SUM($I$3:DV$3)/$H$3*(DV$3&gt;0)</f>
        <v>0.45508219178082193</v>
      </c>
      <c r="DW139" s="2475">
        <f>SUM($I$3:DW$3)/$H$3*(DW$3&gt;0)</f>
        <v>0.46008219178082194</v>
      </c>
      <c r="DX139" s="2475">
        <f>SUM($I$3:DX$3)/$H$3*(DX$3&gt;0)</f>
        <v>0.46508219178082194</v>
      </c>
      <c r="DY139" s="2475">
        <f>SUM($I$3:DY$3)/$H$3*(DY$3&gt;0)</f>
        <v>0.47008219178082195</v>
      </c>
      <c r="DZ139" s="2475">
        <f>SUM($I$3:DZ$3)/$H$3*(DZ$3&gt;0)</f>
        <v>0.47508219178082195</v>
      </c>
      <c r="EA139" s="2475">
        <f>SUM($I$3:EA$3)/$H$3*(EA$3&gt;0)</f>
        <v>0.48008219178082195</v>
      </c>
      <c r="EB139" s="2475">
        <f>SUM($I$3:EB$3)/$H$3*(EB$3&gt;0)</f>
        <v>0.4850821917808219</v>
      </c>
      <c r="EC139" s="2475">
        <f>SUM($I$3:EC$3)/$H$3*(EC$3&gt;0)</f>
        <v>0.49008219178082191</v>
      </c>
      <c r="ED139" s="2475">
        <f>SUM($I$3:ED$3)/$H$3*(ED$3&gt;0)</f>
        <v>0.49508219178082191</v>
      </c>
      <c r="EE139" s="2475">
        <f>SUM($I$3:EE$3)/$H$3*(EE$3&gt;0)</f>
        <v>0.50008219178082192</v>
      </c>
      <c r="EF139" s="2475">
        <f>SUM($I$3:EF$3)/$H$3*(EF$3&gt;0)</f>
        <v>0.50508219178082192</v>
      </c>
      <c r="EG139" s="2475">
        <f>SUM($I$3:EG$3)/$H$3*(EG$3&gt;0)</f>
        <v>0.51008219178082193</v>
      </c>
      <c r="EH139" s="2475">
        <f>SUM($I$3:EH$3)/$H$3*(EH$3&gt;0)</f>
        <v>0.51508219178082193</v>
      </c>
      <c r="EI139" s="2475">
        <f>SUM($I$3:EI$3)/$H$3*(EI$3&gt;0)</f>
        <v>0.52008219178082193</v>
      </c>
      <c r="EJ139" s="2475">
        <f>SUM($I$3:EJ$3)/$H$3*(EJ$3&gt;0)</f>
        <v>0.52508219178082194</v>
      </c>
      <c r="EK139" s="2475">
        <f>SUM($I$3:EK$3)/$H$3*(EK$3&gt;0)</f>
        <v>0.53008219178082194</v>
      </c>
      <c r="EL139" s="2475">
        <f>SUM($I$3:EL$3)/$H$3*(EL$3&gt;0)</f>
        <v>0.53508219178082195</v>
      </c>
      <c r="EM139" s="2475">
        <f>SUM($I$3:EM$3)/$H$3*(EM$3&gt;0)</f>
        <v>0.54008219178082195</v>
      </c>
      <c r="EN139" s="2475">
        <f>SUM($I$3:EN$3)/$H$3*(EN$3&gt;0)</f>
        <v>0.54508219178082196</v>
      </c>
      <c r="EO139" s="2475">
        <f>SUM($I$3:EO$3)/$H$3*(EO$3&gt;0)</f>
        <v>0.55008219178082196</v>
      </c>
      <c r="EP139" s="2475">
        <f>SUM($I$3:EP$3)/$H$3*(EP$3&gt;0)</f>
        <v>0.55508219178082197</v>
      </c>
      <c r="EQ139" s="2475">
        <f>SUM($I$3:EQ$3)/$H$3*(EQ$3&gt;0)</f>
        <v>0.56008219178082197</v>
      </c>
      <c r="ER139" s="2475">
        <f>SUM($I$3:ER$3)/$H$3*(ER$3&gt;0)</f>
        <v>0.56508219178082197</v>
      </c>
      <c r="ES139" s="2475">
        <f>SUM($I$3:ES$3)/$H$3*(ES$3&gt;0)</f>
        <v>0.57008219178082198</v>
      </c>
      <c r="ET139" s="2475">
        <f>SUM($I$3:ET$3)/$H$3*(ET$3&gt;0)</f>
        <v>0.57508219178082198</v>
      </c>
      <c r="EU139" s="2475">
        <f>SUM($I$3:EU$3)/$H$3*(EU$3&gt;0)</f>
        <v>0.58008219178082188</v>
      </c>
      <c r="EV139" s="2475">
        <f>SUM($I$3:EV$3)/$H$3*(EV$3&gt;0)</f>
        <v>0.58508219178082188</v>
      </c>
      <c r="EW139" s="2475">
        <f>SUM($I$3:EW$3)/$H$3*(EW$3&gt;0)</f>
        <v>0.59008219178082189</v>
      </c>
      <c r="EX139" s="2475">
        <f>SUM($I$3:EX$3)/$H$3*(EX$3&gt;0)</f>
        <v>0.59508219178082189</v>
      </c>
      <c r="EY139" s="2475">
        <f>SUM($I$3:EY$3)/$H$3*(EY$3&gt;0)</f>
        <v>0.60008219178082189</v>
      </c>
      <c r="EZ139" s="2475">
        <f>SUM($I$3:EZ$3)/$H$3*(EZ$3&gt;0)</f>
        <v>0.6050821917808219</v>
      </c>
      <c r="FA139" s="2475">
        <f>SUM($I$3:FA$3)/$H$3*(FA$3&gt;0)</f>
        <v>0.6100821917808219</v>
      </c>
      <c r="FB139" s="2475">
        <f>SUM($I$3:FB$3)/$H$3*(FB$3&gt;0)</f>
        <v>0.61508219178082191</v>
      </c>
      <c r="FC139" s="2475">
        <f>SUM($I$3:FC$3)/$H$3*(FC$3&gt;0)</f>
        <v>0.62008219178082191</v>
      </c>
      <c r="FD139" s="2475">
        <f>SUM($I$3:FD$3)/$H$3*(FD$3&gt;0)</f>
        <v>0.62508219178082192</v>
      </c>
      <c r="FE139" s="2475">
        <f>SUM($I$3:FE$3)/$H$3*(FE$3&gt;0)</f>
        <v>0.63008219178082192</v>
      </c>
      <c r="FF139" s="2475">
        <f>SUM($I$3:FF$3)/$H$3*(FF$3&gt;0)</f>
        <v>0.63508219178082193</v>
      </c>
      <c r="FG139" s="2475">
        <f>SUM($I$3:FG$3)/$H$3*(FG$3&gt;0)</f>
        <v>0.64008219178082182</v>
      </c>
      <c r="FH139" s="2475">
        <f>SUM($I$3:FH$3)/$H$3*(FH$3&gt;0)</f>
        <v>0.64508219178082182</v>
      </c>
      <c r="FI139" s="2475">
        <f>SUM($I$3:FI$3)/$H$3*(FI$3&gt;0)</f>
        <v>0.65008219178082183</v>
      </c>
      <c r="FJ139" s="2475">
        <f>SUM($I$3:FJ$3)/$H$3*(FJ$3&gt;0)</f>
        <v>0.65508219178082183</v>
      </c>
      <c r="FK139" s="2475">
        <f>SUM($I$3:FK$3)/$H$3*(FK$3&gt;0)</f>
        <v>0.66008219178082184</v>
      </c>
      <c r="FL139" s="2475">
        <f>SUM($I$3:FL$3)/$H$3*(FL$3&gt;0)</f>
        <v>0.66508219178082184</v>
      </c>
      <c r="FM139" s="2475">
        <f>SUM($I$3:FM$3)/$H$3*(FM$3&gt;0)</f>
        <v>0.67008219178082185</v>
      </c>
      <c r="FN139" s="2475">
        <f>SUM($I$3:FN$3)/$H$3*(FN$3&gt;0)</f>
        <v>0.67508219178082185</v>
      </c>
      <c r="FO139" s="2475">
        <f>SUM($I$3:FO$3)/$H$3*(FO$3&gt;0)</f>
        <v>0.68008219178082185</v>
      </c>
      <c r="FP139" s="2475">
        <f>SUM($I$3:FP$3)/$H$3*(FP$3&gt;0)</f>
        <v>0.68508219178082186</v>
      </c>
      <c r="FQ139" s="2475">
        <f>SUM($I$3:FQ$3)/$H$3*(FQ$3&gt;0)</f>
        <v>0.69008219178082186</v>
      </c>
      <c r="FR139" s="2475">
        <f>SUM($I$3:FR$3)/$H$3*(FR$3&gt;0)</f>
        <v>0.69508219178082187</v>
      </c>
      <c r="FS139" s="2475">
        <f>SUM($I$3:FS$3)/$H$3*(FS$3&gt;0)</f>
        <v>0.70008219178082187</v>
      </c>
      <c r="FT139" s="2475">
        <f>SUM($I$3:FT$3)/$H$3*(FT$3&gt;0)</f>
        <v>0.70508219178082188</v>
      </c>
      <c r="FU139" s="2475">
        <f>SUM($I$3:FU$3)/$H$3*(FU$3&gt;0)</f>
        <v>0.71008219178082188</v>
      </c>
      <c r="FV139" s="2475">
        <f>SUM($I$3:FV$3)/$H$3*(FV$3&gt;0)</f>
        <v>0.71508219178082189</v>
      </c>
      <c r="FW139" s="2475">
        <f>SUM($I$3:FW$3)/$H$3*(FW$3&gt;0)</f>
        <v>0.72008219178082189</v>
      </c>
      <c r="FX139" s="2475">
        <f>SUM($I$3:FX$3)/$H$3*(FX$3&gt;0)</f>
        <v>0.72508219178082189</v>
      </c>
      <c r="FY139" s="2475">
        <f>SUM($I$3:FY$3)/$H$3*(FY$3&gt;0)</f>
        <v>0.7300821917808219</v>
      </c>
      <c r="FZ139" s="2475">
        <f>SUM($I$3:FZ$3)/$H$3*(FZ$3&gt;0)</f>
        <v>0.7350821917808219</v>
      </c>
      <c r="GA139" s="2475">
        <f>SUM($I$3:GA$3)/$H$3*(GA$3&gt;0)</f>
        <v>0.74008219178082191</v>
      </c>
      <c r="GB139" s="2475">
        <f>SUM($I$3:GB$3)/$H$3*(GB$3&gt;0)</f>
        <v>0.74508219178082191</v>
      </c>
      <c r="GC139" s="2475">
        <f>SUM($I$3:GC$3)/$H$3*(GC$3&gt;0)</f>
        <v>0.75008219178082181</v>
      </c>
      <c r="GD139" s="2475">
        <f>SUM($I$3:GD$3)/$H$3*(GD$3&gt;0)</f>
        <v>0.75508219178082181</v>
      </c>
      <c r="GE139" s="2475">
        <f>SUM($I$3:GE$3)/$H$3*(GE$3&gt;0)</f>
        <v>0.76008219178082181</v>
      </c>
      <c r="GF139" s="2475">
        <f>SUM($I$3:GF$3)/$H$3*(GF$3&gt;0)</f>
        <v>0.76508219178082182</v>
      </c>
      <c r="GG139" s="2475">
        <f>SUM($I$3:GG$3)/$H$3*(GG$3&gt;0)</f>
        <v>0.77008219178082182</v>
      </c>
      <c r="GH139" s="2475">
        <f>SUM($I$3:GH$3)/$H$3*(GH$3&gt;0)</f>
        <v>0.77508219178082183</v>
      </c>
      <c r="GI139" s="2475">
        <f>SUM($I$3:GI$3)/$H$3*(GI$3&gt;0)</f>
        <v>0.78008219178082183</v>
      </c>
      <c r="GJ139" s="2475">
        <f>SUM($I$3:GJ$3)/$H$3*(GJ$3&gt;0)</f>
        <v>0.78508219178082184</v>
      </c>
      <c r="GK139" s="2475">
        <f>SUM($I$3:GK$3)/$H$3*(GK$3&gt;0)</f>
        <v>0.79008219178082184</v>
      </c>
      <c r="GL139" s="2475">
        <f>SUM($I$3:GL$3)/$H$3*(GL$3&gt;0)</f>
        <v>0.79508219178082185</v>
      </c>
      <c r="GM139" s="2475">
        <f>SUM($I$3:GM$3)/$H$3*(GM$3&gt;0)</f>
        <v>0.80008219178082185</v>
      </c>
      <c r="GN139" s="2475">
        <f>SUM($I$3:GN$3)/$H$3*(GN$3&gt;0)</f>
        <v>0.80508219178082185</v>
      </c>
      <c r="GO139" s="2475">
        <f>SUM($I$3:GO$3)/$H$3*(GO$3&gt;0)</f>
        <v>0.81008219178082186</v>
      </c>
      <c r="GP139" s="2475">
        <f>SUM($I$3:GP$3)/$H$3*(GP$3&gt;0)</f>
        <v>0.81508219178082186</v>
      </c>
      <c r="GQ139" s="2475">
        <f>SUM($I$3:GQ$3)/$H$3*(GQ$3&gt;0)</f>
        <v>0.82008219178082187</v>
      </c>
      <c r="GR139" s="2475">
        <f>SUM($I$3:GR$3)/$H$3*(GR$3&gt;0)</f>
        <v>0.82508219178082187</v>
      </c>
      <c r="GS139" s="2475">
        <f>SUM($I$3:GS$3)/$H$3*(GS$3&gt;0)</f>
        <v>0.83008219178082188</v>
      </c>
      <c r="GT139" s="2475">
        <f>SUM($I$3:GT$3)/$H$3*(GT$3&gt;0)</f>
        <v>0.83508219178082188</v>
      </c>
      <c r="GU139" s="2475">
        <f>SUM($I$3:GU$3)/$H$3*(GU$3&gt;0)</f>
        <v>0.84008219178082189</v>
      </c>
      <c r="GV139" s="2475">
        <f>SUM($I$3:GV$3)/$H$3*(GV$3&gt;0)</f>
        <v>0.84508219178082189</v>
      </c>
      <c r="GW139" s="2475">
        <f>SUM($I$3:GW$3)/$H$3*(GW$3&gt;0)</f>
        <v>0.85008219178082189</v>
      </c>
      <c r="GX139" s="2475">
        <f>SUM($I$3:GX$3)/$H$3*(GX$3&gt;0)</f>
        <v>0.8550821917808219</v>
      </c>
      <c r="GY139" s="2475">
        <f>SUM($I$3:GY$3)/$H$3*(GY$3&gt;0)</f>
        <v>0.8600821917808219</v>
      </c>
      <c r="GZ139" s="2475">
        <f>SUM($I$3:GZ$3)/$H$3*(GZ$3&gt;0)</f>
        <v>0.86508219178082191</v>
      </c>
      <c r="HA139" s="2475">
        <f>SUM($I$3:HA$3)/$H$3*(HA$3&gt;0)</f>
        <v>0.87008219178082191</v>
      </c>
      <c r="HB139" s="2475">
        <f>SUM($I$3:HB$3)/$H$3*(HB$3&gt;0)</f>
        <v>0.87508219178082181</v>
      </c>
      <c r="HC139" s="2475">
        <f>SUM($I$3:HC$3)/$H$3*(HC$3&gt;0)</f>
        <v>0.88008219178082181</v>
      </c>
      <c r="HD139" s="2475">
        <f>SUM($I$3:HD$3)/$H$3*(HD$3&gt;0)</f>
        <v>0.88508219178082181</v>
      </c>
      <c r="HE139" s="2475">
        <f>SUM($I$3:HE$3)/$H$3*(HE$3&gt;0)</f>
        <v>0.89008219178082182</v>
      </c>
      <c r="HF139" s="2475">
        <f>SUM($I$3:HF$3)/$H$3*(HF$3&gt;0)</f>
        <v>0.89508219178082182</v>
      </c>
      <c r="HG139" s="2475">
        <f>SUM($I$3:HG$3)/$H$3*(HG$3&gt;0)</f>
        <v>0.90008219178082183</v>
      </c>
      <c r="HH139" s="2475">
        <f>SUM($I$3:HH$3)/$H$3*(HH$3&gt;0)</f>
        <v>0.90508219178082183</v>
      </c>
      <c r="HI139" s="2475">
        <f>SUM($I$3:HI$3)/$H$3*(HI$3&gt;0)</f>
        <v>0.91008219178082184</v>
      </c>
      <c r="HJ139" s="2475">
        <f>SUM($I$3:HJ$3)/$H$3*(HJ$3&gt;0)</f>
        <v>0.91508219178082184</v>
      </c>
      <c r="HK139" s="2475">
        <f>SUM($I$3:HK$3)/$H$3*(HK$3&gt;0)</f>
        <v>0.92008219178082185</v>
      </c>
      <c r="HL139" s="2475">
        <f>SUM($I$3:HL$3)/$H$3*(HL$3&gt;0)</f>
        <v>0.92508219178082185</v>
      </c>
      <c r="HM139" s="2475">
        <f>SUM($I$3:HM$3)/$H$3*(HM$3&gt;0)</f>
        <v>0.93008219178082185</v>
      </c>
      <c r="HN139" s="2475">
        <f>SUM($I$3:HN$3)/$H$3*(HN$3&gt;0)</f>
        <v>0.93508219178082186</v>
      </c>
      <c r="HO139" s="2475">
        <f>SUM($I$3:HO$3)/$H$3*(HO$3&gt;0)</f>
        <v>0.94008219178082186</v>
      </c>
      <c r="HP139" s="2475">
        <f>SUM($I$3:HP$3)/$H$3*(HP$3&gt;0)</f>
        <v>0.94508219178082187</v>
      </c>
      <c r="HQ139" s="2475">
        <f>SUM($I$3:HQ$3)/$H$3*(HQ$3&gt;0)</f>
        <v>0.95008219178082187</v>
      </c>
      <c r="HR139" s="2475">
        <f>SUM($I$3:HR$3)/$H$3*(HR$3&gt;0)</f>
        <v>0.95508219178082188</v>
      </c>
      <c r="HS139" s="2475">
        <f>SUM($I$3:HS$3)/$H$3*(HS$3&gt;0)</f>
        <v>0.96008219178082188</v>
      </c>
      <c r="HT139" s="2475">
        <f>SUM($I$3:HT$3)/$H$3*(HT$3&gt;0)</f>
        <v>0.96508219178082189</v>
      </c>
      <c r="HU139" s="2475">
        <f>SUM($I$3:HU$3)/$H$3*(HU$3&gt;0)</f>
        <v>0.97008219178082189</v>
      </c>
      <c r="HV139" s="2475">
        <f>SUM($I$3:HV$3)/$H$3*(HV$3&gt;0)</f>
        <v>0.97508219178082189</v>
      </c>
      <c r="HW139" s="2475">
        <f>SUM($I$3:HW$3)/$H$3*(HW$3&gt;0)</f>
        <v>0.9800821917808219</v>
      </c>
      <c r="HX139" s="2475">
        <f>SUM($I$3:HX$3)/$H$3*(HX$3&gt;0)</f>
        <v>0.9850821917808219</v>
      </c>
      <c r="HY139" s="2475">
        <f>SUM($I$3:HY$3)/$H$3*(HY$3&gt;0)</f>
        <v>0.99008219178082191</v>
      </c>
      <c r="HZ139" s="2475">
        <f>SUM($I$3:HZ$3)/$H$3*(HZ$3&gt;0)</f>
        <v>0.99508219178082191</v>
      </c>
      <c r="IA139" s="2475">
        <f>SUM($I$3:IA$3)/$H$3*(IA$3&gt;0)</f>
        <v>1</v>
      </c>
    </row>
    <row r="140" spans="3:235">
      <c r="C140" s="2466"/>
      <c r="D140" s="2476" t="s">
        <v>3934</v>
      </c>
      <c r="E140" s="2356"/>
      <c r="F140" s="2356"/>
      <c r="G140" s="2446"/>
      <c r="H140" s="2450">
        <f ca="1">MAX(J140:IA140)</f>
        <v>30553.941532083045</v>
      </c>
      <c r="I140" s="2482"/>
      <c r="J140" s="2448">
        <f t="shared" ref="J140:BN140" si="225">J138*J139</f>
        <v>0</v>
      </c>
      <c r="K140" s="2447">
        <f t="shared" si="225"/>
        <v>0</v>
      </c>
      <c r="L140" s="2449">
        <f t="shared" si="225"/>
        <v>0</v>
      </c>
      <c r="M140" s="2448">
        <f t="shared" si="225"/>
        <v>0</v>
      </c>
      <c r="N140" s="2447">
        <f t="shared" si="225"/>
        <v>0</v>
      </c>
      <c r="O140" s="2449">
        <f t="shared" si="225"/>
        <v>0</v>
      </c>
      <c r="P140" s="2447">
        <f t="shared" si="225"/>
        <v>0</v>
      </c>
      <c r="Q140" s="2450">
        <f t="shared" si="225"/>
        <v>0</v>
      </c>
      <c r="R140" s="2449">
        <f t="shared" si="225"/>
        <v>0</v>
      </c>
      <c r="S140" s="2447">
        <f t="shared" si="225"/>
        <v>0</v>
      </c>
      <c r="T140" s="2450">
        <f t="shared" si="225"/>
        <v>0</v>
      </c>
      <c r="U140" s="2451">
        <f t="shared" si="225"/>
        <v>0</v>
      </c>
      <c r="V140" s="2451">
        <f t="shared" si="225"/>
        <v>0</v>
      </c>
      <c r="W140" s="2451">
        <f t="shared" si="225"/>
        <v>0</v>
      </c>
      <c r="X140" s="2451">
        <f t="shared" si="225"/>
        <v>0</v>
      </c>
      <c r="Y140" s="2451">
        <f t="shared" si="225"/>
        <v>0</v>
      </c>
      <c r="Z140" s="2451">
        <f t="shared" si="225"/>
        <v>0</v>
      </c>
      <c r="AA140" s="2451">
        <f t="shared" si="225"/>
        <v>0</v>
      </c>
      <c r="AB140" s="2451">
        <f t="shared" si="225"/>
        <v>0</v>
      </c>
      <c r="AC140" s="2451">
        <f t="shared" si="225"/>
        <v>0</v>
      </c>
      <c r="AD140" s="2451">
        <f t="shared" si="225"/>
        <v>0</v>
      </c>
      <c r="AE140" s="2451">
        <f t="shared" si="225"/>
        <v>0</v>
      </c>
      <c r="AF140" s="2451">
        <f t="shared" si="225"/>
        <v>0</v>
      </c>
      <c r="AG140" s="2451">
        <f t="shared" si="225"/>
        <v>0</v>
      </c>
      <c r="AH140" s="2451">
        <f t="shared" si="225"/>
        <v>0</v>
      </c>
      <c r="AI140" s="2451">
        <f t="shared" si="225"/>
        <v>0</v>
      </c>
      <c r="AJ140" s="2451">
        <f t="shared" si="225"/>
        <v>1120.0208438034324</v>
      </c>
      <c r="AK140" s="2451">
        <f t="shared" si="225"/>
        <v>2188.9981186157042</v>
      </c>
      <c r="AL140" s="2451">
        <f t="shared" si="225"/>
        <v>3256.4204378652225</v>
      </c>
      <c r="AM140" s="2451">
        <f t="shared" si="225"/>
        <v>4277.5225645627916</v>
      </c>
      <c r="AN140" s="2451">
        <f t="shared" si="225"/>
        <v>5328.992086602113</v>
      </c>
      <c r="AO140" s="2451">
        <f t="shared" si="225"/>
        <v>6273.7458458461415</v>
      </c>
      <c r="AP140" s="2451">
        <f t="shared" si="225"/>
        <v>7353.3272833542514</v>
      </c>
      <c r="AQ140" s="2451">
        <f t="shared" si="225"/>
        <v>8295.1043522108976</v>
      </c>
      <c r="AR140" s="2451">
        <f t="shared" si="225"/>
        <v>9264.8396808609177</v>
      </c>
      <c r="AS140" s="2451">
        <f t="shared" si="225"/>
        <v>10142.524845386408</v>
      </c>
      <c r="AT140" s="2451">
        <f t="shared" si="225"/>
        <v>11049.284023573347</v>
      </c>
      <c r="AU140" s="2451">
        <f t="shared" si="225"/>
        <v>11846.675571945698</v>
      </c>
      <c r="AV140" s="2451">
        <f t="shared" si="225"/>
        <v>12729.229159729768</v>
      </c>
      <c r="AW140" s="2451">
        <f t="shared" si="225"/>
        <v>13420.887610453228</v>
      </c>
      <c r="AX140" s="2451">
        <f t="shared" si="225"/>
        <v>14246.520336167292</v>
      </c>
      <c r="AY140" s="2451">
        <f t="shared" si="225"/>
        <v>14892.602729262429</v>
      </c>
      <c r="AZ140" s="2451">
        <f t="shared" si="225"/>
        <v>15666.508220521035</v>
      </c>
      <c r="BA140" s="2451">
        <f t="shared" si="225"/>
        <v>16265.743285299388</v>
      </c>
      <c r="BB140" s="2451">
        <f t="shared" si="225"/>
        <v>17036.657792801616</v>
      </c>
      <c r="BC140" s="2451">
        <f t="shared" si="225"/>
        <v>17639.597220223997</v>
      </c>
      <c r="BD140" s="2451">
        <f t="shared" si="225"/>
        <v>18245.302809172903</v>
      </c>
      <c r="BE140" s="2451">
        <f t="shared" si="225"/>
        <v>18685.848821440712</v>
      </c>
      <c r="BF140" s="2451">
        <f t="shared" si="225"/>
        <v>19315.527696071957</v>
      </c>
      <c r="BG140" s="2451">
        <f t="shared" si="225"/>
        <v>19869.34278925895</v>
      </c>
      <c r="BH140" s="2451">
        <f t="shared" si="225"/>
        <v>20349.814263621392</v>
      </c>
      <c r="BI140" s="2451">
        <f t="shared" si="225"/>
        <v>20817.351486964752</v>
      </c>
      <c r="BJ140" s="2451">
        <f t="shared" si="225"/>
        <v>21313.299560969044</v>
      </c>
      <c r="BK140" s="2451">
        <f t="shared" si="225"/>
        <v>21768.153653834837</v>
      </c>
      <c r="BL140" s="2451">
        <f t="shared" si="225"/>
        <v>22301.588607787486</v>
      </c>
      <c r="BM140" s="2451">
        <f t="shared" si="225"/>
        <v>22690.411174689958</v>
      </c>
      <c r="BN140" s="2451">
        <f t="shared" si="225"/>
        <v>23332.990377342718</v>
      </c>
      <c r="BO140" s="2451">
        <f t="shared" ref="BO140:DZ140" si="226">BO138*BO139</f>
        <v>23610.87797535336</v>
      </c>
      <c r="BP140" s="2451">
        <f t="shared" si="226"/>
        <v>24129.170740543894</v>
      </c>
      <c r="BQ140" s="2451">
        <f t="shared" si="226"/>
        <v>24310.975911605066</v>
      </c>
      <c r="BR140" s="2451">
        <f t="shared" si="226"/>
        <v>24854.994466812568</v>
      </c>
      <c r="BS140" s="2451">
        <f t="shared" si="226"/>
        <v>25128.11943939792</v>
      </c>
      <c r="BT140" s="2451">
        <f t="shared" si="226"/>
        <v>25746.893499432423</v>
      </c>
      <c r="BU140" s="2451">
        <f t="shared" si="226"/>
        <v>25663.989321017609</v>
      </c>
      <c r="BV140" s="2451">
        <f t="shared" si="226"/>
        <v>25915.281852223347</v>
      </c>
      <c r="BW140" s="2451">
        <f t="shared" si="226"/>
        <v>26215.037915799261</v>
      </c>
      <c r="BX140" s="2451">
        <f t="shared" si="226"/>
        <v>26482.757409904323</v>
      </c>
      <c r="BY140" s="2451">
        <f t="shared" si="226"/>
        <v>26638.228827017578</v>
      </c>
      <c r="BZ140" s="2451">
        <f t="shared" si="226"/>
        <v>26857.355051946201</v>
      </c>
      <c r="CA140" s="2451">
        <f t="shared" si="226"/>
        <v>26941.927739865674</v>
      </c>
      <c r="CB140" s="2451">
        <f t="shared" si="226"/>
        <v>27354.812137516212</v>
      </c>
      <c r="CC140" s="2451">
        <f t="shared" si="226"/>
        <v>27364.661409698518</v>
      </c>
      <c r="CD140" s="2451">
        <f t="shared" si="226"/>
        <v>27886.883918067895</v>
      </c>
      <c r="CE140" s="2451">
        <f t="shared" si="226"/>
        <v>28042.738979864811</v>
      </c>
      <c r="CF140" s="2451">
        <f t="shared" si="226"/>
        <v>28437.948653261097</v>
      </c>
      <c r="CG140" s="2451">
        <f t="shared" si="226"/>
        <v>28754.233581131626</v>
      </c>
      <c r="CH140" s="2451">
        <f t="shared" ca="1" si="226"/>
        <v>28926.859501521663</v>
      </c>
      <c r="CI140" s="2451">
        <f t="shared" ca="1" si="226"/>
        <v>29089.340784572374</v>
      </c>
      <c r="CJ140" s="2451">
        <f t="shared" ca="1" si="226"/>
        <v>29241.923237536175</v>
      </c>
      <c r="CK140" s="2451">
        <f t="shared" ca="1" si="226"/>
        <v>29384.847833240419</v>
      </c>
      <c r="CL140" s="2451">
        <f t="shared" ca="1" si="226"/>
        <v>29518.35079646112</v>
      </c>
      <c r="CM140" s="2451">
        <f t="shared" ca="1" si="226"/>
        <v>29642.66368883671</v>
      </c>
      <c r="CN140" s="2451">
        <f t="shared" ca="1" si="226"/>
        <v>29758.013492345803</v>
      </c>
      <c r="CO140" s="2451">
        <f t="shared" ca="1" si="226"/>
        <v>29864.622691372169</v>
      </c>
      <c r="CP140" s="2451">
        <f t="shared" ca="1" si="226"/>
        <v>29962.70935338016</v>
      </c>
      <c r="CQ140" s="2451">
        <f t="shared" ca="1" si="226"/>
        <v>30052.487208223123</v>
      </c>
      <c r="CR140" s="2451">
        <f t="shared" ca="1" si="226"/>
        <v>30134.165726107287</v>
      </c>
      <c r="CS140" s="2451">
        <f t="shared" ca="1" si="226"/>
        <v>30207.950194232839</v>
      </c>
      <c r="CT140" s="2451">
        <f t="shared" ca="1" si="226"/>
        <v>30274.041792134056</v>
      </c>
      <c r="CU140" s="2451">
        <f t="shared" ca="1" si="226"/>
        <v>30332.637665739665</v>
      </c>
      <c r="CV140" s="2451">
        <f t="shared" ca="1" si="226"/>
        <v>30383.931000174267</v>
      </c>
      <c r="CW140" s="2451">
        <f t="shared" ca="1" si="226"/>
        <v>30428.11109132164</v>
      </c>
      <c r="CX140" s="2451">
        <f t="shared" ca="1" si="226"/>
        <v>30465.363416169974</v>
      </c>
      <c r="CY140" s="2451">
        <f t="shared" ca="1" si="226"/>
        <v>30495.869701959135</v>
      </c>
      <c r="CZ140" s="2451">
        <f t="shared" ca="1" si="226"/>
        <v>30519.807994149502</v>
      </c>
      <c r="DA140" s="2451">
        <f t="shared" ca="1" si="226"/>
        <v>30537.352723231754</v>
      </c>
      <c r="DB140" s="2451">
        <f t="shared" ca="1" si="226"/>
        <v>30548.674770396592</v>
      </c>
      <c r="DC140" s="2451">
        <f t="shared" ca="1" si="226"/>
        <v>30553.941532083045</v>
      </c>
      <c r="DD140" s="2451">
        <f t="shared" ca="1" si="226"/>
        <v>30553.316983423912</v>
      </c>
      <c r="DE140" s="2451">
        <f t="shared" ca="1" si="226"/>
        <v>30546.961740606275</v>
      </c>
      <c r="DF140" s="2451">
        <f t="shared" ca="1" si="226"/>
        <v>30535.033122165023</v>
      </c>
      <c r="DG140" s="2451">
        <f t="shared" ca="1" si="226"/>
        <v>30517.685209226911</v>
      </c>
      <c r="DH140" s="2451">
        <f t="shared" ca="1" si="226"/>
        <v>30495.068904722386</v>
      </c>
      <c r="DI140" s="2451">
        <f t="shared" ca="1" si="226"/>
        <v>30467.331991582145</v>
      </c>
      <c r="DJ140" s="2451">
        <f t="shared" ca="1" si="226"/>
        <v>30434.619189935227</v>
      </c>
      <c r="DK140" s="2451">
        <f t="shared" ca="1" si="226"/>
        <v>30397.072213324951</v>
      </c>
      <c r="DL140" s="2451">
        <f t="shared" ca="1" si="226"/>
        <v>30354.829823958979</v>
      </c>
      <c r="DM140" s="2451">
        <f t="shared" ca="1" si="226"/>
        <v>30308.027887009353</v>
      </c>
      <c r="DN140" s="2451">
        <f t="shared" ca="1" si="226"/>
        <v>30256.79942397834</v>
      </c>
      <c r="DO140" s="2451">
        <f t="shared" ca="1" si="226"/>
        <v>30201.274665145156</v>
      </c>
      <c r="DP140" s="2451">
        <f t="shared" ca="1" si="226"/>
        <v>30141.581101109154</v>
      </c>
      <c r="DQ140" s="2451">
        <f t="shared" ca="1" si="226"/>
        <v>30077.843533444106</v>
      </c>
      <c r="DR140" s="2451">
        <f t="shared" ca="1" si="226"/>
        <v>30010.184124478357</v>
      </c>
      <c r="DS140" s="2451">
        <f t="shared" ca="1" si="226"/>
        <v>29938.72244621527</v>
      </c>
      <c r="DT140" s="2451">
        <f t="shared" ca="1" si="226"/>
        <v>29863.575528408306</v>
      </c>
      <c r="DU140" s="2451">
        <f t="shared" ca="1" si="226"/>
        <v>29784.857905804562</v>
      </c>
      <c r="DV140" s="2451">
        <f t="shared" ca="1" si="226"/>
        <v>29702.681664570602</v>
      </c>
      <c r="DW140" s="2451">
        <f t="shared" ca="1" si="226"/>
        <v>29617.156487914148</v>
      </c>
      <c r="DX140" s="2451">
        <f t="shared" ca="1" si="226"/>
        <v>29528.389700914919</v>
      </c>
      <c r="DY140" s="2451">
        <f t="shared" ca="1" si="226"/>
        <v>29436.486314577709</v>
      </c>
      <c r="DZ140" s="2451">
        <f t="shared" ca="1" si="226"/>
        <v>29341.549069120723</v>
      </c>
      <c r="EA140" s="2451">
        <f t="shared" ref="EA140:GL140" ca="1" si="227">EA138*EA139</f>
        <v>29243.678476511719</v>
      </c>
      <c r="EB140" s="2451">
        <f t="shared" ca="1" si="227"/>
        <v>29142.972862264465</v>
      </c>
      <c r="EC140" s="2451">
        <f t="shared" ca="1" si="227"/>
        <v>29039.528406507998</v>
      </c>
      <c r="ED140" s="2451">
        <f t="shared" ca="1" si="227"/>
        <v>28933.439184340361</v>
      </c>
      <c r="EE140" s="2451">
        <f t="shared" ca="1" si="227"/>
        <v>28824.797205479259</v>
      </c>
      <c r="EF140" s="2451">
        <f t="shared" ca="1" si="227"/>
        <v>28713.692453220774</v>
      </c>
      <c r="EG140" s="2451">
        <f t="shared" ca="1" si="227"/>
        <v>28600.212922718121</v>
      </c>
      <c r="EH140" s="2451">
        <f t="shared" ca="1" si="227"/>
        <v>28484.444658591485</v>
      </c>
      <c r="EI140" s="2451">
        <f t="shared" ca="1" si="227"/>
        <v>28366.471791880216</v>
      </c>
      <c r="EJ140" s="2451">
        <f t="shared" ca="1" si="227"/>
        <v>28246.376576348273</v>
      </c>
      <c r="EK140" s="2451">
        <f t="shared" ca="1" si="227"/>
        <v>28124.239424153744</v>
      </c>
      <c r="EL140" s="2451">
        <f t="shared" ca="1" si="227"/>
        <v>28000.138940893077</v>
      </c>
      <c r="EM140" s="2451">
        <f t="shared" ca="1" si="227"/>
        <v>27874.151960030485</v>
      </c>
      <c r="EN140" s="2451">
        <f t="shared" ca="1" si="227"/>
        <v>27746.353576722631</v>
      </c>
      <c r="EO140" s="2451">
        <f t="shared" ca="1" si="227"/>
        <v>27616.81718104894</v>
      </c>
      <c r="EP140" s="2451">
        <f t="shared" ca="1" si="227"/>
        <v>27485.614490657368</v>
      </c>
      <c r="EQ140" s="2451">
        <f t="shared" ca="1" si="227"/>
        <v>27352.815582835276</v>
      </c>
      <c r="ER140" s="2451">
        <f t="shared" ca="1" si="227"/>
        <v>27218.488926015376</v>
      </c>
      <c r="ES140" s="2451">
        <f t="shared" ca="1" si="227"/>
        <v>27082.701410725847</v>
      </c>
      <c r="ET140" s="2451">
        <f t="shared" ca="1" si="227"/>
        <v>26945.518379994199</v>
      </c>
      <c r="EU140" s="2451">
        <f t="shared" ca="1" si="227"/>
        <v>26807.003659213882</v>
      </c>
      <c r="EV140" s="2451">
        <f t="shared" ca="1" si="227"/>
        <v>26667.219585482766</v>
      </c>
      <c r="EW140" s="2451">
        <f t="shared" ca="1" si="227"/>
        <v>26526.227036422344</v>
      </c>
      <c r="EX140" s="2451">
        <f t="shared" ca="1" si="227"/>
        <v>26384.085458486359</v>
      </c>
      <c r="EY140" s="2451">
        <f t="shared" ca="1" si="227"/>
        <v>26240.852894767351</v>
      </c>
      <c r="EZ140" s="2451">
        <f t="shared" ca="1" si="227"/>
        <v>26096.58601230981</v>
      </c>
      <c r="FA140" s="2451">
        <f t="shared" ca="1" si="227"/>
        <v>25951.34012893794</v>
      </c>
      <c r="FB140" s="2451">
        <f t="shared" ca="1" si="227"/>
        <v>25805.169239606548</v>
      </c>
      <c r="FC140" s="2451">
        <f t="shared" ca="1" si="227"/>
        <v>25658.126042282664</v>
      </c>
      <c r="FD140" s="2451">
        <f t="shared" ca="1" si="227"/>
        <v>25510.261963366353</v>
      </c>
      <c r="FE140" s="2451">
        <f t="shared" ca="1" si="227"/>
        <v>25361.62718265783</v>
      </c>
      <c r="FF140" s="2451">
        <f t="shared" ca="1" si="227"/>
        <v>25212.270657879217</v>
      </c>
      <c r="FG140" s="2451">
        <f t="shared" ca="1" si="227"/>
        <v>25062.240148758039</v>
      </c>
      <c r="FH140" s="2451">
        <f t="shared" ca="1" si="227"/>
        <v>24911.582240679825</v>
      </c>
      <c r="FI140" s="2451">
        <f t="shared" ca="1" si="227"/>
        <v>24760.342367917499</v>
      </c>
      <c r="FJ140" s="2451">
        <f t="shared" ca="1" si="227"/>
        <v>24608.564836444279</v>
      </c>
      <c r="FK140" s="2451">
        <f t="shared" ca="1" si="227"/>
        <v>24456.292846337474</v>
      </c>
      <c r="FL140" s="2451">
        <f t="shared" ca="1" si="227"/>
        <v>24303.568513779865</v>
      </c>
      <c r="FM140" s="2451">
        <f t="shared" ca="1" si="227"/>
        <v>24150.432892665682</v>
      </c>
      <c r="FN140" s="2451">
        <f t="shared" ca="1" si="227"/>
        <v>23996.925995817663</v>
      </c>
      <c r="FO140" s="2451">
        <f t="shared" ca="1" si="227"/>
        <v>23843.086815822102</v>
      </c>
      <c r="FP140" s="2451">
        <f t="shared" ca="1" si="227"/>
        <v>23688.953345488193</v>
      </c>
      <c r="FQ140" s="2451">
        <f t="shared" ca="1" si="227"/>
        <v>23534.562597937867</v>
      </c>
      <c r="FR140" s="2451">
        <f t="shared" ca="1" si="227"/>
        <v>23379.950626332982</v>
      </c>
      <c r="FS140" s="2451">
        <f t="shared" ca="1" si="227"/>
        <v>23225.152543245236</v>
      </c>
      <c r="FT140" s="2451">
        <f t="shared" ca="1" si="227"/>
        <v>23070.202539675669</v>
      </c>
      <c r="FU140" s="2451">
        <f t="shared" ca="1" si="227"/>
        <v>22915.133903729205</v>
      </c>
      <c r="FV140" s="2451">
        <f t="shared" ca="1" si="227"/>
        <v>22759.979038950412</v>
      </c>
      <c r="FW140" s="2451">
        <f t="shared" ca="1" si="227"/>
        <v>22604.769482325948</v>
      </c>
      <c r="FX140" s="2451">
        <f t="shared" ca="1" si="227"/>
        <v>22449.53592195977</v>
      </c>
      <c r="FY140" s="2451">
        <f t="shared" ca="1" si="227"/>
        <v>22294.308214426401</v>
      </c>
      <c r="FZ140" s="2451">
        <f t="shared" ca="1" si="227"/>
        <v>22139.115401807943</v>
      </c>
      <c r="GA140" s="2451">
        <f t="shared" ca="1" si="227"/>
        <v>21983.985728420015</v>
      </c>
      <c r="GB140" s="2451">
        <f t="shared" ca="1" si="227"/>
        <v>21828.946657232314</v>
      </c>
      <c r="GC140" s="2451">
        <f t="shared" ca="1" si="227"/>
        <v>21674.02488598866</v>
      </c>
      <c r="GD140" s="2451">
        <f t="shared" ca="1" si="227"/>
        <v>21519.246363031827</v>
      </c>
      <c r="GE140" s="2451">
        <f t="shared" ca="1" si="227"/>
        <v>21364.63630283836</v>
      </c>
      <c r="GF140" s="2451">
        <f t="shared" ca="1" si="227"/>
        <v>21210.219201268072</v>
      </c>
      <c r="GG140" s="2451">
        <f t="shared" ca="1" si="227"/>
        <v>21056.018850533339</v>
      </c>
      <c r="GH140" s="2451">
        <f t="shared" ca="1" si="227"/>
        <v>20902.058353893099</v>
      </c>
      <c r="GI140" s="2451">
        <f t="shared" ca="1" si="227"/>
        <v>20748.360140075882</v>
      </c>
      <c r="GJ140" s="2451">
        <f t="shared" ca="1" si="227"/>
        <v>20594.945977436979</v>
      </c>
      <c r="GK140" s="2451">
        <f t="shared" ca="1" si="227"/>
        <v>20441.836987854109</v>
      </c>
      <c r="GL140" s="2451">
        <f t="shared" ca="1" si="227"/>
        <v>20289.053660366168</v>
      </c>
      <c r="GM140" s="2451">
        <f t="shared" ref="GM140:IA140" ca="1" si="228">GM138*GM139</f>
        <v>20136.615864559299</v>
      </c>
      <c r="GN140" s="2451">
        <f t="shared" ca="1" si="228"/>
        <v>19984.542863705141</v>
      </c>
      <c r="GO140" s="2451">
        <f t="shared" ca="1" si="228"/>
        <v>19832.853327654881</v>
      </c>
      <c r="GP140" s="2451">
        <f t="shared" ca="1" si="228"/>
        <v>19681.565345493833</v>
      </c>
      <c r="GQ140" s="2451">
        <f t="shared" ca="1" si="228"/>
        <v>19530.696437960523</v>
      </c>
      <c r="GR140" s="2451">
        <f t="shared" ca="1" si="228"/>
        <v>19380.263569634222</v>
      </c>
      <c r="GS140" s="2451">
        <f t="shared" ca="1" si="228"/>
        <v>19230.283160895255</v>
      </c>
      <c r="GT140" s="2451">
        <f t="shared" ca="1" si="228"/>
        <v>19080.771099661739</v>
      </c>
      <c r="GU140" s="2451">
        <f t="shared" ca="1" si="228"/>
        <v>18931.742752906717</v>
      </c>
      <c r="GV140" s="2451">
        <f t="shared" ca="1" si="228"/>
        <v>18783.212977959593</v>
      </c>
      <c r="GW140" s="2451">
        <f t="shared" ca="1" si="228"/>
        <v>18635.196133595615</v>
      </c>
      <c r="GX140" s="2451">
        <f t="shared" ca="1" si="228"/>
        <v>18487.706090916865</v>
      </c>
      <c r="GY140" s="2451">
        <f t="shared" ca="1" si="228"/>
        <v>18340.756244028657</v>
      </c>
      <c r="GZ140" s="2451">
        <f t="shared" ca="1" si="228"/>
        <v>18194.359520514758</v>
      </c>
      <c r="HA140" s="2451">
        <f t="shared" ca="1" si="228"/>
        <v>18048.528391715081</v>
      </c>
      <c r="HB140" s="2451">
        <f t="shared" ca="1" si="228"/>
        <v>17903.274882809175</v>
      </c>
      <c r="HC140" s="2451">
        <f t="shared" ca="1" si="228"/>
        <v>17758.610582708876</v>
      </c>
      <c r="HD140" s="2451">
        <f t="shared" ca="1" si="228"/>
        <v>17614.546653763518</v>
      </c>
      <c r="HE140" s="2451">
        <f t="shared" ca="1" si="228"/>
        <v>17471.093841281145</v>
      </c>
      <c r="HF140" s="2451">
        <f t="shared" ca="1" si="228"/>
        <v>17328.262482868522</v>
      </c>
      <c r="HG140" s="2451">
        <f t="shared" ca="1" si="228"/>
        <v>17186.062517593735</v>
      </c>
      <c r="HH140" s="2451">
        <f t="shared" ca="1" si="228"/>
        <v>17044.503494973829</v>
      </c>
      <c r="HI140" s="2451">
        <f t="shared" ca="1" si="228"/>
        <v>16903.594583791008</v>
      </c>
      <c r="HJ140" s="2451">
        <f t="shared" ca="1" si="228"/>
        <v>16763.344580740253</v>
      </c>
      <c r="HK140" s="2451">
        <f t="shared" ca="1" si="228"/>
        <v>16623.761918911448</v>
      </c>
      <c r="HL140" s="2451">
        <f t="shared" ca="1" si="228"/>
        <v>16484.854676108665</v>
      </c>
      <c r="HM140" s="2451">
        <f t="shared" ca="1" si="228"/>
        <v>16346.630583009781</v>
      </c>
      <c r="HN140" s="2451">
        <f t="shared" ca="1" si="228"/>
        <v>16209.097031168929</v>
      </c>
      <c r="HO140" s="2451">
        <f t="shared" ca="1" si="228"/>
        <v>16072.261080864973</v>
      </c>
      <c r="HP140" s="2451">
        <f t="shared" ca="1" si="228"/>
        <v>15936.129468798257</v>
      </c>
      <c r="HQ140" s="2451">
        <f t="shared" ca="1" si="228"/>
        <v>15800.708615638743</v>
      </c>
      <c r="HR140" s="2451">
        <f t="shared" ca="1" si="228"/>
        <v>15666.004633427676</v>
      </c>
      <c r="HS140" s="2451">
        <f t="shared" ca="1" si="228"/>
        <v>15532.023332836072</v>
      </c>
      <c r="HT140" s="2451">
        <f t="shared" ca="1" si="228"/>
        <v>15398.770230281763</v>
      </c>
      <c r="HU140" s="2451">
        <f t="shared" ca="1" si="228"/>
        <v>15266.250554908196</v>
      </c>
      <c r="HV140" s="2451">
        <f t="shared" ca="1" si="228"/>
        <v>15134.469255426817</v>
      </c>
      <c r="HW140" s="2451">
        <f t="shared" ca="1" si="228"/>
        <v>15003.431006826264</v>
      </c>
      <c r="HX140" s="2451">
        <f t="shared" ca="1" si="228"/>
        <v>14873.140216949789</v>
      </c>
      <c r="HY140" s="2451">
        <f t="shared" ca="1" si="228"/>
        <v>14743.601032944189</v>
      </c>
      <c r="HZ140" s="2451">
        <f t="shared" ca="1" si="228"/>
        <v>14614.817347581735</v>
      </c>
      <c r="IA140" s="2451">
        <f t="shared" ca="1" si="228"/>
        <v>14489.813920523355</v>
      </c>
    </row>
    <row r="141" spans="3:235">
      <c r="C141" s="2466"/>
      <c r="D141" s="2481" t="s">
        <v>3935</v>
      </c>
      <c r="E141" s="2385"/>
      <c r="F141" s="2385"/>
      <c r="G141" s="2386"/>
      <c r="H141" s="2392"/>
      <c r="I141" s="2482"/>
      <c r="J141" s="2395">
        <f>J$53</f>
        <v>0</v>
      </c>
      <c r="K141" s="2387">
        <f t="shared" ref="K141:BV141" si="229">K$53</f>
        <v>0</v>
      </c>
      <c r="L141" s="2393">
        <f t="shared" si="229"/>
        <v>0</v>
      </c>
      <c r="M141" s="2395">
        <f t="shared" si="229"/>
        <v>0</v>
      </c>
      <c r="N141" s="2387">
        <f>N$53</f>
        <v>0</v>
      </c>
      <c r="O141" s="2393">
        <f t="shared" si="229"/>
        <v>0</v>
      </c>
      <c r="P141" s="2387">
        <f t="shared" si="229"/>
        <v>0</v>
      </c>
      <c r="Q141" s="2392">
        <f t="shared" si="229"/>
        <v>0</v>
      </c>
      <c r="R141" s="2395">
        <f t="shared" si="229"/>
        <v>0</v>
      </c>
      <c r="S141" s="2387">
        <f t="shared" si="229"/>
        <v>0</v>
      </c>
      <c r="T141" s="2392">
        <f t="shared" si="229"/>
        <v>0</v>
      </c>
      <c r="U141" s="2394">
        <f t="shared" si="229"/>
        <v>0</v>
      </c>
      <c r="V141" s="2394">
        <f t="shared" si="229"/>
        <v>0</v>
      </c>
      <c r="W141" s="2394">
        <f t="shared" si="229"/>
        <v>0</v>
      </c>
      <c r="X141" s="2394">
        <f t="shared" si="229"/>
        <v>0</v>
      </c>
      <c r="Y141" s="2394">
        <f t="shared" si="229"/>
        <v>0</v>
      </c>
      <c r="Z141" s="2394">
        <f t="shared" si="229"/>
        <v>0</v>
      </c>
      <c r="AA141" s="2394">
        <f t="shared" si="229"/>
        <v>0</v>
      </c>
      <c r="AB141" s="2394">
        <f t="shared" si="229"/>
        <v>0</v>
      </c>
      <c r="AC141" s="2394">
        <f t="shared" si="229"/>
        <v>0</v>
      </c>
      <c r="AD141" s="2394">
        <f t="shared" si="229"/>
        <v>0</v>
      </c>
      <c r="AE141" s="2394">
        <f t="shared" si="229"/>
        <v>0</v>
      </c>
      <c r="AF141" s="2394">
        <f t="shared" si="229"/>
        <v>0</v>
      </c>
      <c r="AG141" s="2394">
        <f t="shared" si="229"/>
        <v>0</v>
      </c>
      <c r="AH141" s="2394">
        <f t="shared" si="229"/>
        <v>0</v>
      </c>
      <c r="AI141" s="2394">
        <f t="shared" si="229"/>
        <v>0</v>
      </c>
      <c r="AJ141" s="2394">
        <f t="shared" si="229"/>
        <v>0</v>
      </c>
      <c r="AK141" s="2394">
        <f t="shared" si="229"/>
        <v>0</v>
      </c>
      <c r="AL141" s="2394">
        <f t="shared" si="229"/>
        <v>0</v>
      </c>
      <c r="AM141" s="2394">
        <f t="shared" si="229"/>
        <v>0</v>
      </c>
      <c r="AN141" s="2394">
        <f t="shared" si="229"/>
        <v>0</v>
      </c>
      <c r="AO141" s="2394">
        <f t="shared" si="229"/>
        <v>0</v>
      </c>
      <c r="AP141" s="2394">
        <f t="shared" si="229"/>
        <v>0</v>
      </c>
      <c r="AQ141" s="2394">
        <f t="shared" si="229"/>
        <v>0</v>
      </c>
      <c r="AR141" s="2394">
        <f t="shared" si="229"/>
        <v>0</v>
      </c>
      <c r="AS141" s="2394">
        <f t="shared" si="229"/>
        <v>0</v>
      </c>
      <c r="AT141" s="2394">
        <f t="shared" si="229"/>
        <v>0</v>
      </c>
      <c r="AU141" s="2394">
        <f t="shared" si="229"/>
        <v>0</v>
      </c>
      <c r="AV141" s="2394">
        <f t="shared" si="229"/>
        <v>0</v>
      </c>
      <c r="AW141" s="2394">
        <f t="shared" si="229"/>
        <v>0</v>
      </c>
      <c r="AX141" s="2394">
        <f t="shared" si="229"/>
        <v>138589.95179174127</v>
      </c>
      <c r="AY141" s="2394">
        <f t="shared" si="229"/>
        <v>140327.85017177768</v>
      </c>
      <c r="AZ141" s="2394">
        <f t="shared" si="229"/>
        <v>140632.62320153727</v>
      </c>
      <c r="BA141" s="2394">
        <f t="shared" si="229"/>
        <v>140919.04168208138</v>
      </c>
      <c r="BB141" s="2394">
        <f t="shared" si="229"/>
        <v>141348.57751019343</v>
      </c>
      <c r="BC141" s="2394">
        <f t="shared" si="229"/>
        <v>141698.12757668554</v>
      </c>
      <c r="BD141" s="2394">
        <f t="shared" si="229"/>
        <v>140903.6493186079</v>
      </c>
      <c r="BE141" s="2394">
        <f t="shared" si="229"/>
        <v>140042.76853834922</v>
      </c>
      <c r="BF141" s="2394">
        <f t="shared" si="229"/>
        <v>139371.51183788144</v>
      </c>
      <c r="BG141" s="2394">
        <f t="shared" si="229"/>
        <v>138574.13550564114</v>
      </c>
      <c r="BH141" s="2394">
        <f t="shared" si="229"/>
        <v>137198.26922407805</v>
      </c>
      <c r="BI141" s="2394">
        <f t="shared" si="229"/>
        <v>135731.45453272937</v>
      </c>
      <c r="BJ141" s="2394">
        <f t="shared" si="229"/>
        <v>134474.59375529306</v>
      </c>
      <c r="BK141" s="2394">
        <f t="shared" si="229"/>
        <v>133069.75107552609</v>
      </c>
      <c r="BL141" s="2394">
        <f t="shared" si="229"/>
        <v>132063.57196821159</v>
      </c>
      <c r="BM141" s="2394">
        <f t="shared" si="229"/>
        <v>130983.73877872714</v>
      </c>
      <c r="BN141" s="2394">
        <f t="shared" si="229"/>
        <v>130092.62680889813</v>
      </c>
      <c r="BO141" s="2394">
        <f t="shared" si="229"/>
        <v>129072.37363150725</v>
      </c>
      <c r="BP141" s="2394">
        <f t="shared" si="229"/>
        <v>128372.41208472819</v>
      </c>
      <c r="BQ141" s="2394">
        <f t="shared" si="229"/>
        <v>127612.99509804499</v>
      </c>
      <c r="BR141" s="2394">
        <f t="shared" si="229"/>
        <v>127025.33507675672</v>
      </c>
      <c r="BS141" s="2394">
        <f t="shared" si="229"/>
        <v>126323.76933355199</v>
      </c>
      <c r="BT141" s="2394">
        <f t="shared" si="229"/>
        <v>126061.29963720351</v>
      </c>
      <c r="BU141" s="2394">
        <f t="shared" si="229"/>
        <v>125758.99314428572</v>
      </c>
      <c r="BV141" s="2394">
        <f t="shared" si="229"/>
        <v>125607.49148883716</v>
      </c>
      <c r="BW141" s="2394">
        <f t="shared" ref="BW141:EH141" si="230">BW$53</f>
        <v>125361.89769074578</v>
      </c>
      <c r="BX141" s="2394">
        <f t="shared" si="230"/>
        <v>124896.08952279836</v>
      </c>
      <c r="BY141" s="2394">
        <f t="shared" si="230"/>
        <v>124381.83028731331</v>
      </c>
      <c r="BZ141" s="2394">
        <f t="shared" si="230"/>
        <v>133251.50808108476</v>
      </c>
      <c r="CA141" s="2394">
        <f t="shared" si="230"/>
        <v>132759.41338106734</v>
      </c>
      <c r="CB141" s="2394">
        <f t="shared" si="230"/>
        <v>132318.48056150906</v>
      </c>
      <c r="CC141" s="2394">
        <f t="shared" si="230"/>
        <v>131828.51166169724</v>
      </c>
      <c r="CD141" s="2394">
        <f t="shared" si="230"/>
        <v>128929.21798149546</v>
      </c>
      <c r="CE141" s="2394">
        <f t="shared" si="230"/>
        <v>128507.24095138341</v>
      </c>
      <c r="CF141" s="2394">
        <f t="shared" si="230"/>
        <v>128033.88186104895</v>
      </c>
      <c r="CG141" s="2394">
        <f t="shared" si="230"/>
        <v>127511.03569455992</v>
      </c>
      <c r="CH141" s="2394">
        <f t="shared" si="230"/>
        <v>118319.46457565539</v>
      </c>
      <c r="CI141" s="2394">
        <f t="shared" si="230"/>
        <v>117886.57385782884</v>
      </c>
      <c r="CJ141" s="2394">
        <f t="shared" si="230"/>
        <v>117418.93619039399</v>
      </c>
      <c r="CK141" s="2394">
        <f>CK$53</f>
        <v>116904.45084481187</v>
      </c>
      <c r="CL141" s="2394">
        <f ca="1">CL$53</f>
        <v>115270.88619314223</v>
      </c>
      <c r="CM141" s="2394">
        <f t="shared" ca="1" si="230"/>
        <v>114814.30263507871</v>
      </c>
      <c r="CN141" s="2394">
        <f t="shared" ca="1" si="230"/>
        <v>114362.39000191793</v>
      </c>
      <c r="CO141" s="2394">
        <f t="shared" ca="1" si="230"/>
        <v>113865.00424360941</v>
      </c>
      <c r="CP141" s="2394">
        <f t="shared" ca="1" si="230"/>
        <v>115085.12832009835</v>
      </c>
      <c r="CQ141" s="2394">
        <f t="shared" ca="1" si="230"/>
        <v>114633.06717793335</v>
      </c>
      <c r="CR141" s="2394">
        <f t="shared" ca="1" si="230"/>
        <v>114281.38447811644</v>
      </c>
      <c r="CS141" s="2394">
        <f t="shared" ca="1" si="230"/>
        <v>113888.6223488445</v>
      </c>
      <c r="CT141" s="2394">
        <f t="shared" ca="1" si="230"/>
        <v>116330.69440364877</v>
      </c>
      <c r="CU141" s="2394">
        <f t="shared" ca="1" si="230"/>
        <v>115981.28161433071</v>
      </c>
      <c r="CV141" s="2394">
        <f t="shared" ca="1" si="230"/>
        <v>115399.02838977661</v>
      </c>
      <c r="CW141" s="2394">
        <f t="shared" ca="1" si="230"/>
        <v>114765.37875521831</v>
      </c>
      <c r="CX141" s="2394">
        <f t="shared" ca="1" si="230"/>
        <v>104618.71091854967</v>
      </c>
      <c r="CY141" s="2394">
        <f t="shared" ca="1" si="230"/>
        <v>104086.24813553962</v>
      </c>
      <c r="CZ141" s="2394">
        <f t="shared" ca="1" si="230"/>
        <v>103557.59169818764</v>
      </c>
      <c r="DA141" s="2394">
        <f t="shared" ca="1" si="230"/>
        <v>102982.54431794748</v>
      </c>
      <c r="DB141" s="2394">
        <f t="shared" ca="1" si="230"/>
        <v>88126.85384168569</v>
      </c>
      <c r="DC141" s="2394">
        <f t="shared" ca="1" si="230"/>
        <v>87672.757487581111</v>
      </c>
      <c r="DD141" s="2394">
        <f t="shared" ca="1" si="230"/>
        <v>87338.822837010564</v>
      </c>
      <c r="DE141" s="2394">
        <f t="shared" ca="1" si="230"/>
        <v>86970.648836566805</v>
      </c>
      <c r="DF141" s="2394">
        <f t="shared" ca="1" si="230"/>
        <v>79883.917745692263</v>
      </c>
      <c r="DG141" s="2394">
        <f t="shared" ca="1" si="230"/>
        <v>79580.970210527477</v>
      </c>
      <c r="DH141" s="2394">
        <f t="shared" ca="1" si="230"/>
        <v>81006.94197256559</v>
      </c>
      <c r="DI141" s="2394">
        <f t="shared" ca="1" si="230"/>
        <v>82476.927161115644</v>
      </c>
      <c r="DJ141" s="2394">
        <f t="shared" ca="1" si="230"/>
        <v>82860.715226921864</v>
      </c>
      <c r="DK141" s="2394">
        <f t="shared" ca="1" si="230"/>
        <v>84346.763750329803</v>
      </c>
      <c r="DL141" s="2394">
        <f t="shared" ca="1" si="230"/>
        <v>84490.118958649662</v>
      </c>
      <c r="DM141" s="2394">
        <f t="shared" ca="1" si="230"/>
        <v>84620.711833963243</v>
      </c>
      <c r="DN141" s="2394">
        <f t="shared" ca="1" si="230"/>
        <v>86111.290281068024</v>
      </c>
      <c r="DO141" s="2394">
        <f t="shared" ca="1" si="230"/>
        <v>86282.348267450783</v>
      </c>
      <c r="DP141" s="2394">
        <f t="shared" ca="1" si="230"/>
        <v>86167.693205226155</v>
      </c>
      <c r="DQ141" s="2394">
        <f t="shared" ca="1" si="230"/>
        <v>86028.634917325879</v>
      </c>
      <c r="DR141" s="2394">
        <f t="shared" ca="1" si="230"/>
        <v>88123.982674915474</v>
      </c>
      <c r="DS141" s="2394">
        <f t="shared" ca="1" si="230"/>
        <v>88021.185502843029</v>
      </c>
      <c r="DT141" s="2394">
        <f t="shared" ca="1" si="230"/>
        <v>87783.402211960187</v>
      </c>
      <c r="DU141" s="2394">
        <f t="shared" ca="1" si="230"/>
        <v>87515.476900405018</v>
      </c>
      <c r="DV141" s="2394">
        <f t="shared" ca="1" si="230"/>
        <v>88380.493348685268</v>
      </c>
      <c r="DW141" s="2394">
        <f t="shared" ca="1" si="230"/>
        <v>88149.39092429039</v>
      </c>
      <c r="DX141" s="2394">
        <f t="shared" ca="1" si="230"/>
        <v>88475.860285290692</v>
      </c>
      <c r="DY141" s="2394">
        <f t="shared" ca="1" si="230"/>
        <v>88796.663750111969</v>
      </c>
      <c r="DZ141" s="2394">
        <f t="shared" ca="1" si="230"/>
        <v>89361.376753496748</v>
      </c>
      <c r="EA141" s="2394">
        <f t="shared" ca="1" si="230"/>
        <v>89722.511990339874</v>
      </c>
      <c r="EB141" s="2394">
        <f t="shared" ca="1" si="230"/>
        <v>89468.076223303535</v>
      </c>
      <c r="EC141" s="2394">
        <f t="shared" ca="1" si="230"/>
        <v>89182.392231340942</v>
      </c>
      <c r="ED141" s="2394">
        <f t="shared" ca="1" si="230"/>
        <v>89842.476397857667</v>
      </c>
      <c r="EE141" s="2394">
        <f t="shared" ca="1" si="230"/>
        <v>89594.753278538454</v>
      </c>
      <c r="EF141" s="2394">
        <f t="shared" ca="1" si="230"/>
        <v>89151.771923881344</v>
      </c>
      <c r="EG141" s="2394">
        <f t="shared" ca="1" si="230"/>
        <v>88669.382739718218</v>
      </c>
      <c r="EH141" s="2394">
        <f t="shared" ca="1" si="230"/>
        <v>88678.221768227944</v>
      </c>
      <c r="EI141" s="2394">
        <f t="shared" ref="EI141:GT141" ca="1" si="231">EI$53</f>
        <v>88234.127368004338</v>
      </c>
      <c r="EJ141" s="2394">
        <f t="shared" ca="1" si="231"/>
        <v>87696.038542320064</v>
      </c>
      <c r="EK141" s="2394">
        <f t="shared" ca="1" si="231"/>
        <v>87114.717758796847</v>
      </c>
      <c r="EL141" s="2394">
        <f t="shared" ca="1" si="231"/>
        <v>86582.670271045587</v>
      </c>
      <c r="EM141" s="2394">
        <f t="shared" ca="1" si="231"/>
        <v>86041.324824718118</v>
      </c>
      <c r="EN141" s="2394">
        <f t="shared" ca="1" si="231"/>
        <v>85481.731521252383</v>
      </c>
      <c r="EO141" s="2394">
        <f t="shared" ca="1" si="231"/>
        <v>84878.465982909867</v>
      </c>
      <c r="EP141" s="2394">
        <f t="shared" ca="1" si="231"/>
        <v>85165.615963087679</v>
      </c>
      <c r="EQ141" s="2394">
        <f t="shared" ca="1" si="231"/>
        <v>84595.727637530348</v>
      </c>
      <c r="ER141" s="2394">
        <f t="shared" ca="1" si="231"/>
        <v>84010.578773293222</v>
      </c>
      <c r="ES141" s="2394">
        <f t="shared" ca="1" si="231"/>
        <v>83380.973251573494</v>
      </c>
      <c r="ET141" s="2394">
        <f t="shared" ca="1" si="231"/>
        <v>83200.057035041391</v>
      </c>
      <c r="EU141" s="2394">
        <f t="shared" ca="1" si="231"/>
        <v>82605.976970347576</v>
      </c>
      <c r="EV141" s="2394">
        <f t="shared" ca="1" si="231"/>
        <v>82180.750890153533</v>
      </c>
      <c r="EW141" s="2394">
        <f t="shared" ca="1" si="231"/>
        <v>81718.46138754343</v>
      </c>
      <c r="EX141" s="2394">
        <f t="shared" ca="1" si="231"/>
        <v>81279.507026235966</v>
      </c>
      <c r="EY141" s="2394">
        <f t="shared" ca="1" si="231"/>
        <v>80854.694889707243</v>
      </c>
      <c r="EZ141" s="2394">
        <f t="shared" ca="1" si="231"/>
        <v>80199.756912828045</v>
      </c>
      <c r="FA141" s="2394">
        <f t="shared" ca="1" si="231"/>
        <v>79498.173580259521</v>
      </c>
      <c r="FB141" s="2394">
        <f t="shared" ca="1" si="231"/>
        <v>79616.889887920508</v>
      </c>
      <c r="FC141" s="2394">
        <f t="shared" ca="1" si="231"/>
        <v>78945.5636079252</v>
      </c>
      <c r="FD141" s="2394">
        <f t="shared" ca="1" si="231"/>
        <v>78446.396700436555</v>
      </c>
      <c r="FE141" s="2394">
        <f t="shared" ca="1" si="231"/>
        <v>77907.779218070733</v>
      </c>
      <c r="FF141" s="2394">
        <f t="shared" ca="1" si="231"/>
        <v>77768.964010761469</v>
      </c>
      <c r="FG141" s="2394">
        <f t="shared" ca="1" si="231"/>
        <v>77263.819198853875</v>
      </c>
      <c r="FH141" s="2394">
        <f t="shared" ca="1" si="231"/>
        <v>76537.442788512519</v>
      </c>
      <c r="FI141" s="2394">
        <f t="shared" ca="1" si="231"/>
        <v>75762.126892435976</v>
      </c>
      <c r="FJ141" s="2394">
        <f t="shared" ca="1" si="231"/>
        <v>75006.160976961546</v>
      </c>
      <c r="FK141" s="2394">
        <f t="shared" ca="1" si="231"/>
        <v>74266.354707238381</v>
      </c>
      <c r="FL141" s="2394">
        <f t="shared" ca="1" si="231"/>
        <v>73530.978361200061</v>
      </c>
      <c r="FM141" s="2394">
        <f t="shared" ca="1" si="231"/>
        <v>72746.946458707855</v>
      </c>
      <c r="FN141" s="2394">
        <f t="shared" ca="1" si="231"/>
        <v>72702.489209761698</v>
      </c>
      <c r="FO141" s="2394">
        <f t="shared" ca="1" si="231"/>
        <v>71945.137598803267</v>
      </c>
      <c r="FP141" s="2394">
        <f t="shared" ca="1" si="231"/>
        <v>71133.269952830204</v>
      </c>
      <c r="FQ141" s="2394">
        <f t="shared" ca="1" si="231"/>
        <v>70269.94735370118</v>
      </c>
      <c r="FR141" s="2394">
        <f t="shared" ca="1" si="231"/>
        <v>69766.511204685405</v>
      </c>
      <c r="FS141" s="2394">
        <f t="shared" ca="1" si="231"/>
        <v>68932.389979326399</v>
      </c>
      <c r="FT141" s="2394">
        <f t="shared" ca="1" si="231"/>
        <v>68017.731181318159</v>
      </c>
      <c r="FU141" s="2394">
        <f t="shared" ca="1" si="231"/>
        <v>67047.831531652773</v>
      </c>
      <c r="FV141" s="2394">
        <f t="shared" ca="1" si="231"/>
        <v>66092.924800692766</v>
      </c>
      <c r="FW141" s="2394">
        <f t="shared" ca="1" si="231"/>
        <v>65155.20440651122</v>
      </c>
      <c r="FX141" s="2394">
        <f t="shared" ca="1" si="231"/>
        <v>64130.006551844293</v>
      </c>
      <c r="FY141" s="2394">
        <f t="shared" ca="1" si="231"/>
        <v>63045.617552546013</v>
      </c>
      <c r="FZ141" s="2394">
        <f t="shared" ca="1" si="231"/>
        <v>62602.672112368207</v>
      </c>
      <c r="GA141" s="2394">
        <f t="shared" ca="1" si="231"/>
        <v>61538.374082971939</v>
      </c>
      <c r="GB141" s="2394">
        <f t="shared" ca="1" si="231"/>
        <v>60402.318276207676</v>
      </c>
      <c r="GC141" s="2394">
        <f t="shared" ca="1" si="231"/>
        <v>59203.07108336431</v>
      </c>
      <c r="GD141" s="2394">
        <f t="shared" ca="1" si="231"/>
        <v>58313.040069698749</v>
      </c>
      <c r="GE141" s="2394">
        <f t="shared" ca="1" si="231"/>
        <v>57137.276012455375</v>
      </c>
      <c r="GF141" s="2394">
        <f t="shared" ca="1" si="231"/>
        <v>56102.550965892995</v>
      </c>
      <c r="GG141" s="2394">
        <f t="shared" ca="1" si="231"/>
        <v>55010.026011213995</v>
      </c>
      <c r="GH141" s="2394">
        <f t="shared" ca="1" si="231"/>
        <v>53931.46403622318</v>
      </c>
      <c r="GI141" s="2394">
        <f t="shared" ca="1" si="231"/>
        <v>52866.200221396903</v>
      </c>
      <c r="GJ141" s="2394">
        <f t="shared" ca="1" si="231"/>
        <v>53828.420680339281</v>
      </c>
      <c r="GK141" s="2394">
        <f t="shared" ca="1" si="231"/>
        <v>54820.528284979679</v>
      </c>
      <c r="GL141" s="2394">
        <f t="shared" ca="1" si="231"/>
        <v>56295.057303112495</v>
      </c>
      <c r="GM141" s="2394">
        <f t="shared" ca="1" si="231"/>
        <v>57319.565429335766</v>
      </c>
      <c r="GN141" s="2394">
        <f t="shared" ca="1" si="231"/>
        <v>56691.468039119922</v>
      </c>
      <c r="GO141" s="2394">
        <f t="shared" ca="1" si="231"/>
        <v>56023.189177871718</v>
      </c>
      <c r="GP141" s="2394">
        <f t="shared" ca="1" si="231"/>
        <v>55618.890548458985</v>
      </c>
      <c r="GQ141" s="2394">
        <f t="shared" ca="1" si="231"/>
        <v>54974.20743814516</v>
      </c>
      <c r="GR141" s="2394">
        <f t="shared" ca="1" si="231"/>
        <v>54037.952334903333</v>
      </c>
      <c r="GS141" s="2394">
        <f t="shared" ca="1" si="231"/>
        <v>53048.660734194636</v>
      </c>
      <c r="GT141" s="2394">
        <f t="shared" ca="1" si="231"/>
        <v>52059.91540829443</v>
      </c>
      <c r="GU141" s="2394">
        <f t="shared" ref="GU141:IA141" ca="1" si="232">GU$53</f>
        <v>51096.948762245738</v>
      </c>
      <c r="GV141" s="2394">
        <f t="shared" ca="1" si="232"/>
        <v>49917.427873416651</v>
      </c>
      <c r="GW141" s="2394">
        <f t="shared" ca="1" si="232"/>
        <v>48675.178519906542</v>
      </c>
      <c r="GX141" s="2394">
        <f t="shared" ca="1" si="232"/>
        <v>47923.280577670019</v>
      </c>
      <c r="GY141" s="2394">
        <f t="shared" ca="1" si="232"/>
        <v>46693.846061285098</v>
      </c>
      <c r="GZ141" s="2394">
        <f t="shared" ca="1" si="232"/>
        <v>45883.274873057853</v>
      </c>
      <c r="HA141" s="2394">
        <f t="shared" ca="1" si="232"/>
        <v>45026.989599697023</v>
      </c>
      <c r="HB141" s="2394">
        <f t="shared" ca="1" si="232"/>
        <v>44386.878192885117</v>
      </c>
      <c r="HC141" s="2394">
        <f t="shared" ca="1" si="232"/>
        <v>43548.920888832043</v>
      </c>
      <c r="HD141" s="2394">
        <f t="shared" ca="1" si="232"/>
        <v>42125.342905863712</v>
      </c>
      <c r="HE141" s="2394">
        <f t="shared" ca="1" si="232"/>
        <v>40630.136487764532</v>
      </c>
      <c r="HF141" s="2394">
        <f t="shared" ca="1" si="232"/>
        <v>39159.916010201756</v>
      </c>
      <c r="HG141" s="2394">
        <f t="shared" ca="1" si="232"/>
        <v>37687.033763129344</v>
      </c>
      <c r="HH141" s="2394">
        <f t="shared" ca="1" si="232"/>
        <v>35943.90557094643</v>
      </c>
      <c r="HI141" s="2394">
        <f t="shared" ca="1" si="232"/>
        <v>34116.590791419629</v>
      </c>
      <c r="HJ141" s="2394">
        <f t="shared" ca="1" si="232"/>
        <v>32659.287366882687</v>
      </c>
      <c r="HK141" s="2394">
        <f t="shared" ca="1" si="232"/>
        <v>30834.168353520221</v>
      </c>
      <c r="HL141" s="2394">
        <f t="shared" ca="1" si="232"/>
        <v>28911.378192381508</v>
      </c>
      <c r="HM141" s="2394">
        <f t="shared" ca="1" si="232"/>
        <v>26898.141601130625</v>
      </c>
      <c r="HN141" s="2394">
        <f t="shared" ca="1" si="232"/>
        <v>25067.468873079997</v>
      </c>
      <c r="HO141" s="2394">
        <f t="shared" ca="1" si="232"/>
        <v>23062.089648608933</v>
      </c>
      <c r="HP141" s="2394">
        <f t="shared" ca="1" si="232"/>
        <v>21140.430938347599</v>
      </c>
      <c r="HQ141" s="2394">
        <f t="shared" ca="1" si="232"/>
        <v>19130.124584158173</v>
      </c>
      <c r="HR141" s="2394">
        <f t="shared" ca="1" si="232"/>
        <v>17185.182022524386</v>
      </c>
      <c r="HS141" s="2394">
        <f t="shared" ca="1" si="232"/>
        <v>15189.327341267073</v>
      </c>
      <c r="HT141" s="2394">
        <f t="shared" ca="1" si="232"/>
        <v>12934.794544655584</v>
      </c>
      <c r="HU141" s="2394">
        <f t="shared" ca="1" si="232"/>
        <v>10578.929995566998</v>
      </c>
      <c r="HV141" s="2394">
        <f t="shared" ca="1" si="232"/>
        <v>8396.8019138427735</v>
      </c>
      <c r="HW141" s="2394">
        <f t="shared" ca="1" si="232"/>
        <v>6029.0414526608665</v>
      </c>
      <c r="HX141" s="2394">
        <f t="shared" ca="1" si="232"/>
        <v>4553.496334213165</v>
      </c>
      <c r="HY141" s="2394">
        <f t="shared" ca="1" si="232"/>
        <v>3012.512359865907</v>
      </c>
      <c r="HZ141" s="2394">
        <f t="shared" ca="1" si="232"/>
        <v>1542.6285992255121</v>
      </c>
      <c r="IA141" s="2394">
        <f t="shared" ca="1" si="232"/>
        <v>1575.3821178836358</v>
      </c>
    </row>
    <row r="142" spans="3:235">
      <c r="C142" s="2466"/>
      <c r="D142" s="2481" t="s">
        <v>3936</v>
      </c>
      <c r="E142" s="2385"/>
      <c r="F142" s="2385"/>
      <c r="G142" s="2386"/>
      <c r="H142" s="2392"/>
      <c r="I142" s="2482"/>
      <c r="J142" s="2655">
        <f t="shared" ref="J142:BU142" si="233">J$54</f>
        <v>1.0662302070645553</v>
      </c>
      <c r="K142" s="2462">
        <f t="shared" si="233"/>
        <v>1.059531059683313</v>
      </c>
      <c r="L142" s="2464">
        <f t="shared" si="233"/>
        <v>1.0730816077953715</v>
      </c>
      <c r="M142" s="2655">
        <f t="shared" si="233"/>
        <v>1.0768879415347137</v>
      </c>
      <c r="N142" s="2462">
        <f t="shared" si="233"/>
        <v>1.0989646772228989</v>
      </c>
      <c r="O142" s="2464">
        <f t="shared" si="233"/>
        <v>1.0980511571254568</v>
      </c>
      <c r="P142" s="2462">
        <f t="shared" si="233"/>
        <v>1.1143422655298416</v>
      </c>
      <c r="Q142" s="2463">
        <f t="shared" si="233"/>
        <v>1.1096224116930571</v>
      </c>
      <c r="R142" s="2464">
        <f t="shared" si="233"/>
        <v>1.131851400730816</v>
      </c>
      <c r="S142" s="2462">
        <f t="shared" si="233"/>
        <v>1.1283495736906211</v>
      </c>
      <c r="T142" s="2463">
        <f t="shared" si="233"/>
        <v>1.1420523751522533</v>
      </c>
      <c r="U142" s="2465">
        <f t="shared" si="233"/>
        <v>1.1387028014616321</v>
      </c>
      <c r="V142" s="2465">
        <f t="shared" si="233"/>
        <v>1.1545371498172958</v>
      </c>
      <c r="W142" s="2465">
        <f t="shared" si="233"/>
        <v>1.1556029232643117</v>
      </c>
      <c r="X142" s="2465">
        <f t="shared" si="233"/>
        <v>1.1703714981729598</v>
      </c>
      <c r="Y142" s="2465">
        <f t="shared" si="233"/>
        <v>1.1624543239951277</v>
      </c>
      <c r="Z142" s="2465">
        <f t="shared" si="233"/>
        <v>1.1793544457978073</v>
      </c>
      <c r="AA142" s="2465">
        <f t="shared" si="233"/>
        <v>1.1851400730816077</v>
      </c>
      <c r="AB142" s="2465">
        <f t="shared" si="233"/>
        <v>1.1976248477466502</v>
      </c>
      <c r="AC142" s="2465">
        <f t="shared" si="233"/>
        <v>1.2043239951278926</v>
      </c>
      <c r="AD142" s="2465">
        <f t="shared" si="233"/>
        <v>1.2259439707673567</v>
      </c>
      <c r="AE142" s="2465">
        <f t="shared" si="233"/>
        <v>1.2507612667478685</v>
      </c>
      <c r="AF142" s="2465">
        <f t="shared" si="233"/>
        <v>1.2586784409257004</v>
      </c>
      <c r="AG142" s="2465">
        <f t="shared" si="233"/>
        <v>1.2542630937880632</v>
      </c>
      <c r="AH142" s="2465">
        <f t="shared" si="233"/>
        <v>1.2734470158343483</v>
      </c>
      <c r="AI142" s="2465">
        <f t="shared" si="233"/>
        <v>1.2757308160779537</v>
      </c>
      <c r="AJ142" s="2465">
        <f t="shared" si="233"/>
        <v>1.2859317904993908</v>
      </c>
      <c r="AK142" s="2465">
        <f t="shared" si="233"/>
        <v>1.289281364190012</v>
      </c>
      <c r="AL142" s="2465">
        <f t="shared" si="233"/>
        <v>1.3048112058465284</v>
      </c>
      <c r="AM142" s="2465">
        <f t="shared" si="233"/>
        <v>1.309987819732034</v>
      </c>
      <c r="AN142" s="2465">
        <f t="shared" si="233"/>
        <v>1.3297807551766139</v>
      </c>
      <c r="AO142" s="2465">
        <f t="shared" si="233"/>
        <v>1.3284104750304506</v>
      </c>
      <c r="AP142" s="2465">
        <f t="shared" si="233"/>
        <v>1.3587088915956149</v>
      </c>
      <c r="AQ142" s="2465">
        <f t="shared" si="233"/>
        <v>1.3652557856272838</v>
      </c>
      <c r="AR142" s="2465">
        <f t="shared" si="233"/>
        <v>1.3797198538367843</v>
      </c>
      <c r="AS142" s="2465">
        <f t="shared" si="233"/>
        <v>1.3836784409257001</v>
      </c>
      <c r="AT142" s="2465">
        <f t="shared" si="233"/>
        <v>1.3947929354445796</v>
      </c>
      <c r="AU142" s="2465">
        <f t="shared" si="233"/>
        <v>1.3952496954933007</v>
      </c>
      <c r="AV142" s="2465">
        <f t="shared" si="233"/>
        <v>1.4084957369062119</v>
      </c>
      <c r="AW142" s="2465">
        <f t="shared" si="233"/>
        <v>1.4034713763702802</v>
      </c>
      <c r="AX142" s="2465">
        <f t="shared" si="233"/>
        <v>1.4151948842874542</v>
      </c>
      <c r="AY142" s="2465">
        <f t="shared" si="233"/>
        <v>1.4115408038976855</v>
      </c>
      <c r="AZ142" s="2465">
        <f t="shared" si="233"/>
        <v>1.4223507917174176</v>
      </c>
      <c r="BA142" s="2465">
        <f t="shared" si="233"/>
        <v>1.4194579780755177</v>
      </c>
      <c r="BB142" s="2465">
        <f t="shared" si="233"/>
        <v>1.4334652862362971</v>
      </c>
      <c r="BC142" s="2465">
        <f t="shared" si="233"/>
        <v>1.434987819732034</v>
      </c>
      <c r="BD142" s="2465">
        <f t="shared" si="233"/>
        <v>1.4386419001218025</v>
      </c>
      <c r="BE142" s="2465">
        <f t="shared" si="233"/>
        <v>1.4313337393422654</v>
      </c>
      <c r="BF142" s="2465">
        <f t="shared" si="233"/>
        <v>1.4403166869671131</v>
      </c>
      <c r="BG142" s="2465">
        <f t="shared" si="233"/>
        <v>1.4450365408038974</v>
      </c>
      <c r="BH142" s="2465">
        <f t="shared" si="233"/>
        <v>1.4459500609013396</v>
      </c>
      <c r="BI142" s="2465">
        <f t="shared" si="233"/>
        <v>1.4474725943970765</v>
      </c>
      <c r="BJ142" s="2465">
        <f t="shared" si="233"/>
        <v>1.4523447015834348</v>
      </c>
      <c r="BK142" s="2465">
        <f t="shared" si="233"/>
        <v>1.4556942752740558</v>
      </c>
      <c r="BL142" s="2465">
        <f t="shared" si="233"/>
        <v>1.465438489646772</v>
      </c>
      <c r="BM142" s="2465">
        <f t="shared" si="233"/>
        <v>1.4668087697929353</v>
      </c>
      <c r="BN142" s="2465">
        <f t="shared" si="233"/>
        <v>1.485535931790499</v>
      </c>
      <c r="BO142" s="2465">
        <f t="shared" si="233"/>
        <v>1.4820341047503045</v>
      </c>
      <c r="BP142" s="2465">
        <f t="shared" si="233"/>
        <v>1.4946711327649207</v>
      </c>
      <c r="BQ142" s="2465">
        <f t="shared" si="233"/>
        <v>1.4875152253349573</v>
      </c>
      <c r="BR142" s="2465">
        <f t="shared" si="233"/>
        <v>1.5035018270401947</v>
      </c>
      <c r="BS142" s="2465">
        <f t="shared" si="233"/>
        <v>1.5039585870889158</v>
      </c>
      <c r="BT142" s="2465">
        <f t="shared" si="233"/>
        <v>1.5258830694275272</v>
      </c>
      <c r="BU142" s="2465">
        <f t="shared" si="233"/>
        <v>1.5071559074299632</v>
      </c>
      <c r="BV142" s="2465">
        <f t="shared" ref="BV142:EG142" si="234">BV$54</f>
        <v>1.5091352009744214</v>
      </c>
      <c r="BW142" s="2465">
        <f t="shared" si="234"/>
        <v>1.5147685749086477</v>
      </c>
      <c r="BX142" s="2465">
        <f t="shared" si="234"/>
        <v>1.5193361753958587</v>
      </c>
      <c r="BY142" s="2465">
        <f t="shared" si="234"/>
        <v>1.5182704019488427</v>
      </c>
      <c r="BZ142" s="2465">
        <f t="shared" si="234"/>
        <v>1.5216199756394639</v>
      </c>
      <c r="CA142" s="2465">
        <f t="shared" si="234"/>
        <v>1.518118148599269</v>
      </c>
      <c r="CB142" s="2465">
        <f t="shared" si="234"/>
        <v>1.533800243605359</v>
      </c>
      <c r="CC142" s="2465">
        <f t="shared" si="234"/>
        <v>1.5275578562728378</v>
      </c>
      <c r="CD142" s="2465">
        <f t="shared" si="234"/>
        <v>1.5505481120584652</v>
      </c>
      <c r="CE142" s="2465">
        <f t="shared" si="234"/>
        <v>1.5537454323995126</v>
      </c>
      <c r="CF142" s="2465">
        <f t="shared" si="234"/>
        <v>1.5707978075517659</v>
      </c>
      <c r="CG142" s="2465">
        <f t="shared" si="234"/>
        <v>1.5840438489646771</v>
      </c>
      <c r="CH142" s="2465">
        <f t="shared" ca="1" si="234"/>
        <v>1.5899508893593055</v>
      </c>
      <c r="CI142" s="2465">
        <f t="shared" ca="1" si="234"/>
        <v>1.5958799576329263</v>
      </c>
      <c r="CJ142" s="2465">
        <f t="shared" ca="1" si="234"/>
        <v>1.6018311359294597</v>
      </c>
      <c r="CK142" s="2465">
        <f t="shared" ca="1" si="234"/>
        <v>1.6078045066991471</v>
      </c>
      <c r="CL142" s="2465">
        <f t="shared" ca="1" si="234"/>
        <v>1.613800152699695</v>
      </c>
      <c r="CM142" s="2465">
        <f t="shared" ca="1" si="234"/>
        <v>1.6198181569974202</v>
      </c>
      <c r="CN142" s="2465">
        <f t="shared" ca="1" si="234"/>
        <v>1.6258586029684015</v>
      </c>
      <c r="CO142" s="2465">
        <f t="shared" ca="1" si="234"/>
        <v>1.6319215742996342</v>
      </c>
      <c r="CP142" s="2465">
        <f t="shared" ca="1" si="234"/>
        <v>1.6380071549901902</v>
      </c>
      <c r="CQ142" s="2465">
        <f t="shared" ca="1" si="234"/>
        <v>1.6441154293523812</v>
      </c>
      <c r="CR142" s="2465">
        <f t="shared" ca="1" si="234"/>
        <v>1.6502464820129272</v>
      </c>
      <c r="CS142" s="2465">
        <f t="shared" ca="1" si="234"/>
        <v>1.6564003979141284</v>
      </c>
      <c r="CT142" s="2465">
        <f t="shared" ca="1" si="234"/>
        <v>1.6625772623150428</v>
      </c>
      <c r="CU142" s="2465">
        <f t="shared" ca="1" si="234"/>
        <v>1.6687771607926667</v>
      </c>
      <c r="CV142" s="2465">
        <f t="shared" ca="1" si="234"/>
        <v>1.6750001792431208</v>
      </c>
      <c r="CW142" s="2465">
        <f t="shared" ca="1" si="234"/>
        <v>1.6812464038828401</v>
      </c>
      <c r="CX142" s="2465">
        <f t="shared" ca="1" si="234"/>
        <v>1.6875159212497681</v>
      </c>
      <c r="CY142" s="2465">
        <f t="shared" ca="1" si="234"/>
        <v>1.6938088182045565</v>
      </c>
      <c r="CZ142" s="2465">
        <f t="shared" ca="1" si="234"/>
        <v>1.7001251819317675</v>
      </c>
      <c r="DA142" s="2465">
        <f t="shared" ca="1" si="234"/>
        <v>1.7064650999410826</v>
      </c>
      <c r="DB142" s="2465">
        <f t="shared" ca="1" si="234"/>
        <v>1.7128286600685148</v>
      </c>
      <c r="DC142" s="2465">
        <f t="shared" ca="1" si="234"/>
        <v>1.719215950477625</v>
      </c>
      <c r="DD142" s="2465">
        <f t="shared" ca="1" si="234"/>
        <v>1.7256270596607441</v>
      </c>
      <c r="DE142" s="2465">
        <f t="shared" ca="1" si="234"/>
        <v>1.732062076440199</v>
      </c>
      <c r="DF142" s="2465">
        <f t="shared" ca="1" si="234"/>
        <v>1.7385210899695425</v>
      </c>
      <c r="DG142" s="2465">
        <f t="shared" ca="1" si="234"/>
        <v>1.7450041897347892</v>
      </c>
      <c r="DH142" s="2465">
        <f t="shared" ca="1" si="234"/>
        <v>1.7515114655556552</v>
      </c>
      <c r="DI142" s="2465">
        <f t="shared" ca="1" si="234"/>
        <v>1.7580430075868019</v>
      </c>
      <c r="DJ142" s="2465">
        <f t="shared" ca="1" si="234"/>
        <v>1.7645989063190854</v>
      </c>
      <c r="DK142" s="2465">
        <f t="shared" ca="1" si="234"/>
        <v>1.771179252580811</v>
      </c>
      <c r="DL142" s="2465">
        <f t="shared" ca="1" si="234"/>
        <v>1.7777841375389898</v>
      </c>
      <c r="DM142" s="2465">
        <f t="shared" ca="1" si="234"/>
        <v>1.7844136527006036</v>
      </c>
      <c r="DN142" s="2465">
        <f t="shared" ca="1" si="234"/>
        <v>1.7910678899138714</v>
      </c>
      <c r="DO142" s="2465">
        <f t="shared" ca="1" si="234"/>
        <v>1.7977469413695228</v>
      </c>
      <c r="DP142" s="2465">
        <f t="shared" ca="1" si="234"/>
        <v>1.8044508996020745</v>
      </c>
      <c r="DQ142" s="2465">
        <f t="shared" ca="1" si="234"/>
        <v>1.8111798574911124</v>
      </c>
      <c r="DR142" s="2465">
        <f t="shared" ca="1" si="234"/>
        <v>1.8179339082625794</v>
      </c>
      <c r="DS142" s="2465">
        <f t="shared" ca="1" si="234"/>
        <v>1.8247131454900656</v>
      </c>
      <c r="DT142" s="2465">
        <f t="shared" ca="1" si="234"/>
        <v>1.8315176630961054</v>
      </c>
      <c r="DU142" s="2465">
        <f t="shared" ca="1" si="234"/>
        <v>1.8383475553534789</v>
      </c>
      <c r="DV142" s="2465">
        <f t="shared" ca="1" si="234"/>
        <v>1.8452029168865178</v>
      </c>
      <c r="DW142" s="2465">
        <f t="shared" ca="1" si="234"/>
        <v>1.8520838426724162</v>
      </c>
      <c r="DX142" s="2465">
        <f t="shared" ca="1" si="234"/>
        <v>1.8589904280425467</v>
      </c>
      <c r="DY142" s="2465">
        <f t="shared" ca="1" si="234"/>
        <v>1.8659227686837809</v>
      </c>
      <c r="DZ142" s="2465">
        <f t="shared" ca="1" si="234"/>
        <v>1.8728809606398154</v>
      </c>
      <c r="EA142" s="2465">
        <f t="shared" ca="1" si="234"/>
        <v>1.8798651003125022</v>
      </c>
      <c r="EB142" s="2465">
        <f t="shared" ca="1" si="234"/>
        <v>1.8868752844631846</v>
      </c>
      <c r="EC142" s="2465">
        <f t="shared" ca="1" si="234"/>
        <v>1.8939116102140374</v>
      </c>
      <c r="ED142" s="2465">
        <f t="shared" ca="1" si="234"/>
        <v>1.9009741750494125</v>
      </c>
      <c r="EE142" s="2465">
        <f t="shared" ca="1" si="234"/>
        <v>1.9080630768171896</v>
      </c>
      <c r="EF142" s="2465">
        <f t="shared" ca="1" si="234"/>
        <v>1.9151784137301322</v>
      </c>
      <c r="EG142" s="2465">
        <f t="shared" ca="1" si="234"/>
        <v>1.9223202843672478</v>
      </c>
      <c r="EH142" s="2465">
        <f t="shared" ref="EH142:GS142" ca="1" si="235">EH$54</f>
        <v>1.9294887876751534</v>
      </c>
      <c r="EI142" s="2465">
        <f t="shared" ca="1" si="235"/>
        <v>1.9366840229694473</v>
      </c>
      <c r="EJ142" s="2465">
        <f t="shared" ca="1" si="235"/>
        <v>1.943906089936084</v>
      </c>
      <c r="EK142" s="2465">
        <f t="shared" ca="1" si="235"/>
        <v>1.9511550886327562</v>
      </c>
      <c r="EL142" s="2465">
        <f t="shared" ca="1" si="235"/>
        <v>1.9584311194902804</v>
      </c>
      <c r="EM142" s="2465">
        <f t="shared" ca="1" si="235"/>
        <v>1.9657342833139886</v>
      </c>
      <c r="EN142" s="2465">
        <f t="shared" ca="1" si="235"/>
        <v>1.9730646812851249</v>
      </c>
      <c r="EO142" s="2465">
        <f t="shared" ca="1" si="235"/>
        <v>1.9804224149622471</v>
      </c>
      <c r="EP142" s="2465">
        <f t="shared" ca="1" si="235"/>
        <v>1.9878075862826343</v>
      </c>
      <c r="EQ142" s="2465">
        <f t="shared" ca="1" si="235"/>
        <v>1.9952202975636981</v>
      </c>
      <c r="ER142" s="2465">
        <f t="shared" ca="1" si="235"/>
        <v>2.0026606515044016</v>
      </c>
      <c r="ES142" s="2465">
        <f t="shared" ca="1" si="235"/>
        <v>2.0101287511866808</v>
      </c>
      <c r="ET142" s="2465">
        <f t="shared" ca="1" si="235"/>
        <v>2.0176247000768739</v>
      </c>
      <c r="EU142" s="2465">
        <f t="shared" ca="1" si="235"/>
        <v>2.0251486020271536</v>
      </c>
      <c r="EV142" s="2465">
        <f t="shared" ca="1" si="235"/>
        <v>2.0327005612769677</v>
      </c>
      <c r="EW142" s="2465">
        <f t="shared" ca="1" si="235"/>
        <v>2.040280682454481</v>
      </c>
      <c r="EX142" s="2465">
        <f t="shared" ca="1" si="235"/>
        <v>2.047889070578027</v>
      </c>
      <c r="EY142" s="2465">
        <f t="shared" ca="1" si="235"/>
        <v>2.0555258310575613</v>
      </c>
      <c r="EZ142" s="2465">
        <f t="shared" ca="1" si="235"/>
        <v>2.0631910696961224</v>
      </c>
      <c r="FA142" s="2465">
        <f t="shared" ca="1" si="235"/>
        <v>2.0708848926912986</v>
      </c>
      <c r="FB142" s="2465">
        <f t="shared" ca="1" si="235"/>
        <v>2.0786074066366975</v>
      </c>
      <c r="FC142" s="2465">
        <f t="shared" ca="1" si="235"/>
        <v>2.0863587185234245</v>
      </c>
      <c r="FD142" s="2465">
        <f t="shared" ca="1" si="235"/>
        <v>2.0941389357415638</v>
      </c>
      <c r="FE142" s="2465">
        <f t="shared" ca="1" si="235"/>
        <v>2.1019481660816677</v>
      </c>
      <c r="FF142" s="2465">
        <f t="shared" ca="1" si="235"/>
        <v>2.1097865177362478</v>
      </c>
      <c r="FG142" s="2465">
        <f t="shared" ca="1" si="235"/>
        <v>2.1176540993012756</v>
      </c>
      <c r="FH142" s="2465">
        <f t="shared" ca="1" si="235"/>
        <v>2.1255510197776872</v>
      </c>
      <c r="FI142" s="2465">
        <f t="shared" ca="1" si="235"/>
        <v>2.1334773885728926</v>
      </c>
      <c r="FJ142" s="2465">
        <f t="shared" ca="1" si="235"/>
        <v>2.1414333155022911</v>
      </c>
      <c r="FK142" s="2465">
        <f t="shared" ca="1" si="235"/>
        <v>2.1494189107907946</v>
      </c>
      <c r="FL142" s="2465">
        <f t="shared" ca="1" si="235"/>
        <v>2.1574342850743524</v>
      </c>
      <c r="FM142" s="2465">
        <f t="shared" ca="1" si="235"/>
        <v>2.1654795494014856</v>
      </c>
      <c r="FN142" s="2465">
        <f t="shared" ca="1" si="235"/>
        <v>2.1735548152348252</v>
      </c>
      <c r="FO142" s="2465">
        <f t="shared" ca="1" si="235"/>
        <v>2.1816601944526561</v>
      </c>
      <c r="FP142" s="2465">
        <f t="shared" ca="1" si="235"/>
        <v>2.1897957993504673</v>
      </c>
      <c r="FQ142" s="2465">
        <f t="shared" ca="1" si="235"/>
        <v>2.1979617426425078</v>
      </c>
      <c r="FR142" s="2465">
        <f t="shared" ca="1" si="235"/>
        <v>2.2061581374633477</v>
      </c>
      <c r="FS142" s="2465">
        <f t="shared" ca="1" si="235"/>
        <v>2.2143850973694459</v>
      </c>
      <c r="FT142" s="2465">
        <f t="shared" ca="1" si="235"/>
        <v>2.2226427363407244</v>
      </c>
      <c r="FU142" s="2465">
        <f t="shared" ca="1" si="235"/>
        <v>2.2309311687821451</v>
      </c>
      <c r="FV142" s="2465">
        <f t="shared" ca="1" si="235"/>
        <v>2.2392505095252977</v>
      </c>
      <c r="FW142" s="2465">
        <f t="shared" ca="1" si="235"/>
        <v>2.2476008738299877</v>
      </c>
      <c r="FX142" s="2465">
        <f t="shared" ca="1" si="235"/>
        <v>2.2559823773858354</v>
      </c>
      <c r="FY142" s="2465">
        <f t="shared" ca="1" si="235"/>
        <v>2.2643951363138775</v>
      </c>
      <c r="FZ142" s="2465">
        <f t="shared" ca="1" si="235"/>
        <v>2.2728392671681772</v>
      </c>
      <c r="GA142" s="2465">
        <f t="shared" ca="1" si="235"/>
        <v>2.2813148869374373</v>
      </c>
      <c r="GB142" s="2465">
        <f t="shared" ca="1" si="235"/>
        <v>2.2898221130466228</v>
      </c>
      <c r="GC142" s="2465">
        <f t="shared" ca="1" si="235"/>
        <v>2.2983610633585858</v>
      </c>
      <c r="GD142" s="2465">
        <f t="shared" ca="1" si="235"/>
        <v>2.3069318561756997</v>
      </c>
      <c r="GE142" s="2465">
        <f t="shared" ca="1" si="235"/>
        <v>2.3155346102414986</v>
      </c>
      <c r="GF142" s="2465">
        <f t="shared" ca="1" si="235"/>
        <v>2.3241694447423216</v>
      </c>
      <c r="GG142" s="2465">
        <f t="shared" ca="1" si="235"/>
        <v>2.332836479308964</v>
      </c>
      <c r="GH142" s="2465">
        <f t="shared" ca="1" si="235"/>
        <v>2.3415358340183348</v>
      </c>
      <c r="GI142" s="2465">
        <f t="shared" ca="1" si="235"/>
        <v>2.350267629395121</v>
      </c>
      <c r="GJ142" s="2465">
        <f t="shared" ca="1" si="235"/>
        <v>2.3590319864134566</v>
      </c>
      <c r="GK142" s="2465">
        <f t="shared" ca="1" si="235"/>
        <v>2.3678290264985984</v>
      </c>
      <c r="GL142" s="2465">
        <f t="shared" ca="1" si="235"/>
        <v>2.3766588715286097</v>
      </c>
      <c r="GM142" s="2465">
        <f t="shared" ca="1" si="235"/>
        <v>2.3855216438360474</v>
      </c>
      <c r="GN142" s="2465">
        <f t="shared" ca="1" si="235"/>
        <v>2.3944174662096578</v>
      </c>
      <c r="GO142" s="2465">
        <f t="shared" ca="1" si="235"/>
        <v>2.4033464618960769</v>
      </c>
      <c r="GP142" s="2465">
        <f t="shared" ca="1" si="235"/>
        <v>2.4123087546015385</v>
      </c>
      <c r="GQ142" s="2465">
        <f t="shared" ca="1" si="235"/>
        <v>2.421304468493588</v>
      </c>
      <c r="GR142" s="2465">
        <f t="shared" ca="1" si="235"/>
        <v>2.4303337282028026</v>
      </c>
      <c r="GS142" s="2465">
        <f t="shared" ca="1" si="235"/>
        <v>2.4393966588245179</v>
      </c>
      <c r="GT142" s="2465">
        <f t="shared" ref="GT142:IA142" ca="1" si="236">GT$54</f>
        <v>2.4484933859205613</v>
      </c>
      <c r="GU142" s="2465">
        <f t="shared" ca="1" si="236"/>
        <v>2.4576240355209915</v>
      </c>
      <c r="GV142" s="2465">
        <f t="shared" ca="1" si="236"/>
        <v>2.4667887341258443</v>
      </c>
      <c r="GW142" s="2465">
        <f t="shared" ca="1" si="236"/>
        <v>2.4759876087068853</v>
      </c>
      <c r="GX142" s="2465">
        <f t="shared" ca="1" si="236"/>
        <v>2.4852207867093696</v>
      </c>
      <c r="GY142" s="2465">
        <f t="shared" ca="1" si="236"/>
        <v>2.4944883960538062</v>
      </c>
      <c r="GZ142" s="2465">
        <f t="shared" ca="1" si="236"/>
        <v>2.5037905651377317</v>
      </c>
      <c r="HA142" s="2465">
        <f t="shared" ca="1" si="236"/>
        <v>2.5131274228374885</v>
      </c>
      <c r="HB142" s="2465">
        <f t="shared" ca="1" si="236"/>
        <v>2.5224990985100098</v>
      </c>
      <c r="HC142" s="2465">
        <f t="shared" ca="1" si="236"/>
        <v>2.5319057219946131</v>
      </c>
      <c r="HD142" s="2465">
        <f t="shared" ca="1" si="236"/>
        <v>2.5413474236147975</v>
      </c>
      <c r="HE142" s="2465">
        <f t="shared" ca="1" si="236"/>
        <v>2.5508243341800507</v>
      </c>
      <c r="HF142" s="2465">
        <f t="shared" ca="1" si="236"/>
        <v>2.56033658498766</v>
      </c>
      <c r="HG142" s="2465">
        <f t="shared" ca="1" si="236"/>
        <v>2.5698843078245321</v>
      </c>
      <c r="HH142" s="2465">
        <f t="shared" ca="1" si="236"/>
        <v>2.5794676349690193</v>
      </c>
      <c r="HI142" s="2465">
        <f t="shared" ca="1" si="236"/>
        <v>2.5890866991927513</v>
      </c>
      <c r="HJ142" s="2465">
        <f t="shared" ca="1" si="236"/>
        <v>2.5987416337624745</v>
      </c>
      <c r="HK142" s="2465">
        <f t="shared" ca="1" si="236"/>
        <v>2.6084325724418997</v>
      </c>
      <c r="HL142" s="2465">
        <f t="shared" ca="1" si="236"/>
        <v>2.6181596494935544</v>
      </c>
      <c r="HM142" s="2465">
        <f t="shared" ca="1" si="236"/>
        <v>2.6279229996806421</v>
      </c>
      <c r="HN142" s="2465">
        <f t="shared" ca="1" si="236"/>
        <v>2.6377227582689113</v>
      </c>
      <c r="HO142" s="2465">
        <f t="shared" ca="1" si="236"/>
        <v>2.6475590610285282</v>
      </c>
      <c r="HP142" s="2465">
        <f t="shared" ca="1" si="236"/>
        <v>2.6574320442359576</v>
      </c>
      <c r="HQ142" s="2465">
        <f t="shared" ca="1" si="236"/>
        <v>2.6673418446758519</v>
      </c>
      <c r="HR142" s="2465">
        <f t="shared" ca="1" si="236"/>
        <v>2.677288599642945</v>
      </c>
      <c r="HS142" s="2465">
        <f t="shared" ca="1" si="236"/>
        <v>2.6872724469439557</v>
      </c>
      <c r="HT142" s="2465">
        <f t="shared" ca="1" si="236"/>
        <v>2.6972935248994965</v>
      </c>
      <c r="HU142" s="2465">
        <f t="shared" ca="1" si="236"/>
        <v>2.7073519723459891</v>
      </c>
      <c r="HV142" s="2465">
        <f t="shared" ca="1" si="236"/>
        <v>2.7174479286375886</v>
      </c>
      <c r="HW142" s="2465">
        <f t="shared" ca="1" si="236"/>
        <v>2.7275815336481148</v>
      </c>
      <c r="HX142" s="2465">
        <f t="shared" ca="1" si="236"/>
        <v>2.7377529277729886</v>
      </c>
      <c r="HY142" s="2465">
        <f t="shared" ca="1" si="236"/>
        <v>2.7479622519311784</v>
      </c>
      <c r="HZ142" s="2465">
        <f t="shared" ca="1" si="236"/>
        <v>2.7582096475671518</v>
      </c>
      <c r="IA142" s="2465">
        <f t="shared" ca="1" si="236"/>
        <v>2.768495256652836</v>
      </c>
    </row>
    <row r="143" spans="3:235">
      <c r="C143" s="2466"/>
      <c r="D143" s="2481" t="s">
        <v>3937</v>
      </c>
      <c r="E143" s="2385"/>
      <c r="F143" s="2385"/>
      <c r="G143" s="2386"/>
      <c r="H143" s="2392">
        <f ca="1">MAX(J143:IA143)</f>
        <v>203335.08715137959</v>
      </c>
      <c r="I143" s="2482"/>
      <c r="J143" s="2395">
        <f t="shared" ref="J143:BN143" si="237">J141*J142</f>
        <v>0</v>
      </c>
      <c r="K143" s="2387">
        <f t="shared" si="237"/>
        <v>0</v>
      </c>
      <c r="L143" s="2393">
        <f t="shared" si="237"/>
        <v>0</v>
      </c>
      <c r="M143" s="2395">
        <f t="shared" si="237"/>
        <v>0</v>
      </c>
      <c r="N143" s="2387">
        <f t="shared" si="237"/>
        <v>0</v>
      </c>
      <c r="O143" s="2393">
        <f t="shared" si="237"/>
        <v>0</v>
      </c>
      <c r="P143" s="2387">
        <f t="shared" si="237"/>
        <v>0</v>
      </c>
      <c r="Q143" s="2392">
        <f t="shared" si="237"/>
        <v>0</v>
      </c>
      <c r="R143" s="2395">
        <f t="shared" si="237"/>
        <v>0</v>
      </c>
      <c r="S143" s="2387">
        <f t="shared" si="237"/>
        <v>0</v>
      </c>
      <c r="T143" s="2392">
        <f t="shared" si="237"/>
        <v>0</v>
      </c>
      <c r="U143" s="2394">
        <f t="shared" si="237"/>
        <v>0</v>
      </c>
      <c r="V143" s="2394">
        <f t="shared" si="237"/>
        <v>0</v>
      </c>
      <c r="W143" s="2394">
        <f t="shared" si="237"/>
        <v>0</v>
      </c>
      <c r="X143" s="2394">
        <f t="shared" si="237"/>
        <v>0</v>
      </c>
      <c r="Y143" s="2394">
        <f t="shared" si="237"/>
        <v>0</v>
      </c>
      <c r="Z143" s="2394">
        <f t="shared" si="237"/>
        <v>0</v>
      </c>
      <c r="AA143" s="2394">
        <f t="shared" si="237"/>
        <v>0</v>
      </c>
      <c r="AB143" s="2394">
        <f t="shared" si="237"/>
        <v>0</v>
      </c>
      <c r="AC143" s="2394">
        <f t="shared" si="237"/>
        <v>0</v>
      </c>
      <c r="AD143" s="2394">
        <f t="shared" si="237"/>
        <v>0</v>
      </c>
      <c r="AE143" s="2394">
        <f t="shared" si="237"/>
        <v>0</v>
      </c>
      <c r="AF143" s="2394">
        <f t="shared" si="237"/>
        <v>0</v>
      </c>
      <c r="AG143" s="2394">
        <f t="shared" si="237"/>
        <v>0</v>
      </c>
      <c r="AH143" s="2394">
        <f t="shared" si="237"/>
        <v>0</v>
      </c>
      <c r="AI143" s="2394">
        <f t="shared" si="237"/>
        <v>0</v>
      </c>
      <c r="AJ143" s="2394">
        <f t="shared" si="237"/>
        <v>0</v>
      </c>
      <c r="AK143" s="2394">
        <f t="shared" si="237"/>
        <v>0</v>
      </c>
      <c r="AL143" s="2394">
        <f t="shared" si="237"/>
        <v>0</v>
      </c>
      <c r="AM143" s="2394">
        <f t="shared" si="237"/>
        <v>0</v>
      </c>
      <c r="AN143" s="2394">
        <f t="shared" si="237"/>
        <v>0</v>
      </c>
      <c r="AO143" s="2394">
        <f t="shared" si="237"/>
        <v>0</v>
      </c>
      <c r="AP143" s="2394">
        <f t="shared" si="237"/>
        <v>0</v>
      </c>
      <c r="AQ143" s="2394">
        <f t="shared" si="237"/>
        <v>0</v>
      </c>
      <c r="AR143" s="2394">
        <f t="shared" si="237"/>
        <v>0</v>
      </c>
      <c r="AS143" s="2394">
        <f t="shared" si="237"/>
        <v>0</v>
      </c>
      <c r="AT143" s="2394">
        <f t="shared" si="237"/>
        <v>0</v>
      </c>
      <c r="AU143" s="2394">
        <f t="shared" si="237"/>
        <v>0</v>
      </c>
      <c r="AV143" s="2394">
        <f t="shared" si="237"/>
        <v>0</v>
      </c>
      <c r="AW143" s="2394">
        <f t="shared" si="237"/>
        <v>0</v>
      </c>
      <c r="AX143" s="2394">
        <f t="shared" si="237"/>
        <v>196131.79078931714</v>
      </c>
      <c r="AY143" s="2394">
        <f t="shared" si="237"/>
        <v>198078.48644070505</v>
      </c>
      <c r="AZ143" s="2394">
        <f t="shared" si="237"/>
        <v>200028.92295200381</v>
      </c>
      <c r="BA143" s="2394">
        <f t="shared" si="237"/>
        <v>200028.65797838685</v>
      </c>
      <c r="BB143" s="2394">
        <f t="shared" si="237"/>
        <v>202618.27911974286</v>
      </c>
      <c r="BC143" s="2394">
        <f t="shared" si="237"/>
        <v>203335.08715137959</v>
      </c>
      <c r="BD143" s="2394">
        <f t="shared" si="237"/>
        <v>202709.89378981819</v>
      </c>
      <c r="BE143" s="2394">
        <f t="shared" si="237"/>
        <v>200447.93955983873</v>
      </c>
      <c r="BF143" s="2394">
        <f t="shared" si="237"/>
        <v>200739.11418793519</v>
      </c>
      <c r="BG143" s="2394">
        <f t="shared" si="237"/>
        <v>200244.6894159622</v>
      </c>
      <c r="BH143" s="2394">
        <f t="shared" si="237"/>
        <v>198381.84574011405</v>
      </c>
      <c r="BI143" s="2394">
        <f t="shared" si="237"/>
        <v>196467.56063377863</v>
      </c>
      <c r="BJ143" s="2394">
        <f t="shared" si="237"/>
        <v>195303.46373808471</v>
      </c>
      <c r="BK143" s="2394">
        <f t="shared" si="237"/>
        <v>193708.87485278695</v>
      </c>
      <c r="BL143" s="2394">
        <f t="shared" si="237"/>
        <v>193531.04144245377</v>
      </c>
      <c r="BM143" s="2394">
        <f t="shared" si="237"/>
        <v>192128.09674090394</v>
      </c>
      <c r="BN143" s="2394">
        <f t="shared" si="237"/>
        <v>193257.27158563014</v>
      </c>
      <c r="BO143" s="2394">
        <f t="shared" ref="BO143:DZ143" si="238">BO141*BO142</f>
        <v>191289.65970296765</v>
      </c>
      <c r="BP143" s="2394">
        <f t="shared" si="238"/>
        <v>191874.53858644588</v>
      </c>
      <c r="BQ143" s="2394">
        <f t="shared" si="238"/>
        <v>189826.2731589372</v>
      </c>
      <c r="BR143" s="2394">
        <f t="shared" si="238"/>
        <v>190982.82336829667</v>
      </c>
      <c r="BS143" s="2394">
        <f t="shared" si="238"/>
        <v>189985.71764263496</v>
      </c>
      <c r="BT143" s="2394">
        <f t="shared" si="238"/>
        <v>192354.80282643932</v>
      </c>
      <c r="BU143" s="2394">
        <f t="shared" si="238"/>
        <v>189538.40942985445</v>
      </c>
      <c r="BV143" s="2394">
        <f t="shared" si="238"/>
        <v>189558.68691189919</v>
      </c>
      <c r="BW143" s="2394">
        <f t="shared" si="238"/>
        <v>189894.26311285468</v>
      </c>
      <c r="BX143" s="2394">
        <f t="shared" si="238"/>
        <v>189759.14697746723</v>
      </c>
      <c r="BY143" s="2394">
        <f t="shared" si="238"/>
        <v>188845.2514654519</v>
      </c>
      <c r="BZ143" s="2394">
        <f t="shared" si="238"/>
        <v>202758.15648026203</v>
      </c>
      <c r="CA143" s="2394">
        <f t="shared" si="238"/>
        <v>201544.47485119096</v>
      </c>
      <c r="CB143" s="2394">
        <f t="shared" si="238"/>
        <v>202950.11771873356</v>
      </c>
      <c r="CC143" s="2394">
        <f t="shared" si="238"/>
        <v>201375.67866958104</v>
      </c>
      <c r="CD143" s="2394">
        <f t="shared" si="238"/>
        <v>199910.95553038211</v>
      </c>
      <c r="CE143" s="2394">
        <f t="shared" si="238"/>
        <v>199667.53865847556</v>
      </c>
      <c r="CF143" s="2394">
        <f t="shared" si="238"/>
        <v>201115.34091967752</v>
      </c>
      <c r="CG143" s="2394">
        <f t="shared" si="238"/>
        <v>201983.07176708302</v>
      </c>
      <c r="CH143" s="2394">
        <f t="shared" ca="1" si="238"/>
        <v>188122.13793058012</v>
      </c>
      <c r="CI143" s="2394">
        <f t="shared" ca="1" si="238"/>
        <v>188132.82049372274</v>
      </c>
      <c r="CJ143" s="2394">
        <f t="shared" ca="1" si="238"/>
        <v>188085.30793748755</v>
      </c>
      <c r="CK143" s="2394">
        <f t="shared" ca="1" si="238"/>
        <v>187959.50292147745</v>
      </c>
      <c r="CL143" s="2394">
        <f t="shared" ca="1" si="238"/>
        <v>186024.17374032209</v>
      </c>
      <c r="CM143" s="2394">
        <f t="shared" ca="1" si="238"/>
        <v>185978.29209129725</v>
      </c>
      <c r="CN143" s="2394">
        <f t="shared" ca="1" si="238"/>
        <v>185937.07564064575</v>
      </c>
      <c r="CO143" s="2394">
        <f t="shared" ca="1" si="238"/>
        <v>185818.7569828656</v>
      </c>
      <c r="CP143" s="2394">
        <f t="shared" ca="1" si="238"/>
        <v>188510.26362128527</v>
      </c>
      <c r="CQ143" s="2394">
        <f t="shared" ca="1" si="238"/>
        <v>188469.99446122826</v>
      </c>
      <c r="CR143" s="2394">
        <f t="shared" ca="1" si="238"/>
        <v>188592.45269457839</v>
      </c>
      <c r="CS143" s="2394">
        <f t="shared" ca="1" si="238"/>
        <v>188645.15937651793</v>
      </c>
      <c r="CT143" s="2394">
        <f t="shared" ca="1" si="238"/>
        <v>193408.76742482625</v>
      </c>
      <c r="CU143" s="2394">
        <f t="shared" ca="1" si="238"/>
        <v>193546.91383745751</v>
      </c>
      <c r="CV143" s="2394">
        <f t="shared" ca="1" si="238"/>
        <v>193293.39323735781</v>
      </c>
      <c r="CW143" s="2394">
        <f t="shared" ca="1" si="238"/>
        <v>192948.88032246288</v>
      </c>
      <c r="CX143" s="2394">
        <f t="shared" ca="1" si="238"/>
        <v>176545.74033567953</v>
      </c>
      <c r="CY143" s="2394">
        <f t="shared" ca="1" si="238"/>
        <v>176302.20494580458</v>
      </c>
      <c r="CZ143" s="2394">
        <f t="shared" ca="1" si="238"/>
        <v>176060.86942629697</v>
      </c>
      <c r="DA143" s="2394">
        <f t="shared" ca="1" si="238"/>
        <v>175736.11778171323</v>
      </c>
      <c r="DB143" s="2394">
        <f t="shared" ca="1" si="238"/>
        <v>150946.20098170833</v>
      </c>
      <c r="DC143" s="2394">
        <f t="shared" ca="1" si="238"/>
        <v>150728.40309500607</v>
      </c>
      <c r="DD143" s="2394">
        <f t="shared" ca="1" si="238"/>
        <v>150714.23604646118</v>
      </c>
      <c r="DE143" s="2394">
        <f t="shared" ca="1" si="238"/>
        <v>150638.56261321527</v>
      </c>
      <c r="DF143" s="2394">
        <f t="shared" ca="1" si="238"/>
        <v>138879.87575027818</v>
      </c>
      <c r="DG143" s="2394">
        <f t="shared" ca="1" si="238"/>
        <v>138869.12644052989</v>
      </c>
      <c r="DH143" s="2394">
        <f t="shared" ca="1" si="238"/>
        <v>141884.58765455027</v>
      </c>
      <c r="DI143" s="2394">
        <f t="shared" ca="1" si="238"/>
        <v>144997.98508284535</v>
      </c>
      <c r="DJ143" s="2394">
        <f t="shared" ca="1" si="238"/>
        <v>146215.92746624351</v>
      </c>
      <c r="DK143" s="2394">
        <f t="shared" ca="1" si="238"/>
        <v>149393.23797691939</v>
      </c>
      <c r="DL143" s="2394">
        <f t="shared" ca="1" si="238"/>
        <v>150205.19326346964</v>
      </c>
      <c r="DM143" s="2394">
        <f t="shared" ca="1" si="238"/>
        <v>150998.35349776753</v>
      </c>
      <c r="DN143" s="2394">
        <f t="shared" ca="1" si="238"/>
        <v>154231.16698147336</v>
      </c>
      <c r="DO143" s="2394">
        <f t="shared" ca="1" si="238"/>
        <v>155113.8276919896</v>
      </c>
      <c r="DP143" s="2394">
        <f t="shared" ca="1" si="238"/>
        <v>155485.3715208059</v>
      </c>
      <c r="DQ143" s="2394">
        <f t="shared" ca="1" si="238"/>
        <v>155813.33072971721</v>
      </c>
      <c r="DR143" s="2394">
        <f t="shared" ca="1" si="238"/>
        <v>160203.57623587293</v>
      </c>
      <c r="DS143" s="2394">
        <f t="shared" ca="1" si="238"/>
        <v>160613.41426865727</v>
      </c>
      <c r="DT143" s="2394">
        <f t="shared" ca="1" si="238"/>
        <v>160776.8516778748</v>
      </c>
      <c r="DU143" s="2394">
        <f t="shared" ca="1" si="238"/>
        <v>160883.86301545342</v>
      </c>
      <c r="DV143" s="2394">
        <f t="shared" ca="1" si="238"/>
        <v>163079.94412286356</v>
      </c>
      <c r="DW143" s="2394">
        <f t="shared" ca="1" si="238"/>
        <v>163260.06267229276</v>
      </c>
      <c r="DX143" s="2394">
        <f t="shared" ca="1" si="238"/>
        <v>164475.77738318511</v>
      </c>
      <c r="DY143" s="2394">
        <f t="shared" ca="1" si="238"/>
        <v>165687.71667449165</v>
      </c>
      <c r="DZ143" s="2394">
        <f t="shared" ca="1" si="238"/>
        <v>167363.22113818544</v>
      </c>
      <c r="EA143" s="2394">
        <f t="shared" ref="EA143:GL143" ca="1" si="239">EA141*EA142</f>
        <v>168666.21900300996</v>
      </c>
      <c r="EB143" s="2394">
        <f t="shared" ca="1" si="239"/>
        <v>168815.10177421974</v>
      </c>
      <c r="EC143" s="2394">
        <f t="shared" ca="1" si="239"/>
        <v>168903.56807359878</v>
      </c>
      <c r="ED143" s="2394">
        <f t="shared" ca="1" si="239"/>
        <v>170788.22745481378</v>
      </c>
      <c r="EE143" s="2394">
        <f t="shared" ca="1" si="239"/>
        <v>170952.44060732506</v>
      </c>
      <c r="EF143" s="2394">
        <f t="shared" ca="1" si="239"/>
        <v>170741.54913440961</v>
      </c>
      <c r="EG143" s="2394">
        <f t="shared" ca="1" si="239"/>
        <v>170450.95304288346</v>
      </c>
      <c r="EH143" s="2394">
        <f t="shared" ca="1" si="239"/>
        <v>171103.63461276653</v>
      </c>
      <c r="EI143" s="2394">
        <f t="shared" ca="1" si="239"/>
        <v>170881.62475426524</v>
      </c>
      <c r="EJ143" s="2394">
        <f t="shared" ca="1" si="239"/>
        <v>170472.86338568552</v>
      </c>
      <c r="EK143" s="2394">
        <f t="shared" ca="1" si="239"/>
        <v>169974.3248498828</v>
      </c>
      <c r="EL143" s="2394">
        <f t="shared" ca="1" si="239"/>
        <v>169566.19586738161</v>
      </c>
      <c r="EM143" s="2394">
        <f t="shared" ca="1" si="239"/>
        <v>169134.38198970337</v>
      </c>
      <c r="EN143" s="2394">
        <f t="shared" ca="1" si="239"/>
        <v>168660.98535968046</v>
      </c>
      <c r="EO143" s="2394">
        <f t="shared" ca="1" si="239"/>
        <v>168095.21658016532</v>
      </c>
      <c r="EP143" s="2394">
        <f t="shared" ca="1" si="239"/>
        <v>169292.85750185911</v>
      </c>
      <c r="EQ143" s="2394">
        <f t="shared" ca="1" si="239"/>
        <v>168787.11286957088</v>
      </c>
      <c r="ER143" s="2394">
        <f t="shared" ca="1" si="239"/>
        <v>168244.68041938526</v>
      </c>
      <c r="ES143" s="2394">
        <f t="shared" ca="1" si="239"/>
        <v>167606.49163491547</v>
      </c>
      <c r="ET143" s="2394">
        <f t="shared" ca="1" si="239"/>
        <v>167866.49012170418</v>
      </c>
      <c r="EU143" s="2394">
        <f t="shared" ca="1" si="239"/>
        <v>167289.37878058665</v>
      </c>
      <c r="EV143" s="2394">
        <f t="shared" ca="1" si="239"/>
        <v>167048.85846057776</v>
      </c>
      <c r="EW143" s="2394">
        <f t="shared" ca="1" si="239"/>
        <v>166728.59816890725</v>
      </c>
      <c r="EX143" s="2394">
        <f t="shared" ca="1" si="239"/>
        <v>166451.41410099861</v>
      </c>
      <c r="EY143" s="2394">
        <f t="shared" ca="1" si="239"/>
        <v>166198.91390807103</v>
      </c>
      <c r="EZ143" s="2394">
        <f t="shared" ca="1" si="239"/>
        <v>165467.42225434669</v>
      </c>
      <c r="FA143" s="2394">
        <f t="shared" ca="1" si="239"/>
        <v>164631.56666390997</v>
      </c>
      <c r="FB143" s="2394">
        <f t="shared" ca="1" si="239"/>
        <v>165492.25701440996</v>
      </c>
      <c r="FC143" s="2394">
        <f t="shared" ca="1" si="239"/>
        <v>164708.76492214031</v>
      </c>
      <c r="FD143" s="2394">
        <f t="shared" ca="1" si="239"/>
        <v>164277.65369901274</v>
      </c>
      <c r="FE143" s="2394">
        <f t="shared" ca="1" si="239"/>
        <v>163758.11365091923</v>
      </c>
      <c r="FF143" s="2394">
        <f t="shared" ca="1" si="239"/>
        <v>164075.91176822002</v>
      </c>
      <c r="FG143" s="2394">
        <f t="shared" ca="1" si="239"/>
        <v>163618.04345412549</v>
      </c>
      <c r="FH143" s="2394">
        <f t="shared" ca="1" si="239"/>
        <v>162684.23957029916</v>
      </c>
      <c r="FI143" s="2394">
        <f t="shared" ca="1" si="239"/>
        <v>161636.78463520244</v>
      </c>
      <c r="FJ143" s="2394">
        <f t="shared" ca="1" si="239"/>
        <v>160620.69198399334</v>
      </c>
      <c r="FK143" s="2394">
        <f t="shared" ca="1" si="239"/>
        <v>159629.50724323513</v>
      </c>
      <c r="FL143" s="2394">
        <f t="shared" ca="1" si="239"/>
        <v>158638.25373151334</v>
      </c>
      <c r="FM143" s="2394">
        <f t="shared" ca="1" si="239"/>
        <v>157532.02483773668</v>
      </c>
      <c r="FN143" s="2394">
        <f t="shared" ca="1" si="239"/>
        <v>158022.84550143545</v>
      </c>
      <c r="FO143" s="2394">
        <f t="shared" ca="1" si="239"/>
        <v>156959.84288372824</v>
      </c>
      <c r="FP143" s="2394">
        <f t="shared" ca="1" si="239"/>
        <v>155767.33573677039</v>
      </c>
      <c r="FQ143" s="2394">
        <f t="shared" ca="1" si="239"/>
        <v>154450.65594093833</v>
      </c>
      <c r="FR143" s="2394">
        <f t="shared" ca="1" si="239"/>
        <v>153915.95641664453</v>
      </c>
      <c r="FS143" s="2394">
        <f t="shared" ca="1" si="239"/>
        <v>152642.8570962793</v>
      </c>
      <c r="FT143" s="2394">
        <f t="shared" ca="1" si="239"/>
        <v>151179.11615253281</v>
      </c>
      <c r="FU143" s="2394">
        <f t="shared" ca="1" si="239"/>
        <v>149579.09716321848</v>
      </c>
      <c r="FV143" s="2394">
        <f t="shared" ca="1" si="239"/>
        <v>147998.61553596845</v>
      </c>
      <c r="FW143" s="2394">
        <f t="shared" ca="1" si="239"/>
        <v>146442.8943586461</v>
      </c>
      <c r="FX143" s="2394">
        <f t="shared" ca="1" si="239"/>
        <v>144676.16464259889</v>
      </c>
      <c r="FY143" s="2394">
        <f t="shared" ca="1" si="239"/>
        <v>142760.18975189002</v>
      </c>
      <c r="FZ143" s="2394">
        <f t="shared" ca="1" si="239"/>
        <v>142285.81140664464</v>
      </c>
      <c r="GA143" s="2394">
        <f t="shared" ca="1" si="239"/>
        <v>140388.40891340884</v>
      </c>
      <c r="GB143" s="2394">
        <f t="shared" ca="1" si="239"/>
        <v>138310.56406814049</v>
      </c>
      <c r="GC143" s="2394">
        <f t="shared" ca="1" si="239"/>
        <v>136070.03340925515</v>
      </c>
      <c r="GD143" s="2394">
        <f t="shared" ca="1" si="239"/>
        <v>134524.20976723809</v>
      </c>
      <c r="GE143" s="2394">
        <f t="shared" ca="1" si="239"/>
        <v>132303.34014176179</v>
      </c>
      <c r="GF143" s="2394">
        <f t="shared" ca="1" si="239"/>
        <v>130391.83472702732</v>
      </c>
      <c r="GG143" s="2394">
        <f t="shared" ca="1" si="239"/>
        <v>128329.39540669498</v>
      </c>
      <c r="GH143" s="2394">
        <f t="shared" ca="1" si="239"/>
        <v>126282.45562188767</v>
      </c>
      <c r="GI143" s="2394">
        <f t="shared" ca="1" si="239"/>
        <v>124249.71906947032</v>
      </c>
      <c r="GJ143" s="2394">
        <f t="shared" ca="1" si="239"/>
        <v>126982.96616303996</v>
      </c>
      <c r="GK143" s="2394">
        <f t="shared" ca="1" si="239"/>
        <v>129805.63812116231</v>
      </c>
      <c r="GL143" s="2394">
        <f t="shared" ca="1" si="239"/>
        <v>133794.14736265375</v>
      </c>
      <c r="GM143" s="2394">
        <f t="shared" ref="GM143:IA143" ca="1" si="240">GM141*GM142</f>
        <v>136737.06394695691</v>
      </c>
      <c r="GN143" s="2394">
        <f t="shared" ca="1" si="240"/>
        <v>135743.04125793531</v>
      </c>
      <c r="GO143" s="2394">
        <f t="shared" ca="1" si="240"/>
        <v>134643.13349477257</v>
      </c>
      <c r="GP143" s="2394">
        <f t="shared" ca="1" si="240"/>
        <v>134169.93659127239</v>
      </c>
      <c r="GQ143" s="2394">
        <f t="shared" ca="1" si="240"/>
        <v>133109.29412187432</v>
      </c>
      <c r="GR143" s="2394">
        <f t="shared" ca="1" si="240"/>
        <v>131330.25816253095</v>
      </c>
      <c r="GS143" s="2394">
        <f t="shared" ca="1" si="240"/>
        <v>129406.72575010979</v>
      </c>
      <c r="GT143" s="2394">
        <f t="shared" ca="1" si="240"/>
        <v>127468.35854879284</v>
      </c>
      <c r="GU143" s="2394">
        <f t="shared" ca="1" si="240"/>
        <v>125577.0894198797</v>
      </c>
      <c r="GV143" s="2394">
        <f t="shared" ca="1" si="240"/>
        <v>123135.74871468359</v>
      </c>
      <c r="GW143" s="2394">
        <f t="shared" ca="1" si="240"/>
        <v>120519.13886688414</v>
      </c>
      <c r="GX143" s="2394">
        <f t="shared" ca="1" si="240"/>
        <v>119099.93305893094</v>
      </c>
      <c r="GY143" s="2394">
        <f t="shared" ca="1" si="240"/>
        <v>116477.2571669984</v>
      </c>
      <c r="GZ143" s="2394">
        <f t="shared" ca="1" si="240"/>
        <v>114882.1107247834</v>
      </c>
      <c r="HA143" s="2394">
        <f t="shared" ca="1" si="240"/>
        <v>113158.56233081697</v>
      </c>
      <c r="HB143" s="2394">
        <f t="shared" ca="1" si="240"/>
        <v>111965.86022722632</v>
      </c>
      <c r="HC143" s="2394">
        <f t="shared" ca="1" si="240"/>
        <v>110261.76198512458</v>
      </c>
      <c r="HD143" s="2394">
        <f t="shared" ca="1" si="240"/>
        <v>107055.13166270663</v>
      </c>
      <c r="HE143" s="2394">
        <f t="shared" ca="1" si="240"/>
        <v>103640.34085404655</v>
      </c>
      <c r="HF143" s="2394">
        <f t="shared" ca="1" si="240"/>
        <v>100262.56562596356</v>
      </c>
      <c r="HG143" s="2394">
        <f t="shared" ca="1" si="240"/>
        <v>96851.316676319431</v>
      </c>
      <c r="HH143" s="2394">
        <f t="shared" ca="1" si="240"/>
        <v>92716.141094638951</v>
      </c>
      <c r="HI143" s="2394">
        <f t="shared" ca="1" si="240"/>
        <v>88330.811439866462</v>
      </c>
      <c r="HJ143" s="2394">
        <f t="shared" ca="1" si="240"/>
        <v>84873.049809330856</v>
      </c>
      <c r="HK143" s="2394">
        <f t="shared" ca="1" si="240"/>
        <v>80428.849077479361</v>
      </c>
      <c r="HL143" s="2394">
        <f t="shared" ca="1" si="240"/>
        <v>75694.603794541166</v>
      </c>
      <c r="HM143" s="2394">
        <f t="shared" ca="1" si="240"/>
        <v>70686.244962277866</v>
      </c>
      <c r="HN143" s="2394">
        <f t="shared" ca="1" si="240"/>
        <v>66121.033138720653</v>
      </c>
      <c r="HO143" s="2394">
        <f t="shared" ca="1" si="240"/>
        <v>61058.244415426809</v>
      </c>
      <c r="HP143" s="2394">
        <f t="shared" ca="1" si="240"/>
        <v>56179.258604522147</v>
      </c>
      <c r="HQ143" s="2394">
        <f t="shared" ca="1" si="240"/>
        <v>51026.581797187326</v>
      </c>
      <c r="HR143" s="2394">
        <f t="shared" ca="1" si="240"/>
        <v>46009.69191169343</v>
      </c>
      <c r="HS143" s="2394">
        <f t="shared" ca="1" si="240"/>
        <v>40817.860851799494</v>
      </c>
      <c r="HT143" s="2394">
        <f t="shared" ca="1" si="240"/>
        <v>34888.937571204835</v>
      </c>
      <c r="HU143" s="2394">
        <f t="shared" ca="1" si="240"/>
        <v>28640.886988808455</v>
      </c>
      <c r="HV143" s="2394">
        <f t="shared" ca="1" si="240"/>
        <v>22817.871967952186</v>
      </c>
      <c r="HW143" s="2394">
        <f t="shared" ca="1" si="240"/>
        <v>16444.702131876784</v>
      </c>
      <c r="HX143" s="2394">
        <f t="shared" ca="1" si="240"/>
        <v>12466.347920595663</v>
      </c>
      <c r="HY143" s="2394">
        <f t="shared" ca="1" si="240"/>
        <v>8278.2702483876255</v>
      </c>
      <c r="HZ143" s="2394">
        <f t="shared" ca="1" si="240"/>
        <v>4254.8930849968083</v>
      </c>
      <c r="IA143" s="2394">
        <f t="shared" ca="1" si="240"/>
        <v>4361.4379207765451</v>
      </c>
    </row>
    <row r="144" spans="3:235">
      <c r="C144" s="2466"/>
      <c r="D144" s="2481" t="s">
        <v>3938</v>
      </c>
      <c r="E144" s="2385"/>
      <c r="F144" s="2385"/>
      <c r="G144" s="2386"/>
      <c r="H144" s="2488">
        <f>MAX(J144:IA144)</f>
        <v>0.99991780821917808</v>
      </c>
      <c r="I144" s="2656"/>
      <c r="J144" s="2485">
        <f t="shared" ref="J144:AO144" si="241">(1-J139)*(J$3&gt;0)</f>
        <v>0</v>
      </c>
      <c r="K144" s="2486">
        <f t="shared" si="241"/>
        <v>0</v>
      </c>
      <c r="L144" s="2487">
        <f t="shared" si="241"/>
        <v>0</v>
      </c>
      <c r="M144" s="2485">
        <f t="shared" si="241"/>
        <v>0</v>
      </c>
      <c r="N144" s="2486">
        <f t="shared" si="241"/>
        <v>0</v>
      </c>
      <c r="O144" s="2487">
        <f t="shared" si="241"/>
        <v>0</v>
      </c>
      <c r="P144" s="2486">
        <f t="shared" si="241"/>
        <v>0</v>
      </c>
      <c r="Q144" s="2488">
        <f t="shared" si="241"/>
        <v>0</v>
      </c>
      <c r="R144" s="2485">
        <f t="shared" si="241"/>
        <v>0</v>
      </c>
      <c r="S144" s="2486">
        <f t="shared" si="241"/>
        <v>0</v>
      </c>
      <c r="T144" s="2488">
        <f t="shared" si="241"/>
        <v>0</v>
      </c>
      <c r="U144" s="2489">
        <f t="shared" si="241"/>
        <v>0</v>
      </c>
      <c r="V144" s="2489">
        <f t="shared" si="241"/>
        <v>0</v>
      </c>
      <c r="W144" s="2489">
        <f t="shared" si="241"/>
        <v>0</v>
      </c>
      <c r="X144" s="2489">
        <f t="shared" si="241"/>
        <v>0</v>
      </c>
      <c r="Y144" s="2489">
        <f t="shared" si="241"/>
        <v>0</v>
      </c>
      <c r="Z144" s="2489">
        <f t="shared" si="241"/>
        <v>0</v>
      </c>
      <c r="AA144" s="2489">
        <f t="shared" si="241"/>
        <v>0</v>
      </c>
      <c r="AB144" s="2489">
        <f t="shared" si="241"/>
        <v>0</v>
      </c>
      <c r="AC144" s="2489">
        <f t="shared" si="241"/>
        <v>0</v>
      </c>
      <c r="AD144" s="2489">
        <f t="shared" si="241"/>
        <v>0</v>
      </c>
      <c r="AE144" s="2489">
        <f t="shared" si="241"/>
        <v>0</v>
      </c>
      <c r="AF144" s="2489">
        <f t="shared" si="241"/>
        <v>0</v>
      </c>
      <c r="AG144" s="2489">
        <f t="shared" si="241"/>
        <v>0</v>
      </c>
      <c r="AH144" s="2489">
        <f t="shared" si="241"/>
        <v>0</v>
      </c>
      <c r="AI144" s="2489">
        <f t="shared" si="241"/>
        <v>0.99991780821917808</v>
      </c>
      <c r="AJ144" s="2489">
        <f t="shared" si="241"/>
        <v>0.99491780821917808</v>
      </c>
      <c r="AK144" s="2489">
        <f t="shared" si="241"/>
        <v>0.98991780821917807</v>
      </c>
      <c r="AL144" s="2489">
        <f t="shared" si="241"/>
        <v>0.98491780821917807</v>
      </c>
      <c r="AM144" s="2489">
        <f t="shared" si="241"/>
        <v>0.97991780821917807</v>
      </c>
      <c r="AN144" s="2489">
        <f t="shared" si="241"/>
        <v>0.97491780821917806</v>
      </c>
      <c r="AO144" s="2489">
        <f t="shared" si="241"/>
        <v>0.96991780821917806</v>
      </c>
      <c r="AP144" s="2489">
        <f t="shared" ref="AP144:BU144" si="242">(1-AP139)*(AP$3&gt;0)</f>
        <v>0.96491780821917805</v>
      </c>
      <c r="AQ144" s="2489">
        <f t="shared" si="242"/>
        <v>0.95991780821917805</v>
      </c>
      <c r="AR144" s="2489">
        <f t="shared" si="242"/>
        <v>0.95491780821917804</v>
      </c>
      <c r="AS144" s="2489">
        <f t="shared" si="242"/>
        <v>0.94991780821917804</v>
      </c>
      <c r="AT144" s="2489">
        <f t="shared" si="242"/>
        <v>0.94491780821917803</v>
      </c>
      <c r="AU144" s="2489">
        <f t="shared" si="242"/>
        <v>0.93991780821917803</v>
      </c>
      <c r="AV144" s="2489">
        <f t="shared" si="242"/>
        <v>0.93491780821917803</v>
      </c>
      <c r="AW144" s="2489">
        <f t="shared" si="242"/>
        <v>0.92991780821917813</v>
      </c>
      <c r="AX144" s="2489">
        <f t="shared" si="242"/>
        <v>0.92491780821917802</v>
      </c>
      <c r="AY144" s="2489">
        <f t="shared" si="242"/>
        <v>0.91991780821917812</v>
      </c>
      <c r="AZ144" s="2489">
        <f t="shared" si="242"/>
        <v>0.91491780821917801</v>
      </c>
      <c r="BA144" s="2489">
        <f t="shared" si="242"/>
        <v>0.90991780821917811</v>
      </c>
      <c r="BB144" s="2489">
        <f t="shared" si="242"/>
        <v>0.90491780821917811</v>
      </c>
      <c r="BC144" s="2489">
        <f t="shared" si="242"/>
        <v>0.89991780821917811</v>
      </c>
      <c r="BD144" s="2489">
        <f t="shared" si="242"/>
        <v>0.8949178082191781</v>
      </c>
      <c r="BE144" s="2489">
        <f t="shared" si="242"/>
        <v>0.8899178082191781</v>
      </c>
      <c r="BF144" s="2489">
        <f t="shared" si="242"/>
        <v>0.88491780821917809</v>
      </c>
      <c r="BG144" s="2489">
        <f t="shared" si="242"/>
        <v>0.87991780821917809</v>
      </c>
      <c r="BH144" s="2489">
        <f t="shared" si="242"/>
        <v>0.87491780821917808</v>
      </c>
      <c r="BI144" s="2489">
        <f t="shared" si="242"/>
        <v>0.86991780821917808</v>
      </c>
      <c r="BJ144" s="2489">
        <f t="shared" si="242"/>
        <v>0.86491780821917807</v>
      </c>
      <c r="BK144" s="2489">
        <f t="shared" si="242"/>
        <v>0.85991780821917807</v>
      </c>
      <c r="BL144" s="2489">
        <f t="shared" si="242"/>
        <v>0.85491780821917807</v>
      </c>
      <c r="BM144" s="2489">
        <f t="shared" si="242"/>
        <v>0.84991780821917806</v>
      </c>
      <c r="BN144" s="2489">
        <f t="shared" si="242"/>
        <v>0.84491780821917806</v>
      </c>
      <c r="BO144" s="2489">
        <f t="shared" si="242"/>
        <v>0.83991780821917805</v>
      </c>
      <c r="BP144" s="2489">
        <f t="shared" si="242"/>
        <v>0.83491780821917805</v>
      </c>
      <c r="BQ144" s="2489">
        <f t="shared" si="242"/>
        <v>0.82991780821917804</v>
      </c>
      <c r="BR144" s="2489">
        <f t="shared" si="242"/>
        <v>0.82491780821917804</v>
      </c>
      <c r="BS144" s="2489">
        <f t="shared" si="242"/>
        <v>0.81991780821917803</v>
      </c>
      <c r="BT144" s="2489">
        <f t="shared" si="242"/>
        <v>0.81491780821917803</v>
      </c>
      <c r="BU144" s="2489">
        <f t="shared" si="242"/>
        <v>0.80991780821917803</v>
      </c>
      <c r="BV144" s="2489">
        <f t="shared" ref="BV144:DA144" si="243">(1-BV139)*(BV$3&gt;0)</f>
        <v>0.80491780821917813</v>
      </c>
      <c r="BW144" s="2489">
        <f t="shared" si="243"/>
        <v>0.79991780821917802</v>
      </c>
      <c r="BX144" s="2489">
        <f t="shared" si="243"/>
        <v>0.79491780821917812</v>
      </c>
      <c r="BY144" s="2489">
        <f t="shared" si="243"/>
        <v>0.78991780821917801</v>
      </c>
      <c r="BZ144" s="2489">
        <f t="shared" si="243"/>
        <v>0.78491780821917811</v>
      </c>
      <c r="CA144" s="2489">
        <f t="shared" si="243"/>
        <v>0.77991780821917811</v>
      </c>
      <c r="CB144" s="2489">
        <f t="shared" si="243"/>
        <v>0.77491780821917811</v>
      </c>
      <c r="CC144" s="2489">
        <f t="shared" si="243"/>
        <v>0.7699178082191781</v>
      </c>
      <c r="CD144" s="2489">
        <f t="shared" si="243"/>
        <v>0.7649178082191781</v>
      </c>
      <c r="CE144" s="2489">
        <f t="shared" si="243"/>
        <v>0.75991780821917809</v>
      </c>
      <c r="CF144" s="2489">
        <f t="shared" si="243"/>
        <v>0.75491780821917809</v>
      </c>
      <c r="CG144" s="2489">
        <f t="shared" si="243"/>
        <v>0.74991780821917808</v>
      </c>
      <c r="CH144" s="2489">
        <f t="shared" si="243"/>
        <v>0.74491780821917808</v>
      </c>
      <c r="CI144" s="2489">
        <f t="shared" si="243"/>
        <v>0.73991780821917807</v>
      </c>
      <c r="CJ144" s="2489">
        <f t="shared" si="243"/>
        <v>0.73491780821917807</v>
      </c>
      <c r="CK144" s="2489">
        <f t="shared" si="243"/>
        <v>0.72991780821917807</v>
      </c>
      <c r="CL144" s="2489">
        <f t="shared" si="243"/>
        <v>0.72491780821917806</v>
      </c>
      <c r="CM144" s="2489">
        <f t="shared" si="243"/>
        <v>0.71991780821917806</v>
      </c>
      <c r="CN144" s="2489">
        <f t="shared" si="243"/>
        <v>0.71491780821917805</v>
      </c>
      <c r="CO144" s="2489">
        <f t="shared" si="243"/>
        <v>0.70991780821917805</v>
      </c>
      <c r="CP144" s="2489">
        <f t="shared" si="243"/>
        <v>0.70491780821917804</v>
      </c>
      <c r="CQ144" s="2489">
        <f t="shared" si="243"/>
        <v>0.69991780821917815</v>
      </c>
      <c r="CR144" s="2489">
        <f t="shared" si="243"/>
        <v>0.69491780821917803</v>
      </c>
      <c r="CS144" s="2489">
        <f t="shared" si="243"/>
        <v>0.68991780821917814</v>
      </c>
      <c r="CT144" s="2489">
        <f t="shared" si="243"/>
        <v>0.68491780821917803</v>
      </c>
      <c r="CU144" s="2489">
        <f t="shared" si="243"/>
        <v>0.67991780821917813</v>
      </c>
      <c r="CV144" s="2489">
        <f t="shared" si="243"/>
        <v>0.67491780821917802</v>
      </c>
      <c r="CW144" s="2489">
        <f t="shared" si="243"/>
        <v>0.66991780821917812</v>
      </c>
      <c r="CX144" s="2489">
        <f t="shared" si="243"/>
        <v>0.66491780821917801</v>
      </c>
      <c r="CY144" s="2489">
        <f t="shared" si="243"/>
        <v>0.65991780821917811</v>
      </c>
      <c r="CZ144" s="2489">
        <f t="shared" si="243"/>
        <v>0.654917808219178</v>
      </c>
      <c r="DA144" s="2489">
        <f t="shared" si="243"/>
        <v>0.64991780821917811</v>
      </c>
      <c r="DB144" s="2489">
        <f t="shared" ref="DB144:DZ144" si="244">(1-DB139)*(DB$3&gt;0)</f>
        <v>0.64491780821917799</v>
      </c>
      <c r="DC144" s="2489">
        <f t="shared" si="244"/>
        <v>0.6399178082191781</v>
      </c>
      <c r="DD144" s="2489">
        <f t="shared" si="244"/>
        <v>0.63491780821917809</v>
      </c>
      <c r="DE144" s="2489">
        <f t="shared" si="244"/>
        <v>0.62991780821917809</v>
      </c>
      <c r="DF144" s="2489">
        <f t="shared" si="244"/>
        <v>0.62491780821917808</v>
      </c>
      <c r="DG144" s="2489">
        <f t="shared" si="244"/>
        <v>0.61991780821917808</v>
      </c>
      <c r="DH144" s="2489">
        <f t="shared" si="244"/>
        <v>0.61491780821917807</v>
      </c>
      <c r="DI144" s="2489">
        <f t="shared" si="244"/>
        <v>0.60991780821917807</v>
      </c>
      <c r="DJ144" s="2489">
        <f t="shared" si="244"/>
        <v>0.60491780821917807</v>
      </c>
      <c r="DK144" s="2489">
        <f t="shared" si="244"/>
        <v>0.59991780821917806</v>
      </c>
      <c r="DL144" s="2489">
        <f t="shared" si="244"/>
        <v>0.59491780821917806</v>
      </c>
      <c r="DM144" s="2489">
        <f t="shared" si="244"/>
        <v>0.58991780821917805</v>
      </c>
      <c r="DN144" s="2489">
        <f t="shared" si="244"/>
        <v>0.58491780821917805</v>
      </c>
      <c r="DO144" s="2489">
        <f t="shared" si="244"/>
        <v>0.57991780821917804</v>
      </c>
      <c r="DP144" s="2489">
        <f t="shared" si="244"/>
        <v>0.57491780821917815</v>
      </c>
      <c r="DQ144" s="2489">
        <f t="shared" si="244"/>
        <v>0.56991780821917803</v>
      </c>
      <c r="DR144" s="2489">
        <f t="shared" si="244"/>
        <v>0.56491780821917814</v>
      </c>
      <c r="DS144" s="2489">
        <f t="shared" si="244"/>
        <v>0.55991780821917803</v>
      </c>
      <c r="DT144" s="2489">
        <f t="shared" si="244"/>
        <v>0.55491780821917813</v>
      </c>
      <c r="DU144" s="2489">
        <f t="shared" si="244"/>
        <v>0.54991780821917802</v>
      </c>
      <c r="DV144" s="2489">
        <f t="shared" si="244"/>
        <v>0.54491780821917812</v>
      </c>
      <c r="DW144" s="2489">
        <f t="shared" si="244"/>
        <v>0.53991780821917801</v>
      </c>
      <c r="DX144" s="2489">
        <f t="shared" si="244"/>
        <v>0.53491780821917811</v>
      </c>
      <c r="DY144" s="2489">
        <f t="shared" si="244"/>
        <v>0.529917808219178</v>
      </c>
      <c r="DZ144" s="2489">
        <f t="shared" si="244"/>
        <v>0.52491780821917811</v>
      </c>
      <c r="EA144" s="2489">
        <f t="shared" ref="EA144:GL144" si="245">(1-EA139)*(EA$3&gt;0)</f>
        <v>0.51991780821917799</v>
      </c>
      <c r="EB144" s="2489">
        <f t="shared" si="245"/>
        <v>0.5149178082191781</v>
      </c>
      <c r="EC144" s="2489">
        <f t="shared" si="245"/>
        <v>0.50991780821917809</v>
      </c>
      <c r="ED144" s="2489">
        <f t="shared" si="245"/>
        <v>0.50491780821917809</v>
      </c>
      <c r="EE144" s="2489">
        <f t="shared" si="245"/>
        <v>0.49991780821917808</v>
      </c>
      <c r="EF144" s="2489">
        <f t="shared" si="245"/>
        <v>0.49491780821917808</v>
      </c>
      <c r="EG144" s="2489">
        <f t="shared" si="245"/>
        <v>0.48991780821917807</v>
      </c>
      <c r="EH144" s="2489">
        <f t="shared" si="245"/>
        <v>0.48491780821917807</v>
      </c>
      <c r="EI144" s="2489">
        <f t="shared" si="245"/>
        <v>0.47991780821917807</v>
      </c>
      <c r="EJ144" s="2489">
        <f t="shared" si="245"/>
        <v>0.47491780821917806</v>
      </c>
      <c r="EK144" s="2489">
        <f t="shared" si="245"/>
        <v>0.46991780821917806</v>
      </c>
      <c r="EL144" s="2489">
        <f t="shared" si="245"/>
        <v>0.46491780821917805</v>
      </c>
      <c r="EM144" s="2489">
        <f t="shared" si="245"/>
        <v>0.45991780821917805</v>
      </c>
      <c r="EN144" s="2489">
        <f t="shared" si="245"/>
        <v>0.45491780821917804</v>
      </c>
      <c r="EO144" s="2489">
        <f t="shared" si="245"/>
        <v>0.44991780821917804</v>
      </c>
      <c r="EP144" s="2489">
        <f t="shared" si="245"/>
        <v>0.44491780821917803</v>
      </c>
      <c r="EQ144" s="2489">
        <f t="shared" si="245"/>
        <v>0.43991780821917803</v>
      </c>
      <c r="ER144" s="2489">
        <f t="shared" si="245"/>
        <v>0.43491780821917803</v>
      </c>
      <c r="ES144" s="2489">
        <f t="shared" si="245"/>
        <v>0.42991780821917802</v>
      </c>
      <c r="ET144" s="2489">
        <f t="shared" si="245"/>
        <v>0.42491780821917802</v>
      </c>
      <c r="EU144" s="2489">
        <f t="shared" si="245"/>
        <v>0.41991780821917812</v>
      </c>
      <c r="EV144" s="2489">
        <f t="shared" si="245"/>
        <v>0.41491780821917812</v>
      </c>
      <c r="EW144" s="2489">
        <f t="shared" si="245"/>
        <v>0.40991780821917811</v>
      </c>
      <c r="EX144" s="2489">
        <f t="shared" si="245"/>
        <v>0.40491780821917811</v>
      </c>
      <c r="EY144" s="2489">
        <f t="shared" si="245"/>
        <v>0.39991780821917811</v>
      </c>
      <c r="EZ144" s="2489">
        <f t="shared" si="245"/>
        <v>0.3949178082191781</v>
      </c>
      <c r="FA144" s="2489">
        <f t="shared" si="245"/>
        <v>0.3899178082191781</v>
      </c>
      <c r="FB144" s="2489">
        <f t="shared" si="245"/>
        <v>0.38491780821917809</v>
      </c>
      <c r="FC144" s="2489">
        <f t="shared" si="245"/>
        <v>0.37991780821917809</v>
      </c>
      <c r="FD144" s="2489">
        <f t="shared" si="245"/>
        <v>0.37491780821917808</v>
      </c>
      <c r="FE144" s="2489">
        <f t="shared" si="245"/>
        <v>0.36991780821917808</v>
      </c>
      <c r="FF144" s="2489">
        <f t="shared" si="245"/>
        <v>0.36491780821917807</v>
      </c>
      <c r="FG144" s="2489">
        <f t="shared" si="245"/>
        <v>0.35991780821917818</v>
      </c>
      <c r="FH144" s="2489">
        <f t="shared" si="245"/>
        <v>0.35491780821917818</v>
      </c>
      <c r="FI144" s="2489">
        <f t="shared" si="245"/>
        <v>0.34991780821917817</v>
      </c>
      <c r="FJ144" s="2489">
        <f t="shared" si="245"/>
        <v>0.34491780821917817</v>
      </c>
      <c r="FK144" s="2489">
        <f t="shared" si="245"/>
        <v>0.33991780821917816</v>
      </c>
      <c r="FL144" s="2489">
        <f t="shared" si="245"/>
        <v>0.33491780821917816</v>
      </c>
      <c r="FM144" s="2489">
        <f t="shared" si="245"/>
        <v>0.32991780821917815</v>
      </c>
      <c r="FN144" s="2489">
        <f t="shared" si="245"/>
        <v>0.32491780821917815</v>
      </c>
      <c r="FO144" s="2489">
        <f t="shared" si="245"/>
        <v>0.31991780821917815</v>
      </c>
      <c r="FP144" s="2489">
        <f t="shared" si="245"/>
        <v>0.31491780821917814</v>
      </c>
      <c r="FQ144" s="2489">
        <f t="shared" si="245"/>
        <v>0.30991780821917814</v>
      </c>
      <c r="FR144" s="2489">
        <f t="shared" si="245"/>
        <v>0.30491780821917813</v>
      </c>
      <c r="FS144" s="2489">
        <f t="shared" si="245"/>
        <v>0.29991780821917813</v>
      </c>
      <c r="FT144" s="2489">
        <f t="shared" si="245"/>
        <v>0.29491780821917812</v>
      </c>
      <c r="FU144" s="2489">
        <f t="shared" si="245"/>
        <v>0.28991780821917812</v>
      </c>
      <c r="FV144" s="2489">
        <f t="shared" si="245"/>
        <v>0.28491780821917811</v>
      </c>
      <c r="FW144" s="2489">
        <f t="shared" si="245"/>
        <v>0.27991780821917811</v>
      </c>
      <c r="FX144" s="2489">
        <f t="shared" si="245"/>
        <v>0.27491780821917811</v>
      </c>
      <c r="FY144" s="2489">
        <f t="shared" si="245"/>
        <v>0.2699178082191781</v>
      </c>
      <c r="FZ144" s="2489">
        <f t="shared" si="245"/>
        <v>0.2649178082191781</v>
      </c>
      <c r="GA144" s="2489">
        <f t="shared" si="245"/>
        <v>0.25991780821917809</v>
      </c>
      <c r="GB144" s="2489">
        <f t="shared" si="245"/>
        <v>0.25491780821917809</v>
      </c>
      <c r="GC144" s="2489">
        <f t="shared" si="245"/>
        <v>0.24991780821917819</v>
      </c>
      <c r="GD144" s="2489">
        <f t="shared" si="245"/>
        <v>0.24491780821917819</v>
      </c>
      <c r="GE144" s="2489">
        <f t="shared" si="245"/>
        <v>0.23991780821917819</v>
      </c>
      <c r="GF144" s="2489">
        <f t="shared" si="245"/>
        <v>0.23491780821917818</v>
      </c>
      <c r="GG144" s="2489">
        <f t="shared" si="245"/>
        <v>0.22991780821917818</v>
      </c>
      <c r="GH144" s="2489">
        <f t="shared" si="245"/>
        <v>0.22491780821917817</v>
      </c>
      <c r="GI144" s="2489">
        <f t="shared" si="245"/>
        <v>0.21991780821917817</v>
      </c>
      <c r="GJ144" s="2489">
        <f t="shared" si="245"/>
        <v>0.21491780821917816</v>
      </c>
      <c r="GK144" s="2489">
        <f t="shared" si="245"/>
        <v>0.20991780821917816</v>
      </c>
      <c r="GL144" s="2489">
        <f t="shared" si="245"/>
        <v>0.20491780821917815</v>
      </c>
      <c r="GM144" s="2489">
        <f t="shared" ref="GM144:IA144" si="246">(1-GM139)*(GM$3&gt;0)</f>
        <v>0.19991780821917815</v>
      </c>
      <c r="GN144" s="2489">
        <f t="shared" si="246"/>
        <v>0.19491780821917815</v>
      </c>
      <c r="GO144" s="2489">
        <f t="shared" si="246"/>
        <v>0.18991780821917814</v>
      </c>
      <c r="GP144" s="2489">
        <f t="shared" si="246"/>
        <v>0.18491780821917814</v>
      </c>
      <c r="GQ144" s="2489">
        <f t="shared" si="246"/>
        <v>0.17991780821917813</v>
      </c>
      <c r="GR144" s="2489">
        <f t="shared" si="246"/>
        <v>0.17491780821917813</v>
      </c>
      <c r="GS144" s="2489">
        <f t="shared" si="246"/>
        <v>0.16991780821917812</v>
      </c>
      <c r="GT144" s="2489">
        <f t="shared" si="246"/>
        <v>0.16491780821917812</v>
      </c>
      <c r="GU144" s="2489">
        <f t="shared" si="246"/>
        <v>0.15991780821917811</v>
      </c>
      <c r="GV144" s="2489">
        <f t="shared" si="246"/>
        <v>0.15491780821917811</v>
      </c>
      <c r="GW144" s="2489">
        <f t="shared" si="246"/>
        <v>0.14991780821917811</v>
      </c>
      <c r="GX144" s="2489">
        <f t="shared" si="246"/>
        <v>0.1449178082191781</v>
      </c>
      <c r="GY144" s="2489">
        <f t="shared" si="246"/>
        <v>0.1399178082191781</v>
      </c>
      <c r="GZ144" s="2489">
        <f t="shared" si="246"/>
        <v>0.13491780821917809</v>
      </c>
      <c r="HA144" s="2489">
        <f t="shared" si="246"/>
        <v>0.12991780821917809</v>
      </c>
      <c r="HB144" s="2489">
        <f t="shared" si="246"/>
        <v>0.12491780821917819</v>
      </c>
      <c r="HC144" s="2489">
        <f t="shared" si="246"/>
        <v>0.11991780821917819</v>
      </c>
      <c r="HD144" s="2489">
        <f t="shared" si="246"/>
        <v>0.11491780821917819</v>
      </c>
      <c r="HE144" s="2489">
        <f t="shared" si="246"/>
        <v>0.10991780821917818</v>
      </c>
      <c r="HF144" s="2489">
        <f t="shared" si="246"/>
        <v>0.10491780821917818</v>
      </c>
      <c r="HG144" s="2489">
        <f t="shared" si="246"/>
        <v>9.9917808219178172E-2</v>
      </c>
      <c r="HH144" s="2489">
        <f t="shared" si="246"/>
        <v>9.4917808219178168E-2</v>
      </c>
      <c r="HI144" s="2489">
        <f t="shared" si="246"/>
        <v>8.9917808219178164E-2</v>
      </c>
      <c r="HJ144" s="2489">
        <f t="shared" si="246"/>
        <v>8.4917808219178159E-2</v>
      </c>
      <c r="HK144" s="2489">
        <f t="shared" si="246"/>
        <v>7.9917808219178155E-2</v>
      </c>
      <c r="HL144" s="2489">
        <f t="shared" si="246"/>
        <v>7.491780821917815E-2</v>
      </c>
      <c r="HM144" s="2489">
        <f t="shared" si="246"/>
        <v>6.9917808219178146E-2</v>
      </c>
      <c r="HN144" s="2489">
        <f t="shared" si="246"/>
        <v>6.4917808219178141E-2</v>
      </c>
      <c r="HO144" s="2489">
        <f t="shared" si="246"/>
        <v>5.9917808219178137E-2</v>
      </c>
      <c r="HP144" s="2489">
        <f t="shared" si="246"/>
        <v>5.4917808219178132E-2</v>
      </c>
      <c r="HQ144" s="2489">
        <f t="shared" si="246"/>
        <v>4.9917808219178128E-2</v>
      </c>
      <c r="HR144" s="2489">
        <f t="shared" si="246"/>
        <v>4.4917808219178124E-2</v>
      </c>
      <c r="HS144" s="2489">
        <f t="shared" si="246"/>
        <v>3.9917808219178119E-2</v>
      </c>
      <c r="HT144" s="2489">
        <f t="shared" si="246"/>
        <v>3.4917808219178115E-2</v>
      </c>
      <c r="HU144" s="2489">
        <f t="shared" si="246"/>
        <v>2.991780821917811E-2</v>
      </c>
      <c r="HV144" s="2489">
        <f t="shared" si="246"/>
        <v>2.4917808219178106E-2</v>
      </c>
      <c r="HW144" s="2489">
        <f t="shared" si="246"/>
        <v>1.9917808219178101E-2</v>
      </c>
      <c r="HX144" s="2489">
        <f t="shared" si="246"/>
        <v>1.4917808219178097E-2</v>
      </c>
      <c r="HY144" s="2489">
        <f t="shared" si="246"/>
        <v>9.9178082191780925E-3</v>
      </c>
      <c r="HZ144" s="2489">
        <f t="shared" si="246"/>
        <v>4.9178082191780881E-3</v>
      </c>
      <c r="IA144" s="2489">
        <f t="shared" si="246"/>
        <v>0</v>
      </c>
    </row>
    <row r="145" spans="3:235">
      <c r="C145" s="2466"/>
      <c r="D145" s="2490" t="s">
        <v>3939</v>
      </c>
      <c r="E145" s="2385"/>
      <c r="F145" s="2385"/>
      <c r="G145" s="2386"/>
      <c r="H145" s="2392">
        <f ca="1">MAX(J145:IA145)</f>
        <v>183352.88904617936</v>
      </c>
      <c r="I145" s="2482"/>
      <c r="J145" s="2395">
        <f t="shared" ref="J145:BN145" si="247">J143*J144</f>
        <v>0</v>
      </c>
      <c r="K145" s="2387">
        <f t="shared" si="247"/>
        <v>0</v>
      </c>
      <c r="L145" s="2393">
        <f t="shared" si="247"/>
        <v>0</v>
      </c>
      <c r="M145" s="2395">
        <f t="shared" si="247"/>
        <v>0</v>
      </c>
      <c r="N145" s="2387">
        <f t="shared" si="247"/>
        <v>0</v>
      </c>
      <c r="O145" s="2393">
        <f t="shared" si="247"/>
        <v>0</v>
      </c>
      <c r="P145" s="2387">
        <f t="shared" si="247"/>
        <v>0</v>
      </c>
      <c r="Q145" s="2392">
        <f t="shared" si="247"/>
        <v>0</v>
      </c>
      <c r="R145" s="2395">
        <f t="shared" si="247"/>
        <v>0</v>
      </c>
      <c r="S145" s="2387">
        <f t="shared" si="247"/>
        <v>0</v>
      </c>
      <c r="T145" s="2392">
        <f t="shared" si="247"/>
        <v>0</v>
      </c>
      <c r="U145" s="2394">
        <f t="shared" si="247"/>
        <v>0</v>
      </c>
      <c r="V145" s="2394">
        <f t="shared" si="247"/>
        <v>0</v>
      </c>
      <c r="W145" s="2394">
        <f t="shared" si="247"/>
        <v>0</v>
      </c>
      <c r="X145" s="2394">
        <f t="shared" si="247"/>
        <v>0</v>
      </c>
      <c r="Y145" s="2394">
        <f t="shared" si="247"/>
        <v>0</v>
      </c>
      <c r="Z145" s="2394">
        <f t="shared" si="247"/>
        <v>0</v>
      </c>
      <c r="AA145" s="2394">
        <f t="shared" si="247"/>
        <v>0</v>
      </c>
      <c r="AB145" s="2394">
        <f t="shared" si="247"/>
        <v>0</v>
      </c>
      <c r="AC145" s="2394">
        <f t="shared" si="247"/>
        <v>0</v>
      </c>
      <c r="AD145" s="2394">
        <f t="shared" si="247"/>
        <v>0</v>
      </c>
      <c r="AE145" s="2394">
        <f t="shared" si="247"/>
        <v>0</v>
      </c>
      <c r="AF145" s="2394">
        <f t="shared" si="247"/>
        <v>0</v>
      </c>
      <c r="AG145" s="2394">
        <f t="shared" si="247"/>
        <v>0</v>
      </c>
      <c r="AH145" s="2394">
        <f t="shared" si="247"/>
        <v>0</v>
      </c>
      <c r="AI145" s="2394">
        <f t="shared" si="247"/>
        <v>0</v>
      </c>
      <c r="AJ145" s="2394">
        <f t="shared" si="247"/>
        <v>0</v>
      </c>
      <c r="AK145" s="2394">
        <f t="shared" si="247"/>
        <v>0</v>
      </c>
      <c r="AL145" s="2394">
        <f t="shared" si="247"/>
        <v>0</v>
      </c>
      <c r="AM145" s="2394">
        <f t="shared" si="247"/>
        <v>0</v>
      </c>
      <c r="AN145" s="2394">
        <f t="shared" si="247"/>
        <v>0</v>
      </c>
      <c r="AO145" s="2394">
        <f t="shared" si="247"/>
        <v>0</v>
      </c>
      <c r="AP145" s="2394">
        <f t="shared" si="247"/>
        <v>0</v>
      </c>
      <c r="AQ145" s="2394">
        <f t="shared" si="247"/>
        <v>0</v>
      </c>
      <c r="AR145" s="2394">
        <f t="shared" si="247"/>
        <v>0</v>
      </c>
      <c r="AS145" s="2394">
        <f t="shared" si="247"/>
        <v>0</v>
      </c>
      <c r="AT145" s="2394">
        <f t="shared" si="247"/>
        <v>0</v>
      </c>
      <c r="AU145" s="2394">
        <f t="shared" si="247"/>
        <v>0</v>
      </c>
      <c r="AV145" s="2394">
        <f t="shared" si="247"/>
        <v>0</v>
      </c>
      <c r="AW145" s="2394">
        <f t="shared" si="247"/>
        <v>0</v>
      </c>
      <c r="AX145" s="2394">
        <f t="shared" si="247"/>
        <v>181405.78605895757</v>
      </c>
      <c r="AY145" s="2394">
        <f t="shared" si="247"/>
        <v>182215.92710190557</v>
      </c>
      <c r="AZ145" s="2394">
        <f t="shared" si="247"/>
        <v>183010.02376769015</v>
      </c>
      <c r="BA145" s="2394">
        <f t="shared" si="247"/>
        <v>182009.63804871737</v>
      </c>
      <c r="BB145" s="2394">
        <f t="shared" si="247"/>
        <v>183352.88904617936</v>
      </c>
      <c r="BC145" s="2394">
        <f t="shared" si="247"/>
        <v>182984.86596332508</v>
      </c>
      <c r="BD145" s="2394">
        <f t="shared" si="247"/>
        <v>181408.69385472647</v>
      </c>
      <c r="BE145" s="2394">
        <f t="shared" si="247"/>
        <v>178382.19103514196</v>
      </c>
      <c r="BF145" s="2394">
        <f t="shared" si="247"/>
        <v>177637.61695104692</v>
      </c>
      <c r="BG145" s="2394">
        <f t="shared" si="247"/>
        <v>176198.86821842351</v>
      </c>
      <c r="BH145" s="2394">
        <f t="shared" si="247"/>
        <v>173567.80966541567</v>
      </c>
      <c r="BI145" s="2394">
        <f t="shared" si="247"/>
        <v>170910.62973270519</v>
      </c>
      <c r="BJ145" s="2394">
        <f t="shared" si="247"/>
        <v>168921.44379395797</v>
      </c>
      <c r="BK145" s="2394">
        <f t="shared" si="247"/>
        <v>166573.7110960116</v>
      </c>
      <c r="BL145" s="2394">
        <f t="shared" si="247"/>
        <v>165453.13377235748</v>
      </c>
      <c r="BM145" s="2394">
        <f t="shared" si="247"/>
        <v>163293.09087935128</v>
      </c>
      <c r="BN145" s="2394">
        <f t="shared" si="247"/>
        <v>163286.51033054906</v>
      </c>
      <c r="BO145" s="2394">
        <f t="shared" ref="BO145:DZ145" si="248">BO143*BO144</f>
        <v>160667.59171270902</v>
      </c>
      <c r="BP145" s="2394">
        <f t="shared" si="248"/>
        <v>160199.4692096615</v>
      </c>
      <c r="BQ145" s="2394">
        <f t="shared" si="248"/>
        <v>157540.20456248015</v>
      </c>
      <c r="BR145" s="2394">
        <f t="shared" si="248"/>
        <v>157545.13206048572</v>
      </c>
      <c r="BS145" s="2394">
        <f t="shared" si="248"/>
        <v>155772.6732024969</v>
      </c>
      <c r="BT145" s="2394">
        <f t="shared" si="248"/>
        <v>156753.35431975409</v>
      </c>
      <c r="BU145" s="2394">
        <f t="shared" si="248"/>
        <v>153510.5331387769</v>
      </c>
      <c r="BV145" s="2394">
        <f t="shared" si="248"/>
        <v>152579.16279803129</v>
      </c>
      <c r="BW145" s="2394">
        <f t="shared" si="248"/>
        <v>151899.80274263062</v>
      </c>
      <c r="BX145" s="2394">
        <f t="shared" si="248"/>
        <v>150842.92520486913</v>
      </c>
      <c r="BY145" s="2394">
        <f t="shared" si="248"/>
        <v>149172.22713018928</v>
      </c>
      <c r="BZ145" s="2394">
        <f t="shared" si="248"/>
        <v>159148.48778304842</v>
      </c>
      <c r="CA145" s="2394">
        <f t="shared" si="248"/>
        <v>157188.12508462611</v>
      </c>
      <c r="CB145" s="2394">
        <f t="shared" si="248"/>
        <v>157269.6604004252</v>
      </c>
      <c r="CC145" s="2394">
        <f t="shared" si="248"/>
        <v>155042.72114993332</v>
      </c>
      <c r="CD145" s="2394">
        <f t="shared" si="248"/>
        <v>152915.44994330147</v>
      </c>
      <c r="CE145" s="2394">
        <f t="shared" si="248"/>
        <v>151730.91834986676</v>
      </c>
      <c r="CF145" s="2394">
        <f t="shared" si="248"/>
        <v>151825.55236633573</v>
      </c>
      <c r="CG145" s="2394">
        <f t="shared" si="248"/>
        <v>151470.70247694786</v>
      </c>
      <c r="CH145" s="2394">
        <f t="shared" ca="1" si="248"/>
        <v>140135.53066475366</v>
      </c>
      <c r="CI145" s="2394">
        <f t="shared" ca="1" si="248"/>
        <v>139202.82419380741</v>
      </c>
      <c r="CJ145" s="2394">
        <f t="shared" ca="1" si="248"/>
        <v>138227.24226764753</v>
      </c>
      <c r="CK145" s="2394">
        <f t="shared" ca="1" si="248"/>
        <v>137194.98840641102</v>
      </c>
      <c r="CL145" s="2394">
        <f t="shared" ca="1" si="248"/>
        <v>134852.23630361786</v>
      </c>
      <c r="CM145" s="2394">
        <f t="shared" ca="1" si="248"/>
        <v>133889.08441871282</v>
      </c>
      <c r="CN145" s="2394">
        <f t="shared" ca="1" si="248"/>
        <v>132929.72658369399</v>
      </c>
      <c r="CO145" s="2394">
        <f t="shared" ca="1" si="248"/>
        <v>131916.04468328803</v>
      </c>
      <c r="CP145" s="2394">
        <f t="shared" ca="1" si="248"/>
        <v>132884.24185873586</v>
      </c>
      <c r="CQ145" s="2394">
        <f t="shared" ca="1" si="248"/>
        <v>131913.50543838352</v>
      </c>
      <c r="CR145" s="2394">
        <f t="shared" ca="1" si="248"/>
        <v>131056.25387319543</v>
      </c>
      <c r="CS145" s="2394">
        <f t="shared" ca="1" si="248"/>
        <v>130149.65488820479</v>
      </c>
      <c r="CT145" s="2394">
        <f t="shared" ca="1" si="248"/>
        <v>132469.10907498476</v>
      </c>
      <c r="CU145" s="2394">
        <f t="shared" ca="1" si="248"/>
        <v>131595.99344395022</v>
      </c>
      <c r="CV145" s="2394">
        <f t="shared" ca="1" si="248"/>
        <v>130457.15330700522</v>
      </c>
      <c r="CW145" s="2394">
        <f t="shared" ca="1" si="248"/>
        <v>129259.89100396883</v>
      </c>
      <c r="CX145" s="2394">
        <f t="shared" ca="1" si="248"/>
        <v>117388.40671443216</v>
      </c>
      <c r="CY145" s="2394">
        <f t="shared" ca="1" si="248"/>
        <v>116344.9646720437</v>
      </c>
      <c r="CZ145" s="2394">
        <f t="shared" ca="1" si="248"/>
        <v>115305.39871783329</v>
      </c>
      <c r="DA145" s="2394">
        <f t="shared" ca="1" si="248"/>
        <v>114214.0324936384</v>
      </c>
      <c r="DB145" s="2394">
        <f t="shared" ca="1" si="248"/>
        <v>97347.893096134867</v>
      </c>
      <c r="DC145" s="2394">
        <f t="shared" ca="1" si="248"/>
        <v>96453.789344933059</v>
      </c>
      <c r="DD145" s="2394">
        <f t="shared" ca="1" si="248"/>
        <v>95691.152418046986</v>
      </c>
      <c r="DE145" s="2394">
        <f t="shared" ca="1" si="248"/>
        <v>94889.913194603985</v>
      </c>
      <c r="DF145" s="2394">
        <f t="shared" ca="1" si="248"/>
        <v>86788.507559615624</v>
      </c>
      <c r="DG145" s="2394">
        <f t="shared" ca="1" si="248"/>
        <v>86087.444492325201</v>
      </c>
      <c r="DH145" s="2394">
        <f t="shared" ca="1" si="248"/>
        <v>87247.359660617905</v>
      </c>
      <c r="DI145" s="2394">
        <f t="shared" ca="1" si="248"/>
        <v>88436.853257926108</v>
      </c>
      <c r="DJ145" s="2394">
        <f t="shared" ca="1" si="248"/>
        <v>88448.618369614342</v>
      </c>
      <c r="DK145" s="2394">
        <f t="shared" ca="1" si="248"/>
        <v>89623.663889879565</v>
      </c>
      <c r="DL145" s="2394">
        <f t="shared" ca="1" si="248"/>
        <v>89359.744359441407</v>
      </c>
      <c r="DM145" s="2394">
        <f t="shared" ca="1" si="248"/>
        <v>89076.617740107686</v>
      </c>
      <c r="DN145" s="2394">
        <f t="shared" ca="1" si="248"/>
        <v>90212.556149889468</v>
      </c>
      <c r="DO145" s="2394">
        <f t="shared" ca="1" si="248"/>
        <v>89953.270979625857</v>
      </c>
      <c r="DP145" s="2394">
        <f t="shared" ca="1" si="248"/>
        <v>89391.309004886352</v>
      </c>
      <c r="DQ145" s="2394">
        <f t="shared" ca="1" si="248"/>
        <v>88800.791940810333</v>
      </c>
      <c r="DR145" s="2394">
        <f t="shared" ca="1" si="248"/>
        <v>90501.853156043348</v>
      </c>
      <c r="DS145" s="2394">
        <f t="shared" ca="1" si="248"/>
        <v>89930.310887905434</v>
      </c>
      <c r="DT145" s="2394">
        <f t="shared" ca="1" si="248"/>
        <v>89217.938145466178</v>
      </c>
      <c r="DU145" s="2394">
        <f t="shared" ca="1" si="248"/>
        <v>88472.901327292624</v>
      </c>
      <c r="DV145" s="2394">
        <f t="shared" ca="1" si="248"/>
        <v>88865.165715936848</v>
      </c>
      <c r="DW145" s="2394">
        <f t="shared" ca="1" si="248"/>
        <v>88147.015207749937</v>
      </c>
      <c r="DX145" s="2394">
        <f t="shared" ca="1" si="248"/>
        <v>87981.022342958851</v>
      </c>
      <c r="DY145" s="2394">
        <f t="shared" ca="1" si="248"/>
        <v>87800.871668986772</v>
      </c>
      <c r="DZ145" s="2394">
        <f t="shared" ca="1" si="248"/>
        <v>87851.935216357917</v>
      </c>
      <c r="EA145" s="2394">
        <f t="shared" ref="EA145:GL145" ca="1" si="249">EA143*EA144</f>
        <v>87692.57090466081</v>
      </c>
      <c r="EB145" s="2394">
        <f t="shared" ca="1" si="249"/>
        <v>86925.902199878721</v>
      </c>
      <c r="EC145" s="2394">
        <f t="shared" ca="1" si="249"/>
        <v>86126.937232488242</v>
      </c>
      <c r="ED145" s="2394">
        <f t="shared" ca="1" si="249"/>
        <v>86234.01747612303</v>
      </c>
      <c r="EE145" s="2394">
        <f t="shared" ca="1" si="249"/>
        <v>85462.169418133155</v>
      </c>
      <c r="EF145" s="2394">
        <f t="shared" ca="1" si="249"/>
        <v>84503.033269549109</v>
      </c>
      <c r="EG145" s="2394">
        <f t="shared" ca="1" si="249"/>
        <v>83506.957323639508</v>
      </c>
      <c r="EH145" s="2394">
        <f t="shared" ca="1" si="249"/>
        <v>82971.199474757843</v>
      </c>
      <c r="EI145" s="2394">
        <f t="shared" ca="1" si="249"/>
        <v>82009.134816999023</v>
      </c>
      <c r="EJ145" s="2394">
        <f t="shared" ca="1" si="249"/>
        <v>80960.598639977135</v>
      </c>
      <c r="EK145" s="2394">
        <f t="shared" ca="1" si="249"/>
        <v>79873.962186991499</v>
      </c>
      <c r="EL145" s="2394">
        <f t="shared" ca="1" si="249"/>
        <v>78834.344130726909</v>
      </c>
      <c r="EM145" s="2394">
        <f t="shared" ca="1" si="249"/>
        <v>77787.914259209589</v>
      </c>
      <c r="EN145" s="2394">
        <f t="shared" ca="1" si="249"/>
        <v>76726.885791912719</v>
      </c>
      <c r="EO145" s="2394">
        <f t="shared" ca="1" si="249"/>
        <v>75629.031415876016</v>
      </c>
      <c r="EP145" s="2394">
        <f t="shared" ca="1" si="249"/>
        <v>75321.407106888786</v>
      </c>
      <c r="EQ145" s="2394">
        <f t="shared" ca="1" si="249"/>
        <v>74252.456749224642</v>
      </c>
      <c r="ER145" s="2394">
        <f t="shared" ca="1" si="249"/>
        <v>73172.607652535095</v>
      </c>
      <c r="ES145" s="2394">
        <f t="shared" ca="1" si="249"/>
        <v>72057.015526988849</v>
      </c>
      <c r="ET145" s="2394">
        <f t="shared" ca="1" si="249"/>
        <v>71329.461055960841</v>
      </c>
      <c r="EU145" s="2394">
        <f t="shared" ca="1" si="249"/>
        <v>70247.789275891831</v>
      </c>
      <c r="EV145" s="2394">
        <f t="shared" ca="1" si="249"/>
        <v>69311.546217978626</v>
      </c>
      <c r="EW145" s="2394">
        <f t="shared" ca="1" si="249"/>
        <v>68345.02152885453</v>
      </c>
      <c r="EX145" s="2394">
        <f t="shared" ca="1" si="249"/>
        <v>67399.141772759147</v>
      </c>
      <c r="EY145" s="2394">
        <f t="shared" ca="1" si="249"/>
        <v>66465.905378523647</v>
      </c>
      <c r="EZ145" s="2394">
        <f t="shared" ca="1" si="249"/>
        <v>65346.031728363851</v>
      </c>
      <c r="FA145" s="2394">
        <f t="shared" ca="1" si="249"/>
        <v>64192.779637281281</v>
      </c>
      <c r="FB145" s="2394">
        <f t="shared" ca="1" si="249"/>
        <v>63700.91684723158</v>
      </c>
      <c r="FC145" s="2394">
        <f t="shared" ca="1" si="249"/>
        <v>62575.79296370739</v>
      </c>
      <c r="FD145" s="2394">
        <f t="shared" ca="1" si="249"/>
        <v>61590.617864223008</v>
      </c>
      <c r="FE145" s="2394">
        <f t="shared" ca="1" si="249"/>
        <v>60577.04247985511</v>
      </c>
      <c r="FF145" s="2394">
        <f t="shared" ca="1" si="249"/>
        <v>59874.222104022097</v>
      </c>
      <c r="FG145" s="2394">
        <f t="shared" ca="1" si="249"/>
        <v>58889.0475851191</v>
      </c>
      <c r="FH145" s="2394">
        <f t="shared" ca="1" si="249"/>
        <v>57739.533740094274</v>
      </c>
      <c r="FI145" s="2394">
        <f t="shared" ca="1" si="249"/>
        <v>56559.589407145373</v>
      </c>
      <c r="FJ145" s="2394">
        <f t="shared" ca="1" si="249"/>
        <v>55400.937033766706</v>
      </c>
      <c r="FK145" s="2394">
        <f t="shared" ca="1" si="249"/>
        <v>54260.912229227913</v>
      </c>
      <c r="FL145" s="2394">
        <f t="shared" ca="1" si="249"/>
        <v>53130.776239476305</v>
      </c>
      <c r="FM145" s="2394">
        <f t="shared" ca="1" si="249"/>
        <v>51972.620358795219</v>
      </c>
      <c r="FN145" s="2394">
        <f t="shared" ca="1" si="249"/>
        <v>51344.436608884222</v>
      </c>
      <c r="FO145" s="2394">
        <f t="shared" ca="1" si="249"/>
        <v>50214.248913788906</v>
      </c>
      <c r="FP145" s="2394">
        <f t="shared" ca="1" si="249"/>
        <v>49053.907962364588</v>
      </c>
      <c r="FQ145" s="2394">
        <f t="shared" ca="1" si="249"/>
        <v>47867.008767229992</v>
      </c>
      <c r="FR145" s="2394">
        <f t="shared" ca="1" si="249"/>
        <v>46931.716080521801</v>
      </c>
      <c r="FS145" s="2394">
        <f t="shared" ca="1" si="249"/>
        <v>45780.31114062931</v>
      </c>
      <c r="FT145" s="2394">
        <f t="shared" ca="1" si="249"/>
        <v>44585.413584217524</v>
      </c>
      <c r="FU145" s="2394">
        <f t="shared" ca="1" si="249"/>
        <v>43365.644004963782</v>
      </c>
      <c r="FV145" s="2394">
        <f t="shared" ca="1" si="249"/>
        <v>42167.441157980931</v>
      </c>
      <c r="FW145" s="2394">
        <f t="shared" ca="1" si="249"/>
        <v>40991.974018144858</v>
      </c>
      <c r="FX145" s="2394">
        <f t="shared" ca="1" si="249"/>
        <v>39774.054085100237</v>
      </c>
      <c r="FY145" s="2394">
        <f t="shared" ca="1" si="249"/>
        <v>38533.517518784123</v>
      </c>
      <c r="FZ145" s="2394">
        <f t="shared" ca="1" si="249"/>
        <v>37694.045298535631</v>
      </c>
      <c r="GA145" s="2394">
        <f t="shared" ca="1" si="249"/>
        <v>36489.447544150949</v>
      </c>
      <c r="GB145" s="2394">
        <f t="shared" ca="1" si="249"/>
        <v>35257.825845808584</v>
      </c>
      <c r="GC145" s="2394">
        <f t="shared" ca="1" si="249"/>
        <v>34006.324513951397</v>
      </c>
      <c r="GD145" s="2394">
        <f t="shared" ca="1" si="249"/>
        <v>32947.374608608916</v>
      </c>
      <c r="GE145" s="2394">
        <f t="shared" ca="1" si="249"/>
        <v>31741.927386887903</v>
      </c>
      <c r="GF145" s="2394">
        <f t="shared" ca="1" si="249"/>
        <v>30631.364023750582</v>
      </c>
      <c r="GG145" s="2394">
        <f t="shared" ca="1" si="249"/>
        <v>29505.213321999581</v>
      </c>
      <c r="GH145" s="2394">
        <f t="shared" ca="1" si="249"/>
        <v>28403.173135010609</v>
      </c>
      <c r="GI145" s="2394">
        <f t="shared" ca="1" si="249"/>
        <v>27324.725889606536</v>
      </c>
      <c r="GJ145" s="2394">
        <f t="shared" ca="1" si="249"/>
        <v>27290.900768930613</v>
      </c>
      <c r="GK145" s="2394">
        <f t="shared" ca="1" si="249"/>
        <v>27248.515048886191</v>
      </c>
      <c r="GL145" s="2394">
        <f t="shared" ca="1" si="249"/>
        <v>27416.803430108743</v>
      </c>
      <c r="GM145" s="2394">
        <f t="shared" ref="GM145:IA145" ca="1" si="250">GM143*GM144</f>
        <v>27336.174126601232</v>
      </c>
      <c r="GN145" s="2394">
        <f t="shared" ca="1" si="250"/>
        <v>26458.736083002223</v>
      </c>
      <c r="GO145" s="2394">
        <f t="shared" ca="1" si="250"/>
        <v>25571.128805089418</v>
      </c>
      <c r="GP145" s="2394">
        <f t="shared" ca="1" si="250"/>
        <v>24810.410603364198</v>
      </c>
      <c r="GQ145" s="2394">
        <f t="shared" ca="1" si="250"/>
        <v>23948.732452009561</v>
      </c>
      <c r="GR145" s="2394">
        <f t="shared" ca="1" si="250"/>
        <v>22972.000910648741</v>
      </c>
      <c r="GS145" s="2394">
        <f t="shared" ca="1" si="250"/>
        <v>21988.507208278934</v>
      </c>
      <c r="GT145" s="2394">
        <f t="shared" ca="1" si="250"/>
        <v>21021.802309163249</v>
      </c>
      <c r="GU145" s="2394">
        <f t="shared" ca="1" si="250"/>
        <v>20082.012902570903</v>
      </c>
      <c r="GV145" s="2394">
        <f t="shared" ca="1" si="250"/>
        <v>19075.920304306259</v>
      </c>
      <c r="GW145" s="2394">
        <f t="shared" ca="1" si="250"/>
        <v>18067.965147386032</v>
      </c>
      <c r="GX145" s="2394">
        <f t="shared" ca="1" si="250"/>
        <v>17259.701257951103</v>
      </c>
      <c r="GY145" s="2394">
        <f t="shared" ca="1" si="250"/>
        <v>16297.24253018797</v>
      </c>
      <c r="GZ145" s="2394">
        <f t="shared" ca="1" si="250"/>
        <v>15499.642582580709</v>
      </c>
      <c r="HA145" s="2394">
        <f t="shared" ca="1" si="250"/>
        <v>14701.312399252989</v>
      </c>
      <c r="HB145" s="2394">
        <f t="shared" ca="1" si="250"/>
        <v>13986.52985495997</v>
      </c>
      <c r="HC145" s="2394">
        <f t="shared" ca="1" si="250"/>
        <v>13222.348827640843</v>
      </c>
      <c r="HD145" s="2394">
        <f t="shared" ca="1" si="250"/>
        <v>12302.541089293791</v>
      </c>
      <c r="HE145" s="2394">
        <f t="shared" ca="1" si="250"/>
        <v>11391.919109765346</v>
      </c>
      <c r="HF145" s="2394">
        <f t="shared" ca="1" si="250"/>
        <v>10519.328631907611</v>
      </c>
      <c r="HG145" s="2394">
        <f t="shared" ca="1" si="250"/>
        <v>9677.1712854393772</v>
      </c>
      <c r="HH145" s="2394">
        <f t="shared" ca="1" si="250"/>
        <v>8800.4128992432034</v>
      </c>
      <c r="HI145" s="2394">
        <f t="shared" ca="1" si="250"/>
        <v>7942.5129628943014</v>
      </c>
      <c r="HJ145" s="2394">
        <f t="shared" ca="1" si="250"/>
        <v>7207.2333666855129</v>
      </c>
      <c r="HK145" s="2394">
        <f t="shared" ca="1" si="250"/>
        <v>6427.6973358632195</v>
      </c>
      <c r="HL145" s="2394">
        <f t="shared" ca="1" si="250"/>
        <v>5670.8738103061096</v>
      </c>
      <c r="HM145" s="2394">
        <f t="shared" ca="1" si="250"/>
        <v>4942.2273190063916</v>
      </c>
      <c r="HN145" s="2394">
        <f t="shared" ca="1" si="250"/>
        <v>4292.43254855339</v>
      </c>
      <c r="HO145" s="2394">
        <f t="shared" ca="1" si="250"/>
        <v>3658.4761790832481</v>
      </c>
      <c r="HP145" s="2394">
        <f t="shared" ca="1" si="250"/>
        <v>3085.2417499387602</v>
      </c>
      <c r="HQ145" s="2394">
        <f t="shared" ca="1" si="250"/>
        <v>2547.1351242322025</v>
      </c>
      <c r="HR145" s="2394">
        <f t="shared" ca="1" si="250"/>
        <v>2066.6545175129163</v>
      </c>
      <c r="HS145" s="2394">
        <f t="shared" ca="1" si="250"/>
        <v>1629.3595413992307</v>
      </c>
      <c r="HT145" s="2394">
        <f t="shared" ca="1" si="250"/>
        <v>1218.2452310822084</v>
      </c>
      <c r="HU145" s="2394">
        <f t="shared" ca="1" si="250"/>
        <v>856.87256415832496</v>
      </c>
      <c r="HV145" s="2394">
        <f t="shared" ca="1" si="250"/>
        <v>568.57135766719261</v>
      </c>
      <c r="HW145" s="2394">
        <f t="shared" ca="1" si="250"/>
        <v>327.54242328423106</v>
      </c>
      <c r="HX145" s="2394">
        <f t="shared" ca="1" si="250"/>
        <v>185.97058747299576</v>
      </c>
      <c r="HY145" s="2394">
        <f t="shared" ca="1" si="250"/>
        <v>82.102296710036256</v>
      </c>
      <c r="HZ145" s="2394">
        <f t="shared" ca="1" si="250"/>
        <v>20.924748185121317</v>
      </c>
      <c r="IA145" s="2394">
        <f t="shared" ca="1" si="250"/>
        <v>0</v>
      </c>
    </row>
    <row r="146" spans="3:235">
      <c r="C146" s="2466"/>
      <c r="D146" s="2476" t="s">
        <v>3940</v>
      </c>
      <c r="E146" s="2356"/>
      <c r="F146" s="2356"/>
      <c r="G146" s="2446"/>
      <c r="H146" s="2477"/>
      <c r="I146" s="2358"/>
      <c r="J146" s="2478">
        <f t="shared" ref="J146:BN146" si="251">SUM(J140,J145)</f>
        <v>0</v>
      </c>
      <c r="K146" s="2357">
        <f t="shared" si="251"/>
        <v>0</v>
      </c>
      <c r="L146" s="2479">
        <f t="shared" si="251"/>
        <v>0</v>
      </c>
      <c r="M146" s="2478">
        <f t="shared" si="251"/>
        <v>0</v>
      </c>
      <c r="N146" s="2357">
        <f t="shared" si="251"/>
        <v>0</v>
      </c>
      <c r="O146" s="2479">
        <f t="shared" si="251"/>
        <v>0</v>
      </c>
      <c r="P146" s="2357">
        <f t="shared" si="251"/>
        <v>0</v>
      </c>
      <c r="Q146" s="2477">
        <f t="shared" si="251"/>
        <v>0</v>
      </c>
      <c r="R146" s="2478">
        <f t="shared" si="251"/>
        <v>0</v>
      </c>
      <c r="S146" s="2357">
        <f t="shared" si="251"/>
        <v>0</v>
      </c>
      <c r="T146" s="2477">
        <f t="shared" si="251"/>
        <v>0</v>
      </c>
      <c r="U146" s="2480">
        <f t="shared" si="251"/>
        <v>0</v>
      </c>
      <c r="V146" s="2480">
        <f t="shared" si="251"/>
        <v>0</v>
      </c>
      <c r="W146" s="2480">
        <f t="shared" si="251"/>
        <v>0</v>
      </c>
      <c r="X146" s="2480">
        <f t="shared" si="251"/>
        <v>0</v>
      </c>
      <c r="Y146" s="2480">
        <f t="shared" si="251"/>
        <v>0</v>
      </c>
      <c r="Z146" s="2480">
        <f t="shared" si="251"/>
        <v>0</v>
      </c>
      <c r="AA146" s="2480">
        <f t="shared" si="251"/>
        <v>0</v>
      </c>
      <c r="AB146" s="2480">
        <f t="shared" si="251"/>
        <v>0</v>
      </c>
      <c r="AC146" s="2480">
        <f t="shared" si="251"/>
        <v>0</v>
      </c>
      <c r="AD146" s="2480">
        <f t="shared" si="251"/>
        <v>0</v>
      </c>
      <c r="AE146" s="2480">
        <f t="shared" si="251"/>
        <v>0</v>
      </c>
      <c r="AF146" s="2480">
        <f t="shared" si="251"/>
        <v>0</v>
      </c>
      <c r="AG146" s="2480">
        <f t="shared" si="251"/>
        <v>0</v>
      </c>
      <c r="AH146" s="2480">
        <f t="shared" si="251"/>
        <v>0</v>
      </c>
      <c r="AI146" s="2480">
        <f t="shared" si="251"/>
        <v>0</v>
      </c>
      <c r="AJ146" s="2480">
        <f t="shared" si="251"/>
        <v>1120.0208438034324</v>
      </c>
      <c r="AK146" s="2480">
        <f t="shared" si="251"/>
        <v>2188.9981186157042</v>
      </c>
      <c r="AL146" s="2480">
        <f t="shared" si="251"/>
        <v>3256.4204378652225</v>
      </c>
      <c r="AM146" s="2480">
        <f t="shared" si="251"/>
        <v>4277.5225645627916</v>
      </c>
      <c r="AN146" s="2480">
        <f t="shared" si="251"/>
        <v>5328.992086602113</v>
      </c>
      <c r="AO146" s="2480">
        <f t="shared" si="251"/>
        <v>6273.7458458461415</v>
      </c>
      <c r="AP146" s="2480">
        <f t="shared" si="251"/>
        <v>7353.3272833542514</v>
      </c>
      <c r="AQ146" s="2480">
        <f t="shared" si="251"/>
        <v>8295.1043522108976</v>
      </c>
      <c r="AR146" s="2480">
        <f t="shared" si="251"/>
        <v>9264.8396808609177</v>
      </c>
      <c r="AS146" s="2480">
        <f t="shared" si="251"/>
        <v>10142.524845386408</v>
      </c>
      <c r="AT146" s="2480">
        <f t="shared" si="251"/>
        <v>11049.284023573347</v>
      </c>
      <c r="AU146" s="2480">
        <f t="shared" si="251"/>
        <v>11846.675571945698</v>
      </c>
      <c r="AV146" s="2480">
        <f t="shared" si="251"/>
        <v>12729.229159729768</v>
      </c>
      <c r="AW146" s="2480">
        <f t="shared" si="251"/>
        <v>13420.887610453228</v>
      </c>
      <c r="AX146" s="2480">
        <f t="shared" si="251"/>
        <v>195652.30639512488</v>
      </c>
      <c r="AY146" s="2480">
        <f t="shared" si="251"/>
        <v>197108.52983116801</v>
      </c>
      <c r="AZ146" s="2480">
        <f t="shared" si="251"/>
        <v>198676.53198821118</v>
      </c>
      <c r="BA146" s="2480">
        <f t="shared" si="251"/>
        <v>198275.38133401677</v>
      </c>
      <c r="BB146" s="2480">
        <f t="shared" si="251"/>
        <v>200389.54683898098</v>
      </c>
      <c r="BC146" s="2480">
        <f t="shared" si="251"/>
        <v>200624.46318354909</v>
      </c>
      <c r="BD146" s="2480">
        <f t="shared" si="251"/>
        <v>199653.99666389936</v>
      </c>
      <c r="BE146" s="2480">
        <f t="shared" si="251"/>
        <v>197068.03985658268</v>
      </c>
      <c r="BF146" s="2480">
        <f t="shared" si="251"/>
        <v>196953.14464711887</v>
      </c>
      <c r="BG146" s="2480">
        <f t="shared" si="251"/>
        <v>196068.21100768246</v>
      </c>
      <c r="BH146" s="2480">
        <f t="shared" si="251"/>
        <v>193917.62392903707</v>
      </c>
      <c r="BI146" s="2480">
        <f t="shared" si="251"/>
        <v>191727.98121966995</v>
      </c>
      <c r="BJ146" s="2480">
        <f t="shared" si="251"/>
        <v>190234.74335492702</v>
      </c>
      <c r="BK146" s="2480">
        <f t="shared" si="251"/>
        <v>188341.86474984643</v>
      </c>
      <c r="BL146" s="2480">
        <f t="shared" si="251"/>
        <v>187754.72238014496</v>
      </c>
      <c r="BM146" s="2480">
        <f t="shared" si="251"/>
        <v>185983.50205404125</v>
      </c>
      <c r="BN146" s="2480">
        <f t="shared" si="251"/>
        <v>186619.50070789177</v>
      </c>
      <c r="BO146" s="2480">
        <f t="shared" ref="BO146:DZ146" si="252">SUM(BO140,BO145)</f>
        <v>184278.46968806238</v>
      </c>
      <c r="BP146" s="2480">
        <f t="shared" si="252"/>
        <v>184328.6399502054</v>
      </c>
      <c r="BQ146" s="2480">
        <f t="shared" si="252"/>
        <v>181851.18047408521</v>
      </c>
      <c r="BR146" s="2480">
        <f t="shared" si="252"/>
        <v>182400.1265272983</v>
      </c>
      <c r="BS146" s="2480">
        <f t="shared" si="252"/>
        <v>180900.7926418948</v>
      </c>
      <c r="BT146" s="2480">
        <f t="shared" si="252"/>
        <v>182500.24781918651</v>
      </c>
      <c r="BU146" s="2480">
        <f t="shared" si="252"/>
        <v>179174.52245979451</v>
      </c>
      <c r="BV146" s="2480">
        <f t="shared" si="252"/>
        <v>178494.44465025465</v>
      </c>
      <c r="BW146" s="2480">
        <f t="shared" si="252"/>
        <v>178114.84065842989</v>
      </c>
      <c r="BX146" s="2480">
        <f t="shared" si="252"/>
        <v>177325.68261477345</v>
      </c>
      <c r="BY146" s="2480">
        <f t="shared" si="252"/>
        <v>175810.45595720684</v>
      </c>
      <c r="BZ146" s="2480">
        <f t="shared" si="252"/>
        <v>186005.8428349946</v>
      </c>
      <c r="CA146" s="2480">
        <f t="shared" si="252"/>
        <v>184130.05282449178</v>
      </c>
      <c r="CB146" s="2480">
        <f t="shared" si="252"/>
        <v>184624.47253794142</v>
      </c>
      <c r="CC146" s="2480">
        <f t="shared" si="252"/>
        <v>182407.38255963183</v>
      </c>
      <c r="CD146" s="2480">
        <f t="shared" si="252"/>
        <v>180802.33386136938</v>
      </c>
      <c r="CE146" s="2480">
        <f t="shared" si="252"/>
        <v>179773.65732973156</v>
      </c>
      <c r="CF146" s="2480">
        <f t="shared" si="252"/>
        <v>180263.50101959682</v>
      </c>
      <c r="CG146" s="2480">
        <f t="shared" si="252"/>
        <v>180224.93605807947</v>
      </c>
      <c r="CH146" s="2480">
        <f t="shared" ca="1" si="252"/>
        <v>169062.39016627532</v>
      </c>
      <c r="CI146" s="2480">
        <f t="shared" ca="1" si="252"/>
        <v>168292.16497837979</v>
      </c>
      <c r="CJ146" s="2480">
        <f ca="1">SUM(CJ140,CJ145)</f>
        <v>167469.16550518369</v>
      </c>
      <c r="CK146" s="2480">
        <f t="shared" ca="1" si="252"/>
        <v>166579.83623965143</v>
      </c>
      <c r="CL146" s="2480">
        <f t="shared" ca="1" si="252"/>
        <v>164370.58710007899</v>
      </c>
      <c r="CM146" s="2480">
        <f t="shared" ca="1" si="252"/>
        <v>163531.74810754953</v>
      </c>
      <c r="CN146" s="2480">
        <f t="shared" ca="1" si="252"/>
        <v>162687.7400760398</v>
      </c>
      <c r="CO146" s="2480">
        <f t="shared" ca="1" si="252"/>
        <v>161780.6673746602</v>
      </c>
      <c r="CP146" s="2480">
        <f t="shared" ca="1" si="252"/>
        <v>162846.95121211602</v>
      </c>
      <c r="CQ146" s="2480">
        <f t="shared" ca="1" si="252"/>
        <v>161965.99264660664</v>
      </c>
      <c r="CR146" s="2480">
        <f t="shared" ca="1" si="252"/>
        <v>161190.41959930272</v>
      </c>
      <c r="CS146" s="2480">
        <f t="shared" ca="1" si="252"/>
        <v>160357.60508243763</v>
      </c>
      <c r="CT146" s="2480">
        <f t="shared" ca="1" si="252"/>
        <v>162743.15086711882</v>
      </c>
      <c r="CU146" s="2480">
        <f t="shared" ca="1" si="252"/>
        <v>161928.63110968989</v>
      </c>
      <c r="CV146" s="2480">
        <f t="shared" ca="1" si="252"/>
        <v>160841.0843071795</v>
      </c>
      <c r="CW146" s="2480">
        <f t="shared" ca="1" si="252"/>
        <v>159688.00209529046</v>
      </c>
      <c r="CX146" s="2480">
        <f t="shared" ca="1" si="252"/>
        <v>147853.77013060212</v>
      </c>
      <c r="CY146" s="2480">
        <f t="shared" ca="1" si="252"/>
        <v>146840.83437400282</v>
      </c>
      <c r="CZ146" s="2480">
        <f t="shared" ca="1" si="252"/>
        <v>145825.20671198278</v>
      </c>
      <c r="DA146" s="2480">
        <f t="shared" ca="1" si="252"/>
        <v>144751.38521687014</v>
      </c>
      <c r="DB146" s="2480">
        <f t="shared" ca="1" si="252"/>
        <v>127896.56786653146</v>
      </c>
      <c r="DC146" s="2480">
        <f t="shared" ca="1" si="252"/>
        <v>127007.7308770161</v>
      </c>
      <c r="DD146" s="2480">
        <f t="shared" ca="1" si="252"/>
        <v>126244.46940147089</v>
      </c>
      <c r="DE146" s="2480">
        <f t="shared" ca="1" si="252"/>
        <v>125436.87493521026</v>
      </c>
      <c r="DF146" s="2480">
        <f t="shared" ca="1" si="252"/>
        <v>117323.54068178065</v>
      </c>
      <c r="DG146" s="2480">
        <f t="shared" ca="1" si="252"/>
        <v>116605.12970155211</v>
      </c>
      <c r="DH146" s="2480">
        <f t="shared" ca="1" si="252"/>
        <v>117742.42856534029</v>
      </c>
      <c r="DI146" s="2480">
        <f t="shared" ca="1" si="252"/>
        <v>118904.18524950826</v>
      </c>
      <c r="DJ146" s="2480">
        <f t="shared" ca="1" si="252"/>
        <v>118883.23755954957</v>
      </c>
      <c r="DK146" s="2480">
        <f t="shared" ca="1" si="252"/>
        <v>120020.73610320452</v>
      </c>
      <c r="DL146" s="2480">
        <f t="shared" ca="1" si="252"/>
        <v>119714.57418340039</v>
      </c>
      <c r="DM146" s="2480">
        <f t="shared" ca="1" si="252"/>
        <v>119384.64562711705</v>
      </c>
      <c r="DN146" s="2480">
        <f t="shared" ca="1" si="252"/>
        <v>120469.35557386781</v>
      </c>
      <c r="DO146" s="2480">
        <f t="shared" ca="1" si="252"/>
        <v>120154.54564477102</v>
      </c>
      <c r="DP146" s="2480">
        <f t="shared" ca="1" si="252"/>
        <v>119532.89010599551</v>
      </c>
      <c r="DQ146" s="2480">
        <f t="shared" ca="1" si="252"/>
        <v>118878.63547425444</v>
      </c>
      <c r="DR146" s="2480">
        <f t="shared" ca="1" si="252"/>
        <v>120512.0372805217</v>
      </c>
      <c r="DS146" s="2480">
        <f t="shared" ca="1" si="252"/>
        <v>119869.0333341207</v>
      </c>
      <c r="DT146" s="2480">
        <f t="shared" ca="1" si="252"/>
        <v>119081.51367387449</v>
      </c>
      <c r="DU146" s="2480">
        <f t="shared" ca="1" si="252"/>
        <v>118257.75923309718</v>
      </c>
      <c r="DV146" s="2480">
        <f t="shared" ca="1" si="252"/>
        <v>118567.84738050745</v>
      </c>
      <c r="DW146" s="2480">
        <f t="shared" ca="1" si="252"/>
        <v>117764.17169566409</v>
      </c>
      <c r="DX146" s="2480">
        <f t="shared" ca="1" si="252"/>
        <v>117509.41204387377</v>
      </c>
      <c r="DY146" s="2480">
        <f t="shared" ca="1" si="252"/>
        <v>117237.35798356448</v>
      </c>
      <c r="DZ146" s="2480">
        <f t="shared" ca="1" si="252"/>
        <v>117193.48428547864</v>
      </c>
      <c r="EA146" s="2480">
        <f t="shared" ref="EA146:GL146" ca="1" si="253">SUM(EA140,EA145)</f>
        <v>116936.24938117253</v>
      </c>
      <c r="EB146" s="2480">
        <f t="shared" ca="1" si="253"/>
        <v>116068.87506214318</v>
      </c>
      <c r="EC146" s="2480">
        <f t="shared" ca="1" si="253"/>
        <v>115166.46563899625</v>
      </c>
      <c r="ED146" s="2480">
        <f t="shared" ca="1" si="253"/>
        <v>115167.45666046339</v>
      </c>
      <c r="EE146" s="2480">
        <f t="shared" ca="1" si="253"/>
        <v>114286.96662361242</v>
      </c>
      <c r="EF146" s="2480">
        <f t="shared" ca="1" si="253"/>
        <v>113216.72572276989</v>
      </c>
      <c r="EG146" s="2480">
        <f t="shared" ca="1" si="253"/>
        <v>112107.17024635762</v>
      </c>
      <c r="EH146" s="2480">
        <f t="shared" ca="1" si="253"/>
        <v>111455.64413334933</v>
      </c>
      <c r="EI146" s="2480">
        <f t="shared" ca="1" si="253"/>
        <v>110375.60660887924</v>
      </c>
      <c r="EJ146" s="2480">
        <f t="shared" ca="1" si="253"/>
        <v>109206.9752163254</v>
      </c>
      <c r="EK146" s="2480">
        <f t="shared" ca="1" si="253"/>
        <v>107998.20161114524</v>
      </c>
      <c r="EL146" s="2480">
        <f t="shared" ca="1" si="253"/>
        <v>106834.48307161999</v>
      </c>
      <c r="EM146" s="2480">
        <f t="shared" ca="1" si="253"/>
        <v>105662.06621924008</v>
      </c>
      <c r="EN146" s="2480">
        <f t="shared" ca="1" si="253"/>
        <v>104473.23936863535</v>
      </c>
      <c r="EO146" s="2480">
        <f t="shared" ca="1" si="253"/>
        <v>103245.84859692496</v>
      </c>
      <c r="EP146" s="2480">
        <f t="shared" ca="1" si="253"/>
        <v>102807.02159754615</v>
      </c>
      <c r="EQ146" s="2480">
        <f t="shared" ca="1" si="253"/>
        <v>101605.27233205992</v>
      </c>
      <c r="ER146" s="2480">
        <f t="shared" ca="1" si="253"/>
        <v>100391.09657855047</v>
      </c>
      <c r="ES146" s="2480">
        <f t="shared" ca="1" si="253"/>
        <v>99139.716937714693</v>
      </c>
      <c r="ET146" s="2480">
        <f t="shared" ca="1" si="253"/>
        <v>98274.979435955043</v>
      </c>
      <c r="EU146" s="2480">
        <f t="shared" ca="1" si="253"/>
        <v>97054.79293510571</v>
      </c>
      <c r="EV146" s="2480">
        <f t="shared" ca="1" si="253"/>
        <v>95978.7658034614</v>
      </c>
      <c r="EW146" s="2480">
        <f t="shared" ca="1" si="253"/>
        <v>94871.248565276881</v>
      </c>
      <c r="EX146" s="2480">
        <f t="shared" ca="1" si="253"/>
        <v>93783.227231245502</v>
      </c>
      <c r="EY146" s="2480">
        <f t="shared" ca="1" si="253"/>
        <v>92706.758273290994</v>
      </c>
      <c r="EZ146" s="2480">
        <f t="shared" ca="1" si="253"/>
        <v>91442.617740673653</v>
      </c>
      <c r="FA146" s="2480">
        <f t="shared" ca="1" si="253"/>
        <v>90144.119766219228</v>
      </c>
      <c r="FB146" s="2480">
        <f t="shared" ca="1" si="253"/>
        <v>89506.086086838128</v>
      </c>
      <c r="FC146" s="2480">
        <f t="shared" ca="1" si="253"/>
        <v>88233.919005990057</v>
      </c>
      <c r="FD146" s="2480">
        <f t="shared" ca="1" si="253"/>
        <v>87100.879827589364</v>
      </c>
      <c r="FE146" s="2480">
        <f t="shared" ca="1" si="253"/>
        <v>85938.669662512941</v>
      </c>
      <c r="FF146" s="2480">
        <f t="shared" ca="1" si="253"/>
        <v>85086.492761901318</v>
      </c>
      <c r="FG146" s="2480">
        <f t="shared" ca="1" si="253"/>
        <v>83951.287733877136</v>
      </c>
      <c r="FH146" s="2480">
        <f t="shared" ca="1" si="253"/>
        <v>82651.115980774106</v>
      </c>
      <c r="FI146" s="2480">
        <f t="shared" ca="1" si="253"/>
        <v>81319.931775062869</v>
      </c>
      <c r="FJ146" s="2480">
        <f t="shared" ca="1" si="253"/>
        <v>80009.501870210981</v>
      </c>
      <c r="FK146" s="2480">
        <f t="shared" ca="1" si="253"/>
        <v>78717.205075565391</v>
      </c>
      <c r="FL146" s="2480">
        <f t="shared" ca="1" si="253"/>
        <v>77434.344753256169</v>
      </c>
      <c r="FM146" s="2480">
        <f t="shared" ca="1" si="253"/>
        <v>76123.053251460893</v>
      </c>
      <c r="FN146" s="2480">
        <f t="shared" ca="1" si="253"/>
        <v>75341.362604701892</v>
      </c>
      <c r="FO146" s="2480">
        <f t="shared" ca="1" si="253"/>
        <v>74057.335729611004</v>
      </c>
      <c r="FP146" s="2480">
        <f t="shared" ca="1" si="253"/>
        <v>72742.861307852785</v>
      </c>
      <c r="FQ146" s="2480">
        <f t="shared" ca="1" si="253"/>
        <v>71401.571365167852</v>
      </c>
      <c r="FR146" s="2480">
        <f t="shared" ca="1" si="253"/>
        <v>70311.666706854783</v>
      </c>
      <c r="FS146" s="2480">
        <f t="shared" ca="1" si="253"/>
        <v>69005.46368387455</v>
      </c>
      <c r="FT146" s="2480">
        <f t="shared" ca="1" si="253"/>
        <v>67655.616123893196</v>
      </c>
      <c r="FU146" s="2480">
        <f t="shared" ca="1" si="253"/>
        <v>66280.77790869298</v>
      </c>
      <c r="FV146" s="2480">
        <f t="shared" ca="1" si="253"/>
        <v>64927.420196931344</v>
      </c>
      <c r="FW146" s="2480">
        <f t="shared" ca="1" si="253"/>
        <v>63596.74350047081</v>
      </c>
      <c r="FX146" s="2480">
        <f t="shared" ca="1" si="253"/>
        <v>62223.590007060004</v>
      </c>
      <c r="FY146" s="2480">
        <f t="shared" ca="1" si="253"/>
        <v>60827.825733210528</v>
      </c>
      <c r="FZ146" s="2480">
        <f t="shared" ca="1" si="253"/>
        <v>59833.160700343578</v>
      </c>
      <c r="GA146" s="2480">
        <f t="shared" ca="1" si="253"/>
        <v>58473.433272570968</v>
      </c>
      <c r="GB146" s="2480">
        <f t="shared" ca="1" si="253"/>
        <v>57086.772503040898</v>
      </c>
      <c r="GC146" s="2480">
        <f t="shared" ca="1" si="253"/>
        <v>55680.349399940053</v>
      </c>
      <c r="GD146" s="2480">
        <f t="shared" ca="1" si="253"/>
        <v>54466.620971640747</v>
      </c>
      <c r="GE146" s="2480">
        <f t="shared" ca="1" si="253"/>
        <v>53106.563689726259</v>
      </c>
      <c r="GF146" s="2480">
        <f t="shared" ca="1" si="253"/>
        <v>51841.58322501865</v>
      </c>
      <c r="GG146" s="2480">
        <f t="shared" ca="1" si="253"/>
        <v>50561.232172532924</v>
      </c>
      <c r="GH146" s="2480">
        <f t="shared" ca="1" si="253"/>
        <v>49305.231488903708</v>
      </c>
      <c r="GI146" s="2480">
        <f t="shared" ca="1" si="253"/>
        <v>48073.086029682418</v>
      </c>
      <c r="GJ146" s="2480">
        <f t="shared" ca="1" si="253"/>
        <v>47885.846746367592</v>
      </c>
      <c r="GK146" s="2480">
        <f t="shared" ca="1" si="253"/>
        <v>47690.352036740296</v>
      </c>
      <c r="GL146" s="2480">
        <f t="shared" ca="1" si="253"/>
        <v>47705.857090474907</v>
      </c>
      <c r="GM146" s="2480">
        <f t="shared" ref="GM146:IA146" ca="1" si="254">SUM(GM140,GM145)</f>
        <v>47472.789991160535</v>
      </c>
      <c r="GN146" s="2480">
        <f t="shared" ca="1" si="254"/>
        <v>46443.27894670736</v>
      </c>
      <c r="GO146" s="2480">
        <f t="shared" ca="1" si="254"/>
        <v>45403.982132744299</v>
      </c>
      <c r="GP146" s="2480">
        <f t="shared" ca="1" si="254"/>
        <v>44491.975948858031</v>
      </c>
      <c r="GQ146" s="2480">
        <f t="shared" ca="1" si="254"/>
        <v>43479.428889970084</v>
      </c>
      <c r="GR146" s="2480">
        <f t="shared" ca="1" si="254"/>
        <v>42352.26448028296</v>
      </c>
      <c r="GS146" s="2480">
        <f t="shared" ca="1" si="254"/>
        <v>41218.790369174189</v>
      </c>
      <c r="GT146" s="2480">
        <f t="shared" ca="1" si="254"/>
        <v>40102.573408824988</v>
      </c>
      <c r="GU146" s="2480">
        <f t="shared" ca="1" si="254"/>
        <v>39013.755655477624</v>
      </c>
      <c r="GV146" s="2480">
        <f t="shared" ca="1" si="254"/>
        <v>37859.133282265851</v>
      </c>
      <c r="GW146" s="2480">
        <f t="shared" ca="1" si="254"/>
        <v>36703.161280981643</v>
      </c>
      <c r="GX146" s="2480">
        <f t="shared" ca="1" si="254"/>
        <v>35747.407348867971</v>
      </c>
      <c r="GY146" s="2480">
        <f t="shared" ca="1" si="254"/>
        <v>34637.998774216627</v>
      </c>
      <c r="GZ146" s="2480">
        <f t="shared" ca="1" si="254"/>
        <v>33694.002103095467</v>
      </c>
      <c r="HA146" s="2480">
        <f t="shared" ca="1" si="254"/>
        <v>32749.840790968068</v>
      </c>
      <c r="HB146" s="2480">
        <f t="shared" ca="1" si="254"/>
        <v>31889.804737769147</v>
      </c>
      <c r="HC146" s="2480">
        <f t="shared" ca="1" si="254"/>
        <v>30980.959410349718</v>
      </c>
      <c r="HD146" s="2480">
        <f t="shared" ca="1" si="254"/>
        <v>29917.087743057309</v>
      </c>
      <c r="HE146" s="2480">
        <f t="shared" ca="1" si="254"/>
        <v>28863.01295104649</v>
      </c>
      <c r="HF146" s="2480">
        <f t="shared" ca="1" si="254"/>
        <v>27847.591114776133</v>
      </c>
      <c r="HG146" s="2480">
        <f t="shared" ca="1" si="254"/>
        <v>26863.233803033112</v>
      </c>
      <c r="HH146" s="2480">
        <f t="shared" ca="1" si="254"/>
        <v>25844.916394217034</v>
      </c>
      <c r="HI146" s="2480">
        <f t="shared" ca="1" si="254"/>
        <v>24846.107546685307</v>
      </c>
      <c r="HJ146" s="2480">
        <f t="shared" ca="1" si="254"/>
        <v>23970.577947425765</v>
      </c>
      <c r="HK146" s="2480">
        <f t="shared" ca="1" si="254"/>
        <v>23051.459254774669</v>
      </c>
      <c r="HL146" s="2480">
        <f t="shared" ca="1" si="254"/>
        <v>22155.728486414773</v>
      </c>
      <c r="HM146" s="2480">
        <f t="shared" ca="1" si="254"/>
        <v>21288.857902016171</v>
      </c>
      <c r="HN146" s="2480">
        <f t="shared" ca="1" si="254"/>
        <v>20501.529579722319</v>
      </c>
      <c r="HO146" s="2480">
        <f t="shared" ca="1" si="254"/>
        <v>19730.737259948222</v>
      </c>
      <c r="HP146" s="2480">
        <f t="shared" ca="1" si="254"/>
        <v>19021.371218737018</v>
      </c>
      <c r="HQ146" s="2480">
        <f t="shared" ca="1" si="254"/>
        <v>18347.843739870947</v>
      </c>
      <c r="HR146" s="2480">
        <f t="shared" ca="1" si="254"/>
        <v>17732.659150940592</v>
      </c>
      <c r="HS146" s="2480">
        <f t="shared" ca="1" si="254"/>
        <v>17161.382874235303</v>
      </c>
      <c r="HT146" s="2480">
        <f t="shared" ca="1" si="254"/>
        <v>16617.015461363972</v>
      </c>
      <c r="HU146" s="2480">
        <f t="shared" ca="1" si="254"/>
        <v>16123.12311906652</v>
      </c>
      <c r="HV146" s="2480">
        <f t="shared" ca="1" si="254"/>
        <v>15703.04061309401</v>
      </c>
      <c r="HW146" s="2480">
        <f t="shared" ca="1" si="254"/>
        <v>15330.973430110495</v>
      </c>
      <c r="HX146" s="2480">
        <f t="shared" ca="1" si="254"/>
        <v>15059.110804422784</v>
      </c>
      <c r="HY146" s="2480">
        <f t="shared" ca="1" si="254"/>
        <v>14825.703329654225</v>
      </c>
      <c r="HZ146" s="2480">
        <f t="shared" ca="1" si="254"/>
        <v>14635.742095766856</v>
      </c>
      <c r="IA146" s="2480">
        <f t="shared" ca="1" si="254"/>
        <v>14489.813920523355</v>
      </c>
    </row>
    <row r="147" spans="3:235">
      <c r="C147" s="2466"/>
      <c r="D147" s="2476" t="s">
        <v>3941</v>
      </c>
      <c r="E147" s="2356"/>
      <c r="F147" s="2356"/>
      <c r="G147" s="2446"/>
      <c r="H147" s="2477"/>
      <c r="I147" s="2358"/>
      <c r="J147" s="2478">
        <f t="shared" ref="J147:BN147" si="255">J138</f>
        <v>0</v>
      </c>
      <c r="K147" s="2357">
        <f t="shared" si="255"/>
        <v>0</v>
      </c>
      <c r="L147" s="2479">
        <f t="shared" si="255"/>
        <v>0</v>
      </c>
      <c r="M147" s="2478">
        <f t="shared" si="255"/>
        <v>0</v>
      </c>
      <c r="N147" s="2357">
        <f t="shared" si="255"/>
        <v>0</v>
      </c>
      <c r="O147" s="2479">
        <f t="shared" si="255"/>
        <v>0</v>
      </c>
      <c r="P147" s="2357">
        <f t="shared" si="255"/>
        <v>0</v>
      </c>
      <c r="Q147" s="2477">
        <f t="shared" si="255"/>
        <v>0</v>
      </c>
      <c r="R147" s="2478">
        <f t="shared" si="255"/>
        <v>0</v>
      </c>
      <c r="S147" s="2357">
        <f t="shared" si="255"/>
        <v>0</v>
      </c>
      <c r="T147" s="2477">
        <f t="shared" si="255"/>
        <v>0</v>
      </c>
      <c r="U147" s="2480">
        <f t="shared" si="255"/>
        <v>0</v>
      </c>
      <c r="V147" s="2480">
        <f t="shared" si="255"/>
        <v>0</v>
      </c>
      <c r="W147" s="2480">
        <f t="shared" si="255"/>
        <v>0</v>
      </c>
      <c r="X147" s="2480">
        <f t="shared" si="255"/>
        <v>0</v>
      </c>
      <c r="Y147" s="2480">
        <f t="shared" si="255"/>
        <v>0</v>
      </c>
      <c r="Z147" s="2480">
        <f t="shared" si="255"/>
        <v>0</v>
      </c>
      <c r="AA147" s="2480">
        <f t="shared" si="255"/>
        <v>0</v>
      </c>
      <c r="AB147" s="2480">
        <f t="shared" si="255"/>
        <v>0</v>
      </c>
      <c r="AC147" s="2480">
        <f t="shared" si="255"/>
        <v>0</v>
      </c>
      <c r="AD147" s="2480">
        <f t="shared" si="255"/>
        <v>0</v>
      </c>
      <c r="AE147" s="2480">
        <f t="shared" si="255"/>
        <v>0</v>
      </c>
      <c r="AF147" s="2480">
        <f t="shared" si="255"/>
        <v>0</v>
      </c>
      <c r="AG147" s="2480">
        <f t="shared" si="255"/>
        <v>0</v>
      </c>
      <c r="AH147" s="2480">
        <f t="shared" si="255"/>
        <v>0</v>
      </c>
      <c r="AI147" s="2480">
        <f t="shared" si="255"/>
        <v>0</v>
      </c>
      <c r="AJ147" s="2480">
        <f t="shared" si="255"/>
        <v>220381.45983194219</v>
      </c>
      <c r="AK147" s="2480">
        <f t="shared" si="255"/>
        <v>217115.30252574239</v>
      </c>
      <c r="AL147" s="2480">
        <f t="shared" si="255"/>
        <v>215911.61849605924</v>
      </c>
      <c r="AM147" s="2480">
        <f t="shared" si="255"/>
        <v>213000.78254644186</v>
      </c>
      <c r="AN147" s="2480">
        <f t="shared" si="255"/>
        <v>212461.18095136766</v>
      </c>
      <c r="AO147" s="2480">
        <f t="shared" si="255"/>
        <v>208553.48212512216</v>
      </c>
      <c r="AP147" s="2480">
        <f t="shared" si="255"/>
        <v>209602.84720221019</v>
      </c>
      <c r="AQ147" s="2480">
        <f t="shared" si="255"/>
        <v>206952.36422125611</v>
      </c>
      <c r="AR147" s="2480">
        <f t="shared" si="255"/>
        <v>205509.96557363929</v>
      </c>
      <c r="AS147" s="2480">
        <f t="shared" si="255"/>
        <v>202517.59127822969</v>
      </c>
      <c r="AT147" s="2480">
        <f t="shared" si="255"/>
        <v>200596.302840302</v>
      </c>
      <c r="AU147" s="2480">
        <f t="shared" si="255"/>
        <v>197174.49082353761</v>
      </c>
      <c r="AV147" s="2480">
        <f t="shared" si="255"/>
        <v>195586.97719643719</v>
      </c>
      <c r="AW147" s="2480">
        <f t="shared" si="255"/>
        <v>191502.11015697528</v>
      </c>
      <c r="AX147" s="2480">
        <f t="shared" si="255"/>
        <v>189745.66402850067</v>
      </c>
      <c r="AY147" s="2480">
        <f t="shared" si="255"/>
        <v>185966.47267125506</v>
      </c>
      <c r="AZ147" s="2480">
        <f t="shared" si="255"/>
        <v>184133.81099630258</v>
      </c>
      <c r="BA147" s="2480">
        <f t="shared" si="255"/>
        <v>180565.58087391351</v>
      </c>
      <c r="BB147" s="2480">
        <f t="shared" si="255"/>
        <v>179178.21911461139</v>
      </c>
      <c r="BC147" s="2480">
        <f t="shared" si="255"/>
        <v>176251.1082776282</v>
      </c>
      <c r="BD147" s="2480">
        <f t="shared" si="255"/>
        <v>173628.87564458634</v>
      </c>
      <c r="BE147" s="2480">
        <f t="shared" si="255"/>
        <v>169744.52015494919</v>
      </c>
      <c r="BF147" s="2480">
        <f t="shared" si="255"/>
        <v>167841.15245961823</v>
      </c>
      <c r="BG147" s="2480">
        <f t="shared" si="255"/>
        <v>165464.52471091755</v>
      </c>
      <c r="BH147" s="2480">
        <f t="shared" si="255"/>
        <v>162691.53885054885</v>
      </c>
      <c r="BI147" s="2480">
        <f t="shared" si="255"/>
        <v>160032.29344444259</v>
      </c>
      <c r="BJ147" s="2480">
        <f t="shared" si="255"/>
        <v>157780.23202015416</v>
      </c>
      <c r="BK147" s="2480">
        <f t="shared" si="255"/>
        <v>155395.5815304071</v>
      </c>
      <c r="BL147" s="2480">
        <f t="shared" si="255"/>
        <v>153716.92648177568</v>
      </c>
      <c r="BM147" s="2480">
        <f t="shared" si="255"/>
        <v>151186.56587736096</v>
      </c>
      <c r="BN147" s="2480">
        <f t="shared" si="255"/>
        <v>150455.63974437048</v>
      </c>
      <c r="BO147" s="2480">
        <f t="shared" ref="BO147:DZ147" si="256">BO138</f>
        <v>147492.22079418067</v>
      </c>
      <c r="BP147" s="2480">
        <f t="shared" si="256"/>
        <v>146164.58916767937</v>
      </c>
      <c r="BQ147" s="2480">
        <f t="shared" si="256"/>
        <v>142936.63350089962</v>
      </c>
      <c r="BR147" s="2480">
        <f t="shared" si="256"/>
        <v>141961.86496184315</v>
      </c>
      <c r="BS147" s="2480">
        <f t="shared" si="256"/>
        <v>139536.94805081759</v>
      </c>
      <c r="BT147" s="2480">
        <f t="shared" si="256"/>
        <v>139110.59325427923</v>
      </c>
      <c r="BU147" s="2480">
        <f t="shared" si="256"/>
        <v>135015.22199728203</v>
      </c>
      <c r="BV147" s="2480">
        <f t="shared" si="256"/>
        <v>132842.88850588471</v>
      </c>
      <c r="BW147" s="2480">
        <f t="shared" si="256"/>
        <v>131021.34519056181</v>
      </c>
      <c r="BX147" s="2480">
        <f t="shared" si="256"/>
        <v>129132.40871838992</v>
      </c>
      <c r="BY147" s="2480">
        <f t="shared" si="256"/>
        <v>126799.0808797785</v>
      </c>
      <c r="BZ147" s="2480">
        <f t="shared" si="256"/>
        <v>124870.19417820981</v>
      </c>
      <c r="CA147" s="2480">
        <f t="shared" si="256"/>
        <v>122417.57282523306</v>
      </c>
      <c r="CB147" s="2480">
        <f t="shared" si="256"/>
        <v>121532.54738230683</v>
      </c>
      <c r="CC147" s="2480">
        <f t="shared" si="256"/>
        <v>118934.28690807286</v>
      </c>
      <c r="CD147" s="2480">
        <f t="shared" si="256"/>
        <v>118626.10139379735</v>
      </c>
      <c r="CE147" s="2480">
        <f t="shared" si="256"/>
        <v>116804.74412473645</v>
      </c>
      <c r="CF147" s="2480">
        <f t="shared" si="256"/>
        <v>116034.33299916494</v>
      </c>
      <c r="CG147" s="2480">
        <f t="shared" si="256"/>
        <v>114979.13296574325</v>
      </c>
      <c r="CH147" s="2480">
        <f t="shared" ca="1" si="256"/>
        <v>113402.11286241778</v>
      </c>
      <c r="CI147" s="2480">
        <f t="shared" ca="1" si="256"/>
        <v>111846.72270482373</v>
      </c>
      <c r="CJ147" s="2480">
        <f t="shared" ca="1" si="256"/>
        <v>110312.66582296215</v>
      </c>
      <c r="CK147" s="2480">
        <f t="shared" ca="1" si="256"/>
        <v>108799.64961587291</v>
      </c>
      <c r="CL147" s="2480">
        <f t="shared" ca="1" si="256"/>
        <v>107307.38549582499</v>
      </c>
      <c r="CM147" s="2480">
        <f t="shared" ca="1" si="256"/>
        <v>105835.58883327202</v>
      </c>
      <c r="CN147" s="2480">
        <f t="shared" ca="1" si="256"/>
        <v>104383.97890256323</v>
      </c>
      <c r="CO147" s="2480">
        <f t="shared" ca="1" si="256"/>
        <v>102952.27882839857</v>
      </c>
      <c r="CP147" s="2480">
        <f t="shared" ca="1" si="256"/>
        <v>101540.21553301849</v>
      </c>
      <c r="CQ147" s="2480">
        <f t="shared" ca="1" si="256"/>
        <v>100147.51968411796</v>
      </c>
      <c r="CR147" s="2480">
        <f t="shared" ca="1" si="256"/>
        <v>98773.925643475013</v>
      </c>
      <c r="CS147" s="2480">
        <f t="shared" ca="1" si="256"/>
        <v>97419.171416283672</v>
      </c>
      <c r="CT147" s="2480">
        <f t="shared" ca="1" si="256"/>
        <v>96082.998601181956</v>
      </c>
      <c r="CU147" s="2480">
        <f t="shared" ca="1" si="256"/>
        <v>94765.152340965316</v>
      </c>
      <c r="CV147" s="2480">
        <f t="shared" ca="1" si="256"/>
        <v>93465.381273975872</v>
      </c>
      <c r="CW147" s="2480">
        <f t="shared" ca="1" si="256"/>
        <v>92183.437486158684</v>
      </c>
      <c r="CX147" s="2480">
        <f t="shared" ca="1" si="256"/>
        <v>90919.076463775316</v>
      </c>
      <c r="CY147" s="2480">
        <f t="shared" ca="1" si="256"/>
        <v>89672.05704676616</v>
      </c>
      <c r="CZ147" s="2480">
        <f t="shared" ca="1" si="256"/>
        <v>88442.141382752307</v>
      </c>
      <c r="DA147" s="2480">
        <f t="shared" ca="1" si="256"/>
        <v>87229.09488166841</v>
      </c>
      <c r="DB147" s="2480">
        <f t="shared" ca="1" si="256"/>
        <v>86032.686171017747</v>
      </c>
      <c r="DC147" s="2480">
        <f t="shared" ca="1" si="256"/>
        <v>84852.687051740941</v>
      </c>
      <c r="DD147" s="2480">
        <f t="shared" ca="1" si="256"/>
        <v>83688.872454690092</v>
      </c>
      <c r="DE147" s="2480">
        <f t="shared" ca="1" si="256"/>
        <v>82541.020397699816</v>
      </c>
      <c r="DF147" s="2480">
        <f t="shared" ca="1" si="256"/>
        <v>81408.911943247018</v>
      </c>
      <c r="DG147" s="2480">
        <f t="shared" ca="1" si="256"/>
        <v>80292.33115669158</v>
      </c>
      <c r="DH147" s="2480">
        <f t="shared" ca="1" si="256"/>
        <v>79191.065065089613</v>
      </c>
      <c r="DI147" s="2480">
        <f t="shared" ca="1" si="256"/>
        <v>78104.903616571726</v>
      </c>
      <c r="DJ147" s="2480">
        <f t="shared" ca="1" si="256"/>
        <v>77033.639640278474</v>
      </c>
      <c r="DK147" s="2480">
        <f t="shared" ca="1" si="256"/>
        <v>75977.068806845215</v>
      </c>
      <c r="DL147" s="2480">
        <f t="shared" ca="1" si="256"/>
        <v>74934.989589429009</v>
      </c>
      <c r="DM147" s="2480">
        <f t="shared" ca="1" si="256"/>
        <v>73907.203225270001</v>
      </c>
      <c r="DN147" s="2480">
        <f t="shared" ca="1" si="256"/>
        <v>72893.513677780225</v>
      </c>
      <c r="DO147" s="2480">
        <f t="shared" ca="1" si="256"/>
        <v>71893.727599152029</v>
      </c>
      <c r="DP147" s="2480">
        <f t="shared" ca="1" si="256"/>
        <v>70907.654293479689</v>
      </c>
      <c r="DQ147" s="2480">
        <f t="shared" ca="1" si="256"/>
        <v>69935.105680386667</v>
      </c>
      <c r="DR147" s="2480">
        <f t="shared" ca="1" si="256"/>
        <v>68975.896259151792</v>
      </c>
      <c r="DS147" s="2480">
        <f t="shared" ca="1" si="256"/>
        <v>68029.843073327356</v>
      </c>
      <c r="DT147" s="2480">
        <f t="shared" ca="1" si="256"/>
        <v>67096.765675842733</v>
      </c>
      <c r="DU147" s="2480">
        <f t="shared" ca="1" si="256"/>
        <v>66176.486094586464</v>
      </c>
      <c r="DV147" s="2480">
        <f t="shared" ca="1" si="256"/>
        <v>65268.828798460432</v>
      </c>
      <c r="DW147" s="2480">
        <f t="shared" ca="1" si="256"/>
        <v>64373.620663899623</v>
      </c>
      <c r="DX147" s="2480">
        <f t="shared" ca="1" si="256"/>
        <v>63490.690941851164</v>
      </c>
      <c r="DY147" s="2480">
        <f t="shared" ca="1" si="256"/>
        <v>62619.871225206101</v>
      </c>
      <c r="DZ147" s="2480">
        <f t="shared" ca="1" si="256"/>
        <v>61760.995416678088</v>
      </c>
      <c r="EA147" s="2480">
        <f t="shared" ref="EA147:GL147" ca="1" si="257">EA138</f>
        <v>60913.899697122506</v>
      </c>
      <c r="EB147" s="2480">
        <f t="shared" ca="1" si="257"/>
        <v>60078.422494290076</v>
      </c>
      <c r="EC147" s="2480">
        <f t="shared" ca="1" si="257"/>
        <v>59254.404452009279</v>
      </c>
      <c r="ED147" s="2480">
        <f t="shared" ca="1" si="257"/>
        <v>58441.688399790997</v>
      </c>
      <c r="EE147" s="2480">
        <f t="shared" ca="1" si="257"/>
        <v>57640.119322850653</v>
      </c>
      <c r="EF147" s="2480">
        <f t="shared" ca="1" si="257"/>
        <v>56849.544332540929</v>
      </c>
      <c r="EG147" s="2480">
        <f t="shared" ca="1" si="257"/>
        <v>56069.812637190429</v>
      </c>
      <c r="EH147" s="2480">
        <f t="shared" ca="1" si="257"/>
        <v>55300.775513342152</v>
      </c>
      <c r="EI147" s="2480">
        <f t="shared" ca="1" si="257"/>
        <v>54542.286277386498</v>
      </c>
      <c r="EJ147" s="2480">
        <f t="shared" ca="1" si="257"/>
        <v>53794.200257583259</v>
      </c>
      <c r="EK147" s="2480">
        <f t="shared" ca="1" si="257"/>
        <v>53056.374766467416</v>
      </c>
      <c r="EL147" s="2480">
        <f t="shared" ca="1" si="257"/>
        <v>52328.669073633406</v>
      </c>
      <c r="EM147" s="2480">
        <f t="shared" ca="1" si="257"/>
        <v>51610.944378892746</v>
      </c>
      <c r="EN147" s="2480">
        <f t="shared" ca="1" si="257"/>
        <v>50903.063785799604</v>
      </c>
      <c r="EO147" s="2480">
        <f t="shared" ca="1" si="257"/>
        <v>50204.892275539707</v>
      </c>
      <c r="EP147" s="2480">
        <f t="shared" ca="1" si="257"/>
        <v>49516.296681177359</v>
      </c>
      <c r="EQ147" s="2480">
        <f t="shared" ca="1" si="257"/>
        <v>48837.145662255418</v>
      </c>
      <c r="ER147" s="2480">
        <f t="shared" ca="1" si="257"/>
        <v>48167.309679744059</v>
      </c>
      <c r="ES147" s="2480">
        <f t="shared" ca="1" si="257"/>
        <v>47506.660971332822</v>
      </c>
      <c r="ET147" s="2480">
        <f t="shared" ca="1" si="257"/>
        <v>46855.073527061679</v>
      </c>
      <c r="EU147" s="2480">
        <f t="shared" ca="1" si="257"/>
        <v>46212.423065286297</v>
      </c>
      <c r="EV147" s="2480">
        <f t="shared" ca="1" si="257"/>
        <v>45578.587008972914</v>
      </c>
      <c r="EW147" s="2480">
        <f t="shared" ca="1" si="257"/>
        <v>44953.44446231849</v>
      </c>
      <c r="EX147" s="2480">
        <f t="shared" ca="1" si="257"/>
        <v>44336.87618769145</v>
      </c>
      <c r="EY147" s="2480">
        <f t="shared" ca="1" si="257"/>
        <v>43728.764582888572</v>
      </c>
      <c r="EZ147" s="2480">
        <f t="shared" ca="1" si="257"/>
        <v>43128.993658704043</v>
      </c>
      <c r="FA147" s="2480">
        <f t="shared" ca="1" si="257"/>
        <v>42537.449016805949</v>
      </c>
      <c r="FB147" s="2480">
        <f t="shared" ca="1" si="257"/>
        <v>41954.017827916483</v>
      </c>
      <c r="FC147" s="2480">
        <f t="shared" ca="1" si="257"/>
        <v>41378.588810291047</v>
      </c>
      <c r="FD147" s="2480">
        <f t="shared" ca="1" si="257"/>
        <v>40811.052208492991</v>
      </c>
      <c r="FE147" s="2480">
        <f t="shared" ca="1" si="257"/>
        <v>40251.299772458944</v>
      </c>
      <c r="FF147" s="2480">
        <f t="shared" ca="1" si="257"/>
        <v>39699.224736851727</v>
      </c>
      <c r="FG147" s="2480">
        <f t="shared" ca="1" si="257"/>
        <v>39154.721800696338</v>
      </c>
      <c r="FH147" s="2480">
        <f t="shared" ca="1" si="257"/>
        <v>38617.687107294973</v>
      </c>
      <c r="FI147" s="2480">
        <f t="shared" ca="1" si="257"/>
        <v>38088.018224417938</v>
      </c>
      <c r="FJ147" s="2480">
        <f t="shared" ca="1" si="257"/>
        <v>37565.614124765954</v>
      </c>
      <c r="FK147" s="2480">
        <f t="shared" ca="1" si="257"/>
        <v>37050.375166700614</v>
      </c>
      <c r="FL147" s="2480">
        <f t="shared" ca="1" si="257"/>
        <v>36542.203075239035</v>
      </c>
      <c r="FM147" s="2480">
        <f t="shared" ca="1" si="257"/>
        <v>36041.000923309242</v>
      </c>
      <c r="FN147" s="2480">
        <f t="shared" ca="1" si="257"/>
        <v>35546.673113262506</v>
      </c>
      <c r="FO147" s="2480">
        <f t="shared" ca="1" si="257"/>
        <v>35059.125358639438</v>
      </c>
      <c r="FP147" s="2480">
        <f t="shared" ca="1" si="257"/>
        <v>34578.264666186202</v>
      </c>
      <c r="FQ147" s="2480">
        <f t="shared" ca="1" si="257"/>
        <v>34103.99931811705</v>
      </c>
      <c r="FR147" s="2480">
        <f t="shared" ca="1" si="257"/>
        <v>33636.238854620678</v>
      </c>
      <c r="FS147" s="2480">
        <f t="shared" ca="1" si="257"/>
        <v>33174.894056605925</v>
      </c>
      <c r="FT147" s="2480">
        <f t="shared" ca="1" si="257"/>
        <v>32719.876928684578</v>
      </c>
      <c r="FU147" s="2480">
        <f t="shared" ca="1" si="257"/>
        <v>32271.100682387376</v>
      </c>
      <c r="FV147" s="2480">
        <f t="shared" ca="1" si="257"/>
        <v>31828.479719610354</v>
      </c>
      <c r="FW147" s="2480">
        <f t="shared" ca="1" si="257"/>
        <v>31391.929616287987</v>
      </c>
      <c r="FX147" s="2480">
        <f t="shared" ca="1" si="257"/>
        <v>30961.367106290516</v>
      </c>
      <c r="FY147" s="2480">
        <f t="shared" ca="1" si="257"/>
        <v>30536.710065542018</v>
      </c>
      <c r="FZ147" s="2480">
        <f t="shared" ca="1" si="257"/>
        <v>30117.877496356381</v>
      </c>
      <c r="GA147" s="2480">
        <f t="shared" ca="1" si="257"/>
        <v>29704.789511987954</v>
      </c>
      <c r="GB147" s="2480">
        <f t="shared" ca="1" si="257"/>
        <v>29297.367321394329</v>
      </c>
      <c r="GC147" s="2480">
        <f t="shared" ca="1" si="257"/>
        <v>28895.533214207982</v>
      </c>
      <c r="GD147" s="2480">
        <f t="shared" ca="1" si="257"/>
        <v>28499.210545913964</v>
      </c>
      <c r="GE147" s="2480">
        <f t="shared" ca="1" si="257"/>
        <v>28108.323723231097</v>
      </c>
      <c r="GF147" s="2480">
        <f t="shared" ca="1" si="257"/>
        <v>27722.798189693458</v>
      </c>
      <c r="GG147" s="2480">
        <f t="shared" ca="1" si="257"/>
        <v>27342.560411429735</v>
      </c>
      <c r="GH147" s="2480">
        <f t="shared" ca="1" si="257"/>
        <v>26967.537863137739</v>
      </c>
      <c r="GI147" s="2480">
        <f t="shared" ca="1" si="257"/>
        <v>26597.659014251036</v>
      </c>
      <c r="GJ147" s="2480">
        <f t="shared" ca="1" si="257"/>
        <v>26232.853315295488</v>
      </c>
      <c r="GK147" s="2480">
        <f t="shared" ca="1" si="257"/>
        <v>25873.051184432868</v>
      </c>
      <c r="GL147" s="2480">
        <f t="shared" ca="1" si="257"/>
        <v>25518.183994189112</v>
      </c>
      <c r="GM147" s="2480">
        <f t="shared" ref="GM147:IA147" ca="1" si="258">GM138</f>
        <v>25168.184058364361</v>
      </c>
      <c r="GN147" s="2480">
        <f t="shared" ca="1" si="258"/>
        <v>24822.984619122959</v>
      </c>
      <c r="GO147" s="2480">
        <f t="shared" ca="1" si="258"/>
        <v>24482.519834260118</v>
      </c>
      <c r="GP147" s="2480">
        <f t="shared" ca="1" si="258"/>
        <v>24146.724764643452</v>
      </c>
      <c r="GQ147" s="2480">
        <f t="shared" ca="1" si="258"/>
        <v>23815.535361826718</v>
      </c>
      <c r="GR147" s="2480">
        <f t="shared" ca="1" si="258"/>
        <v>23488.888455833348</v>
      </c>
      <c r="GS147" s="2480">
        <f t="shared" ca="1" si="258"/>
        <v>23166.72174310769</v>
      </c>
      <c r="GT147" s="2480">
        <f t="shared" ca="1" si="258"/>
        <v>22848.973774631435</v>
      </c>
      <c r="GU147" s="2480">
        <f t="shared" ca="1" si="258"/>
        <v>22535.583944202954</v>
      </c>
      <c r="GV147" s="2480">
        <f t="shared" ca="1" si="258"/>
        <v>22226.492476877509</v>
      </c>
      <c r="GW147" s="2480">
        <f t="shared" ca="1" si="258"/>
        <v>21921.640417566068</v>
      </c>
      <c r="GX147" s="2480">
        <f t="shared" ca="1" si="258"/>
        <v>21620.969619790314</v>
      </c>
      <c r="GY147" s="2480">
        <f t="shared" ca="1" si="258"/>
        <v>21324.422734591979</v>
      </c>
      <c r="GZ147" s="2480">
        <f t="shared" ca="1" si="258"/>
        <v>21031.943199594265</v>
      </c>
      <c r="HA147" s="2480">
        <f t="shared" ca="1" si="258"/>
        <v>20743.475228213378</v>
      </c>
      <c r="HB147" s="2480">
        <f t="shared" ca="1" si="258"/>
        <v>20458.963799018016</v>
      </c>
      <c r="HC147" s="2480">
        <f t="shared" ca="1" si="258"/>
        <v>20178.354645234693</v>
      </c>
      <c r="HD147" s="2480">
        <f t="shared" ca="1" si="258"/>
        <v>19901.594244397038</v>
      </c>
      <c r="HE147" s="2480">
        <f t="shared" ca="1" si="258"/>
        <v>19628.629808137215</v>
      </c>
      <c r="HF147" s="2480">
        <f t="shared" ca="1" si="258"/>
        <v>19359.409272117082</v>
      </c>
      <c r="HG147" s="2480">
        <f t="shared" ca="1" si="258"/>
        <v>19093.881286097811</v>
      </c>
      <c r="HH147" s="2480">
        <f t="shared" ca="1" si="258"/>
        <v>18831.995204145383</v>
      </c>
      <c r="HI147" s="2480">
        <f t="shared" ca="1" si="258"/>
        <v>18573.701074970555</v>
      </c>
      <c r="HJ147" s="2480">
        <f t="shared" ca="1" si="258"/>
        <v>18318.949632401291</v>
      </c>
      <c r="HK147" s="2480">
        <f t="shared" ca="1" si="258"/>
        <v>18067.692285986002</v>
      </c>
      <c r="HL147" s="2480">
        <f t="shared" ca="1" si="258"/>
        <v>17819.88111172547</v>
      </c>
      <c r="HM147" s="2480">
        <f t="shared" ca="1" si="258"/>
        <v>17575.468842932045</v>
      </c>
      <c r="HN147" s="2480">
        <f t="shared" ca="1" si="258"/>
        <v>17334.408861214044</v>
      </c>
      <c r="HO147" s="2480">
        <f t="shared" ca="1" si="258"/>
        <v>17096.655187584052</v>
      </c>
      <c r="HP147" s="2480">
        <f t="shared" ca="1" si="258"/>
        <v>16862.162473688928</v>
      </c>
      <c r="HQ147" s="2480">
        <f t="shared" ca="1" si="258"/>
        <v>16630.885993160337</v>
      </c>
      <c r="HR147" s="2480">
        <f t="shared" ca="1" si="258"/>
        <v>16402.781633083581</v>
      </c>
      <c r="HS147" s="2480">
        <f t="shared" ca="1" si="258"/>
        <v>16177.805885583901</v>
      </c>
      <c r="HT147" s="2480">
        <f t="shared" ca="1" si="258"/>
        <v>15955.915839527739</v>
      </c>
      <c r="HU147" s="2480">
        <f t="shared" ca="1" si="258"/>
        <v>15737.06917233815</v>
      </c>
      <c r="HV147" s="2480">
        <f t="shared" ca="1" si="258"/>
        <v>15521.22414192211</v>
      </c>
      <c r="HW147" s="2480">
        <f t="shared" ca="1" si="258"/>
        <v>15308.339578709045</v>
      </c>
      <c r="HX147" s="2480">
        <f t="shared" ca="1" si="258"/>
        <v>15098.374877798036</v>
      </c>
      <c r="HY147" s="2480">
        <f t="shared" ca="1" si="258"/>
        <v>14891.289991213207</v>
      </c>
      <c r="HZ147" s="2480">
        <f t="shared" ca="1" si="258"/>
        <v>14687.045420264956</v>
      </c>
      <c r="IA147" s="2480">
        <f t="shared" ca="1" si="258"/>
        <v>14489.813920523355</v>
      </c>
    </row>
    <row r="148" spans="3:235">
      <c r="C148" s="2491"/>
      <c r="D148" s="2492" t="s">
        <v>3942</v>
      </c>
      <c r="E148" s="2424"/>
      <c r="F148" s="2424"/>
      <c r="G148" s="2493"/>
      <c r="H148" s="2494"/>
      <c r="I148" s="2358"/>
      <c r="J148" s="2495">
        <f t="shared" ref="J148:X149" si="259">MAX(J146,J147)</f>
        <v>0</v>
      </c>
      <c r="K148" s="2496">
        <f t="shared" si="259"/>
        <v>0</v>
      </c>
      <c r="L148" s="2497">
        <f t="shared" si="259"/>
        <v>0</v>
      </c>
      <c r="M148" s="2495">
        <f t="shared" si="259"/>
        <v>0</v>
      </c>
      <c r="N148" s="2496">
        <f t="shared" si="259"/>
        <v>0</v>
      </c>
      <c r="O148" s="2497">
        <f t="shared" si="259"/>
        <v>0</v>
      </c>
      <c r="P148" s="2496">
        <f t="shared" si="259"/>
        <v>0</v>
      </c>
      <c r="Q148" s="2494">
        <f t="shared" si="259"/>
        <v>0</v>
      </c>
      <c r="R148" s="2495">
        <f t="shared" si="259"/>
        <v>0</v>
      </c>
      <c r="S148" s="2496">
        <f t="shared" si="259"/>
        <v>0</v>
      </c>
      <c r="T148" s="2494">
        <f t="shared" si="259"/>
        <v>0</v>
      </c>
      <c r="U148" s="2498">
        <f t="shared" si="259"/>
        <v>0</v>
      </c>
      <c r="V148" s="2498">
        <f t="shared" si="259"/>
        <v>0</v>
      </c>
      <c r="W148" s="2498">
        <f t="shared" si="259"/>
        <v>0</v>
      </c>
      <c r="X148" s="2498">
        <f t="shared" si="259"/>
        <v>0</v>
      </c>
      <c r="Y148" s="2498">
        <f t="shared" ref="Y148:CJ148" si="260">CHOOSE($G$32,MAX(Y146,Y147),Y149)</f>
        <v>0</v>
      </c>
      <c r="Z148" s="2498">
        <f t="shared" si="260"/>
        <v>0</v>
      </c>
      <c r="AA148" s="2498">
        <f t="shared" si="260"/>
        <v>0</v>
      </c>
      <c r="AB148" s="2498">
        <f t="shared" si="260"/>
        <v>0</v>
      </c>
      <c r="AC148" s="2498">
        <f t="shared" si="260"/>
        <v>0</v>
      </c>
      <c r="AD148" s="2498">
        <f t="shared" si="260"/>
        <v>0</v>
      </c>
      <c r="AE148" s="2498">
        <f t="shared" si="260"/>
        <v>0</v>
      </c>
      <c r="AF148" s="2498">
        <f t="shared" si="260"/>
        <v>0</v>
      </c>
      <c r="AG148" s="2498">
        <f t="shared" si="260"/>
        <v>0</v>
      </c>
      <c r="AH148" s="2498">
        <f t="shared" si="260"/>
        <v>0</v>
      </c>
      <c r="AI148" s="2498">
        <f t="shared" si="260"/>
        <v>0</v>
      </c>
      <c r="AJ148" s="2498">
        <f t="shared" si="260"/>
        <v>220381.45983194219</v>
      </c>
      <c r="AK148" s="2498">
        <f t="shared" si="260"/>
        <v>217115.30252574239</v>
      </c>
      <c r="AL148" s="2498">
        <f t="shared" si="260"/>
        <v>215911.61849605924</v>
      </c>
      <c r="AM148" s="2498">
        <f t="shared" si="260"/>
        <v>213000.78254644186</v>
      </c>
      <c r="AN148" s="2498">
        <f t="shared" si="260"/>
        <v>212461.18095136766</v>
      </c>
      <c r="AO148" s="2498">
        <f t="shared" si="260"/>
        <v>208553.48212512216</v>
      </c>
      <c r="AP148" s="2498">
        <f t="shared" si="260"/>
        <v>209602.84720221019</v>
      </c>
      <c r="AQ148" s="2498">
        <f t="shared" si="260"/>
        <v>206952.36422125611</v>
      </c>
      <c r="AR148" s="2498">
        <f t="shared" si="260"/>
        <v>205509.96557363929</v>
      </c>
      <c r="AS148" s="2498">
        <f t="shared" si="260"/>
        <v>202517.59127822969</v>
      </c>
      <c r="AT148" s="2498">
        <f t="shared" si="260"/>
        <v>200596.302840302</v>
      </c>
      <c r="AU148" s="2498">
        <f t="shared" si="260"/>
        <v>197174.49082353761</v>
      </c>
      <c r="AV148" s="2498">
        <f t="shared" si="260"/>
        <v>195586.97719643719</v>
      </c>
      <c r="AW148" s="2498">
        <f t="shared" si="260"/>
        <v>191502.11015697528</v>
      </c>
      <c r="AX148" s="2498">
        <f t="shared" si="260"/>
        <v>195652.30639512488</v>
      </c>
      <c r="AY148" s="2498">
        <f t="shared" si="260"/>
        <v>197108.52983116801</v>
      </c>
      <c r="AZ148" s="2498">
        <f t="shared" si="260"/>
        <v>198676.53198821118</v>
      </c>
      <c r="BA148" s="2498">
        <f t="shared" si="260"/>
        <v>198275.38133401677</v>
      </c>
      <c r="BB148" s="2498">
        <f t="shared" si="260"/>
        <v>200389.54683898098</v>
      </c>
      <c r="BC148" s="2498">
        <f t="shared" si="260"/>
        <v>200624.46318354909</v>
      </c>
      <c r="BD148" s="2498">
        <f t="shared" si="260"/>
        <v>199653.99666389936</v>
      </c>
      <c r="BE148" s="2498">
        <f t="shared" si="260"/>
        <v>197068.03985658268</v>
      </c>
      <c r="BF148" s="2498">
        <f t="shared" si="260"/>
        <v>196953.14464711887</v>
      </c>
      <c r="BG148" s="2498">
        <f t="shared" si="260"/>
        <v>196068.21100768246</v>
      </c>
      <c r="BH148" s="2498">
        <f t="shared" si="260"/>
        <v>193917.62392903707</v>
      </c>
      <c r="BI148" s="2498">
        <f t="shared" si="260"/>
        <v>191727.98121966995</v>
      </c>
      <c r="BJ148" s="2498">
        <f t="shared" si="260"/>
        <v>190234.74335492702</v>
      </c>
      <c r="BK148" s="2498">
        <f t="shared" si="260"/>
        <v>188341.86474984643</v>
      </c>
      <c r="BL148" s="2498">
        <f t="shared" si="260"/>
        <v>187754.72238014496</v>
      </c>
      <c r="BM148" s="2498">
        <f t="shared" si="260"/>
        <v>185983.50205404125</v>
      </c>
      <c r="BN148" s="2498">
        <f t="shared" si="260"/>
        <v>186619.50070789177</v>
      </c>
      <c r="BO148" s="2498">
        <f t="shared" si="260"/>
        <v>184278.46968806238</v>
      </c>
      <c r="BP148" s="2498">
        <f t="shared" si="260"/>
        <v>184328.6399502054</v>
      </c>
      <c r="BQ148" s="2498">
        <f t="shared" si="260"/>
        <v>181851.18047408521</v>
      </c>
      <c r="BR148" s="2498">
        <f t="shared" si="260"/>
        <v>182400.1265272983</v>
      </c>
      <c r="BS148" s="2498">
        <f t="shared" si="260"/>
        <v>180900.7926418948</v>
      </c>
      <c r="BT148" s="2498">
        <f t="shared" si="260"/>
        <v>182500.24781918651</v>
      </c>
      <c r="BU148" s="2498">
        <f t="shared" si="260"/>
        <v>179174.52245979451</v>
      </c>
      <c r="BV148" s="2498">
        <f t="shared" si="260"/>
        <v>178494.44465025465</v>
      </c>
      <c r="BW148" s="2498">
        <f t="shared" si="260"/>
        <v>178114.84065842989</v>
      </c>
      <c r="BX148" s="2498">
        <f t="shared" si="260"/>
        <v>177325.68261477345</v>
      </c>
      <c r="BY148" s="2498">
        <f t="shared" si="260"/>
        <v>175810.45595720684</v>
      </c>
      <c r="BZ148" s="2498">
        <f t="shared" si="260"/>
        <v>186005.8428349946</v>
      </c>
      <c r="CA148" s="2498">
        <f t="shared" si="260"/>
        <v>184130.05282449178</v>
      </c>
      <c r="CB148" s="2498">
        <f t="shared" si="260"/>
        <v>184624.47253794142</v>
      </c>
      <c r="CC148" s="2498">
        <f t="shared" si="260"/>
        <v>182407.38255963183</v>
      </c>
      <c r="CD148" s="2498">
        <f t="shared" si="260"/>
        <v>180802.33386136938</v>
      </c>
      <c r="CE148" s="2498">
        <f t="shared" si="260"/>
        <v>179773.65732973156</v>
      </c>
      <c r="CF148" s="2498">
        <f t="shared" si="260"/>
        <v>180263.50101959682</v>
      </c>
      <c r="CG148" s="2498">
        <f t="shared" si="260"/>
        <v>180224.93605807947</v>
      </c>
      <c r="CH148" s="2498">
        <f t="shared" ca="1" si="260"/>
        <v>169062.39016627532</v>
      </c>
      <c r="CI148" s="2498">
        <f t="shared" ca="1" si="260"/>
        <v>168292.16497837979</v>
      </c>
      <c r="CJ148" s="2498">
        <f t="shared" ca="1" si="260"/>
        <v>167469.16550518369</v>
      </c>
      <c r="CK148" s="2498">
        <f t="shared" ref="CK148:EV148" ca="1" si="261">CHOOSE($G$32,MAX(CK146,CK147),CK149)</f>
        <v>166579.83623965143</v>
      </c>
      <c r="CL148" s="2498">
        <f t="shared" ca="1" si="261"/>
        <v>164370.58710007899</v>
      </c>
      <c r="CM148" s="2498">
        <f t="shared" ca="1" si="261"/>
        <v>163531.74810754953</v>
      </c>
      <c r="CN148" s="2498">
        <f t="shared" ca="1" si="261"/>
        <v>162687.7400760398</v>
      </c>
      <c r="CO148" s="2498">
        <f t="shared" ca="1" si="261"/>
        <v>161780.6673746602</v>
      </c>
      <c r="CP148" s="2498">
        <f t="shared" ca="1" si="261"/>
        <v>162846.95121211602</v>
      </c>
      <c r="CQ148" s="2498">
        <f t="shared" ca="1" si="261"/>
        <v>161965.99264660664</v>
      </c>
      <c r="CR148" s="2498">
        <f t="shared" ca="1" si="261"/>
        <v>161190.41959930272</v>
      </c>
      <c r="CS148" s="2498">
        <f t="shared" ca="1" si="261"/>
        <v>160357.60508243763</v>
      </c>
      <c r="CT148" s="2498">
        <f t="shared" ca="1" si="261"/>
        <v>162743.15086711882</v>
      </c>
      <c r="CU148" s="2498">
        <f t="shared" ca="1" si="261"/>
        <v>161928.63110968989</v>
      </c>
      <c r="CV148" s="2498">
        <f t="shared" ca="1" si="261"/>
        <v>160841.0843071795</v>
      </c>
      <c r="CW148" s="2498">
        <f t="shared" ca="1" si="261"/>
        <v>159688.00209529046</v>
      </c>
      <c r="CX148" s="2498">
        <f t="shared" ca="1" si="261"/>
        <v>147853.77013060212</v>
      </c>
      <c r="CY148" s="2498">
        <f t="shared" ca="1" si="261"/>
        <v>146840.83437400282</v>
      </c>
      <c r="CZ148" s="2498">
        <f t="shared" ca="1" si="261"/>
        <v>145825.20671198278</v>
      </c>
      <c r="DA148" s="2498">
        <f t="shared" ca="1" si="261"/>
        <v>144751.38521687014</v>
      </c>
      <c r="DB148" s="2498">
        <f t="shared" ca="1" si="261"/>
        <v>127896.56786653146</v>
      </c>
      <c r="DC148" s="2498">
        <f t="shared" ca="1" si="261"/>
        <v>127007.7308770161</v>
      </c>
      <c r="DD148" s="2498">
        <f t="shared" ca="1" si="261"/>
        <v>126244.46940147089</v>
      </c>
      <c r="DE148" s="2498">
        <f t="shared" ca="1" si="261"/>
        <v>125436.87493521026</v>
      </c>
      <c r="DF148" s="2498">
        <f t="shared" ca="1" si="261"/>
        <v>117323.54068178065</v>
      </c>
      <c r="DG148" s="2498">
        <f t="shared" ca="1" si="261"/>
        <v>116605.12970155211</v>
      </c>
      <c r="DH148" s="2498">
        <f t="shared" ca="1" si="261"/>
        <v>117742.42856534029</v>
      </c>
      <c r="DI148" s="2498">
        <f t="shared" ca="1" si="261"/>
        <v>118904.18524950826</v>
      </c>
      <c r="DJ148" s="2498">
        <f t="shared" ca="1" si="261"/>
        <v>118883.23755954957</v>
      </c>
      <c r="DK148" s="2498">
        <f t="shared" ca="1" si="261"/>
        <v>120020.73610320452</v>
      </c>
      <c r="DL148" s="2498">
        <f t="shared" ca="1" si="261"/>
        <v>119714.57418340039</v>
      </c>
      <c r="DM148" s="2498">
        <f t="shared" ca="1" si="261"/>
        <v>119384.64562711705</v>
      </c>
      <c r="DN148" s="2498">
        <f t="shared" ca="1" si="261"/>
        <v>120469.35557386781</v>
      </c>
      <c r="DO148" s="2498">
        <f t="shared" ca="1" si="261"/>
        <v>120154.54564477102</v>
      </c>
      <c r="DP148" s="2498">
        <f t="shared" ca="1" si="261"/>
        <v>119532.89010599551</v>
      </c>
      <c r="DQ148" s="2498">
        <f t="shared" ca="1" si="261"/>
        <v>118878.63547425444</v>
      </c>
      <c r="DR148" s="2498">
        <f t="shared" ca="1" si="261"/>
        <v>120512.0372805217</v>
      </c>
      <c r="DS148" s="2498">
        <f t="shared" ca="1" si="261"/>
        <v>119869.0333341207</v>
      </c>
      <c r="DT148" s="2498">
        <f t="shared" ca="1" si="261"/>
        <v>119081.51367387449</v>
      </c>
      <c r="DU148" s="2498">
        <f t="shared" ca="1" si="261"/>
        <v>118257.75923309718</v>
      </c>
      <c r="DV148" s="2498">
        <f t="shared" ca="1" si="261"/>
        <v>118567.84738050745</v>
      </c>
      <c r="DW148" s="2498">
        <f t="shared" ca="1" si="261"/>
        <v>117764.17169566409</v>
      </c>
      <c r="DX148" s="2498">
        <f t="shared" ca="1" si="261"/>
        <v>117509.41204387377</v>
      </c>
      <c r="DY148" s="2498">
        <f t="shared" ca="1" si="261"/>
        <v>117237.35798356448</v>
      </c>
      <c r="DZ148" s="2498">
        <f t="shared" ca="1" si="261"/>
        <v>117193.48428547864</v>
      </c>
      <c r="EA148" s="2498">
        <f t="shared" ca="1" si="261"/>
        <v>116936.24938117253</v>
      </c>
      <c r="EB148" s="2498">
        <f t="shared" ca="1" si="261"/>
        <v>116068.87506214318</v>
      </c>
      <c r="EC148" s="2498">
        <f t="shared" ca="1" si="261"/>
        <v>115166.46563899625</v>
      </c>
      <c r="ED148" s="2498">
        <f t="shared" ca="1" si="261"/>
        <v>115167.45666046339</v>
      </c>
      <c r="EE148" s="2498">
        <f t="shared" ca="1" si="261"/>
        <v>114286.96662361242</v>
      </c>
      <c r="EF148" s="2498">
        <f t="shared" ca="1" si="261"/>
        <v>113216.72572276989</v>
      </c>
      <c r="EG148" s="2498">
        <f t="shared" ca="1" si="261"/>
        <v>112107.17024635762</v>
      </c>
      <c r="EH148" s="2498">
        <f t="shared" ca="1" si="261"/>
        <v>111455.64413334933</v>
      </c>
      <c r="EI148" s="2498">
        <f t="shared" ca="1" si="261"/>
        <v>110375.60660887924</v>
      </c>
      <c r="EJ148" s="2498">
        <f t="shared" ca="1" si="261"/>
        <v>109206.9752163254</v>
      </c>
      <c r="EK148" s="2498">
        <f t="shared" ca="1" si="261"/>
        <v>107998.20161114524</v>
      </c>
      <c r="EL148" s="2498">
        <f t="shared" ca="1" si="261"/>
        <v>106834.48307161999</v>
      </c>
      <c r="EM148" s="2498">
        <f t="shared" ca="1" si="261"/>
        <v>105662.06621924008</v>
      </c>
      <c r="EN148" s="2498">
        <f t="shared" ca="1" si="261"/>
        <v>104473.23936863535</v>
      </c>
      <c r="EO148" s="2498">
        <f t="shared" ca="1" si="261"/>
        <v>103245.84859692496</v>
      </c>
      <c r="EP148" s="2498">
        <f t="shared" ca="1" si="261"/>
        <v>102807.02159754615</v>
      </c>
      <c r="EQ148" s="2498">
        <f t="shared" ca="1" si="261"/>
        <v>101605.27233205992</v>
      </c>
      <c r="ER148" s="2498">
        <f t="shared" ca="1" si="261"/>
        <v>100391.09657855047</v>
      </c>
      <c r="ES148" s="2498">
        <f t="shared" ca="1" si="261"/>
        <v>99139.716937714693</v>
      </c>
      <c r="ET148" s="2498">
        <f t="shared" ca="1" si="261"/>
        <v>98274.979435955043</v>
      </c>
      <c r="EU148" s="2498">
        <f t="shared" ca="1" si="261"/>
        <v>97054.79293510571</v>
      </c>
      <c r="EV148" s="2498">
        <f t="shared" ca="1" si="261"/>
        <v>95978.7658034614</v>
      </c>
      <c r="EW148" s="2498">
        <f t="shared" ref="EW148:HH148" ca="1" si="262">CHOOSE($G$32,MAX(EW146,EW147),EW149)</f>
        <v>94871.248565276881</v>
      </c>
      <c r="EX148" s="2498">
        <f t="shared" ca="1" si="262"/>
        <v>93783.227231245502</v>
      </c>
      <c r="EY148" s="2498">
        <f t="shared" ca="1" si="262"/>
        <v>92706.758273290994</v>
      </c>
      <c r="EZ148" s="2498">
        <f t="shared" ca="1" si="262"/>
        <v>91442.617740673653</v>
      </c>
      <c r="FA148" s="2498">
        <f t="shared" ca="1" si="262"/>
        <v>90144.119766219228</v>
      </c>
      <c r="FB148" s="2498">
        <f t="shared" ca="1" si="262"/>
        <v>89506.086086838128</v>
      </c>
      <c r="FC148" s="2498">
        <f t="shared" ca="1" si="262"/>
        <v>88233.919005990057</v>
      </c>
      <c r="FD148" s="2498">
        <f t="shared" ca="1" si="262"/>
        <v>87100.879827589364</v>
      </c>
      <c r="FE148" s="2498">
        <f t="shared" ca="1" si="262"/>
        <v>85938.669662512941</v>
      </c>
      <c r="FF148" s="2498">
        <f t="shared" ca="1" si="262"/>
        <v>85086.492761901318</v>
      </c>
      <c r="FG148" s="2498">
        <f t="shared" ca="1" si="262"/>
        <v>83951.287733877136</v>
      </c>
      <c r="FH148" s="2498">
        <f t="shared" ca="1" si="262"/>
        <v>82651.115980774106</v>
      </c>
      <c r="FI148" s="2498">
        <f t="shared" ca="1" si="262"/>
        <v>81319.931775062869</v>
      </c>
      <c r="FJ148" s="2498">
        <f t="shared" ca="1" si="262"/>
        <v>80009.501870210981</v>
      </c>
      <c r="FK148" s="2498">
        <f t="shared" ca="1" si="262"/>
        <v>78717.205075565391</v>
      </c>
      <c r="FL148" s="2498">
        <f t="shared" ca="1" si="262"/>
        <v>77434.344753256169</v>
      </c>
      <c r="FM148" s="2498">
        <f t="shared" ca="1" si="262"/>
        <v>76123.053251460893</v>
      </c>
      <c r="FN148" s="2498">
        <f t="shared" ca="1" si="262"/>
        <v>75341.362604701892</v>
      </c>
      <c r="FO148" s="2498">
        <f t="shared" ca="1" si="262"/>
        <v>74057.335729611004</v>
      </c>
      <c r="FP148" s="2498">
        <f t="shared" ca="1" si="262"/>
        <v>72742.861307852785</v>
      </c>
      <c r="FQ148" s="2498">
        <f t="shared" ca="1" si="262"/>
        <v>71401.571365167852</v>
      </c>
      <c r="FR148" s="2498">
        <f t="shared" ca="1" si="262"/>
        <v>70311.666706854783</v>
      </c>
      <c r="FS148" s="2498">
        <f t="shared" ca="1" si="262"/>
        <v>69005.46368387455</v>
      </c>
      <c r="FT148" s="2498">
        <f t="shared" ca="1" si="262"/>
        <v>67655.616123893196</v>
      </c>
      <c r="FU148" s="2498">
        <f t="shared" ca="1" si="262"/>
        <v>66280.77790869298</v>
      </c>
      <c r="FV148" s="2498">
        <f t="shared" ca="1" si="262"/>
        <v>64927.420196931344</v>
      </c>
      <c r="FW148" s="2498">
        <f t="shared" ca="1" si="262"/>
        <v>63596.74350047081</v>
      </c>
      <c r="FX148" s="2498">
        <f t="shared" ca="1" si="262"/>
        <v>62223.590007060004</v>
      </c>
      <c r="FY148" s="2498">
        <f t="shared" ca="1" si="262"/>
        <v>60827.825733210528</v>
      </c>
      <c r="FZ148" s="2498">
        <f t="shared" ca="1" si="262"/>
        <v>59833.160700343578</v>
      </c>
      <c r="GA148" s="2498">
        <f t="shared" ca="1" si="262"/>
        <v>58473.433272570968</v>
      </c>
      <c r="GB148" s="2498">
        <f t="shared" ca="1" si="262"/>
        <v>57086.772503040898</v>
      </c>
      <c r="GC148" s="2498">
        <f t="shared" ca="1" si="262"/>
        <v>55680.349399940053</v>
      </c>
      <c r="GD148" s="2498">
        <f t="shared" ca="1" si="262"/>
        <v>54466.620971640747</v>
      </c>
      <c r="GE148" s="2498">
        <f t="shared" ca="1" si="262"/>
        <v>53106.563689726259</v>
      </c>
      <c r="GF148" s="2498">
        <f t="shared" ca="1" si="262"/>
        <v>51841.58322501865</v>
      </c>
      <c r="GG148" s="2498">
        <f t="shared" ca="1" si="262"/>
        <v>50561.232172532924</v>
      </c>
      <c r="GH148" s="2498">
        <f t="shared" ca="1" si="262"/>
        <v>49305.231488903708</v>
      </c>
      <c r="GI148" s="2498">
        <f t="shared" ca="1" si="262"/>
        <v>48073.086029682418</v>
      </c>
      <c r="GJ148" s="2498">
        <f t="shared" ca="1" si="262"/>
        <v>47885.846746367592</v>
      </c>
      <c r="GK148" s="2498">
        <f t="shared" ca="1" si="262"/>
        <v>47690.352036740296</v>
      </c>
      <c r="GL148" s="2498">
        <f t="shared" ca="1" si="262"/>
        <v>47705.857090474907</v>
      </c>
      <c r="GM148" s="2498">
        <f t="shared" ca="1" si="262"/>
        <v>47472.789991160535</v>
      </c>
      <c r="GN148" s="2498">
        <f t="shared" ca="1" si="262"/>
        <v>46443.27894670736</v>
      </c>
      <c r="GO148" s="2498">
        <f t="shared" ca="1" si="262"/>
        <v>45403.982132744299</v>
      </c>
      <c r="GP148" s="2498">
        <f t="shared" ca="1" si="262"/>
        <v>44491.975948858031</v>
      </c>
      <c r="GQ148" s="2498">
        <f t="shared" ca="1" si="262"/>
        <v>43479.428889970084</v>
      </c>
      <c r="GR148" s="2498">
        <f t="shared" ca="1" si="262"/>
        <v>42352.26448028296</v>
      </c>
      <c r="GS148" s="2498">
        <f t="shared" ca="1" si="262"/>
        <v>41218.790369174189</v>
      </c>
      <c r="GT148" s="2498">
        <f t="shared" ca="1" si="262"/>
        <v>40102.573408824988</v>
      </c>
      <c r="GU148" s="2498">
        <f t="shared" ca="1" si="262"/>
        <v>39013.755655477624</v>
      </c>
      <c r="GV148" s="2498">
        <f t="shared" ca="1" si="262"/>
        <v>37859.133282265851</v>
      </c>
      <c r="GW148" s="2498">
        <f t="shared" ca="1" si="262"/>
        <v>36703.161280981643</v>
      </c>
      <c r="GX148" s="2498">
        <f t="shared" ca="1" si="262"/>
        <v>35747.407348867971</v>
      </c>
      <c r="GY148" s="2498">
        <f t="shared" ca="1" si="262"/>
        <v>34637.998774216627</v>
      </c>
      <c r="GZ148" s="2498">
        <f t="shared" ca="1" si="262"/>
        <v>33694.002103095467</v>
      </c>
      <c r="HA148" s="2498">
        <f t="shared" ca="1" si="262"/>
        <v>32749.840790968068</v>
      </c>
      <c r="HB148" s="2498">
        <f t="shared" ca="1" si="262"/>
        <v>31889.804737769147</v>
      </c>
      <c r="HC148" s="2498">
        <f t="shared" ca="1" si="262"/>
        <v>30980.959410349718</v>
      </c>
      <c r="HD148" s="2498">
        <f t="shared" ca="1" si="262"/>
        <v>29917.087743057309</v>
      </c>
      <c r="HE148" s="2498">
        <f t="shared" ca="1" si="262"/>
        <v>28863.01295104649</v>
      </c>
      <c r="HF148" s="2498">
        <f t="shared" ca="1" si="262"/>
        <v>27847.591114776133</v>
      </c>
      <c r="HG148" s="2498">
        <f t="shared" ca="1" si="262"/>
        <v>26863.233803033112</v>
      </c>
      <c r="HH148" s="2498">
        <f t="shared" ca="1" si="262"/>
        <v>25844.916394217034</v>
      </c>
      <c r="HI148" s="2498">
        <f t="shared" ref="HI148:IA148" ca="1" si="263">CHOOSE($G$32,MAX(HI146,HI147),HI149)</f>
        <v>24846.107546685307</v>
      </c>
      <c r="HJ148" s="2498">
        <f t="shared" ca="1" si="263"/>
        <v>23970.577947425765</v>
      </c>
      <c r="HK148" s="2498">
        <f t="shared" ca="1" si="263"/>
        <v>23051.459254774669</v>
      </c>
      <c r="HL148" s="2498">
        <f t="shared" ca="1" si="263"/>
        <v>22155.728486414773</v>
      </c>
      <c r="HM148" s="2498">
        <f t="shared" ca="1" si="263"/>
        <v>21288.857902016171</v>
      </c>
      <c r="HN148" s="2498">
        <f t="shared" ca="1" si="263"/>
        <v>20501.529579722319</v>
      </c>
      <c r="HO148" s="2498">
        <f t="shared" ca="1" si="263"/>
        <v>19730.737259948222</v>
      </c>
      <c r="HP148" s="2498">
        <f t="shared" ca="1" si="263"/>
        <v>19021.371218737018</v>
      </c>
      <c r="HQ148" s="2498">
        <f t="shared" ca="1" si="263"/>
        <v>18347.843739870947</v>
      </c>
      <c r="HR148" s="2498">
        <f t="shared" ca="1" si="263"/>
        <v>17732.659150940592</v>
      </c>
      <c r="HS148" s="2498">
        <f t="shared" ca="1" si="263"/>
        <v>17161.382874235303</v>
      </c>
      <c r="HT148" s="2498">
        <f t="shared" ca="1" si="263"/>
        <v>16617.015461363972</v>
      </c>
      <c r="HU148" s="2498">
        <f t="shared" ca="1" si="263"/>
        <v>16123.12311906652</v>
      </c>
      <c r="HV148" s="2498">
        <f t="shared" ca="1" si="263"/>
        <v>15703.04061309401</v>
      </c>
      <c r="HW148" s="2498">
        <f t="shared" ca="1" si="263"/>
        <v>15330.973430110495</v>
      </c>
      <c r="HX148" s="2498">
        <f t="shared" ca="1" si="263"/>
        <v>15098.374877798036</v>
      </c>
      <c r="HY148" s="2498">
        <f t="shared" ca="1" si="263"/>
        <v>14891.289991213207</v>
      </c>
      <c r="HZ148" s="2498">
        <f t="shared" ca="1" si="263"/>
        <v>14687.045420264956</v>
      </c>
      <c r="IA148" s="2498">
        <f t="shared" ca="1" si="263"/>
        <v>14489.813920523355</v>
      </c>
    </row>
    <row r="149" spans="3:235">
      <c r="C149" s="2491"/>
      <c r="D149" s="2492" t="s">
        <v>3943</v>
      </c>
      <c r="E149" s="2424"/>
      <c r="F149" s="2424"/>
      <c r="G149" s="2657">
        <v>0.8</v>
      </c>
      <c r="H149" s="2494"/>
      <c r="I149" s="2358"/>
      <c r="J149" s="2495">
        <f t="shared" si="259"/>
        <v>0</v>
      </c>
      <c r="K149" s="2496">
        <f t="shared" si="259"/>
        <v>0</v>
      </c>
      <c r="L149" s="2497">
        <f t="shared" si="259"/>
        <v>0</v>
      </c>
      <c r="M149" s="2495">
        <f t="shared" si="259"/>
        <v>0</v>
      </c>
      <c r="N149" s="2496">
        <f t="shared" si="259"/>
        <v>0</v>
      </c>
      <c r="O149" s="2497">
        <f t="shared" si="259"/>
        <v>0</v>
      </c>
      <c r="P149" s="2496"/>
      <c r="Q149" s="2494"/>
      <c r="R149" s="2495"/>
      <c r="S149" s="2496"/>
      <c r="T149" s="2494"/>
      <c r="U149" s="2498"/>
      <c r="V149" s="2498">
        <f>V$37*V$51+V$38*V$54*V$56*$G149</f>
        <v>0</v>
      </c>
      <c r="W149" s="2498">
        <f>W$37*W$51+W$38*W$54*W$56*$G149</f>
        <v>0</v>
      </c>
      <c r="X149" s="2498">
        <f>X$37*X$51+X$38*X$54*X$56*$G149</f>
        <v>0</v>
      </c>
      <c r="Y149" s="2498">
        <f t="shared" ref="Y149:CJ149" si="264">Y$37*Y$51+Y$38*Y$54*Y$56*$G149</f>
        <v>0</v>
      </c>
      <c r="Z149" s="2498">
        <f t="shared" si="264"/>
        <v>0</v>
      </c>
      <c r="AA149" s="2498">
        <f t="shared" si="264"/>
        <v>0</v>
      </c>
      <c r="AB149" s="2498">
        <f t="shared" si="264"/>
        <v>0</v>
      </c>
      <c r="AC149" s="2498">
        <f t="shared" si="264"/>
        <v>0</v>
      </c>
      <c r="AD149" s="2498">
        <f t="shared" si="264"/>
        <v>0</v>
      </c>
      <c r="AE149" s="2498">
        <f t="shared" si="264"/>
        <v>0</v>
      </c>
      <c r="AF149" s="2498">
        <f t="shared" si="264"/>
        <v>0</v>
      </c>
      <c r="AG149" s="2498">
        <f t="shared" si="264"/>
        <v>0</v>
      </c>
      <c r="AH149" s="2498">
        <f t="shared" si="264"/>
        <v>0</v>
      </c>
      <c r="AI149" s="2498">
        <f t="shared" si="264"/>
        <v>0</v>
      </c>
      <c r="AJ149" s="2498">
        <f t="shared" si="264"/>
        <v>952.20080913227844</v>
      </c>
      <c r="AK149" s="2498">
        <f t="shared" si="264"/>
        <v>1861.0062404345056</v>
      </c>
      <c r="AL149" s="2498">
        <f t="shared" si="264"/>
        <v>2768.4897053169025</v>
      </c>
      <c r="AM149" s="2498">
        <f t="shared" si="264"/>
        <v>3636.5934344817474</v>
      </c>
      <c r="AN149" s="2498">
        <f t="shared" si="264"/>
        <v>4530.5144139019185</v>
      </c>
      <c r="AO149" s="2498">
        <f t="shared" si="264"/>
        <v>5333.70954992102</v>
      </c>
      <c r="AP149" s="2498">
        <f t="shared" si="264"/>
        <v>6251.5302529969922</v>
      </c>
      <c r="AQ149" s="2498">
        <f t="shared" si="264"/>
        <v>7052.1947155816806</v>
      </c>
      <c r="AR149" s="2498">
        <f t="shared" si="264"/>
        <v>7876.6282693796866</v>
      </c>
      <c r="AS149" s="2498">
        <f t="shared" si="264"/>
        <v>8622.804136059578</v>
      </c>
      <c r="AT149" s="2498">
        <f t="shared" si="264"/>
        <v>9393.6976671350203</v>
      </c>
      <c r="AU149" s="2498">
        <f t="shared" si="264"/>
        <v>10071.610834337334</v>
      </c>
      <c r="AV149" s="2498">
        <f t="shared" si="264"/>
        <v>10821.925656637261</v>
      </c>
      <c r="AW149" s="2498">
        <f t="shared" si="264"/>
        <v>11409.948406451049</v>
      </c>
      <c r="AX149" s="2498">
        <f t="shared" si="264"/>
        <v>157236.50003819788</v>
      </c>
      <c r="AY149" s="2498">
        <f t="shared" si="264"/>
        <v>158433.88852298274</v>
      </c>
      <c r="AZ149" s="2498">
        <f t="shared" si="264"/>
        <v>159727.1120349564</v>
      </c>
      <c r="BA149" s="2498">
        <f t="shared" si="264"/>
        <v>159436.2512229151</v>
      </c>
      <c r="BB149" s="2498">
        <f t="shared" si="264"/>
        <v>161166.25537509608</v>
      </c>
      <c r="BC149" s="2498">
        <f t="shared" si="264"/>
        <v>161384.4339857561</v>
      </c>
      <c r="BD149" s="2498">
        <f t="shared" si="264"/>
        <v>160638.44506530775</v>
      </c>
      <c r="BE149" s="2498">
        <f t="shared" si="264"/>
        <v>158591.77893694729</v>
      </c>
      <c r="BF149" s="2498">
        <f t="shared" si="264"/>
        <v>158531.44964788956</v>
      </c>
      <c r="BG149" s="2498">
        <f t="shared" si="264"/>
        <v>157851.28402418754</v>
      </c>
      <c r="BH149" s="2498">
        <f t="shared" si="264"/>
        <v>156154.91647855868</v>
      </c>
      <c r="BI149" s="2498">
        <f t="shared" si="264"/>
        <v>154426.65560141535</v>
      </c>
      <c r="BJ149" s="2498">
        <f t="shared" si="264"/>
        <v>153256.94378687924</v>
      </c>
      <c r="BK149" s="2498">
        <f t="shared" si="264"/>
        <v>151765.45796330619</v>
      </c>
      <c r="BL149" s="2498">
        <f t="shared" si="264"/>
        <v>151322.50301685097</v>
      </c>
      <c r="BM149" s="2498">
        <f t="shared" si="264"/>
        <v>149925.03144586438</v>
      </c>
      <c r="BN149" s="2498">
        <f t="shared" si="264"/>
        <v>150466.06437269994</v>
      </c>
      <c r="BO149" s="2498">
        <f t="shared" si="264"/>
        <v>148607.17936354165</v>
      </c>
      <c r="BP149" s="2498">
        <f t="shared" si="264"/>
        <v>148673.314937802</v>
      </c>
      <c r="BQ149" s="2498">
        <f t="shared" si="264"/>
        <v>146700.46733548981</v>
      </c>
      <c r="BR149" s="2498">
        <f t="shared" si="264"/>
        <v>147166.91403755001</v>
      </c>
      <c r="BS149" s="2498">
        <f t="shared" si="264"/>
        <v>145981.14782610591</v>
      </c>
      <c r="BT149" s="2498">
        <f t="shared" si="264"/>
        <v>147291.75182309237</v>
      </c>
      <c r="BU149" s="2498">
        <f t="shared" si="264"/>
        <v>144627.01277415713</v>
      </c>
      <c r="BV149" s="2498">
        <f t="shared" si="264"/>
        <v>144095.55623234497</v>
      </c>
      <c r="BW149" s="2498">
        <f t="shared" si="264"/>
        <v>143806.90984374759</v>
      </c>
      <c r="BX149" s="2498">
        <f t="shared" si="264"/>
        <v>143189.01314813344</v>
      </c>
      <c r="BY149" s="2498">
        <f t="shared" si="264"/>
        <v>141984.63080813878</v>
      </c>
      <c r="BZ149" s="2498">
        <f t="shared" si="264"/>
        <v>150151.9324425887</v>
      </c>
      <c r="CA149" s="2498">
        <f t="shared" si="264"/>
        <v>148655.54289383767</v>
      </c>
      <c r="CB149" s="2498">
        <f t="shared" si="264"/>
        <v>149071.79037946358</v>
      </c>
      <c r="CC149" s="2498">
        <f t="shared" si="264"/>
        <v>147298.61247050395</v>
      </c>
      <c r="CD149" s="2498">
        <f t="shared" si="264"/>
        <v>146040.77000600134</v>
      </c>
      <c r="CE149" s="2498">
        <f t="shared" si="264"/>
        <v>145225.64701169901</v>
      </c>
      <c r="CF149" s="2498">
        <f t="shared" si="264"/>
        <v>145637.34705292451</v>
      </c>
      <c r="CG149" s="2498">
        <f t="shared" si="264"/>
        <v>145622.36103379208</v>
      </c>
      <c r="CH149" s="2498">
        <f t="shared" ca="1" si="264"/>
        <v>136700.98383584991</v>
      </c>
      <c r="CI149" s="2498">
        <f t="shared" ca="1" si="264"/>
        <v>136092.95431080484</v>
      </c>
      <c r="CJ149" s="2498">
        <f t="shared" ca="1" si="264"/>
        <v>135442.20879783476</v>
      </c>
      <c r="CK149" s="2498">
        <f ca="1">CK$37*CK$51+CK$38*CK$54*CK$56*$G149</f>
        <v>138356.03262831879</v>
      </c>
      <c r="CL149" s="2498">
        <f t="shared" ref="CL149:EV149" ca="1" si="265">CL$37*CL$51+CL$38*CL$54*CL$56*$G149</f>
        <v>132977.21263982661</v>
      </c>
      <c r="CM149" s="2498">
        <f t="shared" ca="1" si="265"/>
        <v>132312.37741208254</v>
      </c>
      <c r="CN149" s="2498">
        <f t="shared" ca="1" si="265"/>
        <v>131642.95733349805</v>
      </c>
      <c r="CO149" s="2498">
        <f t="shared" ca="1" si="265"/>
        <v>130922.64705995058</v>
      </c>
      <c r="CP149" s="2498">
        <f t="shared" ca="1" si="265"/>
        <v>131780.59449742548</v>
      </c>
      <c r="CQ149" s="2498">
        <f t="shared" ca="1" si="265"/>
        <v>131080.33121391374</v>
      </c>
      <c r="CR149" s="2498">
        <f t="shared" ca="1" si="265"/>
        <v>130463.97005410469</v>
      </c>
      <c r="CS149" s="2498">
        <f t="shared" ca="1" si="265"/>
        <v>129801.41972570374</v>
      </c>
      <c r="CT149" s="2498">
        <f t="shared" ca="1" si="265"/>
        <v>131713.17173746071</v>
      </c>
      <c r="CU149" s="2498">
        <f t="shared" ca="1" si="265"/>
        <v>131064.49530397475</v>
      </c>
      <c r="CV149" s="2498">
        <f t="shared" ca="1" si="265"/>
        <v>130197.03091370536</v>
      </c>
      <c r="CW149" s="2498">
        <f t="shared" ca="1" si="265"/>
        <v>129276.78137095353</v>
      </c>
      <c r="CX149" s="2498">
        <f t="shared" ca="1" si="265"/>
        <v>119811.2645051524</v>
      </c>
      <c r="CY149" s="2498">
        <f t="shared" ca="1" si="265"/>
        <v>119002.44620108194</v>
      </c>
      <c r="CZ149" s="2498">
        <f t="shared" ca="1" si="265"/>
        <v>118191.14489931276</v>
      </c>
      <c r="DA149" s="2498">
        <f t="shared" ca="1" si="265"/>
        <v>117332.96780774639</v>
      </c>
      <c r="DB149" s="2498">
        <f t="shared" ca="1" si="265"/>
        <v>103849.68188066987</v>
      </c>
      <c r="DC149" s="2498">
        <f t="shared" ca="1" si="265"/>
        <v>103138.87648810929</v>
      </c>
      <c r="DD149" s="2498">
        <f t="shared" ca="1" si="265"/>
        <v>102528.23597814403</v>
      </c>
      <c r="DE149" s="2498">
        <f t="shared" ca="1" si="265"/>
        <v>101881.84160409123</v>
      </c>
      <c r="DF149" s="2498">
        <f t="shared" ca="1" si="265"/>
        <v>95390.575820431928</v>
      </c>
      <c r="DG149" s="2498">
        <f t="shared" ca="1" si="265"/>
        <v>94814.976804706472</v>
      </c>
      <c r="DH149" s="2498">
        <f t="shared" ca="1" si="265"/>
        <v>95723.681383382223</v>
      </c>
      <c r="DI149" s="2498">
        <f t="shared" ca="1" si="265"/>
        <v>96651.695350854585</v>
      </c>
      <c r="DJ149" s="2498">
        <f t="shared" ca="1" si="265"/>
        <v>96633.296211182504</v>
      </c>
      <c r="DK149" s="2498">
        <f t="shared" ca="1" si="265"/>
        <v>97541.411559401546</v>
      </c>
      <c r="DL149" s="2498">
        <f t="shared" ca="1" si="265"/>
        <v>97294.362998647644</v>
      </c>
      <c r="DM149" s="2498">
        <f t="shared" ca="1" si="265"/>
        <v>97028.072405973435</v>
      </c>
      <c r="DN149" s="2498">
        <f t="shared" ca="1" si="265"/>
        <v>97893.270565809958</v>
      </c>
      <c r="DO149" s="2498">
        <f t="shared" ca="1" si="265"/>
        <v>97638.637307854835</v>
      </c>
      <c r="DP149" s="2498">
        <f t="shared" ca="1" si="265"/>
        <v>97138.318440414208</v>
      </c>
      <c r="DQ149" s="2498">
        <f t="shared" ca="1" si="265"/>
        <v>96611.71743733887</v>
      </c>
      <c r="DR149" s="2498">
        <f t="shared" ca="1" si="265"/>
        <v>97915.0448514944</v>
      </c>
      <c r="DS149" s="2498">
        <f t="shared" ca="1" si="265"/>
        <v>97397.056928486418</v>
      </c>
      <c r="DT149" s="2498">
        <f t="shared" ca="1" si="265"/>
        <v>96763.271569992081</v>
      </c>
      <c r="DU149" s="2498">
        <f t="shared" ca="1" si="265"/>
        <v>96100.319268123261</v>
      </c>
      <c r="DV149" s="2498">
        <f t="shared" ca="1" si="265"/>
        <v>96344.267540486122</v>
      </c>
      <c r="DW149" s="2498">
        <f t="shared" ca="1" si="265"/>
        <v>95697.03675281824</v>
      </c>
      <c r="DX149" s="2498">
        <f t="shared" ca="1" si="265"/>
        <v>95488.776181163557</v>
      </c>
      <c r="DY149" s="2498">
        <f t="shared" ca="1" si="265"/>
        <v>95266.522739981039</v>
      </c>
      <c r="DZ149" s="2498">
        <f t="shared" ca="1" si="265"/>
        <v>95226.661399670673</v>
      </c>
      <c r="EA149" s="2498">
        <f t="shared" ca="1" si="265"/>
        <v>95015.963947506738</v>
      </c>
      <c r="EB149" s="2498">
        <f t="shared" ca="1" si="265"/>
        <v>94317.012749036061</v>
      </c>
      <c r="EC149" s="2498">
        <f t="shared" ca="1" si="265"/>
        <v>93589.89607747228</v>
      </c>
      <c r="ED149" s="2498">
        <f t="shared" ca="1" si="265"/>
        <v>93585.367090934305</v>
      </c>
      <c r="EE149" s="2498">
        <f t="shared" ca="1" si="265"/>
        <v>92875.525202603269</v>
      </c>
      <c r="EF149" s="2498">
        <f t="shared" ca="1" si="265"/>
        <v>92013.759081814933</v>
      </c>
      <c r="EG149" s="2498">
        <f t="shared" ca="1" si="265"/>
        <v>91120.422173449188</v>
      </c>
      <c r="EH149" s="2498">
        <f t="shared" ca="1" si="265"/>
        <v>90593.393944981857</v>
      </c>
      <c r="EI149" s="2498">
        <f t="shared" ca="1" si="265"/>
        <v>89723.44599682535</v>
      </c>
      <c r="EJ149" s="2498">
        <f t="shared" ca="1" si="265"/>
        <v>88782.51648981648</v>
      </c>
      <c r="EK149" s="2498">
        <f t="shared" ca="1" si="265"/>
        <v>87809.370782074198</v>
      </c>
      <c r="EL149" s="2498">
        <f t="shared" ca="1" si="265"/>
        <v>86872.170639353164</v>
      </c>
      <c r="EM149" s="2498">
        <f t="shared" ca="1" si="265"/>
        <v>85927.917213079025</v>
      </c>
      <c r="EN149" s="2498">
        <f t="shared" ca="1" si="265"/>
        <v>84970.44492198943</v>
      </c>
      <c r="EO149" s="2498">
        <f t="shared" ca="1" si="265"/>
        <v>83982.034309280862</v>
      </c>
      <c r="EP149" s="2498">
        <f t="shared" ca="1" si="265"/>
        <v>83624.391127309369</v>
      </c>
      <c r="EQ149" s="2498">
        <f t="shared" ca="1" si="265"/>
        <v>82656.330060643784</v>
      </c>
      <c r="ER149" s="2498">
        <f t="shared" ca="1" si="265"/>
        <v>81678.251166365721</v>
      </c>
      <c r="ES149" s="2498">
        <f t="shared" ca="1" si="265"/>
        <v>80670.335880493876</v>
      </c>
      <c r="ET149" s="2498">
        <f t="shared" ca="1" si="265"/>
        <v>79971.664301983314</v>
      </c>
      <c r="EU149" s="2498">
        <f t="shared" ca="1" si="265"/>
        <v>78988.566722004703</v>
      </c>
      <c r="EV149" s="2498">
        <f t="shared" ca="1" si="265"/>
        <v>78120.732962239053</v>
      </c>
      <c r="EW149" s="2498">
        <f t="shared" ref="EW149:HH149" ca="1" si="266">EW$37*EW$51+EW$38*EW$54*EW$56*$G149</f>
        <v>77227.64649592308</v>
      </c>
      <c r="EX149" s="2498">
        <f t="shared" ca="1" si="266"/>
        <v>76350.099113651959</v>
      </c>
      <c r="EY149" s="2498">
        <f t="shared" ca="1" si="266"/>
        <v>75481.738904607671</v>
      </c>
      <c r="EZ149" s="2498">
        <f t="shared" ca="1" si="266"/>
        <v>74463.189550814175</v>
      </c>
      <c r="FA149" s="2498">
        <f t="shared" ca="1" si="266"/>
        <v>73417.10513346619</v>
      </c>
      <c r="FB149" s="2498">
        <f t="shared" ca="1" si="266"/>
        <v>72899.345750666427</v>
      </c>
      <c r="FC149" s="2498">
        <f t="shared" ca="1" si="266"/>
        <v>71874.235888695679</v>
      </c>
      <c r="FD149" s="2498">
        <f t="shared" ca="1" si="266"/>
        <v>70960.387170412141</v>
      </c>
      <c r="FE149" s="2498">
        <f t="shared" ca="1" si="266"/>
        <v>70023.163001710331</v>
      </c>
      <c r="FF149" s="2498">
        <f t="shared" ca="1" si="266"/>
        <v>69333.929239392019</v>
      </c>
      <c r="FG149" s="2498">
        <f t="shared" ca="1" si="266"/>
        <v>68418.239165749037</v>
      </c>
      <c r="FH149" s="2498">
        <f t="shared" ca="1" si="266"/>
        <v>67370.544239533061</v>
      </c>
      <c r="FI149" s="2498">
        <f t="shared" ca="1" si="266"/>
        <v>66298.01015786147</v>
      </c>
      <c r="FJ149" s="2498">
        <f t="shared" ca="1" si="266"/>
        <v>65242.052546049723</v>
      </c>
      <c r="FK149" s="2498">
        <f t="shared" ca="1" si="266"/>
        <v>64200.576618641258</v>
      </c>
      <c r="FL149" s="2498">
        <f t="shared" ca="1" si="266"/>
        <v>63166.627178034127</v>
      </c>
      <c r="FM149" s="2498">
        <f t="shared" ca="1" si="266"/>
        <v>62109.912162176166</v>
      </c>
      <c r="FN149" s="2498">
        <f t="shared" ca="1" si="266"/>
        <v>61476.859205867389</v>
      </c>
      <c r="FO149" s="2498">
        <f t="shared" ca="1" si="266"/>
        <v>60441.920598416793</v>
      </c>
      <c r="FP149" s="2498">
        <f t="shared" ca="1" si="266"/>
        <v>59382.609191007206</v>
      </c>
      <c r="FQ149" s="2498">
        <f t="shared" ca="1" si="266"/>
        <v>58301.832460937905</v>
      </c>
      <c r="FR149" s="2498">
        <f t="shared" ca="1" si="266"/>
        <v>57422.152860999398</v>
      </c>
      <c r="FS149" s="2498">
        <f t="shared" ca="1" si="266"/>
        <v>56369.425233329006</v>
      </c>
      <c r="FT149" s="2498">
        <f t="shared" ca="1" si="266"/>
        <v>55281.774355198948</v>
      </c>
      <c r="FU149" s="2498">
        <f t="shared" ca="1" si="266"/>
        <v>54174.125001881926</v>
      </c>
      <c r="FV149" s="2498">
        <f t="shared" ca="1" si="266"/>
        <v>53083.655725778102</v>
      </c>
      <c r="FW149" s="2498">
        <f t="shared" ca="1" si="266"/>
        <v>52011.328518382325</v>
      </c>
      <c r="FX149" s="2498">
        <f t="shared" ca="1" si="266"/>
        <v>50905.018669315294</v>
      </c>
      <c r="FY149" s="2498">
        <f t="shared" ca="1" si="266"/>
        <v>49780.620489495748</v>
      </c>
      <c r="FZ149" s="2498">
        <f t="shared" ca="1" si="266"/>
        <v>48977.103452912314</v>
      </c>
      <c r="GA149" s="2498">
        <f t="shared" ca="1" si="266"/>
        <v>47881.539667687393</v>
      </c>
      <c r="GB149" s="2498">
        <f t="shared" ca="1" si="266"/>
        <v>46764.433753977406</v>
      </c>
      <c r="GC149" s="2498">
        <f t="shared" ca="1" si="266"/>
        <v>45631.523857583234</v>
      </c>
      <c r="GD149" s="2498">
        <f t="shared" ca="1" si="266"/>
        <v>44652.77688686172</v>
      </c>
      <c r="GE149" s="2498">
        <f t="shared" ca="1" si="266"/>
        <v>43556.975283925123</v>
      </c>
      <c r="GF149" s="2498">
        <f t="shared" ca="1" si="266"/>
        <v>42537.24481422847</v>
      </c>
      <c r="GG149" s="2498">
        <f t="shared" ca="1" si="266"/>
        <v>41505.228747283822</v>
      </c>
      <c r="GH149" s="2498">
        <f t="shared" ca="1" si="266"/>
        <v>40492.705007338489</v>
      </c>
      <c r="GI149" s="2498">
        <f t="shared" ca="1" si="266"/>
        <v>39499.278603936516</v>
      </c>
      <c r="GJ149" s="2498">
        <f t="shared" ca="1" si="266"/>
        <v>39341.791390253013</v>
      </c>
      <c r="GK149" s="2498">
        <f t="shared" ca="1" si="266"/>
        <v>39177.715144059548</v>
      </c>
      <c r="GL149" s="2498">
        <f t="shared" ca="1" si="266"/>
        <v>39182.455044896895</v>
      </c>
      <c r="GM149" s="2498">
        <f t="shared" ca="1" si="266"/>
        <v>38988.354556363833</v>
      </c>
      <c r="GN149" s="2498">
        <f t="shared" ca="1" si="266"/>
        <v>38157.117211101096</v>
      </c>
      <c r="GO149" s="2498">
        <f t="shared" ca="1" si="266"/>
        <v>37318.070486156372</v>
      </c>
      <c r="GP149" s="2498">
        <f t="shared" ca="1" si="266"/>
        <v>36580.876408610275</v>
      </c>
      <c r="GQ149" s="2498">
        <f t="shared" ca="1" si="266"/>
        <v>35763.270653301137</v>
      </c>
      <c r="GR149" s="2498">
        <f t="shared" ca="1" si="266"/>
        <v>34853.992890593145</v>
      </c>
      <c r="GS149" s="2498">
        <f t="shared" ca="1" si="266"/>
        <v>33939.690063691625</v>
      </c>
      <c r="GT149" s="2498">
        <f t="shared" ca="1" si="266"/>
        <v>33039.216451334643</v>
      </c>
      <c r="GU149" s="2498">
        <f t="shared" ca="1" si="266"/>
        <v>32160.686469376771</v>
      </c>
      <c r="GV149" s="2498">
        <f t="shared" ca="1" si="266"/>
        <v>31229.537801620252</v>
      </c>
      <c r="GW149" s="2498">
        <f t="shared" ca="1" si="266"/>
        <v>30297.335161784693</v>
      </c>
      <c r="GX149" s="2498">
        <f t="shared" ca="1" si="266"/>
        <v>29525.333403487039</v>
      </c>
      <c r="GY149" s="2498">
        <f t="shared" ca="1" si="266"/>
        <v>28630.435029255601</v>
      </c>
      <c r="GZ149" s="2498">
        <f t="shared" ca="1" si="266"/>
        <v>27867.893924437121</v>
      </c>
      <c r="HA149" s="2498">
        <f t="shared" ca="1" si="266"/>
        <v>27105.249479008231</v>
      </c>
      <c r="HB149" s="2498">
        <f t="shared" ca="1" si="266"/>
        <v>26409.934216141388</v>
      </c>
      <c r="HC149" s="2498">
        <f t="shared" ca="1" si="266"/>
        <v>25675.601090657488</v>
      </c>
      <c r="HD149" s="2498">
        <f t="shared" ca="1" si="266"/>
        <v>24817.277009976751</v>
      </c>
      <c r="HE149" s="2498">
        <f t="shared" ca="1" si="266"/>
        <v>23966.821085244759</v>
      </c>
      <c r="HF149" s="2498">
        <f t="shared" ca="1" si="266"/>
        <v>23147.318699398897</v>
      </c>
      <c r="HG149" s="2498">
        <f t="shared" ca="1" si="266"/>
        <v>22352.699606046801</v>
      </c>
      <c r="HH149" s="2498">
        <f t="shared" ca="1" si="266"/>
        <v>21530.944586945116</v>
      </c>
      <c r="HI149" s="2498">
        <f t="shared" ref="HI149:IA149" ca="1" si="267">HI$37*HI$51+HI$38*HI$54*HI$56*$G149</f>
        <v>20724.829028717693</v>
      </c>
      <c r="HJ149" s="2498">
        <f t="shared" ca="1" si="267"/>
        <v>20017.369922227575</v>
      </c>
      <c r="HK149" s="2498">
        <f t="shared" ca="1" si="267"/>
        <v>19275.073017176808</v>
      </c>
      <c r="HL149" s="2498">
        <f t="shared" ca="1" si="267"/>
        <v>18551.520332922319</v>
      </c>
      <c r="HM149" s="2498">
        <f t="shared" ca="1" si="267"/>
        <v>17851.090064997767</v>
      </c>
      <c r="HN149" s="2498">
        <f t="shared" ca="1" si="267"/>
        <v>17214.328246704019</v>
      </c>
      <c r="HO149" s="2498">
        <f t="shared" ca="1" si="267"/>
        <v>16590.830224541169</v>
      </c>
      <c r="HP149" s="2498">
        <f t="shared" ca="1" si="267"/>
        <v>16016.508557279969</v>
      </c>
      <c r="HQ149" s="2498">
        <f t="shared" ca="1" si="267"/>
        <v>15470.893394029295</v>
      </c>
      <c r="HR149" s="2498">
        <f t="shared" ca="1" si="267"/>
        <v>14971.988503462897</v>
      </c>
      <c r="HS149" s="2498">
        <f t="shared" ca="1" si="267"/>
        <v>14508.246514895645</v>
      </c>
      <c r="HT149" s="2498">
        <f t="shared" ca="1" si="267"/>
        <v>14066.068146337313</v>
      </c>
      <c r="HU149" s="2498">
        <f t="shared" ca="1" si="267"/>
        <v>13664.30662549179</v>
      </c>
      <c r="HV149" s="2498">
        <f t="shared" ca="1" si="267"/>
        <v>13321.630013204509</v>
      </c>
      <c r="HW149" s="2498">
        <f t="shared" ca="1" si="267"/>
        <v>13017.402933320411</v>
      </c>
      <c r="HX149" s="2498">
        <f t="shared" ca="1" si="267"/>
        <v>12793.376994397651</v>
      </c>
      <c r="HY149" s="2498">
        <f t="shared" ca="1" si="267"/>
        <v>12600.15287937016</v>
      </c>
      <c r="HZ149" s="2498">
        <f t="shared" ca="1" si="267"/>
        <v>12441.723655482559</v>
      </c>
      <c r="IA149" s="2498">
        <f t="shared" ca="1" si="267"/>
        <v>12318.710509391101</v>
      </c>
    </row>
    <row r="151" spans="3:235" outlineLevel="1">
      <c r="C151" s="2348" t="s">
        <v>3945</v>
      </c>
    </row>
    <row r="152" spans="3:235" outlineLevel="1">
      <c r="P152" s="2504"/>
      <c r="Q152" s="2504"/>
    </row>
    <row r="153" spans="3:235" outlineLevel="1">
      <c r="J153" s="2658">
        <f t="shared" ref="J153:AK153" si="268">J67</f>
        <v>2003</v>
      </c>
      <c r="K153" s="2659">
        <f t="shared" si="268"/>
        <v>2003</v>
      </c>
      <c r="L153" s="2659">
        <f t="shared" si="268"/>
        <v>2003</v>
      </c>
      <c r="M153" s="2660">
        <f t="shared" si="268"/>
        <v>2003</v>
      </c>
      <c r="N153" s="2658">
        <f t="shared" si="268"/>
        <v>2004</v>
      </c>
      <c r="O153" s="2659">
        <f t="shared" si="268"/>
        <v>2004</v>
      </c>
      <c r="P153" s="2659">
        <f t="shared" si="268"/>
        <v>2004</v>
      </c>
      <c r="Q153" s="2661">
        <f t="shared" si="268"/>
        <v>2004</v>
      </c>
      <c r="R153" s="2662">
        <f t="shared" si="268"/>
        <v>2005</v>
      </c>
      <c r="S153" s="2659">
        <f t="shared" si="268"/>
        <v>2005</v>
      </c>
      <c r="T153" s="2659">
        <f t="shared" si="268"/>
        <v>2005</v>
      </c>
      <c r="U153" s="2660">
        <f t="shared" si="268"/>
        <v>2005</v>
      </c>
      <c r="V153" s="2658">
        <f t="shared" si="268"/>
        <v>2006</v>
      </c>
      <c r="W153" s="2659">
        <f t="shared" si="268"/>
        <v>2006</v>
      </c>
      <c r="X153" s="2659">
        <f t="shared" si="268"/>
        <v>2006</v>
      </c>
      <c r="Y153" s="2661">
        <f t="shared" si="268"/>
        <v>2006</v>
      </c>
      <c r="Z153" s="2662">
        <f t="shared" si="268"/>
        <v>2007</v>
      </c>
      <c r="AA153" s="2659">
        <f t="shared" si="268"/>
        <v>2007</v>
      </c>
      <c r="AB153" s="2659">
        <f t="shared" si="268"/>
        <v>2007</v>
      </c>
      <c r="AC153" s="2660">
        <f t="shared" si="268"/>
        <v>2007</v>
      </c>
      <c r="AD153" s="2658">
        <f t="shared" si="268"/>
        <v>2008</v>
      </c>
      <c r="AE153" s="2659">
        <f t="shared" si="268"/>
        <v>2008</v>
      </c>
      <c r="AF153" s="2659">
        <f t="shared" si="268"/>
        <v>2008</v>
      </c>
      <c r="AG153" s="2661">
        <f t="shared" si="268"/>
        <v>2008</v>
      </c>
      <c r="AH153" s="2658">
        <f t="shared" si="268"/>
        <v>2009</v>
      </c>
      <c r="AI153" s="2659">
        <f t="shared" si="268"/>
        <v>2009</v>
      </c>
      <c r="AJ153" s="2659">
        <f t="shared" si="268"/>
        <v>2009</v>
      </c>
      <c r="AK153" s="2661">
        <f t="shared" si="268"/>
        <v>2009</v>
      </c>
    </row>
    <row r="154" spans="3:235" outlineLevel="1">
      <c r="C154" s="2510" t="s">
        <v>11</v>
      </c>
      <c r="D154" s="2511"/>
      <c r="E154" s="2511"/>
      <c r="F154" s="2511"/>
      <c r="G154" s="2512"/>
      <c r="H154" s="2512" t="s">
        <v>40</v>
      </c>
      <c r="J154" s="2513">
        <f t="shared" ref="J154:AK154" si="269">J68</f>
        <v>1</v>
      </c>
      <c r="K154" s="2514">
        <f t="shared" si="269"/>
        <v>2</v>
      </c>
      <c r="L154" s="2514">
        <f t="shared" si="269"/>
        <v>3</v>
      </c>
      <c r="M154" s="2515">
        <f t="shared" si="269"/>
        <v>4</v>
      </c>
      <c r="N154" s="2513">
        <f t="shared" si="269"/>
        <v>1</v>
      </c>
      <c r="O154" s="2514">
        <f t="shared" si="269"/>
        <v>2</v>
      </c>
      <c r="P154" s="2514">
        <f t="shared" si="269"/>
        <v>3</v>
      </c>
      <c r="Q154" s="2515">
        <f t="shared" si="269"/>
        <v>4</v>
      </c>
      <c r="R154" s="2513">
        <f t="shared" si="269"/>
        <v>1</v>
      </c>
      <c r="S154" s="2514">
        <f t="shared" si="269"/>
        <v>2</v>
      </c>
      <c r="T154" s="2514">
        <f t="shared" si="269"/>
        <v>3</v>
      </c>
      <c r="U154" s="2515">
        <f t="shared" si="269"/>
        <v>4</v>
      </c>
      <c r="V154" s="2513">
        <f t="shared" si="269"/>
        <v>1</v>
      </c>
      <c r="W154" s="2514">
        <f t="shared" si="269"/>
        <v>2</v>
      </c>
      <c r="X154" s="2514">
        <f t="shared" si="269"/>
        <v>3</v>
      </c>
      <c r="Y154" s="2515">
        <f t="shared" si="269"/>
        <v>4</v>
      </c>
      <c r="Z154" s="2513">
        <f t="shared" si="269"/>
        <v>1</v>
      </c>
      <c r="AA154" s="2514">
        <f t="shared" si="269"/>
        <v>2</v>
      </c>
      <c r="AB154" s="2514">
        <f t="shared" si="269"/>
        <v>3</v>
      </c>
      <c r="AC154" s="2515">
        <f t="shared" si="269"/>
        <v>4</v>
      </c>
      <c r="AD154" s="2513">
        <f t="shared" si="269"/>
        <v>1</v>
      </c>
      <c r="AE154" s="2514">
        <f t="shared" si="269"/>
        <v>2</v>
      </c>
      <c r="AF154" s="2514">
        <f t="shared" si="269"/>
        <v>3</v>
      </c>
      <c r="AG154" s="2515">
        <f t="shared" si="269"/>
        <v>4</v>
      </c>
      <c r="AH154" s="2513">
        <f t="shared" si="269"/>
        <v>1</v>
      </c>
      <c r="AI154" s="2514">
        <f t="shared" si="269"/>
        <v>2</v>
      </c>
      <c r="AJ154" s="2514">
        <f t="shared" si="269"/>
        <v>3</v>
      </c>
      <c r="AK154" s="2515">
        <f t="shared" si="269"/>
        <v>4</v>
      </c>
    </row>
    <row r="155" spans="3:235" outlineLevel="1">
      <c r="C155" s="2354"/>
      <c r="D155" s="2348" t="s">
        <v>3946</v>
      </c>
      <c r="G155" s="2516">
        <f>H155-$H$21</f>
        <v>0</v>
      </c>
      <c r="H155" s="2517">
        <f>SUM(J155:AK155)</f>
        <v>205118.76659655818</v>
      </c>
      <c r="J155" s="2663">
        <f t="shared" ref="J155:AK155" si="270">J69</f>
        <v>0</v>
      </c>
      <c r="K155" s="2664">
        <f t="shared" si="270"/>
        <v>0</v>
      </c>
      <c r="L155" s="2664">
        <f t="shared" si="270"/>
        <v>2393.0090441241896</v>
      </c>
      <c r="M155" s="2665">
        <f t="shared" si="270"/>
        <v>5489.1880953490809</v>
      </c>
      <c r="N155" s="2663">
        <f t="shared" si="270"/>
        <v>1060.3877162313115</v>
      </c>
      <c r="O155" s="2664">
        <f t="shared" si="270"/>
        <v>5987.0940573733396</v>
      </c>
      <c r="P155" s="2664">
        <f t="shared" si="270"/>
        <v>3734.9465462205612</v>
      </c>
      <c r="Q155" s="2665">
        <f t="shared" si="270"/>
        <v>2995.4010936183126</v>
      </c>
      <c r="R155" s="2663">
        <f t="shared" si="270"/>
        <v>6847.8663328448738</v>
      </c>
      <c r="S155" s="2664">
        <f t="shared" si="270"/>
        <v>14217.89659421601</v>
      </c>
      <c r="T155" s="2664">
        <f t="shared" si="270"/>
        <v>3761.4510464833324</v>
      </c>
      <c r="U155" s="2665">
        <f t="shared" si="270"/>
        <v>7156.6675813751644</v>
      </c>
      <c r="V155" s="2663">
        <f t="shared" si="270"/>
        <v>3536.6882392147218</v>
      </c>
      <c r="W155" s="2664">
        <f t="shared" si="270"/>
        <v>2084.4415062290755</v>
      </c>
      <c r="X155" s="2664">
        <f t="shared" si="270"/>
        <v>7875.1459526639092</v>
      </c>
      <c r="Y155" s="2665">
        <f t="shared" si="270"/>
        <v>10391.545418215796</v>
      </c>
      <c r="Z155" s="2663">
        <f t="shared" si="270"/>
        <v>7107.6529540117117</v>
      </c>
      <c r="AA155" s="2664">
        <f t="shared" si="270"/>
        <v>11394.943407562469</v>
      </c>
      <c r="AB155" s="2664">
        <f t="shared" si="270"/>
        <v>12605.457416925397</v>
      </c>
      <c r="AC155" s="2665">
        <f t="shared" si="270"/>
        <v>14542.539145899496</v>
      </c>
      <c r="AD155" s="2663">
        <f t="shared" si="270"/>
        <v>20453.001105194617</v>
      </c>
      <c r="AE155" s="2664">
        <f t="shared" si="270"/>
        <v>18577.836926543598</v>
      </c>
      <c r="AF155" s="2664">
        <f t="shared" si="270"/>
        <v>25869.659017439379</v>
      </c>
      <c r="AG155" s="2665">
        <f t="shared" si="270"/>
        <v>17035.947398821816</v>
      </c>
      <c r="AH155" s="2663">
        <f t="shared" si="270"/>
        <v>0</v>
      </c>
      <c r="AI155" s="2664">
        <f t="shared" si="270"/>
        <v>0</v>
      </c>
      <c r="AJ155" s="2664">
        <f t="shared" si="270"/>
        <v>0</v>
      </c>
      <c r="AK155" s="2665">
        <f t="shared" si="270"/>
        <v>0</v>
      </c>
    </row>
    <row r="156" spans="3:235" outlineLevel="1">
      <c r="C156" s="2354"/>
      <c r="D156" s="2348" t="s">
        <v>3947</v>
      </c>
      <c r="G156" s="2516">
        <f>H156-$H$22</f>
        <v>0</v>
      </c>
      <c r="H156" s="2517">
        <f>SUM(J156:AK156)</f>
        <v>15903.097116257035</v>
      </c>
      <c r="J156" s="2663">
        <f t="shared" ref="J156:AK156" si="271">J70</f>
        <v>0</v>
      </c>
      <c r="K156" s="2664">
        <f t="shared" si="271"/>
        <v>0</v>
      </c>
      <c r="L156" s="2664">
        <f t="shared" si="271"/>
        <v>0</v>
      </c>
      <c r="M156" s="2665">
        <f t="shared" si="271"/>
        <v>0</v>
      </c>
      <c r="N156" s="2663">
        <f t="shared" si="271"/>
        <v>0</v>
      </c>
      <c r="O156" s="2664">
        <f t="shared" si="271"/>
        <v>0</v>
      </c>
      <c r="P156" s="2664">
        <f t="shared" si="271"/>
        <v>0</v>
      </c>
      <c r="Q156" s="2665">
        <f t="shared" si="271"/>
        <v>0</v>
      </c>
      <c r="R156" s="2663">
        <f t="shared" si="271"/>
        <v>0</v>
      </c>
      <c r="S156" s="2664">
        <f t="shared" si="271"/>
        <v>0</v>
      </c>
      <c r="T156" s="2664">
        <f t="shared" si="271"/>
        <v>0</v>
      </c>
      <c r="U156" s="2665">
        <f t="shared" si="271"/>
        <v>0</v>
      </c>
      <c r="V156" s="2663">
        <f t="shared" si="271"/>
        <v>62.060682040786773</v>
      </c>
      <c r="W156" s="2664">
        <f t="shared" si="271"/>
        <v>154.89874832017321</v>
      </c>
      <c r="X156" s="2664">
        <f t="shared" si="271"/>
        <v>209.61533785868644</v>
      </c>
      <c r="Y156" s="2665">
        <f t="shared" si="271"/>
        <v>416.33791911611405</v>
      </c>
      <c r="Z156" s="2663">
        <f t="shared" si="271"/>
        <v>689.11598634427867</v>
      </c>
      <c r="AA156" s="2664">
        <f t="shared" si="271"/>
        <v>875.69187638708615</v>
      </c>
      <c r="AB156" s="2664">
        <f t="shared" si="271"/>
        <v>1174.8091408356008</v>
      </c>
      <c r="AC156" s="2665">
        <f t="shared" si="271"/>
        <v>1505.7023980298925</v>
      </c>
      <c r="AD156" s="2663">
        <f t="shared" si="271"/>
        <v>1887.4440506097544</v>
      </c>
      <c r="AE156" s="2664">
        <f t="shared" si="271"/>
        <v>2424.335329621113</v>
      </c>
      <c r="AF156" s="2664">
        <f t="shared" si="271"/>
        <v>2912.0035489428828</v>
      </c>
      <c r="AG156" s="2665">
        <f t="shared" si="271"/>
        <v>3591.0820981506663</v>
      </c>
      <c r="AH156" s="2663">
        <f t="shared" si="271"/>
        <v>0</v>
      </c>
      <c r="AI156" s="2664">
        <f t="shared" si="271"/>
        <v>0</v>
      </c>
      <c r="AJ156" s="2664">
        <f t="shared" si="271"/>
        <v>0</v>
      </c>
      <c r="AK156" s="2665">
        <f t="shared" si="271"/>
        <v>0</v>
      </c>
    </row>
    <row r="157" spans="3:235" outlineLevel="1">
      <c r="C157" s="2521"/>
      <c r="D157" s="2434" t="s">
        <v>3948</v>
      </c>
      <c r="E157" s="2434"/>
      <c r="F157" s="2434"/>
      <c r="G157" s="2522">
        <f>H157-$H$23</f>
        <v>0</v>
      </c>
      <c r="H157" s="2523">
        <f>SUM(J157:AK157)</f>
        <v>189215.66948030112</v>
      </c>
      <c r="J157" s="2524">
        <f t="shared" ref="J157:AK157" si="272">J155-J156</f>
        <v>0</v>
      </c>
      <c r="K157" s="2525">
        <f t="shared" si="272"/>
        <v>0</v>
      </c>
      <c r="L157" s="2525">
        <f t="shared" si="272"/>
        <v>2393.0090441241896</v>
      </c>
      <c r="M157" s="2526">
        <f t="shared" si="272"/>
        <v>5489.1880953490809</v>
      </c>
      <c r="N157" s="2524">
        <f t="shared" si="272"/>
        <v>1060.3877162313115</v>
      </c>
      <c r="O157" s="2525">
        <f t="shared" si="272"/>
        <v>5987.0940573733396</v>
      </c>
      <c r="P157" s="2525">
        <f t="shared" si="272"/>
        <v>3734.9465462205612</v>
      </c>
      <c r="Q157" s="2526">
        <f t="shared" si="272"/>
        <v>2995.4010936183126</v>
      </c>
      <c r="R157" s="2524">
        <f t="shared" si="272"/>
        <v>6847.8663328448738</v>
      </c>
      <c r="S157" s="2525">
        <f t="shared" si="272"/>
        <v>14217.89659421601</v>
      </c>
      <c r="T157" s="2525">
        <f t="shared" si="272"/>
        <v>3761.4510464833324</v>
      </c>
      <c r="U157" s="2526">
        <f t="shared" si="272"/>
        <v>7156.6675813751644</v>
      </c>
      <c r="V157" s="2524">
        <f t="shared" si="272"/>
        <v>3474.6275571739352</v>
      </c>
      <c r="W157" s="2525">
        <f t="shared" si="272"/>
        <v>1929.5427579089023</v>
      </c>
      <c r="X157" s="2525">
        <f t="shared" si="272"/>
        <v>7665.5306148052223</v>
      </c>
      <c r="Y157" s="2526">
        <f t="shared" si="272"/>
        <v>9975.2074990996807</v>
      </c>
      <c r="Z157" s="2524">
        <f t="shared" si="272"/>
        <v>6418.5369676674327</v>
      </c>
      <c r="AA157" s="2525">
        <f t="shared" si="272"/>
        <v>10519.251531175383</v>
      </c>
      <c r="AB157" s="2525">
        <f t="shared" si="272"/>
        <v>11430.648276089796</v>
      </c>
      <c r="AC157" s="2526">
        <f t="shared" si="272"/>
        <v>13036.836747869604</v>
      </c>
      <c r="AD157" s="2524">
        <f t="shared" si="272"/>
        <v>18565.55705458486</v>
      </c>
      <c r="AE157" s="2525">
        <f t="shared" si="272"/>
        <v>16153.501596922484</v>
      </c>
      <c r="AF157" s="2525">
        <f t="shared" si="272"/>
        <v>22957.655468496494</v>
      </c>
      <c r="AG157" s="2526">
        <f t="shared" si="272"/>
        <v>13444.86530067115</v>
      </c>
      <c r="AH157" s="2524">
        <f t="shared" si="272"/>
        <v>0</v>
      </c>
      <c r="AI157" s="2525">
        <f t="shared" si="272"/>
        <v>0</v>
      </c>
      <c r="AJ157" s="2525">
        <f t="shared" si="272"/>
        <v>0</v>
      </c>
      <c r="AK157" s="2526">
        <f t="shared" si="272"/>
        <v>0</v>
      </c>
    </row>
    <row r="158" spans="3:235" outlineLevel="1"/>
    <row r="159" spans="3:235" outlineLevel="1">
      <c r="C159" s="2348" t="s">
        <v>3949</v>
      </c>
    </row>
    <row r="160" spans="3:235" outlineLevel="1"/>
    <row r="161" spans="2:37" outlineLevel="1">
      <c r="E161" s="2529" t="s">
        <v>3978</v>
      </c>
      <c r="F161" s="2511"/>
      <c r="G161" s="2511"/>
      <c r="H161" s="2512"/>
      <c r="J161" s="2530">
        <v>2003</v>
      </c>
      <c r="K161" s="2531">
        <v>2004</v>
      </c>
      <c r="L161" s="2531">
        <v>2005</v>
      </c>
      <c r="M161" s="2531">
        <v>2006</v>
      </c>
      <c r="N161" s="2531">
        <v>2007</v>
      </c>
      <c r="O161" s="2531">
        <v>2008</v>
      </c>
      <c r="P161" s="2532">
        <v>2009</v>
      </c>
    </row>
    <row r="162" spans="2:37" outlineLevel="1">
      <c r="E162" s="2666"/>
      <c r="F162" s="2355" t="s">
        <v>3979</v>
      </c>
      <c r="G162" s="2355"/>
      <c r="H162" s="2667"/>
      <c r="J162" s="2536">
        <v>4.7600000000000003E-2</v>
      </c>
      <c r="K162" s="2537">
        <v>4.3499999999999997E-2</v>
      </c>
      <c r="L162" s="2537">
        <v>4.5199999999999997E-2</v>
      </c>
      <c r="M162" s="2537">
        <v>4.9599999999999998E-2</v>
      </c>
      <c r="N162" s="2537">
        <v>5.28E-2</v>
      </c>
      <c r="O162" s="2537">
        <v>5.3600000000000002E-2</v>
      </c>
      <c r="P162" s="2538">
        <v>4.6399999999999997E-2</v>
      </c>
    </row>
    <row r="163" spans="2:37" outlineLevel="1">
      <c r="E163" s="2534"/>
      <c r="F163" s="2348" t="s">
        <v>3980</v>
      </c>
      <c r="H163" s="2540">
        <v>0.02</v>
      </c>
      <c r="I163" s="2541"/>
      <c r="J163" s="2542">
        <f t="shared" ref="J163:P163" si="273">$H$163</f>
        <v>0.02</v>
      </c>
      <c r="K163" s="2543">
        <f t="shared" si="273"/>
        <v>0.02</v>
      </c>
      <c r="L163" s="2543">
        <f t="shared" si="273"/>
        <v>0.02</v>
      </c>
      <c r="M163" s="2543">
        <f t="shared" si="273"/>
        <v>0.02</v>
      </c>
      <c r="N163" s="2543">
        <f t="shared" si="273"/>
        <v>0.02</v>
      </c>
      <c r="O163" s="2543">
        <f t="shared" si="273"/>
        <v>0.02</v>
      </c>
      <c r="P163" s="2544">
        <f t="shared" si="273"/>
        <v>0.02</v>
      </c>
    </row>
    <row r="164" spans="2:37" outlineLevel="1">
      <c r="E164" s="2534"/>
      <c r="F164" s="2348" t="s">
        <v>3981</v>
      </c>
      <c r="H164" s="2540"/>
      <c r="I164" s="2541"/>
      <c r="J164" s="2542">
        <f t="shared" ref="J164:P164" si="274">J162+J163</f>
        <v>6.7600000000000007E-2</v>
      </c>
      <c r="K164" s="2543">
        <f t="shared" si="274"/>
        <v>6.3500000000000001E-2</v>
      </c>
      <c r="L164" s="2543">
        <f t="shared" si="274"/>
        <v>6.5199999999999994E-2</v>
      </c>
      <c r="M164" s="2543">
        <f t="shared" si="274"/>
        <v>6.9599999999999995E-2</v>
      </c>
      <c r="N164" s="2543">
        <f t="shared" si="274"/>
        <v>7.2800000000000004E-2</v>
      </c>
      <c r="O164" s="2543">
        <f t="shared" si="274"/>
        <v>7.3599999999999999E-2</v>
      </c>
      <c r="P164" s="2544">
        <f t="shared" si="274"/>
        <v>6.6400000000000001E-2</v>
      </c>
    </row>
    <row r="165" spans="2:37" outlineLevel="1">
      <c r="E165" s="2547"/>
      <c r="F165" s="2349" t="s">
        <v>3982</v>
      </c>
      <c r="G165" s="2349"/>
      <c r="H165" s="2548"/>
      <c r="I165" s="2541"/>
      <c r="J165" s="2549">
        <f t="shared" ref="J165:P165" si="275">(1+J164)^(1/4)-1</f>
        <v>1.6487731478919132E-2</v>
      </c>
      <c r="K165" s="2550">
        <f t="shared" si="275"/>
        <v>1.5510395601027183E-2</v>
      </c>
      <c r="L165" s="2550">
        <f t="shared" si="275"/>
        <v>1.5915974771168573E-2</v>
      </c>
      <c r="M165" s="2550">
        <f t="shared" si="275"/>
        <v>1.6963459475231923E-2</v>
      </c>
      <c r="N165" s="2550">
        <f t="shared" si="275"/>
        <v>1.77232384582382E-2</v>
      </c>
      <c r="O165" s="2550">
        <f t="shared" si="275"/>
        <v>1.7912917571581533E-2</v>
      </c>
      <c r="P165" s="2551">
        <f t="shared" si="275"/>
        <v>1.6201973760160859E-2</v>
      </c>
    </row>
    <row r="166" spans="2:37" outlineLevel="1"/>
    <row r="167" spans="2:37" outlineLevel="1">
      <c r="C167" s="2529" t="s">
        <v>3955</v>
      </c>
      <c r="D167" s="2511" t="s">
        <v>3956</v>
      </c>
      <c r="E167" s="2511" t="s">
        <v>3957</v>
      </c>
      <c r="F167" s="2511" t="s">
        <v>3958</v>
      </c>
      <c r="G167" s="2512" t="s">
        <v>3983</v>
      </c>
      <c r="H167" s="2512" t="s">
        <v>40</v>
      </c>
    </row>
    <row r="168" spans="2:37" outlineLevel="1">
      <c r="B168" s="2348">
        <v>1</v>
      </c>
      <c r="C168" s="2552">
        <f t="shared" ref="C168:C195" si="276">H168*E168</f>
        <v>0</v>
      </c>
      <c r="D168" s="2553">
        <v>2003</v>
      </c>
      <c r="E168" s="2554">
        <v>1</v>
      </c>
      <c r="F168" s="2528">
        <v>37711</v>
      </c>
      <c r="G168" s="2555">
        <f t="shared" ref="G168:G195" si="277">SUMIF($J$161:$P$161,D168,$J$165:$P$165)</f>
        <v>1.6487731478919132E-2</v>
      </c>
      <c r="H168" s="2517">
        <f t="shared" ref="H168:H195" si="278">SUM(J168:AK168)</f>
        <v>0</v>
      </c>
      <c r="J168" s="2556"/>
      <c r="K168" s="2557"/>
      <c r="L168" s="2558"/>
      <c r="M168" s="2559"/>
      <c r="N168" s="2560"/>
      <c r="O168" s="2558"/>
      <c r="P168" s="2558"/>
      <c r="Q168" s="2559"/>
      <c r="R168" s="2560"/>
      <c r="S168" s="2558"/>
      <c r="T168" s="2558"/>
      <c r="U168" s="2559"/>
      <c r="V168" s="2556"/>
      <c r="W168" s="2557"/>
      <c r="X168" s="2557"/>
      <c r="Y168" s="2561"/>
      <c r="Z168" s="2556"/>
      <c r="AA168" s="2557"/>
      <c r="AB168" s="2557"/>
      <c r="AC168" s="2561"/>
      <c r="AD168" s="2556"/>
      <c r="AE168" s="2557"/>
      <c r="AF168" s="2557"/>
      <c r="AG168" s="2561"/>
      <c r="AH168" s="2556"/>
      <c r="AI168" s="2557"/>
      <c r="AJ168" s="2557"/>
      <c r="AK168" s="2561"/>
    </row>
    <row r="169" spans="2:37" outlineLevel="1">
      <c r="B169" s="2348">
        <v>2</v>
      </c>
      <c r="C169" s="2552">
        <f t="shared" si="276"/>
        <v>0</v>
      </c>
      <c r="D169" s="2562">
        <f>D168</f>
        <v>2003</v>
      </c>
      <c r="E169" s="2554">
        <v>1</v>
      </c>
      <c r="F169" s="2528">
        <f t="shared" ref="F169:F195" si="279">EOMONTH(F168,3)</f>
        <v>37802</v>
      </c>
      <c r="G169" s="2555">
        <f t="shared" si="277"/>
        <v>1.6487731478919132E-2</v>
      </c>
      <c r="H169" s="2517">
        <f t="shared" si="278"/>
        <v>0</v>
      </c>
      <c r="J169" s="2563"/>
      <c r="K169" s="2564"/>
      <c r="L169" s="2565"/>
      <c r="M169" s="2566"/>
      <c r="N169" s="2567"/>
      <c r="O169" s="2565"/>
      <c r="P169" s="2565"/>
      <c r="Q169" s="2566"/>
      <c r="R169" s="2567"/>
      <c r="S169" s="2565"/>
      <c r="T169" s="2565"/>
      <c r="U169" s="2566"/>
      <c r="V169" s="2563"/>
      <c r="W169" s="2564"/>
      <c r="X169" s="2564"/>
      <c r="Y169" s="2568"/>
      <c r="Z169" s="2563"/>
      <c r="AA169" s="2564"/>
      <c r="AB169" s="2564"/>
      <c r="AC169" s="2568"/>
      <c r="AD169" s="2563"/>
      <c r="AE169" s="2564"/>
      <c r="AF169" s="2564"/>
      <c r="AG169" s="2568"/>
      <c r="AH169" s="2563"/>
      <c r="AI169" s="2564"/>
      <c r="AJ169" s="2564"/>
      <c r="AK169" s="2568"/>
    </row>
    <row r="170" spans="2:37" outlineLevel="1">
      <c r="B170" s="2348">
        <v>3</v>
      </c>
      <c r="C170" s="2552">
        <f t="shared" si="276"/>
        <v>0</v>
      </c>
      <c r="D170" s="2562">
        <f>D169</f>
        <v>2003</v>
      </c>
      <c r="E170" s="2554">
        <v>1</v>
      </c>
      <c r="F170" s="2528">
        <f t="shared" si="279"/>
        <v>37894</v>
      </c>
      <c r="G170" s="2555">
        <f t="shared" si="277"/>
        <v>1.6487731478919132E-2</v>
      </c>
      <c r="H170" s="2517">
        <f t="shared" si="278"/>
        <v>0</v>
      </c>
      <c r="J170" s="2563"/>
      <c r="K170" s="2564"/>
      <c r="L170" s="2565"/>
      <c r="M170" s="2566"/>
      <c r="N170" s="2567"/>
      <c r="O170" s="2565"/>
      <c r="P170" s="2565"/>
      <c r="Q170" s="2566"/>
      <c r="R170" s="2567"/>
      <c r="S170" s="2565"/>
      <c r="T170" s="2565"/>
      <c r="U170" s="2566"/>
      <c r="V170" s="2563"/>
      <c r="W170" s="2564"/>
      <c r="X170" s="2564"/>
      <c r="Y170" s="2568"/>
      <c r="Z170" s="2563"/>
      <c r="AA170" s="2564"/>
      <c r="AB170" s="2564"/>
      <c r="AC170" s="2568"/>
      <c r="AD170" s="2563"/>
      <c r="AE170" s="2564"/>
      <c r="AF170" s="2564"/>
      <c r="AG170" s="2568"/>
      <c r="AH170" s="2563"/>
      <c r="AI170" s="2564"/>
      <c r="AJ170" s="2564"/>
      <c r="AK170" s="2568"/>
    </row>
    <row r="171" spans="2:37" outlineLevel="1">
      <c r="B171" s="2348">
        <v>4</v>
      </c>
      <c r="C171" s="2569">
        <f t="shared" si="276"/>
        <v>39.455290546144582</v>
      </c>
      <c r="D171" s="2570">
        <f>D170</f>
        <v>2003</v>
      </c>
      <c r="E171" s="2571">
        <v>1</v>
      </c>
      <c r="F171" s="2572">
        <f t="shared" si="279"/>
        <v>37986</v>
      </c>
      <c r="G171" s="2573">
        <f t="shared" si="277"/>
        <v>1.6487731478919132E-2</v>
      </c>
      <c r="H171" s="2574">
        <f t="shared" si="278"/>
        <v>39.455290546144582</v>
      </c>
      <c r="J171" s="2575"/>
      <c r="K171" s="2576"/>
      <c r="L171" s="2577">
        <f>(L$157+SUM(L$168:L170))*$G171</f>
        <v>39.455290546144582</v>
      </c>
      <c r="M171" s="2578"/>
      <c r="N171" s="2579"/>
      <c r="O171" s="2580"/>
      <c r="P171" s="2580"/>
      <c r="Q171" s="2578"/>
      <c r="R171" s="2579"/>
      <c r="S171" s="2580"/>
      <c r="T171" s="2580"/>
      <c r="U171" s="2578"/>
      <c r="V171" s="2575"/>
      <c r="W171" s="2576"/>
      <c r="X171" s="2576"/>
      <c r="Y171" s="2581"/>
      <c r="Z171" s="2575"/>
      <c r="AA171" s="2576"/>
      <c r="AB171" s="2576"/>
      <c r="AC171" s="2581"/>
      <c r="AD171" s="2575"/>
      <c r="AE171" s="2576"/>
      <c r="AF171" s="2576"/>
      <c r="AG171" s="2581"/>
      <c r="AH171" s="2575"/>
      <c r="AI171" s="2576"/>
      <c r="AJ171" s="2576"/>
      <c r="AK171" s="2581"/>
    </row>
    <row r="172" spans="2:37" outlineLevel="1">
      <c r="B172" s="2348">
        <v>1</v>
      </c>
      <c r="C172" s="2552">
        <f t="shared" si="276"/>
        <v>122.86796300343943</v>
      </c>
      <c r="D172" s="2553">
        <f>D171+1</f>
        <v>2004</v>
      </c>
      <c r="E172" s="2582">
        <v>1</v>
      </c>
      <c r="F172" s="2528">
        <f t="shared" si="279"/>
        <v>38077</v>
      </c>
      <c r="G172" s="2555">
        <f t="shared" si="277"/>
        <v>1.5510395601027183E-2</v>
      </c>
      <c r="H172" s="2517">
        <f t="shared" si="278"/>
        <v>122.86796300343943</v>
      </c>
      <c r="J172" s="2563"/>
      <c r="K172" s="2564"/>
      <c r="L172" s="2583">
        <f>(L$157+SUM(L$168:L171))*$G172</f>
        <v>37.728484116126268</v>
      </c>
      <c r="M172" s="2584">
        <f>(M$157+SUM(M$168:M171))*$G172</f>
        <v>85.13947888731316</v>
      </c>
      <c r="N172" s="2563"/>
      <c r="O172" s="2564"/>
      <c r="P172" s="2564"/>
      <c r="Q172" s="2568"/>
      <c r="R172" s="2560"/>
      <c r="S172" s="2558"/>
      <c r="T172" s="2558"/>
      <c r="U172" s="2559"/>
      <c r="V172" s="2563"/>
      <c r="W172" s="2564"/>
      <c r="X172" s="2564"/>
      <c r="Y172" s="2568"/>
      <c r="Z172" s="2563"/>
      <c r="AA172" s="2564"/>
      <c r="AB172" s="2564"/>
      <c r="AC172" s="2568"/>
      <c r="AD172" s="2563"/>
      <c r="AE172" s="2564"/>
      <c r="AF172" s="2564"/>
      <c r="AG172" s="2568"/>
      <c r="AH172" s="2563"/>
      <c r="AI172" s="2564"/>
      <c r="AJ172" s="2564"/>
      <c r="AK172" s="2568"/>
    </row>
    <row r="173" spans="2:37" outlineLevel="1">
      <c r="B173" s="2348">
        <v>2</v>
      </c>
      <c r="C173" s="2552">
        <f t="shared" si="276"/>
        <v>141.22072668553253</v>
      </c>
      <c r="D173" s="2562">
        <f>D172</f>
        <v>2004</v>
      </c>
      <c r="E173" s="2582">
        <v>1</v>
      </c>
      <c r="F173" s="2528">
        <f t="shared" si="279"/>
        <v>38168</v>
      </c>
      <c r="G173" s="2555">
        <f t="shared" si="277"/>
        <v>1.5510395601027183E-2</v>
      </c>
      <c r="H173" s="2517">
        <f t="shared" si="278"/>
        <v>141.22072668553253</v>
      </c>
      <c r="J173" s="2563"/>
      <c r="K173" s="2564"/>
      <c r="L173" s="2583">
        <f>(L$157+SUM(L$168:L172))*$G173</f>
        <v>38.313667830194454</v>
      </c>
      <c r="M173" s="2584">
        <f>(M$157+SUM(M$168:M172))*$G173</f>
        <v>86.46002588612069</v>
      </c>
      <c r="N173" s="2585">
        <f>(N$157+SUM(N$168:N172))*$G173</f>
        <v>16.447032969217396</v>
      </c>
      <c r="O173" s="2564"/>
      <c r="P173" s="2564"/>
      <c r="Q173" s="2568"/>
      <c r="R173" s="2567"/>
      <c r="S173" s="2565"/>
      <c r="T173" s="2565"/>
      <c r="U173" s="2566"/>
      <c r="V173" s="2563"/>
      <c r="W173" s="2564"/>
      <c r="X173" s="2564"/>
      <c r="Y173" s="2568"/>
      <c r="Z173" s="2563"/>
      <c r="AA173" s="2564"/>
      <c r="AB173" s="2564"/>
      <c r="AC173" s="2568"/>
      <c r="AD173" s="2563"/>
      <c r="AE173" s="2564"/>
      <c r="AF173" s="2564"/>
      <c r="AG173" s="2568"/>
      <c r="AH173" s="2563"/>
      <c r="AI173" s="2564"/>
      <c r="AJ173" s="2564"/>
      <c r="AK173" s="2568"/>
    </row>
    <row r="174" spans="2:37" outlineLevel="1">
      <c r="B174" s="2348">
        <v>3</v>
      </c>
      <c r="C174" s="2552">
        <f t="shared" si="276"/>
        <v>236.27331335390912</v>
      </c>
      <c r="D174" s="2562">
        <f>D173</f>
        <v>2004</v>
      </c>
      <c r="E174" s="2582">
        <v>1</v>
      </c>
      <c r="F174" s="2528">
        <f t="shared" si="279"/>
        <v>38260</v>
      </c>
      <c r="G174" s="2555">
        <f t="shared" si="277"/>
        <v>1.5510395601027183E-2</v>
      </c>
      <c r="H174" s="2517">
        <f t="shared" si="278"/>
        <v>236.27331335390912</v>
      </c>
      <c r="J174" s="2563"/>
      <c r="K174" s="2564"/>
      <c r="L174" s="2583">
        <f>(L$157+SUM(L$168:L173))*$G174</f>
        <v>38.907927975167119</v>
      </c>
      <c r="M174" s="2584">
        <f>(M$157+SUM(M$168:M173))*$G174</f>
        <v>87.801055091289484</v>
      </c>
      <c r="N174" s="2585">
        <f>(N$157+SUM(N$168:N173))*$G174</f>
        <v>16.702132957033093</v>
      </c>
      <c r="O174" s="2583">
        <f>(O$157+SUM(O$168:O173))*$G174</f>
        <v>92.862197330419434</v>
      </c>
      <c r="P174" s="2564"/>
      <c r="Q174" s="2568"/>
      <c r="R174" s="2567"/>
      <c r="S174" s="2565"/>
      <c r="T174" s="2565"/>
      <c r="U174" s="2566"/>
      <c r="V174" s="2563"/>
      <c r="W174" s="2564"/>
      <c r="X174" s="2564"/>
      <c r="Y174" s="2568"/>
      <c r="Z174" s="2563"/>
      <c r="AA174" s="2564"/>
      <c r="AB174" s="2564"/>
      <c r="AC174" s="2568"/>
      <c r="AD174" s="2563"/>
      <c r="AE174" s="2564"/>
      <c r="AF174" s="2564"/>
      <c r="AG174" s="2568"/>
      <c r="AH174" s="2563"/>
      <c r="AI174" s="2564"/>
      <c r="AJ174" s="2564"/>
      <c r="AK174" s="2568"/>
    </row>
    <row r="175" spans="2:37" outlineLevel="1">
      <c r="B175" s="2348">
        <v>4</v>
      </c>
      <c r="C175" s="2569">
        <f t="shared" si="276"/>
        <v>297.86850439456475</v>
      </c>
      <c r="D175" s="2570">
        <f>D174</f>
        <v>2004</v>
      </c>
      <c r="E175" s="2586">
        <v>1</v>
      </c>
      <c r="F175" s="2572">
        <f t="shared" si="279"/>
        <v>38352</v>
      </c>
      <c r="G175" s="2573">
        <f t="shared" si="277"/>
        <v>1.5510395601027183E-2</v>
      </c>
      <c r="H175" s="2574">
        <f t="shared" si="278"/>
        <v>297.86850439456475</v>
      </c>
      <c r="J175" s="2575"/>
      <c r="K175" s="2576"/>
      <c r="L175" s="2577">
        <f>(L$157+SUM(L$168:L174))*$G175</f>
        <v>39.511405330078233</v>
      </c>
      <c r="M175" s="2587">
        <f>(M$157+SUM(M$168:M174))*$G175</f>
        <v>89.162884189942957</v>
      </c>
      <c r="N175" s="2588">
        <f>(N$157+SUM(N$168:N174))*$G175</f>
        <v>16.961189646577633</v>
      </c>
      <c r="O175" s="2577">
        <f>(O$157+SUM(O$168:O174))*$G175</f>
        <v>94.302526747394893</v>
      </c>
      <c r="P175" s="2577">
        <f>(P$157+SUM(P$168:P174))*$G175</f>
        <v>57.93049848057106</v>
      </c>
      <c r="Q175" s="2581"/>
      <c r="R175" s="2579"/>
      <c r="S175" s="2580"/>
      <c r="T175" s="2580"/>
      <c r="U175" s="2578"/>
      <c r="V175" s="2575"/>
      <c r="W175" s="2576"/>
      <c r="X175" s="2576"/>
      <c r="Y175" s="2581"/>
      <c r="Z175" s="2575"/>
      <c r="AA175" s="2576"/>
      <c r="AB175" s="2576"/>
      <c r="AC175" s="2581"/>
      <c r="AD175" s="2575"/>
      <c r="AE175" s="2576"/>
      <c r="AF175" s="2576"/>
      <c r="AG175" s="2581"/>
      <c r="AH175" s="2575"/>
      <c r="AI175" s="2576"/>
      <c r="AJ175" s="2576"/>
      <c r="AK175" s="2581"/>
    </row>
    <row r="176" spans="2:37" outlineLevel="1">
      <c r="B176" s="2348">
        <v>1</v>
      </c>
      <c r="C176" s="2552">
        <f t="shared" si="276"/>
        <v>358.07302218593816</v>
      </c>
      <c r="D176" s="2553">
        <f>D175+1</f>
        <v>2005</v>
      </c>
      <c r="E176" s="2582">
        <v>1</v>
      </c>
      <c r="F176" s="2528">
        <f t="shared" si="279"/>
        <v>38442</v>
      </c>
      <c r="G176" s="2555">
        <f t="shared" si="277"/>
        <v>1.5915974771168573E-2</v>
      </c>
      <c r="H176" s="2517">
        <f t="shared" si="278"/>
        <v>358.07302218593816</v>
      </c>
      <c r="J176" s="2563"/>
      <c r="K176" s="2564"/>
      <c r="L176" s="2583">
        <f>(L$157+SUM(L$168:L175))*$G176</f>
        <v>41.173446084761537</v>
      </c>
      <c r="M176" s="2584">
        <f>(M$157+SUM(M$168:M175))*$G176</f>
        <v>92.913506221500541</v>
      </c>
      <c r="N176" s="2585">
        <f>(N$157+SUM(N$168:N175))*$G176</f>
        <v>17.674659294266036</v>
      </c>
      <c r="O176" s="2583">
        <f>(O$157+SUM(O$168:O175))*$G176</f>
        <v>98.269346996242589</v>
      </c>
      <c r="P176" s="2583">
        <f>(P$157+SUM(P$168:P175))*$G176</f>
        <v>60.367335353607643</v>
      </c>
      <c r="Q176" s="2584">
        <f>(Q$157+SUM(Q$168:Q175))*$G176</f>
        <v>47.674728235559819</v>
      </c>
      <c r="R176" s="2563"/>
      <c r="S176" s="2564"/>
      <c r="T176" s="2564"/>
      <c r="U176" s="2568"/>
      <c r="V176" s="2563"/>
      <c r="W176" s="2564"/>
      <c r="X176" s="2564"/>
      <c r="Y176" s="2568"/>
      <c r="Z176" s="2563"/>
      <c r="AA176" s="2564"/>
      <c r="AB176" s="2564"/>
      <c r="AC176" s="2568"/>
      <c r="AD176" s="2563"/>
      <c r="AE176" s="2564"/>
      <c r="AF176" s="2564"/>
      <c r="AG176" s="2568"/>
      <c r="AH176" s="2563"/>
      <c r="AI176" s="2564"/>
      <c r="AJ176" s="2564"/>
      <c r="AK176" s="2568"/>
    </row>
    <row r="177" spans="2:43" outlineLevel="1">
      <c r="B177" s="2348">
        <v>2</v>
      </c>
      <c r="C177" s="2552">
        <f t="shared" si="276"/>
        <v>472.76257116317925</v>
      </c>
      <c r="D177" s="2562">
        <f>D176</f>
        <v>2005</v>
      </c>
      <c r="E177" s="2582">
        <v>1</v>
      </c>
      <c r="F177" s="2528">
        <f t="shared" si="279"/>
        <v>38533</v>
      </c>
      <c r="G177" s="2555">
        <f t="shared" si="277"/>
        <v>1.5915974771168573E-2</v>
      </c>
      <c r="H177" s="2517">
        <f t="shared" si="278"/>
        <v>472.76257116317925</v>
      </c>
      <c r="J177" s="2563"/>
      <c r="K177" s="2564"/>
      <c r="L177" s="2583">
        <f>(L$157+SUM(L$168:L176))*$G177</f>
        <v>41.828761613888673</v>
      </c>
      <c r="M177" s="2584">
        <f>(M$157+SUM(M$168:M176))*$G177</f>
        <v>94.392315242422754</v>
      </c>
      <c r="N177" s="2585">
        <f>(N$157+SUM(N$168:N176))*$G177</f>
        <v>17.95596872568257</v>
      </c>
      <c r="O177" s="2583">
        <f>(O$157+SUM(O$168:O176))*$G177</f>
        <v>99.833399443813988</v>
      </c>
      <c r="P177" s="2583">
        <f>(P$157+SUM(P$168:P176))*$G177</f>
        <v>61.328140340098329</v>
      </c>
      <c r="Q177" s="2584">
        <f>(Q$157+SUM(Q$168:Q176))*$G177</f>
        <v>48.433518007379305</v>
      </c>
      <c r="R177" s="2585">
        <f>(R$157+SUM(R$168:R176))*$G177</f>
        <v>108.99046778989367</v>
      </c>
      <c r="S177" s="2564"/>
      <c r="T177" s="2564"/>
      <c r="U177" s="2568"/>
      <c r="V177" s="2563"/>
      <c r="W177" s="2564"/>
      <c r="X177" s="2564"/>
      <c r="Y177" s="2568"/>
      <c r="Z177" s="2563"/>
      <c r="AA177" s="2564"/>
      <c r="AB177" s="2564"/>
      <c r="AC177" s="2568"/>
      <c r="AD177" s="2563"/>
      <c r="AE177" s="2564"/>
      <c r="AF177" s="2564"/>
      <c r="AG177" s="2568"/>
      <c r="AH177" s="2563"/>
      <c r="AI177" s="2564"/>
      <c r="AJ177" s="2564"/>
      <c r="AK177" s="2568"/>
    </row>
    <row r="178" spans="2:43" outlineLevel="1">
      <c r="B178" s="2348">
        <v>3</v>
      </c>
      <c r="C178" s="2552">
        <f t="shared" si="276"/>
        <v>706.57873181119078</v>
      </c>
      <c r="D178" s="2562">
        <f>D177</f>
        <v>2005</v>
      </c>
      <c r="E178" s="2582">
        <v>1</v>
      </c>
      <c r="F178" s="2528">
        <f t="shared" si="279"/>
        <v>38625</v>
      </c>
      <c r="G178" s="2555">
        <f t="shared" si="277"/>
        <v>1.5915974771168573E-2</v>
      </c>
      <c r="H178" s="2517">
        <f t="shared" si="278"/>
        <v>706.57873181119078</v>
      </c>
      <c r="J178" s="2563"/>
      <c r="K178" s="2564"/>
      <c r="L178" s="2583">
        <f>(L$157+SUM(L$168:L177))*$G178</f>
        <v>42.494507128444546</v>
      </c>
      <c r="M178" s="2584">
        <f>(M$157+SUM(M$168:M177))*$G178</f>
        <v>95.894660950413353</v>
      </c>
      <c r="N178" s="2585">
        <f>(N$157+SUM(N$168:N177))*$G178</f>
        <v>18.241755470912427</v>
      </c>
      <c r="O178" s="2583">
        <f>(O$157+SUM(O$168:O177))*$G178</f>
        <v>101.42234531068172</v>
      </c>
      <c r="P178" s="2583">
        <f>(P$157+SUM(P$168:P177))*$G178</f>
        <v>62.304237474514018</v>
      </c>
      <c r="Q178" s="2584">
        <f>(Q$157+SUM(Q$168:Q177))*$G178</f>
        <v>49.204384658063688</v>
      </c>
      <c r="R178" s="2585">
        <f>(R$157+SUM(R$168:R177))*$G178</f>
        <v>110.72515732553548</v>
      </c>
      <c r="S178" s="2583">
        <f>(S$157+SUM(S$168:S177))*$G178</f>
        <v>226.29168349262559</v>
      </c>
      <c r="T178" s="2564"/>
      <c r="U178" s="2568"/>
      <c r="V178" s="2563"/>
      <c r="W178" s="2564"/>
      <c r="X178" s="2564"/>
      <c r="Y178" s="2568"/>
      <c r="Z178" s="2563"/>
      <c r="AA178" s="2564"/>
      <c r="AB178" s="2564"/>
      <c r="AC178" s="2568"/>
      <c r="AD178" s="2563"/>
      <c r="AE178" s="2564"/>
      <c r="AF178" s="2564"/>
      <c r="AG178" s="2568"/>
      <c r="AH178" s="2563"/>
      <c r="AI178" s="2564"/>
      <c r="AJ178" s="2564"/>
      <c r="AK178" s="2568"/>
    </row>
    <row r="179" spans="2:43" outlineLevel="1">
      <c r="B179" s="2348">
        <v>4</v>
      </c>
      <c r="C179" s="2569">
        <f t="shared" si="276"/>
        <v>777.69178103935644</v>
      </c>
      <c r="D179" s="2570">
        <f>D178</f>
        <v>2005</v>
      </c>
      <c r="E179" s="2586">
        <v>1</v>
      </c>
      <c r="F179" s="2572">
        <f t="shared" si="279"/>
        <v>38717</v>
      </c>
      <c r="G179" s="2573">
        <f t="shared" si="277"/>
        <v>1.5915974771168573E-2</v>
      </c>
      <c r="H179" s="2574">
        <f t="shared" si="278"/>
        <v>777.69178103935644</v>
      </c>
      <c r="J179" s="2575"/>
      <c r="K179" s="2576"/>
      <c r="L179" s="2577">
        <f>(L$157+SUM(L$168:L178))*$G179</f>
        <v>43.170848631814117</v>
      </c>
      <c r="M179" s="2587">
        <f>(M$157+SUM(M$168:M178))*$G179</f>
        <v>97.4209179547899</v>
      </c>
      <c r="N179" s="2588">
        <f>(N$157+SUM(N$168:N178))*$G179</f>
        <v>18.532090790769296</v>
      </c>
      <c r="O179" s="2577">
        <f>(O$157+SUM(O$168:O178))*$G179</f>
        <v>103.03658079987929</v>
      </c>
      <c r="P179" s="2577">
        <f>(P$157+SUM(P$168:P178))*$G179</f>
        <v>63.295870146295279</v>
      </c>
      <c r="Q179" s="2587">
        <f>(Q$157+SUM(Q$168:Q178))*$G179</f>
        <v>49.987520402912303</v>
      </c>
      <c r="R179" s="2588">
        <f>(R$157+SUM(R$168:R178))*$G179</f>
        <v>112.48745613606236</v>
      </c>
      <c r="S179" s="2577">
        <f>(S$157+SUM(S$168:S178))*$G179</f>
        <v>229.8933362180195</v>
      </c>
      <c r="T179" s="2577">
        <f>(T$157+SUM(T$168:T178))*$G179</f>
        <v>59.867159958814348</v>
      </c>
      <c r="U179" s="2581"/>
      <c r="V179" s="2575"/>
      <c r="W179" s="2576"/>
      <c r="X179" s="2576"/>
      <c r="Y179" s="2581"/>
      <c r="Z179" s="2575"/>
      <c r="AA179" s="2576"/>
      <c r="AB179" s="2576"/>
      <c r="AC179" s="2581"/>
      <c r="AD179" s="2575"/>
      <c r="AE179" s="2576"/>
      <c r="AF179" s="2576"/>
      <c r="AG179" s="2581"/>
      <c r="AH179" s="2575"/>
      <c r="AI179" s="2576"/>
      <c r="AJ179" s="2576"/>
      <c r="AK179" s="2581"/>
    </row>
    <row r="180" spans="2:43" outlineLevel="1">
      <c r="B180" s="2348">
        <v>1</v>
      </c>
      <c r="C180" s="2552">
        <f t="shared" si="276"/>
        <v>963.46851898079615</v>
      </c>
      <c r="D180" s="2553">
        <f>D179+1</f>
        <v>2006</v>
      </c>
      <c r="E180" s="2582">
        <v>1</v>
      </c>
      <c r="F180" s="2528">
        <f t="shared" si="279"/>
        <v>38807</v>
      </c>
      <c r="G180" s="2555">
        <f t="shared" si="277"/>
        <v>1.6963459475231923E-2</v>
      </c>
      <c r="H180" s="2517">
        <f t="shared" si="278"/>
        <v>963.46851898079615</v>
      </c>
      <c r="J180" s="2563"/>
      <c r="K180" s="2564"/>
      <c r="L180" s="2583">
        <f>(L$157+SUM(L$168:L179))*$G180</f>
        <v>46.744396689197579</v>
      </c>
      <c r="M180" s="2584">
        <f>(M$157+SUM(M$168:M179))*$G180</f>
        <v>105.48511736571595</v>
      </c>
      <c r="N180" s="2585">
        <f>(N$157+SUM(N$168:N179))*$G180</f>
        <v>20.06611940367462</v>
      </c>
      <c r="O180" s="2583">
        <f>(O$157+SUM(O$168:O179))*$G180</f>
        <v>111.56562724733547</v>
      </c>
      <c r="P180" s="2583">
        <f>(P$157+SUM(P$168:P179))*$G180</f>
        <v>68.535304648284693</v>
      </c>
      <c r="Q180" s="2584">
        <f>(Q$157+SUM(Q$168:Q179))*$G180</f>
        <v>54.12533126581026</v>
      </c>
      <c r="R180" s="2585">
        <f>(R$157+SUM(R$168:R179))*$G180</f>
        <v>121.79881653537591</v>
      </c>
      <c r="S180" s="2583">
        <f>(S$157+SUM(S$168:S179))*$G180</f>
        <v>248.92318879409066</v>
      </c>
      <c r="T180" s="2583">
        <f>(T$157+SUM(T$168:T179))*$G180</f>
        <v>64.822776536947288</v>
      </c>
      <c r="U180" s="2584">
        <f>(U$157+SUM(U$168:U179))*$G180</f>
        <v>121.40184049436367</v>
      </c>
      <c r="V180" s="2563"/>
      <c r="W180" s="2564"/>
      <c r="X180" s="2564"/>
      <c r="Y180" s="2568"/>
      <c r="Z180" s="2563"/>
      <c r="AA180" s="2564"/>
      <c r="AB180" s="2564"/>
      <c r="AC180" s="2568"/>
      <c r="AD180" s="2563"/>
      <c r="AE180" s="2564"/>
      <c r="AF180" s="2564"/>
      <c r="AG180" s="2568"/>
      <c r="AH180" s="2563"/>
      <c r="AI180" s="2564"/>
      <c r="AJ180" s="2564"/>
      <c r="AK180" s="2568"/>
    </row>
    <row r="181" spans="2:43" outlineLevel="1">
      <c r="B181" s="2348">
        <v>2</v>
      </c>
      <c r="C181" s="2552">
        <f t="shared" si="276"/>
        <v>1038.7539819158326</v>
      </c>
      <c r="D181" s="2562">
        <f>D180</f>
        <v>2006</v>
      </c>
      <c r="E181" s="2582">
        <v>1</v>
      </c>
      <c r="F181" s="2528">
        <f t="shared" si="279"/>
        <v>38898</v>
      </c>
      <c r="G181" s="2555">
        <f t="shared" si="277"/>
        <v>1.6963459475231923E-2</v>
      </c>
      <c r="H181" s="2517">
        <f t="shared" si="278"/>
        <v>1038.7539819158326</v>
      </c>
      <c r="J181" s="2563"/>
      <c r="K181" s="2564"/>
      <c r="L181" s="2583">
        <f>(L$157+SUM(L$168:L180))*$G181</f>
        <v>47.537343368128951</v>
      </c>
      <c r="M181" s="2584">
        <f>(M$157+SUM(M$168:M180))*$G181</f>
        <v>107.27450987938936</v>
      </c>
      <c r="N181" s="2585">
        <f>(N$157+SUM(N$168:N180))*$G181</f>
        <v>20.406510207004018</v>
      </c>
      <c r="O181" s="2583">
        <f>(O$157+SUM(O$168:O180))*$G181</f>
        <v>113.45816624397449</v>
      </c>
      <c r="P181" s="2583">
        <f>(P$157+SUM(P$168:P180))*$G181</f>
        <v>69.697900511308546</v>
      </c>
      <c r="Q181" s="2584">
        <f>(Q$157+SUM(Q$168:Q180))*$G181</f>
        <v>55.043484129321335</v>
      </c>
      <c r="R181" s="2585">
        <f>(R$157+SUM(R$168:R180))*$G181</f>
        <v>123.86494582380497</v>
      </c>
      <c r="S181" s="2583">
        <f>(S$157+SUM(S$168:S180))*$G181</f>
        <v>253.14578721964475</v>
      </c>
      <c r="T181" s="2583">
        <f>(T$157+SUM(T$168:T180))*$G181</f>
        <v>65.92239507980382</v>
      </c>
      <c r="U181" s="2584">
        <f>(U$157+SUM(U$168:U180))*$G181</f>
        <v>123.46123569580837</v>
      </c>
      <c r="V181" s="2585">
        <f>(V$157+SUM(V$168:V180))*$G181</f>
        <v>58.941703757644142</v>
      </c>
      <c r="W181" s="2564"/>
      <c r="X181" s="2564"/>
      <c r="Y181" s="2568"/>
      <c r="Z181" s="2563"/>
      <c r="AA181" s="2564"/>
      <c r="AB181" s="2564"/>
      <c r="AC181" s="2568"/>
      <c r="AD181" s="2563"/>
      <c r="AE181" s="2564"/>
      <c r="AF181" s="2564"/>
      <c r="AG181" s="2568"/>
      <c r="AH181" s="2563"/>
      <c r="AI181" s="2564"/>
      <c r="AJ181" s="2564"/>
      <c r="AK181" s="2568"/>
    </row>
    <row r="182" spans="2:43" outlineLevel="1">
      <c r="B182" s="2348">
        <v>3</v>
      </c>
      <c r="C182" s="2552">
        <f t="shared" si="276"/>
        <v>1089.1065633723126</v>
      </c>
      <c r="D182" s="2562">
        <f>D181</f>
        <v>2006</v>
      </c>
      <c r="E182" s="2582">
        <v>1</v>
      </c>
      <c r="F182" s="2528">
        <f t="shared" si="279"/>
        <v>38990</v>
      </c>
      <c r="G182" s="2589">
        <f t="shared" si="277"/>
        <v>1.6963459475231923E-2</v>
      </c>
      <c r="H182" s="2517">
        <f t="shared" si="278"/>
        <v>1089.1065633723126</v>
      </c>
      <c r="J182" s="2563"/>
      <c r="K182" s="2564"/>
      <c r="L182" s="2583">
        <f>(L$157+SUM(L$168:L181))*$G182</f>
        <v>48.343741165914388</v>
      </c>
      <c r="M182" s="2584">
        <f>(M$157+SUM(M$168:M181))*$G182</f>
        <v>109.09425668045375</v>
      </c>
      <c r="N182" s="2585">
        <f>(N$157+SUM(N$168:N181))*$G182</f>
        <v>20.75267521593144</v>
      </c>
      <c r="O182" s="2583">
        <f>(O$157+SUM(O$168:O181))*$G182</f>
        <v>115.38280924918827</v>
      </c>
      <c r="P182" s="2583">
        <f>(P$157+SUM(P$168:P181))*$G182</f>
        <v>70.880218022140866</v>
      </c>
      <c r="Q182" s="2584">
        <f>(Q$157+SUM(Q$168:Q181))*$G182</f>
        <v>55.977212041724648</v>
      </c>
      <c r="R182" s="2585">
        <f>(R$157+SUM(R$168:R181))*$G182</f>
        <v>125.96612381268889</v>
      </c>
      <c r="S182" s="2583">
        <f>(S$157+SUM(S$168:S181))*$G182</f>
        <v>257.44001552247084</v>
      </c>
      <c r="T182" s="2583">
        <f>(T$157+SUM(T$168:T181))*$G182</f>
        <v>67.040666957250295</v>
      </c>
      <c r="U182" s="2584">
        <f>(U$157+SUM(U$168:U181))*$G182</f>
        <v>125.55556536429629</v>
      </c>
      <c r="V182" s="2585">
        <f>(V$157+SUM(V$168:V181))*$G182</f>
        <v>59.941558960738064</v>
      </c>
      <c r="W182" s="2583">
        <f>(W$157+SUM(W$168:W181))*$G182</f>
        <v>32.731720379514904</v>
      </c>
      <c r="X182" s="2564"/>
      <c r="Y182" s="2568"/>
      <c r="Z182" s="2563"/>
      <c r="AA182" s="2564"/>
      <c r="AB182" s="2564"/>
      <c r="AC182" s="2568"/>
      <c r="AD182" s="2563"/>
      <c r="AE182" s="2564"/>
      <c r="AF182" s="2564"/>
      <c r="AG182" s="2568"/>
      <c r="AH182" s="2563"/>
      <c r="AI182" s="2564"/>
      <c r="AJ182" s="2564"/>
      <c r="AK182" s="2568"/>
    </row>
    <row r="183" spans="2:43" outlineLevel="1">
      <c r="B183" s="2348">
        <v>4</v>
      </c>
      <c r="C183" s="2569">
        <f t="shared" si="276"/>
        <v>1237.6154963646859</v>
      </c>
      <c r="D183" s="2570">
        <f>D182</f>
        <v>2006</v>
      </c>
      <c r="E183" s="2586">
        <v>1</v>
      </c>
      <c r="F183" s="2572">
        <f t="shared" si="279"/>
        <v>39082</v>
      </c>
      <c r="G183" s="2590">
        <f t="shared" si="277"/>
        <v>1.6963459475231923E-2</v>
      </c>
      <c r="H183" s="2574">
        <f t="shared" si="278"/>
        <v>1237.6154963646859</v>
      </c>
      <c r="J183" s="2575"/>
      <c r="K183" s="2576"/>
      <c r="L183" s="2577">
        <f>(L$157+SUM(L$168:L182))*$G183</f>
        <v>49.163818260063479</v>
      </c>
      <c r="M183" s="2587">
        <f>(M$157+SUM(M$168:M182))*$G183</f>
        <v>110.94487268263316</v>
      </c>
      <c r="N183" s="2588">
        <f>(N$157+SUM(N$168:N182))*$G183</f>
        <v>21.10471238095954</v>
      </c>
      <c r="O183" s="2577">
        <f>(O$157+SUM(O$168:O182))*$G183</f>
        <v>117.34010085802529</v>
      </c>
      <c r="P183" s="2577">
        <f>(P$157+SUM(P$168:P182))*$G183</f>
        <v>72.082591728155066</v>
      </c>
      <c r="Q183" s="2587">
        <f>(Q$157+SUM(Q$168:Q182))*$G183</f>
        <v>56.92677920973091</v>
      </c>
      <c r="R183" s="2588">
        <f>(R$157+SUM(R$168:R182))*$G183</f>
        <v>128.10294504923746</v>
      </c>
      <c r="S183" s="2577">
        <f>(S$157+SUM(S$168:S182))*$G183</f>
        <v>261.80708879308935</v>
      </c>
      <c r="T183" s="2577">
        <f>(T$157+SUM(T$168:T182))*$G183</f>
        <v>68.177908594372127</v>
      </c>
      <c r="U183" s="2587">
        <f>(U$157+SUM(U$168:U182))*$G183</f>
        <v>127.68542210924335</v>
      </c>
      <c r="V183" s="2588">
        <f>(V$157+SUM(V$168:V182))*$G183</f>
        <v>60.958375167050775</v>
      </c>
      <c r="W183" s="2577">
        <f>(W$157+SUM(W$168:W182))*$G183</f>
        <v>33.286963591727428</v>
      </c>
      <c r="X183" s="2577">
        <f>(X$157+SUM(X$168:X182))*$G183</f>
        <v>130.03391794039803</v>
      </c>
      <c r="Y183" s="2581"/>
      <c r="Z183" s="2575"/>
      <c r="AA183" s="2576"/>
      <c r="AB183" s="2576"/>
      <c r="AC183" s="2581"/>
      <c r="AD183" s="2575"/>
      <c r="AE183" s="2576"/>
      <c r="AF183" s="2576"/>
      <c r="AG183" s="2581"/>
      <c r="AH183" s="2575"/>
      <c r="AI183" s="2576"/>
      <c r="AJ183" s="2576"/>
      <c r="AK183" s="2581"/>
    </row>
    <row r="184" spans="2:43" outlineLevel="1">
      <c r="B184" s="2348">
        <v>1</v>
      </c>
      <c r="C184" s="2552">
        <f t="shared" si="276"/>
        <v>1491.7747820098571</v>
      </c>
      <c r="D184" s="2553">
        <f>D183+1</f>
        <v>2007</v>
      </c>
      <c r="E184" s="2582">
        <v>1</v>
      </c>
      <c r="F184" s="2528">
        <f t="shared" si="279"/>
        <v>39172</v>
      </c>
      <c r="G184" s="2589">
        <f t="shared" si="277"/>
        <v>1.77232384582382E-2</v>
      </c>
      <c r="H184" s="2517">
        <f t="shared" si="278"/>
        <v>1491.7747820098571</v>
      </c>
      <c r="J184" s="2563"/>
      <c r="K184" s="2564"/>
      <c r="L184" s="2583">
        <f>(L$157+SUM(L$168:L183))*$G184</f>
        <v>52.237166116082541</v>
      </c>
      <c r="M184" s="2584">
        <f>(M$157+SUM(M$168:M183))*$G184</f>
        <v>117.88030200164631</v>
      </c>
      <c r="N184" s="2585">
        <f>(N$157+SUM(N$168:N183))*$G184</f>
        <v>22.424018424375813</v>
      </c>
      <c r="O184" s="2583">
        <f>(O$157+SUM(O$168:O183))*$G184</f>
        <v>124.67531118464093</v>
      </c>
      <c r="P184" s="2583">
        <f>(P$157+SUM(P$168:P183))*$G184</f>
        <v>76.588646924522493</v>
      </c>
      <c r="Q184" s="2584">
        <f>(Q$157+SUM(Q$168:Q183))*$G184</f>
        <v>60.485408320041813</v>
      </c>
      <c r="R184" s="2585">
        <f>(R$157+SUM(R$168:R183))*$G184</f>
        <v>136.1109665058747</v>
      </c>
      <c r="S184" s="2583">
        <f>(S$157+SUM(S$168:S183))*$G184</f>
        <v>278.17327603218024</v>
      </c>
      <c r="T184" s="2583">
        <f>(T$157+SUM(T$168:T183))*$G184</f>
        <v>72.439872709892938</v>
      </c>
      <c r="U184" s="2584">
        <f>(U$157+SUM(U$168:U183))*$G184</f>
        <v>135.6673432083843</v>
      </c>
      <c r="V184" s="2585">
        <f>(V$157+SUM(V$168:V183))*$G184</f>
        <v>64.769028982322993</v>
      </c>
      <c r="W184" s="2583">
        <f>(W$157+SUM(W$168:W183))*$G184</f>
        <v>35.367811292507454</v>
      </c>
      <c r="X184" s="2583">
        <f>(X$157+SUM(X$168:X183))*$G184</f>
        <v>138.16264913043489</v>
      </c>
      <c r="Y184" s="2584">
        <f>(Y$157+SUM(Y$168:Y183))*$G184</f>
        <v>176.79298117694955</v>
      </c>
      <c r="Z184" s="2563"/>
      <c r="AA184" s="2564"/>
      <c r="AB184" s="2564"/>
      <c r="AC184" s="2568"/>
      <c r="AD184" s="2563"/>
      <c r="AE184" s="2564"/>
      <c r="AF184" s="2564"/>
      <c r="AG184" s="2568"/>
      <c r="AH184" s="2563"/>
      <c r="AI184" s="2564"/>
      <c r="AJ184" s="2564"/>
      <c r="AK184" s="2568"/>
    </row>
    <row r="185" spans="2:43" outlineLevel="1">
      <c r="B185" s="2348">
        <v>2</v>
      </c>
      <c r="C185" s="2552">
        <f t="shared" si="276"/>
        <v>1631.9711234283907</v>
      </c>
      <c r="D185" s="2562">
        <f>D184</f>
        <v>2007</v>
      </c>
      <c r="E185" s="2582">
        <v>1</v>
      </c>
      <c r="F185" s="2528">
        <f t="shared" si="279"/>
        <v>39263</v>
      </c>
      <c r="G185" s="2589">
        <f t="shared" si="277"/>
        <v>1.77232384582382E-2</v>
      </c>
      <c r="H185" s="2517">
        <f t="shared" si="278"/>
        <v>1631.9711234283907</v>
      </c>
      <c r="J185" s="2563"/>
      <c r="K185" s="2564"/>
      <c r="L185" s="2583">
        <f>(L$157+SUM(L$168:L184))*$G185</f>
        <v>53.162977867540469</v>
      </c>
      <c r="M185" s="2584">
        <f>(M$157+SUM(M$168:M184))*$G185</f>
        <v>119.96952270355064</v>
      </c>
      <c r="N185" s="2585">
        <f>(N$157+SUM(N$168:N184))*$G185</f>
        <v>22.821444650102954</v>
      </c>
      <c r="O185" s="2583">
        <f>(O$157+SUM(O$168:O184))*$G185</f>
        <v>126.88496145462138</v>
      </c>
      <c r="P185" s="2583">
        <f>(P$157+SUM(P$168:P184))*$G185</f>
        <v>77.946045777159611</v>
      </c>
      <c r="Q185" s="2584">
        <f>(Q$157+SUM(Q$168:Q184))*$G185</f>
        <v>61.557405634941823</v>
      </c>
      <c r="R185" s="2591">
        <f>(R$157+SUM(R$168:R184))*$G185</f>
        <v>138.5232936220396</v>
      </c>
      <c r="S185" s="2592">
        <f>(S$157+SUM(S$168:S184))*$G185</f>
        <v>283.10340733600788</v>
      </c>
      <c r="T185" s="2592">
        <f>(T$157+SUM(T$168:T184))*$G185</f>
        <v>73.723741847814793</v>
      </c>
      <c r="U185" s="2593">
        <f>(U$157+SUM(U$168:U184))*$G185</f>
        <v>138.07180788306215</v>
      </c>
      <c r="V185" s="2591">
        <f>(V$157+SUM(V$168:V184))*$G185</f>
        <v>65.916945927685234</v>
      </c>
      <c r="W185" s="2592">
        <f>(W$157+SUM(W$168:W184))*$G185</f>
        <v>35.99464344579053</v>
      </c>
      <c r="X185" s="2592">
        <f>(X$157+SUM(X$168:X184))*$G185</f>
        <v>140.61133870699547</v>
      </c>
      <c r="Y185" s="2593">
        <f>(Y$157+SUM(Y$168:Y184))*$G185</f>
        <v>179.92632534009147</v>
      </c>
      <c r="Z185" s="2585">
        <f>(Z$157+SUM(Z$168:Z184))*$G185</f>
        <v>113.75726123098704</v>
      </c>
      <c r="AA185" s="2564"/>
      <c r="AB185" s="2564"/>
      <c r="AC185" s="2568"/>
      <c r="AD185" s="2563"/>
      <c r="AE185" s="2564"/>
      <c r="AF185" s="2564"/>
      <c r="AG185" s="2568"/>
      <c r="AH185" s="2563"/>
      <c r="AI185" s="2564"/>
      <c r="AJ185" s="2564"/>
      <c r="AK185" s="2568"/>
    </row>
    <row r="186" spans="2:43" outlineLevel="1">
      <c r="B186" s="2348">
        <v>3</v>
      </c>
      <c r="C186" s="2594">
        <f t="shared" si="276"/>
        <v>1847.33014009508</v>
      </c>
      <c r="D186" s="2562">
        <f>D185</f>
        <v>2007</v>
      </c>
      <c r="E186" s="2582">
        <v>1</v>
      </c>
      <c r="F186" s="2528">
        <f t="shared" si="279"/>
        <v>39355</v>
      </c>
      <c r="G186" s="2595">
        <f t="shared" si="277"/>
        <v>1.77232384582382E-2</v>
      </c>
      <c r="H186" s="2596">
        <f t="shared" si="278"/>
        <v>1847.33014009508</v>
      </c>
      <c r="J186" s="2563"/>
      <c r="K186" s="2564"/>
      <c r="L186" s="2592">
        <f>(L$157+SUM(L$168:L185))*$G186</f>
        <v>54.105198001436932</v>
      </c>
      <c r="M186" s="2593">
        <f>(M$157+SUM(M$168:M185))*$G186</f>
        <v>122.09577116214666</v>
      </c>
      <c r="N186" s="2591">
        <f>(N$157+SUM(N$168:N185))*$G186</f>
        <v>23.225914555598212</v>
      </c>
      <c r="O186" s="2592">
        <f>(O$157+SUM(O$168:O185))*$G186</f>
        <v>129.13377388324599</v>
      </c>
      <c r="P186" s="2592">
        <f>(P$157+SUM(P$168:P185))*$G186</f>
        <v>79.327502133344964</v>
      </c>
      <c r="Q186" s="2593">
        <f>(Q$157+SUM(Q$168:Q185))*$G186</f>
        <v>62.648402213880395</v>
      </c>
      <c r="R186" s="2591">
        <f>(R$157+SUM(R$168:R185))*$G186</f>
        <v>140.97837498692354</v>
      </c>
      <c r="S186" s="2592">
        <f>(S$157+SUM(S$168:S185))*$G186</f>
        <v>288.12091653256368</v>
      </c>
      <c r="T186" s="2592">
        <f>(T$157+SUM(T$168:T185))*$G186</f>
        <v>75.030365304617206</v>
      </c>
      <c r="U186" s="2593">
        <f>(U$157+SUM(U$168:U185))*$G186</f>
        <v>140.5188874585337</v>
      </c>
      <c r="V186" s="2591">
        <f>(V$157+SUM(V$168:V185))*$G186</f>
        <v>67.085207678800401</v>
      </c>
      <c r="W186" s="2592">
        <f>(W$157+SUM(W$168:W185))*$G186</f>
        <v>36.632585094799538</v>
      </c>
      <c r="X186" s="2592">
        <f>(X$157+SUM(X$168:X185))*$G186</f>
        <v>143.10342699283166</v>
      </c>
      <c r="Y186" s="2593">
        <f>(Y$157+SUM(Y$168:Y185))*$G186</f>
        <v>183.11520250900844</v>
      </c>
      <c r="Z186" s="2585">
        <f>(Z$157+SUM(Z$168:Z185))*$G186</f>
        <v>115.77340829813991</v>
      </c>
      <c r="AA186" s="2583">
        <f>(AA$157+SUM(AA$168:AA185))*$G186</f>
        <v>186.43520328920863</v>
      </c>
      <c r="AB186" s="2564"/>
      <c r="AC186" s="2568"/>
      <c r="AD186" s="2563"/>
      <c r="AE186" s="2564"/>
      <c r="AF186" s="2564"/>
      <c r="AG186" s="2568"/>
      <c r="AH186" s="2563"/>
      <c r="AI186" s="2564"/>
      <c r="AJ186" s="2564"/>
      <c r="AK186" s="2568"/>
    </row>
    <row r="187" spans="2:43" outlineLevel="1">
      <c r="B187" s="2348">
        <v>4</v>
      </c>
      <c r="C187" s="2569">
        <f t="shared" si="276"/>
        <v>2082.6589178084646</v>
      </c>
      <c r="D187" s="2570">
        <f>D186</f>
        <v>2007</v>
      </c>
      <c r="E187" s="2586">
        <v>1</v>
      </c>
      <c r="F187" s="2572">
        <f t="shared" si="279"/>
        <v>39447</v>
      </c>
      <c r="G187" s="2590">
        <f t="shared" si="277"/>
        <v>1.77232384582382E-2</v>
      </c>
      <c r="H187" s="2574">
        <f t="shared" si="278"/>
        <v>2082.6589178084646</v>
      </c>
      <c r="J187" s="2575"/>
      <c r="K187" s="2576"/>
      <c r="L187" s="2577">
        <f>(L$157+SUM(L$168:L186))*$G187</f>
        <v>55.064117327446588</v>
      </c>
      <c r="M187" s="2587">
        <f>(M$157+SUM(M$168:M186))*$G187</f>
        <v>124.25970362919588</v>
      </c>
      <c r="N187" s="2588">
        <f>(N$157+SUM(N$168:N186))*$G187</f>
        <v>23.637552977677746</v>
      </c>
      <c r="O187" s="2577">
        <f>(O$157+SUM(O$168:O186))*$G187</f>
        <v>131.42244255079098</v>
      </c>
      <c r="P187" s="2577">
        <f>(P$157+SUM(P$168:P186))*$G187</f>
        <v>80.733442369950637</v>
      </c>
      <c r="Q187" s="2587">
        <f>(Q$157+SUM(Q$168:Q186))*$G187</f>
        <v>63.758734785344615</v>
      </c>
      <c r="R187" s="2588">
        <f>(R$157+SUM(R$168:R186))*$G187</f>
        <v>143.47696834427171</v>
      </c>
      <c r="S187" s="2577">
        <f>(S$157+SUM(S$168:S186))*$G187</f>
        <v>293.22735224107646</v>
      </c>
      <c r="T187" s="2577">
        <f>(T$157+SUM(T$168:T186))*$G187</f>
        <v>76.36014636051965</v>
      </c>
      <c r="U187" s="2587">
        <f>(U$157+SUM(U$168:U186))*$G187</f>
        <v>143.00933720884763</v>
      </c>
      <c r="V187" s="2588">
        <f>(V$157+SUM(V$168:V186))*$G187</f>
        <v>68.274174811512211</v>
      </c>
      <c r="W187" s="2577">
        <f>(W$157+SUM(W$168:W186))*$G187</f>
        <v>37.281833135776374</v>
      </c>
      <c r="X187" s="2577">
        <f>(X$157+SUM(X$168:X186))*$G187</f>
        <v>145.63968315361669</v>
      </c>
      <c r="Y187" s="2587">
        <f>(Y$157+SUM(Y$168:Y186))*$G187</f>
        <v>186.36059690840418</v>
      </c>
      <c r="Z187" s="2588">
        <f>(Z$157+SUM(Z$168:Z186))*$G187</f>
        <v>117.82528802053083</v>
      </c>
      <c r="AA187" s="2577">
        <f>(AA$157+SUM(AA$168:AA186))*$G187</f>
        <v>189.73943885411339</v>
      </c>
      <c r="AB187" s="2577">
        <f>(AB$157+SUM(AB$168:AB186))*$G187</f>
        <v>202.58810512938885</v>
      </c>
      <c r="AC187" s="2581"/>
      <c r="AD187" s="2575"/>
      <c r="AE187" s="2576"/>
      <c r="AF187" s="2576"/>
      <c r="AG187" s="2581"/>
      <c r="AH187" s="2575"/>
      <c r="AI187" s="2576"/>
      <c r="AJ187" s="2576"/>
      <c r="AK187" s="2581"/>
    </row>
    <row r="188" spans="2:43" outlineLevel="1">
      <c r="B188" s="2348">
        <v>1</v>
      </c>
      <c r="C188" s="2552">
        <f t="shared" si="276"/>
        <v>2375.7824024856941</v>
      </c>
      <c r="D188" s="2553">
        <f>D187+1</f>
        <v>2008</v>
      </c>
      <c r="E188" s="2582">
        <v>1</v>
      </c>
      <c r="F188" s="2528">
        <f t="shared" si="279"/>
        <v>39538</v>
      </c>
      <c r="G188" s="2589">
        <f t="shared" si="277"/>
        <v>1.7912917571581533E-2</v>
      </c>
      <c r="H188" s="2517">
        <f t="shared" si="278"/>
        <v>2375.7824024856941</v>
      </c>
      <c r="J188" s="2563"/>
      <c r="K188" s="2564"/>
      <c r="L188" s="2583">
        <f>(L$157+SUM(L$168:L187))*$G188</f>
        <v>56.63978808809545</v>
      </c>
      <c r="M188" s="2584">
        <f>(M$157+SUM(M$168:M187))*$G188</f>
        <v>127.81541996931459</v>
      </c>
      <c r="N188" s="2585">
        <f>(N$157+SUM(N$168:N187))*$G188</f>
        <v>24.31394629673764</v>
      </c>
      <c r="O188" s="2583">
        <f>(O$157+SUM(O$168:O187))*$G188</f>
        <v>135.18312210166644</v>
      </c>
      <c r="P188" s="2583">
        <f>(P$157+SUM(P$168:P187))*$G188</f>
        <v>83.043646014774225</v>
      </c>
      <c r="Q188" s="2584">
        <f>(Q$157+SUM(Q$168:Q187))*$G188</f>
        <v>65.58320376829073</v>
      </c>
      <c r="R188" s="2585">
        <f>(R$157+SUM(R$168:R187))*$G188</f>
        <v>147.58259056830991</v>
      </c>
      <c r="S188" s="2583">
        <f>(S$157+SUM(S$168:S187))*$G188</f>
        <v>301.61811173334655</v>
      </c>
      <c r="T188" s="2583">
        <f>(T$157+SUM(T$168:T187))*$G188</f>
        <v>78.545207262951763</v>
      </c>
      <c r="U188" s="2584">
        <f>(U$157+SUM(U$168:U187))*$G188</f>
        <v>147.10157807416039</v>
      </c>
      <c r="V188" s="2585">
        <f>(V$157+SUM(V$168:V187))*$G188</f>
        <v>70.227854016396279</v>
      </c>
      <c r="W188" s="2583">
        <f>(W$157+SUM(W$168:W187))*$G188</f>
        <v>38.348660267973976</v>
      </c>
      <c r="X188" s="2583">
        <f>(X$157+SUM(X$168:X187))*$G188</f>
        <v>149.80719189566517</v>
      </c>
      <c r="Y188" s="2584">
        <f>(Y$157+SUM(Y$168:Y187))*$G188</f>
        <v>191.69334276428432</v>
      </c>
      <c r="Z188" s="2585">
        <f>(Z$157+SUM(Z$168:Z187))*$G188</f>
        <v>121.19688226756038</v>
      </c>
      <c r="AA188" s="2583">
        <f>(AA$157+SUM(AA$168:AA187))*$G188</f>
        <v>195.16887094990997</v>
      </c>
      <c r="AB188" s="2583">
        <f>(AB$157+SUM(AB$168:AB187))*$G188</f>
        <v>208.38520438750271</v>
      </c>
      <c r="AC188" s="2584">
        <f>(AC$157+SUM(AC$168:AC187))*$G188</f>
        <v>233.52778205875327</v>
      </c>
      <c r="AD188" s="2563"/>
      <c r="AE188" s="2564"/>
      <c r="AF188" s="2564"/>
      <c r="AG188" s="2568"/>
      <c r="AH188" s="2563"/>
      <c r="AI188" s="2564"/>
      <c r="AJ188" s="2564"/>
      <c r="AK188" s="2568"/>
    </row>
    <row r="189" spans="2:43" outlineLevel="1">
      <c r="B189" s="2348">
        <v>2</v>
      </c>
      <c r="C189" s="2552">
        <f t="shared" si="276"/>
        <v>2750.9028900187068</v>
      </c>
      <c r="D189" s="2562">
        <f>D188</f>
        <v>2008</v>
      </c>
      <c r="E189" s="2582">
        <v>1</v>
      </c>
      <c r="F189" s="2528">
        <f t="shared" si="279"/>
        <v>39629</v>
      </c>
      <c r="G189" s="2589">
        <f t="shared" si="277"/>
        <v>1.7912917571581533E-2</v>
      </c>
      <c r="H189" s="2517">
        <f t="shared" si="278"/>
        <v>2750.9028900187068</v>
      </c>
      <c r="J189" s="2563"/>
      <c r="K189" s="2564"/>
      <c r="L189" s="2583">
        <f>(L$157+SUM(L$168:L188))*$G189</f>
        <v>57.654371943389343</v>
      </c>
      <c r="M189" s="2584">
        <f>(M$157+SUM(M$168:M188))*$G189</f>
        <v>130.10496705160202</v>
      </c>
      <c r="N189" s="2585">
        <f>(N$157+SUM(N$168:N188))*$G189</f>
        <v>24.749480012590961</v>
      </c>
      <c r="O189" s="2583">
        <f>(O$157+SUM(O$168:O188))*$G189</f>
        <v>137.6046462249426</v>
      </c>
      <c r="P189" s="2583">
        <f>(P$157+SUM(P$168:P188))*$G189</f>
        <v>84.531200000680457</v>
      </c>
      <c r="Q189" s="2584">
        <f>(Q$157+SUM(Q$168:Q188))*$G189</f>
        <v>66.757990291472368</v>
      </c>
      <c r="R189" s="2585">
        <f>(R$157+SUM(R$168:R188))*$G189</f>
        <v>150.22622534816051</v>
      </c>
      <c r="S189" s="2583">
        <f>(S$157+SUM(S$168:S188))*$G189</f>
        <v>307.02097210692204</v>
      </c>
      <c r="T189" s="2583">
        <f>(T$157+SUM(T$168:T188))*$G189</f>
        <v>79.952181086295809</v>
      </c>
      <c r="U189" s="2584">
        <f>(U$157+SUM(U$168:U188))*$G189</f>
        <v>149.73659651685242</v>
      </c>
      <c r="V189" s="2585">
        <f>(V$157+SUM(V$168:V188))*$G189</f>
        <v>71.485839776621035</v>
      </c>
      <c r="W189" s="2583">
        <f>(W$157+SUM(W$168:W188))*$G189</f>
        <v>39.035596658334782</v>
      </c>
      <c r="X189" s="2583">
        <f>(X$157+SUM(X$168:X188))*$G189</f>
        <v>152.49067577572231</v>
      </c>
      <c r="Y189" s="2584">
        <f>(Y$157+SUM(Y$168:Y188))*$G189</f>
        <v>195.12712981224186</v>
      </c>
      <c r="Z189" s="2585">
        <f>(Z$157+SUM(Z$168:Z188))*$G189</f>
        <v>123.36787202955188</v>
      </c>
      <c r="AA189" s="2583">
        <f>(AA$157+SUM(AA$168:AA188))*$G189</f>
        <v>198.66491484777436</v>
      </c>
      <c r="AB189" s="2583">
        <f>(AB$157+SUM(AB$168:AB188))*$G189</f>
        <v>212.1179913768332</v>
      </c>
      <c r="AC189" s="2584">
        <f>(AC$157+SUM(AC$168:AC188))*$G189</f>
        <v>237.71094596944596</v>
      </c>
      <c r="AD189" s="2585">
        <f>(AD$157+SUM(AD$168:AD188))*$G189</f>
        <v>332.56329318927266</v>
      </c>
      <c r="AE189" s="2564"/>
      <c r="AF189" s="2564"/>
      <c r="AG189" s="2568"/>
      <c r="AH189" s="2563"/>
      <c r="AI189" s="2564"/>
      <c r="AJ189" s="2564"/>
      <c r="AK189" s="2568"/>
    </row>
    <row r="190" spans="2:43" outlineLevel="1">
      <c r="B190" s="2348">
        <v>3</v>
      </c>
      <c r="C190" s="2594">
        <f t="shared" si="276"/>
        <v>3089.5359293331207</v>
      </c>
      <c r="D190" s="2562">
        <f>D189</f>
        <v>2008</v>
      </c>
      <c r="E190" s="2582">
        <v>1</v>
      </c>
      <c r="F190" s="2528">
        <f t="shared" si="279"/>
        <v>39721</v>
      </c>
      <c r="G190" s="2595">
        <f t="shared" si="277"/>
        <v>1.7912917571581533E-2</v>
      </c>
      <c r="H190" s="2596">
        <f t="shared" si="278"/>
        <v>3089.5359293331207</v>
      </c>
      <c r="J190" s="2563"/>
      <c r="K190" s="2564"/>
      <c r="L190" s="2583">
        <f>(L$157+SUM(L$168:L189))*$G190</f>
        <v>58.68712995565258</v>
      </c>
      <c r="M190" s="2584">
        <f>(M$157+SUM(M$168:M189))*$G190</f>
        <v>132.43552660205069</v>
      </c>
      <c r="N190" s="2585">
        <f>(N$157+SUM(N$168:N189))*$G190</f>
        <v>25.192815407996008</v>
      </c>
      <c r="O190" s="2583">
        <f>(O$157+SUM(O$168:O189))*$G190</f>
        <v>140.06954691023665</v>
      </c>
      <c r="P190" s="2583">
        <f>(P$157+SUM(P$168:P189))*$G190</f>
        <v>86.045400418519534</v>
      </c>
      <c r="Q190" s="2584">
        <f>(Q$157+SUM(Q$168:Q189))*$G190</f>
        <v>67.95382066880795</v>
      </c>
      <c r="R190" s="2585">
        <f>(R$157+SUM(R$168:R189))*$G190</f>
        <v>152.91721533991193</v>
      </c>
      <c r="S190" s="2583">
        <f>(S$157+SUM(S$168:S189))*$G190</f>
        <v>312.52061347302021</v>
      </c>
      <c r="T190" s="2583">
        <f>(T$157+SUM(T$168:T189))*$G190</f>
        <v>81.384357915762791</v>
      </c>
      <c r="U190" s="2584">
        <f>(U$157+SUM(U$168:U189))*$G190</f>
        <v>152.41881582770793</v>
      </c>
      <c r="V190" s="2585">
        <f>(V$157+SUM(V$168:V189))*$G190</f>
        <v>72.766359732074932</v>
      </c>
      <c r="W190" s="2583">
        <f>(W$157+SUM(W$168:W189))*$G190</f>
        <v>39.734838083633036</v>
      </c>
      <c r="X190" s="2583">
        <f>(X$157+SUM(X$168:X189))*$G190</f>
        <v>155.22222868132758</v>
      </c>
      <c r="Y190" s="2584">
        <f>(Y$157+SUM(Y$168:Y189))*$G190</f>
        <v>198.62242600454786</v>
      </c>
      <c r="Z190" s="2585">
        <f>(Z$157+SUM(Z$168:Z189))*$G190</f>
        <v>125.57775055219867</v>
      </c>
      <c r="AA190" s="2583">
        <f>(AA$157+SUM(AA$168:AA189))*$G190</f>
        <v>202.22358309180777</v>
      </c>
      <c r="AB190" s="2583">
        <f>(AB$157+SUM(AB$168:AB189))*$G190</f>
        <v>215.91764347181584</v>
      </c>
      <c r="AC190" s="2584">
        <f>(AC$157+SUM(AC$168:AC189))*$G190</f>
        <v>241.96904255045933</v>
      </c>
      <c r="AD190" s="2585">
        <f>(AD$157+SUM(AD$168:AD189))*$G190</f>
        <v>338.52047204750579</v>
      </c>
      <c r="AE190" s="2583">
        <f>(AE$157+SUM(AE$168:AE189))*$G190</f>
        <v>289.35634259808313</v>
      </c>
      <c r="AF190" s="2564"/>
      <c r="AG190" s="2568"/>
      <c r="AH190" s="2563"/>
      <c r="AI190" s="2564"/>
      <c r="AJ190" s="2564"/>
      <c r="AK190" s="2568"/>
    </row>
    <row r="191" spans="2:43" outlineLevel="1">
      <c r="B191" s="2348">
        <v>4</v>
      </c>
      <c r="C191" s="2569">
        <f t="shared" si="276"/>
        <v>3556.1171218136496</v>
      </c>
      <c r="D191" s="2570">
        <f>D190</f>
        <v>2008</v>
      </c>
      <c r="E191" s="2586">
        <v>1</v>
      </c>
      <c r="F191" s="2572">
        <f t="shared" si="279"/>
        <v>39813</v>
      </c>
      <c r="G191" s="2590">
        <f t="shared" si="277"/>
        <v>1.7912917571581533E-2</v>
      </c>
      <c r="H191" s="2574">
        <f t="shared" si="278"/>
        <v>3556.1171218136496</v>
      </c>
      <c r="J191" s="2575"/>
      <c r="K191" s="2576"/>
      <c r="L191" s="2577">
        <f>(L$157+SUM(L$168:L190))*$G191</f>
        <v>59.738387677060878</v>
      </c>
      <c r="M191" s="2587">
        <f>(M$157+SUM(M$168:M190))*$G191</f>
        <v>134.80783327362221</v>
      </c>
      <c r="N191" s="2588">
        <f>(N$157+SUM(N$168:N190))*$G191</f>
        <v>25.644092233795512</v>
      </c>
      <c r="O191" s="2577">
        <f>(O$157+SUM(O$168:O190))*$G191</f>
        <v>142.5786011583285</v>
      </c>
      <c r="P191" s="2577">
        <f>(P$157+SUM(P$168:P190))*$G191</f>
        <v>87.586724583630215</v>
      </c>
      <c r="Q191" s="2587">
        <f>(Q$157+SUM(Q$168:Q190))*$G191</f>
        <v>69.171071857122342</v>
      </c>
      <c r="R191" s="2588">
        <f>(R$157+SUM(R$168:R190))*$G191</f>
        <v>155.65640881357157</v>
      </c>
      <c r="S191" s="2577">
        <f>(S$157+SUM(S$168:S190))*$G191</f>
        <v>318.11876946158253</v>
      </c>
      <c r="T191" s="2577">
        <f>(T$157+SUM(T$168:T190))*$G191</f>
        <v>82.842189210723944</v>
      </c>
      <c r="U191" s="2587">
        <f>(U$157+SUM(U$168:U190))*$G191</f>
        <v>155.14908151198776</v>
      </c>
      <c r="V191" s="2588">
        <f>(V$157+SUM(V$168:V190))*$G191</f>
        <v>74.069817535939634</v>
      </c>
      <c r="W191" s="2577">
        <f>(W$157+SUM(W$168:W190))*$G191</f>
        <v>40.446604962945294</v>
      </c>
      <c r="X191" s="2577">
        <f>(X$157+SUM(X$168:X190))*$G191</f>
        <v>158.0027116689734</v>
      </c>
      <c r="Y191" s="2587">
        <f>(Y$157+SUM(Y$168:Y190))*$G191</f>
        <v>202.18033314943489</v>
      </c>
      <c r="Z191" s="2588">
        <f>(Z$157+SUM(Z$168:Z190))*$G191</f>
        <v>127.82721444666481</v>
      </c>
      <c r="AA191" s="2577">
        <f>(AA$157+SUM(AA$168:AA190))*$G191</f>
        <v>205.84599746676122</v>
      </c>
      <c r="AB191" s="2577">
        <f>(AB$157+SUM(AB$168:AB190))*$G191</f>
        <v>219.78535842157663</v>
      </c>
      <c r="AC191" s="2587">
        <f>(AC$157+SUM(AC$168:AC190))*$G191</f>
        <v>246.30341406454019</v>
      </c>
      <c r="AD191" s="2588">
        <f>(AD$157+SUM(AD$168:AD190))*$G191</f>
        <v>344.58436135958561</v>
      </c>
      <c r="AE191" s="2577">
        <f>(AE$157+SUM(AE$168:AE190))*$G191</f>
        <v>294.53955891185689</v>
      </c>
      <c r="AF191" s="2577">
        <f>(AF$157+SUM(AF$168:AF190))*$G191</f>
        <v>411.23859004394569</v>
      </c>
      <c r="AG191" s="2581"/>
      <c r="AH191" s="2575"/>
      <c r="AI191" s="2576"/>
      <c r="AJ191" s="2576"/>
      <c r="AK191" s="2581"/>
    </row>
    <row r="192" spans="2:43" outlineLevel="1">
      <c r="B192" s="2348">
        <v>1</v>
      </c>
      <c r="C192" s="2552">
        <f t="shared" si="276"/>
        <v>3491.9057555412755</v>
      </c>
      <c r="D192" s="2553">
        <f>D191+1</f>
        <v>2009</v>
      </c>
      <c r="E192" s="2582">
        <v>1</v>
      </c>
      <c r="F192" s="2528">
        <f t="shared" si="279"/>
        <v>39903</v>
      </c>
      <c r="G192" s="2589">
        <f t="shared" si="277"/>
        <v>1.6201973760160859E-2</v>
      </c>
      <c r="H192" s="2517">
        <f t="shared" si="278"/>
        <v>3491.9057555412755</v>
      </c>
      <c r="J192" s="2563"/>
      <c r="K192" s="2564"/>
      <c r="L192" s="2583">
        <f>(L$157+SUM(L$168:L191))*$G192</f>
        <v>55.000383749418454</v>
      </c>
      <c r="M192" s="2584">
        <f>(M$157+SUM(M$168:M191))*$G192</f>
        <v>124.11588010307068</v>
      </c>
      <c r="N192" s="2585">
        <f>(N$157+SUM(N$168:N191))*$G192</f>
        <v>23.610193857070424</v>
      </c>
      <c r="O192" s="2583">
        <f>(O$157+SUM(O$168:O191))*$G192</f>
        <v>131.27032856252617</v>
      </c>
      <c r="P192" s="2583">
        <f>(P$157+SUM(P$168:P191))*$G192</f>
        <v>80.639998010928821</v>
      </c>
      <c r="Q192" s="2584">
        <f>(Q$157+SUM(Q$168:Q191))*$G192</f>
        <v>63.684937683063787</v>
      </c>
      <c r="R192" s="2585">
        <f>(R$157+SUM(R$168:R191))*$G192</f>
        <v>143.31090192931708</v>
      </c>
      <c r="S192" s="2583">
        <f>(S$157+SUM(S$168:S191))*$G192</f>
        <v>292.88795829014998</v>
      </c>
      <c r="T192" s="2583">
        <f>(T$157+SUM(T$168:T191))*$G192</f>
        <v>76.271763842420469</v>
      </c>
      <c r="U192" s="2584">
        <f>(U$157+SUM(U$168:U191))*$G192</f>
        <v>142.84381205028473</v>
      </c>
      <c r="V192" s="2585">
        <f>(V$157+SUM(V$168:V191))*$G192</f>
        <v>68.195151344709316</v>
      </c>
      <c r="W192" s="2583">
        <f>(W$157+SUM(W$168:W191))*$G192</f>
        <v>37.238681538392882</v>
      </c>
      <c r="X192" s="2583">
        <f>(X$157+SUM(X$168:X191))*$G192</f>
        <v>145.47111351951054</v>
      </c>
      <c r="Y192" s="2584">
        <f>(Y$157+SUM(Y$168:Y191))*$G192</f>
        <v>186.14489513707093</v>
      </c>
      <c r="Z192" s="2585">
        <f>(Z$157+SUM(Z$168:Z191))*$G192</f>
        <v>117.68891196381337</v>
      </c>
      <c r="AA192" s="2583">
        <f>(AA$157+SUM(AA$168:AA191))*$G192</f>
        <v>189.51982626576819</v>
      </c>
      <c r="AB192" s="2583">
        <f>(AB$157+SUM(AB$168:AB191))*$G192</f>
        <v>202.35362094199951</v>
      </c>
      <c r="AC192" s="2584">
        <f>(AC$157+SUM(AC$168:AC191))*$G192</f>
        <v>226.76846194065413</v>
      </c>
      <c r="AD192" s="2585">
        <f>(AD$157+SUM(AD$168:AD191))*$G192</f>
        <v>317.25449657729928</v>
      </c>
      <c r="AE192" s="2583">
        <f>(AE$157+SUM(AE$168:AE191))*$G192</f>
        <v>271.17887508298412</v>
      </c>
      <c r="AF192" s="2583">
        <f>(AF$157+SUM(AF$168:AF191))*$G192</f>
        <v>378.62220834045121</v>
      </c>
      <c r="AG192" s="2584">
        <f>(AG$157+SUM(AG$168:AG191))*$G192</f>
        <v>217.83335481037122</v>
      </c>
      <c r="AH192" s="2563"/>
      <c r="AI192" s="2564"/>
      <c r="AJ192" s="2564"/>
      <c r="AK192" s="2568"/>
      <c r="AL192" s="2599"/>
      <c r="AM192" s="2599"/>
      <c r="AN192" s="2600"/>
      <c r="AO192" s="2600"/>
      <c r="AP192" s="2600"/>
      <c r="AQ192" s="2600"/>
    </row>
    <row r="193" spans="2:311" outlineLevel="1">
      <c r="B193" s="2348">
        <v>2</v>
      </c>
      <c r="C193" s="2552">
        <f t="shared" si="276"/>
        <v>3548.4815209655094</v>
      </c>
      <c r="D193" s="2562">
        <f>D192</f>
        <v>2009</v>
      </c>
      <c r="E193" s="2582">
        <v>1</v>
      </c>
      <c r="F193" s="2528">
        <f t="shared" si="279"/>
        <v>39994</v>
      </c>
      <c r="G193" s="2589">
        <f t="shared" si="277"/>
        <v>1.6201973760160859E-2</v>
      </c>
      <c r="H193" s="2517">
        <f t="shared" si="278"/>
        <v>3548.4815209655094</v>
      </c>
      <c r="J193" s="2563"/>
      <c r="K193" s="2564"/>
      <c r="L193" s="2583">
        <f>(L$157+SUM(L$168:L192))*$G193</f>
        <v>55.891498523725303</v>
      </c>
      <c r="M193" s="2584">
        <f>(M$157+SUM(M$168:M192))*$G193</f>
        <v>126.1268023357199</v>
      </c>
      <c r="N193" s="2585">
        <f>(N$157+SUM(N$168:N192))*$G193</f>
        <v>23.992725598414992</v>
      </c>
      <c r="O193" s="2583">
        <f>(O$157+SUM(O$168:O192))*$G193</f>
        <v>133.39716698138389</v>
      </c>
      <c r="P193" s="2583">
        <f>(P$157+SUM(P$168:P192))*$G193</f>
        <v>81.946525142721313</v>
      </c>
      <c r="Q193" s="2584">
        <f>(Q$157+SUM(Q$168:Q192))*$G193</f>
        <v>64.716759372322258</v>
      </c>
      <c r="R193" s="2591">
        <f>(R$157+SUM(R$168:R192))*$G193</f>
        <v>145.63282140192086</v>
      </c>
      <c r="S193" s="2592">
        <f>(S$157+SUM(S$168:S192))*$G193</f>
        <v>297.63332130503409</v>
      </c>
      <c r="T193" s="2592">
        <f>(T$157+SUM(T$168:T192))*$G193</f>
        <v>77.507516958836561</v>
      </c>
      <c r="U193" s="2593">
        <f>(U$157+SUM(U$168:U192))*$G193</f>
        <v>145.15816374492479</v>
      </c>
      <c r="V193" s="2591">
        <f>(V$157+SUM(V$168:V192))*$G193</f>
        <v>69.300047397366498</v>
      </c>
      <c r="W193" s="2592">
        <f>(W$157+SUM(W$168:W192))*$G193</f>
        <v>37.842021679540913</v>
      </c>
      <c r="X193" s="2592">
        <f>(X$157+SUM(X$168:X192))*$G193</f>
        <v>147.82803268361505</v>
      </c>
      <c r="Y193" s="2593">
        <f>(Y$157+SUM(Y$168:Y192))*$G193</f>
        <v>189.16080984366965</v>
      </c>
      <c r="Z193" s="2591">
        <f>(Z$157+SUM(Z$168:Z192))*$G193</f>
        <v>119.59570462731295</v>
      </c>
      <c r="AA193" s="2592">
        <f>(AA$157+SUM(AA$168:AA192))*$G193</f>
        <v>192.5904215179564</v>
      </c>
      <c r="AB193" s="2592">
        <f>(AB$157+SUM(AB$168:AB192))*$G193</f>
        <v>205.63214899877534</v>
      </c>
      <c r="AC193" s="2593">
        <f>(AC$157+SUM(AC$168:AC192))*$G193</f>
        <v>230.44255861064863</v>
      </c>
      <c r="AD193" s="2591">
        <f>(AD$157+SUM(AD$168:AD192))*$G193</f>
        <v>322.39464560613771</v>
      </c>
      <c r="AE193" s="2592">
        <f>(AE$157+SUM(AE$168:AE192))*$G193</f>
        <v>275.57250810138856</v>
      </c>
      <c r="AF193" s="2592">
        <f>(AF$157+SUM(AF$168:AF192))*$G193</f>
        <v>384.7566354249974</v>
      </c>
      <c r="AG193" s="2593">
        <f>(AG$157+SUM(AG$168:AG192))*$G193</f>
        <v>221.36268510909665</v>
      </c>
      <c r="AH193" s="2563"/>
      <c r="AI193" s="2564"/>
      <c r="AJ193" s="2564"/>
      <c r="AK193" s="2568"/>
      <c r="AL193" s="2599"/>
      <c r="AM193" s="2599"/>
      <c r="AN193" s="2600"/>
      <c r="AO193" s="2600"/>
      <c r="AP193" s="2600"/>
      <c r="AQ193" s="2600"/>
    </row>
    <row r="194" spans="2:311" outlineLevel="1">
      <c r="B194" s="2348">
        <v>3</v>
      </c>
      <c r="C194" s="2594">
        <f t="shared" si="276"/>
        <v>0</v>
      </c>
      <c r="D194" s="2562">
        <f>D193</f>
        <v>2009</v>
      </c>
      <c r="E194" s="2582">
        <v>0</v>
      </c>
      <c r="F194" s="2528">
        <f t="shared" si="279"/>
        <v>40086</v>
      </c>
      <c r="G194" s="2595">
        <f t="shared" si="277"/>
        <v>1.6201973760160859E-2</v>
      </c>
      <c r="H194" s="2596">
        <f t="shared" si="278"/>
        <v>0</v>
      </c>
      <c r="J194" s="2563"/>
      <c r="K194" s="2564"/>
      <c r="L194" s="2564"/>
      <c r="M194" s="2568"/>
      <c r="N194" s="2563"/>
      <c r="O194" s="2564"/>
      <c r="P194" s="2564"/>
      <c r="Q194" s="2568"/>
      <c r="R194" s="2563"/>
      <c r="S194" s="2564"/>
      <c r="T194" s="2564"/>
      <c r="U194" s="2568"/>
      <c r="V194" s="2563"/>
      <c r="W194" s="2564"/>
      <c r="X194" s="2564"/>
      <c r="Y194" s="2568"/>
      <c r="Z194" s="2563"/>
      <c r="AA194" s="2564"/>
      <c r="AB194" s="2564"/>
      <c r="AC194" s="2568"/>
      <c r="AD194" s="2563"/>
      <c r="AE194" s="2564"/>
      <c r="AF194" s="2564"/>
      <c r="AG194" s="2568"/>
      <c r="AH194" s="2563"/>
      <c r="AI194" s="2564"/>
      <c r="AJ194" s="2564"/>
      <c r="AK194" s="2568"/>
    </row>
    <row r="195" spans="2:311" outlineLevel="1">
      <c r="B195" s="2348">
        <v>4</v>
      </c>
      <c r="C195" s="2569">
        <f t="shared" si="276"/>
        <v>0</v>
      </c>
      <c r="D195" s="2570">
        <f>D194</f>
        <v>2009</v>
      </c>
      <c r="E195" s="2586">
        <v>0</v>
      </c>
      <c r="F195" s="2572">
        <f t="shared" si="279"/>
        <v>40178</v>
      </c>
      <c r="G195" s="2590">
        <f t="shared" si="277"/>
        <v>1.6201973760160859E-2</v>
      </c>
      <c r="H195" s="2574">
        <f t="shared" si="278"/>
        <v>0</v>
      </c>
      <c r="J195" s="2575"/>
      <c r="K195" s="2576"/>
      <c r="L195" s="2576"/>
      <c r="M195" s="2581"/>
      <c r="N195" s="2575"/>
      <c r="O195" s="2576"/>
      <c r="P195" s="2576"/>
      <c r="Q195" s="2581"/>
      <c r="R195" s="2575"/>
      <c r="S195" s="2576"/>
      <c r="T195" s="2576"/>
      <c r="U195" s="2581"/>
      <c r="V195" s="2575"/>
      <c r="W195" s="2576"/>
      <c r="X195" s="2576"/>
      <c r="Y195" s="2581"/>
      <c r="Z195" s="2575"/>
      <c r="AA195" s="2576"/>
      <c r="AB195" s="2576"/>
      <c r="AC195" s="2581"/>
      <c r="AD195" s="2575"/>
      <c r="AE195" s="2576"/>
      <c r="AF195" s="2576"/>
      <c r="AG195" s="2581"/>
      <c r="AH195" s="2575"/>
      <c r="AI195" s="2576"/>
      <c r="AJ195" s="2576"/>
      <c r="AK195" s="2581"/>
    </row>
    <row r="196" spans="2:311" s="2367" customFormat="1" ht="17.25" customHeight="1">
      <c r="B196" s="2368" t="s">
        <v>3984</v>
      </c>
      <c r="H196" s="2369"/>
      <c r="I196" s="2369"/>
      <c r="J196" s="2369"/>
      <c r="K196" s="2369"/>
      <c r="L196" s="2370"/>
      <c r="M196" s="2369"/>
      <c r="N196" s="2369"/>
      <c r="O196" s="2371"/>
      <c r="P196" s="2369"/>
      <c r="Q196" s="2369"/>
      <c r="R196" s="2369"/>
      <c r="S196" s="2369"/>
      <c r="T196" s="2369"/>
      <c r="U196" s="2369"/>
      <c r="V196" s="2369"/>
      <c r="W196" s="2369"/>
      <c r="X196" s="2369"/>
      <c r="Y196" s="2369"/>
      <c r="Z196" s="2369"/>
      <c r="AA196" s="2369"/>
      <c r="AB196" s="2369"/>
      <c r="AC196" s="2369"/>
      <c r="AD196" s="2369"/>
      <c r="AE196" s="2369"/>
      <c r="AF196" s="2369"/>
      <c r="AG196" s="2369"/>
      <c r="AH196" s="2369"/>
      <c r="AI196" s="2369"/>
      <c r="AJ196" s="2369"/>
      <c r="AK196" s="2369"/>
      <c r="AL196" s="2369"/>
      <c r="AM196" s="2369"/>
      <c r="AN196" s="2369"/>
      <c r="AO196" s="2369"/>
      <c r="AP196" s="2369"/>
      <c r="AQ196" s="2369"/>
      <c r="AR196" s="2369"/>
      <c r="AS196" s="2369"/>
      <c r="AT196" s="2369"/>
      <c r="AU196" s="2369"/>
      <c r="AV196" s="2369"/>
      <c r="AW196" s="2369"/>
      <c r="AX196" s="2369"/>
      <c r="AY196" s="2369"/>
      <c r="AZ196" s="2369"/>
      <c r="BA196" s="2369"/>
      <c r="BB196" s="2369"/>
      <c r="BC196" s="2369"/>
      <c r="BD196" s="2369"/>
      <c r="BE196" s="2369"/>
      <c r="BF196" s="2369"/>
      <c r="BG196" s="2369"/>
      <c r="BH196" s="2369"/>
      <c r="BI196" s="2369"/>
      <c r="BJ196" s="2369"/>
      <c r="BK196" s="2369"/>
      <c r="BL196" s="2369"/>
      <c r="BM196" s="2369"/>
      <c r="BN196" s="2369"/>
      <c r="BO196" s="2369"/>
      <c r="BP196" s="2369"/>
      <c r="BQ196" s="2369"/>
      <c r="BR196" s="2369"/>
      <c r="BS196" s="2369"/>
      <c r="BT196" s="2369"/>
      <c r="BU196" s="2369"/>
      <c r="BV196" s="2369"/>
      <c r="BW196" s="2369"/>
      <c r="BX196" s="2369"/>
      <c r="BY196" s="2369"/>
      <c r="BZ196" s="2369"/>
      <c r="CA196" s="2369"/>
      <c r="CB196" s="2369"/>
      <c r="CC196" s="2369"/>
      <c r="CD196" s="2369"/>
      <c r="CE196" s="2369"/>
      <c r="CF196" s="2369"/>
      <c r="CG196" s="2369"/>
      <c r="CH196" s="2369"/>
      <c r="CI196" s="2369"/>
      <c r="CJ196" s="2369"/>
      <c r="CK196" s="2369"/>
      <c r="CL196" s="2369"/>
      <c r="CM196" s="2369"/>
      <c r="CN196" s="2369"/>
      <c r="CO196" s="2369"/>
      <c r="CP196" s="2369"/>
      <c r="CQ196" s="2369"/>
      <c r="CR196" s="2369"/>
      <c r="CS196" s="2369"/>
      <c r="CT196" s="2369"/>
      <c r="CU196" s="2369"/>
      <c r="CV196" s="2369"/>
      <c r="CW196" s="2369"/>
      <c r="CX196" s="2369"/>
      <c r="CY196" s="2369"/>
      <c r="CZ196" s="2369"/>
      <c r="DA196" s="2369"/>
      <c r="DB196" s="2369"/>
      <c r="DC196" s="2369"/>
      <c r="DD196" s="2369"/>
      <c r="DE196" s="2369"/>
      <c r="DF196" s="2369"/>
      <c r="DG196" s="2369"/>
      <c r="DH196" s="2369"/>
      <c r="DI196" s="2369"/>
      <c r="DJ196" s="2369"/>
      <c r="DK196" s="2369"/>
      <c r="DL196" s="2369"/>
      <c r="DM196" s="2369"/>
      <c r="DN196" s="2369"/>
      <c r="DO196" s="2369"/>
      <c r="DP196" s="2369"/>
      <c r="DQ196" s="2369"/>
      <c r="DR196" s="2369"/>
      <c r="DS196" s="2369"/>
      <c r="DT196" s="2369"/>
      <c r="DU196" s="2369"/>
      <c r="DV196" s="2369"/>
      <c r="DW196" s="2369"/>
      <c r="DX196" s="2369"/>
      <c r="DY196" s="2369"/>
      <c r="DZ196" s="2369"/>
      <c r="EA196" s="2369"/>
      <c r="EB196" s="2369"/>
      <c r="EC196" s="2369"/>
      <c r="ED196" s="2369"/>
      <c r="EE196" s="2369"/>
      <c r="EF196" s="2369"/>
      <c r="EG196" s="2369"/>
      <c r="EH196" s="2369"/>
      <c r="EI196" s="2369"/>
      <c r="EJ196" s="2369"/>
      <c r="EK196" s="2369"/>
      <c r="EL196" s="2369"/>
      <c r="EM196" s="2369"/>
      <c r="EN196" s="2369"/>
      <c r="EO196" s="2369"/>
      <c r="EP196" s="2369"/>
      <c r="EQ196" s="2369"/>
      <c r="ER196" s="2369"/>
      <c r="ES196" s="2369"/>
      <c r="ET196" s="2369"/>
      <c r="EU196" s="2369"/>
      <c r="EV196" s="2369"/>
      <c r="EW196" s="2369"/>
      <c r="EX196" s="2369"/>
      <c r="EY196" s="2369"/>
      <c r="EZ196" s="2369"/>
      <c r="FA196" s="2369"/>
      <c r="FB196" s="2369"/>
      <c r="FC196" s="2369"/>
      <c r="FD196" s="2369"/>
      <c r="FE196" s="2369"/>
      <c r="FF196" s="2369"/>
      <c r="FG196" s="2369"/>
      <c r="FH196" s="2369"/>
      <c r="FI196" s="2369"/>
      <c r="FJ196" s="2369"/>
      <c r="FK196" s="2369"/>
      <c r="FL196" s="2369"/>
      <c r="FM196" s="2369"/>
      <c r="FN196" s="2369"/>
      <c r="FO196" s="2369"/>
      <c r="FP196" s="2369"/>
      <c r="FQ196" s="2369"/>
      <c r="FR196" s="2369"/>
      <c r="FS196" s="2369"/>
      <c r="FT196" s="2369"/>
      <c r="FU196" s="2369"/>
      <c r="FV196" s="2369"/>
      <c r="FW196" s="2369"/>
      <c r="FX196" s="2369"/>
      <c r="FY196" s="2369"/>
      <c r="FZ196" s="2369"/>
      <c r="GA196" s="2369"/>
      <c r="GB196" s="2369"/>
      <c r="GC196" s="2369"/>
      <c r="GD196" s="2369"/>
      <c r="GE196" s="2369"/>
      <c r="GF196" s="2369"/>
      <c r="GG196" s="2369"/>
      <c r="GH196" s="2369"/>
      <c r="GI196" s="2369"/>
      <c r="GJ196" s="2369"/>
      <c r="GK196" s="2369"/>
      <c r="GL196" s="2369"/>
      <c r="GM196" s="2369"/>
      <c r="GN196" s="2369"/>
      <c r="GO196" s="2369"/>
      <c r="GP196" s="2369"/>
      <c r="GQ196" s="2369"/>
      <c r="GR196" s="2369"/>
      <c r="GS196" s="2369"/>
      <c r="GT196" s="2369"/>
      <c r="GU196" s="2369"/>
      <c r="GV196" s="2369"/>
      <c r="GW196" s="2369"/>
      <c r="GX196" s="2369"/>
      <c r="GY196" s="2369"/>
      <c r="GZ196" s="2369"/>
      <c r="HA196" s="2369"/>
      <c r="HB196" s="2369"/>
      <c r="HC196" s="2369"/>
      <c r="HD196" s="2369"/>
      <c r="HE196" s="2369"/>
      <c r="HF196" s="2369"/>
      <c r="HG196" s="2369"/>
      <c r="HH196" s="2369"/>
      <c r="HI196" s="2369"/>
      <c r="HJ196" s="2369"/>
      <c r="HK196" s="2369"/>
      <c r="HL196" s="2369"/>
      <c r="HM196" s="2369"/>
      <c r="HN196" s="2369"/>
      <c r="HO196" s="2369"/>
      <c r="HP196" s="2369"/>
      <c r="HQ196" s="2369"/>
      <c r="HR196" s="2369"/>
      <c r="HS196" s="2369"/>
      <c r="HT196" s="2369"/>
      <c r="HU196" s="2369"/>
      <c r="HV196" s="2369"/>
      <c r="HW196" s="2369"/>
      <c r="HX196" s="2369"/>
      <c r="HY196" s="2369"/>
      <c r="HZ196" s="2369"/>
      <c r="IA196" s="2369"/>
      <c r="IE196" s="2368"/>
      <c r="IQ196" s="2368"/>
      <c r="JC196" s="2368"/>
      <c r="JO196" s="2368"/>
      <c r="KA196" s="2368"/>
      <c r="KM196" s="2368"/>
      <c r="KY196" s="2368"/>
    </row>
    <row r="197" spans="2:311" ht="15.75" customHeight="1">
      <c r="C197" s="2351" t="s">
        <v>11</v>
      </c>
      <c r="D197" s="2352"/>
      <c r="E197" s="2352"/>
      <c r="F197" s="2352"/>
      <c r="G197" s="2352"/>
      <c r="H197" s="766" t="s">
        <v>40</v>
      </c>
      <c r="J197" s="2353">
        <f t="shared" ref="J197:AO197" si="280">J10</f>
        <v>2003</v>
      </c>
      <c r="K197" s="2353">
        <f t="shared" si="280"/>
        <v>2003</v>
      </c>
      <c r="L197" s="2353">
        <f t="shared" si="280"/>
        <v>2003</v>
      </c>
      <c r="M197" s="2353">
        <f t="shared" si="280"/>
        <v>2003</v>
      </c>
      <c r="N197" s="2353">
        <f t="shared" si="280"/>
        <v>2004</v>
      </c>
      <c r="O197" s="2353">
        <f t="shared" si="280"/>
        <v>2004</v>
      </c>
      <c r="P197" s="2353">
        <f t="shared" si="280"/>
        <v>2004</v>
      </c>
      <c r="Q197" s="2353">
        <f t="shared" si="280"/>
        <v>2004</v>
      </c>
      <c r="R197" s="2353">
        <f t="shared" si="280"/>
        <v>2005</v>
      </c>
      <c r="S197" s="2353">
        <f t="shared" si="280"/>
        <v>2005</v>
      </c>
      <c r="T197" s="2353">
        <f t="shared" si="280"/>
        <v>2005</v>
      </c>
      <c r="U197" s="2353">
        <f t="shared" si="280"/>
        <v>2005</v>
      </c>
      <c r="V197" s="2353">
        <f t="shared" si="280"/>
        <v>2006</v>
      </c>
      <c r="W197" s="2353">
        <f t="shared" si="280"/>
        <v>2006</v>
      </c>
      <c r="X197" s="2353">
        <f t="shared" si="280"/>
        <v>2006</v>
      </c>
      <c r="Y197" s="2353">
        <f t="shared" si="280"/>
        <v>2006</v>
      </c>
      <c r="Z197" s="2353">
        <f t="shared" si="280"/>
        <v>2007</v>
      </c>
      <c r="AA197" s="2353">
        <f t="shared" si="280"/>
        <v>2007</v>
      </c>
      <c r="AB197" s="2353">
        <f t="shared" si="280"/>
        <v>2007</v>
      </c>
      <c r="AC197" s="2353">
        <f t="shared" si="280"/>
        <v>2007</v>
      </c>
      <c r="AD197" s="2353">
        <f t="shared" si="280"/>
        <v>2008</v>
      </c>
      <c r="AE197" s="2353">
        <f t="shared" si="280"/>
        <v>2008</v>
      </c>
      <c r="AF197" s="2353">
        <f t="shared" si="280"/>
        <v>2008</v>
      </c>
      <c r="AG197" s="2353">
        <f t="shared" si="280"/>
        <v>2008</v>
      </c>
      <c r="AH197" s="2353">
        <f t="shared" si="280"/>
        <v>2009</v>
      </c>
      <c r="AI197" s="2353">
        <f t="shared" si="280"/>
        <v>2009</v>
      </c>
      <c r="AJ197" s="2353">
        <f t="shared" si="280"/>
        <v>2009</v>
      </c>
      <c r="AK197" s="2353">
        <f t="shared" si="280"/>
        <v>2009</v>
      </c>
      <c r="AL197" s="2353">
        <f t="shared" si="280"/>
        <v>2010</v>
      </c>
      <c r="AM197" s="2353">
        <f t="shared" si="280"/>
        <v>2010</v>
      </c>
      <c r="AN197" s="2353">
        <f t="shared" si="280"/>
        <v>2010</v>
      </c>
      <c r="AO197" s="2353">
        <f t="shared" si="280"/>
        <v>2010</v>
      </c>
      <c r="AP197" s="2353">
        <f t="shared" ref="AP197:BU197" si="281">AP10</f>
        <v>2011</v>
      </c>
      <c r="AQ197" s="2353">
        <f t="shared" si="281"/>
        <v>2011</v>
      </c>
      <c r="AR197" s="2353">
        <f t="shared" si="281"/>
        <v>2011</v>
      </c>
      <c r="AS197" s="2353">
        <f t="shared" si="281"/>
        <v>2011</v>
      </c>
      <c r="AT197" s="2353">
        <f t="shared" si="281"/>
        <v>2012</v>
      </c>
      <c r="AU197" s="2353">
        <f t="shared" si="281"/>
        <v>2012</v>
      </c>
      <c r="AV197" s="2353">
        <f t="shared" si="281"/>
        <v>2012</v>
      </c>
      <c r="AW197" s="2353">
        <f t="shared" si="281"/>
        <v>2012</v>
      </c>
      <c r="AX197" s="2353">
        <f t="shared" si="281"/>
        <v>2013</v>
      </c>
      <c r="AY197" s="2353">
        <f t="shared" si="281"/>
        <v>2013</v>
      </c>
      <c r="AZ197" s="2353">
        <f t="shared" si="281"/>
        <v>2013</v>
      </c>
      <c r="BA197" s="2353">
        <f t="shared" si="281"/>
        <v>2013</v>
      </c>
      <c r="BB197" s="2353">
        <f t="shared" si="281"/>
        <v>2014</v>
      </c>
      <c r="BC197" s="2353">
        <f t="shared" si="281"/>
        <v>2014</v>
      </c>
      <c r="BD197" s="2353">
        <f t="shared" si="281"/>
        <v>2014</v>
      </c>
      <c r="BE197" s="2353">
        <f t="shared" si="281"/>
        <v>2014</v>
      </c>
      <c r="BF197" s="2353">
        <f t="shared" si="281"/>
        <v>2015</v>
      </c>
      <c r="BG197" s="2353">
        <f t="shared" si="281"/>
        <v>2015</v>
      </c>
      <c r="BH197" s="2353">
        <f t="shared" si="281"/>
        <v>2015</v>
      </c>
      <c r="BI197" s="2353">
        <f t="shared" si="281"/>
        <v>2015</v>
      </c>
      <c r="BJ197" s="2353">
        <f t="shared" si="281"/>
        <v>2016</v>
      </c>
      <c r="BK197" s="2353">
        <f t="shared" si="281"/>
        <v>2016</v>
      </c>
      <c r="BL197" s="2353">
        <f t="shared" si="281"/>
        <v>2016</v>
      </c>
      <c r="BM197" s="2353">
        <f t="shared" si="281"/>
        <v>2016</v>
      </c>
      <c r="BN197" s="2353">
        <f t="shared" si="281"/>
        <v>2017</v>
      </c>
      <c r="BO197" s="2353">
        <f t="shared" si="281"/>
        <v>2017</v>
      </c>
      <c r="BP197" s="2353">
        <f t="shared" si="281"/>
        <v>2017</v>
      </c>
      <c r="BQ197" s="2353">
        <f t="shared" si="281"/>
        <v>2017</v>
      </c>
      <c r="BR197" s="2353">
        <f t="shared" si="281"/>
        <v>2018</v>
      </c>
      <c r="BS197" s="2353">
        <f t="shared" si="281"/>
        <v>2018</v>
      </c>
      <c r="BT197" s="2353">
        <f t="shared" si="281"/>
        <v>2018</v>
      </c>
      <c r="BU197" s="2353">
        <f t="shared" si="281"/>
        <v>2018</v>
      </c>
      <c r="BV197" s="2353">
        <f t="shared" ref="BV197:DA197" si="282">BV10</f>
        <v>2019</v>
      </c>
      <c r="BW197" s="2353">
        <f t="shared" si="282"/>
        <v>2019</v>
      </c>
      <c r="BX197" s="2353">
        <f t="shared" si="282"/>
        <v>2019</v>
      </c>
      <c r="BY197" s="2353">
        <f t="shared" si="282"/>
        <v>2019</v>
      </c>
      <c r="BZ197" s="2353">
        <f t="shared" si="282"/>
        <v>2020</v>
      </c>
      <c r="CA197" s="2353">
        <f t="shared" si="282"/>
        <v>2020</v>
      </c>
      <c r="CB197" s="2353">
        <f t="shared" si="282"/>
        <v>2020</v>
      </c>
      <c r="CC197" s="2353">
        <f t="shared" si="282"/>
        <v>2020</v>
      </c>
      <c r="CD197" s="2353">
        <f t="shared" si="282"/>
        <v>2021</v>
      </c>
      <c r="CE197" s="2353">
        <f t="shared" si="282"/>
        <v>2021</v>
      </c>
      <c r="CF197" s="2353">
        <f t="shared" si="282"/>
        <v>2021</v>
      </c>
      <c r="CG197" s="2353">
        <f t="shared" si="282"/>
        <v>2021</v>
      </c>
      <c r="CH197" s="2353">
        <f t="shared" si="282"/>
        <v>2022</v>
      </c>
      <c r="CI197" s="2353">
        <f t="shared" si="282"/>
        <v>2022</v>
      </c>
      <c r="CJ197" s="2353">
        <f t="shared" si="282"/>
        <v>2022</v>
      </c>
      <c r="CK197" s="2353">
        <f t="shared" si="282"/>
        <v>2022</v>
      </c>
      <c r="CL197" s="2353">
        <f t="shared" si="282"/>
        <v>2023</v>
      </c>
      <c r="CM197" s="2353">
        <f t="shared" si="282"/>
        <v>2023</v>
      </c>
      <c r="CN197" s="2353">
        <f t="shared" si="282"/>
        <v>2023</v>
      </c>
      <c r="CO197" s="2353">
        <f t="shared" si="282"/>
        <v>2023</v>
      </c>
      <c r="CP197" s="2353">
        <f t="shared" si="282"/>
        <v>2024</v>
      </c>
      <c r="CQ197" s="2353">
        <f t="shared" si="282"/>
        <v>2024</v>
      </c>
      <c r="CR197" s="2353">
        <f t="shared" si="282"/>
        <v>2024</v>
      </c>
      <c r="CS197" s="2353">
        <f t="shared" si="282"/>
        <v>2024</v>
      </c>
      <c r="CT197" s="2353">
        <f t="shared" si="282"/>
        <v>2025</v>
      </c>
      <c r="CU197" s="2353">
        <f t="shared" si="282"/>
        <v>2025</v>
      </c>
      <c r="CV197" s="2353">
        <f t="shared" si="282"/>
        <v>2025</v>
      </c>
      <c r="CW197" s="2353">
        <f t="shared" si="282"/>
        <v>2025</v>
      </c>
      <c r="CX197" s="2353">
        <f t="shared" si="282"/>
        <v>2026</v>
      </c>
      <c r="CY197" s="2353">
        <f t="shared" si="282"/>
        <v>2026</v>
      </c>
      <c r="CZ197" s="2353">
        <f t="shared" si="282"/>
        <v>2026</v>
      </c>
      <c r="DA197" s="2353">
        <f t="shared" si="282"/>
        <v>2026</v>
      </c>
      <c r="DB197" s="2353">
        <f t="shared" ref="DB197:EH197" si="283">DB10</f>
        <v>2027</v>
      </c>
      <c r="DC197" s="2353">
        <f t="shared" si="283"/>
        <v>2027</v>
      </c>
      <c r="DD197" s="2353">
        <f t="shared" si="283"/>
        <v>2027</v>
      </c>
      <c r="DE197" s="2353">
        <f t="shared" si="283"/>
        <v>2027</v>
      </c>
      <c r="DF197" s="2353">
        <f t="shared" si="283"/>
        <v>2028</v>
      </c>
      <c r="DG197" s="2353">
        <f t="shared" si="283"/>
        <v>2028</v>
      </c>
      <c r="DH197" s="2353">
        <f t="shared" si="283"/>
        <v>2028</v>
      </c>
      <c r="DI197" s="2353">
        <f t="shared" si="283"/>
        <v>2028</v>
      </c>
      <c r="DJ197" s="2353">
        <f t="shared" si="283"/>
        <v>2029</v>
      </c>
      <c r="DK197" s="2353">
        <f t="shared" si="283"/>
        <v>2029</v>
      </c>
      <c r="DL197" s="2353">
        <f t="shared" si="283"/>
        <v>2029</v>
      </c>
      <c r="DM197" s="2353">
        <f t="shared" si="283"/>
        <v>2029</v>
      </c>
      <c r="DN197" s="2353">
        <f t="shared" si="283"/>
        <v>2030</v>
      </c>
      <c r="DO197" s="2353">
        <f t="shared" si="283"/>
        <v>2030</v>
      </c>
      <c r="DP197" s="2353">
        <f t="shared" si="283"/>
        <v>2030</v>
      </c>
      <c r="DQ197" s="2353">
        <f t="shared" si="283"/>
        <v>2030</v>
      </c>
      <c r="DR197" s="2353">
        <f t="shared" si="283"/>
        <v>2031</v>
      </c>
      <c r="DS197" s="2353">
        <f t="shared" si="283"/>
        <v>2031</v>
      </c>
      <c r="DT197" s="2353">
        <f t="shared" si="283"/>
        <v>2031</v>
      </c>
      <c r="DU197" s="2353">
        <f t="shared" si="283"/>
        <v>2031</v>
      </c>
      <c r="DV197" s="2353">
        <f t="shared" si="283"/>
        <v>2032</v>
      </c>
      <c r="DW197" s="5267">
        <f t="shared" si="283"/>
        <v>2032</v>
      </c>
      <c r="DX197" s="5267">
        <f t="shared" si="283"/>
        <v>2032</v>
      </c>
      <c r="DY197" s="5267">
        <f t="shared" si="283"/>
        <v>2032</v>
      </c>
      <c r="DZ197" s="5267">
        <f t="shared" si="283"/>
        <v>2033</v>
      </c>
      <c r="EA197" s="5267">
        <f t="shared" si="283"/>
        <v>2033</v>
      </c>
      <c r="EB197" s="5267">
        <f t="shared" si="283"/>
        <v>2033</v>
      </c>
      <c r="EC197" s="5267">
        <f t="shared" si="283"/>
        <v>2033</v>
      </c>
      <c r="ED197" s="5267">
        <f t="shared" si="283"/>
        <v>2034</v>
      </c>
      <c r="EE197" s="5267">
        <f t="shared" si="283"/>
        <v>2034</v>
      </c>
      <c r="EF197" s="5267">
        <f t="shared" si="283"/>
        <v>2034</v>
      </c>
      <c r="EG197" s="5267">
        <f t="shared" si="283"/>
        <v>2034</v>
      </c>
      <c r="EH197" s="5267">
        <f t="shared" si="283"/>
        <v>2035</v>
      </c>
      <c r="EI197" s="5267">
        <f t="shared" ref="EI197:GT197" si="284">EI10</f>
        <v>2035</v>
      </c>
      <c r="EJ197" s="5267">
        <f t="shared" si="284"/>
        <v>2035</v>
      </c>
      <c r="EK197" s="5267">
        <f t="shared" si="284"/>
        <v>2035</v>
      </c>
      <c r="EL197" s="5267">
        <f t="shared" si="284"/>
        <v>2036</v>
      </c>
      <c r="EM197" s="5267">
        <f t="shared" si="284"/>
        <v>2036</v>
      </c>
      <c r="EN197" s="5267">
        <f t="shared" si="284"/>
        <v>2036</v>
      </c>
      <c r="EO197" s="5267">
        <f t="shared" si="284"/>
        <v>2036</v>
      </c>
      <c r="EP197" s="5267">
        <f t="shared" si="284"/>
        <v>2037</v>
      </c>
      <c r="EQ197" s="5267">
        <f t="shared" si="284"/>
        <v>2037</v>
      </c>
      <c r="ER197" s="5267">
        <f t="shared" si="284"/>
        <v>2037</v>
      </c>
      <c r="ES197" s="5267">
        <f t="shared" si="284"/>
        <v>2037</v>
      </c>
      <c r="ET197" s="5267">
        <f t="shared" si="284"/>
        <v>2038</v>
      </c>
      <c r="EU197" s="5267">
        <f t="shared" si="284"/>
        <v>2038</v>
      </c>
      <c r="EV197" s="5267">
        <f t="shared" si="284"/>
        <v>2038</v>
      </c>
      <c r="EW197" s="5267">
        <f t="shared" si="284"/>
        <v>2038</v>
      </c>
      <c r="EX197" s="5267">
        <f t="shared" si="284"/>
        <v>2039</v>
      </c>
      <c r="EY197" s="5267">
        <f t="shared" si="284"/>
        <v>2039</v>
      </c>
      <c r="EZ197" s="5267">
        <f t="shared" si="284"/>
        <v>2039</v>
      </c>
      <c r="FA197" s="5267">
        <f t="shared" si="284"/>
        <v>2039</v>
      </c>
      <c r="FB197" s="5267">
        <f t="shared" si="284"/>
        <v>2040</v>
      </c>
      <c r="FC197" s="5267">
        <f t="shared" si="284"/>
        <v>2040</v>
      </c>
      <c r="FD197" s="5267">
        <f t="shared" si="284"/>
        <v>2040</v>
      </c>
      <c r="FE197" s="5267">
        <f t="shared" si="284"/>
        <v>2040</v>
      </c>
      <c r="FF197" s="5267">
        <f t="shared" si="284"/>
        <v>2041</v>
      </c>
      <c r="FG197" s="5267">
        <f t="shared" si="284"/>
        <v>2041</v>
      </c>
      <c r="FH197" s="5267">
        <f t="shared" si="284"/>
        <v>2041</v>
      </c>
      <c r="FI197" s="5267">
        <f t="shared" si="284"/>
        <v>2041</v>
      </c>
      <c r="FJ197" s="5267">
        <f t="shared" si="284"/>
        <v>2042</v>
      </c>
      <c r="FK197" s="5267">
        <f t="shared" si="284"/>
        <v>2042</v>
      </c>
      <c r="FL197" s="5267">
        <f t="shared" si="284"/>
        <v>2042</v>
      </c>
      <c r="FM197" s="5267">
        <f t="shared" si="284"/>
        <v>2042</v>
      </c>
      <c r="FN197" s="5267">
        <f t="shared" si="284"/>
        <v>2043</v>
      </c>
      <c r="FO197" s="5267">
        <f t="shared" si="284"/>
        <v>2043</v>
      </c>
      <c r="FP197" s="5267">
        <f t="shared" si="284"/>
        <v>2043</v>
      </c>
      <c r="FQ197" s="5267">
        <f t="shared" si="284"/>
        <v>2043</v>
      </c>
      <c r="FR197" s="5267">
        <f t="shared" si="284"/>
        <v>2044</v>
      </c>
      <c r="FS197" s="5267">
        <f t="shared" si="284"/>
        <v>2044</v>
      </c>
      <c r="FT197" s="5267">
        <f t="shared" si="284"/>
        <v>2044</v>
      </c>
      <c r="FU197" s="5267">
        <f t="shared" si="284"/>
        <v>2044</v>
      </c>
      <c r="FV197" s="5267">
        <f t="shared" si="284"/>
        <v>2045</v>
      </c>
      <c r="FW197" s="5267">
        <f t="shared" si="284"/>
        <v>2045</v>
      </c>
      <c r="FX197" s="5267">
        <f t="shared" si="284"/>
        <v>2045</v>
      </c>
      <c r="FY197" s="5267">
        <f t="shared" si="284"/>
        <v>2045</v>
      </c>
      <c r="FZ197" s="5267">
        <f t="shared" si="284"/>
        <v>2046</v>
      </c>
      <c r="GA197" s="5267">
        <f t="shared" si="284"/>
        <v>2046</v>
      </c>
      <c r="GB197" s="5267">
        <f t="shared" si="284"/>
        <v>2046</v>
      </c>
      <c r="GC197" s="5267">
        <f t="shared" si="284"/>
        <v>2046</v>
      </c>
      <c r="GD197" s="5267">
        <f t="shared" si="284"/>
        <v>2047</v>
      </c>
      <c r="GE197" s="5267">
        <f t="shared" si="284"/>
        <v>2047</v>
      </c>
      <c r="GF197" s="5267">
        <f t="shared" si="284"/>
        <v>2047</v>
      </c>
      <c r="GG197" s="5267">
        <f t="shared" si="284"/>
        <v>2047</v>
      </c>
      <c r="GH197" s="5267">
        <f t="shared" si="284"/>
        <v>2048</v>
      </c>
      <c r="GI197" s="5267">
        <f t="shared" si="284"/>
        <v>2048</v>
      </c>
      <c r="GJ197" s="5267">
        <f t="shared" si="284"/>
        <v>2048</v>
      </c>
      <c r="GK197" s="5267">
        <f t="shared" si="284"/>
        <v>2048</v>
      </c>
      <c r="GL197" s="5267">
        <f t="shared" si="284"/>
        <v>2049</v>
      </c>
      <c r="GM197" s="5267">
        <f t="shared" si="284"/>
        <v>2049</v>
      </c>
      <c r="GN197" s="5267">
        <f t="shared" si="284"/>
        <v>2049</v>
      </c>
      <c r="GO197" s="5267">
        <f t="shared" si="284"/>
        <v>2049</v>
      </c>
      <c r="GP197" s="5267">
        <f t="shared" si="284"/>
        <v>2050</v>
      </c>
      <c r="GQ197" s="5267">
        <f t="shared" si="284"/>
        <v>2050</v>
      </c>
      <c r="GR197" s="5267">
        <f t="shared" si="284"/>
        <v>2050</v>
      </c>
      <c r="GS197" s="5267">
        <f t="shared" si="284"/>
        <v>2050</v>
      </c>
      <c r="GT197" s="5267">
        <f t="shared" si="284"/>
        <v>2051</v>
      </c>
      <c r="GU197" s="5267">
        <f t="shared" ref="GU197:IA197" si="285">GU10</f>
        <v>2051</v>
      </c>
      <c r="GV197" s="5267">
        <f t="shared" si="285"/>
        <v>2051</v>
      </c>
      <c r="GW197" s="5267">
        <f t="shared" si="285"/>
        <v>2051</v>
      </c>
      <c r="GX197" s="5267">
        <f t="shared" si="285"/>
        <v>2052</v>
      </c>
      <c r="GY197" s="5267">
        <f t="shared" si="285"/>
        <v>2052</v>
      </c>
      <c r="GZ197" s="5267">
        <f t="shared" si="285"/>
        <v>2052</v>
      </c>
      <c r="HA197" s="5267">
        <f t="shared" si="285"/>
        <v>2052</v>
      </c>
      <c r="HB197" s="5267">
        <f t="shared" si="285"/>
        <v>2053</v>
      </c>
      <c r="HC197" s="5267">
        <f t="shared" si="285"/>
        <v>2053</v>
      </c>
      <c r="HD197" s="5267">
        <f t="shared" si="285"/>
        <v>2053</v>
      </c>
      <c r="HE197" s="5267">
        <f t="shared" si="285"/>
        <v>2053</v>
      </c>
      <c r="HF197" s="5267">
        <f t="shared" si="285"/>
        <v>2054</v>
      </c>
      <c r="HG197" s="5267">
        <f t="shared" si="285"/>
        <v>2054</v>
      </c>
      <c r="HH197" s="5267">
        <f t="shared" si="285"/>
        <v>2054</v>
      </c>
      <c r="HI197" s="5267">
        <f t="shared" si="285"/>
        <v>2054</v>
      </c>
      <c r="HJ197" s="5267">
        <f t="shared" si="285"/>
        <v>2055</v>
      </c>
      <c r="HK197" s="5267">
        <f t="shared" si="285"/>
        <v>2055</v>
      </c>
      <c r="HL197" s="5267">
        <f t="shared" si="285"/>
        <v>2055</v>
      </c>
      <c r="HM197" s="5267">
        <f t="shared" si="285"/>
        <v>2055</v>
      </c>
      <c r="HN197" s="5267">
        <f t="shared" si="285"/>
        <v>2056</v>
      </c>
      <c r="HO197" s="5267">
        <f t="shared" si="285"/>
        <v>2056</v>
      </c>
      <c r="HP197" s="5267">
        <f t="shared" si="285"/>
        <v>2056</v>
      </c>
      <c r="HQ197" s="5267">
        <f t="shared" si="285"/>
        <v>2056</v>
      </c>
      <c r="HR197" s="5267">
        <f t="shared" si="285"/>
        <v>2057</v>
      </c>
      <c r="HS197" s="5267">
        <f t="shared" si="285"/>
        <v>2057</v>
      </c>
      <c r="HT197" s="5267">
        <f t="shared" si="285"/>
        <v>2057</v>
      </c>
      <c r="HU197" s="5267">
        <f t="shared" si="285"/>
        <v>2057</v>
      </c>
      <c r="HV197" s="5267">
        <f t="shared" si="285"/>
        <v>2058</v>
      </c>
      <c r="HW197" s="5267">
        <f t="shared" si="285"/>
        <v>2058</v>
      </c>
      <c r="HX197" s="5267">
        <f t="shared" si="285"/>
        <v>2058</v>
      </c>
      <c r="HY197" s="5267">
        <f t="shared" si="285"/>
        <v>2058</v>
      </c>
      <c r="HZ197" s="5267">
        <f t="shared" si="285"/>
        <v>2059</v>
      </c>
      <c r="IA197" s="5267">
        <f t="shared" si="285"/>
        <v>2059</v>
      </c>
    </row>
    <row r="198" spans="2:311" ht="15.75" customHeight="1">
      <c r="C198" s="5265"/>
      <c r="D198" s="5266"/>
      <c r="E198" s="5266"/>
      <c r="F198" s="5266"/>
      <c r="G198" s="5266"/>
      <c r="H198" s="5262"/>
      <c r="J198" s="5287">
        <f t="shared" ref="J198:AO198" si="286">J11</f>
        <v>1</v>
      </c>
      <c r="K198" s="5287">
        <f t="shared" si="286"/>
        <v>2</v>
      </c>
      <c r="L198" s="5287">
        <f t="shared" si="286"/>
        <v>3</v>
      </c>
      <c r="M198" s="5287">
        <f t="shared" si="286"/>
        <v>4</v>
      </c>
      <c r="N198" s="5287">
        <f t="shared" si="286"/>
        <v>1</v>
      </c>
      <c r="O198" s="5287">
        <f t="shared" si="286"/>
        <v>2</v>
      </c>
      <c r="P198" s="5287">
        <f t="shared" si="286"/>
        <v>3</v>
      </c>
      <c r="Q198" s="5287">
        <f t="shared" si="286"/>
        <v>4</v>
      </c>
      <c r="R198" s="5287">
        <f t="shared" si="286"/>
        <v>1</v>
      </c>
      <c r="S198" s="5287">
        <f t="shared" si="286"/>
        <v>2</v>
      </c>
      <c r="T198" s="5287">
        <f t="shared" si="286"/>
        <v>3</v>
      </c>
      <c r="U198" s="5287">
        <f t="shared" si="286"/>
        <v>4</v>
      </c>
      <c r="V198" s="5287">
        <f t="shared" si="286"/>
        <v>1</v>
      </c>
      <c r="W198" s="5287">
        <f t="shared" si="286"/>
        <v>2</v>
      </c>
      <c r="X198" s="5287">
        <f t="shared" si="286"/>
        <v>3</v>
      </c>
      <c r="Y198" s="5287">
        <f t="shared" si="286"/>
        <v>4</v>
      </c>
      <c r="Z198" s="5287">
        <f t="shared" si="286"/>
        <v>1</v>
      </c>
      <c r="AA198" s="5287">
        <f t="shared" si="286"/>
        <v>2</v>
      </c>
      <c r="AB198" s="5287">
        <f t="shared" si="286"/>
        <v>3</v>
      </c>
      <c r="AC198" s="5287">
        <f t="shared" si="286"/>
        <v>4</v>
      </c>
      <c r="AD198" s="5287">
        <f t="shared" si="286"/>
        <v>1</v>
      </c>
      <c r="AE198" s="5287">
        <f t="shared" si="286"/>
        <v>2</v>
      </c>
      <c r="AF198" s="5287">
        <f t="shared" si="286"/>
        <v>3</v>
      </c>
      <c r="AG198" s="5287">
        <f t="shared" si="286"/>
        <v>4</v>
      </c>
      <c r="AH198" s="5287">
        <f t="shared" si="286"/>
        <v>1</v>
      </c>
      <c r="AI198" s="5287">
        <f t="shared" si="286"/>
        <v>2</v>
      </c>
      <c r="AJ198" s="5287">
        <f t="shared" si="286"/>
        <v>3</v>
      </c>
      <c r="AK198" s="5287">
        <f t="shared" si="286"/>
        <v>4</v>
      </c>
      <c r="AL198" s="5287">
        <f t="shared" si="286"/>
        <v>1</v>
      </c>
      <c r="AM198" s="5287">
        <f t="shared" si="286"/>
        <v>2</v>
      </c>
      <c r="AN198" s="5287">
        <f t="shared" si="286"/>
        <v>3</v>
      </c>
      <c r="AO198" s="5287">
        <f t="shared" si="286"/>
        <v>4</v>
      </c>
      <c r="AP198" s="5287">
        <f t="shared" ref="AP198:BU198" si="287">AP11</f>
        <v>1</v>
      </c>
      <c r="AQ198" s="5287">
        <f t="shared" si="287"/>
        <v>2</v>
      </c>
      <c r="AR198" s="5287">
        <f t="shared" si="287"/>
        <v>3</v>
      </c>
      <c r="AS198" s="5287">
        <f t="shared" si="287"/>
        <v>4</v>
      </c>
      <c r="AT198" s="5287">
        <f t="shared" si="287"/>
        <v>1</v>
      </c>
      <c r="AU198" s="5287">
        <f t="shared" si="287"/>
        <v>2</v>
      </c>
      <c r="AV198" s="5287">
        <f t="shared" si="287"/>
        <v>3</v>
      </c>
      <c r="AW198" s="5287">
        <f t="shared" si="287"/>
        <v>4</v>
      </c>
      <c r="AX198" s="5287">
        <f t="shared" si="287"/>
        <v>1</v>
      </c>
      <c r="AY198" s="5287">
        <f t="shared" si="287"/>
        <v>2</v>
      </c>
      <c r="AZ198" s="5287">
        <f t="shared" si="287"/>
        <v>3</v>
      </c>
      <c r="BA198" s="5287">
        <f t="shared" si="287"/>
        <v>4</v>
      </c>
      <c r="BB198" s="5287">
        <f t="shared" si="287"/>
        <v>1</v>
      </c>
      <c r="BC198" s="5287">
        <f t="shared" si="287"/>
        <v>2</v>
      </c>
      <c r="BD198" s="5287">
        <f t="shared" si="287"/>
        <v>3</v>
      </c>
      <c r="BE198" s="5287">
        <f t="shared" si="287"/>
        <v>4</v>
      </c>
      <c r="BF198" s="5287">
        <f t="shared" si="287"/>
        <v>1</v>
      </c>
      <c r="BG198" s="5287">
        <f t="shared" si="287"/>
        <v>2</v>
      </c>
      <c r="BH198" s="5287">
        <f t="shared" si="287"/>
        <v>3</v>
      </c>
      <c r="BI198" s="5287">
        <f t="shared" si="287"/>
        <v>4</v>
      </c>
      <c r="BJ198" s="5287">
        <f t="shared" si="287"/>
        <v>1</v>
      </c>
      <c r="BK198" s="5287">
        <f t="shared" si="287"/>
        <v>2</v>
      </c>
      <c r="BL198" s="5287">
        <f t="shared" si="287"/>
        <v>3</v>
      </c>
      <c r="BM198" s="5287">
        <f t="shared" si="287"/>
        <v>4</v>
      </c>
      <c r="BN198" s="5287">
        <f t="shared" si="287"/>
        <v>1</v>
      </c>
      <c r="BO198" s="5287">
        <f t="shared" si="287"/>
        <v>2</v>
      </c>
      <c r="BP198" s="5287">
        <f t="shared" si="287"/>
        <v>3</v>
      </c>
      <c r="BQ198" s="5287">
        <f t="shared" si="287"/>
        <v>4</v>
      </c>
      <c r="BR198" s="5287">
        <f t="shared" si="287"/>
        <v>1</v>
      </c>
      <c r="BS198" s="5287">
        <f t="shared" si="287"/>
        <v>2</v>
      </c>
      <c r="BT198" s="5287">
        <f t="shared" si="287"/>
        <v>3</v>
      </c>
      <c r="BU198" s="5287">
        <f t="shared" si="287"/>
        <v>4</v>
      </c>
      <c r="BV198" s="5287">
        <f t="shared" ref="BV198:DA198" si="288">BV11</f>
        <v>1</v>
      </c>
      <c r="BW198" s="5287">
        <f t="shared" si="288"/>
        <v>2</v>
      </c>
      <c r="BX198" s="5287">
        <f t="shared" si="288"/>
        <v>3</v>
      </c>
      <c r="BY198" s="5287">
        <f t="shared" si="288"/>
        <v>4</v>
      </c>
      <c r="BZ198" s="5287">
        <f t="shared" si="288"/>
        <v>1</v>
      </c>
      <c r="CA198" s="5287">
        <f t="shared" si="288"/>
        <v>2</v>
      </c>
      <c r="CB198" s="5287">
        <f t="shared" si="288"/>
        <v>3</v>
      </c>
      <c r="CC198" s="5287">
        <f t="shared" si="288"/>
        <v>4</v>
      </c>
      <c r="CD198" s="5287">
        <f t="shared" si="288"/>
        <v>1</v>
      </c>
      <c r="CE198" s="5287">
        <f t="shared" si="288"/>
        <v>2</v>
      </c>
      <c r="CF198" s="5287">
        <f t="shared" si="288"/>
        <v>3</v>
      </c>
      <c r="CG198" s="5287">
        <f t="shared" si="288"/>
        <v>4</v>
      </c>
      <c r="CH198" s="5287">
        <f t="shared" si="288"/>
        <v>1</v>
      </c>
      <c r="CI198" s="5287">
        <f t="shared" si="288"/>
        <v>2</v>
      </c>
      <c r="CJ198" s="5287">
        <f t="shared" si="288"/>
        <v>3</v>
      </c>
      <c r="CK198" s="5287">
        <f t="shared" si="288"/>
        <v>4</v>
      </c>
      <c r="CL198" s="5287">
        <f t="shared" si="288"/>
        <v>1</v>
      </c>
      <c r="CM198" s="5287">
        <f t="shared" si="288"/>
        <v>2</v>
      </c>
      <c r="CN198" s="5287">
        <f t="shared" si="288"/>
        <v>3</v>
      </c>
      <c r="CO198" s="5287">
        <f t="shared" si="288"/>
        <v>4</v>
      </c>
      <c r="CP198" s="5287">
        <f t="shared" si="288"/>
        <v>1</v>
      </c>
      <c r="CQ198" s="5287">
        <f t="shared" si="288"/>
        <v>2</v>
      </c>
      <c r="CR198" s="5287">
        <f t="shared" si="288"/>
        <v>3</v>
      </c>
      <c r="CS198" s="5287">
        <f t="shared" si="288"/>
        <v>4</v>
      </c>
      <c r="CT198" s="5287">
        <f t="shared" si="288"/>
        <v>1</v>
      </c>
      <c r="CU198" s="5287">
        <f t="shared" si="288"/>
        <v>2</v>
      </c>
      <c r="CV198" s="5287">
        <f t="shared" si="288"/>
        <v>3</v>
      </c>
      <c r="CW198" s="5287">
        <f t="shared" si="288"/>
        <v>4</v>
      </c>
      <c r="CX198" s="5287">
        <f t="shared" si="288"/>
        <v>1</v>
      </c>
      <c r="CY198" s="5287">
        <f t="shared" si="288"/>
        <v>2</v>
      </c>
      <c r="CZ198" s="5287">
        <f t="shared" si="288"/>
        <v>3</v>
      </c>
      <c r="DA198" s="5287">
        <f t="shared" si="288"/>
        <v>4</v>
      </c>
      <c r="DB198" s="5287">
        <f t="shared" ref="DB198:EH198" si="289">DB11</f>
        <v>1</v>
      </c>
      <c r="DC198" s="5287">
        <f t="shared" si="289"/>
        <v>2</v>
      </c>
      <c r="DD198" s="5287">
        <f t="shared" si="289"/>
        <v>3</v>
      </c>
      <c r="DE198" s="5287">
        <f t="shared" si="289"/>
        <v>4</v>
      </c>
      <c r="DF198" s="5287">
        <f t="shared" si="289"/>
        <v>1</v>
      </c>
      <c r="DG198" s="5287">
        <f t="shared" si="289"/>
        <v>2</v>
      </c>
      <c r="DH198" s="5287">
        <f t="shared" si="289"/>
        <v>3</v>
      </c>
      <c r="DI198" s="5287">
        <f t="shared" si="289"/>
        <v>4</v>
      </c>
      <c r="DJ198" s="5287">
        <f t="shared" si="289"/>
        <v>1</v>
      </c>
      <c r="DK198" s="5287">
        <f t="shared" si="289"/>
        <v>2</v>
      </c>
      <c r="DL198" s="5287">
        <f t="shared" si="289"/>
        <v>3</v>
      </c>
      <c r="DM198" s="5287">
        <f t="shared" si="289"/>
        <v>4</v>
      </c>
      <c r="DN198" s="5287">
        <f t="shared" si="289"/>
        <v>1</v>
      </c>
      <c r="DO198" s="5287">
        <f t="shared" si="289"/>
        <v>2</v>
      </c>
      <c r="DP198" s="5287">
        <f t="shared" si="289"/>
        <v>3</v>
      </c>
      <c r="DQ198" s="5287">
        <f t="shared" si="289"/>
        <v>4</v>
      </c>
      <c r="DR198" s="5287">
        <f t="shared" si="289"/>
        <v>1</v>
      </c>
      <c r="DS198" s="5287">
        <f t="shared" si="289"/>
        <v>2</v>
      </c>
      <c r="DT198" s="5287">
        <f t="shared" si="289"/>
        <v>3</v>
      </c>
      <c r="DU198" s="5287">
        <f t="shared" si="289"/>
        <v>4</v>
      </c>
      <c r="DV198" s="5287">
        <f t="shared" si="289"/>
        <v>1</v>
      </c>
      <c r="DW198" s="5287">
        <f t="shared" si="289"/>
        <v>2</v>
      </c>
      <c r="DX198" s="5287">
        <f t="shared" si="289"/>
        <v>3</v>
      </c>
      <c r="DY198" s="5287">
        <f t="shared" si="289"/>
        <v>4</v>
      </c>
      <c r="DZ198" s="5287">
        <f t="shared" si="289"/>
        <v>1</v>
      </c>
      <c r="EA198" s="5287">
        <f t="shared" si="289"/>
        <v>2</v>
      </c>
      <c r="EB198" s="5287">
        <f t="shared" si="289"/>
        <v>3</v>
      </c>
      <c r="EC198" s="5287">
        <f t="shared" si="289"/>
        <v>4</v>
      </c>
      <c r="ED198" s="5287">
        <f t="shared" si="289"/>
        <v>1</v>
      </c>
      <c r="EE198" s="5287">
        <f t="shared" si="289"/>
        <v>2</v>
      </c>
      <c r="EF198" s="5287">
        <f t="shared" si="289"/>
        <v>3</v>
      </c>
      <c r="EG198" s="5287">
        <f t="shared" si="289"/>
        <v>4</v>
      </c>
      <c r="EH198" s="5287">
        <f t="shared" si="289"/>
        <v>1</v>
      </c>
      <c r="EI198" s="5287">
        <f t="shared" ref="EI198:GT198" si="290">EI11</f>
        <v>2</v>
      </c>
      <c r="EJ198" s="5287">
        <f t="shared" si="290"/>
        <v>3</v>
      </c>
      <c r="EK198" s="5287">
        <f t="shared" si="290"/>
        <v>4</v>
      </c>
      <c r="EL198" s="5287">
        <f t="shared" si="290"/>
        <v>1</v>
      </c>
      <c r="EM198" s="5287">
        <f t="shared" si="290"/>
        <v>2</v>
      </c>
      <c r="EN198" s="5287">
        <f t="shared" si="290"/>
        <v>3</v>
      </c>
      <c r="EO198" s="5287">
        <f t="shared" si="290"/>
        <v>4</v>
      </c>
      <c r="EP198" s="5287">
        <f t="shared" si="290"/>
        <v>1</v>
      </c>
      <c r="EQ198" s="5287">
        <f t="shared" si="290"/>
        <v>2</v>
      </c>
      <c r="ER198" s="5287">
        <f t="shared" si="290"/>
        <v>3</v>
      </c>
      <c r="ES198" s="5287">
        <f t="shared" si="290"/>
        <v>4</v>
      </c>
      <c r="ET198" s="5287">
        <f t="shared" si="290"/>
        <v>1</v>
      </c>
      <c r="EU198" s="5287">
        <f t="shared" si="290"/>
        <v>2</v>
      </c>
      <c r="EV198" s="5287">
        <f t="shared" si="290"/>
        <v>3</v>
      </c>
      <c r="EW198" s="5287">
        <f t="shared" si="290"/>
        <v>4</v>
      </c>
      <c r="EX198" s="5287">
        <f t="shared" si="290"/>
        <v>1</v>
      </c>
      <c r="EY198" s="5287">
        <f t="shared" si="290"/>
        <v>2</v>
      </c>
      <c r="EZ198" s="5287">
        <f t="shared" si="290"/>
        <v>3</v>
      </c>
      <c r="FA198" s="5287">
        <f t="shared" si="290"/>
        <v>4</v>
      </c>
      <c r="FB198" s="5287">
        <f t="shared" si="290"/>
        <v>1</v>
      </c>
      <c r="FC198" s="5287">
        <f t="shared" si="290"/>
        <v>2</v>
      </c>
      <c r="FD198" s="5287">
        <f t="shared" si="290"/>
        <v>3</v>
      </c>
      <c r="FE198" s="5287">
        <f t="shared" si="290"/>
        <v>4</v>
      </c>
      <c r="FF198" s="5287">
        <f t="shared" si="290"/>
        <v>1</v>
      </c>
      <c r="FG198" s="5287">
        <f t="shared" si="290"/>
        <v>2</v>
      </c>
      <c r="FH198" s="5287">
        <f t="shared" si="290"/>
        <v>3</v>
      </c>
      <c r="FI198" s="5287">
        <f t="shared" si="290"/>
        <v>4</v>
      </c>
      <c r="FJ198" s="5287">
        <f t="shared" si="290"/>
        <v>1</v>
      </c>
      <c r="FK198" s="5287">
        <f t="shared" si="290"/>
        <v>2</v>
      </c>
      <c r="FL198" s="5287">
        <f t="shared" si="290"/>
        <v>3</v>
      </c>
      <c r="FM198" s="5287">
        <f t="shared" si="290"/>
        <v>4</v>
      </c>
      <c r="FN198" s="5287">
        <f t="shared" si="290"/>
        <v>1</v>
      </c>
      <c r="FO198" s="5287">
        <f t="shared" si="290"/>
        <v>2</v>
      </c>
      <c r="FP198" s="5287">
        <f t="shared" si="290"/>
        <v>3</v>
      </c>
      <c r="FQ198" s="5287">
        <f t="shared" si="290"/>
        <v>4</v>
      </c>
      <c r="FR198" s="5287">
        <f t="shared" si="290"/>
        <v>1</v>
      </c>
      <c r="FS198" s="5287">
        <f t="shared" si="290"/>
        <v>2</v>
      </c>
      <c r="FT198" s="5287">
        <f t="shared" si="290"/>
        <v>3</v>
      </c>
      <c r="FU198" s="5287">
        <f t="shared" si="290"/>
        <v>4</v>
      </c>
      <c r="FV198" s="5287">
        <f t="shared" si="290"/>
        <v>1</v>
      </c>
      <c r="FW198" s="5287">
        <f t="shared" si="290"/>
        <v>2</v>
      </c>
      <c r="FX198" s="5287">
        <f t="shared" si="290"/>
        <v>3</v>
      </c>
      <c r="FY198" s="5287">
        <f t="shared" si="290"/>
        <v>4</v>
      </c>
      <c r="FZ198" s="5287">
        <f t="shared" si="290"/>
        <v>1</v>
      </c>
      <c r="GA198" s="5287">
        <f t="shared" si="290"/>
        <v>2</v>
      </c>
      <c r="GB198" s="5287">
        <f t="shared" si="290"/>
        <v>3</v>
      </c>
      <c r="GC198" s="5287">
        <f t="shared" si="290"/>
        <v>4</v>
      </c>
      <c r="GD198" s="5287">
        <f t="shared" si="290"/>
        <v>1</v>
      </c>
      <c r="GE198" s="5287">
        <f t="shared" si="290"/>
        <v>2</v>
      </c>
      <c r="GF198" s="5287">
        <f t="shared" si="290"/>
        <v>3</v>
      </c>
      <c r="GG198" s="5287">
        <f t="shared" si="290"/>
        <v>4</v>
      </c>
      <c r="GH198" s="5287">
        <f t="shared" si="290"/>
        <v>1</v>
      </c>
      <c r="GI198" s="5287">
        <f t="shared" si="290"/>
        <v>2</v>
      </c>
      <c r="GJ198" s="5287">
        <f t="shared" si="290"/>
        <v>3</v>
      </c>
      <c r="GK198" s="5287">
        <f t="shared" si="290"/>
        <v>4</v>
      </c>
      <c r="GL198" s="5287">
        <f t="shared" si="290"/>
        <v>1</v>
      </c>
      <c r="GM198" s="5287">
        <f t="shared" si="290"/>
        <v>2</v>
      </c>
      <c r="GN198" s="5287">
        <f t="shared" si="290"/>
        <v>3</v>
      </c>
      <c r="GO198" s="5287">
        <f t="shared" si="290"/>
        <v>4</v>
      </c>
      <c r="GP198" s="5287">
        <f t="shared" si="290"/>
        <v>1</v>
      </c>
      <c r="GQ198" s="5287">
        <f t="shared" si="290"/>
        <v>2</v>
      </c>
      <c r="GR198" s="5287">
        <f t="shared" si="290"/>
        <v>3</v>
      </c>
      <c r="GS198" s="5287">
        <f t="shared" si="290"/>
        <v>4</v>
      </c>
      <c r="GT198" s="5287">
        <f t="shared" si="290"/>
        <v>1</v>
      </c>
      <c r="GU198" s="5287">
        <f t="shared" ref="GU198:IA198" si="291">GU11</f>
        <v>2</v>
      </c>
      <c r="GV198" s="5287">
        <f t="shared" si="291"/>
        <v>3</v>
      </c>
      <c r="GW198" s="5287">
        <f t="shared" si="291"/>
        <v>4</v>
      </c>
      <c r="GX198" s="5287">
        <f t="shared" si="291"/>
        <v>1</v>
      </c>
      <c r="GY198" s="5287">
        <f t="shared" si="291"/>
        <v>2</v>
      </c>
      <c r="GZ198" s="5287">
        <f t="shared" si="291"/>
        <v>3</v>
      </c>
      <c r="HA198" s="5287">
        <f t="shared" si="291"/>
        <v>4</v>
      </c>
      <c r="HB198" s="5287">
        <f t="shared" si="291"/>
        <v>1</v>
      </c>
      <c r="HC198" s="5287">
        <f t="shared" si="291"/>
        <v>2</v>
      </c>
      <c r="HD198" s="5287">
        <f t="shared" si="291"/>
        <v>3</v>
      </c>
      <c r="HE198" s="5287">
        <f t="shared" si="291"/>
        <v>4</v>
      </c>
      <c r="HF198" s="5287">
        <f t="shared" si="291"/>
        <v>1</v>
      </c>
      <c r="HG198" s="5287">
        <f t="shared" si="291"/>
        <v>2</v>
      </c>
      <c r="HH198" s="5287">
        <f t="shared" si="291"/>
        <v>3</v>
      </c>
      <c r="HI198" s="5287">
        <f t="shared" si="291"/>
        <v>4</v>
      </c>
      <c r="HJ198" s="5287">
        <f t="shared" si="291"/>
        <v>1</v>
      </c>
      <c r="HK198" s="5287">
        <f t="shared" si="291"/>
        <v>2</v>
      </c>
      <c r="HL198" s="5287">
        <f t="shared" si="291"/>
        <v>3</v>
      </c>
      <c r="HM198" s="5287">
        <f t="shared" si="291"/>
        <v>4</v>
      </c>
      <c r="HN198" s="5287">
        <f t="shared" si="291"/>
        <v>1</v>
      </c>
      <c r="HO198" s="5287">
        <f t="shared" si="291"/>
        <v>2</v>
      </c>
      <c r="HP198" s="5287">
        <f t="shared" si="291"/>
        <v>3</v>
      </c>
      <c r="HQ198" s="5287">
        <f t="shared" si="291"/>
        <v>4</v>
      </c>
      <c r="HR198" s="5287">
        <f t="shared" si="291"/>
        <v>1</v>
      </c>
      <c r="HS198" s="5287">
        <f t="shared" si="291"/>
        <v>2</v>
      </c>
      <c r="HT198" s="5287">
        <f t="shared" si="291"/>
        <v>3</v>
      </c>
      <c r="HU198" s="5287">
        <f t="shared" si="291"/>
        <v>4</v>
      </c>
      <c r="HV198" s="5287">
        <f t="shared" si="291"/>
        <v>1</v>
      </c>
      <c r="HW198" s="5287">
        <f t="shared" si="291"/>
        <v>2</v>
      </c>
      <c r="HX198" s="5287">
        <f t="shared" si="291"/>
        <v>3</v>
      </c>
      <c r="HY198" s="5287">
        <f t="shared" si="291"/>
        <v>4</v>
      </c>
      <c r="HZ198" s="5287">
        <f t="shared" si="291"/>
        <v>1</v>
      </c>
      <c r="IA198" s="5287">
        <f t="shared" si="291"/>
        <v>2</v>
      </c>
    </row>
    <row r="199" spans="2:311">
      <c r="C199" s="2372" t="s">
        <v>3976</v>
      </c>
      <c r="D199" s="2373"/>
      <c r="E199" s="2396"/>
      <c r="F199" s="2396"/>
      <c r="G199" s="2397"/>
      <c r="H199" s="2649"/>
      <c r="I199" s="2650"/>
      <c r="J199" s="2651"/>
      <c r="K199" s="2649"/>
      <c r="L199" s="2652"/>
      <c r="M199" s="2651"/>
      <c r="N199" s="2651"/>
      <c r="O199" s="2649"/>
      <c r="P199" s="2653"/>
      <c r="Q199" s="2653"/>
      <c r="R199" s="2652"/>
      <c r="S199" s="2649"/>
      <c r="T199" s="2653"/>
      <c r="U199" s="2654"/>
      <c r="V199" s="2654"/>
      <c r="W199" s="2654"/>
      <c r="X199" s="2654"/>
      <c r="Y199" s="2654"/>
      <c r="Z199" s="2654"/>
      <c r="AA199" s="2654"/>
      <c r="AB199" s="2654"/>
      <c r="AC199" s="2654"/>
      <c r="AD199" s="2654"/>
      <c r="AE199" s="2654"/>
      <c r="AF199" s="2654"/>
      <c r="AG199" s="2654"/>
      <c r="AH199" s="2654"/>
      <c r="AI199" s="2654"/>
      <c r="AJ199" s="2654"/>
      <c r="AK199" s="2654"/>
      <c r="AL199" s="2654"/>
      <c r="AM199" s="2654"/>
      <c r="AN199" s="2654"/>
      <c r="AO199" s="2654"/>
      <c r="AP199" s="2654"/>
      <c r="AQ199" s="2654"/>
      <c r="AR199" s="2654"/>
      <c r="AS199" s="2654"/>
      <c r="AT199" s="2654"/>
      <c r="AU199" s="2654"/>
      <c r="AV199" s="2654"/>
      <c r="AW199" s="2654"/>
      <c r="AX199" s="2654"/>
      <c r="AY199" s="2654"/>
      <c r="AZ199" s="2654"/>
      <c r="BA199" s="2654"/>
      <c r="BB199" s="2654"/>
      <c r="BC199" s="2654"/>
      <c r="BD199" s="2654"/>
      <c r="BE199" s="2654"/>
      <c r="BF199" s="2654"/>
      <c r="BG199" s="2654"/>
      <c r="BH199" s="2654"/>
      <c r="BI199" s="2654"/>
      <c r="BJ199" s="2654"/>
      <c r="BK199" s="2654"/>
      <c r="BL199" s="2654"/>
      <c r="BM199" s="2654"/>
      <c r="BN199" s="2654"/>
      <c r="BO199" s="2654"/>
      <c r="BP199" s="2654"/>
      <c r="BQ199" s="2654"/>
      <c r="BR199" s="2654"/>
      <c r="BS199" s="2654"/>
      <c r="BT199" s="2654"/>
      <c r="BU199" s="2654"/>
      <c r="BV199" s="2654"/>
      <c r="BW199" s="2654"/>
      <c r="BX199" s="2654"/>
      <c r="BY199" s="2654"/>
      <c r="BZ199" s="2654"/>
      <c r="CA199" s="2654"/>
      <c r="CB199" s="2654"/>
      <c r="CC199" s="2654"/>
      <c r="CD199" s="2654"/>
      <c r="CE199" s="2654"/>
      <c r="CF199" s="2654"/>
      <c r="CG199" s="2654"/>
      <c r="CH199" s="2654"/>
      <c r="CI199" s="2654"/>
      <c r="CJ199" s="2654"/>
      <c r="CK199" s="2654"/>
      <c r="CL199" s="2654"/>
      <c r="CM199" s="2654"/>
      <c r="CN199" s="2654"/>
      <c r="CO199" s="2654"/>
      <c r="CP199" s="2654"/>
      <c r="CQ199" s="2654"/>
      <c r="CR199" s="2654"/>
      <c r="CS199" s="2654"/>
      <c r="CT199" s="2654"/>
      <c r="CU199" s="2654"/>
      <c r="CV199" s="2654"/>
      <c r="CW199" s="2654"/>
      <c r="CX199" s="2654"/>
      <c r="CY199" s="2654"/>
      <c r="CZ199" s="2654"/>
      <c r="DA199" s="2654"/>
      <c r="DB199" s="2654"/>
      <c r="DC199" s="2654"/>
      <c r="DD199" s="2654"/>
      <c r="DE199" s="2654"/>
      <c r="DF199" s="2654"/>
      <c r="DG199" s="2654"/>
      <c r="DH199" s="2654"/>
      <c r="DI199" s="2654"/>
      <c r="DJ199" s="2654"/>
      <c r="DK199" s="2654"/>
      <c r="DL199" s="2654"/>
      <c r="DM199" s="2654"/>
      <c r="DN199" s="2654"/>
      <c r="DO199" s="2654"/>
      <c r="DP199" s="2654"/>
      <c r="DQ199" s="2654"/>
      <c r="DR199" s="2654"/>
      <c r="DS199" s="2654"/>
      <c r="DT199" s="2654"/>
      <c r="DU199" s="2654"/>
      <c r="DV199" s="2654"/>
      <c r="DW199" s="5272"/>
      <c r="DX199" s="5272"/>
      <c r="DY199" s="5272"/>
      <c r="DZ199" s="5272"/>
      <c r="EA199" s="5272"/>
      <c r="EB199" s="5272"/>
      <c r="EC199" s="5272"/>
      <c r="ED199" s="5272"/>
      <c r="EE199" s="5272"/>
      <c r="EF199" s="5272"/>
      <c r="EG199" s="5272"/>
      <c r="EH199" s="5272"/>
      <c r="EI199" s="5272"/>
      <c r="EJ199" s="5272"/>
      <c r="EK199" s="5272"/>
      <c r="EL199" s="5272"/>
      <c r="EM199" s="5272"/>
      <c r="EN199" s="5272"/>
      <c r="EO199" s="5272"/>
      <c r="EP199" s="5272"/>
      <c r="EQ199" s="5272"/>
      <c r="ER199" s="5272"/>
      <c r="ES199" s="5272"/>
      <c r="ET199" s="5272"/>
      <c r="EU199" s="5272"/>
      <c r="EV199" s="5272"/>
      <c r="EW199" s="5272"/>
      <c r="EX199" s="5272"/>
      <c r="EY199" s="5272"/>
      <c r="EZ199" s="5272"/>
      <c r="FA199" s="5272"/>
      <c r="FB199" s="5272"/>
      <c r="FC199" s="5272"/>
      <c r="FD199" s="5272"/>
      <c r="FE199" s="5272"/>
      <c r="FF199" s="5272"/>
      <c r="FG199" s="5272"/>
      <c r="FH199" s="5272"/>
      <c r="FI199" s="5272"/>
      <c r="FJ199" s="5272"/>
      <c r="FK199" s="5272"/>
      <c r="FL199" s="5272"/>
      <c r="FM199" s="5272"/>
      <c r="FN199" s="5272"/>
      <c r="FO199" s="5272"/>
      <c r="FP199" s="5272"/>
      <c r="FQ199" s="5272"/>
      <c r="FR199" s="5272"/>
      <c r="FS199" s="5272"/>
      <c r="FT199" s="5272"/>
      <c r="FU199" s="5272"/>
      <c r="FV199" s="5272"/>
      <c r="FW199" s="5272"/>
      <c r="FX199" s="5272"/>
      <c r="FY199" s="5272"/>
      <c r="FZ199" s="5272"/>
      <c r="GA199" s="5272"/>
      <c r="GB199" s="5272"/>
      <c r="GC199" s="5272"/>
      <c r="GD199" s="5272"/>
      <c r="GE199" s="5272"/>
      <c r="GF199" s="5272"/>
      <c r="GG199" s="5272"/>
      <c r="GH199" s="5272"/>
      <c r="GI199" s="5272"/>
      <c r="GJ199" s="5272"/>
      <c r="GK199" s="5272"/>
      <c r="GL199" s="5272"/>
      <c r="GM199" s="5272"/>
      <c r="GN199" s="5272"/>
      <c r="GO199" s="5272"/>
      <c r="GP199" s="5272"/>
      <c r="GQ199" s="5272"/>
      <c r="GR199" s="5272"/>
      <c r="GS199" s="5272"/>
      <c r="GT199" s="5272"/>
      <c r="GU199" s="5272"/>
      <c r="GV199" s="5272"/>
      <c r="GW199" s="5272"/>
      <c r="GX199" s="5272"/>
      <c r="GY199" s="5272"/>
      <c r="GZ199" s="5272"/>
      <c r="HA199" s="5272"/>
      <c r="HB199" s="5272"/>
      <c r="HC199" s="5272"/>
      <c r="HD199" s="5272"/>
      <c r="HE199" s="5272"/>
      <c r="HF199" s="5272"/>
      <c r="HG199" s="5272"/>
      <c r="HH199" s="5272"/>
      <c r="HI199" s="5272"/>
      <c r="HJ199" s="5272"/>
      <c r="HK199" s="5272"/>
      <c r="HL199" s="5272"/>
      <c r="HM199" s="5272"/>
      <c r="HN199" s="5272"/>
      <c r="HO199" s="5272"/>
      <c r="HP199" s="5272"/>
      <c r="HQ199" s="5272"/>
      <c r="HR199" s="5272"/>
      <c r="HS199" s="5272"/>
      <c r="HT199" s="5272"/>
      <c r="HU199" s="5272"/>
      <c r="HV199" s="5272"/>
      <c r="HW199" s="5272"/>
      <c r="HX199" s="5272"/>
      <c r="HY199" s="5272"/>
      <c r="HZ199" s="5272"/>
      <c r="IA199" s="5272"/>
    </row>
    <row r="200" spans="2:311">
      <c r="C200" s="2383"/>
      <c r="D200" s="2384" t="s">
        <v>3916</v>
      </c>
      <c r="E200" s="2385"/>
      <c r="F200" s="2385"/>
      <c r="G200" s="2386"/>
      <c r="H200" s="2460">
        <f>MAX(J200:IA200)</f>
        <v>189215.66948030112</v>
      </c>
      <c r="I200" s="2459"/>
      <c r="J200" s="2395">
        <f>J132</f>
        <v>0</v>
      </c>
      <c r="K200" s="2387">
        <f t="shared" ref="K200:BN200" si="292">K132</f>
        <v>0</v>
      </c>
      <c r="L200" s="2393">
        <f t="shared" si="292"/>
        <v>2393.0090441241896</v>
      </c>
      <c r="M200" s="2395">
        <f t="shared" si="292"/>
        <v>7882.19713947327</v>
      </c>
      <c r="N200" s="2395">
        <f t="shared" si="292"/>
        <v>8942.5848557045811</v>
      </c>
      <c r="O200" s="2387">
        <f t="shared" si="292"/>
        <v>14929.678913077922</v>
      </c>
      <c r="P200" s="2392">
        <f t="shared" si="292"/>
        <v>18664.625459298484</v>
      </c>
      <c r="Q200" s="2392">
        <f t="shared" si="292"/>
        <v>21660.026552916795</v>
      </c>
      <c r="R200" s="2393">
        <f t="shared" si="292"/>
        <v>28507.89288576167</v>
      </c>
      <c r="S200" s="2387">
        <f t="shared" si="292"/>
        <v>42725.789479977684</v>
      </c>
      <c r="T200" s="2392">
        <f t="shared" si="292"/>
        <v>46487.240526461013</v>
      </c>
      <c r="U200" s="2394">
        <f t="shared" si="292"/>
        <v>53643.908107836178</v>
      </c>
      <c r="V200" s="2394">
        <f t="shared" si="292"/>
        <v>57118.535665010117</v>
      </c>
      <c r="W200" s="2394">
        <f t="shared" si="292"/>
        <v>59048.078422919018</v>
      </c>
      <c r="X200" s="2394">
        <f t="shared" si="292"/>
        <v>66713.609037724236</v>
      </c>
      <c r="Y200" s="2394">
        <f t="shared" si="292"/>
        <v>76688.816536823913</v>
      </c>
      <c r="Z200" s="2394">
        <f t="shared" si="292"/>
        <v>83107.353504491344</v>
      </c>
      <c r="AA200" s="2394">
        <f t="shared" si="292"/>
        <v>93626.605035666726</v>
      </c>
      <c r="AB200" s="2394">
        <f t="shared" si="292"/>
        <v>105057.25331175652</v>
      </c>
      <c r="AC200" s="2394">
        <f t="shared" si="292"/>
        <v>118094.09005962612</v>
      </c>
      <c r="AD200" s="2394">
        <f t="shared" si="292"/>
        <v>136659.64711421099</v>
      </c>
      <c r="AE200" s="2394">
        <f t="shared" si="292"/>
        <v>152813.14871113349</v>
      </c>
      <c r="AF200" s="2394">
        <f t="shared" si="292"/>
        <v>175770.80417962998</v>
      </c>
      <c r="AG200" s="2394">
        <f t="shared" si="292"/>
        <v>189215.66948030112</v>
      </c>
      <c r="AH200" s="2394">
        <f t="shared" si="292"/>
        <v>189215.66948030112</v>
      </c>
      <c r="AI200" s="2394">
        <f t="shared" si="292"/>
        <v>189215.66948030112</v>
      </c>
      <c r="AJ200" s="2394">
        <f t="shared" si="292"/>
        <v>0</v>
      </c>
      <c r="AK200" s="2394">
        <f t="shared" si="292"/>
        <v>0</v>
      </c>
      <c r="AL200" s="2394">
        <f t="shared" si="292"/>
        <v>0</v>
      </c>
      <c r="AM200" s="2394">
        <f t="shared" si="292"/>
        <v>0</v>
      </c>
      <c r="AN200" s="2394">
        <f t="shared" si="292"/>
        <v>0</v>
      </c>
      <c r="AO200" s="2394">
        <f t="shared" si="292"/>
        <v>0</v>
      </c>
      <c r="AP200" s="2394">
        <f t="shared" si="292"/>
        <v>0</v>
      </c>
      <c r="AQ200" s="2394">
        <f t="shared" si="292"/>
        <v>0</v>
      </c>
      <c r="AR200" s="2394">
        <f t="shared" si="292"/>
        <v>0</v>
      </c>
      <c r="AS200" s="2394">
        <f t="shared" si="292"/>
        <v>0</v>
      </c>
      <c r="AT200" s="2394">
        <f t="shared" si="292"/>
        <v>0</v>
      </c>
      <c r="AU200" s="2394">
        <f t="shared" si="292"/>
        <v>0</v>
      </c>
      <c r="AV200" s="2394">
        <f t="shared" si="292"/>
        <v>0</v>
      </c>
      <c r="AW200" s="2394">
        <f t="shared" si="292"/>
        <v>0</v>
      </c>
      <c r="AX200" s="2394">
        <f t="shared" si="292"/>
        <v>0</v>
      </c>
      <c r="AY200" s="2394">
        <f t="shared" si="292"/>
        <v>0</v>
      </c>
      <c r="AZ200" s="2394">
        <f t="shared" si="292"/>
        <v>0</v>
      </c>
      <c r="BA200" s="2394">
        <f t="shared" si="292"/>
        <v>0</v>
      </c>
      <c r="BB200" s="2394">
        <f t="shared" si="292"/>
        <v>0</v>
      </c>
      <c r="BC200" s="2394">
        <f t="shared" si="292"/>
        <v>0</v>
      </c>
      <c r="BD200" s="2394">
        <f t="shared" si="292"/>
        <v>0</v>
      </c>
      <c r="BE200" s="2394">
        <f t="shared" si="292"/>
        <v>0</v>
      </c>
      <c r="BF200" s="2394">
        <f t="shared" si="292"/>
        <v>0</v>
      </c>
      <c r="BG200" s="2394">
        <f t="shared" si="292"/>
        <v>0</v>
      </c>
      <c r="BH200" s="2394">
        <f t="shared" si="292"/>
        <v>0</v>
      </c>
      <c r="BI200" s="2394">
        <f t="shared" si="292"/>
        <v>0</v>
      </c>
      <c r="BJ200" s="2394">
        <f t="shared" si="292"/>
        <v>0</v>
      </c>
      <c r="BK200" s="2394">
        <f t="shared" si="292"/>
        <v>0</v>
      </c>
      <c r="BL200" s="2394">
        <f t="shared" si="292"/>
        <v>0</v>
      </c>
      <c r="BM200" s="2394">
        <f t="shared" si="292"/>
        <v>0</v>
      </c>
      <c r="BN200" s="2394">
        <f t="shared" si="292"/>
        <v>0</v>
      </c>
      <c r="BO200" s="2394">
        <f t="shared" ref="BO200:DZ200" si="293">BO132</f>
        <v>0</v>
      </c>
      <c r="BP200" s="2394">
        <f t="shared" si="293"/>
        <v>0</v>
      </c>
      <c r="BQ200" s="2394">
        <f t="shared" si="293"/>
        <v>0</v>
      </c>
      <c r="BR200" s="2394">
        <f t="shared" si="293"/>
        <v>0</v>
      </c>
      <c r="BS200" s="2394">
        <f t="shared" si="293"/>
        <v>0</v>
      </c>
      <c r="BT200" s="2394">
        <f t="shared" si="293"/>
        <v>0</v>
      </c>
      <c r="BU200" s="2394">
        <f t="shared" si="293"/>
        <v>0</v>
      </c>
      <c r="BV200" s="2394">
        <f t="shared" si="293"/>
        <v>0</v>
      </c>
      <c r="BW200" s="2394">
        <f t="shared" si="293"/>
        <v>0</v>
      </c>
      <c r="BX200" s="2394">
        <f t="shared" si="293"/>
        <v>0</v>
      </c>
      <c r="BY200" s="2394">
        <f t="shared" si="293"/>
        <v>0</v>
      </c>
      <c r="BZ200" s="2394">
        <f t="shared" si="293"/>
        <v>0</v>
      </c>
      <c r="CA200" s="2394">
        <f t="shared" si="293"/>
        <v>0</v>
      </c>
      <c r="CB200" s="2394">
        <f t="shared" si="293"/>
        <v>0</v>
      </c>
      <c r="CC200" s="2394">
        <f t="shared" si="293"/>
        <v>0</v>
      </c>
      <c r="CD200" s="2394">
        <f t="shared" si="293"/>
        <v>0</v>
      </c>
      <c r="CE200" s="2394">
        <f t="shared" si="293"/>
        <v>0</v>
      </c>
      <c r="CF200" s="2394">
        <f t="shared" si="293"/>
        <v>0</v>
      </c>
      <c r="CG200" s="2394">
        <f t="shared" si="293"/>
        <v>0</v>
      </c>
      <c r="CH200" s="2394">
        <f t="shared" si="293"/>
        <v>0</v>
      </c>
      <c r="CI200" s="2394">
        <f t="shared" si="293"/>
        <v>0</v>
      </c>
      <c r="CJ200" s="2394">
        <f t="shared" si="293"/>
        <v>0</v>
      </c>
      <c r="CK200" s="2394">
        <f t="shared" si="293"/>
        <v>0</v>
      </c>
      <c r="CL200" s="2394">
        <f t="shared" si="293"/>
        <v>0</v>
      </c>
      <c r="CM200" s="2394">
        <f t="shared" si="293"/>
        <v>0</v>
      </c>
      <c r="CN200" s="2394">
        <f t="shared" si="293"/>
        <v>0</v>
      </c>
      <c r="CO200" s="2394">
        <f t="shared" si="293"/>
        <v>0</v>
      </c>
      <c r="CP200" s="2394">
        <f t="shared" si="293"/>
        <v>0</v>
      </c>
      <c r="CQ200" s="2394">
        <f t="shared" si="293"/>
        <v>0</v>
      </c>
      <c r="CR200" s="2394">
        <f t="shared" si="293"/>
        <v>0</v>
      </c>
      <c r="CS200" s="2394">
        <f t="shared" si="293"/>
        <v>0</v>
      </c>
      <c r="CT200" s="2394">
        <f t="shared" si="293"/>
        <v>0</v>
      </c>
      <c r="CU200" s="2394">
        <f t="shared" si="293"/>
        <v>0</v>
      </c>
      <c r="CV200" s="2394">
        <f t="shared" si="293"/>
        <v>0</v>
      </c>
      <c r="CW200" s="2394">
        <f t="shared" si="293"/>
        <v>0</v>
      </c>
      <c r="CX200" s="2394">
        <f t="shared" si="293"/>
        <v>0</v>
      </c>
      <c r="CY200" s="2394">
        <f t="shared" si="293"/>
        <v>0</v>
      </c>
      <c r="CZ200" s="2394">
        <f t="shared" si="293"/>
        <v>0</v>
      </c>
      <c r="DA200" s="2394">
        <f t="shared" si="293"/>
        <v>0</v>
      </c>
      <c r="DB200" s="2394">
        <f t="shared" si="293"/>
        <v>0</v>
      </c>
      <c r="DC200" s="2394">
        <f t="shared" si="293"/>
        <v>0</v>
      </c>
      <c r="DD200" s="2394">
        <f t="shared" si="293"/>
        <v>0</v>
      </c>
      <c r="DE200" s="2394">
        <f t="shared" si="293"/>
        <v>0</v>
      </c>
      <c r="DF200" s="2394">
        <f t="shared" si="293"/>
        <v>0</v>
      </c>
      <c r="DG200" s="2394">
        <f t="shared" si="293"/>
        <v>0</v>
      </c>
      <c r="DH200" s="2394">
        <f t="shared" si="293"/>
        <v>0</v>
      </c>
      <c r="DI200" s="2394">
        <f t="shared" si="293"/>
        <v>0</v>
      </c>
      <c r="DJ200" s="2394">
        <f t="shared" si="293"/>
        <v>0</v>
      </c>
      <c r="DK200" s="2394">
        <f t="shared" si="293"/>
        <v>0</v>
      </c>
      <c r="DL200" s="2394">
        <f t="shared" si="293"/>
        <v>0</v>
      </c>
      <c r="DM200" s="2394">
        <f t="shared" si="293"/>
        <v>0</v>
      </c>
      <c r="DN200" s="2394">
        <f t="shared" si="293"/>
        <v>0</v>
      </c>
      <c r="DO200" s="2394">
        <f t="shared" si="293"/>
        <v>0</v>
      </c>
      <c r="DP200" s="2394">
        <f t="shared" si="293"/>
        <v>0</v>
      </c>
      <c r="DQ200" s="2394">
        <f t="shared" si="293"/>
        <v>0</v>
      </c>
      <c r="DR200" s="2394">
        <f t="shared" si="293"/>
        <v>0</v>
      </c>
      <c r="DS200" s="2394">
        <f t="shared" si="293"/>
        <v>0</v>
      </c>
      <c r="DT200" s="2394">
        <f t="shared" si="293"/>
        <v>0</v>
      </c>
      <c r="DU200" s="2394">
        <f t="shared" si="293"/>
        <v>0</v>
      </c>
      <c r="DV200" s="2394">
        <f t="shared" si="293"/>
        <v>0</v>
      </c>
      <c r="DW200" s="2394">
        <f t="shared" si="293"/>
        <v>0</v>
      </c>
      <c r="DX200" s="2394">
        <f t="shared" si="293"/>
        <v>0</v>
      </c>
      <c r="DY200" s="2394">
        <f t="shared" si="293"/>
        <v>0</v>
      </c>
      <c r="DZ200" s="2394">
        <f t="shared" si="293"/>
        <v>0</v>
      </c>
      <c r="EA200" s="2394">
        <f t="shared" ref="EA200:GL200" si="294">EA132</f>
        <v>0</v>
      </c>
      <c r="EB200" s="2394">
        <f t="shared" si="294"/>
        <v>0</v>
      </c>
      <c r="EC200" s="2394">
        <f t="shared" si="294"/>
        <v>0</v>
      </c>
      <c r="ED200" s="2394">
        <f t="shared" si="294"/>
        <v>0</v>
      </c>
      <c r="EE200" s="2394">
        <f t="shared" si="294"/>
        <v>0</v>
      </c>
      <c r="EF200" s="2394">
        <f t="shared" si="294"/>
        <v>0</v>
      </c>
      <c r="EG200" s="2394">
        <f t="shared" si="294"/>
        <v>0</v>
      </c>
      <c r="EH200" s="2394">
        <f t="shared" si="294"/>
        <v>0</v>
      </c>
      <c r="EI200" s="2394">
        <f t="shared" si="294"/>
        <v>0</v>
      </c>
      <c r="EJ200" s="2394">
        <f t="shared" si="294"/>
        <v>0</v>
      </c>
      <c r="EK200" s="2394">
        <f t="shared" si="294"/>
        <v>0</v>
      </c>
      <c r="EL200" s="2394">
        <f t="shared" si="294"/>
        <v>0</v>
      </c>
      <c r="EM200" s="2394">
        <f t="shared" si="294"/>
        <v>0</v>
      </c>
      <c r="EN200" s="2394">
        <f t="shared" si="294"/>
        <v>0</v>
      </c>
      <c r="EO200" s="2394">
        <f t="shared" si="294"/>
        <v>0</v>
      </c>
      <c r="EP200" s="2394">
        <f t="shared" si="294"/>
        <v>0</v>
      </c>
      <c r="EQ200" s="2394">
        <f t="shared" si="294"/>
        <v>0</v>
      </c>
      <c r="ER200" s="2394">
        <f t="shared" si="294"/>
        <v>0</v>
      </c>
      <c r="ES200" s="2394">
        <f t="shared" si="294"/>
        <v>0</v>
      </c>
      <c r="ET200" s="2394">
        <f t="shared" si="294"/>
        <v>0</v>
      </c>
      <c r="EU200" s="2394">
        <f t="shared" si="294"/>
        <v>0</v>
      </c>
      <c r="EV200" s="2394">
        <f t="shared" si="294"/>
        <v>0</v>
      </c>
      <c r="EW200" s="2394">
        <f t="shared" si="294"/>
        <v>0</v>
      </c>
      <c r="EX200" s="2394">
        <f t="shared" si="294"/>
        <v>0</v>
      </c>
      <c r="EY200" s="2394">
        <f t="shared" si="294"/>
        <v>0</v>
      </c>
      <c r="EZ200" s="2394">
        <f t="shared" si="294"/>
        <v>0</v>
      </c>
      <c r="FA200" s="2394">
        <f t="shared" si="294"/>
        <v>0</v>
      </c>
      <c r="FB200" s="2394">
        <f t="shared" si="294"/>
        <v>0</v>
      </c>
      <c r="FC200" s="2394">
        <f t="shared" si="294"/>
        <v>0</v>
      </c>
      <c r="FD200" s="2394">
        <f t="shared" si="294"/>
        <v>0</v>
      </c>
      <c r="FE200" s="2394">
        <f t="shared" si="294"/>
        <v>0</v>
      </c>
      <c r="FF200" s="2394">
        <f t="shared" si="294"/>
        <v>0</v>
      </c>
      <c r="FG200" s="2394">
        <f t="shared" si="294"/>
        <v>0</v>
      </c>
      <c r="FH200" s="2394">
        <f t="shared" si="294"/>
        <v>0</v>
      </c>
      <c r="FI200" s="2394">
        <f t="shared" si="294"/>
        <v>0</v>
      </c>
      <c r="FJ200" s="2394">
        <f t="shared" si="294"/>
        <v>0</v>
      </c>
      <c r="FK200" s="2394">
        <f t="shared" si="294"/>
        <v>0</v>
      </c>
      <c r="FL200" s="2394">
        <f t="shared" si="294"/>
        <v>0</v>
      </c>
      <c r="FM200" s="2394">
        <f t="shared" si="294"/>
        <v>0</v>
      </c>
      <c r="FN200" s="2394">
        <f t="shared" si="294"/>
        <v>0</v>
      </c>
      <c r="FO200" s="2394">
        <f t="shared" si="294"/>
        <v>0</v>
      </c>
      <c r="FP200" s="2394">
        <f t="shared" si="294"/>
        <v>0</v>
      </c>
      <c r="FQ200" s="2394">
        <f t="shared" si="294"/>
        <v>0</v>
      </c>
      <c r="FR200" s="2394">
        <f t="shared" si="294"/>
        <v>0</v>
      </c>
      <c r="FS200" s="2394">
        <f t="shared" si="294"/>
        <v>0</v>
      </c>
      <c r="FT200" s="2394">
        <f t="shared" si="294"/>
        <v>0</v>
      </c>
      <c r="FU200" s="2394">
        <f t="shared" si="294"/>
        <v>0</v>
      </c>
      <c r="FV200" s="2394">
        <f t="shared" si="294"/>
        <v>0</v>
      </c>
      <c r="FW200" s="2394">
        <f t="shared" si="294"/>
        <v>0</v>
      </c>
      <c r="FX200" s="2394">
        <f t="shared" si="294"/>
        <v>0</v>
      </c>
      <c r="FY200" s="2394">
        <f t="shared" si="294"/>
        <v>0</v>
      </c>
      <c r="FZ200" s="2394">
        <f t="shared" si="294"/>
        <v>0</v>
      </c>
      <c r="GA200" s="2394">
        <f t="shared" si="294"/>
        <v>0</v>
      </c>
      <c r="GB200" s="2394">
        <f t="shared" si="294"/>
        <v>0</v>
      </c>
      <c r="GC200" s="2394">
        <f t="shared" si="294"/>
        <v>0</v>
      </c>
      <c r="GD200" s="2394">
        <f t="shared" si="294"/>
        <v>0</v>
      </c>
      <c r="GE200" s="2394">
        <f t="shared" si="294"/>
        <v>0</v>
      </c>
      <c r="GF200" s="2394">
        <f t="shared" si="294"/>
        <v>0</v>
      </c>
      <c r="GG200" s="2394">
        <f t="shared" si="294"/>
        <v>0</v>
      </c>
      <c r="GH200" s="2394">
        <f t="shared" si="294"/>
        <v>0</v>
      </c>
      <c r="GI200" s="2394">
        <f t="shared" si="294"/>
        <v>0</v>
      </c>
      <c r="GJ200" s="2394">
        <f t="shared" si="294"/>
        <v>0</v>
      </c>
      <c r="GK200" s="2394">
        <f t="shared" si="294"/>
        <v>0</v>
      </c>
      <c r="GL200" s="2394">
        <f t="shared" si="294"/>
        <v>0</v>
      </c>
      <c r="GM200" s="2394">
        <f t="shared" ref="GM200:IA200" si="295">GM132</f>
        <v>0</v>
      </c>
      <c r="GN200" s="2394">
        <f t="shared" si="295"/>
        <v>0</v>
      </c>
      <c r="GO200" s="2394">
        <f t="shared" si="295"/>
        <v>0</v>
      </c>
      <c r="GP200" s="2394">
        <f t="shared" si="295"/>
        <v>0</v>
      </c>
      <c r="GQ200" s="2394">
        <f t="shared" si="295"/>
        <v>0</v>
      </c>
      <c r="GR200" s="2394">
        <f t="shared" si="295"/>
        <v>0</v>
      </c>
      <c r="GS200" s="2394">
        <f t="shared" si="295"/>
        <v>0</v>
      </c>
      <c r="GT200" s="2394">
        <f t="shared" si="295"/>
        <v>0</v>
      </c>
      <c r="GU200" s="2394">
        <f t="shared" si="295"/>
        <v>0</v>
      </c>
      <c r="GV200" s="2394">
        <f t="shared" si="295"/>
        <v>0</v>
      </c>
      <c r="GW200" s="2394">
        <f t="shared" si="295"/>
        <v>0</v>
      </c>
      <c r="GX200" s="2394">
        <f t="shared" si="295"/>
        <v>0</v>
      </c>
      <c r="GY200" s="2394">
        <f t="shared" si="295"/>
        <v>0</v>
      </c>
      <c r="GZ200" s="2394">
        <f t="shared" si="295"/>
        <v>0</v>
      </c>
      <c r="HA200" s="2394">
        <f t="shared" si="295"/>
        <v>0</v>
      </c>
      <c r="HB200" s="2394">
        <f t="shared" si="295"/>
        <v>0</v>
      </c>
      <c r="HC200" s="2394">
        <f t="shared" si="295"/>
        <v>0</v>
      </c>
      <c r="HD200" s="2394">
        <f t="shared" si="295"/>
        <v>0</v>
      </c>
      <c r="HE200" s="2394">
        <f t="shared" si="295"/>
        <v>0</v>
      </c>
      <c r="HF200" s="2394">
        <f t="shared" si="295"/>
        <v>0</v>
      </c>
      <c r="HG200" s="2394">
        <f t="shared" si="295"/>
        <v>0</v>
      </c>
      <c r="HH200" s="2394">
        <f t="shared" si="295"/>
        <v>0</v>
      </c>
      <c r="HI200" s="2394">
        <f t="shared" si="295"/>
        <v>0</v>
      </c>
      <c r="HJ200" s="2394">
        <f t="shared" si="295"/>
        <v>0</v>
      </c>
      <c r="HK200" s="2394">
        <f t="shared" si="295"/>
        <v>0</v>
      </c>
      <c r="HL200" s="2394">
        <f t="shared" si="295"/>
        <v>0</v>
      </c>
      <c r="HM200" s="2394">
        <f t="shared" si="295"/>
        <v>0</v>
      </c>
      <c r="HN200" s="2394">
        <f t="shared" si="295"/>
        <v>0</v>
      </c>
      <c r="HO200" s="2394">
        <f t="shared" si="295"/>
        <v>0</v>
      </c>
      <c r="HP200" s="2394">
        <f t="shared" si="295"/>
        <v>0</v>
      </c>
      <c r="HQ200" s="2394">
        <f t="shared" si="295"/>
        <v>0</v>
      </c>
      <c r="HR200" s="2394">
        <f t="shared" si="295"/>
        <v>0</v>
      </c>
      <c r="HS200" s="2394">
        <f t="shared" si="295"/>
        <v>0</v>
      </c>
      <c r="HT200" s="2394">
        <f t="shared" si="295"/>
        <v>0</v>
      </c>
      <c r="HU200" s="2394">
        <f t="shared" si="295"/>
        <v>0</v>
      </c>
      <c r="HV200" s="2394">
        <f t="shared" si="295"/>
        <v>0</v>
      </c>
      <c r="HW200" s="2394">
        <f t="shared" si="295"/>
        <v>0</v>
      </c>
      <c r="HX200" s="2394">
        <f t="shared" si="295"/>
        <v>0</v>
      </c>
      <c r="HY200" s="2394">
        <f t="shared" si="295"/>
        <v>0</v>
      </c>
      <c r="HZ200" s="2394">
        <f t="shared" si="295"/>
        <v>0</v>
      </c>
      <c r="IA200" s="2394">
        <f t="shared" si="295"/>
        <v>0</v>
      </c>
    </row>
    <row r="201" spans="2:311">
      <c r="C201" s="2383"/>
      <c r="D201" s="2384" t="s">
        <v>3927</v>
      </c>
      <c r="E201" s="2385"/>
      <c r="F201" s="2385"/>
      <c r="G201" s="2386"/>
      <c r="H201" s="2460">
        <f t="shared" ref="H201:H202" si="296">MAX(J201:IA201)</f>
        <v>47667.463642969575</v>
      </c>
      <c r="I201" s="2459"/>
      <c r="J201" s="2395">
        <f t="shared" ref="J201:BU201" si="297">(I201+SUMIFS($C$236:$C$263,$D$236:$D$263,J$197,$B$236:$B$263,J198))*(J$5&gt;0)</f>
        <v>0</v>
      </c>
      <c r="K201" s="2387">
        <f t="shared" si="297"/>
        <v>0</v>
      </c>
      <c r="L201" s="2393">
        <f t="shared" si="297"/>
        <v>0</v>
      </c>
      <c r="M201" s="2395">
        <f t="shared" si="297"/>
        <v>55.895378752587284</v>
      </c>
      <c r="N201" s="2395">
        <f t="shared" si="297"/>
        <v>233.64528545106697</v>
      </c>
      <c r="O201" s="2387">
        <f t="shared" si="297"/>
        <v>439.11959148734059</v>
      </c>
      <c r="P201" s="2392">
        <f t="shared" si="297"/>
        <v>783.25799677576367</v>
      </c>
      <c r="Q201" s="2392">
        <f t="shared" si="297"/>
        <v>1218.7353437408128</v>
      </c>
      <c r="R201" s="2393">
        <f t="shared" si="297"/>
        <v>1723.4806522918389</v>
      </c>
      <c r="S201" s="2387">
        <f t="shared" si="297"/>
        <v>2390.4373710736963</v>
      </c>
      <c r="T201" s="2392">
        <f t="shared" si="297"/>
        <v>3385.779861434542</v>
      </c>
      <c r="U201" s="2394">
        <f t="shared" si="297"/>
        <v>4486.0654965474077</v>
      </c>
      <c r="V201" s="2394">
        <f t="shared" si="297"/>
        <v>5759.0949643712083</v>
      </c>
      <c r="W201" s="2394">
        <f t="shared" si="297"/>
        <v>7136.0967363470108</v>
      </c>
      <c r="X201" s="2394">
        <f t="shared" si="297"/>
        <v>8585.5108691448277</v>
      </c>
      <c r="Y201" s="2394">
        <f t="shared" si="297"/>
        <v>10234.539633462267</v>
      </c>
      <c r="Z201" s="2394">
        <f t="shared" si="297"/>
        <v>12338.390223107732</v>
      </c>
      <c r="AA201" s="2394">
        <f t="shared" si="297"/>
        <v>14648.512531628325</v>
      </c>
      <c r="AB201" s="2394">
        <f t="shared" si="297"/>
        <v>17269.150757925378</v>
      </c>
      <c r="AC201" s="2394">
        <f t="shared" si="297"/>
        <v>20229.879481135726</v>
      </c>
      <c r="AD201" s="2394">
        <f t="shared" si="297"/>
        <v>23683.747816071012</v>
      </c>
      <c r="AE201" s="2394">
        <f t="shared" si="297"/>
        <v>27687.428279438038</v>
      </c>
      <c r="AF201" s="2394">
        <f t="shared" si="297"/>
        <v>32194.421748285604</v>
      </c>
      <c r="AG201" s="2394">
        <f t="shared" si="297"/>
        <v>37387.191381667355</v>
      </c>
      <c r="AH201" s="2394">
        <f t="shared" si="297"/>
        <v>42470.315541839707</v>
      </c>
      <c r="AI201" s="2394">
        <f t="shared" si="297"/>
        <v>47667.463642969575</v>
      </c>
      <c r="AJ201" s="2394">
        <f t="shared" si="297"/>
        <v>0</v>
      </c>
      <c r="AK201" s="2394">
        <f t="shared" si="297"/>
        <v>0</v>
      </c>
      <c r="AL201" s="2394">
        <f t="shared" si="297"/>
        <v>0</v>
      </c>
      <c r="AM201" s="2394">
        <f t="shared" si="297"/>
        <v>0</v>
      </c>
      <c r="AN201" s="2394">
        <f t="shared" si="297"/>
        <v>0</v>
      </c>
      <c r="AO201" s="2394">
        <f t="shared" si="297"/>
        <v>0</v>
      </c>
      <c r="AP201" s="2394">
        <f t="shared" si="297"/>
        <v>0</v>
      </c>
      <c r="AQ201" s="2394">
        <f t="shared" si="297"/>
        <v>0</v>
      </c>
      <c r="AR201" s="2394">
        <f t="shared" si="297"/>
        <v>0</v>
      </c>
      <c r="AS201" s="2394">
        <f t="shared" si="297"/>
        <v>0</v>
      </c>
      <c r="AT201" s="2394">
        <f t="shared" si="297"/>
        <v>0</v>
      </c>
      <c r="AU201" s="2394">
        <f t="shared" si="297"/>
        <v>0</v>
      </c>
      <c r="AV201" s="2394">
        <f t="shared" si="297"/>
        <v>0</v>
      </c>
      <c r="AW201" s="2394">
        <f t="shared" si="297"/>
        <v>0</v>
      </c>
      <c r="AX201" s="2394">
        <f t="shared" si="297"/>
        <v>0</v>
      </c>
      <c r="AY201" s="2394">
        <f t="shared" si="297"/>
        <v>0</v>
      </c>
      <c r="AZ201" s="2394">
        <f t="shared" si="297"/>
        <v>0</v>
      </c>
      <c r="BA201" s="2394">
        <f t="shared" si="297"/>
        <v>0</v>
      </c>
      <c r="BB201" s="2394">
        <f t="shared" si="297"/>
        <v>0</v>
      </c>
      <c r="BC201" s="2394">
        <f t="shared" si="297"/>
        <v>0</v>
      </c>
      <c r="BD201" s="2394">
        <f t="shared" si="297"/>
        <v>0</v>
      </c>
      <c r="BE201" s="2394">
        <f t="shared" si="297"/>
        <v>0</v>
      </c>
      <c r="BF201" s="2394">
        <f t="shared" si="297"/>
        <v>0</v>
      </c>
      <c r="BG201" s="2394">
        <f t="shared" si="297"/>
        <v>0</v>
      </c>
      <c r="BH201" s="2394">
        <f t="shared" si="297"/>
        <v>0</v>
      </c>
      <c r="BI201" s="2394">
        <f t="shared" si="297"/>
        <v>0</v>
      </c>
      <c r="BJ201" s="2394">
        <f t="shared" si="297"/>
        <v>0</v>
      </c>
      <c r="BK201" s="2394">
        <f t="shared" si="297"/>
        <v>0</v>
      </c>
      <c r="BL201" s="2394">
        <f t="shared" si="297"/>
        <v>0</v>
      </c>
      <c r="BM201" s="2394">
        <f t="shared" si="297"/>
        <v>0</v>
      </c>
      <c r="BN201" s="2394">
        <f t="shared" si="297"/>
        <v>0</v>
      </c>
      <c r="BO201" s="2394">
        <f t="shared" si="297"/>
        <v>0</v>
      </c>
      <c r="BP201" s="2394">
        <f t="shared" si="297"/>
        <v>0</v>
      </c>
      <c r="BQ201" s="2394">
        <f t="shared" si="297"/>
        <v>0</v>
      </c>
      <c r="BR201" s="2394">
        <f t="shared" si="297"/>
        <v>0</v>
      </c>
      <c r="BS201" s="2394">
        <f t="shared" si="297"/>
        <v>0</v>
      </c>
      <c r="BT201" s="2394">
        <f t="shared" si="297"/>
        <v>0</v>
      </c>
      <c r="BU201" s="2394">
        <f t="shared" si="297"/>
        <v>0</v>
      </c>
      <c r="BV201" s="2394">
        <f t="shared" ref="BV201:EG201" si="298">(BU201+SUMIFS($C$236:$C$263,$D$236:$D$263,BV$197,$B$236:$B$263,BV198))*(BV$5&gt;0)</f>
        <v>0</v>
      </c>
      <c r="BW201" s="2394">
        <f t="shared" si="298"/>
        <v>0</v>
      </c>
      <c r="BX201" s="2394">
        <f t="shared" si="298"/>
        <v>0</v>
      </c>
      <c r="BY201" s="2394">
        <f t="shared" si="298"/>
        <v>0</v>
      </c>
      <c r="BZ201" s="2394">
        <f t="shared" si="298"/>
        <v>0</v>
      </c>
      <c r="CA201" s="2394">
        <f t="shared" si="298"/>
        <v>0</v>
      </c>
      <c r="CB201" s="2394">
        <f t="shared" si="298"/>
        <v>0</v>
      </c>
      <c r="CC201" s="2394">
        <f t="shared" si="298"/>
        <v>0</v>
      </c>
      <c r="CD201" s="2394">
        <f t="shared" si="298"/>
        <v>0</v>
      </c>
      <c r="CE201" s="2394">
        <f t="shared" si="298"/>
        <v>0</v>
      </c>
      <c r="CF201" s="2394">
        <f t="shared" si="298"/>
        <v>0</v>
      </c>
      <c r="CG201" s="2394">
        <f t="shared" si="298"/>
        <v>0</v>
      </c>
      <c r="CH201" s="2394">
        <f t="shared" si="298"/>
        <v>0</v>
      </c>
      <c r="CI201" s="2394">
        <f t="shared" si="298"/>
        <v>0</v>
      </c>
      <c r="CJ201" s="2394">
        <f t="shared" si="298"/>
        <v>0</v>
      </c>
      <c r="CK201" s="2394">
        <f t="shared" si="298"/>
        <v>0</v>
      </c>
      <c r="CL201" s="2394">
        <f t="shared" si="298"/>
        <v>0</v>
      </c>
      <c r="CM201" s="2394">
        <f t="shared" si="298"/>
        <v>0</v>
      </c>
      <c r="CN201" s="2394">
        <f t="shared" si="298"/>
        <v>0</v>
      </c>
      <c r="CO201" s="2394">
        <f t="shared" si="298"/>
        <v>0</v>
      </c>
      <c r="CP201" s="2394">
        <f t="shared" si="298"/>
        <v>0</v>
      </c>
      <c r="CQ201" s="2394">
        <f t="shared" si="298"/>
        <v>0</v>
      </c>
      <c r="CR201" s="2394">
        <f t="shared" si="298"/>
        <v>0</v>
      </c>
      <c r="CS201" s="2394">
        <f t="shared" si="298"/>
        <v>0</v>
      </c>
      <c r="CT201" s="2394">
        <f t="shared" si="298"/>
        <v>0</v>
      </c>
      <c r="CU201" s="2394">
        <f t="shared" si="298"/>
        <v>0</v>
      </c>
      <c r="CV201" s="2394">
        <f t="shared" si="298"/>
        <v>0</v>
      </c>
      <c r="CW201" s="2394">
        <f t="shared" si="298"/>
        <v>0</v>
      </c>
      <c r="CX201" s="2394">
        <f t="shared" si="298"/>
        <v>0</v>
      </c>
      <c r="CY201" s="2394">
        <f t="shared" si="298"/>
        <v>0</v>
      </c>
      <c r="CZ201" s="2394">
        <f t="shared" si="298"/>
        <v>0</v>
      </c>
      <c r="DA201" s="2394">
        <f t="shared" si="298"/>
        <v>0</v>
      </c>
      <c r="DB201" s="2394">
        <f t="shared" si="298"/>
        <v>0</v>
      </c>
      <c r="DC201" s="2394">
        <f t="shared" si="298"/>
        <v>0</v>
      </c>
      <c r="DD201" s="2394">
        <f t="shared" si="298"/>
        <v>0</v>
      </c>
      <c r="DE201" s="2394">
        <f t="shared" si="298"/>
        <v>0</v>
      </c>
      <c r="DF201" s="2394">
        <f t="shared" si="298"/>
        <v>0</v>
      </c>
      <c r="DG201" s="2394">
        <f t="shared" si="298"/>
        <v>0</v>
      </c>
      <c r="DH201" s="2394">
        <f t="shared" si="298"/>
        <v>0</v>
      </c>
      <c r="DI201" s="2394">
        <f t="shared" si="298"/>
        <v>0</v>
      </c>
      <c r="DJ201" s="2394">
        <f t="shared" si="298"/>
        <v>0</v>
      </c>
      <c r="DK201" s="2394">
        <f t="shared" si="298"/>
        <v>0</v>
      </c>
      <c r="DL201" s="2394">
        <f t="shared" si="298"/>
        <v>0</v>
      </c>
      <c r="DM201" s="2394">
        <f t="shared" si="298"/>
        <v>0</v>
      </c>
      <c r="DN201" s="2394">
        <f t="shared" si="298"/>
        <v>0</v>
      </c>
      <c r="DO201" s="2394">
        <f t="shared" si="298"/>
        <v>0</v>
      </c>
      <c r="DP201" s="2394">
        <f t="shared" si="298"/>
        <v>0</v>
      </c>
      <c r="DQ201" s="2394">
        <f t="shared" si="298"/>
        <v>0</v>
      </c>
      <c r="DR201" s="2394">
        <f t="shared" si="298"/>
        <v>0</v>
      </c>
      <c r="DS201" s="2394">
        <f t="shared" si="298"/>
        <v>0</v>
      </c>
      <c r="DT201" s="2394">
        <f t="shared" si="298"/>
        <v>0</v>
      </c>
      <c r="DU201" s="2394">
        <f t="shared" si="298"/>
        <v>0</v>
      </c>
      <c r="DV201" s="2394">
        <f t="shared" si="298"/>
        <v>0</v>
      </c>
      <c r="DW201" s="2394">
        <f t="shared" si="298"/>
        <v>0</v>
      </c>
      <c r="DX201" s="2394">
        <f t="shared" si="298"/>
        <v>0</v>
      </c>
      <c r="DY201" s="2394">
        <f t="shared" si="298"/>
        <v>0</v>
      </c>
      <c r="DZ201" s="2394">
        <f t="shared" si="298"/>
        <v>0</v>
      </c>
      <c r="EA201" s="2394">
        <f t="shared" si="298"/>
        <v>0</v>
      </c>
      <c r="EB201" s="2394">
        <f t="shared" si="298"/>
        <v>0</v>
      </c>
      <c r="EC201" s="2394">
        <f t="shared" si="298"/>
        <v>0</v>
      </c>
      <c r="ED201" s="2394">
        <f t="shared" si="298"/>
        <v>0</v>
      </c>
      <c r="EE201" s="2394">
        <f t="shared" si="298"/>
        <v>0</v>
      </c>
      <c r="EF201" s="2394">
        <f t="shared" si="298"/>
        <v>0</v>
      </c>
      <c r="EG201" s="2394">
        <f t="shared" si="298"/>
        <v>0</v>
      </c>
      <c r="EH201" s="2394">
        <f t="shared" ref="EH201:GS201" si="299">(EG201+SUMIFS($C$236:$C$263,$D$236:$D$263,EH$197,$B$236:$B$263,EH198))*(EH$5&gt;0)</f>
        <v>0</v>
      </c>
      <c r="EI201" s="2394">
        <f t="shared" si="299"/>
        <v>0</v>
      </c>
      <c r="EJ201" s="2394">
        <f t="shared" si="299"/>
        <v>0</v>
      </c>
      <c r="EK201" s="2394">
        <f t="shared" si="299"/>
        <v>0</v>
      </c>
      <c r="EL201" s="2394">
        <f t="shared" si="299"/>
        <v>0</v>
      </c>
      <c r="EM201" s="2394">
        <f t="shared" si="299"/>
        <v>0</v>
      </c>
      <c r="EN201" s="2394">
        <f t="shared" si="299"/>
        <v>0</v>
      </c>
      <c r="EO201" s="2394">
        <f t="shared" si="299"/>
        <v>0</v>
      </c>
      <c r="EP201" s="2394">
        <f t="shared" si="299"/>
        <v>0</v>
      </c>
      <c r="EQ201" s="2394">
        <f t="shared" si="299"/>
        <v>0</v>
      </c>
      <c r="ER201" s="2394">
        <f t="shared" si="299"/>
        <v>0</v>
      </c>
      <c r="ES201" s="2394">
        <f t="shared" si="299"/>
        <v>0</v>
      </c>
      <c r="ET201" s="2394">
        <f t="shared" si="299"/>
        <v>0</v>
      </c>
      <c r="EU201" s="2394">
        <f t="shared" si="299"/>
        <v>0</v>
      </c>
      <c r="EV201" s="2394">
        <f t="shared" si="299"/>
        <v>0</v>
      </c>
      <c r="EW201" s="2394">
        <f t="shared" si="299"/>
        <v>0</v>
      </c>
      <c r="EX201" s="2394">
        <f t="shared" si="299"/>
        <v>0</v>
      </c>
      <c r="EY201" s="2394">
        <f t="shared" si="299"/>
        <v>0</v>
      </c>
      <c r="EZ201" s="2394">
        <f t="shared" si="299"/>
        <v>0</v>
      </c>
      <c r="FA201" s="2394">
        <f t="shared" si="299"/>
        <v>0</v>
      </c>
      <c r="FB201" s="2394">
        <f t="shared" si="299"/>
        <v>0</v>
      </c>
      <c r="FC201" s="2394">
        <f t="shared" si="299"/>
        <v>0</v>
      </c>
      <c r="FD201" s="2394">
        <f t="shared" si="299"/>
        <v>0</v>
      </c>
      <c r="FE201" s="2394">
        <f t="shared" si="299"/>
        <v>0</v>
      </c>
      <c r="FF201" s="2394">
        <f t="shared" si="299"/>
        <v>0</v>
      </c>
      <c r="FG201" s="2394">
        <f t="shared" si="299"/>
        <v>0</v>
      </c>
      <c r="FH201" s="2394">
        <f t="shared" si="299"/>
        <v>0</v>
      </c>
      <c r="FI201" s="2394">
        <f t="shared" si="299"/>
        <v>0</v>
      </c>
      <c r="FJ201" s="2394">
        <f t="shared" si="299"/>
        <v>0</v>
      </c>
      <c r="FK201" s="2394">
        <f t="shared" si="299"/>
        <v>0</v>
      </c>
      <c r="FL201" s="2394">
        <f t="shared" si="299"/>
        <v>0</v>
      </c>
      <c r="FM201" s="2394">
        <f t="shared" si="299"/>
        <v>0</v>
      </c>
      <c r="FN201" s="2394">
        <f t="shared" si="299"/>
        <v>0</v>
      </c>
      <c r="FO201" s="2394">
        <f t="shared" si="299"/>
        <v>0</v>
      </c>
      <c r="FP201" s="2394">
        <f t="shared" si="299"/>
        <v>0</v>
      </c>
      <c r="FQ201" s="2394">
        <f t="shared" si="299"/>
        <v>0</v>
      </c>
      <c r="FR201" s="2394">
        <f t="shared" si="299"/>
        <v>0</v>
      </c>
      <c r="FS201" s="2394">
        <f t="shared" si="299"/>
        <v>0</v>
      </c>
      <c r="FT201" s="2394">
        <f t="shared" si="299"/>
        <v>0</v>
      </c>
      <c r="FU201" s="2394">
        <f t="shared" si="299"/>
        <v>0</v>
      </c>
      <c r="FV201" s="2394">
        <f t="shared" si="299"/>
        <v>0</v>
      </c>
      <c r="FW201" s="2394">
        <f t="shared" si="299"/>
        <v>0</v>
      </c>
      <c r="FX201" s="2394">
        <f t="shared" si="299"/>
        <v>0</v>
      </c>
      <c r="FY201" s="2394">
        <f t="shared" si="299"/>
        <v>0</v>
      </c>
      <c r="FZ201" s="2394">
        <f t="shared" si="299"/>
        <v>0</v>
      </c>
      <c r="GA201" s="2394">
        <f t="shared" si="299"/>
        <v>0</v>
      </c>
      <c r="GB201" s="2394">
        <f t="shared" si="299"/>
        <v>0</v>
      </c>
      <c r="GC201" s="2394">
        <f t="shared" si="299"/>
        <v>0</v>
      </c>
      <c r="GD201" s="2394">
        <f t="shared" si="299"/>
        <v>0</v>
      </c>
      <c r="GE201" s="2394">
        <f t="shared" si="299"/>
        <v>0</v>
      </c>
      <c r="GF201" s="2394">
        <f t="shared" si="299"/>
        <v>0</v>
      </c>
      <c r="GG201" s="2394">
        <f t="shared" si="299"/>
        <v>0</v>
      </c>
      <c r="GH201" s="2394">
        <f t="shared" si="299"/>
        <v>0</v>
      </c>
      <c r="GI201" s="2394">
        <f t="shared" si="299"/>
        <v>0</v>
      </c>
      <c r="GJ201" s="2394">
        <f t="shared" si="299"/>
        <v>0</v>
      </c>
      <c r="GK201" s="2394">
        <f t="shared" si="299"/>
        <v>0</v>
      </c>
      <c r="GL201" s="2394">
        <f t="shared" si="299"/>
        <v>0</v>
      </c>
      <c r="GM201" s="2394">
        <f t="shared" si="299"/>
        <v>0</v>
      </c>
      <c r="GN201" s="2394">
        <f t="shared" si="299"/>
        <v>0</v>
      </c>
      <c r="GO201" s="2394">
        <f t="shared" si="299"/>
        <v>0</v>
      </c>
      <c r="GP201" s="2394">
        <f t="shared" si="299"/>
        <v>0</v>
      </c>
      <c r="GQ201" s="2394">
        <f t="shared" si="299"/>
        <v>0</v>
      </c>
      <c r="GR201" s="2394">
        <f t="shared" si="299"/>
        <v>0</v>
      </c>
      <c r="GS201" s="2394">
        <f t="shared" si="299"/>
        <v>0</v>
      </c>
      <c r="GT201" s="2394">
        <f t="shared" ref="GT201:IA201" si="300">(GS201+SUMIFS($C$236:$C$263,$D$236:$D$263,GT$197,$B$236:$B$263,GT198))*(GT$5&gt;0)</f>
        <v>0</v>
      </c>
      <c r="GU201" s="2394">
        <f t="shared" si="300"/>
        <v>0</v>
      </c>
      <c r="GV201" s="2394">
        <f t="shared" si="300"/>
        <v>0</v>
      </c>
      <c r="GW201" s="2394">
        <f t="shared" si="300"/>
        <v>0</v>
      </c>
      <c r="GX201" s="2394">
        <f t="shared" si="300"/>
        <v>0</v>
      </c>
      <c r="GY201" s="2394">
        <f t="shared" si="300"/>
        <v>0</v>
      </c>
      <c r="GZ201" s="2394">
        <f t="shared" si="300"/>
        <v>0</v>
      </c>
      <c r="HA201" s="2394">
        <f t="shared" si="300"/>
        <v>0</v>
      </c>
      <c r="HB201" s="2394">
        <f t="shared" si="300"/>
        <v>0</v>
      </c>
      <c r="HC201" s="2394">
        <f t="shared" si="300"/>
        <v>0</v>
      </c>
      <c r="HD201" s="2394">
        <f t="shared" si="300"/>
        <v>0</v>
      </c>
      <c r="HE201" s="2394">
        <f t="shared" si="300"/>
        <v>0</v>
      </c>
      <c r="HF201" s="2394">
        <f t="shared" si="300"/>
        <v>0</v>
      </c>
      <c r="HG201" s="2394">
        <f t="shared" si="300"/>
        <v>0</v>
      </c>
      <c r="HH201" s="2394">
        <f t="shared" si="300"/>
        <v>0</v>
      </c>
      <c r="HI201" s="2394">
        <f t="shared" si="300"/>
        <v>0</v>
      </c>
      <c r="HJ201" s="2394">
        <f t="shared" si="300"/>
        <v>0</v>
      </c>
      <c r="HK201" s="2394">
        <f t="shared" si="300"/>
        <v>0</v>
      </c>
      <c r="HL201" s="2394">
        <f t="shared" si="300"/>
        <v>0</v>
      </c>
      <c r="HM201" s="2394">
        <f t="shared" si="300"/>
        <v>0</v>
      </c>
      <c r="HN201" s="2394">
        <f t="shared" si="300"/>
        <v>0</v>
      </c>
      <c r="HO201" s="2394">
        <f t="shared" si="300"/>
        <v>0</v>
      </c>
      <c r="HP201" s="2394">
        <f t="shared" si="300"/>
        <v>0</v>
      </c>
      <c r="HQ201" s="2394">
        <f t="shared" si="300"/>
        <v>0</v>
      </c>
      <c r="HR201" s="2394">
        <f t="shared" si="300"/>
        <v>0</v>
      </c>
      <c r="HS201" s="2394">
        <f t="shared" si="300"/>
        <v>0</v>
      </c>
      <c r="HT201" s="2394">
        <f t="shared" si="300"/>
        <v>0</v>
      </c>
      <c r="HU201" s="2394">
        <f t="shared" si="300"/>
        <v>0</v>
      </c>
      <c r="HV201" s="2394">
        <f t="shared" si="300"/>
        <v>0</v>
      </c>
      <c r="HW201" s="2394">
        <f t="shared" si="300"/>
        <v>0</v>
      </c>
      <c r="HX201" s="2394">
        <f t="shared" si="300"/>
        <v>0</v>
      </c>
      <c r="HY201" s="2394">
        <f t="shared" si="300"/>
        <v>0</v>
      </c>
      <c r="HZ201" s="2394">
        <f t="shared" si="300"/>
        <v>0</v>
      </c>
      <c r="IA201" s="2394">
        <f t="shared" si="300"/>
        <v>0</v>
      </c>
    </row>
    <row r="202" spans="2:311">
      <c r="C202" s="2383"/>
      <c r="D202" s="2384" t="s">
        <v>3985</v>
      </c>
      <c r="E202" s="2385"/>
      <c r="F202" s="2385"/>
      <c r="G202" s="2386"/>
      <c r="H202" s="2460">
        <f t="shared" si="296"/>
        <v>236883.1331232707</v>
      </c>
      <c r="I202" s="2459"/>
      <c r="J202" s="2395">
        <f t="shared" ref="J202:BN202" si="301">SUM(J200:J201)</f>
        <v>0</v>
      </c>
      <c r="K202" s="2387">
        <f t="shared" si="301"/>
        <v>0</v>
      </c>
      <c r="L202" s="2393">
        <f t="shared" si="301"/>
        <v>2393.0090441241896</v>
      </c>
      <c r="M202" s="2395">
        <f t="shared" si="301"/>
        <v>7938.092518225857</v>
      </c>
      <c r="N202" s="2395">
        <f t="shared" si="301"/>
        <v>9176.2301411556473</v>
      </c>
      <c r="O202" s="2387">
        <f t="shared" si="301"/>
        <v>15368.798504565262</v>
      </c>
      <c r="P202" s="2392">
        <f t="shared" si="301"/>
        <v>19447.883456074247</v>
      </c>
      <c r="Q202" s="2392">
        <f t="shared" si="301"/>
        <v>22878.761896657608</v>
      </c>
      <c r="R202" s="2393">
        <f t="shared" si="301"/>
        <v>30231.373538053507</v>
      </c>
      <c r="S202" s="2387">
        <f t="shared" si="301"/>
        <v>45116.226851051382</v>
      </c>
      <c r="T202" s="2392">
        <f t="shared" si="301"/>
        <v>49873.020387895558</v>
      </c>
      <c r="U202" s="2394">
        <f t="shared" si="301"/>
        <v>58129.973604383587</v>
      </c>
      <c r="V202" s="2394">
        <f t="shared" si="301"/>
        <v>62877.630629381325</v>
      </c>
      <c r="W202" s="2394">
        <f t="shared" si="301"/>
        <v>66184.175159266029</v>
      </c>
      <c r="X202" s="2394">
        <f t="shared" si="301"/>
        <v>75299.119906869062</v>
      </c>
      <c r="Y202" s="2394">
        <f t="shared" si="301"/>
        <v>86923.356170286177</v>
      </c>
      <c r="Z202" s="2394">
        <f t="shared" si="301"/>
        <v>95445.743727599081</v>
      </c>
      <c r="AA202" s="2394">
        <f t="shared" si="301"/>
        <v>108275.11756729505</v>
      </c>
      <c r="AB202" s="2394">
        <f t="shared" si="301"/>
        <v>122326.4040696819</v>
      </c>
      <c r="AC202" s="2394">
        <f t="shared" si="301"/>
        <v>138323.96954076184</v>
      </c>
      <c r="AD202" s="2394">
        <f t="shared" si="301"/>
        <v>160343.394930282</v>
      </c>
      <c r="AE202" s="2394">
        <f t="shared" si="301"/>
        <v>180500.57699057151</v>
      </c>
      <c r="AF202" s="2394">
        <f t="shared" si="301"/>
        <v>207965.2259279156</v>
      </c>
      <c r="AG202" s="2394">
        <f t="shared" si="301"/>
        <v>226602.86086196848</v>
      </c>
      <c r="AH202" s="2394">
        <f t="shared" si="301"/>
        <v>231685.98502214084</v>
      </c>
      <c r="AI202" s="2394">
        <f t="shared" si="301"/>
        <v>236883.1331232707</v>
      </c>
      <c r="AJ202" s="2394">
        <f t="shared" si="301"/>
        <v>0</v>
      </c>
      <c r="AK202" s="2394">
        <f t="shared" si="301"/>
        <v>0</v>
      </c>
      <c r="AL202" s="2394">
        <f t="shared" si="301"/>
        <v>0</v>
      </c>
      <c r="AM202" s="2394">
        <f t="shared" si="301"/>
        <v>0</v>
      </c>
      <c r="AN202" s="2394">
        <f t="shared" si="301"/>
        <v>0</v>
      </c>
      <c r="AO202" s="2394">
        <f t="shared" si="301"/>
        <v>0</v>
      </c>
      <c r="AP202" s="2394">
        <f t="shared" si="301"/>
        <v>0</v>
      </c>
      <c r="AQ202" s="2394">
        <f t="shared" si="301"/>
        <v>0</v>
      </c>
      <c r="AR202" s="2394">
        <f t="shared" si="301"/>
        <v>0</v>
      </c>
      <c r="AS202" s="2394">
        <f t="shared" si="301"/>
        <v>0</v>
      </c>
      <c r="AT202" s="2394">
        <f t="shared" si="301"/>
        <v>0</v>
      </c>
      <c r="AU202" s="2394">
        <f t="shared" si="301"/>
        <v>0</v>
      </c>
      <c r="AV202" s="2394">
        <f t="shared" si="301"/>
        <v>0</v>
      </c>
      <c r="AW202" s="2394">
        <f t="shared" si="301"/>
        <v>0</v>
      </c>
      <c r="AX202" s="2394">
        <f t="shared" si="301"/>
        <v>0</v>
      </c>
      <c r="AY202" s="2394">
        <f t="shared" si="301"/>
        <v>0</v>
      </c>
      <c r="AZ202" s="2394">
        <f t="shared" si="301"/>
        <v>0</v>
      </c>
      <c r="BA202" s="2394">
        <f t="shared" si="301"/>
        <v>0</v>
      </c>
      <c r="BB202" s="2394">
        <f t="shared" si="301"/>
        <v>0</v>
      </c>
      <c r="BC202" s="2394">
        <f t="shared" si="301"/>
        <v>0</v>
      </c>
      <c r="BD202" s="2394">
        <f t="shared" si="301"/>
        <v>0</v>
      </c>
      <c r="BE202" s="2394">
        <f t="shared" si="301"/>
        <v>0</v>
      </c>
      <c r="BF202" s="2394">
        <f t="shared" si="301"/>
        <v>0</v>
      </c>
      <c r="BG202" s="2394">
        <f t="shared" si="301"/>
        <v>0</v>
      </c>
      <c r="BH202" s="2394">
        <f t="shared" si="301"/>
        <v>0</v>
      </c>
      <c r="BI202" s="2394">
        <f t="shared" si="301"/>
        <v>0</v>
      </c>
      <c r="BJ202" s="2394">
        <f t="shared" si="301"/>
        <v>0</v>
      </c>
      <c r="BK202" s="2394">
        <f t="shared" si="301"/>
        <v>0</v>
      </c>
      <c r="BL202" s="2394">
        <f t="shared" si="301"/>
        <v>0</v>
      </c>
      <c r="BM202" s="2394">
        <f t="shared" si="301"/>
        <v>0</v>
      </c>
      <c r="BN202" s="2394">
        <f t="shared" si="301"/>
        <v>0</v>
      </c>
      <c r="BO202" s="2394">
        <f t="shared" ref="BO202:DZ202" si="302">SUM(BO200:BO201)</f>
        <v>0</v>
      </c>
      <c r="BP202" s="2394">
        <f t="shared" si="302"/>
        <v>0</v>
      </c>
      <c r="BQ202" s="2394">
        <f t="shared" si="302"/>
        <v>0</v>
      </c>
      <c r="BR202" s="2394">
        <f t="shared" si="302"/>
        <v>0</v>
      </c>
      <c r="BS202" s="2394">
        <f t="shared" si="302"/>
        <v>0</v>
      </c>
      <c r="BT202" s="2394">
        <f t="shared" si="302"/>
        <v>0</v>
      </c>
      <c r="BU202" s="2394">
        <f t="shared" si="302"/>
        <v>0</v>
      </c>
      <c r="BV202" s="2394">
        <f t="shared" si="302"/>
        <v>0</v>
      </c>
      <c r="BW202" s="2394">
        <f t="shared" si="302"/>
        <v>0</v>
      </c>
      <c r="BX202" s="2394">
        <f t="shared" si="302"/>
        <v>0</v>
      </c>
      <c r="BY202" s="2394">
        <f t="shared" si="302"/>
        <v>0</v>
      </c>
      <c r="BZ202" s="2394">
        <f t="shared" si="302"/>
        <v>0</v>
      </c>
      <c r="CA202" s="2394">
        <f t="shared" si="302"/>
        <v>0</v>
      </c>
      <c r="CB202" s="2394">
        <f t="shared" si="302"/>
        <v>0</v>
      </c>
      <c r="CC202" s="2394">
        <f t="shared" si="302"/>
        <v>0</v>
      </c>
      <c r="CD202" s="2394">
        <f t="shared" si="302"/>
        <v>0</v>
      </c>
      <c r="CE202" s="2394">
        <f t="shared" si="302"/>
        <v>0</v>
      </c>
      <c r="CF202" s="2394">
        <f t="shared" si="302"/>
        <v>0</v>
      </c>
      <c r="CG202" s="2394">
        <f t="shared" si="302"/>
        <v>0</v>
      </c>
      <c r="CH202" s="2394">
        <f t="shared" si="302"/>
        <v>0</v>
      </c>
      <c r="CI202" s="2394">
        <f t="shared" si="302"/>
        <v>0</v>
      </c>
      <c r="CJ202" s="2394">
        <f t="shared" si="302"/>
        <v>0</v>
      </c>
      <c r="CK202" s="2394">
        <f t="shared" si="302"/>
        <v>0</v>
      </c>
      <c r="CL202" s="2394">
        <f t="shared" si="302"/>
        <v>0</v>
      </c>
      <c r="CM202" s="2394">
        <f t="shared" si="302"/>
        <v>0</v>
      </c>
      <c r="CN202" s="2394">
        <f t="shared" si="302"/>
        <v>0</v>
      </c>
      <c r="CO202" s="2394">
        <f t="shared" si="302"/>
        <v>0</v>
      </c>
      <c r="CP202" s="2394">
        <f t="shared" si="302"/>
        <v>0</v>
      </c>
      <c r="CQ202" s="2394">
        <f t="shared" si="302"/>
        <v>0</v>
      </c>
      <c r="CR202" s="2394">
        <f t="shared" si="302"/>
        <v>0</v>
      </c>
      <c r="CS202" s="2394">
        <f t="shared" si="302"/>
        <v>0</v>
      </c>
      <c r="CT202" s="2394">
        <f t="shared" si="302"/>
        <v>0</v>
      </c>
      <c r="CU202" s="2394">
        <f t="shared" si="302"/>
        <v>0</v>
      </c>
      <c r="CV202" s="2394">
        <f t="shared" si="302"/>
        <v>0</v>
      </c>
      <c r="CW202" s="2394">
        <f t="shared" si="302"/>
        <v>0</v>
      </c>
      <c r="CX202" s="2394">
        <f t="shared" si="302"/>
        <v>0</v>
      </c>
      <c r="CY202" s="2394">
        <f t="shared" si="302"/>
        <v>0</v>
      </c>
      <c r="CZ202" s="2394">
        <f t="shared" si="302"/>
        <v>0</v>
      </c>
      <c r="DA202" s="2394">
        <f t="shared" si="302"/>
        <v>0</v>
      </c>
      <c r="DB202" s="2394">
        <f t="shared" si="302"/>
        <v>0</v>
      </c>
      <c r="DC202" s="2394">
        <f t="shared" si="302"/>
        <v>0</v>
      </c>
      <c r="DD202" s="2394">
        <f t="shared" si="302"/>
        <v>0</v>
      </c>
      <c r="DE202" s="2394">
        <f t="shared" si="302"/>
        <v>0</v>
      </c>
      <c r="DF202" s="2394">
        <f t="shared" si="302"/>
        <v>0</v>
      </c>
      <c r="DG202" s="2394">
        <f t="shared" si="302"/>
        <v>0</v>
      </c>
      <c r="DH202" s="2394">
        <f t="shared" si="302"/>
        <v>0</v>
      </c>
      <c r="DI202" s="2394">
        <f t="shared" si="302"/>
        <v>0</v>
      </c>
      <c r="DJ202" s="2394">
        <f t="shared" si="302"/>
        <v>0</v>
      </c>
      <c r="DK202" s="2394">
        <f t="shared" si="302"/>
        <v>0</v>
      </c>
      <c r="DL202" s="2394">
        <f t="shared" si="302"/>
        <v>0</v>
      </c>
      <c r="DM202" s="2394">
        <f t="shared" si="302"/>
        <v>0</v>
      </c>
      <c r="DN202" s="2394">
        <f t="shared" si="302"/>
        <v>0</v>
      </c>
      <c r="DO202" s="2394">
        <f t="shared" si="302"/>
        <v>0</v>
      </c>
      <c r="DP202" s="2394">
        <f t="shared" si="302"/>
        <v>0</v>
      </c>
      <c r="DQ202" s="2394">
        <f t="shared" si="302"/>
        <v>0</v>
      </c>
      <c r="DR202" s="2394">
        <f t="shared" si="302"/>
        <v>0</v>
      </c>
      <c r="DS202" s="2394">
        <f t="shared" si="302"/>
        <v>0</v>
      </c>
      <c r="DT202" s="2394">
        <f t="shared" si="302"/>
        <v>0</v>
      </c>
      <c r="DU202" s="2394">
        <f t="shared" si="302"/>
        <v>0</v>
      </c>
      <c r="DV202" s="2394">
        <f t="shared" si="302"/>
        <v>0</v>
      </c>
      <c r="DW202" s="2394">
        <f t="shared" si="302"/>
        <v>0</v>
      </c>
      <c r="DX202" s="2394">
        <f t="shared" si="302"/>
        <v>0</v>
      </c>
      <c r="DY202" s="2394">
        <f t="shared" si="302"/>
        <v>0</v>
      </c>
      <c r="DZ202" s="2394">
        <f t="shared" si="302"/>
        <v>0</v>
      </c>
      <c r="EA202" s="2394">
        <f t="shared" ref="EA202:GL202" si="303">SUM(EA200:EA201)</f>
        <v>0</v>
      </c>
      <c r="EB202" s="2394">
        <f t="shared" si="303"/>
        <v>0</v>
      </c>
      <c r="EC202" s="2394">
        <f t="shared" si="303"/>
        <v>0</v>
      </c>
      <c r="ED202" s="2394">
        <f t="shared" si="303"/>
        <v>0</v>
      </c>
      <c r="EE202" s="2394">
        <f t="shared" si="303"/>
        <v>0</v>
      </c>
      <c r="EF202" s="2394">
        <f t="shared" si="303"/>
        <v>0</v>
      </c>
      <c r="EG202" s="2394">
        <f t="shared" si="303"/>
        <v>0</v>
      </c>
      <c r="EH202" s="2394">
        <f t="shared" si="303"/>
        <v>0</v>
      </c>
      <c r="EI202" s="2394">
        <f t="shared" si="303"/>
        <v>0</v>
      </c>
      <c r="EJ202" s="2394">
        <f t="shared" si="303"/>
        <v>0</v>
      </c>
      <c r="EK202" s="2394">
        <f t="shared" si="303"/>
        <v>0</v>
      </c>
      <c r="EL202" s="2394">
        <f t="shared" si="303"/>
        <v>0</v>
      </c>
      <c r="EM202" s="2394">
        <f t="shared" si="303"/>
        <v>0</v>
      </c>
      <c r="EN202" s="2394">
        <f t="shared" si="303"/>
        <v>0</v>
      </c>
      <c r="EO202" s="2394">
        <f t="shared" si="303"/>
        <v>0</v>
      </c>
      <c r="EP202" s="2394">
        <f t="shared" si="303"/>
        <v>0</v>
      </c>
      <c r="EQ202" s="2394">
        <f t="shared" si="303"/>
        <v>0</v>
      </c>
      <c r="ER202" s="2394">
        <f t="shared" si="303"/>
        <v>0</v>
      </c>
      <c r="ES202" s="2394">
        <f t="shared" si="303"/>
        <v>0</v>
      </c>
      <c r="ET202" s="2394">
        <f t="shared" si="303"/>
        <v>0</v>
      </c>
      <c r="EU202" s="2394">
        <f t="shared" si="303"/>
        <v>0</v>
      </c>
      <c r="EV202" s="2394">
        <f t="shared" si="303"/>
        <v>0</v>
      </c>
      <c r="EW202" s="2394">
        <f t="shared" si="303"/>
        <v>0</v>
      </c>
      <c r="EX202" s="2394">
        <f t="shared" si="303"/>
        <v>0</v>
      </c>
      <c r="EY202" s="2394">
        <f t="shared" si="303"/>
        <v>0</v>
      </c>
      <c r="EZ202" s="2394">
        <f t="shared" si="303"/>
        <v>0</v>
      </c>
      <c r="FA202" s="2394">
        <f t="shared" si="303"/>
        <v>0</v>
      </c>
      <c r="FB202" s="2394">
        <f t="shared" si="303"/>
        <v>0</v>
      </c>
      <c r="FC202" s="2394">
        <f t="shared" si="303"/>
        <v>0</v>
      </c>
      <c r="FD202" s="2394">
        <f t="shared" si="303"/>
        <v>0</v>
      </c>
      <c r="FE202" s="2394">
        <f t="shared" si="303"/>
        <v>0</v>
      </c>
      <c r="FF202" s="2394">
        <f t="shared" si="303"/>
        <v>0</v>
      </c>
      <c r="FG202" s="2394">
        <f t="shared" si="303"/>
        <v>0</v>
      </c>
      <c r="FH202" s="2394">
        <f t="shared" si="303"/>
        <v>0</v>
      </c>
      <c r="FI202" s="2394">
        <f t="shared" si="303"/>
        <v>0</v>
      </c>
      <c r="FJ202" s="2394">
        <f t="shared" si="303"/>
        <v>0</v>
      </c>
      <c r="FK202" s="2394">
        <f t="shared" si="303"/>
        <v>0</v>
      </c>
      <c r="FL202" s="2394">
        <f t="shared" si="303"/>
        <v>0</v>
      </c>
      <c r="FM202" s="2394">
        <f t="shared" si="303"/>
        <v>0</v>
      </c>
      <c r="FN202" s="2394">
        <f t="shared" si="303"/>
        <v>0</v>
      </c>
      <c r="FO202" s="2394">
        <f t="shared" si="303"/>
        <v>0</v>
      </c>
      <c r="FP202" s="2394">
        <f t="shared" si="303"/>
        <v>0</v>
      </c>
      <c r="FQ202" s="2394">
        <f t="shared" si="303"/>
        <v>0</v>
      </c>
      <c r="FR202" s="2394">
        <f t="shared" si="303"/>
        <v>0</v>
      </c>
      <c r="FS202" s="2394">
        <f t="shared" si="303"/>
        <v>0</v>
      </c>
      <c r="FT202" s="2394">
        <f t="shared" si="303"/>
        <v>0</v>
      </c>
      <c r="FU202" s="2394">
        <f t="shared" si="303"/>
        <v>0</v>
      </c>
      <c r="FV202" s="2394">
        <f t="shared" si="303"/>
        <v>0</v>
      </c>
      <c r="FW202" s="2394">
        <f t="shared" si="303"/>
        <v>0</v>
      </c>
      <c r="FX202" s="2394">
        <f t="shared" si="303"/>
        <v>0</v>
      </c>
      <c r="FY202" s="2394">
        <f t="shared" si="303"/>
        <v>0</v>
      </c>
      <c r="FZ202" s="2394">
        <f t="shared" si="303"/>
        <v>0</v>
      </c>
      <c r="GA202" s="2394">
        <f t="shared" si="303"/>
        <v>0</v>
      </c>
      <c r="GB202" s="2394">
        <f t="shared" si="303"/>
        <v>0</v>
      </c>
      <c r="GC202" s="2394">
        <f t="shared" si="303"/>
        <v>0</v>
      </c>
      <c r="GD202" s="2394">
        <f t="shared" si="303"/>
        <v>0</v>
      </c>
      <c r="GE202" s="2394">
        <f t="shared" si="303"/>
        <v>0</v>
      </c>
      <c r="GF202" s="2394">
        <f t="shared" si="303"/>
        <v>0</v>
      </c>
      <c r="GG202" s="2394">
        <f t="shared" si="303"/>
        <v>0</v>
      </c>
      <c r="GH202" s="2394">
        <f t="shared" si="303"/>
        <v>0</v>
      </c>
      <c r="GI202" s="2394">
        <f t="shared" si="303"/>
        <v>0</v>
      </c>
      <c r="GJ202" s="2394">
        <f t="shared" si="303"/>
        <v>0</v>
      </c>
      <c r="GK202" s="2394">
        <f t="shared" si="303"/>
        <v>0</v>
      </c>
      <c r="GL202" s="2394">
        <f t="shared" si="303"/>
        <v>0</v>
      </c>
      <c r="GM202" s="2394">
        <f t="shared" ref="GM202:IA202" si="304">SUM(GM200:GM201)</f>
        <v>0</v>
      </c>
      <c r="GN202" s="2394">
        <f t="shared" si="304"/>
        <v>0</v>
      </c>
      <c r="GO202" s="2394">
        <f t="shared" si="304"/>
        <v>0</v>
      </c>
      <c r="GP202" s="2394">
        <f t="shared" si="304"/>
        <v>0</v>
      </c>
      <c r="GQ202" s="2394">
        <f t="shared" si="304"/>
        <v>0</v>
      </c>
      <c r="GR202" s="2394">
        <f t="shared" si="304"/>
        <v>0</v>
      </c>
      <c r="GS202" s="2394">
        <f t="shared" si="304"/>
        <v>0</v>
      </c>
      <c r="GT202" s="2394">
        <f t="shared" si="304"/>
        <v>0</v>
      </c>
      <c r="GU202" s="2394">
        <f t="shared" si="304"/>
        <v>0</v>
      </c>
      <c r="GV202" s="2394">
        <f t="shared" si="304"/>
        <v>0</v>
      </c>
      <c r="GW202" s="2394">
        <f t="shared" si="304"/>
        <v>0</v>
      </c>
      <c r="GX202" s="2394">
        <f t="shared" si="304"/>
        <v>0</v>
      </c>
      <c r="GY202" s="2394">
        <f t="shared" si="304"/>
        <v>0</v>
      </c>
      <c r="GZ202" s="2394">
        <f t="shared" si="304"/>
        <v>0</v>
      </c>
      <c r="HA202" s="2394">
        <f t="shared" si="304"/>
        <v>0</v>
      </c>
      <c r="HB202" s="2394">
        <f t="shared" si="304"/>
        <v>0</v>
      </c>
      <c r="HC202" s="2394">
        <f t="shared" si="304"/>
        <v>0</v>
      </c>
      <c r="HD202" s="2394">
        <f t="shared" si="304"/>
        <v>0</v>
      </c>
      <c r="HE202" s="2394">
        <f t="shared" si="304"/>
        <v>0</v>
      </c>
      <c r="HF202" s="2394">
        <f t="shared" si="304"/>
        <v>0</v>
      </c>
      <c r="HG202" s="2394">
        <f t="shared" si="304"/>
        <v>0</v>
      </c>
      <c r="HH202" s="2394">
        <f t="shared" si="304"/>
        <v>0</v>
      </c>
      <c r="HI202" s="2394">
        <f t="shared" si="304"/>
        <v>0</v>
      </c>
      <c r="HJ202" s="2394">
        <f t="shared" si="304"/>
        <v>0</v>
      </c>
      <c r="HK202" s="2394">
        <f t="shared" si="304"/>
        <v>0</v>
      </c>
      <c r="HL202" s="2394">
        <f t="shared" si="304"/>
        <v>0</v>
      </c>
      <c r="HM202" s="2394">
        <f t="shared" si="304"/>
        <v>0</v>
      </c>
      <c r="HN202" s="2394">
        <f t="shared" si="304"/>
        <v>0</v>
      </c>
      <c r="HO202" s="2394">
        <f t="shared" si="304"/>
        <v>0</v>
      </c>
      <c r="HP202" s="2394">
        <f t="shared" si="304"/>
        <v>0</v>
      </c>
      <c r="HQ202" s="2394">
        <f t="shared" si="304"/>
        <v>0</v>
      </c>
      <c r="HR202" s="2394">
        <f t="shared" si="304"/>
        <v>0</v>
      </c>
      <c r="HS202" s="2394">
        <f t="shared" si="304"/>
        <v>0</v>
      </c>
      <c r="HT202" s="2394">
        <f t="shared" si="304"/>
        <v>0</v>
      </c>
      <c r="HU202" s="2394">
        <f t="shared" si="304"/>
        <v>0</v>
      </c>
      <c r="HV202" s="2394">
        <f t="shared" si="304"/>
        <v>0</v>
      </c>
      <c r="HW202" s="2394">
        <f t="shared" si="304"/>
        <v>0</v>
      </c>
      <c r="HX202" s="2394">
        <f t="shared" si="304"/>
        <v>0</v>
      </c>
      <c r="HY202" s="2394">
        <f t="shared" si="304"/>
        <v>0</v>
      </c>
      <c r="HZ202" s="2394">
        <f t="shared" si="304"/>
        <v>0</v>
      </c>
      <c r="IA202" s="2394">
        <f t="shared" si="304"/>
        <v>0</v>
      </c>
    </row>
    <row r="203" spans="2:311">
      <c r="C203" s="2383"/>
      <c r="D203" s="2406" t="s">
        <v>3929</v>
      </c>
      <c r="E203" s="2356"/>
      <c r="F203" s="2356"/>
      <c r="G203" s="2446"/>
      <c r="H203" s="2447">
        <f>SUM(J203:IA203)</f>
        <v>229776.60380893573</v>
      </c>
      <c r="I203" s="2459"/>
      <c r="J203" s="2448"/>
      <c r="K203" s="2447"/>
      <c r="L203" s="2449"/>
      <c r="M203" s="2448"/>
      <c r="N203" s="2447"/>
      <c r="O203" s="2449"/>
      <c r="P203" s="2447">
        <f>$H202*$G$26*P$3</f>
        <v>0</v>
      </c>
      <c r="Q203" s="2392">
        <f t="shared" ref="Q203:CB203" si="305">P204*$G$26*Q$3</f>
        <v>0</v>
      </c>
      <c r="R203" s="2449">
        <f t="shared" si="305"/>
        <v>0</v>
      </c>
      <c r="S203" s="2447">
        <f t="shared" si="305"/>
        <v>0</v>
      </c>
      <c r="T203" s="2450">
        <f t="shared" si="305"/>
        <v>0</v>
      </c>
      <c r="U203" s="2451">
        <f t="shared" si="305"/>
        <v>0</v>
      </c>
      <c r="V203" s="2451">
        <f t="shared" si="305"/>
        <v>0</v>
      </c>
      <c r="W203" s="2451">
        <f t="shared" si="305"/>
        <v>0</v>
      </c>
      <c r="X203" s="2451">
        <f t="shared" si="305"/>
        <v>0</v>
      </c>
      <c r="Y203" s="2451">
        <f t="shared" si="305"/>
        <v>0</v>
      </c>
      <c r="Z203" s="2451">
        <f t="shared" si="305"/>
        <v>0</v>
      </c>
      <c r="AA203" s="2451">
        <f t="shared" si="305"/>
        <v>0</v>
      </c>
      <c r="AB203" s="2451">
        <f t="shared" si="305"/>
        <v>0</v>
      </c>
      <c r="AC203" s="2451">
        <f t="shared" si="305"/>
        <v>0</v>
      </c>
      <c r="AD203" s="2451">
        <f t="shared" si="305"/>
        <v>0</v>
      </c>
      <c r="AE203" s="2451">
        <f t="shared" si="305"/>
        <v>0</v>
      </c>
      <c r="AF203" s="2451">
        <f t="shared" si="305"/>
        <v>0</v>
      </c>
      <c r="AG203" s="2451">
        <f t="shared" si="305"/>
        <v>0</v>
      </c>
      <c r="AH203" s="2451">
        <f t="shared" si="305"/>
        <v>0</v>
      </c>
      <c r="AI203" s="2451">
        <f t="shared" si="305"/>
        <v>67.677126158626592</v>
      </c>
      <c r="AJ203" s="2451">
        <f t="shared" si="305"/>
        <v>4115.8489472482033</v>
      </c>
      <c r="AK203" s="2451">
        <f t="shared" si="305"/>
        <v>4044.3155564682925</v>
      </c>
      <c r="AL203" s="2451">
        <f t="shared" si="305"/>
        <v>3974.0254149091516</v>
      </c>
      <c r="AM203" s="2451">
        <f t="shared" si="305"/>
        <v>3904.9569149186318</v>
      </c>
      <c r="AN203" s="2451">
        <f t="shared" si="305"/>
        <v>3837.0888243852442</v>
      </c>
      <c r="AO203" s="2451">
        <f t="shared" si="305"/>
        <v>3770.4002802112677</v>
      </c>
      <c r="AP203" s="2451">
        <f t="shared" si="305"/>
        <v>3704.8707818992948</v>
      </c>
      <c r="AQ203" s="2451">
        <f t="shared" si="305"/>
        <v>3640.4801852502446</v>
      </c>
      <c r="AR203" s="2451">
        <f t="shared" si="305"/>
        <v>3577.2086961709051</v>
      </c>
      <c r="AS203" s="2451">
        <f t="shared" si="305"/>
        <v>3515.0368645890944</v>
      </c>
      <c r="AT203" s="2451">
        <f t="shared" si="305"/>
        <v>3453.9455784745846</v>
      </c>
      <c r="AU203" s="2451">
        <f t="shared" si="305"/>
        <v>3393.9160579639365</v>
      </c>
      <c r="AV203" s="2451">
        <f t="shared" si="305"/>
        <v>3334.9298495874441</v>
      </c>
      <c r="AW203" s="2451">
        <f t="shared" si="305"/>
        <v>3276.9688205964203</v>
      </c>
      <c r="AX203" s="2451">
        <f t="shared" si="305"/>
        <v>3220.015153389068</v>
      </c>
      <c r="AY203" s="2451">
        <f t="shared" si="305"/>
        <v>3164.0513400332316</v>
      </c>
      <c r="AZ203" s="2451">
        <f t="shared" si="305"/>
        <v>3109.0601768843453</v>
      </c>
      <c r="BA203" s="2451">
        <f t="shared" si="305"/>
        <v>3055.024759296919</v>
      </c>
      <c r="BB203" s="2451">
        <f t="shared" si="305"/>
        <v>3001.9284764279378</v>
      </c>
      <c r="BC203" s="2451">
        <f t="shared" si="305"/>
        <v>2949.7550061305815</v>
      </c>
      <c r="BD203" s="2451">
        <f t="shared" si="305"/>
        <v>2898.4883099366857</v>
      </c>
      <c r="BE203" s="2451">
        <f t="shared" si="305"/>
        <v>2848.1126281264183</v>
      </c>
      <c r="BF203" s="2451">
        <f t="shared" si="305"/>
        <v>2798.6124748836269</v>
      </c>
      <c r="BG203" s="2451">
        <f t="shared" si="305"/>
        <v>2749.9726335354085</v>
      </c>
      <c r="BH203" s="2451">
        <f t="shared" si="305"/>
        <v>2702.1781518743974</v>
      </c>
      <c r="BI203" s="2451">
        <f t="shared" si="305"/>
        <v>2655.2143375623577</v>
      </c>
      <c r="BJ203" s="2451">
        <f t="shared" si="305"/>
        <v>2609.0667536136666</v>
      </c>
      <c r="BK203" s="2451">
        <f t="shared" si="305"/>
        <v>2563.7212139572848</v>
      </c>
      <c r="BL203" s="2451">
        <f t="shared" si="305"/>
        <v>2519.16377907587</v>
      </c>
      <c r="BM203" s="2451">
        <f t="shared" si="305"/>
        <v>2475.3807517206719</v>
      </c>
      <c r="BN203" s="2451">
        <f t="shared" si="305"/>
        <v>2432.3586727009128</v>
      </c>
      <c r="BO203" s="2451">
        <f t="shared" si="305"/>
        <v>2390.0843167463418</v>
      </c>
      <c r="BP203" s="2451">
        <f t="shared" si="305"/>
        <v>2348.5446884416974</v>
      </c>
      <c r="BQ203" s="2451">
        <f t="shared" si="305"/>
        <v>2307.7270182318357</v>
      </c>
      <c r="BR203" s="2451">
        <f t="shared" si="305"/>
        <v>2267.6187584962822</v>
      </c>
      <c r="BS203" s="2451">
        <f t="shared" si="305"/>
        <v>2228.2075796920108</v>
      </c>
      <c r="BT203" s="2451">
        <f t="shared" si="305"/>
        <v>2189.4813665632628</v>
      </c>
      <c r="BU203" s="2451">
        <f t="shared" si="305"/>
        <v>2151.4282144172353</v>
      </c>
      <c r="BV203" s="2451">
        <f t="shared" si="305"/>
        <v>2114.0364254645024</v>
      </c>
      <c r="BW203" s="2451">
        <f t="shared" si="305"/>
        <v>2077.2945052230357</v>
      </c>
      <c r="BX203" s="2451">
        <f t="shared" si="305"/>
        <v>2041.1911589847271</v>
      </c>
      <c r="BY203" s="2451">
        <f t="shared" si="305"/>
        <v>2005.7152883433189</v>
      </c>
      <c r="BZ203" s="2451">
        <f t="shared" si="305"/>
        <v>1970.8559877826826</v>
      </c>
      <c r="CA203" s="2451">
        <f t="shared" si="305"/>
        <v>1936.6025413243904</v>
      </c>
      <c r="CB203" s="2451">
        <f t="shared" si="305"/>
        <v>1902.9444192335527</v>
      </c>
      <c r="CC203" s="2451">
        <f t="shared" ref="CC203:EN203" si="306">CB204*$G$26*CC$3</f>
        <v>1869.8712747819095</v>
      </c>
      <c r="CD203" s="2451">
        <f t="shared" si="306"/>
        <v>1837.3729410671767</v>
      </c>
      <c r="CE203" s="2451">
        <f t="shared" si="306"/>
        <v>1805.4394278876741</v>
      </c>
      <c r="CF203" s="2451">
        <f t="shared" si="306"/>
        <v>1774.060918671272</v>
      </c>
      <c r="CG203" s="2451">
        <f t="shared" si="306"/>
        <v>1743.2277674577108</v>
      </c>
      <c r="CH203" s="2451">
        <f t="shared" si="306"/>
        <v>1712.9304959333717</v>
      </c>
      <c r="CI203" s="2451">
        <f t="shared" si="306"/>
        <v>1683.1597905175788</v>
      </c>
      <c r="CJ203" s="2451">
        <f t="shared" si="306"/>
        <v>1653.9064994995433</v>
      </c>
      <c r="CK203" s="2451">
        <f t="shared" si="306"/>
        <v>1625.1616302250684</v>
      </c>
      <c r="CL203" s="2451">
        <f t="shared" si="306"/>
        <v>1596.916346332147</v>
      </c>
      <c r="CM203" s="2451">
        <f t="shared" si="306"/>
        <v>1569.1619650346072</v>
      </c>
      <c r="CN203" s="2451">
        <f t="shared" si="306"/>
        <v>1541.8899544529652</v>
      </c>
      <c r="CO203" s="2451">
        <f t="shared" si="306"/>
        <v>1515.0919309916706</v>
      </c>
      <c r="CP203" s="2451">
        <f t="shared" si="306"/>
        <v>1488.7596567619328</v>
      </c>
      <c r="CQ203" s="2451">
        <f t="shared" si="306"/>
        <v>1462.8850370493417</v>
      </c>
      <c r="CR203" s="2451">
        <f t="shared" si="306"/>
        <v>1437.4601178254964</v>
      </c>
      <c r="CS203" s="2451">
        <f t="shared" si="306"/>
        <v>1412.4770833028867</v>
      </c>
      <c r="CT203" s="2451">
        <f t="shared" si="306"/>
        <v>1387.9282535322686</v>
      </c>
      <c r="CU203" s="2451">
        <f t="shared" si="306"/>
        <v>1363.8060820417959</v>
      </c>
      <c r="CV203" s="2451">
        <f t="shared" si="306"/>
        <v>1340.1031535171862</v>
      </c>
      <c r="CW203" s="2451">
        <f t="shared" si="306"/>
        <v>1316.8121815222041</v>
      </c>
      <c r="CX203" s="2451">
        <f t="shared" si="306"/>
        <v>1293.9260062587625</v>
      </c>
      <c r="CY203" s="2451">
        <f t="shared" si="306"/>
        <v>1271.4375923659543</v>
      </c>
      <c r="CZ203" s="2451">
        <f t="shared" si="306"/>
        <v>1249.3400267573352</v>
      </c>
      <c r="DA203" s="2451">
        <f t="shared" si="306"/>
        <v>1227.6265164957967</v>
      </c>
      <c r="DB203" s="2451">
        <f t="shared" si="306"/>
        <v>1206.2903867053712</v>
      </c>
      <c r="DC203" s="2451">
        <f t="shared" si="306"/>
        <v>1185.3250785193318</v>
      </c>
      <c r="DD203" s="2451">
        <f t="shared" si="306"/>
        <v>1164.7241470639535</v>
      </c>
      <c r="DE203" s="2451">
        <f t="shared" si="306"/>
        <v>1144.4812594773166</v>
      </c>
      <c r="DF203" s="2451">
        <f t="shared" si="306"/>
        <v>1124.5901929625427</v>
      </c>
      <c r="DG203" s="2451">
        <f t="shared" si="306"/>
        <v>1105.0448328748676</v>
      </c>
      <c r="DH203" s="2451">
        <f t="shared" si="306"/>
        <v>1085.839170841957</v>
      </c>
      <c r="DI203" s="2451">
        <f t="shared" si="306"/>
        <v>1066.9673029168953</v>
      </c>
      <c r="DJ203" s="2451">
        <f t="shared" si="306"/>
        <v>1048.4234277632722</v>
      </c>
      <c r="DK203" s="2451">
        <f t="shared" si="306"/>
        <v>1030.201844871814</v>
      </c>
      <c r="DL203" s="2451">
        <f t="shared" si="306"/>
        <v>1012.2969528080104</v>
      </c>
      <c r="DM203" s="2451">
        <f t="shared" si="306"/>
        <v>994.70324749019426</v>
      </c>
      <c r="DN203" s="2451">
        <f t="shared" si="306"/>
        <v>977.41532049755403</v>
      </c>
      <c r="DO203" s="2451">
        <f t="shared" si="306"/>
        <v>960.42785740754698</v>
      </c>
      <c r="DP203" s="2451">
        <f t="shared" si="306"/>
        <v>943.7356361622119</v>
      </c>
      <c r="DQ203" s="2451">
        <f t="shared" si="306"/>
        <v>927.33352546287369</v>
      </c>
      <c r="DR203" s="2451">
        <f t="shared" si="306"/>
        <v>911.21648319274914</v>
      </c>
      <c r="DS203" s="2451">
        <f t="shared" si="306"/>
        <v>895.37955486696524</v>
      </c>
      <c r="DT203" s="2451">
        <f t="shared" si="306"/>
        <v>879.81787210952018</v>
      </c>
      <c r="DU203" s="2451">
        <f t="shared" si="306"/>
        <v>864.52665115671073</v>
      </c>
      <c r="DV203" s="2451">
        <f t="shared" si="306"/>
        <v>849.50119138657317</v>
      </c>
      <c r="DW203" s="2451">
        <f t="shared" si="306"/>
        <v>834.7368738738802</v>
      </c>
      <c r="DX203" s="2451">
        <f t="shared" si="306"/>
        <v>820.22915997025314</v>
      </c>
      <c r="DY203" s="2451">
        <f t="shared" si="306"/>
        <v>805.97358990895202</v>
      </c>
      <c r="DZ203" s="2451">
        <f t="shared" si="306"/>
        <v>791.96578143391298</v>
      </c>
      <c r="EA203" s="2451">
        <f t="shared" si="306"/>
        <v>778.20142845261466</v>
      </c>
      <c r="EB203" s="2451">
        <f t="shared" si="306"/>
        <v>764.67629971235692</v>
      </c>
      <c r="EC203" s="2451">
        <f t="shared" si="306"/>
        <v>751.38623749954616</v>
      </c>
      <c r="ED203" s="2451">
        <f t="shared" si="306"/>
        <v>738.32715636158628</v>
      </c>
      <c r="EE203" s="2451">
        <f t="shared" si="306"/>
        <v>725.49504185098306</v>
      </c>
      <c r="EF203" s="2451">
        <f t="shared" si="306"/>
        <v>712.88594929127885</v>
      </c>
      <c r="EG203" s="2451">
        <f t="shared" si="306"/>
        <v>700.49600256443011</v>
      </c>
      <c r="EH203" s="2451">
        <f t="shared" si="306"/>
        <v>688.32139291926592</v>
      </c>
      <c r="EI203" s="2451">
        <f t="shared" si="306"/>
        <v>676.35837780065094</v>
      </c>
      <c r="EJ203" s="2451">
        <f t="shared" si="306"/>
        <v>664.60327969899993</v>
      </c>
      <c r="EK203" s="2451">
        <f t="shared" si="306"/>
        <v>653.05248501978713</v>
      </c>
      <c r="EL203" s="2451">
        <f t="shared" si="306"/>
        <v>641.70244297270347</v>
      </c>
      <c r="EM203" s="2451">
        <f t="shared" si="306"/>
        <v>630.54966448012033</v>
      </c>
      <c r="EN203" s="2451">
        <f t="shared" si="306"/>
        <v>619.59072110452485</v>
      </c>
      <c r="EO203" s="2451">
        <f t="shared" ref="EO203:GZ203" si="307">EN204*$G$26*EO$3</f>
        <v>608.82224399459358</v>
      </c>
      <c r="EP203" s="2451">
        <f t="shared" si="307"/>
        <v>598.24092284958772</v>
      </c>
      <c r="EQ203" s="2451">
        <f t="shared" si="307"/>
        <v>587.84350490174347</v>
      </c>
      <c r="ER203" s="2451">
        <f t="shared" si="307"/>
        <v>577.62679391635049</v>
      </c>
      <c r="ES203" s="2451">
        <f t="shared" si="307"/>
        <v>567.58764920920817</v>
      </c>
      <c r="ET203" s="2451">
        <f t="shared" si="307"/>
        <v>557.72298468115753</v>
      </c>
      <c r="EU203" s="2451">
        <f t="shared" si="307"/>
        <v>548.02976786939621</v>
      </c>
      <c r="EV203" s="2451">
        <f t="shared" si="307"/>
        <v>538.50501901527832</v>
      </c>
      <c r="EW203" s="2451">
        <f t="shared" si="307"/>
        <v>529.14581014831583</v>
      </c>
      <c r="EX203" s="2451">
        <f t="shared" si="307"/>
        <v>519.94926418610316</v>
      </c>
      <c r="EY203" s="2451">
        <f t="shared" si="307"/>
        <v>510.9125540498822</v>
      </c>
      <c r="EZ203" s="2451">
        <f t="shared" si="307"/>
        <v>502.03290179547957</v>
      </c>
      <c r="FA203" s="2451">
        <f t="shared" si="307"/>
        <v>493.30757775934848</v>
      </c>
      <c r="FB203" s="2451">
        <f t="shared" si="307"/>
        <v>484.73389971945261</v>
      </c>
      <c r="FC203" s="2451">
        <f t="shared" si="307"/>
        <v>476.30923207073209</v>
      </c>
      <c r="FD203" s="2451">
        <f t="shared" si="307"/>
        <v>468.03098501490319</v>
      </c>
      <c r="FE203" s="2451">
        <f t="shared" si="307"/>
        <v>459.89661376433509</v>
      </c>
      <c r="FF203" s="2451">
        <f t="shared" si="307"/>
        <v>451.90361775976658</v>
      </c>
      <c r="FG203" s="2451">
        <f t="shared" si="307"/>
        <v>444.04953990161852</v>
      </c>
      <c r="FH203" s="2451">
        <f t="shared" si="307"/>
        <v>436.3319657946634</v>
      </c>
      <c r="FI203" s="2451">
        <f t="shared" si="307"/>
        <v>428.74852300582518</v>
      </c>
      <c r="FJ203" s="2451">
        <f t="shared" si="307"/>
        <v>421.29688033487838</v>
      </c>
      <c r="FK203" s="2451">
        <f t="shared" si="307"/>
        <v>413.97474709782142</v>
      </c>
      <c r="FL203" s="2451">
        <f t="shared" si="307"/>
        <v>406.77987242270444</v>
      </c>
      <c r="FM203" s="2451">
        <f t="shared" si="307"/>
        <v>399.71004455769713</v>
      </c>
      <c r="FN203" s="2451">
        <f t="shared" si="307"/>
        <v>392.76309019118236</v>
      </c>
      <c r="FO203" s="2451">
        <f t="shared" si="307"/>
        <v>385.93687378366457</v>
      </c>
      <c r="FP203" s="2451">
        <f t="shared" si="307"/>
        <v>379.22929691129104</v>
      </c>
      <c r="FQ203" s="2451">
        <f t="shared" si="307"/>
        <v>372.63829762078404</v>
      </c>
      <c r="FR203" s="2451">
        <f t="shared" si="307"/>
        <v>366.16184979558142</v>
      </c>
      <c r="FS203" s="2451">
        <f t="shared" si="307"/>
        <v>359.79796253299509</v>
      </c>
      <c r="FT203" s="2451">
        <f t="shared" si="307"/>
        <v>353.54467953219506</v>
      </c>
      <c r="FU203" s="2451">
        <f t="shared" si="307"/>
        <v>347.40007849282887</v>
      </c>
      <c r="FV203" s="2451">
        <f t="shared" si="307"/>
        <v>341.36227052409538</v>
      </c>
      <c r="FW203" s="2451">
        <f t="shared" si="307"/>
        <v>335.42939956408526</v>
      </c>
      <c r="FX203" s="2451">
        <f t="shared" si="307"/>
        <v>329.59964180921673</v>
      </c>
      <c r="FY203" s="2451">
        <f t="shared" si="307"/>
        <v>323.87120515358572</v>
      </c>
      <c r="FZ203" s="2451">
        <f t="shared" si="307"/>
        <v>318.24232863806117</v>
      </c>
      <c r="GA203" s="2451">
        <f t="shared" si="307"/>
        <v>312.71128190895422</v>
      </c>
      <c r="GB203" s="2451">
        <f t="shared" si="307"/>
        <v>307.27636468609626</v>
      </c>
      <c r="GC203" s="2451">
        <f t="shared" si="307"/>
        <v>301.93590624016235</v>
      </c>
      <c r="GD203" s="2451">
        <f t="shared" si="307"/>
        <v>296.6882648790758</v>
      </c>
      <c r="GE203" s="2451">
        <f t="shared" si="307"/>
        <v>291.53182744334384</v>
      </c>
      <c r="GF203" s="2451">
        <f t="shared" si="307"/>
        <v>286.46500881016038</v>
      </c>
      <c r="GG203" s="2451">
        <f t="shared" si="307"/>
        <v>281.4862514061287</v>
      </c>
      <c r="GH203" s="2451">
        <f t="shared" si="307"/>
        <v>276.59402472845392</v>
      </c>
      <c r="GI203" s="2451">
        <f t="shared" si="307"/>
        <v>271.78682487445593</v>
      </c>
      <c r="GJ203" s="2451">
        <f t="shared" si="307"/>
        <v>267.0631740792598</v>
      </c>
      <c r="GK203" s="2451">
        <f t="shared" si="307"/>
        <v>262.4216202615213</v>
      </c>
      <c r="GL203" s="2451">
        <f t="shared" si="307"/>
        <v>257.86073657704685</v>
      </c>
      <c r="GM203" s="2451">
        <f t="shared" si="307"/>
        <v>253.37912098017372</v>
      </c>
      <c r="GN203" s="2451">
        <f t="shared" si="307"/>
        <v>248.97539579277006</v>
      </c>
      <c r="GO203" s="2451">
        <f t="shared" si="307"/>
        <v>244.64820728072928</v>
      </c>
      <c r="GP203" s="2451">
        <f t="shared" si="307"/>
        <v>240.39622523782234</v>
      </c>
      <c r="GQ203" s="2451">
        <f t="shared" si="307"/>
        <v>236.21814257678372</v>
      </c>
      <c r="GR203" s="2451">
        <f t="shared" si="307"/>
        <v>232.11267492750406</v>
      </c>
      <c r="GS203" s="2451">
        <f t="shared" si="307"/>
        <v>228.07856024220658</v>
      </c>
      <c r="GT203" s="2451">
        <f t="shared" si="307"/>
        <v>224.11455840748604</v>
      </c>
      <c r="GU203" s="2451">
        <f t="shared" si="307"/>
        <v>220.2194508630879</v>
      </c>
      <c r="GV203" s="2451">
        <f t="shared" si="307"/>
        <v>216.39204022731658</v>
      </c>
      <c r="GW203" s="2451">
        <f t="shared" si="307"/>
        <v>212.63114992895146</v>
      </c>
      <c r="GX203" s="2451">
        <f t="shared" si="307"/>
        <v>208.93562384556122</v>
      </c>
      <c r="GY203" s="2451">
        <f t="shared" si="307"/>
        <v>205.3043259481054</v>
      </c>
      <c r="GZ203" s="2451">
        <f t="shared" si="307"/>
        <v>201.73613995170973</v>
      </c>
      <c r="HA203" s="2451">
        <f t="shared" ref="HA203:IA203" si="308">GZ204*$G$26*HA$3</f>
        <v>198.22996897251363</v>
      </c>
      <c r="HB203" s="2451">
        <f t="shared" si="308"/>
        <v>194.7847351904818</v>
      </c>
      <c r="HC203" s="2451">
        <f t="shared" si="308"/>
        <v>191.39937951807363</v>
      </c>
      <c r="HD203" s="2451">
        <f t="shared" si="308"/>
        <v>188.07286127467364</v>
      </c>
      <c r="HE203" s="2451">
        <f t="shared" si="308"/>
        <v>184.80415786668001</v>
      </c>
      <c r="HF203" s="2451">
        <f t="shared" si="308"/>
        <v>181.59226447315092</v>
      </c>
      <c r="HG203" s="2451">
        <f t="shared" si="308"/>
        <v>178.43619373691766</v>
      </c>
      <c r="HH203" s="2451">
        <f t="shared" si="308"/>
        <v>175.33497546106327</v>
      </c>
      <c r="HI203" s="2451">
        <f t="shared" si="308"/>
        <v>172.28765631067796</v>
      </c>
      <c r="HJ203" s="2451">
        <f t="shared" si="308"/>
        <v>169.29329951979841</v>
      </c>
      <c r="HK203" s="2451">
        <f t="shared" si="308"/>
        <v>166.35098460343895</v>
      </c>
      <c r="HL203" s="2451">
        <f t="shared" si="308"/>
        <v>163.45980707462905</v>
      </c>
      <c r="HM203" s="2451">
        <f t="shared" si="308"/>
        <v>160.61887816636678</v>
      </c>
      <c r="HN203" s="2451">
        <f t="shared" si="308"/>
        <v>157.82732455840764</v>
      </c>
      <c r="HO203" s="2451">
        <f t="shared" si="308"/>
        <v>155.08428810879937</v>
      </c>
      <c r="HP203" s="2451">
        <f t="shared" si="308"/>
        <v>152.38892559008295</v>
      </c>
      <c r="HQ203" s="2451">
        <f t="shared" si="308"/>
        <v>149.74040843008012</v>
      </c>
      <c r="HR203" s="2451">
        <f t="shared" si="308"/>
        <v>147.13792245718412</v>
      </c>
      <c r="HS203" s="2451">
        <f t="shared" si="308"/>
        <v>144.58066765007774</v>
      </c>
      <c r="HT203" s="2451">
        <f t="shared" si="308"/>
        <v>142.06785789180242</v>
      </c>
      <c r="HU203" s="2451">
        <f t="shared" si="308"/>
        <v>139.59872072809901</v>
      </c>
      <c r="HV203" s="2451">
        <f t="shared" si="308"/>
        <v>137.17249712995283</v>
      </c>
      <c r="HW203" s="2451">
        <f t="shared" si="308"/>
        <v>134.78844126026095</v>
      </c>
      <c r="HX203" s="2451">
        <f t="shared" si="308"/>
        <v>132.44582024455738</v>
      </c>
      <c r="HY203" s="2451">
        <f t="shared" si="308"/>
        <v>130.14391394572351</v>
      </c>
      <c r="HZ203" s="2451">
        <f t="shared" si="308"/>
        <v>127.88201474261216</v>
      </c>
      <c r="IA203" s="2451">
        <f t="shared" si="308"/>
        <v>123.59379289094576</v>
      </c>
    </row>
    <row r="204" spans="2:311">
      <c r="C204" s="2383"/>
      <c r="D204" s="2406" t="s">
        <v>3930</v>
      </c>
      <c r="E204" s="2356"/>
      <c r="F204" s="2356"/>
      <c r="G204" s="2446"/>
      <c r="H204" s="2447">
        <f>H202*3%-IA204</f>
        <v>-3.5320636849064613E-2</v>
      </c>
      <c r="I204" s="2459"/>
      <c r="J204" s="2448">
        <f>$H202-SUM($I203:J203)</f>
        <v>236883.1331232707</v>
      </c>
      <c r="K204" s="2447">
        <f>$H202-SUM($I203:K203)</f>
        <v>236883.1331232707</v>
      </c>
      <c r="L204" s="2449">
        <f>$H202-SUM($I203:L203)</f>
        <v>236883.1331232707</v>
      </c>
      <c r="M204" s="2448">
        <f>$H202-SUM($I203:M203)</f>
        <v>236883.1331232707</v>
      </c>
      <c r="N204" s="2448">
        <f>$H202-SUM($I203:N203)</f>
        <v>236883.1331232707</v>
      </c>
      <c r="O204" s="2447">
        <f>$H202-SUM($I203:O203)</f>
        <v>236883.1331232707</v>
      </c>
      <c r="P204" s="2450">
        <f>$H202-SUM($I203:P203)</f>
        <v>236883.1331232707</v>
      </c>
      <c r="Q204" s="2450">
        <f>$H202-SUM($I203:Q203)</f>
        <v>236883.1331232707</v>
      </c>
      <c r="R204" s="2449">
        <f>$H202-SUM($I203:R203)</f>
        <v>236883.1331232707</v>
      </c>
      <c r="S204" s="2447">
        <f>$H202-SUM($I203:S203)</f>
        <v>236883.1331232707</v>
      </c>
      <c r="T204" s="2450">
        <f>$H202-SUM($I203:T203)</f>
        <v>236883.1331232707</v>
      </c>
      <c r="U204" s="2451">
        <f>$H202-SUM($I203:U203)</f>
        <v>236883.1331232707</v>
      </c>
      <c r="V204" s="2451">
        <f>$H202-SUM($I203:V203)</f>
        <v>236883.1331232707</v>
      </c>
      <c r="W204" s="2451">
        <f>$H202-SUM($I203:W203)</f>
        <v>236883.1331232707</v>
      </c>
      <c r="X204" s="2451">
        <f>$H202-SUM($I203:X203)</f>
        <v>236883.1331232707</v>
      </c>
      <c r="Y204" s="2451">
        <f>$H202-SUM($I203:Y203)</f>
        <v>236883.1331232707</v>
      </c>
      <c r="Z204" s="2451">
        <f>$H202-SUM($I203:Z203)</f>
        <v>236883.1331232707</v>
      </c>
      <c r="AA204" s="2451">
        <f>$H202-SUM($I203:AA203)</f>
        <v>236883.1331232707</v>
      </c>
      <c r="AB204" s="2451">
        <f>$H202-SUM($I203:AB203)</f>
        <v>236883.1331232707</v>
      </c>
      <c r="AC204" s="2451">
        <f>$H202-SUM($I203:AC203)</f>
        <v>236883.1331232707</v>
      </c>
      <c r="AD204" s="2451">
        <f>$H202-SUM($I203:AD203)</f>
        <v>236883.1331232707</v>
      </c>
      <c r="AE204" s="2451">
        <f>$H202-SUM($I203:AE203)</f>
        <v>236883.1331232707</v>
      </c>
      <c r="AF204" s="2451">
        <f>$H202-SUM($I203:AF203)</f>
        <v>236883.1331232707</v>
      </c>
      <c r="AG204" s="2451">
        <f>$H202-SUM($I203:AG203)</f>
        <v>236883.1331232707</v>
      </c>
      <c r="AH204" s="2451">
        <f>$H202-SUM($I203:AH203)</f>
        <v>236883.1331232707</v>
      </c>
      <c r="AI204" s="2451">
        <f>$H202-SUM($I203:AI203)</f>
        <v>236815.45599711206</v>
      </c>
      <c r="AJ204" s="2451">
        <f>$H202-SUM($I203:AJ203)</f>
        <v>232699.60704986387</v>
      </c>
      <c r="AK204" s="2451">
        <f>$H202-SUM($I203:AK203)</f>
        <v>228655.29149339558</v>
      </c>
      <c r="AL204" s="2451">
        <f>$H202-SUM($I203:AL203)</f>
        <v>224681.26607848643</v>
      </c>
      <c r="AM204" s="2451">
        <f>$H202-SUM($I203:AM203)</f>
        <v>220776.30916356778</v>
      </c>
      <c r="AN204" s="2451">
        <f>$H202-SUM($I203:AN203)</f>
        <v>216939.22033918256</v>
      </c>
      <c r="AO204" s="2451">
        <f>$H202-SUM($I203:AO203)</f>
        <v>213168.82005897129</v>
      </c>
      <c r="AP204" s="2451">
        <f>$H202-SUM($I203:AP203)</f>
        <v>209463.94927707198</v>
      </c>
      <c r="AQ204" s="2451">
        <f>$H202-SUM($I203:AQ203)</f>
        <v>205823.46909182175</v>
      </c>
      <c r="AR204" s="2451">
        <f>$H202-SUM($I203:AR203)</f>
        <v>202246.26039565084</v>
      </c>
      <c r="AS204" s="2451">
        <f>$H202-SUM($I203:AS203)</f>
        <v>198731.22353106175</v>
      </c>
      <c r="AT204" s="2451">
        <f>$H202-SUM($I203:AT203)</f>
        <v>195277.27795258717</v>
      </c>
      <c r="AU204" s="2451">
        <f>$H202-SUM($I203:AU203)</f>
        <v>191883.36189462323</v>
      </c>
      <c r="AV204" s="2451">
        <f>$H202-SUM($I203:AV203)</f>
        <v>188548.43204503576</v>
      </c>
      <c r="AW204" s="2451">
        <f>$H202-SUM($I203:AW203)</f>
        <v>185271.46322443936</v>
      </c>
      <c r="AX204" s="2451">
        <f>$H202-SUM($I203:AX203)</f>
        <v>182051.44807105028</v>
      </c>
      <c r="AY204" s="2451">
        <f>$H202-SUM($I203:AY203)</f>
        <v>178887.39673101704</v>
      </c>
      <c r="AZ204" s="2451">
        <f>$H202-SUM($I203:AZ203)</f>
        <v>175778.33655413269</v>
      </c>
      <c r="BA204" s="2451">
        <f>$H202-SUM($I203:BA203)</f>
        <v>172723.31179483578</v>
      </c>
      <c r="BB204" s="2451">
        <f>$H202-SUM($I203:BB203)</f>
        <v>169721.38331840787</v>
      </c>
      <c r="BC204" s="2451">
        <f>$H202-SUM($I203:BC203)</f>
        <v>166771.62831227726</v>
      </c>
      <c r="BD204" s="2451">
        <f>$H202-SUM($I203:BD203)</f>
        <v>163873.1400023406</v>
      </c>
      <c r="BE204" s="2451">
        <f>$H202-SUM($I203:BE203)</f>
        <v>161025.02737421417</v>
      </c>
      <c r="BF204" s="2451">
        <f>$H202-SUM($I203:BF203)</f>
        <v>158226.41489933053</v>
      </c>
      <c r="BG204" s="2451">
        <f>$H202-SUM($I203:BG203)</f>
        <v>155476.44226579514</v>
      </c>
      <c r="BH204" s="2451">
        <f>$H202-SUM($I203:BH203)</f>
        <v>152774.26411392074</v>
      </c>
      <c r="BI204" s="2451">
        <f>$H202-SUM($I203:BI203)</f>
        <v>150119.04977635838</v>
      </c>
      <c r="BJ204" s="2451">
        <f>$H202-SUM($I203:BJ203)</f>
        <v>147509.98302274471</v>
      </c>
      <c r="BK204" s="2451">
        <f>$H202-SUM($I203:BK203)</f>
        <v>144946.26180878744</v>
      </c>
      <c r="BL204" s="2451">
        <f>$H202-SUM($I203:BL203)</f>
        <v>142427.09802971157</v>
      </c>
      <c r="BM204" s="2451">
        <f>$H202-SUM($I203:BM203)</f>
        <v>139951.71727799089</v>
      </c>
      <c r="BN204" s="2451">
        <f>$H202-SUM($I203:BN203)</f>
        <v>137519.35860529001</v>
      </c>
      <c r="BO204" s="2451">
        <f>$H202-SUM($I203:BO203)</f>
        <v>135129.27428854365</v>
      </c>
      <c r="BP204" s="2451">
        <f>$H202-SUM($I203:BP203)</f>
        <v>132780.72960010194</v>
      </c>
      <c r="BQ204" s="2451">
        <f>$H202-SUM($I203:BQ203)</f>
        <v>130473.00258187011</v>
      </c>
      <c r="BR204" s="2451">
        <f>$H202-SUM($I203:BR203)</f>
        <v>128205.38382337384</v>
      </c>
      <c r="BS204" s="2451">
        <f>$H202-SUM($I203:BS203)</f>
        <v>125977.17624368182</v>
      </c>
      <c r="BT204" s="2451">
        <f>$H202-SUM($I203:BT203)</f>
        <v>123787.69487711856</v>
      </c>
      <c r="BU204" s="2451">
        <f>$H202-SUM($I203:BU203)</f>
        <v>121636.26666270132</v>
      </c>
      <c r="BV204" s="2451">
        <f>$H202-SUM($I203:BV203)</f>
        <v>119522.23023723683</v>
      </c>
      <c r="BW204" s="2451">
        <f>$H202-SUM($I203:BW203)</f>
        <v>117444.93573201379</v>
      </c>
      <c r="BX204" s="2451">
        <f>$H202-SUM($I203:BX203)</f>
        <v>115403.74457302906</v>
      </c>
      <c r="BY204" s="2451">
        <f>$H202-SUM($I203:BY203)</f>
        <v>113398.02928468575</v>
      </c>
      <c r="BZ204" s="2451">
        <f>$H202-SUM($I203:BZ203)</f>
        <v>111427.17329690307</v>
      </c>
      <c r="CA204" s="2451">
        <f>$H202-SUM($I203:CA203)</f>
        <v>109490.57075557868</v>
      </c>
      <c r="CB204" s="2451">
        <f>$H202-SUM($I203:CB203)</f>
        <v>107587.62633634513</v>
      </c>
      <c r="CC204" s="2451">
        <f>$H202-SUM($I203:CC203)</f>
        <v>105717.75506156322</v>
      </c>
      <c r="CD204" s="2451">
        <f>$H202-SUM($I203:CD203)</f>
        <v>103880.38212049604</v>
      </c>
      <c r="CE204" s="2451">
        <f>$H202-SUM($I203:CE203)</f>
        <v>102074.94269260837</v>
      </c>
      <c r="CF204" s="2451">
        <f>$H202-SUM($I203:CF203)</f>
        <v>100300.88177393709</v>
      </c>
      <c r="CG204" s="2451">
        <f>$H202-SUM($I203:CG203)</f>
        <v>98557.654006479366</v>
      </c>
      <c r="CH204" s="2451">
        <f>$H202-SUM($I203:CH203)</f>
        <v>96844.723510545999</v>
      </c>
      <c r="CI204" s="2451">
        <f>$H202-SUM($I203:CI203)</f>
        <v>95161.563720028411</v>
      </c>
      <c r="CJ204" s="2451">
        <f>$H202-SUM($I203:CJ203)</f>
        <v>93507.657220528868</v>
      </c>
      <c r="CK204" s="2451">
        <f>$H202-SUM($I203:CK203)</f>
        <v>91882.495590303792</v>
      </c>
      <c r="CL204" s="2451">
        <f>$H202-SUM($I203:CL203)</f>
        <v>90285.579243971646</v>
      </c>
      <c r="CM204" s="2451">
        <f>$H202-SUM($I203:CM203)</f>
        <v>88716.417278937035</v>
      </c>
      <c r="CN204" s="2451">
        <f>$H202-SUM($I203:CN203)</f>
        <v>87174.527324484079</v>
      </c>
      <c r="CO204" s="2451">
        <f>$H202-SUM($I203:CO203)</f>
        <v>85659.4353934924</v>
      </c>
      <c r="CP204" s="2451">
        <f>$H202-SUM($I203:CP203)</f>
        <v>84170.675736730482</v>
      </c>
      <c r="CQ204" s="2451">
        <f>$H202-SUM($I203:CQ203)</f>
        <v>82707.790699681151</v>
      </c>
      <c r="CR204" s="2451">
        <f>$H202-SUM($I203:CR203)</f>
        <v>81270.33058185564</v>
      </c>
      <c r="CS204" s="2451">
        <f>$H202-SUM($I203:CS203)</f>
        <v>79857.853498552751</v>
      </c>
      <c r="CT204" s="2451">
        <f>$H202-SUM($I203:CT203)</f>
        <v>78469.92524502048</v>
      </c>
      <c r="CU204" s="2451">
        <f>$H202-SUM($I203:CU203)</f>
        <v>77106.119162978692</v>
      </c>
      <c r="CV204" s="2451">
        <f>$H202-SUM($I203:CV203)</f>
        <v>75766.016009461513</v>
      </c>
      <c r="CW204" s="2451">
        <f>$H202-SUM($I203:CW203)</f>
        <v>74449.203827939316</v>
      </c>
      <c r="CX204" s="2451">
        <f>$H202-SUM($I203:CX203)</f>
        <v>73155.27782168056</v>
      </c>
      <c r="CY204" s="2451">
        <f>$H202-SUM($I203:CY203)</f>
        <v>71883.840229314606</v>
      </c>
      <c r="CZ204" s="2451">
        <f>$H202-SUM($I203:CZ203)</f>
        <v>70634.500202557276</v>
      </c>
      <c r="DA204" s="2451">
        <f>$H202-SUM($I203:DA203)</f>
        <v>69406.873686061474</v>
      </c>
      <c r="DB204" s="2451">
        <f>$H202-SUM($I203:DB203)</f>
        <v>68200.583299356105</v>
      </c>
      <c r="DC204" s="2451">
        <f>$H202-SUM($I203:DC203)</f>
        <v>67015.258220836782</v>
      </c>
      <c r="DD204" s="2451">
        <f>$H202-SUM($I203:DD203)</f>
        <v>65850.53407377284</v>
      </c>
      <c r="DE204" s="2451">
        <f>$H202-SUM($I203:DE203)</f>
        <v>64706.052814295515</v>
      </c>
      <c r="DF204" s="2451">
        <f>$H202-SUM($I203:DF203)</f>
        <v>63581.462621332961</v>
      </c>
      <c r="DG204" s="2451">
        <f>$H202-SUM($I203:DG203)</f>
        <v>62476.417788458086</v>
      </c>
      <c r="DH204" s="2451">
        <f>$H202-SUM($I203:DH203)</f>
        <v>61390.57861761612</v>
      </c>
      <c r="DI204" s="2451">
        <f>$H202-SUM($I203:DI203)</f>
        <v>60323.611314699228</v>
      </c>
      <c r="DJ204" s="2451">
        <f>$H202-SUM($I203:DJ203)</f>
        <v>59275.18788693595</v>
      </c>
      <c r="DK204" s="2451">
        <f>$H202-SUM($I203:DK203)</f>
        <v>58244.986042064149</v>
      </c>
      <c r="DL204" s="2451">
        <f>$H202-SUM($I203:DL203)</f>
        <v>57232.689089256135</v>
      </c>
      <c r="DM204" s="2451">
        <f>$H202-SUM($I203:DM203)</f>
        <v>56237.985841765942</v>
      </c>
      <c r="DN204" s="2451">
        <f>$H202-SUM($I203:DN203)</f>
        <v>55260.570521268382</v>
      </c>
      <c r="DO204" s="2451">
        <f>$H202-SUM($I203:DO203)</f>
        <v>54300.142663860839</v>
      </c>
      <c r="DP204" s="2451">
        <f>$H202-SUM($I203:DP203)</f>
        <v>53356.407027698617</v>
      </c>
      <c r="DQ204" s="2451">
        <f>$H202-SUM($I203:DQ203)</f>
        <v>52429.073502235755</v>
      </c>
      <c r="DR204" s="2451">
        <f>$H202-SUM($I203:DR203)</f>
        <v>51517.857019043004</v>
      </c>
      <c r="DS204" s="2451">
        <f>$H202-SUM($I203:DS203)</f>
        <v>50622.477464176045</v>
      </c>
      <c r="DT204" s="2451">
        <f>$H202-SUM($I203:DT203)</f>
        <v>49742.659592066513</v>
      </c>
      <c r="DU204" s="2451">
        <f>$H202-SUM($I203:DU203)</f>
        <v>48878.132940909796</v>
      </c>
      <c r="DV204" s="2451">
        <f>$H202-SUM($I203:DV203)</f>
        <v>48028.631749523222</v>
      </c>
      <c r="DW204" s="2451">
        <f>$H202-SUM($I203:DW203)</f>
        <v>47193.894875649334</v>
      </c>
      <c r="DX204" s="2451">
        <f>$H202-SUM($I203:DX203)</f>
        <v>46373.66571567909</v>
      </c>
      <c r="DY204" s="2451">
        <f>$H202-SUM($I203:DY203)</f>
        <v>45567.692125770147</v>
      </c>
      <c r="DZ204" s="2451">
        <f>$H202-SUM($I203:DZ203)</f>
        <v>44775.726344336232</v>
      </c>
      <c r="EA204" s="2451">
        <f>$H202-SUM($I203:EA203)</f>
        <v>43997.524915883609</v>
      </c>
      <c r="EB204" s="2451">
        <f>$H202-SUM($I203:EB203)</f>
        <v>43232.84861617125</v>
      </c>
      <c r="EC204" s="2451">
        <f>$H202-SUM($I203:EC203)</f>
        <v>42481.462378671713</v>
      </c>
      <c r="ED204" s="2451">
        <f>$H202-SUM($I203:ED203)</f>
        <v>41743.135222310113</v>
      </c>
      <c r="EE204" s="2451">
        <f>$H202-SUM($I203:EE203)</f>
        <v>41017.64018045913</v>
      </c>
      <c r="EF204" s="2451">
        <f>$H202-SUM($I203:EF203)</f>
        <v>40304.754231167841</v>
      </c>
      <c r="EG204" s="2451">
        <f>$H202-SUM($I203:EG203)</f>
        <v>39604.258228603401</v>
      </c>
      <c r="EH204" s="2451">
        <f>$H202-SUM($I203:EH203)</f>
        <v>38915.936835684144</v>
      </c>
      <c r="EI204" s="2451">
        <f>$H202-SUM($I203:EI203)</f>
        <v>38239.578457883501</v>
      </c>
      <c r="EJ204" s="2451">
        <f>$H202-SUM($I203:EJ203)</f>
        <v>37574.975178184512</v>
      </c>
      <c r="EK204" s="2451">
        <f>$H202-SUM($I203:EK203)</f>
        <v>36921.922693164728</v>
      </c>
      <c r="EL204" s="2451">
        <f>$H202-SUM($I203:EL203)</f>
        <v>36280.220250192011</v>
      </c>
      <c r="EM204" s="2451">
        <f>$H202-SUM($I203:EM203)</f>
        <v>35649.670585711894</v>
      </c>
      <c r="EN204" s="2451">
        <f>$H202-SUM($I203:EN203)</f>
        <v>35030.079864607367</v>
      </c>
      <c r="EO204" s="2451">
        <f>$H202-SUM($I203:EO203)</f>
        <v>34421.257620612771</v>
      </c>
      <c r="EP204" s="2451">
        <f>$H202-SUM($I203:EP203)</f>
        <v>33823.016697763174</v>
      </c>
      <c r="EQ204" s="2451">
        <f>$H202-SUM($I203:EQ203)</f>
        <v>33235.173192861432</v>
      </c>
      <c r="ER204" s="2451">
        <f>$H202-SUM($I203:ER203)</f>
        <v>32657.546398945095</v>
      </c>
      <c r="ES204" s="2451">
        <f>$H202-SUM($I203:ES203)</f>
        <v>32089.958749735873</v>
      </c>
      <c r="ET204" s="2451">
        <f>$H202-SUM($I203:ET203)</f>
        <v>31532.235765054706</v>
      </c>
      <c r="EU204" s="2451">
        <f>$H202-SUM($I203:EU203)</f>
        <v>30984.205997185316</v>
      </c>
      <c r="EV204" s="2451">
        <f>$H202-SUM($I203:EV203)</f>
        <v>30445.700978170033</v>
      </c>
      <c r="EW204" s="2451">
        <f>$H202-SUM($I203:EW203)</f>
        <v>29916.555168021703</v>
      </c>
      <c r="EX204" s="2451">
        <f>$H202-SUM($I203:EX203)</f>
        <v>29396.605903835589</v>
      </c>
      <c r="EY204" s="2451">
        <f>$H202-SUM($I203:EY203)</f>
        <v>28885.693349785695</v>
      </c>
      <c r="EZ204" s="2451">
        <f>$H202-SUM($I203:EZ203)</f>
        <v>28383.660447990202</v>
      </c>
      <c r="FA204" s="2451">
        <f>$H202-SUM($I203:FA203)</f>
        <v>27890.352870230854</v>
      </c>
      <c r="FB204" s="2451">
        <f>$H202-SUM($I203:FB203)</f>
        <v>27405.618970511394</v>
      </c>
      <c r="FC204" s="2451">
        <f>$H202-SUM($I203:FC203)</f>
        <v>26929.309738440672</v>
      </c>
      <c r="FD204" s="2451">
        <f>$H202-SUM($I203:FD203)</f>
        <v>26461.27875342578</v>
      </c>
      <c r="FE204" s="2451">
        <f>$H202-SUM($I203:FE203)</f>
        <v>26001.382139661437</v>
      </c>
      <c r="FF204" s="2451">
        <f>$H202-SUM($I203:FF203)</f>
        <v>25549.478521901678</v>
      </c>
      <c r="FG204" s="2451">
        <f>$H202-SUM($I203:FG203)</f>
        <v>25105.42898200007</v>
      </c>
      <c r="FH204" s="2451">
        <f>$H202-SUM($I203:FH203)</f>
        <v>24669.0970162054</v>
      </c>
      <c r="FI204" s="2451">
        <f>$H202-SUM($I203:FI203)</f>
        <v>24240.348493199563</v>
      </c>
      <c r="FJ204" s="2451">
        <f>$H202-SUM($I203:FJ203)</f>
        <v>23819.051612864685</v>
      </c>
      <c r="FK204" s="2451">
        <f>$H202-SUM($I203:FK203)</f>
        <v>23405.076865766867</v>
      </c>
      <c r="FL204" s="2451">
        <f>$H202-SUM($I203:FL203)</f>
        <v>22998.296993344149</v>
      </c>
      <c r="FM204" s="2451">
        <f>$H202-SUM($I203:FM203)</f>
        <v>22598.586948786455</v>
      </c>
      <c r="FN204" s="2451">
        <f>$H202-SUM($I203:FN203)</f>
        <v>22205.823858595279</v>
      </c>
      <c r="FO204" s="2451">
        <f>$H202-SUM($I203:FO203)</f>
        <v>21819.886984811601</v>
      </c>
      <c r="FP204" s="2451">
        <f>$H202-SUM($I203:FP203)</f>
        <v>21440.657687900297</v>
      </c>
      <c r="FQ204" s="2451">
        <f>$H202-SUM($I203:FQ203)</f>
        <v>21068.019390279514</v>
      </c>
      <c r="FR204" s="2451">
        <f>$H202-SUM($I203:FR203)</f>
        <v>20701.857540483936</v>
      </c>
      <c r="FS204" s="2451">
        <f>$H202-SUM($I203:FS203)</f>
        <v>20342.059577950946</v>
      </c>
      <c r="FT204" s="2451">
        <f>$H202-SUM($I203:FT203)</f>
        <v>19988.51489841874</v>
      </c>
      <c r="FU204" s="2451">
        <f>$H202-SUM($I203:FU203)</f>
        <v>19641.114819925919</v>
      </c>
      <c r="FV204" s="2451">
        <f>$H202-SUM($I203:FV203)</f>
        <v>19299.752549401834</v>
      </c>
      <c r="FW204" s="2451">
        <f>$H202-SUM($I203:FW203)</f>
        <v>18964.323149837757</v>
      </c>
      <c r="FX204" s="2451">
        <f>$H202-SUM($I203:FX203)</f>
        <v>18634.723508028546</v>
      </c>
      <c r="FY204" s="2451">
        <f>$H202-SUM($I203:FY203)</f>
        <v>18310.852302874962</v>
      </c>
      <c r="FZ204" s="2451">
        <f>$H202-SUM($I203:FZ203)</f>
        <v>17992.609974236897</v>
      </c>
      <c r="GA204" s="2451">
        <f>$H202-SUM($I203:GA203)</f>
        <v>17679.89869232793</v>
      </c>
      <c r="GB204" s="2451">
        <f>$H202-SUM($I203:GB203)</f>
        <v>17372.622327641846</v>
      </c>
      <c r="GC204" s="2451">
        <f>$H202-SUM($I203:GC203)</f>
        <v>17070.686421401682</v>
      </c>
      <c r="GD204" s="2451">
        <f>$H202-SUM($I203:GD203)</f>
        <v>16773.998156522604</v>
      </c>
      <c r="GE204" s="2451">
        <f>$H202-SUM($I203:GE203)</f>
        <v>16482.466329079267</v>
      </c>
      <c r="GF204" s="2451">
        <f>$H202-SUM($I203:GF203)</f>
        <v>16196.001320269104</v>
      </c>
      <c r="GG204" s="2451">
        <f>$H202-SUM($I203:GG203)</f>
        <v>15914.515068862966</v>
      </c>
      <c r="GH204" s="2451">
        <f>$H202-SUM($I203:GH203)</f>
        <v>15637.921044134506</v>
      </c>
      <c r="GI204" s="2451">
        <f>$H202-SUM($I203:GI203)</f>
        <v>15366.134219260042</v>
      </c>
      <c r="GJ204" s="2451">
        <f>$H202-SUM($I203:GJ203)</f>
        <v>15099.071045180783</v>
      </c>
      <c r="GK204" s="2451">
        <f>$H202-SUM($I203:GK203)</f>
        <v>14836.649424919247</v>
      </c>
      <c r="GL204" s="2451">
        <f>$H202-SUM($I203:GL203)</f>
        <v>14578.788688342203</v>
      </c>
      <c r="GM204" s="2451">
        <f>$H202-SUM($I203:GM203)</f>
        <v>14325.409567362018</v>
      </c>
      <c r="GN204" s="2451">
        <f>$H202-SUM($I203:GN203)</f>
        <v>14076.434171569243</v>
      </c>
      <c r="GO204" s="2451">
        <f>$H202-SUM($I203:GO203)</f>
        <v>13831.785964288516</v>
      </c>
      <c r="GP204" s="2451">
        <f>$H202-SUM($I203:GP203)</f>
        <v>13591.389739050705</v>
      </c>
      <c r="GQ204" s="2451">
        <f>$H202-SUM($I203:GQ203)</f>
        <v>13355.171596473927</v>
      </c>
      <c r="GR204" s="2451">
        <f>$H202-SUM($I203:GR203)</f>
        <v>13123.058921546413</v>
      </c>
      <c r="GS204" s="2451">
        <f>$H202-SUM($I203:GS203)</f>
        <v>12894.980361304217</v>
      </c>
      <c r="GT204" s="2451">
        <f>$H202-SUM($I203:GT203)</f>
        <v>12670.865802896733</v>
      </c>
      <c r="GU204" s="2451">
        <f>$H202-SUM($I203:GU203)</f>
        <v>12450.646352033655</v>
      </c>
      <c r="GV204" s="2451">
        <f>$H202-SUM($I203:GV203)</f>
        <v>12234.254311806348</v>
      </c>
      <c r="GW204" s="2451">
        <f>$H202-SUM($I203:GW203)</f>
        <v>12021.623161877389</v>
      </c>
      <c r="GX204" s="2451">
        <f>$H202-SUM($I203:GX203)</f>
        <v>11812.687538031838</v>
      </c>
      <c r="GY204" s="2451">
        <f>$H202-SUM($I203:GY203)</f>
        <v>11607.383212083747</v>
      </c>
      <c r="GZ204" s="2451">
        <f>$H202-SUM($I203:GZ203)</f>
        <v>11405.647072132037</v>
      </c>
      <c r="HA204" s="2451">
        <f>$H202-SUM($I203:HA203)</f>
        <v>11207.417103159532</v>
      </c>
      <c r="HB204" s="2451">
        <f>$H202-SUM($I203:HB203)</f>
        <v>11012.632367969054</v>
      </c>
      <c r="HC204" s="2451">
        <f>$H202-SUM($I203:HC203)</f>
        <v>10821.232988450967</v>
      </c>
      <c r="HD204" s="2451">
        <f>$H202-SUM($I203:HD203)</f>
        <v>10633.160127176292</v>
      </c>
      <c r="HE204" s="2451">
        <f>$H202-SUM($I203:HE203)</f>
        <v>10448.355969309603</v>
      </c>
      <c r="HF204" s="2451">
        <f>$H202-SUM($I203:HF203)</f>
        <v>10266.763704836456</v>
      </c>
      <c r="HG204" s="2451">
        <f>$H202-SUM($I203:HG203)</f>
        <v>10088.327511099546</v>
      </c>
      <c r="HH204" s="2451">
        <f>$H202-SUM($I203:HH203)</f>
        <v>9912.9925356384774</v>
      </c>
      <c r="HI204" s="2451">
        <f>$H202-SUM($I203:HI203)</f>
        <v>9740.7048793277936</v>
      </c>
      <c r="HJ204" s="2451">
        <f>$H202-SUM($I203:HJ203)</f>
        <v>9571.4115798079874</v>
      </c>
      <c r="HK204" s="2451">
        <f>$H202-SUM($I203:HK203)</f>
        <v>9405.0605952045589</v>
      </c>
      <c r="HL204" s="2451">
        <f>$H202-SUM($I203:HL203)</f>
        <v>9241.6007881299302</v>
      </c>
      <c r="HM204" s="2451">
        <f>$H202-SUM($I203:HM203)</f>
        <v>9080.9819099635642</v>
      </c>
      <c r="HN204" s="2451">
        <f>$H202-SUM($I203:HN203)</f>
        <v>8923.1545854051656</v>
      </c>
      <c r="HO204" s="2451">
        <f>$H202-SUM($I203:HO203)</f>
        <v>8768.0702972963627</v>
      </c>
      <c r="HP204" s="2451">
        <f>$H202-SUM($I203:HP203)</f>
        <v>8615.681371706276</v>
      </c>
      <c r="HQ204" s="2451">
        <f>$H202-SUM($I203:HQ203)</f>
        <v>8465.9409632761963</v>
      </c>
      <c r="HR204" s="2451">
        <f>$H202-SUM($I203:HR203)</f>
        <v>8318.8030408190098</v>
      </c>
      <c r="HS204" s="2451">
        <f>$H202-SUM($I203:HS203)</f>
        <v>8174.2223731689446</v>
      </c>
      <c r="HT204" s="2451">
        <f>$H202-SUM($I203:HT203)</f>
        <v>8032.1545152771287</v>
      </c>
      <c r="HU204" s="2451">
        <f>$H202-SUM($I203:HU203)</f>
        <v>7892.5557945490291</v>
      </c>
      <c r="HV204" s="2451">
        <f>$H202-SUM($I203:HV203)</f>
        <v>7755.3832974190882</v>
      </c>
      <c r="HW204" s="2451">
        <f>$H202-SUM($I203:HW203)</f>
        <v>7620.5948561588302</v>
      </c>
      <c r="HX204" s="2451">
        <f>$H202-SUM($I203:HX203)</f>
        <v>7488.1490359142772</v>
      </c>
      <c r="HY204" s="2451">
        <f>$H202-SUM($I203:HY203)</f>
        <v>7358.0051219685411</v>
      </c>
      <c r="HZ204" s="2451">
        <f>$H202-SUM($I203:HZ203)</f>
        <v>7230.1231072259252</v>
      </c>
      <c r="IA204" s="2451">
        <f>$H202-SUM($I203:IA203)</f>
        <v>7106.52931433497</v>
      </c>
    </row>
    <row r="205" spans="2:311">
      <c r="C205" s="2383"/>
      <c r="D205" s="2406" t="s">
        <v>3931</v>
      </c>
      <c r="E205" s="2356"/>
      <c r="F205" s="2356"/>
      <c r="G205" s="2461"/>
      <c r="H205" s="2447"/>
      <c r="I205" s="2459"/>
      <c r="J205" s="2655">
        <f t="shared" ref="J205:AO205" si="309">J$28</f>
        <v>0</v>
      </c>
      <c r="K205" s="2462">
        <f t="shared" si="309"/>
        <v>0</v>
      </c>
      <c r="L205" s="2464">
        <f t="shared" si="309"/>
        <v>0</v>
      </c>
      <c r="M205" s="2655">
        <f t="shared" si="309"/>
        <v>0</v>
      </c>
      <c r="N205" s="2655">
        <f t="shared" si="309"/>
        <v>0</v>
      </c>
      <c r="O205" s="2462">
        <f t="shared" si="309"/>
        <v>0</v>
      </c>
      <c r="P205" s="2463">
        <f t="shared" si="309"/>
        <v>0</v>
      </c>
      <c r="Q205" s="2463">
        <f t="shared" si="309"/>
        <v>0</v>
      </c>
      <c r="R205" s="2464">
        <f t="shared" si="309"/>
        <v>0</v>
      </c>
      <c r="S205" s="2462">
        <f t="shared" si="309"/>
        <v>0</v>
      </c>
      <c r="T205" s="2463">
        <f t="shared" si="309"/>
        <v>0</v>
      </c>
      <c r="U205" s="2465">
        <f t="shared" si="309"/>
        <v>0</v>
      </c>
      <c r="V205" s="2465">
        <f t="shared" si="309"/>
        <v>0</v>
      </c>
      <c r="W205" s="2465">
        <f t="shared" si="309"/>
        <v>0</v>
      </c>
      <c r="X205" s="2465">
        <f t="shared" si="309"/>
        <v>0</v>
      </c>
      <c r="Y205" s="2465">
        <f t="shared" si="309"/>
        <v>0</v>
      </c>
      <c r="Z205" s="2465">
        <f t="shared" si="309"/>
        <v>0</v>
      </c>
      <c r="AA205" s="2465">
        <f t="shared" si="309"/>
        <v>0</v>
      </c>
      <c r="AB205" s="2465">
        <f t="shared" si="309"/>
        <v>0</v>
      </c>
      <c r="AC205" s="2465">
        <f t="shared" si="309"/>
        <v>0</v>
      </c>
      <c r="AD205" s="2465">
        <f t="shared" si="309"/>
        <v>0</v>
      </c>
      <c r="AE205" s="2465">
        <f t="shared" si="309"/>
        <v>0</v>
      </c>
      <c r="AF205" s="2465">
        <f t="shared" si="309"/>
        <v>0</v>
      </c>
      <c r="AG205" s="2465">
        <f t="shared" si="309"/>
        <v>0</v>
      </c>
      <c r="AH205" s="2465">
        <f t="shared" si="309"/>
        <v>0</v>
      </c>
      <c r="AI205" s="2465">
        <f t="shared" si="309"/>
        <v>0</v>
      </c>
      <c r="AJ205" s="2465">
        <f t="shared" si="309"/>
        <v>1.0079961809285116</v>
      </c>
      <c r="AK205" s="2465">
        <f t="shared" si="309"/>
        <v>1.0106217925766798</v>
      </c>
      <c r="AL205" s="2465">
        <f t="shared" si="309"/>
        <v>1.0227950829454588</v>
      </c>
      <c r="AM205" s="2465">
        <f t="shared" si="309"/>
        <v>1.0268528464017186</v>
      </c>
      <c r="AN205" s="2465">
        <f t="shared" si="309"/>
        <v>1.0423678243227115</v>
      </c>
      <c r="AO205" s="2465">
        <f t="shared" si="309"/>
        <v>1.0412937104666427</v>
      </c>
      <c r="AP205" s="2465">
        <f t="shared" ref="AP205:BU205" si="310">AP$28</f>
        <v>1.0650435612841627</v>
      </c>
      <c r="AQ205" s="2465">
        <f t="shared" si="310"/>
        <v>1.0701754385964912</v>
      </c>
      <c r="AR205" s="2465">
        <f t="shared" si="310"/>
        <v>1.0815133070772169</v>
      </c>
      <c r="AS205" s="2465">
        <f t="shared" si="310"/>
        <v>1.0846163026614153</v>
      </c>
      <c r="AT205" s="2465">
        <f t="shared" si="310"/>
        <v>1.093328559493973</v>
      </c>
      <c r="AU205" s="2465">
        <f t="shared" si="310"/>
        <v>1.0936865974459959</v>
      </c>
      <c r="AV205" s="2465">
        <f t="shared" si="310"/>
        <v>1.1040696980546605</v>
      </c>
      <c r="AW205" s="2465">
        <f t="shared" si="310"/>
        <v>1.1001312805824084</v>
      </c>
      <c r="AX205" s="2465">
        <f t="shared" si="310"/>
        <v>1.1093209213509965</v>
      </c>
      <c r="AY205" s="2465">
        <f t="shared" si="310"/>
        <v>1.106456617734813</v>
      </c>
      <c r="AZ205" s="2465">
        <f t="shared" si="310"/>
        <v>1.1149301825993554</v>
      </c>
      <c r="BA205" s="2465">
        <f t="shared" si="310"/>
        <v>1.1126626089032103</v>
      </c>
      <c r="BB205" s="2465">
        <f t="shared" si="310"/>
        <v>1.1236424394319131</v>
      </c>
      <c r="BC205" s="2465">
        <f t="shared" si="310"/>
        <v>1.1248358992719893</v>
      </c>
      <c r="BD205" s="2465">
        <f t="shared" si="310"/>
        <v>1.1277002028881726</v>
      </c>
      <c r="BE205" s="2465">
        <f t="shared" si="310"/>
        <v>1.1219715956558061</v>
      </c>
      <c r="BF205" s="2465">
        <f t="shared" si="310"/>
        <v>1.1290130087122567</v>
      </c>
      <c r="BG205" s="2465">
        <f t="shared" si="310"/>
        <v>1.1327127342164935</v>
      </c>
      <c r="BH205" s="2465">
        <f t="shared" si="310"/>
        <v>1.1334288101205394</v>
      </c>
      <c r="BI205" s="2465">
        <f t="shared" si="310"/>
        <v>1.1346222699606157</v>
      </c>
      <c r="BJ205" s="2465">
        <f t="shared" si="310"/>
        <v>1.1384413414488601</v>
      </c>
      <c r="BK205" s="2465">
        <f t="shared" si="310"/>
        <v>1.1410669530970281</v>
      </c>
      <c r="BL205" s="2465">
        <f t="shared" si="310"/>
        <v>1.148705096073517</v>
      </c>
      <c r="BM205" s="2465">
        <f t="shared" si="310"/>
        <v>1.1497792099295858</v>
      </c>
      <c r="BN205" s="2465">
        <f t="shared" si="310"/>
        <v>1.1644587659625252</v>
      </c>
      <c r="BO205" s="2465">
        <f t="shared" si="310"/>
        <v>1.1617138083303495</v>
      </c>
      <c r="BP205" s="2465">
        <f t="shared" si="310"/>
        <v>1.1716195250029835</v>
      </c>
      <c r="BQ205" s="2465">
        <f t="shared" si="310"/>
        <v>1.1660102637546246</v>
      </c>
      <c r="BR205" s="2465">
        <f t="shared" si="310"/>
        <v>1.1785415920754265</v>
      </c>
      <c r="BS205" s="2465">
        <f t="shared" si="310"/>
        <v>1.1788996300274495</v>
      </c>
      <c r="BT205" s="2465">
        <f t="shared" si="310"/>
        <v>1.1960854517245494</v>
      </c>
      <c r="BU205" s="2465">
        <f t="shared" si="310"/>
        <v>1.1814058956916098</v>
      </c>
      <c r="BV205" s="2465">
        <f t="shared" ref="BV205:DA205" si="311">BV$28</f>
        <v>1.1829573934837092</v>
      </c>
      <c r="BW205" s="2465">
        <f t="shared" si="311"/>
        <v>1.1873731948919917</v>
      </c>
      <c r="BX205" s="2465">
        <f t="shared" si="311"/>
        <v>1.190953574412221</v>
      </c>
      <c r="BY205" s="2465">
        <f t="shared" si="311"/>
        <v>1.1901181525241675</v>
      </c>
      <c r="BZ205" s="2465">
        <f t="shared" si="311"/>
        <v>1.1927437641723355</v>
      </c>
      <c r="CA205" s="2465">
        <f t="shared" si="311"/>
        <v>1.1899988065401597</v>
      </c>
      <c r="CB205" s="2465">
        <f t="shared" si="311"/>
        <v>1.2022914428929465</v>
      </c>
      <c r="CC205" s="2465">
        <f t="shared" si="311"/>
        <v>1.1973982575486333</v>
      </c>
      <c r="CD205" s="2465">
        <f t="shared" si="311"/>
        <v>1.2154195011337867</v>
      </c>
      <c r="CE205" s="2465">
        <f t="shared" si="311"/>
        <v>1.2179257667979471</v>
      </c>
      <c r="CF205" s="2465">
        <f t="shared" si="311"/>
        <v>1.2312925170068028</v>
      </c>
      <c r="CG205" s="2465">
        <f t="shared" si="311"/>
        <v>1.2416756176154673</v>
      </c>
      <c r="CH205" s="2465">
        <f t="shared" ca="1" si="311"/>
        <v>1.2463059364258169</v>
      </c>
      <c r="CI205" s="2465">
        <f t="shared" ca="1" si="311"/>
        <v>1.250953522106822</v>
      </c>
      <c r="CJ205" s="2465">
        <f t="shared" ca="1" si="311"/>
        <v>1.255618439048179</v>
      </c>
      <c r="CK205" s="2465">
        <f t="shared" ca="1" si="311"/>
        <v>1.2603007518796991</v>
      </c>
      <c r="CL205" s="2465">
        <f t="shared" ca="1" si="311"/>
        <v>1.2650005254722041</v>
      </c>
      <c r="CM205" s="2465">
        <f t="shared" ca="1" si="311"/>
        <v>1.2697178249384242</v>
      </c>
      <c r="CN205" s="2465">
        <f t="shared" ca="1" si="311"/>
        <v>1.2744527156339016</v>
      </c>
      <c r="CO205" s="2465">
        <f t="shared" ca="1" si="311"/>
        <v>1.2792052631578945</v>
      </c>
      <c r="CP205" s="2465">
        <f t="shared" ca="1" si="311"/>
        <v>1.283975533354287</v>
      </c>
      <c r="CQ205" s="2465">
        <f t="shared" ca="1" si="311"/>
        <v>1.2887635923125005</v>
      </c>
      <c r="CR205" s="2465">
        <f t="shared" ca="1" si="311"/>
        <v>1.2935695063684101</v>
      </c>
      <c r="CS205" s="2465">
        <f t="shared" ca="1" si="311"/>
        <v>1.2983933421052629</v>
      </c>
      <c r="CT205" s="2465">
        <f t="shared" ca="1" si="311"/>
        <v>1.3032351663546011</v>
      </c>
      <c r="CU205" s="2465">
        <f t="shared" ca="1" si="311"/>
        <v>1.3080950461971879</v>
      </c>
      <c r="CV205" s="2465">
        <f t="shared" ca="1" si="311"/>
        <v>1.312973048963936</v>
      </c>
      <c r="CW205" s="2465">
        <f t="shared" ca="1" si="311"/>
        <v>1.3178692422368417</v>
      </c>
      <c r="CX205" s="2465">
        <f t="shared" ca="1" si="311"/>
        <v>1.32278369384992</v>
      </c>
      <c r="CY205" s="2465">
        <f t="shared" ca="1" si="311"/>
        <v>1.3277164718901455</v>
      </c>
      <c r="CZ205" s="2465">
        <f t="shared" ca="1" si="311"/>
        <v>1.3326676446983949</v>
      </c>
      <c r="DA205" s="2465">
        <f t="shared" ca="1" si="311"/>
        <v>1.3376372808703942</v>
      </c>
      <c r="DB205" s="2465">
        <f t="shared" ref="DB205:EG205" ca="1" si="312">DB$28</f>
        <v>1.3426254492576688</v>
      </c>
      <c r="DC205" s="2465">
        <f t="shared" ca="1" si="312"/>
        <v>1.3476322189684977</v>
      </c>
      <c r="DD205" s="2465">
        <f t="shared" ca="1" si="312"/>
        <v>1.3526576593688708</v>
      </c>
      <c r="DE205" s="2465">
        <f t="shared" ca="1" si="312"/>
        <v>1.35770184008345</v>
      </c>
      <c r="DF205" s="2465">
        <f t="shared" ca="1" si="312"/>
        <v>1.3627648309965337</v>
      </c>
      <c r="DG205" s="2465">
        <f t="shared" ca="1" si="312"/>
        <v>1.367846702253025</v>
      </c>
      <c r="DH205" s="2465">
        <f t="shared" ca="1" si="312"/>
        <v>1.3729475242594036</v>
      </c>
      <c r="DI205" s="2465">
        <f t="shared" ca="1" si="312"/>
        <v>1.3780673676847015</v>
      </c>
      <c r="DJ205" s="2465">
        <f t="shared" ca="1" si="312"/>
        <v>1.3832063034614814</v>
      </c>
      <c r="DK205" s="2465">
        <f t="shared" ca="1" si="312"/>
        <v>1.3883644027868201</v>
      </c>
      <c r="DL205" s="2465">
        <f t="shared" ca="1" si="312"/>
        <v>1.3935417371232945</v>
      </c>
      <c r="DM205" s="2465">
        <f t="shared" ca="1" si="312"/>
        <v>1.3987383781999718</v>
      </c>
      <c r="DN205" s="2465">
        <f t="shared" ca="1" si="312"/>
        <v>1.4039543980134035</v>
      </c>
      <c r="DO205" s="2465">
        <f t="shared" ca="1" si="312"/>
        <v>1.4091898688286222</v>
      </c>
      <c r="DP205" s="2465">
        <f t="shared" ca="1" si="312"/>
        <v>1.4144448631801436</v>
      </c>
      <c r="DQ205" s="2465">
        <f t="shared" ca="1" si="312"/>
        <v>1.4197194538729712</v>
      </c>
      <c r="DR205" s="2465">
        <f t="shared" ca="1" si="312"/>
        <v>1.4250137139836043</v>
      </c>
      <c r="DS205" s="2465">
        <f t="shared" ca="1" si="312"/>
        <v>1.4303277168610513</v>
      </c>
      <c r="DT205" s="2465">
        <f t="shared" ca="1" si="312"/>
        <v>1.4356615361278457</v>
      </c>
      <c r="DU205" s="2465">
        <f t="shared" ca="1" si="312"/>
        <v>1.4410152456810656</v>
      </c>
      <c r="DV205" s="2465">
        <f t="shared" ca="1" si="312"/>
        <v>1.4463889196933581</v>
      </c>
      <c r="DW205" s="2465">
        <f t="shared" ca="1" si="312"/>
        <v>1.4517826326139669</v>
      </c>
      <c r="DX205" s="2465">
        <f t="shared" ca="1" si="312"/>
        <v>1.4571964591697633</v>
      </c>
      <c r="DY205" s="2465">
        <f t="shared" ca="1" si="312"/>
        <v>1.4626304743662815</v>
      </c>
      <c r="DZ205" s="2465">
        <f t="shared" ca="1" si="312"/>
        <v>1.4680847534887584</v>
      </c>
      <c r="EA205" s="2465">
        <f t="shared" ca="1" si="312"/>
        <v>1.4735593721031763</v>
      </c>
      <c r="EB205" s="2465">
        <f t="shared" ca="1" si="312"/>
        <v>1.4790544060573094</v>
      </c>
      <c r="EC205" s="2465">
        <f t="shared" ca="1" si="312"/>
        <v>1.4845699314817755</v>
      </c>
      <c r="ED205" s="2465">
        <f t="shared" ca="1" si="312"/>
        <v>1.4901060247910896</v>
      </c>
      <c r="EE205" s="2465">
        <f t="shared" ca="1" si="312"/>
        <v>1.4956627626847236</v>
      </c>
      <c r="EF205" s="2465">
        <f t="shared" ca="1" si="312"/>
        <v>1.5012402221481689</v>
      </c>
      <c r="EG205" s="2465">
        <f t="shared" ca="1" si="312"/>
        <v>1.5068384804540018</v>
      </c>
      <c r="EH205" s="2465">
        <f t="shared" ref="EH205:GS205" ca="1" si="313">EH$28</f>
        <v>1.5124576151629556</v>
      </c>
      <c r="EI205" s="2465">
        <f t="shared" ca="1" si="313"/>
        <v>1.5180977041249943</v>
      </c>
      <c r="EJ205" s="2465">
        <f t="shared" ca="1" si="313"/>
        <v>1.5237588254803913</v>
      </c>
      <c r="EK205" s="2465">
        <f t="shared" ca="1" si="313"/>
        <v>1.5294410576608117</v>
      </c>
      <c r="EL205" s="2465">
        <f t="shared" ca="1" si="313"/>
        <v>1.5351444793903999</v>
      </c>
      <c r="EM205" s="2465">
        <f t="shared" ca="1" si="313"/>
        <v>1.540869169686869</v>
      </c>
      <c r="EN205" s="2465">
        <f t="shared" ca="1" si="313"/>
        <v>1.5466152078625968</v>
      </c>
      <c r="EO205" s="2465">
        <f t="shared" ca="1" si="313"/>
        <v>1.5523826735257236</v>
      </c>
      <c r="EP205" s="2465">
        <f t="shared" ca="1" si="313"/>
        <v>1.5581716465812556</v>
      </c>
      <c r="EQ205" s="2465">
        <f t="shared" ca="1" si="313"/>
        <v>1.5639822072321719</v>
      </c>
      <c r="ER205" s="2465">
        <f t="shared" ca="1" si="313"/>
        <v>1.5698144359805355</v>
      </c>
      <c r="ES205" s="2465">
        <f t="shared" ca="1" si="313"/>
        <v>1.5756684136286092</v>
      </c>
      <c r="ET205" s="2465">
        <f t="shared" ca="1" si="313"/>
        <v>1.5815442212799742</v>
      </c>
      <c r="EU205" s="2465">
        <f t="shared" ca="1" si="313"/>
        <v>1.5874419403406541</v>
      </c>
      <c r="EV205" s="2465">
        <f t="shared" ca="1" si="313"/>
        <v>1.5933616525202432</v>
      </c>
      <c r="EW205" s="2465">
        <f t="shared" ca="1" si="313"/>
        <v>1.5993034398330379</v>
      </c>
      <c r="EX205" s="2465">
        <f t="shared" ca="1" si="313"/>
        <v>1.6052673845991734</v>
      </c>
      <c r="EY205" s="2465">
        <f t="shared" ca="1" si="313"/>
        <v>1.6112535694457637</v>
      </c>
      <c r="EZ205" s="2465">
        <f t="shared" ca="1" si="313"/>
        <v>1.6172620773080468</v>
      </c>
      <c r="FA205" s="2465">
        <f t="shared" ca="1" si="313"/>
        <v>1.6232929914305336</v>
      </c>
      <c r="FB205" s="2465">
        <f t="shared" ca="1" si="313"/>
        <v>1.6293463953681611</v>
      </c>
      <c r="FC205" s="2465">
        <f t="shared" ca="1" si="313"/>
        <v>1.6354223729874502</v>
      </c>
      <c r="FD205" s="2465">
        <f t="shared" ca="1" si="313"/>
        <v>1.6415210084676675</v>
      </c>
      <c r="FE205" s="2465">
        <f t="shared" ca="1" si="313"/>
        <v>1.6476423863019916</v>
      </c>
      <c r="FF205" s="2465">
        <f t="shared" ca="1" si="313"/>
        <v>1.6537865912986836</v>
      </c>
      <c r="FG205" s="2465">
        <f t="shared" ca="1" si="313"/>
        <v>1.659953708582262</v>
      </c>
      <c r="FH205" s="2465">
        <f t="shared" ca="1" si="313"/>
        <v>1.6661438235946826</v>
      </c>
      <c r="FI205" s="2465">
        <f t="shared" ca="1" si="313"/>
        <v>1.6723570220965214</v>
      </c>
      <c r="FJ205" s="2465">
        <f t="shared" ca="1" si="313"/>
        <v>1.6785933901681636</v>
      </c>
      <c r="FK205" s="2465">
        <f t="shared" ca="1" si="313"/>
        <v>1.6848530142109956</v>
      </c>
      <c r="FL205" s="2465">
        <f t="shared" ca="1" si="313"/>
        <v>1.6911359809486024</v>
      </c>
      <c r="FM205" s="2465">
        <f t="shared" ca="1" si="313"/>
        <v>1.6974423774279688</v>
      </c>
      <c r="FN205" s="2465">
        <f t="shared" ca="1" si="313"/>
        <v>1.7037722910206856</v>
      </c>
      <c r="FO205" s="2465">
        <f t="shared" ca="1" si="313"/>
        <v>1.7101258094241603</v>
      </c>
      <c r="FP205" s="2465">
        <f t="shared" ca="1" si="313"/>
        <v>1.7165030206628311</v>
      </c>
      <c r="FQ205" s="2465">
        <f t="shared" ca="1" si="313"/>
        <v>1.722904013089388</v>
      </c>
      <c r="FR205" s="2465">
        <f t="shared" ca="1" si="313"/>
        <v>1.7293288753859957</v>
      </c>
      <c r="FS205" s="2465">
        <f t="shared" ca="1" si="313"/>
        <v>1.7357776965655223</v>
      </c>
      <c r="FT205" s="2465">
        <f t="shared" ca="1" si="313"/>
        <v>1.7422505659727734</v>
      </c>
      <c r="FU205" s="2465">
        <f t="shared" ca="1" si="313"/>
        <v>1.7487475732857287</v>
      </c>
      <c r="FV205" s="2465">
        <f t="shared" ca="1" si="313"/>
        <v>1.7552688085167856</v>
      </c>
      <c r="FW205" s="2465">
        <f t="shared" ca="1" si="313"/>
        <v>1.7618143620140052</v>
      </c>
      <c r="FX205" s="2465">
        <f t="shared" ca="1" si="313"/>
        <v>1.7683843244623649</v>
      </c>
      <c r="FY205" s="2465">
        <f t="shared" ca="1" si="313"/>
        <v>1.7749787868850146</v>
      </c>
      <c r="FZ205" s="2465">
        <f t="shared" ca="1" si="313"/>
        <v>1.7815978406445372</v>
      </c>
      <c r="GA205" s="2465">
        <f t="shared" ca="1" si="313"/>
        <v>1.7882415774442151</v>
      </c>
      <c r="GB205" s="2465">
        <f t="shared" ca="1" si="313"/>
        <v>1.7949100893293002</v>
      </c>
      <c r="GC205" s="2465">
        <f t="shared" ca="1" si="313"/>
        <v>1.8016034686882896</v>
      </c>
      <c r="GD205" s="2465">
        <f t="shared" ca="1" si="313"/>
        <v>1.808321808254205</v>
      </c>
      <c r="GE205" s="2465">
        <f t="shared" ca="1" si="313"/>
        <v>1.8150652011058781</v>
      </c>
      <c r="GF205" s="2465">
        <f t="shared" ca="1" si="313"/>
        <v>1.8218337406692395</v>
      </c>
      <c r="GG205" s="2465">
        <f t="shared" ca="1" si="313"/>
        <v>1.8286275207186138</v>
      </c>
      <c r="GH205" s="2465">
        <f t="shared" ca="1" si="313"/>
        <v>1.8354466353780179</v>
      </c>
      <c r="GI205" s="2465">
        <f t="shared" ca="1" si="313"/>
        <v>1.8422911791224661</v>
      </c>
      <c r="GJ205" s="2465">
        <f t="shared" ca="1" si="313"/>
        <v>1.849161246779278</v>
      </c>
      <c r="GK205" s="2465">
        <f t="shared" ca="1" si="313"/>
        <v>1.8560569335293928</v>
      </c>
      <c r="GL205" s="2465">
        <f t="shared" ca="1" si="313"/>
        <v>1.8629783349086881</v>
      </c>
      <c r="GM205" s="2465">
        <f t="shared" ca="1" si="313"/>
        <v>1.869925546809303</v>
      </c>
      <c r="GN205" s="2465">
        <f t="shared" ca="1" si="313"/>
        <v>1.876898665480967</v>
      </c>
      <c r="GO205" s="2465">
        <f t="shared" ca="1" si="313"/>
        <v>1.8838977875323335</v>
      </c>
      <c r="GP205" s="2465">
        <f t="shared" ca="1" si="313"/>
        <v>1.8909230099323182</v>
      </c>
      <c r="GQ205" s="2465">
        <f t="shared" ca="1" si="313"/>
        <v>1.8979744300114423</v>
      </c>
      <c r="GR205" s="2465">
        <f t="shared" ca="1" si="313"/>
        <v>1.9050521454631812</v>
      </c>
      <c r="GS205" s="2465">
        <f t="shared" ca="1" si="313"/>
        <v>1.9121562543453183</v>
      </c>
      <c r="GT205" s="2465">
        <f t="shared" ref="GT205:IA205" ca="1" si="314">GT$28</f>
        <v>1.9192868550813027</v>
      </c>
      <c r="GU205" s="2465">
        <f t="shared" ca="1" si="314"/>
        <v>1.9264440464616137</v>
      </c>
      <c r="GV205" s="2465">
        <f t="shared" ca="1" si="314"/>
        <v>1.9336279276451287</v>
      </c>
      <c r="GW205" s="2465">
        <f t="shared" ca="1" si="314"/>
        <v>1.9408385981604979</v>
      </c>
      <c r="GX205" s="2465">
        <f t="shared" ca="1" si="314"/>
        <v>1.9480761579075221</v>
      </c>
      <c r="GY205" s="2465">
        <f t="shared" ca="1" si="314"/>
        <v>1.9553407071585378</v>
      </c>
      <c r="GZ205" s="2465">
        <f t="shared" ca="1" si="314"/>
        <v>1.9626323465598057</v>
      </c>
      <c r="HA205" s="2465">
        <f t="shared" ca="1" si="314"/>
        <v>1.9699511771329052</v>
      </c>
      <c r="HB205" s="2465">
        <f t="shared" ca="1" si="314"/>
        <v>1.9772973002761347</v>
      </c>
      <c r="HC205" s="2465">
        <f t="shared" ca="1" si="314"/>
        <v>1.9846708177659156</v>
      </c>
      <c r="HD205" s="2465">
        <f t="shared" ca="1" si="314"/>
        <v>1.9920718317582025</v>
      </c>
      <c r="HE205" s="2465">
        <f t="shared" ca="1" si="314"/>
        <v>1.9995004447898985</v>
      </c>
      <c r="HF205" s="2465">
        <f t="shared" ca="1" si="314"/>
        <v>2.0069567597802767</v>
      </c>
      <c r="HG205" s="2465">
        <f t="shared" ca="1" si="314"/>
        <v>2.0144408800324043</v>
      </c>
      <c r="HH205" s="2465">
        <f t="shared" ca="1" si="314"/>
        <v>2.0219529092345754</v>
      </c>
      <c r="HI205" s="2465">
        <f t="shared" ca="1" si="314"/>
        <v>2.029492951461747</v>
      </c>
      <c r="HJ205" s="2465">
        <f t="shared" ca="1" si="314"/>
        <v>2.0370611111769805</v>
      </c>
      <c r="HK205" s="2465">
        <f t="shared" ca="1" si="314"/>
        <v>2.04465749323289</v>
      </c>
      <c r="HL205" s="2465">
        <f t="shared" ca="1" si="314"/>
        <v>2.0522822028730938</v>
      </c>
      <c r="HM205" s="2465">
        <f t="shared" ca="1" si="314"/>
        <v>2.0599353457336731</v>
      </c>
      <c r="HN205" s="2465">
        <f t="shared" ca="1" si="314"/>
        <v>2.0676170278446353</v>
      </c>
      <c r="HO205" s="2465">
        <f t="shared" ca="1" si="314"/>
        <v>2.0753273556313836</v>
      </c>
      <c r="HP205" s="2465">
        <f t="shared" ca="1" si="314"/>
        <v>2.0830664359161903</v>
      </c>
      <c r="HQ205" s="2465">
        <f t="shared" ca="1" si="314"/>
        <v>2.0908343759196781</v>
      </c>
      <c r="HR205" s="2465">
        <f t="shared" ca="1" si="314"/>
        <v>2.0986312832623049</v>
      </c>
      <c r="HS205" s="2465">
        <f t="shared" ca="1" si="314"/>
        <v>2.106457265965854</v>
      </c>
      <c r="HT205" s="2465">
        <f t="shared" ca="1" si="314"/>
        <v>2.1143124324549327</v>
      </c>
      <c r="HU205" s="2465">
        <f t="shared" ca="1" si="314"/>
        <v>2.122196891558473</v>
      </c>
      <c r="HV205" s="2465">
        <f t="shared" ca="1" si="314"/>
        <v>2.1301107525112388</v>
      </c>
      <c r="HW205" s="2465">
        <f t="shared" ca="1" si="314"/>
        <v>2.1380541249553415</v>
      </c>
      <c r="HX205" s="2465">
        <f t="shared" ca="1" si="314"/>
        <v>2.1460271189417566</v>
      </c>
      <c r="HY205" s="2465">
        <f t="shared" ca="1" si="314"/>
        <v>2.1540298449318498</v>
      </c>
      <c r="HZ205" s="2465">
        <f t="shared" ca="1" si="314"/>
        <v>2.1620624137989073</v>
      </c>
      <c r="IA205" s="2465">
        <f t="shared" ca="1" si="314"/>
        <v>2.1701249368296716</v>
      </c>
    </row>
    <row r="206" spans="2:311">
      <c r="C206" s="2466"/>
      <c r="D206" s="2467" t="s">
        <v>3932</v>
      </c>
      <c r="E206" s="2356"/>
      <c r="F206" s="2356"/>
      <c r="G206" s="2446"/>
      <c r="H206" s="2447">
        <f ca="1">MAX(J206:IA206)</f>
        <v>234560.31520982814</v>
      </c>
      <c r="I206" s="2459"/>
      <c r="J206" s="2448">
        <f t="shared" ref="J206:BN206" si="315">J204*J205</f>
        <v>0</v>
      </c>
      <c r="K206" s="2447">
        <f t="shared" si="315"/>
        <v>0</v>
      </c>
      <c r="L206" s="2449">
        <f t="shared" si="315"/>
        <v>0</v>
      </c>
      <c r="M206" s="2448">
        <f t="shared" si="315"/>
        <v>0</v>
      </c>
      <c r="N206" s="2448">
        <f t="shared" si="315"/>
        <v>0</v>
      </c>
      <c r="O206" s="2447">
        <f t="shared" si="315"/>
        <v>0</v>
      </c>
      <c r="P206" s="2450">
        <f t="shared" si="315"/>
        <v>0</v>
      </c>
      <c r="Q206" s="2450">
        <f t="shared" si="315"/>
        <v>0</v>
      </c>
      <c r="R206" s="2449">
        <f t="shared" si="315"/>
        <v>0</v>
      </c>
      <c r="S206" s="2447">
        <f t="shared" si="315"/>
        <v>0</v>
      </c>
      <c r="T206" s="2450">
        <f t="shared" si="315"/>
        <v>0</v>
      </c>
      <c r="U206" s="2451">
        <f t="shared" si="315"/>
        <v>0</v>
      </c>
      <c r="V206" s="2451">
        <f t="shared" si="315"/>
        <v>0</v>
      </c>
      <c r="W206" s="2451">
        <f t="shared" si="315"/>
        <v>0</v>
      </c>
      <c r="X206" s="2451">
        <f t="shared" si="315"/>
        <v>0</v>
      </c>
      <c r="Y206" s="2451">
        <f t="shared" si="315"/>
        <v>0</v>
      </c>
      <c r="Z206" s="2451">
        <f t="shared" si="315"/>
        <v>0</v>
      </c>
      <c r="AA206" s="2451">
        <f t="shared" si="315"/>
        <v>0</v>
      </c>
      <c r="AB206" s="2451">
        <f t="shared" si="315"/>
        <v>0</v>
      </c>
      <c r="AC206" s="2451">
        <f t="shared" si="315"/>
        <v>0</v>
      </c>
      <c r="AD206" s="2451">
        <f t="shared" si="315"/>
        <v>0</v>
      </c>
      <c r="AE206" s="2451">
        <f t="shared" si="315"/>
        <v>0</v>
      </c>
      <c r="AF206" s="2451">
        <f t="shared" si="315"/>
        <v>0</v>
      </c>
      <c r="AG206" s="2451">
        <f t="shared" si="315"/>
        <v>0</v>
      </c>
      <c r="AH206" s="2451">
        <f t="shared" si="315"/>
        <v>0</v>
      </c>
      <c r="AI206" s="2451">
        <f t="shared" si="315"/>
        <v>0</v>
      </c>
      <c r="AJ206" s="2451">
        <f t="shared" si="315"/>
        <v>234560.31520982814</v>
      </c>
      <c r="AK206" s="2451">
        <f t="shared" si="315"/>
        <v>231084.02057119869</v>
      </c>
      <c r="AL206" s="2451">
        <f t="shared" si="315"/>
        <v>229802.89417503623</v>
      </c>
      <c r="AM206" s="2451">
        <f t="shared" si="315"/>
        <v>226704.7814826754</v>
      </c>
      <c r="AN206" s="2451">
        <f t="shared" si="315"/>
        <v>226130.46311521906</v>
      </c>
      <c r="AO206" s="2451">
        <f t="shared" si="315"/>
        <v>221971.35159500231</v>
      </c>
      <c r="AP206" s="2451">
        <f t="shared" si="315"/>
        <v>223088.23049869796</v>
      </c>
      <c r="AQ206" s="2451">
        <f t="shared" si="315"/>
        <v>220267.22130879169</v>
      </c>
      <c r="AR206" s="2451">
        <f t="shared" si="315"/>
        <v>218732.0219245003</v>
      </c>
      <c r="AS206" s="2451">
        <f t="shared" si="315"/>
        <v>215547.12488963944</v>
      </c>
      <c r="AT206" s="2451">
        <f t="shared" si="315"/>
        <v>213502.22500580631</v>
      </c>
      <c r="AU206" s="2451">
        <f t="shared" si="315"/>
        <v>209860.26117702917</v>
      </c>
      <c r="AV206" s="2451">
        <f t="shared" si="315"/>
        <v>208170.61043664231</v>
      </c>
      <c r="AW206" s="2451">
        <f t="shared" si="315"/>
        <v>203822.93209247905</v>
      </c>
      <c r="AX206" s="2451">
        <f t="shared" si="315"/>
        <v>201953.48010746058</v>
      </c>
      <c r="AY206" s="2451">
        <f t="shared" si="315"/>
        <v>197931.14394238676</v>
      </c>
      <c r="AZ206" s="2451">
        <f t="shared" si="315"/>
        <v>195980.57287131011</v>
      </c>
      <c r="BA206" s="2451">
        <f t="shared" si="315"/>
        <v>192182.77072004462</v>
      </c>
      <c r="BB206" s="2451">
        <f t="shared" si="315"/>
        <v>190706.14917565463</v>
      </c>
      <c r="BC206" s="2451">
        <f t="shared" si="315"/>
        <v>187590.71450569434</v>
      </c>
      <c r="BD206" s="2451">
        <f t="shared" si="315"/>
        <v>184799.77322856142</v>
      </c>
      <c r="BE206" s="2451">
        <f t="shared" si="315"/>
        <v>180665.50690356691</v>
      </c>
      <c r="BF206" s="2451">
        <f t="shared" si="315"/>
        <v>178639.68074324701</v>
      </c>
      <c r="BG206" s="2451">
        <f t="shared" si="315"/>
        <v>176110.14602514161</v>
      </c>
      <c r="BH206" s="2451">
        <f t="shared" si="315"/>
        <v>173158.75239168221</v>
      </c>
      <c r="BI206" s="2451">
        <f t="shared" si="315"/>
        <v>170328.4170215824</v>
      </c>
      <c r="BJ206" s="2451">
        <f t="shared" si="315"/>
        <v>167931.46294951206</v>
      </c>
      <c r="BK206" s="2451">
        <f t="shared" si="315"/>
        <v>165393.38932495721</v>
      </c>
      <c r="BL206" s="2451">
        <f t="shared" si="315"/>
        <v>163606.73332569207</v>
      </c>
      <c r="BM206" s="2451">
        <f t="shared" si="315"/>
        <v>160913.57492017714</v>
      </c>
      <c r="BN206" s="2451">
        <f t="shared" si="315"/>
        <v>160135.62261747397</v>
      </c>
      <c r="BO206" s="2451">
        <f t="shared" ref="BO206:DZ206" si="316">BO204*BO205</f>
        <v>156981.54385066041</v>
      </c>
      <c r="BP206" s="2451">
        <f t="shared" si="316"/>
        <v>155568.49534362103</v>
      </c>
      <c r="BQ206" s="2451">
        <f t="shared" si="316"/>
        <v>152132.86015334417</v>
      </c>
      <c r="BR206" s="2451">
        <f t="shared" si="316"/>
        <v>151095.37716384014</v>
      </c>
      <c r="BS206" s="2451">
        <f t="shared" si="316"/>
        <v>148514.4464655793</v>
      </c>
      <c r="BT206" s="2451">
        <f t="shared" si="316"/>
        <v>148060.66094503904</v>
      </c>
      <c r="BU206" s="2451">
        <f t="shared" si="316"/>
        <v>143701.80256523215</v>
      </c>
      <c r="BV206" s="2451">
        <f t="shared" si="316"/>
        <v>141389.70594480145</v>
      </c>
      <c r="BW206" s="2451">
        <f t="shared" si="316"/>
        <v>139450.96856400586</v>
      </c>
      <c r="BX206" s="2451">
        <f t="shared" si="316"/>
        <v>137440.50209980391</v>
      </c>
      <c r="BY206" s="2451">
        <f t="shared" si="316"/>
        <v>134957.05311217165</v>
      </c>
      <c r="BZ206" s="2451">
        <f t="shared" si="316"/>
        <v>132904.06610923132</v>
      </c>
      <c r="CA206" s="2451">
        <f t="shared" si="316"/>
        <v>130293.64852653953</v>
      </c>
      <c r="CB206" s="2451">
        <f t="shared" si="316"/>
        <v>129351.68250535156</v>
      </c>
      <c r="CC206" s="2451">
        <f t="shared" si="316"/>
        <v>126586.255702669</v>
      </c>
      <c r="CD206" s="2451">
        <f t="shared" si="316"/>
        <v>126258.24221448043</v>
      </c>
      <c r="CE206" s="2451">
        <f t="shared" si="316"/>
        <v>124319.70284975156</v>
      </c>
      <c r="CF206" s="2451">
        <f t="shared" si="316"/>
        <v>123499.72517743275</v>
      </c>
      <c r="CG206" s="2451">
        <f t="shared" si="316"/>
        <v>122376.6359092268</v>
      </c>
      <c r="CH206" s="2451">
        <f t="shared" ca="1" si="316"/>
        <v>120698.15382271036</v>
      </c>
      <c r="CI206" s="2451">
        <f t="shared" ca="1" si="316"/>
        <v>119042.6933047623</v>
      </c>
      <c r="CJ206" s="2451">
        <f t="shared" ca="1" si="316"/>
        <v>117409.93859829265</v>
      </c>
      <c r="CK206" s="2451">
        <f ca="1">CK204*CK205</f>
        <v>115799.57827704301</v>
      </c>
      <c r="CL206" s="2451">
        <f ca="1">CL204*CL205</f>
        <v>114211.30518618645</v>
      </c>
      <c r="CM206" s="2451">
        <f t="shared" ca="1" si="316"/>
        <v>112644.81638374156</v>
      </c>
      <c r="CN206" s="2451">
        <f t="shared" ca="1" si="316"/>
        <v>111099.8130827905</v>
      </c>
      <c r="CO206" s="2451">
        <f t="shared" ca="1" si="316"/>
        <v>109576.0005944891</v>
      </c>
      <c r="CP206" s="2451">
        <f t="shared" ca="1" si="316"/>
        <v>108073.08827185926</v>
      </c>
      <c r="CQ206" s="2451">
        <f t="shared" ca="1" si="316"/>
        <v>106590.7894543515</v>
      </c>
      <c r="CR206" s="2451">
        <f t="shared" ca="1" si="316"/>
        <v>105128.82141316849</v>
      </c>
      <c r="CS206" s="2451">
        <f t="shared" ca="1" si="316"/>
        <v>103686.90529733837</v>
      </c>
      <c r="CT206" s="2451">
        <f t="shared" ca="1" si="316"/>
        <v>102264.76608052738</v>
      </c>
      <c r="CU206" s="2451">
        <f t="shared" ca="1" si="316"/>
        <v>100862.13250858248</v>
      </c>
      <c r="CV206" s="2451">
        <f t="shared" ca="1" si="316"/>
        <v>99478.737047793067</v>
      </c>
      <c r="CW206" s="2451">
        <f t="shared" ca="1" si="316"/>
        <v>98114.315833862551</v>
      </c>
      <c r="CX206" s="2451">
        <f t="shared" ca="1" si="316"/>
        <v>96768.60862157974</v>
      </c>
      <c r="CY206" s="2451">
        <f t="shared" ca="1" si="316"/>
        <v>95441.358735180504</v>
      </c>
      <c r="CZ206" s="2451">
        <f t="shared" ca="1" si="316"/>
        <v>94132.313019390305</v>
      </c>
      <c r="DA206" s="2451">
        <f t="shared" ca="1" si="316"/>
        <v>92841.221791138189</v>
      </c>
      <c r="DB206" s="2451">
        <f t="shared" ca="1" si="316"/>
        <v>91567.838791933056</v>
      </c>
      <c r="DC206" s="2451">
        <f t="shared" ca="1" si="316"/>
        <v>90311.92114089313</v>
      </c>
      <c r="DD206" s="2451">
        <f t="shared" ca="1" si="316"/>
        <v>89073.22928841965</v>
      </c>
      <c r="DE206" s="2451">
        <f t="shared" ca="1" si="316"/>
        <v>87851.526970505918</v>
      </c>
      <c r="DF206" s="2451">
        <f t="shared" ca="1" si="316"/>
        <v>86646.58116367324</v>
      </c>
      <c r="DG206" s="2451">
        <f t="shared" ca="1" si="316"/>
        <v>85458.162040524621</v>
      </c>
      <c r="DH206" s="2451">
        <f t="shared" ca="1" si="316"/>
        <v>84286.042925908332</v>
      </c>
      <c r="DI206" s="2451">
        <f t="shared" ca="1" si="316"/>
        <v>83130.000253682636</v>
      </c>
      <c r="DJ206" s="2451">
        <f t="shared" ca="1" si="316"/>
        <v>81989.813524073455</v>
      </c>
      <c r="DK206" s="2451">
        <f t="shared" ca="1" si="316"/>
        <v>80865.265261617067</v>
      </c>
      <c r="DL206" s="2451">
        <f t="shared" ca="1" si="316"/>
        <v>79756.140973679416</v>
      </c>
      <c r="DM206" s="2451">
        <f t="shared" ca="1" si="316"/>
        <v>78662.229109544671</v>
      </c>
      <c r="DN206" s="2451">
        <f t="shared" ca="1" si="316"/>
        <v>77583.321020064584</v>
      </c>
      <c r="DO206" s="2451">
        <f t="shared" ca="1" si="316"/>
        <v>76519.210917861521</v>
      </c>
      <c r="DP206" s="2451">
        <f t="shared" ca="1" si="316"/>
        <v>75469.695838077227</v>
      </c>
      <c r="DQ206" s="2451">
        <f t="shared" ca="1" si="316"/>
        <v>74434.575599660006</v>
      </c>
      <c r="DR206" s="2451">
        <f t="shared" ca="1" si="316"/>
        <v>73413.652767182764</v>
      </c>
      <c r="DS206" s="2451">
        <f t="shared" ca="1" si="316"/>
        <v>72406.73261318494</v>
      </c>
      <c r="DT206" s="2451">
        <f t="shared" ca="1" si="316"/>
        <v>71413.623081030732</v>
      </c>
      <c r="DU206" s="2451">
        <f t="shared" ca="1" si="316"/>
        <v>70434.13474827692</v>
      </c>
      <c r="DV206" s="2451">
        <f t="shared" ca="1" si="316"/>
        <v>69468.080790543012</v>
      </c>
      <c r="DW206" s="2451">
        <f t="shared" ca="1" si="316"/>
        <v>68515.276945876991</v>
      </c>
      <c r="DX206" s="2451">
        <f t="shared" ca="1" si="316"/>
        <v>67575.541479609819</v>
      </c>
      <c r="DY206" s="2451">
        <f t="shared" ca="1" si="316"/>
        <v>66648.695149691863</v>
      </c>
      <c r="DZ206" s="2451">
        <f t="shared" ca="1" si="316"/>
        <v>65734.561172504968</v>
      </c>
      <c r="EA206" s="2451">
        <f t="shared" ref="EA206:GL206" ca="1" si="317">EA204*EA205</f>
        <v>64832.96518914331</v>
      </c>
      <c r="EB206" s="2451">
        <f t="shared" ca="1" si="317"/>
        <v>63943.735232156738</v>
      </c>
      <c r="EC206" s="2451">
        <f t="shared" ca="1" si="317"/>
        <v>63066.701692750292</v>
      </c>
      <c r="ED206" s="2451">
        <f t="shared" ca="1" si="317"/>
        <v>62201.697288433439</v>
      </c>
      <c r="EE206" s="2451">
        <f t="shared" ca="1" si="317"/>
        <v>61348.557031113429</v>
      </c>
      <c r="EF206" s="2451">
        <f t="shared" ca="1" si="317"/>
        <v>60507.118195625757</v>
      </c>
      <c r="EG206" s="2451">
        <f t="shared" ca="1" si="317"/>
        <v>59677.220288696648</v>
      </c>
      <c r="EH206" s="2451">
        <f t="shared" ca="1" si="317"/>
        <v>58858.705018331057</v>
      </c>
      <c r="EI206" s="2451">
        <f t="shared" ca="1" si="317"/>
        <v>58051.416263620536</v>
      </c>
      <c r="EJ206" s="2451">
        <f t="shared" ca="1" si="317"/>
        <v>57255.200044965291</v>
      </c>
      <c r="EK206" s="2451">
        <f t="shared" ca="1" si="317"/>
        <v>56469.904494704591</v>
      </c>
      <c r="EL206" s="2451">
        <f t="shared" ca="1" si="317"/>
        <v>55695.379828150057</v>
      </c>
      <c r="EM206" s="2451">
        <f t="shared" ca="1" si="317"/>
        <v>54931.478315016284</v>
      </c>
      <c r="EN206" s="2451">
        <f t="shared" ca="1" si="317"/>
        <v>54178.054251243091</v>
      </c>
      <c r="EO206" s="2451">
        <f t="shared" ca="1" si="317"/>
        <v>53434.96393120454</v>
      </c>
      <c r="EP206" s="2451">
        <f t="shared" ca="1" si="317"/>
        <v>52702.065620298948</v>
      </c>
      <c r="EQ206" s="2451">
        <f t="shared" ca="1" si="317"/>
        <v>51979.219527914931</v>
      </c>
      <c r="ER206" s="2451">
        <f t="shared" ca="1" si="317"/>
        <v>51266.287780768158</v>
      </c>
      <c r="ES206" s="2451">
        <f t="shared" ca="1" si="317"/>
        <v>50563.134396603833</v>
      </c>
      <c r="ET206" s="2451">
        <f t="shared" ca="1" si="317"/>
        <v>49869.625258259992</v>
      </c>
      <c r="EU206" s="2451">
        <f t="shared" ca="1" si="317"/>
        <v>49185.628088086392</v>
      </c>
      <c r="EV206" s="2451">
        <f t="shared" ca="1" si="317"/>
        <v>48511.012422714186</v>
      </c>
      <c r="EW206" s="2451">
        <f t="shared" ca="1" si="317"/>
        <v>47845.64958817196</v>
      </c>
      <c r="EX206" s="2451">
        <f t="shared" ca="1" si="317"/>
        <v>47189.412675342777</v>
      </c>
      <c r="EY206" s="2451">
        <f t="shared" ca="1" si="317"/>
        <v>46542.176515757958</v>
      </c>
      <c r="EZ206" s="2451">
        <f t="shared" ca="1" si="317"/>
        <v>45903.817657722881</v>
      </c>
      <c r="FA206" s="2451">
        <f t="shared" ca="1" si="317"/>
        <v>45274.21434277021</v>
      </c>
      <c r="FB206" s="2451">
        <f t="shared" ca="1" si="317"/>
        <v>44653.246482436036</v>
      </c>
      <c r="FC206" s="2451">
        <f t="shared" ca="1" si="317"/>
        <v>44040.795635354698</v>
      </c>
      <c r="FD206" s="2451">
        <f t="shared" ca="1" si="317"/>
        <v>43436.744984667552</v>
      </c>
      <c r="FE206" s="2451">
        <f t="shared" ca="1" si="317"/>
        <v>42840.979315741752</v>
      </c>
      <c r="FF206" s="2451">
        <f t="shared" ca="1" si="317"/>
        <v>42253.384994194705</v>
      </c>
      <c r="FG206" s="2451">
        <f t="shared" ca="1" si="317"/>
        <v>41673.849944219619</v>
      </c>
      <c r="FH206" s="2451">
        <f t="shared" ca="1" si="317"/>
        <v>41102.263627208638</v>
      </c>
      <c r="FI206" s="2451">
        <f t="shared" ca="1" si="317"/>
        <v>40538.517020669118</v>
      </c>
      <c r="FJ206" s="2451">
        <f t="shared" ca="1" si="317"/>
        <v>39982.502597428997</v>
      </c>
      <c r="FK206" s="2451">
        <f t="shared" ca="1" si="317"/>
        <v>39434.114305127347</v>
      </c>
      <c r="FL206" s="2451">
        <f t="shared" ca="1" si="317"/>
        <v>38893.247545986349</v>
      </c>
      <c r="FM206" s="2451">
        <f t="shared" ca="1" si="317"/>
        <v>38359.799156860747</v>
      </c>
      <c r="FN206" s="2451">
        <f t="shared" ca="1" si="317"/>
        <v>37833.66738956068</v>
      </c>
      <c r="FO206" s="2451">
        <f t="shared" ca="1" si="317"/>
        <v>37314.751891444641</v>
      </c>
      <c r="FP206" s="2451">
        <f t="shared" ca="1" si="317"/>
        <v>36802.953686278612</v>
      </c>
      <c r="FQ206" s="2451">
        <f t="shared" ca="1" si="317"/>
        <v>36298.175155357618</v>
      </c>
      <c r="FR206" s="2451">
        <f t="shared" ca="1" si="317"/>
        <v>35800.320018886181</v>
      </c>
      <c r="FS206" s="2451">
        <f t="shared" ca="1" si="317"/>
        <v>35309.293317614312</v>
      </c>
      <c r="FT206" s="2451">
        <f t="shared" ca="1" si="317"/>
        <v>34825.001394725259</v>
      </c>
      <c r="FU206" s="2451">
        <f t="shared" ca="1" si="317"/>
        <v>34347.351877971814</v>
      </c>
      <c r="FV206" s="2451">
        <f t="shared" ca="1" si="317"/>
        <v>33876.253662057352</v>
      </c>
      <c r="FW206" s="2451">
        <f t="shared" ca="1" si="317"/>
        <v>33411.61689125884</v>
      </c>
      <c r="FX206" s="2451">
        <f t="shared" ca="1" si="317"/>
        <v>32953.352942288009</v>
      </c>
      <c r="FY206" s="2451">
        <f t="shared" ca="1" si="317"/>
        <v>32501.374407387677</v>
      </c>
      <c r="FZ206" s="2451">
        <f t="shared" ca="1" si="317"/>
        <v>32055.595077659818</v>
      </c>
      <c r="GA206" s="2451">
        <f t="shared" ca="1" si="317"/>
        <v>31615.929926622412</v>
      </c>
      <c r="GB206" s="2451">
        <f t="shared" ca="1" si="317"/>
        <v>31182.295093991819</v>
      </c>
      <c r="GC206" s="2451">
        <f t="shared" ca="1" si="317"/>
        <v>30754.607869687356</v>
      </c>
      <c r="GD206" s="2451">
        <f t="shared" ca="1" si="317"/>
        <v>30332.786678055658</v>
      </c>
      <c r="GE206" s="2451">
        <f t="shared" ca="1" si="317"/>
        <v>29916.751062311123</v>
      </c>
      <c r="GF206" s="2451">
        <f t="shared" ca="1" si="317"/>
        <v>29506.421669189804</v>
      </c>
      <c r="GG206" s="2451">
        <f t="shared" ca="1" si="317"/>
        <v>29101.720233813903</v>
      </c>
      <c r="GH206" s="2451">
        <f t="shared" ca="1" si="317"/>
        <v>28702.56956476378</v>
      </c>
      <c r="GI206" s="2451">
        <f t="shared" ca="1" si="317"/>
        <v>28308.893529354656</v>
      </c>
      <c r="GJ206" s="2451">
        <f t="shared" ca="1" si="317"/>
        <v>27920.61703911539</v>
      </c>
      <c r="GK206" s="2451">
        <f t="shared" ca="1" si="317"/>
        <v>27537.666035466249</v>
      </c>
      <c r="GL206" s="2451">
        <f t="shared" ca="1" si="317"/>
        <v>27159.967475593374</v>
      </c>
      <c r="GM206" s="2451">
        <f t="shared" ref="GM206:IA206" ca="1" si="318">GM204*GM205</f>
        <v>26787.449318516643</v>
      </c>
      <c r="GN206" s="2451">
        <f t="shared" ca="1" si="318"/>
        <v>26420.040511348991</v>
      </c>
      <c r="GO206" s="2451">
        <f t="shared" ca="1" si="318"/>
        <v>26057.67097574392</v>
      </c>
      <c r="GP206" s="2451">
        <f t="shared" ca="1" si="318"/>
        <v>25700.271594528982</v>
      </c>
      <c r="GQ206" s="2451">
        <f t="shared" ca="1" si="318"/>
        <v>25347.774198522606</v>
      </c>
      <c r="GR206" s="2451">
        <f t="shared" ca="1" si="318"/>
        <v>25000.111553531737</v>
      </c>
      <c r="GS206" s="2451">
        <f t="shared" ca="1" si="318"/>
        <v>24657.217347527912</v>
      </c>
      <c r="GT206" s="2451">
        <f t="shared" ca="1" si="318"/>
        <v>24319.026177998898</v>
      </c>
      <c r="GU206" s="2451">
        <f t="shared" ca="1" si="318"/>
        <v>23985.473539474242</v>
      </c>
      <c r="GV206" s="2451">
        <f t="shared" ca="1" si="318"/>
        <v>23656.49581122159</v>
      </c>
      <c r="GW206" s="2451">
        <f t="shared" ca="1" si="318"/>
        <v>23332.030245111884</v>
      </c>
      <c r="GX206" s="2451">
        <f t="shared" ca="1" si="318"/>
        <v>23012.014953651131</v>
      </c>
      <c r="GY206" s="2451">
        <f t="shared" ca="1" si="318"/>
        <v>22696.388898175974</v>
      </c>
      <c r="GZ206" s="2451">
        <f t="shared" ca="1" si="318"/>
        <v>22385.091877211475</v>
      </c>
      <c r="HA206" s="2451">
        <f t="shared" ca="1" si="318"/>
        <v>22078.064514988575</v>
      </c>
      <c r="HB206" s="2451">
        <f t="shared" ca="1" si="318"/>
        <v>21775.248250118788</v>
      </c>
      <c r="HC206" s="2451">
        <f t="shared" ca="1" si="318"/>
        <v>21476.585324424483</v>
      </c>
      <c r="HD206" s="2451">
        <f t="shared" ca="1" si="318"/>
        <v>21182.018771922358</v>
      </c>
      <c r="HE206" s="2451">
        <f t="shared" ca="1" si="318"/>
        <v>20891.492407957743</v>
      </c>
      <c r="HF206" s="2451">
        <f t="shared" ca="1" si="318"/>
        <v>20604.950818488323</v>
      </c>
      <c r="HG206" s="2451">
        <f t="shared" ca="1" si="318"/>
        <v>20322.339349514485</v>
      </c>
      <c r="HH206" s="2451">
        <f t="shared" ca="1" si="318"/>
        <v>20043.60409665485</v>
      </c>
      <c r="HI206" s="2451">
        <f t="shared" ca="1" si="318"/>
        <v>19768.691894864805</v>
      </c>
      <c r="HJ206" s="2451">
        <f t="shared" ca="1" si="318"/>
        <v>19497.550308295878</v>
      </c>
      <c r="HK206" s="2451">
        <f t="shared" ca="1" si="318"/>
        <v>19230.127620294385</v>
      </c>
      <c r="HL206" s="2451">
        <f t="shared" ca="1" si="318"/>
        <v>18966.372823537014</v>
      </c>
      <c r="HM206" s="2451">
        <f t="shared" ca="1" si="318"/>
        <v>18706.235610302025</v>
      </c>
      <c r="HN206" s="2451">
        <f t="shared" ca="1" si="318"/>
        <v>18449.666362873657</v>
      </c>
      <c r="HO206" s="2451">
        <f t="shared" ca="1" si="318"/>
        <v>18196.61614407814</v>
      </c>
      <c r="HP206" s="2451">
        <f t="shared" ca="1" si="318"/>
        <v>17947.036687949705</v>
      </c>
      <c r="HQ206" s="2451">
        <f t="shared" ca="1" si="318"/>
        <v>17700.880390524424</v>
      </c>
      <c r="HR206" s="2451">
        <f t="shared" ca="1" si="318"/>
        <v>17458.100300760361</v>
      </c>
      <c r="HS206" s="2451">
        <f t="shared" ca="1" si="318"/>
        <v>17218.65011158237</v>
      </c>
      <c r="HT206" s="2451">
        <f t="shared" ca="1" si="318"/>
        <v>16982.484151049455</v>
      </c>
      <c r="HU206" s="2451">
        <f t="shared" ca="1" si="318"/>
        <v>16749.557373643765</v>
      </c>
      <c r="HV206" s="2451">
        <f t="shared" ca="1" si="318"/>
        <v>16519.825351678468</v>
      </c>
      <c r="HW206" s="2451">
        <f t="shared" ca="1" si="318"/>
        <v>16293.244266823844</v>
      </c>
      <c r="HX206" s="2451">
        <f t="shared" ca="1" si="318"/>
        <v>16069.770901749609</v>
      </c>
      <c r="HY206" s="2451">
        <f t="shared" ca="1" si="318"/>
        <v>15849.362631881653</v>
      </c>
      <c r="HZ206" s="2451">
        <f t="shared" ca="1" si="318"/>
        <v>15631.977417272139</v>
      </c>
      <c r="IA206" s="2451">
        <f t="shared" ca="1" si="318"/>
        <v>15422.056479349385</v>
      </c>
    </row>
    <row r="207" spans="2:311">
      <c r="C207" s="2466"/>
      <c r="D207" s="2467" t="s">
        <v>3933</v>
      </c>
      <c r="E207" s="2356"/>
      <c r="F207" s="2356"/>
      <c r="G207" s="2446"/>
      <c r="H207" s="2484">
        <f>MAX(J207:IA207)</f>
        <v>1</v>
      </c>
      <c r="I207" s="2656"/>
      <c r="J207" s="2469">
        <f>SUM($I$3:J$3)/$H$3*(J$3&gt;0)</f>
        <v>0</v>
      </c>
      <c r="K207" s="2470">
        <f>SUM($I$3:K$3)/$H$3*(K$3&gt;0)</f>
        <v>0</v>
      </c>
      <c r="L207" s="2471">
        <f>SUM($I$3:L$3)/$H$3*(L$3&gt;0)</f>
        <v>0</v>
      </c>
      <c r="M207" s="2469">
        <f>SUM($I$3:M$3)/$H$3*(M$3&gt;0)</f>
        <v>0</v>
      </c>
      <c r="N207" s="2668">
        <f>SUM($I$3:N$3)/$H$3*(N$3&gt;0)</f>
        <v>0</v>
      </c>
      <c r="O207" s="2472">
        <f>SUM($I$3:O$3)/$H$3*(O$3&gt;0)</f>
        <v>0</v>
      </c>
      <c r="P207" s="2474">
        <f>SUM($I$3:P$3)/$H$3*(P$3&gt;0)</f>
        <v>0</v>
      </c>
      <c r="Q207" s="2474">
        <f>SUM($I$3:Q$3)/$H$3*(Q$3&gt;0)</f>
        <v>0</v>
      </c>
      <c r="R207" s="2471">
        <f>SUM($I$3:R$3)/$H$3*(R$3&gt;0)</f>
        <v>0</v>
      </c>
      <c r="S207" s="2470">
        <f>SUM($I$3:S$3)/$H$3*(S$3&gt;0)</f>
        <v>0</v>
      </c>
      <c r="T207" s="2468">
        <f>SUM($I$3:T$3)/$H$3*(T$3&gt;0)</f>
        <v>0</v>
      </c>
      <c r="U207" s="2475">
        <f>SUM($I$3:U$3)/$H$3*(U$3&gt;0)</f>
        <v>0</v>
      </c>
      <c r="V207" s="2475">
        <f>SUM($I$3:V$3)/$H$3*(V$3&gt;0)</f>
        <v>0</v>
      </c>
      <c r="W207" s="2475">
        <f>SUM($I$3:W$3)/$H$3*(W$3&gt;0)</f>
        <v>0</v>
      </c>
      <c r="X207" s="2475">
        <f>SUM($I$3:X$3)/$H$3*(X$3&gt;0)</f>
        <v>0</v>
      </c>
      <c r="Y207" s="2475">
        <f>SUM($I$3:Y$3)/$H$3*(Y$3&gt;0)</f>
        <v>0</v>
      </c>
      <c r="Z207" s="2475">
        <f>SUM($I$3:Z$3)/$H$3*(Z$3&gt;0)</f>
        <v>0</v>
      </c>
      <c r="AA207" s="2475">
        <f>SUM($I$3:AA$3)/$H$3*(AA$3&gt;0)</f>
        <v>0</v>
      </c>
      <c r="AB207" s="2475">
        <f>SUM($I$3:AB$3)/$H$3*(AB$3&gt;0)</f>
        <v>0</v>
      </c>
      <c r="AC207" s="2475">
        <f>SUM($I$3:AC$3)/$H$3*(AC$3&gt;0)</f>
        <v>0</v>
      </c>
      <c r="AD207" s="2475">
        <f>SUM($I$3:AD$3)/$H$3*(AD$3&gt;0)</f>
        <v>0</v>
      </c>
      <c r="AE207" s="2475">
        <f>SUM($I$3:AE$3)/$H$3*(AE$3&gt;0)</f>
        <v>0</v>
      </c>
      <c r="AF207" s="2475">
        <f>SUM($I$3:AF$3)/$H$3*(AF$3&gt;0)</f>
        <v>0</v>
      </c>
      <c r="AG207" s="2475">
        <f>SUM($I$3:AG$3)/$H$3*(AG$3&gt;0)</f>
        <v>0</v>
      </c>
      <c r="AH207" s="2475">
        <f>SUM($I$3:AH$3)/$H$3*(AH$3&gt;0)</f>
        <v>0</v>
      </c>
      <c r="AI207" s="2475">
        <f>SUM($I$3:AI$3)/$H$3*(AI$3&gt;0)</f>
        <v>8.2191780821918583E-5</v>
      </c>
      <c r="AJ207" s="2475">
        <f>SUM($I$3:AJ$3)/$H$3*(AJ$3&gt;0)</f>
        <v>5.0821917808219182E-3</v>
      </c>
      <c r="AK207" s="2475">
        <f>SUM($I$3:AK$3)/$H$3*(AK$3&gt;0)</f>
        <v>1.0082191780821918E-2</v>
      </c>
      <c r="AL207" s="2475">
        <f>SUM($I$3:AL$3)/$H$3*(AL$3&gt;0)</f>
        <v>1.5082191780821919E-2</v>
      </c>
      <c r="AM207" s="2475">
        <f>SUM($I$3:AM$3)/$H$3*(AM$3&gt;0)</f>
        <v>2.008219178082192E-2</v>
      </c>
      <c r="AN207" s="2475">
        <f>SUM($I$3:AN$3)/$H$3*(AN$3&gt;0)</f>
        <v>2.5082191780821921E-2</v>
      </c>
      <c r="AO207" s="2475">
        <f>SUM($I$3:AO$3)/$H$3*(AO$3&gt;0)</f>
        <v>3.0082191780821922E-2</v>
      </c>
      <c r="AP207" s="2475">
        <f>SUM($I$3:AP$3)/$H$3*(AP$3&gt;0)</f>
        <v>3.508219178082192E-2</v>
      </c>
      <c r="AQ207" s="2475">
        <f>SUM($I$3:AQ$3)/$H$3*(AQ$3&gt;0)</f>
        <v>4.0082191780821924E-2</v>
      </c>
      <c r="AR207" s="2475">
        <f>SUM($I$3:AR$3)/$H$3*(AR$3&gt;0)</f>
        <v>4.5082191780821922E-2</v>
      </c>
      <c r="AS207" s="2475">
        <f>SUM($I$3:AS$3)/$H$3*(AS$3&gt;0)</f>
        <v>5.0082191780821919E-2</v>
      </c>
      <c r="AT207" s="2475">
        <f>SUM($I$3:AT$3)/$H$3*(AT$3&gt;0)</f>
        <v>5.5082191780821924E-2</v>
      </c>
      <c r="AU207" s="2475">
        <f>SUM($I$3:AU$3)/$H$3*(AU$3&gt;0)</f>
        <v>6.0082191780821921E-2</v>
      </c>
      <c r="AV207" s="2475">
        <f>SUM($I$3:AV$3)/$H$3*(AV$3&gt;0)</f>
        <v>6.5082191780821919E-2</v>
      </c>
      <c r="AW207" s="2475">
        <f>SUM($I$3:AW$3)/$H$3*(AW$3&gt;0)</f>
        <v>7.0082191780821923E-2</v>
      </c>
      <c r="AX207" s="2475">
        <f>SUM($I$3:AX$3)/$H$3*(AX$3&gt;0)</f>
        <v>7.5082191780821927E-2</v>
      </c>
      <c r="AY207" s="2475">
        <f>SUM($I$3:AY$3)/$H$3*(AY$3&gt;0)</f>
        <v>8.0082191780821932E-2</v>
      </c>
      <c r="AZ207" s="2475">
        <f>SUM($I$3:AZ$3)/$H$3*(AZ$3&gt;0)</f>
        <v>8.5082191780821936E-2</v>
      </c>
      <c r="BA207" s="2475">
        <f>SUM($I$3:BA$3)/$H$3*(BA$3&gt;0)</f>
        <v>9.0082191780821927E-2</v>
      </c>
      <c r="BB207" s="2475">
        <f>SUM($I$3:BB$3)/$H$3*(BB$3&gt;0)</f>
        <v>9.5082191780821931E-2</v>
      </c>
      <c r="BC207" s="2475">
        <f>SUM($I$3:BC$3)/$H$3*(BC$3&gt;0)</f>
        <v>0.10008219178082194</v>
      </c>
      <c r="BD207" s="2475">
        <f>SUM($I$3:BD$3)/$H$3*(BD$3&gt;0)</f>
        <v>0.10508219178082193</v>
      </c>
      <c r="BE207" s="2475">
        <f>SUM($I$3:BE$3)/$H$3*(BE$3&gt;0)</f>
        <v>0.11008219178082193</v>
      </c>
      <c r="BF207" s="2475">
        <f>SUM($I$3:BF$3)/$H$3*(BF$3&gt;0)</f>
        <v>0.11508219178082194</v>
      </c>
      <c r="BG207" s="2475">
        <f>SUM($I$3:BG$3)/$H$3*(BG$3&gt;0)</f>
        <v>0.12008219178082193</v>
      </c>
      <c r="BH207" s="2475">
        <f>SUM($I$3:BH$3)/$H$3*(BH$3&gt;0)</f>
        <v>0.12508219178082192</v>
      </c>
      <c r="BI207" s="2475">
        <f>SUM($I$3:BI$3)/$H$3*(BI$3&gt;0)</f>
        <v>0.13008219178082192</v>
      </c>
      <c r="BJ207" s="2475">
        <f>SUM($I$3:BJ$3)/$H$3*(BJ$3&gt;0)</f>
        <v>0.13508219178082193</v>
      </c>
      <c r="BK207" s="2475">
        <f>SUM($I$3:BK$3)/$H$3*(BK$3&gt;0)</f>
        <v>0.14008219178082193</v>
      </c>
      <c r="BL207" s="2475">
        <f>SUM($I$3:BL$3)/$H$3*(BL$3&gt;0)</f>
        <v>0.14508219178082193</v>
      </c>
      <c r="BM207" s="2475">
        <f>SUM($I$3:BM$3)/$H$3*(BM$3&gt;0)</f>
        <v>0.15008219178082194</v>
      </c>
      <c r="BN207" s="2475">
        <f>SUM($I$3:BN$3)/$H$3*(BN$3&gt;0)</f>
        <v>0.15508219178082194</v>
      </c>
      <c r="BO207" s="2475">
        <f>SUM($I$3:BO$3)/$H$3*(BO$3&gt;0)</f>
        <v>0.16008219178082192</v>
      </c>
      <c r="BP207" s="2475">
        <f>SUM($I$3:BP$3)/$H$3*(BP$3&gt;0)</f>
        <v>0.16508219178082192</v>
      </c>
      <c r="BQ207" s="2475">
        <f>SUM($I$3:BQ$3)/$H$3*(BQ$3&gt;0)</f>
        <v>0.17008219178082193</v>
      </c>
      <c r="BR207" s="2475">
        <f>SUM($I$3:BR$3)/$H$3*(BR$3&gt;0)</f>
        <v>0.17508219178082193</v>
      </c>
      <c r="BS207" s="2475">
        <f>SUM($I$3:BS$3)/$H$3*(BS$3&gt;0)</f>
        <v>0.18008219178082194</v>
      </c>
      <c r="BT207" s="2475">
        <f>SUM($I$3:BT$3)/$H$3*(BT$3&gt;0)</f>
        <v>0.18508219178082194</v>
      </c>
      <c r="BU207" s="2475">
        <f>SUM($I$3:BU$3)/$H$3*(BU$3&gt;0)</f>
        <v>0.19008219178082192</v>
      </c>
      <c r="BV207" s="2475">
        <f>SUM($I$3:BV$3)/$H$3*(BV$3&gt;0)</f>
        <v>0.19508219178082192</v>
      </c>
      <c r="BW207" s="2475">
        <f>SUM($I$3:BW$3)/$H$3*(BW$3&gt;0)</f>
        <v>0.20008219178082193</v>
      </c>
      <c r="BX207" s="2475">
        <f>SUM($I$3:BX$3)/$H$3*(BX$3&gt;0)</f>
        <v>0.20508219178082193</v>
      </c>
      <c r="BY207" s="2475">
        <f>SUM($I$3:BY$3)/$H$3*(BY$3&gt;0)</f>
        <v>0.21008219178082194</v>
      </c>
      <c r="BZ207" s="2475">
        <f>SUM($I$3:BZ$3)/$H$3*(BZ$3&gt;0)</f>
        <v>0.21508219178082194</v>
      </c>
      <c r="CA207" s="2475">
        <f>SUM($I$3:CA$3)/$H$3*(CA$3&gt;0)</f>
        <v>0.22008219178082192</v>
      </c>
      <c r="CB207" s="2475">
        <f>SUM($I$3:CB$3)/$H$3*(CB$3&gt;0)</f>
        <v>0.22508219178082192</v>
      </c>
      <c r="CC207" s="2475">
        <f>SUM($I$3:CC$3)/$H$3*(CC$3&gt;0)</f>
        <v>0.23008219178082193</v>
      </c>
      <c r="CD207" s="2475">
        <f>SUM($I$3:CD$3)/$H$3*(CD$3&gt;0)</f>
        <v>0.23508219178082193</v>
      </c>
      <c r="CE207" s="2475">
        <f>SUM($I$3:CE$3)/$H$3*(CE$3&gt;0)</f>
        <v>0.24008219178082194</v>
      </c>
      <c r="CF207" s="2475">
        <f>SUM($I$3:CF$3)/$H$3*(CF$3&gt;0)</f>
        <v>0.24508219178082194</v>
      </c>
      <c r="CG207" s="2475">
        <f>SUM($I$3:CG$3)/$H$3*(CG$3&gt;0)</f>
        <v>0.25008219178082192</v>
      </c>
      <c r="CH207" s="2475">
        <f>SUM($I$3:CH$3)/$H$3*(CH$3&gt;0)</f>
        <v>0.25508219178082192</v>
      </c>
      <c r="CI207" s="2475">
        <f>SUM($I$3:CI$3)/$H$3*(CI$3&gt;0)</f>
        <v>0.26008219178082193</v>
      </c>
      <c r="CJ207" s="2475">
        <f>SUM($I$3:CJ$3)/$H$3*(CJ$3&gt;0)</f>
        <v>0.26508219178082193</v>
      </c>
      <c r="CK207" s="2475">
        <f>SUM($I$3:CK$3)/$H$3*(CK$3&gt;0)</f>
        <v>0.27008219178082193</v>
      </c>
      <c r="CL207" s="2475">
        <f>SUM($I$3:CL$3)/$H$3*(CL$3&gt;0)</f>
        <v>0.27508219178082194</v>
      </c>
      <c r="CM207" s="2475">
        <f>SUM($I$3:CM$3)/$H$3*(CM$3&gt;0)</f>
        <v>0.28008219178082194</v>
      </c>
      <c r="CN207" s="2475">
        <f>SUM($I$3:CN$3)/$H$3*(CN$3&gt;0)</f>
        <v>0.28508219178082195</v>
      </c>
      <c r="CO207" s="2475">
        <f>SUM($I$3:CO$3)/$H$3*(CO$3&gt;0)</f>
        <v>0.29008219178082195</v>
      </c>
      <c r="CP207" s="2475">
        <f>SUM($I$3:CP$3)/$H$3*(CP$3&gt;0)</f>
        <v>0.29508219178082196</v>
      </c>
      <c r="CQ207" s="2475">
        <f>SUM($I$3:CQ$3)/$H$3*(CQ$3&gt;0)</f>
        <v>0.30008219178082191</v>
      </c>
      <c r="CR207" s="2475">
        <f>SUM($I$3:CR$3)/$H$3*(CR$3&gt;0)</f>
        <v>0.30508219178082191</v>
      </c>
      <c r="CS207" s="2475">
        <f>SUM($I$3:CS$3)/$H$3*(CS$3&gt;0)</f>
        <v>0.31008219178082191</v>
      </c>
      <c r="CT207" s="2475">
        <f>SUM($I$3:CT$3)/$H$3*(CT$3&gt;0)</f>
        <v>0.31508219178082192</v>
      </c>
      <c r="CU207" s="2475">
        <f>SUM($I$3:CU$3)/$H$3*(CU$3&gt;0)</f>
        <v>0.32008219178082192</v>
      </c>
      <c r="CV207" s="2475">
        <f>SUM($I$3:CV$3)/$H$3*(CV$3&gt;0)</f>
        <v>0.32508219178082193</v>
      </c>
      <c r="CW207" s="2475">
        <f>SUM($I$3:CW$3)/$H$3*(CW$3&gt;0)</f>
        <v>0.33008219178082193</v>
      </c>
      <c r="CX207" s="2475">
        <f>SUM($I$3:CX$3)/$H$3*(CX$3&gt;0)</f>
        <v>0.33508219178082194</v>
      </c>
      <c r="CY207" s="2475">
        <f>SUM($I$3:CY$3)/$H$3*(CY$3&gt;0)</f>
        <v>0.34008219178082194</v>
      </c>
      <c r="CZ207" s="2475">
        <f>SUM($I$3:CZ$3)/$H$3*(CZ$3&gt;0)</f>
        <v>0.34508219178082195</v>
      </c>
      <c r="DA207" s="2475">
        <f>SUM($I$3:DA$3)/$H$3*(DA$3&gt;0)</f>
        <v>0.35008219178082195</v>
      </c>
      <c r="DB207" s="2475">
        <f>SUM($I$3:DB$3)/$H$3*(DB$3&gt;0)</f>
        <v>0.35508219178082195</v>
      </c>
      <c r="DC207" s="2475">
        <f>SUM($I$3:DC$3)/$H$3*(DC$3&gt;0)</f>
        <v>0.3600821917808219</v>
      </c>
      <c r="DD207" s="2475">
        <f>SUM($I$3:DD$3)/$H$3*(DD$3&gt;0)</f>
        <v>0.36508219178082191</v>
      </c>
      <c r="DE207" s="2475">
        <f>SUM($I$3:DE$3)/$H$3*(DE$3&gt;0)</f>
        <v>0.37008219178082191</v>
      </c>
      <c r="DF207" s="2475">
        <f>SUM($I$3:DF$3)/$H$3*(DF$3&gt;0)</f>
        <v>0.37508219178082192</v>
      </c>
      <c r="DG207" s="2475">
        <f>SUM($I$3:DG$3)/$H$3*(DG$3&gt;0)</f>
        <v>0.38008219178082192</v>
      </c>
      <c r="DH207" s="2475">
        <f>SUM($I$3:DH$3)/$H$3*(DH$3&gt;0)</f>
        <v>0.38508219178082193</v>
      </c>
      <c r="DI207" s="2475">
        <f>SUM($I$3:DI$3)/$H$3*(DI$3&gt;0)</f>
        <v>0.39008219178082193</v>
      </c>
      <c r="DJ207" s="2475">
        <f>SUM($I$3:DJ$3)/$H$3*(DJ$3&gt;0)</f>
        <v>0.39508219178082193</v>
      </c>
      <c r="DK207" s="2475">
        <f>SUM($I$3:DK$3)/$H$3*(DK$3&gt;0)</f>
        <v>0.40008219178082194</v>
      </c>
      <c r="DL207" s="2475">
        <f>SUM($I$3:DL$3)/$H$3*(DL$3&gt;0)</f>
        <v>0.40508219178082194</v>
      </c>
      <c r="DM207" s="2475">
        <f>SUM($I$3:DM$3)/$H$3*(DM$3&gt;0)</f>
        <v>0.41008219178082195</v>
      </c>
      <c r="DN207" s="2475">
        <f>SUM($I$3:DN$3)/$H$3*(DN$3&gt;0)</f>
        <v>0.41508219178082195</v>
      </c>
      <c r="DO207" s="2475">
        <f>SUM($I$3:DO$3)/$H$3*(DO$3&gt;0)</f>
        <v>0.42008219178082196</v>
      </c>
      <c r="DP207" s="2475">
        <f>SUM($I$3:DP$3)/$H$3*(DP$3&gt;0)</f>
        <v>0.42508219178082191</v>
      </c>
      <c r="DQ207" s="2475">
        <f>SUM($I$3:DQ$3)/$H$3*(DQ$3&gt;0)</f>
        <v>0.43008219178082191</v>
      </c>
      <c r="DR207" s="2475">
        <f>SUM($I$3:DR$3)/$H$3*(DR$3&gt;0)</f>
        <v>0.43508219178082191</v>
      </c>
      <c r="DS207" s="2475">
        <f>SUM($I$3:DS$3)/$H$3*(DS$3&gt;0)</f>
        <v>0.44008219178082192</v>
      </c>
      <c r="DT207" s="2475">
        <f>SUM($I$3:DT$3)/$H$3*(DT$3&gt;0)</f>
        <v>0.44508219178082192</v>
      </c>
      <c r="DU207" s="2475">
        <f>SUM($I$3:DU$3)/$H$3*(DU$3&gt;0)</f>
        <v>0.45008219178082193</v>
      </c>
      <c r="DV207" s="2475">
        <f>SUM($I$3:DV$3)/$H$3*(DV$3&gt;0)</f>
        <v>0.45508219178082193</v>
      </c>
      <c r="DW207" s="2475">
        <f>SUM($I$3:DW$3)/$H$3*(DW$3&gt;0)</f>
        <v>0.46008219178082194</v>
      </c>
      <c r="DX207" s="2475">
        <f>SUM($I$3:DX$3)/$H$3*(DX$3&gt;0)</f>
        <v>0.46508219178082194</v>
      </c>
      <c r="DY207" s="2475">
        <f>SUM($I$3:DY$3)/$H$3*(DY$3&gt;0)</f>
        <v>0.47008219178082195</v>
      </c>
      <c r="DZ207" s="2475">
        <f>SUM($I$3:DZ$3)/$H$3*(DZ$3&gt;0)</f>
        <v>0.47508219178082195</v>
      </c>
      <c r="EA207" s="2475">
        <f>SUM($I$3:EA$3)/$H$3*(EA$3&gt;0)</f>
        <v>0.48008219178082195</v>
      </c>
      <c r="EB207" s="2475">
        <f>SUM($I$3:EB$3)/$H$3*(EB$3&gt;0)</f>
        <v>0.4850821917808219</v>
      </c>
      <c r="EC207" s="2475">
        <f>SUM($I$3:EC$3)/$H$3*(EC$3&gt;0)</f>
        <v>0.49008219178082191</v>
      </c>
      <c r="ED207" s="2475">
        <f>SUM($I$3:ED$3)/$H$3*(ED$3&gt;0)</f>
        <v>0.49508219178082191</v>
      </c>
      <c r="EE207" s="2475">
        <f>SUM($I$3:EE$3)/$H$3*(EE$3&gt;0)</f>
        <v>0.50008219178082192</v>
      </c>
      <c r="EF207" s="2475">
        <f>SUM($I$3:EF$3)/$H$3*(EF$3&gt;0)</f>
        <v>0.50508219178082192</v>
      </c>
      <c r="EG207" s="2475">
        <f>SUM($I$3:EG$3)/$H$3*(EG$3&gt;0)</f>
        <v>0.51008219178082193</v>
      </c>
      <c r="EH207" s="2475">
        <f>SUM($I$3:EH$3)/$H$3*(EH$3&gt;0)</f>
        <v>0.51508219178082193</v>
      </c>
      <c r="EI207" s="2475">
        <f>SUM($I$3:EI$3)/$H$3*(EI$3&gt;0)</f>
        <v>0.52008219178082193</v>
      </c>
      <c r="EJ207" s="2475">
        <f>SUM($I$3:EJ$3)/$H$3*(EJ$3&gt;0)</f>
        <v>0.52508219178082194</v>
      </c>
      <c r="EK207" s="2475">
        <f>SUM($I$3:EK$3)/$H$3*(EK$3&gt;0)</f>
        <v>0.53008219178082194</v>
      </c>
      <c r="EL207" s="2475">
        <f>SUM($I$3:EL$3)/$H$3*(EL$3&gt;0)</f>
        <v>0.53508219178082195</v>
      </c>
      <c r="EM207" s="2475">
        <f>SUM($I$3:EM$3)/$H$3*(EM$3&gt;0)</f>
        <v>0.54008219178082195</v>
      </c>
      <c r="EN207" s="2475">
        <f>SUM($I$3:EN$3)/$H$3*(EN$3&gt;0)</f>
        <v>0.54508219178082196</v>
      </c>
      <c r="EO207" s="2475">
        <f>SUM($I$3:EO$3)/$H$3*(EO$3&gt;0)</f>
        <v>0.55008219178082196</v>
      </c>
      <c r="EP207" s="2475">
        <f>SUM($I$3:EP$3)/$H$3*(EP$3&gt;0)</f>
        <v>0.55508219178082197</v>
      </c>
      <c r="EQ207" s="2475">
        <f>SUM($I$3:EQ$3)/$H$3*(EQ$3&gt;0)</f>
        <v>0.56008219178082197</v>
      </c>
      <c r="ER207" s="2475">
        <f>SUM($I$3:ER$3)/$H$3*(ER$3&gt;0)</f>
        <v>0.56508219178082197</v>
      </c>
      <c r="ES207" s="2475">
        <f>SUM($I$3:ES$3)/$H$3*(ES$3&gt;0)</f>
        <v>0.57008219178082198</v>
      </c>
      <c r="ET207" s="2475">
        <f>SUM($I$3:ET$3)/$H$3*(ET$3&gt;0)</f>
        <v>0.57508219178082198</v>
      </c>
      <c r="EU207" s="2475">
        <f>SUM($I$3:EU$3)/$H$3*(EU$3&gt;0)</f>
        <v>0.58008219178082188</v>
      </c>
      <c r="EV207" s="2475">
        <f>SUM($I$3:EV$3)/$H$3*(EV$3&gt;0)</f>
        <v>0.58508219178082188</v>
      </c>
      <c r="EW207" s="2475">
        <f>SUM($I$3:EW$3)/$H$3*(EW$3&gt;0)</f>
        <v>0.59008219178082189</v>
      </c>
      <c r="EX207" s="2475">
        <f>SUM($I$3:EX$3)/$H$3*(EX$3&gt;0)</f>
        <v>0.59508219178082189</v>
      </c>
      <c r="EY207" s="2475">
        <f>SUM($I$3:EY$3)/$H$3*(EY$3&gt;0)</f>
        <v>0.60008219178082189</v>
      </c>
      <c r="EZ207" s="2475">
        <f>SUM($I$3:EZ$3)/$H$3*(EZ$3&gt;0)</f>
        <v>0.6050821917808219</v>
      </c>
      <c r="FA207" s="2475">
        <f>SUM($I$3:FA$3)/$H$3*(FA$3&gt;0)</f>
        <v>0.6100821917808219</v>
      </c>
      <c r="FB207" s="2475">
        <f>SUM($I$3:FB$3)/$H$3*(FB$3&gt;0)</f>
        <v>0.61508219178082191</v>
      </c>
      <c r="FC207" s="2475">
        <f>SUM($I$3:FC$3)/$H$3*(FC$3&gt;0)</f>
        <v>0.62008219178082191</v>
      </c>
      <c r="FD207" s="2475">
        <f>SUM($I$3:FD$3)/$H$3*(FD$3&gt;0)</f>
        <v>0.62508219178082192</v>
      </c>
      <c r="FE207" s="2475">
        <f>SUM($I$3:FE$3)/$H$3*(FE$3&gt;0)</f>
        <v>0.63008219178082192</v>
      </c>
      <c r="FF207" s="2475">
        <f>SUM($I$3:FF$3)/$H$3*(FF$3&gt;0)</f>
        <v>0.63508219178082193</v>
      </c>
      <c r="FG207" s="2475">
        <f>SUM($I$3:FG$3)/$H$3*(FG$3&gt;0)</f>
        <v>0.64008219178082182</v>
      </c>
      <c r="FH207" s="2475">
        <f>SUM($I$3:FH$3)/$H$3*(FH$3&gt;0)</f>
        <v>0.64508219178082182</v>
      </c>
      <c r="FI207" s="2475">
        <f>SUM($I$3:FI$3)/$H$3*(FI$3&gt;0)</f>
        <v>0.65008219178082183</v>
      </c>
      <c r="FJ207" s="2475">
        <f>SUM($I$3:FJ$3)/$H$3*(FJ$3&gt;0)</f>
        <v>0.65508219178082183</v>
      </c>
      <c r="FK207" s="2475">
        <f>SUM($I$3:FK$3)/$H$3*(FK$3&gt;0)</f>
        <v>0.66008219178082184</v>
      </c>
      <c r="FL207" s="2475">
        <f>SUM($I$3:FL$3)/$H$3*(FL$3&gt;0)</f>
        <v>0.66508219178082184</v>
      </c>
      <c r="FM207" s="2475">
        <f>SUM($I$3:FM$3)/$H$3*(FM$3&gt;0)</f>
        <v>0.67008219178082185</v>
      </c>
      <c r="FN207" s="2475">
        <f>SUM($I$3:FN$3)/$H$3*(FN$3&gt;0)</f>
        <v>0.67508219178082185</v>
      </c>
      <c r="FO207" s="2475">
        <f>SUM($I$3:FO$3)/$H$3*(FO$3&gt;0)</f>
        <v>0.68008219178082185</v>
      </c>
      <c r="FP207" s="2475">
        <f>SUM($I$3:FP$3)/$H$3*(FP$3&gt;0)</f>
        <v>0.68508219178082186</v>
      </c>
      <c r="FQ207" s="2475">
        <f>SUM($I$3:FQ$3)/$H$3*(FQ$3&gt;0)</f>
        <v>0.69008219178082186</v>
      </c>
      <c r="FR207" s="2475">
        <f>SUM($I$3:FR$3)/$H$3*(FR$3&gt;0)</f>
        <v>0.69508219178082187</v>
      </c>
      <c r="FS207" s="2475">
        <f>SUM($I$3:FS$3)/$H$3*(FS$3&gt;0)</f>
        <v>0.70008219178082187</v>
      </c>
      <c r="FT207" s="2475">
        <f>SUM($I$3:FT$3)/$H$3*(FT$3&gt;0)</f>
        <v>0.70508219178082188</v>
      </c>
      <c r="FU207" s="2475">
        <f>SUM($I$3:FU$3)/$H$3*(FU$3&gt;0)</f>
        <v>0.71008219178082188</v>
      </c>
      <c r="FV207" s="2475">
        <f>SUM($I$3:FV$3)/$H$3*(FV$3&gt;0)</f>
        <v>0.71508219178082189</v>
      </c>
      <c r="FW207" s="2475">
        <f>SUM($I$3:FW$3)/$H$3*(FW$3&gt;0)</f>
        <v>0.72008219178082189</v>
      </c>
      <c r="FX207" s="2475">
        <f>SUM($I$3:FX$3)/$H$3*(FX$3&gt;0)</f>
        <v>0.72508219178082189</v>
      </c>
      <c r="FY207" s="2475">
        <f>SUM($I$3:FY$3)/$H$3*(FY$3&gt;0)</f>
        <v>0.7300821917808219</v>
      </c>
      <c r="FZ207" s="2475">
        <f>SUM($I$3:FZ$3)/$H$3*(FZ$3&gt;0)</f>
        <v>0.7350821917808219</v>
      </c>
      <c r="GA207" s="2475">
        <f>SUM($I$3:GA$3)/$H$3*(GA$3&gt;0)</f>
        <v>0.74008219178082191</v>
      </c>
      <c r="GB207" s="2475">
        <f>SUM($I$3:GB$3)/$H$3*(GB$3&gt;0)</f>
        <v>0.74508219178082191</v>
      </c>
      <c r="GC207" s="2475">
        <f>SUM($I$3:GC$3)/$H$3*(GC$3&gt;0)</f>
        <v>0.75008219178082181</v>
      </c>
      <c r="GD207" s="2475">
        <f>SUM($I$3:GD$3)/$H$3*(GD$3&gt;0)</f>
        <v>0.75508219178082181</v>
      </c>
      <c r="GE207" s="2475">
        <f>SUM($I$3:GE$3)/$H$3*(GE$3&gt;0)</f>
        <v>0.76008219178082181</v>
      </c>
      <c r="GF207" s="2475">
        <f>SUM($I$3:GF$3)/$H$3*(GF$3&gt;0)</f>
        <v>0.76508219178082182</v>
      </c>
      <c r="GG207" s="2475">
        <f>SUM($I$3:GG$3)/$H$3*(GG$3&gt;0)</f>
        <v>0.77008219178082182</v>
      </c>
      <c r="GH207" s="2475">
        <f>SUM($I$3:GH$3)/$H$3*(GH$3&gt;0)</f>
        <v>0.77508219178082183</v>
      </c>
      <c r="GI207" s="2475">
        <f>SUM($I$3:GI$3)/$H$3*(GI$3&gt;0)</f>
        <v>0.78008219178082183</v>
      </c>
      <c r="GJ207" s="2475">
        <f>SUM($I$3:GJ$3)/$H$3*(GJ$3&gt;0)</f>
        <v>0.78508219178082184</v>
      </c>
      <c r="GK207" s="2475">
        <f>SUM($I$3:GK$3)/$H$3*(GK$3&gt;0)</f>
        <v>0.79008219178082184</v>
      </c>
      <c r="GL207" s="2475">
        <f>SUM($I$3:GL$3)/$H$3*(GL$3&gt;0)</f>
        <v>0.79508219178082185</v>
      </c>
      <c r="GM207" s="2475">
        <f>SUM($I$3:GM$3)/$H$3*(GM$3&gt;0)</f>
        <v>0.80008219178082185</v>
      </c>
      <c r="GN207" s="2475">
        <f>SUM($I$3:GN$3)/$H$3*(GN$3&gt;0)</f>
        <v>0.80508219178082185</v>
      </c>
      <c r="GO207" s="2475">
        <f>SUM($I$3:GO$3)/$H$3*(GO$3&gt;0)</f>
        <v>0.81008219178082186</v>
      </c>
      <c r="GP207" s="2475">
        <f>SUM($I$3:GP$3)/$H$3*(GP$3&gt;0)</f>
        <v>0.81508219178082186</v>
      </c>
      <c r="GQ207" s="2475">
        <f>SUM($I$3:GQ$3)/$H$3*(GQ$3&gt;0)</f>
        <v>0.82008219178082187</v>
      </c>
      <c r="GR207" s="2475">
        <f>SUM($I$3:GR$3)/$H$3*(GR$3&gt;0)</f>
        <v>0.82508219178082187</v>
      </c>
      <c r="GS207" s="2475">
        <f>SUM($I$3:GS$3)/$H$3*(GS$3&gt;0)</f>
        <v>0.83008219178082188</v>
      </c>
      <c r="GT207" s="2475">
        <f>SUM($I$3:GT$3)/$H$3*(GT$3&gt;0)</f>
        <v>0.83508219178082188</v>
      </c>
      <c r="GU207" s="2475">
        <f>SUM($I$3:GU$3)/$H$3*(GU$3&gt;0)</f>
        <v>0.84008219178082189</v>
      </c>
      <c r="GV207" s="2475">
        <f>SUM($I$3:GV$3)/$H$3*(GV$3&gt;0)</f>
        <v>0.84508219178082189</v>
      </c>
      <c r="GW207" s="2475">
        <f>SUM($I$3:GW$3)/$H$3*(GW$3&gt;0)</f>
        <v>0.85008219178082189</v>
      </c>
      <c r="GX207" s="2475">
        <f>SUM($I$3:GX$3)/$H$3*(GX$3&gt;0)</f>
        <v>0.8550821917808219</v>
      </c>
      <c r="GY207" s="2475">
        <f>SUM($I$3:GY$3)/$H$3*(GY$3&gt;0)</f>
        <v>0.8600821917808219</v>
      </c>
      <c r="GZ207" s="2475">
        <f>SUM($I$3:GZ$3)/$H$3*(GZ$3&gt;0)</f>
        <v>0.86508219178082191</v>
      </c>
      <c r="HA207" s="2475">
        <f>SUM($I$3:HA$3)/$H$3*(HA$3&gt;0)</f>
        <v>0.87008219178082191</v>
      </c>
      <c r="HB207" s="2475">
        <f>SUM($I$3:HB$3)/$H$3*(HB$3&gt;0)</f>
        <v>0.87508219178082181</v>
      </c>
      <c r="HC207" s="2475">
        <f>SUM($I$3:HC$3)/$H$3*(HC$3&gt;0)</f>
        <v>0.88008219178082181</v>
      </c>
      <c r="HD207" s="2475">
        <f>SUM($I$3:HD$3)/$H$3*(HD$3&gt;0)</f>
        <v>0.88508219178082181</v>
      </c>
      <c r="HE207" s="2475">
        <f>SUM($I$3:HE$3)/$H$3*(HE$3&gt;0)</f>
        <v>0.89008219178082182</v>
      </c>
      <c r="HF207" s="2475">
        <f>SUM($I$3:HF$3)/$H$3*(HF$3&gt;0)</f>
        <v>0.89508219178082182</v>
      </c>
      <c r="HG207" s="2475">
        <f>SUM($I$3:HG$3)/$H$3*(HG$3&gt;0)</f>
        <v>0.90008219178082183</v>
      </c>
      <c r="HH207" s="2475">
        <f>SUM($I$3:HH$3)/$H$3*(HH$3&gt;0)</f>
        <v>0.90508219178082183</v>
      </c>
      <c r="HI207" s="2475">
        <f>SUM($I$3:HI$3)/$H$3*(HI$3&gt;0)</f>
        <v>0.91008219178082184</v>
      </c>
      <c r="HJ207" s="2475">
        <f>SUM($I$3:HJ$3)/$H$3*(HJ$3&gt;0)</f>
        <v>0.91508219178082184</v>
      </c>
      <c r="HK207" s="2475">
        <f>SUM($I$3:HK$3)/$H$3*(HK$3&gt;0)</f>
        <v>0.92008219178082185</v>
      </c>
      <c r="HL207" s="2475">
        <f>SUM($I$3:HL$3)/$H$3*(HL$3&gt;0)</f>
        <v>0.92508219178082185</v>
      </c>
      <c r="HM207" s="2475">
        <f>SUM($I$3:HM$3)/$H$3*(HM$3&gt;0)</f>
        <v>0.93008219178082185</v>
      </c>
      <c r="HN207" s="2475">
        <f>SUM($I$3:HN$3)/$H$3*(HN$3&gt;0)</f>
        <v>0.93508219178082186</v>
      </c>
      <c r="HO207" s="2475">
        <f>SUM($I$3:HO$3)/$H$3*(HO$3&gt;0)</f>
        <v>0.94008219178082186</v>
      </c>
      <c r="HP207" s="2475">
        <f>SUM($I$3:HP$3)/$H$3*(HP$3&gt;0)</f>
        <v>0.94508219178082187</v>
      </c>
      <c r="HQ207" s="2475">
        <f>SUM($I$3:HQ$3)/$H$3*(HQ$3&gt;0)</f>
        <v>0.95008219178082187</v>
      </c>
      <c r="HR207" s="2475">
        <f>SUM($I$3:HR$3)/$H$3*(HR$3&gt;0)</f>
        <v>0.95508219178082188</v>
      </c>
      <c r="HS207" s="2475">
        <f>SUM($I$3:HS$3)/$H$3*(HS$3&gt;0)</f>
        <v>0.96008219178082188</v>
      </c>
      <c r="HT207" s="2475">
        <f>SUM($I$3:HT$3)/$H$3*(HT$3&gt;0)</f>
        <v>0.96508219178082189</v>
      </c>
      <c r="HU207" s="2475">
        <f>SUM($I$3:HU$3)/$H$3*(HU$3&gt;0)</f>
        <v>0.97008219178082189</v>
      </c>
      <c r="HV207" s="2475">
        <f>SUM($I$3:HV$3)/$H$3*(HV$3&gt;0)</f>
        <v>0.97508219178082189</v>
      </c>
      <c r="HW207" s="2475">
        <f>SUM($I$3:HW$3)/$H$3*(HW$3&gt;0)</f>
        <v>0.9800821917808219</v>
      </c>
      <c r="HX207" s="2475">
        <f>SUM($I$3:HX$3)/$H$3*(HX$3&gt;0)</f>
        <v>0.9850821917808219</v>
      </c>
      <c r="HY207" s="2475">
        <f>SUM($I$3:HY$3)/$H$3*(HY$3&gt;0)</f>
        <v>0.99008219178082191</v>
      </c>
      <c r="HZ207" s="2475">
        <f>SUM($I$3:HZ$3)/$H$3*(HZ$3&gt;0)</f>
        <v>0.99508219178082191</v>
      </c>
      <c r="IA207" s="2475">
        <f>SUM($I$3:IA$3)/$H$3*(IA$3&gt;0)</f>
        <v>1</v>
      </c>
    </row>
    <row r="208" spans="2:311">
      <c r="C208" s="2466"/>
      <c r="D208" s="2476" t="s">
        <v>3934</v>
      </c>
      <c r="E208" s="2356"/>
      <c r="F208" s="2356"/>
      <c r="G208" s="2446"/>
      <c r="H208" s="2450">
        <f ca="1">MAX(J208:IA208)</f>
        <v>32519.714508349545</v>
      </c>
      <c r="I208" s="2482"/>
      <c r="J208" s="2448">
        <f t="shared" ref="J208:BN208" si="319">J206*J207</f>
        <v>0</v>
      </c>
      <c r="K208" s="2447">
        <f t="shared" si="319"/>
        <v>0</v>
      </c>
      <c r="L208" s="2449">
        <f t="shared" si="319"/>
        <v>0</v>
      </c>
      <c r="M208" s="2448">
        <f t="shared" si="319"/>
        <v>0</v>
      </c>
      <c r="N208" s="2448">
        <f t="shared" si="319"/>
        <v>0</v>
      </c>
      <c r="O208" s="2447">
        <f t="shared" si="319"/>
        <v>0</v>
      </c>
      <c r="P208" s="2450">
        <f t="shared" si="319"/>
        <v>0</v>
      </c>
      <c r="Q208" s="2450">
        <f t="shared" si="319"/>
        <v>0</v>
      </c>
      <c r="R208" s="2449">
        <f t="shared" si="319"/>
        <v>0</v>
      </c>
      <c r="S208" s="2447">
        <f t="shared" si="319"/>
        <v>0</v>
      </c>
      <c r="T208" s="2450">
        <f t="shared" si="319"/>
        <v>0</v>
      </c>
      <c r="U208" s="2451">
        <f t="shared" si="319"/>
        <v>0</v>
      </c>
      <c r="V208" s="2451">
        <f t="shared" si="319"/>
        <v>0</v>
      </c>
      <c r="W208" s="2451">
        <f t="shared" si="319"/>
        <v>0</v>
      </c>
      <c r="X208" s="2451">
        <f t="shared" si="319"/>
        <v>0</v>
      </c>
      <c r="Y208" s="2451">
        <f t="shared" si="319"/>
        <v>0</v>
      </c>
      <c r="Z208" s="2451">
        <f t="shared" si="319"/>
        <v>0</v>
      </c>
      <c r="AA208" s="2451">
        <f t="shared" si="319"/>
        <v>0</v>
      </c>
      <c r="AB208" s="2451">
        <f t="shared" si="319"/>
        <v>0</v>
      </c>
      <c r="AC208" s="2451">
        <f t="shared" si="319"/>
        <v>0</v>
      </c>
      <c r="AD208" s="2451">
        <f t="shared" si="319"/>
        <v>0</v>
      </c>
      <c r="AE208" s="2451">
        <f t="shared" si="319"/>
        <v>0</v>
      </c>
      <c r="AF208" s="2451">
        <f t="shared" si="319"/>
        <v>0</v>
      </c>
      <c r="AG208" s="2451">
        <f t="shared" si="319"/>
        <v>0</v>
      </c>
      <c r="AH208" s="2451">
        <f t="shared" si="319"/>
        <v>0</v>
      </c>
      <c r="AI208" s="2451">
        <f t="shared" si="319"/>
        <v>0</v>
      </c>
      <c r="AJ208" s="2451">
        <f t="shared" si="319"/>
        <v>1192.080506066387</v>
      </c>
      <c r="AK208" s="2451">
        <f t="shared" si="319"/>
        <v>2329.8334128822225</v>
      </c>
      <c r="AL208" s="2451">
        <f t="shared" si="319"/>
        <v>3465.9313217358208</v>
      </c>
      <c r="AM208" s="2451">
        <f t="shared" si="319"/>
        <v>4552.7288993644133</v>
      </c>
      <c r="AN208" s="2451">
        <f t="shared" si="319"/>
        <v>5671.8476433420019</v>
      </c>
      <c r="AO208" s="2451">
        <f t="shared" si="319"/>
        <v>6677.3847685291121</v>
      </c>
      <c r="AP208" s="2451">
        <f t="shared" si="319"/>
        <v>7826.4240863995274</v>
      </c>
      <c r="AQ208" s="2451">
        <f t="shared" si="319"/>
        <v>8828.7930075277345</v>
      </c>
      <c r="AR208" s="2451">
        <f t="shared" si="319"/>
        <v>9860.9189610072681</v>
      </c>
      <c r="AS208" s="2451">
        <f t="shared" si="319"/>
        <v>10795.072446527696</v>
      </c>
      <c r="AT208" s="2451">
        <f t="shared" si="319"/>
        <v>11760.170503402018</v>
      </c>
      <c r="AU208" s="2451">
        <f t="shared" si="319"/>
        <v>12608.864459211643</v>
      </c>
      <c r="AV208" s="2451">
        <f t="shared" si="319"/>
        <v>13548.199591568324</v>
      </c>
      <c r="AW208" s="2451">
        <f t="shared" si="319"/>
        <v>14284.35781623456</v>
      </c>
      <c r="AX208" s="2451">
        <f t="shared" si="319"/>
        <v>15163.109924232762</v>
      </c>
      <c r="AY208" s="2451">
        <f t="shared" si="319"/>
        <v>15850.759828591687</v>
      </c>
      <c r="AZ208" s="2451">
        <f t="shared" si="319"/>
        <v>16674.456686352154</v>
      </c>
      <c r="BA208" s="2451">
        <f t="shared" si="319"/>
        <v>17312.245208972789</v>
      </c>
      <c r="BB208" s="2451">
        <f t="shared" si="319"/>
        <v>18132.758649701631</v>
      </c>
      <c r="BC208" s="2451">
        <f t="shared" si="319"/>
        <v>18774.489865460317</v>
      </c>
      <c r="BD208" s="2451">
        <f t="shared" si="319"/>
        <v>19419.165211456093</v>
      </c>
      <c r="BE208" s="2451">
        <f t="shared" si="319"/>
        <v>19888.054979137862</v>
      </c>
      <c r="BF208" s="2451">
        <f t="shared" si="319"/>
        <v>20558.245998959155</v>
      </c>
      <c r="BG208" s="2451">
        <f t="shared" si="319"/>
        <v>21147.692329539608</v>
      </c>
      <c r="BH208" s="2451">
        <f t="shared" si="319"/>
        <v>21659.076275184249</v>
      </c>
      <c r="BI208" s="2451">
        <f t="shared" si="319"/>
        <v>22156.693808725293</v>
      </c>
      <c r="BJ208" s="2451">
        <f t="shared" si="319"/>
        <v>22684.55008417998</v>
      </c>
      <c r="BK208" s="2451">
        <f t="shared" si="319"/>
        <v>23168.668482698802</v>
      </c>
      <c r="BL208" s="2451">
        <f t="shared" si="319"/>
        <v>23736.423460991849</v>
      </c>
      <c r="BM208" s="2451">
        <f t="shared" si="319"/>
        <v>24150.262011307685</v>
      </c>
      <c r="BN208" s="2451">
        <f t="shared" si="319"/>
        <v>24834.183337704428</v>
      </c>
      <c r="BO208" s="2451">
        <f t="shared" ref="BO208:DZ208" si="320">BO206*BO207</f>
        <v>25129.949608750925</v>
      </c>
      <c r="BP208" s="2451">
        <f t="shared" si="320"/>
        <v>25681.588183369549</v>
      </c>
      <c r="BQ208" s="2451">
        <f t="shared" si="320"/>
        <v>25875.090296766044</v>
      </c>
      <c r="BR208" s="2451">
        <f t="shared" si="320"/>
        <v>26454.109801795083</v>
      </c>
      <c r="BS208" s="2451">
        <f t="shared" si="320"/>
        <v>26744.807030637065</v>
      </c>
      <c r="BT208" s="2451">
        <f t="shared" si="320"/>
        <v>27403.391644224968</v>
      </c>
      <c r="BU208" s="2451">
        <f t="shared" si="320"/>
        <v>27315.153594454267</v>
      </c>
      <c r="BV208" s="2451">
        <f t="shared" si="320"/>
        <v>27582.613730957775</v>
      </c>
      <c r="BW208" s="2451">
        <f t="shared" si="320"/>
        <v>27901.65543624479</v>
      </c>
      <c r="BX208" s="2451">
        <f t="shared" si="320"/>
        <v>28186.599410084444</v>
      </c>
      <c r="BY208" s="2451">
        <f t="shared" si="320"/>
        <v>28352.073514085816</v>
      </c>
      <c r="BZ208" s="2451">
        <f t="shared" si="320"/>
        <v>28585.297835356731</v>
      </c>
      <c r="CA208" s="2451">
        <f t="shared" si="320"/>
        <v>28675.311742840877</v>
      </c>
      <c r="CB208" s="2451">
        <f t="shared" si="320"/>
        <v>29114.76020884153</v>
      </c>
      <c r="CC208" s="2451">
        <f t="shared" si="320"/>
        <v>29125.243161397651</v>
      </c>
      <c r="CD208" s="2451">
        <f t="shared" si="320"/>
        <v>29681.064310173955</v>
      </c>
      <c r="CE208" s="2451">
        <f t="shared" si="320"/>
        <v>29846.946741708849</v>
      </c>
      <c r="CF208" s="2451">
        <f t="shared" si="320"/>
        <v>30267.583330814377</v>
      </c>
      <c r="CG208" s="2451">
        <f t="shared" si="320"/>
        <v>30604.217330943073</v>
      </c>
      <c r="CH208" s="2451">
        <f t="shared" ca="1" si="320"/>
        <v>30787.949620995747</v>
      </c>
      <c r="CI208" s="2451">
        <f t="shared" ca="1" si="320"/>
        <v>30960.884590194757</v>
      </c>
      <c r="CJ208" s="2451">
        <f t="shared" ca="1" si="320"/>
        <v>31123.283860487139</v>
      </c>
      <c r="CK208" s="2451">
        <f t="shared" ca="1" si="320"/>
        <v>31275.403908358632</v>
      </c>
      <c r="CL208" s="2451">
        <f t="shared" ca="1" si="320"/>
        <v>31417.496156764526</v>
      </c>
      <c r="CM208" s="2451">
        <f t="shared" ca="1" si="320"/>
        <v>31549.807065506579</v>
      </c>
      <c r="CN208" s="2451">
        <f t="shared" ca="1" si="320"/>
        <v>31672.578220081552</v>
      </c>
      <c r="CO208" s="2451">
        <f t="shared" ca="1" si="320"/>
        <v>31786.046419026046</v>
      </c>
      <c r="CP208" s="2451">
        <f t="shared" ca="1" si="320"/>
        <v>31890.443759782476</v>
      </c>
      <c r="CQ208" s="2451">
        <f t="shared" ca="1" si="320"/>
        <v>31985.997723109915</v>
      </c>
      <c r="CR208" s="2451">
        <f t="shared" ca="1" si="320"/>
        <v>32072.931256064046</v>
      </c>
      <c r="CS208" s="2451">
        <f t="shared" ca="1" si="320"/>
        <v>32151.462853569195</v>
      </c>
      <c r="CT208" s="2451">
        <f t="shared" ca="1" si="320"/>
        <v>32221.80663860562</v>
      </c>
      <c r="CU208" s="2451">
        <f t="shared" ca="1" si="320"/>
        <v>32284.172441034771</v>
      </c>
      <c r="CV208" s="2451">
        <f t="shared" ca="1" si="320"/>
        <v>32338.76587508462</v>
      </c>
      <c r="CW208" s="2451">
        <f t="shared" ca="1" si="320"/>
        <v>32385.788415517152</v>
      </c>
      <c r="CX208" s="2451">
        <f t="shared" ca="1" si="320"/>
        <v>32425.437472499481</v>
      </c>
      <c r="CY208" s="2451">
        <f t="shared" ca="1" si="320"/>
        <v>32457.906465199881</v>
      </c>
      <c r="CZ208" s="2451">
        <f t="shared" ca="1" si="320"/>
        <v>32483.384894129609</v>
      </c>
      <c r="DA208" s="2451">
        <f t="shared" ca="1" si="320"/>
        <v>32502.058412251066</v>
      </c>
      <c r="DB208" s="2451">
        <f t="shared" ca="1" si="320"/>
        <v>32514.108894872563</v>
      </c>
      <c r="DC208" s="2451">
        <f t="shared" ca="1" si="320"/>
        <v>32519.714508349545</v>
      </c>
      <c r="DD208" s="2451">
        <f t="shared" ca="1" si="320"/>
        <v>32519.049777611945</v>
      </c>
      <c r="DE208" s="2451">
        <f t="shared" ca="1" si="320"/>
        <v>32512.285652536819</v>
      </c>
      <c r="DF208" s="2451">
        <f t="shared" ca="1" si="320"/>
        <v>32499.589573185436</v>
      </c>
      <c r="DG208" s="2451">
        <f t="shared" ca="1" si="320"/>
        <v>32481.125533923234</v>
      </c>
      <c r="DH208" s="2451">
        <f t="shared" ca="1" si="320"/>
        <v>32457.05414644122</v>
      </c>
      <c r="DI208" s="2451">
        <f t="shared" ca="1" si="320"/>
        <v>32427.532701696804</v>
      </c>
      <c r="DJ208" s="2451">
        <f t="shared" ca="1" si="320"/>
        <v>32392.715230791819</v>
      </c>
      <c r="DK208" s="2451">
        <f t="shared" ca="1" si="320"/>
        <v>32352.752564805316</v>
      </c>
      <c r="DL208" s="2451">
        <f t="shared" ca="1" si="320"/>
        <v>32307.792393598276</v>
      </c>
      <c r="DM208" s="2451">
        <f t="shared" ca="1" si="320"/>
        <v>32257.979323607251</v>
      </c>
      <c r="DN208" s="2451">
        <f t="shared" ca="1" si="320"/>
        <v>32203.454934643523</v>
      </c>
      <c r="DO208" s="2451">
        <f t="shared" ca="1" si="320"/>
        <v>32144.357835714269</v>
      </c>
      <c r="DP208" s="2451">
        <f t="shared" ca="1" si="320"/>
        <v>32080.823719881839</v>
      </c>
      <c r="DQ208" s="2451">
        <f t="shared" ca="1" si="320"/>
        <v>32012.985418177061</v>
      </c>
      <c r="DR208" s="2451">
        <f t="shared" ca="1" si="320"/>
        <v>31940.97295258208</v>
      </c>
      <c r="DS208" s="2451">
        <f t="shared" ca="1" si="320"/>
        <v>31864.913588098349</v>
      </c>
      <c r="DT208" s="2451">
        <f t="shared" ca="1" si="320"/>
        <v>31784.931883914651</v>
      </c>
      <c r="DU208" s="2451">
        <f t="shared" ca="1" si="320"/>
        <v>31701.149743690225</v>
      </c>
      <c r="DV208" s="2451">
        <f t="shared" ca="1" si="320"/>
        <v>31613.686464967526</v>
      </c>
      <c r="DW208" s="2451">
        <f t="shared" ca="1" si="320"/>
        <v>31522.658787729106</v>
      </c>
      <c r="DX208" s="2451">
        <f t="shared" ca="1" si="320"/>
        <v>31428.180942112784</v>
      </c>
      <c r="DY208" s="2451">
        <f t="shared" ca="1" si="320"/>
        <v>31330.364695298987</v>
      </c>
      <c r="DZ208" s="2451">
        <f t="shared" ca="1" si="320"/>
        <v>31229.319397584179</v>
      </c>
      <c r="EA208" s="2451">
        <f t="shared" ref="EA208:GL208" ca="1" si="321">EA206*EA207</f>
        <v>31125.15202765365</v>
      </c>
      <c r="EB208" s="2451">
        <f t="shared" ca="1" si="321"/>
        <v>31017.967237067154</v>
      </c>
      <c r="EC208" s="2451">
        <f t="shared" ca="1" si="321"/>
        <v>30907.867393970333</v>
      </c>
      <c r="ED208" s="2451">
        <f t="shared" ca="1" si="321"/>
        <v>30794.952626044833</v>
      </c>
      <c r="EE208" s="2451">
        <f t="shared" ca="1" si="321"/>
        <v>30679.320862709956</v>
      </c>
      <c r="EF208" s="2451">
        <f t="shared" ca="1" si="321"/>
        <v>30561.067876587909</v>
      </c>
      <c r="EG208" s="2451">
        <f t="shared" ca="1" si="321"/>
        <v>30440.287324245321</v>
      </c>
      <c r="EH208" s="2451">
        <f t="shared" ca="1" si="321"/>
        <v>30317.070786222823</v>
      </c>
      <c r="EI208" s="2451">
        <f t="shared" ca="1" si="321"/>
        <v>30191.507806364622</v>
      </c>
      <c r="EJ208" s="2451">
        <f t="shared" ca="1" si="321"/>
        <v>30063.685930459789</v>
      </c>
      <c r="EK208" s="2451">
        <f t="shared" ca="1" si="321"/>
        <v>29933.690744206699</v>
      </c>
      <c r="EL208" s="2451">
        <f t="shared" ca="1" si="321"/>
        <v>29801.605910511909</v>
      </c>
      <c r="EM208" s="2451">
        <f t="shared" ca="1" si="321"/>
        <v>29667.513206134689</v>
      </c>
      <c r="EN208" s="2451">
        <f t="shared" ca="1" si="321"/>
        <v>29531.492557687863</v>
      </c>
      <c r="EO208" s="2451">
        <f t="shared" ca="1" si="321"/>
        <v>29393.622077006159</v>
      </c>
      <c r="EP208" s="2451">
        <f t="shared" ca="1" si="321"/>
        <v>29253.978095892246</v>
      </c>
      <c r="EQ208" s="2451">
        <f t="shared" ca="1" si="321"/>
        <v>29112.635200251098</v>
      </c>
      <c r="ER208" s="2451">
        <f t="shared" ca="1" si="321"/>
        <v>28969.666263622843</v>
      </c>
      <c r="ES208" s="2451">
        <f t="shared" ca="1" si="321"/>
        <v>28825.142480124181</v>
      </c>
      <c r="ET208" s="2451">
        <f t="shared" ca="1" si="321"/>
        <v>28679.133396808396</v>
      </c>
      <c r="EU208" s="2451">
        <f t="shared" ca="1" si="321"/>
        <v>28531.706945453509</v>
      </c>
      <c r="EV208" s="2451">
        <f t="shared" ca="1" si="321"/>
        <v>28382.929473788296</v>
      </c>
      <c r="EW208" s="2451">
        <f t="shared" ca="1" si="321"/>
        <v>28232.865776165687</v>
      </c>
      <c r="EX208" s="2451">
        <f t="shared" ca="1" si="321"/>
        <v>28081.579123692678</v>
      </c>
      <c r="EY208" s="2451">
        <f t="shared" ca="1" si="321"/>
        <v>27929.131293825933</v>
      </c>
      <c r="EZ208" s="2451">
        <f t="shared" ca="1" si="321"/>
        <v>27775.582599442154</v>
      </c>
      <c r="FA208" s="2451">
        <f t="shared" ca="1" si="321"/>
        <v>27620.991917391973</v>
      </c>
      <c r="FB208" s="2451">
        <f t="shared" ca="1" si="321"/>
        <v>27465.416716546031</v>
      </c>
      <c r="FC208" s="2451">
        <f t="shared" ca="1" si="321"/>
        <v>27308.913085341996</v>
      </c>
      <c r="FD208" s="2451">
        <f t="shared" ca="1" si="321"/>
        <v>27151.535758840619</v>
      </c>
      <c r="FE208" s="2451">
        <f t="shared" ca="1" si="321"/>
        <v>26993.338145299418</v>
      </c>
      <c r="FF208" s="2451">
        <f t="shared" ca="1" si="321"/>
        <v>26834.372352272065</v>
      </c>
      <c r="FG208" s="2451">
        <f t="shared" ca="1" si="321"/>
        <v>26674.689212241174</v>
      </c>
      <c r="FH208" s="2451">
        <f t="shared" ca="1" si="321"/>
        <v>26514.338307792899</v>
      </c>
      <c r="FI208" s="2451">
        <f t="shared" ca="1" si="321"/>
        <v>26353.36799634073</v>
      </c>
      <c r="FJ208" s="2451">
        <f t="shared" ca="1" si="321"/>
        <v>26191.82543440619</v>
      </c>
      <c r="FK208" s="2451">
        <f t="shared" ca="1" si="321"/>
        <v>26029.75660146392</v>
      </c>
      <c r="FL208" s="2451">
        <f t="shared" ca="1" si="321"/>
        <v>25867.20632335867</v>
      </c>
      <c r="FM208" s="2451">
        <f t="shared" ca="1" si="321"/>
        <v>25704.218295301373</v>
      </c>
      <c r="FN208" s="2451">
        <f t="shared" ca="1" si="321"/>
        <v>25540.835104451227</v>
      </c>
      <c r="FO208" s="2451">
        <f t="shared" ca="1" si="321"/>
        <v>25377.09825209124</v>
      </c>
      <c r="FP208" s="2451">
        <f t="shared" ca="1" si="321"/>
        <v>25213.04817540383</v>
      </c>
      <c r="FQ208" s="2451">
        <f t="shared" ca="1" si="321"/>
        <v>25048.724268853359</v>
      </c>
      <c r="FR208" s="2451">
        <f t="shared" ca="1" si="321"/>
        <v>24884.164905182242</v>
      </c>
      <c r="FS208" s="2451">
        <f t="shared" ca="1" si="321"/>
        <v>24719.407456027355</v>
      </c>
      <c r="FT208" s="2451">
        <f t="shared" ca="1" si="321"/>
        <v>24554.488312163063</v>
      </c>
      <c r="FU208" s="2451">
        <f t="shared" ca="1" si="321"/>
        <v>24389.442903377356</v>
      </c>
      <c r="FV208" s="2451">
        <f t="shared" ca="1" si="321"/>
        <v>24224.305717987067</v>
      </c>
      <c r="FW208" s="2451">
        <f t="shared" ca="1" si="321"/>
        <v>24059.110321998796</v>
      </c>
      <c r="FX208" s="2451">
        <f t="shared" ca="1" si="321"/>
        <v>23893.889377921187</v>
      </c>
      <c r="FY208" s="2451">
        <f t="shared" ca="1" si="321"/>
        <v>23728.674663234706</v>
      </c>
      <c r="FZ208" s="2451">
        <f t="shared" ca="1" si="321"/>
        <v>23563.497088524706</v>
      </c>
      <c r="GA208" s="2451">
        <f t="shared" ca="1" si="321"/>
        <v>23398.386715283596</v>
      </c>
      <c r="GB208" s="2451">
        <f t="shared" ca="1" si="321"/>
        <v>23233.372773387793</v>
      </c>
      <c r="GC208" s="2451">
        <f t="shared" ca="1" si="321"/>
        <v>23068.483678254801</v>
      </c>
      <c r="GD208" s="2451">
        <f t="shared" ca="1" si="321"/>
        <v>22903.747047686378</v>
      </c>
      <c r="GE208" s="2451">
        <f t="shared" ca="1" si="321"/>
        <v>22739.189718402667</v>
      </c>
      <c r="GF208" s="2451">
        <f t="shared" ca="1" si="321"/>
        <v>22574.837762272869</v>
      </c>
      <c r="GG208" s="2451">
        <f t="shared" ca="1" si="321"/>
        <v>22410.716502247702</v>
      </c>
      <c r="GH208" s="2451">
        <f t="shared" ca="1" si="321"/>
        <v>22246.85052799862</v>
      </c>
      <c r="GI208" s="2451">
        <f t="shared" ca="1" si="321"/>
        <v>22083.263711268904</v>
      </c>
      <c r="GJ208" s="2451">
        <f t="shared" ca="1" si="321"/>
        <v>21919.97922094167</v>
      </c>
      <c r="GK208" s="2451">
        <f t="shared" ca="1" si="321"/>
        <v>21757.01953782947</v>
      </c>
      <c r="GL208" s="2451">
        <f t="shared" ca="1" si="321"/>
        <v>21594.406469190613</v>
      </c>
      <c r="GM208" s="2451">
        <f t="shared" ref="GM208:IA208" ca="1" si="322">GM206*GM207</f>
        <v>21432.161162976477</v>
      </c>
      <c r="GN208" s="2451">
        <f t="shared" ca="1" si="322"/>
        <v>21270.304121814952</v>
      </c>
      <c r="GO208" s="2451">
        <f t="shared" ca="1" si="322"/>
        <v>21108.85521673414</v>
      </c>
      <c r="GP208" s="2451">
        <f t="shared" ca="1" si="322"/>
        <v>20947.833700631079</v>
      </c>
      <c r="GQ208" s="2451">
        <f t="shared" ca="1" si="322"/>
        <v>20787.258221489785</v>
      </c>
      <c r="GR208" s="2451">
        <f t="shared" ca="1" si="322"/>
        <v>20627.146835353014</v>
      </c>
      <c r="GS208" s="2451">
        <f t="shared" ca="1" si="322"/>
        <v>20467.517019052073</v>
      </c>
      <c r="GT208" s="2451">
        <f t="shared" ca="1" si="322"/>
        <v>20308.385682698503</v>
      </c>
      <c r="GU208" s="2451">
        <f t="shared" ca="1" si="322"/>
        <v>20149.769181942429</v>
      </c>
      <c r="GV208" s="2451">
        <f t="shared" ca="1" si="322"/>
        <v>19991.683330000975</v>
      </c>
      <c r="GW208" s="2451">
        <f t="shared" ca="1" si="322"/>
        <v>19834.143409461136</v>
      </c>
      <c r="GX208" s="2451">
        <f t="shared" ca="1" si="322"/>
        <v>19677.164183861056</v>
      </c>
      <c r="GY208" s="2451">
        <f t="shared" ca="1" si="322"/>
        <v>19520.759909053104</v>
      </c>
      <c r="GZ208" s="2451">
        <f t="shared" ca="1" si="322"/>
        <v>19364.944344353175</v>
      </c>
      <c r="HA208" s="2451">
        <f t="shared" ca="1" si="322"/>
        <v>19209.730763479649</v>
      </c>
      <c r="HB208" s="2451">
        <f t="shared" ca="1" si="322"/>
        <v>19055.131965285454</v>
      </c>
      <c r="HC208" s="2451">
        <f t="shared" ca="1" si="322"/>
        <v>18901.160284287329</v>
      </c>
      <c r="HD208" s="2451">
        <f t="shared" ca="1" si="322"/>
        <v>18747.827600995552</v>
      </c>
      <c r="HE208" s="2451">
        <f t="shared" ca="1" si="322"/>
        <v>18595.145352047428</v>
      </c>
      <c r="HF208" s="2451">
        <f t="shared" ca="1" si="322"/>
        <v>18443.124540148568</v>
      </c>
      <c r="HG208" s="2451">
        <f t="shared" ca="1" si="322"/>
        <v>18291.775743824637</v>
      </c>
      <c r="HH208" s="2451">
        <f t="shared" ca="1" si="322"/>
        <v>18141.10912698743</v>
      </c>
      <c r="HI208" s="2451">
        <f t="shared" ca="1" si="322"/>
        <v>17991.134448318331</v>
      </c>
      <c r="HJ208" s="2451">
        <f t="shared" ca="1" si="322"/>
        <v>17841.86107047223</v>
      </c>
      <c r="HK208" s="2451">
        <f t="shared" ca="1" si="322"/>
        <v>17693.297969105377</v>
      </c>
      <c r="HL208" s="2451">
        <f t="shared" ca="1" si="322"/>
        <v>17545.453741729834</v>
      </c>
      <c r="HM208" s="2451">
        <f t="shared" ca="1" si="322"/>
        <v>17398.336616398166</v>
      </c>
      <c r="HN208" s="2451">
        <f t="shared" ca="1" si="322"/>
        <v>17251.954460220804</v>
      </c>
      <c r="HO208" s="2451">
        <f t="shared" ca="1" si="322"/>
        <v>17106.314787719264</v>
      </c>
      <c r="HP208" s="2451">
        <f t="shared" ca="1" si="322"/>
        <v>16961.424769018329</v>
      </c>
      <c r="HQ208" s="2451">
        <f t="shared" ca="1" si="322"/>
        <v>16817.291237879614</v>
      </c>
      <c r="HR208" s="2451">
        <f t="shared" ca="1" si="322"/>
        <v>16673.92069957963</v>
      </c>
      <c r="HS208" s="2451">
        <f t="shared" ca="1" si="322"/>
        <v>16531.319338635094</v>
      </c>
      <c r="HT208" s="2451">
        <f t="shared" ca="1" si="322"/>
        <v>16389.493026377877</v>
      </c>
      <c r="HU208" s="2451">
        <f t="shared" ca="1" si="322"/>
        <v>16248.44732838297</v>
      </c>
      <c r="HV208" s="2451">
        <f t="shared" ca="1" si="322"/>
        <v>16108.187511751028</v>
      </c>
      <c r="HW208" s="2451">
        <f t="shared" ca="1" si="322"/>
        <v>15968.718552249024</v>
      </c>
      <c r="HX208" s="2451">
        <f t="shared" ca="1" si="322"/>
        <v>15830.04514131118</v>
      </c>
      <c r="HY208" s="2451">
        <f t="shared" ca="1" si="322"/>
        <v>15692.171692902442</v>
      </c>
      <c r="HZ208" s="2451">
        <f t="shared" ca="1" si="322"/>
        <v>15555.102350247473</v>
      </c>
      <c r="IA208" s="2451">
        <f t="shared" ca="1" si="322"/>
        <v>15422.056479349385</v>
      </c>
    </row>
    <row r="209" spans="3:235">
      <c r="C209" s="2466"/>
      <c r="D209" s="2481" t="s">
        <v>3935</v>
      </c>
      <c r="E209" s="2385"/>
      <c r="F209" s="2385"/>
      <c r="G209" s="2386"/>
      <c r="H209" s="2392"/>
      <c r="I209" s="2482"/>
      <c r="J209" s="2395">
        <f t="shared" ref="J209:BU209" si="323">J$53</f>
        <v>0</v>
      </c>
      <c r="K209" s="2387">
        <f t="shared" si="323"/>
        <v>0</v>
      </c>
      <c r="L209" s="2393">
        <f t="shared" si="323"/>
        <v>0</v>
      </c>
      <c r="M209" s="2395">
        <f t="shared" si="323"/>
        <v>0</v>
      </c>
      <c r="N209" s="2395">
        <f t="shared" si="323"/>
        <v>0</v>
      </c>
      <c r="O209" s="2387">
        <f t="shared" si="323"/>
        <v>0</v>
      </c>
      <c r="P209" s="2392">
        <f t="shared" si="323"/>
        <v>0</v>
      </c>
      <c r="Q209" s="2392">
        <f t="shared" si="323"/>
        <v>0</v>
      </c>
      <c r="R209" s="2395">
        <f t="shared" si="323"/>
        <v>0</v>
      </c>
      <c r="S209" s="2387">
        <f t="shared" si="323"/>
        <v>0</v>
      </c>
      <c r="T209" s="2392">
        <f t="shared" si="323"/>
        <v>0</v>
      </c>
      <c r="U209" s="2394">
        <f t="shared" si="323"/>
        <v>0</v>
      </c>
      <c r="V209" s="2394">
        <f t="shared" si="323"/>
        <v>0</v>
      </c>
      <c r="W209" s="2394">
        <f t="shared" si="323"/>
        <v>0</v>
      </c>
      <c r="X209" s="2394">
        <f t="shared" si="323"/>
        <v>0</v>
      </c>
      <c r="Y209" s="2394">
        <f t="shared" si="323"/>
        <v>0</v>
      </c>
      <c r="Z209" s="2394">
        <f t="shared" si="323"/>
        <v>0</v>
      </c>
      <c r="AA209" s="2394">
        <f>AA$53</f>
        <v>0</v>
      </c>
      <c r="AB209" s="2394">
        <f t="shared" si="323"/>
        <v>0</v>
      </c>
      <c r="AC209" s="2394">
        <f t="shared" si="323"/>
        <v>0</v>
      </c>
      <c r="AD209" s="2394">
        <f t="shared" si="323"/>
        <v>0</v>
      </c>
      <c r="AE209" s="2394">
        <f t="shared" si="323"/>
        <v>0</v>
      </c>
      <c r="AF209" s="2394">
        <f t="shared" si="323"/>
        <v>0</v>
      </c>
      <c r="AG209" s="2394">
        <f t="shared" si="323"/>
        <v>0</v>
      </c>
      <c r="AH209" s="2394">
        <f t="shared" si="323"/>
        <v>0</v>
      </c>
      <c r="AI209" s="2394">
        <f t="shared" si="323"/>
        <v>0</v>
      </c>
      <c r="AJ209" s="2394">
        <f t="shared" si="323"/>
        <v>0</v>
      </c>
      <c r="AK209" s="2394">
        <f t="shared" si="323"/>
        <v>0</v>
      </c>
      <c r="AL209" s="2394">
        <f t="shared" si="323"/>
        <v>0</v>
      </c>
      <c r="AM209" s="2394">
        <f t="shared" si="323"/>
        <v>0</v>
      </c>
      <c r="AN209" s="2394">
        <f t="shared" si="323"/>
        <v>0</v>
      </c>
      <c r="AO209" s="2394">
        <f t="shared" si="323"/>
        <v>0</v>
      </c>
      <c r="AP209" s="2394">
        <f t="shared" si="323"/>
        <v>0</v>
      </c>
      <c r="AQ209" s="2394">
        <f t="shared" si="323"/>
        <v>0</v>
      </c>
      <c r="AR209" s="2394">
        <f t="shared" si="323"/>
        <v>0</v>
      </c>
      <c r="AS209" s="2394">
        <f t="shared" si="323"/>
        <v>0</v>
      </c>
      <c r="AT209" s="2394">
        <f t="shared" si="323"/>
        <v>0</v>
      </c>
      <c r="AU209" s="2394">
        <f t="shared" si="323"/>
        <v>0</v>
      </c>
      <c r="AV209" s="2394">
        <f t="shared" si="323"/>
        <v>0</v>
      </c>
      <c r="AW209" s="2394">
        <f t="shared" si="323"/>
        <v>0</v>
      </c>
      <c r="AX209" s="2394">
        <f t="shared" si="323"/>
        <v>138589.95179174127</v>
      </c>
      <c r="AY209" s="2394">
        <f t="shared" si="323"/>
        <v>140327.85017177768</v>
      </c>
      <c r="AZ209" s="2394">
        <f t="shared" si="323"/>
        <v>140632.62320153727</v>
      </c>
      <c r="BA209" s="2394">
        <f t="shared" si="323"/>
        <v>140919.04168208138</v>
      </c>
      <c r="BB209" s="2394">
        <f t="shared" si="323"/>
        <v>141348.57751019343</v>
      </c>
      <c r="BC209" s="2394">
        <f t="shared" si="323"/>
        <v>141698.12757668554</v>
      </c>
      <c r="BD209" s="2394">
        <f t="shared" si="323"/>
        <v>140903.6493186079</v>
      </c>
      <c r="BE209" s="2394">
        <f t="shared" si="323"/>
        <v>140042.76853834922</v>
      </c>
      <c r="BF209" s="2394">
        <f t="shared" si="323"/>
        <v>139371.51183788144</v>
      </c>
      <c r="BG209" s="2394">
        <f t="shared" si="323"/>
        <v>138574.13550564114</v>
      </c>
      <c r="BH209" s="2394">
        <f t="shared" si="323"/>
        <v>137198.26922407805</v>
      </c>
      <c r="BI209" s="2394">
        <f t="shared" si="323"/>
        <v>135731.45453272937</v>
      </c>
      <c r="BJ209" s="2394">
        <f t="shared" si="323"/>
        <v>134474.59375529306</v>
      </c>
      <c r="BK209" s="2394">
        <f t="shared" si="323"/>
        <v>133069.75107552609</v>
      </c>
      <c r="BL209" s="2394">
        <f t="shared" si="323"/>
        <v>132063.57196821159</v>
      </c>
      <c r="BM209" s="2394">
        <f t="shared" si="323"/>
        <v>130983.73877872714</v>
      </c>
      <c r="BN209" s="2394">
        <f t="shared" si="323"/>
        <v>130092.62680889813</v>
      </c>
      <c r="BO209" s="2394">
        <f t="shared" si="323"/>
        <v>129072.37363150725</v>
      </c>
      <c r="BP209" s="2394">
        <f t="shared" si="323"/>
        <v>128372.41208472819</v>
      </c>
      <c r="BQ209" s="2394">
        <f t="shared" si="323"/>
        <v>127612.99509804499</v>
      </c>
      <c r="BR209" s="2394">
        <f t="shared" si="323"/>
        <v>127025.33507675672</v>
      </c>
      <c r="BS209" s="2394">
        <f t="shared" si="323"/>
        <v>126323.76933355199</v>
      </c>
      <c r="BT209" s="2394">
        <f t="shared" si="323"/>
        <v>126061.29963720351</v>
      </c>
      <c r="BU209" s="2394">
        <f t="shared" si="323"/>
        <v>125758.99314428572</v>
      </c>
      <c r="BV209" s="2394">
        <f t="shared" ref="BV209:EG209" si="324">BV$53</f>
        <v>125607.49148883716</v>
      </c>
      <c r="BW209" s="2394">
        <f t="shared" si="324"/>
        <v>125361.89769074578</v>
      </c>
      <c r="BX209" s="2394">
        <f t="shared" si="324"/>
        <v>124896.08952279836</v>
      </c>
      <c r="BY209" s="2394">
        <f t="shared" si="324"/>
        <v>124381.83028731331</v>
      </c>
      <c r="BZ209" s="2394">
        <f t="shared" si="324"/>
        <v>133251.50808108476</v>
      </c>
      <c r="CA209" s="2394">
        <f t="shared" si="324"/>
        <v>132759.41338106734</v>
      </c>
      <c r="CB209" s="2394">
        <f t="shared" si="324"/>
        <v>132318.48056150906</v>
      </c>
      <c r="CC209" s="2394">
        <f t="shared" si="324"/>
        <v>131828.51166169724</v>
      </c>
      <c r="CD209" s="2394">
        <f t="shared" si="324"/>
        <v>128929.21798149546</v>
      </c>
      <c r="CE209" s="2394">
        <f t="shared" si="324"/>
        <v>128507.24095138341</v>
      </c>
      <c r="CF209" s="2394">
        <f t="shared" si="324"/>
        <v>128033.88186104895</v>
      </c>
      <c r="CG209" s="2394">
        <f t="shared" si="324"/>
        <v>127511.03569455992</v>
      </c>
      <c r="CH209" s="2394">
        <f t="shared" si="324"/>
        <v>118319.46457565539</v>
      </c>
      <c r="CI209" s="2394">
        <f t="shared" si="324"/>
        <v>117886.57385782884</v>
      </c>
      <c r="CJ209" s="2394">
        <f>CJ$53</f>
        <v>117418.93619039399</v>
      </c>
      <c r="CK209" s="2394">
        <f>CK$53</f>
        <v>116904.45084481187</v>
      </c>
      <c r="CL209" s="2394">
        <f ca="1">CL$53</f>
        <v>115270.88619314223</v>
      </c>
      <c r="CM209" s="2394">
        <f t="shared" ca="1" si="324"/>
        <v>114814.30263507871</v>
      </c>
      <c r="CN209" s="2394">
        <f t="shared" ca="1" si="324"/>
        <v>114362.39000191793</v>
      </c>
      <c r="CO209" s="2394">
        <f t="shared" ca="1" si="324"/>
        <v>113865.00424360941</v>
      </c>
      <c r="CP209" s="2394">
        <f t="shared" ca="1" si="324"/>
        <v>115085.12832009835</v>
      </c>
      <c r="CQ209" s="2394">
        <f t="shared" ca="1" si="324"/>
        <v>114633.06717793335</v>
      </c>
      <c r="CR209" s="2394">
        <f t="shared" ca="1" si="324"/>
        <v>114281.38447811644</v>
      </c>
      <c r="CS209" s="2394">
        <f t="shared" ca="1" si="324"/>
        <v>113888.6223488445</v>
      </c>
      <c r="CT209" s="2394">
        <f t="shared" ca="1" si="324"/>
        <v>116330.69440364877</v>
      </c>
      <c r="CU209" s="2394">
        <f t="shared" ca="1" si="324"/>
        <v>115981.28161433071</v>
      </c>
      <c r="CV209" s="2394">
        <f t="shared" ca="1" si="324"/>
        <v>115399.02838977661</v>
      </c>
      <c r="CW209" s="2394">
        <f t="shared" ca="1" si="324"/>
        <v>114765.37875521831</v>
      </c>
      <c r="CX209" s="2394">
        <f t="shared" ca="1" si="324"/>
        <v>104618.71091854967</v>
      </c>
      <c r="CY209" s="2394">
        <f t="shared" ca="1" si="324"/>
        <v>104086.24813553962</v>
      </c>
      <c r="CZ209" s="2394">
        <f t="shared" ca="1" si="324"/>
        <v>103557.59169818764</v>
      </c>
      <c r="DA209" s="2394">
        <f t="shared" ca="1" si="324"/>
        <v>102982.54431794748</v>
      </c>
      <c r="DB209" s="2394">
        <f t="shared" ca="1" si="324"/>
        <v>88126.85384168569</v>
      </c>
      <c r="DC209" s="2394">
        <f t="shared" ca="1" si="324"/>
        <v>87672.757487581111</v>
      </c>
      <c r="DD209" s="2394">
        <f t="shared" ca="1" si="324"/>
        <v>87338.822837010564</v>
      </c>
      <c r="DE209" s="2394">
        <f t="shared" ca="1" si="324"/>
        <v>86970.648836566805</v>
      </c>
      <c r="DF209" s="2394">
        <f t="shared" ca="1" si="324"/>
        <v>79883.917745692263</v>
      </c>
      <c r="DG209" s="2394">
        <f t="shared" ca="1" si="324"/>
        <v>79580.970210527477</v>
      </c>
      <c r="DH209" s="2394">
        <f t="shared" ca="1" si="324"/>
        <v>81006.94197256559</v>
      </c>
      <c r="DI209" s="2394">
        <f t="shared" ca="1" si="324"/>
        <v>82476.927161115644</v>
      </c>
      <c r="DJ209" s="2394">
        <f t="shared" ca="1" si="324"/>
        <v>82860.715226921864</v>
      </c>
      <c r="DK209" s="2394">
        <f t="shared" ca="1" si="324"/>
        <v>84346.763750329803</v>
      </c>
      <c r="DL209" s="2394">
        <f t="shared" ca="1" si="324"/>
        <v>84490.118958649662</v>
      </c>
      <c r="DM209" s="2394">
        <f t="shared" ca="1" si="324"/>
        <v>84620.711833963243</v>
      </c>
      <c r="DN209" s="2394">
        <f t="shared" ca="1" si="324"/>
        <v>86111.290281068024</v>
      </c>
      <c r="DO209" s="2394">
        <f t="shared" ca="1" si="324"/>
        <v>86282.348267450783</v>
      </c>
      <c r="DP209" s="2394">
        <f t="shared" ca="1" si="324"/>
        <v>86167.693205226155</v>
      </c>
      <c r="DQ209" s="2394">
        <f t="shared" ca="1" si="324"/>
        <v>86028.634917325879</v>
      </c>
      <c r="DR209" s="2394">
        <f t="shared" ca="1" si="324"/>
        <v>88123.982674915474</v>
      </c>
      <c r="DS209" s="2394">
        <f t="shared" ca="1" si="324"/>
        <v>88021.185502843029</v>
      </c>
      <c r="DT209" s="2394">
        <f t="shared" ca="1" si="324"/>
        <v>87783.402211960187</v>
      </c>
      <c r="DU209" s="2394">
        <f t="shared" ca="1" si="324"/>
        <v>87515.476900405018</v>
      </c>
      <c r="DV209" s="2394">
        <f t="shared" ca="1" si="324"/>
        <v>88380.493348685268</v>
      </c>
      <c r="DW209" s="2394">
        <f t="shared" ca="1" si="324"/>
        <v>88149.39092429039</v>
      </c>
      <c r="DX209" s="2394">
        <f t="shared" ca="1" si="324"/>
        <v>88475.860285290692</v>
      </c>
      <c r="DY209" s="2394">
        <f t="shared" ca="1" si="324"/>
        <v>88796.663750111969</v>
      </c>
      <c r="DZ209" s="2394">
        <f t="shared" ca="1" si="324"/>
        <v>89361.376753496748</v>
      </c>
      <c r="EA209" s="2394">
        <f t="shared" ca="1" si="324"/>
        <v>89722.511990339874</v>
      </c>
      <c r="EB209" s="2394">
        <f t="shared" ca="1" si="324"/>
        <v>89468.076223303535</v>
      </c>
      <c r="EC209" s="2394">
        <f t="shared" ca="1" si="324"/>
        <v>89182.392231340942</v>
      </c>
      <c r="ED209" s="2394">
        <f t="shared" ca="1" si="324"/>
        <v>89842.476397857667</v>
      </c>
      <c r="EE209" s="2394">
        <f t="shared" ca="1" si="324"/>
        <v>89594.753278538454</v>
      </c>
      <c r="EF209" s="2394">
        <f t="shared" ca="1" si="324"/>
        <v>89151.771923881344</v>
      </c>
      <c r="EG209" s="2394">
        <f t="shared" ca="1" si="324"/>
        <v>88669.382739718218</v>
      </c>
      <c r="EH209" s="2394">
        <f t="shared" ref="EH209:GS209" ca="1" si="325">EH$53</f>
        <v>88678.221768227944</v>
      </c>
      <c r="EI209" s="2394">
        <f t="shared" ca="1" si="325"/>
        <v>88234.127368004338</v>
      </c>
      <c r="EJ209" s="2394">
        <f t="shared" ca="1" si="325"/>
        <v>87696.038542320064</v>
      </c>
      <c r="EK209" s="2394">
        <f t="shared" ca="1" si="325"/>
        <v>87114.717758796847</v>
      </c>
      <c r="EL209" s="2394">
        <f t="shared" ca="1" si="325"/>
        <v>86582.670271045587</v>
      </c>
      <c r="EM209" s="2394">
        <f t="shared" ca="1" si="325"/>
        <v>86041.324824718118</v>
      </c>
      <c r="EN209" s="2394">
        <f t="shared" ca="1" si="325"/>
        <v>85481.731521252383</v>
      </c>
      <c r="EO209" s="2394">
        <f t="shared" ca="1" si="325"/>
        <v>84878.465982909867</v>
      </c>
      <c r="EP209" s="2394">
        <f t="shared" ca="1" si="325"/>
        <v>85165.615963087679</v>
      </c>
      <c r="EQ209" s="2394">
        <f t="shared" ca="1" si="325"/>
        <v>84595.727637530348</v>
      </c>
      <c r="ER209" s="2394">
        <f t="shared" ca="1" si="325"/>
        <v>84010.578773293222</v>
      </c>
      <c r="ES209" s="2394">
        <f t="shared" ca="1" si="325"/>
        <v>83380.973251573494</v>
      </c>
      <c r="ET209" s="2394">
        <f t="shared" ca="1" si="325"/>
        <v>83200.057035041391</v>
      </c>
      <c r="EU209" s="2394">
        <f t="shared" ca="1" si="325"/>
        <v>82605.976970347576</v>
      </c>
      <c r="EV209" s="2394">
        <f t="shared" ca="1" si="325"/>
        <v>82180.750890153533</v>
      </c>
      <c r="EW209" s="2394">
        <f t="shared" ca="1" si="325"/>
        <v>81718.46138754343</v>
      </c>
      <c r="EX209" s="2394">
        <f t="shared" ca="1" si="325"/>
        <v>81279.507026235966</v>
      </c>
      <c r="EY209" s="2394">
        <f t="shared" ca="1" si="325"/>
        <v>80854.694889707243</v>
      </c>
      <c r="EZ209" s="2394">
        <f t="shared" ca="1" si="325"/>
        <v>80199.756912828045</v>
      </c>
      <c r="FA209" s="2394">
        <f t="shared" ca="1" si="325"/>
        <v>79498.173580259521</v>
      </c>
      <c r="FB209" s="2394">
        <f t="shared" ca="1" si="325"/>
        <v>79616.889887920508</v>
      </c>
      <c r="FC209" s="2394">
        <f t="shared" ca="1" si="325"/>
        <v>78945.5636079252</v>
      </c>
      <c r="FD209" s="2394">
        <f t="shared" ca="1" si="325"/>
        <v>78446.396700436555</v>
      </c>
      <c r="FE209" s="2394">
        <f t="shared" ca="1" si="325"/>
        <v>77907.779218070733</v>
      </c>
      <c r="FF209" s="2394">
        <f t="shared" ca="1" si="325"/>
        <v>77768.964010761469</v>
      </c>
      <c r="FG209" s="2394">
        <f t="shared" ca="1" si="325"/>
        <v>77263.819198853875</v>
      </c>
      <c r="FH209" s="2394">
        <f t="shared" ca="1" si="325"/>
        <v>76537.442788512519</v>
      </c>
      <c r="FI209" s="2394">
        <f t="shared" ca="1" si="325"/>
        <v>75762.126892435976</v>
      </c>
      <c r="FJ209" s="2394">
        <f t="shared" ca="1" si="325"/>
        <v>75006.160976961546</v>
      </c>
      <c r="FK209" s="2394">
        <f t="shared" ca="1" si="325"/>
        <v>74266.354707238381</v>
      </c>
      <c r="FL209" s="2394">
        <f t="shared" ca="1" si="325"/>
        <v>73530.978361200061</v>
      </c>
      <c r="FM209" s="2394">
        <f t="shared" ca="1" si="325"/>
        <v>72746.946458707855</v>
      </c>
      <c r="FN209" s="2394">
        <f t="shared" ca="1" si="325"/>
        <v>72702.489209761698</v>
      </c>
      <c r="FO209" s="2394">
        <f t="shared" ca="1" si="325"/>
        <v>71945.137598803267</v>
      </c>
      <c r="FP209" s="2394">
        <f t="shared" ca="1" si="325"/>
        <v>71133.269952830204</v>
      </c>
      <c r="FQ209" s="2394">
        <f t="shared" ca="1" si="325"/>
        <v>70269.94735370118</v>
      </c>
      <c r="FR209" s="2394">
        <f t="shared" ca="1" si="325"/>
        <v>69766.511204685405</v>
      </c>
      <c r="FS209" s="2394">
        <f t="shared" ca="1" si="325"/>
        <v>68932.389979326399</v>
      </c>
      <c r="FT209" s="2394">
        <f t="shared" ca="1" si="325"/>
        <v>68017.731181318159</v>
      </c>
      <c r="FU209" s="2394">
        <f t="shared" ca="1" si="325"/>
        <v>67047.831531652773</v>
      </c>
      <c r="FV209" s="2394">
        <f t="shared" ca="1" si="325"/>
        <v>66092.924800692766</v>
      </c>
      <c r="FW209" s="2394">
        <f t="shared" ca="1" si="325"/>
        <v>65155.20440651122</v>
      </c>
      <c r="FX209" s="2394">
        <f t="shared" ca="1" si="325"/>
        <v>64130.006551844293</v>
      </c>
      <c r="FY209" s="2394">
        <f t="shared" ca="1" si="325"/>
        <v>63045.617552546013</v>
      </c>
      <c r="FZ209" s="2394">
        <f t="shared" ca="1" si="325"/>
        <v>62602.672112368207</v>
      </c>
      <c r="GA209" s="2394">
        <f t="shared" ca="1" si="325"/>
        <v>61538.374082971939</v>
      </c>
      <c r="GB209" s="2394">
        <f t="shared" ca="1" si="325"/>
        <v>60402.318276207676</v>
      </c>
      <c r="GC209" s="2394">
        <f t="shared" ca="1" si="325"/>
        <v>59203.07108336431</v>
      </c>
      <c r="GD209" s="2394">
        <f t="shared" ca="1" si="325"/>
        <v>58313.040069698749</v>
      </c>
      <c r="GE209" s="2394">
        <f t="shared" ca="1" si="325"/>
        <v>57137.276012455375</v>
      </c>
      <c r="GF209" s="2394">
        <f t="shared" ca="1" si="325"/>
        <v>56102.550965892995</v>
      </c>
      <c r="GG209" s="2394">
        <f t="shared" ca="1" si="325"/>
        <v>55010.026011213995</v>
      </c>
      <c r="GH209" s="2394">
        <f t="shared" ca="1" si="325"/>
        <v>53931.46403622318</v>
      </c>
      <c r="GI209" s="2394">
        <f t="shared" ca="1" si="325"/>
        <v>52866.200221396903</v>
      </c>
      <c r="GJ209" s="2394">
        <f t="shared" ca="1" si="325"/>
        <v>53828.420680339281</v>
      </c>
      <c r="GK209" s="2394">
        <f t="shared" ca="1" si="325"/>
        <v>54820.528284979679</v>
      </c>
      <c r="GL209" s="2394">
        <f t="shared" ca="1" si="325"/>
        <v>56295.057303112495</v>
      </c>
      <c r="GM209" s="2394">
        <f t="shared" ca="1" si="325"/>
        <v>57319.565429335766</v>
      </c>
      <c r="GN209" s="2394">
        <f t="shared" ca="1" si="325"/>
        <v>56691.468039119922</v>
      </c>
      <c r="GO209" s="2394">
        <f t="shared" ca="1" si="325"/>
        <v>56023.189177871718</v>
      </c>
      <c r="GP209" s="2394">
        <f t="shared" ca="1" si="325"/>
        <v>55618.890548458985</v>
      </c>
      <c r="GQ209" s="2394">
        <f t="shared" ca="1" si="325"/>
        <v>54974.20743814516</v>
      </c>
      <c r="GR209" s="2394">
        <f t="shared" ca="1" si="325"/>
        <v>54037.952334903333</v>
      </c>
      <c r="GS209" s="2394">
        <f t="shared" ca="1" si="325"/>
        <v>53048.660734194636</v>
      </c>
      <c r="GT209" s="2394">
        <f t="shared" ref="GT209:IA209" ca="1" si="326">GT$53</f>
        <v>52059.91540829443</v>
      </c>
      <c r="GU209" s="2394">
        <f t="shared" ca="1" si="326"/>
        <v>51096.948762245738</v>
      </c>
      <c r="GV209" s="2394">
        <f t="shared" ca="1" si="326"/>
        <v>49917.427873416651</v>
      </c>
      <c r="GW209" s="2394">
        <f t="shared" ca="1" si="326"/>
        <v>48675.178519906542</v>
      </c>
      <c r="GX209" s="2394">
        <f t="shared" ca="1" si="326"/>
        <v>47923.280577670019</v>
      </c>
      <c r="GY209" s="2394">
        <f t="shared" ca="1" si="326"/>
        <v>46693.846061285098</v>
      </c>
      <c r="GZ209" s="2394">
        <f t="shared" ca="1" si="326"/>
        <v>45883.274873057853</v>
      </c>
      <c r="HA209" s="2394">
        <f t="shared" ca="1" si="326"/>
        <v>45026.989599697023</v>
      </c>
      <c r="HB209" s="2394">
        <f t="shared" ca="1" si="326"/>
        <v>44386.878192885117</v>
      </c>
      <c r="HC209" s="2394">
        <f t="shared" ca="1" si="326"/>
        <v>43548.920888832043</v>
      </c>
      <c r="HD209" s="2394">
        <f t="shared" ca="1" si="326"/>
        <v>42125.342905863712</v>
      </c>
      <c r="HE209" s="2394">
        <f t="shared" ca="1" si="326"/>
        <v>40630.136487764532</v>
      </c>
      <c r="HF209" s="2394">
        <f t="shared" ca="1" si="326"/>
        <v>39159.916010201756</v>
      </c>
      <c r="HG209" s="2394">
        <f t="shared" ca="1" si="326"/>
        <v>37687.033763129344</v>
      </c>
      <c r="HH209" s="2394">
        <f t="shared" ca="1" si="326"/>
        <v>35943.90557094643</v>
      </c>
      <c r="HI209" s="2394">
        <f t="shared" ca="1" si="326"/>
        <v>34116.590791419629</v>
      </c>
      <c r="HJ209" s="2394">
        <f t="shared" ca="1" si="326"/>
        <v>32659.287366882687</v>
      </c>
      <c r="HK209" s="2394">
        <f t="shared" ca="1" si="326"/>
        <v>30834.168353520221</v>
      </c>
      <c r="HL209" s="2394">
        <f t="shared" ca="1" si="326"/>
        <v>28911.378192381508</v>
      </c>
      <c r="HM209" s="2394">
        <f t="shared" ca="1" si="326"/>
        <v>26898.141601130625</v>
      </c>
      <c r="HN209" s="2394">
        <f t="shared" ca="1" si="326"/>
        <v>25067.468873079997</v>
      </c>
      <c r="HO209" s="2394">
        <f t="shared" ca="1" si="326"/>
        <v>23062.089648608933</v>
      </c>
      <c r="HP209" s="2394">
        <f t="shared" ca="1" si="326"/>
        <v>21140.430938347599</v>
      </c>
      <c r="HQ209" s="2394">
        <f t="shared" ca="1" si="326"/>
        <v>19130.124584158173</v>
      </c>
      <c r="HR209" s="2394">
        <f t="shared" ca="1" si="326"/>
        <v>17185.182022524386</v>
      </c>
      <c r="HS209" s="2394">
        <f t="shared" ca="1" si="326"/>
        <v>15189.327341267073</v>
      </c>
      <c r="HT209" s="2394">
        <f t="shared" ca="1" si="326"/>
        <v>12934.794544655584</v>
      </c>
      <c r="HU209" s="2394">
        <f t="shared" ca="1" si="326"/>
        <v>10578.929995566998</v>
      </c>
      <c r="HV209" s="2394">
        <f t="shared" ca="1" si="326"/>
        <v>8396.8019138427735</v>
      </c>
      <c r="HW209" s="2394">
        <f t="shared" ca="1" si="326"/>
        <v>6029.0414526608665</v>
      </c>
      <c r="HX209" s="2394">
        <f t="shared" ca="1" si="326"/>
        <v>4553.496334213165</v>
      </c>
      <c r="HY209" s="2394">
        <f t="shared" ca="1" si="326"/>
        <v>3012.512359865907</v>
      </c>
      <c r="HZ209" s="2394">
        <f t="shared" ca="1" si="326"/>
        <v>1542.6285992255121</v>
      </c>
      <c r="IA209" s="2394">
        <f t="shared" ca="1" si="326"/>
        <v>1575.3821178836358</v>
      </c>
    </row>
    <row r="210" spans="3:235">
      <c r="C210" s="2466"/>
      <c r="D210" s="2481" t="s">
        <v>3936</v>
      </c>
      <c r="E210" s="2385"/>
      <c r="F210" s="2385"/>
      <c r="G210" s="2386"/>
      <c r="H210" s="2392"/>
      <c r="I210" s="2482"/>
      <c r="J210" s="2655">
        <f t="shared" ref="J210:BU210" si="327">J$54</f>
        <v>1.0662302070645553</v>
      </c>
      <c r="K210" s="2462">
        <f t="shared" si="327"/>
        <v>1.059531059683313</v>
      </c>
      <c r="L210" s="2464">
        <f t="shared" si="327"/>
        <v>1.0730816077953715</v>
      </c>
      <c r="M210" s="2655">
        <f t="shared" si="327"/>
        <v>1.0768879415347137</v>
      </c>
      <c r="N210" s="2655">
        <f t="shared" si="327"/>
        <v>1.0989646772228989</v>
      </c>
      <c r="O210" s="2462">
        <f t="shared" si="327"/>
        <v>1.0980511571254568</v>
      </c>
      <c r="P210" s="2463">
        <f t="shared" si="327"/>
        <v>1.1143422655298416</v>
      </c>
      <c r="Q210" s="2463">
        <f t="shared" si="327"/>
        <v>1.1096224116930571</v>
      </c>
      <c r="R210" s="2464">
        <f t="shared" si="327"/>
        <v>1.131851400730816</v>
      </c>
      <c r="S210" s="2462">
        <f t="shared" si="327"/>
        <v>1.1283495736906211</v>
      </c>
      <c r="T210" s="2463">
        <f t="shared" si="327"/>
        <v>1.1420523751522533</v>
      </c>
      <c r="U210" s="2465">
        <f>U$54</f>
        <v>1.1387028014616321</v>
      </c>
      <c r="V210" s="2465">
        <f t="shared" si="327"/>
        <v>1.1545371498172958</v>
      </c>
      <c r="W210" s="2465">
        <f t="shared" si="327"/>
        <v>1.1556029232643117</v>
      </c>
      <c r="X210" s="2465">
        <f t="shared" si="327"/>
        <v>1.1703714981729598</v>
      </c>
      <c r="Y210" s="2465">
        <f t="shared" si="327"/>
        <v>1.1624543239951277</v>
      </c>
      <c r="Z210" s="2465">
        <f t="shared" si="327"/>
        <v>1.1793544457978073</v>
      </c>
      <c r="AA210" s="2465">
        <f t="shared" si="327"/>
        <v>1.1851400730816077</v>
      </c>
      <c r="AB210" s="2465">
        <f t="shared" si="327"/>
        <v>1.1976248477466502</v>
      </c>
      <c r="AC210" s="2465">
        <f t="shared" si="327"/>
        <v>1.2043239951278926</v>
      </c>
      <c r="AD210" s="2465">
        <f t="shared" si="327"/>
        <v>1.2259439707673567</v>
      </c>
      <c r="AE210" s="2465">
        <f t="shared" si="327"/>
        <v>1.2507612667478685</v>
      </c>
      <c r="AF210" s="2465">
        <f t="shared" si="327"/>
        <v>1.2586784409257004</v>
      </c>
      <c r="AG210" s="2465">
        <f t="shared" si="327"/>
        <v>1.2542630937880632</v>
      </c>
      <c r="AH210" s="2465">
        <f t="shared" si="327"/>
        <v>1.2734470158343483</v>
      </c>
      <c r="AI210" s="2465">
        <f t="shared" si="327"/>
        <v>1.2757308160779537</v>
      </c>
      <c r="AJ210" s="2465">
        <f t="shared" si="327"/>
        <v>1.2859317904993908</v>
      </c>
      <c r="AK210" s="2465">
        <f t="shared" si="327"/>
        <v>1.289281364190012</v>
      </c>
      <c r="AL210" s="2465">
        <f t="shared" si="327"/>
        <v>1.3048112058465284</v>
      </c>
      <c r="AM210" s="2465">
        <f t="shared" si="327"/>
        <v>1.309987819732034</v>
      </c>
      <c r="AN210" s="2465">
        <f t="shared" si="327"/>
        <v>1.3297807551766139</v>
      </c>
      <c r="AO210" s="2465">
        <f t="shared" si="327"/>
        <v>1.3284104750304506</v>
      </c>
      <c r="AP210" s="2465">
        <f t="shared" si="327"/>
        <v>1.3587088915956149</v>
      </c>
      <c r="AQ210" s="2465">
        <f t="shared" si="327"/>
        <v>1.3652557856272838</v>
      </c>
      <c r="AR210" s="2465">
        <f t="shared" si="327"/>
        <v>1.3797198538367843</v>
      </c>
      <c r="AS210" s="2465">
        <f t="shared" si="327"/>
        <v>1.3836784409257001</v>
      </c>
      <c r="AT210" s="2465">
        <f t="shared" si="327"/>
        <v>1.3947929354445796</v>
      </c>
      <c r="AU210" s="2465">
        <f t="shared" si="327"/>
        <v>1.3952496954933007</v>
      </c>
      <c r="AV210" s="2465">
        <f t="shared" si="327"/>
        <v>1.4084957369062119</v>
      </c>
      <c r="AW210" s="2465">
        <f t="shared" si="327"/>
        <v>1.4034713763702802</v>
      </c>
      <c r="AX210" s="2465">
        <f t="shared" si="327"/>
        <v>1.4151948842874542</v>
      </c>
      <c r="AY210" s="2465">
        <f t="shared" si="327"/>
        <v>1.4115408038976855</v>
      </c>
      <c r="AZ210" s="2465">
        <f t="shared" si="327"/>
        <v>1.4223507917174176</v>
      </c>
      <c r="BA210" s="2465">
        <f t="shared" si="327"/>
        <v>1.4194579780755177</v>
      </c>
      <c r="BB210" s="2465">
        <f t="shared" si="327"/>
        <v>1.4334652862362971</v>
      </c>
      <c r="BC210" s="2465">
        <f t="shared" si="327"/>
        <v>1.434987819732034</v>
      </c>
      <c r="BD210" s="2465">
        <f t="shared" si="327"/>
        <v>1.4386419001218025</v>
      </c>
      <c r="BE210" s="2465">
        <f t="shared" si="327"/>
        <v>1.4313337393422654</v>
      </c>
      <c r="BF210" s="2465">
        <f t="shared" si="327"/>
        <v>1.4403166869671131</v>
      </c>
      <c r="BG210" s="2465">
        <f t="shared" si="327"/>
        <v>1.4450365408038974</v>
      </c>
      <c r="BH210" s="2465">
        <f t="shared" si="327"/>
        <v>1.4459500609013396</v>
      </c>
      <c r="BI210" s="2465">
        <f t="shared" si="327"/>
        <v>1.4474725943970765</v>
      </c>
      <c r="BJ210" s="2465">
        <f t="shared" si="327"/>
        <v>1.4523447015834348</v>
      </c>
      <c r="BK210" s="2465">
        <f t="shared" si="327"/>
        <v>1.4556942752740558</v>
      </c>
      <c r="BL210" s="2465">
        <f t="shared" si="327"/>
        <v>1.465438489646772</v>
      </c>
      <c r="BM210" s="2465">
        <f t="shared" si="327"/>
        <v>1.4668087697929353</v>
      </c>
      <c r="BN210" s="2465">
        <f t="shared" si="327"/>
        <v>1.485535931790499</v>
      </c>
      <c r="BO210" s="2465">
        <f t="shared" si="327"/>
        <v>1.4820341047503045</v>
      </c>
      <c r="BP210" s="2465">
        <f t="shared" si="327"/>
        <v>1.4946711327649207</v>
      </c>
      <c r="BQ210" s="2465">
        <f t="shared" si="327"/>
        <v>1.4875152253349573</v>
      </c>
      <c r="BR210" s="2465">
        <f t="shared" si="327"/>
        <v>1.5035018270401947</v>
      </c>
      <c r="BS210" s="2465">
        <f t="shared" si="327"/>
        <v>1.5039585870889158</v>
      </c>
      <c r="BT210" s="2465">
        <f t="shared" si="327"/>
        <v>1.5258830694275272</v>
      </c>
      <c r="BU210" s="2465">
        <f t="shared" si="327"/>
        <v>1.5071559074299632</v>
      </c>
      <c r="BV210" s="2465">
        <f t="shared" ref="BV210:EG210" si="328">BV$54</f>
        <v>1.5091352009744214</v>
      </c>
      <c r="BW210" s="2465">
        <f t="shared" si="328"/>
        <v>1.5147685749086477</v>
      </c>
      <c r="BX210" s="2465">
        <f t="shared" si="328"/>
        <v>1.5193361753958587</v>
      </c>
      <c r="BY210" s="2465">
        <f t="shared" si="328"/>
        <v>1.5182704019488427</v>
      </c>
      <c r="BZ210" s="2465">
        <f t="shared" si="328"/>
        <v>1.5216199756394639</v>
      </c>
      <c r="CA210" s="2465">
        <f t="shared" si="328"/>
        <v>1.518118148599269</v>
      </c>
      <c r="CB210" s="2465">
        <f t="shared" si="328"/>
        <v>1.533800243605359</v>
      </c>
      <c r="CC210" s="2465">
        <f t="shared" si="328"/>
        <v>1.5275578562728378</v>
      </c>
      <c r="CD210" s="2465">
        <f t="shared" si="328"/>
        <v>1.5505481120584652</v>
      </c>
      <c r="CE210" s="2465">
        <f t="shared" si="328"/>
        <v>1.5537454323995126</v>
      </c>
      <c r="CF210" s="2465">
        <f t="shared" si="328"/>
        <v>1.5707978075517659</v>
      </c>
      <c r="CG210" s="2465">
        <f t="shared" si="328"/>
        <v>1.5840438489646771</v>
      </c>
      <c r="CH210" s="2465">
        <f t="shared" ca="1" si="328"/>
        <v>1.5899508893593055</v>
      </c>
      <c r="CI210" s="2465">
        <f t="shared" ca="1" si="328"/>
        <v>1.5958799576329263</v>
      </c>
      <c r="CJ210" s="2465">
        <f t="shared" ca="1" si="328"/>
        <v>1.6018311359294597</v>
      </c>
      <c r="CK210" s="2465">
        <f t="shared" ca="1" si="328"/>
        <v>1.6078045066991471</v>
      </c>
      <c r="CL210" s="2465">
        <f t="shared" ca="1" si="328"/>
        <v>1.613800152699695</v>
      </c>
      <c r="CM210" s="2465">
        <f t="shared" ca="1" si="328"/>
        <v>1.6198181569974202</v>
      </c>
      <c r="CN210" s="2465">
        <f t="shared" ca="1" si="328"/>
        <v>1.6258586029684015</v>
      </c>
      <c r="CO210" s="2465">
        <f t="shared" ca="1" si="328"/>
        <v>1.6319215742996342</v>
      </c>
      <c r="CP210" s="2465">
        <f t="shared" ca="1" si="328"/>
        <v>1.6380071549901902</v>
      </c>
      <c r="CQ210" s="2465">
        <f t="shared" ca="1" si="328"/>
        <v>1.6441154293523812</v>
      </c>
      <c r="CR210" s="2465">
        <f t="shared" ca="1" si="328"/>
        <v>1.6502464820129272</v>
      </c>
      <c r="CS210" s="2465">
        <f t="shared" ca="1" si="328"/>
        <v>1.6564003979141284</v>
      </c>
      <c r="CT210" s="2465">
        <f t="shared" ca="1" si="328"/>
        <v>1.6625772623150428</v>
      </c>
      <c r="CU210" s="2465">
        <f t="shared" ca="1" si="328"/>
        <v>1.6687771607926667</v>
      </c>
      <c r="CV210" s="2465">
        <f t="shared" ca="1" si="328"/>
        <v>1.6750001792431208</v>
      </c>
      <c r="CW210" s="2465">
        <f t="shared" ca="1" si="328"/>
        <v>1.6812464038828401</v>
      </c>
      <c r="CX210" s="2465">
        <f t="shared" ca="1" si="328"/>
        <v>1.6875159212497681</v>
      </c>
      <c r="CY210" s="2465">
        <f t="shared" ca="1" si="328"/>
        <v>1.6938088182045565</v>
      </c>
      <c r="CZ210" s="2465">
        <f t="shared" ca="1" si="328"/>
        <v>1.7001251819317675</v>
      </c>
      <c r="DA210" s="2465">
        <f t="shared" ca="1" si="328"/>
        <v>1.7064650999410826</v>
      </c>
      <c r="DB210" s="2465">
        <f t="shared" ca="1" si="328"/>
        <v>1.7128286600685148</v>
      </c>
      <c r="DC210" s="2465">
        <f t="shared" ca="1" si="328"/>
        <v>1.719215950477625</v>
      </c>
      <c r="DD210" s="2465">
        <f t="shared" ca="1" si="328"/>
        <v>1.7256270596607441</v>
      </c>
      <c r="DE210" s="2465">
        <f t="shared" ca="1" si="328"/>
        <v>1.732062076440199</v>
      </c>
      <c r="DF210" s="2465">
        <f t="shared" ca="1" si="328"/>
        <v>1.7385210899695425</v>
      </c>
      <c r="DG210" s="2465">
        <f t="shared" ca="1" si="328"/>
        <v>1.7450041897347892</v>
      </c>
      <c r="DH210" s="2465">
        <f t="shared" ca="1" si="328"/>
        <v>1.7515114655556552</v>
      </c>
      <c r="DI210" s="2465">
        <f t="shared" ca="1" si="328"/>
        <v>1.7580430075868019</v>
      </c>
      <c r="DJ210" s="2465">
        <f t="shared" ca="1" si="328"/>
        <v>1.7645989063190854</v>
      </c>
      <c r="DK210" s="2465">
        <f t="shared" ca="1" si="328"/>
        <v>1.771179252580811</v>
      </c>
      <c r="DL210" s="2465">
        <f t="shared" ca="1" si="328"/>
        <v>1.7777841375389898</v>
      </c>
      <c r="DM210" s="2465">
        <f t="shared" ca="1" si="328"/>
        <v>1.7844136527006036</v>
      </c>
      <c r="DN210" s="2465">
        <f t="shared" ca="1" si="328"/>
        <v>1.7910678899138714</v>
      </c>
      <c r="DO210" s="2465">
        <f t="shared" ca="1" si="328"/>
        <v>1.7977469413695228</v>
      </c>
      <c r="DP210" s="2465">
        <f t="shared" ca="1" si="328"/>
        <v>1.8044508996020745</v>
      </c>
      <c r="DQ210" s="2465">
        <f t="shared" ca="1" si="328"/>
        <v>1.8111798574911124</v>
      </c>
      <c r="DR210" s="2465">
        <f t="shared" ca="1" si="328"/>
        <v>1.8179339082625794</v>
      </c>
      <c r="DS210" s="2465">
        <f t="shared" ca="1" si="328"/>
        <v>1.8247131454900656</v>
      </c>
      <c r="DT210" s="2465">
        <f t="shared" ca="1" si="328"/>
        <v>1.8315176630961054</v>
      </c>
      <c r="DU210" s="2465">
        <f t="shared" ca="1" si="328"/>
        <v>1.8383475553534789</v>
      </c>
      <c r="DV210" s="2465">
        <f t="shared" ca="1" si="328"/>
        <v>1.8452029168865178</v>
      </c>
      <c r="DW210" s="2465">
        <f t="shared" ca="1" si="328"/>
        <v>1.8520838426724162</v>
      </c>
      <c r="DX210" s="2465">
        <f t="shared" ca="1" si="328"/>
        <v>1.8589904280425467</v>
      </c>
      <c r="DY210" s="2465">
        <f t="shared" ca="1" si="328"/>
        <v>1.8659227686837809</v>
      </c>
      <c r="DZ210" s="2465">
        <f t="shared" ca="1" si="328"/>
        <v>1.8728809606398154</v>
      </c>
      <c r="EA210" s="2465">
        <f t="shared" ca="1" si="328"/>
        <v>1.8798651003125022</v>
      </c>
      <c r="EB210" s="2465">
        <f t="shared" ca="1" si="328"/>
        <v>1.8868752844631846</v>
      </c>
      <c r="EC210" s="2465">
        <f t="shared" ca="1" si="328"/>
        <v>1.8939116102140374</v>
      </c>
      <c r="ED210" s="2465">
        <f t="shared" ca="1" si="328"/>
        <v>1.9009741750494125</v>
      </c>
      <c r="EE210" s="2465">
        <f t="shared" ca="1" si="328"/>
        <v>1.9080630768171896</v>
      </c>
      <c r="EF210" s="2465">
        <f t="shared" ca="1" si="328"/>
        <v>1.9151784137301322</v>
      </c>
      <c r="EG210" s="2465">
        <f t="shared" ca="1" si="328"/>
        <v>1.9223202843672478</v>
      </c>
      <c r="EH210" s="2465">
        <f t="shared" ref="EH210:GS210" ca="1" si="329">EH$54</f>
        <v>1.9294887876751534</v>
      </c>
      <c r="EI210" s="2465">
        <f t="shared" ca="1" si="329"/>
        <v>1.9366840229694473</v>
      </c>
      <c r="EJ210" s="2465">
        <f t="shared" ca="1" si="329"/>
        <v>1.943906089936084</v>
      </c>
      <c r="EK210" s="2465">
        <f t="shared" ca="1" si="329"/>
        <v>1.9511550886327562</v>
      </c>
      <c r="EL210" s="2465">
        <f t="shared" ca="1" si="329"/>
        <v>1.9584311194902804</v>
      </c>
      <c r="EM210" s="2465">
        <f t="shared" ca="1" si="329"/>
        <v>1.9657342833139886</v>
      </c>
      <c r="EN210" s="2465">
        <f t="shared" ca="1" si="329"/>
        <v>1.9730646812851249</v>
      </c>
      <c r="EO210" s="2465">
        <f t="shared" ca="1" si="329"/>
        <v>1.9804224149622471</v>
      </c>
      <c r="EP210" s="2465">
        <f t="shared" ca="1" si="329"/>
        <v>1.9878075862826343</v>
      </c>
      <c r="EQ210" s="2465">
        <f t="shared" ca="1" si="329"/>
        <v>1.9952202975636981</v>
      </c>
      <c r="ER210" s="2465">
        <f t="shared" ca="1" si="329"/>
        <v>2.0026606515044016</v>
      </c>
      <c r="ES210" s="2465">
        <f t="shared" ca="1" si="329"/>
        <v>2.0101287511866808</v>
      </c>
      <c r="ET210" s="2465">
        <f t="shared" ca="1" si="329"/>
        <v>2.0176247000768739</v>
      </c>
      <c r="EU210" s="2465">
        <f t="shared" ca="1" si="329"/>
        <v>2.0251486020271536</v>
      </c>
      <c r="EV210" s="2465">
        <f t="shared" ca="1" si="329"/>
        <v>2.0327005612769677</v>
      </c>
      <c r="EW210" s="2465">
        <f t="shared" ca="1" si="329"/>
        <v>2.040280682454481</v>
      </c>
      <c r="EX210" s="2465">
        <f t="shared" ca="1" si="329"/>
        <v>2.047889070578027</v>
      </c>
      <c r="EY210" s="2465">
        <f t="shared" ca="1" si="329"/>
        <v>2.0555258310575613</v>
      </c>
      <c r="EZ210" s="2465">
        <f t="shared" ca="1" si="329"/>
        <v>2.0631910696961224</v>
      </c>
      <c r="FA210" s="2465">
        <f t="shared" ca="1" si="329"/>
        <v>2.0708848926912986</v>
      </c>
      <c r="FB210" s="2465">
        <f t="shared" ca="1" si="329"/>
        <v>2.0786074066366975</v>
      </c>
      <c r="FC210" s="2465">
        <f t="shared" ca="1" si="329"/>
        <v>2.0863587185234245</v>
      </c>
      <c r="FD210" s="2465">
        <f t="shared" ca="1" si="329"/>
        <v>2.0941389357415638</v>
      </c>
      <c r="FE210" s="2465">
        <f t="shared" ca="1" si="329"/>
        <v>2.1019481660816677</v>
      </c>
      <c r="FF210" s="2465">
        <f t="shared" ca="1" si="329"/>
        <v>2.1097865177362478</v>
      </c>
      <c r="FG210" s="2465">
        <f t="shared" ca="1" si="329"/>
        <v>2.1176540993012756</v>
      </c>
      <c r="FH210" s="2465">
        <f t="shared" ca="1" si="329"/>
        <v>2.1255510197776872</v>
      </c>
      <c r="FI210" s="2465">
        <f t="shared" ca="1" si="329"/>
        <v>2.1334773885728926</v>
      </c>
      <c r="FJ210" s="2465">
        <f t="shared" ca="1" si="329"/>
        <v>2.1414333155022911</v>
      </c>
      <c r="FK210" s="2465">
        <f t="shared" ca="1" si="329"/>
        <v>2.1494189107907946</v>
      </c>
      <c r="FL210" s="2465">
        <f t="shared" ca="1" si="329"/>
        <v>2.1574342850743524</v>
      </c>
      <c r="FM210" s="2465">
        <f t="shared" ca="1" si="329"/>
        <v>2.1654795494014856</v>
      </c>
      <c r="FN210" s="2465">
        <f t="shared" ca="1" si="329"/>
        <v>2.1735548152348252</v>
      </c>
      <c r="FO210" s="2465">
        <f t="shared" ca="1" si="329"/>
        <v>2.1816601944526561</v>
      </c>
      <c r="FP210" s="2465">
        <f t="shared" ca="1" si="329"/>
        <v>2.1897957993504673</v>
      </c>
      <c r="FQ210" s="2465">
        <f t="shared" ca="1" si="329"/>
        <v>2.1979617426425078</v>
      </c>
      <c r="FR210" s="2465">
        <f t="shared" ca="1" si="329"/>
        <v>2.2061581374633477</v>
      </c>
      <c r="FS210" s="2465">
        <f t="shared" ca="1" si="329"/>
        <v>2.2143850973694459</v>
      </c>
      <c r="FT210" s="2465">
        <f t="shared" ca="1" si="329"/>
        <v>2.2226427363407244</v>
      </c>
      <c r="FU210" s="2465">
        <f t="shared" ca="1" si="329"/>
        <v>2.2309311687821451</v>
      </c>
      <c r="FV210" s="2465">
        <f t="shared" ca="1" si="329"/>
        <v>2.2392505095252977</v>
      </c>
      <c r="FW210" s="2465">
        <f t="shared" ca="1" si="329"/>
        <v>2.2476008738299877</v>
      </c>
      <c r="FX210" s="2465">
        <f t="shared" ca="1" si="329"/>
        <v>2.2559823773858354</v>
      </c>
      <c r="FY210" s="2465">
        <f t="shared" ca="1" si="329"/>
        <v>2.2643951363138775</v>
      </c>
      <c r="FZ210" s="2465">
        <f t="shared" ca="1" si="329"/>
        <v>2.2728392671681772</v>
      </c>
      <c r="GA210" s="2465">
        <f t="shared" ca="1" si="329"/>
        <v>2.2813148869374373</v>
      </c>
      <c r="GB210" s="2465">
        <f t="shared" ca="1" si="329"/>
        <v>2.2898221130466228</v>
      </c>
      <c r="GC210" s="2465">
        <f t="shared" ca="1" si="329"/>
        <v>2.2983610633585858</v>
      </c>
      <c r="GD210" s="2465">
        <f t="shared" ca="1" si="329"/>
        <v>2.3069318561756997</v>
      </c>
      <c r="GE210" s="2465">
        <f t="shared" ca="1" si="329"/>
        <v>2.3155346102414986</v>
      </c>
      <c r="GF210" s="2465">
        <f t="shared" ca="1" si="329"/>
        <v>2.3241694447423216</v>
      </c>
      <c r="GG210" s="2465">
        <f t="shared" ca="1" si="329"/>
        <v>2.332836479308964</v>
      </c>
      <c r="GH210" s="2465">
        <f t="shared" ca="1" si="329"/>
        <v>2.3415358340183348</v>
      </c>
      <c r="GI210" s="2465">
        <f t="shared" ca="1" si="329"/>
        <v>2.350267629395121</v>
      </c>
      <c r="GJ210" s="2465">
        <f t="shared" ca="1" si="329"/>
        <v>2.3590319864134566</v>
      </c>
      <c r="GK210" s="2465">
        <f t="shared" ca="1" si="329"/>
        <v>2.3678290264985984</v>
      </c>
      <c r="GL210" s="2465">
        <f t="shared" ca="1" si="329"/>
        <v>2.3766588715286097</v>
      </c>
      <c r="GM210" s="2465">
        <f t="shared" ca="1" si="329"/>
        <v>2.3855216438360474</v>
      </c>
      <c r="GN210" s="2465">
        <f t="shared" ca="1" si="329"/>
        <v>2.3944174662096578</v>
      </c>
      <c r="GO210" s="2465">
        <f t="shared" ca="1" si="329"/>
        <v>2.4033464618960769</v>
      </c>
      <c r="GP210" s="2465">
        <f t="shared" ca="1" si="329"/>
        <v>2.4123087546015385</v>
      </c>
      <c r="GQ210" s="2465">
        <f t="shared" ca="1" si="329"/>
        <v>2.421304468493588</v>
      </c>
      <c r="GR210" s="2465">
        <f t="shared" ca="1" si="329"/>
        <v>2.4303337282028026</v>
      </c>
      <c r="GS210" s="2465">
        <f t="shared" ca="1" si="329"/>
        <v>2.4393966588245179</v>
      </c>
      <c r="GT210" s="2465">
        <f t="shared" ref="GT210:IA210" ca="1" si="330">GT$54</f>
        <v>2.4484933859205613</v>
      </c>
      <c r="GU210" s="2465">
        <f t="shared" ca="1" si="330"/>
        <v>2.4576240355209915</v>
      </c>
      <c r="GV210" s="2465">
        <f t="shared" ca="1" si="330"/>
        <v>2.4667887341258443</v>
      </c>
      <c r="GW210" s="2465">
        <f t="shared" ca="1" si="330"/>
        <v>2.4759876087068853</v>
      </c>
      <c r="GX210" s="2465">
        <f t="shared" ca="1" si="330"/>
        <v>2.4852207867093696</v>
      </c>
      <c r="GY210" s="2465">
        <f t="shared" ca="1" si="330"/>
        <v>2.4944883960538062</v>
      </c>
      <c r="GZ210" s="2465">
        <f t="shared" ca="1" si="330"/>
        <v>2.5037905651377317</v>
      </c>
      <c r="HA210" s="2465">
        <f t="shared" ca="1" si="330"/>
        <v>2.5131274228374885</v>
      </c>
      <c r="HB210" s="2465">
        <f t="shared" ca="1" si="330"/>
        <v>2.5224990985100098</v>
      </c>
      <c r="HC210" s="2465">
        <f t="shared" ca="1" si="330"/>
        <v>2.5319057219946131</v>
      </c>
      <c r="HD210" s="2465">
        <f t="shared" ca="1" si="330"/>
        <v>2.5413474236147975</v>
      </c>
      <c r="HE210" s="2465">
        <f t="shared" ca="1" si="330"/>
        <v>2.5508243341800507</v>
      </c>
      <c r="HF210" s="2465">
        <f t="shared" ca="1" si="330"/>
        <v>2.56033658498766</v>
      </c>
      <c r="HG210" s="2465">
        <f t="shared" ca="1" si="330"/>
        <v>2.5698843078245321</v>
      </c>
      <c r="HH210" s="2465">
        <f t="shared" ca="1" si="330"/>
        <v>2.5794676349690193</v>
      </c>
      <c r="HI210" s="2465">
        <f t="shared" ca="1" si="330"/>
        <v>2.5890866991927513</v>
      </c>
      <c r="HJ210" s="2465">
        <f t="shared" ca="1" si="330"/>
        <v>2.5987416337624745</v>
      </c>
      <c r="HK210" s="2465">
        <f t="shared" ca="1" si="330"/>
        <v>2.6084325724418997</v>
      </c>
      <c r="HL210" s="2465">
        <f t="shared" ca="1" si="330"/>
        <v>2.6181596494935544</v>
      </c>
      <c r="HM210" s="2465">
        <f t="shared" ca="1" si="330"/>
        <v>2.6279229996806421</v>
      </c>
      <c r="HN210" s="2465">
        <f t="shared" ca="1" si="330"/>
        <v>2.6377227582689113</v>
      </c>
      <c r="HO210" s="2465">
        <f t="shared" ca="1" si="330"/>
        <v>2.6475590610285282</v>
      </c>
      <c r="HP210" s="2465">
        <f t="shared" ca="1" si="330"/>
        <v>2.6574320442359576</v>
      </c>
      <c r="HQ210" s="2465">
        <f t="shared" ca="1" si="330"/>
        <v>2.6673418446758519</v>
      </c>
      <c r="HR210" s="2465">
        <f t="shared" ca="1" si="330"/>
        <v>2.677288599642945</v>
      </c>
      <c r="HS210" s="2465">
        <f t="shared" ca="1" si="330"/>
        <v>2.6872724469439557</v>
      </c>
      <c r="HT210" s="2465">
        <f t="shared" ca="1" si="330"/>
        <v>2.6972935248994965</v>
      </c>
      <c r="HU210" s="2465">
        <f t="shared" ca="1" si="330"/>
        <v>2.7073519723459891</v>
      </c>
      <c r="HV210" s="2465">
        <f t="shared" ca="1" si="330"/>
        <v>2.7174479286375886</v>
      </c>
      <c r="HW210" s="2465">
        <f t="shared" ca="1" si="330"/>
        <v>2.7275815336481148</v>
      </c>
      <c r="HX210" s="2465">
        <f t="shared" ca="1" si="330"/>
        <v>2.7377529277729886</v>
      </c>
      <c r="HY210" s="2465">
        <f t="shared" ca="1" si="330"/>
        <v>2.7479622519311784</v>
      </c>
      <c r="HZ210" s="2465">
        <f t="shared" ca="1" si="330"/>
        <v>2.7582096475671518</v>
      </c>
      <c r="IA210" s="2465">
        <f t="shared" ca="1" si="330"/>
        <v>2.768495256652836</v>
      </c>
    </row>
    <row r="211" spans="3:235">
      <c r="C211" s="2466"/>
      <c r="D211" s="2481" t="s">
        <v>3937</v>
      </c>
      <c r="E211" s="2385"/>
      <c r="F211" s="2385"/>
      <c r="G211" s="2386"/>
      <c r="H211" s="2392">
        <f ca="1">MAX(J211:IA211)</f>
        <v>203335.08715137959</v>
      </c>
      <c r="I211" s="2482"/>
      <c r="J211" s="2395">
        <f t="shared" ref="J211:BN211" si="331">J209*J210</f>
        <v>0</v>
      </c>
      <c r="K211" s="2387">
        <f t="shared" si="331"/>
        <v>0</v>
      </c>
      <c r="L211" s="2393">
        <f t="shared" si="331"/>
        <v>0</v>
      </c>
      <c r="M211" s="2395">
        <f t="shared" si="331"/>
        <v>0</v>
      </c>
      <c r="N211" s="2395">
        <f t="shared" si="331"/>
        <v>0</v>
      </c>
      <c r="O211" s="2387">
        <f t="shared" si="331"/>
        <v>0</v>
      </c>
      <c r="P211" s="2392">
        <f t="shared" si="331"/>
        <v>0</v>
      </c>
      <c r="Q211" s="2392">
        <f t="shared" si="331"/>
        <v>0</v>
      </c>
      <c r="R211" s="2395">
        <f t="shared" si="331"/>
        <v>0</v>
      </c>
      <c r="S211" s="2387">
        <f t="shared" si="331"/>
        <v>0</v>
      </c>
      <c r="T211" s="2392">
        <f t="shared" si="331"/>
        <v>0</v>
      </c>
      <c r="U211" s="2394">
        <f t="shared" si="331"/>
        <v>0</v>
      </c>
      <c r="V211" s="2394">
        <f t="shared" si="331"/>
        <v>0</v>
      </c>
      <c r="W211" s="2394">
        <f t="shared" si="331"/>
        <v>0</v>
      </c>
      <c r="X211" s="2394">
        <f t="shared" si="331"/>
        <v>0</v>
      </c>
      <c r="Y211" s="2394">
        <f t="shared" si="331"/>
        <v>0</v>
      </c>
      <c r="Z211" s="2394">
        <f t="shared" si="331"/>
        <v>0</v>
      </c>
      <c r="AA211" s="2394">
        <f t="shared" si="331"/>
        <v>0</v>
      </c>
      <c r="AB211" s="2394">
        <f t="shared" si="331"/>
        <v>0</v>
      </c>
      <c r="AC211" s="2394">
        <f t="shared" si="331"/>
        <v>0</v>
      </c>
      <c r="AD211" s="2394">
        <f t="shared" si="331"/>
        <v>0</v>
      </c>
      <c r="AE211" s="2394">
        <f t="shared" si="331"/>
        <v>0</v>
      </c>
      <c r="AF211" s="2394">
        <f t="shared" si="331"/>
        <v>0</v>
      </c>
      <c r="AG211" s="2394">
        <f t="shared" si="331"/>
        <v>0</v>
      </c>
      <c r="AH211" s="2394">
        <f t="shared" si="331"/>
        <v>0</v>
      </c>
      <c r="AI211" s="2394">
        <f t="shared" si="331"/>
        <v>0</v>
      </c>
      <c r="AJ211" s="2394">
        <f t="shared" si="331"/>
        <v>0</v>
      </c>
      <c r="AK211" s="2394">
        <f t="shared" si="331"/>
        <v>0</v>
      </c>
      <c r="AL211" s="2394">
        <f t="shared" si="331"/>
        <v>0</v>
      </c>
      <c r="AM211" s="2394">
        <f t="shared" si="331"/>
        <v>0</v>
      </c>
      <c r="AN211" s="2394">
        <f t="shared" si="331"/>
        <v>0</v>
      </c>
      <c r="AO211" s="2394">
        <f t="shared" si="331"/>
        <v>0</v>
      </c>
      <c r="AP211" s="2394">
        <f t="shared" si="331"/>
        <v>0</v>
      </c>
      <c r="AQ211" s="2394">
        <f t="shared" si="331"/>
        <v>0</v>
      </c>
      <c r="AR211" s="2394">
        <f t="shared" si="331"/>
        <v>0</v>
      </c>
      <c r="AS211" s="2394">
        <f t="shared" si="331"/>
        <v>0</v>
      </c>
      <c r="AT211" s="2394">
        <f t="shared" si="331"/>
        <v>0</v>
      </c>
      <c r="AU211" s="2394">
        <f t="shared" si="331"/>
        <v>0</v>
      </c>
      <c r="AV211" s="2394">
        <f t="shared" si="331"/>
        <v>0</v>
      </c>
      <c r="AW211" s="2394">
        <f t="shared" si="331"/>
        <v>0</v>
      </c>
      <c r="AX211" s="2394">
        <f t="shared" si="331"/>
        <v>196131.79078931714</v>
      </c>
      <c r="AY211" s="2394">
        <f t="shared" si="331"/>
        <v>198078.48644070505</v>
      </c>
      <c r="AZ211" s="2394">
        <f t="shared" si="331"/>
        <v>200028.92295200381</v>
      </c>
      <c r="BA211" s="2394">
        <f t="shared" si="331"/>
        <v>200028.65797838685</v>
      </c>
      <c r="BB211" s="2394">
        <f t="shared" si="331"/>
        <v>202618.27911974286</v>
      </c>
      <c r="BC211" s="2394">
        <f t="shared" si="331"/>
        <v>203335.08715137959</v>
      </c>
      <c r="BD211" s="2394">
        <f t="shared" si="331"/>
        <v>202709.89378981819</v>
      </c>
      <c r="BE211" s="2394">
        <f t="shared" si="331"/>
        <v>200447.93955983873</v>
      </c>
      <c r="BF211" s="2394">
        <f t="shared" si="331"/>
        <v>200739.11418793519</v>
      </c>
      <c r="BG211" s="2394">
        <f t="shared" si="331"/>
        <v>200244.6894159622</v>
      </c>
      <c r="BH211" s="2394">
        <f t="shared" si="331"/>
        <v>198381.84574011405</v>
      </c>
      <c r="BI211" s="2394">
        <f t="shared" si="331"/>
        <v>196467.56063377863</v>
      </c>
      <c r="BJ211" s="2394">
        <f t="shared" si="331"/>
        <v>195303.46373808471</v>
      </c>
      <c r="BK211" s="2394">
        <f t="shared" si="331"/>
        <v>193708.87485278695</v>
      </c>
      <c r="BL211" s="2394">
        <f t="shared" si="331"/>
        <v>193531.04144245377</v>
      </c>
      <c r="BM211" s="2394">
        <f t="shared" si="331"/>
        <v>192128.09674090394</v>
      </c>
      <c r="BN211" s="2394">
        <f t="shared" si="331"/>
        <v>193257.27158563014</v>
      </c>
      <c r="BO211" s="2394">
        <f t="shared" ref="BO211:DZ211" si="332">BO209*BO210</f>
        <v>191289.65970296765</v>
      </c>
      <c r="BP211" s="2394">
        <f t="shared" si="332"/>
        <v>191874.53858644588</v>
      </c>
      <c r="BQ211" s="2394">
        <f t="shared" si="332"/>
        <v>189826.2731589372</v>
      </c>
      <c r="BR211" s="2394">
        <f t="shared" si="332"/>
        <v>190982.82336829667</v>
      </c>
      <c r="BS211" s="2394">
        <f t="shared" si="332"/>
        <v>189985.71764263496</v>
      </c>
      <c r="BT211" s="2394">
        <f t="shared" si="332"/>
        <v>192354.80282643932</v>
      </c>
      <c r="BU211" s="2394">
        <f t="shared" si="332"/>
        <v>189538.40942985445</v>
      </c>
      <c r="BV211" s="2394">
        <f t="shared" si="332"/>
        <v>189558.68691189919</v>
      </c>
      <c r="BW211" s="2394">
        <f t="shared" si="332"/>
        <v>189894.26311285468</v>
      </c>
      <c r="BX211" s="2394">
        <f t="shared" si="332"/>
        <v>189759.14697746723</v>
      </c>
      <c r="BY211" s="2394">
        <f t="shared" si="332"/>
        <v>188845.2514654519</v>
      </c>
      <c r="BZ211" s="2394">
        <f t="shared" si="332"/>
        <v>202758.15648026203</v>
      </c>
      <c r="CA211" s="2394">
        <f t="shared" si="332"/>
        <v>201544.47485119096</v>
      </c>
      <c r="CB211" s="2394">
        <f t="shared" si="332"/>
        <v>202950.11771873356</v>
      </c>
      <c r="CC211" s="2394">
        <f t="shared" si="332"/>
        <v>201375.67866958104</v>
      </c>
      <c r="CD211" s="2394">
        <f t="shared" si="332"/>
        <v>199910.95553038211</v>
      </c>
      <c r="CE211" s="2394">
        <f t="shared" si="332"/>
        <v>199667.53865847556</v>
      </c>
      <c r="CF211" s="2394">
        <f t="shared" si="332"/>
        <v>201115.34091967752</v>
      </c>
      <c r="CG211" s="2394">
        <f t="shared" si="332"/>
        <v>201983.07176708302</v>
      </c>
      <c r="CH211" s="2394">
        <f t="shared" ca="1" si="332"/>
        <v>188122.13793058012</v>
      </c>
      <c r="CI211" s="2394">
        <f t="shared" ca="1" si="332"/>
        <v>188132.82049372274</v>
      </c>
      <c r="CJ211" s="2394">
        <f t="shared" ca="1" si="332"/>
        <v>188085.30793748755</v>
      </c>
      <c r="CK211" s="2394">
        <f t="shared" ca="1" si="332"/>
        <v>187959.50292147745</v>
      </c>
      <c r="CL211" s="2394">
        <f t="shared" ca="1" si="332"/>
        <v>186024.17374032209</v>
      </c>
      <c r="CM211" s="2394">
        <f t="shared" ca="1" si="332"/>
        <v>185978.29209129725</v>
      </c>
      <c r="CN211" s="2394">
        <f t="shared" ca="1" si="332"/>
        <v>185937.07564064575</v>
      </c>
      <c r="CO211" s="2394">
        <f t="shared" ca="1" si="332"/>
        <v>185818.7569828656</v>
      </c>
      <c r="CP211" s="2394">
        <f t="shared" ca="1" si="332"/>
        <v>188510.26362128527</v>
      </c>
      <c r="CQ211" s="2394">
        <f t="shared" ca="1" si="332"/>
        <v>188469.99446122826</v>
      </c>
      <c r="CR211" s="2394">
        <f t="shared" ca="1" si="332"/>
        <v>188592.45269457839</v>
      </c>
      <c r="CS211" s="2394">
        <f t="shared" ca="1" si="332"/>
        <v>188645.15937651793</v>
      </c>
      <c r="CT211" s="2394">
        <f t="shared" ca="1" si="332"/>
        <v>193408.76742482625</v>
      </c>
      <c r="CU211" s="2394">
        <f t="shared" ca="1" si="332"/>
        <v>193546.91383745751</v>
      </c>
      <c r="CV211" s="2394">
        <f t="shared" ca="1" si="332"/>
        <v>193293.39323735781</v>
      </c>
      <c r="CW211" s="2394">
        <f t="shared" ca="1" si="332"/>
        <v>192948.88032246288</v>
      </c>
      <c r="CX211" s="2394">
        <f t="shared" ca="1" si="332"/>
        <v>176545.74033567953</v>
      </c>
      <c r="CY211" s="2394">
        <f t="shared" ca="1" si="332"/>
        <v>176302.20494580458</v>
      </c>
      <c r="CZ211" s="2394">
        <f t="shared" ca="1" si="332"/>
        <v>176060.86942629697</v>
      </c>
      <c r="DA211" s="2394">
        <f t="shared" ca="1" si="332"/>
        <v>175736.11778171323</v>
      </c>
      <c r="DB211" s="2394">
        <f t="shared" ca="1" si="332"/>
        <v>150946.20098170833</v>
      </c>
      <c r="DC211" s="2394">
        <f t="shared" ca="1" si="332"/>
        <v>150728.40309500607</v>
      </c>
      <c r="DD211" s="2394">
        <f t="shared" ca="1" si="332"/>
        <v>150714.23604646118</v>
      </c>
      <c r="DE211" s="2394">
        <f t="shared" ca="1" si="332"/>
        <v>150638.56261321527</v>
      </c>
      <c r="DF211" s="2394">
        <f t="shared" ca="1" si="332"/>
        <v>138879.87575027818</v>
      </c>
      <c r="DG211" s="2394">
        <f t="shared" ca="1" si="332"/>
        <v>138869.12644052989</v>
      </c>
      <c r="DH211" s="2394">
        <f t="shared" ca="1" si="332"/>
        <v>141884.58765455027</v>
      </c>
      <c r="DI211" s="2394">
        <f t="shared" ca="1" si="332"/>
        <v>144997.98508284535</v>
      </c>
      <c r="DJ211" s="2394">
        <f t="shared" ca="1" si="332"/>
        <v>146215.92746624351</v>
      </c>
      <c r="DK211" s="2394">
        <f t="shared" ca="1" si="332"/>
        <v>149393.23797691939</v>
      </c>
      <c r="DL211" s="2394">
        <f t="shared" ca="1" si="332"/>
        <v>150205.19326346964</v>
      </c>
      <c r="DM211" s="2394">
        <f t="shared" ca="1" si="332"/>
        <v>150998.35349776753</v>
      </c>
      <c r="DN211" s="2394">
        <f t="shared" ca="1" si="332"/>
        <v>154231.16698147336</v>
      </c>
      <c r="DO211" s="2394">
        <f t="shared" ca="1" si="332"/>
        <v>155113.8276919896</v>
      </c>
      <c r="DP211" s="2394">
        <f t="shared" ca="1" si="332"/>
        <v>155485.3715208059</v>
      </c>
      <c r="DQ211" s="2394">
        <f t="shared" ca="1" si="332"/>
        <v>155813.33072971721</v>
      </c>
      <c r="DR211" s="2394">
        <f t="shared" ca="1" si="332"/>
        <v>160203.57623587293</v>
      </c>
      <c r="DS211" s="2394">
        <f t="shared" ca="1" si="332"/>
        <v>160613.41426865727</v>
      </c>
      <c r="DT211" s="2394">
        <f t="shared" ca="1" si="332"/>
        <v>160776.8516778748</v>
      </c>
      <c r="DU211" s="2394">
        <f t="shared" ca="1" si="332"/>
        <v>160883.86301545342</v>
      </c>
      <c r="DV211" s="2394">
        <f t="shared" ca="1" si="332"/>
        <v>163079.94412286356</v>
      </c>
      <c r="DW211" s="2394">
        <f t="shared" ca="1" si="332"/>
        <v>163260.06267229276</v>
      </c>
      <c r="DX211" s="2394">
        <f t="shared" ca="1" si="332"/>
        <v>164475.77738318511</v>
      </c>
      <c r="DY211" s="2394">
        <f t="shared" ca="1" si="332"/>
        <v>165687.71667449165</v>
      </c>
      <c r="DZ211" s="2394">
        <f t="shared" ca="1" si="332"/>
        <v>167363.22113818544</v>
      </c>
      <c r="EA211" s="2394">
        <f t="shared" ref="EA211:GL211" ca="1" si="333">EA209*EA210</f>
        <v>168666.21900300996</v>
      </c>
      <c r="EB211" s="2394">
        <f t="shared" ca="1" si="333"/>
        <v>168815.10177421974</v>
      </c>
      <c r="EC211" s="2394">
        <f t="shared" ca="1" si="333"/>
        <v>168903.56807359878</v>
      </c>
      <c r="ED211" s="2394">
        <f t="shared" ca="1" si="333"/>
        <v>170788.22745481378</v>
      </c>
      <c r="EE211" s="2394">
        <f t="shared" ca="1" si="333"/>
        <v>170952.44060732506</v>
      </c>
      <c r="EF211" s="2394">
        <f t="shared" ca="1" si="333"/>
        <v>170741.54913440961</v>
      </c>
      <c r="EG211" s="2394">
        <f t="shared" ca="1" si="333"/>
        <v>170450.95304288346</v>
      </c>
      <c r="EH211" s="2394">
        <f t="shared" ca="1" si="333"/>
        <v>171103.63461276653</v>
      </c>
      <c r="EI211" s="2394">
        <f t="shared" ca="1" si="333"/>
        <v>170881.62475426524</v>
      </c>
      <c r="EJ211" s="2394">
        <f t="shared" ca="1" si="333"/>
        <v>170472.86338568552</v>
      </c>
      <c r="EK211" s="2394">
        <f t="shared" ca="1" si="333"/>
        <v>169974.3248498828</v>
      </c>
      <c r="EL211" s="2394">
        <f t="shared" ca="1" si="333"/>
        <v>169566.19586738161</v>
      </c>
      <c r="EM211" s="2394">
        <f t="shared" ca="1" si="333"/>
        <v>169134.38198970337</v>
      </c>
      <c r="EN211" s="2394">
        <f t="shared" ca="1" si="333"/>
        <v>168660.98535968046</v>
      </c>
      <c r="EO211" s="2394">
        <f t="shared" ca="1" si="333"/>
        <v>168095.21658016532</v>
      </c>
      <c r="EP211" s="2394">
        <f t="shared" ca="1" si="333"/>
        <v>169292.85750185911</v>
      </c>
      <c r="EQ211" s="2394">
        <f t="shared" ca="1" si="333"/>
        <v>168787.11286957088</v>
      </c>
      <c r="ER211" s="2394">
        <f t="shared" ca="1" si="333"/>
        <v>168244.68041938526</v>
      </c>
      <c r="ES211" s="2394">
        <f t="shared" ca="1" si="333"/>
        <v>167606.49163491547</v>
      </c>
      <c r="ET211" s="2394">
        <f t="shared" ca="1" si="333"/>
        <v>167866.49012170418</v>
      </c>
      <c r="EU211" s="2394">
        <f t="shared" ca="1" si="333"/>
        <v>167289.37878058665</v>
      </c>
      <c r="EV211" s="2394">
        <f t="shared" ca="1" si="333"/>
        <v>167048.85846057776</v>
      </c>
      <c r="EW211" s="2394">
        <f t="shared" ca="1" si="333"/>
        <v>166728.59816890725</v>
      </c>
      <c r="EX211" s="2394">
        <f t="shared" ca="1" si="333"/>
        <v>166451.41410099861</v>
      </c>
      <c r="EY211" s="2394">
        <f t="shared" ca="1" si="333"/>
        <v>166198.91390807103</v>
      </c>
      <c r="EZ211" s="2394">
        <f t="shared" ca="1" si="333"/>
        <v>165467.42225434669</v>
      </c>
      <c r="FA211" s="2394">
        <f t="shared" ca="1" si="333"/>
        <v>164631.56666390997</v>
      </c>
      <c r="FB211" s="2394">
        <f t="shared" ca="1" si="333"/>
        <v>165492.25701440996</v>
      </c>
      <c r="FC211" s="2394">
        <f t="shared" ca="1" si="333"/>
        <v>164708.76492214031</v>
      </c>
      <c r="FD211" s="2394">
        <f t="shared" ca="1" si="333"/>
        <v>164277.65369901274</v>
      </c>
      <c r="FE211" s="2394">
        <f t="shared" ca="1" si="333"/>
        <v>163758.11365091923</v>
      </c>
      <c r="FF211" s="2394">
        <f t="shared" ca="1" si="333"/>
        <v>164075.91176822002</v>
      </c>
      <c r="FG211" s="2394">
        <f t="shared" ca="1" si="333"/>
        <v>163618.04345412549</v>
      </c>
      <c r="FH211" s="2394">
        <f t="shared" ca="1" si="333"/>
        <v>162684.23957029916</v>
      </c>
      <c r="FI211" s="2394">
        <f t="shared" ca="1" si="333"/>
        <v>161636.78463520244</v>
      </c>
      <c r="FJ211" s="2394">
        <f t="shared" ca="1" si="333"/>
        <v>160620.69198399334</v>
      </c>
      <c r="FK211" s="2394">
        <f t="shared" ca="1" si="333"/>
        <v>159629.50724323513</v>
      </c>
      <c r="FL211" s="2394">
        <f t="shared" ca="1" si="333"/>
        <v>158638.25373151334</v>
      </c>
      <c r="FM211" s="2394">
        <f t="shared" ca="1" si="333"/>
        <v>157532.02483773668</v>
      </c>
      <c r="FN211" s="2394">
        <f t="shared" ca="1" si="333"/>
        <v>158022.84550143545</v>
      </c>
      <c r="FO211" s="2394">
        <f t="shared" ca="1" si="333"/>
        <v>156959.84288372824</v>
      </c>
      <c r="FP211" s="2394">
        <f t="shared" ca="1" si="333"/>
        <v>155767.33573677039</v>
      </c>
      <c r="FQ211" s="2394">
        <f t="shared" ca="1" si="333"/>
        <v>154450.65594093833</v>
      </c>
      <c r="FR211" s="2394">
        <f t="shared" ca="1" si="333"/>
        <v>153915.95641664453</v>
      </c>
      <c r="FS211" s="2394">
        <f t="shared" ca="1" si="333"/>
        <v>152642.8570962793</v>
      </c>
      <c r="FT211" s="2394">
        <f t="shared" ca="1" si="333"/>
        <v>151179.11615253281</v>
      </c>
      <c r="FU211" s="2394">
        <f t="shared" ca="1" si="333"/>
        <v>149579.09716321848</v>
      </c>
      <c r="FV211" s="2394">
        <f t="shared" ca="1" si="333"/>
        <v>147998.61553596845</v>
      </c>
      <c r="FW211" s="2394">
        <f t="shared" ca="1" si="333"/>
        <v>146442.8943586461</v>
      </c>
      <c r="FX211" s="2394">
        <f t="shared" ca="1" si="333"/>
        <v>144676.16464259889</v>
      </c>
      <c r="FY211" s="2394">
        <f t="shared" ca="1" si="333"/>
        <v>142760.18975189002</v>
      </c>
      <c r="FZ211" s="2394">
        <f t="shared" ca="1" si="333"/>
        <v>142285.81140664464</v>
      </c>
      <c r="GA211" s="2394">
        <f t="shared" ca="1" si="333"/>
        <v>140388.40891340884</v>
      </c>
      <c r="GB211" s="2394">
        <f t="shared" ca="1" si="333"/>
        <v>138310.56406814049</v>
      </c>
      <c r="GC211" s="2394">
        <f t="shared" ca="1" si="333"/>
        <v>136070.03340925515</v>
      </c>
      <c r="GD211" s="2394">
        <f t="shared" ca="1" si="333"/>
        <v>134524.20976723809</v>
      </c>
      <c r="GE211" s="2394">
        <f t="shared" ca="1" si="333"/>
        <v>132303.34014176179</v>
      </c>
      <c r="GF211" s="2394">
        <f t="shared" ca="1" si="333"/>
        <v>130391.83472702732</v>
      </c>
      <c r="GG211" s="2394">
        <f t="shared" ca="1" si="333"/>
        <v>128329.39540669498</v>
      </c>
      <c r="GH211" s="2394">
        <f t="shared" ca="1" si="333"/>
        <v>126282.45562188767</v>
      </c>
      <c r="GI211" s="2394">
        <f t="shared" ca="1" si="333"/>
        <v>124249.71906947032</v>
      </c>
      <c r="GJ211" s="2394">
        <f t="shared" ca="1" si="333"/>
        <v>126982.96616303996</v>
      </c>
      <c r="GK211" s="2394">
        <f t="shared" ca="1" si="333"/>
        <v>129805.63812116231</v>
      </c>
      <c r="GL211" s="2394">
        <f t="shared" ca="1" si="333"/>
        <v>133794.14736265375</v>
      </c>
      <c r="GM211" s="2394">
        <f t="shared" ref="GM211:IA211" ca="1" si="334">GM209*GM210</f>
        <v>136737.06394695691</v>
      </c>
      <c r="GN211" s="2394">
        <f t="shared" ca="1" si="334"/>
        <v>135743.04125793531</v>
      </c>
      <c r="GO211" s="2394">
        <f t="shared" ca="1" si="334"/>
        <v>134643.13349477257</v>
      </c>
      <c r="GP211" s="2394">
        <f t="shared" ca="1" si="334"/>
        <v>134169.93659127239</v>
      </c>
      <c r="GQ211" s="2394">
        <f t="shared" ca="1" si="334"/>
        <v>133109.29412187432</v>
      </c>
      <c r="GR211" s="2394">
        <f t="shared" ca="1" si="334"/>
        <v>131330.25816253095</v>
      </c>
      <c r="GS211" s="2394">
        <f t="shared" ca="1" si="334"/>
        <v>129406.72575010979</v>
      </c>
      <c r="GT211" s="2394">
        <f t="shared" ca="1" si="334"/>
        <v>127468.35854879284</v>
      </c>
      <c r="GU211" s="2394">
        <f t="shared" ca="1" si="334"/>
        <v>125577.0894198797</v>
      </c>
      <c r="GV211" s="2394">
        <f t="shared" ca="1" si="334"/>
        <v>123135.74871468359</v>
      </c>
      <c r="GW211" s="2394">
        <f t="shared" ca="1" si="334"/>
        <v>120519.13886688414</v>
      </c>
      <c r="GX211" s="2394">
        <f t="shared" ca="1" si="334"/>
        <v>119099.93305893094</v>
      </c>
      <c r="GY211" s="2394">
        <f t="shared" ca="1" si="334"/>
        <v>116477.2571669984</v>
      </c>
      <c r="GZ211" s="2394">
        <f t="shared" ca="1" si="334"/>
        <v>114882.1107247834</v>
      </c>
      <c r="HA211" s="2394">
        <f t="shared" ca="1" si="334"/>
        <v>113158.56233081697</v>
      </c>
      <c r="HB211" s="2394">
        <f t="shared" ca="1" si="334"/>
        <v>111965.86022722632</v>
      </c>
      <c r="HC211" s="2394">
        <f t="shared" ca="1" si="334"/>
        <v>110261.76198512458</v>
      </c>
      <c r="HD211" s="2394">
        <f t="shared" ca="1" si="334"/>
        <v>107055.13166270663</v>
      </c>
      <c r="HE211" s="2394">
        <f t="shared" ca="1" si="334"/>
        <v>103640.34085404655</v>
      </c>
      <c r="HF211" s="2394">
        <f t="shared" ca="1" si="334"/>
        <v>100262.56562596356</v>
      </c>
      <c r="HG211" s="2394">
        <f t="shared" ca="1" si="334"/>
        <v>96851.316676319431</v>
      </c>
      <c r="HH211" s="2394">
        <f t="shared" ca="1" si="334"/>
        <v>92716.141094638951</v>
      </c>
      <c r="HI211" s="2394">
        <f t="shared" ca="1" si="334"/>
        <v>88330.811439866462</v>
      </c>
      <c r="HJ211" s="2394">
        <f t="shared" ca="1" si="334"/>
        <v>84873.049809330856</v>
      </c>
      <c r="HK211" s="2394">
        <f t="shared" ca="1" si="334"/>
        <v>80428.849077479361</v>
      </c>
      <c r="HL211" s="2394">
        <f t="shared" ca="1" si="334"/>
        <v>75694.603794541166</v>
      </c>
      <c r="HM211" s="2394">
        <f t="shared" ca="1" si="334"/>
        <v>70686.244962277866</v>
      </c>
      <c r="HN211" s="2394">
        <f t="shared" ca="1" si="334"/>
        <v>66121.033138720653</v>
      </c>
      <c r="HO211" s="2394">
        <f t="shared" ca="1" si="334"/>
        <v>61058.244415426809</v>
      </c>
      <c r="HP211" s="2394">
        <f t="shared" ca="1" si="334"/>
        <v>56179.258604522147</v>
      </c>
      <c r="HQ211" s="2394">
        <f t="shared" ca="1" si="334"/>
        <v>51026.581797187326</v>
      </c>
      <c r="HR211" s="2394">
        <f t="shared" ca="1" si="334"/>
        <v>46009.69191169343</v>
      </c>
      <c r="HS211" s="2394">
        <f t="shared" ca="1" si="334"/>
        <v>40817.860851799494</v>
      </c>
      <c r="HT211" s="2394">
        <f t="shared" ca="1" si="334"/>
        <v>34888.937571204835</v>
      </c>
      <c r="HU211" s="2394">
        <f t="shared" ca="1" si="334"/>
        <v>28640.886988808455</v>
      </c>
      <c r="HV211" s="2394">
        <f t="shared" ca="1" si="334"/>
        <v>22817.871967952186</v>
      </c>
      <c r="HW211" s="2394">
        <f t="shared" ca="1" si="334"/>
        <v>16444.702131876784</v>
      </c>
      <c r="HX211" s="2394">
        <f t="shared" ca="1" si="334"/>
        <v>12466.347920595663</v>
      </c>
      <c r="HY211" s="2394">
        <f t="shared" ca="1" si="334"/>
        <v>8278.2702483876255</v>
      </c>
      <c r="HZ211" s="2394">
        <f t="shared" ca="1" si="334"/>
        <v>4254.8930849968083</v>
      </c>
      <c r="IA211" s="2394">
        <f t="shared" ca="1" si="334"/>
        <v>4361.4379207765451</v>
      </c>
    </row>
    <row r="212" spans="3:235">
      <c r="C212" s="2466"/>
      <c r="D212" s="2481" t="s">
        <v>3938</v>
      </c>
      <c r="E212" s="2385"/>
      <c r="F212" s="2385"/>
      <c r="G212" s="2386"/>
      <c r="H212" s="2488">
        <f>MAX(J212:IA212)</f>
        <v>0.99991780821917808</v>
      </c>
      <c r="I212" s="2656"/>
      <c r="J212" s="2485">
        <f t="shared" ref="J212:AO212" si="335">(1-J207)*(J$3&gt;0)</f>
        <v>0</v>
      </c>
      <c r="K212" s="2486">
        <f t="shared" si="335"/>
        <v>0</v>
      </c>
      <c r="L212" s="2487">
        <f t="shared" si="335"/>
        <v>0</v>
      </c>
      <c r="M212" s="2485">
        <f t="shared" si="335"/>
        <v>0</v>
      </c>
      <c r="N212" s="2485">
        <f t="shared" si="335"/>
        <v>0</v>
      </c>
      <c r="O212" s="2486">
        <f t="shared" si="335"/>
        <v>0</v>
      </c>
      <c r="P212" s="2488">
        <f t="shared" si="335"/>
        <v>0</v>
      </c>
      <c r="Q212" s="2488">
        <f t="shared" si="335"/>
        <v>0</v>
      </c>
      <c r="R212" s="2485">
        <f t="shared" si="335"/>
        <v>0</v>
      </c>
      <c r="S212" s="2486">
        <f t="shared" si="335"/>
        <v>0</v>
      </c>
      <c r="T212" s="2488">
        <f t="shared" si="335"/>
        <v>0</v>
      </c>
      <c r="U212" s="2489">
        <f t="shared" si="335"/>
        <v>0</v>
      </c>
      <c r="V212" s="2489">
        <f t="shared" si="335"/>
        <v>0</v>
      </c>
      <c r="W212" s="2489">
        <f t="shared" si="335"/>
        <v>0</v>
      </c>
      <c r="X212" s="2489">
        <f t="shared" si="335"/>
        <v>0</v>
      </c>
      <c r="Y212" s="2489">
        <f t="shared" si="335"/>
        <v>0</v>
      </c>
      <c r="Z212" s="2489">
        <f t="shared" si="335"/>
        <v>0</v>
      </c>
      <c r="AA212" s="2489">
        <f t="shared" si="335"/>
        <v>0</v>
      </c>
      <c r="AB212" s="2489">
        <f t="shared" si="335"/>
        <v>0</v>
      </c>
      <c r="AC212" s="2489">
        <f t="shared" si="335"/>
        <v>0</v>
      </c>
      <c r="AD212" s="2489">
        <f t="shared" si="335"/>
        <v>0</v>
      </c>
      <c r="AE212" s="2489">
        <f t="shared" si="335"/>
        <v>0</v>
      </c>
      <c r="AF212" s="2489">
        <f t="shared" si="335"/>
        <v>0</v>
      </c>
      <c r="AG212" s="2489">
        <f t="shared" si="335"/>
        <v>0</v>
      </c>
      <c r="AH212" s="2489">
        <f t="shared" si="335"/>
        <v>0</v>
      </c>
      <c r="AI212" s="2489">
        <f t="shared" si="335"/>
        <v>0.99991780821917808</v>
      </c>
      <c r="AJ212" s="2489">
        <f t="shared" si="335"/>
        <v>0.99491780821917808</v>
      </c>
      <c r="AK212" s="2489">
        <f t="shared" si="335"/>
        <v>0.98991780821917807</v>
      </c>
      <c r="AL212" s="2489">
        <f t="shared" si="335"/>
        <v>0.98491780821917807</v>
      </c>
      <c r="AM212" s="2489">
        <f t="shared" si="335"/>
        <v>0.97991780821917807</v>
      </c>
      <c r="AN212" s="2489">
        <f t="shared" si="335"/>
        <v>0.97491780821917806</v>
      </c>
      <c r="AO212" s="2489">
        <f t="shared" si="335"/>
        <v>0.96991780821917806</v>
      </c>
      <c r="AP212" s="2489">
        <f t="shared" ref="AP212:BU212" si="336">(1-AP207)*(AP$3&gt;0)</f>
        <v>0.96491780821917805</v>
      </c>
      <c r="AQ212" s="2489">
        <f t="shared" si="336"/>
        <v>0.95991780821917805</v>
      </c>
      <c r="AR212" s="2489">
        <f t="shared" si="336"/>
        <v>0.95491780821917804</v>
      </c>
      <c r="AS212" s="2489">
        <f t="shared" si="336"/>
        <v>0.94991780821917804</v>
      </c>
      <c r="AT212" s="2489">
        <f t="shared" si="336"/>
        <v>0.94491780821917803</v>
      </c>
      <c r="AU212" s="2489">
        <f t="shared" si="336"/>
        <v>0.93991780821917803</v>
      </c>
      <c r="AV212" s="2489">
        <f t="shared" si="336"/>
        <v>0.93491780821917803</v>
      </c>
      <c r="AW212" s="2489">
        <f t="shared" si="336"/>
        <v>0.92991780821917813</v>
      </c>
      <c r="AX212" s="2489">
        <f t="shared" si="336"/>
        <v>0.92491780821917802</v>
      </c>
      <c r="AY212" s="2489">
        <f t="shared" si="336"/>
        <v>0.91991780821917812</v>
      </c>
      <c r="AZ212" s="2489">
        <f t="shared" si="336"/>
        <v>0.91491780821917801</v>
      </c>
      <c r="BA212" s="2489">
        <f t="shared" si="336"/>
        <v>0.90991780821917811</v>
      </c>
      <c r="BB212" s="2489">
        <f t="shared" si="336"/>
        <v>0.90491780821917811</v>
      </c>
      <c r="BC212" s="2489">
        <f t="shared" si="336"/>
        <v>0.89991780821917811</v>
      </c>
      <c r="BD212" s="2489">
        <f t="shared" si="336"/>
        <v>0.8949178082191781</v>
      </c>
      <c r="BE212" s="2489">
        <f t="shared" si="336"/>
        <v>0.8899178082191781</v>
      </c>
      <c r="BF212" s="2489">
        <f t="shared" si="336"/>
        <v>0.88491780821917809</v>
      </c>
      <c r="BG212" s="2489">
        <f t="shared" si="336"/>
        <v>0.87991780821917809</v>
      </c>
      <c r="BH212" s="2489">
        <f t="shared" si="336"/>
        <v>0.87491780821917808</v>
      </c>
      <c r="BI212" s="2489">
        <f t="shared" si="336"/>
        <v>0.86991780821917808</v>
      </c>
      <c r="BJ212" s="2489">
        <f t="shared" si="336"/>
        <v>0.86491780821917807</v>
      </c>
      <c r="BK212" s="2489">
        <f t="shared" si="336"/>
        <v>0.85991780821917807</v>
      </c>
      <c r="BL212" s="2489">
        <f t="shared" si="336"/>
        <v>0.85491780821917807</v>
      </c>
      <c r="BM212" s="2489">
        <f t="shared" si="336"/>
        <v>0.84991780821917806</v>
      </c>
      <c r="BN212" s="2489">
        <f t="shared" si="336"/>
        <v>0.84491780821917806</v>
      </c>
      <c r="BO212" s="2489">
        <f t="shared" si="336"/>
        <v>0.83991780821917805</v>
      </c>
      <c r="BP212" s="2489">
        <f t="shared" si="336"/>
        <v>0.83491780821917805</v>
      </c>
      <c r="BQ212" s="2489">
        <f t="shared" si="336"/>
        <v>0.82991780821917804</v>
      </c>
      <c r="BR212" s="2489">
        <f t="shared" si="336"/>
        <v>0.82491780821917804</v>
      </c>
      <c r="BS212" s="2489">
        <f t="shared" si="336"/>
        <v>0.81991780821917803</v>
      </c>
      <c r="BT212" s="2489">
        <f t="shared" si="336"/>
        <v>0.81491780821917803</v>
      </c>
      <c r="BU212" s="2489">
        <f t="shared" si="336"/>
        <v>0.80991780821917803</v>
      </c>
      <c r="BV212" s="2489">
        <f t="shared" ref="BV212:DA212" si="337">(1-BV207)*(BV$3&gt;0)</f>
        <v>0.80491780821917813</v>
      </c>
      <c r="BW212" s="2489">
        <f t="shared" si="337"/>
        <v>0.79991780821917802</v>
      </c>
      <c r="BX212" s="2489">
        <f t="shared" si="337"/>
        <v>0.79491780821917812</v>
      </c>
      <c r="BY212" s="2489">
        <f t="shared" si="337"/>
        <v>0.78991780821917801</v>
      </c>
      <c r="BZ212" s="2489">
        <f t="shared" si="337"/>
        <v>0.78491780821917811</v>
      </c>
      <c r="CA212" s="2489">
        <f t="shared" si="337"/>
        <v>0.77991780821917811</v>
      </c>
      <c r="CB212" s="2489">
        <f t="shared" si="337"/>
        <v>0.77491780821917811</v>
      </c>
      <c r="CC212" s="2489">
        <f t="shared" si="337"/>
        <v>0.7699178082191781</v>
      </c>
      <c r="CD212" s="2489">
        <f t="shared" si="337"/>
        <v>0.7649178082191781</v>
      </c>
      <c r="CE212" s="2489">
        <f t="shared" si="337"/>
        <v>0.75991780821917809</v>
      </c>
      <c r="CF212" s="2489">
        <f t="shared" si="337"/>
        <v>0.75491780821917809</v>
      </c>
      <c r="CG212" s="2489">
        <f t="shared" si="337"/>
        <v>0.74991780821917808</v>
      </c>
      <c r="CH212" s="2489">
        <f t="shared" si="337"/>
        <v>0.74491780821917808</v>
      </c>
      <c r="CI212" s="2489">
        <f t="shared" si="337"/>
        <v>0.73991780821917807</v>
      </c>
      <c r="CJ212" s="2489">
        <f t="shared" si="337"/>
        <v>0.73491780821917807</v>
      </c>
      <c r="CK212" s="2489">
        <f t="shared" si="337"/>
        <v>0.72991780821917807</v>
      </c>
      <c r="CL212" s="2489">
        <f t="shared" si="337"/>
        <v>0.72491780821917806</v>
      </c>
      <c r="CM212" s="2489">
        <f t="shared" si="337"/>
        <v>0.71991780821917806</v>
      </c>
      <c r="CN212" s="2489">
        <f t="shared" si="337"/>
        <v>0.71491780821917805</v>
      </c>
      <c r="CO212" s="2489">
        <f t="shared" si="337"/>
        <v>0.70991780821917805</v>
      </c>
      <c r="CP212" s="2489">
        <f t="shared" si="337"/>
        <v>0.70491780821917804</v>
      </c>
      <c r="CQ212" s="2489">
        <f t="shared" si="337"/>
        <v>0.69991780821917815</v>
      </c>
      <c r="CR212" s="2489">
        <f t="shared" si="337"/>
        <v>0.69491780821917803</v>
      </c>
      <c r="CS212" s="2489">
        <f t="shared" si="337"/>
        <v>0.68991780821917814</v>
      </c>
      <c r="CT212" s="2489">
        <f t="shared" si="337"/>
        <v>0.68491780821917803</v>
      </c>
      <c r="CU212" s="2489">
        <f t="shared" si="337"/>
        <v>0.67991780821917813</v>
      </c>
      <c r="CV212" s="2489">
        <f t="shared" si="337"/>
        <v>0.67491780821917802</v>
      </c>
      <c r="CW212" s="2489">
        <f t="shared" si="337"/>
        <v>0.66991780821917812</v>
      </c>
      <c r="CX212" s="2489">
        <f t="shared" si="337"/>
        <v>0.66491780821917801</v>
      </c>
      <c r="CY212" s="2489">
        <f t="shared" si="337"/>
        <v>0.65991780821917811</v>
      </c>
      <c r="CZ212" s="2489">
        <f t="shared" si="337"/>
        <v>0.654917808219178</v>
      </c>
      <c r="DA212" s="2489">
        <f t="shared" si="337"/>
        <v>0.64991780821917811</v>
      </c>
      <c r="DB212" s="2489">
        <f t="shared" ref="DB212:DZ212" si="338">(1-DB207)*(DB$3&gt;0)</f>
        <v>0.64491780821917799</v>
      </c>
      <c r="DC212" s="2489">
        <f t="shared" si="338"/>
        <v>0.6399178082191781</v>
      </c>
      <c r="DD212" s="2489">
        <f t="shared" si="338"/>
        <v>0.63491780821917809</v>
      </c>
      <c r="DE212" s="2489">
        <f t="shared" si="338"/>
        <v>0.62991780821917809</v>
      </c>
      <c r="DF212" s="2489">
        <f t="shared" si="338"/>
        <v>0.62491780821917808</v>
      </c>
      <c r="DG212" s="2489">
        <f t="shared" si="338"/>
        <v>0.61991780821917808</v>
      </c>
      <c r="DH212" s="2489">
        <f t="shared" si="338"/>
        <v>0.61491780821917807</v>
      </c>
      <c r="DI212" s="2489">
        <f t="shared" si="338"/>
        <v>0.60991780821917807</v>
      </c>
      <c r="DJ212" s="2489">
        <f t="shared" si="338"/>
        <v>0.60491780821917807</v>
      </c>
      <c r="DK212" s="2489">
        <f t="shared" si="338"/>
        <v>0.59991780821917806</v>
      </c>
      <c r="DL212" s="2489">
        <f t="shared" si="338"/>
        <v>0.59491780821917806</v>
      </c>
      <c r="DM212" s="2489">
        <f t="shared" si="338"/>
        <v>0.58991780821917805</v>
      </c>
      <c r="DN212" s="2489">
        <f t="shared" si="338"/>
        <v>0.58491780821917805</v>
      </c>
      <c r="DO212" s="2489">
        <f t="shared" si="338"/>
        <v>0.57991780821917804</v>
      </c>
      <c r="DP212" s="2489">
        <f t="shared" si="338"/>
        <v>0.57491780821917815</v>
      </c>
      <c r="DQ212" s="2489">
        <f t="shared" si="338"/>
        <v>0.56991780821917803</v>
      </c>
      <c r="DR212" s="2489">
        <f t="shared" si="338"/>
        <v>0.56491780821917814</v>
      </c>
      <c r="DS212" s="2489">
        <f t="shared" si="338"/>
        <v>0.55991780821917803</v>
      </c>
      <c r="DT212" s="2489">
        <f t="shared" si="338"/>
        <v>0.55491780821917813</v>
      </c>
      <c r="DU212" s="2489">
        <f t="shared" si="338"/>
        <v>0.54991780821917802</v>
      </c>
      <c r="DV212" s="2489">
        <f t="shared" si="338"/>
        <v>0.54491780821917812</v>
      </c>
      <c r="DW212" s="2489">
        <f t="shared" si="338"/>
        <v>0.53991780821917801</v>
      </c>
      <c r="DX212" s="2489">
        <f t="shared" si="338"/>
        <v>0.53491780821917811</v>
      </c>
      <c r="DY212" s="2489">
        <f t="shared" si="338"/>
        <v>0.529917808219178</v>
      </c>
      <c r="DZ212" s="2489">
        <f t="shared" si="338"/>
        <v>0.52491780821917811</v>
      </c>
      <c r="EA212" s="2489">
        <f t="shared" ref="EA212:GL212" si="339">(1-EA207)*(EA$3&gt;0)</f>
        <v>0.51991780821917799</v>
      </c>
      <c r="EB212" s="2489">
        <f t="shared" si="339"/>
        <v>0.5149178082191781</v>
      </c>
      <c r="EC212" s="2489">
        <f t="shared" si="339"/>
        <v>0.50991780821917809</v>
      </c>
      <c r="ED212" s="2489">
        <f t="shared" si="339"/>
        <v>0.50491780821917809</v>
      </c>
      <c r="EE212" s="2489">
        <f t="shared" si="339"/>
        <v>0.49991780821917808</v>
      </c>
      <c r="EF212" s="2489">
        <f t="shared" si="339"/>
        <v>0.49491780821917808</v>
      </c>
      <c r="EG212" s="2489">
        <f t="shared" si="339"/>
        <v>0.48991780821917807</v>
      </c>
      <c r="EH212" s="2489">
        <f t="shared" si="339"/>
        <v>0.48491780821917807</v>
      </c>
      <c r="EI212" s="2489">
        <f t="shared" si="339"/>
        <v>0.47991780821917807</v>
      </c>
      <c r="EJ212" s="2489">
        <f t="shared" si="339"/>
        <v>0.47491780821917806</v>
      </c>
      <c r="EK212" s="2489">
        <f t="shared" si="339"/>
        <v>0.46991780821917806</v>
      </c>
      <c r="EL212" s="2489">
        <f t="shared" si="339"/>
        <v>0.46491780821917805</v>
      </c>
      <c r="EM212" s="2489">
        <f t="shared" si="339"/>
        <v>0.45991780821917805</v>
      </c>
      <c r="EN212" s="2489">
        <f t="shared" si="339"/>
        <v>0.45491780821917804</v>
      </c>
      <c r="EO212" s="2489">
        <f t="shared" si="339"/>
        <v>0.44991780821917804</v>
      </c>
      <c r="EP212" s="2489">
        <f t="shared" si="339"/>
        <v>0.44491780821917803</v>
      </c>
      <c r="EQ212" s="2489">
        <f t="shared" si="339"/>
        <v>0.43991780821917803</v>
      </c>
      <c r="ER212" s="2489">
        <f t="shared" si="339"/>
        <v>0.43491780821917803</v>
      </c>
      <c r="ES212" s="2489">
        <f t="shared" si="339"/>
        <v>0.42991780821917802</v>
      </c>
      <c r="ET212" s="2489">
        <f t="shared" si="339"/>
        <v>0.42491780821917802</v>
      </c>
      <c r="EU212" s="2489">
        <f t="shared" si="339"/>
        <v>0.41991780821917812</v>
      </c>
      <c r="EV212" s="2489">
        <f t="shared" si="339"/>
        <v>0.41491780821917812</v>
      </c>
      <c r="EW212" s="2489">
        <f t="shared" si="339"/>
        <v>0.40991780821917811</v>
      </c>
      <c r="EX212" s="2489">
        <f t="shared" si="339"/>
        <v>0.40491780821917811</v>
      </c>
      <c r="EY212" s="2489">
        <f t="shared" si="339"/>
        <v>0.39991780821917811</v>
      </c>
      <c r="EZ212" s="2489">
        <f t="shared" si="339"/>
        <v>0.3949178082191781</v>
      </c>
      <c r="FA212" s="2489">
        <f t="shared" si="339"/>
        <v>0.3899178082191781</v>
      </c>
      <c r="FB212" s="2489">
        <f t="shared" si="339"/>
        <v>0.38491780821917809</v>
      </c>
      <c r="FC212" s="2489">
        <f t="shared" si="339"/>
        <v>0.37991780821917809</v>
      </c>
      <c r="FD212" s="2489">
        <f t="shared" si="339"/>
        <v>0.37491780821917808</v>
      </c>
      <c r="FE212" s="2489">
        <f t="shared" si="339"/>
        <v>0.36991780821917808</v>
      </c>
      <c r="FF212" s="2489">
        <f t="shared" si="339"/>
        <v>0.36491780821917807</v>
      </c>
      <c r="FG212" s="2489">
        <f t="shared" si="339"/>
        <v>0.35991780821917818</v>
      </c>
      <c r="FH212" s="2489">
        <f t="shared" si="339"/>
        <v>0.35491780821917818</v>
      </c>
      <c r="FI212" s="2489">
        <f t="shared" si="339"/>
        <v>0.34991780821917817</v>
      </c>
      <c r="FJ212" s="2489">
        <f t="shared" si="339"/>
        <v>0.34491780821917817</v>
      </c>
      <c r="FK212" s="2489">
        <f t="shared" si="339"/>
        <v>0.33991780821917816</v>
      </c>
      <c r="FL212" s="2489">
        <f t="shared" si="339"/>
        <v>0.33491780821917816</v>
      </c>
      <c r="FM212" s="2489">
        <f t="shared" si="339"/>
        <v>0.32991780821917815</v>
      </c>
      <c r="FN212" s="2489">
        <f t="shared" si="339"/>
        <v>0.32491780821917815</v>
      </c>
      <c r="FO212" s="2489">
        <f t="shared" si="339"/>
        <v>0.31991780821917815</v>
      </c>
      <c r="FP212" s="2489">
        <f t="shared" si="339"/>
        <v>0.31491780821917814</v>
      </c>
      <c r="FQ212" s="2489">
        <f t="shared" si="339"/>
        <v>0.30991780821917814</v>
      </c>
      <c r="FR212" s="2489">
        <f t="shared" si="339"/>
        <v>0.30491780821917813</v>
      </c>
      <c r="FS212" s="2489">
        <f t="shared" si="339"/>
        <v>0.29991780821917813</v>
      </c>
      <c r="FT212" s="2489">
        <f t="shared" si="339"/>
        <v>0.29491780821917812</v>
      </c>
      <c r="FU212" s="2489">
        <f t="shared" si="339"/>
        <v>0.28991780821917812</v>
      </c>
      <c r="FV212" s="2489">
        <f t="shared" si="339"/>
        <v>0.28491780821917811</v>
      </c>
      <c r="FW212" s="2489">
        <f t="shared" si="339"/>
        <v>0.27991780821917811</v>
      </c>
      <c r="FX212" s="2489">
        <f t="shared" si="339"/>
        <v>0.27491780821917811</v>
      </c>
      <c r="FY212" s="2489">
        <f t="shared" si="339"/>
        <v>0.2699178082191781</v>
      </c>
      <c r="FZ212" s="2489">
        <f t="shared" si="339"/>
        <v>0.2649178082191781</v>
      </c>
      <c r="GA212" s="2489">
        <f t="shared" si="339"/>
        <v>0.25991780821917809</v>
      </c>
      <c r="GB212" s="2489">
        <f t="shared" si="339"/>
        <v>0.25491780821917809</v>
      </c>
      <c r="GC212" s="2489">
        <f t="shared" si="339"/>
        <v>0.24991780821917819</v>
      </c>
      <c r="GD212" s="2489">
        <f t="shared" si="339"/>
        <v>0.24491780821917819</v>
      </c>
      <c r="GE212" s="2489">
        <f t="shared" si="339"/>
        <v>0.23991780821917819</v>
      </c>
      <c r="GF212" s="2489">
        <f t="shared" si="339"/>
        <v>0.23491780821917818</v>
      </c>
      <c r="GG212" s="2489">
        <f t="shared" si="339"/>
        <v>0.22991780821917818</v>
      </c>
      <c r="GH212" s="2489">
        <f t="shared" si="339"/>
        <v>0.22491780821917817</v>
      </c>
      <c r="GI212" s="2489">
        <f t="shared" si="339"/>
        <v>0.21991780821917817</v>
      </c>
      <c r="GJ212" s="2489">
        <f t="shared" si="339"/>
        <v>0.21491780821917816</v>
      </c>
      <c r="GK212" s="2489">
        <f t="shared" si="339"/>
        <v>0.20991780821917816</v>
      </c>
      <c r="GL212" s="2489">
        <f t="shared" si="339"/>
        <v>0.20491780821917815</v>
      </c>
      <c r="GM212" s="2489">
        <f t="shared" ref="GM212:IA212" si="340">(1-GM207)*(GM$3&gt;0)</f>
        <v>0.19991780821917815</v>
      </c>
      <c r="GN212" s="2489">
        <f t="shared" si="340"/>
        <v>0.19491780821917815</v>
      </c>
      <c r="GO212" s="2489">
        <f t="shared" si="340"/>
        <v>0.18991780821917814</v>
      </c>
      <c r="GP212" s="2489">
        <f t="shared" si="340"/>
        <v>0.18491780821917814</v>
      </c>
      <c r="GQ212" s="2489">
        <f t="shared" si="340"/>
        <v>0.17991780821917813</v>
      </c>
      <c r="GR212" s="2489">
        <f t="shared" si="340"/>
        <v>0.17491780821917813</v>
      </c>
      <c r="GS212" s="2489">
        <f t="shared" si="340"/>
        <v>0.16991780821917812</v>
      </c>
      <c r="GT212" s="2489">
        <f t="shared" si="340"/>
        <v>0.16491780821917812</v>
      </c>
      <c r="GU212" s="2489">
        <f t="shared" si="340"/>
        <v>0.15991780821917811</v>
      </c>
      <c r="GV212" s="2489">
        <f t="shared" si="340"/>
        <v>0.15491780821917811</v>
      </c>
      <c r="GW212" s="2489">
        <f t="shared" si="340"/>
        <v>0.14991780821917811</v>
      </c>
      <c r="GX212" s="2489">
        <f t="shared" si="340"/>
        <v>0.1449178082191781</v>
      </c>
      <c r="GY212" s="2489">
        <f t="shared" si="340"/>
        <v>0.1399178082191781</v>
      </c>
      <c r="GZ212" s="2489">
        <f t="shared" si="340"/>
        <v>0.13491780821917809</v>
      </c>
      <c r="HA212" s="2489">
        <f t="shared" si="340"/>
        <v>0.12991780821917809</v>
      </c>
      <c r="HB212" s="2489">
        <f t="shared" si="340"/>
        <v>0.12491780821917819</v>
      </c>
      <c r="HC212" s="2489">
        <f t="shared" si="340"/>
        <v>0.11991780821917819</v>
      </c>
      <c r="HD212" s="2489">
        <f t="shared" si="340"/>
        <v>0.11491780821917819</v>
      </c>
      <c r="HE212" s="2489">
        <f t="shared" si="340"/>
        <v>0.10991780821917818</v>
      </c>
      <c r="HF212" s="2489">
        <f t="shared" si="340"/>
        <v>0.10491780821917818</v>
      </c>
      <c r="HG212" s="2489">
        <f t="shared" si="340"/>
        <v>9.9917808219178172E-2</v>
      </c>
      <c r="HH212" s="2489">
        <f t="shared" si="340"/>
        <v>9.4917808219178168E-2</v>
      </c>
      <c r="HI212" s="2489">
        <f t="shared" si="340"/>
        <v>8.9917808219178164E-2</v>
      </c>
      <c r="HJ212" s="2489">
        <f t="shared" si="340"/>
        <v>8.4917808219178159E-2</v>
      </c>
      <c r="HK212" s="2489">
        <f t="shared" si="340"/>
        <v>7.9917808219178155E-2</v>
      </c>
      <c r="HL212" s="2489">
        <f t="shared" si="340"/>
        <v>7.491780821917815E-2</v>
      </c>
      <c r="HM212" s="2489">
        <f t="shared" si="340"/>
        <v>6.9917808219178146E-2</v>
      </c>
      <c r="HN212" s="2489">
        <f t="shared" si="340"/>
        <v>6.4917808219178141E-2</v>
      </c>
      <c r="HO212" s="2489">
        <f t="shared" si="340"/>
        <v>5.9917808219178137E-2</v>
      </c>
      <c r="HP212" s="2489">
        <f t="shared" si="340"/>
        <v>5.4917808219178132E-2</v>
      </c>
      <c r="HQ212" s="2489">
        <f t="shared" si="340"/>
        <v>4.9917808219178128E-2</v>
      </c>
      <c r="HR212" s="2489">
        <f t="shared" si="340"/>
        <v>4.4917808219178124E-2</v>
      </c>
      <c r="HS212" s="2489">
        <f t="shared" si="340"/>
        <v>3.9917808219178119E-2</v>
      </c>
      <c r="HT212" s="2489">
        <f t="shared" si="340"/>
        <v>3.4917808219178115E-2</v>
      </c>
      <c r="HU212" s="2489">
        <f t="shared" si="340"/>
        <v>2.991780821917811E-2</v>
      </c>
      <c r="HV212" s="2489">
        <f t="shared" si="340"/>
        <v>2.4917808219178106E-2</v>
      </c>
      <c r="HW212" s="2489">
        <f t="shared" si="340"/>
        <v>1.9917808219178101E-2</v>
      </c>
      <c r="HX212" s="2489">
        <f t="shared" si="340"/>
        <v>1.4917808219178097E-2</v>
      </c>
      <c r="HY212" s="2489">
        <f t="shared" si="340"/>
        <v>9.9178082191780925E-3</v>
      </c>
      <c r="HZ212" s="2489">
        <f t="shared" si="340"/>
        <v>4.9178082191780881E-3</v>
      </c>
      <c r="IA212" s="2489">
        <f t="shared" si="340"/>
        <v>0</v>
      </c>
    </row>
    <row r="213" spans="3:235">
      <c r="C213" s="2466"/>
      <c r="D213" s="2490" t="s">
        <v>3939</v>
      </c>
      <c r="E213" s="2385"/>
      <c r="F213" s="2385"/>
      <c r="G213" s="2386"/>
      <c r="H213" s="2392">
        <f ca="1">MAX(J213:IA213)</f>
        <v>183352.88904617936</v>
      </c>
      <c r="I213" s="2482"/>
      <c r="J213" s="2395">
        <f t="shared" ref="J213:BN213" si="341">J211*J212</f>
        <v>0</v>
      </c>
      <c r="K213" s="2387">
        <f t="shared" si="341"/>
        <v>0</v>
      </c>
      <c r="L213" s="2393">
        <f t="shared" si="341"/>
        <v>0</v>
      </c>
      <c r="M213" s="2395">
        <f t="shared" si="341"/>
        <v>0</v>
      </c>
      <c r="N213" s="2395">
        <f t="shared" si="341"/>
        <v>0</v>
      </c>
      <c r="O213" s="2387">
        <f t="shared" si="341"/>
        <v>0</v>
      </c>
      <c r="P213" s="2392">
        <f t="shared" si="341"/>
        <v>0</v>
      </c>
      <c r="Q213" s="2392">
        <f t="shared" si="341"/>
        <v>0</v>
      </c>
      <c r="R213" s="2395">
        <f t="shared" si="341"/>
        <v>0</v>
      </c>
      <c r="S213" s="2387">
        <f t="shared" si="341"/>
        <v>0</v>
      </c>
      <c r="T213" s="2392">
        <f t="shared" si="341"/>
        <v>0</v>
      </c>
      <c r="U213" s="2394">
        <f t="shared" si="341"/>
        <v>0</v>
      </c>
      <c r="V213" s="2394">
        <f t="shared" si="341"/>
        <v>0</v>
      </c>
      <c r="W213" s="2394">
        <f t="shared" si="341"/>
        <v>0</v>
      </c>
      <c r="X213" s="2394">
        <f t="shared" si="341"/>
        <v>0</v>
      </c>
      <c r="Y213" s="2394">
        <f t="shared" si="341"/>
        <v>0</v>
      </c>
      <c r="Z213" s="2394">
        <f t="shared" si="341"/>
        <v>0</v>
      </c>
      <c r="AA213" s="2394">
        <f t="shared" si="341"/>
        <v>0</v>
      </c>
      <c r="AB213" s="2394">
        <f t="shared" si="341"/>
        <v>0</v>
      </c>
      <c r="AC213" s="2394">
        <f t="shared" si="341"/>
        <v>0</v>
      </c>
      <c r="AD213" s="2394">
        <f t="shared" si="341"/>
        <v>0</v>
      </c>
      <c r="AE213" s="2394">
        <f t="shared" si="341"/>
        <v>0</v>
      </c>
      <c r="AF213" s="2394">
        <f t="shared" si="341"/>
        <v>0</v>
      </c>
      <c r="AG213" s="2394">
        <f t="shared" si="341"/>
        <v>0</v>
      </c>
      <c r="AH213" s="2394">
        <f t="shared" si="341"/>
        <v>0</v>
      </c>
      <c r="AI213" s="2394">
        <f t="shared" si="341"/>
        <v>0</v>
      </c>
      <c r="AJ213" s="2394">
        <f t="shared" si="341"/>
        <v>0</v>
      </c>
      <c r="AK213" s="2394">
        <f t="shared" si="341"/>
        <v>0</v>
      </c>
      <c r="AL213" s="2394">
        <f t="shared" si="341"/>
        <v>0</v>
      </c>
      <c r="AM213" s="2394">
        <f t="shared" si="341"/>
        <v>0</v>
      </c>
      <c r="AN213" s="2394">
        <f t="shared" si="341"/>
        <v>0</v>
      </c>
      <c r="AO213" s="2394">
        <f t="shared" si="341"/>
        <v>0</v>
      </c>
      <c r="AP213" s="2394">
        <f t="shared" si="341"/>
        <v>0</v>
      </c>
      <c r="AQ213" s="2394">
        <f t="shared" si="341"/>
        <v>0</v>
      </c>
      <c r="AR213" s="2394">
        <f t="shared" si="341"/>
        <v>0</v>
      </c>
      <c r="AS213" s="2394">
        <f t="shared" si="341"/>
        <v>0</v>
      </c>
      <c r="AT213" s="2394">
        <f t="shared" si="341"/>
        <v>0</v>
      </c>
      <c r="AU213" s="2394">
        <f t="shared" si="341"/>
        <v>0</v>
      </c>
      <c r="AV213" s="2394">
        <f t="shared" si="341"/>
        <v>0</v>
      </c>
      <c r="AW213" s="2394">
        <f t="shared" si="341"/>
        <v>0</v>
      </c>
      <c r="AX213" s="2394">
        <f t="shared" si="341"/>
        <v>181405.78605895757</v>
      </c>
      <c r="AY213" s="2394">
        <f t="shared" si="341"/>
        <v>182215.92710190557</v>
      </c>
      <c r="AZ213" s="2394">
        <f t="shared" si="341"/>
        <v>183010.02376769015</v>
      </c>
      <c r="BA213" s="2394">
        <f t="shared" si="341"/>
        <v>182009.63804871737</v>
      </c>
      <c r="BB213" s="2394">
        <f t="shared" si="341"/>
        <v>183352.88904617936</v>
      </c>
      <c r="BC213" s="2394">
        <f t="shared" si="341"/>
        <v>182984.86596332508</v>
      </c>
      <c r="BD213" s="2394">
        <f t="shared" si="341"/>
        <v>181408.69385472647</v>
      </c>
      <c r="BE213" s="2394">
        <f t="shared" si="341"/>
        <v>178382.19103514196</v>
      </c>
      <c r="BF213" s="2394">
        <f t="shared" si="341"/>
        <v>177637.61695104692</v>
      </c>
      <c r="BG213" s="2394">
        <f t="shared" si="341"/>
        <v>176198.86821842351</v>
      </c>
      <c r="BH213" s="2394">
        <f t="shared" si="341"/>
        <v>173567.80966541567</v>
      </c>
      <c r="BI213" s="2394">
        <f t="shared" si="341"/>
        <v>170910.62973270519</v>
      </c>
      <c r="BJ213" s="2394">
        <f t="shared" si="341"/>
        <v>168921.44379395797</v>
      </c>
      <c r="BK213" s="2394">
        <f t="shared" si="341"/>
        <v>166573.7110960116</v>
      </c>
      <c r="BL213" s="2394">
        <f t="shared" si="341"/>
        <v>165453.13377235748</v>
      </c>
      <c r="BM213" s="2394">
        <f t="shared" si="341"/>
        <v>163293.09087935128</v>
      </c>
      <c r="BN213" s="2394">
        <f t="shared" si="341"/>
        <v>163286.51033054906</v>
      </c>
      <c r="BO213" s="2394">
        <f t="shared" ref="BO213:DZ213" si="342">BO211*BO212</f>
        <v>160667.59171270902</v>
      </c>
      <c r="BP213" s="2394">
        <f t="shared" si="342"/>
        <v>160199.4692096615</v>
      </c>
      <c r="BQ213" s="2394">
        <f t="shared" si="342"/>
        <v>157540.20456248015</v>
      </c>
      <c r="BR213" s="2394">
        <f t="shared" si="342"/>
        <v>157545.13206048572</v>
      </c>
      <c r="BS213" s="2394">
        <f t="shared" si="342"/>
        <v>155772.6732024969</v>
      </c>
      <c r="BT213" s="2394">
        <f t="shared" si="342"/>
        <v>156753.35431975409</v>
      </c>
      <c r="BU213" s="2394">
        <f t="shared" si="342"/>
        <v>153510.5331387769</v>
      </c>
      <c r="BV213" s="2394">
        <f t="shared" si="342"/>
        <v>152579.16279803129</v>
      </c>
      <c r="BW213" s="2394">
        <f t="shared" si="342"/>
        <v>151899.80274263062</v>
      </c>
      <c r="BX213" s="2394">
        <f t="shared" si="342"/>
        <v>150842.92520486913</v>
      </c>
      <c r="BY213" s="2394">
        <f t="shared" si="342"/>
        <v>149172.22713018928</v>
      </c>
      <c r="BZ213" s="2394">
        <f t="shared" si="342"/>
        <v>159148.48778304842</v>
      </c>
      <c r="CA213" s="2394">
        <f t="shared" si="342"/>
        <v>157188.12508462611</v>
      </c>
      <c r="CB213" s="2394">
        <f t="shared" si="342"/>
        <v>157269.6604004252</v>
      </c>
      <c r="CC213" s="2394">
        <f t="shared" si="342"/>
        <v>155042.72114993332</v>
      </c>
      <c r="CD213" s="2394">
        <f t="shared" si="342"/>
        <v>152915.44994330147</v>
      </c>
      <c r="CE213" s="2394">
        <f t="shared" si="342"/>
        <v>151730.91834986676</v>
      </c>
      <c r="CF213" s="2394">
        <f t="shared" si="342"/>
        <v>151825.55236633573</v>
      </c>
      <c r="CG213" s="2394">
        <f t="shared" si="342"/>
        <v>151470.70247694786</v>
      </c>
      <c r="CH213" s="2394">
        <f t="shared" ca="1" si="342"/>
        <v>140135.53066475366</v>
      </c>
      <c r="CI213" s="2394">
        <f t="shared" ca="1" si="342"/>
        <v>139202.82419380741</v>
      </c>
      <c r="CJ213" s="2394">
        <f t="shared" ca="1" si="342"/>
        <v>138227.24226764753</v>
      </c>
      <c r="CK213" s="2394">
        <f t="shared" ca="1" si="342"/>
        <v>137194.98840641102</v>
      </c>
      <c r="CL213" s="2394">
        <f t="shared" ca="1" si="342"/>
        <v>134852.23630361786</v>
      </c>
      <c r="CM213" s="2394">
        <f t="shared" ca="1" si="342"/>
        <v>133889.08441871282</v>
      </c>
      <c r="CN213" s="2394">
        <f t="shared" ca="1" si="342"/>
        <v>132929.72658369399</v>
      </c>
      <c r="CO213" s="2394">
        <f t="shared" ca="1" si="342"/>
        <v>131916.04468328803</v>
      </c>
      <c r="CP213" s="2394">
        <f t="shared" ca="1" si="342"/>
        <v>132884.24185873586</v>
      </c>
      <c r="CQ213" s="2394">
        <f t="shared" ca="1" si="342"/>
        <v>131913.50543838352</v>
      </c>
      <c r="CR213" s="2394">
        <f t="shared" ca="1" si="342"/>
        <v>131056.25387319543</v>
      </c>
      <c r="CS213" s="2394">
        <f t="shared" ca="1" si="342"/>
        <v>130149.65488820479</v>
      </c>
      <c r="CT213" s="2394">
        <f t="shared" ca="1" si="342"/>
        <v>132469.10907498476</v>
      </c>
      <c r="CU213" s="2394">
        <f t="shared" ca="1" si="342"/>
        <v>131595.99344395022</v>
      </c>
      <c r="CV213" s="2394">
        <f t="shared" ca="1" si="342"/>
        <v>130457.15330700522</v>
      </c>
      <c r="CW213" s="2394">
        <f t="shared" ca="1" si="342"/>
        <v>129259.89100396883</v>
      </c>
      <c r="CX213" s="2394">
        <f t="shared" ca="1" si="342"/>
        <v>117388.40671443216</v>
      </c>
      <c r="CY213" s="2394">
        <f t="shared" ca="1" si="342"/>
        <v>116344.9646720437</v>
      </c>
      <c r="CZ213" s="2394">
        <f t="shared" ca="1" si="342"/>
        <v>115305.39871783329</v>
      </c>
      <c r="DA213" s="2394">
        <f t="shared" ca="1" si="342"/>
        <v>114214.0324936384</v>
      </c>
      <c r="DB213" s="2394">
        <f t="shared" ca="1" si="342"/>
        <v>97347.893096134867</v>
      </c>
      <c r="DC213" s="2394">
        <f t="shared" ca="1" si="342"/>
        <v>96453.789344933059</v>
      </c>
      <c r="DD213" s="2394">
        <f t="shared" ca="1" si="342"/>
        <v>95691.152418046986</v>
      </c>
      <c r="DE213" s="2394">
        <f t="shared" ca="1" si="342"/>
        <v>94889.913194603985</v>
      </c>
      <c r="DF213" s="2394">
        <f t="shared" ca="1" si="342"/>
        <v>86788.507559615624</v>
      </c>
      <c r="DG213" s="2394">
        <f t="shared" ca="1" si="342"/>
        <v>86087.444492325201</v>
      </c>
      <c r="DH213" s="2394">
        <f t="shared" ca="1" si="342"/>
        <v>87247.359660617905</v>
      </c>
      <c r="DI213" s="2394">
        <f t="shared" ca="1" si="342"/>
        <v>88436.853257926108</v>
      </c>
      <c r="DJ213" s="2394">
        <f t="shared" ca="1" si="342"/>
        <v>88448.618369614342</v>
      </c>
      <c r="DK213" s="2394">
        <f t="shared" ca="1" si="342"/>
        <v>89623.663889879565</v>
      </c>
      <c r="DL213" s="2394">
        <f t="shared" ca="1" si="342"/>
        <v>89359.744359441407</v>
      </c>
      <c r="DM213" s="2394">
        <f t="shared" ca="1" si="342"/>
        <v>89076.617740107686</v>
      </c>
      <c r="DN213" s="2394">
        <f t="shared" ca="1" si="342"/>
        <v>90212.556149889468</v>
      </c>
      <c r="DO213" s="2394">
        <f t="shared" ca="1" si="342"/>
        <v>89953.270979625857</v>
      </c>
      <c r="DP213" s="2394">
        <f t="shared" ca="1" si="342"/>
        <v>89391.309004886352</v>
      </c>
      <c r="DQ213" s="2394">
        <f t="shared" ca="1" si="342"/>
        <v>88800.791940810333</v>
      </c>
      <c r="DR213" s="2394">
        <f t="shared" ca="1" si="342"/>
        <v>90501.853156043348</v>
      </c>
      <c r="DS213" s="2394">
        <f t="shared" ca="1" si="342"/>
        <v>89930.310887905434</v>
      </c>
      <c r="DT213" s="2394">
        <f t="shared" ca="1" si="342"/>
        <v>89217.938145466178</v>
      </c>
      <c r="DU213" s="2394">
        <f t="shared" ca="1" si="342"/>
        <v>88472.901327292624</v>
      </c>
      <c r="DV213" s="2394">
        <f t="shared" ca="1" si="342"/>
        <v>88865.165715936848</v>
      </c>
      <c r="DW213" s="2394">
        <f t="shared" ca="1" si="342"/>
        <v>88147.015207749937</v>
      </c>
      <c r="DX213" s="2394">
        <f t="shared" ca="1" si="342"/>
        <v>87981.022342958851</v>
      </c>
      <c r="DY213" s="2394">
        <f t="shared" ca="1" si="342"/>
        <v>87800.871668986772</v>
      </c>
      <c r="DZ213" s="2394">
        <f t="shared" ca="1" si="342"/>
        <v>87851.935216357917</v>
      </c>
      <c r="EA213" s="2394">
        <f t="shared" ref="EA213:GL213" ca="1" si="343">EA211*EA212</f>
        <v>87692.57090466081</v>
      </c>
      <c r="EB213" s="2394">
        <f t="shared" ca="1" si="343"/>
        <v>86925.902199878721</v>
      </c>
      <c r="EC213" s="2394">
        <f t="shared" ca="1" si="343"/>
        <v>86126.937232488242</v>
      </c>
      <c r="ED213" s="2394">
        <f t="shared" ca="1" si="343"/>
        <v>86234.01747612303</v>
      </c>
      <c r="EE213" s="2394">
        <f t="shared" ca="1" si="343"/>
        <v>85462.169418133155</v>
      </c>
      <c r="EF213" s="2394">
        <f t="shared" ca="1" si="343"/>
        <v>84503.033269549109</v>
      </c>
      <c r="EG213" s="2394">
        <f t="shared" ca="1" si="343"/>
        <v>83506.957323639508</v>
      </c>
      <c r="EH213" s="2394">
        <f t="shared" ca="1" si="343"/>
        <v>82971.199474757843</v>
      </c>
      <c r="EI213" s="2394">
        <f t="shared" ca="1" si="343"/>
        <v>82009.134816999023</v>
      </c>
      <c r="EJ213" s="2394">
        <f t="shared" ca="1" si="343"/>
        <v>80960.598639977135</v>
      </c>
      <c r="EK213" s="2394">
        <f t="shared" ca="1" si="343"/>
        <v>79873.962186991499</v>
      </c>
      <c r="EL213" s="2394">
        <f t="shared" ca="1" si="343"/>
        <v>78834.344130726909</v>
      </c>
      <c r="EM213" s="2394">
        <f t="shared" ca="1" si="343"/>
        <v>77787.914259209589</v>
      </c>
      <c r="EN213" s="2394">
        <f t="shared" ca="1" si="343"/>
        <v>76726.885791912719</v>
      </c>
      <c r="EO213" s="2394">
        <f t="shared" ca="1" si="343"/>
        <v>75629.031415876016</v>
      </c>
      <c r="EP213" s="2394">
        <f t="shared" ca="1" si="343"/>
        <v>75321.407106888786</v>
      </c>
      <c r="EQ213" s="2394">
        <f t="shared" ca="1" si="343"/>
        <v>74252.456749224642</v>
      </c>
      <c r="ER213" s="2394">
        <f t="shared" ca="1" si="343"/>
        <v>73172.607652535095</v>
      </c>
      <c r="ES213" s="2394">
        <f t="shared" ca="1" si="343"/>
        <v>72057.015526988849</v>
      </c>
      <c r="ET213" s="2394">
        <f t="shared" ca="1" si="343"/>
        <v>71329.461055960841</v>
      </c>
      <c r="EU213" s="2394">
        <f t="shared" ca="1" si="343"/>
        <v>70247.789275891831</v>
      </c>
      <c r="EV213" s="2394">
        <f t="shared" ca="1" si="343"/>
        <v>69311.546217978626</v>
      </c>
      <c r="EW213" s="2394">
        <f t="shared" ca="1" si="343"/>
        <v>68345.02152885453</v>
      </c>
      <c r="EX213" s="2394">
        <f t="shared" ca="1" si="343"/>
        <v>67399.141772759147</v>
      </c>
      <c r="EY213" s="2394">
        <f t="shared" ca="1" si="343"/>
        <v>66465.905378523647</v>
      </c>
      <c r="EZ213" s="2394">
        <f t="shared" ca="1" si="343"/>
        <v>65346.031728363851</v>
      </c>
      <c r="FA213" s="2394">
        <f t="shared" ca="1" si="343"/>
        <v>64192.779637281281</v>
      </c>
      <c r="FB213" s="2394">
        <f t="shared" ca="1" si="343"/>
        <v>63700.91684723158</v>
      </c>
      <c r="FC213" s="2394">
        <f t="shared" ca="1" si="343"/>
        <v>62575.79296370739</v>
      </c>
      <c r="FD213" s="2394">
        <f t="shared" ca="1" si="343"/>
        <v>61590.617864223008</v>
      </c>
      <c r="FE213" s="2394">
        <f t="shared" ca="1" si="343"/>
        <v>60577.04247985511</v>
      </c>
      <c r="FF213" s="2394">
        <f t="shared" ca="1" si="343"/>
        <v>59874.222104022097</v>
      </c>
      <c r="FG213" s="2394">
        <f t="shared" ca="1" si="343"/>
        <v>58889.0475851191</v>
      </c>
      <c r="FH213" s="2394">
        <f t="shared" ca="1" si="343"/>
        <v>57739.533740094274</v>
      </c>
      <c r="FI213" s="2394">
        <f t="shared" ca="1" si="343"/>
        <v>56559.589407145373</v>
      </c>
      <c r="FJ213" s="2394">
        <f t="shared" ca="1" si="343"/>
        <v>55400.937033766706</v>
      </c>
      <c r="FK213" s="2394">
        <f t="shared" ca="1" si="343"/>
        <v>54260.912229227913</v>
      </c>
      <c r="FL213" s="2394">
        <f t="shared" ca="1" si="343"/>
        <v>53130.776239476305</v>
      </c>
      <c r="FM213" s="2394">
        <f t="shared" ca="1" si="343"/>
        <v>51972.620358795219</v>
      </c>
      <c r="FN213" s="2394">
        <f t="shared" ca="1" si="343"/>
        <v>51344.436608884222</v>
      </c>
      <c r="FO213" s="2394">
        <f t="shared" ca="1" si="343"/>
        <v>50214.248913788906</v>
      </c>
      <c r="FP213" s="2394">
        <f t="shared" ca="1" si="343"/>
        <v>49053.907962364588</v>
      </c>
      <c r="FQ213" s="2394">
        <f t="shared" ca="1" si="343"/>
        <v>47867.008767229992</v>
      </c>
      <c r="FR213" s="2394">
        <f t="shared" ca="1" si="343"/>
        <v>46931.716080521801</v>
      </c>
      <c r="FS213" s="2394">
        <f t="shared" ca="1" si="343"/>
        <v>45780.31114062931</v>
      </c>
      <c r="FT213" s="2394">
        <f t="shared" ca="1" si="343"/>
        <v>44585.413584217524</v>
      </c>
      <c r="FU213" s="2394">
        <f t="shared" ca="1" si="343"/>
        <v>43365.644004963782</v>
      </c>
      <c r="FV213" s="2394">
        <f t="shared" ca="1" si="343"/>
        <v>42167.441157980931</v>
      </c>
      <c r="FW213" s="2394">
        <f t="shared" ca="1" si="343"/>
        <v>40991.974018144858</v>
      </c>
      <c r="FX213" s="2394">
        <f t="shared" ca="1" si="343"/>
        <v>39774.054085100237</v>
      </c>
      <c r="FY213" s="2394">
        <f t="shared" ca="1" si="343"/>
        <v>38533.517518784123</v>
      </c>
      <c r="FZ213" s="2394">
        <f t="shared" ca="1" si="343"/>
        <v>37694.045298535631</v>
      </c>
      <c r="GA213" s="2394">
        <f t="shared" ca="1" si="343"/>
        <v>36489.447544150949</v>
      </c>
      <c r="GB213" s="2394">
        <f t="shared" ca="1" si="343"/>
        <v>35257.825845808584</v>
      </c>
      <c r="GC213" s="2394">
        <f t="shared" ca="1" si="343"/>
        <v>34006.324513951397</v>
      </c>
      <c r="GD213" s="2394">
        <f t="shared" ca="1" si="343"/>
        <v>32947.374608608916</v>
      </c>
      <c r="GE213" s="2394">
        <f t="shared" ca="1" si="343"/>
        <v>31741.927386887903</v>
      </c>
      <c r="GF213" s="2394">
        <f t="shared" ca="1" si="343"/>
        <v>30631.364023750582</v>
      </c>
      <c r="GG213" s="2394">
        <f t="shared" ca="1" si="343"/>
        <v>29505.213321999581</v>
      </c>
      <c r="GH213" s="2394">
        <f t="shared" ca="1" si="343"/>
        <v>28403.173135010609</v>
      </c>
      <c r="GI213" s="2394">
        <f t="shared" ca="1" si="343"/>
        <v>27324.725889606536</v>
      </c>
      <c r="GJ213" s="2394">
        <f t="shared" ca="1" si="343"/>
        <v>27290.900768930613</v>
      </c>
      <c r="GK213" s="2394">
        <f t="shared" ca="1" si="343"/>
        <v>27248.515048886191</v>
      </c>
      <c r="GL213" s="2394">
        <f t="shared" ca="1" si="343"/>
        <v>27416.803430108743</v>
      </c>
      <c r="GM213" s="2394">
        <f t="shared" ref="GM213:IA213" ca="1" si="344">GM211*GM212</f>
        <v>27336.174126601232</v>
      </c>
      <c r="GN213" s="2394">
        <f t="shared" ca="1" si="344"/>
        <v>26458.736083002223</v>
      </c>
      <c r="GO213" s="2394">
        <f t="shared" ca="1" si="344"/>
        <v>25571.128805089418</v>
      </c>
      <c r="GP213" s="2394">
        <f t="shared" ca="1" si="344"/>
        <v>24810.410603364198</v>
      </c>
      <c r="GQ213" s="2394">
        <f t="shared" ca="1" si="344"/>
        <v>23948.732452009561</v>
      </c>
      <c r="GR213" s="2394">
        <f t="shared" ca="1" si="344"/>
        <v>22972.000910648741</v>
      </c>
      <c r="GS213" s="2394">
        <f t="shared" ca="1" si="344"/>
        <v>21988.507208278934</v>
      </c>
      <c r="GT213" s="2394">
        <f t="shared" ca="1" si="344"/>
        <v>21021.802309163249</v>
      </c>
      <c r="GU213" s="2394">
        <f t="shared" ca="1" si="344"/>
        <v>20082.012902570903</v>
      </c>
      <c r="GV213" s="2394">
        <f t="shared" ca="1" si="344"/>
        <v>19075.920304306259</v>
      </c>
      <c r="GW213" s="2394">
        <f t="shared" ca="1" si="344"/>
        <v>18067.965147386032</v>
      </c>
      <c r="GX213" s="2394">
        <f t="shared" ca="1" si="344"/>
        <v>17259.701257951103</v>
      </c>
      <c r="GY213" s="2394">
        <f t="shared" ca="1" si="344"/>
        <v>16297.24253018797</v>
      </c>
      <c r="GZ213" s="2394">
        <f t="shared" ca="1" si="344"/>
        <v>15499.642582580709</v>
      </c>
      <c r="HA213" s="2394">
        <f t="shared" ca="1" si="344"/>
        <v>14701.312399252989</v>
      </c>
      <c r="HB213" s="2394">
        <f t="shared" ca="1" si="344"/>
        <v>13986.52985495997</v>
      </c>
      <c r="HC213" s="2394">
        <f t="shared" ca="1" si="344"/>
        <v>13222.348827640843</v>
      </c>
      <c r="HD213" s="2394">
        <f t="shared" ca="1" si="344"/>
        <v>12302.541089293791</v>
      </c>
      <c r="HE213" s="2394">
        <f t="shared" ca="1" si="344"/>
        <v>11391.919109765346</v>
      </c>
      <c r="HF213" s="2394">
        <f t="shared" ca="1" si="344"/>
        <v>10519.328631907611</v>
      </c>
      <c r="HG213" s="2394">
        <f t="shared" ca="1" si="344"/>
        <v>9677.1712854393772</v>
      </c>
      <c r="HH213" s="2394">
        <f t="shared" ca="1" si="344"/>
        <v>8800.4128992432034</v>
      </c>
      <c r="HI213" s="2394">
        <f t="shared" ca="1" si="344"/>
        <v>7942.5129628943014</v>
      </c>
      <c r="HJ213" s="2394">
        <f t="shared" ca="1" si="344"/>
        <v>7207.2333666855129</v>
      </c>
      <c r="HK213" s="2394">
        <f t="shared" ca="1" si="344"/>
        <v>6427.6973358632195</v>
      </c>
      <c r="HL213" s="2394">
        <f t="shared" ca="1" si="344"/>
        <v>5670.8738103061096</v>
      </c>
      <c r="HM213" s="2394">
        <f t="shared" ca="1" si="344"/>
        <v>4942.2273190063916</v>
      </c>
      <c r="HN213" s="2394">
        <f t="shared" ca="1" si="344"/>
        <v>4292.43254855339</v>
      </c>
      <c r="HO213" s="2394">
        <f t="shared" ca="1" si="344"/>
        <v>3658.4761790832481</v>
      </c>
      <c r="HP213" s="2394">
        <f t="shared" ca="1" si="344"/>
        <v>3085.2417499387602</v>
      </c>
      <c r="HQ213" s="2394">
        <f t="shared" ca="1" si="344"/>
        <v>2547.1351242322025</v>
      </c>
      <c r="HR213" s="2394">
        <f t="shared" ca="1" si="344"/>
        <v>2066.6545175129163</v>
      </c>
      <c r="HS213" s="2394">
        <f t="shared" ca="1" si="344"/>
        <v>1629.3595413992307</v>
      </c>
      <c r="HT213" s="2394">
        <f t="shared" ca="1" si="344"/>
        <v>1218.2452310822084</v>
      </c>
      <c r="HU213" s="2394">
        <f t="shared" ca="1" si="344"/>
        <v>856.87256415832496</v>
      </c>
      <c r="HV213" s="2394">
        <f t="shared" ca="1" si="344"/>
        <v>568.57135766719261</v>
      </c>
      <c r="HW213" s="2394">
        <f t="shared" ca="1" si="344"/>
        <v>327.54242328423106</v>
      </c>
      <c r="HX213" s="2394">
        <f t="shared" ca="1" si="344"/>
        <v>185.97058747299576</v>
      </c>
      <c r="HY213" s="2394">
        <f t="shared" ca="1" si="344"/>
        <v>82.102296710036256</v>
      </c>
      <c r="HZ213" s="2394">
        <f t="shared" ca="1" si="344"/>
        <v>20.924748185121317</v>
      </c>
      <c r="IA213" s="2394">
        <f t="shared" ca="1" si="344"/>
        <v>0</v>
      </c>
    </row>
    <row r="214" spans="3:235">
      <c r="C214" s="2466"/>
      <c r="D214" s="2476" t="s">
        <v>3940</v>
      </c>
      <c r="E214" s="2356"/>
      <c r="F214" s="2356"/>
      <c r="G214" s="2446"/>
      <c r="H214" s="2477"/>
      <c r="I214" s="2358"/>
      <c r="J214" s="2478">
        <f t="shared" ref="J214:BN214" si="345">SUM(J208,J213)</f>
        <v>0</v>
      </c>
      <c r="K214" s="2357">
        <f t="shared" si="345"/>
        <v>0</v>
      </c>
      <c r="L214" s="2479">
        <f t="shared" si="345"/>
        <v>0</v>
      </c>
      <c r="M214" s="2478">
        <f t="shared" si="345"/>
        <v>0</v>
      </c>
      <c r="N214" s="2478">
        <f t="shared" si="345"/>
        <v>0</v>
      </c>
      <c r="O214" s="2357">
        <f t="shared" si="345"/>
        <v>0</v>
      </c>
      <c r="P214" s="2477">
        <f t="shared" si="345"/>
        <v>0</v>
      </c>
      <c r="Q214" s="2477">
        <f t="shared" si="345"/>
        <v>0</v>
      </c>
      <c r="R214" s="2478">
        <f t="shared" si="345"/>
        <v>0</v>
      </c>
      <c r="S214" s="2357">
        <f t="shared" si="345"/>
        <v>0</v>
      </c>
      <c r="T214" s="2477">
        <f t="shared" si="345"/>
        <v>0</v>
      </c>
      <c r="U214" s="2480">
        <f t="shared" si="345"/>
        <v>0</v>
      </c>
      <c r="V214" s="2480">
        <f t="shared" si="345"/>
        <v>0</v>
      </c>
      <c r="W214" s="2480">
        <f t="shared" si="345"/>
        <v>0</v>
      </c>
      <c r="X214" s="2480">
        <f t="shared" si="345"/>
        <v>0</v>
      </c>
      <c r="Y214" s="2480">
        <f t="shared" si="345"/>
        <v>0</v>
      </c>
      <c r="Z214" s="2480">
        <f t="shared" si="345"/>
        <v>0</v>
      </c>
      <c r="AA214" s="2480">
        <f t="shared" si="345"/>
        <v>0</v>
      </c>
      <c r="AB214" s="2480">
        <f t="shared" si="345"/>
        <v>0</v>
      </c>
      <c r="AC214" s="2480">
        <f t="shared" si="345"/>
        <v>0</v>
      </c>
      <c r="AD214" s="2480">
        <f t="shared" si="345"/>
        <v>0</v>
      </c>
      <c r="AE214" s="2480">
        <f t="shared" si="345"/>
        <v>0</v>
      </c>
      <c r="AF214" s="2480">
        <f t="shared" si="345"/>
        <v>0</v>
      </c>
      <c r="AG214" s="2480">
        <f t="shared" si="345"/>
        <v>0</v>
      </c>
      <c r="AH214" s="2480">
        <f t="shared" si="345"/>
        <v>0</v>
      </c>
      <c r="AI214" s="2480">
        <f t="shared" si="345"/>
        <v>0</v>
      </c>
      <c r="AJ214" s="2480">
        <f t="shared" si="345"/>
        <v>1192.080506066387</v>
      </c>
      <c r="AK214" s="2480">
        <f t="shared" si="345"/>
        <v>2329.8334128822225</v>
      </c>
      <c r="AL214" s="2480">
        <f t="shared" si="345"/>
        <v>3465.9313217358208</v>
      </c>
      <c r="AM214" s="2480">
        <f t="shared" si="345"/>
        <v>4552.7288993644133</v>
      </c>
      <c r="AN214" s="2480">
        <f t="shared" si="345"/>
        <v>5671.8476433420019</v>
      </c>
      <c r="AO214" s="2480">
        <f t="shared" si="345"/>
        <v>6677.3847685291121</v>
      </c>
      <c r="AP214" s="2480">
        <f t="shared" si="345"/>
        <v>7826.4240863995274</v>
      </c>
      <c r="AQ214" s="2480">
        <f t="shared" si="345"/>
        <v>8828.7930075277345</v>
      </c>
      <c r="AR214" s="2480">
        <f t="shared" si="345"/>
        <v>9860.9189610072681</v>
      </c>
      <c r="AS214" s="2480">
        <f t="shared" si="345"/>
        <v>10795.072446527696</v>
      </c>
      <c r="AT214" s="2480">
        <f t="shared" si="345"/>
        <v>11760.170503402018</v>
      </c>
      <c r="AU214" s="2480">
        <f t="shared" si="345"/>
        <v>12608.864459211643</v>
      </c>
      <c r="AV214" s="2480">
        <f t="shared" si="345"/>
        <v>13548.199591568324</v>
      </c>
      <c r="AW214" s="2480">
        <f t="shared" si="345"/>
        <v>14284.35781623456</v>
      </c>
      <c r="AX214" s="2480">
        <f t="shared" si="345"/>
        <v>196568.89598319033</v>
      </c>
      <c r="AY214" s="2480">
        <f t="shared" si="345"/>
        <v>198066.68693049726</v>
      </c>
      <c r="AZ214" s="2480">
        <f t="shared" si="345"/>
        <v>199684.48045404229</v>
      </c>
      <c r="BA214" s="2480">
        <f t="shared" si="345"/>
        <v>199321.88325769018</v>
      </c>
      <c r="BB214" s="2480">
        <f t="shared" si="345"/>
        <v>201485.64769588099</v>
      </c>
      <c r="BC214" s="2480">
        <f t="shared" si="345"/>
        <v>201759.3558287854</v>
      </c>
      <c r="BD214" s="2480">
        <f t="shared" si="345"/>
        <v>200827.85906618257</v>
      </c>
      <c r="BE214" s="2480">
        <f t="shared" si="345"/>
        <v>198270.24601427984</v>
      </c>
      <c r="BF214" s="2480">
        <f t="shared" si="345"/>
        <v>198195.86295000606</v>
      </c>
      <c r="BG214" s="2480">
        <f t="shared" si="345"/>
        <v>197346.5605479631</v>
      </c>
      <c r="BH214" s="2480">
        <f t="shared" si="345"/>
        <v>195226.88594059992</v>
      </c>
      <c r="BI214" s="2480">
        <f t="shared" si="345"/>
        <v>193067.32354143047</v>
      </c>
      <c r="BJ214" s="2480">
        <f t="shared" si="345"/>
        <v>191605.99387813796</v>
      </c>
      <c r="BK214" s="2480">
        <f t="shared" si="345"/>
        <v>189742.37957871039</v>
      </c>
      <c r="BL214" s="2480">
        <f t="shared" si="345"/>
        <v>189189.55723334933</v>
      </c>
      <c r="BM214" s="2480">
        <f t="shared" si="345"/>
        <v>187443.35289065895</v>
      </c>
      <c r="BN214" s="2480">
        <f t="shared" si="345"/>
        <v>188120.69366825349</v>
      </c>
      <c r="BO214" s="2480">
        <f t="shared" ref="BO214:DZ214" si="346">SUM(BO208,BO213)</f>
        <v>185797.54132145995</v>
      </c>
      <c r="BP214" s="2480">
        <f t="shared" si="346"/>
        <v>185881.05739303105</v>
      </c>
      <c r="BQ214" s="2480">
        <f t="shared" si="346"/>
        <v>183415.29485924621</v>
      </c>
      <c r="BR214" s="2480">
        <f t="shared" si="346"/>
        <v>183999.24186228079</v>
      </c>
      <c r="BS214" s="2480">
        <f t="shared" si="346"/>
        <v>182517.48023313395</v>
      </c>
      <c r="BT214" s="2480">
        <f t="shared" si="346"/>
        <v>184156.74596397905</v>
      </c>
      <c r="BU214" s="2480">
        <f t="shared" si="346"/>
        <v>180825.68673323115</v>
      </c>
      <c r="BV214" s="2480">
        <f t="shared" si="346"/>
        <v>180161.77652898908</v>
      </c>
      <c r="BW214" s="2480">
        <f t="shared" si="346"/>
        <v>179801.45817887541</v>
      </c>
      <c r="BX214" s="2480">
        <f t="shared" si="346"/>
        <v>179029.52461495358</v>
      </c>
      <c r="BY214" s="2480">
        <f t="shared" si="346"/>
        <v>177524.30064427509</v>
      </c>
      <c r="BZ214" s="2480">
        <f t="shared" si="346"/>
        <v>187733.78561840515</v>
      </c>
      <c r="CA214" s="2480">
        <f t="shared" si="346"/>
        <v>185863.436827467</v>
      </c>
      <c r="CB214" s="2480">
        <f t="shared" si="346"/>
        <v>186384.42060926673</v>
      </c>
      <c r="CC214" s="2480">
        <f t="shared" si="346"/>
        <v>184167.96431133099</v>
      </c>
      <c r="CD214" s="2480">
        <f t="shared" si="346"/>
        <v>182596.51425347541</v>
      </c>
      <c r="CE214" s="2480">
        <f t="shared" si="346"/>
        <v>181577.8650915756</v>
      </c>
      <c r="CF214" s="2480">
        <f t="shared" si="346"/>
        <v>182093.13569715011</v>
      </c>
      <c r="CG214" s="2480">
        <f t="shared" si="346"/>
        <v>182074.91980789092</v>
      </c>
      <c r="CH214" s="2480">
        <f t="shared" ca="1" si="346"/>
        <v>170923.48028574942</v>
      </c>
      <c r="CI214" s="2480">
        <f t="shared" ca="1" si="346"/>
        <v>170163.70878400217</v>
      </c>
      <c r="CJ214" s="2480">
        <f t="shared" ca="1" si="346"/>
        <v>169350.52612813466</v>
      </c>
      <c r="CK214" s="2480">
        <f t="shared" ca="1" si="346"/>
        <v>168470.39231476965</v>
      </c>
      <c r="CL214" s="2480">
        <f t="shared" ca="1" si="346"/>
        <v>166269.73246038239</v>
      </c>
      <c r="CM214" s="2480">
        <f t="shared" ca="1" si="346"/>
        <v>165438.89148421941</v>
      </c>
      <c r="CN214" s="2480">
        <f t="shared" ca="1" si="346"/>
        <v>164602.30480377554</v>
      </c>
      <c r="CO214" s="2480">
        <f t="shared" ca="1" si="346"/>
        <v>163702.09110231407</v>
      </c>
      <c r="CP214" s="2480">
        <f t="shared" ca="1" si="346"/>
        <v>164774.68561851833</v>
      </c>
      <c r="CQ214" s="2480">
        <f t="shared" ca="1" si="346"/>
        <v>163899.50316149343</v>
      </c>
      <c r="CR214" s="2480">
        <f t="shared" ca="1" si="346"/>
        <v>163129.18512925948</v>
      </c>
      <c r="CS214" s="2480">
        <f t="shared" ca="1" si="346"/>
        <v>162301.11774177398</v>
      </c>
      <c r="CT214" s="2480">
        <f t="shared" ca="1" si="346"/>
        <v>164690.9157135904</v>
      </c>
      <c r="CU214" s="2480">
        <f t="shared" ca="1" si="346"/>
        <v>163880.16588498501</v>
      </c>
      <c r="CV214" s="2480">
        <f t="shared" ca="1" si="346"/>
        <v>162795.91918208986</v>
      </c>
      <c r="CW214" s="2480">
        <f t="shared" ca="1" si="346"/>
        <v>161645.679419486</v>
      </c>
      <c r="CX214" s="2480">
        <f t="shared" ca="1" si="346"/>
        <v>149813.84418693164</v>
      </c>
      <c r="CY214" s="2480">
        <f t="shared" ca="1" si="346"/>
        <v>148802.87113724358</v>
      </c>
      <c r="CZ214" s="2480">
        <f t="shared" ca="1" si="346"/>
        <v>147788.78361196289</v>
      </c>
      <c r="DA214" s="2480">
        <f t="shared" ca="1" si="346"/>
        <v>146716.09090588946</v>
      </c>
      <c r="DB214" s="2480">
        <f t="shared" ca="1" si="346"/>
        <v>129862.00199100743</v>
      </c>
      <c r="DC214" s="2480">
        <f t="shared" ca="1" si="346"/>
        <v>128973.5038532826</v>
      </c>
      <c r="DD214" s="2480">
        <f t="shared" ca="1" si="346"/>
        <v>128210.20219565893</v>
      </c>
      <c r="DE214" s="2480">
        <f t="shared" ca="1" si="346"/>
        <v>127402.1988471408</v>
      </c>
      <c r="DF214" s="2480">
        <f t="shared" ca="1" si="346"/>
        <v>119288.09713280106</v>
      </c>
      <c r="DG214" s="2480">
        <f t="shared" ca="1" si="346"/>
        <v>118568.57002624843</v>
      </c>
      <c r="DH214" s="2480">
        <f t="shared" ca="1" si="346"/>
        <v>119704.41380705913</v>
      </c>
      <c r="DI214" s="2480">
        <f t="shared" ca="1" si="346"/>
        <v>120864.38595962292</v>
      </c>
      <c r="DJ214" s="2480">
        <f t="shared" ca="1" si="346"/>
        <v>120841.33360040616</v>
      </c>
      <c r="DK214" s="2480">
        <f t="shared" ca="1" si="346"/>
        <v>121976.41645468488</v>
      </c>
      <c r="DL214" s="2480">
        <f t="shared" ca="1" si="346"/>
        <v>121667.53675303969</v>
      </c>
      <c r="DM214" s="2480">
        <f t="shared" ca="1" si="346"/>
        <v>121334.59706371493</v>
      </c>
      <c r="DN214" s="2480">
        <f t="shared" ca="1" si="346"/>
        <v>122416.01108453299</v>
      </c>
      <c r="DO214" s="2480">
        <f t="shared" ca="1" si="346"/>
        <v>122097.62881534013</v>
      </c>
      <c r="DP214" s="2480">
        <f t="shared" ca="1" si="346"/>
        <v>121472.13272476819</v>
      </c>
      <c r="DQ214" s="2480">
        <f t="shared" ca="1" si="346"/>
        <v>120813.7773589874</v>
      </c>
      <c r="DR214" s="2480">
        <f t="shared" ca="1" si="346"/>
        <v>122442.82610862542</v>
      </c>
      <c r="DS214" s="2480">
        <f t="shared" ca="1" si="346"/>
        <v>121795.22447600379</v>
      </c>
      <c r="DT214" s="2480">
        <f t="shared" ca="1" si="346"/>
        <v>121002.87002938084</v>
      </c>
      <c r="DU214" s="2480">
        <f t="shared" ca="1" si="346"/>
        <v>120174.05107098285</v>
      </c>
      <c r="DV214" s="2480">
        <f t="shared" ca="1" si="346"/>
        <v>120478.85218090437</v>
      </c>
      <c r="DW214" s="2480">
        <f t="shared" ca="1" si="346"/>
        <v>119669.67399547904</v>
      </c>
      <c r="DX214" s="2480">
        <f t="shared" ca="1" si="346"/>
        <v>119409.20328507164</v>
      </c>
      <c r="DY214" s="2480">
        <f t="shared" ca="1" si="346"/>
        <v>119131.23636428575</v>
      </c>
      <c r="DZ214" s="2480">
        <f t="shared" ca="1" si="346"/>
        <v>119081.25461394209</v>
      </c>
      <c r="EA214" s="2480">
        <f t="shared" ref="EA214:GL214" ca="1" si="347">SUM(EA208,EA213)</f>
        <v>118817.72293231446</v>
      </c>
      <c r="EB214" s="2480">
        <f t="shared" ca="1" si="347"/>
        <v>117943.86943694588</v>
      </c>
      <c r="EC214" s="2480">
        <f t="shared" ca="1" si="347"/>
        <v>117034.80462645857</v>
      </c>
      <c r="ED214" s="2480">
        <f t="shared" ca="1" si="347"/>
        <v>117028.97010216786</v>
      </c>
      <c r="EE214" s="2480">
        <f t="shared" ca="1" si="347"/>
        <v>116141.49028084311</v>
      </c>
      <c r="EF214" s="2480">
        <f t="shared" ca="1" si="347"/>
        <v>115064.10114613702</v>
      </c>
      <c r="EG214" s="2480">
        <f t="shared" ca="1" si="347"/>
        <v>113947.24464788483</v>
      </c>
      <c r="EH214" s="2480">
        <f t="shared" ca="1" si="347"/>
        <v>113288.27026098067</v>
      </c>
      <c r="EI214" s="2480">
        <f t="shared" ca="1" si="347"/>
        <v>112200.64262336364</v>
      </c>
      <c r="EJ214" s="2480">
        <f t="shared" ca="1" si="347"/>
        <v>111024.28457043692</v>
      </c>
      <c r="EK214" s="2480">
        <f t="shared" ca="1" si="347"/>
        <v>109807.6529311982</v>
      </c>
      <c r="EL214" s="2480">
        <f t="shared" ca="1" si="347"/>
        <v>108635.95004123882</v>
      </c>
      <c r="EM214" s="2480">
        <f t="shared" ca="1" si="347"/>
        <v>107455.42746534428</v>
      </c>
      <c r="EN214" s="2480">
        <f t="shared" ca="1" si="347"/>
        <v>106258.37834960058</v>
      </c>
      <c r="EO214" s="2480">
        <f t="shared" ca="1" si="347"/>
        <v>105022.65349288218</v>
      </c>
      <c r="EP214" s="2480">
        <f t="shared" ca="1" si="347"/>
        <v>104575.38520278104</v>
      </c>
      <c r="EQ214" s="2480">
        <f t="shared" ca="1" si="347"/>
        <v>103365.09194947574</v>
      </c>
      <c r="ER214" s="2480">
        <f t="shared" ca="1" si="347"/>
        <v>102142.27391615794</v>
      </c>
      <c r="ES214" s="2480">
        <f t="shared" ca="1" si="347"/>
        <v>100882.15800711303</v>
      </c>
      <c r="ET214" s="2480">
        <f t="shared" ca="1" si="347"/>
        <v>100008.59445276923</v>
      </c>
      <c r="EU214" s="2480">
        <f t="shared" ca="1" si="347"/>
        <v>98779.49622134534</v>
      </c>
      <c r="EV214" s="2480">
        <f t="shared" ca="1" si="347"/>
        <v>97694.475691766915</v>
      </c>
      <c r="EW214" s="2480">
        <f t="shared" ca="1" si="347"/>
        <v>96577.887305020209</v>
      </c>
      <c r="EX214" s="2480">
        <f t="shared" ca="1" si="347"/>
        <v>95480.720896451821</v>
      </c>
      <c r="EY214" s="2480">
        <f t="shared" ca="1" si="347"/>
        <v>94395.036672349583</v>
      </c>
      <c r="EZ214" s="2480">
        <f t="shared" ca="1" si="347"/>
        <v>93121.614327806004</v>
      </c>
      <c r="FA214" s="2480">
        <f t="shared" ca="1" si="347"/>
        <v>91813.771554673251</v>
      </c>
      <c r="FB214" s="2480">
        <f t="shared" ca="1" si="347"/>
        <v>91166.333563777618</v>
      </c>
      <c r="FC214" s="2480">
        <f t="shared" ca="1" si="347"/>
        <v>89884.70604904939</v>
      </c>
      <c r="FD214" s="2480">
        <f t="shared" ca="1" si="347"/>
        <v>88742.153623063627</v>
      </c>
      <c r="FE214" s="2480">
        <f t="shared" ca="1" si="347"/>
        <v>87570.380625154532</v>
      </c>
      <c r="FF214" s="2480">
        <f t="shared" ca="1" si="347"/>
        <v>86708.594456294159</v>
      </c>
      <c r="FG214" s="2480">
        <f t="shared" ca="1" si="347"/>
        <v>85563.736797360267</v>
      </c>
      <c r="FH214" s="2480">
        <f t="shared" ca="1" si="347"/>
        <v>84253.872047887169</v>
      </c>
      <c r="FI214" s="2480">
        <f t="shared" ca="1" si="347"/>
        <v>82912.9574034861</v>
      </c>
      <c r="FJ214" s="2480">
        <f t="shared" ca="1" si="347"/>
        <v>81592.762468172892</v>
      </c>
      <c r="FK214" s="2480">
        <f t="shared" ca="1" si="347"/>
        <v>80290.668830691837</v>
      </c>
      <c r="FL214" s="2480">
        <f t="shared" ca="1" si="347"/>
        <v>78997.982562834979</v>
      </c>
      <c r="FM214" s="2480">
        <f t="shared" ca="1" si="347"/>
        <v>77676.838654096588</v>
      </c>
      <c r="FN214" s="2480">
        <f t="shared" ca="1" si="347"/>
        <v>76885.271713335445</v>
      </c>
      <c r="FO214" s="2480">
        <f t="shared" ca="1" si="347"/>
        <v>75591.347165880143</v>
      </c>
      <c r="FP214" s="2480">
        <f t="shared" ca="1" si="347"/>
        <v>74266.956137768415</v>
      </c>
      <c r="FQ214" s="2480">
        <f t="shared" ca="1" si="347"/>
        <v>72915.733036083344</v>
      </c>
      <c r="FR214" s="2480">
        <f t="shared" ca="1" si="347"/>
        <v>71815.880985704047</v>
      </c>
      <c r="FS214" s="2480">
        <f t="shared" ca="1" si="347"/>
        <v>70499.718596656661</v>
      </c>
      <c r="FT214" s="2480">
        <f t="shared" ca="1" si="347"/>
        <v>69139.901896380587</v>
      </c>
      <c r="FU214" s="2480">
        <f t="shared" ca="1" si="347"/>
        <v>67755.086908341138</v>
      </c>
      <c r="FV214" s="2480">
        <f t="shared" ca="1" si="347"/>
        <v>66391.746875968005</v>
      </c>
      <c r="FW214" s="2480">
        <f t="shared" ca="1" si="347"/>
        <v>65051.084340143658</v>
      </c>
      <c r="FX214" s="2480">
        <f t="shared" ca="1" si="347"/>
        <v>63667.943463021424</v>
      </c>
      <c r="FY214" s="2480">
        <f t="shared" ca="1" si="347"/>
        <v>62262.192182018829</v>
      </c>
      <c r="FZ214" s="2480">
        <f t="shared" ca="1" si="347"/>
        <v>61257.542387060341</v>
      </c>
      <c r="GA214" s="2480">
        <f t="shared" ca="1" si="347"/>
        <v>59887.834259434545</v>
      </c>
      <c r="GB214" s="2480">
        <f t="shared" ca="1" si="347"/>
        <v>58491.198619196381</v>
      </c>
      <c r="GC214" s="2480">
        <f t="shared" ca="1" si="347"/>
        <v>57074.808192206197</v>
      </c>
      <c r="GD214" s="2480">
        <f t="shared" ca="1" si="347"/>
        <v>55851.12165629529</v>
      </c>
      <c r="GE214" s="2480">
        <f t="shared" ca="1" si="347"/>
        <v>54481.11710529057</v>
      </c>
      <c r="GF214" s="2480">
        <f t="shared" ca="1" si="347"/>
        <v>53206.201786023448</v>
      </c>
      <c r="GG214" s="2480">
        <f t="shared" ca="1" si="347"/>
        <v>51915.929824247287</v>
      </c>
      <c r="GH214" s="2480">
        <f t="shared" ca="1" si="347"/>
        <v>50650.023663009226</v>
      </c>
      <c r="GI214" s="2480">
        <f t="shared" ca="1" si="347"/>
        <v>49407.989600875444</v>
      </c>
      <c r="GJ214" s="2480">
        <f t="shared" ca="1" si="347"/>
        <v>49210.879989872279</v>
      </c>
      <c r="GK214" s="2480">
        <f t="shared" ca="1" si="347"/>
        <v>49005.534586715657</v>
      </c>
      <c r="GL214" s="2480">
        <f t="shared" ca="1" si="347"/>
        <v>49011.209899299356</v>
      </c>
      <c r="GM214" s="2480">
        <f t="shared" ref="GM214:IA214" ca="1" si="348">SUM(GM208,GM213)</f>
        <v>48768.335289577706</v>
      </c>
      <c r="GN214" s="2480">
        <f t="shared" ca="1" si="348"/>
        <v>47729.040204817175</v>
      </c>
      <c r="GO214" s="2480">
        <f t="shared" ca="1" si="348"/>
        <v>46679.984021823562</v>
      </c>
      <c r="GP214" s="2480">
        <f t="shared" ca="1" si="348"/>
        <v>45758.244303995278</v>
      </c>
      <c r="GQ214" s="2480">
        <f t="shared" ca="1" si="348"/>
        <v>44735.990673499342</v>
      </c>
      <c r="GR214" s="2480">
        <f t="shared" ca="1" si="348"/>
        <v>43599.147746001756</v>
      </c>
      <c r="GS214" s="2480">
        <f t="shared" ca="1" si="348"/>
        <v>42456.024227331007</v>
      </c>
      <c r="GT214" s="2480">
        <f t="shared" ca="1" si="348"/>
        <v>41330.187991861749</v>
      </c>
      <c r="GU214" s="2480">
        <f t="shared" ca="1" si="348"/>
        <v>40231.782084513332</v>
      </c>
      <c r="GV214" s="2480">
        <f t="shared" ca="1" si="348"/>
        <v>39067.603634307234</v>
      </c>
      <c r="GW214" s="2480">
        <f t="shared" ca="1" si="348"/>
        <v>37902.108556847168</v>
      </c>
      <c r="GX214" s="2480">
        <f t="shared" ca="1" si="348"/>
        <v>36936.865441812159</v>
      </c>
      <c r="GY214" s="2480">
        <f t="shared" ca="1" si="348"/>
        <v>35818.002439241071</v>
      </c>
      <c r="GZ214" s="2480">
        <f t="shared" ca="1" si="348"/>
        <v>34864.586926933887</v>
      </c>
      <c r="HA214" s="2480">
        <f t="shared" ca="1" si="348"/>
        <v>33911.04316273264</v>
      </c>
      <c r="HB214" s="2480">
        <f t="shared" ca="1" si="348"/>
        <v>33041.661820245426</v>
      </c>
      <c r="HC214" s="2480">
        <f t="shared" ca="1" si="348"/>
        <v>32123.509111928171</v>
      </c>
      <c r="HD214" s="2480">
        <f t="shared" ca="1" si="348"/>
        <v>31050.368690289342</v>
      </c>
      <c r="HE214" s="2480">
        <f t="shared" ca="1" si="348"/>
        <v>29987.064461812774</v>
      </c>
      <c r="HF214" s="2480">
        <f t="shared" ca="1" si="348"/>
        <v>28962.453172056179</v>
      </c>
      <c r="HG214" s="2480">
        <f t="shared" ca="1" si="348"/>
        <v>27968.947029264014</v>
      </c>
      <c r="HH214" s="2480">
        <f t="shared" ca="1" si="348"/>
        <v>26941.522026230632</v>
      </c>
      <c r="HI214" s="2480">
        <f t="shared" ca="1" si="348"/>
        <v>25933.647411212631</v>
      </c>
      <c r="HJ214" s="2480">
        <f t="shared" ca="1" si="348"/>
        <v>25049.094437157743</v>
      </c>
      <c r="HK214" s="2480">
        <f t="shared" ca="1" si="348"/>
        <v>24120.995304968597</v>
      </c>
      <c r="HL214" s="2480">
        <f t="shared" ca="1" si="348"/>
        <v>23216.327552035946</v>
      </c>
      <c r="HM214" s="2480">
        <f t="shared" ca="1" si="348"/>
        <v>22340.563935404556</v>
      </c>
      <c r="HN214" s="2480">
        <f t="shared" ca="1" si="348"/>
        <v>21544.387008774196</v>
      </c>
      <c r="HO214" s="2480">
        <f t="shared" ca="1" si="348"/>
        <v>20764.790966802513</v>
      </c>
      <c r="HP214" s="2480">
        <f t="shared" ca="1" si="348"/>
        <v>20046.666518957089</v>
      </c>
      <c r="HQ214" s="2480">
        <f t="shared" ca="1" si="348"/>
        <v>19364.426362111815</v>
      </c>
      <c r="HR214" s="2480">
        <f t="shared" ca="1" si="348"/>
        <v>18740.575217092548</v>
      </c>
      <c r="HS214" s="2480">
        <f t="shared" ca="1" si="348"/>
        <v>18160.678880034324</v>
      </c>
      <c r="HT214" s="2480">
        <f t="shared" ca="1" si="348"/>
        <v>17607.738257460085</v>
      </c>
      <c r="HU214" s="2480">
        <f t="shared" ca="1" si="348"/>
        <v>17105.319892541294</v>
      </c>
      <c r="HV214" s="2480">
        <f t="shared" ca="1" si="348"/>
        <v>16676.75886941822</v>
      </c>
      <c r="HW214" s="2480">
        <f t="shared" ca="1" si="348"/>
        <v>16296.260975533254</v>
      </c>
      <c r="HX214" s="2480">
        <f t="shared" ca="1" si="348"/>
        <v>16016.015728784176</v>
      </c>
      <c r="HY214" s="2480">
        <f t="shared" ca="1" si="348"/>
        <v>15774.273989612479</v>
      </c>
      <c r="HZ214" s="2480">
        <f t="shared" ca="1" si="348"/>
        <v>15576.027098432594</v>
      </c>
      <c r="IA214" s="2480">
        <f t="shared" ca="1" si="348"/>
        <v>15422.056479349385</v>
      </c>
    </row>
    <row r="215" spans="3:235">
      <c r="C215" s="2466"/>
      <c r="D215" s="2476" t="s">
        <v>3941</v>
      </c>
      <c r="E215" s="2356"/>
      <c r="F215" s="2356"/>
      <c r="G215" s="2446"/>
      <c r="H215" s="2477"/>
      <c r="I215" s="2358"/>
      <c r="J215" s="2478">
        <f t="shared" ref="J215:BN215" si="349">J206</f>
        <v>0</v>
      </c>
      <c r="K215" s="2357">
        <f t="shared" si="349"/>
        <v>0</v>
      </c>
      <c r="L215" s="2479">
        <f t="shared" si="349"/>
        <v>0</v>
      </c>
      <c r="M215" s="2478">
        <f t="shared" si="349"/>
        <v>0</v>
      </c>
      <c r="N215" s="2478">
        <f t="shared" si="349"/>
        <v>0</v>
      </c>
      <c r="O215" s="2357">
        <f t="shared" si="349"/>
        <v>0</v>
      </c>
      <c r="P215" s="2477">
        <f t="shared" si="349"/>
        <v>0</v>
      </c>
      <c r="Q215" s="2477">
        <f t="shared" si="349"/>
        <v>0</v>
      </c>
      <c r="R215" s="2478">
        <f t="shared" si="349"/>
        <v>0</v>
      </c>
      <c r="S215" s="2357">
        <f t="shared" si="349"/>
        <v>0</v>
      </c>
      <c r="T215" s="2477">
        <f t="shared" si="349"/>
        <v>0</v>
      </c>
      <c r="U215" s="2480">
        <f t="shared" si="349"/>
        <v>0</v>
      </c>
      <c r="V215" s="2480">
        <f t="shared" si="349"/>
        <v>0</v>
      </c>
      <c r="W215" s="2480">
        <f t="shared" si="349"/>
        <v>0</v>
      </c>
      <c r="X215" s="2480">
        <f t="shared" si="349"/>
        <v>0</v>
      </c>
      <c r="Y215" s="2480">
        <f t="shared" si="349"/>
        <v>0</v>
      </c>
      <c r="Z215" s="2480">
        <f t="shared" si="349"/>
        <v>0</v>
      </c>
      <c r="AA215" s="2480">
        <f t="shared" si="349"/>
        <v>0</v>
      </c>
      <c r="AB215" s="2480">
        <f t="shared" si="349"/>
        <v>0</v>
      </c>
      <c r="AC215" s="2480">
        <f t="shared" si="349"/>
        <v>0</v>
      </c>
      <c r="AD215" s="2480">
        <f t="shared" si="349"/>
        <v>0</v>
      </c>
      <c r="AE215" s="2480">
        <f t="shared" si="349"/>
        <v>0</v>
      </c>
      <c r="AF215" s="2480">
        <f t="shared" si="349"/>
        <v>0</v>
      </c>
      <c r="AG215" s="2480">
        <f t="shared" si="349"/>
        <v>0</v>
      </c>
      <c r="AH215" s="2480">
        <f t="shared" si="349"/>
        <v>0</v>
      </c>
      <c r="AI215" s="2480">
        <f t="shared" si="349"/>
        <v>0</v>
      </c>
      <c r="AJ215" s="2480">
        <f t="shared" si="349"/>
        <v>234560.31520982814</v>
      </c>
      <c r="AK215" s="2480">
        <f t="shared" si="349"/>
        <v>231084.02057119869</v>
      </c>
      <c r="AL215" s="2480">
        <f t="shared" si="349"/>
        <v>229802.89417503623</v>
      </c>
      <c r="AM215" s="2480">
        <f t="shared" si="349"/>
        <v>226704.7814826754</v>
      </c>
      <c r="AN215" s="2480">
        <f t="shared" si="349"/>
        <v>226130.46311521906</v>
      </c>
      <c r="AO215" s="2480">
        <f t="shared" si="349"/>
        <v>221971.35159500231</v>
      </c>
      <c r="AP215" s="2480">
        <f t="shared" si="349"/>
        <v>223088.23049869796</v>
      </c>
      <c r="AQ215" s="2480">
        <f t="shared" si="349"/>
        <v>220267.22130879169</v>
      </c>
      <c r="AR215" s="2480">
        <f t="shared" si="349"/>
        <v>218732.0219245003</v>
      </c>
      <c r="AS215" s="2480">
        <f t="shared" si="349"/>
        <v>215547.12488963944</v>
      </c>
      <c r="AT215" s="2480">
        <f t="shared" si="349"/>
        <v>213502.22500580631</v>
      </c>
      <c r="AU215" s="2480">
        <f t="shared" si="349"/>
        <v>209860.26117702917</v>
      </c>
      <c r="AV215" s="2480">
        <f t="shared" si="349"/>
        <v>208170.61043664231</v>
      </c>
      <c r="AW215" s="2480">
        <f t="shared" si="349"/>
        <v>203822.93209247905</v>
      </c>
      <c r="AX215" s="2480">
        <f t="shared" si="349"/>
        <v>201953.48010746058</v>
      </c>
      <c r="AY215" s="2480">
        <f t="shared" si="349"/>
        <v>197931.14394238676</v>
      </c>
      <c r="AZ215" s="2480">
        <f t="shared" si="349"/>
        <v>195980.57287131011</v>
      </c>
      <c r="BA215" s="2480">
        <f t="shared" si="349"/>
        <v>192182.77072004462</v>
      </c>
      <c r="BB215" s="2480">
        <f t="shared" si="349"/>
        <v>190706.14917565463</v>
      </c>
      <c r="BC215" s="2480">
        <f t="shared" si="349"/>
        <v>187590.71450569434</v>
      </c>
      <c r="BD215" s="2480">
        <f t="shared" si="349"/>
        <v>184799.77322856142</v>
      </c>
      <c r="BE215" s="2480">
        <f t="shared" si="349"/>
        <v>180665.50690356691</v>
      </c>
      <c r="BF215" s="2480">
        <f t="shared" si="349"/>
        <v>178639.68074324701</v>
      </c>
      <c r="BG215" s="2480">
        <f t="shared" si="349"/>
        <v>176110.14602514161</v>
      </c>
      <c r="BH215" s="2480">
        <f t="shared" si="349"/>
        <v>173158.75239168221</v>
      </c>
      <c r="BI215" s="2480">
        <f t="shared" si="349"/>
        <v>170328.4170215824</v>
      </c>
      <c r="BJ215" s="2480">
        <f t="shared" si="349"/>
        <v>167931.46294951206</v>
      </c>
      <c r="BK215" s="2480">
        <f t="shared" si="349"/>
        <v>165393.38932495721</v>
      </c>
      <c r="BL215" s="2480">
        <f t="shared" si="349"/>
        <v>163606.73332569207</v>
      </c>
      <c r="BM215" s="2480">
        <f t="shared" si="349"/>
        <v>160913.57492017714</v>
      </c>
      <c r="BN215" s="2480">
        <f t="shared" si="349"/>
        <v>160135.62261747397</v>
      </c>
      <c r="BO215" s="2480">
        <f t="shared" ref="BO215:DZ215" si="350">BO206</f>
        <v>156981.54385066041</v>
      </c>
      <c r="BP215" s="2480">
        <f t="shared" si="350"/>
        <v>155568.49534362103</v>
      </c>
      <c r="BQ215" s="2480">
        <f t="shared" si="350"/>
        <v>152132.86015334417</v>
      </c>
      <c r="BR215" s="2480">
        <f t="shared" si="350"/>
        <v>151095.37716384014</v>
      </c>
      <c r="BS215" s="2480">
        <f t="shared" si="350"/>
        <v>148514.4464655793</v>
      </c>
      <c r="BT215" s="2480">
        <f t="shared" si="350"/>
        <v>148060.66094503904</v>
      </c>
      <c r="BU215" s="2480">
        <f t="shared" si="350"/>
        <v>143701.80256523215</v>
      </c>
      <c r="BV215" s="2480">
        <f t="shared" si="350"/>
        <v>141389.70594480145</v>
      </c>
      <c r="BW215" s="2480">
        <f t="shared" si="350"/>
        <v>139450.96856400586</v>
      </c>
      <c r="BX215" s="2480">
        <f t="shared" si="350"/>
        <v>137440.50209980391</v>
      </c>
      <c r="BY215" s="2480">
        <f t="shared" si="350"/>
        <v>134957.05311217165</v>
      </c>
      <c r="BZ215" s="2480">
        <f t="shared" si="350"/>
        <v>132904.06610923132</v>
      </c>
      <c r="CA215" s="2480">
        <f t="shared" si="350"/>
        <v>130293.64852653953</v>
      </c>
      <c r="CB215" s="2480">
        <f t="shared" si="350"/>
        <v>129351.68250535156</v>
      </c>
      <c r="CC215" s="2480">
        <f t="shared" si="350"/>
        <v>126586.255702669</v>
      </c>
      <c r="CD215" s="2480">
        <f t="shared" si="350"/>
        <v>126258.24221448043</v>
      </c>
      <c r="CE215" s="2480">
        <f t="shared" si="350"/>
        <v>124319.70284975156</v>
      </c>
      <c r="CF215" s="2480">
        <f t="shared" si="350"/>
        <v>123499.72517743275</v>
      </c>
      <c r="CG215" s="2480">
        <f t="shared" si="350"/>
        <v>122376.6359092268</v>
      </c>
      <c r="CH215" s="2480">
        <f t="shared" ca="1" si="350"/>
        <v>120698.15382271036</v>
      </c>
      <c r="CI215" s="2480">
        <f t="shared" ca="1" si="350"/>
        <v>119042.6933047623</v>
      </c>
      <c r="CJ215" s="2480">
        <f t="shared" ca="1" si="350"/>
        <v>117409.93859829265</v>
      </c>
      <c r="CK215" s="2480">
        <f t="shared" ca="1" si="350"/>
        <v>115799.57827704301</v>
      </c>
      <c r="CL215" s="2480">
        <f t="shared" ca="1" si="350"/>
        <v>114211.30518618645</v>
      </c>
      <c r="CM215" s="2480">
        <f t="shared" ca="1" si="350"/>
        <v>112644.81638374156</v>
      </c>
      <c r="CN215" s="2480">
        <f t="shared" ca="1" si="350"/>
        <v>111099.8130827905</v>
      </c>
      <c r="CO215" s="2480">
        <f t="shared" ca="1" si="350"/>
        <v>109576.0005944891</v>
      </c>
      <c r="CP215" s="2480">
        <f t="shared" ca="1" si="350"/>
        <v>108073.08827185926</v>
      </c>
      <c r="CQ215" s="2480">
        <f t="shared" ca="1" si="350"/>
        <v>106590.7894543515</v>
      </c>
      <c r="CR215" s="2480">
        <f t="shared" ca="1" si="350"/>
        <v>105128.82141316849</v>
      </c>
      <c r="CS215" s="2480">
        <f t="shared" ca="1" si="350"/>
        <v>103686.90529733837</v>
      </c>
      <c r="CT215" s="2480">
        <f t="shared" ca="1" si="350"/>
        <v>102264.76608052738</v>
      </c>
      <c r="CU215" s="2480">
        <f t="shared" ca="1" si="350"/>
        <v>100862.13250858248</v>
      </c>
      <c r="CV215" s="2480">
        <f t="shared" ca="1" si="350"/>
        <v>99478.737047793067</v>
      </c>
      <c r="CW215" s="2480">
        <f t="shared" ca="1" si="350"/>
        <v>98114.315833862551</v>
      </c>
      <c r="CX215" s="2480">
        <f t="shared" ca="1" si="350"/>
        <v>96768.60862157974</v>
      </c>
      <c r="CY215" s="2480">
        <f t="shared" ca="1" si="350"/>
        <v>95441.358735180504</v>
      </c>
      <c r="CZ215" s="2480">
        <f t="shared" ca="1" si="350"/>
        <v>94132.313019390305</v>
      </c>
      <c r="DA215" s="2480">
        <f t="shared" ca="1" si="350"/>
        <v>92841.221791138189</v>
      </c>
      <c r="DB215" s="2480">
        <f t="shared" ca="1" si="350"/>
        <v>91567.838791933056</v>
      </c>
      <c r="DC215" s="2480">
        <f t="shared" ca="1" si="350"/>
        <v>90311.92114089313</v>
      </c>
      <c r="DD215" s="2480">
        <f t="shared" ca="1" si="350"/>
        <v>89073.22928841965</v>
      </c>
      <c r="DE215" s="2480">
        <f t="shared" ca="1" si="350"/>
        <v>87851.526970505918</v>
      </c>
      <c r="DF215" s="2480">
        <f t="shared" ca="1" si="350"/>
        <v>86646.58116367324</v>
      </c>
      <c r="DG215" s="2480">
        <f t="shared" ca="1" si="350"/>
        <v>85458.162040524621</v>
      </c>
      <c r="DH215" s="2480">
        <f t="shared" ca="1" si="350"/>
        <v>84286.042925908332</v>
      </c>
      <c r="DI215" s="2480">
        <f t="shared" ca="1" si="350"/>
        <v>83130.000253682636</v>
      </c>
      <c r="DJ215" s="2480">
        <f t="shared" ca="1" si="350"/>
        <v>81989.813524073455</v>
      </c>
      <c r="DK215" s="2480">
        <f t="shared" ca="1" si="350"/>
        <v>80865.265261617067</v>
      </c>
      <c r="DL215" s="2480">
        <f t="shared" ca="1" si="350"/>
        <v>79756.140973679416</v>
      </c>
      <c r="DM215" s="2480">
        <f t="shared" ca="1" si="350"/>
        <v>78662.229109544671</v>
      </c>
      <c r="DN215" s="2480">
        <f t="shared" ca="1" si="350"/>
        <v>77583.321020064584</v>
      </c>
      <c r="DO215" s="2480">
        <f t="shared" ca="1" si="350"/>
        <v>76519.210917861521</v>
      </c>
      <c r="DP215" s="2480">
        <f t="shared" ca="1" si="350"/>
        <v>75469.695838077227</v>
      </c>
      <c r="DQ215" s="2480">
        <f t="shared" ca="1" si="350"/>
        <v>74434.575599660006</v>
      </c>
      <c r="DR215" s="2480">
        <f t="shared" ca="1" si="350"/>
        <v>73413.652767182764</v>
      </c>
      <c r="DS215" s="2480">
        <f t="shared" ca="1" si="350"/>
        <v>72406.73261318494</v>
      </c>
      <c r="DT215" s="2480">
        <f t="shared" ca="1" si="350"/>
        <v>71413.623081030732</v>
      </c>
      <c r="DU215" s="2480">
        <f t="shared" ca="1" si="350"/>
        <v>70434.13474827692</v>
      </c>
      <c r="DV215" s="2480">
        <f t="shared" ca="1" si="350"/>
        <v>69468.080790543012</v>
      </c>
      <c r="DW215" s="2480">
        <f t="shared" ca="1" si="350"/>
        <v>68515.276945876991</v>
      </c>
      <c r="DX215" s="2480">
        <f t="shared" ca="1" si="350"/>
        <v>67575.541479609819</v>
      </c>
      <c r="DY215" s="2480">
        <f t="shared" ca="1" si="350"/>
        <v>66648.695149691863</v>
      </c>
      <c r="DZ215" s="2480">
        <f t="shared" ca="1" si="350"/>
        <v>65734.561172504968</v>
      </c>
      <c r="EA215" s="2480">
        <f t="shared" ref="EA215:GL215" ca="1" si="351">EA206</f>
        <v>64832.96518914331</v>
      </c>
      <c r="EB215" s="2480">
        <f t="shared" ca="1" si="351"/>
        <v>63943.735232156738</v>
      </c>
      <c r="EC215" s="2480">
        <f t="shared" ca="1" si="351"/>
        <v>63066.701692750292</v>
      </c>
      <c r="ED215" s="2480">
        <f t="shared" ca="1" si="351"/>
        <v>62201.697288433439</v>
      </c>
      <c r="EE215" s="2480">
        <f t="shared" ca="1" si="351"/>
        <v>61348.557031113429</v>
      </c>
      <c r="EF215" s="2480">
        <f t="shared" ca="1" si="351"/>
        <v>60507.118195625757</v>
      </c>
      <c r="EG215" s="2480">
        <f t="shared" ca="1" si="351"/>
        <v>59677.220288696648</v>
      </c>
      <c r="EH215" s="2480">
        <f t="shared" ca="1" si="351"/>
        <v>58858.705018331057</v>
      </c>
      <c r="EI215" s="2480">
        <f t="shared" ca="1" si="351"/>
        <v>58051.416263620536</v>
      </c>
      <c r="EJ215" s="2480">
        <f t="shared" ca="1" si="351"/>
        <v>57255.200044965291</v>
      </c>
      <c r="EK215" s="2480">
        <f t="shared" ca="1" si="351"/>
        <v>56469.904494704591</v>
      </c>
      <c r="EL215" s="2480">
        <f t="shared" ca="1" si="351"/>
        <v>55695.379828150057</v>
      </c>
      <c r="EM215" s="2480">
        <f t="shared" ca="1" si="351"/>
        <v>54931.478315016284</v>
      </c>
      <c r="EN215" s="2480">
        <f t="shared" ca="1" si="351"/>
        <v>54178.054251243091</v>
      </c>
      <c r="EO215" s="2480">
        <f t="shared" ca="1" si="351"/>
        <v>53434.96393120454</v>
      </c>
      <c r="EP215" s="2480">
        <f t="shared" ca="1" si="351"/>
        <v>52702.065620298948</v>
      </c>
      <c r="EQ215" s="2480">
        <f t="shared" ca="1" si="351"/>
        <v>51979.219527914931</v>
      </c>
      <c r="ER215" s="2480">
        <f t="shared" ca="1" si="351"/>
        <v>51266.287780768158</v>
      </c>
      <c r="ES215" s="2480">
        <f t="shared" ca="1" si="351"/>
        <v>50563.134396603833</v>
      </c>
      <c r="ET215" s="2480">
        <f t="shared" ca="1" si="351"/>
        <v>49869.625258259992</v>
      </c>
      <c r="EU215" s="2480">
        <f t="shared" ca="1" si="351"/>
        <v>49185.628088086392</v>
      </c>
      <c r="EV215" s="2480">
        <f t="shared" ca="1" si="351"/>
        <v>48511.012422714186</v>
      </c>
      <c r="EW215" s="2480">
        <f t="shared" ca="1" si="351"/>
        <v>47845.64958817196</v>
      </c>
      <c r="EX215" s="2480">
        <f t="shared" ca="1" si="351"/>
        <v>47189.412675342777</v>
      </c>
      <c r="EY215" s="2480">
        <f t="shared" ca="1" si="351"/>
        <v>46542.176515757958</v>
      </c>
      <c r="EZ215" s="2480">
        <f t="shared" ca="1" si="351"/>
        <v>45903.817657722881</v>
      </c>
      <c r="FA215" s="2480">
        <f t="shared" ca="1" si="351"/>
        <v>45274.21434277021</v>
      </c>
      <c r="FB215" s="2480">
        <f t="shared" ca="1" si="351"/>
        <v>44653.246482436036</v>
      </c>
      <c r="FC215" s="2480">
        <f t="shared" ca="1" si="351"/>
        <v>44040.795635354698</v>
      </c>
      <c r="FD215" s="2480">
        <f t="shared" ca="1" si="351"/>
        <v>43436.744984667552</v>
      </c>
      <c r="FE215" s="2480">
        <f t="shared" ca="1" si="351"/>
        <v>42840.979315741752</v>
      </c>
      <c r="FF215" s="2480">
        <f t="shared" ca="1" si="351"/>
        <v>42253.384994194705</v>
      </c>
      <c r="FG215" s="2480">
        <f t="shared" ca="1" si="351"/>
        <v>41673.849944219619</v>
      </c>
      <c r="FH215" s="2480">
        <f t="shared" ca="1" si="351"/>
        <v>41102.263627208638</v>
      </c>
      <c r="FI215" s="2480">
        <f t="shared" ca="1" si="351"/>
        <v>40538.517020669118</v>
      </c>
      <c r="FJ215" s="2480">
        <f t="shared" ca="1" si="351"/>
        <v>39982.502597428997</v>
      </c>
      <c r="FK215" s="2480">
        <f t="shared" ca="1" si="351"/>
        <v>39434.114305127347</v>
      </c>
      <c r="FL215" s="2480">
        <f t="shared" ca="1" si="351"/>
        <v>38893.247545986349</v>
      </c>
      <c r="FM215" s="2480">
        <f t="shared" ca="1" si="351"/>
        <v>38359.799156860747</v>
      </c>
      <c r="FN215" s="2480">
        <f t="shared" ca="1" si="351"/>
        <v>37833.66738956068</v>
      </c>
      <c r="FO215" s="2480">
        <f t="shared" ca="1" si="351"/>
        <v>37314.751891444641</v>
      </c>
      <c r="FP215" s="2480">
        <f t="shared" ca="1" si="351"/>
        <v>36802.953686278612</v>
      </c>
      <c r="FQ215" s="2480">
        <f t="shared" ca="1" si="351"/>
        <v>36298.175155357618</v>
      </c>
      <c r="FR215" s="2480">
        <f t="shared" ca="1" si="351"/>
        <v>35800.320018886181</v>
      </c>
      <c r="FS215" s="2480">
        <f t="shared" ca="1" si="351"/>
        <v>35309.293317614312</v>
      </c>
      <c r="FT215" s="2480">
        <f t="shared" ca="1" si="351"/>
        <v>34825.001394725259</v>
      </c>
      <c r="FU215" s="2480">
        <f t="shared" ca="1" si="351"/>
        <v>34347.351877971814</v>
      </c>
      <c r="FV215" s="2480">
        <f t="shared" ca="1" si="351"/>
        <v>33876.253662057352</v>
      </c>
      <c r="FW215" s="2480">
        <f t="shared" ca="1" si="351"/>
        <v>33411.61689125884</v>
      </c>
      <c r="FX215" s="2480">
        <f t="shared" ca="1" si="351"/>
        <v>32953.352942288009</v>
      </c>
      <c r="FY215" s="2480">
        <f t="shared" ca="1" si="351"/>
        <v>32501.374407387677</v>
      </c>
      <c r="FZ215" s="2480">
        <f t="shared" ca="1" si="351"/>
        <v>32055.595077659818</v>
      </c>
      <c r="GA215" s="2480">
        <f t="shared" ca="1" si="351"/>
        <v>31615.929926622412</v>
      </c>
      <c r="GB215" s="2480">
        <f t="shared" ca="1" si="351"/>
        <v>31182.295093991819</v>
      </c>
      <c r="GC215" s="2480">
        <f t="shared" ca="1" si="351"/>
        <v>30754.607869687356</v>
      </c>
      <c r="GD215" s="2480">
        <f t="shared" ca="1" si="351"/>
        <v>30332.786678055658</v>
      </c>
      <c r="GE215" s="2480">
        <f t="shared" ca="1" si="351"/>
        <v>29916.751062311123</v>
      </c>
      <c r="GF215" s="2480">
        <f t="shared" ca="1" si="351"/>
        <v>29506.421669189804</v>
      </c>
      <c r="GG215" s="2480">
        <f t="shared" ca="1" si="351"/>
        <v>29101.720233813903</v>
      </c>
      <c r="GH215" s="2480">
        <f t="shared" ca="1" si="351"/>
        <v>28702.56956476378</v>
      </c>
      <c r="GI215" s="2480">
        <f t="shared" ca="1" si="351"/>
        <v>28308.893529354656</v>
      </c>
      <c r="GJ215" s="2480">
        <f t="shared" ca="1" si="351"/>
        <v>27920.61703911539</v>
      </c>
      <c r="GK215" s="2480">
        <f t="shared" ca="1" si="351"/>
        <v>27537.666035466249</v>
      </c>
      <c r="GL215" s="2480">
        <f t="shared" ca="1" si="351"/>
        <v>27159.967475593374</v>
      </c>
      <c r="GM215" s="2480">
        <f t="shared" ref="GM215:IA215" ca="1" si="352">GM206</f>
        <v>26787.449318516643</v>
      </c>
      <c r="GN215" s="2480">
        <f t="shared" ca="1" si="352"/>
        <v>26420.040511348991</v>
      </c>
      <c r="GO215" s="2480">
        <f t="shared" ca="1" si="352"/>
        <v>26057.67097574392</v>
      </c>
      <c r="GP215" s="2480">
        <f t="shared" ca="1" si="352"/>
        <v>25700.271594528982</v>
      </c>
      <c r="GQ215" s="2480">
        <f t="shared" ca="1" si="352"/>
        <v>25347.774198522606</v>
      </c>
      <c r="GR215" s="2480">
        <f t="shared" ca="1" si="352"/>
        <v>25000.111553531737</v>
      </c>
      <c r="GS215" s="2480">
        <f t="shared" ca="1" si="352"/>
        <v>24657.217347527912</v>
      </c>
      <c r="GT215" s="2480">
        <f t="shared" ca="1" si="352"/>
        <v>24319.026177998898</v>
      </c>
      <c r="GU215" s="2480">
        <f t="shared" ca="1" si="352"/>
        <v>23985.473539474242</v>
      </c>
      <c r="GV215" s="2480">
        <f t="shared" ca="1" si="352"/>
        <v>23656.49581122159</v>
      </c>
      <c r="GW215" s="2480">
        <f t="shared" ca="1" si="352"/>
        <v>23332.030245111884</v>
      </c>
      <c r="GX215" s="2480">
        <f t="shared" ca="1" si="352"/>
        <v>23012.014953651131</v>
      </c>
      <c r="GY215" s="2480">
        <f t="shared" ca="1" si="352"/>
        <v>22696.388898175974</v>
      </c>
      <c r="GZ215" s="2480">
        <f t="shared" ca="1" si="352"/>
        <v>22385.091877211475</v>
      </c>
      <c r="HA215" s="2480">
        <f t="shared" ca="1" si="352"/>
        <v>22078.064514988575</v>
      </c>
      <c r="HB215" s="2480">
        <f t="shared" ca="1" si="352"/>
        <v>21775.248250118788</v>
      </c>
      <c r="HC215" s="2480">
        <f t="shared" ca="1" si="352"/>
        <v>21476.585324424483</v>
      </c>
      <c r="HD215" s="2480">
        <f t="shared" ca="1" si="352"/>
        <v>21182.018771922358</v>
      </c>
      <c r="HE215" s="2480">
        <f t="shared" ca="1" si="352"/>
        <v>20891.492407957743</v>
      </c>
      <c r="HF215" s="2480">
        <f t="shared" ca="1" si="352"/>
        <v>20604.950818488323</v>
      </c>
      <c r="HG215" s="2480">
        <f t="shared" ca="1" si="352"/>
        <v>20322.339349514485</v>
      </c>
      <c r="HH215" s="2480">
        <f t="shared" ca="1" si="352"/>
        <v>20043.60409665485</v>
      </c>
      <c r="HI215" s="2480">
        <f t="shared" ca="1" si="352"/>
        <v>19768.691894864805</v>
      </c>
      <c r="HJ215" s="2480">
        <f t="shared" ca="1" si="352"/>
        <v>19497.550308295878</v>
      </c>
      <c r="HK215" s="2480">
        <f t="shared" ca="1" si="352"/>
        <v>19230.127620294385</v>
      </c>
      <c r="HL215" s="2480">
        <f t="shared" ca="1" si="352"/>
        <v>18966.372823537014</v>
      </c>
      <c r="HM215" s="2480">
        <f t="shared" ca="1" si="352"/>
        <v>18706.235610302025</v>
      </c>
      <c r="HN215" s="2480">
        <f t="shared" ca="1" si="352"/>
        <v>18449.666362873657</v>
      </c>
      <c r="HO215" s="2480">
        <f t="shared" ca="1" si="352"/>
        <v>18196.61614407814</v>
      </c>
      <c r="HP215" s="2480">
        <f t="shared" ca="1" si="352"/>
        <v>17947.036687949705</v>
      </c>
      <c r="HQ215" s="2480">
        <f t="shared" ca="1" si="352"/>
        <v>17700.880390524424</v>
      </c>
      <c r="HR215" s="2480">
        <f t="shared" ca="1" si="352"/>
        <v>17458.100300760361</v>
      </c>
      <c r="HS215" s="2480">
        <f t="shared" ca="1" si="352"/>
        <v>17218.65011158237</v>
      </c>
      <c r="HT215" s="2480">
        <f t="shared" ca="1" si="352"/>
        <v>16982.484151049455</v>
      </c>
      <c r="HU215" s="2480">
        <f t="shared" ca="1" si="352"/>
        <v>16749.557373643765</v>
      </c>
      <c r="HV215" s="2480">
        <f t="shared" ca="1" si="352"/>
        <v>16519.825351678468</v>
      </c>
      <c r="HW215" s="2480">
        <f t="shared" ca="1" si="352"/>
        <v>16293.244266823844</v>
      </c>
      <c r="HX215" s="2480">
        <f t="shared" ca="1" si="352"/>
        <v>16069.770901749609</v>
      </c>
      <c r="HY215" s="2480">
        <f t="shared" ca="1" si="352"/>
        <v>15849.362631881653</v>
      </c>
      <c r="HZ215" s="2480">
        <f t="shared" ca="1" si="352"/>
        <v>15631.977417272139</v>
      </c>
      <c r="IA215" s="2480">
        <f t="shared" ca="1" si="352"/>
        <v>15422.056479349385</v>
      </c>
    </row>
    <row r="216" spans="3:235">
      <c r="C216" s="2491"/>
      <c r="D216" s="2492" t="s">
        <v>3942</v>
      </c>
      <c r="E216" s="2424"/>
      <c r="F216" s="2424"/>
      <c r="G216" s="2493"/>
      <c r="H216" s="2494"/>
      <c r="I216" s="2358"/>
      <c r="J216" s="2495">
        <f t="shared" ref="J216:X217" si="353">MAX(J214,J215)</f>
        <v>0</v>
      </c>
      <c r="K216" s="2496">
        <f t="shared" si="353"/>
        <v>0</v>
      </c>
      <c r="L216" s="2497">
        <f t="shared" si="353"/>
        <v>0</v>
      </c>
      <c r="M216" s="2495">
        <f t="shared" si="353"/>
        <v>0</v>
      </c>
      <c r="N216" s="2495">
        <f t="shared" si="353"/>
        <v>0</v>
      </c>
      <c r="O216" s="2496">
        <f t="shared" si="353"/>
        <v>0</v>
      </c>
      <c r="P216" s="2494">
        <f t="shared" si="353"/>
        <v>0</v>
      </c>
      <c r="Q216" s="2494">
        <f t="shared" si="353"/>
        <v>0</v>
      </c>
      <c r="R216" s="2495">
        <f t="shared" si="353"/>
        <v>0</v>
      </c>
      <c r="S216" s="2496">
        <f t="shared" si="353"/>
        <v>0</v>
      </c>
      <c r="T216" s="2494">
        <f t="shared" si="353"/>
        <v>0</v>
      </c>
      <c r="U216" s="2498">
        <f t="shared" si="353"/>
        <v>0</v>
      </c>
      <c r="V216" s="2498">
        <f t="shared" si="353"/>
        <v>0</v>
      </c>
      <c r="W216" s="2498">
        <f t="shared" si="353"/>
        <v>0</v>
      </c>
      <c r="X216" s="2498">
        <f t="shared" si="353"/>
        <v>0</v>
      </c>
      <c r="Y216" s="2498">
        <f t="shared" ref="Y216:CJ216" si="354">CHOOSE($G$32,MAX(Y214,Y215),Y217)</f>
        <v>0</v>
      </c>
      <c r="Z216" s="2498">
        <f t="shared" si="354"/>
        <v>0</v>
      </c>
      <c r="AA216" s="2498">
        <f t="shared" si="354"/>
        <v>0</v>
      </c>
      <c r="AB216" s="2498">
        <f t="shared" si="354"/>
        <v>0</v>
      </c>
      <c r="AC216" s="2498">
        <f t="shared" si="354"/>
        <v>0</v>
      </c>
      <c r="AD216" s="2498">
        <f t="shared" si="354"/>
        <v>0</v>
      </c>
      <c r="AE216" s="2498">
        <f t="shared" si="354"/>
        <v>0</v>
      </c>
      <c r="AF216" s="2498">
        <f t="shared" si="354"/>
        <v>0</v>
      </c>
      <c r="AG216" s="2498">
        <f t="shared" si="354"/>
        <v>0</v>
      </c>
      <c r="AH216" s="2498">
        <f t="shared" si="354"/>
        <v>0</v>
      </c>
      <c r="AI216" s="2498">
        <f t="shared" si="354"/>
        <v>0</v>
      </c>
      <c r="AJ216" s="2498">
        <f t="shared" si="354"/>
        <v>234560.31520982814</v>
      </c>
      <c r="AK216" s="2498">
        <f t="shared" si="354"/>
        <v>231084.02057119869</v>
      </c>
      <c r="AL216" s="2498">
        <f t="shared" si="354"/>
        <v>229802.89417503623</v>
      </c>
      <c r="AM216" s="2498">
        <f t="shared" si="354"/>
        <v>226704.7814826754</v>
      </c>
      <c r="AN216" s="2498">
        <f t="shared" si="354"/>
        <v>226130.46311521906</v>
      </c>
      <c r="AO216" s="2498">
        <f t="shared" si="354"/>
        <v>221971.35159500231</v>
      </c>
      <c r="AP216" s="2498">
        <f t="shared" si="354"/>
        <v>223088.23049869796</v>
      </c>
      <c r="AQ216" s="2498">
        <f t="shared" si="354"/>
        <v>220267.22130879169</v>
      </c>
      <c r="AR216" s="2498">
        <f t="shared" si="354"/>
        <v>218732.0219245003</v>
      </c>
      <c r="AS216" s="2498">
        <f t="shared" si="354"/>
        <v>215547.12488963944</v>
      </c>
      <c r="AT216" s="2498">
        <f t="shared" si="354"/>
        <v>213502.22500580631</v>
      </c>
      <c r="AU216" s="2498">
        <f t="shared" si="354"/>
        <v>209860.26117702917</v>
      </c>
      <c r="AV216" s="2498">
        <f t="shared" si="354"/>
        <v>208170.61043664231</v>
      </c>
      <c r="AW216" s="2498">
        <f t="shared" si="354"/>
        <v>203822.93209247905</v>
      </c>
      <c r="AX216" s="2498">
        <f t="shared" si="354"/>
        <v>201953.48010746058</v>
      </c>
      <c r="AY216" s="2498">
        <f t="shared" si="354"/>
        <v>198066.68693049726</v>
      </c>
      <c r="AZ216" s="2498">
        <f t="shared" si="354"/>
        <v>199684.48045404229</v>
      </c>
      <c r="BA216" s="2498">
        <f t="shared" si="354"/>
        <v>199321.88325769018</v>
      </c>
      <c r="BB216" s="2498">
        <f t="shared" si="354"/>
        <v>201485.64769588099</v>
      </c>
      <c r="BC216" s="2498">
        <f t="shared" si="354"/>
        <v>201759.3558287854</v>
      </c>
      <c r="BD216" s="2498">
        <f t="shared" si="354"/>
        <v>200827.85906618257</v>
      </c>
      <c r="BE216" s="2498">
        <f t="shared" si="354"/>
        <v>198270.24601427984</v>
      </c>
      <c r="BF216" s="2498">
        <f t="shared" si="354"/>
        <v>198195.86295000606</v>
      </c>
      <c r="BG216" s="2498">
        <f t="shared" si="354"/>
        <v>197346.5605479631</v>
      </c>
      <c r="BH216" s="2498">
        <f t="shared" si="354"/>
        <v>195226.88594059992</v>
      </c>
      <c r="BI216" s="2498">
        <f t="shared" si="354"/>
        <v>193067.32354143047</v>
      </c>
      <c r="BJ216" s="2498">
        <f t="shared" si="354"/>
        <v>191605.99387813796</v>
      </c>
      <c r="BK216" s="2498">
        <f t="shared" si="354"/>
        <v>189742.37957871039</v>
      </c>
      <c r="BL216" s="2498">
        <f t="shared" si="354"/>
        <v>189189.55723334933</v>
      </c>
      <c r="BM216" s="2498">
        <f t="shared" si="354"/>
        <v>187443.35289065895</v>
      </c>
      <c r="BN216" s="2498">
        <f t="shared" si="354"/>
        <v>188120.69366825349</v>
      </c>
      <c r="BO216" s="2498">
        <f t="shared" si="354"/>
        <v>185797.54132145995</v>
      </c>
      <c r="BP216" s="2498">
        <f t="shared" si="354"/>
        <v>185881.05739303105</v>
      </c>
      <c r="BQ216" s="2498">
        <f t="shared" si="354"/>
        <v>183415.29485924621</v>
      </c>
      <c r="BR216" s="2498">
        <f t="shared" si="354"/>
        <v>183999.24186228079</v>
      </c>
      <c r="BS216" s="2498">
        <f t="shared" si="354"/>
        <v>182517.48023313395</v>
      </c>
      <c r="BT216" s="2498">
        <f t="shared" si="354"/>
        <v>184156.74596397905</v>
      </c>
      <c r="BU216" s="2498">
        <f t="shared" si="354"/>
        <v>180825.68673323115</v>
      </c>
      <c r="BV216" s="2498">
        <f t="shared" si="354"/>
        <v>180161.77652898908</v>
      </c>
      <c r="BW216" s="2498">
        <f t="shared" si="354"/>
        <v>179801.45817887541</v>
      </c>
      <c r="BX216" s="2498">
        <f t="shared" si="354"/>
        <v>179029.52461495358</v>
      </c>
      <c r="BY216" s="2498">
        <f t="shared" si="354"/>
        <v>177524.30064427509</v>
      </c>
      <c r="BZ216" s="2498">
        <f t="shared" si="354"/>
        <v>187733.78561840515</v>
      </c>
      <c r="CA216" s="2498">
        <f t="shared" si="354"/>
        <v>185863.436827467</v>
      </c>
      <c r="CB216" s="2498">
        <f t="shared" si="354"/>
        <v>186384.42060926673</v>
      </c>
      <c r="CC216" s="2498">
        <f t="shared" si="354"/>
        <v>184167.96431133099</v>
      </c>
      <c r="CD216" s="2498">
        <f t="shared" si="354"/>
        <v>182596.51425347541</v>
      </c>
      <c r="CE216" s="2498">
        <f t="shared" si="354"/>
        <v>181577.8650915756</v>
      </c>
      <c r="CF216" s="2498">
        <f t="shared" si="354"/>
        <v>182093.13569715011</v>
      </c>
      <c r="CG216" s="2498">
        <f t="shared" si="354"/>
        <v>182074.91980789092</v>
      </c>
      <c r="CH216" s="2498">
        <f t="shared" ca="1" si="354"/>
        <v>170923.48028574942</v>
      </c>
      <c r="CI216" s="2498">
        <f t="shared" ca="1" si="354"/>
        <v>170163.70878400217</v>
      </c>
      <c r="CJ216" s="2498">
        <f t="shared" ca="1" si="354"/>
        <v>169350.52612813466</v>
      </c>
      <c r="CK216" s="2498">
        <f t="shared" ref="CK216:EV216" ca="1" si="355">CHOOSE($G$32,MAX(CK214,CK215),CK217)</f>
        <v>168470.39231476965</v>
      </c>
      <c r="CL216" s="2498">
        <f t="shared" ca="1" si="355"/>
        <v>166269.73246038239</v>
      </c>
      <c r="CM216" s="2498">
        <f t="shared" ca="1" si="355"/>
        <v>165438.89148421941</v>
      </c>
      <c r="CN216" s="2498">
        <f t="shared" ca="1" si="355"/>
        <v>164602.30480377554</v>
      </c>
      <c r="CO216" s="2498">
        <f t="shared" ca="1" si="355"/>
        <v>163702.09110231407</v>
      </c>
      <c r="CP216" s="2498">
        <f t="shared" ca="1" si="355"/>
        <v>164774.68561851833</v>
      </c>
      <c r="CQ216" s="2498">
        <f t="shared" ca="1" si="355"/>
        <v>163899.50316149343</v>
      </c>
      <c r="CR216" s="2498">
        <f t="shared" ca="1" si="355"/>
        <v>163129.18512925948</v>
      </c>
      <c r="CS216" s="2498">
        <f t="shared" ca="1" si="355"/>
        <v>162301.11774177398</v>
      </c>
      <c r="CT216" s="2498">
        <f t="shared" ca="1" si="355"/>
        <v>164690.9157135904</v>
      </c>
      <c r="CU216" s="2498">
        <f t="shared" ca="1" si="355"/>
        <v>163880.16588498501</v>
      </c>
      <c r="CV216" s="2498">
        <f t="shared" ca="1" si="355"/>
        <v>162795.91918208986</v>
      </c>
      <c r="CW216" s="2498">
        <f t="shared" ca="1" si="355"/>
        <v>161645.679419486</v>
      </c>
      <c r="CX216" s="2498">
        <f t="shared" ca="1" si="355"/>
        <v>149813.84418693164</v>
      </c>
      <c r="CY216" s="2498">
        <f t="shared" ca="1" si="355"/>
        <v>148802.87113724358</v>
      </c>
      <c r="CZ216" s="2498">
        <f t="shared" ca="1" si="355"/>
        <v>147788.78361196289</v>
      </c>
      <c r="DA216" s="2498">
        <f t="shared" ca="1" si="355"/>
        <v>146716.09090588946</v>
      </c>
      <c r="DB216" s="2498">
        <f t="shared" ca="1" si="355"/>
        <v>129862.00199100743</v>
      </c>
      <c r="DC216" s="2498">
        <f t="shared" ca="1" si="355"/>
        <v>128973.5038532826</v>
      </c>
      <c r="DD216" s="2498">
        <f t="shared" ca="1" si="355"/>
        <v>128210.20219565893</v>
      </c>
      <c r="DE216" s="2498">
        <f t="shared" ca="1" si="355"/>
        <v>127402.1988471408</v>
      </c>
      <c r="DF216" s="2498">
        <f t="shared" ca="1" si="355"/>
        <v>119288.09713280106</v>
      </c>
      <c r="DG216" s="2498">
        <f t="shared" ca="1" si="355"/>
        <v>118568.57002624843</v>
      </c>
      <c r="DH216" s="2498">
        <f t="shared" ca="1" si="355"/>
        <v>119704.41380705913</v>
      </c>
      <c r="DI216" s="2498">
        <f t="shared" ca="1" si="355"/>
        <v>120864.38595962292</v>
      </c>
      <c r="DJ216" s="2498">
        <f t="shared" ca="1" si="355"/>
        <v>120841.33360040616</v>
      </c>
      <c r="DK216" s="2498">
        <f t="shared" ca="1" si="355"/>
        <v>121976.41645468488</v>
      </c>
      <c r="DL216" s="2498">
        <f t="shared" ca="1" si="355"/>
        <v>121667.53675303969</v>
      </c>
      <c r="DM216" s="2498">
        <f t="shared" ca="1" si="355"/>
        <v>121334.59706371493</v>
      </c>
      <c r="DN216" s="2498">
        <f t="shared" ca="1" si="355"/>
        <v>122416.01108453299</v>
      </c>
      <c r="DO216" s="2498">
        <f t="shared" ca="1" si="355"/>
        <v>122097.62881534013</v>
      </c>
      <c r="DP216" s="2498">
        <f t="shared" ca="1" si="355"/>
        <v>121472.13272476819</v>
      </c>
      <c r="DQ216" s="2498">
        <f t="shared" ca="1" si="355"/>
        <v>120813.7773589874</v>
      </c>
      <c r="DR216" s="2498">
        <f t="shared" ca="1" si="355"/>
        <v>122442.82610862542</v>
      </c>
      <c r="DS216" s="2498">
        <f t="shared" ca="1" si="355"/>
        <v>121795.22447600379</v>
      </c>
      <c r="DT216" s="2498">
        <f t="shared" ca="1" si="355"/>
        <v>121002.87002938084</v>
      </c>
      <c r="DU216" s="2498">
        <f t="shared" ca="1" si="355"/>
        <v>120174.05107098285</v>
      </c>
      <c r="DV216" s="2498">
        <f t="shared" ca="1" si="355"/>
        <v>120478.85218090437</v>
      </c>
      <c r="DW216" s="2498">
        <f t="shared" ca="1" si="355"/>
        <v>119669.67399547904</v>
      </c>
      <c r="DX216" s="2498">
        <f t="shared" ca="1" si="355"/>
        <v>119409.20328507164</v>
      </c>
      <c r="DY216" s="2498">
        <f t="shared" ca="1" si="355"/>
        <v>119131.23636428575</v>
      </c>
      <c r="DZ216" s="2498">
        <f t="shared" ca="1" si="355"/>
        <v>119081.25461394209</v>
      </c>
      <c r="EA216" s="2498">
        <f t="shared" ca="1" si="355"/>
        <v>118817.72293231446</v>
      </c>
      <c r="EB216" s="2498">
        <f t="shared" ca="1" si="355"/>
        <v>117943.86943694588</v>
      </c>
      <c r="EC216" s="2498">
        <f t="shared" ca="1" si="355"/>
        <v>117034.80462645857</v>
      </c>
      <c r="ED216" s="2498">
        <f t="shared" ca="1" si="355"/>
        <v>117028.97010216786</v>
      </c>
      <c r="EE216" s="2498">
        <f t="shared" ca="1" si="355"/>
        <v>116141.49028084311</v>
      </c>
      <c r="EF216" s="2498">
        <f t="shared" ca="1" si="355"/>
        <v>115064.10114613702</v>
      </c>
      <c r="EG216" s="2498">
        <f t="shared" ca="1" si="355"/>
        <v>113947.24464788483</v>
      </c>
      <c r="EH216" s="2498">
        <f t="shared" ca="1" si="355"/>
        <v>113288.27026098067</v>
      </c>
      <c r="EI216" s="2498">
        <f t="shared" ca="1" si="355"/>
        <v>112200.64262336364</v>
      </c>
      <c r="EJ216" s="2498">
        <f t="shared" ca="1" si="355"/>
        <v>111024.28457043692</v>
      </c>
      <c r="EK216" s="2498">
        <f t="shared" ca="1" si="355"/>
        <v>109807.6529311982</v>
      </c>
      <c r="EL216" s="2498">
        <f t="shared" ca="1" si="355"/>
        <v>108635.95004123882</v>
      </c>
      <c r="EM216" s="2498">
        <f t="shared" ca="1" si="355"/>
        <v>107455.42746534428</v>
      </c>
      <c r="EN216" s="2498">
        <f t="shared" ca="1" si="355"/>
        <v>106258.37834960058</v>
      </c>
      <c r="EO216" s="2498">
        <f t="shared" ca="1" si="355"/>
        <v>105022.65349288218</v>
      </c>
      <c r="EP216" s="2498">
        <f t="shared" ca="1" si="355"/>
        <v>104575.38520278104</v>
      </c>
      <c r="EQ216" s="2498">
        <f t="shared" ca="1" si="355"/>
        <v>103365.09194947574</v>
      </c>
      <c r="ER216" s="2498">
        <f t="shared" ca="1" si="355"/>
        <v>102142.27391615794</v>
      </c>
      <c r="ES216" s="2498">
        <f t="shared" ca="1" si="355"/>
        <v>100882.15800711303</v>
      </c>
      <c r="ET216" s="2498">
        <f t="shared" ca="1" si="355"/>
        <v>100008.59445276923</v>
      </c>
      <c r="EU216" s="2498">
        <f t="shared" ca="1" si="355"/>
        <v>98779.49622134534</v>
      </c>
      <c r="EV216" s="2498">
        <f t="shared" ca="1" si="355"/>
        <v>97694.475691766915</v>
      </c>
      <c r="EW216" s="2498">
        <f t="shared" ref="EW216:HH216" ca="1" si="356">CHOOSE($G$32,MAX(EW214,EW215),EW217)</f>
        <v>96577.887305020209</v>
      </c>
      <c r="EX216" s="2498">
        <f t="shared" ca="1" si="356"/>
        <v>95480.720896451821</v>
      </c>
      <c r="EY216" s="2498">
        <f t="shared" ca="1" si="356"/>
        <v>94395.036672349583</v>
      </c>
      <c r="EZ216" s="2498">
        <f t="shared" ca="1" si="356"/>
        <v>93121.614327806004</v>
      </c>
      <c r="FA216" s="2498">
        <f t="shared" ca="1" si="356"/>
        <v>91813.771554673251</v>
      </c>
      <c r="FB216" s="2498">
        <f t="shared" ca="1" si="356"/>
        <v>91166.333563777618</v>
      </c>
      <c r="FC216" s="2498">
        <f t="shared" ca="1" si="356"/>
        <v>89884.70604904939</v>
      </c>
      <c r="FD216" s="2498">
        <f t="shared" ca="1" si="356"/>
        <v>88742.153623063627</v>
      </c>
      <c r="FE216" s="2498">
        <f t="shared" ca="1" si="356"/>
        <v>87570.380625154532</v>
      </c>
      <c r="FF216" s="2498">
        <f t="shared" ca="1" si="356"/>
        <v>86708.594456294159</v>
      </c>
      <c r="FG216" s="2498">
        <f t="shared" ca="1" si="356"/>
        <v>85563.736797360267</v>
      </c>
      <c r="FH216" s="2498">
        <f t="shared" ca="1" si="356"/>
        <v>84253.872047887169</v>
      </c>
      <c r="FI216" s="2498">
        <f t="shared" ca="1" si="356"/>
        <v>82912.9574034861</v>
      </c>
      <c r="FJ216" s="2498">
        <f t="shared" ca="1" si="356"/>
        <v>81592.762468172892</v>
      </c>
      <c r="FK216" s="2498">
        <f t="shared" ca="1" si="356"/>
        <v>80290.668830691837</v>
      </c>
      <c r="FL216" s="2498">
        <f t="shared" ca="1" si="356"/>
        <v>78997.982562834979</v>
      </c>
      <c r="FM216" s="2498">
        <f t="shared" ca="1" si="356"/>
        <v>77676.838654096588</v>
      </c>
      <c r="FN216" s="2498">
        <f t="shared" ca="1" si="356"/>
        <v>76885.271713335445</v>
      </c>
      <c r="FO216" s="2498">
        <f t="shared" ca="1" si="356"/>
        <v>75591.347165880143</v>
      </c>
      <c r="FP216" s="2498">
        <f t="shared" ca="1" si="356"/>
        <v>74266.956137768415</v>
      </c>
      <c r="FQ216" s="2498">
        <f t="shared" ca="1" si="356"/>
        <v>72915.733036083344</v>
      </c>
      <c r="FR216" s="2498">
        <f t="shared" ca="1" si="356"/>
        <v>71815.880985704047</v>
      </c>
      <c r="FS216" s="2498">
        <f t="shared" ca="1" si="356"/>
        <v>70499.718596656661</v>
      </c>
      <c r="FT216" s="2498">
        <f t="shared" ca="1" si="356"/>
        <v>69139.901896380587</v>
      </c>
      <c r="FU216" s="2498">
        <f t="shared" ca="1" si="356"/>
        <v>67755.086908341138</v>
      </c>
      <c r="FV216" s="2498">
        <f t="shared" ca="1" si="356"/>
        <v>66391.746875968005</v>
      </c>
      <c r="FW216" s="2498">
        <f t="shared" ca="1" si="356"/>
        <v>65051.084340143658</v>
      </c>
      <c r="FX216" s="2498">
        <f t="shared" ca="1" si="356"/>
        <v>63667.943463021424</v>
      </c>
      <c r="FY216" s="2498">
        <f t="shared" ca="1" si="356"/>
        <v>62262.192182018829</v>
      </c>
      <c r="FZ216" s="2498">
        <f t="shared" ca="1" si="356"/>
        <v>61257.542387060341</v>
      </c>
      <c r="GA216" s="2498">
        <f t="shared" ca="1" si="356"/>
        <v>59887.834259434545</v>
      </c>
      <c r="GB216" s="2498">
        <f t="shared" ca="1" si="356"/>
        <v>58491.198619196381</v>
      </c>
      <c r="GC216" s="2498">
        <f t="shared" ca="1" si="356"/>
        <v>57074.808192206197</v>
      </c>
      <c r="GD216" s="2498">
        <f t="shared" ca="1" si="356"/>
        <v>55851.12165629529</v>
      </c>
      <c r="GE216" s="2498">
        <f t="shared" ca="1" si="356"/>
        <v>54481.11710529057</v>
      </c>
      <c r="GF216" s="2498">
        <f t="shared" ca="1" si="356"/>
        <v>53206.201786023448</v>
      </c>
      <c r="GG216" s="2498">
        <f t="shared" ca="1" si="356"/>
        <v>51915.929824247287</v>
      </c>
      <c r="GH216" s="2498">
        <f t="shared" ca="1" si="356"/>
        <v>50650.023663009226</v>
      </c>
      <c r="GI216" s="2498">
        <f t="shared" ca="1" si="356"/>
        <v>49407.989600875444</v>
      </c>
      <c r="GJ216" s="2498">
        <f t="shared" ca="1" si="356"/>
        <v>49210.879989872279</v>
      </c>
      <c r="GK216" s="2498">
        <f t="shared" ca="1" si="356"/>
        <v>49005.534586715657</v>
      </c>
      <c r="GL216" s="2498">
        <f t="shared" ca="1" si="356"/>
        <v>49011.209899299356</v>
      </c>
      <c r="GM216" s="2498">
        <f t="shared" ca="1" si="356"/>
        <v>48768.335289577706</v>
      </c>
      <c r="GN216" s="2498">
        <f t="shared" ca="1" si="356"/>
        <v>47729.040204817175</v>
      </c>
      <c r="GO216" s="2498">
        <f t="shared" ca="1" si="356"/>
        <v>46679.984021823562</v>
      </c>
      <c r="GP216" s="2498">
        <f t="shared" ca="1" si="356"/>
        <v>45758.244303995278</v>
      </c>
      <c r="GQ216" s="2498">
        <f t="shared" ca="1" si="356"/>
        <v>44735.990673499342</v>
      </c>
      <c r="GR216" s="2498">
        <f t="shared" ca="1" si="356"/>
        <v>43599.147746001756</v>
      </c>
      <c r="GS216" s="2498">
        <f t="shared" ca="1" si="356"/>
        <v>42456.024227331007</v>
      </c>
      <c r="GT216" s="2498">
        <f t="shared" ca="1" si="356"/>
        <v>41330.187991861749</v>
      </c>
      <c r="GU216" s="2498">
        <f t="shared" ca="1" si="356"/>
        <v>40231.782084513332</v>
      </c>
      <c r="GV216" s="2498">
        <f t="shared" ca="1" si="356"/>
        <v>39067.603634307234</v>
      </c>
      <c r="GW216" s="2498">
        <f t="shared" ca="1" si="356"/>
        <v>37902.108556847168</v>
      </c>
      <c r="GX216" s="2498">
        <f t="shared" ca="1" si="356"/>
        <v>36936.865441812159</v>
      </c>
      <c r="GY216" s="2498">
        <f t="shared" ca="1" si="356"/>
        <v>35818.002439241071</v>
      </c>
      <c r="GZ216" s="2498">
        <f t="shared" ca="1" si="356"/>
        <v>34864.586926933887</v>
      </c>
      <c r="HA216" s="2498">
        <f t="shared" ca="1" si="356"/>
        <v>33911.04316273264</v>
      </c>
      <c r="HB216" s="2498">
        <f t="shared" ca="1" si="356"/>
        <v>33041.661820245426</v>
      </c>
      <c r="HC216" s="2498">
        <f t="shared" ca="1" si="356"/>
        <v>32123.509111928171</v>
      </c>
      <c r="HD216" s="2498">
        <f t="shared" ca="1" si="356"/>
        <v>31050.368690289342</v>
      </c>
      <c r="HE216" s="2498">
        <f t="shared" ca="1" si="356"/>
        <v>29987.064461812774</v>
      </c>
      <c r="HF216" s="2498">
        <f t="shared" ca="1" si="356"/>
        <v>28962.453172056179</v>
      </c>
      <c r="HG216" s="2498">
        <f t="shared" ca="1" si="356"/>
        <v>27968.947029264014</v>
      </c>
      <c r="HH216" s="2498">
        <f t="shared" ca="1" si="356"/>
        <v>26941.522026230632</v>
      </c>
      <c r="HI216" s="2498">
        <f t="shared" ref="HI216:IA216" ca="1" si="357">CHOOSE($G$32,MAX(HI214,HI215),HI217)</f>
        <v>25933.647411212631</v>
      </c>
      <c r="HJ216" s="2498">
        <f t="shared" ca="1" si="357"/>
        <v>25049.094437157743</v>
      </c>
      <c r="HK216" s="2498">
        <f t="shared" ca="1" si="357"/>
        <v>24120.995304968597</v>
      </c>
      <c r="HL216" s="2498">
        <f t="shared" ca="1" si="357"/>
        <v>23216.327552035946</v>
      </c>
      <c r="HM216" s="2498">
        <f t="shared" ca="1" si="357"/>
        <v>22340.563935404556</v>
      </c>
      <c r="HN216" s="2498">
        <f t="shared" ca="1" si="357"/>
        <v>21544.387008774196</v>
      </c>
      <c r="HO216" s="2498">
        <f t="shared" ca="1" si="357"/>
        <v>20764.790966802513</v>
      </c>
      <c r="HP216" s="2498">
        <f t="shared" ca="1" si="357"/>
        <v>20046.666518957089</v>
      </c>
      <c r="HQ216" s="2498">
        <f t="shared" ca="1" si="357"/>
        <v>19364.426362111815</v>
      </c>
      <c r="HR216" s="2498">
        <f t="shared" ca="1" si="357"/>
        <v>18740.575217092548</v>
      </c>
      <c r="HS216" s="2498">
        <f t="shared" ca="1" si="357"/>
        <v>18160.678880034324</v>
      </c>
      <c r="HT216" s="2498">
        <f t="shared" ca="1" si="357"/>
        <v>17607.738257460085</v>
      </c>
      <c r="HU216" s="2498">
        <f t="shared" ca="1" si="357"/>
        <v>17105.319892541294</v>
      </c>
      <c r="HV216" s="2498">
        <f t="shared" ca="1" si="357"/>
        <v>16676.75886941822</v>
      </c>
      <c r="HW216" s="2498">
        <f t="shared" ca="1" si="357"/>
        <v>16296.260975533254</v>
      </c>
      <c r="HX216" s="2498">
        <f t="shared" ca="1" si="357"/>
        <v>16069.770901749609</v>
      </c>
      <c r="HY216" s="2498">
        <f t="shared" ca="1" si="357"/>
        <v>15849.362631881653</v>
      </c>
      <c r="HZ216" s="2498">
        <f t="shared" ca="1" si="357"/>
        <v>15631.977417272139</v>
      </c>
      <c r="IA216" s="2498">
        <f t="shared" ca="1" si="357"/>
        <v>15422.056479349385</v>
      </c>
    </row>
    <row r="217" spans="3:235">
      <c r="C217" s="2491"/>
      <c r="D217" s="2492" t="s">
        <v>3943</v>
      </c>
      <c r="E217" s="2424"/>
      <c r="F217" s="2424"/>
      <c r="G217" s="2657">
        <v>0.9</v>
      </c>
      <c r="H217" s="2494"/>
      <c r="I217" s="2358"/>
      <c r="J217" s="2495">
        <f t="shared" si="353"/>
        <v>0</v>
      </c>
      <c r="K217" s="2496">
        <f t="shared" si="353"/>
        <v>0</v>
      </c>
      <c r="L217" s="2497">
        <f t="shared" si="353"/>
        <v>0</v>
      </c>
      <c r="M217" s="2495">
        <f t="shared" si="353"/>
        <v>0</v>
      </c>
      <c r="N217" s="2496">
        <f t="shared" si="353"/>
        <v>0</v>
      </c>
      <c r="O217" s="2497">
        <f t="shared" si="353"/>
        <v>0</v>
      </c>
      <c r="P217" s="2496"/>
      <c r="Q217" s="2494"/>
      <c r="R217" s="2495"/>
      <c r="S217" s="2496"/>
      <c r="T217" s="2494"/>
      <c r="U217" s="2498"/>
      <c r="V217" s="2498">
        <f>V$37*V$51+V$38*V$54*V$56*$G217</f>
        <v>0</v>
      </c>
      <c r="W217" s="2498">
        <f>W$37*W$51+W$38*W$54*W$56*$G217</f>
        <v>0</v>
      </c>
      <c r="X217" s="2498">
        <f>X$37*X$51+X$38*X$54*X$56*$G217</f>
        <v>0</v>
      </c>
      <c r="Y217" s="2498">
        <f t="shared" ref="Y217:CJ217" si="358">Y$37*Y$51+Y$38*Y$54*Y$56*$G217</f>
        <v>0</v>
      </c>
      <c r="Z217" s="2498">
        <f t="shared" si="358"/>
        <v>0</v>
      </c>
      <c r="AA217" s="2498">
        <f t="shared" si="358"/>
        <v>0</v>
      </c>
      <c r="AB217" s="2498">
        <f t="shared" si="358"/>
        <v>0</v>
      </c>
      <c r="AC217" s="2498">
        <f t="shared" si="358"/>
        <v>0</v>
      </c>
      <c r="AD217" s="2498">
        <f t="shared" si="358"/>
        <v>0</v>
      </c>
      <c r="AE217" s="2498">
        <f t="shared" si="358"/>
        <v>0</v>
      </c>
      <c r="AF217" s="2498">
        <f t="shared" si="358"/>
        <v>0</v>
      </c>
      <c r="AG217" s="2498">
        <f t="shared" si="358"/>
        <v>0</v>
      </c>
      <c r="AH217" s="2498">
        <f t="shared" si="358"/>
        <v>0</v>
      </c>
      <c r="AI217" s="2498">
        <f t="shared" si="358"/>
        <v>0</v>
      </c>
      <c r="AJ217" s="2498">
        <f t="shared" si="358"/>
        <v>952.20080913227844</v>
      </c>
      <c r="AK217" s="2498">
        <f t="shared" si="358"/>
        <v>1861.0062404345056</v>
      </c>
      <c r="AL217" s="2498">
        <f t="shared" si="358"/>
        <v>2768.4897053169025</v>
      </c>
      <c r="AM217" s="2498">
        <f t="shared" si="358"/>
        <v>3636.5934344817474</v>
      </c>
      <c r="AN217" s="2498">
        <f t="shared" si="358"/>
        <v>4530.5144139019185</v>
      </c>
      <c r="AO217" s="2498">
        <f t="shared" si="358"/>
        <v>5333.70954992102</v>
      </c>
      <c r="AP217" s="2498">
        <f t="shared" si="358"/>
        <v>6251.5302529969922</v>
      </c>
      <c r="AQ217" s="2498">
        <f t="shared" si="358"/>
        <v>7052.1947155816806</v>
      </c>
      <c r="AR217" s="2498">
        <f t="shared" si="358"/>
        <v>7876.6282693796866</v>
      </c>
      <c r="AS217" s="2498">
        <f t="shared" si="358"/>
        <v>8622.804136059578</v>
      </c>
      <c r="AT217" s="2498">
        <f t="shared" si="358"/>
        <v>9393.6976671350203</v>
      </c>
      <c r="AU217" s="2498">
        <f t="shared" si="358"/>
        <v>10071.610834337334</v>
      </c>
      <c r="AV217" s="2498">
        <f t="shared" si="358"/>
        <v>10821.925656637261</v>
      </c>
      <c r="AW217" s="2498">
        <f t="shared" si="358"/>
        <v>11409.948406451049</v>
      </c>
      <c r="AX217" s="2498">
        <f t="shared" si="358"/>
        <v>175377.07864409365</v>
      </c>
      <c r="AY217" s="2498">
        <f t="shared" si="358"/>
        <v>176655.48123317331</v>
      </c>
      <c r="AZ217" s="2498">
        <f t="shared" si="358"/>
        <v>178028.11441172543</v>
      </c>
      <c r="BA217" s="2498">
        <f t="shared" si="358"/>
        <v>177637.21502778682</v>
      </c>
      <c r="BB217" s="2498">
        <f t="shared" si="358"/>
        <v>179501.54427971403</v>
      </c>
      <c r="BC217" s="2498">
        <f t="shared" si="358"/>
        <v>179682.92058208858</v>
      </c>
      <c r="BD217" s="2498">
        <f t="shared" si="358"/>
        <v>178779.3144507804</v>
      </c>
      <c r="BE217" s="2498">
        <f t="shared" si="358"/>
        <v>176429.99804046148</v>
      </c>
      <c r="BF217" s="2498">
        <f t="shared" si="358"/>
        <v>176295.21134299427</v>
      </c>
      <c r="BG217" s="2498">
        <f t="shared" si="358"/>
        <v>175471.17084602988</v>
      </c>
      <c r="BH217" s="2498">
        <f t="shared" si="358"/>
        <v>173511.69744510026</v>
      </c>
      <c r="BI217" s="2498">
        <f t="shared" si="358"/>
        <v>171517.71857468586</v>
      </c>
      <c r="BJ217" s="2498">
        <f t="shared" si="358"/>
        <v>170149.08816627503</v>
      </c>
      <c r="BK217" s="2498">
        <f t="shared" si="358"/>
        <v>168422.82907290733</v>
      </c>
      <c r="BL217" s="2498">
        <f t="shared" si="358"/>
        <v>167867.81639408669</v>
      </c>
      <c r="BM217" s="2498">
        <f t="shared" si="358"/>
        <v>166254.34053379949</v>
      </c>
      <c r="BN217" s="2498">
        <f t="shared" si="358"/>
        <v>166794.71540575486</v>
      </c>
      <c r="BO217" s="2498">
        <f t="shared" si="358"/>
        <v>164673.93853481254</v>
      </c>
      <c r="BP217" s="2498">
        <f t="shared" si="358"/>
        <v>164693.26185876815</v>
      </c>
      <c r="BQ217" s="2498">
        <f t="shared" si="358"/>
        <v>162454.48779173783</v>
      </c>
      <c r="BR217" s="2498">
        <f t="shared" si="358"/>
        <v>162921.42724359856</v>
      </c>
      <c r="BS217" s="2498">
        <f t="shared" si="358"/>
        <v>161558.4151463556</v>
      </c>
      <c r="BT217" s="2498">
        <f t="shared" si="358"/>
        <v>162967.08725506777</v>
      </c>
      <c r="BU217" s="2498">
        <f t="shared" si="358"/>
        <v>159978.0660880348</v>
      </c>
      <c r="BV217" s="2498">
        <f t="shared" si="358"/>
        <v>159353.47251214812</v>
      </c>
      <c r="BW217" s="2498">
        <f t="shared" si="358"/>
        <v>158996.89011801063</v>
      </c>
      <c r="BX217" s="2498">
        <f t="shared" si="358"/>
        <v>158273.30566862036</v>
      </c>
      <c r="BY217" s="2498">
        <f t="shared" si="358"/>
        <v>156901.85352115773</v>
      </c>
      <c r="BZ217" s="2498">
        <f t="shared" si="358"/>
        <v>166066.78122089352</v>
      </c>
      <c r="CA217" s="2498">
        <f t="shared" si="358"/>
        <v>164374.35540230028</v>
      </c>
      <c r="CB217" s="2498">
        <f t="shared" si="358"/>
        <v>164798.7564195061</v>
      </c>
      <c r="CC217" s="2498">
        <f t="shared" si="358"/>
        <v>162802.88458549729</v>
      </c>
      <c r="CD217" s="2498">
        <f t="shared" si="358"/>
        <v>161332.31500033147</v>
      </c>
      <c r="CE217" s="2498">
        <f t="shared" si="358"/>
        <v>160398.73884668568</v>
      </c>
      <c r="CF217" s="2498">
        <f t="shared" si="358"/>
        <v>160819.90228955809</v>
      </c>
      <c r="CG217" s="2498">
        <f t="shared" si="358"/>
        <v>160769.43128148688</v>
      </c>
      <c r="CH217" s="2498">
        <f t="shared" ca="1" si="358"/>
        <v>150714.53690232529</v>
      </c>
      <c r="CI217" s="2498">
        <f t="shared" ca="1" si="358"/>
        <v>150013.2367301856</v>
      </c>
      <c r="CJ217" s="2498">
        <f t="shared" ca="1" si="358"/>
        <v>149264.93302459951</v>
      </c>
      <c r="CK217" s="2498">
        <f t="shared" ref="CK217:EV217" ca="1" si="359">CK$37*CK$51+CK$38*CK$54*CK$56*$G217</f>
        <v>152527.79617508163</v>
      </c>
      <c r="CL217" s="2498">
        <f t="shared" ca="1" si="359"/>
        <v>146462.43627018839</v>
      </c>
      <c r="CM217" s="2498">
        <f t="shared" ca="1" si="359"/>
        <v>145701.28585395383</v>
      </c>
      <c r="CN217" s="2498">
        <f t="shared" ca="1" si="359"/>
        <v>144935.92999186745</v>
      </c>
      <c r="CO217" s="2498">
        <f t="shared" ca="1" si="359"/>
        <v>144114.25152827936</v>
      </c>
      <c r="CP217" s="2498">
        <f t="shared" ca="1" si="359"/>
        <v>145069.01868329907</v>
      </c>
      <c r="CQ217" s="2498">
        <f t="shared" ca="1" si="359"/>
        <v>144271.68175775211</v>
      </c>
      <c r="CR217" s="2498">
        <f t="shared" ca="1" si="359"/>
        <v>143569.59544142423</v>
      </c>
      <c r="CS217" s="2498">
        <f t="shared" ca="1" si="359"/>
        <v>142816.3852145242</v>
      </c>
      <c r="CT217" s="2498">
        <f t="shared" ca="1" si="359"/>
        <v>144960.08264495918</v>
      </c>
      <c r="CU217" s="2498">
        <f t="shared" ca="1" si="359"/>
        <v>144224.09464836976</v>
      </c>
      <c r="CV217" s="2498">
        <f t="shared" ca="1" si="359"/>
        <v>143242.74624440586</v>
      </c>
      <c r="CW217" s="2498">
        <f t="shared" ca="1" si="359"/>
        <v>142202.77047135041</v>
      </c>
      <c r="CX217" s="2498">
        <f t="shared" ca="1" si="359"/>
        <v>131550.10517659562</v>
      </c>
      <c r="CY217" s="2498">
        <f t="shared" ca="1" si="359"/>
        <v>130636.9426682863</v>
      </c>
      <c r="CZ217" s="2498">
        <f t="shared" ca="1" si="359"/>
        <v>129721.68477109607</v>
      </c>
      <c r="DA217" s="2498">
        <f t="shared" ca="1" si="359"/>
        <v>128754.37105711023</v>
      </c>
      <c r="DB217" s="2498">
        <f t="shared" ca="1" si="359"/>
        <v>113584.47119028337</v>
      </c>
      <c r="DC217" s="2498">
        <f t="shared" ca="1" si="359"/>
        <v>112784.25542260258</v>
      </c>
      <c r="DD217" s="2498">
        <f t="shared" ca="1" si="359"/>
        <v>112097.35121994873</v>
      </c>
      <c r="DE217" s="2498">
        <f t="shared" ca="1" si="359"/>
        <v>111370.83292355161</v>
      </c>
      <c r="DF217" s="2498">
        <f t="shared" ca="1" si="359"/>
        <v>104069.4265763935</v>
      </c>
      <c r="DG217" s="2498">
        <f t="shared" ca="1" si="359"/>
        <v>103423.72125393899</v>
      </c>
      <c r="DH217" s="2498">
        <f t="shared" ca="1" si="359"/>
        <v>104448.417349444</v>
      </c>
      <c r="DI217" s="2498">
        <f t="shared" ca="1" si="359"/>
        <v>105495.3806766472</v>
      </c>
      <c r="DJ217" s="2498">
        <f t="shared" ca="1" si="359"/>
        <v>105478.15804814395</v>
      </c>
      <c r="DK217" s="2498">
        <f t="shared" ca="1" si="359"/>
        <v>106503.7779483895</v>
      </c>
      <c r="DL217" s="2498">
        <f t="shared" ca="1" si="359"/>
        <v>106230.33743459178</v>
      </c>
      <c r="DM217" s="2498">
        <f t="shared" ca="1" si="359"/>
        <v>105935.73417998421</v>
      </c>
      <c r="DN217" s="2498">
        <f t="shared" ca="1" si="359"/>
        <v>106914.5261807989</v>
      </c>
      <c r="DO217" s="2498">
        <f t="shared" ca="1" si="359"/>
        <v>106633.96440581742</v>
      </c>
      <c r="DP217" s="2498">
        <f t="shared" ca="1" si="359"/>
        <v>106077.44934090285</v>
      </c>
      <c r="DQ217" s="2498">
        <f t="shared" ca="1" si="359"/>
        <v>105491.7966314199</v>
      </c>
      <c r="DR217" s="2498">
        <f t="shared" ca="1" si="359"/>
        <v>106965.23016709875</v>
      </c>
      <c r="DS217" s="2498">
        <f t="shared" ca="1" si="359"/>
        <v>106390.08801727697</v>
      </c>
      <c r="DT217" s="2498">
        <f t="shared" ca="1" si="359"/>
        <v>105685.0653845387</v>
      </c>
      <c r="DU217" s="2498">
        <f t="shared" ca="1" si="359"/>
        <v>104947.60940085253</v>
      </c>
      <c r="DV217" s="2498">
        <f t="shared" ca="1" si="359"/>
        <v>105230.7841120798</v>
      </c>
      <c r="DW217" s="2498">
        <f t="shared" ca="1" si="359"/>
        <v>104511.73827359323</v>
      </c>
      <c r="DX217" s="2498">
        <f t="shared" ca="1" si="359"/>
        <v>104286.87841545942</v>
      </c>
      <c r="DY217" s="2498">
        <f t="shared" ca="1" si="359"/>
        <v>104046.60990687969</v>
      </c>
      <c r="DZ217" s="2498">
        <f t="shared" ca="1" si="359"/>
        <v>104011.85492130645</v>
      </c>
      <c r="EA217" s="2498">
        <f t="shared" ca="1" si="359"/>
        <v>103785.22103797282</v>
      </c>
      <c r="EB217" s="2498">
        <f t="shared" ca="1" si="359"/>
        <v>103009.60296902392</v>
      </c>
      <c r="EC217" s="2498">
        <f t="shared" ca="1" si="359"/>
        <v>102202.58980072109</v>
      </c>
      <c r="ED217" s="2498">
        <f t="shared" ca="1" si="359"/>
        <v>102208.76883854662</v>
      </c>
      <c r="EE217" s="2498">
        <f t="shared" ca="1" si="359"/>
        <v>101421.74214441658</v>
      </c>
      <c r="EF217" s="2498">
        <f t="shared" ca="1" si="359"/>
        <v>100464.06240876985</v>
      </c>
      <c r="EG217" s="2498">
        <f t="shared" ca="1" si="359"/>
        <v>99471.117905813138</v>
      </c>
      <c r="EH217" s="2498">
        <f t="shared" ca="1" si="359"/>
        <v>98890.513892457631</v>
      </c>
      <c r="EI217" s="2498">
        <f t="shared" ca="1" si="359"/>
        <v>97924.35947852525</v>
      </c>
      <c r="EJ217" s="2498">
        <f t="shared" ca="1" si="359"/>
        <v>96878.576353814191</v>
      </c>
      <c r="EK217" s="2498">
        <f t="shared" ca="1" si="359"/>
        <v>95796.767000773354</v>
      </c>
      <c r="EL217" s="2498">
        <f t="shared" ca="1" si="359"/>
        <v>94755.605052425861</v>
      </c>
      <c r="EM217" s="2498">
        <f t="shared" ca="1" si="359"/>
        <v>93706.708638999989</v>
      </c>
      <c r="EN217" s="2498">
        <f t="shared" ca="1" si="359"/>
        <v>92643.13350118071</v>
      </c>
      <c r="EO217" s="2498">
        <f t="shared" ca="1" si="359"/>
        <v>91544.93745086847</v>
      </c>
      <c r="EP217" s="2498">
        <f t="shared" ca="1" si="359"/>
        <v>91156.531837998249</v>
      </c>
      <c r="EQ217" s="2498">
        <f t="shared" ca="1" si="359"/>
        <v>90081.575735566235</v>
      </c>
      <c r="ER217" s="2498">
        <f t="shared" ca="1" si="359"/>
        <v>88995.511931619229</v>
      </c>
      <c r="ES217" s="2498">
        <f t="shared" ca="1" si="359"/>
        <v>87876.03743319276</v>
      </c>
      <c r="ET217" s="2498">
        <f t="shared" ca="1" si="359"/>
        <v>87104.610407579399</v>
      </c>
      <c r="EU217" s="2498">
        <f t="shared" ca="1" si="359"/>
        <v>86013.345649593888</v>
      </c>
      <c r="EV217" s="2498">
        <f t="shared" ca="1" si="359"/>
        <v>85051.887584036915</v>
      </c>
      <c r="EW217" s="2498">
        <f t="shared" ref="EW217:HH217" ca="1" si="360">EW$37*EW$51+EW$38*EW$54*EW$56*$G217</f>
        <v>84062.148648808536</v>
      </c>
      <c r="EX217" s="2498">
        <f t="shared" ca="1" si="360"/>
        <v>83090.013290927876</v>
      </c>
      <c r="EY217" s="2498">
        <f t="shared" ca="1" si="360"/>
        <v>82128.329442460032</v>
      </c>
      <c r="EZ217" s="2498">
        <f t="shared" ca="1" si="360"/>
        <v>80997.792723650564</v>
      </c>
      <c r="FA217" s="2498">
        <f t="shared" ca="1" si="360"/>
        <v>79836.38309719431</v>
      </c>
      <c r="FB217" s="2498">
        <f t="shared" ca="1" si="360"/>
        <v>79269.437435389584</v>
      </c>
      <c r="FC217" s="2498">
        <f t="shared" ca="1" si="360"/>
        <v>78131.815185066414</v>
      </c>
      <c r="FD217" s="2498">
        <f t="shared" ca="1" si="360"/>
        <v>77119.448956834429</v>
      </c>
      <c r="FE217" s="2498">
        <f t="shared" ca="1" si="360"/>
        <v>76080.867249695846</v>
      </c>
      <c r="FF217" s="2498">
        <f t="shared" ca="1" si="360"/>
        <v>75321.351449794223</v>
      </c>
      <c r="FG217" s="2498">
        <f t="shared" ca="1" si="360"/>
        <v>74307.143924260949</v>
      </c>
      <c r="FH217" s="2498">
        <f t="shared" ca="1" si="360"/>
        <v>73144.49761354248</v>
      </c>
      <c r="FI217" s="2498">
        <f t="shared" ca="1" si="360"/>
        <v>71953.969098575995</v>
      </c>
      <c r="FJ217" s="2498">
        <f t="shared" ca="1" si="360"/>
        <v>70782.146249426383</v>
      </c>
      <c r="FK217" s="2498">
        <f t="shared" ca="1" si="360"/>
        <v>69626.667841564049</v>
      </c>
      <c r="FL217" s="2498">
        <f t="shared" ca="1" si="360"/>
        <v>68479.704801981745</v>
      </c>
      <c r="FM217" s="2498">
        <f t="shared" ca="1" si="360"/>
        <v>67307.174198055698</v>
      </c>
      <c r="FN217" s="2498">
        <f t="shared" ca="1" si="360"/>
        <v>66611.30286675581</v>
      </c>
      <c r="FO217" s="2498">
        <f t="shared" ca="1" si="360"/>
        <v>65463.345489795684</v>
      </c>
      <c r="FP217" s="2498">
        <f t="shared" ca="1" si="360"/>
        <v>64287.99998724366</v>
      </c>
      <c r="FQ217" s="2498">
        <f t="shared" ca="1" si="360"/>
        <v>63088.533337660905</v>
      </c>
      <c r="FR217" s="2498">
        <f t="shared" ca="1" si="360"/>
        <v>62115.324469051571</v>
      </c>
      <c r="FS217" s="2498">
        <f t="shared" ca="1" si="360"/>
        <v>60947.456347391941</v>
      </c>
      <c r="FT217" s="2498">
        <f t="shared" ca="1" si="360"/>
        <v>59740.315713620701</v>
      </c>
      <c r="FU217" s="2498">
        <f t="shared" ca="1" si="360"/>
        <v>58510.68940237831</v>
      </c>
      <c r="FV217" s="2498">
        <f t="shared" ca="1" si="360"/>
        <v>57300.399841576196</v>
      </c>
      <c r="FW217" s="2498">
        <f t="shared" ca="1" si="360"/>
        <v>56110.525920196815</v>
      </c>
      <c r="FX217" s="2498">
        <f t="shared" ca="1" si="360"/>
        <v>54882.424077825315</v>
      </c>
      <c r="FY217" s="2498">
        <f t="shared" ca="1" si="360"/>
        <v>53633.972241374155</v>
      </c>
      <c r="FZ217" s="2498">
        <f t="shared" ca="1" si="360"/>
        <v>52746.507982765877</v>
      </c>
      <c r="GA217" s="2498">
        <f t="shared" ca="1" si="360"/>
        <v>51530.484422102483</v>
      </c>
      <c r="GB217" s="2498">
        <f t="shared" ca="1" si="360"/>
        <v>50290.216338558268</v>
      </c>
      <c r="GC217" s="2498">
        <f t="shared" ca="1" si="360"/>
        <v>49032.156308978374</v>
      </c>
      <c r="GD217" s="2498">
        <f t="shared" ca="1" si="360"/>
        <v>47947.514347722608</v>
      </c>
      <c r="GE217" s="2498">
        <f t="shared" ca="1" si="360"/>
        <v>46731.168022613914</v>
      </c>
      <c r="GF217" s="2498">
        <f t="shared" ca="1" si="360"/>
        <v>45600.381216603535</v>
      </c>
      <c r="GG217" s="2498">
        <f t="shared" ca="1" si="360"/>
        <v>44455.750079483776</v>
      </c>
      <c r="GH217" s="2498">
        <f t="shared" ca="1" si="360"/>
        <v>43333.022320839547</v>
      </c>
      <c r="GI217" s="2498">
        <f t="shared" ca="1" si="360"/>
        <v>42231.751192897173</v>
      </c>
      <c r="GJ217" s="2498">
        <f t="shared" ca="1" si="360"/>
        <v>42070.881467146071</v>
      </c>
      <c r="GK217" s="2498">
        <f t="shared" ca="1" si="360"/>
        <v>41902.566648948166</v>
      </c>
      <c r="GL217" s="2498">
        <f t="shared" ca="1" si="360"/>
        <v>41924.135387907772</v>
      </c>
      <c r="GM217" s="2498">
        <f t="shared" ca="1" si="360"/>
        <v>41721.971969023951</v>
      </c>
      <c r="GN217" s="2498">
        <f t="shared" ca="1" si="360"/>
        <v>40802.990819401319</v>
      </c>
      <c r="GO217" s="2498">
        <f t="shared" ca="1" si="360"/>
        <v>39875.183366665311</v>
      </c>
      <c r="GP217" s="2498">
        <f t="shared" ca="1" si="360"/>
        <v>39061.917468946704</v>
      </c>
      <c r="GQ217" s="2498">
        <f t="shared" ca="1" si="360"/>
        <v>38158.143898502094</v>
      </c>
      <c r="GR217" s="2498">
        <f t="shared" ca="1" si="360"/>
        <v>37151.192981658016</v>
      </c>
      <c r="GS217" s="2498">
        <f t="shared" ca="1" si="360"/>
        <v>36138.540784519515</v>
      </c>
      <c r="GT217" s="2498">
        <f t="shared" ca="1" si="360"/>
        <v>35141.396682250968</v>
      </c>
      <c r="GU217" s="2498">
        <f t="shared" ca="1" si="360"/>
        <v>34168.887759633857</v>
      </c>
      <c r="GV217" s="2498">
        <f t="shared" ca="1" si="360"/>
        <v>33137.129832050879</v>
      </c>
      <c r="GW217" s="2498">
        <f t="shared" ca="1" si="360"/>
        <v>32104.131676523295</v>
      </c>
      <c r="GX217" s="2498">
        <f t="shared" ca="1" si="360"/>
        <v>31251.303529282151</v>
      </c>
      <c r="GY217" s="2498">
        <f t="shared" ca="1" si="360"/>
        <v>30260.159282274399</v>
      </c>
      <c r="GZ217" s="2498">
        <f t="shared" ca="1" si="360"/>
        <v>29417.858182695192</v>
      </c>
      <c r="HA217" s="2498">
        <f t="shared" ca="1" si="360"/>
        <v>28575.380718933528</v>
      </c>
      <c r="HB217" s="2498">
        <f t="shared" ca="1" si="360"/>
        <v>27808.587201637383</v>
      </c>
      <c r="HC217" s="2498">
        <f t="shared" ca="1" si="360"/>
        <v>26997.83597342157</v>
      </c>
      <c r="HD217" s="2498">
        <f t="shared" ca="1" si="360"/>
        <v>26047.531118906132</v>
      </c>
      <c r="HE217" s="2498">
        <f t="shared" ca="1" si="360"/>
        <v>25106.012996221292</v>
      </c>
      <c r="HF217" s="2498">
        <f t="shared" ca="1" si="360"/>
        <v>24199.251562589656</v>
      </c>
      <c r="HG217" s="2498">
        <f t="shared" ca="1" si="360"/>
        <v>23320.416734590737</v>
      </c>
      <c r="HH217" s="2498">
        <f t="shared" ca="1" si="360"/>
        <v>22410.985876869432</v>
      </c>
      <c r="HI217" s="2498">
        <f t="shared" ref="HI217:IA217" ca="1" si="361">HI$37*HI$51+HI$38*HI$54*HI$56*$G217</f>
        <v>21519.080325007122</v>
      </c>
      <c r="HJ217" s="2498">
        <f t="shared" ca="1" si="361"/>
        <v>20738.09325889613</v>
      </c>
      <c r="HK217" s="2498">
        <f t="shared" ca="1" si="361"/>
        <v>19917.842750763128</v>
      </c>
      <c r="HL217" s="2498">
        <f t="shared" ca="1" si="361"/>
        <v>19118.60771395293</v>
      </c>
      <c r="HM217" s="2498">
        <f t="shared" ca="1" si="361"/>
        <v>18345.312796898404</v>
      </c>
      <c r="HN217" s="2498">
        <f t="shared" ca="1" si="361"/>
        <v>17643.57150155936</v>
      </c>
      <c r="HO217" s="2498">
        <f t="shared" ca="1" si="361"/>
        <v>16956.677842449491</v>
      </c>
      <c r="HP217" s="2498">
        <f t="shared" ca="1" si="361"/>
        <v>16325.032732273845</v>
      </c>
      <c r="HQ217" s="2498">
        <f t="shared" ca="1" si="361"/>
        <v>15725.606906452516</v>
      </c>
      <c r="HR217" s="2498">
        <f t="shared" ca="1" si="361"/>
        <v>15178.653955214189</v>
      </c>
      <c r="HS217" s="2498">
        <f t="shared" ca="1" si="361"/>
        <v>14671.182469035568</v>
      </c>
      <c r="HT217" s="2498">
        <f t="shared" ca="1" si="361"/>
        <v>14187.892669445535</v>
      </c>
      <c r="HU217" s="2498">
        <f t="shared" ca="1" si="361"/>
        <v>13749.993881907623</v>
      </c>
      <c r="HV217" s="2498">
        <f t="shared" ca="1" si="361"/>
        <v>13378.487148971228</v>
      </c>
      <c r="HW217" s="2498">
        <f t="shared" ca="1" si="361"/>
        <v>13050.157175648834</v>
      </c>
      <c r="HX217" s="2498">
        <f t="shared" ca="1" si="361"/>
        <v>12811.974053144952</v>
      </c>
      <c r="HY217" s="2498">
        <f t="shared" ca="1" si="361"/>
        <v>12608.363109041164</v>
      </c>
      <c r="HZ217" s="2498">
        <f t="shared" ca="1" si="361"/>
        <v>12443.816130301073</v>
      </c>
      <c r="IA217" s="2498">
        <f t="shared" ca="1" si="361"/>
        <v>12318.710509391101</v>
      </c>
    </row>
    <row r="219" spans="3:235" outlineLevel="1">
      <c r="C219" s="2348" t="s">
        <v>3945</v>
      </c>
    </row>
    <row r="220" spans="3:235" outlineLevel="1">
      <c r="P220" s="2504"/>
      <c r="Q220" s="2504"/>
    </row>
    <row r="221" spans="3:235" outlineLevel="1">
      <c r="J221" s="2658">
        <f t="shared" ref="J221:AK221" si="362">J67</f>
        <v>2003</v>
      </c>
      <c r="K221" s="2659">
        <f t="shared" si="362"/>
        <v>2003</v>
      </c>
      <c r="L221" s="2659">
        <f t="shared" si="362"/>
        <v>2003</v>
      </c>
      <c r="M221" s="2660">
        <f t="shared" si="362"/>
        <v>2003</v>
      </c>
      <c r="N221" s="2658">
        <f t="shared" si="362"/>
        <v>2004</v>
      </c>
      <c r="O221" s="2659">
        <f t="shared" si="362"/>
        <v>2004</v>
      </c>
      <c r="P221" s="2659">
        <f t="shared" si="362"/>
        <v>2004</v>
      </c>
      <c r="Q221" s="2661">
        <f t="shared" si="362"/>
        <v>2004</v>
      </c>
      <c r="R221" s="2662">
        <f t="shared" si="362"/>
        <v>2005</v>
      </c>
      <c r="S221" s="2659">
        <f t="shared" si="362"/>
        <v>2005</v>
      </c>
      <c r="T221" s="2659">
        <f t="shared" si="362"/>
        <v>2005</v>
      </c>
      <c r="U221" s="2660">
        <f t="shared" si="362"/>
        <v>2005</v>
      </c>
      <c r="V221" s="2658">
        <f t="shared" si="362"/>
        <v>2006</v>
      </c>
      <c r="W221" s="2659">
        <f t="shared" si="362"/>
        <v>2006</v>
      </c>
      <c r="X221" s="2659">
        <f t="shared" si="362"/>
        <v>2006</v>
      </c>
      <c r="Y221" s="2661">
        <f t="shared" si="362"/>
        <v>2006</v>
      </c>
      <c r="Z221" s="2662">
        <f t="shared" si="362"/>
        <v>2007</v>
      </c>
      <c r="AA221" s="2659">
        <f t="shared" si="362"/>
        <v>2007</v>
      </c>
      <c r="AB221" s="2659">
        <f t="shared" si="362"/>
        <v>2007</v>
      </c>
      <c r="AC221" s="2660">
        <f t="shared" si="362"/>
        <v>2007</v>
      </c>
      <c r="AD221" s="2658">
        <f t="shared" si="362"/>
        <v>2008</v>
      </c>
      <c r="AE221" s="2659">
        <f t="shared" si="362"/>
        <v>2008</v>
      </c>
      <c r="AF221" s="2659">
        <f t="shared" si="362"/>
        <v>2008</v>
      </c>
      <c r="AG221" s="2661">
        <f t="shared" si="362"/>
        <v>2008</v>
      </c>
      <c r="AH221" s="2658">
        <f t="shared" si="362"/>
        <v>2009</v>
      </c>
      <c r="AI221" s="2659">
        <f t="shared" si="362"/>
        <v>2009</v>
      </c>
      <c r="AJ221" s="2659">
        <f t="shared" si="362"/>
        <v>2009</v>
      </c>
      <c r="AK221" s="2661">
        <f t="shared" si="362"/>
        <v>2009</v>
      </c>
    </row>
    <row r="222" spans="3:235" outlineLevel="1">
      <c r="C222" s="2510" t="s">
        <v>11</v>
      </c>
      <c r="D222" s="2511"/>
      <c r="E222" s="2511"/>
      <c r="F222" s="2511"/>
      <c r="G222" s="2512"/>
      <c r="H222" s="2512" t="s">
        <v>40</v>
      </c>
      <c r="J222" s="2513">
        <f t="shared" ref="J222:AK222" si="363">J68</f>
        <v>1</v>
      </c>
      <c r="K222" s="2514">
        <f t="shared" si="363"/>
        <v>2</v>
      </c>
      <c r="L222" s="2514">
        <f t="shared" si="363"/>
        <v>3</v>
      </c>
      <c r="M222" s="2515">
        <f t="shared" si="363"/>
        <v>4</v>
      </c>
      <c r="N222" s="2513">
        <f t="shared" si="363"/>
        <v>1</v>
      </c>
      <c r="O222" s="2514">
        <f t="shared" si="363"/>
        <v>2</v>
      </c>
      <c r="P222" s="2514">
        <f t="shared" si="363"/>
        <v>3</v>
      </c>
      <c r="Q222" s="2515">
        <f t="shared" si="363"/>
        <v>4</v>
      </c>
      <c r="R222" s="2513">
        <f t="shared" si="363"/>
        <v>1</v>
      </c>
      <c r="S222" s="2514">
        <f t="shared" si="363"/>
        <v>2</v>
      </c>
      <c r="T222" s="2514">
        <f t="shared" si="363"/>
        <v>3</v>
      </c>
      <c r="U222" s="2515">
        <f t="shared" si="363"/>
        <v>4</v>
      </c>
      <c r="V222" s="2513">
        <f t="shared" si="363"/>
        <v>1</v>
      </c>
      <c r="W222" s="2514">
        <f t="shared" si="363"/>
        <v>2</v>
      </c>
      <c r="X222" s="2514">
        <f t="shared" si="363"/>
        <v>3</v>
      </c>
      <c r="Y222" s="2515">
        <f t="shared" si="363"/>
        <v>4</v>
      </c>
      <c r="Z222" s="2513">
        <f t="shared" si="363"/>
        <v>1</v>
      </c>
      <c r="AA222" s="2514">
        <f t="shared" si="363"/>
        <v>2</v>
      </c>
      <c r="AB222" s="2514">
        <f t="shared" si="363"/>
        <v>3</v>
      </c>
      <c r="AC222" s="2515">
        <f t="shared" si="363"/>
        <v>4</v>
      </c>
      <c r="AD222" s="2513">
        <f t="shared" si="363"/>
        <v>1</v>
      </c>
      <c r="AE222" s="2514">
        <f t="shared" si="363"/>
        <v>2</v>
      </c>
      <c r="AF222" s="2514">
        <f t="shared" si="363"/>
        <v>3</v>
      </c>
      <c r="AG222" s="2515">
        <f t="shared" si="363"/>
        <v>4</v>
      </c>
      <c r="AH222" s="2513">
        <f t="shared" si="363"/>
        <v>1</v>
      </c>
      <c r="AI222" s="2514">
        <f t="shared" si="363"/>
        <v>2</v>
      </c>
      <c r="AJ222" s="2514">
        <f t="shared" si="363"/>
        <v>3</v>
      </c>
      <c r="AK222" s="2515">
        <f t="shared" si="363"/>
        <v>4</v>
      </c>
    </row>
    <row r="223" spans="3:235" outlineLevel="1">
      <c r="C223" s="2354"/>
      <c r="D223" s="2348" t="s">
        <v>3946</v>
      </c>
      <c r="G223" s="2516">
        <f>H223-$H$21</f>
        <v>0</v>
      </c>
      <c r="H223" s="2517">
        <f>SUM(J223:AK223)</f>
        <v>205118.76659655818</v>
      </c>
      <c r="J223" s="2663">
        <f t="shared" ref="J223:AK223" si="364">J69</f>
        <v>0</v>
      </c>
      <c r="K223" s="2664">
        <f t="shared" si="364"/>
        <v>0</v>
      </c>
      <c r="L223" s="2664">
        <f t="shared" si="364"/>
        <v>2393.0090441241896</v>
      </c>
      <c r="M223" s="2665">
        <f t="shared" si="364"/>
        <v>5489.1880953490809</v>
      </c>
      <c r="N223" s="2663">
        <f t="shared" si="364"/>
        <v>1060.3877162313115</v>
      </c>
      <c r="O223" s="2664">
        <f t="shared" si="364"/>
        <v>5987.0940573733396</v>
      </c>
      <c r="P223" s="2664">
        <f t="shared" si="364"/>
        <v>3734.9465462205612</v>
      </c>
      <c r="Q223" s="2665">
        <f t="shared" si="364"/>
        <v>2995.4010936183126</v>
      </c>
      <c r="R223" s="2663">
        <f t="shared" si="364"/>
        <v>6847.8663328448738</v>
      </c>
      <c r="S223" s="2664">
        <f t="shared" si="364"/>
        <v>14217.89659421601</v>
      </c>
      <c r="T223" s="2664">
        <f t="shared" si="364"/>
        <v>3761.4510464833324</v>
      </c>
      <c r="U223" s="2665">
        <f t="shared" si="364"/>
        <v>7156.6675813751644</v>
      </c>
      <c r="V223" s="2663">
        <f t="shared" si="364"/>
        <v>3536.6882392147218</v>
      </c>
      <c r="W223" s="2664">
        <f t="shared" si="364"/>
        <v>2084.4415062290755</v>
      </c>
      <c r="X223" s="2664">
        <f t="shared" si="364"/>
        <v>7875.1459526639092</v>
      </c>
      <c r="Y223" s="2665">
        <f t="shared" si="364"/>
        <v>10391.545418215796</v>
      </c>
      <c r="Z223" s="2663">
        <f t="shared" si="364"/>
        <v>7107.6529540117117</v>
      </c>
      <c r="AA223" s="2664">
        <f t="shared" si="364"/>
        <v>11394.943407562469</v>
      </c>
      <c r="AB223" s="2664">
        <f t="shared" si="364"/>
        <v>12605.457416925397</v>
      </c>
      <c r="AC223" s="2665">
        <f t="shared" si="364"/>
        <v>14542.539145899496</v>
      </c>
      <c r="AD223" s="2663">
        <f t="shared" si="364"/>
        <v>20453.001105194617</v>
      </c>
      <c r="AE223" s="2664">
        <f t="shared" si="364"/>
        <v>18577.836926543598</v>
      </c>
      <c r="AF223" s="2664">
        <f t="shared" si="364"/>
        <v>25869.659017439379</v>
      </c>
      <c r="AG223" s="2665">
        <f t="shared" si="364"/>
        <v>17035.947398821816</v>
      </c>
      <c r="AH223" s="2663">
        <f t="shared" si="364"/>
        <v>0</v>
      </c>
      <c r="AI223" s="2664">
        <f t="shared" si="364"/>
        <v>0</v>
      </c>
      <c r="AJ223" s="2664">
        <f t="shared" si="364"/>
        <v>0</v>
      </c>
      <c r="AK223" s="2665">
        <f t="shared" si="364"/>
        <v>0</v>
      </c>
    </row>
    <row r="224" spans="3:235" outlineLevel="1">
      <c r="C224" s="2354"/>
      <c r="D224" s="2348" t="s">
        <v>3947</v>
      </c>
      <c r="G224" s="2516">
        <f>H224-$H$22</f>
        <v>0</v>
      </c>
      <c r="H224" s="2517">
        <f>SUM(J224:AK224)</f>
        <v>15903.097116257035</v>
      </c>
      <c r="J224" s="2663">
        <f t="shared" ref="J224:AK224" si="365">J70</f>
        <v>0</v>
      </c>
      <c r="K224" s="2664">
        <f t="shared" si="365"/>
        <v>0</v>
      </c>
      <c r="L224" s="2664">
        <f t="shared" si="365"/>
        <v>0</v>
      </c>
      <c r="M224" s="2665">
        <f t="shared" si="365"/>
        <v>0</v>
      </c>
      <c r="N224" s="2663">
        <f t="shared" si="365"/>
        <v>0</v>
      </c>
      <c r="O224" s="2664">
        <f t="shared" si="365"/>
        <v>0</v>
      </c>
      <c r="P224" s="2664">
        <f t="shared" si="365"/>
        <v>0</v>
      </c>
      <c r="Q224" s="2665">
        <f t="shared" si="365"/>
        <v>0</v>
      </c>
      <c r="R224" s="2663">
        <f t="shared" si="365"/>
        <v>0</v>
      </c>
      <c r="S224" s="2664">
        <f t="shared" si="365"/>
        <v>0</v>
      </c>
      <c r="T224" s="2664">
        <f t="shared" si="365"/>
        <v>0</v>
      </c>
      <c r="U224" s="2665">
        <f t="shared" si="365"/>
        <v>0</v>
      </c>
      <c r="V224" s="2663">
        <f t="shared" si="365"/>
        <v>62.060682040786773</v>
      </c>
      <c r="W224" s="2664">
        <f t="shared" si="365"/>
        <v>154.89874832017321</v>
      </c>
      <c r="X224" s="2664">
        <f t="shared" si="365"/>
        <v>209.61533785868644</v>
      </c>
      <c r="Y224" s="2665">
        <f t="shared" si="365"/>
        <v>416.33791911611405</v>
      </c>
      <c r="Z224" s="2663">
        <f t="shared" si="365"/>
        <v>689.11598634427867</v>
      </c>
      <c r="AA224" s="2664">
        <f t="shared" si="365"/>
        <v>875.69187638708615</v>
      </c>
      <c r="AB224" s="2664">
        <f t="shared" si="365"/>
        <v>1174.8091408356008</v>
      </c>
      <c r="AC224" s="2665">
        <f t="shared" si="365"/>
        <v>1505.7023980298925</v>
      </c>
      <c r="AD224" s="2663">
        <f t="shared" si="365"/>
        <v>1887.4440506097544</v>
      </c>
      <c r="AE224" s="2664">
        <f t="shared" si="365"/>
        <v>2424.335329621113</v>
      </c>
      <c r="AF224" s="2664">
        <f t="shared" si="365"/>
        <v>2912.0035489428828</v>
      </c>
      <c r="AG224" s="2665">
        <f t="shared" si="365"/>
        <v>3591.0820981506663</v>
      </c>
      <c r="AH224" s="2663">
        <f t="shared" si="365"/>
        <v>0</v>
      </c>
      <c r="AI224" s="2664">
        <f t="shared" si="365"/>
        <v>0</v>
      </c>
      <c r="AJ224" s="2664">
        <f t="shared" si="365"/>
        <v>0</v>
      </c>
      <c r="AK224" s="2665">
        <f t="shared" si="365"/>
        <v>0</v>
      </c>
    </row>
    <row r="225" spans="2:39" outlineLevel="1">
      <c r="C225" s="2521"/>
      <c r="D225" s="2434" t="s">
        <v>3948</v>
      </c>
      <c r="E225" s="2434"/>
      <c r="F225" s="2434"/>
      <c r="G225" s="2522">
        <f>H225-$H$23</f>
        <v>0</v>
      </c>
      <c r="H225" s="2523">
        <f>SUM(J225:AK225)</f>
        <v>189215.66948030112</v>
      </c>
      <c r="J225" s="2524">
        <f t="shared" ref="J225:AK225" si="366">J223-J224</f>
        <v>0</v>
      </c>
      <c r="K225" s="2525">
        <f t="shared" si="366"/>
        <v>0</v>
      </c>
      <c r="L225" s="2525">
        <f t="shared" si="366"/>
        <v>2393.0090441241896</v>
      </c>
      <c r="M225" s="2526">
        <f t="shared" si="366"/>
        <v>5489.1880953490809</v>
      </c>
      <c r="N225" s="2524">
        <f t="shared" si="366"/>
        <v>1060.3877162313115</v>
      </c>
      <c r="O225" s="2525">
        <f t="shared" si="366"/>
        <v>5987.0940573733396</v>
      </c>
      <c r="P225" s="2525">
        <f t="shared" si="366"/>
        <v>3734.9465462205612</v>
      </c>
      <c r="Q225" s="2526">
        <f t="shared" si="366"/>
        <v>2995.4010936183126</v>
      </c>
      <c r="R225" s="2524">
        <f t="shared" si="366"/>
        <v>6847.8663328448738</v>
      </c>
      <c r="S225" s="2525">
        <f t="shared" si="366"/>
        <v>14217.89659421601</v>
      </c>
      <c r="T225" s="2525">
        <f t="shared" si="366"/>
        <v>3761.4510464833324</v>
      </c>
      <c r="U225" s="2526">
        <f t="shared" si="366"/>
        <v>7156.6675813751644</v>
      </c>
      <c r="V225" s="2524">
        <f t="shared" si="366"/>
        <v>3474.6275571739352</v>
      </c>
      <c r="W225" s="2525">
        <f t="shared" si="366"/>
        <v>1929.5427579089023</v>
      </c>
      <c r="X225" s="2525">
        <f t="shared" si="366"/>
        <v>7665.5306148052223</v>
      </c>
      <c r="Y225" s="2526">
        <f t="shared" si="366"/>
        <v>9975.2074990996807</v>
      </c>
      <c r="Z225" s="2524">
        <f t="shared" si="366"/>
        <v>6418.5369676674327</v>
      </c>
      <c r="AA225" s="2525">
        <f t="shared" si="366"/>
        <v>10519.251531175383</v>
      </c>
      <c r="AB225" s="2525">
        <f t="shared" si="366"/>
        <v>11430.648276089796</v>
      </c>
      <c r="AC225" s="2526">
        <f t="shared" si="366"/>
        <v>13036.836747869604</v>
      </c>
      <c r="AD225" s="2524">
        <f t="shared" si="366"/>
        <v>18565.55705458486</v>
      </c>
      <c r="AE225" s="2525">
        <f t="shared" si="366"/>
        <v>16153.501596922484</v>
      </c>
      <c r="AF225" s="2525">
        <f t="shared" si="366"/>
        <v>22957.655468496494</v>
      </c>
      <c r="AG225" s="2526">
        <f t="shared" si="366"/>
        <v>13444.86530067115</v>
      </c>
      <c r="AH225" s="2524">
        <f t="shared" si="366"/>
        <v>0</v>
      </c>
      <c r="AI225" s="2525">
        <f t="shared" si="366"/>
        <v>0</v>
      </c>
      <c r="AJ225" s="2525">
        <f t="shared" si="366"/>
        <v>0</v>
      </c>
      <c r="AK225" s="2526">
        <f t="shared" si="366"/>
        <v>0</v>
      </c>
    </row>
    <row r="226" spans="2:39" outlineLevel="1"/>
    <row r="227" spans="2:39" outlineLevel="1">
      <c r="C227" s="2348" t="s">
        <v>3949</v>
      </c>
    </row>
    <row r="228" spans="2:39" outlineLevel="1">
      <c r="AF228" s="2669"/>
    </row>
    <row r="229" spans="2:39" outlineLevel="1">
      <c r="E229" s="2529" t="s">
        <v>3978</v>
      </c>
      <c r="F229" s="2511"/>
      <c r="G229" s="2511"/>
      <c r="H229" s="2512"/>
      <c r="J229" s="2530">
        <v>2003</v>
      </c>
      <c r="K229" s="2531">
        <v>2004</v>
      </c>
      <c r="L229" s="2531">
        <v>2005</v>
      </c>
      <c r="M229" s="2531">
        <v>2006</v>
      </c>
      <c r="N229" s="2531">
        <v>2007</v>
      </c>
      <c r="O229" s="2531">
        <v>2008</v>
      </c>
      <c r="P229" s="2532">
        <v>2009</v>
      </c>
      <c r="AM229" s="2669"/>
    </row>
    <row r="230" spans="2:39" outlineLevel="1">
      <c r="E230" s="2666"/>
      <c r="F230" s="2355" t="s">
        <v>3983</v>
      </c>
      <c r="G230" s="2355"/>
      <c r="H230" s="2667"/>
      <c r="J230" s="2670">
        <f t="shared" ref="J230:P230" si="367">J164</f>
        <v>6.7600000000000007E-2</v>
      </c>
      <c r="K230" s="2671">
        <f t="shared" si="367"/>
        <v>6.3500000000000001E-2</v>
      </c>
      <c r="L230" s="2671">
        <f t="shared" si="367"/>
        <v>6.5199999999999994E-2</v>
      </c>
      <c r="M230" s="2671">
        <f t="shared" si="367"/>
        <v>6.9599999999999995E-2</v>
      </c>
      <c r="N230" s="2671">
        <f t="shared" si="367"/>
        <v>7.2800000000000004E-2</v>
      </c>
      <c r="O230" s="2671">
        <f t="shared" si="367"/>
        <v>7.3599999999999999E-2</v>
      </c>
      <c r="P230" s="2672">
        <f t="shared" si="367"/>
        <v>6.6400000000000001E-2</v>
      </c>
      <c r="AM230" s="2669"/>
    </row>
    <row r="231" spans="2:39" outlineLevel="1">
      <c r="E231" s="2534"/>
      <c r="F231" s="2348" t="s">
        <v>3986</v>
      </c>
      <c r="H231" s="2535"/>
      <c r="I231" s="2541"/>
      <c r="J231" s="2542">
        <f t="shared" ref="J231:P231" si="368">J78</f>
        <v>0.12591181523070905</v>
      </c>
      <c r="K231" s="2543">
        <f t="shared" si="368"/>
        <v>0.12174329160305342</v>
      </c>
      <c r="L231" s="2543">
        <f t="shared" si="368"/>
        <v>0.1172209459459459</v>
      </c>
      <c r="M231" s="2543">
        <f t="shared" si="368"/>
        <v>0.11143731777752119</v>
      </c>
      <c r="N231" s="2543">
        <f t="shared" si="368"/>
        <v>0.1279719409807869</v>
      </c>
      <c r="O231" s="2543">
        <f t="shared" si="368"/>
        <v>0.13376228294345061</v>
      </c>
      <c r="P231" s="2544">
        <f t="shared" si="368"/>
        <v>0.1191839653508957</v>
      </c>
      <c r="AM231" s="2669"/>
    </row>
    <row r="232" spans="2:39" outlineLevel="1">
      <c r="E232" s="2534"/>
      <c r="F232" s="2348" t="s">
        <v>3987</v>
      </c>
      <c r="H232" s="2540"/>
      <c r="I232" s="2541"/>
      <c r="J232" s="2542">
        <f t="shared" ref="J232:P232" si="369">AVERAGE(J230:J231)</f>
        <v>9.6755907615354519E-2</v>
      </c>
      <c r="K232" s="2543">
        <f t="shared" si="369"/>
        <v>9.2621645801526709E-2</v>
      </c>
      <c r="L232" s="2543">
        <f t="shared" si="369"/>
        <v>9.1210472972972939E-2</v>
      </c>
      <c r="M232" s="2543">
        <f t="shared" si="369"/>
        <v>9.0518658888760595E-2</v>
      </c>
      <c r="N232" s="2543">
        <f t="shared" si="369"/>
        <v>0.10038597049039345</v>
      </c>
      <c r="O232" s="2543">
        <f t="shared" si="369"/>
        <v>0.1036811414717253</v>
      </c>
      <c r="P232" s="2544">
        <f t="shared" si="369"/>
        <v>9.2791982675447859E-2</v>
      </c>
      <c r="AM232" s="2669"/>
    </row>
    <row r="233" spans="2:39" outlineLevel="1">
      <c r="E233" s="2547"/>
      <c r="F233" s="2349" t="s">
        <v>3988</v>
      </c>
      <c r="G233" s="2349"/>
      <c r="H233" s="2548"/>
      <c r="I233" s="2541"/>
      <c r="J233" s="2549">
        <f t="shared" ref="J233:P233" si="370">(1+J232)^(1/4)-1</f>
        <v>2.3357779984088722E-2</v>
      </c>
      <c r="K233" s="2550">
        <f t="shared" si="370"/>
        <v>2.2392017514329288E-2</v>
      </c>
      <c r="L233" s="2550">
        <f t="shared" si="370"/>
        <v>2.2061740527347551E-2</v>
      </c>
      <c r="M233" s="2550">
        <f t="shared" si="370"/>
        <v>2.1899708341305724E-2</v>
      </c>
      <c r="N233" s="2550">
        <f t="shared" si="370"/>
        <v>2.4203513098642215E-2</v>
      </c>
      <c r="O233" s="2550">
        <f t="shared" si="370"/>
        <v>2.4969413084385828E-2</v>
      </c>
      <c r="P233" s="2551">
        <f t="shared" si="370"/>
        <v>2.2431862249385537E-2</v>
      </c>
      <c r="AM233" s="2669"/>
    </row>
    <row r="234" spans="2:39" outlineLevel="1"/>
    <row r="235" spans="2:39" outlineLevel="1">
      <c r="C235" s="2529" t="s">
        <v>3955</v>
      </c>
      <c r="D235" s="2511" t="s">
        <v>3956</v>
      </c>
      <c r="E235" s="2511" t="s">
        <v>3957</v>
      </c>
      <c r="F235" s="2511" t="s">
        <v>3958</v>
      </c>
      <c r="G235" s="2512" t="s">
        <v>3989</v>
      </c>
      <c r="H235" s="2512" t="s">
        <v>40</v>
      </c>
    </row>
    <row r="236" spans="2:39" outlineLevel="1">
      <c r="B236" s="2348">
        <v>1</v>
      </c>
      <c r="C236" s="2552">
        <f t="shared" ref="C236:C263" si="371">H236*E236</f>
        <v>0</v>
      </c>
      <c r="D236" s="2553">
        <v>2003</v>
      </c>
      <c r="E236" s="2554">
        <v>1</v>
      </c>
      <c r="F236" s="2528">
        <v>37711</v>
      </c>
      <c r="G236" s="2555">
        <f t="shared" ref="G236:G263" si="372">SUMIF($J$229:$P$229,D236,$J$233:$P$233)</f>
        <v>2.3357779984088722E-2</v>
      </c>
      <c r="H236" s="2517">
        <f t="shared" ref="H236:H263" si="373">SUM(J236:AK236)</f>
        <v>0</v>
      </c>
      <c r="J236" s="2556"/>
      <c r="K236" s="2557"/>
      <c r="L236" s="2558"/>
      <c r="M236" s="2559"/>
      <c r="N236" s="2560"/>
      <c r="O236" s="2558"/>
      <c r="P236" s="2558"/>
      <c r="Q236" s="2559"/>
      <c r="R236" s="2560"/>
      <c r="S236" s="2558"/>
      <c r="T236" s="2558"/>
      <c r="U236" s="2559"/>
      <c r="V236" s="2556"/>
      <c r="W236" s="2557"/>
      <c r="X236" s="2557"/>
      <c r="Y236" s="2561"/>
      <c r="Z236" s="2556"/>
      <c r="AA236" s="2557"/>
      <c r="AB236" s="2557"/>
      <c r="AC236" s="2561"/>
      <c r="AD236" s="2556"/>
      <c r="AE236" s="2557"/>
      <c r="AF236" s="2557"/>
      <c r="AG236" s="2561"/>
      <c r="AH236" s="2556"/>
      <c r="AI236" s="2557"/>
      <c r="AJ236" s="2557"/>
      <c r="AK236" s="2561"/>
    </row>
    <row r="237" spans="2:39" outlineLevel="1">
      <c r="B237" s="2348">
        <v>2</v>
      </c>
      <c r="C237" s="2552">
        <f t="shared" si="371"/>
        <v>0</v>
      </c>
      <c r="D237" s="2562">
        <f>D236</f>
        <v>2003</v>
      </c>
      <c r="E237" s="2554">
        <v>1</v>
      </c>
      <c r="F237" s="2528">
        <f t="shared" ref="F237:F263" si="374">EOMONTH(F236,3)</f>
        <v>37802</v>
      </c>
      <c r="G237" s="2555">
        <f t="shared" si="372"/>
        <v>2.3357779984088722E-2</v>
      </c>
      <c r="H237" s="2517">
        <f t="shared" si="373"/>
        <v>0</v>
      </c>
      <c r="J237" s="2563"/>
      <c r="K237" s="2564"/>
      <c r="L237" s="2565"/>
      <c r="M237" s="2566"/>
      <c r="N237" s="2567"/>
      <c r="O237" s="2565"/>
      <c r="P237" s="2565"/>
      <c r="Q237" s="2566"/>
      <c r="R237" s="2567"/>
      <c r="S237" s="2565"/>
      <c r="T237" s="2565"/>
      <c r="U237" s="2566"/>
      <c r="V237" s="2563"/>
      <c r="W237" s="2564"/>
      <c r="X237" s="2564"/>
      <c r="Y237" s="2568"/>
      <c r="Z237" s="2563"/>
      <c r="AA237" s="2564"/>
      <c r="AB237" s="2564"/>
      <c r="AC237" s="2568"/>
      <c r="AD237" s="2563"/>
      <c r="AE237" s="2564"/>
      <c r="AF237" s="2564"/>
      <c r="AG237" s="2568"/>
      <c r="AH237" s="2563"/>
      <c r="AI237" s="2564"/>
      <c r="AJ237" s="2564"/>
      <c r="AK237" s="2568"/>
    </row>
    <row r="238" spans="2:39" outlineLevel="1">
      <c r="B238" s="2348">
        <v>3</v>
      </c>
      <c r="C238" s="2552">
        <f t="shared" si="371"/>
        <v>0</v>
      </c>
      <c r="D238" s="2562">
        <f>D237</f>
        <v>2003</v>
      </c>
      <c r="E238" s="2554">
        <v>1</v>
      </c>
      <c r="F238" s="2528">
        <f t="shared" si="374"/>
        <v>37894</v>
      </c>
      <c r="G238" s="2555">
        <f t="shared" si="372"/>
        <v>2.3357779984088722E-2</v>
      </c>
      <c r="H238" s="2517">
        <f t="shared" si="373"/>
        <v>0</v>
      </c>
      <c r="J238" s="2563"/>
      <c r="K238" s="2564"/>
      <c r="L238" s="2565"/>
      <c r="M238" s="2566"/>
      <c r="N238" s="2567"/>
      <c r="O238" s="2565"/>
      <c r="P238" s="2565"/>
      <c r="Q238" s="2566"/>
      <c r="R238" s="2567"/>
      <c r="S238" s="2565"/>
      <c r="T238" s="2565"/>
      <c r="U238" s="2566"/>
      <c r="V238" s="2563"/>
      <c r="W238" s="2564"/>
      <c r="X238" s="2564"/>
      <c r="Y238" s="2568"/>
      <c r="Z238" s="2563"/>
      <c r="AA238" s="2564"/>
      <c r="AB238" s="2564"/>
      <c r="AC238" s="2568"/>
      <c r="AD238" s="2563"/>
      <c r="AE238" s="2564"/>
      <c r="AF238" s="2564"/>
      <c r="AG238" s="2568"/>
      <c r="AH238" s="2563"/>
      <c r="AI238" s="2564"/>
      <c r="AJ238" s="2564"/>
      <c r="AK238" s="2568"/>
    </row>
    <row r="239" spans="2:39" outlineLevel="1">
      <c r="B239" s="2348">
        <v>4</v>
      </c>
      <c r="C239" s="2569">
        <f t="shared" si="371"/>
        <v>55.895378752587284</v>
      </c>
      <c r="D239" s="2570">
        <f>D238</f>
        <v>2003</v>
      </c>
      <c r="E239" s="2571">
        <v>1</v>
      </c>
      <c r="F239" s="2572">
        <f t="shared" si="374"/>
        <v>37986</v>
      </c>
      <c r="G239" s="2573">
        <f t="shared" si="372"/>
        <v>2.3357779984088722E-2</v>
      </c>
      <c r="H239" s="2574">
        <f t="shared" si="373"/>
        <v>55.895378752587284</v>
      </c>
      <c r="J239" s="2575"/>
      <c r="K239" s="2576"/>
      <c r="L239" s="2577">
        <f>(L$225+SUM(L$236:L238))*$G239</f>
        <v>55.895378752587284</v>
      </c>
      <c r="M239" s="2578"/>
      <c r="N239" s="2579"/>
      <c r="O239" s="2580"/>
      <c r="P239" s="2580"/>
      <c r="Q239" s="2578"/>
      <c r="R239" s="2579"/>
      <c r="S239" s="2580"/>
      <c r="T239" s="2580"/>
      <c r="U239" s="2578"/>
      <c r="V239" s="2575"/>
      <c r="W239" s="2576"/>
      <c r="X239" s="2576"/>
      <c r="Y239" s="2581"/>
      <c r="Z239" s="2575"/>
      <c r="AA239" s="2576"/>
      <c r="AB239" s="2576"/>
      <c r="AC239" s="2581"/>
      <c r="AD239" s="2575"/>
      <c r="AE239" s="2576"/>
      <c r="AF239" s="2576"/>
      <c r="AG239" s="2581"/>
      <c r="AH239" s="2575"/>
      <c r="AI239" s="2576"/>
      <c r="AJ239" s="2576"/>
      <c r="AK239" s="2581"/>
    </row>
    <row r="240" spans="2:39" outlineLevel="1">
      <c r="B240" s="2348">
        <v>1</v>
      </c>
      <c r="C240" s="2552">
        <f t="shared" si="371"/>
        <v>177.74990669847969</v>
      </c>
      <c r="D240" s="2553">
        <f>D239+1</f>
        <v>2004</v>
      </c>
      <c r="E240" s="2582">
        <v>1</v>
      </c>
      <c r="F240" s="2528">
        <f t="shared" si="374"/>
        <v>38077</v>
      </c>
      <c r="G240" s="2555">
        <f t="shared" si="372"/>
        <v>2.2392017514329288E-2</v>
      </c>
      <c r="H240" s="2517">
        <f t="shared" si="373"/>
        <v>177.74990669847969</v>
      </c>
      <c r="J240" s="2563"/>
      <c r="K240" s="2564"/>
      <c r="L240" s="2583">
        <f>(L$225+SUM(L$236:L239))*$G240</f>
        <v>54.835910727975246</v>
      </c>
      <c r="M240" s="2584">
        <f>(M$225+SUM(M$236:M239))*$G240</f>
        <v>122.91399597050444</v>
      </c>
      <c r="N240" s="2563"/>
      <c r="O240" s="2564"/>
      <c r="P240" s="2564"/>
      <c r="Q240" s="2568"/>
      <c r="R240" s="2560"/>
      <c r="S240" s="2558"/>
      <c r="T240" s="2558"/>
      <c r="U240" s="2559"/>
      <c r="V240" s="2563"/>
      <c r="W240" s="2564"/>
      <c r="X240" s="2564"/>
      <c r="Y240" s="2568"/>
      <c r="Z240" s="2563"/>
      <c r="AA240" s="2564"/>
      <c r="AB240" s="2564"/>
      <c r="AC240" s="2568"/>
      <c r="AD240" s="2563"/>
      <c r="AE240" s="2564"/>
      <c r="AF240" s="2564"/>
      <c r="AG240" s="2568"/>
      <c r="AH240" s="2563"/>
      <c r="AI240" s="2564"/>
      <c r="AJ240" s="2564"/>
      <c r="AK240" s="2568"/>
    </row>
    <row r="241" spans="2:37" outlineLevel="1">
      <c r="B241" s="2348">
        <v>2</v>
      </c>
      <c r="C241" s="2552">
        <f t="shared" si="371"/>
        <v>205.47430603627362</v>
      </c>
      <c r="D241" s="2562">
        <f>D240</f>
        <v>2004</v>
      </c>
      <c r="E241" s="2582">
        <v>1</v>
      </c>
      <c r="F241" s="2528">
        <f t="shared" si="374"/>
        <v>38168</v>
      </c>
      <c r="G241" s="2555">
        <f t="shared" si="372"/>
        <v>2.2392017514329288E-2</v>
      </c>
      <c r="H241" s="2517">
        <f t="shared" si="373"/>
        <v>205.47430603627362</v>
      </c>
      <c r="J241" s="2563"/>
      <c r="K241" s="2564"/>
      <c r="L241" s="2583">
        <f>(L$225+SUM(L$236:L240))*$G241</f>
        <v>56.06379740141027</v>
      </c>
      <c r="M241" s="2584">
        <f>(M$225+SUM(M$236:M240))*$G241</f>
        <v>125.66628832103218</v>
      </c>
      <c r="N241" s="2585">
        <f>(N$225+SUM(N$236:N240))*$G241</f>
        <v>23.74422031383116</v>
      </c>
      <c r="O241" s="2564"/>
      <c r="P241" s="2564"/>
      <c r="Q241" s="2568"/>
      <c r="R241" s="2567"/>
      <c r="S241" s="2565"/>
      <c r="T241" s="2565"/>
      <c r="U241" s="2566"/>
      <c r="V241" s="2563"/>
      <c r="W241" s="2564"/>
      <c r="X241" s="2564"/>
      <c r="Y241" s="2568"/>
      <c r="Z241" s="2563"/>
      <c r="AA241" s="2564"/>
      <c r="AB241" s="2564"/>
      <c r="AC241" s="2568"/>
      <c r="AD241" s="2563"/>
      <c r="AE241" s="2564"/>
      <c r="AF241" s="2564"/>
      <c r="AG241" s="2568"/>
      <c r="AH241" s="2563"/>
      <c r="AI241" s="2564"/>
      <c r="AJ241" s="2564"/>
      <c r="AK241" s="2568"/>
    </row>
    <row r="242" spans="2:37" outlineLevel="1">
      <c r="B242" s="2348">
        <v>3</v>
      </c>
      <c r="C242" s="2552">
        <f t="shared" si="371"/>
        <v>344.13840528842309</v>
      </c>
      <c r="D242" s="2562">
        <f>D241</f>
        <v>2004</v>
      </c>
      <c r="E242" s="2582">
        <v>1</v>
      </c>
      <c r="F242" s="2528">
        <f t="shared" si="374"/>
        <v>38260</v>
      </c>
      <c r="G242" s="2555">
        <f t="shared" si="372"/>
        <v>2.2392017514329288E-2</v>
      </c>
      <c r="H242" s="2517">
        <f t="shared" si="373"/>
        <v>344.13840528842309</v>
      </c>
      <c r="J242" s="2563"/>
      <c r="K242" s="2564"/>
      <c r="L242" s="2583">
        <f>(L$225+SUM(L$236:L241))*$G242</f>
        <v>57.319178934742453</v>
      </c>
      <c r="M242" s="2584">
        <f>(M$225+SUM(M$236:M241))*$G242</f>
        <v>128.48021005007749</v>
      </c>
      <c r="N242" s="2585">
        <f>(N$225+SUM(N$236:N241))*$G242</f>
        <v>24.275901310962563</v>
      </c>
      <c r="O242" s="2583">
        <f>(O$225+SUM(O$236:O241))*$G242</f>
        <v>134.06311499264061</v>
      </c>
      <c r="P242" s="2564"/>
      <c r="Q242" s="2568"/>
      <c r="R242" s="2567"/>
      <c r="S242" s="2565"/>
      <c r="T242" s="2565"/>
      <c r="U242" s="2566"/>
      <c r="V242" s="2563"/>
      <c r="W242" s="2564"/>
      <c r="X242" s="2564"/>
      <c r="Y242" s="2568"/>
      <c r="Z242" s="2563"/>
      <c r="AA242" s="2564"/>
      <c r="AB242" s="2564"/>
      <c r="AC242" s="2568"/>
      <c r="AD242" s="2563"/>
      <c r="AE242" s="2564"/>
      <c r="AF242" s="2564"/>
      <c r="AG242" s="2568"/>
      <c r="AH242" s="2563"/>
      <c r="AI242" s="2564"/>
      <c r="AJ242" s="2564"/>
      <c r="AK242" s="2568"/>
    </row>
    <row r="243" spans="2:37" outlineLevel="1">
      <c r="B243" s="2348">
        <v>4</v>
      </c>
      <c r="C243" s="2569">
        <f t="shared" si="371"/>
        <v>435.47734696504926</v>
      </c>
      <c r="D243" s="2570">
        <f>D242</f>
        <v>2004</v>
      </c>
      <c r="E243" s="2586">
        <v>1</v>
      </c>
      <c r="F243" s="2572">
        <f t="shared" si="374"/>
        <v>38352</v>
      </c>
      <c r="G243" s="2573">
        <f t="shared" si="372"/>
        <v>2.2392017514329288E-2</v>
      </c>
      <c r="H243" s="2574">
        <f t="shared" si="373"/>
        <v>435.47734696504926</v>
      </c>
      <c r="J243" s="2575"/>
      <c r="K243" s="2576"/>
      <c r="L243" s="2577">
        <f>(L$225+SUM(L$236:L242))*$G243</f>
        <v>58.60267099335617</v>
      </c>
      <c r="M243" s="2587">
        <f>(M$225+SUM(M$236:M242))*$G243</f>
        <v>131.35714116376352</v>
      </c>
      <c r="N243" s="2588">
        <f>(N$225+SUM(N$236:N242))*$G243</f>
        <v>24.819487718293768</v>
      </c>
      <c r="O243" s="2577">
        <f>(O$225+SUM(O$236:O242))*$G243</f>
        <v>137.06505861158135</v>
      </c>
      <c r="P243" s="2577">
        <f>(P$225+SUM(P$236:P242))*$G243</f>
        <v>83.632988478054486</v>
      </c>
      <c r="Q243" s="2581"/>
      <c r="R243" s="2579"/>
      <c r="S243" s="2580"/>
      <c r="T243" s="2580"/>
      <c r="U243" s="2578"/>
      <c r="V243" s="2575"/>
      <c r="W243" s="2576"/>
      <c r="X243" s="2576"/>
      <c r="Y243" s="2581"/>
      <c r="Z243" s="2575"/>
      <c r="AA243" s="2576"/>
      <c r="AB243" s="2576"/>
      <c r="AC243" s="2581"/>
      <c r="AD243" s="2575"/>
      <c r="AE243" s="2576"/>
      <c r="AF243" s="2576"/>
      <c r="AG243" s="2581"/>
      <c r="AH243" s="2575"/>
      <c r="AI243" s="2576"/>
      <c r="AJ243" s="2576"/>
      <c r="AK243" s="2581"/>
    </row>
    <row r="244" spans="2:37" outlineLevel="1">
      <c r="B244" s="2348">
        <v>1</v>
      </c>
      <c r="C244" s="2552">
        <f t="shared" si="371"/>
        <v>504.74530855102603</v>
      </c>
      <c r="D244" s="2553">
        <f>D243+1</f>
        <v>2005</v>
      </c>
      <c r="E244" s="2582">
        <v>1</v>
      </c>
      <c r="F244" s="2528">
        <f t="shared" si="374"/>
        <v>38442</v>
      </c>
      <c r="G244" s="2555">
        <f t="shared" si="372"/>
        <v>2.2061740527347551E-2</v>
      </c>
      <c r="H244" s="2517">
        <f t="shared" si="373"/>
        <v>504.74530855102603</v>
      </c>
      <c r="J244" s="2563"/>
      <c r="K244" s="2564"/>
      <c r="L244" s="2583">
        <f>(L$225+SUM(L$236:L243))*$G244</f>
        <v>59.03117231365416</v>
      </c>
      <c r="M244" s="2584">
        <f>(M$225+SUM(M$236:M243))*$G244</f>
        <v>132.31762141944373</v>
      </c>
      <c r="N244" s="2585">
        <f>(N$225+SUM(N$236:N243))*$G244</f>
        <v>25.000967215322394</v>
      </c>
      <c r="O244" s="2583">
        <f>(O$225+SUM(O$236:O243))*$G244</f>
        <v>138.06727502230507</v>
      </c>
      <c r="P244" s="2583">
        <f>(P$225+SUM(P$236:P243))*$G244</f>
        <v>84.244510877560401</v>
      </c>
      <c r="Q244" s="2584">
        <f>(Q$225+SUM(Q$236:Q243))*$G244</f>
        <v>66.083761702740304</v>
      </c>
      <c r="R244" s="2563"/>
      <c r="S244" s="2564"/>
      <c r="T244" s="2564"/>
      <c r="U244" s="2568"/>
      <c r="V244" s="2563"/>
      <c r="W244" s="2564"/>
      <c r="X244" s="2564"/>
      <c r="Y244" s="2568"/>
      <c r="Z244" s="2563"/>
      <c r="AA244" s="2564"/>
      <c r="AB244" s="2564"/>
      <c r="AC244" s="2568"/>
      <c r="AD244" s="2563"/>
      <c r="AE244" s="2564"/>
      <c r="AF244" s="2564"/>
      <c r="AG244" s="2568"/>
      <c r="AH244" s="2563"/>
      <c r="AI244" s="2564"/>
      <c r="AJ244" s="2564"/>
      <c r="AK244" s="2568"/>
    </row>
    <row r="245" spans="2:37" outlineLevel="1">
      <c r="B245" s="2348">
        <v>2</v>
      </c>
      <c r="C245" s="2552">
        <f t="shared" si="371"/>
        <v>666.95671878185749</v>
      </c>
      <c r="D245" s="2562">
        <f>D244</f>
        <v>2005</v>
      </c>
      <c r="E245" s="2582">
        <v>1</v>
      </c>
      <c r="F245" s="2528">
        <f t="shared" si="374"/>
        <v>38533</v>
      </c>
      <c r="G245" s="2555">
        <f t="shared" si="372"/>
        <v>2.2061740527347551E-2</v>
      </c>
      <c r="H245" s="2517">
        <f t="shared" si="373"/>
        <v>666.95671878185749</v>
      </c>
      <c r="J245" s="2563"/>
      <c r="K245" s="2564"/>
      <c r="L245" s="2583">
        <f>(L$225+SUM(L$236:L244))*$G245</f>
        <v>60.333502720263148</v>
      </c>
      <c r="M245" s="2584">
        <f>(M$225+SUM(M$236:M244))*$G245</f>
        <v>135.23677845039532</v>
      </c>
      <c r="N245" s="2585">
        <f>(N$225+SUM(N$236:N244))*$G245</f>
        <v>25.552532066959561</v>
      </c>
      <c r="O245" s="2583">
        <f>(O$225+SUM(O$236:O244))*$G245</f>
        <v>141.11327941916511</v>
      </c>
      <c r="P245" s="2583">
        <f>(P$225+SUM(P$236:P244))*$G245</f>
        <v>86.103091417394452</v>
      </c>
      <c r="Q245" s="2584">
        <f>(Q$225+SUM(Q$236:Q244))*$G245</f>
        <v>67.541684506497234</v>
      </c>
      <c r="R245" s="2585">
        <f>(R$225+SUM(R$236:R244))*$G245</f>
        <v>151.07585020118262</v>
      </c>
      <c r="S245" s="2564"/>
      <c r="T245" s="2564"/>
      <c r="U245" s="2568"/>
      <c r="V245" s="2563"/>
      <c r="W245" s="2564"/>
      <c r="X245" s="2564"/>
      <c r="Y245" s="2568"/>
      <c r="Z245" s="2563"/>
      <c r="AA245" s="2564"/>
      <c r="AB245" s="2564"/>
      <c r="AC245" s="2568"/>
      <c r="AD245" s="2563"/>
      <c r="AE245" s="2564"/>
      <c r="AF245" s="2564"/>
      <c r="AG245" s="2568"/>
      <c r="AH245" s="2563"/>
      <c r="AI245" s="2564"/>
      <c r="AJ245" s="2564"/>
      <c r="AK245" s="2568"/>
    </row>
    <row r="246" spans="2:37" outlineLevel="1">
      <c r="B246" s="2348">
        <v>3</v>
      </c>
      <c r="C246" s="2552">
        <f t="shared" si="371"/>
        <v>995.34249036084589</v>
      </c>
      <c r="D246" s="2562">
        <f>D245</f>
        <v>2005</v>
      </c>
      <c r="E246" s="2582">
        <v>1</v>
      </c>
      <c r="F246" s="2528">
        <f t="shared" si="374"/>
        <v>38625</v>
      </c>
      <c r="G246" s="2555">
        <f t="shared" si="372"/>
        <v>2.2061740527347551E-2</v>
      </c>
      <c r="H246" s="2517">
        <f t="shared" si="373"/>
        <v>995.34249036084589</v>
      </c>
      <c r="J246" s="2563"/>
      <c r="K246" s="2564"/>
      <c r="L246" s="2583">
        <f>(L$225+SUM(L$236:L245))*$G246</f>
        <v>61.664564802383616</v>
      </c>
      <c r="M246" s="2584">
        <f>(M$225+SUM(M$236:M245))*$G246</f>
        <v>138.22033716632231</v>
      </c>
      <c r="N246" s="2585">
        <f>(N$225+SUM(N$236:N245))*$G246</f>
        <v>26.116265399237552</v>
      </c>
      <c r="O246" s="2583">
        <f>(O$225+SUM(O$236:O245))*$G246</f>
        <v>144.22648397467381</v>
      </c>
      <c r="P246" s="2583">
        <f>(P$225+SUM(P$236:P245))*$G246</f>
        <v>88.002675478847493</v>
      </c>
      <c r="Q246" s="2584">
        <f>(Q$225+SUM(Q$236:Q245))*$G246</f>
        <v>69.03177162485953</v>
      </c>
      <c r="R246" s="2585">
        <f>(R$225+SUM(R$236:R245))*$G246</f>
        <v>154.40884640826951</v>
      </c>
      <c r="S246" s="2583">
        <f>(S$225+SUM(S$236:S245))*$G246</f>
        <v>313.67154550625207</v>
      </c>
      <c r="T246" s="2564"/>
      <c r="U246" s="2568"/>
      <c r="V246" s="2563"/>
      <c r="W246" s="2564"/>
      <c r="X246" s="2564"/>
      <c r="Y246" s="2568"/>
      <c r="Z246" s="2563"/>
      <c r="AA246" s="2564"/>
      <c r="AB246" s="2564"/>
      <c r="AC246" s="2568"/>
      <c r="AD246" s="2563"/>
      <c r="AE246" s="2564"/>
      <c r="AF246" s="2564"/>
      <c r="AG246" s="2568"/>
      <c r="AH246" s="2563"/>
      <c r="AI246" s="2564"/>
      <c r="AJ246" s="2564"/>
      <c r="AK246" s="2568"/>
    </row>
    <row r="247" spans="2:37" outlineLevel="1">
      <c r="B247" s="2348">
        <v>4</v>
      </c>
      <c r="C247" s="2569">
        <f t="shared" si="371"/>
        <v>1100.285635112866</v>
      </c>
      <c r="D247" s="2570">
        <f>D246</f>
        <v>2005</v>
      </c>
      <c r="E247" s="2586">
        <v>1</v>
      </c>
      <c r="F247" s="2572">
        <f t="shared" si="374"/>
        <v>38717</v>
      </c>
      <c r="G247" s="2573">
        <f t="shared" si="372"/>
        <v>2.2061740527347551E-2</v>
      </c>
      <c r="H247" s="2574">
        <f t="shared" si="373"/>
        <v>1100.285635112866</v>
      </c>
      <c r="J247" s="2575"/>
      <c r="K247" s="2576"/>
      <c r="L247" s="2577">
        <f>(L$225+SUM(L$236:L246))*$G247</f>
        <v>63.024992430785609</v>
      </c>
      <c r="M247" s="2587">
        <f>(M$225+SUM(M$236:M246))*$G247</f>
        <v>141.2697183804882</v>
      </c>
      <c r="N247" s="2588">
        <f>(N$225+SUM(N$236:N246))*$G247</f>
        <v>26.692435670018877</v>
      </c>
      <c r="O247" s="2577">
        <f>(O$225+SUM(O$236:O246))*$G247</f>
        <v>147.40837124129473</v>
      </c>
      <c r="P247" s="2577">
        <f>(P$225+SUM(P$236:P246))*$G247</f>
        <v>89.944167670974196</v>
      </c>
      <c r="Q247" s="2587">
        <f>(Q$225+SUM(Q$236:Q246))*$G247</f>
        <v>70.554732658590311</v>
      </c>
      <c r="R247" s="2588">
        <f>(R$225+SUM(R$236:R246))*$G247</f>
        <v>157.81537431285582</v>
      </c>
      <c r="S247" s="2577">
        <f>(S$225+SUM(S$236:S246))*$G247</f>
        <v>320.5916857540231</v>
      </c>
      <c r="T247" s="2577">
        <f>(T$225+SUM(T$236:T246))*$G247</f>
        <v>82.984156993835185</v>
      </c>
      <c r="U247" s="2581"/>
      <c r="V247" s="2575"/>
      <c r="W247" s="2576"/>
      <c r="X247" s="2576"/>
      <c r="Y247" s="2581"/>
      <c r="Z247" s="2575"/>
      <c r="AA247" s="2576"/>
      <c r="AB247" s="2576"/>
      <c r="AC247" s="2581"/>
      <c r="AD247" s="2575"/>
      <c r="AE247" s="2576"/>
      <c r="AF247" s="2576"/>
      <c r="AG247" s="2581"/>
      <c r="AH247" s="2575"/>
      <c r="AI247" s="2576"/>
      <c r="AJ247" s="2576"/>
      <c r="AK247" s="2581"/>
    </row>
    <row r="248" spans="2:37" outlineLevel="1">
      <c r="B248" s="2348">
        <v>1</v>
      </c>
      <c r="C248" s="2552">
        <f t="shared" si="371"/>
        <v>1273.0294678238008</v>
      </c>
      <c r="D248" s="2553">
        <f>D247+1</f>
        <v>2006</v>
      </c>
      <c r="E248" s="2582">
        <v>1</v>
      </c>
      <c r="F248" s="2528">
        <f t="shared" si="374"/>
        <v>38807</v>
      </c>
      <c r="G248" s="2555">
        <f t="shared" si="372"/>
        <v>2.1899708341305724E-2</v>
      </c>
      <c r="H248" s="2517">
        <f t="shared" si="373"/>
        <v>1273.0294678238008</v>
      </c>
      <c r="J248" s="2563"/>
      <c r="K248" s="2564"/>
      <c r="L248" s="2583">
        <f>(L$225+SUM(L$236:L247))*$G248</f>
        <v>63.942335089824958</v>
      </c>
      <c r="M248" s="2584">
        <f>(M$225+SUM(M$236:M247))*$G248</f>
        <v>143.32593027520946</v>
      </c>
      <c r="N248" s="2585">
        <f>(N$225+SUM(N$236:N247))*$G248</f>
        <v>27.080949955691541</v>
      </c>
      <c r="O248" s="2583">
        <f>(O$225+SUM(O$236:O247))*$G248</f>
        <v>149.55393258170508</v>
      </c>
      <c r="P248" s="2583">
        <f>(P$225+SUM(P$236:P247))*$G248</f>
        <v>91.253324860116024</v>
      </c>
      <c r="Q248" s="2584">
        <f>(Q$225+SUM(Q$236:Q247))*$G248</f>
        <v>71.581672346618362</v>
      </c>
      <c r="R248" s="2585">
        <f>(R$225+SUM(R$236:R247))*$G248</f>
        <v>160.11241187725432</v>
      </c>
      <c r="S248" s="2583">
        <f>(S$225+SUM(S$236:S247))*$G248</f>
        <v>325.25796841638874</v>
      </c>
      <c r="T248" s="2583">
        <f>(T$225+SUM(T$236:T247))*$G248</f>
        <v>84.192009693198301</v>
      </c>
      <c r="U248" s="2584">
        <f>(U$225+SUM(U$236:U247))*$G248</f>
        <v>156.72893272779396</v>
      </c>
      <c r="V248" s="2563"/>
      <c r="W248" s="2564"/>
      <c r="X248" s="2564"/>
      <c r="Y248" s="2568"/>
      <c r="Z248" s="2563"/>
      <c r="AA248" s="2564"/>
      <c r="AB248" s="2564"/>
      <c r="AC248" s="2568"/>
      <c r="AD248" s="2563"/>
      <c r="AE248" s="2564"/>
      <c r="AF248" s="2564"/>
      <c r="AG248" s="2568"/>
      <c r="AH248" s="2563"/>
      <c r="AI248" s="2564"/>
      <c r="AJ248" s="2564"/>
      <c r="AK248" s="2568"/>
    </row>
    <row r="249" spans="2:37" outlineLevel="1">
      <c r="B249" s="2348">
        <v>2</v>
      </c>
      <c r="C249" s="2552">
        <f t="shared" si="371"/>
        <v>1377.0017719758023</v>
      </c>
      <c r="D249" s="2562">
        <f>D248</f>
        <v>2006</v>
      </c>
      <c r="E249" s="2582">
        <v>1</v>
      </c>
      <c r="F249" s="2528">
        <f t="shared" si="374"/>
        <v>38898</v>
      </c>
      <c r="G249" s="2555">
        <f t="shared" si="372"/>
        <v>2.1899708341305724E-2</v>
      </c>
      <c r="H249" s="2517">
        <f t="shared" si="373"/>
        <v>1377.0017719758023</v>
      </c>
      <c r="J249" s="2563"/>
      <c r="K249" s="2564"/>
      <c r="L249" s="2583">
        <f>(L$225+SUM(L$236:L248))*$G249</f>
        <v>65.34265357895417</v>
      </c>
      <c r="M249" s="2584">
        <f>(M$225+SUM(M$236:M248))*$G249</f>
        <v>146.46472634598283</v>
      </c>
      <c r="N249" s="2585">
        <f>(N$225+SUM(N$236:N248))*$G249</f>
        <v>27.674014861326686</v>
      </c>
      <c r="O249" s="2583">
        <f>(O$225+SUM(O$236:O248))*$G249</f>
        <v>152.82912008653972</v>
      </c>
      <c r="P249" s="2583">
        <f>(P$225+SUM(P$236:P248))*$G249</f>
        <v>93.251746059726983</v>
      </c>
      <c r="Q249" s="2584">
        <f>(Q$225+SUM(Q$236:Q248))*$G249</f>
        <v>73.149290093592214</v>
      </c>
      <c r="R249" s="2585">
        <f>(R$225+SUM(R$236:R248))*$G249</f>
        <v>163.6188269991892</v>
      </c>
      <c r="S249" s="2583">
        <f>(S$225+SUM(S$236:S248))*$G249</f>
        <v>332.38102306039332</v>
      </c>
      <c r="T249" s="2583">
        <f>(T$225+SUM(T$236:T248))*$G249</f>
        <v>86.035790150147719</v>
      </c>
      <c r="U249" s="2584">
        <f>(U$225+SUM(U$236:U248))*$G249</f>
        <v>160.16125064317677</v>
      </c>
      <c r="V249" s="2585">
        <f>(V$225+SUM(V$236:V248))*$G249</f>
        <v>76.09333009677276</v>
      </c>
      <c r="W249" s="2564"/>
      <c r="X249" s="2564"/>
      <c r="Y249" s="2568"/>
      <c r="Z249" s="2563"/>
      <c r="AA249" s="2564"/>
      <c r="AB249" s="2564"/>
      <c r="AC249" s="2568"/>
      <c r="AD249" s="2563"/>
      <c r="AE249" s="2564"/>
      <c r="AF249" s="2564"/>
      <c r="AG249" s="2568"/>
      <c r="AH249" s="2563"/>
      <c r="AI249" s="2564"/>
      <c r="AJ249" s="2564"/>
      <c r="AK249" s="2568"/>
    </row>
    <row r="250" spans="2:37" outlineLevel="1">
      <c r="B250" s="2348">
        <v>3</v>
      </c>
      <c r="C250" s="2552">
        <f t="shared" si="371"/>
        <v>1449.4141327978173</v>
      </c>
      <c r="D250" s="2562">
        <f>D249</f>
        <v>2006</v>
      </c>
      <c r="E250" s="2582">
        <v>1</v>
      </c>
      <c r="F250" s="2528">
        <f t="shared" si="374"/>
        <v>38990</v>
      </c>
      <c r="G250" s="2589">
        <f t="shared" si="372"/>
        <v>2.1899708341305724E-2</v>
      </c>
      <c r="H250" s="2517">
        <f t="shared" si="373"/>
        <v>1449.4141327978173</v>
      </c>
      <c r="J250" s="2563"/>
      <c r="K250" s="2564"/>
      <c r="L250" s="2583">
        <f>(L$225+SUM(L$236:L249))*$G250</f>
        <v>66.773638634580237</v>
      </c>
      <c r="M250" s="2584">
        <f>(M$225+SUM(M$236:M249))*$G250</f>
        <v>149.67226113524902</v>
      </c>
      <c r="N250" s="2585">
        <f>(N$225+SUM(N$236:N249))*$G250</f>
        <v>28.2800677154227</v>
      </c>
      <c r="O250" s="2583">
        <f>(O$225+SUM(O$236:O249))*$G250</f>
        <v>156.17603324249333</v>
      </c>
      <c r="P250" s="2583">
        <f>(P$225+SUM(P$236:P249))*$G250</f>
        <v>95.293932100752514</v>
      </c>
      <c r="Q250" s="2584">
        <f>(Q$225+SUM(Q$236:Q249))*$G250</f>
        <v>74.751238212015437</v>
      </c>
      <c r="R250" s="2585">
        <f>(R$225+SUM(R$236:R249))*$G250</f>
        <v>167.202031589618</v>
      </c>
      <c r="S250" s="2583">
        <f>(S$225+SUM(S$236:S249))*$G250</f>
        <v>339.66007052360072</v>
      </c>
      <c r="T250" s="2583">
        <f>(T$225+SUM(T$236:T249))*$G250</f>
        <v>87.919948861349738</v>
      </c>
      <c r="U250" s="2584">
        <f>(U$225+SUM(U$236:U249))*$G250</f>
        <v>163.66873531984109</v>
      </c>
      <c r="V250" s="2585">
        <f>(V$225+SUM(V$236:V249))*$G250</f>
        <v>77.759751832610775</v>
      </c>
      <c r="W250" s="2583">
        <f>(W$225+SUM(W$236:W249))*$G250</f>
        <v>42.256423630283642</v>
      </c>
      <c r="X250" s="2564"/>
      <c r="Y250" s="2568"/>
      <c r="Z250" s="2563"/>
      <c r="AA250" s="2564"/>
      <c r="AB250" s="2564"/>
      <c r="AC250" s="2568"/>
      <c r="AD250" s="2563"/>
      <c r="AE250" s="2564"/>
      <c r="AF250" s="2564"/>
      <c r="AG250" s="2568"/>
      <c r="AH250" s="2563"/>
      <c r="AI250" s="2564"/>
      <c r="AJ250" s="2564"/>
      <c r="AK250" s="2568"/>
    </row>
    <row r="251" spans="2:37" outlineLevel="1">
      <c r="B251" s="2348">
        <v>4</v>
      </c>
      <c r="C251" s="2569">
        <f t="shared" si="371"/>
        <v>1649.0287643174406</v>
      </c>
      <c r="D251" s="2570">
        <f>D250</f>
        <v>2006</v>
      </c>
      <c r="E251" s="2586">
        <v>1</v>
      </c>
      <c r="F251" s="2572">
        <f t="shared" si="374"/>
        <v>39082</v>
      </c>
      <c r="G251" s="2590">
        <f t="shared" si="372"/>
        <v>2.1899708341305724E-2</v>
      </c>
      <c r="H251" s="2574">
        <f t="shared" si="373"/>
        <v>1649.0287643174406</v>
      </c>
      <c r="J251" s="2575"/>
      <c r="K251" s="2576"/>
      <c r="L251" s="2577">
        <f>(L$225+SUM(L$236:L250))*$G251</f>
        <v>68.235961845565285</v>
      </c>
      <c r="M251" s="2587">
        <f>(M$225+SUM(M$236:M250))*$G251</f>
        <v>152.95004000089475</v>
      </c>
      <c r="N251" s="2588">
        <f>(N$225+SUM(N$236:N250))*$G251</f>
        <v>28.899392950262829</v>
      </c>
      <c r="O251" s="2577">
        <f>(O$225+SUM(O$236:O250))*$G251</f>
        <v>159.59624282040599</v>
      </c>
      <c r="P251" s="2577">
        <f>(P$225+SUM(P$236:P250))*$G251</f>
        <v>97.380841420455184</v>
      </c>
      <c r="Q251" s="2587">
        <f>(Q$225+SUM(Q$236:Q250))*$G251</f>
        <v>76.388268527010055</v>
      </c>
      <c r="R251" s="2588">
        <f>(R$225+SUM(R$236:R250))*$G251</f>
        <v>170.86370731550443</v>
      </c>
      <c r="S251" s="2577">
        <f>(S$225+SUM(S$236:S250))*$G251</f>
        <v>347.09852700325496</v>
      </c>
      <c r="T251" s="2577">
        <f>(T$225+SUM(T$236:T250))*$G251</f>
        <v>89.845370098795811</v>
      </c>
      <c r="U251" s="2587">
        <f>(U$225+SUM(U$236:U250))*$G251</f>
        <v>167.25303288793597</v>
      </c>
      <c r="V251" s="2588">
        <f>(V$225+SUM(V$236:V250))*$G251</f>
        <v>79.462667718437274</v>
      </c>
      <c r="W251" s="2577">
        <f>(W$225+SUM(W$236:W250))*$G251</f>
        <v>43.181826983333515</v>
      </c>
      <c r="X251" s="2577">
        <f>(X$225+SUM(X$236:X250))*$G251</f>
        <v>167.87288474558432</v>
      </c>
      <c r="Y251" s="2581"/>
      <c r="Z251" s="2575"/>
      <c r="AA251" s="2576"/>
      <c r="AB251" s="2576"/>
      <c r="AC251" s="2581"/>
      <c r="AD251" s="2575"/>
      <c r="AE251" s="2576"/>
      <c r="AF251" s="2576"/>
      <c r="AG251" s="2581"/>
      <c r="AH251" s="2575"/>
      <c r="AI251" s="2576"/>
      <c r="AJ251" s="2576"/>
      <c r="AK251" s="2581"/>
    </row>
    <row r="252" spans="2:37" outlineLevel="1">
      <c r="B252" s="2348">
        <v>1</v>
      </c>
      <c r="C252" s="2552">
        <f t="shared" si="371"/>
        <v>2103.8505896454644</v>
      </c>
      <c r="D252" s="2553">
        <f>D251+1</f>
        <v>2007</v>
      </c>
      <c r="E252" s="2582">
        <v>1</v>
      </c>
      <c r="F252" s="2528">
        <f t="shared" si="374"/>
        <v>39172</v>
      </c>
      <c r="G252" s="2589">
        <f t="shared" si="372"/>
        <v>2.4203513098642215E-2</v>
      </c>
      <c r="H252" s="2517">
        <f t="shared" si="373"/>
        <v>2103.8505896454644</v>
      </c>
      <c r="J252" s="2563"/>
      <c r="K252" s="2564"/>
      <c r="L252" s="2583">
        <f>(L$225+SUM(L$236:L251))*$G252</f>
        <v>77.065796185741434</v>
      </c>
      <c r="M252" s="2584">
        <f>(M$225+SUM(M$236:M251))*$G252</f>
        <v>172.74200129232904</v>
      </c>
      <c r="N252" s="2585">
        <f>(N$225+SUM(N$236:N251))*$G252</f>
        <v>32.639017121751806</v>
      </c>
      <c r="O252" s="2583">
        <f>(O$225+SUM(O$236:O251))*$G252</f>
        <v>180.24823258216969</v>
      </c>
      <c r="P252" s="2583">
        <f>(P$225+SUM(P$236:P251))*$G252</f>
        <v>109.98206626426482</v>
      </c>
      <c r="Q252" s="2584">
        <f>(Q$225+SUM(Q$236:Q251))*$G252</f>
        <v>86.273023403814463</v>
      </c>
      <c r="R252" s="2585">
        <f>(R$225+SUM(R$236:R251))*$G252</f>
        <v>192.97372364030986</v>
      </c>
      <c r="S252" s="2583">
        <f>(S$225+SUM(S$236:S251))*$G252</f>
        <v>392.01358953427552</v>
      </c>
      <c r="T252" s="2583">
        <f>(T$225+SUM(T$236:T251))*$G252</f>
        <v>101.47149381343853</v>
      </c>
      <c r="U252" s="2584">
        <f>(U$225+SUM(U$236:U251))*$G252</f>
        <v>188.8958226039351</v>
      </c>
      <c r="V252" s="2585">
        <f>(V$225+SUM(V$236:V251))*$G252</f>
        <v>89.745254395683105</v>
      </c>
      <c r="W252" s="2583">
        <f>(W$225+SUM(W$236:W251))*$G252</f>
        <v>48.769619233290101</v>
      </c>
      <c r="X252" s="2583">
        <f>(X$225+SUM(X$236:X251))*$G252</f>
        <v>189.5958842083277</v>
      </c>
      <c r="Y252" s="2584">
        <f>(Y$225+SUM(Y$236:Y251))*$G252</f>
        <v>241.43506536613319</v>
      </c>
      <c r="Z252" s="2563"/>
      <c r="AA252" s="2564"/>
      <c r="AB252" s="2564"/>
      <c r="AC252" s="2568"/>
      <c r="AD252" s="2563"/>
      <c r="AE252" s="2564"/>
      <c r="AF252" s="2564"/>
      <c r="AG252" s="2568"/>
      <c r="AH252" s="2563"/>
      <c r="AI252" s="2564"/>
      <c r="AJ252" s="2564"/>
      <c r="AK252" s="2568"/>
    </row>
    <row r="253" spans="2:37" outlineLevel="1">
      <c r="B253" s="2348">
        <v>2</v>
      </c>
      <c r="C253" s="2552">
        <f t="shared" si="371"/>
        <v>2310.1223085205925</v>
      </c>
      <c r="D253" s="2562">
        <f>D252</f>
        <v>2007</v>
      </c>
      <c r="E253" s="2582">
        <v>1</v>
      </c>
      <c r="F253" s="2528">
        <f t="shared" si="374"/>
        <v>39263</v>
      </c>
      <c r="G253" s="2589">
        <f t="shared" si="372"/>
        <v>2.4203513098642215E-2</v>
      </c>
      <c r="H253" s="2517">
        <f t="shared" si="373"/>
        <v>2310.1223085205925</v>
      </c>
      <c r="J253" s="2563"/>
      <c r="K253" s="2564"/>
      <c r="L253" s="2583">
        <f>(L$225+SUM(L$236:L252))*$G253</f>
        <v>78.931059193180317</v>
      </c>
      <c r="M253" s="2584">
        <f>(M$225+SUM(M$236:M252))*$G253</f>
        <v>176.92296458329358</v>
      </c>
      <c r="N253" s="2585">
        <f>(N$225+SUM(N$236:N252))*$G253</f>
        <v>33.428996000184931</v>
      </c>
      <c r="O253" s="2583">
        <f>(O$225+SUM(O$236:O252))*$G253</f>
        <v>184.61087304047936</v>
      </c>
      <c r="P253" s="2583">
        <f>(P$225+SUM(P$236:P252))*$G253</f>
        <v>112.64401864570769</v>
      </c>
      <c r="Q253" s="2584">
        <f>(Q$225+SUM(Q$236:Q252))*$G253</f>
        <v>88.361133655828141</v>
      </c>
      <c r="R253" s="2591">
        <f>(R$225+SUM(R$236:R252))*$G253</f>
        <v>197.64436568813184</v>
      </c>
      <c r="S253" s="2592">
        <f>(S$225+SUM(S$236:S252))*$G253</f>
        <v>401.50169558341412</v>
      </c>
      <c r="T253" s="2592">
        <f>(T$225+SUM(T$236:T252))*$G253</f>
        <v>103.92746044309088</v>
      </c>
      <c r="U253" s="2593">
        <f>(U$225+SUM(U$236:U252))*$G253</f>
        <v>193.46776512060825</v>
      </c>
      <c r="V253" s="2591">
        <f>(V$225+SUM(V$236:V252))*$G253</f>
        <v>91.917404835989998</v>
      </c>
      <c r="W253" s="2592">
        <f>(W$225+SUM(W$236:W252))*$G253</f>
        <v>49.950015351218831</v>
      </c>
      <c r="X253" s="2592">
        <f>(X$225+SUM(X$236:X252))*$G253</f>
        <v>194.18477067521263</v>
      </c>
      <c r="Y253" s="2593">
        <f>(Y$225+SUM(Y$236:Y252))*$G253</f>
        <v>247.27864213319393</v>
      </c>
      <c r="Z253" s="2585">
        <f>(Z$225+SUM(Z$236:Z252))*$G253</f>
        <v>155.351143571058</v>
      </c>
      <c r="AA253" s="2564"/>
      <c r="AB253" s="2564"/>
      <c r="AC253" s="2568"/>
      <c r="AD253" s="2563"/>
      <c r="AE253" s="2564"/>
      <c r="AF253" s="2564"/>
      <c r="AG253" s="2568"/>
      <c r="AH253" s="2563"/>
      <c r="AI253" s="2564"/>
      <c r="AJ253" s="2564"/>
      <c r="AK253" s="2568"/>
    </row>
    <row r="254" spans="2:37" outlineLevel="1">
      <c r="B254" s="2348">
        <v>3</v>
      </c>
      <c r="C254" s="2594">
        <f t="shared" si="371"/>
        <v>2620.6382262970519</v>
      </c>
      <c r="D254" s="2562">
        <f>D253</f>
        <v>2007</v>
      </c>
      <c r="E254" s="2582">
        <v>1</v>
      </c>
      <c r="F254" s="2528">
        <f t="shared" si="374"/>
        <v>39355</v>
      </c>
      <c r="G254" s="2595">
        <f t="shared" si="372"/>
        <v>2.4203513098642215E-2</v>
      </c>
      <c r="H254" s="2596">
        <f t="shared" si="373"/>
        <v>2620.6382262970519</v>
      </c>
      <c r="J254" s="2563"/>
      <c r="K254" s="2564"/>
      <c r="L254" s="2592">
        <f>(L$225+SUM(L$236:L253))*$G254</f>
        <v>80.841468118252166</v>
      </c>
      <c r="M254" s="2593">
        <f>(M$225+SUM(M$236:M253))*$G254</f>
        <v>181.20512187403594</v>
      </c>
      <c r="N254" s="2591">
        <f>(N$225+SUM(N$236:N253))*$G254</f>
        <v>34.23809514274987</v>
      </c>
      <c r="O254" s="2592">
        <f>(O$225+SUM(O$236:O253))*$G254</f>
        <v>189.07910472426636</v>
      </c>
      <c r="P254" s="2592">
        <f>(P$225+SUM(P$236:P253))*$G254</f>
        <v>115.37039962648277</v>
      </c>
      <c r="Q254" s="2593">
        <f>(Q$225+SUM(Q$236:Q253))*$G254</f>
        <v>90.499783511677848</v>
      </c>
      <c r="R254" s="2591">
        <f>(R$225+SUM(R$236:R253))*$G254</f>
        <v>202.42805368193737</v>
      </c>
      <c r="S254" s="2592">
        <f>(S$225+SUM(S$236:S253))*$G254</f>
        <v>411.21944713159439</v>
      </c>
      <c r="T254" s="2592">
        <f>(T$225+SUM(T$236:T253))*$G254</f>
        <v>106.44287009323386</v>
      </c>
      <c r="U254" s="2593">
        <f>(U$225+SUM(U$236:U253))*$G254</f>
        <v>198.1503647078699</v>
      </c>
      <c r="V254" s="2591">
        <f>(V$225+SUM(V$236:V253))*$G254</f>
        <v>94.142128947931084</v>
      </c>
      <c r="W254" s="2592">
        <f>(W$225+SUM(W$236:W253))*$G254</f>
        <v>51.158981202049439</v>
      </c>
      <c r="X254" s="2592">
        <f>(X$225+SUM(X$236:X253))*$G254</f>
        <v>198.88472431580701</v>
      </c>
      <c r="Y254" s="2593">
        <f>(Y$225+SUM(Y$236:Y253))*$G254</f>
        <v>253.26365398707915</v>
      </c>
      <c r="Z254" s="2585">
        <f>(Z$225+SUM(Z$236:Z253))*$G254</f>
        <v>159.11118700936913</v>
      </c>
      <c r="AA254" s="2583">
        <f>(AA$225+SUM(AA$236:AA253))*$G254</f>
        <v>254.60284222271557</v>
      </c>
      <c r="AB254" s="2564"/>
      <c r="AC254" s="2568"/>
      <c r="AD254" s="2563"/>
      <c r="AE254" s="2564"/>
      <c r="AF254" s="2564"/>
      <c r="AG254" s="2568"/>
      <c r="AH254" s="2563"/>
      <c r="AI254" s="2564"/>
      <c r="AJ254" s="2564"/>
      <c r="AK254" s="2568"/>
    </row>
    <row r="255" spans="2:37" outlineLevel="1">
      <c r="B255" s="2348">
        <v>4</v>
      </c>
      <c r="C255" s="2569">
        <f t="shared" si="371"/>
        <v>2960.7287232103467</v>
      </c>
      <c r="D255" s="2570">
        <f>D254</f>
        <v>2007</v>
      </c>
      <c r="E255" s="2586">
        <v>1</v>
      </c>
      <c r="F255" s="2572">
        <f t="shared" si="374"/>
        <v>39447</v>
      </c>
      <c r="G255" s="2590">
        <f t="shared" si="372"/>
        <v>2.4203513098642215E-2</v>
      </c>
      <c r="H255" s="2574">
        <f t="shared" si="373"/>
        <v>2960.7287232103467</v>
      </c>
      <c r="J255" s="2575"/>
      <c r="K255" s="2576"/>
      <c r="L255" s="2577">
        <f>(L$225+SUM(L$236:L254))*$G255</f>
        <v>82.798115650765752</v>
      </c>
      <c r="M255" s="2587">
        <f>(M$225+SUM(M$236:M254))*$G255</f>
        <v>185.59092241485524</v>
      </c>
      <c r="N255" s="2588">
        <f>(N$225+SUM(N$236:N254))*$G255</f>
        <v>35.066777327009973</v>
      </c>
      <c r="O255" s="2577">
        <f>(O$225+SUM(O$236:O254))*$G255</f>
        <v>193.65548331213969</v>
      </c>
      <c r="P255" s="2577">
        <f>(P$225+SUM(P$236:P254))*$G255</f>
        <v>118.16276860503794</v>
      </c>
      <c r="Q255" s="2587">
        <f>(Q$225+SUM(Q$236:Q254))*$G255</f>
        <v>92.690196207327034</v>
      </c>
      <c r="R255" s="2588">
        <f>(R$225+SUM(R$236:R254))*$G255</f>
        <v>207.32752373076082</v>
      </c>
      <c r="S255" s="2577">
        <f>(S$225+SUM(S$236:S254))*$G255</f>
        <v>421.1724024066603</v>
      </c>
      <c r="T255" s="2577">
        <f>(T$225+SUM(T$236:T254))*$G255</f>
        <v>109.01916149379252</v>
      </c>
      <c r="U255" s="2587">
        <f>(U$225+SUM(U$236:U254))*$G255</f>
        <v>202.94629965557758</v>
      </c>
      <c r="V255" s="2588">
        <f>(V$225+SUM(V$236:V254))*$G255</f>
        <v>96.420699199056386</v>
      </c>
      <c r="W255" s="2577">
        <f>(W$225+SUM(W$236:W254))*$G255</f>
        <v>52.397208273686431</v>
      </c>
      <c r="X255" s="2577">
        <f>(X$225+SUM(X$236:X254))*$G255</f>
        <v>203.69843334590442</v>
      </c>
      <c r="Y255" s="2587">
        <f>(Y$225+SUM(Y$236:Y254))*$G255</f>
        <v>259.39352415376538</v>
      </c>
      <c r="Z255" s="2588">
        <f>(Z$225+SUM(Z$236:Z254))*$G255</f>
        <v>162.96223670829093</v>
      </c>
      <c r="AA255" s="2577">
        <f>(AA$225+SUM(AA$236:AA254))*$G255</f>
        <v>260.76512544940459</v>
      </c>
      <c r="AB255" s="2577">
        <f>(AB$225+SUM(AB$236:AB254))*$G255</f>
        <v>276.66184527631145</v>
      </c>
      <c r="AC255" s="2581"/>
      <c r="AD255" s="2575"/>
      <c r="AE255" s="2576"/>
      <c r="AF255" s="2576"/>
      <c r="AG255" s="2581"/>
      <c r="AH255" s="2575"/>
      <c r="AI255" s="2576"/>
      <c r="AJ255" s="2576"/>
      <c r="AK255" s="2581"/>
    </row>
    <row r="256" spans="2:37" outlineLevel="1">
      <c r="B256" s="2348">
        <v>1</v>
      </c>
      <c r="C256" s="2552">
        <f t="shared" si="371"/>
        <v>3453.8683349352859</v>
      </c>
      <c r="D256" s="2553">
        <f>D255+1</f>
        <v>2008</v>
      </c>
      <c r="E256" s="2582">
        <v>1</v>
      </c>
      <c r="F256" s="2528">
        <f t="shared" si="374"/>
        <v>39538</v>
      </c>
      <c r="G256" s="2589">
        <f t="shared" si="372"/>
        <v>2.4969413084385828E-2</v>
      </c>
      <c r="H256" s="2517">
        <f t="shared" si="373"/>
        <v>3453.8683349352859</v>
      </c>
      <c r="J256" s="2563"/>
      <c r="K256" s="2564"/>
      <c r="L256" s="2583">
        <f>(L$225+SUM(L$236:L255))*$G256</f>
        <v>87.485613317375169</v>
      </c>
      <c r="M256" s="2584">
        <f>(M$225+SUM(M$236:M255))*$G256</f>
        <v>196.09788877424577</v>
      </c>
      <c r="N256" s="2585">
        <f>(N$225+SUM(N$236:N255))*$G256</f>
        <v>37.052033097674972</v>
      </c>
      <c r="O256" s="2583">
        <f>(O$225+SUM(O$236:O255))*$G256</f>
        <v>204.61901332749187</v>
      </c>
      <c r="P256" s="2583">
        <f>(P$225+SUM(P$236:P255))*$G256</f>
        <v>124.85238584768712</v>
      </c>
      <c r="Q256" s="2584">
        <f>(Q$225+SUM(Q$236:Q255))*$G256</f>
        <v>97.937719958616611</v>
      </c>
      <c r="R256" s="2585">
        <f>(R$225+SUM(R$236:R255))*$G256</f>
        <v>219.06507688729647</v>
      </c>
      <c r="S256" s="2583">
        <f>(S$225+SUM(S$236:S255))*$G256</f>
        <v>445.01647950919568</v>
      </c>
      <c r="T256" s="2583">
        <f>(T$225+SUM(T$236:T255))*$G256</f>
        <v>115.191126412334</v>
      </c>
      <c r="U256" s="2584">
        <f>(U$225+SUM(U$236:U255))*$G256</f>
        <v>214.43581603654289</v>
      </c>
      <c r="V256" s="2585">
        <f>(V$225+SUM(V$236:V255))*$G256</f>
        <v>101.87942007641063</v>
      </c>
      <c r="W256" s="2583">
        <f>(W$225+SUM(W$236:W255))*$G256</f>
        <v>55.36360176693595</v>
      </c>
      <c r="X256" s="2583">
        <f>(X$225+SUM(X$236:X255))*$G256</f>
        <v>215.23053070701258</v>
      </c>
      <c r="Y256" s="2584">
        <f>(Y$225+SUM(Y$236:Y255))*$G256</f>
        <v>274.07871994170995</v>
      </c>
      <c r="Z256" s="2585">
        <f>(Z$225+SUM(Z$236:Z255))*$G256</f>
        <v>172.18811218035549</v>
      </c>
      <c r="AA256" s="2583">
        <f>(AA$225+SUM(AA$236:AA255))*$G256</f>
        <v>275.52797249574184</v>
      </c>
      <c r="AB256" s="2583">
        <f>(AB$225+SUM(AB$236:AB255))*$G256</f>
        <v>292.32466252740153</v>
      </c>
      <c r="AC256" s="2584">
        <f>(AC$225+SUM(AC$236:AC255))*$G256</f>
        <v>325.52216207125724</v>
      </c>
      <c r="AD256" s="2563"/>
      <c r="AE256" s="2564"/>
      <c r="AF256" s="2564"/>
      <c r="AG256" s="2568"/>
      <c r="AH256" s="2563"/>
      <c r="AI256" s="2564"/>
      <c r="AJ256" s="2564"/>
      <c r="AK256" s="2568"/>
    </row>
    <row r="257" spans="2:235" outlineLevel="1">
      <c r="B257" s="2348">
        <v>2</v>
      </c>
      <c r="C257" s="2552">
        <f t="shared" si="371"/>
        <v>4003.6804633670267</v>
      </c>
      <c r="D257" s="2562">
        <f>D256</f>
        <v>2008</v>
      </c>
      <c r="E257" s="2582">
        <v>1</v>
      </c>
      <c r="F257" s="2528">
        <f t="shared" si="374"/>
        <v>39629</v>
      </c>
      <c r="G257" s="2589">
        <f t="shared" si="372"/>
        <v>2.4969413084385828E-2</v>
      </c>
      <c r="H257" s="2517">
        <f t="shared" si="373"/>
        <v>4003.6804633670267</v>
      </c>
      <c r="J257" s="2563"/>
      <c r="K257" s="2564"/>
      <c r="L257" s="2583">
        <f>(L$225+SUM(L$236:L256))*$G257</f>
        <v>89.670077735237541</v>
      </c>
      <c r="M257" s="2584">
        <f>(M$225+SUM(M$236:M256))*$G257</f>
        <v>200.99433796402585</v>
      </c>
      <c r="N257" s="2585">
        <f>(N$225+SUM(N$236:N256))*$G257</f>
        <v>37.977200617707162</v>
      </c>
      <c r="O257" s="2583">
        <f>(O$225+SUM(O$236:O256))*$G257</f>
        <v>209.72822999618549</v>
      </c>
      <c r="P257" s="2583">
        <f>(P$225+SUM(P$236:P256))*$G257</f>
        <v>127.96987664448916</v>
      </c>
      <c r="Q257" s="2584">
        <f>(Q$225+SUM(Q$236:Q256))*$G257</f>
        <v>100.3831673448062</v>
      </c>
      <c r="R257" s="2585">
        <f>(R$225+SUM(R$236:R256))*$G257</f>
        <v>224.53500328445813</v>
      </c>
      <c r="S257" s="2583">
        <f>(S$225+SUM(S$236:S256))*$G257</f>
        <v>456.12827981541989</v>
      </c>
      <c r="T257" s="2583">
        <f>(T$225+SUM(T$236:T256))*$G257</f>
        <v>118.0673812313793</v>
      </c>
      <c r="U257" s="2584">
        <f>(U$225+SUM(U$236:U256))*$G257</f>
        <v>219.79015250724669</v>
      </c>
      <c r="V257" s="2585">
        <f>(V$225+SUM(V$236:V256))*$G257</f>
        <v>104.42328940109618</v>
      </c>
      <c r="W257" s="2583">
        <f>(W$225+SUM(W$236:W256))*$G257</f>
        <v>56.745998409294003</v>
      </c>
      <c r="X257" s="2583">
        <f>(X$225+SUM(X$236:X256))*$G257</f>
        <v>220.60471073660753</v>
      </c>
      <c r="Y257" s="2584">
        <f>(Y$225+SUM(Y$236:Y256))*$G257</f>
        <v>280.92230471757415</v>
      </c>
      <c r="Z257" s="2585">
        <f>(Z$225+SUM(Z$236:Z256))*$G257</f>
        <v>176.48754828160736</v>
      </c>
      <c r="AA257" s="2583">
        <f>(AA$225+SUM(AA$236:AA256))*$G257</f>
        <v>282.40774425729131</v>
      </c>
      <c r="AB257" s="2583">
        <f>(AB$225+SUM(AB$236:AB256))*$G257</f>
        <v>299.62383778080186</v>
      </c>
      <c r="AC257" s="2584">
        <f>(AC$225+SUM(AC$236:AC256))*$G257</f>
        <v>333.65025940413688</v>
      </c>
      <c r="AD257" s="2585">
        <f>(AD$225+SUM(AD$236:AD256))*$G257</f>
        <v>463.57106323766283</v>
      </c>
      <c r="AE257" s="2564"/>
      <c r="AF257" s="2564"/>
      <c r="AG257" s="2568"/>
      <c r="AH257" s="2563"/>
      <c r="AI257" s="2564"/>
      <c r="AJ257" s="2564"/>
      <c r="AK257" s="2568"/>
    </row>
    <row r="258" spans="2:235" outlineLevel="1">
      <c r="B258" s="2348">
        <v>3</v>
      </c>
      <c r="C258" s="2594">
        <f t="shared" si="371"/>
        <v>4506.9934688475669</v>
      </c>
      <c r="D258" s="2562">
        <f>D257</f>
        <v>2008</v>
      </c>
      <c r="E258" s="2582">
        <v>1</v>
      </c>
      <c r="F258" s="2528">
        <f t="shared" si="374"/>
        <v>39721</v>
      </c>
      <c r="G258" s="2595">
        <f t="shared" si="372"/>
        <v>2.4969413084385828E-2</v>
      </c>
      <c r="H258" s="2596">
        <f t="shared" si="373"/>
        <v>4506.9934688475669</v>
      </c>
      <c r="J258" s="2563"/>
      <c r="K258" s="2564"/>
      <c r="L258" s="2583">
        <f>(L$225+SUM(L$236:L257))*$G258</f>
        <v>91.909086947517679</v>
      </c>
      <c r="M258" s="2584">
        <f>(M$225+SUM(M$236:M257))*$G258</f>
        <v>206.01304861627227</v>
      </c>
      <c r="N258" s="2585">
        <f>(N$225+SUM(N$236:N257))*$G258</f>
        <v>38.925469027719288</v>
      </c>
      <c r="O258" s="2583">
        <f>(O$225+SUM(O$236:O257))*$G258</f>
        <v>214.9650208064173</v>
      </c>
      <c r="P258" s="2583">
        <f>(P$225+SUM(P$236:P257))*$G258</f>
        <v>131.16520935678329</v>
      </c>
      <c r="Q258" s="2584">
        <f>(Q$225+SUM(Q$236:Q257))*$G258</f>
        <v>102.88967611695769</v>
      </c>
      <c r="R258" s="2585">
        <f>(R$225+SUM(R$236:R257))*$G258</f>
        <v>230.14151053337167</v>
      </c>
      <c r="S258" s="2583">
        <f>(S$225+SUM(S$236:S257))*$G258</f>
        <v>467.51753525360147</v>
      </c>
      <c r="T258" s="2583">
        <f>(T$225+SUM(T$236:T257))*$G258</f>
        <v>121.01545444513725</v>
      </c>
      <c r="U258" s="2584">
        <f>(U$225+SUM(U$236:U257))*$G258</f>
        <v>225.27818361708029</v>
      </c>
      <c r="V258" s="2585">
        <f>(V$225+SUM(V$236:V257))*$G258</f>
        <v>107.03067764978253</v>
      </c>
      <c r="W258" s="2583">
        <f>(W$225+SUM(W$236:W257))*$G258</f>
        <v>58.162912684461567</v>
      </c>
      <c r="X258" s="2583">
        <f>(X$225+SUM(X$236:X257))*$G258</f>
        <v>226.11308088735134</v>
      </c>
      <c r="Y258" s="2584">
        <f>(Y$225+SUM(Y$236:Y257))*$G258</f>
        <v>287.93676978868501</v>
      </c>
      <c r="Z258" s="2585">
        <f>(Z$225+SUM(Z$236:Z257))*$G258</f>
        <v>180.8943387789013</v>
      </c>
      <c r="AA258" s="2583">
        <f>(AA$225+SUM(AA$236:AA257))*$G258</f>
        <v>289.45929988188118</v>
      </c>
      <c r="AB258" s="2583">
        <f>(AB$225+SUM(AB$236:AB257))*$G258</f>
        <v>307.10526915627975</v>
      </c>
      <c r="AC258" s="2584">
        <f>(AC$225+SUM(AC$236:AC257))*$G258</f>
        <v>341.98131055691124</v>
      </c>
      <c r="AD258" s="2585">
        <f>(AD$225+SUM(AD$236:AD257))*$G258</f>
        <v>475.14616060961191</v>
      </c>
      <c r="AE258" s="2583">
        <f>(AE$225+SUM(AE$236:AE257))*$G258</f>
        <v>403.34345413284365</v>
      </c>
      <c r="AF258" s="2564"/>
      <c r="AG258" s="2568"/>
      <c r="AH258" s="2563"/>
      <c r="AI258" s="2564"/>
      <c r="AJ258" s="2564"/>
      <c r="AK258" s="2568"/>
    </row>
    <row r="259" spans="2:235" outlineLevel="1">
      <c r="B259" s="2348">
        <v>4</v>
      </c>
      <c r="C259" s="2569">
        <f t="shared" si="371"/>
        <v>5192.7696333817494</v>
      </c>
      <c r="D259" s="2570">
        <f>D258</f>
        <v>2008</v>
      </c>
      <c r="E259" s="2586">
        <v>1</v>
      </c>
      <c r="F259" s="2572">
        <f t="shared" si="374"/>
        <v>39813</v>
      </c>
      <c r="G259" s="2590">
        <f t="shared" si="372"/>
        <v>2.4969413084385828E-2</v>
      </c>
      <c r="H259" s="2574">
        <f t="shared" si="373"/>
        <v>5192.7696333817494</v>
      </c>
      <c r="J259" s="2575"/>
      <c r="K259" s="2576"/>
      <c r="L259" s="2577">
        <f>(L$225+SUM(L$236:L258))*$G259</f>
        <v>94.20400290571898</v>
      </c>
      <c r="M259" s="2587">
        <f>(M$225+SUM(M$236:M258))*$G259</f>
        <v>211.15707352794564</v>
      </c>
      <c r="N259" s="2588">
        <f>(N$225+SUM(N$236:N258))*$G259</f>
        <v>39.897415143375873</v>
      </c>
      <c r="O259" s="2577">
        <f>(O$225+SUM(O$236:O258))*$G259</f>
        <v>220.33257120962634</v>
      </c>
      <c r="P259" s="2577">
        <f>(P$225+SUM(P$236:P258))*$G259</f>
        <v>134.44032765151277</v>
      </c>
      <c r="Q259" s="2587">
        <f>(Q$225+SUM(Q$236:Q258))*$G259</f>
        <v>105.45877094204069</v>
      </c>
      <c r="R259" s="2588">
        <f>(R$225+SUM(R$236:R258))*$G259</f>
        <v>235.88800897774394</v>
      </c>
      <c r="S259" s="2577">
        <f>(S$225+SUM(S$236:S258))*$G259</f>
        <v>479.1911737155425</v>
      </c>
      <c r="T259" s="2577">
        <f>(T$225+SUM(T$236:T258))*$G259</f>
        <v>124.03713931677258</v>
      </c>
      <c r="U259" s="2587">
        <f>(U$225+SUM(U$236:U258))*$G259</f>
        <v>230.90324764271534</v>
      </c>
      <c r="V259" s="2588">
        <f>(V$225+SUM(V$236:V258))*$G259</f>
        <v>109.7031708527217</v>
      </c>
      <c r="W259" s="2577">
        <f>(W$225+SUM(W$236:W258))*$G259</f>
        <v>59.615206477470956</v>
      </c>
      <c r="X259" s="2577">
        <f>(X$225+SUM(X$236:X258))*$G259</f>
        <v>231.75899180781079</v>
      </c>
      <c r="Y259" s="2587">
        <f>(Y$225+SUM(Y$236:Y258))*$G259</f>
        <v>295.12638193572241</v>
      </c>
      <c r="Z259" s="2588">
        <f>(Z$225+SUM(Z$236:Z258))*$G259</f>
        <v>185.41116424849849</v>
      </c>
      <c r="AA259" s="2577">
        <f>(AA$225+SUM(AA$236:AA258))*$G259</f>
        <v>296.68692871174898</v>
      </c>
      <c r="AB259" s="2577">
        <f>(AB$225+SUM(AB$236:AB258))*$G259</f>
        <v>314.77350748223438</v>
      </c>
      <c r="AC259" s="2587">
        <f>(AC$225+SUM(AC$236:AC258))*$G259</f>
        <v>350.52038316734644</v>
      </c>
      <c r="AD259" s="2588">
        <f>(AD$225+SUM(AD$236:AD258))*$G259</f>
        <v>487.01028136933326</v>
      </c>
      <c r="AE259" s="2577">
        <f>(AE$225+SUM(AE$236:AE258))*$G259</f>
        <v>413.41470345396959</v>
      </c>
      <c r="AF259" s="2577">
        <f>(AF$225+SUM(AF$236:AF258))*$G259</f>
        <v>573.23918284189824</v>
      </c>
      <c r="AG259" s="2581"/>
      <c r="AH259" s="2575"/>
      <c r="AI259" s="2576"/>
      <c r="AJ259" s="2576"/>
      <c r="AK259" s="2581"/>
    </row>
    <row r="260" spans="2:235" outlineLevel="1">
      <c r="B260" s="2348">
        <v>1</v>
      </c>
      <c r="C260" s="2552">
        <f t="shared" si="371"/>
        <v>5083.1241601723532</v>
      </c>
      <c r="D260" s="2553">
        <f>D259+1</f>
        <v>2009</v>
      </c>
      <c r="E260" s="2582">
        <v>1</v>
      </c>
      <c r="F260" s="2528">
        <f t="shared" si="374"/>
        <v>39903</v>
      </c>
      <c r="G260" s="2589">
        <f t="shared" si="372"/>
        <v>2.2431862249385537E-2</v>
      </c>
      <c r="H260" s="2517">
        <f t="shared" si="373"/>
        <v>5083.1241601723532</v>
      </c>
      <c r="J260" s="2563"/>
      <c r="K260" s="2564"/>
      <c r="L260" s="2583">
        <f>(L$225+SUM(L$236:L259))*$G260</f>
        <v>86.743563183693695</v>
      </c>
      <c r="M260" s="2584">
        <f>(M$225+SUM(M$236:M259))*$G260</f>
        <v>194.4345928440716</v>
      </c>
      <c r="N260" s="2585">
        <f>(N$225+SUM(N$236:N259))*$G260</f>
        <v>36.737758955096162</v>
      </c>
      <c r="O260" s="2583">
        <f>(O$225+SUM(O$236:O259))*$G260</f>
        <v>202.88344149532551</v>
      </c>
      <c r="P260" s="2583">
        <f>(P$225+SUM(P$236:P259))*$G260</f>
        <v>123.79339196177095</v>
      </c>
      <c r="Q260" s="2584">
        <f>(Q$225+SUM(Q$236:Q259))*$G260</f>
        <v>97.107015395523433</v>
      </c>
      <c r="R260" s="2585">
        <f>(R$225+SUM(R$236:R259))*$G260</f>
        <v>217.20697401271929</v>
      </c>
      <c r="S260" s="2583">
        <f>(S$225+SUM(S$236:S259))*$G260</f>
        <v>441.24186416858782</v>
      </c>
      <c r="T260" s="2583">
        <f>(T$225+SUM(T$236:T259))*$G260</f>
        <v>114.21407901548831</v>
      </c>
      <c r="U260" s="2584">
        <f>(U$225+SUM(U$236:U259))*$G260</f>
        <v>212.61697840230519</v>
      </c>
      <c r="V260" s="2585">
        <f>(V$225+SUM(V$236:V259))*$G260</f>
        <v>101.01528214080703</v>
      </c>
      <c r="W260" s="2583">
        <f>(W$225+SUM(W$236:W259))*$G260</f>
        <v>54.894009493024527</v>
      </c>
      <c r="X260" s="2583">
        <f>(X$225+SUM(X$236:X259))*$G260</f>
        <v>213.40495232872448</v>
      </c>
      <c r="Y260" s="2584">
        <f>(Y$225+SUM(Y$236:Y259))*$G260</f>
        <v>271.75399313166656</v>
      </c>
      <c r="Z260" s="2585">
        <f>(Z$225+SUM(Z$236:Z259))*$G260</f>
        <v>170.72761819949639</v>
      </c>
      <c r="AA260" s="2583">
        <f>(AA$225+SUM(AA$236:AA259))*$G260</f>
        <v>273.19095317255625</v>
      </c>
      <c r="AB260" s="2583">
        <f>(AB$225+SUM(AB$236:AB259))*$G260</f>
        <v>289.84517422433709</v>
      </c>
      <c r="AC260" s="2584">
        <f>(AC$225+SUM(AC$236:AC259))*$G260</f>
        <v>322.76109365415692</v>
      </c>
      <c r="AD260" s="2585">
        <f>(AD$225+SUM(AD$236:AD259))*$G260</f>
        <v>448.44174143373453</v>
      </c>
      <c r="AE260" s="2583">
        <f>(AE$225+SUM(AE$236:AE259))*$G260</f>
        <v>380.6745291494438</v>
      </c>
      <c r="AF260" s="2583">
        <f>(AF$225+SUM(AF$236:AF259))*$G260</f>
        <v>527.84178742362576</v>
      </c>
      <c r="AG260" s="2584">
        <f>(AG$225+SUM(AG$236:AG259))*$G260</f>
        <v>301.59336638619868</v>
      </c>
      <c r="AH260" s="2563"/>
      <c r="AI260" s="2564"/>
      <c r="AJ260" s="2564"/>
      <c r="AK260" s="2568"/>
      <c r="AL260" s="2599"/>
      <c r="AM260" s="2599"/>
      <c r="AN260" s="2600"/>
      <c r="AO260" s="2600"/>
      <c r="AP260" s="2600"/>
      <c r="AQ260" s="2600"/>
    </row>
    <row r="261" spans="2:235" outlineLevel="1">
      <c r="B261" s="2348">
        <v>2</v>
      </c>
      <c r="C261" s="2552">
        <f t="shared" si="371"/>
        <v>5197.1481011298647</v>
      </c>
      <c r="D261" s="2562">
        <f>D260</f>
        <v>2009</v>
      </c>
      <c r="E261" s="2582">
        <v>1</v>
      </c>
      <c r="F261" s="2528">
        <f t="shared" si="374"/>
        <v>39994</v>
      </c>
      <c r="G261" s="2589">
        <f t="shared" si="372"/>
        <v>2.2431862249385537E-2</v>
      </c>
      <c r="H261" s="2517">
        <f t="shared" si="373"/>
        <v>5197.1481011298647</v>
      </c>
      <c r="J261" s="2563"/>
      <c r="K261" s="2564"/>
      <c r="L261" s="2583">
        <f>(L$225+SUM(L$236:L260))*$G261</f>
        <v>88.689382844051167</v>
      </c>
      <c r="M261" s="2584">
        <f>(M$225+SUM(M$236:M260))*$G261</f>
        <v>198.79612284726517</v>
      </c>
      <c r="N261" s="2585">
        <f>(N$225+SUM(N$236:N260))*$G261</f>
        <v>37.561855303328009</v>
      </c>
      <c r="O261" s="2583">
        <f>(O$225+SUM(O$236:O260))*$G261</f>
        <v>207.43449490762993</v>
      </c>
      <c r="P261" s="2583">
        <f>(P$225+SUM(P$236:P260))*$G261</f>
        <v>126.57030827764159</v>
      </c>
      <c r="Q261" s="2584">
        <f>(Q$225+SUM(Q$236:Q260))*$G261</f>
        <v>99.285306588324758</v>
      </c>
      <c r="R261" s="2591">
        <f>(R$225+SUM(R$236:R260))*$G261</f>
        <v>222.07933093337851</v>
      </c>
      <c r="S261" s="2592">
        <f>(S$225+SUM(S$236:S260))*$G261</f>
        <v>451.13974088427966</v>
      </c>
      <c r="T261" s="2592">
        <f>(T$225+SUM(T$236:T260))*$G261</f>
        <v>116.7761135029042</v>
      </c>
      <c r="U261" s="2593">
        <f>(U$225+SUM(U$236:U260))*$G261</f>
        <v>217.38637317370629</v>
      </c>
      <c r="V261" s="2591">
        <f>(V$225+SUM(V$236:V260))*$G261</f>
        <v>103.28124303487243</v>
      </c>
      <c r="W261" s="2592">
        <f>(W$225+SUM(W$236:W260))*$G261</f>
        <v>56.125384352288513</v>
      </c>
      <c r="X261" s="2592">
        <f>(X$225+SUM(X$236:X260))*$G261</f>
        <v>218.19202282269913</v>
      </c>
      <c r="Y261" s="2593">
        <f>(Y$225+SUM(Y$236:Y260))*$G261</f>
        <v>277.84994127131654</v>
      </c>
      <c r="Z261" s="2591">
        <f>(Z$225+SUM(Z$236:Z260))*$G261</f>
        <v>174.5573566131132</v>
      </c>
      <c r="AA261" s="2592">
        <f>(AA$225+SUM(AA$236:AA260))*$G261</f>
        <v>279.31913500190137</v>
      </c>
      <c r="AB261" s="2592">
        <f>(AB$225+SUM(AB$236:AB260))*$G261</f>
        <v>296.34694124618659</v>
      </c>
      <c r="AC261" s="2593">
        <f>(AC$225+SUM(AC$236:AC260))*$G261</f>
        <v>330.00122604646799</v>
      </c>
      <c r="AD261" s="2591">
        <f>(AD$225+SUM(AD$236:AD260))*$G261</f>
        <v>458.50112480445057</v>
      </c>
      <c r="AE261" s="2592">
        <f>(AE$225+SUM(AE$236:AE260))*$G261</f>
        <v>389.21376774917383</v>
      </c>
      <c r="AF261" s="2592">
        <f>(AF$225+SUM(AF$236:AF260))*$G261</f>
        <v>539.682261688582</v>
      </c>
      <c r="AG261" s="2593">
        <f>(AG$225+SUM(AG$236:AG260))*$G261</f>
        <v>308.35866723630238</v>
      </c>
      <c r="AH261" s="2563"/>
      <c r="AI261" s="2564"/>
      <c r="AJ261" s="2564"/>
      <c r="AK261" s="2568"/>
      <c r="AL261" s="2599"/>
      <c r="AM261" s="2599"/>
      <c r="AN261" s="2600"/>
      <c r="AO261" s="2600"/>
      <c r="AP261" s="2600"/>
      <c r="AQ261" s="2600"/>
    </row>
    <row r="262" spans="2:235" outlineLevel="1">
      <c r="B262" s="2348">
        <v>3</v>
      </c>
      <c r="C262" s="2594">
        <f t="shared" si="371"/>
        <v>0</v>
      </c>
      <c r="D262" s="2562">
        <f>D261</f>
        <v>2009</v>
      </c>
      <c r="E262" s="2582">
        <v>0</v>
      </c>
      <c r="F262" s="2528">
        <f t="shared" si="374"/>
        <v>40086</v>
      </c>
      <c r="G262" s="2595">
        <f t="shared" si="372"/>
        <v>2.2431862249385537E-2</v>
      </c>
      <c r="H262" s="2596">
        <f t="shared" si="373"/>
        <v>0</v>
      </c>
      <c r="J262" s="2563"/>
      <c r="K262" s="2564"/>
      <c r="L262" s="2564"/>
      <c r="M262" s="2568"/>
      <c r="N262" s="2563"/>
      <c r="O262" s="2564"/>
      <c r="P262" s="2564"/>
      <c r="Q262" s="2568"/>
      <c r="R262" s="2563"/>
      <c r="S262" s="2564"/>
      <c r="T262" s="2564"/>
      <c r="U262" s="2568"/>
      <c r="V262" s="2563"/>
      <c r="W262" s="2564"/>
      <c r="X262" s="2564"/>
      <c r="Y262" s="2568"/>
      <c r="Z262" s="2563"/>
      <c r="AA262" s="2564"/>
      <c r="AB262" s="2564"/>
      <c r="AC262" s="2568"/>
      <c r="AD262" s="2563"/>
      <c r="AE262" s="2564"/>
      <c r="AF262" s="2564"/>
      <c r="AG262" s="2568"/>
      <c r="AH262" s="2563"/>
      <c r="AI262" s="2564"/>
      <c r="AJ262" s="2564"/>
      <c r="AK262" s="2568"/>
    </row>
    <row r="263" spans="2:235" outlineLevel="1">
      <c r="B263" s="2348">
        <v>4</v>
      </c>
      <c r="C263" s="2569">
        <f t="shared" si="371"/>
        <v>0</v>
      </c>
      <c r="D263" s="2570">
        <f>D262</f>
        <v>2009</v>
      </c>
      <c r="E263" s="2586">
        <v>0</v>
      </c>
      <c r="F263" s="2572">
        <f t="shared" si="374"/>
        <v>40178</v>
      </c>
      <c r="G263" s="2590">
        <f t="shared" si="372"/>
        <v>2.2431862249385537E-2</v>
      </c>
      <c r="H263" s="2574">
        <f t="shared" si="373"/>
        <v>0</v>
      </c>
      <c r="J263" s="2575"/>
      <c r="K263" s="2576"/>
      <c r="L263" s="2576"/>
      <c r="M263" s="2581"/>
      <c r="N263" s="2575"/>
      <c r="O263" s="2576"/>
      <c r="P263" s="2576"/>
      <c r="Q263" s="2581"/>
      <c r="R263" s="2575"/>
      <c r="S263" s="2576"/>
      <c r="T263" s="2576"/>
      <c r="U263" s="2581"/>
      <c r="V263" s="2575"/>
      <c r="W263" s="2576"/>
      <c r="X263" s="2576"/>
      <c r="Y263" s="2581"/>
      <c r="Z263" s="2575"/>
      <c r="AA263" s="2576"/>
      <c r="AB263" s="2576"/>
      <c r="AC263" s="2581"/>
      <c r="AD263" s="2575"/>
      <c r="AE263" s="2576"/>
      <c r="AF263" s="2576"/>
      <c r="AG263" s="2581"/>
      <c r="AH263" s="2575"/>
      <c r="AI263" s="2576"/>
      <c r="AJ263" s="2576"/>
      <c r="AK263" s="2581"/>
    </row>
    <row r="264" spans="2:235">
      <c r="K264" s="2673"/>
      <c r="L264" s="2673"/>
      <c r="M264" s="2673"/>
      <c r="N264" s="2673"/>
      <c r="O264" s="2673"/>
      <c r="P264" s="2673"/>
      <c r="Q264" s="2673"/>
      <c r="R264" s="2673"/>
      <c r="S264" s="2673"/>
      <c r="T264" s="2673"/>
      <c r="U264" s="2673"/>
      <c r="V264" s="2673"/>
      <c r="W264" s="2673"/>
      <c r="X264" s="2673"/>
      <c r="Y264" s="2673"/>
      <c r="Z264" s="2673"/>
      <c r="AA264" s="2673"/>
      <c r="AB264" s="2673"/>
      <c r="AC264" s="2673"/>
      <c r="AD264" s="2673"/>
      <c r="AE264" s="2673"/>
      <c r="AF264" s="2673"/>
      <c r="AG264" s="2673"/>
      <c r="AH264" s="2673"/>
      <c r="AI264" s="2673"/>
      <c r="AJ264" s="2673"/>
      <c r="AK264" s="2673"/>
      <c r="AL264" s="2673"/>
      <c r="AM264" s="2673"/>
      <c r="AN264" s="2673"/>
      <c r="AO264" s="2673"/>
      <c r="AP264" s="2673"/>
      <c r="AQ264" s="2673"/>
      <c r="AR264" s="2673"/>
      <c r="AS264" s="2673"/>
      <c r="AT264" s="2673"/>
      <c r="AU264" s="2673"/>
      <c r="CH264" s="2601">
        <v>44651</v>
      </c>
      <c r="CI264" s="2601">
        <f>EOMONTH(CH264,3)</f>
        <v>44742</v>
      </c>
      <c r="CJ264" s="2601">
        <f t="shared" ref="CJ264:EU264" si="375">EOMONTH(CI264,3)</f>
        <v>44834</v>
      </c>
      <c r="CK264" s="2601">
        <f t="shared" si="375"/>
        <v>44926</v>
      </c>
      <c r="CL264" s="2601">
        <f t="shared" si="375"/>
        <v>45016</v>
      </c>
      <c r="CM264" s="2601">
        <f t="shared" si="375"/>
        <v>45107</v>
      </c>
      <c r="CN264" s="2601">
        <f t="shared" si="375"/>
        <v>45199</v>
      </c>
      <c r="CO264" s="2601">
        <f t="shared" si="375"/>
        <v>45291</v>
      </c>
      <c r="CP264" s="2601">
        <f t="shared" si="375"/>
        <v>45382</v>
      </c>
      <c r="CQ264" s="2601">
        <f t="shared" si="375"/>
        <v>45473</v>
      </c>
      <c r="CR264" s="2601">
        <f t="shared" si="375"/>
        <v>45565</v>
      </c>
      <c r="CS264" s="2601">
        <f t="shared" si="375"/>
        <v>45657</v>
      </c>
      <c r="CT264" s="2601">
        <f t="shared" si="375"/>
        <v>45747</v>
      </c>
      <c r="CU264" s="2601">
        <f t="shared" si="375"/>
        <v>45838</v>
      </c>
      <c r="CV264" s="2601">
        <f t="shared" si="375"/>
        <v>45930</v>
      </c>
      <c r="CW264" s="2601">
        <f t="shared" si="375"/>
        <v>46022</v>
      </c>
      <c r="CX264" s="2601">
        <f t="shared" si="375"/>
        <v>46112</v>
      </c>
      <c r="CY264" s="2601">
        <f t="shared" si="375"/>
        <v>46203</v>
      </c>
      <c r="CZ264" s="2601">
        <f t="shared" si="375"/>
        <v>46295</v>
      </c>
      <c r="DA264" s="2601">
        <f t="shared" si="375"/>
        <v>46387</v>
      </c>
      <c r="DB264" s="2601">
        <f t="shared" si="375"/>
        <v>46477</v>
      </c>
      <c r="DC264" s="2601">
        <f t="shared" si="375"/>
        <v>46568</v>
      </c>
      <c r="DD264" s="2601">
        <f t="shared" si="375"/>
        <v>46660</v>
      </c>
      <c r="DE264" s="2601">
        <f t="shared" si="375"/>
        <v>46752</v>
      </c>
      <c r="DF264" s="2601">
        <f t="shared" si="375"/>
        <v>46843</v>
      </c>
      <c r="DG264" s="2601">
        <f t="shared" si="375"/>
        <v>46934</v>
      </c>
      <c r="DH264" s="2601">
        <f t="shared" si="375"/>
        <v>47026</v>
      </c>
      <c r="DI264" s="2601">
        <f t="shared" si="375"/>
        <v>47118</v>
      </c>
      <c r="DJ264" s="2601">
        <f t="shared" si="375"/>
        <v>47208</v>
      </c>
      <c r="DK264" s="2601">
        <f t="shared" si="375"/>
        <v>47299</v>
      </c>
      <c r="DL264" s="2601">
        <f t="shared" si="375"/>
        <v>47391</v>
      </c>
      <c r="DM264" s="2601">
        <f t="shared" si="375"/>
        <v>47483</v>
      </c>
      <c r="DN264" s="2601">
        <f t="shared" si="375"/>
        <v>47573</v>
      </c>
      <c r="DO264" s="2601">
        <f t="shared" si="375"/>
        <v>47664</v>
      </c>
      <c r="DP264" s="2601">
        <f t="shared" si="375"/>
        <v>47756</v>
      </c>
      <c r="DQ264" s="2601">
        <f t="shared" si="375"/>
        <v>47848</v>
      </c>
      <c r="DR264" s="2601">
        <f t="shared" si="375"/>
        <v>47938</v>
      </c>
      <c r="DS264" s="2601">
        <f t="shared" si="375"/>
        <v>48029</v>
      </c>
      <c r="DT264" s="2601">
        <f t="shared" si="375"/>
        <v>48121</v>
      </c>
      <c r="DU264" s="2601">
        <f t="shared" si="375"/>
        <v>48213</v>
      </c>
      <c r="DV264" s="2601">
        <f t="shared" si="375"/>
        <v>48304</v>
      </c>
      <c r="DW264" s="2601">
        <f t="shared" si="375"/>
        <v>48395</v>
      </c>
      <c r="DX264" s="2601">
        <f t="shared" si="375"/>
        <v>48487</v>
      </c>
      <c r="DY264" s="2601">
        <f t="shared" si="375"/>
        <v>48579</v>
      </c>
      <c r="DZ264" s="2601">
        <f t="shared" si="375"/>
        <v>48669</v>
      </c>
      <c r="EA264" s="2601">
        <f t="shared" si="375"/>
        <v>48760</v>
      </c>
      <c r="EB264" s="2601">
        <f t="shared" si="375"/>
        <v>48852</v>
      </c>
      <c r="EC264" s="2601">
        <f t="shared" si="375"/>
        <v>48944</v>
      </c>
      <c r="ED264" s="2601">
        <f t="shared" si="375"/>
        <v>49034</v>
      </c>
      <c r="EE264" s="2601">
        <f t="shared" si="375"/>
        <v>49125</v>
      </c>
      <c r="EF264" s="2601">
        <f t="shared" si="375"/>
        <v>49217</v>
      </c>
      <c r="EG264" s="2601">
        <f t="shared" si="375"/>
        <v>49309</v>
      </c>
      <c r="EH264" s="2601">
        <f t="shared" si="375"/>
        <v>49399</v>
      </c>
      <c r="EI264" s="2601">
        <f t="shared" si="375"/>
        <v>49490</v>
      </c>
      <c r="EJ264" s="2601">
        <f t="shared" si="375"/>
        <v>49582</v>
      </c>
      <c r="EK264" s="2601">
        <f t="shared" si="375"/>
        <v>49674</v>
      </c>
      <c r="EL264" s="2601">
        <f t="shared" si="375"/>
        <v>49765</v>
      </c>
      <c r="EM264" s="2601">
        <f t="shared" si="375"/>
        <v>49856</v>
      </c>
      <c r="EN264" s="2601">
        <f t="shared" si="375"/>
        <v>49948</v>
      </c>
      <c r="EO264" s="2601">
        <f t="shared" si="375"/>
        <v>50040</v>
      </c>
      <c r="EP264" s="2601">
        <f t="shared" si="375"/>
        <v>50130</v>
      </c>
      <c r="EQ264" s="2601">
        <f t="shared" si="375"/>
        <v>50221</v>
      </c>
      <c r="ER264" s="2601">
        <f t="shared" si="375"/>
        <v>50313</v>
      </c>
      <c r="ES264" s="2601">
        <f t="shared" si="375"/>
        <v>50405</v>
      </c>
      <c r="ET264" s="2601">
        <f t="shared" si="375"/>
        <v>50495</v>
      </c>
      <c r="EU264" s="2601">
        <f t="shared" si="375"/>
        <v>50586</v>
      </c>
      <c r="EV264" s="2601">
        <f t="shared" ref="EV264:HG264" si="376">EOMONTH(EU264,3)</f>
        <v>50678</v>
      </c>
      <c r="EW264" s="2601">
        <f t="shared" si="376"/>
        <v>50770</v>
      </c>
      <c r="EX264" s="2601">
        <f t="shared" si="376"/>
        <v>50860</v>
      </c>
      <c r="EY264" s="2601">
        <f t="shared" si="376"/>
        <v>50951</v>
      </c>
      <c r="EZ264" s="2601">
        <f t="shared" si="376"/>
        <v>51043</v>
      </c>
      <c r="FA264" s="2601">
        <f t="shared" si="376"/>
        <v>51135</v>
      </c>
      <c r="FB264" s="2601">
        <f t="shared" si="376"/>
        <v>51226</v>
      </c>
      <c r="FC264" s="2601">
        <f t="shared" si="376"/>
        <v>51317</v>
      </c>
      <c r="FD264" s="2601">
        <f t="shared" si="376"/>
        <v>51409</v>
      </c>
      <c r="FE264" s="2601">
        <f t="shared" si="376"/>
        <v>51501</v>
      </c>
      <c r="FF264" s="2601">
        <f t="shared" si="376"/>
        <v>51591</v>
      </c>
      <c r="FG264" s="2601">
        <f t="shared" si="376"/>
        <v>51682</v>
      </c>
      <c r="FH264" s="2601">
        <f t="shared" si="376"/>
        <v>51774</v>
      </c>
      <c r="FI264" s="2601">
        <f t="shared" si="376"/>
        <v>51866</v>
      </c>
      <c r="FJ264" s="2601">
        <f t="shared" si="376"/>
        <v>51956</v>
      </c>
      <c r="FK264" s="2601">
        <f t="shared" si="376"/>
        <v>52047</v>
      </c>
      <c r="FL264" s="2601">
        <f t="shared" si="376"/>
        <v>52139</v>
      </c>
      <c r="FM264" s="2601">
        <f t="shared" si="376"/>
        <v>52231</v>
      </c>
      <c r="FN264" s="2601">
        <f t="shared" si="376"/>
        <v>52321</v>
      </c>
      <c r="FO264" s="2601">
        <f t="shared" si="376"/>
        <v>52412</v>
      </c>
      <c r="FP264" s="2601">
        <f t="shared" si="376"/>
        <v>52504</v>
      </c>
      <c r="FQ264" s="2601">
        <f t="shared" si="376"/>
        <v>52596</v>
      </c>
      <c r="FR264" s="2601">
        <f t="shared" si="376"/>
        <v>52687</v>
      </c>
      <c r="FS264" s="2601">
        <f t="shared" si="376"/>
        <v>52778</v>
      </c>
      <c r="FT264" s="2601">
        <f t="shared" si="376"/>
        <v>52870</v>
      </c>
      <c r="FU264" s="2601">
        <f t="shared" si="376"/>
        <v>52962</v>
      </c>
      <c r="FV264" s="2601">
        <f t="shared" si="376"/>
        <v>53052</v>
      </c>
      <c r="FW264" s="2601">
        <f t="shared" si="376"/>
        <v>53143</v>
      </c>
      <c r="FX264" s="2601">
        <f t="shared" si="376"/>
        <v>53235</v>
      </c>
      <c r="FY264" s="2601">
        <f t="shared" si="376"/>
        <v>53327</v>
      </c>
      <c r="FZ264" s="2601">
        <f t="shared" si="376"/>
        <v>53417</v>
      </c>
      <c r="GA264" s="2601">
        <f t="shared" si="376"/>
        <v>53508</v>
      </c>
      <c r="GB264" s="2601">
        <f t="shared" si="376"/>
        <v>53600</v>
      </c>
      <c r="GC264" s="2601">
        <f t="shared" si="376"/>
        <v>53692</v>
      </c>
      <c r="GD264" s="2601">
        <f t="shared" si="376"/>
        <v>53782</v>
      </c>
      <c r="GE264" s="2601">
        <f t="shared" si="376"/>
        <v>53873</v>
      </c>
      <c r="GF264" s="2601">
        <f t="shared" si="376"/>
        <v>53965</v>
      </c>
      <c r="GG264" s="2601">
        <f t="shared" si="376"/>
        <v>54057</v>
      </c>
      <c r="GH264" s="2601">
        <f t="shared" si="376"/>
        <v>54148</v>
      </c>
      <c r="GI264" s="2601">
        <f t="shared" si="376"/>
        <v>54239</v>
      </c>
      <c r="GJ264" s="2601">
        <f t="shared" si="376"/>
        <v>54331</v>
      </c>
      <c r="GK264" s="2601">
        <f t="shared" si="376"/>
        <v>54423</v>
      </c>
      <c r="GL264" s="2601">
        <f t="shared" si="376"/>
        <v>54513</v>
      </c>
      <c r="GM264" s="2601">
        <f t="shared" si="376"/>
        <v>54604</v>
      </c>
      <c r="GN264" s="2601">
        <f t="shared" si="376"/>
        <v>54696</v>
      </c>
      <c r="GO264" s="2601">
        <f t="shared" si="376"/>
        <v>54788</v>
      </c>
      <c r="GP264" s="2601">
        <f t="shared" si="376"/>
        <v>54878</v>
      </c>
      <c r="GQ264" s="2601">
        <f t="shared" si="376"/>
        <v>54969</v>
      </c>
      <c r="GR264" s="2601">
        <f t="shared" si="376"/>
        <v>55061</v>
      </c>
      <c r="GS264" s="2601">
        <f t="shared" si="376"/>
        <v>55153</v>
      </c>
      <c r="GT264" s="2601">
        <f t="shared" si="376"/>
        <v>55243</v>
      </c>
      <c r="GU264" s="2601">
        <f t="shared" si="376"/>
        <v>55334</v>
      </c>
      <c r="GV264" s="2601">
        <f t="shared" si="376"/>
        <v>55426</v>
      </c>
      <c r="GW264" s="2601">
        <f t="shared" si="376"/>
        <v>55518</v>
      </c>
      <c r="GX264" s="2601">
        <f t="shared" si="376"/>
        <v>55609</v>
      </c>
      <c r="GY264" s="2601">
        <f t="shared" si="376"/>
        <v>55700</v>
      </c>
      <c r="GZ264" s="2601">
        <f t="shared" si="376"/>
        <v>55792</v>
      </c>
      <c r="HA264" s="2601">
        <f t="shared" si="376"/>
        <v>55884</v>
      </c>
      <c r="HB264" s="2601">
        <f t="shared" si="376"/>
        <v>55974</v>
      </c>
      <c r="HC264" s="2601">
        <f t="shared" si="376"/>
        <v>56065</v>
      </c>
      <c r="HD264" s="2601">
        <f t="shared" si="376"/>
        <v>56157</v>
      </c>
      <c r="HE264" s="2601">
        <f t="shared" si="376"/>
        <v>56249</v>
      </c>
      <c r="HF264" s="2601">
        <f t="shared" si="376"/>
        <v>56339</v>
      </c>
      <c r="HG264" s="2601">
        <f t="shared" si="376"/>
        <v>56430</v>
      </c>
      <c r="HH264" s="2601">
        <f t="shared" ref="HH264:IA264" si="377">EOMONTH(HG264,3)</f>
        <v>56522</v>
      </c>
      <c r="HI264" s="2601">
        <f t="shared" si="377"/>
        <v>56614</v>
      </c>
      <c r="HJ264" s="2601">
        <f t="shared" si="377"/>
        <v>56704</v>
      </c>
      <c r="HK264" s="2601">
        <f t="shared" si="377"/>
        <v>56795</v>
      </c>
      <c r="HL264" s="2601">
        <f t="shared" si="377"/>
        <v>56887</v>
      </c>
      <c r="HM264" s="2601">
        <f t="shared" si="377"/>
        <v>56979</v>
      </c>
      <c r="HN264" s="2601">
        <f t="shared" si="377"/>
        <v>57070</v>
      </c>
      <c r="HO264" s="2601">
        <f t="shared" si="377"/>
        <v>57161</v>
      </c>
      <c r="HP264" s="2601">
        <f t="shared" si="377"/>
        <v>57253</v>
      </c>
      <c r="HQ264" s="2601">
        <f t="shared" si="377"/>
        <v>57345</v>
      </c>
      <c r="HR264" s="2601">
        <f t="shared" si="377"/>
        <v>57435</v>
      </c>
      <c r="HS264" s="2601">
        <f t="shared" si="377"/>
        <v>57526</v>
      </c>
      <c r="HT264" s="2601">
        <f t="shared" si="377"/>
        <v>57618</v>
      </c>
      <c r="HU264" s="2601">
        <f t="shared" si="377"/>
        <v>57710</v>
      </c>
      <c r="HV264" s="2601">
        <f t="shared" si="377"/>
        <v>57800</v>
      </c>
      <c r="HW264" s="2601">
        <f t="shared" si="377"/>
        <v>57891</v>
      </c>
      <c r="HX264" s="2601">
        <f t="shared" si="377"/>
        <v>57983</v>
      </c>
      <c r="HY264" s="2601">
        <f t="shared" si="377"/>
        <v>58075</v>
      </c>
      <c r="HZ264" s="2601">
        <f t="shared" si="377"/>
        <v>58165</v>
      </c>
      <c r="IA264" s="2601">
        <f t="shared" si="377"/>
        <v>58256</v>
      </c>
    </row>
    <row r="265" spans="2:235">
      <c r="G265" s="2674"/>
      <c r="H265" s="2675"/>
      <c r="I265" s="5066"/>
      <c r="J265" s="5069"/>
      <c r="K265" s="5069"/>
      <c r="L265" s="5069"/>
      <c r="M265" s="5069"/>
      <c r="N265" s="5069"/>
      <c r="O265" s="5069"/>
      <c r="P265" s="5069"/>
      <c r="Q265" s="5069"/>
      <c r="R265" s="5069"/>
      <c r="S265" s="5069"/>
      <c r="T265" s="5069"/>
      <c r="U265" s="5069"/>
      <c r="V265" s="5070"/>
      <c r="W265" s="5071">
        <f t="shared" ref="W265:BB265" si="378">W10</f>
        <v>2006</v>
      </c>
      <c r="X265" s="5071">
        <f t="shared" si="378"/>
        <v>2006</v>
      </c>
      <c r="Y265" s="5071">
        <f t="shared" si="378"/>
        <v>2006</v>
      </c>
      <c r="Z265" s="5071">
        <f t="shared" si="378"/>
        <v>2007</v>
      </c>
      <c r="AA265" s="5071">
        <f t="shared" si="378"/>
        <v>2007</v>
      </c>
      <c r="AB265" s="5071">
        <f t="shared" si="378"/>
        <v>2007</v>
      </c>
      <c r="AC265" s="5318">
        <f t="shared" si="378"/>
        <v>2007</v>
      </c>
      <c r="AD265" s="5318">
        <f t="shared" si="378"/>
        <v>2008</v>
      </c>
      <c r="AE265" s="5318">
        <f t="shared" si="378"/>
        <v>2008</v>
      </c>
      <c r="AF265" s="5318">
        <f t="shared" si="378"/>
        <v>2008</v>
      </c>
      <c r="AG265" s="5318">
        <f t="shared" si="378"/>
        <v>2008</v>
      </c>
      <c r="AH265" s="5318">
        <f t="shared" si="378"/>
        <v>2009</v>
      </c>
      <c r="AI265" s="5318">
        <f t="shared" si="378"/>
        <v>2009</v>
      </c>
      <c r="AJ265" s="5318">
        <f t="shared" si="378"/>
        <v>2009</v>
      </c>
      <c r="AK265" s="5318">
        <f t="shared" si="378"/>
        <v>2009</v>
      </c>
      <c r="AL265" s="5318">
        <f t="shared" si="378"/>
        <v>2010</v>
      </c>
      <c r="AM265" s="5318">
        <f t="shared" si="378"/>
        <v>2010</v>
      </c>
      <c r="AN265" s="5318">
        <f t="shared" si="378"/>
        <v>2010</v>
      </c>
      <c r="AO265" s="5318">
        <f t="shared" si="378"/>
        <v>2010</v>
      </c>
      <c r="AP265" s="5318">
        <f t="shared" si="378"/>
        <v>2011</v>
      </c>
      <c r="AQ265" s="5318">
        <f t="shared" si="378"/>
        <v>2011</v>
      </c>
      <c r="AR265" s="5318">
        <f t="shared" si="378"/>
        <v>2011</v>
      </c>
      <c r="AS265" s="5318">
        <f t="shared" si="378"/>
        <v>2011</v>
      </c>
      <c r="AT265" s="5318">
        <f t="shared" si="378"/>
        <v>2012</v>
      </c>
      <c r="AU265" s="5318">
        <f t="shared" si="378"/>
        <v>2012</v>
      </c>
      <c r="AV265" s="5318">
        <f t="shared" si="378"/>
        <v>2012</v>
      </c>
      <c r="AW265" s="5318">
        <f t="shared" si="378"/>
        <v>2012</v>
      </c>
      <c r="AX265" s="5318">
        <f t="shared" si="378"/>
        <v>2013</v>
      </c>
      <c r="AY265" s="5318">
        <f t="shared" si="378"/>
        <v>2013</v>
      </c>
      <c r="AZ265" s="5318">
        <f t="shared" si="378"/>
        <v>2013</v>
      </c>
      <c r="BA265" s="5318">
        <f t="shared" si="378"/>
        <v>2013</v>
      </c>
      <c r="BB265" s="5318">
        <f t="shared" si="378"/>
        <v>2014</v>
      </c>
      <c r="BC265" s="5318">
        <f t="shared" ref="BC265:CH265" si="379">BC10</f>
        <v>2014</v>
      </c>
      <c r="BD265" s="5318">
        <f t="shared" si="379"/>
        <v>2014</v>
      </c>
      <c r="BE265" s="5318">
        <f t="shared" si="379"/>
        <v>2014</v>
      </c>
      <c r="BF265" s="5318">
        <f t="shared" si="379"/>
        <v>2015</v>
      </c>
      <c r="BG265" s="5318">
        <f t="shared" si="379"/>
        <v>2015</v>
      </c>
      <c r="BH265" s="5318">
        <f t="shared" si="379"/>
        <v>2015</v>
      </c>
      <c r="BI265" s="5318">
        <f t="shared" si="379"/>
        <v>2015</v>
      </c>
      <c r="BJ265" s="5318">
        <f t="shared" si="379"/>
        <v>2016</v>
      </c>
      <c r="BK265" s="5318">
        <f t="shared" si="379"/>
        <v>2016</v>
      </c>
      <c r="BL265" s="5318">
        <f t="shared" si="379"/>
        <v>2016</v>
      </c>
      <c r="BM265" s="5318">
        <f t="shared" si="379"/>
        <v>2016</v>
      </c>
      <c r="BN265" s="5318">
        <f t="shared" si="379"/>
        <v>2017</v>
      </c>
      <c r="BO265" s="5318">
        <f t="shared" si="379"/>
        <v>2017</v>
      </c>
      <c r="BP265" s="5318">
        <f t="shared" si="379"/>
        <v>2017</v>
      </c>
      <c r="BQ265" s="5318">
        <f t="shared" si="379"/>
        <v>2017</v>
      </c>
      <c r="BR265" s="5318">
        <f t="shared" si="379"/>
        <v>2018</v>
      </c>
      <c r="BS265" s="5318">
        <f t="shared" si="379"/>
        <v>2018</v>
      </c>
      <c r="BT265" s="5318">
        <f t="shared" si="379"/>
        <v>2018</v>
      </c>
      <c r="BU265" s="5318">
        <f t="shared" si="379"/>
        <v>2018</v>
      </c>
      <c r="BV265" s="5318">
        <f t="shared" si="379"/>
        <v>2019</v>
      </c>
      <c r="BW265" s="5318">
        <f t="shared" si="379"/>
        <v>2019</v>
      </c>
      <c r="BX265" s="5318">
        <f t="shared" si="379"/>
        <v>2019</v>
      </c>
      <c r="BY265" s="5318">
        <f t="shared" si="379"/>
        <v>2019</v>
      </c>
      <c r="BZ265" s="5318">
        <f t="shared" si="379"/>
        <v>2020</v>
      </c>
      <c r="CA265" s="5318">
        <f t="shared" si="379"/>
        <v>2020</v>
      </c>
      <c r="CB265" s="5318">
        <f t="shared" si="379"/>
        <v>2020</v>
      </c>
      <c r="CC265" s="5318">
        <f t="shared" si="379"/>
        <v>2020</v>
      </c>
      <c r="CD265" s="5318">
        <f t="shared" si="379"/>
        <v>2021</v>
      </c>
      <c r="CE265" s="5318">
        <f t="shared" si="379"/>
        <v>2021</v>
      </c>
      <c r="CF265" s="5318">
        <f t="shared" si="379"/>
        <v>2021</v>
      </c>
      <c r="CG265" s="5318">
        <f t="shared" si="379"/>
        <v>2021</v>
      </c>
      <c r="CH265" s="2676">
        <f t="shared" si="379"/>
        <v>2022</v>
      </c>
      <c r="CI265" s="2676">
        <f t="shared" ref="CI265:DN265" si="380">CI10</f>
        <v>2022</v>
      </c>
      <c r="CJ265" s="2676">
        <f t="shared" si="380"/>
        <v>2022</v>
      </c>
      <c r="CK265" s="2676">
        <f t="shared" si="380"/>
        <v>2022</v>
      </c>
      <c r="CL265" s="2676">
        <f t="shared" si="380"/>
        <v>2023</v>
      </c>
      <c r="CM265" s="2676">
        <f t="shared" si="380"/>
        <v>2023</v>
      </c>
      <c r="CN265" s="2676">
        <f t="shared" si="380"/>
        <v>2023</v>
      </c>
      <c r="CO265" s="2676">
        <f t="shared" si="380"/>
        <v>2023</v>
      </c>
      <c r="CP265" s="2676">
        <f t="shared" si="380"/>
        <v>2024</v>
      </c>
      <c r="CQ265" s="2676">
        <f t="shared" si="380"/>
        <v>2024</v>
      </c>
      <c r="CR265" s="2676">
        <f t="shared" si="380"/>
        <v>2024</v>
      </c>
      <c r="CS265" s="2676">
        <f t="shared" si="380"/>
        <v>2024</v>
      </c>
      <c r="CT265" s="2676">
        <f t="shared" si="380"/>
        <v>2025</v>
      </c>
      <c r="CU265" s="2676">
        <f t="shared" si="380"/>
        <v>2025</v>
      </c>
      <c r="CV265" s="2676">
        <f t="shared" si="380"/>
        <v>2025</v>
      </c>
      <c r="CW265" s="2676">
        <f t="shared" si="380"/>
        <v>2025</v>
      </c>
      <c r="CX265" s="2676">
        <f t="shared" si="380"/>
        <v>2026</v>
      </c>
      <c r="CY265" s="2676">
        <f t="shared" si="380"/>
        <v>2026</v>
      </c>
      <c r="CZ265" s="2676">
        <f t="shared" si="380"/>
        <v>2026</v>
      </c>
      <c r="DA265" s="2676">
        <f t="shared" si="380"/>
        <v>2026</v>
      </c>
      <c r="DB265" s="2676">
        <f t="shared" si="380"/>
        <v>2027</v>
      </c>
      <c r="DC265" s="2676">
        <f t="shared" si="380"/>
        <v>2027</v>
      </c>
      <c r="DD265" s="2676">
        <f t="shared" si="380"/>
        <v>2027</v>
      </c>
      <c r="DE265" s="2676">
        <f t="shared" si="380"/>
        <v>2027</v>
      </c>
      <c r="DF265" s="2676">
        <f t="shared" si="380"/>
        <v>2028</v>
      </c>
      <c r="DG265" s="2676">
        <f t="shared" si="380"/>
        <v>2028</v>
      </c>
      <c r="DH265" s="2676">
        <f t="shared" si="380"/>
        <v>2028</v>
      </c>
      <c r="DI265" s="2676">
        <f t="shared" si="380"/>
        <v>2028</v>
      </c>
      <c r="DJ265" s="2676">
        <f t="shared" si="380"/>
        <v>2029</v>
      </c>
      <c r="DK265" s="2676">
        <f t="shared" si="380"/>
        <v>2029</v>
      </c>
      <c r="DL265" s="2676">
        <f t="shared" si="380"/>
        <v>2029</v>
      </c>
      <c r="DM265" s="2676">
        <f t="shared" si="380"/>
        <v>2029</v>
      </c>
      <c r="DN265" s="2676">
        <f t="shared" si="380"/>
        <v>2030</v>
      </c>
      <c r="DO265" s="2676">
        <f t="shared" ref="DO265:EU265" si="381">DO10</f>
        <v>2030</v>
      </c>
      <c r="DP265" s="2676">
        <f t="shared" si="381"/>
        <v>2030</v>
      </c>
      <c r="DQ265" s="2676">
        <f t="shared" si="381"/>
        <v>2030</v>
      </c>
      <c r="DR265" s="2676">
        <f t="shared" si="381"/>
        <v>2031</v>
      </c>
      <c r="DS265" s="2676">
        <f t="shared" si="381"/>
        <v>2031</v>
      </c>
      <c r="DT265" s="2676">
        <f t="shared" si="381"/>
        <v>2031</v>
      </c>
      <c r="DU265" s="2676">
        <f t="shared" si="381"/>
        <v>2031</v>
      </c>
      <c r="DV265" s="2676">
        <f t="shared" si="381"/>
        <v>2032</v>
      </c>
      <c r="DW265" s="5273">
        <f t="shared" si="381"/>
        <v>2032</v>
      </c>
      <c r="DX265" s="5273">
        <f t="shared" si="381"/>
        <v>2032</v>
      </c>
      <c r="DY265" s="5273">
        <f t="shared" si="381"/>
        <v>2032</v>
      </c>
      <c r="DZ265" s="5273">
        <f t="shared" si="381"/>
        <v>2033</v>
      </c>
      <c r="EA265" s="5273">
        <f t="shared" si="381"/>
        <v>2033</v>
      </c>
      <c r="EB265" s="5273">
        <f t="shared" si="381"/>
        <v>2033</v>
      </c>
      <c r="EC265" s="5273">
        <f t="shared" si="381"/>
        <v>2033</v>
      </c>
      <c r="ED265" s="5273">
        <f t="shared" si="381"/>
        <v>2034</v>
      </c>
      <c r="EE265" s="5273">
        <f t="shared" si="381"/>
        <v>2034</v>
      </c>
      <c r="EF265" s="5273">
        <f t="shared" si="381"/>
        <v>2034</v>
      </c>
      <c r="EG265" s="5273">
        <f t="shared" si="381"/>
        <v>2034</v>
      </c>
      <c r="EH265" s="5273">
        <f t="shared" si="381"/>
        <v>2035</v>
      </c>
      <c r="EI265" s="5273">
        <f t="shared" si="381"/>
        <v>2035</v>
      </c>
      <c r="EJ265" s="5273">
        <f t="shared" si="381"/>
        <v>2035</v>
      </c>
      <c r="EK265" s="5273">
        <f t="shared" si="381"/>
        <v>2035</v>
      </c>
      <c r="EL265" s="5273">
        <f t="shared" si="381"/>
        <v>2036</v>
      </c>
      <c r="EM265" s="5273">
        <f t="shared" si="381"/>
        <v>2036</v>
      </c>
      <c r="EN265" s="5273">
        <f t="shared" si="381"/>
        <v>2036</v>
      </c>
      <c r="EO265" s="5273">
        <f t="shared" si="381"/>
        <v>2036</v>
      </c>
      <c r="EP265" s="5273">
        <f t="shared" si="381"/>
        <v>2037</v>
      </c>
      <c r="EQ265" s="5273">
        <f t="shared" si="381"/>
        <v>2037</v>
      </c>
      <c r="ER265" s="5273">
        <f t="shared" si="381"/>
        <v>2037</v>
      </c>
      <c r="ES265" s="5273">
        <f t="shared" si="381"/>
        <v>2037</v>
      </c>
      <c r="ET265" s="5273">
        <f t="shared" si="381"/>
        <v>2038</v>
      </c>
      <c r="EU265" s="5273">
        <f t="shared" si="381"/>
        <v>2038</v>
      </c>
      <c r="EV265" s="5273">
        <f t="shared" ref="EV265:HG265" si="382">EV10</f>
        <v>2038</v>
      </c>
      <c r="EW265" s="5273">
        <f t="shared" si="382"/>
        <v>2038</v>
      </c>
      <c r="EX265" s="5273">
        <f t="shared" si="382"/>
        <v>2039</v>
      </c>
      <c r="EY265" s="5273">
        <f t="shared" si="382"/>
        <v>2039</v>
      </c>
      <c r="EZ265" s="5273">
        <f t="shared" si="382"/>
        <v>2039</v>
      </c>
      <c r="FA265" s="5273">
        <f t="shared" si="382"/>
        <v>2039</v>
      </c>
      <c r="FB265" s="5273">
        <f t="shared" si="382"/>
        <v>2040</v>
      </c>
      <c r="FC265" s="5273">
        <f t="shared" si="382"/>
        <v>2040</v>
      </c>
      <c r="FD265" s="5273">
        <f t="shared" si="382"/>
        <v>2040</v>
      </c>
      <c r="FE265" s="5273">
        <f t="shared" si="382"/>
        <v>2040</v>
      </c>
      <c r="FF265" s="5273">
        <f t="shared" si="382"/>
        <v>2041</v>
      </c>
      <c r="FG265" s="5273">
        <f t="shared" si="382"/>
        <v>2041</v>
      </c>
      <c r="FH265" s="5273">
        <f t="shared" si="382"/>
        <v>2041</v>
      </c>
      <c r="FI265" s="5273">
        <f t="shared" si="382"/>
        <v>2041</v>
      </c>
      <c r="FJ265" s="5273">
        <f t="shared" si="382"/>
        <v>2042</v>
      </c>
      <c r="FK265" s="5273">
        <f t="shared" si="382"/>
        <v>2042</v>
      </c>
      <c r="FL265" s="5273">
        <f t="shared" si="382"/>
        <v>2042</v>
      </c>
      <c r="FM265" s="5273">
        <f t="shared" si="382"/>
        <v>2042</v>
      </c>
      <c r="FN265" s="5273">
        <f t="shared" si="382"/>
        <v>2043</v>
      </c>
      <c r="FO265" s="5273">
        <f t="shared" si="382"/>
        <v>2043</v>
      </c>
      <c r="FP265" s="5273">
        <f t="shared" si="382"/>
        <v>2043</v>
      </c>
      <c r="FQ265" s="5273">
        <f t="shared" si="382"/>
        <v>2043</v>
      </c>
      <c r="FR265" s="5273">
        <f t="shared" si="382"/>
        <v>2044</v>
      </c>
      <c r="FS265" s="5273">
        <f t="shared" si="382"/>
        <v>2044</v>
      </c>
      <c r="FT265" s="5273">
        <f t="shared" si="382"/>
        <v>2044</v>
      </c>
      <c r="FU265" s="5273">
        <f t="shared" si="382"/>
        <v>2044</v>
      </c>
      <c r="FV265" s="5273">
        <f t="shared" si="382"/>
        <v>2045</v>
      </c>
      <c r="FW265" s="5273">
        <f t="shared" si="382"/>
        <v>2045</v>
      </c>
      <c r="FX265" s="5273">
        <f t="shared" si="382"/>
        <v>2045</v>
      </c>
      <c r="FY265" s="5273">
        <f t="shared" si="382"/>
        <v>2045</v>
      </c>
      <c r="FZ265" s="5273">
        <f t="shared" si="382"/>
        <v>2046</v>
      </c>
      <c r="GA265" s="5273">
        <f t="shared" si="382"/>
        <v>2046</v>
      </c>
      <c r="GB265" s="5273">
        <f t="shared" si="382"/>
        <v>2046</v>
      </c>
      <c r="GC265" s="5273">
        <f t="shared" si="382"/>
        <v>2046</v>
      </c>
      <c r="GD265" s="5273">
        <f t="shared" si="382"/>
        <v>2047</v>
      </c>
      <c r="GE265" s="5273">
        <f t="shared" si="382"/>
        <v>2047</v>
      </c>
      <c r="GF265" s="5273">
        <f t="shared" si="382"/>
        <v>2047</v>
      </c>
      <c r="GG265" s="5273">
        <f t="shared" si="382"/>
        <v>2047</v>
      </c>
      <c r="GH265" s="5273">
        <f t="shared" si="382"/>
        <v>2048</v>
      </c>
      <c r="GI265" s="5273">
        <f t="shared" si="382"/>
        <v>2048</v>
      </c>
      <c r="GJ265" s="5273">
        <f t="shared" si="382"/>
        <v>2048</v>
      </c>
      <c r="GK265" s="5273">
        <f t="shared" si="382"/>
        <v>2048</v>
      </c>
      <c r="GL265" s="5273">
        <f t="shared" si="382"/>
        <v>2049</v>
      </c>
      <c r="GM265" s="5273">
        <f t="shared" si="382"/>
        <v>2049</v>
      </c>
      <c r="GN265" s="5273">
        <f t="shared" si="382"/>
        <v>2049</v>
      </c>
      <c r="GO265" s="5273">
        <f t="shared" si="382"/>
        <v>2049</v>
      </c>
      <c r="GP265" s="5273">
        <f t="shared" si="382"/>
        <v>2050</v>
      </c>
      <c r="GQ265" s="5273">
        <f t="shared" si="382"/>
        <v>2050</v>
      </c>
      <c r="GR265" s="5273">
        <f t="shared" si="382"/>
        <v>2050</v>
      </c>
      <c r="GS265" s="5273">
        <f t="shared" si="382"/>
        <v>2050</v>
      </c>
      <c r="GT265" s="5273">
        <f t="shared" si="382"/>
        <v>2051</v>
      </c>
      <c r="GU265" s="5273">
        <f t="shared" si="382"/>
        <v>2051</v>
      </c>
      <c r="GV265" s="5273">
        <f t="shared" si="382"/>
        <v>2051</v>
      </c>
      <c r="GW265" s="5273">
        <f t="shared" si="382"/>
        <v>2051</v>
      </c>
      <c r="GX265" s="5273">
        <f t="shared" si="382"/>
        <v>2052</v>
      </c>
      <c r="GY265" s="5273">
        <f t="shared" si="382"/>
        <v>2052</v>
      </c>
      <c r="GZ265" s="5273">
        <f t="shared" si="382"/>
        <v>2052</v>
      </c>
      <c r="HA265" s="5273">
        <f t="shared" si="382"/>
        <v>2052</v>
      </c>
      <c r="HB265" s="5273">
        <f t="shared" si="382"/>
        <v>2053</v>
      </c>
      <c r="HC265" s="5273">
        <f t="shared" si="382"/>
        <v>2053</v>
      </c>
      <c r="HD265" s="5273">
        <f t="shared" si="382"/>
        <v>2053</v>
      </c>
      <c r="HE265" s="5273">
        <f t="shared" si="382"/>
        <v>2053</v>
      </c>
      <c r="HF265" s="5273">
        <f t="shared" si="382"/>
        <v>2054</v>
      </c>
      <c r="HG265" s="5273">
        <f t="shared" si="382"/>
        <v>2054</v>
      </c>
      <c r="HH265" s="5273">
        <f t="shared" ref="HH265:IA265" si="383">HH10</f>
        <v>2054</v>
      </c>
      <c r="HI265" s="5273">
        <f t="shared" si="383"/>
        <v>2054</v>
      </c>
      <c r="HJ265" s="5273">
        <f t="shared" si="383"/>
        <v>2055</v>
      </c>
      <c r="HK265" s="5273">
        <f t="shared" si="383"/>
        <v>2055</v>
      </c>
      <c r="HL265" s="5273">
        <f t="shared" si="383"/>
        <v>2055</v>
      </c>
      <c r="HM265" s="5273">
        <f t="shared" si="383"/>
        <v>2055</v>
      </c>
      <c r="HN265" s="5273">
        <f t="shared" si="383"/>
        <v>2056</v>
      </c>
      <c r="HO265" s="5273">
        <f t="shared" si="383"/>
        <v>2056</v>
      </c>
      <c r="HP265" s="5273">
        <f t="shared" si="383"/>
        <v>2056</v>
      </c>
      <c r="HQ265" s="5273">
        <f t="shared" si="383"/>
        <v>2056</v>
      </c>
      <c r="HR265" s="5273">
        <f t="shared" si="383"/>
        <v>2057</v>
      </c>
      <c r="HS265" s="5273">
        <f t="shared" si="383"/>
        <v>2057</v>
      </c>
      <c r="HT265" s="5273">
        <f t="shared" si="383"/>
        <v>2057</v>
      </c>
      <c r="HU265" s="5273">
        <f t="shared" si="383"/>
        <v>2057</v>
      </c>
      <c r="HV265" s="5273">
        <f t="shared" si="383"/>
        <v>2058</v>
      </c>
      <c r="HW265" s="5273">
        <f t="shared" si="383"/>
        <v>2058</v>
      </c>
      <c r="HX265" s="5273">
        <f t="shared" si="383"/>
        <v>2058</v>
      </c>
      <c r="HY265" s="5273">
        <f t="shared" si="383"/>
        <v>2058</v>
      </c>
      <c r="HZ265" s="5273">
        <f t="shared" si="383"/>
        <v>2059</v>
      </c>
      <c r="IA265" s="5273">
        <f t="shared" si="383"/>
        <v>2059</v>
      </c>
    </row>
    <row r="266" spans="2:235">
      <c r="G266" s="5314"/>
      <c r="H266" s="5315"/>
      <c r="I266" s="5066"/>
      <c r="J266" s="5069"/>
      <c r="K266" s="5069"/>
      <c r="L266" s="5069"/>
      <c r="M266" s="5069"/>
      <c r="N266" s="5069"/>
      <c r="O266" s="5069"/>
      <c r="P266" s="5069"/>
      <c r="Q266" s="5069"/>
      <c r="R266" s="5069"/>
      <c r="S266" s="5069"/>
      <c r="T266" s="5069"/>
      <c r="U266" s="5069"/>
      <c r="V266" s="5070"/>
      <c r="W266" s="5316">
        <f t="shared" ref="W266:BB266" si="384">W11</f>
        <v>2</v>
      </c>
      <c r="X266" s="5316">
        <f t="shared" si="384"/>
        <v>3</v>
      </c>
      <c r="Y266" s="5316">
        <f t="shared" si="384"/>
        <v>4</v>
      </c>
      <c r="Z266" s="5316">
        <f t="shared" si="384"/>
        <v>1</v>
      </c>
      <c r="AA266" s="5316">
        <f t="shared" si="384"/>
        <v>2</v>
      </c>
      <c r="AB266" s="5316">
        <f t="shared" si="384"/>
        <v>3</v>
      </c>
      <c r="AC266" s="5319">
        <f t="shared" si="384"/>
        <v>4</v>
      </c>
      <c r="AD266" s="5319">
        <f t="shared" si="384"/>
        <v>1</v>
      </c>
      <c r="AE266" s="5319">
        <f t="shared" si="384"/>
        <v>2</v>
      </c>
      <c r="AF266" s="5319">
        <f t="shared" si="384"/>
        <v>3</v>
      </c>
      <c r="AG266" s="5319">
        <f t="shared" si="384"/>
        <v>4</v>
      </c>
      <c r="AH266" s="5319">
        <f t="shared" si="384"/>
        <v>1</v>
      </c>
      <c r="AI266" s="5319">
        <f t="shared" si="384"/>
        <v>2</v>
      </c>
      <c r="AJ266" s="5319">
        <f t="shared" si="384"/>
        <v>3</v>
      </c>
      <c r="AK266" s="5319">
        <f t="shared" si="384"/>
        <v>4</v>
      </c>
      <c r="AL266" s="5319">
        <f t="shared" si="384"/>
        <v>1</v>
      </c>
      <c r="AM266" s="5319">
        <f t="shared" si="384"/>
        <v>2</v>
      </c>
      <c r="AN266" s="5319">
        <f t="shared" si="384"/>
        <v>3</v>
      </c>
      <c r="AO266" s="5319">
        <f t="shared" si="384"/>
        <v>4</v>
      </c>
      <c r="AP266" s="5319">
        <f t="shared" si="384"/>
        <v>1</v>
      </c>
      <c r="AQ266" s="5319">
        <f t="shared" si="384"/>
        <v>2</v>
      </c>
      <c r="AR266" s="5319">
        <f t="shared" si="384"/>
        <v>3</v>
      </c>
      <c r="AS266" s="5319">
        <f t="shared" si="384"/>
        <v>4</v>
      </c>
      <c r="AT266" s="5319">
        <f t="shared" si="384"/>
        <v>1</v>
      </c>
      <c r="AU266" s="5319">
        <f t="shared" si="384"/>
        <v>2</v>
      </c>
      <c r="AV266" s="5319">
        <f t="shared" si="384"/>
        <v>3</v>
      </c>
      <c r="AW266" s="5319">
        <f t="shared" si="384"/>
        <v>4</v>
      </c>
      <c r="AX266" s="5319">
        <f t="shared" si="384"/>
        <v>1</v>
      </c>
      <c r="AY266" s="5319">
        <f t="shared" si="384"/>
        <v>2</v>
      </c>
      <c r="AZ266" s="5319">
        <f t="shared" si="384"/>
        <v>3</v>
      </c>
      <c r="BA266" s="5319">
        <f t="shared" si="384"/>
        <v>4</v>
      </c>
      <c r="BB266" s="5319">
        <f t="shared" si="384"/>
        <v>1</v>
      </c>
      <c r="BC266" s="5319">
        <f t="shared" ref="BC266:CH266" si="385">BC11</f>
        <v>2</v>
      </c>
      <c r="BD266" s="5319">
        <f t="shared" si="385"/>
        <v>3</v>
      </c>
      <c r="BE266" s="5319">
        <f t="shared" si="385"/>
        <v>4</v>
      </c>
      <c r="BF266" s="5319">
        <f t="shared" si="385"/>
        <v>1</v>
      </c>
      <c r="BG266" s="5319">
        <f t="shared" si="385"/>
        <v>2</v>
      </c>
      <c r="BH266" s="5319">
        <f t="shared" si="385"/>
        <v>3</v>
      </c>
      <c r="BI266" s="5319">
        <f t="shared" si="385"/>
        <v>4</v>
      </c>
      <c r="BJ266" s="5319">
        <f t="shared" si="385"/>
        <v>1</v>
      </c>
      <c r="BK266" s="5319">
        <f t="shared" si="385"/>
        <v>2</v>
      </c>
      <c r="BL266" s="5319">
        <f t="shared" si="385"/>
        <v>3</v>
      </c>
      <c r="BM266" s="5319">
        <f t="shared" si="385"/>
        <v>4</v>
      </c>
      <c r="BN266" s="5319">
        <f t="shared" si="385"/>
        <v>1</v>
      </c>
      <c r="BO266" s="5319">
        <f t="shared" si="385"/>
        <v>2</v>
      </c>
      <c r="BP266" s="5319">
        <f t="shared" si="385"/>
        <v>3</v>
      </c>
      <c r="BQ266" s="5319">
        <f t="shared" si="385"/>
        <v>4</v>
      </c>
      <c r="BR266" s="5319">
        <f t="shared" si="385"/>
        <v>1</v>
      </c>
      <c r="BS266" s="5319">
        <f t="shared" si="385"/>
        <v>2</v>
      </c>
      <c r="BT266" s="5319">
        <f t="shared" si="385"/>
        <v>3</v>
      </c>
      <c r="BU266" s="5319">
        <f t="shared" si="385"/>
        <v>4</v>
      </c>
      <c r="BV266" s="5319">
        <f t="shared" si="385"/>
        <v>1</v>
      </c>
      <c r="BW266" s="5319">
        <f t="shared" si="385"/>
        <v>2</v>
      </c>
      <c r="BX266" s="5319">
        <f t="shared" si="385"/>
        <v>3</v>
      </c>
      <c r="BY266" s="5319">
        <f t="shared" si="385"/>
        <v>4</v>
      </c>
      <c r="BZ266" s="5319">
        <f t="shared" si="385"/>
        <v>1</v>
      </c>
      <c r="CA266" s="5319">
        <f t="shared" si="385"/>
        <v>2</v>
      </c>
      <c r="CB266" s="5319">
        <f t="shared" si="385"/>
        <v>3</v>
      </c>
      <c r="CC266" s="5319">
        <f t="shared" si="385"/>
        <v>4</v>
      </c>
      <c r="CD266" s="5319">
        <f t="shared" si="385"/>
        <v>1</v>
      </c>
      <c r="CE266" s="5319">
        <f t="shared" si="385"/>
        <v>2</v>
      </c>
      <c r="CF266" s="5319">
        <f t="shared" si="385"/>
        <v>3</v>
      </c>
      <c r="CG266" s="5319">
        <f t="shared" si="385"/>
        <v>4</v>
      </c>
      <c r="CH266" s="5317">
        <f t="shared" si="385"/>
        <v>1</v>
      </c>
      <c r="CI266" s="5317">
        <f t="shared" ref="CI266:DN266" si="386">CI11</f>
        <v>2</v>
      </c>
      <c r="CJ266" s="5317">
        <f t="shared" si="386"/>
        <v>3</v>
      </c>
      <c r="CK266" s="5317">
        <f t="shared" si="386"/>
        <v>4</v>
      </c>
      <c r="CL266" s="5317">
        <f t="shared" si="386"/>
        <v>1</v>
      </c>
      <c r="CM266" s="5317">
        <f t="shared" si="386"/>
        <v>2</v>
      </c>
      <c r="CN266" s="5317">
        <f t="shared" si="386"/>
        <v>3</v>
      </c>
      <c r="CO266" s="5317">
        <f t="shared" si="386"/>
        <v>4</v>
      </c>
      <c r="CP266" s="5317">
        <f t="shared" si="386"/>
        <v>1</v>
      </c>
      <c r="CQ266" s="5317">
        <f t="shared" si="386"/>
        <v>2</v>
      </c>
      <c r="CR266" s="5317">
        <f t="shared" si="386"/>
        <v>3</v>
      </c>
      <c r="CS266" s="5317">
        <f t="shared" si="386"/>
        <v>4</v>
      </c>
      <c r="CT266" s="5317">
        <f t="shared" si="386"/>
        <v>1</v>
      </c>
      <c r="CU266" s="5317">
        <f t="shared" si="386"/>
        <v>2</v>
      </c>
      <c r="CV266" s="5317">
        <f t="shared" si="386"/>
        <v>3</v>
      </c>
      <c r="CW266" s="5317">
        <f t="shared" si="386"/>
        <v>4</v>
      </c>
      <c r="CX266" s="5317">
        <f t="shared" si="386"/>
        <v>1</v>
      </c>
      <c r="CY266" s="5317">
        <f t="shared" si="386"/>
        <v>2</v>
      </c>
      <c r="CZ266" s="5317">
        <f t="shared" si="386"/>
        <v>3</v>
      </c>
      <c r="DA266" s="5317">
        <f t="shared" si="386"/>
        <v>4</v>
      </c>
      <c r="DB266" s="5317">
        <f t="shared" si="386"/>
        <v>1</v>
      </c>
      <c r="DC266" s="5317">
        <f t="shared" si="386"/>
        <v>2</v>
      </c>
      <c r="DD266" s="5317">
        <f t="shared" si="386"/>
        <v>3</v>
      </c>
      <c r="DE266" s="5317">
        <f t="shared" si="386"/>
        <v>4</v>
      </c>
      <c r="DF266" s="5317">
        <f t="shared" si="386"/>
        <v>1</v>
      </c>
      <c r="DG266" s="5317">
        <f t="shared" si="386"/>
        <v>2</v>
      </c>
      <c r="DH266" s="5317">
        <f t="shared" si="386"/>
        <v>3</v>
      </c>
      <c r="DI266" s="5317">
        <f t="shared" si="386"/>
        <v>4</v>
      </c>
      <c r="DJ266" s="5317">
        <f t="shared" si="386"/>
        <v>1</v>
      </c>
      <c r="DK266" s="5317">
        <f t="shared" si="386"/>
        <v>2</v>
      </c>
      <c r="DL266" s="5317">
        <f t="shared" si="386"/>
        <v>3</v>
      </c>
      <c r="DM266" s="5317">
        <f t="shared" si="386"/>
        <v>4</v>
      </c>
      <c r="DN266" s="5317">
        <f t="shared" si="386"/>
        <v>1</v>
      </c>
      <c r="DO266" s="5317">
        <f t="shared" ref="DO266:EU266" si="387">DO11</f>
        <v>2</v>
      </c>
      <c r="DP266" s="5317">
        <f t="shared" si="387"/>
        <v>3</v>
      </c>
      <c r="DQ266" s="5317">
        <f t="shared" si="387"/>
        <v>4</v>
      </c>
      <c r="DR266" s="5317">
        <f t="shared" si="387"/>
        <v>1</v>
      </c>
      <c r="DS266" s="5317">
        <f t="shared" si="387"/>
        <v>2</v>
      </c>
      <c r="DT266" s="5317">
        <f t="shared" si="387"/>
        <v>3</v>
      </c>
      <c r="DU266" s="5317">
        <f t="shared" si="387"/>
        <v>4</v>
      </c>
      <c r="DV266" s="5317">
        <f t="shared" si="387"/>
        <v>1</v>
      </c>
      <c r="DW266" s="5317">
        <f t="shared" si="387"/>
        <v>2</v>
      </c>
      <c r="DX266" s="5317">
        <f t="shared" si="387"/>
        <v>3</v>
      </c>
      <c r="DY266" s="5317">
        <f t="shared" si="387"/>
        <v>4</v>
      </c>
      <c r="DZ266" s="5317">
        <f t="shared" si="387"/>
        <v>1</v>
      </c>
      <c r="EA266" s="5317">
        <f t="shared" si="387"/>
        <v>2</v>
      </c>
      <c r="EB266" s="5317">
        <f t="shared" si="387"/>
        <v>3</v>
      </c>
      <c r="EC266" s="5317">
        <f t="shared" si="387"/>
        <v>4</v>
      </c>
      <c r="ED266" s="5317">
        <f t="shared" si="387"/>
        <v>1</v>
      </c>
      <c r="EE266" s="5317">
        <f t="shared" si="387"/>
        <v>2</v>
      </c>
      <c r="EF266" s="5317">
        <f t="shared" si="387"/>
        <v>3</v>
      </c>
      <c r="EG266" s="5317">
        <f t="shared" si="387"/>
        <v>4</v>
      </c>
      <c r="EH266" s="5317">
        <f t="shared" si="387"/>
        <v>1</v>
      </c>
      <c r="EI266" s="5317">
        <f t="shared" si="387"/>
        <v>2</v>
      </c>
      <c r="EJ266" s="5317">
        <f t="shared" si="387"/>
        <v>3</v>
      </c>
      <c r="EK266" s="5317">
        <f t="shared" si="387"/>
        <v>4</v>
      </c>
      <c r="EL266" s="5317">
        <f t="shared" si="387"/>
        <v>1</v>
      </c>
      <c r="EM266" s="5317">
        <f t="shared" si="387"/>
        <v>2</v>
      </c>
      <c r="EN266" s="5317">
        <f t="shared" si="387"/>
        <v>3</v>
      </c>
      <c r="EO266" s="5317">
        <f t="shared" si="387"/>
        <v>4</v>
      </c>
      <c r="EP266" s="5317">
        <f t="shared" si="387"/>
        <v>1</v>
      </c>
      <c r="EQ266" s="5317">
        <f t="shared" si="387"/>
        <v>2</v>
      </c>
      <c r="ER266" s="5317">
        <f t="shared" si="387"/>
        <v>3</v>
      </c>
      <c r="ES266" s="5317">
        <f t="shared" si="387"/>
        <v>4</v>
      </c>
      <c r="ET266" s="5317">
        <f t="shared" si="387"/>
        <v>1</v>
      </c>
      <c r="EU266" s="5317">
        <f t="shared" si="387"/>
        <v>2</v>
      </c>
      <c r="EV266" s="5317">
        <f t="shared" ref="EV266:HG266" si="388">EV11</f>
        <v>3</v>
      </c>
      <c r="EW266" s="5317">
        <f t="shared" si="388"/>
        <v>4</v>
      </c>
      <c r="EX266" s="5317">
        <f t="shared" si="388"/>
        <v>1</v>
      </c>
      <c r="EY266" s="5317">
        <f t="shared" si="388"/>
        <v>2</v>
      </c>
      <c r="EZ266" s="5317">
        <f t="shared" si="388"/>
        <v>3</v>
      </c>
      <c r="FA266" s="5317">
        <f t="shared" si="388"/>
        <v>4</v>
      </c>
      <c r="FB266" s="5317">
        <f t="shared" si="388"/>
        <v>1</v>
      </c>
      <c r="FC266" s="5317">
        <f t="shared" si="388"/>
        <v>2</v>
      </c>
      <c r="FD266" s="5317">
        <f t="shared" si="388"/>
        <v>3</v>
      </c>
      <c r="FE266" s="5317">
        <f t="shared" si="388"/>
        <v>4</v>
      </c>
      <c r="FF266" s="5317">
        <f t="shared" si="388"/>
        <v>1</v>
      </c>
      <c r="FG266" s="5317">
        <f t="shared" si="388"/>
        <v>2</v>
      </c>
      <c r="FH266" s="5317">
        <f t="shared" si="388"/>
        <v>3</v>
      </c>
      <c r="FI266" s="5317">
        <f t="shared" si="388"/>
        <v>4</v>
      </c>
      <c r="FJ266" s="5317">
        <f t="shared" si="388"/>
        <v>1</v>
      </c>
      <c r="FK266" s="5317">
        <f t="shared" si="388"/>
        <v>2</v>
      </c>
      <c r="FL266" s="5317">
        <f t="shared" si="388"/>
        <v>3</v>
      </c>
      <c r="FM266" s="5317">
        <f t="shared" si="388"/>
        <v>4</v>
      </c>
      <c r="FN266" s="5317">
        <f t="shared" si="388"/>
        <v>1</v>
      </c>
      <c r="FO266" s="5317">
        <f t="shared" si="388"/>
        <v>2</v>
      </c>
      <c r="FP266" s="5317">
        <f t="shared" si="388"/>
        <v>3</v>
      </c>
      <c r="FQ266" s="5317">
        <f t="shared" si="388"/>
        <v>4</v>
      </c>
      <c r="FR266" s="5317">
        <f t="shared" si="388"/>
        <v>1</v>
      </c>
      <c r="FS266" s="5317">
        <f t="shared" si="388"/>
        <v>2</v>
      </c>
      <c r="FT266" s="5317">
        <f t="shared" si="388"/>
        <v>3</v>
      </c>
      <c r="FU266" s="5317">
        <f t="shared" si="388"/>
        <v>4</v>
      </c>
      <c r="FV266" s="5317">
        <f t="shared" si="388"/>
        <v>1</v>
      </c>
      <c r="FW266" s="5317">
        <f t="shared" si="388"/>
        <v>2</v>
      </c>
      <c r="FX266" s="5317">
        <f t="shared" si="388"/>
        <v>3</v>
      </c>
      <c r="FY266" s="5317">
        <f t="shared" si="388"/>
        <v>4</v>
      </c>
      <c r="FZ266" s="5317">
        <f t="shared" si="388"/>
        <v>1</v>
      </c>
      <c r="GA266" s="5317">
        <f t="shared" si="388"/>
        <v>2</v>
      </c>
      <c r="GB266" s="5317">
        <f t="shared" si="388"/>
        <v>3</v>
      </c>
      <c r="GC266" s="5317">
        <f t="shared" si="388"/>
        <v>4</v>
      </c>
      <c r="GD266" s="5317">
        <f t="shared" si="388"/>
        <v>1</v>
      </c>
      <c r="GE266" s="5317">
        <f t="shared" si="388"/>
        <v>2</v>
      </c>
      <c r="GF266" s="5317">
        <f t="shared" si="388"/>
        <v>3</v>
      </c>
      <c r="GG266" s="5317">
        <f t="shared" si="388"/>
        <v>4</v>
      </c>
      <c r="GH266" s="5317">
        <f t="shared" si="388"/>
        <v>1</v>
      </c>
      <c r="GI266" s="5317">
        <f t="shared" si="388"/>
        <v>2</v>
      </c>
      <c r="GJ266" s="5317">
        <f t="shared" si="388"/>
        <v>3</v>
      </c>
      <c r="GK266" s="5317">
        <f t="shared" si="388"/>
        <v>4</v>
      </c>
      <c r="GL266" s="5317">
        <f t="shared" si="388"/>
        <v>1</v>
      </c>
      <c r="GM266" s="5317">
        <f t="shared" si="388"/>
        <v>2</v>
      </c>
      <c r="GN266" s="5317">
        <f t="shared" si="388"/>
        <v>3</v>
      </c>
      <c r="GO266" s="5317">
        <f t="shared" si="388"/>
        <v>4</v>
      </c>
      <c r="GP266" s="5317">
        <f t="shared" si="388"/>
        <v>1</v>
      </c>
      <c r="GQ266" s="5317">
        <f t="shared" si="388"/>
        <v>2</v>
      </c>
      <c r="GR266" s="5317">
        <f t="shared" si="388"/>
        <v>3</v>
      </c>
      <c r="GS266" s="5317">
        <f t="shared" si="388"/>
        <v>4</v>
      </c>
      <c r="GT266" s="5317">
        <f t="shared" si="388"/>
        <v>1</v>
      </c>
      <c r="GU266" s="5317">
        <f t="shared" si="388"/>
        <v>2</v>
      </c>
      <c r="GV266" s="5317">
        <f t="shared" si="388"/>
        <v>3</v>
      </c>
      <c r="GW266" s="5317">
        <f t="shared" si="388"/>
        <v>4</v>
      </c>
      <c r="GX266" s="5317">
        <f t="shared" si="388"/>
        <v>1</v>
      </c>
      <c r="GY266" s="5317">
        <f t="shared" si="388"/>
        <v>2</v>
      </c>
      <c r="GZ266" s="5317">
        <f t="shared" si="388"/>
        <v>3</v>
      </c>
      <c r="HA266" s="5317">
        <f t="shared" si="388"/>
        <v>4</v>
      </c>
      <c r="HB266" s="5317">
        <f t="shared" si="388"/>
        <v>1</v>
      </c>
      <c r="HC266" s="5317">
        <f t="shared" si="388"/>
        <v>2</v>
      </c>
      <c r="HD266" s="5317">
        <f t="shared" si="388"/>
        <v>3</v>
      </c>
      <c r="HE266" s="5317">
        <f t="shared" si="388"/>
        <v>4</v>
      </c>
      <c r="HF266" s="5317">
        <f t="shared" si="388"/>
        <v>1</v>
      </c>
      <c r="HG266" s="5317">
        <f t="shared" si="388"/>
        <v>2</v>
      </c>
      <c r="HH266" s="5317">
        <f t="shared" ref="HH266:IA266" si="389">HH11</f>
        <v>3</v>
      </c>
      <c r="HI266" s="5317">
        <f t="shared" si="389"/>
        <v>4</v>
      </c>
      <c r="HJ266" s="5317">
        <f t="shared" si="389"/>
        <v>1</v>
      </c>
      <c r="HK266" s="5317">
        <f t="shared" si="389"/>
        <v>2</v>
      </c>
      <c r="HL266" s="5317">
        <f t="shared" si="389"/>
        <v>3</v>
      </c>
      <c r="HM266" s="5317">
        <f t="shared" si="389"/>
        <v>4</v>
      </c>
      <c r="HN266" s="5317">
        <f t="shared" si="389"/>
        <v>1</v>
      </c>
      <c r="HO266" s="5317">
        <f t="shared" si="389"/>
        <v>2</v>
      </c>
      <c r="HP266" s="5317">
        <f t="shared" si="389"/>
        <v>3</v>
      </c>
      <c r="HQ266" s="5317">
        <f t="shared" si="389"/>
        <v>4</v>
      </c>
      <c r="HR266" s="5317">
        <f t="shared" si="389"/>
        <v>1</v>
      </c>
      <c r="HS266" s="5317">
        <f t="shared" si="389"/>
        <v>2</v>
      </c>
      <c r="HT266" s="5317">
        <f t="shared" si="389"/>
        <v>3</v>
      </c>
      <c r="HU266" s="5317">
        <f t="shared" si="389"/>
        <v>4</v>
      </c>
      <c r="HV266" s="5317">
        <f t="shared" si="389"/>
        <v>1</v>
      </c>
      <c r="HW266" s="5317">
        <f t="shared" si="389"/>
        <v>2</v>
      </c>
      <c r="HX266" s="5317">
        <f t="shared" si="389"/>
        <v>3</v>
      </c>
      <c r="HY266" s="5317">
        <f t="shared" si="389"/>
        <v>4</v>
      </c>
      <c r="HZ266" s="5317">
        <f t="shared" si="389"/>
        <v>1</v>
      </c>
      <c r="IA266" s="5317">
        <f t="shared" si="389"/>
        <v>2</v>
      </c>
    </row>
    <row r="267" spans="2:235">
      <c r="G267" s="2521" t="s">
        <v>3990</v>
      </c>
      <c r="H267" s="2677"/>
      <c r="I267" s="5067"/>
      <c r="J267" s="5069"/>
      <c r="K267" s="5069"/>
      <c r="L267" s="5069"/>
      <c r="M267" s="5069"/>
      <c r="N267" s="5069"/>
      <c r="O267" s="5069"/>
      <c r="P267" s="5069"/>
      <c r="Q267" s="5069"/>
      <c r="R267" s="5069"/>
      <c r="S267" s="5069"/>
      <c r="T267" s="5069"/>
      <c r="U267" s="5069"/>
      <c r="V267" s="5070"/>
      <c r="W267" s="5072">
        <f t="shared" ref="W267:BB267" si="390">W12/100</f>
        <v>0</v>
      </c>
      <c r="X267" s="5072">
        <f t="shared" si="390"/>
        <v>0</v>
      </c>
      <c r="Y267" s="5072">
        <f t="shared" si="390"/>
        <v>0</v>
      </c>
      <c r="Z267" s="5072">
        <f t="shared" si="390"/>
        <v>0</v>
      </c>
      <c r="AA267" s="5072">
        <f t="shared" si="390"/>
        <v>0</v>
      </c>
      <c r="AB267" s="5072">
        <f t="shared" si="390"/>
        <v>0</v>
      </c>
      <c r="AC267" s="5320">
        <f t="shared" si="390"/>
        <v>0</v>
      </c>
      <c r="AD267" s="5320">
        <f t="shared" si="390"/>
        <v>0</v>
      </c>
      <c r="AE267" s="5320">
        <f t="shared" si="390"/>
        <v>0</v>
      </c>
      <c r="AF267" s="5320">
        <f t="shared" si="390"/>
        <v>0</v>
      </c>
      <c r="AG267" s="5320">
        <f t="shared" si="390"/>
        <v>0</v>
      </c>
      <c r="AH267" s="5320">
        <f t="shared" si="390"/>
        <v>0</v>
      </c>
      <c r="AI267" s="5320">
        <f t="shared" si="390"/>
        <v>0</v>
      </c>
      <c r="AJ267" s="5320">
        <f t="shared" si="390"/>
        <v>1873.602670260278</v>
      </c>
      <c r="AK267" s="5320">
        <f t="shared" si="390"/>
        <v>1845.8349939092243</v>
      </c>
      <c r="AL267" s="5320">
        <f t="shared" si="390"/>
        <v>1835.6017119721512</v>
      </c>
      <c r="AM267" s="5320">
        <f t="shared" si="390"/>
        <v>1810.854848002507</v>
      </c>
      <c r="AN267" s="5320">
        <f t="shared" si="390"/>
        <v>1806.2673523475698</v>
      </c>
      <c r="AO267" s="5320">
        <f t="shared" si="390"/>
        <v>1773.0455243362221</v>
      </c>
      <c r="AP267" s="5320">
        <f t="shared" si="390"/>
        <v>1781.9668429081626</v>
      </c>
      <c r="AQ267" s="5320">
        <f t="shared" si="390"/>
        <v>1759.4334047760171</v>
      </c>
      <c r="AR267" s="5320">
        <f t="shared" si="390"/>
        <v>1747.170658355263</v>
      </c>
      <c r="AS267" s="5320">
        <f t="shared" si="390"/>
        <v>1721.730585154128</v>
      </c>
      <c r="AT267" s="5320">
        <f t="shared" si="390"/>
        <v>1705.3964926656463</v>
      </c>
      <c r="AU267" s="5320">
        <f t="shared" si="390"/>
        <v>1676.3054968231311</v>
      </c>
      <c r="AV267" s="5320">
        <f t="shared" si="390"/>
        <v>1662.809035854599</v>
      </c>
      <c r="AW267" s="5320">
        <f t="shared" si="390"/>
        <v>1628.0809884107241</v>
      </c>
      <c r="AX267" s="5320">
        <f t="shared" si="390"/>
        <v>1613.148325023396</v>
      </c>
      <c r="AY267" s="5320">
        <f t="shared" si="390"/>
        <v>1581.0190205721074</v>
      </c>
      <c r="AZ267" s="5320">
        <f t="shared" si="390"/>
        <v>1565.4384004487399</v>
      </c>
      <c r="BA267" s="5320">
        <f t="shared" si="390"/>
        <v>1535.1026113560033</v>
      </c>
      <c r="BB267" s="5320">
        <f t="shared" si="390"/>
        <v>1523.3077684557534</v>
      </c>
      <c r="BC267" s="5320">
        <f t="shared" ref="BC267:CH267" si="391">BC12/100</f>
        <v>1498.4225413386368</v>
      </c>
      <c r="BD267" s="5320">
        <f t="shared" si="391"/>
        <v>1476.1292773451171</v>
      </c>
      <c r="BE267" s="5320">
        <f t="shared" si="391"/>
        <v>1443.1059058547285</v>
      </c>
      <c r="BF267" s="5320">
        <f t="shared" si="391"/>
        <v>1426.9241689736916</v>
      </c>
      <c r="BG267" s="5320">
        <f t="shared" si="391"/>
        <v>1406.7189479919637</v>
      </c>
      <c r="BH267" s="5320">
        <f t="shared" si="391"/>
        <v>1383.1440351270485</v>
      </c>
      <c r="BI267" s="5320">
        <f t="shared" si="391"/>
        <v>1360.5361020570092</v>
      </c>
      <c r="BJ267" s="5320">
        <f t="shared" si="391"/>
        <v>1341.3898984636826</v>
      </c>
      <c r="BK267" s="5320">
        <f t="shared" si="391"/>
        <v>1321.1164710681351</v>
      </c>
      <c r="BL267" s="5320">
        <f t="shared" si="391"/>
        <v>1306.8451590260056</v>
      </c>
      <c r="BM267" s="5320">
        <f t="shared" si="391"/>
        <v>1285.3329574607374</v>
      </c>
      <c r="BN267" s="5320">
        <f t="shared" si="391"/>
        <v>1279.118890471716</v>
      </c>
      <c r="BO267" s="5320">
        <f t="shared" si="391"/>
        <v>1253.924985038793</v>
      </c>
      <c r="BP267" s="5320">
        <f t="shared" si="391"/>
        <v>1242.6379459093137</v>
      </c>
      <c r="BQ267" s="5320">
        <f t="shared" si="391"/>
        <v>1215.1950459422642</v>
      </c>
      <c r="BR267" s="5320">
        <f t="shared" si="391"/>
        <v>1206.9079198879463</v>
      </c>
      <c r="BS267" s="5320">
        <f t="shared" si="391"/>
        <v>1186.2921620872607</v>
      </c>
      <c r="BT267" s="5320">
        <f t="shared" si="391"/>
        <v>1182.6674493465352</v>
      </c>
      <c r="BU267" s="5320">
        <f t="shared" si="391"/>
        <v>1147.85009888217</v>
      </c>
      <c r="BV267" s="5320">
        <f t="shared" si="391"/>
        <v>1129.3817130511588</v>
      </c>
      <c r="BW267" s="5320">
        <f t="shared" si="391"/>
        <v>1113.895617160033</v>
      </c>
      <c r="BX267" s="5320">
        <f t="shared" si="391"/>
        <v>1097.8365692668383</v>
      </c>
      <c r="BY267" s="5320">
        <f t="shared" si="391"/>
        <v>1077.9994683040404</v>
      </c>
      <c r="BZ267" s="5320">
        <f t="shared" si="391"/>
        <v>1061.600778153587</v>
      </c>
      <c r="CA267" s="5320">
        <f t="shared" si="391"/>
        <v>1040.7494873073476</v>
      </c>
      <c r="CB267" s="5320">
        <f t="shared" si="391"/>
        <v>1033.2253242748525</v>
      </c>
      <c r="CC267" s="5320">
        <f t="shared" si="391"/>
        <v>1011.1358628189348</v>
      </c>
      <c r="CD267" s="5320">
        <f t="shared" si="391"/>
        <v>1008.5157821509764</v>
      </c>
      <c r="CE267" s="5320">
        <f t="shared" si="391"/>
        <v>993.03126795721096</v>
      </c>
      <c r="CF267" s="5320">
        <f t="shared" si="391"/>
        <v>986.48151398439586</v>
      </c>
      <c r="CG267" s="5320">
        <f t="shared" si="391"/>
        <v>977.51058874510738</v>
      </c>
      <c r="CH267" s="2678">
        <f t="shared" ca="1" si="391"/>
        <v>964.10333988262164</v>
      </c>
      <c r="CI267" s="2678">
        <f t="shared" ref="CI267:CV267" ca="1" si="392">CI12/100</f>
        <v>950.87998091772931</v>
      </c>
      <c r="CJ267" s="2678">
        <f t="shared" ca="1" si="392"/>
        <v>937.83798967046721</v>
      </c>
      <c r="CK267" s="2678">
        <f t="shared" ca="1" si="392"/>
        <v>924.97487855435418</v>
      </c>
      <c r="CL267" s="2678">
        <f t="shared" ca="1" si="392"/>
        <v>912.2881941019167</v>
      </c>
      <c r="CM267" s="2678">
        <f t="shared" ca="1" si="392"/>
        <v>899.77551649672159</v>
      </c>
      <c r="CN267" s="2678">
        <f t="shared" ca="1" si="392"/>
        <v>887.43445911182926</v>
      </c>
      <c r="CO267" s="2678">
        <f t="shared" ca="1" si="392"/>
        <v>875.26266805457635</v>
      </c>
      <c r="CP267" s="2678">
        <f t="shared" ca="1" si="392"/>
        <v>863.25782171760136</v>
      </c>
      <c r="CQ267" s="2678">
        <f t="shared" ca="1" si="392"/>
        <v>851.41763033602945</v>
      </c>
      <c r="CR267" s="2678">
        <f t="shared" ca="1" si="392"/>
        <v>839.73983555072948</v>
      </c>
      <c r="CS267" s="2678">
        <f t="shared" ca="1" si="392"/>
        <v>828.22220997756335</v>
      </c>
      <c r="CT267" s="2678">
        <f t="shared" ca="1" si="392"/>
        <v>816.86255678254031</v>
      </c>
      <c r="CU267" s="2678">
        <f t="shared" ca="1" si="392"/>
        <v>805.65870926280195</v>
      </c>
      <c r="CV267" s="2678">
        <f t="shared" ca="1" si="392"/>
        <v>794.60853043335101</v>
      </c>
      <c r="CW267" s="2678">
        <f t="shared" ref="CW267:FH267" ca="1" si="393">CW12/100</f>
        <v>783.70991261945017</v>
      </c>
      <c r="CX267" s="2678">
        <f t="shared" ca="1" si="393"/>
        <v>772.96077705461209</v>
      </c>
      <c r="CY267" s="2678">
        <f t="shared" ca="1" si="393"/>
        <v>762.3590734841008</v>
      </c>
      <c r="CZ267" s="2678">
        <f t="shared" ca="1" si="393"/>
        <v>751.90277977387416</v>
      </c>
      <c r="DA267" s="2678">
        <f t="shared" ca="1" si="393"/>
        <v>741.58990152488798</v>
      </c>
      <c r="DB267" s="2678">
        <f t="shared" ca="1" si="393"/>
        <v>731.41847169269113</v>
      </c>
      <c r="DC267" s="2678">
        <f t="shared" ca="1" si="393"/>
        <v>721.38655021223735</v>
      </c>
      <c r="DD267" s="2678">
        <f t="shared" ca="1" si="393"/>
        <v>711.49222362784542</v>
      </c>
      <c r="DE267" s="2678">
        <f t="shared" ca="1" si="393"/>
        <v>701.73360472823015</v>
      </c>
      <c r="DF267" s="2678">
        <f t="shared" ca="1" si="393"/>
        <v>692.10883218654476</v>
      </c>
      <c r="DG267" s="2678">
        <f t="shared" ca="1" si="393"/>
        <v>682.61607020535564</v>
      </c>
      <c r="DH267" s="2678">
        <f t="shared" ca="1" si="393"/>
        <v>673.25350816648859</v>
      </c>
      <c r="DI267" s="2678">
        <f t="shared" ca="1" si="393"/>
        <v>664.01936028567911</v>
      </c>
      <c r="DJ267" s="2678">
        <f t="shared" ca="1" si="393"/>
        <v>654.91186527195487</v>
      </c>
      <c r="DK267" s="2678">
        <f t="shared" ca="1" si="393"/>
        <v>645.92928599169545</v>
      </c>
      <c r="DL267" s="2678">
        <f t="shared" ca="1" si="393"/>
        <v>637.06990913729669</v>
      </c>
      <c r="DM267" s="2678">
        <f t="shared" ca="1" si="393"/>
        <v>628.33204490037815</v>
      </c>
      <c r="DN267" s="2678">
        <f t="shared" ca="1" si="393"/>
        <v>619.71402664947732</v>
      </c>
      <c r="DO267" s="2678">
        <f t="shared" ca="1" si="393"/>
        <v>611.21421061216063</v>
      </c>
      <c r="DP267" s="2678">
        <f t="shared" ca="1" si="393"/>
        <v>602.8309755614946</v>
      </c>
      <c r="DQ267" s="2678">
        <f t="shared" ca="1" si="393"/>
        <v>594.56272250682048</v>
      </c>
      <c r="DR267" s="2678">
        <f t="shared" ca="1" si="393"/>
        <v>586.40787438876623</v>
      </c>
      <c r="DS267" s="2678">
        <f t="shared" ca="1" si="393"/>
        <v>578.36487577844457</v>
      </c>
      <c r="DT267" s="2678">
        <f t="shared" ca="1" si="393"/>
        <v>570.43219258077534</v>
      </c>
      <c r="DU267" s="2678">
        <f t="shared" ca="1" si="393"/>
        <v>562.60831174187626</v>
      </c>
      <c r="DV267" s="2678">
        <f t="shared" ca="1" si="393"/>
        <v>554.89174096046929</v>
      </c>
      <c r="DW267" s="5274">
        <f t="shared" ca="1" si="393"/>
        <v>547.28100840324407</v>
      </c>
      <c r="DX267" s="5274">
        <f t="shared" ca="1" si="393"/>
        <v>539.77466242412356</v>
      </c>
      <c r="DY267" s="5274">
        <f t="shared" ca="1" si="393"/>
        <v>532.37127128738405</v>
      </c>
      <c r="DZ267" s="5274">
        <f t="shared" ca="1" si="393"/>
        <v>525.06942289456936</v>
      </c>
      <c r="EA267" s="5274">
        <f t="shared" ca="1" si="393"/>
        <v>517.86772451515174</v>
      </c>
      <c r="EB267" s="5274">
        <f t="shared" ca="1" si="393"/>
        <v>510.76480252088749</v>
      </c>
      <c r="EC267" s="5274">
        <f t="shared" ca="1" si="393"/>
        <v>503.75930212381559</v>
      </c>
      <c r="ED267" s="5274">
        <f t="shared" ca="1" si="393"/>
        <v>496.84988711784951</v>
      </c>
      <c r="EE267" s="5274">
        <f t="shared" ca="1" si="393"/>
        <v>490.03523962391444</v>
      </c>
      <c r="EF267" s="5274">
        <f t="shared" ca="1" si="393"/>
        <v>483.31405983857837</v>
      </c>
      <c r="EG267" s="5274">
        <f t="shared" ca="1" si="393"/>
        <v>476.68506578613255</v>
      </c>
      <c r="EH267" s="5274">
        <f t="shared" ca="1" si="393"/>
        <v>470.1469930740717</v>
      </c>
      <c r="EI267" s="5274">
        <f t="shared" ca="1" si="393"/>
        <v>463.69859465192718</v>
      </c>
      <c r="EJ267" s="5274">
        <f t="shared" ca="1" si="393"/>
        <v>457.33864057340986</v>
      </c>
      <c r="EK267" s="5274">
        <f t="shared" ca="1" si="393"/>
        <v>451.06591776181335</v>
      </c>
      <c r="EL267" s="5274">
        <f t="shared" ca="1" si="393"/>
        <v>444.87922977863587</v>
      </c>
      <c r="EM267" s="5274">
        <f t="shared" ca="1" si="393"/>
        <v>438.77739659537571</v>
      </c>
      <c r="EN267" s="5274">
        <f t="shared" ca="1" si="393"/>
        <v>432.75925436845648</v>
      </c>
      <c r="EO267" s="5274">
        <f t="shared" ca="1" si="393"/>
        <v>426.82365521723864</v>
      </c>
      <c r="EP267" s="5274">
        <f t="shared" ca="1" si="393"/>
        <v>420.96946700507846</v>
      </c>
      <c r="EQ267" s="5274">
        <f t="shared" ca="1" si="393"/>
        <v>415.19557312338605</v>
      </c>
      <c r="ER267" s="5274">
        <f t="shared" ca="1" si="393"/>
        <v>409.50087227864731</v>
      </c>
      <c r="ES267" s="5274">
        <f t="shared" ca="1" si="393"/>
        <v>403.88427828236826</v>
      </c>
      <c r="ET267" s="5274">
        <f t="shared" ca="1" si="393"/>
        <v>398.34471984389808</v>
      </c>
      <c r="EU267" s="5274">
        <f t="shared" ca="1" si="393"/>
        <v>392.88114036609369</v>
      </c>
      <c r="EV267" s="5274">
        <f t="shared" ca="1" si="393"/>
        <v>387.49249774378944</v>
      </c>
      <c r="EW267" s="5274">
        <f t="shared" ca="1" si="393"/>
        <v>382.17776416502937</v>
      </c>
      <c r="EX267" s="5274">
        <f t="shared" ca="1" si="393"/>
        <v>376.93592591502471</v>
      </c>
      <c r="EY267" s="5274">
        <f t="shared" ca="1" si="393"/>
        <v>371.76598318280122</v>
      </c>
      <c r="EZ267" s="5274">
        <f t="shared" ca="1" si="393"/>
        <v>366.66694987050005</v>
      </c>
      <c r="FA267" s="5274">
        <f t="shared" ca="1" si="393"/>
        <v>361.6378534052912</v>
      </c>
      <c r="FB267" s="5274">
        <f t="shared" ca="1" si="393"/>
        <v>356.6777345538685</v>
      </c>
      <c r="FC267" s="5274">
        <f t="shared" ca="1" si="393"/>
        <v>351.78564723948944</v>
      </c>
      <c r="FD267" s="5274">
        <f t="shared" ca="1" si="393"/>
        <v>346.96065836152212</v>
      </c>
      <c r="FE267" s="5274">
        <f t="shared" ca="1" si="393"/>
        <v>342.20184761747004</v>
      </c>
      <c r="FF267" s="5274">
        <f t="shared" ca="1" si="393"/>
        <v>337.50830732743617</v>
      </c>
      <c r="FG267" s="5274">
        <f t="shared" ca="1" si="393"/>
        <v>332.87914226099485</v>
      </c>
      <c r="FH267" s="5274">
        <f t="shared" ca="1" si="393"/>
        <v>328.31346946643896</v>
      </c>
      <c r="FI267" s="5274">
        <f t="shared" ref="FI267:HT267" ca="1" si="394">FI12/100</f>
        <v>323.81041810236792</v>
      </c>
      <c r="FJ267" s="5274">
        <f t="shared" ca="1" si="394"/>
        <v>319.36912927158647</v>
      </c>
      <c r="FK267" s="5274">
        <f t="shared" ca="1" si="394"/>
        <v>314.98875585728257</v>
      </c>
      <c r="FL267" s="5274">
        <f t="shared" ca="1" si="394"/>
        <v>310.66846236144983</v>
      </c>
      <c r="FM267" s="5274">
        <f t="shared" ca="1" si="394"/>
        <v>306.4074247455269</v>
      </c>
      <c r="FN267" s="5274">
        <f t="shared" ca="1" si="394"/>
        <v>302.20483027322518</v>
      </c>
      <c r="FO267" s="5274">
        <f t="shared" ca="1" si="394"/>
        <v>298.05987735550787</v>
      </c>
      <c r="FP267" s="5274">
        <f t="shared" ca="1" si="394"/>
        <v>293.97177539769933</v>
      </c>
      <c r="FQ267" s="5274">
        <f t="shared" ca="1" si="394"/>
        <v>289.93974464868893</v>
      </c>
      <c r="FR267" s="5274">
        <f t="shared" ca="1" si="394"/>
        <v>285.96301605220293</v>
      </c>
      <c r="FS267" s="5274">
        <f t="shared" ca="1" si="394"/>
        <v>282.04083110011857</v>
      </c>
      <c r="FT267" s="5274">
        <f t="shared" ca="1" si="394"/>
        <v>278.17244168778927</v>
      </c>
      <c r="FU267" s="5274">
        <f t="shared" ca="1" si="394"/>
        <v>274.35710997135112</v>
      </c>
      <c r="FV267" s="5274">
        <f t="shared" ca="1" si="394"/>
        <v>270.5941082269909</v>
      </c>
      <c r="FW267" s="5274">
        <f t="shared" ca="1" si="394"/>
        <v>266.88271871214283</v>
      </c>
      <c r="FX267" s="5274">
        <f t="shared" ca="1" si="394"/>
        <v>263.22223352858674</v>
      </c>
      <c r="FY267" s="5274">
        <f t="shared" ca="1" si="394"/>
        <v>259.61195448742808</v>
      </c>
      <c r="FZ267" s="5274">
        <f t="shared" ca="1" si="394"/>
        <v>256.05119297592631</v>
      </c>
      <c r="GA267" s="5274">
        <f t="shared" ca="1" si="394"/>
        <v>252.53926982615107</v>
      </c>
      <c r="GB267" s="5274">
        <f t="shared" ca="1" si="394"/>
        <v>249.07551518544048</v>
      </c>
      <c r="GC267" s="5274">
        <f t="shared" ca="1" si="394"/>
        <v>245.65926838863595</v>
      </c>
      <c r="GD267" s="5274">
        <f t="shared" ca="1" si="394"/>
        <v>242.28987783206856</v>
      </c>
      <c r="GE267" s="5274">
        <f t="shared" ca="1" si="394"/>
        <v>238.96670084927379</v>
      </c>
      <c r="GF267" s="5274">
        <f t="shared" ca="1" si="394"/>
        <v>235.68910358841288</v>
      </c>
      <c r="GG267" s="5274">
        <f t="shared" ca="1" si="394"/>
        <v>232.45646089137313</v>
      </c>
      <c r="GH267" s="5274">
        <f t="shared" ca="1" si="394"/>
        <v>229.26815617452681</v>
      </c>
      <c r="GI267" s="5274">
        <f t="shared" ca="1" si="394"/>
        <v>226.12358131112708</v>
      </c>
      <c r="GJ267" s="5274">
        <f t="shared" ca="1" si="394"/>
        <v>223.02213651531503</v>
      </c>
      <c r="GK267" s="5274">
        <f t="shared" ca="1" si="394"/>
        <v>219.96323022771921</v>
      </c>
      <c r="GL267" s="5274">
        <f t="shared" ca="1" si="394"/>
        <v>216.94627900262279</v>
      </c>
      <c r="GM267" s="5274">
        <f t="shared" ca="1" si="394"/>
        <v>213.97070739667967</v>
      </c>
      <c r="GN267" s="5274">
        <f t="shared" ca="1" si="394"/>
        <v>211.03594785915678</v>
      </c>
      <c r="GO267" s="5274">
        <f t="shared" ca="1" si="394"/>
        <v>208.14144062367981</v>
      </c>
      <c r="GP267" s="5274">
        <f t="shared" ca="1" si="394"/>
        <v>205.28663360146572</v>
      </c>
      <c r="GQ267" s="5274">
        <f t="shared" ca="1" si="394"/>
        <v>202.47098227602055</v>
      </c>
      <c r="GR267" s="5274">
        <f t="shared" ca="1" si="394"/>
        <v>199.69394959927828</v>
      </c>
      <c r="GS267" s="5274">
        <f t="shared" ca="1" si="394"/>
        <v>196.95500588916744</v>
      </c>
      <c r="GT267" s="5274">
        <f t="shared" ca="1" si="394"/>
        <v>194.2536287285798</v>
      </c>
      <c r="GU267" s="5274">
        <f t="shared" ca="1" si="394"/>
        <v>191.58930286572797</v>
      </c>
      <c r="GV267" s="5274">
        <f t="shared" ca="1" si="394"/>
        <v>188.96152011586665</v>
      </c>
      <c r="GW267" s="5274">
        <f t="shared" ca="1" si="394"/>
        <v>186.36977926436415</v>
      </c>
      <c r="GX267" s="5274">
        <f t="shared" ca="1" si="394"/>
        <v>183.81358597110099</v>
      </c>
      <c r="GY267" s="5274">
        <f t="shared" ca="1" si="394"/>
        <v>181.29245267618279</v>
      </c>
      <c r="GZ267" s="5274">
        <f t="shared" ca="1" si="394"/>
        <v>178.80589850694312</v>
      </c>
      <c r="HA267" s="5274">
        <f t="shared" ca="1" si="394"/>
        <v>176.35344918622494</v>
      </c>
      <c r="HB267" s="5274">
        <f t="shared" ca="1" si="394"/>
        <v>173.93463694191684</v>
      </c>
      <c r="HC267" s="5274">
        <f t="shared" ca="1" si="394"/>
        <v>171.54900041773362</v>
      </c>
      <c r="HD267" s="5274">
        <f t="shared" ca="1" si="394"/>
        <v>169.19608458521702</v>
      </c>
      <c r="HE267" s="5274">
        <f t="shared" ca="1" si="394"/>
        <v>166.87544065694584</v>
      </c>
      <c r="HF267" s="5274">
        <f t="shared" ca="1" si="394"/>
        <v>164.58662600093587</v>
      </c>
      <c r="HG267" s="5274">
        <f t="shared" ca="1" si="394"/>
        <v>162.32920405621357</v>
      </c>
      <c r="HH267" s="5274">
        <f t="shared" ca="1" si="394"/>
        <v>160.10274424954827</v>
      </c>
      <c r="HI267" s="5274">
        <f t="shared" ca="1" si="394"/>
        <v>157.90682191332476</v>
      </c>
      <c r="HJ267" s="5274">
        <f t="shared" ca="1" si="394"/>
        <v>155.74101820454473</v>
      </c>
      <c r="HK267" s="5274">
        <f t="shared" ca="1" si="394"/>
        <v>153.60492002493746</v>
      </c>
      <c r="HL267" s="5274">
        <f t="shared" ca="1" si="394"/>
        <v>151.49811994216768</v>
      </c>
      <c r="HM267" s="5274">
        <f t="shared" ca="1" si="394"/>
        <v>149.42021611212203</v>
      </c>
      <c r="HN267" s="5274">
        <f t="shared" ca="1" si="394"/>
        <v>147.37081220226418</v>
      </c>
      <c r="HO267" s="5274">
        <f t="shared" ca="1" si="394"/>
        <v>145.34951731603817</v>
      </c>
      <c r="HP267" s="5274">
        <f t="shared" ca="1" si="394"/>
        <v>143.35594591831025</v>
      </c>
      <c r="HQ267" s="5274">
        <f t="shared" ca="1" si="394"/>
        <v>141.38971776183431</v>
      </c>
      <c r="HR267" s="5274">
        <f t="shared" ca="1" si="394"/>
        <v>139.45045781472399</v>
      </c>
      <c r="HS267" s="5274">
        <f t="shared" ca="1" si="394"/>
        <v>137.53779618892034</v>
      </c>
      <c r="HT267" s="5274">
        <f t="shared" ca="1" si="394"/>
        <v>135.65136806964031</v>
      </c>
      <c r="HU267" s="5274">
        <f t="shared" ref="HU267:IA267" ca="1" si="395">HU12/100</f>
        <v>133.79081364579397</v>
      </c>
      <c r="HV267" s="5274">
        <f t="shared" ca="1" si="395"/>
        <v>131.95577804135445</v>
      </c>
      <c r="HW267" s="5274">
        <f t="shared" ca="1" si="395"/>
        <v>130.14591124767156</v>
      </c>
      <c r="HX267" s="5274">
        <f t="shared" ca="1" si="395"/>
        <v>128.36086805670976</v>
      </c>
      <c r="HY267" s="5274">
        <f t="shared" ca="1" si="395"/>
        <v>126.60030799520663</v>
      </c>
      <c r="HZ267" s="5274">
        <f t="shared" ca="1" si="395"/>
        <v>124.86389525973152</v>
      </c>
      <c r="IA267" s="5274">
        <f t="shared" ca="1" si="395"/>
        <v>123.18710509391101</v>
      </c>
    </row>
    <row r="268" spans="2:235">
      <c r="G268" s="2521" t="s">
        <v>3991</v>
      </c>
      <c r="H268" s="2677"/>
      <c r="I268" s="5067"/>
      <c r="J268" s="5069"/>
      <c r="K268" s="5069"/>
      <c r="L268" s="5069"/>
      <c r="M268" s="5069"/>
      <c r="N268" s="5069"/>
      <c r="O268" s="5069"/>
      <c r="P268" s="5069"/>
      <c r="Q268" s="5069"/>
      <c r="R268" s="5069"/>
      <c r="S268" s="5069"/>
      <c r="T268" s="5069"/>
      <c r="U268" s="5069"/>
      <c r="V268" s="5070"/>
      <c r="W268" s="5072">
        <f t="shared" ref="W268:BB268" si="396">W13/100</f>
        <v>0</v>
      </c>
      <c r="X268" s="5072">
        <f t="shared" si="396"/>
        <v>0</v>
      </c>
      <c r="Y268" s="5072">
        <f t="shared" si="396"/>
        <v>0</v>
      </c>
      <c r="Z268" s="5072">
        <f t="shared" si="396"/>
        <v>0</v>
      </c>
      <c r="AA268" s="5072">
        <f t="shared" si="396"/>
        <v>0</v>
      </c>
      <c r="AB268" s="5072">
        <f t="shared" si="396"/>
        <v>0</v>
      </c>
      <c r="AC268" s="5320">
        <f t="shared" si="396"/>
        <v>0</v>
      </c>
      <c r="AD268" s="5320">
        <f t="shared" si="396"/>
        <v>0</v>
      </c>
      <c r="AE268" s="5320">
        <f t="shared" si="396"/>
        <v>0</v>
      </c>
      <c r="AF268" s="5320">
        <f t="shared" si="396"/>
        <v>0</v>
      </c>
      <c r="AG268" s="5320">
        <f t="shared" si="396"/>
        <v>0</v>
      </c>
      <c r="AH268" s="5320">
        <f t="shared" si="396"/>
        <v>0</v>
      </c>
      <c r="AI268" s="5320">
        <f t="shared" si="396"/>
        <v>0</v>
      </c>
      <c r="AJ268" s="5320">
        <f t="shared" si="396"/>
        <v>2496.0294793132639</v>
      </c>
      <c r="AK268" s="5320">
        <f t="shared" si="396"/>
        <v>2459.0371437213048</v>
      </c>
      <c r="AL268" s="5320">
        <f t="shared" si="396"/>
        <v>2445.4042781247213</v>
      </c>
      <c r="AM268" s="5320">
        <f t="shared" si="396"/>
        <v>2412.4362945873117</v>
      </c>
      <c r="AN268" s="5320">
        <f t="shared" si="396"/>
        <v>2406.3247936951002</v>
      </c>
      <c r="AO268" s="5320">
        <f t="shared" si="396"/>
        <v>2362.0663906786917</v>
      </c>
      <c r="AP268" s="5320">
        <f t="shared" si="396"/>
        <v>2373.9514474750799</v>
      </c>
      <c r="AQ268" s="5320">
        <f t="shared" si="396"/>
        <v>2343.9322087427272</v>
      </c>
      <c r="AR268" s="5320">
        <f t="shared" si="396"/>
        <v>2327.5956732278128</v>
      </c>
      <c r="AS268" s="5320">
        <f t="shared" si="396"/>
        <v>2293.704190431677</v>
      </c>
      <c r="AT268" s="5320">
        <f t="shared" si="396"/>
        <v>2271.9437729129427</v>
      </c>
      <c r="AU268" s="5320">
        <f t="shared" si="396"/>
        <v>2233.1884997923025</v>
      </c>
      <c r="AV268" s="5320">
        <f t="shared" si="396"/>
        <v>2215.2083992199773</v>
      </c>
      <c r="AW268" s="5320">
        <f t="shared" si="396"/>
        <v>2168.9433978112957</v>
      </c>
      <c r="AX268" s="5320">
        <f t="shared" si="396"/>
        <v>2149.0499761103893</v>
      </c>
      <c r="AY268" s="5320">
        <f t="shared" si="396"/>
        <v>2106.2470423116738</v>
      </c>
      <c r="AZ268" s="5320">
        <f t="shared" si="396"/>
        <v>2085.4904071129718</v>
      </c>
      <c r="BA268" s="5320">
        <f t="shared" si="396"/>
        <v>2045.0768097929049</v>
      </c>
      <c r="BB268" s="5320">
        <f t="shared" si="396"/>
        <v>2029.3636193442583</v>
      </c>
      <c r="BC268" s="5320">
        <f t="shared" ref="BC268:CH268" si="397">BC13/100</f>
        <v>2029.6338625194956</v>
      </c>
      <c r="BD268" s="5320">
        <f t="shared" si="397"/>
        <v>2020.7323328804407</v>
      </c>
      <c r="BE268" s="5320">
        <f t="shared" si="397"/>
        <v>1995.4569069608167</v>
      </c>
      <c r="BF268" s="5320">
        <f t="shared" si="397"/>
        <v>1995.1428778109446</v>
      </c>
      <c r="BG268" s="5320">
        <f t="shared" si="397"/>
        <v>1987.027872751311</v>
      </c>
      <c r="BH268" s="5320">
        <f t="shared" si="397"/>
        <v>1966.1590833001414</v>
      </c>
      <c r="BI268" s="5320">
        <f t="shared" si="397"/>
        <v>1944.8825873666674</v>
      </c>
      <c r="BJ268" s="5320">
        <f t="shared" si="397"/>
        <v>1930.60781125774</v>
      </c>
      <c r="BK268" s="5320">
        <f t="shared" si="397"/>
        <v>1912.2821391654209</v>
      </c>
      <c r="BL268" s="5320">
        <f t="shared" si="397"/>
        <v>1907.1180237497206</v>
      </c>
      <c r="BM268" s="5320">
        <f t="shared" si="397"/>
        <v>1889.9213799200518</v>
      </c>
      <c r="BN268" s="5320">
        <f t="shared" si="397"/>
        <v>1897.1333945981996</v>
      </c>
      <c r="BO268" s="5320">
        <f t="shared" si="397"/>
        <v>1874.0915495668223</v>
      </c>
      <c r="BP268" s="5320">
        <f t="shared" si="397"/>
        <v>1875.2804826785834</v>
      </c>
      <c r="BQ268" s="5320">
        <f t="shared" si="397"/>
        <v>1850.7469525535184</v>
      </c>
      <c r="BR268" s="5320">
        <f t="shared" si="397"/>
        <v>1856.957754697097</v>
      </c>
      <c r="BS268" s="5320">
        <f t="shared" si="397"/>
        <v>1842.326566004974</v>
      </c>
      <c r="BT268" s="5320">
        <f t="shared" si="397"/>
        <v>1859.1415814795698</v>
      </c>
      <c r="BU268" s="5320">
        <f t="shared" si="397"/>
        <v>1825.774401058557</v>
      </c>
      <c r="BV268" s="5320">
        <f t="shared" si="397"/>
        <v>1819.3068243910684</v>
      </c>
      <c r="BW268" s="5320">
        <f t="shared" si="397"/>
        <v>1815.9082461400219</v>
      </c>
      <c r="BX268" s="5320">
        <f t="shared" si="397"/>
        <v>1808.3716484691097</v>
      </c>
      <c r="BY268" s="5320">
        <f t="shared" si="397"/>
        <v>1793.4255292784569</v>
      </c>
      <c r="BZ268" s="5320">
        <f t="shared" si="397"/>
        <v>1895.669948558128</v>
      </c>
      <c r="CA268" s="5320">
        <f t="shared" si="397"/>
        <v>1877.0241876410084</v>
      </c>
      <c r="CB268" s="5320">
        <f t="shared" si="397"/>
        <v>1882.515849000561</v>
      </c>
      <c r="CC268" s="5320">
        <f t="shared" si="397"/>
        <v>1860.3580088636843</v>
      </c>
      <c r="CD268" s="5320">
        <f t="shared" si="397"/>
        <v>1844.9999630158622</v>
      </c>
      <c r="CE268" s="5320">
        <f t="shared" si="397"/>
        <v>1834.919853778312</v>
      </c>
      <c r="CF268" s="5320">
        <f t="shared" si="397"/>
        <v>1840.3423190946328</v>
      </c>
      <c r="CG268" s="5320">
        <f t="shared" si="397"/>
        <v>1840.3760476005968</v>
      </c>
      <c r="CH268" s="2678">
        <f t="shared" ca="1" si="397"/>
        <v>1728.9794820877519</v>
      </c>
      <c r="CI268" s="2678">
        <f t="shared" ref="CI268:CV268" ca="1" si="398">CI13/100</f>
        <v>1721.4926723282319</v>
      </c>
      <c r="CJ268" s="2678">
        <f t="shared" ca="1" si="398"/>
        <v>1713.4649943581642</v>
      </c>
      <c r="CK268" s="2678">
        <f t="shared" ca="1" si="398"/>
        <v>1704.7612126252063</v>
      </c>
      <c r="CL268" s="2678">
        <f t="shared" ca="1" si="398"/>
        <v>1682.8457395346497</v>
      </c>
      <c r="CM268" s="2678">
        <f t="shared" ca="1" si="398"/>
        <v>1674.6221823365693</v>
      </c>
      <c r="CN268" s="2678">
        <f t="shared" ca="1" si="398"/>
        <v>1666.3350501375739</v>
      </c>
      <c r="CO268" s="2678">
        <f t="shared" ca="1" si="398"/>
        <v>1657.4056816320212</v>
      </c>
      <c r="CP268" s="2678">
        <f t="shared" ca="1" si="398"/>
        <v>1668.198578053602</v>
      </c>
      <c r="CQ268" s="2678">
        <f t="shared" ca="1" si="398"/>
        <v>1659.5080333794911</v>
      </c>
      <c r="CR268" s="2678">
        <f t="shared" ca="1" si="398"/>
        <v>1651.8606045684946</v>
      </c>
      <c r="CS268" s="2678">
        <f t="shared" ca="1" si="398"/>
        <v>1643.6302939435889</v>
      </c>
      <c r="CT268" s="2678">
        <f t="shared" ca="1" si="398"/>
        <v>1667.573385969928</v>
      </c>
      <c r="CU268" s="2678">
        <f t="shared" ca="1" si="398"/>
        <v>1659.5058836166679</v>
      </c>
      <c r="CV268" s="2678">
        <f t="shared" ca="1" si="398"/>
        <v>1648.6984280079851</v>
      </c>
      <c r="CW268" s="2678">
        <f t="shared" ref="CW268:FH268" ca="1" si="399">CW13/100</f>
        <v>1637.2261864978575</v>
      </c>
      <c r="CX268" s="2678">
        <f t="shared" ca="1" si="399"/>
        <v>1518.9332615853616</v>
      </c>
      <c r="CY268" s="2678">
        <f t="shared" ca="1" si="399"/>
        <v>1508.8443538406841</v>
      </c>
      <c r="CZ268" s="2678">
        <f t="shared" ca="1" si="399"/>
        <v>1498.7198182081734</v>
      </c>
      <c r="DA268" s="2678">
        <f t="shared" ca="1" si="399"/>
        <v>1488.0048666972871</v>
      </c>
      <c r="DB268" s="2678">
        <f t="shared" ca="1" si="399"/>
        <v>1319.4717056666711</v>
      </c>
      <c r="DC268" s="2678">
        <f t="shared" ca="1" si="399"/>
        <v>1310.5903192361907</v>
      </c>
      <c r="DD268" s="2678">
        <f t="shared" ca="1" si="399"/>
        <v>1302.9568763602053</v>
      </c>
      <c r="DE268" s="2678">
        <f t="shared" ca="1" si="399"/>
        <v>1294.8725049609529</v>
      </c>
      <c r="DF268" s="2678">
        <f t="shared" ca="1" si="399"/>
        <v>1213.7233456704701</v>
      </c>
      <c r="DG268" s="2678">
        <f t="shared" ca="1" si="399"/>
        <v>1206.516233396386</v>
      </c>
      <c r="DH268" s="2678">
        <f t="shared" ca="1" si="399"/>
        <v>1217.8592339366558</v>
      </c>
      <c r="DI268" s="2678">
        <f t="shared" ca="1" si="399"/>
        <v>1229.4400230077435</v>
      </c>
      <c r="DJ268" s="2678">
        <f t="shared" ca="1" si="399"/>
        <v>1229.1871705562953</v>
      </c>
      <c r="DK268" s="2678">
        <f t="shared" ca="1" si="399"/>
        <v>1240.5123705648409</v>
      </c>
      <c r="DL268" s="2678">
        <f t="shared" ca="1" si="399"/>
        <v>1237.3947400544555</v>
      </c>
      <c r="DM268" s="2678">
        <f t="shared" ca="1" si="399"/>
        <v>1234.0333974454149</v>
      </c>
      <c r="DN268" s="2678">
        <f t="shared" ca="1" si="399"/>
        <v>1244.8125705127638</v>
      </c>
      <c r="DO268" s="2678">
        <f t="shared" ca="1" si="399"/>
        <v>1241.5908481465742</v>
      </c>
      <c r="DP268" s="2678">
        <f t="shared" ca="1" si="399"/>
        <v>1235.2951420547438</v>
      </c>
      <c r="DQ268" s="2678">
        <f t="shared" ca="1" si="399"/>
        <v>1228.6680828850983</v>
      </c>
      <c r="DR268" s="2678">
        <f t="shared" ca="1" si="399"/>
        <v>1244.9123879285628</v>
      </c>
      <c r="DS268" s="2678">
        <f t="shared" ca="1" si="399"/>
        <v>1238.3875938249146</v>
      </c>
      <c r="DT268" s="2678">
        <f t="shared" ca="1" si="399"/>
        <v>1230.412756138031</v>
      </c>
      <c r="DU268" s="2678">
        <f t="shared" ca="1" si="399"/>
        <v>1222.070836068445</v>
      </c>
      <c r="DV268" s="2678">
        <f t="shared" ca="1" si="399"/>
        <v>1225.0627559240386</v>
      </c>
      <c r="DW268" s="5274">
        <f t="shared" ca="1" si="399"/>
        <v>1216.9125969348909</v>
      </c>
      <c r="DX268" s="5274">
        <f t="shared" ca="1" si="399"/>
        <v>1214.247300061799</v>
      </c>
      <c r="DY268" s="5274">
        <f t="shared" ca="1" si="399"/>
        <v>1211.4049001284252</v>
      </c>
      <c r="DZ268" s="5274">
        <f t="shared" ca="1" si="399"/>
        <v>1210.840281070625</v>
      </c>
      <c r="EA268" s="5274">
        <f t="shared" ca="1" si="399"/>
        <v>1208.1381604778435</v>
      </c>
      <c r="EB268" s="5274">
        <f t="shared" ca="1" si="399"/>
        <v>1199.3308866398036</v>
      </c>
      <c r="EC268" s="5274">
        <f t="shared" ca="1" si="399"/>
        <v>1190.1696301926406</v>
      </c>
      <c r="ED268" s="5274">
        <f t="shared" ca="1" si="399"/>
        <v>1190.0388713625837</v>
      </c>
      <c r="EE268" s="5274">
        <f t="shared" ca="1" si="399"/>
        <v>1181.0899171206306</v>
      </c>
      <c r="EF268" s="5274">
        <f t="shared" ca="1" si="399"/>
        <v>1170.2401887234334</v>
      </c>
      <c r="EG268" s="5274">
        <f t="shared" ca="1" si="399"/>
        <v>1158.9941657324177</v>
      </c>
      <c r="EH268" s="5274">
        <f t="shared" ca="1" si="399"/>
        <v>1152.3254016282172</v>
      </c>
      <c r="EI268" s="5274">
        <f t="shared" ca="1" si="399"/>
        <v>1141.3686002157579</v>
      </c>
      <c r="EJ268" s="5274">
        <f t="shared" ca="1" si="399"/>
        <v>1129.52304599323</v>
      </c>
      <c r="EK268" s="5274">
        <f t="shared" ca="1" si="399"/>
        <v>1117.2733621377397</v>
      </c>
      <c r="EL268" s="5274">
        <f t="shared" ca="1" si="399"/>
        <v>1105.4716256592201</v>
      </c>
      <c r="EM268" s="5274">
        <f t="shared" ca="1" si="399"/>
        <v>1093.5804046499368</v>
      </c>
      <c r="EN268" s="5274">
        <f t="shared" ca="1" si="399"/>
        <v>1081.5226818286401</v>
      </c>
      <c r="EO268" s="5274">
        <f t="shared" ca="1" si="399"/>
        <v>1069.0770152781251</v>
      </c>
      <c r="EP268" s="5274">
        <f t="shared" ca="1" si="399"/>
        <v>1064.5147770268072</v>
      </c>
      <c r="EQ268" s="5274">
        <f t="shared" ca="1" si="399"/>
        <v>1052.3211996093021</v>
      </c>
      <c r="ER268" s="5274">
        <f t="shared" ca="1" si="399"/>
        <v>1040.0013315921967</v>
      </c>
      <c r="ES268" s="5274">
        <f t="shared" ca="1" si="399"/>
        <v>1027.3074876759813</v>
      </c>
      <c r="ET268" s="5274">
        <f t="shared" ca="1" si="399"/>
        <v>1018.4782147662927</v>
      </c>
      <c r="EU268" s="5274">
        <f t="shared" ca="1" si="399"/>
        <v>1006.0926861107775</v>
      </c>
      <c r="EV268" s="5274">
        <f t="shared" ca="1" si="399"/>
        <v>995.14706804828199</v>
      </c>
      <c r="EW268" s="5274">
        <f t="shared" ca="1" si="399"/>
        <v>983.88494654205908</v>
      </c>
      <c r="EX268" s="5274">
        <f t="shared" ca="1" si="399"/>
        <v>972.81626052209026</v>
      </c>
      <c r="EY268" s="5274">
        <f t="shared" ca="1" si="399"/>
        <v>961.86165166987337</v>
      </c>
      <c r="EZ268" s="5274">
        <f t="shared" ca="1" si="399"/>
        <v>949.02895561570131</v>
      </c>
      <c r="FA268" s="5274">
        <f t="shared" ca="1" si="399"/>
        <v>935.85138703652103</v>
      </c>
      <c r="FB268" s="5274">
        <f t="shared" ca="1" si="399"/>
        <v>929.27723489606831</v>
      </c>
      <c r="FC268" s="5274">
        <f t="shared" ca="1" si="399"/>
        <v>916.3605921038295</v>
      </c>
      <c r="FD268" s="5274">
        <f t="shared" ca="1" si="399"/>
        <v>904.83413988780262</v>
      </c>
      <c r="FE268" s="5274">
        <f t="shared" ca="1" si="399"/>
        <v>893.01495589268222</v>
      </c>
      <c r="FF268" s="5274">
        <f t="shared" ca="1" si="399"/>
        <v>884.29514754538422</v>
      </c>
      <c r="FG268" s="5274">
        <f t="shared" ca="1" si="399"/>
        <v>872.74416425416337</v>
      </c>
      <c r="FH268" s="5274">
        <f t="shared" ca="1" si="399"/>
        <v>859.54268181226678</v>
      </c>
      <c r="FI268" s="5274">
        <f t="shared" ref="FI268:HT268" ca="1" si="400">FI13/100</f>
        <v>846.03030318799267</v>
      </c>
      <c r="FJ268" s="5274">
        <f t="shared" ca="1" si="400"/>
        <v>832.72475466353876</v>
      </c>
      <c r="FK268" s="5274">
        <f t="shared" ca="1" si="400"/>
        <v>819.5998816135334</v>
      </c>
      <c r="FL268" s="5274">
        <f t="shared" ca="1" si="400"/>
        <v>806.56877350324635</v>
      </c>
      <c r="FM268" s="5274">
        <f t="shared" ca="1" si="400"/>
        <v>793.25280824987919</v>
      </c>
      <c r="FN268" s="5274">
        <f t="shared" ca="1" si="400"/>
        <v>785.23235925367317</v>
      </c>
      <c r="FO268" s="5274">
        <f t="shared" ca="1" si="400"/>
        <v>772.18810738318234</v>
      </c>
      <c r="FP268" s="5274">
        <f t="shared" ca="1" si="400"/>
        <v>758.8389898316309</v>
      </c>
      <c r="FQ268" s="5274">
        <f t="shared" ca="1" si="400"/>
        <v>745.22137593398952</v>
      </c>
      <c r="FR268" s="5274">
        <f t="shared" ca="1" si="400"/>
        <v>734.11732154794652</v>
      </c>
      <c r="FS268" s="5274">
        <f t="shared" ca="1" si="400"/>
        <v>720.85003674063967</v>
      </c>
      <c r="FT268" s="5274">
        <f t="shared" ca="1" si="400"/>
        <v>707.14610512430079</v>
      </c>
      <c r="FU268" s="5274">
        <f t="shared" ca="1" si="400"/>
        <v>693.19210965512832</v>
      </c>
      <c r="FV268" s="5274">
        <f t="shared" ca="1" si="400"/>
        <v>679.45280488518779</v>
      </c>
      <c r="FW268" s="5274">
        <f t="shared" ca="1" si="400"/>
        <v>665.94023774958475</v>
      </c>
      <c r="FX268" s="5274">
        <f t="shared" ca="1" si="400"/>
        <v>652.00287081670854</v>
      </c>
      <c r="FY268" s="5274">
        <f t="shared" ca="1" si="400"/>
        <v>637.83940384001153</v>
      </c>
      <c r="FZ268" s="5274">
        <f t="shared" ca="1" si="400"/>
        <v>627.68697554206551</v>
      </c>
      <c r="GA268" s="5274">
        <f t="shared" ca="1" si="400"/>
        <v>613.88400701454975</v>
      </c>
      <c r="GB268" s="5274">
        <f t="shared" ca="1" si="400"/>
        <v>599.81182520348148</v>
      </c>
      <c r="GC268" s="5274">
        <f t="shared" ca="1" si="400"/>
        <v>585.54217559061112</v>
      </c>
      <c r="GD268" s="5274">
        <f t="shared" ca="1" si="400"/>
        <v>573.19966266587699</v>
      </c>
      <c r="GE268" s="5274">
        <f t="shared" ca="1" si="400"/>
        <v>559.39408457825641</v>
      </c>
      <c r="GF268" s="5274">
        <f t="shared" ca="1" si="400"/>
        <v>546.53953051626468</v>
      </c>
      <c r="GG268" s="5274">
        <f t="shared" ca="1" si="400"/>
        <v>533.53155797734564</v>
      </c>
      <c r="GH268" s="5274">
        <f t="shared" ca="1" si="400"/>
        <v>520.7674071616201</v>
      </c>
      <c r="GI268" s="5274">
        <f t="shared" ca="1" si="400"/>
        <v>508.24215636398338</v>
      </c>
      <c r="GJ268" s="5274">
        <f t="shared" ca="1" si="400"/>
        <v>506.16634396317966</v>
      </c>
      <c r="GK268" s="5274">
        <f t="shared" ca="1" si="400"/>
        <v>504.00838194358164</v>
      </c>
      <c r="GL268" s="5274">
        <f t="shared" ca="1" si="400"/>
        <v>503.96084936938206</v>
      </c>
      <c r="GM268" s="5274">
        <f t="shared" ca="1" si="400"/>
        <v>501.42805342255747</v>
      </c>
      <c r="GN268" s="5274">
        <f t="shared" ca="1" si="400"/>
        <v>490.93130172435218</v>
      </c>
      <c r="GO268" s="5274">
        <f t="shared" ca="1" si="400"/>
        <v>480.33720078635156</v>
      </c>
      <c r="GP268" s="5274">
        <f t="shared" ca="1" si="400"/>
        <v>471.0165385896517</v>
      </c>
      <c r="GQ268" s="5274">
        <f t="shared" ca="1" si="400"/>
        <v>460.69102331509782</v>
      </c>
      <c r="GR268" s="5274">
        <f t="shared" ca="1" si="400"/>
        <v>449.219912698906</v>
      </c>
      <c r="GS268" s="5274">
        <f t="shared" ca="1" si="400"/>
        <v>437.68630500746048</v>
      </c>
      <c r="GT268" s="5274">
        <f t="shared" ca="1" si="400"/>
        <v>426.32588982916457</v>
      </c>
      <c r="GU268" s="5274">
        <f t="shared" ca="1" si="400"/>
        <v>415.24010810228469</v>
      </c>
      <c r="GV268" s="5274">
        <f t="shared" ca="1" si="400"/>
        <v>403.49694125824067</v>
      </c>
      <c r="GW268" s="5274">
        <f t="shared" ca="1" si="400"/>
        <v>391.74095825397558</v>
      </c>
      <c r="GX268" s="5274">
        <f t="shared" ca="1" si="400"/>
        <v>381.98785445431122</v>
      </c>
      <c r="GY268" s="5274">
        <f t="shared" ca="1" si="400"/>
        <v>370.69892050208546</v>
      </c>
      <c r="GZ268" s="5274">
        <f t="shared" ca="1" si="400"/>
        <v>361.06483899931135</v>
      </c>
      <c r="HA268" s="5274">
        <f t="shared" ca="1" si="400"/>
        <v>351.42986103700287</v>
      </c>
      <c r="HB268" s="5274">
        <f t="shared" ca="1" si="400"/>
        <v>342.63690155929834</v>
      </c>
      <c r="HC268" s="5274">
        <f t="shared" ca="1" si="400"/>
        <v>333.35663060102956</v>
      </c>
      <c r="HD268" s="5274">
        <f t="shared" ca="1" si="400"/>
        <v>322.52689230639362</v>
      </c>
      <c r="HE268" s="5274">
        <f t="shared" ca="1" si="400"/>
        <v>311.79593307468122</v>
      </c>
      <c r="HF268" s="5274">
        <f t="shared" ca="1" si="400"/>
        <v>301.45232741763573</v>
      </c>
      <c r="HG268" s="5274">
        <f t="shared" ca="1" si="400"/>
        <v>291.42020420183604</v>
      </c>
      <c r="HH268" s="5274">
        <f t="shared" ca="1" si="400"/>
        <v>281.04932987346439</v>
      </c>
      <c r="HI268" s="5274">
        <f t="shared" ca="1" si="400"/>
        <v>270.87440317344459</v>
      </c>
      <c r="HJ268" s="5274">
        <f t="shared" ca="1" si="400"/>
        <v>261.93314263563684</v>
      </c>
      <c r="HK268" s="5274">
        <f t="shared" ca="1" si="400"/>
        <v>252.55687602526234</v>
      </c>
      <c r="HL268" s="5274">
        <f t="shared" ca="1" si="400"/>
        <v>243.41538422991596</v>
      </c>
      <c r="HM268" s="5274">
        <f t="shared" ca="1" si="400"/>
        <v>234.56340009679354</v>
      </c>
      <c r="HN268" s="5274">
        <f t="shared" ca="1" si="400"/>
        <v>226.5077542081641</v>
      </c>
      <c r="HO268" s="5274">
        <f t="shared" ca="1" si="400"/>
        <v>218.61839332975671</v>
      </c>
      <c r="HP268" s="5274">
        <f t="shared" ca="1" si="400"/>
        <v>211.34422915453379</v>
      </c>
      <c r="HQ268" s="5274">
        <f t="shared" ca="1" si="400"/>
        <v>204.42939303380695</v>
      </c>
      <c r="HR268" s="5274">
        <f t="shared" ca="1" si="400"/>
        <v>198.09893634774591</v>
      </c>
      <c r="HS268" s="5274">
        <f t="shared" ca="1" si="400"/>
        <v>192.20852102390521</v>
      </c>
      <c r="HT268" s="5274">
        <f t="shared" ca="1" si="400"/>
        <v>186.58815989287046</v>
      </c>
      <c r="HU268" s="5274">
        <f t="shared" ref="HU268:IA268" ca="1" si="401">HU13/100</f>
        <v>181.47352195562505</v>
      </c>
      <c r="HV268" s="5274">
        <f t="shared" ca="1" si="401"/>
        <v>177.09796143142597</v>
      </c>
      <c r="HW268" s="5274">
        <f t="shared" ca="1" si="401"/>
        <v>173.38149450926409</v>
      </c>
      <c r="HX268" s="5274">
        <f t="shared" ca="1" si="401"/>
        <v>171.00344472463766</v>
      </c>
      <c r="HY268" s="5274">
        <f t="shared" ca="1" si="401"/>
        <v>168.65801157418082</v>
      </c>
      <c r="HZ268" s="5274">
        <f t="shared" ca="1" si="401"/>
        <v>166.34474769769426</v>
      </c>
      <c r="IA268" s="5274">
        <f t="shared" ca="1" si="401"/>
        <v>164.11091351772407</v>
      </c>
    </row>
    <row r="269" spans="2:235">
      <c r="G269" s="2521" t="s">
        <v>3992</v>
      </c>
      <c r="H269" s="2677"/>
      <c r="I269" s="5067"/>
      <c r="J269" s="5069"/>
      <c r="K269" s="5069"/>
      <c r="L269" s="5069"/>
      <c r="M269" s="5069"/>
      <c r="N269" s="5069"/>
      <c r="O269" s="5069"/>
      <c r="P269" s="5069"/>
      <c r="Q269" s="5069"/>
      <c r="R269" s="5069"/>
      <c r="S269" s="5069"/>
      <c r="T269" s="5069"/>
      <c r="U269" s="5069"/>
      <c r="V269" s="5070"/>
      <c r="W269" s="5072">
        <f t="shared" ref="W269:BB269" si="402">W14/100</f>
        <v>0</v>
      </c>
      <c r="X269" s="5072">
        <f t="shared" si="402"/>
        <v>0</v>
      </c>
      <c r="Y269" s="5072">
        <f t="shared" si="402"/>
        <v>0</v>
      </c>
      <c r="Z269" s="5072">
        <f t="shared" si="402"/>
        <v>0</v>
      </c>
      <c r="AA269" s="5072">
        <f t="shared" si="402"/>
        <v>0</v>
      </c>
      <c r="AB269" s="5072">
        <f t="shared" si="402"/>
        <v>0</v>
      </c>
      <c r="AC269" s="5320">
        <f t="shared" si="402"/>
        <v>0</v>
      </c>
      <c r="AD269" s="5320">
        <f t="shared" si="402"/>
        <v>0</v>
      </c>
      <c r="AE269" s="5320">
        <f t="shared" si="402"/>
        <v>0</v>
      </c>
      <c r="AF269" s="5320">
        <f t="shared" si="402"/>
        <v>0</v>
      </c>
      <c r="AG269" s="5320">
        <f t="shared" si="402"/>
        <v>0</v>
      </c>
      <c r="AH269" s="5320">
        <f t="shared" si="402"/>
        <v>0</v>
      </c>
      <c r="AI269" s="5320">
        <f t="shared" si="402"/>
        <v>0</v>
      </c>
      <c r="AJ269" s="5320">
        <f t="shared" si="402"/>
        <v>2203.8145983194217</v>
      </c>
      <c r="AK269" s="5320">
        <f t="shared" si="402"/>
        <v>2171.1530252574239</v>
      </c>
      <c r="AL269" s="5320">
        <f t="shared" si="402"/>
        <v>2159.1161849605924</v>
      </c>
      <c r="AM269" s="5320">
        <f t="shared" si="402"/>
        <v>2130.0078254644186</v>
      </c>
      <c r="AN269" s="5320">
        <f t="shared" si="402"/>
        <v>2124.6118095136767</v>
      </c>
      <c r="AO269" s="5320">
        <f t="shared" si="402"/>
        <v>2085.5348212512217</v>
      </c>
      <c r="AP269" s="5320">
        <f t="shared" si="402"/>
        <v>2096.0284720221021</v>
      </c>
      <c r="AQ269" s="5320">
        <f t="shared" si="402"/>
        <v>2069.5236422125613</v>
      </c>
      <c r="AR269" s="5320">
        <f t="shared" si="402"/>
        <v>2055.0996557363928</v>
      </c>
      <c r="AS269" s="5320">
        <f t="shared" si="402"/>
        <v>2025.175912782297</v>
      </c>
      <c r="AT269" s="5320">
        <f t="shared" si="402"/>
        <v>2005.96302840302</v>
      </c>
      <c r="AU269" s="5320">
        <f t="shared" si="402"/>
        <v>1971.744908235376</v>
      </c>
      <c r="AV269" s="5320">
        <f t="shared" si="402"/>
        <v>1955.8697719643719</v>
      </c>
      <c r="AW269" s="5320">
        <f t="shared" si="402"/>
        <v>1915.0211015697528</v>
      </c>
      <c r="AX269" s="5320">
        <f t="shared" si="402"/>
        <v>1956.5230639512488</v>
      </c>
      <c r="AY269" s="5320">
        <f t="shared" si="402"/>
        <v>1971.0852983116802</v>
      </c>
      <c r="AZ269" s="5320">
        <f t="shared" si="402"/>
        <v>1986.7653198821117</v>
      </c>
      <c r="BA269" s="5320">
        <f t="shared" si="402"/>
        <v>1982.7538133401677</v>
      </c>
      <c r="BB269" s="5320">
        <f t="shared" si="402"/>
        <v>2003.8954683898098</v>
      </c>
      <c r="BC269" s="5320">
        <f t="shared" ref="BC269:CH269" si="403">BC14/100</f>
        <v>2006.244631835491</v>
      </c>
      <c r="BD269" s="5320">
        <f t="shared" si="403"/>
        <v>1996.5399666389937</v>
      </c>
      <c r="BE269" s="5320">
        <f t="shared" si="403"/>
        <v>1970.6803985658269</v>
      </c>
      <c r="BF269" s="5320">
        <f t="shared" si="403"/>
        <v>1969.5314464711887</v>
      </c>
      <c r="BG269" s="5320">
        <f t="shared" si="403"/>
        <v>1960.6821100768245</v>
      </c>
      <c r="BH269" s="5320">
        <f t="shared" si="403"/>
        <v>1939.1762392903706</v>
      </c>
      <c r="BI269" s="5320">
        <f t="shared" si="403"/>
        <v>1917.2798121966996</v>
      </c>
      <c r="BJ269" s="5320">
        <f t="shared" si="403"/>
        <v>1902.3474335492701</v>
      </c>
      <c r="BK269" s="5320">
        <f t="shared" si="403"/>
        <v>1883.4186474984642</v>
      </c>
      <c r="BL269" s="5320">
        <f t="shared" si="403"/>
        <v>1877.5472238014495</v>
      </c>
      <c r="BM269" s="5320">
        <f t="shared" si="403"/>
        <v>1859.8350205404124</v>
      </c>
      <c r="BN269" s="5320">
        <f t="shared" si="403"/>
        <v>1866.1950070789178</v>
      </c>
      <c r="BO269" s="5320">
        <f t="shared" si="403"/>
        <v>1842.7846968806239</v>
      </c>
      <c r="BP269" s="5320">
        <f t="shared" si="403"/>
        <v>1843.2863995020539</v>
      </c>
      <c r="BQ269" s="5320">
        <f t="shared" si="403"/>
        <v>1818.5118047408521</v>
      </c>
      <c r="BR269" s="5320">
        <f t="shared" si="403"/>
        <v>1824.0012652729829</v>
      </c>
      <c r="BS269" s="5320">
        <f t="shared" si="403"/>
        <v>1809.007926418948</v>
      </c>
      <c r="BT269" s="5320">
        <f t="shared" si="403"/>
        <v>1825.0024781918651</v>
      </c>
      <c r="BU269" s="5320">
        <f t="shared" si="403"/>
        <v>1791.745224597945</v>
      </c>
      <c r="BV269" s="5320">
        <f t="shared" si="403"/>
        <v>1784.9444465025465</v>
      </c>
      <c r="BW269" s="5320">
        <f t="shared" si="403"/>
        <v>1781.148406584299</v>
      </c>
      <c r="BX269" s="5320">
        <f t="shared" si="403"/>
        <v>1773.2568261477345</v>
      </c>
      <c r="BY269" s="5320">
        <f t="shared" si="403"/>
        <v>1758.1045595720684</v>
      </c>
      <c r="BZ269" s="5320">
        <f t="shared" si="403"/>
        <v>1860.0584283499461</v>
      </c>
      <c r="CA269" s="5320">
        <f t="shared" si="403"/>
        <v>1841.3005282449178</v>
      </c>
      <c r="CB269" s="5320">
        <f t="shared" si="403"/>
        <v>1846.2447253794141</v>
      </c>
      <c r="CC269" s="5320">
        <f t="shared" si="403"/>
        <v>1824.0738255963183</v>
      </c>
      <c r="CD269" s="5320">
        <f t="shared" si="403"/>
        <v>1808.0233386136938</v>
      </c>
      <c r="CE269" s="5320">
        <f t="shared" si="403"/>
        <v>1797.7365732973155</v>
      </c>
      <c r="CF269" s="5320">
        <f t="shared" si="403"/>
        <v>1802.6350101959681</v>
      </c>
      <c r="CG269" s="5320">
        <f t="shared" si="403"/>
        <v>1802.2493605807947</v>
      </c>
      <c r="CH269" s="2678">
        <f t="shared" ca="1" si="403"/>
        <v>1690.6239016627533</v>
      </c>
      <c r="CI269" s="2678">
        <f t="shared" ref="CI269:CV269" ca="1" si="404">CI14/100</f>
        <v>1682.9216497837979</v>
      </c>
      <c r="CJ269" s="2678">
        <f t="shared" ca="1" si="404"/>
        <v>1674.691655051837</v>
      </c>
      <c r="CK269" s="2678">
        <f ca="1">CK14/100</f>
        <v>1665.7983623965142</v>
      </c>
      <c r="CL269" s="2678">
        <f t="shared" ca="1" si="404"/>
        <v>1643.70587100079</v>
      </c>
      <c r="CM269" s="2678">
        <f t="shared" ca="1" si="404"/>
        <v>1635.3174810754954</v>
      </c>
      <c r="CN269" s="2678">
        <f t="shared" ca="1" si="404"/>
        <v>1626.8774007603979</v>
      </c>
      <c r="CO269" s="2678">
        <f t="shared" ca="1" si="404"/>
        <v>1617.806673746602</v>
      </c>
      <c r="CP269" s="2678">
        <f t="shared" ca="1" si="404"/>
        <v>1628.4695121211603</v>
      </c>
      <c r="CQ269" s="2678">
        <f t="shared" ca="1" si="404"/>
        <v>1619.6599264660663</v>
      </c>
      <c r="CR269" s="2678">
        <f t="shared" ca="1" si="404"/>
        <v>1611.9041959930273</v>
      </c>
      <c r="CS269" s="2678">
        <f t="shared" ca="1" si="404"/>
        <v>1603.5760508243764</v>
      </c>
      <c r="CT269" s="2678">
        <f t="shared" ca="1" si="404"/>
        <v>1627.4315086711881</v>
      </c>
      <c r="CU269" s="2678">
        <f t="shared" ca="1" si="404"/>
        <v>1619.2863110968988</v>
      </c>
      <c r="CV269" s="2678">
        <f t="shared" ca="1" si="404"/>
        <v>1608.4108430717949</v>
      </c>
      <c r="CW269" s="2678">
        <f t="shared" ref="CW269:FH269" ca="1" si="405">CW14/100</f>
        <v>1596.8800209529045</v>
      </c>
      <c r="CX269" s="2678">
        <f t="shared" ca="1" si="405"/>
        <v>1478.5377013060213</v>
      </c>
      <c r="CY269" s="2678">
        <f t="shared" ca="1" si="405"/>
        <v>1468.4083437400282</v>
      </c>
      <c r="CZ269" s="2678">
        <f t="shared" ca="1" si="405"/>
        <v>1458.2520671198279</v>
      </c>
      <c r="DA269" s="2678">
        <f t="shared" ca="1" si="405"/>
        <v>1447.5138521687013</v>
      </c>
      <c r="DB269" s="2678">
        <f t="shared" ca="1" si="405"/>
        <v>1278.9656786653147</v>
      </c>
      <c r="DC269" s="2678">
        <f t="shared" ca="1" si="405"/>
        <v>1270.0773087701609</v>
      </c>
      <c r="DD269" s="2678">
        <f t="shared" ca="1" si="405"/>
        <v>1262.4446940147091</v>
      </c>
      <c r="DE269" s="2678">
        <f t="shared" ca="1" si="405"/>
        <v>1254.3687493521027</v>
      </c>
      <c r="DF269" s="2678">
        <f t="shared" ca="1" si="405"/>
        <v>1173.2354068178065</v>
      </c>
      <c r="DG269" s="2678">
        <f t="shared" ca="1" si="405"/>
        <v>1166.0512970155212</v>
      </c>
      <c r="DH269" s="2678">
        <f t="shared" ca="1" si="405"/>
        <v>1177.4242856534029</v>
      </c>
      <c r="DI269" s="2678">
        <f t="shared" ca="1" si="405"/>
        <v>1189.0418524950826</v>
      </c>
      <c r="DJ269" s="2678">
        <f t="shared" ca="1" si="405"/>
        <v>1188.8323755954957</v>
      </c>
      <c r="DK269" s="2678">
        <f t="shared" ca="1" si="405"/>
        <v>1200.2073610320451</v>
      </c>
      <c r="DL269" s="2678">
        <f t="shared" ca="1" si="405"/>
        <v>1197.145741834004</v>
      </c>
      <c r="DM269" s="2678">
        <f t="shared" ca="1" si="405"/>
        <v>1193.8464562711704</v>
      </c>
      <c r="DN269" s="2678">
        <f t="shared" ca="1" si="405"/>
        <v>1204.693555738678</v>
      </c>
      <c r="DO269" s="2678">
        <f t="shared" ca="1" si="405"/>
        <v>1201.5454564477102</v>
      </c>
      <c r="DP269" s="2678">
        <f t="shared" ca="1" si="405"/>
        <v>1195.3289010599551</v>
      </c>
      <c r="DQ269" s="2678">
        <f t="shared" ca="1" si="405"/>
        <v>1188.7863547425443</v>
      </c>
      <c r="DR269" s="2678">
        <f t="shared" ca="1" si="405"/>
        <v>1205.1203728052171</v>
      </c>
      <c r="DS269" s="2678">
        <f t="shared" ca="1" si="405"/>
        <v>1198.690333341207</v>
      </c>
      <c r="DT269" s="2678">
        <f t="shared" ca="1" si="405"/>
        <v>1190.815136738745</v>
      </c>
      <c r="DU269" s="2678">
        <f t="shared" ca="1" si="405"/>
        <v>1182.5775923309718</v>
      </c>
      <c r="DV269" s="2678">
        <f t="shared" ca="1" si="405"/>
        <v>1185.6784738050744</v>
      </c>
      <c r="DW269" s="5274">
        <f t="shared" ca="1" si="405"/>
        <v>1177.6417169566409</v>
      </c>
      <c r="DX269" s="5274">
        <f t="shared" ca="1" si="405"/>
        <v>1175.0941204387377</v>
      </c>
      <c r="DY269" s="5274">
        <f t="shared" ca="1" si="405"/>
        <v>1172.3735798356447</v>
      </c>
      <c r="DZ269" s="5274">
        <f t="shared" ca="1" si="405"/>
        <v>1171.9348428547864</v>
      </c>
      <c r="EA269" s="5274">
        <f t="shared" ca="1" si="405"/>
        <v>1169.3624938117252</v>
      </c>
      <c r="EB269" s="5274">
        <f t="shared" ca="1" si="405"/>
        <v>1160.6887506214318</v>
      </c>
      <c r="EC269" s="5274">
        <f t="shared" ca="1" si="405"/>
        <v>1151.6646563899624</v>
      </c>
      <c r="ED269" s="5274">
        <f t="shared" ca="1" si="405"/>
        <v>1151.6745666046338</v>
      </c>
      <c r="EE269" s="5274">
        <f t="shared" ca="1" si="405"/>
        <v>1142.8696662361242</v>
      </c>
      <c r="EF269" s="5274">
        <f t="shared" ca="1" si="405"/>
        <v>1132.1672572276989</v>
      </c>
      <c r="EG269" s="5274">
        <f t="shared" ca="1" si="405"/>
        <v>1121.0717024635762</v>
      </c>
      <c r="EH269" s="5274">
        <f t="shared" ca="1" si="405"/>
        <v>1114.5564413334932</v>
      </c>
      <c r="EI269" s="5274">
        <f t="shared" ca="1" si="405"/>
        <v>1103.7560660887925</v>
      </c>
      <c r="EJ269" s="5274">
        <f t="shared" ca="1" si="405"/>
        <v>1092.069752163254</v>
      </c>
      <c r="EK269" s="5274">
        <f t="shared" ca="1" si="405"/>
        <v>1079.9820161114524</v>
      </c>
      <c r="EL269" s="5274">
        <f t="shared" ca="1" si="405"/>
        <v>1068.3448307162</v>
      </c>
      <c r="EM269" s="5274">
        <f t="shared" ca="1" si="405"/>
        <v>1056.6206621924007</v>
      </c>
      <c r="EN269" s="5274">
        <f t="shared" ca="1" si="405"/>
        <v>1044.7323936863534</v>
      </c>
      <c r="EO269" s="5274">
        <f t="shared" ca="1" si="405"/>
        <v>1032.4584859692495</v>
      </c>
      <c r="EP269" s="5274">
        <f t="shared" ca="1" si="405"/>
        <v>1028.0702159754615</v>
      </c>
      <c r="EQ269" s="5274">
        <f t="shared" ca="1" si="405"/>
        <v>1016.0527233205992</v>
      </c>
      <c r="ER269" s="5274">
        <f t="shared" ca="1" si="405"/>
        <v>1003.9109657855047</v>
      </c>
      <c r="ES269" s="5274">
        <f t="shared" ca="1" si="405"/>
        <v>991.39716937714695</v>
      </c>
      <c r="ET269" s="5274">
        <f t="shared" ca="1" si="405"/>
        <v>982.74979435955038</v>
      </c>
      <c r="EU269" s="5274">
        <f t="shared" ca="1" si="405"/>
        <v>970.54792935105706</v>
      </c>
      <c r="EV269" s="5274">
        <f t="shared" ca="1" si="405"/>
        <v>959.78765803461397</v>
      </c>
      <c r="EW269" s="5274">
        <f t="shared" ca="1" si="405"/>
        <v>948.71248565276881</v>
      </c>
      <c r="EX269" s="5274">
        <f t="shared" ca="1" si="405"/>
        <v>937.83227231245507</v>
      </c>
      <c r="EY269" s="5274">
        <f t="shared" ca="1" si="405"/>
        <v>927.06758273290995</v>
      </c>
      <c r="EZ269" s="5274">
        <f t="shared" ca="1" si="405"/>
        <v>914.42617740673654</v>
      </c>
      <c r="FA269" s="5274">
        <f t="shared" ca="1" si="405"/>
        <v>901.44119766219228</v>
      </c>
      <c r="FB269" s="5274">
        <f t="shared" ca="1" si="405"/>
        <v>895.06086086838127</v>
      </c>
      <c r="FC269" s="5274">
        <f t="shared" ca="1" si="405"/>
        <v>882.3391900599006</v>
      </c>
      <c r="FD269" s="5274">
        <f t="shared" ca="1" si="405"/>
        <v>871.0087982758937</v>
      </c>
      <c r="FE269" s="5274">
        <f t="shared" ca="1" si="405"/>
        <v>859.38669662512939</v>
      </c>
      <c r="FF269" s="5274">
        <f t="shared" ca="1" si="405"/>
        <v>850.8649276190132</v>
      </c>
      <c r="FG269" s="5274">
        <f t="shared" ca="1" si="405"/>
        <v>839.51287733877132</v>
      </c>
      <c r="FH269" s="5274">
        <f t="shared" ca="1" si="405"/>
        <v>826.51115980774102</v>
      </c>
      <c r="FI269" s="5274">
        <f t="shared" ref="FI269:HT269" ca="1" si="406">FI14/100</f>
        <v>813.19931775062867</v>
      </c>
      <c r="FJ269" s="5274">
        <f t="shared" ca="1" si="406"/>
        <v>800.09501870210977</v>
      </c>
      <c r="FK269" s="5274">
        <f t="shared" ca="1" si="406"/>
        <v>787.17205075565391</v>
      </c>
      <c r="FL269" s="5274">
        <f t="shared" ca="1" si="406"/>
        <v>774.34344753256164</v>
      </c>
      <c r="FM269" s="5274">
        <f t="shared" ca="1" si="406"/>
        <v>761.23053251460897</v>
      </c>
      <c r="FN269" s="5274">
        <f t="shared" ca="1" si="406"/>
        <v>753.41362604701897</v>
      </c>
      <c r="FO269" s="5274">
        <f t="shared" ca="1" si="406"/>
        <v>740.57335729611009</v>
      </c>
      <c r="FP269" s="5274">
        <f t="shared" ca="1" si="406"/>
        <v>727.42861307852786</v>
      </c>
      <c r="FQ269" s="5274">
        <f t="shared" ca="1" si="406"/>
        <v>714.01571365167854</v>
      </c>
      <c r="FR269" s="5274">
        <f t="shared" ca="1" si="406"/>
        <v>703.11666706854783</v>
      </c>
      <c r="FS269" s="5274">
        <f t="shared" ca="1" si="406"/>
        <v>690.05463683874552</v>
      </c>
      <c r="FT269" s="5274">
        <f t="shared" ca="1" si="406"/>
        <v>676.55616123893196</v>
      </c>
      <c r="FU269" s="5274">
        <f t="shared" ca="1" si="406"/>
        <v>662.80777908692983</v>
      </c>
      <c r="FV269" s="5274">
        <f t="shared" ca="1" si="406"/>
        <v>649.27420196931348</v>
      </c>
      <c r="FW269" s="5274">
        <f t="shared" ca="1" si="406"/>
        <v>635.96743500470814</v>
      </c>
      <c r="FX269" s="5274">
        <f t="shared" ca="1" si="406"/>
        <v>622.2359000706</v>
      </c>
      <c r="FY269" s="5274">
        <f t="shared" ca="1" si="406"/>
        <v>608.27825733210523</v>
      </c>
      <c r="FZ269" s="5274">
        <f t="shared" ca="1" si="406"/>
        <v>598.33160700343581</v>
      </c>
      <c r="GA269" s="5274">
        <f t="shared" ca="1" si="406"/>
        <v>584.73433272570969</v>
      </c>
      <c r="GB269" s="5274">
        <f t="shared" ca="1" si="406"/>
        <v>570.86772503040902</v>
      </c>
      <c r="GC269" s="5274">
        <f t="shared" ca="1" si="406"/>
        <v>556.80349399940053</v>
      </c>
      <c r="GD269" s="5274">
        <f t="shared" ca="1" si="406"/>
        <v>544.66620971640748</v>
      </c>
      <c r="GE269" s="5274">
        <f t="shared" ca="1" si="406"/>
        <v>531.06563689726261</v>
      </c>
      <c r="GF269" s="5274">
        <f t="shared" ca="1" si="406"/>
        <v>518.41583225018655</v>
      </c>
      <c r="GG269" s="5274">
        <f t="shared" ca="1" si="406"/>
        <v>505.61232172532925</v>
      </c>
      <c r="GH269" s="5274">
        <f t="shared" ca="1" si="406"/>
        <v>493.05231488903706</v>
      </c>
      <c r="GI269" s="5274">
        <f t="shared" ca="1" si="406"/>
        <v>480.73086029682418</v>
      </c>
      <c r="GJ269" s="5274">
        <f t="shared" ca="1" si="406"/>
        <v>478.85846746367594</v>
      </c>
      <c r="GK269" s="5274">
        <f t="shared" ca="1" si="406"/>
        <v>476.90352036740296</v>
      </c>
      <c r="GL269" s="5274">
        <f t="shared" ca="1" si="406"/>
        <v>477.05857090474905</v>
      </c>
      <c r="GM269" s="5274">
        <f t="shared" ca="1" si="406"/>
        <v>474.72789991160533</v>
      </c>
      <c r="GN269" s="5274">
        <f t="shared" ca="1" si="406"/>
        <v>464.43278946707358</v>
      </c>
      <c r="GO269" s="5274">
        <f t="shared" ca="1" si="406"/>
        <v>454.03982132744301</v>
      </c>
      <c r="GP269" s="5274">
        <f t="shared" ca="1" si="406"/>
        <v>444.91975948858033</v>
      </c>
      <c r="GQ269" s="5274">
        <f t="shared" ca="1" si="406"/>
        <v>434.79428889970086</v>
      </c>
      <c r="GR269" s="5274">
        <f t="shared" ca="1" si="406"/>
        <v>423.52264480282957</v>
      </c>
      <c r="GS269" s="5274">
        <f t="shared" ca="1" si="406"/>
        <v>412.18790369174189</v>
      </c>
      <c r="GT269" s="5274">
        <f t="shared" ca="1" si="406"/>
        <v>401.02573408824986</v>
      </c>
      <c r="GU269" s="5274">
        <f t="shared" ca="1" si="406"/>
        <v>390.13755655477621</v>
      </c>
      <c r="GV269" s="5274">
        <f t="shared" ca="1" si="406"/>
        <v>378.5913328226585</v>
      </c>
      <c r="GW269" s="5274">
        <f t="shared" ca="1" si="406"/>
        <v>367.03161280981641</v>
      </c>
      <c r="GX269" s="5274">
        <f t="shared" ca="1" si="406"/>
        <v>357.47407348867972</v>
      </c>
      <c r="GY269" s="5274">
        <f t="shared" ca="1" si="406"/>
        <v>346.37998774216629</v>
      </c>
      <c r="GZ269" s="5274">
        <f t="shared" ca="1" si="406"/>
        <v>336.94002103095465</v>
      </c>
      <c r="HA269" s="5274">
        <f t="shared" ca="1" si="406"/>
        <v>327.49840790968068</v>
      </c>
      <c r="HB269" s="5274">
        <f t="shared" ca="1" si="406"/>
        <v>318.89804737769146</v>
      </c>
      <c r="HC269" s="5274">
        <f t="shared" ca="1" si="406"/>
        <v>309.8095941034972</v>
      </c>
      <c r="HD269" s="5274">
        <f t="shared" ca="1" si="406"/>
        <v>299.17087743057311</v>
      </c>
      <c r="HE269" s="5274">
        <f t="shared" ca="1" si="406"/>
        <v>288.63012951046488</v>
      </c>
      <c r="HF269" s="5274">
        <f t="shared" ca="1" si="406"/>
        <v>278.47591114776134</v>
      </c>
      <c r="HG269" s="5274">
        <f t="shared" ca="1" si="406"/>
        <v>268.63233803033114</v>
      </c>
      <c r="HH269" s="5274">
        <f t="shared" ca="1" si="406"/>
        <v>258.44916394217034</v>
      </c>
      <c r="HI269" s="5274">
        <f t="shared" ca="1" si="406"/>
        <v>248.46107546685306</v>
      </c>
      <c r="HJ269" s="5274">
        <f t="shared" ca="1" si="406"/>
        <v>239.70577947425764</v>
      </c>
      <c r="HK269" s="5274">
        <f t="shared" ca="1" si="406"/>
        <v>230.5145925477467</v>
      </c>
      <c r="HL269" s="5274">
        <f t="shared" ca="1" si="406"/>
        <v>221.55728486414773</v>
      </c>
      <c r="HM269" s="5274">
        <f t="shared" ca="1" si="406"/>
        <v>212.8885790201617</v>
      </c>
      <c r="HN269" s="5274">
        <f t="shared" ca="1" si="406"/>
        <v>205.01529579722319</v>
      </c>
      <c r="HO269" s="5274">
        <f t="shared" ca="1" si="406"/>
        <v>197.30737259948222</v>
      </c>
      <c r="HP269" s="5274">
        <f t="shared" ca="1" si="406"/>
        <v>190.21371218737019</v>
      </c>
      <c r="HQ269" s="5274">
        <f t="shared" ca="1" si="406"/>
        <v>183.47843739870947</v>
      </c>
      <c r="HR269" s="5274">
        <f t="shared" ca="1" si="406"/>
        <v>177.32659150940592</v>
      </c>
      <c r="HS269" s="5274">
        <f t="shared" ca="1" si="406"/>
        <v>171.61382874235304</v>
      </c>
      <c r="HT269" s="5274">
        <f t="shared" ca="1" si="406"/>
        <v>166.17015461363971</v>
      </c>
      <c r="HU269" s="5274">
        <f t="shared" ref="HU269:IA269" ca="1" si="407">HU14/100</f>
        <v>161.2312311906652</v>
      </c>
      <c r="HV269" s="5274">
        <f t="shared" ca="1" si="407"/>
        <v>157.03040613094009</v>
      </c>
      <c r="HW269" s="5274">
        <f t="shared" ca="1" si="407"/>
        <v>153.30973430110495</v>
      </c>
      <c r="HX269" s="5274">
        <f t="shared" ca="1" si="407"/>
        <v>150.98374877798037</v>
      </c>
      <c r="HY269" s="5274">
        <f t="shared" ca="1" si="407"/>
        <v>148.91289991213208</v>
      </c>
      <c r="HZ269" s="5274">
        <f t="shared" ca="1" si="407"/>
        <v>146.87045420264957</v>
      </c>
      <c r="IA269" s="5274">
        <f t="shared" ca="1" si="407"/>
        <v>144.89813920523355</v>
      </c>
    </row>
    <row r="270" spans="2:235">
      <c r="G270" s="2521" t="s">
        <v>3993</v>
      </c>
      <c r="H270" s="2677"/>
      <c r="I270" s="5067"/>
      <c r="J270" s="5069"/>
      <c r="K270" s="5069"/>
      <c r="L270" s="5069"/>
      <c r="M270" s="5069"/>
      <c r="N270" s="5069"/>
      <c r="O270" s="5069"/>
      <c r="P270" s="5069"/>
      <c r="Q270" s="5069"/>
      <c r="R270" s="5069"/>
      <c r="S270" s="5069"/>
      <c r="T270" s="5069"/>
      <c r="U270" s="5069"/>
      <c r="V270" s="5070"/>
      <c r="W270" s="5072">
        <f t="shared" ref="W270:BB270" si="408">W15/100</f>
        <v>0</v>
      </c>
      <c r="X270" s="5072">
        <f t="shared" si="408"/>
        <v>0</v>
      </c>
      <c r="Y270" s="5072">
        <f t="shared" si="408"/>
        <v>0</v>
      </c>
      <c r="Z270" s="5072">
        <f t="shared" si="408"/>
        <v>0</v>
      </c>
      <c r="AA270" s="5072">
        <f t="shared" si="408"/>
        <v>0</v>
      </c>
      <c r="AB270" s="5072">
        <f t="shared" si="408"/>
        <v>0</v>
      </c>
      <c r="AC270" s="5320">
        <f t="shared" si="408"/>
        <v>0</v>
      </c>
      <c r="AD270" s="5320">
        <f t="shared" si="408"/>
        <v>0</v>
      </c>
      <c r="AE270" s="5320">
        <f t="shared" si="408"/>
        <v>0</v>
      </c>
      <c r="AF270" s="5320">
        <f t="shared" si="408"/>
        <v>0</v>
      </c>
      <c r="AG270" s="5320">
        <f t="shared" si="408"/>
        <v>0</v>
      </c>
      <c r="AH270" s="5320">
        <f t="shared" si="408"/>
        <v>0</v>
      </c>
      <c r="AI270" s="5320">
        <f t="shared" si="408"/>
        <v>0</v>
      </c>
      <c r="AJ270" s="5320">
        <f t="shared" si="408"/>
        <v>2345.6031520982815</v>
      </c>
      <c r="AK270" s="5320">
        <f t="shared" si="408"/>
        <v>2310.840205711987</v>
      </c>
      <c r="AL270" s="5320">
        <f t="shared" si="408"/>
        <v>2298.0289417503623</v>
      </c>
      <c r="AM270" s="5320">
        <f t="shared" si="408"/>
        <v>2267.0478148267539</v>
      </c>
      <c r="AN270" s="5320">
        <f t="shared" si="408"/>
        <v>2261.3046311521907</v>
      </c>
      <c r="AO270" s="5320">
        <f t="shared" si="408"/>
        <v>2219.7135159500231</v>
      </c>
      <c r="AP270" s="5320">
        <f t="shared" si="408"/>
        <v>2230.8823049869798</v>
      </c>
      <c r="AQ270" s="5320">
        <f t="shared" si="408"/>
        <v>2202.672213087917</v>
      </c>
      <c r="AR270" s="5320">
        <f t="shared" si="408"/>
        <v>2187.320219245003</v>
      </c>
      <c r="AS270" s="5320">
        <f t="shared" si="408"/>
        <v>2155.4712488963942</v>
      </c>
      <c r="AT270" s="5320">
        <f t="shared" si="408"/>
        <v>2135.022250058063</v>
      </c>
      <c r="AU270" s="5320">
        <f t="shared" si="408"/>
        <v>2098.6026117702918</v>
      </c>
      <c r="AV270" s="5320">
        <f t="shared" si="408"/>
        <v>2081.706104366423</v>
      </c>
      <c r="AW270" s="5320">
        <f t="shared" si="408"/>
        <v>2038.2293209247905</v>
      </c>
      <c r="AX270" s="5320">
        <f t="shared" si="408"/>
        <v>2019.5348010746059</v>
      </c>
      <c r="AY270" s="5320">
        <f t="shared" si="408"/>
        <v>1980.6668693049726</v>
      </c>
      <c r="AZ270" s="5320">
        <f t="shared" si="408"/>
        <v>1996.844804540423</v>
      </c>
      <c r="BA270" s="5320">
        <f t="shared" si="408"/>
        <v>1993.2188325769018</v>
      </c>
      <c r="BB270" s="5320">
        <f t="shared" si="408"/>
        <v>2014.8564769588099</v>
      </c>
      <c r="BC270" s="5320">
        <f t="shared" ref="BC270:CH270" si="409">BC15/100</f>
        <v>2017.593558287854</v>
      </c>
      <c r="BD270" s="5320">
        <f t="shared" si="409"/>
        <v>2008.2785906618258</v>
      </c>
      <c r="BE270" s="5320">
        <f t="shared" si="409"/>
        <v>1982.7024601427984</v>
      </c>
      <c r="BF270" s="5320">
        <f t="shared" si="409"/>
        <v>1981.9586295000606</v>
      </c>
      <c r="BG270" s="5320">
        <f t="shared" si="409"/>
        <v>1973.465605479631</v>
      </c>
      <c r="BH270" s="5320">
        <f t="shared" si="409"/>
        <v>1952.2688594059991</v>
      </c>
      <c r="BI270" s="5320">
        <f t="shared" si="409"/>
        <v>1930.6732354143046</v>
      </c>
      <c r="BJ270" s="5320">
        <f t="shared" si="409"/>
        <v>1916.0599387813795</v>
      </c>
      <c r="BK270" s="5320">
        <f t="shared" si="409"/>
        <v>1897.4237957871039</v>
      </c>
      <c r="BL270" s="5320">
        <f t="shared" si="409"/>
        <v>1891.8955723334934</v>
      </c>
      <c r="BM270" s="5320">
        <f t="shared" si="409"/>
        <v>1874.4335289065896</v>
      </c>
      <c r="BN270" s="5320">
        <f t="shared" si="409"/>
        <v>1881.2069366825349</v>
      </c>
      <c r="BO270" s="5320">
        <f t="shared" si="409"/>
        <v>1857.9754132145995</v>
      </c>
      <c r="BP270" s="5320">
        <f t="shared" si="409"/>
        <v>1858.8105739303105</v>
      </c>
      <c r="BQ270" s="5320">
        <f t="shared" si="409"/>
        <v>1834.1529485924621</v>
      </c>
      <c r="BR270" s="5320">
        <f t="shared" si="409"/>
        <v>1839.9924186228079</v>
      </c>
      <c r="BS270" s="5320">
        <f t="shared" si="409"/>
        <v>1825.1748023313394</v>
      </c>
      <c r="BT270" s="5320">
        <f t="shared" si="409"/>
        <v>1841.5674596397905</v>
      </c>
      <c r="BU270" s="5320">
        <f t="shared" si="409"/>
        <v>1808.2568673323115</v>
      </c>
      <c r="BV270" s="5320">
        <f t="shared" si="409"/>
        <v>1801.6177652898907</v>
      </c>
      <c r="BW270" s="5320">
        <f t="shared" si="409"/>
        <v>1798.0145817887542</v>
      </c>
      <c r="BX270" s="5320">
        <f t="shared" si="409"/>
        <v>1790.2952461495358</v>
      </c>
      <c r="BY270" s="5320">
        <f t="shared" si="409"/>
        <v>1775.2430064427508</v>
      </c>
      <c r="BZ270" s="5320">
        <f t="shared" si="409"/>
        <v>1877.3378561840516</v>
      </c>
      <c r="CA270" s="5320">
        <f t="shared" si="409"/>
        <v>1858.6343682746699</v>
      </c>
      <c r="CB270" s="5320">
        <f t="shared" si="409"/>
        <v>1863.8442060926673</v>
      </c>
      <c r="CC270" s="5320">
        <f t="shared" si="409"/>
        <v>1841.6796431133098</v>
      </c>
      <c r="CD270" s="5320">
        <f t="shared" si="409"/>
        <v>1825.965142534754</v>
      </c>
      <c r="CE270" s="5320">
        <f t="shared" si="409"/>
        <v>1815.7786509157561</v>
      </c>
      <c r="CF270" s="5320">
        <f t="shared" si="409"/>
        <v>1820.9313569715011</v>
      </c>
      <c r="CG270" s="5320">
        <f t="shared" si="409"/>
        <v>1820.7491980789093</v>
      </c>
      <c r="CH270" s="2678">
        <f t="shared" ca="1" si="409"/>
        <v>1709.2348028574943</v>
      </c>
      <c r="CI270" s="2678">
        <f t="shared" ref="CI270:CV270" ca="1" si="410">CI15/100</f>
        <v>1701.6370878400216</v>
      </c>
      <c r="CJ270" s="2678">
        <f t="shared" ca="1" si="410"/>
        <v>1693.5052612813465</v>
      </c>
      <c r="CK270" s="2678">
        <f t="shared" ca="1" si="410"/>
        <v>1684.7039231476965</v>
      </c>
      <c r="CL270" s="2678">
        <f t="shared" ca="1" si="410"/>
        <v>1662.697324603824</v>
      </c>
      <c r="CM270" s="2678">
        <f t="shared" ca="1" si="410"/>
        <v>1654.388914842194</v>
      </c>
      <c r="CN270" s="2678">
        <f t="shared" ca="1" si="410"/>
        <v>1646.0230480377554</v>
      </c>
      <c r="CO270" s="2678">
        <f t="shared" ca="1" si="410"/>
        <v>1637.0209110231406</v>
      </c>
      <c r="CP270" s="2678">
        <f t="shared" ca="1" si="410"/>
        <v>1647.7468561851833</v>
      </c>
      <c r="CQ270" s="2678">
        <f t="shared" ca="1" si="410"/>
        <v>1638.9950316149343</v>
      </c>
      <c r="CR270" s="2678">
        <f t="shared" ca="1" si="410"/>
        <v>1631.2918512925949</v>
      </c>
      <c r="CS270" s="2678">
        <f t="shared" ca="1" si="410"/>
        <v>1623.0111774177399</v>
      </c>
      <c r="CT270" s="2678">
        <f t="shared" ca="1" si="410"/>
        <v>1646.909157135904</v>
      </c>
      <c r="CU270" s="2678">
        <f t="shared" ca="1" si="410"/>
        <v>1638.8016588498501</v>
      </c>
      <c r="CV270" s="2678">
        <f t="shared" ca="1" si="410"/>
        <v>1627.9591918208985</v>
      </c>
      <c r="CW270" s="2678">
        <f t="shared" ref="CW270:FH270" ca="1" si="411">CW15/100</f>
        <v>1616.4567941948599</v>
      </c>
      <c r="CX270" s="2678">
        <f t="shared" ca="1" si="411"/>
        <v>1498.1384418693165</v>
      </c>
      <c r="CY270" s="2678">
        <f t="shared" ca="1" si="411"/>
        <v>1488.0287113724357</v>
      </c>
      <c r="CZ270" s="2678">
        <f t="shared" ca="1" si="411"/>
        <v>1477.8878361196289</v>
      </c>
      <c r="DA270" s="2678">
        <f t="shared" ca="1" si="411"/>
        <v>1467.1609090588945</v>
      </c>
      <c r="DB270" s="2678">
        <f t="shared" ca="1" si="411"/>
        <v>1298.6200199100742</v>
      </c>
      <c r="DC270" s="2678">
        <f t="shared" ca="1" si="411"/>
        <v>1289.7350385328259</v>
      </c>
      <c r="DD270" s="2678">
        <f t="shared" ca="1" si="411"/>
        <v>1282.1020219565894</v>
      </c>
      <c r="DE270" s="2678">
        <f t="shared" ca="1" si="411"/>
        <v>1274.0219884714079</v>
      </c>
      <c r="DF270" s="2678">
        <f t="shared" ca="1" si="411"/>
        <v>1192.8809713280107</v>
      </c>
      <c r="DG270" s="2678">
        <f t="shared" ca="1" si="411"/>
        <v>1185.6857002624843</v>
      </c>
      <c r="DH270" s="2678">
        <f t="shared" ca="1" si="411"/>
        <v>1197.0441380705913</v>
      </c>
      <c r="DI270" s="2678">
        <f t="shared" ca="1" si="411"/>
        <v>1208.643859596229</v>
      </c>
      <c r="DJ270" s="2678">
        <f t="shared" ca="1" si="411"/>
        <v>1208.4133360040616</v>
      </c>
      <c r="DK270" s="2678">
        <f t="shared" ca="1" si="411"/>
        <v>1219.7641645468489</v>
      </c>
      <c r="DL270" s="2678">
        <f t="shared" ca="1" si="411"/>
        <v>1216.6753675303969</v>
      </c>
      <c r="DM270" s="2678">
        <f t="shared" ca="1" si="411"/>
        <v>1213.3459706371493</v>
      </c>
      <c r="DN270" s="2678">
        <f t="shared" ca="1" si="411"/>
        <v>1224.1601108453299</v>
      </c>
      <c r="DO270" s="2678">
        <f t="shared" ca="1" si="411"/>
        <v>1220.9762881534014</v>
      </c>
      <c r="DP270" s="2678">
        <f t="shared" ca="1" si="411"/>
        <v>1214.721327247682</v>
      </c>
      <c r="DQ270" s="2678">
        <f t="shared" ca="1" si="411"/>
        <v>1208.1377735898741</v>
      </c>
      <c r="DR270" s="2678">
        <f t="shared" ca="1" si="411"/>
        <v>1224.4282610862542</v>
      </c>
      <c r="DS270" s="2678">
        <f t="shared" ca="1" si="411"/>
        <v>1217.952244760038</v>
      </c>
      <c r="DT270" s="2678">
        <f t="shared" ca="1" si="411"/>
        <v>1210.0287002938085</v>
      </c>
      <c r="DU270" s="2678">
        <f t="shared" ca="1" si="411"/>
        <v>1201.7405107098284</v>
      </c>
      <c r="DV270" s="2678">
        <f t="shared" ca="1" si="411"/>
        <v>1204.7885218090437</v>
      </c>
      <c r="DW270" s="5274">
        <f t="shared" ca="1" si="411"/>
        <v>1196.6967399547905</v>
      </c>
      <c r="DX270" s="5274">
        <f t="shared" ca="1" si="411"/>
        <v>1194.0920328507164</v>
      </c>
      <c r="DY270" s="5274">
        <f t="shared" ca="1" si="411"/>
        <v>1191.3123636428575</v>
      </c>
      <c r="DZ270" s="5274">
        <f t="shared" ca="1" si="411"/>
        <v>1190.8125461394209</v>
      </c>
      <c r="EA270" s="5274">
        <f t="shared" ca="1" si="411"/>
        <v>1188.1772293231445</v>
      </c>
      <c r="EB270" s="5274">
        <f t="shared" ca="1" si="411"/>
        <v>1179.4386943694587</v>
      </c>
      <c r="EC270" s="5274">
        <f t="shared" ca="1" si="411"/>
        <v>1170.3480462645857</v>
      </c>
      <c r="ED270" s="5274">
        <f t="shared" ca="1" si="411"/>
        <v>1170.2897010216786</v>
      </c>
      <c r="EE270" s="5274">
        <f t="shared" ca="1" si="411"/>
        <v>1161.4149028084312</v>
      </c>
      <c r="EF270" s="5274">
        <f t="shared" ca="1" si="411"/>
        <v>1150.6410114613702</v>
      </c>
      <c r="EG270" s="5274">
        <f t="shared" ca="1" si="411"/>
        <v>1139.4724464788483</v>
      </c>
      <c r="EH270" s="5274">
        <f t="shared" ca="1" si="411"/>
        <v>1132.8827026098068</v>
      </c>
      <c r="EI270" s="5274">
        <f t="shared" ca="1" si="411"/>
        <v>1122.0064262336364</v>
      </c>
      <c r="EJ270" s="5274">
        <f t="shared" ca="1" si="411"/>
        <v>1110.2428457043693</v>
      </c>
      <c r="EK270" s="5274">
        <f t="shared" ca="1" si="411"/>
        <v>1098.0765293119821</v>
      </c>
      <c r="EL270" s="5274">
        <f t="shared" ca="1" si="411"/>
        <v>1086.3595004123881</v>
      </c>
      <c r="EM270" s="5274">
        <f t="shared" ca="1" si="411"/>
        <v>1074.5542746534429</v>
      </c>
      <c r="EN270" s="5274">
        <f t="shared" ca="1" si="411"/>
        <v>1062.5837834960057</v>
      </c>
      <c r="EO270" s="5274">
        <f t="shared" ca="1" si="411"/>
        <v>1050.2265349288218</v>
      </c>
      <c r="EP270" s="5274">
        <f t="shared" ca="1" si="411"/>
        <v>1045.7538520278104</v>
      </c>
      <c r="EQ270" s="5274">
        <f t="shared" ca="1" si="411"/>
        <v>1033.6509194947573</v>
      </c>
      <c r="ER270" s="5274">
        <f t="shared" ca="1" si="411"/>
        <v>1021.4227391615793</v>
      </c>
      <c r="ES270" s="5274">
        <f t="shared" ca="1" si="411"/>
        <v>1008.8215800711303</v>
      </c>
      <c r="ET270" s="5274">
        <f t="shared" ca="1" si="411"/>
        <v>1000.0859445276924</v>
      </c>
      <c r="EU270" s="5274">
        <f t="shared" ca="1" si="411"/>
        <v>987.79496221345335</v>
      </c>
      <c r="EV270" s="5274">
        <f t="shared" ca="1" si="411"/>
        <v>976.94475691766911</v>
      </c>
      <c r="EW270" s="5274">
        <f t="shared" ca="1" si="411"/>
        <v>965.77887305020204</v>
      </c>
      <c r="EX270" s="5274">
        <f t="shared" ca="1" si="411"/>
        <v>954.80720896451817</v>
      </c>
      <c r="EY270" s="5274">
        <f t="shared" ca="1" si="411"/>
        <v>943.95036672349579</v>
      </c>
      <c r="EZ270" s="5274">
        <f t="shared" ca="1" si="411"/>
        <v>931.21614327806003</v>
      </c>
      <c r="FA270" s="5274">
        <f t="shared" ca="1" si="411"/>
        <v>918.13771554673247</v>
      </c>
      <c r="FB270" s="5274">
        <f t="shared" ca="1" si="411"/>
        <v>911.66333563777619</v>
      </c>
      <c r="FC270" s="5274">
        <f t="shared" ca="1" si="411"/>
        <v>898.84706049049385</v>
      </c>
      <c r="FD270" s="5274">
        <f t="shared" ca="1" si="411"/>
        <v>887.42153623063632</v>
      </c>
      <c r="FE270" s="5274">
        <f t="shared" ca="1" si="411"/>
        <v>875.7038062515453</v>
      </c>
      <c r="FF270" s="5274">
        <f t="shared" ca="1" si="411"/>
        <v>867.08594456294156</v>
      </c>
      <c r="FG270" s="5274">
        <f t="shared" ca="1" si="411"/>
        <v>855.63736797360264</v>
      </c>
      <c r="FH270" s="5274">
        <f t="shared" ca="1" si="411"/>
        <v>842.53872047887171</v>
      </c>
      <c r="FI270" s="5274">
        <f t="shared" ref="FI270:HT270" ca="1" si="412">FI15/100</f>
        <v>829.12957403486098</v>
      </c>
      <c r="FJ270" s="5274">
        <f t="shared" ca="1" si="412"/>
        <v>815.92762468172896</v>
      </c>
      <c r="FK270" s="5274">
        <f t="shared" ca="1" si="412"/>
        <v>802.90668830691834</v>
      </c>
      <c r="FL270" s="5274">
        <f t="shared" ca="1" si="412"/>
        <v>789.97982562834977</v>
      </c>
      <c r="FM270" s="5274">
        <f t="shared" ca="1" si="412"/>
        <v>776.76838654096582</v>
      </c>
      <c r="FN270" s="5274">
        <f t="shared" ca="1" si="412"/>
        <v>768.85271713335442</v>
      </c>
      <c r="FO270" s="5274">
        <f t="shared" ca="1" si="412"/>
        <v>755.91347165880143</v>
      </c>
      <c r="FP270" s="5274">
        <f t="shared" ca="1" si="412"/>
        <v>742.6695613776842</v>
      </c>
      <c r="FQ270" s="5274">
        <f t="shared" ca="1" si="412"/>
        <v>729.15733036083338</v>
      </c>
      <c r="FR270" s="5274">
        <f t="shared" ca="1" si="412"/>
        <v>718.15880985704052</v>
      </c>
      <c r="FS270" s="5274">
        <f t="shared" ca="1" si="412"/>
        <v>704.99718596656658</v>
      </c>
      <c r="FT270" s="5274">
        <f t="shared" ca="1" si="412"/>
        <v>691.39901896380582</v>
      </c>
      <c r="FU270" s="5274">
        <f t="shared" ca="1" si="412"/>
        <v>677.55086908341138</v>
      </c>
      <c r="FV270" s="5274">
        <f t="shared" ca="1" si="412"/>
        <v>663.9174687596801</v>
      </c>
      <c r="FW270" s="5274">
        <f t="shared" ca="1" si="412"/>
        <v>650.51084340143655</v>
      </c>
      <c r="FX270" s="5274">
        <f t="shared" ca="1" si="412"/>
        <v>636.67943463021425</v>
      </c>
      <c r="FY270" s="5274">
        <f t="shared" ca="1" si="412"/>
        <v>622.62192182018828</v>
      </c>
      <c r="FZ270" s="5274">
        <f t="shared" ca="1" si="412"/>
        <v>612.57542387060346</v>
      </c>
      <c r="GA270" s="5274">
        <f t="shared" ca="1" si="412"/>
        <v>598.87834259434544</v>
      </c>
      <c r="GB270" s="5274">
        <f t="shared" ca="1" si="412"/>
        <v>584.91198619196382</v>
      </c>
      <c r="GC270" s="5274">
        <f t="shared" ca="1" si="412"/>
        <v>570.74808192206194</v>
      </c>
      <c r="GD270" s="5274">
        <f t="shared" ca="1" si="412"/>
        <v>558.51121656295288</v>
      </c>
      <c r="GE270" s="5274">
        <f t="shared" ca="1" si="412"/>
        <v>544.81117105290571</v>
      </c>
      <c r="GF270" s="5274">
        <f t="shared" ca="1" si="412"/>
        <v>532.0620178602345</v>
      </c>
      <c r="GG270" s="5274">
        <f t="shared" ca="1" si="412"/>
        <v>519.15929824247291</v>
      </c>
      <c r="GH270" s="5274">
        <f t="shared" ca="1" si="412"/>
        <v>506.50023663009227</v>
      </c>
      <c r="GI270" s="5274">
        <f t="shared" ca="1" si="412"/>
        <v>494.07989600875442</v>
      </c>
      <c r="GJ270" s="5274">
        <f t="shared" ca="1" si="412"/>
        <v>492.10879989872279</v>
      </c>
      <c r="GK270" s="5274">
        <f t="shared" ca="1" si="412"/>
        <v>490.05534586715657</v>
      </c>
      <c r="GL270" s="5274">
        <f t="shared" ca="1" si="412"/>
        <v>490.11209899299354</v>
      </c>
      <c r="GM270" s="5274">
        <f t="shared" ca="1" si="412"/>
        <v>487.68335289577703</v>
      </c>
      <c r="GN270" s="5274">
        <f t="shared" ca="1" si="412"/>
        <v>477.29040204817176</v>
      </c>
      <c r="GO270" s="5274">
        <f t="shared" ca="1" si="412"/>
        <v>466.7998402182356</v>
      </c>
      <c r="GP270" s="5274">
        <f t="shared" ca="1" si="412"/>
        <v>457.58244303995275</v>
      </c>
      <c r="GQ270" s="5274">
        <f t="shared" ca="1" si="412"/>
        <v>447.35990673499344</v>
      </c>
      <c r="GR270" s="5274">
        <f t="shared" ca="1" si="412"/>
        <v>435.99147746001756</v>
      </c>
      <c r="GS270" s="5274">
        <f t="shared" ca="1" si="412"/>
        <v>424.56024227331005</v>
      </c>
      <c r="GT270" s="5274">
        <f t="shared" ca="1" si="412"/>
        <v>413.30187991861749</v>
      </c>
      <c r="GU270" s="5274">
        <f t="shared" ca="1" si="412"/>
        <v>402.31782084513333</v>
      </c>
      <c r="GV270" s="5274">
        <f t="shared" ca="1" si="412"/>
        <v>390.67603634307233</v>
      </c>
      <c r="GW270" s="5274">
        <f t="shared" ca="1" si="412"/>
        <v>379.02108556847168</v>
      </c>
      <c r="GX270" s="5274">
        <f t="shared" ca="1" si="412"/>
        <v>369.36865441812159</v>
      </c>
      <c r="GY270" s="5274">
        <f t="shared" ca="1" si="412"/>
        <v>358.1800243924107</v>
      </c>
      <c r="GZ270" s="5274">
        <f t="shared" ca="1" si="412"/>
        <v>348.64586926933885</v>
      </c>
      <c r="HA270" s="5274">
        <f t="shared" ca="1" si="412"/>
        <v>339.11043162732642</v>
      </c>
      <c r="HB270" s="5274">
        <f t="shared" ca="1" si="412"/>
        <v>330.41661820245429</v>
      </c>
      <c r="HC270" s="5274">
        <f t="shared" ca="1" si="412"/>
        <v>321.23509111928172</v>
      </c>
      <c r="HD270" s="5274">
        <f t="shared" ca="1" si="412"/>
        <v>310.50368690289343</v>
      </c>
      <c r="HE270" s="5274">
        <f t="shared" ca="1" si="412"/>
        <v>299.87064461812776</v>
      </c>
      <c r="HF270" s="5274">
        <f t="shared" ca="1" si="412"/>
        <v>289.62453172056178</v>
      </c>
      <c r="HG270" s="5274">
        <f t="shared" ca="1" si="412"/>
        <v>279.68947029264012</v>
      </c>
      <c r="HH270" s="5274">
        <f t="shared" ca="1" si="412"/>
        <v>269.41522026230632</v>
      </c>
      <c r="HI270" s="5274">
        <f t="shared" ca="1" si="412"/>
        <v>259.33647411212633</v>
      </c>
      <c r="HJ270" s="5274">
        <f t="shared" ca="1" si="412"/>
        <v>250.49094437157743</v>
      </c>
      <c r="HK270" s="5274">
        <f t="shared" ca="1" si="412"/>
        <v>241.20995304968596</v>
      </c>
      <c r="HL270" s="5274">
        <f t="shared" ca="1" si="412"/>
        <v>232.16327552035946</v>
      </c>
      <c r="HM270" s="5274">
        <f t="shared" ca="1" si="412"/>
        <v>223.40563935404555</v>
      </c>
      <c r="HN270" s="5274">
        <f t="shared" ca="1" si="412"/>
        <v>215.44387008774197</v>
      </c>
      <c r="HO270" s="5274">
        <f t="shared" ca="1" si="412"/>
        <v>207.64790966802514</v>
      </c>
      <c r="HP270" s="5274">
        <f t="shared" ca="1" si="412"/>
        <v>200.46666518957088</v>
      </c>
      <c r="HQ270" s="5274">
        <f t="shared" ca="1" si="412"/>
        <v>193.64426362111814</v>
      </c>
      <c r="HR270" s="5274">
        <f t="shared" ca="1" si="412"/>
        <v>187.40575217092547</v>
      </c>
      <c r="HS270" s="5274">
        <f t="shared" ca="1" si="412"/>
        <v>181.60678880034322</v>
      </c>
      <c r="HT270" s="5274">
        <f t="shared" ca="1" si="412"/>
        <v>176.07738257460085</v>
      </c>
      <c r="HU270" s="5274">
        <f t="shared" ref="HU270:IA270" ca="1" si="413">HU15/100</f>
        <v>171.05319892541294</v>
      </c>
      <c r="HV270" s="5274">
        <f t="shared" ca="1" si="413"/>
        <v>166.76758869418219</v>
      </c>
      <c r="HW270" s="5274">
        <f t="shared" ca="1" si="413"/>
        <v>162.96260975533255</v>
      </c>
      <c r="HX270" s="5274">
        <f t="shared" ca="1" si="413"/>
        <v>160.69770901749609</v>
      </c>
      <c r="HY270" s="5274">
        <f t="shared" ca="1" si="413"/>
        <v>158.49362631881652</v>
      </c>
      <c r="HZ270" s="5274">
        <f t="shared" ca="1" si="413"/>
        <v>156.3197741727214</v>
      </c>
      <c r="IA270" s="5274">
        <f t="shared" ca="1" si="413"/>
        <v>154.22056479349385</v>
      </c>
    </row>
    <row r="271" spans="2:235">
      <c r="G271" s="2679"/>
      <c r="H271" s="2397"/>
      <c r="I271" s="5067"/>
      <c r="J271" s="5069"/>
      <c r="K271" s="5069"/>
      <c r="L271" s="5069"/>
      <c r="M271" s="5069"/>
      <c r="N271" s="5069"/>
      <c r="O271" s="5069"/>
      <c r="P271" s="5069"/>
      <c r="Q271" s="5069"/>
      <c r="R271" s="5069"/>
      <c r="S271" s="5069"/>
      <c r="T271" s="5069"/>
      <c r="U271" s="5069"/>
      <c r="V271" s="5070"/>
      <c r="W271" s="5073"/>
      <c r="X271" s="5073"/>
      <c r="Y271" s="5073"/>
      <c r="Z271" s="5073"/>
      <c r="AA271" s="5073"/>
      <c r="AB271" s="5073"/>
      <c r="AC271" s="5321"/>
      <c r="AD271" s="5321"/>
      <c r="AE271" s="5321"/>
      <c r="AF271" s="5321"/>
      <c r="AG271" s="5321"/>
      <c r="AH271" s="5321"/>
      <c r="AI271" s="5321"/>
      <c r="AJ271" s="5321"/>
      <c r="AK271" s="5321"/>
      <c r="AL271" s="5321"/>
      <c r="AM271" s="5321"/>
      <c r="AN271" s="5321"/>
      <c r="AO271" s="5321"/>
      <c r="AP271" s="5321"/>
      <c r="AQ271" s="5321"/>
      <c r="AR271" s="5321"/>
      <c r="AS271" s="5321"/>
      <c r="AT271" s="5321"/>
      <c r="AU271" s="5321"/>
      <c r="AV271" s="5321"/>
      <c r="AW271" s="5321"/>
      <c r="AX271" s="5321"/>
      <c r="AY271" s="5321"/>
      <c r="AZ271" s="5321"/>
      <c r="BA271" s="5321"/>
      <c r="BB271" s="5321"/>
      <c r="BC271" s="5321"/>
      <c r="BD271" s="5321"/>
      <c r="BE271" s="5321"/>
      <c r="BF271" s="5321"/>
      <c r="BG271" s="5321"/>
      <c r="BH271" s="5321"/>
      <c r="BI271" s="5321"/>
      <c r="BJ271" s="5321"/>
      <c r="BK271" s="5321"/>
      <c r="BL271" s="5321"/>
      <c r="BM271" s="5321"/>
      <c r="BN271" s="5321"/>
      <c r="BO271" s="5321"/>
      <c r="BP271" s="5321"/>
      <c r="BQ271" s="5321"/>
      <c r="BR271" s="5321"/>
      <c r="BS271" s="5321"/>
      <c r="BT271" s="5321"/>
      <c r="BU271" s="5321"/>
      <c r="BV271" s="5321"/>
      <c r="BW271" s="5321"/>
      <c r="BX271" s="5321"/>
      <c r="BY271" s="5321"/>
      <c r="BZ271" s="5321"/>
      <c r="CA271" s="5321"/>
      <c r="CB271" s="5321"/>
      <c r="CC271" s="5321"/>
      <c r="CD271" s="5321"/>
      <c r="CE271" s="5321"/>
      <c r="CF271" s="5321"/>
      <c r="CG271" s="5321"/>
      <c r="CH271" s="2680"/>
      <c r="CI271" s="2680"/>
      <c r="CJ271" s="2680"/>
      <c r="CK271" s="2680"/>
      <c r="CL271" s="2680"/>
      <c r="CM271" s="2680"/>
      <c r="CN271" s="2680"/>
      <c r="CO271" s="2680"/>
      <c r="CP271" s="2680"/>
      <c r="CQ271" s="2680"/>
      <c r="CR271" s="2680"/>
      <c r="CS271" s="2680"/>
      <c r="CT271" s="2680"/>
      <c r="CU271" s="2680"/>
      <c r="CV271" s="2680"/>
      <c r="CW271" s="2680"/>
      <c r="CX271" s="2680"/>
      <c r="CY271" s="2680"/>
      <c r="CZ271" s="2680"/>
      <c r="DA271" s="2680"/>
      <c r="DB271" s="2680"/>
      <c r="DC271" s="2680"/>
      <c r="DD271" s="2680"/>
      <c r="DE271" s="2680"/>
      <c r="DF271" s="2680"/>
      <c r="DG271" s="2680"/>
      <c r="DH271" s="2680"/>
      <c r="DI271" s="2680"/>
      <c r="DJ271" s="2680"/>
      <c r="DK271" s="2680"/>
      <c r="DL271" s="2680"/>
      <c r="DM271" s="2680"/>
      <c r="DN271" s="2680"/>
      <c r="DO271" s="2680"/>
      <c r="DP271" s="2680"/>
      <c r="DQ271" s="2680"/>
      <c r="DR271" s="2680"/>
      <c r="DS271" s="2680"/>
      <c r="DT271" s="2680"/>
      <c r="DU271" s="2680"/>
      <c r="DV271" s="2680"/>
      <c r="DW271" s="5275"/>
      <c r="DX271" s="5275"/>
      <c r="DY271" s="5275"/>
      <c r="DZ271" s="5275"/>
      <c r="EA271" s="5275"/>
      <c r="EB271" s="5275"/>
      <c r="EC271" s="5275"/>
      <c r="ED271" s="5275"/>
      <c r="EE271" s="5275"/>
      <c r="EF271" s="5275"/>
      <c r="EG271" s="5275"/>
      <c r="EH271" s="5275"/>
      <c r="EI271" s="5275"/>
      <c r="EJ271" s="5275"/>
      <c r="EK271" s="5275"/>
      <c r="EL271" s="5275"/>
      <c r="EM271" s="5275"/>
      <c r="EN271" s="5275"/>
      <c r="EO271" s="5275"/>
      <c r="EP271" s="5275"/>
      <c r="EQ271" s="5275"/>
      <c r="ER271" s="5275"/>
      <c r="ES271" s="5275"/>
      <c r="ET271" s="5275"/>
      <c r="EU271" s="5275"/>
      <c r="EV271" s="5275"/>
      <c r="EW271" s="5275"/>
      <c r="EX271" s="5275"/>
      <c r="EY271" s="5275"/>
      <c r="EZ271" s="5275"/>
      <c r="FA271" s="5275"/>
      <c r="FB271" s="5275"/>
      <c r="FC271" s="5275"/>
      <c r="FD271" s="5275"/>
      <c r="FE271" s="5275"/>
      <c r="FF271" s="5275"/>
      <c r="FG271" s="5275"/>
      <c r="FH271" s="5275"/>
      <c r="FI271" s="5275"/>
      <c r="FJ271" s="5275"/>
      <c r="FK271" s="5275"/>
      <c r="FL271" s="5275"/>
      <c r="FM271" s="5275"/>
      <c r="FN271" s="5275"/>
      <c r="FO271" s="5275"/>
      <c r="FP271" s="5275"/>
      <c r="FQ271" s="5275"/>
      <c r="FR271" s="5275"/>
      <c r="FS271" s="5275"/>
      <c r="FT271" s="5275"/>
      <c r="FU271" s="5275"/>
      <c r="FV271" s="5275"/>
      <c r="FW271" s="5275"/>
      <c r="FX271" s="5275"/>
      <c r="FY271" s="5275"/>
      <c r="FZ271" s="5275"/>
      <c r="GA271" s="5275"/>
      <c r="GB271" s="5275"/>
      <c r="GC271" s="5275"/>
      <c r="GD271" s="5275"/>
      <c r="GE271" s="5275"/>
      <c r="GF271" s="5275"/>
      <c r="GG271" s="5275"/>
      <c r="GH271" s="5275"/>
      <c r="GI271" s="5275"/>
      <c r="GJ271" s="5275"/>
      <c r="GK271" s="5275"/>
      <c r="GL271" s="5275"/>
      <c r="GM271" s="5275"/>
      <c r="GN271" s="5275"/>
      <c r="GO271" s="5275"/>
      <c r="GP271" s="5275"/>
      <c r="GQ271" s="5275"/>
      <c r="GR271" s="5275"/>
      <c r="GS271" s="5275"/>
      <c r="GT271" s="5275"/>
      <c r="GU271" s="5275"/>
      <c r="GV271" s="5275"/>
      <c r="GW271" s="5275"/>
      <c r="GX271" s="5275"/>
      <c r="GY271" s="5275"/>
      <c r="GZ271" s="5275"/>
      <c r="HA271" s="5275"/>
      <c r="HB271" s="5275"/>
      <c r="HC271" s="5275"/>
      <c r="HD271" s="5275"/>
      <c r="HE271" s="5275"/>
      <c r="HF271" s="5275"/>
      <c r="HG271" s="5275"/>
      <c r="HH271" s="5275"/>
      <c r="HI271" s="5275"/>
      <c r="HJ271" s="5275"/>
      <c r="HK271" s="5275"/>
      <c r="HL271" s="5275"/>
      <c r="HM271" s="5275"/>
      <c r="HN271" s="5275"/>
      <c r="HO271" s="5275"/>
      <c r="HP271" s="5275"/>
      <c r="HQ271" s="5275"/>
      <c r="HR271" s="5275"/>
      <c r="HS271" s="5275"/>
      <c r="HT271" s="5275"/>
      <c r="HU271" s="5275"/>
      <c r="HV271" s="5275"/>
      <c r="HW271" s="5275"/>
      <c r="HX271" s="5275"/>
      <c r="HY271" s="5275"/>
      <c r="HZ271" s="5275"/>
      <c r="IA271" s="5275"/>
    </row>
    <row r="272" spans="2:235">
      <c r="G272" s="2681"/>
      <c r="H272" s="2386"/>
      <c r="I272" s="5067"/>
      <c r="J272" s="5069"/>
      <c r="K272" s="5069"/>
      <c r="L272" s="5069"/>
      <c r="M272" s="5069"/>
      <c r="N272" s="5069"/>
      <c r="O272" s="5069"/>
      <c r="P272" s="5069"/>
      <c r="Q272" s="5069"/>
      <c r="R272" s="5069"/>
      <c r="S272" s="5069"/>
      <c r="T272" s="5069"/>
      <c r="U272" s="5069"/>
      <c r="V272" s="5070"/>
      <c r="W272" s="5074"/>
      <c r="X272" s="5074"/>
      <c r="Y272" s="5074"/>
      <c r="Z272" s="5074"/>
      <c r="AA272" s="5074"/>
      <c r="AB272" s="5074"/>
      <c r="AC272" s="5322"/>
      <c r="AD272" s="5322"/>
      <c r="AE272" s="5322"/>
      <c r="AF272" s="5322"/>
      <c r="AG272" s="5322"/>
      <c r="AH272" s="5322"/>
      <c r="AI272" s="5322"/>
      <c r="AJ272" s="5322"/>
      <c r="AK272" s="5322"/>
      <c r="AL272" s="5322"/>
      <c r="AM272" s="5322"/>
      <c r="AN272" s="5322"/>
      <c r="AO272" s="5322"/>
      <c r="AP272" s="5322"/>
      <c r="AQ272" s="5322"/>
      <c r="AR272" s="5322"/>
      <c r="AS272" s="5322"/>
      <c r="AT272" s="5322"/>
      <c r="AU272" s="5322"/>
      <c r="AV272" s="5322"/>
      <c r="AW272" s="5322"/>
      <c r="AX272" s="5322"/>
      <c r="AY272" s="5322"/>
      <c r="AZ272" s="5322"/>
      <c r="BA272" s="5322"/>
      <c r="BB272" s="5322"/>
      <c r="BC272" s="5322"/>
      <c r="BD272" s="5322"/>
      <c r="BE272" s="5322"/>
      <c r="BF272" s="5322"/>
      <c r="BG272" s="5322"/>
      <c r="BH272" s="5322"/>
      <c r="BI272" s="5322"/>
      <c r="BJ272" s="5322"/>
      <c r="BK272" s="5322"/>
      <c r="BL272" s="5322"/>
      <c r="BM272" s="5322"/>
      <c r="BN272" s="5322"/>
      <c r="BO272" s="5322"/>
      <c r="BP272" s="5322"/>
      <c r="BQ272" s="5322"/>
      <c r="BR272" s="5322"/>
      <c r="BS272" s="5322"/>
      <c r="BT272" s="5322"/>
      <c r="BU272" s="5322"/>
      <c r="BV272" s="5322"/>
      <c r="BW272" s="5322"/>
      <c r="BX272" s="5322"/>
      <c r="BY272" s="5322"/>
      <c r="BZ272" s="5322"/>
      <c r="CA272" s="5322"/>
      <c r="CB272" s="5322"/>
      <c r="CC272" s="5322"/>
      <c r="CD272" s="5322"/>
      <c r="CE272" s="5322"/>
      <c r="CF272" s="5322"/>
      <c r="CG272" s="5322"/>
      <c r="CH272" s="2682"/>
      <c r="CI272" s="2682"/>
      <c r="CJ272" s="2682"/>
      <c r="CK272" s="2682"/>
      <c r="CL272" s="2682"/>
      <c r="CM272" s="2682"/>
      <c r="CN272" s="2682"/>
      <c r="CO272" s="2682"/>
      <c r="CP272" s="2682"/>
      <c r="CQ272" s="2682"/>
      <c r="CR272" s="2682"/>
      <c r="CS272" s="2682"/>
      <c r="CT272" s="2682"/>
      <c r="CU272" s="2682"/>
      <c r="CV272" s="2682"/>
      <c r="CW272" s="2682"/>
      <c r="CX272" s="2682"/>
      <c r="CY272" s="2682"/>
      <c r="CZ272" s="2682"/>
      <c r="DA272" s="2682"/>
      <c r="DB272" s="2682"/>
      <c r="DC272" s="2682"/>
      <c r="DD272" s="2682"/>
      <c r="DE272" s="2682"/>
      <c r="DF272" s="2682"/>
      <c r="DG272" s="2682"/>
      <c r="DH272" s="2682"/>
      <c r="DI272" s="2682"/>
      <c r="DJ272" s="2682"/>
      <c r="DK272" s="2682"/>
      <c r="DL272" s="2682"/>
      <c r="DM272" s="2682"/>
      <c r="DN272" s="2682"/>
      <c r="DO272" s="2682"/>
      <c r="DP272" s="2682"/>
      <c r="DQ272" s="2682"/>
      <c r="DR272" s="2682"/>
      <c r="DS272" s="2682"/>
      <c r="DT272" s="2682"/>
      <c r="DU272" s="2682"/>
      <c r="DV272" s="2682"/>
      <c r="DW272" s="2682"/>
      <c r="DX272" s="2682"/>
      <c r="DY272" s="2682"/>
      <c r="DZ272" s="2682"/>
      <c r="EA272" s="2682"/>
      <c r="EB272" s="2682"/>
      <c r="EC272" s="2682"/>
      <c r="ED272" s="2682"/>
      <c r="EE272" s="2682"/>
      <c r="EF272" s="2682"/>
      <c r="EG272" s="2682"/>
      <c r="EH272" s="2682"/>
      <c r="EI272" s="2682"/>
      <c r="EJ272" s="2682"/>
      <c r="EK272" s="2682"/>
      <c r="EL272" s="2682"/>
      <c r="EM272" s="2682"/>
      <c r="EN272" s="2682"/>
      <c r="EO272" s="2682"/>
      <c r="EP272" s="2682"/>
      <c r="EQ272" s="2682"/>
      <c r="ER272" s="2682"/>
      <c r="ES272" s="2682"/>
      <c r="ET272" s="2682"/>
      <c r="EU272" s="2682"/>
      <c r="EV272" s="2682"/>
      <c r="EW272" s="2682"/>
      <c r="EX272" s="2682"/>
      <c r="EY272" s="2682"/>
      <c r="EZ272" s="2682"/>
      <c r="FA272" s="2682"/>
      <c r="FB272" s="2682"/>
      <c r="FC272" s="2682"/>
      <c r="FD272" s="2682"/>
      <c r="FE272" s="2682"/>
      <c r="FF272" s="2682"/>
      <c r="FG272" s="2682"/>
      <c r="FH272" s="2682"/>
      <c r="FI272" s="2682"/>
      <c r="FJ272" s="2682"/>
      <c r="FK272" s="2682"/>
      <c r="FL272" s="2682"/>
      <c r="FM272" s="2682"/>
      <c r="FN272" s="2682"/>
      <c r="FO272" s="2682"/>
      <c r="FP272" s="2682"/>
      <c r="FQ272" s="2682"/>
      <c r="FR272" s="2682"/>
      <c r="FS272" s="2682"/>
      <c r="FT272" s="2682"/>
      <c r="FU272" s="2682"/>
      <c r="FV272" s="2682"/>
      <c r="FW272" s="2682"/>
      <c r="FX272" s="2682"/>
      <c r="FY272" s="2682"/>
      <c r="FZ272" s="2682"/>
      <c r="GA272" s="2682"/>
      <c r="GB272" s="2682"/>
      <c r="GC272" s="2682"/>
      <c r="GD272" s="2682"/>
      <c r="GE272" s="2682"/>
      <c r="GF272" s="2682"/>
      <c r="GG272" s="2682"/>
      <c r="GH272" s="2682"/>
      <c r="GI272" s="2682"/>
      <c r="GJ272" s="2682"/>
      <c r="GK272" s="2682"/>
      <c r="GL272" s="2682"/>
      <c r="GM272" s="2682"/>
      <c r="GN272" s="2682"/>
      <c r="GO272" s="2682"/>
      <c r="GP272" s="2682"/>
      <c r="GQ272" s="2682"/>
      <c r="GR272" s="2682"/>
      <c r="GS272" s="2682"/>
      <c r="GT272" s="2682"/>
      <c r="GU272" s="2682"/>
      <c r="GV272" s="2682"/>
      <c r="GW272" s="2682"/>
      <c r="GX272" s="2682"/>
      <c r="GY272" s="2682"/>
      <c r="GZ272" s="2682"/>
      <c r="HA272" s="2682"/>
      <c r="HB272" s="2682"/>
      <c r="HC272" s="2682"/>
      <c r="HD272" s="2682"/>
      <c r="HE272" s="2682"/>
      <c r="HF272" s="2682"/>
      <c r="HG272" s="2682"/>
      <c r="HH272" s="2682"/>
      <c r="HI272" s="2682"/>
      <c r="HJ272" s="2682"/>
      <c r="HK272" s="2682"/>
      <c r="HL272" s="2682"/>
      <c r="HM272" s="2682"/>
      <c r="HN272" s="2682"/>
      <c r="HO272" s="2682"/>
      <c r="HP272" s="2682"/>
      <c r="HQ272" s="2682"/>
      <c r="HR272" s="2682"/>
      <c r="HS272" s="2682"/>
      <c r="HT272" s="2682"/>
      <c r="HU272" s="2682"/>
      <c r="HV272" s="2682"/>
      <c r="HW272" s="2682"/>
      <c r="HX272" s="2682"/>
      <c r="HY272" s="2682"/>
      <c r="HZ272" s="2682"/>
      <c r="IA272" s="2682"/>
    </row>
    <row r="273" spans="7:235">
      <c r="G273" s="2683" t="s">
        <v>3994</v>
      </c>
      <c r="H273" s="2493"/>
      <c r="I273" s="5067"/>
      <c r="J273" s="5069"/>
      <c r="K273" s="5069"/>
      <c r="L273" s="5069"/>
      <c r="M273" s="5069"/>
      <c r="N273" s="5069"/>
      <c r="O273" s="5069"/>
      <c r="P273" s="5069"/>
      <c r="Q273" s="5069"/>
      <c r="R273" s="5069"/>
      <c r="S273" s="5069"/>
      <c r="T273" s="5069"/>
      <c r="U273" s="5069"/>
      <c r="V273" s="5070"/>
      <c r="W273" s="5075"/>
      <c r="X273" s="5075"/>
      <c r="Y273" s="5075"/>
      <c r="Z273" s="5075"/>
      <c r="AA273" s="5075"/>
      <c r="AB273" s="5075"/>
      <c r="AC273" s="5323"/>
      <c r="AD273" s="5323"/>
      <c r="AE273" s="5323"/>
      <c r="AF273" s="5323"/>
      <c r="AG273" s="5323"/>
      <c r="AH273" s="5323"/>
      <c r="AI273" s="5323"/>
      <c r="AJ273" s="5323"/>
      <c r="AK273" s="5323"/>
      <c r="AL273" s="5323"/>
      <c r="AM273" s="5323"/>
      <c r="AN273" s="5323"/>
      <c r="AO273" s="5323"/>
      <c r="AP273" s="5323"/>
      <c r="AQ273" s="5323"/>
      <c r="AR273" s="5323"/>
      <c r="AS273" s="5323"/>
      <c r="AT273" s="5323"/>
      <c r="AU273" s="5323"/>
      <c r="AV273" s="5323"/>
      <c r="AW273" s="5323"/>
      <c r="AX273" s="5323"/>
      <c r="AY273" s="5323"/>
      <c r="AZ273" s="5323"/>
      <c r="BA273" s="5323"/>
      <c r="BB273" s="5323"/>
      <c r="BC273" s="5323"/>
      <c r="BD273" s="5323"/>
      <c r="BE273" s="5323"/>
      <c r="BF273" s="5323"/>
      <c r="BG273" s="5323"/>
      <c r="BH273" s="5323"/>
      <c r="BI273" s="5323"/>
      <c r="BJ273" s="5323"/>
      <c r="BK273" s="5323"/>
      <c r="BL273" s="5323"/>
      <c r="BM273" s="5323"/>
      <c r="BN273" s="5323"/>
      <c r="BO273" s="5323"/>
      <c r="BP273" s="5323"/>
      <c r="BQ273" s="5323"/>
      <c r="BR273" s="5323"/>
      <c r="BS273" s="5323"/>
      <c r="BT273" s="5323"/>
      <c r="BU273" s="5323"/>
      <c r="BV273" s="5323"/>
      <c r="BW273" s="5323"/>
      <c r="BX273" s="5323"/>
      <c r="BY273" s="5323"/>
      <c r="BZ273" s="5323"/>
      <c r="CA273" s="5323"/>
      <c r="CB273" s="5323"/>
      <c r="CC273" s="5323"/>
      <c r="CD273" s="5323"/>
      <c r="CE273" s="5323"/>
      <c r="CF273" s="5323"/>
      <c r="CG273" s="5323"/>
      <c r="CH273" s="2684">
        <f>SUMIFS(BS!$45:$45,BS!$7:$7,'TP(분기)'!CH265)</f>
        <v>574</v>
      </c>
      <c r="CI273" s="2684">
        <f>SUMIFS(BS!$45:$45,BS!$7:$7,'TP(분기)'!CI265)</f>
        <v>574</v>
      </c>
      <c r="CJ273" s="2684">
        <f>SUMIFS(BS!$45:$45,BS!$7:$7,'TP(분기)'!CJ265)</f>
        <v>574</v>
      </c>
      <c r="CK273" s="2684">
        <f>SUMIFS(BS!$45:$45,BS!$7:$7,'TP(분기)'!CK265)</f>
        <v>574</v>
      </c>
      <c r="CL273" s="2684">
        <f>SUMIFS(BS!$45:$45,BS!$7:$7,'TP(분기)'!CL265)</f>
        <v>574</v>
      </c>
      <c r="CM273" s="2684">
        <f>SUMIFS(BS!$45:$45,BS!$7:$7,'TP(분기)'!CM265)</f>
        <v>574</v>
      </c>
      <c r="CN273" s="2684">
        <f>SUMIFS(BS!$45:$45,BS!$7:$7,'TP(분기)'!CN265)</f>
        <v>574</v>
      </c>
      <c r="CO273" s="2684">
        <f>SUMIFS(BS!$45:$45,BS!$7:$7,'TP(분기)'!CO265)</f>
        <v>574</v>
      </c>
      <c r="CP273" s="2684">
        <f>SUMIFS(BS!$45:$45,BS!$7:$7,'TP(분기)'!CP265)</f>
        <v>574</v>
      </c>
      <c r="CQ273" s="2684">
        <f>SUMIFS(BS!$45:$45,BS!$7:$7,'TP(분기)'!CQ265)</f>
        <v>574</v>
      </c>
      <c r="CR273" s="2684">
        <f>SUMIFS(BS!$45:$45,BS!$7:$7,'TP(분기)'!CR265)</f>
        <v>574</v>
      </c>
      <c r="CS273" s="2684">
        <f>SUMIFS(BS!$45:$45,BS!$7:$7,'TP(분기)'!CS265)</f>
        <v>574</v>
      </c>
      <c r="CT273" s="2684">
        <f>SUMIFS(BS!$45:$45,BS!$7:$7,'TP(분기)'!CT265)</f>
        <v>574</v>
      </c>
      <c r="CU273" s="2684">
        <f>SUMIFS(BS!$45:$45,BS!$7:$7,'TP(분기)'!CU265)</f>
        <v>574</v>
      </c>
      <c r="CV273" s="2684">
        <f>SUMIFS(BS!$45:$45,BS!$7:$7,'TP(분기)'!CV265)</f>
        <v>574</v>
      </c>
      <c r="CW273" s="2684">
        <f>SUMIFS(BS!$45:$45,BS!$7:$7,'TP(분기)'!CW265)</f>
        <v>574</v>
      </c>
      <c r="CX273" s="2684">
        <f>SUMIFS(BS!$45:$45,BS!$7:$7,'TP(분기)'!CX265)</f>
        <v>574</v>
      </c>
      <c r="CY273" s="2684">
        <f>SUMIFS(BS!$45:$45,BS!$7:$7,'TP(분기)'!CY265)</f>
        <v>574</v>
      </c>
      <c r="CZ273" s="2684">
        <f>SUMIFS(BS!$45:$45,BS!$7:$7,'TP(분기)'!CZ265)</f>
        <v>574</v>
      </c>
      <c r="DA273" s="2684">
        <f>SUMIFS(BS!$45:$45,BS!$7:$7,'TP(분기)'!DA265)</f>
        <v>574</v>
      </c>
      <c r="DB273" s="2684">
        <f>SUMIFS(BS!$45:$45,BS!$7:$7,'TP(분기)'!DB265)</f>
        <v>574</v>
      </c>
      <c r="DC273" s="2684">
        <f>SUMIFS(BS!$45:$45,BS!$7:$7,'TP(분기)'!DC265)</f>
        <v>574</v>
      </c>
      <c r="DD273" s="2684">
        <f>SUMIFS(BS!$45:$45,BS!$7:$7,'TP(분기)'!DD265)</f>
        <v>574</v>
      </c>
      <c r="DE273" s="2684">
        <f>SUMIFS(BS!$45:$45,BS!$7:$7,'TP(분기)'!DE265)</f>
        <v>574</v>
      </c>
      <c r="DF273" s="2684">
        <f>SUMIFS(BS!$45:$45,BS!$7:$7,'TP(분기)'!DF265)</f>
        <v>574</v>
      </c>
      <c r="DG273" s="2684">
        <f>SUMIFS(BS!$45:$45,BS!$7:$7,'TP(분기)'!DG265)</f>
        <v>574</v>
      </c>
      <c r="DH273" s="2684">
        <f>SUMIFS(BS!$45:$45,BS!$7:$7,'TP(분기)'!DH265)</f>
        <v>574</v>
      </c>
      <c r="DI273" s="2684">
        <f>SUMIFS(BS!$45:$45,BS!$7:$7,'TP(분기)'!DI265)</f>
        <v>574</v>
      </c>
      <c r="DJ273" s="2684">
        <f>SUMIFS(BS!$45:$45,BS!$7:$7,'TP(분기)'!DJ265)</f>
        <v>574</v>
      </c>
      <c r="DK273" s="2684">
        <f>SUMIFS(BS!$45:$45,BS!$7:$7,'TP(분기)'!DK265)</f>
        <v>574</v>
      </c>
      <c r="DL273" s="2684">
        <f>SUMIFS(BS!$45:$45,BS!$7:$7,'TP(분기)'!DL265)</f>
        <v>574</v>
      </c>
      <c r="DM273" s="2684">
        <f>SUMIFS(BS!$45:$45,BS!$7:$7,'TP(분기)'!DM265)</f>
        <v>574</v>
      </c>
      <c r="DN273" s="2684">
        <f>SUMIFS(BS!$45:$45,BS!$7:$7,'TP(분기)'!DN265)</f>
        <v>574</v>
      </c>
      <c r="DO273" s="2684">
        <f>SUMIFS(BS!$45:$45,BS!$7:$7,'TP(분기)'!DO265)</f>
        <v>574</v>
      </c>
      <c r="DP273" s="2684">
        <f>SUMIFS(BS!$45:$45,BS!$7:$7,'TP(분기)'!DP265)</f>
        <v>574</v>
      </c>
      <c r="DQ273" s="2684">
        <f>SUMIFS(BS!$45:$45,BS!$7:$7,'TP(분기)'!DQ265)</f>
        <v>574</v>
      </c>
      <c r="DR273" s="2684">
        <f>SUMIFS(BS!$45:$45,BS!$7:$7,'TP(분기)'!DR265)</f>
        <v>574</v>
      </c>
      <c r="DS273" s="2684">
        <f>SUMIFS(BS!$45:$45,BS!$7:$7,'TP(분기)'!DS265)</f>
        <v>574</v>
      </c>
      <c r="DT273" s="2684">
        <f>SUMIFS(BS!$45:$45,BS!$7:$7,'TP(분기)'!DT265)</f>
        <v>574</v>
      </c>
      <c r="DU273" s="2684">
        <f>SUMIFS(BS!$45:$45,BS!$7:$7,'TP(분기)'!DU265)</f>
        <v>574</v>
      </c>
      <c r="DV273" s="2684">
        <f>SUMIFS(BS!$45:$45,BS!$7:$7,'TP(분기)'!DV265)</f>
        <v>574</v>
      </c>
      <c r="DW273" s="2684">
        <f>SUMIFS(BS!$45:$45,BS!$7:$7,'TP(분기)'!DW265)</f>
        <v>574</v>
      </c>
      <c r="DX273" s="2684">
        <f>SUMIFS(BS!$45:$45,BS!$7:$7,'TP(분기)'!DX265)</f>
        <v>574</v>
      </c>
      <c r="DY273" s="2684">
        <f>SUMIFS(BS!$45:$45,BS!$7:$7,'TP(분기)'!DY265)</f>
        <v>574</v>
      </c>
      <c r="DZ273" s="2684">
        <f>SUMIFS(BS!$45:$45,BS!$7:$7,'TP(분기)'!DZ265)</f>
        <v>574</v>
      </c>
      <c r="EA273" s="2684">
        <f>SUMIFS(BS!$45:$45,BS!$7:$7,'TP(분기)'!EA265)</f>
        <v>574</v>
      </c>
      <c r="EB273" s="2684">
        <f>SUMIFS(BS!$45:$45,BS!$7:$7,'TP(분기)'!EB265)</f>
        <v>574</v>
      </c>
      <c r="EC273" s="2684">
        <f>SUMIFS(BS!$45:$45,BS!$7:$7,'TP(분기)'!EC265)</f>
        <v>574</v>
      </c>
      <c r="ED273" s="2684">
        <f>SUMIFS(BS!$45:$45,BS!$7:$7,'TP(분기)'!ED265)</f>
        <v>574</v>
      </c>
      <c r="EE273" s="2684">
        <f>SUMIFS(BS!$45:$45,BS!$7:$7,'TP(분기)'!EE265)</f>
        <v>574</v>
      </c>
      <c r="EF273" s="2684">
        <f>SUMIFS(BS!$45:$45,BS!$7:$7,'TP(분기)'!EF265)</f>
        <v>574</v>
      </c>
      <c r="EG273" s="2684">
        <f>SUMIFS(BS!$45:$45,BS!$7:$7,'TP(분기)'!EG265)</f>
        <v>574</v>
      </c>
      <c r="EH273" s="2684">
        <f>SUMIFS(BS!$45:$45,BS!$7:$7,'TP(분기)'!EH265)</f>
        <v>574</v>
      </c>
      <c r="EI273" s="2684">
        <f>SUMIFS(BS!$45:$45,BS!$7:$7,'TP(분기)'!EI265)</f>
        <v>574</v>
      </c>
      <c r="EJ273" s="2684">
        <f>SUMIFS(BS!$45:$45,BS!$7:$7,'TP(분기)'!EJ265)</f>
        <v>574</v>
      </c>
      <c r="EK273" s="2684">
        <f>SUMIFS(BS!$45:$45,BS!$7:$7,'TP(분기)'!EK265)</f>
        <v>574</v>
      </c>
      <c r="EL273" s="2684">
        <f>SUMIFS(BS!$45:$45,BS!$7:$7,'TP(분기)'!EL265)</f>
        <v>574</v>
      </c>
      <c r="EM273" s="2684">
        <f>SUMIFS(BS!$45:$45,BS!$7:$7,'TP(분기)'!EM265)</f>
        <v>574</v>
      </c>
      <c r="EN273" s="2684">
        <f>SUMIFS(BS!$45:$45,BS!$7:$7,'TP(분기)'!EN265)</f>
        <v>574</v>
      </c>
      <c r="EO273" s="2684">
        <f>SUMIFS(BS!$45:$45,BS!$7:$7,'TP(분기)'!EO265)</f>
        <v>574</v>
      </c>
      <c r="EP273" s="2684">
        <f>SUMIFS(BS!$45:$45,BS!$7:$7,'TP(분기)'!EP265)</f>
        <v>574</v>
      </c>
      <c r="EQ273" s="2684">
        <f>SUMIFS(BS!$45:$45,BS!$7:$7,'TP(분기)'!EQ265)</f>
        <v>574</v>
      </c>
      <c r="ER273" s="2684">
        <f>SUMIFS(BS!$45:$45,BS!$7:$7,'TP(분기)'!ER265)</f>
        <v>574</v>
      </c>
      <c r="ES273" s="2684">
        <f>SUMIFS(BS!$45:$45,BS!$7:$7,'TP(분기)'!ES265)</f>
        <v>574</v>
      </c>
      <c r="ET273" s="2684">
        <f>SUMIFS(BS!$45:$45,BS!$7:$7,'TP(분기)'!ET265)</f>
        <v>574</v>
      </c>
      <c r="EU273" s="2684">
        <f>SUMIFS(BS!$45:$45,BS!$7:$7,'TP(분기)'!EU265)</f>
        <v>574</v>
      </c>
      <c r="EV273" s="2684">
        <f>SUMIFS(BS!$45:$45,BS!$7:$7,'TP(분기)'!EV265)</f>
        <v>574</v>
      </c>
      <c r="EW273" s="2684">
        <f>SUMIFS(BS!$45:$45,BS!$7:$7,'TP(분기)'!EW265)</f>
        <v>574</v>
      </c>
      <c r="EX273" s="2684">
        <f>SUMIFS(BS!$45:$45,BS!$7:$7,'TP(분기)'!EX265)</f>
        <v>574</v>
      </c>
      <c r="EY273" s="2684">
        <f>SUMIFS(BS!$45:$45,BS!$7:$7,'TP(분기)'!EY265)</f>
        <v>574</v>
      </c>
      <c r="EZ273" s="2684">
        <f>SUMIFS(BS!$45:$45,BS!$7:$7,'TP(분기)'!EZ265)</f>
        <v>574</v>
      </c>
      <c r="FA273" s="2684">
        <f>SUMIFS(BS!$45:$45,BS!$7:$7,'TP(분기)'!FA265)</f>
        <v>574</v>
      </c>
      <c r="FB273" s="2684">
        <f>SUMIFS(BS!$45:$45,BS!$7:$7,'TP(분기)'!FB265)</f>
        <v>574</v>
      </c>
      <c r="FC273" s="2684">
        <f>SUMIFS(BS!$45:$45,BS!$7:$7,'TP(분기)'!FC265)</f>
        <v>574</v>
      </c>
      <c r="FD273" s="2684">
        <f>SUMIFS(BS!$45:$45,BS!$7:$7,'TP(분기)'!FD265)</f>
        <v>574</v>
      </c>
      <c r="FE273" s="2684">
        <f>SUMIFS(BS!$45:$45,BS!$7:$7,'TP(분기)'!FE265)</f>
        <v>574</v>
      </c>
      <c r="FF273" s="2684">
        <f>SUMIFS(BS!$45:$45,BS!$7:$7,'TP(분기)'!FF265)</f>
        <v>574</v>
      </c>
      <c r="FG273" s="2684">
        <f>SUMIFS(BS!$45:$45,BS!$7:$7,'TP(분기)'!FG265)</f>
        <v>574</v>
      </c>
      <c r="FH273" s="2684">
        <f>SUMIFS(BS!$45:$45,BS!$7:$7,'TP(분기)'!FH265)</f>
        <v>574</v>
      </c>
      <c r="FI273" s="2684">
        <f>SUMIFS(BS!$45:$45,BS!$7:$7,'TP(분기)'!FI265)</f>
        <v>574</v>
      </c>
      <c r="FJ273" s="2684">
        <f>SUMIFS(BS!$45:$45,BS!$7:$7,'TP(분기)'!FJ265)</f>
        <v>574</v>
      </c>
      <c r="FK273" s="2684">
        <f>SUMIFS(BS!$45:$45,BS!$7:$7,'TP(분기)'!FK265)</f>
        <v>574</v>
      </c>
      <c r="FL273" s="2684">
        <f>SUMIFS(BS!$45:$45,BS!$7:$7,'TP(분기)'!FL265)</f>
        <v>574</v>
      </c>
      <c r="FM273" s="2684">
        <f>SUMIFS(BS!$45:$45,BS!$7:$7,'TP(분기)'!FM265)</f>
        <v>574</v>
      </c>
      <c r="FN273" s="2684">
        <f>SUMIFS(BS!$45:$45,BS!$7:$7,'TP(분기)'!FN265)</f>
        <v>574</v>
      </c>
      <c r="FO273" s="2684">
        <f>SUMIFS(BS!$45:$45,BS!$7:$7,'TP(분기)'!FO265)</f>
        <v>574</v>
      </c>
      <c r="FP273" s="2684">
        <f>SUMIFS(BS!$45:$45,BS!$7:$7,'TP(분기)'!FP265)</f>
        <v>574</v>
      </c>
      <c r="FQ273" s="2684">
        <f>SUMIFS(BS!$45:$45,BS!$7:$7,'TP(분기)'!FQ265)</f>
        <v>574</v>
      </c>
      <c r="FR273" s="2684">
        <f>SUMIFS(BS!$45:$45,BS!$7:$7,'TP(분기)'!FR265)</f>
        <v>574</v>
      </c>
      <c r="FS273" s="2684">
        <f>SUMIFS(BS!$45:$45,BS!$7:$7,'TP(분기)'!FS265)</f>
        <v>574</v>
      </c>
      <c r="FT273" s="2684">
        <f>SUMIFS(BS!$45:$45,BS!$7:$7,'TP(분기)'!FT265)</f>
        <v>574</v>
      </c>
      <c r="FU273" s="2684">
        <f>SUMIFS(BS!$45:$45,BS!$7:$7,'TP(분기)'!FU265)</f>
        <v>574</v>
      </c>
      <c r="FV273" s="2684">
        <f>SUMIFS(BS!$45:$45,BS!$7:$7,'TP(분기)'!FV265)</f>
        <v>574</v>
      </c>
      <c r="FW273" s="2684">
        <f>SUMIFS(BS!$45:$45,BS!$7:$7,'TP(분기)'!FW265)</f>
        <v>574</v>
      </c>
      <c r="FX273" s="2684">
        <f>SUMIFS(BS!$45:$45,BS!$7:$7,'TP(분기)'!FX265)</f>
        <v>574</v>
      </c>
      <c r="FY273" s="2684">
        <f>SUMIFS(BS!$45:$45,BS!$7:$7,'TP(분기)'!FY265)</f>
        <v>574</v>
      </c>
      <c r="FZ273" s="2684">
        <f>SUMIFS(BS!$45:$45,BS!$7:$7,'TP(분기)'!FZ265)</f>
        <v>574</v>
      </c>
      <c r="GA273" s="2684">
        <f>SUMIFS(BS!$45:$45,BS!$7:$7,'TP(분기)'!GA265)</f>
        <v>574</v>
      </c>
      <c r="GB273" s="2684">
        <f>SUMIFS(BS!$45:$45,BS!$7:$7,'TP(분기)'!GB265)</f>
        <v>574</v>
      </c>
      <c r="GC273" s="2684">
        <f>SUMIFS(BS!$45:$45,BS!$7:$7,'TP(분기)'!GC265)</f>
        <v>574</v>
      </c>
      <c r="GD273" s="2684">
        <f>SUMIFS(BS!$45:$45,BS!$7:$7,'TP(분기)'!GD265)</f>
        <v>574</v>
      </c>
      <c r="GE273" s="2684">
        <f>SUMIFS(BS!$45:$45,BS!$7:$7,'TP(분기)'!GE265)</f>
        <v>574</v>
      </c>
      <c r="GF273" s="2684">
        <f>SUMIFS(BS!$45:$45,BS!$7:$7,'TP(분기)'!GF265)</f>
        <v>574</v>
      </c>
      <c r="GG273" s="2684">
        <f>SUMIFS(BS!$45:$45,BS!$7:$7,'TP(분기)'!GG265)</f>
        <v>574</v>
      </c>
      <c r="GH273" s="2684">
        <f>SUMIFS(BS!$45:$45,BS!$7:$7,'TP(분기)'!GH265)</f>
        <v>574</v>
      </c>
      <c r="GI273" s="2684">
        <f>SUMIFS(BS!$45:$45,BS!$7:$7,'TP(분기)'!GI265)</f>
        <v>574</v>
      </c>
      <c r="GJ273" s="2684">
        <f>SUMIFS(BS!$45:$45,BS!$7:$7,'TP(분기)'!GJ265)</f>
        <v>574</v>
      </c>
      <c r="GK273" s="2684">
        <f>SUMIFS(BS!$45:$45,BS!$7:$7,'TP(분기)'!GK265)</f>
        <v>574</v>
      </c>
      <c r="GL273" s="2684">
        <f>SUMIFS(BS!$45:$45,BS!$7:$7,'TP(분기)'!GL265)</f>
        <v>574</v>
      </c>
      <c r="GM273" s="2684">
        <f>SUMIFS(BS!$45:$45,BS!$7:$7,'TP(분기)'!GM265)</f>
        <v>574</v>
      </c>
      <c r="GN273" s="2684">
        <f>SUMIFS(BS!$45:$45,BS!$7:$7,'TP(분기)'!GN265)</f>
        <v>574</v>
      </c>
      <c r="GO273" s="2684">
        <f>SUMIFS(BS!$45:$45,BS!$7:$7,'TP(분기)'!GO265)</f>
        <v>574</v>
      </c>
      <c r="GP273" s="2684">
        <f>SUMIFS(BS!$45:$45,BS!$7:$7,'TP(분기)'!GP265)</f>
        <v>574</v>
      </c>
      <c r="GQ273" s="2684">
        <f>SUMIFS(BS!$45:$45,BS!$7:$7,'TP(분기)'!GQ265)</f>
        <v>574</v>
      </c>
      <c r="GR273" s="2684">
        <f>SUMIFS(BS!$45:$45,BS!$7:$7,'TP(분기)'!GR265)</f>
        <v>574</v>
      </c>
      <c r="GS273" s="2684">
        <f>SUMIFS(BS!$45:$45,BS!$7:$7,'TP(분기)'!GS265)</f>
        <v>574</v>
      </c>
      <c r="GT273" s="2684">
        <f>SUMIFS(BS!$45:$45,BS!$7:$7,'TP(분기)'!GT265)</f>
        <v>574</v>
      </c>
      <c r="GU273" s="2684">
        <f>SUMIFS(BS!$45:$45,BS!$7:$7,'TP(분기)'!GU265)</f>
        <v>574</v>
      </c>
      <c r="GV273" s="2684">
        <f>SUMIFS(BS!$45:$45,BS!$7:$7,'TP(분기)'!GV265)</f>
        <v>574</v>
      </c>
      <c r="GW273" s="2684">
        <f>SUMIFS(BS!$45:$45,BS!$7:$7,'TP(분기)'!GW265)</f>
        <v>574</v>
      </c>
      <c r="GX273" s="2684">
        <f>SUMIFS(BS!$45:$45,BS!$7:$7,'TP(분기)'!GX265)</f>
        <v>574</v>
      </c>
      <c r="GY273" s="2684">
        <f>SUMIFS(BS!$45:$45,BS!$7:$7,'TP(분기)'!GY265)</f>
        <v>574</v>
      </c>
      <c r="GZ273" s="2684">
        <f>SUMIFS(BS!$45:$45,BS!$7:$7,'TP(분기)'!GZ265)</f>
        <v>574</v>
      </c>
      <c r="HA273" s="2684">
        <f>SUMIFS(BS!$45:$45,BS!$7:$7,'TP(분기)'!HA265)</f>
        <v>574</v>
      </c>
      <c r="HB273" s="2684">
        <f>SUMIFS(BS!$45:$45,BS!$7:$7,'TP(분기)'!HB265)</f>
        <v>574</v>
      </c>
      <c r="HC273" s="2684">
        <f>SUMIFS(BS!$45:$45,BS!$7:$7,'TP(분기)'!HC265)</f>
        <v>574</v>
      </c>
      <c r="HD273" s="2684">
        <f>SUMIFS(BS!$45:$45,BS!$7:$7,'TP(분기)'!HD265)</f>
        <v>574</v>
      </c>
      <c r="HE273" s="2684">
        <f>SUMIFS(BS!$45:$45,BS!$7:$7,'TP(분기)'!HE265)</f>
        <v>574</v>
      </c>
      <c r="HF273" s="2684">
        <f>SUMIFS(BS!$45:$45,BS!$7:$7,'TP(분기)'!HF265)</f>
        <v>574</v>
      </c>
      <c r="HG273" s="2684">
        <f>SUMIFS(BS!$45:$45,BS!$7:$7,'TP(분기)'!HG265)</f>
        <v>574</v>
      </c>
      <c r="HH273" s="2684">
        <f>SUMIFS(BS!$45:$45,BS!$7:$7,'TP(분기)'!HH265)</f>
        <v>574</v>
      </c>
      <c r="HI273" s="2684">
        <f>SUMIFS(BS!$45:$45,BS!$7:$7,'TP(분기)'!HI265)</f>
        <v>574</v>
      </c>
      <c r="HJ273" s="2684">
        <f>SUMIFS(BS!$45:$45,BS!$7:$7,'TP(분기)'!HJ265)</f>
        <v>574</v>
      </c>
      <c r="HK273" s="2684">
        <f>SUMIFS(BS!$45:$45,BS!$7:$7,'TP(분기)'!HK265)</f>
        <v>574</v>
      </c>
      <c r="HL273" s="2684">
        <f>SUMIFS(BS!$45:$45,BS!$7:$7,'TP(분기)'!HL265)</f>
        <v>574</v>
      </c>
      <c r="HM273" s="2684">
        <f>SUMIFS(BS!$45:$45,BS!$7:$7,'TP(분기)'!HM265)</f>
        <v>574</v>
      </c>
      <c r="HN273" s="2684">
        <f>SUMIFS(BS!$45:$45,BS!$7:$7,'TP(분기)'!HN265)</f>
        <v>574</v>
      </c>
      <c r="HO273" s="2684">
        <f>SUMIFS(BS!$45:$45,BS!$7:$7,'TP(분기)'!HO265)</f>
        <v>574</v>
      </c>
      <c r="HP273" s="2684">
        <f>SUMIFS(BS!$45:$45,BS!$7:$7,'TP(분기)'!HP265)</f>
        <v>574</v>
      </c>
      <c r="HQ273" s="2684">
        <f>SUMIFS(BS!$45:$45,BS!$7:$7,'TP(분기)'!HQ265)</f>
        <v>574</v>
      </c>
      <c r="HR273" s="2684">
        <f>SUMIFS(BS!$45:$45,BS!$7:$7,'TP(분기)'!HR265)</f>
        <v>574</v>
      </c>
      <c r="HS273" s="2684">
        <f>SUMIFS(BS!$45:$45,BS!$7:$7,'TP(분기)'!HS265)</f>
        <v>574</v>
      </c>
      <c r="HT273" s="2684">
        <f>SUMIFS(BS!$45:$45,BS!$7:$7,'TP(분기)'!HT265)</f>
        <v>574</v>
      </c>
      <c r="HU273" s="2684">
        <f>SUMIFS(BS!$45:$45,BS!$7:$7,'TP(분기)'!HU265)</f>
        <v>574</v>
      </c>
      <c r="HV273" s="2684">
        <f>SUMIFS(BS!$45:$45,BS!$7:$7,'TP(분기)'!HV265)</f>
        <v>574</v>
      </c>
      <c r="HW273" s="2684">
        <f>SUMIFS(BS!$45:$45,BS!$7:$7,'TP(분기)'!HW265)</f>
        <v>574</v>
      </c>
      <c r="HX273" s="2684">
        <f>SUMIFS(BS!$45:$45,BS!$7:$7,'TP(분기)'!HX265)</f>
        <v>574</v>
      </c>
      <c r="HY273" s="2684">
        <f>SUMIFS(BS!$45:$45,BS!$7:$7,'TP(분기)'!HY265)</f>
        <v>574</v>
      </c>
      <c r="HZ273" s="5327">
        <f>HY273</f>
        <v>574</v>
      </c>
      <c r="IA273" s="5327">
        <f>HZ273</f>
        <v>574</v>
      </c>
    </row>
    <row r="274" spans="7:235">
      <c r="G274" s="2354" t="s">
        <v>3995</v>
      </c>
      <c r="H274" s="2535"/>
      <c r="I274" s="5067"/>
      <c r="J274" s="5069"/>
      <c r="K274" s="5069"/>
      <c r="L274" s="5069"/>
      <c r="M274" s="5069"/>
      <c r="N274" s="5069"/>
      <c r="O274" s="5069"/>
      <c r="P274" s="5069"/>
      <c r="Q274" s="5069"/>
      <c r="R274" s="5069"/>
      <c r="S274" s="5069"/>
      <c r="T274" s="5069"/>
      <c r="U274" s="5069"/>
      <c r="V274" s="5070"/>
      <c r="W274" s="5076"/>
      <c r="X274" s="5076"/>
      <c r="Y274" s="5076"/>
      <c r="Z274" s="5076"/>
      <c r="AA274" s="5076"/>
      <c r="AB274" s="5076"/>
      <c r="AC274" s="5324"/>
      <c r="AD274" s="5324"/>
      <c r="AE274" s="5324"/>
      <c r="AF274" s="5324"/>
      <c r="AG274" s="5324"/>
      <c r="AH274" s="5324"/>
      <c r="AI274" s="5324"/>
      <c r="AJ274" s="5324"/>
      <c r="AK274" s="5324"/>
      <c r="AL274" s="5324"/>
      <c r="AM274" s="5324"/>
      <c r="AN274" s="5324"/>
      <c r="AO274" s="5324"/>
      <c r="AP274" s="5324"/>
      <c r="AQ274" s="5324"/>
      <c r="AR274" s="5324"/>
      <c r="AS274" s="5324"/>
      <c r="AT274" s="5324"/>
      <c r="AU274" s="5324"/>
      <c r="AV274" s="5324"/>
      <c r="AW274" s="5324"/>
      <c r="AX274" s="5324"/>
      <c r="AY274" s="5324"/>
      <c r="AZ274" s="5324"/>
      <c r="BA274" s="5324"/>
      <c r="BB274" s="5324"/>
      <c r="BC274" s="5324"/>
      <c r="BD274" s="5324"/>
      <c r="BE274" s="5324"/>
      <c r="BF274" s="5324"/>
      <c r="BG274" s="5324"/>
      <c r="BH274" s="5324"/>
      <c r="BI274" s="5324"/>
      <c r="BJ274" s="5324"/>
      <c r="BK274" s="5324"/>
      <c r="BL274" s="5324"/>
      <c r="BM274" s="5324"/>
      <c r="BN274" s="5324"/>
      <c r="BO274" s="5324"/>
      <c r="BP274" s="5324"/>
      <c r="BQ274" s="5324"/>
      <c r="BR274" s="5324"/>
      <c r="BS274" s="5324"/>
      <c r="BT274" s="5324"/>
      <c r="BU274" s="5324"/>
      <c r="BV274" s="5324"/>
      <c r="BW274" s="5324"/>
      <c r="BX274" s="5324"/>
      <c r="BY274" s="5324"/>
      <c r="BZ274" s="5324"/>
      <c r="CA274" s="5324"/>
      <c r="CB274" s="5324"/>
      <c r="CC274" s="5324"/>
      <c r="CD274" s="5324"/>
      <c r="CE274" s="5324"/>
      <c r="CF274" s="5324"/>
      <c r="CG274" s="5324"/>
      <c r="CH274" s="2685">
        <f>SUMIFS(BS!$46:$46,BS!$7:$7,'TP(분기)'!CH265)</f>
        <v>106</v>
      </c>
      <c r="CI274" s="2685">
        <f>SUMIFS(BS!$46:$46,BS!$7:$7,'TP(분기)'!CI265)</f>
        <v>106</v>
      </c>
      <c r="CJ274" s="2685">
        <f>SUMIFS(BS!$46:$46,BS!$7:$7,'TP(분기)'!CJ265)</f>
        <v>106</v>
      </c>
      <c r="CK274" s="2685">
        <f>SUMIFS(BS!$46:$46,BS!$7:$7,'TP(분기)'!CK265)</f>
        <v>106</v>
      </c>
      <c r="CL274" s="2685">
        <f>SUMIFS(BS!$46:$46,BS!$7:$7,'TP(분기)'!CL265)</f>
        <v>106</v>
      </c>
      <c r="CM274" s="2685">
        <f>SUMIFS(BS!$46:$46,BS!$7:$7,'TP(분기)'!CM265)</f>
        <v>106</v>
      </c>
      <c r="CN274" s="2685">
        <f>SUMIFS(BS!$46:$46,BS!$7:$7,'TP(분기)'!CN265)</f>
        <v>106</v>
      </c>
      <c r="CO274" s="2685">
        <f>SUMIFS(BS!$46:$46,BS!$7:$7,'TP(분기)'!CO265)</f>
        <v>106</v>
      </c>
      <c r="CP274" s="2685">
        <f>SUMIFS(BS!$46:$46,BS!$7:$7,'TP(분기)'!CP265)</f>
        <v>106</v>
      </c>
      <c r="CQ274" s="2685">
        <f>SUMIFS(BS!$46:$46,BS!$7:$7,'TP(분기)'!CQ265)</f>
        <v>106</v>
      </c>
      <c r="CR274" s="2685">
        <f>SUMIFS(BS!$46:$46,BS!$7:$7,'TP(분기)'!CR265)</f>
        <v>106</v>
      </c>
      <c r="CS274" s="2685">
        <f>SUMIFS(BS!$46:$46,BS!$7:$7,'TP(분기)'!CS265)</f>
        <v>106</v>
      </c>
      <c r="CT274" s="2685">
        <f>SUMIFS(BS!$46:$46,BS!$7:$7,'TP(분기)'!CT265)</f>
        <v>106</v>
      </c>
      <c r="CU274" s="2685">
        <f>SUMIFS(BS!$46:$46,BS!$7:$7,'TP(분기)'!CU265)</f>
        <v>106</v>
      </c>
      <c r="CV274" s="2685">
        <f>SUMIFS(BS!$46:$46,BS!$7:$7,'TP(분기)'!CV265)</f>
        <v>106</v>
      </c>
      <c r="CW274" s="2685">
        <f>SUMIFS(BS!$46:$46,BS!$7:$7,'TP(분기)'!CW265)</f>
        <v>106</v>
      </c>
      <c r="CX274" s="2685">
        <f>SUMIFS(BS!$46:$46,BS!$7:$7,'TP(분기)'!CX265)</f>
        <v>106</v>
      </c>
      <c r="CY274" s="2685">
        <f>SUMIFS(BS!$46:$46,BS!$7:$7,'TP(분기)'!CY265)</f>
        <v>106</v>
      </c>
      <c r="CZ274" s="2685">
        <f>SUMIFS(BS!$46:$46,BS!$7:$7,'TP(분기)'!CZ265)</f>
        <v>106</v>
      </c>
      <c r="DA274" s="2685">
        <f>SUMIFS(BS!$46:$46,BS!$7:$7,'TP(분기)'!DA265)</f>
        <v>106</v>
      </c>
      <c r="DB274" s="2685">
        <f>SUMIFS(BS!$46:$46,BS!$7:$7,'TP(분기)'!DB265)</f>
        <v>106</v>
      </c>
      <c r="DC274" s="2685">
        <f>SUMIFS(BS!$46:$46,BS!$7:$7,'TP(분기)'!DC265)</f>
        <v>106</v>
      </c>
      <c r="DD274" s="2685">
        <f>SUMIFS(BS!$46:$46,BS!$7:$7,'TP(분기)'!DD265)</f>
        <v>106</v>
      </c>
      <c r="DE274" s="2685">
        <f>SUMIFS(BS!$46:$46,BS!$7:$7,'TP(분기)'!DE265)</f>
        <v>106</v>
      </c>
      <c r="DF274" s="2685">
        <f>SUMIFS(BS!$46:$46,BS!$7:$7,'TP(분기)'!DF265)</f>
        <v>106</v>
      </c>
      <c r="DG274" s="2685">
        <f>SUMIFS(BS!$46:$46,BS!$7:$7,'TP(분기)'!DG265)</f>
        <v>106</v>
      </c>
      <c r="DH274" s="2685">
        <f>SUMIFS(BS!$46:$46,BS!$7:$7,'TP(분기)'!DH265)</f>
        <v>106</v>
      </c>
      <c r="DI274" s="2685">
        <f>SUMIFS(BS!$46:$46,BS!$7:$7,'TP(분기)'!DI265)</f>
        <v>106</v>
      </c>
      <c r="DJ274" s="2685">
        <f>SUMIFS(BS!$46:$46,BS!$7:$7,'TP(분기)'!DJ265)</f>
        <v>106</v>
      </c>
      <c r="DK274" s="2685">
        <f>SUMIFS(BS!$46:$46,BS!$7:$7,'TP(분기)'!DK265)</f>
        <v>106</v>
      </c>
      <c r="DL274" s="2685">
        <f>SUMIFS(BS!$46:$46,BS!$7:$7,'TP(분기)'!DL265)</f>
        <v>106</v>
      </c>
      <c r="DM274" s="2685">
        <f>SUMIFS(BS!$46:$46,BS!$7:$7,'TP(분기)'!DM265)</f>
        <v>106</v>
      </c>
      <c r="DN274" s="2685">
        <f>SUMIFS(BS!$46:$46,BS!$7:$7,'TP(분기)'!DN265)</f>
        <v>106</v>
      </c>
      <c r="DO274" s="2685">
        <f>SUMIFS(BS!$46:$46,BS!$7:$7,'TP(분기)'!DO265)</f>
        <v>106</v>
      </c>
      <c r="DP274" s="2685">
        <f>SUMIFS(BS!$46:$46,BS!$7:$7,'TP(분기)'!DP265)</f>
        <v>106</v>
      </c>
      <c r="DQ274" s="2685">
        <f>SUMIFS(BS!$46:$46,BS!$7:$7,'TP(분기)'!DQ265)</f>
        <v>106</v>
      </c>
      <c r="DR274" s="2685">
        <f>SUMIFS(BS!$46:$46,BS!$7:$7,'TP(분기)'!DR265)</f>
        <v>106</v>
      </c>
      <c r="DS274" s="2685">
        <f>SUMIFS(BS!$46:$46,BS!$7:$7,'TP(분기)'!DS265)</f>
        <v>106</v>
      </c>
      <c r="DT274" s="2685">
        <f>SUMIFS(BS!$46:$46,BS!$7:$7,'TP(분기)'!DT265)</f>
        <v>106</v>
      </c>
      <c r="DU274" s="2685">
        <f>SUMIFS(BS!$46:$46,BS!$7:$7,'TP(분기)'!DU265)</f>
        <v>106</v>
      </c>
      <c r="DV274" s="2685">
        <f>SUMIFS(BS!$46:$46,BS!$7:$7,'TP(분기)'!DV265)</f>
        <v>106</v>
      </c>
      <c r="DW274" s="2685">
        <f>SUMIFS(BS!$46:$46,BS!$7:$7,'TP(분기)'!DW265)</f>
        <v>106</v>
      </c>
      <c r="DX274" s="2685">
        <f>SUMIFS(BS!$46:$46,BS!$7:$7,'TP(분기)'!DX265)</f>
        <v>106</v>
      </c>
      <c r="DY274" s="2685">
        <f>SUMIFS(BS!$46:$46,BS!$7:$7,'TP(분기)'!DY265)</f>
        <v>106</v>
      </c>
      <c r="DZ274" s="2685">
        <f>SUMIFS(BS!$46:$46,BS!$7:$7,'TP(분기)'!DZ265)</f>
        <v>106</v>
      </c>
      <c r="EA274" s="2685">
        <f>SUMIFS(BS!$46:$46,BS!$7:$7,'TP(분기)'!EA265)</f>
        <v>106</v>
      </c>
      <c r="EB274" s="2685">
        <f>SUMIFS(BS!$46:$46,BS!$7:$7,'TP(분기)'!EB265)</f>
        <v>106</v>
      </c>
      <c r="EC274" s="2685">
        <f>SUMIFS(BS!$46:$46,BS!$7:$7,'TP(분기)'!EC265)</f>
        <v>106</v>
      </c>
      <c r="ED274" s="2685">
        <f>SUMIFS(BS!$46:$46,BS!$7:$7,'TP(분기)'!ED265)</f>
        <v>106</v>
      </c>
      <c r="EE274" s="2685">
        <f>SUMIFS(BS!$46:$46,BS!$7:$7,'TP(분기)'!EE265)</f>
        <v>106</v>
      </c>
      <c r="EF274" s="2685">
        <f>SUMIFS(BS!$46:$46,BS!$7:$7,'TP(분기)'!EF265)</f>
        <v>106</v>
      </c>
      <c r="EG274" s="2685">
        <f>SUMIFS(BS!$46:$46,BS!$7:$7,'TP(분기)'!EG265)</f>
        <v>106</v>
      </c>
      <c r="EH274" s="2685">
        <f>SUMIFS(BS!$46:$46,BS!$7:$7,'TP(분기)'!EH265)</f>
        <v>106</v>
      </c>
      <c r="EI274" s="2685">
        <f>SUMIFS(BS!$46:$46,BS!$7:$7,'TP(분기)'!EI265)</f>
        <v>106</v>
      </c>
      <c r="EJ274" s="2685">
        <f>SUMIFS(BS!$46:$46,BS!$7:$7,'TP(분기)'!EJ265)</f>
        <v>106</v>
      </c>
      <c r="EK274" s="2685">
        <f>SUMIFS(BS!$46:$46,BS!$7:$7,'TP(분기)'!EK265)</f>
        <v>106</v>
      </c>
      <c r="EL274" s="2685">
        <f>SUMIFS(BS!$46:$46,BS!$7:$7,'TP(분기)'!EL265)</f>
        <v>106</v>
      </c>
      <c r="EM274" s="2685">
        <f>SUMIFS(BS!$46:$46,BS!$7:$7,'TP(분기)'!EM265)</f>
        <v>106</v>
      </c>
      <c r="EN274" s="2685">
        <f>SUMIFS(BS!$46:$46,BS!$7:$7,'TP(분기)'!EN265)</f>
        <v>106</v>
      </c>
      <c r="EO274" s="2685">
        <f>SUMIFS(BS!$46:$46,BS!$7:$7,'TP(분기)'!EO265)</f>
        <v>106</v>
      </c>
      <c r="EP274" s="2685">
        <f>SUMIFS(BS!$46:$46,BS!$7:$7,'TP(분기)'!EP265)</f>
        <v>106</v>
      </c>
      <c r="EQ274" s="2685">
        <f>SUMIFS(BS!$46:$46,BS!$7:$7,'TP(분기)'!EQ265)</f>
        <v>106</v>
      </c>
      <c r="ER274" s="2685">
        <f>SUMIFS(BS!$46:$46,BS!$7:$7,'TP(분기)'!ER265)</f>
        <v>106</v>
      </c>
      <c r="ES274" s="2685">
        <f>SUMIFS(BS!$46:$46,BS!$7:$7,'TP(분기)'!ES265)</f>
        <v>106</v>
      </c>
      <c r="ET274" s="2685">
        <f>SUMIFS(BS!$46:$46,BS!$7:$7,'TP(분기)'!ET265)</f>
        <v>106</v>
      </c>
      <c r="EU274" s="2685">
        <f>SUMIFS(BS!$46:$46,BS!$7:$7,'TP(분기)'!EU265)</f>
        <v>106</v>
      </c>
      <c r="EV274" s="2685">
        <f>SUMIFS(BS!$46:$46,BS!$7:$7,'TP(분기)'!EV265)</f>
        <v>106</v>
      </c>
      <c r="EW274" s="2685">
        <f>SUMIFS(BS!$46:$46,BS!$7:$7,'TP(분기)'!EW265)</f>
        <v>106</v>
      </c>
      <c r="EX274" s="2685">
        <f>SUMIFS(BS!$46:$46,BS!$7:$7,'TP(분기)'!EX265)</f>
        <v>106</v>
      </c>
      <c r="EY274" s="2685">
        <f>SUMIFS(BS!$46:$46,BS!$7:$7,'TP(분기)'!EY265)</f>
        <v>106</v>
      </c>
      <c r="EZ274" s="2685">
        <f>SUMIFS(BS!$46:$46,BS!$7:$7,'TP(분기)'!EZ265)</f>
        <v>106</v>
      </c>
      <c r="FA274" s="2685">
        <f>SUMIFS(BS!$46:$46,BS!$7:$7,'TP(분기)'!FA265)</f>
        <v>106</v>
      </c>
      <c r="FB274" s="2685">
        <f>SUMIFS(BS!$46:$46,BS!$7:$7,'TP(분기)'!FB265)</f>
        <v>106</v>
      </c>
      <c r="FC274" s="2685">
        <f>SUMIFS(BS!$46:$46,BS!$7:$7,'TP(분기)'!FC265)</f>
        <v>106</v>
      </c>
      <c r="FD274" s="2685">
        <f>SUMIFS(BS!$46:$46,BS!$7:$7,'TP(분기)'!FD265)</f>
        <v>106</v>
      </c>
      <c r="FE274" s="2685">
        <f>SUMIFS(BS!$46:$46,BS!$7:$7,'TP(분기)'!FE265)</f>
        <v>106</v>
      </c>
      <c r="FF274" s="2685">
        <f>SUMIFS(BS!$46:$46,BS!$7:$7,'TP(분기)'!FF265)</f>
        <v>106</v>
      </c>
      <c r="FG274" s="2685">
        <f>SUMIFS(BS!$46:$46,BS!$7:$7,'TP(분기)'!FG265)</f>
        <v>106</v>
      </c>
      <c r="FH274" s="2685">
        <f>SUMIFS(BS!$46:$46,BS!$7:$7,'TP(분기)'!FH265)</f>
        <v>106</v>
      </c>
      <c r="FI274" s="2685">
        <f>SUMIFS(BS!$46:$46,BS!$7:$7,'TP(분기)'!FI265)</f>
        <v>106</v>
      </c>
      <c r="FJ274" s="2685">
        <f>SUMIFS(BS!$46:$46,BS!$7:$7,'TP(분기)'!FJ265)</f>
        <v>106</v>
      </c>
      <c r="FK274" s="2685">
        <f>SUMIFS(BS!$46:$46,BS!$7:$7,'TP(분기)'!FK265)</f>
        <v>106</v>
      </c>
      <c r="FL274" s="2685">
        <f>SUMIFS(BS!$46:$46,BS!$7:$7,'TP(분기)'!FL265)</f>
        <v>106</v>
      </c>
      <c r="FM274" s="2685">
        <f>SUMIFS(BS!$46:$46,BS!$7:$7,'TP(분기)'!FM265)</f>
        <v>106</v>
      </c>
      <c r="FN274" s="2685">
        <f>SUMIFS(BS!$46:$46,BS!$7:$7,'TP(분기)'!FN265)</f>
        <v>106</v>
      </c>
      <c r="FO274" s="2685">
        <f>SUMIFS(BS!$46:$46,BS!$7:$7,'TP(분기)'!FO265)</f>
        <v>106</v>
      </c>
      <c r="FP274" s="2685">
        <f>SUMIFS(BS!$46:$46,BS!$7:$7,'TP(분기)'!FP265)</f>
        <v>106</v>
      </c>
      <c r="FQ274" s="2685">
        <f>SUMIFS(BS!$46:$46,BS!$7:$7,'TP(분기)'!FQ265)</f>
        <v>106</v>
      </c>
      <c r="FR274" s="2685">
        <f>SUMIFS(BS!$46:$46,BS!$7:$7,'TP(분기)'!FR265)</f>
        <v>106</v>
      </c>
      <c r="FS274" s="2685">
        <f>SUMIFS(BS!$46:$46,BS!$7:$7,'TP(분기)'!FS265)</f>
        <v>106</v>
      </c>
      <c r="FT274" s="2685">
        <f>SUMIFS(BS!$46:$46,BS!$7:$7,'TP(분기)'!FT265)</f>
        <v>106</v>
      </c>
      <c r="FU274" s="2685">
        <f>SUMIFS(BS!$46:$46,BS!$7:$7,'TP(분기)'!FU265)</f>
        <v>106</v>
      </c>
      <c r="FV274" s="2685">
        <f>SUMIFS(BS!$46:$46,BS!$7:$7,'TP(분기)'!FV265)</f>
        <v>106</v>
      </c>
      <c r="FW274" s="2685">
        <f>SUMIFS(BS!$46:$46,BS!$7:$7,'TP(분기)'!FW265)</f>
        <v>106</v>
      </c>
      <c r="FX274" s="2685">
        <f>SUMIFS(BS!$46:$46,BS!$7:$7,'TP(분기)'!FX265)</f>
        <v>106</v>
      </c>
      <c r="FY274" s="2685">
        <f>SUMIFS(BS!$46:$46,BS!$7:$7,'TP(분기)'!FY265)</f>
        <v>106</v>
      </c>
      <c r="FZ274" s="2685">
        <f>SUMIFS(BS!$46:$46,BS!$7:$7,'TP(분기)'!FZ265)</f>
        <v>106</v>
      </c>
      <c r="GA274" s="2685">
        <f>SUMIFS(BS!$46:$46,BS!$7:$7,'TP(분기)'!GA265)</f>
        <v>106</v>
      </c>
      <c r="GB274" s="2685">
        <f>SUMIFS(BS!$46:$46,BS!$7:$7,'TP(분기)'!GB265)</f>
        <v>106</v>
      </c>
      <c r="GC274" s="2685">
        <f>SUMIFS(BS!$46:$46,BS!$7:$7,'TP(분기)'!GC265)</f>
        <v>106</v>
      </c>
      <c r="GD274" s="2685">
        <f>SUMIFS(BS!$46:$46,BS!$7:$7,'TP(분기)'!GD265)</f>
        <v>106</v>
      </c>
      <c r="GE274" s="2685">
        <f>SUMIFS(BS!$46:$46,BS!$7:$7,'TP(분기)'!GE265)</f>
        <v>106</v>
      </c>
      <c r="GF274" s="2685">
        <f>SUMIFS(BS!$46:$46,BS!$7:$7,'TP(분기)'!GF265)</f>
        <v>106</v>
      </c>
      <c r="GG274" s="2685">
        <f>SUMIFS(BS!$46:$46,BS!$7:$7,'TP(분기)'!GG265)</f>
        <v>106</v>
      </c>
      <c r="GH274" s="2685">
        <f>SUMIFS(BS!$46:$46,BS!$7:$7,'TP(분기)'!GH265)</f>
        <v>106</v>
      </c>
      <c r="GI274" s="2685">
        <f>SUMIFS(BS!$46:$46,BS!$7:$7,'TP(분기)'!GI265)</f>
        <v>106</v>
      </c>
      <c r="GJ274" s="2685">
        <f>SUMIFS(BS!$46:$46,BS!$7:$7,'TP(분기)'!GJ265)</f>
        <v>106</v>
      </c>
      <c r="GK274" s="2685">
        <f>SUMIFS(BS!$46:$46,BS!$7:$7,'TP(분기)'!GK265)</f>
        <v>106</v>
      </c>
      <c r="GL274" s="2685">
        <f>SUMIFS(BS!$46:$46,BS!$7:$7,'TP(분기)'!GL265)</f>
        <v>106</v>
      </c>
      <c r="GM274" s="2685">
        <f>SUMIFS(BS!$46:$46,BS!$7:$7,'TP(분기)'!GM265)</f>
        <v>106</v>
      </c>
      <c r="GN274" s="2685">
        <f>SUMIFS(BS!$46:$46,BS!$7:$7,'TP(분기)'!GN265)</f>
        <v>106</v>
      </c>
      <c r="GO274" s="2685">
        <f>SUMIFS(BS!$46:$46,BS!$7:$7,'TP(분기)'!GO265)</f>
        <v>106</v>
      </c>
      <c r="GP274" s="2685">
        <f>SUMIFS(BS!$46:$46,BS!$7:$7,'TP(분기)'!GP265)</f>
        <v>106</v>
      </c>
      <c r="GQ274" s="2685">
        <f>SUMIFS(BS!$46:$46,BS!$7:$7,'TP(분기)'!GQ265)</f>
        <v>106</v>
      </c>
      <c r="GR274" s="2685">
        <f>SUMIFS(BS!$46:$46,BS!$7:$7,'TP(분기)'!GR265)</f>
        <v>106</v>
      </c>
      <c r="GS274" s="2685">
        <f>SUMIFS(BS!$46:$46,BS!$7:$7,'TP(분기)'!GS265)</f>
        <v>106</v>
      </c>
      <c r="GT274" s="2685">
        <f>SUMIFS(BS!$46:$46,BS!$7:$7,'TP(분기)'!GT265)</f>
        <v>106</v>
      </c>
      <c r="GU274" s="2685">
        <f>SUMIFS(BS!$46:$46,BS!$7:$7,'TP(분기)'!GU265)</f>
        <v>106</v>
      </c>
      <c r="GV274" s="2685">
        <f>SUMIFS(BS!$46:$46,BS!$7:$7,'TP(분기)'!GV265)</f>
        <v>106</v>
      </c>
      <c r="GW274" s="2685">
        <f>SUMIFS(BS!$46:$46,BS!$7:$7,'TP(분기)'!GW265)</f>
        <v>106</v>
      </c>
      <c r="GX274" s="2685">
        <f>SUMIFS(BS!$46:$46,BS!$7:$7,'TP(분기)'!GX265)</f>
        <v>106</v>
      </c>
      <c r="GY274" s="2685">
        <f>SUMIFS(BS!$46:$46,BS!$7:$7,'TP(분기)'!GY265)</f>
        <v>106</v>
      </c>
      <c r="GZ274" s="2685">
        <f>SUMIFS(BS!$46:$46,BS!$7:$7,'TP(분기)'!GZ265)</f>
        <v>106</v>
      </c>
      <c r="HA274" s="2685">
        <f>SUMIFS(BS!$46:$46,BS!$7:$7,'TP(분기)'!HA265)</f>
        <v>106</v>
      </c>
      <c r="HB274" s="2685">
        <f>SUMIFS(BS!$46:$46,BS!$7:$7,'TP(분기)'!HB265)</f>
        <v>106</v>
      </c>
      <c r="HC274" s="2685">
        <f>SUMIFS(BS!$46:$46,BS!$7:$7,'TP(분기)'!HC265)</f>
        <v>106</v>
      </c>
      <c r="HD274" s="2685">
        <f>SUMIFS(BS!$46:$46,BS!$7:$7,'TP(분기)'!HD265)</f>
        <v>106</v>
      </c>
      <c r="HE274" s="2685">
        <f>SUMIFS(BS!$46:$46,BS!$7:$7,'TP(분기)'!HE265)</f>
        <v>106</v>
      </c>
      <c r="HF274" s="2685">
        <f>SUMIFS(BS!$46:$46,BS!$7:$7,'TP(분기)'!HF265)</f>
        <v>106</v>
      </c>
      <c r="HG274" s="2685">
        <f>SUMIFS(BS!$46:$46,BS!$7:$7,'TP(분기)'!HG265)</f>
        <v>106</v>
      </c>
      <c r="HH274" s="2685">
        <f>SUMIFS(BS!$46:$46,BS!$7:$7,'TP(분기)'!HH265)</f>
        <v>106</v>
      </c>
      <c r="HI274" s="2685">
        <f>SUMIFS(BS!$46:$46,BS!$7:$7,'TP(분기)'!HI265)</f>
        <v>106</v>
      </c>
      <c r="HJ274" s="2685">
        <f>SUMIFS(BS!$46:$46,BS!$7:$7,'TP(분기)'!HJ265)</f>
        <v>106</v>
      </c>
      <c r="HK274" s="2685">
        <f>SUMIFS(BS!$46:$46,BS!$7:$7,'TP(분기)'!HK265)</f>
        <v>106</v>
      </c>
      <c r="HL274" s="2685">
        <f>SUMIFS(BS!$46:$46,BS!$7:$7,'TP(분기)'!HL265)</f>
        <v>106</v>
      </c>
      <c r="HM274" s="2685">
        <f>SUMIFS(BS!$46:$46,BS!$7:$7,'TP(분기)'!HM265)</f>
        <v>106</v>
      </c>
      <c r="HN274" s="2685">
        <f>SUMIFS(BS!$46:$46,BS!$7:$7,'TP(분기)'!HN265)</f>
        <v>106</v>
      </c>
      <c r="HO274" s="2685">
        <f>SUMIFS(BS!$46:$46,BS!$7:$7,'TP(분기)'!HO265)</f>
        <v>106</v>
      </c>
      <c r="HP274" s="2685">
        <f>SUMIFS(BS!$46:$46,BS!$7:$7,'TP(분기)'!HP265)</f>
        <v>106</v>
      </c>
      <c r="HQ274" s="2685">
        <f>SUMIFS(BS!$46:$46,BS!$7:$7,'TP(분기)'!HQ265)</f>
        <v>106</v>
      </c>
      <c r="HR274" s="2685">
        <f>SUMIFS(BS!$46:$46,BS!$7:$7,'TP(분기)'!HR265)</f>
        <v>106</v>
      </c>
      <c r="HS274" s="2685">
        <f>SUMIFS(BS!$46:$46,BS!$7:$7,'TP(분기)'!HS265)</f>
        <v>106</v>
      </c>
      <c r="HT274" s="2685">
        <f>SUMIFS(BS!$46:$46,BS!$7:$7,'TP(분기)'!HT265)</f>
        <v>106</v>
      </c>
      <c r="HU274" s="2685">
        <f>SUMIFS(BS!$46:$46,BS!$7:$7,'TP(분기)'!HU265)</f>
        <v>106</v>
      </c>
      <c r="HV274" s="2685">
        <f>SUMIFS(BS!$46:$46,BS!$7:$7,'TP(분기)'!HV265)</f>
        <v>106</v>
      </c>
      <c r="HW274" s="2685">
        <f>SUMIFS(BS!$46:$46,BS!$7:$7,'TP(분기)'!HW265)</f>
        <v>106</v>
      </c>
      <c r="HX274" s="2685">
        <f>SUMIFS(BS!$46:$46,BS!$7:$7,'TP(분기)'!HX265)</f>
        <v>106</v>
      </c>
      <c r="HY274" s="2685">
        <f>SUMIFS(BS!$46:$46,BS!$7:$7,'TP(분기)'!HY265)</f>
        <v>106</v>
      </c>
      <c r="HZ274" s="5328">
        <f>HY274</f>
        <v>106</v>
      </c>
      <c r="IA274" s="5328">
        <f>HZ274</f>
        <v>106</v>
      </c>
    </row>
    <row r="275" spans="7:235">
      <c r="G275" s="2679" t="s">
        <v>4972</v>
      </c>
      <c r="H275" s="2397"/>
      <c r="I275" s="5067"/>
      <c r="J275" s="5069"/>
      <c r="K275" s="5069"/>
      <c r="L275" s="5069"/>
      <c r="M275" s="5069"/>
      <c r="N275" s="5069"/>
      <c r="O275" s="5069"/>
      <c r="P275" s="5069"/>
      <c r="Q275" s="5069"/>
      <c r="R275" s="5069"/>
      <c r="S275" s="5069"/>
      <c r="T275" s="5069"/>
      <c r="U275" s="5069"/>
      <c r="V275" s="5070"/>
      <c r="W275" s="5073"/>
      <c r="X275" s="5073"/>
      <c r="Y275" s="5073"/>
      <c r="Z275" s="5073"/>
      <c r="AA275" s="5073"/>
      <c r="AB275" s="5073"/>
      <c r="AC275" s="5321"/>
      <c r="AD275" s="5321"/>
      <c r="AE275" s="5321"/>
      <c r="AF275" s="5321"/>
      <c r="AG275" s="5321"/>
      <c r="AH275" s="5321"/>
      <c r="AI275" s="5321"/>
      <c r="AJ275" s="5321"/>
      <c r="AK275" s="5321"/>
      <c r="AL275" s="5321"/>
      <c r="AM275" s="5321"/>
      <c r="AN275" s="5321"/>
      <c r="AO275" s="5321"/>
      <c r="AP275" s="5321"/>
      <c r="AQ275" s="5321"/>
      <c r="AR275" s="5321"/>
      <c r="AS275" s="5321"/>
      <c r="AT275" s="5321"/>
      <c r="AU275" s="5321"/>
      <c r="AV275" s="5321"/>
      <c r="AW275" s="5321"/>
      <c r="AX275" s="5321"/>
      <c r="AY275" s="5321"/>
      <c r="AZ275" s="5321"/>
      <c r="BA275" s="5321"/>
      <c r="BB275" s="5321"/>
      <c r="BC275" s="5321"/>
      <c r="BD275" s="5321"/>
      <c r="BE275" s="5321"/>
      <c r="BF275" s="5321"/>
      <c r="BG275" s="5321"/>
      <c r="BH275" s="5321"/>
      <c r="BI275" s="5321"/>
      <c r="BJ275" s="5321"/>
      <c r="BK275" s="5321"/>
      <c r="BL275" s="5321"/>
      <c r="BM275" s="5321"/>
      <c r="BN275" s="5321"/>
      <c r="BO275" s="5321"/>
      <c r="BP275" s="5321"/>
      <c r="BQ275" s="5321"/>
      <c r="BR275" s="5321"/>
      <c r="BS275" s="5321"/>
      <c r="BT275" s="5321"/>
      <c r="BU275" s="5321"/>
      <c r="BV275" s="5321"/>
      <c r="BW275" s="5321"/>
      <c r="BX275" s="5321"/>
      <c r="BY275" s="5321"/>
      <c r="BZ275" s="5321"/>
      <c r="CA275" s="5321"/>
      <c r="CB275" s="5321"/>
      <c r="CC275" s="5321"/>
      <c r="CD275" s="5321"/>
      <c r="CE275" s="5321"/>
      <c r="CF275" s="5321"/>
      <c r="CG275" s="5321"/>
      <c r="CH275" s="2680">
        <f>SUMIFS(차입금상환!43:43,차입금상환!4:4,'TP(분기)'!CH264)</f>
        <v>916.03046999999992</v>
      </c>
      <c r="CI275" s="2680">
        <f>SUMIFS(차입금상환!43:43,차입금상환!4:4,'TP(분기)'!CI264)</f>
        <v>876.99743999999987</v>
      </c>
      <c r="CJ275" s="2680">
        <f>SUMIFS(차입금상환!43:43,차입금상환!4:4,'TP(분기)'!CJ264)</f>
        <v>837.13391999999988</v>
      </c>
      <c r="CK275" s="2680">
        <f>SUMIFS(차입금상환!43:43,차입금상환!4:4,'TP(분기)'!CK264)</f>
        <v>796.43990999999983</v>
      </c>
      <c r="CL275" s="2680">
        <f>SUMIFS(차입금상환!43:43,차입금상환!4:4,'TP(분기)'!CL264)</f>
        <v>755.74589999999978</v>
      </c>
      <c r="CM275" s="2680">
        <f>SUMIFS(차입금상환!43:43,차입금상환!4:4,'TP(분기)'!CM264)</f>
        <v>715.05188999999984</v>
      </c>
      <c r="CN275" s="2680">
        <f>SUMIFS(차입금상환!43:43,차입금상환!4:4,'TP(분기)'!CN264)</f>
        <v>673.52738999999985</v>
      </c>
      <c r="CO275" s="2680">
        <f>SUMIFS(차입금상환!43:43,차입금상환!4:4,'TP(분기)'!CO264)</f>
        <v>631.17239999999981</v>
      </c>
      <c r="CP275" s="2680">
        <f>SUMIFS(차입금상환!43:43,차입금상환!4:4,'TP(분기)'!CP264)</f>
        <v>592.96985999999981</v>
      </c>
      <c r="CQ275" s="2680">
        <f>SUMIFS(차입금상환!43:43,차입금상환!4:4,'TP(분기)'!CQ264)</f>
        <v>553.93682999999987</v>
      </c>
      <c r="CR275" s="2680">
        <f>SUMIFS(차입금상환!43:43,차입금상환!4:4,'TP(분기)'!CR264)</f>
        <v>509.92085999999989</v>
      </c>
      <c r="CS275" s="2680">
        <f>SUMIFS(차입금상환!43:43,차입금상환!4:4,'TP(분기)'!CS264)</f>
        <v>465.0743999999998</v>
      </c>
      <c r="CT275" s="2680">
        <f>SUMIFS(차입금상환!43:43,차입금상환!4:4,'TP(분기)'!CT264)</f>
        <v>412.75352999999984</v>
      </c>
      <c r="CU275" s="2680">
        <f>SUMIFS(차입금상환!43:43,차입금상환!4:4,'TP(분기)'!CU264)</f>
        <v>360.43265999999983</v>
      </c>
      <c r="CV275" s="2680">
        <f>SUMIFS(차입금상환!43:43,차입금상환!4:4,'TP(분기)'!CV264)</f>
        <v>307.28129999999987</v>
      </c>
      <c r="CW275" s="2680">
        <f>SUMIFS(차입금상환!43:43,차입금상환!4:4,'TP(분기)'!CW264)</f>
        <v>253.29944999999987</v>
      </c>
      <c r="CX275" s="2680">
        <f>SUMIFS(차입금상환!43:43,차입금상환!4:4,'TP(분기)'!CX264)</f>
        <v>220.07984999999991</v>
      </c>
      <c r="CY275" s="2680">
        <f>SUMIFS(차입금상환!43:43,차입금상환!4:4,'TP(분기)'!CY264)</f>
        <v>181.87730999999991</v>
      </c>
      <c r="CZ275" s="2680">
        <f>SUMIFS(차입금상환!43:43,차입금상환!4:4,'TP(분기)'!CZ264)</f>
        <v>142.84427999999991</v>
      </c>
      <c r="DA275" s="2680">
        <f>SUMIFS(차입금상환!43:43,차입금상환!4:4,'TP(분기)'!DA264)</f>
        <v>109.62467999999991</v>
      </c>
      <c r="DB275" s="2680">
        <f>SUMIFS(차입금상환!43:43,차입금상환!4:4,'TP(분기)'!DB264)</f>
        <v>99.658799999999914</v>
      </c>
      <c r="DC275" s="2680">
        <f>SUMIFS(차입금상환!43:43,차입금상환!4:4,'TP(분기)'!DC264)</f>
        <v>89.692919999999916</v>
      </c>
      <c r="DD275" s="2680">
        <f>SUMIFS(차입금상환!43:43,차입금상환!4:4,'TP(분기)'!DD264)</f>
        <v>79.727039999999903</v>
      </c>
      <c r="DE275" s="2680">
        <f>SUMIFS(차입금상환!43:43,차입금상환!4:4,'TP(분기)'!DE264)</f>
        <v>69.76115999999989</v>
      </c>
      <c r="DF275" s="2680">
        <f>SUMIFS(차입금상환!43:43,차입금상환!4:4,'TP(분기)'!DF264)</f>
        <v>59.795279999999906</v>
      </c>
      <c r="DG275" s="2680">
        <f>SUMIFS(차입금상환!43:43,차입금상환!4:4,'TP(분기)'!DG264)</f>
        <v>49.829399999999893</v>
      </c>
      <c r="DH275" s="2680">
        <f>SUMIFS(차입금상환!43:43,차입금상환!4:4,'TP(분기)'!DH264)</f>
        <v>39.863519999999895</v>
      </c>
      <c r="DI275" s="2680">
        <f>SUMIFS(차입금상환!43:43,차입금상환!4:4,'TP(분기)'!DI264)</f>
        <v>29.897639999999889</v>
      </c>
      <c r="DJ275" s="2680">
        <f>SUMIFS(차입금상환!43:43,차입금상환!4:4,'TP(분기)'!DJ264)</f>
        <v>19.93175999999989</v>
      </c>
      <c r="DK275" s="2680">
        <f>SUMIFS(차입금상환!43:43,차입금상환!4:4,'TP(분기)'!DK264)</f>
        <v>9.9658799999998866</v>
      </c>
      <c r="DL275" s="2680">
        <f>SUMIFS(차입금상환!43:43,차입금상환!4:4,'TP(분기)'!DL264)</f>
        <v>0</v>
      </c>
      <c r="DM275" s="2680">
        <f>SUMIFS(차입금상환!43:43,차입금상환!4:4,'TP(분기)'!DM264)</f>
        <v>0</v>
      </c>
      <c r="DN275" s="2680">
        <f>SUMIFS(차입금상환!43:43,차입금상환!4:4,'TP(분기)'!DN264)</f>
        <v>0</v>
      </c>
      <c r="DO275" s="2680">
        <f>SUMIFS(차입금상환!43:43,차입금상환!4:4,'TP(분기)'!DO264)</f>
        <v>0</v>
      </c>
      <c r="DP275" s="2680">
        <f>SUMIFS(차입금상환!43:43,차입금상환!4:4,'TP(분기)'!DP264)</f>
        <v>0</v>
      </c>
      <c r="DQ275" s="2680">
        <f>SUMIFS(차입금상환!43:43,차입금상환!4:4,'TP(분기)'!DQ264)</f>
        <v>0</v>
      </c>
      <c r="DR275" s="2680">
        <f>SUMIFS(차입금상환!43:43,차입금상환!4:4,'TP(분기)'!DR264)</f>
        <v>0</v>
      </c>
      <c r="DS275" s="2680">
        <f>SUMIFS(차입금상환!43:43,차입금상환!4:4,'TP(분기)'!DS264)</f>
        <v>0</v>
      </c>
      <c r="DT275" s="2680">
        <f>SUMIFS(차입금상환!43:43,차입금상환!4:4,'TP(분기)'!DT264)</f>
        <v>0</v>
      </c>
      <c r="DU275" s="2680">
        <f>SUMIFS(차입금상환!43:43,차입금상환!4:4,'TP(분기)'!DU264)</f>
        <v>0</v>
      </c>
      <c r="DV275" s="2680">
        <f>SUMIFS(차입금상환!43:43,차입금상환!4:4,'TP(분기)'!DV264)</f>
        <v>0</v>
      </c>
      <c r="DW275" s="5275">
        <f>SUMIFS(차입금상환!43:43,차입금상환!4:4,'TP(분기)'!DW264)</f>
        <v>0</v>
      </c>
      <c r="DX275" s="5275">
        <f>SUMIFS(차입금상환!43:43,차입금상환!4:4,'TP(분기)'!DX264)</f>
        <v>0</v>
      </c>
      <c r="DY275" s="5275">
        <f>SUMIFS(차입금상환!43:43,차입금상환!4:4,'TP(분기)'!DY264)</f>
        <v>0</v>
      </c>
      <c r="DZ275" s="5275">
        <f>SUMIFS(차입금상환!43:43,차입금상환!4:4,'TP(분기)'!DZ264)</f>
        <v>0</v>
      </c>
      <c r="EA275" s="5275">
        <f>SUMIFS(차입금상환!43:43,차입금상환!4:4,'TP(분기)'!EA264)</f>
        <v>0</v>
      </c>
      <c r="EB275" s="5275">
        <f>SUMIFS(차입금상환!43:43,차입금상환!4:4,'TP(분기)'!EB264)</f>
        <v>0</v>
      </c>
      <c r="EC275" s="5275">
        <f>SUMIFS(차입금상환!43:43,차입금상환!4:4,'TP(분기)'!EC264)</f>
        <v>0</v>
      </c>
      <c r="ED275" s="5275">
        <f>SUMIFS(차입금상환!43:43,차입금상환!4:4,'TP(분기)'!ED264)</f>
        <v>0</v>
      </c>
      <c r="EE275" s="5275">
        <f>SUMIFS(차입금상환!43:43,차입금상환!4:4,'TP(분기)'!EE264)</f>
        <v>0</v>
      </c>
      <c r="EF275" s="5275">
        <f>SUMIFS(차입금상환!43:43,차입금상환!4:4,'TP(분기)'!EF264)</f>
        <v>0</v>
      </c>
      <c r="EG275" s="5275">
        <f>SUMIFS(차입금상환!43:43,차입금상환!4:4,'TP(분기)'!EG264)</f>
        <v>0</v>
      </c>
      <c r="EH275" s="5275">
        <f>SUMIFS(차입금상환!43:43,차입금상환!4:4,'TP(분기)'!EH264)</f>
        <v>0</v>
      </c>
      <c r="EI275" s="5275">
        <f>SUMIFS(차입금상환!43:43,차입금상환!4:4,'TP(분기)'!EI264)</f>
        <v>0</v>
      </c>
      <c r="EJ275" s="5275">
        <f>SUMIFS(차입금상환!43:43,차입금상환!4:4,'TP(분기)'!EJ264)</f>
        <v>0</v>
      </c>
      <c r="EK275" s="5275">
        <f>SUMIFS(차입금상환!43:43,차입금상환!4:4,'TP(분기)'!EK264)</f>
        <v>0</v>
      </c>
      <c r="EL275" s="5275">
        <f>SUMIFS(차입금상환!43:43,차입금상환!4:4,'TP(분기)'!EL264)</f>
        <v>0</v>
      </c>
      <c r="EM275" s="5275">
        <f>SUMIFS(차입금상환!43:43,차입금상환!4:4,'TP(분기)'!EM264)</f>
        <v>0</v>
      </c>
      <c r="EN275" s="5275">
        <f>SUMIFS(차입금상환!43:43,차입금상환!4:4,'TP(분기)'!EN264)</f>
        <v>0</v>
      </c>
      <c r="EO275" s="5275">
        <f>SUMIFS(차입금상환!43:43,차입금상환!4:4,'TP(분기)'!EO264)</f>
        <v>0</v>
      </c>
      <c r="EP275" s="5275">
        <f>SUMIFS(차입금상환!43:43,차입금상환!4:4,'TP(분기)'!EP264)</f>
        <v>0</v>
      </c>
      <c r="EQ275" s="5275">
        <f>SUMIFS(차입금상환!43:43,차입금상환!4:4,'TP(분기)'!EQ264)</f>
        <v>0</v>
      </c>
      <c r="ER275" s="5275">
        <f>SUMIFS(차입금상환!43:43,차입금상환!4:4,'TP(분기)'!ER264)</f>
        <v>0</v>
      </c>
      <c r="ES275" s="5275">
        <f>SUMIFS(차입금상환!43:43,차입금상환!4:4,'TP(분기)'!ES264)</f>
        <v>0</v>
      </c>
      <c r="ET275" s="5275">
        <f>SUMIFS(차입금상환!43:43,차입금상환!4:4,'TP(분기)'!ET264)</f>
        <v>0</v>
      </c>
      <c r="EU275" s="5275">
        <f>SUMIFS(차입금상환!43:43,차입금상환!4:4,'TP(분기)'!EU264)</f>
        <v>0</v>
      </c>
      <c r="EV275" s="5275">
        <f>SUMIFS(차입금상환!43:43,차입금상환!4:4,'TP(분기)'!EV264)</f>
        <v>0</v>
      </c>
      <c r="EW275" s="5275">
        <f>SUMIFS(차입금상환!43:43,차입금상환!4:4,'TP(분기)'!EW264)</f>
        <v>0</v>
      </c>
      <c r="EX275" s="5275">
        <f>SUMIFS(차입금상환!43:43,차입금상환!4:4,'TP(분기)'!EX264)</f>
        <v>0</v>
      </c>
      <c r="EY275" s="5275">
        <f>SUMIFS(차입금상환!43:43,차입금상환!4:4,'TP(분기)'!EY264)</f>
        <v>0</v>
      </c>
      <c r="EZ275" s="5275">
        <f>SUMIFS(차입금상환!43:43,차입금상환!4:4,'TP(분기)'!EZ264)</f>
        <v>0</v>
      </c>
      <c r="FA275" s="5275">
        <f>SUMIFS(차입금상환!43:43,차입금상환!4:4,'TP(분기)'!FA264)</f>
        <v>0</v>
      </c>
      <c r="FB275" s="5275">
        <f>SUMIFS(차입금상환!43:43,차입금상환!4:4,'TP(분기)'!FB264)</f>
        <v>0</v>
      </c>
      <c r="FC275" s="5275">
        <f>SUMIFS(차입금상환!43:43,차입금상환!4:4,'TP(분기)'!FC264)</f>
        <v>0</v>
      </c>
      <c r="FD275" s="5275">
        <f>SUMIFS(차입금상환!43:43,차입금상환!4:4,'TP(분기)'!FD264)</f>
        <v>0</v>
      </c>
      <c r="FE275" s="5275">
        <f>SUMIFS(차입금상환!43:43,차입금상환!4:4,'TP(분기)'!FE264)</f>
        <v>0</v>
      </c>
      <c r="FF275" s="5275">
        <f>SUMIFS(차입금상환!43:43,차입금상환!4:4,'TP(분기)'!FF264)</f>
        <v>0</v>
      </c>
      <c r="FG275" s="5275">
        <f>SUMIFS(차입금상환!43:43,차입금상환!4:4,'TP(분기)'!FG264)</f>
        <v>0</v>
      </c>
      <c r="FH275" s="5275">
        <f>SUMIFS(차입금상환!43:43,차입금상환!4:4,'TP(분기)'!FH264)</f>
        <v>0</v>
      </c>
      <c r="FI275" s="5275">
        <f>SUMIFS(차입금상환!43:43,차입금상환!4:4,'TP(분기)'!FI264)</f>
        <v>0</v>
      </c>
      <c r="FJ275" s="5275">
        <f>SUMIFS(차입금상환!43:43,차입금상환!4:4,'TP(분기)'!FJ264)</f>
        <v>0</v>
      </c>
      <c r="FK275" s="5275">
        <f>SUMIFS(차입금상환!43:43,차입금상환!4:4,'TP(분기)'!FK264)</f>
        <v>0</v>
      </c>
      <c r="FL275" s="5275">
        <f>SUMIFS(차입금상환!43:43,차입금상환!4:4,'TP(분기)'!FL264)</f>
        <v>0</v>
      </c>
      <c r="FM275" s="5275">
        <f>SUMIFS(차입금상환!43:43,차입금상환!4:4,'TP(분기)'!FM264)</f>
        <v>0</v>
      </c>
      <c r="FN275" s="5275">
        <f>SUMIFS(차입금상환!43:43,차입금상환!4:4,'TP(분기)'!FN264)</f>
        <v>0</v>
      </c>
      <c r="FO275" s="5275">
        <f>SUMIFS(차입금상환!43:43,차입금상환!4:4,'TP(분기)'!FO264)</f>
        <v>0</v>
      </c>
      <c r="FP275" s="5275">
        <f>SUMIFS(차입금상환!43:43,차입금상환!4:4,'TP(분기)'!FP264)</f>
        <v>0</v>
      </c>
      <c r="FQ275" s="5275">
        <f>SUMIFS(차입금상환!43:43,차입금상환!4:4,'TP(분기)'!FQ264)</f>
        <v>0</v>
      </c>
      <c r="FR275" s="5275">
        <f>SUMIFS(차입금상환!43:43,차입금상환!4:4,'TP(분기)'!FR264)</f>
        <v>0</v>
      </c>
      <c r="FS275" s="5275">
        <f>SUMIFS(차입금상환!43:43,차입금상환!4:4,'TP(분기)'!FS264)</f>
        <v>0</v>
      </c>
      <c r="FT275" s="5275">
        <f>SUMIFS(차입금상환!43:43,차입금상환!4:4,'TP(분기)'!FT264)</f>
        <v>0</v>
      </c>
      <c r="FU275" s="5275">
        <f>SUMIFS(차입금상환!43:43,차입금상환!4:4,'TP(분기)'!FU264)</f>
        <v>0</v>
      </c>
      <c r="FV275" s="5275">
        <f>SUMIFS(차입금상환!43:43,차입금상환!4:4,'TP(분기)'!FV264)</f>
        <v>0</v>
      </c>
      <c r="FW275" s="5275">
        <f>SUMIFS(차입금상환!43:43,차입금상환!4:4,'TP(분기)'!FW264)</f>
        <v>0</v>
      </c>
      <c r="FX275" s="5275">
        <f>SUMIFS(차입금상환!43:43,차입금상환!4:4,'TP(분기)'!FX264)</f>
        <v>0</v>
      </c>
      <c r="FY275" s="5275">
        <f>SUMIFS(차입금상환!43:43,차입금상환!4:4,'TP(분기)'!FY264)</f>
        <v>0</v>
      </c>
      <c r="FZ275" s="5275">
        <f>SUMIFS(차입금상환!43:43,차입금상환!4:4,'TP(분기)'!FZ264)</f>
        <v>0</v>
      </c>
      <c r="GA275" s="5275">
        <f>SUMIFS(차입금상환!43:43,차입금상환!4:4,'TP(분기)'!GA264)</f>
        <v>0</v>
      </c>
      <c r="GB275" s="5275">
        <f>SUMIFS(차입금상환!43:43,차입금상환!4:4,'TP(분기)'!GB264)</f>
        <v>0</v>
      </c>
      <c r="GC275" s="5275">
        <f>SUMIFS(차입금상환!43:43,차입금상환!4:4,'TP(분기)'!GC264)</f>
        <v>0</v>
      </c>
      <c r="GD275" s="5275">
        <f>SUMIFS(차입금상환!43:43,차입금상환!4:4,'TP(분기)'!GD264)</f>
        <v>0</v>
      </c>
      <c r="GE275" s="5275">
        <f>SUMIFS(차입금상환!43:43,차입금상환!4:4,'TP(분기)'!GE264)</f>
        <v>0</v>
      </c>
      <c r="GF275" s="5275">
        <f>SUMIFS(차입금상환!43:43,차입금상환!4:4,'TP(분기)'!GF264)</f>
        <v>0</v>
      </c>
      <c r="GG275" s="5275">
        <f>SUMIFS(차입금상환!43:43,차입금상환!4:4,'TP(분기)'!GG264)</f>
        <v>0</v>
      </c>
      <c r="GH275" s="5275">
        <f>SUMIFS(차입금상환!43:43,차입금상환!4:4,'TP(분기)'!GH264)</f>
        <v>0</v>
      </c>
      <c r="GI275" s="5275">
        <f>SUMIFS(차입금상환!43:43,차입금상환!4:4,'TP(분기)'!GI264)</f>
        <v>0</v>
      </c>
      <c r="GJ275" s="5275">
        <f>SUMIFS(차입금상환!43:43,차입금상환!4:4,'TP(분기)'!GJ264)</f>
        <v>0</v>
      </c>
      <c r="GK275" s="5275">
        <f>SUMIFS(차입금상환!43:43,차입금상환!4:4,'TP(분기)'!GK264)</f>
        <v>0</v>
      </c>
      <c r="GL275" s="5275">
        <f>SUMIFS(차입금상환!43:43,차입금상환!4:4,'TP(분기)'!GL264)</f>
        <v>0</v>
      </c>
      <c r="GM275" s="5275">
        <f>SUMIFS(차입금상환!43:43,차입금상환!4:4,'TP(분기)'!GM264)</f>
        <v>0</v>
      </c>
      <c r="GN275" s="5275">
        <f>SUMIFS(차입금상환!43:43,차입금상환!4:4,'TP(분기)'!GN264)</f>
        <v>0</v>
      </c>
      <c r="GO275" s="5275">
        <f>SUMIFS(차입금상환!43:43,차입금상환!4:4,'TP(분기)'!GO264)</f>
        <v>0</v>
      </c>
      <c r="GP275" s="5275">
        <f>SUMIFS(차입금상환!43:43,차입금상환!4:4,'TP(분기)'!GP264)</f>
        <v>0</v>
      </c>
      <c r="GQ275" s="5275">
        <f>SUMIFS(차입금상환!43:43,차입금상환!4:4,'TP(분기)'!GQ264)</f>
        <v>0</v>
      </c>
      <c r="GR275" s="5275">
        <f>SUMIFS(차입금상환!43:43,차입금상환!4:4,'TP(분기)'!GR264)</f>
        <v>0</v>
      </c>
      <c r="GS275" s="5275">
        <f>SUMIFS(차입금상환!43:43,차입금상환!4:4,'TP(분기)'!GS264)</f>
        <v>0</v>
      </c>
      <c r="GT275" s="5275">
        <f>SUMIFS(차입금상환!43:43,차입금상환!4:4,'TP(분기)'!GT264)</f>
        <v>0</v>
      </c>
      <c r="GU275" s="5275">
        <f>SUMIFS(차입금상환!43:43,차입금상환!4:4,'TP(분기)'!GU264)</f>
        <v>0</v>
      </c>
      <c r="GV275" s="5275">
        <f>SUMIFS(차입금상환!43:43,차입금상환!4:4,'TP(분기)'!GV264)</f>
        <v>0</v>
      </c>
      <c r="GW275" s="5275">
        <f>SUMIFS(차입금상환!43:43,차입금상환!4:4,'TP(분기)'!GW264)</f>
        <v>0</v>
      </c>
      <c r="GX275" s="5275">
        <f>SUMIFS(차입금상환!43:43,차입금상환!4:4,'TP(분기)'!GX264)</f>
        <v>0</v>
      </c>
      <c r="GY275" s="5275">
        <f>SUMIFS(차입금상환!43:43,차입금상환!4:4,'TP(분기)'!GY264)</f>
        <v>0</v>
      </c>
      <c r="GZ275" s="5275">
        <f>SUMIFS(차입금상환!43:43,차입금상환!4:4,'TP(분기)'!GZ264)</f>
        <v>0</v>
      </c>
      <c r="HA275" s="5275">
        <f>SUMIFS(차입금상환!43:43,차입금상환!4:4,'TP(분기)'!HA264)</f>
        <v>0</v>
      </c>
      <c r="HB275" s="5275">
        <f>SUMIFS(차입금상환!43:43,차입금상환!4:4,'TP(분기)'!HB264)</f>
        <v>0</v>
      </c>
      <c r="HC275" s="5275">
        <f>SUMIFS(차입금상환!43:43,차입금상환!4:4,'TP(분기)'!HC264)</f>
        <v>0</v>
      </c>
      <c r="HD275" s="5275">
        <f>SUMIFS(차입금상환!43:43,차입금상환!4:4,'TP(분기)'!HD264)</f>
        <v>0</v>
      </c>
      <c r="HE275" s="5275">
        <f>SUMIFS(차입금상환!43:43,차입금상환!4:4,'TP(분기)'!HE264)</f>
        <v>0</v>
      </c>
      <c r="HF275" s="5275">
        <f>SUMIFS(차입금상환!43:43,차입금상환!4:4,'TP(분기)'!HF264)</f>
        <v>0</v>
      </c>
      <c r="HG275" s="5275">
        <f>SUMIFS(차입금상환!43:43,차입금상환!4:4,'TP(분기)'!HG264)</f>
        <v>0</v>
      </c>
      <c r="HH275" s="5275">
        <f>SUMIFS(차입금상환!43:43,차입금상환!4:4,'TP(분기)'!HH264)</f>
        <v>0</v>
      </c>
      <c r="HI275" s="5275">
        <f>SUMIFS(차입금상환!43:43,차입금상환!4:4,'TP(분기)'!HI264)</f>
        <v>0</v>
      </c>
      <c r="HJ275" s="5275">
        <f>SUMIFS(차입금상환!43:43,차입금상환!4:4,'TP(분기)'!HJ264)</f>
        <v>0</v>
      </c>
      <c r="HK275" s="5275">
        <f>SUMIFS(차입금상환!43:43,차입금상환!4:4,'TP(분기)'!HK264)</f>
        <v>0</v>
      </c>
      <c r="HL275" s="5275">
        <f>SUMIFS(차입금상환!43:43,차입금상환!4:4,'TP(분기)'!HL264)</f>
        <v>0</v>
      </c>
      <c r="HM275" s="5275">
        <f>SUMIFS(차입금상환!43:43,차입금상환!4:4,'TP(분기)'!HM264)</f>
        <v>0</v>
      </c>
      <c r="HN275" s="5275">
        <f>SUMIFS(차입금상환!43:43,차입금상환!4:4,'TP(분기)'!HN264)</f>
        <v>0</v>
      </c>
      <c r="HO275" s="5275">
        <f>SUMIFS(차입금상환!43:43,차입금상환!4:4,'TP(분기)'!HO264)</f>
        <v>0</v>
      </c>
      <c r="HP275" s="5275">
        <f>SUMIFS(차입금상환!43:43,차입금상환!4:4,'TP(분기)'!HP264)</f>
        <v>0</v>
      </c>
      <c r="HQ275" s="5275">
        <f>SUMIFS(차입금상환!43:43,차입금상환!4:4,'TP(분기)'!HQ264)</f>
        <v>0</v>
      </c>
      <c r="HR275" s="5275">
        <f>SUMIFS(차입금상환!43:43,차입금상환!4:4,'TP(분기)'!HR264)</f>
        <v>0</v>
      </c>
      <c r="HS275" s="5275">
        <f>SUMIFS(차입금상환!43:43,차입금상환!4:4,'TP(분기)'!HS264)</f>
        <v>0</v>
      </c>
      <c r="HT275" s="5275">
        <f>SUMIFS(차입금상환!43:43,차입금상환!4:4,'TP(분기)'!HT264)</f>
        <v>0</v>
      </c>
      <c r="HU275" s="5275">
        <f>SUMIFS(차입금상환!43:43,차입금상환!4:4,'TP(분기)'!HU264)</f>
        <v>0</v>
      </c>
      <c r="HV275" s="5275">
        <f>SUMIFS(차입금상환!43:43,차입금상환!4:4,'TP(분기)'!HV264)</f>
        <v>0</v>
      </c>
      <c r="HW275" s="5275">
        <f>SUMIFS(차입금상환!43:43,차입금상환!4:4,'TP(분기)'!HW264)</f>
        <v>0</v>
      </c>
      <c r="HX275" s="5275">
        <f>SUMIFS(차입금상환!43:43,차입금상환!4:4,'TP(분기)'!HX264)</f>
        <v>0</v>
      </c>
      <c r="HY275" s="5275">
        <f>SUMIFS(차입금상환!43:43,차입금상환!4:4,'TP(분기)'!HY264)</f>
        <v>0</v>
      </c>
      <c r="HZ275" s="5275">
        <f>SUMIFS(차입금상환!43:43,차입금상환!4:4,'TP(분기)'!HZ264)</f>
        <v>0</v>
      </c>
      <c r="IA275" s="5275">
        <f>SUMIFS(차입금상환!43:43,차입금상환!4:4,'TP(분기)'!IA264)</f>
        <v>0</v>
      </c>
    </row>
    <row r="276" spans="7:235">
      <c r="G276" s="2683" t="s">
        <v>3996</v>
      </c>
      <c r="H276" s="2493"/>
      <c r="I276" s="5067"/>
      <c r="J276" s="5069"/>
      <c r="K276" s="5069"/>
      <c r="L276" s="5069"/>
      <c r="M276" s="5069"/>
      <c r="N276" s="5069"/>
      <c r="O276" s="5069"/>
      <c r="P276" s="5069"/>
      <c r="Q276" s="5069"/>
      <c r="R276" s="5069"/>
      <c r="S276" s="5069"/>
      <c r="T276" s="5069"/>
      <c r="U276" s="5069"/>
      <c r="V276" s="5070"/>
      <c r="W276" s="5075"/>
      <c r="X276" s="5075"/>
      <c r="Y276" s="5075"/>
      <c r="Z276" s="5075"/>
      <c r="AA276" s="5075"/>
      <c r="AB276" s="5075"/>
      <c r="AC276" s="5323"/>
      <c r="AD276" s="5323"/>
      <c r="AE276" s="5323"/>
      <c r="AF276" s="5323"/>
      <c r="AG276" s="5323"/>
      <c r="AH276" s="5323"/>
      <c r="AI276" s="5323"/>
      <c r="AJ276" s="5323"/>
      <c r="AK276" s="5323"/>
      <c r="AL276" s="5323"/>
      <c r="AM276" s="5323"/>
      <c r="AN276" s="5323"/>
      <c r="AO276" s="5323"/>
      <c r="AP276" s="5323"/>
      <c r="AQ276" s="5323"/>
      <c r="AR276" s="5323"/>
      <c r="AS276" s="5323"/>
      <c r="AT276" s="5323"/>
      <c r="AU276" s="5323"/>
      <c r="AV276" s="5323"/>
      <c r="AW276" s="5323"/>
      <c r="AX276" s="5323"/>
      <c r="AY276" s="5323"/>
      <c r="AZ276" s="5323"/>
      <c r="BA276" s="5323"/>
      <c r="BB276" s="5323"/>
      <c r="BC276" s="5323"/>
      <c r="BD276" s="5323"/>
      <c r="BE276" s="5323"/>
      <c r="BF276" s="5323"/>
      <c r="BG276" s="5323"/>
      <c r="BH276" s="5323"/>
      <c r="BI276" s="5323"/>
      <c r="BJ276" s="5323"/>
      <c r="BK276" s="5323"/>
      <c r="BL276" s="5323"/>
      <c r="BM276" s="5323"/>
      <c r="BN276" s="5323"/>
      <c r="BO276" s="5323"/>
      <c r="BP276" s="5323"/>
      <c r="BQ276" s="5323"/>
      <c r="BR276" s="5323"/>
      <c r="BS276" s="5323"/>
      <c r="BT276" s="5323"/>
      <c r="BU276" s="5323"/>
      <c r="BV276" s="5323"/>
      <c r="BW276" s="5323"/>
      <c r="BX276" s="5323"/>
      <c r="BY276" s="5323"/>
      <c r="BZ276" s="5323"/>
      <c r="CA276" s="5323"/>
      <c r="CB276" s="5323"/>
      <c r="CC276" s="5323"/>
      <c r="CD276" s="5323"/>
      <c r="CE276" s="5323"/>
      <c r="CF276" s="5323"/>
      <c r="CG276" s="5323"/>
      <c r="CH276" s="2684"/>
      <c r="CI276" s="2684"/>
      <c r="CJ276" s="2684"/>
      <c r="CK276" s="2684"/>
      <c r="CL276" s="2684"/>
      <c r="CM276" s="2684"/>
      <c r="CN276" s="2684"/>
      <c r="CO276" s="2684"/>
      <c r="CP276" s="2684"/>
      <c r="CQ276" s="2684"/>
      <c r="CR276" s="2684"/>
      <c r="CS276" s="2684"/>
      <c r="CT276" s="2684"/>
      <c r="CU276" s="2684"/>
      <c r="CV276" s="2684"/>
      <c r="CW276" s="2684"/>
      <c r="CX276" s="2684"/>
      <c r="CY276" s="2684"/>
      <c r="CZ276" s="2684"/>
      <c r="DA276" s="2684"/>
      <c r="DB276" s="2684"/>
      <c r="DC276" s="2684"/>
      <c r="DD276" s="2684"/>
      <c r="DE276" s="2684"/>
      <c r="DF276" s="2684"/>
      <c r="DG276" s="2684"/>
      <c r="DH276" s="2684"/>
      <c r="DI276" s="2684"/>
      <c r="DJ276" s="2684"/>
      <c r="DK276" s="2684"/>
      <c r="DL276" s="2684"/>
      <c r="DM276" s="2684"/>
      <c r="DN276" s="2684"/>
      <c r="DO276" s="2684"/>
      <c r="DP276" s="2684"/>
      <c r="DQ276" s="2684"/>
      <c r="DR276" s="2684"/>
      <c r="DS276" s="2684"/>
      <c r="DT276" s="2684"/>
      <c r="DU276" s="2684"/>
      <c r="DV276" s="2684"/>
      <c r="DW276" s="2684"/>
      <c r="DX276" s="2684"/>
      <c r="DY276" s="2684"/>
      <c r="DZ276" s="2684"/>
      <c r="EA276" s="2684"/>
      <c r="EB276" s="2684"/>
      <c r="EC276" s="2684"/>
      <c r="ED276" s="2684"/>
      <c r="EE276" s="2684"/>
      <c r="EF276" s="2684"/>
      <c r="EG276" s="2684"/>
      <c r="EH276" s="2684"/>
      <c r="EI276" s="2684"/>
      <c r="EJ276" s="2684"/>
      <c r="EK276" s="2684"/>
      <c r="EL276" s="2684"/>
      <c r="EM276" s="2684"/>
      <c r="EN276" s="2684"/>
      <c r="EO276" s="2684"/>
      <c r="EP276" s="2684"/>
      <c r="EQ276" s="2684"/>
      <c r="ER276" s="2684"/>
      <c r="ES276" s="2684"/>
      <c r="ET276" s="2684"/>
      <c r="EU276" s="2684"/>
      <c r="EV276" s="2684"/>
      <c r="EW276" s="2684"/>
      <c r="EX276" s="2684"/>
      <c r="EY276" s="2684"/>
      <c r="EZ276" s="2684"/>
      <c r="FA276" s="2684"/>
      <c r="FB276" s="2684"/>
      <c r="FC276" s="2684"/>
      <c r="FD276" s="2684"/>
      <c r="FE276" s="2684"/>
      <c r="FF276" s="2684"/>
      <c r="FG276" s="2684"/>
      <c r="FH276" s="2684"/>
      <c r="FI276" s="2684"/>
      <c r="FJ276" s="2684"/>
      <c r="FK276" s="2684"/>
      <c r="FL276" s="2684"/>
      <c r="FM276" s="2684"/>
      <c r="FN276" s="2684"/>
      <c r="FO276" s="2684"/>
      <c r="FP276" s="2684"/>
      <c r="FQ276" s="2684"/>
      <c r="FR276" s="2684"/>
      <c r="FS276" s="2684"/>
      <c r="FT276" s="2684"/>
      <c r="FU276" s="2684"/>
      <c r="FV276" s="2684"/>
      <c r="FW276" s="2684"/>
      <c r="FX276" s="2684"/>
      <c r="FY276" s="2684"/>
      <c r="FZ276" s="2684"/>
      <c r="GA276" s="2684"/>
      <c r="GB276" s="2684"/>
      <c r="GC276" s="2684"/>
      <c r="GD276" s="2684"/>
      <c r="GE276" s="2684"/>
      <c r="GF276" s="2684"/>
      <c r="GG276" s="2684"/>
      <c r="GH276" s="2684"/>
      <c r="GI276" s="2684"/>
      <c r="GJ276" s="2684"/>
      <c r="GK276" s="2684"/>
      <c r="GL276" s="2684"/>
      <c r="GM276" s="2684"/>
      <c r="GN276" s="2684"/>
      <c r="GO276" s="2684"/>
      <c r="GP276" s="2684"/>
      <c r="GQ276" s="2684"/>
      <c r="GR276" s="2684"/>
      <c r="GS276" s="2684"/>
      <c r="GT276" s="2684"/>
      <c r="GU276" s="2684"/>
      <c r="GV276" s="2684"/>
      <c r="GW276" s="2684"/>
      <c r="GX276" s="2684"/>
      <c r="GY276" s="2684"/>
      <c r="GZ276" s="2684"/>
      <c r="HA276" s="2684"/>
      <c r="HB276" s="2684"/>
      <c r="HC276" s="2684"/>
      <c r="HD276" s="2684"/>
      <c r="HE276" s="2684"/>
      <c r="HF276" s="2684"/>
      <c r="HG276" s="2684"/>
      <c r="HH276" s="2684"/>
      <c r="HI276" s="2684"/>
      <c r="HJ276" s="2684"/>
      <c r="HK276" s="2684"/>
      <c r="HL276" s="2684"/>
      <c r="HM276" s="2684"/>
      <c r="HN276" s="2684"/>
      <c r="HO276" s="2684"/>
      <c r="HP276" s="2684"/>
      <c r="HQ276" s="2684"/>
      <c r="HR276" s="2684"/>
      <c r="HS276" s="2684"/>
      <c r="HT276" s="2684"/>
      <c r="HU276" s="2684"/>
      <c r="HV276" s="2684"/>
      <c r="HW276" s="2684"/>
      <c r="HX276" s="2684"/>
      <c r="HY276" s="2684"/>
      <c r="HZ276" s="2684"/>
      <c r="IA276" s="2684"/>
    </row>
    <row r="277" spans="7:235" s="5329" customFormat="1">
      <c r="G277" s="5330" t="s">
        <v>3997</v>
      </c>
      <c r="H277" s="5331"/>
      <c r="I277" s="5332"/>
      <c r="J277" s="5333"/>
      <c r="K277" s="5333"/>
      <c r="L277" s="5333"/>
      <c r="M277" s="5333"/>
      <c r="N277" s="5333"/>
      <c r="O277" s="5333"/>
      <c r="P277" s="5333"/>
      <c r="Q277" s="5333"/>
      <c r="R277" s="5333"/>
      <c r="S277" s="5333"/>
      <c r="T277" s="5333"/>
      <c r="U277" s="5333"/>
      <c r="V277" s="5334"/>
      <c r="W277" s="5077"/>
      <c r="X277" s="5077"/>
      <c r="Y277" s="5077"/>
      <c r="Z277" s="5077"/>
      <c r="AA277" s="5077"/>
      <c r="AB277" s="5077"/>
      <c r="AC277" s="5325"/>
      <c r="AD277" s="5325"/>
      <c r="AE277" s="5325"/>
      <c r="AF277" s="5325"/>
      <c r="AG277" s="5325"/>
      <c r="AH277" s="5325"/>
      <c r="AI277" s="5325"/>
      <c r="AJ277" s="5325"/>
      <c r="AK277" s="5325"/>
      <c r="AL277" s="5325"/>
      <c r="AM277" s="5325"/>
      <c r="AN277" s="5325"/>
      <c r="AO277" s="5325"/>
      <c r="AP277" s="5325"/>
      <c r="AQ277" s="5325"/>
      <c r="AR277" s="5325"/>
      <c r="AS277" s="5325"/>
      <c r="AT277" s="5325"/>
      <c r="AU277" s="5325"/>
      <c r="AV277" s="5325"/>
      <c r="AW277" s="5325"/>
      <c r="AX277" s="5325"/>
      <c r="AY277" s="5325"/>
      <c r="AZ277" s="5325"/>
      <c r="BA277" s="5325"/>
      <c r="BB277" s="5325"/>
      <c r="BC277" s="5325"/>
      <c r="BD277" s="5325"/>
      <c r="BE277" s="5325"/>
      <c r="BF277" s="5325"/>
      <c r="BG277" s="5335"/>
      <c r="BH277" s="5335"/>
      <c r="BI277" s="5335"/>
      <c r="BJ277" s="5335"/>
      <c r="BK277" s="5335"/>
      <c r="BL277" s="5335"/>
      <c r="BM277" s="5335"/>
      <c r="BN277" s="5335"/>
      <c r="BO277" s="5335"/>
      <c r="BP277" s="5335"/>
      <c r="BQ277" s="5335"/>
      <c r="BR277" s="5335"/>
      <c r="BS277" s="5335"/>
      <c r="BT277" s="5335"/>
      <c r="BU277" s="5335"/>
      <c r="BV277" s="5335"/>
      <c r="BW277" s="5335"/>
      <c r="BX277" s="5335"/>
      <c r="BY277" s="5335"/>
      <c r="BZ277" s="5335"/>
      <c r="CA277" s="5335"/>
      <c r="CB277" s="5335"/>
      <c r="CC277" s="5335"/>
      <c r="CD277" s="5335"/>
      <c r="CE277" s="5335"/>
      <c r="CF277" s="5335"/>
      <c r="CG277" s="5335"/>
      <c r="CH277" s="2686">
        <f ca="1">IFERROR(CH267/(CH271+CH275),"")</f>
        <v>1.0524795533085507</v>
      </c>
      <c r="CI277" s="2686">
        <f t="shared" ref="CI277:ET277" ca="1" si="414">IFERROR(CI267/(CI271+CI275),"")</f>
        <v>1.0842448763792623</v>
      </c>
      <c r="CJ277" s="2686">
        <f t="shared" ca="1" si="414"/>
        <v>1.1202962480250083</v>
      </c>
      <c r="CK277" s="2686">
        <f t="shared" ca="1" si="414"/>
        <v>1.1613869005564454</v>
      </c>
      <c r="CL277" s="2686">
        <f t="shared" ca="1" si="414"/>
        <v>1.2071361473504745</v>
      </c>
      <c r="CM277" s="2686">
        <f t="shared" ca="1" si="414"/>
        <v>1.2583359740461937</v>
      </c>
      <c r="CN277" s="2686">
        <f t="shared" ca="1" si="414"/>
        <v>1.3175922349822025</v>
      </c>
      <c r="CO277" s="2686">
        <f t="shared" ca="1" si="414"/>
        <v>1.3867251927596591</v>
      </c>
      <c r="CP277" s="2686">
        <f t="shared" ca="1" si="414"/>
        <v>1.455820742250882</v>
      </c>
      <c r="CQ277" s="2686">
        <f t="shared" ca="1" si="414"/>
        <v>1.5370301886878142</v>
      </c>
      <c r="CR277" s="2686">
        <f t="shared" ca="1" si="414"/>
        <v>1.6468042424283833</v>
      </c>
      <c r="CS277" s="2686">
        <f t="shared" ca="1" si="414"/>
        <v>1.7808380981141161</v>
      </c>
      <c r="CT277" s="2686">
        <f t="shared" ca="1" si="414"/>
        <v>1.9790565008191223</v>
      </c>
      <c r="CU277" s="2686">
        <f t="shared" ca="1" si="414"/>
        <v>2.2352544557499376</v>
      </c>
      <c r="CV277" s="2686">
        <f t="shared" ca="1" si="414"/>
        <v>2.5859319471551028</v>
      </c>
      <c r="CW277" s="2686">
        <f t="shared" ca="1" si="414"/>
        <v>3.0940055835867413</v>
      </c>
      <c r="CX277" s="2686">
        <f t="shared" ca="1" si="414"/>
        <v>3.5121833146224537</v>
      </c>
      <c r="CY277" s="2686">
        <f t="shared" ca="1" si="414"/>
        <v>4.1916117710565501</v>
      </c>
      <c r="CZ277" s="2686">
        <f t="shared" ca="1" si="414"/>
        <v>5.2637934103757926</v>
      </c>
      <c r="DA277" s="2686">
        <f t="shared" ca="1" si="414"/>
        <v>6.7648079020608183</v>
      </c>
      <c r="DB277" s="2686">
        <f t="shared" ca="1" si="414"/>
        <v>7.3392261565731456</v>
      </c>
      <c r="DC277" s="2686">
        <f t="shared" ca="1" si="414"/>
        <v>8.0428483119095464</v>
      </c>
      <c r="DD277" s="2686">
        <f t="shared" ca="1" si="414"/>
        <v>8.9241018307947506</v>
      </c>
      <c r="DE277" s="2686">
        <f t="shared" ca="1" si="414"/>
        <v>10.05908738799973</v>
      </c>
      <c r="DF277" s="2686">
        <f t="shared" ca="1" si="414"/>
        <v>11.574639874360415</v>
      </c>
      <c r="DG277" s="2686">
        <f t="shared" ca="1" si="414"/>
        <v>13.699062605717851</v>
      </c>
      <c r="DH277" s="2686">
        <f t="shared" ca="1" si="414"/>
        <v>16.888962845390733</v>
      </c>
      <c r="DI277" s="2686">
        <f t="shared" ca="1" si="414"/>
        <v>22.209758371753811</v>
      </c>
      <c r="DJ277" s="2686">
        <f t="shared" ca="1" si="414"/>
        <v>32.857703748788794</v>
      </c>
      <c r="DK277" s="2686">
        <f t="shared" ca="1" si="414"/>
        <v>64.814074220410319</v>
      </c>
      <c r="DL277" s="2686" t="str">
        <f t="shared" ca="1" si="414"/>
        <v/>
      </c>
      <c r="DM277" s="2686" t="str">
        <f t="shared" ca="1" si="414"/>
        <v/>
      </c>
      <c r="DN277" s="2686" t="str">
        <f t="shared" ca="1" si="414"/>
        <v/>
      </c>
      <c r="DO277" s="2686" t="str">
        <f t="shared" ca="1" si="414"/>
        <v/>
      </c>
      <c r="DP277" s="2686" t="str">
        <f t="shared" ca="1" si="414"/>
        <v/>
      </c>
      <c r="DQ277" s="2686" t="str">
        <f t="shared" ca="1" si="414"/>
        <v/>
      </c>
      <c r="DR277" s="2686" t="str">
        <f t="shared" ca="1" si="414"/>
        <v/>
      </c>
      <c r="DS277" s="2686" t="str">
        <f t="shared" ca="1" si="414"/>
        <v/>
      </c>
      <c r="DT277" s="2686" t="str">
        <f t="shared" ca="1" si="414"/>
        <v/>
      </c>
      <c r="DU277" s="2686" t="str">
        <f t="shared" ca="1" si="414"/>
        <v/>
      </c>
      <c r="DV277" s="2686" t="str">
        <f t="shared" ca="1" si="414"/>
        <v/>
      </c>
      <c r="DW277" s="2686" t="str">
        <f t="shared" ca="1" si="414"/>
        <v/>
      </c>
      <c r="DX277" s="2686" t="str">
        <f t="shared" ca="1" si="414"/>
        <v/>
      </c>
      <c r="DY277" s="2686" t="str">
        <f t="shared" ca="1" si="414"/>
        <v/>
      </c>
      <c r="DZ277" s="2686" t="str">
        <f t="shared" ca="1" si="414"/>
        <v/>
      </c>
      <c r="EA277" s="2686" t="str">
        <f t="shared" ca="1" si="414"/>
        <v/>
      </c>
      <c r="EB277" s="2686" t="str">
        <f t="shared" ca="1" si="414"/>
        <v/>
      </c>
      <c r="EC277" s="2686" t="str">
        <f t="shared" ca="1" si="414"/>
        <v/>
      </c>
      <c r="ED277" s="2686" t="str">
        <f t="shared" ca="1" si="414"/>
        <v/>
      </c>
      <c r="EE277" s="2686" t="str">
        <f t="shared" ca="1" si="414"/>
        <v/>
      </c>
      <c r="EF277" s="2686" t="str">
        <f t="shared" ca="1" si="414"/>
        <v/>
      </c>
      <c r="EG277" s="2686" t="str">
        <f t="shared" ca="1" si="414"/>
        <v/>
      </c>
      <c r="EH277" s="2686" t="str">
        <f t="shared" ca="1" si="414"/>
        <v/>
      </c>
      <c r="EI277" s="2686" t="str">
        <f t="shared" ca="1" si="414"/>
        <v/>
      </c>
      <c r="EJ277" s="2686" t="str">
        <f t="shared" ca="1" si="414"/>
        <v/>
      </c>
      <c r="EK277" s="2686" t="str">
        <f t="shared" ca="1" si="414"/>
        <v/>
      </c>
      <c r="EL277" s="2686" t="str">
        <f t="shared" ca="1" si="414"/>
        <v/>
      </c>
      <c r="EM277" s="2686" t="str">
        <f t="shared" ca="1" si="414"/>
        <v/>
      </c>
      <c r="EN277" s="2686" t="str">
        <f t="shared" ca="1" si="414"/>
        <v/>
      </c>
      <c r="EO277" s="2686" t="str">
        <f t="shared" ca="1" si="414"/>
        <v/>
      </c>
      <c r="EP277" s="2686" t="str">
        <f t="shared" ca="1" si="414"/>
        <v/>
      </c>
      <c r="EQ277" s="2686" t="str">
        <f t="shared" ca="1" si="414"/>
        <v/>
      </c>
      <c r="ER277" s="2686" t="str">
        <f t="shared" ca="1" si="414"/>
        <v/>
      </c>
      <c r="ES277" s="2686" t="str">
        <f t="shared" ca="1" si="414"/>
        <v/>
      </c>
      <c r="ET277" s="2686" t="str">
        <f t="shared" ca="1" si="414"/>
        <v/>
      </c>
      <c r="EU277" s="2686" t="str">
        <f t="shared" ref="EU277:HF277" ca="1" si="415">IFERROR(EU267/(EU271+EU275),"")</f>
        <v/>
      </c>
      <c r="EV277" s="2686" t="str">
        <f t="shared" ca="1" si="415"/>
        <v/>
      </c>
      <c r="EW277" s="2686" t="str">
        <f t="shared" ca="1" si="415"/>
        <v/>
      </c>
      <c r="EX277" s="2686" t="str">
        <f t="shared" ca="1" si="415"/>
        <v/>
      </c>
      <c r="EY277" s="2686" t="str">
        <f t="shared" ca="1" si="415"/>
        <v/>
      </c>
      <c r="EZ277" s="2686" t="str">
        <f t="shared" ca="1" si="415"/>
        <v/>
      </c>
      <c r="FA277" s="2686" t="str">
        <f t="shared" ca="1" si="415"/>
        <v/>
      </c>
      <c r="FB277" s="2686" t="str">
        <f t="shared" ca="1" si="415"/>
        <v/>
      </c>
      <c r="FC277" s="2686" t="str">
        <f t="shared" ca="1" si="415"/>
        <v/>
      </c>
      <c r="FD277" s="2686" t="str">
        <f t="shared" ca="1" si="415"/>
        <v/>
      </c>
      <c r="FE277" s="2686" t="str">
        <f t="shared" ca="1" si="415"/>
        <v/>
      </c>
      <c r="FF277" s="2686" t="str">
        <f t="shared" ca="1" si="415"/>
        <v/>
      </c>
      <c r="FG277" s="2686" t="str">
        <f t="shared" ca="1" si="415"/>
        <v/>
      </c>
      <c r="FH277" s="2686" t="str">
        <f t="shared" ca="1" si="415"/>
        <v/>
      </c>
      <c r="FI277" s="2686" t="str">
        <f t="shared" ca="1" si="415"/>
        <v/>
      </c>
      <c r="FJ277" s="2686" t="str">
        <f t="shared" ca="1" si="415"/>
        <v/>
      </c>
      <c r="FK277" s="2686" t="str">
        <f t="shared" ca="1" si="415"/>
        <v/>
      </c>
      <c r="FL277" s="2686" t="str">
        <f t="shared" ca="1" si="415"/>
        <v/>
      </c>
      <c r="FM277" s="2686" t="str">
        <f t="shared" ca="1" si="415"/>
        <v/>
      </c>
      <c r="FN277" s="2686" t="str">
        <f t="shared" ca="1" si="415"/>
        <v/>
      </c>
      <c r="FO277" s="2686" t="str">
        <f t="shared" ca="1" si="415"/>
        <v/>
      </c>
      <c r="FP277" s="2686" t="str">
        <f t="shared" ca="1" si="415"/>
        <v/>
      </c>
      <c r="FQ277" s="2686" t="str">
        <f t="shared" ca="1" si="415"/>
        <v/>
      </c>
      <c r="FR277" s="2686" t="str">
        <f t="shared" ca="1" si="415"/>
        <v/>
      </c>
      <c r="FS277" s="2686" t="str">
        <f t="shared" ca="1" si="415"/>
        <v/>
      </c>
      <c r="FT277" s="2686" t="str">
        <f t="shared" ca="1" si="415"/>
        <v/>
      </c>
      <c r="FU277" s="2686" t="str">
        <f t="shared" ca="1" si="415"/>
        <v/>
      </c>
      <c r="FV277" s="2686" t="str">
        <f t="shared" ca="1" si="415"/>
        <v/>
      </c>
      <c r="FW277" s="2686" t="str">
        <f t="shared" ca="1" si="415"/>
        <v/>
      </c>
      <c r="FX277" s="2686" t="str">
        <f t="shared" ca="1" si="415"/>
        <v/>
      </c>
      <c r="FY277" s="2686" t="str">
        <f t="shared" ca="1" si="415"/>
        <v/>
      </c>
      <c r="FZ277" s="2686" t="str">
        <f t="shared" ca="1" si="415"/>
        <v/>
      </c>
      <c r="GA277" s="2686" t="str">
        <f t="shared" ca="1" si="415"/>
        <v/>
      </c>
      <c r="GB277" s="2686" t="str">
        <f t="shared" ca="1" si="415"/>
        <v/>
      </c>
      <c r="GC277" s="2686" t="str">
        <f t="shared" ca="1" si="415"/>
        <v/>
      </c>
      <c r="GD277" s="2686" t="str">
        <f t="shared" ca="1" si="415"/>
        <v/>
      </c>
      <c r="GE277" s="2686" t="str">
        <f t="shared" ca="1" si="415"/>
        <v/>
      </c>
      <c r="GF277" s="2686" t="str">
        <f t="shared" ca="1" si="415"/>
        <v/>
      </c>
      <c r="GG277" s="2686" t="str">
        <f t="shared" ca="1" si="415"/>
        <v/>
      </c>
      <c r="GH277" s="2686" t="str">
        <f t="shared" ca="1" si="415"/>
        <v/>
      </c>
      <c r="GI277" s="2686" t="str">
        <f t="shared" ca="1" si="415"/>
        <v/>
      </c>
      <c r="GJ277" s="2686" t="str">
        <f t="shared" ca="1" si="415"/>
        <v/>
      </c>
      <c r="GK277" s="2686" t="str">
        <f t="shared" ca="1" si="415"/>
        <v/>
      </c>
      <c r="GL277" s="2686" t="str">
        <f t="shared" ca="1" si="415"/>
        <v/>
      </c>
      <c r="GM277" s="2686" t="str">
        <f t="shared" ca="1" si="415"/>
        <v/>
      </c>
      <c r="GN277" s="2686" t="str">
        <f t="shared" ca="1" si="415"/>
        <v/>
      </c>
      <c r="GO277" s="2686" t="str">
        <f t="shared" ca="1" si="415"/>
        <v/>
      </c>
      <c r="GP277" s="2686" t="str">
        <f t="shared" ca="1" si="415"/>
        <v/>
      </c>
      <c r="GQ277" s="2686" t="str">
        <f t="shared" ca="1" si="415"/>
        <v/>
      </c>
      <c r="GR277" s="2686" t="str">
        <f t="shared" ca="1" si="415"/>
        <v/>
      </c>
      <c r="GS277" s="2686" t="str">
        <f t="shared" ca="1" si="415"/>
        <v/>
      </c>
      <c r="GT277" s="2686" t="str">
        <f t="shared" ca="1" si="415"/>
        <v/>
      </c>
      <c r="GU277" s="2686" t="str">
        <f t="shared" ca="1" si="415"/>
        <v/>
      </c>
      <c r="GV277" s="2686" t="str">
        <f t="shared" ca="1" si="415"/>
        <v/>
      </c>
      <c r="GW277" s="2686" t="str">
        <f t="shared" ca="1" si="415"/>
        <v/>
      </c>
      <c r="GX277" s="2686" t="str">
        <f t="shared" ca="1" si="415"/>
        <v/>
      </c>
      <c r="GY277" s="2686" t="str">
        <f t="shared" ca="1" si="415"/>
        <v/>
      </c>
      <c r="GZ277" s="2686" t="str">
        <f t="shared" ca="1" si="415"/>
        <v/>
      </c>
      <c r="HA277" s="2686" t="str">
        <f t="shared" ca="1" si="415"/>
        <v/>
      </c>
      <c r="HB277" s="2686" t="str">
        <f t="shared" ca="1" si="415"/>
        <v/>
      </c>
      <c r="HC277" s="2686" t="str">
        <f t="shared" ca="1" si="415"/>
        <v/>
      </c>
      <c r="HD277" s="2686" t="str">
        <f t="shared" ca="1" si="415"/>
        <v/>
      </c>
      <c r="HE277" s="2686" t="str">
        <f t="shared" ca="1" si="415"/>
        <v/>
      </c>
      <c r="HF277" s="2686" t="str">
        <f t="shared" ca="1" si="415"/>
        <v/>
      </c>
      <c r="HG277" s="2686" t="str">
        <f t="shared" ref="HG277:IA277" ca="1" si="416">IFERROR(HG267/(HG271+HG275),"")</f>
        <v/>
      </c>
      <c r="HH277" s="2686" t="str">
        <f t="shared" ca="1" si="416"/>
        <v/>
      </c>
      <c r="HI277" s="2686" t="str">
        <f t="shared" ca="1" si="416"/>
        <v/>
      </c>
      <c r="HJ277" s="2686" t="str">
        <f t="shared" ca="1" si="416"/>
        <v/>
      </c>
      <c r="HK277" s="2686" t="str">
        <f t="shared" ca="1" si="416"/>
        <v/>
      </c>
      <c r="HL277" s="2686" t="str">
        <f t="shared" ca="1" si="416"/>
        <v/>
      </c>
      <c r="HM277" s="2686" t="str">
        <f t="shared" ca="1" si="416"/>
        <v/>
      </c>
      <c r="HN277" s="2686" t="str">
        <f t="shared" ca="1" si="416"/>
        <v/>
      </c>
      <c r="HO277" s="2686" t="str">
        <f t="shared" ca="1" si="416"/>
        <v/>
      </c>
      <c r="HP277" s="2686" t="str">
        <f t="shared" ca="1" si="416"/>
        <v/>
      </c>
      <c r="HQ277" s="2686" t="str">
        <f t="shared" ca="1" si="416"/>
        <v/>
      </c>
      <c r="HR277" s="2686" t="str">
        <f t="shared" ca="1" si="416"/>
        <v/>
      </c>
      <c r="HS277" s="2686" t="str">
        <f t="shared" ca="1" si="416"/>
        <v/>
      </c>
      <c r="HT277" s="2686" t="str">
        <f t="shared" ca="1" si="416"/>
        <v/>
      </c>
      <c r="HU277" s="2686" t="str">
        <f t="shared" ca="1" si="416"/>
        <v/>
      </c>
      <c r="HV277" s="2686" t="str">
        <f t="shared" ca="1" si="416"/>
        <v/>
      </c>
      <c r="HW277" s="2686" t="str">
        <f t="shared" ca="1" si="416"/>
        <v/>
      </c>
      <c r="HX277" s="2686" t="str">
        <f t="shared" ca="1" si="416"/>
        <v/>
      </c>
      <c r="HY277" s="2686" t="str">
        <f t="shared" ca="1" si="416"/>
        <v/>
      </c>
      <c r="HZ277" s="2686" t="str">
        <f t="shared" ca="1" si="416"/>
        <v/>
      </c>
      <c r="IA277" s="2686" t="str">
        <f t="shared" ca="1" si="416"/>
        <v/>
      </c>
    </row>
    <row r="278" spans="7:235" ht="12.75" thickBot="1">
      <c r="J278" s="5070"/>
      <c r="K278" s="5070"/>
      <c r="L278" s="5070"/>
      <c r="M278" s="5070"/>
      <c r="N278" s="5070"/>
      <c r="O278" s="5070"/>
      <c r="P278" s="5070"/>
      <c r="Q278" s="5070"/>
      <c r="R278" s="5070"/>
      <c r="S278" s="5070"/>
      <c r="T278" s="5070"/>
      <c r="U278" s="5070"/>
      <c r="V278" s="5070"/>
      <c r="W278" s="5078"/>
      <c r="X278" s="5078"/>
      <c r="Y278" s="5078"/>
      <c r="Z278" s="5078"/>
      <c r="AA278" s="5078"/>
      <c r="AB278" s="5078"/>
      <c r="AC278" s="5326"/>
      <c r="AD278" s="5326"/>
      <c r="AE278" s="5326"/>
      <c r="AF278" s="5326"/>
      <c r="AG278" s="5326"/>
      <c r="AH278" s="5326"/>
      <c r="AI278" s="5326"/>
      <c r="AJ278" s="5326"/>
      <c r="AK278" s="5326"/>
      <c r="AL278" s="5326"/>
      <c r="AM278" s="5326"/>
      <c r="AN278" s="5326"/>
      <c r="AO278" s="5326"/>
      <c r="AP278" s="5326"/>
      <c r="AQ278" s="5326"/>
      <c r="AR278" s="5326"/>
      <c r="AS278" s="5326"/>
      <c r="AT278" s="5326"/>
      <c r="AU278" s="5326"/>
      <c r="AV278" s="5326"/>
      <c r="AW278" s="5326"/>
      <c r="AX278" s="5326"/>
      <c r="AY278" s="5326"/>
      <c r="AZ278" s="5326"/>
      <c r="BA278" s="5326"/>
      <c r="BB278" s="5326"/>
      <c r="BC278" s="5326"/>
      <c r="BD278" s="5326"/>
      <c r="BE278" s="5326"/>
      <c r="BF278" s="5326"/>
      <c r="BG278" s="5326"/>
      <c r="BH278" s="5326"/>
      <c r="BI278" s="5326"/>
      <c r="BJ278" s="5326"/>
      <c r="BK278" s="5326"/>
      <c r="BL278" s="5326"/>
      <c r="BM278" s="5326"/>
      <c r="BN278" s="5326"/>
      <c r="BO278" s="5326"/>
      <c r="BP278" s="5326"/>
      <c r="BQ278" s="5326"/>
      <c r="BR278" s="5326"/>
      <c r="BS278" s="5326"/>
      <c r="BT278" s="5326"/>
      <c r="BU278" s="5326"/>
      <c r="BV278" s="5326"/>
      <c r="BW278" s="5326"/>
      <c r="BX278" s="5326"/>
      <c r="BY278" s="5326"/>
      <c r="BZ278" s="5326"/>
      <c r="CA278" s="5326"/>
      <c r="CB278" s="5326"/>
      <c r="CC278" s="5326"/>
      <c r="CD278" s="5326"/>
      <c r="CE278" s="5326"/>
      <c r="CF278" s="5326"/>
      <c r="CG278" s="5326"/>
      <c r="CH278" s="2673"/>
      <c r="CI278" s="2673"/>
      <c r="CJ278" s="2673"/>
      <c r="CK278" s="2673"/>
      <c r="CL278" s="2673"/>
      <c r="CM278" s="2673"/>
      <c r="CN278" s="2673"/>
      <c r="CO278" s="2673"/>
      <c r="CP278" s="2673"/>
      <c r="CQ278" s="2673"/>
      <c r="CR278" s="2673"/>
      <c r="CS278" s="2673"/>
      <c r="CT278" s="2673"/>
      <c r="CU278" s="2673"/>
      <c r="CV278" s="2673"/>
      <c r="CW278" s="2673"/>
      <c r="CX278" s="2673"/>
      <c r="CY278" s="2673"/>
      <c r="CZ278" s="2673"/>
      <c r="DA278" s="2673"/>
      <c r="DB278" s="2673"/>
      <c r="DC278" s="2673"/>
      <c r="DD278" s="2673"/>
      <c r="DE278" s="2673"/>
      <c r="DF278" s="2673"/>
      <c r="DG278" s="2673"/>
      <c r="DH278" s="2673"/>
      <c r="DI278" s="2673"/>
      <c r="DJ278" s="2673"/>
      <c r="DK278" s="2673"/>
      <c r="DL278" s="2673"/>
      <c r="DM278" s="2673"/>
      <c r="DN278" s="2673"/>
      <c r="DO278" s="2673"/>
      <c r="DP278" s="2673"/>
      <c r="DQ278" s="2673"/>
      <c r="DR278" s="2673"/>
      <c r="DS278" s="2673"/>
      <c r="DT278" s="2673"/>
      <c r="DU278" s="2673"/>
      <c r="DV278" s="2673"/>
      <c r="DW278" s="2673"/>
      <c r="DX278" s="2673"/>
      <c r="DY278" s="2673"/>
      <c r="DZ278" s="2673"/>
      <c r="EA278" s="2673"/>
      <c r="EB278" s="2673"/>
      <c r="EC278" s="2673"/>
      <c r="ED278" s="2673"/>
      <c r="EE278" s="2673"/>
      <c r="EF278" s="2673"/>
      <c r="EG278" s="2673"/>
      <c r="EH278" s="2673"/>
      <c r="EI278" s="2673"/>
      <c r="EJ278" s="2673"/>
      <c r="EK278" s="2673"/>
      <c r="EL278" s="2673"/>
      <c r="EM278" s="2673"/>
      <c r="EN278" s="2673"/>
      <c r="EO278" s="2673"/>
      <c r="EP278" s="2673"/>
      <c r="EQ278" s="2673"/>
      <c r="ER278" s="2673"/>
      <c r="ES278" s="2673"/>
      <c r="ET278" s="2673"/>
      <c r="EU278" s="2673"/>
      <c r="EV278" s="2673"/>
      <c r="EW278" s="2673"/>
      <c r="EX278" s="2673"/>
      <c r="EY278" s="2673"/>
      <c r="EZ278" s="2673"/>
      <c r="FA278" s="2673"/>
      <c r="FB278" s="2673"/>
      <c r="FC278" s="2673"/>
      <c r="FD278" s="2673"/>
      <c r="FE278" s="2673"/>
      <c r="FF278" s="2673"/>
      <c r="FG278" s="2673"/>
      <c r="FH278" s="2673"/>
      <c r="FI278" s="2673"/>
      <c r="FJ278" s="2673"/>
      <c r="FK278" s="2673"/>
      <c r="FL278" s="2673"/>
      <c r="FM278" s="2673"/>
      <c r="FN278" s="2673"/>
      <c r="FO278" s="2673"/>
      <c r="FP278" s="2673"/>
      <c r="FQ278" s="2673"/>
      <c r="FR278" s="2673"/>
      <c r="FS278" s="2673"/>
      <c r="FT278" s="2673"/>
      <c r="FU278" s="2673"/>
      <c r="FV278" s="2673"/>
      <c r="FW278" s="2673"/>
      <c r="FX278" s="2673"/>
      <c r="FY278" s="2673"/>
      <c r="FZ278" s="2673"/>
      <c r="GA278" s="2673"/>
      <c r="GB278" s="2673"/>
      <c r="GC278" s="2673"/>
      <c r="GD278" s="2673"/>
      <c r="GE278" s="2673"/>
      <c r="GF278" s="2673"/>
      <c r="GG278" s="2673"/>
      <c r="GH278" s="2673"/>
      <c r="GI278" s="2673"/>
      <c r="GJ278" s="2673"/>
      <c r="GK278" s="2673"/>
      <c r="GL278" s="2673"/>
      <c r="GM278" s="2673"/>
      <c r="GN278" s="2673"/>
      <c r="GO278" s="2673"/>
      <c r="GP278" s="2673"/>
      <c r="GQ278" s="2673"/>
      <c r="GR278" s="2673"/>
      <c r="GS278" s="2673"/>
      <c r="GT278" s="2673"/>
      <c r="GU278" s="2673"/>
      <c r="GV278" s="2673"/>
      <c r="GW278" s="2673"/>
      <c r="GX278" s="2673"/>
      <c r="GY278" s="2673"/>
      <c r="GZ278" s="2673"/>
      <c r="HA278" s="2673"/>
      <c r="HB278" s="2673"/>
      <c r="HC278" s="2673"/>
      <c r="HD278" s="2673"/>
      <c r="HE278" s="2673"/>
      <c r="HF278" s="2673"/>
      <c r="HG278" s="2673"/>
      <c r="HH278" s="2673"/>
      <c r="HI278" s="2673"/>
      <c r="HJ278" s="2673"/>
      <c r="HK278" s="2673"/>
      <c r="HL278" s="2673"/>
      <c r="HM278" s="2673"/>
      <c r="HN278" s="2673"/>
      <c r="HO278" s="2673"/>
      <c r="HP278" s="2673"/>
      <c r="HQ278" s="2673"/>
      <c r="HR278" s="2673"/>
      <c r="HS278" s="2673"/>
      <c r="HT278" s="2673"/>
      <c r="HU278" s="2673"/>
      <c r="HV278" s="2673"/>
      <c r="HW278" s="2673"/>
      <c r="HX278" s="2673"/>
      <c r="HY278" s="2673"/>
      <c r="HZ278" s="2673"/>
      <c r="IA278" s="2673"/>
    </row>
    <row r="279" spans="7:235" ht="12.75" thickBot="1">
      <c r="G279" s="2687" t="s">
        <v>3998</v>
      </c>
      <c r="H279" s="2688">
        <f ca="1">MIN(W279:IA279)</f>
        <v>0</v>
      </c>
      <c r="I279" s="5068"/>
      <c r="J279" s="5079"/>
      <c r="K279" s="5079"/>
      <c r="L279" s="5079"/>
      <c r="M279" s="5079"/>
      <c r="N279" s="5079"/>
      <c r="O279" s="5079"/>
      <c r="P279" s="5079"/>
      <c r="Q279" s="5079"/>
      <c r="R279" s="5079"/>
      <c r="S279" s="5079"/>
      <c r="T279" s="5079"/>
      <c r="U279" s="5079"/>
      <c r="V279" s="5070"/>
      <c r="W279" s="5072"/>
      <c r="X279" s="5072"/>
      <c r="Y279" s="5072"/>
      <c r="Z279" s="5072"/>
      <c r="AA279" s="5072"/>
      <c r="AB279" s="5072"/>
      <c r="AC279" s="5320"/>
      <c r="AD279" s="5320"/>
      <c r="AE279" s="5320"/>
      <c r="AF279" s="5320"/>
      <c r="AG279" s="5320"/>
      <c r="AH279" s="5320"/>
      <c r="AI279" s="5320"/>
      <c r="AJ279" s="5320"/>
      <c r="AK279" s="5320"/>
      <c r="AL279" s="5320"/>
      <c r="AM279" s="5320"/>
      <c r="AN279" s="5320"/>
      <c r="AO279" s="5320"/>
      <c r="AP279" s="5320"/>
      <c r="AQ279" s="5320"/>
      <c r="AR279" s="5320"/>
      <c r="AS279" s="5320"/>
      <c r="AT279" s="5320"/>
      <c r="AU279" s="5320"/>
      <c r="AV279" s="5320"/>
      <c r="AW279" s="5320"/>
      <c r="AX279" s="5320"/>
      <c r="AY279" s="5320"/>
      <c r="AZ279" s="5320"/>
      <c r="BA279" s="5320"/>
      <c r="BB279" s="5320"/>
      <c r="BC279" s="5320"/>
      <c r="BD279" s="5320"/>
      <c r="BE279" s="5320"/>
      <c r="BF279" s="5320"/>
      <c r="BG279" s="5320"/>
      <c r="BH279" s="5320"/>
      <c r="BI279" s="5320"/>
      <c r="BJ279" s="5320"/>
      <c r="BK279" s="5320"/>
      <c r="BL279" s="5320"/>
      <c r="BM279" s="5320"/>
      <c r="BN279" s="5320"/>
      <c r="BO279" s="5320"/>
      <c r="BP279" s="5320"/>
      <c r="BQ279" s="5320"/>
      <c r="BR279" s="5320"/>
      <c r="BS279" s="5320"/>
      <c r="BT279" s="5320"/>
      <c r="BU279" s="5320"/>
      <c r="BV279" s="5320"/>
      <c r="BW279" s="5320"/>
      <c r="BX279" s="5320"/>
      <c r="BY279" s="5320"/>
      <c r="BZ279" s="5320"/>
      <c r="CA279" s="5320"/>
      <c r="CB279" s="5320"/>
      <c r="CC279" s="5320"/>
      <c r="CD279" s="5320"/>
      <c r="CE279" s="5320"/>
      <c r="CF279" s="5320"/>
      <c r="CG279" s="5320"/>
      <c r="CH279" s="2678">
        <f ca="1">MIN(CH267-CH275,0)</f>
        <v>0</v>
      </c>
      <c r="CI279" s="2678">
        <f t="shared" ref="CI279:ET279" ca="1" si="417">MIN(CI267-CI275,0)</f>
        <v>0</v>
      </c>
      <c r="CJ279" s="2678">
        <f t="shared" ca="1" si="417"/>
        <v>0</v>
      </c>
      <c r="CK279" s="2678">
        <f t="shared" ca="1" si="417"/>
        <v>0</v>
      </c>
      <c r="CL279" s="2678">
        <f t="shared" ca="1" si="417"/>
        <v>0</v>
      </c>
      <c r="CM279" s="2678">
        <f t="shared" ca="1" si="417"/>
        <v>0</v>
      </c>
      <c r="CN279" s="2678">
        <f t="shared" ca="1" si="417"/>
        <v>0</v>
      </c>
      <c r="CO279" s="2678">
        <f t="shared" ca="1" si="417"/>
        <v>0</v>
      </c>
      <c r="CP279" s="2678">
        <f t="shared" ca="1" si="417"/>
        <v>0</v>
      </c>
      <c r="CQ279" s="2678">
        <f t="shared" ca="1" si="417"/>
        <v>0</v>
      </c>
      <c r="CR279" s="2678">
        <f t="shared" ca="1" si="417"/>
        <v>0</v>
      </c>
      <c r="CS279" s="2678">
        <f t="shared" ca="1" si="417"/>
        <v>0</v>
      </c>
      <c r="CT279" s="2678">
        <f t="shared" ca="1" si="417"/>
        <v>0</v>
      </c>
      <c r="CU279" s="2678">
        <f t="shared" ca="1" si="417"/>
        <v>0</v>
      </c>
      <c r="CV279" s="2678">
        <f t="shared" ca="1" si="417"/>
        <v>0</v>
      </c>
      <c r="CW279" s="2678">
        <f t="shared" ca="1" si="417"/>
        <v>0</v>
      </c>
      <c r="CX279" s="2678">
        <f t="shared" ca="1" si="417"/>
        <v>0</v>
      </c>
      <c r="CY279" s="2678">
        <f t="shared" ca="1" si="417"/>
        <v>0</v>
      </c>
      <c r="CZ279" s="2678">
        <f t="shared" ca="1" si="417"/>
        <v>0</v>
      </c>
      <c r="DA279" s="2678">
        <f t="shared" ca="1" si="417"/>
        <v>0</v>
      </c>
      <c r="DB279" s="2678">
        <f t="shared" ca="1" si="417"/>
        <v>0</v>
      </c>
      <c r="DC279" s="2678">
        <f t="shared" ca="1" si="417"/>
        <v>0</v>
      </c>
      <c r="DD279" s="2678">
        <f t="shared" ca="1" si="417"/>
        <v>0</v>
      </c>
      <c r="DE279" s="2678">
        <f t="shared" ca="1" si="417"/>
        <v>0</v>
      </c>
      <c r="DF279" s="2678">
        <f t="shared" ca="1" si="417"/>
        <v>0</v>
      </c>
      <c r="DG279" s="2678">
        <f t="shared" ca="1" si="417"/>
        <v>0</v>
      </c>
      <c r="DH279" s="2678">
        <f t="shared" ca="1" si="417"/>
        <v>0</v>
      </c>
      <c r="DI279" s="2678">
        <f t="shared" ca="1" si="417"/>
        <v>0</v>
      </c>
      <c r="DJ279" s="2678">
        <f t="shared" ca="1" si="417"/>
        <v>0</v>
      </c>
      <c r="DK279" s="2678">
        <f t="shared" ca="1" si="417"/>
        <v>0</v>
      </c>
      <c r="DL279" s="2678">
        <f t="shared" ca="1" si="417"/>
        <v>0</v>
      </c>
      <c r="DM279" s="2678">
        <f t="shared" ca="1" si="417"/>
        <v>0</v>
      </c>
      <c r="DN279" s="2678">
        <f t="shared" ca="1" si="417"/>
        <v>0</v>
      </c>
      <c r="DO279" s="2678">
        <f t="shared" ca="1" si="417"/>
        <v>0</v>
      </c>
      <c r="DP279" s="2678">
        <f t="shared" ca="1" si="417"/>
        <v>0</v>
      </c>
      <c r="DQ279" s="2678">
        <f t="shared" ca="1" si="417"/>
        <v>0</v>
      </c>
      <c r="DR279" s="2678">
        <f t="shared" ca="1" si="417"/>
        <v>0</v>
      </c>
      <c r="DS279" s="2678">
        <f t="shared" ca="1" si="417"/>
        <v>0</v>
      </c>
      <c r="DT279" s="2678">
        <f t="shared" ca="1" si="417"/>
        <v>0</v>
      </c>
      <c r="DU279" s="2678">
        <f t="shared" ca="1" si="417"/>
        <v>0</v>
      </c>
      <c r="DV279" s="2678">
        <f t="shared" ca="1" si="417"/>
        <v>0</v>
      </c>
      <c r="DW279" s="5274">
        <f t="shared" ca="1" si="417"/>
        <v>0</v>
      </c>
      <c r="DX279" s="5274">
        <f t="shared" ca="1" si="417"/>
        <v>0</v>
      </c>
      <c r="DY279" s="5274">
        <f t="shared" ca="1" si="417"/>
        <v>0</v>
      </c>
      <c r="DZ279" s="5274">
        <f t="shared" ca="1" si="417"/>
        <v>0</v>
      </c>
      <c r="EA279" s="5274">
        <f t="shared" ca="1" si="417"/>
        <v>0</v>
      </c>
      <c r="EB279" s="5274">
        <f t="shared" ca="1" si="417"/>
        <v>0</v>
      </c>
      <c r="EC279" s="5274">
        <f t="shared" ca="1" si="417"/>
        <v>0</v>
      </c>
      <c r="ED279" s="5274">
        <f t="shared" ca="1" si="417"/>
        <v>0</v>
      </c>
      <c r="EE279" s="5274">
        <f t="shared" ca="1" si="417"/>
        <v>0</v>
      </c>
      <c r="EF279" s="5274">
        <f t="shared" ca="1" si="417"/>
        <v>0</v>
      </c>
      <c r="EG279" s="5274">
        <f t="shared" ca="1" si="417"/>
        <v>0</v>
      </c>
      <c r="EH279" s="5274">
        <f t="shared" ca="1" si="417"/>
        <v>0</v>
      </c>
      <c r="EI279" s="5274">
        <f t="shared" ca="1" si="417"/>
        <v>0</v>
      </c>
      <c r="EJ279" s="5274">
        <f t="shared" ca="1" si="417"/>
        <v>0</v>
      </c>
      <c r="EK279" s="5274">
        <f t="shared" ca="1" si="417"/>
        <v>0</v>
      </c>
      <c r="EL279" s="5274">
        <f t="shared" ca="1" si="417"/>
        <v>0</v>
      </c>
      <c r="EM279" s="5274">
        <f t="shared" ca="1" si="417"/>
        <v>0</v>
      </c>
      <c r="EN279" s="5274">
        <f t="shared" ca="1" si="417"/>
        <v>0</v>
      </c>
      <c r="EO279" s="5274">
        <f t="shared" ca="1" si="417"/>
        <v>0</v>
      </c>
      <c r="EP279" s="5274">
        <f t="shared" ca="1" si="417"/>
        <v>0</v>
      </c>
      <c r="EQ279" s="5274">
        <f t="shared" ca="1" si="417"/>
        <v>0</v>
      </c>
      <c r="ER279" s="5274">
        <f t="shared" ca="1" si="417"/>
        <v>0</v>
      </c>
      <c r="ES279" s="5274">
        <f t="shared" ca="1" si="417"/>
        <v>0</v>
      </c>
      <c r="ET279" s="5274">
        <f t="shared" ca="1" si="417"/>
        <v>0</v>
      </c>
      <c r="EU279" s="5274">
        <f t="shared" ref="EU279:HF279" ca="1" si="418">MIN(EU267-EU275,0)</f>
        <v>0</v>
      </c>
      <c r="EV279" s="5274">
        <f t="shared" ca="1" si="418"/>
        <v>0</v>
      </c>
      <c r="EW279" s="5274">
        <f t="shared" ca="1" si="418"/>
        <v>0</v>
      </c>
      <c r="EX279" s="5274">
        <f t="shared" ca="1" si="418"/>
        <v>0</v>
      </c>
      <c r="EY279" s="5274">
        <f t="shared" ca="1" si="418"/>
        <v>0</v>
      </c>
      <c r="EZ279" s="5274">
        <f t="shared" ca="1" si="418"/>
        <v>0</v>
      </c>
      <c r="FA279" s="5274">
        <f t="shared" ca="1" si="418"/>
        <v>0</v>
      </c>
      <c r="FB279" s="5274">
        <f t="shared" ca="1" si="418"/>
        <v>0</v>
      </c>
      <c r="FC279" s="5274">
        <f t="shared" ca="1" si="418"/>
        <v>0</v>
      </c>
      <c r="FD279" s="5274">
        <f t="shared" ca="1" si="418"/>
        <v>0</v>
      </c>
      <c r="FE279" s="5274">
        <f t="shared" ca="1" si="418"/>
        <v>0</v>
      </c>
      <c r="FF279" s="5274">
        <f t="shared" ca="1" si="418"/>
        <v>0</v>
      </c>
      <c r="FG279" s="5274">
        <f t="shared" ca="1" si="418"/>
        <v>0</v>
      </c>
      <c r="FH279" s="5274">
        <f t="shared" ca="1" si="418"/>
        <v>0</v>
      </c>
      <c r="FI279" s="5274">
        <f t="shared" ca="1" si="418"/>
        <v>0</v>
      </c>
      <c r="FJ279" s="5274">
        <f t="shared" ca="1" si="418"/>
        <v>0</v>
      </c>
      <c r="FK279" s="5274">
        <f t="shared" ca="1" si="418"/>
        <v>0</v>
      </c>
      <c r="FL279" s="5274">
        <f t="shared" ca="1" si="418"/>
        <v>0</v>
      </c>
      <c r="FM279" s="5274">
        <f t="shared" ca="1" si="418"/>
        <v>0</v>
      </c>
      <c r="FN279" s="5274">
        <f t="shared" ca="1" si="418"/>
        <v>0</v>
      </c>
      <c r="FO279" s="5274">
        <f t="shared" ca="1" si="418"/>
        <v>0</v>
      </c>
      <c r="FP279" s="5274">
        <f t="shared" ca="1" si="418"/>
        <v>0</v>
      </c>
      <c r="FQ279" s="5274">
        <f t="shared" ca="1" si="418"/>
        <v>0</v>
      </c>
      <c r="FR279" s="5274">
        <f t="shared" ca="1" si="418"/>
        <v>0</v>
      </c>
      <c r="FS279" s="5274">
        <f t="shared" ca="1" si="418"/>
        <v>0</v>
      </c>
      <c r="FT279" s="5274">
        <f t="shared" ca="1" si="418"/>
        <v>0</v>
      </c>
      <c r="FU279" s="5274">
        <f t="shared" ca="1" si="418"/>
        <v>0</v>
      </c>
      <c r="FV279" s="5274">
        <f t="shared" ca="1" si="418"/>
        <v>0</v>
      </c>
      <c r="FW279" s="5274">
        <f t="shared" ca="1" si="418"/>
        <v>0</v>
      </c>
      <c r="FX279" s="5274">
        <f t="shared" ca="1" si="418"/>
        <v>0</v>
      </c>
      <c r="FY279" s="5274">
        <f t="shared" ca="1" si="418"/>
        <v>0</v>
      </c>
      <c r="FZ279" s="5274">
        <f t="shared" ca="1" si="418"/>
        <v>0</v>
      </c>
      <c r="GA279" s="5274">
        <f t="shared" ca="1" si="418"/>
        <v>0</v>
      </c>
      <c r="GB279" s="5274">
        <f t="shared" ca="1" si="418"/>
        <v>0</v>
      </c>
      <c r="GC279" s="5274">
        <f t="shared" ca="1" si="418"/>
        <v>0</v>
      </c>
      <c r="GD279" s="5274">
        <f t="shared" ca="1" si="418"/>
        <v>0</v>
      </c>
      <c r="GE279" s="5274">
        <f t="shared" ca="1" si="418"/>
        <v>0</v>
      </c>
      <c r="GF279" s="5274">
        <f t="shared" ca="1" si="418"/>
        <v>0</v>
      </c>
      <c r="GG279" s="5274">
        <f t="shared" ca="1" si="418"/>
        <v>0</v>
      </c>
      <c r="GH279" s="5274">
        <f t="shared" ca="1" si="418"/>
        <v>0</v>
      </c>
      <c r="GI279" s="5274">
        <f t="shared" ca="1" si="418"/>
        <v>0</v>
      </c>
      <c r="GJ279" s="5274">
        <f t="shared" ca="1" si="418"/>
        <v>0</v>
      </c>
      <c r="GK279" s="5274">
        <f t="shared" ca="1" si="418"/>
        <v>0</v>
      </c>
      <c r="GL279" s="5274">
        <f t="shared" ca="1" si="418"/>
        <v>0</v>
      </c>
      <c r="GM279" s="5274">
        <f t="shared" ca="1" si="418"/>
        <v>0</v>
      </c>
      <c r="GN279" s="5274">
        <f t="shared" ca="1" si="418"/>
        <v>0</v>
      </c>
      <c r="GO279" s="5274">
        <f t="shared" ca="1" si="418"/>
        <v>0</v>
      </c>
      <c r="GP279" s="5274">
        <f t="shared" ca="1" si="418"/>
        <v>0</v>
      </c>
      <c r="GQ279" s="5274">
        <f t="shared" ca="1" si="418"/>
        <v>0</v>
      </c>
      <c r="GR279" s="5274">
        <f t="shared" ca="1" si="418"/>
        <v>0</v>
      </c>
      <c r="GS279" s="5274">
        <f t="shared" ca="1" si="418"/>
        <v>0</v>
      </c>
      <c r="GT279" s="5274">
        <f t="shared" ca="1" si="418"/>
        <v>0</v>
      </c>
      <c r="GU279" s="5274">
        <f t="shared" ca="1" si="418"/>
        <v>0</v>
      </c>
      <c r="GV279" s="5274">
        <f t="shared" ca="1" si="418"/>
        <v>0</v>
      </c>
      <c r="GW279" s="5274">
        <f t="shared" ca="1" si="418"/>
        <v>0</v>
      </c>
      <c r="GX279" s="5274">
        <f t="shared" ca="1" si="418"/>
        <v>0</v>
      </c>
      <c r="GY279" s="5274">
        <f t="shared" ca="1" si="418"/>
        <v>0</v>
      </c>
      <c r="GZ279" s="5274">
        <f t="shared" ca="1" si="418"/>
        <v>0</v>
      </c>
      <c r="HA279" s="5274">
        <f t="shared" ca="1" si="418"/>
        <v>0</v>
      </c>
      <c r="HB279" s="5274">
        <f t="shared" ca="1" si="418"/>
        <v>0</v>
      </c>
      <c r="HC279" s="5274">
        <f t="shared" ca="1" si="418"/>
        <v>0</v>
      </c>
      <c r="HD279" s="5274">
        <f t="shared" ca="1" si="418"/>
        <v>0</v>
      </c>
      <c r="HE279" s="5274">
        <f t="shared" ca="1" si="418"/>
        <v>0</v>
      </c>
      <c r="HF279" s="5274">
        <f t="shared" ca="1" si="418"/>
        <v>0</v>
      </c>
      <c r="HG279" s="5274">
        <f t="shared" ref="HG279:IA279" ca="1" si="419">MIN(HG267-HG275,0)</f>
        <v>0</v>
      </c>
      <c r="HH279" s="5274">
        <f t="shared" ca="1" si="419"/>
        <v>0</v>
      </c>
      <c r="HI279" s="5274">
        <f t="shared" ca="1" si="419"/>
        <v>0</v>
      </c>
      <c r="HJ279" s="5274">
        <f t="shared" ca="1" si="419"/>
        <v>0</v>
      </c>
      <c r="HK279" s="5274">
        <f t="shared" ca="1" si="419"/>
        <v>0</v>
      </c>
      <c r="HL279" s="5274">
        <f t="shared" ca="1" si="419"/>
        <v>0</v>
      </c>
      <c r="HM279" s="5274">
        <f t="shared" ca="1" si="419"/>
        <v>0</v>
      </c>
      <c r="HN279" s="5274">
        <f t="shared" ca="1" si="419"/>
        <v>0</v>
      </c>
      <c r="HO279" s="5274">
        <f t="shared" ca="1" si="419"/>
        <v>0</v>
      </c>
      <c r="HP279" s="5274">
        <f t="shared" ca="1" si="419"/>
        <v>0</v>
      </c>
      <c r="HQ279" s="5274">
        <f t="shared" ca="1" si="419"/>
        <v>0</v>
      </c>
      <c r="HR279" s="5274">
        <f t="shared" ca="1" si="419"/>
        <v>0</v>
      </c>
      <c r="HS279" s="5274">
        <f t="shared" ca="1" si="419"/>
        <v>0</v>
      </c>
      <c r="HT279" s="5274">
        <f t="shared" ca="1" si="419"/>
        <v>0</v>
      </c>
      <c r="HU279" s="5274">
        <f t="shared" ca="1" si="419"/>
        <v>0</v>
      </c>
      <c r="HV279" s="5274">
        <f t="shared" ca="1" si="419"/>
        <v>0</v>
      </c>
      <c r="HW279" s="5274">
        <f t="shared" ca="1" si="419"/>
        <v>0</v>
      </c>
      <c r="HX279" s="5274">
        <f t="shared" ca="1" si="419"/>
        <v>0</v>
      </c>
      <c r="HY279" s="5274">
        <f t="shared" ca="1" si="419"/>
        <v>0</v>
      </c>
      <c r="HZ279" s="5274">
        <f t="shared" ca="1" si="419"/>
        <v>0</v>
      </c>
      <c r="IA279" s="5274">
        <f t="shared" ca="1" si="419"/>
        <v>0</v>
      </c>
    </row>
    <row r="280" spans="7:235">
      <c r="H280" s="2673"/>
      <c r="J280" s="2673"/>
      <c r="K280" s="2673"/>
      <c r="L280" s="2673"/>
      <c r="M280" s="2673"/>
      <c r="N280" s="2673"/>
      <c r="O280" s="2673"/>
      <c r="P280" s="2673"/>
      <c r="Q280" s="2673"/>
      <c r="R280" s="2673"/>
      <c r="S280" s="2673"/>
      <c r="T280" s="2673"/>
      <c r="U280" s="2673"/>
      <c r="V280" s="2673"/>
      <c r="W280" s="2673"/>
      <c r="X280" s="2673"/>
      <c r="Y280" s="2673"/>
      <c r="Z280" s="2673"/>
      <c r="AA280" s="2673"/>
      <c r="AB280" s="2673"/>
      <c r="AC280" s="2673"/>
      <c r="AD280" s="2673"/>
      <c r="AE280" s="2673"/>
      <c r="AF280" s="2673"/>
      <c r="AG280" s="2673"/>
      <c r="AH280" s="2673"/>
      <c r="AI280" s="2673"/>
      <c r="AJ280" s="2673"/>
      <c r="AK280" s="2673"/>
      <c r="AL280" s="2673"/>
      <c r="AM280" s="2673"/>
      <c r="AN280" s="2673"/>
      <c r="AO280" s="2673"/>
      <c r="AP280" s="2673"/>
      <c r="AQ280" s="2673"/>
      <c r="AR280" s="2673"/>
      <c r="AS280" s="2673"/>
      <c r="AT280" s="2673"/>
      <c r="AU280" s="2673"/>
      <c r="AV280" s="2673"/>
      <c r="AW280" s="2673"/>
      <c r="AX280" s="2673"/>
      <c r="AY280" s="2673"/>
      <c r="AZ280" s="2673"/>
      <c r="BA280" s="2673"/>
    </row>
  </sheetData>
  <phoneticPr fontId="12" type="noConversion"/>
  <conditionalFormatting sqref="J280:BA280 W279:BN279">
    <cfRule type="cellIs" dxfId="1" priority="2" operator="lessThan">
      <formula>0</formula>
    </cfRule>
  </conditionalFormatting>
  <conditionalFormatting sqref="BO279:IA279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90F0E-6D45-4A1C-9575-649F9EAA0CA1}">
  <sheetPr codeName="Sheet15"/>
  <dimension ref="A1:AW97"/>
  <sheetViews>
    <sheetView showGridLines="0" zoomScale="77" zoomScaleNormal="77" workbookViewId="0">
      <selection activeCell="K22" sqref="K22"/>
    </sheetView>
  </sheetViews>
  <sheetFormatPr defaultColWidth="0" defaultRowHeight="13.5"/>
  <cols>
    <col min="1" max="1" width="1.33203125" customWidth="1"/>
    <col min="2" max="2" width="8.6640625" customWidth="1"/>
    <col min="3" max="3" width="25.109375" customWidth="1"/>
    <col min="4" max="4" width="4.109375" customWidth="1"/>
    <col min="5" max="5" width="16.44140625" bestFit="1" customWidth="1"/>
    <col min="6" max="6" width="20.33203125" customWidth="1"/>
    <col min="7" max="7" width="20.44140625" bestFit="1" customWidth="1"/>
    <col min="8" max="8" width="15.6640625" bestFit="1" customWidth="1"/>
    <col min="9" max="9" width="17.44140625" bestFit="1" customWidth="1"/>
    <col min="10" max="12" width="16.21875" bestFit="1" customWidth="1"/>
    <col min="13" max="13" width="17.33203125" bestFit="1" customWidth="1"/>
    <col min="14" max="14" width="16.88671875" bestFit="1" customWidth="1"/>
    <col min="15" max="48" width="16.88671875" customWidth="1"/>
    <col min="49" max="49" width="8.6640625" customWidth="1"/>
    <col min="50" max="16384" width="8.6640625" hidden="1"/>
  </cols>
  <sheetData>
    <row r="1" spans="1:48" ht="17.25" thickBot="1">
      <c r="A1" s="2198"/>
      <c r="B1" s="2198"/>
      <c r="C1" s="2198"/>
      <c r="D1" s="2198"/>
      <c r="E1" s="2198"/>
      <c r="F1" s="2198"/>
      <c r="G1" s="2198"/>
      <c r="H1" s="2198"/>
      <c r="I1" s="2198"/>
      <c r="J1" s="2198"/>
      <c r="K1" s="2198"/>
      <c r="L1" s="2198"/>
      <c r="M1" s="2198"/>
      <c r="N1" s="2198"/>
      <c r="O1" s="2198"/>
      <c r="P1" s="2198"/>
    </row>
    <row r="2" spans="1:48" ht="16.5">
      <c r="A2" s="2199"/>
      <c r="B2" s="2200" t="s">
        <v>3797</v>
      </c>
      <c r="C2" s="2201"/>
      <c r="D2" s="2201"/>
      <c r="E2" s="2202" t="s">
        <v>3798</v>
      </c>
      <c r="F2" s="2203"/>
      <c r="G2" s="2204" t="s">
        <v>3799</v>
      </c>
      <c r="H2" s="2204" t="s">
        <v>3800</v>
      </c>
      <c r="I2" s="2204" t="s">
        <v>3801</v>
      </c>
      <c r="J2" s="2204" t="s">
        <v>3802</v>
      </c>
      <c r="K2" s="2204" t="s">
        <v>3803</v>
      </c>
      <c r="L2" s="2204" t="s">
        <v>3804</v>
      </c>
      <c r="M2" s="2204" t="s">
        <v>3805</v>
      </c>
      <c r="N2" s="2204" t="s">
        <v>3806</v>
      </c>
      <c r="O2" s="2204" t="s">
        <v>3807</v>
      </c>
      <c r="P2" s="2204" t="s">
        <v>3808</v>
      </c>
      <c r="Q2" s="2204" t="s">
        <v>3809</v>
      </c>
      <c r="R2" s="2204" t="s">
        <v>3810</v>
      </c>
      <c r="S2" s="2204" t="s">
        <v>3811</v>
      </c>
      <c r="T2" s="2204" t="s">
        <v>3812</v>
      </c>
      <c r="U2" s="2204" t="s">
        <v>3813</v>
      </c>
      <c r="V2" s="2204" t="s">
        <v>3814</v>
      </c>
      <c r="W2" s="2204" t="s">
        <v>3815</v>
      </c>
      <c r="X2" s="2204" t="s">
        <v>3816</v>
      </c>
      <c r="Y2" s="2204" t="s">
        <v>3817</v>
      </c>
      <c r="Z2" s="2204" t="s">
        <v>3818</v>
      </c>
      <c r="AA2" s="2204" t="s">
        <v>3819</v>
      </c>
      <c r="AB2" s="2204" t="s">
        <v>3820</v>
      </c>
      <c r="AC2" s="2204" t="s">
        <v>3821</v>
      </c>
      <c r="AD2" s="2204" t="s">
        <v>3822</v>
      </c>
      <c r="AE2" s="2204" t="s">
        <v>3823</v>
      </c>
      <c r="AF2" s="2204" t="s">
        <v>3824</v>
      </c>
      <c r="AG2" s="2204" t="s">
        <v>3825</v>
      </c>
      <c r="AH2" s="2204" t="s">
        <v>3826</v>
      </c>
      <c r="AI2" s="2204" t="s">
        <v>3827</v>
      </c>
      <c r="AJ2" s="2204" t="s">
        <v>3828</v>
      </c>
      <c r="AK2" s="2204" t="s">
        <v>3829</v>
      </c>
      <c r="AL2" s="2204" t="s">
        <v>3830</v>
      </c>
      <c r="AM2" s="2204" t="s">
        <v>3831</v>
      </c>
      <c r="AN2" s="2204" t="s">
        <v>3832</v>
      </c>
      <c r="AO2" s="2204" t="s">
        <v>3833</v>
      </c>
      <c r="AP2" s="2204" t="s">
        <v>3834</v>
      </c>
      <c r="AQ2" s="2204" t="s">
        <v>3835</v>
      </c>
      <c r="AR2" s="2204" t="s">
        <v>3836</v>
      </c>
      <c r="AS2" s="2204" t="s">
        <v>3837</v>
      </c>
      <c r="AT2" s="2204" t="s">
        <v>3838</v>
      </c>
      <c r="AU2" s="2204" t="s">
        <v>3839</v>
      </c>
      <c r="AV2" s="2204" t="s">
        <v>3840</v>
      </c>
    </row>
    <row r="3" spans="1:48" ht="17.25" thickBot="1">
      <c r="A3" s="2198"/>
      <c r="B3" s="2205"/>
      <c r="C3" s="2206"/>
      <c r="D3" s="2206"/>
      <c r="E3" s="2207" t="s">
        <v>3841</v>
      </c>
      <c r="F3" s="2208"/>
      <c r="G3" s="2209">
        <f>SUM(G4:G6,G9,G10)</f>
        <v>13035812469</v>
      </c>
      <c r="H3" s="2209">
        <f t="shared" ref="H3:AV3" si="0">SUM(H4:H6,H9,H10)</f>
        <v>13538908305</v>
      </c>
      <c r="I3" s="2209">
        <f t="shared" si="0"/>
        <v>13348192224</v>
      </c>
      <c r="J3" s="2209">
        <f t="shared" si="0"/>
        <v>13428734206</v>
      </c>
      <c r="K3" s="2209">
        <f t="shared" si="0"/>
        <v>13291252015</v>
      </c>
      <c r="L3" s="2209">
        <f t="shared" si="0"/>
        <v>13314684439</v>
      </c>
      <c r="M3" s="2209">
        <f t="shared" si="0"/>
        <v>13271917278</v>
      </c>
      <c r="N3" s="2209">
        <f t="shared" si="0"/>
        <v>13263818354</v>
      </c>
      <c r="O3" s="2209">
        <f t="shared" si="0"/>
        <v>13180452257.240875</v>
      </c>
      <c r="P3" s="2209">
        <f t="shared" si="0"/>
        <v>13206262657.083817</v>
      </c>
      <c r="Q3" s="2209">
        <f t="shared" si="0"/>
        <v>13350214682.674095</v>
      </c>
      <c r="R3" s="2209">
        <f t="shared" si="0"/>
        <v>13435637139.067425</v>
      </c>
      <c r="S3" s="2209">
        <f t="shared" si="0"/>
        <v>13382230663.789394</v>
      </c>
      <c r="T3" s="2209">
        <f t="shared" si="0"/>
        <v>13401877172.526466</v>
      </c>
      <c r="U3" s="2209">
        <f t="shared" si="0"/>
        <v>13415716163.415512</v>
      </c>
      <c r="V3" s="2209">
        <f t="shared" si="0"/>
        <v>13456372841.984776</v>
      </c>
      <c r="W3" s="2209">
        <f t="shared" si="0"/>
        <v>13360854481.224308</v>
      </c>
      <c r="X3" s="2209">
        <f t="shared" si="0"/>
        <v>13374564322.768291</v>
      </c>
      <c r="Y3" s="2209">
        <f t="shared" si="0"/>
        <v>13296511570.983261</v>
      </c>
      <c r="Z3" s="2209">
        <f t="shared" si="0"/>
        <v>13313159247.191479</v>
      </c>
      <c r="AA3" s="2209">
        <f t="shared" si="0"/>
        <v>13239136947.335979</v>
      </c>
      <c r="AB3" s="2209">
        <f t="shared" si="0"/>
        <v>13261080396.399513</v>
      </c>
      <c r="AC3" s="2209">
        <f t="shared" si="0"/>
        <v>13202028190.895664</v>
      </c>
      <c r="AD3" s="2209">
        <f t="shared" si="0"/>
        <v>13228265312.007042</v>
      </c>
      <c r="AE3" s="2209">
        <f t="shared" si="0"/>
        <v>13152726860.54269</v>
      </c>
      <c r="AF3" s="2209">
        <f t="shared" si="0"/>
        <v>13169140716.660324</v>
      </c>
      <c r="AG3" s="2209">
        <f t="shared" si="0"/>
        <v>13092190999.082569</v>
      </c>
      <c r="AH3" s="2209">
        <f t="shared" si="0"/>
        <v>13127545168.060375</v>
      </c>
      <c r="AI3" s="2209">
        <f t="shared" si="0"/>
        <v>13034491708.135548</v>
      </c>
      <c r="AJ3" s="2209">
        <f t="shared" si="0"/>
        <v>13057199185.393539</v>
      </c>
      <c r="AK3" s="2209">
        <f t="shared" si="0"/>
        <v>13231873593.582062</v>
      </c>
      <c r="AL3" s="2209">
        <f t="shared" si="0"/>
        <v>13317785533.200493</v>
      </c>
      <c r="AM3" s="2209">
        <f t="shared" si="0"/>
        <v>13270862911.291599</v>
      </c>
      <c r="AN3" s="2209">
        <f t="shared" si="0"/>
        <v>13308111367.305515</v>
      </c>
      <c r="AO3" s="2209">
        <f t="shared" si="0"/>
        <v>13301954348.1688</v>
      </c>
      <c r="AP3" s="2209">
        <f t="shared" si="0"/>
        <v>13340017133.552242</v>
      </c>
      <c r="AQ3" s="2209">
        <f t="shared" si="0"/>
        <v>13251732074.978661</v>
      </c>
      <c r="AR3" s="2209">
        <f t="shared" si="0"/>
        <v>13261296158.188816</v>
      </c>
      <c r="AS3" s="2209">
        <f t="shared" si="0"/>
        <v>13198443463.717484</v>
      </c>
      <c r="AT3" s="2209">
        <f t="shared" si="0"/>
        <v>13230645465.273777</v>
      </c>
      <c r="AU3" s="2209">
        <f t="shared" si="0"/>
        <v>13356114918.460629</v>
      </c>
      <c r="AV3" s="2209">
        <f t="shared" si="0"/>
        <v>6678057459.2303143</v>
      </c>
    </row>
    <row r="4" spans="1:48" ht="16.5">
      <c r="A4" s="2210"/>
      <c r="B4" s="2211" t="s">
        <v>3842</v>
      </c>
      <c r="C4" s="2212"/>
      <c r="D4" s="2198"/>
      <c r="E4" s="2213"/>
      <c r="F4" s="2214"/>
      <c r="G4" s="2215">
        <v>6235000000</v>
      </c>
      <c r="H4" s="2215">
        <v>6235000000</v>
      </c>
      <c r="I4" s="2215">
        <v>6235000000</v>
      </c>
      <c r="J4" s="2215">
        <v>6235000000</v>
      </c>
      <c r="K4" s="2215">
        <v>6235000000</v>
      </c>
      <c r="L4" s="2215">
        <v>6235000000</v>
      </c>
      <c r="M4" s="2215">
        <v>6235000000</v>
      </c>
      <c r="N4" s="2215">
        <v>6235000000</v>
      </c>
      <c r="O4" s="2215">
        <v>6235000000</v>
      </c>
      <c r="P4" s="2215">
        <v>6235000000</v>
      </c>
      <c r="Q4" s="2215">
        <v>6235000000</v>
      </c>
      <c r="R4" s="2215">
        <v>6235000000</v>
      </c>
      <c r="S4" s="2215">
        <v>6235000000</v>
      </c>
      <c r="T4" s="2215">
        <v>6235000000</v>
      </c>
      <c r="U4" s="2215">
        <v>6235000000</v>
      </c>
      <c r="V4" s="2215">
        <v>6235000000</v>
      </c>
      <c r="W4" s="2215">
        <v>6235000000</v>
      </c>
      <c r="X4" s="2215">
        <v>6235000000</v>
      </c>
      <c r="Y4" s="2215">
        <v>6235000000</v>
      </c>
      <c r="Z4" s="2215">
        <v>6235000000</v>
      </c>
      <c r="AA4" s="2215">
        <v>6235000000</v>
      </c>
      <c r="AB4" s="2215">
        <v>6235000000</v>
      </c>
      <c r="AC4" s="2215">
        <v>6235000000</v>
      </c>
      <c r="AD4" s="2215">
        <v>6235000000</v>
      </c>
      <c r="AE4" s="2215">
        <v>6235000000</v>
      </c>
      <c r="AF4" s="2215">
        <v>6235000000</v>
      </c>
      <c r="AG4" s="2215">
        <v>6235000000</v>
      </c>
      <c r="AH4" s="2215">
        <v>6235000000</v>
      </c>
      <c r="AI4" s="2215">
        <v>6235000000</v>
      </c>
      <c r="AJ4" s="2215">
        <v>6235000000</v>
      </c>
      <c r="AK4" s="2215">
        <v>6235000000</v>
      </c>
      <c r="AL4" s="2215">
        <v>6235000000</v>
      </c>
      <c r="AM4" s="2215">
        <v>6235000000</v>
      </c>
      <c r="AN4" s="2215">
        <v>6235000000</v>
      </c>
      <c r="AO4" s="2215">
        <v>6235000000</v>
      </c>
      <c r="AP4" s="2215">
        <v>6235000000</v>
      </c>
      <c r="AQ4" s="2215">
        <v>6235000000</v>
      </c>
      <c r="AR4" s="2215">
        <v>6235000000</v>
      </c>
      <c r="AS4" s="2215">
        <v>6235000000</v>
      </c>
      <c r="AT4" s="2215">
        <v>6235000000</v>
      </c>
      <c r="AU4" s="2215">
        <v>6235000000</v>
      </c>
      <c r="AV4" s="2215">
        <f>AU4/2</f>
        <v>3117500000</v>
      </c>
    </row>
    <row r="5" spans="1:48" ht="16.5">
      <c r="A5" s="2210"/>
      <c r="B5" s="2211" t="s">
        <v>3843</v>
      </c>
      <c r="C5" s="2212"/>
      <c r="D5" s="2198"/>
      <c r="E5" s="2213"/>
      <c r="F5" s="2214"/>
      <c r="G5" s="2215">
        <v>2001541146</v>
      </c>
      <c r="H5" s="2215">
        <v>2011541146</v>
      </c>
      <c r="I5" s="2215">
        <v>2001541146</v>
      </c>
      <c r="J5" s="2215">
        <v>2011541146</v>
      </c>
      <c r="K5" s="2215">
        <v>2001541146</v>
      </c>
      <c r="L5" s="2215">
        <v>2011541146</v>
      </c>
      <c r="M5" s="2215">
        <v>2001541146</v>
      </c>
      <c r="N5" s="2215">
        <v>2011541146</v>
      </c>
      <c r="O5" s="2215">
        <v>2001541146</v>
      </c>
      <c r="P5" s="2215">
        <v>2011541145.9999998</v>
      </c>
      <c r="Q5" s="2215">
        <v>2001541146</v>
      </c>
      <c r="R5" s="2215">
        <v>2011541145.9999998</v>
      </c>
      <c r="S5" s="2215">
        <v>2001541146</v>
      </c>
      <c r="T5" s="2215">
        <v>2011541145.9999998</v>
      </c>
      <c r="U5" s="2215">
        <v>2001541146</v>
      </c>
      <c r="V5" s="2215">
        <v>2011541145.9999998</v>
      </c>
      <c r="W5" s="2215">
        <v>2001541146</v>
      </c>
      <c r="X5" s="2215">
        <v>2011541145.9999998</v>
      </c>
      <c r="Y5" s="2215">
        <v>2001541146</v>
      </c>
      <c r="Z5" s="2215">
        <v>2011541145.9999998</v>
      </c>
      <c r="AA5" s="2215">
        <v>2001541146</v>
      </c>
      <c r="AB5" s="2215">
        <v>2011541145.9999998</v>
      </c>
      <c r="AC5" s="2215">
        <v>2001541146</v>
      </c>
      <c r="AD5" s="2215">
        <v>2011541145.9999998</v>
      </c>
      <c r="AE5" s="2215">
        <v>2001541146</v>
      </c>
      <c r="AF5" s="2215">
        <v>2011541145.9999998</v>
      </c>
      <c r="AG5" s="2215">
        <v>2001541146</v>
      </c>
      <c r="AH5" s="2215">
        <v>2011541145.9999998</v>
      </c>
      <c r="AI5" s="2215">
        <v>2001541146</v>
      </c>
      <c r="AJ5" s="2215">
        <v>2011541145.9999998</v>
      </c>
      <c r="AK5" s="2215">
        <v>2001541146</v>
      </c>
      <c r="AL5" s="2215">
        <v>2011541145.9999998</v>
      </c>
      <c r="AM5" s="2215">
        <v>2001541146</v>
      </c>
      <c r="AN5" s="2215">
        <v>2011541145.9999998</v>
      </c>
      <c r="AO5" s="2215">
        <v>2001541146</v>
      </c>
      <c r="AP5" s="2215">
        <v>2011541145.9999998</v>
      </c>
      <c r="AQ5" s="2215">
        <v>2001541146</v>
      </c>
      <c r="AR5" s="2215">
        <v>2011541145.9999998</v>
      </c>
      <c r="AS5" s="2215">
        <v>2001541146</v>
      </c>
      <c r="AT5" s="2215">
        <v>2011541145.9999998</v>
      </c>
      <c r="AU5" s="2215">
        <v>2001541146</v>
      </c>
      <c r="AV5" s="2215">
        <f t="shared" ref="AV5:AV10" si="1">AU5/2</f>
        <v>1000770573</v>
      </c>
    </row>
    <row r="6" spans="1:48" ht="16.5">
      <c r="A6" s="2210"/>
      <c r="B6" s="2211" t="s">
        <v>3844</v>
      </c>
      <c r="C6" s="2212"/>
      <c r="D6" s="2198"/>
      <c r="E6" s="2213"/>
      <c r="F6" s="2214"/>
      <c r="G6" s="2215">
        <f>G7+G8</f>
        <v>2879879943</v>
      </c>
      <c r="H6" s="2215">
        <f t="shared" ref="H6:M6" si="2">H7+H8</f>
        <v>3203750674</v>
      </c>
      <c r="I6" s="2215">
        <f t="shared" si="2"/>
        <v>3173767356</v>
      </c>
      <c r="J6" s="2215">
        <f t="shared" si="2"/>
        <v>3131741058</v>
      </c>
      <c r="K6" s="2215">
        <f t="shared" si="2"/>
        <v>3100802854</v>
      </c>
      <c r="L6" s="2215">
        <f t="shared" si="2"/>
        <v>3066771046</v>
      </c>
      <c r="M6" s="2215">
        <f t="shared" si="2"/>
        <v>3065066621</v>
      </c>
      <c r="N6" s="2215">
        <v>3048359153</v>
      </c>
      <c r="O6" s="2215">
        <v>3023693056.0308771</v>
      </c>
      <c r="P6" s="2215">
        <v>2991803455.8738184</v>
      </c>
      <c r="Q6" s="2215">
        <v>3193455481.464097</v>
      </c>
      <c r="R6" s="2215">
        <v>3220177937.8574266</v>
      </c>
      <c r="S6" s="2215">
        <v>3219471462.5793958</v>
      </c>
      <c r="T6" s="2215">
        <v>3193417971.3164678</v>
      </c>
      <c r="U6" s="2215">
        <v>3258956962.205514</v>
      </c>
      <c r="V6" s="2215">
        <v>3234913640.7747746</v>
      </c>
      <c r="W6" s="2215">
        <v>3204095280.0143085</v>
      </c>
      <c r="X6" s="2215">
        <v>3166105121.5582933</v>
      </c>
      <c r="Y6" s="2215">
        <v>3133752369.7732611</v>
      </c>
      <c r="Z6" s="2215">
        <v>3097700045.9814792</v>
      </c>
      <c r="AA6" s="2215">
        <v>3082377746.1259804</v>
      </c>
      <c r="AB6" s="2215">
        <v>3046621195.1895146</v>
      </c>
      <c r="AC6" s="2215">
        <v>3045268989.6856627</v>
      </c>
      <c r="AD6" s="2215">
        <v>3012806110.7970433</v>
      </c>
      <c r="AE6" s="2215">
        <v>2989967659.3326893</v>
      </c>
      <c r="AF6" s="2215">
        <v>2960681515.4503236</v>
      </c>
      <c r="AG6" s="2215">
        <v>2935431797.8725686</v>
      </c>
      <c r="AH6" s="2215">
        <v>2906085966.8503747</v>
      </c>
      <c r="AI6" s="2215">
        <v>2877732506.9255495</v>
      </c>
      <c r="AJ6" s="2215">
        <v>2848739984.1835403</v>
      </c>
      <c r="AK6" s="2215">
        <v>3069114392.3720636</v>
      </c>
      <c r="AL6" s="2215">
        <v>3102326331.9904947</v>
      </c>
      <c r="AM6" s="2215">
        <v>3114103710.0816002</v>
      </c>
      <c r="AN6" s="2215">
        <v>3093652166.0955153</v>
      </c>
      <c r="AO6" s="2215">
        <v>3145195146.9587998</v>
      </c>
      <c r="AP6" s="2215">
        <v>3124557932.3422427</v>
      </c>
      <c r="AQ6" s="2215">
        <v>3088972873.768661</v>
      </c>
      <c r="AR6" s="2215">
        <v>3052836956.9788165</v>
      </c>
      <c r="AS6" s="2215">
        <v>3041684262.507484</v>
      </c>
      <c r="AT6" s="2215">
        <v>3009186264.0637774</v>
      </c>
      <c r="AU6" s="2215">
        <v>3005355717.2506304</v>
      </c>
      <c r="AV6" s="2215">
        <f t="shared" si="1"/>
        <v>1502677858.6253152</v>
      </c>
    </row>
    <row r="7" spans="1:48" ht="16.5">
      <c r="A7" s="2210"/>
      <c r="B7" s="2216" t="s">
        <v>3845</v>
      </c>
      <c r="C7" s="2217"/>
      <c r="D7" s="2218"/>
      <c r="E7" s="2219"/>
      <c r="F7" s="2220"/>
      <c r="G7" s="2221">
        <v>2020382192</v>
      </c>
      <c r="H7" s="2221">
        <v>2020382192</v>
      </c>
      <c r="I7" s="2221">
        <v>2020382192</v>
      </c>
      <c r="J7" s="2221">
        <v>2020382191</v>
      </c>
      <c r="K7" s="2221">
        <v>2020382192</v>
      </c>
      <c r="L7" s="2221">
        <v>2020382191</v>
      </c>
      <c r="M7" s="2221">
        <v>2020382192</v>
      </c>
      <c r="N7" s="2221">
        <v>2020382192</v>
      </c>
      <c r="O7" s="2221">
        <v>2020382191.5547054</v>
      </c>
      <c r="P7" s="2221">
        <v>2020382191.5547054</v>
      </c>
      <c r="Q7" s="2221">
        <v>2020382191.5547054</v>
      </c>
      <c r="R7" s="2221">
        <v>2020382191.5547054</v>
      </c>
      <c r="S7" s="2221">
        <v>2020382191.5547054</v>
      </c>
      <c r="T7" s="2221">
        <v>2020382191.5547054</v>
      </c>
      <c r="U7" s="2221">
        <v>2020382191.5547054</v>
      </c>
      <c r="V7" s="2221">
        <v>2020382191.5547054</v>
      </c>
      <c r="W7" s="2221">
        <v>2020382191.5547054</v>
      </c>
      <c r="X7" s="2221">
        <v>2020382191.5547054</v>
      </c>
      <c r="Y7" s="2221">
        <v>2020382191.5547054</v>
      </c>
      <c r="Z7" s="2221">
        <v>2020382191.5547054</v>
      </c>
      <c r="AA7" s="2221">
        <v>2020382191.5547054</v>
      </c>
      <c r="AB7" s="2221">
        <v>2020382191.5547054</v>
      </c>
      <c r="AC7" s="2221">
        <v>2020382191.5547054</v>
      </c>
      <c r="AD7" s="2221">
        <v>2020382191.5547054</v>
      </c>
      <c r="AE7" s="2221">
        <v>2020382191.5547054</v>
      </c>
      <c r="AF7" s="2221">
        <v>2020382191.5547054</v>
      </c>
      <c r="AG7" s="2221">
        <v>2020382191.5547054</v>
      </c>
      <c r="AH7" s="2221">
        <v>2020382191.5547054</v>
      </c>
      <c r="AI7" s="2221">
        <v>2020382191.5547054</v>
      </c>
      <c r="AJ7" s="2221">
        <v>2020382191.5547054</v>
      </c>
      <c r="AK7" s="2221">
        <v>2020382191.5547054</v>
      </c>
      <c r="AL7" s="2221">
        <v>2020382191.5547054</v>
      </c>
      <c r="AM7" s="2221">
        <v>2020382191.5547054</v>
      </c>
      <c r="AN7" s="2221">
        <v>2020382191.5547054</v>
      </c>
      <c r="AO7" s="2221">
        <v>2020382191.5547054</v>
      </c>
      <c r="AP7" s="2221">
        <v>2020382191.5547054</v>
      </c>
      <c r="AQ7" s="2221">
        <v>2020382191.5547054</v>
      </c>
      <c r="AR7" s="2221">
        <v>2020382191.5547054</v>
      </c>
      <c r="AS7" s="2221">
        <v>2020382191.5547054</v>
      </c>
      <c r="AT7" s="2221">
        <v>2020382191.5547054</v>
      </c>
      <c r="AU7" s="2221">
        <v>2020382191.5547054</v>
      </c>
      <c r="AV7" s="2221">
        <f t="shared" si="1"/>
        <v>1010191095.7773527</v>
      </c>
    </row>
    <row r="8" spans="1:48" ht="16.5">
      <c r="A8" s="2210"/>
      <c r="B8" s="2216" t="s">
        <v>3846</v>
      </c>
      <c r="C8" s="2222"/>
      <c r="D8" s="2223"/>
      <c r="E8" s="2224"/>
      <c r="F8" s="2225"/>
      <c r="G8" s="2226">
        <v>859497751</v>
      </c>
      <c r="H8" s="2226">
        <v>1183368482</v>
      </c>
      <c r="I8" s="2226">
        <v>1153385164</v>
      </c>
      <c r="J8" s="2226">
        <v>1111358867</v>
      </c>
      <c r="K8" s="2226">
        <v>1080420662</v>
      </c>
      <c r="L8" s="2226">
        <v>1046388855</v>
      </c>
      <c r="M8" s="2226">
        <v>1044684429</v>
      </c>
      <c r="N8" s="2226">
        <v>1027976962</v>
      </c>
      <c r="O8" s="2226">
        <v>1003310864.4761716</v>
      </c>
      <c r="P8" s="2226">
        <v>971421264.31911302</v>
      </c>
      <c r="Q8" s="2226">
        <v>1173073289.9093914</v>
      </c>
      <c r="R8" s="2226">
        <v>1199795746.3027215</v>
      </c>
      <c r="S8" s="2226">
        <v>1199089271.0246909</v>
      </c>
      <c r="T8" s="2226">
        <v>1173035779.7617624</v>
      </c>
      <c r="U8" s="2226">
        <v>1238574770.650809</v>
      </c>
      <c r="V8" s="2226">
        <v>1214531449.2200696</v>
      </c>
      <c r="W8" s="2226">
        <v>1183713088.4596031</v>
      </c>
      <c r="X8" s="2226">
        <v>1145722930.0035882</v>
      </c>
      <c r="Y8" s="2226">
        <v>1113370178.2185559</v>
      </c>
      <c r="Z8" s="2226">
        <v>1077317854.4267735</v>
      </c>
      <c r="AA8" s="2226">
        <v>1061995554.5712756</v>
      </c>
      <c r="AB8" s="2226">
        <v>1026239003.6348093</v>
      </c>
      <c r="AC8" s="2226">
        <v>1024886798.1309575</v>
      </c>
      <c r="AD8" s="2226">
        <v>992423919.24233806</v>
      </c>
      <c r="AE8" s="2226">
        <v>969585467.7779839</v>
      </c>
      <c r="AF8" s="2226">
        <v>940299323.89561868</v>
      </c>
      <c r="AG8" s="2226">
        <v>915049606.31786323</v>
      </c>
      <c r="AH8" s="2226">
        <v>885703775.2956692</v>
      </c>
      <c r="AI8" s="2226">
        <v>857350315.37084413</v>
      </c>
      <c r="AJ8" s="2226">
        <v>828357792.62883484</v>
      </c>
      <c r="AK8" s="2226">
        <v>1048732200.8173583</v>
      </c>
      <c r="AL8" s="2226">
        <v>1081944140.4357891</v>
      </c>
      <c r="AM8" s="2226">
        <v>1093721518.5268948</v>
      </c>
      <c r="AN8" s="2226">
        <v>1073269974.5408101</v>
      </c>
      <c r="AO8" s="2226">
        <v>1124812955.4040945</v>
      </c>
      <c r="AP8" s="2226">
        <v>1104175740.7875373</v>
      </c>
      <c r="AQ8" s="2226">
        <v>1068590682.2139554</v>
      </c>
      <c r="AR8" s="2226">
        <v>1032454765.4241115</v>
      </c>
      <c r="AS8" s="2226">
        <v>1021302070.9527791</v>
      </c>
      <c r="AT8" s="2226">
        <v>988804072.50907207</v>
      </c>
      <c r="AU8" s="2226">
        <v>984973525.695925</v>
      </c>
      <c r="AV8" s="2226">
        <f t="shared" si="1"/>
        <v>492486762.8479625</v>
      </c>
    </row>
    <row r="9" spans="1:48" ht="16.5">
      <c r="A9" s="2210"/>
      <c r="B9" s="2211" t="s">
        <v>3847</v>
      </c>
      <c r="C9" s="2212"/>
      <c r="D9" s="2198"/>
      <c r="E9" s="2198"/>
      <c r="F9" s="2227"/>
      <c r="G9" s="2215">
        <v>6000000</v>
      </c>
      <c r="H9" s="2215">
        <v>161700000</v>
      </c>
      <c r="I9" s="2215"/>
      <c r="J9" s="2215">
        <v>103700000</v>
      </c>
      <c r="K9" s="2215"/>
      <c r="L9" s="2215">
        <v>41700000</v>
      </c>
      <c r="M9" s="2215">
        <v>6000000</v>
      </c>
      <c r="N9" s="2215">
        <v>48700000</v>
      </c>
      <c r="O9" s="2215">
        <v>0</v>
      </c>
      <c r="P9" s="2215">
        <v>47700000</v>
      </c>
      <c r="Q9" s="2215">
        <v>0</v>
      </c>
      <c r="R9" s="2215">
        <v>48700000</v>
      </c>
      <c r="S9" s="2215">
        <v>6000000</v>
      </c>
      <c r="T9" s="2215">
        <v>41700000</v>
      </c>
      <c r="U9" s="2215">
        <v>0</v>
      </c>
      <c r="V9" s="2215">
        <v>54700000</v>
      </c>
      <c r="W9" s="2215">
        <v>0</v>
      </c>
      <c r="X9" s="2215">
        <v>41700000</v>
      </c>
      <c r="Y9" s="2215">
        <v>6000000</v>
      </c>
      <c r="Z9" s="2215">
        <v>48700000</v>
      </c>
      <c r="AA9" s="2215">
        <v>0</v>
      </c>
      <c r="AB9" s="2215">
        <v>47700000</v>
      </c>
      <c r="AC9" s="2215">
        <v>0</v>
      </c>
      <c r="AD9" s="2215">
        <v>48700000</v>
      </c>
      <c r="AE9" s="2215">
        <v>6000000</v>
      </c>
      <c r="AF9" s="2215">
        <v>41700000</v>
      </c>
      <c r="AG9" s="2215">
        <v>0</v>
      </c>
      <c r="AH9" s="2215">
        <v>54700000</v>
      </c>
      <c r="AI9" s="2215">
        <v>0</v>
      </c>
      <c r="AJ9" s="2215">
        <v>41700000</v>
      </c>
      <c r="AK9" s="2215">
        <v>6000000</v>
      </c>
      <c r="AL9" s="2215">
        <v>48700000</v>
      </c>
      <c r="AM9" s="2215">
        <v>0</v>
      </c>
      <c r="AN9" s="2215">
        <v>47700000</v>
      </c>
      <c r="AO9" s="2215">
        <v>0</v>
      </c>
      <c r="AP9" s="2215">
        <v>48700000</v>
      </c>
      <c r="AQ9" s="2215">
        <v>6000000</v>
      </c>
      <c r="AR9" s="2215">
        <v>41700000</v>
      </c>
      <c r="AS9" s="2215">
        <v>0</v>
      </c>
      <c r="AT9" s="2215">
        <v>54700000</v>
      </c>
      <c r="AU9" s="2215">
        <v>194000000</v>
      </c>
      <c r="AV9" s="2215">
        <f t="shared" si="1"/>
        <v>97000000</v>
      </c>
    </row>
    <row r="10" spans="1:48" ht="16.5">
      <c r="A10" s="2210"/>
      <c r="B10" s="2228" t="s">
        <v>3848</v>
      </c>
      <c r="C10" s="2229"/>
      <c r="D10" s="2230"/>
      <c r="E10" s="2230"/>
      <c r="F10" s="2231"/>
      <c r="G10" s="2232">
        <v>1913391380</v>
      </c>
      <c r="H10" s="2232">
        <v>1926916485</v>
      </c>
      <c r="I10" s="2232">
        <v>1937883722</v>
      </c>
      <c r="J10" s="2232">
        <v>1946752002</v>
      </c>
      <c r="K10" s="2232">
        <v>1953908015</v>
      </c>
      <c r="L10" s="2232">
        <v>1959672247</v>
      </c>
      <c r="M10" s="2232">
        <v>1964309511</v>
      </c>
      <c r="N10" s="2232">
        <v>1920218055</v>
      </c>
      <c r="O10" s="2232">
        <v>1920218055.21</v>
      </c>
      <c r="P10" s="2232">
        <v>1920218055.21</v>
      </c>
      <c r="Q10" s="2232">
        <v>1920218055.21</v>
      </c>
      <c r="R10" s="2232">
        <v>1920218055.21</v>
      </c>
      <c r="S10" s="2232">
        <v>1920218055.21</v>
      </c>
      <c r="T10" s="2232">
        <v>1920218055.21</v>
      </c>
      <c r="U10" s="2232">
        <v>1920218055.21</v>
      </c>
      <c r="V10" s="2232">
        <v>1920218055.21</v>
      </c>
      <c r="W10" s="2232">
        <v>1920218055.21</v>
      </c>
      <c r="X10" s="2232">
        <v>1920218055.21</v>
      </c>
      <c r="Y10" s="2232">
        <v>1920218055.21</v>
      </c>
      <c r="Z10" s="2232">
        <v>1920218055.21</v>
      </c>
      <c r="AA10" s="2232">
        <v>1920218055.21</v>
      </c>
      <c r="AB10" s="2232">
        <v>1920218055.21</v>
      </c>
      <c r="AC10" s="2232">
        <v>1920218055.21</v>
      </c>
      <c r="AD10" s="2232">
        <v>1920218055.21</v>
      </c>
      <c r="AE10" s="2232">
        <v>1920218055.21</v>
      </c>
      <c r="AF10" s="2232">
        <v>1920218055.21</v>
      </c>
      <c r="AG10" s="2232">
        <v>1920218055.21</v>
      </c>
      <c r="AH10" s="2232">
        <v>1920218055.21</v>
      </c>
      <c r="AI10" s="2232">
        <v>1920218055.21</v>
      </c>
      <c r="AJ10" s="2232">
        <v>1920218055.21</v>
      </c>
      <c r="AK10" s="2232">
        <v>1920218055.21</v>
      </c>
      <c r="AL10" s="2232">
        <v>1920218055.21</v>
      </c>
      <c r="AM10" s="2232">
        <v>1920218055.21</v>
      </c>
      <c r="AN10" s="2232">
        <v>1920218055.21</v>
      </c>
      <c r="AO10" s="2232">
        <v>1920218055.21</v>
      </c>
      <c r="AP10" s="2232">
        <v>1920218055.21</v>
      </c>
      <c r="AQ10" s="2232">
        <v>1920218055.21</v>
      </c>
      <c r="AR10" s="2232">
        <v>1920218055.21</v>
      </c>
      <c r="AS10" s="2232">
        <v>1920218055.21</v>
      </c>
      <c r="AT10" s="2232">
        <v>1920218055.21</v>
      </c>
      <c r="AU10" s="2232">
        <v>1920218055.21</v>
      </c>
      <c r="AV10" s="2232">
        <f t="shared" si="1"/>
        <v>960109027.60500002</v>
      </c>
    </row>
    <row r="11" spans="1:48" ht="17.25" thickBot="1">
      <c r="A11" s="2198"/>
      <c r="B11" s="2198"/>
      <c r="C11" s="2198"/>
      <c r="D11" s="2198"/>
      <c r="E11" s="2233"/>
      <c r="F11" s="2233"/>
      <c r="G11" s="2234"/>
      <c r="H11" s="2234"/>
      <c r="I11" s="2234"/>
      <c r="J11" s="2234"/>
      <c r="K11" s="2198"/>
      <c r="L11" s="2198"/>
      <c r="M11" s="2198"/>
      <c r="N11" s="2198"/>
      <c r="O11" s="2198"/>
      <c r="P11" s="2198"/>
    </row>
    <row r="12" spans="1:48" ht="17.25" thickBot="1">
      <c r="A12" s="2198"/>
      <c r="B12" s="2235" t="s">
        <v>3849</v>
      </c>
      <c r="C12" s="2236"/>
      <c r="D12" s="2237"/>
      <c r="E12" s="2238" t="s">
        <v>3798</v>
      </c>
      <c r="F12" s="2239"/>
      <c r="G12" s="2240">
        <v>2018</v>
      </c>
      <c r="H12" s="2240">
        <f>G12+1</f>
        <v>2019</v>
      </c>
      <c r="I12" s="2240">
        <f t="shared" ref="I12:AV12" si="3">H12+1</f>
        <v>2020</v>
      </c>
      <c r="J12" s="2240">
        <f t="shared" si="3"/>
        <v>2021</v>
      </c>
      <c r="K12" s="2240">
        <f t="shared" si="3"/>
        <v>2022</v>
      </c>
      <c r="L12" s="2240">
        <f t="shared" si="3"/>
        <v>2023</v>
      </c>
      <c r="M12" s="2240">
        <f t="shared" si="3"/>
        <v>2024</v>
      </c>
      <c r="N12" s="2240">
        <f t="shared" si="3"/>
        <v>2025</v>
      </c>
      <c r="O12" s="2240">
        <f t="shared" si="3"/>
        <v>2026</v>
      </c>
      <c r="P12" s="2240">
        <f t="shared" si="3"/>
        <v>2027</v>
      </c>
      <c r="Q12" s="2240">
        <f t="shared" si="3"/>
        <v>2028</v>
      </c>
      <c r="R12" s="2240">
        <f t="shared" si="3"/>
        <v>2029</v>
      </c>
      <c r="S12" s="2240">
        <f t="shared" si="3"/>
        <v>2030</v>
      </c>
      <c r="T12" s="2240">
        <f t="shared" si="3"/>
        <v>2031</v>
      </c>
      <c r="U12" s="2240">
        <f t="shared" si="3"/>
        <v>2032</v>
      </c>
      <c r="V12" s="2240">
        <f t="shared" si="3"/>
        <v>2033</v>
      </c>
      <c r="W12" s="2240">
        <f t="shared" si="3"/>
        <v>2034</v>
      </c>
      <c r="X12" s="2240">
        <f t="shared" si="3"/>
        <v>2035</v>
      </c>
      <c r="Y12" s="2240">
        <f t="shared" si="3"/>
        <v>2036</v>
      </c>
      <c r="Z12" s="2240">
        <f t="shared" si="3"/>
        <v>2037</v>
      </c>
      <c r="AA12" s="2240">
        <f t="shared" si="3"/>
        <v>2038</v>
      </c>
      <c r="AB12" s="2240">
        <f t="shared" si="3"/>
        <v>2039</v>
      </c>
      <c r="AC12" s="2240">
        <f t="shared" si="3"/>
        <v>2040</v>
      </c>
      <c r="AD12" s="2240">
        <f t="shared" si="3"/>
        <v>2041</v>
      </c>
      <c r="AE12" s="2240">
        <f t="shared" si="3"/>
        <v>2042</v>
      </c>
      <c r="AF12" s="2240">
        <f t="shared" si="3"/>
        <v>2043</v>
      </c>
      <c r="AG12" s="2240">
        <f t="shared" si="3"/>
        <v>2044</v>
      </c>
      <c r="AH12" s="2240">
        <f t="shared" si="3"/>
        <v>2045</v>
      </c>
      <c r="AI12" s="2240">
        <f t="shared" si="3"/>
        <v>2046</v>
      </c>
      <c r="AJ12" s="2240">
        <f t="shared" si="3"/>
        <v>2047</v>
      </c>
      <c r="AK12" s="2240">
        <f t="shared" si="3"/>
        <v>2048</v>
      </c>
      <c r="AL12" s="2240">
        <f t="shared" si="3"/>
        <v>2049</v>
      </c>
      <c r="AM12" s="2240">
        <f t="shared" si="3"/>
        <v>2050</v>
      </c>
      <c r="AN12" s="2240">
        <f t="shared" si="3"/>
        <v>2051</v>
      </c>
      <c r="AO12" s="2240">
        <f t="shared" si="3"/>
        <v>2052</v>
      </c>
      <c r="AP12" s="2240">
        <f t="shared" si="3"/>
        <v>2053</v>
      </c>
      <c r="AQ12" s="2240">
        <f t="shared" si="3"/>
        <v>2054</v>
      </c>
      <c r="AR12" s="2240">
        <f t="shared" si="3"/>
        <v>2055</v>
      </c>
      <c r="AS12" s="2240">
        <f t="shared" si="3"/>
        <v>2056</v>
      </c>
      <c r="AT12" s="2240">
        <f t="shared" si="3"/>
        <v>2057</v>
      </c>
      <c r="AU12" s="2240">
        <f t="shared" si="3"/>
        <v>2058</v>
      </c>
      <c r="AV12" s="2240">
        <f t="shared" si="3"/>
        <v>2059</v>
      </c>
    </row>
    <row r="13" spans="1:48" ht="16.5">
      <c r="A13" s="2198"/>
      <c r="B13" s="2241" t="s">
        <v>3850</v>
      </c>
      <c r="C13" s="2242"/>
      <c r="D13" s="2198"/>
      <c r="E13" s="2210"/>
      <c r="F13" s="2210"/>
      <c r="G13" s="2243">
        <v>515000</v>
      </c>
      <c r="H13" s="2243">
        <v>515000</v>
      </c>
      <c r="I13" s="2243">
        <v>515000</v>
      </c>
      <c r="J13" s="2243">
        <v>515000</v>
      </c>
      <c r="K13" s="2243">
        <v>515000</v>
      </c>
      <c r="L13" s="2243">
        <v>515000</v>
      </c>
      <c r="M13" s="2243">
        <v>515000</v>
      </c>
      <c r="N13" s="2243">
        <v>515000</v>
      </c>
      <c r="O13" s="2243">
        <v>515000</v>
      </c>
      <c r="P13" s="2243">
        <v>515000</v>
      </c>
      <c r="Q13" s="2243">
        <v>515000</v>
      </c>
      <c r="R13" s="2243">
        <v>515000</v>
      </c>
      <c r="S13" s="2243">
        <v>515000</v>
      </c>
      <c r="T13" s="2243">
        <v>515000</v>
      </c>
      <c r="U13" s="2243">
        <v>515000</v>
      </c>
      <c r="V13" s="2243">
        <v>515000</v>
      </c>
      <c r="W13" s="2243">
        <v>515000</v>
      </c>
      <c r="X13" s="2243">
        <v>515000</v>
      </c>
      <c r="Y13" s="2243">
        <v>515000</v>
      </c>
      <c r="Z13" s="2243">
        <v>515000</v>
      </c>
      <c r="AA13" s="2243">
        <v>515000</v>
      </c>
      <c r="AB13" s="2243">
        <v>515000</v>
      </c>
      <c r="AC13" s="2243">
        <v>515000</v>
      </c>
      <c r="AD13" s="2243">
        <v>515000</v>
      </c>
      <c r="AE13" s="2243">
        <v>515000</v>
      </c>
      <c r="AF13" s="2243">
        <v>515000</v>
      </c>
      <c r="AG13" s="2243">
        <v>515000</v>
      </c>
      <c r="AH13" s="2243">
        <v>515000</v>
      </c>
      <c r="AI13" s="2243">
        <v>515000</v>
      </c>
      <c r="AJ13" s="2243">
        <v>515000</v>
      </c>
      <c r="AK13" s="2243">
        <v>515000</v>
      </c>
      <c r="AL13" s="2243">
        <v>515000</v>
      </c>
      <c r="AM13" s="2243">
        <v>515000</v>
      </c>
      <c r="AN13" s="2243">
        <v>515000</v>
      </c>
      <c r="AO13" s="2243">
        <v>515000</v>
      </c>
      <c r="AP13" s="2243">
        <v>515000</v>
      </c>
      <c r="AQ13" s="2243">
        <v>515000</v>
      </c>
      <c r="AR13" s="2243">
        <v>515000</v>
      </c>
      <c r="AS13" s="2243">
        <v>515000</v>
      </c>
      <c r="AT13" s="2243">
        <v>515000</v>
      </c>
      <c r="AU13" s="2243">
        <v>515000</v>
      </c>
      <c r="AV13" s="2243">
        <v>515000</v>
      </c>
    </row>
    <row r="14" spans="1:48" ht="16.5">
      <c r="A14" s="2198"/>
      <c r="B14" s="2241" t="s">
        <v>3851</v>
      </c>
      <c r="C14" s="2242"/>
      <c r="D14" s="2198"/>
      <c r="E14" s="2210"/>
      <c r="F14" s="2210"/>
      <c r="G14" s="2244">
        <f>매출!Q5</f>
        <v>302932</v>
      </c>
      <c r="H14" s="2244">
        <f>매출!R5</f>
        <v>320343</v>
      </c>
      <c r="I14" s="2244">
        <f ca="1">매출!S5</f>
        <v>352194</v>
      </c>
      <c r="J14" s="2244">
        <f ca="1">매출!T5</f>
        <v>314436</v>
      </c>
      <c r="K14" s="2244">
        <f ca="1">매출!U5</f>
        <v>310000</v>
      </c>
      <c r="L14" s="2244">
        <f ca="1">매출!V5</f>
        <v>320000</v>
      </c>
      <c r="M14" s="2244">
        <f ca="1">매출!W5</f>
        <v>330000</v>
      </c>
      <c r="N14" s="2244">
        <f ca="1">매출!X5</f>
        <v>340000</v>
      </c>
      <c r="O14" s="2244">
        <f ca="1">매출!Y5</f>
        <v>350000</v>
      </c>
      <c r="P14" s="2244">
        <f ca="1">매출!Z5</f>
        <v>360000</v>
      </c>
      <c r="Q14" s="2244">
        <f ca="1">매출!AA5</f>
        <v>370000</v>
      </c>
      <c r="R14" s="2244">
        <f ca="1">매출!AB5</f>
        <v>380000</v>
      </c>
      <c r="S14" s="2244">
        <f ca="1">매출!AC5</f>
        <v>390000</v>
      </c>
      <c r="T14" s="2244">
        <f ca="1">매출!AD5</f>
        <v>394000</v>
      </c>
      <c r="U14" s="2244">
        <f ca="1">매출!AE5</f>
        <v>398000</v>
      </c>
      <c r="V14" s="2244">
        <f ca="1">매출!AF5</f>
        <v>402000</v>
      </c>
      <c r="W14" s="2244">
        <f ca="1">매출!AG5</f>
        <v>406000</v>
      </c>
      <c r="X14" s="2244">
        <f ca="1">매출!AH5</f>
        <v>410000</v>
      </c>
      <c r="Y14" s="2244">
        <f ca="1">매출!AI5</f>
        <v>414000</v>
      </c>
      <c r="Z14" s="2244">
        <f ca="1">매출!AJ5</f>
        <v>418000</v>
      </c>
      <c r="AA14" s="2244">
        <f ca="1">매출!AK5</f>
        <v>422000</v>
      </c>
      <c r="AB14" s="2244">
        <f ca="1">매출!AL5</f>
        <v>426000</v>
      </c>
      <c r="AC14" s="2244">
        <f ca="1">매출!AM5</f>
        <v>430000</v>
      </c>
      <c r="AD14" s="2244">
        <f ca="1">매출!AN5</f>
        <v>434000</v>
      </c>
      <c r="AE14" s="2244">
        <f ca="1">매출!AO5</f>
        <v>438000</v>
      </c>
      <c r="AF14" s="2244">
        <f ca="1">매출!AP5</f>
        <v>442000</v>
      </c>
      <c r="AG14" s="2244">
        <f ca="1">매출!AQ5</f>
        <v>446000</v>
      </c>
      <c r="AH14" s="2244">
        <f ca="1">매출!AR5</f>
        <v>450000</v>
      </c>
      <c r="AI14" s="2244">
        <f ca="1">매출!AS5</f>
        <v>454000</v>
      </c>
      <c r="AJ14" s="2244">
        <f ca="1">매출!AT5</f>
        <v>458000</v>
      </c>
      <c r="AK14" s="2244">
        <f ca="1">매출!AU5</f>
        <v>462000</v>
      </c>
      <c r="AL14" s="2244">
        <f ca="1">매출!AV5</f>
        <v>466000</v>
      </c>
      <c r="AM14" s="2244">
        <f ca="1">매출!AW5</f>
        <v>470000</v>
      </c>
      <c r="AN14" s="2244">
        <f ca="1">매출!AX5</f>
        <v>474000</v>
      </c>
      <c r="AO14" s="2244">
        <f ca="1">매출!AY5</f>
        <v>478000</v>
      </c>
      <c r="AP14" s="2244">
        <f ca="1">매출!AZ5</f>
        <v>482000</v>
      </c>
      <c r="AQ14" s="2244">
        <f ca="1">매출!BA5</f>
        <v>486000</v>
      </c>
      <c r="AR14" s="2244">
        <f ca="1">매출!BB5</f>
        <v>490000</v>
      </c>
      <c r="AS14" s="2244">
        <f ca="1">매출!BC5</f>
        <v>494000</v>
      </c>
      <c r="AT14" s="2244">
        <f ca="1">매출!BD5</f>
        <v>498000</v>
      </c>
      <c r="AU14" s="2244">
        <f ca="1">매출!BE5</f>
        <v>502000</v>
      </c>
      <c r="AV14" s="2244">
        <f ca="1">매출!BF5</f>
        <v>506000</v>
      </c>
    </row>
    <row r="15" spans="1:48" ht="16.5">
      <c r="A15" s="2198"/>
      <c r="B15" s="2245" t="s">
        <v>3852</v>
      </c>
      <c r="C15" s="2246"/>
      <c r="D15" s="2247"/>
      <c r="E15" s="2248"/>
      <c r="F15" s="2248"/>
      <c r="G15" s="2249">
        <f>1-(G14/G13)</f>
        <v>0.4117825242718447</v>
      </c>
      <c r="H15" s="2249">
        <f t="shared" ref="H15:AV15" si="4">1-(H14/H13)</f>
        <v>0.37797475728155339</v>
      </c>
      <c r="I15" s="2249">
        <f t="shared" ca="1" si="4"/>
        <v>0.31612815533980587</v>
      </c>
      <c r="J15" s="2249">
        <f t="shared" ca="1" si="4"/>
        <v>0.38944466019417479</v>
      </c>
      <c r="K15" s="2249">
        <f t="shared" ca="1" si="4"/>
        <v>0.39805825242718451</v>
      </c>
      <c r="L15" s="2249">
        <f t="shared" ca="1" si="4"/>
        <v>0.37864077669902918</v>
      </c>
      <c r="M15" s="2249">
        <f t="shared" ca="1" si="4"/>
        <v>0.35922330097087374</v>
      </c>
      <c r="N15" s="2249">
        <f t="shared" ca="1" si="4"/>
        <v>0.33980582524271841</v>
      </c>
      <c r="O15" s="2249">
        <f t="shared" ca="1" si="4"/>
        <v>0.32038834951456308</v>
      </c>
      <c r="P15" s="2249">
        <f t="shared" ca="1" si="4"/>
        <v>0.30097087378640774</v>
      </c>
      <c r="Q15" s="2249">
        <f t="shared" ca="1" si="4"/>
        <v>0.28155339805825241</v>
      </c>
      <c r="R15" s="2249">
        <f t="shared" ca="1" si="4"/>
        <v>0.26213592233009708</v>
      </c>
      <c r="S15" s="2249">
        <f t="shared" ca="1" si="4"/>
        <v>0.24271844660194175</v>
      </c>
      <c r="T15" s="2249">
        <f t="shared" ca="1" si="4"/>
        <v>0.2349514563106796</v>
      </c>
      <c r="U15" s="2249">
        <f t="shared" ca="1" si="4"/>
        <v>0.22718446601941744</v>
      </c>
      <c r="V15" s="2249">
        <f t="shared" ca="1" si="4"/>
        <v>0.21941747572815529</v>
      </c>
      <c r="W15" s="2249">
        <f t="shared" ca="1" si="4"/>
        <v>0.21165048543689324</v>
      </c>
      <c r="X15" s="2249">
        <f t="shared" ca="1" si="4"/>
        <v>0.20388349514563109</v>
      </c>
      <c r="Y15" s="2249">
        <f t="shared" ca="1" si="4"/>
        <v>0.19611650485436893</v>
      </c>
      <c r="Z15" s="2249">
        <f t="shared" ca="1" si="4"/>
        <v>0.18834951456310678</v>
      </c>
      <c r="AA15" s="2249">
        <f t="shared" ca="1" si="4"/>
        <v>0.18058252427184462</v>
      </c>
      <c r="AB15" s="2249">
        <f t="shared" ca="1" si="4"/>
        <v>0.17281553398058247</v>
      </c>
      <c r="AC15" s="2249">
        <f t="shared" ca="1" si="4"/>
        <v>0.16504854368932043</v>
      </c>
      <c r="AD15" s="2249">
        <f t="shared" ca="1" si="4"/>
        <v>0.15728155339805827</v>
      </c>
      <c r="AE15" s="2249">
        <f t="shared" ca="1" si="4"/>
        <v>0.14951456310679612</v>
      </c>
      <c r="AF15" s="2249">
        <f t="shared" ca="1" si="4"/>
        <v>0.14174757281553396</v>
      </c>
      <c r="AG15" s="2249">
        <f t="shared" ca="1" si="4"/>
        <v>0.13398058252427181</v>
      </c>
      <c r="AH15" s="2249">
        <f t="shared" ca="1" si="4"/>
        <v>0.12621359223300976</v>
      </c>
      <c r="AI15" s="2249">
        <f t="shared" ca="1" si="4"/>
        <v>0.11844660194174761</v>
      </c>
      <c r="AJ15" s="2249">
        <f t="shared" ca="1" si="4"/>
        <v>0.11067961165048545</v>
      </c>
      <c r="AK15" s="2249">
        <f t="shared" ca="1" si="4"/>
        <v>0.1029126213592233</v>
      </c>
      <c r="AL15" s="2249">
        <f t="shared" ca="1" si="4"/>
        <v>9.5145631067961145E-2</v>
      </c>
      <c r="AM15" s="2249">
        <f t="shared" ca="1" si="4"/>
        <v>8.737864077669899E-2</v>
      </c>
      <c r="AN15" s="2249">
        <f t="shared" ca="1" si="4"/>
        <v>7.9611650485436947E-2</v>
      </c>
      <c r="AO15" s="2249">
        <f t="shared" ca="1" si="4"/>
        <v>7.1844660194174792E-2</v>
      </c>
      <c r="AP15" s="2249">
        <f t="shared" ca="1" si="4"/>
        <v>6.4077669902912637E-2</v>
      </c>
      <c r="AQ15" s="2249">
        <f t="shared" ca="1" si="4"/>
        <v>5.6310679611650483E-2</v>
      </c>
      <c r="AR15" s="2249">
        <f t="shared" ca="1" si="4"/>
        <v>4.8543689320388328E-2</v>
      </c>
      <c r="AS15" s="2249">
        <f t="shared" ca="1" si="4"/>
        <v>4.0776699029126173E-2</v>
      </c>
      <c r="AT15" s="2249">
        <f t="shared" ca="1" si="4"/>
        <v>3.300970873786413E-2</v>
      </c>
      <c r="AU15" s="2249">
        <f t="shared" ca="1" si="4"/>
        <v>2.5242718446601975E-2</v>
      </c>
      <c r="AV15" s="2249">
        <f t="shared" ca="1" si="4"/>
        <v>1.747572815533982E-2</v>
      </c>
    </row>
    <row r="16" spans="1:48" ht="16.5">
      <c r="A16" s="2198"/>
      <c r="B16" s="2250"/>
      <c r="C16" s="2242"/>
      <c r="D16" s="2247"/>
      <c r="E16" s="2230"/>
      <c r="F16" s="2198"/>
      <c r="G16" s="2251"/>
      <c r="H16" s="2252"/>
      <c r="I16" s="2252"/>
      <c r="J16" s="2252"/>
      <c r="K16" s="2252"/>
      <c r="L16" s="2252"/>
      <c r="M16" s="2252"/>
      <c r="N16" s="2252"/>
      <c r="O16" s="2252"/>
      <c r="P16" s="2252"/>
      <c r="Q16" s="2252"/>
      <c r="R16" s="2252"/>
      <c r="S16" s="2252"/>
      <c r="T16" s="2252"/>
      <c r="U16" s="2252"/>
      <c r="V16" s="2252"/>
      <c r="W16" s="2252"/>
      <c r="X16" s="2252"/>
      <c r="Y16" s="2252"/>
      <c r="Z16" s="2252"/>
      <c r="AA16" s="2252"/>
      <c r="AB16" s="2252"/>
      <c r="AC16" s="2252"/>
      <c r="AD16" s="2252"/>
      <c r="AE16" s="2252"/>
      <c r="AF16" s="2252"/>
      <c r="AG16" s="2252"/>
      <c r="AH16" s="2252"/>
      <c r="AI16" s="2252"/>
      <c r="AJ16" s="2252"/>
      <c r="AK16" s="2252"/>
      <c r="AL16" s="2252"/>
      <c r="AM16" s="2252"/>
      <c r="AN16" s="2252"/>
      <c r="AO16" s="2252"/>
      <c r="AP16" s="2252"/>
      <c r="AQ16" s="2252"/>
      <c r="AR16" s="2252"/>
      <c r="AS16" s="2252"/>
      <c r="AT16" s="2252"/>
      <c r="AU16" s="2252"/>
      <c r="AV16" s="2252"/>
    </row>
    <row r="17" spans="1:48" ht="16.5">
      <c r="A17" s="2198"/>
      <c r="B17" s="2253" t="s">
        <v>5165</v>
      </c>
      <c r="C17" s="2254"/>
      <c r="D17" s="2255"/>
      <c r="E17" s="2256">
        <v>1.4314</v>
      </c>
      <c r="F17" s="2256" t="s">
        <v>40</v>
      </c>
      <c r="G17" s="2257">
        <f>Index!X77</f>
        <v>1.5190131312000001</v>
      </c>
      <c r="H17" s="2257">
        <f>Index!X78</f>
        <v>1.5493933938240001</v>
      </c>
      <c r="I17" s="2257">
        <f>Index!X79</f>
        <v>1.5803812617004802</v>
      </c>
      <c r="J17" s="2257">
        <f>Index!X80</f>
        <v>1.6119888869344898</v>
      </c>
      <c r="K17" s="5193">
        <f ca="1">J17*(1+민감도!$E$89)</f>
        <v>1.6361687202385071</v>
      </c>
      <c r="L17" s="5193">
        <f ca="1">K17*(1+민감도!$E$89)</f>
        <v>1.6607112510420845</v>
      </c>
      <c r="M17" s="5193">
        <f ca="1">L17*(1+민감도!$E$89)</f>
        <v>1.6856219198077156</v>
      </c>
      <c r="N17" s="5193">
        <f ca="1">M17*(1+민감도!$E$89)</f>
        <v>1.7109062486048312</v>
      </c>
      <c r="O17" s="5193">
        <f ca="1">N17*(1+민감도!$E$89)</f>
        <v>1.7365698423339035</v>
      </c>
      <c r="P17" s="5193">
        <f ca="1">O17*(1+민감도!$E$89)</f>
        <v>1.7626183899689118</v>
      </c>
      <c r="Q17" s="5193">
        <f ca="1">P17*(1+민감도!$E$89)</f>
        <v>1.7890576658184454</v>
      </c>
      <c r="R17" s="5193">
        <f ca="1">Q17*(1+민감도!$E$89)</f>
        <v>1.8158935308057218</v>
      </c>
      <c r="S17" s="5193">
        <f ca="1">R17*(1+민감도!$E$89)</f>
        <v>1.8431319337678074</v>
      </c>
      <c r="T17" s="5193">
        <f ca="1">S17*(1+민감도!$E$89)</f>
        <v>1.8707789127743244</v>
      </c>
      <c r="U17" s="5193">
        <f ca="1">T17*(1+민감도!$E$89)</f>
        <v>1.8988405964659392</v>
      </c>
      <c r="V17" s="5193">
        <f ca="1">U17*(1+민감도!$E$89)</f>
        <v>1.9273232054129281</v>
      </c>
      <c r="W17" s="5193">
        <f ca="1">V17*(1+민감도!$E$89)</f>
        <v>1.9562330534941219</v>
      </c>
      <c r="X17" s="5193">
        <f ca="1">W17*(1+민감도!$E$89)</f>
        <v>1.9855765492965336</v>
      </c>
      <c r="Y17" s="5193">
        <f ca="1">X17*(1+민감도!$E$89)</f>
        <v>2.0153601975359816</v>
      </c>
      <c r="Z17" s="5193">
        <f ca="1">Y17*(1+민감도!$E$89)</f>
        <v>2.045590600499021</v>
      </c>
      <c r="AA17" s="5193">
        <f ca="1">Z17*(1+민감도!$E$89)</f>
        <v>2.0762744595065059</v>
      </c>
      <c r="AB17" s="5193">
        <f ca="1">AA17*(1+민감도!$E$89)</f>
        <v>2.1074185763991031</v>
      </c>
      <c r="AC17" s="5193">
        <f ca="1">AB17*(1+민감도!$E$89)</f>
        <v>2.1390298550450897</v>
      </c>
      <c r="AD17" s="5193">
        <f ca="1">AC17*(1+민감도!$E$89)</f>
        <v>2.1711153028707657</v>
      </c>
      <c r="AE17" s="5193">
        <f ca="1">AD17*(1+민감도!$E$89)</f>
        <v>2.2036820324138269</v>
      </c>
      <c r="AF17" s="5193">
        <f ca="1">AE17*(1+민감도!$E$89)</f>
        <v>2.2367372629000339</v>
      </c>
      <c r="AG17" s="5193">
        <f ca="1">AF17*(1+민감도!$E$89)</f>
        <v>2.2702883218435344</v>
      </c>
      <c r="AH17" s="5193">
        <f ca="1">AG17*(1+민감도!$E$89)</f>
        <v>2.3043426466711869</v>
      </c>
      <c r="AI17" s="5193">
        <f ca="1">AH17*(1+민감도!$E$89)</f>
        <v>2.3389077863712546</v>
      </c>
      <c r="AJ17" s="5193">
        <f ca="1">AI17*(1+민감도!$E$89)</f>
        <v>2.3739914031668232</v>
      </c>
      <c r="AK17" s="5193">
        <f ca="1">AJ17*(1+민감도!$E$89)</f>
        <v>2.4096012742143254</v>
      </c>
      <c r="AL17" s="5193">
        <f ca="1">AK17*(1+민감도!$E$89)</f>
        <v>2.4457452933275401</v>
      </c>
      <c r="AM17" s="5193">
        <f ca="1">AL17*(1+민감도!$E$89)</f>
        <v>2.4824314727274528</v>
      </c>
      <c r="AN17" s="5193">
        <f ca="1">AM17*(1+민감도!$E$89)</f>
        <v>2.5196679448183645</v>
      </c>
      <c r="AO17" s="5193">
        <f ca="1">AN17*(1+민감도!$E$89)</f>
        <v>2.5574629639906399</v>
      </c>
      <c r="AP17" s="5193">
        <f ca="1">AO17*(1+민감도!$E$89)</f>
        <v>2.5958249084504992</v>
      </c>
      <c r="AQ17" s="5193">
        <f ca="1">AP17*(1+민감도!$E$89)</f>
        <v>2.6347622820772565</v>
      </c>
      <c r="AR17" s="5193">
        <f ca="1">AQ17*(1+민감도!$E$89)</f>
        <v>2.6742837163084152</v>
      </c>
      <c r="AS17" s="5193">
        <f ca="1">AR17*(1+민감도!$E$89)</f>
        <v>2.7143979720530411</v>
      </c>
      <c r="AT17" s="5193">
        <f ca="1">AS17*(1+민감도!$E$89)</f>
        <v>2.7551139416338364</v>
      </c>
      <c r="AU17" s="5193">
        <f ca="1">AT17*(1+민감도!$E$89)</f>
        <v>2.7964406507583437</v>
      </c>
      <c r="AV17" s="5193">
        <f ca="1">AU17*(1+민감도!$E$89)</f>
        <v>2.8383872605197187</v>
      </c>
    </row>
    <row r="18" spans="1:48" ht="16.5">
      <c r="A18" s="2242"/>
      <c r="B18" s="2241" t="s">
        <v>3853</v>
      </c>
      <c r="C18" s="2242"/>
      <c r="D18" s="2242"/>
      <c r="E18" s="2242"/>
      <c r="F18" s="2242"/>
      <c r="G18" s="2258">
        <v>19990282658.955597</v>
      </c>
      <c r="H18" s="2258">
        <f t="shared" ref="H18:AV18" si="5">H3*H17</f>
        <v>20977095087.355892</v>
      </c>
      <c r="I18" s="2258">
        <f t="shared" si="5"/>
        <v>21095232868.385658</v>
      </c>
      <c r="J18" s="2258">
        <f t="shared" si="5"/>
        <v>21646970305.669048</v>
      </c>
      <c r="K18" s="2258">
        <f t="shared" ca="1" si="5"/>
        <v>21746730799.750031</v>
      </c>
      <c r="L18" s="2259">
        <f t="shared" ca="1" si="5"/>
        <v>22111846251.922264</v>
      </c>
      <c r="M18" s="2258">
        <f t="shared" ca="1" si="5"/>
        <v>22371434681.671551</v>
      </c>
      <c r="N18" s="2258">
        <f t="shared" ca="1" si="5"/>
        <v>22693149702.218048</v>
      </c>
      <c r="O18" s="2258">
        <f t="shared" ca="1" si="5"/>
        <v>22888775898.24633</v>
      </c>
      <c r="P18" s="2258">
        <f t="shared" ca="1" si="5"/>
        <v>23277601422.135639</v>
      </c>
      <c r="Q18" s="2258">
        <f t="shared" ca="1" si="5"/>
        <v>23884303918.360054</v>
      </c>
      <c r="R18" s="2258">
        <f t="shared" ca="1" si="5"/>
        <v>24397686563.085632</v>
      </c>
      <c r="S18" s="2258">
        <f t="shared" ca="1" si="5"/>
        <v>24665216681.476994</v>
      </c>
      <c r="T18" s="2258">
        <f t="shared" ca="1" si="5"/>
        <v>25071949205.954098</v>
      </c>
      <c r="U18" s="2258">
        <f t="shared" ca="1" si="5"/>
        <v>25474306481.757652</v>
      </c>
      <c r="V18" s="2258">
        <f t="shared" ca="1" si="5"/>
        <v>25934779639.04557</v>
      </c>
      <c r="W18" s="2258">
        <f t="shared" ca="1" si="5"/>
        <v>26136945159.09605</v>
      </c>
      <c r="X18" s="2258">
        <f t="shared" ca="1" si="5"/>
        <v>26556221276.346794</v>
      </c>
      <c r="Y18" s="2258">
        <f t="shared" ca="1" si="5"/>
        <v>26797260186.23629</v>
      </c>
      <c r="Z18" s="2258">
        <f t="shared" ca="1" si="5"/>
        <v>27233273419.001511</v>
      </c>
      <c r="AA18" s="2258">
        <f t="shared" ca="1" si="5"/>
        <v>27488081909.662624</v>
      </c>
      <c r="AB18" s="2258">
        <f t="shared" ca="1" si="5"/>
        <v>27946647170.494316</v>
      </c>
      <c r="AC18" s="2258">
        <f t="shared" ca="1" si="5"/>
        <v>28239532447.47274</v>
      </c>
      <c r="AD18" s="2258">
        <f t="shared" ca="1" si="5"/>
        <v>28720089249.333012</v>
      </c>
      <c r="AE18" s="2258">
        <f t="shared" ca="1" si="5"/>
        <v>28984427859.82465</v>
      </c>
      <c r="AF18" s="2258">
        <f t="shared" ca="1" si="5"/>
        <v>29455907761.328205</v>
      </c>
      <c r="AG18" s="2258">
        <f t="shared" ca="1" si="5"/>
        <v>29723048332.562191</v>
      </c>
      <c r="AH18" s="2258">
        <f t="shared" ca="1" si="5"/>
        <v>30250362176.863796</v>
      </c>
      <c r="AI18" s="2258">
        <f t="shared" ca="1" si="5"/>
        <v>30486474147.549786</v>
      </c>
      <c r="AJ18" s="2258">
        <f t="shared" ca="1" si="5"/>
        <v>30997678615.561111</v>
      </c>
      <c r="AK18" s="2258">
        <f t="shared" ca="1" si="5"/>
        <v>31883539471.338219</v>
      </c>
      <c r="AL18" s="2258">
        <f t="shared" ca="1" si="5"/>
        <v>32571911285.370708</v>
      </c>
      <c r="AM18" s="2258">
        <f t="shared" ca="1" si="5"/>
        <v>32944007761.241737</v>
      </c>
      <c r="AN18" s="2258">
        <f t="shared" ca="1" si="5"/>
        <v>33532021618.272602</v>
      </c>
      <c r="AO18" s="2258">
        <f t="shared" ca="1" si="5"/>
        <v>34019255594.13596</v>
      </c>
      <c r="AP18" s="2258">
        <f t="shared" ca="1" si="5"/>
        <v>34628348754.431343</v>
      </c>
      <c r="AQ18" s="2258">
        <f t="shared" ca="1" si="5"/>
        <v>34915163843.347153</v>
      </c>
      <c r="AR18" s="2258">
        <f t="shared" ca="1" si="5"/>
        <v>35464468372.987694</v>
      </c>
      <c r="AS18" s="2258">
        <f t="shared" ca="1" si="5"/>
        <v>35825828172.171455</v>
      </c>
      <c r="AT18" s="2258">
        <f t="shared" ca="1" si="5"/>
        <v>36451935778.190277</v>
      </c>
      <c r="AU18" s="2258">
        <f t="shared" ca="1" si="5"/>
        <v>37349582694.183266</v>
      </c>
      <c r="AV18" s="2258">
        <f t="shared" ca="1" si="5"/>
        <v>18954913217.298004</v>
      </c>
    </row>
    <row r="19" spans="1:48" ht="16.5">
      <c r="A19" s="2198"/>
      <c r="B19" s="2260" t="s">
        <v>3854</v>
      </c>
      <c r="C19" s="2198"/>
      <c r="D19" s="2198"/>
      <c r="E19" s="2198"/>
      <c r="F19" s="2198"/>
      <c r="G19" s="2261">
        <v>2915431040.7386017</v>
      </c>
      <c r="H19" s="2259">
        <f t="shared" ref="H19:AV19" si="6">H10*H17</f>
        <v>2985551672.3095632</v>
      </c>
      <c r="I19" s="2259">
        <f t="shared" si="6"/>
        <v>3062595121.6031828</v>
      </c>
      <c r="J19" s="2259">
        <f t="shared" si="6"/>
        <v>3138142592.8414698</v>
      </c>
      <c r="K19" s="2259">
        <f t="shared" ca="1" si="6"/>
        <v>3196923176.3663116</v>
      </c>
      <c r="L19" s="2259">
        <f t="shared" ca="1" si="6"/>
        <v>3254449748.947823</v>
      </c>
      <c r="M19" s="2259">
        <f t="shared" ca="1" si="6"/>
        <v>3311083169.0283751</v>
      </c>
      <c r="N19" s="2259">
        <f t="shared" ca="1" si="6"/>
        <v>3285313068.9833155</v>
      </c>
      <c r="O19" s="2259">
        <f t="shared" ca="1" si="6"/>
        <v>3334592765.3827448</v>
      </c>
      <c r="P19" s="2259">
        <f t="shared" ca="1" si="6"/>
        <v>3384611656.8634853</v>
      </c>
      <c r="Q19" s="2259">
        <f t="shared" ca="1" si="6"/>
        <v>3435380831.7164373</v>
      </c>
      <c r="R19" s="2259">
        <f t="shared" ca="1" si="6"/>
        <v>3486911544.1921835</v>
      </c>
      <c r="S19" s="2259">
        <f t="shared" ca="1" si="6"/>
        <v>3539215217.3550658</v>
      </c>
      <c r="T19" s="2259">
        <f t="shared" ca="1" si="6"/>
        <v>3592303445.6153917</v>
      </c>
      <c r="U19" s="2259">
        <f t="shared" ca="1" si="6"/>
        <v>3646187997.2996221</v>
      </c>
      <c r="V19" s="2259">
        <f t="shared" ca="1" si="6"/>
        <v>3700880817.2591162</v>
      </c>
      <c r="W19" s="2259">
        <f t="shared" ca="1" si="6"/>
        <v>3756394029.5180025</v>
      </c>
      <c r="X19" s="2259">
        <f t="shared" ca="1" si="6"/>
        <v>3812739939.9607725</v>
      </c>
      <c r="Y19" s="2259">
        <f t="shared" ca="1" si="6"/>
        <v>3869931039.060184</v>
      </c>
      <c r="Z19" s="2259">
        <f t="shared" ca="1" si="6"/>
        <v>3927980004.6460862</v>
      </c>
      <c r="AA19" s="2259">
        <f t="shared" ca="1" si="6"/>
        <v>3986899704.7157769</v>
      </c>
      <c r="AB19" s="2259">
        <f t="shared" ca="1" si="6"/>
        <v>4046703200.2865129</v>
      </c>
      <c r="AC19" s="2259">
        <f t="shared" ca="1" si="6"/>
        <v>4107403748.2908106</v>
      </c>
      <c r="AD19" s="2259">
        <f t="shared" ca="1" si="6"/>
        <v>4169014804.515172</v>
      </c>
      <c r="AE19" s="2259">
        <f t="shared" ca="1" si="6"/>
        <v>4231550026.5828991</v>
      </c>
      <c r="AF19" s="2259">
        <f t="shared" ca="1" si="6"/>
        <v>4295023276.9816418</v>
      </c>
      <c r="AG19" s="2259">
        <f t="shared" ca="1" si="6"/>
        <v>4359448626.1363659</v>
      </c>
      <c r="AH19" s="2259">
        <f t="shared" ca="1" si="6"/>
        <v>4424840355.5284109</v>
      </c>
      <c r="AI19" s="2259">
        <f t="shared" ca="1" si="6"/>
        <v>4491212960.8613367</v>
      </c>
      <c r="AJ19" s="2259">
        <f t="shared" ca="1" si="6"/>
        <v>4558581155.2742567</v>
      </c>
      <c r="AK19" s="2259">
        <f t="shared" ca="1" si="6"/>
        <v>4626959872.6033697</v>
      </c>
      <c r="AL19" s="2259">
        <f t="shared" ca="1" si="6"/>
        <v>4696364270.69242</v>
      </c>
      <c r="AM19" s="2259">
        <f t="shared" ca="1" si="6"/>
        <v>4766809734.7528057</v>
      </c>
      <c r="AN19" s="2259">
        <f t="shared" ca="1" si="6"/>
        <v>4838311880.7740974</v>
      </c>
      <c r="AO19" s="2259">
        <f t="shared" ca="1" si="6"/>
        <v>4910886558.9857092</v>
      </c>
      <c r="AP19" s="2259">
        <f t="shared" ca="1" si="6"/>
        <v>4984549857.3704939</v>
      </c>
      <c r="AQ19" s="2259">
        <f t="shared" ca="1" si="6"/>
        <v>5059318105.2310514</v>
      </c>
      <c r="AR19" s="2259">
        <f t="shared" ca="1" si="6"/>
        <v>5135207876.8095169</v>
      </c>
      <c r="AS19" s="2259">
        <f t="shared" ca="1" si="6"/>
        <v>5212235994.9616585</v>
      </c>
      <c r="AT19" s="2259">
        <f t="shared" ca="1" si="6"/>
        <v>5290419534.8860826</v>
      </c>
      <c r="AU19" s="2259">
        <f t="shared" ca="1" si="6"/>
        <v>5369775827.9093733</v>
      </c>
      <c r="AV19" s="2259">
        <f t="shared" ca="1" si="6"/>
        <v>2725161232.6640072</v>
      </c>
    </row>
    <row r="20" spans="1:48" ht="16.5">
      <c r="A20" s="2198"/>
      <c r="B20" s="2260" t="s">
        <v>3855</v>
      </c>
      <c r="C20" s="2198"/>
      <c r="D20" s="2262"/>
      <c r="E20" s="2263"/>
      <c r="F20" s="2263"/>
      <c r="G20" s="2259">
        <v>1200534309.8321824</v>
      </c>
      <c r="H20" s="2259">
        <f t="shared" ref="H20:AV20" si="7">H15*H19</f>
        <v>1128463168.6927431</v>
      </c>
      <c r="I20" s="2259">
        <f t="shared" ca="1" si="7"/>
        <v>968172546.34510267</v>
      </c>
      <c r="J20" s="2259">
        <f t="shared" ca="1" si="7"/>
        <v>1222132875.7100127</v>
      </c>
      <c r="K20" s="2259">
        <f t="shared" ca="1" si="7"/>
        <v>1272561652.7283378</v>
      </c>
      <c r="L20" s="2259">
        <f t="shared" ca="1" si="7"/>
        <v>1232267380.6695642</v>
      </c>
      <c r="M20" s="2259">
        <f t="shared" ca="1" si="7"/>
        <v>1189418225.7674744</v>
      </c>
      <c r="N20" s="2259">
        <f t="shared" ca="1" si="7"/>
        <v>1116368518.5865633</v>
      </c>
      <c r="O20" s="2259">
        <f t="shared" ca="1" si="7"/>
        <v>1068364672.4041803</v>
      </c>
      <c r="P20" s="2259">
        <f t="shared" ca="1" si="7"/>
        <v>1018669527.7938645</v>
      </c>
      <c r="Q20" s="2259">
        <f t="shared" ca="1" si="7"/>
        <v>967243146.79394829</v>
      </c>
      <c r="R20" s="2259">
        <f t="shared" ca="1" si="7"/>
        <v>914044773.72028112</v>
      </c>
      <c r="S20" s="2259">
        <f t="shared" ca="1" si="7"/>
        <v>859032819.7463752</v>
      </c>
      <c r="T20" s="2259">
        <f t="shared" ca="1" si="7"/>
        <v>844016926.05720854</v>
      </c>
      <c r="U20" s="2259">
        <f t="shared" ca="1" si="7"/>
        <v>828357273.17292368</v>
      </c>
      <c r="V20" s="2259">
        <f t="shared" ca="1" si="7"/>
        <v>812037926.89374757</v>
      </c>
      <c r="W20" s="2259">
        <f t="shared" ca="1" si="7"/>
        <v>795042619.83973277</v>
      </c>
      <c r="X20" s="2259">
        <f t="shared" ca="1" si="7"/>
        <v>777354745.04054594</v>
      </c>
      <c r="Y20" s="2259">
        <f t="shared" ca="1" si="7"/>
        <v>758957349.40791965</v>
      </c>
      <c r="Z20" s="2259">
        <f t="shared" ca="1" si="7"/>
        <v>739833127.08868027</v>
      </c>
      <c r="AA20" s="2259">
        <f t="shared" ca="1" si="7"/>
        <v>719964412.69624698</v>
      </c>
      <c r="AB20" s="2259">
        <f t="shared" ca="1" si="7"/>
        <v>699333174.41844571</v>
      </c>
      <c r="AC20" s="2259">
        <f t="shared" ca="1" si="7"/>
        <v>677921006.99945438</v>
      </c>
      <c r="AD20" s="2259">
        <f t="shared" ca="1" si="7"/>
        <v>655709124.59364843</v>
      </c>
      <c r="AE20" s="2259">
        <f t="shared" ca="1" si="7"/>
        <v>632678353.48909366</v>
      </c>
      <c r="AF20" s="2259">
        <f t="shared" ca="1" si="7"/>
        <v>608809124.69836855</v>
      </c>
      <c r="AG20" s="2259">
        <f t="shared" ca="1" si="7"/>
        <v>584081466.41438675</v>
      </c>
      <c r="AH20" s="2259">
        <f t="shared" ca="1" si="7"/>
        <v>558474996.32882881</v>
      </c>
      <c r="AI20" s="2259">
        <f t="shared" ca="1" si="7"/>
        <v>531968913.81076044</v>
      </c>
      <c r="AJ20" s="2259">
        <f t="shared" ca="1" si="7"/>
        <v>504541991.94297606</v>
      </c>
      <c r="AK20" s="2259">
        <f t="shared" ca="1" si="7"/>
        <v>476172569.41355067</v>
      </c>
      <c r="AL20" s="2259">
        <f t="shared" ca="1" si="7"/>
        <v>446838542.26005542</v>
      </c>
      <c r="AM20" s="2259">
        <f t="shared" ca="1" si="7"/>
        <v>416517355.46383721</v>
      </c>
      <c r="AN20" s="2259">
        <f t="shared" ca="1" si="7"/>
        <v>385185994.39172453</v>
      </c>
      <c r="AO20" s="2259">
        <f t="shared" ca="1" si="7"/>
        <v>352820976.08246857</v>
      </c>
      <c r="AP20" s="2259">
        <f t="shared" ca="1" si="7"/>
        <v>319398340.37519675</v>
      </c>
      <c r="AQ20" s="2259">
        <f t="shared" ca="1" si="7"/>
        <v>284893640.87708831</v>
      </c>
      <c r="AR20" s="2259">
        <f t="shared" ca="1" si="7"/>
        <v>249281935.76745218</v>
      </c>
      <c r="AS20" s="2259">
        <f t="shared" ca="1" si="7"/>
        <v>212537778.43532956</v>
      </c>
      <c r="AT20" s="2259">
        <f t="shared" ca="1" si="7"/>
        <v>174635207.94769621</v>
      </c>
      <c r="AU20" s="2259">
        <f t="shared" ca="1" si="7"/>
        <v>135547739.34528533</v>
      </c>
      <c r="AV20" s="2259">
        <f t="shared" ca="1" si="7"/>
        <v>47624176.881506965</v>
      </c>
    </row>
    <row r="21" spans="1:48" ht="16.5">
      <c r="A21" s="2242"/>
      <c r="B21" s="2264" t="s">
        <v>3856</v>
      </c>
      <c r="C21" s="2265"/>
      <c r="D21" s="2266"/>
      <c r="E21" s="2265"/>
      <c r="F21" s="2267">
        <f t="shared" ref="F21:F26" ca="1" si="8">SUM(G21:AV21)</f>
        <v>1136701392666.7268</v>
      </c>
      <c r="G21" s="2268">
        <f t="shared" ref="G21:L21" si="9">G18-G20</f>
        <v>18789748349.123413</v>
      </c>
      <c r="H21" s="2268">
        <f t="shared" si="9"/>
        <v>19848631918.663151</v>
      </c>
      <c r="I21" s="2268">
        <f t="shared" ca="1" si="9"/>
        <v>20127060322.040554</v>
      </c>
      <c r="J21" s="2269">
        <v>20729752065.319099</v>
      </c>
      <c r="K21" s="2268">
        <f t="shared" ca="1" si="9"/>
        <v>20474169147.021694</v>
      </c>
      <c r="L21" s="2268">
        <f t="shared" ca="1" si="9"/>
        <v>20879578871.252701</v>
      </c>
      <c r="M21" s="2268">
        <f ca="1">M18-M20</f>
        <v>21182016455.904076</v>
      </c>
      <c r="N21" s="2268">
        <f ca="1">N18-N20</f>
        <v>21576781183.631485</v>
      </c>
      <c r="O21" s="2268">
        <f ca="1">O18-O20</f>
        <v>21820411225.842152</v>
      </c>
      <c r="P21" s="2268">
        <f t="shared" ref="P21:AV21" ca="1" si="10">P18-P20</f>
        <v>22258931894.341774</v>
      </c>
      <c r="Q21" s="2268">
        <f t="shared" ca="1" si="10"/>
        <v>22917060771.566105</v>
      </c>
      <c r="R21" s="2268">
        <f t="shared" ca="1" si="10"/>
        <v>23483641789.365353</v>
      </c>
      <c r="S21" s="2268">
        <f t="shared" ca="1" si="10"/>
        <v>23806183861.730618</v>
      </c>
      <c r="T21" s="2268">
        <f t="shared" ca="1" si="10"/>
        <v>24227932279.896889</v>
      </c>
      <c r="U21" s="2268">
        <f t="shared" ca="1" si="10"/>
        <v>24645949208.584728</v>
      </c>
      <c r="V21" s="2268">
        <f t="shared" ca="1" si="10"/>
        <v>25122741712.151821</v>
      </c>
      <c r="W21" s="2268">
        <f t="shared" ca="1" si="10"/>
        <v>25341902539.256317</v>
      </c>
      <c r="X21" s="2268">
        <f t="shared" ca="1" si="10"/>
        <v>25778866531.306248</v>
      </c>
      <c r="Y21" s="2268">
        <f t="shared" ca="1" si="10"/>
        <v>26038302836.828369</v>
      </c>
      <c r="Z21" s="2268">
        <f t="shared" ca="1" si="10"/>
        <v>26493440291.91283</v>
      </c>
      <c r="AA21" s="2268">
        <f t="shared" ca="1" si="10"/>
        <v>26768117496.966377</v>
      </c>
      <c r="AB21" s="2268">
        <f t="shared" ca="1" si="10"/>
        <v>27247313996.075871</v>
      </c>
      <c r="AC21" s="2268">
        <f t="shared" ca="1" si="10"/>
        <v>27561611440.473286</v>
      </c>
      <c r="AD21" s="2268">
        <f t="shared" ca="1" si="10"/>
        <v>28064380124.739365</v>
      </c>
      <c r="AE21" s="2268">
        <f t="shared" ca="1" si="10"/>
        <v>28351749506.335556</v>
      </c>
      <c r="AF21" s="2268">
        <f t="shared" ca="1" si="10"/>
        <v>28847098636.629837</v>
      </c>
      <c r="AG21" s="2268">
        <f t="shared" ca="1" si="10"/>
        <v>29138966866.147804</v>
      </c>
      <c r="AH21" s="2268">
        <f t="shared" ca="1" si="10"/>
        <v>29691887180.534966</v>
      </c>
      <c r="AI21" s="2268">
        <f t="shared" ca="1" si="10"/>
        <v>29954505233.739025</v>
      </c>
      <c r="AJ21" s="2268">
        <f t="shared" ca="1" si="10"/>
        <v>30493136623.618134</v>
      </c>
      <c r="AK21" s="2268">
        <f t="shared" ca="1" si="10"/>
        <v>31407366901.924667</v>
      </c>
      <c r="AL21" s="2268">
        <f t="shared" ca="1" si="10"/>
        <v>32125072743.110653</v>
      </c>
      <c r="AM21" s="2268">
        <f t="shared" ca="1" si="10"/>
        <v>32527490405.777901</v>
      </c>
      <c r="AN21" s="2268">
        <f t="shared" ca="1" si="10"/>
        <v>33146835623.880878</v>
      </c>
      <c r="AO21" s="2268">
        <f t="shared" ca="1" si="10"/>
        <v>33666434618.05349</v>
      </c>
      <c r="AP21" s="2268">
        <f t="shared" ca="1" si="10"/>
        <v>34308950414.056145</v>
      </c>
      <c r="AQ21" s="2268">
        <f t="shared" ca="1" si="10"/>
        <v>34630270202.470062</v>
      </c>
      <c r="AR21" s="2268">
        <f t="shared" ca="1" si="10"/>
        <v>35215186437.220245</v>
      </c>
      <c r="AS21" s="2268">
        <f t="shared" ca="1" si="10"/>
        <v>35613290393.736122</v>
      </c>
      <c r="AT21" s="2268">
        <f t="shared" ca="1" si="10"/>
        <v>36277300570.242584</v>
      </c>
      <c r="AU21" s="2268">
        <f t="shared" ca="1" si="10"/>
        <v>37214034954.837982</v>
      </c>
      <c r="AV21" s="2268">
        <f t="shared" ca="1" si="10"/>
        <v>18907289040.416496</v>
      </c>
    </row>
    <row r="22" spans="1:48" ht="16.5">
      <c r="A22" s="2242"/>
      <c r="B22" s="2270" t="s">
        <v>3857</v>
      </c>
      <c r="C22" s="2271"/>
      <c r="D22" s="2272"/>
      <c r="E22" s="2273" t="s">
        <v>3858</v>
      </c>
      <c r="F22" s="2274">
        <f t="shared" ca="1" si="8"/>
        <v>142111917070.09341</v>
      </c>
      <c r="G22" s="2275">
        <f>운영비용!F7</f>
        <v>3624616186</v>
      </c>
      <c r="H22" s="2275">
        <f>운영비용!G7</f>
        <v>3654842709.3014355</v>
      </c>
      <c r="I22" s="2276">
        <f ca="1">운영비용!H7+IF(민감도!E82=1,1200000000,0)</f>
        <v>3797598023.9239092</v>
      </c>
      <c r="J22" s="2276">
        <f ca="1">운영비용!I7+IF(민감도!E82=1,1200000000,0)</f>
        <v>3711175336.9769773</v>
      </c>
      <c r="K22" s="2275">
        <f ca="1">운영비용!J7</f>
        <v>2580526481.2250943</v>
      </c>
      <c r="L22" s="2275">
        <f ca="1">운영비용!K7</f>
        <v>2595244591.2458086</v>
      </c>
      <c r="M22" s="2275">
        <f ca="1">운영비용!L7</f>
        <v>2730297632.0907364</v>
      </c>
      <c r="N22" s="2275">
        <f ca="1">운영비용!M7</f>
        <v>2688830926.2083592</v>
      </c>
      <c r="O22" s="2275">
        <f ca="1">운영비용!N7</f>
        <v>2790800488.0077496</v>
      </c>
      <c r="P22" s="2275">
        <f ca="1">운영비용!O7</f>
        <v>2813343157.28614</v>
      </c>
      <c r="Q22" s="2275">
        <f ca="1">운영비용!P7</f>
        <v>2881888617.9704332</v>
      </c>
      <c r="R22" s="2275">
        <f ca="1">운영비용!Q7</f>
        <v>2986729009.7141967</v>
      </c>
      <c r="S22" s="2275">
        <f ca="1">운영비용!R7</f>
        <v>2939919979.2441692</v>
      </c>
      <c r="T22" s="2275">
        <f ca="1">운영비용!S7</f>
        <v>2875483284.3438444</v>
      </c>
      <c r="U22" s="2275">
        <f ca="1">운영비용!T7</f>
        <v>2931618891.3758764</v>
      </c>
      <c r="V22" s="2275">
        <f ca="1">운영비용!U7</f>
        <v>2911209019.8701243</v>
      </c>
      <c r="W22" s="2275">
        <f ca="1">운영비용!V7</f>
        <v>3043990695.8382082</v>
      </c>
      <c r="X22" s="2275">
        <f ca="1">운영비용!W7</f>
        <v>3100055857.6106887</v>
      </c>
      <c r="Y22" s="2275">
        <f ca="1">운영비용!X7</f>
        <v>3174311406.2069182</v>
      </c>
      <c r="Z22" s="2275">
        <f ca="1">운영비용!Y7</f>
        <v>3153201003.0529895</v>
      </c>
      <c r="AA22" s="2275">
        <f ca="1">운영비용!Z7</f>
        <v>3156621956.5010653</v>
      </c>
      <c r="AB22" s="2275">
        <f ca="1">운영비용!AA7</f>
        <v>3243438971.0757432</v>
      </c>
      <c r="AC22" s="2275">
        <f ca="1">운영비용!AB7</f>
        <v>3208778999.1655512</v>
      </c>
      <c r="AD22" s="2275">
        <f ca="1">운영비용!AC7</f>
        <v>3248599903.319232</v>
      </c>
      <c r="AE22" s="2275">
        <f ca="1">운영비용!AD7</f>
        <v>3354490170.6588616</v>
      </c>
      <c r="AF22" s="2275">
        <f ca="1">운영비용!AE7</f>
        <v>3349624606.5131397</v>
      </c>
      <c r="AG22" s="2275">
        <f ca="1">운영비용!AF7</f>
        <v>3576725285.4767928</v>
      </c>
      <c r="AH22" s="2275">
        <f ca="1">운영비용!AG7</f>
        <v>3528146216.7086749</v>
      </c>
      <c r="AI22" s="2275">
        <f ca="1">운영비용!AH7</f>
        <v>3620021172.0444427</v>
      </c>
      <c r="AJ22" s="2275">
        <f ca="1">운영비용!AI7</f>
        <v>3754573667.1677704</v>
      </c>
      <c r="AK22" s="2275">
        <f ca="1">운영비용!AJ7</f>
        <v>3904101184.7054043</v>
      </c>
      <c r="AL22" s="2275">
        <f ca="1">운영비용!AK7</f>
        <v>3823965071.705513</v>
      </c>
      <c r="AM22" s="2275">
        <f ca="1">운영비용!AL7</f>
        <v>3800405323.7512088</v>
      </c>
      <c r="AN22" s="2275">
        <f ca="1">운영비용!AM7</f>
        <v>3871716309.4596362</v>
      </c>
      <c r="AO22" s="2275">
        <f ca="1">운영비용!AN7</f>
        <v>3992950419.3127069</v>
      </c>
      <c r="AP22" s="2275">
        <f ca="1">운영비용!AO7</f>
        <v>4051240374.7555881</v>
      </c>
      <c r="AQ22" s="2275">
        <f ca="1">운영비용!AP7</f>
        <v>4166425204.8630447</v>
      </c>
      <c r="AR22" s="2275">
        <f ca="1">운영비용!AQ7</f>
        <v>4121123953.3430195</v>
      </c>
      <c r="AS22" s="2275">
        <f ca="1">운영비용!AR7</f>
        <v>4350803467.8080091</v>
      </c>
      <c r="AT22" s="2275">
        <f ca="1">운영비용!AS7</f>
        <v>4347085615.4817715</v>
      </c>
      <c r="AU22" s="2275">
        <f ca="1">운영비용!AT7</f>
        <v>4403003735.3939161</v>
      </c>
      <c r="AV22" s="2275">
        <f ca="1">운영비용!AU7/2</f>
        <v>2252392163.3886676</v>
      </c>
    </row>
    <row r="23" spans="1:48" ht="16.5">
      <c r="A23" s="2277"/>
      <c r="B23" s="2278" t="s">
        <v>3859</v>
      </c>
      <c r="C23" s="2279"/>
      <c r="D23" s="2280"/>
      <c r="E23" s="2273" t="s">
        <v>3858</v>
      </c>
      <c r="F23" s="2281">
        <f t="shared" ca="1" si="8"/>
        <v>994589475596.63342</v>
      </c>
      <c r="G23" s="2282">
        <f t="shared" ref="G23:L23" si="11">G21-G22</f>
        <v>15165132163.123413</v>
      </c>
      <c r="H23" s="2282">
        <f t="shared" si="11"/>
        <v>16193789209.361715</v>
      </c>
      <c r="I23" s="2282">
        <f t="shared" ca="1" si="11"/>
        <v>16329462298.116646</v>
      </c>
      <c r="J23" s="2282">
        <f t="shared" ca="1" si="11"/>
        <v>17018576728.342121</v>
      </c>
      <c r="K23" s="2282">
        <f t="shared" ca="1" si="11"/>
        <v>17893642665.7966</v>
      </c>
      <c r="L23" s="2275">
        <f t="shared" ca="1" si="11"/>
        <v>18284334280.006893</v>
      </c>
      <c r="M23" s="2275">
        <f ca="1">M21-M22</f>
        <v>18451718823.813339</v>
      </c>
      <c r="N23" s="2275">
        <f ca="1">N21-N22</f>
        <v>18887950257.423126</v>
      </c>
      <c r="O23" s="2275">
        <f ca="1">O21-O22</f>
        <v>19029610737.834404</v>
      </c>
      <c r="P23" s="2275">
        <f t="shared" ref="P23:AV23" ca="1" si="12">P21-P22</f>
        <v>19445588737.055634</v>
      </c>
      <c r="Q23" s="2275">
        <f t="shared" ca="1" si="12"/>
        <v>20035172153.595673</v>
      </c>
      <c r="R23" s="2275">
        <f t="shared" ca="1" si="12"/>
        <v>20496912779.651157</v>
      </c>
      <c r="S23" s="2275">
        <f t="shared" ca="1" si="12"/>
        <v>20866263882.48645</v>
      </c>
      <c r="T23" s="2275">
        <f t="shared" ca="1" si="12"/>
        <v>21352448995.553043</v>
      </c>
      <c r="U23" s="2275">
        <f t="shared" ca="1" si="12"/>
        <v>21714330317.208851</v>
      </c>
      <c r="V23" s="2275">
        <f t="shared" ca="1" si="12"/>
        <v>22211532692.281696</v>
      </c>
      <c r="W23" s="2275">
        <f t="shared" ca="1" si="12"/>
        <v>22297911843.41811</v>
      </c>
      <c r="X23" s="2275">
        <f t="shared" ca="1" si="12"/>
        <v>22678810673.69556</v>
      </c>
      <c r="Y23" s="2275">
        <f t="shared" ca="1" si="12"/>
        <v>22863991430.621452</v>
      </c>
      <c r="Z23" s="2275">
        <f t="shared" ca="1" si="12"/>
        <v>23340239288.85984</v>
      </c>
      <c r="AA23" s="2275">
        <f t="shared" ca="1" si="12"/>
        <v>23611495540.465313</v>
      </c>
      <c r="AB23" s="2275">
        <f t="shared" ca="1" si="12"/>
        <v>24003875025.000126</v>
      </c>
      <c r="AC23" s="2275">
        <f t="shared" ca="1" si="12"/>
        <v>24352832441.307735</v>
      </c>
      <c r="AD23" s="2275">
        <f t="shared" ca="1" si="12"/>
        <v>24815780221.420132</v>
      </c>
      <c r="AE23" s="2275">
        <f t="shared" ca="1" si="12"/>
        <v>24997259335.676693</v>
      </c>
      <c r="AF23" s="2275">
        <f t="shared" ca="1" si="12"/>
        <v>25497474030.116699</v>
      </c>
      <c r="AG23" s="2275">
        <f t="shared" ca="1" si="12"/>
        <v>25562241580.671013</v>
      </c>
      <c r="AH23" s="2275">
        <f t="shared" ca="1" si="12"/>
        <v>26163740963.82629</v>
      </c>
      <c r="AI23" s="2275">
        <f t="shared" ca="1" si="12"/>
        <v>26334484061.694584</v>
      </c>
      <c r="AJ23" s="2275">
        <f t="shared" ca="1" si="12"/>
        <v>26738562956.450363</v>
      </c>
      <c r="AK23" s="2275">
        <f t="shared" ca="1" si="12"/>
        <v>27503265717.219261</v>
      </c>
      <c r="AL23" s="2275">
        <f t="shared" ca="1" si="12"/>
        <v>28301107671.40514</v>
      </c>
      <c r="AM23" s="2275">
        <f t="shared" ca="1" si="12"/>
        <v>28727085082.026691</v>
      </c>
      <c r="AN23" s="2275">
        <f t="shared" ca="1" si="12"/>
        <v>29275119314.421242</v>
      </c>
      <c r="AO23" s="2275">
        <f t="shared" ca="1" si="12"/>
        <v>29673484198.740784</v>
      </c>
      <c r="AP23" s="2275">
        <f t="shared" ca="1" si="12"/>
        <v>30257710039.300556</v>
      </c>
      <c r="AQ23" s="2275">
        <f t="shared" ca="1" si="12"/>
        <v>30463844997.607018</v>
      </c>
      <c r="AR23" s="2275">
        <f t="shared" ca="1" si="12"/>
        <v>31094062483.877228</v>
      </c>
      <c r="AS23" s="2275">
        <f t="shared" ca="1" si="12"/>
        <v>31262486925.928112</v>
      </c>
      <c r="AT23" s="2275">
        <f t="shared" ca="1" si="12"/>
        <v>31930214954.760811</v>
      </c>
      <c r="AU23" s="2275">
        <f t="shared" ca="1" si="12"/>
        <v>32811031219.444065</v>
      </c>
      <c r="AV23" s="2275">
        <f t="shared" ca="1" si="12"/>
        <v>16654896877.027828</v>
      </c>
    </row>
    <row r="24" spans="1:48" ht="16.5">
      <c r="A24" s="2277"/>
      <c r="B24" s="2283" t="s">
        <v>3860</v>
      </c>
      <c r="C24" s="2284"/>
      <c r="D24" s="2285" t="s">
        <v>3861</v>
      </c>
      <c r="E24" s="2286"/>
      <c r="F24" s="2287">
        <f t="shared" si="8"/>
        <v>551962076734.74268</v>
      </c>
      <c r="G24" s="2288"/>
      <c r="H24" s="2288"/>
      <c r="I24" s="2288"/>
      <c r="J24" s="2288"/>
      <c r="K24" s="2288"/>
      <c r="L24" s="2289"/>
      <c r="M24" s="2289">
        <v>14373883890.8304</v>
      </c>
      <c r="N24" s="2289">
        <v>12697186338.895113</v>
      </c>
      <c r="O24" s="2289">
        <v>12482466715.27183</v>
      </c>
      <c r="P24" s="2289">
        <v>12441385250.351078</v>
      </c>
      <c r="Q24" s="2289">
        <v>12688268038.640566</v>
      </c>
      <c r="R24" s="2289">
        <v>14199895879.529984</v>
      </c>
      <c r="S24" s="2289">
        <v>13495989133.433374</v>
      </c>
      <c r="T24" s="2289">
        <v>13442022895.632395</v>
      </c>
      <c r="U24" s="2289">
        <v>13384742880.120644</v>
      </c>
      <c r="V24" s="2289">
        <v>13479757698.045252</v>
      </c>
      <c r="W24" s="2289">
        <v>13877122113.572035</v>
      </c>
      <c r="X24" s="2289">
        <v>14297726975.720081</v>
      </c>
      <c r="Y24" s="2289">
        <v>14779884881.292624</v>
      </c>
      <c r="Z24" s="2289">
        <v>14354522372.272171</v>
      </c>
      <c r="AA24" s="2289">
        <v>14655102168.813284</v>
      </c>
      <c r="AB24" s="2289">
        <v>15147589816.515383</v>
      </c>
      <c r="AC24" s="2289">
        <v>15462163009.810493</v>
      </c>
      <c r="AD24" s="2289">
        <v>15013124142.786793</v>
      </c>
      <c r="AE24" s="2289">
        <v>15257261147.303152</v>
      </c>
      <c r="AF24" s="2289">
        <v>15809054665.6766</v>
      </c>
      <c r="AG24" s="2289">
        <v>15802367092.434782</v>
      </c>
      <c r="AH24" s="2289">
        <v>16269943750.326372</v>
      </c>
      <c r="AI24" s="2289">
        <v>15963028905.367155</v>
      </c>
      <c r="AJ24" s="2289">
        <v>16150012403.355122</v>
      </c>
      <c r="AK24" s="2289">
        <v>16640227841.754148</v>
      </c>
      <c r="AL24" s="2289">
        <v>17042999866.921448</v>
      </c>
      <c r="AM24" s="2289">
        <v>17709628335.83532</v>
      </c>
      <c r="AN24" s="2289">
        <v>17081458843.507971</v>
      </c>
      <c r="AO24" s="2289">
        <v>17418225761.578892</v>
      </c>
      <c r="AP24" s="2289">
        <v>17533179595.744732</v>
      </c>
      <c r="AQ24" s="2289">
        <v>18127360157.351379</v>
      </c>
      <c r="AR24" s="2289">
        <v>18445985224.724995</v>
      </c>
      <c r="AS24" s="2289">
        <v>18559658064.34692</v>
      </c>
      <c r="AT24" s="2289">
        <v>18689119945.371334</v>
      </c>
      <c r="AU24" s="2289">
        <v>19003586408.870621</v>
      </c>
      <c r="AV24" s="2289">
        <v>10186144522.738293</v>
      </c>
    </row>
    <row r="25" spans="1:48" ht="16.5">
      <c r="A25" s="2277"/>
      <c r="B25" s="2290"/>
      <c r="C25" s="2291"/>
      <c r="D25" s="2292"/>
      <c r="E25" s="2293">
        <v>0.25</v>
      </c>
      <c r="F25" s="2294">
        <f t="shared" si="8"/>
        <v>689952595918.42822</v>
      </c>
      <c r="G25" s="2295"/>
      <c r="H25" s="2295"/>
      <c r="I25" s="2295"/>
      <c r="J25" s="2295"/>
      <c r="K25" s="2295"/>
      <c r="L25" s="2296"/>
      <c r="M25" s="2296">
        <f>M24*1.25</f>
        <v>17967354863.538002</v>
      </c>
      <c r="N25" s="2296">
        <f t="shared" ref="N25:AV25" si="13">N24*1.25</f>
        <v>15871482923.618891</v>
      </c>
      <c r="O25" s="2296">
        <f t="shared" si="13"/>
        <v>15603083394.089787</v>
      </c>
      <c r="P25" s="2296">
        <f t="shared" si="13"/>
        <v>15551731562.938847</v>
      </c>
      <c r="Q25" s="2296">
        <f t="shared" si="13"/>
        <v>15860335048.300707</v>
      </c>
      <c r="R25" s="2296">
        <f t="shared" si="13"/>
        <v>17749869849.412479</v>
      </c>
      <c r="S25" s="2296">
        <f t="shared" si="13"/>
        <v>16869986416.791718</v>
      </c>
      <c r="T25" s="2296">
        <f t="shared" si="13"/>
        <v>16802528619.540493</v>
      </c>
      <c r="U25" s="2296">
        <f t="shared" si="13"/>
        <v>16730928600.150805</v>
      </c>
      <c r="V25" s="2296">
        <f t="shared" si="13"/>
        <v>16849697122.556564</v>
      </c>
      <c r="W25" s="2296">
        <f t="shared" si="13"/>
        <v>17346402641.965042</v>
      </c>
      <c r="X25" s="2296">
        <f t="shared" si="13"/>
        <v>17872158719.650101</v>
      </c>
      <c r="Y25" s="2296">
        <f t="shared" si="13"/>
        <v>18474856101.61578</v>
      </c>
      <c r="Z25" s="2296">
        <f t="shared" si="13"/>
        <v>17943152965.340214</v>
      </c>
      <c r="AA25" s="2296">
        <f t="shared" si="13"/>
        <v>18318877711.016605</v>
      </c>
      <c r="AB25" s="2296">
        <f t="shared" si="13"/>
        <v>18934487270.64423</v>
      </c>
      <c r="AC25" s="2296">
        <f t="shared" si="13"/>
        <v>19327703762.263115</v>
      </c>
      <c r="AD25" s="2296">
        <f t="shared" si="13"/>
        <v>18766405178.48349</v>
      </c>
      <c r="AE25" s="2296">
        <f t="shared" si="13"/>
        <v>19071576434.128941</v>
      </c>
      <c r="AF25" s="2296">
        <f t="shared" si="13"/>
        <v>19761318332.095749</v>
      </c>
      <c r="AG25" s="2296">
        <f t="shared" si="13"/>
        <v>19752958865.543476</v>
      </c>
      <c r="AH25" s="2296">
        <f t="shared" si="13"/>
        <v>20337429687.907967</v>
      </c>
      <c r="AI25" s="2296">
        <f t="shared" si="13"/>
        <v>19953786131.708942</v>
      </c>
      <c r="AJ25" s="2296">
        <f t="shared" si="13"/>
        <v>20187515504.193901</v>
      </c>
      <c r="AK25" s="2296">
        <f t="shared" si="13"/>
        <v>20800284802.192684</v>
      </c>
      <c r="AL25" s="2296">
        <f t="shared" si="13"/>
        <v>21303749833.65181</v>
      </c>
      <c r="AM25" s="2296">
        <f t="shared" si="13"/>
        <v>22137035419.794151</v>
      </c>
      <c r="AN25" s="2296">
        <f t="shared" si="13"/>
        <v>21351823554.384964</v>
      </c>
      <c r="AO25" s="2296">
        <f t="shared" si="13"/>
        <v>21772782201.973614</v>
      </c>
      <c r="AP25" s="2296">
        <f t="shared" si="13"/>
        <v>21916474494.680916</v>
      </c>
      <c r="AQ25" s="2296">
        <f t="shared" si="13"/>
        <v>22659200196.689224</v>
      </c>
      <c r="AR25" s="2296">
        <f t="shared" si="13"/>
        <v>23057481530.906242</v>
      </c>
      <c r="AS25" s="2296">
        <f t="shared" si="13"/>
        <v>23199572580.433651</v>
      </c>
      <c r="AT25" s="2296">
        <f t="shared" si="13"/>
        <v>23361399931.714169</v>
      </c>
      <c r="AU25" s="2296">
        <f t="shared" si="13"/>
        <v>23754483011.088276</v>
      </c>
      <c r="AV25" s="2296">
        <f t="shared" si="13"/>
        <v>12732680653.422867</v>
      </c>
    </row>
    <row r="26" spans="1:48" ht="16.5">
      <c r="A26" s="2277"/>
      <c r="B26" s="2297"/>
      <c r="C26" s="2298"/>
      <c r="D26" s="2299"/>
      <c r="E26" s="2300"/>
      <c r="F26" s="2301">
        <f t="shared" ca="1" si="8"/>
        <v>325899856074.87787</v>
      </c>
      <c r="G26" s="2302"/>
      <c r="H26" s="2302"/>
      <c r="I26" s="2302"/>
      <c r="J26" s="2302"/>
      <c r="K26" s="2302"/>
      <c r="L26" s="2303"/>
      <c r="M26" s="2304">
        <f ca="1">M21-M25</f>
        <v>3214661592.3660736</v>
      </c>
      <c r="N26" s="2304">
        <f t="shared" ref="N26:AV26" ca="1" si="14">N21-N25</f>
        <v>5705298260.0125942</v>
      </c>
      <c r="O26" s="2304">
        <f t="shared" ca="1" si="14"/>
        <v>6217327831.7523651</v>
      </c>
      <c r="P26" s="2304">
        <f t="shared" ca="1" si="14"/>
        <v>6707200331.4029274</v>
      </c>
      <c r="Q26" s="2304">
        <f t="shared" ca="1" si="14"/>
        <v>7056725723.265398</v>
      </c>
      <c r="R26" s="2304">
        <f t="shared" ca="1" si="14"/>
        <v>5733771939.9528732</v>
      </c>
      <c r="S26" s="2304">
        <f t="shared" ca="1" si="14"/>
        <v>6936197444.9389</v>
      </c>
      <c r="T26" s="2304">
        <f t="shared" ca="1" si="14"/>
        <v>7425403660.3563957</v>
      </c>
      <c r="U26" s="2304">
        <f t="shared" ca="1" si="14"/>
        <v>7915020608.4339237</v>
      </c>
      <c r="V26" s="2304">
        <f t="shared" ca="1" si="14"/>
        <v>8273044589.5952568</v>
      </c>
      <c r="W26" s="2304">
        <f t="shared" ca="1" si="14"/>
        <v>7995499897.291275</v>
      </c>
      <c r="X26" s="2304">
        <f t="shared" ca="1" si="14"/>
        <v>7906707811.656147</v>
      </c>
      <c r="Y26" s="2304">
        <f t="shared" ca="1" si="14"/>
        <v>7563446735.2125893</v>
      </c>
      <c r="Z26" s="2304">
        <f t="shared" ca="1" si="14"/>
        <v>8550287326.5726166</v>
      </c>
      <c r="AA26" s="2304">
        <f t="shared" ca="1" si="14"/>
        <v>8449239785.9497719</v>
      </c>
      <c r="AB26" s="2304">
        <f t="shared" ca="1" si="14"/>
        <v>8312826725.4316406</v>
      </c>
      <c r="AC26" s="2304">
        <f t="shared" ca="1" si="14"/>
        <v>8233907678.2101707</v>
      </c>
      <c r="AD26" s="2304">
        <f t="shared" ca="1" si="14"/>
        <v>9297974946.2558746</v>
      </c>
      <c r="AE26" s="2304">
        <f t="shared" ca="1" si="14"/>
        <v>9280173072.2066154</v>
      </c>
      <c r="AF26" s="2304">
        <f t="shared" ca="1" si="14"/>
        <v>9085780304.5340881</v>
      </c>
      <c r="AG26" s="2304">
        <f t="shared" ca="1" si="14"/>
        <v>9386008000.6043282</v>
      </c>
      <c r="AH26" s="2304">
        <f t="shared" ca="1" si="14"/>
        <v>9354457492.6269989</v>
      </c>
      <c r="AI26" s="2304">
        <f t="shared" ca="1" si="14"/>
        <v>10000719102.030083</v>
      </c>
      <c r="AJ26" s="2304">
        <f t="shared" ca="1" si="14"/>
        <v>10305621119.424232</v>
      </c>
      <c r="AK26" s="2304">
        <f t="shared" ca="1" si="14"/>
        <v>10607082099.731983</v>
      </c>
      <c r="AL26" s="2304">
        <f t="shared" ca="1" si="14"/>
        <v>10821322909.458843</v>
      </c>
      <c r="AM26" s="2304">
        <f t="shared" ca="1" si="14"/>
        <v>10390454985.983749</v>
      </c>
      <c r="AN26" s="2304">
        <f t="shared" ca="1" si="14"/>
        <v>11795012069.495914</v>
      </c>
      <c r="AO26" s="2304">
        <f t="shared" ca="1" si="14"/>
        <v>11893652416.079876</v>
      </c>
      <c r="AP26" s="2304">
        <f t="shared" ca="1" si="14"/>
        <v>12392475919.375229</v>
      </c>
      <c r="AQ26" s="2304">
        <f t="shared" ca="1" si="14"/>
        <v>11971070005.780838</v>
      </c>
      <c r="AR26" s="2304">
        <f t="shared" ca="1" si="14"/>
        <v>12157704906.314003</v>
      </c>
      <c r="AS26" s="2304">
        <f t="shared" ca="1" si="14"/>
        <v>12413717813.302471</v>
      </c>
      <c r="AT26" s="2304">
        <f t="shared" ca="1" si="14"/>
        <v>12915900638.528416</v>
      </c>
      <c r="AU26" s="2304">
        <f t="shared" ca="1" si="14"/>
        <v>13459551943.749706</v>
      </c>
      <c r="AV26" s="2304">
        <f t="shared" ca="1" si="14"/>
        <v>6174608386.9936295</v>
      </c>
    </row>
    <row r="27" spans="1:48" ht="16.5">
      <c r="A27" s="2277"/>
      <c r="B27" s="2305"/>
      <c r="C27" s="2277"/>
      <c r="D27" s="2306"/>
      <c r="E27" s="2307" t="s">
        <v>40</v>
      </c>
      <c r="F27" s="2307"/>
      <c r="G27" s="2308"/>
      <c r="H27" s="2308"/>
      <c r="I27" s="2309">
        <v>35000000000</v>
      </c>
      <c r="J27" s="2308"/>
      <c r="K27" s="2308"/>
      <c r="L27" s="2310"/>
      <c r="M27" s="2308"/>
      <c r="N27" s="2309"/>
      <c r="O27" s="2311"/>
      <c r="P27" s="2311"/>
      <c r="Q27" s="2312"/>
      <c r="R27" s="2312"/>
    </row>
    <row r="28" spans="1:48" ht="16.5">
      <c r="A28" s="2277"/>
      <c r="B28" s="2305"/>
      <c r="C28" s="2277"/>
      <c r="D28" s="2306"/>
      <c r="E28" s="2307"/>
      <c r="F28" s="2307"/>
      <c r="G28" s="2308"/>
      <c r="H28" s="2313" t="s">
        <v>3862</v>
      </c>
      <c r="I28" s="2308">
        <f>I27/5</f>
        <v>7000000000</v>
      </c>
      <c r="J28" s="2308">
        <f>I28</f>
        <v>7000000000</v>
      </c>
      <c r="K28" s="2308">
        <f>J28</f>
        <v>7000000000</v>
      </c>
      <c r="L28" s="2308">
        <f>K28</f>
        <v>7000000000</v>
      </c>
      <c r="M28" s="2308">
        <f>L28</f>
        <v>7000000000</v>
      </c>
      <c r="N28" s="2309"/>
      <c r="O28" s="2311"/>
      <c r="P28" s="2311"/>
      <c r="Q28" s="2312"/>
      <c r="R28" s="2312"/>
    </row>
    <row r="29" spans="1:48" ht="16.5">
      <c r="A29" s="2277"/>
      <c r="B29" s="2305"/>
      <c r="C29" s="2277"/>
      <c r="D29" s="2306"/>
      <c r="E29" s="2307"/>
      <c r="F29" s="2307"/>
      <c r="G29" s="2308"/>
      <c r="H29" s="2313" t="s">
        <v>3863</v>
      </c>
      <c r="I29" s="2308">
        <f ca="1">I21-운영비용!H6-I28</f>
        <v>2697953507.7266731</v>
      </c>
      <c r="J29" s="2308">
        <f ca="1">J21-운영비용!I6-J28</f>
        <v>4056319910.3632393</v>
      </c>
      <c r="K29" s="2308">
        <f ca="1">K21-운영비용!J6-K28</f>
        <v>3587015658.2265625</v>
      </c>
      <c r="L29" s="2308">
        <f ca="1">L21-운영비용!K6-L28</f>
        <v>3716214283.2768517</v>
      </c>
      <c r="M29" s="2308">
        <f ca="1">M21-운영비용!L6-M28</f>
        <v>3499367158.9847069</v>
      </c>
      <c r="N29" s="2308">
        <f ca="1">N21-운영비용!M6-N28</f>
        <v>10764958636.560312</v>
      </c>
      <c r="O29" s="2308">
        <f ca="1">O21-운영비용!N6-O28</f>
        <v>10716360717.335217</v>
      </c>
      <c r="P29" s="2308">
        <f ca="1">P21-운영비용!O6-P28</f>
        <v>10816833445.769096</v>
      </c>
      <c r="Q29" s="2308">
        <f ca="1">Q21-운영비용!P6-Q28</f>
        <v>11219759399.713459</v>
      </c>
      <c r="R29" s="2308">
        <f ca="1">R21-운영비용!Q6-R28</f>
        <v>11475767080.723894</v>
      </c>
      <c r="S29" s="2308">
        <f ca="1">S21-운영비용!R6-S28</f>
        <v>11657142937.170378</v>
      </c>
      <c r="T29" s="2308">
        <f ca="1">T21-운영비용!S6-T28</f>
        <v>11877252973.51264</v>
      </c>
      <c r="U29" s="2308">
        <f ca="1">U21-운영비용!T6-U28</f>
        <v>11854611207.508827</v>
      </c>
      <c r="V29" s="2308">
        <f ca="1">V21-운영비용!U6-V28</f>
        <v>11701108647.615158</v>
      </c>
      <c r="W29" s="2308">
        <f ca="1">W21-운영비용!V6-W28</f>
        <v>11590256064.570135</v>
      </c>
      <c r="X29" s="2308">
        <f ca="1">X21-운영비용!W6-X28</f>
        <v>11729647232.153381</v>
      </c>
      <c r="Y29" s="2308">
        <f ca="1">Y21-운영비용!X6-Y28</f>
        <v>11717033264.020222</v>
      </c>
      <c r="Z29" s="2308">
        <f ca="1">Z21-운영비용!Y6-Z28</f>
        <v>11988771797.789583</v>
      </c>
      <c r="AA29" s="2308">
        <f ca="1">AA21-운영비용!Z6-AA28</f>
        <v>12001225161.513798</v>
      </c>
      <c r="AB29" s="2308">
        <f ca="1">AB21-운영비용!AA6-AB28</f>
        <v>12180448227.504038</v>
      </c>
      <c r="AC29" s="2308">
        <f ca="1">AC21-운영비용!AB6-AC28</f>
        <v>12178619007.291672</v>
      </c>
      <c r="AD29" s="2308">
        <f ca="1">AD21-운영비용!AC6-AD28</f>
        <v>12391724385.19768</v>
      </c>
      <c r="AE29" s="2308">
        <f ca="1">AE21-운영비용!AD6-AE28</f>
        <v>12347381386.413874</v>
      </c>
      <c r="AF29" s="2308">
        <f ca="1">AF21-운영비용!AE6-AF28</f>
        <v>12897665488.935402</v>
      </c>
      <c r="AG29" s="2308">
        <f ca="1">AG21-운영비용!AF6-AG28</f>
        <v>12698060290.369061</v>
      </c>
      <c r="AH29" s="2308">
        <f ca="1">AH21-운영비용!AG6-AH28</f>
        <v>13034388855.64336</v>
      </c>
      <c r="AI29" s="2308">
        <f ca="1">AI21-운영비용!AH6-AI28</f>
        <v>12957262393.223339</v>
      </c>
      <c r="AJ29" s="2308">
        <f ca="1">AJ21-운영비용!AI6-AJ28</f>
        <v>13084782789.158421</v>
      </c>
      <c r="AK29" s="2308">
        <f ca="1">AK21-운영비용!AJ6-AK28</f>
        <v>13684518039.224472</v>
      </c>
      <c r="AL29" s="2308">
        <f ca="1">AL21-운영비용!AK6-AL28</f>
        <v>14216288497.499508</v>
      </c>
      <c r="AM29" s="2308">
        <f ca="1">AM21-운영비용!AL6-AM28</f>
        <v>13550144496.856903</v>
      </c>
      <c r="AN29" s="2308">
        <f ca="1">AN21-운영비용!AM6-AN28</f>
        <v>13810337996.797256</v>
      </c>
      <c r="AO29" s="2308">
        <f ca="1">AO21-운영비용!AN6-AO28</f>
        <v>13907621633.512661</v>
      </c>
      <c r="AP29" s="2308">
        <f ca="1">AP21-운영비용!AO6-AP28</f>
        <v>14132486968.054016</v>
      </c>
      <c r="AQ29" s="2308">
        <f ca="1">AQ21-운영비용!AP6-AQ28</f>
        <v>14024834772.300865</v>
      </c>
      <c r="AR29" s="2308">
        <f ca="1">AR21-운영비용!AQ6-AR28</f>
        <v>14306033397.258324</v>
      </c>
      <c r="AS29" s="2308">
        <f ca="1">AS21-운영비용!AR6-AS28</f>
        <v>14125034135.415192</v>
      </c>
      <c r="AT29" s="2308">
        <f ca="1">AT21-운영비용!AS6-AT28</f>
        <v>14464997825.200409</v>
      </c>
      <c r="AU29" s="2308">
        <f ca="1">AU21-운영비용!AT6-AU28</f>
        <v>15111618085.523132</v>
      </c>
      <c r="AV29" s="2308">
        <f ca="1">AV21-운영비용!AU6-AV28</f>
        <v>-3664549219.1149101</v>
      </c>
    </row>
    <row r="30" spans="1:48" ht="16.5">
      <c r="A30" s="2277"/>
      <c r="B30" s="2305"/>
      <c r="C30" s="2277"/>
      <c r="D30" s="2306"/>
      <c r="E30" s="2307"/>
      <c r="F30" s="2307"/>
      <c r="G30" s="2308"/>
      <c r="H30" s="2313" t="s">
        <v>3864</v>
      </c>
      <c r="I30" s="2308">
        <f ca="1">I29</f>
        <v>2697953507.7266731</v>
      </c>
      <c r="J30" s="2308">
        <f ca="1">I30+J29</f>
        <v>6754273418.0899124</v>
      </c>
      <c r="K30" s="2308">
        <f t="shared" ref="K30:AV30" ca="1" si="15">J30+K29</f>
        <v>10341289076.316475</v>
      </c>
      <c r="L30" s="2308">
        <f t="shared" ca="1" si="15"/>
        <v>14057503359.593327</v>
      </c>
      <c r="M30" s="2308">
        <f t="shared" ca="1" si="15"/>
        <v>17556870518.578033</v>
      </c>
      <c r="N30" s="2308">
        <f t="shared" ca="1" si="15"/>
        <v>28321829155.138344</v>
      </c>
      <c r="O30" s="2308">
        <f t="shared" ca="1" si="15"/>
        <v>39038189872.473557</v>
      </c>
      <c r="P30" s="2308">
        <f t="shared" ca="1" si="15"/>
        <v>49855023318.242653</v>
      </c>
      <c r="Q30" s="2308">
        <f t="shared" ca="1" si="15"/>
        <v>61074782717.956116</v>
      </c>
      <c r="R30" s="2308">
        <f t="shared" ca="1" si="15"/>
        <v>72550549798.680008</v>
      </c>
      <c r="S30" s="2308">
        <f t="shared" ca="1" si="15"/>
        <v>84207692735.850388</v>
      </c>
      <c r="T30" s="2308">
        <f t="shared" ca="1" si="15"/>
        <v>96084945709.363022</v>
      </c>
      <c r="U30" s="2308">
        <f t="shared" ca="1" si="15"/>
        <v>107939556916.87186</v>
      </c>
      <c r="V30" s="2308">
        <f t="shared" ca="1" si="15"/>
        <v>119640665564.48701</v>
      </c>
      <c r="W30" s="2308">
        <f t="shared" ca="1" si="15"/>
        <v>131230921629.05714</v>
      </c>
      <c r="X30" s="2308">
        <f t="shared" ca="1" si="15"/>
        <v>142960568861.21051</v>
      </c>
      <c r="Y30" s="2308">
        <f t="shared" ca="1" si="15"/>
        <v>154677602125.23074</v>
      </c>
      <c r="Z30" s="2308">
        <f t="shared" ca="1" si="15"/>
        <v>166666373923.02032</v>
      </c>
      <c r="AA30" s="2308">
        <f t="shared" ca="1" si="15"/>
        <v>178667599084.53412</v>
      </c>
      <c r="AB30" s="2308">
        <f t="shared" ca="1" si="15"/>
        <v>190848047312.03815</v>
      </c>
      <c r="AC30" s="2308">
        <f t="shared" ca="1" si="15"/>
        <v>203026666319.32983</v>
      </c>
      <c r="AD30" s="2308">
        <f t="shared" ca="1" si="15"/>
        <v>215418390704.52753</v>
      </c>
      <c r="AE30" s="2308">
        <f t="shared" ca="1" si="15"/>
        <v>227765772090.94141</v>
      </c>
      <c r="AF30" s="2308">
        <f t="shared" ca="1" si="15"/>
        <v>240663437579.8768</v>
      </c>
      <c r="AG30" s="2308">
        <f t="shared" ca="1" si="15"/>
        <v>253361497870.24585</v>
      </c>
      <c r="AH30" s="2308">
        <f t="shared" ca="1" si="15"/>
        <v>266395886725.88922</v>
      </c>
      <c r="AI30" s="2308">
        <f t="shared" ca="1" si="15"/>
        <v>279353149119.11255</v>
      </c>
      <c r="AJ30" s="2308">
        <f t="shared" ca="1" si="15"/>
        <v>292437931908.271</v>
      </c>
      <c r="AK30" s="2308">
        <f t="shared" ca="1" si="15"/>
        <v>306122449947.49548</v>
      </c>
      <c r="AL30" s="2308">
        <f t="shared" ca="1" si="15"/>
        <v>320338738444.995</v>
      </c>
      <c r="AM30" s="2308">
        <f t="shared" ca="1" si="15"/>
        <v>333888882941.85193</v>
      </c>
      <c r="AN30" s="2308">
        <f t="shared" ca="1" si="15"/>
        <v>347699220938.64917</v>
      </c>
      <c r="AO30" s="2308">
        <f t="shared" ca="1" si="15"/>
        <v>361606842572.1618</v>
      </c>
      <c r="AP30" s="2308">
        <f t="shared" ca="1" si="15"/>
        <v>375739329540.21582</v>
      </c>
      <c r="AQ30" s="2308">
        <f t="shared" ca="1" si="15"/>
        <v>389764164312.51666</v>
      </c>
      <c r="AR30" s="2308">
        <f t="shared" ca="1" si="15"/>
        <v>404070197709.77496</v>
      </c>
      <c r="AS30" s="2308">
        <f t="shared" ca="1" si="15"/>
        <v>418195231845.19019</v>
      </c>
      <c r="AT30" s="2308">
        <f t="shared" ca="1" si="15"/>
        <v>432660229670.39063</v>
      </c>
      <c r="AU30" s="2308">
        <f t="shared" ca="1" si="15"/>
        <v>447771847755.91376</v>
      </c>
      <c r="AV30" s="2308">
        <f t="shared" ca="1" si="15"/>
        <v>444107298536.79883</v>
      </c>
    </row>
    <row r="31" spans="1:48" ht="16.5">
      <c r="A31" s="2277"/>
      <c r="B31" s="2305"/>
      <c r="C31" s="2277"/>
      <c r="D31" s="2306"/>
      <c r="E31" s="2307"/>
      <c r="F31" s="2307"/>
      <c r="G31" s="2314">
        <v>2018</v>
      </c>
      <c r="H31" s="2314">
        <f t="shared" ref="H31:M31" si="16">G31+1</f>
        <v>2019</v>
      </c>
      <c r="I31" s="2314">
        <f t="shared" si="16"/>
        <v>2020</v>
      </c>
      <c r="J31" s="2314">
        <f t="shared" si="16"/>
        <v>2021</v>
      </c>
      <c r="K31" s="2314">
        <f t="shared" si="16"/>
        <v>2022</v>
      </c>
      <c r="L31" s="2314">
        <f t="shared" si="16"/>
        <v>2023</v>
      </c>
      <c r="M31" s="2314">
        <f t="shared" si="16"/>
        <v>2024</v>
      </c>
      <c r="N31" s="2309"/>
      <c r="O31" s="2311"/>
      <c r="P31" s="2311"/>
      <c r="Q31" s="2312"/>
      <c r="R31" s="2312"/>
    </row>
    <row r="32" spans="1:48" s="2323" customFormat="1" ht="16.5">
      <c r="A32" s="2277"/>
      <c r="B32" s="2315" t="s">
        <v>3865</v>
      </c>
      <c r="C32" s="2316"/>
      <c r="D32" s="2317"/>
      <c r="E32" s="2318">
        <f>SUM(I32:M32)</f>
        <v>26867265630.010002</v>
      </c>
      <c r="F32" s="2318"/>
      <c r="G32" s="2319">
        <v>6030679394.1499996</v>
      </c>
      <c r="H32" s="2319">
        <v>5784462697.0600004</v>
      </c>
      <c r="I32" s="2319">
        <v>6251526720.6000004</v>
      </c>
      <c r="J32" s="2319">
        <v>6164883240.8299999</v>
      </c>
      <c r="K32" s="2319">
        <v>5723336763.7200012</v>
      </c>
      <c r="L32" s="2320">
        <v>6158014928.7200003</v>
      </c>
      <c r="M32" s="2319">
        <v>2569503976.1399999</v>
      </c>
      <c r="N32" s="2321"/>
      <c r="O32" s="2321"/>
      <c r="P32" s="2321"/>
      <c r="Q32" s="2321"/>
      <c r="R32" s="2321"/>
      <c r="S32" s="2321"/>
      <c r="T32" s="2321"/>
      <c r="U32" s="2322"/>
      <c r="V32" s="2322"/>
      <c r="W32" s="2322"/>
      <c r="X32" s="2322"/>
      <c r="Y32" s="2322"/>
      <c r="Z32" s="2322"/>
      <c r="AA32" s="2322"/>
      <c r="AB32" s="2322"/>
      <c r="AC32" s="2322"/>
      <c r="AD32" s="2322"/>
      <c r="AE32" s="2322"/>
      <c r="AF32" s="2322"/>
      <c r="AG32" s="2322"/>
      <c r="AH32" s="2322"/>
      <c r="AI32" s="2322"/>
      <c r="AJ32" s="2322"/>
      <c r="AK32" s="2322"/>
      <c r="AL32" s="2322"/>
      <c r="AM32" s="2322"/>
      <c r="AN32" s="2322"/>
      <c r="AO32" s="2322"/>
      <c r="AP32" s="2322"/>
      <c r="AQ32" s="2322"/>
      <c r="AR32" s="2322"/>
      <c r="AS32" s="2322"/>
      <c r="AT32" s="2322"/>
      <c r="AU32" s="2322"/>
      <c r="AV32" s="2322"/>
    </row>
    <row r="33" spans="1:48" ht="16.5">
      <c r="A33" s="2277"/>
      <c r="B33" s="2324" t="s">
        <v>3866</v>
      </c>
      <c r="C33" s="2316"/>
      <c r="D33" s="2317"/>
      <c r="E33" s="2325"/>
      <c r="F33" s="2325"/>
      <c r="G33" s="2326">
        <v>19215250814</v>
      </c>
      <c r="H33" s="2327">
        <f t="shared" ref="H33:M33" si="17">G33+H32</f>
        <v>24999713511.060001</v>
      </c>
      <c r="I33" s="2326">
        <f t="shared" si="17"/>
        <v>31251240231.660004</v>
      </c>
      <c r="J33" s="2326">
        <f t="shared" si="17"/>
        <v>37416123472.490005</v>
      </c>
      <c r="K33" s="2326">
        <f t="shared" si="17"/>
        <v>43139460236.210007</v>
      </c>
      <c r="L33" s="2328">
        <f t="shared" si="17"/>
        <v>49297475164.930008</v>
      </c>
      <c r="M33" s="2326">
        <f t="shared" si="17"/>
        <v>51866979141.070007</v>
      </c>
      <c r="N33" s="2322"/>
      <c r="O33" s="2322"/>
      <c r="P33" s="2322"/>
      <c r="Q33" s="2322"/>
      <c r="R33" s="2322"/>
      <c r="S33" s="2322"/>
      <c r="T33" s="2322"/>
      <c r="U33" s="2322"/>
      <c r="V33" s="2322"/>
      <c r="W33" s="2322"/>
      <c r="X33" s="2322"/>
      <c r="Y33" s="2322"/>
      <c r="Z33" s="2322"/>
      <c r="AA33" s="2322"/>
      <c r="AB33" s="2322"/>
      <c r="AC33" s="2322"/>
      <c r="AD33" s="2322"/>
      <c r="AE33" s="2322"/>
      <c r="AF33" s="2322"/>
      <c r="AG33" s="2322"/>
      <c r="AH33" s="2322"/>
      <c r="AI33" s="2322"/>
      <c r="AJ33" s="2322"/>
      <c r="AK33" s="2322"/>
      <c r="AL33" s="2322"/>
      <c r="AM33" s="2322"/>
      <c r="AN33" s="2322"/>
      <c r="AO33" s="2322"/>
      <c r="AP33" s="2322"/>
      <c r="AQ33" s="2322"/>
      <c r="AR33" s="2322"/>
      <c r="AS33" s="2322"/>
      <c r="AT33" s="2322"/>
      <c r="AU33" s="2322"/>
      <c r="AV33" s="2322"/>
    </row>
    <row r="34" spans="1:48" s="2323" customFormat="1" ht="16.5">
      <c r="A34" s="2277"/>
      <c r="B34" s="2315" t="s">
        <v>3867</v>
      </c>
      <c r="C34" s="2316"/>
      <c r="D34" s="2329"/>
      <c r="E34" s="2318">
        <f ca="1">SUM(I34:M34)</f>
        <v>31030929537.027718</v>
      </c>
      <c r="F34" s="2318"/>
      <c r="G34" s="2319"/>
      <c r="H34" s="2319"/>
      <c r="I34" s="2330">
        <f ca="1">I21-운영비용!H6-I32</f>
        <v>3446426787.1266727</v>
      </c>
      <c r="J34" s="2330">
        <f ca="1">J21-운영비용!I6-J32</f>
        <v>4891436669.5332394</v>
      </c>
      <c r="K34" s="2330">
        <f ca="1">K21-운영비용!J6-K32</f>
        <v>4863678894.5065613</v>
      </c>
      <c r="L34" s="2330">
        <f ca="1">L21-운영비용!K6-L32</f>
        <v>4558199354.5568514</v>
      </c>
      <c r="M34" s="2331">
        <f ca="1">M21-운영비용!L6/2-M32</f>
        <v>13271187831.304392</v>
      </c>
      <c r="N34" s="2331">
        <f ca="1">N21-운영비용!M6/2-N32</f>
        <v>16170869910.095898</v>
      </c>
      <c r="O34" s="2331">
        <f ca="1">O21-운영비용!N6/2-O32</f>
        <v>16268385971.588684</v>
      </c>
      <c r="P34" s="2331">
        <f ca="1">P21-운영비용!O6/2-P32</f>
        <v>16537882670.055435</v>
      </c>
      <c r="Q34" s="2331">
        <f ca="1">Q21-운영비용!P6/2-Q32</f>
        <v>17068410085.639782</v>
      </c>
      <c r="R34" s="2331">
        <f ca="1">R21-운영비용!Q6/2-R32</f>
        <v>17479704435.044624</v>
      </c>
      <c r="S34" s="2331">
        <f ca="1">S21-운영비용!R6/2-S32</f>
        <v>17731663399.450497</v>
      </c>
      <c r="T34" s="2331">
        <f ca="1">T21-운영비용!S6/2-T32</f>
        <v>18052592626.704765</v>
      </c>
      <c r="U34" s="2331">
        <f ca="1">U21-운영비용!T6/2-U32</f>
        <v>18250280208.046776</v>
      </c>
      <c r="V34" s="2331">
        <f ca="1">V21-운영비용!U6/2-V32</f>
        <v>18411925179.883492</v>
      </c>
      <c r="W34" s="2331">
        <f ca="1">W21-운영비용!V6/2-W32</f>
        <v>18466079301.913227</v>
      </c>
      <c r="X34" s="2331">
        <f ca="1">X21-운영비용!W6/2-X32</f>
        <v>18754256881.729813</v>
      </c>
      <c r="Y34" s="2331">
        <f ca="1">Y21-운영비용!X6/2-Y32</f>
        <v>18877668050.424294</v>
      </c>
      <c r="Z34" s="2331">
        <f ca="1">Z21-운영비용!Y6/2-Z32</f>
        <v>19241106044.851208</v>
      </c>
      <c r="AA34" s="2331">
        <f ca="1">AA21-운영비용!Z6/2-AA32</f>
        <v>19384671329.240089</v>
      </c>
      <c r="AB34" s="2331">
        <f ca="1">AB21-운영비용!AA6/2-AB32</f>
        <v>19713881111.789955</v>
      </c>
      <c r="AC34" s="2331">
        <f ca="1">AC21-운영비용!AB6/2-AC32</f>
        <v>19870115223.882477</v>
      </c>
      <c r="AD34" s="2331">
        <f ca="1">AD21-운영비용!AC6/2-AD32</f>
        <v>20228052254.968521</v>
      </c>
      <c r="AE34" s="2331">
        <f ca="1">AE21-운영비용!AD6/2-AE32</f>
        <v>20349565446.374714</v>
      </c>
      <c r="AF34" s="2331">
        <f ca="1">AF21-운영비용!AE6/2-AF32</f>
        <v>20872382062.782619</v>
      </c>
      <c r="AG34" s="2331">
        <f ca="1">AG21-운영비용!AF6/2-AG32</f>
        <v>20918513578.25843</v>
      </c>
      <c r="AH34" s="2331">
        <f ca="1">AH21-운영비용!AG6/2-AH32</f>
        <v>21363138018.089165</v>
      </c>
      <c r="AI34" s="2331">
        <f ca="1">AI21-운영비용!AH6/2-AI32</f>
        <v>21455883813.481182</v>
      </c>
      <c r="AJ34" s="2331">
        <f ca="1">AJ21-운영비용!AI6/2-AJ32</f>
        <v>21788959706.388275</v>
      </c>
      <c r="AK34" s="2331">
        <f ca="1">AK21-운영비용!AJ6/2-AK32</f>
        <v>22545942470.57457</v>
      </c>
      <c r="AL34" s="2331">
        <f ca="1">AL21-운영비용!AK6/2-AL32</f>
        <v>23170680620.30508</v>
      </c>
      <c r="AM34" s="2331">
        <f ca="1">AM21-운영비용!AL6/2-AM32</f>
        <v>23038817451.317402</v>
      </c>
      <c r="AN34" s="2331">
        <f ca="1">AN21-운영비용!AM6/2-AN32</f>
        <v>23478586810.339066</v>
      </c>
      <c r="AO34" s="2331">
        <f ca="1">AO21-운영비용!AN6/2-AO32</f>
        <v>23787028125.783073</v>
      </c>
      <c r="AP34" s="2331">
        <f ca="1">AP21-운영비용!AO6/2-AP32</f>
        <v>24220718691.05508</v>
      </c>
      <c r="AQ34" s="2331">
        <f ca="1">AQ21-운영비용!AP6/2-AQ32</f>
        <v>24327552487.385464</v>
      </c>
      <c r="AR34" s="2331">
        <f ca="1">AR21-운영비용!AQ6/2-AR32</f>
        <v>24760609917.239285</v>
      </c>
      <c r="AS34" s="2331">
        <f ca="1">AS21-운영비용!AR6/2-AS32</f>
        <v>24869162264.575657</v>
      </c>
      <c r="AT34" s="2331">
        <f ca="1">AT21-운영비용!AS6/2-AT32</f>
        <v>25371149197.721497</v>
      </c>
      <c r="AU34" s="2331">
        <f ca="1">AU21-운영비용!AT6/2-AU32</f>
        <v>26162826520.180557</v>
      </c>
      <c r="AV34" s="2331">
        <f ca="1">AV21-운영비용!AU6/2-AV32</f>
        <v>7621369910.6507931</v>
      </c>
    </row>
    <row r="35" spans="1:48" ht="16.5">
      <c r="A35" s="2277"/>
      <c r="B35" s="2324" t="s">
        <v>3868</v>
      </c>
      <c r="C35" s="2316"/>
      <c r="D35" s="2332">
        <v>0.08</v>
      </c>
      <c r="E35" s="2325">
        <f>SUM(I35:M35)</f>
        <v>21892299678.91835</v>
      </c>
      <c r="F35" s="2325"/>
      <c r="G35" s="2326"/>
      <c r="H35" s="2327"/>
      <c r="I35" s="2326">
        <f>I32/(1+$D$35)^(I12-$H$12)</f>
        <v>5788450667.2222223</v>
      </c>
      <c r="J35" s="2326">
        <f>J32/(1+$D$35)^(J12-$H$12)</f>
        <v>5285393724.9914265</v>
      </c>
      <c r="K35" s="2326">
        <f>K32/(1+$D$35)^(K12-$H$12)</f>
        <v>4543369249.2569733</v>
      </c>
      <c r="L35" s="2326">
        <f>L32/(1+$D$35)^(L12-$H$12)</f>
        <v>4526324806.5754232</v>
      </c>
      <c r="M35" s="2333">
        <f>M32/(1+$D$35)^(M12-$H$12)</f>
        <v>1748761230.8723013</v>
      </c>
      <c r="N35" s="2322"/>
      <c r="O35" s="2322"/>
      <c r="P35" s="2322"/>
      <c r="Q35" s="2322"/>
      <c r="R35" s="2322"/>
      <c r="S35" s="2322"/>
      <c r="T35" s="2322"/>
      <c r="U35" s="2322"/>
      <c r="V35" s="2322"/>
      <c r="W35" s="2322"/>
      <c r="X35" s="2322"/>
      <c r="Y35" s="2322"/>
      <c r="Z35" s="2322"/>
      <c r="AA35" s="2322"/>
      <c r="AB35" s="2322"/>
      <c r="AC35" s="2322"/>
      <c r="AD35" s="2322"/>
      <c r="AE35" s="2322"/>
      <c r="AF35" s="2322"/>
      <c r="AG35" s="2322"/>
      <c r="AH35" s="2322"/>
      <c r="AI35" s="2322"/>
      <c r="AJ35" s="2322"/>
      <c r="AK35" s="2322"/>
      <c r="AL35" s="2322"/>
      <c r="AM35" s="2322"/>
      <c r="AN35" s="2322"/>
      <c r="AO35" s="2322"/>
      <c r="AP35" s="2322"/>
      <c r="AQ35" s="2322"/>
      <c r="AR35" s="2322"/>
      <c r="AS35" s="2322"/>
      <c r="AT35" s="2322"/>
      <c r="AU35" s="2322"/>
      <c r="AV35" s="2322"/>
    </row>
    <row r="36" spans="1:48" ht="16.5">
      <c r="A36" s="2277"/>
      <c r="B36" s="2324" t="s">
        <v>3869</v>
      </c>
      <c r="C36" s="2316"/>
      <c r="D36" s="2332">
        <v>0.08</v>
      </c>
      <c r="E36" s="2325">
        <f ca="1">SUM(I36:M36)</f>
        <v>45520559296.453072</v>
      </c>
      <c r="F36" s="2325"/>
      <c r="G36" s="2326"/>
      <c r="H36" s="2327"/>
      <c r="I36" s="2326">
        <f ca="1">(I32+I34)/(1+$D$36)^(I12-$H$12)</f>
        <v>8979586581.2284012</v>
      </c>
      <c r="J36" s="2326">
        <f ca="1">(J32+J34)/(1+$D$36)^(J12-$H$12)</f>
        <v>9479012268.829937</v>
      </c>
      <c r="K36" s="2326">
        <f ca="1">(K32+K34)/(1+$D$36)^(K12-$H$12)</f>
        <v>8404314365.6856174</v>
      </c>
      <c r="L36" s="2326">
        <f ca="1">(L32+L34)/(1+$D$36)^(L12-$H$12)</f>
        <v>7876737407.1722345</v>
      </c>
      <c r="M36" s="2333">
        <f ca="1">(M32+M34)/(1+$D$36)^(M12-$H$12)</f>
        <v>10780908673.536882</v>
      </c>
      <c r="N36" s="2322"/>
      <c r="O36" s="2322"/>
      <c r="P36" s="2322"/>
      <c r="Q36" s="2322"/>
      <c r="R36" s="2322"/>
      <c r="S36" s="2322"/>
      <c r="T36" s="2322"/>
      <c r="U36" s="2322"/>
      <c r="V36" s="2322"/>
      <c r="W36" s="2322"/>
      <c r="X36" s="2322"/>
      <c r="Y36" s="2322"/>
      <c r="Z36" s="2322"/>
      <c r="AA36" s="2322"/>
      <c r="AB36" s="2322"/>
      <c r="AC36" s="2322"/>
      <c r="AD36" s="2322"/>
      <c r="AE36" s="2322"/>
      <c r="AF36" s="2322"/>
      <c r="AG36" s="2322"/>
      <c r="AH36" s="2322"/>
      <c r="AI36" s="2322"/>
      <c r="AJ36" s="2322"/>
      <c r="AK36" s="2322"/>
      <c r="AL36" s="2322"/>
      <c r="AM36" s="2322"/>
      <c r="AN36" s="2322"/>
      <c r="AO36" s="2322"/>
      <c r="AP36" s="2322"/>
      <c r="AQ36" s="2322"/>
      <c r="AR36" s="2322"/>
      <c r="AS36" s="2322"/>
      <c r="AT36" s="2322"/>
      <c r="AU36" s="2322"/>
      <c r="AV36" s="2322"/>
    </row>
    <row r="37" spans="1:48" ht="16.5">
      <c r="A37" s="2198"/>
      <c r="B37" s="2198"/>
      <c r="C37" s="2198"/>
      <c r="D37" s="2198"/>
      <c r="E37" s="2334">
        <f ca="1">E36+H33</f>
        <v>70520272807.513077</v>
      </c>
      <c r="F37" s="2334"/>
      <c r="G37" s="2335"/>
      <c r="H37" s="2335"/>
      <c r="I37" s="2335"/>
      <c r="J37" s="2335"/>
      <c r="K37" s="2335"/>
      <c r="L37" s="2335"/>
      <c r="M37" s="2335"/>
      <c r="N37" s="2198"/>
      <c r="O37" s="2198"/>
      <c r="P37" s="2198"/>
    </row>
    <row r="38" spans="1:48" ht="16.5">
      <c r="A38" s="2198"/>
      <c r="B38" s="2198"/>
      <c r="C38" s="2198"/>
      <c r="D38" s="2198"/>
      <c r="E38" s="2198"/>
      <c r="F38" s="2198"/>
      <c r="G38" s="2198"/>
      <c r="H38" s="2198"/>
      <c r="I38" s="2336"/>
      <c r="J38" s="2335"/>
      <c r="K38" s="2335"/>
      <c r="L38" s="2335"/>
      <c r="M38" s="2335"/>
      <c r="N38" s="2198"/>
      <c r="O38" s="2198"/>
      <c r="P38" s="2198"/>
    </row>
    <row r="39" spans="1:48" ht="16.5">
      <c r="A39" s="2198"/>
      <c r="B39" s="2198"/>
      <c r="C39" s="2198"/>
      <c r="D39" s="2198"/>
      <c r="E39" s="2198"/>
      <c r="F39" s="2198"/>
      <c r="G39" s="2335"/>
      <c r="H39" s="2337"/>
      <c r="I39" s="2337"/>
      <c r="J39" s="2337"/>
      <c r="K39" s="2337"/>
      <c r="L39" s="2337"/>
      <c r="M39" s="2335"/>
      <c r="N39" s="2335"/>
      <c r="O39" s="2198"/>
      <c r="P39" s="2198"/>
    </row>
    <row r="40" spans="1:48" ht="21.75">
      <c r="A40" s="2198"/>
      <c r="B40" s="2198"/>
      <c r="C40" s="2198"/>
      <c r="D40" s="2198"/>
      <c r="E40" s="2198"/>
      <c r="F40" s="2198"/>
      <c r="G40" s="2198"/>
      <c r="H40" s="2198"/>
      <c r="I40" s="2338" t="s">
        <v>48</v>
      </c>
      <c r="J40" s="2338" t="s">
        <v>3870</v>
      </c>
      <c r="K40" s="2338" t="s">
        <v>3871</v>
      </c>
      <c r="L40" s="2338" t="s">
        <v>3872</v>
      </c>
      <c r="M40" s="2338" t="s">
        <v>3873</v>
      </c>
      <c r="N40" s="2338" t="s">
        <v>3874</v>
      </c>
      <c r="O40" s="2338" t="s">
        <v>3875</v>
      </c>
      <c r="P40" s="2338" t="s">
        <v>3876</v>
      </c>
      <c r="Q40" s="2338" t="s">
        <v>3877</v>
      </c>
      <c r="R40" s="2338" t="s">
        <v>3878</v>
      </c>
      <c r="S40" s="2338" t="s">
        <v>3879</v>
      </c>
      <c r="T40" s="2338" t="s">
        <v>3880</v>
      </c>
      <c r="U40" s="2338" t="s">
        <v>3881</v>
      </c>
      <c r="V40" s="2338" t="s">
        <v>3882</v>
      </c>
      <c r="W40" s="2338" t="s">
        <v>3883</v>
      </c>
      <c r="X40" s="2338" t="s">
        <v>3884</v>
      </c>
      <c r="Y40" s="2338" t="s">
        <v>3885</v>
      </c>
      <c r="Z40" s="2338" t="s">
        <v>3886</v>
      </c>
      <c r="AA40" s="2338" t="s">
        <v>3887</v>
      </c>
      <c r="AB40" s="2338" t="s">
        <v>3888</v>
      </c>
      <c r="AC40" s="2338" t="s">
        <v>3889</v>
      </c>
      <c r="AD40" s="2338" t="s">
        <v>3890</v>
      </c>
      <c r="AE40" s="2338" t="s">
        <v>3891</v>
      </c>
      <c r="AF40" s="2338" t="s">
        <v>3892</v>
      </c>
      <c r="AG40" s="2338" t="s">
        <v>3893</v>
      </c>
      <c r="AH40" s="2338" t="s">
        <v>3894</v>
      </c>
      <c r="AI40" s="2338" t="s">
        <v>3895</v>
      </c>
      <c r="AJ40" s="2338" t="s">
        <v>3896</v>
      </c>
      <c r="AK40" s="2338" t="s">
        <v>3897</v>
      </c>
      <c r="AL40" s="2338" t="s">
        <v>3898</v>
      </c>
      <c r="AM40" s="2338" t="s">
        <v>3899</v>
      </c>
      <c r="AN40" s="2338" t="s">
        <v>3900</v>
      </c>
      <c r="AO40" s="2338" t="s">
        <v>3901</v>
      </c>
      <c r="AP40" s="2338" t="s">
        <v>3902</v>
      </c>
    </row>
    <row r="41" spans="1:48" s="2341" customFormat="1" ht="21.75">
      <c r="A41" s="2242"/>
      <c r="B41" s="2242"/>
      <c r="C41" s="2242"/>
      <c r="D41" s="2242"/>
      <c r="E41" s="2242"/>
      <c r="F41" s="2242"/>
      <c r="G41" s="2242"/>
      <c r="H41" s="2242"/>
      <c r="I41" s="2339" t="s">
        <v>3903</v>
      </c>
      <c r="J41" s="2340">
        <v>381</v>
      </c>
      <c r="K41" s="2340">
        <f>J41+K42+J46</f>
        <v>395</v>
      </c>
      <c r="L41" s="2340">
        <f>K41+K42+K46</f>
        <v>402</v>
      </c>
      <c r="M41" s="2340">
        <f t="shared" ref="M41:R41" si="18">L41+L42+L46</f>
        <v>378</v>
      </c>
      <c r="N41" s="2340">
        <f t="shared" si="18"/>
        <v>342</v>
      </c>
      <c r="O41" s="2340">
        <f t="shared" si="18"/>
        <v>305</v>
      </c>
      <c r="P41" s="2340">
        <f t="shared" si="18"/>
        <v>288.39503732179998</v>
      </c>
      <c r="Q41" s="2340">
        <f t="shared" si="18"/>
        <v>288.39503732180003</v>
      </c>
      <c r="R41" s="2340">
        <f t="shared" si="18"/>
        <v>288.39503732179998</v>
      </c>
    </row>
    <row r="42" spans="1:48" ht="21.75">
      <c r="A42" s="2198"/>
      <c r="B42" s="2198"/>
      <c r="C42" s="2198"/>
      <c r="D42" s="2198"/>
      <c r="E42" s="2198"/>
      <c r="F42" s="2198"/>
      <c r="G42" s="2198"/>
      <c r="H42" s="2198"/>
      <c r="I42" s="2338"/>
      <c r="J42" s="2342">
        <v>381</v>
      </c>
      <c r="K42" s="2342">
        <v>14</v>
      </c>
      <c r="L42" s="2342">
        <v>15</v>
      </c>
      <c r="M42" s="2342">
        <v>14</v>
      </c>
      <c r="N42" s="2342">
        <v>14</v>
      </c>
      <c r="O42" s="2342">
        <v>15.395037321799975</v>
      </c>
      <c r="P42" s="2342">
        <v>15.395037321799975</v>
      </c>
      <c r="Q42" s="2342">
        <v>15.395037321799975</v>
      </c>
      <c r="R42" s="2342">
        <v>15.395037321799975</v>
      </c>
    </row>
    <row r="43" spans="1:48" s="2341" customFormat="1" ht="21.75">
      <c r="A43" s="2242"/>
      <c r="B43" s="2242"/>
      <c r="C43" s="2242"/>
      <c r="D43" s="2242"/>
      <c r="E43" s="2242"/>
      <c r="F43" s="2242"/>
      <c r="I43" s="2339" t="s">
        <v>3904</v>
      </c>
      <c r="J43" s="2340">
        <f>J44</f>
        <v>82</v>
      </c>
      <c r="K43" s="2340">
        <f>SUM($J$44:K44)</f>
        <v>132</v>
      </c>
      <c r="L43" s="2340">
        <f>SUM($J$44:L44)</f>
        <v>157</v>
      </c>
      <c r="M43" s="2340">
        <f>SUM($J$44:M44)</f>
        <v>192</v>
      </c>
      <c r="N43" s="2340">
        <f>SUM($J$44:N44)</f>
        <v>229</v>
      </c>
      <c r="O43" s="2340">
        <f>SUM($J$44:O44)</f>
        <v>247</v>
      </c>
      <c r="P43" s="2340">
        <f>SUM($J$44:P44)</f>
        <v>247</v>
      </c>
      <c r="Q43" s="2340">
        <f>SUM($J$44:Q44)</f>
        <v>247</v>
      </c>
      <c r="R43" s="2340">
        <f>SUM($J$44:R44)</f>
        <v>254</v>
      </c>
    </row>
    <row r="44" spans="1:48" ht="21.75">
      <c r="A44" s="2198"/>
      <c r="B44" s="2198"/>
      <c r="C44" s="2198"/>
      <c r="D44" s="2198"/>
      <c r="E44" s="2198"/>
      <c r="F44" s="2198"/>
      <c r="I44" s="2338"/>
      <c r="J44" s="2342">
        <v>82</v>
      </c>
      <c r="K44" s="2342">
        <v>50</v>
      </c>
      <c r="L44" s="2342">
        <v>25</v>
      </c>
      <c r="M44" s="2342">
        <v>35</v>
      </c>
      <c r="N44" s="2342">
        <v>37</v>
      </c>
      <c r="O44" s="2342">
        <v>18</v>
      </c>
      <c r="P44" s="2342"/>
      <c r="Q44" s="2342"/>
      <c r="R44" s="2342">
        <v>7</v>
      </c>
    </row>
    <row r="45" spans="1:48" s="2341" customFormat="1" ht="21.75">
      <c r="A45" s="2242"/>
      <c r="B45" s="2242"/>
      <c r="C45" s="2242"/>
      <c r="D45" s="2242"/>
      <c r="E45" s="2242"/>
      <c r="F45" s="2242"/>
      <c r="G45" s="2242"/>
      <c r="H45" s="2242"/>
      <c r="I45" s="2339" t="s">
        <v>3905</v>
      </c>
      <c r="J45" s="2340">
        <f>J41+J43</f>
        <v>463</v>
      </c>
      <c r="K45" s="2340">
        <f t="shared" ref="K45:R45" si="19">K41+K43</f>
        <v>527</v>
      </c>
      <c r="L45" s="2340">
        <f t="shared" si="19"/>
        <v>559</v>
      </c>
      <c r="M45" s="2340">
        <f t="shared" si="19"/>
        <v>570</v>
      </c>
      <c r="N45" s="2340">
        <f t="shared" si="19"/>
        <v>571</v>
      </c>
      <c r="O45" s="2340">
        <f t="shared" si="19"/>
        <v>552</v>
      </c>
      <c r="P45" s="2340">
        <f t="shared" si="19"/>
        <v>535.39503732179992</v>
      </c>
      <c r="Q45" s="2340">
        <f t="shared" si="19"/>
        <v>535.39503732180003</v>
      </c>
      <c r="R45" s="2340">
        <f t="shared" si="19"/>
        <v>542.39503732179992</v>
      </c>
    </row>
    <row r="46" spans="1:48" ht="21.75">
      <c r="A46" s="2198"/>
      <c r="B46" s="2198"/>
      <c r="C46" s="2198"/>
      <c r="D46" s="2198"/>
      <c r="E46" s="2198"/>
      <c r="F46" s="2198"/>
      <c r="G46" s="2198"/>
      <c r="H46" s="2198"/>
      <c r="I46" s="2338" t="s">
        <v>3906</v>
      </c>
      <c r="J46" s="2342">
        <f>IF(520-J45&lt;0,520-J45,0)</f>
        <v>0</v>
      </c>
      <c r="K46" s="2342">
        <f t="shared" ref="K46:R46" si="20">IF(520-K45&lt;0,520-K45,0)</f>
        <v>-7</v>
      </c>
      <c r="L46" s="2342">
        <f t="shared" si="20"/>
        <v>-39</v>
      </c>
      <c r="M46" s="2342">
        <f t="shared" si="20"/>
        <v>-50</v>
      </c>
      <c r="N46" s="2342">
        <f t="shared" si="20"/>
        <v>-51</v>
      </c>
      <c r="O46" s="2342">
        <f t="shared" si="20"/>
        <v>-32</v>
      </c>
      <c r="P46" s="2342">
        <f t="shared" si="20"/>
        <v>-15.395037321799919</v>
      </c>
      <c r="Q46" s="2342">
        <f t="shared" si="20"/>
        <v>-15.395037321800032</v>
      </c>
      <c r="R46" s="2342">
        <f t="shared" si="20"/>
        <v>-22.395037321799919</v>
      </c>
    </row>
    <row r="47" spans="1:48" ht="16.5">
      <c r="A47" s="2198"/>
      <c r="B47" s="2198"/>
      <c r="C47" s="2198"/>
      <c r="D47" s="2198"/>
      <c r="E47" s="2198"/>
      <c r="F47" s="2198"/>
      <c r="G47" s="2198"/>
      <c r="H47" s="2198"/>
      <c r="I47" s="2198"/>
      <c r="J47" s="2198"/>
      <c r="K47" s="2198"/>
      <c r="L47" s="2198"/>
      <c r="M47" s="2198"/>
      <c r="N47" s="2198"/>
      <c r="O47" s="2198"/>
      <c r="P47" s="2198"/>
    </row>
    <row r="48" spans="1:48" ht="16.5">
      <c r="A48" s="2198"/>
      <c r="B48" s="2198"/>
      <c r="C48" s="2198"/>
      <c r="D48" s="2198"/>
      <c r="E48" s="2198"/>
      <c r="F48" s="2198"/>
      <c r="G48" s="2198"/>
      <c r="H48" s="2198"/>
      <c r="I48" s="2198"/>
      <c r="J48" s="2198"/>
      <c r="K48" s="2198"/>
      <c r="L48" s="2343"/>
      <c r="M48" s="2198"/>
      <c r="N48" s="2198"/>
      <c r="O48" s="2198"/>
      <c r="P48" s="2198"/>
    </row>
    <row r="49" spans="1:16" ht="16.5">
      <c r="A49" s="2198"/>
      <c r="B49" s="2198"/>
      <c r="C49" s="2198"/>
      <c r="D49" s="2198"/>
      <c r="E49" s="2198"/>
      <c r="F49" s="2198"/>
      <c r="G49" s="2198"/>
      <c r="H49" s="2198"/>
      <c r="I49" s="2198"/>
      <c r="J49" s="2198"/>
      <c r="K49" s="2198"/>
      <c r="L49" s="2198"/>
      <c r="M49" s="2198"/>
      <c r="N49" s="2198"/>
      <c r="O49" s="2198"/>
      <c r="P49" s="2198"/>
    </row>
    <row r="50" spans="1:16" ht="16.5">
      <c r="A50" s="2198"/>
      <c r="B50" s="2198"/>
      <c r="C50" s="2198"/>
      <c r="D50" s="2198"/>
      <c r="E50" s="2198"/>
      <c r="F50" s="2198"/>
      <c r="G50" s="2198"/>
      <c r="H50" s="2198"/>
      <c r="I50" s="2198"/>
      <c r="J50" s="2198"/>
      <c r="K50" s="2198"/>
      <c r="L50" s="2198"/>
      <c r="M50" s="2198"/>
      <c r="N50" s="2198"/>
      <c r="O50" s="2198"/>
      <c r="P50" s="2198"/>
    </row>
    <row r="51" spans="1:16" ht="16.5">
      <c r="A51" s="2198"/>
      <c r="B51" s="2198"/>
      <c r="C51" s="2198"/>
      <c r="D51" s="2198"/>
      <c r="E51" s="2198"/>
      <c r="F51" s="2198"/>
      <c r="G51" s="2198"/>
      <c r="H51" s="2198"/>
      <c r="I51" s="2198"/>
      <c r="J51" s="2198"/>
      <c r="K51" s="2198"/>
      <c r="L51" s="2198"/>
      <c r="M51" s="2198"/>
      <c r="N51" s="2198"/>
      <c r="O51" s="2198"/>
      <c r="P51" s="2198"/>
    </row>
    <row r="52" spans="1:16" ht="16.5">
      <c r="A52" s="2198"/>
      <c r="B52" s="2198"/>
      <c r="C52" s="2198"/>
      <c r="D52" s="2198"/>
      <c r="E52" s="2198"/>
      <c r="F52" s="2198"/>
      <c r="G52" s="2198"/>
      <c r="H52" s="2198"/>
      <c r="I52" s="2198"/>
      <c r="J52" s="2198"/>
      <c r="K52" s="2198"/>
      <c r="L52" s="2198"/>
      <c r="M52" s="2198"/>
      <c r="N52" s="2198"/>
      <c r="O52" s="2198"/>
      <c r="P52" s="2198"/>
    </row>
    <row r="53" spans="1:16" ht="16.5">
      <c r="A53" s="2198"/>
      <c r="B53" s="2198"/>
      <c r="C53" s="2198"/>
      <c r="D53" s="2198"/>
      <c r="E53" s="2198"/>
      <c r="F53" s="2198"/>
      <c r="G53" s="2198"/>
      <c r="H53" s="2198"/>
      <c r="I53" s="2198"/>
      <c r="J53" s="2198"/>
      <c r="K53" s="2198"/>
      <c r="L53" s="2198"/>
      <c r="M53" s="2198"/>
      <c r="N53" s="2198"/>
      <c r="O53" s="2198"/>
      <c r="P53" s="2198"/>
    </row>
    <row r="54" spans="1:16" ht="16.5">
      <c r="A54" s="2198"/>
      <c r="B54" s="2198"/>
      <c r="C54" s="2198"/>
      <c r="D54" s="2198"/>
      <c r="E54" s="2198"/>
      <c r="F54" s="2198"/>
      <c r="G54" s="2198"/>
      <c r="H54" s="2198"/>
      <c r="I54" s="2198"/>
      <c r="J54" s="2198"/>
      <c r="K54" s="2198"/>
      <c r="L54" s="2198"/>
      <c r="M54" s="2198"/>
      <c r="N54" s="2198"/>
      <c r="O54" s="2198"/>
      <c r="P54" s="2198"/>
    </row>
    <row r="55" spans="1:16" ht="16.5">
      <c r="A55" s="2198"/>
      <c r="B55" s="2198"/>
      <c r="C55" s="2198"/>
      <c r="D55" s="2198"/>
      <c r="E55" s="2198"/>
      <c r="F55" s="2198"/>
      <c r="G55" s="2198"/>
      <c r="H55" s="2198"/>
      <c r="I55" s="2198"/>
      <c r="J55" s="2198"/>
      <c r="K55" s="2198"/>
      <c r="L55" s="2198"/>
      <c r="M55" s="2198"/>
      <c r="N55" s="2198"/>
      <c r="O55" s="2198"/>
      <c r="P55" s="2198"/>
    </row>
    <row r="56" spans="1:16" ht="16.5">
      <c r="A56" s="2198"/>
      <c r="B56" s="2198"/>
      <c r="C56" s="2198"/>
      <c r="D56" s="2198"/>
      <c r="E56" s="2198"/>
      <c r="F56" s="2198"/>
      <c r="G56" s="2198"/>
      <c r="H56" s="2198"/>
      <c r="I56" s="2198"/>
      <c r="J56" s="2198"/>
      <c r="K56" s="2198"/>
      <c r="L56" s="2198"/>
      <c r="M56" s="2198"/>
      <c r="N56" s="2198"/>
      <c r="O56" s="2198"/>
      <c r="P56" s="2198"/>
    </row>
    <row r="57" spans="1:16" ht="16.5">
      <c r="A57" s="2198"/>
      <c r="B57" s="2198"/>
      <c r="C57" s="2198"/>
      <c r="D57" s="2198"/>
      <c r="E57" s="2198"/>
      <c r="F57" s="2198"/>
      <c r="G57" s="2198"/>
      <c r="H57" s="2198"/>
      <c r="I57" s="2198"/>
      <c r="J57" s="2198"/>
      <c r="K57" s="2198"/>
      <c r="L57" s="2198"/>
      <c r="M57" s="2198"/>
      <c r="N57" s="2198"/>
      <c r="O57" s="2198"/>
      <c r="P57" s="2198"/>
    </row>
    <row r="58" spans="1:16" ht="16.5">
      <c r="A58" s="2198"/>
      <c r="B58" s="2198"/>
      <c r="C58" s="2198"/>
      <c r="D58" s="2198"/>
      <c r="E58" s="2198"/>
      <c r="F58" s="2198"/>
      <c r="G58" s="2198"/>
      <c r="H58" s="2198"/>
      <c r="I58" s="2198"/>
      <c r="J58" s="2198"/>
      <c r="K58" s="2198"/>
      <c r="L58" s="2198"/>
      <c r="M58" s="2198"/>
      <c r="N58" s="2198"/>
      <c r="O58" s="2198"/>
      <c r="P58" s="2198"/>
    </row>
    <row r="59" spans="1:16" ht="16.5">
      <c r="A59" s="2198"/>
      <c r="B59" s="2198"/>
      <c r="C59" s="2198"/>
      <c r="D59" s="2198"/>
      <c r="E59" s="2198"/>
      <c r="F59" s="2198"/>
      <c r="G59" s="2198"/>
      <c r="H59" s="2198"/>
      <c r="I59" s="2198"/>
      <c r="J59" s="2198"/>
      <c r="K59" s="2198"/>
      <c r="L59" s="2198"/>
      <c r="M59" s="2198"/>
      <c r="N59" s="2198"/>
      <c r="O59" s="2198"/>
      <c r="P59" s="2198"/>
    </row>
    <row r="60" spans="1:16" ht="16.5">
      <c r="A60" s="2198"/>
      <c r="B60" s="2198"/>
      <c r="C60" s="2198"/>
      <c r="D60" s="2198"/>
      <c r="E60" s="2198"/>
      <c r="F60" s="2198"/>
      <c r="G60" s="2198"/>
      <c r="H60" s="2198"/>
      <c r="I60" s="2198"/>
      <c r="J60" s="2198"/>
      <c r="K60" s="2198"/>
      <c r="L60" s="2198"/>
      <c r="M60" s="2198"/>
      <c r="N60" s="2198"/>
      <c r="O60" s="2198"/>
      <c r="P60" s="2198"/>
    </row>
    <row r="61" spans="1:16" ht="16.5">
      <c r="A61" s="2198"/>
      <c r="B61" s="2198"/>
      <c r="C61" s="2198"/>
      <c r="D61" s="2198"/>
      <c r="E61" s="2198"/>
      <c r="F61" s="2198"/>
      <c r="G61" s="2198"/>
      <c r="H61" s="2198"/>
      <c r="I61" s="2198"/>
      <c r="J61" s="2198"/>
      <c r="K61" s="2198"/>
      <c r="L61" s="2198"/>
      <c r="M61" s="2198"/>
      <c r="N61" s="2198"/>
      <c r="O61" s="2198"/>
      <c r="P61" s="2198"/>
    </row>
    <row r="62" spans="1:16" ht="16.5">
      <c r="A62" s="2198"/>
      <c r="B62" s="2198"/>
      <c r="C62" s="2198"/>
      <c r="D62" s="2198"/>
      <c r="E62" s="2198"/>
      <c r="F62" s="2198"/>
      <c r="G62" s="2198"/>
      <c r="H62" s="2198"/>
      <c r="I62" s="2198"/>
      <c r="J62" s="2198"/>
      <c r="K62" s="2198"/>
      <c r="L62" s="2198"/>
      <c r="M62" s="2198"/>
      <c r="N62" s="2198"/>
      <c r="O62" s="2198"/>
      <c r="P62" s="2198"/>
    </row>
    <row r="63" spans="1:16" ht="16.5">
      <c r="A63" s="2198"/>
      <c r="B63" s="2198"/>
      <c r="C63" s="2198"/>
      <c r="D63" s="2198"/>
      <c r="E63" s="2198"/>
      <c r="F63" s="2198"/>
      <c r="G63" s="2198"/>
      <c r="H63" s="2198"/>
      <c r="I63" s="2198"/>
      <c r="J63" s="2198"/>
      <c r="K63" s="2198"/>
      <c r="L63" s="2198"/>
      <c r="M63" s="2198"/>
      <c r="N63" s="2198"/>
      <c r="O63" s="2198"/>
      <c r="P63" s="2198"/>
    </row>
    <row r="64" spans="1:16" ht="16.5">
      <c r="A64" s="2198"/>
      <c r="B64" s="2198"/>
      <c r="C64" s="2198"/>
      <c r="D64" s="2198"/>
      <c r="E64" s="2198"/>
      <c r="F64" s="2198"/>
      <c r="G64" s="2198"/>
      <c r="H64" s="2198"/>
      <c r="I64" s="2198"/>
      <c r="J64" s="2198"/>
      <c r="K64" s="2198"/>
      <c r="L64" s="2198"/>
      <c r="M64" s="2198"/>
      <c r="N64" s="2198"/>
      <c r="O64" s="2198"/>
      <c r="P64" s="2198"/>
    </row>
    <row r="65" spans="1:16" ht="16.5">
      <c r="A65" s="2198"/>
      <c r="B65" s="2198"/>
      <c r="C65" s="2198"/>
      <c r="D65" s="2198"/>
      <c r="E65" s="2198"/>
      <c r="F65" s="2198"/>
      <c r="G65" s="2198"/>
      <c r="H65" s="2198"/>
      <c r="I65" s="2198"/>
      <c r="J65" s="2198"/>
      <c r="K65" s="2198"/>
      <c r="L65" s="2198"/>
      <c r="M65" s="2198"/>
      <c r="N65" s="2198"/>
      <c r="O65" s="2198"/>
      <c r="P65" s="2198"/>
    </row>
    <row r="66" spans="1:16" ht="16.5">
      <c r="A66" s="2198"/>
      <c r="B66" s="2198"/>
      <c r="C66" s="2198"/>
      <c r="D66" s="2198"/>
      <c r="E66" s="2198"/>
      <c r="F66" s="2198"/>
      <c r="G66" s="2198"/>
      <c r="H66" s="2198"/>
      <c r="I66" s="2198"/>
      <c r="J66" s="2198"/>
      <c r="K66" s="2198"/>
      <c r="L66" s="2198"/>
      <c r="M66" s="2198"/>
      <c r="N66" s="2198"/>
      <c r="O66" s="2198"/>
      <c r="P66" s="2198"/>
    </row>
    <row r="67" spans="1:16" ht="16.5">
      <c r="A67" s="2198"/>
      <c r="B67" s="2198"/>
      <c r="C67" s="2198"/>
      <c r="D67" s="2198"/>
      <c r="E67" s="2198"/>
      <c r="F67" s="2198"/>
      <c r="G67" s="2198"/>
      <c r="H67" s="2198"/>
      <c r="I67" s="2198"/>
      <c r="J67" s="2198"/>
      <c r="K67" s="2198"/>
      <c r="L67" s="2198"/>
      <c r="M67" s="2198"/>
      <c r="N67" s="2198"/>
      <c r="O67" s="2198"/>
      <c r="P67" s="2198"/>
    </row>
    <row r="68" spans="1:16" ht="16.5">
      <c r="A68" s="2198"/>
      <c r="B68" s="2198"/>
      <c r="C68" s="2198"/>
      <c r="D68" s="2198"/>
      <c r="E68" s="2198"/>
      <c r="F68" s="2198"/>
      <c r="G68" s="2198"/>
      <c r="H68" s="2198"/>
      <c r="I68" s="2198"/>
      <c r="J68" s="2198"/>
      <c r="K68" s="2198"/>
      <c r="L68" s="2198"/>
      <c r="M68" s="2198"/>
      <c r="N68" s="2198"/>
      <c r="O68" s="2198"/>
      <c r="P68" s="2198"/>
    </row>
    <row r="69" spans="1:16" ht="16.5">
      <c r="A69" s="2198"/>
      <c r="B69" s="2198"/>
      <c r="C69" s="2198"/>
      <c r="D69" s="2198"/>
      <c r="E69" s="2198"/>
      <c r="F69" s="2198"/>
      <c r="G69" s="2198"/>
      <c r="H69" s="2198"/>
      <c r="I69" s="2198"/>
      <c r="J69" s="2198"/>
      <c r="K69" s="2198"/>
      <c r="L69" s="2198"/>
      <c r="M69" s="2198"/>
      <c r="N69" s="2198"/>
      <c r="O69" s="2198"/>
      <c r="P69" s="2198"/>
    </row>
    <row r="70" spans="1:16" ht="16.5">
      <c r="A70" s="2198"/>
      <c r="B70" s="2198"/>
      <c r="C70" s="2198"/>
      <c r="D70" s="2198"/>
      <c r="E70" s="2198"/>
      <c r="F70" s="2198"/>
      <c r="G70" s="2198"/>
      <c r="H70" s="2198"/>
      <c r="I70" s="2198"/>
      <c r="J70" s="2198"/>
      <c r="K70" s="2198"/>
      <c r="L70" s="2198"/>
      <c r="M70" s="2198"/>
      <c r="N70" s="2198"/>
      <c r="O70" s="2198"/>
      <c r="P70" s="2198"/>
    </row>
    <row r="71" spans="1:16" ht="16.5">
      <c r="A71" s="2198"/>
      <c r="B71" s="2198"/>
      <c r="C71" s="2198"/>
      <c r="D71" s="2198"/>
      <c r="E71" s="2198"/>
      <c r="F71" s="2198"/>
      <c r="G71" s="2198"/>
      <c r="H71" s="2198"/>
      <c r="I71" s="2198"/>
      <c r="J71" s="2198"/>
      <c r="K71" s="2198"/>
      <c r="L71" s="2198"/>
      <c r="M71" s="2198"/>
      <c r="N71" s="2198"/>
      <c r="O71" s="2198"/>
      <c r="P71" s="2198"/>
    </row>
    <row r="72" spans="1:16" ht="16.5">
      <c r="A72" s="2198"/>
      <c r="B72" s="2198"/>
      <c r="C72" s="2198"/>
      <c r="D72" s="2198"/>
      <c r="E72" s="2198"/>
      <c r="F72" s="2198"/>
      <c r="G72" s="2198"/>
      <c r="H72" s="2198"/>
      <c r="I72" s="2198"/>
      <c r="J72" s="2198"/>
      <c r="K72" s="2198"/>
      <c r="L72" s="2198"/>
      <c r="M72" s="2198"/>
      <c r="N72" s="2198"/>
      <c r="O72" s="2198"/>
      <c r="P72" s="2198"/>
    </row>
    <row r="73" spans="1:16" ht="16.5">
      <c r="A73" s="2198"/>
      <c r="B73" s="2198"/>
      <c r="C73" s="2198"/>
      <c r="D73" s="2198"/>
      <c r="E73" s="2198"/>
      <c r="F73" s="2198"/>
      <c r="G73" s="2198"/>
      <c r="H73" s="2198"/>
      <c r="I73" s="2198"/>
      <c r="J73" s="2198"/>
      <c r="K73" s="2198"/>
      <c r="L73" s="2198"/>
      <c r="M73" s="2198"/>
      <c r="N73" s="2198"/>
      <c r="O73" s="2198"/>
      <c r="P73" s="2198"/>
    </row>
    <row r="74" spans="1:16" ht="16.5">
      <c r="A74" s="2198"/>
      <c r="B74" s="2198"/>
      <c r="C74" s="2198"/>
      <c r="D74" s="2198"/>
      <c r="E74" s="2198"/>
      <c r="F74" s="2198"/>
      <c r="G74" s="2198"/>
      <c r="H74" s="2198"/>
      <c r="I74" s="2198"/>
      <c r="J74" s="2198"/>
      <c r="K74" s="2198"/>
      <c r="L74" s="2198"/>
      <c r="M74" s="2198"/>
      <c r="N74" s="2198"/>
      <c r="O74" s="2198"/>
      <c r="P74" s="2198"/>
    </row>
    <row r="75" spans="1:16" ht="16.5">
      <c r="A75" s="2198"/>
      <c r="B75" s="2198"/>
      <c r="C75" s="2198"/>
      <c r="D75" s="2198"/>
      <c r="E75" s="2198"/>
      <c r="F75" s="2198"/>
      <c r="G75" s="2198"/>
      <c r="H75" s="2198"/>
      <c r="I75" s="2198"/>
      <c r="J75" s="2198"/>
      <c r="K75" s="2198"/>
      <c r="L75" s="2198"/>
      <c r="M75" s="2198"/>
      <c r="N75" s="2198"/>
      <c r="O75" s="2198"/>
      <c r="P75" s="2198"/>
    </row>
    <row r="76" spans="1:16" ht="16.5">
      <c r="A76" s="2198"/>
      <c r="B76" s="2198"/>
      <c r="C76" s="2198"/>
      <c r="D76" s="2198"/>
      <c r="E76" s="2198"/>
      <c r="F76" s="2198"/>
      <c r="G76" s="2198"/>
      <c r="H76" s="2198"/>
      <c r="I76" s="2198"/>
      <c r="J76" s="2198"/>
      <c r="K76" s="2198"/>
      <c r="L76" s="2198"/>
      <c r="M76" s="2198"/>
      <c r="N76" s="2198"/>
      <c r="O76" s="2198"/>
      <c r="P76" s="2198"/>
    </row>
    <row r="77" spans="1:16" ht="16.5">
      <c r="A77" s="2198"/>
      <c r="B77" s="2198"/>
      <c r="C77" s="2198"/>
      <c r="D77" s="2198"/>
      <c r="E77" s="2198"/>
      <c r="F77" s="2198"/>
      <c r="G77" s="2198"/>
      <c r="H77" s="2198"/>
      <c r="I77" s="2198"/>
      <c r="J77" s="2198"/>
      <c r="K77" s="2198"/>
      <c r="L77" s="2198"/>
      <c r="M77" s="2198"/>
      <c r="N77" s="2198"/>
      <c r="O77" s="2198"/>
      <c r="P77" s="2198"/>
    </row>
    <row r="78" spans="1:16" ht="16.5">
      <c r="A78" s="2198"/>
      <c r="B78" s="2198"/>
      <c r="C78" s="2198"/>
      <c r="D78" s="2198"/>
      <c r="E78" s="2198"/>
      <c r="F78" s="2198"/>
      <c r="G78" s="2198"/>
      <c r="H78" s="2198"/>
      <c r="I78" s="2198"/>
      <c r="J78" s="2198"/>
      <c r="K78" s="2198"/>
      <c r="L78" s="2198"/>
      <c r="M78" s="2198"/>
      <c r="N78" s="2198"/>
      <c r="O78" s="2198"/>
      <c r="P78" s="2198"/>
    </row>
    <row r="79" spans="1:16" ht="16.5">
      <c r="A79" s="2198"/>
      <c r="B79" s="2198"/>
      <c r="C79" s="2198"/>
      <c r="D79" s="2198"/>
      <c r="E79" s="2198"/>
      <c r="F79" s="2198"/>
      <c r="G79" s="2198"/>
      <c r="H79" s="2198"/>
      <c r="I79" s="2198"/>
      <c r="J79" s="2198"/>
      <c r="K79" s="2198"/>
      <c r="L79" s="2198"/>
      <c r="M79" s="2198"/>
      <c r="N79" s="2198"/>
      <c r="O79" s="2198"/>
      <c r="P79" s="2198"/>
    </row>
    <row r="80" spans="1:16" ht="16.5">
      <c r="A80" s="2198"/>
      <c r="B80" s="2198"/>
      <c r="C80" s="2198"/>
      <c r="D80" s="2198"/>
      <c r="E80" s="2198"/>
      <c r="F80" s="2198"/>
      <c r="G80" s="2198"/>
      <c r="H80" s="2198"/>
      <c r="I80" s="2198"/>
      <c r="J80" s="2198"/>
      <c r="K80" s="2198"/>
      <c r="L80" s="2198"/>
      <c r="M80" s="2198"/>
      <c r="N80" s="2198"/>
      <c r="O80" s="2198"/>
      <c r="P80" s="2198"/>
    </row>
    <row r="81" spans="1:16" ht="16.5">
      <c r="A81" s="2198"/>
      <c r="B81" s="2198"/>
      <c r="C81" s="2198"/>
      <c r="D81" s="2198"/>
      <c r="E81" s="2198"/>
      <c r="F81" s="2198"/>
      <c r="G81" s="2198"/>
      <c r="H81" s="2198"/>
      <c r="I81" s="2198"/>
      <c r="J81" s="2198"/>
      <c r="K81" s="2198"/>
      <c r="L81" s="2198"/>
      <c r="M81" s="2198"/>
      <c r="N81" s="2198"/>
      <c r="O81" s="2198"/>
      <c r="P81" s="2198"/>
    </row>
    <row r="82" spans="1:16" ht="16.5">
      <c r="A82" s="2198"/>
      <c r="B82" s="2198"/>
      <c r="C82" s="2198"/>
      <c r="D82" s="2198"/>
      <c r="E82" s="2198"/>
      <c r="F82" s="2198"/>
      <c r="G82" s="2198"/>
      <c r="H82" s="2198"/>
      <c r="I82" s="2198"/>
      <c r="J82" s="2198"/>
      <c r="K82" s="2198"/>
      <c r="L82" s="2198"/>
      <c r="M82" s="2198"/>
      <c r="N82" s="2198"/>
      <c r="O82" s="2198"/>
      <c r="P82" s="2198"/>
    </row>
    <row r="83" spans="1:16" ht="16.5">
      <c r="A83" s="2198"/>
      <c r="B83" s="2198"/>
      <c r="C83" s="2198"/>
      <c r="D83" s="2198"/>
      <c r="E83" s="2198"/>
      <c r="F83" s="2198"/>
      <c r="G83" s="2198"/>
      <c r="H83" s="2198"/>
      <c r="I83" s="2198"/>
      <c r="J83" s="2198"/>
      <c r="K83" s="2198"/>
      <c r="L83" s="2198"/>
      <c r="M83" s="2198"/>
      <c r="N83" s="2198"/>
      <c r="O83" s="2198"/>
      <c r="P83" s="2198"/>
    </row>
    <row r="84" spans="1:16" ht="16.5">
      <c r="A84" s="2198"/>
      <c r="B84" s="2198"/>
      <c r="C84" s="2198"/>
      <c r="D84" s="2198"/>
      <c r="E84" s="2198"/>
      <c r="F84" s="2198"/>
      <c r="G84" s="2198"/>
      <c r="H84" s="2198"/>
      <c r="I84" s="2198"/>
      <c r="J84" s="2198"/>
      <c r="K84" s="2198"/>
      <c r="L84" s="2198"/>
      <c r="M84" s="2198"/>
      <c r="N84" s="2198"/>
      <c r="O84" s="2198"/>
      <c r="P84" s="2198"/>
    </row>
    <row r="85" spans="1:16" ht="16.5">
      <c r="A85" s="2198"/>
      <c r="B85" s="2198"/>
      <c r="C85" s="2198"/>
      <c r="D85" s="2198"/>
      <c r="E85" s="2198"/>
      <c r="F85" s="2198"/>
      <c r="G85" s="2198"/>
      <c r="H85" s="2198"/>
      <c r="I85" s="2198"/>
      <c r="J85" s="2198"/>
      <c r="K85" s="2198"/>
      <c r="L85" s="2198"/>
      <c r="M85" s="2198"/>
      <c r="N85" s="2198"/>
      <c r="O85" s="2198"/>
      <c r="P85" s="2198"/>
    </row>
    <row r="86" spans="1:16" ht="16.5">
      <c r="A86" s="2198"/>
      <c r="B86" s="2198"/>
      <c r="C86" s="2198"/>
      <c r="D86" s="2198"/>
      <c r="E86" s="2198"/>
      <c r="F86" s="2198"/>
      <c r="G86" s="2198"/>
      <c r="H86" s="2198"/>
      <c r="I86" s="2198"/>
      <c r="J86" s="2198"/>
      <c r="K86" s="2198"/>
      <c r="L86" s="2198"/>
      <c r="M86" s="2198"/>
      <c r="N86" s="2198"/>
      <c r="O86" s="2198"/>
      <c r="P86" s="2198"/>
    </row>
    <row r="87" spans="1:16" ht="16.5">
      <c r="A87" s="2198"/>
      <c r="B87" s="2198"/>
      <c r="C87" s="2198"/>
      <c r="D87" s="2198"/>
      <c r="E87" s="2198"/>
      <c r="F87" s="2198"/>
      <c r="G87" s="2198"/>
      <c r="H87" s="2198"/>
      <c r="I87" s="2198"/>
      <c r="J87" s="2198"/>
      <c r="K87" s="2198"/>
      <c r="L87" s="2198"/>
      <c r="M87" s="2198"/>
      <c r="N87" s="2198"/>
      <c r="O87" s="2198"/>
      <c r="P87" s="2198"/>
    </row>
    <row r="88" spans="1:16" ht="16.5">
      <c r="A88" s="2198"/>
      <c r="B88" s="2198"/>
      <c r="C88" s="2198"/>
      <c r="D88" s="2198"/>
      <c r="E88" s="2198"/>
      <c r="F88" s="2198"/>
      <c r="G88" s="2198"/>
      <c r="H88" s="2198"/>
      <c r="I88" s="2198"/>
      <c r="J88" s="2198"/>
      <c r="K88" s="2198"/>
      <c r="L88" s="2198"/>
      <c r="M88" s="2198"/>
      <c r="N88" s="2198"/>
      <c r="O88" s="2198"/>
      <c r="P88" s="2198"/>
    </row>
    <row r="89" spans="1:16" ht="16.5">
      <c r="A89" s="2198"/>
      <c r="B89" s="2198"/>
      <c r="C89" s="2198"/>
      <c r="D89" s="2198"/>
      <c r="E89" s="2198"/>
      <c r="F89" s="2198"/>
      <c r="G89" s="2198"/>
      <c r="H89" s="2198"/>
      <c r="I89" s="2198"/>
      <c r="J89" s="2198"/>
      <c r="K89" s="2198"/>
      <c r="L89" s="2198"/>
      <c r="M89" s="2198"/>
      <c r="N89" s="2198"/>
      <c r="O89" s="2198"/>
      <c r="P89" s="2198"/>
    </row>
    <row r="90" spans="1:16" ht="16.5">
      <c r="A90" s="2198"/>
      <c r="B90" s="2198"/>
      <c r="C90" s="2198"/>
      <c r="D90" s="2198"/>
      <c r="E90" s="2198"/>
      <c r="F90" s="2198"/>
      <c r="G90" s="2198"/>
      <c r="H90" s="2198"/>
      <c r="I90" s="2198"/>
      <c r="J90" s="2198"/>
      <c r="K90" s="2198"/>
      <c r="L90" s="2198"/>
      <c r="M90" s="2198"/>
      <c r="N90" s="2198"/>
      <c r="O90" s="2198"/>
      <c r="P90" s="2198"/>
    </row>
    <row r="91" spans="1:16" ht="16.5">
      <c r="A91" s="2198"/>
      <c r="B91" s="2198"/>
      <c r="C91" s="2198"/>
      <c r="D91" s="2198"/>
      <c r="E91" s="2198"/>
      <c r="F91" s="2198"/>
      <c r="G91" s="2198"/>
      <c r="H91" s="2198"/>
      <c r="I91" s="2198"/>
      <c r="J91" s="2198"/>
      <c r="K91" s="2198"/>
      <c r="L91" s="2198"/>
      <c r="M91" s="2198"/>
      <c r="N91" s="2198"/>
      <c r="O91" s="2198"/>
      <c r="P91" s="2198"/>
    </row>
    <row r="92" spans="1:16" ht="16.5">
      <c r="A92" s="2198"/>
      <c r="B92" s="2198"/>
      <c r="C92" s="2198"/>
      <c r="D92" s="2198"/>
      <c r="E92" s="2198"/>
      <c r="F92" s="2198"/>
      <c r="G92" s="2198"/>
      <c r="H92" s="2198"/>
      <c r="I92" s="2198"/>
      <c r="J92" s="2198"/>
      <c r="K92" s="2198"/>
      <c r="L92" s="2198"/>
      <c r="M92" s="2198"/>
      <c r="N92" s="2198"/>
      <c r="O92" s="2198"/>
      <c r="P92" s="2198"/>
    </row>
    <row r="93" spans="1:16" ht="16.5">
      <c r="A93" s="2198"/>
      <c r="B93" s="2198"/>
      <c r="C93" s="2198"/>
      <c r="D93" s="2198"/>
      <c r="E93" s="2198"/>
      <c r="F93" s="2198"/>
      <c r="G93" s="2198"/>
      <c r="H93" s="2198"/>
      <c r="I93" s="2198"/>
      <c r="J93" s="2198"/>
      <c r="K93" s="2198"/>
      <c r="L93" s="2198"/>
      <c r="M93" s="2198"/>
      <c r="N93" s="2198"/>
      <c r="O93" s="2198"/>
      <c r="P93" s="2198"/>
    </row>
    <row r="94" spans="1:16" ht="16.5">
      <c r="A94" s="2198"/>
      <c r="B94" s="2198"/>
      <c r="C94" s="2198"/>
      <c r="D94" s="2198"/>
      <c r="E94" s="2198"/>
      <c r="F94" s="2198"/>
      <c r="G94" s="2198"/>
      <c r="H94" s="2198"/>
      <c r="I94" s="2198"/>
      <c r="J94" s="2198"/>
      <c r="K94" s="2198"/>
      <c r="L94" s="2198"/>
      <c r="M94" s="2198"/>
      <c r="N94" s="2198"/>
      <c r="O94" s="2198"/>
      <c r="P94" s="2198"/>
    </row>
    <row r="95" spans="1:16" ht="16.5">
      <c r="A95" s="2198"/>
      <c r="B95" s="2198"/>
      <c r="C95" s="2198"/>
      <c r="D95" s="2198"/>
      <c r="E95" s="2198"/>
      <c r="F95" s="2198"/>
      <c r="G95" s="2198"/>
      <c r="H95" s="2198"/>
      <c r="I95" s="2198"/>
      <c r="J95" s="2198"/>
      <c r="K95" s="2198"/>
      <c r="L95" s="2198"/>
      <c r="M95" s="2198"/>
      <c r="N95" s="2198"/>
      <c r="O95" s="2198"/>
      <c r="P95" s="2198"/>
    </row>
    <row r="96" spans="1:16" ht="16.5">
      <c r="A96" s="2198"/>
      <c r="B96" s="2198"/>
      <c r="C96" s="2198"/>
      <c r="D96" s="2198"/>
      <c r="E96" s="2198"/>
      <c r="F96" s="2198"/>
      <c r="G96" s="2198"/>
      <c r="H96" s="2198"/>
      <c r="I96" s="2198"/>
      <c r="J96" s="2198"/>
      <c r="K96" s="2198"/>
      <c r="L96" s="2198"/>
      <c r="M96" s="2198"/>
      <c r="N96" s="2198"/>
      <c r="O96" s="2198"/>
      <c r="P96" s="2198"/>
    </row>
    <row r="97" spans="1:16" ht="16.5">
      <c r="A97" s="2198"/>
      <c r="B97" s="2198"/>
      <c r="C97" s="2198"/>
      <c r="D97" s="2198"/>
      <c r="E97" s="2198"/>
      <c r="F97" s="2198"/>
      <c r="G97" s="2198"/>
      <c r="H97" s="2198"/>
      <c r="I97" s="2198"/>
      <c r="J97" s="2198"/>
      <c r="K97" s="2198"/>
      <c r="L97" s="2198"/>
      <c r="M97" s="2198"/>
      <c r="N97" s="2198"/>
      <c r="O97" s="2198"/>
      <c r="P97" s="2198"/>
    </row>
  </sheetData>
  <phoneticPr fontId="12" type="noConversion"/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589A8-A229-4649-8951-B8B25E255261}">
  <sheetPr codeName="Sheet1"/>
  <dimension ref="A1:BU445"/>
  <sheetViews>
    <sheetView zoomScale="85" zoomScaleNormal="85" workbookViewId="0">
      <pane xSplit="6" ySplit="10" topLeftCell="G407" activePane="bottomRight" state="frozen"/>
      <selection activeCell="C10" sqref="C10"/>
      <selection pane="topRight" activeCell="C10" sqref="C10"/>
      <selection pane="bottomLeft" activeCell="C10" sqref="C10"/>
      <selection pane="bottomRight" activeCell="B419" sqref="B419"/>
    </sheetView>
  </sheetViews>
  <sheetFormatPr defaultColWidth="8.88671875" defaultRowHeight="16.5" outlineLevelRow="2" outlineLevelCol="1"/>
  <cols>
    <col min="1" max="1" width="31.109375" style="2696" bestFit="1" customWidth="1"/>
    <col min="2" max="2" width="41.109375" style="2696" customWidth="1"/>
    <col min="3" max="3" width="13.6640625" style="2696" customWidth="1"/>
    <col min="4" max="4" width="4" style="2696" customWidth="1"/>
    <col min="5" max="5" width="15.88671875" style="2696" customWidth="1"/>
    <col min="6" max="6" width="14.109375" style="2696" customWidth="1" outlineLevel="1"/>
    <col min="7" max="7" width="15.21875" style="2696" customWidth="1"/>
    <col min="8" max="46" width="14.109375" style="2696" customWidth="1"/>
    <col min="47" max="47" width="15.6640625" style="2696" customWidth="1"/>
    <col min="48" max="48" width="12.77734375" style="2696" customWidth="1"/>
    <col min="49" max="49" width="12.77734375" style="3402" customWidth="1"/>
    <col min="50" max="50" width="14.109375" style="2696" customWidth="1"/>
    <col min="51" max="61" width="12.77734375" style="2696" customWidth="1"/>
    <col min="62" max="73" width="10.44140625" style="2696" customWidth="1"/>
    <col min="74" max="16384" width="8.88671875" style="2696"/>
  </cols>
  <sheetData>
    <row r="1" spans="1:62">
      <c r="A1" s="2689" t="s">
        <v>3999</v>
      </c>
      <c r="B1" s="2690"/>
      <c r="C1" s="2691"/>
      <c r="D1" s="2691"/>
      <c r="E1" s="2691"/>
      <c r="F1" s="2692">
        <v>1</v>
      </c>
      <c r="G1" s="2693">
        <f>F1+1</f>
        <v>2</v>
      </c>
      <c r="H1" s="2693">
        <f t="shared" ref="H1:W2" si="0">G1+1</f>
        <v>3</v>
      </c>
      <c r="I1" s="2693">
        <f t="shared" si="0"/>
        <v>4</v>
      </c>
      <c r="J1" s="2693">
        <f t="shared" si="0"/>
        <v>5</v>
      </c>
      <c r="K1" s="2693">
        <f t="shared" si="0"/>
        <v>6</v>
      </c>
      <c r="L1" s="2693">
        <f t="shared" si="0"/>
        <v>7</v>
      </c>
      <c r="M1" s="2693">
        <f t="shared" si="0"/>
        <v>8</v>
      </c>
      <c r="N1" s="2693">
        <f t="shared" si="0"/>
        <v>9</v>
      </c>
      <c r="O1" s="2693">
        <f t="shared" si="0"/>
        <v>10</v>
      </c>
      <c r="P1" s="2693">
        <f t="shared" si="0"/>
        <v>11</v>
      </c>
      <c r="Q1" s="2693">
        <f t="shared" si="0"/>
        <v>12</v>
      </c>
      <c r="R1" s="2693">
        <f t="shared" si="0"/>
        <v>13</v>
      </c>
      <c r="S1" s="2693">
        <f t="shared" si="0"/>
        <v>14</v>
      </c>
      <c r="T1" s="2693">
        <f t="shared" si="0"/>
        <v>15</v>
      </c>
      <c r="U1" s="2693">
        <f t="shared" si="0"/>
        <v>16</v>
      </c>
      <c r="V1" s="2693">
        <f t="shared" si="0"/>
        <v>17</v>
      </c>
      <c r="W1" s="2693">
        <f t="shared" si="0"/>
        <v>18</v>
      </c>
      <c r="X1" s="2693">
        <f t="shared" ref="X1:AM2" si="1">W1+1</f>
        <v>19</v>
      </c>
      <c r="Y1" s="2693">
        <f t="shared" si="1"/>
        <v>20</v>
      </c>
      <c r="Z1" s="2693">
        <f t="shared" si="1"/>
        <v>21</v>
      </c>
      <c r="AA1" s="2693">
        <f t="shared" si="1"/>
        <v>22</v>
      </c>
      <c r="AB1" s="2693">
        <f t="shared" si="1"/>
        <v>23</v>
      </c>
      <c r="AC1" s="2693">
        <f t="shared" si="1"/>
        <v>24</v>
      </c>
      <c r="AD1" s="2693">
        <f t="shared" si="1"/>
        <v>25</v>
      </c>
      <c r="AE1" s="2693">
        <f t="shared" si="1"/>
        <v>26</v>
      </c>
      <c r="AF1" s="2693">
        <f t="shared" si="1"/>
        <v>27</v>
      </c>
      <c r="AG1" s="2693">
        <f t="shared" si="1"/>
        <v>28</v>
      </c>
      <c r="AH1" s="2693">
        <f t="shared" si="1"/>
        <v>29</v>
      </c>
      <c r="AI1" s="2693">
        <f t="shared" si="1"/>
        <v>30</v>
      </c>
      <c r="AJ1" s="2693">
        <f t="shared" si="1"/>
        <v>31</v>
      </c>
      <c r="AK1" s="2693">
        <f t="shared" si="1"/>
        <v>32</v>
      </c>
      <c r="AL1" s="2693">
        <f t="shared" si="1"/>
        <v>33</v>
      </c>
      <c r="AM1" s="2693">
        <f t="shared" si="1"/>
        <v>34</v>
      </c>
      <c r="AN1" s="2693">
        <f t="shared" ref="AN1:AU2" si="2">AM1+1</f>
        <v>35</v>
      </c>
      <c r="AO1" s="2693">
        <f t="shared" si="2"/>
        <v>36</v>
      </c>
      <c r="AP1" s="2693">
        <f t="shared" si="2"/>
        <v>37</v>
      </c>
      <c r="AQ1" s="2693">
        <f t="shared" si="2"/>
        <v>38</v>
      </c>
      <c r="AR1" s="2693">
        <f t="shared" si="2"/>
        <v>39</v>
      </c>
      <c r="AS1" s="2693">
        <f t="shared" si="2"/>
        <v>40</v>
      </c>
      <c r="AT1" s="2693">
        <f t="shared" si="2"/>
        <v>41</v>
      </c>
      <c r="AU1" s="2693">
        <f t="shared" si="2"/>
        <v>42</v>
      </c>
      <c r="AV1" s="2694"/>
      <c r="AW1" s="2695"/>
      <c r="AX1" s="2694"/>
      <c r="AY1" s="2694"/>
      <c r="AZ1" s="2694"/>
      <c r="BA1" s="2694"/>
      <c r="BB1" s="2694"/>
      <c r="BC1" s="2694"/>
      <c r="BD1" s="2694"/>
      <c r="BE1" s="2694"/>
      <c r="BF1" s="2694"/>
      <c r="BG1" s="2694"/>
    </row>
    <row r="2" spans="1:62" ht="18.75" customHeight="1">
      <c r="A2" s="2697" t="s">
        <v>4000</v>
      </c>
      <c r="B2" s="2698" t="s">
        <v>4001</v>
      </c>
      <c r="C2" s="2699"/>
      <c r="D2" s="2699"/>
      <c r="E2" s="2700" t="s">
        <v>4002</v>
      </c>
      <c r="F2" s="2701">
        <v>2018</v>
      </c>
      <c r="G2" s="2701">
        <f>F2+1</f>
        <v>2019</v>
      </c>
      <c r="H2" s="2701">
        <f t="shared" si="0"/>
        <v>2020</v>
      </c>
      <c r="I2" s="2701">
        <f t="shared" si="0"/>
        <v>2021</v>
      </c>
      <c r="J2" s="2701">
        <f t="shared" si="0"/>
        <v>2022</v>
      </c>
      <c r="K2" s="2701">
        <f t="shared" si="0"/>
        <v>2023</v>
      </c>
      <c r="L2" s="2701">
        <f t="shared" si="0"/>
        <v>2024</v>
      </c>
      <c r="M2" s="2701">
        <f t="shared" si="0"/>
        <v>2025</v>
      </c>
      <c r="N2" s="2701">
        <f t="shared" si="0"/>
        <v>2026</v>
      </c>
      <c r="O2" s="2701">
        <f t="shared" si="0"/>
        <v>2027</v>
      </c>
      <c r="P2" s="2702">
        <f t="shared" si="0"/>
        <v>2028</v>
      </c>
      <c r="Q2" s="2702">
        <f t="shared" si="0"/>
        <v>2029</v>
      </c>
      <c r="R2" s="2702">
        <f t="shared" si="0"/>
        <v>2030</v>
      </c>
      <c r="S2" s="2702">
        <f t="shared" si="0"/>
        <v>2031</v>
      </c>
      <c r="T2" s="2702">
        <f t="shared" si="0"/>
        <v>2032</v>
      </c>
      <c r="U2" s="2702">
        <f t="shared" si="0"/>
        <v>2033</v>
      </c>
      <c r="V2" s="2702">
        <f t="shared" si="0"/>
        <v>2034</v>
      </c>
      <c r="W2" s="2702">
        <f t="shared" si="0"/>
        <v>2035</v>
      </c>
      <c r="X2" s="2702">
        <f t="shared" si="1"/>
        <v>2036</v>
      </c>
      <c r="Y2" s="2702">
        <f t="shared" si="1"/>
        <v>2037</v>
      </c>
      <c r="Z2" s="2702">
        <f t="shared" si="1"/>
        <v>2038</v>
      </c>
      <c r="AA2" s="2702">
        <f t="shared" si="1"/>
        <v>2039</v>
      </c>
      <c r="AB2" s="2702">
        <f t="shared" si="1"/>
        <v>2040</v>
      </c>
      <c r="AC2" s="2702">
        <f t="shared" si="1"/>
        <v>2041</v>
      </c>
      <c r="AD2" s="2702">
        <f t="shared" si="1"/>
        <v>2042</v>
      </c>
      <c r="AE2" s="2702">
        <f t="shared" si="1"/>
        <v>2043</v>
      </c>
      <c r="AF2" s="2702">
        <f t="shared" si="1"/>
        <v>2044</v>
      </c>
      <c r="AG2" s="2702">
        <f t="shared" si="1"/>
        <v>2045</v>
      </c>
      <c r="AH2" s="2702">
        <f t="shared" si="1"/>
        <v>2046</v>
      </c>
      <c r="AI2" s="2702">
        <f t="shared" si="1"/>
        <v>2047</v>
      </c>
      <c r="AJ2" s="2702">
        <f t="shared" si="1"/>
        <v>2048</v>
      </c>
      <c r="AK2" s="2702">
        <f t="shared" si="1"/>
        <v>2049</v>
      </c>
      <c r="AL2" s="2702">
        <f t="shared" si="1"/>
        <v>2050</v>
      </c>
      <c r="AM2" s="2702">
        <f t="shared" si="1"/>
        <v>2051</v>
      </c>
      <c r="AN2" s="2702">
        <f t="shared" si="2"/>
        <v>2052</v>
      </c>
      <c r="AO2" s="2702">
        <f t="shared" si="2"/>
        <v>2053</v>
      </c>
      <c r="AP2" s="2702">
        <f t="shared" si="2"/>
        <v>2054</v>
      </c>
      <c r="AQ2" s="2702">
        <f t="shared" si="2"/>
        <v>2055</v>
      </c>
      <c r="AR2" s="2702">
        <f t="shared" si="2"/>
        <v>2056</v>
      </c>
      <c r="AS2" s="2702">
        <f t="shared" si="2"/>
        <v>2057</v>
      </c>
      <c r="AT2" s="2702">
        <f t="shared" si="2"/>
        <v>2058</v>
      </c>
      <c r="AU2" s="2702">
        <f t="shared" si="2"/>
        <v>2059</v>
      </c>
      <c r="AV2" s="2694"/>
      <c r="AW2" s="2703"/>
      <c r="AX2" s="2704"/>
      <c r="AY2" s="2694"/>
      <c r="AZ2" s="2694"/>
      <c r="BA2" s="2694"/>
      <c r="BB2" s="2694"/>
      <c r="BC2" s="2694"/>
      <c r="BD2" s="2694"/>
      <c r="BE2" s="2694"/>
      <c r="BF2" s="2694"/>
      <c r="BG2" s="2694"/>
      <c r="BI2" s="2705"/>
    </row>
    <row r="3" spans="1:62" ht="18.75" customHeight="1" thickBot="1">
      <c r="A3" s="2706"/>
      <c r="B3" s="5604" t="s">
        <v>95</v>
      </c>
      <c r="C3" s="5605"/>
      <c r="D3" s="2707"/>
      <c r="E3" s="2707"/>
      <c r="F3" s="2708">
        <f>매출!Q5</f>
        <v>302932</v>
      </c>
      <c r="G3" s="2708">
        <f>매출!R5</f>
        <v>320343</v>
      </c>
      <c r="H3" s="2708">
        <f ca="1">매출!S5</f>
        <v>352194</v>
      </c>
      <c r="I3" s="2708">
        <f ca="1">매출!T5</f>
        <v>314436</v>
      </c>
      <c r="J3" s="2708">
        <f ca="1">매출!U5</f>
        <v>310000</v>
      </c>
      <c r="K3" s="2708">
        <f ca="1">매출!V5</f>
        <v>320000</v>
      </c>
      <c r="L3" s="2708">
        <f ca="1">매출!W5</f>
        <v>330000</v>
      </c>
      <c r="M3" s="2708">
        <f ca="1">매출!X5</f>
        <v>340000</v>
      </c>
      <c r="N3" s="2708">
        <f ca="1">매출!Y5</f>
        <v>350000</v>
      </c>
      <c r="O3" s="2708">
        <f ca="1">매출!Z5</f>
        <v>360000</v>
      </c>
      <c r="P3" s="2709">
        <f ca="1">매출!AA5</f>
        <v>370000</v>
      </c>
      <c r="Q3" s="2709">
        <f ca="1">매출!AB5</f>
        <v>380000</v>
      </c>
      <c r="R3" s="2709">
        <f ca="1">매출!AC5</f>
        <v>390000</v>
      </c>
      <c r="S3" s="2709">
        <f ca="1">매출!AD5</f>
        <v>394000</v>
      </c>
      <c r="T3" s="2709">
        <f ca="1">매출!AE5</f>
        <v>398000</v>
      </c>
      <c r="U3" s="2709">
        <f ca="1">매출!AF5</f>
        <v>402000</v>
      </c>
      <c r="V3" s="2709">
        <f ca="1">매출!AG5</f>
        <v>406000</v>
      </c>
      <c r="W3" s="2709">
        <f ca="1">매출!AH5</f>
        <v>410000</v>
      </c>
      <c r="X3" s="2709">
        <f ca="1">매출!AI5</f>
        <v>414000</v>
      </c>
      <c r="Y3" s="2709">
        <f ca="1">매출!AJ5</f>
        <v>418000</v>
      </c>
      <c r="Z3" s="2709">
        <f ca="1">매출!AK5</f>
        <v>422000</v>
      </c>
      <c r="AA3" s="2709">
        <f ca="1">매출!AL5</f>
        <v>426000</v>
      </c>
      <c r="AB3" s="2709">
        <f ca="1">매출!AM5</f>
        <v>430000</v>
      </c>
      <c r="AC3" s="2709">
        <f ca="1">매출!AN5</f>
        <v>434000</v>
      </c>
      <c r="AD3" s="2709">
        <f ca="1">매출!AO5</f>
        <v>438000</v>
      </c>
      <c r="AE3" s="2709">
        <f ca="1">매출!AP5</f>
        <v>442000</v>
      </c>
      <c r="AF3" s="2709">
        <f ca="1">매출!AQ5</f>
        <v>446000</v>
      </c>
      <c r="AG3" s="2709">
        <f ca="1">매출!AR5</f>
        <v>450000</v>
      </c>
      <c r="AH3" s="2709">
        <f ca="1">매출!AS5</f>
        <v>454000</v>
      </c>
      <c r="AI3" s="2709">
        <f ca="1">매출!AT5</f>
        <v>458000</v>
      </c>
      <c r="AJ3" s="2709">
        <f ca="1">매출!AU5</f>
        <v>462000</v>
      </c>
      <c r="AK3" s="2709">
        <f ca="1">매출!AV5</f>
        <v>466000</v>
      </c>
      <c r="AL3" s="2709">
        <f ca="1">매출!AW5</f>
        <v>470000</v>
      </c>
      <c r="AM3" s="2709">
        <f ca="1">매출!AX5</f>
        <v>474000</v>
      </c>
      <c r="AN3" s="2709">
        <f ca="1">매출!AY5</f>
        <v>478000</v>
      </c>
      <c r="AO3" s="2709">
        <f ca="1">매출!AZ5</f>
        <v>482000</v>
      </c>
      <c r="AP3" s="2709">
        <f ca="1">매출!BA5</f>
        <v>486000</v>
      </c>
      <c r="AQ3" s="2709">
        <f ca="1">매출!BB5</f>
        <v>490000</v>
      </c>
      <c r="AR3" s="2709">
        <f ca="1">매출!BC5</f>
        <v>494000</v>
      </c>
      <c r="AS3" s="2709">
        <f ca="1">매출!BD5</f>
        <v>498000</v>
      </c>
      <c r="AT3" s="2709">
        <f ca="1">매출!BE5</f>
        <v>502000</v>
      </c>
      <c r="AU3" s="2709">
        <f ca="1">매출!BF5</f>
        <v>506000</v>
      </c>
      <c r="AV3" s="2694">
        <v>0</v>
      </c>
      <c r="AW3" s="2703"/>
      <c r="AX3" s="2710"/>
      <c r="AY3" s="2711"/>
      <c r="AZ3" s="2711"/>
      <c r="BA3" s="2711"/>
      <c r="BB3" s="2711"/>
      <c r="BC3" s="2711"/>
      <c r="BD3" s="2711"/>
      <c r="BE3" s="2711"/>
      <c r="BF3" s="2711"/>
      <c r="BG3" s="2711"/>
      <c r="BI3" s="2712"/>
      <c r="BJ3" s="2712"/>
    </row>
    <row r="4" spans="1:62" ht="18" thickTop="1" thickBot="1">
      <c r="A4" s="2713"/>
      <c r="B4" s="2714"/>
      <c r="C4" s="2715"/>
      <c r="D4" s="2716"/>
      <c r="E4" s="2716"/>
      <c r="F4" s="2717">
        <f>ROUNDDOWN(F3,-4)</f>
        <v>300000</v>
      </c>
      <c r="G4" s="2717">
        <f>ROUNDDOWN(G3,-4)</f>
        <v>320000</v>
      </c>
      <c r="H4" s="2717">
        <f ca="1">ROUNDDOWN(H3,-4)</f>
        <v>350000</v>
      </c>
      <c r="I4" s="2717">
        <f t="shared" ref="I4:AU4" ca="1" si="3">ROUNDDOWN(I3,-4)</f>
        <v>310000</v>
      </c>
      <c r="J4" s="2717">
        <f t="shared" ca="1" si="3"/>
        <v>310000</v>
      </c>
      <c r="K4" s="2717">
        <f t="shared" ca="1" si="3"/>
        <v>320000</v>
      </c>
      <c r="L4" s="2717">
        <f t="shared" ca="1" si="3"/>
        <v>330000</v>
      </c>
      <c r="M4" s="2717">
        <f t="shared" ca="1" si="3"/>
        <v>340000</v>
      </c>
      <c r="N4" s="2717">
        <f t="shared" ca="1" si="3"/>
        <v>350000</v>
      </c>
      <c r="O4" s="2717">
        <f t="shared" ca="1" si="3"/>
        <v>360000</v>
      </c>
      <c r="P4" s="2718">
        <f t="shared" ca="1" si="3"/>
        <v>370000</v>
      </c>
      <c r="Q4" s="2718">
        <f t="shared" ca="1" si="3"/>
        <v>380000</v>
      </c>
      <c r="R4" s="2718">
        <f t="shared" ca="1" si="3"/>
        <v>390000</v>
      </c>
      <c r="S4" s="2718">
        <f t="shared" ca="1" si="3"/>
        <v>390000</v>
      </c>
      <c r="T4" s="2718">
        <f t="shared" ca="1" si="3"/>
        <v>390000</v>
      </c>
      <c r="U4" s="2718">
        <f t="shared" ca="1" si="3"/>
        <v>400000</v>
      </c>
      <c r="V4" s="2718">
        <f t="shared" ca="1" si="3"/>
        <v>400000</v>
      </c>
      <c r="W4" s="2718">
        <f t="shared" ca="1" si="3"/>
        <v>410000</v>
      </c>
      <c r="X4" s="2718">
        <f t="shared" ca="1" si="3"/>
        <v>410000</v>
      </c>
      <c r="Y4" s="2718">
        <f t="shared" ca="1" si="3"/>
        <v>410000</v>
      </c>
      <c r="Z4" s="2718">
        <f t="shared" ca="1" si="3"/>
        <v>420000</v>
      </c>
      <c r="AA4" s="2718">
        <f t="shared" ca="1" si="3"/>
        <v>420000</v>
      </c>
      <c r="AB4" s="2718">
        <f t="shared" ca="1" si="3"/>
        <v>430000</v>
      </c>
      <c r="AC4" s="2718">
        <f t="shared" ca="1" si="3"/>
        <v>430000</v>
      </c>
      <c r="AD4" s="2718">
        <f t="shared" ca="1" si="3"/>
        <v>430000</v>
      </c>
      <c r="AE4" s="2718">
        <f t="shared" ca="1" si="3"/>
        <v>440000</v>
      </c>
      <c r="AF4" s="2718">
        <f t="shared" ca="1" si="3"/>
        <v>440000</v>
      </c>
      <c r="AG4" s="2718">
        <f t="shared" ca="1" si="3"/>
        <v>450000</v>
      </c>
      <c r="AH4" s="2718">
        <f t="shared" ca="1" si="3"/>
        <v>450000</v>
      </c>
      <c r="AI4" s="2718">
        <f t="shared" ca="1" si="3"/>
        <v>450000</v>
      </c>
      <c r="AJ4" s="2718">
        <f t="shared" ca="1" si="3"/>
        <v>460000</v>
      </c>
      <c r="AK4" s="2718">
        <f t="shared" ca="1" si="3"/>
        <v>460000</v>
      </c>
      <c r="AL4" s="2718">
        <f t="shared" ca="1" si="3"/>
        <v>470000</v>
      </c>
      <c r="AM4" s="2718">
        <f t="shared" ca="1" si="3"/>
        <v>470000</v>
      </c>
      <c r="AN4" s="2718">
        <f t="shared" ca="1" si="3"/>
        <v>470000</v>
      </c>
      <c r="AO4" s="2718">
        <f t="shared" ca="1" si="3"/>
        <v>480000</v>
      </c>
      <c r="AP4" s="2718">
        <f t="shared" ca="1" si="3"/>
        <v>480000</v>
      </c>
      <c r="AQ4" s="2718">
        <f t="shared" ca="1" si="3"/>
        <v>490000</v>
      </c>
      <c r="AR4" s="2718">
        <f t="shared" ca="1" si="3"/>
        <v>490000</v>
      </c>
      <c r="AS4" s="2718">
        <f t="shared" ca="1" si="3"/>
        <v>490000</v>
      </c>
      <c r="AT4" s="2718">
        <f t="shared" ca="1" si="3"/>
        <v>500000</v>
      </c>
      <c r="AU4" s="2718">
        <f t="shared" ca="1" si="3"/>
        <v>500000</v>
      </c>
      <c r="AV4" s="2694">
        <v>0</v>
      </c>
      <c r="AW4" s="2703"/>
      <c r="AX4" s="2719"/>
      <c r="AY4" s="2711"/>
      <c r="AZ4" s="2711"/>
      <c r="BA4" s="2711"/>
      <c r="BB4" s="2711"/>
      <c r="BC4" s="2711"/>
      <c r="BD4" s="2711"/>
      <c r="BE4" s="2711"/>
      <c r="BF4" s="2711"/>
      <c r="BG4" s="2711"/>
    </row>
    <row r="5" spans="1:62" ht="18" thickTop="1">
      <c r="A5" s="2720" t="s">
        <v>4003</v>
      </c>
      <c r="B5" s="2721" t="s">
        <v>4004</v>
      </c>
      <c r="C5" s="2722">
        <f>10458070062-F5</f>
        <v>0</v>
      </c>
      <c r="D5" s="2723"/>
      <c r="E5" s="2724">
        <f ca="1">SUM(G5:AU5)</f>
        <v>691361216299.38257</v>
      </c>
      <c r="F5" s="2725">
        <f>F9+F10</f>
        <v>10458070062</v>
      </c>
      <c r="G5" s="2726">
        <f>예정운영비용!H21</f>
        <v>19848631918.663151</v>
      </c>
      <c r="H5" s="2726">
        <f ca="1">예정운영비용!I21</f>
        <v>20127060322.040554</v>
      </c>
      <c r="I5" s="2726">
        <f>예정운영비용!J21</f>
        <v>20729752065.319099</v>
      </c>
      <c r="J5" s="2726">
        <f ca="1">예정운영비용!K21</f>
        <v>20474169147.021694</v>
      </c>
      <c r="K5" s="2726">
        <f ca="1">예정운영비용!L21</f>
        <v>20879578871.252701</v>
      </c>
      <c r="L5" s="2726">
        <f ca="1">예정운영비용!M21</f>
        <v>21182016455.904076</v>
      </c>
      <c r="M5" s="2727">
        <f t="shared" ref="M5:AU5" ca="1" si="4">M9+M10</f>
        <v>10811822547.071173</v>
      </c>
      <c r="N5" s="2727">
        <f t="shared" ca="1" si="4"/>
        <v>11104050508.506935</v>
      </c>
      <c r="O5" s="2727">
        <f t="shared" ca="1" si="4"/>
        <v>11442098448.572678</v>
      </c>
      <c r="P5" s="2727">
        <f t="shared" ca="1" si="4"/>
        <v>11697301371.852646</v>
      </c>
      <c r="Q5" s="2727">
        <f t="shared" ca="1" si="4"/>
        <v>12007874708.641459</v>
      </c>
      <c r="R5" s="2727">
        <f t="shared" ca="1" si="4"/>
        <v>12149040924.56024</v>
      </c>
      <c r="S5" s="2727">
        <f t="shared" ca="1" si="4"/>
        <v>12350679306.384249</v>
      </c>
      <c r="T5" s="2727">
        <f t="shared" ca="1" si="4"/>
        <v>12791338001.075901</v>
      </c>
      <c r="U5" s="2727">
        <f t="shared" ca="1" si="4"/>
        <v>13421633064.536663</v>
      </c>
      <c r="V5" s="2727">
        <f t="shared" ca="1" si="4"/>
        <v>13751646474.686182</v>
      </c>
      <c r="W5" s="2727">
        <f t="shared" ca="1" si="4"/>
        <v>14049219299.152866</v>
      </c>
      <c r="X5" s="2727">
        <f t="shared" ca="1" si="4"/>
        <v>14321269572.808147</v>
      </c>
      <c r="Y5" s="2727">
        <f t="shared" ca="1" si="4"/>
        <v>14504668494.123247</v>
      </c>
      <c r="Z5" s="2727">
        <f t="shared" ca="1" si="4"/>
        <v>14766892335.452579</v>
      </c>
      <c r="AA5" s="2727">
        <f t="shared" ca="1" si="4"/>
        <v>15066865768.571833</v>
      </c>
      <c r="AB5" s="2727">
        <f t="shared" ca="1" si="4"/>
        <v>15382992433.181614</v>
      </c>
      <c r="AC5" s="2727">
        <f t="shared" ca="1" si="4"/>
        <v>15672655739.541685</v>
      </c>
      <c r="AD5" s="2727">
        <f t="shared" ca="1" si="4"/>
        <v>16004368119.921682</v>
      </c>
      <c r="AE5" s="2727">
        <f t="shared" ca="1" si="4"/>
        <v>15949433147.694435</v>
      </c>
      <c r="AF5" s="2727">
        <f t="shared" ca="1" si="4"/>
        <v>16440906575.778744</v>
      </c>
      <c r="AG5" s="2727">
        <f t="shared" ca="1" si="4"/>
        <v>16657498324.891605</v>
      </c>
      <c r="AH5" s="2727">
        <f t="shared" ca="1" si="4"/>
        <v>16997242840.515686</v>
      </c>
      <c r="AI5" s="2727">
        <f t="shared" ca="1" si="4"/>
        <v>17408353834.459713</v>
      </c>
      <c r="AJ5" s="2727">
        <f t="shared" ca="1" si="4"/>
        <v>17722848862.700195</v>
      </c>
      <c r="AK5" s="2727">
        <f t="shared" ca="1" si="4"/>
        <v>17908784245.611145</v>
      </c>
      <c r="AL5" s="2727">
        <f t="shared" ca="1" si="4"/>
        <v>18977345908.920998</v>
      </c>
      <c r="AM5" s="2727">
        <f t="shared" ca="1" si="4"/>
        <v>19336497627.083622</v>
      </c>
      <c r="AN5" s="2727">
        <f t="shared" ca="1" si="4"/>
        <v>19758812984.540829</v>
      </c>
      <c r="AO5" s="2727">
        <f t="shared" ca="1" si="4"/>
        <v>20176463446.002129</v>
      </c>
      <c r="AP5" s="2727">
        <f t="shared" ca="1" si="4"/>
        <v>20605435430.169197</v>
      </c>
      <c r="AQ5" s="2727">
        <f t="shared" ca="1" si="4"/>
        <v>20909153039.961922</v>
      </c>
      <c r="AR5" s="2727">
        <f t="shared" ca="1" si="4"/>
        <v>21488256258.32093</v>
      </c>
      <c r="AS5" s="2727">
        <f t="shared" ca="1" si="4"/>
        <v>21812302745.042175</v>
      </c>
      <c r="AT5" s="2727">
        <f t="shared" ca="1" si="4"/>
        <v>22102416869.31485</v>
      </c>
      <c r="AU5" s="2727">
        <f t="shared" ca="1" si="4"/>
        <v>22571838259.531406</v>
      </c>
      <c r="AV5" s="2694">
        <v>0</v>
      </c>
      <c r="AW5" s="2728"/>
      <c r="AX5" s="2729"/>
      <c r="AY5" s="2694"/>
      <c r="AZ5" s="2694"/>
      <c r="BA5" s="2694"/>
      <c r="BB5" s="2694"/>
      <c r="BC5" s="2694"/>
      <c r="BD5" s="2694"/>
      <c r="BE5" s="2694"/>
      <c r="BF5" s="2694"/>
      <c r="BG5" s="2694"/>
      <c r="BI5" s="2730"/>
      <c r="BJ5" s="2730"/>
    </row>
    <row r="6" spans="1:62" ht="17.25">
      <c r="A6" s="2731" t="s">
        <v>4005</v>
      </c>
      <c r="B6" s="2732"/>
      <c r="C6" s="2733"/>
      <c r="D6" s="2734"/>
      <c r="E6" s="2734"/>
      <c r="F6" s="2735">
        <f>F9+F10</f>
        <v>10458070062</v>
      </c>
      <c r="G6" s="2735">
        <f>G9+G10</f>
        <v>10711609499.623751</v>
      </c>
      <c r="H6" s="2735">
        <f t="shared" ref="H6:AU6" ca="1" si="5">H9+H10</f>
        <v>10429106814.313881</v>
      </c>
      <c r="I6" s="2735">
        <f t="shared" ca="1" si="5"/>
        <v>9673432154.9558601</v>
      </c>
      <c r="J6" s="2735">
        <f t="shared" ca="1" si="5"/>
        <v>9887153488.7951317</v>
      </c>
      <c r="K6" s="2735">
        <f t="shared" ca="1" si="5"/>
        <v>10163364587.975849</v>
      </c>
      <c r="L6" s="2735">
        <f t="shared" ca="1" si="5"/>
        <v>10682649296.919369</v>
      </c>
      <c r="M6" s="2735">
        <f t="shared" ca="1" si="5"/>
        <v>10811822547.071173</v>
      </c>
      <c r="N6" s="2735">
        <f t="shared" ca="1" si="5"/>
        <v>11104050508.506935</v>
      </c>
      <c r="O6" s="2735">
        <f t="shared" ca="1" si="5"/>
        <v>11442098448.572678</v>
      </c>
      <c r="P6" s="2735">
        <f t="shared" ca="1" si="5"/>
        <v>11697301371.852646</v>
      </c>
      <c r="Q6" s="2735">
        <f t="shared" ca="1" si="5"/>
        <v>12007874708.641459</v>
      </c>
      <c r="R6" s="2735">
        <f t="shared" ca="1" si="5"/>
        <v>12149040924.56024</v>
      </c>
      <c r="S6" s="2735">
        <f t="shared" ca="1" si="5"/>
        <v>12350679306.384249</v>
      </c>
      <c r="T6" s="2735">
        <f t="shared" ca="1" si="5"/>
        <v>12791338001.075901</v>
      </c>
      <c r="U6" s="2735">
        <f t="shared" ca="1" si="5"/>
        <v>13421633064.536663</v>
      </c>
      <c r="V6" s="2735">
        <f t="shared" ca="1" si="5"/>
        <v>13751646474.686182</v>
      </c>
      <c r="W6" s="2735">
        <f t="shared" ca="1" si="5"/>
        <v>14049219299.152866</v>
      </c>
      <c r="X6" s="2735">
        <f t="shared" ca="1" si="5"/>
        <v>14321269572.808147</v>
      </c>
      <c r="Y6" s="2735">
        <f t="shared" ca="1" si="5"/>
        <v>14504668494.123247</v>
      </c>
      <c r="Z6" s="2735">
        <f t="shared" ca="1" si="5"/>
        <v>14766892335.452579</v>
      </c>
      <c r="AA6" s="2735">
        <f t="shared" ca="1" si="5"/>
        <v>15066865768.571833</v>
      </c>
      <c r="AB6" s="2735">
        <f t="shared" ca="1" si="5"/>
        <v>15382992433.181614</v>
      </c>
      <c r="AC6" s="2735">
        <f t="shared" ca="1" si="5"/>
        <v>15672655739.541685</v>
      </c>
      <c r="AD6" s="2735">
        <f t="shared" ca="1" si="5"/>
        <v>16004368119.921682</v>
      </c>
      <c r="AE6" s="2735">
        <f t="shared" ca="1" si="5"/>
        <v>15949433147.694435</v>
      </c>
      <c r="AF6" s="2735">
        <f t="shared" ca="1" si="5"/>
        <v>16440906575.778744</v>
      </c>
      <c r="AG6" s="2735">
        <f t="shared" ca="1" si="5"/>
        <v>16657498324.891605</v>
      </c>
      <c r="AH6" s="2735">
        <f t="shared" ca="1" si="5"/>
        <v>16997242840.515686</v>
      </c>
      <c r="AI6" s="2735">
        <f t="shared" ca="1" si="5"/>
        <v>17408353834.459713</v>
      </c>
      <c r="AJ6" s="2735">
        <f t="shared" ca="1" si="5"/>
        <v>17722848862.700195</v>
      </c>
      <c r="AK6" s="2735">
        <f t="shared" ca="1" si="5"/>
        <v>17908784245.611145</v>
      </c>
      <c r="AL6" s="2735">
        <f t="shared" ca="1" si="5"/>
        <v>18977345908.920998</v>
      </c>
      <c r="AM6" s="2735">
        <f t="shared" ca="1" si="5"/>
        <v>19336497627.083622</v>
      </c>
      <c r="AN6" s="2735">
        <f t="shared" ca="1" si="5"/>
        <v>19758812984.540829</v>
      </c>
      <c r="AO6" s="2735">
        <f t="shared" ca="1" si="5"/>
        <v>20176463446.002129</v>
      </c>
      <c r="AP6" s="2735">
        <f t="shared" ca="1" si="5"/>
        <v>20605435430.169197</v>
      </c>
      <c r="AQ6" s="2735">
        <f t="shared" ca="1" si="5"/>
        <v>20909153039.961922</v>
      </c>
      <c r="AR6" s="2735">
        <f t="shared" ca="1" si="5"/>
        <v>21488256258.32093</v>
      </c>
      <c r="AS6" s="2735">
        <f t="shared" ca="1" si="5"/>
        <v>21812302745.042175</v>
      </c>
      <c r="AT6" s="2735">
        <f t="shared" ca="1" si="5"/>
        <v>22102416869.31485</v>
      </c>
      <c r="AU6" s="2735">
        <f t="shared" ca="1" si="5"/>
        <v>22571838259.531406</v>
      </c>
      <c r="AV6" s="2694">
        <v>0</v>
      </c>
      <c r="AW6" s="2728"/>
      <c r="AX6" s="2729"/>
      <c r="AY6" s="2694"/>
      <c r="AZ6" s="2694"/>
      <c r="BA6" s="2694"/>
      <c r="BB6" s="2694"/>
      <c r="BC6" s="2694"/>
      <c r="BD6" s="2694"/>
      <c r="BE6" s="2694"/>
      <c r="BF6" s="2694"/>
      <c r="BG6" s="2694"/>
      <c r="BI6" s="2730"/>
      <c r="BJ6" s="2730"/>
    </row>
    <row r="7" spans="1:62" ht="17.25">
      <c r="A7" s="2731" t="s">
        <v>4006</v>
      </c>
      <c r="B7" s="2732"/>
      <c r="C7" s="2733"/>
      <c r="D7" s="2734"/>
      <c r="E7" s="2734"/>
      <c r="F7" s="2735">
        <f>SUM(F13,F18:F25,F30,F58,F67,F70,F73,F79,F83,F88:F92,F94,F96,F107,F131,F135,F147,F149,F152,F153:F154,F157,F160,F162:F170,F172,F182,F190:F191,F193:F196,F198:F199,F201,F211,F225,F251,F258,F261,F263:F271,F276:F279,F290,F292,F302,F322,F329:F329,F330:F331,F335)</f>
        <v>3624616186</v>
      </c>
      <c r="G7" s="2735">
        <f>SUM(G13,G18:G25,G29,G96,G107,G131,G135,G147,G149,G152,G153:G154,G160,G161,G172,G182,G190,G191,G193,G195,G196,G198,G199,G201,G211,G225,G251,G258,G261,G263:G271,G276:G279,G290,G292,G302,G322,G329:G329,G330:G331,G335)</f>
        <v>3654842709.3014355</v>
      </c>
      <c r="H7" s="2735">
        <f t="shared" ref="H7:AU7" ca="1" si="6">SUM(H13,H18:H25,H96,H107,H131,H135,H147,H149,H152,H153:H154,H160,H161,H172,H182,H190,H191,H193,H195,H196,H198,H199,H201,H211,H225,H251,H258,H261,H263:H271,H276:H279,H290,H292,H302,H322,H329:H329,H330:H331,H335)</f>
        <v>2597598023.9239092</v>
      </c>
      <c r="I7" s="2735">
        <f t="shared" ca="1" si="6"/>
        <v>2511175336.9769773</v>
      </c>
      <c r="J7" s="2735">
        <f t="shared" ca="1" si="6"/>
        <v>2580526481.2250943</v>
      </c>
      <c r="K7" s="2735">
        <f t="shared" ca="1" si="6"/>
        <v>2595244591.2458086</v>
      </c>
      <c r="L7" s="2735">
        <f t="shared" ca="1" si="6"/>
        <v>2730297632.0907364</v>
      </c>
      <c r="M7" s="2735">
        <f ca="1">SUM(M13,M18:M25,M96,M107,M131,M135,M147,M149,M152,M153:M154,M160,M161,M172,M182,M190,M191,M193,M195,M196,M198,M199,M201,M211,M225,M251,M258,M261,M263:M271,M276:M279,M290,M292,M302,M322,M329:M329,M330:M331,M335)</f>
        <v>2688830926.2083592</v>
      </c>
      <c r="N7" s="2735">
        <f t="shared" ca="1" si="6"/>
        <v>2790800488.0077496</v>
      </c>
      <c r="O7" s="2735">
        <f t="shared" ca="1" si="6"/>
        <v>2813343157.28614</v>
      </c>
      <c r="P7" s="2735">
        <f t="shared" ca="1" si="6"/>
        <v>2881888617.9704332</v>
      </c>
      <c r="Q7" s="2735">
        <f t="shared" ca="1" si="6"/>
        <v>2986729009.7141967</v>
      </c>
      <c r="R7" s="2735">
        <f t="shared" ca="1" si="6"/>
        <v>2939919979.2441692</v>
      </c>
      <c r="S7" s="2735">
        <f t="shared" ca="1" si="6"/>
        <v>2875483284.3438444</v>
      </c>
      <c r="T7" s="2735">
        <f t="shared" ca="1" si="6"/>
        <v>2931618891.3758764</v>
      </c>
      <c r="U7" s="2735">
        <f t="shared" ca="1" si="6"/>
        <v>2911209019.8701243</v>
      </c>
      <c r="V7" s="2735">
        <f t="shared" ca="1" si="6"/>
        <v>3043990695.8382082</v>
      </c>
      <c r="W7" s="2735">
        <f t="shared" ca="1" si="6"/>
        <v>3100055857.6106887</v>
      </c>
      <c r="X7" s="2735">
        <f t="shared" ca="1" si="6"/>
        <v>3174311406.2069182</v>
      </c>
      <c r="Y7" s="2735">
        <f ca="1">SUM(Y13,Y18:Y25,Y96,Y107,Y131,Y135,Y147,Y149,Y152,Y153:Y154,Y160,Y161,Y172,Y182,Y190,Y191,Y193,Y195,Y196,Y198,Y199,Y201,Y211,Y225,Y251,Y258,Y261,Y263:Y271,Y276:Y279,Y290,Y292,Y302,Y322,Y329:Y329,Y330:Y331,Y335)</f>
        <v>3153201003.0529895</v>
      </c>
      <c r="Z7" s="2735">
        <f t="shared" ca="1" si="6"/>
        <v>3156621956.5010653</v>
      </c>
      <c r="AA7" s="2735">
        <f t="shared" ca="1" si="6"/>
        <v>3243438971.0757432</v>
      </c>
      <c r="AB7" s="2735">
        <f t="shared" ca="1" si="6"/>
        <v>3208778999.1655512</v>
      </c>
      <c r="AC7" s="2735">
        <f t="shared" ca="1" si="6"/>
        <v>3248599903.319232</v>
      </c>
      <c r="AD7" s="2735">
        <f t="shared" ca="1" si="6"/>
        <v>3354490170.6588616</v>
      </c>
      <c r="AE7" s="2735">
        <f t="shared" ca="1" si="6"/>
        <v>3349624606.5131397</v>
      </c>
      <c r="AF7" s="2735">
        <f t="shared" ca="1" si="6"/>
        <v>3576725285.4767928</v>
      </c>
      <c r="AG7" s="2735">
        <f t="shared" ca="1" si="6"/>
        <v>3528146216.7086749</v>
      </c>
      <c r="AH7" s="2735">
        <f t="shared" ca="1" si="6"/>
        <v>3620021172.0444427</v>
      </c>
      <c r="AI7" s="2735">
        <f t="shared" ca="1" si="6"/>
        <v>3754573667.1677704</v>
      </c>
      <c r="AJ7" s="2735">
        <f t="shared" ca="1" si="6"/>
        <v>3904101184.7054043</v>
      </c>
      <c r="AK7" s="2735">
        <f t="shared" ca="1" si="6"/>
        <v>3823965071.705513</v>
      </c>
      <c r="AL7" s="2735">
        <f t="shared" ca="1" si="6"/>
        <v>3800405323.7512088</v>
      </c>
      <c r="AM7" s="2735">
        <f t="shared" ca="1" si="6"/>
        <v>3871716309.4596362</v>
      </c>
      <c r="AN7" s="2735">
        <f t="shared" ca="1" si="6"/>
        <v>3992950419.3127069</v>
      </c>
      <c r="AO7" s="2735">
        <f t="shared" ca="1" si="6"/>
        <v>4051240374.7555881</v>
      </c>
      <c r="AP7" s="2735">
        <f t="shared" ca="1" si="6"/>
        <v>4166425204.8630447</v>
      </c>
      <c r="AQ7" s="2735">
        <f t="shared" ca="1" si="6"/>
        <v>4121123953.3430195</v>
      </c>
      <c r="AR7" s="2735">
        <f t="shared" ca="1" si="6"/>
        <v>4350803467.8080091</v>
      </c>
      <c r="AS7" s="2735">
        <f t="shared" ca="1" si="6"/>
        <v>4347085615.4817715</v>
      </c>
      <c r="AT7" s="2735">
        <f t="shared" ca="1" si="6"/>
        <v>4403003735.3939161</v>
      </c>
      <c r="AU7" s="2735">
        <f t="shared" ca="1" si="6"/>
        <v>4504784326.7773352</v>
      </c>
      <c r="AV7" s="2694">
        <v>0</v>
      </c>
      <c r="AW7" s="2728"/>
      <c r="AX7" s="2729"/>
      <c r="AY7" s="2694"/>
      <c r="AZ7" s="2694"/>
      <c r="BA7" s="2694"/>
      <c r="BB7" s="2694"/>
      <c r="BC7" s="2694"/>
      <c r="BD7" s="2694"/>
      <c r="BE7" s="2694"/>
      <c r="BF7" s="2694"/>
      <c r="BG7" s="2694"/>
      <c r="BI7" s="2730"/>
      <c r="BJ7" s="2730"/>
    </row>
    <row r="8" spans="1:62" ht="17.25">
      <c r="A8" s="2731" t="s">
        <v>4007</v>
      </c>
      <c r="B8" s="2732"/>
      <c r="C8" s="2733"/>
      <c r="D8" s="2734"/>
      <c r="E8" s="2734"/>
      <c r="F8" s="2735">
        <f>F6-F7</f>
        <v>6833453876</v>
      </c>
      <c r="G8" s="2735">
        <f>G6-G7</f>
        <v>7056766790.3223152</v>
      </c>
      <c r="H8" s="2735">
        <f t="shared" ref="H8:AU8" ca="1" si="7">H6-H7</f>
        <v>7831508790.3899717</v>
      </c>
      <c r="I8" s="2735">
        <f t="shared" ca="1" si="7"/>
        <v>7162256817.9788828</v>
      </c>
      <c r="J8" s="2735">
        <f t="shared" ca="1" si="7"/>
        <v>7306627007.5700378</v>
      </c>
      <c r="K8" s="2735">
        <f t="shared" ca="1" si="7"/>
        <v>7568119996.7300406</v>
      </c>
      <c r="L8" s="2735">
        <f t="shared" ca="1" si="7"/>
        <v>7952351664.8286324</v>
      </c>
      <c r="M8" s="2735">
        <f ca="1">M6-M7</f>
        <v>8122991620.8628139</v>
      </c>
      <c r="N8" s="2735">
        <f t="shared" ca="1" si="7"/>
        <v>8313250020.4991856</v>
      </c>
      <c r="O8" s="2735">
        <f t="shared" ca="1" si="7"/>
        <v>8628755291.2865372</v>
      </c>
      <c r="P8" s="2735">
        <f t="shared" ca="1" si="7"/>
        <v>8815412753.8822136</v>
      </c>
      <c r="Q8" s="2735">
        <f t="shared" ca="1" si="7"/>
        <v>9021145698.9272614</v>
      </c>
      <c r="R8" s="2735">
        <f t="shared" ca="1" si="7"/>
        <v>9209120945.3160706</v>
      </c>
      <c r="S8" s="2735">
        <f t="shared" ca="1" si="7"/>
        <v>9475196022.0404053</v>
      </c>
      <c r="T8" s="2735">
        <f t="shared" ca="1" si="7"/>
        <v>9859719109.7000237</v>
      </c>
      <c r="U8" s="2735">
        <f t="shared" ca="1" si="7"/>
        <v>10510424044.666538</v>
      </c>
      <c r="V8" s="2735">
        <f t="shared" ca="1" si="7"/>
        <v>10707655778.847973</v>
      </c>
      <c r="W8" s="2735">
        <f t="shared" ca="1" si="7"/>
        <v>10949163441.542177</v>
      </c>
      <c r="X8" s="2735">
        <f t="shared" ca="1" si="7"/>
        <v>11146958166.601229</v>
      </c>
      <c r="Y8" s="2735">
        <f t="shared" ca="1" si="7"/>
        <v>11351467491.070257</v>
      </c>
      <c r="Z8" s="2735">
        <f t="shared" ca="1" si="7"/>
        <v>11610270378.951515</v>
      </c>
      <c r="AA8" s="2735">
        <f t="shared" ca="1" si="7"/>
        <v>11823426797.49609</v>
      </c>
      <c r="AB8" s="2735">
        <f t="shared" ca="1" si="7"/>
        <v>12174213434.016064</v>
      </c>
      <c r="AC8" s="2735">
        <f t="shared" ca="1" si="7"/>
        <v>12424055836.222454</v>
      </c>
      <c r="AD8" s="2735">
        <f t="shared" ca="1" si="7"/>
        <v>12649877949.262821</v>
      </c>
      <c r="AE8" s="2735">
        <f t="shared" ca="1" si="7"/>
        <v>12599808541.181295</v>
      </c>
      <c r="AF8" s="2735">
        <f t="shared" ca="1" si="7"/>
        <v>12864181290.30195</v>
      </c>
      <c r="AG8" s="2735">
        <f t="shared" ca="1" si="7"/>
        <v>13129352108.18293</v>
      </c>
      <c r="AH8" s="2735">
        <f t="shared" ca="1" si="7"/>
        <v>13377221668.471243</v>
      </c>
      <c r="AI8" s="2735">
        <f t="shared" ca="1" si="7"/>
        <v>13653780167.291943</v>
      </c>
      <c r="AJ8" s="2735">
        <f t="shared" ca="1" si="7"/>
        <v>13818747677.994791</v>
      </c>
      <c r="AK8" s="2735">
        <f t="shared" ca="1" si="7"/>
        <v>14084819173.905632</v>
      </c>
      <c r="AL8" s="2735">
        <f t="shared" ca="1" si="7"/>
        <v>15176940585.169788</v>
      </c>
      <c r="AM8" s="2735">
        <f t="shared" ca="1" si="7"/>
        <v>15464781317.623985</v>
      </c>
      <c r="AN8" s="2735">
        <f t="shared" ca="1" si="7"/>
        <v>15765862565.228123</v>
      </c>
      <c r="AO8" s="2735">
        <f t="shared" ca="1" si="7"/>
        <v>16125223071.24654</v>
      </c>
      <c r="AP8" s="2735">
        <f t="shared" ca="1" si="7"/>
        <v>16439010225.306152</v>
      </c>
      <c r="AQ8" s="2735">
        <f t="shared" ca="1" si="7"/>
        <v>16788029086.618902</v>
      </c>
      <c r="AR8" s="2735">
        <f t="shared" ca="1" si="7"/>
        <v>17137452790.51292</v>
      </c>
      <c r="AS8" s="2735">
        <f t="shared" ca="1" si="7"/>
        <v>17465217129.560402</v>
      </c>
      <c r="AT8" s="2735">
        <f t="shared" ca="1" si="7"/>
        <v>17699413133.920933</v>
      </c>
      <c r="AU8" s="2735">
        <f t="shared" ca="1" si="7"/>
        <v>18067053932.75407</v>
      </c>
      <c r="AV8" s="2694">
        <v>0</v>
      </c>
      <c r="AW8" s="2728"/>
      <c r="AX8" s="2729"/>
      <c r="AY8" s="2694"/>
      <c r="AZ8" s="2694"/>
      <c r="BA8" s="2694"/>
      <c r="BB8" s="2694"/>
      <c r="BC8" s="2694"/>
      <c r="BD8" s="2694"/>
      <c r="BE8" s="2694"/>
      <c r="BF8" s="2694"/>
      <c r="BG8" s="2694"/>
      <c r="BI8" s="2730"/>
      <c r="BJ8" s="2730"/>
    </row>
    <row r="9" spans="1:62" ht="17.25">
      <c r="A9" s="2736" t="s">
        <v>4008</v>
      </c>
      <c r="B9" s="2737" t="s">
        <v>4009</v>
      </c>
      <c r="C9" s="2738"/>
      <c r="D9" s="2739"/>
      <c r="E9" s="2739">
        <f ca="1">SUM(G9:AU9)</f>
        <v>87762242603.742355</v>
      </c>
      <c r="F9" s="2740">
        <f t="shared" ref="F9:AU9" si="8">SUM(F12,F96,F211,F292)</f>
        <v>2260772829</v>
      </c>
      <c r="G9" s="2741">
        <f t="shared" si="8"/>
        <v>2102222297.3014355</v>
      </c>
      <c r="H9" s="2741">
        <f t="shared" ca="1" si="8"/>
        <v>1468152496.3108058</v>
      </c>
      <c r="I9" s="2741">
        <f t="shared" ca="1" si="8"/>
        <v>1479460571.4796576</v>
      </c>
      <c r="J9" s="2741">
        <f t="shared" ca="1" si="8"/>
        <v>1517500892.6060338</v>
      </c>
      <c r="K9" s="2741">
        <f t="shared" ca="1" si="8"/>
        <v>1608778975.2850492</v>
      </c>
      <c r="L9" s="2741">
        <f t="shared" ca="1" si="8"/>
        <v>1628030959.6420584</v>
      </c>
      <c r="M9" s="2741">
        <f t="shared" ca="1" si="8"/>
        <v>1662857545.985934</v>
      </c>
      <c r="N9" s="2741">
        <f t="shared" ca="1" si="8"/>
        <v>1734660928.719456</v>
      </c>
      <c r="O9" s="2741">
        <f t="shared" ca="1" si="8"/>
        <v>1760993246.4254379</v>
      </c>
      <c r="P9" s="2741">
        <f t="shared" ca="1" si="8"/>
        <v>1768951867.6914663</v>
      </c>
      <c r="Q9" s="2741">
        <f t="shared" ca="1" si="8"/>
        <v>1855123061.6838682</v>
      </c>
      <c r="R9" s="2741">
        <f t="shared" ca="1" si="8"/>
        <v>1823531650.5958648</v>
      </c>
      <c r="S9" s="2741">
        <f t="shared" ca="1" si="8"/>
        <v>1769497611.6327603</v>
      </c>
      <c r="T9" s="2741">
        <f t="shared" ca="1" si="8"/>
        <v>1865401652.3765008</v>
      </c>
      <c r="U9" s="2741">
        <f t="shared" ca="1" si="8"/>
        <v>1874247477.3606007</v>
      </c>
      <c r="V9" s="2741">
        <f t="shared" ca="1" si="8"/>
        <v>1914950558.3804154</v>
      </c>
      <c r="W9" s="2741">
        <f t="shared" ca="1" si="8"/>
        <v>2040140255.8126609</v>
      </c>
      <c r="X9" s="2741">
        <f t="shared" ca="1" si="8"/>
        <v>2049566485.3313243</v>
      </c>
      <c r="Y9" s="2741">
        <f t="shared" ca="1" si="8"/>
        <v>2059194749.6352487</v>
      </c>
      <c r="Z9" s="2741">
        <f t="shared" ca="1" si="8"/>
        <v>2040265780.9103968</v>
      </c>
      <c r="AA9" s="2741">
        <f t="shared" ca="1" si="8"/>
        <v>2080781904.3961833</v>
      </c>
      <c r="AB9" s="2741">
        <f t="shared" ca="1" si="8"/>
        <v>2132622688.2590077</v>
      </c>
      <c r="AC9" s="2741">
        <f t="shared" ca="1" si="8"/>
        <v>2224103584.446722</v>
      </c>
      <c r="AD9" s="2741">
        <f t="shared" ca="1" si="8"/>
        <v>2284801189.2674155</v>
      </c>
      <c r="AE9" s="2741">
        <f t="shared" ca="1" si="8"/>
        <v>2178594436.0515776</v>
      </c>
      <c r="AF9" s="2741">
        <f t="shared" ca="1" si="8"/>
        <v>2296303771.5085506</v>
      </c>
      <c r="AG9" s="2741">
        <f t="shared" ca="1" si="8"/>
        <v>2332562407.1656833</v>
      </c>
      <c r="AH9" s="2741">
        <f t="shared" ca="1" si="8"/>
        <v>2377815261.8087201</v>
      </c>
      <c r="AI9" s="2741">
        <f t="shared" ca="1" si="8"/>
        <v>2534780370.2604203</v>
      </c>
      <c r="AJ9" s="2741">
        <f t="shared" ca="1" si="8"/>
        <v>2488710331.6833401</v>
      </c>
      <c r="AK9" s="2741">
        <f t="shared" ca="1" si="8"/>
        <v>2397341638.6803484</v>
      </c>
      <c r="AL9" s="2741">
        <f t="shared" ca="1" si="8"/>
        <v>2390142383.8184595</v>
      </c>
      <c r="AM9" s="2741">
        <f t="shared" ca="1" si="8"/>
        <v>2467544174.243567</v>
      </c>
      <c r="AN9" s="2741">
        <f t="shared" ca="1" si="8"/>
        <v>2509732776.1126132</v>
      </c>
      <c r="AO9" s="2741">
        <f t="shared" ca="1" si="8"/>
        <v>2616037286.2639461</v>
      </c>
      <c r="AP9" s="2741">
        <f t="shared" ca="1" si="8"/>
        <v>2629870694.9315791</v>
      </c>
      <c r="AQ9" s="2741">
        <f t="shared" ca="1" si="8"/>
        <v>2644003771.9750047</v>
      </c>
      <c r="AR9" s="2741">
        <f t="shared" ca="1" si="8"/>
        <v>2800932290.4327407</v>
      </c>
      <c r="AS9" s="2741">
        <f t="shared" ca="1" si="8"/>
        <v>2836101500.671268</v>
      </c>
      <c r="AT9" s="2741">
        <f t="shared" ca="1" si="8"/>
        <v>2701239957.0923476</v>
      </c>
      <c r="AU9" s="2741">
        <f t="shared" ca="1" si="8"/>
        <v>2814691119.5058799</v>
      </c>
      <c r="AV9" s="2694">
        <v>0</v>
      </c>
      <c r="AW9" s="2742"/>
      <c r="AX9" s="2743"/>
      <c r="AY9" s="2694"/>
      <c r="AZ9" s="2694"/>
      <c r="BA9" s="2694"/>
      <c r="BB9" s="2694"/>
      <c r="BC9" s="2694"/>
      <c r="BD9" s="2694"/>
      <c r="BE9" s="2694"/>
      <c r="BF9" s="2694"/>
      <c r="BG9" s="2694"/>
      <c r="BI9" s="2730"/>
      <c r="BJ9" s="2730"/>
    </row>
    <row r="10" spans="1:62" ht="18" thickBot="1">
      <c r="A10" s="2744" t="s">
        <v>4010</v>
      </c>
      <c r="B10" s="2737"/>
      <c r="C10" s="2738"/>
      <c r="D10" s="2739"/>
      <c r="E10" s="2739">
        <f ca="1">SUM(G10:AU10)</f>
        <v>541905080758.02271</v>
      </c>
      <c r="F10" s="2740">
        <f t="shared" ref="F10:AU10" si="9">SUM(F29,F106,F224,F301)</f>
        <v>8197297233</v>
      </c>
      <c r="G10" s="2741">
        <f t="shared" si="9"/>
        <v>8609387202.3223152</v>
      </c>
      <c r="H10" s="2741">
        <f t="shared" ca="1" si="9"/>
        <v>8960954318.0030746</v>
      </c>
      <c r="I10" s="2741">
        <f t="shared" ca="1" si="9"/>
        <v>8193971583.476203</v>
      </c>
      <c r="J10" s="2741">
        <f t="shared" ca="1" si="9"/>
        <v>8369652596.1890984</v>
      </c>
      <c r="K10" s="2741">
        <f t="shared" ca="1" si="9"/>
        <v>8554585612.6907997</v>
      </c>
      <c r="L10" s="2741">
        <f t="shared" ca="1" si="9"/>
        <v>9054618337.2773094</v>
      </c>
      <c r="M10" s="2741">
        <f t="shared" ca="1" si="9"/>
        <v>9148965001.0852394</v>
      </c>
      <c r="N10" s="2741">
        <f t="shared" ca="1" si="9"/>
        <v>9369389579.7874794</v>
      </c>
      <c r="O10" s="2741">
        <f t="shared" ca="1" si="9"/>
        <v>9681105202.1472397</v>
      </c>
      <c r="P10" s="2741">
        <f t="shared" ca="1" si="9"/>
        <v>9928349504.1611786</v>
      </c>
      <c r="Q10" s="2741">
        <f t="shared" ca="1" si="9"/>
        <v>10152751646.95759</v>
      </c>
      <c r="R10" s="2741">
        <f t="shared" ca="1" si="9"/>
        <v>10325509273.964375</v>
      </c>
      <c r="S10" s="2741">
        <f t="shared" ca="1" si="9"/>
        <v>10581181694.751488</v>
      </c>
      <c r="T10" s="2741">
        <f t="shared" ca="1" si="9"/>
        <v>10925936348.6994</v>
      </c>
      <c r="U10" s="2741">
        <f t="shared" ca="1" si="9"/>
        <v>11547385587.176062</v>
      </c>
      <c r="V10" s="2741">
        <f t="shared" ca="1" si="9"/>
        <v>11836695916.305767</v>
      </c>
      <c r="W10" s="2741">
        <f t="shared" ca="1" si="9"/>
        <v>12009079043.340206</v>
      </c>
      <c r="X10" s="2741">
        <f t="shared" ca="1" si="9"/>
        <v>12271703087.476824</v>
      </c>
      <c r="Y10" s="2741">
        <f t="shared" ca="1" si="9"/>
        <v>12445473744.487999</v>
      </c>
      <c r="Z10" s="2741">
        <f t="shared" ca="1" si="9"/>
        <v>12726626554.542183</v>
      </c>
      <c r="AA10" s="2741">
        <f t="shared" ca="1" si="9"/>
        <v>12986083864.17565</v>
      </c>
      <c r="AB10" s="2741">
        <f t="shared" ca="1" si="9"/>
        <v>13250369744.922606</v>
      </c>
      <c r="AC10" s="2741">
        <f t="shared" ca="1" si="9"/>
        <v>13448552155.094963</v>
      </c>
      <c r="AD10" s="2741">
        <f t="shared" ca="1" si="9"/>
        <v>13719566930.654266</v>
      </c>
      <c r="AE10" s="2741">
        <f t="shared" ca="1" si="9"/>
        <v>13770838711.642857</v>
      </c>
      <c r="AF10" s="2741">
        <f t="shared" ca="1" si="9"/>
        <v>14144602804.270193</v>
      </c>
      <c r="AG10" s="2741">
        <f t="shared" ca="1" si="9"/>
        <v>14324935917.725922</v>
      </c>
      <c r="AH10" s="2741">
        <f t="shared" ca="1" si="9"/>
        <v>14619427578.706966</v>
      </c>
      <c r="AI10" s="2741">
        <f t="shared" ca="1" si="9"/>
        <v>14873573464.199291</v>
      </c>
      <c r="AJ10" s="2741">
        <f t="shared" ca="1" si="9"/>
        <v>15234138531.016853</v>
      </c>
      <c r="AK10" s="2741">
        <f t="shared" ca="1" si="9"/>
        <v>15511442606.930798</v>
      </c>
      <c r="AL10" s="2741">
        <f t="shared" ca="1" si="9"/>
        <v>16587203525.102539</v>
      </c>
      <c r="AM10" s="2741">
        <f t="shared" ca="1" si="9"/>
        <v>16868953452.840054</v>
      </c>
      <c r="AN10" s="2741">
        <f t="shared" ca="1" si="9"/>
        <v>17249080208.428215</v>
      </c>
      <c r="AO10" s="2741">
        <f t="shared" ca="1" si="9"/>
        <v>17560426159.738182</v>
      </c>
      <c r="AP10" s="2741">
        <f t="shared" ca="1" si="9"/>
        <v>17975564735.237617</v>
      </c>
      <c r="AQ10" s="2741">
        <f t="shared" ca="1" si="9"/>
        <v>18265149267.986916</v>
      </c>
      <c r="AR10" s="2741">
        <f t="shared" ca="1" si="9"/>
        <v>18687323967.888191</v>
      </c>
      <c r="AS10" s="2741">
        <f t="shared" ca="1" si="9"/>
        <v>18976201244.370907</v>
      </c>
      <c r="AT10" s="2741">
        <f t="shared" ca="1" si="9"/>
        <v>19401176912.222504</v>
      </c>
      <c r="AU10" s="2741">
        <f t="shared" ca="1" si="9"/>
        <v>19757147140.025528</v>
      </c>
      <c r="AV10" s="2694">
        <v>0</v>
      </c>
      <c r="AW10" s="2742"/>
      <c r="AX10" s="2743"/>
      <c r="AY10" s="2694"/>
      <c r="AZ10" s="2694"/>
      <c r="BA10" s="2694"/>
      <c r="BB10" s="2694"/>
      <c r="BC10" s="2694"/>
      <c r="BD10" s="2694"/>
      <c r="BE10" s="2694"/>
      <c r="BF10" s="2694"/>
      <c r="BG10" s="2694"/>
      <c r="BI10" s="2730"/>
      <c r="BJ10" s="2730"/>
    </row>
    <row r="11" spans="1:62" ht="18" thickTop="1">
      <c r="A11" s="2745" t="s">
        <v>4011</v>
      </c>
      <c r="B11" s="2746"/>
      <c r="C11" s="2747"/>
      <c r="D11" s="2748"/>
      <c r="E11" s="2748"/>
      <c r="F11" s="2749">
        <f>F12+F29</f>
        <v>757694204</v>
      </c>
      <c r="G11" s="2750">
        <f t="shared" ref="G11:AU11" si="10">G12+G29</f>
        <v>669913031</v>
      </c>
      <c r="H11" s="2750">
        <f t="shared" ca="1" si="10"/>
        <v>1019818833.8132596</v>
      </c>
      <c r="I11" s="2750">
        <f t="shared" ca="1" si="10"/>
        <v>1029954681.5793134</v>
      </c>
      <c r="J11" s="2750">
        <f t="shared" ca="1" si="10"/>
        <v>1047630432.9322523</v>
      </c>
      <c r="K11" s="2750">
        <f t="shared" ca="1" si="10"/>
        <v>1091764561.0310173</v>
      </c>
      <c r="L11" s="2750">
        <f t="shared" ca="1" si="10"/>
        <v>1097061419.4335184</v>
      </c>
      <c r="M11" s="2750">
        <f t="shared" ca="1" si="10"/>
        <v>1122070829.9954348</v>
      </c>
      <c r="N11" s="2750">
        <f t="shared" ca="1" si="10"/>
        <v>1160412623.8616776</v>
      </c>
      <c r="O11" s="2750">
        <f t="shared" ca="1" si="10"/>
        <v>1175832890.6756644</v>
      </c>
      <c r="P11" s="2750">
        <f t="shared" ca="1" si="10"/>
        <v>1181393623.4044461</v>
      </c>
      <c r="Q11" s="2750">
        <f t="shared" ca="1" si="10"/>
        <v>1221451692.3992767</v>
      </c>
      <c r="R11" s="2750">
        <f t="shared" ca="1" si="10"/>
        <v>1239467334.6497893</v>
      </c>
      <c r="S11" s="2750">
        <f t="shared" ca="1" si="10"/>
        <v>1240939924.0733666</v>
      </c>
      <c r="T11" s="2750">
        <f t="shared" ca="1" si="10"/>
        <v>1293838386.9122219</v>
      </c>
      <c r="U11" s="2750">
        <f t="shared" ca="1" si="10"/>
        <v>1299427722.6455915</v>
      </c>
      <c r="V11" s="2750">
        <f t="shared" ca="1" si="10"/>
        <v>1305839631.4942336</v>
      </c>
      <c r="W11" s="2750">
        <f t="shared" ca="1" si="10"/>
        <v>1361352992.8043947</v>
      </c>
      <c r="X11" s="2750">
        <f t="shared" ca="1" si="10"/>
        <v>1366961725.595582</v>
      </c>
      <c r="Y11" s="2750">
        <f t="shared" ca="1" si="10"/>
        <v>1372576545.7146811</v>
      </c>
      <c r="Z11" s="2750">
        <f t="shared" ca="1" si="10"/>
        <v>1417597929.044085</v>
      </c>
      <c r="AA11" s="2750">
        <f t="shared" ca="1" si="10"/>
        <v>1423529810.5528531</v>
      </c>
      <c r="AB11" s="2750">
        <f t="shared" ca="1" si="10"/>
        <v>1441010360.7198966</v>
      </c>
      <c r="AC11" s="2750">
        <f t="shared" ca="1" si="10"/>
        <v>1490943155.2082703</v>
      </c>
      <c r="AD11" s="2750">
        <f t="shared" ca="1" si="10"/>
        <v>1497589241.5207887</v>
      </c>
      <c r="AE11" s="2750">
        <f t="shared" ca="1" si="10"/>
        <v>1434704989.6836147</v>
      </c>
      <c r="AF11" s="2750">
        <f t="shared" ca="1" si="10"/>
        <v>1483767092.2341156</v>
      </c>
      <c r="AG11" s="2750">
        <f t="shared" ca="1" si="10"/>
        <v>1489679622.8712335</v>
      </c>
      <c r="AH11" s="2750">
        <f t="shared" ca="1" si="10"/>
        <v>1495346277.5238662</v>
      </c>
      <c r="AI11" s="2750">
        <f t="shared" ca="1" si="10"/>
        <v>1575287230.5040092</v>
      </c>
      <c r="AJ11" s="2750">
        <f t="shared" ca="1" si="10"/>
        <v>1506213326.6874976</v>
      </c>
      <c r="AK11" s="2750">
        <f t="shared" ca="1" si="10"/>
        <v>1510864628.4204798</v>
      </c>
      <c r="AL11" s="2750">
        <f t="shared" ca="1" si="10"/>
        <v>1561300652.6524339</v>
      </c>
      <c r="AM11" s="2750">
        <f t="shared" ca="1" si="10"/>
        <v>1586703845.6856933</v>
      </c>
      <c r="AN11" s="2750">
        <f t="shared" ca="1" si="10"/>
        <v>1622477998.3317723</v>
      </c>
      <c r="AO11" s="2750">
        <f t="shared" ca="1" si="10"/>
        <v>1678225198.8583491</v>
      </c>
      <c r="AP11" s="2750">
        <f t="shared" ca="1" si="10"/>
        <v>1684449649.8827298</v>
      </c>
      <c r="AQ11" s="2750">
        <f t="shared" ca="1" si="10"/>
        <v>1690181345.4173541</v>
      </c>
      <c r="AR11" s="2750">
        <f t="shared" ca="1" si="10"/>
        <v>1764630269.5049453</v>
      </c>
      <c r="AS11" s="2750">
        <f t="shared" ca="1" si="10"/>
        <v>1791591711.089992</v>
      </c>
      <c r="AT11" s="2750">
        <f t="shared" ca="1" si="10"/>
        <v>1640553496.8970101</v>
      </c>
      <c r="AU11" s="2750">
        <f t="shared" ca="1" si="10"/>
        <v>1695539021.5457654</v>
      </c>
      <c r="AV11" s="2694">
        <v>0</v>
      </c>
      <c r="AW11" s="2751"/>
      <c r="AX11" s="2743"/>
      <c r="AY11" s="2694"/>
      <c r="AZ11" s="2694"/>
      <c r="BA11" s="2694"/>
      <c r="BB11" s="2694"/>
      <c r="BC11" s="2694"/>
      <c r="BD11" s="2694"/>
      <c r="BE11" s="2694"/>
      <c r="BF11" s="2694"/>
      <c r="BG11" s="2694"/>
      <c r="BI11" s="2730"/>
      <c r="BJ11" s="2730"/>
    </row>
    <row r="12" spans="1:62" ht="17.25">
      <c r="A12" s="2752" t="s">
        <v>4012</v>
      </c>
      <c r="B12" s="2753" t="s">
        <v>4013</v>
      </c>
      <c r="C12" s="2754"/>
      <c r="D12" s="2755">
        <v>1</v>
      </c>
      <c r="E12" s="2755"/>
      <c r="F12" s="2756">
        <f>F13+F16+F25</f>
        <v>486363922</v>
      </c>
      <c r="G12" s="2757">
        <f t="shared" ref="G12:AU12" si="11">G13+G16+G25</f>
        <v>395942353</v>
      </c>
      <c r="H12" s="2757">
        <f t="shared" si="11"/>
        <v>546516423.2572397</v>
      </c>
      <c r="I12" s="2757">
        <f t="shared" si="11"/>
        <v>550957330.42609131</v>
      </c>
      <c r="J12" s="2757">
        <f t="shared" si="11"/>
        <v>562326052.77835131</v>
      </c>
      <c r="K12" s="2757">
        <f t="shared" si="11"/>
        <v>599119450.1348846</v>
      </c>
      <c r="L12" s="2757">
        <f t="shared" si="11"/>
        <v>599119450.1348846</v>
      </c>
      <c r="M12" s="2757">
        <f t="shared" si="11"/>
        <v>617771260.24406123</v>
      </c>
      <c r="N12" s="2757">
        <f t="shared" si="11"/>
        <v>648632739.92293096</v>
      </c>
      <c r="O12" s="2757">
        <f t="shared" si="11"/>
        <v>657902689.54719162</v>
      </c>
      <c r="P12" s="2757">
        <f t="shared" si="11"/>
        <v>657902689.54719162</v>
      </c>
      <c r="Q12" s="2757">
        <f t="shared" si="11"/>
        <v>690770740.69121778</v>
      </c>
      <c r="R12" s="2757">
        <f t="shared" si="11"/>
        <v>703931457.90425289</v>
      </c>
      <c r="S12" s="2757">
        <f t="shared" si="11"/>
        <v>703931457.90425289</v>
      </c>
      <c r="T12" s="2757">
        <f t="shared" si="11"/>
        <v>749177121.58236229</v>
      </c>
      <c r="U12" s="2757">
        <f t="shared" si="11"/>
        <v>749177121.58236229</v>
      </c>
      <c r="V12" s="2757">
        <f t="shared" si="11"/>
        <v>749177121.58236229</v>
      </c>
      <c r="W12" s="2757">
        <f t="shared" si="11"/>
        <v>797340019.76193178</v>
      </c>
      <c r="X12" s="2757">
        <f t="shared" si="11"/>
        <v>797340019.76193178</v>
      </c>
      <c r="Y12" s="2757">
        <f t="shared" si="11"/>
        <v>797340019.76193178</v>
      </c>
      <c r="Z12" s="2757">
        <f t="shared" si="11"/>
        <v>837179937.41669512</v>
      </c>
      <c r="AA12" s="2757">
        <f t="shared" si="11"/>
        <v>837179937.41669512</v>
      </c>
      <c r="AB12" s="2757">
        <f t="shared" si="11"/>
        <v>848288919.37983859</v>
      </c>
      <c r="AC12" s="2757">
        <f t="shared" si="11"/>
        <v>890676282.01549721</v>
      </c>
      <c r="AD12" s="2757">
        <f t="shared" si="11"/>
        <v>890676282.01549721</v>
      </c>
      <c r="AE12" s="2757">
        <f t="shared" si="11"/>
        <v>826188641.7194494</v>
      </c>
      <c r="AF12" s="2757">
        <f t="shared" si="11"/>
        <v>867470990.47208846</v>
      </c>
      <c r="AG12" s="2757">
        <f t="shared" si="11"/>
        <v>867470990.47208846</v>
      </c>
      <c r="AH12" s="2757">
        <f t="shared" si="11"/>
        <v>867470990.47208846</v>
      </c>
      <c r="AI12" s="2757">
        <f t="shared" si="11"/>
        <v>938374675.0446825</v>
      </c>
      <c r="AJ12" s="2757">
        <f t="shared" si="11"/>
        <v>867277051.61828971</v>
      </c>
      <c r="AK12" s="2757">
        <f t="shared" si="11"/>
        <v>867277051.61828971</v>
      </c>
      <c r="AL12" s="2757">
        <f t="shared" si="11"/>
        <v>910613820.86587083</v>
      </c>
      <c r="AM12" s="2757">
        <f t="shared" si="11"/>
        <v>929132271.61879182</v>
      </c>
      <c r="AN12" s="2757">
        <f t="shared" si="11"/>
        <v>958067350.92023063</v>
      </c>
      <c r="AO12" s="2757">
        <f t="shared" si="11"/>
        <v>1005943635.1329091</v>
      </c>
      <c r="AP12" s="2757">
        <f t="shared" si="11"/>
        <v>1005943635.1329091</v>
      </c>
      <c r="AQ12" s="2757">
        <f t="shared" si="11"/>
        <v>1005943635.1329091</v>
      </c>
      <c r="AR12" s="2757">
        <f t="shared" si="11"/>
        <v>1071313504.689677</v>
      </c>
      <c r="AS12" s="2757">
        <f t="shared" si="11"/>
        <v>1091730096.6447725</v>
      </c>
      <c r="AT12" s="2757">
        <f t="shared" si="11"/>
        <v>941795749.47454119</v>
      </c>
      <c r="AU12" s="2757">
        <f t="shared" si="11"/>
        <v>988858453.61493504</v>
      </c>
      <c r="AV12" s="2694">
        <v>0</v>
      </c>
      <c r="AW12" s="2758"/>
      <c r="AX12" s="2759"/>
      <c r="AY12" s="2760"/>
      <c r="AZ12" s="2760"/>
      <c r="BA12" s="2760"/>
      <c r="BB12" s="2760"/>
      <c r="BC12" s="2760"/>
      <c r="BD12" s="2760"/>
      <c r="BE12" s="2760"/>
      <c r="BF12" s="2760"/>
      <c r="BG12" s="2760"/>
      <c r="BI12" s="2730"/>
      <c r="BJ12" s="2730"/>
    </row>
    <row r="13" spans="1:62" ht="17.25" outlineLevel="1">
      <c r="A13" s="2761" t="s">
        <v>4014</v>
      </c>
      <c r="B13" s="2762"/>
      <c r="C13" s="2763"/>
      <c r="D13" s="2764"/>
      <c r="E13" s="2764"/>
      <c r="F13" s="2765">
        <f>F14+F15</f>
        <v>147079200</v>
      </c>
      <c r="G13" s="2766">
        <f t="shared" ref="G13:AU13" si="12">G14+G15</f>
        <v>147079200</v>
      </c>
      <c r="H13" s="2766">
        <f t="shared" si="12"/>
        <v>257500000</v>
      </c>
      <c r="I13" s="2766">
        <f t="shared" si="12"/>
        <v>257500000</v>
      </c>
      <c r="J13" s="2766">
        <f t="shared" si="12"/>
        <v>257500000</v>
      </c>
      <c r="K13" s="2766">
        <f t="shared" si="12"/>
        <v>270375000</v>
      </c>
      <c r="L13" s="2766">
        <f t="shared" si="12"/>
        <v>270375000</v>
      </c>
      <c r="M13" s="2766">
        <f t="shared" si="12"/>
        <v>270375000</v>
      </c>
      <c r="N13" s="2766">
        <f t="shared" si="12"/>
        <v>283893750</v>
      </c>
      <c r="O13" s="2766">
        <f t="shared" si="12"/>
        <v>283893750</v>
      </c>
      <c r="P13" s="2766">
        <f t="shared" si="12"/>
        <v>283893750</v>
      </c>
      <c r="Q13" s="2766">
        <f t="shared" si="12"/>
        <v>298088437.5</v>
      </c>
      <c r="R13" s="2766">
        <f t="shared" si="12"/>
        <v>298088437.5</v>
      </c>
      <c r="S13" s="2766">
        <f t="shared" si="12"/>
        <v>298088437.5</v>
      </c>
      <c r="T13" s="2766">
        <f t="shared" si="12"/>
        <v>312992859.37500006</v>
      </c>
      <c r="U13" s="2766">
        <f t="shared" si="12"/>
        <v>312992859.37500006</v>
      </c>
      <c r="V13" s="2766">
        <f t="shared" si="12"/>
        <v>312992859.37500006</v>
      </c>
      <c r="W13" s="2766">
        <f t="shared" si="12"/>
        <v>328642502.34375006</v>
      </c>
      <c r="X13" s="2766">
        <f t="shared" si="12"/>
        <v>328642502.34375006</v>
      </c>
      <c r="Y13" s="2766">
        <f t="shared" si="12"/>
        <v>328642502.34375006</v>
      </c>
      <c r="Z13" s="2766">
        <f t="shared" si="12"/>
        <v>345074627.46093762</v>
      </c>
      <c r="AA13" s="2766">
        <f t="shared" si="12"/>
        <v>345074627.46093762</v>
      </c>
      <c r="AB13" s="2766">
        <f t="shared" si="12"/>
        <v>345074627.46093762</v>
      </c>
      <c r="AC13" s="2766">
        <f t="shared" si="12"/>
        <v>362328358.83398449</v>
      </c>
      <c r="AD13" s="2766">
        <f t="shared" si="12"/>
        <v>362328358.83398449</v>
      </c>
      <c r="AE13" s="2766">
        <f t="shared" si="12"/>
        <v>362328358.83398449</v>
      </c>
      <c r="AF13" s="2766">
        <f t="shared" si="12"/>
        <v>380444776.7756837</v>
      </c>
      <c r="AG13" s="2766">
        <f t="shared" si="12"/>
        <v>380444776.7756837</v>
      </c>
      <c r="AH13" s="2766">
        <f t="shared" si="12"/>
        <v>380444776.7756837</v>
      </c>
      <c r="AI13" s="2766">
        <f t="shared" si="12"/>
        <v>399467015.61446792</v>
      </c>
      <c r="AJ13" s="2766">
        <f t="shared" si="12"/>
        <v>399467015.61446792</v>
      </c>
      <c r="AK13" s="2766">
        <f t="shared" si="12"/>
        <v>399467015.61446792</v>
      </c>
      <c r="AL13" s="2766">
        <f t="shared" si="12"/>
        <v>419440366.39519131</v>
      </c>
      <c r="AM13" s="2766">
        <f t="shared" si="12"/>
        <v>419440366.39519131</v>
      </c>
      <c r="AN13" s="2766">
        <f t="shared" si="12"/>
        <v>419440366.39519131</v>
      </c>
      <c r="AO13" s="2766">
        <f t="shared" si="12"/>
        <v>440412384.71495098</v>
      </c>
      <c r="AP13" s="2766">
        <f t="shared" si="12"/>
        <v>440412384.71495098</v>
      </c>
      <c r="AQ13" s="2766">
        <f t="shared" si="12"/>
        <v>440412384.71495098</v>
      </c>
      <c r="AR13" s="2766">
        <f t="shared" si="12"/>
        <v>462433003.95069855</v>
      </c>
      <c r="AS13" s="2766">
        <f t="shared" si="12"/>
        <v>462433003.95069855</v>
      </c>
      <c r="AT13" s="2766">
        <f t="shared" si="12"/>
        <v>462433003.95069855</v>
      </c>
      <c r="AU13" s="2766">
        <f t="shared" si="12"/>
        <v>485554654.14823353</v>
      </c>
      <c r="AV13" s="2694">
        <v>0</v>
      </c>
      <c r="AW13" s="2758"/>
      <c r="AX13" s="2759"/>
      <c r="AY13" s="2760"/>
      <c r="AZ13" s="2760"/>
      <c r="BA13" s="2760"/>
      <c r="BB13" s="2760"/>
      <c r="BC13" s="2760"/>
      <c r="BD13" s="2760"/>
      <c r="BE13" s="2760"/>
      <c r="BF13" s="2760"/>
      <c r="BG13" s="2760"/>
      <c r="BI13" s="2730"/>
      <c r="BJ13" s="2730"/>
    </row>
    <row r="14" spans="1:62" ht="17.25" outlineLevel="1">
      <c r="A14" s="2767" t="s">
        <v>4015</v>
      </c>
      <c r="B14" s="2768"/>
      <c r="C14" s="2763"/>
      <c r="D14" s="2764"/>
      <c r="E14" s="2764"/>
      <c r="F14" s="2769">
        <v>147079200</v>
      </c>
      <c r="G14" s="2769">
        <v>147079200</v>
      </c>
      <c r="H14" s="2770">
        <f>인력계획!H75*1000000</f>
        <v>157500000</v>
      </c>
      <c r="I14" s="2770">
        <f>인력계획!I75*1000000</f>
        <v>157500000</v>
      </c>
      <c r="J14" s="2770">
        <f>인력계획!J75*1000000</f>
        <v>157500000</v>
      </c>
      <c r="K14" s="2770">
        <f>인력계획!K75*1000000</f>
        <v>165375000</v>
      </c>
      <c r="L14" s="2770">
        <f>인력계획!L75*1000000</f>
        <v>165375000</v>
      </c>
      <c r="M14" s="2770">
        <f>인력계획!M75*1000000</f>
        <v>165375000</v>
      </c>
      <c r="N14" s="2770">
        <f>인력계획!N75*1000000</f>
        <v>173643750</v>
      </c>
      <c r="O14" s="2770">
        <f>인력계획!O75*1000000</f>
        <v>173643750</v>
      </c>
      <c r="P14" s="2770">
        <f>인력계획!P75*1000000</f>
        <v>173643750</v>
      </c>
      <c r="Q14" s="2770">
        <f>인력계획!Q75*1000000</f>
        <v>182325937.5</v>
      </c>
      <c r="R14" s="2770">
        <f>인력계획!R75*1000000</f>
        <v>182325937.5</v>
      </c>
      <c r="S14" s="2770">
        <f>인력계획!S75*1000000</f>
        <v>182325937.5</v>
      </c>
      <c r="T14" s="2770">
        <f>인력계획!T75*1000000</f>
        <v>191442234.37500003</v>
      </c>
      <c r="U14" s="2770">
        <f>인력계획!U75*1000000</f>
        <v>191442234.37500003</v>
      </c>
      <c r="V14" s="2770">
        <f>인력계획!V75*1000000</f>
        <v>191442234.37500003</v>
      </c>
      <c r="W14" s="2770">
        <f>인력계획!W75*1000000</f>
        <v>201014346.09375006</v>
      </c>
      <c r="X14" s="2770">
        <f>인력계획!X75*1000000</f>
        <v>201014346.09375006</v>
      </c>
      <c r="Y14" s="2770">
        <f>인력계획!Y75*1000000</f>
        <v>201014346.09375006</v>
      </c>
      <c r="Z14" s="2770">
        <f>인력계획!Z75*1000000</f>
        <v>211065063.39843756</v>
      </c>
      <c r="AA14" s="2770">
        <f>인력계획!AA75*1000000</f>
        <v>211065063.39843756</v>
      </c>
      <c r="AB14" s="2770">
        <f>인력계획!AB75*1000000</f>
        <v>211065063.39843756</v>
      </c>
      <c r="AC14" s="2770">
        <f>인력계획!AC75*1000000</f>
        <v>221618316.56835943</v>
      </c>
      <c r="AD14" s="2770">
        <f>인력계획!AD75*1000000</f>
        <v>221618316.56835943</v>
      </c>
      <c r="AE14" s="2770">
        <f>인력계획!AE75*1000000</f>
        <v>221618316.56835943</v>
      </c>
      <c r="AF14" s="2770">
        <f>인력계획!AF75*1000000</f>
        <v>232699232.39677739</v>
      </c>
      <c r="AG14" s="2770">
        <f>인력계획!AG75*1000000</f>
        <v>232699232.39677739</v>
      </c>
      <c r="AH14" s="2770">
        <f>인력계획!AH75*1000000</f>
        <v>232699232.39677739</v>
      </c>
      <c r="AI14" s="2770">
        <f>인력계획!AI75*1000000</f>
        <v>244334194.01661628</v>
      </c>
      <c r="AJ14" s="2770">
        <f>인력계획!AJ75*1000000</f>
        <v>244334194.01661628</v>
      </c>
      <c r="AK14" s="2770">
        <f>인력계획!AK75*1000000</f>
        <v>244334194.01661628</v>
      </c>
      <c r="AL14" s="2770">
        <f>인력계획!AL75*1000000</f>
        <v>256550903.7174471</v>
      </c>
      <c r="AM14" s="2770">
        <f>인력계획!AM75*1000000</f>
        <v>256550903.7174471</v>
      </c>
      <c r="AN14" s="2770">
        <f>인력계획!AN75*1000000</f>
        <v>256550903.7174471</v>
      </c>
      <c r="AO14" s="2770">
        <f>인력계획!AO75*1000000</f>
        <v>269378448.90331954</v>
      </c>
      <c r="AP14" s="2770">
        <f>인력계획!AP75*1000000</f>
        <v>269378448.90331954</v>
      </c>
      <c r="AQ14" s="2770">
        <f>인력계획!AQ75*1000000</f>
        <v>269378448.90331954</v>
      </c>
      <c r="AR14" s="2770">
        <f>인력계획!AR75*1000000</f>
        <v>282847371.34848553</v>
      </c>
      <c r="AS14" s="2770">
        <f>인력계획!AS75*1000000</f>
        <v>282847371.34848553</v>
      </c>
      <c r="AT14" s="2770">
        <f>인력계획!AT75*1000000</f>
        <v>282847371.34848553</v>
      </c>
      <c r="AU14" s="2770">
        <f>인력계획!AU75*1000000</f>
        <v>296989739.91590983</v>
      </c>
      <c r="AV14" s="2694">
        <v>0</v>
      </c>
      <c r="AW14" s="2771"/>
      <c r="AX14" s="2759"/>
      <c r="AY14" s="2760"/>
      <c r="AZ14" s="2760"/>
      <c r="BA14" s="2760"/>
      <c r="BB14" s="2760"/>
      <c r="BC14" s="2760"/>
      <c r="BD14" s="2760"/>
      <c r="BE14" s="2760"/>
      <c r="BF14" s="2760"/>
      <c r="BG14" s="2760"/>
      <c r="BI14" s="2730"/>
      <c r="BJ14" s="2730"/>
    </row>
    <row r="15" spans="1:62" ht="17.25" outlineLevel="1">
      <c r="A15" s="2772" t="s">
        <v>4016</v>
      </c>
      <c r="B15" s="2768" t="s">
        <v>4017</v>
      </c>
      <c r="C15" s="2763"/>
      <c r="D15" s="2764"/>
      <c r="E15" s="2764"/>
      <c r="F15" s="2769"/>
      <c r="G15" s="2770"/>
      <c r="H15" s="2770">
        <f>인력계획!H76*1000000</f>
        <v>100000000</v>
      </c>
      <c r="I15" s="2770">
        <f>인력계획!I76*1000000</f>
        <v>100000000</v>
      </c>
      <c r="J15" s="2770">
        <f>인력계획!J76*1000000</f>
        <v>100000000</v>
      </c>
      <c r="K15" s="2770">
        <f>인력계획!K76*1000000</f>
        <v>105000000</v>
      </c>
      <c r="L15" s="2770">
        <f>인력계획!L76*1000000</f>
        <v>105000000</v>
      </c>
      <c r="M15" s="2770">
        <f>인력계획!M76*1000000</f>
        <v>105000000</v>
      </c>
      <c r="N15" s="2770">
        <f>인력계획!N76*1000000</f>
        <v>110250000</v>
      </c>
      <c r="O15" s="2770">
        <f>인력계획!O76*1000000</f>
        <v>110250000</v>
      </c>
      <c r="P15" s="2770">
        <f>인력계획!P76*1000000</f>
        <v>110250000</v>
      </c>
      <c r="Q15" s="2770">
        <f>인력계획!Q76*1000000</f>
        <v>115762500</v>
      </c>
      <c r="R15" s="2770">
        <f>인력계획!R76*1000000</f>
        <v>115762500</v>
      </c>
      <c r="S15" s="2770">
        <f>인력계획!S76*1000000</f>
        <v>115762500</v>
      </c>
      <c r="T15" s="2770">
        <f>인력계획!T76*1000000</f>
        <v>121550625.00000001</v>
      </c>
      <c r="U15" s="2770">
        <f>인력계획!U76*1000000</f>
        <v>121550625.00000001</v>
      </c>
      <c r="V15" s="2770">
        <f>인력계획!V76*1000000</f>
        <v>121550625.00000001</v>
      </c>
      <c r="W15" s="2770">
        <f>인력계획!W76*1000000</f>
        <v>127628156.25000001</v>
      </c>
      <c r="X15" s="2770">
        <f>인력계획!X76*1000000</f>
        <v>127628156.25000001</v>
      </c>
      <c r="Y15" s="2770">
        <f>인력계획!Y76*1000000</f>
        <v>127628156.25000001</v>
      </c>
      <c r="Z15" s="2770">
        <f>인력계획!Z76*1000000</f>
        <v>134009564.06250003</v>
      </c>
      <c r="AA15" s="2770">
        <f>인력계획!AA76*1000000</f>
        <v>134009564.06250003</v>
      </c>
      <c r="AB15" s="2770">
        <f>인력계획!AB76*1000000</f>
        <v>134009564.06250003</v>
      </c>
      <c r="AC15" s="2770">
        <f>인력계획!AC76*1000000</f>
        <v>140710042.26562506</v>
      </c>
      <c r="AD15" s="2770">
        <f>인력계획!AD76*1000000</f>
        <v>140710042.26562506</v>
      </c>
      <c r="AE15" s="2770">
        <f>인력계획!AE76*1000000</f>
        <v>140710042.26562506</v>
      </c>
      <c r="AF15" s="2770">
        <f>인력계획!AF76*1000000</f>
        <v>147745544.37890631</v>
      </c>
      <c r="AG15" s="2770">
        <f>인력계획!AG76*1000000</f>
        <v>147745544.37890631</v>
      </c>
      <c r="AH15" s="2770">
        <f>인력계획!AH76*1000000</f>
        <v>147745544.37890631</v>
      </c>
      <c r="AI15" s="2770">
        <f>인력계획!AI76*1000000</f>
        <v>155132821.59785163</v>
      </c>
      <c r="AJ15" s="2770">
        <f>인력계획!AJ76*1000000</f>
        <v>155132821.59785163</v>
      </c>
      <c r="AK15" s="2770">
        <f>인력계획!AK76*1000000</f>
        <v>155132821.59785163</v>
      </c>
      <c r="AL15" s="2770">
        <f>인력계획!AL76*1000000</f>
        <v>162889462.67774421</v>
      </c>
      <c r="AM15" s="2770">
        <f>인력계획!AM76*1000000</f>
        <v>162889462.67774421</v>
      </c>
      <c r="AN15" s="2770">
        <f>인력계획!AN76*1000000</f>
        <v>162889462.67774421</v>
      </c>
      <c r="AO15" s="2770">
        <f>인력계획!AO76*1000000</f>
        <v>171033935.81163144</v>
      </c>
      <c r="AP15" s="2770">
        <f>인력계획!AP76*1000000</f>
        <v>171033935.81163144</v>
      </c>
      <c r="AQ15" s="2770">
        <f>인력계획!AQ76*1000000</f>
        <v>171033935.81163144</v>
      </c>
      <c r="AR15" s="2770">
        <f>인력계획!AR76*1000000</f>
        <v>179585632.60221303</v>
      </c>
      <c r="AS15" s="2770">
        <f>인력계획!AS76*1000000</f>
        <v>179585632.60221303</v>
      </c>
      <c r="AT15" s="2770">
        <f>인력계획!AT76*1000000</f>
        <v>179585632.60221303</v>
      </c>
      <c r="AU15" s="2770">
        <f>인력계획!AU76*1000000</f>
        <v>188564914.23232368</v>
      </c>
      <c r="AV15" s="2694">
        <v>0</v>
      </c>
      <c r="AW15" s="2771"/>
      <c r="AX15" s="2759"/>
      <c r="AY15" s="2760"/>
      <c r="AZ15" s="2760"/>
      <c r="BA15" s="2760"/>
      <c r="BB15" s="2760"/>
      <c r="BC15" s="2760"/>
      <c r="BD15" s="2760"/>
      <c r="BE15" s="2760"/>
      <c r="BF15" s="2760"/>
      <c r="BG15" s="2760"/>
      <c r="BI15" s="2730"/>
      <c r="BJ15" s="2730"/>
    </row>
    <row r="16" spans="1:62" ht="17.25" outlineLevel="1">
      <c r="A16" s="2773" t="s">
        <v>4018</v>
      </c>
      <c r="B16" s="2762"/>
      <c r="C16" s="2763"/>
      <c r="D16" s="2764"/>
      <c r="E16" s="2764"/>
      <c r="F16" s="2765">
        <f>SUM(F17:F24)</f>
        <v>224794134</v>
      </c>
      <c r="G16" s="2765">
        <f t="shared" ref="G16:AU16" si="13">SUM(G17:G24)</f>
        <v>205274790</v>
      </c>
      <c r="H16" s="2765">
        <f t="shared" si="13"/>
        <v>228803621.46822125</v>
      </c>
      <c r="I16" s="2765">
        <f t="shared" si="13"/>
        <v>232902920.39331502</v>
      </c>
      <c r="J16" s="2765">
        <f t="shared" si="13"/>
        <v>243397125.64155501</v>
      </c>
      <c r="K16" s="2765">
        <f t="shared" si="13"/>
        <v>263576607.81681657</v>
      </c>
      <c r="L16" s="2765">
        <f t="shared" si="13"/>
        <v>263576607.81681657</v>
      </c>
      <c r="M16" s="2765">
        <f t="shared" si="13"/>
        <v>280793663.30221033</v>
      </c>
      <c r="N16" s="2765">
        <f t="shared" si="13"/>
        <v>294808346.46732086</v>
      </c>
      <c r="O16" s="2765">
        <f t="shared" si="13"/>
        <v>303365223.04356152</v>
      </c>
      <c r="P16" s="2765">
        <f t="shared" si="13"/>
        <v>303365223.04356152</v>
      </c>
      <c r="Q16" s="2765">
        <f t="shared" si="13"/>
        <v>318508484.19573957</v>
      </c>
      <c r="R16" s="2765">
        <f t="shared" si="13"/>
        <v>330656838.54623342</v>
      </c>
      <c r="S16" s="2765">
        <f t="shared" si="13"/>
        <v>330656838.54623342</v>
      </c>
      <c r="T16" s="2765">
        <f t="shared" si="13"/>
        <v>356465764.27314198</v>
      </c>
      <c r="U16" s="2765">
        <f t="shared" si="13"/>
        <v>356465764.27314198</v>
      </c>
      <c r="V16" s="2765">
        <f t="shared" si="13"/>
        <v>356465764.27314198</v>
      </c>
      <c r="W16" s="2765">
        <f t="shared" si="13"/>
        <v>384169706.73336965</v>
      </c>
      <c r="X16" s="2765">
        <f t="shared" si="13"/>
        <v>384169706.73336965</v>
      </c>
      <c r="Y16" s="2765">
        <f t="shared" si="13"/>
        <v>384169706.73336965</v>
      </c>
      <c r="Z16" s="2765">
        <f t="shared" si="13"/>
        <v>403353192.0700382</v>
      </c>
      <c r="AA16" s="2765">
        <f t="shared" si="13"/>
        <v>403353192.0700382</v>
      </c>
      <c r="AB16" s="2765">
        <f t="shared" si="13"/>
        <v>413607636.95909375</v>
      </c>
      <c r="AC16" s="2765">
        <f t="shared" si="13"/>
        <v>434263018.80704844</v>
      </c>
      <c r="AD16" s="2765">
        <f t="shared" si="13"/>
        <v>434263018.80704844</v>
      </c>
      <c r="AE16" s="2765">
        <f t="shared" si="13"/>
        <v>374735966.22608113</v>
      </c>
      <c r="AF16" s="2765">
        <f t="shared" si="13"/>
        <v>393447764.53738517</v>
      </c>
      <c r="AG16" s="2765">
        <f t="shared" si="13"/>
        <v>393447764.53738517</v>
      </c>
      <c r="AH16" s="2765">
        <f t="shared" si="13"/>
        <v>393447764.53738517</v>
      </c>
      <c r="AI16" s="2765">
        <f t="shared" si="13"/>
        <v>438532585.11716783</v>
      </c>
      <c r="AJ16" s="2765">
        <f t="shared" si="13"/>
        <v>372904009.64665145</v>
      </c>
      <c r="AK16" s="2765">
        <f t="shared" si="13"/>
        <v>372904009.64665145</v>
      </c>
      <c r="AL16" s="2765">
        <f t="shared" si="13"/>
        <v>391524210.12898397</v>
      </c>
      <c r="AM16" s="2765">
        <f t="shared" si="13"/>
        <v>408618164.67014182</v>
      </c>
      <c r="AN16" s="2765">
        <f t="shared" si="13"/>
        <v>435327468.64070082</v>
      </c>
      <c r="AO16" s="2765">
        <f t="shared" si="13"/>
        <v>457068842.07273585</v>
      </c>
      <c r="AP16" s="2765">
        <f t="shared" si="13"/>
        <v>457068842.07273585</v>
      </c>
      <c r="AQ16" s="2765">
        <f t="shared" si="13"/>
        <v>457068842.07273585</v>
      </c>
      <c r="AR16" s="2765">
        <f t="shared" si="13"/>
        <v>493835534.45340884</v>
      </c>
      <c r="AS16" s="2765">
        <f t="shared" si="13"/>
        <v>512681619.33503532</v>
      </c>
      <c r="AT16" s="2765">
        <f t="shared" si="13"/>
        <v>374280683.48559111</v>
      </c>
      <c r="AU16" s="2765">
        <f t="shared" si="13"/>
        <v>392969717.65987074</v>
      </c>
      <c r="AV16" s="2694">
        <v>0</v>
      </c>
      <c r="AW16" s="2758"/>
      <c r="AX16" s="2759"/>
      <c r="AY16" s="2774"/>
      <c r="AZ16" s="2774"/>
      <c r="BA16" s="2774"/>
      <c r="BB16" s="2774"/>
      <c r="BC16" s="2774"/>
      <c r="BD16" s="2774"/>
      <c r="BE16" s="2774"/>
      <c r="BF16" s="2774"/>
      <c r="BG16" s="2774"/>
      <c r="BI16" s="2730"/>
      <c r="BJ16" s="2730"/>
    </row>
    <row r="17" spans="1:62" s="2785" customFormat="1" ht="17.25" outlineLevel="1">
      <c r="A17" s="2775" t="s">
        <v>4019</v>
      </c>
      <c r="B17" s="2776"/>
      <c r="C17" s="2777"/>
      <c r="D17" s="2778"/>
      <c r="E17" s="2778"/>
      <c r="F17" s="2779">
        <v>87816534</v>
      </c>
      <c r="G17" s="2780">
        <v>94516390</v>
      </c>
      <c r="H17" s="2780">
        <f>인력계획!H84*10^6</f>
        <v>77066819.791762516</v>
      </c>
      <c r="I17" s="2780">
        <f>인력계획!I84*10^6</f>
        <v>77066819.791762516</v>
      </c>
      <c r="J17" s="2780">
        <f>인력계획!J84*10^6</f>
        <v>77066819.791762516</v>
      </c>
      <c r="K17" s="2780">
        <f>인력계획!K84*10^6</f>
        <v>161840321.56270128</v>
      </c>
      <c r="L17" s="2780">
        <f>인력계획!L84*10^6</f>
        <v>161840321.56270128</v>
      </c>
      <c r="M17" s="2780">
        <f>인력계획!M84*10^6</f>
        <v>161840321.56270128</v>
      </c>
      <c r="N17" s="2780">
        <f>인력계획!N84*10^6</f>
        <v>169932337.64083636</v>
      </c>
      <c r="O17" s="2780">
        <f>인력계획!O84*10^6</f>
        <v>169932337.64083636</v>
      </c>
      <c r="P17" s="2780">
        <f>인력계획!P84*10^6</f>
        <v>169932337.64083636</v>
      </c>
      <c r="Q17" s="2780">
        <f>인력계획!Q84*10^6</f>
        <v>178428954.52287817</v>
      </c>
      <c r="R17" s="2780">
        <f>인력계획!R84*10^6</f>
        <v>178428954.52287817</v>
      </c>
      <c r="S17" s="2780">
        <f>인력계획!S84*10^6</f>
        <v>178428954.52287817</v>
      </c>
      <c r="T17" s="2780">
        <f>인력계획!T84*10^6</f>
        <v>281025603.37353313</v>
      </c>
      <c r="U17" s="2780">
        <f>인력계획!U84*10^6</f>
        <v>281025603.37353313</v>
      </c>
      <c r="V17" s="2780">
        <f>인력계획!V84*10^6</f>
        <v>281025603.37353313</v>
      </c>
      <c r="W17" s="2780">
        <f>인력계획!W84*10^6</f>
        <v>295076883.54220974</v>
      </c>
      <c r="X17" s="2780">
        <f>인력계획!X84*10^6</f>
        <v>295076883.54220974</v>
      </c>
      <c r="Y17" s="2780">
        <f>인력계획!Y84*10^6</f>
        <v>295076883.54220974</v>
      </c>
      <c r="Z17" s="2780">
        <f>인력계획!Z84*10^6</f>
        <v>309830727.7193203</v>
      </c>
      <c r="AA17" s="2780">
        <f>인력계획!AA84*10^6</f>
        <v>309830727.7193203</v>
      </c>
      <c r="AB17" s="2780">
        <f>인력계획!AB84*10^6</f>
        <v>413107636.95909375</v>
      </c>
      <c r="AC17" s="2780">
        <f>인력계획!AC84*10^6</f>
        <v>433763018.80704844</v>
      </c>
      <c r="AD17" s="2780">
        <f>인력계획!AD84*10^6</f>
        <v>433763018.80704844</v>
      </c>
      <c r="AE17" s="2780">
        <f>인력계획!AE84*10^6</f>
        <v>325322264.1052863</v>
      </c>
      <c r="AF17" s="2780">
        <f>인력계획!AF84*10^6</f>
        <v>341588377.31055063</v>
      </c>
      <c r="AG17" s="2780">
        <f>인력계획!AG84*10^6</f>
        <v>341588377.31055063</v>
      </c>
      <c r="AH17" s="2780">
        <f>인력계획!AH84*10^6</f>
        <v>341588377.31055063</v>
      </c>
      <c r="AI17" s="2780">
        <f>인력계획!AI84*10^6</f>
        <v>358667796.1760782</v>
      </c>
      <c r="AJ17" s="2780">
        <f>인력계획!AJ84*10^6</f>
        <v>239111864.11738548</v>
      </c>
      <c r="AK17" s="2780">
        <f>인력계획!AK84*10^6</f>
        <v>239111864.11738548</v>
      </c>
      <c r="AL17" s="2780">
        <f>인력계획!AL84*10^6</f>
        <v>251067457.32325476</v>
      </c>
      <c r="AM17" s="2780">
        <f>인력계획!AM84*10^6</f>
        <v>251067457.32325476</v>
      </c>
      <c r="AN17" s="2780">
        <f>인력계획!AN84*10^6</f>
        <v>251067457.32325476</v>
      </c>
      <c r="AO17" s="2780">
        <f>인력계획!AO84*10^6</f>
        <v>263620830.18941751</v>
      </c>
      <c r="AP17" s="2780">
        <f>인력계획!AP84*10^6</f>
        <v>263620830.18941751</v>
      </c>
      <c r="AQ17" s="2780">
        <f>인력계획!AQ84*10^6</f>
        <v>263620830.18941751</v>
      </c>
      <c r="AR17" s="2780">
        <f>인력계획!AR84*10^6</f>
        <v>276801871.69888842</v>
      </c>
      <c r="AS17" s="2780">
        <f>인력계획!AS84*10^6</f>
        <v>276801871.69888842</v>
      </c>
      <c r="AT17" s="2780">
        <f>인력계획!AT84*10^6</f>
        <v>138400935.84944421</v>
      </c>
      <c r="AU17" s="2780">
        <f>인력계획!AU84*10^6</f>
        <v>145320982.64191642</v>
      </c>
      <c r="AV17" s="2781">
        <v>0</v>
      </c>
      <c r="AW17" s="2782"/>
      <c r="AX17" s="2783"/>
      <c r="AY17" s="2784"/>
      <c r="AZ17" s="2784"/>
      <c r="BA17" s="2784"/>
      <c r="BB17" s="2784"/>
      <c r="BC17" s="2784"/>
      <c r="BD17" s="2784"/>
      <c r="BE17" s="2784"/>
      <c r="BF17" s="2784"/>
      <c r="BG17" s="2784"/>
      <c r="BI17" s="2786"/>
      <c r="BJ17" s="2786"/>
    </row>
    <row r="18" spans="1:62" ht="17.25" outlineLevel="1">
      <c r="A18" s="2767" t="s">
        <v>4020</v>
      </c>
      <c r="B18" s="2768"/>
      <c r="C18" s="2763"/>
      <c r="D18" s="2764"/>
      <c r="E18" s="2764"/>
      <c r="F18" s="2769">
        <v>63500400</v>
      </c>
      <c r="G18" s="2769">
        <v>63500400</v>
      </c>
      <c r="H18" s="2770">
        <f>인력계획!H85*10^6</f>
        <v>69414795.13158749</v>
      </c>
      <c r="I18" s="2770">
        <f>인력계획!I85*10^6</f>
        <v>69414795.13158749</v>
      </c>
      <c r="J18" s="2770">
        <f>인력계획!J85*10^6</f>
        <v>69414795.13158749</v>
      </c>
      <c r="K18" s="2770">
        <f>인력계획!K85*10^6</f>
        <v>0</v>
      </c>
      <c r="L18" s="2770">
        <f>인력계획!L85*10^6</f>
        <v>0</v>
      </c>
      <c r="M18" s="2770">
        <f>인력계획!M85*10^6</f>
        <v>0</v>
      </c>
      <c r="N18" s="2770">
        <f>인력계획!N85*10^6</f>
        <v>0</v>
      </c>
      <c r="O18" s="2770">
        <f>인력계획!O85*10^6</f>
        <v>76529811.632575214</v>
      </c>
      <c r="P18" s="2770">
        <f>인력계획!P85*10^6</f>
        <v>76529811.632575214</v>
      </c>
      <c r="Q18" s="2770">
        <f>인력계획!Q85*10^6</f>
        <v>80356302.214203984</v>
      </c>
      <c r="R18" s="2770">
        <f>인력계획!R85*10^6</f>
        <v>80356302.214203984</v>
      </c>
      <c r="S18" s="2770">
        <f>인력계획!S85*10^6</f>
        <v>80356302.214203984</v>
      </c>
      <c r="T18" s="2770">
        <f>인력계획!T85*10^6</f>
        <v>0</v>
      </c>
      <c r="U18" s="2770">
        <f>인력계획!U85*10^6</f>
        <v>0</v>
      </c>
      <c r="V18" s="2770">
        <f>인력계획!V85*10^6</f>
        <v>0</v>
      </c>
      <c r="W18" s="2770">
        <f>인력계획!W85*10^6</f>
        <v>88592823.191159889</v>
      </c>
      <c r="X18" s="2770">
        <f>인력계획!X85*10^6</f>
        <v>88592823.191159889</v>
      </c>
      <c r="Y18" s="2770">
        <f>인력계획!Y85*10^6</f>
        <v>88592823.191159889</v>
      </c>
      <c r="Z18" s="2770">
        <f>인력계획!Z85*10^6</f>
        <v>93022464.350717902</v>
      </c>
      <c r="AA18" s="2770">
        <f>인력계획!AA85*10^6</f>
        <v>93022464.350717902</v>
      </c>
      <c r="AB18" s="2770">
        <f>인력계획!AB85*10^6</f>
        <v>0</v>
      </c>
      <c r="AC18" s="2770">
        <f>인력계획!AC85*10^6</f>
        <v>0</v>
      </c>
      <c r="AD18" s="2770">
        <f>인력계획!AD85*10^6</f>
        <v>0</v>
      </c>
      <c r="AE18" s="2770">
        <f>인력계획!AE85*10^6</f>
        <v>0</v>
      </c>
      <c r="AF18" s="2770">
        <f>인력계획!AF85*10^6</f>
        <v>0</v>
      </c>
      <c r="AG18" s="2770">
        <f>인력계획!AG85*10^6</f>
        <v>0</v>
      </c>
      <c r="AH18" s="2770">
        <f>인력계획!AH85*10^6</f>
        <v>0</v>
      </c>
      <c r="AI18" s="2770">
        <f>인력계획!AI85*10^6</f>
        <v>0</v>
      </c>
      <c r="AJ18" s="2770">
        <f>인력계획!AJ85*10^6</f>
        <v>0</v>
      </c>
      <c r="AK18" s="2770">
        <f>인력계획!AK85*10^6</f>
        <v>0</v>
      </c>
      <c r="AL18" s="2770">
        <f>인력계획!AL85*10^6</f>
        <v>0</v>
      </c>
      <c r="AM18" s="2770">
        <f>인력계획!AM85*10^6</f>
        <v>0</v>
      </c>
      <c r="AN18" s="2770">
        <f>인력계획!AN85*10^6</f>
        <v>0</v>
      </c>
      <c r="AO18" s="2770">
        <f>인력계획!AO85*10^6</f>
        <v>0</v>
      </c>
      <c r="AP18" s="2770">
        <f>인력계획!AP85*10^6</f>
        <v>0</v>
      </c>
      <c r="AQ18" s="2770">
        <f>인력계획!AQ85*10^6</f>
        <v>0</v>
      </c>
      <c r="AR18" s="2770">
        <f>인력계획!AR85*10^6</f>
        <v>124658998.95659156</v>
      </c>
      <c r="AS18" s="2770">
        <f>인력계획!AS85*10^6</f>
        <v>124658998.95659156</v>
      </c>
      <c r="AT18" s="2770">
        <f>인력계획!AT85*10^6</f>
        <v>124658998.95659156</v>
      </c>
      <c r="AU18" s="2770">
        <f>인력계획!AU85*10^6</f>
        <v>130891948.90442115</v>
      </c>
      <c r="AV18" s="2694">
        <v>0</v>
      </c>
      <c r="AW18" s="2771"/>
      <c r="AX18" s="2759"/>
      <c r="AY18" s="2760"/>
      <c r="AZ18" s="2760"/>
      <c r="BA18" s="2760"/>
      <c r="BB18" s="2760"/>
      <c r="BC18" s="2760"/>
      <c r="BD18" s="2760"/>
      <c r="BE18" s="2760"/>
      <c r="BF18" s="2760"/>
      <c r="BG18" s="2760"/>
      <c r="BI18" s="2730"/>
      <c r="BJ18" s="2730"/>
    </row>
    <row r="19" spans="1:62" ht="17.25" outlineLevel="1">
      <c r="A19" s="2767" t="s">
        <v>4021</v>
      </c>
      <c r="B19" s="2768"/>
      <c r="C19" s="2763"/>
      <c r="D19" s="2764"/>
      <c r="E19" s="2764"/>
      <c r="F19" s="2769"/>
      <c r="G19" s="2769"/>
      <c r="H19" s="2769">
        <f>인력계획!H86*10^6</f>
        <v>0</v>
      </c>
      <c r="I19" s="2769">
        <f>인력계획!I86*10^6</f>
        <v>0</v>
      </c>
      <c r="J19" s="2769">
        <f>인력계획!J86*10^6</f>
        <v>61653455.83341001</v>
      </c>
      <c r="K19" s="2769">
        <f>인력계획!K86*10^6</f>
        <v>64736128.625080511</v>
      </c>
      <c r="L19" s="2769">
        <f>인력계획!L86*10^6</f>
        <v>64736128.625080511</v>
      </c>
      <c r="M19" s="2769">
        <f>인력계획!M86*10^6</f>
        <v>64736128.625080511</v>
      </c>
      <c r="N19" s="2769">
        <f>인력계획!N86*10^6</f>
        <v>67972935.05633454</v>
      </c>
      <c r="O19" s="2769">
        <f>인력계획!O86*10^6</f>
        <v>0</v>
      </c>
      <c r="P19" s="2769">
        <f>인력계획!P86*10^6</f>
        <v>0</v>
      </c>
      <c r="Q19" s="2769">
        <f>인력계획!Q86*10^6</f>
        <v>0</v>
      </c>
      <c r="R19" s="2769">
        <f>인력계획!R86*10^6</f>
        <v>71371581.809151262</v>
      </c>
      <c r="S19" s="2769">
        <f>인력계획!S86*10^6</f>
        <v>71371581.809151262</v>
      </c>
      <c r="T19" s="2769">
        <f>인력계획!T86*10^6</f>
        <v>74940160.899608821</v>
      </c>
      <c r="U19" s="2769">
        <f>인력계획!U86*10^6</f>
        <v>74940160.899608821</v>
      </c>
      <c r="V19" s="2769">
        <f>인력계획!V86*10^6</f>
        <v>74940160.899608821</v>
      </c>
      <c r="W19" s="2769">
        <f>인력계획!W86*10^6</f>
        <v>0</v>
      </c>
      <c r="X19" s="2769">
        <f>인력계획!X86*10^6</f>
        <v>0</v>
      </c>
      <c r="Y19" s="2769">
        <f>인력계획!Y86*10^6</f>
        <v>0</v>
      </c>
      <c r="Z19" s="2769">
        <f>인력계획!Z86*10^6</f>
        <v>0</v>
      </c>
      <c r="AA19" s="2769">
        <f>인력계획!AA86*10^6</f>
        <v>0</v>
      </c>
      <c r="AB19" s="2769">
        <f>인력계획!AB86*10^6</f>
        <v>0</v>
      </c>
      <c r="AC19" s="2769">
        <f>인력계획!AC86*10^6</f>
        <v>0</v>
      </c>
      <c r="AD19" s="2769">
        <f>인력계획!AD86*10^6</f>
        <v>0</v>
      </c>
      <c r="AE19" s="2769">
        <f>인력계획!AE86*10^6</f>
        <v>0</v>
      </c>
      <c r="AF19" s="2769">
        <f>인력계획!AF86*10^6</f>
        <v>0</v>
      </c>
      <c r="AG19" s="2769">
        <f>인력계획!AG86*10^6</f>
        <v>0</v>
      </c>
      <c r="AH19" s="2769">
        <f>인력계획!AH86*10^6</f>
        <v>0</v>
      </c>
      <c r="AI19" s="2769">
        <f>인력계획!AI86*10^6</f>
        <v>0</v>
      </c>
      <c r="AJ19" s="2769">
        <f>인력계획!AJ86*10^6</f>
        <v>0</v>
      </c>
      <c r="AK19" s="2769">
        <f>인력계획!AK86*10^6</f>
        <v>0</v>
      </c>
      <c r="AL19" s="2769">
        <f>인력계획!AL86*10^6</f>
        <v>0</v>
      </c>
      <c r="AM19" s="2769">
        <f>인력계획!AM86*10^6</f>
        <v>100426982.9293019</v>
      </c>
      <c r="AN19" s="2769">
        <f>인력계획!AN86*10^6</f>
        <v>100426982.9293019</v>
      </c>
      <c r="AO19" s="2769">
        <f>인력계획!AO86*10^6</f>
        <v>105448332.075767</v>
      </c>
      <c r="AP19" s="2769">
        <f>인력계획!AP86*10^6</f>
        <v>105448332.075767</v>
      </c>
      <c r="AQ19" s="2769">
        <f>인력계획!AQ86*10^6</f>
        <v>105448332.075767</v>
      </c>
      <c r="AR19" s="2769">
        <f>인력계획!AR86*10^6</f>
        <v>0</v>
      </c>
      <c r="AS19" s="2769">
        <f>인력계획!AS86*10^6</f>
        <v>110720748.67955536</v>
      </c>
      <c r="AT19" s="2769">
        <f>인력계획!AT86*10^6</f>
        <v>110720748.67955536</v>
      </c>
      <c r="AU19" s="2769">
        <f>인력계획!AU86*10^6</f>
        <v>116256786.11353312</v>
      </c>
      <c r="AV19" s="2694">
        <v>0</v>
      </c>
      <c r="AW19" s="2771"/>
      <c r="AX19" s="2759"/>
      <c r="AY19" s="2760"/>
      <c r="AZ19" s="2760"/>
      <c r="BA19" s="2760"/>
      <c r="BB19" s="2760"/>
      <c r="BC19" s="2760"/>
      <c r="BD19" s="2760"/>
      <c r="BE19" s="2760"/>
      <c r="BF19" s="2760"/>
      <c r="BG19" s="2760"/>
      <c r="BI19" s="2730"/>
      <c r="BJ19" s="2730"/>
    </row>
    <row r="20" spans="1:62" ht="17.25" outlineLevel="1">
      <c r="A20" s="2767" t="s">
        <v>4022</v>
      </c>
      <c r="B20" s="2768"/>
      <c r="C20" s="2763"/>
      <c r="D20" s="2764"/>
      <c r="E20" s="2764"/>
      <c r="F20" s="2769">
        <v>46800000</v>
      </c>
      <c r="G20" s="2769">
        <v>22958000</v>
      </c>
      <c r="H20" s="2769">
        <f>인력계획!H87*10^6</f>
        <v>51159250.585170001</v>
      </c>
      <c r="I20" s="2769">
        <f>인력계획!I87*10^6</f>
        <v>51159250.585170001</v>
      </c>
      <c r="J20" s="2769">
        <f>인력계획!J87*10^6</f>
        <v>0</v>
      </c>
      <c r="K20" s="2769">
        <f>인력계획!K87*10^6</f>
        <v>0</v>
      </c>
      <c r="L20" s="2769">
        <f>인력계획!L87*10^6</f>
        <v>0</v>
      </c>
      <c r="M20" s="2769">
        <f>인력계획!M87*10^6</f>
        <v>53717213.114428505</v>
      </c>
      <c r="N20" s="2769">
        <f>인력계획!N87*10^6</f>
        <v>56403073.770149931</v>
      </c>
      <c r="O20" s="2769">
        <f>인력계획!O87*10^6</f>
        <v>56403073.770149931</v>
      </c>
      <c r="P20" s="2769">
        <f>인력계획!P87*10^6</f>
        <v>56403073.770149931</v>
      </c>
      <c r="Q20" s="2769">
        <f>인력계획!Q87*10^6</f>
        <v>59223227.458657429</v>
      </c>
      <c r="R20" s="2769">
        <f>인력계획!R87*10^6</f>
        <v>0</v>
      </c>
      <c r="S20" s="2769">
        <f>인력계획!S87*10^6</f>
        <v>0</v>
      </c>
      <c r="T20" s="2769">
        <f>인력계획!T87*10^6</f>
        <v>0</v>
      </c>
      <c r="U20" s="2769">
        <f>인력계획!U87*10^6</f>
        <v>0</v>
      </c>
      <c r="V20" s="2769">
        <f>인력계획!V87*10^6</f>
        <v>0</v>
      </c>
      <c r="W20" s="2769">
        <f>인력계획!W87*10^6</f>
        <v>0</v>
      </c>
      <c r="X20" s="2769">
        <f>인력계획!X87*10^6</f>
        <v>0</v>
      </c>
      <c r="Y20" s="2769">
        <f>인력계획!Y87*10^6</f>
        <v>0</v>
      </c>
      <c r="Z20" s="2769">
        <f>인력계획!Z87*10^6</f>
        <v>0</v>
      </c>
      <c r="AA20" s="2769">
        <f>인력계획!AA87*10^6</f>
        <v>0</v>
      </c>
      <c r="AB20" s="2769">
        <f>인력계획!AB87*10^6</f>
        <v>0</v>
      </c>
      <c r="AC20" s="2769">
        <f>인력계획!AC87*10^6</f>
        <v>0</v>
      </c>
      <c r="AD20" s="2769">
        <f>인력계획!AD87*10^6</f>
        <v>0</v>
      </c>
      <c r="AE20" s="2769">
        <f>인력계획!AE87*10^6</f>
        <v>0</v>
      </c>
      <c r="AF20" s="2769">
        <f>인력계획!AF87*10^6</f>
        <v>0</v>
      </c>
      <c r="AG20" s="2769">
        <f>인력계획!AG87*10^6</f>
        <v>0</v>
      </c>
      <c r="AH20" s="2769">
        <f>인력계획!AH87*10^6</f>
        <v>0</v>
      </c>
      <c r="AI20" s="2769">
        <f>인력계획!AI87*10^6</f>
        <v>79364788.94108963</v>
      </c>
      <c r="AJ20" s="2769">
        <f>인력계획!AJ87*10^6</f>
        <v>79364788.94108963</v>
      </c>
      <c r="AK20" s="2769">
        <f>인력계획!AK87*10^6</f>
        <v>79364788.94108963</v>
      </c>
      <c r="AL20" s="2769">
        <f>인력계획!AL87*10^6</f>
        <v>83333028.388144121</v>
      </c>
      <c r="AM20" s="2769">
        <f>인력계획!AM87*10^6</f>
        <v>0</v>
      </c>
      <c r="AN20" s="2769">
        <f>인력계획!AN87*10^6</f>
        <v>83333028.388144121</v>
      </c>
      <c r="AO20" s="2769">
        <f>인력계획!AO87*10^6</f>
        <v>87499679.807551324</v>
      </c>
      <c r="AP20" s="2769">
        <f>인력계획!AP87*10^6</f>
        <v>87499679.807551324</v>
      </c>
      <c r="AQ20" s="2769">
        <f>인력계획!AQ87*10^6</f>
        <v>87499679.807551324</v>
      </c>
      <c r="AR20" s="2769">
        <f>인력계획!AR87*10^6</f>
        <v>91874663.7979289</v>
      </c>
      <c r="AS20" s="2769">
        <f>인력계획!AS87*10^6</f>
        <v>0</v>
      </c>
      <c r="AT20" s="2769">
        <f>인력계획!AT87*10^6</f>
        <v>0</v>
      </c>
      <c r="AU20" s="2769">
        <f>인력계획!AU87*10^6</f>
        <v>0</v>
      </c>
      <c r="AV20" s="2694">
        <v>0</v>
      </c>
      <c r="AW20" s="2771"/>
      <c r="AX20" s="2759"/>
      <c r="AY20" s="2760"/>
      <c r="AZ20" s="2760"/>
      <c r="BA20" s="2760"/>
      <c r="BB20" s="2760"/>
      <c r="BC20" s="2760"/>
      <c r="BD20" s="2760"/>
      <c r="BE20" s="2760"/>
      <c r="BF20" s="2760"/>
      <c r="BG20" s="2760"/>
      <c r="BI20" s="2730"/>
      <c r="BJ20" s="2730"/>
    </row>
    <row r="21" spans="1:62" ht="17.25" outlineLevel="1">
      <c r="A21" s="2767" t="s">
        <v>4023</v>
      </c>
      <c r="B21" s="2768"/>
      <c r="C21" s="2763"/>
      <c r="D21" s="2764"/>
      <c r="E21" s="2764"/>
      <c r="F21" s="2769"/>
      <c r="G21" s="2769"/>
      <c r="H21" s="2769">
        <f>인력계획!H88*10^6</f>
        <v>0</v>
      </c>
      <c r="I21" s="2769">
        <f>인력계획!I88*10^6</f>
        <v>34762054.884795003</v>
      </c>
      <c r="J21" s="2769">
        <f>인력계획!J88*10^6</f>
        <v>34762054.884795003</v>
      </c>
      <c r="K21" s="2769">
        <f>인력계획!K88*10^6</f>
        <v>36500157.62903475</v>
      </c>
      <c r="L21" s="2769">
        <f>인력계획!L88*10^6</f>
        <v>36500157.62903475</v>
      </c>
      <c r="M21" s="2769">
        <f>인력계획!M88*10^6</f>
        <v>0</v>
      </c>
      <c r="N21" s="2769">
        <f>인력계획!N88*10^6</f>
        <v>0</v>
      </c>
      <c r="O21" s="2769">
        <f>인력계획!O88*10^6</f>
        <v>0</v>
      </c>
      <c r="P21" s="2769">
        <f>인력계획!P88*10^6</f>
        <v>0</v>
      </c>
      <c r="Q21" s="2769">
        <f>인력계획!Q88*10^6</f>
        <v>0</v>
      </c>
      <c r="R21" s="2769">
        <f>인력계획!R88*10^6</f>
        <v>0</v>
      </c>
      <c r="S21" s="2769">
        <f>인력계획!S88*10^6</f>
        <v>0</v>
      </c>
      <c r="T21" s="2769">
        <f>인력계획!T88*10^6</f>
        <v>0</v>
      </c>
      <c r="U21" s="2769">
        <f>인력계획!U88*10^6</f>
        <v>0</v>
      </c>
      <c r="V21" s="2769">
        <f>인력계획!V88*10^6</f>
        <v>0</v>
      </c>
      <c r="W21" s="2769">
        <f>인력계획!W88*10^6</f>
        <v>0</v>
      </c>
      <c r="X21" s="2769">
        <f>인력계획!X88*10^6</f>
        <v>0</v>
      </c>
      <c r="Y21" s="2769">
        <f>인력계획!Y88*10^6</f>
        <v>0</v>
      </c>
      <c r="Z21" s="2769">
        <f>인력계획!Z88*10^6</f>
        <v>0</v>
      </c>
      <c r="AA21" s="2769">
        <f>인력계획!AA88*10^6</f>
        <v>0</v>
      </c>
      <c r="AB21" s="2769">
        <f>인력계획!AB88*10^6</f>
        <v>0</v>
      </c>
      <c r="AC21" s="2769">
        <f>인력계획!AC88*10^6</f>
        <v>0</v>
      </c>
      <c r="AD21" s="2769">
        <f>인력계획!AD88*10^6</f>
        <v>0</v>
      </c>
      <c r="AE21" s="2769">
        <f>인력계획!AE88*10^6</f>
        <v>48913702.120794818</v>
      </c>
      <c r="AF21" s="2769">
        <f>인력계획!AF88*10^6</f>
        <v>51359387.226834558</v>
      </c>
      <c r="AG21" s="2769">
        <f>인력계획!AG88*10^6</f>
        <v>51359387.226834558</v>
      </c>
      <c r="AH21" s="2769">
        <f>인력계획!AH88*10^6</f>
        <v>51359387.226834558</v>
      </c>
      <c r="AI21" s="2769">
        <f>인력계획!AI88*10^6</f>
        <v>0</v>
      </c>
      <c r="AJ21" s="2769">
        <f>인력계획!AJ88*10^6</f>
        <v>53927356.588176288</v>
      </c>
      <c r="AK21" s="2769">
        <f>인력계획!AK88*10^6</f>
        <v>53927356.588176288</v>
      </c>
      <c r="AL21" s="2769">
        <f>인력계획!AL88*10^6</f>
        <v>56623724.417585105</v>
      </c>
      <c r="AM21" s="2769">
        <f>인력계획!AM88*10^6</f>
        <v>56623724.417585105</v>
      </c>
      <c r="AN21" s="2769">
        <f>인력계획!AN88*10^6</f>
        <v>0</v>
      </c>
      <c r="AO21" s="2769">
        <f>인력계획!AO88*10^6</f>
        <v>0</v>
      </c>
      <c r="AP21" s="2769">
        <f>인력계획!AP88*10^6</f>
        <v>0</v>
      </c>
      <c r="AQ21" s="2769">
        <f>인력계획!AQ88*10^6</f>
        <v>0</v>
      </c>
      <c r="AR21" s="2769">
        <f>인력계획!AR88*10^6</f>
        <v>0</v>
      </c>
      <c r="AS21" s="2769">
        <f>인력계획!AS88*10^6</f>
        <v>0</v>
      </c>
      <c r="AT21" s="2769">
        <f>인력계획!AT88*10^6</f>
        <v>0</v>
      </c>
      <c r="AU21" s="2769">
        <f>인력계획!AU88*10^6</f>
        <v>0</v>
      </c>
      <c r="AV21" s="2694">
        <v>0</v>
      </c>
      <c r="AW21" s="2771"/>
      <c r="AX21" s="2759"/>
      <c r="AY21" s="2760"/>
      <c r="AZ21" s="2760"/>
      <c r="BA21" s="2760"/>
      <c r="BB21" s="2760"/>
      <c r="BC21" s="2760"/>
      <c r="BD21" s="2760"/>
      <c r="BE21" s="2760"/>
      <c r="BF21" s="2760"/>
      <c r="BG21" s="2760"/>
      <c r="BI21" s="2730"/>
      <c r="BJ21" s="2730"/>
    </row>
    <row r="22" spans="1:62" ht="17.25" outlineLevel="1">
      <c r="A22" s="2767" t="s">
        <v>4024</v>
      </c>
      <c r="B22" s="2768"/>
      <c r="C22" s="2763"/>
      <c r="D22" s="2764"/>
      <c r="E22" s="2764"/>
      <c r="F22" s="2769">
        <v>26677200</v>
      </c>
      <c r="G22" s="2769">
        <v>24300000</v>
      </c>
      <c r="H22" s="2769">
        <f>인력계획!H89*10^6</f>
        <v>30662755.959701255</v>
      </c>
      <c r="I22" s="2769">
        <f>인력계획!I89*10^6</f>
        <v>0</v>
      </c>
      <c r="J22" s="2769">
        <f>인력계획!J89*10^6</f>
        <v>0</v>
      </c>
      <c r="K22" s="2769">
        <f>인력계획!K89*10^6</f>
        <v>0</v>
      </c>
      <c r="L22" s="2769">
        <f>인력계획!L89*10^6</f>
        <v>0</v>
      </c>
      <c r="M22" s="2769">
        <f>인력계획!M89*10^6</f>
        <v>0</v>
      </c>
      <c r="N22" s="2769">
        <f>인력계획!N89*10^6</f>
        <v>0</v>
      </c>
      <c r="O22" s="2769">
        <f>인력계획!O89*10^6</f>
        <v>0</v>
      </c>
      <c r="P22" s="2769">
        <f>인력계획!P89*10^6</f>
        <v>0</v>
      </c>
      <c r="Q22" s="2769">
        <f>인력계획!Q89*10^6</f>
        <v>0</v>
      </c>
      <c r="R22" s="2769">
        <f>인력계획!R89*10^6</f>
        <v>0</v>
      </c>
      <c r="S22" s="2769">
        <f>인력계획!S89*10^6</f>
        <v>0</v>
      </c>
      <c r="T22" s="2769">
        <f>인력계획!T89*10^6</f>
        <v>0</v>
      </c>
      <c r="U22" s="2769">
        <f>인력계획!U89*10^6</f>
        <v>0</v>
      </c>
      <c r="V22" s="2769">
        <f>인력계획!V89*10^6</f>
        <v>0</v>
      </c>
      <c r="W22" s="2769">
        <f>인력계획!W89*10^6</f>
        <v>0</v>
      </c>
      <c r="X22" s="2769">
        <f>인력계획!X89*10^6</f>
        <v>0</v>
      </c>
      <c r="Y22" s="2769">
        <f>인력계획!Y89*10^6</f>
        <v>0</v>
      </c>
      <c r="Z22" s="2769">
        <f>인력계획!Z89*10^6</f>
        <v>0</v>
      </c>
      <c r="AA22" s="2769">
        <f>인력계획!AA89*10^6</f>
        <v>0</v>
      </c>
      <c r="AB22" s="2769">
        <f>인력계획!AB89*10^6</f>
        <v>0</v>
      </c>
      <c r="AC22" s="2769">
        <f>인력계획!AC89*10^6</f>
        <v>0</v>
      </c>
      <c r="AD22" s="2769">
        <f>인력계획!AD89*10^6</f>
        <v>0</v>
      </c>
      <c r="AE22" s="2769">
        <f>인력계획!AE89*10^6</f>
        <v>0</v>
      </c>
      <c r="AF22" s="2769">
        <f>인력계획!AF89*10^6</f>
        <v>0</v>
      </c>
      <c r="AG22" s="2769">
        <f>인력계획!AG89*10^6</f>
        <v>0</v>
      </c>
      <c r="AH22" s="2769">
        <f>인력계획!AH89*10^6</f>
        <v>0</v>
      </c>
      <c r="AI22" s="2769">
        <f>인력계획!AI89*10^6</f>
        <v>0</v>
      </c>
      <c r="AJ22" s="2769">
        <f>인력계획!AJ89*10^6</f>
        <v>0</v>
      </c>
      <c r="AK22" s="2769">
        <f>인력계획!AK89*10^6</f>
        <v>0</v>
      </c>
      <c r="AL22" s="2769">
        <f>인력계획!AL89*10^6</f>
        <v>0</v>
      </c>
      <c r="AM22" s="2769">
        <f>인력계획!AM89*10^6</f>
        <v>0</v>
      </c>
      <c r="AN22" s="2769">
        <f>인력계획!AN89*10^6</f>
        <v>0</v>
      </c>
      <c r="AO22" s="2769">
        <f>인력계획!AO89*10^6</f>
        <v>0</v>
      </c>
      <c r="AP22" s="2769">
        <f>인력계획!AP89*10^6</f>
        <v>0</v>
      </c>
      <c r="AQ22" s="2769">
        <f>인력계획!AQ89*10^6</f>
        <v>0</v>
      </c>
      <c r="AR22" s="2769">
        <f>인력계획!AR89*10^6</f>
        <v>0</v>
      </c>
      <c r="AS22" s="2769">
        <f>인력계획!AS89*10^6</f>
        <v>0</v>
      </c>
      <c r="AT22" s="2769">
        <f>인력계획!AT89*10^6</f>
        <v>0</v>
      </c>
      <c r="AU22" s="2769">
        <f>인력계획!AU89*10^6</f>
        <v>0</v>
      </c>
      <c r="AV22" s="2694">
        <v>0</v>
      </c>
      <c r="AW22" s="2771"/>
      <c r="AX22" s="2759"/>
      <c r="AY22" s="2760"/>
      <c r="AZ22" s="2760"/>
      <c r="BA22" s="2760"/>
      <c r="BB22" s="2760"/>
      <c r="BC22" s="2760"/>
      <c r="BD22" s="2760"/>
      <c r="BE22" s="2760"/>
      <c r="BF22" s="2760"/>
      <c r="BG22" s="2760"/>
      <c r="BI22" s="2730"/>
      <c r="BJ22" s="2730"/>
    </row>
    <row r="23" spans="1:62" ht="17.25" outlineLevel="1">
      <c r="A23" s="2767" t="s">
        <v>4025</v>
      </c>
      <c r="B23" s="2768"/>
      <c r="C23" s="2763"/>
      <c r="D23" s="2764"/>
      <c r="E23" s="2764"/>
      <c r="F23" s="2769"/>
      <c r="G23" s="2770"/>
      <c r="H23" s="2770">
        <f>인력계획!H90*10^6</f>
        <v>0</v>
      </c>
      <c r="I23" s="2770">
        <f>인력계획!I90*10^6</f>
        <v>0</v>
      </c>
      <c r="J23" s="2770">
        <f>인력계획!J90*10^6</f>
        <v>0</v>
      </c>
      <c r="K23" s="2770">
        <f>인력계획!K90*10^6</f>
        <v>0</v>
      </c>
      <c r="L23" s="2770">
        <f>인력계획!L90*10^6</f>
        <v>0</v>
      </c>
      <c r="M23" s="2770">
        <f>인력계획!M90*10^6</f>
        <v>0</v>
      </c>
      <c r="N23" s="2770">
        <f>인력계획!N90*10^6</f>
        <v>0</v>
      </c>
      <c r="O23" s="2770">
        <f>인력계획!O90*10^6</f>
        <v>0</v>
      </c>
      <c r="P23" s="2770">
        <f>인력계획!P90*10^6</f>
        <v>0</v>
      </c>
      <c r="Q23" s="2770">
        <f>인력계획!Q90*10^6</f>
        <v>0</v>
      </c>
      <c r="R23" s="2770">
        <f>인력계획!R90*10^6</f>
        <v>0</v>
      </c>
      <c r="S23" s="2770">
        <f>인력계획!S90*10^6</f>
        <v>0</v>
      </c>
      <c r="T23" s="2770">
        <f>인력계획!T90*10^6</f>
        <v>0</v>
      </c>
      <c r="U23" s="2770">
        <f>인력계획!U90*10^6</f>
        <v>0</v>
      </c>
      <c r="V23" s="2770">
        <f>인력계획!V90*10^6</f>
        <v>0</v>
      </c>
      <c r="W23" s="2770">
        <f>인력계획!W90*10^6</f>
        <v>0</v>
      </c>
      <c r="X23" s="2770">
        <f>인력계획!X90*10^6</f>
        <v>0</v>
      </c>
      <c r="Y23" s="2770">
        <f>인력계획!Y90*10^6</f>
        <v>0</v>
      </c>
      <c r="Z23" s="2770">
        <f>인력계획!Z90*10^6</f>
        <v>0</v>
      </c>
      <c r="AA23" s="2770">
        <f>인력계획!AA90*10^6</f>
        <v>0</v>
      </c>
      <c r="AB23" s="2770">
        <f>인력계획!AB90*10^6</f>
        <v>0</v>
      </c>
      <c r="AC23" s="2770">
        <f>인력계획!AC90*10^6</f>
        <v>0</v>
      </c>
      <c r="AD23" s="2770">
        <f>인력계획!AD90*10^6</f>
        <v>0</v>
      </c>
      <c r="AE23" s="2770">
        <f>인력계획!AE90*10^6</f>
        <v>0</v>
      </c>
      <c r="AF23" s="2770">
        <f>인력계획!AF90*10^6</f>
        <v>0</v>
      </c>
      <c r="AG23" s="2770">
        <f>인력계획!AG90*10^6</f>
        <v>0</v>
      </c>
      <c r="AH23" s="2770">
        <f>인력계획!AH90*10^6</f>
        <v>0</v>
      </c>
      <c r="AI23" s="2770">
        <f>인력계획!AI90*10^6</f>
        <v>0</v>
      </c>
      <c r="AJ23" s="2770">
        <f>인력계획!AJ90*10^6</f>
        <v>0</v>
      </c>
      <c r="AK23" s="2770">
        <f>인력계획!AK90*10^6</f>
        <v>0</v>
      </c>
      <c r="AL23" s="2770">
        <f>인력계획!AL90*10^6</f>
        <v>0</v>
      </c>
      <c r="AM23" s="2770">
        <f>인력계획!AM90*10^6</f>
        <v>0</v>
      </c>
      <c r="AN23" s="2770">
        <f>인력계획!AN90*10^6</f>
        <v>0</v>
      </c>
      <c r="AO23" s="2770">
        <f>인력계획!AO90*10^6</f>
        <v>0</v>
      </c>
      <c r="AP23" s="2770">
        <f>인력계획!AP90*10^6</f>
        <v>0</v>
      </c>
      <c r="AQ23" s="2770">
        <f>인력계획!AQ90*10^6</f>
        <v>0</v>
      </c>
      <c r="AR23" s="2770">
        <f>인력계획!AR90*10^6</f>
        <v>0</v>
      </c>
      <c r="AS23" s="2770">
        <f>인력계획!AS90*10^6</f>
        <v>0</v>
      </c>
      <c r="AT23" s="2770">
        <f>인력계획!AT90*10^6</f>
        <v>0</v>
      </c>
      <c r="AU23" s="2770">
        <f>인력계획!AU90*10^6</f>
        <v>0</v>
      </c>
      <c r="AV23" s="2694">
        <v>0</v>
      </c>
      <c r="AW23" s="2771"/>
      <c r="AX23" s="2759"/>
      <c r="AY23" s="2760"/>
      <c r="AZ23" s="2760"/>
      <c r="BA23" s="2760"/>
      <c r="BB23" s="2760"/>
      <c r="BC23" s="2760"/>
      <c r="BD23" s="2760"/>
      <c r="BE23" s="2760"/>
      <c r="BF23" s="2760"/>
      <c r="BG23" s="2760"/>
      <c r="BI23" s="2730"/>
      <c r="BJ23" s="2730"/>
    </row>
    <row r="24" spans="1:62" ht="17.25" outlineLevel="1">
      <c r="A24" s="2767" t="s">
        <v>4026</v>
      </c>
      <c r="B24" s="2768"/>
      <c r="C24" s="2787"/>
      <c r="D24" s="2764"/>
      <c r="E24" s="2764"/>
      <c r="F24" s="2769"/>
      <c r="G24" s="2770"/>
      <c r="H24" s="2770">
        <v>500000</v>
      </c>
      <c r="I24" s="2770">
        <f t="shared" ref="I24:AU24" si="14">H24</f>
        <v>500000</v>
      </c>
      <c r="J24" s="2770">
        <f t="shared" si="14"/>
        <v>500000</v>
      </c>
      <c r="K24" s="2770">
        <f t="shared" si="14"/>
        <v>500000</v>
      </c>
      <c r="L24" s="2770">
        <f t="shared" si="14"/>
        <v>500000</v>
      </c>
      <c r="M24" s="2770">
        <f t="shared" si="14"/>
        <v>500000</v>
      </c>
      <c r="N24" s="2770">
        <f t="shared" si="14"/>
        <v>500000</v>
      </c>
      <c r="O24" s="2770">
        <f t="shared" si="14"/>
        <v>500000</v>
      </c>
      <c r="P24" s="2770">
        <f t="shared" si="14"/>
        <v>500000</v>
      </c>
      <c r="Q24" s="2770">
        <f t="shared" si="14"/>
        <v>500000</v>
      </c>
      <c r="R24" s="2770">
        <f t="shared" si="14"/>
        <v>500000</v>
      </c>
      <c r="S24" s="2770">
        <f t="shared" si="14"/>
        <v>500000</v>
      </c>
      <c r="T24" s="2770">
        <f t="shared" si="14"/>
        <v>500000</v>
      </c>
      <c r="U24" s="2770">
        <f t="shared" si="14"/>
        <v>500000</v>
      </c>
      <c r="V24" s="2770">
        <f t="shared" si="14"/>
        <v>500000</v>
      </c>
      <c r="W24" s="2770">
        <f t="shared" si="14"/>
        <v>500000</v>
      </c>
      <c r="X24" s="2770">
        <f t="shared" si="14"/>
        <v>500000</v>
      </c>
      <c r="Y24" s="2770">
        <f t="shared" si="14"/>
        <v>500000</v>
      </c>
      <c r="Z24" s="2770">
        <f t="shared" si="14"/>
        <v>500000</v>
      </c>
      <c r="AA24" s="2770">
        <f t="shared" si="14"/>
        <v>500000</v>
      </c>
      <c r="AB24" s="2770">
        <f t="shared" si="14"/>
        <v>500000</v>
      </c>
      <c r="AC24" s="2770">
        <f t="shared" si="14"/>
        <v>500000</v>
      </c>
      <c r="AD24" s="2770">
        <f t="shared" si="14"/>
        <v>500000</v>
      </c>
      <c r="AE24" s="2770">
        <f t="shared" si="14"/>
        <v>500000</v>
      </c>
      <c r="AF24" s="2770">
        <f t="shared" si="14"/>
        <v>500000</v>
      </c>
      <c r="AG24" s="2770">
        <f t="shared" si="14"/>
        <v>500000</v>
      </c>
      <c r="AH24" s="2770">
        <f t="shared" si="14"/>
        <v>500000</v>
      </c>
      <c r="AI24" s="2770">
        <f t="shared" si="14"/>
        <v>500000</v>
      </c>
      <c r="AJ24" s="2770">
        <f t="shared" si="14"/>
        <v>500000</v>
      </c>
      <c r="AK24" s="2770">
        <f t="shared" si="14"/>
        <v>500000</v>
      </c>
      <c r="AL24" s="2770">
        <f t="shared" si="14"/>
        <v>500000</v>
      </c>
      <c r="AM24" s="2770">
        <f t="shared" si="14"/>
        <v>500000</v>
      </c>
      <c r="AN24" s="2770">
        <f t="shared" si="14"/>
        <v>500000</v>
      </c>
      <c r="AO24" s="2770">
        <f t="shared" si="14"/>
        <v>500000</v>
      </c>
      <c r="AP24" s="2770">
        <f t="shared" si="14"/>
        <v>500000</v>
      </c>
      <c r="AQ24" s="2770">
        <f t="shared" si="14"/>
        <v>500000</v>
      </c>
      <c r="AR24" s="2770">
        <f t="shared" si="14"/>
        <v>500000</v>
      </c>
      <c r="AS24" s="2770">
        <f t="shared" si="14"/>
        <v>500000</v>
      </c>
      <c r="AT24" s="2770">
        <f t="shared" si="14"/>
        <v>500000</v>
      </c>
      <c r="AU24" s="2770">
        <f t="shared" si="14"/>
        <v>500000</v>
      </c>
      <c r="AV24" s="2694">
        <v>0</v>
      </c>
      <c r="AW24" s="2771"/>
      <c r="AX24" s="2759"/>
      <c r="AY24" s="2760"/>
      <c r="AZ24" s="2760"/>
      <c r="BA24" s="2760"/>
      <c r="BB24" s="2760"/>
      <c r="BC24" s="2760"/>
      <c r="BD24" s="2760"/>
      <c r="BE24" s="2760"/>
      <c r="BF24" s="2760"/>
      <c r="BG24" s="2760"/>
      <c r="BI24" s="2730"/>
      <c r="BJ24" s="2730"/>
    </row>
    <row r="25" spans="1:62" ht="17.25" outlineLevel="1">
      <c r="A25" s="2773" t="s">
        <v>4027</v>
      </c>
      <c r="B25" s="2762"/>
      <c r="C25" s="2763"/>
      <c r="D25" s="2764"/>
      <c r="E25" s="2764"/>
      <c r="F25" s="2765">
        <f t="shared" ref="F25:AU25" si="15">SUM(F26:F28)</f>
        <v>114490588</v>
      </c>
      <c r="G25" s="2765">
        <f t="shared" si="15"/>
        <v>43588363</v>
      </c>
      <c r="H25" s="2765">
        <f t="shared" si="15"/>
        <v>60212801.789018437</v>
      </c>
      <c r="I25" s="2765">
        <f t="shared" si="15"/>
        <v>60554410.032776251</v>
      </c>
      <c r="J25" s="2765">
        <f t="shared" si="15"/>
        <v>61428927.136796251</v>
      </c>
      <c r="K25" s="2765">
        <f t="shared" si="15"/>
        <v>65167842.318068042</v>
      </c>
      <c r="L25" s="2765">
        <f t="shared" si="15"/>
        <v>65167842.318068042</v>
      </c>
      <c r="M25" s="2765">
        <f t="shared" si="15"/>
        <v>66602596.941850856</v>
      </c>
      <c r="N25" s="2765">
        <f t="shared" si="15"/>
        <v>69930643.455610067</v>
      </c>
      <c r="O25" s="2765">
        <f t="shared" si="15"/>
        <v>70643716.503630131</v>
      </c>
      <c r="P25" s="2765">
        <f t="shared" si="15"/>
        <v>70643716.503630131</v>
      </c>
      <c r="Q25" s="2765">
        <f t="shared" si="15"/>
        <v>74173818.995478302</v>
      </c>
      <c r="R25" s="2765">
        <f t="shared" si="15"/>
        <v>75186181.858019456</v>
      </c>
      <c r="S25" s="2765">
        <f t="shared" si="15"/>
        <v>75186181.858019456</v>
      </c>
      <c r="T25" s="2765">
        <f t="shared" si="15"/>
        <v>79718497.934220165</v>
      </c>
      <c r="U25" s="2765">
        <f t="shared" si="15"/>
        <v>79718497.934220165</v>
      </c>
      <c r="V25" s="2765">
        <f t="shared" si="15"/>
        <v>79718497.934220165</v>
      </c>
      <c r="W25" s="2765">
        <f t="shared" si="15"/>
        <v>84527810.684812069</v>
      </c>
      <c r="X25" s="2765">
        <f t="shared" si="15"/>
        <v>84527810.684812069</v>
      </c>
      <c r="Y25" s="2765">
        <f t="shared" si="15"/>
        <v>84527810.684812069</v>
      </c>
      <c r="Z25" s="2765">
        <f t="shared" si="15"/>
        <v>88752117.885719329</v>
      </c>
      <c r="AA25" s="2765">
        <f t="shared" si="15"/>
        <v>88752117.885719329</v>
      </c>
      <c r="AB25" s="2765">
        <f t="shared" si="15"/>
        <v>89606654.959807307</v>
      </c>
      <c r="AC25" s="2765">
        <f t="shared" si="15"/>
        <v>94084904.374464333</v>
      </c>
      <c r="AD25" s="2765">
        <f t="shared" si="15"/>
        <v>94084904.374464333</v>
      </c>
      <c r="AE25" s="2765">
        <f t="shared" si="15"/>
        <v>89124316.659383729</v>
      </c>
      <c r="AF25" s="2765">
        <f t="shared" si="15"/>
        <v>93578449.159019589</v>
      </c>
      <c r="AG25" s="2765">
        <f t="shared" si="15"/>
        <v>93578449.159019589</v>
      </c>
      <c r="AH25" s="2765">
        <f t="shared" si="15"/>
        <v>93578449.159019589</v>
      </c>
      <c r="AI25" s="2765">
        <f t="shared" si="15"/>
        <v>100375074.31304668</v>
      </c>
      <c r="AJ25" s="2765">
        <f t="shared" si="15"/>
        <v>94906026.357170314</v>
      </c>
      <c r="AK25" s="2765">
        <f t="shared" si="15"/>
        <v>94906026.357170314</v>
      </c>
      <c r="AL25" s="2765">
        <f t="shared" si="15"/>
        <v>99649244.341695502</v>
      </c>
      <c r="AM25" s="2765">
        <f t="shared" si="15"/>
        <v>101073740.55345866</v>
      </c>
      <c r="AN25" s="2765">
        <f t="shared" si="15"/>
        <v>103299515.88433856</v>
      </c>
      <c r="AO25" s="2765">
        <f t="shared" si="15"/>
        <v>108462408.34522218</v>
      </c>
      <c r="AP25" s="2765">
        <f t="shared" si="15"/>
        <v>108462408.34522218</v>
      </c>
      <c r="AQ25" s="2765">
        <f t="shared" si="15"/>
        <v>108462408.34522218</v>
      </c>
      <c r="AR25" s="2765">
        <f t="shared" si="15"/>
        <v>115044966.28556964</v>
      </c>
      <c r="AS25" s="2765">
        <f t="shared" si="15"/>
        <v>116615473.3590385</v>
      </c>
      <c r="AT25" s="2765">
        <f t="shared" si="15"/>
        <v>105082062.03825149</v>
      </c>
      <c r="AU25" s="2765">
        <f t="shared" si="15"/>
        <v>110334081.80683075</v>
      </c>
      <c r="AV25" s="2694">
        <v>0</v>
      </c>
      <c r="AW25" s="2771"/>
      <c r="AX25" s="2759"/>
      <c r="AY25" s="2774"/>
      <c r="AZ25" s="2774"/>
      <c r="BA25" s="2774"/>
      <c r="BB25" s="2774"/>
      <c r="BC25" s="2774"/>
      <c r="BD25" s="2774"/>
      <c r="BE25" s="2774"/>
      <c r="BF25" s="2774"/>
      <c r="BG25" s="2774"/>
      <c r="BI25" s="2730"/>
      <c r="BJ25" s="2730"/>
    </row>
    <row r="26" spans="1:62" ht="17.25" outlineLevel="1">
      <c r="A26" s="2767" t="s">
        <v>4015</v>
      </c>
      <c r="B26" s="2768"/>
      <c r="C26" s="2763"/>
      <c r="D26" s="2764"/>
      <c r="E26" s="2764"/>
      <c r="F26" s="2769">
        <v>60140555</v>
      </c>
      <c r="G26" s="2770">
        <v>35186411</v>
      </c>
      <c r="H26" s="2770">
        <f t="shared" ref="H26:AQ26" si="16">H14/12*2.5</f>
        <v>32812500</v>
      </c>
      <c r="I26" s="2770">
        <f t="shared" si="16"/>
        <v>32812500</v>
      </c>
      <c r="J26" s="2770">
        <f t="shared" si="16"/>
        <v>32812500</v>
      </c>
      <c r="K26" s="2770">
        <f t="shared" si="16"/>
        <v>34453125</v>
      </c>
      <c r="L26" s="2770">
        <f t="shared" si="16"/>
        <v>34453125</v>
      </c>
      <c r="M26" s="2770">
        <f t="shared" si="16"/>
        <v>34453125</v>
      </c>
      <c r="N26" s="2770">
        <f t="shared" si="16"/>
        <v>36175781.25</v>
      </c>
      <c r="O26" s="2770">
        <f t="shared" si="16"/>
        <v>36175781.25</v>
      </c>
      <c r="P26" s="2770">
        <f t="shared" si="16"/>
        <v>36175781.25</v>
      </c>
      <c r="Q26" s="2770">
        <f t="shared" si="16"/>
        <v>37984570.3125</v>
      </c>
      <c r="R26" s="2770">
        <f t="shared" si="16"/>
        <v>37984570.3125</v>
      </c>
      <c r="S26" s="2770">
        <f t="shared" si="16"/>
        <v>37984570.3125</v>
      </c>
      <c r="T26" s="2770">
        <f t="shared" si="16"/>
        <v>39883798.828125007</v>
      </c>
      <c r="U26" s="2770">
        <f t="shared" si="16"/>
        <v>39883798.828125007</v>
      </c>
      <c r="V26" s="2770">
        <f t="shared" si="16"/>
        <v>39883798.828125007</v>
      </c>
      <c r="W26" s="2770">
        <f t="shared" si="16"/>
        <v>41877988.769531265</v>
      </c>
      <c r="X26" s="2770">
        <f t="shared" si="16"/>
        <v>41877988.769531265</v>
      </c>
      <c r="Y26" s="2770">
        <f t="shared" si="16"/>
        <v>41877988.769531265</v>
      </c>
      <c r="Z26" s="2770">
        <f t="shared" si="16"/>
        <v>43971888.20800782</v>
      </c>
      <c r="AA26" s="2770">
        <f t="shared" si="16"/>
        <v>43971888.20800782</v>
      </c>
      <c r="AB26" s="2770">
        <f t="shared" si="16"/>
        <v>43971888.20800782</v>
      </c>
      <c r="AC26" s="2770">
        <f t="shared" si="16"/>
        <v>46170482.618408211</v>
      </c>
      <c r="AD26" s="2770">
        <f t="shared" si="16"/>
        <v>46170482.618408211</v>
      </c>
      <c r="AE26" s="2770">
        <f t="shared" si="16"/>
        <v>46170482.618408211</v>
      </c>
      <c r="AF26" s="2770">
        <f t="shared" si="16"/>
        <v>48479006.749328628</v>
      </c>
      <c r="AG26" s="2770">
        <f t="shared" si="16"/>
        <v>48479006.749328628</v>
      </c>
      <c r="AH26" s="2770">
        <f t="shared" si="16"/>
        <v>48479006.749328628</v>
      </c>
      <c r="AI26" s="2770">
        <f t="shared" si="16"/>
        <v>50902957.086795054</v>
      </c>
      <c r="AJ26" s="2770">
        <f t="shared" si="16"/>
        <v>50902957.086795054</v>
      </c>
      <c r="AK26" s="2770">
        <f t="shared" si="16"/>
        <v>50902957.086795054</v>
      </c>
      <c r="AL26" s="2770">
        <f t="shared" si="16"/>
        <v>53448104.941134818</v>
      </c>
      <c r="AM26" s="2770">
        <f t="shared" si="16"/>
        <v>53448104.941134818</v>
      </c>
      <c r="AN26" s="2770">
        <f t="shared" si="16"/>
        <v>53448104.941134818</v>
      </c>
      <c r="AO26" s="2770">
        <f t="shared" si="16"/>
        <v>56120510.18819157</v>
      </c>
      <c r="AP26" s="2770">
        <f t="shared" si="16"/>
        <v>56120510.18819157</v>
      </c>
      <c r="AQ26" s="2770">
        <f t="shared" si="16"/>
        <v>56120510.18819157</v>
      </c>
      <c r="AR26" s="2770">
        <f>AR14/12*2.5</f>
        <v>58926535.697601147</v>
      </c>
      <c r="AS26" s="2770">
        <f>AS14/12*2.5</f>
        <v>58926535.697601147</v>
      </c>
      <c r="AT26" s="2770">
        <f>AT14/12*2.5</f>
        <v>58926535.697601147</v>
      </c>
      <c r="AU26" s="2770">
        <f>AU14/12*2.5</f>
        <v>61872862.482481219</v>
      </c>
      <c r="AV26" s="2694">
        <v>0</v>
      </c>
      <c r="AW26" s="2758"/>
      <c r="AX26" s="2759"/>
      <c r="AY26" s="2760"/>
      <c r="AZ26" s="2760"/>
      <c r="BA26" s="2760"/>
      <c r="BB26" s="2760"/>
      <c r="BC26" s="2760"/>
      <c r="BD26" s="2760"/>
      <c r="BE26" s="2760"/>
      <c r="BF26" s="2760"/>
      <c r="BG26" s="2760"/>
      <c r="BI26" s="2730"/>
      <c r="BJ26" s="2730"/>
    </row>
    <row r="27" spans="1:62" ht="17.25" outlineLevel="1">
      <c r="A27" s="2767" t="s">
        <v>4028</v>
      </c>
      <c r="B27" s="2768"/>
      <c r="C27" s="2763"/>
      <c r="D27" s="2764"/>
      <c r="E27" s="2764"/>
      <c r="F27" s="2769"/>
      <c r="G27" s="2770"/>
      <c r="H27" s="2770">
        <f t="shared" ref="H27:AU28" si="17">H15/12</f>
        <v>8333333.333333333</v>
      </c>
      <c r="I27" s="2770">
        <f t="shared" si="17"/>
        <v>8333333.333333333</v>
      </c>
      <c r="J27" s="2770">
        <f t="shared" si="17"/>
        <v>8333333.333333333</v>
      </c>
      <c r="K27" s="2770">
        <f t="shared" si="17"/>
        <v>8750000</v>
      </c>
      <c r="L27" s="2770">
        <f t="shared" si="17"/>
        <v>8750000</v>
      </c>
      <c r="M27" s="2770">
        <f t="shared" si="17"/>
        <v>8750000</v>
      </c>
      <c r="N27" s="2770">
        <f t="shared" si="17"/>
        <v>9187500</v>
      </c>
      <c r="O27" s="2770">
        <f t="shared" si="17"/>
        <v>9187500</v>
      </c>
      <c r="P27" s="2770">
        <f t="shared" si="17"/>
        <v>9187500</v>
      </c>
      <c r="Q27" s="2770">
        <f t="shared" si="17"/>
        <v>9646875</v>
      </c>
      <c r="R27" s="2770">
        <f t="shared" si="17"/>
        <v>9646875</v>
      </c>
      <c r="S27" s="2770">
        <f t="shared" si="17"/>
        <v>9646875</v>
      </c>
      <c r="T27" s="2770">
        <f t="shared" si="17"/>
        <v>10129218.750000002</v>
      </c>
      <c r="U27" s="2770">
        <f t="shared" si="17"/>
        <v>10129218.750000002</v>
      </c>
      <c r="V27" s="2770">
        <f t="shared" si="17"/>
        <v>10129218.750000002</v>
      </c>
      <c r="W27" s="2770">
        <f t="shared" si="17"/>
        <v>10635679.687500002</v>
      </c>
      <c r="X27" s="2770">
        <f t="shared" si="17"/>
        <v>10635679.687500002</v>
      </c>
      <c r="Y27" s="2770">
        <f t="shared" si="17"/>
        <v>10635679.687500002</v>
      </c>
      <c r="Z27" s="2770">
        <f t="shared" si="17"/>
        <v>11167463.671875002</v>
      </c>
      <c r="AA27" s="2770">
        <f t="shared" si="17"/>
        <v>11167463.671875002</v>
      </c>
      <c r="AB27" s="2770">
        <f t="shared" si="17"/>
        <v>11167463.671875002</v>
      </c>
      <c r="AC27" s="2770">
        <f t="shared" si="17"/>
        <v>11725836.855468756</v>
      </c>
      <c r="AD27" s="2770">
        <f t="shared" si="17"/>
        <v>11725836.855468756</v>
      </c>
      <c r="AE27" s="2770">
        <f t="shared" si="17"/>
        <v>11725836.855468756</v>
      </c>
      <c r="AF27" s="2770">
        <f t="shared" si="17"/>
        <v>12312128.698242193</v>
      </c>
      <c r="AG27" s="2770">
        <f t="shared" si="17"/>
        <v>12312128.698242193</v>
      </c>
      <c r="AH27" s="2770">
        <f t="shared" si="17"/>
        <v>12312128.698242193</v>
      </c>
      <c r="AI27" s="2770">
        <f t="shared" si="17"/>
        <v>12927735.133154303</v>
      </c>
      <c r="AJ27" s="2770">
        <f t="shared" si="17"/>
        <v>12927735.133154303</v>
      </c>
      <c r="AK27" s="2770">
        <f t="shared" si="17"/>
        <v>12927735.133154303</v>
      </c>
      <c r="AL27" s="2770">
        <f t="shared" si="17"/>
        <v>13574121.889812017</v>
      </c>
      <c r="AM27" s="2770">
        <f t="shared" si="17"/>
        <v>13574121.889812017</v>
      </c>
      <c r="AN27" s="2770">
        <f t="shared" si="17"/>
        <v>13574121.889812017</v>
      </c>
      <c r="AO27" s="2770">
        <f t="shared" si="17"/>
        <v>14252827.984302619</v>
      </c>
      <c r="AP27" s="2770">
        <f t="shared" si="17"/>
        <v>14252827.984302619</v>
      </c>
      <c r="AQ27" s="2770">
        <f t="shared" si="17"/>
        <v>14252827.984302619</v>
      </c>
      <c r="AR27" s="2770">
        <f t="shared" si="17"/>
        <v>14965469.383517751</v>
      </c>
      <c r="AS27" s="2770">
        <f t="shared" si="17"/>
        <v>14965469.383517751</v>
      </c>
      <c r="AT27" s="2770">
        <f t="shared" si="17"/>
        <v>14965469.383517751</v>
      </c>
      <c r="AU27" s="2770">
        <f t="shared" si="17"/>
        <v>15713742.85269364</v>
      </c>
      <c r="AV27" s="2694">
        <v>0</v>
      </c>
      <c r="AW27" s="2771"/>
      <c r="AX27" s="2759"/>
      <c r="AY27" s="2760"/>
      <c r="AZ27" s="2760"/>
      <c r="BA27" s="2760"/>
      <c r="BB27" s="2760"/>
      <c r="BC27" s="2760"/>
      <c r="BD27" s="2760"/>
      <c r="BE27" s="2760"/>
      <c r="BF27" s="2760"/>
      <c r="BG27" s="2760"/>
      <c r="BI27" s="2730"/>
      <c r="BJ27" s="2730"/>
    </row>
    <row r="28" spans="1:62" ht="17.25" outlineLevel="1">
      <c r="A28" s="2767" t="s">
        <v>4029</v>
      </c>
      <c r="B28" s="2768"/>
      <c r="C28" s="2763"/>
      <c r="D28" s="2764"/>
      <c r="E28" s="2764"/>
      <c r="F28" s="2769">
        <f>29132454+11652352+2887036+10678191</f>
        <v>54350033</v>
      </c>
      <c r="G28" s="2769">
        <v>8401952</v>
      </c>
      <c r="H28" s="2769">
        <f t="shared" si="17"/>
        <v>19066968.455685105</v>
      </c>
      <c r="I28" s="2769">
        <f t="shared" si="17"/>
        <v>19408576.699442919</v>
      </c>
      <c r="J28" s="2769">
        <f t="shared" si="17"/>
        <v>20283093.803462919</v>
      </c>
      <c r="K28" s="2769">
        <f t="shared" si="17"/>
        <v>21964717.318068046</v>
      </c>
      <c r="L28" s="2769">
        <f t="shared" si="17"/>
        <v>21964717.318068046</v>
      </c>
      <c r="M28" s="2769">
        <f t="shared" si="17"/>
        <v>23399471.94185086</v>
      </c>
      <c r="N28" s="2769">
        <f t="shared" si="17"/>
        <v>24567362.20561007</v>
      </c>
      <c r="O28" s="2769">
        <f t="shared" si="17"/>
        <v>25280435.253630128</v>
      </c>
      <c r="P28" s="2769">
        <f t="shared" si="17"/>
        <v>25280435.253630128</v>
      </c>
      <c r="Q28" s="2769">
        <f t="shared" si="17"/>
        <v>26542373.682978299</v>
      </c>
      <c r="R28" s="2769">
        <f t="shared" si="17"/>
        <v>27554736.545519453</v>
      </c>
      <c r="S28" s="2769">
        <f t="shared" si="17"/>
        <v>27554736.545519453</v>
      </c>
      <c r="T28" s="2769">
        <f t="shared" si="17"/>
        <v>29705480.356095165</v>
      </c>
      <c r="U28" s="2769">
        <f t="shared" si="17"/>
        <v>29705480.356095165</v>
      </c>
      <c r="V28" s="2769">
        <f t="shared" si="17"/>
        <v>29705480.356095165</v>
      </c>
      <c r="W28" s="2769">
        <f t="shared" si="17"/>
        <v>32014142.227780804</v>
      </c>
      <c r="X28" s="2769">
        <f t="shared" si="17"/>
        <v>32014142.227780804</v>
      </c>
      <c r="Y28" s="2769">
        <f t="shared" si="17"/>
        <v>32014142.227780804</v>
      </c>
      <c r="Z28" s="2769">
        <f t="shared" si="17"/>
        <v>33612766.005836517</v>
      </c>
      <c r="AA28" s="2769">
        <f t="shared" si="17"/>
        <v>33612766.005836517</v>
      </c>
      <c r="AB28" s="2769">
        <f t="shared" si="17"/>
        <v>34467303.079924479</v>
      </c>
      <c r="AC28" s="2769">
        <f t="shared" si="17"/>
        <v>36188584.900587372</v>
      </c>
      <c r="AD28" s="2769">
        <f t="shared" si="17"/>
        <v>36188584.900587372</v>
      </c>
      <c r="AE28" s="2769">
        <f t="shared" si="17"/>
        <v>31227997.185506761</v>
      </c>
      <c r="AF28" s="2769">
        <f t="shared" si="17"/>
        <v>32787313.711448763</v>
      </c>
      <c r="AG28" s="2769">
        <f t="shared" si="17"/>
        <v>32787313.711448763</v>
      </c>
      <c r="AH28" s="2769">
        <f t="shared" si="17"/>
        <v>32787313.711448763</v>
      </c>
      <c r="AI28" s="2769">
        <f t="shared" si="17"/>
        <v>36544382.093097322</v>
      </c>
      <c r="AJ28" s="2769">
        <f t="shared" si="17"/>
        <v>31075334.137220953</v>
      </c>
      <c r="AK28" s="2769">
        <f t="shared" si="17"/>
        <v>31075334.137220953</v>
      </c>
      <c r="AL28" s="2769">
        <f t="shared" si="17"/>
        <v>32627017.510748666</v>
      </c>
      <c r="AM28" s="2769">
        <f t="shared" si="17"/>
        <v>34051513.72251182</v>
      </c>
      <c r="AN28" s="2769">
        <f t="shared" si="17"/>
        <v>36277289.053391732</v>
      </c>
      <c r="AO28" s="2769">
        <f t="shared" si="17"/>
        <v>38089070.172727987</v>
      </c>
      <c r="AP28" s="2769">
        <f t="shared" si="17"/>
        <v>38089070.172727987</v>
      </c>
      <c r="AQ28" s="2769">
        <f t="shared" si="17"/>
        <v>38089070.172727987</v>
      </c>
      <c r="AR28" s="2769">
        <f t="shared" si="17"/>
        <v>41152961.204450734</v>
      </c>
      <c r="AS28" s="2769">
        <f t="shared" si="17"/>
        <v>42723468.277919613</v>
      </c>
      <c r="AT28" s="2769">
        <f t="shared" si="17"/>
        <v>31190056.957132593</v>
      </c>
      <c r="AU28" s="2769">
        <f t="shared" si="17"/>
        <v>32747476.471655894</v>
      </c>
      <c r="AV28" s="2694">
        <v>0</v>
      </c>
      <c r="AW28" s="2771"/>
      <c r="AX28" s="2759"/>
      <c r="AY28" s="2760"/>
      <c r="AZ28" s="2760"/>
      <c r="BA28" s="2760"/>
      <c r="BB28" s="2760"/>
      <c r="BC28" s="2760"/>
      <c r="BD28" s="2760"/>
      <c r="BE28" s="2760"/>
      <c r="BF28" s="2760"/>
      <c r="BG28" s="2760"/>
      <c r="BI28" s="2730"/>
      <c r="BJ28" s="2730"/>
    </row>
    <row r="29" spans="1:62" ht="17.25">
      <c r="A29" s="2752" t="s">
        <v>4030</v>
      </c>
      <c r="B29" s="2788"/>
      <c r="C29" s="2754"/>
      <c r="D29" s="2755"/>
      <c r="E29" s="2755"/>
      <c r="F29" s="2756">
        <f>SUM(F30,F58,F67,F73,F79,F70,F83,F87)</f>
        <v>271330282</v>
      </c>
      <c r="G29" s="2756">
        <f t="shared" ref="G29:AU29" si="18">SUM(G30,G58,G67,G73,G79,G70,G83,G87)</f>
        <v>273970678</v>
      </c>
      <c r="H29" s="2756">
        <f t="shared" ca="1" si="18"/>
        <v>473302410.55601984</v>
      </c>
      <c r="I29" s="2756">
        <f t="shared" ca="1" si="18"/>
        <v>478997351.15322208</v>
      </c>
      <c r="J29" s="2756">
        <f t="shared" ca="1" si="18"/>
        <v>485304380.15390098</v>
      </c>
      <c r="K29" s="2756">
        <f t="shared" ca="1" si="18"/>
        <v>492645110.89613283</v>
      </c>
      <c r="L29" s="2756">
        <f t="shared" ca="1" si="18"/>
        <v>497941969.29863393</v>
      </c>
      <c r="M29" s="2756">
        <f t="shared" ca="1" si="18"/>
        <v>504299569.75137341</v>
      </c>
      <c r="N29" s="2756">
        <f t="shared" ca="1" si="18"/>
        <v>511779883.93874657</v>
      </c>
      <c r="O29" s="2756">
        <f t="shared" ca="1" si="18"/>
        <v>517930201.12847281</v>
      </c>
      <c r="P29" s="2756">
        <f t="shared" ca="1" si="18"/>
        <v>523490933.85725451</v>
      </c>
      <c r="Q29" s="2756">
        <f t="shared" ca="1" si="18"/>
        <v>530680951.70805895</v>
      </c>
      <c r="R29" s="2756">
        <f t="shared" ca="1" si="18"/>
        <v>535535876.74553639</v>
      </c>
      <c r="S29" s="2756">
        <f t="shared" ca="1" si="18"/>
        <v>537008466.16911387</v>
      </c>
      <c r="T29" s="2756">
        <f t="shared" ca="1" si="18"/>
        <v>544661265.3298595</v>
      </c>
      <c r="U29" s="2756">
        <f t="shared" ca="1" si="18"/>
        <v>550250601.0632292</v>
      </c>
      <c r="V29" s="2756">
        <f t="shared" ca="1" si="18"/>
        <v>556662509.91187119</v>
      </c>
      <c r="W29" s="2756">
        <f t="shared" ca="1" si="18"/>
        <v>564012973.04246294</v>
      </c>
      <c r="X29" s="2756">
        <f t="shared" ca="1" si="18"/>
        <v>569621705.83365023</v>
      </c>
      <c r="Y29" s="2756">
        <f t="shared" ca="1" si="18"/>
        <v>575236525.95274949</v>
      </c>
      <c r="Z29" s="2756">
        <f t="shared" ca="1" si="18"/>
        <v>580417991.62739003</v>
      </c>
      <c r="AA29" s="2756">
        <f t="shared" ca="1" si="18"/>
        <v>586349873.13615787</v>
      </c>
      <c r="AB29" s="2756">
        <f t="shared" ca="1" si="18"/>
        <v>592721441.34005797</v>
      </c>
      <c r="AC29" s="2756">
        <f t="shared" ca="1" si="18"/>
        <v>600266873.1927731</v>
      </c>
      <c r="AD29" s="2756">
        <f t="shared" ca="1" si="18"/>
        <v>606912959.50529146</v>
      </c>
      <c r="AE29" s="2756">
        <f t="shared" ca="1" si="18"/>
        <v>608516347.96416533</v>
      </c>
      <c r="AF29" s="2756">
        <f t="shared" ca="1" si="18"/>
        <v>616296101.76202726</v>
      </c>
      <c r="AG29" s="2756">
        <f t="shared" ca="1" si="18"/>
        <v>622208632.39914513</v>
      </c>
      <c r="AH29" s="2756">
        <f t="shared" ca="1" si="18"/>
        <v>627875287.05177784</v>
      </c>
      <c r="AI29" s="2756">
        <f t="shared" ca="1" si="18"/>
        <v>636912555.45932674</v>
      </c>
      <c r="AJ29" s="2756">
        <f t="shared" ca="1" si="18"/>
        <v>638936275.06920791</v>
      </c>
      <c r="AK29" s="2756">
        <f t="shared" ca="1" si="18"/>
        <v>643587576.80219018</v>
      </c>
      <c r="AL29" s="2756">
        <f t="shared" ca="1" si="18"/>
        <v>650686831.78656292</v>
      </c>
      <c r="AM29" s="2756">
        <f t="shared" ca="1" si="18"/>
        <v>657571574.06690133</v>
      </c>
      <c r="AN29" s="2756">
        <f t="shared" ca="1" si="18"/>
        <v>664410647.41154182</v>
      </c>
      <c r="AO29" s="2756">
        <f t="shared" ca="1" si="18"/>
        <v>672281563.72544003</v>
      </c>
      <c r="AP29" s="2756">
        <f t="shared" ca="1" si="18"/>
        <v>678506014.74982071</v>
      </c>
      <c r="AQ29" s="2756">
        <f t="shared" ca="1" si="18"/>
        <v>684237710.28444517</v>
      </c>
      <c r="AR29" s="2756">
        <f t="shared" ca="1" si="18"/>
        <v>693316764.81526816</v>
      </c>
      <c r="AS29" s="2756">
        <f t="shared" ca="1" si="18"/>
        <v>699861614.4452194</v>
      </c>
      <c r="AT29" s="2756">
        <f t="shared" ca="1" si="18"/>
        <v>698757747.4224689</v>
      </c>
      <c r="AU29" s="2756">
        <f t="shared" ca="1" si="18"/>
        <v>706680567.93083024</v>
      </c>
      <c r="AV29" s="2694">
        <v>0</v>
      </c>
      <c r="AW29" s="2771"/>
      <c r="AX29" s="2759"/>
      <c r="AY29" s="2760"/>
      <c r="AZ29" s="2760"/>
      <c r="BA29" s="2760"/>
      <c r="BB29" s="2760"/>
      <c r="BC29" s="2760"/>
      <c r="BD29" s="2760"/>
      <c r="BE29" s="2760"/>
      <c r="BF29" s="2760"/>
      <c r="BG29" s="2760"/>
      <c r="BI29" s="2730"/>
      <c r="BJ29" s="2730"/>
    </row>
    <row r="30" spans="1:62" ht="17.25" outlineLevel="1">
      <c r="A30" s="2789" t="s">
        <v>4031</v>
      </c>
      <c r="B30" s="2790"/>
      <c r="C30" s="2791">
        <v>0.01</v>
      </c>
      <c r="D30" s="2792">
        <v>1</v>
      </c>
      <c r="E30" s="2793"/>
      <c r="F30" s="2794">
        <f>SUM(F31,F41:F46,F52,F57)</f>
        <v>38924360</v>
      </c>
      <c r="G30" s="2794">
        <f t="shared" ref="G30:AU30" si="19">SUM(G31,G41:G46,G52,G57)</f>
        <v>46933900</v>
      </c>
      <c r="H30" s="2794">
        <f t="shared" si="19"/>
        <v>73587134.592911765</v>
      </c>
      <c r="I30" s="2794">
        <f t="shared" si="19"/>
        <v>73953916.348425508</v>
      </c>
      <c r="J30" s="2794">
        <f t="shared" si="19"/>
        <v>74663086.700540662</v>
      </c>
      <c r="K30" s="2794">
        <f t="shared" si="19"/>
        <v>75871197.260917395</v>
      </c>
      <c r="L30" s="2794">
        <f t="shared" si="19"/>
        <v>75753306.306939036</v>
      </c>
      <c r="M30" s="2794">
        <f t="shared" si="19"/>
        <v>76538015.328578591</v>
      </c>
      <c r="N30" s="2794">
        <f t="shared" si="19"/>
        <v>78073268.525619552</v>
      </c>
      <c r="O30" s="2794">
        <f t="shared" si="19"/>
        <v>78730828.609217048</v>
      </c>
      <c r="P30" s="2794">
        <f t="shared" si="19"/>
        <v>78980129.64321892</v>
      </c>
      <c r="Q30" s="2794">
        <f t="shared" si="19"/>
        <v>80074174.130011022</v>
      </c>
      <c r="R30" s="2794">
        <f t="shared" si="19"/>
        <v>80008331.936163619</v>
      </c>
      <c r="S30" s="2794">
        <f t="shared" si="19"/>
        <v>76782156.940796793</v>
      </c>
      <c r="T30" s="2794">
        <f t="shared" si="19"/>
        <v>78234384.314351663</v>
      </c>
      <c r="U30" s="2794">
        <f t="shared" si="19"/>
        <v>78491301.201577976</v>
      </c>
      <c r="V30" s="2794">
        <f t="shared" si="19"/>
        <v>79249787.257676542</v>
      </c>
      <c r="W30" s="2794">
        <f t="shared" si="19"/>
        <v>80099528.368843943</v>
      </c>
      <c r="X30" s="2794">
        <f t="shared" si="19"/>
        <v>80362739.590430871</v>
      </c>
      <c r="Y30" s="2794">
        <f t="shared" si="19"/>
        <v>80627582.924233675</v>
      </c>
      <c r="Z30" s="2794">
        <f t="shared" si="19"/>
        <v>80742209.183880806</v>
      </c>
      <c r="AA30" s="2794">
        <f t="shared" si="19"/>
        <v>81010365.868693039</v>
      </c>
      <c r="AB30" s="2794">
        <f t="shared" si="19"/>
        <v>81602529.21581924</v>
      </c>
      <c r="AC30" s="2794">
        <f t="shared" si="19"/>
        <v>82969723.321901113</v>
      </c>
      <c r="AD30" s="2794">
        <f t="shared" si="19"/>
        <v>83742975.322419822</v>
      </c>
      <c r="AE30" s="2794">
        <f t="shared" si="19"/>
        <v>81140146.504412338</v>
      </c>
      <c r="AF30" s="2794">
        <f t="shared" si="19"/>
        <v>82472099.195089176</v>
      </c>
      <c r="AG30" s="2794">
        <f t="shared" si="19"/>
        <v>82748917.071266159</v>
      </c>
      <c r="AH30" s="2794">
        <f t="shared" si="19"/>
        <v>82687503.126204908</v>
      </c>
      <c r="AI30" s="2794">
        <f t="shared" si="19"/>
        <v>84877172.492501274</v>
      </c>
      <c r="AJ30" s="2794">
        <f t="shared" si="19"/>
        <v>82081243.128105968</v>
      </c>
      <c r="AK30" s="2794">
        <f t="shared" si="19"/>
        <v>82363488.31550549</v>
      </c>
      <c r="AL30" s="2794">
        <f t="shared" si="19"/>
        <v>84249606.356185421</v>
      </c>
      <c r="AM30" s="2794">
        <f t="shared" si="19"/>
        <v>85072824.15949133</v>
      </c>
      <c r="AN30" s="2794">
        <f t="shared" si="19"/>
        <v>86200137.632751182</v>
      </c>
      <c r="AO30" s="2794">
        <f t="shared" si="19"/>
        <v>87715778.405142903</v>
      </c>
      <c r="AP30" s="2794">
        <f t="shared" si="19"/>
        <v>88507319.928682178</v>
      </c>
      <c r="AQ30" s="2794">
        <f t="shared" si="19"/>
        <v>88800776.867456809</v>
      </c>
      <c r="AR30" s="2794">
        <f t="shared" si="19"/>
        <v>91011319.519822165</v>
      </c>
      <c r="AS30" s="2794">
        <f t="shared" si="19"/>
        <v>91902946.038595855</v>
      </c>
      <c r="AT30" s="2794">
        <f t="shared" si="19"/>
        <v>86843874.724005088</v>
      </c>
      <c r="AU30" s="2794">
        <f t="shared" si="19"/>
        <v>88326091.832989097</v>
      </c>
      <c r="AV30" s="2694">
        <v>0</v>
      </c>
      <c r="AW30" s="2703"/>
      <c r="AX30" s="2795"/>
      <c r="AY30" s="2760"/>
      <c r="AZ30" s="2760"/>
      <c r="BA30" s="2760"/>
      <c r="BB30" s="2760"/>
      <c r="BC30" s="2760"/>
      <c r="BD30" s="2760"/>
      <c r="BE30" s="2760"/>
      <c r="BF30" s="2760"/>
      <c r="BG30" s="2760"/>
      <c r="BI30" s="2730"/>
      <c r="BJ30" s="2730"/>
    </row>
    <row r="31" spans="1:62" ht="17.25" outlineLevel="1">
      <c r="A31" s="2767" t="s">
        <v>4032</v>
      </c>
      <c r="B31" s="2796"/>
      <c r="C31" s="2797">
        <v>0.01</v>
      </c>
      <c r="D31" s="2798"/>
      <c r="E31" s="2798"/>
      <c r="F31" s="2769">
        <f>SUM(F32:F40)</f>
        <v>1220000</v>
      </c>
      <c r="G31" s="2769">
        <f>SUM(G32:G40)</f>
        <v>1200000</v>
      </c>
      <c r="H31" s="2769">
        <f t="shared" ref="H31:AU31" si="20">(SUM(H32:H40)*(1+$C$31)^(H2-$F$2))</f>
        <v>2795074</v>
      </c>
      <c r="I31" s="2769">
        <f t="shared" si="20"/>
        <v>2823024.7399999998</v>
      </c>
      <c r="J31" s="2769">
        <f t="shared" si="20"/>
        <v>2851254.9874</v>
      </c>
      <c r="K31" s="2769">
        <f t="shared" si="20"/>
        <v>2879767.5372739998</v>
      </c>
      <c r="L31" s="2769">
        <f t="shared" si="20"/>
        <v>2908565.2126467405</v>
      </c>
      <c r="M31" s="2769">
        <f t="shared" si="20"/>
        <v>2937650.8647732069</v>
      </c>
      <c r="N31" s="2769">
        <f t="shared" si="20"/>
        <v>2967027.3734209398</v>
      </c>
      <c r="O31" s="2769">
        <f t="shared" si="20"/>
        <v>3138876.7326041162</v>
      </c>
      <c r="P31" s="2769">
        <f t="shared" si="20"/>
        <v>3170265.4999301578</v>
      </c>
      <c r="Q31" s="2769">
        <f t="shared" si="20"/>
        <v>3201968.1549294586</v>
      </c>
      <c r="R31" s="2769">
        <f t="shared" si="20"/>
        <v>3233987.8364787535</v>
      </c>
      <c r="S31" s="2769">
        <f t="shared" si="20"/>
        <v>3266327.7148435409</v>
      </c>
      <c r="T31" s="2769">
        <f t="shared" si="20"/>
        <v>3298990.9919919767</v>
      </c>
      <c r="U31" s="2769">
        <f t="shared" si="20"/>
        <v>3331980.9019118957</v>
      </c>
      <c r="V31" s="2769">
        <f t="shared" si="20"/>
        <v>3365300.7109310157</v>
      </c>
      <c r="W31" s="2769">
        <f t="shared" si="20"/>
        <v>3552913.2941188077</v>
      </c>
      <c r="X31" s="2769">
        <f t="shared" si="20"/>
        <v>3588442.4270599959</v>
      </c>
      <c r="Y31" s="2769">
        <f t="shared" si="20"/>
        <v>3624326.8513305946</v>
      </c>
      <c r="Z31" s="2769">
        <f t="shared" si="20"/>
        <v>3660570.1198439011</v>
      </c>
      <c r="AA31" s="2769">
        <f t="shared" si="20"/>
        <v>3697175.8210423398</v>
      </c>
      <c r="AB31" s="2769">
        <f t="shared" si="20"/>
        <v>3734147.5792527641</v>
      </c>
      <c r="AC31" s="2769">
        <f t="shared" si="20"/>
        <v>3771489.0550452913</v>
      </c>
      <c r="AD31" s="2769">
        <f t="shared" si="20"/>
        <v>3809203.945595745</v>
      </c>
      <c r="AE31" s="2769">
        <f t="shared" si="20"/>
        <v>3680579.8256994626</v>
      </c>
      <c r="AF31" s="2769">
        <f t="shared" si="20"/>
        <v>3717385.6239564568</v>
      </c>
      <c r="AG31" s="2769">
        <f t="shared" si="20"/>
        <v>3754559.4801960201</v>
      </c>
      <c r="AH31" s="2769">
        <f t="shared" si="20"/>
        <v>3792105.0749979806</v>
      </c>
      <c r="AI31" s="2769">
        <f t="shared" si="20"/>
        <v>3830026.1257479605</v>
      </c>
      <c r="AJ31" s="2769">
        <f t="shared" si="20"/>
        <v>3693106.0280121635</v>
      </c>
      <c r="AK31" s="2769">
        <f t="shared" si="20"/>
        <v>3730037.0882922835</v>
      </c>
      <c r="AL31" s="2769">
        <f t="shared" si="20"/>
        <v>3767337.4591752072</v>
      </c>
      <c r="AM31" s="2769">
        <f t="shared" si="20"/>
        <v>3805010.8337669596</v>
      </c>
      <c r="AN31" s="2769">
        <f t="shared" si="20"/>
        <v>3843060.9421046292</v>
      </c>
      <c r="AO31" s="2769">
        <f t="shared" si="20"/>
        <v>3881491.5515256748</v>
      </c>
      <c r="AP31" s="2769">
        <f t="shared" si="20"/>
        <v>3920306.4670409318</v>
      </c>
      <c r="AQ31" s="2769">
        <f t="shared" si="20"/>
        <v>3959509.5317113413</v>
      </c>
      <c r="AR31" s="2769">
        <f t="shared" si="20"/>
        <v>4188843.1677268855</v>
      </c>
      <c r="AS31" s="2769">
        <f t="shared" si="20"/>
        <v>4230731.5994041534</v>
      </c>
      <c r="AT31" s="2769">
        <f t="shared" si="20"/>
        <v>3603050.2352834963</v>
      </c>
      <c r="AU31" s="2769">
        <f t="shared" si="20"/>
        <v>3639080.7376363315</v>
      </c>
      <c r="AV31" s="2694">
        <v>0</v>
      </c>
      <c r="AW31" s="2799"/>
      <c r="AX31" s="2800"/>
      <c r="AY31" s="2760"/>
      <c r="AZ31" s="2760"/>
      <c r="BA31" s="2760"/>
      <c r="BB31" s="2760"/>
      <c r="BC31" s="2760"/>
      <c r="BD31" s="2760"/>
      <c r="BE31" s="2760"/>
      <c r="BF31" s="2760"/>
      <c r="BG31" s="2760"/>
      <c r="BI31" s="2730"/>
      <c r="BJ31" s="2730"/>
    </row>
    <row r="32" spans="1:62" ht="17.25" outlineLevel="1">
      <c r="A32" s="2801" t="s">
        <v>4033</v>
      </c>
      <c r="B32" s="2802" t="s">
        <v>4034</v>
      </c>
      <c r="C32" s="2763">
        <v>600</v>
      </c>
      <c r="D32" s="2764"/>
      <c r="E32" s="2764"/>
      <c r="F32" s="2769">
        <v>320000</v>
      </c>
      <c r="G32" s="2769">
        <v>300000</v>
      </c>
      <c r="H32" s="2769">
        <f>$C$32*10^3*인력계획!H7</f>
        <v>600000</v>
      </c>
      <c r="I32" s="2769">
        <f>$C$32*10^3*인력계획!I7</f>
        <v>600000</v>
      </c>
      <c r="J32" s="2769">
        <f>$C$32*10^3*인력계획!J7</f>
        <v>600000</v>
      </c>
      <c r="K32" s="2769">
        <f>$C$32*10^3*인력계획!K7</f>
        <v>600000</v>
      </c>
      <c r="L32" s="2769">
        <f>$C$32*10^3*인력계획!L7</f>
        <v>600000</v>
      </c>
      <c r="M32" s="2769">
        <f>$C$32*10^3*인력계획!M7</f>
        <v>600000</v>
      </c>
      <c r="N32" s="2769">
        <f>$C$32*10^3*인력계획!N7</f>
        <v>600000</v>
      </c>
      <c r="O32" s="2769">
        <f>$C$32*10^3*인력계획!O7</f>
        <v>600000</v>
      </c>
      <c r="P32" s="2769">
        <f>$C$32*10^3*인력계획!P7</f>
        <v>600000</v>
      </c>
      <c r="Q32" s="2769">
        <f>$C$32*10^3*인력계획!Q7</f>
        <v>600000</v>
      </c>
      <c r="R32" s="2769">
        <f>$C$32*10^3*인력계획!R7</f>
        <v>600000</v>
      </c>
      <c r="S32" s="2769">
        <f>$C$32*10^3*인력계획!S7</f>
        <v>600000</v>
      </c>
      <c r="T32" s="2769">
        <f>$C$32*10^3*인력계획!T7</f>
        <v>600000</v>
      </c>
      <c r="U32" s="2769">
        <f>$C$32*10^3*인력계획!U7</f>
        <v>600000</v>
      </c>
      <c r="V32" s="2769">
        <f>$C$32*10^3*인력계획!V7</f>
        <v>600000</v>
      </c>
      <c r="W32" s="2769">
        <f>$C$32*10^3*인력계획!W7</f>
        <v>600000</v>
      </c>
      <c r="X32" s="2769">
        <f>$C$32*10^3*인력계획!X7</f>
        <v>600000</v>
      </c>
      <c r="Y32" s="2769">
        <f>$C$32*10^3*인력계획!Y7</f>
        <v>600000</v>
      </c>
      <c r="Z32" s="2769">
        <f>$C$32*10^3*인력계획!Z7</f>
        <v>600000</v>
      </c>
      <c r="AA32" s="2769">
        <f>$C$32*10^3*인력계획!AA7</f>
        <v>600000</v>
      </c>
      <c r="AB32" s="2769">
        <f>$C$32*10^3*인력계획!AB7</f>
        <v>600000</v>
      </c>
      <c r="AC32" s="2769">
        <f>$C$32*10^3*인력계획!AC7</f>
        <v>600000</v>
      </c>
      <c r="AD32" s="2769">
        <f>$C$32*10^3*인력계획!AD7</f>
        <v>600000</v>
      </c>
      <c r="AE32" s="2769">
        <f>$C$32*10^3*인력계획!AE7</f>
        <v>600000</v>
      </c>
      <c r="AF32" s="2769">
        <f>$C$32*10^3*인력계획!AF7</f>
        <v>600000</v>
      </c>
      <c r="AG32" s="2769">
        <f>$C$32*10^3*인력계획!AG7</f>
        <v>600000</v>
      </c>
      <c r="AH32" s="2769">
        <f>$C$32*10^3*인력계획!AH7</f>
        <v>600000</v>
      </c>
      <c r="AI32" s="2769">
        <f>$C$32*10^3*인력계획!AI7</f>
        <v>600000</v>
      </c>
      <c r="AJ32" s="2769">
        <f>$C$32*10^3*인력계획!AJ7</f>
        <v>600000</v>
      </c>
      <c r="AK32" s="2769">
        <f>$C$32*10^3*인력계획!AK7</f>
        <v>600000</v>
      </c>
      <c r="AL32" s="2769">
        <f>$C$32*10^3*인력계획!AL7</f>
        <v>600000</v>
      </c>
      <c r="AM32" s="2769">
        <f>$C$32*10^3*인력계획!AM7</f>
        <v>600000</v>
      </c>
      <c r="AN32" s="2769">
        <f>$C$32*10^3*인력계획!AN7</f>
        <v>600000</v>
      </c>
      <c r="AO32" s="2769">
        <f>$C$32*10^3*인력계획!AO7</f>
        <v>600000</v>
      </c>
      <c r="AP32" s="2769">
        <f>$C$32*10^3*인력계획!AP7</f>
        <v>600000</v>
      </c>
      <c r="AQ32" s="2769">
        <f>$C$32*10^3*인력계획!AQ7</f>
        <v>600000</v>
      </c>
      <c r="AR32" s="2769">
        <f>$C$32*10^3*인력계획!AR7</f>
        <v>600000</v>
      </c>
      <c r="AS32" s="2769">
        <f>$C$32*10^3*인력계획!AS7</f>
        <v>600000</v>
      </c>
      <c r="AT32" s="2769">
        <f>$C$32*10^3*인력계획!AT7</f>
        <v>600000</v>
      </c>
      <c r="AU32" s="2769">
        <f>$C$32*10^3*인력계획!AU7</f>
        <v>600000</v>
      </c>
      <c r="AV32" s="2694">
        <v>0</v>
      </c>
      <c r="AW32" s="2771"/>
      <c r="AX32" s="2759"/>
      <c r="AY32" s="2760"/>
      <c r="AZ32" s="2760"/>
      <c r="BA32" s="2760"/>
      <c r="BB32" s="2760"/>
      <c r="BC32" s="2760"/>
      <c r="BD32" s="2760"/>
      <c r="BE32" s="2760"/>
      <c r="BF32" s="2760"/>
      <c r="BG32" s="2760"/>
      <c r="BI32" s="2730"/>
      <c r="BJ32" s="2730"/>
    </row>
    <row r="33" spans="1:62" ht="17.25" outlineLevel="1">
      <c r="A33" s="2801" t="s">
        <v>4035</v>
      </c>
      <c r="B33" s="2802" t="s">
        <v>4034</v>
      </c>
      <c r="C33" s="2763"/>
      <c r="D33" s="2764"/>
      <c r="E33" s="2764"/>
      <c r="F33" s="2769"/>
      <c r="G33" s="2769"/>
      <c r="H33" s="2769">
        <f>$C$32*10^3*인력계획!H8</f>
        <v>600000</v>
      </c>
      <c r="I33" s="2769">
        <f>$C$32*10^3*인력계획!I8</f>
        <v>600000</v>
      </c>
      <c r="J33" s="2769">
        <f>$C$32*10^3*인력계획!J8</f>
        <v>600000</v>
      </c>
      <c r="K33" s="2769">
        <f>$C$32*10^3*인력계획!K8</f>
        <v>600000</v>
      </c>
      <c r="L33" s="2769">
        <f>$C$32*10^3*인력계획!L8</f>
        <v>600000</v>
      </c>
      <c r="M33" s="2769">
        <f>$C$32*10^3*인력계획!M8</f>
        <v>600000</v>
      </c>
      <c r="N33" s="2769">
        <f>$C$32*10^3*인력계획!N8</f>
        <v>600000</v>
      </c>
      <c r="O33" s="2769">
        <f>$C$32*10^3*인력계획!O8</f>
        <v>600000</v>
      </c>
      <c r="P33" s="2769">
        <f>$C$32*10^3*인력계획!P8</f>
        <v>600000</v>
      </c>
      <c r="Q33" s="2769">
        <f>$C$32*10^3*인력계획!Q8</f>
        <v>600000</v>
      </c>
      <c r="R33" s="2769">
        <f>$C$32*10^3*인력계획!R8</f>
        <v>600000</v>
      </c>
      <c r="S33" s="2769">
        <f>$C$32*10^3*인력계획!S8</f>
        <v>600000</v>
      </c>
      <c r="T33" s="2769">
        <f>$C$32*10^3*인력계획!T8</f>
        <v>600000</v>
      </c>
      <c r="U33" s="2769">
        <f>$C$32*10^3*인력계획!U8</f>
        <v>600000</v>
      </c>
      <c r="V33" s="2769">
        <f>$C$32*10^3*인력계획!V8</f>
        <v>600000</v>
      </c>
      <c r="W33" s="2769">
        <f>$C$32*10^3*인력계획!W8</f>
        <v>600000</v>
      </c>
      <c r="X33" s="2769">
        <f>$C$32*10^3*인력계획!X8</f>
        <v>600000</v>
      </c>
      <c r="Y33" s="2769">
        <f>$C$32*10^3*인력계획!Y8</f>
        <v>600000</v>
      </c>
      <c r="Z33" s="2769">
        <f>$C$32*10^3*인력계획!Z8</f>
        <v>600000</v>
      </c>
      <c r="AA33" s="2769">
        <f>$C$32*10^3*인력계획!AA8</f>
        <v>600000</v>
      </c>
      <c r="AB33" s="2769">
        <f>$C$32*10^3*인력계획!AB8</f>
        <v>600000</v>
      </c>
      <c r="AC33" s="2769">
        <f>$C$32*10^3*인력계획!AC8</f>
        <v>600000</v>
      </c>
      <c r="AD33" s="2769">
        <f>$C$32*10^3*인력계획!AD8</f>
        <v>600000</v>
      </c>
      <c r="AE33" s="2769">
        <f>$C$32*10^3*인력계획!AE8</f>
        <v>600000</v>
      </c>
      <c r="AF33" s="2769">
        <f>$C$32*10^3*인력계획!AF8</f>
        <v>600000</v>
      </c>
      <c r="AG33" s="2769">
        <f>$C$32*10^3*인력계획!AG8</f>
        <v>600000</v>
      </c>
      <c r="AH33" s="2769">
        <f>$C$32*10^3*인력계획!AH8</f>
        <v>600000</v>
      </c>
      <c r="AI33" s="2769">
        <f>$C$32*10^3*인력계획!AI8</f>
        <v>600000</v>
      </c>
      <c r="AJ33" s="2769">
        <f>$C$32*10^3*인력계획!AJ8</f>
        <v>600000</v>
      </c>
      <c r="AK33" s="2769">
        <f>$C$32*10^3*인력계획!AK8</f>
        <v>600000</v>
      </c>
      <c r="AL33" s="2769">
        <f>$C$32*10^3*인력계획!AL8</f>
        <v>600000</v>
      </c>
      <c r="AM33" s="2769">
        <f>$C$32*10^3*인력계획!AM8</f>
        <v>600000</v>
      </c>
      <c r="AN33" s="2769">
        <f>$C$32*10^3*인력계획!AN8</f>
        <v>600000</v>
      </c>
      <c r="AO33" s="2769">
        <f>$C$32*10^3*인력계획!AO8</f>
        <v>600000</v>
      </c>
      <c r="AP33" s="2769">
        <f>$C$32*10^3*인력계획!AP8</f>
        <v>600000</v>
      </c>
      <c r="AQ33" s="2769">
        <f>$C$32*10^3*인력계획!AQ8</f>
        <v>600000</v>
      </c>
      <c r="AR33" s="2769">
        <f>$C$32*10^3*인력계획!AR8</f>
        <v>600000</v>
      </c>
      <c r="AS33" s="2769">
        <f>$C$32*10^3*인력계획!AS8</f>
        <v>600000</v>
      </c>
      <c r="AT33" s="2769">
        <f>$C$32*10^3*인력계획!AT8</f>
        <v>600000</v>
      </c>
      <c r="AU33" s="2769">
        <f>$C$32*10^3*인력계획!AU8</f>
        <v>600000</v>
      </c>
      <c r="AV33" s="2694">
        <v>0</v>
      </c>
      <c r="AW33" s="2771"/>
      <c r="AX33" s="2759"/>
      <c r="AY33" s="2760"/>
      <c r="AZ33" s="2760"/>
      <c r="BA33" s="2760"/>
      <c r="BB33" s="2760"/>
      <c r="BC33" s="2760"/>
      <c r="BD33" s="2760"/>
      <c r="BE33" s="2760"/>
      <c r="BF33" s="2760"/>
      <c r="BG33" s="2760"/>
      <c r="BI33" s="2730"/>
      <c r="BJ33" s="2730"/>
    </row>
    <row r="34" spans="1:62" ht="17.25" outlineLevel="1">
      <c r="A34" s="2801" t="s">
        <v>4036</v>
      </c>
      <c r="B34" s="2802" t="s">
        <v>4037</v>
      </c>
      <c r="C34" s="2763">
        <v>450</v>
      </c>
      <c r="D34" s="2764"/>
      <c r="E34" s="2764"/>
      <c r="F34" s="2769"/>
      <c r="G34" s="2769"/>
      <c r="H34" s="2769">
        <f>$C$34*10^3*인력계획!H16</f>
        <v>450000</v>
      </c>
      <c r="I34" s="2769">
        <f>$C$34*10^3*인력계획!I16</f>
        <v>450000</v>
      </c>
      <c r="J34" s="2769">
        <f>$C$34*10^3*인력계획!J16</f>
        <v>450000</v>
      </c>
      <c r="K34" s="2769">
        <f>$C$34*10^3*인력계획!K16</f>
        <v>900000</v>
      </c>
      <c r="L34" s="2769">
        <f>$C$34*10^3*인력계획!L16</f>
        <v>900000</v>
      </c>
      <c r="M34" s="2769">
        <f>$C$34*10^3*인력계획!M16</f>
        <v>900000</v>
      </c>
      <c r="N34" s="2769">
        <f>$C$34*10^3*인력계획!N16</f>
        <v>900000</v>
      </c>
      <c r="O34" s="2769">
        <f>$C$34*10^3*인력계획!O16</f>
        <v>900000</v>
      </c>
      <c r="P34" s="2769">
        <f>$C$34*10^3*인력계획!P16</f>
        <v>900000</v>
      </c>
      <c r="Q34" s="2769">
        <f>$C$34*10^3*인력계획!Q16</f>
        <v>900000</v>
      </c>
      <c r="R34" s="2769">
        <f>$C$34*10^3*인력계획!R16</f>
        <v>900000</v>
      </c>
      <c r="S34" s="2769">
        <f>$C$34*10^3*인력계획!S16</f>
        <v>900000</v>
      </c>
      <c r="T34" s="2769">
        <f>$C$34*10^3*인력계획!T16</f>
        <v>1350000</v>
      </c>
      <c r="U34" s="2769">
        <f>$C$34*10^3*인력계획!U16</f>
        <v>1350000</v>
      </c>
      <c r="V34" s="2769">
        <f>$C$34*10^3*인력계획!V16</f>
        <v>1350000</v>
      </c>
      <c r="W34" s="2769">
        <f>$C$34*10^3*인력계획!W16</f>
        <v>1350000</v>
      </c>
      <c r="X34" s="2769">
        <f>$C$34*10^3*인력계획!X16</f>
        <v>1350000</v>
      </c>
      <c r="Y34" s="2769">
        <f>$C$34*10^3*인력계획!Y16</f>
        <v>1350000</v>
      </c>
      <c r="Z34" s="2769">
        <f>$C$34*10^3*인력계획!Z16</f>
        <v>1350000</v>
      </c>
      <c r="AA34" s="2769">
        <f>$C$34*10^3*인력계획!AA16</f>
        <v>1350000</v>
      </c>
      <c r="AB34" s="2769">
        <f>$C$34*10^3*인력계획!AB16</f>
        <v>1800000</v>
      </c>
      <c r="AC34" s="2769">
        <f>$C$34*10^3*인력계획!AC16</f>
        <v>1800000</v>
      </c>
      <c r="AD34" s="2769">
        <f>$C$34*10^3*인력계획!AD16</f>
        <v>1800000</v>
      </c>
      <c r="AE34" s="2769">
        <f>$C$34*10^3*인력계획!AE16</f>
        <v>1350000</v>
      </c>
      <c r="AF34" s="2769">
        <f>$C$34*10^3*인력계획!AF16</f>
        <v>1350000</v>
      </c>
      <c r="AG34" s="2769">
        <f>$C$34*10^3*인력계획!AG16</f>
        <v>1350000</v>
      </c>
      <c r="AH34" s="2769">
        <f>$C$34*10^3*인력계획!AH16</f>
        <v>1350000</v>
      </c>
      <c r="AI34" s="2769">
        <f>$C$34*10^3*인력계획!AI16</f>
        <v>1350000</v>
      </c>
      <c r="AJ34" s="2769">
        <f>$C$34*10^3*인력계획!AJ16</f>
        <v>900000</v>
      </c>
      <c r="AK34" s="2769">
        <f>$C$34*10^3*인력계획!AK16</f>
        <v>900000</v>
      </c>
      <c r="AL34" s="2769">
        <f>$C$34*10^3*인력계획!AL16</f>
        <v>900000</v>
      </c>
      <c r="AM34" s="2769">
        <f>$C$34*10^3*인력계획!AM16</f>
        <v>900000</v>
      </c>
      <c r="AN34" s="2769">
        <f>$C$34*10^3*인력계획!AN16</f>
        <v>900000</v>
      </c>
      <c r="AO34" s="2769">
        <f>$C$34*10^3*인력계획!AO16</f>
        <v>900000</v>
      </c>
      <c r="AP34" s="2769">
        <f>$C$34*10^3*인력계획!AP16</f>
        <v>900000</v>
      </c>
      <c r="AQ34" s="2769">
        <f>$C$34*10^3*인력계획!AQ16</f>
        <v>900000</v>
      </c>
      <c r="AR34" s="2769">
        <f>$C$34*10^3*인력계획!AR16</f>
        <v>900000</v>
      </c>
      <c r="AS34" s="2769">
        <f>$C$34*10^3*인력계획!AS16</f>
        <v>900000</v>
      </c>
      <c r="AT34" s="2769">
        <f>$C$34*10^3*인력계획!AT16</f>
        <v>450000</v>
      </c>
      <c r="AU34" s="2769">
        <f>$C$34*10^3*인력계획!AU16</f>
        <v>450000</v>
      </c>
      <c r="AV34" s="2694">
        <v>0</v>
      </c>
      <c r="AW34" s="2771"/>
      <c r="AX34" s="2759"/>
      <c r="AY34" s="2760"/>
      <c r="AZ34" s="2760"/>
      <c r="BA34" s="2760"/>
      <c r="BB34" s="2760"/>
      <c r="BC34" s="2760"/>
      <c r="BD34" s="2760"/>
      <c r="BE34" s="2760"/>
      <c r="BF34" s="2760"/>
      <c r="BG34" s="2760"/>
      <c r="BI34" s="2730"/>
      <c r="BJ34" s="2730"/>
    </row>
    <row r="35" spans="1:62" ht="17.25" outlineLevel="1">
      <c r="A35" s="2801" t="s">
        <v>4038</v>
      </c>
      <c r="B35" s="2802" t="s">
        <v>4037</v>
      </c>
      <c r="C35" s="2763"/>
      <c r="D35" s="2764"/>
      <c r="E35" s="2764"/>
      <c r="F35" s="2769">
        <v>300000</v>
      </c>
      <c r="G35" s="2769">
        <v>300000</v>
      </c>
      <c r="H35" s="2769">
        <f>$C$34*10^3*인력계획!H17</f>
        <v>450000</v>
      </c>
      <c r="I35" s="2769">
        <f>$C$34*10^3*인력계획!I17</f>
        <v>450000</v>
      </c>
      <c r="J35" s="2769">
        <f>$C$34*10^3*인력계획!J17</f>
        <v>450000</v>
      </c>
      <c r="K35" s="2769">
        <f>$C$34*10^3*인력계획!K17</f>
        <v>0</v>
      </c>
      <c r="L35" s="2769">
        <f>$C$34*10^3*인력계획!L17</f>
        <v>0</v>
      </c>
      <c r="M35" s="2769">
        <f>$C$34*10^3*인력계획!M17</f>
        <v>0</v>
      </c>
      <c r="N35" s="2769">
        <f>$C$34*10^3*인력계획!N17</f>
        <v>0</v>
      </c>
      <c r="O35" s="2769">
        <f>$C$34*10^3*인력계획!O17</f>
        <v>450000</v>
      </c>
      <c r="P35" s="2769">
        <f>$C$34*10^3*인력계획!P17</f>
        <v>450000</v>
      </c>
      <c r="Q35" s="2769">
        <f>$C$34*10^3*인력계획!Q17</f>
        <v>450000</v>
      </c>
      <c r="R35" s="2769">
        <f>$C$34*10^3*인력계획!R17</f>
        <v>450000</v>
      </c>
      <c r="S35" s="2769">
        <f>$C$34*10^3*인력계획!S17</f>
        <v>450000</v>
      </c>
      <c r="T35" s="2769">
        <f>$C$34*10^3*인력계획!T17</f>
        <v>0</v>
      </c>
      <c r="U35" s="2769">
        <f>$C$34*10^3*인력계획!U17</f>
        <v>0</v>
      </c>
      <c r="V35" s="2769">
        <f>$C$34*10^3*인력계획!V17</f>
        <v>0</v>
      </c>
      <c r="W35" s="2769">
        <f>$C$34*10^3*인력계획!W17</f>
        <v>450000</v>
      </c>
      <c r="X35" s="2769">
        <f>$C$34*10^3*인력계획!X17</f>
        <v>450000</v>
      </c>
      <c r="Y35" s="2769">
        <f>$C$34*10^3*인력계획!Y17</f>
        <v>450000</v>
      </c>
      <c r="Z35" s="2769">
        <f>$C$34*10^3*인력계획!Z17</f>
        <v>450000</v>
      </c>
      <c r="AA35" s="2769">
        <f>$C$34*10^3*인력계획!AA17</f>
        <v>450000</v>
      </c>
      <c r="AB35" s="2769">
        <f>$C$34*10^3*인력계획!AB17</f>
        <v>0</v>
      </c>
      <c r="AC35" s="2769">
        <f>$C$34*10^3*인력계획!AC17</f>
        <v>0</v>
      </c>
      <c r="AD35" s="2769">
        <f>$C$34*10^3*인력계획!AD17</f>
        <v>0</v>
      </c>
      <c r="AE35" s="2769">
        <f>$C$34*10^3*인력계획!AE17</f>
        <v>0</v>
      </c>
      <c r="AF35" s="2769">
        <f>$C$34*10^3*인력계획!AF17</f>
        <v>0</v>
      </c>
      <c r="AG35" s="2769">
        <f>$C$34*10^3*인력계획!AG17</f>
        <v>0</v>
      </c>
      <c r="AH35" s="2769">
        <f>$C$34*10^3*인력계획!AH17</f>
        <v>0</v>
      </c>
      <c r="AI35" s="2769">
        <f>$C$34*10^3*인력계획!AI17</f>
        <v>0</v>
      </c>
      <c r="AJ35" s="2769">
        <f>$C$34*10^3*인력계획!AJ17</f>
        <v>0</v>
      </c>
      <c r="AK35" s="2769">
        <f>$C$34*10^3*인력계획!AK17</f>
        <v>0</v>
      </c>
      <c r="AL35" s="2769">
        <f>$C$34*10^3*인력계획!AL17</f>
        <v>0</v>
      </c>
      <c r="AM35" s="2769">
        <f>$C$34*10^3*인력계획!AM17</f>
        <v>0</v>
      </c>
      <c r="AN35" s="2769">
        <f>$C$34*10^3*인력계획!AN17</f>
        <v>0</v>
      </c>
      <c r="AO35" s="2769">
        <f>$C$34*10^3*인력계획!AO17</f>
        <v>0</v>
      </c>
      <c r="AP35" s="2769">
        <f>$C$34*10^3*인력계획!AP17</f>
        <v>0</v>
      </c>
      <c r="AQ35" s="2769">
        <f>$C$34*10^3*인력계획!AQ17</f>
        <v>0</v>
      </c>
      <c r="AR35" s="2769">
        <f>$C$34*10^3*인력계획!AR17</f>
        <v>450000</v>
      </c>
      <c r="AS35" s="2769">
        <f>$C$34*10^3*인력계획!AS17</f>
        <v>450000</v>
      </c>
      <c r="AT35" s="2769">
        <f>$C$34*10^3*인력계획!AT17</f>
        <v>450000</v>
      </c>
      <c r="AU35" s="2769">
        <f>$C$34*10^3*인력계획!AU17</f>
        <v>450000</v>
      </c>
      <c r="AV35" s="2694">
        <v>0</v>
      </c>
      <c r="AW35" s="2771"/>
      <c r="AX35" s="2759"/>
      <c r="AY35" s="2760"/>
      <c r="AZ35" s="2760"/>
      <c r="BA35" s="2760"/>
      <c r="BB35" s="2760"/>
      <c r="BC35" s="2760"/>
      <c r="BD35" s="2760"/>
      <c r="BE35" s="2760"/>
      <c r="BF35" s="2760"/>
      <c r="BG35" s="2760"/>
      <c r="BI35" s="2730"/>
      <c r="BJ35" s="2730"/>
    </row>
    <row r="36" spans="1:62" ht="17.25" outlineLevel="1">
      <c r="A36" s="2801" t="s">
        <v>4039</v>
      </c>
      <c r="B36" s="2802" t="s">
        <v>4040</v>
      </c>
      <c r="C36" s="2763">
        <v>320</v>
      </c>
      <c r="D36" s="2764"/>
      <c r="E36" s="2764"/>
      <c r="F36" s="2769"/>
      <c r="G36" s="2769"/>
      <c r="H36" s="2769">
        <f>$C$36*10^3*인력계획!H18</f>
        <v>0</v>
      </c>
      <c r="I36" s="2769">
        <f>$C$36*10^3*인력계획!I18</f>
        <v>0</v>
      </c>
      <c r="J36" s="2769">
        <f>$C$36*10^3*인력계획!J18</f>
        <v>320000</v>
      </c>
      <c r="K36" s="2769">
        <f>$C$36*10^3*인력계획!K18</f>
        <v>320000</v>
      </c>
      <c r="L36" s="2769">
        <f>$C$36*10^3*인력계획!L18</f>
        <v>320000</v>
      </c>
      <c r="M36" s="2769">
        <f>$C$36*10^3*인력계획!M18</f>
        <v>320000</v>
      </c>
      <c r="N36" s="2769">
        <f>$C$36*10^3*인력계획!N18</f>
        <v>320000</v>
      </c>
      <c r="O36" s="2769">
        <f>$C$36*10^3*인력계획!O18</f>
        <v>0</v>
      </c>
      <c r="P36" s="2769">
        <f>$C$36*10^3*인력계획!P18</f>
        <v>0</v>
      </c>
      <c r="Q36" s="2769">
        <f>$C$36*10^3*인력계획!Q18</f>
        <v>0</v>
      </c>
      <c r="R36" s="2769">
        <f>$C$36*10^3*인력계획!R18</f>
        <v>320000</v>
      </c>
      <c r="S36" s="2769">
        <f>$C$36*10^3*인력계획!S18</f>
        <v>320000</v>
      </c>
      <c r="T36" s="2769">
        <f>$C$36*10^3*인력계획!T18</f>
        <v>320000</v>
      </c>
      <c r="U36" s="2769">
        <f>$C$36*10^3*인력계획!U18</f>
        <v>320000</v>
      </c>
      <c r="V36" s="2769">
        <f>$C$36*10^3*인력계획!V18</f>
        <v>320000</v>
      </c>
      <c r="W36" s="2769">
        <f>$C$36*10^3*인력계획!W18</f>
        <v>0</v>
      </c>
      <c r="X36" s="2769">
        <f>$C$36*10^3*인력계획!X18</f>
        <v>0</v>
      </c>
      <c r="Y36" s="2769">
        <f>$C$36*10^3*인력계획!Y18</f>
        <v>0</v>
      </c>
      <c r="Z36" s="2769">
        <f>$C$36*10^3*인력계획!Z18</f>
        <v>0</v>
      </c>
      <c r="AA36" s="2769">
        <f>$C$36*10^3*인력계획!AA18</f>
        <v>0</v>
      </c>
      <c r="AB36" s="2769">
        <f>$C$36*10^3*인력계획!AB18</f>
        <v>0</v>
      </c>
      <c r="AC36" s="2769">
        <f>$C$36*10^3*인력계획!AC18</f>
        <v>0</v>
      </c>
      <c r="AD36" s="2769">
        <f>$C$36*10^3*인력계획!AD18</f>
        <v>0</v>
      </c>
      <c r="AE36" s="2769">
        <f>$C$36*10^3*인력계획!AE18</f>
        <v>0</v>
      </c>
      <c r="AF36" s="2769">
        <f>$C$36*10^3*인력계획!AF18</f>
        <v>0</v>
      </c>
      <c r="AG36" s="2769">
        <f>$C$36*10^3*인력계획!AG18</f>
        <v>0</v>
      </c>
      <c r="AH36" s="2769">
        <f>$C$36*10^3*인력계획!AH18</f>
        <v>0</v>
      </c>
      <c r="AI36" s="2769">
        <f>$C$36*10^3*인력계획!AI18</f>
        <v>0</v>
      </c>
      <c r="AJ36" s="2769">
        <f>$C$36*10^3*인력계획!AJ18</f>
        <v>0</v>
      </c>
      <c r="AK36" s="2769">
        <f>$C$36*10^3*인력계획!AK18</f>
        <v>0</v>
      </c>
      <c r="AL36" s="2769">
        <f>$C$36*10^3*인력계획!AL18</f>
        <v>0</v>
      </c>
      <c r="AM36" s="2769">
        <f>$C$36*10^3*인력계획!AM18</f>
        <v>320000</v>
      </c>
      <c r="AN36" s="2769">
        <f>$C$36*10^3*인력계획!AN18</f>
        <v>320000</v>
      </c>
      <c r="AO36" s="2769">
        <f>$C$36*10^3*인력계획!AO18</f>
        <v>320000</v>
      </c>
      <c r="AP36" s="2769">
        <f>$C$36*10^3*인력계획!AP18</f>
        <v>320000</v>
      </c>
      <c r="AQ36" s="2769">
        <f>$C$36*10^3*인력계획!AQ18</f>
        <v>320000</v>
      </c>
      <c r="AR36" s="2769">
        <f>$C$36*10^3*인력계획!AR18</f>
        <v>0</v>
      </c>
      <c r="AS36" s="2769">
        <f>$C$36*10^3*인력계획!AS18</f>
        <v>320000</v>
      </c>
      <c r="AT36" s="2769">
        <f>$C$36*10^3*인력계획!AT18</f>
        <v>320000</v>
      </c>
      <c r="AU36" s="2769">
        <f>$C$36*10^3*인력계획!AU18</f>
        <v>320000</v>
      </c>
      <c r="AV36" s="2694">
        <v>0</v>
      </c>
      <c r="AW36" s="2771"/>
      <c r="AX36" s="2759"/>
      <c r="AY36" s="2760"/>
      <c r="AZ36" s="2760"/>
      <c r="BA36" s="2760"/>
      <c r="BB36" s="2760"/>
      <c r="BC36" s="2760"/>
      <c r="BD36" s="2760"/>
      <c r="BE36" s="2760"/>
      <c r="BF36" s="2760"/>
      <c r="BG36" s="2760"/>
      <c r="BI36" s="2730"/>
      <c r="BJ36" s="2730"/>
    </row>
    <row r="37" spans="1:62" ht="17.25" outlineLevel="1">
      <c r="A37" s="2801" t="s">
        <v>4041</v>
      </c>
      <c r="B37" s="2802" t="s">
        <v>4040</v>
      </c>
      <c r="C37" s="2763"/>
      <c r="D37" s="2764"/>
      <c r="E37" s="2764"/>
      <c r="F37" s="2769">
        <v>300000</v>
      </c>
      <c r="G37" s="2769">
        <v>300000</v>
      </c>
      <c r="H37" s="2769">
        <f>$C$36*10^3*인력계획!H19</f>
        <v>320000</v>
      </c>
      <c r="I37" s="2769">
        <f>$C$36*10^3*인력계획!I19</f>
        <v>320000</v>
      </c>
      <c r="J37" s="2769">
        <f>$C$36*10^3*인력계획!J19</f>
        <v>0</v>
      </c>
      <c r="K37" s="2769">
        <f>$C$36*10^3*인력계획!K19</f>
        <v>0</v>
      </c>
      <c r="L37" s="2769">
        <f>$C$36*10^3*인력계획!L19</f>
        <v>0</v>
      </c>
      <c r="M37" s="2769">
        <f>$C$36*10^3*인력계획!M19</f>
        <v>320000</v>
      </c>
      <c r="N37" s="2769">
        <f>$C$36*10^3*인력계획!N19</f>
        <v>320000</v>
      </c>
      <c r="O37" s="2769">
        <f>$C$36*10^3*인력계획!O19</f>
        <v>320000</v>
      </c>
      <c r="P37" s="2769">
        <f>$C$36*10^3*인력계획!P19</f>
        <v>320000</v>
      </c>
      <c r="Q37" s="2769">
        <f>$C$36*10^3*인력계획!Q19</f>
        <v>320000</v>
      </c>
      <c r="R37" s="2769">
        <f>$C$36*10^3*인력계획!R19</f>
        <v>0</v>
      </c>
      <c r="S37" s="2769">
        <f>$C$36*10^3*인력계획!S19</f>
        <v>0</v>
      </c>
      <c r="T37" s="2769">
        <f>$C$36*10^3*인력계획!T19</f>
        <v>0</v>
      </c>
      <c r="U37" s="2769">
        <f>$C$36*10^3*인력계획!U19</f>
        <v>0</v>
      </c>
      <c r="V37" s="2769">
        <f>$C$36*10^3*인력계획!V19</f>
        <v>0</v>
      </c>
      <c r="W37" s="2769">
        <f>$C$36*10^3*인력계획!W19</f>
        <v>0</v>
      </c>
      <c r="X37" s="2769">
        <f>$C$36*10^3*인력계획!X19</f>
        <v>0</v>
      </c>
      <c r="Y37" s="2769">
        <f>$C$36*10^3*인력계획!Y19</f>
        <v>0</v>
      </c>
      <c r="Z37" s="2769">
        <f>$C$36*10^3*인력계획!Z19</f>
        <v>0</v>
      </c>
      <c r="AA37" s="2769">
        <f>$C$36*10^3*인력계획!AA19</f>
        <v>0</v>
      </c>
      <c r="AB37" s="2769">
        <f>$C$36*10^3*인력계획!AB19</f>
        <v>0</v>
      </c>
      <c r="AC37" s="2769">
        <f>$C$36*10^3*인력계획!AC19</f>
        <v>0</v>
      </c>
      <c r="AD37" s="2769">
        <f>$C$36*10^3*인력계획!AD19</f>
        <v>0</v>
      </c>
      <c r="AE37" s="2769">
        <f>$C$36*10^3*인력계획!AE19</f>
        <v>0</v>
      </c>
      <c r="AF37" s="2769">
        <f>$C$36*10^3*인력계획!AF19</f>
        <v>0</v>
      </c>
      <c r="AG37" s="2769">
        <f>$C$36*10^3*인력계획!AG19</f>
        <v>0</v>
      </c>
      <c r="AH37" s="2769">
        <f>$C$36*10^3*인력계획!AH19</f>
        <v>0</v>
      </c>
      <c r="AI37" s="2769">
        <f>$C$36*10^3*인력계획!AI19</f>
        <v>320000</v>
      </c>
      <c r="AJ37" s="2769">
        <f>$C$36*10^3*인력계획!AJ19</f>
        <v>320000</v>
      </c>
      <c r="AK37" s="2769">
        <f>$C$36*10^3*인력계획!AK19</f>
        <v>320000</v>
      </c>
      <c r="AL37" s="2769">
        <f>$C$36*10^3*인력계획!AL19</f>
        <v>320000</v>
      </c>
      <c r="AM37" s="2769">
        <f>$C$36*10^3*인력계획!AM19</f>
        <v>0</v>
      </c>
      <c r="AN37" s="2769">
        <f>$C$36*10^3*인력계획!AN19</f>
        <v>320000</v>
      </c>
      <c r="AO37" s="2769">
        <f>$C$36*10^3*인력계획!AO19</f>
        <v>320000</v>
      </c>
      <c r="AP37" s="2769">
        <f>$C$36*10^3*인력계획!AP19</f>
        <v>320000</v>
      </c>
      <c r="AQ37" s="2769">
        <f>$C$36*10^3*인력계획!AQ19</f>
        <v>320000</v>
      </c>
      <c r="AR37" s="2769">
        <f>$C$36*10^3*인력계획!AR19</f>
        <v>320000</v>
      </c>
      <c r="AS37" s="2769">
        <f>$C$36*10^3*인력계획!AS19</f>
        <v>0</v>
      </c>
      <c r="AT37" s="2769">
        <f>$C$36*10^3*인력계획!AT19</f>
        <v>0</v>
      </c>
      <c r="AU37" s="2769">
        <f>$C$36*10^3*인력계획!AU19</f>
        <v>0</v>
      </c>
      <c r="AV37" s="2694">
        <v>0</v>
      </c>
      <c r="AW37" s="2771"/>
      <c r="AX37" s="2759"/>
      <c r="AY37" s="2760"/>
      <c r="AZ37" s="2760"/>
      <c r="BA37" s="2760"/>
      <c r="BB37" s="2760"/>
      <c r="BC37" s="2760"/>
      <c r="BD37" s="2760"/>
      <c r="BE37" s="2760"/>
      <c r="BF37" s="2760"/>
      <c r="BG37" s="2760"/>
      <c r="BI37" s="2730"/>
      <c r="BJ37" s="2730"/>
    </row>
    <row r="38" spans="1:62" ht="17.25" outlineLevel="1">
      <c r="A38" s="2801" t="s">
        <v>4042</v>
      </c>
      <c r="B38" s="2802" t="s">
        <v>4040</v>
      </c>
      <c r="C38" s="2763"/>
      <c r="D38" s="2764"/>
      <c r="E38" s="2764"/>
      <c r="F38" s="2769"/>
      <c r="G38" s="2769"/>
      <c r="H38" s="2769">
        <f>$C$36*10^3*인력계획!H20</f>
        <v>0</v>
      </c>
      <c r="I38" s="2769">
        <f>$C$36*10^3*인력계획!I20</f>
        <v>320000</v>
      </c>
      <c r="J38" s="2769">
        <f>$C$36*10^3*인력계획!J20</f>
        <v>320000</v>
      </c>
      <c r="K38" s="2769">
        <f>$C$36*10^3*인력계획!K20</f>
        <v>320000</v>
      </c>
      <c r="L38" s="2769">
        <f>$C$36*10^3*인력계획!L20</f>
        <v>320000</v>
      </c>
      <c r="M38" s="2769">
        <f>$C$36*10^3*인력계획!M20</f>
        <v>0</v>
      </c>
      <c r="N38" s="2769">
        <f>$C$36*10^3*인력계획!N20</f>
        <v>0</v>
      </c>
      <c r="O38" s="2769">
        <f>$C$36*10^3*인력계획!O20</f>
        <v>0</v>
      </c>
      <c r="P38" s="2769">
        <f>$C$36*10^3*인력계획!P20</f>
        <v>0</v>
      </c>
      <c r="Q38" s="2769">
        <f>$C$36*10^3*인력계획!Q20</f>
        <v>0</v>
      </c>
      <c r="R38" s="2769">
        <f>$C$36*10^3*인력계획!R20</f>
        <v>0</v>
      </c>
      <c r="S38" s="2769">
        <f>$C$36*10^3*인력계획!S20</f>
        <v>0</v>
      </c>
      <c r="T38" s="2769">
        <f>$C$36*10^3*인력계획!T20</f>
        <v>0</v>
      </c>
      <c r="U38" s="2769">
        <f>$C$36*10^3*인력계획!U20</f>
        <v>0</v>
      </c>
      <c r="V38" s="2769">
        <f>$C$36*10^3*인력계획!V20</f>
        <v>0</v>
      </c>
      <c r="W38" s="2769">
        <f>$C$36*10^3*인력계획!W20</f>
        <v>0</v>
      </c>
      <c r="X38" s="2769">
        <f>$C$36*10^3*인력계획!X20</f>
        <v>0</v>
      </c>
      <c r="Y38" s="2769">
        <f>$C$36*10^3*인력계획!Y20</f>
        <v>0</v>
      </c>
      <c r="Z38" s="2769">
        <f>$C$36*10^3*인력계획!Z20</f>
        <v>0</v>
      </c>
      <c r="AA38" s="2769">
        <f>$C$36*10^3*인력계획!AA20</f>
        <v>0</v>
      </c>
      <c r="AB38" s="2769">
        <f>$C$36*10^3*인력계획!AB20</f>
        <v>0</v>
      </c>
      <c r="AC38" s="2769">
        <f>$C$36*10^3*인력계획!AC20</f>
        <v>0</v>
      </c>
      <c r="AD38" s="2769">
        <f>$C$36*10^3*인력계획!AD20</f>
        <v>0</v>
      </c>
      <c r="AE38" s="2769">
        <f>$C$36*10^3*인력계획!AE20</f>
        <v>320000</v>
      </c>
      <c r="AF38" s="2769">
        <f>$C$36*10^3*인력계획!AF20</f>
        <v>320000</v>
      </c>
      <c r="AG38" s="2769">
        <f>$C$36*10^3*인력계획!AG20</f>
        <v>320000</v>
      </c>
      <c r="AH38" s="2769">
        <f>$C$36*10^3*인력계획!AH20</f>
        <v>320000</v>
      </c>
      <c r="AI38" s="2769">
        <f>$C$36*10^3*인력계획!AI20</f>
        <v>0</v>
      </c>
      <c r="AJ38" s="2769">
        <f>$C$36*10^3*인력계획!AJ20</f>
        <v>320000</v>
      </c>
      <c r="AK38" s="2769">
        <f>$C$36*10^3*인력계획!AK20</f>
        <v>320000</v>
      </c>
      <c r="AL38" s="2769">
        <f>$C$36*10^3*인력계획!AL20</f>
        <v>320000</v>
      </c>
      <c r="AM38" s="2769">
        <f>$C$36*10^3*인력계획!AM20</f>
        <v>320000</v>
      </c>
      <c r="AN38" s="2769">
        <f>$C$36*10^3*인력계획!AN20</f>
        <v>0</v>
      </c>
      <c r="AO38" s="2769">
        <f>$C$36*10^3*인력계획!AO20</f>
        <v>0</v>
      </c>
      <c r="AP38" s="2769">
        <f>$C$36*10^3*인력계획!AP20</f>
        <v>0</v>
      </c>
      <c r="AQ38" s="2769">
        <f>$C$36*10^3*인력계획!AQ20</f>
        <v>0</v>
      </c>
      <c r="AR38" s="2769">
        <f>$C$36*10^3*인력계획!AR20</f>
        <v>0</v>
      </c>
      <c r="AS38" s="2769">
        <f>$C$36*10^3*인력계획!AS20</f>
        <v>0</v>
      </c>
      <c r="AT38" s="2769">
        <f>$C$36*10^3*인력계획!AT20</f>
        <v>0</v>
      </c>
      <c r="AU38" s="2769">
        <f>$C$36*10^3*인력계획!AU20</f>
        <v>0</v>
      </c>
      <c r="AV38" s="2694">
        <v>0</v>
      </c>
      <c r="AW38" s="2771"/>
      <c r="AX38" s="2759"/>
      <c r="AY38" s="2760"/>
      <c r="AZ38" s="2760"/>
      <c r="BA38" s="2760"/>
      <c r="BB38" s="2760"/>
      <c r="BC38" s="2760"/>
      <c r="BD38" s="2760"/>
      <c r="BE38" s="2760"/>
      <c r="BF38" s="2760"/>
      <c r="BG38" s="2760"/>
      <c r="BI38" s="2730"/>
      <c r="BJ38" s="2730"/>
    </row>
    <row r="39" spans="1:62" ht="17.25" outlineLevel="1">
      <c r="A39" s="2801" t="s">
        <v>4043</v>
      </c>
      <c r="B39" s="2802" t="s">
        <v>4040</v>
      </c>
      <c r="C39" s="2763"/>
      <c r="D39" s="2764"/>
      <c r="E39" s="2764"/>
      <c r="F39" s="2769"/>
      <c r="G39" s="2769">
        <v>300000</v>
      </c>
      <c r="H39" s="2769">
        <f>$C$36*10^3*인력계획!H21</f>
        <v>320000</v>
      </c>
      <c r="I39" s="2769">
        <f>$C$36*10^3*인력계획!I21</f>
        <v>0</v>
      </c>
      <c r="J39" s="2769">
        <f>$C$36*10^3*인력계획!J21</f>
        <v>0</v>
      </c>
      <c r="K39" s="2769">
        <f>$C$36*10^3*인력계획!K21</f>
        <v>0</v>
      </c>
      <c r="L39" s="2769">
        <f>$C$36*10^3*인력계획!L21</f>
        <v>0</v>
      </c>
      <c r="M39" s="2769">
        <f>$C$36*10^3*인력계획!M21</f>
        <v>0</v>
      </c>
      <c r="N39" s="2769">
        <f>$C$36*10^3*인력계획!N21</f>
        <v>0</v>
      </c>
      <c r="O39" s="2769">
        <f>$C$36*10^3*인력계획!O21</f>
        <v>0</v>
      </c>
      <c r="P39" s="2769">
        <f>$C$36*10^3*인력계획!P21</f>
        <v>0</v>
      </c>
      <c r="Q39" s="2769">
        <f>$C$36*10^3*인력계획!Q21</f>
        <v>0</v>
      </c>
      <c r="R39" s="2769">
        <f>$C$36*10^3*인력계획!R21</f>
        <v>0</v>
      </c>
      <c r="S39" s="2769">
        <f>$C$36*10^3*인력계획!S21</f>
        <v>0</v>
      </c>
      <c r="T39" s="2769">
        <f>$C$36*10^3*인력계획!T21</f>
        <v>0</v>
      </c>
      <c r="U39" s="2769">
        <f>$C$36*10^3*인력계획!U21</f>
        <v>0</v>
      </c>
      <c r="V39" s="2769">
        <f>$C$36*10^3*인력계획!V21</f>
        <v>0</v>
      </c>
      <c r="W39" s="2769">
        <f>$C$36*10^3*인력계획!W21</f>
        <v>0</v>
      </c>
      <c r="X39" s="2769">
        <f>$C$36*10^3*인력계획!X21</f>
        <v>0</v>
      </c>
      <c r="Y39" s="2769">
        <f>$C$36*10^3*인력계획!Y21</f>
        <v>0</v>
      </c>
      <c r="Z39" s="2769">
        <f>$C$36*10^3*인력계획!Z21</f>
        <v>0</v>
      </c>
      <c r="AA39" s="2769">
        <f>$C$36*10^3*인력계획!AA21</f>
        <v>0</v>
      </c>
      <c r="AB39" s="2769">
        <f>$C$36*10^3*인력계획!AB21</f>
        <v>0</v>
      </c>
      <c r="AC39" s="2769">
        <f>$C$36*10^3*인력계획!AC21</f>
        <v>0</v>
      </c>
      <c r="AD39" s="2769">
        <f>$C$36*10^3*인력계획!AD21</f>
        <v>0</v>
      </c>
      <c r="AE39" s="2769">
        <f>$C$36*10^3*인력계획!AE21</f>
        <v>0</v>
      </c>
      <c r="AF39" s="2769">
        <f>$C$36*10^3*인력계획!AF21</f>
        <v>0</v>
      </c>
      <c r="AG39" s="2769">
        <f>$C$36*10^3*인력계획!AG21</f>
        <v>0</v>
      </c>
      <c r="AH39" s="2769">
        <f>$C$36*10^3*인력계획!AH21</f>
        <v>0</v>
      </c>
      <c r="AI39" s="2769">
        <f>$C$36*10^3*인력계획!AI21</f>
        <v>0</v>
      </c>
      <c r="AJ39" s="2769">
        <f>$C$36*10^3*인력계획!AJ21</f>
        <v>0</v>
      </c>
      <c r="AK39" s="2769">
        <f>$C$36*10^3*인력계획!AK21</f>
        <v>0</v>
      </c>
      <c r="AL39" s="2769">
        <f>$C$36*10^3*인력계획!AL21</f>
        <v>0</v>
      </c>
      <c r="AM39" s="2769">
        <f>$C$36*10^3*인력계획!AM21</f>
        <v>0</v>
      </c>
      <c r="AN39" s="2769">
        <f>$C$36*10^3*인력계획!AN21</f>
        <v>0</v>
      </c>
      <c r="AO39" s="2769">
        <f>$C$36*10^3*인력계획!AO21</f>
        <v>0</v>
      </c>
      <c r="AP39" s="2769">
        <f>$C$36*10^3*인력계획!AP21</f>
        <v>0</v>
      </c>
      <c r="AQ39" s="2769">
        <f>$C$36*10^3*인력계획!AQ21</f>
        <v>0</v>
      </c>
      <c r="AR39" s="2769">
        <f>$C$36*10^3*인력계획!AR21</f>
        <v>0</v>
      </c>
      <c r="AS39" s="2769">
        <f>$C$36*10^3*인력계획!AS21</f>
        <v>0</v>
      </c>
      <c r="AT39" s="2769">
        <f>$C$36*10^3*인력계획!AT21</f>
        <v>0</v>
      </c>
      <c r="AU39" s="2769">
        <f>$C$36*10^3*인력계획!AU21</f>
        <v>0</v>
      </c>
      <c r="AV39" s="2694">
        <v>0</v>
      </c>
      <c r="AW39" s="2771"/>
      <c r="AX39" s="2759"/>
      <c r="AY39" s="2760"/>
      <c r="AZ39" s="2760"/>
      <c r="BA39" s="2760"/>
      <c r="BB39" s="2760"/>
      <c r="BC39" s="2760"/>
      <c r="BD39" s="2760"/>
      <c r="BE39" s="2760"/>
      <c r="BF39" s="2760"/>
      <c r="BG39" s="2760"/>
      <c r="BI39" s="2730"/>
      <c r="BJ39" s="2730"/>
    </row>
    <row r="40" spans="1:62" ht="17.25" outlineLevel="1">
      <c r="A40" s="2801" t="s">
        <v>4044</v>
      </c>
      <c r="B40" s="2802" t="s">
        <v>4040</v>
      </c>
      <c r="C40" s="2763"/>
      <c r="D40" s="2764"/>
      <c r="E40" s="2764"/>
      <c r="F40" s="2769">
        <v>300000</v>
      </c>
      <c r="G40" s="2769"/>
      <c r="H40" s="2769">
        <f>$C$36*10^3*인력계획!H22</f>
        <v>0</v>
      </c>
      <c r="I40" s="2769">
        <f>$C$36*10^3*인력계획!I22</f>
        <v>0</v>
      </c>
      <c r="J40" s="2769">
        <f>$C$36*10^3*인력계획!J22</f>
        <v>0</v>
      </c>
      <c r="K40" s="2769">
        <f>$C$36*10^3*인력계획!K22</f>
        <v>0</v>
      </c>
      <c r="L40" s="2769">
        <f>$C$36*10^3*인력계획!L22</f>
        <v>0</v>
      </c>
      <c r="M40" s="2769">
        <f>$C$36*10^3*인력계획!M22</f>
        <v>0</v>
      </c>
      <c r="N40" s="2769">
        <f>$C$36*10^3*인력계획!N22</f>
        <v>0</v>
      </c>
      <c r="O40" s="2769">
        <f>$C$36*10^3*인력계획!O22</f>
        <v>0</v>
      </c>
      <c r="P40" s="2769">
        <f>$C$36*10^3*인력계획!P22</f>
        <v>0</v>
      </c>
      <c r="Q40" s="2769">
        <f>$C$36*10^3*인력계획!Q22</f>
        <v>0</v>
      </c>
      <c r="R40" s="2769">
        <f>$C$36*10^3*인력계획!R22</f>
        <v>0</v>
      </c>
      <c r="S40" s="2769">
        <f>$C$36*10^3*인력계획!S22</f>
        <v>0</v>
      </c>
      <c r="T40" s="2769">
        <f>$C$36*10^3*인력계획!T22</f>
        <v>0</v>
      </c>
      <c r="U40" s="2769">
        <f>$C$36*10^3*인력계획!U22</f>
        <v>0</v>
      </c>
      <c r="V40" s="2769">
        <f>$C$36*10^3*인력계획!V22</f>
        <v>0</v>
      </c>
      <c r="W40" s="2769">
        <f>$C$36*10^3*인력계획!W22</f>
        <v>0</v>
      </c>
      <c r="X40" s="2769">
        <f>$C$36*10^3*인력계획!X22</f>
        <v>0</v>
      </c>
      <c r="Y40" s="2769">
        <f>$C$36*10^3*인력계획!Y22</f>
        <v>0</v>
      </c>
      <c r="Z40" s="2769">
        <f>$C$36*10^3*인력계획!Z22</f>
        <v>0</v>
      </c>
      <c r="AA40" s="2769">
        <f>$C$36*10^3*인력계획!AA22</f>
        <v>0</v>
      </c>
      <c r="AB40" s="2769">
        <f>$C$36*10^3*인력계획!AB22</f>
        <v>0</v>
      </c>
      <c r="AC40" s="2769">
        <f>$C$36*10^3*인력계획!AC22</f>
        <v>0</v>
      </c>
      <c r="AD40" s="2769">
        <f>$C$36*10^3*인력계획!AD22</f>
        <v>0</v>
      </c>
      <c r="AE40" s="2769">
        <f>$C$36*10^3*인력계획!AE22</f>
        <v>0</v>
      </c>
      <c r="AF40" s="2769">
        <f>$C$36*10^3*인력계획!AF22</f>
        <v>0</v>
      </c>
      <c r="AG40" s="2769">
        <f>$C$36*10^3*인력계획!AG22</f>
        <v>0</v>
      </c>
      <c r="AH40" s="2769">
        <f>$C$36*10^3*인력계획!AH22</f>
        <v>0</v>
      </c>
      <c r="AI40" s="2769">
        <f>$C$36*10^3*인력계획!AI22</f>
        <v>0</v>
      </c>
      <c r="AJ40" s="2769">
        <f>$C$36*10^3*인력계획!AJ22</f>
        <v>0</v>
      </c>
      <c r="AK40" s="2769">
        <f>$C$36*10^3*인력계획!AK22</f>
        <v>0</v>
      </c>
      <c r="AL40" s="2769">
        <f>$C$36*10^3*인력계획!AL22</f>
        <v>0</v>
      </c>
      <c r="AM40" s="2769">
        <f>$C$36*10^3*인력계획!AM22</f>
        <v>0</v>
      </c>
      <c r="AN40" s="2769">
        <f>$C$36*10^3*인력계획!AN22</f>
        <v>0</v>
      </c>
      <c r="AO40" s="2769">
        <f>$C$36*10^3*인력계획!AO22</f>
        <v>0</v>
      </c>
      <c r="AP40" s="2769">
        <f>$C$36*10^3*인력계획!AP22</f>
        <v>0</v>
      </c>
      <c r="AQ40" s="2769">
        <f>$C$36*10^3*인력계획!AQ22</f>
        <v>0</v>
      </c>
      <c r="AR40" s="2769">
        <f>$C$36*10^3*인력계획!AR22</f>
        <v>0</v>
      </c>
      <c r="AS40" s="2769">
        <f>$C$36*10^3*인력계획!AS22</f>
        <v>0</v>
      </c>
      <c r="AT40" s="2769">
        <f>$C$36*10^3*인력계획!AT22</f>
        <v>0</v>
      </c>
      <c r="AU40" s="2769">
        <f>$C$36*10^3*인력계획!AU22</f>
        <v>0</v>
      </c>
      <c r="AV40" s="2694">
        <v>0</v>
      </c>
      <c r="AW40" s="2771"/>
      <c r="AX40" s="2759"/>
      <c r="AY40" s="2760"/>
      <c r="AZ40" s="2760"/>
      <c r="BA40" s="2760"/>
      <c r="BB40" s="2760"/>
      <c r="BC40" s="2760"/>
      <c r="BD40" s="2760"/>
      <c r="BE40" s="2760"/>
      <c r="BF40" s="2760"/>
      <c r="BG40" s="2760"/>
      <c r="BI40" s="2730"/>
      <c r="BJ40" s="2730"/>
    </row>
    <row r="41" spans="1:62" ht="17.25" outlineLevel="1">
      <c r="A41" s="2767" t="s">
        <v>4045</v>
      </c>
      <c r="B41" s="2803"/>
      <c r="C41" s="2787"/>
      <c r="D41" s="2764"/>
      <c r="E41" s="2804"/>
      <c r="F41" s="2769">
        <v>290000</v>
      </c>
      <c r="G41" s="2769"/>
      <c r="H41" s="2769">
        <v>400000</v>
      </c>
      <c r="I41" s="2769">
        <f t="shared" ref="I41:AU41" si="21">H41*(1+$C$41)</f>
        <v>400000</v>
      </c>
      <c r="J41" s="2769">
        <f t="shared" si="21"/>
        <v>400000</v>
      </c>
      <c r="K41" s="2769">
        <f t="shared" si="21"/>
        <v>400000</v>
      </c>
      <c r="L41" s="2769">
        <f t="shared" si="21"/>
        <v>400000</v>
      </c>
      <c r="M41" s="2769">
        <f t="shared" si="21"/>
        <v>400000</v>
      </c>
      <c r="N41" s="2769">
        <f t="shared" si="21"/>
        <v>400000</v>
      </c>
      <c r="O41" s="2769">
        <f t="shared" si="21"/>
        <v>400000</v>
      </c>
      <c r="P41" s="2769">
        <f t="shared" si="21"/>
        <v>400000</v>
      </c>
      <c r="Q41" s="2769">
        <f t="shared" si="21"/>
        <v>400000</v>
      </c>
      <c r="R41" s="2769">
        <f t="shared" si="21"/>
        <v>400000</v>
      </c>
      <c r="S41" s="2769">
        <f t="shared" si="21"/>
        <v>400000</v>
      </c>
      <c r="T41" s="2769">
        <f t="shared" si="21"/>
        <v>400000</v>
      </c>
      <c r="U41" s="2769">
        <f t="shared" si="21"/>
        <v>400000</v>
      </c>
      <c r="V41" s="2769">
        <f t="shared" si="21"/>
        <v>400000</v>
      </c>
      <c r="W41" s="2769">
        <f t="shared" si="21"/>
        <v>400000</v>
      </c>
      <c r="X41" s="2769">
        <f t="shared" si="21"/>
        <v>400000</v>
      </c>
      <c r="Y41" s="2769">
        <f t="shared" si="21"/>
        <v>400000</v>
      </c>
      <c r="Z41" s="2769">
        <f t="shared" si="21"/>
        <v>400000</v>
      </c>
      <c r="AA41" s="2769">
        <f t="shared" si="21"/>
        <v>400000</v>
      </c>
      <c r="AB41" s="2769">
        <f t="shared" si="21"/>
        <v>400000</v>
      </c>
      <c r="AC41" s="2769">
        <f t="shared" si="21"/>
        <v>400000</v>
      </c>
      <c r="AD41" s="2769">
        <f t="shared" si="21"/>
        <v>400000</v>
      </c>
      <c r="AE41" s="2769">
        <f t="shared" si="21"/>
        <v>400000</v>
      </c>
      <c r="AF41" s="2769">
        <f t="shared" si="21"/>
        <v>400000</v>
      </c>
      <c r="AG41" s="2769">
        <f t="shared" si="21"/>
        <v>400000</v>
      </c>
      <c r="AH41" s="2769">
        <f t="shared" si="21"/>
        <v>400000</v>
      </c>
      <c r="AI41" s="2769">
        <f t="shared" si="21"/>
        <v>400000</v>
      </c>
      <c r="AJ41" s="2769">
        <f t="shared" si="21"/>
        <v>400000</v>
      </c>
      <c r="AK41" s="2769">
        <f t="shared" si="21"/>
        <v>400000</v>
      </c>
      <c r="AL41" s="2769">
        <f t="shared" si="21"/>
        <v>400000</v>
      </c>
      <c r="AM41" s="2769">
        <f t="shared" si="21"/>
        <v>400000</v>
      </c>
      <c r="AN41" s="2769">
        <f t="shared" si="21"/>
        <v>400000</v>
      </c>
      <c r="AO41" s="2769">
        <f t="shared" si="21"/>
        <v>400000</v>
      </c>
      <c r="AP41" s="2769">
        <f t="shared" si="21"/>
        <v>400000</v>
      </c>
      <c r="AQ41" s="2769">
        <f t="shared" si="21"/>
        <v>400000</v>
      </c>
      <c r="AR41" s="2769">
        <f t="shared" si="21"/>
        <v>400000</v>
      </c>
      <c r="AS41" s="2769">
        <f t="shared" si="21"/>
        <v>400000</v>
      </c>
      <c r="AT41" s="2769">
        <f t="shared" si="21"/>
        <v>400000</v>
      </c>
      <c r="AU41" s="2769">
        <f t="shared" si="21"/>
        <v>400000</v>
      </c>
      <c r="AV41" s="2694">
        <v>0</v>
      </c>
      <c r="AW41" s="2771"/>
      <c r="AX41" s="2795"/>
      <c r="AY41" s="2760"/>
      <c r="AZ41" s="2760"/>
      <c r="BA41" s="2760"/>
      <c r="BB41" s="2760"/>
      <c r="BC41" s="2760"/>
      <c r="BD41" s="2760"/>
      <c r="BE41" s="2760"/>
      <c r="BF41" s="2760"/>
      <c r="BG41" s="2760"/>
      <c r="BI41" s="2730"/>
      <c r="BJ41" s="2730"/>
    </row>
    <row r="42" spans="1:62" ht="17.25" outlineLevel="1">
      <c r="A42" s="2767" t="s">
        <v>4046</v>
      </c>
      <c r="B42" s="2803" t="s">
        <v>4047</v>
      </c>
      <c r="C42" s="2763"/>
      <c r="D42" s="2764"/>
      <c r="E42" s="2764"/>
      <c r="F42" s="2769"/>
      <c r="G42" s="2769">
        <v>9680000</v>
      </c>
      <c r="H42" s="2769">
        <v>20000000</v>
      </c>
      <c r="I42" s="2769">
        <f t="shared" ref="I42:AU42" si="22">H42</f>
        <v>20000000</v>
      </c>
      <c r="J42" s="2769">
        <f t="shared" si="22"/>
        <v>20000000</v>
      </c>
      <c r="K42" s="2769">
        <f t="shared" si="22"/>
        <v>20000000</v>
      </c>
      <c r="L42" s="2769">
        <f t="shared" si="22"/>
        <v>20000000</v>
      </c>
      <c r="M42" s="2769">
        <f t="shared" si="22"/>
        <v>20000000</v>
      </c>
      <c r="N42" s="2769">
        <f t="shared" si="22"/>
        <v>20000000</v>
      </c>
      <c r="O42" s="2769">
        <f t="shared" si="22"/>
        <v>20000000</v>
      </c>
      <c r="P42" s="2769">
        <f t="shared" si="22"/>
        <v>20000000</v>
      </c>
      <c r="Q42" s="2769">
        <f t="shared" si="22"/>
        <v>20000000</v>
      </c>
      <c r="R42" s="2769">
        <f t="shared" si="22"/>
        <v>20000000</v>
      </c>
      <c r="S42" s="2769">
        <f t="shared" si="22"/>
        <v>20000000</v>
      </c>
      <c r="T42" s="2769">
        <f t="shared" si="22"/>
        <v>20000000</v>
      </c>
      <c r="U42" s="2769">
        <f t="shared" si="22"/>
        <v>20000000</v>
      </c>
      <c r="V42" s="2769">
        <f t="shared" si="22"/>
        <v>20000000</v>
      </c>
      <c r="W42" s="2769">
        <f t="shared" si="22"/>
        <v>20000000</v>
      </c>
      <c r="X42" s="2769">
        <f t="shared" si="22"/>
        <v>20000000</v>
      </c>
      <c r="Y42" s="2769">
        <f t="shared" si="22"/>
        <v>20000000</v>
      </c>
      <c r="Z42" s="2769">
        <f t="shared" si="22"/>
        <v>20000000</v>
      </c>
      <c r="AA42" s="2769">
        <f t="shared" si="22"/>
        <v>20000000</v>
      </c>
      <c r="AB42" s="2769">
        <f t="shared" si="22"/>
        <v>20000000</v>
      </c>
      <c r="AC42" s="2769">
        <f t="shared" si="22"/>
        <v>20000000</v>
      </c>
      <c r="AD42" s="2769">
        <f t="shared" si="22"/>
        <v>20000000</v>
      </c>
      <c r="AE42" s="2769">
        <f t="shared" si="22"/>
        <v>20000000</v>
      </c>
      <c r="AF42" s="2769">
        <f t="shared" si="22"/>
        <v>20000000</v>
      </c>
      <c r="AG42" s="2769">
        <f t="shared" si="22"/>
        <v>20000000</v>
      </c>
      <c r="AH42" s="2769">
        <f t="shared" si="22"/>
        <v>20000000</v>
      </c>
      <c r="AI42" s="2769">
        <f t="shared" si="22"/>
        <v>20000000</v>
      </c>
      <c r="AJ42" s="2769">
        <f t="shared" si="22"/>
        <v>20000000</v>
      </c>
      <c r="AK42" s="2769">
        <f t="shared" si="22"/>
        <v>20000000</v>
      </c>
      <c r="AL42" s="2769">
        <f t="shared" si="22"/>
        <v>20000000</v>
      </c>
      <c r="AM42" s="2769">
        <f t="shared" si="22"/>
        <v>20000000</v>
      </c>
      <c r="AN42" s="2769">
        <f t="shared" si="22"/>
        <v>20000000</v>
      </c>
      <c r="AO42" s="2769">
        <f t="shared" si="22"/>
        <v>20000000</v>
      </c>
      <c r="AP42" s="2769">
        <f t="shared" si="22"/>
        <v>20000000</v>
      </c>
      <c r="AQ42" s="2769">
        <f t="shared" si="22"/>
        <v>20000000</v>
      </c>
      <c r="AR42" s="2769">
        <f t="shared" si="22"/>
        <v>20000000</v>
      </c>
      <c r="AS42" s="2769">
        <f t="shared" si="22"/>
        <v>20000000</v>
      </c>
      <c r="AT42" s="2769">
        <f t="shared" si="22"/>
        <v>20000000</v>
      </c>
      <c r="AU42" s="2769">
        <f t="shared" si="22"/>
        <v>20000000</v>
      </c>
      <c r="AV42" s="2694">
        <v>0</v>
      </c>
      <c r="AW42" s="2771"/>
      <c r="AX42" s="2759"/>
      <c r="AY42" s="2760"/>
      <c r="AZ42" s="2760"/>
      <c r="BA42" s="2760"/>
      <c r="BB42" s="2760"/>
      <c r="BC42" s="2760"/>
      <c r="BD42" s="2760"/>
      <c r="BE42" s="2760"/>
      <c r="BF42" s="2760"/>
      <c r="BG42" s="2760"/>
      <c r="BI42" s="2730"/>
      <c r="BJ42" s="2730"/>
    </row>
    <row r="43" spans="1:62" ht="17.25" outlineLevel="1">
      <c r="A43" s="2767" t="s">
        <v>4048</v>
      </c>
      <c r="B43" s="2803" t="s">
        <v>4049</v>
      </c>
      <c r="C43" s="2787"/>
      <c r="D43" s="2764"/>
      <c r="E43" s="2804"/>
      <c r="F43" s="2769"/>
      <c r="G43" s="2769"/>
      <c r="H43" s="2769">
        <f>300000*(4+인력계획!H8)*2</f>
        <v>3000000</v>
      </c>
      <c r="I43" s="2769">
        <f>300000*(4+인력계획!I8)*2</f>
        <v>3000000</v>
      </c>
      <c r="J43" s="2769">
        <f>300000*(4+인력계획!J8)*2</f>
        <v>3000000</v>
      </c>
      <c r="K43" s="2769">
        <f>300000*(4+인력계획!K8)*2</f>
        <v>3000000</v>
      </c>
      <c r="L43" s="2769">
        <f>300000*(4+인력계획!L8)*2</f>
        <v>3000000</v>
      </c>
      <c r="M43" s="2769">
        <f>300000*(4+인력계획!M8)*2</f>
        <v>3000000</v>
      </c>
      <c r="N43" s="2769">
        <f>300000*(4+인력계획!N8)*2</f>
        <v>3000000</v>
      </c>
      <c r="O43" s="2769">
        <f>300000*(4+인력계획!O8)*2</f>
        <v>3000000</v>
      </c>
      <c r="P43" s="2769">
        <f>300000*(4+인력계획!P8)*2</f>
        <v>3000000</v>
      </c>
      <c r="Q43" s="2769">
        <f>300000*(4+인력계획!Q8)*2</f>
        <v>3000000</v>
      </c>
      <c r="R43" s="2769">
        <f>300000*(4+인력계획!R8)*2</f>
        <v>3000000</v>
      </c>
      <c r="S43" s="2769">
        <f>300000*(4+인력계획!S8)*2</f>
        <v>3000000</v>
      </c>
      <c r="T43" s="2769">
        <f>300000*(4+인력계획!T8)*2</f>
        <v>3000000</v>
      </c>
      <c r="U43" s="2769">
        <f>300000*(4+인력계획!U8)*2</f>
        <v>3000000</v>
      </c>
      <c r="V43" s="2769">
        <f>300000*(4+인력계획!V8)*2</f>
        <v>3000000</v>
      </c>
      <c r="W43" s="2769">
        <f>300000*(4+인력계획!W8)*2</f>
        <v>3000000</v>
      </c>
      <c r="X43" s="2769">
        <f>300000*(4+인력계획!X8)*2</f>
        <v>3000000</v>
      </c>
      <c r="Y43" s="2769">
        <f>300000*(4+인력계획!Y8)*2</f>
        <v>3000000</v>
      </c>
      <c r="Z43" s="2769">
        <f>300000*(4+인력계획!Z8)*2</f>
        <v>3000000</v>
      </c>
      <c r="AA43" s="2769">
        <f>300000*(4+인력계획!AA8)*2</f>
        <v>3000000</v>
      </c>
      <c r="AB43" s="2769">
        <f>300000*(4+인력계획!AB8)*2</f>
        <v>3000000</v>
      </c>
      <c r="AC43" s="2769">
        <f>300000*(4+인력계획!AC8)*2</f>
        <v>3000000</v>
      </c>
      <c r="AD43" s="2769">
        <f>300000*(4+인력계획!AD8)*2</f>
        <v>3000000</v>
      </c>
      <c r="AE43" s="2769">
        <f>300000*(4+인력계획!AE8)*2</f>
        <v>3000000</v>
      </c>
      <c r="AF43" s="2769">
        <f>300000*(4+인력계획!AF8)*2</f>
        <v>3000000</v>
      </c>
      <c r="AG43" s="2769">
        <f>300000*(4+인력계획!AG8)*2</f>
        <v>3000000</v>
      </c>
      <c r="AH43" s="2769">
        <f>300000*(4+인력계획!AH8)*2</f>
        <v>3000000</v>
      </c>
      <c r="AI43" s="2769">
        <f>300000*(4+인력계획!AI8)*2</f>
        <v>3000000</v>
      </c>
      <c r="AJ43" s="2769">
        <f>300000*(4+인력계획!AJ8)*2</f>
        <v>3000000</v>
      </c>
      <c r="AK43" s="2769">
        <f>300000*(4+인력계획!AK8)*2</f>
        <v>3000000</v>
      </c>
      <c r="AL43" s="2769">
        <f>300000*(4+인력계획!AL8)*2</f>
        <v>3000000</v>
      </c>
      <c r="AM43" s="2769">
        <f>300000*(4+인력계획!AM8)*2</f>
        <v>3000000</v>
      </c>
      <c r="AN43" s="2769">
        <f>300000*(4+인력계획!AN8)*2</f>
        <v>3000000</v>
      </c>
      <c r="AO43" s="2769">
        <f>300000*(4+인력계획!AO8)*2</f>
        <v>3000000</v>
      </c>
      <c r="AP43" s="2769">
        <f>300000*(4+인력계획!AP8)*2</f>
        <v>3000000</v>
      </c>
      <c r="AQ43" s="2769">
        <f>300000*(4+인력계획!AQ8)*2</f>
        <v>3000000</v>
      </c>
      <c r="AR43" s="2769">
        <f>300000*(4+인력계획!AR8)*2</f>
        <v>3000000</v>
      </c>
      <c r="AS43" s="2769">
        <f>300000*(4+인력계획!AS8)*2</f>
        <v>3000000</v>
      </c>
      <c r="AT43" s="2769">
        <f>300000*(4+인력계획!AT8)*2</f>
        <v>3000000</v>
      </c>
      <c r="AU43" s="2769">
        <f>300000*(4+인력계획!AU8)*2</f>
        <v>3000000</v>
      </c>
      <c r="AV43" s="2694">
        <v>0</v>
      </c>
      <c r="AW43" s="2771"/>
      <c r="AX43" s="2795"/>
      <c r="AY43" s="2760"/>
      <c r="AZ43" s="2760"/>
      <c r="BA43" s="2760"/>
      <c r="BB43" s="2760"/>
      <c r="BC43" s="2760"/>
      <c r="BD43" s="2760"/>
      <c r="BE43" s="2760"/>
      <c r="BF43" s="2760"/>
      <c r="BG43" s="2760"/>
      <c r="BI43" s="2730"/>
      <c r="BJ43" s="2730"/>
    </row>
    <row r="44" spans="1:62" ht="17.25" outlineLevel="1">
      <c r="A44" s="2767" t="s">
        <v>4050</v>
      </c>
      <c r="B44" s="2803" t="s">
        <v>4051</v>
      </c>
      <c r="C44" s="2805">
        <v>100</v>
      </c>
      <c r="D44" s="2764"/>
      <c r="E44" s="2806"/>
      <c r="F44" s="2769">
        <v>2293940</v>
      </c>
      <c r="G44" s="2769">
        <v>2400000</v>
      </c>
      <c r="H44" s="2770">
        <f t="shared" ref="H44:AQ44" si="23">G44+$C$44*10^3</f>
        <v>2500000</v>
      </c>
      <c r="I44" s="2770">
        <f t="shared" si="23"/>
        <v>2600000</v>
      </c>
      <c r="J44" s="2770">
        <f t="shared" si="23"/>
        <v>2700000</v>
      </c>
      <c r="K44" s="2770">
        <f t="shared" si="23"/>
        <v>2800000</v>
      </c>
      <c r="L44" s="2770">
        <f t="shared" si="23"/>
        <v>2900000</v>
      </c>
      <c r="M44" s="2770">
        <f t="shared" si="23"/>
        <v>3000000</v>
      </c>
      <c r="N44" s="2770">
        <f t="shared" si="23"/>
        <v>3100000</v>
      </c>
      <c r="O44" s="2770">
        <f t="shared" si="23"/>
        <v>3200000</v>
      </c>
      <c r="P44" s="2770">
        <f t="shared" si="23"/>
        <v>3300000</v>
      </c>
      <c r="Q44" s="2770">
        <f t="shared" si="23"/>
        <v>3400000</v>
      </c>
      <c r="R44" s="2770">
        <f t="shared" si="23"/>
        <v>3500000</v>
      </c>
      <c r="S44" s="2770">
        <f t="shared" si="23"/>
        <v>3600000</v>
      </c>
      <c r="T44" s="2770">
        <f t="shared" si="23"/>
        <v>3700000</v>
      </c>
      <c r="U44" s="2770">
        <f t="shared" si="23"/>
        <v>3800000</v>
      </c>
      <c r="V44" s="2770">
        <f t="shared" si="23"/>
        <v>3900000</v>
      </c>
      <c r="W44" s="2770">
        <f t="shared" si="23"/>
        <v>4000000</v>
      </c>
      <c r="X44" s="2770">
        <f t="shared" si="23"/>
        <v>4100000</v>
      </c>
      <c r="Y44" s="2770">
        <f t="shared" si="23"/>
        <v>4200000</v>
      </c>
      <c r="Z44" s="2770">
        <f t="shared" si="23"/>
        <v>4300000</v>
      </c>
      <c r="AA44" s="2770">
        <f t="shared" si="23"/>
        <v>4400000</v>
      </c>
      <c r="AB44" s="2770">
        <f t="shared" si="23"/>
        <v>4500000</v>
      </c>
      <c r="AC44" s="2770">
        <f t="shared" si="23"/>
        <v>4600000</v>
      </c>
      <c r="AD44" s="2770">
        <f t="shared" si="23"/>
        <v>4700000</v>
      </c>
      <c r="AE44" s="2770">
        <f t="shared" si="23"/>
        <v>4800000</v>
      </c>
      <c r="AF44" s="2770">
        <f t="shared" si="23"/>
        <v>4900000</v>
      </c>
      <c r="AG44" s="2770">
        <f t="shared" si="23"/>
        <v>5000000</v>
      </c>
      <c r="AH44" s="2770">
        <f t="shared" si="23"/>
        <v>5100000</v>
      </c>
      <c r="AI44" s="2770">
        <f t="shared" si="23"/>
        <v>5200000</v>
      </c>
      <c r="AJ44" s="2770">
        <f t="shared" si="23"/>
        <v>5300000</v>
      </c>
      <c r="AK44" s="2770">
        <f t="shared" si="23"/>
        <v>5400000</v>
      </c>
      <c r="AL44" s="2770">
        <f t="shared" si="23"/>
        <v>5500000</v>
      </c>
      <c r="AM44" s="2770">
        <f t="shared" si="23"/>
        <v>5600000</v>
      </c>
      <c r="AN44" s="2770">
        <f t="shared" si="23"/>
        <v>5700000</v>
      </c>
      <c r="AO44" s="2770">
        <f t="shared" si="23"/>
        <v>5800000</v>
      </c>
      <c r="AP44" s="2770">
        <f t="shared" si="23"/>
        <v>5900000</v>
      </c>
      <c r="AQ44" s="2770">
        <f t="shared" si="23"/>
        <v>6000000</v>
      </c>
      <c r="AR44" s="2770">
        <f>AQ44+$C$44*10^3</f>
        <v>6100000</v>
      </c>
      <c r="AS44" s="2770">
        <f>AR44+$C$44*10^3</f>
        <v>6200000</v>
      </c>
      <c r="AT44" s="2770">
        <f>AS44+$C$44*10^3</f>
        <v>6300000</v>
      </c>
      <c r="AU44" s="2770">
        <f>AT44+$C$44*10^3</f>
        <v>6400000</v>
      </c>
      <c r="AV44" s="2694">
        <v>0</v>
      </c>
      <c r="AW44" s="2771"/>
      <c r="AX44" s="2807"/>
      <c r="AY44" s="2760"/>
      <c r="AZ44" s="2760"/>
      <c r="BA44" s="2760"/>
      <c r="BB44" s="2760"/>
      <c r="BC44" s="2760"/>
      <c r="BD44" s="2760"/>
      <c r="BE44" s="2760"/>
      <c r="BF44" s="2760"/>
      <c r="BG44" s="2760"/>
      <c r="BI44" s="2730"/>
      <c r="BJ44" s="2730"/>
    </row>
    <row r="45" spans="1:62" ht="17.25" outlineLevel="1">
      <c r="A45" s="2767" t="s">
        <v>4052</v>
      </c>
      <c r="B45" s="2803" t="s">
        <v>4053</v>
      </c>
      <c r="C45" s="2763"/>
      <c r="D45" s="2764"/>
      <c r="E45" s="2764"/>
      <c r="F45" s="2769">
        <v>12720000</v>
      </c>
      <c r="G45" s="2769">
        <v>12300000</v>
      </c>
      <c r="H45" s="2769">
        <f>((150000*인력계획!H36)+(100000*4)+(70000*(SUM(인력계획!H37:H39)-4))+(100000*(SUM(인력계획!H40:H43)-1)))*12</f>
        <v>11520000</v>
      </c>
      <c r="I45" s="2769">
        <f>((150000*인력계획!I36)+(100000*4)+(70000*(SUM(인력계획!I37:I39)-4))+(100000*(SUM(인력계획!I40:I43)-1)))*12</f>
        <v>11520000</v>
      </c>
      <c r="J45" s="2769">
        <f>((150000*인력계획!J36)+(100000*4)+(70000*(SUM(인력계획!J37:J39)-4))+(100000*(SUM(인력계획!J40:J43)-1)))*12</f>
        <v>11160000</v>
      </c>
      <c r="K45" s="2769">
        <f>((150000*인력계획!K36)+(100000*4)+(70000*(SUM(인력계획!K37:K39)-4))+(100000*(SUM(인력계획!K40:K43)-1)))*12</f>
        <v>11160000</v>
      </c>
      <c r="L45" s="2769">
        <f>((150000*인력계획!L36)+(100000*4)+(70000*(SUM(인력계획!L37:L39)-4))+(100000*(SUM(인력계획!L40:L43)-1)))*12</f>
        <v>10800000</v>
      </c>
      <c r="M45" s="2769">
        <f>((150000*인력계획!M36)+(100000*4)+(70000*(SUM(인력계획!M37:M39)-4))+(100000*(SUM(인력계획!M40:M43)-1)))*12</f>
        <v>10800000</v>
      </c>
      <c r="N45" s="2769">
        <f>((150000*인력계획!N36)+(100000*4)+(70000*(SUM(인력계획!N37:N39)-4))+(100000*(SUM(인력계획!N40:N43)-1)))*12</f>
        <v>10800000</v>
      </c>
      <c r="O45" s="2769">
        <f>((150000*인력계획!O36)+(100000*4)+(70000*(SUM(인력계획!O37:O39)-4))+(100000*(SUM(인력계획!O40:O43)-1)))*12</f>
        <v>10800000</v>
      </c>
      <c r="P45" s="2769">
        <f>((150000*인력계획!P36)+(100000*4)+(70000*(SUM(인력계획!P37:P39)-4))+(100000*(SUM(인력계획!P40:P43)-1)))*12</f>
        <v>10800000</v>
      </c>
      <c r="Q45" s="2769">
        <f>((150000*인력계획!Q36)+(100000*4)+(70000*(SUM(인력계획!Q37:Q39)-4))+(100000*(SUM(인력계획!Q40:Q43)-1)))*12</f>
        <v>10800000</v>
      </c>
      <c r="R45" s="2769">
        <f>((150000*인력계획!R36)+(100000*4)+(70000*(SUM(인력계획!R37:R39)-4))+(100000*(SUM(인력계획!R40:R43)-1)))*12</f>
        <v>9600000</v>
      </c>
      <c r="S45" s="2769">
        <f>((150000*인력계획!S36)+(100000*4)+(70000*(SUM(인력계획!S37:S39)-4))+(100000*(SUM(인력계획!S40:S43)-1)))*12</f>
        <v>6120000</v>
      </c>
      <c r="T45" s="2769">
        <f>((150000*인력계획!T36)+(100000*4)+(70000*(SUM(인력계획!T37:T39)-4))+(100000*(SUM(인력계획!T40:T43)-1)))*12</f>
        <v>6120000</v>
      </c>
      <c r="U45" s="2769">
        <f>((150000*인력계획!U36)+(100000*4)+(70000*(SUM(인력계획!U37:U39)-4))+(100000*(SUM(인력계획!U40:U43)-1)))*12</f>
        <v>6120000</v>
      </c>
      <c r="V45" s="2769">
        <f>((150000*인력계획!V36)+(100000*4)+(70000*(SUM(인력계획!V37:V39)-4))+(100000*(SUM(인력계획!V40:V43)-1)))*12</f>
        <v>6120000</v>
      </c>
      <c r="W45" s="2769">
        <f>((150000*인력계획!W36)+(100000*4)+(70000*(SUM(인력계획!W37:W39)-4))+(100000*(SUM(인력계획!W40:W43)-1)))*12</f>
        <v>5280000</v>
      </c>
      <c r="X45" s="2769">
        <f>((150000*인력계획!X36)+(100000*4)+(70000*(SUM(인력계획!X37:X39)-4))+(100000*(SUM(인력계획!X40:X43)-1)))*12</f>
        <v>5280000</v>
      </c>
      <c r="Y45" s="2769">
        <f>((150000*인력계획!Y36)+(100000*4)+(70000*(SUM(인력계획!Y37:Y39)-4))+(100000*(SUM(인력계획!Y40:Y43)-1)))*12</f>
        <v>5280000</v>
      </c>
      <c r="Z45" s="2769">
        <f>((150000*인력계획!Z36)+(100000*4)+(70000*(SUM(인력계획!Z37:Z39)-4))+(100000*(SUM(인력계획!Z40:Z43)-1)))*12</f>
        <v>3600000</v>
      </c>
      <c r="AA45" s="2769">
        <f>((150000*인력계획!AA36)+(100000*4)+(70000*(SUM(인력계획!AA37:AA39)-4))+(100000*(SUM(인력계획!AA40:AA43)-1)))*12</f>
        <v>3600000</v>
      </c>
      <c r="AB45" s="2769">
        <f>((150000*인력계획!AB36)+(100000*4)+(70000*(SUM(인력계획!AB37:AB39)-4))+(100000*(SUM(인력계획!AB40:AB43)-1)))*12</f>
        <v>3600000</v>
      </c>
      <c r="AC45" s="2769">
        <f>((150000*인력계획!AC36)+(100000*4)+(70000*(SUM(인력계획!AC37:AC39)-4))+(100000*(SUM(인력계획!AC40:AC43)-1)))*12</f>
        <v>3600000</v>
      </c>
      <c r="AD45" s="2769">
        <f>((150000*인력계획!AD36)+(100000*4)+(70000*(SUM(인력계획!AD37:AD39)-4))+(100000*(SUM(인력계획!AD40:AD43)-1)))*12</f>
        <v>3600000</v>
      </c>
      <c r="AE45" s="2769">
        <f>((150000*인력계획!AE36)+(100000*4)+(70000*(SUM(인력계획!AE37:AE39)-4))+(100000*(SUM(인력계획!AE40:AE43)-1)))*12</f>
        <v>2760000</v>
      </c>
      <c r="AF45" s="2769">
        <f>((150000*인력계획!AF36)+(100000*4)+(70000*(SUM(인력계획!AF37:AF39)-4))+(100000*(SUM(인력계획!AF40:AF43)-1)))*12</f>
        <v>2760000</v>
      </c>
      <c r="AG45" s="2769">
        <f>((150000*인력계획!AG36)+(100000*4)+(70000*(SUM(인력계획!AG37:AG39)-4))+(100000*(SUM(인력계획!AG40:AG43)-1)))*12</f>
        <v>2760000</v>
      </c>
      <c r="AH45" s="2769">
        <f>((150000*인력계획!AH36)+(100000*4)+(70000*(SUM(인력계획!AH37:AH39)-4))+(100000*(SUM(인력계획!AH40:AH43)-1)))*12</f>
        <v>1920000</v>
      </c>
      <c r="AI45" s="2769">
        <f>((150000*인력계획!AI36)+(100000*4)+(70000*(SUM(인력계획!AI37:AI39)-4))+(100000*(SUM(인력계획!AI40:AI43)-1)))*12</f>
        <v>1920000</v>
      </c>
      <c r="AJ45" s="2769">
        <f>((150000*인력계획!AJ36)+(100000*4)+(70000*(SUM(인력계획!AJ37:AJ39)-4))+(100000*(SUM(인력계획!AJ40:AJ43)-1)))*12</f>
        <v>1080000</v>
      </c>
      <c r="AK45" s="2769">
        <f>((150000*인력계획!AK36)+(100000*4)+(70000*(SUM(인력계획!AK37:AK39)-4))+(100000*(SUM(인력계획!AK40:AK43)-1)))*12</f>
        <v>1080000</v>
      </c>
      <c r="AL45" s="2769">
        <f>((150000*인력계획!AL36)+(100000*4)+(70000*(SUM(인력계획!AL37:AL39)-4))+(100000*(SUM(인력계획!AL40:AL43)-1)))*12</f>
        <v>1080000</v>
      </c>
      <c r="AM45" s="2769">
        <f>((150000*인력계획!AM36)+(100000*4)+(70000*(SUM(인력계획!AM37:AM39)-4))+(100000*(SUM(인력계획!AM40:AM43)-1)))*12</f>
        <v>1080000</v>
      </c>
      <c r="AN45" s="2769">
        <f>((150000*인력계획!AN36)+(100000*4)+(70000*(SUM(인력계획!AN37:AN39)-4))+(100000*(SUM(인력계획!AN40:AN43)-1)))*12</f>
        <v>1080000</v>
      </c>
      <c r="AO45" s="2769">
        <f>((150000*인력계획!AO36)+(100000*4)+(70000*(SUM(인력계획!AO37:AO39)-4))+(100000*(SUM(인력계획!AO40:AO43)-1)))*12</f>
        <v>1080000</v>
      </c>
      <c r="AP45" s="2769">
        <f>((150000*인력계획!AP36)+(100000*4)+(70000*(SUM(인력계획!AP37:AP39)-4))+(100000*(SUM(인력계획!AP40:AP43)-1)))*12</f>
        <v>1080000</v>
      </c>
      <c r="AQ45" s="2769">
        <f>((150000*인력계획!AQ36)+(100000*4)+(70000*(SUM(인력계획!AQ37:AQ39)-4))+(100000*(SUM(인력계획!AQ40:AQ43)-1)))*12</f>
        <v>1080000</v>
      </c>
      <c r="AR45" s="2769">
        <f>((150000*인력계획!AR36)+(100000*4)+(70000*(SUM(인력계획!AR37:AR39)-4))+(100000*(SUM(인력계획!AR40:AR43)-1)))*12</f>
        <v>1080000</v>
      </c>
      <c r="AS45" s="2769">
        <f>((150000*인력계획!AS36)+(100000*4)+(70000*(SUM(인력계획!AS37:AS39)-4))+(100000*(SUM(인력계획!AS40:AS43)-1)))*12</f>
        <v>1080000</v>
      </c>
      <c r="AT45" s="2769">
        <f>((150000*인력계획!AT36)+(100000*4)+(70000*(SUM(인력계획!AT37:AT39)-4))+(100000*(SUM(인력계획!AT40:AT43)-1)))*12</f>
        <v>240000</v>
      </c>
      <c r="AU45" s="2769">
        <f>((150000*인력계획!AU36)+(100000*4)+(70000*(SUM(인력계획!AU37:AU39)-4))+(100000*(SUM(인력계획!AU40:AU43)-1)))*12</f>
        <v>240000</v>
      </c>
      <c r="AV45" s="2694">
        <v>0</v>
      </c>
      <c r="AW45" s="2771"/>
      <c r="AX45" s="2759"/>
      <c r="AY45" s="2760"/>
      <c r="AZ45" s="2760"/>
      <c r="BA45" s="2760"/>
      <c r="BB45" s="2760"/>
      <c r="BC45" s="2760"/>
      <c r="BD45" s="2760"/>
      <c r="BE45" s="2760"/>
      <c r="BF45" s="2760"/>
      <c r="BG45" s="2760"/>
      <c r="BI45" s="2730"/>
      <c r="BJ45" s="2730"/>
    </row>
    <row r="46" spans="1:62" ht="17.25" outlineLevel="1">
      <c r="A46" s="2767" t="s">
        <v>4054</v>
      </c>
      <c r="B46" s="2808"/>
      <c r="C46" s="2763">
        <v>100</v>
      </c>
      <c r="D46" s="2764"/>
      <c r="E46" s="2764"/>
      <c r="F46" s="2769">
        <f>SUM(F47:F51)</f>
        <v>2400000</v>
      </c>
      <c r="G46" s="2769">
        <f t="shared" ref="G46:AU46" si="24">SUM(G47:G51)</f>
        <v>2400000</v>
      </c>
      <c r="H46" s="2769">
        <f t="shared" si="24"/>
        <v>8520000</v>
      </c>
      <c r="I46" s="2769">
        <f t="shared" si="24"/>
        <v>8520000</v>
      </c>
      <c r="J46" s="2769">
        <f t="shared" si="24"/>
        <v>9020000</v>
      </c>
      <c r="K46" s="2769">
        <f t="shared" si="24"/>
        <v>9020000</v>
      </c>
      <c r="L46" s="2769">
        <f t="shared" si="24"/>
        <v>9020000</v>
      </c>
      <c r="M46" s="2769">
        <f t="shared" si="24"/>
        <v>9020000</v>
      </c>
      <c r="N46" s="2769">
        <f t="shared" si="24"/>
        <v>9520000</v>
      </c>
      <c r="O46" s="2769">
        <f t="shared" si="24"/>
        <v>9520000</v>
      </c>
      <c r="P46" s="2769">
        <f t="shared" si="24"/>
        <v>9520000</v>
      </c>
      <c r="Q46" s="2769">
        <f t="shared" si="24"/>
        <v>9520000</v>
      </c>
      <c r="R46" s="2769">
        <f t="shared" si="24"/>
        <v>10020000</v>
      </c>
      <c r="S46" s="2769">
        <f t="shared" si="24"/>
        <v>10020000</v>
      </c>
      <c r="T46" s="2769">
        <f t="shared" si="24"/>
        <v>10020000</v>
      </c>
      <c r="U46" s="2769">
        <f t="shared" si="24"/>
        <v>10020000</v>
      </c>
      <c r="V46" s="2769">
        <f t="shared" si="24"/>
        <v>10520000</v>
      </c>
      <c r="W46" s="2769">
        <f t="shared" si="24"/>
        <v>10520000</v>
      </c>
      <c r="X46" s="2769">
        <f t="shared" si="24"/>
        <v>10520000</v>
      </c>
      <c r="Y46" s="2769">
        <f t="shared" si="24"/>
        <v>10520000</v>
      </c>
      <c r="Z46" s="2769">
        <f t="shared" si="24"/>
        <v>11020000</v>
      </c>
      <c r="AA46" s="2769">
        <f t="shared" si="24"/>
        <v>11020000</v>
      </c>
      <c r="AB46" s="2769">
        <f t="shared" si="24"/>
        <v>11020000</v>
      </c>
      <c r="AC46" s="2769">
        <f t="shared" si="24"/>
        <v>11020000</v>
      </c>
      <c r="AD46" s="2769">
        <f t="shared" si="24"/>
        <v>11520000</v>
      </c>
      <c r="AE46" s="2769">
        <f t="shared" si="24"/>
        <v>11520000</v>
      </c>
      <c r="AF46" s="2769">
        <f t="shared" si="24"/>
        <v>11520000</v>
      </c>
      <c r="AG46" s="2769">
        <f t="shared" si="24"/>
        <v>11520000</v>
      </c>
      <c r="AH46" s="2769">
        <f t="shared" si="24"/>
        <v>12020000</v>
      </c>
      <c r="AI46" s="2769">
        <f t="shared" si="24"/>
        <v>12020000</v>
      </c>
      <c r="AJ46" s="2769">
        <f t="shared" si="24"/>
        <v>12020000</v>
      </c>
      <c r="AK46" s="2769">
        <f t="shared" si="24"/>
        <v>12020000</v>
      </c>
      <c r="AL46" s="2769">
        <f t="shared" si="24"/>
        <v>12520000</v>
      </c>
      <c r="AM46" s="2769">
        <f t="shared" si="24"/>
        <v>12520000</v>
      </c>
      <c r="AN46" s="2769">
        <f t="shared" si="24"/>
        <v>12520000</v>
      </c>
      <c r="AO46" s="2769">
        <f t="shared" si="24"/>
        <v>12520000</v>
      </c>
      <c r="AP46" s="2769">
        <f t="shared" si="24"/>
        <v>13020000</v>
      </c>
      <c r="AQ46" s="2769">
        <f t="shared" si="24"/>
        <v>13020000</v>
      </c>
      <c r="AR46" s="2769">
        <f t="shared" si="24"/>
        <v>13020000</v>
      </c>
      <c r="AS46" s="2769">
        <f t="shared" si="24"/>
        <v>13020000</v>
      </c>
      <c r="AT46" s="2769">
        <f t="shared" si="24"/>
        <v>13520000</v>
      </c>
      <c r="AU46" s="2769">
        <f t="shared" si="24"/>
        <v>13520000</v>
      </c>
      <c r="AV46" s="2694">
        <v>0</v>
      </c>
      <c r="AW46" s="2771"/>
      <c r="AX46" s="2759"/>
      <c r="AY46" s="2760"/>
      <c r="AZ46" s="2760"/>
      <c r="BA46" s="2760"/>
      <c r="BB46" s="2760"/>
      <c r="BC46" s="2760"/>
      <c r="BD46" s="2760"/>
      <c r="BE46" s="2760"/>
      <c r="BF46" s="2760"/>
      <c r="BG46" s="2760"/>
      <c r="BI46" s="2730"/>
      <c r="BJ46" s="2730"/>
    </row>
    <row r="47" spans="1:62" ht="17.25" outlineLevel="1">
      <c r="A47" s="2801" t="s">
        <v>4033</v>
      </c>
      <c r="B47" s="2802" t="s">
        <v>4055</v>
      </c>
      <c r="C47" s="2763"/>
      <c r="D47" s="2764"/>
      <c r="E47" s="2764"/>
      <c r="F47" s="2769">
        <f>50000*12</f>
        <v>600000</v>
      </c>
      <c r="G47" s="2769">
        <f>50000*12</f>
        <v>600000</v>
      </c>
      <c r="H47" s="2770">
        <v>2400000</v>
      </c>
      <c r="I47" s="2770">
        <f>H47</f>
        <v>2400000</v>
      </c>
      <c r="J47" s="2770">
        <f>I47+100000</f>
        <v>2500000</v>
      </c>
      <c r="K47" s="2770">
        <f>J47</f>
        <v>2500000</v>
      </c>
      <c r="L47" s="2770">
        <f>K47</f>
        <v>2500000</v>
      </c>
      <c r="M47" s="2770">
        <f>L47</f>
        <v>2500000</v>
      </c>
      <c r="N47" s="2770">
        <f>M47+100000</f>
        <v>2600000</v>
      </c>
      <c r="O47" s="2770">
        <f>N47</f>
        <v>2600000</v>
      </c>
      <c r="P47" s="2770">
        <f>O47</f>
        <v>2600000</v>
      </c>
      <c r="Q47" s="2770">
        <f>P47</f>
        <v>2600000</v>
      </c>
      <c r="R47" s="2770">
        <f>Q47+100000</f>
        <v>2700000</v>
      </c>
      <c r="S47" s="2770">
        <f>R47</f>
        <v>2700000</v>
      </c>
      <c r="T47" s="2770">
        <f>S47</f>
        <v>2700000</v>
      </c>
      <c r="U47" s="2770">
        <f>T47</f>
        <v>2700000</v>
      </c>
      <c r="V47" s="2770">
        <f>U47+100000</f>
        <v>2800000</v>
      </c>
      <c r="W47" s="2770">
        <f>V47</f>
        <v>2800000</v>
      </c>
      <c r="X47" s="2770">
        <f>W47</f>
        <v>2800000</v>
      </c>
      <c r="Y47" s="2770">
        <f>X47</f>
        <v>2800000</v>
      </c>
      <c r="Z47" s="2770">
        <f>Y47+100000</f>
        <v>2900000</v>
      </c>
      <c r="AA47" s="2770">
        <f>Z47</f>
        <v>2900000</v>
      </c>
      <c r="AB47" s="2770">
        <f>AA47</f>
        <v>2900000</v>
      </c>
      <c r="AC47" s="2770">
        <f>AB47</f>
        <v>2900000</v>
      </c>
      <c r="AD47" s="2770">
        <f>AC47+100000</f>
        <v>3000000</v>
      </c>
      <c r="AE47" s="2770">
        <f>AD47</f>
        <v>3000000</v>
      </c>
      <c r="AF47" s="2770">
        <f>AE47</f>
        <v>3000000</v>
      </c>
      <c r="AG47" s="2770">
        <f>AF47</f>
        <v>3000000</v>
      </c>
      <c r="AH47" s="2770">
        <f>AG47+100000</f>
        <v>3100000</v>
      </c>
      <c r="AI47" s="2770">
        <f>AH47</f>
        <v>3100000</v>
      </c>
      <c r="AJ47" s="2770">
        <f>AI47</f>
        <v>3100000</v>
      </c>
      <c r="AK47" s="2770">
        <f>AJ47</f>
        <v>3100000</v>
      </c>
      <c r="AL47" s="2770">
        <f>AK47+100000</f>
        <v>3200000</v>
      </c>
      <c r="AM47" s="2770">
        <f>AL47</f>
        <v>3200000</v>
      </c>
      <c r="AN47" s="2770">
        <f>AM47</f>
        <v>3200000</v>
      </c>
      <c r="AO47" s="2770">
        <f>AN47</f>
        <v>3200000</v>
      </c>
      <c r="AP47" s="2770">
        <f>AO47+100000</f>
        <v>3300000</v>
      </c>
      <c r="AQ47" s="2770">
        <f>AP47</f>
        <v>3300000</v>
      </c>
      <c r="AR47" s="2770">
        <f>AQ47</f>
        <v>3300000</v>
      </c>
      <c r="AS47" s="2770">
        <f>AR47</f>
        <v>3300000</v>
      </c>
      <c r="AT47" s="2770">
        <f>AS47+100000</f>
        <v>3400000</v>
      </c>
      <c r="AU47" s="2770">
        <f>AT47</f>
        <v>3400000</v>
      </c>
      <c r="AV47" s="2694">
        <v>0</v>
      </c>
      <c r="AW47" s="2809"/>
      <c r="AX47" s="2759"/>
      <c r="AY47" s="2760"/>
      <c r="AZ47" s="2760"/>
      <c r="BA47" s="2760"/>
      <c r="BB47" s="2760"/>
      <c r="BC47" s="2760"/>
      <c r="BD47" s="2760"/>
      <c r="BE47" s="2760"/>
      <c r="BF47" s="2760"/>
      <c r="BG47" s="2760"/>
      <c r="BI47" s="2730"/>
      <c r="BJ47" s="2730"/>
    </row>
    <row r="48" spans="1:62" ht="17.25" outlineLevel="1">
      <c r="A48" s="2801" t="s">
        <v>4035</v>
      </c>
      <c r="B48" s="2802" t="s">
        <v>4055</v>
      </c>
      <c r="C48" s="2763"/>
      <c r="D48" s="2764"/>
      <c r="E48" s="2764"/>
      <c r="F48" s="2769"/>
      <c r="G48" s="2769"/>
      <c r="H48" s="2769">
        <v>2400000</v>
      </c>
      <c r="I48" s="2769">
        <f>I47*인력계획!I8</f>
        <v>2400000</v>
      </c>
      <c r="J48" s="2769">
        <f>J47*인력계획!J8</f>
        <v>2500000</v>
      </c>
      <c r="K48" s="2769">
        <f>K47*인력계획!K8</f>
        <v>2500000</v>
      </c>
      <c r="L48" s="2769">
        <f>L47*인력계획!L8</f>
        <v>2500000</v>
      </c>
      <c r="M48" s="2769">
        <f>M47*인력계획!M8</f>
        <v>2500000</v>
      </c>
      <c r="N48" s="2769">
        <f>N47*인력계획!N8</f>
        <v>2600000</v>
      </c>
      <c r="O48" s="2769">
        <f>O47*인력계획!O8</f>
        <v>2600000</v>
      </c>
      <c r="P48" s="2769">
        <f>P47*인력계획!P8</f>
        <v>2600000</v>
      </c>
      <c r="Q48" s="2769">
        <f>Q47*인력계획!Q8</f>
        <v>2600000</v>
      </c>
      <c r="R48" s="2769">
        <f>R47*인력계획!R8</f>
        <v>2700000</v>
      </c>
      <c r="S48" s="2769">
        <f>S47*인력계획!S8</f>
        <v>2700000</v>
      </c>
      <c r="T48" s="2769">
        <f>T47*인력계획!T8</f>
        <v>2700000</v>
      </c>
      <c r="U48" s="2769">
        <f>U47*인력계획!U8</f>
        <v>2700000</v>
      </c>
      <c r="V48" s="2769">
        <f>V47*인력계획!V8</f>
        <v>2800000</v>
      </c>
      <c r="W48" s="2769">
        <f>W47*인력계획!W8</f>
        <v>2800000</v>
      </c>
      <c r="X48" s="2769">
        <f>X47*인력계획!X8</f>
        <v>2800000</v>
      </c>
      <c r="Y48" s="2769">
        <f>Y47*인력계획!Y8</f>
        <v>2800000</v>
      </c>
      <c r="Z48" s="2769">
        <f>Z47*인력계획!Z8</f>
        <v>2900000</v>
      </c>
      <c r="AA48" s="2769">
        <f>AA47*인력계획!AA8</f>
        <v>2900000</v>
      </c>
      <c r="AB48" s="2769">
        <f>AB47*인력계획!AB8</f>
        <v>2900000</v>
      </c>
      <c r="AC48" s="2769">
        <f>AC47*인력계획!AC8</f>
        <v>2900000</v>
      </c>
      <c r="AD48" s="2769">
        <f>AD47*인력계획!AD8</f>
        <v>3000000</v>
      </c>
      <c r="AE48" s="2769">
        <f>AE47*인력계획!AE8</f>
        <v>3000000</v>
      </c>
      <c r="AF48" s="2769">
        <f>AF47*인력계획!AF8</f>
        <v>3000000</v>
      </c>
      <c r="AG48" s="2769">
        <f>AG47*인력계획!AG8</f>
        <v>3000000</v>
      </c>
      <c r="AH48" s="2769">
        <f>AH47*인력계획!AH8</f>
        <v>3100000</v>
      </c>
      <c r="AI48" s="2769">
        <f>AI47*인력계획!AI8</f>
        <v>3100000</v>
      </c>
      <c r="AJ48" s="2769">
        <f>AJ47*인력계획!AJ8</f>
        <v>3100000</v>
      </c>
      <c r="AK48" s="2769">
        <f>AK47*인력계획!AK8</f>
        <v>3100000</v>
      </c>
      <c r="AL48" s="2769">
        <f>AL47*인력계획!AL8</f>
        <v>3200000</v>
      </c>
      <c r="AM48" s="2769">
        <f>AM47*인력계획!AM8</f>
        <v>3200000</v>
      </c>
      <c r="AN48" s="2769">
        <f>AN47*인력계획!AN8</f>
        <v>3200000</v>
      </c>
      <c r="AO48" s="2769">
        <f>AO47*인력계획!AO8</f>
        <v>3200000</v>
      </c>
      <c r="AP48" s="2769">
        <f>AP47*인력계획!AP8</f>
        <v>3300000</v>
      </c>
      <c r="AQ48" s="2769">
        <f>AQ47*인력계획!AQ8</f>
        <v>3300000</v>
      </c>
      <c r="AR48" s="2769">
        <f>AR47*인력계획!AR8</f>
        <v>3300000</v>
      </c>
      <c r="AS48" s="2769">
        <f>AS47*인력계획!AS8</f>
        <v>3300000</v>
      </c>
      <c r="AT48" s="2769">
        <f>AT47*인력계획!AT8</f>
        <v>3400000</v>
      </c>
      <c r="AU48" s="2769">
        <f>AU47*인력계획!AU8</f>
        <v>3400000</v>
      </c>
      <c r="AV48" s="2694">
        <v>0</v>
      </c>
      <c r="AW48" s="2771"/>
      <c r="AX48" s="2759"/>
      <c r="AY48" s="2760"/>
      <c r="AZ48" s="2760"/>
      <c r="BA48" s="2760"/>
      <c r="BB48" s="2760"/>
      <c r="BC48" s="2760"/>
      <c r="BD48" s="2760"/>
      <c r="BE48" s="2760"/>
      <c r="BF48" s="2760"/>
      <c r="BG48" s="2760"/>
      <c r="BI48" s="2730"/>
      <c r="BJ48" s="2730"/>
    </row>
    <row r="49" spans="1:62" ht="17.25" outlineLevel="1">
      <c r="A49" s="2801" t="s">
        <v>4056</v>
      </c>
      <c r="B49" s="2802" t="s">
        <v>4057</v>
      </c>
      <c r="C49" s="2763"/>
      <c r="D49" s="2764"/>
      <c r="E49" s="2764"/>
      <c r="F49" s="2769">
        <f t="shared" ref="F49:G51" si="25">50000*12</f>
        <v>600000</v>
      </c>
      <c r="G49" s="2769">
        <f t="shared" si="25"/>
        <v>600000</v>
      </c>
      <c r="H49" s="2770">
        <v>1800000</v>
      </c>
      <c r="I49" s="2770">
        <f>H49</f>
        <v>1800000</v>
      </c>
      <c r="J49" s="2770">
        <f>I49+100000</f>
        <v>1900000</v>
      </c>
      <c r="K49" s="2770">
        <f t="shared" ref="K49:M51" si="26">J49</f>
        <v>1900000</v>
      </c>
      <c r="L49" s="2770">
        <f t="shared" si="26"/>
        <v>1900000</v>
      </c>
      <c r="M49" s="2770">
        <f t="shared" si="26"/>
        <v>1900000</v>
      </c>
      <c r="N49" s="2770">
        <f>M49+100000</f>
        <v>2000000</v>
      </c>
      <c r="O49" s="2770">
        <f t="shared" ref="O49:Q51" si="27">N49</f>
        <v>2000000</v>
      </c>
      <c r="P49" s="2770">
        <f t="shared" si="27"/>
        <v>2000000</v>
      </c>
      <c r="Q49" s="2770">
        <f t="shared" si="27"/>
        <v>2000000</v>
      </c>
      <c r="R49" s="2770">
        <f>Q49+100000</f>
        <v>2100000</v>
      </c>
      <c r="S49" s="2770">
        <f t="shared" ref="S49:U51" si="28">R49</f>
        <v>2100000</v>
      </c>
      <c r="T49" s="2770">
        <f t="shared" si="28"/>
        <v>2100000</v>
      </c>
      <c r="U49" s="2770">
        <f t="shared" si="28"/>
        <v>2100000</v>
      </c>
      <c r="V49" s="2770">
        <f>U49+100000</f>
        <v>2200000</v>
      </c>
      <c r="W49" s="2770">
        <f t="shared" ref="W49:Y51" si="29">V49</f>
        <v>2200000</v>
      </c>
      <c r="X49" s="2770">
        <f t="shared" si="29"/>
        <v>2200000</v>
      </c>
      <c r="Y49" s="2770">
        <f t="shared" si="29"/>
        <v>2200000</v>
      </c>
      <c r="Z49" s="2770">
        <f>Y49+100000</f>
        <v>2300000</v>
      </c>
      <c r="AA49" s="2770">
        <f t="shared" ref="AA49:AC51" si="30">Z49</f>
        <v>2300000</v>
      </c>
      <c r="AB49" s="2770">
        <f t="shared" si="30"/>
        <v>2300000</v>
      </c>
      <c r="AC49" s="2770">
        <f t="shared" si="30"/>
        <v>2300000</v>
      </c>
      <c r="AD49" s="2770">
        <f>AC49+100000</f>
        <v>2400000</v>
      </c>
      <c r="AE49" s="2770">
        <f t="shared" ref="AE49:AG51" si="31">AD49</f>
        <v>2400000</v>
      </c>
      <c r="AF49" s="2770">
        <f t="shared" si="31"/>
        <v>2400000</v>
      </c>
      <c r="AG49" s="2770">
        <f t="shared" si="31"/>
        <v>2400000</v>
      </c>
      <c r="AH49" s="2770">
        <f>AG49+100000</f>
        <v>2500000</v>
      </c>
      <c r="AI49" s="2770">
        <f t="shared" ref="AI49:AK51" si="32">AH49</f>
        <v>2500000</v>
      </c>
      <c r="AJ49" s="2770">
        <f t="shared" si="32"/>
        <v>2500000</v>
      </c>
      <c r="AK49" s="2770">
        <f t="shared" si="32"/>
        <v>2500000</v>
      </c>
      <c r="AL49" s="2770">
        <f>AK49+100000</f>
        <v>2600000</v>
      </c>
      <c r="AM49" s="2770">
        <f t="shared" ref="AM49:AO51" si="33">AL49</f>
        <v>2600000</v>
      </c>
      <c r="AN49" s="2770">
        <f t="shared" si="33"/>
        <v>2600000</v>
      </c>
      <c r="AO49" s="2770">
        <f t="shared" si="33"/>
        <v>2600000</v>
      </c>
      <c r="AP49" s="2770">
        <f>AO49+100000</f>
        <v>2700000</v>
      </c>
      <c r="AQ49" s="2770">
        <f t="shared" ref="AQ49:AS51" si="34">AP49</f>
        <v>2700000</v>
      </c>
      <c r="AR49" s="2770">
        <f t="shared" si="34"/>
        <v>2700000</v>
      </c>
      <c r="AS49" s="2770">
        <f t="shared" si="34"/>
        <v>2700000</v>
      </c>
      <c r="AT49" s="2770">
        <f>AS49+100000</f>
        <v>2800000</v>
      </c>
      <c r="AU49" s="2770">
        <f>AT49</f>
        <v>2800000</v>
      </c>
      <c r="AV49" s="2694">
        <v>0</v>
      </c>
      <c r="AW49" s="2771"/>
      <c r="AX49" s="2759"/>
      <c r="AY49" s="2760"/>
      <c r="AZ49" s="2760"/>
      <c r="BA49" s="2760"/>
      <c r="BB49" s="2760"/>
      <c r="BC49" s="2760"/>
      <c r="BD49" s="2760"/>
      <c r="BE49" s="2760"/>
      <c r="BF49" s="2760"/>
      <c r="BG49" s="2760"/>
      <c r="BI49" s="2730"/>
      <c r="BJ49" s="2730"/>
    </row>
    <row r="50" spans="1:62" ht="17.25" outlineLevel="1">
      <c r="A50" s="2801" t="s">
        <v>4058</v>
      </c>
      <c r="B50" s="2802" t="s">
        <v>4059</v>
      </c>
      <c r="C50" s="2763"/>
      <c r="D50" s="2764"/>
      <c r="E50" s="2764"/>
      <c r="F50" s="2769">
        <f t="shared" si="25"/>
        <v>600000</v>
      </c>
      <c r="G50" s="2769">
        <f t="shared" si="25"/>
        <v>600000</v>
      </c>
      <c r="H50" s="2770">
        <v>960000</v>
      </c>
      <c r="I50" s="2770">
        <f>H50</f>
        <v>960000</v>
      </c>
      <c r="J50" s="2770">
        <f>I50+100000</f>
        <v>1060000</v>
      </c>
      <c r="K50" s="2770">
        <f t="shared" si="26"/>
        <v>1060000</v>
      </c>
      <c r="L50" s="2770">
        <f t="shared" si="26"/>
        <v>1060000</v>
      </c>
      <c r="M50" s="2770">
        <f t="shared" si="26"/>
        <v>1060000</v>
      </c>
      <c r="N50" s="2770">
        <f>M50+100000</f>
        <v>1160000</v>
      </c>
      <c r="O50" s="2770">
        <f t="shared" si="27"/>
        <v>1160000</v>
      </c>
      <c r="P50" s="2770">
        <f t="shared" si="27"/>
        <v>1160000</v>
      </c>
      <c r="Q50" s="2770">
        <f t="shared" si="27"/>
        <v>1160000</v>
      </c>
      <c r="R50" s="2770">
        <f>Q50+100000</f>
        <v>1260000</v>
      </c>
      <c r="S50" s="2770">
        <f t="shared" si="28"/>
        <v>1260000</v>
      </c>
      <c r="T50" s="2770">
        <f t="shared" si="28"/>
        <v>1260000</v>
      </c>
      <c r="U50" s="2770">
        <f t="shared" si="28"/>
        <v>1260000</v>
      </c>
      <c r="V50" s="2770">
        <f>U50+100000</f>
        <v>1360000</v>
      </c>
      <c r="W50" s="2770">
        <f t="shared" si="29"/>
        <v>1360000</v>
      </c>
      <c r="X50" s="2770">
        <f t="shared" si="29"/>
        <v>1360000</v>
      </c>
      <c r="Y50" s="2770">
        <f t="shared" si="29"/>
        <v>1360000</v>
      </c>
      <c r="Z50" s="2770">
        <f>Y50+100000</f>
        <v>1460000</v>
      </c>
      <c r="AA50" s="2770">
        <f t="shared" si="30"/>
        <v>1460000</v>
      </c>
      <c r="AB50" s="2770">
        <f t="shared" si="30"/>
        <v>1460000</v>
      </c>
      <c r="AC50" s="2770">
        <f t="shared" si="30"/>
        <v>1460000</v>
      </c>
      <c r="AD50" s="2770">
        <f>AC50+100000</f>
        <v>1560000</v>
      </c>
      <c r="AE50" s="2770">
        <f t="shared" si="31"/>
        <v>1560000</v>
      </c>
      <c r="AF50" s="2770">
        <f t="shared" si="31"/>
        <v>1560000</v>
      </c>
      <c r="AG50" s="2770">
        <f t="shared" si="31"/>
        <v>1560000</v>
      </c>
      <c r="AH50" s="2770">
        <f>AG50+100000</f>
        <v>1660000</v>
      </c>
      <c r="AI50" s="2770">
        <f t="shared" si="32"/>
        <v>1660000</v>
      </c>
      <c r="AJ50" s="2770">
        <f t="shared" si="32"/>
        <v>1660000</v>
      </c>
      <c r="AK50" s="2770">
        <f t="shared" si="32"/>
        <v>1660000</v>
      </c>
      <c r="AL50" s="2770">
        <f>AK50+100000</f>
        <v>1760000</v>
      </c>
      <c r="AM50" s="2770">
        <f t="shared" si="33"/>
        <v>1760000</v>
      </c>
      <c r="AN50" s="2770">
        <f t="shared" si="33"/>
        <v>1760000</v>
      </c>
      <c r="AO50" s="2770">
        <f t="shared" si="33"/>
        <v>1760000</v>
      </c>
      <c r="AP50" s="2770">
        <f>AO50+100000</f>
        <v>1860000</v>
      </c>
      <c r="AQ50" s="2770">
        <f t="shared" si="34"/>
        <v>1860000</v>
      </c>
      <c r="AR50" s="2770">
        <f t="shared" si="34"/>
        <v>1860000</v>
      </c>
      <c r="AS50" s="2770">
        <f t="shared" si="34"/>
        <v>1860000</v>
      </c>
      <c r="AT50" s="2770">
        <f>AS50+100000</f>
        <v>1960000</v>
      </c>
      <c r="AU50" s="2770">
        <f>AT50</f>
        <v>1960000</v>
      </c>
      <c r="AV50" s="2694">
        <v>0</v>
      </c>
      <c r="AW50" s="2771"/>
      <c r="AX50" s="2759"/>
      <c r="AY50" s="2760"/>
      <c r="AZ50" s="2760"/>
      <c r="BA50" s="2760"/>
      <c r="BB50" s="2760"/>
      <c r="BC50" s="2760"/>
      <c r="BD50" s="2760"/>
      <c r="BE50" s="2760"/>
      <c r="BF50" s="2760"/>
      <c r="BG50" s="2760"/>
      <c r="BI50" s="2730"/>
      <c r="BJ50" s="2730"/>
    </row>
    <row r="51" spans="1:62" ht="17.25" outlineLevel="1">
      <c r="A51" s="2801" t="s">
        <v>4060</v>
      </c>
      <c r="B51" s="2802" t="s">
        <v>4059</v>
      </c>
      <c r="C51" s="2763"/>
      <c r="D51" s="2764"/>
      <c r="E51" s="2764"/>
      <c r="F51" s="2769">
        <f t="shared" si="25"/>
        <v>600000</v>
      </c>
      <c r="G51" s="2769">
        <f t="shared" si="25"/>
        <v>600000</v>
      </c>
      <c r="H51" s="2770">
        <v>960000</v>
      </c>
      <c r="I51" s="2770">
        <f>H51</f>
        <v>960000</v>
      </c>
      <c r="J51" s="2770">
        <f>I51+100000</f>
        <v>1060000</v>
      </c>
      <c r="K51" s="2770">
        <f t="shared" si="26"/>
        <v>1060000</v>
      </c>
      <c r="L51" s="2770">
        <f t="shared" si="26"/>
        <v>1060000</v>
      </c>
      <c r="M51" s="2770">
        <f t="shared" si="26"/>
        <v>1060000</v>
      </c>
      <c r="N51" s="2770">
        <f>M51+100000</f>
        <v>1160000</v>
      </c>
      <c r="O51" s="2770">
        <f t="shared" si="27"/>
        <v>1160000</v>
      </c>
      <c r="P51" s="2770">
        <f t="shared" si="27"/>
        <v>1160000</v>
      </c>
      <c r="Q51" s="2770">
        <f t="shared" si="27"/>
        <v>1160000</v>
      </c>
      <c r="R51" s="2770">
        <f>Q51+100000</f>
        <v>1260000</v>
      </c>
      <c r="S51" s="2770">
        <f t="shared" si="28"/>
        <v>1260000</v>
      </c>
      <c r="T51" s="2770">
        <f t="shared" si="28"/>
        <v>1260000</v>
      </c>
      <c r="U51" s="2770">
        <f t="shared" si="28"/>
        <v>1260000</v>
      </c>
      <c r="V51" s="2770">
        <f>U51+100000</f>
        <v>1360000</v>
      </c>
      <c r="W51" s="2770">
        <f t="shared" si="29"/>
        <v>1360000</v>
      </c>
      <c r="X51" s="2770">
        <f t="shared" si="29"/>
        <v>1360000</v>
      </c>
      <c r="Y51" s="2770">
        <f t="shared" si="29"/>
        <v>1360000</v>
      </c>
      <c r="Z51" s="2770">
        <f>Y51+100000</f>
        <v>1460000</v>
      </c>
      <c r="AA51" s="2770">
        <f t="shared" si="30"/>
        <v>1460000</v>
      </c>
      <c r="AB51" s="2770">
        <f t="shared" si="30"/>
        <v>1460000</v>
      </c>
      <c r="AC51" s="2770">
        <f t="shared" si="30"/>
        <v>1460000</v>
      </c>
      <c r="AD51" s="2770">
        <f>AC51+100000</f>
        <v>1560000</v>
      </c>
      <c r="AE51" s="2770">
        <f t="shared" si="31"/>
        <v>1560000</v>
      </c>
      <c r="AF51" s="2770">
        <f t="shared" si="31"/>
        <v>1560000</v>
      </c>
      <c r="AG51" s="2770">
        <f t="shared" si="31"/>
        <v>1560000</v>
      </c>
      <c r="AH51" s="2770">
        <f>AG51+100000</f>
        <v>1660000</v>
      </c>
      <c r="AI51" s="2770">
        <f t="shared" si="32"/>
        <v>1660000</v>
      </c>
      <c r="AJ51" s="2770">
        <f t="shared" si="32"/>
        <v>1660000</v>
      </c>
      <c r="AK51" s="2770">
        <f t="shared" si="32"/>
        <v>1660000</v>
      </c>
      <c r="AL51" s="2770">
        <f>AK51+100000</f>
        <v>1760000</v>
      </c>
      <c r="AM51" s="2770">
        <f t="shared" si="33"/>
        <v>1760000</v>
      </c>
      <c r="AN51" s="2770">
        <f t="shared" si="33"/>
        <v>1760000</v>
      </c>
      <c r="AO51" s="2770">
        <f t="shared" si="33"/>
        <v>1760000</v>
      </c>
      <c r="AP51" s="2770">
        <f>AO51+100000</f>
        <v>1860000</v>
      </c>
      <c r="AQ51" s="2770">
        <f t="shared" si="34"/>
        <v>1860000</v>
      </c>
      <c r="AR51" s="2770">
        <f t="shared" si="34"/>
        <v>1860000</v>
      </c>
      <c r="AS51" s="2770">
        <f t="shared" si="34"/>
        <v>1860000</v>
      </c>
      <c r="AT51" s="2770">
        <f>AS51+100000</f>
        <v>1960000</v>
      </c>
      <c r="AU51" s="2770">
        <f>AT51</f>
        <v>1960000</v>
      </c>
      <c r="AV51" s="2694">
        <v>0</v>
      </c>
      <c r="AW51" s="2771"/>
      <c r="AX51" s="2759"/>
      <c r="AY51" s="2760"/>
      <c r="AZ51" s="2760"/>
      <c r="BA51" s="2760"/>
      <c r="BB51" s="2760"/>
      <c r="BC51" s="2760"/>
      <c r="BD51" s="2760"/>
      <c r="BE51" s="2760"/>
      <c r="BF51" s="2760"/>
      <c r="BG51" s="2760"/>
      <c r="BI51" s="2730"/>
      <c r="BJ51" s="2730"/>
    </row>
    <row r="52" spans="1:62" ht="17.25" outlineLevel="1">
      <c r="A52" s="2767" t="s">
        <v>4061</v>
      </c>
      <c r="B52" s="2802"/>
      <c r="C52" s="2763"/>
      <c r="D52" s="2764"/>
      <c r="E52" s="2764"/>
      <c r="F52" s="2769">
        <f>SUM(F53:F56)</f>
        <v>20000420</v>
      </c>
      <c r="G52" s="2769">
        <f t="shared" ref="G52:AU52" si="35">SUM(G53:G56)</f>
        <v>18953900</v>
      </c>
      <c r="H52" s="2769">
        <f t="shared" si="35"/>
        <v>21536735.592911769</v>
      </c>
      <c r="I52" s="2769">
        <f t="shared" si="35"/>
        <v>21742413.358425509</v>
      </c>
      <c r="J52" s="2769">
        <f t="shared" si="35"/>
        <v>22149868.680640675</v>
      </c>
      <c r="K52" s="2769">
        <f t="shared" si="35"/>
        <v>23195647.060818393</v>
      </c>
      <c r="L52" s="2769">
        <f t="shared" si="35"/>
        <v>23274800.604839042</v>
      </c>
      <c r="M52" s="2769">
        <f t="shared" si="35"/>
        <v>23895924.569457591</v>
      </c>
      <c r="N52" s="2769">
        <f t="shared" si="35"/>
        <v>24766956.858907364</v>
      </c>
      <c r="O52" s="2769">
        <f t="shared" si="35"/>
        <v>25117474.740388755</v>
      </c>
      <c r="P52" s="2769">
        <f t="shared" si="35"/>
        <v>25199842.235702354</v>
      </c>
      <c r="Q52" s="2769">
        <f t="shared" si="35"/>
        <v>26126283.848419279</v>
      </c>
      <c r="R52" s="2769">
        <f t="shared" si="35"/>
        <v>26592162.75175596</v>
      </c>
      <c r="S52" s="2769">
        <f t="shared" si="35"/>
        <v>26677026.064545058</v>
      </c>
      <c r="T52" s="2769">
        <f t="shared" si="35"/>
        <v>27959602.129337419</v>
      </c>
      <c r="U52" s="2769">
        <f t="shared" si="35"/>
        <v>28046171.194713581</v>
      </c>
      <c r="V52" s="2769">
        <f t="shared" si="35"/>
        <v>28133605.9507435</v>
      </c>
      <c r="W52" s="2769">
        <f t="shared" si="35"/>
        <v>29497625.672763102</v>
      </c>
      <c r="X52" s="2769">
        <f t="shared" si="35"/>
        <v>29586817.867389221</v>
      </c>
      <c r="Y52" s="2769">
        <f t="shared" si="35"/>
        <v>29676901.983961605</v>
      </c>
      <c r="Z52" s="2769">
        <f t="shared" si="35"/>
        <v>30796021.434206013</v>
      </c>
      <c r="AA52" s="2769">
        <f t="shared" si="35"/>
        <v>30887916.2415215</v>
      </c>
      <c r="AB52" s="2769">
        <f t="shared" si="35"/>
        <v>31303055.092375979</v>
      </c>
      <c r="AC52" s="2769">
        <f t="shared" si="35"/>
        <v>32492454.457223415</v>
      </c>
      <c r="AD52" s="2769">
        <f t="shared" si="35"/>
        <v>32587133.769095369</v>
      </c>
      <c r="AE52" s="2769">
        <f t="shared" si="35"/>
        <v>30811662.694906861</v>
      </c>
      <c r="AF52" s="2769">
        <f t="shared" si="35"/>
        <v>31965130.547488637</v>
      </c>
      <c r="AG52" s="2769">
        <f t="shared" si="35"/>
        <v>32062678.737189624</v>
      </c>
      <c r="AH52" s="2769">
        <f t="shared" si="35"/>
        <v>32161202.408787619</v>
      </c>
      <c r="AI52" s="2769">
        <f t="shared" si="35"/>
        <v>34170008.767909795</v>
      </c>
      <c r="AJ52" s="2769">
        <f t="shared" si="35"/>
        <v>32207628.125261862</v>
      </c>
      <c r="AK52" s="2769">
        <f t="shared" si="35"/>
        <v>32309137.162632946</v>
      </c>
      <c r="AL52" s="2769">
        <f t="shared" si="35"/>
        <v>33513711.691784155</v>
      </c>
      <c r="AM52" s="2769">
        <f t="shared" si="35"/>
        <v>34154570.548446044</v>
      </c>
      <c r="AN52" s="2769">
        <f t="shared" si="35"/>
        <v>35098701.485595442</v>
      </c>
      <c r="AO52" s="2769">
        <f t="shared" si="35"/>
        <v>36430327.8965156</v>
      </c>
      <c r="AP52" s="2769">
        <f t="shared" si="35"/>
        <v>36537014.914968595</v>
      </c>
      <c r="AQ52" s="2769">
        <f t="shared" si="35"/>
        <v>36644768.803606108</v>
      </c>
      <c r="AR52" s="2769">
        <f t="shared" si="35"/>
        <v>38479012.834634513</v>
      </c>
      <c r="AS52" s="2769">
        <f t="shared" si="35"/>
        <v>39181316.286556333</v>
      </c>
      <c r="AT52" s="2769">
        <f t="shared" si="35"/>
        <v>34942017.354559869</v>
      </c>
      <c r="AU52" s="2769">
        <f t="shared" si="35"/>
        <v>36239815.889849439</v>
      </c>
      <c r="AV52" s="2694">
        <v>0</v>
      </c>
      <c r="AW52" s="2771"/>
      <c r="AX52" s="2759"/>
      <c r="AY52" s="2760"/>
      <c r="AZ52" s="2760"/>
      <c r="BA52" s="2760"/>
      <c r="BB52" s="2760"/>
      <c r="BC52" s="2760"/>
      <c r="BD52" s="2760"/>
      <c r="BE52" s="2760"/>
      <c r="BF52" s="2760"/>
      <c r="BG52" s="2760"/>
      <c r="BI52" s="2730"/>
      <c r="BJ52" s="2730"/>
    </row>
    <row r="53" spans="1:62" ht="17.25" outlineLevel="1">
      <c r="A53" s="2767" t="s">
        <v>4062</v>
      </c>
      <c r="B53" s="2803" t="s">
        <v>4063</v>
      </c>
      <c r="C53" s="2787">
        <v>0.01</v>
      </c>
      <c r="D53" s="2764"/>
      <c r="E53" s="2804"/>
      <c r="F53" s="2769">
        <v>9761280</v>
      </c>
      <c r="G53" s="2770">
        <v>9144900</v>
      </c>
      <c r="H53" s="2770">
        <f>((H13+H16)*3.06%+((H13+H16)*3.06%)*3.275%)*(1+$C$53)*70%</f>
        <v>10865345.673765637</v>
      </c>
      <c r="I53" s="2770">
        <f t="shared" ref="I53:AU53" si="36">((I13+I16)*3.06%+((I13+I16)*3.06%)*3.275%)*(1+$C$53)*70%</f>
        <v>10956935.162050273</v>
      </c>
      <c r="J53" s="2770">
        <f t="shared" si="36"/>
        <v>11191404.25205894</v>
      </c>
      <c r="K53" s="2770">
        <f t="shared" si="36"/>
        <v>11929931.293698527</v>
      </c>
      <c r="L53" s="2770">
        <f t="shared" si="36"/>
        <v>11929931.293698527</v>
      </c>
      <c r="M53" s="2770">
        <f t="shared" si="36"/>
        <v>12314607.144493993</v>
      </c>
      <c r="N53" s="2770">
        <f t="shared" si="36"/>
        <v>12929778.933717446</v>
      </c>
      <c r="O53" s="2770">
        <f t="shared" si="36"/>
        <v>13120962.831562789</v>
      </c>
      <c r="P53" s="2770">
        <f t="shared" si="36"/>
        <v>13120962.831562789</v>
      </c>
      <c r="Q53" s="2770">
        <f t="shared" si="36"/>
        <v>13776452.405139679</v>
      </c>
      <c r="R53" s="2770">
        <f t="shared" si="36"/>
        <v>14047879.685460966</v>
      </c>
      <c r="S53" s="2770">
        <f t="shared" si="36"/>
        <v>14047879.685460966</v>
      </c>
      <c r="T53" s="2770">
        <f t="shared" si="36"/>
        <v>14957526.613228746</v>
      </c>
      <c r="U53" s="2770">
        <f t="shared" si="36"/>
        <v>14957526.613228746</v>
      </c>
      <c r="V53" s="2770">
        <f t="shared" si="36"/>
        <v>14957526.613228746</v>
      </c>
      <c r="W53" s="2770">
        <f t="shared" si="36"/>
        <v>15926163.635632155</v>
      </c>
      <c r="X53" s="2770">
        <f t="shared" si="36"/>
        <v>15926163.635632155</v>
      </c>
      <c r="Y53" s="2770">
        <f t="shared" si="36"/>
        <v>15926163.635632155</v>
      </c>
      <c r="Z53" s="2770">
        <f t="shared" si="36"/>
        <v>16721913.249412514</v>
      </c>
      <c r="AA53" s="2770">
        <f t="shared" si="36"/>
        <v>16721913.249412514</v>
      </c>
      <c r="AB53" s="2770">
        <f t="shared" si="36"/>
        <v>16951025.440836836</v>
      </c>
      <c r="AC53" s="2770">
        <f t="shared" si="36"/>
        <v>17798018.144877426</v>
      </c>
      <c r="AD53" s="2770">
        <f t="shared" si="36"/>
        <v>17798018.144877426</v>
      </c>
      <c r="AE53" s="2770">
        <f t="shared" si="36"/>
        <v>16468021.873659244</v>
      </c>
      <c r="AF53" s="2770">
        <f t="shared" si="36"/>
        <v>17290864.399340957</v>
      </c>
      <c r="AG53" s="2770">
        <f t="shared" si="36"/>
        <v>17290864.399340957</v>
      </c>
      <c r="AH53" s="2770">
        <f t="shared" si="36"/>
        <v>17290864.399340957</v>
      </c>
      <c r="AI53" s="2770">
        <f t="shared" si="36"/>
        <v>18723190.481158715</v>
      </c>
      <c r="AJ53" s="2770">
        <f t="shared" si="36"/>
        <v>17256869.592140667</v>
      </c>
      <c r="AK53" s="2770">
        <f t="shared" si="36"/>
        <v>17256869.592140667</v>
      </c>
      <c r="AL53" s="2770">
        <f t="shared" si="36"/>
        <v>18119154.50374645</v>
      </c>
      <c r="AM53" s="2770">
        <f t="shared" si="36"/>
        <v>18501079.944606964</v>
      </c>
      <c r="AN53" s="2770">
        <f t="shared" si="36"/>
        <v>19097838.445951518</v>
      </c>
      <c r="AO53" s="2770">
        <f t="shared" si="36"/>
        <v>20052171.800247848</v>
      </c>
      <c r="AP53" s="2770">
        <f t="shared" si="36"/>
        <v>20052171.800247848</v>
      </c>
      <c r="AQ53" s="2770">
        <f t="shared" si="36"/>
        <v>20052171.800247848</v>
      </c>
      <c r="AR53" s="2770">
        <f t="shared" si="36"/>
        <v>21365640.246185649</v>
      </c>
      <c r="AS53" s="2770">
        <f t="shared" si="36"/>
        <v>21786713.044734363</v>
      </c>
      <c r="AT53" s="2770">
        <f t="shared" si="36"/>
        <v>18694459.680392221</v>
      </c>
      <c r="AU53" s="2770">
        <f t="shared" si="36"/>
        <v>19628624.096410587</v>
      </c>
      <c r="AV53" s="2694">
        <v>0</v>
      </c>
      <c r="AW53" s="2771"/>
      <c r="AX53" s="2795"/>
      <c r="AY53" s="2760"/>
      <c r="AZ53" s="2760"/>
      <c r="BA53" s="2760"/>
      <c r="BB53" s="2760"/>
      <c r="BC53" s="2760"/>
      <c r="BD53" s="2760"/>
      <c r="BE53" s="2760"/>
      <c r="BF53" s="2760"/>
      <c r="BG53" s="2760"/>
      <c r="BI53" s="2730"/>
      <c r="BJ53" s="2730"/>
    </row>
    <row r="54" spans="1:62" ht="17.25" outlineLevel="1">
      <c r="A54" s="2767" t="s">
        <v>4064</v>
      </c>
      <c r="B54" s="2803" t="s">
        <v>4065</v>
      </c>
      <c r="C54" s="2787">
        <v>0.01</v>
      </c>
      <c r="D54" s="2764"/>
      <c r="E54" s="2804"/>
      <c r="F54" s="2769">
        <v>7759980</v>
      </c>
      <c r="G54" s="2769">
        <v>7606500</v>
      </c>
      <c r="H54" s="2769">
        <f t="shared" ref="H54:AU54" si="37">G54*(1+$C$54)</f>
        <v>7682565</v>
      </c>
      <c r="I54" s="2769">
        <f t="shared" si="37"/>
        <v>7759390.6500000004</v>
      </c>
      <c r="J54" s="2769">
        <f t="shared" si="37"/>
        <v>7836984.5565000009</v>
      </c>
      <c r="K54" s="2769">
        <f t="shared" si="37"/>
        <v>7915354.4020650005</v>
      </c>
      <c r="L54" s="2769">
        <f t="shared" si="37"/>
        <v>7994507.9460856505</v>
      </c>
      <c r="M54" s="2769">
        <f t="shared" si="37"/>
        <v>8074453.025546507</v>
      </c>
      <c r="N54" s="2769">
        <f t="shared" si="37"/>
        <v>8155197.5558019718</v>
      </c>
      <c r="O54" s="2769">
        <f t="shared" si="37"/>
        <v>8236749.531359992</v>
      </c>
      <c r="P54" s="2769">
        <f t="shared" si="37"/>
        <v>8319117.0266735917</v>
      </c>
      <c r="Q54" s="2769">
        <f t="shared" si="37"/>
        <v>8402308.1969403271</v>
      </c>
      <c r="R54" s="2769">
        <f t="shared" si="37"/>
        <v>8486331.2789097298</v>
      </c>
      <c r="S54" s="2769">
        <f t="shared" si="37"/>
        <v>8571194.5916988272</v>
      </c>
      <c r="T54" s="2769">
        <f t="shared" si="37"/>
        <v>8656906.5376158152</v>
      </c>
      <c r="U54" s="2769">
        <f t="shared" si="37"/>
        <v>8743475.602991974</v>
      </c>
      <c r="V54" s="2769">
        <f t="shared" si="37"/>
        <v>8830910.3590218946</v>
      </c>
      <c r="W54" s="2769">
        <f t="shared" si="37"/>
        <v>8919219.462612113</v>
      </c>
      <c r="X54" s="2769">
        <f t="shared" si="37"/>
        <v>9008411.6572382338</v>
      </c>
      <c r="Y54" s="2769">
        <f t="shared" si="37"/>
        <v>9098495.7738106158</v>
      </c>
      <c r="Z54" s="2769">
        <f t="shared" si="37"/>
        <v>9189480.7315487228</v>
      </c>
      <c r="AA54" s="2769">
        <f t="shared" si="37"/>
        <v>9281375.5388642102</v>
      </c>
      <c r="AB54" s="2769">
        <f t="shared" si="37"/>
        <v>9374189.294252852</v>
      </c>
      <c r="AC54" s="2769">
        <f t="shared" si="37"/>
        <v>9467931.1871953811</v>
      </c>
      <c r="AD54" s="2769">
        <f t="shared" si="37"/>
        <v>9562610.4990673345</v>
      </c>
      <c r="AE54" s="2769">
        <f t="shared" si="37"/>
        <v>9658236.6040580086</v>
      </c>
      <c r="AF54" s="2769">
        <f t="shared" si="37"/>
        <v>9754818.9700985886</v>
      </c>
      <c r="AG54" s="2769">
        <f t="shared" si="37"/>
        <v>9852367.1597995739</v>
      </c>
      <c r="AH54" s="2769">
        <f t="shared" si="37"/>
        <v>9950890.8313975707</v>
      </c>
      <c r="AI54" s="2769">
        <f t="shared" si="37"/>
        <v>10050399.739711547</v>
      </c>
      <c r="AJ54" s="2769">
        <f t="shared" si="37"/>
        <v>10150903.737108663</v>
      </c>
      <c r="AK54" s="2769">
        <f t="shared" si="37"/>
        <v>10252412.774479749</v>
      </c>
      <c r="AL54" s="2769">
        <f t="shared" si="37"/>
        <v>10354936.902224546</v>
      </c>
      <c r="AM54" s="2769">
        <f t="shared" si="37"/>
        <v>10458486.271246793</v>
      </c>
      <c r="AN54" s="2769">
        <f t="shared" si="37"/>
        <v>10563071.13395926</v>
      </c>
      <c r="AO54" s="2769">
        <f t="shared" si="37"/>
        <v>10668701.845298853</v>
      </c>
      <c r="AP54" s="2769">
        <f t="shared" si="37"/>
        <v>10775388.863751842</v>
      </c>
      <c r="AQ54" s="2769">
        <f t="shared" si="37"/>
        <v>10883142.75238936</v>
      </c>
      <c r="AR54" s="2769">
        <f t="shared" si="37"/>
        <v>10991974.179913254</v>
      </c>
      <c r="AS54" s="2769">
        <f t="shared" si="37"/>
        <v>11101893.921712387</v>
      </c>
      <c r="AT54" s="2769">
        <f t="shared" si="37"/>
        <v>11212912.860929511</v>
      </c>
      <c r="AU54" s="2769">
        <f t="shared" si="37"/>
        <v>11325041.989538807</v>
      </c>
      <c r="AV54" s="2694">
        <v>0</v>
      </c>
      <c r="AW54" s="2771"/>
      <c r="AX54" s="2795"/>
      <c r="AY54" s="2760"/>
      <c r="AZ54" s="2760"/>
      <c r="BA54" s="2760"/>
      <c r="BB54" s="2760"/>
      <c r="BC54" s="2760"/>
      <c r="BD54" s="2760"/>
      <c r="BE54" s="2760"/>
      <c r="BF54" s="2760"/>
      <c r="BG54" s="2760"/>
      <c r="BI54" s="2730"/>
      <c r="BJ54" s="2730"/>
    </row>
    <row r="55" spans="1:62" ht="17.25" outlineLevel="1">
      <c r="A55" s="2767" t="s">
        <v>4066</v>
      </c>
      <c r="B55" s="2803" t="s">
        <v>4067</v>
      </c>
      <c r="C55" s="2787">
        <v>0.01</v>
      </c>
      <c r="D55" s="2764"/>
      <c r="E55" s="2804"/>
      <c r="F55" s="2769">
        <v>1221710</v>
      </c>
      <c r="G55" s="2770">
        <v>1000720</v>
      </c>
      <c r="H55" s="2770">
        <f>((H15+H16)*0.65%)*(1+$C$55)*60%</f>
        <v>1295157.4649633234</v>
      </c>
      <c r="I55" s="2770">
        <f t="shared" ref="I55:AU55" si="38">((I15+I16)*0.65%)*(1+$C$55)*60%</f>
        <v>1311304.6034292681</v>
      </c>
      <c r="J55" s="2770">
        <f t="shared" si="38"/>
        <v>1352641.2779020853</v>
      </c>
      <c r="K55" s="2770">
        <f t="shared" si="38"/>
        <v>1451823.2581904405</v>
      </c>
      <c r="L55" s="2770">
        <f t="shared" si="38"/>
        <v>1451823.2581904405</v>
      </c>
      <c r="M55" s="2770">
        <f t="shared" si="38"/>
        <v>1519641.2397474064</v>
      </c>
      <c r="N55" s="2770">
        <f t="shared" si="38"/>
        <v>1595524.8267347768</v>
      </c>
      <c r="O55" s="2770">
        <f t="shared" si="38"/>
        <v>1629230.3635685889</v>
      </c>
      <c r="P55" s="2770">
        <f t="shared" si="38"/>
        <v>1629230.3635685889</v>
      </c>
      <c r="Q55" s="2770">
        <f t="shared" si="38"/>
        <v>1710593.4067470182</v>
      </c>
      <c r="R55" s="2770">
        <f t="shared" si="38"/>
        <v>1758445.7745336136</v>
      </c>
      <c r="S55" s="2770">
        <f t="shared" si="38"/>
        <v>1758445.7745336136</v>
      </c>
      <c r="T55" s="2770">
        <f t="shared" si="38"/>
        <v>1882906.5573469063</v>
      </c>
      <c r="U55" s="2770">
        <f t="shared" si="38"/>
        <v>1882906.5573469063</v>
      </c>
      <c r="V55" s="2770">
        <f t="shared" si="38"/>
        <v>1882906.5573469063</v>
      </c>
      <c r="W55" s="2770">
        <f t="shared" si="38"/>
        <v>2015971.7822914934</v>
      </c>
      <c r="X55" s="2770">
        <f t="shared" si="38"/>
        <v>2015971.7822914934</v>
      </c>
      <c r="Y55" s="2770">
        <f t="shared" si="38"/>
        <v>2015971.7822914934</v>
      </c>
      <c r="Z55" s="2770">
        <f t="shared" si="38"/>
        <v>2116671.896406068</v>
      </c>
      <c r="AA55" s="2770">
        <f t="shared" si="38"/>
        <v>2116671.896406068</v>
      </c>
      <c r="AB55" s="2770">
        <f t="shared" si="38"/>
        <v>2157064.1548240581</v>
      </c>
      <c r="AC55" s="2770">
        <f t="shared" si="38"/>
        <v>2264818.8875652612</v>
      </c>
      <c r="AD55" s="2770">
        <f t="shared" si="38"/>
        <v>2264818.8875652612</v>
      </c>
      <c r="AE55" s="2770">
        <f t="shared" si="38"/>
        <v>2030341.8274488309</v>
      </c>
      <c r="AF55" s="2770">
        <f t="shared" si="38"/>
        <v>2131760.4438212723</v>
      </c>
      <c r="AG55" s="2770">
        <f t="shared" si="38"/>
        <v>2131760.4438212723</v>
      </c>
      <c r="AH55" s="2770">
        <f t="shared" si="38"/>
        <v>2131760.4438212723</v>
      </c>
      <c r="AI55" s="2770">
        <f t="shared" si="38"/>
        <v>2338448.0370504619</v>
      </c>
      <c r="AJ55" s="2770">
        <f t="shared" si="38"/>
        <v>2079937.0782720977</v>
      </c>
      <c r="AK55" s="2770">
        <f t="shared" si="38"/>
        <v>2079937.0782720977</v>
      </c>
      <c r="AL55" s="2770">
        <f t="shared" si="38"/>
        <v>2183835.4571857024</v>
      </c>
      <c r="AM55" s="2770">
        <f t="shared" si="38"/>
        <v>2251168.5441233232</v>
      </c>
      <c r="AN55" s="2770">
        <f t="shared" si="38"/>
        <v>2356376.492463355</v>
      </c>
      <c r="AO55" s="2770">
        <f t="shared" si="38"/>
        <v>2474096.8420865228</v>
      </c>
      <c r="AP55" s="2770">
        <f t="shared" si="38"/>
        <v>2474096.8420865228</v>
      </c>
      <c r="AQ55" s="2770">
        <f t="shared" si="38"/>
        <v>2474096.8420865228</v>
      </c>
      <c r="AR55" s="2770">
        <f t="shared" si="38"/>
        <v>2652605.9770320943</v>
      </c>
      <c r="AS55" s="2770">
        <f t="shared" si="38"/>
        <v>2726840.7053808211</v>
      </c>
      <c r="AT55" s="2770">
        <f t="shared" si="38"/>
        <v>2181679.4190698606</v>
      </c>
      <c r="AU55" s="2770">
        <f t="shared" si="38"/>
        <v>2290664.9150233539</v>
      </c>
      <c r="AV55" s="2694">
        <v>0</v>
      </c>
      <c r="AW55" s="2771"/>
      <c r="AX55" s="2795"/>
      <c r="AY55" s="2760"/>
      <c r="AZ55" s="2760"/>
      <c r="BA55" s="2760"/>
      <c r="BB55" s="2760"/>
      <c r="BC55" s="2760"/>
      <c r="BD55" s="2760"/>
      <c r="BE55" s="2760"/>
      <c r="BF55" s="2760"/>
      <c r="BG55" s="2760"/>
      <c r="BI55" s="2730"/>
      <c r="BJ55" s="2730"/>
    </row>
    <row r="56" spans="1:62" ht="17.25" outlineLevel="1">
      <c r="A56" s="2767" t="s">
        <v>4068</v>
      </c>
      <c r="B56" s="2803" t="s">
        <v>4069</v>
      </c>
      <c r="C56" s="2787">
        <v>0.01</v>
      </c>
      <c r="D56" s="2764"/>
      <c r="E56" s="2804"/>
      <c r="F56" s="2769">
        <v>1257450</v>
      </c>
      <c r="G56" s="2770">
        <v>1201780</v>
      </c>
      <c r="H56" s="2770">
        <f>((H15+H16)*1.02%)*(1+$C$56)*50%</f>
        <v>1693667.4541828078</v>
      </c>
      <c r="I56" s="2770">
        <f t="shared" ref="I56:AU56" si="39">((I15+I16)*1.02%)*(1+$C$56)*50%</f>
        <v>1714782.9429459658</v>
      </c>
      <c r="J56" s="2770">
        <f t="shared" si="39"/>
        <v>1768838.5941796501</v>
      </c>
      <c r="K56" s="2770">
        <f t="shared" si="39"/>
        <v>1898538.1068644223</v>
      </c>
      <c r="L56" s="2770">
        <f t="shared" si="39"/>
        <v>1898538.1068644223</v>
      </c>
      <c r="M56" s="2770">
        <f t="shared" si="39"/>
        <v>1987223.1596696856</v>
      </c>
      <c r="N56" s="2770">
        <f t="shared" si="39"/>
        <v>2086455.5426531699</v>
      </c>
      <c r="O56" s="2770">
        <f t="shared" si="39"/>
        <v>2130532.0138973854</v>
      </c>
      <c r="P56" s="2770">
        <f t="shared" si="39"/>
        <v>2130532.0138973854</v>
      </c>
      <c r="Q56" s="2770">
        <f t="shared" si="39"/>
        <v>2236929.8395922547</v>
      </c>
      <c r="R56" s="2770">
        <f t="shared" si="39"/>
        <v>2299506.0128516485</v>
      </c>
      <c r="S56" s="2770">
        <f t="shared" si="39"/>
        <v>2299506.0128516485</v>
      </c>
      <c r="T56" s="2770">
        <f t="shared" si="39"/>
        <v>2462262.4211459546</v>
      </c>
      <c r="U56" s="2770">
        <f t="shared" si="39"/>
        <v>2462262.4211459546</v>
      </c>
      <c r="V56" s="2770">
        <f t="shared" si="39"/>
        <v>2462262.4211459546</v>
      </c>
      <c r="W56" s="2770">
        <f t="shared" si="39"/>
        <v>2636270.7922273376</v>
      </c>
      <c r="X56" s="2770">
        <f t="shared" si="39"/>
        <v>2636270.7922273376</v>
      </c>
      <c r="Y56" s="2770">
        <f t="shared" si="39"/>
        <v>2636270.7922273376</v>
      </c>
      <c r="Z56" s="2770">
        <f t="shared" si="39"/>
        <v>2767955.5568387047</v>
      </c>
      <c r="AA56" s="2770">
        <f t="shared" si="39"/>
        <v>2767955.5568387047</v>
      </c>
      <c r="AB56" s="2770">
        <f t="shared" si="39"/>
        <v>2820776.2024622303</v>
      </c>
      <c r="AC56" s="2770">
        <f t="shared" si="39"/>
        <v>2961686.237585342</v>
      </c>
      <c r="AD56" s="2770">
        <f t="shared" si="39"/>
        <v>2961686.237585342</v>
      </c>
      <c r="AE56" s="2770">
        <f t="shared" si="39"/>
        <v>2655062.3897407786</v>
      </c>
      <c r="AF56" s="2770">
        <f t="shared" si="39"/>
        <v>2787686.7342278175</v>
      </c>
      <c r="AG56" s="2770">
        <f t="shared" si="39"/>
        <v>2787686.7342278175</v>
      </c>
      <c r="AH56" s="2770">
        <f t="shared" si="39"/>
        <v>2787686.7342278175</v>
      </c>
      <c r="AI56" s="2770">
        <f t="shared" si="39"/>
        <v>3057970.5099890656</v>
      </c>
      <c r="AJ56" s="2770">
        <f t="shared" si="39"/>
        <v>2719917.7177404356</v>
      </c>
      <c r="AK56" s="2770">
        <f t="shared" si="39"/>
        <v>2719917.7177404356</v>
      </c>
      <c r="AL56" s="2770">
        <f t="shared" si="39"/>
        <v>2855784.8286274569</v>
      </c>
      <c r="AM56" s="2770">
        <f t="shared" si="39"/>
        <v>2943835.7884689616</v>
      </c>
      <c r="AN56" s="2770">
        <f t="shared" si="39"/>
        <v>3081415.4132213104</v>
      </c>
      <c r="AO56" s="2770">
        <f t="shared" si="39"/>
        <v>3235357.4088823758</v>
      </c>
      <c r="AP56" s="2770">
        <f t="shared" si="39"/>
        <v>3235357.4088823758</v>
      </c>
      <c r="AQ56" s="2770">
        <f t="shared" si="39"/>
        <v>3235357.4088823758</v>
      </c>
      <c r="AR56" s="2770">
        <f t="shared" si="39"/>
        <v>3468792.4315035082</v>
      </c>
      <c r="AS56" s="2770">
        <f t="shared" si="39"/>
        <v>3565868.6147287665</v>
      </c>
      <c r="AT56" s="2770">
        <f t="shared" si="39"/>
        <v>2852965.3941682791</v>
      </c>
      <c r="AU56" s="2770">
        <f t="shared" si="39"/>
        <v>2995484.8888766938</v>
      </c>
      <c r="AV56" s="2694">
        <v>0</v>
      </c>
      <c r="AW56" s="2771"/>
      <c r="AX56" s="2795"/>
      <c r="AY56" s="2760"/>
      <c r="AZ56" s="2760"/>
      <c r="BA56" s="2760"/>
      <c r="BB56" s="2760"/>
      <c r="BC56" s="2760"/>
      <c r="BD56" s="2760"/>
      <c r="BE56" s="2760"/>
      <c r="BF56" s="2760"/>
      <c r="BG56" s="2760"/>
      <c r="BI56" s="2730"/>
      <c r="BJ56" s="2730"/>
    </row>
    <row r="57" spans="1:62" ht="17.25" outlineLevel="1">
      <c r="A57" s="2767" t="s">
        <v>4070</v>
      </c>
      <c r="B57" s="2802" t="s">
        <v>4071</v>
      </c>
      <c r="C57" s="2787">
        <v>0.01</v>
      </c>
      <c r="D57" s="2764"/>
      <c r="E57" s="2764"/>
      <c r="F57" s="2769"/>
      <c r="G57" s="2769"/>
      <c r="H57" s="2769">
        <f>(250000*((1+$C$57)^(H1-$F$1))*(12+인력계획!H8))</f>
        <v>3315325</v>
      </c>
      <c r="I57" s="2769">
        <f>(250000*((1+$C$57)^(I1-$F$1))*(12+인력계획!I8))</f>
        <v>3348478.2499999995</v>
      </c>
      <c r="J57" s="2769">
        <f>(250000*((1+$C$57)^(J1-$F$1))*(12+인력계획!J8))</f>
        <v>3381963.0325000002</v>
      </c>
      <c r="K57" s="2769">
        <f>(250000*((1+$C$57)^(K1-$F$1))*(12+인력계획!K8))</f>
        <v>3415782.6628249995</v>
      </c>
      <c r="L57" s="2769">
        <f>(250000*((1+$C$57)^(L1-$F$1))*(12+인력계획!L8))</f>
        <v>3449940.4894532501</v>
      </c>
      <c r="M57" s="2769">
        <f>(250000*((1+$C$57)^(M1-$F$1))*(12+인력계획!M8))</f>
        <v>3484439.8943477822</v>
      </c>
      <c r="N57" s="2769">
        <f>(250000*((1+$C$57)^(N1-$F$1))*(12+인력계획!N8))</f>
        <v>3519284.293291261</v>
      </c>
      <c r="O57" s="2769">
        <f>(250000*((1+$C$57)^(O1-$F$1))*(12+인력계획!O8))</f>
        <v>3554477.1362241735</v>
      </c>
      <c r="P57" s="2769">
        <f>(250000*((1+$C$57)^(P1-$F$1))*(12+인력계획!P8))</f>
        <v>3590021.9075864153</v>
      </c>
      <c r="Q57" s="2769">
        <f>(250000*((1+$C$57)^(Q1-$F$1))*(12+인력계획!Q8))</f>
        <v>3625922.1266622785</v>
      </c>
      <c r="R57" s="2769">
        <f>(250000*((1+$C$57)^(R1-$F$1))*(12+인력계획!R8))</f>
        <v>3662181.3479289021</v>
      </c>
      <c r="S57" s="2769">
        <f>(250000*((1+$C$57)^(S1-$F$1))*(12+인력계획!S8))</f>
        <v>3698803.1614081906</v>
      </c>
      <c r="T57" s="2769">
        <f>(250000*((1+$C$57)^(T1-$F$1))*(12+인력계획!T8))</f>
        <v>3735791.193022273</v>
      </c>
      <c r="U57" s="2769">
        <f>(250000*((1+$C$57)^(U1-$F$1))*(12+인력계획!U8))</f>
        <v>3773149.1049524951</v>
      </c>
      <c r="V57" s="2769">
        <f>(250000*((1+$C$57)^(V1-$F$1))*(12+인력계획!V8))</f>
        <v>3810880.5960020213</v>
      </c>
      <c r="W57" s="2769">
        <f>(250000*((1+$C$57)^(W1-$F$1))*(12+인력계획!W8))</f>
        <v>3848989.4019620419</v>
      </c>
      <c r="X57" s="2769">
        <f>(250000*((1+$C$57)^(X1-$F$1))*(12+인력계획!X8))</f>
        <v>3887479.2959816619</v>
      </c>
      <c r="Y57" s="2769">
        <f>(250000*((1+$C$57)^(Y1-$F$1))*(12+인력계획!Y8))</f>
        <v>3926354.0889414777</v>
      </c>
      <c r="Z57" s="2769">
        <f>(250000*((1+$C$57)^(Z1-$F$1))*(12+인력계획!Z8))</f>
        <v>3965617.6298308931</v>
      </c>
      <c r="AA57" s="2769">
        <f>(250000*((1+$C$57)^(AA1-$F$1))*(12+인력계획!AA8))</f>
        <v>4005273.8061292013</v>
      </c>
      <c r="AB57" s="2769">
        <f>(250000*((1+$C$57)^(AB1-$F$1))*(12+인력계획!AB8))</f>
        <v>4045326.5441904943</v>
      </c>
      <c r="AC57" s="2769">
        <f>(250000*((1+$C$57)^(AC1-$F$1))*(12+인력계획!AC8))</f>
        <v>4085779.8096323982</v>
      </c>
      <c r="AD57" s="2769">
        <f>(250000*((1+$C$57)^(AD1-$F$1))*(12+인력계획!AD8))</f>
        <v>4126637.6077287234</v>
      </c>
      <c r="AE57" s="2769">
        <f>(250000*((1+$C$57)^(AE1-$F$1))*(12+인력계획!AE8))</f>
        <v>4167903.9838060113</v>
      </c>
      <c r="AF57" s="2769">
        <f>(250000*((1+$C$57)^(AF1-$F$1))*(12+인력계획!AF8))</f>
        <v>4209583.0236440711</v>
      </c>
      <c r="AG57" s="2769">
        <f>(250000*((1+$C$57)^(AG1-$F$1))*(12+인력계획!AG8))</f>
        <v>4251678.8538805107</v>
      </c>
      <c r="AH57" s="2769">
        <f>(250000*((1+$C$57)^(AH1-$F$1))*(12+인력계획!AH8))</f>
        <v>4294195.6424193159</v>
      </c>
      <c r="AI57" s="2769">
        <f>(250000*((1+$C$57)^(AI1-$F$1))*(12+인력계획!AI8))</f>
        <v>4337137.5988435093</v>
      </c>
      <c r="AJ57" s="2769">
        <f>(250000*((1+$C$57)^(AJ1-$F$1))*(12+인력계획!AJ8))</f>
        <v>4380508.9748319453</v>
      </c>
      <c r="AK57" s="2769">
        <f>(250000*((1+$C$57)^(AK1-$F$1))*(12+인력계획!AK8))</f>
        <v>4424314.0645802636</v>
      </c>
      <c r="AL57" s="2769">
        <f>(250000*((1+$C$57)^(AL1-$F$1))*(12+인력계획!AL8))</f>
        <v>4468557.2052260665</v>
      </c>
      <c r="AM57" s="2769">
        <f>(250000*((1+$C$57)^(AM1-$F$1))*(12+인력계획!AM8))</f>
        <v>4513242.7772783283</v>
      </c>
      <c r="AN57" s="2769">
        <f>(250000*((1+$C$57)^(AN1-$F$1))*(12+인력계획!AN8))</f>
        <v>4558375.2050511111</v>
      </c>
      <c r="AO57" s="2769">
        <f>(250000*((1+$C$57)^(AO1-$F$1))*(12+인력계획!AO8))</f>
        <v>4603958.9571016217</v>
      </c>
      <c r="AP57" s="2769">
        <f>(250000*((1+$C$57)^(AP1-$F$1))*(12+인력계획!AP8))</f>
        <v>4649998.5466726385</v>
      </c>
      <c r="AQ57" s="2769">
        <f>(250000*((1+$C$57)^(AQ1-$F$1))*(12+인력계획!AQ8))</f>
        <v>4696498.5321393646</v>
      </c>
      <c r="AR57" s="2769">
        <f>(250000*((1+$C$57)^(AR1-$F$1))*(12+인력계획!AR8))</f>
        <v>4743463.5174607588</v>
      </c>
      <c r="AS57" s="2769">
        <f>(250000*((1+$C$57)^(AS1-$F$1))*(12+인력계획!AS8))</f>
        <v>4790898.1526353657</v>
      </c>
      <c r="AT57" s="2769">
        <f>(250000*((1+$C$57)^(AT1-$F$1))*(12+인력계획!AT8))</f>
        <v>4838807.1341617201</v>
      </c>
      <c r="AU57" s="2769">
        <f>(250000*((1+$C$57)^(AU1-$F$1))*(12+인력계획!AU8))</f>
        <v>4887195.2055033371</v>
      </c>
      <c r="AV57" s="2694">
        <v>0</v>
      </c>
      <c r="AW57" s="2771"/>
      <c r="AX57" s="2795"/>
      <c r="AY57" s="2760"/>
      <c r="AZ57" s="2760"/>
      <c r="BA57" s="2760"/>
      <c r="BB57" s="2760"/>
      <c r="BC57" s="2760"/>
      <c r="BD57" s="2760"/>
      <c r="BE57" s="2760"/>
      <c r="BF57" s="2760"/>
      <c r="BG57" s="2760"/>
      <c r="BI57" s="2730"/>
      <c r="BJ57" s="2730"/>
    </row>
    <row r="58" spans="1:62" ht="17.25" outlineLevel="1">
      <c r="A58" s="2789" t="s">
        <v>4072</v>
      </c>
      <c r="B58" s="2810"/>
      <c r="C58" s="2811"/>
      <c r="D58" s="2792">
        <v>1</v>
      </c>
      <c r="E58" s="2792"/>
      <c r="F58" s="2794">
        <f>SUM(F59,F65:F66)</f>
        <v>19465826</v>
      </c>
      <c r="G58" s="2794">
        <f t="shared" ref="G58:AU58" si="40">SUM(G59,G65:G66)</f>
        <v>23228415</v>
      </c>
      <c r="H58" s="2794">
        <f t="shared" si="40"/>
        <v>35328000</v>
      </c>
      <c r="I58" s="2794">
        <f t="shared" si="40"/>
        <v>35585280</v>
      </c>
      <c r="J58" s="2794">
        <f t="shared" si="40"/>
        <v>35845132.799999997</v>
      </c>
      <c r="K58" s="2794">
        <f t="shared" si="40"/>
        <v>36107584.128000006</v>
      </c>
      <c r="L58" s="2794">
        <f t="shared" si="40"/>
        <v>36372659.969280005</v>
      </c>
      <c r="M58" s="2794">
        <f t="shared" si="40"/>
        <v>36640386.568972804</v>
      </c>
      <c r="N58" s="2794">
        <f t="shared" si="40"/>
        <v>36910790.434662528</v>
      </c>
      <c r="O58" s="2794">
        <f t="shared" si="40"/>
        <v>37183898.339009158</v>
      </c>
      <c r="P58" s="2794">
        <f t="shared" si="40"/>
        <v>37459737.322399244</v>
      </c>
      <c r="Q58" s="2794">
        <f t="shared" si="40"/>
        <v>37738334.695623234</v>
      </c>
      <c r="R58" s="2794">
        <f t="shared" si="40"/>
        <v>38019718.042579472</v>
      </c>
      <c r="S58" s="2794">
        <f t="shared" si="40"/>
        <v>38303915.223005265</v>
      </c>
      <c r="T58" s="2794">
        <f t="shared" si="40"/>
        <v>38590954.375235319</v>
      </c>
      <c r="U58" s="2794">
        <f t="shared" si="40"/>
        <v>38880863.918987677</v>
      </c>
      <c r="V58" s="2794">
        <f t="shared" si="40"/>
        <v>39173672.558177553</v>
      </c>
      <c r="W58" s="2794">
        <f t="shared" si="40"/>
        <v>39469409.283759326</v>
      </c>
      <c r="X58" s="2794">
        <f t="shared" si="40"/>
        <v>39768103.37659692</v>
      </c>
      <c r="Y58" s="2794">
        <f t="shared" si="40"/>
        <v>40069784.410362899</v>
      </c>
      <c r="Z58" s="2794">
        <f t="shared" si="40"/>
        <v>40374482.254466519</v>
      </c>
      <c r="AA58" s="2794">
        <f t="shared" si="40"/>
        <v>40682227.077011198</v>
      </c>
      <c r="AB58" s="2794">
        <f t="shared" si="40"/>
        <v>40993049.347781301</v>
      </c>
      <c r="AC58" s="2794">
        <f t="shared" si="40"/>
        <v>41306979.841259122</v>
      </c>
      <c r="AD58" s="2794">
        <f t="shared" si="40"/>
        <v>41624049.639671706</v>
      </c>
      <c r="AE58" s="2794">
        <f t="shared" si="40"/>
        <v>41944290.136068426</v>
      </c>
      <c r="AF58" s="2794">
        <f t="shared" si="40"/>
        <v>42267733.037429117</v>
      </c>
      <c r="AG58" s="2794">
        <f t="shared" si="40"/>
        <v>42594410.367803402</v>
      </c>
      <c r="AH58" s="2794">
        <f t="shared" si="40"/>
        <v>42924354.471481442</v>
      </c>
      <c r="AI58" s="2794">
        <f t="shared" si="40"/>
        <v>43257598.016196243</v>
      </c>
      <c r="AJ58" s="2794">
        <f t="shared" si="40"/>
        <v>43594173.996358208</v>
      </c>
      <c r="AK58" s="2794">
        <f t="shared" si="40"/>
        <v>43934115.736321792</v>
      </c>
      <c r="AL58" s="2794">
        <f t="shared" si="40"/>
        <v>44277456.893685013</v>
      </c>
      <c r="AM58" s="2794">
        <f t="shared" si="40"/>
        <v>44624231.462621868</v>
      </c>
      <c r="AN58" s="2794">
        <f t="shared" si="40"/>
        <v>44974473.777248085</v>
      </c>
      <c r="AO58" s="2794">
        <f t="shared" si="40"/>
        <v>45328218.515020564</v>
      </c>
      <c r="AP58" s="2794">
        <f t="shared" si="40"/>
        <v>45685500.70017077</v>
      </c>
      <c r="AQ58" s="2794">
        <f t="shared" si="40"/>
        <v>46046355.707172476</v>
      </c>
      <c r="AR58" s="2794">
        <f t="shared" si="40"/>
        <v>46410819.264244199</v>
      </c>
      <c r="AS58" s="2794">
        <f t="shared" si="40"/>
        <v>46778927.456886649</v>
      </c>
      <c r="AT58" s="2794">
        <f t="shared" si="40"/>
        <v>47150716.73145552</v>
      </c>
      <c r="AU58" s="2794">
        <f t="shared" si="40"/>
        <v>47526223.898770072</v>
      </c>
      <c r="AV58" s="2694">
        <v>0</v>
      </c>
      <c r="AW58" s="2771"/>
      <c r="AX58" s="2759"/>
      <c r="AY58" s="2760"/>
      <c r="AZ58" s="2760"/>
      <c r="BA58" s="2760"/>
      <c r="BB58" s="2760"/>
      <c r="BC58" s="2760"/>
      <c r="BD58" s="2760"/>
      <c r="BE58" s="2760"/>
      <c r="BF58" s="2760"/>
      <c r="BG58" s="2760"/>
      <c r="BI58" s="2730"/>
      <c r="BJ58" s="2730"/>
    </row>
    <row r="59" spans="1:62" ht="17.25" outlineLevel="1">
      <c r="A59" s="2767" t="s">
        <v>4073</v>
      </c>
      <c r="B59" s="2803"/>
      <c r="C59" s="2763"/>
      <c r="D59" s="2764"/>
      <c r="E59" s="2764"/>
      <c r="F59" s="2769">
        <v>15991115</v>
      </c>
      <c r="G59" s="2769">
        <f>SUM(G60:G64)</f>
        <v>21082731</v>
      </c>
      <c r="H59" s="2769">
        <f t="shared" ref="H59:AU59" si="41">SUM(H60:H64)</f>
        <v>32628000</v>
      </c>
      <c r="I59" s="2769">
        <f t="shared" si="41"/>
        <v>32858280</v>
      </c>
      <c r="J59" s="2769">
        <f t="shared" si="41"/>
        <v>33090862.799999997</v>
      </c>
      <c r="K59" s="2769">
        <f t="shared" si="41"/>
        <v>33325771.428000003</v>
      </c>
      <c r="L59" s="2769">
        <f t="shared" si="41"/>
        <v>33563029.142280005</v>
      </c>
      <c r="M59" s="2769">
        <f t="shared" si="41"/>
        <v>33802659.433702804</v>
      </c>
      <c r="N59" s="2769">
        <f t="shared" si="41"/>
        <v>34044686.028039828</v>
      </c>
      <c r="O59" s="2769">
        <f t="shared" si="41"/>
        <v>34289132.88832023</v>
      </c>
      <c r="P59" s="2769">
        <f t="shared" si="41"/>
        <v>34536024.217203431</v>
      </c>
      <c r="Q59" s="2769">
        <f t="shared" si="41"/>
        <v>34785384.459375463</v>
      </c>
      <c r="R59" s="2769">
        <f t="shared" si="41"/>
        <v>35037238.303969219</v>
      </c>
      <c r="S59" s="2769">
        <f t="shared" si="41"/>
        <v>35291610.68700891</v>
      </c>
      <c r="T59" s="2769">
        <f t="shared" si="41"/>
        <v>35548526.793879002</v>
      </c>
      <c r="U59" s="2769">
        <f t="shared" si="41"/>
        <v>35808012.061817795</v>
      </c>
      <c r="V59" s="2769">
        <f t="shared" si="41"/>
        <v>36070092.182435974</v>
      </c>
      <c r="W59" s="2769">
        <f t="shared" si="41"/>
        <v>36334793.104260333</v>
      </c>
      <c r="X59" s="2769">
        <f t="shared" si="41"/>
        <v>36602141.035302937</v>
      </c>
      <c r="Y59" s="2769">
        <f t="shared" si="41"/>
        <v>36872162.445655972</v>
      </c>
      <c r="Z59" s="2769">
        <f t="shared" si="41"/>
        <v>37144884.070112526</v>
      </c>
      <c r="AA59" s="2769">
        <f t="shared" si="41"/>
        <v>37420332.910813659</v>
      </c>
      <c r="AB59" s="2769">
        <f t="shared" si="41"/>
        <v>37698536.239921793</v>
      </c>
      <c r="AC59" s="2769">
        <f t="shared" si="41"/>
        <v>37979521.602321014</v>
      </c>
      <c r="AD59" s="2769">
        <f t="shared" si="41"/>
        <v>38263316.818344221</v>
      </c>
      <c r="AE59" s="2769">
        <f t="shared" si="41"/>
        <v>38549949.986527666</v>
      </c>
      <c r="AF59" s="2769">
        <f t="shared" si="41"/>
        <v>38839449.486392945</v>
      </c>
      <c r="AG59" s="2769">
        <f t="shared" si="41"/>
        <v>39131843.981256872</v>
      </c>
      <c r="AH59" s="2769">
        <f t="shared" si="41"/>
        <v>39427162.421069443</v>
      </c>
      <c r="AI59" s="2769">
        <f t="shared" si="41"/>
        <v>39725434.045280129</v>
      </c>
      <c r="AJ59" s="2769">
        <f t="shared" si="41"/>
        <v>40026688.385732934</v>
      </c>
      <c r="AK59" s="2769">
        <f t="shared" si="41"/>
        <v>40330955.269590259</v>
      </c>
      <c r="AL59" s="2769">
        <f t="shared" si="41"/>
        <v>40638264.822286166</v>
      </c>
      <c r="AM59" s="2769">
        <f t="shared" si="41"/>
        <v>40948647.47050903</v>
      </c>
      <c r="AN59" s="2769">
        <f t="shared" si="41"/>
        <v>41262133.945214123</v>
      </c>
      <c r="AO59" s="2769">
        <f t="shared" si="41"/>
        <v>41578755.284666263</v>
      </c>
      <c r="AP59" s="2769">
        <f t="shared" si="41"/>
        <v>41898542.837512925</v>
      </c>
      <c r="AQ59" s="2769">
        <f t="shared" si="41"/>
        <v>42221528.26588805</v>
      </c>
      <c r="AR59" s="2769">
        <f t="shared" si="41"/>
        <v>42547743.548546933</v>
      </c>
      <c r="AS59" s="2769">
        <f t="shared" si="41"/>
        <v>42877220.984032407</v>
      </c>
      <c r="AT59" s="2769">
        <f t="shared" si="41"/>
        <v>43209993.193872735</v>
      </c>
      <c r="AU59" s="2769">
        <f t="shared" si="41"/>
        <v>43546093.125811458</v>
      </c>
      <c r="AV59" s="2694">
        <v>0</v>
      </c>
      <c r="AW59" s="2758"/>
      <c r="AX59" s="2759"/>
      <c r="AY59" s="2760"/>
      <c r="AZ59" s="2760"/>
      <c r="BA59" s="2760"/>
      <c r="BB59" s="2760"/>
      <c r="BC59" s="2760"/>
      <c r="BD59" s="2760"/>
      <c r="BE59" s="2760"/>
      <c r="BF59" s="2760"/>
      <c r="BG59" s="2760"/>
      <c r="BI59" s="2730"/>
      <c r="BJ59" s="2730"/>
    </row>
    <row r="60" spans="1:62" ht="17.25" outlineLevel="1">
      <c r="A60" s="2801" t="s">
        <v>4033</v>
      </c>
      <c r="B60" s="2803" t="s">
        <v>4074</v>
      </c>
      <c r="C60" s="2787">
        <v>0.01</v>
      </c>
      <c r="D60" s="2764"/>
      <c r="E60" s="2804"/>
      <c r="F60" s="2769">
        <v>8493620</v>
      </c>
      <c r="G60" s="2769">
        <v>11572740</v>
      </c>
      <c r="H60" s="2770">
        <f>1200000*12*(1+$C$60)</f>
        <v>14544000</v>
      </c>
      <c r="I60" s="2770">
        <f t="shared" ref="I60:AU60" si="42">H60*(1+$C$60)</f>
        <v>14689440</v>
      </c>
      <c r="J60" s="2770">
        <f t="shared" si="42"/>
        <v>14836334.4</v>
      </c>
      <c r="K60" s="2770">
        <f t="shared" si="42"/>
        <v>14984697.744000001</v>
      </c>
      <c r="L60" s="2770">
        <f t="shared" si="42"/>
        <v>15134544.72144</v>
      </c>
      <c r="M60" s="2770">
        <f t="shared" si="42"/>
        <v>15285890.168654401</v>
      </c>
      <c r="N60" s="2770">
        <f t="shared" si="42"/>
        <v>15438749.070340944</v>
      </c>
      <c r="O60" s="2770">
        <f t="shared" si="42"/>
        <v>15593136.561044354</v>
      </c>
      <c r="P60" s="2770">
        <f t="shared" si="42"/>
        <v>15749067.926654797</v>
      </c>
      <c r="Q60" s="2770">
        <f t="shared" si="42"/>
        <v>15906558.605921345</v>
      </c>
      <c r="R60" s="2770">
        <f t="shared" si="42"/>
        <v>16065624.191980558</v>
      </c>
      <c r="S60" s="2770">
        <f t="shared" si="42"/>
        <v>16226280.433900364</v>
      </c>
      <c r="T60" s="2770">
        <f t="shared" si="42"/>
        <v>16388543.238239368</v>
      </c>
      <c r="U60" s="2770">
        <f t="shared" si="42"/>
        <v>16552428.670621762</v>
      </c>
      <c r="V60" s="2770">
        <f t="shared" si="42"/>
        <v>16717952.957327981</v>
      </c>
      <c r="W60" s="2770">
        <f t="shared" si="42"/>
        <v>16885132.486901261</v>
      </c>
      <c r="X60" s="2770">
        <f t="shared" si="42"/>
        <v>17053983.811770275</v>
      </c>
      <c r="Y60" s="2770">
        <f t="shared" si="42"/>
        <v>17224523.649887979</v>
      </c>
      <c r="Z60" s="2770">
        <f t="shared" si="42"/>
        <v>17396768.88638686</v>
      </c>
      <c r="AA60" s="2770">
        <f t="shared" si="42"/>
        <v>17570736.57525073</v>
      </c>
      <c r="AB60" s="2770">
        <f t="shared" si="42"/>
        <v>17746443.941003237</v>
      </c>
      <c r="AC60" s="2770">
        <f t="shared" si="42"/>
        <v>17923908.380413268</v>
      </c>
      <c r="AD60" s="2770">
        <f t="shared" si="42"/>
        <v>18103147.464217402</v>
      </c>
      <c r="AE60" s="2770">
        <f t="shared" si="42"/>
        <v>18284178.938859574</v>
      </c>
      <c r="AF60" s="2770">
        <f t="shared" si="42"/>
        <v>18467020.728248172</v>
      </c>
      <c r="AG60" s="2770">
        <f t="shared" si="42"/>
        <v>18651690.935530655</v>
      </c>
      <c r="AH60" s="2770">
        <f t="shared" si="42"/>
        <v>18838207.84488596</v>
      </c>
      <c r="AI60" s="2770">
        <f t="shared" si="42"/>
        <v>19026589.923334818</v>
      </c>
      <c r="AJ60" s="2770">
        <f t="shared" si="42"/>
        <v>19216855.822568167</v>
      </c>
      <c r="AK60" s="2770">
        <f t="shared" si="42"/>
        <v>19409024.380793847</v>
      </c>
      <c r="AL60" s="2770">
        <f t="shared" si="42"/>
        <v>19603114.624601785</v>
      </c>
      <c r="AM60" s="2770">
        <f t="shared" si="42"/>
        <v>19799145.770847805</v>
      </c>
      <c r="AN60" s="2770">
        <f t="shared" si="42"/>
        <v>19997137.228556283</v>
      </c>
      <c r="AO60" s="2770">
        <f t="shared" si="42"/>
        <v>20197108.600841846</v>
      </c>
      <c r="AP60" s="2770">
        <f t="shared" si="42"/>
        <v>20399079.686850265</v>
      </c>
      <c r="AQ60" s="2770">
        <f t="shared" si="42"/>
        <v>20603070.483718768</v>
      </c>
      <c r="AR60" s="2770">
        <f t="shared" si="42"/>
        <v>20809101.188555956</v>
      </c>
      <c r="AS60" s="2770">
        <f t="shared" si="42"/>
        <v>21017192.200441517</v>
      </c>
      <c r="AT60" s="2770">
        <f t="shared" si="42"/>
        <v>21227364.122445934</v>
      </c>
      <c r="AU60" s="2770">
        <f t="shared" si="42"/>
        <v>21439637.763670392</v>
      </c>
      <c r="AV60" s="2694">
        <v>0</v>
      </c>
      <c r="AW60" s="2771"/>
      <c r="AX60" s="2795"/>
      <c r="AY60" s="2760"/>
      <c r="AZ60" s="2760"/>
      <c r="BA60" s="2760"/>
      <c r="BB60" s="2760"/>
      <c r="BC60" s="2760"/>
      <c r="BD60" s="2760"/>
      <c r="BE60" s="2760"/>
      <c r="BF60" s="2760"/>
      <c r="BG60" s="2760"/>
      <c r="BI60" s="2730"/>
      <c r="BJ60" s="2730"/>
    </row>
    <row r="61" spans="1:62" s="2785" customFormat="1" ht="17.25" outlineLevel="1">
      <c r="A61" s="2812" t="s">
        <v>4035</v>
      </c>
      <c r="B61" s="2813" t="s">
        <v>4075</v>
      </c>
      <c r="C61" s="2814">
        <v>0.01</v>
      </c>
      <c r="D61" s="2778"/>
      <c r="E61" s="2815"/>
      <c r="F61" s="2779">
        <v>198800</v>
      </c>
      <c r="G61" s="2779">
        <v>299800</v>
      </c>
      <c r="H61" s="2779">
        <f>800000*12*인력계획!H8</f>
        <v>9600000</v>
      </c>
      <c r="I61" s="2779">
        <f>800000*12*인력계획!I8</f>
        <v>9600000</v>
      </c>
      <c r="J61" s="2779">
        <f>800000*12*인력계획!J8</f>
        <v>9600000</v>
      </c>
      <c r="K61" s="2779">
        <f>800000*12*인력계획!K8</f>
        <v>9600000</v>
      </c>
      <c r="L61" s="2779">
        <f>800000*12*인력계획!L8</f>
        <v>9600000</v>
      </c>
      <c r="M61" s="2779">
        <f>800000*12*인력계획!M8</f>
        <v>9600000</v>
      </c>
      <c r="N61" s="2779">
        <f>800000*12*인력계획!N8</f>
        <v>9600000</v>
      </c>
      <c r="O61" s="2779">
        <f>800000*12*인력계획!O8</f>
        <v>9600000</v>
      </c>
      <c r="P61" s="2779">
        <f>800000*12*인력계획!P8</f>
        <v>9600000</v>
      </c>
      <c r="Q61" s="2779">
        <f>800000*12*인력계획!Q8</f>
        <v>9600000</v>
      </c>
      <c r="R61" s="2779">
        <f>800000*12*인력계획!R8</f>
        <v>9600000</v>
      </c>
      <c r="S61" s="2779">
        <f>800000*12*인력계획!S8</f>
        <v>9600000</v>
      </c>
      <c r="T61" s="2779">
        <f>800000*12*인력계획!T8</f>
        <v>9600000</v>
      </c>
      <c r="U61" s="2779">
        <f>800000*12*인력계획!U8</f>
        <v>9600000</v>
      </c>
      <c r="V61" s="2779">
        <f>800000*12*인력계획!V8</f>
        <v>9600000</v>
      </c>
      <c r="W61" s="2779">
        <f>800000*12*인력계획!W8</f>
        <v>9600000</v>
      </c>
      <c r="X61" s="2779">
        <f>800000*12*인력계획!X8</f>
        <v>9600000</v>
      </c>
      <c r="Y61" s="2779">
        <f>800000*12*인력계획!Y8</f>
        <v>9600000</v>
      </c>
      <c r="Z61" s="2779">
        <f>800000*12*인력계획!Z8</f>
        <v>9600000</v>
      </c>
      <c r="AA61" s="2779">
        <f>800000*12*인력계획!AA8</f>
        <v>9600000</v>
      </c>
      <c r="AB61" s="2779">
        <f>800000*12*인력계획!AB8</f>
        <v>9600000</v>
      </c>
      <c r="AC61" s="2779">
        <f>800000*12*인력계획!AC8</f>
        <v>9600000</v>
      </c>
      <c r="AD61" s="2779">
        <f>800000*12*인력계획!AD8</f>
        <v>9600000</v>
      </c>
      <c r="AE61" s="2779">
        <f>800000*12*인력계획!AE8</f>
        <v>9600000</v>
      </c>
      <c r="AF61" s="2779">
        <f>800000*12*인력계획!AF8</f>
        <v>9600000</v>
      </c>
      <c r="AG61" s="2779">
        <f>800000*12*인력계획!AG8</f>
        <v>9600000</v>
      </c>
      <c r="AH61" s="2779">
        <f>800000*12*인력계획!AH8</f>
        <v>9600000</v>
      </c>
      <c r="AI61" s="2779">
        <f>800000*12*인력계획!AI8</f>
        <v>9600000</v>
      </c>
      <c r="AJ61" s="2779">
        <f>800000*12*인력계획!AJ8</f>
        <v>9600000</v>
      </c>
      <c r="AK61" s="2779">
        <f>800000*12*인력계획!AK8</f>
        <v>9600000</v>
      </c>
      <c r="AL61" s="2779">
        <f>800000*12*인력계획!AL8</f>
        <v>9600000</v>
      </c>
      <c r="AM61" s="2779">
        <f>800000*12*인력계획!AM8</f>
        <v>9600000</v>
      </c>
      <c r="AN61" s="2779">
        <f>800000*12*인력계획!AN8</f>
        <v>9600000</v>
      </c>
      <c r="AO61" s="2779">
        <f>800000*12*인력계획!AO8</f>
        <v>9600000</v>
      </c>
      <c r="AP61" s="2779">
        <f>800000*12*인력계획!AP8</f>
        <v>9600000</v>
      </c>
      <c r="AQ61" s="2779">
        <f>800000*12*인력계획!AQ8</f>
        <v>9600000</v>
      </c>
      <c r="AR61" s="2779">
        <f>800000*12*인력계획!AR8</f>
        <v>9600000</v>
      </c>
      <c r="AS61" s="2779">
        <f>800000*12*인력계획!AS8</f>
        <v>9600000</v>
      </c>
      <c r="AT61" s="2779">
        <f>800000*12*인력계획!AT8</f>
        <v>9600000</v>
      </c>
      <c r="AU61" s="2779">
        <f>800000*12*인력계획!AU8</f>
        <v>9600000</v>
      </c>
      <c r="AV61" s="2781">
        <v>0</v>
      </c>
      <c r="AW61" s="2782"/>
      <c r="AX61" s="2816"/>
      <c r="AY61" s="2784"/>
      <c r="AZ61" s="2784"/>
      <c r="BA61" s="2784"/>
      <c r="BB61" s="2784"/>
      <c r="BC61" s="2784"/>
      <c r="BD61" s="2784"/>
      <c r="BE61" s="2784"/>
      <c r="BF61" s="2784"/>
      <c r="BG61" s="2784"/>
      <c r="BI61" s="2786"/>
      <c r="BJ61" s="2786"/>
    </row>
    <row r="62" spans="1:62" ht="17.25" outlineLevel="1">
      <c r="A62" s="2801" t="s">
        <v>4056</v>
      </c>
      <c r="B62" s="2803" t="s">
        <v>4076</v>
      </c>
      <c r="C62" s="2787">
        <v>0.01</v>
      </c>
      <c r="D62" s="2764"/>
      <c r="E62" s="2804"/>
      <c r="F62" s="2769">
        <v>7298695</v>
      </c>
      <c r="G62" s="2769">
        <v>9159691</v>
      </c>
      <c r="H62" s="2770">
        <f>700000*12*(1+$C$62)</f>
        <v>8484000</v>
      </c>
      <c r="I62" s="2770">
        <f t="shared" ref="I62:AU62" si="43">H62*(1+$C$62)</f>
        <v>8568840</v>
      </c>
      <c r="J62" s="2770">
        <f t="shared" si="43"/>
        <v>8654528.4000000004</v>
      </c>
      <c r="K62" s="2770">
        <f t="shared" si="43"/>
        <v>8741073.6840000004</v>
      </c>
      <c r="L62" s="2770">
        <f t="shared" si="43"/>
        <v>8828484.4208400007</v>
      </c>
      <c r="M62" s="2770">
        <f t="shared" si="43"/>
        <v>8916769.2650484014</v>
      </c>
      <c r="N62" s="2770">
        <f t="shared" si="43"/>
        <v>9005936.9576988854</v>
      </c>
      <c r="O62" s="2770">
        <f t="shared" si="43"/>
        <v>9095996.3272758741</v>
      </c>
      <c r="P62" s="2770">
        <f t="shared" si="43"/>
        <v>9186956.2905486338</v>
      </c>
      <c r="Q62" s="2770">
        <f t="shared" si="43"/>
        <v>9278825.8534541205</v>
      </c>
      <c r="R62" s="2770">
        <f t="shared" si="43"/>
        <v>9371614.1119886618</v>
      </c>
      <c r="S62" s="2770">
        <f t="shared" si="43"/>
        <v>9465330.253108548</v>
      </c>
      <c r="T62" s="2770">
        <f t="shared" si="43"/>
        <v>9559983.5556396339</v>
      </c>
      <c r="U62" s="2770">
        <f t="shared" si="43"/>
        <v>9655583.3911960311</v>
      </c>
      <c r="V62" s="2770">
        <f t="shared" si="43"/>
        <v>9752139.2251079921</v>
      </c>
      <c r="W62" s="2770">
        <f t="shared" si="43"/>
        <v>9849660.617359072</v>
      </c>
      <c r="X62" s="2770">
        <f t="shared" si="43"/>
        <v>9948157.2235326637</v>
      </c>
      <c r="Y62" s="2770">
        <f t="shared" si="43"/>
        <v>10047638.795767991</v>
      </c>
      <c r="Z62" s="2770">
        <f t="shared" si="43"/>
        <v>10148115.18372567</v>
      </c>
      <c r="AA62" s="2770">
        <f t="shared" si="43"/>
        <v>10249596.335562928</v>
      </c>
      <c r="AB62" s="2770">
        <f t="shared" si="43"/>
        <v>10352092.298918556</v>
      </c>
      <c r="AC62" s="2770">
        <f t="shared" si="43"/>
        <v>10455613.221907742</v>
      </c>
      <c r="AD62" s="2770">
        <f t="shared" si="43"/>
        <v>10560169.35412682</v>
      </c>
      <c r="AE62" s="2770">
        <f t="shared" si="43"/>
        <v>10665771.047668088</v>
      </c>
      <c r="AF62" s="2770">
        <f t="shared" si="43"/>
        <v>10772428.75814477</v>
      </c>
      <c r="AG62" s="2770">
        <f t="shared" si="43"/>
        <v>10880153.045726217</v>
      </c>
      <c r="AH62" s="2770">
        <f t="shared" si="43"/>
        <v>10988954.576183479</v>
      </c>
      <c r="AI62" s="2770">
        <f t="shared" si="43"/>
        <v>11098844.121945314</v>
      </c>
      <c r="AJ62" s="2770">
        <f t="shared" si="43"/>
        <v>11209832.563164767</v>
      </c>
      <c r="AK62" s="2770">
        <f t="shared" si="43"/>
        <v>11321930.888796415</v>
      </c>
      <c r="AL62" s="2770">
        <f t="shared" si="43"/>
        <v>11435150.197684379</v>
      </c>
      <c r="AM62" s="2770">
        <f t="shared" si="43"/>
        <v>11549501.699661223</v>
      </c>
      <c r="AN62" s="2770">
        <f t="shared" si="43"/>
        <v>11664996.716657836</v>
      </c>
      <c r="AO62" s="2770">
        <f t="shared" si="43"/>
        <v>11781646.683824414</v>
      </c>
      <c r="AP62" s="2770">
        <f t="shared" si="43"/>
        <v>11899463.150662659</v>
      </c>
      <c r="AQ62" s="2770">
        <f t="shared" si="43"/>
        <v>12018457.782169286</v>
      </c>
      <c r="AR62" s="2770">
        <f t="shared" si="43"/>
        <v>12138642.359990979</v>
      </c>
      <c r="AS62" s="2770">
        <f t="shared" si="43"/>
        <v>12260028.783590889</v>
      </c>
      <c r="AT62" s="2770">
        <f t="shared" si="43"/>
        <v>12382629.071426798</v>
      </c>
      <c r="AU62" s="2770">
        <f t="shared" si="43"/>
        <v>12506455.362141065</v>
      </c>
      <c r="AV62" s="2694">
        <v>0</v>
      </c>
      <c r="AW62" s="2771"/>
      <c r="AX62" s="2795"/>
      <c r="AY62" s="2760"/>
      <c r="AZ62" s="2760"/>
      <c r="BA62" s="2760"/>
      <c r="BB62" s="2760"/>
      <c r="BC62" s="2760"/>
      <c r="BD62" s="2760"/>
      <c r="BE62" s="2760"/>
      <c r="BF62" s="2760"/>
      <c r="BG62" s="2760"/>
      <c r="BI62" s="2730"/>
      <c r="BJ62" s="2730"/>
    </row>
    <row r="63" spans="1:62" ht="17.25" outlineLevel="1">
      <c r="A63" s="2801" t="s">
        <v>4077</v>
      </c>
      <c r="B63" s="2803" t="s">
        <v>4078</v>
      </c>
      <c r="C63" s="2787">
        <v>0.01</v>
      </c>
      <c r="D63" s="2764"/>
      <c r="E63" s="2804"/>
      <c r="F63" s="2769">
        <v>0</v>
      </c>
      <c r="G63" s="2769"/>
      <c r="H63" s="2770">
        <f t="shared" ref="H63:AU63" si="44">G63*(1+$C$63)</f>
        <v>0</v>
      </c>
      <c r="I63" s="2770">
        <f t="shared" si="44"/>
        <v>0</v>
      </c>
      <c r="J63" s="2770">
        <f t="shared" si="44"/>
        <v>0</v>
      </c>
      <c r="K63" s="2770">
        <f t="shared" si="44"/>
        <v>0</v>
      </c>
      <c r="L63" s="2770">
        <f t="shared" si="44"/>
        <v>0</v>
      </c>
      <c r="M63" s="2770">
        <f t="shared" si="44"/>
        <v>0</v>
      </c>
      <c r="N63" s="2770">
        <f t="shared" si="44"/>
        <v>0</v>
      </c>
      <c r="O63" s="2770">
        <f t="shared" si="44"/>
        <v>0</v>
      </c>
      <c r="P63" s="2770">
        <f t="shared" si="44"/>
        <v>0</v>
      </c>
      <c r="Q63" s="2770">
        <f t="shared" si="44"/>
        <v>0</v>
      </c>
      <c r="R63" s="2770">
        <f t="shared" si="44"/>
        <v>0</v>
      </c>
      <c r="S63" s="2770">
        <f t="shared" si="44"/>
        <v>0</v>
      </c>
      <c r="T63" s="2770">
        <f t="shared" si="44"/>
        <v>0</v>
      </c>
      <c r="U63" s="2770">
        <f t="shared" si="44"/>
        <v>0</v>
      </c>
      <c r="V63" s="2770">
        <f t="shared" si="44"/>
        <v>0</v>
      </c>
      <c r="W63" s="2770">
        <f t="shared" si="44"/>
        <v>0</v>
      </c>
      <c r="X63" s="2770">
        <f t="shared" si="44"/>
        <v>0</v>
      </c>
      <c r="Y63" s="2770">
        <f t="shared" si="44"/>
        <v>0</v>
      </c>
      <c r="Z63" s="2770">
        <f t="shared" si="44"/>
        <v>0</v>
      </c>
      <c r="AA63" s="2770">
        <f t="shared" si="44"/>
        <v>0</v>
      </c>
      <c r="AB63" s="2770">
        <f t="shared" si="44"/>
        <v>0</v>
      </c>
      <c r="AC63" s="2770">
        <f t="shared" si="44"/>
        <v>0</v>
      </c>
      <c r="AD63" s="2770">
        <f t="shared" si="44"/>
        <v>0</v>
      </c>
      <c r="AE63" s="2770">
        <f t="shared" si="44"/>
        <v>0</v>
      </c>
      <c r="AF63" s="2770">
        <f t="shared" si="44"/>
        <v>0</v>
      </c>
      <c r="AG63" s="2770">
        <f t="shared" si="44"/>
        <v>0</v>
      </c>
      <c r="AH63" s="2770">
        <f t="shared" si="44"/>
        <v>0</v>
      </c>
      <c r="AI63" s="2770">
        <f t="shared" si="44"/>
        <v>0</v>
      </c>
      <c r="AJ63" s="2770">
        <f t="shared" si="44"/>
        <v>0</v>
      </c>
      <c r="AK63" s="2770">
        <f t="shared" si="44"/>
        <v>0</v>
      </c>
      <c r="AL63" s="2770">
        <f t="shared" si="44"/>
        <v>0</v>
      </c>
      <c r="AM63" s="2770">
        <f t="shared" si="44"/>
        <v>0</v>
      </c>
      <c r="AN63" s="2770">
        <f t="shared" si="44"/>
        <v>0</v>
      </c>
      <c r="AO63" s="2770">
        <f t="shared" si="44"/>
        <v>0</v>
      </c>
      <c r="AP63" s="2770">
        <f t="shared" si="44"/>
        <v>0</v>
      </c>
      <c r="AQ63" s="2770">
        <f t="shared" si="44"/>
        <v>0</v>
      </c>
      <c r="AR63" s="2770">
        <f t="shared" si="44"/>
        <v>0</v>
      </c>
      <c r="AS63" s="2770">
        <f t="shared" si="44"/>
        <v>0</v>
      </c>
      <c r="AT63" s="2770">
        <f t="shared" si="44"/>
        <v>0</v>
      </c>
      <c r="AU63" s="2770">
        <f t="shared" si="44"/>
        <v>0</v>
      </c>
      <c r="AV63" s="2694">
        <v>0</v>
      </c>
      <c r="AW63" s="2771"/>
      <c r="AX63" s="2795"/>
      <c r="AY63" s="2760"/>
      <c r="AZ63" s="2760"/>
      <c r="BA63" s="2760"/>
      <c r="BB63" s="2760"/>
      <c r="BC63" s="2760"/>
      <c r="BD63" s="2760"/>
      <c r="BE63" s="2760"/>
      <c r="BF63" s="2760"/>
      <c r="BG63" s="2760"/>
      <c r="BI63" s="2730"/>
      <c r="BJ63" s="2730"/>
    </row>
    <row r="64" spans="1:62" ht="17.25" outlineLevel="1">
      <c r="A64" s="2801" t="s">
        <v>4060</v>
      </c>
      <c r="B64" s="2803"/>
      <c r="C64" s="2787">
        <v>0.01</v>
      </c>
      <c r="D64" s="2764"/>
      <c r="E64" s="2804"/>
      <c r="F64" s="2769">
        <v>0</v>
      </c>
      <c r="G64" s="2769">
        <v>50500</v>
      </c>
      <c r="H64" s="2770"/>
      <c r="I64" s="2770"/>
      <c r="J64" s="2770"/>
      <c r="K64" s="2770"/>
      <c r="L64" s="2770"/>
      <c r="M64" s="2770"/>
      <c r="N64" s="2770"/>
      <c r="O64" s="2770"/>
      <c r="P64" s="2770"/>
      <c r="Q64" s="2770"/>
      <c r="R64" s="2770"/>
      <c r="S64" s="2770"/>
      <c r="T64" s="2770"/>
      <c r="U64" s="2770"/>
      <c r="V64" s="2770"/>
      <c r="W64" s="2770"/>
      <c r="X64" s="2770"/>
      <c r="Y64" s="2770"/>
      <c r="Z64" s="2770"/>
      <c r="AA64" s="2770"/>
      <c r="AB64" s="2770"/>
      <c r="AC64" s="2770"/>
      <c r="AD64" s="2770"/>
      <c r="AE64" s="2770"/>
      <c r="AF64" s="2770"/>
      <c r="AG64" s="2770"/>
      <c r="AH64" s="2770"/>
      <c r="AI64" s="2770"/>
      <c r="AJ64" s="2770"/>
      <c r="AK64" s="2770"/>
      <c r="AL64" s="2770"/>
      <c r="AM64" s="2770"/>
      <c r="AN64" s="2770"/>
      <c r="AO64" s="2770"/>
      <c r="AP64" s="2770"/>
      <c r="AQ64" s="2770"/>
      <c r="AR64" s="2770"/>
      <c r="AS64" s="2770"/>
      <c r="AT64" s="2770"/>
      <c r="AU64" s="2770"/>
      <c r="AV64" s="2694">
        <v>0</v>
      </c>
      <c r="AW64" s="2771"/>
      <c r="AX64" s="2795"/>
      <c r="AY64" s="2760"/>
      <c r="AZ64" s="2760"/>
      <c r="BA64" s="2760"/>
      <c r="BB64" s="2760"/>
      <c r="BC64" s="2760"/>
      <c r="BD64" s="2760"/>
      <c r="BE64" s="2760"/>
      <c r="BF64" s="2760"/>
      <c r="BG64" s="2760"/>
      <c r="BI64" s="2730"/>
      <c r="BJ64" s="2730"/>
    </row>
    <row r="65" spans="1:62" ht="17.25" outlineLevel="1">
      <c r="A65" s="2767" t="s">
        <v>4079</v>
      </c>
      <c r="B65" s="2803"/>
      <c r="C65" s="2787">
        <v>0.01</v>
      </c>
      <c r="D65" s="2764"/>
      <c r="E65" s="2804"/>
      <c r="F65" s="2769">
        <v>2851011</v>
      </c>
      <c r="G65" s="2769">
        <v>2145684</v>
      </c>
      <c r="H65" s="2770">
        <f>1500*150*12</f>
        <v>2700000</v>
      </c>
      <c r="I65" s="2770">
        <f t="shared" ref="I65:AU65" si="45">H65*(1+$C$65)</f>
        <v>2727000</v>
      </c>
      <c r="J65" s="2770">
        <f t="shared" si="45"/>
        <v>2754270</v>
      </c>
      <c r="K65" s="2770">
        <f t="shared" si="45"/>
        <v>2781812.7</v>
      </c>
      <c r="L65" s="2770">
        <f t="shared" si="45"/>
        <v>2809630.827</v>
      </c>
      <c r="M65" s="2770">
        <f t="shared" si="45"/>
        <v>2837727.13527</v>
      </c>
      <c r="N65" s="2770">
        <f t="shared" si="45"/>
        <v>2866104.4066226999</v>
      </c>
      <c r="O65" s="2770">
        <f t="shared" si="45"/>
        <v>2894765.450688927</v>
      </c>
      <c r="P65" s="2770">
        <f t="shared" si="45"/>
        <v>2923713.1051958161</v>
      </c>
      <c r="Q65" s="2770">
        <f t="shared" si="45"/>
        <v>2952950.2362477742</v>
      </c>
      <c r="R65" s="2770">
        <f t="shared" si="45"/>
        <v>2982479.7386102518</v>
      </c>
      <c r="S65" s="2770">
        <f t="shared" si="45"/>
        <v>3012304.5359963542</v>
      </c>
      <c r="T65" s="2770">
        <f t="shared" si="45"/>
        <v>3042427.5813563177</v>
      </c>
      <c r="U65" s="2770">
        <f t="shared" si="45"/>
        <v>3072851.857169881</v>
      </c>
      <c r="V65" s="2770">
        <f t="shared" si="45"/>
        <v>3103580.37574158</v>
      </c>
      <c r="W65" s="2770">
        <f t="shared" si="45"/>
        <v>3134616.1794989957</v>
      </c>
      <c r="X65" s="2770">
        <f t="shared" si="45"/>
        <v>3165962.3412939855</v>
      </c>
      <c r="Y65" s="2770">
        <f t="shared" si="45"/>
        <v>3197621.9647069252</v>
      </c>
      <c r="Z65" s="2770">
        <f t="shared" si="45"/>
        <v>3229598.1843539947</v>
      </c>
      <c r="AA65" s="2770">
        <f t="shared" si="45"/>
        <v>3261894.1661975347</v>
      </c>
      <c r="AB65" s="2770">
        <f t="shared" si="45"/>
        <v>3294513.10785951</v>
      </c>
      <c r="AC65" s="2770">
        <f t="shared" si="45"/>
        <v>3327458.2389381053</v>
      </c>
      <c r="AD65" s="2770">
        <f t="shared" si="45"/>
        <v>3360732.8213274865</v>
      </c>
      <c r="AE65" s="2770">
        <f t="shared" si="45"/>
        <v>3394340.1495407615</v>
      </c>
      <c r="AF65" s="2770">
        <f t="shared" si="45"/>
        <v>3428283.5510361693</v>
      </c>
      <c r="AG65" s="2770">
        <f t="shared" si="45"/>
        <v>3462566.3865465312</v>
      </c>
      <c r="AH65" s="2770">
        <f t="shared" si="45"/>
        <v>3497192.0504119964</v>
      </c>
      <c r="AI65" s="2770">
        <f t="shared" si="45"/>
        <v>3532163.9709161166</v>
      </c>
      <c r="AJ65" s="2770">
        <f t="shared" si="45"/>
        <v>3567485.6106252777</v>
      </c>
      <c r="AK65" s="2770">
        <f t="shared" si="45"/>
        <v>3603160.4667315306</v>
      </c>
      <c r="AL65" s="2770">
        <f t="shared" si="45"/>
        <v>3639192.0713988459</v>
      </c>
      <c r="AM65" s="2770">
        <f t="shared" si="45"/>
        <v>3675583.9921128345</v>
      </c>
      <c r="AN65" s="2770">
        <f t="shared" si="45"/>
        <v>3712339.8320339629</v>
      </c>
      <c r="AO65" s="2770">
        <f t="shared" si="45"/>
        <v>3749463.2303543026</v>
      </c>
      <c r="AP65" s="2770">
        <f t="shared" si="45"/>
        <v>3786957.8626578455</v>
      </c>
      <c r="AQ65" s="2770">
        <f t="shared" si="45"/>
        <v>3824827.4412844242</v>
      </c>
      <c r="AR65" s="2770">
        <f t="shared" si="45"/>
        <v>3863075.7156972685</v>
      </c>
      <c r="AS65" s="2770">
        <f t="shared" si="45"/>
        <v>3901706.4728542413</v>
      </c>
      <c r="AT65" s="2770">
        <f t="shared" si="45"/>
        <v>3940723.5375827835</v>
      </c>
      <c r="AU65" s="2770">
        <f t="shared" si="45"/>
        <v>3980130.7729586111</v>
      </c>
      <c r="AV65" s="2694">
        <v>0</v>
      </c>
      <c r="AW65" s="2771"/>
      <c r="AX65" s="2795"/>
      <c r="AY65" s="2760"/>
      <c r="AZ65" s="2760"/>
      <c r="BA65" s="2760"/>
      <c r="BB65" s="2760"/>
      <c r="BC65" s="2760"/>
      <c r="BD65" s="2760"/>
      <c r="BE65" s="2760"/>
      <c r="BF65" s="2760"/>
      <c r="BG65" s="2760"/>
      <c r="BI65" s="2730"/>
      <c r="BJ65" s="2730"/>
    </row>
    <row r="66" spans="1:62" ht="17.25" outlineLevel="1">
      <c r="A66" s="2817" t="s">
        <v>4080</v>
      </c>
      <c r="B66" s="2818"/>
      <c r="C66" s="2819"/>
      <c r="D66" s="2764"/>
      <c r="E66" s="2820"/>
      <c r="F66" s="2821">
        <v>623700</v>
      </c>
      <c r="G66" s="2822"/>
      <c r="H66" s="2822"/>
      <c r="I66" s="2822"/>
      <c r="J66" s="2822"/>
      <c r="K66" s="2822"/>
      <c r="L66" s="2822"/>
      <c r="M66" s="2822"/>
      <c r="N66" s="2822"/>
      <c r="O66" s="2822"/>
      <c r="P66" s="2822"/>
      <c r="Q66" s="2822"/>
      <c r="R66" s="2822"/>
      <c r="S66" s="2822"/>
      <c r="T66" s="2822"/>
      <c r="U66" s="2822"/>
      <c r="V66" s="2822"/>
      <c r="W66" s="2822"/>
      <c r="X66" s="2822"/>
      <c r="Y66" s="2822"/>
      <c r="Z66" s="2822"/>
      <c r="AA66" s="2822"/>
      <c r="AB66" s="2822"/>
      <c r="AC66" s="2822"/>
      <c r="AD66" s="2822"/>
      <c r="AE66" s="2822"/>
      <c r="AF66" s="2822"/>
      <c r="AG66" s="2822"/>
      <c r="AH66" s="2822"/>
      <c r="AI66" s="2822"/>
      <c r="AJ66" s="2822"/>
      <c r="AK66" s="2822"/>
      <c r="AL66" s="2822"/>
      <c r="AM66" s="2822"/>
      <c r="AN66" s="2822"/>
      <c r="AO66" s="2822"/>
      <c r="AP66" s="2822"/>
      <c r="AQ66" s="2822"/>
      <c r="AR66" s="2822"/>
      <c r="AS66" s="2822"/>
      <c r="AT66" s="2822"/>
      <c r="AU66" s="2822"/>
      <c r="AV66" s="2694">
        <v>0</v>
      </c>
      <c r="AW66" s="2771"/>
      <c r="AX66" s="2759"/>
      <c r="AY66" s="2760"/>
      <c r="AZ66" s="2760"/>
      <c r="BA66" s="2760"/>
      <c r="BB66" s="2760"/>
      <c r="BC66" s="2760"/>
      <c r="BD66" s="2760"/>
      <c r="BE66" s="2760"/>
      <c r="BF66" s="2760"/>
      <c r="BG66" s="2760"/>
      <c r="BI66" s="2730"/>
      <c r="BJ66" s="2730"/>
    </row>
    <row r="67" spans="1:62" ht="17.25" outlineLevel="1">
      <c r="A67" s="2823" t="s">
        <v>4081</v>
      </c>
      <c r="B67" s="2810"/>
      <c r="C67" s="2811"/>
      <c r="D67" s="2792">
        <v>1</v>
      </c>
      <c r="E67" s="2792"/>
      <c r="F67" s="2794">
        <f>SUM(F68:F69)</f>
        <v>11322840</v>
      </c>
      <c r="G67" s="2794">
        <f t="shared" ref="G67:AU67" si="46">SUM(G68:G69)</f>
        <v>9791070</v>
      </c>
      <c r="H67" s="2794">
        <f t="shared" ca="1" si="46"/>
        <v>12392468.963108059</v>
      </c>
      <c r="I67" s="2794">
        <f t="shared" ca="1" si="46"/>
        <v>12436878.034796577</v>
      </c>
      <c r="J67" s="2794">
        <f t="shared" ca="1" si="46"/>
        <v>12747149.415660338</v>
      </c>
      <c r="K67" s="2794">
        <f t="shared" ca="1" si="46"/>
        <v>13588306.457138494</v>
      </c>
      <c r="L67" s="2794">
        <f t="shared" ca="1" si="46"/>
        <v>13707678.041837223</v>
      </c>
      <c r="M67" s="2794">
        <f t="shared" ca="1" si="46"/>
        <v>13981237.92343848</v>
      </c>
      <c r="N67" s="2794">
        <f t="shared" ca="1" si="46"/>
        <v>14622974.048777075</v>
      </c>
      <c r="O67" s="2794">
        <f t="shared" ca="1" si="46"/>
        <v>14808373.041262288</v>
      </c>
      <c r="P67" s="2794">
        <f t="shared" ca="1" si="46"/>
        <v>14808373.041262288</v>
      </c>
      <c r="Q67" s="2794">
        <f t="shared" ca="1" si="46"/>
        <v>15588800.393546803</v>
      </c>
      <c r="R67" s="2794">
        <f t="shared" ca="1" si="46"/>
        <v>15189866.153026681</v>
      </c>
      <c r="S67" s="2794">
        <f t="shared" ca="1" si="46"/>
        <v>14564732.085407522</v>
      </c>
      <c r="T67" s="2794">
        <f t="shared" ca="1" si="46"/>
        <v>15437166.401169162</v>
      </c>
      <c r="U67" s="2794">
        <f t="shared" ca="1" si="46"/>
        <v>15437166.401169162</v>
      </c>
      <c r="V67" s="2794">
        <f t="shared" ca="1" si="46"/>
        <v>15753846.159107819</v>
      </c>
      <c r="W67" s="2794">
        <f t="shared" ca="1" si="46"/>
        <v>16913457.713581271</v>
      </c>
      <c r="X67" s="2794">
        <f t="shared" ca="1" si="46"/>
        <v>16913457.713581264</v>
      </c>
      <c r="Y67" s="2794">
        <f t="shared" ca="1" si="46"/>
        <v>16913457.713581271</v>
      </c>
      <c r="Z67" s="2794">
        <f t="shared" ca="1" si="46"/>
        <v>16625820.575425386</v>
      </c>
      <c r="AA67" s="2794">
        <f t="shared" ca="1" si="46"/>
        <v>16930524.080700181</v>
      </c>
      <c r="AB67" s="2794">
        <f t="shared" ca="1" si="46"/>
        <v>17346317.405606411</v>
      </c>
      <c r="AC67" s="2794">
        <f t="shared" ca="1" si="46"/>
        <v>18156307.505053397</v>
      </c>
      <c r="AD67" s="2794">
        <f t="shared" ca="1" si="46"/>
        <v>18656211.693394855</v>
      </c>
      <c r="AE67" s="2794">
        <f t="shared" ca="1" si="46"/>
        <v>17484769.545381367</v>
      </c>
      <c r="AF67" s="2794">
        <f t="shared" ca="1" si="46"/>
        <v>18550134.633422811</v>
      </c>
      <c r="AG67" s="2794">
        <f t="shared" ca="1" si="46"/>
        <v>18798587.015028514</v>
      </c>
      <c r="AH67" s="2794">
        <f t="shared" ca="1" si="46"/>
        <v>19134522.629593976</v>
      </c>
      <c r="AI67" s="2794">
        <f t="shared" ca="1" si="46"/>
        <v>20585067.357886802</v>
      </c>
      <c r="AJ67" s="2794">
        <f t="shared" ca="1" si="46"/>
        <v>20002691.476073708</v>
      </c>
      <c r="AK67" s="2794">
        <f t="shared" ca="1" si="46"/>
        <v>18964702.917006221</v>
      </c>
      <c r="AL67" s="2794">
        <f t="shared" ca="1" si="46"/>
        <v>18765724.305002335</v>
      </c>
      <c r="AM67" s="2794">
        <f t="shared" ca="1" si="46"/>
        <v>19410012.070781045</v>
      </c>
      <c r="AN67" s="2794">
        <f t="shared" ca="1" si="46"/>
        <v>19699362.863795426</v>
      </c>
      <c r="AO67" s="2794">
        <f t="shared" ca="1" si="46"/>
        <v>20627005.236151867</v>
      </c>
      <c r="AP67" s="2794">
        <f t="shared" ca="1" si="46"/>
        <v>20627005.236151867</v>
      </c>
      <c r="AQ67" s="2794">
        <f t="shared" ca="1" si="46"/>
        <v>20627005.236151863</v>
      </c>
      <c r="AR67" s="2794">
        <f t="shared" ca="1" si="46"/>
        <v>22051896.132801153</v>
      </c>
      <c r="AS67" s="2794">
        <f t="shared" ca="1" si="46"/>
        <v>22256062.052352108</v>
      </c>
      <c r="AT67" s="2794">
        <f t="shared" ca="1" si="46"/>
        <v>20756718.580649789</v>
      </c>
      <c r="AU67" s="2794">
        <f t="shared" ca="1" si="46"/>
        <v>21737228.738848954</v>
      </c>
      <c r="AV67" s="2694">
        <v>0</v>
      </c>
      <c r="AW67" s="2771"/>
      <c r="AX67" s="2759"/>
      <c r="AY67" s="2760"/>
      <c r="AZ67" s="2760"/>
      <c r="BA67" s="2760"/>
      <c r="BB67" s="2760"/>
      <c r="BC67" s="2760"/>
      <c r="BD67" s="2760"/>
      <c r="BE67" s="2760"/>
      <c r="BF67" s="2760"/>
      <c r="BG67" s="2760"/>
      <c r="BI67" s="2730"/>
      <c r="BJ67" s="2730"/>
    </row>
    <row r="68" spans="1:62" ht="17.25" outlineLevel="1">
      <c r="A68" s="2767" t="s">
        <v>4082</v>
      </c>
      <c r="B68" s="2768"/>
      <c r="C68" s="2763"/>
      <c r="D68" s="2764"/>
      <c r="E68" s="2764"/>
      <c r="F68" s="2769">
        <v>8825820</v>
      </c>
      <c r="G68" s="2769">
        <v>8948030</v>
      </c>
      <c r="H68" s="2769">
        <f t="shared" ref="H68:AU68" ca="1" si="47">(H9-H103-H223)*1%</f>
        <v>11392468.963108059</v>
      </c>
      <c r="I68" s="2769">
        <f t="shared" ca="1" si="47"/>
        <v>11436878.034796577</v>
      </c>
      <c r="J68" s="2769">
        <f t="shared" ca="1" si="47"/>
        <v>11747149.415660338</v>
      </c>
      <c r="K68" s="2769">
        <f t="shared" ca="1" si="47"/>
        <v>12588306.457138494</v>
      </c>
      <c r="L68" s="2769">
        <f t="shared" ca="1" si="47"/>
        <v>12707678.041837223</v>
      </c>
      <c r="M68" s="2769">
        <f t="shared" ca="1" si="47"/>
        <v>12981237.92343848</v>
      </c>
      <c r="N68" s="2769">
        <f t="shared" ca="1" si="47"/>
        <v>13622974.048777075</v>
      </c>
      <c r="O68" s="2769">
        <f t="shared" ca="1" si="47"/>
        <v>13808373.041262288</v>
      </c>
      <c r="P68" s="2769">
        <f t="shared" ca="1" si="47"/>
        <v>13808373.041262288</v>
      </c>
      <c r="Q68" s="2769">
        <f t="shared" ca="1" si="47"/>
        <v>14588800.393546803</v>
      </c>
      <c r="R68" s="2769">
        <f t="shared" ca="1" si="47"/>
        <v>14189866.153026681</v>
      </c>
      <c r="S68" s="2769">
        <f t="shared" ca="1" si="47"/>
        <v>13564732.085407522</v>
      </c>
      <c r="T68" s="2769">
        <f t="shared" ca="1" si="47"/>
        <v>14437166.401169162</v>
      </c>
      <c r="U68" s="2769">
        <f t="shared" ca="1" si="47"/>
        <v>14437166.401169162</v>
      </c>
      <c r="V68" s="2769">
        <f t="shared" ca="1" si="47"/>
        <v>14753846.159107819</v>
      </c>
      <c r="W68" s="2769">
        <f t="shared" ca="1" si="47"/>
        <v>15913457.71358127</v>
      </c>
      <c r="X68" s="2769">
        <f t="shared" ca="1" si="47"/>
        <v>15913457.713581266</v>
      </c>
      <c r="Y68" s="2769">
        <f t="shared" ca="1" si="47"/>
        <v>15913457.71358127</v>
      </c>
      <c r="Z68" s="2769">
        <f t="shared" ca="1" si="47"/>
        <v>15625820.575425386</v>
      </c>
      <c r="AA68" s="2769">
        <f t="shared" ca="1" si="47"/>
        <v>15930524.080700183</v>
      </c>
      <c r="AB68" s="2769">
        <f t="shared" ca="1" si="47"/>
        <v>16346317.405606411</v>
      </c>
      <c r="AC68" s="2769">
        <f t="shared" ca="1" si="47"/>
        <v>17156307.505053397</v>
      </c>
      <c r="AD68" s="2769">
        <f t="shared" ca="1" si="47"/>
        <v>17656211.693394855</v>
      </c>
      <c r="AE68" s="2769">
        <f t="shared" ca="1" si="47"/>
        <v>16484769.545381369</v>
      </c>
      <c r="AF68" s="2769">
        <f t="shared" ca="1" si="47"/>
        <v>17550134.633422811</v>
      </c>
      <c r="AG68" s="2769">
        <f t="shared" ca="1" si="47"/>
        <v>17798587.015028514</v>
      </c>
      <c r="AH68" s="2769">
        <f t="shared" ca="1" si="47"/>
        <v>18134522.629593976</v>
      </c>
      <c r="AI68" s="2769">
        <f t="shared" ca="1" si="47"/>
        <v>19585067.357886802</v>
      </c>
      <c r="AJ68" s="2769">
        <f t="shared" ca="1" si="47"/>
        <v>19002691.476073708</v>
      </c>
      <c r="AK68" s="2769">
        <f t="shared" ca="1" si="47"/>
        <v>17964702.917006221</v>
      </c>
      <c r="AL68" s="2769">
        <f t="shared" ca="1" si="47"/>
        <v>17765724.305002335</v>
      </c>
      <c r="AM68" s="2769">
        <f t="shared" ca="1" si="47"/>
        <v>18410012.070781045</v>
      </c>
      <c r="AN68" s="2769">
        <f t="shared" ca="1" si="47"/>
        <v>18699362.863795426</v>
      </c>
      <c r="AO68" s="2769">
        <f t="shared" ca="1" si="47"/>
        <v>19627005.236151867</v>
      </c>
      <c r="AP68" s="2769">
        <f t="shared" ca="1" si="47"/>
        <v>19627005.236151867</v>
      </c>
      <c r="AQ68" s="2769">
        <f t="shared" ca="1" si="47"/>
        <v>19627005.236151863</v>
      </c>
      <c r="AR68" s="2769">
        <f t="shared" ca="1" si="47"/>
        <v>21051896.132801153</v>
      </c>
      <c r="AS68" s="2769">
        <f t="shared" ca="1" si="47"/>
        <v>21256062.052352108</v>
      </c>
      <c r="AT68" s="2769">
        <f t="shared" ca="1" si="47"/>
        <v>19756718.580649789</v>
      </c>
      <c r="AU68" s="2769">
        <f t="shared" ca="1" si="47"/>
        <v>20737228.738848954</v>
      </c>
      <c r="AV68" s="2694">
        <v>0</v>
      </c>
      <c r="AW68" s="2758"/>
      <c r="AX68" s="2759"/>
      <c r="AY68" s="2774"/>
      <c r="AZ68" s="2774"/>
      <c r="BA68" s="2774"/>
      <c r="BB68" s="2774"/>
      <c r="BC68" s="2774"/>
      <c r="BD68" s="2774"/>
      <c r="BE68" s="2774"/>
      <c r="BF68" s="2774"/>
      <c r="BG68" s="2774"/>
      <c r="BI68" s="2730"/>
      <c r="BJ68" s="2730"/>
    </row>
    <row r="69" spans="1:62" ht="17.25" outlineLevel="1">
      <c r="A69" s="2767" t="s">
        <v>4083</v>
      </c>
      <c r="B69" s="2768"/>
      <c r="C69" s="2787">
        <v>0.01</v>
      </c>
      <c r="D69" s="2764"/>
      <c r="E69" s="2804"/>
      <c r="F69" s="2769">
        <f>2497020</f>
        <v>2497020</v>
      </c>
      <c r="G69" s="2769">
        <v>843040</v>
      </c>
      <c r="H69" s="2770">
        <v>1000000</v>
      </c>
      <c r="I69" s="2770">
        <f t="shared" ref="I69:AU69" si="48">H69</f>
        <v>1000000</v>
      </c>
      <c r="J69" s="2770">
        <f t="shared" si="48"/>
        <v>1000000</v>
      </c>
      <c r="K69" s="2770">
        <f t="shared" si="48"/>
        <v>1000000</v>
      </c>
      <c r="L69" s="2770">
        <f t="shared" si="48"/>
        <v>1000000</v>
      </c>
      <c r="M69" s="2770">
        <f t="shared" si="48"/>
        <v>1000000</v>
      </c>
      <c r="N69" s="2770">
        <f t="shared" si="48"/>
        <v>1000000</v>
      </c>
      <c r="O69" s="2770">
        <f t="shared" si="48"/>
        <v>1000000</v>
      </c>
      <c r="P69" s="2770">
        <f t="shared" si="48"/>
        <v>1000000</v>
      </c>
      <c r="Q69" s="2770">
        <f t="shared" si="48"/>
        <v>1000000</v>
      </c>
      <c r="R69" s="2770">
        <f t="shared" si="48"/>
        <v>1000000</v>
      </c>
      <c r="S69" s="2770">
        <f t="shared" si="48"/>
        <v>1000000</v>
      </c>
      <c r="T69" s="2770">
        <f t="shared" si="48"/>
        <v>1000000</v>
      </c>
      <c r="U69" s="2770">
        <f t="shared" si="48"/>
        <v>1000000</v>
      </c>
      <c r="V69" s="2770">
        <f t="shared" si="48"/>
        <v>1000000</v>
      </c>
      <c r="W69" s="2770">
        <f t="shared" si="48"/>
        <v>1000000</v>
      </c>
      <c r="X69" s="2770">
        <f t="shared" si="48"/>
        <v>1000000</v>
      </c>
      <c r="Y69" s="2770">
        <f t="shared" si="48"/>
        <v>1000000</v>
      </c>
      <c r="Z69" s="2770">
        <f t="shared" si="48"/>
        <v>1000000</v>
      </c>
      <c r="AA69" s="2770">
        <f t="shared" si="48"/>
        <v>1000000</v>
      </c>
      <c r="AB69" s="2770">
        <f t="shared" si="48"/>
        <v>1000000</v>
      </c>
      <c r="AC69" s="2770">
        <f t="shared" si="48"/>
        <v>1000000</v>
      </c>
      <c r="AD69" s="2770">
        <f t="shared" si="48"/>
        <v>1000000</v>
      </c>
      <c r="AE69" s="2770">
        <f t="shared" si="48"/>
        <v>1000000</v>
      </c>
      <c r="AF69" s="2770">
        <f t="shared" si="48"/>
        <v>1000000</v>
      </c>
      <c r="AG69" s="2770">
        <f t="shared" si="48"/>
        <v>1000000</v>
      </c>
      <c r="AH69" s="2770">
        <f t="shared" si="48"/>
        <v>1000000</v>
      </c>
      <c r="AI69" s="2770">
        <f t="shared" si="48"/>
        <v>1000000</v>
      </c>
      <c r="AJ69" s="2770">
        <f t="shared" si="48"/>
        <v>1000000</v>
      </c>
      <c r="AK69" s="2770">
        <f t="shared" si="48"/>
        <v>1000000</v>
      </c>
      <c r="AL69" s="2770">
        <f t="shared" si="48"/>
        <v>1000000</v>
      </c>
      <c r="AM69" s="2770">
        <f t="shared" si="48"/>
        <v>1000000</v>
      </c>
      <c r="AN69" s="2770">
        <f t="shared" si="48"/>
        <v>1000000</v>
      </c>
      <c r="AO69" s="2770">
        <f t="shared" si="48"/>
        <v>1000000</v>
      </c>
      <c r="AP69" s="2770">
        <f t="shared" si="48"/>
        <v>1000000</v>
      </c>
      <c r="AQ69" s="2770">
        <f t="shared" si="48"/>
        <v>1000000</v>
      </c>
      <c r="AR69" s="2770">
        <f t="shared" si="48"/>
        <v>1000000</v>
      </c>
      <c r="AS69" s="2770">
        <f t="shared" si="48"/>
        <v>1000000</v>
      </c>
      <c r="AT69" s="2770">
        <f t="shared" si="48"/>
        <v>1000000</v>
      </c>
      <c r="AU69" s="2770">
        <f t="shared" si="48"/>
        <v>1000000</v>
      </c>
      <c r="AV69" s="2694">
        <v>0</v>
      </c>
      <c r="AW69" s="2771"/>
      <c r="AX69" s="2795"/>
      <c r="AY69" s="2774"/>
      <c r="AZ69" s="2774"/>
      <c r="BA69" s="2774"/>
      <c r="BB69" s="2774"/>
      <c r="BC69" s="2774"/>
      <c r="BD69" s="2774"/>
      <c r="BE69" s="2774"/>
      <c r="BF69" s="2774"/>
      <c r="BG69" s="2774"/>
      <c r="BI69" s="2730"/>
      <c r="BJ69" s="2730"/>
    </row>
    <row r="70" spans="1:62" ht="17.25" outlineLevel="1">
      <c r="A70" s="2823" t="s">
        <v>4084</v>
      </c>
      <c r="B70" s="2810"/>
      <c r="C70" s="2811"/>
      <c r="D70" s="2792">
        <v>1</v>
      </c>
      <c r="E70" s="2792"/>
      <c r="F70" s="2794">
        <f>SUM(F71:F72)</f>
        <v>1739390</v>
      </c>
      <c r="G70" s="2794">
        <f t="shared" ref="G70:AU70" si="49">SUM(G71:G72)</f>
        <v>1858930</v>
      </c>
      <c r="H70" s="2794">
        <f t="shared" si="49"/>
        <v>2800000</v>
      </c>
      <c r="I70" s="2794">
        <f t="shared" si="49"/>
        <v>2800000</v>
      </c>
      <c r="J70" s="2794">
        <f t="shared" si="49"/>
        <v>2800000</v>
      </c>
      <c r="K70" s="2794">
        <f t="shared" si="49"/>
        <v>2800000</v>
      </c>
      <c r="L70" s="2794">
        <f t="shared" si="49"/>
        <v>2800000</v>
      </c>
      <c r="M70" s="2794">
        <f t="shared" si="49"/>
        <v>2800000</v>
      </c>
      <c r="N70" s="2794">
        <f t="shared" si="49"/>
        <v>2800000</v>
      </c>
      <c r="O70" s="2794">
        <f t="shared" si="49"/>
        <v>2800000</v>
      </c>
      <c r="P70" s="2794">
        <f t="shared" si="49"/>
        <v>2800000</v>
      </c>
      <c r="Q70" s="2794">
        <f t="shared" si="49"/>
        <v>2800000</v>
      </c>
      <c r="R70" s="2794">
        <f t="shared" si="49"/>
        <v>2800000</v>
      </c>
      <c r="S70" s="2794">
        <f t="shared" si="49"/>
        <v>2800000</v>
      </c>
      <c r="T70" s="2794">
        <f t="shared" si="49"/>
        <v>2800000</v>
      </c>
      <c r="U70" s="2794">
        <f t="shared" si="49"/>
        <v>2800000</v>
      </c>
      <c r="V70" s="2794">
        <f t="shared" si="49"/>
        <v>2800000</v>
      </c>
      <c r="W70" s="2794">
        <f t="shared" si="49"/>
        <v>2800000</v>
      </c>
      <c r="X70" s="2794">
        <f t="shared" si="49"/>
        <v>2800000</v>
      </c>
      <c r="Y70" s="2794">
        <f t="shared" si="49"/>
        <v>2800000</v>
      </c>
      <c r="Z70" s="2794">
        <f t="shared" si="49"/>
        <v>2800000</v>
      </c>
      <c r="AA70" s="2794">
        <f t="shared" si="49"/>
        <v>2800000</v>
      </c>
      <c r="AB70" s="2794">
        <f t="shared" si="49"/>
        <v>2800000</v>
      </c>
      <c r="AC70" s="2794">
        <f t="shared" si="49"/>
        <v>2800000</v>
      </c>
      <c r="AD70" s="2794">
        <f t="shared" si="49"/>
        <v>2800000</v>
      </c>
      <c r="AE70" s="2794">
        <f t="shared" si="49"/>
        <v>2800000</v>
      </c>
      <c r="AF70" s="2794">
        <f t="shared" si="49"/>
        <v>2800000</v>
      </c>
      <c r="AG70" s="2794">
        <f t="shared" si="49"/>
        <v>2800000</v>
      </c>
      <c r="AH70" s="2794">
        <f t="shared" si="49"/>
        <v>2800000</v>
      </c>
      <c r="AI70" s="2794">
        <f t="shared" si="49"/>
        <v>2800000</v>
      </c>
      <c r="AJ70" s="2794">
        <f t="shared" si="49"/>
        <v>2800000</v>
      </c>
      <c r="AK70" s="2794">
        <f t="shared" si="49"/>
        <v>2800000</v>
      </c>
      <c r="AL70" s="2794">
        <f t="shared" si="49"/>
        <v>2800000</v>
      </c>
      <c r="AM70" s="2794">
        <f t="shared" si="49"/>
        <v>2800000</v>
      </c>
      <c r="AN70" s="2794">
        <f t="shared" si="49"/>
        <v>2800000</v>
      </c>
      <c r="AO70" s="2794">
        <f t="shared" si="49"/>
        <v>2800000</v>
      </c>
      <c r="AP70" s="2794">
        <f t="shared" si="49"/>
        <v>2800000</v>
      </c>
      <c r="AQ70" s="2794">
        <f t="shared" si="49"/>
        <v>2800000</v>
      </c>
      <c r="AR70" s="2794">
        <f t="shared" si="49"/>
        <v>2800000</v>
      </c>
      <c r="AS70" s="2794">
        <f t="shared" si="49"/>
        <v>2800000</v>
      </c>
      <c r="AT70" s="2794">
        <f t="shared" si="49"/>
        <v>2800000</v>
      </c>
      <c r="AU70" s="2794">
        <f t="shared" si="49"/>
        <v>2800000</v>
      </c>
      <c r="AV70" s="2694">
        <v>0</v>
      </c>
      <c r="AW70" s="2771"/>
      <c r="AX70" s="2759"/>
      <c r="AY70" s="2760"/>
      <c r="AZ70" s="2760"/>
      <c r="BA70" s="2760"/>
      <c r="BB70" s="2760"/>
      <c r="BC70" s="2760"/>
      <c r="BD70" s="2760"/>
      <c r="BE70" s="2760"/>
      <c r="BF70" s="2760"/>
      <c r="BG70" s="2760"/>
      <c r="BI70" s="2730"/>
      <c r="BJ70" s="2730"/>
    </row>
    <row r="71" spans="1:62" ht="17.25" outlineLevel="1">
      <c r="A71" s="2767" t="s">
        <v>4085</v>
      </c>
      <c r="B71" s="2768" t="s">
        <v>4086</v>
      </c>
      <c r="C71" s="2763"/>
      <c r="D71" s="2764"/>
      <c r="E71" s="2764"/>
      <c r="F71" s="2769">
        <v>1200000</v>
      </c>
      <c r="G71" s="2769">
        <v>1175330</v>
      </c>
      <c r="H71" s="2769">
        <f>50000*(2+인력계획!H8)*12</f>
        <v>1800000</v>
      </c>
      <c r="I71" s="2769">
        <f>50000*(2+인력계획!I8)*12</f>
        <v>1800000</v>
      </c>
      <c r="J71" s="2769">
        <f>50000*(2+인력계획!J8)*12</f>
        <v>1800000</v>
      </c>
      <c r="K71" s="2769">
        <f>50000*(2+인력계획!K8)*12</f>
        <v>1800000</v>
      </c>
      <c r="L71" s="2769">
        <f>50000*(2+인력계획!L8)*12</f>
        <v>1800000</v>
      </c>
      <c r="M71" s="2769">
        <f>50000*(2+인력계획!M8)*12</f>
        <v>1800000</v>
      </c>
      <c r="N71" s="2769">
        <f>50000*(2+인력계획!N8)*12</f>
        <v>1800000</v>
      </c>
      <c r="O71" s="2769">
        <f>50000*(2+인력계획!O8)*12</f>
        <v>1800000</v>
      </c>
      <c r="P71" s="2769">
        <f>50000*(2+인력계획!P8)*12</f>
        <v>1800000</v>
      </c>
      <c r="Q71" s="2769">
        <f>50000*(2+인력계획!Q8)*12</f>
        <v>1800000</v>
      </c>
      <c r="R71" s="2769">
        <f>50000*(2+인력계획!R8)*12</f>
        <v>1800000</v>
      </c>
      <c r="S71" s="2769">
        <f>50000*(2+인력계획!S8)*12</f>
        <v>1800000</v>
      </c>
      <c r="T71" s="2769">
        <f>50000*(2+인력계획!T8)*12</f>
        <v>1800000</v>
      </c>
      <c r="U71" s="2769">
        <f>50000*(2+인력계획!U8)*12</f>
        <v>1800000</v>
      </c>
      <c r="V71" s="2769">
        <f>50000*(2+인력계획!V8)*12</f>
        <v>1800000</v>
      </c>
      <c r="W71" s="2769">
        <f>50000*(2+인력계획!W8)*12</f>
        <v>1800000</v>
      </c>
      <c r="X71" s="2769">
        <f>50000*(2+인력계획!X8)*12</f>
        <v>1800000</v>
      </c>
      <c r="Y71" s="2769">
        <f>50000*(2+인력계획!Y8)*12</f>
        <v>1800000</v>
      </c>
      <c r="Z71" s="2769">
        <f>50000*(2+인력계획!Z8)*12</f>
        <v>1800000</v>
      </c>
      <c r="AA71" s="2769">
        <f>50000*(2+인력계획!AA8)*12</f>
        <v>1800000</v>
      </c>
      <c r="AB71" s="2769">
        <f>50000*(2+인력계획!AB8)*12</f>
        <v>1800000</v>
      </c>
      <c r="AC71" s="2769">
        <f>50000*(2+인력계획!AC8)*12</f>
        <v>1800000</v>
      </c>
      <c r="AD71" s="2769">
        <f>50000*(2+인력계획!AD8)*12</f>
        <v>1800000</v>
      </c>
      <c r="AE71" s="2769">
        <f>50000*(2+인력계획!AE8)*12</f>
        <v>1800000</v>
      </c>
      <c r="AF71" s="2769">
        <f>50000*(2+인력계획!AF8)*12</f>
        <v>1800000</v>
      </c>
      <c r="AG71" s="2769">
        <f>50000*(2+인력계획!AG8)*12</f>
        <v>1800000</v>
      </c>
      <c r="AH71" s="2769">
        <f>50000*(2+인력계획!AH8)*12</f>
        <v>1800000</v>
      </c>
      <c r="AI71" s="2769">
        <f>50000*(2+인력계획!AI8)*12</f>
        <v>1800000</v>
      </c>
      <c r="AJ71" s="2769">
        <f>50000*(2+인력계획!AJ8)*12</f>
        <v>1800000</v>
      </c>
      <c r="AK71" s="2769">
        <f>50000*(2+인력계획!AK8)*12</f>
        <v>1800000</v>
      </c>
      <c r="AL71" s="2769">
        <f>50000*(2+인력계획!AL8)*12</f>
        <v>1800000</v>
      </c>
      <c r="AM71" s="2769">
        <f>50000*(2+인력계획!AM8)*12</f>
        <v>1800000</v>
      </c>
      <c r="AN71" s="2769">
        <f>50000*(2+인력계획!AN8)*12</f>
        <v>1800000</v>
      </c>
      <c r="AO71" s="2769">
        <f>50000*(2+인력계획!AO8)*12</f>
        <v>1800000</v>
      </c>
      <c r="AP71" s="2769">
        <f>50000*(2+인력계획!AP8)*12</f>
        <v>1800000</v>
      </c>
      <c r="AQ71" s="2769">
        <f>50000*(2+인력계획!AQ8)*12</f>
        <v>1800000</v>
      </c>
      <c r="AR71" s="2769">
        <f>50000*(2+인력계획!AR8)*12</f>
        <v>1800000</v>
      </c>
      <c r="AS71" s="2769">
        <f>50000*(2+인력계획!AS8)*12</f>
        <v>1800000</v>
      </c>
      <c r="AT71" s="2769">
        <f>50000*(2+인력계획!AT8)*12</f>
        <v>1800000</v>
      </c>
      <c r="AU71" s="2769">
        <f>50000*(2+인력계획!AU8)*12</f>
        <v>1800000</v>
      </c>
      <c r="AV71" s="2694">
        <v>0</v>
      </c>
      <c r="AW71" s="2758"/>
      <c r="AX71" s="2759"/>
      <c r="AY71" s="2774"/>
      <c r="AZ71" s="2774"/>
      <c r="BA71" s="2774"/>
      <c r="BB71" s="2774"/>
      <c r="BC71" s="2774"/>
      <c r="BD71" s="2774"/>
      <c r="BE71" s="2774"/>
      <c r="BF71" s="2774"/>
      <c r="BG71" s="2774"/>
      <c r="BI71" s="2730"/>
      <c r="BJ71" s="2730"/>
    </row>
    <row r="72" spans="1:62" ht="17.25" outlineLevel="1">
      <c r="A72" s="2767" t="s">
        <v>4087</v>
      </c>
      <c r="B72" s="2768" t="s">
        <v>4088</v>
      </c>
      <c r="C72" s="2787">
        <v>0.01</v>
      </c>
      <c r="D72" s="2764"/>
      <c r="E72" s="2804"/>
      <c r="F72" s="2769">
        <v>539390</v>
      </c>
      <c r="G72" s="2769">
        <v>683600</v>
      </c>
      <c r="H72" s="2770">
        <v>1000000</v>
      </c>
      <c r="I72" s="2770">
        <f t="shared" ref="I72:AU72" si="50">H72</f>
        <v>1000000</v>
      </c>
      <c r="J72" s="2770">
        <f t="shared" si="50"/>
        <v>1000000</v>
      </c>
      <c r="K72" s="2770">
        <f t="shared" si="50"/>
        <v>1000000</v>
      </c>
      <c r="L72" s="2770">
        <f t="shared" si="50"/>
        <v>1000000</v>
      </c>
      <c r="M72" s="2770">
        <f t="shared" si="50"/>
        <v>1000000</v>
      </c>
      <c r="N72" s="2770">
        <f t="shared" si="50"/>
        <v>1000000</v>
      </c>
      <c r="O72" s="2770">
        <f t="shared" si="50"/>
        <v>1000000</v>
      </c>
      <c r="P72" s="2770">
        <f t="shared" si="50"/>
        <v>1000000</v>
      </c>
      <c r="Q72" s="2770">
        <f t="shared" si="50"/>
        <v>1000000</v>
      </c>
      <c r="R72" s="2770">
        <f t="shared" si="50"/>
        <v>1000000</v>
      </c>
      <c r="S72" s="2770">
        <f t="shared" si="50"/>
        <v>1000000</v>
      </c>
      <c r="T72" s="2770">
        <f t="shared" si="50"/>
        <v>1000000</v>
      </c>
      <c r="U72" s="2770">
        <f t="shared" si="50"/>
        <v>1000000</v>
      </c>
      <c r="V72" s="2770">
        <f t="shared" si="50"/>
        <v>1000000</v>
      </c>
      <c r="W72" s="2770">
        <f t="shared" si="50"/>
        <v>1000000</v>
      </c>
      <c r="X72" s="2770">
        <f t="shared" si="50"/>
        <v>1000000</v>
      </c>
      <c r="Y72" s="2770">
        <f t="shared" si="50"/>
        <v>1000000</v>
      </c>
      <c r="Z72" s="2770">
        <f t="shared" si="50"/>
        <v>1000000</v>
      </c>
      <c r="AA72" s="2770">
        <f t="shared" si="50"/>
        <v>1000000</v>
      </c>
      <c r="AB72" s="2770">
        <f t="shared" si="50"/>
        <v>1000000</v>
      </c>
      <c r="AC72" s="2770">
        <f t="shared" si="50"/>
        <v>1000000</v>
      </c>
      <c r="AD72" s="2770">
        <f t="shared" si="50"/>
        <v>1000000</v>
      </c>
      <c r="AE72" s="2770">
        <f t="shared" si="50"/>
        <v>1000000</v>
      </c>
      <c r="AF72" s="2770">
        <f t="shared" si="50"/>
        <v>1000000</v>
      </c>
      <c r="AG72" s="2770">
        <f t="shared" si="50"/>
        <v>1000000</v>
      </c>
      <c r="AH72" s="2770">
        <f t="shared" si="50"/>
        <v>1000000</v>
      </c>
      <c r="AI72" s="2770">
        <f t="shared" si="50"/>
        <v>1000000</v>
      </c>
      <c r="AJ72" s="2770">
        <f t="shared" si="50"/>
        <v>1000000</v>
      </c>
      <c r="AK72" s="2770">
        <f t="shared" si="50"/>
        <v>1000000</v>
      </c>
      <c r="AL72" s="2770">
        <f t="shared" si="50"/>
        <v>1000000</v>
      </c>
      <c r="AM72" s="2770">
        <f t="shared" si="50"/>
        <v>1000000</v>
      </c>
      <c r="AN72" s="2770">
        <f t="shared" si="50"/>
        <v>1000000</v>
      </c>
      <c r="AO72" s="2770">
        <f t="shared" si="50"/>
        <v>1000000</v>
      </c>
      <c r="AP72" s="2770">
        <f t="shared" si="50"/>
        <v>1000000</v>
      </c>
      <c r="AQ72" s="2770">
        <f t="shared" si="50"/>
        <v>1000000</v>
      </c>
      <c r="AR72" s="2770">
        <f t="shared" si="50"/>
        <v>1000000</v>
      </c>
      <c r="AS72" s="2770">
        <f t="shared" si="50"/>
        <v>1000000</v>
      </c>
      <c r="AT72" s="2770">
        <f t="shared" si="50"/>
        <v>1000000</v>
      </c>
      <c r="AU72" s="2770">
        <f t="shared" si="50"/>
        <v>1000000</v>
      </c>
      <c r="AV72" s="2694">
        <v>0</v>
      </c>
      <c r="AW72" s="2771"/>
      <c r="AX72" s="2795"/>
      <c r="AY72" s="2774"/>
      <c r="AZ72" s="2774"/>
      <c r="BA72" s="2774"/>
      <c r="BB72" s="2774"/>
      <c r="BC72" s="2774"/>
      <c r="BD72" s="2774"/>
      <c r="BE72" s="2774"/>
      <c r="BF72" s="2774"/>
      <c r="BG72" s="2774"/>
      <c r="BI72" s="2730"/>
      <c r="BJ72" s="2730"/>
    </row>
    <row r="73" spans="1:62" ht="17.25" outlineLevel="1">
      <c r="A73" s="2789" t="s">
        <v>4089</v>
      </c>
      <c r="B73" s="2824"/>
      <c r="C73" s="2811"/>
      <c r="D73" s="2792">
        <v>1</v>
      </c>
      <c r="E73" s="2792"/>
      <c r="F73" s="2794">
        <f>SUM(F74,F78)</f>
        <v>99638216</v>
      </c>
      <c r="G73" s="2794">
        <f t="shared" ref="G73:AU73" si="51">SUM(G74,G78)</f>
        <v>110610353</v>
      </c>
      <c r="H73" s="2794">
        <f t="shared" si="51"/>
        <v>164647830</v>
      </c>
      <c r="I73" s="2794">
        <f t="shared" si="51"/>
        <v>167447830</v>
      </c>
      <c r="J73" s="2794">
        <f t="shared" si="51"/>
        <v>170247830</v>
      </c>
      <c r="K73" s="2794">
        <f t="shared" si="51"/>
        <v>173047830</v>
      </c>
      <c r="L73" s="2794">
        <f t="shared" si="51"/>
        <v>175847830</v>
      </c>
      <c r="M73" s="2794">
        <f t="shared" si="51"/>
        <v>178647830</v>
      </c>
      <c r="N73" s="2794">
        <f t="shared" si="51"/>
        <v>181447830</v>
      </c>
      <c r="O73" s="2794">
        <f t="shared" si="51"/>
        <v>184247830</v>
      </c>
      <c r="P73" s="2794">
        <f t="shared" si="51"/>
        <v>187047830</v>
      </c>
      <c r="Q73" s="2794">
        <f t="shared" si="51"/>
        <v>189847830</v>
      </c>
      <c r="R73" s="2794">
        <f t="shared" si="51"/>
        <v>192647830</v>
      </c>
      <c r="S73" s="2794">
        <f t="shared" si="51"/>
        <v>195447830</v>
      </c>
      <c r="T73" s="2794">
        <f t="shared" si="51"/>
        <v>198247830</v>
      </c>
      <c r="U73" s="2794">
        <f t="shared" si="51"/>
        <v>201047830</v>
      </c>
      <c r="V73" s="2794">
        <f t="shared" si="51"/>
        <v>203847830</v>
      </c>
      <c r="W73" s="2794">
        <f t="shared" si="51"/>
        <v>206647830</v>
      </c>
      <c r="X73" s="2794">
        <f t="shared" si="51"/>
        <v>209447830</v>
      </c>
      <c r="Y73" s="2794">
        <f t="shared" si="51"/>
        <v>212247830</v>
      </c>
      <c r="Z73" s="2794">
        <f t="shared" si="51"/>
        <v>215047830</v>
      </c>
      <c r="AA73" s="2794">
        <f t="shared" si="51"/>
        <v>217847830</v>
      </c>
      <c r="AB73" s="2794">
        <f t="shared" si="51"/>
        <v>220647830</v>
      </c>
      <c r="AC73" s="2794">
        <f t="shared" si="51"/>
        <v>223447830</v>
      </c>
      <c r="AD73" s="2794">
        <f t="shared" si="51"/>
        <v>226247830</v>
      </c>
      <c r="AE73" s="2794">
        <f t="shared" si="51"/>
        <v>229047830</v>
      </c>
      <c r="AF73" s="2794">
        <f t="shared" si="51"/>
        <v>231847830</v>
      </c>
      <c r="AG73" s="2794">
        <f t="shared" si="51"/>
        <v>234647830</v>
      </c>
      <c r="AH73" s="2794">
        <f t="shared" si="51"/>
        <v>237447830</v>
      </c>
      <c r="AI73" s="2794">
        <f t="shared" si="51"/>
        <v>240247830</v>
      </c>
      <c r="AJ73" s="2794">
        <f t="shared" si="51"/>
        <v>243047830</v>
      </c>
      <c r="AK73" s="2794">
        <f t="shared" si="51"/>
        <v>245847830</v>
      </c>
      <c r="AL73" s="2794">
        <f t="shared" si="51"/>
        <v>248647830</v>
      </c>
      <c r="AM73" s="2794">
        <f t="shared" si="51"/>
        <v>251447830</v>
      </c>
      <c r="AN73" s="2794">
        <f t="shared" si="51"/>
        <v>254247830</v>
      </c>
      <c r="AO73" s="2794">
        <f t="shared" si="51"/>
        <v>257047830</v>
      </c>
      <c r="AP73" s="2794">
        <f t="shared" si="51"/>
        <v>259847830</v>
      </c>
      <c r="AQ73" s="2794">
        <f t="shared" si="51"/>
        <v>262647830</v>
      </c>
      <c r="AR73" s="2794">
        <f t="shared" si="51"/>
        <v>265447830</v>
      </c>
      <c r="AS73" s="2794">
        <f t="shared" si="51"/>
        <v>268247830</v>
      </c>
      <c r="AT73" s="2794">
        <f t="shared" si="51"/>
        <v>271047830</v>
      </c>
      <c r="AU73" s="2794">
        <f t="shared" si="51"/>
        <v>273847830</v>
      </c>
      <c r="AV73" s="2694">
        <v>0</v>
      </c>
      <c r="AW73" s="2771"/>
      <c r="AX73" s="2759"/>
      <c r="AY73" s="2760"/>
      <c r="AZ73" s="2760"/>
      <c r="BA73" s="2760"/>
      <c r="BB73" s="2760"/>
      <c r="BC73" s="2760"/>
      <c r="BD73" s="2760"/>
      <c r="BE73" s="2760"/>
      <c r="BF73" s="2760"/>
      <c r="BG73" s="2760"/>
      <c r="BI73" s="2730"/>
      <c r="BJ73" s="2730"/>
    </row>
    <row r="74" spans="1:62" ht="17.25" outlineLevel="1">
      <c r="A74" s="2773" t="s">
        <v>4090</v>
      </c>
      <c r="B74" s="2825"/>
      <c r="C74" s="2763"/>
      <c r="D74" s="2764"/>
      <c r="E74" s="2764"/>
      <c r="F74" s="2765">
        <f>SUM(F75:F77)</f>
        <v>61001496</v>
      </c>
      <c r="G74" s="2765">
        <f>SUM(G75:G77)</f>
        <v>61076890</v>
      </c>
      <c r="H74" s="2765">
        <f t="shared" ref="H74:AU74" si="52">SUM(H75:H77)</f>
        <v>104647830</v>
      </c>
      <c r="I74" s="2765">
        <f t="shared" si="52"/>
        <v>106447830</v>
      </c>
      <c r="J74" s="2765">
        <f t="shared" si="52"/>
        <v>108247830</v>
      </c>
      <c r="K74" s="2765">
        <f t="shared" si="52"/>
        <v>110047830</v>
      </c>
      <c r="L74" s="2765">
        <f t="shared" si="52"/>
        <v>111847830</v>
      </c>
      <c r="M74" s="2765">
        <f t="shared" si="52"/>
        <v>113647830</v>
      </c>
      <c r="N74" s="2765">
        <f t="shared" si="52"/>
        <v>115447830</v>
      </c>
      <c r="O74" s="2765">
        <f t="shared" si="52"/>
        <v>117247830</v>
      </c>
      <c r="P74" s="2765">
        <f t="shared" si="52"/>
        <v>119047830</v>
      </c>
      <c r="Q74" s="2765">
        <f t="shared" si="52"/>
        <v>120847830</v>
      </c>
      <c r="R74" s="2765">
        <f t="shared" si="52"/>
        <v>122647830</v>
      </c>
      <c r="S74" s="2765">
        <f t="shared" si="52"/>
        <v>124447830</v>
      </c>
      <c r="T74" s="2765">
        <f t="shared" si="52"/>
        <v>126247830</v>
      </c>
      <c r="U74" s="2765">
        <f t="shared" si="52"/>
        <v>128047830</v>
      </c>
      <c r="V74" s="2765">
        <f t="shared" si="52"/>
        <v>129847830</v>
      </c>
      <c r="W74" s="2765">
        <f t="shared" si="52"/>
        <v>131647830</v>
      </c>
      <c r="X74" s="2765">
        <f t="shared" si="52"/>
        <v>133447830</v>
      </c>
      <c r="Y74" s="2765">
        <f t="shared" si="52"/>
        <v>135247830</v>
      </c>
      <c r="Z74" s="2765">
        <f t="shared" si="52"/>
        <v>137047830</v>
      </c>
      <c r="AA74" s="2765">
        <f t="shared" si="52"/>
        <v>138847830</v>
      </c>
      <c r="AB74" s="2765">
        <f t="shared" si="52"/>
        <v>140647830</v>
      </c>
      <c r="AC74" s="2765">
        <f t="shared" si="52"/>
        <v>142447830</v>
      </c>
      <c r="AD74" s="2765">
        <f t="shared" si="52"/>
        <v>144247830</v>
      </c>
      <c r="AE74" s="2765">
        <f t="shared" si="52"/>
        <v>146047830</v>
      </c>
      <c r="AF74" s="2765">
        <f t="shared" si="52"/>
        <v>147847830</v>
      </c>
      <c r="AG74" s="2765">
        <f t="shared" si="52"/>
        <v>149647830</v>
      </c>
      <c r="AH74" s="2765">
        <f t="shared" si="52"/>
        <v>151447830</v>
      </c>
      <c r="AI74" s="2765">
        <f t="shared" si="52"/>
        <v>153247830</v>
      </c>
      <c r="AJ74" s="2765">
        <f t="shared" si="52"/>
        <v>155047830</v>
      </c>
      <c r="AK74" s="2765">
        <f t="shared" si="52"/>
        <v>156847830</v>
      </c>
      <c r="AL74" s="2765">
        <f t="shared" si="52"/>
        <v>158647830</v>
      </c>
      <c r="AM74" s="2765">
        <f t="shared" si="52"/>
        <v>160447830</v>
      </c>
      <c r="AN74" s="2765">
        <f t="shared" si="52"/>
        <v>162247830</v>
      </c>
      <c r="AO74" s="2765">
        <f t="shared" si="52"/>
        <v>164047830</v>
      </c>
      <c r="AP74" s="2765">
        <f t="shared" si="52"/>
        <v>165847830</v>
      </c>
      <c r="AQ74" s="2765">
        <f t="shared" si="52"/>
        <v>167647830</v>
      </c>
      <c r="AR74" s="2765">
        <f t="shared" si="52"/>
        <v>169447830</v>
      </c>
      <c r="AS74" s="2765">
        <f t="shared" si="52"/>
        <v>171247830</v>
      </c>
      <c r="AT74" s="2765">
        <f t="shared" si="52"/>
        <v>173047830</v>
      </c>
      <c r="AU74" s="2765">
        <f t="shared" si="52"/>
        <v>174847830</v>
      </c>
      <c r="AV74" s="2694">
        <v>0</v>
      </c>
      <c r="AW74" s="2771"/>
      <c r="AX74" s="2759"/>
      <c r="AY74" s="2774"/>
      <c r="AZ74" s="2774"/>
      <c r="BA74" s="2774"/>
      <c r="BB74" s="2774"/>
      <c r="BC74" s="2774"/>
      <c r="BD74" s="2774"/>
      <c r="BE74" s="2774"/>
      <c r="BF74" s="2774"/>
      <c r="BG74" s="2774"/>
      <c r="BI74" s="2730"/>
      <c r="BJ74" s="2730"/>
    </row>
    <row r="75" spans="1:62" ht="17.25" outlineLevel="1">
      <c r="A75" s="2801" t="s">
        <v>4033</v>
      </c>
      <c r="B75" s="2803" t="s">
        <v>4091</v>
      </c>
      <c r="C75" s="2763">
        <v>1000</v>
      </c>
      <c r="D75" s="2764"/>
      <c r="E75" s="2764"/>
      <c r="F75" s="2769">
        <v>55600096</v>
      </c>
      <c r="G75" s="2769">
        <v>57937860</v>
      </c>
      <c r="H75" s="2770">
        <v>60000000</v>
      </c>
      <c r="I75" s="2770">
        <f t="shared" ref="I75:AQ75" si="53">H75+$C$75*10^3</f>
        <v>61000000</v>
      </c>
      <c r="J75" s="2770">
        <f t="shared" si="53"/>
        <v>62000000</v>
      </c>
      <c r="K75" s="2770">
        <f t="shared" si="53"/>
        <v>63000000</v>
      </c>
      <c r="L75" s="2770">
        <f t="shared" si="53"/>
        <v>64000000</v>
      </c>
      <c r="M75" s="2770">
        <f t="shared" si="53"/>
        <v>65000000</v>
      </c>
      <c r="N75" s="2770">
        <f t="shared" si="53"/>
        <v>66000000</v>
      </c>
      <c r="O75" s="2770">
        <f t="shared" si="53"/>
        <v>67000000</v>
      </c>
      <c r="P75" s="2770">
        <f t="shared" si="53"/>
        <v>68000000</v>
      </c>
      <c r="Q75" s="2770">
        <f t="shared" si="53"/>
        <v>69000000</v>
      </c>
      <c r="R75" s="2770">
        <f t="shared" si="53"/>
        <v>70000000</v>
      </c>
      <c r="S75" s="2770">
        <f t="shared" si="53"/>
        <v>71000000</v>
      </c>
      <c r="T75" s="2770">
        <f t="shared" si="53"/>
        <v>72000000</v>
      </c>
      <c r="U75" s="2770">
        <f t="shared" si="53"/>
        <v>73000000</v>
      </c>
      <c r="V75" s="2770">
        <f t="shared" si="53"/>
        <v>74000000</v>
      </c>
      <c r="W75" s="2770">
        <f t="shared" si="53"/>
        <v>75000000</v>
      </c>
      <c r="X75" s="2770">
        <f t="shared" si="53"/>
        <v>76000000</v>
      </c>
      <c r="Y75" s="2770">
        <f t="shared" si="53"/>
        <v>77000000</v>
      </c>
      <c r="Z75" s="2770">
        <f t="shared" si="53"/>
        <v>78000000</v>
      </c>
      <c r="AA75" s="2770">
        <f t="shared" si="53"/>
        <v>79000000</v>
      </c>
      <c r="AB75" s="2770">
        <f t="shared" si="53"/>
        <v>80000000</v>
      </c>
      <c r="AC75" s="2770">
        <f t="shared" si="53"/>
        <v>81000000</v>
      </c>
      <c r="AD75" s="2770">
        <f t="shared" si="53"/>
        <v>82000000</v>
      </c>
      <c r="AE75" s="2770">
        <f t="shared" si="53"/>
        <v>83000000</v>
      </c>
      <c r="AF75" s="2770">
        <f t="shared" si="53"/>
        <v>84000000</v>
      </c>
      <c r="AG75" s="2770">
        <f t="shared" si="53"/>
        <v>85000000</v>
      </c>
      <c r="AH75" s="2770">
        <f t="shared" si="53"/>
        <v>86000000</v>
      </c>
      <c r="AI75" s="2770">
        <f t="shared" si="53"/>
        <v>87000000</v>
      </c>
      <c r="AJ75" s="2770">
        <f t="shared" si="53"/>
        <v>88000000</v>
      </c>
      <c r="AK75" s="2770">
        <f t="shared" si="53"/>
        <v>89000000</v>
      </c>
      <c r="AL75" s="2770">
        <f t="shared" si="53"/>
        <v>90000000</v>
      </c>
      <c r="AM75" s="2770">
        <f t="shared" si="53"/>
        <v>91000000</v>
      </c>
      <c r="AN75" s="2770">
        <f t="shared" si="53"/>
        <v>92000000</v>
      </c>
      <c r="AO75" s="2770">
        <f t="shared" si="53"/>
        <v>93000000</v>
      </c>
      <c r="AP75" s="2770">
        <f t="shared" si="53"/>
        <v>94000000</v>
      </c>
      <c r="AQ75" s="2770">
        <f t="shared" si="53"/>
        <v>95000000</v>
      </c>
      <c r="AR75" s="2770">
        <f>AQ75+$C$75*10^3</f>
        <v>96000000</v>
      </c>
      <c r="AS75" s="2770">
        <f>AR75+$C$75*10^3</f>
        <v>97000000</v>
      </c>
      <c r="AT75" s="2770">
        <f>AS75+$C$75*10^3</f>
        <v>98000000</v>
      </c>
      <c r="AU75" s="2770">
        <f>AT75+$C$75*10^3</f>
        <v>99000000</v>
      </c>
      <c r="AV75" s="2694">
        <v>0</v>
      </c>
      <c r="AW75" s="2758"/>
      <c r="AX75" s="2759"/>
      <c r="AY75" s="2760"/>
      <c r="AZ75" s="2760"/>
      <c r="BA75" s="2760"/>
      <c r="BB75" s="2760"/>
      <c r="BC75" s="2760"/>
      <c r="BD75" s="2760"/>
      <c r="BE75" s="2760"/>
      <c r="BF75" s="2760"/>
      <c r="BG75" s="2760"/>
      <c r="BI75" s="2730"/>
      <c r="BJ75" s="2730"/>
    </row>
    <row r="76" spans="1:62" ht="17.25" outlineLevel="1">
      <c r="A76" s="2801" t="s">
        <v>4035</v>
      </c>
      <c r="B76" s="2826"/>
      <c r="C76" s="2763">
        <v>1000</v>
      </c>
      <c r="D76" s="2764"/>
      <c r="E76" s="2764"/>
      <c r="F76" s="2769">
        <v>3431800</v>
      </c>
      <c r="G76" s="2769">
        <v>591200</v>
      </c>
      <c r="H76" s="2769">
        <f>H75*70%*인력계획!H8</f>
        <v>42000000</v>
      </c>
      <c r="I76" s="2769">
        <f>I75*70%*인력계획!I8</f>
        <v>42700000</v>
      </c>
      <c r="J76" s="2769">
        <f>J75*70%*인력계획!J8</f>
        <v>43400000</v>
      </c>
      <c r="K76" s="2769">
        <f>K75*70%*인력계획!K8</f>
        <v>44100000</v>
      </c>
      <c r="L76" s="2769">
        <f>L75*70%*인력계획!L8</f>
        <v>44800000</v>
      </c>
      <c r="M76" s="2769">
        <f>M75*70%*인력계획!M8</f>
        <v>45500000</v>
      </c>
      <c r="N76" s="2769">
        <f>N75*70%*인력계획!N8</f>
        <v>46200000</v>
      </c>
      <c r="O76" s="2769">
        <f>O75*70%*인력계획!O8</f>
        <v>46900000</v>
      </c>
      <c r="P76" s="2769">
        <f>P75*70%*인력계획!P8</f>
        <v>47600000</v>
      </c>
      <c r="Q76" s="2769">
        <f>Q75*70%*인력계획!Q8</f>
        <v>48300000</v>
      </c>
      <c r="R76" s="2769">
        <f>R75*70%*인력계획!R8</f>
        <v>49000000</v>
      </c>
      <c r="S76" s="2769">
        <f>S75*70%*인력계획!S8</f>
        <v>49700000</v>
      </c>
      <c r="T76" s="2769">
        <f>T75*70%*인력계획!T8</f>
        <v>50400000</v>
      </c>
      <c r="U76" s="2769">
        <f>U75*70%*인력계획!U8</f>
        <v>51100000</v>
      </c>
      <c r="V76" s="2769">
        <f>V75*70%*인력계획!V8</f>
        <v>51800000</v>
      </c>
      <c r="W76" s="2769">
        <f>W75*70%*인력계획!W8</f>
        <v>52500000</v>
      </c>
      <c r="X76" s="2769">
        <f>X75*70%*인력계획!X8</f>
        <v>53200000</v>
      </c>
      <c r="Y76" s="2769">
        <f>Y75*70%*인력계획!Y8</f>
        <v>53900000</v>
      </c>
      <c r="Z76" s="2769">
        <f>Z75*70%*인력계획!Z8</f>
        <v>54600000</v>
      </c>
      <c r="AA76" s="2769">
        <f>AA75*70%*인력계획!AA8</f>
        <v>55300000</v>
      </c>
      <c r="AB76" s="2769">
        <f>AB75*70%*인력계획!AB8</f>
        <v>56000000</v>
      </c>
      <c r="AC76" s="2769">
        <f>AC75*70%*인력계획!AC8</f>
        <v>56700000</v>
      </c>
      <c r="AD76" s="2769">
        <f>AD75*70%*인력계획!AD8</f>
        <v>57400000</v>
      </c>
      <c r="AE76" s="2769">
        <f>AE75*70%*인력계획!AE8</f>
        <v>58100000</v>
      </c>
      <c r="AF76" s="2769">
        <f>AF75*70%*인력계획!AF8</f>
        <v>58799999.999999993</v>
      </c>
      <c r="AG76" s="2769">
        <f>AG75*70%*인력계획!AG8</f>
        <v>59499999.999999993</v>
      </c>
      <c r="AH76" s="2769">
        <f>AH75*70%*인력계획!AH8</f>
        <v>60199999.999999993</v>
      </c>
      <c r="AI76" s="2769">
        <f>AI75*70%*인력계획!AI8</f>
        <v>60899999.999999993</v>
      </c>
      <c r="AJ76" s="2769">
        <f>AJ75*70%*인력계획!AJ8</f>
        <v>61599999.999999993</v>
      </c>
      <c r="AK76" s="2769">
        <f>AK75*70%*인력계획!AK8</f>
        <v>62299999.999999993</v>
      </c>
      <c r="AL76" s="2769">
        <f>AL75*70%*인력계획!AL8</f>
        <v>62999999.999999993</v>
      </c>
      <c r="AM76" s="2769">
        <f>AM75*70%*인력계획!AM8</f>
        <v>63699999.999999993</v>
      </c>
      <c r="AN76" s="2769">
        <f>AN75*70%*인력계획!AN8</f>
        <v>64399999.999999993</v>
      </c>
      <c r="AO76" s="2769">
        <f>AO75*70%*인력계획!AO8</f>
        <v>65099999.999999993</v>
      </c>
      <c r="AP76" s="2769">
        <f>AP75*70%*인력계획!AP8</f>
        <v>65799999.999999993</v>
      </c>
      <c r="AQ76" s="2769">
        <f>AQ75*70%*인력계획!AQ8</f>
        <v>66499999.999999993</v>
      </c>
      <c r="AR76" s="2769">
        <f>AR75*70%*인력계획!AR8</f>
        <v>67200000</v>
      </c>
      <c r="AS76" s="2769">
        <f>AS75*70%*인력계획!AS8</f>
        <v>67900000</v>
      </c>
      <c r="AT76" s="2769">
        <f>AT75*70%*인력계획!AT8</f>
        <v>68600000</v>
      </c>
      <c r="AU76" s="2769">
        <f>AU75*70%*인력계획!AU8</f>
        <v>69300000</v>
      </c>
      <c r="AV76" s="2694">
        <v>0</v>
      </c>
      <c r="AW76" s="2771"/>
      <c r="AX76" s="2759"/>
      <c r="AY76" s="2760"/>
      <c r="AZ76" s="2760"/>
      <c r="BA76" s="2760"/>
      <c r="BB76" s="2760"/>
      <c r="BC76" s="2760"/>
      <c r="BD76" s="2760"/>
      <c r="BE76" s="2760"/>
      <c r="BF76" s="2760"/>
      <c r="BG76" s="2760"/>
      <c r="BI76" s="2730"/>
      <c r="BJ76" s="2730"/>
    </row>
    <row r="77" spans="1:62" ht="17.25" outlineLevel="1">
      <c r="A77" s="2801" t="s">
        <v>4056</v>
      </c>
      <c r="B77" s="2826" t="s">
        <v>4092</v>
      </c>
      <c r="C77" s="2763">
        <v>100</v>
      </c>
      <c r="D77" s="2764"/>
      <c r="E77" s="2764"/>
      <c r="F77" s="2769">
        <v>1969600</v>
      </c>
      <c r="G77" s="2769">
        <v>2547830</v>
      </c>
      <c r="H77" s="2770">
        <f t="shared" ref="H77:AQ77" si="54">G77+$C$77*10^3</f>
        <v>2647830</v>
      </c>
      <c r="I77" s="2770">
        <f t="shared" si="54"/>
        <v>2747830</v>
      </c>
      <c r="J77" s="2770">
        <f t="shared" si="54"/>
        <v>2847830</v>
      </c>
      <c r="K77" s="2770">
        <f t="shared" si="54"/>
        <v>2947830</v>
      </c>
      <c r="L77" s="2770">
        <f t="shared" si="54"/>
        <v>3047830</v>
      </c>
      <c r="M77" s="2770">
        <f t="shared" si="54"/>
        <v>3147830</v>
      </c>
      <c r="N77" s="2770">
        <f t="shared" si="54"/>
        <v>3247830</v>
      </c>
      <c r="O77" s="2770">
        <f t="shared" si="54"/>
        <v>3347830</v>
      </c>
      <c r="P77" s="2770">
        <f t="shared" si="54"/>
        <v>3447830</v>
      </c>
      <c r="Q77" s="2770">
        <f t="shared" si="54"/>
        <v>3547830</v>
      </c>
      <c r="R77" s="2770">
        <f t="shared" si="54"/>
        <v>3647830</v>
      </c>
      <c r="S77" s="2770">
        <f t="shared" si="54"/>
        <v>3747830</v>
      </c>
      <c r="T77" s="2770">
        <f t="shared" si="54"/>
        <v>3847830</v>
      </c>
      <c r="U77" s="2770">
        <f t="shared" si="54"/>
        <v>3947830</v>
      </c>
      <c r="V77" s="2770">
        <f t="shared" si="54"/>
        <v>4047830</v>
      </c>
      <c r="W77" s="2770">
        <f t="shared" si="54"/>
        <v>4147830</v>
      </c>
      <c r="X77" s="2770">
        <f t="shared" si="54"/>
        <v>4247830</v>
      </c>
      <c r="Y77" s="2770">
        <f t="shared" si="54"/>
        <v>4347830</v>
      </c>
      <c r="Z77" s="2770">
        <f t="shared" si="54"/>
        <v>4447830</v>
      </c>
      <c r="AA77" s="2770">
        <f t="shared" si="54"/>
        <v>4547830</v>
      </c>
      <c r="AB77" s="2770">
        <f t="shared" si="54"/>
        <v>4647830</v>
      </c>
      <c r="AC77" s="2770">
        <f t="shared" si="54"/>
        <v>4747830</v>
      </c>
      <c r="AD77" s="2770">
        <f t="shared" si="54"/>
        <v>4847830</v>
      </c>
      <c r="AE77" s="2770">
        <f t="shared" si="54"/>
        <v>4947830</v>
      </c>
      <c r="AF77" s="2770">
        <f t="shared" si="54"/>
        <v>5047830</v>
      </c>
      <c r="AG77" s="2770">
        <f t="shared" si="54"/>
        <v>5147830</v>
      </c>
      <c r="AH77" s="2770">
        <f t="shared" si="54"/>
        <v>5247830</v>
      </c>
      <c r="AI77" s="2770">
        <f t="shared" si="54"/>
        <v>5347830</v>
      </c>
      <c r="AJ77" s="2770">
        <f t="shared" si="54"/>
        <v>5447830</v>
      </c>
      <c r="AK77" s="2770">
        <f t="shared" si="54"/>
        <v>5547830</v>
      </c>
      <c r="AL77" s="2770">
        <f t="shared" si="54"/>
        <v>5647830</v>
      </c>
      <c r="AM77" s="2770">
        <f t="shared" si="54"/>
        <v>5747830</v>
      </c>
      <c r="AN77" s="2770">
        <f t="shared" si="54"/>
        <v>5847830</v>
      </c>
      <c r="AO77" s="2770">
        <f t="shared" si="54"/>
        <v>5947830</v>
      </c>
      <c r="AP77" s="2770">
        <f t="shared" si="54"/>
        <v>6047830</v>
      </c>
      <c r="AQ77" s="2770">
        <f t="shared" si="54"/>
        <v>6147830</v>
      </c>
      <c r="AR77" s="2770">
        <f>AQ77+$C$77*10^3</f>
        <v>6247830</v>
      </c>
      <c r="AS77" s="2770">
        <f>AR77+$C$77*10^3</f>
        <v>6347830</v>
      </c>
      <c r="AT77" s="2770">
        <f>AS77+$C$77*10^3</f>
        <v>6447830</v>
      </c>
      <c r="AU77" s="2770">
        <f>AT77+$C$77*10^3</f>
        <v>6547830</v>
      </c>
      <c r="AV77" s="2694">
        <v>0</v>
      </c>
      <c r="AW77" s="2809"/>
      <c r="AX77" s="2759"/>
      <c r="AY77" s="2760"/>
      <c r="AZ77" s="2760"/>
      <c r="BA77" s="2760"/>
      <c r="BB77" s="2760"/>
      <c r="BC77" s="2760"/>
      <c r="BD77" s="2760"/>
      <c r="BE77" s="2760"/>
      <c r="BF77" s="2760"/>
      <c r="BG77" s="2760"/>
      <c r="BI77" s="2730"/>
      <c r="BJ77" s="2730"/>
    </row>
    <row r="78" spans="1:62" ht="17.25" outlineLevel="1">
      <c r="A78" s="2773" t="s">
        <v>4093</v>
      </c>
      <c r="B78" s="2803"/>
      <c r="C78" s="2763">
        <v>1000</v>
      </c>
      <c r="D78" s="2764"/>
      <c r="E78" s="2764"/>
      <c r="F78" s="2765">
        <v>38636720</v>
      </c>
      <c r="G78" s="2765">
        <v>49533463</v>
      </c>
      <c r="H78" s="2766">
        <v>60000000</v>
      </c>
      <c r="I78" s="2766">
        <f t="shared" ref="I78:AQ78" si="55">H78+$C$78*10^3</f>
        <v>61000000</v>
      </c>
      <c r="J78" s="2766">
        <f t="shared" si="55"/>
        <v>62000000</v>
      </c>
      <c r="K78" s="2766">
        <f t="shared" si="55"/>
        <v>63000000</v>
      </c>
      <c r="L78" s="2766">
        <f t="shared" si="55"/>
        <v>64000000</v>
      </c>
      <c r="M78" s="2766">
        <f t="shared" si="55"/>
        <v>65000000</v>
      </c>
      <c r="N78" s="2766">
        <f t="shared" si="55"/>
        <v>66000000</v>
      </c>
      <c r="O78" s="2766">
        <f t="shared" si="55"/>
        <v>67000000</v>
      </c>
      <c r="P78" s="2766">
        <f t="shared" si="55"/>
        <v>68000000</v>
      </c>
      <c r="Q78" s="2766">
        <f t="shared" si="55"/>
        <v>69000000</v>
      </c>
      <c r="R78" s="2766">
        <f t="shared" si="55"/>
        <v>70000000</v>
      </c>
      <c r="S78" s="2766">
        <f t="shared" si="55"/>
        <v>71000000</v>
      </c>
      <c r="T78" s="2766">
        <f t="shared" si="55"/>
        <v>72000000</v>
      </c>
      <c r="U78" s="2766">
        <f t="shared" si="55"/>
        <v>73000000</v>
      </c>
      <c r="V78" s="2766">
        <f t="shared" si="55"/>
        <v>74000000</v>
      </c>
      <c r="W78" s="2766">
        <f t="shared" si="55"/>
        <v>75000000</v>
      </c>
      <c r="X78" s="2766">
        <f t="shared" si="55"/>
        <v>76000000</v>
      </c>
      <c r="Y78" s="2766">
        <f t="shared" si="55"/>
        <v>77000000</v>
      </c>
      <c r="Z78" s="2766">
        <f t="shared" si="55"/>
        <v>78000000</v>
      </c>
      <c r="AA78" s="2766">
        <f t="shared" si="55"/>
        <v>79000000</v>
      </c>
      <c r="AB78" s="2766">
        <f t="shared" si="55"/>
        <v>80000000</v>
      </c>
      <c r="AC78" s="2766">
        <f t="shared" si="55"/>
        <v>81000000</v>
      </c>
      <c r="AD78" s="2766">
        <f t="shared" si="55"/>
        <v>82000000</v>
      </c>
      <c r="AE78" s="2766">
        <f t="shared" si="55"/>
        <v>83000000</v>
      </c>
      <c r="AF78" s="2766">
        <f t="shared" si="55"/>
        <v>84000000</v>
      </c>
      <c r="AG78" s="2766">
        <f t="shared" si="55"/>
        <v>85000000</v>
      </c>
      <c r="AH78" s="2766">
        <f t="shared" si="55"/>
        <v>86000000</v>
      </c>
      <c r="AI78" s="2766">
        <f t="shared" si="55"/>
        <v>87000000</v>
      </c>
      <c r="AJ78" s="2766">
        <f t="shared" si="55"/>
        <v>88000000</v>
      </c>
      <c r="AK78" s="2766">
        <f t="shared" si="55"/>
        <v>89000000</v>
      </c>
      <c r="AL78" s="2766">
        <f t="shared" si="55"/>
        <v>90000000</v>
      </c>
      <c r="AM78" s="2766">
        <f t="shared" si="55"/>
        <v>91000000</v>
      </c>
      <c r="AN78" s="2766">
        <f t="shared" si="55"/>
        <v>92000000</v>
      </c>
      <c r="AO78" s="2766">
        <f t="shared" si="55"/>
        <v>93000000</v>
      </c>
      <c r="AP78" s="2766">
        <f t="shared" si="55"/>
        <v>94000000</v>
      </c>
      <c r="AQ78" s="2766">
        <f t="shared" si="55"/>
        <v>95000000</v>
      </c>
      <c r="AR78" s="2766">
        <f>AQ78+$C$78*10^3</f>
        <v>96000000</v>
      </c>
      <c r="AS78" s="2766">
        <f>AR78+$C$78*10^3</f>
        <v>97000000</v>
      </c>
      <c r="AT78" s="2766">
        <f>AS78+$C$78*10^3</f>
        <v>98000000</v>
      </c>
      <c r="AU78" s="2766">
        <f>AT78+$C$78*10^3</f>
        <v>99000000</v>
      </c>
      <c r="AV78" s="2694">
        <v>0</v>
      </c>
      <c r="AW78" s="2809"/>
      <c r="AX78" s="2759"/>
      <c r="AY78" s="2774"/>
      <c r="AZ78" s="2774"/>
      <c r="BA78" s="2774"/>
      <c r="BB78" s="2774"/>
      <c r="BC78" s="2774"/>
      <c r="BD78" s="2774"/>
      <c r="BE78" s="2774"/>
      <c r="BF78" s="2774"/>
      <c r="BG78" s="2774"/>
      <c r="BI78" s="2730"/>
      <c r="BJ78" s="2730"/>
    </row>
    <row r="79" spans="1:62" ht="17.25" outlineLevel="1">
      <c r="A79" s="2823" t="s">
        <v>4094</v>
      </c>
      <c r="B79" s="2827"/>
      <c r="C79" s="2791">
        <v>0.01</v>
      </c>
      <c r="D79" s="2792">
        <v>1</v>
      </c>
      <c r="E79" s="2793"/>
      <c r="F79" s="2794">
        <f>SUM(F80:F82)</f>
        <v>2786770</v>
      </c>
      <c r="G79" s="2794">
        <f t="shared" ref="G79:AU79" si="56">SUM(G80:G82)</f>
        <v>1927700</v>
      </c>
      <c r="H79" s="2794">
        <f t="shared" si="56"/>
        <v>1946977</v>
      </c>
      <c r="I79" s="2794">
        <f t="shared" si="56"/>
        <v>1966446.77</v>
      </c>
      <c r="J79" s="2794">
        <f t="shared" si="56"/>
        <v>1986111.2377000002</v>
      </c>
      <c r="K79" s="2794">
        <f t="shared" si="56"/>
        <v>2005972.3500770002</v>
      </c>
      <c r="L79" s="2794">
        <f t="shared" si="56"/>
        <v>2026032.07357777</v>
      </c>
      <c r="M79" s="2794">
        <f t="shared" si="56"/>
        <v>2046292.3943135478</v>
      </c>
      <c r="N79" s="2794">
        <f t="shared" si="56"/>
        <v>2066755.3182566832</v>
      </c>
      <c r="O79" s="2794">
        <f t="shared" si="56"/>
        <v>2087422.87143925</v>
      </c>
      <c r="P79" s="2794">
        <f t="shared" si="56"/>
        <v>2108297.1001536427</v>
      </c>
      <c r="Q79" s="2794">
        <f t="shared" si="56"/>
        <v>2129380.0711551788</v>
      </c>
      <c r="R79" s="2794">
        <f t="shared" si="56"/>
        <v>2150673.8718667305</v>
      </c>
      <c r="S79" s="2794">
        <f t="shared" si="56"/>
        <v>2172180.610585398</v>
      </c>
      <c r="T79" s="2794">
        <f t="shared" si="56"/>
        <v>2193902.416691252</v>
      </c>
      <c r="U79" s="2794">
        <f t="shared" si="56"/>
        <v>2215841.4408581643</v>
      </c>
      <c r="V79" s="2794">
        <f t="shared" si="56"/>
        <v>2237999.8552667457</v>
      </c>
      <c r="W79" s="2794">
        <f t="shared" si="56"/>
        <v>2260379.8538194131</v>
      </c>
      <c r="X79" s="2794">
        <f t="shared" si="56"/>
        <v>2282983.6523576076</v>
      </c>
      <c r="Y79" s="2794">
        <f t="shared" si="56"/>
        <v>2305813.4888811838</v>
      </c>
      <c r="Z79" s="2794">
        <f t="shared" si="56"/>
        <v>2328871.6237699958</v>
      </c>
      <c r="AA79" s="2794">
        <f t="shared" si="56"/>
        <v>2352160.3400076958</v>
      </c>
      <c r="AB79" s="2794">
        <f t="shared" si="56"/>
        <v>2375681.9434077726</v>
      </c>
      <c r="AC79" s="2794">
        <f t="shared" si="56"/>
        <v>2399438.7628418501</v>
      </c>
      <c r="AD79" s="2794">
        <f t="shared" si="56"/>
        <v>2423433.1504702689</v>
      </c>
      <c r="AE79" s="2794">
        <f t="shared" si="56"/>
        <v>2447667.4819749715</v>
      </c>
      <c r="AF79" s="2794">
        <f t="shared" si="56"/>
        <v>2472144.1567947217</v>
      </c>
      <c r="AG79" s="2794">
        <f t="shared" si="56"/>
        <v>2496865.5983626689</v>
      </c>
      <c r="AH79" s="2794">
        <f t="shared" si="56"/>
        <v>2521834.2543462957</v>
      </c>
      <c r="AI79" s="2794">
        <f t="shared" si="56"/>
        <v>2547052.5968897585</v>
      </c>
      <c r="AJ79" s="2794">
        <f t="shared" si="56"/>
        <v>2572523.1228586566</v>
      </c>
      <c r="AK79" s="2794">
        <f t="shared" si="56"/>
        <v>2598248.3540872429</v>
      </c>
      <c r="AL79" s="2794">
        <f t="shared" si="56"/>
        <v>2624230.8376281154</v>
      </c>
      <c r="AM79" s="2794">
        <f t="shared" si="56"/>
        <v>2650473.146004397</v>
      </c>
      <c r="AN79" s="2794">
        <f t="shared" si="56"/>
        <v>2676977.8774644407</v>
      </c>
      <c r="AO79" s="2794">
        <f t="shared" si="56"/>
        <v>2703747.6562390854</v>
      </c>
      <c r="AP79" s="2794">
        <f t="shared" si="56"/>
        <v>2730785.1328014759</v>
      </c>
      <c r="AQ79" s="2794">
        <f t="shared" si="56"/>
        <v>2758092.9841294908</v>
      </c>
      <c r="AR79" s="2794">
        <f t="shared" si="56"/>
        <v>2785673.9139707857</v>
      </c>
      <c r="AS79" s="2794">
        <f t="shared" si="56"/>
        <v>2813530.6531104934</v>
      </c>
      <c r="AT79" s="2794">
        <f t="shared" si="56"/>
        <v>2841665.9596415982</v>
      </c>
      <c r="AU79" s="2794">
        <f t="shared" si="56"/>
        <v>2870082.6192380139</v>
      </c>
      <c r="AV79" s="2694">
        <v>0</v>
      </c>
      <c r="AW79" s="2828"/>
      <c r="AX79" s="2795"/>
      <c r="AY79" s="2760"/>
      <c r="AZ79" s="2760"/>
      <c r="BA79" s="2760"/>
      <c r="BB79" s="2760"/>
      <c r="BC79" s="2760"/>
      <c r="BD79" s="2760"/>
      <c r="BE79" s="2760"/>
      <c r="BF79" s="2760"/>
      <c r="BG79" s="2760"/>
      <c r="BI79" s="2730"/>
      <c r="BJ79" s="2730"/>
    </row>
    <row r="80" spans="1:62" ht="17.25" outlineLevel="1">
      <c r="A80" s="2767" t="s">
        <v>4095</v>
      </c>
      <c r="B80" s="2826"/>
      <c r="C80" s="2763"/>
      <c r="D80" s="2764"/>
      <c r="E80" s="2764"/>
      <c r="F80" s="2769"/>
      <c r="G80" s="2770"/>
      <c r="H80" s="2770"/>
      <c r="I80" s="2770"/>
      <c r="J80" s="2770"/>
      <c r="K80" s="2770"/>
      <c r="L80" s="2770"/>
      <c r="M80" s="2770"/>
      <c r="N80" s="2770"/>
      <c r="O80" s="2770"/>
      <c r="P80" s="2770"/>
      <c r="Q80" s="2770"/>
      <c r="R80" s="2770"/>
      <c r="S80" s="2770"/>
      <c r="T80" s="2770"/>
      <c r="U80" s="2770"/>
      <c r="V80" s="2770"/>
      <c r="W80" s="2770"/>
      <c r="X80" s="2770"/>
      <c r="Y80" s="2770"/>
      <c r="Z80" s="2770"/>
      <c r="AA80" s="2770"/>
      <c r="AB80" s="2770"/>
      <c r="AC80" s="2770"/>
      <c r="AD80" s="2770"/>
      <c r="AE80" s="2770"/>
      <c r="AF80" s="2770"/>
      <c r="AG80" s="2770"/>
      <c r="AH80" s="2770"/>
      <c r="AI80" s="2770"/>
      <c r="AJ80" s="2770"/>
      <c r="AK80" s="2770"/>
      <c r="AL80" s="2770"/>
      <c r="AM80" s="2770"/>
      <c r="AN80" s="2770"/>
      <c r="AO80" s="2770"/>
      <c r="AP80" s="2770"/>
      <c r="AQ80" s="2770"/>
      <c r="AR80" s="2770"/>
      <c r="AS80" s="2770"/>
      <c r="AT80" s="2770"/>
      <c r="AU80" s="2770"/>
      <c r="AV80" s="2694">
        <v>0</v>
      </c>
      <c r="AW80" s="2799"/>
      <c r="AX80" s="2759"/>
      <c r="AY80" s="2760"/>
      <c r="AZ80" s="2760"/>
      <c r="BA80" s="2760"/>
      <c r="BB80" s="2760"/>
      <c r="BC80" s="2760"/>
      <c r="BD80" s="2760"/>
      <c r="BE80" s="2760"/>
      <c r="BF80" s="2760"/>
      <c r="BG80" s="2760"/>
      <c r="BI80" s="2730"/>
      <c r="BJ80" s="2730"/>
    </row>
    <row r="81" spans="1:62" ht="17.25" outlineLevel="1">
      <c r="A81" s="2767" t="s">
        <v>4096</v>
      </c>
      <c r="B81" s="2803" t="s">
        <v>4097</v>
      </c>
      <c r="C81" s="2763"/>
      <c r="D81" s="2764"/>
      <c r="E81" s="2764"/>
      <c r="F81" s="2769">
        <v>633770</v>
      </c>
      <c r="G81" s="2769">
        <v>100000</v>
      </c>
      <c r="H81" s="2770">
        <f t="shared" ref="H81:W82" si="57">G81*(1+$C$79)</f>
        <v>101000</v>
      </c>
      <c r="I81" s="2770">
        <f t="shared" si="57"/>
        <v>102010</v>
      </c>
      <c r="J81" s="2770">
        <f t="shared" si="57"/>
        <v>103030.1</v>
      </c>
      <c r="K81" s="2770">
        <f t="shared" si="57"/>
        <v>104060.40100000001</v>
      </c>
      <c r="L81" s="2770">
        <f t="shared" si="57"/>
        <v>105101.00501000001</v>
      </c>
      <c r="M81" s="2770">
        <f t="shared" si="57"/>
        <v>106152.01506010001</v>
      </c>
      <c r="N81" s="2770">
        <f t="shared" si="57"/>
        <v>107213.53521070101</v>
      </c>
      <c r="O81" s="2770">
        <f t="shared" si="57"/>
        <v>108285.67056280802</v>
      </c>
      <c r="P81" s="2770">
        <f t="shared" si="57"/>
        <v>109368.52726843611</v>
      </c>
      <c r="Q81" s="2770">
        <f t="shared" si="57"/>
        <v>110462.21254112048</v>
      </c>
      <c r="R81" s="2770">
        <f t="shared" si="57"/>
        <v>111566.83466653168</v>
      </c>
      <c r="S81" s="2770">
        <f t="shared" si="57"/>
        <v>112682.503013197</v>
      </c>
      <c r="T81" s="2770">
        <f t="shared" si="57"/>
        <v>113809.32804332896</v>
      </c>
      <c r="U81" s="2770">
        <f t="shared" si="57"/>
        <v>114947.42132376225</v>
      </c>
      <c r="V81" s="2770">
        <f t="shared" si="57"/>
        <v>116096.89553699987</v>
      </c>
      <c r="W81" s="2770">
        <f t="shared" si="57"/>
        <v>117257.86449236987</v>
      </c>
      <c r="X81" s="2770">
        <f t="shared" ref="X81:AM82" si="58">W81*(1+$C$79)</f>
        <v>118430.44313729358</v>
      </c>
      <c r="Y81" s="2770">
        <f t="shared" si="58"/>
        <v>119614.74756866651</v>
      </c>
      <c r="Z81" s="2770">
        <f t="shared" si="58"/>
        <v>120810.89504435318</v>
      </c>
      <c r="AA81" s="2770">
        <f t="shared" si="58"/>
        <v>122019.00399479672</v>
      </c>
      <c r="AB81" s="2770">
        <f t="shared" si="58"/>
        <v>123239.19403474468</v>
      </c>
      <c r="AC81" s="2770">
        <f t="shared" si="58"/>
        <v>124471.58597509212</v>
      </c>
      <c r="AD81" s="2770">
        <f t="shared" si="58"/>
        <v>125716.30183484305</v>
      </c>
      <c r="AE81" s="2770">
        <f t="shared" si="58"/>
        <v>126973.46485319149</v>
      </c>
      <c r="AF81" s="2770">
        <f t="shared" si="58"/>
        <v>128243.1995017234</v>
      </c>
      <c r="AG81" s="2770">
        <f t="shared" si="58"/>
        <v>129525.63149674064</v>
      </c>
      <c r="AH81" s="2770">
        <f t="shared" si="58"/>
        <v>130820.88781170805</v>
      </c>
      <c r="AI81" s="2770">
        <f t="shared" si="58"/>
        <v>132129.09668982512</v>
      </c>
      <c r="AJ81" s="2770">
        <f t="shared" si="58"/>
        <v>133450.38765672338</v>
      </c>
      <c r="AK81" s="2770">
        <f t="shared" si="58"/>
        <v>134784.89153329062</v>
      </c>
      <c r="AL81" s="2770">
        <f t="shared" si="58"/>
        <v>136132.74044862352</v>
      </c>
      <c r="AM81" s="2770">
        <f t="shared" si="58"/>
        <v>137494.06785310977</v>
      </c>
      <c r="AN81" s="2770">
        <f t="shared" ref="AN81:AU82" si="59">AM81*(1+$C$79)</f>
        <v>138869.00853164087</v>
      </c>
      <c r="AO81" s="2770">
        <f t="shared" si="59"/>
        <v>140257.69861695726</v>
      </c>
      <c r="AP81" s="2770">
        <f t="shared" si="59"/>
        <v>141660.27560312685</v>
      </c>
      <c r="AQ81" s="2770">
        <f t="shared" si="59"/>
        <v>143076.87835915812</v>
      </c>
      <c r="AR81" s="2770">
        <f t="shared" si="59"/>
        <v>144507.64714274969</v>
      </c>
      <c r="AS81" s="2770">
        <f t="shared" si="59"/>
        <v>145952.72361417717</v>
      </c>
      <c r="AT81" s="2770">
        <f t="shared" si="59"/>
        <v>147412.25085031893</v>
      </c>
      <c r="AU81" s="2770">
        <f t="shared" si="59"/>
        <v>148886.37335882211</v>
      </c>
      <c r="AV81" s="2694">
        <v>0</v>
      </c>
      <c r="AW81" s="2809"/>
      <c r="AX81" s="2759"/>
      <c r="AY81" s="2760"/>
      <c r="AZ81" s="2760"/>
      <c r="BA81" s="2760"/>
      <c r="BB81" s="2760"/>
      <c r="BC81" s="2760"/>
      <c r="BD81" s="2760"/>
      <c r="BE81" s="2760"/>
      <c r="BF81" s="2760"/>
      <c r="BG81" s="2760"/>
      <c r="BI81" s="2730"/>
      <c r="BJ81" s="2730"/>
    </row>
    <row r="82" spans="1:62" ht="17.25" outlineLevel="1">
      <c r="A82" s="2767" t="s">
        <v>4098</v>
      </c>
      <c r="B82" s="2826" t="s">
        <v>4099</v>
      </c>
      <c r="C82" s="2763"/>
      <c r="D82" s="2764"/>
      <c r="E82" s="2764"/>
      <c r="F82" s="2769">
        <v>2153000</v>
      </c>
      <c r="G82" s="2770">
        <v>1827700</v>
      </c>
      <c r="H82" s="2770">
        <f t="shared" si="57"/>
        <v>1845977</v>
      </c>
      <c r="I82" s="2770">
        <f t="shared" si="57"/>
        <v>1864436.77</v>
      </c>
      <c r="J82" s="2770">
        <f t="shared" si="57"/>
        <v>1883081.1377000001</v>
      </c>
      <c r="K82" s="2770">
        <f t="shared" si="57"/>
        <v>1901911.9490770001</v>
      </c>
      <c r="L82" s="2770">
        <f t="shared" si="57"/>
        <v>1920931.0685677701</v>
      </c>
      <c r="M82" s="2770">
        <f t="shared" si="57"/>
        <v>1940140.3792534478</v>
      </c>
      <c r="N82" s="2770">
        <f t="shared" si="57"/>
        <v>1959541.7830459822</v>
      </c>
      <c r="O82" s="2770">
        <f t="shared" si="57"/>
        <v>1979137.200876442</v>
      </c>
      <c r="P82" s="2770">
        <f t="shared" si="57"/>
        <v>1998928.5728852064</v>
      </c>
      <c r="Q82" s="2770">
        <f t="shared" si="57"/>
        <v>2018917.8586140585</v>
      </c>
      <c r="R82" s="2770">
        <f t="shared" si="57"/>
        <v>2039107.037200199</v>
      </c>
      <c r="S82" s="2770">
        <f t="shared" si="57"/>
        <v>2059498.1075722009</v>
      </c>
      <c r="T82" s="2770">
        <f t="shared" si="57"/>
        <v>2080093.088647923</v>
      </c>
      <c r="U82" s="2770">
        <f t="shared" si="57"/>
        <v>2100894.0195344021</v>
      </c>
      <c r="V82" s="2770">
        <f t="shared" si="57"/>
        <v>2121902.959729746</v>
      </c>
      <c r="W82" s="2770">
        <f t="shared" si="57"/>
        <v>2143121.9893270433</v>
      </c>
      <c r="X82" s="2770">
        <f t="shared" si="58"/>
        <v>2164553.2092203139</v>
      </c>
      <c r="Y82" s="2770">
        <f t="shared" si="58"/>
        <v>2186198.7413125173</v>
      </c>
      <c r="Z82" s="2770">
        <f t="shared" si="58"/>
        <v>2208060.7287256424</v>
      </c>
      <c r="AA82" s="2770">
        <f t="shared" si="58"/>
        <v>2230141.3360128989</v>
      </c>
      <c r="AB82" s="2770">
        <f t="shared" si="58"/>
        <v>2252442.7493730281</v>
      </c>
      <c r="AC82" s="2770">
        <f t="shared" si="58"/>
        <v>2274967.1768667581</v>
      </c>
      <c r="AD82" s="2770">
        <f t="shared" si="58"/>
        <v>2297716.8486354258</v>
      </c>
      <c r="AE82" s="2770">
        <f t="shared" si="58"/>
        <v>2320694.0171217802</v>
      </c>
      <c r="AF82" s="2770">
        <f t="shared" si="58"/>
        <v>2343900.9572929982</v>
      </c>
      <c r="AG82" s="2770">
        <f t="shared" si="58"/>
        <v>2367339.9668659284</v>
      </c>
      <c r="AH82" s="2770">
        <f t="shared" si="58"/>
        <v>2391013.3665345875</v>
      </c>
      <c r="AI82" s="2770">
        <f t="shared" si="58"/>
        <v>2414923.5001999335</v>
      </c>
      <c r="AJ82" s="2770">
        <f t="shared" si="58"/>
        <v>2439072.735201933</v>
      </c>
      <c r="AK82" s="2770">
        <f t="shared" si="58"/>
        <v>2463463.4625539524</v>
      </c>
      <c r="AL82" s="2770">
        <f t="shared" si="58"/>
        <v>2488098.097179492</v>
      </c>
      <c r="AM82" s="2770">
        <f t="shared" si="58"/>
        <v>2512979.078151287</v>
      </c>
      <c r="AN82" s="2770">
        <f t="shared" si="59"/>
        <v>2538108.8689327999</v>
      </c>
      <c r="AO82" s="2770">
        <f t="shared" si="59"/>
        <v>2563489.9576221281</v>
      </c>
      <c r="AP82" s="2770">
        <f t="shared" si="59"/>
        <v>2589124.8571983492</v>
      </c>
      <c r="AQ82" s="2770">
        <f t="shared" si="59"/>
        <v>2615016.1057703327</v>
      </c>
      <c r="AR82" s="2770">
        <f t="shared" si="59"/>
        <v>2641166.2668280359</v>
      </c>
      <c r="AS82" s="2770">
        <f t="shared" si="59"/>
        <v>2667577.9294963162</v>
      </c>
      <c r="AT82" s="2770">
        <f t="shared" si="59"/>
        <v>2694253.7087912792</v>
      </c>
      <c r="AU82" s="2770">
        <f t="shared" si="59"/>
        <v>2721196.2458791919</v>
      </c>
      <c r="AV82" s="2694">
        <v>0</v>
      </c>
      <c r="AW82" s="2771"/>
      <c r="AX82" s="2759"/>
      <c r="AY82" s="2760"/>
      <c r="AZ82" s="2760"/>
      <c r="BA82" s="2760"/>
      <c r="BB82" s="2760"/>
      <c r="BC82" s="2760"/>
      <c r="BD82" s="2760"/>
      <c r="BE82" s="2760"/>
      <c r="BF82" s="2760"/>
      <c r="BG82" s="2760"/>
      <c r="BI82" s="2730"/>
      <c r="BJ82" s="2730"/>
    </row>
    <row r="83" spans="1:62" ht="17.25" outlineLevel="1">
      <c r="A83" s="2823" t="s">
        <v>4100</v>
      </c>
      <c r="B83" s="2824"/>
      <c r="C83" s="2791">
        <v>0.01</v>
      </c>
      <c r="D83" s="2792">
        <v>1</v>
      </c>
      <c r="E83" s="2793"/>
      <c r="F83" s="2794">
        <f>SUM(F84:F86)</f>
        <v>883000</v>
      </c>
      <c r="G83" s="2794">
        <f t="shared" ref="G83:AU83" si="60">SUM(G84:G86)</f>
        <v>864060</v>
      </c>
      <c r="H83" s="2794">
        <f t="shared" si="60"/>
        <v>7200000</v>
      </c>
      <c r="I83" s="2794">
        <f t="shared" si="60"/>
        <v>7272000</v>
      </c>
      <c r="J83" s="2794">
        <f t="shared" si="60"/>
        <v>7344720</v>
      </c>
      <c r="K83" s="2794">
        <f t="shared" si="60"/>
        <v>7418167.1999999993</v>
      </c>
      <c r="L83" s="2794">
        <f t="shared" si="60"/>
        <v>7492348.8719999995</v>
      </c>
      <c r="M83" s="2794">
        <f t="shared" si="60"/>
        <v>7567272.3607200002</v>
      </c>
      <c r="N83" s="2794">
        <f t="shared" si="60"/>
        <v>7642945.0843271995</v>
      </c>
      <c r="O83" s="2794">
        <f t="shared" si="60"/>
        <v>7719374.5351704713</v>
      </c>
      <c r="P83" s="2794">
        <f t="shared" si="60"/>
        <v>7796568.280522177</v>
      </c>
      <c r="Q83" s="2794">
        <f t="shared" si="60"/>
        <v>7874533.9633273985</v>
      </c>
      <c r="R83" s="2794">
        <f t="shared" si="60"/>
        <v>7953279.3029606733</v>
      </c>
      <c r="S83" s="2794">
        <f t="shared" si="60"/>
        <v>8032812.0959902806</v>
      </c>
      <c r="T83" s="2794">
        <f t="shared" si="60"/>
        <v>8113140.2169501819</v>
      </c>
      <c r="U83" s="2794">
        <f t="shared" si="60"/>
        <v>8194271.6191196851</v>
      </c>
      <c r="V83" s="2794">
        <f t="shared" si="60"/>
        <v>8276214.335310881</v>
      </c>
      <c r="W83" s="2794">
        <f t="shared" si="60"/>
        <v>8358976.4786639903</v>
      </c>
      <c r="X83" s="2794">
        <f t="shared" si="60"/>
        <v>8442566.2434506286</v>
      </c>
      <c r="Y83" s="2794">
        <f t="shared" si="60"/>
        <v>8526991.9058851358</v>
      </c>
      <c r="Z83" s="2794">
        <f t="shared" si="60"/>
        <v>8612261.8249439877</v>
      </c>
      <c r="AA83" s="2794">
        <f t="shared" si="60"/>
        <v>8698384.4431934282</v>
      </c>
      <c r="AB83" s="2794">
        <f t="shared" si="60"/>
        <v>8785368.2876253612</v>
      </c>
      <c r="AC83" s="2794">
        <f t="shared" si="60"/>
        <v>8873221.9705016166</v>
      </c>
      <c r="AD83" s="2794">
        <f t="shared" si="60"/>
        <v>8961954.190206632</v>
      </c>
      <c r="AE83" s="2794">
        <f t="shared" si="60"/>
        <v>9051573.7321086973</v>
      </c>
      <c r="AF83" s="2794">
        <f t="shared" si="60"/>
        <v>9142089.4694297854</v>
      </c>
      <c r="AG83" s="2794">
        <f t="shared" si="60"/>
        <v>9233510.364124082</v>
      </c>
      <c r="AH83" s="2794">
        <f t="shared" si="60"/>
        <v>9325845.4677653238</v>
      </c>
      <c r="AI83" s="2794">
        <f t="shared" si="60"/>
        <v>9419103.9224429764</v>
      </c>
      <c r="AJ83" s="2794">
        <f t="shared" si="60"/>
        <v>9513294.9616674073</v>
      </c>
      <c r="AK83" s="2794">
        <f t="shared" si="60"/>
        <v>9608427.9112840816</v>
      </c>
      <c r="AL83" s="2794">
        <f t="shared" si="60"/>
        <v>9704512.1903969236</v>
      </c>
      <c r="AM83" s="2794">
        <f t="shared" si="60"/>
        <v>9801557.3123008925</v>
      </c>
      <c r="AN83" s="2794">
        <f t="shared" si="60"/>
        <v>9899572.8854239006</v>
      </c>
      <c r="AO83" s="2794">
        <f t="shared" si="60"/>
        <v>9998568.6142781395</v>
      </c>
      <c r="AP83" s="2794">
        <f t="shared" si="60"/>
        <v>10098554.300420921</v>
      </c>
      <c r="AQ83" s="2794">
        <f t="shared" si="60"/>
        <v>10199539.84342513</v>
      </c>
      <c r="AR83" s="2794">
        <f t="shared" si="60"/>
        <v>10301535.241859382</v>
      </c>
      <c r="AS83" s="2794">
        <f t="shared" si="60"/>
        <v>10404550.594277976</v>
      </c>
      <c r="AT83" s="2794">
        <f t="shared" si="60"/>
        <v>10508596.100220757</v>
      </c>
      <c r="AU83" s="2794">
        <f t="shared" si="60"/>
        <v>10613682.061222965</v>
      </c>
      <c r="AV83" s="2694">
        <v>0</v>
      </c>
      <c r="AW83" s="2809"/>
      <c r="AX83" s="2795"/>
      <c r="AY83" s="2760"/>
      <c r="AZ83" s="2760"/>
      <c r="BA83" s="2760"/>
      <c r="BB83" s="2760"/>
      <c r="BC83" s="2760"/>
      <c r="BD83" s="2760"/>
      <c r="BE83" s="2760"/>
      <c r="BF83" s="2760"/>
      <c r="BG83" s="2760"/>
      <c r="BI83" s="2730"/>
      <c r="BJ83" s="2730"/>
    </row>
    <row r="84" spans="1:62" ht="17.25" outlineLevel="1">
      <c r="A84" s="2772" t="s">
        <v>4101</v>
      </c>
      <c r="B84" s="2803"/>
      <c r="C84" s="2763"/>
      <c r="D84" s="2764"/>
      <c r="E84" s="2764"/>
      <c r="F84" s="2769">
        <v>790000</v>
      </c>
      <c r="G84" s="2769">
        <v>864060</v>
      </c>
      <c r="H84" s="2829">
        <v>2400000</v>
      </c>
      <c r="I84" s="2829">
        <f t="shared" ref="I84:AU86" si="61">H84*(1+$C$83)</f>
        <v>2424000</v>
      </c>
      <c r="J84" s="2829">
        <f t="shared" si="61"/>
        <v>2448240</v>
      </c>
      <c r="K84" s="2829">
        <f t="shared" si="61"/>
        <v>2472722.4</v>
      </c>
      <c r="L84" s="2829">
        <f t="shared" si="61"/>
        <v>2497449.6239999998</v>
      </c>
      <c r="M84" s="2829">
        <f t="shared" si="61"/>
        <v>2522424.1202400001</v>
      </c>
      <c r="N84" s="2829">
        <f t="shared" si="61"/>
        <v>2547648.3614424001</v>
      </c>
      <c r="O84" s="2829">
        <f t="shared" si="61"/>
        <v>2573124.8450568244</v>
      </c>
      <c r="P84" s="2829">
        <f t="shared" si="61"/>
        <v>2598856.0935073928</v>
      </c>
      <c r="Q84" s="2829">
        <f t="shared" si="61"/>
        <v>2624844.6544424668</v>
      </c>
      <c r="R84" s="2829">
        <f t="shared" si="61"/>
        <v>2651093.1009868914</v>
      </c>
      <c r="S84" s="2829">
        <f t="shared" si="61"/>
        <v>2677604.0319967605</v>
      </c>
      <c r="T84" s="2829">
        <f t="shared" si="61"/>
        <v>2704380.0723167281</v>
      </c>
      <c r="U84" s="2829">
        <f t="shared" si="61"/>
        <v>2731423.8730398952</v>
      </c>
      <c r="V84" s="2829">
        <f t="shared" si="61"/>
        <v>2758738.1117702941</v>
      </c>
      <c r="W84" s="2829">
        <f t="shared" si="61"/>
        <v>2786325.4928879971</v>
      </c>
      <c r="X84" s="2829">
        <f t="shared" si="61"/>
        <v>2814188.747816877</v>
      </c>
      <c r="Y84" s="2829">
        <f t="shared" si="61"/>
        <v>2842330.6352950456</v>
      </c>
      <c r="Z84" s="2829">
        <f t="shared" si="61"/>
        <v>2870753.9416479962</v>
      </c>
      <c r="AA84" s="2829">
        <f t="shared" si="61"/>
        <v>2899461.4810644761</v>
      </c>
      <c r="AB84" s="2829">
        <f t="shared" si="61"/>
        <v>2928456.0958751207</v>
      </c>
      <c r="AC84" s="2829">
        <f t="shared" si="61"/>
        <v>2957740.6568338717</v>
      </c>
      <c r="AD84" s="2829">
        <f t="shared" si="61"/>
        <v>2987318.0634022104</v>
      </c>
      <c r="AE84" s="2829">
        <f t="shared" si="61"/>
        <v>3017191.2440362326</v>
      </c>
      <c r="AF84" s="2829">
        <f t="shared" si="61"/>
        <v>3047363.156476595</v>
      </c>
      <c r="AG84" s="2829">
        <f t="shared" si="61"/>
        <v>3077836.7880413611</v>
      </c>
      <c r="AH84" s="2829">
        <f t="shared" si="61"/>
        <v>3108615.1559217749</v>
      </c>
      <c r="AI84" s="2829">
        <f t="shared" si="61"/>
        <v>3139701.3074809927</v>
      </c>
      <c r="AJ84" s="2829">
        <f t="shared" si="61"/>
        <v>3171098.3205558029</v>
      </c>
      <c r="AK84" s="2829">
        <f t="shared" si="61"/>
        <v>3202809.3037613612</v>
      </c>
      <c r="AL84" s="2829">
        <f t="shared" si="61"/>
        <v>3234837.3967989748</v>
      </c>
      <c r="AM84" s="2829">
        <f t="shared" si="61"/>
        <v>3267185.7707669646</v>
      </c>
      <c r="AN84" s="2829">
        <f t="shared" si="61"/>
        <v>3299857.6284746341</v>
      </c>
      <c r="AO84" s="2829">
        <f t="shared" si="61"/>
        <v>3332856.2047593803</v>
      </c>
      <c r="AP84" s="2829">
        <f t="shared" si="61"/>
        <v>3366184.7668069741</v>
      </c>
      <c r="AQ84" s="2829">
        <f t="shared" si="61"/>
        <v>3399846.614475044</v>
      </c>
      <c r="AR84" s="2829">
        <f t="shared" si="61"/>
        <v>3433845.0806197943</v>
      </c>
      <c r="AS84" s="2829">
        <f t="shared" si="61"/>
        <v>3468183.5314259925</v>
      </c>
      <c r="AT84" s="2829">
        <f t="shared" si="61"/>
        <v>3502865.3667402524</v>
      </c>
      <c r="AU84" s="2829">
        <f t="shared" si="61"/>
        <v>3537894.0204076548</v>
      </c>
      <c r="AV84" s="2694">
        <v>0</v>
      </c>
      <c r="AW84" s="2771"/>
      <c r="AX84" s="2759"/>
      <c r="AY84" s="2760"/>
      <c r="AZ84" s="2760"/>
      <c r="BA84" s="2760"/>
      <c r="BB84" s="2760"/>
      <c r="BC84" s="2760"/>
      <c r="BD84" s="2760"/>
      <c r="BE84" s="2760"/>
      <c r="BF84" s="2760"/>
      <c r="BG84" s="2760"/>
      <c r="BI84" s="2730"/>
      <c r="BJ84" s="2730"/>
    </row>
    <row r="85" spans="1:62" ht="17.25" outlineLevel="1">
      <c r="A85" s="2772" t="s">
        <v>4102</v>
      </c>
      <c r="B85" s="2826" t="s">
        <v>4103</v>
      </c>
      <c r="C85" s="2763"/>
      <c r="D85" s="2764"/>
      <c r="E85" s="2764"/>
      <c r="F85" s="2769"/>
      <c r="G85" s="2769"/>
      <c r="H85" s="2829">
        <v>2800000</v>
      </c>
      <c r="I85" s="2829">
        <f t="shared" si="61"/>
        <v>2828000</v>
      </c>
      <c r="J85" s="2829">
        <f t="shared" si="61"/>
        <v>2856280</v>
      </c>
      <c r="K85" s="2829">
        <f t="shared" si="61"/>
        <v>2884842.8</v>
      </c>
      <c r="L85" s="2829">
        <f t="shared" si="61"/>
        <v>2913691.2279999997</v>
      </c>
      <c r="M85" s="2829">
        <f t="shared" si="61"/>
        <v>2942828.1402799995</v>
      </c>
      <c r="N85" s="2829">
        <f t="shared" si="61"/>
        <v>2972256.4216827997</v>
      </c>
      <c r="O85" s="2829">
        <f t="shared" si="61"/>
        <v>3001978.9858996277</v>
      </c>
      <c r="P85" s="2829">
        <f t="shared" si="61"/>
        <v>3031998.7757586241</v>
      </c>
      <c r="Q85" s="2829">
        <f t="shared" si="61"/>
        <v>3062318.7635162105</v>
      </c>
      <c r="R85" s="2829">
        <f t="shared" si="61"/>
        <v>3092941.9511513724</v>
      </c>
      <c r="S85" s="2829">
        <f t="shared" si="61"/>
        <v>3123871.3706628862</v>
      </c>
      <c r="T85" s="2829">
        <f t="shared" si="61"/>
        <v>3155110.0843695151</v>
      </c>
      <c r="U85" s="2829">
        <f t="shared" si="61"/>
        <v>3186661.1852132101</v>
      </c>
      <c r="V85" s="2829">
        <f t="shared" si="61"/>
        <v>3218527.7970653423</v>
      </c>
      <c r="W85" s="2829">
        <f>V85*(1+$C$83)</f>
        <v>3250713.0750359958</v>
      </c>
      <c r="X85" s="2829">
        <f t="shared" si="61"/>
        <v>3283220.2057863558</v>
      </c>
      <c r="Y85" s="2829">
        <f t="shared" si="61"/>
        <v>3316052.4078442194</v>
      </c>
      <c r="Z85" s="2829">
        <f t="shared" si="61"/>
        <v>3349212.9319226616</v>
      </c>
      <c r="AA85" s="2829">
        <f t="shared" si="61"/>
        <v>3382705.0612418884</v>
      </c>
      <c r="AB85" s="2829">
        <f t="shared" si="61"/>
        <v>3416532.1118543074</v>
      </c>
      <c r="AC85" s="2829">
        <f t="shared" si="61"/>
        <v>3450697.4329728503</v>
      </c>
      <c r="AD85" s="2829">
        <f t="shared" si="61"/>
        <v>3485204.4073025789</v>
      </c>
      <c r="AE85" s="2829">
        <f t="shared" si="61"/>
        <v>3520056.4513756046</v>
      </c>
      <c r="AF85" s="2829">
        <f t="shared" si="61"/>
        <v>3555257.0158893606</v>
      </c>
      <c r="AG85" s="2829">
        <f t="shared" si="61"/>
        <v>3590809.5860482543</v>
      </c>
      <c r="AH85" s="2829">
        <f t="shared" si="61"/>
        <v>3626717.6819087369</v>
      </c>
      <c r="AI85" s="2829">
        <f t="shared" si="61"/>
        <v>3662984.8587278244</v>
      </c>
      <c r="AJ85" s="2829">
        <f t="shared" si="61"/>
        <v>3699614.7073151027</v>
      </c>
      <c r="AK85" s="2829">
        <f t="shared" si="61"/>
        <v>3736610.8543882538</v>
      </c>
      <c r="AL85" s="2829">
        <f t="shared" si="61"/>
        <v>3773976.9629321364</v>
      </c>
      <c r="AM85" s="2829">
        <f t="shared" si="61"/>
        <v>3811716.7325614579</v>
      </c>
      <c r="AN85" s="2829">
        <f t="shared" si="61"/>
        <v>3849833.8998870724</v>
      </c>
      <c r="AO85" s="2829">
        <f t="shared" si="61"/>
        <v>3888332.2388859433</v>
      </c>
      <c r="AP85" s="2829">
        <f t="shared" si="61"/>
        <v>3927215.5612748028</v>
      </c>
      <c r="AQ85" s="2829">
        <f t="shared" si="61"/>
        <v>3966487.7168875509</v>
      </c>
      <c r="AR85" s="2829">
        <f t="shared" si="61"/>
        <v>4006152.5940564265</v>
      </c>
      <c r="AS85" s="2829">
        <f t="shared" si="61"/>
        <v>4046214.119996991</v>
      </c>
      <c r="AT85" s="2829">
        <f t="shared" si="61"/>
        <v>4086676.2611969612</v>
      </c>
      <c r="AU85" s="2829">
        <f t="shared" si="61"/>
        <v>4127543.023808931</v>
      </c>
      <c r="AV85" s="2694">
        <v>0</v>
      </c>
      <c r="AW85" s="2771"/>
      <c r="AX85" s="2759"/>
      <c r="AY85" s="2760"/>
      <c r="AZ85" s="2760"/>
      <c r="BA85" s="2760"/>
      <c r="BB85" s="2760"/>
      <c r="BC85" s="2760"/>
      <c r="BD85" s="2760"/>
      <c r="BE85" s="2760"/>
      <c r="BF85" s="2760"/>
      <c r="BG85" s="2760"/>
      <c r="BI85" s="2730"/>
      <c r="BJ85" s="2730"/>
    </row>
    <row r="86" spans="1:62" ht="17.25" outlineLevel="1">
      <c r="A86" s="2772" t="s">
        <v>4104</v>
      </c>
      <c r="B86" s="2803" t="s">
        <v>4105</v>
      </c>
      <c r="C86" s="2763"/>
      <c r="D86" s="2764"/>
      <c r="E86" s="2764"/>
      <c r="F86" s="2769">
        <v>93000</v>
      </c>
      <c r="G86" s="2769"/>
      <c r="H86" s="2829">
        <v>2000000</v>
      </c>
      <c r="I86" s="2829">
        <f t="shared" si="61"/>
        <v>2020000</v>
      </c>
      <c r="J86" s="2829">
        <f t="shared" si="61"/>
        <v>2040200</v>
      </c>
      <c r="K86" s="2829">
        <f t="shared" si="61"/>
        <v>2060602</v>
      </c>
      <c r="L86" s="2829">
        <f t="shared" si="61"/>
        <v>2081208.02</v>
      </c>
      <c r="M86" s="2829">
        <f t="shared" si="61"/>
        <v>2102020.1002000002</v>
      </c>
      <c r="N86" s="2829">
        <f t="shared" si="61"/>
        <v>2123040.3012020001</v>
      </c>
      <c r="O86" s="2829">
        <f t="shared" si="61"/>
        <v>2144270.7042140202</v>
      </c>
      <c r="P86" s="2829">
        <f t="shared" si="61"/>
        <v>2165713.4112561606</v>
      </c>
      <c r="Q86" s="2829">
        <f t="shared" si="61"/>
        <v>2187370.5453687222</v>
      </c>
      <c r="R86" s="2829">
        <f t="shared" si="61"/>
        <v>2209244.2508224095</v>
      </c>
      <c r="S86" s="2829">
        <f t="shared" si="61"/>
        <v>2231336.6933306335</v>
      </c>
      <c r="T86" s="2829">
        <f t="shared" si="61"/>
        <v>2253650.0602639397</v>
      </c>
      <c r="U86" s="2829">
        <f t="shared" si="61"/>
        <v>2276186.5608665789</v>
      </c>
      <c r="V86" s="2829">
        <f t="shared" si="61"/>
        <v>2298948.4264752446</v>
      </c>
      <c r="W86" s="2829">
        <f>V86*(1+$C$83)</f>
        <v>2321937.9107399969</v>
      </c>
      <c r="X86" s="2829">
        <f t="shared" si="61"/>
        <v>2345157.2898473968</v>
      </c>
      <c r="Y86" s="2829">
        <f t="shared" si="61"/>
        <v>2368608.8627458708</v>
      </c>
      <c r="Z86" s="2829">
        <f t="shared" si="61"/>
        <v>2392294.9513733294</v>
      </c>
      <c r="AA86" s="2829">
        <f t="shared" si="61"/>
        <v>2416217.9008870628</v>
      </c>
      <c r="AB86" s="2829">
        <f t="shared" si="61"/>
        <v>2440380.0798959336</v>
      </c>
      <c r="AC86" s="2829">
        <f t="shared" si="61"/>
        <v>2464783.8806948932</v>
      </c>
      <c r="AD86" s="2829">
        <f t="shared" si="61"/>
        <v>2489431.7195018423</v>
      </c>
      <c r="AE86" s="2829">
        <f t="shared" si="61"/>
        <v>2514326.0366968606</v>
      </c>
      <c r="AF86" s="2829">
        <f t="shared" si="61"/>
        <v>2539469.2970638294</v>
      </c>
      <c r="AG86" s="2829">
        <f t="shared" si="61"/>
        <v>2564863.9900344675</v>
      </c>
      <c r="AH86" s="2829">
        <f t="shared" si="61"/>
        <v>2590512.6299348124</v>
      </c>
      <c r="AI86" s="2829">
        <f t="shared" si="61"/>
        <v>2616417.7562341606</v>
      </c>
      <c r="AJ86" s="2829">
        <f t="shared" si="61"/>
        <v>2642581.9337965022</v>
      </c>
      <c r="AK86" s="2829">
        <f t="shared" si="61"/>
        <v>2669007.7531344672</v>
      </c>
      <c r="AL86" s="2829">
        <f t="shared" si="61"/>
        <v>2695697.8306658119</v>
      </c>
      <c r="AM86" s="2829">
        <f t="shared" si="61"/>
        <v>2722654.80897247</v>
      </c>
      <c r="AN86" s="2829">
        <f t="shared" si="61"/>
        <v>2749881.3570621945</v>
      </c>
      <c r="AO86" s="2829">
        <f t="shared" si="61"/>
        <v>2777380.1706328164</v>
      </c>
      <c r="AP86" s="2829">
        <f t="shared" si="61"/>
        <v>2805153.9723391444</v>
      </c>
      <c r="AQ86" s="2829">
        <f t="shared" si="61"/>
        <v>2833205.5120625361</v>
      </c>
      <c r="AR86" s="2829">
        <f t="shared" si="61"/>
        <v>2861537.5671831616</v>
      </c>
      <c r="AS86" s="2829">
        <f t="shared" si="61"/>
        <v>2890152.942854993</v>
      </c>
      <c r="AT86" s="2829">
        <f t="shared" si="61"/>
        <v>2919054.4722835431</v>
      </c>
      <c r="AU86" s="2829">
        <f t="shared" si="61"/>
        <v>2948245.0170063786</v>
      </c>
      <c r="AV86" s="2694">
        <v>0</v>
      </c>
      <c r="AW86" s="2809"/>
      <c r="AX86" s="2759"/>
      <c r="AY86" s="2760"/>
      <c r="AZ86" s="2760"/>
      <c r="BA86" s="2760"/>
      <c r="BB86" s="2760"/>
      <c r="BC86" s="2760"/>
      <c r="BD86" s="2760"/>
      <c r="BE86" s="2760"/>
      <c r="BF86" s="2760"/>
      <c r="BG86" s="2760"/>
      <c r="BI86" s="2730"/>
      <c r="BJ86" s="2730"/>
    </row>
    <row r="87" spans="1:62" ht="17.25" outlineLevel="1">
      <c r="A87" s="2823" t="s">
        <v>4106</v>
      </c>
      <c r="B87" s="2830"/>
      <c r="C87" s="2811"/>
      <c r="D87" s="2792">
        <v>1</v>
      </c>
      <c r="E87" s="2792"/>
      <c r="F87" s="2794">
        <f t="shared" ref="F87:AU87" si="62">SUM(F88:F94)</f>
        <v>96569880</v>
      </c>
      <c r="G87" s="2794">
        <f t="shared" si="62"/>
        <v>78756250</v>
      </c>
      <c r="H87" s="2794">
        <f t="shared" si="62"/>
        <v>175400000</v>
      </c>
      <c r="I87" s="2794">
        <f t="shared" si="62"/>
        <v>177535000</v>
      </c>
      <c r="J87" s="2794">
        <f t="shared" si="62"/>
        <v>179670350</v>
      </c>
      <c r="K87" s="2794">
        <f t="shared" si="62"/>
        <v>181806053.5</v>
      </c>
      <c r="L87" s="2794">
        <f t="shared" si="62"/>
        <v>183942114.035</v>
      </c>
      <c r="M87" s="2794">
        <f t="shared" si="62"/>
        <v>186078535.17535001</v>
      </c>
      <c r="N87" s="2794">
        <f t="shared" si="62"/>
        <v>188215320.52710351</v>
      </c>
      <c r="O87" s="2794">
        <f t="shared" si="62"/>
        <v>190352473.73237455</v>
      </c>
      <c r="P87" s="2794">
        <f t="shared" si="62"/>
        <v>192489998.46969828</v>
      </c>
      <c r="Q87" s="2794">
        <f t="shared" si="62"/>
        <v>194627898.45439526</v>
      </c>
      <c r="R87" s="2794">
        <f t="shared" si="62"/>
        <v>196766177.43893921</v>
      </c>
      <c r="S87" s="2794">
        <f t="shared" si="62"/>
        <v>198904839.2133286</v>
      </c>
      <c r="T87" s="2794">
        <f t="shared" si="62"/>
        <v>201043887.6054619</v>
      </c>
      <c r="U87" s="2794">
        <f t="shared" si="62"/>
        <v>203183326.48151651</v>
      </c>
      <c r="V87" s="2794">
        <f t="shared" si="62"/>
        <v>205323159.74633169</v>
      </c>
      <c r="W87" s="2794">
        <f t="shared" si="62"/>
        <v>207463391.343795</v>
      </c>
      <c r="X87" s="2794">
        <f t="shared" si="62"/>
        <v>209604025.25723293</v>
      </c>
      <c r="Y87" s="2794">
        <f t="shared" si="62"/>
        <v>211745065.50980526</v>
      </c>
      <c r="Z87" s="2794">
        <f t="shared" si="62"/>
        <v>213886516.16490331</v>
      </c>
      <c r="AA87" s="2794">
        <f t="shared" si="62"/>
        <v>216028381.32655236</v>
      </c>
      <c r="AB87" s="2794">
        <f t="shared" si="62"/>
        <v>218170665.13981789</v>
      </c>
      <c r="AC87" s="2794">
        <f t="shared" si="62"/>
        <v>220313371.79121608</v>
      </c>
      <c r="AD87" s="2794">
        <f t="shared" si="62"/>
        <v>222456505.50912821</v>
      </c>
      <c r="AE87" s="2794">
        <f t="shared" si="62"/>
        <v>224600070.5642195</v>
      </c>
      <c r="AF87" s="2794">
        <f t="shared" si="62"/>
        <v>226744071.2698617</v>
      </c>
      <c r="AG87" s="2794">
        <f t="shared" si="62"/>
        <v>228888511.98256031</v>
      </c>
      <c r="AH87" s="2794">
        <f t="shared" si="62"/>
        <v>231033397.10238591</v>
      </c>
      <c r="AI87" s="2794">
        <f t="shared" si="62"/>
        <v>233178731.0734098</v>
      </c>
      <c r="AJ87" s="2794">
        <f t="shared" si="62"/>
        <v>235324518.38414389</v>
      </c>
      <c r="AK87" s="2794">
        <f t="shared" si="62"/>
        <v>237470763.56798533</v>
      </c>
      <c r="AL87" s="2794">
        <f t="shared" si="62"/>
        <v>239617471.20366517</v>
      </c>
      <c r="AM87" s="2794">
        <f t="shared" si="62"/>
        <v>241764645.91570184</v>
      </c>
      <c r="AN87" s="2794">
        <f t="shared" si="62"/>
        <v>243912292.37485886</v>
      </c>
      <c r="AO87" s="2794">
        <f t="shared" si="62"/>
        <v>246060415.29860744</v>
      </c>
      <c r="AP87" s="2794">
        <f t="shared" si="62"/>
        <v>248209019.45159352</v>
      </c>
      <c r="AQ87" s="2794">
        <f t="shared" si="62"/>
        <v>250358109.64610943</v>
      </c>
      <c r="AR87" s="2794">
        <f t="shared" si="62"/>
        <v>252507690.74257052</v>
      </c>
      <c r="AS87" s="2794">
        <f t="shared" si="62"/>
        <v>254657767.64999625</v>
      </c>
      <c r="AT87" s="2794">
        <f t="shared" si="62"/>
        <v>256808345.32649621</v>
      </c>
      <c r="AU87" s="2794">
        <f t="shared" si="62"/>
        <v>258959428.77976117</v>
      </c>
      <c r="AV87" s="2694">
        <v>0</v>
      </c>
      <c r="AW87" s="2771"/>
      <c r="AX87" s="2759"/>
      <c r="AY87" s="2760"/>
      <c r="AZ87" s="2760"/>
      <c r="BA87" s="2760"/>
      <c r="BB87" s="2760"/>
      <c r="BC87" s="2760"/>
      <c r="BD87" s="2760"/>
      <c r="BE87" s="2760"/>
      <c r="BF87" s="2760"/>
      <c r="BG87" s="2760"/>
      <c r="BI87" s="2730"/>
      <c r="BJ87" s="2730"/>
    </row>
    <row r="88" spans="1:62" ht="17.25" outlineLevel="1">
      <c r="A88" s="2767" t="s">
        <v>4107</v>
      </c>
      <c r="B88" s="2826" t="s">
        <v>4108</v>
      </c>
      <c r="C88" s="2763">
        <v>1000</v>
      </c>
      <c r="D88" s="2764"/>
      <c r="E88" s="2764"/>
      <c r="F88" s="2769">
        <v>21300750</v>
      </c>
      <c r="G88" s="2770">
        <v>18856250</v>
      </c>
      <c r="H88" s="2770">
        <v>20000000</v>
      </c>
      <c r="I88" s="2770">
        <f t="shared" ref="I88:AU88" si="63">H88+$C$88*1000</f>
        <v>21000000</v>
      </c>
      <c r="J88" s="2770">
        <f t="shared" si="63"/>
        <v>22000000</v>
      </c>
      <c r="K88" s="2770">
        <f t="shared" si="63"/>
        <v>23000000</v>
      </c>
      <c r="L88" s="2770">
        <f t="shared" si="63"/>
        <v>24000000</v>
      </c>
      <c r="M88" s="2770">
        <f t="shared" si="63"/>
        <v>25000000</v>
      </c>
      <c r="N88" s="2770">
        <f t="shared" si="63"/>
        <v>26000000</v>
      </c>
      <c r="O88" s="2770">
        <f t="shared" si="63"/>
        <v>27000000</v>
      </c>
      <c r="P88" s="2770">
        <f t="shared" si="63"/>
        <v>28000000</v>
      </c>
      <c r="Q88" s="2770">
        <f t="shared" si="63"/>
        <v>29000000</v>
      </c>
      <c r="R88" s="2770">
        <f t="shared" si="63"/>
        <v>30000000</v>
      </c>
      <c r="S88" s="2770">
        <f t="shared" si="63"/>
        <v>31000000</v>
      </c>
      <c r="T88" s="2770">
        <f t="shared" si="63"/>
        <v>32000000</v>
      </c>
      <c r="U88" s="2770">
        <f t="shared" si="63"/>
        <v>33000000</v>
      </c>
      <c r="V88" s="2770">
        <f t="shared" si="63"/>
        <v>34000000</v>
      </c>
      <c r="W88" s="2770">
        <f t="shared" si="63"/>
        <v>35000000</v>
      </c>
      <c r="X88" s="2770">
        <f t="shared" si="63"/>
        <v>36000000</v>
      </c>
      <c r="Y88" s="2770">
        <f t="shared" si="63"/>
        <v>37000000</v>
      </c>
      <c r="Z88" s="2770">
        <f t="shared" si="63"/>
        <v>38000000</v>
      </c>
      <c r="AA88" s="2770">
        <f t="shared" si="63"/>
        <v>39000000</v>
      </c>
      <c r="AB88" s="2770">
        <f t="shared" si="63"/>
        <v>40000000</v>
      </c>
      <c r="AC88" s="2770">
        <f t="shared" si="63"/>
        <v>41000000</v>
      </c>
      <c r="AD88" s="2770">
        <f t="shared" si="63"/>
        <v>42000000</v>
      </c>
      <c r="AE88" s="2770">
        <f t="shared" si="63"/>
        <v>43000000</v>
      </c>
      <c r="AF88" s="2770">
        <f t="shared" si="63"/>
        <v>44000000</v>
      </c>
      <c r="AG88" s="2770">
        <f t="shared" si="63"/>
        <v>45000000</v>
      </c>
      <c r="AH88" s="2770">
        <f t="shared" si="63"/>
        <v>46000000</v>
      </c>
      <c r="AI88" s="2770">
        <f t="shared" si="63"/>
        <v>47000000</v>
      </c>
      <c r="AJ88" s="2770">
        <f t="shared" si="63"/>
        <v>48000000</v>
      </c>
      <c r="AK88" s="2770">
        <f t="shared" si="63"/>
        <v>49000000</v>
      </c>
      <c r="AL88" s="2770">
        <f t="shared" si="63"/>
        <v>50000000</v>
      </c>
      <c r="AM88" s="2770">
        <f t="shared" si="63"/>
        <v>51000000</v>
      </c>
      <c r="AN88" s="2770">
        <f t="shared" si="63"/>
        <v>52000000</v>
      </c>
      <c r="AO88" s="2770">
        <f t="shared" si="63"/>
        <v>53000000</v>
      </c>
      <c r="AP88" s="2770">
        <f t="shared" si="63"/>
        <v>54000000</v>
      </c>
      <c r="AQ88" s="2770">
        <f t="shared" si="63"/>
        <v>55000000</v>
      </c>
      <c r="AR88" s="2770">
        <f t="shared" si="63"/>
        <v>56000000</v>
      </c>
      <c r="AS88" s="2770">
        <f t="shared" si="63"/>
        <v>57000000</v>
      </c>
      <c r="AT88" s="2770">
        <f t="shared" si="63"/>
        <v>58000000</v>
      </c>
      <c r="AU88" s="2770">
        <f t="shared" si="63"/>
        <v>59000000</v>
      </c>
      <c r="AV88" s="2694">
        <v>0</v>
      </c>
      <c r="AW88" s="2758"/>
      <c r="AX88" s="2759"/>
      <c r="AY88" s="2760"/>
      <c r="AZ88" s="2760"/>
      <c r="BA88" s="2760"/>
      <c r="BB88" s="2760"/>
      <c r="BC88" s="2760"/>
      <c r="BD88" s="2760"/>
      <c r="BE88" s="2760"/>
      <c r="BF88" s="2760"/>
      <c r="BG88" s="2760"/>
      <c r="BI88" s="2730"/>
      <c r="BJ88" s="2730"/>
    </row>
    <row r="89" spans="1:62" ht="17.25" outlineLevel="1">
      <c r="A89" s="2767" t="s">
        <v>4109</v>
      </c>
      <c r="B89" s="2826" t="s">
        <v>4110</v>
      </c>
      <c r="C89" s="2763">
        <v>1000</v>
      </c>
      <c r="D89" s="2764"/>
      <c r="E89" s="2764"/>
      <c r="F89" s="2769">
        <v>26100000</v>
      </c>
      <c r="G89" s="2769">
        <v>15100000</v>
      </c>
      <c r="H89" s="2770">
        <v>100000000</v>
      </c>
      <c r="I89" s="2770">
        <f t="shared" ref="I89:AU89" si="64">H89+$C$89*10^3</f>
        <v>101000000</v>
      </c>
      <c r="J89" s="2770">
        <f t="shared" si="64"/>
        <v>102000000</v>
      </c>
      <c r="K89" s="2770">
        <f t="shared" si="64"/>
        <v>103000000</v>
      </c>
      <c r="L89" s="2770">
        <f t="shared" si="64"/>
        <v>104000000</v>
      </c>
      <c r="M89" s="2770">
        <f t="shared" si="64"/>
        <v>105000000</v>
      </c>
      <c r="N89" s="2770">
        <f t="shared" si="64"/>
        <v>106000000</v>
      </c>
      <c r="O89" s="2770">
        <f t="shared" si="64"/>
        <v>107000000</v>
      </c>
      <c r="P89" s="2770">
        <f t="shared" si="64"/>
        <v>108000000</v>
      </c>
      <c r="Q89" s="2770">
        <f t="shared" si="64"/>
        <v>109000000</v>
      </c>
      <c r="R89" s="2770">
        <f t="shared" si="64"/>
        <v>110000000</v>
      </c>
      <c r="S89" s="2770">
        <f t="shared" si="64"/>
        <v>111000000</v>
      </c>
      <c r="T89" s="2770">
        <f t="shared" si="64"/>
        <v>112000000</v>
      </c>
      <c r="U89" s="2770">
        <f t="shared" si="64"/>
        <v>113000000</v>
      </c>
      <c r="V89" s="2770">
        <f t="shared" si="64"/>
        <v>114000000</v>
      </c>
      <c r="W89" s="2770">
        <f t="shared" si="64"/>
        <v>115000000</v>
      </c>
      <c r="X89" s="2770">
        <f t="shared" si="64"/>
        <v>116000000</v>
      </c>
      <c r="Y89" s="2770">
        <f t="shared" si="64"/>
        <v>117000000</v>
      </c>
      <c r="Z89" s="2770">
        <f t="shared" si="64"/>
        <v>118000000</v>
      </c>
      <c r="AA89" s="2770">
        <f t="shared" si="64"/>
        <v>119000000</v>
      </c>
      <c r="AB89" s="2770">
        <f t="shared" si="64"/>
        <v>120000000</v>
      </c>
      <c r="AC89" s="2770">
        <f t="shared" si="64"/>
        <v>121000000</v>
      </c>
      <c r="AD89" s="2770">
        <f t="shared" si="64"/>
        <v>122000000</v>
      </c>
      <c r="AE89" s="2770">
        <f t="shared" si="64"/>
        <v>123000000</v>
      </c>
      <c r="AF89" s="2770">
        <f t="shared" si="64"/>
        <v>124000000</v>
      </c>
      <c r="AG89" s="2770">
        <f t="shared" si="64"/>
        <v>125000000</v>
      </c>
      <c r="AH89" s="2770">
        <f t="shared" si="64"/>
        <v>126000000</v>
      </c>
      <c r="AI89" s="2770">
        <f t="shared" si="64"/>
        <v>127000000</v>
      </c>
      <c r="AJ89" s="2770">
        <f t="shared" si="64"/>
        <v>128000000</v>
      </c>
      <c r="AK89" s="2770">
        <f t="shared" si="64"/>
        <v>129000000</v>
      </c>
      <c r="AL89" s="2770">
        <f t="shared" si="64"/>
        <v>130000000</v>
      </c>
      <c r="AM89" s="2770">
        <f t="shared" si="64"/>
        <v>131000000</v>
      </c>
      <c r="AN89" s="2770">
        <f t="shared" si="64"/>
        <v>132000000</v>
      </c>
      <c r="AO89" s="2770">
        <f t="shared" si="64"/>
        <v>133000000</v>
      </c>
      <c r="AP89" s="2770">
        <f t="shared" si="64"/>
        <v>134000000</v>
      </c>
      <c r="AQ89" s="2770">
        <f t="shared" si="64"/>
        <v>135000000</v>
      </c>
      <c r="AR89" s="2770">
        <f t="shared" si="64"/>
        <v>136000000</v>
      </c>
      <c r="AS89" s="2770">
        <f t="shared" si="64"/>
        <v>137000000</v>
      </c>
      <c r="AT89" s="2770">
        <f t="shared" si="64"/>
        <v>138000000</v>
      </c>
      <c r="AU89" s="2770">
        <f t="shared" si="64"/>
        <v>139000000</v>
      </c>
      <c r="AV89" s="2694">
        <v>0</v>
      </c>
      <c r="AW89" s="2809"/>
      <c r="AX89" s="2759"/>
      <c r="AY89" s="2760"/>
      <c r="AZ89" s="2760"/>
      <c r="BA89" s="2760"/>
      <c r="BB89" s="2760"/>
      <c r="BC89" s="2760"/>
      <c r="BD89" s="2760"/>
      <c r="BE89" s="2760"/>
      <c r="BF89" s="2760"/>
      <c r="BG89" s="2760"/>
      <c r="BI89" s="2730"/>
      <c r="BJ89" s="2730"/>
    </row>
    <row r="90" spans="1:62" ht="17.25" outlineLevel="1">
      <c r="A90" s="2831" t="s">
        <v>4111</v>
      </c>
      <c r="B90" s="2803" t="s">
        <v>4112</v>
      </c>
      <c r="C90" s="2763">
        <v>100</v>
      </c>
      <c r="D90" s="2764"/>
      <c r="E90" s="2764"/>
      <c r="F90" s="2769">
        <v>1800000</v>
      </c>
      <c r="G90" s="2769">
        <v>1800000</v>
      </c>
      <c r="H90" s="2770">
        <f t="shared" ref="H90:AU90" si="65">G90+$C$90*10^3</f>
        <v>1900000</v>
      </c>
      <c r="I90" s="2770">
        <f t="shared" si="65"/>
        <v>2000000</v>
      </c>
      <c r="J90" s="2770">
        <f t="shared" si="65"/>
        <v>2100000</v>
      </c>
      <c r="K90" s="2770">
        <f t="shared" si="65"/>
        <v>2200000</v>
      </c>
      <c r="L90" s="2770">
        <f t="shared" si="65"/>
        <v>2300000</v>
      </c>
      <c r="M90" s="2770">
        <f t="shared" si="65"/>
        <v>2400000</v>
      </c>
      <c r="N90" s="2770">
        <f t="shared" si="65"/>
        <v>2500000</v>
      </c>
      <c r="O90" s="2770">
        <f t="shared" si="65"/>
        <v>2600000</v>
      </c>
      <c r="P90" s="2770">
        <f t="shared" si="65"/>
        <v>2700000</v>
      </c>
      <c r="Q90" s="2770">
        <f t="shared" si="65"/>
        <v>2800000</v>
      </c>
      <c r="R90" s="2770">
        <f t="shared" si="65"/>
        <v>2900000</v>
      </c>
      <c r="S90" s="2770">
        <f t="shared" si="65"/>
        <v>3000000</v>
      </c>
      <c r="T90" s="2770">
        <f t="shared" si="65"/>
        <v>3100000</v>
      </c>
      <c r="U90" s="2770">
        <f t="shared" si="65"/>
        <v>3200000</v>
      </c>
      <c r="V90" s="2770">
        <f t="shared" si="65"/>
        <v>3300000</v>
      </c>
      <c r="W90" s="2770">
        <f t="shared" si="65"/>
        <v>3400000</v>
      </c>
      <c r="X90" s="2770">
        <f t="shared" si="65"/>
        <v>3500000</v>
      </c>
      <c r="Y90" s="2770">
        <f t="shared" si="65"/>
        <v>3600000</v>
      </c>
      <c r="Z90" s="2770">
        <f t="shared" si="65"/>
        <v>3700000</v>
      </c>
      <c r="AA90" s="2770">
        <f t="shared" si="65"/>
        <v>3800000</v>
      </c>
      <c r="AB90" s="2770">
        <f t="shared" si="65"/>
        <v>3900000</v>
      </c>
      <c r="AC90" s="2770">
        <f t="shared" si="65"/>
        <v>4000000</v>
      </c>
      <c r="AD90" s="2770">
        <f t="shared" si="65"/>
        <v>4100000</v>
      </c>
      <c r="AE90" s="2770">
        <f t="shared" si="65"/>
        <v>4200000</v>
      </c>
      <c r="AF90" s="2770">
        <f t="shared" si="65"/>
        <v>4300000</v>
      </c>
      <c r="AG90" s="2770">
        <f t="shared" si="65"/>
        <v>4400000</v>
      </c>
      <c r="AH90" s="2770">
        <f t="shared" si="65"/>
        <v>4500000</v>
      </c>
      <c r="AI90" s="2770">
        <f t="shared" si="65"/>
        <v>4600000</v>
      </c>
      <c r="AJ90" s="2770">
        <f t="shared" si="65"/>
        <v>4700000</v>
      </c>
      <c r="AK90" s="2770">
        <f t="shared" si="65"/>
        <v>4800000</v>
      </c>
      <c r="AL90" s="2770">
        <f t="shared" si="65"/>
        <v>4900000</v>
      </c>
      <c r="AM90" s="2770">
        <f t="shared" si="65"/>
        <v>5000000</v>
      </c>
      <c r="AN90" s="2770">
        <f t="shared" si="65"/>
        <v>5100000</v>
      </c>
      <c r="AO90" s="2770">
        <f t="shared" si="65"/>
        <v>5200000</v>
      </c>
      <c r="AP90" s="2770">
        <f t="shared" si="65"/>
        <v>5300000</v>
      </c>
      <c r="AQ90" s="2770">
        <f t="shared" si="65"/>
        <v>5400000</v>
      </c>
      <c r="AR90" s="2770">
        <f t="shared" si="65"/>
        <v>5500000</v>
      </c>
      <c r="AS90" s="2770">
        <f t="shared" si="65"/>
        <v>5600000</v>
      </c>
      <c r="AT90" s="2770">
        <f t="shared" si="65"/>
        <v>5700000</v>
      </c>
      <c r="AU90" s="2770">
        <f t="shared" si="65"/>
        <v>5800000</v>
      </c>
      <c r="AV90" s="2694">
        <v>0</v>
      </c>
      <c r="AW90" s="2809"/>
      <c r="AX90" s="2759"/>
      <c r="AY90" s="2760"/>
      <c r="AZ90" s="2760"/>
      <c r="BA90" s="2760"/>
      <c r="BB90" s="2760"/>
      <c r="BC90" s="2760"/>
      <c r="BD90" s="2760"/>
      <c r="BE90" s="2760"/>
      <c r="BF90" s="2760"/>
      <c r="BG90" s="2760"/>
      <c r="BI90" s="2730"/>
      <c r="BJ90" s="2730"/>
    </row>
    <row r="91" spans="1:62" ht="17.25" outlineLevel="1">
      <c r="A91" s="2767" t="s">
        <v>4113</v>
      </c>
      <c r="B91" s="2803"/>
      <c r="C91" s="2763"/>
      <c r="D91" s="2764"/>
      <c r="E91" s="2764"/>
      <c r="F91" s="2769">
        <v>40000000</v>
      </c>
      <c r="G91" s="2769">
        <v>40000000</v>
      </c>
      <c r="H91" s="2770">
        <f t="shared" ref="H91:W92" si="66">G91</f>
        <v>40000000</v>
      </c>
      <c r="I91" s="2770">
        <f t="shared" si="66"/>
        <v>40000000</v>
      </c>
      <c r="J91" s="2770">
        <f t="shared" si="66"/>
        <v>40000000</v>
      </c>
      <c r="K91" s="2770">
        <f t="shared" si="66"/>
        <v>40000000</v>
      </c>
      <c r="L91" s="2770">
        <f t="shared" si="66"/>
        <v>40000000</v>
      </c>
      <c r="M91" s="2770">
        <f t="shared" si="66"/>
        <v>40000000</v>
      </c>
      <c r="N91" s="2770">
        <f t="shared" si="66"/>
        <v>40000000</v>
      </c>
      <c r="O91" s="2770">
        <f t="shared" si="66"/>
        <v>40000000</v>
      </c>
      <c r="P91" s="2770">
        <f t="shared" si="66"/>
        <v>40000000</v>
      </c>
      <c r="Q91" s="2770">
        <f t="shared" si="66"/>
        <v>40000000</v>
      </c>
      <c r="R91" s="2770">
        <f t="shared" si="66"/>
        <v>40000000</v>
      </c>
      <c r="S91" s="2770">
        <f t="shared" si="66"/>
        <v>40000000</v>
      </c>
      <c r="T91" s="2770">
        <f t="shared" si="66"/>
        <v>40000000</v>
      </c>
      <c r="U91" s="2770">
        <f t="shared" si="66"/>
        <v>40000000</v>
      </c>
      <c r="V91" s="2770">
        <f t="shared" si="66"/>
        <v>40000000</v>
      </c>
      <c r="W91" s="2770">
        <f t="shared" si="66"/>
        <v>40000000</v>
      </c>
      <c r="X91" s="2770">
        <f t="shared" ref="X91:AM92" si="67">W91</f>
        <v>40000000</v>
      </c>
      <c r="Y91" s="2770">
        <f t="shared" si="67"/>
        <v>40000000</v>
      </c>
      <c r="Z91" s="2770">
        <f t="shared" si="67"/>
        <v>40000000</v>
      </c>
      <c r="AA91" s="2770">
        <f t="shared" si="67"/>
        <v>40000000</v>
      </c>
      <c r="AB91" s="2770">
        <f t="shared" si="67"/>
        <v>40000000</v>
      </c>
      <c r="AC91" s="2770">
        <f t="shared" si="67"/>
        <v>40000000</v>
      </c>
      <c r="AD91" s="2770">
        <f t="shared" si="67"/>
        <v>40000000</v>
      </c>
      <c r="AE91" s="2770">
        <f t="shared" si="67"/>
        <v>40000000</v>
      </c>
      <c r="AF91" s="2770">
        <f t="shared" si="67"/>
        <v>40000000</v>
      </c>
      <c r="AG91" s="2770">
        <f t="shared" si="67"/>
        <v>40000000</v>
      </c>
      <c r="AH91" s="2770">
        <f t="shared" si="67"/>
        <v>40000000</v>
      </c>
      <c r="AI91" s="2770">
        <f t="shared" si="67"/>
        <v>40000000</v>
      </c>
      <c r="AJ91" s="2770">
        <f t="shared" si="67"/>
        <v>40000000</v>
      </c>
      <c r="AK91" s="2770">
        <f t="shared" si="67"/>
        <v>40000000</v>
      </c>
      <c r="AL91" s="2770">
        <f t="shared" si="67"/>
        <v>40000000</v>
      </c>
      <c r="AM91" s="2770">
        <f t="shared" si="67"/>
        <v>40000000</v>
      </c>
      <c r="AN91" s="2770">
        <f t="shared" ref="AN91:AU92" si="68">AM91</f>
        <v>40000000</v>
      </c>
      <c r="AO91" s="2770">
        <f t="shared" si="68"/>
        <v>40000000</v>
      </c>
      <c r="AP91" s="2770">
        <f t="shared" si="68"/>
        <v>40000000</v>
      </c>
      <c r="AQ91" s="2770">
        <f t="shared" si="68"/>
        <v>40000000</v>
      </c>
      <c r="AR91" s="2770">
        <f t="shared" si="68"/>
        <v>40000000</v>
      </c>
      <c r="AS91" s="2770">
        <f t="shared" si="68"/>
        <v>40000000</v>
      </c>
      <c r="AT91" s="2770">
        <f t="shared" si="68"/>
        <v>40000000</v>
      </c>
      <c r="AU91" s="2770">
        <f t="shared" si="68"/>
        <v>40000000</v>
      </c>
      <c r="AV91" s="2694">
        <v>0</v>
      </c>
      <c r="AW91" s="2771"/>
      <c r="AX91" s="2759"/>
      <c r="AY91" s="2760"/>
      <c r="AZ91" s="2760"/>
      <c r="BA91" s="2760"/>
      <c r="BB91" s="2760"/>
      <c r="BC91" s="2760"/>
      <c r="BD91" s="2760"/>
      <c r="BE91" s="2760"/>
      <c r="BF91" s="2760"/>
      <c r="BG91" s="2760"/>
      <c r="BI91" s="2730"/>
      <c r="BJ91" s="2730"/>
    </row>
    <row r="92" spans="1:62" ht="17.25" outlineLevel="1">
      <c r="A92" s="2767" t="s">
        <v>4114</v>
      </c>
      <c r="B92" s="2803" t="s">
        <v>4115</v>
      </c>
      <c r="C92" s="2787"/>
      <c r="D92" s="2764"/>
      <c r="E92" s="2804"/>
      <c r="F92" s="2769"/>
      <c r="G92" s="2769"/>
      <c r="H92" s="2770">
        <v>10000000</v>
      </c>
      <c r="I92" s="2770">
        <f t="shared" si="66"/>
        <v>10000000</v>
      </c>
      <c r="J92" s="2770">
        <f t="shared" si="66"/>
        <v>10000000</v>
      </c>
      <c r="K92" s="2770">
        <f t="shared" si="66"/>
        <v>10000000</v>
      </c>
      <c r="L92" s="2770">
        <f t="shared" si="66"/>
        <v>10000000</v>
      </c>
      <c r="M92" s="2770">
        <f t="shared" si="66"/>
        <v>10000000</v>
      </c>
      <c r="N92" s="2770">
        <f t="shared" si="66"/>
        <v>10000000</v>
      </c>
      <c r="O92" s="2770">
        <f t="shared" si="66"/>
        <v>10000000</v>
      </c>
      <c r="P92" s="2770">
        <f t="shared" si="66"/>
        <v>10000000</v>
      </c>
      <c r="Q92" s="2770">
        <f t="shared" si="66"/>
        <v>10000000</v>
      </c>
      <c r="R92" s="2770">
        <f t="shared" si="66"/>
        <v>10000000</v>
      </c>
      <c r="S92" s="2770">
        <f t="shared" si="66"/>
        <v>10000000</v>
      </c>
      <c r="T92" s="2770">
        <f t="shared" si="66"/>
        <v>10000000</v>
      </c>
      <c r="U92" s="2770">
        <f t="shared" si="66"/>
        <v>10000000</v>
      </c>
      <c r="V92" s="2770">
        <f t="shared" si="66"/>
        <v>10000000</v>
      </c>
      <c r="W92" s="2770">
        <f t="shared" si="66"/>
        <v>10000000</v>
      </c>
      <c r="X92" s="2770">
        <f t="shared" si="67"/>
        <v>10000000</v>
      </c>
      <c r="Y92" s="2770">
        <f t="shared" si="67"/>
        <v>10000000</v>
      </c>
      <c r="Z92" s="2770">
        <f t="shared" si="67"/>
        <v>10000000</v>
      </c>
      <c r="AA92" s="2770">
        <f t="shared" si="67"/>
        <v>10000000</v>
      </c>
      <c r="AB92" s="2770">
        <f t="shared" si="67"/>
        <v>10000000</v>
      </c>
      <c r="AC92" s="2770">
        <f t="shared" si="67"/>
        <v>10000000</v>
      </c>
      <c r="AD92" s="2770">
        <f t="shared" si="67"/>
        <v>10000000</v>
      </c>
      <c r="AE92" s="2770">
        <f t="shared" si="67"/>
        <v>10000000</v>
      </c>
      <c r="AF92" s="2770">
        <f t="shared" si="67"/>
        <v>10000000</v>
      </c>
      <c r="AG92" s="2770">
        <f t="shared" si="67"/>
        <v>10000000</v>
      </c>
      <c r="AH92" s="2770">
        <f t="shared" si="67"/>
        <v>10000000</v>
      </c>
      <c r="AI92" s="2770">
        <f t="shared" si="67"/>
        <v>10000000</v>
      </c>
      <c r="AJ92" s="2770">
        <f t="shared" si="67"/>
        <v>10000000</v>
      </c>
      <c r="AK92" s="2770">
        <f t="shared" si="67"/>
        <v>10000000</v>
      </c>
      <c r="AL92" s="2770">
        <f t="shared" si="67"/>
        <v>10000000</v>
      </c>
      <c r="AM92" s="2770">
        <f t="shared" si="67"/>
        <v>10000000</v>
      </c>
      <c r="AN92" s="2770">
        <f t="shared" si="68"/>
        <v>10000000</v>
      </c>
      <c r="AO92" s="2770">
        <f t="shared" si="68"/>
        <v>10000000</v>
      </c>
      <c r="AP92" s="2770">
        <f t="shared" si="68"/>
        <v>10000000</v>
      </c>
      <c r="AQ92" s="2770">
        <f t="shared" si="68"/>
        <v>10000000</v>
      </c>
      <c r="AR92" s="2770">
        <f t="shared" si="68"/>
        <v>10000000</v>
      </c>
      <c r="AS92" s="2770">
        <f t="shared" si="68"/>
        <v>10000000</v>
      </c>
      <c r="AT92" s="2770">
        <f t="shared" si="68"/>
        <v>10000000</v>
      </c>
      <c r="AU92" s="2770">
        <f t="shared" si="68"/>
        <v>10000000</v>
      </c>
      <c r="AV92" s="2694">
        <v>0</v>
      </c>
      <c r="AW92" s="2771"/>
      <c r="AX92" s="2795"/>
      <c r="AY92" s="2760"/>
      <c r="AZ92" s="2760"/>
      <c r="BA92" s="2760"/>
      <c r="BB92" s="2760"/>
      <c r="BC92" s="2760"/>
      <c r="BD92" s="2760"/>
      <c r="BE92" s="2760"/>
      <c r="BF92" s="2760"/>
      <c r="BG92" s="2760"/>
      <c r="BI92" s="2730"/>
      <c r="BJ92" s="2730"/>
    </row>
    <row r="93" spans="1:62" s="2785" customFormat="1" ht="17.25" outlineLevel="1">
      <c r="A93" s="2775" t="s">
        <v>4116</v>
      </c>
      <c r="B93" s="2832" t="s">
        <v>4117</v>
      </c>
      <c r="C93" s="2814">
        <v>0.01</v>
      </c>
      <c r="D93" s="2778"/>
      <c r="E93" s="2815"/>
      <c r="F93" s="2779">
        <f>3340000+658200</f>
        <v>3998200</v>
      </c>
      <c r="G93" s="2779">
        <v>3000000</v>
      </c>
      <c r="H93" s="2780">
        <v>3500000</v>
      </c>
      <c r="I93" s="2780">
        <f t="shared" ref="I93:AU93" si="69">H93*(1+$C$93)</f>
        <v>3535000</v>
      </c>
      <c r="J93" s="2780">
        <f t="shared" si="69"/>
        <v>3570350</v>
      </c>
      <c r="K93" s="2780">
        <f t="shared" si="69"/>
        <v>3606053.5</v>
      </c>
      <c r="L93" s="2780">
        <f t="shared" si="69"/>
        <v>3642114.0350000001</v>
      </c>
      <c r="M93" s="2780">
        <f t="shared" si="69"/>
        <v>3678535.1753500002</v>
      </c>
      <c r="N93" s="2780">
        <f t="shared" si="69"/>
        <v>3715320.5271035</v>
      </c>
      <c r="O93" s="2780">
        <f t="shared" si="69"/>
        <v>3752473.7323745349</v>
      </c>
      <c r="P93" s="2780">
        <f t="shared" si="69"/>
        <v>3789998.4696982801</v>
      </c>
      <c r="Q93" s="2780">
        <f t="shared" si="69"/>
        <v>3827898.454395263</v>
      </c>
      <c r="R93" s="2780">
        <f t="shared" si="69"/>
        <v>3866177.4389392156</v>
      </c>
      <c r="S93" s="2780">
        <f t="shared" si="69"/>
        <v>3904839.2133286078</v>
      </c>
      <c r="T93" s="2780">
        <f t="shared" si="69"/>
        <v>3943887.6054618941</v>
      </c>
      <c r="U93" s="2780">
        <f t="shared" si="69"/>
        <v>3983326.481516513</v>
      </c>
      <c r="V93" s="2780">
        <f t="shared" si="69"/>
        <v>4023159.7463316782</v>
      </c>
      <c r="W93" s="2780">
        <f t="shared" si="69"/>
        <v>4063391.343794995</v>
      </c>
      <c r="X93" s="2780">
        <f t="shared" si="69"/>
        <v>4104025.2572329449</v>
      </c>
      <c r="Y93" s="2780">
        <f t="shared" si="69"/>
        <v>4145065.5098052747</v>
      </c>
      <c r="Z93" s="2780">
        <f t="shared" si="69"/>
        <v>4186516.1649033274</v>
      </c>
      <c r="AA93" s="2780">
        <f t="shared" si="69"/>
        <v>4228381.3265523603</v>
      </c>
      <c r="AB93" s="2780">
        <f t="shared" si="69"/>
        <v>4270665.1398178842</v>
      </c>
      <c r="AC93" s="2780">
        <f t="shared" si="69"/>
        <v>4313371.7912160633</v>
      </c>
      <c r="AD93" s="2780">
        <f t="shared" si="69"/>
        <v>4356505.5091282241</v>
      </c>
      <c r="AE93" s="2780">
        <f t="shared" si="69"/>
        <v>4400070.5642195065</v>
      </c>
      <c r="AF93" s="2780">
        <f t="shared" si="69"/>
        <v>4444071.2698617019</v>
      </c>
      <c r="AG93" s="2780">
        <f t="shared" si="69"/>
        <v>4488511.9825603189</v>
      </c>
      <c r="AH93" s="2780">
        <f t="shared" si="69"/>
        <v>4533397.1023859223</v>
      </c>
      <c r="AI93" s="2780">
        <f t="shared" si="69"/>
        <v>4578731.0734097818</v>
      </c>
      <c r="AJ93" s="2780">
        <f t="shared" si="69"/>
        <v>4624518.3841438796</v>
      </c>
      <c r="AK93" s="2780">
        <f t="shared" si="69"/>
        <v>4670763.5679853186</v>
      </c>
      <c r="AL93" s="2780">
        <f t="shared" si="69"/>
        <v>4717471.2036651717</v>
      </c>
      <c r="AM93" s="2780">
        <f t="shared" si="69"/>
        <v>4764645.9157018233</v>
      </c>
      <c r="AN93" s="2780">
        <f t="shared" si="69"/>
        <v>4812292.3748588413</v>
      </c>
      <c r="AO93" s="2780">
        <f t="shared" si="69"/>
        <v>4860415.2986074295</v>
      </c>
      <c r="AP93" s="2780">
        <f t="shared" si="69"/>
        <v>4909019.4515935043</v>
      </c>
      <c r="AQ93" s="2780">
        <f t="shared" si="69"/>
        <v>4958109.6461094394</v>
      </c>
      <c r="AR93" s="2780">
        <f t="shared" si="69"/>
        <v>5007690.7425705334</v>
      </c>
      <c r="AS93" s="2780">
        <f t="shared" si="69"/>
        <v>5057767.6499962388</v>
      </c>
      <c r="AT93" s="2780">
        <f t="shared" si="69"/>
        <v>5108345.3264962016</v>
      </c>
      <c r="AU93" s="2780">
        <f t="shared" si="69"/>
        <v>5159428.7797611635</v>
      </c>
      <c r="AV93" s="2781">
        <v>0</v>
      </c>
      <c r="AW93" s="2782"/>
      <c r="AX93" s="2816"/>
      <c r="AY93" s="2784"/>
      <c r="AZ93" s="2784"/>
      <c r="BA93" s="2784"/>
      <c r="BB93" s="2784"/>
      <c r="BC93" s="2784"/>
      <c r="BD93" s="2784"/>
      <c r="BE93" s="2784"/>
      <c r="BF93" s="2784"/>
      <c r="BG93" s="2784"/>
      <c r="BI93" s="2786"/>
      <c r="BJ93" s="2786"/>
    </row>
    <row r="94" spans="1:62" ht="18" outlineLevel="1" thickBot="1">
      <c r="A94" s="2833" t="s">
        <v>4118</v>
      </c>
      <c r="B94" s="2834" t="s">
        <v>4119</v>
      </c>
      <c r="C94" s="2787">
        <v>0.01</v>
      </c>
      <c r="D94" s="2764"/>
      <c r="E94" s="2804"/>
      <c r="F94" s="2835">
        <v>3370930</v>
      </c>
      <c r="G94" s="2835"/>
      <c r="H94" s="2770">
        <f>G94*($C$94+1)</f>
        <v>0</v>
      </c>
      <c r="I94" s="2836">
        <f t="shared" ref="I94:AU94" si="70">H94*($C$94+1)</f>
        <v>0</v>
      </c>
      <c r="J94" s="2836">
        <f t="shared" si="70"/>
        <v>0</v>
      </c>
      <c r="K94" s="2836">
        <f t="shared" si="70"/>
        <v>0</v>
      </c>
      <c r="L94" s="2836">
        <f t="shared" si="70"/>
        <v>0</v>
      </c>
      <c r="M94" s="2836">
        <f t="shared" si="70"/>
        <v>0</v>
      </c>
      <c r="N94" s="2836">
        <f t="shared" si="70"/>
        <v>0</v>
      </c>
      <c r="O94" s="2836">
        <f t="shared" si="70"/>
        <v>0</v>
      </c>
      <c r="P94" s="2836">
        <f t="shared" si="70"/>
        <v>0</v>
      </c>
      <c r="Q94" s="2836">
        <f t="shared" si="70"/>
        <v>0</v>
      </c>
      <c r="R94" s="2836">
        <f t="shared" si="70"/>
        <v>0</v>
      </c>
      <c r="S94" s="2836">
        <f t="shared" si="70"/>
        <v>0</v>
      </c>
      <c r="T94" s="2836">
        <f t="shared" si="70"/>
        <v>0</v>
      </c>
      <c r="U94" s="2836">
        <f t="shared" si="70"/>
        <v>0</v>
      </c>
      <c r="V94" s="2836">
        <f t="shared" si="70"/>
        <v>0</v>
      </c>
      <c r="W94" s="2836">
        <f t="shared" si="70"/>
        <v>0</v>
      </c>
      <c r="X94" s="2836">
        <f t="shared" si="70"/>
        <v>0</v>
      </c>
      <c r="Y94" s="2836">
        <f t="shared" si="70"/>
        <v>0</v>
      </c>
      <c r="Z94" s="2836">
        <f t="shared" si="70"/>
        <v>0</v>
      </c>
      <c r="AA94" s="2836">
        <f t="shared" si="70"/>
        <v>0</v>
      </c>
      <c r="AB94" s="2836">
        <f t="shared" si="70"/>
        <v>0</v>
      </c>
      <c r="AC94" s="2836">
        <f t="shared" si="70"/>
        <v>0</v>
      </c>
      <c r="AD94" s="2836">
        <f t="shared" si="70"/>
        <v>0</v>
      </c>
      <c r="AE94" s="2836">
        <f t="shared" si="70"/>
        <v>0</v>
      </c>
      <c r="AF94" s="2836">
        <f t="shared" si="70"/>
        <v>0</v>
      </c>
      <c r="AG94" s="2836">
        <f t="shared" si="70"/>
        <v>0</v>
      </c>
      <c r="AH94" s="2836">
        <f t="shared" si="70"/>
        <v>0</v>
      </c>
      <c r="AI94" s="2836">
        <f t="shared" si="70"/>
        <v>0</v>
      </c>
      <c r="AJ94" s="2836">
        <f t="shared" si="70"/>
        <v>0</v>
      </c>
      <c r="AK94" s="2836">
        <f t="shared" si="70"/>
        <v>0</v>
      </c>
      <c r="AL94" s="2836">
        <f t="shared" si="70"/>
        <v>0</v>
      </c>
      <c r="AM94" s="2836">
        <f t="shared" si="70"/>
        <v>0</v>
      </c>
      <c r="AN94" s="2836">
        <f t="shared" si="70"/>
        <v>0</v>
      </c>
      <c r="AO94" s="2836">
        <f t="shared" si="70"/>
        <v>0</v>
      </c>
      <c r="AP94" s="2836">
        <f t="shared" si="70"/>
        <v>0</v>
      </c>
      <c r="AQ94" s="2836">
        <f t="shared" si="70"/>
        <v>0</v>
      </c>
      <c r="AR94" s="2836">
        <f t="shared" si="70"/>
        <v>0</v>
      </c>
      <c r="AS94" s="2836">
        <f t="shared" si="70"/>
        <v>0</v>
      </c>
      <c r="AT94" s="2836">
        <f t="shared" si="70"/>
        <v>0</v>
      </c>
      <c r="AU94" s="2836">
        <f t="shared" si="70"/>
        <v>0</v>
      </c>
      <c r="AV94" s="2694">
        <v>0</v>
      </c>
      <c r="AW94" s="2809"/>
      <c r="AX94" s="2795"/>
      <c r="AY94" s="2760"/>
      <c r="AZ94" s="2760"/>
      <c r="BA94" s="2760"/>
      <c r="BB94" s="2760"/>
      <c r="BC94" s="2760"/>
      <c r="BD94" s="2760"/>
      <c r="BE94" s="2760"/>
      <c r="BF94" s="2760"/>
      <c r="BG94" s="2760"/>
      <c r="BI94" s="2730"/>
      <c r="BJ94" s="2730"/>
    </row>
    <row r="95" spans="1:62" ht="18" thickTop="1">
      <c r="A95" s="2745" t="s">
        <v>4120</v>
      </c>
      <c r="B95" s="2837"/>
      <c r="C95" s="2747"/>
      <c r="D95" s="2748"/>
      <c r="E95" s="2748"/>
      <c r="F95" s="2750">
        <f>SUM(F96,F106)</f>
        <v>1983992695</v>
      </c>
      <c r="G95" s="2750">
        <f t="shared" ref="G95:AU95" si="71">SUM(G96,G106)</f>
        <v>2263457288.3014355</v>
      </c>
      <c r="H95" s="2750">
        <f t="shared" ca="1" si="71"/>
        <v>2292555776.1599946</v>
      </c>
      <c r="I95" s="2750">
        <f t="shared" ca="1" si="71"/>
        <v>2220022039.4427109</v>
      </c>
      <c r="J95" s="2750">
        <f t="shared" ca="1" si="71"/>
        <v>2289732073.1564665</v>
      </c>
      <c r="K95" s="2750">
        <f t="shared" ca="1" si="71"/>
        <v>2315184736.9711452</v>
      </c>
      <c r="L95" s="2750">
        <f t="shared" ca="1" si="71"/>
        <v>2395709994.0906043</v>
      </c>
      <c r="M95" s="2750">
        <f t="shared" ca="1" si="71"/>
        <v>2388128566.108048</v>
      </c>
      <c r="N95" s="2750">
        <f t="shared" ca="1" si="71"/>
        <v>2456911885.7585778</v>
      </c>
      <c r="O95" s="2750">
        <f t="shared" ca="1" si="71"/>
        <v>2479087357.8665309</v>
      </c>
      <c r="P95" s="2750">
        <f t="shared" ca="1" si="71"/>
        <v>2561425579.5770874</v>
      </c>
      <c r="Q95" s="2750">
        <f t="shared" ca="1" si="71"/>
        <v>2571098514.6854477</v>
      </c>
      <c r="R95" s="2750">
        <f t="shared" ca="1" si="71"/>
        <v>2626133288.9389253</v>
      </c>
      <c r="S95" s="2750">
        <f t="shared" ca="1" si="71"/>
        <v>2686204032.5830884</v>
      </c>
      <c r="T95" s="2750">
        <f t="shared" ca="1" si="71"/>
        <v>2796940999.2799459</v>
      </c>
      <c r="U95" s="2750">
        <f t="shared" ca="1" si="71"/>
        <v>2786497190.6977758</v>
      </c>
      <c r="V95" s="2750">
        <f t="shared" ca="1" si="71"/>
        <v>2852163475.0204048</v>
      </c>
      <c r="W95" s="2750">
        <f t="shared" ca="1" si="71"/>
        <v>2869702442.6993036</v>
      </c>
      <c r="X95" s="2750">
        <f t="shared" ca="1" si="71"/>
        <v>2956043047.8652596</v>
      </c>
      <c r="Y95" s="2750">
        <f t="shared" ca="1" si="71"/>
        <v>2949822304.6196547</v>
      </c>
      <c r="Z95" s="2750">
        <f t="shared" ca="1" si="71"/>
        <v>3033357736.1701241</v>
      </c>
      <c r="AA95" s="2750">
        <f t="shared" ca="1" si="71"/>
        <v>3051217437.8791633</v>
      </c>
      <c r="AB95" s="2750">
        <f t="shared" ca="1" si="71"/>
        <v>3174487573.9852848</v>
      </c>
      <c r="AC95" s="2750">
        <f t="shared" ca="1" si="71"/>
        <v>3187860391.656004</v>
      </c>
      <c r="AD95" s="2750">
        <f t="shared" ca="1" si="71"/>
        <v>3254495465.8611846</v>
      </c>
      <c r="AE95" s="2750">
        <f t="shared" ca="1" si="71"/>
        <v>3209886416.2381792</v>
      </c>
      <c r="AF95" s="2750">
        <f t="shared" ca="1" si="71"/>
        <v>3331667699.0453234</v>
      </c>
      <c r="AG95" s="2750">
        <f t="shared" ca="1" si="71"/>
        <v>3343783578.7723207</v>
      </c>
      <c r="AH95" s="2750">
        <f t="shared" ca="1" si="71"/>
        <v>3419326021.6161633</v>
      </c>
      <c r="AI95" s="2750">
        <f t="shared" ca="1" si="71"/>
        <v>3488592166.6427331</v>
      </c>
      <c r="AJ95" s="2750">
        <f t="shared" ca="1" si="71"/>
        <v>3591289963.9761925</v>
      </c>
      <c r="AK95" s="2750">
        <f t="shared" ca="1" si="71"/>
        <v>3590900736.8195162</v>
      </c>
      <c r="AL95" s="2750">
        <f t="shared" ca="1" si="71"/>
        <v>3577729470.0125852</v>
      </c>
      <c r="AM95" s="2750">
        <f t="shared" ca="1" si="71"/>
        <v>3616180436.8737493</v>
      </c>
      <c r="AN95" s="2750">
        <f t="shared" ca="1" si="71"/>
        <v>3730137359.5052223</v>
      </c>
      <c r="AO95" s="2750">
        <f t="shared" ca="1" si="71"/>
        <v>3744129893.6316614</v>
      </c>
      <c r="AP95" s="2750">
        <f t="shared" ca="1" si="71"/>
        <v>3828823763.56744</v>
      </c>
      <c r="AQ95" s="2750">
        <f t="shared" ca="1" si="71"/>
        <v>3851514059.9829946</v>
      </c>
      <c r="AR95" s="2750">
        <f t="shared" ca="1" si="71"/>
        <v>4006159999.5236945</v>
      </c>
      <c r="AS95" s="2750">
        <f t="shared" ca="1" si="71"/>
        <v>3998162731.3677893</v>
      </c>
      <c r="AT95" s="2750">
        <f t="shared" ca="1" si="71"/>
        <v>4089157535.0954146</v>
      </c>
      <c r="AU95" s="2750">
        <f t="shared" ca="1" si="71"/>
        <v>4143579631.3222384</v>
      </c>
      <c r="AV95" s="2694">
        <v>0</v>
      </c>
      <c r="AW95" s="2809"/>
      <c r="AX95" s="2743"/>
      <c r="AY95" s="2694"/>
      <c r="AZ95" s="2694"/>
      <c r="BA95" s="2694"/>
      <c r="BB95" s="2694"/>
      <c r="BC95" s="2694"/>
      <c r="BD95" s="2694"/>
      <c r="BE95" s="2694"/>
      <c r="BF95" s="2694"/>
      <c r="BG95" s="2694"/>
      <c r="BI95" s="2730"/>
      <c r="BJ95" s="2730"/>
    </row>
    <row r="96" spans="1:62" ht="17.25">
      <c r="A96" s="2752" t="s">
        <v>4012</v>
      </c>
      <c r="B96" s="2753" t="s">
        <v>4121</v>
      </c>
      <c r="C96" s="2754"/>
      <c r="D96" s="2755">
        <v>1</v>
      </c>
      <c r="E96" s="2755"/>
      <c r="F96" s="2756">
        <f>SUM(F97,F105)</f>
        <v>107459349</v>
      </c>
      <c r="G96" s="2756">
        <f t="shared" ref="G96:AU96" si="72">SUM(G97,G105)</f>
        <v>136192593.30143541</v>
      </c>
      <c r="H96" s="2756">
        <f t="shared" si="72"/>
        <v>163453482.8598206</v>
      </c>
      <c r="I96" s="2756">
        <f t="shared" si="72"/>
        <v>164320650.8598206</v>
      </c>
      <c r="J96" s="2756">
        <f t="shared" si="72"/>
        <v>184872249.63393688</v>
      </c>
      <c r="K96" s="2756">
        <f t="shared" si="72"/>
        <v>193306243.09483373</v>
      </c>
      <c r="L96" s="2756">
        <f t="shared" si="72"/>
        <v>194253820.98196971</v>
      </c>
      <c r="M96" s="2756">
        <f t="shared" si="72"/>
        <v>195229826.20571983</v>
      </c>
      <c r="N96" s="2756">
        <f t="shared" si="72"/>
        <v>204124827.26236412</v>
      </c>
      <c r="O96" s="2756">
        <f t="shared" si="72"/>
        <v>214430220.82850131</v>
      </c>
      <c r="P96" s="2756">
        <f t="shared" si="72"/>
        <v>215496728.08863407</v>
      </c>
      <c r="Q96" s="2756">
        <f t="shared" si="72"/>
        <v>225342929.50777459</v>
      </c>
      <c r="R96" s="2756">
        <f t="shared" si="72"/>
        <v>226474387.06004944</v>
      </c>
      <c r="S96" s="2756">
        <f t="shared" si="72"/>
        <v>271234664.10707092</v>
      </c>
      <c r="T96" s="2756">
        <f t="shared" si="72"/>
        <v>293876029.21718216</v>
      </c>
      <c r="U96" s="2756">
        <f t="shared" si="72"/>
        <v>295112403.43390679</v>
      </c>
      <c r="V96" s="2756">
        <f t="shared" si="72"/>
        <v>296385868.87713313</v>
      </c>
      <c r="W96" s="2756">
        <f t="shared" si="72"/>
        <v>296985008.82829434</v>
      </c>
      <c r="X96" s="2756">
        <f t="shared" si="72"/>
        <v>298336028.3170132</v>
      </c>
      <c r="Y96" s="2756">
        <f t="shared" si="72"/>
        <v>299727578.39039361</v>
      </c>
      <c r="Z96" s="2756">
        <f t="shared" si="72"/>
        <v>313562126.25952536</v>
      </c>
      <c r="AA96" s="2756">
        <f t="shared" si="72"/>
        <v>315038421.73237461</v>
      </c>
      <c r="AB96" s="2756">
        <f t="shared" si="72"/>
        <v>347029356.59688878</v>
      </c>
      <c r="AC96" s="2756">
        <f t="shared" si="72"/>
        <v>363140389.84863597</v>
      </c>
      <c r="AD96" s="2756">
        <f t="shared" si="72"/>
        <v>364753577.77179617</v>
      </c>
      <c r="AE96" s="2756">
        <f t="shared" si="72"/>
        <v>301927521.03660321</v>
      </c>
      <c r="AF96" s="2756">
        <f t="shared" si="72"/>
        <v>315686643.04331297</v>
      </c>
      <c r="AG96" s="2756">
        <f t="shared" si="72"/>
        <v>342294655.20359439</v>
      </c>
      <c r="AH96" s="2756">
        <f t="shared" si="72"/>
        <v>344110312.42329675</v>
      </c>
      <c r="AI96" s="2756">
        <f t="shared" si="72"/>
        <v>387429995.13592213</v>
      </c>
      <c r="AJ96" s="2756">
        <f t="shared" si="72"/>
        <v>389356225.8803044</v>
      </c>
      <c r="AK96" s="2756">
        <f t="shared" si="72"/>
        <v>391340243.54701811</v>
      </c>
      <c r="AL96" s="2756">
        <f t="shared" si="72"/>
        <v>300359798.22447234</v>
      </c>
      <c r="AM96" s="2756">
        <f t="shared" si="72"/>
        <v>320983093.32000989</v>
      </c>
      <c r="AN96" s="2756">
        <f t="shared" si="72"/>
        <v>323151082.99290496</v>
      </c>
      <c r="AO96" s="2756">
        <f t="shared" si="72"/>
        <v>337623650.90049559</v>
      </c>
      <c r="AP96" s="2756">
        <f t="shared" si="72"/>
        <v>339923671.14446998</v>
      </c>
      <c r="AQ96" s="2756">
        <f t="shared" si="72"/>
        <v>342292691.9957636</v>
      </c>
      <c r="AR96" s="2756">
        <f t="shared" si="72"/>
        <v>372684070.07778609</v>
      </c>
      <c r="AS96" s="2756">
        <f t="shared" si="72"/>
        <v>375197364.29892349</v>
      </c>
      <c r="AT96" s="2756">
        <f t="shared" si="72"/>
        <v>377786057.34669507</v>
      </c>
      <c r="AU96" s="2756">
        <f t="shared" si="72"/>
        <v>394701490.9878934</v>
      </c>
      <c r="AV96" s="2694">
        <v>0</v>
      </c>
      <c r="AW96" s="2838"/>
      <c r="AX96" s="2759"/>
      <c r="AY96" s="2760"/>
      <c r="AZ96" s="2760"/>
      <c r="BA96" s="2760"/>
      <c r="BB96" s="2760"/>
      <c r="BC96" s="2760"/>
      <c r="BD96" s="2760"/>
      <c r="BE96" s="2760"/>
      <c r="BF96" s="2760"/>
      <c r="BG96" s="2760"/>
      <c r="BI96" s="2730"/>
      <c r="BJ96" s="2730"/>
    </row>
    <row r="97" spans="1:62" ht="17.25" hidden="1" outlineLevel="1">
      <c r="A97" s="2773" t="s">
        <v>4122</v>
      </c>
      <c r="B97" s="2762"/>
      <c r="C97" s="2763"/>
      <c r="D97" s="2764"/>
      <c r="E97" s="2764"/>
      <c r="F97" s="2765">
        <f>SUM(F98:F104)</f>
        <v>93768600</v>
      </c>
      <c r="G97" s="2765">
        <f t="shared" ref="G97:AU97" si="73">SUM(G98:G104)</f>
        <v>130116000</v>
      </c>
      <c r="H97" s="2765">
        <f t="shared" si="73"/>
        <v>153103645.71675748</v>
      </c>
      <c r="I97" s="2765">
        <f t="shared" si="73"/>
        <v>153970813.71675748</v>
      </c>
      <c r="J97" s="2765">
        <f t="shared" si="73"/>
        <v>173010226.66517252</v>
      </c>
      <c r="K97" s="2765">
        <f t="shared" si="73"/>
        <v>180866218.97763115</v>
      </c>
      <c r="L97" s="2765">
        <f t="shared" si="73"/>
        <v>181813796.86476713</v>
      </c>
      <c r="M97" s="2765">
        <f t="shared" si="73"/>
        <v>182789802.08851722</v>
      </c>
      <c r="N97" s="2765">
        <f t="shared" si="73"/>
        <v>191077901.9393014</v>
      </c>
      <c r="O97" s="2765">
        <f t="shared" si="73"/>
        <v>200670222.45741853</v>
      </c>
      <c r="P97" s="2765">
        <f t="shared" si="73"/>
        <v>201736729.71755129</v>
      </c>
      <c r="Q97" s="2765">
        <f t="shared" si="73"/>
        <v>210910031.21813768</v>
      </c>
      <c r="R97" s="2765">
        <f t="shared" si="73"/>
        <v>212041488.77041253</v>
      </c>
      <c r="S97" s="2765">
        <f t="shared" si="73"/>
        <v>253448313.83526644</v>
      </c>
      <c r="T97" s="2765">
        <f t="shared" si="73"/>
        <v>274440371.11515439</v>
      </c>
      <c r="U97" s="2765">
        <f t="shared" si="73"/>
        <v>275676745.33187902</v>
      </c>
      <c r="V97" s="2765">
        <f t="shared" si="73"/>
        <v>276950210.77510536</v>
      </c>
      <c r="W97" s="2765">
        <f t="shared" si="73"/>
        <v>277604160.68437129</v>
      </c>
      <c r="X97" s="2765">
        <f t="shared" si="73"/>
        <v>278955180.17309016</v>
      </c>
      <c r="Y97" s="2765">
        <f t="shared" si="73"/>
        <v>280346730.24647057</v>
      </c>
      <c r="Z97" s="2765">
        <f t="shared" si="73"/>
        <v>293227335.70840621</v>
      </c>
      <c r="AA97" s="2765">
        <f t="shared" si="73"/>
        <v>294703631.18125546</v>
      </c>
      <c r="AB97" s="2765">
        <f t="shared" si="73"/>
        <v>324350692.92827117</v>
      </c>
      <c r="AC97" s="2765">
        <f t="shared" si="73"/>
        <v>339342892.99658751</v>
      </c>
      <c r="AD97" s="2765">
        <f t="shared" si="73"/>
        <v>340956080.91974771</v>
      </c>
      <c r="AE97" s="2765">
        <f t="shared" si="73"/>
        <v>283090611.89963537</v>
      </c>
      <c r="AF97" s="2765">
        <f t="shared" si="73"/>
        <v>295922988.44949675</v>
      </c>
      <c r="AG97" s="2765">
        <f t="shared" si="73"/>
        <v>320619828.44358045</v>
      </c>
      <c r="AH97" s="2765">
        <f t="shared" si="73"/>
        <v>322435485.66328281</v>
      </c>
      <c r="AI97" s="2765">
        <f t="shared" si="73"/>
        <v>362566741.00849801</v>
      </c>
      <c r="AJ97" s="2765">
        <f t="shared" si="73"/>
        <v>364492971.75288028</v>
      </c>
      <c r="AK97" s="2765">
        <f t="shared" si="73"/>
        <v>366476989.41959399</v>
      </c>
      <c r="AL97" s="2765">
        <f t="shared" si="73"/>
        <v>282652235.13699138</v>
      </c>
      <c r="AM97" s="2765">
        <f t="shared" si="73"/>
        <v>301851034.02076578</v>
      </c>
      <c r="AN97" s="2765">
        <f t="shared" si="73"/>
        <v>304019023.69366086</v>
      </c>
      <c r="AO97" s="2765">
        <f t="shared" si="73"/>
        <v>317550088.6362893</v>
      </c>
      <c r="AP97" s="2765">
        <f t="shared" si="73"/>
        <v>319850108.88026369</v>
      </c>
      <c r="AQ97" s="2765">
        <f t="shared" si="73"/>
        <v>322219129.73155731</v>
      </c>
      <c r="AR97" s="2765">
        <f t="shared" si="73"/>
        <v>350460408.84394979</v>
      </c>
      <c r="AS97" s="2765">
        <f t="shared" si="73"/>
        <v>352973703.0650872</v>
      </c>
      <c r="AT97" s="2765">
        <f t="shared" si="73"/>
        <v>355562396.11285877</v>
      </c>
      <c r="AU97" s="2765">
        <f t="shared" si="73"/>
        <v>371381746.69236529</v>
      </c>
      <c r="AV97" s="2694">
        <v>0</v>
      </c>
      <c r="AW97" s="2758"/>
      <c r="AX97" s="2759"/>
      <c r="AY97" s="2774"/>
      <c r="AZ97" s="2774"/>
      <c r="BA97" s="2774"/>
      <c r="BB97" s="2774"/>
      <c r="BC97" s="2774"/>
      <c r="BD97" s="2774"/>
      <c r="BE97" s="2774"/>
      <c r="BF97" s="2774"/>
      <c r="BG97" s="2774"/>
      <c r="BI97" s="2730"/>
      <c r="BJ97" s="2730"/>
    </row>
    <row r="98" spans="1:62" ht="17.25" hidden="1" outlineLevel="1">
      <c r="A98" s="2767" t="s">
        <v>4019</v>
      </c>
      <c r="B98" s="2768"/>
      <c r="C98" s="2763"/>
      <c r="D98" s="2764"/>
      <c r="E98" s="2764"/>
      <c r="F98" s="2769"/>
      <c r="G98" s="2769"/>
      <c r="H98" s="2769">
        <f>인력계획!H78*10^6</f>
        <v>0</v>
      </c>
      <c r="I98" s="2769">
        <f>인력계획!I78*10^6</f>
        <v>0</v>
      </c>
      <c r="J98" s="2769">
        <f>인력계획!J78*10^6</f>
        <v>77066819.791762516</v>
      </c>
      <c r="K98" s="2769">
        <f>인력계획!K78*10^6</f>
        <v>80920160.781350642</v>
      </c>
      <c r="L98" s="2769">
        <f>인력계획!L78*10^6</f>
        <v>80920160.781350642</v>
      </c>
      <c r="M98" s="2769">
        <f>인력계획!M78*10^6</f>
        <v>80920160.781350642</v>
      </c>
      <c r="N98" s="2769">
        <f>인력계획!N78*10^6</f>
        <v>84966168.820418179</v>
      </c>
      <c r="O98" s="2769">
        <f>인력계획!O78*10^6</f>
        <v>84966168.820418179</v>
      </c>
      <c r="P98" s="2769">
        <f>인력계획!P78*10^6</f>
        <v>84966168.820418179</v>
      </c>
      <c r="Q98" s="2769">
        <f>인력계획!Q78*10^6</f>
        <v>89214477.261439085</v>
      </c>
      <c r="R98" s="2769">
        <f>인력계획!R78*10^6</f>
        <v>89214477.261439085</v>
      </c>
      <c r="S98" s="2769">
        <f>인력계획!S78*10^6</f>
        <v>89214477.261439085</v>
      </c>
      <c r="T98" s="2769">
        <f>인력계획!T78*10^6</f>
        <v>187350402.2490221</v>
      </c>
      <c r="U98" s="2769">
        <f>인력계획!U78*10^6</f>
        <v>187350402.2490221</v>
      </c>
      <c r="V98" s="2769">
        <f>인력계획!V78*10^6</f>
        <v>187350402.2490221</v>
      </c>
      <c r="W98" s="2769">
        <f>인력계획!W78*10^6</f>
        <v>98358961.180736601</v>
      </c>
      <c r="X98" s="2769">
        <f>인력계획!X78*10^6</f>
        <v>98358961.180736601</v>
      </c>
      <c r="Y98" s="2769">
        <f>인력계획!Y78*10^6</f>
        <v>98358961.180736601</v>
      </c>
      <c r="Z98" s="2769">
        <f>인력계획!Z78*10^6</f>
        <v>103276909.23977344</v>
      </c>
      <c r="AA98" s="2769">
        <f>인력계획!AA78*10^6</f>
        <v>103276909.23977344</v>
      </c>
      <c r="AB98" s="2769">
        <f>인력계획!AB78*10^6</f>
        <v>103276909.23977344</v>
      </c>
      <c r="AC98" s="2769">
        <f>인력계획!AC78*10^6</f>
        <v>108440754.70176211</v>
      </c>
      <c r="AD98" s="2769">
        <f>인력계획!AD78*10^6</f>
        <v>108440754.70176211</v>
      </c>
      <c r="AE98" s="2769">
        <f>인력계획!AE78*10^6</f>
        <v>0</v>
      </c>
      <c r="AF98" s="2769">
        <f>인력계획!AF78*10^6</f>
        <v>0</v>
      </c>
      <c r="AG98" s="2769">
        <f>인력계획!AG78*10^6</f>
        <v>0</v>
      </c>
      <c r="AH98" s="2769">
        <f>인력계획!AH78*10^6</f>
        <v>0</v>
      </c>
      <c r="AI98" s="2769">
        <f>인력계획!AI78*10^6</f>
        <v>0</v>
      </c>
      <c r="AJ98" s="2769">
        <f>인력계획!AJ78*10^6</f>
        <v>0</v>
      </c>
      <c r="AK98" s="2769">
        <f>인력계획!AK78*10^6</f>
        <v>0</v>
      </c>
      <c r="AL98" s="2769">
        <f>인력계획!AL78*10^6</f>
        <v>125533728.66162738</v>
      </c>
      <c r="AM98" s="2769">
        <f>인력계획!AM78*10^6</f>
        <v>125533728.66162738</v>
      </c>
      <c r="AN98" s="2769">
        <f>인력계획!AN78*10^6</f>
        <v>125533728.66162738</v>
      </c>
      <c r="AO98" s="2769">
        <f>인력계획!AO78*10^6</f>
        <v>131810415.09470876</v>
      </c>
      <c r="AP98" s="2769">
        <f>인력계획!AP78*10^6</f>
        <v>131810415.09470876</v>
      </c>
      <c r="AQ98" s="2769">
        <f>인력계획!AQ78*10^6</f>
        <v>131810415.09470876</v>
      </c>
      <c r="AR98" s="2769">
        <f>인력계획!AR78*10^6</f>
        <v>138400935.84944421</v>
      </c>
      <c r="AS98" s="2769">
        <f>인력계획!AS78*10^6</f>
        <v>138400935.84944421</v>
      </c>
      <c r="AT98" s="2769">
        <f>인력계획!AT78*10^6</f>
        <v>138400935.84944421</v>
      </c>
      <c r="AU98" s="2769">
        <f>인력계획!AU78*10^6</f>
        <v>145320982.64191642</v>
      </c>
      <c r="AV98" s="2694">
        <v>0</v>
      </c>
      <c r="AW98" s="2758"/>
      <c r="AX98" s="2759"/>
      <c r="AY98" s="2760"/>
      <c r="AZ98" s="2760"/>
      <c r="BA98" s="2760"/>
      <c r="BB98" s="2760"/>
      <c r="BC98" s="2760"/>
      <c r="BD98" s="2760"/>
      <c r="BE98" s="2760"/>
      <c r="BF98" s="2760"/>
      <c r="BG98" s="2760"/>
      <c r="BI98" s="2730"/>
      <c r="BJ98" s="2730"/>
    </row>
    <row r="99" spans="1:62" ht="17.25" hidden="1" outlineLevel="1">
      <c r="A99" s="2767" t="s">
        <v>4020</v>
      </c>
      <c r="B99" s="2768" t="s">
        <v>4123</v>
      </c>
      <c r="C99" s="2763"/>
      <c r="D99" s="2764"/>
      <c r="E99" s="2764"/>
      <c r="F99" s="2769">
        <v>67368000</v>
      </c>
      <c r="G99" s="2769">
        <v>63500400</v>
      </c>
      <c r="H99" s="2769">
        <f>인력계획!H79*10^6</f>
        <v>69414795.13158749</v>
      </c>
      <c r="I99" s="2769">
        <f>인력계획!I79*10^6</f>
        <v>69414795.13158749</v>
      </c>
      <c r="J99" s="2769">
        <f>인력계획!J79*10^6</f>
        <v>0</v>
      </c>
      <c r="K99" s="2769">
        <f>인력계획!K79*10^6</f>
        <v>0</v>
      </c>
      <c r="L99" s="2769">
        <f>인력계획!L79*10^6</f>
        <v>0</v>
      </c>
      <c r="M99" s="2769">
        <f>인력계획!M79*10^6</f>
        <v>0</v>
      </c>
      <c r="N99" s="2769">
        <f>인력계획!N79*10^6</f>
        <v>0</v>
      </c>
      <c r="O99" s="2769">
        <f>인력계획!O79*10^6</f>
        <v>76529811.632575214</v>
      </c>
      <c r="P99" s="2769">
        <f>인력계획!P79*10^6</f>
        <v>76529811.632575214</v>
      </c>
      <c r="Q99" s="2769">
        <f>인력계획!Q79*10^6</f>
        <v>80356302.214203984</v>
      </c>
      <c r="R99" s="2769">
        <f>인력계획!R79*10^6</f>
        <v>80356302.214203984</v>
      </c>
      <c r="S99" s="2769">
        <f>인력계획!S79*10^6</f>
        <v>80356302.214203984</v>
      </c>
      <c r="T99" s="2769">
        <f>인력계획!T79*10^6</f>
        <v>0</v>
      </c>
      <c r="U99" s="2769">
        <f>인력계획!U79*10^6</f>
        <v>0</v>
      </c>
      <c r="V99" s="2769">
        <f>인력계획!V79*10^6</f>
        <v>0</v>
      </c>
      <c r="W99" s="2769">
        <f>인력계획!W79*10^6</f>
        <v>0</v>
      </c>
      <c r="X99" s="2769">
        <f>인력계획!X79*10^6</f>
        <v>0</v>
      </c>
      <c r="Y99" s="2769">
        <f>인력계획!Y79*10^6</f>
        <v>0</v>
      </c>
      <c r="Z99" s="2769">
        <f>인력계획!Z79*10^6</f>
        <v>0</v>
      </c>
      <c r="AA99" s="2769">
        <f>인력계획!AA79*10^6</f>
        <v>0</v>
      </c>
      <c r="AB99" s="2769">
        <f>인력계획!AB79*10^6</f>
        <v>0</v>
      </c>
      <c r="AC99" s="2769">
        <f>인력계획!AC79*10^6</f>
        <v>0</v>
      </c>
      <c r="AD99" s="2769">
        <f>인력계획!AD79*10^6</f>
        <v>0</v>
      </c>
      <c r="AE99" s="2769">
        <f>인력계획!AE79*10^6</f>
        <v>0</v>
      </c>
      <c r="AF99" s="2769">
        <f>인력계획!AF79*10^6</f>
        <v>0</v>
      </c>
      <c r="AG99" s="2769">
        <f>인력계획!AG79*10^6</f>
        <v>205114533.89333299</v>
      </c>
      <c r="AH99" s="2769">
        <f>인력계획!AH79*10^6</f>
        <v>205114533.89333299</v>
      </c>
      <c r="AI99" s="2769">
        <f>인력계획!AI79*10^6</f>
        <v>215370260.58799964</v>
      </c>
      <c r="AJ99" s="2769">
        <f>인력계획!AJ79*10^6</f>
        <v>215370260.58799964</v>
      </c>
      <c r="AK99" s="2769">
        <f>인력계획!AK79*10^6</f>
        <v>215370260.58799964</v>
      </c>
      <c r="AL99" s="2769">
        <f>인력계획!AL79*10^6</f>
        <v>0</v>
      </c>
      <c r="AM99" s="2769">
        <f>인력계획!AM79*10^6</f>
        <v>0</v>
      </c>
      <c r="AN99" s="2769">
        <f>인력계획!AN79*10^6</f>
        <v>0</v>
      </c>
      <c r="AO99" s="2769">
        <f>인력계획!AO79*10^6</f>
        <v>0</v>
      </c>
      <c r="AP99" s="2769">
        <f>인력계획!AP79*10^6</f>
        <v>0</v>
      </c>
      <c r="AQ99" s="2769">
        <f>인력계획!AQ79*10^6</f>
        <v>0</v>
      </c>
      <c r="AR99" s="2769">
        <f>인력계획!AR79*10^6</f>
        <v>124658998.95659156</v>
      </c>
      <c r="AS99" s="2769">
        <f>인력계획!AS79*10^6</f>
        <v>124658998.95659156</v>
      </c>
      <c r="AT99" s="2769">
        <f>인력계획!AT79*10^6</f>
        <v>124658998.95659156</v>
      </c>
      <c r="AU99" s="2769">
        <f>인력계획!AU79*10^6</f>
        <v>130891948.90442115</v>
      </c>
      <c r="AV99" s="2694">
        <v>0</v>
      </c>
      <c r="AW99" s="2771"/>
      <c r="AX99" s="2759"/>
      <c r="AY99" s="2760"/>
      <c r="AZ99" s="2760"/>
      <c r="BA99" s="2760"/>
      <c r="BB99" s="2760"/>
      <c r="BC99" s="2760"/>
      <c r="BD99" s="2760"/>
      <c r="BE99" s="2760"/>
      <c r="BF99" s="2760"/>
      <c r="BG99" s="2760"/>
      <c r="BI99" s="2730"/>
      <c r="BJ99" s="2730"/>
    </row>
    <row r="100" spans="1:62" ht="17.25" hidden="1" outlineLevel="1">
      <c r="A100" s="2767" t="s">
        <v>4021</v>
      </c>
      <c r="B100" s="2768"/>
      <c r="C100" s="2763"/>
      <c r="D100" s="2764"/>
      <c r="E100" s="2764"/>
      <c r="F100" s="2769"/>
      <c r="G100" s="2769"/>
      <c r="H100" s="2769">
        <f>인력계획!H80*10^6</f>
        <v>0</v>
      </c>
      <c r="I100" s="2769">
        <f>인력계획!I80*10^6</f>
        <v>0</v>
      </c>
      <c r="J100" s="2769">
        <f>인력계획!J80*10^6</f>
        <v>61653455.83341001</v>
      </c>
      <c r="K100" s="2769">
        <f>인력계획!K80*10^6</f>
        <v>64736128.625080511</v>
      </c>
      <c r="L100" s="2769">
        <f>인력계획!L80*10^6</f>
        <v>64736128.625080511</v>
      </c>
      <c r="M100" s="2769">
        <f>인력계획!M80*10^6</f>
        <v>64736128.625080511</v>
      </c>
      <c r="N100" s="2769">
        <f>인력계획!N80*10^6</f>
        <v>67972935.05633454</v>
      </c>
      <c r="O100" s="2769">
        <f>인력계획!O80*10^6</f>
        <v>0</v>
      </c>
      <c r="P100" s="2769">
        <f>인력계획!P80*10^6</f>
        <v>0</v>
      </c>
      <c r="Q100" s="2769">
        <f>인력계획!Q80*10^6</f>
        <v>0</v>
      </c>
      <c r="R100" s="2769">
        <f>인력계획!R80*10^6</f>
        <v>0</v>
      </c>
      <c r="S100" s="2769">
        <f>인력계획!S80*10^6</f>
        <v>0</v>
      </c>
      <c r="T100" s="2769">
        <f>인력계획!T80*10^6</f>
        <v>0</v>
      </c>
      <c r="U100" s="2769">
        <f>인력계획!U80*10^6</f>
        <v>0</v>
      </c>
      <c r="V100" s="2769">
        <f>인력계획!V80*10^6</f>
        <v>0</v>
      </c>
      <c r="W100" s="2769">
        <f>인력계획!W80*10^6</f>
        <v>0</v>
      </c>
      <c r="X100" s="2769">
        <f>인력계획!X80*10^6</f>
        <v>0</v>
      </c>
      <c r="Y100" s="2769">
        <f>인력계획!Y80*10^6</f>
        <v>0</v>
      </c>
      <c r="Z100" s="2769">
        <f>인력계획!Z80*10^6</f>
        <v>0</v>
      </c>
      <c r="AA100" s="2769">
        <f>인력계획!AA80*10^6</f>
        <v>0</v>
      </c>
      <c r="AB100" s="2769">
        <f>인력계획!AB80*10^6</f>
        <v>165243054.78363749</v>
      </c>
      <c r="AC100" s="2769">
        <f>인력계획!AC80*10^6</f>
        <v>173505207.52281937</v>
      </c>
      <c r="AD100" s="2769">
        <f>인력계획!AD80*10^6</f>
        <v>173505207.52281937</v>
      </c>
      <c r="AE100" s="2769">
        <f>인력계획!AE80*10^6</f>
        <v>173505207.52281937</v>
      </c>
      <c r="AF100" s="2769">
        <f>인력계획!AF80*10^6</f>
        <v>182180467.89896035</v>
      </c>
      <c r="AG100" s="2769">
        <f>인력계획!AG80*10^6</f>
        <v>0</v>
      </c>
      <c r="AH100" s="2769">
        <f>인력계획!AH80*10^6</f>
        <v>0</v>
      </c>
      <c r="AI100" s="2769">
        <f>인력계획!AI80*10^6</f>
        <v>0</v>
      </c>
      <c r="AJ100" s="2769">
        <f>인력계획!AJ80*10^6</f>
        <v>0</v>
      </c>
      <c r="AK100" s="2769">
        <f>인력계획!AK80*10^6</f>
        <v>0</v>
      </c>
      <c r="AL100" s="2769">
        <f>인력계획!AL80*10^6</f>
        <v>0</v>
      </c>
      <c r="AM100" s="2769">
        <f>인력계획!AM80*10^6</f>
        <v>100426982.9293019</v>
      </c>
      <c r="AN100" s="2769">
        <f>인력계획!AN80*10^6</f>
        <v>100426982.9293019</v>
      </c>
      <c r="AO100" s="2769">
        <f>인력계획!AO80*10^6</f>
        <v>105448332.075767</v>
      </c>
      <c r="AP100" s="2769">
        <f>인력계획!AP80*10^6</f>
        <v>105448332.075767</v>
      </c>
      <c r="AQ100" s="2769">
        <f>인력계획!AQ80*10^6</f>
        <v>105448332.075767</v>
      </c>
      <c r="AR100" s="2769">
        <f>인력계획!AR80*10^6</f>
        <v>0</v>
      </c>
      <c r="AS100" s="2769">
        <f>인력계획!AS80*10^6</f>
        <v>0</v>
      </c>
      <c r="AT100" s="2769">
        <f>인력계획!AT80*10^6</f>
        <v>0</v>
      </c>
      <c r="AU100" s="2769">
        <f>인력계획!AU80*10^6</f>
        <v>0</v>
      </c>
      <c r="AV100" s="2694">
        <v>0</v>
      </c>
      <c r="AW100" s="2771"/>
      <c r="AX100" s="2759"/>
      <c r="AY100" s="2760"/>
      <c r="AZ100" s="2760"/>
      <c r="BA100" s="2760"/>
      <c r="BB100" s="2760"/>
      <c r="BC100" s="2760"/>
      <c r="BD100" s="2760"/>
      <c r="BE100" s="2760"/>
      <c r="BF100" s="2760"/>
      <c r="BG100" s="2760"/>
      <c r="BI100" s="2730"/>
      <c r="BJ100" s="2730"/>
    </row>
    <row r="101" spans="1:62" ht="17.25" hidden="1" outlineLevel="1">
      <c r="A101" s="2767" t="s">
        <v>4022</v>
      </c>
      <c r="B101" s="2768"/>
      <c r="C101" s="2763"/>
      <c r="D101" s="2764"/>
      <c r="E101" s="2764"/>
      <c r="F101" s="2769"/>
      <c r="G101" s="2769">
        <v>34086000</v>
      </c>
      <c r="H101" s="2769">
        <f>인력계획!H81*10^6</f>
        <v>51159250.585170001</v>
      </c>
      <c r="I101" s="2769">
        <f>인력계획!I81*10^6</f>
        <v>51159250.585170001</v>
      </c>
      <c r="J101" s="2769">
        <f>인력계획!J81*10^6</f>
        <v>0</v>
      </c>
      <c r="K101" s="2769">
        <f>인력계획!K81*10^6</f>
        <v>0</v>
      </c>
      <c r="L101" s="2769">
        <f>인력계획!L81*10^6</f>
        <v>0</v>
      </c>
      <c r="M101" s="2769">
        <f>인력계획!M81*10^6</f>
        <v>0</v>
      </c>
      <c r="N101" s="2769">
        <f>인력계획!N81*10^6</f>
        <v>0</v>
      </c>
      <c r="O101" s="2769">
        <f>인력계획!O81*10^6</f>
        <v>0</v>
      </c>
      <c r="P101" s="2769">
        <f>인력계획!P81*10^6</f>
        <v>0</v>
      </c>
      <c r="Q101" s="2769">
        <f>인력계획!Q81*10^6</f>
        <v>0</v>
      </c>
      <c r="R101" s="2769">
        <f>인력계획!R81*10^6</f>
        <v>0</v>
      </c>
      <c r="S101" s="2769">
        <f>인력계획!S81*10^6</f>
        <v>0</v>
      </c>
      <c r="T101" s="2769">
        <f>인력계획!T81*10^6</f>
        <v>0</v>
      </c>
      <c r="U101" s="2769">
        <f>인력계획!U81*10^6</f>
        <v>0</v>
      </c>
      <c r="V101" s="2769">
        <f>인력계획!V81*10^6</f>
        <v>0</v>
      </c>
      <c r="W101" s="2769">
        <f>인력계획!W81*10^6</f>
        <v>130587216.54633962</v>
      </c>
      <c r="X101" s="2769">
        <f>인력계획!X81*10^6</f>
        <v>130587216.54633962</v>
      </c>
      <c r="Y101" s="2769">
        <f>인력계획!Y81*10^6</f>
        <v>130587216.54633962</v>
      </c>
      <c r="Z101" s="2769">
        <f>인력계획!Z81*10^6</f>
        <v>137116577.3736566</v>
      </c>
      <c r="AA101" s="2769">
        <f>인력계획!AA81*10^6</f>
        <v>137116577.3736566</v>
      </c>
      <c r="AB101" s="2769">
        <f>인력계획!AB81*10^6</f>
        <v>0</v>
      </c>
      <c r="AC101" s="2769">
        <f>인력계획!AC81*10^6</f>
        <v>0</v>
      </c>
      <c r="AD101" s="2769">
        <f>인력계획!AD81*10^6</f>
        <v>0</v>
      </c>
      <c r="AE101" s="2769">
        <f>인력계획!AE81*10^6</f>
        <v>0</v>
      </c>
      <c r="AF101" s="2769">
        <f>인력계획!AF81*10^6</f>
        <v>0</v>
      </c>
      <c r="AG101" s="2769">
        <f>인력계획!AG81*10^6</f>
        <v>0</v>
      </c>
      <c r="AH101" s="2769">
        <f>인력계획!AH81*10^6</f>
        <v>0</v>
      </c>
      <c r="AI101" s="2769">
        <f>인력계획!AI81*10^6</f>
        <v>79364788.94108963</v>
      </c>
      <c r="AJ101" s="2769">
        <f>인력계획!AJ81*10^6</f>
        <v>79364788.94108963</v>
      </c>
      <c r="AK101" s="2769">
        <f>인력계획!AK81*10^6</f>
        <v>79364788.94108963</v>
      </c>
      <c r="AL101" s="2769">
        <f>인력계획!AL81*10^6</f>
        <v>83333028.388144121</v>
      </c>
      <c r="AM101" s="2769">
        <f>인력계획!AM81*10^6</f>
        <v>0</v>
      </c>
      <c r="AN101" s="2769">
        <f>인력계획!AN81*10^6</f>
        <v>0</v>
      </c>
      <c r="AO101" s="2769">
        <f>인력계획!AO81*10^6</f>
        <v>0</v>
      </c>
      <c r="AP101" s="2769">
        <f>인력계획!AP81*10^6</f>
        <v>0</v>
      </c>
      <c r="AQ101" s="2769">
        <f>인력계획!AQ81*10^6</f>
        <v>0</v>
      </c>
      <c r="AR101" s="2769">
        <f>인력계획!AR81*10^6</f>
        <v>0</v>
      </c>
      <c r="AS101" s="2769">
        <f>인력계획!AS81*10^6</f>
        <v>0</v>
      </c>
      <c r="AT101" s="2769">
        <f>인력계획!AT81*10^6</f>
        <v>0</v>
      </c>
      <c r="AU101" s="2769">
        <f>인력계획!AU81*10^6</f>
        <v>0</v>
      </c>
      <c r="AV101" s="2694">
        <v>0</v>
      </c>
      <c r="AW101" s="2771"/>
      <c r="AX101" s="2759"/>
      <c r="AY101" s="2760"/>
      <c r="AZ101" s="2760"/>
      <c r="BA101" s="2760"/>
      <c r="BB101" s="2760"/>
      <c r="BC101" s="2760"/>
      <c r="BD101" s="2760"/>
      <c r="BE101" s="2760"/>
      <c r="BF101" s="2760"/>
      <c r="BG101" s="2760"/>
      <c r="BI101" s="2730"/>
      <c r="BJ101" s="2730"/>
    </row>
    <row r="102" spans="1:62" ht="17.25" hidden="1" outlineLevel="1">
      <c r="A102" s="2767" t="s">
        <v>4023</v>
      </c>
      <c r="B102" s="2768"/>
      <c r="C102" s="2763"/>
      <c r="D102" s="2764"/>
      <c r="E102" s="2764"/>
      <c r="F102" s="2769"/>
      <c r="G102" s="2769"/>
      <c r="H102" s="2769">
        <f>인력계획!H82*10^6</f>
        <v>0</v>
      </c>
      <c r="I102" s="2769">
        <f>인력계획!I82*10^6</f>
        <v>0</v>
      </c>
      <c r="J102" s="2769">
        <f>인력계획!J82*10^6</f>
        <v>0</v>
      </c>
      <c r="K102" s="2769">
        <f>인력계획!K82*10^6</f>
        <v>0</v>
      </c>
      <c r="L102" s="2769">
        <f>인력계획!L82*10^6</f>
        <v>0</v>
      </c>
      <c r="M102" s="2769">
        <f>인력계획!M82*10^6</f>
        <v>0</v>
      </c>
      <c r="N102" s="2769">
        <f>인력계획!N82*10^6</f>
        <v>0</v>
      </c>
      <c r="O102" s="2769">
        <f>인력계획!O82*10^6</f>
        <v>0</v>
      </c>
      <c r="P102" s="2769">
        <f>인력계획!P82*10^6</f>
        <v>0</v>
      </c>
      <c r="Q102" s="2769">
        <f>인력계획!Q82*10^6</f>
        <v>0</v>
      </c>
      <c r="R102" s="2769">
        <f>인력계획!R82*10^6</f>
        <v>0</v>
      </c>
      <c r="S102" s="2769">
        <f>인력계획!S82*10^6</f>
        <v>40241423.786010817</v>
      </c>
      <c r="T102" s="2769">
        <f>인력계획!T82*10^6</f>
        <v>42253494.975311361</v>
      </c>
      <c r="U102" s="2769">
        <f>인력계획!U82*10^6</f>
        <v>42253494.975311361</v>
      </c>
      <c r="V102" s="2769">
        <f>인력계획!V82*10^6</f>
        <v>42253494.975311361</v>
      </c>
      <c r="W102" s="2769">
        <f>인력계획!W82*10^6</f>
        <v>0</v>
      </c>
      <c r="X102" s="2769">
        <f>인력계획!X82*10^6</f>
        <v>0</v>
      </c>
      <c r="Y102" s="2769">
        <f>인력계획!Y82*10^6</f>
        <v>0</v>
      </c>
      <c r="Z102" s="2769">
        <f>인력계획!Z82*10^6</f>
        <v>0</v>
      </c>
      <c r="AA102" s="2769">
        <f>인력계획!AA82*10^6</f>
        <v>0</v>
      </c>
      <c r="AB102" s="2769">
        <f>인력계획!AB82*10^6</f>
        <v>0</v>
      </c>
      <c r="AC102" s="2769">
        <f>인력계획!AC82*10^6</f>
        <v>0</v>
      </c>
      <c r="AD102" s="2769">
        <f>인력계획!AD82*10^6</f>
        <v>0</v>
      </c>
      <c r="AE102" s="2769">
        <f>인력계획!AE82*10^6</f>
        <v>48913702.120794818</v>
      </c>
      <c r="AF102" s="2769">
        <f>인력계획!AF82*10^6</f>
        <v>51359387.226834558</v>
      </c>
      <c r="AG102" s="2769">
        <f>인력계획!AG82*10^6</f>
        <v>51359387.226834558</v>
      </c>
      <c r="AH102" s="2769">
        <f>인력계획!AH82*10^6</f>
        <v>51359387.226834558</v>
      </c>
      <c r="AI102" s="2769">
        <f>인력계획!AI82*10^6</f>
        <v>0</v>
      </c>
      <c r="AJ102" s="2769">
        <f>인력계획!AJ82*10^6</f>
        <v>0</v>
      </c>
      <c r="AK102" s="2769">
        <f>인력계획!AK82*10^6</f>
        <v>0</v>
      </c>
      <c r="AL102" s="2769">
        <f>인력계획!AL82*10^6</f>
        <v>0</v>
      </c>
      <c r="AM102" s="2769">
        <f>인력계획!AM82*10^6</f>
        <v>0</v>
      </c>
      <c r="AN102" s="2769">
        <f>인력계획!AN82*10^6</f>
        <v>0</v>
      </c>
      <c r="AO102" s="2769">
        <f>인력계획!AO82*10^6</f>
        <v>0</v>
      </c>
      <c r="AP102" s="2769">
        <f>인력계획!AP82*10^6</f>
        <v>0</v>
      </c>
      <c r="AQ102" s="2769">
        <f>인력계획!AQ82*10^6</f>
        <v>0</v>
      </c>
      <c r="AR102" s="2769">
        <f>인력계획!AR82*10^6</f>
        <v>0</v>
      </c>
      <c r="AS102" s="2769">
        <f>인력계획!AS82*10^6</f>
        <v>0</v>
      </c>
      <c r="AT102" s="2769">
        <f>인력계획!AT82*10^6</f>
        <v>0</v>
      </c>
      <c r="AU102" s="2769">
        <f>인력계획!AU82*10^6</f>
        <v>0</v>
      </c>
      <c r="AV102" s="2694">
        <v>0</v>
      </c>
      <c r="AW102" s="2771"/>
      <c r="AX102" s="2759"/>
      <c r="AY102" s="2760"/>
      <c r="AZ102" s="2760"/>
      <c r="BA102" s="2760"/>
      <c r="BB102" s="2760"/>
      <c r="BC102" s="2760"/>
      <c r="BD102" s="2760"/>
      <c r="BE102" s="2760"/>
      <c r="BF102" s="2760"/>
      <c r="BG102" s="2760"/>
      <c r="BI102" s="2730"/>
      <c r="BJ102" s="2730"/>
    </row>
    <row r="103" spans="1:62" ht="17.25" hidden="1" outlineLevel="1">
      <c r="A103" s="2767" t="s">
        <v>4124</v>
      </c>
      <c r="B103" s="2768" t="s">
        <v>4125</v>
      </c>
      <c r="C103" s="2787">
        <v>0.03</v>
      </c>
      <c r="D103" s="2764"/>
      <c r="E103" s="2804"/>
      <c r="F103" s="2769">
        <v>26400600</v>
      </c>
      <c r="G103" s="2769">
        <v>28905600</v>
      </c>
      <c r="H103" s="2769">
        <v>28905600</v>
      </c>
      <c r="I103" s="2769">
        <f>H103*(1+$C$103)</f>
        <v>29772768</v>
      </c>
      <c r="J103" s="2769">
        <f t="shared" ref="J103:AU103" si="74">I103*(1+$C$103)</f>
        <v>30665951.039999999</v>
      </c>
      <c r="K103" s="2769">
        <f t="shared" si="74"/>
        <v>31585929.571199998</v>
      </c>
      <c r="L103" s="2769">
        <f t="shared" si="74"/>
        <v>32533507.458335999</v>
      </c>
      <c r="M103" s="2769">
        <f t="shared" si="74"/>
        <v>33509512.68208608</v>
      </c>
      <c r="N103" s="2769">
        <f t="shared" si="74"/>
        <v>34514798.062548667</v>
      </c>
      <c r="O103" s="2769">
        <f t="shared" si="74"/>
        <v>35550242.004425131</v>
      </c>
      <c r="P103" s="2769">
        <f t="shared" si="74"/>
        <v>36616749.264557883</v>
      </c>
      <c r="Q103" s="2769">
        <f t="shared" si="74"/>
        <v>37715251.74249462</v>
      </c>
      <c r="R103" s="2769">
        <f t="shared" si="74"/>
        <v>38846709.294769458</v>
      </c>
      <c r="S103" s="2769">
        <f t="shared" si="74"/>
        <v>40012110.573612541</v>
      </c>
      <c r="T103" s="2769">
        <f t="shared" si="74"/>
        <v>41212473.89082092</v>
      </c>
      <c r="U103" s="2769">
        <f t="shared" si="74"/>
        <v>42448848.107545547</v>
      </c>
      <c r="V103" s="2769">
        <f t="shared" si="74"/>
        <v>43722313.550771914</v>
      </c>
      <c r="W103" s="2769">
        <f t="shared" si="74"/>
        <v>45033982.957295075</v>
      </c>
      <c r="X103" s="2769">
        <f t="shared" si="74"/>
        <v>46385002.446013927</v>
      </c>
      <c r="Y103" s="2769">
        <f t="shared" si="74"/>
        <v>47776552.519394346</v>
      </c>
      <c r="Z103" s="2769">
        <f t="shared" si="74"/>
        <v>49209849.094976179</v>
      </c>
      <c r="AA103" s="2769">
        <f t="shared" si="74"/>
        <v>50686144.567825466</v>
      </c>
      <c r="AB103" s="2769">
        <f t="shared" si="74"/>
        <v>52206728.904860228</v>
      </c>
      <c r="AC103" s="2769">
        <f t="shared" si="74"/>
        <v>53772930.772006035</v>
      </c>
      <c r="AD103" s="2769">
        <f t="shared" si="74"/>
        <v>55386118.695166215</v>
      </c>
      <c r="AE103" s="2769">
        <f t="shared" si="74"/>
        <v>57047702.256021202</v>
      </c>
      <c r="AF103" s="2769">
        <f t="shared" si="74"/>
        <v>58759133.323701836</v>
      </c>
      <c r="AG103" s="2769">
        <f t="shared" si="74"/>
        <v>60521907.323412895</v>
      </c>
      <c r="AH103" s="2769">
        <f t="shared" si="74"/>
        <v>62337564.543115281</v>
      </c>
      <c r="AI103" s="2769">
        <f t="shared" si="74"/>
        <v>64207691.479408741</v>
      </c>
      <c r="AJ103" s="2769">
        <f t="shared" si="74"/>
        <v>66133922.223791003</v>
      </c>
      <c r="AK103" s="2769">
        <f t="shared" si="74"/>
        <v>68117939.890504733</v>
      </c>
      <c r="AL103" s="2769">
        <f t="shared" si="74"/>
        <v>70161478.087219879</v>
      </c>
      <c r="AM103" s="2769">
        <f t="shared" si="74"/>
        <v>72266322.429836482</v>
      </c>
      <c r="AN103" s="2769">
        <f t="shared" si="74"/>
        <v>74434312.102731586</v>
      </c>
      <c r="AO103" s="2769">
        <f t="shared" si="74"/>
        <v>76667341.465813532</v>
      </c>
      <c r="AP103" s="2769">
        <f t="shared" si="74"/>
        <v>78967361.709787935</v>
      </c>
      <c r="AQ103" s="2769">
        <f t="shared" si="74"/>
        <v>81336382.561081573</v>
      </c>
      <c r="AR103" s="2769">
        <f t="shared" si="74"/>
        <v>83776474.037914023</v>
      </c>
      <c r="AS103" s="2769">
        <f t="shared" si="74"/>
        <v>86289768.259051442</v>
      </c>
      <c r="AT103" s="2769">
        <f t="shared" si="74"/>
        <v>88878461.306822985</v>
      </c>
      <c r="AU103" s="2769">
        <f t="shared" si="74"/>
        <v>91544815.146027684</v>
      </c>
      <c r="AV103" s="2694">
        <v>0</v>
      </c>
      <c r="AW103" s="2771"/>
      <c r="AX103" s="2795"/>
      <c r="AY103" s="2760"/>
      <c r="AZ103" s="2760"/>
      <c r="BA103" s="2760"/>
      <c r="BB103" s="2760"/>
      <c r="BC103" s="2760"/>
      <c r="BD103" s="2760"/>
      <c r="BE103" s="2760"/>
      <c r="BF103" s="2760"/>
      <c r="BG103" s="2760"/>
      <c r="BI103" s="2730"/>
      <c r="BJ103" s="2730"/>
    </row>
    <row r="104" spans="1:62" ht="17.25" hidden="1" outlineLevel="1">
      <c r="A104" s="2767" t="s">
        <v>4126</v>
      </c>
      <c r="B104" s="2768"/>
      <c r="C104" s="2787">
        <v>0.01</v>
      </c>
      <c r="D104" s="2764"/>
      <c r="E104" s="2764"/>
      <c r="F104" s="2769"/>
      <c r="G104" s="2770">
        <v>3624000</v>
      </c>
      <c r="H104" s="2770">
        <f t="shared" ref="H104:AU104" si="75">G104+(G104*$C$24)</f>
        <v>3624000</v>
      </c>
      <c r="I104" s="2770">
        <f t="shared" si="75"/>
        <v>3624000</v>
      </c>
      <c r="J104" s="2770">
        <f t="shared" si="75"/>
        <v>3624000</v>
      </c>
      <c r="K104" s="2770">
        <f t="shared" si="75"/>
        <v>3624000</v>
      </c>
      <c r="L104" s="2770">
        <f t="shared" si="75"/>
        <v>3624000</v>
      </c>
      <c r="M104" s="2770">
        <f t="shared" si="75"/>
        <v>3624000</v>
      </c>
      <c r="N104" s="2770">
        <f t="shared" si="75"/>
        <v>3624000</v>
      </c>
      <c r="O104" s="2770">
        <f t="shared" si="75"/>
        <v>3624000</v>
      </c>
      <c r="P104" s="2770">
        <f t="shared" si="75"/>
        <v>3624000</v>
      </c>
      <c r="Q104" s="2770">
        <f t="shared" si="75"/>
        <v>3624000</v>
      </c>
      <c r="R104" s="2770">
        <f t="shared" si="75"/>
        <v>3624000</v>
      </c>
      <c r="S104" s="2770">
        <f t="shared" si="75"/>
        <v>3624000</v>
      </c>
      <c r="T104" s="2770">
        <f t="shared" si="75"/>
        <v>3624000</v>
      </c>
      <c r="U104" s="2770">
        <f t="shared" si="75"/>
        <v>3624000</v>
      </c>
      <c r="V104" s="2770">
        <f t="shared" si="75"/>
        <v>3624000</v>
      </c>
      <c r="W104" s="2770">
        <f t="shared" si="75"/>
        <v>3624000</v>
      </c>
      <c r="X104" s="2770">
        <f t="shared" si="75"/>
        <v>3624000</v>
      </c>
      <c r="Y104" s="2770">
        <f t="shared" si="75"/>
        <v>3624000</v>
      </c>
      <c r="Z104" s="2770">
        <f t="shared" si="75"/>
        <v>3624000</v>
      </c>
      <c r="AA104" s="2770">
        <f t="shared" si="75"/>
        <v>3624000</v>
      </c>
      <c r="AB104" s="2770">
        <f t="shared" si="75"/>
        <v>3624000</v>
      </c>
      <c r="AC104" s="2770">
        <f t="shared" si="75"/>
        <v>3624000</v>
      </c>
      <c r="AD104" s="2770">
        <f t="shared" si="75"/>
        <v>3624000</v>
      </c>
      <c r="AE104" s="2770">
        <f t="shared" si="75"/>
        <v>3624000</v>
      </c>
      <c r="AF104" s="2770">
        <f t="shared" si="75"/>
        <v>3624000</v>
      </c>
      <c r="AG104" s="2770">
        <f t="shared" si="75"/>
        <v>3624000</v>
      </c>
      <c r="AH104" s="2770">
        <f t="shared" si="75"/>
        <v>3624000</v>
      </c>
      <c r="AI104" s="2770">
        <f t="shared" si="75"/>
        <v>3624000</v>
      </c>
      <c r="AJ104" s="2770">
        <f t="shared" si="75"/>
        <v>3624000</v>
      </c>
      <c r="AK104" s="2770">
        <f t="shared" si="75"/>
        <v>3624000</v>
      </c>
      <c r="AL104" s="2770">
        <f t="shared" si="75"/>
        <v>3624000</v>
      </c>
      <c r="AM104" s="2770">
        <f t="shared" si="75"/>
        <v>3624000</v>
      </c>
      <c r="AN104" s="2770">
        <f t="shared" si="75"/>
        <v>3624000</v>
      </c>
      <c r="AO104" s="2770">
        <f t="shared" si="75"/>
        <v>3624000</v>
      </c>
      <c r="AP104" s="2770">
        <f t="shared" si="75"/>
        <v>3624000</v>
      </c>
      <c r="AQ104" s="2770">
        <f t="shared" si="75"/>
        <v>3624000</v>
      </c>
      <c r="AR104" s="2770">
        <f t="shared" si="75"/>
        <v>3624000</v>
      </c>
      <c r="AS104" s="2770">
        <f t="shared" si="75"/>
        <v>3624000</v>
      </c>
      <c r="AT104" s="2770">
        <f t="shared" si="75"/>
        <v>3624000</v>
      </c>
      <c r="AU104" s="2770">
        <f t="shared" si="75"/>
        <v>3624000</v>
      </c>
      <c r="AV104" s="2694">
        <v>0</v>
      </c>
      <c r="AW104" s="2771"/>
      <c r="AX104" s="2795"/>
      <c r="AY104" s="2760"/>
      <c r="AZ104" s="2760"/>
      <c r="BA104" s="2760"/>
      <c r="BB104" s="2760"/>
      <c r="BC104" s="2760"/>
      <c r="BD104" s="2760"/>
      <c r="BE104" s="2760"/>
      <c r="BF104" s="2760"/>
      <c r="BG104" s="2760"/>
      <c r="BI104" s="2730"/>
      <c r="BJ104" s="2730"/>
    </row>
    <row r="105" spans="1:62" ht="17.25" hidden="1" outlineLevel="1">
      <c r="A105" s="2773" t="s">
        <v>4127</v>
      </c>
      <c r="B105" s="2762"/>
      <c r="C105" s="2763"/>
      <c r="D105" s="2764"/>
      <c r="E105" s="2764"/>
      <c r="F105" s="2766">
        <v>13690749</v>
      </c>
      <c r="G105" s="2766">
        <v>6076593.3014354063</v>
      </c>
      <c r="H105" s="2766">
        <f>(H97-H103)/12</f>
        <v>10349837.143063122</v>
      </c>
      <c r="I105" s="2766">
        <f t="shared" ref="I105:AU105" si="76">(I97-I103)/12</f>
        <v>10349837.143063122</v>
      </c>
      <c r="J105" s="2766">
        <f t="shared" si="76"/>
        <v>11862022.968764378</v>
      </c>
      <c r="K105" s="2766">
        <f t="shared" si="76"/>
        <v>12440024.117202595</v>
      </c>
      <c r="L105" s="2766">
        <f t="shared" si="76"/>
        <v>12440024.117202595</v>
      </c>
      <c r="M105" s="2766">
        <f t="shared" si="76"/>
        <v>12440024.117202595</v>
      </c>
      <c r="N105" s="2766">
        <f t="shared" si="76"/>
        <v>13046925.323062727</v>
      </c>
      <c r="O105" s="2766">
        <f t="shared" si="76"/>
        <v>13759998.371082783</v>
      </c>
      <c r="P105" s="2766">
        <f t="shared" si="76"/>
        <v>13759998.371082783</v>
      </c>
      <c r="Q105" s="2766">
        <f t="shared" si="76"/>
        <v>14432898.289636923</v>
      </c>
      <c r="R105" s="2766">
        <f t="shared" si="76"/>
        <v>14432898.289636923</v>
      </c>
      <c r="S105" s="2766">
        <f t="shared" si="76"/>
        <v>17786350.271804493</v>
      </c>
      <c r="T105" s="2766">
        <f t="shared" si="76"/>
        <v>19435658.102027789</v>
      </c>
      <c r="U105" s="2766">
        <f t="shared" si="76"/>
        <v>19435658.102027789</v>
      </c>
      <c r="V105" s="2766">
        <f t="shared" si="76"/>
        <v>19435658.102027785</v>
      </c>
      <c r="W105" s="2766">
        <f t="shared" si="76"/>
        <v>19380848.143923018</v>
      </c>
      <c r="X105" s="2766">
        <f t="shared" si="76"/>
        <v>19380848.143923018</v>
      </c>
      <c r="Y105" s="2766">
        <f t="shared" si="76"/>
        <v>19380848.143923018</v>
      </c>
      <c r="Z105" s="2766">
        <f t="shared" si="76"/>
        <v>20334790.551119167</v>
      </c>
      <c r="AA105" s="2766">
        <f t="shared" si="76"/>
        <v>20334790.551119167</v>
      </c>
      <c r="AB105" s="2766">
        <f t="shared" si="76"/>
        <v>22678663.668617576</v>
      </c>
      <c r="AC105" s="2766">
        <f t="shared" si="76"/>
        <v>23797496.852048457</v>
      </c>
      <c r="AD105" s="2766">
        <f t="shared" si="76"/>
        <v>23797496.852048457</v>
      </c>
      <c r="AE105" s="2766">
        <f t="shared" si="76"/>
        <v>18836909.136967849</v>
      </c>
      <c r="AF105" s="2766">
        <f t="shared" si="76"/>
        <v>19763654.593816243</v>
      </c>
      <c r="AG105" s="2766">
        <f t="shared" si="76"/>
        <v>21674826.760013964</v>
      </c>
      <c r="AH105" s="2766">
        <f t="shared" si="76"/>
        <v>21674826.76001396</v>
      </c>
      <c r="AI105" s="2766">
        <f t="shared" si="76"/>
        <v>24863254.127424106</v>
      </c>
      <c r="AJ105" s="2766">
        <f t="shared" si="76"/>
        <v>24863254.127424106</v>
      </c>
      <c r="AK105" s="2766">
        <f t="shared" si="76"/>
        <v>24863254.127424106</v>
      </c>
      <c r="AL105" s="2766">
        <f t="shared" si="76"/>
        <v>17707563.087480959</v>
      </c>
      <c r="AM105" s="2766">
        <f t="shared" si="76"/>
        <v>19132059.29924411</v>
      </c>
      <c r="AN105" s="2766">
        <f t="shared" si="76"/>
        <v>19132059.299244106</v>
      </c>
      <c r="AO105" s="2766">
        <f t="shared" si="76"/>
        <v>20073562.264206316</v>
      </c>
      <c r="AP105" s="2766">
        <f t="shared" si="76"/>
        <v>20073562.264206313</v>
      </c>
      <c r="AQ105" s="2766">
        <f t="shared" si="76"/>
        <v>20073562.264206309</v>
      </c>
      <c r="AR105" s="2766">
        <f t="shared" si="76"/>
        <v>22223661.233836312</v>
      </c>
      <c r="AS105" s="2766">
        <f t="shared" si="76"/>
        <v>22223661.233836312</v>
      </c>
      <c r="AT105" s="2766">
        <f t="shared" si="76"/>
        <v>22223661.233836316</v>
      </c>
      <c r="AU105" s="2766">
        <f t="shared" si="76"/>
        <v>23319744.295528132</v>
      </c>
      <c r="AV105" s="2694">
        <v>0</v>
      </c>
      <c r="AW105" s="2771"/>
      <c r="AX105" s="2759"/>
      <c r="AY105" s="2774"/>
      <c r="AZ105" s="2774"/>
      <c r="BA105" s="2774"/>
      <c r="BB105" s="2774"/>
      <c r="BC105" s="2774"/>
      <c r="BD105" s="2774"/>
      <c r="BE105" s="2774"/>
      <c r="BF105" s="2774"/>
      <c r="BG105" s="2774"/>
      <c r="BI105" s="2730"/>
      <c r="BJ105" s="2730"/>
    </row>
    <row r="106" spans="1:62" ht="18" collapsed="1" thickBot="1">
      <c r="A106" s="2752" t="s">
        <v>4030</v>
      </c>
      <c r="B106" s="2788"/>
      <c r="C106" s="2839"/>
      <c r="D106" s="2840"/>
      <c r="E106" s="2840"/>
      <c r="F106" s="2756">
        <f t="shared" ref="F106:AU106" si="77">F107+F131+F135+F146+F153+F154+F155+F161+F172+F179+F182+F188+F209</f>
        <v>1876533346</v>
      </c>
      <c r="G106" s="2757">
        <f t="shared" si="77"/>
        <v>2127264695</v>
      </c>
      <c r="H106" s="2757">
        <f t="shared" ca="1" si="77"/>
        <v>2129102293.300174</v>
      </c>
      <c r="I106" s="2757">
        <f t="shared" ca="1" si="77"/>
        <v>2055701388.58289</v>
      </c>
      <c r="J106" s="2757">
        <f t="shared" ca="1" si="77"/>
        <v>2104859823.5225294</v>
      </c>
      <c r="K106" s="2757">
        <f t="shared" ca="1" si="77"/>
        <v>2121878493.8763113</v>
      </c>
      <c r="L106" s="2757">
        <f t="shared" ca="1" si="77"/>
        <v>2201456173.1086345</v>
      </c>
      <c r="M106" s="2757">
        <f t="shared" ca="1" si="77"/>
        <v>2192898739.902328</v>
      </c>
      <c r="N106" s="2757">
        <f t="shared" ca="1" si="77"/>
        <v>2252787058.4962139</v>
      </c>
      <c r="O106" s="2757">
        <f t="shared" ca="1" si="77"/>
        <v>2264657137.0380297</v>
      </c>
      <c r="P106" s="2757">
        <f t="shared" ca="1" si="77"/>
        <v>2345928851.4884534</v>
      </c>
      <c r="Q106" s="2757">
        <f t="shared" ca="1" si="77"/>
        <v>2345755585.1776729</v>
      </c>
      <c r="R106" s="2757">
        <f t="shared" ca="1" si="77"/>
        <v>2399658901.8788757</v>
      </c>
      <c r="S106" s="2757">
        <f t="shared" ca="1" si="77"/>
        <v>2414969368.4760175</v>
      </c>
      <c r="T106" s="2757">
        <f t="shared" ca="1" si="77"/>
        <v>2503064970.0627637</v>
      </c>
      <c r="U106" s="2757">
        <f t="shared" ca="1" si="77"/>
        <v>2491384787.2638688</v>
      </c>
      <c r="V106" s="2757">
        <f t="shared" ca="1" si="77"/>
        <v>2555777606.1432719</v>
      </c>
      <c r="W106" s="2757">
        <f t="shared" ca="1" si="77"/>
        <v>2572717433.8710093</v>
      </c>
      <c r="X106" s="2757">
        <f t="shared" ca="1" si="77"/>
        <v>2657707019.5482464</v>
      </c>
      <c r="Y106" s="2757">
        <f t="shared" ca="1" si="77"/>
        <v>2650094726.2292609</v>
      </c>
      <c r="Z106" s="2757">
        <f t="shared" ca="1" si="77"/>
        <v>2719795609.9105988</v>
      </c>
      <c r="AA106" s="2757">
        <f t="shared" ca="1" si="77"/>
        <v>2736179016.1467886</v>
      </c>
      <c r="AB106" s="2757">
        <f t="shared" ca="1" si="77"/>
        <v>2827458217.3883963</v>
      </c>
      <c r="AC106" s="2757">
        <f t="shared" ca="1" si="77"/>
        <v>2824720001.8073678</v>
      </c>
      <c r="AD106" s="2757">
        <f t="shared" ca="1" si="77"/>
        <v>2889741888.0893884</v>
      </c>
      <c r="AE106" s="2757">
        <f t="shared" ca="1" si="77"/>
        <v>2907958895.2015758</v>
      </c>
      <c r="AF106" s="2757">
        <f t="shared" ca="1" si="77"/>
        <v>3015981056.0020103</v>
      </c>
      <c r="AG106" s="2757">
        <f t="shared" ca="1" si="77"/>
        <v>3001488923.5687265</v>
      </c>
      <c r="AH106" s="2757">
        <f t="shared" ca="1" si="77"/>
        <v>3075215709.1928663</v>
      </c>
      <c r="AI106" s="2757">
        <f t="shared" ca="1" si="77"/>
        <v>3101162171.5068111</v>
      </c>
      <c r="AJ106" s="2757">
        <f t="shared" ca="1" si="77"/>
        <v>3201933738.0958881</v>
      </c>
      <c r="AK106" s="2757">
        <f t="shared" ca="1" si="77"/>
        <v>3199560493.2724981</v>
      </c>
      <c r="AL106" s="2757">
        <f t="shared" ca="1" si="77"/>
        <v>3277369671.7881126</v>
      </c>
      <c r="AM106" s="2757">
        <f t="shared" ca="1" si="77"/>
        <v>3295197343.5537395</v>
      </c>
      <c r="AN106" s="2757">
        <f t="shared" ca="1" si="77"/>
        <v>3406986276.5123172</v>
      </c>
      <c r="AO106" s="2757">
        <f t="shared" ca="1" si="77"/>
        <v>3406506242.7311659</v>
      </c>
      <c r="AP106" s="2757">
        <f t="shared" ca="1" si="77"/>
        <v>3488900092.4229698</v>
      </c>
      <c r="AQ106" s="2757">
        <f t="shared" ca="1" si="77"/>
        <v>3509221367.9872308</v>
      </c>
      <c r="AR106" s="2757">
        <f t="shared" ca="1" si="77"/>
        <v>3633475929.4459085</v>
      </c>
      <c r="AS106" s="2757">
        <f t="shared" ca="1" si="77"/>
        <v>3622965367.0688658</v>
      </c>
      <c r="AT106" s="2757">
        <f t="shared" ca="1" si="77"/>
        <v>3711371477.7487197</v>
      </c>
      <c r="AU106" s="2757">
        <f t="shared" ca="1" si="77"/>
        <v>3748878140.3343449</v>
      </c>
      <c r="AV106" s="2694">
        <v>0</v>
      </c>
      <c r="AW106" s="2758"/>
      <c r="AX106" s="2841"/>
      <c r="AY106" s="2760"/>
      <c r="AZ106" s="2760"/>
      <c r="BA106" s="2760"/>
      <c r="BB106" s="2760"/>
      <c r="BC106" s="2760"/>
      <c r="BD106" s="2760"/>
      <c r="BE106" s="2760"/>
      <c r="BF106" s="2760"/>
      <c r="BG106" s="2760"/>
      <c r="BI106" s="2730"/>
      <c r="BJ106" s="2730"/>
    </row>
    <row r="107" spans="1:62" ht="18" hidden="1" outlineLevel="1" thickBot="1">
      <c r="A107" s="2789" t="s">
        <v>4031</v>
      </c>
      <c r="B107" s="2790"/>
      <c r="C107" s="2791">
        <v>0.01</v>
      </c>
      <c r="D107" s="2842">
        <v>1</v>
      </c>
      <c r="E107" s="2793"/>
      <c r="F107" s="2843">
        <f>SUM(F108,F114:F119,F121:F121,F124,F129:F130)</f>
        <v>29203198</v>
      </c>
      <c r="G107" s="2843">
        <f t="shared" ref="G107:AU107" si="78">SUM(G108,G114:G119,G121:G121,G124,G129:G130)</f>
        <v>31928444</v>
      </c>
      <c r="H107" s="2843">
        <f t="shared" si="78"/>
        <v>39959213.458174035</v>
      </c>
      <c r="I107" s="2843">
        <f t="shared" si="78"/>
        <v>40194366.419910036</v>
      </c>
      <c r="J107" s="2843">
        <f t="shared" si="78"/>
        <v>40817992.043074608</v>
      </c>
      <c r="K107" s="2843">
        <f t="shared" si="78"/>
        <v>41127680.882757254</v>
      </c>
      <c r="L107" s="2843">
        <f t="shared" si="78"/>
        <v>45367486.801099032</v>
      </c>
      <c r="M107" s="2843">
        <f t="shared" si="78"/>
        <v>45608886.017572083</v>
      </c>
      <c r="N107" s="2843">
        <f t="shared" si="78"/>
        <v>46126927.876999423</v>
      </c>
      <c r="O107" s="2843">
        <f t="shared" si="78"/>
        <v>46601911.48173824</v>
      </c>
      <c r="P107" s="2843">
        <f t="shared" si="78"/>
        <v>46849644.708031952</v>
      </c>
      <c r="Q107" s="2843">
        <f t="shared" si="78"/>
        <v>47182261.5892758</v>
      </c>
      <c r="R107" s="2843">
        <f t="shared" si="78"/>
        <v>47633412.529456005</v>
      </c>
      <c r="S107" s="2843">
        <f t="shared" si="78"/>
        <v>48665065.10213422</v>
      </c>
      <c r="T107" s="2843">
        <f t="shared" si="78"/>
        <v>49127265.681961656</v>
      </c>
      <c r="U107" s="2843">
        <f t="shared" si="78"/>
        <v>49387402.618929692</v>
      </c>
      <c r="V107" s="2843">
        <f t="shared" si="78"/>
        <v>49849395.667811014</v>
      </c>
      <c r="W107" s="2843">
        <f t="shared" si="78"/>
        <v>49952535.629661843</v>
      </c>
      <c r="X107" s="2843">
        <f t="shared" si="78"/>
        <v>50216780.408097543</v>
      </c>
      <c r="Y107" s="2843">
        <f t="shared" si="78"/>
        <v>50482945.998373061</v>
      </c>
      <c r="Z107" s="2843">
        <f t="shared" si="78"/>
        <v>51068990.135675661</v>
      </c>
      <c r="AA107" s="2843">
        <f t="shared" si="78"/>
        <v>51339080.552869022</v>
      </c>
      <c r="AB107" s="2843">
        <f t="shared" si="78"/>
        <v>51900935.020431176</v>
      </c>
      <c r="AC107" s="2843">
        <f t="shared" si="78"/>
        <v>52313379.407353811</v>
      </c>
      <c r="AD107" s="2843">
        <f t="shared" si="78"/>
        <v>52789573.158575244</v>
      </c>
      <c r="AE107" s="2843">
        <f t="shared" si="78"/>
        <v>52287897.373507209</v>
      </c>
      <c r="AF107" s="2843">
        <f t="shared" si="78"/>
        <v>52681211.495621048</v>
      </c>
      <c r="AG107" s="2843">
        <f t="shared" si="78"/>
        <v>53538498.778236672</v>
      </c>
      <c r="AH107" s="2843">
        <f t="shared" si="78"/>
        <v>54024958.411970161</v>
      </c>
      <c r="AI107" s="2843">
        <f t="shared" si="78"/>
        <v>54707822.884923242</v>
      </c>
      <c r="AJ107" s="2843">
        <f t="shared" si="78"/>
        <v>54998793.517242409</v>
      </c>
      <c r="AK107" s="2843">
        <f t="shared" si="78"/>
        <v>55292070.736467324</v>
      </c>
      <c r="AL107" s="2843">
        <f t="shared" si="78"/>
        <v>54284351.060423627</v>
      </c>
      <c r="AM107" s="2843">
        <f t="shared" si="78"/>
        <v>54752261.763864703</v>
      </c>
      <c r="AN107" s="2843">
        <f t="shared" si="78"/>
        <v>55046422.317588694</v>
      </c>
      <c r="AO107" s="2843">
        <f t="shared" si="78"/>
        <v>55459363.531982616</v>
      </c>
      <c r="AP107" s="2843">
        <f t="shared" si="78"/>
        <v>55958337.965724558</v>
      </c>
      <c r="AQ107" s="2843">
        <f t="shared" si="78"/>
        <v>56259776.039974988</v>
      </c>
      <c r="AR107" s="2843">
        <f t="shared" si="78"/>
        <v>57019258.983744085</v>
      </c>
      <c r="AS107" s="2843">
        <f t="shared" si="78"/>
        <v>57327639.099328585</v>
      </c>
      <c r="AT107" s="2843">
        <f t="shared" si="78"/>
        <v>57838620.855210245</v>
      </c>
      <c r="AU107" s="2843">
        <f t="shared" si="78"/>
        <v>58287747.975384876</v>
      </c>
      <c r="AV107" s="2694">
        <v>0</v>
      </c>
      <c r="AW107" s="2703"/>
      <c r="AX107" s="2795"/>
      <c r="AY107" s="2760"/>
      <c r="AZ107" s="2760"/>
      <c r="BA107" s="2760"/>
      <c r="BB107" s="2760"/>
      <c r="BC107" s="2760"/>
      <c r="BD107" s="2760"/>
      <c r="BE107" s="2760"/>
      <c r="BF107" s="2760"/>
      <c r="BG107" s="2760"/>
      <c r="BI107" s="2730"/>
      <c r="BJ107" s="2730"/>
    </row>
    <row r="108" spans="1:62" ht="18" hidden="1" outlineLevel="1" thickBot="1">
      <c r="A108" s="2773" t="s">
        <v>4128</v>
      </c>
      <c r="B108" s="2844"/>
      <c r="C108" s="2763"/>
      <c r="D108" s="2764"/>
      <c r="E108" s="2764"/>
      <c r="F108" s="2769">
        <v>300000</v>
      </c>
      <c r="G108" s="2770">
        <f>SUM(G109:G113)</f>
        <v>600000</v>
      </c>
      <c r="H108" s="2770">
        <f t="shared" ref="H108:AU108" si="79">(SUM(H109:H113)*(1+$C$107)^(H2-$F$2))</f>
        <v>785477</v>
      </c>
      <c r="I108" s="2770">
        <f t="shared" si="79"/>
        <v>793331.7699999999</v>
      </c>
      <c r="J108" s="2770">
        <f t="shared" si="79"/>
        <v>801265.08770000003</v>
      </c>
      <c r="K108" s="2770">
        <f t="shared" si="79"/>
        <v>809277.73857699998</v>
      </c>
      <c r="L108" s="2770">
        <f t="shared" si="79"/>
        <v>817370.51596277009</v>
      </c>
      <c r="M108" s="2770">
        <f t="shared" si="79"/>
        <v>825544.22112239758</v>
      </c>
      <c r="N108" s="2770">
        <f t="shared" si="79"/>
        <v>833799.66333362181</v>
      </c>
      <c r="O108" s="2770">
        <f t="shared" si="79"/>
        <v>984316.74541592505</v>
      </c>
      <c r="P108" s="2770">
        <f t="shared" si="79"/>
        <v>994159.91287008428</v>
      </c>
      <c r="Q108" s="2770">
        <f t="shared" si="79"/>
        <v>1004101.5119987848</v>
      </c>
      <c r="R108" s="2770">
        <f t="shared" si="79"/>
        <v>1014142.5271187729</v>
      </c>
      <c r="S108" s="2770">
        <f t="shared" si="79"/>
        <v>1388473.8021286132</v>
      </c>
      <c r="T108" s="2770">
        <f t="shared" si="79"/>
        <v>1402358.5401498994</v>
      </c>
      <c r="U108" s="2770">
        <f t="shared" si="79"/>
        <v>1416382.1255513981</v>
      </c>
      <c r="V108" s="2770">
        <f t="shared" si="79"/>
        <v>1430545.9468069125</v>
      </c>
      <c r="W108" s="2770">
        <f t="shared" si="79"/>
        <v>1290891.8301965001</v>
      </c>
      <c r="X108" s="2770">
        <f t="shared" si="79"/>
        <v>1303800.7484984652</v>
      </c>
      <c r="Y108" s="2770">
        <f t="shared" si="79"/>
        <v>1316838.7559834495</v>
      </c>
      <c r="Z108" s="2770">
        <f t="shared" si="79"/>
        <v>1330007.1435432842</v>
      </c>
      <c r="AA108" s="2770">
        <f t="shared" si="79"/>
        <v>1343307.2149787168</v>
      </c>
      <c r="AB108" s="2770">
        <f t="shared" si="79"/>
        <v>1356740.2871285044</v>
      </c>
      <c r="AC108" s="2770">
        <f t="shared" si="79"/>
        <v>1370307.689999789</v>
      </c>
      <c r="AD108" s="2770">
        <f t="shared" si="79"/>
        <v>1384010.7668997874</v>
      </c>
      <c r="AE108" s="2770">
        <f t="shared" si="79"/>
        <v>1231134.7152165449</v>
      </c>
      <c r="AF108" s="2770">
        <f t="shared" si="79"/>
        <v>1243446.0623687103</v>
      </c>
      <c r="AG108" s="2770">
        <f t="shared" si="79"/>
        <v>1596014.8313028379</v>
      </c>
      <c r="AH108" s="2770">
        <f t="shared" si="79"/>
        <v>1611974.9796158664</v>
      </c>
      <c r="AI108" s="2770">
        <f t="shared" si="79"/>
        <v>1628094.7294120251</v>
      </c>
      <c r="AJ108" s="2770">
        <f t="shared" si="79"/>
        <v>1644375.6767061458</v>
      </c>
      <c r="AK108" s="2770">
        <f t="shared" si="79"/>
        <v>1660819.4334732066</v>
      </c>
      <c r="AL108" s="2770">
        <f t="shared" si="79"/>
        <v>1058704.3224689451</v>
      </c>
      <c r="AM108" s="2770">
        <f t="shared" si="79"/>
        <v>1069291.3656936346</v>
      </c>
      <c r="AN108" s="2770">
        <f t="shared" si="79"/>
        <v>1079984.2793505711</v>
      </c>
      <c r="AO108" s="2770">
        <f t="shared" si="79"/>
        <v>1090784.1221440765</v>
      </c>
      <c r="AP108" s="2770">
        <f t="shared" si="79"/>
        <v>1101691.9633655173</v>
      </c>
      <c r="AQ108" s="2770">
        <f t="shared" si="79"/>
        <v>1112708.8829991727</v>
      </c>
      <c r="AR108" s="2770">
        <f t="shared" si="79"/>
        <v>1313574.5125275948</v>
      </c>
      <c r="AS108" s="2770">
        <f t="shared" si="79"/>
        <v>1326710.2576528704</v>
      </c>
      <c r="AT108" s="2770">
        <f t="shared" si="79"/>
        <v>1339977.3602293993</v>
      </c>
      <c r="AU108" s="2770">
        <f t="shared" si="79"/>
        <v>1353377.1338316936</v>
      </c>
      <c r="AV108" s="2694">
        <v>0</v>
      </c>
      <c r="AW108" s="2799"/>
      <c r="AX108" s="2759"/>
      <c r="AY108" s="2774"/>
      <c r="AZ108" s="2774"/>
      <c r="BA108" s="2774"/>
      <c r="BB108" s="2774"/>
      <c r="BC108" s="2774"/>
      <c r="BD108" s="2774"/>
      <c r="BE108" s="2774"/>
      <c r="BF108" s="2774"/>
      <c r="BG108" s="2774"/>
      <c r="BI108" s="2730"/>
      <c r="BJ108" s="2730"/>
    </row>
    <row r="109" spans="1:62" ht="18" hidden="1" outlineLevel="1" thickBot="1">
      <c r="A109" s="2801" t="s">
        <v>4129</v>
      </c>
      <c r="B109" s="2802" t="s">
        <v>4037</v>
      </c>
      <c r="C109" s="2763">
        <v>450</v>
      </c>
      <c r="D109" s="2764"/>
      <c r="E109" s="2764"/>
      <c r="F109" s="2769"/>
      <c r="G109" s="2769"/>
      <c r="H109" s="2769">
        <f>$C$109*10^3*인력계획!H10</f>
        <v>0</v>
      </c>
      <c r="I109" s="2769">
        <f>$C$109*10^3*인력계획!I10</f>
        <v>0</v>
      </c>
      <c r="J109" s="2769">
        <f>$C$109*10^3*인력계획!J10</f>
        <v>450000</v>
      </c>
      <c r="K109" s="2769">
        <f>$C$109*10^3*인력계획!K10</f>
        <v>450000</v>
      </c>
      <c r="L109" s="2769">
        <f>$C$109*10^3*인력계획!L10</f>
        <v>450000</v>
      </c>
      <c r="M109" s="2769">
        <f>$C$109*10^3*인력계획!M10</f>
        <v>450000</v>
      </c>
      <c r="N109" s="2769">
        <f>$C$109*10^3*인력계획!N10</f>
        <v>450000</v>
      </c>
      <c r="O109" s="2769">
        <f>$C$109*10^3*인력계획!O10</f>
        <v>450000</v>
      </c>
      <c r="P109" s="2769">
        <f>$C$109*10^3*인력계획!P10</f>
        <v>450000</v>
      </c>
      <c r="Q109" s="2769">
        <f>$C$109*10^3*인력계획!Q10</f>
        <v>450000</v>
      </c>
      <c r="R109" s="2769">
        <f>$C$109*10^3*인력계획!R10</f>
        <v>450000</v>
      </c>
      <c r="S109" s="2769">
        <f>$C$109*10^3*인력계획!S10</f>
        <v>450000</v>
      </c>
      <c r="T109" s="2769">
        <f>$C$109*10^3*인력계획!T10</f>
        <v>900000</v>
      </c>
      <c r="U109" s="2769">
        <f>$C$109*10^3*인력계획!U10</f>
        <v>900000</v>
      </c>
      <c r="V109" s="2769">
        <f>$C$109*10^3*인력계획!V10</f>
        <v>900000</v>
      </c>
      <c r="W109" s="2769">
        <f>$C$109*10^3*인력계획!W10</f>
        <v>450000</v>
      </c>
      <c r="X109" s="2769">
        <f>$C$109*10^3*인력계획!X10</f>
        <v>450000</v>
      </c>
      <c r="Y109" s="2769">
        <f>$C$109*10^3*인력계획!Y10</f>
        <v>450000</v>
      </c>
      <c r="Z109" s="2769">
        <f>$C$109*10^3*인력계획!Z10</f>
        <v>450000</v>
      </c>
      <c r="AA109" s="2769">
        <f>$C$109*10^3*인력계획!AA10</f>
        <v>450000</v>
      </c>
      <c r="AB109" s="2769">
        <f>$C$109*10^3*인력계획!AB10</f>
        <v>450000</v>
      </c>
      <c r="AC109" s="2769">
        <f>$C$109*10^3*인력계획!AC10</f>
        <v>450000</v>
      </c>
      <c r="AD109" s="2769">
        <f>$C$109*10^3*인력계획!AD10</f>
        <v>450000</v>
      </c>
      <c r="AE109" s="2769">
        <f>$C$109*10^3*인력계획!AE10</f>
        <v>0</v>
      </c>
      <c r="AF109" s="2769">
        <f>$C$109*10^3*인력계획!AF10</f>
        <v>0</v>
      </c>
      <c r="AG109" s="2769">
        <f>$C$109*10^3*인력계획!AG10</f>
        <v>0</v>
      </c>
      <c r="AH109" s="2769">
        <f>$C$109*10^3*인력계획!AH10</f>
        <v>0</v>
      </c>
      <c r="AI109" s="2769">
        <f>$C$109*10^3*인력계획!AI10</f>
        <v>0</v>
      </c>
      <c r="AJ109" s="2769">
        <f>$C$109*10^3*인력계획!AJ10</f>
        <v>0</v>
      </c>
      <c r="AK109" s="2769">
        <f>$C$109*10^3*인력계획!AK10</f>
        <v>0</v>
      </c>
      <c r="AL109" s="2769">
        <f>$C$109*10^3*인력계획!AL10</f>
        <v>450000</v>
      </c>
      <c r="AM109" s="2769">
        <f>$C$109*10^3*인력계획!AM10</f>
        <v>450000</v>
      </c>
      <c r="AN109" s="2769">
        <f>$C$109*10^3*인력계획!AN10</f>
        <v>450000</v>
      </c>
      <c r="AO109" s="2769">
        <f>$C$109*10^3*인력계획!AO10</f>
        <v>450000</v>
      </c>
      <c r="AP109" s="2769">
        <f>$C$109*10^3*인력계획!AP10</f>
        <v>450000</v>
      </c>
      <c r="AQ109" s="2769">
        <f>$C$109*10^3*인력계획!AQ10</f>
        <v>450000</v>
      </c>
      <c r="AR109" s="2769">
        <f>$C$109*10^3*인력계획!AR10</f>
        <v>450000</v>
      </c>
      <c r="AS109" s="2769">
        <f>$C$109*10^3*인력계획!AS10</f>
        <v>450000</v>
      </c>
      <c r="AT109" s="2769">
        <f>$C$109*10^3*인력계획!AT10</f>
        <v>450000</v>
      </c>
      <c r="AU109" s="2769">
        <f>$C$109*10^3*인력계획!AU10</f>
        <v>450000</v>
      </c>
      <c r="AV109" s="2694">
        <v>0</v>
      </c>
      <c r="AW109" s="2845"/>
      <c r="AX109" s="2759"/>
      <c r="AY109" s="2774"/>
      <c r="AZ109" s="2774"/>
      <c r="BA109" s="2774"/>
      <c r="BB109" s="2774"/>
      <c r="BC109" s="2774"/>
      <c r="BD109" s="2774"/>
      <c r="BE109" s="2774"/>
      <c r="BF109" s="2774"/>
      <c r="BG109" s="2774"/>
      <c r="BI109" s="2730"/>
      <c r="BJ109" s="2730"/>
    </row>
    <row r="110" spans="1:62" ht="18" hidden="1" outlineLevel="1" thickBot="1">
      <c r="A110" s="2801" t="s">
        <v>4130</v>
      </c>
      <c r="B110" s="2802" t="s">
        <v>4037</v>
      </c>
      <c r="C110" s="2763"/>
      <c r="D110" s="2764"/>
      <c r="E110" s="2764"/>
      <c r="F110" s="2769">
        <v>300000</v>
      </c>
      <c r="G110" s="2769">
        <v>300000</v>
      </c>
      <c r="H110" s="2769">
        <f>$C$109*10^3*인력계획!H11</f>
        <v>450000</v>
      </c>
      <c r="I110" s="2769">
        <f>$C$109*10^3*인력계획!I11</f>
        <v>450000</v>
      </c>
      <c r="J110" s="2769">
        <f>$C$109*10^3*인력계획!J11</f>
        <v>0</v>
      </c>
      <c r="K110" s="2769">
        <f>$C$109*10^3*인력계획!K11</f>
        <v>0</v>
      </c>
      <c r="L110" s="2769">
        <f>$C$109*10^3*인력계획!L11</f>
        <v>0</v>
      </c>
      <c r="M110" s="2769">
        <f>$C$109*10^3*인력계획!M11</f>
        <v>0</v>
      </c>
      <c r="N110" s="2769">
        <f>$C$109*10^3*인력계획!N11</f>
        <v>0</v>
      </c>
      <c r="O110" s="2769">
        <f>$C$109*10^3*인력계획!O11</f>
        <v>450000</v>
      </c>
      <c r="P110" s="2769">
        <f>$C$109*10^3*인력계획!P11</f>
        <v>450000</v>
      </c>
      <c r="Q110" s="2769">
        <f>$C$109*10^3*인력계획!Q11</f>
        <v>450000</v>
      </c>
      <c r="R110" s="2769">
        <f>$C$109*10^3*인력계획!R11</f>
        <v>450000</v>
      </c>
      <c r="S110" s="2769">
        <f>$C$109*10^3*인력계획!S11</f>
        <v>450000</v>
      </c>
      <c r="T110" s="2769">
        <f>$C$109*10^3*인력계획!T11</f>
        <v>0</v>
      </c>
      <c r="U110" s="2769">
        <f>$C$109*10^3*인력계획!U11</f>
        <v>0</v>
      </c>
      <c r="V110" s="2769">
        <f>$C$109*10^3*인력계획!V11</f>
        <v>0</v>
      </c>
      <c r="W110" s="2769">
        <f>$C$109*10^3*인력계획!W11</f>
        <v>0</v>
      </c>
      <c r="X110" s="2769">
        <f>$C$109*10^3*인력계획!X11</f>
        <v>0</v>
      </c>
      <c r="Y110" s="2769">
        <f>$C$109*10^3*인력계획!Y11</f>
        <v>0</v>
      </c>
      <c r="Z110" s="2769">
        <f>$C$109*10^3*인력계획!Z11</f>
        <v>0</v>
      </c>
      <c r="AA110" s="2769">
        <f>$C$109*10^3*인력계획!AA11</f>
        <v>0</v>
      </c>
      <c r="AB110" s="2769">
        <f>$C$109*10^3*인력계획!AB11</f>
        <v>0</v>
      </c>
      <c r="AC110" s="2769">
        <f>$C$109*10^3*인력계획!AC11</f>
        <v>0</v>
      </c>
      <c r="AD110" s="2769">
        <f>$C$109*10^3*인력계획!AD11</f>
        <v>0</v>
      </c>
      <c r="AE110" s="2769">
        <f>$C$109*10^3*인력계획!AE11</f>
        <v>0</v>
      </c>
      <c r="AF110" s="2769">
        <f>$C$109*10^3*인력계획!AF11</f>
        <v>0</v>
      </c>
      <c r="AG110" s="2769">
        <f>$C$109*10^3*인력계획!AG11</f>
        <v>900000</v>
      </c>
      <c r="AH110" s="2769">
        <f>$C$109*10^3*인력계획!AH11</f>
        <v>900000</v>
      </c>
      <c r="AI110" s="2769">
        <f>$C$109*10^3*인력계획!AI11</f>
        <v>900000</v>
      </c>
      <c r="AJ110" s="2769">
        <f>$C$109*10^3*인력계획!AJ11</f>
        <v>900000</v>
      </c>
      <c r="AK110" s="2769">
        <f>$C$109*10^3*인력계획!AK11</f>
        <v>900000</v>
      </c>
      <c r="AL110" s="2769">
        <f>$C$109*10^3*인력계획!AL11</f>
        <v>0</v>
      </c>
      <c r="AM110" s="2769">
        <f>$C$109*10^3*인력계획!AM11</f>
        <v>0</v>
      </c>
      <c r="AN110" s="2769">
        <f>$C$109*10^3*인력계획!AN11</f>
        <v>0</v>
      </c>
      <c r="AO110" s="2769">
        <f>$C$109*10^3*인력계획!AO11</f>
        <v>0</v>
      </c>
      <c r="AP110" s="2769">
        <f>$C$109*10^3*인력계획!AP11</f>
        <v>0</v>
      </c>
      <c r="AQ110" s="2769">
        <f>$C$109*10^3*인력계획!AQ11</f>
        <v>0</v>
      </c>
      <c r="AR110" s="2769">
        <f>$C$109*10^3*인력계획!AR11</f>
        <v>450000</v>
      </c>
      <c r="AS110" s="2769">
        <f>$C$109*10^3*인력계획!AS11</f>
        <v>450000</v>
      </c>
      <c r="AT110" s="2769">
        <f>$C$109*10^3*인력계획!AT11</f>
        <v>450000</v>
      </c>
      <c r="AU110" s="2769">
        <f>$C$109*10^3*인력계획!AU11</f>
        <v>450000</v>
      </c>
      <c r="AV110" s="2694">
        <v>0</v>
      </c>
      <c r="AW110" s="2771"/>
      <c r="AX110" s="2759"/>
      <c r="AY110" s="2774"/>
      <c r="AZ110" s="2774"/>
      <c r="BA110" s="2774"/>
      <c r="BB110" s="2774"/>
      <c r="BC110" s="2774"/>
      <c r="BD110" s="2774"/>
      <c r="BE110" s="2774"/>
      <c r="BF110" s="2774"/>
      <c r="BG110" s="2774"/>
      <c r="BI110" s="2730"/>
      <c r="BJ110" s="2730"/>
    </row>
    <row r="111" spans="1:62" ht="18" hidden="1" outlineLevel="1" thickBot="1">
      <c r="A111" s="2801" t="s">
        <v>4131</v>
      </c>
      <c r="B111" s="2802" t="s">
        <v>4040</v>
      </c>
      <c r="C111" s="2763">
        <v>320</v>
      </c>
      <c r="D111" s="2764"/>
      <c r="E111" s="2764"/>
      <c r="F111" s="2769"/>
      <c r="G111" s="2769"/>
      <c r="H111" s="2769">
        <f>$C$111*10^3*인력계획!H12</f>
        <v>0</v>
      </c>
      <c r="I111" s="2769">
        <f>$C$111*10^3*인력계획!I12</f>
        <v>0</v>
      </c>
      <c r="J111" s="2769">
        <f>$C$111*10^3*인력계획!J12</f>
        <v>320000</v>
      </c>
      <c r="K111" s="2769">
        <f>$C$111*10^3*인력계획!K12</f>
        <v>320000</v>
      </c>
      <c r="L111" s="2769">
        <f>$C$111*10^3*인력계획!L12</f>
        <v>320000</v>
      </c>
      <c r="M111" s="2769">
        <f>$C$111*10^3*인력계획!M12</f>
        <v>320000</v>
      </c>
      <c r="N111" s="2769">
        <f>$C$111*10^3*인력계획!N12</f>
        <v>320000</v>
      </c>
      <c r="O111" s="2769">
        <f>$C$111*10^3*인력계획!O12</f>
        <v>0</v>
      </c>
      <c r="P111" s="2769">
        <f>$C$111*10^3*인력계획!P12</f>
        <v>0</v>
      </c>
      <c r="Q111" s="2769">
        <f>$C$111*10^3*인력계획!Q12</f>
        <v>0</v>
      </c>
      <c r="R111" s="2769">
        <f>$C$111*10^3*인력계획!R12</f>
        <v>0</v>
      </c>
      <c r="S111" s="2769">
        <f>$C$111*10^3*인력계획!S12</f>
        <v>0</v>
      </c>
      <c r="T111" s="2769">
        <f>$C$111*10^3*인력계획!T12</f>
        <v>0</v>
      </c>
      <c r="U111" s="2769">
        <f>$C$111*10^3*인력계획!U12</f>
        <v>0</v>
      </c>
      <c r="V111" s="2769">
        <f>$C$111*10^3*인력계획!V12</f>
        <v>0</v>
      </c>
      <c r="W111" s="2769">
        <f>$C$111*10^3*인력계획!W12</f>
        <v>0</v>
      </c>
      <c r="X111" s="2769">
        <f>$C$111*10^3*인력계획!X12</f>
        <v>0</v>
      </c>
      <c r="Y111" s="2769">
        <f>$C$111*10^3*인력계획!Y12</f>
        <v>0</v>
      </c>
      <c r="Z111" s="2769">
        <f>$C$111*10^3*인력계획!Z12</f>
        <v>0</v>
      </c>
      <c r="AA111" s="2769">
        <f>$C$111*10^3*인력계획!AA12</f>
        <v>0</v>
      </c>
      <c r="AB111" s="2769">
        <f>$C$111*10^3*인력계획!AB12</f>
        <v>640000</v>
      </c>
      <c r="AC111" s="2769">
        <f>$C$111*10^3*인력계획!AC12</f>
        <v>640000</v>
      </c>
      <c r="AD111" s="2769">
        <f>$C$111*10^3*인력계획!AD12</f>
        <v>640000</v>
      </c>
      <c r="AE111" s="2769">
        <f>$C$111*10^3*인력계획!AE12</f>
        <v>640000</v>
      </c>
      <c r="AF111" s="2769">
        <f>$C$111*10^3*인력계획!AF12</f>
        <v>640000</v>
      </c>
      <c r="AG111" s="2769">
        <f>$C$111*10^3*인력계획!AG12</f>
        <v>0</v>
      </c>
      <c r="AH111" s="2769">
        <f>$C$111*10^3*인력계획!AH12</f>
        <v>0</v>
      </c>
      <c r="AI111" s="2769">
        <f>$C$111*10^3*인력계획!AI12</f>
        <v>0</v>
      </c>
      <c r="AJ111" s="2769">
        <f>$C$111*10^3*인력계획!AJ12</f>
        <v>0</v>
      </c>
      <c r="AK111" s="2769">
        <f>$C$111*10^3*인력계획!AK12</f>
        <v>0</v>
      </c>
      <c r="AL111" s="2769">
        <f>$C$111*10^3*인력계획!AL12</f>
        <v>0</v>
      </c>
      <c r="AM111" s="2769">
        <f>$C$111*10^3*인력계획!AM12</f>
        <v>320000</v>
      </c>
      <c r="AN111" s="2769">
        <f>$C$111*10^3*인력계획!AN12</f>
        <v>320000</v>
      </c>
      <c r="AO111" s="2769">
        <f>$C$111*10^3*인력계획!AO12</f>
        <v>320000</v>
      </c>
      <c r="AP111" s="2769">
        <f>$C$111*10^3*인력계획!AP12</f>
        <v>320000</v>
      </c>
      <c r="AQ111" s="2769">
        <f>$C$111*10^3*인력계획!AQ12</f>
        <v>320000</v>
      </c>
      <c r="AR111" s="2769">
        <f>$C$111*10^3*인력계획!AR12</f>
        <v>0</v>
      </c>
      <c r="AS111" s="2769">
        <f>$C$111*10^3*인력계획!AS12</f>
        <v>0</v>
      </c>
      <c r="AT111" s="2769">
        <f>$C$111*10^3*인력계획!AT12</f>
        <v>0</v>
      </c>
      <c r="AU111" s="2769">
        <f>$C$111*10^3*인력계획!AU12</f>
        <v>0</v>
      </c>
      <c r="AV111" s="2694">
        <v>0</v>
      </c>
      <c r="AW111" s="2771"/>
      <c r="AX111" s="2759"/>
      <c r="AY111" s="2774"/>
      <c r="AZ111" s="2774"/>
      <c r="BA111" s="2774"/>
      <c r="BB111" s="2774"/>
      <c r="BC111" s="2774"/>
      <c r="BD111" s="2774"/>
      <c r="BE111" s="2774"/>
      <c r="BF111" s="2774"/>
      <c r="BG111" s="2774"/>
      <c r="BI111" s="2730"/>
      <c r="BJ111" s="2730"/>
    </row>
    <row r="112" spans="1:62" ht="18" hidden="1" outlineLevel="1" thickBot="1">
      <c r="A112" s="2801" t="s">
        <v>4058</v>
      </c>
      <c r="B112" s="2802" t="s">
        <v>4040</v>
      </c>
      <c r="C112" s="2763"/>
      <c r="D112" s="2764"/>
      <c r="E112" s="2764"/>
      <c r="F112" s="2769"/>
      <c r="G112" s="2769">
        <v>300000</v>
      </c>
      <c r="H112" s="2769">
        <f>$C$111*10^3*인력계획!H13</f>
        <v>320000</v>
      </c>
      <c r="I112" s="2769">
        <f>$C$111*10^3*인력계획!I13</f>
        <v>320000</v>
      </c>
      <c r="J112" s="2769">
        <f>$C$111*10^3*인력계획!J13</f>
        <v>0</v>
      </c>
      <c r="K112" s="2769">
        <f>$C$111*10^3*인력계획!K13</f>
        <v>0</v>
      </c>
      <c r="L112" s="2769">
        <f>$C$111*10^3*인력계획!L13</f>
        <v>0</v>
      </c>
      <c r="M112" s="2769">
        <f>$C$111*10^3*인력계획!M13</f>
        <v>0</v>
      </c>
      <c r="N112" s="2769">
        <f>$C$111*10^3*인력계획!N13</f>
        <v>0</v>
      </c>
      <c r="O112" s="2769">
        <f>$C$111*10^3*인력계획!O13</f>
        <v>0</v>
      </c>
      <c r="P112" s="2769">
        <f>$C$111*10^3*인력계획!P13</f>
        <v>0</v>
      </c>
      <c r="Q112" s="2769">
        <f>$C$111*10^3*인력계획!Q13</f>
        <v>0</v>
      </c>
      <c r="R112" s="2769">
        <f>$C$111*10^3*인력계획!R13</f>
        <v>0</v>
      </c>
      <c r="S112" s="2769">
        <f>$C$111*10^3*인력계획!S13</f>
        <v>0</v>
      </c>
      <c r="T112" s="2769">
        <f>$C$111*10^3*인력계획!T13</f>
        <v>0</v>
      </c>
      <c r="U112" s="2769">
        <f>$C$111*10^3*인력계획!U13</f>
        <v>0</v>
      </c>
      <c r="V112" s="2769">
        <f>$C$111*10^3*인력계획!V13</f>
        <v>0</v>
      </c>
      <c r="W112" s="2769">
        <f>$C$111*10^3*인력계획!W13</f>
        <v>640000</v>
      </c>
      <c r="X112" s="2769">
        <f>$C$111*10^3*인력계획!X13</f>
        <v>640000</v>
      </c>
      <c r="Y112" s="2769">
        <f>$C$111*10^3*인력계획!Y13</f>
        <v>640000</v>
      </c>
      <c r="Z112" s="2769">
        <f>$C$111*10^3*인력계획!Z13</f>
        <v>640000</v>
      </c>
      <c r="AA112" s="2769">
        <f>$C$111*10^3*인력계획!AA13</f>
        <v>640000</v>
      </c>
      <c r="AB112" s="2769">
        <f>$C$111*10^3*인력계획!AB13</f>
        <v>0</v>
      </c>
      <c r="AC112" s="2769">
        <f>$C$111*10^3*인력계획!AC13</f>
        <v>0</v>
      </c>
      <c r="AD112" s="2769">
        <f>$C$111*10^3*인력계획!AD13</f>
        <v>0</v>
      </c>
      <c r="AE112" s="2769">
        <f>$C$111*10^3*인력계획!AE13</f>
        <v>0</v>
      </c>
      <c r="AF112" s="2769">
        <f>$C$111*10^3*인력계획!AF13</f>
        <v>0</v>
      </c>
      <c r="AG112" s="2769">
        <f>$C$111*10^3*인력계획!AG13</f>
        <v>0</v>
      </c>
      <c r="AH112" s="2769">
        <f>$C$111*10^3*인력계획!AH13</f>
        <v>0</v>
      </c>
      <c r="AI112" s="2769">
        <f>$C$111*10^3*인력계획!AI13</f>
        <v>320000</v>
      </c>
      <c r="AJ112" s="2769">
        <f>$C$111*10^3*인력계획!AJ13</f>
        <v>320000</v>
      </c>
      <c r="AK112" s="2769">
        <f>$C$111*10^3*인력계획!AK13</f>
        <v>320000</v>
      </c>
      <c r="AL112" s="2769">
        <f>$C$111*10^3*인력계획!AL13</f>
        <v>320000</v>
      </c>
      <c r="AM112" s="2769">
        <f>$C$111*10^3*인력계획!AM13</f>
        <v>0</v>
      </c>
      <c r="AN112" s="2769">
        <f>$C$111*10^3*인력계획!AN13</f>
        <v>0</v>
      </c>
      <c r="AO112" s="2769">
        <f>$C$111*10^3*인력계획!AO13</f>
        <v>0</v>
      </c>
      <c r="AP112" s="2769">
        <f>$C$111*10^3*인력계획!AP13</f>
        <v>0</v>
      </c>
      <c r="AQ112" s="2769">
        <f>$C$111*10^3*인력계획!AQ13</f>
        <v>0</v>
      </c>
      <c r="AR112" s="2769">
        <f>$C$111*10^3*인력계획!AR13</f>
        <v>0</v>
      </c>
      <c r="AS112" s="2769">
        <f>$C$111*10^3*인력계획!AS13</f>
        <v>0</v>
      </c>
      <c r="AT112" s="2769">
        <f>$C$111*10^3*인력계획!AT13</f>
        <v>0</v>
      </c>
      <c r="AU112" s="2769">
        <f>$C$111*10^3*인력계획!AU13</f>
        <v>0</v>
      </c>
      <c r="AV112" s="2694">
        <v>0</v>
      </c>
      <c r="AW112" s="2771"/>
      <c r="AX112" s="2759"/>
      <c r="AY112" s="2774"/>
      <c r="AZ112" s="2774"/>
      <c r="BA112" s="2774"/>
      <c r="BB112" s="2774"/>
      <c r="BC112" s="2774"/>
      <c r="BD112" s="2774"/>
      <c r="BE112" s="2774"/>
      <c r="BF112" s="2774"/>
      <c r="BG112" s="2774"/>
      <c r="BI112" s="2730"/>
      <c r="BJ112" s="2730"/>
    </row>
    <row r="113" spans="1:62" ht="18" hidden="1" outlineLevel="1" thickBot="1">
      <c r="A113" s="2801" t="s">
        <v>4132</v>
      </c>
      <c r="B113" s="2802" t="s">
        <v>4040</v>
      </c>
      <c r="C113" s="2763"/>
      <c r="D113" s="2764"/>
      <c r="E113" s="2764"/>
      <c r="F113" s="2769"/>
      <c r="G113" s="2769"/>
      <c r="H113" s="2769">
        <f>$C$111*10^3*인력계획!H14</f>
        <v>0</v>
      </c>
      <c r="I113" s="2769">
        <f>$C$111*10^3*인력계획!I14</f>
        <v>0</v>
      </c>
      <c r="J113" s="2769">
        <f>$C$111*10^3*인력계획!J14</f>
        <v>0</v>
      </c>
      <c r="K113" s="2769">
        <f>$C$111*10^3*인력계획!K14</f>
        <v>0</v>
      </c>
      <c r="L113" s="2769">
        <f>$C$111*10^3*인력계획!L14</f>
        <v>0</v>
      </c>
      <c r="M113" s="2769">
        <f>$C$111*10^3*인력계획!M14</f>
        <v>0</v>
      </c>
      <c r="N113" s="2769">
        <f>$C$111*10^3*인력계획!N14</f>
        <v>0</v>
      </c>
      <c r="O113" s="2769">
        <f>$C$111*10^3*인력계획!O14</f>
        <v>0</v>
      </c>
      <c r="P113" s="2769">
        <f>$C$111*10^3*인력계획!P14</f>
        <v>0</v>
      </c>
      <c r="Q113" s="2769">
        <f>$C$111*10^3*인력계획!Q14</f>
        <v>0</v>
      </c>
      <c r="R113" s="2769">
        <f>$C$111*10^3*인력계획!R14</f>
        <v>0</v>
      </c>
      <c r="S113" s="2769">
        <f>$C$111*10^3*인력계획!S14</f>
        <v>320000</v>
      </c>
      <c r="T113" s="2769">
        <f>$C$111*10^3*인력계획!T14</f>
        <v>320000</v>
      </c>
      <c r="U113" s="2769">
        <f>$C$111*10^3*인력계획!U14</f>
        <v>320000</v>
      </c>
      <c r="V113" s="2769">
        <f>$C$111*10^3*인력계획!V14</f>
        <v>320000</v>
      </c>
      <c r="W113" s="2769">
        <f>$C$111*10^3*인력계획!W14</f>
        <v>0</v>
      </c>
      <c r="X113" s="2769">
        <f>$C$111*10^3*인력계획!X14</f>
        <v>0</v>
      </c>
      <c r="Y113" s="2769">
        <f>$C$111*10^3*인력계획!Y14</f>
        <v>0</v>
      </c>
      <c r="Z113" s="2769">
        <f>$C$111*10^3*인력계획!Z14</f>
        <v>0</v>
      </c>
      <c r="AA113" s="2769">
        <f>$C$111*10^3*인력계획!AA14</f>
        <v>0</v>
      </c>
      <c r="AB113" s="2769">
        <f>$C$111*10^3*인력계획!AB14</f>
        <v>0</v>
      </c>
      <c r="AC113" s="2769">
        <f>$C$111*10^3*인력계획!AC14</f>
        <v>0</v>
      </c>
      <c r="AD113" s="2769">
        <f>$C$111*10^3*인력계획!AD14</f>
        <v>0</v>
      </c>
      <c r="AE113" s="2769">
        <f>$C$111*10^3*인력계획!AE14</f>
        <v>320000</v>
      </c>
      <c r="AF113" s="2769">
        <f>$C$111*10^3*인력계획!AF14</f>
        <v>320000</v>
      </c>
      <c r="AG113" s="2769">
        <f>$C$111*10^3*인력계획!AG14</f>
        <v>320000</v>
      </c>
      <c r="AH113" s="2769">
        <f>$C$111*10^3*인력계획!AH14</f>
        <v>320000</v>
      </c>
      <c r="AI113" s="2769">
        <f>$C$111*10^3*인력계획!AI14</f>
        <v>0</v>
      </c>
      <c r="AJ113" s="2769">
        <f>$C$111*10^3*인력계획!AJ14</f>
        <v>0</v>
      </c>
      <c r="AK113" s="2769">
        <f>$C$111*10^3*인력계획!AK14</f>
        <v>0</v>
      </c>
      <c r="AL113" s="2769">
        <f>$C$111*10^3*인력계획!AL14</f>
        <v>0</v>
      </c>
      <c r="AM113" s="2769">
        <f>$C$111*10^3*인력계획!AM14</f>
        <v>0</v>
      </c>
      <c r="AN113" s="2769">
        <f>$C$111*10^3*인력계획!AN14</f>
        <v>0</v>
      </c>
      <c r="AO113" s="2769">
        <f>$C$111*10^3*인력계획!AO14</f>
        <v>0</v>
      </c>
      <c r="AP113" s="2769">
        <f>$C$111*10^3*인력계획!AP14</f>
        <v>0</v>
      </c>
      <c r="AQ113" s="2769">
        <f>$C$111*10^3*인력계획!AQ14</f>
        <v>0</v>
      </c>
      <c r="AR113" s="2769">
        <f>$C$111*10^3*인력계획!AR14</f>
        <v>0</v>
      </c>
      <c r="AS113" s="2769">
        <f>$C$111*10^3*인력계획!AS14</f>
        <v>0</v>
      </c>
      <c r="AT113" s="2769">
        <f>$C$111*10^3*인력계획!AT14</f>
        <v>0</v>
      </c>
      <c r="AU113" s="2769">
        <f>$C$111*10^3*인력계획!AU14</f>
        <v>0</v>
      </c>
      <c r="AV113" s="2694">
        <v>0</v>
      </c>
      <c r="AW113" s="2771"/>
      <c r="AX113" s="2759"/>
      <c r="AY113" s="2774"/>
      <c r="AZ113" s="2774"/>
      <c r="BA113" s="2774"/>
      <c r="BB113" s="2774"/>
      <c r="BC113" s="2774"/>
      <c r="BD113" s="2774"/>
      <c r="BE113" s="2774"/>
      <c r="BF113" s="2774"/>
      <c r="BG113" s="2774"/>
      <c r="BI113" s="2730"/>
      <c r="BJ113" s="2730"/>
    </row>
    <row r="114" spans="1:62" ht="18" hidden="1" outlineLevel="1" thickBot="1">
      <c r="A114" s="2773" t="s">
        <v>4045</v>
      </c>
      <c r="B114" s="2846"/>
      <c r="C114" s="2847"/>
      <c r="D114" s="2848"/>
      <c r="E114" s="2848"/>
      <c r="F114" s="2765"/>
      <c r="G114" s="2766"/>
      <c r="H114" s="2766">
        <v>200000</v>
      </c>
      <c r="I114" s="2766">
        <f t="shared" ref="I114:X116" si="80">H114</f>
        <v>200000</v>
      </c>
      <c r="J114" s="2766">
        <f t="shared" si="80"/>
        <v>200000</v>
      </c>
      <c r="K114" s="2766">
        <f t="shared" si="80"/>
        <v>200000</v>
      </c>
      <c r="L114" s="2766">
        <f t="shared" si="80"/>
        <v>200000</v>
      </c>
      <c r="M114" s="2766">
        <f t="shared" si="80"/>
        <v>200000</v>
      </c>
      <c r="N114" s="2766">
        <f t="shared" si="80"/>
        <v>200000</v>
      </c>
      <c r="O114" s="2766">
        <f t="shared" si="80"/>
        <v>200000</v>
      </c>
      <c r="P114" s="2766">
        <f t="shared" si="80"/>
        <v>200000</v>
      </c>
      <c r="Q114" s="2766">
        <f t="shared" si="80"/>
        <v>200000</v>
      </c>
      <c r="R114" s="2766">
        <f t="shared" si="80"/>
        <v>200000</v>
      </c>
      <c r="S114" s="2766">
        <f t="shared" si="80"/>
        <v>200000</v>
      </c>
      <c r="T114" s="2766">
        <f t="shared" si="80"/>
        <v>200000</v>
      </c>
      <c r="U114" s="2766">
        <f t="shared" si="80"/>
        <v>200000</v>
      </c>
      <c r="V114" s="2766">
        <f t="shared" si="80"/>
        <v>200000</v>
      </c>
      <c r="W114" s="2766">
        <f t="shared" si="80"/>
        <v>200000</v>
      </c>
      <c r="X114" s="2766">
        <f t="shared" si="80"/>
        <v>200000</v>
      </c>
      <c r="Y114" s="2766">
        <f t="shared" ref="Y114:AN116" si="81">X114</f>
        <v>200000</v>
      </c>
      <c r="Z114" s="2766">
        <f t="shared" si="81"/>
        <v>200000</v>
      </c>
      <c r="AA114" s="2766">
        <f t="shared" si="81"/>
        <v>200000</v>
      </c>
      <c r="AB114" s="2766">
        <f t="shared" si="81"/>
        <v>200000</v>
      </c>
      <c r="AC114" s="2766">
        <f t="shared" si="81"/>
        <v>200000</v>
      </c>
      <c r="AD114" s="2766">
        <f t="shared" si="81"/>
        <v>200000</v>
      </c>
      <c r="AE114" s="2766">
        <f t="shared" si="81"/>
        <v>200000</v>
      </c>
      <c r="AF114" s="2766">
        <f t="shared" si="81"/>
        <v>200000</v>
      </c>
      <c r="AG114" s="2766">
        <f t="shared" si="81"/>
        <v>200000</v>
      </c>
      <c r="AH114" s="2766">
        <f t="shared" si="81"/>
        <v>200000</v>
      </c>
      <c r="AI114" s="2766">
        <f t="shared" si="81"/>
        <v>200000</v>
      </c>
      <c r="AJ114" s="2766">
        <f t="shared" si="81"/>
        <v>200000</v>
      </c>
      <c r="AK114" s="2766">
        <f t="shared" si="81"/>
        <v>200000</v>
      </c>
      <c r="AL114" s="2766">
        <f t="shared" si="81"/>
        <v>200000</v>
      </c>
      <c r="AM114" s="2766">
        <f t="shared" si="81"/>
        <v>200000</v>
      </c>
      <c r="AN114" s="2766">
        <f t="shared" si="81"/>
        <v>200000</v>
      </c>
      <c r="AO114" s="2766">
        <f t="shared" ref="AO114:AU116" si="82">AN114</f>
        <v>200000</v>
      </c>
      <c r="AP114" s="2766">
        <f t="shared" si="82"/>
        <v>200000</v>
      </c>
      <c r="AQ114" s="2766">
        <f t="shared" si="82"/>
        <v>200000</v>
      </c>
      <c r="AR114" s="2766">
        <f t="shared" si="82"/>
        <v>200000</v>
      </c>
      <c r="AS114" s="2766">
        <f t="shared" si="82"/>
        <v>200000</v>
      </c>
      <c r="AT114" s="2766">
        <f t="shared" si="82"/>
        <v>200000</v>
      </c>
      <c r="AU114" s="2766">
        <f t="shared" si="82"/>
        <v>200000</v>
      </c>
      <c r="AV114" s="2694">
        <v>0</v>
      </c>
      <c r="AW114" s="2771"/>
      <c r="AX114" s="2849"/>
      <c r="AY114" s="2774"/>
      <c r="AZ114" s="2774"/>
      <c r="BA114" s="2774"/>
      <c r="BB114" s="2774"/>
      <c r="BC114" s="2774"/>
      <c r="BD114" s="2774"/>
      <c r="BE114" s="2774"/>
      <c r="BF114" s="2774"/>
      <c r="BG114" s="2774"/>
      <c r="BI114" s="2730"/>
      <c r="BJ114" s="2730"/>
    </row>
    <row r="115" spans="1:62" ht="18" hidden="1" outlineLevel="1" thickBot="1">
      <c r="A115" s="2773" t="s">
        <v>4046</v>
      </c>
      <c r="B115" s="2846"/>
      <c r="C115" s="2847"/>
      <c r="D115" s="2848"/>
      <c r="E115" s="2848"/>
      <c r="F115" s="2765"/>
      <c r="G115" s="2766"/>
      <c r="H115" s="2766">
        <v>2000000</v>
      </c>
      <c r="I115" s="2766">
        <f t="shared" si="80"/>
        <v>2000000</v>
      </c>
      <c r="J115" s="2766">
        <f t="shared" si="80"/>
        <v>2000000</v>
      </c>
      <c r="K115" s="2766">
        <f t="shared" si="80"/>
        <v>2000000</v>
      </c>
      <c r="L115" s="2766">
        <v>6000000</v>
      </c>
      <c r="M115" s="2766">
        <f t="shared" si="80"/>
        <v>6000000</v>
      </c>
      <c r="N115" s="2766">
        <f t="shared" si="80"/>
        <v>6000000</v>
      </c>
      <c r="O115" s="2766">
        <f t="shared" si="80"/>
        <v>6000000</v>
      </c>
      <c r="P115" s="2766">
        <f t="shared" si="80"/>
        <v>6000000</v>
      </c>
      <c r="Q115" s="2766">
        <f t="shared" si="80"/>
        <v>6000000</v>
      </c>
      <c r="R115" s="2766">
        <f t="shared" si="80"/>
        <v>6000000</v>
      </c>
      <c r="S115" s="2766">
        <f t="shared" si="80"/>
        <v>6000000</v>
      </c>
      <c r="T115" s="2766">
        <f t="shared" si="80"/>
        <v>6000000</v>
      </c>
      <c r="U115" s="2766">
        <f t="shared" si="80"/>
        <v>6000000</v>
      </c>
      <c r="V115" s="2766">
        <f t="shared" si="80"/>
        <v>6000000</v>
      </c>
      <c r="W115" s="2766">
        <f t="shared" si="80"/>
        <v>6000000</v>
      </c>
      <c r="X115" s="2766">
        <f t="shared" si="80"/>
        <v>6000000</v>
      </c>
      <c r="Y115" s="2766">
        <f t="shared" si="81"/>
        <v>6000000</v>
      </c>
      <c r="Z115" s="2766">
        <f t="shared" si="81"/>
        <v>6000000</v>
      </c>
      <c r="AA115" s="2766">
        <f t="shared" si="81"/>
        <v>6000000</v>
      </c>
      <c r="AB115" s="2766">
        <f t="shared" si="81"/>
        <v>6000000</v>
      </c>
      <c r="AC115" s="2766">
        <f t="shared" si="81"/>
        <v>6000000</v>
      </c>
      <c r="AD115" s="2766">
        <f t="shared" si="81"/>
        <v>6000000</v>
      </c>
      <c r="AE115" s="2766">
        <f t="shared" si="81"/>
        <v>6000000</v>
      </c>
      <c r="AF115" s="2766">
        <f t="shared" si="81"/>
        <v>6000000</v>
      </c>
      <c r="AG115" s="2766">
        <f t="shared" si="81"/>
        <v>6000000</v>
      </c>
      <c r="AH115" s="2766">
        <f t="shared" si="81"/>
        <v>6000000</v>
      </c>
      <c r="AI115" s="2766">
        <f t="shared" si="81"/>
        <v>6000000</v>
      </c>
      <c r="AJ115" s="2766">
        <f t="shared" si="81"/>
        <v>6000000</v>
      </c>
      <c r="AK115" s="2766">
        <f t="shared" si="81"/>
        <v>6000000</v>
      </c>
      <c r="AL115" s="2766">
        <f t="shared" si="81"/>
        <v>6000000</v>
      </c>
      <c r="AM115" s="2766">
        <f t="shared" si="81"/>
        <v>6000000</v>
      </c>
      <c r="AN115" s="2766">
        <f t="shared" si="81"/>
        <v>6000000</v>
      </c>
      <c r="AO115" s="2766">
        <f t="shared" si="82"/>
        <v>6000000</v>
      </c>
      <c r="AP115" s="2766">
        <f t="shared" si="82"/>
        <v>6000000</v>
      </c>
      <c r="AQ115" s="2766">
        <f t="shared" si="82"/>
        <v>6000000</v>
      </c>
      <c r="AR115" s="2766">
        <f t="shared" si="82"/>
        <v>6000000</v>
      </c>
      <c r="AS115" s="2766">
        <f t="shared" si="82"/>
        <v>6000000</v>
      </c>
      <c r="AT115" s="2766">
        <f t="shared" si="82"/>
        <v>6000000</v>
      </c>
      <c r="AU115" s="2766">
        <f t="shared" si="82"/>
        <v>6000000</v>
      </c>
      <c r="AV115" s="2694">
        <v>0</v>
      </c>
      <c r="AW115" s="2850"/>
      <c r="AX115" s="2849"/>
      <c r="AY115" s="2774"/>
      <c r="AZ115" s="2774"/>
      <c r="BA115" s="2774"/>
      <c r="BB115" s="2774"/>
      <c r="BC115" s="2774"/>
      <c r="BD115" s="2774"/>
      <c r="BE115" s="2774"/>
      <c r="BF115" s="2774"/>
      <c r="BG115" s="2774"/>
      <c r="BI115" s="2730"/>
      <c r="BJ115" s="2730"/>
    </row>
    <row r="116" spans="1:62" ht="18" hidden="1" outlineLevel="1" thickBot="1">
      <c r="A116" s="2773" t="s">
        <v>4048</v>
      </c>
      <c r="B116" s="2846" t="s">
        <v>4133</v>
      </c>
      <c r="C116" s="2847"/>
      <c r="D116" s="2848"/>
      <c r="E116" s="2848"/>
      <c r="F116" s="2765"/>
      <c r="G116" s="2766"/>
      <c r="H116" s="2766">
        <v>1200000</v>
      </c>
      <c r="I116" s="2766">
        <f t="shared" si="80"/>
        <v>1200000</v>
      </c>
      <c r="J116" s="2766">
        <f t="shared" si="80"/>
        <v>1200000</v>
      </c>
      <c r="K116" s="2766">
        <f t="shared" si="80"/>
        <v>1200000</v>
      </c>
      <c r="L116" s="2766">
        <f>K116</f>
        <v>1200000</v>
      </c>
      <c r="M116" s="2766">
        <f t="shared" si="80"/>
        <v>1200000</v>
      </c>
      <c r="N116" s="2766">
        <f t="shared" si="80"/>
        <v>1200000</v>
      </c>
      <c r="O116" s="2766">
        <f t="shared" si="80"/>
        <v>1200000</v>
      </c>
      <c r="P116" s="2766">
        <f t="shared" si="80"/>
        <v>1200000</v>
      </c>
      <c r="Q116" s="2766">
        <f t="shared" si="80"/>
        <v>1200000</v>
      </c>
      <c r="R116" s="2766">
        <f t="shared" si="80"/>
        <v>1200000</v>
      </c>
      <c r="S116" s="2766">
        <f t="shared" si="80"/>
        <v>1200000</v>
      </c>
      <c r="T116" s="2766">
        <f t="shared" si="80"/>
        <v>1200000</v>
      </c>
      <c r="U116" s="2766">
        <f t="shared" si="80"/>
        <v>1200000</v>
      </c>
      <c r="V116" s="2766">
        <f t="shared" si="80"/>
        <v>1200000</v>
      </c>
      <c r="W116" s="2766">
        <f t="shared" si="80"/>
        <v>1200000</v>
      </c>
      <c r="X116" s="2766">
        <f t="shared" si="80"/>
        <v>1200000</v>
      </c>
      <c r="Y116" s="2766">
        <f t="shared" si="81"/>
        <v>1200000</v>
      </c>
      <c r="Z116" s="2766">
        <f t="shared" si="81"/>
        <v>1200000</v>
      </c>
      <c r="AA116" s="2766">
        <f t="shared" si="81"/>
        <v>1200000</v>
      </c>
      <c r="AB116" s="2766">
        <f t="shared" si="81"/>
        <v>1200000</v>
      </c>
      <c r="AC116" s="2766">
        <f t="shared" si="81"/>
        <v>1200000</v>
      </c>
      <c r="AD116" s="2766">
        <f t="shared" si="81"/>
        <v>1200000</v>
      </c>
      <c r="AE116" s="2766">
        <f t="shared" si="81"/>
        <v>1200000</v>
      </c>
      <c r="AF116" s="2766">
        <f t="shared" si="81"/>
        <v>1200000</v>
      </c>
      <c r="AG116" s="2766">
        <f t="shared" si="81"/>
        <v>1200000</v>
      </c>
      <c r="AH116" s="2766">
        <f t="shared" si="81"/>
        <v>1200000</v>
      </c>
      <c r="AI116" s="2766">
        <f t="shared" si="81"/>
        <v>1200000</v>
      </c>
      <c r="AJ116" s="2766">
        <f t="shared" si="81"/>
        <v>1200000</v>
      </c>
      <c r="AK116" s="2766">
        <f t="shared" si="81"/>
        <v>1200000</v>
      </c>
      <c r="AL116" s="2766">
        <f t="shared" si="81"/>
        <v>1200000</v>
      </c>
      <c r="AM116" s="2766">
        <f t="shared" si="81"/>
        <v>1200000</v>
      </c>
      <c r="AN116" s="2766">
        <f t="shared" si="81"/>
        <v>1200000</v>
      </c>
      <c r="AO116" s="2766">
        <f t="shared" si="82"/>
        <v>1200000</v>
      </c>
      <c r="AP116" s="2766">
        <f t="shared" si="82"/>
        <v>1200000</v>
      </c>
      <c r="AQ116" s="2766">
        <f t="shared" si="82"/>
        <v>1200000</v>
      </c>
      <c r="AR116" s="2766">
        <f t="shared" si="82"/>
        <v>1200000</v>
      </c>
      <c r="AS116" s="2766">
        <f t="shared" si="82"/>
        <v>1200000</v>
      </c>
      <c r="AT116" s="2766">
        <f t="shared" si="82"/>
        <v>1200000</v>
      </c>
      <c r="AU116" s="2766">
        <f t="shared" si="82"/>
        <v>1200000</v>
      </c>
      <c r="AV116" s="2694">
        <v>0</v>
      </c>
      <c r="AW116" s="2850"/>
      <c r="AX116" s="2849"/>
      <c r="AY116" s="2774"/>
      <c r="AZ116" s="2774"/>
      <c r="BA116" s="2774"/>
      <c r="BB116" s="2774"/>
      <c r="BC116" s="2774"/>
      <c r="BD116" s="2774"/>
      <c r="BE116" s="2774"/>
      <c r="BF116" s="2774"/>
      <c r="BG116" s="2774"/>
      <c r="BI116" s="2730"/>
      <c r="BJ116" s="2730"/>
    </row>
    <row r="117" spans="1:62" ht="18" hidden="1" outlineLevel="1" thickBot="1">
      <c r="A117" s="2773" t="s">
        <v>4050</v>
      </c>
      <c r="B117" s="2846" t="s">
        <v>4134</v>
      </c>
      <c r="C117" s="2851">
        <v>100</v>
      </c>
      <c r="D117" s="2852"/>
      <c r="E117" s="2852"/>
      <c r="F117" s="2765">
        <v>2256100</v>
      </c>
      <c r="G117" s="2765">
        <v>2400000</v>
      </c>
      <c r="H117" s="2766">
        <v>3600000</v>
      </c>
      <c r="I117" s="2766">
        <f t="shared" ref="I117:AU117" si="83">H117+$C$117*1000</f>
        <v>3700000</v>
      </c>
      <c r="J117" s="2766">
        <f t="shared" si="83"/>
        <v>3800000</v>
      </c>
      <c r="K117" s="2766">
        <f t="shared" si="83"/>
        <v>3900000</v>
      </c>
      <c r="L117" s="2766">
        <f t="shared" si="83"/>
        <v>4000000</v>
      </c>
      <c r="M117" s="2766">
        <f t="shared" si="83"/>
        <v>4100000</v>
      </c>
      <c r="N117" s="2766">
        <f t="shared" si="83"/>
        <v>4200000</v>
      </c>
      <c r="O117" s="2766">
        <f t="shared" si="83"/>
        <v>4300000</v>
      </c>
      <c r="P117" s="2766">
        <f t="shared" si="83"/>
        <v>4400000</v>
      </c>
      <c r="Q117" s="2766">
        <f t="shared" si="83"/>
        <v>4500000</v>
      </c>
      <c r="R117" s="2766">
        <f t="shared" si="83"/>
        <v>4600000</v>
      </c>
      <c r="S117" s="2766">
        <f t="shared" si="83"/>
        <v>4700000</v>
      </c>
      <c r="T117" s="2766">
        <f t="shared" si="83"/>
        <v>4800000</v>
      </c>
      <c r="U117" s="2766">
        <f t="shared" si="83"/>
        <v>4900000</v>
      </c>
      <c r="V117" s="2766">
        <f t="shared" si="83"/>
        <v>5000000</v>
      </c>
      <c r="W117" s="2766">
        <f t="shared" si="83"/>
        <v>5100000</v>
      </c>
      <c r="X117" s="2766">
        <f t="shared" si="83"/>
        <v>5200000</v>
      </c>
      <c r="Y117" s="2766">
        <f t="shared" si="83"/>
        <v>5300000</v>
      </c>
      <c r="Z117" s="2766">
        <f t="shared" si="83"/>
        <v>5400000</v>
      </c>
      <c r="AA117" s="2766">
        <f t="shared" si="83"/>
        <v>5500000</v>
      </c>
      <c r="AB117" s="2766">
        <f t="shared" si="83"/>
        <v>5600000</v>
      </c>
      <c r="AC117" s="2766">
        <f t="shared" si="83"/>
        <v>5700000</v>
      </c>
      <c r="AD117" s="2766">
        <f t="shared" si="83"/>
        <v>5800000</v>
      </c>
      <c r="AE117" s="2766">
        <f t="shared" si="83"/>
        <v>5900000</v>
      </c>
      <c r="AF117" s="2766">
        <f t="shared" si="83"/>
        <v>6000000</v>
      </c>
      <c r="AG117" s="2766">
        <f t="shared" si="83"/>
        <v>6100000</v>
      </c>
      <c r="AH117" s="2766">
        <f t="shared" si="83"/>
        <v>6200000</v>
      </c>
      <c r="AI117" s="2766">
        <f t="shared" si="83"/>
        <v>6300000</v>
      </c>
      <c r="AJ117" s="2766">
        <f t="shared" si="83"/>
        <v>6400000</v>
      </c>
      <c r="AK117" s="2766">
        <f t="shared" si="83"/>
        <v>6500000</v>
      </c>
      <c r="AL117" s="2766">
        <f t="shared" si="83"/>
        <v>6600000</v>
      </c>
      <c r="AM117" s="2766">
        <f t="shared" si="83"/>
        <v>6700000</v>
      </c>
      <c r="AN117" s="2766">
        <f t="shared" si="83"/>
        <v>6800000</v>
      </c>
      <c r="AO117" s="2766">
        <f t="shared" si="83"/>
        <v>6900000</v>
      </c>
      <c r="AP117" s="2766">
        <f t="shared" si="83"/>
        <v>7000000</v>
      </c>
      <c r="AQ117" s="2766">
        <f t="shared" si="83"/>
        <v>7100000</v>
      </c>
      <c r="AR117" s="2766">
        <f t="shared" si="83"/>
        <v>7200000</v>
      </c>
      <c r="AS117" s="2766">
        <f t="shared" si="83"/>
        <v>7300000</v>
      </c>
      <c r="AT117" s="2766">
        <f t="shared" si="83"/>
        <v>7400000</v>
      </c>
      <c r="AU117" s="2766">
        <f t="shared" si="83"/>
        <v>7500000</v>
      </c>
      <c r="AV117" s="2694">
        <v>0</v>
      </c>
      <c r="AW117" s="2850"/>
      <c r="AX117" s="2853"/>
      <c r="AY117" s="2774"/>
      <c r="AZ117" s="2774"/>
      <c r="BA117" s="2774"/>
      <c r="BB117" s="2774"/>
      <c r="BC117" s="2774"/>
      <c r="BD117" s="2774"/>
      <c r="BE117" s="2774"/>
      <c r="BF117" s="2774"/>
      <c r="BG117" s="2774"/>
      <c r="BI117" s="2730"/>
      <c r="BJ117" s="2730"/>
    </row>
    <row r="118" spans="1:62" ht="18" hidden="1" outlineLevel="1" thickBot="1">
      <c r="A118" s="2773" t="s">
        <v>4135</v>
      </c>
      <c r="B118" s="2846"/>
      <c r="C118" s="2847"/>
      <c r="D118" s="2848"/>
      <c r="E118" s="2848"/>
      <c r="F118" s="2765">
        <v>2711508</v>
      </c>
      <c r="G118" s="2765">
        <v>1998000</v>
      </c>
      <c r="H118" s="2766">
        <v>2000000</v>
      </c>
      <c r="I118" s="2766">
        <f t="shared" ref="I118:X118" si="84">H118</f>
        <v>2000000</v>
      </c>
      <c r="J118" s="2766">
        <f t="shared" si="84"/>
        <v>2000000</v>
      </c>
      <c r="K118" s="2766">
        <f t="shared" si="84"/>
        <v>2000000</v>
      </c>
      <c r="L118" s="2766">
        <f>K118</f>
        <v>2000000</v>
      </c>
      <c r="M118" s="2766">
        <f t="shared" si="84"/>
        <v>2000000</v>
      </c>
      <c r="N118" s="2766">
        <f t="shared" si="84"/>
        <v>2000000</v>
      </c>
      <c r="O118" s="2766">
        <f t="shared" si="84"/>
        <v>2000000</v>
      </c>
      <c r="P118" s="2766">
        <f t="shared" si="84"/>
        <v>2000000</v>
      </c>
      <c r="Q118" s="2766">
        <f t="shared" si="84"/>
        <v>2000000</v>
      </c>
      <c r="R118" s="2766">
        <f t="shared" si="84"/>
        <v>2000000</v>
      </c>
      <c r="S118" s="2766">
        <f t="shared" si="84"/>
        <v>2000000</v>
      </c>
      <c r="T118" s="2766">
        <f t="shared" si="84"/>
        <v>2000000</v>
      </c>
      <c r="U118" s="2766">
        <f t="shared" si="84"/>
        <v>2000000</v>
      </c>
      <c r="V118" s="2766">
        <f t="shared" si="84"/>
        <v>2000000</v>
      </c>
      <c r="W118" s="2766">
        <f t="shared" si="84"/>
        <v>2000000</v>
      </c>
      <c r="X118" s="2766">
        <f t="shared" si="84"/>
        <v>2000000</v>
      </c>
      <c r="Y118" s="2766">
        <f t="shared" ref="Y118:AN118" si="85">X118</f>
        <v>2000000</v>
      </c>
      <c r="Z118" s="2766">
        <f t="shared" si="85"/>
        <v>2000000</v>
      </c>
      <c r="AA118" s="2766">
        <f t="shared" si="85"/>
        <v>2000000</v>
      </c>
      <c r="AB118" s="2766">
        <f t="shared" si="85"/>
        <v>2000000</v>
      </c>
      <c r="AC118" s="2766">
        <f t="shared" si="85"/>
        <v>2000000</v>
      </c>
      <c r="AD118" s="2766">
        <f t="shared" si="85"/>
        <v>2000000</v>
      </c>
      <c r="AE118" s="2766">
        <f t="shared" si="85"/>
        <v>2000000</v>
      </c>
      <c r="AF118" s="2766">
        <f t="shared" si="85"/>
        <v>2000000</v>
      </c>
      <c r="AG118" s="2766">
        <f t="shared" si="85"/>
        <v>2000000</v>
      </c>
      <c r="AH118" s="2766">
        <f t="shared" si="85"/>
        <v>2000000</v>
      </c>
      <c r="AI118" s="2766">
        <f t="shared" si="85"/>
        <v>2000000</v>
      </c>
      <c r="AJ118" s="2766">
        <f t="shared" si="85"/>
        <v>2000000</v>
      </c>
      <c r="AK118" s="2766">
        <f t="shared" si="85"/>
        <v>2000000</v>
      </c>
      <c r="AL118" s="2766">
        <f t="shared" si="85"/>
        <v>2000000</v>
      </c>
      <c r="AM118" s="2766">
        <f t="shared" si="85"/>
        <v>2000000</v>
      </c>
      <c r="AN118" s="2766">
        <f t="shared" si="85"/>
        <v>2000000</v>
      </c>
      <c r="AO118" s="2766">
        <f t="shared" ref="AO118:AU118" si="86">AN118</f>
        <v>2000000</v>
      </c>
      <c r="AP118" s="2766">
        <f t="shared" si="86"/>
        <v>2000000</v>
      </c>
      <c r="AQ118" s="2766">
        <f t="shared" si="86"/>
        <v>2000000</v>
      </c>
      <c r="AR118" s="2766">
        <f t="shared" si="86"/>
        <v>2000000</v>
      </c>
      <c r="AS118" s="2766">
        <f t="shared" si="86"/>
        <v>2000000</v>
      </c>
      <c r="AT118" s="2766">
        <f t="shared" si="86"/>
        <v>2000000</v>
      </c>
      <c r="AU118" s="2766">
        <f t="shared" si="86"/>
        <v>2000000</v>
      </c>
      <c r="AV118" s="2694">
        <v>0</v>
      </c>
      <c r="AW118" s="2850"/>
      <c r="AX118" s="2849"/>
      <c r="AY118" s="2774"/>
      <c r="AZ118" s="2774"/>
      <c r="BA118" s="2774"/>
      <c r="BB118" s="2774"/>
      <c r="BC118" s="2774"/>
      <c r="BD118" s="2774"/>
      <c r="BE118" s="2774"/>
      <c r="BF118" s="2774"/>
      <c r="BG118" s="2774"/>
      <c r="BI118" s="2730"/>
      <c r="BJ118" s="2730"/>
    </row>
    <row r="119" spans="1:62" ht="18" hidden="1" outlineLevel="1" thickBot="1">
      <c r="A119" s="2773" t="s">
        <v>4136</v>
      </c>
      <c r="B119" s="2846"/>
      <c r="C119" s="2847"/>
      <c r="D119" s="2848"/>
      <c r="E119" s="2848"/>
      <c r="F119" s="2765">
        <f>SUM(F120:F120)</f>
        <v>14416880</v>
      </c>
      <c r="G119" s="2766">
        <f t="shared" ref="G119:AU119" si="87">SUM(G120:G120)</f>
        <v>13061304</v>
      </c>
      <c r="H119" s="2766">
        <f t="shared" si="87"/>
        <v>14000000</v>
      </c>
      <c r="I119" s="2766">
        <f t="shared" si="87"/>
        <v>14000000</v>
      </c>
      <c r="J119" s="2766">
        <f t="shared" si="87"/>
        <v>14000000</v>
      </c>
      <c r="K119" s="2766">
        <f t="shared" si="87"/>
        <v>14000000</v>
      </c>
      <c r="L119" s="2766">
        <f t="shared" si="87"/>
        <v>14000000</v>
      </c>
      <c r="M119" s="2766">
        <f t="shared" si="87"/>
        <v>14000000</v>
      </c>
      <c r="N119" s="2766">
        <f t="shared" si="87"/>
        <v>14000000</v>
      </c>
      <c r="O119" s="2766">
        <f t="shared" si="87"/>
        <v>14000000</v>
      </c>
      <c r="P119" s="2766">
        <f t="shared" si="87"/>
        <v>14000000</v>
      </c>
      <c r="Q119" s="2766">
        <f t="shared" si="87"/>
        <v>14000000</v>
      </c>
      <c r="R119" s="2766">
        <f t="shared" si="87"/>
        <v>14000000</v>
      </c>
      <c r="S119" s="2766">
        <f t="shared" si="87"/>
        <v>14000000</v>
      </c>
      <c r="T119" s="2766">
        <f t="shared" si="87"/>
        <v>14000000</v>
      </c>
      <c r="U119" s="2766">
        <f t="shared" si="87"/>
        <v>14000000</v>
      </c>
      <c r="V119" s="2766">
        <f t="shared" si="87"/>
        <v>14000000</v>
      </c>
      <c r="W119" s="2766">
        <f t="shared" si="87"/>
        <v>14000000</v>
      </c>
      <c r="X119" s="2766">
        <f t="shared" si="87"/>
        <v>14000000</v>
      </c>
      <c r="Y119" s="2766">
        <f t="shared" si="87"/>
        <v>14000000</v>
      </c>
      <c r="Z119" s="2766">
        <f t="shared" si="87"/>
        <v>14000000</v>
      </c>
      <c r="AA119" s="2766">
        <f t="shared" si="87"/>
        <v>14000000</v>
      </c>
      <c r="AB119" s="2766">
        <f t="shared" si="87"/>
        <v>14000000</v>
      </c>
      <c r="AC119" s="2766">
        <f t="shared" si="87"/>
        <v>14000000</v>
      </c>
      <c r="AD119" s="2766">
        <f t="shared" si="87"/>
        <v>14000000</v>
      </c>
      <c r="AE119" s="2766">
        <f t="shared" si="87"/>
        <v>14000000</v>
      </c>
      <c r="AF119" s="2766">
        <f t="shared" si="87"/>
        <v>14000000</v>
      </c>
      <c r="AG119" s="2766">
        <f t="shared" si="87"/>
        <v>14000000</v>
      </c>
      <c r="AH119" s="2766">
        <f t="shared" si="87"/>
        <v>14000000</v>
      </c>
      <c r="AI119" s="2766">
        <f t="shared" si="87"/>
        <v>14000000</v>
      </c>
      <c r="AJ119" s="2766">
        <f t="shared" si="87"/>
        <v>14000000</v>
      </c>
      <c r="AK119" s="2766">
        <f t="shared" si="87"/>
        <v>14000000</v>
      </c>
      <c r="AL119" s="2766">
        <f t="shared" si="87"/>
        <v>14000000</v>
      </c>
      <c r="AM119" s="2766">
        <f t="shared" si="87"/>
        <v>14000000</v>
      </c>
      <c r="AN119" s="2766">
        <f t="shared" si="87"/>
        <v>14000000</v>
      </c>
      <c r="AO119" s="2766">
        <f t="shared" si="87"/>
        <v>14000000</v>
      </c>
      <c r="AP119" s="2766">
        <f t="shared" si="87"/>
        <v>14000000</v>
      </c>
      <c r="AQ119" s="2766">
        <f t="shared" si="87"/>
        <v>14000000</v>
      </c>
      <c r="AR119" s="2766">
        <f t="shared" si="87"/>
        <v>14000000</v>
      </c>
      <c r="AS119" s="2766">
        <f t="shared" si="87"/>
        <v>14000000</v>
      </c>
      <c r="AT119" s="2766">
        <f t="shared" si="87"/>
        <v>14000000</v>
      </c>
      <c r="AU119" s="2766">
        <f t="shared" si="87"/>
        <v>14000000</v>
      </c>
      <c r="AV119" s="2694">
        <v>0</v>
      </c>
      <c r="AW119" s="2850"/>
      <c r="AX119" s="2849"/>
      <c r="AY119" s="2774"/>
      <c r="AZ119" s="2774"/>
      <c r="BA119" s="2774"/>
      <c r="BB119" s="2774"/>
      <c r="BC119" s="2774"/>
      <c r="BD119" s="2774"/>
      <c r="BE119" s="2774"/>
      <c r="BF119" s="2774"/>
      <c r="BG119" s="2774"/>
      <c r="BI119" s="2730"/>
      <c r="BJ119" s="2730"/>
    </row>
    <row r="120" spans="1:62" ht="18" hidden="1" outlineLevel="1" thickBot="1">
      <c r="A120" s="2801" t="s">
        <v>4137</v>
      </c>
      <c r="B120" s="2844" t="s">
        <v>4138</v>
      </c>
      <c r="C120" s="2763"/>
      <c r="D120" s="2764"/>
      <c r="E120" s="2764"/>
      <c r="F120" s="2769">
        <v>14416880</v>
      </c>
      <c r="G120" s="2769">
        <v>13061304</v>
      </c>
      <c r="H120" s="2770">
        <v>14000000</v>
      </c>
      <c r="I120" s="2770">
        <f t="shared" ref="I120:AU120" si="88">H120</f>
        <v>14000000</v>
      </c>
      <c r="J120" s="2770">
        <f t="shared" si="88"/>
        <v>14000000</v>
      </c>
      <c r="K120" s="2770">
        <f t="shared" si="88"/>
        <v>14000000</v>
      </c>
      <c r="L120" s="2770">
        <f t="shared" si="88"/>
        <v>14000000</v>
      </c>
      <c r="M120" s="2770">
        <f t="shared" si="88"/>
        <v>14000000</v>
      </c>
      <c r="N120" s="2770">
        <f t="shared" si="88"/>
        <v>14000000</v>
      </c>
      <c r="O120" s="2770">
        <f t="shared" si="88"/>
        <v>14000000</v>
      </c>
      <c r="P120" s="2770">
        <f t="shared" si="88"/>
        <v>14000000</v>
      </c>
      <c r="Q120" s="2770">
        <f t="shared" si="88"/>
        <v>14000000</v>
      </c>
      <c r="R120" s="2770">
        <f t="shared" si="88"/>
        <v>14000000</v>
      </c>
      <c r="S120" s="2770">
        <f t="shared" si="88"/>
        <v>14000000</v>
      </c>
      <c r="T120" s="2770">
        <f t="shared" si="88"/>
        <v>14000000</v>
      </c>
      <c r="U120" s="2770">
        <f t="shared" si="88"/>
        <v>14000000</v>
      </c>
      <c r="V120" s="2770">
        <f t="shared" si="88"/>
        <v>14000000</v>
      </c>
      <c r="W120" s="2770">
        <f t="shared" si="88"/>
        <v>14000000</v>
      </c>
      <c r="X120" s="2770">
        <f t="shared" si="88"/>
        <v>14000000</v>
      </c>
      <c r="Y120" s="2770">
        <f t="shared" si="88"/>
        <v>14000000</v>
      </c>
      <c r="Z120" s="2770">
        <f t="shared" si="88"/>
        <v>14000000</v>
      </c>
      <c r="AA120" s="2770">
        <f t="shared" si="88"/>
        <v>14000000</v>
      </c>
      <c r="AB120" s="2770">
        <f t="shared" si="88"/>
        <v>14000000</v>
      </c>
      <c r="AC120" s="2770">
        <f t="shared" si="88"/>
        <v>14000000</v>
      </c>
      <c r="AD120" s="2770">
        <f t="shared" si="88"/>
        <v>14000000</v>
      </c>
      <c r="AE120" s="2770">
        <f t="shared" si="88"/>
        <v>14000000</v>
      </c>
      <c r="AF120" s="2770">
        <f t="shared" si="88"/>
        <v>14000000</v>
      </c>
      <c r="AG120" s="2770">
        <f t="shared" si="88"/>
        <v>14000000</v>
      </c>
      <c r="AH120" s="2770">
        <f t="shared" si="88"/>
        <v>14000000</v>
      </c>
      <c r="AI120" s="2770">
        <f t="shared" si="88"/>
        <v>14000000</v>
      </c>
      <c r="AJ120" s="2770">
        <f t="shared" si="88"/>
        <v>14000000</v>
      </c>
      <c r="AK120" s="2770">
        <f t="shared" si="88"/>
        <v>14000000</v>
      </c>
      <c r="AL120" s="2770">
        <f t="shared" si="88"/>
        <v>14000000</v>
      </c>
      <c r="AM120" s="2770">
        <f t="shared" si="88"/>
        <v>14000000</v>
      </c>
      <c r="AN120" s="2770">
        <f t="shared" si="88"/>
        <v>14000000</v>
      </c>
      <c r="AO120" s="2770">
        <f t="shared" si="88"/>
        <v>14000000</v>
      </c>
      <c r="AP120" s="2770">
        <f t="shared" si="88"/>
        <v>14000000</v>
      </c>
      <c r="AQ120" s="2770">
        <f t="shared" si="88"/>
        <v>14000000</v>
      </c>
      <c r="AR120" s="2770">
        <f t="shared" si="88"/>
        <v>14000000</v>
      </c>
      <c r="AS120" s="2770">
        <f t="shared" si="88"/>
        <v>14000000</v>
      </c>
      <c r="AT120" s="2770">
        <f t="shared" si="88"/>
        <v>14000000</v>
      </c>
      <c r="AU120" s="2770">
        <f t="shared" si="88"/>
        <v>14000000</v>
      </c>
      <c r="AV120" s="2694">
        <v>0</v>
      </c>
      <c r="AW120" s="2850"/>
      <c r="AX120" s="2759"/>
      <c r="AY120" s="2760"/>
      <c r="AZ120" s="2760"/>
      <c r="BA120" s="2760"/>
      <c r="BB120" s="2760"/>
      <c r="BC120" s="2760"/>
      <c r="BD120" s="2760"/>
      <c r="BE120" s="2760"/>
      <c r="BF120" s="2760"/>
      <c r="BG120" s="2760"/>
      <c r="BI120" s="2730"/>
      <c r="BJ120" s="2730"/>
    </row>
    <row r="121" spans="1:62" ht="18" hidden="1" outlineLevel="1" thickBot="1">
      <c r="A121" s="2773" t="s">
        <v>4139</v>
      </c>
      <c r="B121" s="2846"/>
      <c r="C121" s="2763"/>
      <c r="D121" s="2764"/>
      <c r="E121" s="2764"/>
      <c r="F121" s="2765">
        <f>F122+F123</f>
        <v>600000</v>
      </c>
      <c r="G121" s="2765">
        <f t="shared" ref="G121:AU121" si="89">G122+G123</f>
        <v>800000</v>
      </c>
      <c r="H121" s="2765">
        <f t="shared" si="89"/>
        <v>2760000</v>
      </c>
      <c r="I121" s="2765">
        <f t="shared" si="89"/>
        <v>2760000</v>
      </c>
      <c r="J121" s="2765">
        <f t="shared" si="89"/>
        <v>2960000</v>
      </c>
      <c r="K121" s="2765">
        <f t="shared" si="89"/>
        <v>2960000</v>
      </c>
      <c r="L121" s="2765">
        <f t="shared" si="89"/>
        <v>2960000</v>
      </c>
      <c r="M121" s="2765">
        <f t="shared" si="89"/>
        <v>2960000</v>
      </c>
      <c r="N121" s="2765">
        <f t="shared" si="89"/>
        <v>3160000</v>
      </c>
      <c r="O121" s="2765">
        <f t="shared" si="89"/>
        <v>3160000</v>
      </c>
      <c r="P121" s="2765">
        <f t="shared" si="89"/>
        <v>3160000</v>
      </c>
      <c r="Q121" s="2765">
        <f t="shared" si="89"/>
        <v>3160000</v>
      </c>
      <c r="R121" s="2765">
        <f t="shared" si="89"/>
        <v>3360000</v>
      </c>
      <c r="S121" s="2765">
        <f t="shared" si="89"/>
        <v>3360000</v>
      </c>
      <c r="T121" s="2765">
        <f t="shared" si="89"/>
        <v>3360000</v>
      </c>
      <c r="U121" s="2765">
        <f t="shared" si="89"/>
        <v>3360000</v>
      </c>
      <c r="V121" s="2765">
        <f t="shared" si="89"/>
        <v>3560000</v>
      </c>
      <c r="W121" s="2765">
        <f t="shared" si="89"/>
        <v>3560000</v>
      </c>
      <c r="X121" s="2765">
        <f t="shared" si="89"/>
        <v>3560000</v>
      </c>
      <c r="Y121" s="2765">
        <f t="shared" si="89"/>
        <v>3560000</v>
      </c>
      <c r="Z121" s="2765">
        <f t="shared" si="89"/>
        <v>3760000</v>
      </c>
      <c r="AA121" s="2765">
        <f t="shared" si="89"/>
        <v>3760000</v>
      </c>
      <c r="AB121" s="2765">
        <f t="shared" si="89"/>
        <v>3760000</v>
      </c>
      <c r="AC121" s="2765">
        <f t="shared" si="89"/>
        <v>3760000</v>
      </c>
      <c r="AD121" s="2765">
        <f t="shared" si="89"/>
        <v>3960000</v>
      </c>
      <c r="AE121" s="2765">
        <f t="shared" si="89"/>
        <v>3960000</v>
      </c>
      <c r="AF121" s="2765">
        <f t="shared" si="89"/>
        <v>3960000</v>
      </c>
      <c r="AG121" s="2765">
        <f t="shared" si="89"/>
        <v>3960000</v>
      </c>
      <c r="AH121" s="2765">
        <f t="shared" si="89"/>
        <v>4160000</v>
      </c>
      <c r="AI121" s="2765">
        <f t="shared" si="89"/>
        <v>4160000</v>
      </c>
      <c r="AJ121" s="2765">
        <f t="shared" si="89"/>
        <v>4160000</v>
      </c>
      <c r="AK121" s="2765">
        <f t="shared" si="89"/>
        <v>4160000</v>
      </c>
      <c r="AL121" s="2765">
        <f t="shared" si="89"/>
        <v>4360000</v>
      </c>
      <c r="AM121" s="2765">
        <f t="shared" si="89"/>
        <v>4360000</v>
      </c>
      <c r="AN121" s="2765">
        <f t="shared" si="89"/>
        <v>4360000</v>
      </c>
      <c r="AO121" s="2765">
        <f t="shared" si="89"/>
        <v>4360000</v>
      </c>
      <c r="AP121" s="2765">
        <f t="shared" si="89"/>
        <v>4560000</v>
      </c>
      <c r="AQ121" s="2765">
        <f t="shared" si="89"/>
        <v>4560000</v>
      </c>
      <c r="AR121" s="2765">
        <f t="shared" si="89"/>
        <v>4560000</v>
      </c>
      <c r="AS121" s="2765">
        <f t="shared" si="89"/>
        <v>4560000</v>
      </c>
      <c r="AT121" s="2765">
        <f t="shared" si="89"/>
        <v>4760000</v>
      </c>
      <c r="AU121" s="2765">
        <f t="shared" si="89"/>
        <v>4760000</v>
      </c>
      <c r="AV121" s="2694">
        <v>0</v>
      </c>
      <c r="AW121" s="2845"/>
      <c r="AX121" s="2759"/>
      <c r="AY121" s="2774"/>
      <c r="AZ121" s="2774"/>
      <c r="BA121" s="2774"/>
      <c r="BB121" s="2774"/>
      <c r="BC121" s="2774"/>
      <c r="BD121" s="2774"/>
      <c r="BE121" s="2774"/>
      <c r="BF121" s="2774"/>
      <c r="BG121" s="2774"/>
      <c r="BI121" s="2730"/>
      <c r="BJ121" s="2730"/>
    </row>
    <row r="122" spans="1:62" ht="18" hidden="1" outlineLevel="1" thickBot="1">
      <c r="A122" s="2801" t="s">
        <v>4140</v>
      </c>
      <c r="B122" s="2802" t="s">
        <v>4057</v>
      </c>
      <c r="C122" s="2763"/>
      <c r="D122" s="2764"/>
      <c r="E122" s="2764"/>
      <c r="F122" s="2769">
        <f>50000*12</f>
        <v>600000</v>
      </c>
      <c r="G122" s="2769">
        <v>600000</v>
      </c>
      <c r="H122" s="2770">
        <v>1800000</v>
      </c>
      <c r="I122" s="2770">
        <f>H122</f>
        <v>1800000</v>
      </c>
      <c r="J122" s="2770">
        <f>I122+100000</f>
        <v>1900000</v>
      </c>
      <c r="K122" s="2770">
        <f t="shared" ref="K122:M123" si="90">J122</f>
        <v>1900000</v>
      </c>
      <c r="L122" s="2770">
        <f t="shared" si="90"/>
        <v>1900000</v>
      </c>
      <c r="M122" s="2770">
        <f t="shared" si="90"/>
        <v>1900000</v>
      </c>
      <c r="N122" s="2770">
        <f>M122+100000</f>
        <v>2000000</v>
      </c>
      <c r="O122" s="2770">
        <f t="shared" ref="O122:Q123" si="91">N122</f>
        <v>2000000</v>
      </c>
      <c r="P122" s="2770">
        <f t="shared" si="91"/>
        <v>2000000</v>
      </c>
      <c r="Q122" s="2770">
        <f t="shared" si="91"/>
        <v>2000000</v>
      </c>
      <c r="R122" s="2770">
        <f>Q122+100000</f>
        <v>2100000</v>
      </c>
      <c r="S122" s="2770">
        <f t="shared" ref="S122:U123" si="92">R122</f>
        <v>2100000</v>
      </c>
      <c r="T122" s="2770">
        <f t="shared" si="92"/>
        <v>2100000</v>
      </c>
      <c r="U122" s="2770">
        <f t="shared" si="92"/>
        <v>2100000</v>
      </c>
      <c r="V122" s="2770">
        <f>U122+100000</f>
        <v>2200000</v>
      </c>
      <c r="W122" s="2770">
        <f t="shared" ref="W122:Y123" si="93">V122</f>
        <v>2200000</v>
      </c>
      <c r="X122" s="2770">
        <f t="shared" si="93"/>
        <v>2200000</v>
      </c>
      <c r="Y122" s="2770">
        <f t="shared" si="93"/>
        <v>2200000</v>
      </c>
      <c r="Z122" s="2770">
        <f>Y122+100000</f>
        <v>2300000</v>
      </c>
      <c r="AA122" s="2770">
        <f t="shared" ref="AA122:AC123" si="94">Z122</f>
        <v>2300000</v>
      </c>
      <c r="AB122" s="2770">
        <f t="shared" si="94"/>
        <v>2300000</v>
      </c>
      <c r="AC122" s="2770">
        <f t="shared" si="94"/>
        <v>2300000</v>
      </c>
      <c r="AD122" s="2770">
        <f>AC122+100000</f>
        <v>2400000</v>
      </c>
      <c r="AE122" s="2770">
        <f t="shared" ref="AE122:AG123" si="95">AD122</f>
        <v>2400000</v>
      </c>
      <c r="AF122" s="2770">
        <f t="shared" si="95"/>
        <v>2400000</v>
      </c>
      <c r="AG122" s="2770">
        <f t="shared" si="95"/>
        <v>2400000</v>
      </c>
      <c r="AH122" s="2770">
        <f>AG122+100000</f>
        <v>2500000</v>
      </c>
      <c r="AI122" s="2770">
        <f t="shared" ref="AI122:AK123" si="96">AH122</f>
        <v>2500000</v>
      </c>
      <c r="AJ122" s="2770">
        <f t="shared" si="96"/>
        <v>2500000</v>
      </c>
      <c r="AK122" s="2770">
        <f t="shared" si="96"/>
        <v>2500000</v>
      </c>
      <c r="AL122" s="2770">
        <f>AK122+100000</f>
        <v>2600000</v>
      </c>
      <c r="AM122" s="2770">
        <f t="shared" ref="AM122:AO123" si="97">AL122</f>
        <v>2600000</v>
      </c>
      <c r="AN122" s="2770">
        <f t="shared" si="97"/>
        <v>2600000</v>
      </c>
      <c r="AO122" s="2770">
        <f t="shared" si="97"/>
        <v>2600000</v>
      </c>
      <c r="AP122" s="2770">
        <f>AO122+100000</f>
        <v>2700000</v>
      </c>
      <c r="AQ122" s="2770">
        <f t="shared" ref="AQ122:AS123" si="98">AP122</f>
        <v>2700000</v>
      </c>
      <c r="AR122" s="2770">
        <f t="shared" si="98"/>
        <v>2700000</v>
      </c>
      <c r="AS122" s="2770">
        <f t="shared" si="98"/>
        <v>2700000</v>
      </c>
      <c r="AT122" s="2770">
        <f>AS122+100000</f>
        <v>2800000</v>
      </c>
      <c r="AU122" s="2770">
        <f>AT122</f>
        <v>2800000</v>
      </c>
      <c r="AV122" s="2694">
        <v>0</v>
      </c>
      <c r="AW122" s="2850"/>
      <c r="AX122" s="2759"/>
      <c r="AY122" s="2774"/>
      <c r="AZ122" s="2774"/>
      <c r="BA122" s="2774"/>
      <c r="BB122" s="2774"/>
      <c r="BC122" s="2774"/>
      <c r="BD122" s="2774"/>
      <c r="BE122" s="2774"/>
      <c r="BF122" s="2774"/>
      <c r="BG122" s="2774"/>
      <c r="BI122" s="2730"/>
      <c r="BJ122" s="2730"/>
    </row>
    <row r="123" spans="1:62" ht="18" hidden="1" outlineLevel="1" thickBot="1">
      <c r="A123" s="2801" t="s">
        <v>4141</v>
      </c>
      <c r="B123" s="2802" t="s">
        <v>4059</v>
      </c>
      <c r="C123" s="2763"/>
      <c r="D123" s="2764"/>
      <c r="E123" s="2764"/>
      <c r="F123" s="2769"/>
      <c r="G123" s="2769">
        <v>200000</v>
      </c>
      <c r="H123" s="2770">
        <v>960000</v>
      </c>
      <c r="I123" s="2770">
        <f>H123</f>
        <v>960000</v>
      </c>
      <c r="J123" s="2770">
        <f>I123+100000</f>
        <v>1060000</v>
      </c>
      <c r="K123" s="2770">
        <f t="shared" si="90"/>
        <v>1060000</v>
      </c>
      <c r="L123" s="2770">
        <f t="shared" si="90"/>
        <v>1060000</v>
      </c>
      <c r="M123" s="2770">
        <f t="shared" si="90"/>
        <v>1060000</v>
      </c>
      <c r="N123" s="2770">
        <f>M123+100000</f>
        <v>1160000</v>
      </c>
      <c r="O123" s="2770">
        <f t="shared" si="91"/>
        <v>1160000</v>
      </c>
      <c r="P123" s="2770">
        <f t="shared" si="91"/>
        <v>1160000</v>
      </c>
      <c r="Q123" s="2770">
        <f t="shared" si="91"/>
        <v>1160000</v>
      </c>
      <c r="R123" s="2770">
        <f>Q123+100000</f>
        <v>1260000</v>
      </c>
      <c r="S123" s="2770">
        <f t="shared" si="92"/>
        <v>1260000</v>
      </c>
      <c r="T123" s="2770">
        <f t="shared" si="92"/>
        <v>1260000</v>
      </c>
      <c r="U123" s="2770">
        <f t="shared" si="92"/>
        <v>1260000</v>
      </c>
      <c r="V123" s="2770">
        <f>U123+100000</f>
        <v>1360000</v>
      </c>
      <c r="W123" s="2770">
        <f t="shared" si="93"/>
        <v>1360000</v>
      </c>
      <c r="X123" s="2770">
        <f t="shared" si="93"/>
        <v>1360000</v>
      </c>
      <c r="Y123" s="2770">
        <f t="shared" si="93"/>
        <v>1360000</v>
      </c>
      <c r="Z123" s="2770">
        <f>Y123+100000</f>
        <v>1460000</v>
      </c>
      <c r="AA123" s="2770">
        <f t="shared" si="94"/>
        <v>1460000</v>
      </c>
      <c r="AB123" s="2770">
        <f t="shared" si="94"/>
        <v>1460000</v>
      </c>
      <c r="AC123" s="2770">
        <f t="shared" si="94"/>
        <v>1460000</v>
      </c>
      <c r="AD123" s="2770">
        <f>AC123+100000</f>
        <v>1560000</v>
      </c>
      <c r="AE123" s="2770">
        <f t="shared" si="95"/>
        <v>1560000</v>
      </c>
      <c r="AF123" s="2770">
        <f t="shared" si="95"/>
        <v>1560000</v>
      </c>
      <c r="AG123" s="2770">
        <f t="shared" si="95"/>
        <v>1560000</v>
      </c>
      <c r="AH123" s="2770">
        <f>AG123+100000</f>
        <v>1660000</v>
      </c>
      <c r="AI123" s="2770">
        <f t="shared" si="96"/>
        <v>1660000</v>
      </c>
      <c r="AJ123" s="2770">
        <f t="shared" si="96"/>
        <v>1660000</v>
      </c>
      <c r="AK123" s="2770">
        <f t="shared" si="96"/>
        <v>1660000</v>
      </c>
      <c r="AL123" s="2770">
        <f>AK123+100000</f>
        <v>1760000</v>
      </c>
      <c r="AM123" s="2770">
        <f t="shared" si="97"/>
        <v>1760000</v>
      </c>
      <c r="AN123" s="2770">
        <f t="shared" si="97"/>
        <v>1760000</v>
      </c>
      <c r="AO123" s="2770">
        <f t="shared" si="97"/>
        <v>1760000</v>
      </c>
      <c r="AP123" s="2770">
        <f>AO123+100000</f>
        <v>1860000</v>
      </c>
      <c r="AQ123" s="2770">
        <f t="shared" si="98"/>
        <v>1860000</v>
      </c>
      <c r="AR123" s="2770">
        <f t="shared" si="98"/>
        <v>1860000</v>
      </c>
      <c r="AS123" s="2770">
        <f t="shared" si="98"/>
        <v>1860000</v>
      </c>
      <c r="AT123" s="2770">
        <f>AS123+100000</f>
        <v>1960000</v>
      </c>
      <c r="AU123" s="2770">
        <f>AT123</f>
        <v>1960000</v>
      </c>
      <c r="AV123" s="2694">
        <v>0</v>
      </c>
      <c r="AW123" s="2845"/>
      <c r="AX123" s="2759"/>
      <c r="AY123" s="2774"/>
      <c r="AZ123" s="2774"/>
      <c r="BA123" s="2774"/>
      <c r="BB123" s="2774"/>
      <c r="BC123" s="2774"/>
      <c r="BD123" s="2774"/>
      <c r="BE123" s="2774"/>
      <c r="BF123" s="2774"/>
      <c r="BG123" s="2774"/>
      <c r="BI123" s="2730"/>
      <c r="BJ123" s="2730"/>
    </row>
    <row r="124" spans="1:62" ht="18" hidden="1" outlineLevel="1" thickBot="1">
      <c r="A124" s="2854" t="s">
        <v>4142</v>
      </c>
      <c r="B124" s="2844"/>
      <c r="C124" s="2763"/>
      <c r="D124" s="2764"/>
      <c r="E124" s="2764"/>
      <c r="F124" s="2765">
        <f>SUM(F125:F128)</f>
        <v>7719210</v>
      </c>
      <c r="G124" s="2765">
        <f t="shared" ref="G124:AU124" si="99">SUM(G125:G128)</f>
        <v>12149140</v>
      </c>
      <c r="H124" s="2765">
        <f t="shared" si="99"/>
        <v>12484536.458174037</v>
      </c>
      <c r="I124" s="2765">
        <f t="shared" si="99"/>
        <v>12602542.649910035</v>
      </c>
      <c r="J124" s="2765">
        <f t="shared" si="99"/>
        <v>12908850.035374608</v>
      </c>
      <c r="K124" s="2765">
        <f t="shared" si="99"/>
        <v>13101047.454980256</v>
      </c>
      <c r="L124" s="2765">
        <f t="shared" si="99"/>
        <v>13223187.039044259</v>
      </c>
      <c r="M124" s="2765">
        <f t="shared" si="99"/>
        <v>13346743.257896766</v>
      </c>
      <c r="N124" s="2765">
        <f t="shared" si="99"/>
        <v>13546763.689727353</v>
      </c>
      <c r="O124" s="2765">
        <f t="shared" si="99"/>
        <v>13761366.567144485</v>
      </c>
      <c r="P124" s="2765">
        <f t="shared" si="99"/>
        <v>13889294.344292251</v>
      </c>
      <c r="Q124" s="2765">
        <f t="shared" si="99"/>
        <v>14101907.721898712</v>
      </c>
      <c r="R124" s="2765">
        <f t="shared" si="99"/>
        <v>14232855.123405145</v>
      </c>
      <c r="S124" s="2765">
        <f t="shared" si="99"/>
        <v>14779912.272284193</v>
      </c>
      <c r="T124" s="2765">
        <f t="shared" si="99"/>
        <v>15117861.323813133</v>
      </c>
      <c r="U124" s="2765">
        <f t="shared" si="99"/>
        <v>15253504.217199679</v>
      </c>
      <c r="V124" s="2765">
        <f t="shared" si="99"/>
        <v>15390758.282063702</v>
      </c>
      <c r="W124" s="2765">
        <f t="shared" si="99"/>
        <v>15522871.446135545</v>
      </c>
      <c r="X124" s="2765">
        <f t="shared" si="99"/>
        <v>15663419.582735978</v>
      </c>
      <c r="Y124" s="2765">
        <f t="shared" si="99"/>
        <v>15805651.564757872</v>
      </c>
      <c r="Z124" s="2765">
        <f t="shared" si="99"/>
        <v>16067522.757724321</v>
      </c>
      <c r="AA124" s="2765">
        <f t="shared" si="99"/>
        <v>16213198.501138173</v>
      </c>
      <c r="AB124" s="2765">
        <f t="shared" si="99"/>
        <v>16650394.148183022</v>
      </c>
      <c r="AC124" s="2765">
        <f t="shared" si="99"/>
        <v>16937933.126383174</v>
      </c>
      <c r="AD124" s="2765">
        <f t="shared" si="99"/>
        <v>17088972.414794896</v>
      </c>
      <c r="AE124" s="2765">
        <f t="shared" si="99"/>
        <v>16628606.781641295</v>
      </c>
      <c r="AF124" s="2765">
        <f t="shared" si="99"/>
        <v>16897927.997836482</v>
      </c>
      <c r="AG124" s="2765">
        <f t="shared" si="99"/>
        <v>17290848.137163825</v>
      </c>
      <c r="AH124" s="2765">
        <f t="shared" si="99"/>
        <v>17449431.264486581</v>
      </c>
      <c r="AI124" s="2765">
        <f t="shared" si="99"/>
        <v>18004140.465964824</v>
      </c>
      <c r="AJ124" s="2765">
        <f t="shared" si="99"/>
        <v>18166674.274094399</v>
      </c>
      <c r="AK124" s="2765">
        <f t="shared" si="99"/>
        <v>18331230.300887849</v>
      </c>
      <c r="AL124" s="2765">
        <f t="shared" si="99"/>
        <v>17613225.525827348</v>
      </c>
      <c r="AM124" s="2765">
        <f t="shared" si="99"/>
        <v>17958024.973922454</v>
      </c>
      <c r="AN124" s="2765">
        <f t="shared" si="99"/>
        <v>18128843.159747023</v>
      </c>
      <c r="AO124" s="2765">
        <f t="shared" si="99"/>
        <v>18418208.582562532</v>
      </c>
      <c r="AP124" s="2765">
        <f t="shared" si="99"/>
        <v>18593371.466810271</v>
      </c>
      <c r="AQ124" s="2765">
        <f t="shared" si="99"/>
        <v>18770759.876071557</v>
      </c>
      <c r="AR124" s="2765">
        <f t="shared" si="99"/>
        <v>19216214.117503196</v>
      </c>
      <c r="AS124" s="2765">
        <f t="shared" si="99"/>
        <v>19398163.784425281</v>
      </c>
      <c r="AT124" s="2765">
        <f t="shared" si="99"/>
        <v>19582450.787157912</v>
      </c>
      <c r="AU124" s="2765">
        <f t="shared" si="99"/>
        <v>19904616.206652019</v>
      </c>
      <c r="AV124" s="2694">
        <v>0</v>
      </c>
      <c r="AW124" s="2845"/>
      <c r="AX124" s="2759"/>
      <c r="AY124" s="2760"/>
      <c r="AZ124" s="2760"/>
      <c r="BA124" s="2760"/>
      <c r="BB124" s="2760"/>
      <c r="BC124" s="2760"/>
      <c r="BD124" s="2760"/>
      <c r="BE124" s="2760"/>
      <c r="BF124" s="2760"/>
      <c r="BG124" s="2760"/>
      <c r="BI124" s="2730"/>
      <c r="BJ124" s="2730"/>
    </row>
    <row r="125" spans="1:62" ht="18" hidden="1" outlineLevel="1" thickBot="1">
      <c r="A125" s="2767" t="s">
        <v>4143</v>
      </c>
      <c r="B125" s="2803" t="s">
        <v>4063</v>
      </c>
      <c r="C125" s="2787">
        <v>0.01</v>
      </c>
      <c r="D125" s="2804"/>
      <c r="E125" s="2804"/>
      <c r="F125" s="2769">
        <v>2970090</v>
      </c>
      <c r="G125" s="2769">
        <v>4657950</v>
      </c>
      <c r="H125" s="2769">
        <f t="shared" ref="H125:AU125" si="100">G125*(1+$C$125)</f>
        <v>4704529.5</v>
      </c>
      <c r="I125" s="2769">
        <f t="shared" si="100"/>
        <v>4751574.7949999999</v>
      </c>
      <c r="J125" s="2769">
        <f t="shared" si="100"/>
        <v>4799090.5429499997</v>
      </c>
      <c r="K125" s="2769">
        <f t="shared" si="100"/>
        <v>4847081.4483794998</v>
      </c>
      <c r="L125" s="2769">
        <f t="shared" si="100"/>
        <v>4895552.2628632952</v>
      </c>
      <c r="M125" s="2769">
        <f t="shared" si="100"/>
        <v>4944507.7854919285</v>
      </c>
      <c r="N125" s="2769">
        <f t="shared" si="100"/>
        <v>4993952.8633468477</v>
      </c>
      <c r="O125" s="2769">
        <f t="shared" si="100"/>
        <v>5043892.3919803165</v>
      </c>
      <c r="P125" s="2769">
        <f t="shared" si="100"/>
        <v>5094331.31590012</v>
      </c>
      <c r="Q125" s="2769">
        <f t="shared" si="100"/>
        <v>5145274.629059121</v>
      </c>
      <c r="R125" s="2769">
        <f t="shared" si="100"/>
        <v>5196727.3753497126</v>
      </c>
      <c r="S125" s="2769">
        <f t="shared" si="100"/>
        <v>5248694.6491032094</v>
      </c>
      <c r="T125" s="2769">
        <f t="shared" si="100"/>
        <v>5301181.5955942413</v>
      </c>
      <c r="U125" s="2769">
        <f t="shared" si="100"/>
        <v>5354193.4115501838</v>
      </c>
      <c r="V125" s="2769">
        <f t="shared" si="100"/>
        <v>5407735.3456656858</v>
      </c>
      <c r="W125" s="2769">
        <f t="shared" si="100"/>
        <v>5461812.6991223423</v>
      </c>
      <c r="X125" s="2769">
        <f t="shared" si="100"/>
        <v>5516430.8261135658</v>
      </c>
      <c r="Y125" s="2769">
        <f t="shared" si="100"/>
        <v>5571595.1343747014</v>
      </c>
      <c r="Z125" s="2769">
        <f t="shared" si="100"/>
        <v>5627311.0857184483</v>
      </c>
      <c r="AA125" s="2769">
        <f t="shared" si="100"/>
        <v>5683584.1965756333</v>
      </c>
      <c r="AB125" s="2769">
        <f t="shared" si="100"/>
        <v>5740420.0385413896</v>
      </c>
      <c r="AC125" s="2769">
        <f t="shared" si="100"/>
        <v>5797824.2389268037</v>
      </c>
      <c r="AD125" s="2769">
        <f t="shared" si="100"/>
        <v>5855802.4813160719</v>
      </c>
      <c r="AE125" s="2769">
        <f t="shared" si="100"/>
        <v>5914360.5061292332</v>
      </c>
      <c r="AF125" s="2769">
        <f t="shared" si="100"/>
        <v>5973504.1111905258</v>
      </c>
      <c r="AG125" s="2769">
        <f t="shared" si="100"/>
        <v>6033239.1523024309</v>
      </c>
      <c r="AH125" s="2769">
        <f t="shared" si="100"/>
        <v>6093571.543825455</v>
      </c>
      <c r="AI125" s="2769">
        <f t="shared" si="100"/>
        <v>6154507.2592637092</v>
      </c>
      <c r="AJ125" s="2769">
        <f t="shared" si="100"/>
        <v>6216052.3318563467</v>
      </c>
      <c r="AK125" s="2769">
        <f t="shared" si="100"/>
        <v>6278212.8551749103</v>
      </c>
      <c r="AL125" s="2769">
        <f t="shared" si="100"/>
        <v>6340994.9837266598</v>
      </c>
      <c r="AM125" s="2769">
        <f t="shared" si="100"/>
        <v>6404404.9335639263</v>
      </c>
      <c r="AN125" s="2769">
        <f t="shared" si="100"/>
        <v>6468448.9828995652</v>
      </c>
      <c r="AO125" s="2769">
        <f t="shared" si="100"/>
        <v>6533133.4727285607</v>
      </c>
      <c r="AP125" s="2769">
        <f t="shared" si="100"/>
        <v>6598464.8074558461</v>
      </c>
      <c r="AQ125" s="2769">
        <f t="shared" si="100"/>
        <v>6664449.455530405</v>
      </c>
      <c r="AR125" s="2769">
        <f t="shared" si="100"/>
        <v>6731093.9500857089</v>
      </c>
      <c r="AS125" s="2769">
        <f t="shared" si="100"/>
        <v>6798404.889586566</v>
      </c>
      <c r="AT125" s="2769">
        <f t="shared" si="100"/>
        <v>6866388.9384824317</v>
      </c>
      <c r="AU125" s="2769">
        <f t="shared" si="100"/>
        <v>6935052.8278672565</v>
      </c>
      <c r="AV125" s="2694">
        <v>0</v>
      </c>
      <c r="AW125" s="2845"/>
      <c r="AX125" s="2795"/>
      <c r="AY125" s="2760"/>
      <c r="AZ125" s="2760"/>
      <c r="BA125" s="2760"/>
      <c r="BB125" s="2760"/>
      <c r="BC125" s="2760"/>
      <c r="BD125" s="2760"/>
      <c r="BE125" s="2760"/>
      <c r="BF125" s="2760"/>
      <c r="BG125" s="2760"/>
      <c r="BI125" s="2730"/>
      <c r="BJ125" s="2730"/>
    </row>
    <row r="126" spans="1:62" ht="18" hidden="1" outlineLevel="1" thickBot="1">
      <c r="A126" s="2767" t="s">
        <v>4064</v>
      </c>
      <c r="B126" s="2844" t="s">
        <v>4144</v>
      </c>
      <c r="C126" s="2787">
        <v>0.01</v>
      </c>
      <c r="D126" s="2804"/>
      <c r="E126" s="2804"/>
      <c r="F126" s="2769">
        <v>3108660</v>
      </c>
      <c r="G126" s="2769">
        <v>4932240</v>
      </c>
      <c r="H126" s="2769">
        <f t="shared" ref="H126:W127" si="101">G126*(1+$C$126)</f>
        <v>4981562.4000000004</v>
      </c>
      <c r="I126" s="2769">
        <f t="shared" si="101"/>
        <v>5031378.0240000002</v>
      </c>
      <c r="J126" s="2769">
        <f t="shared" si="101"/>
        <v>5081691.8042400004</v>
      </c>
      <c r="K126" s="2769">
        <f t="shared" si="101"/>
        <v>5132508.7222824004</v>
      </c>
      <c r="L126" s="2769">
        <f t="shared" si="101"/>
        <v>5183833.8095052242</v>
      </c>
      <c r="M126" s="2769">
        <f t="shared" si="101"/>
        <v>5235672.1476002764</v>
      </c>
      <c r="N126" s="2769">
        <f t="shared" si="101"/>
        <v>5288028.869076279</v>
      </c>
      <c r="O126" s="2769">
        <f t="shared" si="101"/>
        <v>5340909.1577670416</v>
      </c>
      <c r="P126" s="2769">
        <f t="shared" si="101"/>
        <v>5394318.2493447121</v>
      </c>
      <c r="Q126" s="2769">
        <f t="shared" si="101"/>
        <v>5448261.4318381594</v>
      </c>
      <c r="R126" s="2769">
        <f t="shared" si="101"/>
        <v>5502744.0461565414</v>
      </c>
      <c r="S126" s="2769">
        <f t="shared" si="101"/>
        <v>5557771.4866181072</v>
      </c>
      <c r="T126" s="2769">
        <f t="shared" si="101"/>
        <v>5613349.2014842881</v>
      </c>
      <c r="U126" s="2769">
        <f t="shared" si="101"/>
        <v>5669482.6934991311</v>
      </c>
      <c r="V126" s="2769">
        <f t="shared" si="101"/>
        <v>5726177.5204341225</v>
      </c>
      <c r="W126" s="2769">
        <f t="shared" si="101"/>
        <v>5783439.2956384635</v>
      </c>
      <c r="X126" s="2769">
        <f t="shared" ref="X126:AM127" si="102">W126*(1+$C$126)</f>
        <v>5841273.6885948479</v>
      </c>
      <c r="Y126" s="2769">
        <f t="shared" si="102"/>
        <v>5899686.425480796</v>
      </c>
      <c r="Z126" s="2769">
        <f t="shared" si="102"/>
        <v>5958683.2897356041</v>
      </c>
      <c r="AA126" s="2769">
        <f t="shared" si="102"/>
        <v>6018270.1226329599</v>
      </c>
      <c r="AB126" s="2769">
        <f t="shared" si="102"/>
        <v>6078452.8238592893</v>
      </c>
      <c r="AC126" s="2769">
        <f t="shared" si="102"/>
        <v>6139237.352097882</v>
      </c>
      <c r="AD126" s="2769">
        <f t="shared" si="102"/>
        <v>6200629.7256188607</v>
      </c>
      <c r="AE126" s="2769">
        <f t="shared" si="102"/>
        <v>6262636.0228750492</v>
      </c>
      <c r="AF126" s="2769">
        <f t="shared" si="102"/>
        <v>6325262.3831038</v>
      </c>
      <c r="AG126" s="2769">
        <f t="shared" si="102"/>
        <v>6388515.0069348384</v>
      </c>
      <c r="AH126" s="2769">
        <f t="shared" si="102"/>
        <v>6452400.1570041869</v>
      </c>
      <c r="AI126" s="2769">
        <f t="shared" si="102"/>
        <v>6516924.1585742291</v>
      </c>
      <c r="AJ126" s="2769">
        <f t="shared" si="102"/>
        <v>6582093.4001599718</v>
      </c>
      <c r="AK126" s="2769">
        <f t="shared" si="102"/>
        <v>6647914.3341615712</v>
      </c>
      <c r="AL126" s="2769">
        <f t="shared" si="102"/>
        <v>6714393.477503187</v>
      </c>
      <c r="AM126" s="2769">
        <f t="shared" si="102"/>
        <v>6781537.4122782191</v>
      </c>
      <c r="AN126" s="2769">
        <f t="shared" ref="AN126:AU127" si="103">AM126*(1+$C$126)</f>
        <v>6849352.7864010017</v>
      </c>
      <c r="AO126" s="2769">
        <f t="shared" si="103"/>
        <v>6917846.3142650118</v>
      </c>
      <c r="AP126" s="2769">
        <f t="shared" si="103"/>
        <v>6987024.777407662</v>
      </c>
      <c r="AQ126" s="2769">
        <f t="shared" si="103"/>
        <v>7056895.0251817387</v>
      </c>
      <c r="AR126" s="2769">
        <f t="shared" si="103"/>
        <v>7127463.9754335564</v>
      </c>
      <c r="AS126" s="2769">
        <f t="shared" si="103"/>
        <v>7198738.6151878918</v>
      </c>
      <c r="AT126" s="2769">
        <f t="shared" si="103"/>
        <v>7270726.0013397709</v>
      </c>
      <c r="AU126" s="2769">
        <f t="shared" si="103"/>
        <v>7343433.2613531686</v>
      </c>
      <c r="AV126" s="2694">
        <v>0</v>
      </c>
      <c r="AW126" s="2771"/>
      <c r="AX126" s="2795"/>
      <c r="AY126" s="2760"/>
      <c r="AZ126" s="2760"/>
      <c r="BA126" s="2760"/>
      <c r="BB126" s="2760"/>
      <c r="BC126" s="2760"/>
      <c r="BD126" s="2760"/>
      <c r="BE126" s="2760"/>
      <c r="BF126" s="2760"/>
      <c r="BG126" s="2760"/>
      <c r="BI126" s="2730"/>
      <c r="BJ126" s="2730"/>
    </row>
    <row r="127" spans="1:62" ht="18" hidden="1" outlineLevel="1" thickBot="1">
      <c r="A127" s="2767" t="s">
        <v>4066</v>
      </c>
      <c r="B127" s="2844" t="s">
        <v>4145</v>
      </c>
      <c r="C127" s="2787">
        <v>0.01</v>
      </c>
      <c r="D127" s="2804"/>
      <c r="E127" s="2804"/>
      <c r="F127" s="2769">
        <v>831200</v>
      </c>
      <c r="G127" s="2770">
        <v>1209080</v>
      </c>
      <c r="H127" s="2769">
        <f t="shared" si="101"/>
        <v>1221170.8</v>
      </c>
      <c r="I127" s="2769">
        <f t="shared" si="101"/>
        <v>1233382.5080000001</v>
      </c>
      <c r="J127" s="2769">
        <f t="shared" si="101"/>
        <v>1245716.3330800002</v>
      </c>
      <c r="K127" s="2769">
        <f t="shared" si="101"/>
        <v>1258173.4964108001</v>
      </c>
      <c r="L127" s="2769">
        <f t="shared" si="101"/>
        <v>1270755.2313749082</v>
      </c>
      <c r="M127" s="2769">
        <f t="shared" si="101"/>
        <v>1283462.7836886572</v>
      </c>
      <c r="N127" s="2769">
        <f t="shared" si="101"/>
        <v>1296297.4115255438</v>
      </c>
      <c r="O127" s="2769">
        <f t="shared" si="101"/>
        <v>1309260.3856407993</v>
      </c>
      <c r="P127" s="2769">
        <f t="shared" si="101"/>
        <v>1322352.9894972073</v>
      </c>
      <c r="Q127" s="2769">
        <f t="shared" si="101"/>
        <v>1335576.5193921793</v>
      </c>
      <c r="R127" s="2769">
        <f t="shared" si="101"/>
        <v>1348932.2845861011</v>
      </c>
      <c r="S127" s="2769">
        <f t="shared" si="101"/>
        <v>1362421.6074319622</v>
      </c>
      <c r="T127" s="2769">
        <f t="shared" si="101"/>
        <v>1376045.8235062817</v>
      </c>
      <c r="U127" s="2769">
        <f t="shared" si="101"/>
        <v>1389806.2817413446</v>
      </c>
      <c r="V127" s="2769">
        <f t="shared" si="101"/>
        <v>1403704.344558758</v>
      </c>
      <c r="W127" s="2769">
        <f t="shared" si="101"/>
        <v>1417741.3880043456</v>
      </c>
      <c r="X127" s="2769">
        <f t="shared" si="102"/>
        <v>1431918.801884389</v>
      </c>
      <c r="Y127" s="2769">
        <f t="shared" si="102"/>
        <v>1446237.989903233</v>
      </c>
      <c r="Z127" s="2769">
        <f t="shared" si="102"/>
        <v>1460700.3698022654</v>
      </c>
      <c r="AA127" s="2769">
        <f t="shared" si="102"/>
        <v>1475307.373500288</v>
      </c>
      <c r="AB127" s="2769">
        <f t="shared" si="102"/>
        <v>1490060.4472352909</v>
      </c>
      <c r="AC127" s="2769">
        <f t="shared" si="102"/>
        <v>1504961.0517076438</v>
      </c>
      <c r="AD127" s="2769">
        <f t="shared" si="102"/>
        <v>1520010.6622247202</v>
      </c>
      <c r="AE127" s="2769">
        <f t="shared" si="102"/>
        <v>1535210.7688469675</v>
      </c>
      <c r="AF127" s="2769">
        <f t="shared" si="102"/>
        <v>1550562.8765354371</v>
      </c>
      <c r="AG127" s="2769">
        <f t="shared" si="102"/>
        <v>1566068.5053007915</v>
      </c>
      <c r="AH127" s="2769">
        <f t="shared" si="102"/>
        <v>1581729.1903537994</v>
      </c>
      <c r="AI127" s="2769">
        <f t="shared" si="102"/>
        <v>1597546.4822573373</v>
      </c>
      <c r="AJ127" s="2769">
        <f t="shared" si="102"/>
        <v>1613521.9470799107</v>
      </c>
      <c r="AK127" s="2769">
        <f t="shared" si="102"/>
        <v>1629657.1665507099</v>
      </c>
      <c r="AL127" s="2769">
        <f t="shared" si="102"/>
        <v>1645953.7382162169</v>
      </c>
      <c r="AM127" s="2769">
        <f t="shared" si="102"/>
        <v>1662413.2755983791</v>
      </c>
      <c r="AN127" s="2769">
        <f t="shared" si="103"/>
        <v>1679037.4083543629</v>
      </c>
      <c r="AO127" s="2769">
        <f t="shared" si="103"/>
        <v>1695827.7824379066</v>
      </c>
      <c r="AP127" s="2769">
        <f t="shared" si="103"/>
        <v>1712786.0602622856</v>
      </c>
      <c r="AQ127" s="2769">
        <f t="shared" si="103"/>
        <v>1729913.9208649085</v>
      </c>
      <c r="AR127" s="2769">
        <f t="shared" si="103"/>
        <v>1747213.0600735575</v>
      </c>
      <c r="AS127" s="2769">
        <f t="shared" si="103"/>
        <v>1764685.1906742931</v>
      </c>
      <c r="AT127" s="2769">
        <f t="shared" si="103"/>
        <v>1782332.042581036</v>
      </c>
      <c r="AU127" s="2769">
        <f t="shared" si="103"/>
        <v>1800155.3630068463</v>
      </c>
      <c r="AV127" s="2694">
        <v>0</v>
      </c>
      <c r="AW127" s="2845"/>
      <c r="AX127" s="2795"/>
      <c r="AY127" s="2760"/>
      <c r="AZ127" s="2760"/>
      <c r="BA127" s="2760"/>
      <c r="BB127" s="2760"/>
      <c r="BC127" s="2760"/>
      <c r="BD127" s="2760"/>
      <c r="BE127" s="2760"/>
      <c r="BF127" s="2760"/>
      <c r="BG127" s="2760"/>
      <c r="BI127" s="2730"/>
      <c r="BJ127" s="2730"/>
    </row>
    <row r="128" spans="1:62" ht="18" hidden="1" outlineLevel="1" thickBot="1">
      <c r="A128" s="2767" t="s">
        <v>4146</v>
      </c>
      <c r="B128" s="2855" t="s">
        <v>4069</v>
      </c>
      <c r="C128" s="2787">
        <v>0.01</v>
      </c>
      <c r="D128" s="2804"/>
      <c r="E128" s="2804"/>
      <c r="F128" s="2769">
        <v>809260</v>
      </c>
      <c r="G128" s="2770">
        <v>1349870</v>
      </c>
      <c r="H128" s="2770">
        <f t="shared" ref="H128:AU128" si="104">H97*1.02%*(1+$C$128)</f>
        <v>1577273.7581740357</v>
      </c>
      <c r="I128" s="2770">
        <f t="shared" si="104"/>
        <v>1586207.3229100355</v>
      </c>
      <c r="J128" s="2770">
        <f t="shared" si="104"/>
        <v>1782351.3551046073</v>
      </c>
      <c r="K128" s="2770">
        <f t="shared" si="104"/>
        <v>1863283.7879075562</v>
      </c>
      <c r="L128" s="2770">
        <f t="shared" si="104"/>
        <v>1873045.7353008313</v>
      </c>
      <c r="M128" s="2770">
        <f t="shared" si="104"/>
        <v>1883100.5411159045</v>
      </c>
      <c r="N128" s="2770">
        <f t="shared" si="104"/>
        <v>1968484.5457786832</v>
      </c>
      <c r="O128" s="2770">
        <f t="shared" si="104"/>
        <v>2067304.631756326</v>
      </c>
      <c r="P128" s="2770">
        <f t="shared" si="104"/>
        <v>2078291.7895502136</v>
      </c>
      <c r="Q128" s="2770">
        <f t="shared" si="104"/>
        <v>2172795.1416092543</v>
      </c>
      <c r="R128" s="2770">
        <f t="shared" si="104"/>
        <v>2184451.4173127902</v>
      </c>
      <c r="S128" s="2770">
        <f t="shared" si="104"/>
        <v>2611024.5291309152</v>
      </c>
      <c r="T128" s="2770">
        <f t="shared" si="104"/>
        <v>2827284.7032283205</v>
      </c>
      <c r="U128" s="2770">
        <f t="shared" si="104"/>
        <v>2840021.8304090179</v>
      </c>
      <c r="V128" s="2770">
        <f t="shared" si="104"/>
        <v>2853141.0714051356</v>
      </c>
      <c r="W128" s="2770">
        <f t="shared" si="104"/>
        <v>2859878.0633703931</v>
      </c>
      <c r="X128" s="2770">
        <f t="shared" si="104"/>
        <v>2873796.2661431753</v>
      </c>
      <c r="Y128" s="2770">
        <f t="shared" si="104"/>
        <v>2888132.0149991401</v>
      </c>
      <c r="Z128" s="2770">
        <f t="shared" si="104"/>
        <v>3020828.0124680013</v>
      </c>
      <c r="AA128" s="2770">
        <f t="shared" si="104"/>
        <v>3036036.8084292943</v>
      </c>
      <c r="AB128" s="2770">
        <f t="shared" si="104"/>
        <v>3341460.83854705</v>
      </c>
      <c r="AC128" s="2770">
        <f t="shared" si="104"/>
        <v>3495910.483650845</v>
      </c>
      <c r="AD128" s="2770">
        <f t="shared" si="104"/>
        <v>3512529.5456352411</v>
      </c>
      <c r="AE128" s="2770">
        <f t="shared" si="104"/>
        <v>2916399.4837900442</v>
      </c>
      <c r="AF128" s="2770">
        <f t="shared" si="104"/>
        <v>3048598.6270067156</v>
      </c>
      <c r="AG128" s="2770">
        <f t="shared" si="104"/>
        <v>3303025.4726257659</v>
      </c>
      <c r="AH128" s="2770">
        <f t="shared" si="104"/>
        <v>3321730.37330314</v>
      </c>
      <c r="AI128" s="2770">
        <f t="shared" si="104"/>
        <v>3735162.565869547</v>
      </c>
      <c r="AJ128" s="2770">
        <f t="shared" si="104"/>
        <v>3755006.5949981729</v>
      </c>
      <c r="AK128" s="2770">
        <f t="shared" si="104"/>
        <v>3775445.9450006573</v>
      </c>
      <c r="AL128" s="2770">
        <f t="shared" si="104"/>
        <v>2911883.3263812857</v>
      </c>
      <c r="AM128" s="2770">
        <f t="shared" si="104"/>
        <v>3109669.3524819296</v>
      </c>
      <c r="AN128" s="2770">
        <f t="shared" si="104"/>
        <v>3132003.9820920941</v>
      </c>
      <c r="AO128" s="2770">
        <f t="shared" si="104"/>
        <v>3271401.0131310527</v>
      </c>
      <c r="AP128" s="2770">
        <f t="shared" si="104"/>
        <v>3295095.8216844765</v>
      </c>
      <c r="AQ128" s="2770">
        <f t="shared" si="104"/>
        <v>3319501.4744945038</v>
      </c>
      <c r="AR128" s="2770">
        <f t="shared" si="104"/>
        <v>3610443.1319103711</v>
      </c>
      <c r="AS128" s="2770">
        <f t="shared" si="104"/>
        <v>3636335.0889765285</v>
      </c>
      <c r="AT128" s="2770">
        <f t="shared" si="104"/>
        <v>3663003.8047546712</v>
      </c>
      <c r="AU128" s="2770">
        <f t="shared" si="104"/>
        <v>3825974.7544247475</v>
      </c>
      <c r="AV128" s="2694">
        <v>0</v>
      </c>
      <c r="AW128" s="2845"/>
      <c r="AX128" s="2795"/>
      <c r="AY128" s="2760"/>
      <c r="AZ128" s="2760"/>
      <c r="BA128" s="2760"/>
      <c r="BB128" s="2760"/>
      <c r="BC128" s="2760"/>
      <c r="BD128" s="2760"/>
      <c r="BE128" s="2760"/>
      <c r="BF128" s="2760"/>
      <c r="BG128" s="2760"/>
      <c r="BI128" s="2730"/>
      <c r="BJ128" s="2730"/>
    </row>
    <row r="129" spans="1:62" ht="18" hidden="1" outlineLevel="1" thickBot="1">
      <c r="A129" s="2773" t="s">
        <v>4147</v>
      </c>
      <c r="B129" s="2825" t="s">
        <v>4148</v>
      </c>
      <c r="C129" s="2787">
        <v>0.01</v>
      </c>
      <c r="D129" s="2856"/>
      <c r="E129" s="2804"/>
      <c r="F129" s="2765">
        <v>1199500</v>
      </c>
      <c r="G129" s="2766">
        <v>920000</v>
      </c>
      <c r="H129" s="2766">
        <f t="shared" ref="H129:AU129" si="105">G129*(1+$C$129)</f>
        <v>929200</v>
      </c>
      <c r="I129" s="2766">
        <f t="shared" si="105"/>
        <v>938492</v>
      </c>
      <c r="J129" s="2766">
        <f t="shared" si="105"/>
        <v>947876.92</v>
      </c>
      <c r="K129" s="2766">
        <f t="shared" si="105"/>
        <v>957355.68920000002</v>
      </c>
      <c r="L129" s="2766">
        <f t="shared" si="105"/>
        <v>966929.24609200004</v>
      </c>
      <c r="M129" s="2766">
        <f t="shared" si="105"/>
        <v>976598.5385529201</v>
      </c>
      <c r="N129" s="2766">
        <f t="shared" si="105"/>
        <v>986364.52393844933</v>
      </c>
      <c r="O129" s="2766">
        <f t="shared" si="105"/>
        <v>996228.16917783383</v>
      </c>
      <c r="P129" s="2766">
        <f t="shared" si="105"/>
        <v>1006190.4508696122</v>
      </c>
      <c r="Q129" s="2766">
        <f t="shared" si="105"/>
        <v>1016252.3553783083</v>
      </c>
      <c r="R129" s="2766">
        <f t="shared" si="105"/>
        <v>1026414.8789320914</v>
      </c>
      <c r="S129" s="2766">
        <f t="shared" si="105"/>
        <v>1036679.0277214124</v>
      </c>
      <c r="T129" s="2766">
        <f t="shared" si="105"/>
        <v>1047045.8179986265</v>
      </c>
      <c r="U129" s="2766">
        <f t="shared" si="105"/>
        <v>1057516.2761786128</v>
      </c>
      <c r="V129" s="2766">
        <f t="shared" si="105"/>
        <v>1068091.4389403991</v>
      </c>
      <c r="W129" s="2766">
        <f t="shared" si="105"/>
        <v>1078772.3533298031</v>
      </c>
      <c r="X129" s="2766">
        <f t="shared" si="105"/>
        <v>1089560.0768631012</v>
      </c>
      <c r="Y129" s="2766">
        <f t="shared" si="105"/>
        <v>1100455.6776317323</v>
      </c>
      <c r="Z129" s="2766">
        <f t="shared" si="105"/>
        <v>1111460.2344080496</v>
      </c>
      <c r="AA129" s="2766">
        <f t="shared" si="105"/>
        <v>1122574.8367521302</v>
      </c>
      <c r="AB129" s="2766">
        <f t="shared" si="105"/>
        <v>1133800.5851196514</v>
      </c>
      <c r="AC129" s="2766">
        <f t="shared" si="105"/>
        <v>1145138.590970848</v>
      </c>
      <c r="AD129" s="2766">
        <f t="shared" si="105"/>
        <v>1156589.9768805564</v>
      </c>
      <c r="AE129" s="2766">
        <f t="shared" si="105"/>
        <v>1168155.876649362</v>
      </c>
      <c r="AF129" s="2766">
        <f t="shared" si="105"/>
        <v>1179837.4354158556</v>
      </c>
      <c r="AG129" s="2766">
        <f t="shared" si="105"/>
        <v>1191635.8097700141</v>
      </c>
      <c r="AH129" s="2766">
        <f t="shared" si="105"/>
        <v>1203552.1678677143</v>
      </c>
      <c r="AI129" s="2766">
        <f t="shared" si="105"/>
        <v>1215587.6895463914</v>
      </c>
      <c r="AJ129" s="2766">
        <f t="shared" si="105"/>
        <v>1227743.5664418554</v>
      </c>
      <c r="AK129" s="2766">
        <f t="shared" si="105"/>
        <v>1240021.002106274</v>
      </c>
      <c r="AL129" s="2766">
        <f t="shared" si="105"/>
        <v>1252421.2121273368</v>
      </c>
      <c r="AM129" s="2766">
        <f t="shared" si="105"/>
        <v>1264945.4242486102</v>
      </c>
      <c r="AN129" s="2766">
        <f t="shared" si="105"/>
        <v>1277594.8784910962</v>
      </c>
      <c r="AO129" s="2766">
        <f t="shared" si="105"/>
        <v>1290370.8272760073</v>
      </c>
      <c r="AP129" s="2766">
        <f t="shared" si="105"/>
        <v>1303274.5355487673</v>
      </c>
      <c r="AQ129" s="2766">
        <f t="shared" si="105"/>
        <v>1316307.2809042549</v>
      </c>
      <c r="AR129" s="2766">
        <f t="shared" si="105"/>
        <v>1329470.3537132975</v>
      </c>
      <c r="AS129" s="2766">
        <f t="shared" si="105"/>
        <v>1342765.0572504306</v>
      </c>
      <c r="AT129" s="2766">
        <f t="shared" si="105"/>
        <v>1356192.707822935</v>
      </c>
      <c r="AU129" s="2766">
        <f t="shared" si="105"/>
        <v>1369754.6349011643</v>
      </c>
      <c r="AV129" s="2694">
        <v>0</v>
      </c>
      <c r="AW129" s="2845"/>
      <c r="AX129" s="2795"/>
      <c r="AY129" s="2774"/>
      <c r="AZ129" s="2774"/>
      <c r="BA129" s="2774"/>
      <c r="BB129" s="2774"/>
      <c r="BC129" s="2774"/>
      <c r="BD129" s="2774"/>
      <c r="BE129" s="2774"/>
      <c r="BF129" s="2774"/>
      <c r="BG129" s="2774"/>
      <c r="BI129" s="2730"/>
      <c r="BJ129" s="2730"/>
    </row>
    <row r="130" spans="1:62" ht="18" hidden="1" outlineLevel="1" thickBot="1">
      <c r="A130" s="2773" t="s">
        <v>4149</v>
      </c>
      <c r="B130" s="2803"/>
      <c r="C130" s="2857"/>
      <c r="D130" s="2842"/>
      <c r="E130" s="2842"/>
      <c r="F130" s="2769"/>
      <c r="G130" s="2770"/>
      <c r="H130" s="2770"/>
      <c r="I130" s="2770"/>
      <c r="J130" s="2770"/>
      <c r="K130" s="2770"/>
      <c r="L130" s="2770"/>
      <c r="M130" s="2770"/>
      <c r="N130" s="2770"/>
      <c r="O130" s="2770"/>
      <c r="P130" s="2770"/>
      <c r="Q130" s="2770"/>
      <c r="R130" s="2770"/>
      <c r="S130" s="2770"/>
      <c r="T130" s="2770"/>
      <c r="U130" s="2770"/>
      <c r="V130" s="2770"/>
      <c r="W130" s="2770"/>
      <c r="X130" s="2770"/>
      <c r="Y130" s="2770"/>
      <c r="Z130" s="2770"/>
      <c r="AA130" s="2770"/>
      <c r="AB130" s="2770"/>
      <c r="AC130" s="2770"/>
      <c r="AD130" s="2770"/>
      <c r="AE130" s="2770"/>
      <c r="AF130" s="2770"/>
      <c r="AG130" s="2770"/>
      <c r="AH130" s="2770"/>
      <c r="AI130" s="2770"/>
      <c r="AJ130" s="2770"/>
      <c r="AK130" s="2770"/>
      <c r="AL130" s="2770"/>
      <c r="AM130" s="2770"/>
      <c r="AN130" s="2770"/>
      <c r="AO130" s="2770"/>
      <c r="AP130" s="2770"/>
      <c r="AQ130" s="2770"/>
      <c r="AR130" s="2770"/>
      <c r="AS130" s="2770"/>
      <c r="AT130" s="2770"/>
      <c r="AU130" s="2770"/>
      <c r="AV130" s="2694">
        <v>0</v>
      </c>
      <c r="AW130" s="2758"/>
      <c r="AX130" s="2841"/>
      <c r="AY130" s="2760"/>
      <c r="AZ130" s="2760"/>
      <c r="BA130" s="2760"/>
      <c r="BB130" s="2760"/>
      <c r="BC130" s="2760"/>
      <c r="BD130" s="2760"/>
      <c r="BE130" s="2760"/>
      <c r="BF130" s="2760"/>
      <c r="BG130" s="2760"/>
      <c r="BI130" s="2730"/>
      <c r="BJ130" s="2730"/>
    </row>
    <row r="131" spans="1:62" ht="18" hidden="1" outlineLevel="1" thickBot="1">
      <c r="A131" s="2789" t="s">
        <v>4072</v>
      </c>
      <c r="B131" s="2810"/>
      <c r="C131" s="2791">
        <v>0.01</v>
      </c>
      <c r="D131" s="2858">
        <v>1</v>
      </c>
      <c r="E131" s="2793"/>
      <c r="F131" s="2794">
        <f>SUM(F132:F134)</f>
        <v>1876764</v>
      </c>
      <c r="G131" s="2794">
        <f t="shared" ref="G131:AU131" si="106">SUM(G132:G134)</f>
        <v>4093520</v>
      </c>
      <c r="H131" s="2794">
        <f t="shared" si="106"/>
        <v>3000000</v>
      </c>
      <c r="I131" s="2794">
        <f t="shared" si="106"/>
        <v>3030000</v>
      </c>
      <c r="J131" s="2794">
        <f t="shared" si="106"/>
        <v>3060300</v>
      </c>
      <c r="K131" s="2794">
        <f t="shared" si="106"/>
        <v>3090903</v>
      </c>
      <c r="L131" s="2794">
        <f t="shared" si="106"/>
        <v>3121812.0300000003</v>
      </c>
      <c r="M131" s="2794">
        <f t="shared" si="106"/>
        <v>3153030.1502999999</v>
      </c>
      <c r="N131" s="2794">
        <f t="shared" si="106"/>
        <v>3184560.4518030002</v>
      </c>
      <c r="O131" s="2794">
        <f t="shared" si="106"/>
        <v>3216406.0563210305</v>
      </c>
      <c r="P131" s="2794">
        <f t="shared" si="106"/>
        <v>3248570.1168842409</v>
      </c>
      <c r="Q131" s="2794">
        <f t="shared" si="106"/>
        <v>3281055.818053083</v>
      </c>
      <c r="R131" s="2794">
        <f t="shared" si="106"/>
        <v>3313866.376233614</v>
      </c>
      <c r="S131" s="2794">
        <f t="shared" si="106"/>
        <v>3347005.0399959497</v>
      </c>
      <c r="T131" s="2794">
        <f t="shared" si="106"/>
        <v>3380475.0903959097</v>
      </c>
      <c r="U131" s="2794">
        <f t="shared" si="106"/>
        <v>3414279.8412998687</v>
      </c>
      <c r="V131" s="2794">
        <f t="shared" si="106"/>
        <v>3448422.6397128673</v>
      </c>
      <c r="W131" s="2794">
        <f t="shared" si="106"/>
        <v>3482906.8661099961</v>
      </c>
      <c r="X131" s="2794">
        <f t="shared" si="106"/>
        <v>3517735.9347710963</v>
      </c>
      <c r="Y131" s="2794">
        <f t="shared" si="106"/>
        <v>3552913.2941188072</v>
      </c>
      <c r="Z131" s="2794">
        <f t="shared" si="106"/>
        <v>3588442.4270599955</v>
      </c>
      <c r="AA131" s="2794">
        <f t="shared" si="106"/>
        <v>3624326.8513305956</v>
      </c>
      <c r="AB131" s="2794">
        <f t="shared" si="106"/>
        <v>3660570.1198439016</v>
      </c>
      <c r="AC131" s="2794">
        <f t="shared" si="106"/>
        <v>3697175.8210423402</v>
      </c>
      <c r="AD131" s="2794">
        <f t="shared" si="106"/>
        <v>3734147.5792527637</v>
      </c>
      <c r="AE131" s="2794">
        <f t="shared" si="106"/>
        <v>3771489.0550452918</v>
      </c>
      <c r="AF131" s="2794">
        <f t="shared" si="106"/>
        <v>3809203.9455957441</v>
      </c>
      <c r="AG131" s="2794">
        <f t="shared" si="106"/>
        <v>3847295.9850517018</v>
      </c>
      <c r="AH131" s="2794">
        <f t="shared" si="106"/>
        <v>3885768.9449022193</v>
      </c>
      <c r="AI131" s="2794">
        <f t="shared" si="106"/>
        <v>3924626.6343512414</v>
      </c>
      <c r="AJ131" s="2794">
        <f t="shared" si="106"/>
        <v>3963872.900694754</v>
      </c>
      <c r="AK131" s="2794">
        <f t="shared" si="106"/>
        <v>4003511.6297017015</v>
      </c>
      <c r="AL131" s="2794">
        <f t="shared" si="106"/>
        <v>4043546.7459987183</v>
      </c>
      <c r="AM131" s="2794">
        <f t="shared" si="106"/>
        <v>4083982.2134587057</v>
      </c>
      <c r="AN131" s="2794">
        <f t="shared" si="106"/>
        <v>4124822.0355932927</v>
      </c>
      <c r="AO131" s="2794">
        <f t="shared" si="106"/>
        <v>4166070.2559492253</v>
      </c>
      <c r="AP131" s="2794">
        <f t="shared" si="106"/>
        <v>4207730.9585087178</v>
      </c>
      <c r="AQ131" s="2794">
        <f t="shared" si="106"/>
        <v>4249808.2680938048</v>
      </c>
      <c r="AR131" s="2794">
        <f t="shared" si="106"/>
        <v>4292306.3507747427</v>
      </c>
      <c r="AS131" s="2794">
        <f t="shared" si="106"/>
        <v>4335229.4142824905</v>
      </c>
      <c r="AT131" s="2794">
        <f t="shared" si="106"/>
        <v>4378581.708425316</v>
      </c>
      <c r="AU131" s="2794">
        <f t="shared" si="106"/>
        <v>4422367.5255095689</v>
      </c>
      <c r="AV131" s="2694">
        <v>0</v>
      </c>
      <c r="AW131" s="2771"/>
      <c r="AX131" s="2795"/>
      <c r="AY131" s="2760"/>
      <c r="AZ131" s="2760"/>
      <c r="BA131" s="2760"/>
      <c r="BB131" s="2760"/>
      <c r="BC131" s="2760"/>
      <c r="BD131" s="2760"/>
      <c r="BE131" s="2760"/>
      <c r="BF131" s="2760"/>
      <c r="BG131" s="2760"/>
      <c r="BI131" s="2730"/>
      <c r="BJ131" s="2730"/>
    </row>
    <row r="132" spans="1:62" ht="17.25" hidden="1" outlineLevel="1" thickBot="1">
      <c r="A132" s="2767" t="s">
        <v>4073</v>
      </c>
      <c r="B132" s="2803" t="s">
        <v>4150</v>
      </c>
      <c r="C132" s="2760"/>
      <c r="D132" s="2760"/>
      <c r="E132" s="2859"/>
      <c r="F132" s="2769">
        <v>874180</v>
      </c>
      <c r="G132" s="2769">
        <v>2609650</v>
      </c>
      <c r="H132" s="2770">
        <v>1200000</v>
      </c>
      <c r="I132" s="2770">
        <f t="shared" ref="I132:X133" si="107">H132*(1+$C$131)</f>
        <v>1212000</v>
      </c>
      <c r="J132" s="2770">
        <f t="shared" si="107"/>
        <v>1224120</v>
      </c>
      <c r="K132" s="2770">
        <f t="shared" si="107"/>
        <v>1236361.2</v>
      </c>
      <c r="L132" s="2770">
        <f t="shared" si="107"/>
        <v>1248724.8119999999</v>
      </c>
      <c r="M132" s="2770">
        <f t="shared" si="107"/>
        <v>1261212.06012</v>
      </c>
      <c r="N132" s="2770">
        <f t="shared" si="107"/>
        <v>1273824.1807212001</v>
      </c>
      <c r="O132" s="2770">
        <f t="shared" si="107"/>
        <v>1286562.4225284122</v>
      </c>
      <c r="P132" s="2770">
        <f t="shared" si="107"/>
        <v>1299428.0467536964</v>
      </c>
      <c r="Q132" s="2770">
        <f t="shared" si="107"/>
        <v>1312422.3272212334</v>
      </c>
      <c r="R132" s="2770">
        <f t="shared" si="107"/>
        <v>1325546.5504934457</v>
      </c>
      <c r="S132" s="2770">
        <f t="shared" si="107"/>
        <v>1338802.0159983803</v>
      </c>
      <c r="T132" s="2770">
        <f t="shared" si="107"/>
        <v>1352190.036158364</v>
      </c>
      <c r="U132" s="2770">
        <f t="shared" si="107"/>
        <v>1365711.9365199476</v>
      </c>
      <c r="V132" s="2770">
        <f t="shared" si="107"/>
        <v>1379369.0558851471</v>
      </c>
      <c r="W132" s="2770">
        <f t="shared" si="107"/>
        <v>1393162.7464439985</v>
      </c>
      <c r="X132" s="2770">
        <f t="shared" si="107"/>
        <v>1407094.3739084385</v>
      </c>
      <c r="Y132" s="2770">
        <f t="shared" ref="Y132:AN133" si="108">X132*(1+$C$131)</f>
        <v>1421165.3176475228</v>
      </c>
      <c r="Z132" s="2770">
        <f t="shared" si="108"/>
        <v>1435376.9708239981</v>
      </c>
      <c r="AA132" s="2770">
        <f t="shared" si="108"/>
        <v>1449730.740532238</v>
      </c>
      <c r="AB132" s="2770">
        <f t="shared" si="108"/>
        <v>1464228.0479375604</v>
      </c>
      <c r="AC132" s="2770">
        <f t="shared" si="108"/>
        <v>1478870.3284169359</v>
      </c>
      <c r="AD132" s="2770">
        <f t="shared" si="108"/>
        <v>1493659.0317011052</v>
      </c>
      <c r="AE132" s="2770">
        <f t="shared" si="108"/>
        <v>1508595.6220181163</v>
      </c>
      <c r="AF132" s="2770">
        <f t="shared" si="108"/>
        <v>1523681.5782382975</v>
      </c>
      <c r="AG132" s="2770">
        <f t="shared" si="108"/>
        <v>1538918.3940206806</v>
      </c>
      <c r="AH132" s="2770">
        <f t="shared" si="108"/>
        <v>1554307.5779608875</v>
      </c>
      <c r="AI132" s="2770">
        <f t="shared" si="108"/>
        <v>1569850.6537404964</v>
      </c>
      <c r="AJ132" s="2770">
        <f t="shared" si="108"/>
        <v>1585549.1602779015</v>
      </c>
      <c r="AK132" s="2770">
        <f t="shared" si="108"/>
        <v>1601404.6518806806</v>
      </c>
      <c r="AL132" s="2770">
        <f t="shared" si="108"/>
        <v>1617418.6983994874</v>
      </c>
      <c r="AM132" s="2770">
        <f t="shared" si="108"/>
        <v>1633592.8853834823</v>
      </c>
      <c r="AN132" s="2770">
        <f t="shared" si="108"/>
        <v>1649928.8142373171</v>
      </c>
      <c r="AO132" s="2770">
        <f t="shared" ref="AO132:AU133" si="109">AN132*(1+$C$131)</f>
        <v>1666428.1023796902</v>
      </c>
      <c r="AP132" s="2770">
        <f t="shared" si="109"/>
        <v>1683092.383403487</v>
      </c>
      <c r="AQ132" s="2770">
        <f t="shared" si="109"/>
        <v>1699923.307237522</v>
      </c>
      <c r="AR132" s="2770">
        <f t="shared" si="109"/>
        <v>1716922.5403098972</v>
      </c>
      <c r="AS132" s="2770">
        <f t="shared" si="109"/>
        <v>1734091.7657129962</v>
      </c>
      <c r="AT132" s="2770">
        <f t="shared" si="109"/>
        <v>1751432.6833701262</v>
      </c>
      <c r="AU132" s="2770">
        <f t="shared" si="109"/>
        <v>1768947.0102038274</v>
      </c>
      <c r="AV132" s="2694">
        <v>0</v>
      </c>
      <c r="AW132" s="2758"/>
      <c r="AX132" s="2860"/>
      <c r="AY132" s="2760"/>
      <c r="AZ132" s="2760"/>
      <c r="BA132" s="2760"/>
      <c r="BB132" s="2760"/>
      <c r="BC132" s="2760"/>
      <c r="BD132" s="2760"/>
      <c r="BE132" s="2760"/>
      <c r="BF132" s="2760"/>
      <c r="BG132" s="2760"/>
      <c r="BI132" s="2730"/>
      <c r="BJ132" s="2730"/>
    </row>
    <row r="133" spans="1:62" ht="18" hidden="1" outlineLevel="1" thickBot="1">
      <c r="A133" s="2767" t="s">
        <v>4151</v>
      </c>
      <c r="B133" s="2861"/>
      <c r="C133" s="2787"/>
      <c r="D133" s="2760"/>
      <c r="E133" s="2862"/>
      <c r="F133" s="2769">
        <v>1002584</v>
      </c>
      <c r="G133" s="2770">
        <v>1483870</v>
      </c>
      <c r="H133" s="2770">
        <v>1800000</v>
      </c>
      <c r="I133" s="2770">
        <f t="shared" si="107"/>
        <v>1818000</v>
      </c>
      <c r="J133" s="2770">
        <f t="shared" si="107"/>
        <v>1836180</v>
      </c>
      <c r="K133" s="2770">
        <f t="shared" si="107"/>
        <v>1854541.8</v>
      </c>
      <c r="L133" s="2770">
        <f t="shared" si="107"/>
        <v>1873087.2180000001</v>
      </c>
      <c r="M133" s="2770">
        <f t="shared" si="107"/>
        <v>1891818.0901800001</v>
      </c>
      <c r="N133" s="2770">
        <f t="shared" si="107"/>
        <v>1910736.2710818001</v>
      </c>
      <c r="O133" s="2770">
        <f t="shared" si="107"/>
        <v>1929843.6337926181</v>
      </c>
      <c r="P133" s="2770">
        <f t="shared" si="107"/>
        <v>1949142.0701305442</v>
      </c>
      <c r="Q133" s="2770">
        <f t="shared" si="107"/>
        <v>1968633.4908318496</v>
      </c>
      <c r="R133" s="2770">
        <f t="shared" si="107"/>
        <v>1988319.8257401681</v>
      </c>
      <c r="S133" s="2770">
        <f t="shared" si="107"/>
        <v>2008203.0239975697</v>
      </c>
      <c r="T133" s="2770">
        <f t="shared" si="107"/>
        <v>2028285.0542375455</v>
      </c>
      <c r="U133" s="2770">
        <f t="shared" si="107"/>
        <v>2048567.9047799211</v>
      </c>
      <c r="V133" s="2770">
        <f t="shared" si="107"/>
        <v>2069053.5838277203</v>
      </c>
      <c r="W133" s="2770">
        <f t="shared" si="107"/>
        <v>2089744.1196659976</v>
      </c>
      <c r="X133" s="2770">
        <f t="shared" si="107"/>
        <v>2110641.5608626576</v>
      </c>
      <c r="Y133" s="2770">
        <f t="shared" si="108"/>
        <v>2131747.9764712844</v>
      </c>
      <c r="Z133" s="2770">
        <f t="shared" si="108"/>
        <v>2153065.4562359974</v>
      </c>
      <c r="AA133" s="2770">
        <f t="shared" si="108"/>
        <v>2174596.1107983575</v>
      </c>
      <c r="AB133" s="2770">
        <f t="shared" si="108"/>
        <v>2196342.0719063412</v>
      </c>
      <c r="AC133" s="2770">
        <f t="shared" si="108"/>
        <v>2218305.4926254046</v>
      </c>
      <c r="AD133" s="2770">
        <f t="shared" si="108"/>
        <v>2240488.5475516585</v>
      </c>
      <c r="AE133" s="2770">
        <f t="shared" si="108"/>
        <v>2262893.4330271753</v>
      </c>
      <c r="AF133" s="2770">
        <f t="shared" si="108"/>
        <v>2285522.3673574468</v>
      </c>
      <c r="AG133" s="2770">
        <f t="shared" si="108"/>
        <v>2308377.5910310214</v>
      </c>
      <c r="AH133" s="2770">
        <f t="shared" si="108"/>
        <v>2331461.3669413319</v>
      </c>
      <c r="AI133" s="2770">
        <f t="shared" si="108"/>
        <v>2354775.980610745</v>
      </c>
      <c r="AJ133" s="2770">
        <f t="shared" si="108"/>
        <v>2378323.7404168523</v>
      </c>
      <c r="AK133" s="2770">
        <f t="shared" si="108"/>
        <v>2402106.9778210209</v>
      </c>
      <c r="AL133" s="2770">
        <f t="shared" si="108"/>
        <v>2426128.0475992309</v>
      </c>
      <c r="AM133" s="2770">
        <f t="shared" si="108"/>
        <v>2450389.3280752231</v>
      </c>
      <c r="AN133" s="2770">
        <f t="shared" si="108"/>
        <v>2474893.2213559756</v>
      </c>
      <c r="AO133" s="2770">
        <f t="shared" si="109"/>
        <v>2499642.1535695354</v>
      </c>
      <c r="AP133" s="2770">
        <f t="shared" si="109"/>
        <v>2524638.5751052308</v>
      </c>
      <c r="AQ133" s="2770">
        <f t="shared" si="109"/>
        <v>2549884.9608562831</v>
      </c>
      <c r="AR133" s="2770">
        <f t="shared" si="109"/>
        <v>2575383.810464846</v>
      </c>
      <c r="AS133" s="2770">
        <f t="shared" si="109"/>
        <v>2601137.6485694945</v>
      </c>
      <c r="AT133" s="2770">
        <f t="shared" si="109"/>
        <v>2627149.0250551896</v>
      </c>
      <c r="AU133" s="2770">
        <f t="shared" si="109"/>
        <v>2653420.5153057417</v>
      </c>
      <c r="AV133" s="2694">
        <v>0</v>
      </c>
      <c r="AW133" s="2771"/>
      <c r="AX133" s="2795"/>
      <c r="AY133" s="2760"/>
      <c r="AZ133" s="2760"/>
      <c r="BA133" s="2760"/>
      <c r="BB133" s="2760"/>
      <c r="BC133" s="2760"/>
      <c r="BD133" s="2760"/>
      <c r="BE133" s="2760"/>
      <c r="BF133" s="2760"/>
      <c r="BG133" s="2760"/>
      <c r="BI133" s="2730"/>
      <c r="BJ133" s="2730"/>
    </row>
    <row r="134" spans="1:62" ht="18" hidden="1" outlineLevel="1" thickBot="1">
      <c r="A134" s="2767" t="s">
        <v>4080</v>
      </c>
      <c r="B134" s="2803"/>
      <c r="C134" s="2763"/>
      <c r="D134" s="2760"/>
      <c r="E134" s="2863"/>
      <c r="F134" s="2769"/>
      <c r="G134" s="2770"/>
      <c r="H134" s="2770"/>
      <c r="I134" s="2770"/>
      <c r="J134" s="2770"/>
      <c r="K134" s="2770"/>
      <c r="L134" s="2770"/>
      <c r="M134" s="2770"/>
      <c r="N134" s="2770"/>
      <c r="O134" s="2770"/>
      <c r="P134" s="2770"/>
      <c r="Q134" s="2770"/>
      <c r="R134" s="2770"/>
      <c r="S134" s="2770"/>
      <c r="T134" s="2770"/>
      <c r="U134" s="2770"/>
      <c r="V134" s="2770"/>
      <c r="W134" s="2770"/>
      <c r="X134" s="2770"/>
      <c r="Y134" s="2770"/>
      <c r="Z134" s="2770"/>
      <c r="AA134" s="2770"/>
      <c r="AB134" s="2770"/>
      <c r="AC134" s="2770"/>
      <c r="AD134" s="2770"/>
      <c r="AE134" s="2770"/>
      <c r="AF134" s="2770"/>
      <c r="AG134" s="2770"/>
      <c r="AH134" s="2770"/>
      <c r="AI134" s="2770"/>
      <c r="AJ134" s="2770"/>
      <c r="AK134" s="2770"/>
      <c r="AL134" s="2770"/>
      <c r="AM134" s="2770"/>
      <c r="AN134" s="2770"/>
      <c r="AO134" s="2770"/>
      <c r="AP134" s="2770"/>
      <c r="AQ134" s="2770"/>
      <c r="AR134" s="2770"/>
      <c r="AS134" s="2770"/>
      <c r="AT134" s="2770"/>
      <c r="AU134" s="2770"/>
      <c r="AV134" s="2694">
        <v>0</v>
      </c>
      <c r="AW134" s="2864"/>
      <c r="AX134" s="2759"/>
      <c r="AY134" s="2760"/>
      <c r="AZ134" s="2760"/>
      <c r="BA134" s="2760"/>
      <c r="BB134" s="2760"/>
      <c r="BC134" s="2760"/>
      <c r="BD134" s="2760"/>
      <c r="BE134" s="2760"/>
      <c r="BF134" s="2760"/>
      <c r="BG134" s="2760"/>
      <c r="BI134" s="2730"/>
      <c r="BJ134" s="2730"/>
    </row>
    <row r="135" spans="1:62" ht="18" hidden="1" outlineLevel="1" thickBot="1">
      <c r="A135" s="2789" t="s">
        <v>4152</v>
      </c>
      <c r="B135" s="2865"/>
      <c r="C135" s="2791">
        <v>0.01</v>
      </c>
      <c r="D135" s="2858">
        <v>1</v>
      </c>
      <c r="E135" s="2793"/>
      <c r="F135" s="2794">
        <f>SUM(F136,F141)</f>
        <v>23464903</v>
      </c>
      <c r="G135" s="2794">
        <f>SUM(G136,G141)</f>
        <v>18284887</v>
      </c>
      <c r="H135" s="2794">
        <f t="shared" ref="H135:AU135" si="110">(H136+H141)*(1+$C$135)^(H2-$F$2)</f>
        <v>26420590</v>
      </c>
      <c r="I135" s="2794">
        <f t="shared" si="110"/>
        <v>26684795.899999999</v>
      </c>
      <c r="J135" s="2794">
        <f t="shared" si="110"/>
        <v>26951643.859000001</v>
      </c>
      <c r="K135" s="2794">
        <f t="shared" si="110"/>
        <v>27221160.297589999</v>
      </c>
      <c r="L135" s="2794">
        <f t="shared" si="110"/>
        <v>27493371.900565904</v>
      </c>
      <c r="M135" s="2794">
        <f t="shared" si="110"/>
        <v>27768305.619571555</v>
      </c>
      <c r="N135" s="2794">
        <f t="shared" si="110"/>
        <v>28045988.675767276</v>
      </c>
      <c r="O135" s="2794">
        <f t="shared" si="110"/>
        <v>28326448.562524952</v>
      </c>
      <c r="P135" s="2794">
        <f t="shared" si="110"/>
        <v>28609713.048150204</v>
      </c>
      <c r="Q135" s="2794">
        <f t="shared" si="110"/>
        <v>28895810.178631701</v>
      </c>
      <c r="R135" s="2794">
        <f t="shared" si="110"/>
        <v>29184768.280418016</v>
      </c>
      <c r="S135" s="2794">
        <f t="shared" si="110"/>
        <v>29476615.963222198</v>
      </c>
      <c r="T135" s="2794">
        <f t="shared" si="110"/>
        <v>29771382.122854423</v>
      </c>
      <c r="U135" s="2794">
        <f t="shared" si="110"/>
        <v>30069095.94408296</v>
      </c>
      <c r="V135" s="2794">
        <f t="shared" si="110"/>
        <v>30369786.903523799</v>
      </c>
      <c r="W135" s="2794">
        <f t="shared" si="110"/>
        <v>30673484.772559039</v>
      </c>
      <c r="X135" s="2794">
        <f t="shared" si="110"/>
        <v>30980219.620284628</v>
      </c>
      <c r="Y135" s="2794">
        <f t="shared" si="110"/>
        <v>31290021.816487469</v>
      </c>
      <c r="Z135" s="2794">
        <f t="shared" si="110"/>
        <v>31602922.034652345</v>
      </c>
      <c r="AA135" s="2794">
        <f t="shared" si="110"/>
        <v>31918951.254998866</v>
      </c>
      <c r="AB135" s="2794">
        <f t="shared" si="110"/>
        <v>32238140.767548863</v>
      </c>
      <c r="AC135" s="2794">
        <f t="shared" si="110"/>
        <v>32560522.175224345</v>
      </c>
      <c r="AD135" s="2794">
        <f t="shared" si="110"/>
        <v>32886127.396976598</v>
      </c>
      <c r="AE135" s="2794">
        <f t="shared" si="110"/>
        <v>33214988.670946367</v>
      </c>
      <c r="AF135" s="2794">
        <f t="shared" si="110"/>
        <v>33547138.55765583</v>
      </c>
      <c r="AG135" s="2794">
        <f t="shared" si="110"/>
        <v>33882609.94323238</v>
      </c>
      <c r="AH135" s="2794">
        <f t="shared" si="110"/>
        <v>34221436.042664707</v>
      </c>
      <c r="AI135" s="2794">
        <f t="shared" si="110"/>
        <v>34563650.403091349</v>
      </c>
      <c r="AJ135" s="2794">
        <f t="shared" si="110"/>
        <v>34909286.907122277</v>
      </c>
      <c r="AK135" s="2794">
        <f t="shared" si="110"/>
        <v>35258379.776193485</v>
      </c>
      <c r="AL135" s="2794">
        <f t="shared" si="110"/>
        <v>35610963.573955424</v>
      </c>
      <c r="AM135" s="2794">
        <f t="shared" si="110"/>
        <v>35967073.209694982</v>
      </c>
      <c r="AN135" s="2794">
        <f t="shared" si="110"/>
        <v>36326743.941791937</v>
      </c>
      <c r="AO135" s="2794">
        <f t="shared" si="110"/>
        <v>36690011.381209843</v>
      </c>
      <c r="AP135" s="2794">
        <f t="shared" si="110"/>
        <v>37056911.495021947</v>
      </c>
      <c r="AQ135" s="2794">
        <f t="shared" si="110"/>
        <v>37427480.609972171</v>
      </c>
      <c r="AR135" s="2794">
        <f t="shared" si="110"/>
        <v>37801755.416071892</v>
      </c>
      <c r="AS135" s="2794">
        <f t="shared" si="110"/>
        <v>38179772.970232598</v>
      </c>
      <c r="AT135" s="2794">
        <f t="shared" si="110"/>
        <v>38561570.699934937</v>
      </c>
      <c r="AU135" s="2794">
        <f t="shared" si="110"/>
        <v>38947186.406934291</v>
      </c>
      <c r="AV135" s="2694">
        <v>0</v>
      </c>
      <c r="AW135" s="2771"/>
      <c r="AX135" s="2795"/>
      <c r="AY135" s="2760"/>
      <c r="AZ135" s="2760"/>
      <c r="BA135" s="2760"/>
      <c r="BB135" s="2760"/>
      <c r="BC135" s="2760"/>
      <c r="BD135" s="2760"/>
      <c r="BE135" s="2760"/>
      <c r="BF135" s="2760"/>
      <c r="BG135" s="2760"/>
      <c r="BI135" s="2730"/>
      <c r="BJ135" s="2730"/>
    </row>
    <row r="136" spans="1:62" ht="18" hidden="1" outlineLevel="1" thickBot="1">
      <c r="A136" s="2773" t="s">
        <v>4153</v>
      </c>
      <c r="B136" s="2825"/>
      <c r="C136" s="2763"/>
      <c r="D136" s="2764"/>
      <c r="E136" s="2764"/>
      <c r="F136" s="2765">
        <f>SUM(F137:F140)</f>
        <v>16930285</v>
      </c>
      <c r="G136" s="2765">
        <f>SUM(G137:G140)</f>
        <v>12855855</v>
      </c>
      <c r="H136" s="2765">
        <f t="shared" ref="H136:AU136" si="111">SUM(H137:H140)</f>
        <v>18500000</v>
      </c>
      <c r="I136" s="2765">
        <f t="shared" si="111"/>
        <v>18500000</v>
      </c>
      <c r="J136" s="2765">
        <f t="shared" si="111"/>
        <v>18500000</v>
      </c>
      <c r="K136" s="2765">
        <f t="shared" si="111"/>
        <v>18500000</v>
      </c>
      <c r="L136" s="2765">
        <f t="shared" si="111"/>
        <v>18500000</v>
      </c>
      <c r="M136" s="2765">
        <f t="shared" si="111"/>
        <v>18500000</v>
      </c>
      <c r="N136" s="2765">
        <f t="shared" si="111"/>
        <v>18500000</v>
      </c>
      <c r="O136" s="2765">
        <f t="shared" si="111"/>
        <v>18500000</v>
      </c>
      <c r="P136" s="2765">
        <f t="shared" si="111"/>
        <v>18500000</v>
      </c>
      <c r="Q136" s="2765">
        <f t="shared" si="111"/>
        <v>18500000</v>
      </c>
      <c r="R136" s="2765">
        <f t="shared" si="111"/>
        <v>18500000</v>
      </c>
      <c r="S136" s="2765">
        <f t="shared" si="111"/>
        <v>18500000</v>
      </c>
      <c r="T136" s="2765">
        <f t="shared" si="111"/>
        <v>18500000</v>
      </c>
      <c r="U136" s="2765">
        <f t="shared" si="111"/>
        <v>18500000</v>
      </c>
      <c r="V136" s="2765">
        <f t="shared" si="111"/>
        <v>18500000</v>
      </c>
      <c r="W136" s="2765">
        <f t="shared" si="111"/>
        <v>18500000</v>
      </c>
      <c r="X136" s="2765">
        <f t="shared" si="111"/>
        <v>18500000</v>
      </c>
      <c r="Y136" s="2765">
        <f t="shared" si="111"/>
        <v>18500000</v>
      </c>
      <c r="Z136" s="2765">
        <f t="shared" si="111"/>
        <v>18500000</v>
      </c>
      <c r="AA136" s="2765">
        <f t="shared" si="111"/>
        <v>18500000</v>
      </c>
      <c r="AB136" s="2765">
        <f t="shared" si="111"/>
        <v>18500000</v>
      </c>
      <c r="AC136" s="2765">
        <f t="shared" si="111"/>
        <v>18500000</v>
      </c>
      <c r="AD136" s="2765">
        <f t="shared" si="111"/>
        <v>18500000</v>
      </c>
      <c r="AE136" s="2765">
        <f t="shared" si="111"/>
        <v>18500000</v>
      </c>
      <c r="AF136" s="2765">
        <f t="shared" si="111"/>
        <v>18500000</v>
      </c>
      <c r="AG136" s="2765">
        <f t="shared" si="111"/>
        <v>18500000</v>
      </c>
      <c r="AH136" s="2765">
        <f t="shared" si="111"/>
        <v>18500000</v>
      </c>
      <c r="AI136" s="2765">
        <f t="shared" si="111"/>
        <v>18500000</v>
      </c>
      <c r="AJ136" s="2765">
        <f t="shared" si="111"/>
        <v>18500000</v>
      </c>
      <c r="AK136" s="2765">
        <f t="shared" si="111"/>
        <v>18500000</v>
      </c>
      <c r="AL136" s="2765">
        <f t="shared" si="111"/>
        <v>18500000</v>
      </c>
      <c r="AM136" s="2765">
        <f t="shared" si="111"/>
        <v>18500000</v>
      </c>
      <c r="AN136" s="2765">
        <f t="shared" si="111"/>
        <v>18500000</v>
      </c>
      <c r="AO136" s="2765">
        <f t="shared" si="111"/>
        <v>18500000</v>
      </c>
      <c r="AP136" s="2765">
        <f t="shared" si="111"/>
        <v>18500000</v>
      </c>
      <c r="AQ136" s="2765">
        <f t="shared" si="111"/>
        <v>18500000</v>
      </c>
      <c r="AR136" s="2765">
        <f t="shared" si="111"/>
        <v>18500000</v>
      </c>
      <c r="AS136" s="2765">
        <f t="shared" si="111"/>
        <v>18500000</v>
      </c>
      <c r="AT136" s="2765">
        <f t="shared" si="111"/>
        <v>18500000</v>
      </c>
      <c r="AU136" s="2765">
        <f t="shared" si="111"/>
        <v>18500000</v>
      </c>
      <c r="AV136" s="2694">
        <v>0</v>
      </c>
      <c r="AW136" s="2850"/>
      <c r="AX136" s="2759"/>
      <c r="AY136" s="2774"/>
      <c r="AZ136" s="2774"/>
      <c r="BA136" s="2774"/>
      <c r="BB136" s="2774"/>
      <c r="BC136" s="2774"/>
      <c r="BD136" s="2774"/>
      <c r="BE136" s="2774"/>
      <c r="BF136" s="2774"/>
      <c r="BG136" s="2774"/>
      <c r="BI136" s="2730"/>
      <c r="BJ136" s="2730"/>
    </row>
    <row r="137" spans="1:62" ht="18" hidden="1" outlineLevel="1" thickBot="1">
      <c r="A137" s="2801" t="s">
        <v>4033</v>
      </c>
      <c r="B137" s="2803" t="s">
        <v>4154</v>
      </c>
      <c r="C137" s="2763"/>
      <c r="D137" s="2764"/>
      <c r="E137" s="2764"/>
      <c r="F137" s="2769">
        <v>7681691</v>
      </c>
      <c r="G137" s="2770">
        <v>4671880</v>
      </c>
      <c r="H137" s="2770">
        <v>8000000</v>
      </c>
      <c r="I137" s="2770">
        <f t="shared" ref="I137:X140" si="112">H137</f>
        <v>8000000</v>
      </c>
      <c r="J137" s="2770">
        <f t="shared" si="112"/>
        <v>8000000</v>
      </c>
      <c r="K137" s="2770">
        <f t="shared" si="112"/>
        <v>8000000</v>
      </c>
      <c r="L137" s="2770">
        <f t="shared" si="112"/>
        <v>8000000</v>
      </c>
      <c r="M137" s="2770">
        <f t="shared" si="112"/>
        <v>8000000</v>
      </c>
      <c r="N137" s="2770">
        <f t="shared" si="112"/>
        <v>8000000</v>
      </c>
      <c r="O137" s="2770">
        <f t="shared" si="112"/>
        <v>8000000</v>
      </c>
      <c r="P137" s="2770">
        <f t="shared" si="112"/>
        <v>8000000</v>
      </c>
      <c r="Q137" s="2770">
        <f t="shared" si="112"/>
        <v>8000000</v>
      </c>
      <c r="R137" s="2770">
        <f t="shared" si="112"/>
        <v>8000000</v>
      </c>
      <c r="S137" s="2770">
        <f t="shared" si="112"/>
        <v>8000000</v>
      </c>
      <c r="T137" s="2770">
        <f t="shared" si="112"/>
        <v>8000000</v>
      </c>
      <c r="U137" s="2770">
        <f t="shared" si="112"/>
        <v>8000000</v>
      </c>
      <c r="V137" s="2770">
        <f t="shared" si="112"/>
        <v>8000000</v>
      </c>
      <c r="W137" s="2770">
        <f t="shared" si="112"/>
        <v>8000000</v>
      </c>
      <c r="X137" s="2770">
        <f t="shared" si="112"/>
        <v>8000000</v>
      </c>
      <c r="Y137" s="2770">
        <f t="shared" ref="Y137:AN140" si="113">X137</f>
        <v>8000000</v>
      </c>
      <c r="Z137" s="2770">
        <f t="shared" si="113"/>
        <v>8000000</v>
      </c>
      <c r="AA137" s="2770">
        <f t="shared" si="113"/>
        <v>8000000</v>
      </c>
      <c r="AB137" s="2770">
        <f t="shared" si="113"/>
        <v>8000000</v>
      </c>
      <c r="AC137" s="2770">
        <f t="shared" si="113"/>
        <v>8000000</v>
      </c>
      <c r="AD137" s="2770">
        <f t="shared" si="113"/>
        <v>8000000</v>
      </c>
      <c r="AE137" s="2770">
        <f t="shared" si="113"/>
        <v>8000000</v>
      </c>
      <c r="AF137" s="2770">
        <f t="shared" si="113"/>
        <v>8000000</v>
      </c>
      <c r="AG137" s="2770">
        <f t="shared" si="113"/>
        <v>8000000</v>
      </c>
      <c r="AH137" s="2770">
        <f t="shared" si="113"/>
        <v>8000000</v>
      </c>
      <c r="AI137" s="2770">
        <f t="shared" si="113"/>
        <v>8000000</v>
      </c>
      <c r="AJ137" s="2770">
        <f t="shared" si="113"/>
        <v>8000000</v>
      </c>
      <c r="AK137" s="2770">
        <f t="shared" si="113"/>
        <v>8000000</v>
      </c>
      <c r="AL137" s="2770">
        <f t="shared" si="113"/>
        <v>8000000</v>
      </c>
      <c r="AM137" s="2770">
        <f t="shared" si="113"/>
        <v>8000000</v>
      </c>
      <c r="AN137" s="2770">
        <f t="shared" si="113"/>
        <v>8000000</v>
      </c>
      <c r="AO137" s="2770">
        <f t="shared" ref="AO137:AU140" si="114">AN137</f>
        <v>8000000</v>
      </c>
      <c r="AP137" s="2770">
        <f t="shared" si="114"/>
        <v>8000000</v>
      </c>
      <c r="AQ137" s="2770">
        <f t="shared" si="114"/>
        <v>8000000</v>
      </c>
      <c r="AR137" s="2770">
        <f t="shared" si="114"/>
        <v>8000000</v>
      </c>
      <c r="AS137" s="2770">
        <f t="shared" si="114"/>
        <v>8000000</v>
      </c>
      <c r="AT137" s="2770">
        <f t="shared" si="114"/>
        <v>8000000</v>
      </c>
      <c r="AU137" s="2770">
        <f t="shared" si="114"/>
        <v>8000000</v>
      </c>
      <c r="AV137" s="2694">
        <v>0</v>
      </c>
      <c r="AW137" s="2758"/>
      <c r="AX137" s="2759"/>
      <c r="AY137" s="2760"/>
      <c r="AZ137" s="2760"/>
      <c r="BA137" s="2760"/>
      <c r="BB137" s="2760"/>
      <c r="BC137" s="2760"/>
      <c r="BD137" s="2760"/>
      <c r="BE137" s="2760"/>
      <c r="BF137" s="2760"/>
      <c r="BG137" s="2760"/>
      <c r="BI137" s="2730"/>
      <c r="BJ137" s="2730"/>
    </row>
    <row r="138" spans="1:62" ht="18" hidden="1" outlineLevel="1" thickBot="1">
      <c r="A138" s="2801" t="s">
        <v>4155</v>
      </c>
      <c r="B138" s="2803" t="s">
        <v>4156</v>
      </c>
      <c r="C138" s="2763"/>
      <c r="D138" s="2764"/>
      <c r="E138" s="2764"/>
      <c r="F138" s="2769">
        <v>1351125</v>
      </c>
      <c r="G138" s="2770">
        <v>1163975</v>
      </c>
      <c r="H138" s="2770">
        <v>2000000</v>
      </c>
      <c r="I138" s="2770">
        <f t="shared" si="112"/>
        <v>2000000</v>
      </c>
      <c r="J138" s="2770">
        <f t="shared" si="112"/>
        <v>2000000</v>
      </c>
      <c r="K138" s="2770">
        <f t="shared" si="112"/>
        <v>2000000</v>
      </c>
      <c r="L138" s="2770">
        <f t="shared" si="112"/>
        <v>2000000</v>
      </c>
      <c r="M138" s="2770">
        <f t="shared" si="112"/>
        <v>2000000</v>
      </c>
      <c r="N138" s="2770">
        <f t="shared" si="112"/>
        <v>2000000</v>
      </c>
      <c r="O138" s="2770">
        <f t="shared" si="112"/>
        <v>2000000</v>
      </c>
      <c r="P138" s="2770">
        <f t="shared" si="112"/>
        <v>2000000</v>
      </c>
      <c r="Q138" s="2770">
        <f t="shared" si="112"/>
        <v>2000000</v>
      </c>
      <c r="R138" s="2770">
        <f t="shared" si="112"/>
        <v>2000000</v>
      </c>
      <c r="S138" s="2770">
        <f t="shared" si="112"/>
        <v>2000000</v>
      </c>
      <c r="T138" s="2770">
        <f t="shared" si="112"/>
        <v>2000000</v>
      </c>
      <c r="U138" s="2770">
        <f t="shared" si="112"/>
        <v>2000000</v>
      </c>
      <c r="V138" s="2770">
        <f t="shared" si="112"/>
        <v>2000000</v>
      </c>
      <c r="W138" s="2770">
        <f t="shared" si="112"/>
        <v>2000000</v>
      </c>
      <c r="X138" s="2770">
        <f t="shared" si="112"/>
        <v>2000000</v>
      </c>
      <c r="Y138" s="2770">
        <f t="shared" si="113"/>
        <v>2000000</v>
      </c>
      <c r="Z138" s="2770">
        <f t="shared" si="113"/>
        <v>2000000</v>
      </c>
      <c r="AA138" s="2770">
        <f t="shared" si="113"/>
        <v>2000000</v>
      </c>
      <c r="AB138" s="2770">
        <f t="shared" si="113"/>
        <v>2000000</v>
      </c>
      <c r="AC138" s="2770">
        <f t="shared" si="113"/>
        <v>2000000</v>
      </c>
      <c r="AD138" s="2770">
        <f t="shared" si="113"/>
        <v>2000000</v>
      </c>
      <c r="AE138" s="2770">
        <f t="shared" si="113"/>
        <v>2000000</v>
      </c>
      <c r="AF138" s="2770">
        <f t="shared" si="113"/>
        <v>2000000</v>
      </c>
      <c r="AG138" s="2770">
        <f t="shared" si="113"/>
        <v>2000000</v>
      </c>
      <c r="AH138" s="2770">
        <f t="shared" si="113"/>
        <v>2000000</v>
      </c>
      <c r="AI138" s="2770">
        <f t="shared" si="113"/>
        <v>2000000</v>
      </c>
      <c r="AJ138" s="2770">
        <f t="shared" si="113"/>
        <v>2000000</v>
      </c>
      <c r="AK138" s="2770">
        <f t="shared" si="113"/>
        <v>2000000</v>
      </c>
      <c r="AL138" s="2770">
        <f t="shared" si="113"/>
        <v>2000000</v>
      </c>
      <c r="AM138" s="2770">
        <f t="shared" si="113"/>
        <v>2000000</v>
      </c>
      <c r="AN138" s="2770">
        <f t="shared" si="113"/>
        <v>2000000</v>
      </c>
      <c r="AO138" s="2770">
        <f t="shared" si="114"/>
        <v>2000000</v>
      </c>
      <c r="AP138" s="2770">
        <f t="shared" si="114"/>
        <v>2000000</v>
      </c>
      <c r="AQ138" s="2770">
        <f t="shared" si="114"/>
        <v>2000000</v>
      </c>
      <c r="AR138" s="2770">
        <f t="shared" si="114"/>
        <v>2000000</v>
      </c>
      <c r="AS138" s="2770">
        <f t="shared" si="114"/>
        <v>2000000</v>
      </c>
      <c r="AT138" s="2770">
        <f t="shared" si="114"/>
        <v>2000000</v>
      </c>
      <c r="AU138" s="2770">
        <f t="shared" si="114"/>
        <v>2000000</v>
      </c>
      <c r="AV138" s="2694">
        <v>0</v>
      </c>
      <c r="AW138" s="2771"/>
      <c r="AX138" s="2759"/>
      <c r="AY138" s="2760"/>
      <c r="AZ138" s="2760"/>
      <c r="BA138" s="2760"/>
      <c r="BB138" s="2760"/>
      <c r="BC138" s="2760"/>
      <c r="BD138" s="2760"/>
      <c r="BE138" s="2760"/>
      <c r="BF138" s="2760"/>
      <c r="BG138" s="2760"/>
      <c r="BI138" s="2730"/>
      <c r="BJ138" s="2730"/>
    </row>
    <row r="139" spans="1:62" ht="18" hidden="1" outlineLevel="1" thickBot="1">
      <c r="A139" s="2801" t="s">
        <v>4157</v>
      </c>
      <c r="B139" s="2803" t="s">
        <v>4158</v>
      </c>
      <c r="C139" s="2763"/>
      <c r="D139" s="2764"/>
      <c r="E139" s="2764"/>
      <c r="F139" s="2769">
        <v>6047653</v>
      </c>
      <c r="G139" s="2770">
        <v>5497000</v>
      </c>
      <c r="H139" s="2770">
        <v>6500000</v>
      </c>
      <c r="I139" s="2770">
        <f t="shared" si="112"/>
        <v>6500000</v>
      </c>
      <c r="J139" s="2770">
        <f t="shared" si="112"/>
        <v>6500000</v>
      </c>
      <c r="K139" s="2770">
        <f t="shared" si="112"/>
        <v>6500000</v>
      </c>
      <c r="L139" s="2770">
        <f t="shared" si="112"/>
        <v>6500000</v>
      </c>
      <c r="M139" s="2770">
        <f t="shared" si="112"/>
        <v>6500000</v>
      </c>
      <c r="N139" s="2770">
        <f t="shared" si="112"/>
        <v>6500000</v>
      </c>
      <c r="O139" s="2770">
        <f t="shared" si="112"/>
        <v>6500000</v>
      </c>
      <c r="P139" s="2770">
        <f t="shared" si="112"/>
        <v>6500000</v>
      </c>
      <c r="Q139" s="2770">
        <f t="shared" si="112"/>
        <v>6500000</v>
      </c>
      <c r="R139" s="2770">
        <f t="shared" si="112"/>
        <v>6500000</v>
      </c>
      <c r="S139" s="2770">
        <f t="shared" si="112"/>
        <v>6500000</v>
      </c>
      <c r="T139" s="2770">
        <f t="shared" si="112"/>
        <v>6500000</v>
      </c>
      <c r="U139" s="2770">
        <f t="shared" si="112"/>
        <v>6500000</v>
      </c>
      <c r="V139" s="2770">
        <f t="shared" si="112"/>
        <v>6500000</v>
      </c>
      <c r="W139" s="2770">
        <f t="shared" si="112"/>
        <v>6500000</v>
      </c>
      <c r="X139" s="2770">
        <f t="shared" si="112"/>
        <v>6500000</v>
      </c>
      <c r="Y139" s="2770">
        <f t="shared" si="113"/>
        <v>6500000</v>
      </c>
      <c r="Z139" s="2770">
        <f t="shared" si="113"/>
        <v>6500000</v>
      </c>
      <c r="AA139" s="2770">
        <f t="shared" si="113"/>
        <v>6500000</v>
      </c>
      <c r="AB139" s="2770">
        <f t="shared" si="113"/>
        <v>6500000</v>
      </c>
      <c r="AC139" s="2770">
        <f t="shared" si="113"/>
        <v>6500000</v>
      </c>
      <c r="AD139" s="2770">
        <f t="shared" si="113"/>
        <v>6500000</v>
      </c>
      <c r="AE139" s="2770">
        <f t="shared" si="113"/>
        <v>6500000</v>
      </c>
      <c r="AF139" s="2770">
        <f t="shared" si="113"/>
        <v>6500000</v>
      </c>
      <c r="AG139" s="2770">
        <f t="shared" si="113"/>
        <v>6500000</v>
      </c>
      <c r="AH139" s="2770">
        <f t="shared" si="113"/>
        <v>6500000</v>
      </c>
      <c r="AI139" s="2770">
        <f t="shared" si="113"/>
        <v>6500000</v>
      </c>
      <c r="AJ139" s="2770">
        <f t="shared" si="113"/>
        <v>6500000</v>
      </c>
      <c r="AK139" s="2770">
        <f t="shared" si="113"/>
        <v>6500000</v>
      </c>
      <c r="AL139" s="2770">
        <f t="shared" si="113"/>
        <v>6500000</v>
      </c>
      <c r="AM139" s="2770">
        <f t="shared" si="113"/>
        <v>6500000</v>
      </c>
      <c r="AN139" s="2770">
        <f t="shared" si="113"/>
        <v>6500000</v>
      </c>
      <c r="AO139" s="2770">
        <f t="shared" si="114"/>
        <v>6500000</v>
      </c>
      <c r="AP139" s="2770">
        <f t="shared" si="114"/>
        <v>6500000</v>
      </c>
      <c r="AQ139" s="2770">
        <f t="shared" si="114"/>
        <v>6500000</v>
      </c>
      <c r="AR139" s="2770">
        <f t="shared" si="114"/>
        <v>6500000</v>
      </c>
      <c r="AS139" s="2770">
        <f t="shared" si="114"/>
        <v>6500000</v>
      </c>
      <c r="AT139" s="2770">
        <f t="shared" si="114"/>
        <v>6500000</v>
      </c>
      <c r="AU139" s="2770">
        <f t="shared" si="114"/>
        <v>6500000</v>
      </c>
      <c r="AV139" s="2694">
        <v>0</v>
      </c>
      <c r="AW139" s="2771"/>
      <c r="AX139" s="2759"/>
      <c r="AY139" s="2760"/>
      <c r="AZ139" s="2760"/>
      <c r="BA139" s="2760"/>
      <c r="BB139" s="2760"/>
      <c r="BC139" s="2760"/>
      <c r="BD139" s="2760"/>
      <c r="BE139" s="2760"/>
      <c r="BF139" s="2760"/>
      <c r="BG139" s="2760"/>
      <c r="BI139" s="2730"/>
      <c r="BJ139" s="2730"/>
    </row>
    <row r="140" spans="1:62" ht="18" hidden="1" outlineLevel="1" thickBot="1">
      <c r="A140" s="2801" t="s">
        <v>4159</v>
      </c>
      <c r="B140" s="2803" t="s">
        <v>4160</v>
      </c>
      <c r="C140" s="2763"/>
      <c r="D140" s="2764"/>
      <c r="E140" s="2764"/>
      <c r="F140" s="2769">
        <v>1849816</v>
      </c>
      <c r="G140" s="2770">
        <v>1523000</v>
      </c>
      <c r="H140" s="2770">
        <v>2000000</v>
      </c>
      <c r="I140" s="2770">
        <f t="shared" si="112"/>
        <v>2000000</v>
      </c>
      <c r="J140" s="2770">
        <f t="shared" si="112"/>
        <v>2000000</v>
      </c>
      <c r="K140" s="2770">
        <f t="shared" si="112"/>
        <v>2000000</v>
      </c>
      <c r="L140" s="2770">
        <f t="shared" si="112"/>
        <v>2000000</v>
      </c>
      <c r="M140" s="2770">
        <f t="shared" si="112"/>
        <v>2000000</v>
      </c>
      <c r="N140" s="2770">
        <f t="shared" si="112"/>
        <v>2000000</v>
      </c>
      <c r="O140" s="2770">
        <f t="shared" si="112"/>
        <v>2000000</v>
      </c>
      <c r="P140" s="2770">
        <f t="shared" si="112"/>
        <v>2000000</v>
      </c>
      <c r="Q140" s="2770">
        <f t="shared" si="112"/>
        <v>2000000</v>
      </c>
      <c r="R140" s="2770">
        <f t="shared" si="112"/>
        <v>2000000</v>
      </c>
      <c r="S140" s="2770">
        <f t="shared" si="112"/>
        <v>2000000</v>
      </c>
      <c r="T140" s="2770">
        <f t="shared" si="112"/>
        <v>2000000</v>
      </c>
      <c r="U140" s="2770">
        <f t="shared" si="112"/>
        <v>2000000</v>
      </c>
      <c r="V140" s="2770">
        <f t="shared" si="112"/>
        <v>2000000</v>
      </c>
      <c r="W140" s="2770">
        <f t="shared" si="112"/>
        <v>2000000</v>
      </c>
      <c r="X140" s="2770">
        <f t="shared" si="112"/>
        <v>2000000</v>
      </c>
      <c r="Y140" s="2770">
        <f t="shared" si="113"/>
        <v>2000000</v>
      </c>
      <c r="Z140" s="2770">
        <f t="shared" si="113"/>
        <v>2000000</v>
      </c>
      <c r="AA140" s="2770">
        <f t="shared" si="113"/>
        <v>2000000</v>
      </c>
      <c r="AB140" s="2770">
        <f t="shared" si="113"/>
        <v>2000000</v>
      </c>
      <c r="AC140" s="2770">
        <f t="shared" si="113"/>
        <v>2000000</v>
      </c>
      <c r="AD140" s="2770">
        <f t="shared" si="113"/>
        <v>2000000</v>
      </c>
      <c r="AE140" s="2770">
        <f t="shared" si="113"/>
        <v>2000000</v>
      </c>
      <c r="AF140" s="2770">
        <f t="shared" si="113"/>
        <v>2000000</v>
      </c>
      <c r="AG140" s="2770">
        <f t="shared" si="113"/>
        <v>2000000</v>
      </c>
      <c r="AH140" s="2770">
        <f t="shared" si="113"/>
        <v>2000000</v>
      </c>
      <c r="AI140" s="2770">
        <f t="shared" si="113"/>
        <v>2000000</v>
      </c>
      <c r="AJ140" s="2770">
        <f t="shared" si="113"/>
        <v>2000000</v>
      </c>
      <c r="AK140" s="2770">
        <f t="shared" si="113"/>
        <v>2000000</v>
      </c>
      <c r="AL140" s="2770">
        <f t="shared" si="113"/>
        <v>2000000</v>
      </c>
      <c r="AM140" s="2770">
        <f t="shared" si="113"/>
        <v>2000000</v>
      </c>
      <c r="AN140" s="2770">
        <f t="shared" si="113"/>
        <v>2000000</v>
      </c>
      <c r="AO140" s="2770">
        <f t="shared" si="114"/>
        <v>2000000</v>
      </c>
      <c r="AP140" s="2770">
        <f t="shared" si="114"/>
        <v>2000000</v>
      </c>
      <c r="AQ140" s="2770">
        <f t="shared" si="114"/>
        <v>2000000</v>
      </c>
      <c r="AR140" s="2770">
        <f t="shared" si="114"/>
        <v>2000000</v>
      </c>
      <c r="AS140" s="2770">
        <f t="shared" si="114"/>
        <v>2000000</v>
      </c>
      <c r="AT140" s="2770">
        <f t="shared" si="114"/>
        <v>2000000</v>
      </c>
      <c r="AU140" s="2770">
        <f t="shared" si="114"/>
        <v>2000000</v>
      </c>
      <c r="AV140" s="2694">
        <v>0</v>
      </c>
      <c r="AW140" s="2771"/>
      <c r="AX140" s="2759"/>
      <c r="AY140" s="2760"/>
      <c r="AZ140" s="2760"/>
      <c r="BA140" s="2760"/>
      <c r="BB140" s="2760"/>
      <c r="BC140" s="2760"/>
      <c r="BD140" s="2760"/>
      <c r="BE140" s="2760"/>
      <c r="BF140" s="2760"/>
      <c r="BG140" s="2760"/>
      <c r="BI140" s="2730"/>
      <c r="BJ140" s="2730"/>
    </row>
    <row r="141" spans="1:62" ht="18" hidden="1" outlineLevel="1" thickBot="1">
      <c r="A141" s="2773" t="s">
        <v>4161</v>
      </c>
      <c r="B141" s="2866" t="s">
        <v>4162</v>
      </c>
      <c r="C141" s="2763"/>
      <c r="D141" s="2764"/>
      <c r="E141" s="2764"/>
      <c r="F141" s="2765">
        <f>SUM(F142:F145)</f>
        <v>6534618</v>
      </c>
      <c r="G141" s="2765">
        <f>SUM(G142:G145)</f>
        <v>5429032</v>
      </c>
      <c r="H141" s="2765">
        <f t="shared" ref="H141:AU141" si="115">SUM(H142:H145)</f>
        <v>7400000</v>
      </c>
      <c r="I141" s="2765">
        <f t="shared" si="115"/>
        <v>7400000</v>
      </c>
      <c r="J141" s="2765">
        <f t="shared" si="115"/>
        <v>7400000</v>
      </c>
      <c r="K141" s="2765">
        <f t="shared" si="115"/>
        <v>7400000</v>
      </c>
      <c r="L141" s="2765">
        <f t="shared" si="115"/>
        <v>7400000</v>
      </c>
      <c r="M141" s="2765">
        <f t="shared" si="115"/>
        <v>7400000</v>
      </c>
      <c r="N141" s="2765">
        <f t="shared" si="115"/>
        <v>7400000</v>
      </c>
      <c r="O141" s="2765">
        <f t="shared" si="115"/>
        <v>7400000</v>
      </c>
      <c r="P141" s="2765">
        <f t="shared" si="115"/>
        <v>7400000</v>
      </c>
      <c r="Q141" s="2765">
        <f t="shared" si="115"/>
        <v>7400000</v>
      </c>
      <c r="R141" s="2765">
        <f t="shared" si="115"/>
        <v>7400000</v>
      </c>
      <c r="S141" s="2765">
        <f t="shared" si="115"/>
        <v>7400000</v>
      </c>
      <c r="T141" s="2765">
        <f t="shared" si="115"/>
        <v>7400000</v>
      </c>
      <c r="U141" s="2765">
        <f t="shared" si="115"/>
        <v>7400000</v>
      </c>
      <c r="V141" s="2765">
        <f t="shared" si="115"/>
        <v>7400000</v>
      </c>
      <c r="W141" s="2765">
        <f t="shared" si="115"/>
        <v>7400000</v>
      </c>
      <c r="X141" s="2765">
        <f t="shared" si="115"/>
        <v>7400000</v>
      </c>
      <c r="Y141" s="2765">
        <f t="shared" si="115"/>
        <v>7400000</v>
      </c>
      <c r="Z141" s="2765">
        <f t="shared" si="115"/>
        <v>7400000</v>
      </c>
      <c r="AA141" s="2765">
        <f t="shared" si="115"/>
        <v>7400000</v>
      </c>
      <c r="AB141" s="2765">
        <f t="shared" si="115"/>
        <v>7400000</v>
      </c>
      <c r="AC141" s="2765">
        <f t="shared" si="115"/>
        <v>7400000</v>
      </c>
      <c r="AD141" s="2765">
        <f t="shared" si="115"/>
        <v>7400000</v>
      </c>
      <c r="AE141" s="2765">
        <f t="shared" si="115"/>
        <v>7400000</v>
      </c>
      <c r="AF141" s="2765">
        <f t="shared" si="115"/>
        <v>7400000</v>
      </c>
      <c r="AG141" s="2765">
        <f t="shared" si="115"/>
        <v>7400000</v>
      </c>
      <c r="AH141" s="2765">
        <f t="shared" si="115"/>
        <v>7400000</v>
      </c>
      <c r="AI141" s="2765">
        <f t="shared" si="115"/>
        <v>7400000</v>
      </c>
      <c r="AJ141" s="2765">
        <f t="shared" si="115"/>
        <v>7400000</v>
      </c>
      <c r="AK141" s="2765">
        <f t="shared" si="115"/>
        <v>7400000</v>
      </c>
      <c r="AL141" s="2765">
        <f t="shared" si="115"/>
        <v>7400000</v>
      </c>
      <c r="AM141" s="2765">
        <f t="shared" si="115"/>
        <v>7400000</v>
      </c>
      <c r="AN141" s="2765">
        <f t="shared" si="115"/>
        <v>7400000</v>
      </c>
      <c r="AO141" s="2765">
        <f t="shared" si="115"/>
        <v>7400000</v>
      </c>
      <c r="AP141" s="2765">
        <f t="shared" si="115"/>
        <v>7400000</v>
      </c>
      <c r="AQ141" s="2765">
        <f t="shared" si="115"/>
        <v>7400000</v>
      </c>
      <c r="AR141" s="2765">
        <f t="shared" si="115"/>
        <v>7400000</v>
      </c>
      <c r="AS141" s="2765">
        <f t="shared" si="115"/>
        <v>7400000</v>
      </c>
      <c r="AT141" s="2765">
        <f t="shared" si="115"/>
        <v>7400000</v>
      </c>
      <c r="AU141" s="2765">
        <f t="shared" si="115"/>
        <v>7400000</v>
      </c>
      <c r="AV141" s="2694">
        <v>0</v>
      </c>
      <c r="AW141" s="2771"/>
      <c r="AX141" s="2759"/>
      <c r="AY141" s="2774"/>
      <c r="AZ141" s="2774"/>
      <c r="BA141" s="2774"/>
      <c r="BB141" s="2774"/>
      <c r="BC141" s="2774"/>
      <c r="BD141" s="2774"/>
      <c r="BE141" s="2774"/>
      <c r="BF141" s="2774"/>
      <c r="BG141" s="2774"/>
      <c r="BI141" s="2730"/>
      <c r="BJ141" s="2730"/>
    </row>
    <row r="142" spans="1:62" ht="18" hidden="1" outlineLevel="1" thickBot="1">
      <c r="A142" s="2801" t="s">
        <v>4033</v>
      </c>
      <c r="B142" s="2803" t="s">
        <v>4163</v>
      </c>
      <c r="C142" s="2763"/>
      <c r="D142" s="2764"/>
      <c r="E142" s="2764"/>
      <c r="F142" s="2769">
        <v>2847518</v>
      </c>
      <c r="G142" s="2770">
        <v>1805818</v>
      </c>
      <c r="H142" s="2770">
        <v>3000000</v>
      </c>
      <c r="I142" s="2770">
        <f t="shared" ref="I142:X145" si="116">H142</f>
        <v>3000000</v>
      </c>
      <c r="J142" s="2770">
        <f t="shared" si="116"/>
        <v>3000000</v>
      </c>
      <c r="K142" s="2770">
        <f t="shared" si="116"/>
        <v>3000000</v>
      </c>
      <c r="L142" s="2770">
        <f t="shared" si="116"/>
        <v>3000000</v>
      </c>
      <c r="M142" s="2770">
        <f t="shared" si="116"/>
        <v>3000000</v>
      </c>
      <c r="N142" s="2770">
        <f t="shared" si="116"/>
        <v>3000000</v>
      </c>
      <c r="O142" s="2770">
        <f t="shared" si="116"/>
        <v>3000000</v>
      </c>
      <c r="P142" s="2770">
        <f t="shared" si="116"/>
        <v>3000000</v>
      </c>
      <c r="Q142" s="2770">
        <f t="shared" si="116"/>
        <v>3000000</v>
      </c>
      <c r="R142" s="2770">
        <f t="shared" si="116"/>
        <v>3000000</v>
      </c>
      <c r="S142" s="2770">
        <f t="shared" si="116"/>
        <v>3000000</v>
      </c>
      <c r="T142" s="2770">
        <f t="shared" si="116"/>
        <v>3000000</v>
      </c>
      <c r="U142" s="2770">
        <f t="shared" si="116"/>
        <v>3000000</v>
      </c>
      <c r="V142" s="2770">
        <f t="shared" si="116"/>
        <v>3000000</v>
      </c>
      <c r="W142" s="2770">
        <f t="shared" si="116"/>
        <v>3000000</v>
      </c>
      <c r="X142" s="2770">
        <f t="shared" si="116"/>
        <v>3000000</v>
      </c>
      <c r="Y142" s="2770">
        <f t="shared" ref="Y142:AN145" si="117">X142</f>
        <v>3000000</v>
      </c>
      <c r="Z142" s="2770">
        <f t="shared" si="117"/>
        <v>3000000</v>
      </c>
      <c r="AA142" s="2770">
        <f t="shared" si="117"/>
        <v>3000000</v>
      </c>
      <c r="AB142" s="2770">
        <f t="shared" si="117"/>
        <v>3000000</v>
      </c>
      <c r="AC142" s="2770">
        <f t="shared" si="117"/>
        <v>3000000</v>
      </c>
      <c r="AD142" s="2770">
        <f t="shared" si="117"/>
        <v>3000000</v>
      </c>
      <c r="AE142" s="2770">
        <f t="shared" si="117"/>
        <v>3000000</v>
      </c>
      <c r="AF142" s="2770">
        <f t="shared" si="117"/>
        <v>3000000</v>
      </c>
      <c r="AG142" s="2770">
        <f t="shared" si="117"/>
        <v>3000000</v>
      </c>
      <c r="AH142" s="2770">
        <f t="shared" si="117"/>
        <v>3000000</v>
      </c>
      <c r="AI142" s="2770">
        <f t="shared" si="117"/>
        <v>3000000</v>
      </c>
      <c r="AJ142" s="2770">
        <f t="shared" si="117"/>
        <v>3000000</v>
      </c>
      <c r="AK142" s="2770">
        <f t="shared" si="117"/>
        <v>3000000</v>
      </c>
      <c r="AL142" s="2770">
        <f t="shared" si="117"/>
        <v>3000000</v>
      </c>
      <c r="AM142" s="2770">
        <f t="shared" si="117"/>
        <v>3000000</v>
      </c>
      <c r="AN142" s="2770">
        <f t="shared" si="117"/>
        <v>3000000</v>
      </c>
      <c r="AO142" s="2770">
        <f t="shared" ref="AO142:AU145" si="118">AN142</f>
        <v>3000000</v>
      </c>
      <c r="AP142" s="2770">
        <f t="shared" si="118"/>
        <v>3000000</v>
      </c>
      <c r="AQ142" s="2770">
        <f t="shared" si="118"/>
        <v>3000000</v>
      </c>
      <c r="AR142" s="2770">
        <f t="shared" si="118"/>
        <v>3000000</v>
      </c>
      <c r="AS142" s="2770">
        <f t="shared" si="118"/>
        <v>3000000</v>
      </c>
      <c r="AT142" s="2770">
        <f t="shared" si="118"/>
        <v>3000000</v>
      </c>
      <c r="AU142" s="2770">
        <f t="shared" si="118"/>
        <v>3000000</v>
      </c>
      <c r="AV142" s="2694">
        <v>0</v>
      </c>
      <c r="AW142" s="2850"/>
      <c r="AX142" s="2759"/>
      <c r="AY142" s="2760"/>
      <c r="AZ142" s="2760"/>
      <c r="BA142" s="2760"/>
      <c r="BB142" s="2760"/>
      <c r="BC142" s="2760"/>
      <c r="BD142" s="2760"/>
      <c r="BE142" s="2760"/>
      <c r="BF142" s="2760"/>
      <c r="BG142" s="2760"/>
      <c r="BI142" s="2730"/>
      <c r="BJ142" s="2730"/>
    </row>
    <row r="143" spans="1:62" ht="18" hidden="1" outlineLevel="1" thickBot="1">
      <c r="A143" s="2801" t="s">
        <v>4155</v>
      </c>
      <c r="B143" s="2867" t="s">
        <v>4164</v>
      </c>
      <c r="C143" s="2763"/>
      <c r="D143" s="2764"/>
      <c r="E143" s="2764"/>
      <c r="F143" s="2769">
        <v>346000</v>
      </c>
      <c r="G143" s="2770">
        <v>308000</v>
      </c>
      <c r="H143" s="2770">
        <v>500000</v>
      </c>
      <c r="I143" s="2770">
        <f t="shared" si="116"/>
        <v>500000</v>
      </c>
      <c r="J143" s="2770">
        <f t="shared" si="116"/>
        <v>500000</v>
      </c>
      <c r="K143" s="2770">
        <f t="shared" si="116"/>
        <v>500000</v>
      </c>
      <c r="L143" s="2770">
        <f t="shared" si="116"/>
        <v>500000</v>
      </c>
      <c r="M143" s="2770">
        <f t="shared" si="116"/>
        <v>500000</v>
      </c>
      <c r="N143" s="2770">
        <f t="shared" si="116"/>
        <v>500000</v>
      </c>
      <c r="O143" s="2770">
        <f t="shared" si="116"/>
        <v>500000</v>
      </c>
      <c r="P143" s="2770">
        <f t="shared" si="116"/>
        <v>500000</v>
      </c>
      <c r="Q143" s="2770">
        <f t="shared" si="116"/>
        <v>500000</v>
      </c>
      <c r="R143" s="2770">
        <f t="shared" si="116"/>
        <v>500000</v>
      </c>
      <c r="S143" s="2770">
        <f t="shared" si="116"/>
        <v>500000</v>
      </c>
      <c r="T143" s="2770">
        <f t="shared" si="116"/>
        <v>500000</v>
      </c>
      <c r="U143" s="2770">
        <f t="shared" si="116"/>
        <v>500000</v>
      </c>
      <c r="V143" s="2770">
        <f t="shared" si="116"/>
        <v>500000</v>
      </c>
      <c r="W143" s="2770">
        <f t="shared" si="116"/>
        <v>500000</v>
      </c>
      <c r="X143" s="2770">
        <f t="shared" si="116"/>
        <v>500000</v>
      </c>
      <c r="Y143" s="2770">
        <f t="shared" si="117"/>
        <v>500000</v>
      </c>
      <c r="Z143" s="2770">
        <f t="shared" si="117"/>
        <v>500000</v>
      </c>
      <c r="AA143" s="2770">
        <f t="shared" si="117"/>
        <v>500000</v>
      </c>
      <c r="AB143" s="2770">
        <f t="shared" si="117"/>
        <v>500000</v>
      </c>
      <c r="AC143" s="2770">
        <f t="shared" si="117"/>
        <v>500000</v>
      </c>
      <c r="AD143" s="2770">
        <f t="shared" si="117"/>
        <v>500000</v>
      </c>
      <c r="AE143" s="2770">
        <f t="shared" si="117"/>
        <v>500000</v>
      </c>
      <c r="AF143" s="2770">
        <f t="shared" si="117"/>
        <v>500000</v>
      </c>
      <c r="AG143" s="2770">
        <f t="shared" si="117"/>
        <v>500000</v>
      </c>
      <c r="AH143" s="2770">
        <f t="shared" si="117"/>
        <v>500000</v>
      </c>
      <c r="AI143" s="2770">
        <f t="shared" si="117"/>
        <v>500000</v>
      </c>
      <c r="AJ143" s="2770">
        <f t="shared" si="117"/>
        <v>500000</v>
      </c>
      <c r="AK143" s="2770">
        <f t="shared" si="117"/>
        <v>500000</v>
      </c>
      <c r="AL143" s="2770">
        <f t="shared" si="117"/>
        <v>500000</v>
      </c>
      <c r="AM143" s="2770">
        <f t="shared" si="117"/>
        <v>500000</v>
      </c>
      <c r="AN143" s="2770">
        <f t="shared" si="117"/>
        <v>500000</v>
      </c>
      <c r="AO143" s="2770">
        <f t="shared" si="118"/>
        <v>500000</v>
      </c>
      <c r="AP143" s="2770">
        <f t="shared" si="118"/>
        <v>500000</v>
      </c>
      <c r="AQ143" s="2770">
        <f t="shared" si="118"/>
        <v>500000</v>
      </c>
      <c r="AR143" s="2770">
        <f t="shared" si="118"/>
        <v>500000</v>
      </c>
      <c r="AS143" s="2770">
        <f t="shared" si="118"/>
        <v>500000</v>
      </c>
      <c r="AT143" s="2770">
        <f t="shared" si="118"/>
        <v>500000</v>
      </c>
      <c r="AU143" s="2770">
        <f t="shared" si="118"/>
        <v>500000</v>
      </c>
      <c r="AV143" s="2694">
        <v>0</v>
      </c>
      <c r="AW143" s="2771"/>
      <c r="AX143" s="2759"/>
      <c r="AY143" s="2760"/>
      <c r="AZ143" s="2760"/>
      <c r="BA143" s="2760"/>
      <c r="BB143" s="2760"/>
      <c r="BC143" s="2760"/>
      <c r="BD143" s="2760"/>
      <c r="BE143" s="2760"/>
      <c r="BF143" s="2760"/>
      <c r="BG143" s="2760"/>
      <c r="BI143" s="2730"/>
      <c r="BJ143" s="2730"/>
    </row>
    <row r="144" spans="1:62" ht="18" hidden="1" outlineLevel="1" thickBot="1">
      <c r="A144" s="2801" t="s">
        <v>4157</v>
      </c>
      <c r="B144" s="2867" t="s">
        <v>4165</v>
      </c>
      <c r="C144" s="2763"/>
      <c r="D144" s="2764"/>
      <c r="E144" s="2764"/>
      <c r="F144" s="2769">
        <v>3063100</v>
      </c>
      <c r="G144" s="2770">
        <v>2942000</v>
      </c>
      <c r="H144" s="2770">
        <v>3500000</v>
      </c>
      <c r="I144" s="2770">
        <f t="shared" si="116"/>
        <v>3500000</v>
      </c>
      <c r="J144" s="2770">
        <f t="shared" si="116"/>
        <v>3500000</v>
      </c>
      <c r="K144" s="2770">
        <f t="shared" si="116"/>
        <v>3500000</v>
      </c>
      <c r="L144" s="2770">
        <f t="shared" si="116"/>
        <v>3500000</v>
      </c>
      <c r="M144" s="2770">
        <f t="shared" si="116"/>
        <v>3500000</v>
      </c>
      <c r="N144" s="2770">
        <f t="shared" si="116"/>
        <v>3500000</v>
      </c>
      <c r="O144" s="2770">
        <f t="shared" si="116"/>
        <v>3500000</v>
      </c>
      <c r="P144" s="2770">
        <f t="shared" si="116"/>
        <v>3500000</v>
      </c>
      <c r="Q144" s="2770">
        <f t="shared" si="116"/>
        <v>3500000</v>
      </c>
      <c r="R144" s="2770">
        <f t="shared" si="116"/>
        <v>3500000</v>
      </c>
      <c r="S144" s="2770">
        <f t="shared" si="116"/>
        <v>3500000</v>
      </c>
      <c r="T144" s="2770">
        <f t="shared" si="116"/>
        <v>3500000</v>
      </c>
      <c r="U144" s="2770">
        <f t="shared" si="116"/>
        <v>3500000</v>
      </c>
      <c r="V144" s="2770">
        <f t="shared" si="116"/>
        <v>3500000</v>
      </c>
      <c r="W144" s="2770">
        <f t="shared" si="116"/>
        <v>3500000</v>
      </c>
      <c r="X144" s="2770">
        <f t="shared" si="116"/>
        <v>3500000</v>
      </c>
      <c r="Y144" s="2770">
        <f t="shared" si="117"/>
        <v>3500000</v>
      </c>
      <c r="Z144" s="2770">
        <f t="shared" si="117"/>
        <v>3500000</v>
      </c>
      <c r="AA144" s="2770">
        <f t="shared" si="117"/>
        <v>3500000</v>
      </c>
      <c r="AB144" s="2770">
        <f t="shared" si="117"/>
        <v>3500000</v>
      </c>
      <c r="AC144" s="2770">
        <f t="shared" si="117"/>
        <v>3500000</v>
      </c>
      <c r="AD144" s="2770">
        <f t="shared" si="117"/>
        <v>3500000</v>
      </c>
      <c r="AE144" s="2770">
        <f t="shared" si="117"/>
        <v>3500000</v>
      </c>
      <c r="AF144" s="2770">
        <f t="shared" si="117"/>
        <v>3500000</v>
      </c>
      <c r="AG144" s="2770">
        <f t="shared" si="117"/>
        <v>3500000</v>
      </c>
      <c r="AH144" s="2770">
        <f t="shared" si="117"/>
        <v>3500000</v>
      </c>
      <c r="AI144" s="2770">
        <f t="shared" si="117"/>
        <v>3500000</v>
      </c>
      <c r="AJ144" s="2770">
        <f t="shared" si="117"/>
        <v>3500000</v>
      </c>
      <c r="AK144" s="2770">
        <f t="shared" si="117"/>
        <v>3500000</v>
      </c>
      <c r="AL144" s="2770">
        <f t="shared" si="117"/>
        <v>3500000</v>
      </c>
      <c r="AM144" s="2770">
        <f t="shared" si="117"/>
        <v>3500000</v>
      </c>
      <c r="AN144" s="2770">
        <f t="shared" si="117"/>
        <v>3500000</v>
      </c>
      <c r="AO144" s="2770">
        <f t="shared" si="118"/>
        <v>3500000</v>
      </c>
      <c r="AP144" s="2770">
        <f t="shared" si="118"/>
        <v>3500000</v>
      </c>
      <c r="AQ144" s="2770">
        <f t="shared" si="118"/>
        <v>3500000</v>
      </c>
      <c r="AR144" s="2770">
        <f t="shared" si="118"/>
        <v>3500000</v>
      </c>
      <c r="AS144" s="2770">
        <f t="shared" si="118"/>
        <v>3500000</v>
      </c>
      <c r="AT144" s="2770">
        <f t="shared" si="118"/>
        <v>3500000</v>
      </c>
      <c r="AU144" s="2770">
        <f t="shared" si="118"/>
        <v>3500000</v>
      </c>
      <c r="AV144" s="2694">
        <v>0</v>
      </c>
      <c r="AW144" s="2845"/>
      <c r="AX144" s="2759"/>
      <c r="AY144" s="2760"/>
      <c r="AZ144" s="2760"/>
      <c r="BA144" s="2760"/>
      <c r="BB144" s="2760"/>
      <c r="BC144" s="2760"/>
      <c r="BD144" s="2760"/>
      <c r="BE144" s="2760"/>
      <c r="BF144" s="2760"/>
      <c r="BG144" s="2760"/>
      <c r="BI144" s="2730"/>
      <c r="BJ144" s="2730"/>
    </row>
    <row r="145" spans="1:62" ht="18" hidden="1" outlineLevel="1" thickBot="1">
      <c r="A145" s="2801" t="s">
        <v>4159</v>
      </c>
      <c r="B145" s="2867" t="s">
        <v>4166</v>
      </c>
      <c r="C145" s="2763"/>
      <c r="D145" s="2764"/>
      <c r="E145" s="2764"/>
      <c r="F145" s="2769">
        <v>278000</v>
      </c>
      <c r="G145" s="2770">
        <v>373214</v>
      </c>
      <c r="H145" s="2770">
        <v>400000</v>
      </c>
      <c r="I145" s="2770">
        <f t="shared" si="116"/>
        <v>400000</v>
      </c>
      <c r="J145" s="2770">
        <f t="shared" si="116"/>
        <v>400000</v>
      </c>
      <c r="K145" s="2770">
        <f t="shared" si="116"/>
        <v>400000</v>
      </c>
      <c r="L145" s="2770">
        <f t="shared" si="116"/>
        <v>400000</v>
      </c>
      <c r="M145" s="2770">
        <f t="shared" si="116"/>
        <v>400000</v>
      </c>
      <c r="N145" s="2770">
        <f t="shared" si="116"/>
        <v>400000</v>
      </c>
      <c r="O145" s="2770">
        <f t="shared" si="116"/>
        <v>400000</v>
      </c>
      <c r="P145" s="2770">
        <f t="shared" si="116"/>
        <v>400000</v>
      </c>
      <c r="Q145" s="2770">
        <f t="shared" si="116"/>
        <v>400000</v>
      </c>
      <c r="R145" s="2770">
        <f t="shared" si="116"/>
        <v>400000</v>
      </c>
      <c r="S145" s="2770">
        <f t="shared" si="116"/>
        <v>400000</v>
      </c>
      <c r="T145" s="2770">
        <f t="shared" si="116"/>
        <v>400000</v>
      </c>
      <c r="U145" s="2770">
        <f t="shared" si="116"/>
        <v>400000</v>
      </c>
      <c r="V145" s="2770">
        <f t="shared" si="116"/>
        <v>400000</v>
      </c>
      <c r="W145" s="2770">
        <f t="shared" si="116"/>
        <v>400000</v>
      </c>
      <c r="X145" s="2770">
        <f t="shared" si="116"/>
        <v>400000</v>
      </c>
      <c r="Y145" s="2770">
        <f t="shared" si="117"/>
        <v>400000</v>
      </c>
      <c r="Z145" s="2770">
        <f t="shared" si="117"/>
        <v>400000</v>
      </c>
      <c r="AA145" s="2770">
        <f t="shared" si="117"/>
        <v>400000</v>
      </c>
      <c r="AB145" s="2770">
        <f t="shared" si="117"/>
        <v>400000</v>
      </c>
      <c r="AC145" s="2770">
        <f t="shared" si="117"/>
        <v>400000</v>
      </c>
      <c r="AD145" s="2770">
        <f t="shared" si="117"/>
        <v>400000</v>
      </c>
      <c r="AE145" s="2770">
        <f t="shared" si="117"/>
        <v>400000</v>
      </c>
      <c r="AF145" s="2770">
        <f t="shared" si="117"/>
        <v>400000</v>
      </c>
      <c r="AG145" s="2770">
        <f t="shared" si="117"/>
        <v>400000</v>
      </c>
      <c r="AH145" s="2770">
        <f t="shared" si="117"/>
        <v>400000</v>
      </c>
      <c r="AI145" s="2770">
        <f t="shared" si="117"/>
        <v>400000</v>
      </c>
      <c r="AJ145" s="2770">
        <f t="shared" si="117"/>
        <v>400000</v>
      </c>
      <c r="AK145" s="2770">
        <f t="shared" si="117"/>
        <v>400000</v>
      </c>
      <c r="AL145" s="2770">
        <f t="shared" si="117"/>
        <v>400000</v>
      </c>
      <c r="AM145" s="2770">
        <f t="shared" si="117"/>
        <v>400000</v>
      </c>
      <c r="AN145" s="2770">
        <f t="shared" si="117"/>
        <v>400000</v>
      </c>
      <c r="AO145" s="2770">
        <f t="shared" si="118"/>
        <v>400000</v>
      </c>
      <c r="AP145" s="2770">
        <f t="shared" si="118"/>
        <v>400000</v>
      </c>
      <c r="AQ145" s="2770">
        <f t="shared" si="118"/>
        <v>400000</v>
      </c>
      <c r="AR145" s="2770">
        <f t="shared" si="118"/>
        <v>400000</v>
      </c>
      <c r="AS145" s="2770">
        <f t="shared" si="118"/>
        <v>400000</v>
      </c>
      <c r="AT145" s="2770">
        <f t="shared" si="118"/>
        <v>400000</v>
      </c>
      <c r="AU145" s="2770">
        <f t="shared" si="118"/>
        <v>400000</v>
      </c>
      <c r="AV145" s="2694">
        <v>0</v>
      </c>
      <c r="AW145" s="2845"/>
      <c r="AX145" s="2759"/>
      <c r="AY145" s="2760"/>
      <c r="AZ145" s="2760"/>
      <c r="BA145" s="2760"/>
      <c r="BB145" s="2760"/>
      <c r="BC145" s="2760"/>
      <c r="BD145" s="2760"/>
      <c r="BE145" s="2760"/>
      <c r="BF145" s="2760"/>
      <c r="BG145" s="2760"/>
      <c r="BI145" s="2730"/>
      <c r="BJ145" s="2730"/>
    </row>
    <row r="146" spans="1:62" ht="18" hidden="1" outlineLevel="1" thickBot="1">
      <c r="A146" s="2823" t="s">
        <v>4084</v>
      </c>
      <c r="B146" s="2810"/>
      <c r="C146" s="2811"/>
      <c r="D146" s="2792"/>
      <c r="E146" s="2792"/>
      <c r="F146" s="2794">
        <f t="shared" ref="F146:AU146" si="119">SUM(F147:F152)</f>
        <v>150685500</v>
      </c>
      <c r="G146" s="2794">
        <f t="shared" si="119"/>
        <v>154766055</v>
      </c>
      <c r="H146" s="2794">
        <f t="shared" ca="1" si="119"/>
        <v>165346713.80199999</v>
      </c>
      <c r="I146" s="2794">
        <f t="shared" ca="1" si="119"/>
        <v>155602109.14578</v>
      </c>
      <c r="J146" s="2794">
        <f t="shared" ca="1" si="119"/>
        <v>155360134.45849699</v>
      </c>
      <c r="K146" s="2794">
        <f t="shared" ca="1" si="119"/>
        <v>159351081.59336197</v>
      </c>
      <c r="L146" s="2794">
        <f t="shared" ca="1" si="119"/>
        <v>163411366.4809784</v>
      </c>
      <c r="M146" s="2794">
        <f t="shared" ca="1" si="119"/>
        <v>167541976.7816878</v>
      </c>
      <c r="N146" s="2794">
        <f t="shared" ca="1" si="119"/>
        <v>171743912.9752633</v>
      </c>
      <c r="O146" s="2794">
        <f t="shared" ca="1" si="119"/>
        <v>176018188.51853216</v>
      </c>
      <c r="P146" s="2794">
        <f t="shared" ca="1" si="119"/>
        <v>180365830.00486887</v>
      </c>
      <c r="Q146" s="2794">
        <f t="shared" ca="1" si="119"/>
        <v>184787877.32558042</v>
      </c>
      <c r="R146" s="2794">
        <f t="shared" ca="1" si="119"/>
        <v>189285383.83320576</v>
      </c>
      <c r="S146" s="2794">
        <f t="shared" ca="1" si="119"/>
        <v>191947419.79562309</v>
      </c>
      <c r="T146" s="2794">
        <f t="shared" ca="1" si="119"/>
        <v>194648822.76240546</v>
      </c>
      <c r="U146" s="2794">
        <f t="shared" ca="1" si="119"/>
        <v>197390113.8700439</v>
      </c>
      <c r="V146" s="2794">
        <f t="shared" ca="1" si="119"/>
        <v>200171820.74105892</v>
      </c>
      <c r="W146" s="2794">
        <f t="shared" ca="1" si="119"/>
        <v>202994477.56160718</v>
      </c>
      <c r="X146" s="2794">
        <f t="shared" ca="1" si="119"/>
        <v>205858625.15999234</v>
      </c>
      <c r="Y146" s="2794">
        <f t="shared" ca="1" si="119"/>
        <v>208764811.08608902</v>
      </c>
      <c r="Z146" s="2794">
        <f t="shared" ca="1" si="119"/>
        <v>211713589.69169161</v>
      </c>
      <c r="AA146" s="2794">
        <f t="shared" ca="1" si="119"/>
        <v>214705522.21179765</v>
      </c>
      <c r="AB146" s="2794">
        <f t="shared" ca="1" si="119"/>
        <v>217741176.84683669</v>
      </c>
      <c r="AC146" s="2794">
        <f t="shared" ca="1" si="119"/>
        <v>220821128.8458553</v>
      </c>
      <c r="AD146" s="2794">
        <f t="shared" ca="1" si="119"/>
        <v>223945960.59066963</v>
      </c>
      <c r="AE146" s="2794">
        <f t="shared" ca="1" si="119"/>
        <v>227116261.68099564</v>
      </c>
      <c r="AF146" s="2794">
        <f t="shared" ca="1" si="119"/>
        <v>230332629.02056909</v>
      </c>
      <c r="AG146" s="2794">
        <f t="shared" ca="1" si="119"/>
        <v>233595666.90426585</v>
      </c>
      <c r="AH146" s="2794">
        <f t="shared" ca="1" si="119"/>
        <v>236905987.10623458</v>
      </c>
      <c r="AI146" s="2794">
        <f t="shared" ca="1" si="119"/>
        <v>240264208.9690522</v>
      </c>
      <c r="AJ146" s="2794">
        <f t="shared" ca="1" si="119"/>
        <v>243670959.49391562</v>
      </c>
      <c r="AK146" s="2794">
        <f t="shared" ca="1" si="119"/>
        <v>247126873.43187931</v>
      </c>
      <c r="AL146" s="2794">
        <f t="shared" ca="1" si="119"/>
        <v>250632593.37615296</v>
      </c>
      <c r="AM146" s="2794">
        <f t="shared" ca="1" si="119"/>
        <v>254188769.85546887</v>
      </c>
      <c r="AN146" s="2794">
        <f t="shared" ca="1" si="119"/>
        <v>257796061.42853349</v>
      </c>
      <c r="AO146" s="2794">
        <f t="shared" ca="1" si="119"/>
        <v>261455134.7795738</v>
      </c>
      <c r="AP146" s="2794">
        <f t="shared" ca="1" si="119"/>
        <v>265166664.81499216</v>
      </c>
      <c r="AQ146" s="2794">
        <f t="shared" ca="1" si="119"/>
        <v>268931334.76114088</v>
      </c>
      <c r="AR146" s="2794">
        <f t="shared" ca="1" si="119"/>
        <v>272749836.26323104</v>
      </c>
      <c r="AS146" s="2794">
        <f t="shared" ca="1" si="119"/>
        <v>276622869.48538691</v>
      </c>
      <c r="AT146" s="2794">
        <f t="shared" ca="1" si="119"/>
        <v>280551143.21185964</v>
      </c>
      <c r="AU146" s="2794">
        <f t="shared" ca="1" si="119"/>
        <v>284535374.94941324</v>
      </c>
      <c r="AV146" s="2694">
        <v>0</v>
      </c>
      <c r="AW146" s="2845"/>
      <c r="AX146" s="2759"/>
      <c r="AY146" s="2760"/>
      <c r="AZ146" s="2760"/>
      <c r="BA146" s="2760"/>
      <c r="BB146" s="2760"/>
      <c r="BC146" s="2760"/>
      <c r="BD146" s="2760"/>
      <c r="BE146" s="2760"/>
      <c r="BF146" s="2760"/>
      <c r="BG146" s="2760"/>
      <c r="BI146" s="2730"/>
      <c r="BJ146" s="2730"/>
    </row>
    <row r="147" spans="1:62" ht="18" hidden="1" outlineLevel="1" thickBot="1">
      <c r="A147" s="2767" t="s">
        <v>4167</v>
      </c>
      <c r="B147" s="2826" t="s">
        <v>4168</v>
      </c>
      <c r="C147" s="2763"/>
      <c r="D147" s="2764">
        <v>1</v>
      </c>
      <c r="E147" s="2764"/>
      <c r="F147" s="2769">
        <f>50000*12</f>
        <v>600000</v>
      </c>
      <c r="G147" s="2868">
        <v>574230</v>
      </c>
      <c r="H147" s="2868">
        <v>600000</v>
      </c>
      <c r="I147" s="2868">
        <f t="shared" ref="I147:AU147" si="120">H147</f>
        <v>600000</v>
      </c>
      <c r="J147" s="2868">
        <f t="shared" si="120"/>
        <v>600000</v>
      </c>
      <c r="K147" s="2868">
        <f t="shared" si="120"/>
        <v>600000</v>
      </c>
      <c r="L147" s="2868">
        <f t="shared" si="120"/>
        <v>600000</v>
      </c>
      <c r="M147" s="2869">
        <f t="shared" si="120"/>
        <v>600000</v>
      </c>
      <c r="N147" s="2869">
        <f t="shared" si="120"/>
        <v>600000</v>
      </c>
      <c r="O147" s="2869">
        <f t="shared" si="120"/>
        <v>600000</v>
      </c>
      <c r="P147" s="2869">
        <f t="shared" si="120"/>
        <v>600000</v>
      </c>
      <c r="Q147" s="2869">
        <f t="shared" si="120"/>
        <v>600000</v>
      </c>
      <c r="R147" s="2869">
        <f t="shared" si="120"/>
        <v>600000</v>
      </c>
      <c r="S147" s="2869">
        <f t="shared" si="120"/>
        <v>600000</v>
      </c>
      <c r="T147" s="2869">
        <f t="shared" si="120"/>
        <v>600000</v>
      </c>
      <c r="U147" s="2869">
        <f t="shared" si="120"/>
        <v>600000</v>
      </c>
      <c r="V147" s="2869">
        <f t="shared" si="120"/>
        <v>600000</v>
      </c>
      <c r="W147" s="2869">
        <f t="shared" si="120"/>
        <v>600000</v>
      </c>
      <c r="X147" s="2869">
        <f t="shared" si="120"/>
        <v>600000</v>
      </c>
      <c r="Y147" s="2869">
        <f t="shared" si="120"/>
        <v>600000</v>
      </c>
      <c r="Z147" s="2869">
        <f t="shared" si="120"/>
        <v>600000</v>
      </c>
      <c r="AA147" s="2869">
        <f t="shared" si="120"/>
        <v>600000</v>
      </c>
      <c r="AB147" s="2869">
        <f t="shared" si="120"/>
        <v>600000</v>
      </c>
      <c r="AC147" s="2869">
        <f t="shared" si="120"/>
        <v>600000</v>
      </c>
      <c r="AD147" s="2869">
        <f t="shared" si="120"/>
        <v>600000</v>
      </c>
      <c r="AE147" s="2869">
        <f t="shared" si="120"/>
        <v>600000</v>
      </c>
      <c r="AF147" s="2869">
        <f t="shared" si="120"/>
        <v>600000</v>
      </c>
      <c r="AG147" s="2869">
        <f t="shared" si="120"/>
        <v>600000</v>
      </c>
      <c r="AH147" s="2869">
        <f t="shared" si="120"/>
        <v>600000</v>
      </c>
      <c r="AI147" s="2869">
        <f t="shared" si="120"/>
        <v>600000</v>
      </c>
      <c r="AJ147" s="2869">
        <f t="shared" si="120"/>
        <v>600000</v>
      </c>
      <c r="AK147" s="2869">
        <f t="shared" si="120"/>
        <v>600000</v>
      </c>
      <c r="AL147" s="2869">
        <f t="shared" si="120"/>
        <v>600000</v>
      </c>
      <c r="AM147" s="2869">
        <f t="shared" si="120"/>
        <v>600000</v>
      </c>
      <c r="AN147" s="2869">
        <f t="shared" si="120"/>
        <v>600000</v>
      </c>
      <c r="AO147" s="2869">
        <f t="shared" si="120"/>
        <v>600000</v>
      </c>
      <c r="AP147" s="2869">
        <f t="shared" si="120"/>
        <v>600000</v>
      </c>
      <c r="AQ147" s="2869">
        <f t="shared" si="120"/>
        <v>600000</v>
      </c>
      <c r="AR147" s="2869">
        <f t="shared" si="120"/>
        <v>600000</v>
      </c>
      <c r="AS147" s="2869">
        <f t="shared" si="120"/>
        <v>600000</v>
      </c>
      <c r="AT147" s="2869">
        <f t="shared" si="120"/>
        <v>600000</v>
      </c>
      <c r="AU147" s="2869">
        <f t="shared" si="120"/>
        <v>600000</v>
      </c>
      <c r="AV147" s="2694">
        <v>0</v>
      </c>
      <c r="AW147" s="2758"/>
      <c r="AX147" s="2759"/>
      <c r="AY147" s="2760"/>
      <c r="AZ147" s="2760"/>
      <c r="BA147" s="2760"/>
      <c r="BB147" s="2760"/>
      <c r="BC147" s="2760"/>
      <c r="BD147" s="2760"/>
      <c r="BE147" s="2760"/>
      <c r="BF147" s="2760"/>
      <c r="BG147" s="2760"/>
      <c r="BI147" s="2730"/>
      <c r="BJ147" s="2730"/>
    </row>
    <row r="148" spans="1:62" ht="18" hidden="1" outlineLevel="1" thickBot="1">
      <c r="A148" s="2775" t="s">
        <v>4169</v>
      </c>
      <c r="B148" s="2832" t="s">
        <v>4170</v>
      </c>
      <c r="C148" s="2777"/>
      <c r="D148" s="2778">
        <v>2</v>
      </c>
      <c r="E148" s="2778"/>
      <c r="F148" s="2779">
        <v>6217745</v>
      </c>
      <c r="G148" s="2779">
        <v>6316102</v>
      </c>
      <c r="H148" s="2779">
        <f t="shared" ref="H148:AU148" si="121">600000*12</f>
        <v>7200000</v>
      </c>
      <c r="I148" s="2779">
        <f t="shared" si="121"/>
        <v>7200000</v>
      </c>
      <c r="J148" s="2779">
        <f t="shared" si="121"/>
        <v>7200000</v>
      </c>
      <c r="K148" s="2779">
        <f t="shared" si="121"/>
        <v>7200000</v>
      </c>
      <c r="L148" s="2779">
        <f t="shared" si="121"/>
        <v>7200000</v>
      </c>
      <c r="M148" s="2779">
        <f t="shared" si="121"/>
        <v>7200000</v>
      </c>
      <c r="N148" s="2779">
        <f t="shared" si="121"/>
        <v>7200000</v>
      </c>
      <c r="O148" s="2779">
        <f t="shared" si="121"/>
        <v>7200000</v>
      </c>
      <c r="P148" s="2779">
        <f t="shared" si="121"/>
        <v>7200000</v>
      </c>
      <c r="Q148" s="2779">
        <f t="shared" si="121"/>
        <v>7200000</v>
      </c>
      <c r="R148" s="2779">
        <f t="shared" si="121"/>
        <v>7200000</v>
      </c>
      <c r="S148" s="2779">
        <f t="shared" si="121"/>
        <v>7200000</v>
      </c>
      <c r="T148" s="2779">
        <f t="shared" si="121"/>
        <v>7200000</v>
      </c>
      <c r="U148" s="2779">
        <f t="shared" si="121"/>
        <v>7200000</v>
      </c>
      <c r="V148" s="2779">
        <f t="shared" si="121"/>
        <v>7200000</v>
      </c>
      <c r="W148" s="2779">
        <f t="shared" si="121"/>
        <v>7200000</v>
      </c>
      <c r="X148" s="2779">
        <f t="shared" si="121"/>
        <v>7200000</v>
      </c>
      <c r="Y148" s="2779">
        <f t="shared" si="121"/>
        <v>7200000</v>
      </c>
      <c r="Z148" s="2779">
        <f t="shared" si="121"/>
        <v>7200000</v>
      </c>
      <c r="AA148" s="2779">
        <f t="shared" si="121"/>
        <v>7200000</v>
      </c>
      <c r="AB148" s="2779">
        <f t="shared" si="121"/>
        <v>7200000</v>
      </c>
      <c r="AC148" s="2779">
        <f t="shared" si="121"/>
        <v>7200000</v>
      </c>
      <c r="AD148" s="2779">
        <f t="shared" si="121"/>
        <v>7200000</v>
      </c>
      <c r="AE148" s="2779">
        <f t="shared" si="121"/>
        <v>7200000</v>
      </c>
      <c r="AF148" s="2779">
        <f t="shared" si="121"/>
        <v>7200000</v>
      </c>
      <c r="AG148" s="2779">
        <f t="shared" si="121"/>
        <v>7200000</v>
      </c>
      <c r="AH148" s="2779">
        <f t="shared" si="121"/>
        <v>7200000</v>
      </c>
      <c r="AI148" s="2779">
        <f t="shared" si="121"/>
        <v>7200000</v>
      </c>
      <c r="AJ148" s="2779">
        <f t="shared" si="121"/>
        <v>7200000</v>
      </c>
      <c r="AK148" s="2779">
        <f t="shared" si="121"/>
        <v>7200000</v>
      </c>
      <c r="AL148" s="2779">
        <f t="shared" si="121"/>
        <v>7200000</v>
      </c>
      <c r="AM148" s="2779">
        <f t="shared" si="121"/>
        <v>7200000</v>
      </c>
      <c r="AN148" s="2779">
        <f t="shared" si="121"/>
        <v>7200000</v>
      </c>
      <c r="AO148" s="2779">
        <f t="shared" si="121"/>
        <v>7200000</v>
      </c>
      <c r="AP148" s="2779">
        <f t="shared" si="121"/>
        <v>7200000</v>
      </c>
      <c r="AQ148" s="2779">
        <f t="shared" si="121"/>
        <v>7200000</v>
      </c>
      <c r="AR148" s="2779">
        <f t="shared" si="121"/>
        <v>7200000</v>
      </c>
      <c r="AS148" s="2779">
        <f t="shared" si="121"/>
        <v>7200000</v>
      </c>
      <c r="AT148" s="2779">
        <f t="shared" si="121"/>
        <v>7200000</v>
      </c>
      <c r="AU148" s="2779">
        <f t="shared" si="121"/>
        <v>7200000</v>
      </c>
      <c r="AV148" s="2694">
        <v>0</v>
      </c>
      <c r="AW148" s="2809"/>
      <c r="AX148" s="2759"/>
      <c r="AY148" s="2760"/>
      <c r="AZ148" s="2760"/>
      <c r="BA148" s="2760"/>
      <c r="BB148" s="2760"/>
      <c r="BC148" s="2760"/>
      <c r="BD148" s="2760"/>
      <c r="BE148" s="2760"/>
      <c r="BF148" s="2760"/>
      <c r="BG148" s="2760"/>
      <c r="BI148" s="2730"/>
      <c r="BJ148" s="2730"/>
    </row>
    <row r="149" spans="1:62" ht="18" hidden="1" outlineLevel="1" thickBot="1">
      <c r="A149" s="2767" t="s">
        <v>4171</v>
      </c>
      <c r="B149" s="2826"/>
      <c r="C149" s="2763"/>
      <c r="D149" s="2764">
        <v>1</v>
      </c>
      <c r="E149" s="2764"/>
      <c r="F149" s="2769"/>
      <c r="G149" s="2868">
        <v>0</v>
      </c>
      <c r="H149" s="2868">
        <f t="shared" ref="H149:AU149" si="122">G149</f>
        <v>0</v>
      </c>
      <c r="I149" s="2868">
        <f t="shared" si="122"/>
        <v>0</v>
      </c>
      <c r="J149" s="2868">
        <f t="shared" si="122"/>
        <v>0</v>
      </c>
      <c r="K149" s="2868">
        <f t="shared" si="122"/>
        <v>0</v>
      </c>
      <c r="L149" s="2868">
        <f t="shared" si="122"/>
        <v>0</v>
      </c>
      <c r="M149" s="2869">
        <f t="shared" si="122"/>
        <v>0</v>
      </c>
      <c r="N149" s="2869">
        <f t="shared" si="122"/>
        <v>0</v>
      </c>
      <c r="O149" s="2869">
        <f t="shared" si="122"/>
        <v>0</v>
      </c>
      <c r="P149" s="2869">
        <f t="shared" si="122"/>
        <v>0</v>
      </c>
      <c r="Q149" s="2869">
        <f t="shared" si="122"/>
        <v>0</v>
      </c>
      <c r="R149" s="2869">
        <f t="shared" si="122"/>
        <v>0</v>
      </c>
      <c r="S149" s="2869">
        <f t="shared" si="122"/>
        <v>0</v>
      </c>
      <c r="T149" s="2869">
        <f t="shared" si="122"/>
        <v>0</v>
      </c>
      <c r="U149" s="2869">
        <f t="shared" si="122"/>
        <v>0</v>
      </c>
      <c r="V149" s="2869">
        <f t="shared" si="122"/>
        <v>0</v>
      </c>
      <c r="W149" s="2869">
        <f t="shared" si="122"/>
        <v>0</v>
      </c>
      <c r="X149" s="2869">
        <f t="shared" si="122"/>
        <v>0</v>
      </c>
      <c r="Y149" s="2869">
        <f t="shared" si="122"/>
        <v>0</v>
      </c>
      <c r="Z149" s="2869">
        <f t="shared" si="122"/>
        <v>0</v>
      </c>
      <c r="AA149" s="2869">
        <f t="shared" si="122"/>
        <v>0</v>
      </c>
      <c r="AB149" s="2869">
        <f t="shared" si="122"/>
        <v>0</v>
      </c>
      <c r="AC149" s="2869">
        <f t="shared" si="122"/>
        <v>0</v>
      </c>
      <c r="AD149" s="2869">
        <f t="shared" si="122"/>
        <v>0</v>
      </c>
      <c r="AE149" s="2869">
        <f t="shared" si="122"/>
        <v>0</v>
      </c>
      <c r="AF149" s="2869">
        <f t="shared" si="122"/>
        <v>0</v>
      </c>
      <c r="AG149" s="2869">
        <f t="shared" si="122"/>
        <v>0</v>
      </c>
      <c r="AH149" s="2869">
        <f t="shared" si="122"/>
        <v>0</v>
      </c>
      <c r="AI149" s="2869">
        <f t="shared" si="122"/>
        <v>0</v>
      </c>
      <c r="AJ149" s="2869">
        <f t="shared" si="122"/>
        <v>0</v>
      </c>
      <c r="AK149" s="2869">
        <f t="shared" si="122"/>
        <v>0</v>
      </c>
      <c r="AL149" s="2869">
        <f t="shared" si="122"/>
        <v>0</v>
      </c>
      <c r="AM149" s="2869">
        <f t="shared" si="122"/>
        <v>0</v>
      </c>
      <c r="AN149" s="2869">
        <f t="shared" si="122"/>
        <v>0</v>
      </c>
      <c r="AO149" s="2869">
        <f t="shared" si="122"/>
        <v>0</v>
      </c>
      <c r="AP149" s="2869">
        <f t="shared" si="122"/>
        <v>0</v>
      </c>
      <c r="AQ149" s="2869">
        <f t="shared" si="122"/>
        <v>0</v>
      </c>
      <c r="AR149" s="2869">
        <f t="shared" si="122"/>
        <v>0</v>
      </c>
      <c r="AS149" s="2869">
        <f t="shared" si="122"/>
        <v>0</v>
      </c>
      <c r="AT149" s="2869">
        <f t="shared" si="122"/>
        <v>0</v>
      </c>
      <c r="AU149" s="2869">
        <f t="shared" si="122"/>
        <v>0</v>
      </c>
      <c r="AV149" s="2694">
        <v>0</v>
      </c>
      <c r="AW149" s="2809"/>
      <c r="AX149" s="2759"/>
      <c r="AY149" s="2760"/>
      <c r="AZ149" s="2760"/>
      <c r="BA149" s="2760"/>
      <c r="BB149" s="2760"/>
      <c r="BC149" s="2760"/>
      <c r="BD149" s="2760"/>
      <c r="BE149" s="2760"/>
      <c r="BF149" s="2760"/>
      <c r="BG149" s="2760"/>
      <c r="BI149" s="2730"/>
      <c r="BJ149" s="2730"/>
    </row>
    <row r="150" spans="1:62" ht="18" hidden="1" outlineLevel="1" thickBot="1">
      <c r="A150" s="2775" t="s">
        <v>4172</v>
      </c>
      <c r="B150" s="2870" t="s">
        <v>4173</v>
      </c>
      <c r="C150" s="2871">
        <v>0.01</v>
      </c>
      <c r="D150" s="2778">
        <v>2</v>
      </c>
      <c r="E150" s="2872"/>
      <c r="F150" s="2873">
        <v>18647400</v>
      </c>
      <c r="G150" s="2873">
        <v>14061397</v>
      </c>
      <c r="H150" s="2873">
        <f t="shared" ref="H150:AU150" si="123">G150*(1+$C$150)</f>
        <v>14202010.970000001</v>
      </c>
      <c r="I150" s="2873">
        <f t="shared" si="123"/>
        <v>14344031.079700001</v>
      </c>
      <c r="J150" s="2873">
        <f t="shared" si="123"/>
        <v>14487471.390497001</v>
      </c>
      <c r="K150" s="2873">
        <f t="shared" si="123"/>
        <v>14632346.10440197</v>
      </c>
      <c r="L150" s="2873">
        <f t="shared" si="123"/>
        <v>14778669.565445989</v>
      </c>
      <c r="M150" s="2874">
        <f t="shared" si="123"/>
        <v>14926456.261100449</v>
      </c>
      <c r="N150" s="2874">
        <f t="shared" si="123"/>
        <v>15075720.823711453</v>
      </c>
      <c r="O150" s="2874">
        <f t="shared" si="123"/>
        <v>15226478.031948568</v>
      </c>
      <c r="P150" s="2874">
        <f t="shared" si="123"/>
        <v>15378742.812268054</v>
      </c>
      <c r="Q150" s="2874">
        <f t="shared" si="123"/>
        <v>15532530.240390735</v>
      </c>
      <c r="R150" s="2874">
        <f t="shared" si="123"/>
        <v>15687855.542794643</v>
      </c>
      <c r="S150" s="2874">
        <f t="shared" si="123"/>
        <v>15844734.098222589</v>
      </c>
      <c r="T150" s="2874">
        <f t="shared" si="123"/>
        <v>16003181.439204816</v>
      </c>
      <c r="U150" s="2874">
        <f t="shared" si="123"/>
        <v>16163213.253596865</v>
      </c>
      <c r="V150" s="2874">
        <f t="shared" si="123"/>
        <v>16324845.386132833</v>
      </c>
      <c r="W150" s="2874">
        <f t="shared" si="123"/>
        <v>16488093.83999416</v>
      </c>
      <c r="X150" s="2874">
        <f t="shared" si="123"/>
        <v>16652974.778394103</v>
      </c>
      <c r="Y150" s="2874">
        <f t="shared" si="123"/>
        <v>16819504.526178043</v>
      </c>
      <c r="Z150" s="2874">
        <f t="shared" si="123"/>
        <v>16987699.571439825</v>
      </c>
      <c r="AA150" s="2874">
        <f t="shared" si="123"/>
        <v>17157576.567154225</v>
      </c>
      <c r="AB150" s="2874">
        <f t="shared" si="123"/>
        <v>17329152.332825769</v>
      </c>
      <c r="AC150" s="2874">
        <f t="shared" si="123"/>
        <v>17502443.856154028</v>
      </c>
      <c r="AD150" s="2874">
        <f t="shared" si="123"/>
        <v>17677468.294715568</v>
      </c>
      <c r="AE150" s="2874">
        <f t="shared" si="123"/>
        <v>17854242.977662724</v>
      </c>
      <c r="AF150" s="2874">
        <f t="shared" si="123"/>
        <v>18032785.407439351</v>
      </c>
      <c r="AG150" s="2874">
        <f t="shared" si="123"/>
        <v>18213113.261513744</v>
      </c>
      <c r="AH150" s="2874">
        <f t="shared" si="123"/>
        <v>18395244.394128881</v>
      </c>
      <c r="AI150" s="2874">
        <f t="shared" si="123"/>
        <v>18579196.838070169</v>
      </c>
      <c r="AJ150" s="2874">
        <f t="shared" si="123"/>
        <v>18764988.80645087</v>
      </c>
      <c r="AK150" s="2874">
        <f t="shared" si="123"/>
        <v>18952638.694515377</v>
      </c>
      <c r="AL150" s="2874">
        <f t="shared" si="123"/>
        <v>19142165.081460532</v>
      </c>
      <c r="AM150" s="2874">
        <f t="shared" si="123"/>
        <v>19333586.732275136</v>
      </c>
      <c r="AN150" s="2874">
        <f t="shared" si="123"/>
        <v>19526922.599597886</v>
      </c>
      <c r="AO150" s="2874">
        <f t="shared" si="123"/>
        <v>19722191.825593866</v>
      </c>
      <c r="AP150" s="2874">
        <f t="shared" si="123"/>
        <v>19919413.743849806</v>
      </c>
      <c r="AQ150" s="2874">
        <f t="shared" si="123"/>
        <v>20118607.881288305</v>
      </c>
      <c r="AR150" s="2874">
        <f t="shared" si="123"/>
        <v>20319793.960101187</v>
      </c>
      <c r="AS150" s="2874">
        <f t="shared" si="123"/>
        <v>20522991.899702199</v>
      </c>
      <c r="AT150" s="2874">
        <f t="shared" si="123"/>
        <v>20728221.818699222</v>
      </c>
      <c r="AU150" s="2874">
        <f t="shared" si="123"/>
        <v>20935504.036886215</v>
      </c>
      <c r="AV150" s="2694">
        <v>0</v>
      </c>
      <c r="AW150" s="2809"/>
      <c r="AX150" s="2875"/>
      <c r="AY150" s="2760"/>
      <c r="AZ150" s="2760"/>
      <c r="BA150" s="2760"/>
      <c r="BB150" s="2760"/>
      <c r="BC150" s="2760"/>
      <c r="BD150" s="2760"/>
      <c r="BE150" s="2760"/>
      <c r="BF150" s="2760"/>
      <c r="BG150" s="2760"/>
      <c r="BI150" s="2730"/>
      <c r="BJ150" s="2730"/>
    </row>
    <row r="151" spans="1:62" ht="18" hidden="1" outlineLevel="1" thickBot="1">
      <c r="A151" s="2775" t="s">
        <v>4174</v>
      </c>
      <c r="B151" s="2870" t="s">
        <v>4175</v>
      </c>
      <c r="C151" s="2871">
        <v>0.01</v>
      </c>
      <c r="D151" s="2778">
        <v>2</v>
      </c>
      <c r="E151" s="2872"/>
      <c r="F151" s="2779">
        <v>18421910</v>
      </c>
      <c r="G151" s="2873">
        <v>18748235</v>
      </c>
      <c r="H151" s="2873">
        <f t="shared" ref="H151:AU151" si="124">G151</f>
        <v>18748235</v>
      </c>
      <c r="I151" s="2873">
        <f t="shared" si="124"/>
        <v>18748235</v>
      </c>
      <c r="J151" s="2873">
        <f t="shared" si="124"/>
        <v>18748235</v>
      </c>
      <c r="K151" s="2873">
        <f t="shared" si="124"/>
        <v>18748235</v>
      </c>
      <c r="L151" s="2873">
        <f t="shared" si="124"/>
        <v>18748235</v>
      </c>
      <c r="M151" s="2874">
        <f t="shared" si="124"/>
        <v>18748235</v>
      </c>
      <c r="N151" s="2874">
        <f t="shared" si="124"/>
        <v>18748235</v>
      </c>
      <c r="O151" s="2874">
        <f t="shared" si="124"/>
        <v>18748235</v>
      </c>
      <c r="P151" s="2874">
        <f t="shared" si="124"/>
        <v>18748235</v>
      </c>
      <c r="Q151" s="2874">
        <f t="shared" si="124"/>
        <v>18748235</v>
      </c>
      <c r="R151" s="2874">
        <f t="shared" si="124"/>
        <v>18748235</v>
      </c>
      <c r="S151" s="2874">
        <f t="shared" si="124"/>
        <v>18748235</v>
      </c>
      <c r="T151" s="2874">
        <f t="shared" si="124"/>
        <v>18748235</v>
      </c>
      <c r="U151" s="2874">
        <f t="shared" si="124"/>
        <v>18748235</v>
      </c>
      <c r="V151" s="2874">
        <f t="shared" si="124"/>
        <v>18748235</v>
      </c>
      <c r="W151" s="2874">
        <f t="shared" si="124"/>
        <v>18748235</v>
      </c>
      <c r="X151" s="2874">
        <f t="shared" si="124"/>
        <v>18748235</v>
      </c>
      <c r="Y151" s="2874">
        <f t="shared" si="124"/>
        <v>18748235</v>
      </c>
      <c r="Z151" s="2874">
        <f t="shared" si="124"/>
        <v>18748235</v>
      </c>
      <c r="AA151" s="2874">
        <f t="shared" si="124"/>
        <v>18748235</v>
      </c>
      <c r="AB151" s="2874">
        <f t="shared" si="124"/>
        <v>18748235</v>
      </c>
      <c r="AC151" s="2874">
        <f t="shared" si="124"/>
        <v>18748235</v>
      </c>
      <c r="AD151" s="2874">
        <f t="shared" si="124"/>
        <v>18748235</v>
      </c>
      <c r="AE151" s="2874">
        <f t="shared" si="124"/>
        <v>18748235</v>
      </c>
      <c r="AF151" s="2874">
        <f t="shared" si="124"/>
        <v>18748235</v>
      </c>
      <c r="AG151" s="2874">
        <f t="shared" si="124"/>
        <v>18748235</v>
      </c>
      <c r="AH151" s="2874">
        <f t="shared" si="124"/>
        <v>18748235</v>
      </c>
      <c r="AI151" s="2874">
        <f t="shared" si="124"/>
        <v>18748235</v>
      </c>
      <c r="AJ151" s="2874">
        <f t="shared" si="124"/>
        <v>18748235</v>
      </c>
      <c r="AK151" s="2874">
        <f t="shared" si="124"/>
        <v>18748235</v>
      </c>
      <c r="AL151" s="2874">
        <f t="shared" si="124"/>
        <v>18748235</v>
      </c>
      <c r="AM151" s="2874">
        <f t="shared" si="124"/>
        <v>18748235</v>
      </c>
      <c r="AN151" s="2874">
        <f t="shared" si="124"/>
        <v>18748235</v>
      </c>
      <c r="AO151" s="2874">
        <f t="shared" si="124"/>
        <v>18748235</v>
      </c>
      <c r="AP151" s="2874">
        <f t="shared" si="124"/>
        <v>18748235</v>
      </c>
      <c r="AQ151" s="2874">
        <f t="shared" si="124"/>
        <v>18748235</v>
      </c>
      <c r="AR151" s="2874">
        <f t="shared" si="124"/>
        <v>18748235</v>
      </c>
      <c r="AS151" s="2874">
        <f t="shared" si="124"/>
        <v>18748235</v>
      </c>
      <c r="AT151" s="2874">
        <f t="shared" si="124"/>
        <v>18748235</v>
      </c>
      <c r="AU151" s="2874">
        <f t="shared" si="124"/>
        <v>18748235</v>
      </c>
      <c r="AV151" s="2694">
        <v>0</v>
      </c>
      <c r="AW151" s="2876"/>
      <c r="AX151" s="2875"/>
      <c r="AY151" s="2760"/>
      <c r="AZ151" s="2760"/>
      <c r="BA151" s="2760"/>
      <c r="BB151" s="2760"/>
      <c r="BC151" s="2760"/>
      <c r="BD151" s="2760"/>
      <c r="BE151" s="2760"/>
      <c r="BF151" s="2760"/>
      <c r="BG151" s="2760"/>
      <c r="BI151" s="2730"/>
      <c r="BJ151" s="2730"/>
    </row>
    <row r="152" spans="1:62" ht="18" hidden="1" outlineLevel="1" thickBot="1">
      <c r="A152" s="2877" t="s">
        <v>4176</v>
      </c>
      <c r="B152" s="2826" t="s">
        <v>4177</v>
      </c>
      <c r="C152" s="2763">
        <v>280</v>
      </c>
      <c r="D152" s="2764">
        <v>1</v>
      </c>
      <c r="E152" s="2764"/>
      <c r="F152" s="2769">
        <v>106798445</v>
      </c>
      <c r="G152" s="2769">
        <v>115066091</v>
      </c>
      <c r="H152" s="2769">
        <f t="shared" ref="H152:AU152" ca="1" si="125">$C$152*H3*(1+$C$151)^(H2-$F$2)+24000000</f>
        <v>124596467.832</v>
      </c>
      <c r="I152" s="2769">
        <f t="shared" ca="1" si="125"/>
        <v>114709843.06607999</v>
      </c>
      <c r="J152" s="2769">
        <f t="shared" ca="1" si="125"/>
        <v>114324428.068</v>
      </c>
      <c r="K152" s="2769">
        <f t="shared" ca="1" si="125"/>
        <v>118170500.48896</v>
      </c>
      <c r="L152" s="2769">
        <f t="shared" ca="1" si="125"/>
        <v>122084461.91553241</v>
      </c>
      <c r="M152" s="2769">
        <f t="shared" ca="1" si="125"/>
        <v>126067285.52058734</v>
      </c>
      <c r="N152" s="2769">
        <f t="shared" ca="1" si="125"/>
        <v>130119957.15155186</v>
      </c>
      <c r="O152" s="2769">
        <f t="shared" ca="1" si="125"/>
        <v>134243475.48658359</v>
      </c>
      <c r="P152" s="2769">
        <f t="shared" ca="1" si="125"/>
        <v>138438852.19260082</v>
      </c>
      <c r="Q152" s="2769">
        <f t="shared" ca="1" si="125"/>
        <v>142707112.0851897</v>
      </c>
      <c r="R152" s="2769">
        <f t="shared" ca="1" si="125"/>
        <v>147049293.29041111</v>
      </c>
      <c r="S152" s="2769">
        <f t="shared" ca="1" si="125"/>
        <v>149554450.69740051</v>
      </c>
      <c r="T152" s="2769">
        <f t="shared" ca="1" si="125"/>
        <v>152097406.32320064</v>
      </c>
      <c r="U152" s="2769">
        <f t="shared" ca="1" si="125"/>
        <v>154678665.61644703</v>
      </c>
      <c r="V152" s="2769">
        <f t="shared" ca="1" si="125"/>
        <v>157298740.35492608</v>
      </c>
      <c r="W152" s="2769">
        <f t="shared" ca="1" si="125"/>
        <v>159958148.72161302</v>
      </c>
      <c r="X152" s="2769">
        <f t="shared" ca="1" si="125"/>
        <v>162657415.38159823</v>
      </c>
      <c r="Y152" s="2769">
        <f t="shared" ca="1" si="125"/>
        <v>165397071.55991095</v>
      </c>
      <c r="Z152" s="2769">
        <f t="shared" ca="1" si="125"/>
        <v>168177655.12025177</v>
      </c>
      <c r="AA152" s="2769">
        <f t="shared" ca="1" si="125"/>
        <v>170999710.64464343</v>
      </c>
      <c r="AB152" s="2769">
        <f t="shared" ca="1" si="125"/>
        <v>173863789.51401094</v>
      </c>
      <c r="AC152" s="2769">
        <f t="shared" ca="1" si="125"/>
        <v>176770449.98970127</v>
      </c>
      <c r="AD152" s="2769">
        <f t="shared" ca="1" si="125"/>
        <v>179720257.29595405</v>
      </c>
      <c r="AE152" s="2769">
        <f t="shared" ca="1" si="125"/>
        <v>182713783.7033329</v>
      </c>
      <c r="AF152" s="2769">
        <f t="shared" ca="1" si="125"/>
        <v>185751608.61312973</v>
      </c>
      <c r="AG152" s="2769">
        <f t="shared" ca="1" si="125"/>
        <v>188834318.64275211</v>
      </c>
      <c r="AH152" s="2769">
        <f t="shared" ca="1" si="125"/>
        <v>191962507.71210569</v>
      </c>
      <c r="AI152" s="2769">
        <f t="shared" ca="1" si="125"/>
        <v>195136777.13098204</v>
      </c>
      <c r="AJ152" s="2769">
        <f t="shared" ca="1" si="125"/>
        <v>198357735.68746474</v>
      </c>
      <c r="AK152" s="2769">
        <f t="shared" ca="1" si="125"/>
        <v>201625999.73736393</v>
      </c>
      <c r="AL152" s="2769">
        <f t="shared" ca="1" si="125"/>
        <v>204942193.29469243</v>
      </c>
      <c r="AM152" s="2769">
        <f t="shared" ca="1" si="125"/>
        <v>208306948.12319374</v>
      </c>
      <c r="AN152" s="2769">
        <f t="shared" ca="1" si="125"/>
        <v>211720903.82893562</v>
      </c>
      <c r="AO152" s="2769">
        <f t="shared" ca="1" si="125"/>
        <v>215184707.95397994</v>
      </c>
      <c r="AP152" s="2769">
        <f t="shared" ca="1" si="125"/>
        <v>218699016.07114235</v>
      </c>
      <c r="AQ152" s="2769">
        <f t="shared" ca="1" si="125"/>
        <v>222264491.87985256</v>
      </c>
      <c r="AR152" s="2769">
        <f t="shared" ca="1" si="125"/>
        <v>225881807.30312988</v>
      </c>
      <c r="AS152" s="2769">
        <f t="shared" ca="1" si="125"/>
        <v>229551642.58568472</v>
      </c>
      <c r="AT152" s="2769">
        <f t="shared" ca="1" si="125"/>
        <v>233274686.39316043</v>
      </c>
      <c r="AU152" s="2769">
        <f t="shared" ca="1" si="125"/>
        <v>237051635.91252702</v>
      </c>
      <c r="AV152" s="2694">
        <v>0</v>
      </c>
      <c r="AW152" s="2876"/>
      <c r="AX152" s="2759"/>
      <c r="AY152" s="2760"/>
      <c r="AZ152" s="2760"/>
      <c r="BA152" s="2760"/>
      <c r="BB152" s="2760"/>
      <c r="BC152" s="2760"/>
      <c r="BD152" s="2760"/>
      <c r="BE152" s="2760"/>
      <c r="BF152" s="2760"/>
      <c r="BG152" s="2760"/>
      <c r="BI152" s="2730"/>
      <c r="BJ152" s="2730"/>
    </row>
    <row r="153" spans="1:62" ht="18" hidden="1" outlineLevel="1" thickBot="1">
      <c r="A153" s="2789" t="s">
        <v>4089</v>
      </c>
      <c r="B153" s="2878" t="s">
        <v>4134</v>
      </c>
      <c r="C153" s="2811">
        <v>100</v>
      </c>
      <c r="D153" s="2792">
        <v>1</v>
      </c>
      <c r="E153" s="2792"/>
      <c r="F153" s="2794">
        <v>806000</v>
      </c>
      <c r="G153" s="2794">
        <v>1863000</v>
      </c>
      <c r="H153" s="2794">
        <v>3600000</v>
      </c>
      <c r="I153" s="2879">
        <f t="shared" ref="I153:AU153" si="126">H153+$C$153*1000</f>
        <v>3700000</v>
      </c>
      <c r="J153" s="2879">
        <f t="shared" si="126"/>
        <v>3800000</v>
      </c>
      <c r="K153" s="2879">
        <f t="shared" si="126"/>
        <v>3900000</v>
      </c>
      <c r="L153" s="2879">
        <f t="shared" si="126"/>
        <v>4000000</v>
      </c>
      <c r="M153" s="2880">
        <f t="shared" si="126"/>
        <v>4100000</v>
      </c>
      <c r="N153" s="2880">
        <f t="shared" si="126"/>
        <v>4200000</v>
      </c>
      <c r="O153" s="2880">
        <f t="shared" si="126"/>
        <v>4300000</v>
      </c>
      <c r="P153" s="2880">
        <f t="shared" si="126"/>
        <v>4400000</v>
      </c>
      <c r="Q153" s="2880">
        <f t="shared" si="126"/>
        <v>4500000</v>
      </c>
      <c r="R153" s="2880">
        <f t="shared" si="126"/>
        <v>4600000</v>
      </c>
      <c r="S153" s="2880">
        <f t="shared" si="126"/>
        <v>4700000</v>
      </c>
      <c r="T153" s="2880">
        <f t="shared" si="126"/>
        <v>4800000</v>
      </c>
      <c r="U153" s="2880">
        <f t="shared" si="126"/>
        <v>4900000</v>
      </c>
      <c r="V153" s="2880">
        <f t="shared" si="126"/>
        <v>5000000</v>
      </c>
      <c r="W153" s="2880">
        <f t="shared" si="126"/>
        <v>5100000</v>
      </c>
      <c r="X153" s="2880">
        <f t="shared" si="126"/>
        <v>5200000</v>
      </c>
      <c r="Y153" s="2880">
        <f t="shared" si="126"/>
        <v>5300000</v>
      </c>
      <c r="Z153" s="2880">
        <f t="shared" si="126"/>
        <v>5400000</v>
      </c>
      <c r="AA153" s="2880">
        <f t="shared" si="126"/>
        <v>5500000</v>
      </c>
      <c r="AB153" s="2880">
        <f t="shared" si="126"/>
        <v>5600000</v>
      </c>
      <c r="AC153" s="2880">
        <f t="shared" si="126"/>
        <v>5700000</v>
      </c>
      <c r="AD153" s="2880">
        <f t="shared" si="126"/>
        <v>5800000</v>
      </c>
      <c r="AE153" s="2880">
        <f t="shared" si="126"/>
        <v>5900000</v>
      </c>
      <c r="AF153" s="2880">
        <f t="shared" si="126"/>
        <v>6000000</v>
      </c>
      <c r="AG153" s="2880">
        <f t="shared" si="126"/>
        <v>6100000</v>
      </c>
      <c r="AH153" s="2880">
        <f t="shared" si="126"/>
        <v>6200000</v>
      </c>
      <c r="AI153" s="2880">
        <f t="shared" si="126"/>
        <v>6300000</v>
      </c>
      <c r="AJ153" s="2880">
        <f t="shared" si="126"/>
        <v>6400000</v>
      </c>
      <c r="AK153" s="2880">
        <f t="shared" si="126"/>
        <v>6500000</v>
      </c>
      <c r="AL153" s="2880">
        <f t="shared" si="126"/>
        <v>6600000</v>
      </c>
      <c r="AM153" s="2880">
        <f t="shared" si="126"/>
        <v>6700000</v>
      </c>
      <c r="AN153" s="2880">
        <f t="shared" si="126"/>
        <v>6800000</v>
      </c>
      <c r="AO153" s="2880">
        <f t="shared" si="126"/>
        <v>6900000</v>
      </c>
      <c r="AP153" s="2880">
        <f t="shared" si="126"/>
        <v>7000000</v>
      </c>
      <c r="AQ153" s="2880">
        <f t="shared" si="126"/>
        <v>7100000</v>
      </c>
      <c r="AR153" s="2880">
        <f t="shared" si="126"/>
        <v>7200000</v>
      </c>
      <c r="AS153" s="2880">
        <f t="shared" si="126"/>
        <v>7300000</v>
      </c>
      <c r="AT153" s="2880">
        <f t="shared" si="126"/>
        <v>7400000</v>
      </c>
      <c r="AU153" s="2880">
        <f t="shared" si="126"/>
        <v>7500000</v>
      </c>
      <c r="AV153" s="2694">
        <v>0</v>
      </c>
      <c r="AW153" s="2809"/>
      <c r="AX153" s="2759"/>
      <c r="AY153" s="2774"/>
      <c r="AZ153" s="2774"/>
      <c r="BA153" s="2774"/>
      <c r="BB153" s="2774"/>
      <c r="BC153" s="2774"/>
      <c r="BD153" s="2774"/>
      <c r="BE153" s="2774"/>
      <c r="BF153" s="2774"/>
      <c r="BG153" s="2774"/>
      <c r="BI153" s="2730"/>
      <c r="BJ153" s="2730"/>
    </row>
    <row r="154" spans="1:62" ht="18" hidden="1" outlineLevel="1" thickBot="1">
      <c r="A154" s="2789" t="s">
        <v>4178</v>
      </c>
      <c r="B154" s="2824" t="s">
        <v>4179</v>
      </c>
      <c r="C154" s="2791">
        <v>0.01</v>
      </c>
      <c r="D154" s="2792">
        <v>1</v>
      </c>
      <c r="E154" s="2793"/>
      <c r="F154" s="2794">
        <v>500000</v>
      </c>
      <c r="G154" s="2879"/>
      <c r="H154" s="2879">
        <v>500000</v>
      </c>
      <c r="I154" s="2879">
        <f t="shared" ref="I154:AU154" si="127">H154*(1+$C$154)</f>
        <v>505000</v>
      </c>
      <c r="J154" s="2879">
        <f t="shared" si="127"/>
        <v>510050</v>
      </c>
      <c r="K154" s="2879">
        <f t="shared" si="127"/>
        <v>515150.5</v>
      </c>
      <c r="L154" s="2879">
        <f t="shared" si="127"/>
        <v>520302.005</v>
      </c>
      <c r="M154" s="2880">
        <f t="shared" si="127"/>
        <v>525505.02505000005</v>
      </c>
      <c r="N154" s="2880">
        <f t="shared" si="127"/>
        <v>530760.07530050003</v>
      </c>
      <c r="O154" s="2880">
        <f t="shared" si="127"/>
        <v>536067.67605350504</v>
      </c>
      <c r="P154" s="2880">
        <f t="shared" si="127"/>
        <v>541428.35281404015</v>
      </c>
      <c r="Q154" s="2880">
        <f t="shared" si="127"/>
        <v>546842.63634218054</v>
      </c>
      <c r="R154" s="2880">
        <f t="shared" si="127"/>
        <v>552311.06270560238</v>
      </c>
      <c r="S154" s="2880">
        <f t="shared" si="127"/>
        <v>557834.17333265836</v>
      </c>
      <c r="T154" s="2880">
        <f t="shared" si="127"/>
        <v>563412.51506598492</v>
      </c>
      <c r="U154" s="2880">
        <f t="shared" si="127"/>
        <v>569046.64021664474</v>
      </c>
      <c r="V154" s="2880">
        <f t="shared" si="127"/>
        <v>574737.10661881114</v>
      </c>
      <c r="W154" s="2880">
        <f t="shared" si="127"/>
        <v>580484.47768499923</v>
      </c>
      <c r="X154" s="2880">
        <f t="shared" si="127"/>
        <v>586289.32246184919</v>
      </c>
      <c r="Y154" s="2880">
        <f t="shared" si="127"/>
        <v>592152.21568646771</v>
      </c>
      <c r="Z154" s="2880">
        <f t="shared" si="127"/>
        <v>598073.73784333235</v>
      </c>
      <c r="AA154" s="2880">
        <f t="shared" si="127"/>
        <v>604054.47522176569</v>
      </c>
      <c r="AB154" s="2880">
        <f t="shared" si="127"/>
        <v>610095.01997398341</v>
      </c>
      <c r="AC154" s="2880">
        <f t="shared" si="127"/>
        <v>616195.9701737233</v>
      </c>
      <c r="AD154" s="2880">
        <f t="shared" si="127"/>
        <v>622357.92987546057</v>
      </c>
      <c r="AE154" s="2880">
        <f t="shared" si="127"/>
        <v>628581.50917421514</v>
      </c>
      <c r="AF154" s="2880">
        <f t="shared" si="127"/>
        <v>634867.32426595734</v>
      </c>
      <c r="AG154" s="2880">
        <f t="shared" si="127"/>
        <v>641215.99750861689</v>
      </c>
      <c r="AH154" s="2880">
        <f t="shared" si="127"/>
        <v>647628.15748370311</v>
      </c>
      <c r="AI154" s="2880">
        <f t="shared" si="127"/>
        <v>654104.43905854016</v>
      </c>
      <c r="AJ154" s="2880">
        <f t="shared" si="127"/>
        <v>660645.48344912555</v>
      </c>
      <c r="AK154" s="2880">
        <f t="shared" si="127"/>
        <v>667251.93828361679</v>
      </c>
      <c r="AL154" s="2880">
        <f t="shared" si="127"/>
        <v>673924.45766645297</v>
      </c>
      <c r="AM154" s="2880">
        <f t="shared" si="127"/>
        <v>680663.7022431175</v>
      </c>
      <c r="AN154" s="2880">
        <f t="shared" si="127"/>
        <v>687470.33926554862</v>
      </c>
      <c r="AO154" s="2880">
        <f t="shared" si="127"/>
        <v>694345.0426582041</v>
      </c>
      <c r="AP154" s="2880">
        <f t="shared" si="127"/>
        <v>701288.49308478611</v>
      </c>
      <c r="AQ154" s="2880">
        <f t="shared" si="127"/>
        <v>708301.37801563402</v>
      </c>
      <c r="AR154" s="2880">
        <f t="shared" si="127"/>
        <v>715384.39179579041</v>
      </c>
      <c r="AS154" s="2880">
        <f t="shared" si="127"/>
        <v>722538.23571374826</v>
      </c>
      <c r="AT154" s="2880">
        <f t="shared" si="127"/>
        <v>729763.61807088577</v>
      </c>
      <c r="AU154" s="2880">
        <f t="shared" si="127"/>
        <v>737061.25425159466</v>
      </c>
      <c r="AV154" s="2694">
        <v>0</v>
      </c>
      <c r="AW154" s="2809"/>
      <c r="AX154" s="2795"/>
      <c r="AY154" s="2774"/>
      <c r="AZ154" s="2774"/>
      <c r="BA154" s="2774"/>
      <c r="BB154" s="2774"/>
      <c r="BC154" s="2774"/>
      <c r="BD154" s="2774"/>
      <c r="BE154" s="2774"/>
      <c r="BF154" s="2774"/>
      <c r="BG154" s="2774"/>
      <c r="BI154" s="2730"/>
      <c r="BJ154" s="2730"/>
    </row>
    <row r="155" spans="1:62" ht="18" hidden="1" outlineLevel="1" thickBot="1">
      <c r="A155" s="2823" t="s">
        <v>4180</v>
      </c>
      <c r="B155" s="2827"/>
      <c r="C155" s="2791">
        <v>0.02</v>
      </c>
      <c r="D155" s="2793"/>
      <c r="E155" s="2793"/>
      <c r="F155" s="2794">
        <f t="shared" ref="F155:AU155" si="128">SUM(F156:F160)*(1+$C$155)^(F2-$F$2)</f>
        <v>32785858</v>
      </c>
      <c r="G155" s="2794">
        <f>SUM(G156:G160)</f>
        <v>33095450</v>
      </c>
      <c r="H155" s="2794">
        <f t="shared" si="128"/>
        <v>17105684.579999998</v>
      </c>
      <c r="I155" s="2794">
        <f t="shared" si="128"/>
        <v>16897031.319599997</v>
      </c>
      <c r="J155" s="2794">
        <f t="shared" si="128"/>
        <v>17796754.237032</v>
      </c>
      <c r="K155" s="2794">
        <f t="shared" si="128"/>
        <v>17579671.384911839</v>
      </c>
      <c r="L155" s="2794">
        <f t="shared" si="128"/>
        <v>18515743.108208094</v>
      </c>
      <c r="M155" s="2794">
        <f t="shared" si="128"/>
        <v>18289890.108862277</v>
      </c>
      <c r="N155" s="2794">
        <f t="shared" si="128"/>
        <v>19263779.1297797</v>
      </c>
      <c r="O155" s="2794">
        <f t="shared" si="128"/>
        <v>19028801.669260312</v>
      </c>
      <c r="P155" s="2794">
        <f t="shared" si="128"/>
        <v>20042035.806622799</v>
      </c>
      <c r="Q155" s="2794">
        <f t="shared" si="128"/>
        <v>19797565.256698426</v>
      </c>
      <c r="R155" s="2794">
        <f t="shared" si="128"/>
        <v>20851734.053210359</v>
      </c>
      <c r="S155" s="2794">
        <f t="shared" si="128"/>
        <v>20597386.893069044</v>
      </c>
      <c r="T155" s="2794">
        <f t="shared" si="128"/>
        <v>21694144.108960059</v>
      </c>
      <c r="U155" s="2794">
        <f t="shared" si="128"/>
        <v>21429521.323549032</v>
      </c>
      <c r="V155" s="2794">
        <f t="shared" si="128"/>
        <v>22570587.530962043</v>
      </c>
      <c r="W155" s="2794">
        <f t="shared" si="128"/>
        <v>22295273.985020418</v>
      </c>
      <c r="X155" s="2794">
        <f t="shared" si="128"/>
        <v>23482439.267212909</v>
      </c>
      <c r="Y155" s="2794">
        <f t="shared" si="128"/>
        <v>23196003.054015238</v>
      </c>
      <c r="Z155" s="2794">
        <f t="shared" si="128"/>
        <v>24431129.813608311</v>
      </c>
      <c r="AA155" s="2794">
        <f t="shared" si="128"/>
        <v>24133121.577397455</v>
      </c>
      <c r="AB155" s="2794">
        <f t="shared" si="128"/>
        <v>25418147.458078086</v>
      </c>
      <c r="AC155" s="2794">
        <f t="shared" si="128"/>
        <v>25108099.689124309</v>
      </c>
      <c r="AD155" s="2794">
        <f t="shared" si="128"/>
        <v>26445040.615384437</v>
      </c>
      <c r="AE155" s="2794">
        <f t="shared" si="128"/>
        <v>26122466.916564934</v>
      </c>
      <c r="AF155" s="2794">
        <f t="shared" si="128"/>
        <v>27513420.256245974</v>
      </c>
      <c r="AG155" s="2794">
        <f t="shared" si="128"/>
        <v>27177814.579994153</v>
      </c>
      <c r="AH155" s="2794">
        <f t="shared" si="128"/>
        <v>28624962.434598312</v>
      </c>
      <c r="AI155" s="2794">
        <f t="shared" si="128"/>
        <v>28275798.289025921</v>
      </c>
      <c r="AJ155" s="2794">
        <f t="shared" si="128"/>
        <v>29781410.916956082</v>
      </c>
      <c r="AK155" s="2794">
        <f t="shared" si="128"/>
        <v>29418140.539902564</v>
      </c>
      <c r="AL155" s="2794">
        <f t="shared" si="128"/>
        <v>30984579.918001104</v>
      </c>
      <c r="AM155" s="2794">
        <f t="shared" si="128"/>
        <v>30606633.417714633</v>
      </c>
      <c r="AN155" s="2794">
        <f t="shared" si="128"/>
        <v>32236356.94668835</v>
      </c>
      <c r="AO155" s="2794">
        <f t="shared" si="128"/>
        <v>31843141.407790303</v>
      </c>
      <c r="AP155" s="2794">
        <f t="shared" si="128"/>
        <v>33538705.767334558</v>
      </c>
      <c r="AQ155" s="2794">
        <f t="shared" si="128"/>
        <v>33129604.320665032</v>
      </c>
      <c r="AR155" s="2794">
        <f t="shared" si="128"/>
        <v>34893669.480334878</v>
      </c>
      <c r="AS155" s="2794">
        <f t="shared" si="128"/>
        <v>34468040.33521989</v>
      </c>
      <c r="AT155" s="2794">
        <f t="shared" si="128"/>
        <v>36303373.727340408</v>
      </c>
      <c r="AU155" s="2794">
        <f t="shared" si="128"/>
        <v>35860549.16476278</v>
      </c>
      <c r="AV155" s="2694">
        <v>0</v>
      </c>
      <c r="AW155" s="2771"/>
      <c r="AX155" s="2795"/>
      <c r="AY155" s="2760"/>
      <c r="AZ155" s="2760"/>
      <c r="BA155" s="2760"/>
      <c r="BB155" s="2760"/>
      <c r="BC155" s="2760"/>
      <c r="BD155" s="2760"/>
      <c r="BE155" s="2760"/>
      <c r="BF155" s="2760"/>
      <c r="BG155" s="2760"/>
      <c r="BI155" s="2730"/>
      <c r="BJ155" s="2730"/>
    </row>
    <row r="156" spans="1:62" ht="18" hidden="1" outlineLevel="1" thickBot="1">
      <c r="A156" s="2881" t="s">
        <v>4181</v>
      </c>
      <c r="B156" s="2882"/>
      <c r="C156" s="2883"/>
      <c r="D156" s="2884">
        <v>2</v>
      </c>
      <c r="E156" s="2884"/>
      <c r="F156" s="2885">
        <v>16092000</v>
      </c>
      <c r="G156" s="2886">
        <v>16573000</v>
      </c>
      <c r="H156" s="2886"/>
      <c r="I156" s="2886"/>
      <c r="J156" s="2886"/>
      <c r="K156" s="2886"/>
      <c r="L156" s="2886"/>
      <c r="M156" s="2886"/>
      <c r="N156" s="2886"/>
      <c r="O156" s="2886"/>
      <c r="P156" s="2886"/>
      <c r="Q156" s="2886"/>
      <c r="R156" s="2886"/>
      <c r="S156" s="2886"/>
      <c r="T156" s="2886"/>
      <c r="U156" s="2886"/>
      <c r="V156" s="2886"/>
      <c r="W156" s="2886"/>
      <c r="X156" s="2886"/>
      <c r="Y156" s="2886"/>
      <c r="Z156" s="2886"/>
      <c r="AA156" s="2886"/>
      <c r="AB156" s="2886"/>
      <c r="AC156" s="2886"/>
      <c r="AD156" s="2886"/>
      <c r="AE156" s="2886"/>
      <c r="AF156" s="2886"/>
      <c r="AG156" s="2886"/>
      <c r="AH156" s="2886"/>
      <c r="AI156" s="2886"/>
      <c r="AJ156" s="2886"/>
      <c r="AK156" s="2886"/>
      <c r="AL156" s="2886"/>
      <c r="AM156" s="2886"/>
      <c r="AN156" s="2886"/>
      <c r="AO156" s="2886"/>
      <c r="AP156" s="2886"/>
      <c r="AQ156" s="2886"/>
      <c r="AR156" s="2886"/>
      <c r="AS156" s="2886"/>
      <c r="AT156" s="2886"/>
      <c r="AU156" s="2886"/>
      <c r="AV156" s="2694">
        <v>0</v>
      </c>
      <c r="AW156" s="2799"/>
      <c r="AX156" s="2759"/>
      <c r="AY156" s="2760"/>
      <c r="AZ156" s="2760"/>
      <c r="BA156" s="2760"/>
      <c r="BB156" s="2760"/>
      <c r="BC156" s="2760"/>
      <c r="BD156" s="2760"/>
      <c r="BE156" s="2760"/>
      <c r="BF156" s="2760"/>
      <c r="BG156" s="2760"/>
      <c r="BI156" s="2730"/>
      <c r="BJ156" s="2730"/>
    </row>
    <row r="157" spans="1:62" ht="18" hidden="1" outlineLevel="1" thickBot="1">
      <c r="A157" s="2767" t="s">
        <v>4182</v>
      </c>
      <c r="B157" s="2887" t="s">
        <v>4183</v>
      </c>
      <c r="C157" s="2763"/>
      <c r="D157" s="2764">
        <v>1</v>
      </c>
      <c r="E157" s="2764"/>
      <c r="F157" s="2769">
        <v>2393000</v>
      </c>
      <c r="G157" s="2770">
        <v>1874000</v>
      </c>
      <c r="H157" s="2770">
        <f t="shared" ref="H157:AU157" si="129">F157</f>
        <v>2393000</v>
      </c>
      <c r="I157" s="2770">
        <f t="shared" si="129"/>
        <v>1874000</v>
      </c>
      <c r="J157" s="2770">
        <f t="shared" si="129"/>
        <v>2393000</v>
      </c>
      <c r="K157" s="2770">
        <f t="shared" si="129"/>
        <v>1874000</v>
      </c>
      <c r="L157" s="2770">
        <f t="shared" si="129"/>
        <v>2393000</v>
      </c>
      <c r="M157" s="2770">
        <f t="shared" si="129"/>
        <v>1874000</v>
      </c>
      <c r="N157" s="2770">
        <f t="shared" si="129"/>
        <v>2393000</v>
      </c>
      <c r="O157" s="2770">
        <f t="shared" si="129"/>
        <v>1874000</v>
      </c>
      <c r="P157" s="2770">
        <f t="shared" si="129"/>
        <v>2393000</v>
      </c>
      <c r="Q157" s="2770">
        <f t="shared" si="129"/>
        <v>1874000</v>
      </c>
      <c r="R157" s="2770">
        <f t="shared" si="129"/>
        <v>2393000</v>
      </c>
      <c r="S157" s="2770">
        <f t="shared" si="129"/>
        <v>1874000</v>
      </c>
      <c r="T157" s="2770">
        <f t="shared" si="129"/>
        <v>2393000</v>
      </c>
      <c r="U157" s="2770">
        <f t="shared" si="129"/>
        <v>1874000</v>
      </c>
      <c r="V157" s="2770">
        <f t="shared" si="129"/>
        <v>2393000</v>
      </c>
      <c r="W157" s="2770">
        <f t="shared" si="129"/>
        <v>1874000</v>
      </c>
      <c r="X157" s="2770">
        <f t="shared" si="129"/>
        <v>2393000</v>
      </c>
      <c r="Y157" s="2770">
        <f t="shared" si="129"/>
        <v>1874000</v>
      </c>
      <c r="Z157" s="2770">
        <f t="shared" si="129"/>
        <v>2393000</v>
      </c>
      <c r="AA157" s="2770">
        <f t="shared" si="129"/>
        <v>1874000</v>
      </c>
      <c r="AB157" s="2770">
        <f t="shared" si="129"/>
        <v>2393000</v>
      </c>
      <c r="AC157" s="2770">
        <f t="shared" si="129"/>
        <v>1874000</v>
      </c>
      <c r="AD157" s="2770">
        <f t="shared" si="129"/>
        <v>2393000</v>
      </c>
      <c r="AE157" s="2770">
        <f t="shared" si="129"/>
        <v>1874000</v>
      </c>
      <c r="AF157" s="2770">
        <f t="shared" si="129"/>
        <v>2393000</v>
      </c>
      <c r="AG157" s="2770">
        <f t="shared" si="129"/>
        <v>1874000</v>
      </c>
      <c r="AH157" s="2770">
        <f t="shared" si="129"/>
        <v>2393000</v>
      </c>
      <c r="AI157" s="2770">
        <f t="shared" si="129"/>
        <v>1874000</v>
      </c>
      <c r="AJ157" s="2770">
        <f t="shared" si="129"/>
        <v>2393000</v>
      </c>
      <c r="AK157" s="2770">
        <f t="shared" si="129"/>
        <v>1874000</v>
      </c>
      <c r="AL157" s="2770">
        <f t="shared" si="129"/>
        <v>2393000</v>
      </c>
      <c r="AM157" s="2770">
        <f t="shared" si="129"/>
        <v>1874000</v>
      </c>
      <c r="AN157" s="2770">
        <f t="shared" si="129"/>
        <v>2393000</v>
      </c>
      <c r="AO157" s="2770">
        <f t="shared" si="129"/>
        <v>1874000</v>
      </c>
      <c r="AP157" s="2770">
        <f t="shared" si="129"/>
        <v>2393000</v>
      </c>
      <c r="AQ157" s="2770">
        <f t="shared" si="129"/>
        <v>1874000</v>
      </c>
      <c r="AR157" s="2770">
        <f t="shared" si="129"/>
        <v>2393000</v>
      </c>
      <c r="AS157" s="2770">
        <f t="shared" si="129"/>
        <v>1874000</v>
      </c>
      <c r="AT157" s="2770">
        <f t="shared" si="129"/>
        <v>2393000</v>
      </c>
      <c r="AU157" s="2770">
        <f t="shared" si="129"/>
        <v>1874000</v>
      </c>
      <c r="AV157" s="2694">
        <v>0</v>
      </c>
      <c r="AW157" s="2888"/>
      <c r="AX157" s="2759"/>
      <c r="AY157" s="2760"/>
      <c r="AZ157" s="2760"/>
      <c r="BA157" s="2760"/>
      <c r="BB157" s="2760"/>
      <c r="BC157" s="2760"/>
      <c r="BD157" s="2760"/>
      <c r="BE157" s="2760"/>
      <c r="BF157" s="2760"/>
      <c r="BG157" s="2760"/>
      <c r="BI157" s="2730"/>
      <c r="BJ157" s="2730"/>
    </row>
    <row r="158" spans="1:62" ht="18" hidden="1" outlineLevel="1" thickBot="1">
      <c r="A158" s="2775" t="s">
        <v>4184</v>
      </c>
      <c r="B158" s="2776"/>
      <c r="C158" s="2777"/>
      <c r="D158" s="2778">
        <v>2</v>
      </c>
      <c r="E158" s="2778"/>
      <c r="F158" s="2779">
        <v>3952441</v>
      </c>
      <c r="G158" s="2780">
        <f>600000</f>
        <v>600000</v>
      </c>
      <c r="H158" s="2780"/>
      <c r="I158" s="2780"/>
      <c r="J158" s="2780"/>
      <c r="K158" s="2780"/>
      <c r="L158" s="2780"/>
      <c r="M158" s="2780"/>
      <c r="N158" s="2780"/>
      <c r="O158" s="2780"/>
      <c r="P158" s="2780"/>
      <c r="Q158" s="2780"/>
      <c r="R158" s="2780"/>
      <c r="S158" s="2780"/>
      <c r="T158" s="2780"/>
      <c r="U158" s="2780"/>
      <c r="V158" s="2780"/>
      <c r="W158" s="2780"/>
      <c r="X158" s="2780"/>
      <c r="Y158" s="2780"/>
      <c r="Z158" s="2780"/>
      <c r="AA158" s="2780"/>
      <c r="AB158" s="2780"/>
      <c r="AC158" s="2780"/>
      <c r="AD158" s="2780"/>
      <c r="AE158" s="2780"/>
      <c r="AF158" s="2780"/>
      <c r="AG158" s="2780"/>
      <c r="AH158" s="2780"/>
      <c r="AI158" s="2780"/>
      <c r="AJ158" s="2780"/>
      <c r="AK158" s="2780"/>
      <c r="AL158" s="2780"/>
      <c r="AM158" s="2780"/>
      <c r="AN158" s="2780"/>
      <c r="AO158" s="2780"/>
      <c r="AP158" s="2780"/>
      <c r="AQ158" s="2780"/>
      <c r="AR158" s="2780"/>
      <c r="AS158" s="2780"/>
      <c r="AT158" s="2780"/>
      <c r="AU158" s="2780"/>
      <c r="AV158" s="2694">
        <v>0</v>
      </c>
      <c r="AW158" s="2809"/>
      <c r="AX158" s="2759"/>
      <c r="AY158" s="2760"/>
      <c r="AZ158" s="2760"/>
      <c r="BA158" s="2760"/>
      <c r="BB158" s="2760"/>
      <c r="BC158" s="2760"/>
      <c r="BD158" s="2760"/>
      <c r="BE158" s="2760"/>
      <c r="BF158" s="2760"/>
      <c r="BG158" s="2760"/>
      <c r="BI158" s="2730"/>
      <c r="BJ158" s="2730"/>
    </row>
    <row r="159" spans="1:62" s="2785" customFormat="1" ht="18" hidden="1" outlineLevel="1" thickBot="1">
      <c r="A159" s="2775" t="s">
        <v>4185</v>
      </c>
      <c r="B159" s="2889" t="s">
        <v>4186</v>
      </c>
      <c r="C159" s="2777"/>
      <c r="D159" s="2778">
        <v>2</v>
      </c>
      <c r="E159" s="2778"/>
      <c r="F159" s="2779">
        <f>4217000+1012182</f>
        <v>5229182</v>
      </c>
      <c r="G159" s="2779">
        <f>3933000</f>
        <v>3933000</v>
      </c>
      <c r="H159" s="2780">
        <f t="shared" ref="H159:W160" si="130">G159</f>
        <v>3933000</v>
      </c>
      <c r="I159" s="2780">
        <f t="shared" si="130"/>
        <v>3933000</v>
      </c>
      <c r="J159" s="2780">
        <f t="shared" si="130"/>
        <v>3933000</v>
      </c>
      <c r="K159" s="2780">
        <f t="shared" si="130"/>
        <v>3933000</v>
      </c>
      <c r="L159" s="2780">
        <f t="shared" si="130"/>
        <v>3933000</v>
      </c>
      <c r="M159" s="2780">
        <f t="shared" si="130"/>
        <v>3933000</v>
      </c>
      <c r="N159" s="2780">
        <f t="shared" si="130"/>
        <v>3933000</v>
      </c>
      <c r="O159" s="2780">
        <f t="shared" si="130"/>
        <v>3933000</v>
      </c>
      <c r="P159" s="2780">
        <f t="shared" si="130"/>
        <v>3933000</v>
      </c>
      <c r="Q159" s="2780">
        <f t="shared" si="130"/>
        <v>3933000</v>
      </c>
      <c r="R159" s="2780">
        <f t="shared" si="130"/>
        <v>3933000</v>
      </c>
      <c r="S159" s="2780">
        <f t="shared" si="130"/>
        <v>3933000</v>
      </c>
      <c r="T159" s="2780">
        <f t="shared" si="130"/>
        <v>3933000</v>
      </c>
      <c r="U159" s="2780">
        <f t="shared" si="130"/>
        <v>3933000</v>
      </c>
      <c r="V159" s="2780">
        <f t="shared" si="130"/>
        <v>3933000</v>
      </c>
      <c r="W159" s="2780">
        <f t="shared" si="130"/>
        <v>3933000</v>
      </c>
      <c r="X159" s="2780">
        <f t="shared" ref="X159:AM160" si="131">W159</f>
        <v>3933000</v>
      </c>
      <c r="Y159" s="2780">
        <f t="shared" si="131"/>
        <v>3933000</v>
      </c>
      <c r="Z159" s="2780">
        <f t="shared" si="131"/>
        <v>3933000</v>
      </c>
      <c r="AA159" s="2780">
        <f t="shared" si="131"/>
        <v>3933000</v>
      </c>
      <c r="AB159" s="2780">
        <f t="shared" si="131"/>
        <v>3933000</v>
      </c>
      <c r="AC159" s="2780">
        <f t="shared" si="131"/>
        <v>3933000</v>
      </c>
      <c r="AD159" s="2780">
        <f t="shared" si="131"/>
        <v>3933000</v>
      </c>
      <c r="AE159" s="2780">
        <f t="shared" si="131"/>
        <v>3933000</v>
      </c>
      <c r="AF159" s="2780">
        <f t="shared" si="131"/>
        <v>3933000</v>
      </c>
      <c r="AG159" s="2780">
        <f t="shared" si="131"/>
        <v>3933000</v>
      </c>
      <c r="AH159" s="2780">
        <f t="shared" si="131"/>
        <v>3933000</v>
      </c>
      <c r="AI159" s="2780">
        <f t="shared" si="131"/>
        <v>3933000</v>
      </c>
      <c r="AJ159" s="2780">
        <f t="shared" si="131"/>
        <v>3933000</v>
      </c>
      <c r="AK159" s="2780">
        <f t="shared" si="131"/>
        <v>3933000</v>
      </c>
      <c r="AL159" s="2780">
        <f t="shared" si="131"/>
        <v>3933000</v>
      </c>
      <c r="AM159" s="2780">
        <f t="shared" si="131"/>
        <v>3933000</v>
      </c>
      <c r="AN159" s="2780">
        <f t="shared" ref="AN159:AU160" si="132">AM159</f>
        <v>3933000</v>
      </c>
      <c r="AO159" s="2780">
        <f t="shared" si="132"/>
        <v>3933000</v>
      </c>
      <c r="AP159" s="2780">
        <f t="shared" si="132"/>
        <v>3933000</v>
      </c>
      <c r="AQ159" s="2780">
        <f t="shared" si="132"/>
        <v>3933000</v>
      </c>
      <c r="AR159" s="2780">
        <f t="shared" si="132"/>
        <v>3933000</v>
      </c>
      <c r="AS159" s="2780">
        <f t="shared" si="132"/>
        <v>3933000</v>
      </c>
      <c r="AT159" s="2780">
        <f t="shared" si="132"/>
        <v>3933000</v>
      </c>
      <c r="AU159" s="2780">
        <f t="shared" si="132"/>
        <v>3933000</v>
      </c>
      <c r="AV159" s="2694">
        <v>0</v>
      </c>
      <c r="AW159" s="2782"/>
      <c r="AX159" s="2783"/>
      <c r="AY159" s="2784"/>
      <c r="AZ159" s="2784"/>
      <c r="BA159" s="2784"/>
      <c r="BB159" s="2784"/>
      <c r="BC159" s="2784"/>
      <c r="BD159" s="2784"/>
      <c r="BE159" s="2784"/>
      <c r="BF159" s="2784"/>
      <c r="BG159" s="2784"/>
      <c r="BI159" s="2786"/>
      <c r="BJ159" s="2786"/>
    </row>
    <row r="160" spans="1:62" ht="18" hidden="1" outlineLevel="1" thickBot="1">
      <c r="A160" s="2767" t="s">
        <v>4187</v>
      </c>
      <c r="B160" s="2887" t="s">
        <v>4188</v>
      </c>
      <c r="C160" s="2763"/>
      <c r="D160" s="2764">
        <v>1</v>
      </c>
      <c r="E160" s="2764"/>
      <c r="F160" s="2769">
        <f>5119235</f>
        <v>5119235</v>
      </c>
      <c r="G160" s="2770">
        <f>4178507+5936943</f>
        <v>10115450</v>
      </c>
      <c r="H160" s="2770">
        <f t="shared" si="130"/>
        <v>10115450</v>
      </c>
      <c r="I160" s="2770">
        <f t="shared" si="130"/>
        <v>10115450</v>
      </c>
      <c r="J160" s="2770">
        <f t="shared" si="130"/>
        <v>10115450</v>
      </c>
      <c r="K160" s="2770">
        <f t="shared" si="130"/>
        <v>10115450</v>
      </c>
      <c r="L160" s="2770">
        <f t="shared" si="130"/>
        <v>10115450</v>
      </c>
      <c r="M160" s="2770">
        <f t="shared" si="130"/>
        <v>10115450</v>
      </c>
      <c r="N160" s="2770">
        <f t="shared" si="130"/>
        <v>10115450</v>
      </c>
      <c r="O160" s="2770">
        <f t="shared" si="130"/>
        <v>10115450</v>
      </c>
      <c r="P160" s="2770">
        <f t="shared" si="130"/>
        <v>10115450</v>
      </c>
      <c r="Q160" s="2770">
        <f t="shared" si="130"/>
        <v>10115450</v>
      </c>
      <c r="R160" s="2770">
        <f t="shared" si="130"/>
        <v>10115450</v>
      </c>
      <c r="S160" s="2770">
        <f t="shared" si="130"/>
        <v>10115450</v>
      </c>
      <c r="T160" s="2770">
        <f t="shared" si="130"/>
        <v>10115450</v>
      </c>
      <c r="U160" s="2770">
        <f t="shared" si="130"/>
        <v>10115450</v>
      </c>
      <c r="V160" s="2770">
        <f t="shared" si="130"/>
        <v>10115450</v>
      </c>
      <c r="W160" s="2770">
        <f t="shared" si="130"/>
        <v>10115450</v>
      </c>
      <c r="X160" s="2770">
        <f t="shared" si="131"/>
        <v>10115450</v>
      </c>
      <c r="Y160" s="2770">
        <f t="shared" si="131"/>
        <v>10115450</v>
      </c>
      <c r="Z160" s="2770">
        <f t="shared" si="131"/>
        <v>10115450</v>
      </c>
      <c r="AA160" s="2770">
        <f t="shared" si="131"/>
        <v>10115450</v>
      </c>
      <c r="AB160" s="2770">
        <f t="shared" si="131"/>
        <v>10115450</v>
      </c>
      <c r="AC160" s="2770">
        <f t="shared" si="131"/>
        <v>10115450</v>
      </c>
      <c r="AD160" s="2770">
        <f t="shared" si="131"/>
        <v>10115450</v>
      </c>
      <c r="AE160" s="2770">
        <f t="shared" si="131"/>
        <v>10115450</v>
      </c>
      <c r="AF160" s="2770">
        <f t="shared" si="131"/>
        <v>10115450</v>
      </c>
      <c r="AG160" s="2770">
        <f t="shared" si="131"/>
        <v>10115450</v>
      </c>
      <c r="AH160" s="2770">
        <f t="shared" si="131"/>
        <v>10115450</v>
      </c>
      <c r="AI160" s="2770">
        <f t="shared" si="131"/>
        <v>10115450</v>
      </c>
      <c r="AJ160" s="2770">
        <f t="shared" si="131"/>
        <v>10115450</v>
      </c>
      <c r="AK160" s="2770">
        <f t="shared" si="131"/>
        <v>10115450</v>
      </c>
      <c r="AL160" s="2770">
        <f t="shared" si="131"/>
        <v>10115450</v>
      </c>
      <c r="AM160" s="2770">
        <f t="shared" si="131"/>
        <v>10115450</v>
      </c>
      <c r="AN160" s="2770">
        <f t="shared" si="132"/>
        <v>10115450</v>
      </c>
      <c r="AO160" s="2770">
        <f t="shared" si="132"/>
        <v>10115450</v>
      </c>
      <c r="AP160" s="2770">
        <f t="shared" si="132"/>
        <v>10115450</v>
      </c>
      <c r="AQ160" s="2770">
        <f t="shared" si="132"/>
        <v>10115450</v>
      </c>
      <c r="AR160" s="2770">
        <f t="shared" si="132"/>
        <v>10115450</v>
      </c>
      <c r="AS160" s="2770">
        <f t="shared" si="132"/>
        <v>10115450</v>
      </c>
      <c r="AT160" s="2770">
        <f t="shared" si="132"/>
        <v>10115450</v>
      </c>
      <c r="AU160" s="2770">
        <f t="shared" si="132"/>
        <v>10115450</v>
      </c>
      <c r="AV160" s="2694">
        <v>0</v>
      </c>
      <c r="AW160" s="2809"/>
      <c r="AX160" s="2759"/>
      <c r="AY160" s="2760"/>
      <c r="AZ160" s="2760"/>
      <c r="BA160" s="2760"/>
      <c r="BB160" s="2760"/>
      <c r="BC160" s="2760"/>
      <c r="BD160" s="2760"/>
      <c r="BE160" s="2760"/>
      <c r="BF160" s="2760"/>
      <c r="BG160" s="2760"/>
      <c r="BI160" s="2730"/>
      <c r="BJ160" s="2730"/>
    </row>
    <row r="161" spans="1:62" ht="18" hidden="1" outlineLevel="1" thickBot="1">
      <c r="A161" s="2823" t="s">
        <v>4189</v>
      </c>
      <c r="B161" s="2830"/>
      <c r="C161" s="2791">
        <v>0.01</v>
      </c>
      <c r="D161" s="2793"/>
      <c r="E161" s="2793"/>
      <c r="F161" s="2843">
        <f>SUM(F162:F171)</f>
        <v>403607037</v>
      </c>
      <c r="G161" s="2843">
        <f>SUM(G162:G171)</f>
        <v>380557596</v>
      </c>
      <c r="H161" s="2843">
        <f>G161*(1+$C$161)</f>
        <v>384363171.95999998</v>
      </c>
      <c r="I161" s="2843">
        <f t="shared" ref="I161:AU161" si="133">H161*(1+$C$161)</f>
        <v>388206803.6796</v>
      </c>
      <c r="J161" s="2843">
        <f t="shared" si="133"/>
        <v>392088871.71639597</v>
      </c>
      <c r="K161" s="2843">
        <f t="shared" si="133"/>
        <v>396009760.43355995</v>
      </c>
      <c r="L161" s="2843">
        <f t="shared" si="133"/>
        <v>399969858.03789556</v>
      </c>
      <c r="M161" s="2843">
        <f t="shared" si="133"/>
        <v>403969556.61827451</v>
      </c>
      <c r="N161" s="2843">
        <f t="shared" si="133"/>
        <v>408009252.18445724</v>
      </c>
      <c r="O161" s="2843">
        <f t="shared" si="133"/>
        <v>412089344.70630181</v>
      </c>
      <c r="P161" s="2843">
        <f t="shared" si="133"/>
        <v>416210238.15336484</v>
      </c>
      <c r="Q161" s="2843">
        <f t="shared" si="133"/>
        <v>420372340.53489846</v>
      </c>
      <c r="R161" s="2843">
        <f t="shared" si="133"/>
        <v>424576063.94024748</v>
      </c>
      <c r="S161" s="2843">
        <f t="shared" si="133"/>
        <v>428821824.57964993</v>
      </c>
      <c r="T161" s="2843">
        <f t="shared" si="133"/>
        <v>433110042.82544643</v>
      </c>
      <c r="U161" s="2843">
        <f t="shared" si="133"/>
        <v>437441143.25370091</v>
      </c>
      <c r="V161" s="2843">
        <f t="shared" si="133"/>
        <v>441815554.68623793</v>
      </c>
      <c r="W161" s="2843">
        <f t="shared" si="133"/>
        <v>446233710.2331003</v>
      </c>
      <c r="X161" s="2843">
        <f t="shared" si="133"/>
        <v>450696047.33543128</v>
      </c>
      <c r="Y161" s="2843">
        <f t="shared" si="133"/>
        <v>455203007.80878562</v>
      </c>
      <c r="Z161" s="2843">
        <f t="shared" si="133"/>
        <v>459755037.88687348</v>
      </c>
      <c r="AA161" s="2843">
        <f t="shared" si="133"/>
        <v>464352588.26574224</v>
      </c>
      <c r="AB161" s="2843">
        <f t="shared" si="133"/>
        <v>468996114.14839965</v>
      </c>
      <c r="AC161" s="2843">
        <f t="shared" si="133"/>
        <v>473686075.28988367</v>
      </c>
      <c r="AD161" s="2843">
        <f t="shared" si="133"/>
        <v>478422936.04278249</v>
      </c>
      <c r="AE161" s="2843">
        <f t="shared" si="133"/>
        <v>483207165.40321034</v>
      </c>
      <c r="AF161" s="2843">
        <f t="shared" si="133"/>
        <v>488039237.05724245</v>
      </c>
      <c r="AG161" s="2843">
        <f t="shared" si="133"/>
        <v>492919629.4278149</v>
      </c>
      <c r="AH161" s="2843">
        <f t="shared" si="133"/>
        <v>497848825.72209305</v>
      </c>
      <c r="AI161" s="2843">
        <f t="shared" si="133"/>
        <v>502827313.97931397</v>
      </c>
      <c r="AJ161" s="2843">
        <f t="shared" si="133"/>
        <v>507855587.11910713</v>
      </c>
      <c r="AK161" s="2843">
        <f t="shared" si="133"/>
        <v>512934142.99029821</v>
      </c>
      <c r="AL161" s="2843">
        <f t="shared" si="133"/>
        <v>518063484.42020118</v>
      </c>
      <c r="AM161" s="2843">
        <f t="shared" si="133"/>
        <v>523244119.26440322</v>
      </c>
      <c r="AN161" s="2843">
        <f t="shared" si="133"/>
        <v>528476560.45704728</v>
      </c>
      <c r="AO161" s="2843">
        <f t="shared" si="133"/>
        <v>533761326.06161773</v>
      </c>
      <c r="AP161" s="2843">
        <f t="shared" si="133"/>
        <v>539098939.32223392</v>
      </c>
      <c r="AQ161" s="2843">
        <f t="shared" si="133"/>
        <v>544489928.71545625</v>
      </c>
      <c r="AR161" s="2843">
        <f t="shared" si="133"/>
        <v>549934828.0026108</v>
      </c>
      <c r="AS161" s="2843">
        <f t="shared" si="133"/>
        <v>555434176.28263688</v>
      </c>
      <c r="AT161" s="2843">
        <f t="shared" si="133"/>
        <v>560988518.0454632</v>
      </c>
      <c r="AU161" s="2843">
        <f t="shared" si="133"/>
        <v>566598403.22591782</v>
      </c>
      <c r="AV161" s="2694">
        <v>0</v>
      </c>
      <c r="AW161" s="2809"/>
      <c r="AX161" s="2795"/>
      <c r="AY161" s="2760"/>
      <c r="AZ161" s="2760"/>
      <c r="BA161" s="2760"/>
      <c r="BB161" s="2760"/>
      <c r="BC161" s="2760"/>
      <c r="BD161" s="2760"/>
      <c r="BE161" s="2760"/>
      <c r="BF161" s="2760"/>
      <c r="BG161" s="2760"/>
      <c r="BI161" s="2730"/>
      <c r="BJ161" s="2730"/>
    </row>
    <row r="162" spans="1:62" ht="18" hidden="1" outlineLevel="2" thickBot="1">
      <c r="A162" s="2890" t="s">
        <v>4190</v>
      </c>
      <c r="B162" s="2891"/>
      <c r="C162" s="2892"/>
      <c r="D162" s="2893">
        <v>3</v>
      </c>
      <c r="E162" s="2893"/>
      <c r="F162" s="2894">
        <v>10000</v>
      </c>
      <c r="G162" s="2895">
        <v>30000</v>
      </c>
      <c r="H162" s="2895"/>
      <c r="I162" s="2895"/>
      <c r="J162" s="2895"/>
      <c r="K162" s="2895"/>
      <c r="L162" s="2895"/>
      <c r="M162" s="2895"/>
      <c r="N162" s="2895"/>
      <c r="O162" s="2895"/>
      <c r="P162" s="2895"/>
      <c r="Q162" s="2895"/>
      <c r="R162" s="2895"/>
      <c r="S162" s="2895"/>
      <c r="T162" s="2895"/>
      <c r="U162" s="2895"/>
      <c r="V162" s="2895"/>
      <c r="W162" s="2895"/>
      <c r="X162" s="2895"/>
      <c r="Y162" s="2895"/>
      <c r="Z162" s="2895"/>
      <c r="AA162" s="2895"/>
      <c r="AB162" s="2895"/>
      <c r="AC162" s="2895"/>
      <c r="AD162" s="2895"/>
      <c r="AE162" s="2895"/>
      <c r="AF162" s="2895"/>
      <c r="AG162" s="2895"/>
      <c r="AH162" s="2895"/>
      <c r="AI162" s="2895"/>
      <c r="AJ162" s="2895"/>
      <c r="AK162" s="2895"/>
      <c r="AL162" s="2895"/>
      <c r="AM162" s="2895"/>
      <c r="AN162" s="2895"/>
      <c r="AO162" s="2895"/>
      <c r="AP162" s="2895"/>
      <c r="AQ162" s="2895"/>
      <c r="AR162" s="2895"/>
      <c r="AS162" s="2895"/>
      <c r="AT162" s="2895"/>
      <c r="AU162" s="2895"/>
      <c r="AV162" s="2694">
        <v>0</v>
      </c>
      <c r="AW162" s="2758"/>
      <c r="AX162" s="2841"/>
      <c r="AY162" s="2760"/>
      <c r="AZ162" s="2760"/>
      <c r="BA162" s="2760"/>
      <c r="BB162" s="2760"/>
      <c r="BC162" s="2760"/>
      <c r="BD162" s="2760"/>
      <c r="BE162" s="2760"/>
      <c r="BF162" s="2760"/>
      <c r="BG162" s="2760"/>
      <c r="BI162" s="2730"/>
      <c r="BJ162" s="2730"/>
    </row>
    <row r="163" spans="1:62" ht="18" hidden="1" outlineLevel="2" thickBot="1">
      <c r="A163" s="2767" t="s">
        <v>4191</v>
      </c>
      <c r="B163" s="2803"/>
      <c r="C163" s="2857"/>
      <c r="D163" s="2893">
        <v>3</v>
      </c>
      <c r="E163" s="2842"/>
      <c r="F163" s="2769">
        <v>300482567</v>
      </c>
      <c r="G163" s="2770">
        <v>294284206</v>
      </c>
      <c r="H163" s="2770"/>
      <c r="I163" s="2770"/>
      <c r="J163" s="2770"/>
      <c r="K163" s="2770"/>
      <c r="L163" s="2770"/>
      <c r="M163" s="2770"/>
      <c r="N163" s="2770"/>
      <c r="O163" s="2770"/>
      <c r="P163" s="2770"/>
      <c r="Q163" s="2770"/>
      <c r="R163" s="2770"/>
      <c r="S163" s="2770"/>
      <c r="T163" s="2770"/>
      <c r="U163" s="2770"/>
      <c r="V163" s="2770"/>
      <c r="W163" s="2770"/>
      <c r="X163" s="2770"/>
      <c r="Y163" s="2770"/>
      <c r="Z163" s="2770"/>
      <c r="AA163" s="2770"/>
      <c r="AB163" s="2770"/>
      <c r="AC163" s="2770"/>
      <c r="AD163" s="2770"/>
      <c r="AE163" s="2770"/>
      <c r="AF163" s="2770"/>
      <c r="AG163" s="2770"/>
      <c r="AH163" s="2770"/>
      <c r="AI163" s="2770"/>
      <c r="AJ163" s="2770"/>
      <c r="AK163" s="2770"/>
      <c r="AL163" s="2770"/>
      <c r="AM163" s="2770"/>
      <c r="AN163" s="2770"/>
      <c r="AO163" s="2770"/>
      <c r="AP163" s="2770"/>
      <c r="AQ163" s="2770"/>
      <c r="AR163" s="2770"/>
      <c r="AS163" s="2770"/>
      <c r="AT163" s="2770"/>
      <c r="AU163" s="2770"/>
      <c r="AV163" s="2694">
        <v>0</v>
      </c>
      <c r="AW163" s="2771"/>
      <c r="AX163" s="2841"/>
      <c r="AY163" s="2760"/>
      <c r="AZ163" s="2760"/>
      <c r="BA163" s="2760"/>
      <c r="BB163" s="2760"/>
      <c r="BC163" s="2760"/>
      <c r="BD163" s="2760"/>
      <c r="BE163" s="2760"/>
      <c r="BF163" s="2760"/>
      <c r="BG163" s="2760"/>
      <c r="BI163" s="2730"/>
      <c r="BJ163" s="2730"/>
    </row>
    <row r="164" spans="1:62" ht="18" hidden="1" outlineLevel="2" thickBot="1">
      <c r="A164" s="2767" t="s">
        <v>4192</v>
      </c>
      <c r="B164" s="2803"/>
      <c r="C164" s="2857"/>
      <c r="D164" s="2893">
        <v>3</v>
      </c>
      <c r="E164" s="2842"/>
      <c r="F164" s="2769">
        <v>0</v>
      </c>
      <c r="G164" s="2770">
        <v>0</v>
      </c>
      <c r="H164" s="2770"/>
      <c r="I164" s="2770"/>
      <c r="J164" s="2770"/>
      <c r="K164" s="2770"/>
      <c r="L164" s="2770"/>
      <c r="M164" s="2770"/>
      <c r="N164" s="2770"/>
      <c r="O164" s="2770"/>
      <c r="P164" s="2770"/>
      <c r="Q164" s="2770"/>
      <c r="R164" s="2770"/>
      <c r="S164" s="2770"/>
      <c r="T164" s="2770"/>
      <c r="U164" s="2770"/>
      <c r="V164" s="2770"/>
      <c r="W164" s="2770"/>
      <c r="X164" s="2770"/>
      <c r="Y164" s="2770"/>
      <c r="Z164" s="2770"/>
      <c r="AA164" s="2770"/>
      <c r="AB164" s="2770"/>
      <c r="AC164" s="2770"/>
      <c r="AD164" s="2770"/>
      <c r="AE164" s="2770"/>
      <c r="AF164" s="2770"/>
      <c r="AG164" s="2770"/>
      <c r="AH164" s="2770"/>
      <c r="AI164" s="2770"/>
      <c r="AJ164" s="2770"/>
      <c r="AK164" s="2770"/>
      <c r="AL164" s="2770"/>
      <c r="AM164" s="2770"/>
      <c r="AN164" s="2770"/>
      <c r="AO164" s="2770"/>
      <c r="AP164" s="2770"/>
      <c r="AQ164" s="2770"/>
      <c r="AR164" s="2770"/>
      <c r="AS164" s="2770"/>
      <c r="AT164" s="2770"/>
      <c r="AU164" s="2770"/>
      <c r="AV164" s="2694">
        <v>0</v>
      </c>
      <c r="AW164" s="2771"/>
      <c r="AX164" s="2841"/>
      <c r="AY164" s="2760"/>
      <c r="AZ164" s="2760"/>
      <c r="BA164" s="2760"/>
      <c r="BB164" s="2760"/>
      <c r="BC164" s="2760"/>
      <c r="BD164" s="2760"/>
      <c r="BE164" s="2760"/>
      <c r="BF164" s="2760"/>
      <c r="BG164" s="2760"/>
      <c r="BI164" s="2730"/>
      <c r="BJ164" s="2730"/>
    </row>
    <row r="165" spans="1:62" ht="18" hidden="1" outlineLevel="2" thickBot="1">
      <c r="A165" s="2767" t="s">
        <v>4193</v>
      </c>
      <c r="B165" s="2803"/>
      <c r="C165" s="2857"/>
      <c r="D165" s="2893">
        <v>3</v>
      </c>
      <c r="E165" s="2842"/>
      <c r="F165" s="2769">
        <v>82115800</v>
      </c>
      <c r="G165" s="2770">
        <v>74700000</v>
      </c>
      <c r="H165" s="2770"/>
      <c r="I165" s="2770"/>
      <c r="J165" s="2770"/>
      <c r="K165" s="2770"/>
      <c r="L165" s="2770"/>
      <c r="M165" s="2770"/>
      <c r="N165" s="2770"/>
      <c r="O165" s="2770"/>
      <c r="P165" s="2770"/>
      <c r="Q165" s="2770"/>
      <c r="R165" s="2770"/>
      <c r="S165" s="2770"/>
      <c r="T165" s="2770"/>
      <c r="U165" s="2770"/>
      <c r="V165" s="2770"/>
      <c r="W165" s="2770"/>
      <c r="X165" s="2770"/>
      <c r="Y165" s="2770"/>
      <c r="Z165" s="2770"/>
      <c r="AA165" s="2770"/>
      <c r="AB165" s="2770"/>
      <c r="AC165" s="2770"/>
      <c r="AD165" s="2770"/>
      <c r="AE165" s="2770"/>
      <c r="AF165" s="2770"/>
      <c r="AG165" s="2770"/>
      <c r="AH165" s="2770"/>
      <c r="AI165" s="2770"/>
      <c r="AJ165" s="2770"/>
      <c r="AK165" s="2770"/>
      <c r="AL165" s="2770"/>
      <c r="AM165" s="2770"/>
      <c r="AN165" s="2770"/>
      <c r="AO165" s="2770"/>
      <c r="AP165" s="2770"/>
      <c r="AQ165" s="2770"/>
      <c r="AR165" s="2770"/>
      <c r="AS165" s="2770"/>
      <c r="AT165" s="2770"/>
      <c r="AU165" s="2770"/>
      <c r="AV165" s="2694">
        <v>0</v>
      </c>
      <c r="AW165" s="2771"/>
      <c r="AX165" s="2841"/>
      <c r="AY165" s="2760"/>
      <c r="AZ165" s="2760"/>
      <c r="BA165" s="2760"/>
      <c r="BB165" s="2760"/>
      <c r="BC165" s="2760"/>
      <c r="BD165" s="2760"/>
      <c r="BE165" s="2760"/>
      <c r="BF165" s="2760"/>
      <c r="BG165" s="2760"/>
      <c r="BI165" s="2730"/>
      <c r="BJ165" s="2730"/>
    </row>
    <row r="166" spans="1:62" ht="18" hidden="1" outlineLevel="2" thickBot="1">
      <c r="A166" s="2767" t="s">
        <v>4194</v>
      </c>
      <c r="B166" s="2803"/>
      <c r="C166" s="2857"/>
      <c r="D166" s="2893">
        <v>3</v>
      </c>
      <c r="E166" s="2842"/>
      <c r="F166" s="2769">
        <v>2391200</v>
      </c>
      <c r="G166" s="2770">
        <v>3142400</v>
      </c>
      <c r="H166" s="2770"/>
      <c r="I166" s="2770"/>
      <c r="J166" s="2770"/>
      <c r="K166" s="2770"/>
      <c r="L166" s="2770"/>
      <c r="M166" s="2770"/>
      <c r="N166" s="2770"/>
      <c r="O166" s="2770"/>
      <c r="P166" s="2770"/>
      <c r="Q166" s="2770"/>
      <c r="R166" s="2770"/>
      <c r="S166" s="2770"/>
      <c r="T166" s="2770"/>
      <c r="U166" s="2770"/>
      <c r="V166" s="2770"/>
      <c r="W166" s="2770"/>
      <c r="X166" s="2770"/>
      <c r="Y166" s="2770"/>
      <c r="Z166" s="2770"/>
      <c r="AA166" s="2770"/>
      <c r="AB166" s="2770"/>
      <c r="AC166" s="2770"/>
      <c r="AD166" s="2770"/>
      <c r="AE166" s="2770"/>
      <c r="AF166" s="2770"/>
      <c r="AG166" s="2770"/>
      <c r="AH166" s="2770"/>
      <c r="AI166" s="2770"/>
      <c r="AJ166" s="2770"/>
      <c r="AK166" s="2770"/>
      <c r="AL166" s="2770"/>
      <c r="AM166" s="2770"/>
      <c r="AN166" s="2770"/>
      <c r="AO166" s="2770"/>
      <c r="AP166" s="2770"/>
      <c r="AQ166" s="2770"/>
      <c r="AR166" s="2770"/>
      <c r="AS166" s="2770"/>
      <c r="AT166" s="2770"/>
      <c r="AU166" s="2770"/>
      <c r="AV166" s="2694">
        <v>0</v>
      </c>
      <c r="AW166" s="2771"/>
      <c r="AX166" s="2841"/>
      <c r="AY166" s="2760"/>
      <c r="AZ166" s="2760"/>
      <c r="BA166" s="2760"/>
      <c r="BB166" s="2760"/>
      <c r="BC166" s="2760"/>
      <c r="BD166" s="2760"/>
      <c r="BE166" s="2760"/>
      <c r="BF166" s="2760"/>
      <c r="BG166" s="2760"/>
      <c r="BI166" s="2730"/>
      <c r="BJ166" s="2730"/>
    </row>
    <row r="167" spans="1:62" ht="18" hidden="1" outlineLevel="2" thickBot="1">
      <c r="A167" s="2767" t="s">
        <v>4195</v>
      </c>
      <c r="B167" s="2803"/>
      <c r="C167" s="2857"/>
      <c r="D167" s="2893">
        <v>3</v>
      </c>
      <c r="E167" s="2842"/>
      <c r="F167" s="2769">
        <v>1257700</v>
      </c>
      <c r="G167" s="2770">
        <v>1252600</v>
      </c>
      <c r="H167" s="2770"/>
      <c r="I167" s="2770"/>
      <c r="J167" s="2770"/>
      <c r="K167" s="2770"/>
      <c r="L167" s="2770"/>
      <c r="M167" s="2770"/>
      <c r="N167" s="2770"/>
      <c r="O167" s="2770"/>
      <c r="P167" s="2770"/>
      <c r="Q167" s="2770"/>
      <c r="R167" s="2770"/>
      <c r="S167" s="2770"/>
      <c r="T167" s="2770"/>
      <c r="U167" s="2770"/>
      <c r="V167" s="2770"/>
      <c r="W167" s="2770"/>
      <c r="X167" s="2770"/>
      <c r="Y167" s="2770"/>
      <c r="Z167" s="2770"/>
      <c r="AA167" s="2770"/>
      <c r="AB167" s="2770"/>
      <c r="AC167" s="2770"/>
      <c r="AD167" s="2770"/>
      <c r="AE167" s="2770"/>
      <c r="AF167" s="2770"/>
      <c r="AG167" s="2770"/>
      <c r="AH167" s="2770"/>
      <c r="AI167" s="2770"/>
      <c r="AJ167" s="2770"/>
      <c r="AK167" s="2770"/>
      <c r="AL167" s="2770"/>
      <c r="AM167" s="2770"/>
      <c r="AN167" s="2770"/>
      <c r="AO167" s="2770"/>
      <c r="AP167" s="2770"/>
      <c r="AQ167" s="2770"/>
      <c r="AR167" s="2770"/>
      <c r="AS167" s="2770"/>
      <c r="AT167" s="2770"/>
      <c r="AU167" s="2770"/>
      <c r="AV167" s="2694">
        <v>0</v>
      </c>
      <c r="AW167" s="2771"/>
      <c r="AX167" s="2841"/>
      <c r="AY167" s="2760"/>
      <c r="AZ167" s="2760"/>
      <c r="BA167" s="2760"/>
      <c r="BB167" s="2760"/>
      <c r="BC167" s="2760"/>
      <c r="BD167" s="2760"/>
      <c r="BE167" s="2760"/>
      <c r="BF167" s="2760"/>
      <c r="BG167" s="2760"/>
      <c r="BI167" s="2730"/>
      <c r="BJ167" s="2730"/>
    </row>
    <row r="168" spans="1:62" ht="18" hidden="1" outlineLevel="2" thickBot="1">
      <c r="A168" s="2767" t="s">
        <v>4196</v>
      </c>
      <c r="B168" s="2803"/>
      <c r="C168" s="2857"/>
      <c r="D168" s="2842">
        <v>1</v>
      </c>
      <c r="E168" s="2842"/>
      <c r="F168" s="2769"/>
      <c r="G168" s="2770">
        <v>145800</v>
      </c>
      <c r="H168" s="2770"/>
      <c r="I168" s="2770"/>
      <c r="J168" s="2770"/>
      <c r="K168" s="2770"/>
      <c r="L168" s="2770"/>
      <c r="M168" s="2770"/>
      <c r="N168" s="2770"/>
      <c r="O168" s="2770"/>
      <c r="P168" s="2770"/>
      <c r="Q168" s="2770"/>
      <c r="R168" s="2770"/>
      <c r="S168" s="2770"/>
      <c r="T168" s="2770"/>
      <c r="U168" s="2770"/>
      <c r="V168" s="2770"/>
      <c r="W168" s="2770"/>
      <c r="X168" s="2770"/>
      <c r="Y168" s="2770"/>
      <c r="Z168" s="2770"/>
      <c r="AA168" s="2770"/>
      <c r="AB168" s="2770"/>
      <c r="AC168" s="2770"/>
      <c r="AD168" s="2770"/>
      <c r="AE168" s="2770"/>
      <c r="AF168" s="2770"/>
      <c r="AG168" s="2770"/>
      <c r="AH168" s="2770"/>
      <c r="AI168" s="2770"/>
      <c r="AJ168" s="2770"/>
      <c r="AK168" s="2770"/>
      <c r="AL168" s="2770"/>
      <c r="AM168" s="2770"/>
      <c r="AN168" s="2770"/>
      <c r="AO168" s="2770"/>
      <c r="AP168" s="2770"/>
      <c r="AQ168" s="2770"/>
      <c r="AR168" s="2770"/>
      <c r="AS168" s="2770"/>
      <c r="AT168" s="2770"/>
      <c r="AU168" s="2770"/>
      <c r="AV168" s="2694">
        <v>0</v>
      </c>
      <c r="AW168" s="2771"/>
      <c r="AX168" s="2841"/>
      <c r="AY168" s="2760"/>
      <c r="AZ168" s="2760"/>
      <c r="BA168" s="2760"/>
      <c r="BB168" s="2760"/>
      <c r="BC168" s="2760"/>
      <c r="BD168" s="2760"/>
      <c r="BE168" s="2760"/>
      <c r="BF168" s="2760"/>
      <c r="BG168" s="2760"/>
      <c r="BI168" s="2730"/>
      <c r="BJ168" s="2730"/>
    </row>
    <row r="169" spans="1:62" ht="18" hidden="1" outlineLevel="2" thickBot="1">
      <c r="A169" s="2767" t="s">
        <v>4197</v>
      </c>
      <c r="B169" s="2803"/>
      <c r="C169" s="2857"/>
      <c r="D169" s="2842">
        <v>1</v>
      </c>
      <c r="E169" s="2842"/>
      <c r="F169" s="2769"/>
      <c r="G169" s="2770"/>
      <c r="H169" s="2770"/>
      <c r="I169" s="2770"/>
      <c r="J169" s="2770"/>
      <c r="K169" s="2770"/>
      <c r="L169" s="2770"/>
      <c r="M169" s="2770"/>
      <c r="N169" s="2770"/>
      <c r="O169" s="2770"/>
      <c r="P169" s="2770"/>
      <c r="Q169" s="2770"/>
      <c r="R169" s="2770"/>
      <c r="S169" s="2770"/>
      <c r="T169" s="2770"/>
      <c r="U169" s="2770"/>
      <c r="V169" s="2770"/>
      <c r="W169" s="2770"/>
      <c r="X169" s="2770"/>
      <c r="Y169" s="2770"/>
      <c r="Z169" s="2770"/>
      <c r="AA169" s="2770"/>
      <c r="AB169" s="2770"/>
      <c r="AC169" s="2770"/>
      <c r="AD169" s="2770"/>
      <c r="AE169" s="2770"/>
      <c r="AF169" s="2770"/>
      <c r="AG169" s="2770"/>
      <c r="AH169" s="2770"/>
      <c r="AI169" s="2770"/>
      <c r="AJ169" s="2770"/>
      <c r="AK169" s="2770"/>
      <c r="AL169" s="2770"/>
      <c r="AM169" s="2770"/>
      <c r="AN169" s="2770"/>
      <c r="AO169" s="2770"/>
      <c r="AP169" s="2770"/>
      <c r="AQ169" s="2770"/>
      <c r="AR169" s="2770"/>
      <c r="AS169" s="2770"/>
      <c r="AT169" s="2770"/>
      <c r="AU169" s="2770"/>
      <c r="AV169" s="2694">
        <v>0</v>
      </c>
      <c r="AW169" s="2771"/>
      <c r="AX169" s="2841"/>
      <c r="AY169" s="2760"/>
      <c r="AZ169" s="2760"/>
      <c r="BA169" s="2760"/>
      <c r="BB169" s="2760"/>
      <c r="BC169" s="2760"/>
      <c r="BD169" s="2760"/>
      <c r="BE169" s="2760"/>
      <c r="BF169" s="2760"/>
      <c r="BG169" s="2760"/>
      <c r="BI169" s="2730"/>
      <c r="BJ169" s="2730"/>
    </row>
    <row r="170" spans="1:62" ht="18" hidden="1" outlineLevel="2" thickBot="1">
      <c r="A170" s="2767" t="s">
        <v>4198</v>
      </c>
      <c r="B170" s="2826" t="s">
        <v>4199</v>
      </c>
      <c r="C170" s="2857"/>
      <c r="D170" s="2842">
        <v>1</v>
      </c>
      <c r="E170" s="2842"/>
      <c r="F170" s="2769">
        <v>7266580</v>
      </c>
      <c r="G170" s="2770">
        <v>6926250</v>
      </c>
      <c r="H170" s="2770"/>
      <c r="I170" s="2770"/>
      <c r="J170" s="2770"/>
      <c r="K170" s="2770"/>
      <c r="L170" s="2770"/>
      <c r="M170" s="2770"/>
      <c r="N170" s="2770"/>
      <c r="O170" s="2770"/>
      <c r="P170" s="2770"/>
      <c r="Q170" s="2770"/>
      <c r="R170" s="2770"/>
      <c r="S170" s="2770"/>
      <c r="T170" s="2770"/>
      <c r="U170" s="2770"/>
      <c r="V170" s="2770"/>
      <c r="W170" s="2770"/>
      <c r="X170" s="2770"/>
      <c r="Y170" s="2770"/>
      <c r="Z170" s="2770"/>
      <c r="AA170" s="2770"/>
      <c r="AB170" s="2770"/>
      <c r="AC170" s="2770"/>
      <c r="AD170" s="2770"/>
      <c r="AE170" s="2770"/>
      <c r="AF170" s="2770"/>
      <c r="AG170" s="2770"/>
      <c r="AH170" s="2770"/>
      <c r="AI170" s="2770"/>
      <c r="AJ170" s="2770"/>
      <c r="AK170" s="2770"/>
      <c r="AL170" s="2770"/>
      <c r="AM170" s="2770"/>
      <c r="AN170" s="2770"/>
      <c r="AO170" s="2770"/>
      <c r="AP170" s="2770"/>
      <c r="AQ170" s="2770"/>
      <c r="AR170" s="2770"/>
      <c r="AS170" s="2770"/>
      <c r="AT170" s="2770"/>
      <c r="AU170" s="2770"/>
      <c r="AV170" s="2694">
        <v>0</v>
      </c>
      <c r="AW170" s="2771"/>
      <c r="AX170" s="2841"/>
      <c r="AY170" s="2760"/>
      <c r="AZ170" s="2760"/>
      <c r="BA170" s="2760"/>
      <c r="BB170" s="2760"/>
      <c r="BC170" s="2760"/>
      <c r="BD170" s="2760"/>
      <c r="BE170" s="2760"/>
      <c r="BF170" s="2760"/>
      <c r="BG170" s="2760"/>
      <c r="BI170" s="2730"/>
      <c r="BJ170" s="2730"/>
    </row>
    <row r="171" spans="1:62" ht="18" hidden="1" outlineLevel="2" thickBot="1">
      <c r="A171" s="2775" t="s">
        <v>4200</v>
      </c>
      <c r="B171" s="2832" t="s">
        <v>4201</v>
      </c>
      <c r="C171" s="2896"/>
      <c r="D171" s="2897">
        <v>2</v>
      </c>
      <c r="E171" s="2897"/>
      <c r="F171" s="2779">
        <v>10083190</v>
      </c>
      <c r="G171" s="2780">
        <v>76340</v>
      </c>
      <c r="H171" s="2780"/>
      <c r="I171" s="2780"/>
      <c r="J171" s="2780"/>
      <c r="K171" s="2780"/>
      <c r="L171" s="2780"/>
      <c r="M171" s="2780"/>
      <c r="N171" s="2780"/>
      <c r="O171" s="2780"/>
      <c r="P171" s="2780"/>
      <c r="Q171" s="2780"/>
      <c r="R171" s="2780"/>
      <c r="S171" s="2780"/>
      <c r="T171" s="2780"/>
      <c r="U171" s="2780"/>
      <c r="V171" s="2780"/>
      <c r="W171" s="2780"/>
      <c r="X171" s="2780"/>
      <c r="Y171" s="2780"/>
      <c r="Z171" s="2780"/>
      <c r="AA171" s="2780"/>
      <c r="AB171" s="2780"/>
      <c r="AC171" s="2780"/>
      <c r="AD171" s="2780"/>
      <c r="AE171" s="2780"/>
      <c r="AF171" s="2780"/>
      <c r="AG171" s="2780"/>
      <c r="AH171" s="2780"/>
      <c r="AI171" s="2780"/>
      <c r="AJ171" s="2780"/>
      <c r="AK171" s="2780"/>
      <c r="AL171" s="2780"/>
      <c r="AM171" s="2780"/>
      <c r="AN171" s="2780"/>
      <c r="AO171" s="2780"/>
      <c r="AP171" s="2780"/>
      <c r="AQ171" s="2780"/>
      <c r="AR171" s="2780"/>
      <c r="AS171" s="2780"/>
      <c r="AT171" s="2780"/>
      <c r="AU171" s="2780"/>
      <c r="AV171" s="2694">
        <v>0</v>
      </c>
      <c r="AW171" s="2809"/>
      <c r="AX171" s="2841"/>
      <c r="AY171" s="2760"/>
      <c r="AZ171" s="2760"/>
      <c r="BA171" s="2760"/>
      <c r="BB171" s="2760"/>
      <c r="BC171" s="2760"/>
      <c r="BD171" s="2760"/>
      <c r="BE171" s="2760"/>
      <c r="BF171" s="2760"/>
      <c r="BG171" s="2760"/>
      <c r="BI171" s="2730"/>
      <c r="BJ171" s="2730"/>
    </row>
    <row r="172" spans="1:62" ht="18" hidden="1" outlineLevel="1" collapsed="1" thickBot="1">
      <c r="A172" s="2823" t="s">
        <v>4202</v>
      </c>
      <c r="B172" s="2830"/>
      <c r="C172" s="2811"/>
      <c r="D172" s="2792"/>
      <c r="E172" s="2792"/>
      <c r="F172" s="2794">
        <f>SUM(F173:F178)</f>
        <v>4544650</v>
      </c>
      <c r="G172" s="2794">
        <f t="shared" ref="G172:AU172" si="134">SUM(G173:G178)</f>
        <v>4951260</v>
      </c>
      <c r="H172" s="2794">
        <f t="shared" si="134"/>
        <v>4511260</v>
      </c>
      <c r="I172" s="2794">
        <f t="shared" si="134"/>
        <v>4511260</v>
      </c>
      <c r="J172" s="2794">
        <f t="shared" si="134"/>
        <v>4511260</v>
      </c>
      <c r="K172" s="2794">
        <f t="shared" si="134"/>
        <v>4511260</v>
      </c>
      <c r="L172" s="2794">
        <f t="shared" si="134"/>
        <v>4511260</v>
      </c>
      <c r="M172" s="2794">
        <f t="shared" si="134"/>
        <v>4511260</v>
      </c>
      <c r="N172" s="2794">
        <f t="shared" si="134"/>
        <v>4511260</v>
      </c>
      <c r="O172" s="2794">
        <f t="shared" si="134"/>
        <v>4511260</v>
      </c>
      <c r="P172" s="2794">
        <f t="shared" si="134"/>
        <v>4511260</v>
      </c>
      <c r="Q172" s="2794">
        <f t="shared" si="134"/>
        <v>4511260</v>
      </c>
      <c r="R172" s="2794">
        <f t="shared" si="134"/>
        <v>4511260</v>
      </c>
      <c r="S172" s="2794">
        <f t="shared" si="134"/>
        <v>4511260</v>
      </c>
      <c r="T172" s="2794">
        <f t="shared" si="134"/>
        <v>4511260</v>
      </c>
      <c r="U172" s="2794">
        <f t="shared" si="134"/>
        <v>4511260</v>
      </c>
      <c r="V172" s="2794">
        <f t="shared" si="134"/>
        <v>4511260</v>
      </c>
      <c r="W172" s="2794">
        <f t="shared" si="134"/>
        <v>4511260</v>
      </c>
      <c r="X172" s="2794">
        <f t="shared" si="134"/>
        <v>4511260</v>
      </c>
      <c r="Y172" s="2794">
        <f t="shared" si="134"/>
        <v>4511260</v>
      </c>
      <c r="Z172" s="2794">
        <f t="shared" si="134"/>
        <v>4511260</v>
      </c>
      <c r="AA172" s="2794">
        <f t="shared" si="134"/>
        <v>4511260</v>
      </c>
      <c r="AB172" s="2794">
        <f t="shared" si="134"/>
        <v>4511260</v>
      </c>
      <c r="AC172" s="2794">
        <f t="shared" si="134"/>
        <v>4511260</v>
      </c>
      <c r="AD172" s="2794">
        <f t="shared" si="134"/>
        <v>4511260</v>
      </c>
      <c r="AE172" s="2794">
        <f t="shared" si="134"/>
        <v>4511260</v>
      </c>
      <c r="AF172" s="2794">
        <f t="shared" si="134"/>
        <v>4511260</v>
      </c>
      <c r="AG172" s="2794">
        <f t="shared" si="134"/>
        <v>4511260</v>
      </c>
      <c r="AH172" s="2794">
        <f t="shared" si="134"/>
        <v>4511260</v>
      </c>
      <c r="AI172" s="2794">
        <f t="shared" si="134"/>
        <v>4511260</v>
      </c>
      <c r="AJ172" s="2794">
        <f t="shared" si="134"/>
        <v>4511260</v>
      </c>
      <c r="AK172" s="2794">
        <f t="shared" si="134"/>
        <v>4511260</v>
      </c>
      <c r="AL172" s="2794">
        <f t="shared" si="134"/>
        <v>4511260</v>
      </c>
      <c r="AM172" s="2794">
        <f t="shared" si="134"/>
        <v>4511260</v>
      </c>
      <c r="AN172" s="2794">
        <f t="shared" si="134"/>
        <v>4511260</v>
      </c>
      <c r="AO172" s="2794">
        <f t="shared" si="134"/>
        <v>4511260</v>
      </c>
      <c r="AP172" s="2794">
        <f t="shared" si="134"/>
        <v>4511260</v>
      </c>
      <c r="AQ172" s="2794">
        <f t="shared" si="134"/>
        <v>4511260</v>
      </c>
      <c r="AR172" s="2794">
        <f t="shared" si="134"/>
        <v>4511260</v>
      </c>
      <c r="AS172" s="2794">
        <f t="shared" si="134"/>
        <v>4511260</v>
      </c>
      <c r="AT172" s="2794">
        <f t="shared" si="134"/>
        <v>4511260</v>
      </c>
      <c r="AU172" s="2794">
        <f t="shared" si="134"/>
        <v>4511260</v>
      </c>
      <c r="AV172" s="2694">
        <v>0</v>
      </c>
      <c r="AW172" s="2809"/>
      <c r="AX172" s="2759"/>
      <c r="AY172" s="2760"/>
      <c r="AZ172" s="2760"/>
      <c r="BA172" s="2760"/>
      <c r="BB172" s="2760"/>
      <c r="BC172" s="2760"/>
      <c r="BD172" s="2760"/>
      <c r="BE172" s="2760"/>
      <c r="BF172" s="2760"/>
      <c r="BG172" s="2760"/>
      <c r="BI172" s="2730"/>
      <c r="BJ172" s="2730"/>
    </row>
    <row r="173" spans="1:62" ht="18" hidden="1" outlineLevel="1" thickBot="1">
      <c r="A173" s="2767" t="s">
        <v>4203</v>
      </c>
      <c r="B173" s="2803"/>
      <c r="C173" s="2763"/>
      <c r="D173" s="2764">
        <v>3</v>
      </c>
      <c r="E173" s="2764"/>
      <c r="F173" s="2769">
        <v>250000</v>
      </c>
      <c r="G173" s="2770">
        <v>250000</v>
      </c>
      <c r="H173" s="2770">
        <f t="shared" ref="H173:AU173" si="135">G173</f>
        <v>250000</v>
      </c>
      <c r="I173" s="2770">
        <f t="shared" si="135"/>
        <v>250000</v>
      </c>
      <c r="J173" s="2770">
        <f t="shared" si="135"/>
        <v>250000</v>
      </c>
      <c r="K173" s="2770">
        <f t="shared" si="135"/>
        <v>250000</v>
      </c>
      <c r="L173" s="2770">
        <f t="shared" si="135"/>
        <v>250000</v>
      </c>
      <c r="M173" s="2770">
        <f t="shared" si="135"/>
        <v>250000</v>
      </c>
      <c r="N173" s="2770">
        <f t="shared" si="135"/>
        <v>250000</v>
      </c>
      <c r="O173" s="2770">
        <f t="shared" si="135"/>
        <v>250000</v>
      </c>
      <c r="P173" s="2770">
        <f t="shared" si="135"/>
        <v>250000</v>
      </c>
      <c r="Q173" s="2770">
        <f t="shared" si="135"/>
        <v>250000</v>
      </c>
      <c r="R173" s="2770">
        <f t="shared" si="135"/>
        <v>250000</v>
      </c>
      <c r="S173" s="2770">
        <f t="shared" si="135"/>
        <v>250000</v>
      </c>
      <c r="T173" s="2770">
        <f t="shared" si="135"/>
        <v>250000</v>
      </c>
      <c r="U173" s="2770">
        <f t="shared" si="135"/>
        <v>250000</v>
      </c>
      <c r="V173" s="2770">
        <f t="shared" si="135"/>
        <v>250000</v>
      </c>
      <c r="W173" s="2770">
        <f t="shared" si="135"/>
        <v>250000</v>
      </c>
      <c r="X173" s="2770">
        <f t="shared" si="135"/>
        <v>250000</v>
      </c>
      <c r="Y173" s="2770">
        <f t="shared" si="135"/>
        <v>250000</v>
      </c>
      <c r="Z173" s="2770">
        <f t="shared" si="135"/>
        <v>250000</v>
      </c>
      <c r="AA173" s="2770">
        <f t="shared" si="135"/>
        <v>250000</v>
      </c>
      <c r="AB173" s="2770">
        <f t="shared" si="135"/>
        <v>250000</v>
      </c>
      <c r="AC173" s="2770">
        <f t="shared" si="135"/>
        <v>250000</v>
      </c>
      <c r="AD173" s="2770">
        <f t="shared" si="135"/>
        <v>250000</v>
      </c>
      <c r="AE173" s="2770">
        <f t="shared" si="135"/>
        <v>250000</v>
      </c>
      <c r="AF173" s="2770">
        <f t="shared" si="135"/>
        <v>250000</v>
      </c>
      <c r="AG173" s="2770">
        <f t="shared" si="135"/>
        <v>250000</v>
      </c>
      <c r="AH173" s="2770">
        <f t="shared" si="135"/>
        <v>250000</v>
      </c>
      <c r="AI173" s="2770">
        <f t="shared" si="135"/>
        <v>250000</v>
      </c>
      <c r="AJ173" s="2770">
        <f t="shared" si="135"/>
        <v>250000</v>
      </c>
      <c r="AK173" s="2770">
        <f t="shared" si="135"/>
        <v>250000</v>
      </c>
      <c r="AL173" s="2770">
        <f t="shared" si="135"/>
        <v>250000</v>
      </c>
      <c r="AM173" s="2770">
        <f t="shared" si="135"/>
        <v>250000</v>
      </c>
      <c r="AN173" s="2770">
        <f t="shared" si="135"/>
        <v>250000</v>
      </c>
      <c r="AO173" s="2770">
        <f t="shared" si="135"/>
        <v>250000</v>
      </c>
      <c r="AP173" s="2770">
        <f t="shared" si="135"/>
        <v>250000</v>
      </c>
      <c r="AQ173" s="2770">
        <f t="shared" si="135"/>
        <v>250000</v>
      </c>
      <c r="AR173" s="2770">
        <f t="shared" si="135"/>
        <v>250000</v>
      </c>
      <c r="AS173" s="2770">
        <f t="shared" si="135"/>
        <v>250000</v>
      </c>
      <c r="AT173" s="2770">
        <f t="shared" si="135"/>
        <v>250000</v>
      </c>
      <c r="AU173" s="2770">
        <f t="shared" si="135"/>
        <v>250000</v>
      </c>
      <c r="AV173" s="2694">
        <v>0</v>
      </c>
      <c r="AW173" s="2758"/>
      <c r="AX173" s="2759"/>
      <c r="AY173" s="2760"/>
      <c r="AZ173" s="2760"/>
      <c r="BA173" s="2760"/>
      <c r="BB173" s="2760"/>
      <c r="BC173" s="2760"/>
      <c r="BD173" s="2760"/>
      <c r="BE173" s="2760"/>
      <c r="BF173" s="2760"/>
      <c r="BG173" s="2760"/>
      <c r="BI173" s="2730"/>
      <c r="BJ173" s="2730"/>
    </row>
    <row r="174" spans="1:62" ht="18" hidden="1" outlineLevel="1" thickBot="1">
      <c r="A174" s="2767" t="s">
        <v>4204</v>
      </c>
      <c r="B174" s="2803"/>
      <c r="C174" s="2763"/>
      <c r="D174" s="2764">
        <v>1</v>
      </c>
      <c r="E174" s="2764"/>
      <c r="F174" s="2769"/>
      <c r="G174" s="2770">
        <v>440000</v>
      </c>
      <c r="H174" s="2770"/>
      <c r="I174" s="2770"/>
      <c r="J174" s="2770"/>
      <c r="K174" s="2770"/>
      <c r="L174" s="2770"/>
      <c r="M174" s="2770"/>
      <c r="N174" s="2770"/>
      <c r="O174" s="2770"/>
      <c r="P174" s="2770"/>
      <c r="Q174" s="2770"/>
      <c r="R174" s="2770"/>
      <c r="S174" s="2770"/>
      <c r="T174" s="2770"/>
      <c r="U174" s="2770"/>
      <c r="V174" s="2770"/>
      <c r="W174" s="2770"/>
      <c r="X174" s="2770"/>
      <c r="Y174" s="2770"/>
      <c r="Z174" s="2770"/>
      <c r="AA174" s="2770"/>
      <c r="AB174" s="2770"/>
      <c r="AC174" s="2770"/>
      <c r="AD174" s="2770"/>
      <c r="AE174" s="2770"/>
      <c r="AF174" s="2770"/>
      <c r="AG174" s="2770"/>
      <c r="AH174" s="2770"/>
      <c r="AI174" s="2770"/>
      <c r="AJ174" s="2770"/>
      <c r="AK174" s="2770"/>
      <c r="AL174" s="2770"/>
      <c r="AM174" s="2770"/>
      <c r="AN174" s="2770"/>
      <c r="AO174" s="2770"/>
      <c r="AP174" s="2770"/>
      <c r="AQ174" s="2770"/>
      <c r="AR174" s="2770"/>
      <c r="AS174" s="2770"/>
      <c r="AT174" s="2770"/>
      <c r="AU174" s="2770"/>
      <c r="AV174" s="2694">
        <v>0</v>
      </c>
      <c r="AW174" s="2771"/>
      <c r="AX174" s="2759"/>
      <c r="AY174" s="2760"/>
      <c r="AZ174" s="2760"/>
      <c r="BA174" s="2760"/>
      <c r="BB174" s="2760"/>
      <c r="BC174" s="2760"/>
      <c r="BD174" s="2760"/>
      <c r="BE174" s="2760"/>
      <c r="BF174" s="2760"/>
      <c r="BG174" s="2760"/>
      <c r="BI174" s="2730"/>
      <c r="BJ174" s="2730"/>
    </row>
    <row r="175" spans="1:62" ht="18" hidden="1" outlineLevel="1" thickBot="1">
      <c r="A175" s="2767" t="s">
        <v>4205</v>
      </c>
      <c r="B175" s="2803"/>
      <c r="C175" s="2763"/>
      <c r="D175" s="2764">
        <v>1</v>
      </c>
      <c r="E175" s="2764"/>
      <c r="F175" s="2769"/>
      <c r="G175" s="2770">
        <v>0</v>
      </c>
      <c r="H175" s="2770"/>
      <c r="I175" s="2770"/>
      <c r="J175" s="2770"/>
      <c r="K175" s="2770"/>
      <c r="L175" s="2770"/>
      <c r="M175" s="2770"/>
      <c r="N175" s="2770"/>
      <c r="O175" s="2770"/>
      <c r="P175" s="2770"/>
      <c r="Q175" s="2770"/>
      <c r="R175" s="2770"/>
      <c r="S175" s="2770"/>
      <c r="T175" s="2770"/>
      <c r="U175" s="2770"/>
      <c r="V175" s="2770"/>
      <c r="W175" s="2770"/>
      <c r="X175" s="2770"/>
      <c r="Y175" s="2770"/>
      <c r="Z175" s="2770"/>
      <c r="AA175" s="2770"/>
      <c r="AB175" s="2770"/>
      <c r="AC175" s="2770"/>
      <c r="AD175" s="2770"/>
      <c r="AE175" s="2770"/>
      <c r="AF175" s="2770"/>
      <c r="AG175" s="2770"/>
      <c r="AH175" s="2770"/>
      <c r="AI175" s="2770"/>
      <c r="AJ175" s="2770"/>
      <c r="AK175" s="2770"/>
      <c r="AL175" s="2770"/>
      <c r="AM175" s="2770"/>
      <c r="AN175" s="2770"/>
      <c r="AO175" s="2770"/>
      <c r="AP175" s="2770"/>
      <c r="AQ175" s="2770"/>
      <c r="AR175" s="2770"/>
      <c r="AS175" s="2770"/>
      <c r="AT175" s="2770"/>
      <c r="AU175" s="2770"/>
      <c r="AV175" s="2694">
        <v>0</v>
      </c>
      <c r="AW175" s="2771"/>
      <c r="AX175" s="2759"/>
      <c r="AY175" s="2760"/>
      <c r="AZ175" s="2760"/>
      <c r="BA175" s="2760"/>
      <c r="BB175" s="2760"/>
      <c r="BC175" s="2760"/>
      <c r="BD175" s="2760"/>
      <c r="BE175" s="2760"/>
      <c r="BF175" s="2760"/>
      <c r="BG175" s="2760"/>
      <c r="BI175" s="2730"/>
      <c r="BJ175" s="2730"/>
    </row>
    <row r="176" spans="1:62" ht="18" hidden="1" outlineLevel="1" thickBot="1">
      <c r="A176" s="2767" t="s">
        <v>4206</v>
      </c>
      <c r="B176" s="2803" t="s">
        <v>4207</v>
      </c>
      <c r="C176" s="2763"/>
      <c r="D176" s="2764">
        <v>1</v>
      </c>
      <c r="E176" s="2764"/>
      <c r="F176" s="2770">
        <v>382500</v>
      </c>
      <c r="G176" s="2770">
        <v>328500</v>
      </c>
      <c r="H176" s="2770">
        <f t="shared" ref="H176:W178" si="136">G176</f>
        <v>328500</v>
      </c>
      <c r="I176" s="2770">
        <f t="shared" si="136"/>
        <v>328500</v>
      </c>
      <c r="J176" s="2770">
        <f t="shared" si="136"/>
        <v>328500</v>
      </c>
      <c r="K176" s="2770">
        <f t="shared" si="136"/>
        <v>328500</v>
      </c>
      <c r="L176" s="2770">
        <f t="shared" si="136"/>
        <v>328500</v>
      </c>
      <c r="M176" s="2770">
        <f t="shared" si="136"/>
        <v>328500</v>
      </c>
      <c r="N176" s="2770">
        <f t="shared" si="136"/>
        <v>328500</v>
      </c>
      <c r="O176" s="2770">
        <f t="shared" si="136"/>
        <v>328500</v>
      </c>
      <c r="P176" s="2770">
        <f t="shared" si="136"/>
        <v>328500</v>
      </c>
      <c r="Q176" s="2770">
        <f t="shared" si="136"/>
        <v>328500</v>
      </c>
      <c r="R176" s="2770">
        <f t="shared" si="136"/>
        <v>328500</v>
      </c>
      <c r="S176" s="2770">
        <f t="shared" si="136"/>
        <v>328500</v>
      </c>
      <c r="T176" s="2770">
        <f t="shared" si="136"/>
        <v>328500</v>
      </c>
      <c r="U176" s="2770">
        <f t="shared" si="136"/>
        <v>328500</v>
      </c>
      <c r="V176" s="2770">
        <f t="shared" si="136"/>
        <v>328500</v>
      </c>
      <c r="W176" s="2770">
        <f t="shared" si="136"/>
        <v>328500</v>
      </c>
      <c r="X176" s="2770">
        <f t="shared" ref="X176:AM178" si="137">W176</f>
        <v>328500</v>
      </c>
      <c r="Y176" s="2770">
        <f t="shared" si="137"/>
        <v>328500</v>
      </c>
      <c r="Z176" s="2770">
        <f t="shared" si="137"/>
        <v>328500</v>
      </c>
      <c r="AA176" s="2770">
        <f t="shared" si="137"/>
        <v>328500</v>
      </c>
      <c r="AB176" s="2770">
        <f t="shared" si="137"/>
        <v>328500</v>
      </c>
      <c r="AC176" s="2770">
        <f t="shared" si="137"/>
        <v>328500</v>
      </c>
      <c r="AD176" s="2770">
        <f t="shared" si="137"/>
        <v>328500</v>
      </c>
      <c r="AE176" s="2770">
        <f t="shared" si="137"/>
        <v>328500</v>
      </c>
      <c r="AF176" s="2770">
        <f t="shared" si="137"/>
        <v>328500</v>
      </c>
      <c r="AG176" s="2770">
        <f t="shared" si="137"/>
        <v>328500</v>
      </c>
      <c r="AH176" s="2770">
        <f t="shared" si="137"/>
        <v>328500</v>
      </c>
      <c r="AI176" s="2770">
        <f t="shared" si="137"/>
        <v>328500</v>
      </c>
      <c r="AJ176" s="2770">
        <f t="shared" si="137"/>
        <v>328500</v>
      </c>
      <c r="AK176" s="2770">
        <f t="shared" si="137"/>
        <v>328500</v>
      </c>
      <c r="AL176" s="2770">
        <f t="shared" si="137"/>
        <v>328500</v>
      </c>
      <c r="AM176" s="2770">
        <f t="shared" si="137"/>
        <v>328500</v>
      </c>
      <c r="AN176" s="2770">
        <f t="shared" ref="AN176:AU178" si="138">AM176</f>
        <v>328500</v>
      </c>
      <c r="AO176" s="2770">
        <f t="shared" si="138"/>
        <v>328500</v>
      </c>
      <c r="AP176" s="2770">
        <f t="shared" si="138"/>
        <v>328500</v>
      </c>
      <c r="AQ176" s="2770">
        <f t="shared" si="138"/>
        <v>328500</v>
      </c>
      <c r="AR176" s="2770">
        <f t="shared" si="138"/>
        <v>328500</v>
      </c>
      <c r="AS176" s="2770">
        <f t="shared" si="138"/>
        <v>328500</v>
      </c>
      <c r="AT176" s="2770">
        <f t="shared" si="138"/>
        <v>328500</v>
      </c>
      <c r="AU176" s="2770">
        <f t="shared" si="138"/>
        <v>328500</v>
      </c>
      <c r="AV176" s="2694">
        <v>0</v>
      </c>
      <c r="AW176" s="2771"/>
      <c r="AX176" s="2759"/>
      <c r="AY176" s="2760"/>
      <c r="AZ176" s="2760"/>
      <c r="BA176" s="2760"/>
      <c r="BB176" s="2760"/>
      <c r="BC176" s="2760"/>
      <c r="BD176" s="2760"/>
      <c r="BE176" s="2760"/>
      <c r="BF176" s="2760"/>
      <c r="BG176" s="2760"/>
      <c r="BI176" s="2730"/>
      <c r="BJ176" s="2730"/>
    </row>
    <row r="177" spans="1:62" ht="18" hidden="1" outlineLevel="1" thickBot="1">
      <c r="A177" s="2767" t="s">
        <v>4208</v>
      </c>
      <c r="B177" s="2826"/>
      <c r="C177" s="2763"/>
      <c r="D177" s="2764">
        <v>1</v>
      </c>
      <c r="E177" s="2764"/>
      <c r="F177" s="2769">
        <v>2068900</v>
      </c>
      <c r="G177" s="2770">
        <v>1998810</v>
      </c>
      <c r="H177" s="2770">
        <f t="shared" si="136"/>
        <v>1998810</v>
      </c>
      <c r="I177" s="2770">
        <f t="shared" si="136"/>
        <v>1998810</v>
      </c>
      <c r="J177" s="2770">
        <f t="shared" si="136"/>
        <v>1998810</v>
      </c>
      <c r="K177" s="2770">
        <f t="shared" si="136"/>
        <v>1998810</v>
      </c>
      <c r="L177" s="2770">
        <f t="shared" si="136"/>
        <v>1998810</v>
      </c>
      <c r="M177" s="2770">
        <f t="shared" si="136"/>
        <v>1998810</v>
      </c>
      <c r="N177" s="2770">
        <f t="shared" si="136"/>
        <v>1998810</v>
      </c>
      <c r="O177" s="2770">
        <f t="shared" si="136"/>
        <v>1998810</v>
      </c>
      <c r="P177" s="2770">
        <f t="shared" si="136"/>
        <v>1998810</v>
      </c>
      <c r="Q177" s="2770">
        <f t="shared" si="136"/>
        <v>1998810</v>
      </c>
      <c r="R177" s="2770">
        <f t="shared" si="136"/>
        <v>1998810</v>
      </c>
      <c r="S177" s="2770">
        <f t="shared" si="136"/>
        <v>1998810</v>
      </c>
      <c r="T177" s="2770">
        <f t="shared" si="136"/>
        <v>1998810</v>
      </c>
      <c r="U177" s="2770">
        <f t="shared" si="136"/>
        <v>1998810</v>
      </c>
      <c r="V177" s="2770">
        <f t="shared" si="136"/>
        <v>1998810</v>
      </c>
      <c r="W177" s="2770">
        <f t="shared" si="136"/>
        <v>1998810</v>
      </c>
      <c r="X177" s="2770">
        <f t="shared" si="137"/>
        <v>1998810</v>
      </c>
      <c r="Y177" s="2770">
        <f t="shared" si="137"/>
        <v>1998810</v>
      </c>
      <c r="Z177" s="2770">
        <f t="shared" si="137"/>
        <v>1998810</v>
      </c>
      <c r="AA177" s="2770">
        <f t="shared" si="137"/>
        <v>1998810</v>
      </c>
      <c r="AB177" s="2770">
        <f t="shared" si="137"/>
        <v>1998810</v>
      </c>
      <c r="AC177" s="2770">
        <f t="shared" si="137"/>
        <v>1998810</v>
      </c>
      <c r="AD177" s="2770">
        <f t="shared" si="137"/>
        <v>1998810</v>
      </c>
      <c r="AE177" s="2770">
        <f t="shared" si="137"/>
        <v>1998810</v>
      </c>
      <c r="AF177" s="2770">
        <f t="shared" si="137"/>
        <v>1998810</v>
      </c>
      <c r="AG177" s="2770">
        <f t="shared" si="137"/>
        <v>1998810</v>
      </c>
      <c r="AH177" s="2770">
        <f t="shared" si="137"/>
        <v>1998810</v>
      </c>
      <c r="AI177" s="2770">
        <f t="shared" si="137"/>
        <v>1998810</v>
      </c>
      <c r="AJ177" s="2770">
        <f t="shared" si="137"/>
        <v>1998810</v>
      </c>
      <c r="AK177" s="2770">
        <f t="shared" si="137"/>
        <v>1998810</v>
      </c>
      <c r="AL177" s="2770">
        <f t="shared" si="137"/>
        <v>1998810</v>
      </c>
      <c r="AM177" s="2770">
        <f t="shared" si="137"/>
        <v>1998810</v>
      </c>
      <c r="AN177" s="2770">
        <f t="shared" si="138"/>
        <v>1998810</v>
      </c>
      <c r="AO177" s="2770">
        <f t="shared" si="138"/>
        <v>1998810</v>
      </c>
      <c r="AP177" s="2770">
        <f t="shared" si="138"/>
        <v>1998810</v>
      </c>
      <c r="AQ177" s="2770">
        <f t="shared" si="138"/>
        <v>1998810</v>
      </c>
      <c r="AR177" s="2770">
        <f t="shared" si="138"/>
        <v>1998810</v>
      </c>
      <c r="AS177" s="2770">
        <f t="shared" si="138"/>
        <v>1998810</v>
      </c>
      <c r="AT177" s="2770">
        <f t="shared" si="138"/>
        <v>1998810</v>
      </c>
      <c r="AU177" s="2770">
        <f t="shared" si="138"/>
        <v>1998810</v>
      </c>
      <c r="AV177" s="2694">
        <v>0</v>
      </c>
      <c r="AW177" s="2771"/>
      <c r="AX177" s="2759"/>
      <c r="AY177" s="2760"/>
      <c r="AZ177" s="2760"/>
      <c r="BA177" s="2760"/>
      <c r="BB177" s="2760"/>
      <c r="BC177" s="2760"/>
      <c r="BD177" s="2760"/>
      <c r="BE177" s="2760"/>
      <c r="BF177" s="2760"/>
      <c r="BG177" s="2760"/>
      <c r="BI177" s="2730"/>
      <c r="BJ177" s="2730"/>
    </row>
    <row r="178" spans="1:62" ht="18" hidden="1" outlineLevel="1" thickBot="1">
      <c r="A178" s="2767" t="s">
        <v>4209</v>
      </c>
      <c r="B178" s="2826"/>
      <c r="C178" s="2763"/>
      <c r="D178" s="2764">
        <v>3</v>
      </c>
      <c r="E178" s="2764"/>
      <c r="F178" s="2770">
        <v>1843250</v>
      </c>
      <c r="G178" s="2770">
        <v>1933950</v>
      </c>
      <c r="H178" s="2770">
        <f t="shared" si="136"/>
        <v>1933950</v>
      </c>
      <c r="I178" s="2770">
        <f t="shared" si="136"/>
        <v>1933950</v>
      </c>
      <c r="J178" s="2770">
        <f t="shared" si="136"/>
        <v>1933950</v>
      </c>
      <c r="K178" s="2770">
        <f t="shared" si="136"/>
        <v>1933950</v>
      </c>
      <c r="L178" s="2770">
        <f t="shared" si="136"/>
        <v>1933950</v>
      </c>
      <c r="M178" s="2770">
        <f t="shared" si="136"/>
        <v>1933950</v>
      </c>
      <c r="N178" s="2770">
        <f t="shared" si="136"/>
        <v>1933950</v>
      </c>
      <c r="O178" s="2770">
        <f t="shared" si="136"/>
        <v>1933950</v>
      </c>
      <c r="P178" s="2770">
        <f t="shared" si="136"/>
        <v>1933950</v>
      </c>
      <c r="Q178" s="2770">
        <f t="shared" si="136"/>
        <v>1933950</v>
      </c>
      <c r="R178" s="2770">
        <f t="shared" si="136"/>
        <v>1933950</v>
      </c>
      <c r="S178" s="2770">
        <f t="shared" si="136"/>
        <v>1933950</v>
      </c>
      <c r="T178" s="2770">
        <f t="shared" si="136"/>
        <v>1933950</v>
      </c>
      <c r="U178" s="2770">
        <f t="shared" si="136"/>
        <v>1933950</v>
      </c>
      <c r="V178" s="2770">
        <f t="shared" si="136"/>
        <v>1933950</v>
      </c>
      <c r="W178" s="2770">
        <f t="shared" si="136"/>
        <v>1933950</v>
      </c>
      <c r="X178" s="2770">
        <f t="shared" si="137"/>
        <v>1933950</v>
      </c>
      <c r="Y178" s="2770">
        <f t="shared" si="137"/>
        <v>1933950</v>
      </c>
      <c r="Z178" s="2770">
        <f t="shared" si="137"/>
        <v>1933950</v>
      </c>
      <c r="AA178" s="2770">
        <f t="shared" si="137"/>
        <v>1933950</v>
      </c>
      <c r="AB178" s="2770">
        <f t="shared" si="137"/>
        <v>1933950</v>
      </c>
      <c r="AC178" s="2770">
        <f t="shared" si="137"/>
        <v>1933950</v>
      </c>
      <c r="AD178" s="2770">
        <f t="shared" si="137"/>
        <v>1933950</v>
      </c>
      <c r="AE178" s="2770">
        <f t="shared" si="137"/>
        <v>1933950</v>
      </c>
      <c r="AF178" s="2770">
        <f t="shared" si="137"/>
        <v>1933950</v>
      </c>
      <c r="AG178" s="2770">
        <f t="shared" si="137"/>
        <v>1933950</v>
      </c>
      <c r="AH178" s="2770">
        <f t="shared" si="137"/>
        <v>1933950</v>
      </c>
      <c r="AI178" s="2770">
        <f t="shared" si="137"/>
        <v>1933950</v>
      </c>
      <c r="AJ178" s="2770">
        <f t="shared" si="137"/>
        <v>1933950</v>
      </c>
      <c r="AK178" s="2770">
        <f t="shared" si="137"/>
        <v>1933950</v>
      </c>
      <c r="AL178" s="2770">
        <f t="shared" si="137"/>
        <v>1933950</v>
      </c>
      <c r="AM178" s="2770">
        <f t="shared" si="137"/>
        <v>1933950</v>
      </c>
      <c r="AN178" s="2770">
        <f t="shared" si="138"/>
        <v>1933950</v>
      </c>
      <c r="AO178" s="2770">
        <f t="shared" si="138"/>
        <v>1933950</v>
      </c>
      <c r="AP178" s="2770">
        <f t="shared" si="138"/>
        <v>1933950</v>
      </c>
      <c r="AQ178" s="2770">
        <f t="shared" si="138"/>
        <v>1933950</v>
      </c>
      <c r="AR178" s="2770">
        <f t="shared" si="138"/>
        <v>1933950</v>
      </c>
      <c r="AS178" s="2770">
        <f t="shared" si="138"/>
        <v>1933950</v>
      </c>
      <c r="AT178" s="2770">
        <f t="shared" si="138"/>
        <v>1933950</v>
      </c>
      <c r="AU178" s="2770">
        <f t="shared" si="138"/>
        <v>1933950</v>
      </c>
      <c r="AV178" s="2694">
        <v>0</v>
      </c>
      <c r="AW178" s="2809"/>
      <c r="AX178" s="2759"/>
      <c r="AY178" s="2760"/>
      <c r="AZ178" s="2760"/>
      <c r="BA178" s="2760"/>
      <c r="BB178" s="2760"/>
      <c r="BC178" s="2760"/>
      <c r="BD178" s="2760"/>
      <c r="BE178" s="2760"/>
      <c r="BF178" s="2760"/>
      <c r="BG178" s="2760"/>
      <c r="BI178" s="2730"/>
      <c r="BJ178" s="2730"/>
    </row>
    <row r="179" spans="1:62" ht="18" hidden="1" outlineLevel="1" thickBot="1">
      <c r="A179" s="2898" t="s">
        <v>4210</v>
      </c>
      <c r="B179" s="2899"/>
      <c r="C179" s="2900">
        <v>0.02</v>
      </c>
      <c r="D179" s="2901">
        <v>2</v>
      </c>
      <c r="E179" s="2902"/>
      <c r="F179" s="2903">
        <f t="shared" ref="F179:AQ179" si="139">SUM(F180:F181)</f>
        <v>315991559</v>
      </c>
      <c r="G179" s="2903">
        <f t="shared" si="139"/>
        <v>290164589</v>
      </c>
      <c r="H179" s="2903">
        <f t="shared" si="139"/>
        <v>295967880.78000003</v>
      </c>
      <c r="I179" s="2903">
        <f t="shared" si="139"/>
        <v>301887238.39560002</v>
      </c>
      <c r="J179" s="2903">
        <f t="shared" si="139"/>
        <v>307924983.16351205</v>
      </c>
      <c r="K179" s="2903">
        <f t="shared" si="139"/>
        <v>314083482.82678229</v>
      </c>
      <c r="L179" s="2903">
        <f t="shared" si="139"/>
        <v>320365152.48331791</v>
      </c>
      <c r="M179" s="2903">
        <f t="shared" si="139"/>
        <v>326772455.53298426</v>
      </c>
      <c r="N179" s="2903">
        <f t="shared" si="139"/>
        <v>333307904.64364398</v>
      </c>
      <c r="O179" s="2903">
        <f t="shared" si="139"/>
        <v>339974062.73651683</v>
      </c>
      <c r="P179" s="2903">
        <f t="shared" si="139"/>
        <v>346773543.99124718</v>
      </c>
      <c r="Q179" s="2903">
        <f t="shared" si="139"/>
        <v>353709014.87107211</v>
      </c>
      <c r="R179" s="2903">
        <f t="shared" si="139"/>
        <v>360783195.16849357</v>
      </c>
      <c r="S179" s="2903">
        <f t="shared" si="139"/>
        <v>367998859.07186347</v>
      </c>
      <c r="T179" s="2903">
        <f t="shared" si="139"/>
        <v>375358836.25330073</v>
      </c>
      <c r="U179" s="2903">
        <f t="shared" si="139"/>
        <v>382866012.97836673</v>
      </c>
      <c r="V179" s="2903">
        <f t="shared" si="139"/>
        <v>390523333.23793405</v>
      </c>
      <c r="W179" s="2903">
        <f t="shared" si="139"/>
        <v>398333799.90269274</v>
      </c>
      <c r="X179" s="2903">
        <f t="shared" si="139"/>
        <v>406300475.90074658</v>
      </c>
      <c r="Y179" s="2903">
        <f t="shared" si="139"/>
        <v>414426485.41876155</v>
      </c>
      <c r="Z179" s="2903">
        <f t="shared" si="139"/>
        <v>422715015.12713677</v>
      </c>
      <c r="AA179" s="2903">
        <f t="shared" si="139"/>
        <v>431169315.42967951</v>
      </c>
      <c r="AB179" s="2903">
        <f t="shared" si="139"/>
        <v>439792701.73827308</v>
      </c>
      <c r="AC179" s="2903">
        <f t="shared" si="139"/>
        <v>448588555.77303857</v>
      </c>
      <c r="AD179" s="2903">
        <f t="shared" si="139"/>
        <v>457560326.88849932</v>
      </c>
      <c r="AE179" s="2903">
        <f t="shared" si="139"/>
        <v>466711533.42626929</v>
      </c>
      <c r="AF179" s="2903">
        <f t="shared" si="139"/>
        <v>476045764.09479469</v>
      </c>
      <c r="AG179" s="2903">
        <f t="shared" si="139"/>
        <v>485566679.37669057</v>
      </c>
      <c r="AH179" s="2903">
        <f t="shared" si="139"/>
        <v>495278012.9642244</v>
      </c>
      <c r="AI179" s="2903">
        <f t="shared" si="139"/>
        <v>505183573.22350889</v>
      </c>
      <c r="AJ179" s="2903">
        <f t="shared" si="139"/>
        <v>515287244.6879791</v>
      </c>
      <c r="AK179" s="2903">
        <f t="shared" si="139"/>
        <v>525592989.58173871</v>
      </c>
      <c r="AL179" s="2903">
        <f t="shared" si="139"/>
        <v>536104849.37337351</v>
      </c>
      <c r="AM179" s="2903">
        <f t="shared" si="139"/>
        <v>546826946.36084104</v>
      </c>
      <c r="AN179" s="2903">
        <f t="shared" si="139"/>
        <v>557763485.28805792</v>
      </c>
      <c r="AO179" s="2903">
        <f t="shared" si="139"/>
        <v>568918754.99381912</v>
      </c>
      <c r="AP179" s="2903">
        <f t="shared" si="139"/>
        <v>580297130.09369552</v>
      </c>
      <c r="AQ179" s="2903">
        <f t="shared" si="139"/>
        <v>591903072.6955694</v>
      </c>
      <c r="AR179" s="2903">
        <f>SUM(AR180:AR181)</f>
        <v>603741134.14948082</v>
      </c>
      <c r="AS179" s="2903">
        <f>SUM(AS180:AS181)</f>
        <v>615815956.83247042</v>
      </c>
      <c r="AT179" s="2903">
        <f>SUM(AT180:AT181)</f>
        <v>628132275.96911979</v>
      </c>
      <c r="AU179" s="2903">
        <f>SUM(AU180:AU181)</f>
        <v>640694921.48850214</v>
      </c>
      <c r="AV179" s="2694">
        <v>0</v>
      </c>
      <c r="AW179" s="2809"/>
      <c r="AX179" s="2795"/>
      <c r="AY179" s="2760"/>
      <c r="AZ179" s="2760"/>
      <c r="BA179" s="2760"/>
      <c r="BB179" s="2760"/>
      <c r="BC179" s="2760"/>
      <c r="BD179" s="2760"/>
      <c r="BE179" s="2760"/>
      <c r="BF179" s="2760"/>
      <c r="BG179" s="2760"/>
      <c r="BI179" s="2730"/>
      <c r="BJ179" s="2730"/>
    </row>
    <row r="180" spans="1:62" ht="18" hidden="1" outlineLevel="1" thickBot="1">
      <c r="A180" s="2775" t="s">
        <v>4211</v>
      </c>
      <c r="B180" s="2813" t="s">
        <v>4212</v>
      </c>
      <c r="C180" s="2777"/>
      <c r="D180" s="2778"/>
      <c r="E180" s="2778"/>
      <c r="F180" s="2780">
        <v>315991559</v>
      </c>
      <c r="G180" s="2780">
        <v>290164589</v>
      </c>
      <c r="H180" s="2780">
        <f>G180*(1+$C$179)</f>
        <v>295967880.78000003</v>
      </c>
      <c r="I180" s="2780">
        <f t="shared" ref="I180:AU180" si="140">H180*(1+$C$179)</f>
        <v>301887238.39560002</v>
      </c>
      <c r="J180" s="2780">
        <f t="shared" si="140"/>
        <v>307924983.16351205</v>
      </c>
      <c r="K180" s="2780">
        <f t="shared" si="140"/>
        <v>314083482.82678229</v>
      </c>
      <c r="L180" s="2780">
        <f t="shared" si="140"/>
        <v>320365152.48331791</v>
      </c>
      <c r="M180" s="2780">
        <f t="shared" si="140"/>
        <v>326772455.53298426</v>
      </c>
      <c r="N180" s="2780">
        <f t="shared" si="140"/>
        <v>333307904.64364398</v>
      </c>
      <c r="O180" s="2780">
        <f t="shared" si="140"/>
        <v>339974062.73651683</v>
      </c>
      <c r="P180" s="2780">
        <f t="shared" si="140"/>
        <v>346773543.99124718</v>
      </c>
      <c r="Q180" s="2780">
        <f t="shared" si="140"/>
        <v>353709014.87107211</v>
      </c>
      <c r="R180" s="2780">
        <f t="shared" si="140"/>
        <v>360783195.16849357</v>
      </c>
      <c r="S180" s="2780">
        <f t="shared" si="140"/>
        <v>367998859.07186347</v>
      </c>
      <c r="T180" s="2780">
        <f t="shared" si="140"/>
        <v>375358836.25330073</v>
      </c>
      <c r="U180" s="2780">
        <f t="shared" si="140"/>
        <v>382866012.97836673</v>
      </c>
      <c r="V180" s="2780">
        <f t="shared" si="140"/>
        <v>390523333.23793405</v>
      </c>
      <c r="W180" s="2780">
        <f t="shared" si="140"/>
        <v>398333799.90269274</v>
      </c>
      <c r="X180" s="2780">
        <f t="shared" si="140"/>
        <v>406300475.90074658</v>
      </c>
      <c r="Y180" s="2780">
        <f t="shared" si="140"/>
        <v>414426485.41876155</v>
      </c>
      <c r="Z180" s="2780">
        <f t="shared" si="140"/>
        <v>422715015.12713677</v>
      </c>
      <c r="AA180" s="2780">
        <f t="shared" si="140"/>
        <v>431169315.42967951</v>
      </c>
      <c r="AB180" s="2780">
        <f t="shared" si="140"/>
        <v>439792701.73827308</v>
      </c>
      <c r="AC180" s="2780">
        <f t="shared" si="140"/>
        <v>448588555.77303857</v>
      </c>
      <c r="AD180" s="2780">
        <f t="shared" si="140"/>
        <v>457560326.88849932</v>
      </c>
      <c r="AE180" s="2780">
        <f t="shared" si="140"/>
        <v>466711533.42626929</v>
      </c>
      <c r="AF180" s="2780">
        <f t="shared" si="140"/>
        <v>476045764.09479469</v>
      </c>
      <c r="AG180" s="2780">
        <f t="shared" si="140"/>
        <v>485566679.37669057</v>
      </c>
      <c r="AH180" s="2780">
        <f t="shared" si="140"/>
        <v>495278012.9642244</v>
      </c>
      <c r="AI180" s="2780">
        <f t="shared" si="140"/>
        <v>505183573.22350889</v>
      </c>
      <c r="AJ180" s="2780">
        <f t="shared" si="140"/>
        <v>515287244.6879791</v>
      </c>
      <c r="AK180" s="2780">
        <f t="shared" si="140"/>
        <v>525592989.58173871</v>
      </c>
      <c r="AL180" s="2780">
        <f t="shared" si="140"/>
        <v>536104849.37337351</v>
      </c>
      <c r="AM180" s="2780">
        <f t="shared" si="140"/>
        <v>546826946.36084104</v>
      </c>
      <c r="AN180" s="2780">
        <f t="shared" si="140"/>
        <v>557763485.28805792</v>
      </c>
      <c r="AO180" s="2780">
        <f t="shared" si="140"/>
        <v>568918754.99381912</v>
      </c>
      <c r="AP180" s="2780">
        <f t="shared" si="140"/>
        <v>580297130.09369552</v>
      </c>
      <c r="AQ180" s="2780">
        <f t="shared" si="140"/>
        <v>591903072.6955694</v>
      </c>
      <c r="AR180" s="2780">
        <f t="shared" si="140"/>
        <v>603741134.14948082</v>
      </c>
      <c r="AS180" s="2780">
        <f t="shared" si="140"/>
        <v>615815956.83247042</v>
      </c>
      <c r="AT180" s="2780">
        <f t="shared" si="140"/>
        <v>628132275.96911979</v>
      </c>
      <c r="AU180" s="2780">
        <f t="shared" si="140"/>
        <v>640694921.48850214</v>
      </c>
      <c r="AV180" s="2694">
        <v>0</v>
      </c>
      <c r="AW180" s="2771"/>
      <c r="AX180" s="2759"/>
      <c r="AY180" s="2760"/>
      <c r="AZ180" s="2760"/>
      <c r="BA180" s="2760"/>
      <c r="BB180" s="2760"/>
      <c r="BC180" s="2760"/>
      <c r="BD180" s="2760"/>
      <c r="BE180" s="2760"/>
      <c r="BF180" s="2760"/>
      <c r="BG180" s="2760"/>
      <c r="BI180" s="2730"/>
      <c r="BJ180" s="2730"/>
    </row>
    <row r="181" spans="1:62" ht="18" hidden="1" outlineLevel="1" thickBot="1">
      <c r="A181" s="2775" t="s">
        <v>4213</v>
      </c>
      <c r="B181" s="2813" t="s">
        <v>4214</v>
      </c>
      <c r="C181" s="2777"/>
      <c r="D181" s="2778"/>
      <c r="E181" s="2778"/>
      <c r="F181" s="2779"/>
      <c r="G181" s="2780"/>
      <c r="H181" s="2780"/>
      <c r="I181" s="2780"/>
      <c r="J181" s="2780"/>
      <c r="K181" s="2780"/>
      <c r="L181" s="2780"/>
      <c r="M181" s="2780"/>
      <c r="N181" s="2780"/>
      <c r="O181" s="2780"/>
      <c r="P181" s="2780"/>
      <c r="Q181" s="2780"/>
      <c r="R181" s="2780"/>
      <c r="S181" s="2780"/>
      <c r="T181" s="2780"/>
      <c r="U181" s="2780"/>
      <c r="V181" s="2780"/>
      <c r="W181" s="2780"/>
      <c r="X181" s="2780"/>
      <c r="Y181" s="2780"/>
      <c r="Z181" s="2780"/>
      <c r="AA181" s="2780"/>
      <c r="AB181" s="2780"/>
      <c r="AC181" s="2780"/>
      <c r="AD181" s="2780"/>
      <c r="AE181" s="2780"/>
      <c r="AF181" s="2780"/>
      <c r="AG181" s="2780"/>
      <c r="AH181" s="2780"/>
      <c r="AI181" s="2780"/>
      <c r="AJ181" s="2780"/>
      <c r="AK181" s="2780"/>
      <c r="AL181" s="2780"/>
      <c r="AM181" s="2780"/>
      <c r="AN181" s="2780"/>
      <c r="AO181" s="2780"/>
      <c r="AP181" s="2780"/>
      <c r="AQ181" s="2780"/>
      <c r="AR181" s="2780"/>
      <c r="AS181" s="2780"/>
      <c r="AT181" s="2780"/>
      <c r="AU181" s="2780"/>
      <c r="AV181" s="2694">
        <v>0</v>
      </c>
      <c r="AW181" s="2771"/>
      <c r="AX181" s="2759"/>
      <c r="AY181" s="2760"/>
      <c r="AZ181" s="2760"/>
      <c r="BA181" s="2760"/>
      <c r="BB181" s="2760"/>
      <c r="BC181" s="2760"/>
      <c r="BD181" s="2760"/>
      <c r="BE181" s="2760"/>
      <c r="BF181" s="2760"/>
      <c r="BG181" s="2760"/>
      <c r="BI181" s="2730"/>
      <c r="BJ181" s="2730"/>
    </row>
    <row r="182" spans="1:62" ht="18" hidden="1" outlineLevel="1" thickBot="1">
      <c r="A182" s="2789" t="s">
        <v>4215</v>
      </c>
      <c r="B182" s="2904"/>
      <c r="C182" s="2811"/>
      <c r="D182" s="2792">
        <v>2</v>
      </c>
      <c r="E182" s="2792"/>
      <c r="F182" s="2794">
        <f>F183+F187</f>
        <v>17502182</v>
      </c>
      <c r="G182" s="2794">
        <f t="shared" ref="G182:AU182" si="141">G183+G187</f>
        <v>20066500</v>
      </c>
      <c r="H182" s="2794">
        <f t="shared" si="141"/>
        <v>16369575</v>
      </c>
      <c r="I182" s="2794">
        <f t="shared" si="141"/>
        <v>16533270.75</v>
      </c>
      <c r="J182" s="2794">
        <f t="shared" si="141"/>
        <v>16698603.4575</v>
      </c>
      <c r="K182" s="2794">
        <f t="shared" si="141"/>
        <v>16865589.492075</v>
      </c>
      <c r="L182" s="2794">
        <f t="shared" si="141"/>
        <v>17034245.386995751</v>
      </c>
      <c r="M182" s="2794">
        <f t="shared" si="141"/>
        <v>17204587.840865709</v>
      </c>
      <c r="N182" s="2794">
        <f t="shared" si="141"/>
        <v>17376633.719274364</v>
      </c>
      <c r="O182" s="2794">
        <f t="shared" si="141"/>
        <v>17550400.056467108</v>
      </c>
      <c r="P182" s="2794">
        <f t="shared" si="141"/>
        <v>17725904.05703178</v>
      </c>
      <c r="Q182" s="2794">
        <f t="shared" si="141"/>
        <v>17903163.097602099</v>
      </c>
      <c r="R182" s="2794">
        <f t="shared" si="141"/>
        <v>18082194.72857812</v>
      </c>
      <c r="S182" s="2794">
        <f t="shared" si="141"/>
        <v>18263016.675863899</v>
      </c>
      <c r="T182" s="2794">
        <f t="shared" si="141"/>
        <v>18445646.842622541</v>
      </c>
      <c r="U182" s="2794">
        <f t="shared" si="141"/>
        <v>18630103.311048765</v>
      </c>
      <c r="V182" s="2794">
        <f t="shared" si="141"/>
        <v>18816404.344159253</v>
      </c>
      <c r="W182" s="2794">
        <f t="shared" si="141"/>
        <v>19004568.387600847</v>
      </c>
      <c r="X182" s="2794">
        <f t="shared" si="141"/>
        <v>19194614.071476854</v>
      </c>
      <c r="Y182" s="2794">
        <f t="shared" si="141"/>
        <v>19386560.212191619</v>
      </c>
      <c r="Z182" s="2794">
        <f t="shared" si="141"/>
        <v>19580425.814313538</v>
      </c>
      <c r="AA182" s="2794">
        <f t="shared" si="141"/>
        <v>19776230.072456673</v>
      </c>
      <c r="AB182" s="2794">
        <f t="shared" si="141"/>
        <v>19973992.373181239</v>
      </c>
      <c r="AC182" s="2794">
        <f t="shared" si="141"/>
        <v>20173732.296913054</v>
      </c>
      <c r="AD182" s="2794">
        <f t="shared" si="141"/>
        <v>20375469.619882181</v>
      </c>
      <c r="AE182" s="2794">
        <f t="shared" si="141"/>
        <v>20579224.316081006</v>
      </c>
      <c r="AF182" s="2794">
        <f t="shared" si="141"/>
        <v>20785016.559241816</v>
      </c>
      <c r="AG182" s="2794">
        <f t="shared" si="141"/>
        <v>20992866.724834234</v>
      </c>
      <c r="AH182" s="2794">
        <f t="shared" si="141"/>
        <v>21202795.392082576</v>
      </c>
      <c r="AI182" s="2794">
        <f t="shared" si="141"/>
        <v>21414823.346003402</v>
      </c>
      <c r="AJ182" s="2794">
        <f t="shared" si="141"/>
        <v>21628971.579463433</v>
      </c>
      <c r="AK182" s="2794">
        <f t="shared" si="141"/>
        <v>21845261.295258068</v>
      </c>
      <c r="AL182" s="2794">
        <f t="shared" si="141"/>
        <v>22063713.908210646</v>
      </c>
      <c r="AM182" s="2794">
        <f t="shared" si="141"/>
        <v>22284351.047292754</v>
      </c>
      <c r="AN182" s="2794">
        <f t="shared" si="141"/>
        <v>22507194.557765685</v>
      </c>
      <c r="AO182" s="2794">
        <f t="shared" si="141"/>
        <v>22732266.50334334</v>
      </c>
      <c r="AP182" s="2794">
        <f t="shared" si="141"/>
        <v>22959589.168376774</v>
      </c>
      <c r="AQ182" s="2794">
        <f t="shared" si="141"/>
        <v>23189185.060060542</v>
      </c>
      <c r="AR182" s="2794">
        <f t="shared" si="141"/>
        <v>23421076.910661146</v>
      </c>
      <c r="AS182" s="2794">
        <f t="shared" si="141"/>
        <v>23655287.679767754</v>
      </c>
      <c r="AT182" s="2794">
        <f t="shared" si="141"/>
        <v>23891840.556565434</v>
      </c>
      <c r="AU182" s="2794">
        <f t="shared" si="141"/>
        <v>24130758.962131087</v>
      </c>
      <c r="AV182" s="2694">
        <v>0</v>
      </c>
      <c r="AW182" s="2771"/>
      <c r="AX182" s="2759"/>
      <c r="AY182" s="2774"/>
      <c r="AZ182" s="2774"/>
      <c r="BA182" s="2774"/>
      <c r="BB182" s="2774"/>
      <c r="BC182" s="2774"/>
      <c r="BD182" s="2774"/>
      <c r="BE182" s="2774"/>
      <c r="BF182" s="2774"/>
      <c r="BG182" s="2774"/>
      <c r="BI182" s="2730"/>
      <c r="BJ182" s="2730"/>
    </row>
    <row r="183" spans="1:62" ht="18" hidden="1" outlineLevel="1" thickBot="1">
      <c r="A183" s="2773" t="s">
        <v>4216</v>
      </c>
      <c r="B183" s="2762"/>
      <c r="C183" s="2763"/>
      <c r="D183" s="2764"/>
      <c r="E183" s="2764"/>
      <c r="F183" s="2765">
        <f>SUM(F184:F186)</f>
        <v>4358182</v>
      </c>
      <c r="G183" s="2765">
        <f>SUM(G184:G186)</f>
        <v>7109000</v>
      </c>
      <c r="H183" s="2765">
        <f t="shared" ref="H183:AU183" si="142">SUM(H184:H186)</f>
        <v>3282500</v>
      </c>
      <c r="I183" s="2765">
        <f t="shared" si="142"/>
        <v>3315325</v>
      </c>
      <c r="J183" s="2765">
        <f t="shared" si="142"/>
        <v>3348478.25</v>
      </c>
      <c r="K183" s="2765">
        <f t="shared" si="142"/>
        <v>3381963.0325000002</v>
      </c>
      <c r="L183" s="2765">
        <f t="shared" si="142"/>
        <v>3415782.662825</v>
      </c>
      <c r="M183" s="2765">
        <f t="shared" si="142"/>
        <v>3449940.4894532501</v>
      </c>
      <c r="N183" s="2765">
        <f t="shared" si="142"/>
        <v>3484439.8943477827</v>
      </c>
      <c r="O183" s="2765">
        <f t="shared" si="142"/>
        <v>3519284.2932912605</v>
      </c>
      <c r="P183" s="2765">
        <f t="shared" si="142"/>
        <v>3554477.136224173</v>
      </c>
      <c r="Q183" s="2765">
        <f t="shared" si="142"/>
        <v>3590021.9075864148</v>
      </c>
      <c r="R183" s="2765">
        <f t="shared" si="142"/>
        <v>3625922.126662279</v>
      </c>
      <c r="S183" s="2765">
        <f t="shared" si="142"/>
        <v>3662181.3479289017</v>
      </c>
      <c r="T183" s="2765">
        <f t="shared" si="142"/>
        <v>3698803.1614081906</v>
      </c>
      <c r="U183" s="2765">
        <f t="shared" si="142"/>
        <v>3735791.1930222725</v>
      </c>
      <c r="V183" s="2765">
        <f t="shared" si="142"/>
        <v>3773149.1049524951</v>
      </c>
      <c r="W183" s="2765">
        <f t="shared" si="142"/>
        <v>3810880.5960020199</v>
      </c>
      <c r="X183" s="2765">
        <f t="shared" si="142"/>
        <v>3848989.40196204</v>
      </c>
      <c r="Y183" s="2765">
        <f t="shared" si="142"/>
        <v>3887479.2959816605</v>
      </c>
      <c r="Z183" s="2765">
        <f t="shared" si="142"/>
        <v>3926354.0889414772</v>
      </c>
      <c r="AA183" s="2765">
        <f t="shared" si="142"/>
        <v>3965617.6298308922</v>
      </c>
      <c r="AB183" s="2765">
        <f t="shared" si="142"/>
        <v>4005273.8061292013</v>
      </c>
      <c r="AC183" s="2765">
        <f t="shared" si="142"/>
        <v>4045326.5441904934</v>
      </c>
      <c r="AD183" s="2765">
        <f t="shared" si="142"/>
        <v>4085779.8096323982</v>
      </c>
      <c r="AE183" s="2765">
        <f t="shared" si="142"/>
        <v>4126637.607728722</v>
      </c>
      <c r="AF183" s="2765">
        <f t="shared" si="142"/>
        <v>4167903.9838060094</v>
      </c>
      <c r="AG183" s="2765">
        <f t="shared" si="142"/>
        <v>4209583.0236440692</v>
      </c>
      <c r="AH183" s="2765">
        <f t="shared" si="142"/>
        <v>4251678.8538805097</v>
      </c>
      <c r="AI183" s="2765">
        <f t="shared" si="142"/>
        <v>4294195.6424193149</v>
      </c>
      <c r="AJ183" s="2765">
        <f t="shared" si="142"/>
        <v>4337137.5988435084</v>
      </c>
      <c r="AK183" s="2765">
        <f t="shared" si="142"/>
        <v>4380508.9748319434</v>
      </c>
      <c r="AL183" s="2765">
        <f t="shared" si="142"/>
        <v>4424314.0645802626</v>
      </c>
      <c r="AM183" s="2765">
        <f t="shared" si="142"/>
        <v>4468557.2052260656</v>
      </c>
      <c r="AN183" s="2765">
        <f t="shared" si="142"/>
        <v>4513242.7772783265</v>
      </c>
      <c r="AO183" s="2765">
        <f t="shared" si="142"/>
        <v>4558375.2050511101</v>
      </c>
      <c r="AP183" s="2765">
        <f t="shared" si="142"/>
        <v>4603958.9571016217</v>
      </c>
      <c r="AQ183" s="2765">
        <f t="shared" si="142"/>
        <v>4649998.5466726376</v>
      </c>
      <c r="AR183" s="2765">
        <f t="shared" si="142"/>
        <v>4696498.5321393637</v>
      </c>
      <c r="AS183" s="2765">
        <f t="shared" si="142"/>
        <v>4743463.5174607569</v>
      </c>
      <c r="AT183" s="2765">
        <f t="shared" si="142"/>
        <v>4790898.1526353648</v>
      </c>
      <c r="AU183" s="2765">
        <f t="shared" si="142"/>
        <v>4838807.1341617182</v>
      </c>
      <c r="AV183" s="2694">
        <v>0</v>
      </c>
      <c r="AW183" s="2771"/>
      <c r="AX183" s="2759"/>
      <c r="AY183" s="2774"/>
      <c r="AZ183" s="2774"/>
      <c r="BA183" s="2774"/>
      <c r="BB183" s="2774"/>
      <c r="BC183" s="2774"/>
      <c r="BD183" s="2774"/>
      <c r="BE183" s="2774"/>
      <c r="BF183" s="2774"/>
      <c r="BG183" s="2774"/>
      <c r="BI183" s="2730"/>
      <c r="BJ183" s="2730"/>
    </row>
    <row r="184" spans="1:62" ht="18" hidden="1" outlineLevel="1" thickBot="1">
      <c r="A184" s="2801" t="s">
        <v>4217</v>
      </c>
      <c r="B184" s="2768"/>
      <c r="C184" s="2787">
        <v>0.01</v>
      </c>
      <c r="D184" s="2804"/>
      <c r="E184" s="2804"/>
      <c r="F184" s="2769"/>
      <c r="G184" s="2770"/>
      <c r="H184" s="2770">
        <f t="shared" ref="H184:AU184" si="143">G184*(1+$C$184)</f>
        <v>0</v>
      </c>
      <c r="I184" s="2770">
        <f t="shared" si="143"/>
        <v>0</v>
      </c>
      <c r="J184" s="2770">
        <f t="shared" si="143"/>
        <v>0</v>
      </c>
      <c r="K184" s="2770">
        <f t="shared" si="143"/>
        <v>0</v>
      </c>
      <c r="L184" s="2770">
        <f t="shared" si="143"/>
        <v>0</v>
      </c>
      <c r="M184" s="2770">
        <f t="shared" si="143"/>
        <v>0</v>
      </c>
      <c r="N184" s="2770">
        <f t="shared" si="143"/>
        <v>0</v>
      </c>
      <c r="O184" s="2770">
        <f t="shared" si="143"/>
        <v>0</v>
      </c>
      <c r="P184" s="2770">
        <f t="shared" si="143"/>
        <v>0</v>
      </c>
      <c r="Q184" s="2770">
        <f t="shared" si="143"/>
        <v>0</v>
      </c>
      <c r="R184" s="2770">
        <f t="shared" si="143"/>
        <v>0</v>
      </c>
      <c r="S184" s="2770">
        <f t="shared" si="143"/>
        <v>0</v>
      </c>
      <c r="T184" s="2770">
        <f t="shared" si="143"/>
        <v>0</v>
      </c>
      <c r="U184" s="2770">
        <f t="shared" si="143"/>
        <v>0</v>
      </c>
      <c r="V184" s="2770">
        <f t="shared" si="143"/>
        <v>0</v>
      </c>
      <c r="W184" s="2770">
        <f t="shared" si="143"/>
        <v>0</v>
      </c>
      <c r="X184" s="2770">
        <f t="shared" si="143"/>
        <v>0</v>
      </c>
      <c r="Y184" s="2770">
        <f t="shared" si="143"/>
        <v>0</v>
      </c>
      <c r="Z184" s="2770">
        <f t="shared" si="143"/>
        <v>0</v>
      </c>
      <c r="AA184" s="2770">
        <f t="shared" si="143"/>
        <v>0</v>
      </c>
      <c r="AB184" s="2770">
        <f t="shared" si="143"/>
        <v>0</v>
      </c>
      <c r="AC184" s="2770">
        <f t="shared" si="143"/>
        <v>0</v>
      </c>
      <c r="AD184" s="2770">
        <f t="shared" si="143"/>
        <v>0</v>
      </c>
      <c r="AE184" s="2770">
        <f t="shared" si="143"/>
        <v>0</v>
      </c>
      <c r="AF184" s="2770">
        <f t="shared" si="143"/>
        <v>0</v>
      </c>
      <c r="AG184" s="2770">
        <f t="shared" si="143"/>
        <v>0</v>
      </c>
      <c r="AH184" s="2770">
        <f t="shared" si="143"/>
        <v>0</v>
      </c>
      <c r="AI184" s="2770">
        <f t="shared" si="143"/>
        <v>0</v>
      </c>
      <c r="AJ184" s="2770">
        <f t="shared" si="143"/>
        <v>0</v>
      </c>
      <c r="AK184" s="2770">
        <f t="shared" si="143"/>
        <v>0</v>
      </c>
      <c r="AL184" s="2770">
        <f t="shared" si="143"/>
        <v>0</v>
      </c>
      <c r="AM184" s="2770">
        <f t="shared" si="143"/>
        <v>0</v>
      </c>
      <c r="AN184" s="2770">
        <f t="shared" si="143"/>
        <v>0</v>
      </c>
      <c r="AO184" s="2770">
        <f t="shared" si="143"/>
        <v>0</v>
      </c>
      <c r="AP184" s="2770">
        <f t="shared" si="143"/>
        <v>0</v>
      </c>
      <c r="AQ184" s="2770">
        <f t="shared" si="143"/>
        <v>0</v>
      </c>
      <c r="AR184" s="2770">
        <f t="shared" si="143"/>
        <v>0</v>
      </c>
      <c r="AS184" s="2770">
        <f t="shared" si="143"/>
        <v>0</v>
      </c>
      <c r="AT184" s="2770">
        <f t="shared" si="143"/>
        <v>0</v>
      </c>
      <c r="AU184" s="2770">
        <f t="shared" si="143"/>
        <v>0</v>
      </c>
      <c r="AV184" s="2694">
        <v>0</v>
      </c>
      <c r="AW184" s="2758"/>
      <c r="AX184" s="2795"/>
      <c r="AY184" s="2760"/>
      <c r="AZ184" s="2760"/>
      <c r="BA184" s="2760"/>
      <c r="BB184" s="2760"/>
      <c r="BC184" s="2760"/>
      <c r="BD184" s="2760"/>
      <c r="BE184" s="2760"/>
      <c r="BF184" s="2760"/>
      <c r="BG184" s="2760"/>
      <c r="BI184" s="2730"/>
      <c r="BJ184" s="2730"/>
    </row>
    <row r="185" spans="1:62" ht="18" hidden="1" outlineLevel="1" thickBot="1">
      <c r="A185" s="2801" t="s">
        <v>4218</v>
      </c>
      <c r="B185" s="2768"/>
      <c r="C185" s="2787">
        <v>0.01</v>
      </c>
      <c r="D185" s="2804"/>
      <c r="E185" s="2804"/>
      <c r="F185" s="2770"/>
      <c r="G185" s="2770">
        <v>3250000</v>
      </c>
      <c r="H185" s="2770">
        <f t="shared" ref="H185:AU185" si="144">G185*(1+$C$185)</f>
        <v>3282500</v>
      </c>
      <c r="I185" s="2770">
        <f t="shared" si="144"/>
        <v>3315325</v>
      </c>
      <c r="J185" s="2770">
        <f t="shared" si="144"/>
        <v>3348478.25</v>
      </c>
      <c r="K185" s="2770">
        <f t="shared" si="144"/>
        <v>3381963.0325000002</v>
      </c>
      <c r="L185" s="2770">
        <f t="shared" si="144"/>
        <v>3415782.662825</v>
      </c>
      <c r="M185" s="2770">
        <f t="shared" si="144"/>
        <v>3449940.4894532501</v>
      </c>
      <c r="N185" s="2770">
        <f t="shared" si="144"/>
        <v>3484439.8943477827</v>
      </c>
      <c r="O185" s="2770">
        <f t="shared" si="144"/>
        <v>3519284.2932912605</v>
      </c>
      <c r="P185" s="2770">
        <f t="shared" si="144"/>
        <v>3554477.136224173</v>
      </c>
      <c r="Q185" s="2770">
        <f t="shared" si="144"/>
        <v>3590021.9075864148</v>
      </c>
      <c r="R185" s="2770">
        <f t="shared" si="144"/>
        <v>3625922.126662279</v>
      </c>
      <c r="S185" s="2770">
        <f t="shared" si="144"/>
        <v>3662181.3479289017</v>
      </c>
      <c r="T185" s="2770">
        <f t="shared" si="144"/>
        <v>3698803.1614081906</v>
      </c>
      <c r="U185" s="2770">
        <f t="shared" si="144"/>
        <v>3735791.1930222725</v>
      </c>
      <c r="V185" s="2770">
        <f t="shared" si="144"/>
        <v>3773149.1049524951</v>
      </c>
      <c r="W185" s="2770">
        <f t="shared" si="144"/>
        <v>3810880.5960020199</v>
      </c>
      <c r="X185" s="2770">
        <f t="shared" si="144"/>
        <v>3848989.40196204</v>
      </c>
      <c r="Y185" s="2770">
        <f t="shared" si="144"/>
        <v>3887479.2959816605</v>
      </c>
      <c r="Z185" s="2770">
        <f t="shared" si="144"/>
        <v>3926354.0889414772</v>
      </c>
      <c r="AA185" s="2770">
        <f t="shared" si="144"/>
        <v>3965617.6298308922</v>
      </c>
      <c r="AB185" s="2770">
        <f t="shared" si="144"/>
        <v>4005273.8061292013</v>
      </c>
      <c r="AC185" s="2770">
        <f t="shared" si="144"/>
        <v>4045326.5441904934</v>
      </c>
      <c r="AD185" s="2770">
        <f t="shared" si="144"/>
        <v>4085779.8096323982</v>
      </c>
      <c r="AE185" s="2770">
        <f t="shared" si="144"/>
        <v>4126637.607728722</v>
      </c>
      <c r="AF185" s="2770">
        <f t="shared" si="144"/>
        <v>4167903.9838060094</v>
      </c>
      <c r="AG185" s="2770">
        <f t="shared" si="144"/>
        <v>4209583.0236440692</v>
      </c>
      <c r="AH185" s="2770">
        <f t="shared" si="144"/>
        <v>4251678.8538805097</v>
      </c>
      <c r="AI185" s="2770">
        <f t="shared" si="144"/>
        <v>4294195.6424193149</v>
      </c>
      <c r="AJ185" s="2770">
        <f t="shared" si="144"/>
        <v>4337137.5988435084</v>
      </c>
      <c r="AK185" s="2770">
        <f t="shared" si="144"/>
        <v>4380508.9748319434</v>
      </c>
      <c r="AL185" s="2770">
        <f t="shared" si="144"/>
        <v>4424314.0645802626</v>
      </c>
      <c r="AM185" s="2770">
        <f t="shared" si="144"/>
        <v>4468557.2052260656</v>
      </c>
      <c r="AN185" s="2770">
        <f t="shared" si="144"/>
        <v>4513242.7772783265</v>
      </c>
      <c r="AO185" s="2770">
        <f t="shared" si="144"/>
        <v>4558375.2050511101</v>
      </c>
      <c r="AP185" s="2770">
        <f t="shared" si="144"/>
        <v>4603958.9571016217</v>
      </c>
      <c r="AQ185" s="2770">
        <f t="shared" si="144"/>
        <v>4649998.5466726376</v>
      </c>
      <c r="AR185" s="2770">
        <f t="shared" si="144"/>
        <v>4696498.5321393637</v>
      </c>
      <c r="AS185" s="2770">
        <f t="shared" si="144"/>
        <v>4743463.5174607569</v>
      </c>
      <c r="AT185" s="2770">
        <f t="shared" si="144"/>
        <v>4790898.1526353648</v>
      </c>
      <c r="AU185" s="2770">
        <f t="shared" si="144"/>
        <v>4838807.1341617182</v>
      </c>
      <c r="AV185" s="2694">
        <v>0</v>
      </c>
      <c r="AW185" s="2771"/>
      <c r="AX185" s="2795"/>
      <c r="AY185" s="2760"/>
      <c r="AZ185" s="2760"/>
      <c r="BA185" s="2760"/>
      <c r="BB185" s="2760"/>
      <c r="BC185" s="2760"/>
      <c r="BD185" s="2760"/>
      <c r="BE185" s="2760"/>
      <c r="BF185" s="2760"/>
      <c r="BG185" s="2760"/>
      <c r="BI185" s="2730"/>
      <c r="BJ185" s="2730"/>
    </row>
    <row r="186" spans="1:62" ht="18" hidden="1" outlineLevel="1" thickBot="1">
      <c r="A186" s="2801" t="s">
        <v>4219</v>
      </c>
      <c r="B186" s="2768"/>
      <c r="C186" s="2787">
        <v>0.01</v>
      </c>
      <c r="D186" s="2804"/>
      <c r="E186" s="2804"/>
      <c r="F186" s="2770">
        <v>4358182</v>
      </c>
      <c r="G186" s="2770">
        <v>3859000</v>
      </c>
      <c r="H186" s="2770"/>
      <c r="I186" s="2770">
        <f t="shared" ref="I186:AU186" si="145">H186*(1+$C$186)</f>
        <v>0</v>
      </c>
      <c r="J186" s="2770">
        <f t="shared" si="145"/>
        <v>0</v>
      </c>
      <c r="K186" s="2770">
        <f t="shared" si="145"/>
        <v>0</v>
      </c>
      <c r="L186" s="2770">
        <f t="shared" si="145"/>
        <v>0</v>
      </c>
      <c r="M186" s="2770">
        <f t="shared" si="145"/>
        <v>0</v>
      </c>
      <c r="N186" s="2770">
        <f t="shared" si="145"/>
        <v>0</v>
      </c>
      <c r="O186" s="2770">
        <f t="shared" si="145"/>
        <v>0</v>
      </c>
      <c r="P186" s="2770">
        <f t="shared" si="145"/>
        <v>0</v>
      </c>
      <c r="Q186" s="2770">
        <f t="shared" si="145"/>
        <v>0</v>
      </c>
      <c r="R186" s="2770">
        <f t="shared" si="145"/>
        <v>0</v>
      </c>
      <c r="S186" s="2770">
        <f t="shared" si="145"/>
        <v>0</v>
      </c>
      <c r="T186" s="2770">
        <f t="shared" si="145"/>
        <v>0</v>
      </c>
      <c r="U186" s="2770">
        <f t="shared" si="145"/>
        <v>0</v>
      </c>
      <c r="V186" s="2770">
        <f t="shared" si="145"/>
        <v>0</v>
      </c>
      <c r="W186" s="2770">
        <f t="shared" si="145"/>
        <v>0</v>
      </c>
      <c r="X186" s="2770">
        <f t="shared" si="145"/>
        <v>0</v>
      </c>
      <c r="Y186" s="2770">
        <f t="shared" si="145"/>
        <v>0</v>
      </c>
      <c r="Z186" s="2770">
        <f t="shared" si="145"/>
        <v>0</v>
      </c>
      <c r="AA186" s="2770">
        <f t="shared" si="145"/>
        <v>0</v>
      </c>
      <c r="AB186" s="2770">
        <f t="shared" si="145"/>
        <v>0</v>
      </c>
      <c r="AC186" s="2770">
        <f t="shared" si="145"/>
        <v>0</v>
      </c>
      <c r="AD186" s="2770">
        <f t="shared" si="145"/>
        <v>0</v>
      </c>
      <c r="AE186" s="2770">
        <f t="shared" si="145"/>
        <v>0</v>
      </c>
      <c r="AF186" s="2770">
        <f t="shared" si="145"/>
        <v>0</v>
      </c>
      <c r="AG186" s="2770">
        <f t="shared" si="145"/>
        <v>0</v>
      </c>
      <c r="AH186" s="2770">
        <f t="shared" si="145"/>
        <v>0</v>
      </c>
      <c r="AI186" s="2770">
        <f t="shared" si="145"/>
        <v>0</v>
      </c>
      <c r="AJ186" s="2770">
        <f t="shared" si="145"/>
        <v>0</v>
      </c>
      <c r="AK186" s="2770">
        <f t="shared" si="145"/>
        <v>0</v>
      </c>
      <c r="AL186" s="2770">
        <f t="shared" si="145"/>
        <v>0</v>
      </c>
      <c r="AM186" s="2770">
        <f t="shared" si="145"/>
        <v>0</v>
      </c>
      <c r="AN186" s="2770">
        <f t="shared" si="145"/>
        <v>0</v>
      </c>
      <c r="AO186" s="2770">
        <f t="shared" si="145"/>
        <v>0</v>
      </c>
      <c r="AP186" s="2770">
        <f t="shared" si="145"/>
        <v>0</v>
      </c>
      <c r="AQ186" s="2770">
        <f t="shared" si="145"/>
        <v>0</v>
      </c>
      <c r="AR186" s="2770">
        <f t="shared" si="145"/>
        <v>0</v>
      </c>
      <c r="AS186" s="2770">
        <f t="shared" si="145"/>
        <v>0</v>
      </c>
      <c r="AT186" s="2770">
        <f t="shared" si="145"/>
        <v>0</v>
      </c>
      <c r="AU186" s="2770">
        <f t="shared" si="145"/>
        <v>0</v>
      </c>
      <c r="AV186" s="2694">
        <v>0</v>
      </c>
      <c r="AW186" s="2771"/>
      <c r="AX186" s="2795"/>
      <c r="AY186" s="2760"/>
      <c r="AZ186" s="2760"/>
      <c r="BA186" s="2760"/>
      <c r="BB186" s="2760"/>
      <c r="BC186" s="2760"/>
      <c r="BD186" s="2760"/>
      <c r="BE186" s="2760"/>
      <c r="BF186" s="2760"/>
      <c r="BG186" s="2760"/>
      <c r="BI186" s="2730"/>
      <c r="BJ186" s="2730"/>
    </row>
    <row r="187" spans="1:62" ht="18" hidden="1" outlineLevel="1" thickBot="1">
      <c r="A187" s="2773" t="s">
        <v>4220</v>
      </c>
      <c r="B187" s="2762" t="s">
        <v>4221</v>
      </c>
      <c r="C187" s="2787">
        <v>0.01</v>
      </c>
      <c r="D187" s="2764"/>
      <c r="E187" s="2764"/>
      <c r="F187" s="2765">
        <v>13144000</v>
      </c>
      <c r="G187" s="2765">
        <v>12957500</v>
      </c>
      <c r="H187" s="2765">
        <f>G187*(1+$C$187)</f>
        <v>13087075</v>
      </c>
      <c r="I187" s="2765">
        <f t="shared" ref="I187:AU187" si="146">H187*(1+$C$187)</f>
        <v>13217945.75</v>
      </c>
      <c r="J187" s="2765">
        <f t="shared" si="146"/>
        <v>13350125.2075</v>
      </c>
      <c r="K187" s="2765">
        <f t="shared" si="146"/>
        <v>13483626.459574999</v>
      </c>
      <c r="L187" s="2765">
        <f t="shared" si="146"/>
        <v>13618462.72417075</v>
      </c>
      <c r="M187" s="2765">
        <f t="shared" si="146"/>
        <v>13754647.351412458</v>
      </c>
      <c r="N187" s="2765">
        <f t="shared" si="146"/>
        <v>13892193.824926583</v>
      </c>
      <c r="O187" s="2765">
        <f t="shared" si="146"/>
        <v>14031115.763175849</v>
      </c>
      <c r="P187" s="2765">
        <f t="shared" si="146"/>
        <v>14171426.920807607</v>
      </c>
      <c r="Q187" s="2765">
        <f t="shared" si="146"/>
        <v>14313141.190015683</v>
      </c>
      <c r="R187" s="2765">
        <f t="shared" si="146"/>
        <v>14456272.60191584</v>
      </c>
      <c r="S187" s="2765">
        <f t="shared" si="146"/>
        <v>14600835.327934999</v>
      </c>
      <c r="T187" s="2765">
        <f t="shared" si="146"/>
        <v>14746843.681214349</v>
      </c>
      <c r="U187" s="2765">
        <f t="shared" si="146"/>
        <v>14894312.118026493</v>
      </c>
      <c r="V187" s="2765">
        <f t="shared" si="146"/>
        <v>15043255.239206757</v>
      </c>
      <c r="W187" s="2765">
        <f t="shared" si="146"/>
        <v>15193687.791598825</v>
      </c>
      <c r="X187" s="2765">
        <f t="shared" si="146"/>
        <v>15345624.669514813</v>
      </c>
      <c r="Y187" s="2765">
        <f t="shared" si="146"/>
        <v>15499080.91620996</v>
      </c>
      <c r="Z187" s="2765">
        <f t="shared" si="146"/>
        <v>15654071.725372059</v>
      </c>
      <c r="AA187" s="2765">
        <f t="shared" si="146"/>
        <v>15810612.44262578</v>
      </c>
      <c r="AB187" s="2765">
        <f t="shared" si="146"/>
        <v>15968718.567052038</v>
      </c>
      <c r="AC187" s="2765">
        <f t="shared" si="146"/>
        <v>16128405.752722559</v>
      </c>
      <c r="AD187" s="2765">
        <f t="shared" si="146"/>
        <v>16289689.810249785</v>
      </c>
      <c r="AE187" s="2765">
        <f t="shared" si="146"/>
        <v>16452586.708352283</v>
      </c>
      <c r="AF187" s="2765">
        <f t="shared" si="146"/>
        <v>16617112.575435806</v>
      </c>
      <c r="AG187" s="2765">
        <f t="shared" si="146"/>
        <v>16783283.701190162</v>
      </c>
      <c r="AH187" s="2765">
        <f t="shared" si="146"/>
        <v>16951116.538202066</v>
      </c>
      <c r="AI187" s="2765">
        <f t="shared" si="146"/>
        <v>17120627.703584086</v>
      </c>
      <c r="AJ187" s="2765">
        <f t="shared" si="146"/>
        <v>17291833.980619926</v>
      </c>
      <c r="AK187" s="2765">
        <f t="shared" si="146"/>
        <v>17464752.320426125</v>
      </c>
      <c r="AL187" s="2765">
        <f t="shared" si="146"/>
        <v>17639399.843630385</v>
      </c>
      <c r="AM187" s="2765">
        <f t="shared" si="146"/>
        <v>17815793.84206669</v>
      </c>
      <c r="AN187" s="2765">
        <f t="shared" si="146"/>
        <v>17993951.780487359</v>
      </c>
      <c r="AO187" s="2765">
        <f t="shared" si="146"/>
        <v>18173891.298292231</v>
      </c>
      <c r="AP187" s="2765">
        <f t="shared" si="146"/>
        <v>18355630.211275153</v>
      </c>
      <c r="AQ187" s="2765">
        <f t="shared" si="146"/>
        <v>18539186.513387904</v>
      </c>
      <c r="AR187" s="2765">
        <f t="shared" si="146"/>
        <v>18724578.378521781</v>
      </c>
      <c r="AS187" s="2765">
        <f t="shared" si="146"/>
        <v>18911824.162306998</v>
      </c>
      <c r="AT187" s="2765">
        <f t="shared" si="146"/>
        <v>19100942.403930068</v>
      </c>
      <c r="AU187" s="2765">
        <f t="shared" si="146"/>
        <v>19291951.827969369</v>
      </c>
      <c r="AV187" s="2694">
        <v>0</v>
      </c>
      <c r="AW187" s="2771"/>
      <c r="AX187" s="2759"/>
      <c r="AY187" s="2774"/>
      <c r="AZ187" s="2774"/>
      <c r="BA187" s="2774"/>
      <c r="BB187" s="2774"/>
      <c r="BC187" s="2774"/>
      <c r="BD187" s="2774"/>
      <c r="BE187" s="2774"/>
      <c r="BF187" s="2774"/>
      <c r="BG187" s="2774"/>
      <c r="BI187" s="2730"/>
      <c r="BJ187" s="2730"/>
    </row>
    <row r="188" spans="1:62" ht="18" hidden="1" outlineLevel="1" thickBot="1">
      <c r="A188" s="2823" t="s">
        <v>4222</v>
      </c>
      <c r="B188" s="2830"/>
      <c r="C188" s="2905"/>
      <c r="D188" s="2906"/>
      <c r="E188" s="2906"/>
      <c r="F188" s="2794">
        <f t="shared" ref="F188:AU188" si="147">SUM(F190:F194,F195:F202,F208)</f>
        <v>658232705</v>
      </c>
      <c r="G188" s="2794">
        <f t="shared" si="147"/>
        <v>840094728</v>
      </c>
      <c r="H188" s="2794">
        <f t="shared" si="147"/>
        <v>817611564.4000001</v>
      </c>
      <c r="I188" s="2794">
        <f t="shared" si="147"/>
        <v>736515940.86599994</v>
      </c>
      <c r="J188" s="2794">
        <f t="shared" si="147"/>
        <v>766676987.0389899</v>
      </c>
      <c r="K188" s="2794">
        <f t="shared" si="147"/>
        <v>761587265.04577482</v>
      </c>
      <c r="L188" s="2794">
        <f t="shared" si="147"/>
        <v>813589376.68668532</v>
      </c>
      <c r="M188" s="2794">
        <f t="shared" si="147"/>
        <v>782225964.05551374</v>
      </c>
      <c r="N188" s="2794">
        <f t="shared" si="147"/>
        <v>817434210.1692456</v>
      </c>
      <c r="O188" s="2794">
        <f t="shared" si="147"/>
        <v>805471339.607741</v>
      </c>
      <c r="P188" s="2794">
        <f t="shared" si="147"/>
        <v>861477119.16353333</v>
      </c>
      <c r="Q188" s="2794">
        <f t="shared" si="147"/>
        <v>836791358.50189602</v>
      </c>
      <c r="R188" s="2794">
        <f t="shared" si="147"/>
        <v>864338135.83135223</v>
      </c>
      <c r="S188" s="2794">
        <f t="shared" si="147"/>
        <v>855497573.58478892</v>
      </c>
      <c r="T188" s="2794">
        <f t="shared" si="147"/>
        <v>918256464.11134648</v>
      </c>
      <c r="U188" s="2794">
        <f t="shared" si="147"/>
        <v>882391645.37925828</v>
      </c>
      <c r="V188" s="2794">
        <f t="shared" si="147"/>
        <v>920573437.93981349</v>
      </c>
      <c r="W188" s="2794">
        <f t="shared" si="147"/>
        <v>912651009.40262401</v>
      </c>
      <c r="X188" s="2794">
        <f t="shared" si="147"/>
        <v>970720531.42237616</v>
      </c>
      <c r="Y188" s="2794">
        <f t="shared" si="147"/>
        <v>937217724.19724905</v>
      </c>
      <c r="Z188" s="2794">
        <f t="shared" si="147"/>
        <v>978736465.29169059</v>
      </c>
      <c r="AA188" s="2794">
        <f t="shared" si="147"/>
        <v>968328422.34624088</v>
      </c>
      <c r="AB188" s="2794">
        <f t="shared" si="147"/>
        <v>1030474617.9245943</v>
      </c>
      <c r="AC188" s="2794">
        <f t="shared" si="147"/>
        <v>999872601.24809861</v>
      </c>
      <c r="AD188" s="2794">
        <f t="shared" si="147"/>
        <v>1034835987.4710171</v>
      </c>
      <c r="AE188" s="2794">
        <f t="shared" si="147"/>
        <v>1025139072.0373787</v>
      </c>
      <c r="AF188" s="2794">
        <f t="shared" si="147"/>
        <v>1102136973.7821271</v>
      </c>
      <c r="AG188" s="2794">
        <f t="shared" si="147"/>
        <v>1057372165.2642735</v>
      </c>
      <c r="AH188" s="2794">
        <f t="shared" si="147"/>
        <v>1098893989.0180526</v>
      </c>
      <c r="AI188" s="2794">
        <f t="shared" si="147"/>
        <v>1093705502.6399512</v>
      </c>
      <c r="AJ188" s="2794">
        <f t="shared" si="147"/>
        <v>1161339629.0574567</v>
      </c>
      <c r="AK188" s="2794">
        <f t="shared" si="147"/>
        <v>1127146013.3916228</v>
      </c>
      <c r="AL188" s="2794">
        <f t="shared" si="147"/>
        <v>1171946515.0337541</v>
      </c>
      <c r="AM188" s="2794">
        <f t="shared" si="147"/>
        <v>1156664394.999975</v>
      </c>
      <c r="AN188" s="2794">
        <f t="shared" si="147"/>
        <v>1232929273.7268267</v>
      </c>
      <c r="AO188" s="2794">
        <f t="shared" si="147"/>
        <v>1198238330.7906001</v>
      </c>
      <c r="AP188" s="2794">
        <f t="shared" si="147"/>
        <v>1243644571.601723</v>
      </c>
      <c r="AQ188" s="2794">
        <f t="shared" si="147"/>
        <v>1228667474.1411631</v>
      </c>
      <c r="AR188" s="2794">
        <f t="shared" si="147"/>
        <v>1314368194.6601415</v>
      </c>
      <c r="AS188" s="2794">
        <f t="shared" si="147"/>
        <v>1267308827.400023</v>
      </c>
      <c r="AT188" s="2794">
        <f t="shared" si="147"/>
        <v>1316055084.6362505</v>
      </c>
      <c r="AU188" s="2794">
        <f t="shared" si="147"/>
        <v>1315582475.7666485</v>
      </c>
      <c r="AV188" s="2694">
        <v>0</v>
      </c>
      <c r="AW188" s="2758"/>
      <c r="AX188" s="2907"/>
      <c r="AY188" s="2760"/>
      <c r="AZ188" s="2760"/>
      <c r="BA188" s="2760"/>
      <c r="BB188" s="2760"/>
      <c r="BC188" s="2760"/>
      <c r="BD188" s="2760"/>
      <c r="BE188" s="2760"/>
      <c r="BF188" s="2760"/>
      <c r="BG188" s="2760"/>
      <c r="BI188" s="2730"/>
      <c r="BJ188" s="2730"/>
    </row>
    <row r="189" spans="1:62" ht="18" hidden="1" outlineLevel="1" thickBot="1">
      <c r="A189" s="2908"/>
      <c r="B189" s="2909" t="s">
        <v>4223</v>
      </c>
      <c r="C189" s="2910"/>
      <c r="D189" s="2911"/>
      <c r="E189" s="2911"/>
      <c r="F189" s="2912">
        <v>0.08</v>
      </c>
      <c r="G189" s="2913">
        <v>0.05</v>
      </c>
      <c r="H189" s="2913">
        <v>0.05</v>
      </c>
      <c r="I189" s="2914">
        <v>1.4999999999999999E-2</v>
      </c>
      <c r="J189" s="2914">
        <f t="shared" ref="J189:AU189" si="148">I189</f>
        <v>1.4999999999999999E-2</v>
      </c>
      <c r="K189" s="2914">
        <f t="shared" si="148"/>
        <v>1.4999999999999999E-2</v>
      </c>
      <c r="L189" s="2914">
        <f t="shared" si="148"/>
        <v>1.4999999999999999E-2</v>
      </c>
      <c r="M189" s="2915">
        <f t="shared" si="148"/>
        <v>1.4999999999999999E-2</v>
      </c>
      <c r="N189" s="2914">
        <f t="shared" si="148"/>
        <v>1.4999999999999999E-2</v>
      </c>
      <c r="O189" s="2915">
        <f t="shared" si="148"/>
        <v>1.4999999999999999E-2</v>
      </c>
      <c r="P189" s="2915">
        <f t="shared" si="148"/>
        <v>1.4999999999999999E-2</v>
      </c>
      <c r="Q189" s="2915">
        <f t="shared" si="148"/>
        <v>1.4999999999999999E-2</v>
      </c>
      <c r="R189" s="2915">
        <f t="shared" si="148"/>
        <v>1.4999999999999999E-2</v>
      </c>
      <c r="S189" s="2915">
        <f t="shared" si="148"/>
        <v>1.4999999999999999E-2</v>
      </c>
      <c r="T189" s="2915">
        <f t="shared" si="148"/>
        <v>1.4999999999999999E-2</v>
      </c>
      <c r="U189" s="2915">
        <f t="shared" si="148"/>
        <v>1.4999999999999999E-2</v>
      </c>
      <c r="V189" s="2915">
        <f t="shared" si="148"/>
        <v>1.4999999999999999E-2</v>
      </c>
      <c r="W189" s="2915">
        <f t="shared" si="148"/>
        <v>1.4999999999999999E-2</v>
      </c>
      <c r="X189" s="2915">
        <f t="shared" si="148"/>
        <v>1.4999999999999999E-2</v>
      </c>
      <c r="Y189" s="2915">
        <f t="shared" si="148"/>
        <v>1.4999999999999999E-2</v>
      </c>
      <c r="Z189" s="2915">
        <f t="shared" si="148"/>
        <v>1.4999999999999999E-2</v>
      </c>
      <c r="AA189" s="2915">
        <f t="shared" si="148"/>
        <v>1.4999999999999999E-2</v>
      </c>
      <c r="AB189" s="2915">
        <f t="shared" si="148"/>
        <v>1.4999999999999999E-2</v>
      </c>
      <c r="AC189" s="2915">
        <f t="shared" si="148"/>
        <v>1.4999999999999999E-2</v>
      </c>
      <c r="AD189" s="2915">
        <f t="shared" si="148"/>
        <v>1.4999999999999999E-2</v>
      </c>
      <c r="AE189" s="2915">
        <f t="shared" si="148"/>
        <v>1.4999999999999999E-2</v>
      </c>
      <c r="AF189" s="2915">
        <f t="shared" si="148"/>
        <v>1.4999999999999999E-2</v>
      </c>
      <c r="AG189" s="2915">
        <f t="shared" si="148"/>
        <v>1.4999999999999999E-2</v>
      </c>
      <c r="AH189" s="2915">
        <f t="shared" si="148"/>
        <v>1.4999999999999999E-2</v>
      </c>
      <c r="AI189" s="2915">
        <f t="shared" si="148"/>
        <v>1.4999999999999999E-2</v>
      </c>
      <c r="AJ189" s="2915">
        <f t="shared" si="148"/>
        <v>1.4999999999999999E-2</v>
      </c>
      <c r="AK189" s="2915">
        <f t="shared" si="148"/>
        <v>1.4999999999999999E-2</v>
      </c>
      <c r="AL189" s="2915">
        <f t="shared" si="148"/>
        <v>1.4999999999999999E-2</v>
      </c>
      <c r="AM189" s="2915">
        <f t="shared" si="148"/>
        <v>1.4999999999999999E-2</v>
      </c>
      <c r="AN189" s="2915">
        <f t="shared" si="148"/>
        <v>1.4999999999999999E-2</v>
      </c>
      <c r="AO189" s="2915">
        <f t="shared" si="148"/>
        <v>1.4999999999999999E-2</v>
      </c>
      <c r="AP189" s="2915">
        <f t="shared" si="148"/>
        <v>1.4999999999999999E-2</v>
      </c>
      <c r="AQ189" s="2915">
        <f t="shared" si="148"/>
        <v>1.4999999999999999E-2</v>
      </c>
      <c r="AR189" s="2915">
        <f t="shared" si="148"/>
        <v>1.4999999999999999E-2</v>
      </c>
      <c r="AS189" s="2915">
        <f t="shared" si="148"/>
        <v>1.4999999999999999E-2</v>
      </c>
      <c r="AT189" s="2915">
        <f t="shared" si="148"/>
        <v>1.4999999999999999E-2</v>
      </c>
      <c r="AU189" s="2915">
        <f t="shared" si="148"/>
        <v>1.4999999999999999E-2</v>
      </c>
      <c r="AV189" s="2694">
        <v>0</v>
      </c>
      <c r="AW189" s="2758"/>
      <c r="AX189" s="2916"/>
      <c r="AY189" s="2711"/>
      <c r="AZ189" s="2711"/>
      <c r="BA189" s="2711"/>
      <c r="BB189" s="2711"/>
      <c r="BC189" s="2711"/>
      <c r="BD189" s="2711"/>
      <c r="BE189" s="2711"/>
      <c r="BF189" s="2711"/>
      <c r="BG189" s="2711"/>
      <c r="BI189" s="2730"/>
      <c r="BJ189" s="2730"/>
    </row>
    <row r="190" spans="1:62" ht="18" hidden="1" outlineLevel="1" thickBot="1">
      <c r="A190" s="2917" t="s">
        <v>4224</v>
      </c>
      <c r="B190" s="2918"/>
      <c r="C190" s="2919"/>
      <c r="D190" s="2920">
        <v>3</v>
      </c>
      <c r="E190" s="2921"/>
      <c r="F190" s="2922">
        <v>236604960</v>
      </c>
      <c r="G190" s="2923">
        <v>236604960</v>
      </c>
      <c r="H190" s="2923">
        <f>G190*(1+H189)</f>
        <v>248435208</v>
      </c>
      <c r="I190" s="2923">
        <f t="shared" ref="I190:AU190" si="149">H190*(1+I189)</f>
        <v>252161736.11999997</v>
      </c>
      <c r="J190" s="2923">
        <f t="shared" si="149"/>
        <v>255944162.16179994</v>
      </c>
      <c r="K190" s="2923">
        <f t="shared" si="149"/>
        <v>259783324.5942269</v>
      </c>
      <c r="L190" s="2923">
        <f t="shared" si="149"/>
        <v>263680074.46314028</v>
      </c>
      <c r="M190" s="2924">
        <f t="shared" si="149"/>
        <v>267635275.58008736</v>
      </c>
      <c r="N190" s="2924">
        <f t="shared" si="149"/>
        <v>271649804.71378863</v>
      </c>
      <c r="O190" s="2924">
        <f t="shared" si="149"/>
        <v>275724551.78449541</v>
      </c>
      <c r="P190" s="2924">
        <f t="shared" si="149"/>
        <v>279860420.06126285</v>
      </c>
      <c r="Q190" s="2924">
        <f t="shared" si="149"/>
        <v>284058326.36218178</v>
      </c>
      <c r="R190" s="2924">
        <f t="shared" si="149"/>
        <v>288319201.25761449</v>
      </c>
      <c r="S190" s="2924">
        <f t="shared" si="149"/>
        <v>292643989.27647871</v>
      </c>
      <c r="T190" s="2924">
        <f t="shared" si="149"/>
        <v>297033649.11562586</v>
      </c>
      <c r="U190" s="2924">
        <f t="shared" si="149"/>
        <v>301489153.85236019</v>
      </c>
      <c r="V190" s="2924">
        <f t="shared" si="149"/>
        <v>306011491.16014558</v>
      </c>
      <c r="W190" s="2924">
        <f t="shared" si="149"/>
        <v>310601663.52754772</v>
      </c>
      <c r="X190" s="2924">
        <f t="shared" si="149"/>
        <v>315260688.48046088</v>
      </c>
      <c r="Y190" s="2924">
        <f t="shared" si="149"/>
        <v>319989598.80766779</v>
      </c>
      <c r="Z190" s="2924">
        <f t="shared" si="149"/>
        <v>324789442.78978276</v>
      </c>
      <c r="AA190" s="2924">
        <f t="shared" si="149"/>
        <v>329661284.43162948</v>
      </c>
      <c r="AB190" s="2924">
        <f t="shared" si="149"/>
        <v>334606203.6981039</v>
      </c>
      <c r="AC190" s="2924">
        <f t="shared" si="149"/>
        <v>339625296.75357544</v>
      </c>
      <c r="AD190" s="2924">
        <f t="shared" si="149"/>
        <v>344719676.20487905</v>
      </c>
      <c r="AE190" s="2924">
        <f t="shared" si="149"/>
        <v>349890471.34795219</v>
      </c>
      <c r="AF190" s="2924">
        <f t="shared" si="149"/>
        <v>355138828.41817147</v>
      </c>
      <c r="AG190" s="2924">
        <f t="shared" si="149"/>
        <v>360465910.84444398</v>
      </c>
      <c r="AH190" s="2924">
        <f t="shared" si="149"/>
        <v>365872899.5071106</v>
      </c>
      <c r="AI190" s="2924">
        <f t="shared" si="149"/>
        <v>371360992.99971724</v>
      </c>
      <c r="AJ190" s="2924">
        <f t="shared" si="149"/>
        <v>376931407.89471298</v>
      </c>
      <c r="AK190" s="2924">
        <f t="shared" si="149"/>
        <v>382585379.01313365</v>
      </c>
      <c r="AL190" s="2924">
        <f t="shared" si="149"/>
        <v>388324159.69833064</v>
      </c>
      <c r="AM190" s="2924">
        <f t="shared" si="149"/>
        <v>394149022.09380555</v>
      </c>
      <c r="AN190" s="2924">
        <f t="shared" si="149"/>
        <v>400061257.42521262</v>
      </c>
      <c r="AO190" s="2924">
        <f t="shared" si="149"/>
        <v>406062176.28659075</v>
      </c>
      <c r="AP190" s="2924">
        <f t="shared" si="149"/>
        <v>412153108.93088955</v>
      </c>
      <c r="AQ190" s="2924">
        <f t="shared" si="149"/>
        <v>418335405.56485283</v>
      </c>
      <c r="AR190" s="2924">
        <f t="shared" si="149"/>
        <v>424610436.64832556</v>
      </c>
      <c r="AS190" s="2924">
        <f t="shared" si="149"/>
        <v>430979593.19805038</v>
      </c>
      <c r="AT190" s="2924">
        <f t="shared" si="149"/>
        <v>437444287.09602112</v>
      </c>
      <c r="AU190" s="2924">
        <f t="shared" si="149"/>
        <v>444005951.40246141</v>
      </c>
      <c r="AV190" s="2694">
        <v>0</v>
      </c>
      <c r="AW190" s="2751"/>
      <c r="AX190" s="2925"/>
      <c r="AY190" s="2711"/>
      <c r="AZ190" s="2711"/>
      <c r="BA190" s="2711"/>
      <c r="BB190" s="2711"/>
      <c r="BC190" s="2711"/>
      <c r="BD190" s="2711"/>
      <c r="BE190" s="2711"/>
      <c r="BF190" s="2711"/>
      <c r="BG190" s="2711"/>
      <c r="BI190" s="2730"/>
      <c r="BJ190" s="2730"/>
    </row>
    <row r="191" spans="1:62" ht="18" hidden="1" outlineLevel="1" thickBot="1">
      <c r="A191" s="2926" t="s">
        <v>4225</v>
      </c>
      <c r="B191" s="2927"/>
      <c r="C191" s="2928"/>
      <c r="D191" s="2929">
        <v>2</v>
      </c>
      <c r="E191" s="2930"/>
      <c r="F191" s="2931">
        <v>122776800</v>
      </c>
      <c r="G191" s="2932">
        <v>122776800</v>
      </c>
      <c r="H191" s="2932">
        <f t="shared" ref="H191:AU191" si="150">G191*(1+H189)</f>
        <v>128915640</v>
      </c>
      <c r="I191" s="2932">
        <f t="shared" si="150"/>
        <v>130849374.59999999</v>
      </c>
      <c r="J191" s="2932">
        <f t="shared" si="150"/>
        <v>132812115.21899998</v>
      </c>
      <c r="K191" s="2932">
        <f t="shared" si="150"/>
        <v>134804296.94728497</v>
      </c>
      <c r="L191" s="2932">
        <f t="shared" si="150"/>
        <v>136826361.40149423</v>
      </c>
      <c r="M191" s="2933">
        <f t="shared" si="150"/>
        <v>138878756.82251662</v>
      </c>
      <c r="N191" s="2933">
        <f t="shared" si="150"/>
        <v>140961938.17485437</v>
      </c>
      <c r="O191" s="2933">
        <f t="shared" si="150"/>
        <v>143076367.24747717</v>
      </c>
      <c r="P191" s="2933">
        <f t="shared" si="150"/>
        <v>145222512.75618932</v>
      </c>
      <c r="Q191" s="2933">
        <f t="shared" si="150"/>
        <v>147400850.44753215</v>
      </c>
      <c r="R191" s="2933">
        <f t="shared" si="150"/>
        <v>149611863.20424512</v>
      </c>
      <c r="S191" s="2933">
        <f t="shared" si="150"/>
        <v>151856041.15230879</v>
      </c>
      <c r="T191" s="2933">
        <f t="shared" si="150"/>
        <v>154133881.76959342</v>
      </c>
      <c r="U191" s="2933">
        <f t="shared" si="150"/>
        <v>156445889.99613729</v>
      </c>
      <c r="V191" s="2933">
        <f t="shared" si="150"/>
        <v>158792578.34607935</v>
      </c>
      <c r="W191" s="2933">
        <f t="shared" si="150"/>
        <v>161174467.02127051</v>
      </c>
      <c r="X191" s="2933">
        <f t="shared" si="150"/>
        <v>163592084.02658954</v>
      </c>
      <c r="Y191" s="2933">
        <f t="shared" si="150"/>
        <v>166045965.28698838</v>
      </c>
      <c r="Z191" s="2933">
        <f t="shared" si="150"/>
        <v>168536654.7662932</v>
      </c>
      <c r="AA191" s="2933">
        <f t="shared" si="150"/>
        <v>171064704.58778757</v>
      </c>
      <c r="AB191" s="2933">
        <f t="shared" si="150"/>
        <v>173630675.15660438</v>
      </c>
      <c r="AC191" s="2933">
        <f t="shared" si="150"/>
        <v>176235135.28395343</v>
      </c>
      <c r="AD191" s="2933">
        <f t="shared" si="150"/>
        <v>178878662.31321272</v>
      </c>
      <c r="AE191" s="2933">
        <f t="shared" si="150"/>
        <v>181561842.24791089</v>
      </c>
      <c r="AF191" s="2933">
        <f t="shared" si="150"/>
        <v>184285269.88162953</v>
      </c>
      <c r="AG191" s="2933">
        <f t="shared" si="150"/>
        <v>187049548.92985395</v>
      </c>
      <c r="AH191" s="2933">
        <f t="shared" si="150"/>
        <v>189855292.16380173</v>
      </c>
      <c r="AI191" s="2933">
        <f t="shared" si="150"/>
        <v>192703121.54625875</v>
      </c>
      <c r="AJ191" s="2933">
        <f t="shared" si="150"/>
        <v>195593668.3694526</v>
      </c>
      <c r="AK191" s="2933">
        <f t="shared" si="150"/>
        <v>198527573.39499438</v>
      </c>
      <c r="AL191" s="2933">
        <f t="shared" si="150"/>
        <v>201505486.99591929</v>
      </c>
      <c r="AM191" s="2933">
        <f t="shared" si="150"/>
        <v>204528069.30085805</v>
      </c>
      <c r="AN191" s="2933">
        <f t="shared" si="150"/>
        <v>207595990.34037089</v>
      </c>
      <c r="AO191" s="2933">
        <f t="shared" si="150"/>
        <v>210709930.19547644</v>
      </c>
      <c r="AP191" s="2933">
        <f t="shared" si="150"/>
        <v>213870579.14840856</v>
      </c>
      <c r="AQ191" s="2933">
        <f t="shared" si="150"/>
        <v>217078637.83563468</v>
      </c>
      <c r="AR191" s="2933">
        <f t="shared" si="150"/>
        <v>220334817.40316918</v>
      </c>
      <c r="AS191" s="2933">
        <f t="shared" si="150"/>
        <v>223639839.6642167</v>
      </c>
      <c r="AT191" s="2933">
        <f t="shared" si="150"/>
        <v>226994437.25917992</v>
      </c>
      <c r="AU191" s="2933">
        <f t="shared" si="150"/>
        <v>230399353.81806761</v>
      </c>
      <c r="AV191" s="2694">
        <v>0</v>
      </c>
      <c r="AW191" s="2751"/>
      <c r="AX191" s="2925"/>
      <c r="AY191" s="2711"/>
      <c r="AZ191" s="2711"/>
      <c r="BA191" s="2711"/>
      <c r="BB191" s="2711"/>
      <c r="BC191" s="2711"/>
      <c r="BD191" s="2711"/>
      <c r="BE191" s="2711"/>
      <c r="BF191" s="2711"/>
      <c r="BG191" s="2711"/>
      <c r="BI191" s="2730"/>
      <c r="BJ191" s="2730"/>
    </row>
    <row r="192" spans="1:62" ht="18" hidden="1" outlineLevel="1" thickBot="1">
      <c r="A192" s="2934" t="s">
        <v>4226</v>
      </c>
      <c r="B192" s="2889" t="s">
        <v>4227</v>
      </c>
      <c r="C192" s="2814">
        <v>0.02</v>
      </c>
      <c r="D192" s="2935">
        <v>2</v>
      </c>
      <c r="E192" s="2815"/>
      <c r="F192" s="2873">
        <v>5661818</v>
      </c>
      <c r="G192" s="2873">
        <v>3950000</v>
      </c>
      <c r="H192" s="2873">
        <f t="shared" ref="H192:AU192" si="151">G192*(1+$C$192)</f>
        <v>4029000</v>
      </c>
      <c r="I192" s="2873">
        <f t="shared" si="151"/>
        <v>4109580</v>
      </c>
      <c r="J192" s="2873">
        <f t="shared" si="151"/>
        <v>4191771.6</v>
      </c>
      <c r="K192" s="2873">
        <f t="shared" si="151"/>
        <v>4275607.0320000006</v>
      </c>
      <c r="L192" s="2873">
        <f t="shared" si="151"/>
        <v>4361119.1726400005</v>
      </c>
      <c r="M192" s="2874">
        <f t="shared" si="151"/>
        <v>4448341.5560928006</v>
      </c>
      <c r="N192" s="2874">
        <f t="shared" si="151"/>
        <v>4537308.3872146569</v>
      </c>
      <c r="O192" s="2874">
        <f t="shared" si="151"/>
        <v>4628054.5549589498</v>
      </c>
      <c r="P192" s="2874">
        <f t="shared" si="151"/>
        <v>4720615.6460581291</v>
      </c>
      <c r="Q192" s="2874">
        <f t="shared" si="151"/>
        <v>4815027.9589792918</v>
      </c>
      <c r="R192" s="2874">
        <f t="shared" si="151"/>
        <v>4911328.5181588782</v>
      </c>
      <c r="S192" s="2874">
        <f t="shared" si="151"/>
        <v>5009555.0885220561</v>
      </c>
      <c r="T192" s="2874">
        <f t="shared" si="151"/>
        <v>5109746.1902924972</v>
      </c>
      <c r="U192" s="2874">
        <f t="shared" si="151"/>
        <v>5211941.1140983468</v>
      </c>
      <c r="V192" s="2874">
        <f t="shared" si="151"/>
        <v>5316179.9363803137</v>
      </c>
      <c r="W192" s="2874">
        <f t="shared" si="151"/>
        <v>5422503.5351079199</v>
      </c>
      <c r="X192" s="2874">
        <f t="shared" si="151"/>
        <v>5530953.6058100788</v>
      </c>
      <c r="Y192" s="2874">
        <f t="shared" si="151"/>
        <v>5641572.6779262805</v>
      </c>
      <c r="Z192" s="2874">
        <f t="shared" si="151"/>
        <v>5754404.1314848065</v>
      </c>
      <c r="AA192" s="2874">
        <f t="shared" si="151"/>
        <v>5869492.214114503</v>
      </c>
      <c r="AB192" s="2874">
        <f t="shared" si="151"/>
        <v>5986882.058396793</v>
      </c>
      <c r="AC192" s="2874">
        <f t="shared" si="151"/>
        <v>6106619.6995647289</v>
      </c>
      <c r="AD192" s="2874">
        <f t="shared" si="151"/>
        <v>6228752.0935560232</v>
      </c>
      <c r="AE192" s="2874">
        <f t="shared" si="151"/>
        <v>6353327.1354271434</v>
      </c>
      <c r="AF192" s="2874">
        <f t="shared" si="151"/>
        <v>6480393.6781356866</v>
      </c>
      <c r="AG192" s="2874">
        <f t="shared" si="151"/>
        <v>6610001.5516984006</v>
      </c>
      <c r="AH192" s="2874">
        <f t="shared" si="151"/>
        <v>6742201.5827323692</v>
      </c>
      <c r="AI192" s="2874">
        <f t="shared" si="151"/>
        <v>6877045.6143870167</v>
      </c>
      <c r="AJ192" s="2874">
        <f t="shared" si="151"/>
        <v>7014586.5266747568</v>
      </c>
      <c r="AK192" s="2874">
        <f t="shared" si="151"/>
        <v>7154878.2572082523</v>
      </c>
      <c r="AL192" s="2874">
        <f t="shared" si="151"/>
        <v>7297975.8223524177</v>
      </c>
      <c r="AM192" s="2874">
        <f t="shared" si="151"/>
        <v>7443935.3387994664</v>
      </c>
      <c r="AN192" s="2874">
        <f t="shared" si="151"/>
        <v>7592814.0455754558</v>
      </c>
      <c r="AO192" s="2874">
        <f t="shared" si="151"/>
        <v>7744670.3264869647</v>
      </c>
      <c r="AP192" s="2874">
        <f t="shared" si="151"/>
        <v>7899563.7330167042</v>
      </c>
      <c r="AQ192" s="2874">
        <f t="shared" si="151"/>
        <v>8057555.0076770382</v>
      </c>
      <c r="AR192" s="2874">
        <f t="shared" si="151"/>
        <v>8218706.1078305794</v>
      </c>
      <c r="AS192" s="2874">
        <f t="shared" si="151"/>
        <v>8383080.229987191</v>
      </c>
      <c r="AT192" s="2874">
        <f t="shared" si="151"/>
        <v>8550741.8345869351</v>
      </c>
      <c r="AU192" s="2874">
        <f t="shared" si="151"/>
        <v>8721756.6712786742</v>
      </c>
      <c r="AV192" s="2694">
        <v>0</v>
      </c>
      <c r="AW192" s="2751"/>
      <c r="AX192" s="2795"/>
      <c r="AY192" s="2760"/>
      <c r="AZ192" s="2760"/>
      <c r="BA192" s="2760"/>
      <c r="BB192" s="2760"/>
      <c r="BC192" s="2760"/>
      <c r="BD192" s="2760"/>
      <c r="BE192" s="2760"/>
      <c r="BF192" s="2760"/>
      <c r="BG192" s="2760"/>
      <c r="BI192" s="2730"/>
      <c r="BJ192" s="2730"/>
    </row>
    <row r="193" spans="1:62" ht="18" hidden="1" outlineLevel="1" thickBot="1">
      <c r="A193" s="2773" t="s">
        <v>4228</v>
      </c>
      <c r="B193" s="2887" t="s">
        <v>4229</v>
      </c>
      <c r="C193" s="2787">
        <v>0.05</v>
      </c>
      <c r="D193" s="2936">
        <v>3</v>
      </c>
      <c r="E193" s="2804"/>
      <c r="F193" s="2764">
        <v>25800000</v>
      </c>
      <c r="G193" s="2868">
        <v>7200000</v>
      </c>
      <c r="H193" s="2868">
        <f>4000000*1+23000000*1+20000000*1</f>
        <v>47000000</v>
      </c>
      <c r="I193" s="2868">
        <f>4000000*2</f>
        <v>8000000</v>
      </c>
      <c r="J193" s="2764">
        <f>F193*(1+$C$193)</f>
        <v>27090000</v>
      </c>
      <c r="K193" s="2868">
        <f>G193*($C$193+1)</f>
        <v>7560000</v>
      </c>
      <c r="L193" s="2868">
        <f>H193*(1+$C$193)</f>
        <v>49350000</v>
      </c>
      <c r="M193" s="2868">
        <f>I193*(1+$C$193)</f>
        <v>8400000</v>
      </c>
      <c r="N193" s="2764">
        <f>J193*(1+$C$193)</f>
        <v>28444500</v>
      </c>
      <c r="O193" s="2868">
        <f>K193*($C$193+1)</f>
        <v>7938000</v>
      </c>
      <c r="P193" s="2868">
        <f>L193*(1+$C$193)</f>
        <v>51817500</v>
      </c>
      <c r="Q193" s="2868">
        <f>M193*(1+$C$193)</f>
        <v>8820000</v>
      </c>
      <c r="R193" s="2764">
        <f>N193*(1+$C$193)</f>
        <v>29866725</v>
      </c>
      <c r="S193" s="2868">
        <f>O193*($C$193+1)</f>
        <v>8334900</v>
      </c>
      <c r="T193" s="2868">
        <f>P193*(1+$C$193)</f>
        <v>54408375</v>
      </c>
      <c r="U193" s="2868">
        <f>Q193*(1+$C$193)</f>
        <v>9261000</v>
      </c>
      <c r="V193" s="2764">
        <f>R193*(1+$C$193)</f>
        <v>31360061.25</v>
      </c>
      <c r="W193" s="2868">
        <f>S193*($C$193+1)</f>
        <v>8751645</v>
      </c>
      <c r="X193" s="2868">
        <f>T193*(1+$C$193)</f>
        <v>57128793.75</v>
      </c>
      <c r="Y193" s="2868">
        <f>U193*(1+$C$193)</f>
        <v>9724050</v>
      </c>
      <c r="Z193" s="2764">
        <f>V193*(1+$C$193)</f>
        <v>32928064.3125</v>
      </c>
      <c r="AA193" s="2868">
        <f>W193*($C$193+1)</f>
        <v>9189227.25</v>
      </c>
      <c r="AB193" s="2868">
        <f>X193*(1+$C$193)</f>
        <v>59985233.4375</v>
      </c>
      <c r="AC193" s="2868">
        <f>Y193*(1+$C$193)</f>
        <v>10210252.5</v>
      </c>
      <c r="AD193" s="2764">
        <f>Z193*(1+$C$193)</f>
        <v>34574467.528125003</v>
      </c>
      <c r="AE193" s="2868">
        <f>AA193*($C$193+1)</f>
        <v>9648688.6125000007</v>
      </c>
      <c r="AF193" s="2868">
        <f>AB193*(1+$C$193)</f>
        <v>62984495.109375</v>
      </c>
      <c r="AG193" s="2868">
        <f>AC193*(1+$C$193)</f>
        <v>10720765.125</v>
      </c>
      <c r="AH193" s="2764">
        <f>AD193*(1+$C$193)</f>
        <v>36303190.904531255</v>
      </c>
      <c r="AI193" s="2868">
        <f>AE193*($C$193+1)</f>
        <v>10131123.043125002</v>
      </c>
      <c r="AJ193" s="2868">
        <f>AF193*(1+$C$193)</f>
        <v>66133719.864843756</v>
      </c>
      <c r="AK193" s="2868">
        <f>AG193*(1+$C$193)</f>
        <v>11256803.38125</v>
      </c>
      <c r="AL193" s="2764">
        <f>AH193*(1+$C$193)</f>
        <v>38118350.449757822</v>
      </c>
      <c r="AM193" s="2868">
        <f>AI193*($C$193+1)</f>
        <v>10637679.195281252</v>
      </c>
      <c r="AN193" s="2868">
        <f>AJ193*(1+$C$193)</f>
        <v>69440405.858085945</v>
      </c>
      <c r="AO193" s="2868">
        <f>AK193*(1+$C$193)</f>
        <v>11819643.5503125</v>
      </c>
      <c r="AP193" s="2764">
        <f>AL193*(1+$C$193)</f>
        <v>40024267.972245716</v>
      </c>
      <c r="AQ193" s="2868">
        <f>AM193*($C$193+1)</f>
        <v>11169563.155045316</v>
      </c>
      <c r="AR193" s="2868">
        <f>AN193*(1+$C$193)</f>
        <v>72912426.150990248</v>
      </c>
      <c r="AS193" s="2868">
        <f>AO193*(1+$C$193)</f>
        <v>12410625.727828126</v>
      </c>
      <c r="AT193" s="2764">
        <f>AP193*(1+$C$193)</f>
        <v>42025481.370858006</v>
      </c>
      <c r="AU193" s="2868">
        <f>AQ193*($C$193+1)</f>
        <v>11728041.312797582</v>
      </c>
      <c r="AV193" s="2694">
        <v>0</v>
      </c>
      <c r="AW193" s="2809"/>
      <c r="AX193" s="2795"/>
      <c r="AY193" s="2760"/>
      <c r="AZ193" s="2760"/>
      <c r="BA193" s="2760"/>
      <c r="BB193" s="2760"/>
      <c r="BC193" s="2760"/>
      <c r="BD193" s="2760"/>
      <c r="BE193" s="2760"/>
      <c r="BF193" s="2760"/>
      <c r="BG193" s="2760"/>
      <c r="BI193" s="2730"/>
      <c r="BJ193" s="2730"/>
    </row>
    <row r="194" spans="1:62" ht="18" hidden="1" outlineLevel="1" thickBot="1">
      <c r="A194" s="2773" t="s">
        <v>4230</v>
      </c>
      <c r="B194" s="2826"/>
      <c r="C194" s="2763"/>
      <c r="D194" s="2936">
        <v>2</v>
      </c>
      <c r="E194" s="2764"/>
      <c r="F194" s="2848">
        <v>2309127</v>
      </c>
      <c r="G194" s="2937"/>
      <c r="H194" s="2937"/>
      <c r="I194" s="2937"/>
      <c r="J194" s="2937"/>
      <c r="K194" s="2937"/>
      <c r="L194" s="2937"/>
      <c r="M194" s="2937"/>
      <c r="N194" s="2937"/>
      <c r="O194" s="2937"/>
      <c r="P194" s="2937"/>
      <c r="Q194" s="2937"/>
      <c r="R194" s="2937"/>
      <c r="S194" s="2937"/>
      <c r="T194" s="2937"/>
      <c r="U194" s="2937"/>
      <c r="V194" s="2937"/>
      <c r="W194" s="2937"/>
      <c r="X194" s="2937"/>
      <c r="Y194" s="2937"/>
      <c r="Z194" s="2937"/>
      <c r="AA194" s="2937"/>
      <c r="AB194" s="2937"/>
      <c r="AC194" s="2937"/>
      <c r="AD194" s="2937"/>
      <c r="AE194" s="2937"/>
      <c r="AF194" s="2937"/>
      <c r="AG194" s="2937"/>
      <c r="AH194" s="2937"/>
      <c r="AI194" s="2937"/>
      <c r="AJ194" s="2937"/>
      <c r="AK194" s="2937"/>
      <c r="AL194" s="2937"/>
      <c r="AM194" s="2937"/>
      <c r="AN194" s="2937"/>
      <c r="AO194" s="2937"/>
      <c r="AP194" s="2937"/>
      <c r="AQ194" s="2937"/>
      <c r="AR194" s="2937"/>
      <c r="AS194" s="2937"/>
      <c r="AT194" s="2937"/>
      <c r="AU194" s="2937"/>
      <c r="AV194" s="2694">
        <v>0</v>
      </c>
      <c r="AW194" s="2809"/>
      <c r="AX194" s="2759"/>
      <c r="AY194" s="2774"/>
      <c r="AZ194" s="2774"/>
      <c r="BA194" s="2774"/>
      <c r="BB194" s="2774"/>
      <c r="BC194" s="2774"/>
      <c r="BD194" s="2774"/>
      <c r="BE194" s="2774"/>
      <c r="BF194" s="2774"/>
      <c r="BG194" s="2774"/>
      <c r="BI194" s="2730"/>
      <c r="BJ194" s="2730"/>
    </row>
    <row r="195" spans="1:62" ht="18" hidden="1" outlineLevel="1" thickBot="1">
      <c r="A195" s="2773" t="s">
        <v>4231</v>
      </c>
      <c r="B195" s="2826" t="s">
        <v>4232</v>
      </c>
      <c r="C195" s="2787">
        <v>0.02</v>
      </c>
      <c r="D195" s="2936">
        <v>1</v>
      </c>
      <c r="E195" s="2804"/>
      <c r="F195" s="2764">
        <f>245000*12</f>
        <v>2940000</v>
      </c>
      <c r="G195" s="2868">
        <v>2940000</v>
      </c>
      <c r="H195" s="2868">
        <f t="shared" ref="H195:AU195" si="152">G195*(1+$C$195)</f>
        <v>2998800</v>
      </c>
      <c r="I195" s="2868">
        <f t="shared" si="152"/>
        <v>3058776</v>
      </c>
      <c r="J195" s="2868">
        <f t="shared" si="152"/>
        <v>3119951.52</v>
      </c>
      <c r="K195" s="2868">
        <f t="shared" si="152"/>
        <v>3182350.5504000001</v>
      </c>
      <c r="L195" s="2868">
        <f t="shared" si="152"/>
        <v>3245997.5614080001</v>
      </c>
      <c r="M195" s="2869">
        <f t="shared" si="152"/>
        <v>3310917.51263616</v>
      </c>
      <c r="N195" s="2869">
        <f t="shared" si="152"/>
        <v>3377135.8628888833</v>
      </c>
      <c r="O195" s="2869">
        <f t="shared" si="152"/>
        <v>3444678.580146661</v>
      </c>
      <c r="P195" s="2869">
        <f t="shared" si="152"/>
        <v>3513572.1517495941</v>
      </c>
      <c r="Q195" s="2869">
        <f t="shared" si="152"/>
        <v>3583843.5947845862</v>
      </c>
      <c r="R195" s="2869">
        <f t="shared" si="152"/>
        <v>3655520.4666802781</v>
      </c>
      <c r="S195" s="2869">
        <f t="shared" si="152"/>
        <v>3728630.8760138839</v>
      </c>
      <c r="T195" s="2869">
        <f t="shared" si="152"/>
        <v>3803203.4935341617</v>
      </c>
      <c r="U195" s="2869">
        <f t="shared" si="152"/>
        <v>3879267.5634048451</v>
      </c>
      <c r="V195" s="2869">
        <f t="shared" si="152"/>
        <v>3956852.9146729419</v>
      </c>
      <c r="W195" s="2869">
        <f t="shared" si="152"/>
        <v>4035989.9729664009</v>
      </c>
      <c r="X195" s="2869">
        <f t="shared" si="152"/>
        <v>4116709.7724257289</v>
      </c>
      <c r="Y195" s="2869">
        <f t="shared" si="152"/>
        <v>4199043.9678742439</v>
      </c>
      <c r="Z195" s="2869">
        <f t="shared" si="152"/>
        <v>4283024.847231729</v>
      </c>
      <c r="AA195" s="2869">
        <f t="shared" si="152"/>
        <v>4368685.3441763632</v>
      </c>
      <c r="AB195" s="2869">
        <f t="shared" si="152"/>
        <v>4456059.0510598905</v>
      </c>
      <c r="AC195" s="2869">
        <f t="shared" si="152"/>
        <v>4545180.2320810882</v>
      </c>
      <c r="AD195" s="2869">
        <f t="shared" si="152"/>
        <v>4636083.8367227102</v>
      </c>
      <c r="AE195" s="2869">
        <f t="shared" si="152"/>
        <v>4728805.5134571642</v>
      </c>
      <c r="AF195" s="2869">
        <f t="shared" si="152"/>
        <v>4823381.6237263074</v>
      </c>
      <c r="AG195" s="2869">
        <f t="shared" si="152"/>
        <v>4919849.2562008332</v>
      </c>
      <c r="AH195" s="2869">
        <f t="shared" si="152"/>
        <v>5018246.2413248504</v>
      </c>
      <c r="AI195" s="2869">
        <f t="shared" si="152"/>
        <v>5118611.1661513476</v>
      </c>
      <c r="AJ195" s="2869">
        <f t="shared" si="152"/>
        <v>5220983.3894743742</v>
      </c>
      <c r="AK195" s="2869">
        <f t="shared" si="152"/>
        <v>5325403.0572638614</v>
      </c>
      <c r="AL195" s="2869">
        <f t="shared" si="152"/>
        <v>5431911.1184091391</v>
      </c>
      <c r="AM195" s="2869">
        <f t="shared" si="152"/>
        <v>5540549.3407773217</v>
      </c>
      <c r="AN195" s="2869">
        <f t="shared" si="152"/>
        <v>5651360.3275928684</v>
      </c>
      <c r="AO195" s="2869">
        <f t="shared" si="152"/>
        <v>5764387.5341447257</v>
      </c>
      <c r="AP195" s="2869">
        <f t="shared" si="152"/>
        <v>5879675.2848276207</v>
      </c>
      <c r="AQ195" s="2869">
        <f t="shared" si="152"/>
        <v>5997268.7905241735</v>
      </c>
      <c r="AR195" s="2869">
        <f t="shared" si="152"/>
        <v>6117214.166334657</v>
      </c>
      <c r="AS195" s="2869">
        <f t="shared" si="152"/>
        <v>6239558.4496613499</v>
      </c>
      <c r="AT195" s="2869">
        <f t="shared" si="152"/>
        <v>6364349.6186545771</v>
      </c>
      <c r="AU195" s="2869">
        <f t="shared" si="152"/>
        <v>6491636.6110276692</v>
      </c>
      <c r="AV195" s="2694">
        <v>0</v>
      </c>
      <c r="AW195" s="2809"/>
      <c r="AX195" s="2795"/>
      <c r="AY195" s="2760"/>
      <c r="AZ195" s="2760"/>
      <c r="BA195" s="2760"/>
      <c r="BB195" s="2760"/>
      <c r="BC195" s="2760"/>
      <c r="BD195" s="2760"/>
      <c r="BE195" s="2760"/>
      <c r="BF195" s="2760"/>
      <c r="BG195" s="2760"/>
      <c r="BI195" s="2730"/>
      <c r="BJ195" s="2730"/>
    </row>
    <row r="196" spans="1:62" ht="18" hidden="1" outlineLevel="1" thickBot="1">
      <c r="A196" s="2773" t="s">
        <v>4233</v>
      </c>
      <c r="B196" s="2826"/>
      <c r="C196" s="2787">
        <v>0.02</v>
      </c>
      <c r="D196" s="2936">
        <v>1</v>
      </c>
      <c r="E196" s="2804"/>
      <c r="F196" s="2764">
        <v>4800000</v>
      </c>
      <c r="G196" s="2868">
        <v>153150000</v>
      </c>
      <c r="H196" s="2868">
        <v>50000000</v>
      </c>
      <c r="I196" s="2868"/>
      <c r="J196" s="2868"/>
      <c r="K196" s="2868"/>
      <c r="L196" s="2868"/>
      <c r="M196" s="2869"/>
      <c r="N196" s="2869"/>
      <c r="O196" s="2869"/>
      <c r="P196" s="2869"/>
      <c r="Q196" s="2869"/>
      <c r="R196" s="2869"/>
      <c r="S196" s="2869"/>
      <c r="T196" s="2869"/>
      <c r="U196" s="2869"/>
      <c r="V196" s="2869"/>
      <c r="W196" s="2869"/>
      <c r="X196" s="2869"/>
      <c r="Y196" s="2869"/>
      <c r="Z196" s="2869"/>
      <c r="AA196" s="2869"/>
      <c r="AB196" s="2869"/>
      <c r="AC196" s="2869"/>
      <c r="AD196" s="2869"/>
      <c r="AE196" s="2869"/>
      <c r="AF196" s="2869"/>
      <c r="AG196" s="2869"/>
      <c r="AH196" s="2869"/>
      <c r="AI196" s="2869"/>
      <c r="AJ196" s="2869"/>
      <c r="AK196" s="2869"/>
      <c r="AL196" s="2869"/>
      <c r="AM196" s="2869"/>
      <c r="AN196" s="2869"/>
      <c r="AO196" s="2869"/>
      <c r="AP196" s="2869"/>
      <c r="AQ196" s="2869"/>
      <c r="AR196" s="2869"/>
      <c r="AS196" s="2869"/>
      <c r="AT196" s="2869"/>
      <c r="AU196" s="2869"/>
      <c r="AV196" s="2694">
        <v>0</v>
      </c>
      <c r="AW196" s="2809"/>
      <c r="AX196" s="2795"/>
      <c r="AY196" s="2760"/>
      <c r="AZ196" s="2760"/>
      <c r="BA196" s="2760"/>
      <c r="BB196" s="2760"/>
      <c r="BC196" s="2760"/>
      <c r="BD196" s="2760"/>
      <c r="BE196" s="2760"/>
      <c r="BF196" s="2760"/>
      <c r="BG196" s="2760"/>
      <c r="BI196" s="2730"/>
      <c r="BJ196" s="2730"/>
    </row>
    <row r="197" spans="1:62" ht="18" hidden="1" outlineLevel="1" thickBot="1">
      <c r="A197" s="2938" t="s">
        <v>4234</v>
      </c>
      <c r="B197" s="2939">
        <v>17937720</v>
      </c>
      <c r="C197" s="2940">
        <v>0.15</v>
      </c>
      <c r="D197" s="2941">
        <v>2</v>
      </c>
      <c r="E197" s="2942"/>
      <c r="F197" s="2943">
        <v>240000000</v>
      </c>
      <c r="G197" s="2944">
        <v>293542968</v>
      </c>
      <c r="H197" s="2945">
        <f t="shared" ref="H197:AU197" si="153">G197*(1+H189)</f>
        <v>308220116.40000004</v>
      </c>
      <c r="I197" s="2945">
        <f t="shared" si="153"/>
        <v>312843418.14600003</v>
      </c>
      <c r="J197" s="2945">
        <f t="shared" si="153"/>
        <v>317536069.41819</v>
      </c>
      <c r="K197" s="2945">
        <f t="shared" si="153"/>
        <v>322299110.45946282</v>
      </c>
      <c r="L197" s="2945">
        <f t="shared" si="153"/>
        <v>327133597.1163547</v>
      </c>
      <c r="M197" s="2944">
        <f t="shared" si="153"/>
        <v>332040601.07309997</v>
      </c>
      <c r="N197" s="2944">
        <f t="shared" si="153"/>
        <v>337021210.08919644</v>
      </c>
      <c r="O197" s="2944">
        <f t="shared" si="153"/>
        <v>342076528.24053437</v>
      </c>
      <c r="P197" s="2944">
        <f t="shared" si="153"/>
        <v>347207676.16414237</v>
      </c>
      <c r="Q197" s="2944">
        <f t="shared" si="153"/>
        <v>352415791.30660444</v>
      </c>
      <c r="R197" s="2944">
        <f t="shared" si="153"/>
        <v>357702028.17620349</v>
      </c>
      <c r="S197" s="2944">
        <f t="shared" si="153"/>
        <v>363067558.5988465</v>
      </c>
      <c r="T197" s="2944">
        <f t="shared" si="153"/>
        <v>368513571.97782916</v>
      </c>
      <c r="U197" s="2944">
        <f t="shared" si="153"/>
        <v>374041275.55749655</v>
      </c>
      <c r="V197" s="2944">
        <f t="shared" si="153"/>
        <v>379651894.69085896</v>
      </c>
      <c r="W197" s="2944">
        <f t="shared" si="153"/>
        <v>385346673.11122179</v>
      </c>
      <c r="X197" s="2944">
        <f t="shared" si="153"/>
        <v>391126873.20789009</v>
      </c>
      <c r="Y197" s="2944">
        <f t="shared" si="153"/>
        <v>396993776.3060084</v>
      </c>
      <c r="Z197" s="2944">
        <f t="shared" si="153"/>
        <v>402948682.95059848</v>
      </c>
      <c r="AA197" s="2944">
        <f t="shared" si="153"/>
        <v>408992913.19485742</v>
      </c>
      <c r="AB197" s="2944">
        <f t="shared" si="153"/>
        <v>415127806.89278024</v>
      </c>
      <c r="AC197" s="2944">
        <f t="shared" si="153"/>
        <v>421354723.99617189</v>
      </c>
      <c r="AD197" s="2944">
        <f t="shared" si="153"/>
        <v>427675044.85611445</v>
      </c>
      <c r="AE197" s="2944">
        <f t="shared" si="153"/>
        <v>434090170.52895612</v>
      </c>
      <c r="AF197" s="2944">
        <f t="shared" si="153"/>
        <v>440601523.0868904</v>
      </c>
      <c r="AG197" s="2944">
        <f t="shared" si="153"/>
        <v>447210545.93319368</v>
      </c>
      <c r="AH197" s="2944">
        <f t="shared" si="153"/>
        <v>453918704.12219155</v>
      </c>
      <c r="AI197" s="2944">
        <f t="shared" si="153"/>
        <v>460727484.68402439</v>
      </c>
      <c r="AJ197" s="2944">
        <f t="shared" si="153"/>
        <v>467638396.95428473</v>
      </c>
      <c r="AK197" s="2944">
        <f t="shared" si="153"/>
        <v>474652972.90859896</v>
      </c>
      <c r="AL197" s="2944">
        <f t="shared" si="153"/>
        <v>481772767.5022279</v>
      </c>
      <c r="AM197" s="2944">
        <f t="shared" si="153"/>
        <v>488999359.01476127</v>
      </c>
      <c r="AN197" s="2944">
        <f t="shared" si="153"/>
        <v>496334349.39998263</v>
      </c>
      <c r="AO197" s="2944">
        <f t="shared" si="153"/>
        <v>503779364.64098233</v>
      </c>
      <c r="AP197" s="2944">
        <f t="shared" si="153"/>
        <v>511336055.11059701</v>
      </c>
      <c r="AQ197" s="2944">
        <f t="shared" si="153"/>
        <v>519006095.93725592</v>
      </c>
      <c r="AR197" s="2944">
        <f t="shared" si="153"/>
        <v>526791187.3763147</v>
      </c>
      <c r="AS197" s="2944">
        <f t="shared" si="153"/>
        <v>534693055.18695939</v>
      </c>
      <c r="AT197" s="2944">
        <f t="shared" si="153"/>
        <v>542713451.01476371</v>
      </c>
      <c r="AU197" s="2944">
        <f t="shared" si="153"/>
        <v>550854152.77998507</v>
      </c>
      <c r="AV197" s="2694">
        <v>0</v>
      </c>
      <c r="AW197" s="2809"/>
      <c r="AX197" s="2946"/>
      <c r="AY197" s="2711"/>
      <c r="AZ197" s="2711"/>
      <c r="BA197" s="2711"/>
      <c r="BB197" s="2711"/>
      <c r="BC197" s="2711"/>
      <c r="BD197" s="2711"/>
      <c r="BE197" s="2711"/>
      <c r="BF197" s="2711"/>
      <c r="BG197" s="2711"/>
      <c r="BI197" s="2730"/>
      <c r="BJ197" s="2730"/>
    </row>
    <row r="198" spans="1:62" ht="18" hidden="1" outlineLevel="1" thickBot="1">
      <c r="A198" s="2773" t="s">
        <v>4235</v>
      </c>
      <c r="B198" s="2826" t="s">
        <v>4236</v>
      </c>
      <c r="C198" s="2787">
        <v>0.02</v>
      </c>
      <c r="D198" s="2936">
        <v>3</v>
      </c>
      <c r="E198" s="2804"/>
      <c r="F198" s="2764">
        <v>3200000</v>
      </c>
      <c r="G198" s="2868">
        <v>3400000</v>
      </c>
      <c r="H198" s="2868">
        <f t="shared" ref="H198:AU198" si="154">G198*(1+$C$198)</f>
        <v>3468000</v>
      </c>
      <c r="I198" s="2868">
        <f t="shared" si="154"/>
        <v>3537360</v>
      </c>
      <c r="J198" s="2868">
        <f t="shared" si="154"/>
        <v>3608107.2</v>
      </c>
      <c r="K198" s="2868">
        <f t="shared" si="154"/>
        <v>3680269.344</v>
      </c>
      <c r="L198" s="2868">
        <f t="shared" si="154"/>
        <v>3753874.7308800002</v>
      </c>
      <c r="M198" s="2869">
        <f t="shared" si="154"/>
        <v>3828952.2254976002</v>
      </c>
      <c r="N198" s="2869">
        <f t="shared" si="154"/>
        <v>3905531.2700075521</v>
      </c>
      <c r="O198" s="2869">
        <f t="shared" si="154"/>
        <v>3983641.8954077032</v>
      </c>
      <c r="P198" s="2869">
        <f t="shared" si="154"/>
        <v>4063314.7333158576</v>
      </c>
      <c r="Q198" s="2869">
        <f t="shared" si="154"/>
        <v>4144581.0279821749</v>
      </c>
      <c r="R198" s="2869">
        <f t="shared" si="154"/>
        <v>4227472.6485418184</v>
      </c>
      <c r="S198" s="2869">
        <f t="shared" si="154"/>
        <v>4312022.1015126547</v>
      </c>
      <c r="T198" s="2869">
        <f t="shared" si="154"/>
        <v>4398262.5435429076</v>
      </c>
      <c r="U198" s="2869">
        <f t="shared" si="154"/>
        <v>4486227.7944137659</v>
      </c>
      <c r="V198" s="2869">
        <f t="shared" si="154"/>
        <v>4575952.3503020415</v>
      </c>
      <c r="W198" s="2869">
        <f t="shared" si="154"/>
        <v>4667471.3973080823</v>
      </c>
      <c r="X198" s="2869">
        <f t="shared" si="154"/>
        <v>4760820.8252542438</v>
      </c>
      <c r="Y198" s="2869">
        <f t="shared" si="154"/>
        <v>4856037.2417593291</v>
      </c>
      <c r="Z198" s="2869">
        <f t="shared" si="154"/>
        <v>4953157.9865945159</v>
      </c>
      <c r="AA198" s="2869">
        <f t="shared" si="154"/>
        <v>5052221.1463264059</v>
      </c>
      <c r="AB198" s="2869">
        <f t="shared" si="154"/>
        <v>5153265.5692529343</v>
      </c>
      <c r="AC198" s="2869">
        <f t="shared" si="154"/>
        <v>5256330.8806379931</v>
      </c>
      <c r="AD198" s="2869">
        <f t="shared" si="154"/>
        <v>5361457.4982507527</v>
      </c>
      <c r="AE198" s="2869">
        <f t="shared" si="154"/>
        <v>5468686.6482157679</v>
      </c>
      <c r="AF198" s="2869">
        <f t="shared" si="154"/>
        <v>5578060.3811800834</v>
      </c>
      <c r="AG198" s="2869">
        <f t="shared" si="154"/>
        <v>5689621.5888036853</v>
      </c>
      <c r="AH198" s="2869">
        <f t="shared" si="154"/>
        <v>5803414.020579759</v>
      </c>
      <c r="AI198" s="2869">
        <f t="shared" si="154"/>
        <v>5919482.3009913545</v>
      </c>
      <c r="AJ198" s="2869">
        <f t="shared" si="154"/>
        <v>6037871.9470111821</v>
      </c>
      <c r="AK198" s="2869">
        <f t="shared" si="154"/>
        <v>6158629.3859514054</v>
      </c>
      <c r="AL198" s="2869">
        <f t="shared" si="154"/>
        <v>6281801.9736704333</v>
      </c>
      <c r="AM198" s="2869">
        <f t="shared" si="154"/>
        <v>6407438.0131438421</v>
      </c>
      <c r="AN198" s="2869">
        <f t="shared" si="154"/>
        <v>6535586.7734067189</v>
      </c>
      <c r="AO198" s="2869">
        <f t="shared" si="154"/>
        <v>6666298.5088748531</v>
      </c>
      <c r="AP198" s="2869">
        <f t="shared" si="154"/>
        <v>6799624.4790523499</v>
      </c>
      <c r="AQ198" s="2869">
        <f t="shared" si="154"/>
        <v>6935616.9686333975</v>
      </c>
      <c r="AR198" s="2869">
        <f t="shared" si="154"/>
        <v>7074329.3080060659</v>
      </c>
      <c r="AS198" s="2869">
        <f t="shared" si="154"/>
        <v>7215815.8941661874</v>
      </c>
      <c r="AT198" s="2869">
        <f t="shared" si="154"/>
        <v>7360132.2120495113</v>
      </c>
      <c r="AU198" s="2869">
        <f t="shared" si="154"/>
        <v>7507334.8562905015</v>
      </c>
      <c r="AV198" s="2694">
        <v>0</v>
      </c>
      <c r="AW198" s="2751"/>
      <c r="AX198" s="2795"/>
      <c r="AY198" s="2760"/>
      <c r="AZ198" s="2760"/>
      <c r="BA198" s="2760"/>
      <c r="BB198" s="2760"/>
      <c r="BC198" s="2760"/>
      <c r="BD198" s="2760"/>
      <c r="BE198" s="2760"/>
      <c r="BF198" s="2760"/>
      <c r="BG198" s="2760"/>
      <c r="BI198" s="2730"/>
      <c r="BJ198" s="2730"/>
    </row>
    <row r="199" spans="1:62" ht="18" hidden="1" outlineLevel="1" thickBot="1">
      <c r="A199" s="2773" t="s">
        <v>4237</v>
      </c>
      <c r="B199" s="2826" t="s">
        <v>4236</v>
      </c>
      <c r="C199" s="2787">
        <v>0.02</v>
      </c>
      <c r="D199" s="2936">
        <v>3</v>
      </c>
      <c r="E199" s="2804"/>
      <c r="F199" s="2764">
        <v>6600000</v>
      </c>
      <c r="G199" s="2868">
        <v>6600000</v>
      </c>
      <c r="H199" s="2868">
        <f t="shared" ref="H199:AU199" si="155">G199*(1+$C$199)</f>
        <v>6732000</v>
      </c>
      <c r="I199" s="2868">
        <f t="shared" si="155"/>
        <v>6866640</v>
      </c>
      <c r="J199" s="2868">
        <f t="shared" si="155"/>
        <v>7003972.7999999998</v>
      </c>
      <c r="K199" s="2868">
        <f t="shared" si="155"/>
        <v>7144052.2560000001</v>
      </c>
      <c r="L199" s="2868">
        <f t="shared" si="155"/>
        <v>7286933.30112</v>
      </c>
      <c r="M199" s="2869">
        <f t="shared" si="155"/>
        <v>7432671.9671424003</v>
      </c>
      <c r="N199" s="2869">
        <f t="shared" si="155"/>
        <v>7581325.4064852484</v>
      </c>
      <c r="O199" s="2869">
        <f t="shared" si="155"/>
        <v>7732951.9146149531</v>
      </c>
      <c r="P199" s="2869">
        <f t="shared" si="155"/>
        <v>7887610.9529072521</v>
      </c>
      <c r="Q199" s="2869">
        <f t="shared" si="155"/>
        <v>8045363.171965397</v>
      </c>
      <c r="R199" s="2869">
        <f t="shared" si="155"/>
        <v>8206270.4354047049</v>
      </c>
      <c r="S199" s="2869">
        <f t="shared" si="155"/>
        <v>8370395.8441127995</v>
      </c>
      <c r="T199" s="2869">
        <f t="shared" si="155"/>
        <v>8537803.7609950565</v>
      </c>
      <c r="U199" s="2869">
        <f t="shared" si="155"/>
        <v>8708559.8362149578</v>
      </c>
      <c r="V199" s="2869">
        <f t="shared" si="155"/>
        <v>8882731.0329392571</v>
      </c>
      <c r="W199" s="2869">
        <f t="shared" si="155"/>
        <v>9060385.6535980422</v>
      </c>
      <c r="X199" s="2869">
        <f t="shared" si="155"/>
        <v>9241593.3666700032</v>
      </c>
      <c r="Y199" s="2869">
        <f t="shared" si="155"/>
        <v>9426425.2340034042</v>
      </c>
      <c r="Z199" s="2869">
        <f t="shared" si="155"/>
        <v>9614953.7386834733</v>
      </c>
      <c r="AA199" s="2869">
        <f t="shared" si="155"/>
        <v>9807252.8134571426</v>
      </c>
      <c r="AB199" s="2869">
        <f t="shared" si="155"/>
        <v>10003397.869726285</v>
      </c>
      <c r="AC199" s="2869">
        <f t="shared" si="155"/>
        <v>10203465.827120811</v>
      </c>
      <c r="AD199" s="2869">
        <f t="shared" si="155"/>
        <v>10407535.143663228</v>
      </c>
      <c r="AE199" s="2869">
        <f t="shared" si="155"/>
        <v>10615685.846536493</v>
      </c>
      <c r="AF199" s="2869">
        <f t="shared" si="155"/>
        <v>10827999.563467223</v>
      </c>
      <c r="AG199" s="2869">
        <f t="shared" si="155"/>
        <v>11044559.554736568</v>
      </c>
      <c r="AH199" s="2869">
        <f t="shared" si="155"/>
        <v>11265450.7458313</v>
      </c>
      <c r="AI199" s="2869">
        <f t="shared" si="155"/>
        <v>11490759.760747926</v>
      </c>
      <c r="AJ199" s="2869">
        <f t="shared" si="155"/>
        <v>11720574.955962885</v>
      </c>
      <c r="AK199" s="2869">
        <f t="shared" si="155"/>
        <v>11954986.455082143</v>
      </c>
      <c r="AL199" s="2869">
        <f t="shared" si="155"/>
        <v>12194086.184183786</v>
      </c>
      <c r="AM199" s="2869">
        <f t="shared" si="155"/>
        <v>12437967.907867461</v>
      </c>
      <c r="AN199" s="2869">
        <f t="shared" si="155"/>
        <v>12686727.266024811</v>
      </c>
      <c r="AO199" s="2869">
        <f t="shared" si="155"/>
        <v>12940461.811345307</v>
      </c>
      <c r="AP199" s="2869">
        <f t="shared" si="155"/>
        <v>13199271.047572214</v>
      </c>
      <c r="AQ199" s="2869">
        <f t="shared" si="155"/>
        <v>13463256.468523659</v>
      </c>
      <c r="AR199" s="2869">
        <f t="shared" si="155"/>
        <v>13732521.597894132</v>
      </c>
      <c r="AS199" s="2869">
        <f t="shared" si="155"/>
        <v>14007172.029852016</v>
      </c>
      <c r="AT199" s="2869">
        <f t="shared" si="155"/>
        <v>14287315.470449056</v>
      </c>
      <c r="AU199" s="2869">
        <f t="shared" si="155"/>
        <v>14573061.779858038</v>
      </c>
      <c r="AV199" s="2694">
        <v>0</v>
      </c>
      <c r="AW199" s="2809"/>
      <c r="AX199" s="2795"/>
      <c r="AY199" s="2760"/>
      <c r="AZ199" s="2760"/>
      <c r="BA199" s="2760"/>
      <c r="BB199" s="2760"/>
      <c r="BC199" s="2760"/>
      <c r="BD199" s="2760"/>
      <c r="BE199" s="2760"/>
      <c r="BF199" s="2760"/>
      <c r="BG199" s="2760"/>
      <c r="BI199" s="2730"/>
      <c r="BJ199" s="2730"/>
    </row>
    <row r="200" spans="1:62" s="2785" customFormat="1" ht="18" hidden="1" outlineLevel="1" thickBot="1">
      <c r="A200" s="2934" t="s">
        <v>4238</v>
      </c>
      <c r="B200" s="2832" t="s">
        <v>4239</v>
      </c>
      <c r="C200" s="2814">
        <v>0.02</v>
      </c>
      <c r="D200" s="2935">
        <v>2</v>
      </c>
      <c r="E200" s="2815"/>
      <c r="F200" s="2778">
        <v>2400000</v>
      </c>
      <c r="G200" s="2873">
        <v>3600000</v>
      </c>
      <c r="H200" s="2873">
        <f t="shared" ref="H200:AU200" si="156">G200*(1+$C$200)</f>
        <v>3672000</v>
      </c>
      <c r="I200" s="2873">
        <f t="shared" si="156"/>
        <v>3745440</v>
      </c>
      <c r="J200" s="2873">
        <f t="shared" si="156"/>
        <v>3820348.8000000003</v>
      </c>
      <c r="K200" s="2873">
        <f t="shared" si="156"/>
        <v>3896755.7760000005</v>
      </c>
      <c r="L200" s="2873">
        <f t="shared" si="156"/>
        <v>3974690.8915200005</v>
      </c>
      <c r="M200" s="2874">
        <f t="shared" si="156"/>
        <v>4054184.7093504006</v>
      </c>
      <c r="N200" s="2874">
        <f t="shared" si="156"/>
        <v>4135268.4035374089</v>
      </c>
      <c r="O200" s="2874">
        <f t="shared" si="156"/>
        <v>4217973.7716081571</v>
      </c>
      <c r="P200" s="2874">
        <f t="shared" si="156"/>
        <v>4302333.2470403202</v>
      </c>
      <c r="Q200" s="2874">
        <f t="shared" si="156"/>
        <v>4388379.9119811263</v>
      </c>
      <c r="R200" s="2874">
        <f t="shared" si="156"/>
        <v>4476147.5102207493</v>
      </c>
      <c r="S200" s="2874">
        <f t="shared" si="156"/>
        <v>4565670.4604251646</v>
      </c>
      <c r="T200" s="2874">
        <f t="shared" si="156"/>
        <v>4656983.8696336681</v>
      </c>
      <c r="U200" s="2874">
        <f t="shared" si="156"/>
        <v>4750123.5470263418</v>
      </c>
      <c r="V200" s="2874">
        <f t="shared" si="156"/>
        <v>4845126.0179668684</v>
      </c>
      <c r="W200" s="2874">
        <f t="shared" si="156"/>
        <v>4942028.5383262057</v>
      </c>
      <c r="X200" s="2874">
        <f t="shared" si="156"/>
        <v>5040869.1090927301</v>
      </c>
      <c r="Y200" s="2874">
        <f t="shared" si="156"/>
        <v>5141686.491274585</v>
      </c>
      <c r="Z200" s="2874">
        <f t="shared" si="156"/>
        <v>5244520.221100077</v>
      </c>
      <c r="AA200" s="2874">
        <f t="shared" si="156"/>
        <v>5349410.6255220789</v>
      </c>
      <c r="AB200" s="2874">
        <f t="shared" si="156"/>
        <v>5456398.8380325204</v>
      </c>
      <c r="AC200" s="2874">
        <f t="shared" si="156"/>
        <v>5565526.8147931704</v>
      </c>
      <c r="AD200" s="2874">
        <f t="shared" si="156"/>
        <v>5676837.3510890342</v>
      </c>
      <c r="AE200" s="2874">
        <f t="shared" si="156"/>
        <v>5790374.0981108146</v>
      </c>
      <c r="AF200" s="2874">
        <f t="shared" si="156"/>
        <v>5906181.5800730307</v>
      </c>
      <c r="AG200" s="2874">
        <f t="shared" si="156"/>
        <v>6024305.2116744909</v>
      </c>
      <c r="AH200" s="2874">
        <f t="shared" si="156"/>
        <v>6144791.3159079812</v>
      </c>
      <c r="AI200" s="2874">
        <f t="shared" si="156"/>
        <v>6267687.1422261409</v>
      </c>
      <c r="AJ200" s="2874">
        <f t="shared" si="156"/>
        <v>6393040.8850706639</v>
      </c>
      <c r="AK200" s="2874">
        <f t="shared" si="156"/>
        <v>6520901.7027720772</v>
      </c>
      <c r="AL200" s="2874">
        <f t="shared" si="156"/>
        <v>6651319.7368275188</v>
      </c>
      <c r="AM200" s="2874">
        <f t="shared" si="156"/>
        <v>6784346.1315640695</v>
      </c>
      <c r="AN200" s="2874">
        <f t="shared" si="156"/>
        <v>6920033.054195351</v>
      </c>
      <c r="AO200" s="2874">
        <f t="shared" si="156"/>
        <v>7058433.7152792579</v>
      </c>
      <c r="AP200" s="2874">
        <f t="shared" si="156"/>
        <v>7199602.3895848431</v>
      </c>
      <c r="AQ200" s="2874">
        <f t="shared" si="156"/>
        <v>7343594.4373765402</v>
      </c>
      <c r="AR200" s="2874">
        <f t="shared" si="156"/>
        <v>7490466.3261240711</v>
      </c>
      <c r="AS200" s="2874">
        <f t="shared" si="156"/>
        <v>7640275.6526465528</v>
      </c>
      <c r="AT200" s="2874">
        <f t="shared" si="156"/>
        <v>7793081.1656994838</v>
      </c>
      <c r="AU200" s="2874">
        <f t="shared" si="156"/>
        <v>7948942.7890134733</v>
      </c>
      <c r="AV200" s="2694">
        <v>0</v>
      </c>
      <c r="AW200" s="2947"/>
      <c r="AX200" s="2816"/>
      <c r="AY200" s="2784"/>
      <c r="AZ200" s="2784"/>
      <c r="BA200" s="2784"/>
      <c r="BB200" s="2784"/>
      <c r="BC200" s="2784"/>
      <c r="BD200" s="2784"/>
      <c r="BE200" s="2784"/>
      <c r="BF200" s="2784"/>
      <c r="BG200" s="2784"/>
      <c r="BI200" s="2786"/>
      <c r="BJ200" s="2786"/>
    </row>
    <row r="201" spans="1:62" ht="18" hidden="1" outlineLevel="1" thickBot="1">
      <c r="A201" s="2773" t="s">
        <v>4240</v>
      </c>
      <c r="B201" s="2826"/>
      <c r="C201" s="2787">
        <v>0.02</v>
      </c>
      <c r="D201" s="2936">
        <v>3</v>
      </c>
      <c r="E201" s="2804"/>
      <c r="F201" s="2764"/>
      <c r="G201" s="2868"/>
      <c r="H201" s="2868">
        <v>5000000</v>
      </c>
      <c r="I201" s="2868">
        <f t="shared" ref="I201:AU201" si="157">H201*(1+$C$201)</f>
        <v>5100000</v>
      </c>
      <c r="J201" s="2868">
        <f t="shared" si="157"/>
        <v>5202000</v>
      </c>
      <c r="K201" s="2868">
        <f t="shared" si="157"/>
        <v>5306040</v>
      </c>
      <c r="L201" s="2868">
        <f t="shared" si="157"/>
        <v>5412160.7999999998</v>
      </c>
      <c r="M201" s="2869">
        <f t="shared" si="157"/>
        <v>5520404.0159999998</v>
      </c>
      <c r="N201" s="2869">
        <f t="shared" si="157"/>
        <v>5630812.0963199995</v>
      </c>
      <c r="O201" s="2869">
        <f t="shared" si="157"/>
        <v>5743428.3382463995</v>
      </c>
      <c r="P201" s="2869">
        <f t="shared" si="157"/>
        <v>5858296.9050113279</v>
      </c>
      <c r="Q201" s="2869">
        <f t="shared" si="157"/>
        <v>5975462.8431115542</v>
      </c>
      <c r="R201" s="2869">
        <f t="shared" si="157"/>
        <v>6094972.0999737857</v>
      </c>
      <c r="S201" s="2869">
        <f t="shared" si="157"/>
        <v>6216871.5419732612</v>
      </c>
      <c r="T201" s="2869">
        <f t="shared" si="157"/>
        <v>6341208.9728127262</v>
      </c>
      <c r="U201" s="2869">
        <f t="shared" si="157"/>
        <v>6468033.1522689806</v>
      </c>
      <c r="V201" s="2869">
        <f t="shared" si="157"/>
        <v>6597393.81531436</v>
      </c>
      <c r="W201" s="2869">
        <f t="shared" si="157"/>
        <v>6729341.691620647</v>
      </c>
      <c r="X201" s="2869">
        <f t="shared" si="157"/>
        <v>6863928.5254530599</v>
      </c>
      <c r="Y201" s="2869">
        <f t="shared" si="157"/>
        <v>7001207.0959621212</v>
      </c>
      <c r="Z201" s="2869">
        <f t="shared" si="157"/>
        <v>7141231.2378813634</v>
      </c>
      <c r="AA201" s="2869">
        <f t="shared" si="157"/>
        <v>7284055.8626389904</v>
      </c>
      <c r="AB201" s="2869">
        <f t="shared" si="157"/>
        <v>7429736.9798917705</v>
      </c>
      <c r="AC201" s="2869">
        <f t="shared" si="157"/>
        <v>7578331.7194896061</v>
      </c>
      <c r="AD201" s="2869">
        <f t="shared" si="157"/>
        <v>7729898.3538793987</v>
      </c>
      <c r="AE201" s="2869">
        <f t="shared" si="157"/>
        <v>7884496.3209569864</v>
      </c>
      <c r="AF201" s="2869">
        <f t="shared" si="157"/>
        <v>8042186.2473761262</v>
      </c>
      <c r="AG201" s="2869">
        <f t="shared" si="157"/>
        <v>8203029.9723236486</v>
      </c>
      <c r="AH201" s="2869">
        <f t="shared" si="157"/>
        <v>8367090.5717701213</v>
      </c>
      <c r="AI201" s="2869">
        <f t="shared" si="157"/>
        <v>8534432.3832055237</v>
      </c>
      <c r="AJ201" s="2869">
        <f t="shared" si="157"/>
        <v>8705121.0308696348</v>
      </c>
      <c r="AK201" s="2869">
        <f t="shared" si="157"/>
        <v>8879223.4514870271</v>
      </c>
      <c r="AL201" s="2869">
        <f t="shared" si="157"/>
        <v>9056807.9205167685</v>
      </c>
      <c r="AM201" s="2869">
        <f t="shared" si="157"/>
        <v>9237944.0789271034</v>
      </c>
      <c r="AN201" s="2869">
        <f t="shared" si="157"/>
        <v>9422702.9605056457</v>
      </c>
      <c r="AO201" s="2869">
        <f t="shared" si="157"/>
        <v>9611157.019715758</v>
      </c>
      <c r="AP201" s="2869">
        <f t="shared" si="157"/>
        <v>9803380.1601100732</v>
      </c>
      <c r="AQ201" s="2869">
        <f t="shared" si="157"/>
        <v>9999447.7633122746</v>
      </c>
      <c r="AR201" s="2869">
        <f t="shared" si="157"/>
        <v>10199436.718578521</v>
      </c>
      <c r="AS201" s="2869">
        <f t="shared" si="157"/>
        <v>10403425.452950092</v>
      </c>
      <c r="AT201" s="2869">
        <f t="shared" si="157"/>
        <v>10611493.962009095</v>
      </c>
      <c r="AU201" s="2869">
        <f t="shared" si="157"/>
        <v>10823723.841249276</v>
      </c>
      <c r="AV201" s="2694">
        <v>0</v>
      </c>
      <c r="AW201" s="2809"/>
      <c r="AX201" s="2795"/>
      <c r="AY201" s="2760"/>
      <c r="AZ201" s="2760"/>
      <c r="BA201" s="2760"/>
      <c r="BB201" s="2760"/>
      <c r="BC201" s="2760"/>
      <c r="BD201" s="2760"/>
      <c r="BE201" s="2760"/>
      <c r="BF201" s="2760"/>
      <c r="BG201" s="2760"/>
      <c r="BI201" s="2730"/>
      <c r="BJ201" s="2730"/>
    </row>
    <row r="202" spans="1:62" s="2785" customFormat="1" ht="18" hidden="1" outlineLevel="1" thickBot="1">
      <c r="A202" s="2934" t="s">
        <v>4241</v>
      </c>
      <c r="B202" s="2832" t="s">
        <v>4242</v>
      </c>
      <c r="C202" s="2814">
        <v>0.02</v>
      </c>
      <c r="D202" s="2935"/>
      <c r="E202" s="2815"/>
      <c r="F202" s="2948">
        <f>SUM(F203:F207)</f>
        <v>0</v>
      </c>
      <c r="G202" s="2948">
        <f t="shared" ref="G202:AU202" si="158">SUM(G203:G207)</f>
        <v>1290000</v>
      </c>
      <c r="H202" s="2948">
        <f t="shared" si="158"/>
        <v>4000000</v>
      </c>
      <c r="I202" s="2948">
        <f t="shared" si="158"/>
        <v>1000000</v>
      </c>
      <c r="J202" s="2948">
        <f t="shared" si="158"/>
        <v>1000000</v>
      </c>
      <c r="K202" s="2948">
        <f t="shared" si="158"/>
        <v>4200000</v>
      </c>
      <c r="L202" s="2948">
        <f t="shared" si="158"/>
        <v>3000000</v>
      </c>
      <c r="M202" s="2948">
        <f t="shared" si="158"/>
        <v>1000000</v>
      </c>
      <c r="N202" s="2948">
        <f t="shared" si="158"/>
        <v>4400000</v>
      </c>
      <c r="O202" s="2948">
        <f t="shared" si="158"/>
        <v>1000000</v>
      </c>
      <c r="P202" s="2948">
        <f t="shared" si="158"/>
        <v>1000000</v>
      </c>
      <c r="Q202" s="2948">
        <f t="shared" si="158"/>
        <v>7000000</v>
      </c>
      <c r="R202" s="2948">
        <f t="shared" si="158"/>
        <v>1000000</v>
      </c>
      <c r="S202" s="2948">
        <f t="shared" si="158"/>
        <v>1000000</v>
      </c>
      <c r="T202" s="2948">
        <f t="shared" si="158"/>
        <v>4800000</v>
      </c>
      <c r="U202" s="2948">
        <f t="shared" si="158"/>
        <v>1000000</v>
      </c>
      <c r="V202" s="2948">
        <f t="shared" si="158"/>
        <v>3800000</v>
      </c>
      <c r="W202" s="2948">
        <f t="shared" si="158"/>
        <v>5000000</v>
      </c>
      <c r="X202" s="2948">
        <f t="shared" si="158"/>
        <v>1000000</v>
      </c>
      <c r="Y202" s="2948">
        <f t="shared" si="158"/>
        <v>1000000</v>
      </c>
      <c r="Z202" s="2948">
        <f t="shared" si="158"/>
        <v>5200000</v>
      </c>
      <c r="AA202" s="2948">
        <f t="shared" si="158"/>
        <v>4200000</v>
      </c>
      <c r="AB202" s="2948">
        <f t="shared" si="158"/>
        <v>1000000</v>
      </c>
      <c r="AC202" s="2948">
        <f t="shared" si="158"/>
        <v>5400000</v>
      </c>
      <c r="AD202" s="2948">
        <f t="shared" si="158"/>
        <v>1000000</v>
      </c>
      <c r="AE202" s="2948">
        <f t="shared" si="158"/>
        <v>1000000</v>
      </c>
      <c r="AF202" s="2948">
        <f t="shared" si="158"/>
        <v>9200000</v>
      </c>
      <c r="AG202" s="2948">
        <f t="shared" si="158"/>
        <v>1000000</v>
      </c>
      <c r="AH202" s="2948">
        <f t="shared" si="158"/>
        <v>1000000</v>
      </c>
      <c r="AI202" s="2948">
        <f t="shared" si="158"/>
        <v>5800000</v>
      </c>
      <c r="AJ202" s="2948">
        <f t="shared" si="158"/>
        <v>1000000</v>
      </c>
      <c r="AK202" s="2948">
        <f t="shared" si="158"/>
        <v>5000000</v>
      </c>
      <c r="AL202" s="2948">
        <f t="shared" si="158"/>
        <v>6000000</v>
      </c>
      <c r="AM202" s="2948">
        <f t="shared" si="158"/>
        <v>1000000</v>
      </c>
      <c r="AN202" s="2948">
        <f t="shared" si="158"/>
        <v>1000000</v>
      </c>
      <c r="AO202" s="2948">
        <f t="shared" si="158"/>
        <v>6200000</v>
      </c>
      <c r="AP202" s="2948">
        <f t="shared" si="158"/>
        <v>5400000</v>
      </c>
      <c r="AQ202" s="2948">
        <f t="shared" si="158"/>
        <v>1000000</v>
      </c>
      <c r="AR202" s="2948">
        <f t="shared" si="158"/>
        <v>6400000</v>
      </c>
      <c r="AS202" s="2948">
        <f t="shared" si="158"/>
        <v>1000000</v>
      </c>
      <c r="AT202" s="2948">
        <f t="shared" si="158"/>
        <v>1000000</v>
      </c>
      <c r="AU202" s="2948">
        <f t="shared" si="158"/>
        <v>11400000</v>
      </c>
      <c r="AV202" s="2781">
        <v>0</v>
      </c>
      <c r="AW202" s="2947"/>
      <c r="AX202" s="2816"/>
      <c r="AY202" s="2784"/>
      <c r="AZ202" s="2784"/>
      <c r="BA202" s="2784"/>
      <c r="BB202" s="2784"/>
      <c r="BC202" s="2784"/>
      <c r="BD202" s="2784"/>
      <c r="BE202" s="2784"/>
      <c r="BF202" s="2784"/>
      <c r="BG202" s="2784"/>
      <c r="BI202" s="2786"/>
      <c r="BJ202" s="2786"/>
    </row>
    <row r="203" spans="1:62" s="2785" customFormat="1" ht="18" hidden="1" outlineLevel="1" thickBot="1">
      <c r="A203" s="2812" t="s">
        <v>4243</v>
      </c>
      <c r="B203" s="2832" t="s">
        <v>4244</v>
      </c>
      <c r="C203" s="2949">
        <v>200</v>
      </c>
      <c r="D203" s="2935">
        <v>3</v>
      </c>
      <c r="E203" s="2950"/>
      <c r="F203" s="2778"/>
      <c r="G203" s="2873">
        <v>780000</v>
      </c>
      <c r="H203" s="2873"/>
      <c r="I203" s="2873"/>
      <c r="J203" s="2873"/>
      <c r="K203" s="2873"/>
      <c r="L203" s="2873">
        <v>1200000</v>
      </c>
      <c r="M203" s="2874"/>
      <c r="N203" s="2874"/>
      <c r="O203" s="2874"/>
      <c r="P203" s="2874"/>
      <c r="Q203" s="2873">
        <f>L203+$C$203*1000</f>
        <v>1400000</v>
      </c>
      <c r="R203" s="2874"/>
      <c r="S203" s="2874"/>
      <c r="T203" s="2874"/>
      <c r="U203" s="2874"/>
      <c r="V203" s="2873">
        <f>Q203+$C$203*1000</f>
        <v>1600000</v>
      </c>
      <c r="W203" s="2874"/>
      <c r="X203" s="2874"/>
      <c r="Y203" s="2874"/>
      <c r="Z203" s="2874"/>
      <c r="AA203" s="2873">
        <f>V203+$C$203*1000</f>
        <v>1800000</v>
      </c>
      <c r="AB203" s="2874"/>
      <c r="AC203" s="2874"/>
      <c r="AD203" s="2874"/>
      <c r="AE203" s="2874"/>
      <c r="AF203" s="2873">
        <f>AA203+$C$203*1000</f>
        <v>2000000</v>
      </c>
      <c r="AG203" s="2874"/>
      <c r="AH203" s="2874"/>
      <c r="AI203" s="2874"/>
      <c r="AJ203" s="2874"/>
      <c r="AK203" s="2873">
        <f>AF203+$C$203*1000</f>
        <v>2200000</v>
      </c>
      <c r="AL203" s="2874"/>
      <c r="AM203" s="2874"/>
      <c r="AN203" s="2874"/>
      <c r="AO203" s="2874"/>
      <c r="AP203" s="2873">
        <f>AK203+$C$203*1000</f>
        <v>2400000</v>
      </c>
      <c r="AQ203" s="2874"/>
      <c r="AR203" s="2874"/>
      <c r="AS203" s="2874"/>
      <c r="AT203" s="2874"/>
      <c r="AU203" s="2873">
        <f>AP203+$C$203*1000</f>
        <v>2600000</v>
      </c>
      <c r="AV203" s="2781">
        <v>0</v>
      </c>
      <c r="AW203" s="2947"/>
      <c r="AX203" s="2951"/>
      <c r="AY203" s="2784"/>
      <c r="AZ203" s="2784"/>
      <c r="BA203" s="2784"/>
      <c r="BB203" s="2784"/>
      <c r="BC203" s="2784"/>
      <c r="BD203" s="2784"/>
      <c r="BE203" s="2784"/>
      <c r="BF203" s="2784"/>
      <c r="BG203" s="2784"/>
      <c r="BI203" s="2786"/>
      <c r="BJ203" s="2786"/>
    </row>
    <row r="204" spans="1:62" s="2785" customFormat="1" ht="18" hidden="1" outlineLevel="1" thickBot="1">
      <c r="A204" s="2812" t="s">
        <v>4245</v>
      </c>
      <c r="B204" s="2832"/>
      <c r="C204" s="2814">
        <v>0.02</v>
      </c>
      <c r="D204" s="2935">
        <v>3</v>
      </c>
      <c r="E204" s="2815"/>
      <c r="F204" s="2778"/>
      <c r="G204" s="2778">
        <v>510000</v>
      </c>
      <c r="H204" s="2873">
        <v>500000</v>
      </c>
      <c r="I204" s="2873">
        <v>500000</v>
      </c>
      <c r="J204" s="2873">
        <v>500000</v>
      </c>
      <c r="K204" s="2873">
        <v>500000</v>
      </c>
      <c r="L204" s="2873">
        <v>500000</v>
      </c>
      <c r="M204" s="2873">
        <v>500000</v>
      </c>
      <c r="N204" s="2873">
        <v>500000</v>
      </c>
      <c r="O204" s="2873">
        <v>500000</v>
      </c>
      <c r="P204" s="2873">
        <v>500000</v>
      </c>
      <c r="Q204" s="2873">
        <v>500000</v>
      </c>
      <c r="R204" s="2873">
        <v>500000</v>
      </c>
      <c r="S204" s="2873">
        <v>500000</v>
      </c>
      <c r="T204" s="2873">
        <v>500000</v>
      </c>
      <c r="U204" s="2873">
        <v>500000</v>
      </c>
      <c r="V204" s="2873">
        <v>500000</v>
      </c>
      <c r="W204" s="2873">
        <v>500000</v>
      </c>
      <c r="X204" s="2873">
        <v>500000</v>
      </c>
      <c r="Y204" s="2873">
        <v>500000</v>
      </c>
      <c r="Z204" s="2873">
        <v>500000</v>
      </c>
      <c r="AA204" s="2873">
        <v>500000</v>
      </c>
      <c r="AB204" s="2873">
        <v>500000</v>
      </c>
      <c r="AC204" s="2873">
        <v>500000</v>
      </c>
      <c r="AD204" s="2873">
        <v>500000</v>
      </c>
      <c r="AE204" s="2873">
        <v>500000</v>
      </c>
      <c r="AF204" s="2873">
        <v>500000</v>
      </c>
      <c r="AG204" s="2873">
        <v>500000</v>
      </c>
      <c r="AH204" s="2873">
        <v>500000</v>
      </c>
      <c r="AI204" s="2873">
        <v>500000</v>
      </c>
      <c r="AJ204" s="2873">
        <v>500000</v>
      </c>
      <c r="AK204" s="2873">
        <v>500000</v>
      </c>
      <c r="AL204" s="2873">
        <v>500000</v>
      </c>
      <c r="AM204" s="2873">
        <v>500000</v>
      </c>
      <c r="AN204" s="2873">
        <v>500000</v>
      </c>
      <c r="AO204" s="2873">
        <v>500000</v>
      </c>
      <c r="AP204" s="2873">
        <v>500000</v>
      </c>
      <c r="AQ204" s="2873">
        <v>500000</v>
      </c>
      <c r="AR204" s="2873">
        <v>500000</v>
      </c>
      <c r="AS204" s="2873">
        <v>500000</v>
      </c>
      <c r="AT204" s="2873">
        <v>500000</v>
      </c>
      <c r="AU204" s="2873">
        <v>500000</v>
      </c>
      <c r="AV204" s="2781">
        <v>0</v>
      </c>
      <c r="AW204" s="2947"/>
      <c r="AX204" s="2816"/>
      <c r="AY204" s="2784"/>
      <c r="AZ204" s="2784"/>
      <c r="BA204" s="2784"/>
      <c r="BB204" s="2784"/>
      <c r="BC204" s="2784"/>
      <c r="BD204" s="2784"/>
      <c r="BE204" s="2784"/>
      <c r="BF204" s="2784"/>
      <c r="BG204" s="2784"/>
      <c r="BI204" s="2786"/>
      <c r="BJ204" s="2786"/>
    </row>
    <row r="205" spans="1:62" s="2785" customFormat="1" ht="18" hidden="1" outlineLevel="1" thickBot="1">
      <c r="A205" s="2812" t="s">
        <v>4246</v>
      </c>
      <c r="B205" s="2832" t="s">
        <v>4244</v>
      </c>
      <c r="C205" s="2949">
        <v>200</v>
      </c>
      <c r="D205" s="2935">
        <v>3</v>
      </c>
      <c r="E205" s="2950"/>
      <c r="F205" s="2778"/>
      <c r="G205" s="2873"/>
      <c r="H205" s="2873"/>
      <c r="I205" s="2873"/>
      <c r="J205" s="2873"/>
      <c r="K205" s="2873"/>
      <c r="L205" s="2873">
        <v>800000</v>
      </c>
      <c r="M205" s="2874"/>
      <c r="N205" s="2874"/>
      <c r="O205" s="2874"/>
      <c r="P205" s="2874"/>
      <c r="Q205" s="2873">
        <f>L205+$C$203*1000</f>
        <v>1000000</v>
      </c>
      <c r="R205" s="2874"/>
      <c r="S205" s="2874"/>
      <c r="T205" s="2874"/>
      <c r="U205" s="2874"/>
      <c r="V205" s="2873">
        <f>Q205+$C$203*1000</f>
        <v>1200000</v>
      </c>
      <c r="W205" s="2874"/>
      <c r="X205" s="2874"/>
      <c r="Y205" s="2874"/>
      <c r="Z205" s="2874"/>
      <c r="AA205" s="2873">
        <f>V205+$C$203*1000</f>
        <v>1400000</v>
      </c>
      <c r="AB205" s="2874"/>
      <c r="AC205" s="2874"/>
      <c r="AD205" s="2874"/>
      <c r="AE205" s="2874"/>
      <c r="AF205" s="2873">
        <f>AA205+$C$203*1000</f>
        <v>1600000</v>
      </c>
      <c r="AG205" s="2874"/>
      <c r="AH205" s="2874"/>
      <c r="AI205" s="2874"/>
      <c r="AJ205" s="2874"/>
      <c r="AK205" s="2873">
        <f>AF205+$C$203*1000</f>
        <v>1800000</v>
      </c>
      <c r="AL205" s="2874"/>
      <c r="AM205" s="2874"/>
      <c r="AN205" s="2874"/>
      <c r="AO205" s="2874"/>
      <c r="AP205" s="2873">
        <f>AK205+$C$203*1000</f>
        <v>2000000</v>
      </c>
      <c r="AQ205" s="2874"/>
      <c r="AR205" s="2874"/>
      <c r="AS205" s="2874"/>
      <c r="AT205" s="2874"/>
      <c r="AU205" s="2873">
        <f>AP205+$C$203*1000</f>
        <v>2200000</v>
      </c>
      <c r="AV205" s="2781">
        <v>0</v>
      </c>
      <c r="AW205" s="2947"/>
      <c r="AX205" s="2951"/>
      <c r="AY205" s="2784"/>
      <c r="AZ205" s="2784"/>
      <c r="BA205" s="2784"/>
      <c r="BB205" s="2784"/>
      <c r="BC205" s="2784"/>
      <c r="BD205" s="2784"/>
      <c r="BE205" s="2784"/>
      <c r="BF205" s="2784"/>
      <c r="BG205" s="2784"/>
      <c r="BI205" s="2786"/>
      <c r="BJ205" s="2786"/>
    </row>
    <row r="206" spans="1:62" s="2785" customFormat="1" ht="18" hidden="1" outlineLevel="1" thickBot="1">
      <c r="A206" s="2812" t="s">
        <v>4247</v>
      </c>
      <c r="B206" s="2832"/>
      <c r="C206" s="2949">
        <v>200</v>
      </c>
      <c r="D206" s="2935">
        <v>3</v>
      </c>
      <c r="E206" s="2950"/>
      <c r="F206" s="2778"/>
      <c r="G206" s="2873"/>
      <c r="H206" s="2873">
        <v>3000000</v>
      </c>
      <c r="I206" s="2873"/>
      <c r="J206" s="2873"/>
      <c r="K206" s="2873">
        <f>H206+$C$206*1000</f>
        <v>3200000</v>
      </c>
      <c r="L206" s="2873"/>
      <c r="M206" s="2874"/>
      <c r="N206" s="2873">
        <f>K206+$C$206*1000</f>
        <v>3400000</v>
      </c>
      <c r="O206" s="2873"/>
      <c r="P206" s="2873"/>
      <c r="Q206" s="2873">
        <f>N206+$C$206*1000</f>
        <v>3600000</v>
      </c>
      <c r="R206" s="2874"/>
      <c r="S206" s="2874"/>
      <c r="T206" s="2873">
        <f>Q206+$C$206*1000</f>
        <v>3800000</v>
      </c>
      <c r="U206" s="2873"/>
      <c r="V206" s="2874"/>
      <c r="W206" s="2873">
        <f>T206+$C$206*1000</f>
        <v>4000000</v>
      </c>
      <c r="X206" s="2873"/>
      <c r="Y206" s="2873"/>
      <c r="Z206" s="2873">
        <f>W206+$C$206*1000</f>
        <v>4200000</v>
      </c>
      <c r="AA206" s="2874"/>
      <c r="AB206" s="2874"/>
      <c r="AC206" s="2873">
        <f>Z206+$C$206*1000</f>
        <v>4400000</v>
      </c>
      <c r="AD206" s="2873"/>
      <c r="AE206" s="2874"/>
      <c r="AF206" s="2873">
        <f>AC206+$C$206*1000</f>
        <v>4600000</v>
      </c>
      <c r="AG206" s="2873"/>
      <c r="AH206" s="2873"/>
      <c r="AI206" s="2873">
        <f>AF206+$C$206*1000</f>
        <v>4800000</v>
      </c>
      <c r="AJ206" s="2874"/>
      <c r="AK206" s="2874"/>
      <c r="AL206" s="2873">
        <f>AI206+$C$206*1000</f>
        <v>5000000</v>
      </c>
      <c r="AM206" s="2873"/>
      <c r="AN206" s="2874"/>
      <c r="AO206" s="2873">
        <f>AL206+$C$206*1000</f>
        <v>5200000</v>
      </c>
      <c r="AP206" s="2873"/>
      <c r="AQ206" s="2873"/>
      <c r="AR206" s="2873">
        <f>AO206+$C$206*1000</f>
        <v>5400000</v>
      </c>
      <c r="AS206" s="2874"/>
      <c r="AT206" s="2874"/>
      <c r="AU206" s="2874">
        <f>AR206+$C$206*1000</f>
        <v>5600000</v>
      </c>
      <c r="AV206" s="2781">
        <v>0</v>
      </c>
      <c r="AW206" s="2947"/>
      <c r="AX206" s="2951"/>
      <c r="AY206" s="2784"/>
      <c r="AZ206" s="2784"/>
      <c r="BA206" s="2784"/>
      <c r="BB206" s="2784"/>
      <c r="BC206" s="2784"/>
      <c r="BD206" s="2784"/>
      <c r="BE206" s="2784"/>
      <c r="BF206" s="2784"/>
      <c r="BG206" s="2784"/>
      <c r="BI206" s="2786"/>
      <c r="BJ206" s="2786"/>
    </row>
    <row r="207" spans="1:62" s="2785" customFormat="1" ht="18" hidden="1" outlineLevel="1" thickBot="1">
      <c r="A207" s="2812" t="s">
        <v>4248</v>
      </c>
      <c r="B207" s="2832"/>
      <c r="C207" s="2814">
        <v>0.02</v>
      </c>
      <c r="D207" s="2941">
        <v>2</v>
      </c>
      <c r="E207" s="2815"/>
      <c r="F207" s="2778"/>
      <c r="G207" s="2778"/>
      <c r="H207" s="2873">
        <v>500000</v>
      </c>
      <c r="I207" s="2873">
        <v>500000</v>
      </c>
      <c r="J207" s="2873">
        <v>500000</v>
      </c>
      <c r="K207" s="2873">
        <v>500000</v>
      </c>
      <c r="L207" s="2873">
        <v>500000</v>
      </c>
      <c r="M207" s="2873">
        <v>500000</v>
      </c>
      <c r="N207" s="2873">
        <v>500000</v>
      </c>
      <c r="O207" s="2873">
        <v>500000</v>
      </c>
      <c r="P207" s="2873">
        <v>500000</v>
      </c>
      <c r="Q207" s="2873">
        <v>500000</v>
      </c>
      <c r="R207" s="2873">
        <v>500000</v>
      </c>
      <c r="S207" s="2873">
        <v>500000</v>
      </c>
      <c r="T207" s="2873">
        <v>500000</v>
      </c>
      <c r="U207" s="2873">
        <v>500000</v>
      </c>
      <c r="V207" s="2873">
        <v>500000</v>
      </c>
      <c r="W207" s="2873">
        <v>500000</v>
      </c>
      <c r="X207" s="2873">
        <v>500000</v>
      </c>
      <c r="Y207" s="2873">
        <v>500000</v>
      </c>
      <c r="Z207" s="2873">
        <v>500000</v>
      </c>
      <c r="AA207" s="2873">
        <v>500000</v>
      </c>
      <c r="AB207" s="2873">
        <v>500000</v>
      </c>
      <c r="AC207" s="2873">
        <v>500000</v>
      </c>
      <c r="AD207" s="2873">
        <v>500000</v>
      </c>
      <c r="AE207" s="2873">
        <v>500000</v>
      </c>
      <c r="AF207" s="2873">
        <v>500000</v>
      </c>
      <c r="AG207" s="2873">
        <v>500000</v>
      </c>
      <c r="AH207" s="2873">
        <v>500000</v>
      </c>
      <c r="AI207" s="2873">
        <v>500000</v>
      </c>
      <c r="AJ207" s="2873">
        <v>500000</v>
      </c>
      <c r="AK207" s="2873">
        <v>500000</v>
      </c>
      <c r="AL207" s="2873">
        <v>500000</v>
      </c>
      <c r="AM207" s="2873">
        <v>500000</v>
      </c>
      <c r="AN207" s="2873">
        <v>500000</v>
      </c>
      <c r="AO207" s="2873">
        <v>500000</v>
      </c>
      <c r="AP207" s="2873">
        <v>500000</v>
      </c>
      <c r="AQ207" s="2873">
        <v>500000</v>
      </c>
      <c r="AR207" s="2873">
        <v>500000</v>
      </c>
      <c r="AS207" s="2873">
        <v>500000</v>
      </c>
      <c r="AT207" s="2873">
        <v>500000</v>
      </c>
      <c r="AU207" s="2873">
        <v>500000</v>
      </c>
      <c r="AV207" s="2781">
        <v>0</v>
      </c>
      <c r="AW207" s="2947"/>
      <c r="AX207" s="2816"/>
      <c r="AY207" s="2784"/>
      <c r="AZ207" s="2784"/>
      <c r="BA207" s="2784"/>
      <c r="BB207" s="2784"/>
      <c r="BC207" s="2784"/>
      <c r="BD207" s="2784"/>
      <c r="BE207" s="2784"/>
      <c r="BF207" s="2784"/>
      <c r="BG207" s="2784"/>
      <c r="BI207" s="2786"/>
      <c r="BJ207" s="2786"/>
    </row>
    <row r="208" spans="1:62" ht="18" hidden="1" outlineLevel="1" thickBot="1">
      <c r="A208" s="2934" t="s">
        <v>4249</v>
      </c>
      <c r="B208" s="2952" t="s">
        <v>4250</v>
      </c>
      <c r="C208" s="2814">
        <v>0.02</v>
      </c>
      <c r="D208" s="2941">
        <v>2</v>
      </c>
      <c r="E208" s="2815"/>
      <c r="F208" s="2948">
        <v>5140000</v>
      </c>
      <c r="G208" s="2948">
        <v>5040000</v>
      </c>
      <c r="H208" s="2953">
        <f t="shared" ref="H208:AU208" si="159">G208*(1+$C$208)</f>
        <v>5140800</v>
      </c>
      <c r="I208" s="2953">
        <f t="shared" si="159"/>
        <v>5243616</v>
      </c>
      <c r="J208" s="2953">
        <f t="shared" si="159"/>
        <v>5348488.32</v>
      </c>
      <c r="K208" s="2948">
        <f t="shared" si="159"/>
        <v>5455458.0864000004</v>
      </c>
      <c r="L208" s="2953">
        <f t="shared" si="159"/>
        <v>5564567.2481280006</v>
      </c>
      <c r="M208" s="2954">
        <f t="shared" si="159"/>
        <v>5675858.5930905612</v>
      </c>
      <c r="N208" s="2948">
        <f t="shared" si="159"/>
        <v>5789375.7649523728</v>
      </c>
      <c r="O208" s="2954">
        <f t="shared" si="159"/>
        <v>5905163.2802514201</v>
      </c>
      <c r="P208" s="2954">
        <f t="shared" si="159"/>
        <v>6023266.5458564488</v>
      </c>
      <c r="Q208" s="2954">
        <f t="shared" si="159"/>
        <v>6143731.8767735781</v>
      </c>
      <c r="R208" s="2954">
        <f t="shared" si="159"/>
        <v>6266606.5143090496</v>
      </c>
      <c r="S208" s="2954">
        <f t="shared" si="159"/>
        <v>6391938.6445952309</v>
      </c>
      <c r="T208" s="2954">
        <f t="shared" si="159"/>
        <v>6519777.4174871361</v>
      </c>
      <c r="U208" s="2954">
        <f t="shared" si="159"/>
        <v>6650172.9658368789</v>
      </c>
      <c r="V208" s="2954">
        <f t="shared" si="159"/>
        <v>6783176.4251536168</v>
      </c>
      <c r="W208" s="2954">
        <f t="shared" si="159"/>
        <v>6918839.9536566893</v>
      </c>
      <c r="X208" s="2954">
        <f t="shared" si="159"/>
        <v>7057216.7527298229</v>
      </c>
      <c r="Y208" s="2954">
        <f t="shared" si="159"/>
        <v>7198361.0877844198</v>
      </c>
      <c r="Z208" s="2954">
        <f t="shared" si="159"/>
        <v>7342328.3095401078</v>
      </c>
      <c r="AA208" s="2954">
        <f t="shared" si="159"/>
        <v>7489174.8757309103</v>
      </c>
      <c r="AB208" s="2954">
        <f t="shared" si="159"/>
        <v>7638958.3732455289</v>
      </c>
      <c r="AC208" s="2954">
        <f t="shared" si="159"/>
        <v>7791737.5407104399</v>
      </c>
      <c r="AD208" s="2954">
        <f t="shared" si="159"/>
        <v>7947572.2915246487</v>
      </c>
      <c r="AE208" s="2954">
        <f t="shared" si="159"/>
        <v>8106523.7373551419</v>
      </c>
      <c r="AF208" s="2954">
        <f t="shared" si="159"/>
        <v>8268654.2121022446</v>
      </c>
      <c r="AG208" s="2954">
        <f t="shared" si="159"/>
        <v>8434027.2963442896</v>
      </c>
      <c r="AH208" s="2954">
        <f t="shared" si="159"/>
        <v>8602707.8422711752</v>
      </c>
      <c r="AI208" s="2954">
        <f t="shared" si="159"/>
        <v>8774761.9991165996</v>
      </c>
      <c r="AJ208" s="2954">
        <f t="shared" si="159"/>
        <v>8950257.2390989326</v>
      </c>
      <c r="AK208" s="2954">
        <f t="shared" si="159"/>
        <v>9129262.3838809114</v>
      </c>
      <c r="AL208" s="2954">
        <f t="shared" si="159"/>
        <v>9311847.63155853</v>
      </c>
      <c r="AM208" s="2954">
        <f t="shared" si="159"/>
        <v>9498084.5841897</v>
      </c>
      <c r="AN208" s="2954">
        <f t="shared" si="159"/>
        <v>9688046.2758734934</v>
      </c>
      <c r="AO208" s="2954">
        <f t="shared" si="159"/>
        <v>9881807.201390963</v>
      </c>
      <c r="AP208" s="2954">
        <f t="shared" si="159"/>
        <v>10079443.345418783</v>
      </c>
      <c r="AQ208" s="2954">
        <f t="shared" si="159"/>
        <v>10281032.212327158</v>
      </c>
      <c r="AR208" s="2954">
        <f t="shared" si="159"/>
        <v>10486652.856573701</v>
      </c>
      <c r="AS208" s="2954">
        <f t="shared" si="159"/>
        <v>10696385.913705176</v>
      </c>
      <c r="AT208" s="2954">
        <f t="shared" si="159"/>
        <v>10910313.631979279</v>
      </c>
      <c r="AU208" s="2954">
        <f t="shared" si="159"/>
        <v>11128519.904618865</v>
      </c>
      <c r="AV208" s="2694">
        <v>0</v>
      </c>
      <c r="AW208" s="2809"/>
      <c r="AX208" s="2795"/>
      <c r="AY208" s="2774"/>
      <c r="AZ208" s="2774"/>
      <c r="BA208" s="2774"/>
      <c r="BB208" s="2774"/>
      <c r="BC208" s="2774"/>
      <c r="BD208" s="2774"/>
      <c r="BE208" s="2774"/>
      <c r="BF208" s="2774"/>
      <c r="BG208" s="2774"/>
      <c r="BI208" s="2730"/>
      <c r="BJ208" s="2730"/>
    </row>
    <row r="209" spans="1:62" ht="18" hidden="1" outlineLevel="1" thickBot="1">
      <c r="A209" s="2955" t="s">
        <v>4251</v>
      </c>
      <c r="B209" s="2956"/>
      <c r="C209" s="2957">
        <v>0.02</v>
      </c>
      <c r="D209" s="2901">
        <v>2</v>
      </c>
      <c r="E209" s="2901"/>
      <c r="F209" s="2958">
        <v>237332990</v>
      </c>
      <c r="G209" s="2958">
        <v>347398666</v>
      </c>
      <c r="H209" s="2958">
        <f>G209*(1+$C$209)</f>
        <v>354346639.31999999</v>
      </c>
      <c r="I209" s="2958">
        <f>H209*(1+$C$209)</f>
        <v>361433572.10640001</v>
      </c>
      <c r="J209" s="2958">
        <f t="shared" ref="J209:AU209" si="160">I209*(1+$C$209)</f>
        <v>368662243.54852802</v>
      </c>
      <c r="K209" s="2958">
        <f t="shared" si="160"/>
        <v>376035488.41949856</v>
      </c>
      <c r="L209" s="2958">
        <f t="shared" si="160"/>
        <v>383556198.18788856</v>
      </c>
      <c r="M209" s="2958">
        <f t="shared" si="160"/>
        <v>391227322.15164632</v>
      </c>
      <c r="N209" s="2958">
        <f t="shared" si="160"/>
        <v>399051868.59467924</v>
      </c>
      <c r="O209" s="2958">
        <f t="shared" si="160"/>
        <v>407032905.96657282</v>
      </c>
      <c r="P209" s="2958">
        <f t="shared" si="160"/>
        <v>415173564.0859043</v>
      </c>
      <c r="Q209" s="2958">
        <f t="shared" si="160"/>
        <v>423477035.36762238</v>
      </c>
      <c r="R209" s="2958">
        <f t="shared" si="160"/>
        <v>431946576.07497483</v>
      </c>
      <c r="S209" s="2958">
        <f t="shared" si="160"/>
        <v>440585507.59647435</v>
      </c>
      <c r="T209" s="2958">
        <f t="shared" si="160"/>
        <v>449397217.74840385</v>
      </c>
      <c r="U209" s="2958">
        <f t="shared" si="160"/>
        <v>458385162.10337192</v>
      </c>
      <c r="V209" s="2958">
        <f t="shared" si="160"/>
        <v>467552865.34543937</v>
      </c>
      <c r="W209" s="2958">
        <f t="shared" si="160"/>
        <v>476903922.65234816</v>
      </c>
      <c r="X209" s="2958">
        <f t="shared" si="160"/>
        <v>486442001.10539514</v>
      </c>
      <c r="Y209" s="2958">
        <f t="shared" si="160"/>
        <v>496170841.12750304</v>
      </c>
      <c r="Z209" s="2958">
        <f t="shared" si="160"/>
        <v>506094257.9500531</v>
      </c>
      <c r="AA209" s="2958">
        <f t="shared" si="160"/>
        <v>516216143.10905415</v>
      </c>
      <c r="AB209" s="2958">
        <f t="shared" si="160"/>
        <v>526540465.97123522</v>
      </c>
      <c r="AC209" s="2958">
        <f t="shared" si="160"/>
        <v>537071275.2906599</v>
      </c>
      <c r="AD209" s="2958">
        <f t="shared" si="160"/>
        <v>547812700.79647315</v>
      </c>
      <c r="AE209" s="2958">
        <f t="shared" si="160"/>
        <v>558768954.81240261</v>
      </c>
      <c r="AF209" s="2958">
        <f t="shared" si="160"/>
        <v>569944333.90865064</v>
      </c>
      <c r="AG209" s="2958">
        <f t="shared" si="160"/>
        <v>581343220.5868237</v>
      </c>
      <c r="AH209" s="2958">
        <f t="shared" si="160"/>
        <v>592970084.99856019</v>
      </c>
      <c r="AI209" s="2958">
        <f t="shared" si="160"/>
        <v>604829486.69853139</v>
      </c>
      <c r="AJ209" s="2958">
        <f t="shared" si="160"/>
        <v>616926076.43250203</v>
      </c>
      <c r="AK209" s="2958">
        <f t="shared" si="160"/>
        <v>629264597.96115208</v>
      </c>
      <c r="AL209" s="2958">
        <f t="shared" si="160"/>
        <v>641849889.92037511</v>
      </c>
      <c r="AM209" s="2958">
        <f t="shared" si="160"/>
        <v>654686887.71878266</v>
      </c>
      <c r="AN209" s="2958">
        <f t="shared" si="160"/>
        <v>667780625.47315836</v>
      </c>
      <c r="AO209" s="2958">
        <f t="shared" si="160"/>
        <v>681136237.98262155</v>
      </c>
      <c r="AP209" s="2958">
        <f t="shared" si="160"/>
        <v>694758962.74227405</v>
      </c>
      <c r="AQ209" s="2958">
        <f t="shared" si="160"/>
        <v>708654141.99711955</v>
      </c>
      <c r="AR209" s="2958">
        <f t="shared" si="160"/>
        <v>722827224.837062</v>
      </c>
      <c r="AS209" s="2958">
        <f t="shared" si="160"/>
        <v>737283769.3338033</v>
      </c>
      <c r="AT209" s="2958">
        <f t="shared" si="160"/>
        <v>752029444.72047937</v>
      </c>
      <c r="AU209" s="2958">
        <f t="shared" si="160"/>
        <v>767070033.61488903</v>
      </c>
      <c r="AV209" s="2694">
        <v>0</v>
      </c>
      <c r="AW209" s="2758"/>
      <c r="AX209" s="2759"/>
      <c r="AY209" s="2774"/>
      <c r="AZ209" s="2774"/>
      <c r="BA209" s="2774"/>
      <c r="BB209" s="2774"/>
      <c r="BC209" s="2774"/>
      <c r="BD209" s="2774"/>
      <c r="BE209" s="2774"/>
      <c r="BF209" s="2774"/>
      <c r="BG209" s="2774"/>
      <c r="BI209" s="2730"/>
      <c r="BJ209" s="2730"/>
    </row>
    <row r="210" spans="1:62" ht="18" collapsed="1" thickTop="1">
      <c r="A210" s="2745" t="s">
        <v>4252</v>
      </c>
      <c r="B210" s="2959"/>
      <c r="C210" s="2747"/>
      <c r="D210" s="2748"/>
      <c r="E210" s="2748"/>
      <c r="F210" s="2749">
        <f t="shared" ref="F210:AU210" si="161">SUM(F211,F224)</f>
        <v>2704328386</v>
      </c>
      <c r="G210" s="2749">
        <f t="shared" si="161"/>
        <v>2732239186</v>
      </c>
      <c r="H210" s="2749">
        <f t="shared" ca="1" si="161"/>
        <v>1773097186.2401345</v>
      </c>
      <c r="I210" s="2749">
        <f t="shared" ca="1" si="161"/>
        <v>1799586180.1369746</v>
      </c>
      <c r="J210" s="2749">
        <f t="shared" ca="1" si="161"/>
        <v>1837837146.0591979</v>
      </c>
      <c r="K210" s="2749">
        <f t="shared" ca="1" si="161"/>
        <v>1897173208.9255412</v>
      </c>
      <c r="L210" s="2749">
        <f t="shared" ca="1" si="161"/>
        <v>2024678621.7192683</v>
      </c>
      <c r="M210" s="2749">
        <f t="shared" ca="1" si="161"/>
        <v>2002040046.5500951</v>
      </c>
      <c r="N210" s="2749">
        <f t="shared" ca="1" si="161"/>
        <v>2045003365.2574425</v>
      </c>
      <c r="O210" s="2749">
        <f t="shared" ca="1" si="161"/>
        <v>2214324369.2298841</v>
      </c>
      <c r="P210" s="2749">
        <f t="shared" ca="1" si="161"/>
        <v>2247374223.3181553</v>
      </c>
      <c r="Q210" s="2749">
        <f t="shared" ca="1" si="161"/>
        <v>2356316413.8987932</v>
      </c>
      <c r="R210" s="2749">
        <f t="shared" ca="1" si="161"/>
        <v>2338933787.6742339</v>
      </c>
      <c r="S210" s="2749">
        <f t="shared" ca="1" si="161"/>
        <v>2318075817.9662609</v>
      </c>
      <c r="T210" s="2749">
        <f t="shared" ca="1" si="161"/>
        <v>2365290057.8346782</v>
      </c>
      <c r="U210" s="2749">
        <f t="shared" ca="1" si="161"/>
        <v>2558501628.0603848</v>
      </c>
      <c r="V210" s="2749">
        <f t="shared" ca="1" si="161"/>
        <v>2660263167.1610274</v>
      </c>
      <c r="W210" s="2749">
        <f t="shared" ca="1" si="161"/>
        <v>2684654571.7197866</v>
      </c>
      <c r="X210" s="2749">
        <f t="shared" ca="1" si="161"/>
        <v>2724956797.7564645</v>
      </c>
      <c r="Y210" s="2749">
        <f t="shared" ca="1" si="161"/>
        <v>2765957718.0889077</v>
      </c>
      <c r="Z210" s="2749">
        <f t="shared" ca="1" si="161"/>
        <v>2758538117.5598884</v>
      </c>
      <c r="AA210" s="2749">
        <f t="shared" ca="1" si="161"/>
        <v>2868826879.0325747</v>
      </c>
      <c r="AB210" s="2749">
        <f t="shared" ca="1" si="161"/>
        <v>2859986703.7146997</v>
      </c>
      <c r="AC210" s="2749">
        <f t="shared" ca="1" si="161"/>
        <v>2917067609.6337271</v>
      </c>
      <c r="AD210" s="2749">
        <f t="shared" ca="1" si="161"/>
        <v>2988172713.2938199</v>
      </c>
      <c r="AE210" s="2749">
        <f t="shared" ca="1" si="161"/>
        <v>3033716030.2651782</v>
      </c>
      <c r="AF210" s="2749">
        <f t="shared" ca="1" si="161"/>
        <v>3160105872.7029262</v>
      </c>
      <c r="AG210" s="2749">
        <f t="shared" ca="1" si="161"/>
        <v>3155049061.9076452</v>
      </c>
      <c r="AH210" s="2749">
        <f t="shared" ca="1" si="161"/>
        <v>3220778665.3821154</v>
      </c>
      <c r="AI210" s="2749">
        <f t="shared" ca="1" si="161"/>
        <v>3286896030.5770864</v>
      </c>
      <c r="AJ210" s="2749">
        <f t="shared" ca="1" si="161"/>
        <v>3336541722.9424253</v>
      </c>
      <c r="AK210" s="2749">
        <f t="shared" ca="1" si="161"/>
        <v>3316752797.1123943</v>
      </c>
      <c r="AL210" s="2749">
        <f t="shared" ca="1" si="161"/>
        <v>3523919413.7496004</v>
      </c>
      <c r="AM210" s="2749">
        <f t="shared" ca="1" si="161"/>
        <v>3593360509.6886635</v>
      </c>
      <c r="AN210" s="2749">
        <f t="shared" ca="1" si="161"/>
        <v>3649444347.990634</v>
      </c>
      <c r="AO210" s="2749">
        <f t="shared" ca="1" si="161"/>
        <v>3720097647.5084972</v>
      </c>
      <c r="AP210" s="2749">
        <f t="shared" ca="1" si="161"/>
        <v>3830688050.7701139</v>
      </c>
      <c r="AQ210" s="2749">
        <f t="shared" ca="1" si="161"/>
        <v>3837406482.2651834</v>
      </c>
      <c r="AR210" s="2749">
        <f t="shared" ca="1" si="161"/>
        <v>3911666942.2120233</v>
      </c>
      <c r="AS210" s="2749">
        <f t="shared" ca="1" si="161"/>
        <v>3972789358.4540844</v>
      </c>
      <c r="AT210" s="2749">
        <f t="shared" ca="1" si="161"/>
        <v>4035369296.2201071</v>
      </c>
      <c r="AU210" s="2749">
        <f t="shared" ca="1" si="161"/>
        <v>4115884717.6190643</v>
      </c>
      <c r="AV210" s="2694">
        <v>0</v>
      </c>
      <c r="AW210" s="2809"/>
      <c r="AX210" s="2743"/>
      <c r="AY210" s="2694"/>
      <c r="AZ210" s="2694"/>
      <c r="BA210" s="2694"/>
      <c r="BB210" s="2694"/>
      <c r="BC210" s="2694"/>
      <c r="BD210" s="2694"/>
      <c r="BE210" s="2694"/>
      <c r="BF210" s="2694"/>
      <c r="BG210" s="2694"/>
      <c r="BI210" s="2730"/>
      <c r="BJ210" s="2730"/>
    </row>
    <row r="211" spans="1:62" ht="17.25">
      <c r="A211" s="2752" t="s">
        <v>4012</v>
      </c>
      <c r="B211" s="2753" t="s">
        <v>4253</v>
      </c>
      <c r="C211" s="2754"/>
      <c r="D211" s="2755"/>
      <c r="E211" s="2755"/>
      <c r="F211" s="2756">
        <f>SUM(F212,F219,F220)</f>
        <v>1435783894</v>
      </c>
      <c r="G211" s="2756">
        <f t="shared" ref="G211:AU211" si="162">SUM(G212,G219,G220)</f>
        <v>1357013817</v>
      </c>
      <c r="H211" s="2756">
        <f t="shared" ca="1" si="162"/>
        <v>519470729.30089664</v>
      </c>
      <c r="I211" s="2756">
        <f t="shared" ca="1" si="162"/>
        <v>525470729.30089664</v>
      </c>
      <c r="J211" s="2756">
        <f t="shared" ca="1" si="162"/>
        <v>531590729.30089664</v>
      </c>
      <c r="K211" s="2756">
        <f t="shared" ca="1" si="162"/>
        <v>557242854.23355722</v>
      </c>
      <c r="L211" s="2756">
        <f t="shared" ca="1" si="162"/>
        <v>575547260.70343029</v>
      </c>
      <c r="M211" s="2756">
        <f t="shared" ca="1" si="162"/>
        <v>582041853.66343021</v>
      </c>
      <c r="N211" s="2756">
        <f t="shared" ca="1" si="162"/>
        <v>600939229.53446841</v>
      </c>
      <c r="O211" s="2756">
        <f t="shared" ca="1" si="162"/>
        <v>607696204.0500524</v>
      </c>
      <c r="P211" s="2756">
        <f t="shared" ca="1" si="162"/>
        <v>614588318.05594814</v>
      </c>
      <c r="Q211" s="2756">
        <f t="shared" ca="1" si="162"/>
        <v>644238257.05186558</v>
      </c>
      <c r="R211" s="2756">
        <f t="shared" ca="1" si="162"/>
        <v>651408812.46359944</v>
      </c>
      <c r="S211" s="2756">
        <f t="shared" ca="1" si="162"/>
        <v>605668637.71852076</v>
      </c>
      <c r="T211" s="2756">
        <f t="shared" ca="1" si="162"/>
        <v>624493711.2455616</v>
      </c>
      <c r="U211" s="2756">
        <f t="shared" ca="1" si="162"/>
        <v>632103162.01293683</v>
      </c>
      <c r="V211" s="2756">
        <f t="shared" ca="1" si="162"/>
        <v>649940975.91188955</v>
      </c>
      <c r="W211" s="2756">
        <f t="shared" ca="1" si="162"/>
        <v>692966118.01810217</v>
      </c>
      <c r="X211" s="2756">
        <f t="shared" ca="1" si="162"/>
        <v>701041328.04804695</v>
      </c>
      <c r="Y211" s="2756">
        <f t="shared" ca="1" si="162"/>
        <v>709278042.27859068</v>
      </c>
      <c r="Z211" s="2756">
        <f t="shared" ca="1" si="162"/>
        <v>670454981.75450456</v>
      </c>
      <c r="AA211" s="2756">
        <f t="shared" ca="1" si="162"/>
        <v>694259634.50370193</v>
      </c>
      <c r="AB211" s="2756">
        <f t="shared" ca="1" si="162"/>
        <v>703000501.53886867</v>
      </c>
      <c r="AC211" s="2756">
        <f t="shared" ca="1" si="162"/>
        <v>724509010.46867359</v>
      </c>
      <c r="AD211" s="2756">
        <f t="shared" ca="1" si="162"/>
        <v>758598217.94913387</v>
      </c>
      <c r="AE211" s="2756">
        <f t="shared" ca="1" si="162"/>
        <v>767874095.97378922</v>
      </c>
      <c r="AF211" s="2756">
        <f t="shared" ca="1" si="162"/>
        <v>804230336.89170802</v>
      </c>
      <c r="AG211" s="2756">
        <f t="shared" ca="1" si="162"/>
        <v>813880960.38855934</v>
      </c>
      <c r="AH211" s="2756">
        <f t="shared" ca="1" si="162"/>
        <v>840521377.08362079</v>
      </c>
      <c r="AI211" s="2756">
        <f t="shared" ca="1" si="162"/>
        <v>867218693.3252821</v>
      </c>
      <c r="AJ211" s="2756">
        <f t="shared" ca="1" si="162"/>
        <v>877460012.18512881</v>
      </c>
      <c r="AK211" s="2756">
        <f t="shared" ca="1" si="162"/>
        <v>771247266.27033925</v>
      </c>
      <c r="AL211" s="2756">
        <f t="shared" ca="1" si="162"/>
        <v>793559037.78784633</v>
      </c>
      <c r="AM211" s="2756">
        <f t="shared" ca="1" si="162"/>
        <v>818123144.82848096</v>
      </c>
      <c r="AN211" s="2756">
        <f t="shared" ca="1" si="162"/>
        <v>829208677.72319353</v>
      </c>
      <c r="AO211" s="2756">
        <f t="shared" ca="1" si="162"/>
        <v>853440256.6971097</v>
      </c>
      <c r="AP211" s="2756">
        <f t="shared" ca="1" si="162"/>
        <v>864973645.12076867</v>
      </c>
      <c r="AQ211" s="2756">
        <f t="shared" ca="1" si="162"/>
        <v>876737701.31290078</v>
      </c>
      <c r="AR211" s="2756">
        <f t="shared" ca="1" si="162"/>
        <v>902307590.82125044</v>
      </c>
      <c r="AS211" s="2756">
        <f t="shared" ca="1" si="162"/>
        <v>914546914.88354468</v>
      </c>
      <c r="AT211" s="2756">
        <f t="shared" ca="1" si="162"/>
        <v>927031025.42708468</v>
      </c>
      <c r="AU211" s="2756">
        <f t="shared" ca="1" si="162"/>
        <v>954013897.98348939</v>
      </c>
      <c r="AV211" s="2694">
        <v>0</v>
      </c>
      <c r="AW211" s="2960"/>
      <c r="AX211" s="2759"/>
      <c r="AY211" s="2760"/>
      <c r="AZ211" s="2760"/>
      <c r="BA211" s="2760"/>
      <c r="BB211" s="2760"/>
      <c r="BC211" s="2760"/>
      <c r="BD211" s="2760"/>
      <c r="BE211" s="2760"/>
      <c r="BF211" s="2760"/>
      <c r="BG211" s="2760"/>
      <c r="BI211" s="2730"/>
      <c r="BJ211" s="2730"/>
    </row>
    <row r="212" spans="1:62" ht="17.25" outlineLevel="1">
      <c r="A212" s="2773" t="s">
        <v>4122</v>
      </c>
      <c r="B212" s="2762"/>
      <c r="C212" s="2763"/>
      <c r="D212" s="2764">
        <v>1</v>
      </c>
      <c r="E212" s="2764"/>
      <c r="F212" s="2961">
        <f>SUM(F213:F218)</f>
        <v>165800400</v>
      </c>
      <c r="G212" s="2961">
        <f t="shared" ref="G212:AU212" si="163">SUM(G213:G218)</f>
        <v>170747900</v>
      </c>
      <c r="H212" s="2961">
        <f t="shared" si="163"/>
        <v>202588365.50852001</v>
      </c>
      <c r="I212" s="2961">
        <f t="shared" si="163"/>
        <v>202588365.50852001</v>
      </c>
      <c r="J212" s="2961">
        <f t="shared" si="163"/>
        <v>202588365.50852001</v>
      </c>
      <c r="K212" s="2961">
        <f t="shared" si="163"/>
        <v>220505034.67712981</v>
      </c>
      <c r="L212" s="2961">
        <f t="shared" si="163"/>
        <v>231523950.18778181</v>
      </c>
      <c r="M212" s="2961">
        <f t="shared" si="163"/>
        <v>231523950.18778181</v>
      </c>
      <c r="N212" s="2961">
        <f t="shared" si="163"/>
        <v>242852772.69717091</v>
      </c>
      <c r="O212" s="2961">
        <f t="shared" si="163"/>
        <v>242852772.69717091</v>
      </c>
      <c r="P212" s="2961">
        <f t="shared" si="163"/>
        <v>242852772.69717091</v>
      </c>
      <c r="Q212" s="2961">
        <f t="shared" si="163"/>
        <v>263732756.73708215</v>
      </c>
      <c r="R212" s="2961">
        <f t="shared" si="163"/>
        <v>263732756.73708215</v>
      </c>
      <c r="S212" s="2961">
        <f t="shared" si="163"/>
        <v>214759703.2616539</v>
      </c>
      <c r="T212" s="2961">
        <f t="shared" si="163"/>
        <v>225250313.42473659</v>
      </c>
      <c r="U212" s="2961">
        <f t="shared" si="163"/>
        <v>225250313.42473659</v>
      </c>
      <c r="V212" s="2961">
        <f t="shared" si="163"/>
        <v>234551397.22433347</v>
      </c>
      <c r="W212" s="2961">
        <f t="shared" si="163"/>
        <v>266959030.63464302</v>
      </c>
      <c r="X212" s="2961">
        <f t="shared" si="163"/>
        <v>266959030.63464302</v>
      </c>
      <c r="Y212" s="2961">
        <f t="shared" si="163"/>
        <v>266959030.63464302</v>
      </c>
      <c r="Z212" s="2961">
        <f t="shared" si="163"/>
        <v>223367176.13688251</v>
      </c>
      <c r="AA212" s="2961">
        <f t="shared" si="163"/>
        <v>237430414.84187296</v>
      </c>
      <c r="AB212" s="2961">
        <f t="shared" si="163"/>
        <v>237430414.84187296</v>
      </c>
      <c r="AC212" s="2961">
        <f t="shared" si="163"/>
        <v>249054560.58396661</v>
      </c>
      <c r="AD212" s="2961">
        <f t="shared" si="163"/>
        <v>272127061.58434153</v>
      </c>
      <c r="AE212" s="2961">
        <f t="shared" si="163"/>
        <v>272127061.58434153</v>
      </c>
      <c r="AF212" s="2961">
        <f t="shared" si="163"/>
        <v>296953072.66074497</v>
      </c>
      <c r="AG212" s="2961">
        <f t="shared" si="163"/>
        <v>296953072.66074497</v>
      </c>
      <c r="AH212" s="2961">
        <f t="shared" si="163"/>
        <v>312457793.3329969</v>
      </c>
      <c r="AI212" s="2961">
        <f t="shared" si="163"/>
        <v>327833307.99964672</v>
      </c>
      <c r="AJ212" s="2961">
        <f t="shared" si="163"/>
        <v>327833307.99964672</v>
      </c>
      <c r="AK212" s="2961">
        <f t="shared" si="163"/>
        <v>220148177.70564693</v>
      </c>
      <c r="AL212" s="2961">
        <f t="shared" si="163"/>
        <v>230908211.59092927</v>
      </c>
      <c r="AM212" s="2961">
        <f t="shared" si="163"/>
        <v>243550615.4703272</v>
      </c>
      <c r="AN212" s="2961">
        <f t="shared" si="163"/>
        <v>243550615.4703272</v>
      </c>
      <c r="AO212" s="2961">
        <f t="shared" si="163"/>
        <v>255480771.24384356</v>
      </c>
      <c r="AP212" s="2961">
        <f t="shared" si="163"/>
        <v>255480771.24384356</v>
      </c>
      <c r="AQ212" s="2961">
        <f t="shared" si="163"/>
        <v>255480771.24384356</v>
      </c>
      <c r="AR212" s="2961">
        <f t="shared" si="163"/>
        <v>268007434.80603576</v>
      </c>
      <c r="AS212" s="2961">
        <f t="shared" si="163"/>
        <v>268007434.80603576</v>
      </c>
      <c r="AT212" s="2961">
        <f t="shared" si="163"/>
        <v>268007434.80603576</v>
      </c>
      <c r="AU212" s="2961">
        <f t="shared" si="163"/>
        <v>281160431.5463376</v>
      </c>
      <c r="AV212" s="2694">
        <v>0</v>
      </c>
      <c r="AW212" s="2758"/>
      <c r="AX212" s="2759"/>
      <c r="AY212" s="2774"/>
      <c r="AZ212" s="2774"/>
      <c r="BA212" s="2774"/>
      <c r="BB212" s="2774"/>
      <c r="BC212" s="2774"/>
      <c r="BD212" s="2774"/>
      <c r="BE212" s="2774"/>
      <c r="BF212" s="2774"/>
      <c r="BG212" s="2774"/>
      <c r="BI212" s="2730"/>
      <c r="BJ212" s="2730"/>
    </row>
    <row r="213" spans="1:62" ht="17.25" outlineLevel="1">
      <c r="A213" s="2767" t="s">
        <v>4019</v>
      </c>
      <c r="B213" s="2887"/>
      <c r="C213" s="2962"/>
      <c r="D213" s="2963"/>
      <c r="E213" s="2963"/>
      <c r="F213" s="2964">
        <v>70500000</v>
      </c>
      <c r="G213" s="2964">
        <v>70500000</v>
      </c>
      <c r="H213" s="2964">
        <f>인력계획!H92*10^6</f>
        <v>77066819.791762516</v>
      </c>
      <c r="I213" s="2964">
        <f>인력계획!I92*10^6</f>
        <v>77066819.791762516</v>
      </c>
      <c r="J213" s="2964">
        <f>인력계획!J92*10^6</f>
        <v>77066819.791762516</v>
      </c>
      <c r="K213" s="2964">
        <f>인력계획!K92*10^6</f>
        <v>161840321.56270128</v>
      </c>
      <c r="L213" s="2964">
        <f>인력계획!L92*10^6</f>
        <v>161840321.56270128</v>
      </c>
      <c r="M213" s="2964">
        <f>인력계획!M92*10^6</f>
        <v>161840321.56270128</v>
      </c>
      <c r="N213" s="2964">
        <f>인력계획!N92*10^6</f>
        <v>169932337.64083636</v>
      </c>
      <c r="O213" s="2964">
        <f>인력계획!O92*10^6</f>
        <v>169932337.64083636</v>
      </c>
      <c r="P213" s="2964">
        <f>인력계획!P92*10^6</f>
        <v>169932337.64083636</v>
      </c>
      <c r="Q213" s="2964">
        <f>인력계획!Q92*10^6</f>
        <v>178428954.52287817</v>
      </c>
      <c r="R213" s="2964">
        <f>인력계획!R92*10^6</f>
        <v>178428954.52287817</v>
      </c>
      <c r="S213" s="2964">
        <f>인력계획!S92*10^6</f>
        <v>89214477.261439085</v>
      </c>
      <c r="T213" s="2964">
        <f>인력계획!T92*10^6</f>
        <v>93675201.124511048</v>
      </c>
      <c r="U213" s="2964">
        <f>인력계획!U92*10^6</f>
        <v>93675201.124511048</v>
      </c>
      <c r="V213" s="2964">
        <f>인력계획!V92*10^6</f>
        <v>187350402.2490221</v>
      </c>
      <c r="W213" s="2964">
        <f>인력계획!W92*10^6</f>
        <v>196717922.3614732</v>
      </c>
      <c r="X213" s="2964">
        <f>인력계획!X92*10^6</f>
        <v>196717922.3614732</v>
      </c>
      <c r="Y213" s="2964">
        <f>인력계획!Y92*10^6</f>
        <v>196717922.3614732</v>
      </c>
      <c r="Z213" s="2964">
        <f>인력계획!Z92*10^6</f>
        <v>103276909.23977344</v>
      </c>
      <c r="AA213" s="2964">
        <f>인력계획!AA92*10^6</f>
        <v>103276909.23977344</v>
      </c>
      <c r="AB213" s="2964">
        <f>인력계획!AB92*10^6</f>
        <v>103276909.23977344</v>
      </c>
      <c r="AC213" s="2964">
        <f>인력계획!AC92*10^6</f>
        <v>108440754.70176211</v>
      </c>
      <c r="AD213" s="2964">
        <f>인력계획!AD92*10^6</f>
        <v>108440754.70176211</v>
      </c>
      <c r="AE213" s="2964">
        <f>인력계획!AE92*10^6</f>
        <v>108440754.70176211</v>
      </c>
      <c r="AF213" s="2964">
        <f>인력계획!AF92*10^6</f>
        <v>113862792.43685022</v>
      </c>
      <c r="AG213" s="2964">
        <f>인력계획!AG92*10^6</f>
        <v>113862792.43685022</v>
      </c>
      <c r="AH213" s="2964">
        <f>인력계획!AH92*10^6</f>
        <v>113862792.43685022</v>
      </c>
      <c r="AI213" s="2964">
        <f>인력계획!AI92*10^6</f>
        <v>119555932.05869274</v>
      </c>
      <c r="AJ213" s="2964">
        <f>인력계획!AJ92*10^6</f>
        <v>119555932.05869274</v>
      </c>
      <c r="AK213" s="2964">
        <f>인력계획!AK92*10^6</f>
        <v>119555932.05869274</v>
      </c>
      <c r="AL213" s="2964">
        <f>인력계획!AL92*10^6</f>
        <v>125533728.66162738</v>
      </c>
      <c r="AM213" s="2964">
        <f>인력계획!AM92*10^6</f>
        <v>125533728.66162738</v>
      </c>
      <c r="AN213" s="2964">
        <f>인력계획!AN92*10^6</f>
        <v>125533728.66162738</v>
      </c>
      <c r="AO213" s="2964">
        <f>인력계획!AO92*10^6</f>
        <v>131810415.09470876</v>
      </c>
      <c r="AP213" s="2964">
        <f>인력계획!AP92*10^6</f>
        <v>131810415.09470876</v>
      </c>
      <c r="AQ213" s="2964">
        <f>인력계획!AQ92*10^6</f>
        <v>131810415.09470876</v>
      </c>
      <c r="AR213" s="2964">
        <f>인력계획!AR92*10^6</f>
        <v>138400935.84944421</v>
      </c>
      <c r="AS213" s="2964">
        <f>인력계획!AS92*10^6</f>
        <v>138400935.84944421</v>
      </c>
      <c r="AT213" s="2964">
        <f>인력계획!AT92*10^6</f>
        <v>138400935.84944421</v>
      </c>
      <c r="AU213" s="2964">
        <f>인력계획!AU92*10^6</f>
        <v>145320982.64191642</v>
      </c>
      <c r="AV213" s="2694">
        <v>0</v>
      </c>
      <c r="AW213" s="2758"/>
      <c r="AX213" s="2965"/>
      <c r="AY213" s="2760"/>
      <c r="AZ213" s="2760"/>
      <c r="BA213" s="2760"/>
      <c r="BB213" s="2760"/>
      <c r="BC213" s="2760"/>
      <c r="BD213" s="2760"/>
      <c r="BE213" s="2760"/>
      <c r="BF213" s="2760"/>
      <c r="BG213" s="2760"/>
      <c r="BI213" s="2730"/>
      <c r="BJ213" s="2730"/>
    </row>
    <row r="214" spans="1:62" ht="17.25" outlineLevel="1">
      <c r="A214" s="2767" t="s">
        <v>4020</v>
      </c>
      <c r="B214" s="2887"/>
      <c r="C214" s="2962"/>
      <c r="D214" s="2963"/>
      <c r="E214" s="2963"/>
      <c r="F214" s="2964">
        <v>63500400</v>
      </c>
      <c r="G214" s="2964">
        <v>63500400</v>
      </c>
      <c r="H214" s="2964">
        <f>인력계획!H93*10^6</f>
        <v>69414795.13158749</v>
      </c>
      <c r="I214" s="2964">
        <f>인력계획!I93*10^6</f>
        <v>69414795.13158749</v>
      </c>
      <c r="J214" s="2964">
        <f>인력계획!J93*10^6</f>
        <v>69414795.13158749</v>
      </c>
      <c r="K214" s="2964">
        <f>인력계획!K93*10^6</f>
        <v>0</v>
      </c>
      <c r="L214" s="2964">
        <f>인력계획!L93*10^6</f>
        <v>0</v>
      </c>
      <c r="M214" s="2964">
        <f>인력계획!M93*10^6</f>
        <v>0</v>
      </c>
      <c r="N214" s="2964">
        <f>인력계획!N93*10^6</f>
        <v>0</v>
      </c>
      <c r="O214" s="2964">
        <f>인력계획!O93*10^6</f>
        <v>0</v>
      </c>
      <c r="P214" s="2964">
        <f>인력계획!P93*10^6</f>
        <v>0</v>
      </c>
      <c r="Q214" s="2964">
        <f>인력계획!Q93*10^6</f>
        <v>80356302.214203984</v>
      </c>
      <c r="R214" s="2964">
        <f>인력계획!R93*10^6</f>
        <v>80356302.214203984</v>
      </c>
      <c r="S214" s="2964">
        <f>인력계획!S93*10^6</f>
        <v>80356302.214203984</v>
      </c>
      <c r="T214" s="2964">
        <f>인력계획!T93*10^6</f>
        <v>84374117.324914187</v>
      </c>
      <c r="U214" s="2964">
        <f>인력계획!U93*10^6</f>
        <v>84374117.324914187</v>
      </c>
      <c r="V214" s="2964">
        <f>인력계획!V93*10^6</f>
        <v>0</v>
      </c>
      <c r="W214" s="2964">
        <f>인력계획!W93*10^6</f>
        <v>0</v>
      </c>
      <c r="X214" s="2964">
        <f>인력계획!X93*10^6</f>
        <v>0</v>
      </c>
      <c r="Y214" s="2964">
        <f>인력계획!Y93*10^6</f>
        <v>0</v>
      </c>
      <c r="Z214" s="2964">
        <f>인력계획!Z93*10^6</f>
        <v>0</v>
      </c>
      <c r="AA214" s="2964">
        <f>인력계획!AA93*10^6</f>
        <v>0</v>
      </c>
      <c r="AB214" s="2964">
        <f>인력계획!AB93*10^6</f>
        <v>0</v>
      </c>
      <c r="AC214" s="2964">
        <f>인력계획!AC93*10^6</f>
        <v>0</v>
      </c>
      <c r="AD214" s="2964">
        <f>인력계획!AD93*10^6</f>
        <v>0</v>
      </c>
      <c r="AE214" s="2964">
        <f>인력계획!AE93*10^6</f>
        <v>0</v>
      </c>
      <c r="AF214" s="2964">
        <f>인력계획!AF93*10^6</f>
        <v>102557266.94666649</v>
      </c>
      <c r="AG214" s="2964">
        <f>인력계획!AG93*10^6</f>
        <v>102557266.94666649</v>
      </c>
      <c r="AH214" s="2964">
        <f>인력계획!AH93*10^6</f>
        <v>102557266.94666649</v>
      </c>
      <c r="AI214" s="2964">
        <f>인력계획!AI93*10^6</f>
        <v>107685130.29399982</v>
      </c>
      <c r="AJ214" s="2964">
        <f>인력계획!AJ93*10^6</f>
        <v>107685130.29399982</v>
      </c>
      <c r="AK214" s="2964">
        <f>인력계획!AK93*10^6</f>
        <v>0</v>
      </c>
      <c r="AL214" s="2964">
        <f>인력계획!AL93*10^6</f>
        <v>0</v>
      </c>
      <c r="AM214" s="2964">
        <f>인력계획!AM93*10^6</f>
        <v>113069386.80869982</v>
      </c>
      <c r="AN214" s="2964">
        <f>인력계획!AN93*10^6</f>
        <v>113069386.80869982</v>
      </c>
      <c r="AO214" s="2964">
        <f>인력계획!AO93*10^6</f>
        <v>118722856.14913481</v>
      </c>
      <c r="AP214" s="2964">
        <f>인력계획!AP93*10^6</f>
        <v>118722856.14913481</v>
      </c>
      <c r="AQ214" s="2964">
        <f>인력계획!AQ93*10^6</f>
        <v>118722856.14913481</v>
      </c>
      <c r="AR214" s="2964">
        <f>인력계획!AR93*10^6</f>
        <v>124658998.95659156</v>
      </c>
      <c r="AS214" s="2964">
        <f>인력계획!AS93*10^6</f>
        <v>124658998.95659156</v>
      </c>
      <c r="AT214" s="2964">
        <f>인력계획!AT93*10^6</f>
        <v>124658998.95659156</v>
      </c>
      <c r="AU214" s="2964">
        <f>인력계획!AU93*10^6</f>
        <v>130891948.90442115</v>
      </c>
      <c r="AV214" s="2694">
        <v>0</v>
      </c>
      <c r="AW214" s="2809"/>
      <c r="AX214" s="2965"/>
      <c r="AY214" s="2760"/>
      <c r="AZ214" s="2760"/>
      <c r="BA214" s="2760"/>
      <c r="BB214" s="2760"/>
      <c r="BC214" s="2760"/>
      <c r="BD214" s="2760"/>
      <c r="BE214" s="2760"/>
      <c r="BF214" s="2760"/>
      <c r="BG214" s="2760"/>
      <c r="BI214" s="2730"/>
      <c r="BJ214" s="2730"/>
    </row>
    <row r="215" spans="1:62" ht="17.25" outlineLevel="1">
      <c r="A215" s="2767" t="s">
        <v>4021</v>
      </c>
      <c r="B215" s="2887"/>
      <c r="C215" s="2962"/>
      <c r="D215" s="2963"/>
      <c r="E215" s="2963"/>
      <c r="F215" s="2964"/>
      <c r="G215" s="2964"/>
      <c r="H215" s="2964">
        <f>인력계획!H94*10^6</f>
        <v>0</v>
      </c>
      <c r="I215" s="2964">
        <f>인력계획!I94*10^6</f>
        <v>0</v>
      </c>
      <c r="J215" s="2964">
        <f>인력계획!J94*10^6</f>
        <v>0</v>
      </c>
      <c r="K215" s="2964">
        <f>인력계획!K94*10^6</f>
        <v>0</v>
      </c>
      <c r="L215" s="2964">
        <f>인력계획!L94*10^6</f>
        <v>64736128.625080511</v>
      </c>
      <c r="M215" s="2964">
        <f>인력계획!M94*10^6</f>
        <v>64736128.625080511</v>
      </c>
      <c r="N215" s="2964">
        <f>인력계획!N94*10^6</f>
        <v>67972935.05633454</v>
      </c>
      <c r="O215" s="2964">
        <f>인력계획!O94*10^6</f>
        <v>67972935.05633454</v>
      </c>
      <c r="P215" s="2964">
        <f>인력계획!P94*10^6</f>
        <v>67972935.05633454</v>
      </c>
      <c r="Q215" s="2964">
        <f>인력계획!Q94*10^6</f>
        <v>0</v>
      </c>
      <c r="R215" s="2964">
        <f>인력계획!R94*10^6</f>
        <v>0</v>
      </c>
      <c r="S215" s="2964">
        <f>인력계획!S94*10^6</f>
        <v>0</v>
      </c>
      <c r="T215" s="2964">
        <f>인력계획!T94*10^6</f>
        <v>0</v>
      </c>
      <c r="U215" s="2964">
        <f>인력계획!U94*10^6</f>
        <v>0</v>
      </c>
      <c r="V215" s="2964">
        <f>인력계획!V94*10^6</f>
        <v>0</v>
      </c>
      <c r="W215" s="2964">
        <f>인력계획!W94*10^6</f>
        <v>0</v>
      </c>
      <c r="X215" s="2964">
        <f>인력계획!X94*10^6</f>
        <v>0</v>
      </c>
      <c r="Y215" s="2964">
        <f>인력계획!Y94*10^6</f>
        <v>0</v>
      </c>
      <c r="Z215" s="2964">
        <f>인력계획!Z94*10^6</f>
        <v>0</v>
      </c>
      <c r="AA215" s="2964">
        <f>인력계획!AA94*10^6</f>
        <v>82621527.391818747</v>
      </c>
      <c r="AB215" s="2964">
        <f>인력계획!AB94*10^6</f>
        <v>82621527.391818747</v>
      </c>
      <c r="AC215" s="2964">
        <f>인력계획!AC94*10^6</f>
        <v>86752603.761409685</v>
      </c>
      <c r="AD215" s="2964">
        <f>인력계획!AD94*10^6</f>
        <v>86752603.761409685</v>
      </c>
      <c r="AE215" s="2964">
        <f>인력계획!AE94*10^6</f>
        <v>86752603.761409685</v>
      </c>
      <c r="AF215" s="2964">
        <f>인력계획!AF94*10^6</f>
        <v>0</v>
      </c>
      <c r="AG215" s="2964">
        <f>인력계획!AG94*10^6</f>
        <v>0</v>
      </c>
      <c r="AH215" s="2964">
        <f>인력계획!AH94*10^6</f>
        <v>91090233.949480176</v>
      </c>
      <c r="AI215" s="2964">
        <f>인력계획!AI94*10^6</f>
        <v>95644745.646954194</v>
      </c>
      <c r="AJ215" s="2964">
        <f>인력계획!AJ94*10^6</f>
        <v>95644745.646954194</v>
      </c>
      <c r="AK215" s="2964">
        <f>인력계획!AK94*10^6</f>
        <v>95644745.646954194</v>
      </c>
      <c r="AL215" s="2964">
        <f>인력계획!AL94*10^6</f>
        <v>100426982.9293019</v>
      </c>
      <c r="AM215" s="2964">
        <f>인력계획!AM94*10^6</f>
        <v>0</v>
      </c>
      <c r="AN215" s="2964">
        <f>인력계획!AN94*10^6</f>
        <v>0</v>
      </c>
      <c r="AO215" s="2964">
        <f>인력계획!AO94*10^6</f>
        <v>0</v>
      </c>
      <c r="AP215" s="2964">
        <f>인력계획!AP94*10^6</f>
        <v>0</v>
      </c>
      <c r="AQ215" s="2964">
        <f>인력계획!AQ94*10^6</f>
        <v>0</v>
      </c>
      <c r="AR215" s="2964">
        <f>인력계획!AR94*10^6</f>
        <v>0</v>
      </c>
      <c r="AS215" s="2964">
        <f>인력계획!AS94*10^6</f>
        <v>0</v>
      </c>
      <c r="AT215" s="2964">
        <f>인력계획!AT94*10^6</f>
        <v>0</v>
      </c>
      <c r="AU215" s="2964">
        <f>인력계획!AU94*10^6</f>
        <v>0</v>
      </c>
      <c r="AV215" s="2694">
        <v>0</v>
      </c>
      <c r="AW215" s="2809"/>
      <c r="AX215" s="2965"/>
      <c r="AY215" s="2760"/>
      <c r="AZ215" s="2760"/>
      <c r="BA215" s="2760"/>
      <c r="BB215" s="2760"/>
      <c r="BC215" s="2760"/>
      <c r="BD215" s="2760"/>
      <c r="BE215" s="2760"/>
      <c r="BF215" s="2760"/>
      <c r="BG215" s="2760"/>
      <c r="BI215" s="2730"/>
      <c r="BJ215" s="2730"/>
    </row>
    <row r="216" spans="1:62" ht="17.25" outlineLevel="1">
      <c r="A216" s="2767" t="s">
        <v>4022</v>
      </c>
      <c r="B216" s="2887"/>
      <c r="C216" s="2962"/>
      <c r="D216" s="2963"/>
      <c r="E216" s="2963"/>
      <c r="F216" s="2964"/>
      <c r="G216" s="2964"/>
      <c r="H216" s="2964">
        <f>인력계획!H95*10^6</f>
        <v>51159250.585170001</v>
      </c>
      <c r="I216" s="2964">
        <f>인력계획!I95*10^6</f>
        <v>51159250.585170001</v>
      </c>
      <c r="J216" s="2964">
        <f>인력계획!J95*10^6</f>
        <v>51159250.585170001</v>
      </c>
      <c r="K216" s="2964">
        <f>인력계획!K95*10^6</f>
        <v>53717213.114428505</v>
      </c>
      <c r="L216" s="2964">
        <f>인력계획!L95*10^6</f>
        <v>0</v>
      </c>
      <c r="M216" s="2964">
        <f>인력계획!M95*10^6</f>
        <v>0</v>
      </c>
      <c r="N216" s="2964">
        <f>인력계획!N95*10^6</f>
        <v>0</v>
      </c>
      <c r="O216" s="2964">
        <f>인력계획!O95*10^6</f>
        <v>0</v>
      </c>
      <c r="P216" s="2964">
        <f>인력계획!P95*10^6</f>
        <v>0</v>
      </c>
      <c r="Q216" s="2964">
        <f>인력계획!Q95*10^6</f>
        <v>0</v>
      </c>
      <c r="R216" s="2964">
        <f>인력계획!R95*10^6</f>
        <v>0</v>
      </c>
      <c r="S216" s="2964">
        <f>인력계획!S95*10^6</f>
        <v>0</v>
      </c>
      <c r="T216" s="2964">
        <f>인력계획!T95*10^6</f>
        <v>0</v>
      </c>
      <c r="U216" s="2964">
        <f>인력계획!U95*10^6</f>
        <v>0</v>
      </c>
      <c r="V216" s="2964">
        <f>인력계획!V95*10^6</f>
        <v>0</v>
      </c>
      <c r="W216" s="2964">
        <f>인력계획!W95*10^6</f>
        <v>65293608.273169808</v>
      </c>
      <c r="X216" s="2964">
        <f>인력계획!X95*10^6</f>
        <v>65293608.273169808</v>
      </c>
      <c r="Y216" s="2964">
        <f>인력계획!Y95*10^6</f>
        <v>65293608.273169808</v>
      </c>
      <c r="Z216" s="2964">
        <f>인력계획!Z95*10^6</f>
        <v>68558288.6868283</v>
      </c>
      <c r="AA216" s="2964">
        <f>인력계획!AA95*10^6</f>
        <v>0</v>
      </c>
      <c r="AB216" s="2964">
        <f>인력계획!AB95*10^6</f>
        <v>0</v>
      </c>
      <c r="AC216" s="2964">
        <f>인력계획!AC95*10^6</f>
        <v>0</v>
      </c>
      <c r="AD216" s="2964">
        <f>인력계획!AD95*10^6</f>
        <v>71986203.121169716</v>
      </c>
      <c r="AE216" s="2964">
        <f>인력계획!AE95*10^6</f>
        <v>71986203.121169716</v>
      </c>
      <c r="AF216" s="2964">
        <f>인력계획!AF95*10^6</f>
        <v>75585513.277228221</v>
      </c>
      <c r="AG216" s="2964">
        <f>인력계획!AG95*10^6</f>
        <v>75585513.277228221</v>
      </c>
      <c r="AH216" s="2964">
        <f>인력계획!AH95*10^6</f>
        <v>0</v>
      </c>
      <c r="AI216" s="2964">
        <f>인력계획!AI95*10^6</f>
        <v>0</v>
      </c>
      <c r="AJ216" s="2964">
        <f>인력계획!AJ95*10^6</f>
        <v>0</v>
      </c>
      <c r="AK216" s="2964">
        <f>인력계획!AK95*10^6</f>
        <v>0</v>
      </c>
      <c r="AL216" s="2964">
        <f>인력계획!AL95*10^6</f>
        <v>0</v>
      </c>
      <c r="AM216" s="2964">
        <f>인력계획!AM95*10^6</f>
        <v>0</v>
      </c>
      <c r="AN216" s="2964">
        <f>인력계획!AN95*10^6</f>
        <v>0</v>
      </c>
      <c r="AO216" s="2964">
        <f>인력계획!AO95*10^6</f>
        <v>0</v>
      </c>
      <c r="AP216" s="2964">
        <f>인력계획!AP95*10^6</f>
        <v>0</v>
      </c>
      <c r="AQ216" s="2964">
        <f>인력계획!AQ95*10^6</f>
        <v>0</v>
      </c>
      <c r="AR216" s="2964">
        <f>인력계획!AR95*10^6</f>
        <v>0</v>
      </c>
      <c r="AS216" s="2964">
        <f>인력계획!AS95*10^6</f>
        <v>0</v>
      </c>
      <c r="AT216" s="2964">
        <f>인력계획!AT95*10^6</f>
        <v>0</v>
      </c>
      <c r="AU216" s="2964">
        <f>인력계획!AU95*10^6</f>
        <v>0</v>
      </c>
      <c r="AV216" s="2694">
        <v>0</v>
      </c>
      <c r="AW216" s="2809"/>
      <c r="AX216" s="2965"/>
      <c r="AY216" s="2760"/>
      <c r="AZ216" s="2760"/>
      <c r="BA216" s="2760"/>
      <c r="BB216" s="2760"/>
      <c r="BC216" s="2760"/>
      <c r="BD216" s="2760"/>
      <c r="BE216" s="2760"/>
      <c r="BF216" s="2760"/>
      <c r="BG216" s="2760"/>
      <c r="BI216" s="2730"/>
      <c r="BJ216" s="2730"/>
    </row>
    <row r="217" spans="1:62" ht="17.25" outlineLevel="1">
      <c r="A217" s="2767" t="s">
        <v>4254</v>
      </c>
      <c r="B217" s="2887"/>
      <c r="C217" s="2962"/>
      <c r="D217" s="2963"/>
      <c r="E217" s="2963"/>
      <c r="F217" s="2964">
        <v>31800000</v>
      </c>
      <c r="G217" s="2964">
        <v>31800000</v>
      </c>
      <c r="H217" s="2964">
        <f>인력계획!H96*10^6</f>
        <v>0</v>
      </c>
      <c r="I217" s="2964">
        <f>인력계획!I96*10^6</f>
        <v>0</v>
      </c>
      <c r="J217" s="2964">
        <f>인력계획!J96*10^6</f>
        <v>0</v>
      </c>
      <c r="K217" s="2964">
        <f>인력계획!K96*10^6</f>
        <v>0</v>
      </c>
      <c r="L217" s="2964">
        <f>인력계획!L96*10^6</f>
        <v>0</v>
      </c>
      <c r="M217" s="2964">
        <f>인력계획!M96*10^6</f>
        <v>0</v>
      </c>
      <c r="N217" s="2964">
        <f>인력계획!N96*10^6</f>
        <v>0</v>
      </c>
      <c r="O217" s="2964">
        <f>인력계획!O96*10^6</f>
        <v>0</v>
      </c>
      <c r="P217" s="2964">
        <f>인력계획!P96*10^6</f>
        <v>0</v>
      </c>
      <c r="Q217" s="2964">
        <f>인력계획!Q96*10^6</f>
        <v>0</v>
      </c>
      <c r="R217" s="2964">
        <f>인력계획!R96*10^6</f>
        <v>0</v>
      </c>
      <c r="S217" s="2964">
        <f>인력계획!S96*10^6</f>
        <v>40241423.786010817</v>
      </c>
      <c r="T217" s="2964">
        <f>인력계획!T96*10^6</f>
        <v>42253494.975311361</v>
      </c>
      <c r="U217" s="2964">
        <f>인력계획!U96*10^6</f>
        <v>42253494.975311361</v>
      </c>
      <c r="V217" s="2964">
        <f>인력계획!V96*10^6</f>
        <v>42253494.975311361</v>
      </c>
      <c r="W217" s="2964">
        <f>인력계획!W96*10^6</f>
        <v>0</v>
      </c>
      <c r="X217" s="2964">
        <f>인력계획!X96*10^6</f>
        <v>0</v>
      </c>
      <c r="Y217" s="2964">
        <f>인력계획!Y96*10^6</f>
        <v>0</v>
      </c>
      <c r="Z217" s="2964">
        <f>인력계획!Z96*10^6</f>
        <v>46584478.210280776</v>
      </c>
      <c r="AA217" s="2964">
        <f>인력계획!AA96*10^6</f>
        <v>46584478.210280776</v>
      </c>
      <c r="AB217" s="2964">
        <f>인력계획!AB96*10^6</f>
        <v>46584478.210280776</v>
      </c>
      <c r="AC217" s="2964">
        <f>인력계획!AC96*10^6</f>
        <v>48913702.120794818</v>
      </c>
      <c r="AD217" s="2964">
        <f>인력계획!AD96*10^6</f>
        <v>0</v>
      </c>
      <c r="AE217" s="2964">
        <f>인력계획!AE96*10^6</f>
        <v>0</v>
      </c>
      <c r="AF217" s="2964">
        <f>인력계획!AF96*10^6</f>
        <v>0</v>
      </c>
      <c r="AG217" s="2964">
        <f>인력계획!AG96*10^6</f>
        <v>0</v>
      </c>
      <c r="AH217" s="2964">
        <f>인력계획!AH96*10^6</f>
        <v>0</v>
      </c>
      <c r="AI217" s="2964">
        <f>인력계획!AI96*10^6</f>
        <v>0</v>
      </c>
      <c r="AJ217" s="2964">
        <f>인력계획!AJ96*10^6</f>
        <v>0</v>
      </c>
      <c r="AK217" s="2964">
        <f>인력계획!AK96*10^6</f>
        <v>0</v>
      </c>
      <c r="AL217" s="2964">
        <f>인력계획!AL96*10^6</f>
        <v>0</v>
      </c>
      <c r="AM217" s="2964">
        <f>인력계획!AM96*10^6</f>
        <v>0</v>
      </c>
      <c r="AN217" s="2964">
        <f>인력계획!AN96*10^6</f>
        <v>0</v>
      </c>
      <c r="AO217" s="2964">
        <f>인력계획!AO96*10^6</f>
        <v>0</v>
      </c>
      <c r="AP217" s="2964">
        <f>인력계획!AP96*10^6</f>
        <v>0</v>
      </c>
      <c r="AQ217" s="2964">
        <f>인력계획!AQ96*10^6</f>
        <v>0</v>
      </c>
      <c r="AR217" s="2964">
        <f>인력계획!AR96*10^6</f>
        <v>0</v>
      </c>
      <c r="AS217" s="2964">
        <f>인력계획!AS96*10^6</f>
        <v>0</v>
      </c>
      <c r="AT217" s="2964">
        <f>인력계획!AT96*10^6</f>
        <v>0</v>
      </c>
      <c r="AU217" s="2964">
        <f>인력계획!AU96*10^6</f>
        <v>0</v>
      </c>
      <c r="AV217" s="2694">
        <v>0</v>
      </c>
      <c r="AW217" s="2809"/>
      <c r="AX217" s="2965"/>
      <c r="AY217" s="2760"/>
      <c r="AZ217" s="2760"/>
      <c r="BA217" s="2760"/>
      <c r="BB217" s="2760"/>
      <c r="BC217" s="2760"/>
      <c r="BD217" s="2760"/>
      <c r="BE217" s="2760"/>
      <c r="BF217" s="2760"/>
      <c r="BG217" s="2760"/>
      <c r="BI217" s="2730"/>
      <c r="BJ217" s="2730"/>
    </row>
    <row r="218" spans="1:62" ht="17.25" outlineLevel="1">
      <c r="A218" s="2767" t="s">
        <v>4255</v>
      </c>
      <c r="B218" s="2887"/>
      <c r="C218" s="2787">
        <v>0.01</v>
      </c>
      <c r="D218" s="2764"/>
      <c r="E218" s="2764"/>
      <c r="F218" s="2769"/>
      <c r="G218" s="2770">
        <v>4947500</v>
      </c>
      <c r="H218" s="2770">
        <f t="shared" ref="H218:AU218" si="164">G218+(G218*$C$24)</f>
        <v>4947500</v>
      </c>
      <c r="I218" s="2770">
        <f t="shared" si="164"/>
        <v>4947500</v>
      </c>
      <c r="J218" s="2770">
        <f t="shared" si="164"/>
        <v>4947500</v>
      </c>
      <c r="K218" s="2770">
        <f t="shared" si="164"/>
        <v>4947500</v>
      </c>
      <c r="L218" s="2770">
        <f t="shared" si="164"/>
        <v>4947500</v>
      </c>
      <c r="M218" s="2770">
        <f t="shared" si="164"/>
        <v>4947500</v>
      </c>
      <c r="N218" s="2770">
        <f t="shared" si="164"/>
        <v>4947500</v>
      </c>
      <c r="O218" s="2770">
        <f t="shared" si="164"/>
        <v>4947500</v>
      </c>
      <c r="P218" s="2770">
        <f t="shared" si="164"/>
        <v>4947500</v>
      </c>
      <c r="Q218" s="2770">
        <f t="shared" si="164"/>
        <v>4947500</v>
      </c>
      <c r="R218" s="2770">
        <f t="shared" si="164"/>
        <v>4947500</v>
      </c>
      <c r="S218" s="2770">
        <f t="shared" si="164"/>
        <v>4947500</v>
      </c>
      <c r="T218" s="2770">
        <f t="shared" si="164"/>
        <v>4947500</v>
      </c>
      <c r="U218" s="2770">
        <f t="shared" si="164"/>
        <v>4947500</v>
      </c>
      <c r="V218" s="2770">
        <f t="shared" si="164"/>
        <v>4947500</v>
      </c>
      <c r="W218" s="2770">
        <f t="shared" si="164"/>
        <v>4947500</v>
      </c>
      <c r="X218" s="2770">
        <f t="shared" si="164"/>
        <v>4947500</v>
      </c>
      <c r="Y218" s="2770">
        <f t="shared" si="164"/>
        <v>4947500</v>
      </c>
      <c r="Z218" s="2770">
        <f t="shared" si="164"/>
        <v>4947500</v>
      </c>
      <c r="AA218" s="2770">
        <f t="shared" si="164"/>
        <v>4947500</v>
      </c>
      <c r="AB218" s="2770">
        <f t="shared" si="164"/>
        <v>4947500</v>
      </c>
      <c r="AC218" s="2770">
        <f t="shared" si="164"/>
        <v>4947500</v>
      </c>
      <c r="AD218" s="2770">
        <f t="shared" si="164"/>
        <v>4947500</v>
      </c>
      <c r="AE218" s="2770">
        <f t="shared" si="164"/>
        <v>4947500</v>
      </c>
      <c r="AF218" s="2770">
        <f t="shared" si="164"/>
        <v>4947500</v>
      </c>
      <c r="AG218" s="2770">
        <f t="shared" si="164"/>
        <v>4947500</v>
      </c>
      <c r="AH218" s="2770">
        <f t="shared" si="164"/>
        <v>4947500</v>
      </c>
      <c r="AI218" s="2770">
        <f t="shared" si="164"/>
        <v>4947500</v>
      </c>
      <c r="AJ218" s="2770">
        <f t="shared" si="164"/>
        <v>4947500</v>
      </c>
      <c r="AK218" s="2770">
        <f t="shared" si="164"/>
        <v>4947500</v>
      </c>
      <c r="AL218" s="2770">
        <f t="shared" si="164"/>
        <v>4947500</v>
      </c>
      <c r="AM218" s="2770">
        <f t="shared" si="164"/>
        <v>4947500</v>
      </c>
      <c r="AN218" s="2770">
        <f t="shared" si="164"/>
        <v>4947500</v>
      </c>
      <c r="AO218" s="2770">
        <f t="shared" si="164"/>
        <v>4947500</v>
      </c>
      <c r="AP218" s="2770">
        <f t="shared" si="164"/>
        <v>4947500</v>
      </c>
      <c r="AQ218" s="2770">
        <f t="shared" si="164"/>
        <v>4947500</v>
      </c>
      <c r="AR218" s="2770">
        <f t="shared" si="164"/>
        <v>4947500</v>
      </c>
      <c r="AS218" s="2770">
        <f t="shared" si="164"/>
        <v>4947500</v>
      </c>
      <c r="AT218" s="2770">
        <f t="shared" si="164"/>
        <v>4947500</v>
      </c>
      <c r="AU218" s="2770">
        <f t="shared" si="164"/>
        <v>4947500</v>
      </c>
      <c r="AV218" s="2694">
        <v>0</v>
      </c>
      <c r="AW218" s="2809"/>
      <c r="AX218" s="2965"/>
      <c r="AY218" s="2760"/>
      <c r="AZ218" s="2760"/>
      <c r="BA218" s="2760"/>
      <c r="BB218" s="2760"/>
      <c r="BC218" s="2760"/>
      <c r="BD218" s="2760"/>
      <c r="BE218" s="2760"/>
      <c r="BF218" s="2760"/>
      <c r="BG218" s="2760"/>
      <c r="BI218" s="2730"/>
      <c r="BJ218" s="2730"/>
    </row>
    <row r="219" spans="1:62" ht="17.25" outlineLevel="1">
      <c r="A219" s="2773" t="s">
        <v>4127</v>
      </c>
      <c r="B219" s="2966"/>
      <c r="C219" s="2962"/>
      <c r="D219" s="2963">
        <v>1</v>
      </c>
      <c r="E219" s="2963"/>
      <c r="F219" s="2961">
        <v>31229379</v>
      </c>
      <c r="G219" s="2967">
        <v>15866067</v>
      </c>
      <c r="H219" s="2967">
        <f t="shared" ref="H219:AU219" si="165">H212/12</f>
        <v>16882363.792376667</v>
      </c>
      <c r="I219" s="2967">
        <f t="shared" si="165"/>
        <v>16882363.792376667</v>
      </c>
      <c r="J219" s="2967">
        <f t="shared" si="165"/>
        <v>16882363.792376667</v>
      </c>
      <c r="K219" s="2967">
        <f t="shared" si="165"/>
        <v>18375419.556427483</v>
      </c>
      <c r="L219" s="2967">
        <f t="shared" si="165"/>
        <v>19293662.515648484</v>
      </c>
      <c r="M219" s="2967">
        <f t="shared" si="165"/>
        <v>19293662.515648484</v>
      </c>
      <c r="N219" s="2967">
        <f t="shared" si="165"/>
        <v>20237731.058097575</v>
      </c>
      <c r="O219" s="2967">
        <f t="shared" si="165"/>
        <v>20237731.058097575</v>
      </c>
      <c r="P219" s="2967">
        <f t="shared" si="165"/>
        <v>20237731.058097575</v>
      </c>
      <c r="Q219" s="2967">
        <f t="shared" si="165"/>
        <v>21977729.728090178</v>
      </c>
      <c r="R219" s="2967">
        <f t="shared" si="165"/>
        <v>21977729.728090178</v>
      </c>
      <c r="S219" s="2967">
        <f t="shared" si="165"/>
        <v>17896641.938471157</v>
      </c>
      <c r="T219" s="2967">
        <f t="shared" si="165"/>
        <v>18770859.452061381</v>
      </c>
      <c r="U219" s="2967">
        <f t="shared" si="165"/>
        <v>18770859.452061381</v>
      </c>
      <c r="V219" s="2967">
        <f t="shared" si="165"/>
        <v>19545949.768694457</v>
      </c>
      <c r="W219" s="2967">
        <f t="shared" si="165"/>
        <v>22246585.88622025</v>
      </c>
      <c r="X219" s="2967">
        <f t="shared" si="165"/>
        <v>22246585.88622025</v>
      </c>
      <c r="Y219" s="2967">
        <f t="shared" si="165"/>
        <v>22246585.88622025</v>
      </c>
      <c r="Z219" s="2967">
        <f t="shared" si="165"/>
        <v>18613931.344740208</v>
      </c>
      <c r="AA219" s="2967">
        <f t="shared" si="165"/>
        <v>19785867.903489415</v>
      </c>
      <c r="AB219" s="2967">
        <f t="shared" si="165"/>
        <v>19785867.903489415</v>
      </c>
      <c r="AC219" s="2967">
        <f t="shared" si="165"/>
        <v>20754546.715330552</v>
      </c>
      <c r="AD219" s="2967">
        <f t="shared" si="165"/>
        <v>22677255.132028461</v>
      </c>
      <c r="AE219" s="2967">
        <f t="shared" si="165"/>
        <v>22677255.132028461</v>
      </c>
      <c r="AF219" s="2967">
        <f t="shared" si="165"/>
        <v>24746089.388395414</v>
      </c>
      <c r="AG219" s="2967">
        <f t="shared" si="165"/>
        <v>24746089.388395414</v>
      </c>
      <c r="AH219" s="2967">
        <f t="shared" si="165"/>
        <v>26038149.444416407</v>
      </c>
      <c r="AI219" s="2967">
        <f t="shared" si="165"/>
        <v>27319442.333303895</v>
      </c>
      <c r="AJ219" s="2967">
        <f t="shared" si="165"/>
        <v>27319442.333303895</v>
      </c>
      <c r="AK219" s="2967">
        <f t="shared" si="165"/>
        <v>18345681.475470576</v>
      </c>
      <c r="AL219" s="2967">
        <f t="shared" si="165"/>
        <v>19242350.965910774</v>
      </c>
      <c r="AM219" s="2967">
        <f t="shared" si="165"/>
        <v>20295884.622527268</v>
      </c>
      <c r="AN219" s="2967">
        <f t="shared" si="165"/>
        <v>20295884.622527268</v>
      </c>
      <c r="AO219" s="2967">
        <f t="shared" si="165"/>
        <v>21290064.270320296</v>
      </c>
      <c r="AP219" s="2967">
        <f t="shared" si="165"/>
        <v>21290064.270320296</v>
      </c>
      <c r="AQ219" s="2967">
        <f t="shared" si="165"/>
        <v>21290064.270320296</v>
      </c>
      <c r="AR219" s="2967">
        <f t="shared" si="165"/>
        <v>22333952.90050298</v>
      </c>
      <c r="AS219" s="2967">
        <f t="shared" si="165"/>
        <v>22333952.90050298</v>
      </c>
      <c r="AT219" s="2967">
        <f t="shared" si="165"/>
        <v>22333952.90050298</v>
      </c>
      <c r="AU219" s="2967">
        <f t="shared" si="165"/>
        <v>23430035.9621948</v>
      </c>
      <c r="AV219" s="2694">
        <v>0</v>
      </c>
      <c r="AW219" s="2809"/>
      <c r="AX219" s="2965"/>
      <c r="AY219" s="2774"/>
      <c r="AZ219" s="2774"/>
      <c r="BA219" s="2774"/>
      <c r="BB219" s="2774"/>
      <c r="BC219" s="2774"/>
      <c r="BD219" s="2774"/>
      <c r="BE219" s="2774"/>
      <c r="BF219" s="2774"/>
      <c r="BG219" s="2774"/>
      <c r="BI219" s="2730"/>
      <c r="BJ219" s="2730"/>
    </row>
    <row r="220" spans="1:62" outlineLevel="1">
      <c r="A220" s="2968" t="s">
        <v>4256</v>
      </c>
      <c r="B220" s="2969">
        <f ca="1">민감도!E82</f>
        <v>1</v>
      </c>
      <c r="C220" s="2970">
        <v>0.02</v>
      </c>
      <c r="D220" s="2971">
        <v>1</v>
      </c>
      <c r="E220" s="2972">
        <v>1247258601.4300001</v>
      </c>
      <c r="F220" s="2973">
        <f>SUM(F222:F223)</f>
        <v>1238754115</v>
      </c>
      <c r="G220" s="2973">
        <f>SUM(G222)</f>
        <v>1170399850</v>
      </c>
      <c r="H220" s="2973">
        <f ca="1">IF($B$220=1,H223,H222)</f>
        <v>300000000</v>
      </c>
      <c r="I220" s="2973">
        <f t="shared" ref="I220:AU220" ca="1" si="166">IF($B$220=1,I223,I222)</f>
        <v>306000000</v>
      </c>
      <c r="J220" s="2973">
        <f t="shared" ca="1" si="166"/>
        <v>312120000</v>
      </c>
      <c r="K220" s="2973">
        <f t="shared" ca="1" si="166"/>
        <v>318362400</v>
      </c>
      <c r="L220" s="2973">
        <f t="shared" ca="1" si="166"/>
        <v>324729648</v>
      </c>
      <c r="M220" s="2973">
        <f t="shared" ca="1" si="166"/>
        <v>331224240.95999998</v>
      </c>
      <c r="N220" s="2973">
        <f t="shared" ca="1" si="166"/>
        <v>337848725.77919996</v>
      </c>
      <c r="O220" s="2973">
        <f t="shared" ca="1" si="166"/>
        <v>344605700.29478395</v>
      </c>
      <c r="P220" s="2973">
        <f t="shared" ca="1" si="166"/>
        <v>351497814.30067962</v>
      </c>
      <c r="Q220" s="2973">
        <f t="shared" ca="1" si="166"/>
        <v>358527770.58669323</v>
      </c>
      <c r="R220" s="2973">
        <f t="shared" ca="1" si="166"/>
        <v>365698325.99842709</v>
      </c>
      <c r="S220" s="2973">
        <f t="shared" ca="1" si="166"/>
        <v>373012292.51839566</v>
      </c>
      <c r="T220" s="2973">
        <f t="shared" ca="1" si="166"/>
        <v>380472538.36876357</v>
      </c>
      <c r="U220" s="2973">
        <f t="shared" ca="1" si="166"/>
        <v>388081989.13613886</v>
      </c>
      <c r="V220" s="2973">
        <f t="shared" ca="1" si="166"/>
        <v>395843628.91886163</v>
      </c>
      <c r="W220" s="2973">
        <f t="shared" ca="1" si="166"/>
        <v>403760501.49723887</v>
      </c>
      <c r="X220" s="2973">
        <f t="shared" ca="1" si="166"/>
        <v>411835711.52718365</v>
      </c>
      <c r="Y220" s="2973">
        <f t="shared" ca="1" si="166"/>
        <v>420072425.75772732</v>
      </c>
      <c r="Z220" s="2973">
        <f t="shared" ca="1" si="166"/>
        <v>428473874.27288187</v>
      </c>
      <c r="AA220" s="2973">
        <f t="shared" ca="1" si="166"/>
        <v>437043351.75833952</v>
      </c>
      <c r="AB220" s="2973">
        <f t="shared" ca="1" si="166"/>
        <v>445784218.79350632</v>
      </c>
      <c r="AC220" s="2973">
        <f t="shared" ca="1" si="166"/>
        <v>454699903.16937643</v>
      </c>
      <c r="AD220" s="2973">
        <f t="shared" ca="1" si="166"/>
        <v>463793901.23276395</v>
      </c>
      <c r="AE220" s="2973">
        <f t="shared" ca="1" si="166"/>
        <v>473069779.25741923</v>
      </c>
      <c r="AF220" s="2973">
        <f t="shared" ca="1" si="166"/>
        <v>482531174.84256762</v>
      </c>
      <c r="AG220" s="2973">
        <f t="shared" ca="1" si="166"/>
        <v>492181798.33941901</v>
      </c>
      <c r="AH220" s="2973">
        <f t="shared" ca="1" si="166"/>
        <v>502025434.30620742</v>
      </c>
      <c r="AI220" s="2973">
        <f t="shared" ca="1" si="166"/>
        <v>512065942.99233156</v>
      </c>
      <c r="AJ220" s="2973">
        <f t="shared" ca="1" si="166"/>
        <v>522307261.85217822</v>
      </c>
      <c r="AK220" s="2973">
        <f t="shared" ca="1" si="166"/>
        <v>532753407.08922178</v>
      </c>
      <c r="AL220" s="2973">
        <f t="shared" ca="1" si="166"/>
        <v>543408475.23100626</v>
      </c>
      <c r="AM220" s="2973">
        <f t="shared" ca="1" si="166"/>
        <v>554276644.73562646</v>
      </c>
      <c r="AN220" s="2973">
        <f t="shared" ca="1" si="166"/>
        <v>565362177.63033903</v>
      </c>
      <c r="AO220" s="2973">
        <f t="shared" ca="1" si="166"/>
        <v>576669421.18294585</v>
      </c>
      <c r="AP220" s="2973">
        <f t="shared" ca="1" si="166"/>
        <v>588202809.60660481</v>
      </c>
      <c r="AQ220" s="2973">
        <f t="shared" ca="1" si="166"/>
        <v>599966865.79873693</v>
      </c>
      <c r="AR220" s="2973">
        <f t="shared" ca="1" si="166"/>
        <v>611966203.11471164</v>
      </c>
      <c r="AS220" s="2973">
        <f t="shared" ca="1" si="166"/>
        <v>624205527.17700589</v>
      </c>
      <c r="AT220" s="2973">
        <f t="shared" ca="1" si="166"/>
        <v>636689637.72054601</v>
      </c>
      <c r="AU220" s="2973">
        <f t="shared" ca="1" si="166"/>
        <v>649423430.47495699</v>
      </c>
      <c r="AV220" s="2694">
        <v>0</v>
      </c>
      <c r="AW220" s="2974"/>
      <c r="AX220" s="2975"/>
      <c r="AY220" s="2774"/>
      <c r="AZ220" s="2774"/>
      <c r="BA220" s="2774"/>
      <c r="BB220" s="2774"/>
      <c r="BC220" s="2774"/>
      <c r="BD220" s="2774"/>
      <c r="BE220" s="2774"/>
      <c r="BF220" s="2774"/>
      <c r="BG220" s="2774"/>
      <c r="BI220" s="2730"/>
      <c r="BJ220" s="2730"/>
    </row>
    <row r="221" spans="1:62" outlineLevel="1">
      <c r="A221" s="2976"/>
      <c r="B221" s="2977"/>
      <c r="C221" s="2975"/>
      <c r="D221" s="2978"/>
      <c r="E221" s="2979"/>
      <c r="F221" s="2961"/>
      <c r="G221" s="2967"/>
      <c r="H221" s="2980">
        <v>1.02</v>
      </c>
      <c r="I221" s="2980">
        <v>1.02</v>
      </c>
      <c r="J221" s="2980">
        <v>1.02</v>
      </c>
      <c r="K221" s="2980">
        <v>1.02</v>
      </c>
      <c r="L221" s="2980">
        <v>1.02</v>
      </c>
      <c r="M221" s="2980">
        <v>1.02</v>
      </c>
      <c r="N221" s="2980">
        <v>1.02</v>
      </c>
      <c r="O221" s="2980">
        <v>1.02</v>
      </c>
      <c r="P221" s="2980">
        <v>1.02</v>
      </c>
      <c r="Q221" s="2980">
        <v>1.02</v>
      </c>
      <c r="R221" s="2980">
        <v>1.02</v>
      </c>
      <c r="S221" s="2980">
        <v>1.02</v>
      </c>
      <c r="T221" s="2980">
        <v>1.02</v>
      </c>
      <c r="U221" s="2980">
        <v>1.02</v>
      </c>
      <c r="V221" s="2980">
        <v>1.02</v>
      </c>
      <c r="W221" s="2980">
        <v>1.02</v>
      </c>
      <c r="X221" s="2980">
        <v>1.02</v>
      </c>
      <c r="Y221" s="2980">
        <v>1.02</v>
      </c>
      <c r="Z221" s="2980">
        <v>1.02</v>
      </c>
      <c r="AA221" s="2980">
        <v>1.02</v>
      </c>
      <c r="AB221" s="2980">
        <v>1.02</v>
      </c>
      <c r="AC221" s="2980">
        <v>1.02</v>
      </c>
      <c r="AD221" s="2980">
        <v>1.02</v>
      </c>
      <c r="AE221" s="2980">
        <v>1.02</v>
      </c>
      <c r="AF221" s="2980">
        <v>1.02</v>
      </c>
      <c r="AG221" s="2980">
        <v>1.02</v>
      </c>
      <c r="AH221" s="2980">
        <v>1.02</v>
      </c>
      <c r="AI221" s="2980">
        <v>1.02</v>
      </c>
      <c r="AJ221" s="2980">
        <v>1.02</v>
      </c>
      <c r="AK221" s="2980">
        <v>1.02</v>
      </c>
      <c r="AL221" s="2980">
        <v>1.02</v>
      </c>
      <c r="AM221" s="2980">
        <v>1.02</v>
      </c>
      <c r="AN221" s="2980">
        <v>1.02</v>
      </c>
      <c r="AO221" s="2980">
        <v>1.02</v>
      </c>
      <c r="AP221" s="2980">
        <v>1.02</v>
      </c>
      <c r="AQ221" s="2980">
        <v>1.02</v>
      </c>
      <c r="AR221" s="2980">
        <v>1.02</v>
      </c>
      <c r="AS221" s="2980">
        <v>1.02</v>
      </c>
      <c r="AT221" s="2980">
        <v>1.02</v>
      </c>
      <c r="AU221" s="2980">
        <v>1.02</v>
      </c>
      <c r="AV221" s="2694">
        <v>0</v>
      </c>
      <c r="AW221" s="2974"/>
      <c r="AX221" s="2975"/>
      <c r="AY221" s="2774"/>
      <c r="AZ221" s="2774"/>
      <c r="BA221" s="2774"/>
      <c r="BB221" s="2774"/>
      <c r="BC221" s="2774"/>
      <c r="BD221" s="2774"/>
      <c r="BE221" s="2774"/>
      <c r="BF221" s="2774"/>
      <c r="BG221" s="2774"/>
      <c r="BI221" s="2730"/>
      <c r="BJ221" s="2730"/>
    </row>
    <row r="222" spans="1:62" outlineLevel="1">
      <c r="A222" s="2772" t="s">
        <v>4257</v>
      </c>
      <c r="B222" s="2981">
        <v>75</v>
      </c>
      <c r="C222" s="2982" t="s">
        <v>4258</v>
      </c>
      <c r="D222" s="2978"/>
      <c r="E222" s="2979">
        <f>F222/1.02*1.03</f>
        <v>1250898763.1862745</v>
      </c>
      <c r="F222" s="2983">
        <v>1238754115</v>
      </c>
      <c r="G222" s="2983">
        <f>1165299850+5100000</f>
        <v>1170399850</v>
      </c>
      <c r="H222" s="2983">
        <f>G222*H221</f>
        <v>1193807847</v>
      </c>
      <c r="I222" s="2983">
        <f>H222*I221</f>
        <v>1217684003.9400001</v>
      </c>
      <c r="J222" s="2983">
        <f t="shared" ref="J222:AU222" si="167">I222*J221</f>
        <v>1242037684.0188</v>
      </c>
      <c r="K222" s="2983">
        <f t="shared" si="167"/>
        <v>1266878437.6991761</v>
      </c>
      <c r="L222" s="2983">
        <f t="shared" si="167"/>
        <v>1292216006.4531596</v>
      </c>
      <c r="M222" s="2983">
        <f t="shared" si="167"/>
        <v>1318060326.5822227</v>
      </c>
      <c r="N222" s="2983">
        <f t="shared" si="167"/>
        <v>1344421533.1138673</v>
      </c>
      <c r="O222" s="2983">
        <f t="shared" si="167"/>
        <v>1371309963.7761447</v>
      </c>
      <c r="P222" s="2983">
        <f t="shared" si="167"/>
        <v>1398736163.0516677</v>
      </c>
      <c r="Q222" s="2983">
        <f t="shared" si="167"/>
        <v>1426710886.312701</v>
      </c>
      <c r="R222" s="2983">
        <f t="shared" si="167"/>
        <v>1455245104.038955</v>
      </c>
      <c r="S222" s="2983">
        <f t="shared" si="167"/>
        <v>1484350006.119734</v>
      </c>
      <c r="T222" s="2983">
        <f t="shared" si="167"/>
        <v>1514037006.2421288</v>
      </c>
      <c r="U222" s="2983">
        <f t="shared" si="167"/>
        <v>1544317746.3669715</v>
      </c>
      <c r="V222" s="2983">
        <f t="shared" si="167"/>
        <v>1575204101.294311</v>
      </c>
      <c r="W222" s="2983">
        <f t="shared" si="167"/>
        <v>1606708183.3201973</v>
      </c>
      <c r="X222" s="2983">
        <f t="shared" si="167"/>
        <v>1638842346.9866014</v>
      </c>
      <c r="Y222" s="2983">
        <f t="shared" si="167"/>
        <v>1671619193.9263334</v>
      </c>
      <c r="Z222" s="2983">
        <f t="shared" si="167"/>
        <v>1705051577.8048601</v>
      </c>
      <c r="AA222" s="2983">
        <f t="shared" si="167"/>
        <v>1739152609.3609574</v>
      </c>
      <c r="AB222" s="2983">
        <f t="shared" si="167"/>
        <v>1773935661.5481765</v>
      </c>
      <c r="AC222" s="2983">
        <f t="shared" si="167"/>
        <v>1809414374.77914</v>
      </c>
      <c r="AD222" s="2983">
        <f t="shared" si="167"/>
        <v>1845602662.2747228</v>
      </c>
      <c r="AE222" s="2983">
        <f t="shared" si="167"/>
        <v>1882514715.5202174</v>
      </c>
      <c r="AF222" s="2983">
        <f t="shared" si="167"/>
        <v>1920165009.8306217</v>
      </c>
      <c r="AG222" s="2983">
        <f t="shared" si="167"/>
        <v>1958568310.0272341</v>
      </c>
      <c r="AH222" s="2983">
        <f t="shared" si="167"/>
        <v>1997739676.2277789</v>
      </c>
      <c r="AI222" s="2983">
        <f t="shared" si="167"/>
        <v>2037694469.7523346</v>
      </c>
      <c r="AJ222" s="2983">
        <f t="shared" si="167"/>
        <v>2078448359.1473813</v>
      </c>
      <c r="AK222" s="2983">
        <f t="shared" si="167"/>
        <v>2120017326.3303289</v>
      </c>
      <c r="AL222" s="2983">
        <f t="shared" si="167"/>
        <v>2162417672.8569355</v>
      </c>
      <c r="AM222" s="2983">
        <f t="shared" si="167"/>
        <v>2205666026.314074</v>
      </c>
      <c r="AN222" s="2983">
        <f t="shared" si="167"/>
        <v>2249779346.8403554</v>
      </c>
      <c r="AO222" s="2983">
        <f t="shared" si="167"/>
        <v>2294774933.7771626</v>
      </c>
      <c r="AP222" s="2983">
        <f t="shared" si="167"/>
        <v>2340670432.4527059</v>
      </c>
      <c r="AQ222" s="2983">
        <f t="shared" si="167"/>
        <v>2387483841.1017599</v>
      </c>
      <c r="AR222" s="2983">
        <f t="shared" si="167"/>
        <v>2435233517.9237952</v>
      </c>
      <c r="AS222" s="2983">
        <f t="shared" si="167"/>
        <v>2483938188.2822714</v>
      </c>
      <c r="AT222" s="2983">
        <f t="shared" si="167"/>
        <v>2533616952.0479169</v>
      </c>
      <c r="AU222" s="2983">
        <f t="shared" si="167"/>
        <v>2584289291.0888753</v>
      </c>
      <c r="AV222" s="2694">
        <v>0</v>
      </c>
      <c r="AW222" s="2984"/>
      <c r="AX222" s="2975"/>
      <c r="AY222" s="2760"/>
      <c r="AZ222" s="2760"/>
      <c r="BA222" s="2760"/>
      <c r="BB222" s="2760"/>
      <c r="BC222" s="2760"/>
      <c r="BD222" s="2760"/>
      <c r="BE222" s="2760"/>
      <c r="BF222" s="2760"/>
      <c r="BG222" s="2760"/>
      <c r="BI222" s="2730"/>
      <c r="BJ222" s="2730"/>
    </row>
    <row r="223" spans="1:62" outlineLevel="1">
      <c r="A223" s="2772" t="s">
        <v>4259</v>
      </c>
      <c r="B223" s="2981">
        <v>50</v>
      </c>
      <c r="C223" s="2982" t="s">
        <v>4258</v>
      </c>
      <c r="D223" s="2978"/>
      <c r="E223" s="2985"/>
      <c r="F223" s="2964"/>
      <c r="G223" s="2986"/>
      <c r="H223" s="2983">
        <f>6*50000000</f>
        <v>300000000</v>
      </c>
      <c r="I223" s="2983">
        <f>H223*I221</f>
        <v>306000000</v>
      </c>
      <c r="J223" s="2983">
        <f t="shared" ref="J223:AU223" si="168">I223*J221</f>
        <v>312120000</v>
      </c>
      <c r="K223" s="2983">
        <f t="shared" si="168"/>
        <v>318362400</v>
      </c>
      <c r="L223" s="2983">
        <f t="shared" si="168"/>
        <v>324729648</v>
      </c>
      <c r="M223" s="2983">
        <f t="shared" si="168"/>
        <v>331224240.95999998</v>
      </c>
      <c r="N223" s="2983">
        <f t="shared" si="168"/>
        <v>337848725.77919996</v>
      </c>
      <c r="O223" s="2983">
        <f t="shared" si="168"/>
        <v>344605700.29478395</v>
      </c>
      <c r="P223" s="2983">
        <f t="shared" si="168"/>
        <v>351497814.30067962</v>
      </c>
      <c r="Q223" s="2983">
        <f t="shared" si="168"/>
        <v>358527770.58669323</v>
      </c>
      <c r="R223" s="2983">
        <f t="shared" si="168"/>
        <v>365698325.99842709</v>
      </c>
      <c r="S223" s="2983">
        <f t="shared" si="168"/>
        <v>373012292.51839566</v>
      </c>
      <c r="T223" s="2983">
        <f t="shared" si="168"/>
        <v>380472538.36876357</v>
      </c>
      <c r="U223" s="2983">
        <f t="shared" si="168"/>
        <v>388081989.13613886</v>
      </c>
      <c r="V223" s="2983">
        <f t="shared" si="168"/>
        <v>395843628.91886163</v>
      </c>
      <c r="W223" s="2983">
        <f t="shared" si="168"/>
        <v>403760501.49723887</v>
      </c>
      <c r="X223" s="2983">
        <f t="shared" si="168"/>
        <v>411835711.52718365</v>
      </c>
      <c r="Y223" s="2983">
        <f t="shared" si="168"/>
        <v>420072425.75772732</v>
      </c>
      <c r="Z223" s="2983">
        <f t="shared" si="168"/>
        <v>428473874.27288187</v>
      </c>
      <c r="AA223" s="2983">
        <f t="shared" si="168"/>
        <v>437043351.75833952</v>
      </c>
      <c r="AB223" s="2983">
        <f t="shared" si="168"/>
        <v>445784218.79350632</v>
      </c>
      <c r="AC223" s="2983">
        <f t="shared" si="168"/>
        <v>454699903.16937643</v>
      </c>
      <c r="AD223" s="2983">
        <f t="shared" si="168"/>
        <v>463793901.23276395</v>
      </c>
      <c r="AE223" s="2983">
        <f t="shared" si="168"/>
        <v>473069779.25741923</v>
      </c>
      <c r="AF223" s="2983">
        <f t="shared" si="168"/>
        <v>482531174.84256762</v>
      </c>
      <c r="AG223" s="2983">
        <f t="shared" si="168"/>
        <v>492181798.33941901</v>
      </c>
      <c r="AH223" s="2983">
        <f t="shared" si="168"/>
        <v>502025434.30620742</v>
      </c>
      <c r="AI223" s="2983">
        <f t="shared" si="168"/>
        <v>512065942.99233156</v>
      </c>
      <c r="AJ223" s="2983">
        <f t="shared" si="168"/>
        <v>522307261.85217822</v>
      </c>
      <c r="AK223" s="2983">
        <f t="shared" si="168"/>
        <v>532753407.08922178</v>
      </c>
      <c r="AL223" s="2983">
        <f t="shared" si="168"/>
        <v>543408475.23100626</v>
      </c>
      <c r="AM223" s="2983">
        <f t="shared" si="168"/>
        <v>554276644.73562646</v>
      </c>
      <c r="AN223" s="2983">
        <f t="shared" si="168"/>
        <v>565362177.63033903</v>
      </c>
      <c r="AO223" s="2983">
        <f t="shared" si="168"/>
        <v>576669421.18294585</v>
      </c>
      <c r="AP223" s="2983">
        <f t="shared" si="168"/>
        <v>588202809.60660481</v>
      </c>
      <c r="AQ223" s="2983">
        <f t="shared" si="168"/>
        <v>599966865.79873693</v>
      </c>
      <c r="AR223" s="2983">
        <f t="shared" si="168"/>
        <v>611966203.11471164</v>
      </c>
      <c r="AS223" s="2983">
        <f t="shared" si="168"/>
        <v>624205527.17700589</v>
      </c>
      <c r="AT223" s="2983">
        <f t="shared" si="168"/>
        <v>636689637.72054601</v>
      </c>
      <c r="AU223" s="2983">
        <f t="shared" si="168"/>
        <v>649423430.47495699</v>
      </c>
      <c r="AV223" s="2694">
        <v>0</v>
      </c>
      <c r="AW223" s="2809"/>
      <c r="AX223" s="2987"/>
      <c r="AY223" s="2760"/>
      <c r="AZ223" s="2760"/>
      <c r="BA223" s="2760"/>
      <c r="BB223" s="2760"/>
      <c r="BC223" s="2760"/>
      <c r="BD223" s="2760"/>
      <c r="BE223" s="2760"/>
      <c r="BF223" s="2760"/>
      <c r="BG223" s="2760"/>
      <c r="BI223" s="2730"/>
      <c r="BJ223" s="2730"/>
    </row>
    <row r="224" spans="1:62" ht="18" thickBot="1">
      <c r="A224" s="2752" t="s">
        <v>4030</v>
      </c>
      <c r="B224" s="2988"/>
      <c r="C224" s="2989"/>
      <c r="D224" s="2990"/>
      <c r="E224" s="2991"/>
      <c r="F224" s="2992">
        <f>F225+F251+F258+F261+F262+F279+F283+F290</f>
        <v>1268544492</v>
      </c>
      <c r="G224" s="2992">
        <f t="shared" ref="G224:AU224" si="169">G225+G251+G258+G261+G262+G279+G283+G290</f>
        <v>1375225369</v>
      </c>
      <c r="H224" s="2992">
        <f t="shared" ca="1" si="169"/>
        <v>1253626456.9392378</v>
      </c>
      <c r="I224" s="2992">
        <f t="shared" ca="1" si="169"/>
        <v>1274115450.8360779</v>
      </c>
      <c r="J224" s="2992">
        <f t="shared" ca="1" si="169"/>
        <v>1306246416.7583013</v>
      </c>
      <c r="K224" s="2992">
        <f t="shared" ca="1" si="169"/>
        <v>1339930354.6919839</v>
      </c>
      <c r="L224" s="2992">
        <f t="shared" ca="1" si="169"/>
        <v>1449131361.0158379</v>
      </c>
      <c r="M224" s="2992">
        <f t="shared" ca="1" si="169"/>
        <v>1419998192.8866649</v>
      </c>
      <c r="N224" s="2992">
        <f t="shared" ca="1" si="169"/>
        <v>1444064135.7229741</v>
      </c>
      <c r="O224" s="2992">
        <f t="shared" ca="1" si="169"/>
        <v>1606628165.1798317</v>
      </c>
      <c r="P224" s="2992">
        <f t="shared" ca="1" si="169"/>
        <v>1632785905.262207</v>
      </c>
      <c r="Q224" s="2992">
        <f t="shared" ca="1" si="169"/>
        <v>1712078156.8469274</v>
      </c>
      <c r="R224" s="2992">
        <f t="shared" ca="1" si="169"/>
        <v>1687524975.2106345</v>
      </c>
      <c r="S224" s="2992">
        <f t="shared" ca="1" si="169"/>
        <v>1712407180.2477403</v>
      </c>
      <c r="T224" s="2992">
        <f t="shared" ca="1" si="169"/>
        <v>1740796346.5891166</v>
      </c>
      <c r="U224" s="2992">
        <f t="shared" ca="1" si="169"/>
        <v>1926398466.0474479</v>
      </c>
      <c r="V224" s="2992">
        <f t="shared" ca="1" si="169"/>
        <v>2010322191.2491379</v>
      </c>
      <c r="W224" s="2992">
        <f t="shared" ca="1" si="169"/>
        <v>1991688453.7016847</v>
      </c>
      <c r="X224" s="2992">
        <f t="shared" ca="1" si="169"/>
        <v>2023915469.7084177</v>
      </c>
      <c r="Y224" s="2992">
        <f t="shared" ca="1" si="169"/>
        <v>2056679675.810317</v>
      </c>
      <c r="Z224" s="2992">
        <f t="shared" ca="1" si="169"/>
        <v>2088083135.8053837</v>
      </c>
      <c r="AA224" s="2992">
        <f t="shared" ca="1" si="169"/>
        <v>2174567244.5288725</v>
      </c>
      <c r="AB224" s="2992">
        <f t="shared" ca="1" si="169"/>
        <v>2156986202.1758308</v>
      </c>
      <c r="AC224" s="2992">
        <f t="shared" ca="1" si="169"/>
        <v>2192558599.1650534</v>
      </c>
      <c r="AD224" s="2992">
        <f t="shared" ca="1" si="169"/>
        <v>2229574495.344686</v>
      </c>
      <c r="AE224" s="2992">
        <f t="shared" ca="1" si="169"/>
        <v>2265841934.291389</v>
      </c>
      <c r="AF224" s="2992">
        <f t="shared" ca="1" si="169"/>
        <v>2355875535.8112183</v>
      </c>
      <c r="AG224" s="2992">
        <f t="shared" ca="1" si="169"/>
        <v>2341168101.5190859</v>
      </c>
      <c r="AH224" s="2992">
        <f t="shared" ca="1" si="169"/>
        <v>2380257288.2984948</v>
      </c>
      <c r="AI224" s="2992">
        <f t="shared" ca="1" si="169"/>
        <v>2419677337.2518044</v>
      </c>
      <c r="AJ224" s="2992">
        <f t="shared" ca="1" si="169"/>
        <v>2459081710.7572966</v>
      </c>
      <c r="AK224" s="2992">
        <f t="shared" ca="1" si="169"/>
        <v>2545505530.8420553</v>
      </c>
      <c r="AL224" s="2992">
        <f t="shared" ca="1" si="169"/>
        <v>2730360375.9617538</v>
      </c>
      <c r="AM224" s="2992">
        <f t="shared" ca="1" si="169"/>
        <v>2775237364.8601823</v>
      </c>
      <c r="AN224" s="2992">
        <f t="shared" ca="1" si="169"/>
        <v>2820235670.2674403</v>
      </c>
      <c r="AO224" s="2992">
        <f t="shared" ca="1" si="169"/>
        <v>2866657390.8113875</v>
      </c>
      <c r="AP224" s="2992">
        <f t="shared" ca="1" si="169"/>
        <v>2965714405.6493454</v>
      </c>
      <c r="AQ224" s="2992">
        <f t="shared" ca="1" si="169"/>
        <v>2960668780.9522829</v>
      </c>
      <c r="AR224" s="2992">
        <f t="shared" ca="1" si="169"/>
        <v>3009359351.3907728</v>
      </c>
      <c r="AS224" s="2992">
        <f t="shared" ca="1" si="169"/>
        <v>3058242443.5705395</v>
      </c>
      <c r="AT224" s="2992">
        <f t="shared" ca="1" si="169"/>
        <v>3108338270.7930222</v>
      </c>
      <c r="AU224" s="2992">
        <f t="shared" ca="1" si="169"/>
        <v>3161870819.6355748</v>
      </c>
      <c r="AV224" s="2694">
        <v>0</v>
      </c>
      <c r="AW224" s="2809"/>
      <c r="AX224" s="2965"/>
      <c r="AY224" s="2760"/>
      <c r="AZ224" s="2760"/>
      <c r="BA224" s="2760"/>
      <c r="BB224" s="2760"/>
      <c r="BC224" s="2760"/>
      <c r="BD224" s="2760"/>
      <c r="BE224" s="2760"/>
      <c r="BF224" s="2760"/>
      <c r="BG224" s="2760"/>
      <c r="BI224" s="2730"/>
      <c r="BJ224" s="2730"/>
    </row>
    <row r="225" spans="1:62" ht="18" hidden="1" outlineLevel="1" thickBot="1">
      <c r="A225" s="2789" t="s">
        <v>4031</v>
      </c>
      <c r="B225" s="2993">
        <v>2</v>
      </c>
      <c r="C225" s="2994">
        <v>0.01</v>
      </c>
      <c r="D225" s="2995"/>
      <c r="E225" s="2996"/>
      <c r="F225" s="2997">
        <f>SUM(F226,F232:F236,F240,F245)</f>
        <v>112482460</v>
      </c>
      <c r="G225" s="2997">
        <f>SUM(G226,G232:G236,G240,G245)</f>
        <v>124937870</v>
      </c>
      <c r="H225" s="2997">
        <f t="shared" ref="H225:AU225" ca="1" si="170">SUM(H226,H232:H236,H240,H245,H250)</f>
        <v>26970622.155237835</v>
      </c>
      <c r="I225" s="2997">
        <f t="shared" ca="1" si="170"/>
        <v>27147295.295237835</v>
      </c>
      <c r="J225" s="2997">
        <f t="shared" ca="1" si="170"/>
        <v>27624735.166637834</v>
      </c>
      <c r="K225" s="2997">
        <f t="shared" ca="1" si="170"/>
        <v>28813648.521364227</v>
      </c>
      <c r="L225" s="2997">
        <f t="shared" ca="1" si="170"/>
        <v>31531570.930175666</v>
      </c>
      <c r="M225" s="2997">
        <f t="shared" ca="1" si="170"/>
        <v>31712737.283314735</v>
      </c>
      <c r="N225" s="2997">
        <f t="shared" ca="1" si="170"/>
        <v>32747393.848998807</v>
      </c>
      <c r="O225" s="2997">
        <f t="shared" ca="1" si="170"/>
        <v>32930191.645835973</v>
      </c>
      <c r="P225" s="2997">
        <f t="shared" ca="1" si="170"/>
        <v>33113817.420641512</v>
      </c>
      <c r="Q225" s="2997">
        <f t="shared" ca="1" si="170"/>
        <v>34316913.055499442</v>
      </c>
      <c r="R225" s="2997">
        <f t="shared" ca="1" si="170"/>
        <v>34802219.708378576</v>
      </c>
      <c r="S225" s="2997">
        <f t="shared" ca="1" si="170"/>
        <v>32451268.488652728</v>
      </c>
      <c r="T225" s="2997">
        <f t="shared" ca="1" si="170"/>
        <v>33148596.499935798</v>
      </c>
      <c r="U225" s="2997">
        <f t="shared" ca="1" si="170"/>
        <v>33334993.713226613</v>
      </c>
      <c r="V225" s="2997">
        <f t="shared" ca="1" si="170"/>
        <v>34428445.090789616</v>
      </c>
      <c r="W225" s="2997">
        <f t="shared" ca="1" si="170"/>
        <v>36199115.194137067</v>
      </c>
      <c r="X225" s="2997">
        <f t="shared" ca="1" si="170"/>
        <v>36389669.925148584</v>
      </c>
      <c r="Y225" s="2997">
        <f t="shared" ca="1" si="170"/>
        <v>36581130.203470223</v>
      </c>
      <c r="Z225" s="2997">
        <f t="shared" ca="1" si="170"/>
        <v>34788244.281705543</v>
      </c>
      <c r="AA225" s="2997">
        <f t="shared" ca="1" si="170"/>
        <v>35666034.17663791</v>
      </c>
      <c r="AB225" s="2997">
        <f t="shared" ca="1" si="170"/>
        <v>35858663.683330521</v>
      </c>
      <c r="AC225" s="2997">
        <f t="shared" ca="1" si="170"/>
        <v>36619305.428659089</v>
      </c>
      <c r="AD225" s="2997">
        <f t="shared" ca="1" si="170"/>
        <v>38239392.706673436</v>
      </c>
      <c r="AE225" s="2997">
        <f t="shared" ca="1" si="170"/>
        <v>38434828.980048344</v>
      </c>
      <c r="AF225" s="2997">
        <f t="shared" ca="1" si="170"/>
        <v>39842360.82418023</v>
      </c>
      <c r="AG225" s="2997">
        <f t="shared" ca="1" si="170"/>
        <v>40039715.36664997</v>
      </c>
      <c r="AH225" s="2997">
        <f t="shared" ca="1" si="170"/>
        <v>41294443.911599807</v>
      </c>
      <c r="AI225" s="2997">
        <f t="shared" ca="1" si="170"/>
        <v>42243852.400286466</v>
      </c>
      <c r="AJ225" s="2997">
        <f t="shared" ca="1" si="170"/>
        <v>42444156.882747576</v>
      </c>
      <c r="AK225" s="2997">
        <f t="shared" ca="1" si="170"/>
        <v>36956402.09120509</v>
      </c>
      <c r="AL225" s="2997">
        <f t="shared" ca="1" si="170"/>
        <v>37979296.544508621</v>
      </c>
      <c r="AM225" s="2997">
        <f t="shared" ca="1" si="170"/>
        <v>38795002.384350188</v>
      </c>
      <c r="AN225" s="2997">
        <f t="shared" ca="1" si="170"/>
        <v>38994935.822747178</v>
      </c>
      <c r="AO225" s="2997">
        <f t="shared" ca="1" si="170"/>
        <v>39777883.290960863</v>
      </c>
      <c r="AP225" s="2997">
        <f t="shared" ca="1" si="170"/>
        <v>40279825.391469643</v>
      </c>
      <c r="AQ225" s="2997">
        <f t="shared" ca="1" si="170"/>
        <v>40482786.912983507</v>
      </c>
      <c r="AR225" s="2997">
        <f t="shared" ca="1" si="170"/>
        <v>41297893.479916856</v>
      </c>
      <c r="AS225" s="2997">
        <f t="shared" ca="1" si="170"/>
        <v>41502924.528013147</v>
      </c>
      <c r="AT225" s="2997">
        <f t="shared" ca="1" si="170"/>
        <v>42009005.886590406</v>
      </c>
      <c r="AU225" s="2997">
        <f t="shared" ca="1" si="170"/>
        <v>42857819.260468006</v>
      </c>
      <c r="AV225" s="2694">
        <v>0</v>
      </c>
      <c r="AW225" s="2998"/>
      <c r="AX225" s="2999"/>
      <c r="AY225" s="2760"/>
      <c r="AZ225" s="2760"/>
      <c r="BA225" s="2760"/>
      <c r="BB225" s="2760"/>
      <c r="BC225" s="2760"/>
      <c r="BD225" s="2760"/>
      <c r="BE225" s="2760"/>
      <c r="BF225" s="2760"/>
      <c r="BG225" s="2760"/>
      <c r="BI225" s="2730"/>
      <c r="BJ225" s="2730"/>
    </row>
    <row r="226" spans="1:62" ht="18" hidden="1" outlineLevel="1" thickBot="1">
      <c r="A226" s="2773" t="s">
        <v>4128</v>
      </c>
      <c r="B226" s="3000"/>
      <c r="C226" s="2962"/>
      <c r="D226" s="2978">
        <v>1</v>
      </c>
      <c r="E226" s="2963"/>
      <c r="F226" s="2961">
        <f>SUM(F227:F231)</f>
        <v>900000</v>
      </c>
      <c r="G226" s="2961">
        <f>SUM(G227:G231)</f>
        <v>900000</v>
      </c>
      <c r="H226" s="2961">
        <f t="shared" ref="H226:AU226" si="171">(SUM(H227:H231)*(1+$C$225)^(H2-$F$2))</f>
        <v>1111909</v>
      </c>
      <c r="I226" s="2961">
        <f t="shared" si="171"/>
        <v>1123028.0899999999</v>
      </c>
      <c r="J226" s="2961">
        <f t="shared" si="171"/>
        <v>1134258.3709</v>
      </c>
      <c r="K226" s="2961">
        <f t="shared" si="171"/>
        <v>1282232.2611219999</v>
      </c>
      <c r="L226" s="2961">
        <f t="shared" si="171"/>
        <v>1295054.5837332201</v>
      </c>
      <c r="M226" s="2961">
        <f t="shared" si="171"/>
        <v>1308005.1295705519</v>
      </c>
      <c r="N226" s="2961">
        <f t="shared" si="171"/>
        <v>1321085.180866258</v>
      </c>
      <c r="O226" s="2961">
        <f t="shared" si="171"/>
        <v>1334296.0326749205</v>
      </c>
      <c r="P226" s="2961">
        <f t="shared" si="171"/>
        <v>1347638.9930016699</v>
      </c>
      <c r="Q226" s="2961">
        <f t="shared" si="171"/>
        <v>1361115.3829316862</v>
      </c>
      <c r="R226" s="2961">
        <f t="shared" si="171"/>
        <v>1374726.5367610031</v>
      </c>
      <c r="S226" s="2961">
        <f t="shared" si="171"/>
        <v>1240521.6756722855</v>
      </c>
      <c r="T226" s="2961">
        <f t="shared" si="171"/>
        <v>1252926.8924290086</v>
      </c>
      <c r="U226" s="2961">
        <f t="shared" si="171"/>
        <v>1265456.1613532982</v>
      </c>
      <c r="V226" s="2961">
        <f t="shared" si="171"/>
        <v>1430545.9468069125</v>
      </c>
      <c r="W226" s="2961">
        <f t="shared" si="171"/>
        <v>1444851.4062749818</v>
      </c>
      <c r="X226" s="2961">
        <f t="shared" si="171"/>
        <v>1459299.9203377315</v>
      </c>
      <c r="Y226" s="2961">
        <f t="shared" si="171"/>
        <v>1473892.9195411087</v>
      </c>
      <c r="Z226" s="2961">
        <f t="shared" si="171"/>
        <v>1330007.1435432842</v>
      </c>
      <c r="AA226" s="2961">
        <f t="shared" si="171"/>
        <v>1343307.2149787168</v>
      </c>
      <c r="AB226" s="2961">
        <f t="shared" si="171"/>
        <v>1356740.2871285044</v>
      </c>
      <c r="AC226" s="2961">
        <f t="shared" si="171"/>
        <v>1370307.689999789</v>
      </c>
      <c r="AD226" s="2961">
        <f t="shared" si="171"/>
        <v>1384010.7668997874</v>
      </c>
      <c r="AE226" s="2961">
        <f t="shared" si="171"/>
        <v>1397850.8745687853</v>
      </c>
      <c r="AF226" s="2961">
        <f t="shared" si="171"/>
        <v>1411829.3833144731</v>
      </c>
      <c r="AG226" s="2961">
        <f t="shared" si="171"/>
        <v>1425947.6771476173</v>
      </c>
      <c r="AH226" s="2961">
        <f t="shared" si="171"/>
        <v>1440207.1539190938</v>
      </c>
      <c r="AI226" s="2961">
        <f t="shared" si="171"/>
        <v>1454609.2254582846</v>
      </c>
      <c r="AJ226" s="2961">
        <f t="shared" si="171"/>
        <v>1469155.3177128679</v>
      </c>
      <c r="AK226" s="2961">
        <f t="shared" si="171"/>
        <v>1048222.1014544009</v>
      </c>
      <c r="AL226" s="2961">
        <f t="shared" si="171"/>
        <v>1058704.3224689451</v>
      </c>
      <c r="AM226" s="2961">
        <f t="shared" si="171"/>
        <v>1069291.3656936346</v>
      </c>
      <c r="AN226" s="2961">
        <f t="shared" si="171"/>
        <v>1079984.2793505711</v>
      </c>
      <c r="AO226" s="2961">
        <f t="shared" si="171"/>
        <v>1090784.1221440765</v>
      </c>
      <c r="AP226" s="2961">
        <f t="shared" si="171"/>
        <v>1101691.9633655173</v>
      </c>
      <c r="AQ226" s="2961">
        <f t="shared" si="171"/>
        <v>1112708.8829991727</v>
      </c>
      <c r="AR226" s="2961">
        <f t="shared" si="171"/>
        <v>1123835.9718291643</v>
      </c>
      <c r="AS226" s="2961">
        <f t="shared" si="171"/>
        <v>1135074.3315474556</v>
      </c>
      <c r="AT226" s="2961">
        <f t="shared" si="171"/>
        <v>1146425.0748629307</v>
      </c>
      <c r="AU226" s="2961">
        <f t="shared" si="171"/>
        <v>1157889.3256115599</v>
      </c>
      <c r="AV226" s="2694">
        <v>0</v>
      </c>
      <c r="AW226" s="2998"/>
      <c r="AX226" s="2965"/>
      <c r="AY226" s="2774"/>
      <c r="AZ226" s="2774"/>
      <c r="BA226" s="2774"/>
      <c r="BB226" s="2774"/>
      <c r="BC226" s="2774"/>
      <c r="BD226" s="2774"/>
      <c r="BE226" s="2774"/>
      <c r="BF226" s="2774"/>
      <c r="BG226" s="2774"/>
      <c r="BI226" s="2730"/>
      <c r="BJ226" s="2730"/>
    </row>
    <row r="227" spans="1:62" ht="18" hidden="1" outlineLevel="1" thickBot="1">
      <c r="A227" s="2801" t="s">
        <v>4129</v>
      </c>
      <c r="B227" s="2808" t="s">
        <v>4037</v>
      </c>
      <c r="C227" s="2962">
        <v>450</v>
      </c>
      <c r="D227" s="2963"/>
      <c r="E227" s="2963"/>
      <c r="F227" s="2769">
        <v>300000</v>
      </c>
      <c r="G227" s="2769">
        <v>300000</v>
      </c>
      <c r="H227" s="2769">
        <f>$C$227*10^3*인력계획!H24</f>
        <v>450000</v>
      </c>
      <c r="I227" s="2769">
        <f>$C$227*10^3*인력계획!I24</f>
        <v>450000</v>
      </c>
      <c r="J227" s="2769">
        <f>$C$227*10^3*인력계획!J24</f>
        <v>450000</v>
      </c>
      <c r="K227" s="2769">
        <f>$C$227*10^3*인력계획!K24</f>
        <v>900000</v>
      </c>
      <c r="L227" s="2769">
        <f>$C$227*10^3*인력계획!L24</f>
        <v>900000</v>
      </c>
      <c r="M227" s="2769">
        <f>$C$227*10^3*인력계획!M24</f>
        <v>900000</v>
      </c>
      <c r="N227" s="2769">
        <f>$C$227*10^3*인력계획!N24</f>
        <v>900000</v>
      </c>
      <c r="O227" s="2769">
        <f>$C$227*10^3*인력계획!O24</f>
        <v>900000</v>
      </c>
      <c r="P227" s="2769">
        <f>$C$227*10^3*인력계획!P24</f>
        <v>900000</v>
      </c>
      <c r="Q227" s="2769">
        <f>$C$227*10^3*인력계획!Q24</f>
        <v>900000</v>
      </c>
      <c r="R227" s="2769">
        <f>$C$227*10^3*인력계획!R24</f>
        <v>900000</v>
      </c>
      <c r="S227" s="2769">
        <f>$C$227*10^3*인력계획!S24</f>
        <v>450000</v>
      </c>
      <c r="T227" s="2769">
        <f>$C$227*10^3*인력계획!T24</f>
        <v>450000</v>
      </c>
      <c r="U227" s="2769">
        <f>$C$227*10^3*인력계획!U24</f>
        <v>450000</v>
      </c>
      <c r="V227" s="2769">
        <f>$C$227*10^3*인력계획!V24</f>
        <v>900000</v>
      </c>
      <c r="W227" s="2769">
        <f>$C$227*10^3*인력계획!W24</f>
        <v>900000</v>
      </c>
      <c r="X227" s="2769">
        <f>$C$227*10^3*인력계획!X24</f>
        <v>900000</v>
      </c>
      <c r="Y227" s="2769">
        <f>$C$227*10^3*인력계획!Y24</f>
        <v>900000</v>
      </c>
      <c r="Z227" s="2769">
        <f>$C$227*10^3*인력계획!Z24</f>
        <v>450000</v>
      </c>
      <c r="AA227" s="2769">
        <f>$C$227*10^3*인력계획!AA24</f>
        <v>450000</v>
      </c>
      <c r="AB227" s="2769">
        <f>$C$227*10^3*인력계획!AB24</f>
        <v>450000</v>
      </c>
      <c r="AC227" s="2769">
        <f>$C$227*10^3*인력계획!AC24</f>
        <v>450000</v>
      </c>
      <c r="AD227" s="2769">
        <f>$C$227*10^3*인력계획!AD24</f>
        <v>450000</v>
      </c>
      <c r="AE227" s="2769">
        <f>$C$227*10^3*인력계획!AE24</f>
        <v>450000</v>
      </c>
      <c r="AF227" s="2769">
        <f>$C$227*10^3*인력계획!AF24</f>
        <v>450000</v>
      </c>
      <c r="AG227" s="2769">
        <f>$C$227*10^3*인력계획!AG24</f>
        <v>450000</v>
      </c>
      <c r="AH227" s="2769">
        <f>$C$227*10^3*인력계획!AH24</f>
        <v>450000</v>
      </c>
      <c r="AI227" s="2769">
        <f>$C$227*10^3*인력계획!AI24</f>
        <v>450000</v>
      </c>
      <c r="AJ227" s="2769">
        <f>$C$227*10^3*인력계획!AJ24</f>
        <v>450000</v>
      </c>
      <c r="AK227" s="2769">
        <f>$C$227*10^3*인력계획!AK24</f>
        <v>450000</v>
      </c>
      <c r="AL227" s="2769">
        <f>$C$227*10^3*인력계획!AL24</f>
        <v>450000</v>
      </c>
      <c r="AM227" s="2769">
        <f>$C$227*10^3*인력계획!AM24</f>
        <v>450000</v>
      </c>
      <c r="AN227" s="2769">
        <f>$C$227*10^3*인력계획!AN24</f>
        <v>450000</v>
      </c>
      <c r="AO227" s="2769">
        <f>$C$227*10^3*인력계획!AO24</f>
        <v>450000</v>
      </c>
      <c r="AP227" s="2769">
        <f>$C$227*10^3*인력계획!AP24</f>
        <v>450000</v>
      </c>
      <c r="AQ227" s="2769">
        <f>$C$227*10^3*인력계획!AQ24</f>
        <v>450000</v>
      </c>
      <c r="AR227" s="2769">
        <f>$C$227*10^3*인력계획!AR24</f>
        <v>450000</v>
      </c>
      <c r="AS227" s="2769">
        <f>$C$227*10^3*인력계획!AS24</f>
        <v>450000</v>
      </c>
      <c r="AT227" s="2769">
        <f>$C$227*10^3*인력계획!AT24</f>
        <v>450000</v>
      </c>
      <c r="AU227" s="2769">
        <f>$C$227*10^3*인력계획!AU24</f>
        <v>450000</v>
      </c>
      <c r="AV227" s="2694">
        <v>0</v>
      </c>
      <c r="AW227" s="2974"/>
      <c r="AX227" s="2965"/>
      <c r="AY227" s="2760"/>
      <c r="AZ227" s="2760"/>
      <c r="BA227" s="2760"/>
      <c r="BB227" s="2760"/>
      <c r="BC227" s="2760"/>
      <c r="BD227" s="2760"/>
      <c r="BE227" s="2760"/>
      <c r="BF227" s="2760"/>
      <c r="BG227" s="2760"/>
      <c r="BI227" s="2730"/>
      <c r="BJ227" s="2730"/>
    </row>
    <row r="228" spans="1:62" ht="18" hidden="1" outlineLevel="1" thickBot="1">
      <c r="A228" s="2801" t="s">
        <v>4130</v>
      </c>
      <c r="B228" s="2808" t="s">
        <v>4037</v>
      </c>
      <c r="D228" s="2963"/>
      <c r="E228" s="2963"/>
      <c r="F228" s="2769">
        <v>300000</v>
      </c>
      <c r="G228" s="2769">
        <v>300000</v>
      </c>
      <c r="H228" s="3001">
        <f>$C$229*10^3*인력계획!H25</f>
        <v>320000</v>
      </c>
      <c r="I228" s="3001">
        <f>$C$229*10^3*인력계획!I25</f>
        <v>320000</v>
      </c>
      <c r="J228" s="3001">
        <f>$C$229*10^3*인력계획!J25</f>
        <v>320000</v>
      </c>
      <c r="K228" s="3001">
        <f>$C$229*10^3*인력계획!K25</f>
        <v>0</v>
      </c>
      <c r="L228" s="3001">
        <f>$C$229*10^3*인력계획!L25</f>
        <v>0</v>
      </c>
      <c r="M228" s="3001">
        <f>$C$229*10^3*인력계획!M25</f>
        <v>0</v>
      </c>
      <c r="N228" s="3001">
        <f>$C$229*10^3*인력계획!N25</f>
        <v>0</v>
      </c>
      <c r="O228" s="3001">
        <f>$C$229*10^3*인력계획!O25</f>
        <v>0</v>
      </c>
      <c r="P228" s="3001">
        <f>$C$229*10^3*인력계획!P25</f>
        <v>0</v>
      </c>
      <c r="Q228" s="3001">
        <f>$C$229*10^3*인력계획!Q25</f>
        <v>320000</v>
      </c>
      <c r="R228" s="3001">
        <f>$C$229*10^3*인력계획!R25</f>
        <v>320000</v>
      </c>
      <c r="S228" s="3001">
        <f>$C$229*10^3*인력계획!S25</f>
        <v>320000</v>
      </c>
      <c r="T228" s="3001">
        <f>$C$229*10^3*인력계획!T25</f>
        <v>320000</v>
      </c>
      <c r="U228" s="3001">
        <f>$C$229*10^3*인력계획!U25</f>
        <v>320000</v>
      </c>
      <c r="V228" s="3001">
        <f>$C$229*10^3*인력계획!V25</f>
        <v>0</v>
      </c>
      <c r="W228" s="3001">
        <f>$C$229*10^3*인력계획!W25</f>
        <v>0</v>
      </c>
      <c r="X228" s="3001">
        <f>$C$229*10^3*인력계획!X25</f>
        <v>0</v>
      </c>
      <c r="Y228" s="3001">
        <f>$C$229*10^3*인력계획!Y25</f>
        <v>0</v>
      </c>
      <c r="Z228" s="3001">
        <f>$C$229*10^3*인력계획!Z25</f>
        <v>0</v>
      </c>
      <c r="AA228" s="3001">
        <f>$C$229*10^3*인력계획!AA25</f>
        <v>0</v>
      </c>
      <c r="AB228" s="3001">
        <f>$C$229*10^3*인력계획!AB25</f>
        <v>0</v>
      </c>
      <c r="AC228" s="3001">
        <f>$C$229*10^3*인력계획!AC25</f>
        <v>0</v>
      </c>
      <c r="AD228" s="3001">
        <f>$C$229*10^3*인력계획!AD25</f>
        <v>0</v>
      </c>
      <c r="AE228" s="3001">
        <f>$C$229*10^3*인력계획!AE25</f>
        <v>0</v>
      </c>
      <c r="AF228" s="3001">
        <f>$C$229*10^3*인력계획!AF25</f>
        <v>320000</v>
      </c>
      <c r="AG228" s="3001">
        <f>$C$229*10^3*인력계획!AG25</f>
        <v>320000</v>
      </c>
      <c r="AH228" s="3001">
        <f>$C$229*10^3*인력계획!AH25</f>
        <v>320000</v>
      </c>
      <c r="AI228" s="3001">
        <f>$C$229*10^3*인력계획!AI25</f>
        <v>320000</v>
      </c>
      <c r="AJ228" s="3001">
        <f>$C$229*10^3*인력계획!AJ25</f>
        <v>320000</v>
      </c>
      <c r="AK228" s="3001">
        <f>$C$229*10^3*인력계획!AK25</f>
        <v>0</v>
      </c>
      <c r="AL228" s="3001">
        <f>$C$229*10^3*인력계획!AL25</f>
        <v>0</v>
      </c>
      <c r="AM228" s="3001">
        <f>$C$229*10^3*인력계획!AM25</f>
        <v>320000</v>
      </c>
      <c r="AN228" s="3001">
        <f>$C$229*10^3*인력계획!AN25</f>
        <v>320000</v>
      </c>
      <c r="AO228" s="3001">
        <f>$C$229*10^3*인력계획!AO25</f>
        <v>320000</v>
      </c>
      <c r="AP228" s="3001">
        <f>$C$229*10^3*인력계획!AP25</f>
        <v>320000</v>
      </c>
      <c r="AQ228" s="3001">
        <f>$C$229*10^3*인력계획!AQ25</f>
        <v>320000</v>
      </c>
      <c r="AR228" s="3001">
        <f>$C$229*10^3*인력계획!AR25</f>
        <v>320000</v>
      </c>
      <c r="AS228" s="3001">
        <f>$C$229*10^3*인력계획!AS25</f>
        <v>320000</v>
      </c>
      <c r="AT228" s="3001">
        <f>$C$229*10^3*인력계획!AT25</f>
        <v>320000</v>
      </c>
      <c r="AU228" s="3001">
        <f>$C$229*10^3*인력계획!AU25</f>
        <v>320000</v>
      </c>
      <c r="AV228" s="2694">
        <v>0</v>
      </c>
      <c r="AW228" s="2809"/>
      <c r="AX228" s="2965"/>
      <c r="AY228" s="2760"/>
      <c r="AZ228" s="2760"/>
      <c r="BA228" s="2760"/>
      <c r="BB228" s="2760"/>
      <c r="BC228" s="2760"/>
      <c r="BD228" s="2760"/>
      <c r="BE228" s="2760"/>
      <c r="BF228" s="2760"/>
      <c r="BG228" s="2760"/>
      <c r="BI228" s="2730"/>
      <c r="BJ228" s="2730"/>
    </row>
    <row r="229" spans="1:62" ht="18" hidden="1" outlineLevel="1" thickBot="1">
      <c r="A229" s="2801" t="s">
        <v>4131</v>
      </c>
      <c r="B229" s="2808" t="s">
        <v>4040</v>
      </c>
      <c r="C229" s="2962">
        <v>320</v>
      </c>
      <c r="D229" s="2963"/>
      <c r="E229" s="2963"/>
      <c r="F229" s="3001"/>
      <c r="G229" s="3001"/>
      <c r="H229" s="3001">
        <f>$C$229*10^3*인력계획!H26</f>
        <v>0</v>
      </c>
      <c r="I229" s="3001">
        <f>$C$229*10^3*인력계획!I26</f>
        <v>0</v>
      </c>
      <c r="J229" s="3001">
        <f>$C$229*10^3*인력계획!J26</f>
        <v>0</v>
      </c>
      <c r="K229" s="3001">
        <f>$C$229*10^3*인력계획!K26</f>
        <v>0</v>
      </c>
      <c r="L229" s="3001">
        <f>$C$229*10^3*인력계획!L26</f>
        <v>320000</v>
      </c>
      <c r="M229" s="3001">
        <f>$C$229*10^3*인력계획!M26</f>
        <v>320000</v>
      </c>
      <c r="N229" s="3001">
        <f>$C$229*10^3*인력계획!N26</f>
        <v>320000</v>
      </c>
      <c r="O229" s="3001">
        <f>$C$229*10^3*인력계획!O26</f>
        <v>320000</v>
      </c>
      <c r="P229" s="3001">
        <f>$C$229*10^3*인력계획!P26</f>
        <v>320000</v>
      </c>
      <c r="Q229" s="3001">
        <f>$C$229*10^3*인력계획!Q26</f>
        <v>0</v>
      </c>
      <c r="R229" s="3001">
        <f>$C$229*10^3*인력계획!R26</f>
        <v>0</v>
      </c>
      <c r="S229" s="3001">
        <f>$C$229*10^3*인력계획!S26</f>
        <v>0</v>
      </c>
      <c r="T229" s="3001">
        <f>$C$229*10^3*인력계획!T26</f>
        <v>0</v>
      </c>
      <c r="U229" s="3001">
        <f>$C$229*10^3*인력계획!U26</f>
        <v>0</v>
      </c>
      <c r="V229" s="3001">
        <f>$C$229*10^3*인력계획!V26</f>
        <v>0</v>
      </c>
      <c r="W229" s="3001">
        <f>$C$229*10^3*인력계획!W26</f>
        <v>0</v>
      </c>
      <c r="X229" s="3001">
        <f>$C$229*10^3*인력계획!X26</f>
        <v>0</v>
      </c>
      <c r="Y229" s="3001">
        <f>$C$229*10^3*인력계획!Y26</f>
        <v>0</v>
      </c>
      <c r="Z229" s="3001">
        <f>$C$229*10^3*인력계획!Z26</f>
        <v>0</v>
      </c>
      <c r="AA229" s="3001">
        <f>$C$229*10^3*인력계획!AA26</f>
        <v>320000</v>
      </c>
      <c r="AB229" s="3001">
        <f>$C$229*10^3*인력계획!AB26</f>
        <v>320000</v>
      </c>
      <c r="AC229" s="3001">
        <f>$C$229*10^3*인력계획!AC26</f>
        <v>320000</v>
      </c>
      <c r="AD229" s="3001">
        <f>$C$229*10^3*인력계획!AD26</f>
        <v>320000</v>
      </c>
      <c r="AE229" s="3001">
        <f>$C$229*10^3*인력계획!AE26</f>
        <v>320000</v>
      </c>
      <c r="AF229" s="3001">
        <f>$C$229*10^3*인력계획!AF26</f>
        <v>0</v>
      </c>
      <c r="AG229" s="3001">
        <f>$C$229*10^3*인력계획!AG26</f>
        <v>0</v>
      </c>
      <c r="AH229" s="3001">
        <f>$C$229*10^3*인력계획!AH26</f>
        <v>320000</v>
      </c>
      <c r="AI229" s="3001">
        <f>$C$229*10^3*인력계획!AI26</f>
        <v>320000</v>
      </c>
      <c r="AJ229" s="3001">
        <f>$C$229*10^3*인력계획!AJ26</f>
        <v>320000</v>
      </c>
      <c r="AK229" s="3001">
        <f>$C$229*10^3*인력계획!AK26</f>
        <v>320000</v>
      </c>
      <c r="AL229" s="3001">
        <f>$C$229*10^3*인력계획!AL26</f>
        <v>320000</v>
      </c>
      <c r="AM229" s="3001">
        <f>$C$229*10^3*인력계획!AM26</f>
        <v>0</v>
      </c>
      <c r="AN229" s="3001">
        <f>$C$229*10^3*인력계획!AN26</f>
        <v>0</v>
      </c>
      <c r="AO229" s="3001">
        <f>$C$229*10^3*인력계획!AO26</f>
        <v>0</v>
      </c>
      <c r="AP229" s="3001">
        <f>$C$229*10^3*인력계획!AP26</f>
        <v>0</v>
      </c>
      <c r="AQ229" s="3001">
        <f>$C$229*10^3*인력계획!AQ26</f>
        <v>0</v>
      </c>
      <c r="AR229" s="3001">
        <f>$C$229*10^3*인력계획!AR26</f>
        <v>0</v>
      </c>
      <c r="AS229" s="3001">
        <f>$C$229*10^3*인력계획!AS26</f>
        <v>0</v>
      </c>
      <c r="AT229" s="3001">
        <f>$C$229*10^3*인력계획!AT26</f>
        <v>0</v>
      </c>
      <c r="AU229" s="3001">
        <f>$C$229*10^3*인력계획!AU26</f>
        <v>0</v>
      </c>
      <c r="AV229" s="2694">
        <v>0</v>
      </c>
      <c r="AW229" s="2809"/>
      <c r="AX229" s="2965"/>
      <c r="AY229" s="2760"/>
      <c r="AZ229" s="2760"/>
      <c r="BA229" s="2760"/>
      <c r="BB229" s="2760"/>
      <c r="BC229" s="2760"/>
      <c r="BD229" s="2760"/>
      <c r="BE229" s="2760"/>
      <c r="BF229" s="2760"/>
      <c r="BG229" s="2760"/>
      <c r="BI229" s="2730"/>
      <c r="BJ229" s="2730"/>
    </row>
    <row r="230" spans="1:62" ht="18" hidden="1" outlineLevel="1" thickBot="1">
      <c r="A230" s="2801" t="s">
        <v>4058</v>
      </c>
      <c r="B230" s="2808" t="s">
        <v>4040</v>
      </c>
      <c r="C230" s="2962"/>
      <c r="D230" s="2963"/>
      <c r="E230" s="2963"/>
      <c r="F230" s="3001"/>
      <c r="G230" s="3001"/>
      <c r="H230" s="3001">
        <f>$C$229*10^3*인력계획!H27</f>
        <v>320000</v>
      </c>
      <c r="I230" s="3001">
        <f>$C$229*10^3*인력계획!I27</f>
        <v>320000</v>
      </c>
      <c r="J230" s="3001">
        <f>$C$229*10^3*인력계획!J27</f>
        <v>320000</v>
      </c>
      <c r="K230" s="3001">
        <f>$C$229*10^3*인력계획!K27</f>
        <v>320000</v>
      </c>
      <c r="L230" s="3001">
        <f>$C$229*10^3*인력계획!L27</f>
        <v>0</v>
      </c>
      <c r="M230" s="3001">
        <f>$C$229*10^3*인력계획!M27</f>
        <v>0</v>
      </c>
      <c r="N230" s="3001">
        <f>$C$229*10^3*인력계획!N27</f>
        <v>0</v>
      </c>
      <c r="O230" s="3001">
        <f>$C$229*10^3*인력계획!O27</f>
        <v>0</v>
      </c>
      <c r="P230" s="3001">
        <f>$C$229*10^3*인력계획!P27</f>
        <v>0</v>
      </c>
      <c r="Q230" s="3001">
        <f>$C$229*10^3*인력계획!Q27</f>
        <v>0</v>
      </c>
      <c r="R230" s="3001">
        <f>$C$229*10^3*인력계획!R27</f>
        <v>0</v>
      </c>
      <c r="S230" s="3001">
        <f>$C$229*10^3*인력계획!S27</f>
        <v>0</v>
      </c>
      <c r="T230" s="3001">
        <f>$C$229*10^3*인력계획!T27</f>
        <v>0</v>
      </c>
      <c r="U230" s="3001">
        <f>$C$229*10^3*인력계획!U27</f>
        <v>0</v>
      </c>
      <c r="V230" s="3001">
        <f>$C$229*10^3*인력계획!V27</f>
        <v>0</v>
      </c>
      <c r="W230" s="3001">
        <f>$C$229*10^3*인력계획!W27</f>
        <v>320000</v>
      </c>
      <c r="X230" s="3001">
        <f>$C$229*10^3*인력계획!X27</f>
        <v>320000</v>
      </c>
      <c r="Y230" s="3001">
        <f>$C$229*10^3*인력계획!Y27</f>
        <v>320000</v>
      </c>
      <c r="Z230" s="3001">
        <f>$C$229*10^3*인력계획!Z27</f>
        <v>320000</v>
      </c>
      <c r="AA230" s="3001">
        <f>$C$229*10^3*인력계획!AA27</f>
        <v>0</v>
      </c>
      <c r="AB230" s="3001">
        <f>$C$229*10^3*인력계획!AB27</f>
        <v>0</v>
      </c>
      <c r="AC230" s="3001">
        <f>$C$229*10^3*인력계획!AC27</f>
        <v>0</v>
      </c>
      <c r="AD230" s="3001">
        <f>$C$229*10^3*인력계획!AD27</f>
        <v>320000</v>
      </c>
      <c r="AE230" s="3001">
        <f>$C$229*10^3*인력계획!AE27</f>
        <v>320000</v>
      </c>
      <c r="AF230" s="3001">
        <f>$C$229*10^3*인력계획!AF27</f>
        <v>320000</v>
      </c>
      <c r="AG230" s="3001">
        <f>$C$229*10^3*인력계획!AG27</f>
        <v>320000</v>
      </c>
      <c r="AH230" s="3001">
        <f>$C$229*10^3*인력계획!AH27</f>
        <v>0</v>
      </c>
      <c r="AI230" s="3001">
        <f>$C$229*10^3*인력계획!AI27</f>
        <v>0</v>
      </c>
      <c r="AJ230" s="3001">
        <f>$C$229*10^3*인력계획!AJ27</f>
        <v>0</v>
      </c>
      <c r="AK230" s="3001">
        <f>$C$229*10^3*인력계획!AK27</f>
        <v>0</v>
      </c>
      <c r="AL230" s="3001">
        <f>$C$229*10^3*인력계획!AL27</f>
        <v>0</v>
      </c>
      <c r="AM230" s="3001">
        <f>$C$229*10^3*인력계획!AM27</f>
        <v>0</v>
      </c>
      <c r="AN230" s="3001">
        <f>$C$229*10^3*인력계획!AN27</f>
        <v>0</v>
      </c>
      <c r="AO230" s="3001">
        <f>$C$229*10^3*인력계획!AO27</f>
        <v>0</v>
      </c>
      <c r="AP230" s="3001">
        <f>$C$229*10^3*인력계획!AP27</f>
        <v>0</v>
      </c>
      <c r="AQ230" s="3001">
        <f>$C$229*10^3*인력계획!AQ27</f>
        <v>0</v>
      </c>
      <c r="AR230" s="3001">
        <f>$C$229*10^3*인력계획!AR27</f>
        <v>0</v>
      </c>
      <c r="AS230" s="3001">
        <f>$C$229*10^3*인력계획!AS27</f>
        <v>0</v>
      </c>
      <c r="AT230" s="3001">
        <f>$C$229*10^3*인력계획!AT27</f>
        <v>0</v>
      </c>
      <c r="AU230" s="3001">
        <f>$C$229*10^3*인력계획!AU27</f>
        <v>0</v>
      </c>
      <c r="AV230" s="2694">
        <v>0</v>
      </c>
      <c r="AW230" s="2809"/>
      <c r="AX230" s="2965"/>
      <c r="AY230" s="2760"/>
      <c r="AZ230" s="2760"/>
      <c r="BA230" s="2760"/>
      <c r="BB230" s="2760"/>
      <c r="BC230" s="2760"/>
      <c r="BD230" s="2760"/>
      <c r="BE230" s="2760"/>
      <c r="BF230" s="2760"/>
      <c r="BG230" s="2760"/>
      <c r="BI230" s="2730"/>
      <c r="BJ230" s="2730"/>
    </row>
    <row r="231" spans="1:62" ht="18" hidden="1" outlineLevel="1" thickBot="1">
      <c r="A231" s="2801" t="s">
        <v>4132</v>
      </c>
      <c r="B231" s="2808" t="s">
        <v>4040</v>
      </c>
      <c r="C231" s="2962"/>
      <c r="D231" s="2963"/>
      <c r="E231" s="2963"/>
      <c r="F231" s="2769">
        <v>300000</v>
      </c>
      <c r="G231" s="2769">
        <v>300000</v>
      </c>
      <c r="H231" s="3001">
        <f>$C$229*10^3*인력계획!H28</f>
        <v>0</v>
      </c>
      <c r="I231" s="3001">
        <f>$C$229*10^3*인력계획!I28</f>
        <v>0</v>
      </c>
      <c r="J231" s="3001">
        <f>$C$229*10^3*인력계획!J28</f>
        <v>0</v>
      </c>
      <c r="K231" s="3001">
        <f>$C$229*10^3*인력계획!K28</f>
        <v>0</v>
      </c>
      <c r="L231" s="3001">
        <f>$C$229*10^3*인력계획!L28</f>
        <v>0</v>
      </c>
      <c r="M231" s="3001">
        <f>$C$229*10^3*인력계획!M28</f>
        <v>0</v>
      </c>
      <c r="N231" s="3001">
        <f>$C$229*10^3*인력계획!N28</f>
        <v>0</v>
      </c>
      <c r="O231" s="3001">
        <f>$C$229*10^3*인력계획!O28</f>
        <v>0</v>
      </c>
      <c r="P231" s="3001">
        <f>$C$229*10^3*인력계획!P28</f>
        <v>0</v>
      </c>
      <c r="Q231" s="3001">
        <f>$C$229*10^3*인력계획!Q28</f>
        <v>0</v>
      </c>
      <c r="R231" s="3001">
        <f>$C$229*10^3*인력계획!R28</f>
        <v>0</v>
      </c>
      <c r="S231" s="3001">
        <f>$C$229*10^3*인력계획!S28</f>
        <v>320000</v>
      </c>
      <c r="T231" s="3001">
        <f>$C$229*10^3*인력계획!T28</f>
        <v>320000</v>
      </c>
      <c r="U231" s="3001">
        <f>$C$229*10^3*인력계획!U28</f>
        <v>320000</v>
      </c>
      <c r="V231" s="3001">
        <f>$C$229*10^3*인력계획!V28</f>
        <v>320000</v>
      </c>
      <c r="W231" s="3001">
        <f>$C$229*10^3*인력계획!W28</f>
        <v>0</v>
      </c>
      <c r="X231" s="3001">
        <f>$C$229*10^3*인력계획!X28</f>
        <v>0</v>
      </c>
      <c r="Y231" s="3001">
        <f>$C$229*10^3*인력계획!Y28</f>
        <v>0</v>
      </c>
      <c r="Z231" s="3001">
        <f>$C$229*10^3*인력계획!Z28</f>
        <v>320000</v>
      </c>
      <c r="AA231" s="3001">
        <f>$C$229*10^3*인력계획!AA28</f>
        <v>320000</v>
      </c>
      <c r="AB231" s="3001">
        <f>$C$229*10^3*인력계획!AB28</f>
        <v>320000</v>
      </c>
      <c r="AC231" s="3001">
        <f>$C$229*10^3*인력계획!AC28</f>
        <v>320000</v>
      </c>
      <c r="AD231" s="3001">
        <f>$C$229*10^3*인력계획!AD28</f>
        <v>0</v>
      </c>
      <c r="AE231" s="3001">
        <f>$C$229*10^3*인력계획!AE28</f>
        <v>0</v>
      </c>
      <c r="AF231" s="3001">
        <f>$C$229*10^3*인력계획!AF28</f>
        <v>0</v>
      </c>
      <c r="AG231" s="3001">
        <f>$C$229*10^3*인력계획!AG28</f>
        <v>0</v>
      </c>
      <c r="AH231" s="3001">
        <f>$C$229*10^3*인력계획!AH28</f>
        <v>0</v>
      </c>
      <c r="AI231" s="3001">
        <f>$C$229*10^3*인력계획!AI28</f>
        <v>0</v>
      </c>
      <c r="AJ231" s="3001">
        <f>$C$229*10^3*인력계획!AJ28</f>
        <v>0</v>
      </c>
      <c r="AK231" s="3001">
        <f>$C$229*10^3*인력계획!AK28</f>
        <v>0</v>
      </c>
      <c r="AL231" s="3001">
        <f>$C$229*10^3*인력계획!AL28</f>
        <v>0</v>
      </c>
      <c r="AM231" s="3001">
        <f>$C$229*10^3*인력계획!AM28</f>
        <v>0</v>
      </c>
      <c r="AN231" s="3001">
        <f>$C$229*10^3*인력계획!AN28</f>
        <v>0</v>
      </c>
      <c r="AO231" s="3001">
        <f>$C$229*10^3*인력계획!AO28</f>
        <v>0</v>
      </c>
      <c r="AP231" s="3001">
        <f>$C$229*10^3*인력계획!AP28</f>
        <v>0</v>
      </c>
      <c r="AQ231" s="3001">
        <f>$C$229*10^3*인력계획!AQ28</f>
        <v>0</v>
      </c>
      <c r="AR231" s="3001">
        <f>$C$229*10^3*인력계획!AR28</f>
        <v>0</v>
      </c>
      <c r="AS231" s="3001">
        <f>$C$229*10^3*인력계획!AS28</f>
        <v>0</v>
      </c>
      <c r="AT231" s="3001">
        <f>$C$229*10^3*인력계획!AT28</f>
        <v>0</v>
      </c>
      <c r="AU231" s="3001">
        <f>$C$229*10^3*인력계획!AU28</f>
        <v>0</v>
      </c>
      <c r="AV231" s="2694">
        <v>0</v>
      </c>
      <c r="AW231" s="2809"/>
      <c r="AX231" s="2965"/>
      <c r="AY231" s="2760"/>
      <c r="AZ231" s="2760"/>
      <c r="BA231" s="2760"/>
      <c r="BB231" s="2760"/>
      <c r="BC231" s="2760"/>
      <c r="BD231" s="2760"/>
      <c r="BE231" s="2760"/>
      <c r="BF231" s="2760"/>
      <c r="BG231" s="2760"/>
      <c r="BI231" s="2730"/>
      <c r="BJ231" s="2730"/>
    </row>
    <row r="232" spans="1:62" ht="18" hidden="1" outlineLevel="1" thickBot="1">
      <c r="A232" s="2773" t="s">
        <v>4045</v>
      </c>
      <c r="B232" s="3000"/>
      <c r="C232" s="2962"/>
      <c r="D232" s="2963">
        <v>1</v>
      </c>
      <c r="E232" s="2963"/>
      <c r="F232" s="3002"/>
      <c r="G232" s="3002">
        <v>200000</v>
      </c>
      <c r="H232" s="3002">
        <v>300000</v>
      </c>
      <c r="I232" s="3002">
        <f t="shared" ref="I232:X234" si="172">H232</f>
        <v>300000</v>
      </c>
      <c r="J232" s="3002">
        <f t="shared" si="172"/>
        <v>300000</v>
      </c>
      <c r="K232" s="3002">
        <f t="shared" si="172"/>
        <v>300000</v>
      </c>
      <c r="L232" s="3002">
        <f t="shared" si="172"/>
        <v>300000</v>
      </c>
      <c r="M232" s="3002">
        <f t="shared" si="172"/>
        <v>300000</v>
      </c>
      <c r="N232" s="3002">
        <f t="shared" si="172"/>
        <v>300000</v>
      </c>
      <c r="O232" s="3002">
        <f t="shared" si="172"/>
        <v>300000</v>
      </c>
      <c r="P232" s="3002">
        <f t="shared" si="172"/>
        <v>300000</v>
      </c>
      <c r="Q232" s="3002">
        <f t="shared" si="172"/>
        <v>300000</v>
      </c>
      <c r="R232" s="3002">
        <f t="shared" si="172"/>
        <v>300000</v>
      </c>
      <c r="S232" s="3002">
        <f t="shared" si="172"/>
        <v>300000</v>
      </c>
      <c r="T232" s="3002">
        <f t="shared" si="172"/>
        <v>300000</v>
      </c>
      <c r="U232" s="3002">
        <f t="shared" si="172"/>
        <v>300000</v>
      </c>
      <c r="V232" s="3002">
        <f t="shared" si="172"/>
        <v>300000</v>
      </c>
      <c r="W232" s="3002">
        <f t="shared" si="172"/>
        <v>300000</v>
      </c>
      <c r="X232" s="3002">
        <f t="shared" si="172"/>
        <v>300000</v>
      </c>
      <c r="Y232" s="3002">
        <f t="shared" ref="Y232:AN234" si="173">X232</f>
        <v>300000</v>
      </c>
      <c r="Z232" s="3002">
        <f t="shared" si="173"/>
        <v>300000</v>
      </c>
      <c r="AA232" s="3002">
        <f t="shared" si="173"/>
        <v>300000</v>
      </c>
      <c r="AB232" s="3002">
        <f t="shared" si="173"/>
        <v>300000</v>
      </c>
      <c r="AC232" s="3002">
        <f t="shared" si="173"/>
        <v>300000</v>
      </c>
      <c r="AD232" s="3002">
        <f t="shared" si="173"/>
        <v>300000</v>
      </c>
      <c r="AE232" s="3002">
        <f t="shared" si="173"/>
        <v>300000</v>
      </c>
      <c r="AF232" s="3002">
        <f t="shared" si="173"/>
        <v>300000</v>
      </c>
      <c r="AG232" s="3002">
        <f t="shared" si="173"/>
        <v>300000</v>
      </c>
      <c r="AH232" s="3002">
        <f t="shared" si="173"/>
        <v>300000</v>
      </c>
      <c r="AI232" s="3002">
        <f t="shared" si="173"/>
        <v>300000</v>
      </c>
      <c r="AJ232" s="3002">
        <f t="shared" si="173"/>
        <v>300000</v>
      </c>
      <c r="AK232" s="3002">
        <f t="shared" si="173"/>
        <v>300000</v>
      </c>
      <c r="AL232" s="3002">
        <f t="shared" si="173"/>
        <v>300000</v>
      </c>
      <c r="AM232" s="3002">
        <f t="shared" si="173"/>
        <v>300000</v>
      </c>
      <c r="AN232" s="3002">
        <f t="shared" si="173"/>
        <v>300000</v>
      </c>
      <c r="AO232" s="3002">
        <f t="shared" ref="AO232:AU234" si="174">AN232</f>
        <v>300000</v>
      </c>
      <c r="AP232" s="3002">
        <f t="shared" si="174"/>
        <v>300000</v>
      </c>
      <c r="AQ232" s="3002">
        <f t="shared" si="174"/>
        <v>300000</v>
      </c>
      <c r="AR232" s="3002">
        <f t="shared" si="174"/>
        <v>300000</v>
      </c>
      <c r="AS232" s="3002">
        <f t="shared" si="174"/>
        <v>300000</v>
      </c>
      <c r="AT232" s="3002">
        <f t="shared" si="174"/>
        <v>300000</v>
      </c>
      <c r="AU232" s="3002">
        <f t="shared" si="174"/>
        <v>300000</v>
      </c>
      <c r="AV232" s="2694">
        <v>0</v>
      </c>
      <c r="AW232" s="2809"/>
      <c r="AX232" s="2965"/>
      <c r="AY232" s="2774"/>
      <c r="AZ232" s="2774"/>
      <c r="BA232" s="2774"/>
      <c r="BB232" s="2774"/>
      <c r="BC232" s="2774"/>
      <c r="BD232" s="2774"/>
      <c r="BE232" s="2774"/>
      <c r="BF232" s="2774"/>
      <c r="BG232" s="2774"/>
      <c r="BI232" s="2730"/>
      <c r="BJ232" s="2730"/>
    </row>
    <row r="233" spans="1:62" ht="18" hidden="1" outlineLevel="1" thickBot="1">
      <c r="A233" s="2773" t="s">
        <v>4046</v>
      </c>
      <c r="B233" s="3000"/>
      <c r="C233" s="2962"/>
      <c r="D233" s="2963">
        <v>1</v>
      </c>
      <c r="E233" s="2963"/>
      <c r="F233" s="2961"/>
      <c r="G233" s="2967"/>
      <c r="H233" s="3003"/>
      <c r="I233" s="3003"/>
      <c r="J233" s="3003"/>
      <c r="K233" s="3003"/>
      <c r="L233" s="3003">
        <v>2000000</v>
      </c>
      <c r="M233" s="3003">
        <f>L233</f>
        <v>2000000</v>
      </c>
      <c r="N233" s="3003">
        <f>M233</f>
        <v>2000000</v>
      </c>
      <c r="O233" s="3003">
        <f>N233</f>
        <v>2000000</v>
      </c>
      <c r="P233" s="3003">
        <f t="shared" si="172"/>
        <v>2000000</v>
      </c>
      <c r="Q233" s="3003">
        <f t="shared" si="172"/>
        <v>2000000</v>
      </c>
      <c r="R233" s="3003">
        <f t="shared" si="172"/>
        <v>2000000</v>
      </c>
      <c r="S233" s="3003">
        <f t="shared" si="172"/>
        <v>2000000</v>
      </c>
      <c r="T233" s="3003">
        <f t="shared" si="172"/>
        <v>2000000</v>
      </c>
      <c r="U233" s="3003">
        <f t="shared" si="172"/>
        <v>2000000</v>
      </c>
      <c r="V233" s="3003">
        <f t="shared" si="172"/>
        <v>2000000</v>
      </c>
      <c r="W233" s="3003">
        <f t="shared" si="172"/>
        <v>2000000</v>
      </c>
      <c r="X233" s="3003">
        <f t="shared" si="172"/>
        <v>2000000</v>
      </c>
      <c r="Y233" s="3003">
        <f t="shared" si="173"/>
        <v>2000000</v>
      </c>
      <c r="Z233" s="3003">
        <f t="shared" si="173"/>
        <v>2000000</v>
      </c>
      <c r="AA233" s="3003">
        <f t="shared" si="173"/>
        <v>2000000</v>
      </c>
      <c r="AB233" s="3003">
        <f t="shared" si="173"/>
        <v>2000000</v>
      </c>
      <c r="AC233" s="3003">
        <f t="shared" si="173"/>
        <v>2000000</v>
      </c>
      <c r="AD233" s="3003">
        <f t="shared" si="173"/>
        <v>2000000</v>
      </c>
      <c r="AE233" s="3003">
        <f t="shared" si="173"/>
        <v>2000000</v>
      </c>
      <c r="AF233" s="3003">
        <f t="shared" si="173"/>
        <v>2000000</v>
      </c>
      <c r="AG233" s="3003">
        <f t="shared" si="173"/>
        <v>2000000</v>
      </c>
      <c r="AH233" s="3003">
        <f t="shared" si="173"/>
        <v>2000000</v>
      </c>
      <c r="AI233" s="3003">
        <f t="shared" si="173"/>
        <v>2000000</v>
      </c>
      <c r="AJ233" s="3003">
        <f t="shared" si="173"/>
        <v>2000000</v>
      </c>
      <c r="AK233" s="3003">
        <f t="shared" si="173"/>
        <v>2000000</v>
      </c>
      <c r="AL233" s="3003">
        <f t="shared" si="173"/>
        <v>2000000</v>
      </c>
      <c r="AM233" s="3003">
        <f t="shared" si="173"/>
        <v>2000000</v>
      </c>
      <c r="AN233" s="3003">
        <f t="shared" si="173"/>
        <v>2000000</v>
      </c>
      <c r="AO233" s="3003">
        <f t="shared" si="174"/>
        <v>2000000</v>
      </c>
      <c r="AP233" s="3003">
        <f t="shared" si="174"/>
        <v>2000000</v>
      </c>
      <c r="AQ233" s="3003">
        <f t="shared" si="174"/>
        <v>2000000</v>
      </c>
      <c r="AR233" s="3003">
        <f t="shared" si="174"/>
        <v>2000000</v>
      </c>
      <c r="AS233" s="3003">
        <f t="shared" si="174"/>
        <v>2000000</v>
      </c>
      <c r="AT233" s="3003">
        <f t="shared" si="174"/>
        <v>2000000</v>
      </c>
      <c r="AU233" s="3003">
        <f t="shared" si="174"/>
        <v>2000000</v>
      </c>
      <c r="AV233" s="2694">
        <v>0</v>
      </c>
      <c r="AW233" s="2974"/>
      <c r="AX233" s="2965"/>
      <c r="AY233" s="2774"/>
      <c r="AZ233" s="2774"/>
      <c r="BA233" s="2774"/>
      <c r="BB233" s="2774"/>
      <c r="BC233" s="2774"/>
      <c r="BD233" s="2774"/>
      <c r="BE233" s="2774"/>
      <c r="BF233" s="2774"/>
      <c r="BG233" s="2774"/>
      <c r="BI233" s="2730"/>
      <c r="BJ233" s="2730"/>
    </row>
    <row r="234" spans="1:62" ht="18" hidden="1" outlineLevel="1" thickBot="1">
      <c r="A234" s="2773" t="s">
        <v>4048</v>
      </c>
      <c r="B234" s="2826" t="s">
        <v>4260</v>
      </c>
      <c r="C234" s="2962"/>
      <c r="D234" s="2963">
        <v>1</v>
      </c>
      <c r="E234" s="2963"/>
      <c r="F234" s="2961"/>
      <c r="G234" s="2961"/>
      <c r="H234" s="2961">
        <v>1800000</v>
      </c>
      <c r="I234" s="2961">
        <f t="shared" ref="I234:O234" si="175">H234</f>
        <v>1800000</v>
      </c>
      <c r="J234" s="2961">
        <f t="shared" si="175"/>
        <v>1800000</v>
      </c>
      <c r="K234" s="2961">
        <f t="shared" si="175"/>
        <v>1800000</v>
      </c>
      <c r="L234" s="2961">
        <f t="shared" si="175"/>
        <v>1800000</v>
      </c>
      <c r="M234" s="2961">
        <f t="shared" si="175"/>
        <v>1800000</v>
      </c>
      <c r="N234" s="2961">
        <f t="shared" si="175"/>
        <v>1800000</v>
      </c>
      <c r="O234" s="2961">
        <f t="shared" si="175"/>
        <v>1800000</v>
      </c>
      <c r="P234" s="2961">
        <f t="shared" si="172"/>
        <v>1800000</v>
      </c>
      <c r="Q234" s="2961">
        <f t="shared" si="172"/>
        <v>1800000</v>
      </c>
      <c r="R234" s="2961">
        <f t="shared" si="172"/>
        <v>1800000</v>
      </c>
      <c r="S234" s="2961">
        <f t="shared" si="172"/>
        <v>1800000</v>
      </c>
      <c r="T234" s="2961">
        <f t="shared" si="172"/>
        <v>1800000</v>
      </c>
      <c r="U234" s="2961">
        <f t="shared" si="172"/>
        <v>1800000</v>
      </c>
      <c r="V234" s="2961">
        <f t="shared" si="172"/>
        <v>1800000</v>
      </c>
      <c r="W234" s="2961">
        <f t="shared" si="172"/>
        <v>1800000</v>
      </c>
      <c r="X234" s="2961">
        <f t="shared" si="172"/>
        <v>1800000</v>
      </c>
      <c r="Y234" s="2961">
        <f t="shared" si="173"/>
        <v>1800000</v>
      </c>
      <c r="Z234" s="2961">
        <f t="shared" si="173"/>
        <v>1800000</v>
      </c>
      <c r="AA234" s="2961">
        <f t="shared" si="173"/>
        <v>1800000</v>
      </c>
      <c r="AB234" s="2961">
        <f t="shared" si="173"/>
        <v>1800000</v>
      </c>
      <c r="AC234" s="2961">
        <f t="shared" si="173"/>
        <v>1800000</v>
      </c>
      <c r="AD234" s="2961">
        <f t="shared" si="173"/>
        <v>1800000</v>
      </c>
      <c r="AE234" s="2961">
        <f t="shared" si="173"/>
        <v>1800000</v>
      </c>
      <c r="AF234" s="2961">
        <f t="shared" si="173"/>
        <v>1800000</v>
      </c>
      <c r="AG234" s="2961">
        <f t="shared" si="173"/>
        <v>1800000</v>
      </c>
      <c r="AH234" s="2961">
        <f t="shared" si="173"/>
        <v>1800000</v>
      </c>
      <c r="AI234" s="2961">
        <f t="shared" si="173"/>
        <v>1800000</v>
      </c>
      <c r="AJ234" s="2961">
        <f t="shared" si="173"/>
        <v>1800000</v>
      </c>
      <c r="AK234" s="2961">
        <f t="shared" si="173"/>
        <v>1800000</v>
      </c>
      <c r="AL234" s="2961">
        <f t="shared" si="173"/>
        <v>1800000</v>
      </c>
      <c r="AM234" s="2961">
        <f t="shared" si="173"/>
        <v>1800000</v>
      </c>
      <c r="AN234" s="2961">
        <f t="shared" si="173"/>
        <v>1800000</v>
      </c>
      <c r="AO234" s="2961">
        <f t="shared" si="174"/>
        <v>1800000</v>
      </c>
      <c r="AP234" s="2961">
        <f t="shared" si="174"/>
        <v>1800000</v>
      </c>
      <c r="AQ234" s="2961">
        <f t="shared" si="174"/>
        <v>1800000</v>
      </c>
      <c r="AR234" s="2961">
        <f t="shared" si="174"/>
        <v>1800000</v>
      </c>
      <c r="AS234" s="2961">
        <f t="shared" si="174"/>
        <v>1800000</v>
      </c>
      <c r="AT234" s="2961">
        <f t="shared" si="174"/>
        <v>1800000</v>
      </c>
      <c r="AU234" s="2961">
        <f t="shared" si="174"/>
        <v>1800000</v>
      </c>
      <c r="AV234" s="2694">
        <v>0</v>
      </c>
      <c r="AW234" s="2974"/>
      <c r="AX234" s="2965"/>
      <c r="AY234" s="2774"/>
      <c r="AZ234" s="2774"/>
      <c r="BA234" s="2774"/>
      <c r="BB234" s="2774"/>
      <c r="BC234" s="2774"/>
      <c r="BD234" s="2774"/>
      <c r="BE234" s="2774"/>
      <c r="BF234" s="2774"/>
      <c r="BG234" s="2774"/>
      <c r="BI234" s="2730"/>
      <c r="BJ234" s="2730"/>
    </row>
    <row r="235" spans="1:62" ht="18" hidden="1" outlineLevel="1" thickBot="1">
      <c r="A235" s="2773" t="s">
        <v>4050</v>
      </c>
      <c r="B235" s="2826" t="s">
        <v>4134</v>
      </c>
      <c r="C235" s="3004">
        <v>100</v>
      </c>
      <c r="D235" s="3005">
        <v>1</v>
      </c>
      <c r="E235" s="3005"/>
      <c r="F235" s="2765">
        <v>1482500</v>
      </c>
      <c r="G235" s="2765">
        <v>2400000</v>
      </c>
      <c r="H235" s="2766">
        <v>3600000</v>
      </c>
      <c r="I235" s="2766">
        <f t="shared" ref="I235:AU235" si="176">H235+$C$235*1000</f>
        <v>3700000</v>
      </c>
      <c r="J235" s="2766">
        <f t="shared" si="176"/>
        <v>3800000</v>
      </c>
      <c r="K235" s="2766">
        <f t="shared" si="176"/>
        <v>3900000</v>
      </c>
      <c r="L235" s="2766">
        <f t="shared" si="176"/>
        <v>4000000</v>
      </c>
      <c r="M235" s="2766">
        <f t="shared" si="176"/>
        <v>4100000</v>
      </c>
      <c r="N235" s="2766">
        <f t="shared" si="176"/>
        <v>4200000</v>
      </c>
      <c r="O235" s="2766">
        <f t="shared" si="176"/>
        <v>4300000</v>
      </c>
      <c r="P235" s="2766">
        <f t="shared" si="176"/>
        <v>4400000</v>
      </c>
      <c r="Q235" s="2766">
        <f t="shared" si="176"/>
        <v>4500000</v>
      </c>
      <c r="R235" s="2766">
        <f t="shared" si="176"/>
        <v>4600000</v>
      </c>
      <c r="S235" s="2766">
        <f t="shared" si="176"/>
        <v>4700000</v>
      </c>
      <c r="T235" s="2766">
        <f t="shared" si="176"/>
        <v>4800000</v>
      </c>
      <c r="U235" s="2766">
        <f t="shared" si="176"/>
        <v>4900000</v>
      </c>
      <c r="V235" s="2766">
        <f t="shared" si="176"/>
        <v>5000000</v>
      </c>
      <c r="W235" s="2766">
        <f t="shared" si="176"/>
        <v>5100000</v>
      </c>
      <c r="X235" s="2766">
        <f t="shared" si="176"/>
        <v>5200000</v>
      </c>
      <c r="Y235" s="2766">
        <f t="shared" si="176"/>
        <v>5300000</v>
      </c>
      <c r="Z235" s="2766">
        <f t="shared" si="176"/>
        <v>5400000</v>
      </c>
      <c r="AA235" s="2766">
        <f t="shared" si="176"/>
        <v>5500000</v>
      </c>
      <c r="AB235" s="2766">
        <f t="shared" si="176"/>
        <v>5600000</v>
      </c>
      <c r="AC235" s="2766">
        <f t="shared" si="176"/>
        <v>5700000</v>
      </c>
      <c r="AD235" s="2766">
        <f t="shared" si="176"/>
        <v>5800000</v>
      </c>
      <c r="AE235" s="2766">
        <f t="shared" si="176"/>
        <v>5900000</v>
      </c>
      <c r="AF235" s="2766">
        <f t="shared" si="176"/>
        <v>6000000</v>
      </c>
      <c r="AG235" s="2766">
        <f t="shared" si="176"/>
        <v>6100000</v>
      </c>
      <c r="AH235" s="2766">
        <f t="shared" si="176"/>
        <v>6200000</v>
      </c>
      <c r="AI235" s="2766">
        <f t="shared" si="176"/>
        <v>6300000</v>
      </c>
      <c r="AJ235" s="2766">
        <f t="shared" si="176"/>
        <v>6400000</v>
      </c>
      <c r="AK235" s="2766">
        <f t="shared" si="176"/>
        <v>6500000</v>
      </c>
      <c r="AL235" s="2766">
        <f t="shared" si="176"/>
        <v>6600000</v>
      </c>
      <c r="AM235" s="2766">
        <f t="shared" si="176"/>
        <v>6700000</v>
      </c>
      <c r="AN235" s="2766">
        <f t="shared" si="176"/>
        <v>6800000</v>
      </c>
      <c r="AO235" s="2766">
        <f t="shared" si="176"/>
        <v>6900000</v>
      </c>
      <c r="AP235" s="2766">
        <f t="shared" si="176"/>
        <v>7000000</v>
      </c>
      <c r="AQ235" s="2766">
        <f t="shared" si="176"/>
        <v>7100000</v>
      </c>
      <c r="AR235" s="2766">
        <f t="shared" si="176"/>
        <v>7200000</v>
      </c>
      <c r="AS235" s="2766">
        <f t="shared" si="176"/>
        <v>7300000</v>
      </c>
      <c r="AT235" s="2766">
        <f t="shared" si="176"/>
        <v>7400000</v>
      </c>
      <c r="AU235" s="2766">
        <f t="shared" si="176"/>
        <v>7500000</v>
      </c>
      <c r="AV235" s="2694">
        <v>0</v>
      </c>
      <c r="AW235" s="2809"/>
      <c r="AX235" s="3006"/>
      <c r="AY235" s="2774"/>
      <c r="AZ235" s="2774"/>
      <c r="BA235" s="2774"/>
      <c r="BB235" s="2774"/>
      <c r="BC235" s="2774"/>
      <c r="BD235" s="2774"/>
      <c r="BE235" s="2774"/>
      <c r="BF235" s="2774"/>
      <c r="BG235" s="2774"/>
      <c r="BI235" s="2730"/>
      <c r="BJ235" s="2730"/>
    </row>
    <row r="236" spans="1:62" ht="18" hidden="1" outlineLevel="1" thickBot="1">
      <c r="A236" s="2773" t="s">
        <v>4261</v>
      </c>
      <c r="B236" s="2887"/>
      <c r="C236" s="2962"/>
      <c r="D236" s="2963">
        <v>1</v>
      </c>
      <c r="E236" s="2963"/>
      <c r="F236" s="2961">
        <f>SUM(F237:F239)</f>
        <v>1800000</v>
      </c>
      <c r="G236" s="2961">
        <f t="shared" ref="G236:AU236" si="177">SUM(G237:G239)</f>
        <v>1800000</v>
      </c>
      <c r="H236" s="2961">
        <f t="shared" si="177"/>
        <v>3720000</v>
      </c>
      <c r="I236" s="2961">
        <f t="shared" si="177"/>
        <v>3720000</v>
      </c>
      <c r="J236" s="2961">
        <f t="shared" si="177"/>
        <v>4020000</v>
      </c>
      <c r="K236" s="2961">
        <f t="shared" si="177"/>
        <v>4020000</v>
      </c>
      <c r="L236" s="2961">
        <f t="shared" si="177"/>
        <v>4020000</v>
      </c>
      <c r="M236" s="2961">
        <f t="shared" si="177"/>
        <v>4020000</v>
      </c>
      <c r="N236" s="2961">
        <f t="shared" si="177"/>
        <v>4320000</v>
      </c>
      <c r="O236" s="2961">
        <f t="shared" si="177"/>
        <v>4320000</v>
      </c>
      <c r="P236" s="2961">
        <f t="shared" si="177"/>
        <v>4320000</v>
      </c>
      <c r="Q236" s="2961">
        <f t="shared" si="177"/>
        <v>4320000</v>
      </c>
      <c r="R236" s="2961">
        <f t="shared" si="177"/>
        <v>4620000</v>
      </c>
      <c r="S236" s="2961">
        <f t="shared" si="177"/>
        <v>4620000</v>
      </c>
      <c r="T236" s="2961">
        <f t="shared" si="177"/>
        <v>4620000</v>
      </c>
      <c r="U236" s="2961">
        <f t="shared" si="177"/>
        <v>4620000</v>
      </c>
      <c r="V236" s="2961">
        <f t="shared" si="177"/>
        <v>4920000</v>
      </c>
      <c r="W236" s="2961">
        <f t="shared" si="177"/>
        <v>4920000</v>
      </c>
      <c r="X236" s="2961">
        <f t="shared" si="177"/>
        <v>4920000</v>
      </c>
      <c r="Y236" s="2961">
        <f t="shared" si="177"/>
        <v>4920000</v>
      </c>
      <c r="Z236" s="2961">
        <f t="shared" si="177"/>
        <v>5220000</v>
      </c>
      <c r="AA236" s="2961">
        <f t="shared" si="177"/>
        <v>5220000</v>
      </c>
      <c r="AB236" s="2961">
        <f t="shared" si="177"/>
        <v>5220000</v>
      </c>
      <c r="AC236" s="2961">
        <f t="shared" si="177"/>
        <v>5220000</v>
      </c>
      <c r="AD236" s="2961">
        <f t="shared" si="177"/>
        <v>5520000</v>
      </c>
      <c r="AE236" s="2961">
        <f t="shared" si="177"/>
        <v>5520000</v>
      </c>
      <c r="AF236" s="2961">
        <f t="shared" si="177"/>
        <v>5520000</v>
      </c>
      <c r="AG236" s="2961">
        <f t="shared" si="177"/>
        <v>5520000</v>
      </c>
      <c r="AH236" s="2961">
        <f t="shared" si="177"/>
        <v>5820000</v>
      </c>
      <c r="AI236" s="2961">
        <f t="shared" si="177"/>
        <v>5820000</v>
      </c>
      <c r="AJ236" s="2961">
        <f t="shared" si="177"/>
        <v>5820000</v>
      </c>
      <c r="AK236" s="2961">
        <f t="shared" si="177"/>
        <v>5820000</v>
      </c>
      <c r="AL236" s="2961">
        <f t="shared" si="177"/>
        <v>6120000</v>
      </c>
      <c r="AM236" s="2961">
        <f t="shared" si="177"/>
        <v>6120000</v>
      </c>
      <c r="AN236" s="2961">
        <f t="shared" si="177"/>
        <v>6120000</v>
      </c>
      <c r="AO236" s="2961">
        <f t="shared" si="177"/>
        <v>6120000</v>
      </c>
      <c r="AP236" s="2961">
        <f t="shared" si="177"/>
        <v>6420000</v>
      </c>
      <c r="AQ236" s="2961">
        <f t="shared" si="177"/>
        <v>6420000</v>
      </c>
      <c r="AR236" s="2961">
        <f t="shared" si="177"/>
        <v>6420000</v>
      </c>
      <c r="AS236" s="2961">
        <f t="shared" si="177"/>
        <v>6420000</v>
      </c>
      <c r="AT236" s="2961">
        <f t="shared" si="177"/>
        <v>6720000</v>
      </c>
      <c r="AU236" s="2961">
        <f t="shared" si="177"/>
        <v>6720000</v>
      </c>
      <c r="AV236" s="2694">
        <v>0</v>
      </c>
      <c r="AW236" s="2809"/>
      <c r="AX236" s="2965"/>
      <c r="AY236" s="2774"/>
      <c r="AZ236" s="2774"/>
      <c r="BA236" s="2774"/>
      <c r="BB236" s="2774"/>
      <c r="BC236" s="2774"/>
      <c r="BD236" s="2774"/>
      <c r="BE236" s="2774"/>
      <c r="BF236" s="2774"/>
      <c r="BG236" s="2774"/>
      <c r="BI236" s="2730"/>
      <c r="BJ236" s="2730"/>
    </row>
    <row r="237" spans="1:62" ht="18" hidden="1" outlineLevel="1" thickBot="1">
      <c r="A237" s="2801" t="s">
        <v>4262</v>
      </c>
      <c r="B237" s="2802" t="s">
        <v>4057</v>
      </c>
      <c r="C237" s="2962"/>
      <c r="D237" s="2963"/>
      <c r="E237" s="2963"/>
      <c r="F237" s="2769">
        <f t="shared" ref="F237:G239" si="178">50000*12</f>
        <v>600000</v>
      </c>
      <c r="G237" s="2769">
        <f t="shared" si="178"/>
        <v>600000</v>
      </c>
      <c r="H237" s="2770">
        <f>150000*12</f>
        <v>1800000</v>
      </c>
      <c r="I237" s="2770">
        <f>H237</f>
        <v>1800000</v>
      </c>
      <c r="J237" s="2770">
        <f>I237+100000</f>
        <v>1900000</v>
      </c>
      <c r="K237" s="2770">
        <f t="shared" ref="K237:M239" si="179">J237</f>
        <v>1900000</v>
      </c>
      <c r="L237" s="2770">
        <f t="shared" si="179"/>
        <v>1900000</v>
      </c>
      <c r="M237" s="2770">
        <f t="shared" si="179"/>
        <v>1900000</v>
      </c>
      <c r="N237" s="2770">
        <f>M237+100000</f>
        <v>2000000</v>
      </c>
      <c r="O237" s="2770">
        <f t="shared" ref="O237:Q239" si="180">N237</f>
        <v>2000000</v>
      </c>
      <c r="P237" s="2770">
        <f t="shared" si="180"/>
        <v>2000000</v>
      </c>
      <c r="Q237" s="2770">
        <f t="shared" si="180"/>
        <v>2000000</v>
      </c>
      <c r="R237" s="2770">
        <f>Q237+100000</f>
        <v>2100000</v>
      </c>
      <c r="S237" s="2770">
        <f t="shared" ref="S237:U239" si="181">R237</f>
        <v>2100000</v>
      </c>
      <c r="T237" s="2770">
        <f t="shared" si="181"/>
        <v>2100000</v>
      </c>
      <c r="U237" s="2770">
        <f t="shared" si="181"/>
        <v>2100000</v>
      </c>
      <c r="V237" s="2770">
        <f>U237+100000</f>
        <v>2200000</v>
      </c>
      <c r="W237" s="2770">
        <f t="shared" ref="W237:Y239" si="182">V237</f>
        <v>2200000</v>
      </c>
      <c r="X237" s="2770">
        <f t="shared" si="182"/>
        <v>2200000</v>
      </c>
      <c r="Y237" s="2770">
        <f t="shared" si="182"/>
        <v>2200000</v>
      </c>
      <c r="Z237" s="2770">
        <f>Y237+100000</f>
        <v>2300000</v>
      </c>
      <c r="AA237" s="2770">
        <f t="shared" ref="AA237:AC239" si="183">Z237</f>
        <v>2300000</v>
      </c>
      <c r="AB237" s="2770">
        <f t="shared" si="183"/>
        <v>2300000</v>
      </c>
      <c r="AC237" s="2770">
        <f t="shared" si="183"/>
        <v>2300000</v>
      </c>
      <c r="AD237" s="2770">
        <f>AC237+100000</f>
        <v>2400000</v>
      </c>
      <c r="AE237" s="2770">
        <f t="shared" ref="AE237:AG239" si="184">AD237</f>
        <v>2400000</v>
      </c>
      <c r="AF237" s="2770">
        <f t="shared" si="184"/>
        <v>2400000</v>
      </c>
      <c r="AG237" s="2770">
        <f t="shared" si="184"/>
        <v>2400000</v>
      </c>
      <c r="AH237" s="2770">
        <f>AG237+100000</f>
        <v>2500000</v>
      </c>
      <c r="AI237" s="2770">
        <f t="shared" ref="AI237:AK239" si="185">AH237</f>
        <v>2500000</v>
      </c>
      <c r="AJ237" s="2770">
        <f t="shared" si="185"/>
        <v>2500000</v>
      </c>
      <c r="AK237" s="2770">
        <f t="shared" si="185"/>
        <v>2500000</v>
      </c>
      <c r="AL237" s="2770">
        <f>AK237+100000</f>
        <v>2600000</v>
      </c>
      <c r="AM237" s="2770">
        <f t="shared" ref="AM237:AO239" si="186">AL237</f>
        <v>2600000</v>
      </c>
      <c r="AN237" s="2770">
        <f t="shared" si="186"/>
        <v>2600000</v>
      </c>
      <c r="AO237" s="2770">
        <f t="shared" si="186"/>
        <v>2600000</v>
      </c>
      <c r="AP237" s="2770">
        <f>AO237+100000</f>
        <v>2700000</v>
      </c>
      <c r="AQ237" s="2770">
        <f t="shared" ref="AQ237:AS239" si="187">AP237</f>
        <v>2700000</v>
      </c>
      <c r="AR237" s="2770">
        <f t="shared" si="187"/>
        <v>2700000</v>
      </c>
      <c r="AS237" s="2770">
        <f t="shared" si="187"/>
        <v>2700000</v>
      </c>
      <c r="AT237" s="2770">
        <f>AS237+100000</f>
        <v>2800000</v>
      </c>
      <c r="AU237" s="2770">
        <f>AT237</f>
        <v>2800000</v>
      </c>
      <c r="AV237" s="2694">
        <v>0</v>
      </c>
      <c r="AW237" s="2809"/>
      <c r="AX237" s="2965"/>
      <c r="AY237" s="2760"/>
      <c r="AZ237" s="2760"/>
      <c r="BA237" s="2760"/>
      <c r="BB237" s="2760"/>
      <c r="BC237" s="2760"/>
      <c r="BD237" s="2760"/>
      <c r="BE237" s="2760"/>
      <c r="BF237" s="2760"/>
      <c r="BG237" s="2760"/>
      <c r="BI237" s="2730"/>
      <c r="BJ237" s="2730"/>
    </row>
    <row r="238" spans="1:62" ht="18" hidden="1" outlineLevel="1" thickBot="1">
      <c r="A238" s="2801" t="s">
        <v>4263</v>
      </c>
      <c r="B238" s="2802" t="s">
        <v>4059</v>
      </c>
      <c r="C238" s="2962"/>
      <c r="D238" s="2963"/>
      <c r="E238" s="2963"/>
      <c r="F238" s="2769">
        <f t="shared" si="178"/>
        <v>600000</v>
      </c>
      <c r="G238" s="2769">
        <f t="shared" si="178"/>
        <v>600000</v>
      </c>
      <c r="H238" s="2770">
        <f>80000*12</f>
        <v>960000</v>
      </c>
      <c r="I238" s="2770">
        <f>H238</f>
        <v>960000</v>
      </c>
      <c r="J238" s="2770">
        <f>I238+100000</f>
        <v>1060000</v>
      </c>
      <c r="K238" s="2770">
        <f t="shared" si="179"/>
        <v>1060000</v>
      </c>
      <c r="L238" s="2770">
        <f t="shared" si="179"/>
        <v>1060000</v>
      </c>
      <c r="M238" s="2770">
        <f t="shared" si="179"/>
        <v>1060000</v>
      </c>
      <c r="N238" s="2770">
        <f>M238+100000</f>
        <v>1160000</v>
      </c>
      <c r="O238" s="2770">
        <f t="shared" si="180"/>
        <v>1160000</v>
      </c>
      <c r="P238" s="2770">
        <f t="shared" si="180"/>
        <v>1160000</v>
      </c>
      <c r="Q238" s="2770">
        <f t="shared" si="180"/>
        <v>1160000</v>
      </c>
      <c r="R238" s="2770">
        <f>Q238+100000</f>
        <v>1260000</v>
      </c>
      <c r="S238" s="2770">
        <f t="shared" si="181"/>
        <v>1260000</v>
      </c>
      <c r="T238" s="2770">
        <f t="shared" si="181"/>
        <v>1260000</v>
      </c>
      <c r="U238" s="2770">
        <f t="shared" si="181"/>
        <v>1260000</v>
      </c>
      <c r="V238" s="2770">
        <f>U238+100000</f>
        <v>1360000</v>
      </c>
      <c r="W238" s="2770">
        <f t="shared" si="182"/>
        <v>1360000</v>
      </c>
      <c r="X238" s="2770">
        <f t="shared" si="182"/>
        <v>1360000</v>
      </c>
      <c r="Y238" s="2770">
        <f t="shared" si="182"/>
        <v>1360000</v>
      </c>
      <c r="Z238" s="2770">
        <f>Y238+100000</f>
        <v>1460000</v>
      </c>
      <c r="AA238" s="2770">
        <f t="shared" si="183"/>
        <v>1460000</v>
      </c>
      <c r="AB238" s="2770">
        <f t="shared" si="183"/>
        <v>1460000</v>
      </c>
      <c r="AC238" s="2770">
        <f t="shared" si="183"/>
        <v>1460000</v>
      </c>
      <c r="AD238" s="2770">
        <f>AC238+100000</f>
        <v>1560000</v>
      </c>
      <c r="AE238" s="2770">
        <f t="shared" si="184"/>
        <v>1560000</v>
      </c>
      <c r="AF238" s="2770">
        <f t="shared" si="184"/>
        <v>1560000</v>
      </c>
      <c r="AG238" s="2770">
        <f t="shared" si="184"/>
        <v>1560000</v>
      </c>
      <c r="AH238" s="2770">
        <f>AG238+100000</f>
        <v>1660000</v>
      </c>
      <c r="AI238" s="2770">
        <f t="shared" si="185"/>
        <v>1660000</v>
      </c>
      <c r="AJ238" s="2770">
        <f t="shared" si="185"/>
        <v>1660000</v>
      </c>
      <c r="AK238" s="2770">
        <f t="shared" si="185"/>
        <v>1660000</v>
      </c>
      <c r="AL238" s="2770">
        <f>AK238+100000</f>
        <v>1760000</v>
      </c>
      <c r="AM238" s="2770">
        <f t="shared" si="186"/>
        <v>1760000</v>
      </c>
      <c r="AN238" s="2770">
        <f t="shared" si="186"/>
        <v>1760000</v>
      </c>
      <c r="AO238" s="2770">
        <f t="shared" si="186"/>
        <v>1760000</v>
      </c>
      <c r="AP238" s="2770">
        <f>AO238+100000</f>
        <v>1860000</v>
      </c>
      <c r="AQ238" s="2770">
        <f t="shared" si="187"/>
        <v>1860000</v>
      </c>
      <c r="AR238" s="2770">
        <f t="shared" si="187"/>
        <v>1860000</v>
      </c>
      <c r="AS238" s="2770">
        <f t="shared" si="187"/>
        <v>1860000</v>
      </c>
      <c r="AT238" s="2770">
        <f>AS238+100000</f>
        <v>1960000</v>
      </c>
      <c r="AU238" s="2770">
        <f>AT238</f>
        <v>1960000</v>
      </c>
      <c r="AV238" s="2694">
        <v>0</v>
      </c>
      <c r="AW238" s="2809"/>
      <c r="AX238" s="2965"/>
      <c r="AY238" s="2760"/>
      <c r="AZ238" s="2760"/>
      <c r="BA238" s="2760"/>
      <c r="BB238" s="2760"/>
      <c r="BC238" s="2760"/>
      <c r="BD238" s="2760"/>
      <c r="BE238" s="2760"/>
      <c r="BF238" s="2760"/>
      <c r="BG238" s="2760"/>
      <c r="BI238" s="2730"/>
      <c r="BJ238" s="2730"/>
    </row>
    <row r="239" spans="1:62" ht="18" hidden="1" outlineLevel="1" thickBot="1">
      <c r="A239" s="2801" t="s">
        <v>4264</v>
      </c>
      <c r="B239" s="2802" t="s">
        <v>4059</v>
      </c>
      <c r="C239" s="2962"/>
      <c r="D239" s="2963"/>
      <c r="E239" s="2963"/>
      <c r="F239" s="2769">
        <f t="shared" si="178"/>
        <v>600000</v>
      </c>
      <c r="G239" s="2769">
        <f t="shared" si="178"/>
        <v>600000</v>
      </c>
      <c r="H239" s="2770">
        <f>H238</f>
        <v>960000</v>
      </c>
      <c r="I239" s="2770">
        <f>H239</f>
        <v>960000</v>
      </c>
      <c r="J239" s="2770">
        <f>I239+100000</f>
        <v>1060000</v>
      </c>
      <c r="K239" s="2770">
        <f t="shared" si="179"/>
        <v>1060000</v>
      </c>
      <c r="L239" s="2770">
        <f t="shared" si="179"/>
        <v>1060000</v>
      </c>
      <c r="M239" s="2770">
        <f t="shared" si="179"/>
        <v>1060000</v>
      </c>
      <c r="N239" s="2770">
        <f>M239+100000</f>
        <v>1160000</v>
      </c>
      <c r="O239" s="2770">
        <f t="shared" si="180"/>
        <v>1160000</v>
      </c>
      <c r="P239" s="2770">
        <f t="shared" si="180"/>
        <v>1160000</v>
      </c>
      <c r="Q239" s="2770">
        <f t="shared" si="180"/>
        <v>1160000</v>
      </c>
      <c r="R239" s="2770">
        <f>Q239+100000</f>
        <v>1260000</v>
      </c>
      <c r="S239" s="2770">
        <f t="shared" si="181"/>
        <v>1260000</v>
      </c>
      <c r="T239" s="2770">
        <f t="shared" si="181"/>
        <v>1260000</v>
      </c>
      <c r="U239" s="2770">
        <f t="shared" si="181"/>
        <v>1260000</v>
      </c>
      <c r="V239" s="2770">
        <f>U239+100000</f>
        <v>1360000</v>
      </c>
      <c r="W239" s="2770">
        <f t="shared" si="182"/>
        <v>1360000</v>
      </c>
      <c r="X239" s="2770">
        <f t="shared" si="182"/>
        <v>1360000</v>
      </c>
      <c r="Y239" s="2770">
        <f t="shared" si="182"/>
        <v>1360000</v>
      </c>
      <c r="Z239" s="2770">
        <f>Y239+100000</f>
        <v>1460000</v>
      </c>
      <c r="AA239" s="2770">
        <f t="shared" si="183"/>
        <v>1460000</v>
      </c>
      <c r="AB239" s="2770">
        <f t="shared" si="183"/>
        <v>1460000</v>
      </c>
      <c r="AC239" s="2770">
        <f t="shared" si="183"/>
        <v>1460000</v>
      </c>
      <c r="AD239" s="2770">
        <f>AC239+100000</f>
        <v>1560000</v>
      </c>
      <c r="AE239" s="2770">
        <f t="shared" si="184"/>
        <v>1560000</v>
      </c>
      <c r="AF239" s="2770">
        <f t="shared" si="184"/>
        <v>1560000</v>
      </c>
      <c r="AG239" s="2770">
        <f t="shared" si="184"/>
        <v>1560000</v>
      </c>
      <c r="AH239" s="2770">
        <f>AG239+100000</f>
        <v>1660000</v>
      </c>
      <c r="AI239" s="2770">
        <f t="shared" si="185"/>
        <v>1660000</v>
      </c>
      <c r="AJ239" s="2770">
        <f t="shared" si="185"/>
        <v>1660000</v>
      </c>
      <c r="AK239" s="2770">
        <f t="shared" si="185"/>
        <v>1660000</v>
      </c>
      <c r="AL239" s="2770">
        <f>AK239+100000</f>
        <v>1760000</v>
      </c>
      <c r="AM239" s="2770">
        <f t="shared" si="186"/>
        <v>1760000</v>
      </c>
      <c r="AN239" s="2770">
        <f t="shared" si="186"/>
        <v>1760000</v>
      </c>
      <c r="AO239" s="2770">
        <f t="shared" si="186"/>
        <v>1760000</v>
      </c>
      <c r="AP239" s="2770">
        <f>AO239+100000</f>
        <v>1860000</v>
      </c>
      <c r="AQ239" s="2770">
        <f t="shared" si="187"/>
        <v>1860000</v>
      </c>
      <c r="AR239" s="2770">
        <f t="shared" si="187"/>
        <v>1860000</v>
      </c>
      <c r="AS239" s="2770">
        <f t="shared" si="187"/>
        <v>1860000</v>
      </c>
      <c r="AT239" s="2770">
        <f>AS239+100000</f>
        <v>1960000</v>
      </c>
      <c r="AU239" s="2770">
        <f>AT239</f>
        <v>1960000</v>
      </c>
      <c r="AV239" s="2694">
        <v>0</v>
      </c>
      <c r="AW239" s="2809"/>
      <c r="AX239" s="2965"/>
      <c r="AY239" s="2760"/>
      <c r="AZ239" s="2760"/>
      <c r="BA239" s="2760"/>
      <c r="BB239" s="2760"/>
      <c r="BC239" s="2760"/>
      <c r="BD239" s="2760"/>
      <c r="BE239" s="2760"/>
      <c r="BF239" s="2760"/>
      <c r="BG239" s="2760"/>
      <c r="BI239" s="2730"/>
      <c r="BJ239" s="2730"/>
    </row>
    <row r="240" spans="1:62" ht="18" hidden="1" outlineLevel="1" thickBot="1">
      <c r="A240" s="2854" t="s">
        <v>4265</v>
      </c>
      <c r="B240" s="3007"/>
      <c r="C240" s="2962"/>
      <c r="D240" s="2963">
        <v>1</v>
      </c>
      <c r="E240" s="2963"/>
      <c r="F240" s="2961">
        <f>SUM(F241:F244)</f>
        <v>15337390</v>
      </c>
      <c r="G240" s="2961">
        <f t="shared" ref="G240:AU240" si="188">SUM(G241:G244)</f>
        <v>15276430</v>
      </c>
      <c r="H240" s="2961">
        <f t="shared" si="188"/>
        <v>16438713.155237835</v>
      </c>
      <c r="I240" s="2961">
        <f t="shared" si="188"/>
        <v>16504267.205237836</v>
      </c>
      <c r="J240" s="2961">
        <f t="shared" si="188"/>
        <v>16570476.795737835</v>
      </c>
      <c r="K240" s="2961">
        <f t="shared" si="188"/>
        <v>17511416.260242227</v>
      </c>
      <c r="L240" s="2961">
        <f t="shared" si="188"/>
        <v>18116516.346442446</v>
      </c>
      <c r="M240" s="2961">
        <f t="shared" si="188"/>
        <v>18184732.153744183</v>
      </c>
      <c r="N240" s="2961">
        <f t="shared" si="188"/>
        <v>18806308.668132547</v>
      </c>
      <c r="O240" s="2961">
        <f t="shared" si="188"/>
        <v>18875895.613161054</v>
      </c>
      <c r="P240" s="2961">
        <f t="shared" si="188"/>
        <v>18946178.427639842</v>
      </c>
      <c r="Q240" s="2961">
        <f t="shared" si="188"/>
        <v>20035797.672567755</v>
      </c>
      <c r="R240" s="2961">
        <f t="shared" si="188"/>
        <v>20107493.171617571</v>
      </c>
      <c r="S240" s="2961">
        <f t="shared" si="188"/>
        <v>17790746.812980443</v>
      </c>
      <c r="T240" s="2961">
        <f t="shared" si="188"/>
        <v>18375669.607506789</v>
      </c>
      <c r="U240" s="2961">
        <f t="shared" si="188"/>
        <v>18449537.551873315</v>
      </c>
      <c r="V240" s="2961">
        <f t="shared" si="188"/>
        <v>18977899.143982708</v>
      </c>
      <c r="W240" s="2961">
        <f t="shared" si="188"/>
        <v>20634263.787862081</v>
      </c>
      <c r="X240" s="2961">
        <f t="shared" si="188"/>
        <v>20710370.004810851</v>
      </c>
      <c r="Y240" s="2961">
        <f t="shared" si="188"/>
        <v>20787237.283929113</v>
      </c>
      <c r="Z240" s="2961">
        <f t="shared" si="188"/>
        <v>18738237.138162263</v>
      </c>
      <c r="AA240" s="2961">
        <f t="shared" si="188"/>
        <v>19502726.961659193</v>
      </c>
      <c r="AB240" s="2961">
        <f t="shared" si="188"/>
        <v>19581923.396202017</v>
      </c>
      <c r="AC240" s="2961">
        <f t="shared" si="188"/>
        <v>20228997.7386593</v>
      </c>
      <c r="AD240" s="2961">
        <f t="shared" si="188"/>
        <v>21435381.939773649</v>
      </c>
      <c r="AE240" s="2961">
        <f t="shared" si="188"/>
        <v>21516978.105479557</v>
      </c>
      <c r="AF240" s="2961">
        <f t="shared" si="188"/>
        <v>22810531.440865759</v>
      </c>
      <c r="AG240" s="2961">
        <f t="shared" si="188"/>
        <v>22893767.689502351</v>
      </c>
      <c r="AH240" s="2961">
        <f t="shared" si="188"/>
        <v>23734236.757680714</v>
      </c>
      <c r="AI240" s="2961">
        <f t="shared" si="188"/>
        <v>24569243.174828183</v>
      </c>
      <c r="AJ240" s="2961">
        <f t="shared" si="188"/>
        <v>24655001.565034714</v>
      </c>
      <c r="AK240" s="2961">
        <f t="shared" si="188"/>
        <v>19488179.989750687</v>
      </c>
      <c r="AL240" s="2961">
        <f t="shared" si="188"/>
        <v>20100592.222039681</v>
      </c>
      <c r="AM240" s="2961">
        <f t="shared" si="188"/>
        <v>20805711.018656552</v>
      </c>
      <c r="AN240" s="2961">
        <f t="shared" si="188"/>
        <v>20894951.543396607</v>
      </c>
      <c r="AO240" s="2961">
        <f t="shared" si="188"/>
        <v>21567099.168816783</v>
      </c>
      <c r="AP240" s="2961">
        <f t="shared" si="188"/>
        <v>21658133.428104121</v>
      </c>
      <c r="AQ240" s="2961">
        <f t="shared" si="188"/>
        <v>21750078.029984329</v>
      </c>
      <c r="AR240" s="2961">
        <f t="shared" si="188"/>
        <v>22454057.508087695</v>
      </c>
      <c r="AS240" s="2961">
        <f t="shared" si="188"/>
        <v>22547850.196465693</v>
      </c>
      <c r="AT240" s="2961">
        <f t="shared" si="188"/>
        <v>22642580.811727479</v>
      </c>
      <c r="AU240" s="2961">
        <f t="shared" si="188"/>
        <v>23379929.934856441</v>
      </c>
      <c r="AV240" s="2694">
        <v>0</v>
      </c>
      <c r="AW240" s="2809"/>
      <c r="AX240" s="2965"/>
      <c r="AY240" s="2760"/>
      <c r="AZ240" s="2760"/>
      <c r="BA240" s="2760"/>
      <c r="BB240" s="2760"/>
      <c r="BC240" s="2760"/>
      <c r="BD240" s="2760"/>
      <c r="BE240" s="2760"/>
      <c r="BF240" s="2760"/>
      <c r="BG240" s="2760"/>
      <c r="BI240" s="2730"/>
      <c r="BJ240" s="2730"/>
    </row>
    <row r="241" spans="1:62" ht="18" hidden="1" outlineLevel="1" thickBot="1">
      <c r="A241" s="2772" t="s">
        <v>4266</v>
      </c>
      <c r="B241" s="2826" t="s">
        <v>4267</v>
      </c>
      <c r="C241" s="3008">
        <v>0.01</v>
      </c>
      <c r="D241" s="3009"/>
      <c r="E241" s="3009"/>
      <c r="F241" s="3001">
        <v>5926320</v>
      </c>
      <c r="G241" s="3001">
        <v>5683620</v>
      </c>
      <c r="H241" s="3001">
        <f t="shared" ref="H241:AU241" si="189">((H212*0.0306)+((H212*0.0306))*0.03275)*(1+$C$241)</f>
        <v>6466250.1942056268</v>
      </c>
      <c r="I241" s="3001">
        <f t="shared" si="189"/>
        <v>6466250.1942056268</v>
      </c>
      <c r="J241" s="3001">
        <f t="shared" si="189"/>
        <v>6466250.1942056268</v>
      </c>
      <c r="K241" s="3001">
        <f t="shared" si="189"/>
        <v>7038117.5134380767</v>
      </c>
      <c r="L241" s="3001">
        <f t="shared" si="189"/>
        <v>7389821.1484510778</v>
      </c>
      <c r="M241" s="3001">
        <f t="shared" si="189"/>
        <v>7389821.1484510778</v>
      </c>
      <c r="N241" s="3001">
        <f t="shared" si="189"/>
        <v>7751416.4481988186</v>
      </c>
      <c r="O241" s="3001">
        <f t="shared" si="189"/>
        <v>7751416.4481988186</v>
      </c>
      <c r="P241" s="3001">
        <f t="shared" si="189"/>
        <v>7751416.4481988186</v>
      </c>
      <c r="Q241" s="3001">
        <f t="shared" si="189"/>
        <v>8417867.3597019687</v>
      </c>
      <c r="R241" s="3001">
        <f t="shared" si="189"/>
        <v>8417867.3597019687</v>
      </c>
      <c r="S241" s="3001">
        <f t="shared" si="189"/>
        <v>6854737.0399945779</v>
      </c>
      <c r="T241" s="3001">
        <f t="shared" si="189"/>
        <v>7189578.1343194945</v>
      </c>
      <c r="U241" s="3001">
        <f t="shared" si="189"/>
        <v>7189578.1343194945</v>
      </c>
      <c r="V241" s="3001">
        <f t="shared" si="189"/>
        <v>7486451.7221708996</v>
      </c>
      <c r="W241" s="3001">
        <f t="shared" si="189"/>
        <v>8520844.12327029</v>
      </c>
      <c r="X241" s="3001">
        <f t="shared" si="189"/>
        <v>8520844.12327029</v>
      </c>
      <c r="Y241" s="3001">
        <f t="shared" si="189"/>
        <v>8520844.12327029</v>
      </c>
      <c r="Z241" s="3001">
        <f t="shared" si="189"/>
        <v>7129471.8354077227</v>
      </c>
      <c r="AA241" s="3001">
        <f t="shared" si="189"/>
        <v>7578344.7002390465</v>
      </c>
      <c r="AB241" s="3001">
        <f t="shared" si="189"/>
        <v>7578344.7002390465</v>
      </c>
      <c r="AC241" s="3001">
        <f t="shared" si="189"/>
        <v>7949366.1775761861</v>
      </c>
      <c r="AD241" s="3001">
        <f t="shared" si="189"/>
        <v>8685798.221440075</v>
      </c>
      <c r="AE241" s="3001">
        <f t="shared" si="189"/>
        <v>8685798.221440075</v>
      </c>
      <c r="AF241" s="3001">
        <f t="shared" si="189"/>
        <v>9478199.1006376185</v>
      </c>
      <c r="AG241" s="3001">
        <f t="shared" si="189"/>
        <v>9478199.1006376185</v>
      </c>
      <c r="AH241" s="3001">
        <f t="shared" si="189"/>
        <v>9973081.4341141507</v>
      </c>
      <c r="AI241" s="3001">
        <f t="shared" si="189"/>
        <v>10463839.748145046</v>
      </c>
      <c r="AJ241" s="3001">
        <f t="shared" si="189"/>
        <v>10463839.748145046</v>
      </c>
      <c r="AK241" s="3001">
        <f t="shared" si="189"/>
        <v>7026727.2914213147</v>
      </c>
      <c r="AL241" s="3001">
        <f t="shared" si="189"/>
        <v>7370167.898317568</v>
      </c>
      <c r="AM241" s="3001">
        <f t="shared" si="189"/>
        <v>7773690.3135124557</v>
      </c>
      <c r="AN241" s="3001">
        <f t="shared" si="189"/>
        <v>7773690.3135124557</v>
      </c>
      <c r="AO241" s="3001">
        <f t="shared" si="189"/>
        <v>8154479.0715132663</v>
      </c>
      <c r="AP241" s="3001">
        <f t="shared" si="189"/>
        <v>8154479.0715132663</v>
      </c>
      <c r="AQ241" s="3001">
        <f t="shared" si="189"/>
        <v>8154479.0715132663</v>
      </c>
      <c r="AR241" s="3001">
        <f t="shared" si="189"/>
        <v>8554307.2674141191</v>
      </c>
      <c r="AS241" s="3001">
        <f t="shared" si="189"/>
        <v>8554307.2674141191</v>
      </c>
      <c r="AT241" s="3001">
        <f t="shared" si="189"/>
        <v>8554307.2674141191</v>
      </c>
      <c r="AU241" s="3001">
        <f t="shared" si="189"/>
        <v>8974126.8731100131</v>
      </c>
      <c r="AV241" s="2694">
        <v>0</v>
      </c>
      <c r="AW241" s="2960"/>
      <c r="AX241" s="3010"/>
      <c r="AY241" s="2760"/>
      <c r="AZ241" s="2760"/>
      <c r="BA241" s="2760"/>
      <c r="BB241" s="2760"/>
      <c r="BC241" s="2760"/>
      <c r="BD241" s="2760"/>
      <c r="BE241" s="2760"/>
      <c r="BF241" s="2760"/>
      <c r="BG241" s="2760"/>
      <c r="BI241" s="2730"/>
      <c r="BJ241" s="2730"/>
    </row>
    <row r="242" spans="1:62" ht="18" hidden="1" outlineLevel="1" thickBot="1">
      <c r="A242" s="2772" t="s">
        <v>4268</v>
      </c>
      <c r="B242" s="2826" t="s">
        <v>4144</v>
      </c>
      <c r="C242" s="3008">
        <v>0.01</v>
      </c>
      <c r="D242" s="3009"/>
      <c r="E242" s="3009"/>
      <c r="F242" s="3001">
        <v>6179460</v>
      </c>
      <c r="G242" s="3001">
        <v>6490500</v>
      </c>
      <c r="H242" s="3001">
        <f t="shared" ref="H242:AU242" si="190">G242*(1+$C$242)</f>
        <v>6555405</v>
      </c>
      <c r="I242" s="3001">
        <f t="shared" si="190"/>
        <v>6620959.0499999998</v>
      </c>
      <c r="J242" s="3001">
        <f t="shared" si="190"/>
        <v>6687168.6404999997</v>
      </c>
      <c r="K242" s="3001">
        <f t="shared" si="190"/>
        <v>6754040.326905</v>
      </c>
      <c r="L242" s="3001">
        <f t="shared" si="190"/>
        <v>6821580.7301740497</v>
      </c>
      <c r="M242" s="3001">
        <f t="shared" si="190"/>
        <v>6889796.5374757899</v>
      </c>
      <c r="N242" s="3001">
        <f t="shared" si="190"/>
        <v>6958694.5028505474</v>
      </c>
      <c r="O242" s="3001">
        <f t="shared" si="190"/>
        <v>7028281.4478790527</v>
      </c>
      <c r="P242" s="3001">
        <f t="shared" si="190"/>
        <v>7098564.2623578431</v>
      </c>
      <c r="Q242" s="3001">
        <f t="shared" si="190"/>
        <v>7169549.9049814213</v>
      </c>
      <c r="R242" s="3001">
        <f t="shared" si="190"/>
        <v>7241245.4040312357</v>
      </c>
      <c r="S242" s="3001">
        <f t="shared" si="190"/>
        <v>7313657.8580715479</v>
      </c>
      <c r="T242" s="3001">
        <f t="shared" si="190"/>
        <v>7386794.4366522636</v>
      </c>
      <c r="U242" s="3001">
        <f t="shared" si="190"/>
        <v>7460662.3810187867</v>
      </c>
      <c r="V242" s="3001">
        <f t="shared" si="190"/>
        <v>7535269.0048289746</v>
      </c>
      <c r="W242" s="3001">
        <f t="shared" si="190"/>
        <v>7610621.6948772641</v>
      </c>
      <c r="X242" s="3001">
        <f t="shared" si="190"/>
        <v>7686727.9118260369</v>
      </c>
      <c r="Y242" s="3001">
        <f t="shared" si="190"/>
        <v>7763595.1909442972</v>
      </c>
      <c r="Z242" s="3001">
        <f t="shared" si="190"/>
        <v>7841231.1428537406</v>
      </c>
      <c r="AA242" s="3001">
        <f t="shared" si="190"/>
        <v>7919643.4542822782</v>
      </c>
      <c r="AB242" s="3001">
        <f t="shared" si="190"/>
        <v>7998839.8888251008</v>
      </c>
      <c r="AC242" s="3001">
        <f t="shared" si="190"/>
        <v>8078828.2877133517</v>
      </c>
      <c r="AD242" s="3001">
        <f t="shared" si="190"/>
        <v>8159616.5705904849</v>
      </c>
      <c r="AE242" s="3001">
        <f t="shared" si="190"/>
        <v>8241212.7362963902</v>
      </c>
      <c r="AF242" s="3001">
        <f t="shared" si="190"/>
        <v>8323624.8636593539</v>
      </c>
      <c r="AG242" s="3001">
        <f t="shared" si="190"/>
        <v>8406861.112295948</v>
      </c>
      <c r="AH242" s="3001">
        <f t="shared" si="190"/>
        <v>8490929.7234189082</v>
      </c>
      <c r="AI242" s="3001">
        <f t="shared" si="190"/>
        <v>8575839.020653097</v>
      </c>
      <c r="AJ242" s="3001">
        <f t="shared" si="190"/>
        <v>8661597.4108596276</v>
      </c>
      <c r="AK242" s="3001">
        <f t="shared" si="190"/>
        <v>8748213.3849682249</v>
      </c>
      <c r="AL242" s="3001">
        <f t="shared" si="190"/>
        <v>8835695.5188179072</v>
      </c>
      <c r="AM242" s="3001">
        <f t="shared" si="190"/>
        <v>8924052.4740060866</v>
      </c>
      <c r="AN242" s="3001">
        <f t="shared" si="190"/>
        <v>9013292.9987461474</v>
      </c>
      <c r="AO242" s="3001">
        <f t="shared" si="190"/>
        <v>9103425.9287336096</v>
      </c>
      <c r="AP242" s="3001">
        <f t="shared" si="190"/>
        <v>9194460.1880209465</v>
      </c>
      <c r="AQ242" s="3001">
        <f t="shared" si="190"/>
        <v>9286404.789901156</v>
      </c>
      <c r="AR242" s="3001">
        <f t="shared" si="190"/>
        <v>9379268.8378001675</v>
      </c>
      <c r="AS242" s="3001">
        <f t="shared" si="190"/>
        <v>9473061.52617817</v>
      </c>
      <c r="AT242" s="3001">
        <f t="shared" si="190"/>
        <v>9567792.141439952</v>
      </c>
      <c r="AU242" s="3001">
        <f t="shared" si="190"/>
        <v>9663470.0628543515</v>
      </c>
      <c r="AV242" s="2694">
        <v>0</v>
      </c>
      <c r="AW242" s="2809"/>
      <c r="AX242" s="3010"/>
      <c r="AY242" s="2760"/>
      <c r="AZ242" s="2760"/>
      <c r="BA242" s="2760"/>
      <c r="BB242" s="2760"/>
      <c r="BC242" s="2760"/>
      <c r="BD242" s="2760"/>
      <c r="BE242" s="2760"/>
      <c r="BF242" s="2760"/>
      <c r="BG242" s="2760"/>
      <c r="BI242" s="2730"/>
      <c r="BJ242" s="2730"/>
    </row>
    <row r="243" spans="1:62" ht="18" hidden="1" outlineLevel="1" thickBot="1">
      <c r="A243" s="2772" t="s">
        <v>4269</v>
      </c>
      <c r="B243" s="2826" t="s">
        <v>4270</v>
      </c>
      <c r="C243" s="3008">
        <v>0.01</v>
      </c>
      <c r="D243" s="3009"/>
      <c r="E243" s="3009"/>
      <c r="F243" s="3001">
        <v>1594530</v>
      </c>
      <c r="G243" s="3001">
        <v>1460910</v>
      </c>
      <c r="H243" s="3001">
        <f t="shared" ref="H243:AU243" si="191">(H212*0.0065)*(1+$C$243)</f>
        <v>1329992.6195634338</v>
      </c>
      <c r="I243" s="3001">
        <f t="shared" si="191"/>
        <v>1329992.6195634338</v>
      </c>
      <c r="J243" s="3001">
        <f t="shared" si="191"/>
        <v>1329992.6195634338</v>
      </c>
      <c r="K243" s="3001">
        <f t="shared" si="191"/>
        <v>1447615.5526553572</v>
      </c>
      <c r="L243" s="3001">
        <f t="shared" si="191"/>
        <v>1519954.7329827875</v>
      </c>
      <c r="M243" s="3001">
        <f t="shared" si="191"/>
        <v>1519954.7329827875</v>
      </c>
      <c r="N243" s="3001">
        <f t="shared" si="191"/>
        <v>1594328.4527569271</v>
      </c>
      <c r="O243" s="3001">
        <f t="shared" si="191"/>
        <v>1594328.4527569271</v>
      </c>
      <c r="P243" s="3001">
        <f t="shared" si="191"/>
        <v>1594328.4527569271</v>
      </c>
      <c r="Q243" s="3001">
        <f t="shared" si="191"/>
        <v>1731405.5479789444</v>
      </c>
      <c r="R243" s="3001">
        <f t="shared" si="191"/>
        <v>1731405.5479789444</v>
      </c>
      <c r="S243" s="3001">
        <f t="shared" si="191"/>
        <v>1409897.4519127577</v>
      </c>
      <c r="T243" s="3001">
        <f t="shared" si="191"/>
        <v>1478768.3076333958</v>
      </c>
      <c r="U243" s="3001">
        <f t="shared" si="191"/>
        <v>1478768.3076333958</v>
      </c>
      <c r="V243" s="3001">
        <f t="shared" si="191"/>
        <v>1539829.9227777491</v>
      </c>
      <c r="W243" s="3001">
        <f t="shared" si="191"/>
        <v>1752586.0361164315</v>
      </c>
      <c r="X243" s="3001">
        <f t="shared" si="191"/>
        <v>1752586.0361164315</v>
      </c>
      <c r="Y243" s="3001">
        <f t="shared" si="191"/>
        <v>1752586.0361164315</v>
      </c>
      <c r="Z243" s="3001">
        <f t="shared" si="191"/>
        <v>1466405.5113386337</v>
      </c>
      <c r="AA243" s="3001">
        <f t="shared" si="191"/>
        <v>1558730.6734368959</v>
      </c>
      <c r="AB243" s="3001">
        <f t="shared" si="191"/>
        <v>1558730.6734368959</v>
      </c>
      <c r="AC243" s="3001">
        <f t="shared" si="191"/>
        <v>1635043.1902337407</v>
      </c>
      <c r="AD243" s="3001">
        <f t="shared" si="191"/>
        <v>1786514.159301202</v>
      </c>
      <c r="AE243" s="3001">
        <f t="shared" si="191"/>
        <v>1786514.159301202</v>
      </c>
      <c r="AF243" s="3001">
        <f t="shared" si="191"/>
        <v>1949496.9220177906</v>
      </c>
      <c r="AG243" s="3001">
        <f t="shared" si="191"/>
        <v>1949496.9220177906</v>
      </c>
      <c r="AH243" s="3001">
        <f t="shared" si="191"/>
        <v>2051285.4132311246</v>
      </c>
      <c r="AI243" s="3001">
        <f t="shared" si="191"/>
        <v>2152225.6670176806</v>
      </c>
      <c r="AJ243" s="3001">
        <f t="shared" si="191"/>
        <v>2152225.6670176806</v>
      </c>
      <c r="AK243" s="3001">
        <f t="shared" si="191"/>
        <v>1445272.7866375721</v>
      </c>
      <c r="AL243" s="3001">
        <f t="shared" si="191"/>
        <v>1515912.4090944505</v>
      </c>
      <c r="AM243" s="3001">
        <f t="shared" si="191"/>
        <v>1598909.7905626979</v>
      </c>
      <c r="AN243" s="3001">
        <f t="shared" si="191"/>
        <v>1598909.7905626979</v>
      </c>
      <c r="AO243" s="3001">
        <f t="shared" si="191"/>
        <v>1677231.2632158329</v>
      </c>
      <c r="AP243" s="3001">
        <f t="shared" si="191"/>
        <v>1677231.2632158329</v>
      </c>
      <c r="AQ243" s="3001">
        <f t="shared" si="191"/>
        <v>1677231.2632158329</v>
      </c>
      <c r="AR243" s="3001">
        <f t="shared" si="191"/>
        <v>1759468.8095016247</v>
      </c>
      <c r="AS243" s="3001">
        <f t="shared" si="191"/>
        <v>1759468.8095016247</v>
      </c>
      <c r="AT243" s="3001">
        <f t="shared" si="191"/>
        <v>1759468.8095016247</v>
      </c>
      <c r="AU243" s="3001">
        <f t="shared" si="191"/>
        <v>1845818.2331017063</v>
      </c>
      <c r="AV243" s="2694">
        <v>0</v>
      </c>
      <c r="AW243" s="2809"/>
      <c r="AX243" s="3010"/>
      <c r="AY243" s="2760"/>
      <c r="AZ243" s="2760"/>
      <c r="BA243" s="2760"/>
      <c r="BB243" s="2760"/>
      <c r="BC243" s="2760"/>
      <c r="BD243" s="2760"/>
      <c r="BE243" s="2760"/>
      <c r="BF243" s="2760"/>
      <c r="BG243" s="2760"/>
      <c r="BI243" s="2730"/>
      <c r="BJ243" s="2730"/>
    </row>
    <row r="244" spans="1:62" ht="18" hidden="1" outlineLevel="1" thickBot="1">
      <c r="A244" s="2772" t="s">
        <v>4271</v>
      </c>
      <c r="B244" s="2826" t="s">
        <v>4069</v>
      </c>
      <c r="C244" s="3008">
        <v>0.01</v>
      </c>
      <c r="D244" s="3009"/>
      <c r="E244" s="3009"/>
      <c r="F244" s="3001">
        <v>1637080</v>
      </c>
      <c r="G244" s="3001">
        <v>1641400</v>
      </c>
      <c r="H244" s="3001">
        <f t="shared" ref="H244:AU244" si="192">(H212*0.0102)*(1+$C$244)</f>
        <v>2087065.3414687733</v>
      </c>
      <c r="I244" s="3001">
        <f t="shared" si="192"/>
        <v>2087065.3414687733</v>
      </c>
      <c r="J244" s="3001">
        <f t="shared" si="192"/>
        <v>2087065.3414687733</v>
      </c>
      <c r="K244" s="3001">
        <f t="shared" si="192"/>
        <v>2271642.8672437915</v>
      </c>
      <c r="L244" s="3001">
        <f t="shared" si="192"/>
        <v>2385159.7348345285</v>
      </c>
      <c r="M244" s="3001">
        <f t="shared" si="192"/>
        <v>2385159.7348345285</v>
      </c>
      <c r="N244" s="3001">
        <f t="shared" si="192"/>
        <v>2501869.2643262548</v>
      </c>
      <c r="O244" s="3001">
        <f t="shared" si="192"/>
        <v>2501869.2643262548</v>
      </c>
      <c r="P244" s="3001">
        <f t="shared" si="192"/>
        <v>2501869.2643262548</v>
      </c>
      <c r="Q244" s="3001">
        <f t="shared" si="192"/>
        <v>2716974.8599054203</v>
      </c>
      <c r="R244" s="3001">
        <f t="shared" si="192"/>
        <v>2716974.8599054203</v>
      </c>
      <c r="S244" s="3001">
        <f t="shared" si="192"/>
        <v>2212454.4630015586</v>
      </c>
      <c r="T244" s="3001">
        <f t="shared" si="192"/>
        <v>2320528.7289016368</v>
      </c>
      <c r="U244" s="3001">
        <f t="shared" si="192"/>
        <v>2320528.7289016368</v>
      </c>
      <c r="V244" s="3001">
        <f t="shared" si="192"/>
        <v>2416348.4942050837</v>
      </c>
      <c r="W244" s="3001">
        <f t="shared" si="192"/>
        <v>2750211.9335980923</v>
      </c>
      <c r="X244" s="3001">
        <f t="shared" si="192"/>
        <v>2750211.9335980923</v>
      </c>
      <c r="Y244" s="3001">
        <f t="shared" si="192"/>
        <v>2750211.9335980923</v>
      </c>
      <c r="Z244" s="3001">
        <f t="shared" si="192"/>
        <v>2301128.648562164</v>
      </c>
      <c r="AA244" s="3001">
        <f t="shared" si="192"/>
        <v>2446008.1337009752</v>
      </c>
      <c r="AB244" s="3001">
        <f t="shared" si="192"/>
        <v>2446008.1337009752</v>
      </c>
      <c r="AC244" s="3001">
        <f t="shared" si="192"/>
        <v>2565760.083136024</v>
      </c>
      <c r="AD244" s="3001">
        <f t="shared" si="192"/>
        <v>2803452.9884418868</v>
      </c>
      <c r="AE244" s="3001">
        <f t="shared" si="192"/>
        <v>2803452.9884418868</v>
      </c>
      <c r="AF244" s="3001">
        <f t="shared" si="192"/>
        <v>3059210.5545509947</v>
      </c>
      <c r="AG244" s="3001">
        <f t="shared" si="192"/>
        <v>3059210.5545509947</v>
      </c>
      <c r="AH244" s="3001">
        <f t="shared" si="192"/>
        <v>3218940.1869165343</v>
      </c>
      <c r="AI244" s="3001">
        <f t="shared" si="192"/>
        <v>3377338.739012361</v>
      </c>
      <c r="AJ244" s="3001">
        <f t="shared" si="192"/>
        <v>3377338.739012361</v>
      </c>
      <c r="AK244" s="3001">
        <f t="shared" si="192"/>
        <v>2267966.5267235748</v>
      </c>
      <c r="AL244" s="3001">
        <f t="shared" si="192"/>
        <v>2378816.3958097533</v>
      </c>
      <c r="AM244" s="3001">
        <f t="shared" si="192"/>
        <v>2509058.440575311</v>
      </c>
      <c r="AN244" s="3001">
        <f t="shared" si="192"/>
        <v>2509058.440575311</v>
      </c>
      <c r="AO244" s="3001">
        <f t="shared" si="192"/>
        <v>2631962.9053540761</v>
      </c>
      <c r="AP244" s="3001">
        <f t="shared" si="192"/>
        <v>2631962.9053540761</v>
      </c>
      <c r="AQ244" s="3001">
        <f t="shared" si="192"/>
        <v>2631962.9053540761</v>
      </c>
      <c r="AR244" s="3001">
        <f t="shared" si="192"/>
        <v>2761012.5933717806</v>
      </c>
      <c r="AS244" s="3001">
        <f t="shared" si="192"/>
        <v>2761012.5933717806</v>
      </c>
      <c r="AT244" s="3001">
        <f t="shared" si="192"/>
        <v>2761012.5933717806</v>
      </c>
      <c r="AU244" s="3001">
        <f t="shared" si="192"/>
        <v>2896514.7657903703</v>
      </c>
      <c r="AV244" s="2694">
        <v>0</v>
      </c>
      <c r="AW244" s="2809"/>
      <c r="AX244" s="3010"/>
      <c r="AY244" s="2760"/>
      <c r="AZ244" s="2760"/>
      <c r="BA244" s="2760"/>
      <c r="BB244" s="2760"/>
      <c r="BC244" s="2760"/>
      <c r="BD244" s="2760"/>
      <c r="BE244" s="2760"/>
      <c r="BF244" s="2760"/>
      <c r="BG244" s="2760"/>
      <c r="BI244" s="2730"/>
      <c r="BJ244" s="2730"/>
    </row>
    <row r="245" spans="1:62" ht="18" hidden="1" outlineLevel="1" thickBot="1">
      <c r="A245" s="2773" t="s">
        <v>4272</v>
      </c>
      <c r="B245" s="3011"/>
      <c r="C245" s="3012"/>
      <c r="D245" s="3013">
        <v>1</v>
      </c>
      <c r="E245" s="3013"/>
      <c r="F245" s="3014">
        <f>SUM(F246:F249)</f>
        <v>92962570</v>
      </c>
      <c r="G245" s="3014">
        <f>SUM(G246:G249)</f>
        <v>104361440</v>
      </c>
      <c r="H245" s="3014">
        <f t="shared" ref="H245:AU245" ca="1" si="193">IF($B$220=1,0,SUM(H246:H249))</f>
        <v>0</v>
      </c>
      <c r="I245" s="3014">
        <f t="shared" ca="1" si="193"/>
        <v>0</v>
      </c>
      <c r="J245" s="3014">
        <f t="shared" ca="1" si="193"/>
        <v>0</v>
      </c>
      <c r="K245" s="3014">
        <f t="shared" ca="1" si="193"/>
        <v>0</v>
      </c>
      <c r="L245" s="3014">
        <f t="shared" ca="1" si="193"/>
        <v>0</v>
      </c>
      <c r="M245" s="3014">
        <f t="shared" ca="1" si="193"/>
        <v>0</v>
      </c>
      <c r="N245" s="3014">
        <f t="shared" ca="1" si="193"/>
        <v>0</v>
      </c>
      <c r="O245" s="3014">
        <f t="shared" ca="1" si="193"/>
        <v>0</v>
      </c>
      <c r="P245" s="3014">
        <f t="shared" ca="1" si="193"/>
        <v>0</v>
      </c>
      <c r="Q245" s="3014">
        <f t="shared" ca="1" si="193"/>
        <v>0</v>
      </c>
      <c r="R245" s="3014">
        <f t="shared" ca="1" si="193"/>
        <v>0</v>
      </c>
      <c r="S245" s="3014">
        <f t="shared" ca="1" si="193"/>
        <v>0</v>
      </c>
      <c r="T245" s="3014">
        <f t="shared" ca="1" si="193"/>
        <v>0</v>
      </c>
      <c r="U245" s="3014">
        <f t="shared" ca="1" si="193"/>
        <v>0</v>
      </c>
      <c r="V245" s="3014">
        <f t="shared" ca="1" si="193"/>
        <v>0</v>
      </c>
      <c r="W245" s="3014">
        <f t="shared" ca="1" si="193"/>
        <v>0</v>
      </c>
      <c r="X245" s="3014">
        <f t="shared" ca="1" si="193"/>
        <v>0</v>
      </c>
      <c r="Y245" s="3014">
        <f t="shared" ca="1" si="193"/>
        <v>0</v>
      </c>
      <c r="Z245" s="3014">
        <f t="shared" ca="1" si="193"/>
        <v>0</v>
      </c>
      <c r="AA245" s="3014">
        <f t="shared" ca="1" si="193"/>
        <v>0</v>
      </c>
      <c r="AB245" s="3014">
        <f t="shared" ca="1" si="193"/>
        <v>0</v>
      </c>
      <c r="AC245" s="3014">
        <f t="shared" ca="1" si="193"/>
        <v>0</v>
      </c>
      <c r="AD245" s="3014">
        <f t="shared" ca="1" si="193"/>
        <v>0</v>
      </c>
      <c r="AE245" s="3014">
        <f t="shared" ca="1" si="193"/>
        <v>0</v>
      </c>
      <c r="AF245" s="3014">
        <f t="shared" ca="1" si="193"/>
        <v>0</v>
      </c>
      <c r="AG245" s="3014">
        <f t="shared" ca="1" si="193"/>
        <v>0</v>
      </c>
      <c r="AH245" s="3014">
        <f t="shared" ca="1" si="193"/>
        <v>0</v>
      </c>
      <c r="AI245" s="3014">
        <f t="shared" ca="1" si="193"/>
        <v>0</v>
      </c>
      <c r="AJ245" s="3014">
        <f t="shared" ca="1" si="193"/>
        <v>0</v>
      </c>
      <c r="AK245" s="3014">
        <f t="shared" ca="1" si="193"/>
        <v>0</v>
      </c>
      <c r="AL245" s="3014">
        <f t="shared" ca="1" si="193"/>
        <v>0</v>
      </c>
      <c r="AM245" s="3014">
        <f t="shared" ca="1" si="193"/>
        <v>0</v>
      </c>
      <c r="AN245" s="3014">
        <f t="shared" ca="1" si="193"/>
        <v>0</v>
      </c>
      <c r="AO245" s="3014">
        <f t="shared" ca="1" si="193"/>
        <v>0</v>
      </c>
      <c r="AP245" s="3014">
        <f t="shared" ca="1" si="193"/>
        <v>0</v>
      </c>
      <c r="AQ245" s="3014">
        <f t="shared" ca="1" si="193"/>
        <v>0</v>
      </c>
      <c r="AR245" s="3014">
        <f t="shared" ca="1" si="193"/>
        <v>0</v>
      </c>
      <c r="AS245" s="3014">
        <f t="shared" ca="1" si="193"/>
        <v>0</v>
      </c>
      <c r="AT245" s="3014">
        <f t="shared" ca="1" si="193"/>
        <v>0</v>
      </c>
      <c r="AU245" s="3014">
        <f t="shared" ca="1" si="193"/>
        <v>0</v>
      </c>
      <c r="AV245" s="2694">
        <v>0</v>
      </c>
      <c r="AW245" s="2809"/>
      <c r="AX245" s="3015"/>
      <c r="AY245" s="2774"/>
      <c r="AZ245" s="2774"/>
      <c r="BA245" s="2774"/>
      <c r="BB245" s="2774"/>
      <c r="BC245" s="2774"/>
      <c r="BD245" s="2774"/>
      <c r="BE245" s="2774"/>
      <c r="BF245" s="2774"/>
      <c r="BG245" s="2774"/>
      <c r="BI245" s="2730"/>
      <c r="BJ245" s="2730"/>
    </row>
    <row r="246" spans="1:62" ht="18" hidden="1" outlineLevel="1" thickBot="1">
      <c r="A246" s="2767" t="s">
        <v>4062</v>
      </c>
      <c r="B246" s="2826" t="s">
        <v>4273</v>
      </c>
      <c r="C246" s="3008">
        <v>0.01</v>
      </c>
      <c r="D246" s="3009"/>
      <c r="E246" s="3009"/>
      <c r="F246" s="3001">
        <v>33257190</v>
      </c>
      <c r="G246" s="3003">
        <v>39555270</v>
      </c>
      <c r="H246" s="3003">
        <f t="shared" ref="H246:AQ246" ca="1" si="194">((H220*0.0306)+(H220*0.0306)*0.03275)*(1+$C$246)</f>
        <v>9575451.4499999993</v>
      </c>
      <c r="I246" s="3003">
        <f t="shared" ca="1" si="194"/>
        <v>9766960.4790000003</v>
      </c>
      <c r="J246" s="3003">
        <f t="shared" ca="1" si="194"/>
        <v>9962299.6885800008</v>
      </c>
      <c r="K246" s="3003">
        <f t="shared" ca="1" si="194"/>
        <v>10161545.6823516</v>
      </c>
      <c r="L246" s="3003">
        <f t="shared" ca="1" si="194"/>
        <v>10364776.595998632</v>
      </c>
      <c r="M246" s="3003">
        <f t="shared" ca="1" si="194"/>
        <v>10572072.127918603</v>
      </c>
      <c r="N246" s="3003">
        <f t="shared" ca="1" si="194"/>
        <v>10783513.570476975</v>
      </c>
      <c r="O246" s="3003">
        <f t="shared" ca="1" si="194"/>
        <v>10999183.841886513</v>
      </c>
      <c r="P246" s="3003">
        <f t="shared" ca="1" si="194"/>
        <v>11219167.518724244</v>
      </c>
      <c r="Q246" s="3003">
        <f t="shared" ca="1" si="194"/>
        <v>11443550.86909873</v>
      </c>
      <c r="R246" s="3003">
        <f t="shared" ca="1" si="194"/>
        <v>11672421.886480704</v>
      </c>
      <c r="S246" s="3003">
        <f t="shared" ca="1" si="194"/>
        <v>11905870.324210322</v>
      </c>
      <c r="T246" s="3003">
        <f t="shared" ca="1" si="194"/>
        <v>12143987.730694525</v>
      </c>
      <c r="U246" s="3003">
        <f t="shared" ca="1" si="194"/>
        <v>12386867.485308416</v>
      </c>
      <c r="V246" s="3003">
        <f t="shared" ca="1" si="194"/>
        <v>12634604.835014584</v>
      </c>
      <c r="W246" s="3003">
        <f t="shared" ca="1" si="194"/>
        <v>12887296.931714877</v>
      </c>
      <c r="X246" s="3003">
        <f t="shared" ca="1" si="194"/>
        <v>13145042.870349176</v>
      </c>
      <c r="Y246" s="3003">
        <f t="shared" ca="1" si="194"/>
        <v>13407943.727756159</v>
      </c>
      <c r="Z246" s="3003">
        <f t="shared" ca="1" si="194"/>
        <v>13676102.602311281</v>
      </c>
      <c r="AA246" s="3003">
        <f t="shared" ca="1" si="194"/>
        <v>13949624.654357508</v>
      </c>
      <c r="AB246" s="3003">
        <f t="shared" ca="1" si="194"/>
        <v>14228617.147444656</v>
      </c>
      <c r="AC246" s="3003">
        <f t="shared" ca="1" si="194"/>
        <v>14513189.490393551</v>
      </c>
      <c r="AD246" s="3003">
        <f t="shared" ca="1" si="194"/>
        <v>14803453.28020142</v>
      </c>
      <c r="AE246" s="3003">
        <f t="shared" ca="1" si="194"/>
        <v>15099522.345805449</v>
      </c>
      <c r="AF246" s="3003">
        <f t="shared" ca="1" si="194"/>
        <v>15401512.792721558</v>
      </c>
      <c r="AG246" s="3003">
        <f t="shared" ca="1" si="194"/>
        <v>15709543.04857599</v>
      </c>
      <c r="AH246" s="3003">
        <f t="shared" ca="1" si="194"/>
        <v>16023733.90954751</v>
      </c>
      <c r="AI246" s="3003">
        <f t="shared" ca="1" si="194"/>
        <v>16344208.587738462</v>
      </c>
      <c r="AJ246" s="3003">
        <f t="shared" ca="1" si="194"/>
        <v>16671092.759493234</v>
      </c>
      <c r="AK246" s="3003">
        <f t="shared" ca="1" si="194"/>
        <v>17004514.614683095</v>
      </c>
      <c r="AL246" s="3003">
        <f t="shared" ca="1" si="194"/>
        <v>17344604.906976759</v>
      </c>
      <c r="AM246" s="3003">
        <f t="shared" ca="1" si="194"/>
        <v>17691497.005116295</v>
      </c>
      <c r="AN246" s="3003">
        <f t="shared" ca="1" si="194"/>
        <v>18045326.945218623</v>
      </c>
      <c r="AO246" s="3003">
        <f t="shared" ca="1" si="194"/>
        <v>18406233.484122999</v>
      </c>
      <c r="AP246" s="3003">
        <f t="shared" ca="1" si="194"/>
        <v>18774358.153805457</v>
      </c>
      <c r="AQ246" s="3003">
        <f t="shared" ca="1" si="194"/>
        <v>19149845.316881571</v>
      </c>
      <c r="AR246" s="3003">
        <f ca="1">((AR220*0.0306)+(AR220*0.0306)*0.03275)*(1+$C$246)</f>
        <v>19532842.223219201</v>
      </c>
      <c r="AS246" s="3003">
        <f ca="1">((AS220*0.0306)+(AS220*0.0306)*0.03275)*(1+$C$246)</f>
        <v>19923499.067683585</v>
      </c>
      <c r="AT246" s="3003">
        <f ca="1">((AT220*0.0306)+(AT220*0.0306)*0.03275)*(1+$C$246)</f>
        <v>20321969.049037255</v>
      </c>
      <c r="AU246" s="3003">
        <f ca="1">((AU220*0.0306)+(AU220*0.0306)*0.03275)*(1+$C$246)</f>
        <v>20728408.430018004</v>
      </c>
      <c r="AV246" s="2694">
        <v>0</v>
      </c>
      <c r="AW246" s="2974"/>
      <c r="AX246" s="3010"/>
      <c r="AY246" s="2760"/>
      <c r="AZ246" s="2760"/>
      <c r="BA246" s="2760"/>
      <c r="BB246" s="2760"/>
      <c r="BC246" s="2760"/>
      <c r="BD246" s="2760"/>
      <c r="BE246" s="2760"/>
      <c r="BF246" s="2760"/>
      <c r="BG246" s="2760"/>
      <c r="BI246" s="2730"/>
      <c r="BJ246" s="2730"/>
    </row>
    <row r="247" spans="1:62" ht="18" hidden="1" outlineLevel="1" thickBot="1">
      <c r="A247" s="2767" t="s">
        <v>4274</v>
      </c>
      <c r="B247" s="2826" t="s">
        <v>4275</v>
      </c>
      <c r="C247" s="3008">
        <v>0.01</v>
      </c>
      <c r="D247" s="3009"/>
      <c r="E247" s="3009"/>
      <c r="F247" s="3001">
        <v>41526780</v>
      </c>
      <c r="G247" s="3003">
        <v>43211040</v>
      </c>
      <c r="H247" s="3003">
        <f t="shared" ref="H247:AU247" si="195">(202050*17*12)*(1+$C$247)</f>
        <v>41630382</v>
      </c>
      <c r="I247" s="3003">
        <f t="shared" si="195"/>
        <v>41630382</v>
      </c>
      <c r="J247" s="3003">
        <f t="shared" si="195"/>
        <v>41630382</v>
      </c>
      <c r="K247" s="3003">
        <f t="shared" si="195"/>
        <v>41630382</v>
      </c>
      <c r="L247" s="3003">
        <f t="shared" si="195"/>
        <v>41630382</v>
      </c>
      <c r="M247" s="3003">
        <f t="shared" si="195"/>
        <v>41630382</v>
      </c>
      <c r="N247" s="3003">
        <f t="shared" si="195"/>
        <v>41630382</v>
      </c>
      <c r="O247" s="3003">
        <f t="shared" si="195"/>
        <v>41630382</v>
      </c>
      <c r="P247" s="3003">
        <f t="shared" si="195"/>
        <v>41630382</v>
      </c>
      <c r="Q247" s="3003">
        <f t="shared" si="195"/>
        <v>41630382</v>
      </c>
      <c r="R247" s="3003">
        <f t="shared" si="195"/>
        <v>41630382</v>
      </c>
      <c r="S247" s="3003">
        <f t="shared" si="195"/>
        <v>41630382</v>
      </c>
      <c r="T247" s="3003">
        <f t="shared" si="195"/>
        <v>41630382</v>
      </c>
      <c r="U247" s="3003">
        <f t="shared" si="195"/>
        <v>41630382</v>
      </c>
      <c r="V247" s="3003">
        <f t="shared" si="195"/>
        <v>41630382</v>
      </c>
      <c r="W247" s="3003">
        <f t="shared" si="195"/>
        <v>41630382</v>
      </c>
      <c r="X247" s="3003">
        <f t="shared" si="195"/>
        <v>41630382</v>
      </c>
      <c r="Y247" s="3003">
        <f t="shared" si="195"/>
        <v>41630382</v>
      </c>
      <c r="Z247" s="3003">
        <f t="shared" si="195"/>
        <v>41630382</v>
      </c>
      <c r="AA247" s="3003">
        <f t="shared" si="195"/>
        <v>41630382</v>
      </c>
      <c r="AB247" s="3003">
        <f t="shared" si="195"/>
        <v>41630382</v>
      </c>
      <c r="AC247" s="3003">
        <f t="shared" si="195"/>
        <v>41630382</v>
      </c>
      <c r="AD247" s="3003">
        <f t="shared" si="195"/>
        <v>41630382</v>
      </c>
      <c r="AE247" s="3003">
        <f t="shared" si="195"/>
        <v>41630382</v>
      </c>
      <c r="AF247" s="3003">
        <f t="shared" si="195"/>
        <v>41630382</v>
      </c>
      <c r="AG247" s="3003">
        <f t="shared" si="195"/>
        <v>41630382</v>
      </c>
      <c r="AH247" s="3003">
        <f t="shared" si="195"/>
        <v>41630382</v>
      </c>
      <c r="AI247" s="3003">
        <f t="shared" si="195"/>
        <v>41630382</v>
      </c>
      <c r="AJ247" s="3003">
        <f t="shared" si="195"/>
        <v>41630382</v>
      </c>
      <c r="AK247" s="3003">
        <f t="shared" si="195"/>
        <v>41630382</v>
      </c>
      <c r="AL247" s="3003">
        <f t="shared" si="195"/>
        <v>41630382</v>
      </c>
      <c r="AM247" s="3003">
        <f t="shared" si="195"/>
        <v>41630382</v>
      </c>
      <c r="AN247" s="3003">
        <f t="shared" si="195"/>
        <v>41630382</v>
      </c>
      <c r="AO247" s="3003">
        <f t="shared" si="195"/>
        <v>41630382</v>
      </c>
      <c r="AP247" s="3003">
        <f t="shared" si="195"/>
        <v>41630382</v>
      </c>
      <c r="AQ247" s="3003">
        <f t="shared" si="195"/>
        <v>41630382</v>
      </c>
      <c r="AR247" s="3003">
        <f t="shared" si="195"/>
        <v>41630382</v>
      </c>
      <c r="AS247" s="3003">
        <f t="shared" si="195"/>
        <v>41630382</v>
      </c>
      <c r="AT247" s="3003">
        <f t="shared" si="195"/>
        <v>41630382</v>
      </c>
      <c r="AU247" s="3003">
        <f t="shared" si="195"/>
        <v>41630382</v>
      </c>
      <c r="AV247" s="2694">
        <v>0</v>
      </c>
      <c r="AW247" s="2809"/>
      <c r="AX247" s="3010"/>
      <c r="AY247" s="2760"/>
      <c r="AZ247" s="2760"/>
      <c r="BA247" s="2760"/>
      <c r="BB247" s="2760"/>
      <c r="BC247" s="2760"/>
      <c r="BD247" s="2760"/>
      <c r="BE247" s="2760"/>
      <c r="BF247" s="2760"/>
      <c r="BG247" s="2760"/>
      <c r="BI247" s="2730"/>
      <c r="BJ247" s="2730"/>
    </row>
    <row r="248" spans="1:62" ht="18" hidden="1" outlineLevel="1" thickBot="1">
      <c r="A248" s="2767" t="s">
        <v>4276</v>
      </c>
      <c r="B248" s="2826" t="s">
        <v>4277</v>
      </c>
      <c r="C248" s="3008">
        <v>0.01</v>
      </c>
      <c r="D248" s="3009"/>
      <c r="E248" s="3009"/>
      <c r="F248" s="3001">
        <v>8938030</v>
      </c>
      <c r="G248" s="3003">
        <v>10197000</v>
      </c>
      <c r="H248" s="3003">
        <f t="shared" ref="H248:AQ248" ca="1" si="196">(H220*0.003)*(1+$C$248)</f>
        <v>909000</v>
      </c>
      <c r="I248" s="3003">
        <f t="shared" ca="1" si="196"/>
        <v>927180</v>
      </c>
      <c r="J248" s="3003">
        <f t="shared" ca="1" si="196"/>
        <v>945723.6</v>
      </c>
      <c r="K248" s="3003">
        <f t="shared" ca="1" si="196"/>
        <v>964638.07200000004</v>
      </c>
      <c r="L248" s="3003">
        <f t="shared" ca="1" si="196"/>
        <v>983930.83344000007</v>
      </c>
      <c r="M248" s="3003">
        <f t="shared" ca="1" si="196"/>
        <v>1003609.4501087999</v>
      </c>
      <c r="N248" s="3003">
        <f t="shared" ca="1" si="196"/>
        <v>1023681.6391109759</v>
      </c>
      <c r="O248" s="3003">
        <f t="shared" ca="1" si="196"/>
        <v>1044155.2718931955</v>
      </c>
      <c r="P248" s="3003">
        <f t="shared" ca="1" si="196"/>
        <v>1065038.3773310592</v>
      </c>
      <c r="Q248" s="3003">
        <f t="shared" ca="1" si="196"/>
        <v>1086339.1448776806</v>
      </c>
      <c r="R248" s="3003">
        <f t="shared" ca="1" si="196"/>
        <v>1108065.9277752342</v>
      </c>
      <c r="S248" s="3003">
        <f t="shared" ca="1" si="196"/>
        <v>1130227.246330739</v>
      </c>
      <c r="T248" s="3003">
        <f t="shared" ca="1" si="196"/>
        <v>1152831.7912573535</v>
      </c>
      <c r="U248" s="3003">
        <f t="shared" ca="1" si="196"/>
        <v>1175888.4270825007</v>
      </c>
      <c r="V248" s="3003">
        <f t="shared" ca="1" si="196"/>
        <v>1199406.1956241508</v>
      </c>
      <c r="W248" s="3003">
        <f t="shared" ca="1" si="196"/>
        <v>1223394.3195366338</v>
      </c>
      <c r="X248" s="3003">
        <f t="shared" ca="1" si="196"/>
        <v>1247862.2059273664</v>
      </c>
      <c r="Y248" s="3003">
        <f t="shared" ca="1" si="196"/>
        <v>1272819.4500459139</v>
      </c>
      <c r="Z248" s="3003">
        <f t="shared" ca="1" si="196"/>
        <v>1298275.8390468319</v>
      </c>
      <c r="AA248" s="3003">
        <f t="shared" ca="1" si="196"/>
        <v>1324241.3558277688</v>
      </c>
      <c r="AB248" s="3003">
        <f t="shared" ca="1" si="196"/>
        <v>1350726.1829443243</v>
      </c>
      <c r="AC248" s="3003">
        <f t="shared" ca="1" si="196"/>
        <v>1377740.7066032107</v>
      </c>
      <c r="AD248" s="3003">
        <f t="shared" ca="1" si="196"/>
        <v>1405295.5207352748</v>
      </c>
      <c r="AE248" s="3003">
        <f t="shared" ca="1" si="196"/>
        <v>1433401.4311499803</v>
      </c>
      <c r="AF248" s="3003">
        <f t="shared" ca="1" si="196"/>
        <v>1462069.4597729801</v>
      </c>
      <c r="AG248" s="3003">
        <f t="shared" ca="1" si="196"/>
        <v>1491310.8489684395</v>
      </c>
      <c r="AH248" s="3003">
        <f t="shared" ca="1" si="196"/>
        <v>1521137.0659478086</v>
      </c>
      <c r="AI248" s="3003">
        <f t="shared" ca="1" si="196"/>
        <v>1551559.8072667646</v>
      </c>
      <c r="AJ248" s="3003">
        <f t="shared" ca="1" si="196"/>
        <v>1582591.0034121</v>
      </c>
      <c r="AK248" s="3003">
        <f t="shared" ca="1" si="196"/>
        <v>1614242.823480342</v>
      </c>
      <c r="AL248" s="3003">
        <f t="shared" ca="1" si="196"/>
        <v>1646527.679949949</v>
      </c>
      <c r="AM248" s="3003">
        <f t="shared" ca="1" si="196"/>
        <v>1679458.2335489483</v>
      </c>
      <c r="AN248" s="3003">
        <f t="shared" ca="1" si="196"/>
        <v>1713047.3982199274</v>
      </c>
      <c r="AO248" s="3003">
        <f t="shared" ca="1" si="196"/>
        <v>1747308.3461843259</v>
      </c>
      <c r="AP248" s="3003">
        <f t="shared" ca="1" si="196"/>
        <v>1782254.5131080127</v>
      </c>
      <c r="AQ248" s="3003">
        <f t="shared" ca="1" si="196"/>
        <v>1817899.6033701729</v>
      </c>
      <c r="AR248" s="3003">
        <f ca="1">(AR220*0.003)*(1+$C$248)</f>
        <v>1854257.5954375763</v>
      </c>
      <c r="AS248" s="3003">
        <f ca="1">(AS220*0.003)*(1+$C$248)</f>
        <v>1891342.7473463279</v>
      </c>
      <c r="AT248" s="3003">
        <f ca="1">(AT220*0.003)*(1+$C$248)</f>
        <v>1929169.6022932543</v>
      </c>
      <c r="AU248" s="3003">
        <f ca="1">(AU220*0.003)*(1+$C$248)</f>
        <v>1967752.9943391196</v>
      </c>
      <c r="AV248" s="2694">
        <v>0</v>
      </c>
      <c r="AW248" s="2809"/>
      <c r="AX248" s="3010"/>
      <c r="AY248" s="2760"/>
      <c r="AZ248" s="2760"/>
      <c r="BA248" s="2760"/>
      <c r="BB248" s="2760"/>
      <c r="BC248" s="2760"/>
      <c r="BD248" s="2760"/>
      <c r="BE248" s="2760"/>
      <c r="BF248" s="2760"/>
      <c r="BG248" s="2760"/>
      <c r="BI248" s="2730"/>
      <c r="BJ248" s="2730"/>
    </row>
    <row r="249" spans="1:62" ht="18" hidden="1" outlineLevel="1" thickBot="1">
      <c r="A249" s="2767" t="s">
        <v>4278</v>
      </c>
      <c r="B249" s="2826" t="s">
        <v>4279</v>
      </c>
      <c r="C249" s="3008">
        <v>0.01</v>
      </c>
      <c r="D249" s="3009"/>
      <c r="E249" s="3009"/>
      <c r="F249" s="3001">
        <v>9240570</v>
      </c>
      <c r="G249" s="3003">
        <v>11398130</v>
      </c>
      <c r="H249" s="3003">
        <f t="shared" ref="H249:AQ249" ca="1" si="197">(H220*0.003)*(1+$C$249)</f>
        <v>909000</v>
      </c>
      <c r="I249" s="3003">
        <f t="shared" ca="1" si="197"/>
        <v>927180</v>
      </c>
      <c r="J249" s="3003">
        <f t="shared" ca="1" si="197"/>
        <v>945723.6</v>
      </c>
      <c r="K249" s="3003">
        <f t="shared" ca="1" si="197"/>
        <v>964638.07200000004</v>
      </c>
      <c r="L249" s="3003">
        <f t="shared" ca="1" si="197"/>
        <v>983930.83344000007</v>
      </c>
      <c r="M249" s="3003">
        <f t="shared" ca="1" si="197"/>
        <v>1003609.4501087999</v>
      </c>
      <c r="N249" s="3003">
        <f t="shared" ca="1" si="197"/>
        <v>1023681.6391109759</v>
      </c>
      <c r="O249" s="3003">
        <f t="shared" ca="1" si="197"/>
        <v>1044155.2718931955</v>
      </c>
      <c r="P249" s="3003">
        <f t="shared" ca="1" si="197"/>
        <v>1065038.3773310592</v>
      </c>
      <c r="Q249" s="3003">
        <f t="shared" ca="1" si="197"/>
        <v>1086339.1448776806</v>
      </c>
      <c r="R249" s="3003">
        <f t="shared" ca="1" si="197"/>
        <v>1108065.9277752342</v>
      </c>
      <c r="S249" s="3003">
        <f t="shared" ca="1" si="197"/>
        <v>1130227.246330739</v>
      </c>
      <c r="T249" s="3003">
        <f t="shared" ca="1" si="197"/>
        <v>1152831.7912573535</v>
      </c>
      <c r="U249" s="3003">
        <f t="shared" ca="1" si="197"/>
        <v>1175888.4270825007</v>
      </c>
      <c r="V249" s="3003">
        <f t="shared" ca="1" si="197"/>
        <v>1199406.1956241508</v>
      </c>
      <c r="W249" s="3003">
        <f t="shared" ca="1" si="197"/>
        <v>1223394.3195366338</v>
      </c>
      <c r="X249" s="3003">
        <f t="shared" ca="1" si="197"/>
        <v>1247862.2059273664</v>
      </c>
      <c r="Y249" s="3003">
        <f t="shared" ca="1" si="197"/>
        <v>1272819.4500459139</v>
      </c>
      <c r="Z249" s="3003">
        <f t="shared" ca="1" si="197"/>
        <v>1298275.8390468319</v>
      </c>
      <c r="AA249" s="3003">
        <f t="shared" ca="1" si="197"/>
        <v>1324241.3558277688</v>
      </c>
      <c r="AB249" s="3003">
        <f t="shared" ca="1" si="197"/>
        <v>1350726.1829443243</v>
      </c>
      <c r="AC249" s="3003">
        <f t="shared" ca="1" si="197"/>
        <v>1377740.7066032107</v>
      </c>
      <c r="AD249" s="3003">
        <f t="shared" ca="1" si="197"/>
        <v>1405295.5207352748</v>
      </c>
      <c r="AE249" s="3003">
        <f t="shared" ca="1" si="197"/>
        <v>1433401.4311499803</v>
      </c>
      <c r="AF249" s="3003">
        <f t="shared" ca="1" si="197"/>
        <v>1462069.4597729801</v>
      </c>
      <c r="AG249" s="3003">
        <f t="shared" ca="1" si="197"/>
        <v>1491310.8489684395</v>
      </c>
      <c r="AH249" s="3003">
        <f t="shared" ca="1" si="197"/>
        <v>1521137.0659478086</v>
      </c>
      <c r="AI249" s="3003">
        <f t="shared" ca="1" si="197"/>
        <v>1551559.8072667646</v>
      </c>
      <c r="AJ249" s="3003">
        <f t="shared" ca="1" si="197"/>
        <v>1582591.0034121</v>
      </c>
      <c r="AK249" s="3003">
        <f t="shared" ca="1" si="197"/>
        <v>1614242.823480342</v>
      </c>
      <c r="AL249" s="3003">
        <f t="shared" ca="1" si="197"/>
        <v>1646527.679949949</v>
      </c>
      <c r="AM249" s="3003">
        <f t="shared" ca="1" si="197"/>
        <v>1679458.2335489483</v>
      </c>
      <c r="AN249" s="3003">
        <f t="shared" ca="1" si="197"/>
        <v>1713047.3982199274</v>
      </c>
      <c r="AO249" s="3003">
        <f t="shared" ca="1" si="197"/>
        <v>1747308.3461843259</v>
      </c>
      <c r="AP249" s="3003">
        <f t="shared" ca="1" si="197"/>
        <v>1782254.5131080127</v>
      </c>
      <c r="AQ249" s="3003">
        <f t="shared" ca="1" si="197"/>
        <v>1817899.6033701729</v>
      </c>
      <c r="AR249" s="3003">
        <f ca="1">(AR220*0.003)*(1+$C$249)</f>
        <v>1854257.5954375763</v>
      </c>
      <c r="AS249" s="3003">
        <f ca="1">(AS220*0.003)*(1+$C$249)</f>
        <v>1891342.7473463279</v>
      </c>
      <c r="AT249" s="3003">
        <f ca="1">(AT220*0.003)*(1+$C$249)</f>
        <v>1929169.6022932543</v>
      </c>
      <c r="AU249" s="3003">
        <f ca="1">(AU220*0.003)*(1+$C$249)</f>
        <v>1967752.9943391196</v>
      </c>
      <c r="AV249" s="2694">
        <v>0</v>
      </c>
      <c r="AW249" s="2809"/>
      <c r="AX249" s="3010"/>
      <c r="AY249" s="2760"/>
      <c r="AZ249" s="2760"/>
      <c r="BA249" s="2760"/>
      <c r="BB249" s="2760"/>
      <c r="BC249" s="2760"/>
      <c r="BD249" s="2760"/>
      <c r="BE249" s="2760"/>
      <c r="BF249" s="2760"/>
      <c r="BG249" s="2760"/>
      <c r="BI249" s="2730"/>
      <c r="BJ249" s="2730"/>
    </row>
    <row r="250" spans="1:62" ht="18" hidden="1" outlineLevel="1" thickBot="1">
      <c r="A250" s="2773" t="s">
        <v>4280</v>
      </c>
      <c r="B250" s="3000"/>
      <c r="C250" s="2962"/>
      <c r="D250" s="2963">
        <v>1</v>
      </c>
      <c r="E250" s="2963"/>
      <c r="F250" s="2961"/>
      <c r="G250" s="2967"/>
      <c r="H250" s="2967"/>
      <c r="I250" s="2967"/>
      <c r="J250" s="2967"/>
      <c r="K250" s="2967"/>
      <c r="L250" s="2967"/>
      <c r="M250" s="2967"/>
      <c r="N250" s="2967"/>
      <c r="O250" s="2967"/>
      <c r="P250" s="2967"/>
      <c r="Q250" s="2967"/>
      <c r="R250" s="2967"/>
      <c r="S250" s="2967"/>
      <c r="T250" s="2967"/>
      <c r="U250" s="2967"/>
      <c r="V250" s="2967"/>
      <c r="W250" s="2967"/>
      <c r="X250" s="2967"/>
      <c r="Y250" s="2967"/>
      <c r="Z250" s="2967"/>
      <c r="AA250" s="2967"/>
      <c r="AB250" s="2967"/>
      <c r="AC250" s="2967"/>
      <c r="AD250" s="2967"/>
      <c r="AE250" s="2967"/>
      <c r="AF250" s="2967"/>
      <c r="AG250" s="2967"/>
      <c r="AH250" s="2967"/>
      <c r="AI250" s="2967"/>
      <c r="AJ250" s="2967"/>
      <c r="AK250" s="2967"/>
      <c r="AL250" s="2967"/>
      <c r="AM250" s="2967"/>
      <c r="AN250" s="2967"/>
      <c r="AO250" s="2967"/>
      <c r="AP250" s="2967"/>
      <c r="AQ250" s="2967"/>
      <c r="AR250" s="2967"/>
      <c r="AS250" s="2967"/>
      <c r="AT250" s="2967"/>
      <c r="AU250" s="2967"/>
      <c r="AV250" s="2694">
        <v>0</v>
      </c>
      <c r="AW250" s="2809"/>
      <c r="AX250" s="2965"/>
      <c r="AY250" s="2774"/>
      <c r="AZ250" s="2774"/>
      <c r="BA250" s="2774"/>
      <c r="BB250" s="2774"/>
      <c r="BC250" s="2774"/>
      <c r="BD250" s="2774"/>
      <c r="BE250" s="2774"/>
      <c r="BF250" s="2774"/>
      <c r="BG250" s="2774"/>
      <c r="BI250" s="2730"/>
      <c r="BJ250" s="2730"/>
    </row>
    <row r="251" spans="1:62" ht="18" hidden="1" outlineLevel="1" thickBot="1">
      <c r="A251" s="2789" t="s">
        <v>4072</v>
      </c>
      <c r="B251" s="3016">
        <v>1</v>
      </c>
      <c r="C251" s="3017"/>
      <c r="D251" s="3018">
        <v>1</v>
      </c>
      <c r="E251" s="3018"/>
      <c r="F251" s="2997">
        <f>F252+F256+F257</f>
        <v>4201836</v>
      </c>
      <c r="G251" s="2997">
        <f t="shared" ref="G251:AU251" si="198">G252+G256+G257</f>
        <v>3633700</v>
      </c>
      <c r="H251" s="2997">
        <f t="shared" si="198"/>
        <v>4860000</v>
      </c>
      <c r="I251" s="2997">
        <f t="shared" si="198"/>
        <v>4908600</v>
      </c>
      <c r="J251" s="2997">
        <f t="shared" si="198"/>
        <v>4957686</v>
      </c>
      <c r="K251" s="2997">
        <f t="shared" si="198"/>
        <v>5007262.8600000003</v>
      </c>
      <c r="L251" s="2997">
        <f t="shared" si="198"/>
        <v>5057335.4885999998</v>
      </c>
      <c r="M251" s="2997">
        <f t="shared" si="198"/>
        <v>5107908.8434859999</v>
      </c>
      <c r="N251" s="2997">
        <f t="shared" si="198"/>
        <v>5158987.93192086</v>
      </c>
      <c r="O251" s="2997">
        <f t="shared" si="198"/>
        <v>5210577.8112400686</v>
      </c>
      <c r="P251" s="2997">
        <f t="shared" si="198"/>
        <v>5262683.589352469</v>
      </c>
      <c r="Q251" s="2997">
        <f t="shared" si="198"/>
        <v>5315310.4252459938</v>
      </c>
      <c r="R251" s="2997">
        <f t="shared" si="198"/>
        <v>5368463.5294984542</v>
      </c>
      <c r="S251" s="2997">
        <f t="shared" si="198"/>
        <v>5422148.1647934383</v>
      </c>
      <c r="T251" s="2997">
        <f t="shared" si="198"/>
        <v>5476369.6464413721</v>
      </c>
      <c r="U251" s="2997">
        <f t="shared" si="198"/>
        <v>5531133.3429057868</v>
      </c>
      <c r="V251" s="2997">
        <f t="shared" si="198"/>
        <v>5586444.6763348449</v>
      </c>
      <c r="W251" s="2997">
        <f t="shared" si="198"/>
        <v>5642309.1230981937</v>
      </c>
      <c r="X251" s="2997">
        <f t="shared" si="198"/>
        <v>5698732.2143291757</v>
      </c>
      <c r="Y251" s="2997">
        <f t="shared" si="198"/>
        <v>5755719.5364724677</v>
      </c>
      <c r="Z251" s="2997">
        <f t="shared" si="198"/>
        <v>5813276.7318371926</v>
      </c>
      <c r="AA251" s="2997">
        <f t="shared" si="198"/>
        <v>5871409.4991555652</v>
      </c>
      <c r="AB251" s="2997">
        <f t="shared" si="198"/>
        <v>5930123.5941471215</v>
      </c>
      <c r="AC251" s="2997">
        <f t="shared" si="198"/>
        <v>5989424.8300885921</v>
      </c>
      <c r="AD251" s="2997">
        <f t="shared" si="198"/>
        <v>6049319.0783894779</v>
      </c>
      <c r="AE251" s="2997">
        <f t="shared" si="198"/>
        <v>6109812.2691733725</v>
      </c>
      <c r="AF251" s="2997">
        <f t="shared" si="198"/>
        <v>6170910.3918651063</v>
      </c>
      <c r="AG251" s="2997">
        <f t="shared" si="198"/>
        <v>6232619.4957837574</v>
      </c>
      <c r="AH251" s="2997">
        <f t="shared" si="198"/>
        <v>6294945.6907415967</v>
      </c>
      <c r="AI251" s="2997">
        <f t="shared" si="198"/>
        <v>6357895.1476490116</v>
      </c>
      <c r="AJ251" s="2997">
        <f t="shared" si="198"/>
        <v>6421474.0991255017</v>
      </c>
      <c r="AK251" s="2997">
        <f t="shared" si="198"/>
        <v>6485688.840116756</v>
      </c>
      <c r="AL251" s="2997">
        <f t="shared" si="198"/>
        <v>6550545.7285179235</v>
      </c>
      <c r="AM251" s="2997">
        <f t="shared" si="198"/>
        <v>6616051.1858031023</v>
      </c>
      <c r="AN251" s="2997">
        <f t="shared" si="198"/>
        <v>6682211.6976611335</v>
      </c>
      <c r="AO251" s="2997">
        <f t="shared" si="198"/>
        <v>6749033.8146377448</v>
      </c>
      <c r="AP251" s="2997">
        <f t="shared" si="198"/>
        <v>6816524.1527841231</v>
      </c>
      <c r="AQ251" s="2997">
        <f t="shared" si="198"/>
        <v>6884689.3943119645</v>
      </c>
      <c r="AR251" s="2997">
        <f t="shared" si="198"/>
        <v>6953536.2882550843</v>
      </c>
      <c r="AS251" s="2997">
        <f t="shared" si="198"/>
        <v>7023071.6511376351</v>
      </c>
      <c r="AT251" s="2997">
        <f t="shared" si="198"/>
        <v>7093302.3676490113</v>
      </c>
      <c r="AU251" s="2997">
        <f t="shared" si="198"/>
        <v>7164235.3913255017</v>
      </c>
      <c r="AV251" s="2694">
        <v>0</v>
      </c>
      <c r="AW251" s="2974"/>
      <c r="AX251" s="2965"/>
      <c r="AY251" s="2760"/>
      <c r="AZ251" s="2760"/>
      <c r="BA251" s="2760"/>
      <c r="BB251" s="2760"/>
      <c r="BC251" s="2760"/>
      <c r="BD251" s="2760"/>
      <c r="BE251" s="2760"/>
      <c r="BF251" s="2760"/>
      <c r="BG251" s="2760"/>
      <c r="BI251" s="2730"/>
      <c r="BJ251" s="2730"/>
    </row>
    <row r="252" spans="1:62" ht="18" hidden="1" outlineLevel="1" thickBot="1">
      <c r="A252" s="2773" t="s">
        <v>4281</v>
      </c>
      <c r="B252" s="3000"/>
      <c r="C252" s="2962"/>
      <c r="D252" s="2963"/>
      <c r="E252" s="2963"/>
      <c r="F252" s="2961">
        <f>SUM(F253:F255)</f>
        <v>1978799</v>
      </c>
      <c r="G252" s="2961">
        <f t="shared" ref="G252:AU252" si="199">SUM(G253:G255)</f>
        <v>2771700</v>
      </c>
      <c r="H252" s="2961">
        <f t="shared" si="199"/>
        <v>3960000</v>
      </c>
      <c r="I252" s="2961">
        <f t="shared" si="199"/>
        <v>3999600</v>
      </c>
      <c r="J252" s="2961">
        <f t="shared" si="199"/>
        <v>4039596</v>
      </c>
      <c r="K252" s="2961">
        <f t="shared" si="199"/>
        <v>4079991.96</v>
      </c>
      <c r="L252" s="2961">
        <f t="shared" si="199"/>
        <v>4120791.8796000001</v>
      </c>
      <c r="M252" s="2961">
        <f t="shared" si="199"/>
        <v>4161999.7983960002</v>
      </c>
      <c r="N252" s="2961">
        <f t="shared" si="199"/>
        <v>4203619.7963799601</v>
      </c>
      <c r="O252" s="2961">
        <f t="shared" si="199"/>
        <v>4245655.9943437595</v>
      </c>
      <c r="P252" s="2961">
        <f t="shared" si="199"/>
        <v>4288112.5542871971</v>
      </c>
      <c r="Q252" s="2961">
        <f t="shared" si="199"/>
        <v>4330993.6798300687</v>
      </c>
      <c r="R252" s="2961">
        <f t="shared" si="199"/>
        <v>4374303.6166283702</v>
      </c>
      <c r="S252" s="2961">
        <f t="shared" si="199"/>
        <v>4418046.6527946535</v>
      </c>
      <c r="T252" s="2961">
        <f t="shared" si="199"/>
        <v>4462227.1193225998</v>
      </c>
      <c r="U252" s="2961">
        <f t="shared" si="199"/>
        <v>4506849.3905158266</v>
      </c>
      <c r="V252" s="2961">
        <f t="shared" si="199"/>
        <v>4551917.8844209844</v>
      </c>
      <c r="W252" s="2961">
        <f t="shared" si="199"/>
        <v>4597437.0632651951</v>
      </c>
      <c r="X252" s="2961">
        <f t="shared" si="199"/>
        <v>4643411.4338978464</v>
      </c>
      <c r="Y252" s="2961">
        <f t="shared" si="199"/>
        <v>4689845.5482368255</v>
      </c>
      <c r="Z252" s="2961">
        <f t="shared" si="199"/>
        <v>4736744.0037191939</v>
      </c>
      <c r="AA252" s="2961">
        <f t="shared" si="199"/>
        <v>4784111.4437563866</v>
      </c>
      <c r="AB252" s="2961">
        <f t="shared" si="199"/>
        <v>4831952.5581939509</v>
      </c>
      <c r="AC252" s="2961">
        <f t="shared" si="199"/>
        <v>4880272.0837758901</v>
      </c>
      <c r="AD252" s="2961">
        <f t="shared" si="199"/>
        <v>4929074.8046136489</v>
      </c>
      <c r="AE252" s="2961">
        <f t="shared" si="199"/>
        <v>4978365.5526597854</v>
      </c>
      <c r="AF252" s="2961">
        <f t="shared" si="199"/>
        <v>5028149.2081863824</v>
      </c>
      <c r="AG252" s="2961">
        <f t="shared" si="199"/>
        <v>5078430.7002682472</v>
      </c>
      <c r="AH252" s="2961">
        <f t="shared" si="199"/>
        <v>5129215.0072709303</v>
      </c>
      <c r="AI252" s="2961">
        <f t="shared" si="199"/>
        <v>5180507.1573436391</v>
      </c>
      <c r="AJ252" s="2961">
        <f t="shared" si="199"/>
        <v>5232312.2289170753</v>
      </c>
      <c r="AK252" s="2961">
        <f t="shared" si="199"/>
        <v>5284635.3512062458</v>
      </c>
      <c r="AL252" s="2961">
        <f t="shared" si="199"/>
        <v>5337481.7047183076</v>
      </c>
      <c r="AM252" s="2961">
        <f t="shared" si="199"/>
        <v>5390856.521765491</v>
      </c>
      <c r="AN252" s="2961">
        <f t="shared" si="199"/>
        <v>5444765.0869831461</v>
      </c>
      <c r="AO252" s="2961">
        <f t="shared" si="199"/>
        <v>5499212.7378529776</v>
      </c>
      <c r="AP252" s="2961">
        <f t="shared" si="199"/>
        <v>5554204.8652315075</v>
      </c>
      <c r="AQ252" s="2961">
        <f t="shared" si="199"/>
        <v>5609746.913883823</v>
      </c>
      <c r="AR252" s="2961">
        <f t="shared" si="199"/>
        <v>5665844.3830226613</v>
      </c>
      <c r="AS252" s="2961">
        <f t="shared" si="199"/>
        <v>5722502.8268528879</v>
      </c>
      <c r="AT252" s="2961">
        <f t="shared" si="199"/>
        <v>5779727.855121417</v>
      </c>
      <c r="AU252" s="2961">
        <f t="shared" si="199"/>
        <v>5837525.1336726313</v>
      </c>
      <c r="AV252" s="2694">
        <v>0</v>
      </c>
      <c r="AW252" s="2974"/>
      <c r="AX252" s="2965"/>
      <c r="AY252" s="2774"/>
      <c r="AZ252" s="2774"/>
      <c r="BA252" s="2774"/>
      <c r="BB252" s="2774"/>
      <c r="BC252" s="2774"/>
      <c r="BD252" s="2774"/>
      <c r="BE252" s="2774"/>
      <c r="BF252" s="2774"/>
      <c r="BG252" s="2774"/>
      <c r="BI252" s="2730"/>
      <c r="BJ252" s="2730"/>
    </row>
    <row r="253" spans="1:62" ht="18" hidden="1" outlineLevel="1" thickBot="1">
      <c r="A253" s="2801" t="s">
        <v>4129</v>
      </c>
      <c r="B253" s="2808" t="s">
        <v>4150</v>
      </c>
      <c r="C253" s="2975">
        <v>0.01</v>
      </c>
      <c r="D253" s="3019"/>
      <c r="E253" s="3019"/>
      <c r="F253" s="3001">
        <v>1673180</v>
      </c>
      <c r="G253" s="3001">
        <v>2257600</v>
      </c>
      <c r="H253" s="3003">
        <v>3600000</v>
      </c>
      <c r="I253" s="3003">
        <f t="shared" ref="I253:AU253" si="200">H253*(1+$C$253)</f>
        <v>3636000</v>
      </c>
      <c r="J253" s="3003">
        <f t="shared" si="200"/>
        <v>3672360</v>
      </c>
      <c r="K253" s="3003">
        <f t="shared" si="200"/>
        <v>3709083.6</v>
      </c>
      <c r="L253" s="3003">
        <f t="shared" si="200"/>
        <v>3746174.4360000002</v>
      </c>
      <c r="M253" s="3003">
        <f t="shared" si="200"/>
        <v>3783636.1803600001</v>
      </c>
      <c r="N253" s="3003">
        <f t="shared" si="200"/>
        <v>3821472.5421636002</v>
      </c>
      <c r="O253" s="3003">
        <f t="shared" si="200"/>
        <v>3859687.2675852361</v>
      </c>
      <c r="P253" s="3003">
        <f t="shared" si="200"/>
        <v>3898284.1402610885</v>
      </c>
      <c r="Q253" s="3003">
        <f t="shared" si="200"/>
        <v>3937266.9816636993</v>
      </c>
      <c r="R253" s="3003">
        <f t="shared" si="200"/>
        <v>3976639.6514803362</v>
      </c>
      <c r="S253" s="3003">
        <f t="shared" si="200"/>
        <v>4016406.0479951394</v>
      </c>
      <c r="T253" s="3003">
        <f t="shared" si="200"/>
        <v>4056570.1084750909</v>
      </c>
      <c r="U253" s="3003">
        <f t="shared" si="200"/>
        <v>4097135.8095598421</v>
      </c>
      <c r="V253" s="3003">
        <f t="shared" si="200"/>
        <v>4138107.1676554405</v>
      </c>
      <c r="W253" s="3003">
        <f t="shared" si="200"/>
        <v>4179488.2393319951</v>
      </c>
      <c r="X253" s="3003">
        <f t="shared" si="200"/>
        <v>4221283.1217253152</v>
      </c>
      <c r="Y253" s="3003">
        <f t="shared" si="200"/>
        <v>4263495.9529425688</v>
      </c>
      <c r="Z253" s="3003">
        <f t="shared" si="200"/>
        <v>4306130.9124719948</v>
      </c>
      <c r="AA253" s="3003">
        <f t="shared" si="200"/>
        <v>4349192.221596715</v>
      </c>
      <c r="AB253" s="3003">
        <f t="shared" si="200"/>
        <v>4392684.1438126825</v>
      </c>
      <c r="AC253" s="3003">
        <f t="shared" si="200"/>
        <v>4436610.9852508092</v>
      </c>
      <c r="AD253" s="3003">
        <f t="shared" si="200"/>
        <v>4480977.0951033169</v>
      </c>
      <c r="AE253" s="3003">
        <f t="shared" si="200"/>
        <v>4525786.8660543505</v>
      </c>
      <c r="AF253" s="3003">
        <f t="shared" si="200"/>
        <v>4571044.7347148936</v>
      </c>
      <c r="AG253" s="3003">
        <f t="shared" si="200"/>
        <v>4616755.1820620429</v>
      </c>
      <c r="AH253" s="3003">
        <f t="shared" si="200"/>
        <v>4662922.7338826638</v>
      </c>
      <c r="AI253" s="3003">
        <f t="shared" si="200"/>
        <v>4709551.9612214901</v>
      </c>
      <c r="AJ253" s="3003">
        <f t="shared" si="200"/>
        <v>4756647.4808337046</v>
      </c>
      <c r="AK253" s="3003">
        <f t="shared" si="200"/>
        <v>4804213.9556420418</v>
      </c>
      <c r="AL253" s="3003">
        <f t="shared" si="200"/>
        <v>4852256.0951984618</v>
      </c>
      <c r="AM253" s="3003">
        <f t="shared" si="200"/>
        <v>4900778.6561504463</v>
      </c>
      <c r="AN253" s="3003">
        <f t="shared" si="200"/>
        <v>4949786.4427119512</v>
      </c>
      <c r="AO253" s="3003">
        <f t="shared" si="200"/>
        <v>4999284.3071390707</v>
      </c>
      <c r="AP253" s="3003">
        <f t="shared" si="200"/>
        <v>5049277.1502104616</v>
      </c>
      <c r="AQ253" s="3003">
        <f t="shared" si="200"/>
        <v>5099769.9217125662</v>
      </c>
      <c r="AR253" s="3003">
        <f t="shared" si="200"/>
        <v>5150767.6209296919</v>
      </c>
      <c r="AS253" s="3003">
        <f t="shared" si="200"/>
        <v>5202275.297138989</v>
      </c>
      <c r="AT253" s="3003">
        <f t="shared" si="200"/>
        <v>5254298.0501103792</v>
      </c>
      <c r="AU253" s="3003">
        <f t="shared" si="200"/>
        <v>5306841.0306114834</v>
      </c>
      <c r="AV253" s="2694">
        <v>0</v>
      </c>
      <c r="AW253" s="2974"/>
      <c r="AX253" s="2999"/>
      <c r="AY253" s="2760"/>
      <c r="AZ253" s="2760"/>
      <c r="BA253" s="2760"/>
      <c r="BB253" s="2760"/>
      <c r="BC253" s="2760"/>
      <c r="BD253" s="2760"/>
      <c r="BE253" s="2760"/>
      <c r="BF253" s="2760"/>
      <c r="BG253" s="2760"/>
      <c r="BI253" s="2730"/>
      <c r="BJ253" s="2730"/>
    </row>
    <row r="254" spans="1:62" ht="18" hidden="1" outlineLevel="1" thickBot="1">
      <c r="A254" s="2801" t="s">
        <v>4130</v>
      </c>
      <c r="B254" s="2808" t="s">
        <v>4282</v>
      </c>
      <c r="C254" s="2975">
        <v>0.01</v>
      </c>
      <c r="D254" s="3019"/>
      <c r="E254" s="3019"/>
      <c r="F254" s="3001">
        <v>270369</v>
      </c>
      <c r="G254" s="3001">
        <v>300075</v>
      </c>
      <c r="H254" s="3003">
        <v>360000</v>
      </c>
      <c r="I254" s="3003">
        <f t="shared" ref="I254:AU254" si="201">H254*(1+$C$254)</f>
        <v>363600</v>
      </c>
      <c r="J254" s="3003">
        <f t="shared" si="201"/>
        <v>367236</v>
      </c>
      <c r="K254" s="3003">
        <f t="shared" si="201"/>
        <v>370908.36</v>
      </c>
      <c r="L254" s="3003">
        <f t="shared" si="201"/>
        <v>374617.4436</v>
      </c>
      <c r="M254" s="3003">
        <f t="shared" si="201"/>
        <v>378363.618036</v>
      </c>
      <c r="N254" s="3003">
        <f t="shared" si="201"/>
        <v>382147.25421635999</v>
      </c>
      <c r="O254" s="3003">
        <f t="shared" si="201"/>
        <v>385968.72675852361</v>
      </c>
      <c r="P254" s="3003">
        <f t="shared" si="201"/>
        <v>389828.41402610886</v>
      </c>
      <c r="Q254" s="3003">
        <f t="shared" si="201"/>
        <v>393726.69816636993</v>
      </c>
      <c r="R254" s="3003">
        <f t="shared" si="201"/>
        <v>397663.96514803363</v>
      </c>
      <c r="S254" s="3003">
        <f t="shared" si="201"/>
        <v>401640.604799514</v>
      </c>
      <c r="T254" s="3003">
        <f t="shared" si="201"/>
        <v>405657.01084750914</v>
      </c>
      <c r="U254" s="3003">
        <f t="shared" si="201"/>
        <v>409713.58095598425</v>
      </c>
      <c r="V254" s="3003">
        <f t="shared" si="201"/>
        <v>413810.71676554409</v>
      </c>
      <c r="W254" s="3003">
        <f t="shared" si="201"/>
        <v>417948.82393319951</v>
      </c>
      <c r="X254" s="3003">
        <f t="shared" si="201"/>
        <v>422128.3121725315</v>
      </c>
      <c r="Y254" s="3003">
        <f t="shared" si="201"/>
        <v>426349.59529425681</v>
      </c>
      <c r="Z254" s="3003">
        <f t="shared" si="201"/>
        <v>430613.09124719939</v>
      </c>
      <c r="AA254" s="3003">
        <f t="shared" si="201"/>
        <v>434919.22215967136</v>
      </c>
      <c r="AB254" s="3003">
        <f t="shared" si="201"/>
        <v>439268.41438126808</v>
      </c>
      <c r="AC254" s="3003">
        <f t="shared" si="201"/>
        <v>443661.09852508077</v>
      </c>
      <c r="AD254" s="3003">
        <f t="shared" si="201"/>
        <v>448097.70951033157</v>
      </c>
      <c r="AE254" s="3003">
        <f t="shared" si="201"/>
        <v>452578.68660543486</v>
      </c>
      <c r="AF254" s="3003">
        <f t="shared" si="201"/>
        <v>457104.47347148921</v>
      </c>
      <c r="AG254" s="3003">
        <f t="shared" si="201"/>
        <v>461675.51820620411</v>
      </c>
      <c r="AH254" s="3003">
        <f t="shared" si="201"/>
        <v>466292.27338826616</v>
      </c>
      <c r="AI254" s="3003">
        <f t="shared" si="201"/>
        <v>470955.19612214883</v>
      </c>
      <c r="AJ254" s="3003">
        <f t="shared" si="201"/>
        <v>475664.74808337033</v>
      </c>
      <c r="AK254" s="3003">
        <f t="shared" si="201"/>
        <v>480421.39556420402</v>
      </c>
      <c r="AL254" s="3003">
        <f t="shared" si="201"/>
        <v>485225.6095198461</v>
      </c>
      <c r="AM254" s="3003">
        <f t="shared" si="201"/>
        <v>490077.86561504455</v>
      </c>
      <c r="AN254" s="3003">
        <f t="shared" si="201"/>
        <v>494978.64427119499</v>
      </c>
      <c r="AO254" s="3003">
        <f t="shared" si="201"/>
        <v>499928.43071390694</v>
      </c>
      <c r="AP254" s="3003">
        <f t="shared" si="201"/>
        <v>504927.71502104599</v>
      </c>
      <c r="AQ254" s="3003">
        <f t="shared" si="201"/>
        <v>509976.99217125645</v>
      </c>
      <c r="AR254" s="3003">
        <f t="shared" si="201"/>
        <v>515076.76209296903</v>
      </c>
      <c r="AS254" s="3003">
        <f t="shared" si="201"/>
        <v>520227.52971389872</v>
      </c>
      <c r="AT254" s="3003">
        <f t="shared" si="201"/>
        <v>525429.80501103774</v>
      </c>
      <c r="AU254" s="3003">
        <f t="shared" si="201"/>
        <v>530684.10306114808</v>
      </c>
      <c r="AV254" s="2694">
        <v>0</v>
      </c>
      <c r="AW254" s="2809"/>
      <c r="AX254" s="2999"/>
      <c r="AY254" s="2760"/>
      <c r="AZ254" s="2760"/>
      <c r="BA254" s="2760"/>
      <c r="BB254" s="2760"/>
      <c r="BC254" s="2760"/>
      <c r="BD254" s="2760"/>
      <c r="BE254" s="2760"/>
      <c r="BF254" s="2760"/>
      <c r="BG254" s="2760"/>
      <c r="BI254" s="2730"/>
      <c r="BJ254" s="2730"/>
    </row>
    <row r="255" spans="1:62" ht="18" hidden="1" outlineLevel="1" thickBot="1">
      <c r="A255" s="2801" t="s">
        <v>4283</v>
      </c>
      <c r="B255" s="2808"/>
      <c r="C255" s="2962"/>
      <c r="D255" s="2963"/>
      <c r="E255" s="2963"/>
      <c r="F255" s="3001">
        <v>35250</v>
      </c>
      <c r="G255" s="3001">
        <v>214025</v>
      </c>
      <c r="H255" s="3003"/>
      <c r="I255" s="3003"/>
      <c r="J255" s="3003"/>
      <c r="K255" s="3003"/>
      <c r="L255" s="3003"/>
      <c r="M255" s="3003"/>
      <c r="N255" s="3003"/>
      <c r="O255" s="3003"/>
      <c r="P255" s="3003"/>
      <c r="Q255" s="3003"/>
      <c r="R255" s="3003"/>
      <c r="S255" s="3003"/>
      <c r="T255" s="3003"/>
      <c r="U255" s="3003"/>
      <c r="V255" s="3003"/>
      <c r="W255" s="3003"/>
      <c r="X255" s="3003"/>
      <c r="Y255" s="3003"/>
      <c r="Z255" s="3003"/>
      <c r="AA255" s="3003"/>
      <c r="AB255" s="3003"/>
      <c r="AC255" s="3003"/>
      <c r="AD255" s="3003"/>
      <c r="AE255" s="3003"/>
      <c r="AF255" s="3003"/>
      <c r="AG255" s="3003"/>
      <c r="AH255" s="3003"/>
      <c r="AI255" s="3003"/>
      <c r="AJ255" s="3003"/>
      <c r="AK255" s="3003"/>
      <c r="AL255" s="3003"/>
      <c r="AM255" s="3003"/>
      <c r="AN255" s="3003"/>
      <c r="AO255" s="3003"/>
      <c r="AP255" s="3003"/>
      <c r="AQ255" s="3003"/>
      <c r="AR255" s="3003"/>
      <c r="AS255" s="3003"/>
      <c r="AT255" s="3003"/>
      <c r="AU255" s="3003"/>
      <c r="AV255" s="2694">
        <v>0</v>
      </c>
      <c r="AW255" s="2809"/>
      <c r="AX255" s="2965"/>
      <c r="AY255" s="2760"/>
      <c r="AZ255" s="2760"/>
      <c r="BA255" s="2760"/>
      <c r="BB255" s="2760"/>
      <c r="BC255" s="2760"/>
      <c r="BD255" s="2760"/>
      <c r="BE255" s="2760"/>
      <c r="BF255" s="2760"/>
      <c r="BG255" s="2760"/>
      <c r="BI255" s="2730"/>
      <c r="BJ255" s="2730"/>
    </row>
    <row r="256" spans="1:62" ht="18" hidden="1" outlineLevel="1" thickBot="1">
      <c r="A256" s="2773" t="s">
        <v>4284</v>
      </c>
      <c r="B256" s="3000" t="s">
        <v>4285</v>
      </c>
      <c r="C256" s="2975">
        <v>0.01</v>
      </c>
      <c r="D256" s="3019"/>
      <c r="E256" s="3019"/>
      <c r="F256" s="2961">
        <v>1585737</v>
      </c>
      <c r="G256" s="2961">
        <v>862000</v>
      </c>
      <c r="H256" s="2967">
        <v>900000</v>
      </c>
      <c r="I256" s="2967">
        <f t="shared" ref="I256:AU256" si="202">H256*(1+$C$256)</f>
        <v>909000</v>
      </c>
      <c r="J256" s="2967">
        <f t="shared" si="202"/>
        <v>918090</v>
      </c>
      <c r="K256" s="2967">
        <f t="shared" si="202"/>
        <v>927270.9</v>
      </c>
      <c r="L256" s="2967">
        <f t="shared" si="202"/>
        <v>936543.60900000005</v>
      </c>
      <c r="M256" s="2967">
        <f t="shared" si="202"/>
        <v>945909.04509000003</v>
      </c>
      <c r="N256" s="2967">
        <f t="shared" si="202"/>
        <v>955368.13554090005</v>
      </c>
      <c r="O256" s="2967">
        <f t="shared" si="202"/>
        <v>964921.81689630903</v>
      </c>
      <c r="P256" s="2967">
        <f t="shared" si="202"/>
        <v>974571.03506527212</v>
      </c>
      <c r="Q256" s="2967">
        <f t="shared" si="202"/>
        <v>984316.74541592482</v>
      </c>
      <c r="R256" s="2967">
        <f t="shared" si="202"/>
        <v>994159.91287008405</v>
      </c>
      <c r="S256" s="2967">
        <f t="shared" si="202"/>
        <v>1004101.5119987848</v>
      </c>
      <c r="T256" s="2967">
        <f t="shared" si="202"/>
        <v>1014142.5271187727</v>
      </c>
      <c r="U256" s="2967">
        <f t="shared" si="202"/>
        <v>1024283.9523899605</v>
      </c>
      <c r="V256" s="2967">
        <f t="shared" si="202"/>
        <v>1034526.7919138601</v>
      </c>
      <c r="W256" s="2967">
        <f t="shared" si="202"/>
        <v>1044872.0598329988</v>
      </c>
      <c r="X256" s="2967">
        <f t="shared" si="202"/>
        <v>1055320.7804313288</v>
      </c>
      <c r="Y256" s="2967">
        <f t="shared" si="202"/>
        <v>1065873.9882356422</v>
      </c>
      <c r="Z256" s="2967">
        <f t="shared" si="202"/>
        <v>1076532.7281179987</v>
      </c>
      <c r="AA256" s="2967">
        <f t="shared" si="202"/>
        <v>1087298.0553991788</v>
      </c>
      <c r="AB256" s="2967">
        <f t="shared" si="202"/>
        <v>1098171.0359531706</v>
      </c>
      <c r="AC256" s="2967">
        <f t="shared" si="202"/>
        <v>1109152.7463127023</v>
      </c>
      <c r="AD256" s="2967">
        <f t="shared" si="202"/>
        <v>1120244.2737758292</v>
      </c>
      <c r="AE256" s="2967">
        <f t="shared" si="202"/>
        <v>1131446.7165135876</v>
      </c>
      <c r="AF256" s="2967">
        <f t="shared" si="202"/>
        <v>1142761.1836787234</v>
      </c>
      <c r="AG256" s="2967">
        <f t="shared" si="202"/>
        <v>1154188.7955155107</v>
      </c>
      <c r="AH256" s="2967">
        <f t="shared" si="202"/>
        <v>1165730.6834706659</v>
      </c>
      <c r="AI256" s="2967">
        <f t="shared" si="202"/>
        <v>1177387.9903053725</v>
      </c>
      <c r="AJ256" s="2967">
        <f t="shared" si="202"/>
        <v>1189161.8702084261</v>
      </c>
      <c r="AK256" s="2967">
        <f t="shared" si="202"/>
        <v>1201053.4889105104</v>
      </c>
      <c r="AL256" s="2967">
        <f t="shared" si="202"/>
        <v>1213064.0237996154</v>
      </c>
      <c r="AM256" s="2967">
        <f t="shared" si="202"/>
        <v>1225194.6640376116</v>
      </c>
      <c r="AN256" s="2967">
        <f t="shared" si="202"/>
        <v>1237446.6106779878</v>
      </c>
      <c r="AO256" s="2967">
        <f t="shared" si="202"/>
        <v>1249821.0767847677</v>
      </c>
      <c r="AP256" s="2967">
        <f t="shared" si="202"/>
        <v>1262319.2875526154</v>
      </c>
      <c r="AQ256" s="2967">
        <f t="shared" si="202"/>
        <v>1274942.4804281415</v>
      </c>
      <c r="AR256" s="2967">
        <f t="shared" si="202"/>
        <v>1287691.905232423</v>
      </c>
      <c r="AS256" s="2967">
        <f t="shared" si="202"/>
        <v>1300568.8242847472</v>
      </c>
      <c r="AT256" s="2967">
        <f t="shared" si="202"/>
        <v>1313574.5125275948</v>
      </c>
      <c r="AU256" s="2967">
        <f t="shared" si="202"/>
        <v>1326710.2576528708</v>
      </c>
      <c r="AV256" s="2694">
        <v>0</v>
      </c>
      <c r="AW256" s="2809"/>
      <c r="AX256" s="2999"/>
      <c r="AY256" s="2774"/>
      <c r="AZ256" s="2774"/>
      <c r="BA256" s="2774"/>
      <c r="BB256" s="2774"/>
      <c r="BC256" s="2774"/>
      <c r="BD256" s="2774"/>
      <c r="BE256" s="2774"/>
      <c r="BF256" s="2774"/>
      <c r="BG256" s="2774"/>
      <c r="BI256" s="2730"/>
      <c r="BJ256" s="2730"/>
    </row>
    <row r="257" spans="1:62" ht="18" hidden="1" outlineLevel="1" thickBot="1">
      <c r="A257" s="2773" t="s">
        <v>4286</v>
      </c>
      <c r="B257" s="3000"/>
      <c r="C257" s="2962"/>
      <c r="D257" s="2963"/>
      <c r="E257" s="2963"/>
      <c r="F257" s="2961">
        <v>637300</v>
      </c>
      <c r="G257" s="2967"/>
      <c r="H257" s="3003"/>
      <c r="I257" s="3003"/>
      <c r="J257" s="3003"/>
      <c r="K257" s="3003"/>
      <c r="L257" s="3003"/>
      <c r="M257" s="3003"/>
      <c r="N257" s="3003"/>
      <c r="O257" s="3003"/>
      <c r="P257" s="3003"/>
      <c r="Q257" s="3003"/>
      <c r="R257" s="3003"/>
      <c r="S257" s="3003"/>
      <c r="T257" s="3003"/>
      <c r="U257" s="3003"/>
      <c r="V257" s="3003"/>
      <c r="W257" s="3003"/>
      <c r="X257" s="3003"/>
      <c r="Y257" s="3003"/>
      <c r="Z257" s="3003"/>
      <c r="AA257" s="3003"/>
      <c r="AB257" s="3003"/>
      <c r="AC257" s="3003"/>
      <c r="AD257" s="3003"/>
      <c r="AE257" s="3003"/>
      <c r="AF257" s="3003"/>
      <c r="AG257" s="3003"/>
      <c r="AH257" s="3003"/>
      <c r="AI257" s="3003"/>
      <c r="AJ257" s="3003"/>
      <c r="AK257" s="3003"/>
      <c r="AL257" s="3003"/>
      <c r="AM257" s="3003"/>
      <c r="AN257" s="3003"/>
      <c r="AO257" s="3003"/>
      <c r="AP257" s="3003"/>
      <c r="AQ257" s="3003"/>
      <c r="AR257" s="3003"/>
      <c r="AS257" s="3003"/>
      <c r="AT257" s="3003"/>
      <c r="AU257" s="3003"/>
      <c r="AV257" s="2694">
        <v>0</v>
      </c>
      <c r="AW257" s="2974"/>
      <c r="AX257" s="2965"/>
      <c r="AY257" s="2774"/>
      <c r="AZ257" s="2774"/>
      <c r="BA257" s="2774"/>
      <c r="BB257" s="2774"/>
      <c r="BC257" s="2774"/>
      <c r="BD257" s="2774"/>
      <c r="BE257" s="2774"/>
      <c r="BF257" s="2774"/>
      <c r="BG257" s="2774"/>
      <c r="BI257" s="2730"/>
      <c r="BJ257" s="2730"/>
    </row>
    <row r="258" spans="1:62" ht="18" hidden="1" outlineLevel="1" thickBot="1">
      <c r="A258" s="2823" t="s">
        <v>4287</v>
      </c>
      <c r="B258" s="3020"/>
      <c r="C258" s="3017"/>
      <c r="D258" s="3018">
        <v>1</v>
      </c>
      <c r="E258" s="3018"/>
      <c r="F258" s="2997">
        <f>F259+F260</f>
        <v>597560</v>
      </c>
      <c r="G258" s="2997">
        <f t="shared" ref="G258:AU258" si="203">G259+G260</f>
        <v>584910</v>
      </c>
      <c r="H258" s="2997">
        <f t="shared" si="203"/>
        <v>630000</v>
      </c>
      <c r="I258" s="2997">
        <f t="shared" si="203"/>
        <v>630000</v>
      </c>
      <c r="J258" s="2997">
        <f t="shared" si="203"/>
        <v>630000</v>
      </c>
      <c r="K258" s="2997">
        <f t="shared" si="203"/>
        <v>630000</v>
      </c>
      <c r="L258" s="2997">
        <f t="shared" si="203"/>
        <v>630000</v>
      </c>
      <c r="M258" s="2997">
        <f t="shared" si="203"/>
        <v>630000</v>
      </c>
      <c r="N258" s="2997">
        <f t="shared" si="203"/>
        <v>630000</v>
      </c>
      <c r="O258" s="2997">
        <f t="shared" si="203"/>
        <v>630000</v>
      </c>
      <c r="P258" s="2997">
        <f t="shared" si="203"/>
        <v>630000</v>
      </c>
      <c r="Q258" s="2997">
        <f t="shared" si="203"/>
        <v>630000</v>
      </c>
      <c r="R258" s="2997">
        <f t="shared" si="203"/>
        <v>630000</v>
      </c>
      <c r="S258" s="2997">
        <f t="shared" si="203"/>
        <v>630000</v>
      </c>
      <c r="T258" s="2997">
        <f t="shared" si="203"/>
        <v>630000</v>
      </c>
      <c r="U258" s="2997">
        <f t="shared" si="203"/>
        <v>630000</v>
      </c>
      <c r="V258" s="2997">
        <f t="shared" si="203"/>
        <v>630000</v>
      </c>
      <c r="W258" s="2997">
        <f t="shared" si="203"/>
        <v>630000</v>
      </c>
      <c r="X258" s="2997">
        <f t="shared" si="203"/>
        <v>630000</v>
      </c>
      <c r="Y258" s="2997">
        <f t="shared" si="203"/>
        <v>630000</v>
      </c>
      <c r="Z258" s="2997">
        <f t="shared" si="203"/>
        <v>630000</v>
      </c>
      <c r="AA258" s="2997">
        <f t="shared" si="203"/>
        <v>630000</v>
      </c>
      <c r="AB258" s="2997">
        <f t="shared" si="203"/>
        <v>630000</v>
      </c>
      <c r="AC258" s="2997">
        <f t="shared" si="203"/>
        <v>630000</v>
      </c>
      <c r="AD258" s="2997">
        <f t="shared" si="203"/>
        <v>630000</v>
      </c>
      <c r="AE258" s="2997">
        <f t="shared" si="203"/>
        <v>630000</v>
      </c>
      <c r="AF258" s="2997">
        <f t="shared" si="203"/>
        <v>630000</v>
      </c>
      <c r="AG258" s="2997">
        <f t="shared" si="203"/>
        <v>630000</v>
      </c>
      <c r="AH258" s="2997">
        <f t="shared" si="203"/>
        <v>630000</v>
      </c>
      <c r="AI258" s="2997">
        <f t="shared" si="203"/>
        <v>630000</v>
      </c>
      <c r="AJ258" s="2997">
        <f t="shared" si="203"/>
        <v>630000</v>
      </c>
      <c r="AK258" s="2997">
        <f t="shared" si="203"/>
        <v>630000</v>
      </c>
      <c r="AL258" s="2997">
        <f t="shared" si="203"/>
        <v>630000</v>
      </c>
      <c r="AM258" s="2997">
        <f t="shared" si="203"/>
        <v>630000</v>
      </c>
      <c r="AN258" s="2997">
        <f t="shared" si="203"/>
        <v>630000</v>
      </c>
      <c r="AO258" s="2997">
        <f t="shared" si="203"/>
        <v>630000</v>
      </c>
      <c r="AP258" s="2997">
        <f t="shared" si="203"/>
        <v>630000</v>
      </c>
      <c r="AQ258" s="2997">
        <f t="shared" si="203"/>
        <v>630000</v>
      </c>
      <c r="AR258" s="2997">
        <f t="shared" si="203"/>
        <v>630000</v>
      </c>
      <c r="AS258" s="2997">
        <f t="shared" si="203"/>
        <v>630000</v>
      </c>
      <c r="AT258" s="2997">
        <f t="shared" si="203"/>
        <v>630000</v>
      </c>
      <c r="AU258" s="2997">
        <f t="shared" si="203"/>
        <v>630000</v>
      </c>
      <c r="AV258" s="2694">
        <v>0</v>
      </c>
      <c r="AW258" s="2974"/>
      <c r="AX258" s="2965"/>
      <c r="AY258" s="2760"/>
      <c r="AZ258" s="2760"/>
      <c r="BA258" s="2760"/>
      <c r="BB258" s="2760"/>
      <c r="BC258" s="2760"/>
      <c r="BD258" s="2760"/>
      <c r="BE258" s="2760"/>
      <c r="BF258" s="2760"/>
      <c r="BG258" s="2760"/>
      <c r="BI258" s="2730"/>
      <c r="BJ258" s="2730"/>
    </row>
    <row r="259" spans="1:62" ht="18" hidden="1" outlineLevel="1" thickBot="1">
      <c r="A259" s="3021" t="s">
        <v>4288</v>
      </c>
      <c r="B259" s="3022" t="s">
        <v>4168</v>
      </c>
      <c r="C259" s="3023"/>
      <c r="D259" s="3024"/>
      <c r="E259" s="3024"/>
      <c r="F259" s="3025">
        <v>575840</v>
      </c>
      <c r="G259" s="3025">
        <v>554910</v>
      </c>
      <c r="H259" s="3026">
        <v>600000</v>
      </c>
      <c r="I259" s="3026">
        <f t="shared" ref="I259:X260" si="204">H259</f>
        <v>600000</v>
      </c>
      <c r="J259" s="3026">
        <f t="shared" si="204"/>
        <v>600000</v>
      </c>
      <c r="K259" s="3026">
        <f t="shared" si="204"/>
        <v>600000</v>
      </c>
      <c r="L259" s="3026">
        <f t="shared" si="204"/>
        <v>600000</v>
      </c>
      <c r="M259" s="3026">
        <f t="shared" si="204"/>
        <v>600000</v>
      </c>
      <c r="N259" s="3026">
        <f t="shared" si="204"/>
        <v>600000</v>
      </c>
      <c r="O259" s="3026">
        <f t="shared" si="204"/>
        <v>600000</v>
      </c>
      <c r="P259" s="3026">
        <f t="shared" si="204"/>
        <v>600000</v>
      </c>
      <c r="Q259" s="3026">
        <f t="shared" si="204"/>
        <v>600000</v>
      </c>
      <c r="R259" s="3026">
        <f t="shared" si="204"/>
        <v>600000</v>
      </c>
      <c r="S259" s="3026">
        <f t="shared" si="204"/>
        <v>600000</v>
      </c>
      <c r="T259" s="3026">
        <f t="shared" si="204"/>
        <v>600000</v>
      </c>
      <c r="U259" s="3026">
        <f t="shared" si="204"/>
        <v>600000</v>
      </c>
      <c r="V259" s="3026">
        <f t="shared" si="204"/>
        <v>600000</v>
      </c>
      <c r="W259" s="3026">
        <f t="shared" si="204"/>
        <v>600000</v>
      </c>
      <c r="X259" s="3026">
        <f t="shared" si="204"/>
        <v>600000</v>
      </c>
      <c r="Y259" s="3026">
        <f t="shared" ref="Y259:AN260" si="205">X259</f>
        <v>600000</v>
      </c>
      <c r="Z259" s="3026">
        <f t="shared" si="205"/>
        <v>600000</v>
      </c>
      <c r="AA259" s="3026">
        <f t="shared" si="205"/>
        <v>600000</v>
      </c>
      <c r="AB259" s="3026">
        <f t="shared" si="205"/>
        <v>600000</v>
      </c>
      <c r="AC259" s="3026">
        <f t="shared" si="205"/>
        <v>600000</v>
      </c>
      <c r="AD259" s="3026">
        <f t="shared" si="205"/>
        <v>600000</v>
      </c>
      <c r="AE259" s="3026">
        <f t="shared" si="205"/>
        <v>600000</v>
      </c>
      <c r="AF259" s="3026">
        <f t="shared" si="205"/>
        <v>600000</v>
      </c>
      <c r="AG259" s="3026">
        <f t="shared" si="205"/>
        <v>600000</v>
      </c>
      <c r="AH259" s="3026">
        <f t="shared" si="205"/>
        <v>600000</v>
      </c>
      <c r="AI259" s="3026">
        <f t="shared" si="205"/>
        <v>600000</v>
      </c>
      <c r="AJ259" s="3026">
        <f t="shared" si="205"/>
        <v>600000</v>
      </c>
      <c r="AK259" s="3026">
        <f t="shared" si="205"/>
        <v>600000</v>
      </c>
      <c r="AL259" s="3026">
        <f t="shared" si="205"/>
        <v>600000</v>
      </c>
      <c r="AM259" s="3026">
        <f t="shared" si="205"/>
        <v>600000</v>
      </c>
      <c r="AN259" s="3026">
        <f t="shared" si="205"/>
        <v>600000</v>
      </c>
      <c r="AO259" s="3026">
        <f t="shared" ref="AO259:AU260" si="206">AN259</f>
        <v>600000</v>
      </c>
      <c r="AP259" s="3026">
        <f t="shared" si="206"/>
        <v>600000</v>
      </c>
      <c r="AQ259" s="3026">
        <f t="shared" si="206"/>
        <v>600000</v>
      </c>
      <c r="AR259" s="3026">
        <f t="shared" si="206"/>
        <v>600000</v>
      </c>
      <c r="AS259" s="3026">
        <f t="shared" si="206"/>
        <v>600000</v>
      </c>
      <c r="AT259" s="3026">
        <f t="shared" si="206"/>
        <v>600000</v>
      </c>
      <c r="AU259" s="3026">
        <f t="shared" si="206"/>
        <v>600000</v>
      </c>
      <c r="AV259" s="2694">
        <v>0</v>
      </c>
      <c r="AW259" s="2809"/>
      <c r="AX259" s="2965"/>
      <c r="AY259" s="2760"/>
      <c r="AZ259" s="2760"/>
      <c r="BA259" s="2760"/>
      <c r="BB259" s="2760"/>
      <c r="BC259" s="2760"/>
      <c r="BD259" s="2760"/>
      <c r="BE259" s="2760"/>
      <c r="BF259" s="2760"/>
      <c r="BG259" s="2760"/>
      <c r="BI259" s="2730"/>
      <c r="BJ259" s="2730"/>
    </row>
    <row r="260" spans="1:62" ht="18" hidden="1" outlineLevel="1" thickBot="1">
      <c r="A260" s="3027" t="s">
        <v>4289</v>
      </c>
      <c r="B260" s="3028"/>
      <c r="C260" s="3029"/>
      <c r="D260" s="3030"/>
      <c r="E260" s="3030"/>
      <c r="F260" s="3031">
        <v>21720</v>
      </c>
      <c r="G260" s="3031">
        <v>30000</v>
      </c>
      <c r="H260" s="3032">
        <f t="shared" ref="H260:W260" si="207">G260</f>
        <v>30000</v>
      </c>
      <c r="I260" s="3032">
        <f t="shared" si="207"/>
        <v>30000</v>
      </c>
      <c r="J260" s="3032">
        <f t="shared" si="207"/>
        <v>30000</v>
      </c>
      <c r="K260" s="3032">
        <f t="shared" si="207"/>
        <v>30000</v>
      </c>
      <c r="L260" s="3032">
        <f t="shared" si="207"/>
        <v>30000</v>
      </c>
      <c r="M260" s="3032">
        <f t="shared" si="207"/>
        <v>30000</v>
      </c>
      <c r="N260" s="3032">
        <f t="shared" si="207"/>
        <v>30000</v>
      </c>
      <c r="O260" s="3032">
        <f t="shared" si="207"/>
        <v>30000</v>
      </c>
      <c r="P260" s="3032">
        <f t="shared" si="207"/>
        <v>30000</v>
      </c>
      <c r="Q260" s="3032">
        <f t="shared" si="207"/>
        <v>30000</v>
      </c>
      <c r="R260" s="3032">
        <f t="shared" si="207"/>
        <v>30000</v>
      </c>
      <c r="S260" s="3032">
        <f t="shared" si="207"/>
        <v>30000</v>
      </c>
      <c r="T260" s="3032">
        <f t="shared" si="207"/>
        <v>30000</v>
      </c>
      <c r="U260" s="3032">
        <f t="shared" si="207"/>
        <v>30000</v>
      </c>
      <c r="V260" s="3032">
        <f t="shared" si="207"/>
        <v>30000</v>
      </c>
      <c r="W260" s="3032">
        <f t="shared" si="207"/>
        <v>30000</v>
      </c>
      <c r="X260" s="3032">
        <f t="shared" si="204"/>
        <v>30000</v>
      </c>
      <c r="Y260" s="3032">
        <f t="shared" si="205"/>
        <v>30000</v>
      </c>
      <c r="Z260" s="3032">
        <f t="shared" si="205"/>
        <v>30000</v>
      </c>
      <c r="AA260" s="3032">
        <f t="shared" si="205"/>
        <v>30000</v>
      </c>
      <c r="AB260" s="3032">
        <f t="shared" si="205"/>
        <v>30000</v>
      </c>
      <c r="AC260" s="3032">
        <f t="shared" si="205"/>
        <v>30000</v>
      </c>
      <c r="AD260" s="3032">
        <f t="shared" si="205"/>
        <v>30000</v>
      </c>
      <c r="AE260" s="3032">
        <f t="shared" si="205"/>
        <v>30000</v>
      </c>
      <c r="AF260" s="3032">
        <f t="shared" si="205"/>
        <v>30000</v>
      </c>
      <c r="AG260" s="3032">
        <f t="shared" si="205"/>
        <v>30000</v>
      </c>
      <c r="AH260" s="3032">
        <f t="shared" si="205"/>
        <v>30000</v>
      </c>
      <c r="AI260" s="3032">
        <f t="shared" si="205"/>
        <v>30000</v>
      </c>
      <c r="AJ260" s="3032">
        <f t="shared" si="205"/>
        <v>30000</v>
      </c>
      <c r="AK260" s="3032">
        <f t="shared" si="205"/>
        <v>30000</v>
      </c>
      <c r="AL260" s="3032">
        <f t="shared" si="205"/>
        <v>30000</v>
      </c>
      <c r="AM260" s="3032">
        <f t="shared" si="205"/>
        <v>30000</v>
      </c>
      <c r="AN260" s="3032">
        <f t="shared" si="205"/>
        <v>30000</v>
      </c>
      <c r="AO260" s="3032">
        <f t="shared" si="206"/>
        <v>30000</v>
      </c>
      <c r="AP260" s="3032">
        <f t="shared" si="206"/>
        <v>30000</v>
      </c>
      <c r="AQ260" s="3032">
        <f t="shared" si="206"/>
        <v>30000</v>
      </c>
      <c r="AR260" s="3032">
        <f t="shared" si="206"/>
        <v>30000</v>
      </c>
      <c r="AS260" s="3032">
        <f t="shared" si="206"/>
        <v>30000</v>
      </c>
      <c r="AT260" s="3032">
        <f t="shared" si="206"/>
        <v>30000</v>
      </c>
      <c r="AU260" s="3032">
        <f t="shared" si="206"/>
        <v>30000</v>
      </c>
      <c r="AV260" s="2694">
        <v>0</v>
      </c>
      <c r="AW260" s="2809"/>
      <c r="AX260" s="2965"/>
      <c r="AY260" s="2760"/>
      <c r="AZ260" s="2760"/>
      <c r="BA260" s="2760"/>
      <c r="BB260" s="2760"/>
      <c r="BC260" s="2760"/>
      <c r="BD260" s="2760"/>
      <c r="BE260" s="2760"/>
      <c r="BF260" s="2760"/>
      <c r="BG260" s="2760"/>
      <c r="BI260" s="2730"/>
      <c r="BJ260" s="2730"/>
    </row>
    <row r="261" spans="1:62" ht="18" hidden="1" outlineLevel="1" thickBot="1">
      <c r="A261" s="2789" t="s">
        <v>4290</v>
      </c>
      <c r="B261" s="2878" t="s">
        <v>4134</v>
      </c>
      <c r="C261" s="2811">
        <v>100</v>
      </c>
      <c r="D261" s="2792">
        <v>1</v>
      </c>
      <c r="E261" s="2792"/>
      <c r="F261" s="2997">
        <v>3585230</v>
      </c>
      <c r="G261" s="2997">
        <v>3246050</v>
      </c>
      <c r="H261" s="3033">
        <v>3600000</v>
      </c>
      <c r="I261" s="3033">
        <f t="shared" ref="I261:AU261" si="208">H261+$C$261*1000</f>
        <v>3700000</v>
      </c>
      <c r="J261" s="3033">
        <f t="shared" si="208"/>
        <v>3800000</v>
      </c>
      <c r="K261" s="3033">
        <f t="shared" si="208"/>
        <v>3900000</v>
      </c>
      <c r="L261" s="3033">
        <f t="shared" si="208"/>
        <v>4000000</v>
      </c>
      <c r="M261" s="3033">
        <f t="shared" si="208"/>
        <v>4100000</v>
      </c>
      <c r="N261" s="3033">
        <f t="shared" si="208"/>
        <v>4200000</v>
      </c>
      <c r="O261" s="3033">
        <f t="shared" si="208"/>
        <v>4300000</v>
      </c>
      <c r="P261" s="3033">
        <f t="shared" si="208"/>
        <v>4400000</v>
      </c>
      <c r="Q261" s="3033">
        <f t="shared" si="208"/>
        <v>4500000</v>
      </c>
      <c r="R261" s="3033">
        <f t="shared" si="208"/>
        <v>4600000</v>
      </c>
      <c r="S261" s="3033">
        <f t="shared" si="208"/>
        <v>4700000</v>
      </c>
      <c r="T261" s="3033">
        <f t="shared" si="208"/>
        <v>4800000</v>
      </c>
      <c r="U261" s="3033">
        <f t="shared" si="208"/>
        <v>4900000</v>
      </c>
      <c r="V261" s="3033">
        <f t="shared" si="208"/>
        <v>5000000</v>
      </c>
      <c r="W261" s="3033">
        <f t="shared" si="208"/>
        <v>5100000</v>
      </c>
      <c r="X261" s="3033">
        <f t="shared" si="208"/>
        <v>5200000</v>
      </c>
      <c r="Y261" s="3033">
        <f t="shared" si="208"/>
        <v>5300000</v>
      </c>
      <c r="Z261" s="3033">
        <f t="shared" si="208"/>
        <v>5400000</v>
      </c>
      <c r="AA261" s="3033">
        <f t="shared" si="208"/>
        <v>5500000</v>
      </c>
      <c r="AB261" s="3033">
        <f t="shared" si="208"/>
        <v>5600000</v>
      </c>
      <c r="AC261" s="3033">
        <f t="shared" si="208"/>
        <v>5700000</v>
      </c>
      <c r="AD261" s="3033">
        <f t="shared" si="208"/>
        <v>5800000</v>
      </c>
      <c r="AE261" s="3033">
        <f t="shared" si="208"/>
        <v>5900000</v>
      </c>
      <c r="AF261" s="3033">
        <f t="shared" si="208"/>
        <v>6000000</v>
      </c>
      <c r="AG261" s="3033">
        <f t="shared" si="208"/>
        <v>6100000</v>
      </c>
      <c r="AH261" s="3033">
        <f t="shared" si="208"/>
        <v>6200000</v>
      </c>
      <c r="AI261" s="3033">
        <f t="shared" si="208"/>
        <v>6300000</v>
      </c>
      <c r="AJ261" s="3033">
        <f t="shared" si="208"/>
        <v>6400000</v>
      </c>
      <c r="AK261" s="3033">
        <f t="shared" si="208"/>
        <v>6500000</v>
      </c>
      <c r="AL261" s="3033">
        <f t="shared" si="208"/>
        <v>6600000</v>
      </c>
      <c r="AM261" s="3033">
        <f t="shared" si="208"/>
        <v>6700000</v>
      </c>
      <c r="AN261" s="3033">
        <f t="shared" si="208"/>
        <v>6800000</v>
      </c>
      <c r="AO261" s="3033">
        <f t="shared" si="208"/>
        <v>6900000</v>
      </c>
      <c r="AP261" s="3033">
        <f t="shared" si="208"/>
        <v>7000000</v>
      </c>
      <c r="AQ261" s="3033">
        <f t="shared" si="208"/>
        <v>7100000</v>
      </c>
      <c r="AR261" s="3033">
        <f t="shared" si="208"/>
        <v>7200000</v>
      </c>
      <c r="AS261" s="3033">
        <f t="shared" si="208"/>
        <v>7300000</v>
      </c>
      <c r="AT261" s="3033">
        <f t="shared" si="208"/>
        <v>7400000</v>
      </c>
      <c r="AU261" s="3033">
        <f t="shared" si="208"/>
        <v>7500000</v>
      </c>
      <c r="AV261" s="2694">
        <v>0</v>
      </c>
      <c r="AW261" s="2809"/>
      <c r="AX261" s="2759"/>
      <c r="AY261" s="2760"/>
      <c r="AZ261" s="2760"/>
      <c r="BA261" s="2760"/>
      <c r="BB261" s="2760"/>
      <c r="BC261" s="2760"/>
      <c r="BD261" s="2760"/>
      <c r="BE261" s="2760"/>
      <c r="BF261" s="2760"/>
      <c r="BG261" s="2760"/>
      <c r="BI261" s="2730"/>
      <c r="BJ261" s="2730"/>
    </row>
    <row r="262" spans="1:62" ht="18" hidden="1" outlineLevel="1" thickBot="1">
      <c r="A262" s="2823" t="s">
        <v>4291</v>
      </c>
      <c r="B262" s="3034"/>
      <c r="C262" s="2994">
        <v>0.01</v>
      </c>
      <c r="D262" s="2792"/>
      <c r="E262" s="2996"/>
      <c r="F262" s="2997">
        <f>SUM(F263:F278)</f>
        <v>66935895</v>
      </c>
      <c r="G262" s="2997">
        <f>SUM(G263:G278)</f>
        <v>75558160</v>
      </c>
      <c r="H262" s="2997">
        <f t="shared" ref="H262:AU262" si="209">(SUM(H263:H278)*(1+$C$262)^(H2-$F$2))</f>
        <v>63695390.833999999</v>
      </c>
      <c r="I262" s="2997">
        <f t="shared" si="209"/>
        <v>54029334.742339998</v>
      </c>
      <c r="J262" s="2997">
        <f t="shared" si="209"/>
        <v>54569628.089763403</v>
      </c>
      <c r="K262" s="2997">
        <f t="shared" si="209"/>
        <v>55182589.01386743</v>
      </c>
      <c r="L262" s="2997">
        <f t="shared" si="209"/>
        <v>57628166.852678299</v>
      </c>
      <c r="M262" s="2997">
        <f t="shared" si="209"/>
        <v>56223142.390511312</v>
      </c>
      <c r="N262" s="2997">
        <f t="shared" si="209"/>
        <v>56785373.814416438</v>
      </c>
      <c r="O262" s="2997">
        <f t="shared" si="209"/>
        <v>57353227.552560613</v>
      </c>
      <c r="P262" s="2997">
        <f t="shared" si="209"/>
        <v>57997455.644112535</v>
      </c>
      <c r="Q262" s="2997">
        <f t="shared" si="209"/>
        <v>60326798.168124862</v>
      </c>
      <c r="R262" s="2997">
        <f t="shared" si="209"/>
        <v>59091087.700630739</v>
      </c>
      <c r="S262" s="2997">
        <f t="shared" si="209"/>
        <v>59681998.577637047</v>
      </c>
      <c r="T262" s="2997">
        <f t="shared" si="209"/>
        <v>60278818.563413426</v>
      </c>
      <c r="U262" s="2997">
        <f t="shared" si="209"/>
        <v>60955908.762191221</v>
      </c>
      <c r="V262" s="2997">
        <f t="shared" si="209"/>
        <v>63404071.165053517</v>
      </c>
      <c r="W262" s="2997">
        <f t="shared" si="209"/>
        <v>62105327.044703424</v>
      </c>
      <c r="X262" s="2997">
        <f t="shared" si="209"/>
        <v>62726380.315150462</v>
      </c>
      <c r="Y262" s="2997">
        <f t="shared" si="209"/>
        <v>63353644.11830195</v>
      </c>
      <c r="Z262" s="2997">
        <f t="shared" si="209"/>
        <v>64065272.722041644</v>
      </c>
      <c r="AA262" s="2997">
        <f t="shared" si="209"/>
        <v>66638316.011726849</v>
      </c>
      <c r="AB262" s="2997">
        <f t="shared" si="209"/>
        <v>65273322.88873063</v>
      </c>
      <c r="AC262" s="2997">
        <f t="shared" si="209"/>
        <v>65926056.117617927</v>
      </c>
      <c r="AD262" s="2997">
        <f t="shared" si="209"/>
        <v>66585316.678794123</v>
      </c>
      <c r="AE262" s="2997">
        <f t="shared" si="209"/>
        <v>67333245.49326317</v>
      </c>
      <c r="AF262" s="2997">
        <f t="shared" si="209"/>
        <v>70037539.850064695</v>
      </c>
      <c r="AG262" s="2997">
        <f t="shared" si="209"/>
        <v>68602918.35947825</v>
      </c>
      <c r="AH262" s="2997">
        <f t="shared" si="209"/>
        <v>69288947.543073028</v>
      </c>
      <c r="AI262" s="2997">
        <f t="shared" si="209"/>
        <v>69981837.01850377</v>
      </c>
      <c r="AJ262" s="2997">
        <f t="shared" si="209"/>
        <v>70767917.719270125</v>
      </c>
      <c r="AK262" s="2997">
        <f t="shared" si="209"/>
        <v>73610158.266697213</v>
      </c>
      <c r="AL262" s="2997">
        <f t="shared" si="209"/>
        <v>72102356.662001461</v>
      </c>
      <c r="AM262" s="2997">
        <f t="shared" si="209"/>
        <v>72823380.228621468</v>
      </c>
      <c r="AN262" s="2997">
        <f t="shared" si="209"/>
        <v>73551614.030907691</v>
      </c>
      <c r="AO262" s="2997">
        <f t="shared" si="209"/>
        <v>74377792.747602761</v>
      </c>
      <c r="AP262" s="2997">
        <f t="shared" si="209"/>
        <v>77365016.127750382</v>
      </c>
      <c r="AQ262" s="2997">
        <f t="shared" si="209"/>
        <v>75780301.487658218</v>
      </c>
      <c r="AR262" s="2997">
        <f t="shared" si="209"/>
        <v>76538104.502534807</v>
      </c>
      <c r="AS262" s="2997">
        <f t="shared" si="209"/>
        <v>77303485.54756014</v>
      </c>
      <c r="AT262" s="2997">
        <f t="shared" si="209"/>
        <v>78171807.681985408</v>
      </c>
      <c r="AU262" s="2997">
        <f t="shared" si="209"/>
        <v>81311409.476414263</v>
      </c>
      <c r="AV262" s="2694">
        <v>0</v>
      </c>
      <c r="AW262" s="2809"/>
      <c r="AX262" s="2999"/>
      <c r="AY262" s="2760"/>
      <c r="AZ262" s="2760"/>
      <c r="BA262" s="2760"/>
      <c r="BB262" s="2760"/>
      <c r="BC262" s="2760"/>
      <c r="BD262" s="2760"/>
      <c r="BE262" s="2760"/>
      <c r="BF262" s="2760"/>
      <c r="BG262" s="2760"/>
      <c r="BI262" s="2730"/>
      <c r="BJ262" s="2730"/>
    </row>
    <row r="263" spans="1:62" ht="18" hidden="1" outlineLevel="1" thickBot="1">
      <c r="A263" s="3021" t="s">
        <v>4292</v>
      </c>
      <c r="B263" s="3035" t="s">
        <v>4293</v>
      </c>
      <c r="C263" s="3036"/>
      <c r="D263" s="3037">
        <v>1</v>
      </c>
      <c r="E263" s="3037"/>
      <c r="F263" s="3025">
        <v>984000</v>
      </c>
      <c r="G263" s="3026"/>
      <c r="H263" s="3026">
        <v>984000</v>
      </c>
      <c r="I263" s="3026">
        <v>984000</v>
      </c>
      <c r="J263" s="3026">
        <v>984000</v>
      </c>
      <c r="K263" s="3026">
        <v>984000</v>
      </c>
      <c r="L263" s="3026">
        <v>1200000</v>
      </c>
      <c r="M263" s="3026">
        <f>K263</f>
        <v>984000</v>
      </c>
      <c r="N263" s="3026">
        <f>M263</f>
        <v>984000</v>
      </c>
      <c r="O263" s="3026">
        <f>N263</f>
        <v>984000</v>
      </c>
      <c r="P263" s="3026">
        <f t="shared" ref="P263:AQ263" si="210">O263</f>
        <v>984000</v>
      </c>
      <c r="Q263" s="3026">
        <f t="shared" si="210"/>
        <v>984000</v>
      </c>
      <c r="R263" s="3026">
        <f t="shared" si="210"/>
        <v>984000</v>
      </c>
      <c r="S263" s="3026">
        <f t="shared" si="210"/>
        <v>984000</v>
      </c>
      <c r="T263" s="3026">
        <f t="shared" si="210"/>
        <v>984000</v>
      </c>
      <c r="U263" s="3026">
        <f t="shared" si="210"/>
        <v>984000</v>
      </c>
      <c r="V263" s="3026">
        <f t="shared" si="210"/>
        <v>984000</v>
      </c>
      <c r="W263" s="3026">
        <f t="shared" si="210"/>
        <v>984000</v>
      </c>
      <c r="X263" s="3026">
        <f t="shared" si="210"/>
        <v>984000</v>
      </c>
      <c r="Y263" s="3026">
        <f t="shared" si="210"/>
        <v>984000</v>
      </c>
      <c r="Z263" s="3026">
        <f t="shared" si="210"/>
        <v>984000</v>
      </c>
      <c r="AA263" s="3026">
        <f t="shared" si="210"/>
        <v>984000</v>
      </c>
      <c r="AB263" s="3026">
        <f t="shared" si="210"/>
        <v>984000</v>
      </c>
      <c r="AC263" s="3026">
        <f t="shared" si="210"/>
        <v>984000</v>
      </c>
      <c r="AD263" s="3026">
        <f t="shared" si="210"/>
        <v>984000</v>
      </c>
      <c r="AE263" s="3026">
        <f t="shared" si="210"/>
        <v>984000</v>
      </c>
      <c r="AF263" s="3026">
        <f t="shared" si="210"/>
        <v>984000</v>
      </c>
      <c r="AG263" s="3026">
        <f t="shared" si="210"/>
        <v>984000</v>
      </c>
      <c r="AH263" s="3026">
        <f t="shared" si="210"/>
        <v>984000</v>
      </c>
      <c r="AI263" s="3026">
        <f t="shared" si="210"/>
        <v>984000</v>
      </c>
      <c r="AJ263" s="3026">
        <f t="shared" si="210"/>
        <v>984000</v>
      </c>
      <c r="AK263" s="3026">
        <f t="shared" si="210"/>
        <v>984000</v>
      </c>
      <c r="AL263" s="3026">
        <f t="shared" si="210"/>
        <v>984000</v>
      </c>
      <c r="AM263" s="3026">
        <f t="shared" si="210"/>
        <v>984000</v>
      </c>
      <c r="AN263" s="3026">
        <f t="shared" si="210"/>
        <v>984000</v>
      </c>
      <c r="AO263" s="3026">
        <f t="shared" si="210"/>
        <v>984000</v>
      </c>
      <c r="AP263" s="3026">
        <f t="shared" si="210"/>
        <v>984000</v>
      </c>
      <c r="AQ263" s="3026">
        <f t="shared" si="210"/>
        <v>984000</v>
      </c>
      <c r="AR263" s="3026">
        <f>AQ263</f>
        <v>984000</v>
      </c>
      <c r="AS263" s="3026">
        <f>AR263</f>
        <v>984000</v>
      </c>
      <c r="AT263" s="3026">
        <f>AS263</f>
        <v>984000</v>
      </c>
      <c r="AU263" s="3026">
        <f>AT263</f>
        <v>984000</v>
      </c>
      <c r="AV263" s="2694">
        <v>0</v>
      </c>
      <c r="AW263" s="2998"/>
      <c r="AX263" s="3038"/>
      <c r="AY263" s="3039"/>
      <c r="AZ263" s="3039"/>
      <c r="BA263" s="3039"/>
      <c r="BB263" s="3039"/>
      <c r="BC263" s="3039"/>
      <c r="BD263" s="3039"/>
      <c r="BE263" s="3039"/>
      <c r="BF263" s="3039"/>
      <c r="BG263" s="3039"/>
      <c r="BI263" s="2730"/>
      <c r="BJ263" s="2730"/>
    </row>
    <row r="264" spans="1:62" ht="18" hidden="1" outlineLevel="1" thickBot="1">
      <c r="A264" s="2772" t="s">
        <v>4294</v>
      </c>
      <c r="B264" s="3040" t="s">
        <v>4295</v>
      </c>
      <c r="C264" s="3041"/>
      <c r="D264" s="3042">
        <v>1</v>
      </c>
      <c r="E264" s="3042"/>
      <c r="F264" s="3001">
        <v>2085000</v>
      </c>
      <c r="G264" s="3003">
        <v>2040000</v>
      </c>
      <c r="H264" s="3003">
        <v>2040000</v>
      </c>
      <c r="I264" s="3003">
        <v>2040000</v>
      </c>
      <c r="J264" s="3003">
        <v>2040000</v>
      </c>
      <c r="K264" s="3003">
        <v>2040000</v>
      </c>
      <c r="L264" s="3003">
        <v>2040000</v>
      </c>
      <c r="M264" s="3003">
        <v>2040000</v>
      </c>
      <c r="N264" s="3003">
        <v>2040000</v>
      </c>
      <c r="O264" s="3003">
        <v>2040000</v>
      </c>
      <c r="P264" s="3003">
        <v>2040000</v>
      </c>
      <c r="Q264" s="3003">
        <v>2040000</v>
      </c>
      <c r="R264" s="3003">
        <v>2040000</v>
      </c>
      <c r="S264" s="3003">
        <v>2040000</v>
      </c>
      <c r="T264" s="3003">
        <v>2040000</v>
      </c>
      <c r="U264" s="3003">
        <v>2040000</v>
      </c>
      <c r="V264" s="3003">
        <v>2040000</v>
      </c>
      <c r="W264" s="3003">
        <v>2040000</v>
      </c>
      <c r="X264" s="3003">
        <v>2040000</v>
      </c>
      <c r="Y264" s="3003">
        <v>2040000</v>
      </c>
      <c r="Z264" s="3003">
        <v>2040000</v>
      </c>
      <c r="AA264" s="3003">
        <v>2040000</v>
      </c>
      <c r="AB264" s="3003">
        <v>2040000</v>
      </c>
      <c r="AC264" s="3003">
        <v>2040000</v>
      </c>
      <c r="AD264" s="3003">
        <v>2040000</v>
      </c>
      <c r="AE264" s="3003">
        <v>2040000</v>
      </c>
      <c r="AF264" s="3003">
        <v>2040000</v>
      </c>
      <c r="AG264" s="3003">
        <v>2040000</v>
      </c>
      <c r="AH264" s="3003">
        <v>2040000</v>
      </c>
      <c r="AI264" s="3003">
        <v>2040000</v>
      </c>
      <c r="AJ264" s="3003">
        <v>2040000</v>
      </c>
      <c r="AK264" s="3003">
        <v>2040000</v>
      </c>
      <c r="AL264" s="3003">
        <v>2040000</v>
      </c>
      <c r="AM264" s="3003">
        <v>2040000</v>
      </c>
      <c r="AN264" s="3003">
        <v>2040000</v>
      </c>
      <c r="AO264" s="3003">
        <v>2040000</v>
      </c>
      <c r="AP264" s="3003">
        <v>2040000</v>
      </c>
      <c r="AQ264" s="3003">
        <v>2040000</v>
      </c>
      <c r="AR264" s="3003">
        <v>2040000</v>
      </c>
      <c r="AS264" s="3003">
        <v>2040000</v>
      </c>
      <c r="AT264" s="3003">
        <v>2040000</v>
      </c>
      <c r="AU264" s="3003">
        <v>2040000</v>
      </c>
      <c r="AV264" s="2694">
        <v>0</v>
      </c>
      <c r="AW264" s="3043"/>
      <c r="AX264" s="3038"/>
      <c r="AY264" s="3039"/>
      <c r="AZ264" s="3039"/>
      <c r="BA264" s="3039"/>
      <c r="BB264" s="3039"/>
      <c r="BC264" s="3039"/>
      <c r="BD264" s="3039"/>
      <c r="BE264" s="3039"/>
      <c r="BF264" s="3039"/>
      <c r="BG264" s="3039"/>
      <c r="BI264" s="2730"/>
      <c r="BJ264" s="2730"/>
    </row>
    <row r="265" spans="1:62" ht="18" hidden="1" outlineLevel="1" thickBot="1">
      <c r="A265" s="2772" t="s">
        <v>4296</v>
      </c>
      <c r="B265" s="3040" t="s">
        <v>4297</v>
      </c>
      <c r="C265" s="3041"/>
      <c r="D265" s="3042">
        <v>1</v>
      </c>
      <c r="E265" s="3042"/>
      <c r="F265" s="3001">
        <v>70000</v>
      </c>
      <c r="G265" s="3003">
        <v>70000</v>
      </c>
      <c r="H265" s="3003">
        <v>70000</v>
      </c>
      <c r="I265" s="3003">
        <v>70000</v>
      </c>
      <c r="J265" s="3003">
        <v>70000</v>
      </c>
      <c r="K265" s="3003">
        <v>70000</v>
      </c>
      <c r="L265" s="3003">
        <v>70000</v>
      </c>
      <c r="M265" s="3003">
        <v>70000</v>
      </c>
      <c r="N265" s="3003">
        <v>70000</v>
      </c>
      <c r="O265" s="3003">
        <v>70000</v>
      </c>
      <c r="P265" s="3003">
        <v>70000</v>
      </c>
      <c r="Q265" s="3003">
        <v>70000</v>
      </c>
      <c r="R265" s="3003">
        <v>70000</v>
      </c>
      <c r="S265" s="3003">
        <v>70000</v>
      </c>
      <c r="T265" s="3003">
        <v>70000</v>
      </c>
      <c r="U265" s="3003">
        <v>70000</v>
      </c>
      <c r="V265" s="3003">
        <v>70000</v>
      </c>
      <c r="W265" s="3003">
        <v>70000</v>
      </c>
      <c r="X265" s="3003">
        <v>70000</v>
      </c>
      <c r="Y265" s="3003">
        <v>70000</v>
      </c>
      <c r="Z265" s="3003">
        <v>70000</v>
      </c>
      <c r="AA265" s="3003">
        <v>70000</v>
      </c>
      <c r="AB265" s="3003">
        <v>70000</v>
      </c>
      <c r="AC265" s="3003">
        <v>70000</v>
      </c>
      <c r="AD265" s="3003">
        <v>70000</v>
      </c>
      <c r="AE265" s="3003">
        <v>70000</v>
      </c>
      <c r="AF265" s="3003">
        <v>70000</v>
      </c>
      <c r="AG265" s="3003">
        <v>70000</v>
      </c>
      <c r="AH265" s="3003">
        <v>70000</v>
      </c>
      <c r="AI265" s="3003">
        <v>70000</v>
      </c>
      <c r="AJ265" s="3003">
        <v>70000</v>
      </c>
      <c r="AK265" s="3003">
        <v>70000</v>
      </c>
      <c r="AL265" s="3003">
        <v>70000</v>
      </c>
      <c r="AM265" s="3003">
        <v>70000</v>
      </c>
      <c r="AN265" s="3003">
        <v>70000</v>
      </c>
      <c r="AO265" s="3003">
        <v>70000</v>
      </c>
      <c r="AP265" s="3003">
        <v>70000</v>
      </c>
      <c r="AQ265" s="3003">
        <v>70000</v>
      </c>
      <c r="AR265" s="3003">
        <v>70000</v>
      </c>
      <c r="AS265" s="3003">
        <v>70000</v>
      </c>
      <c r="AT265" s="3003">
        <v>70000</v>
      </c>
      <c r="AU265" s="3003">
        <v>70000</v>
      </c>
      <c r="AV265" s="2694">
        <v>0</v>
      </c>
      <c r="AW265" s="3043"/>
      <c r="AX265" s="3038"/>
      <c r="AY265" s="3039"/>
      <c r="AZ265" s="3039"/>
      <c r="BA265" s="3039"/>
      <c r="BB265" s="3039"/>
      <c r="BC265" s="3039"/>
      <c r="BD265" s="3039"/>
      <c r="BE265" s="3039"/>
      <c r="BF265" s="3039"/>
      <c r="BG265" s="3039"/>
      <c r="BI265" s="2730"/>
      <c r="BJ265" s="2730"/>
    </row>
    <row r="266" spans="1:62" ht="18" hidden="1" outlineLevel="1" thickBot="1">
      <c r="A266" s="2772" t="s">
        <v>4298</v>
      </c>
      <c r="B266" s="3040" t="s">
        <v>4299</v>
      </c>
      <c r="C266" s="3041"/>
      <c r="D266" s="3042">
        <v>1</v>
      </c>
      <c r="E266" s="3042"/>
      <c r="F266" s="3001">
        <v>1740000</v>
      </c>
      <c r="G266" s="3003">
        <v>1539820</v>
      </c>
      <c r="H266" s="3003">
        <v>1500000</v>
      </c>
      <c r="I266" s="3003">
        <v>1500000</v>
      </c>
      <c r="J266" s="3003">
        <v>1500000</v>
      </c>
      <c r="K266" s="3003">
        <v>1500000</v>
      </c>
      <c r="L266" s="3003">
        <v>1500000</v>
      </c>
      <c r="M266" s="3003">
        <v>1500000</v>
      </c>
      <c r="N266" s="3003">
        <v>1500000</v>
      </c>
      <c r="O266" s="3003">
        <v>1500000</v>
      </c>
      <c r="P266" s="3003">
        <v>1500000</v>
      </c>
      <c r="Q266" s="3003">
        <v>1500000</v>
      </c>
      <c r="R266" s="3003">
        <v>1500000</v>
      </c>
      <c r="S266" s="3003">
        <v>1500000</v>
      </c>
      <c r="T266" s="3003">
        <v>1500000</v>
      </c>
      <c r="U266" s="3003">
        <v>1500000</v>
      </c>
      <c r="V266" s="3003">
        <v>1500000</v>
      </c>
      <c r="W266" s="3003">
        <v>1500000</v>
      </c>
      <c r="X266" s="3003">
        <v>1500000</v>
      </c>
      <c r="Y266" s="3003">
        <v>1500000</v>
      </c>
      <c r="Z266" s="3003">
        <v>1500000</v>
      </c>
      <c r="AA266" s="3003">
        <v>1500000</v>
      </c>
      <c r="AB266" s="3003">
        <v>1500000</v>
      </c>
      <c r="AC266" s="3003">
        <v>1500000</v>
      </c>
      <c r="AD266" s="3003">
        <v>1500000</v>
      </c>
      <c r="AE266" s="3003">
        <v>1500000</v>
      </c>
      <c r="AF266" s="3003">
        <v>1500000</v>
      </c>
      <c r="AG266" s="3003">
        <v>1500000</v>
      </c>
      <c r="AH266" s="3003">
        <v>1500000</v>
      </c>
      <c r="AI266" s="3003">
        <v>1500000</v>
      </c>
      <c r="AJ266" s="3003">
        <v>1500000</v>
      </c>
      <c r="AK266" s="3003">
        <v>1500000</v>
      </c>
      <c r="AL266" s="3003">
        <v>1500000</v>
      </c>
      <c r="AM266" s="3003">
        <v>1500000</v>
      </c>
      <c r="AN266" s="3003">
        <v>1500000</v>
      </c>
      <c r="AO266" s="3003">
        <v>1500000</v>
      </c>
      <c r="AP266" s="3003">
        <v>1500000</v>
      </c>
      <c r="AQ266" s="3003">
        <v>1500000</v>
      </c>
      <c r="AR266" s="3003">
        <v>1500000</v>
      </c>
      <c r="AS266" s="3003">
        <v>1500000</v>
      </c>
      <c r="AT266" s="3003">
        <v>1500000</v>
      </c>
      <c r="AU266" s="3003">
        <v>1500000</v>
      </c>
      <c r="AV266" s="2694">
        <v>0</v>
      </c>
      <c r="AW266" s="3043"/>
      <c r="AX266" s="3038"/>
      <c r="AY266" s="3039"/>
      <c r="AZ266" s="3039"/>
      <c r="BA266" s="3039"/>
      <c r="BB266" s="3039"/>
      <c r="BC266" s="3039"/>
      <c r="BD266" s="3039"/>
      <c r="BE266" s="3039"/>
      <c r="BF266" s="3039"/>
      <c r="BG266" s="3039"/>
      <c r="BI266" s="2730"/>
      <c r="BJ266" s="2730"/>
    </row>
    <row r="267" spans="1:62" ht="18" hidden="1" outlineLevel="1" thickBot="1">
      <c r="A267" s="2772" t="s">
        <v>4300</v>
      </c>
      <c r="B267" s="3044" t="s">
        <v>4301</v>
      </c>
      <c r="C267" s="3041"/>
      <c r="D267" s="3042">
        <v>1</v>
      </c>
      <c r="E267" s="3042"/>
      <c r="F267" s="3001">
        <v>150000</v>
      </c>
      <c r="G267" s="3003">
        <v>410000</v>
      </c>
      <c r="H267" s="3003">
        <v>5600000</v>
      </c>
      <c r="I267" s="3003">
        <v>5600000</v>
      </c>
      <c r="J267" s="3003">
        <v>5600000</v>
      </c>
      <c r="K267" s="3003">
        <v>5600000</v>
      </c>
      <c r="L267" s="3003">
        <v>5600000</v>
      </c>
      <c r="M267" s="3003">
        <v>5600000</v>
      </c>
      <c r="N267" s="3003">
        <v>5600000</v>
      </c>
      <c r="O267" s="3003">
        <v>5600000</v>
      </c>
      <c r="P267" s="3003">
        <v>5600000</v>
      </c>
      <c r="Q267" s="3003">
        <v>5600000</v>
      </c>
      <c r="R267" s="3003">
        <v>5600000</v>
      </c>
      <c r="S267" s="3003">
        <v>5600000</v>
      </c>
      <c r="T267" s="3003">
        <v>5600000</v>
      </c>
      <c r="U267" s="3003">
        <v>5600000</v>
      </c>
      <c r="V267" s="3003">
        <v>5600000</v>
      </c>
      <c r="W267" s="3003">
        <v>5600000</v>
      </c>
      <c r="X267" s="3003">
        <v>5600000</v>
      </c>
      <c r="Y267" s="3003">
        <v>5600000</v>
      </c>
      <c r="Z267" s="3003">
        <v>5600000</v>
      </c>
      <c r="AA267" s="3003">
        <v>5600000</v>
      </c>
      <c r="AB267" s="3003">
        <v>5600000</v>
      </c>
      <c r="AC267" s="3003">
        <v>5600000</v>
      </c>
      <c r="AD267" s="3003">
        <v>5600000</v>
      </c>
      <c r="AE267" s="3003">
        <v>5600000</v>
      </c>
      <c r="AF267" s="3003">
        <v>5600000</v>
      </c>
      <c r="AG267" s="3003">
        <v>5600000</v>
      </c>
      <c r="AH267" s="3003">
        <v>5600000</v>
      </c>
      <c r="AI267" s="3003">
        <v>5600000</v>
      </c>
      <c r="AJ267" s="3003">
        <v>5600000</v>
      </c>
      <c r="AK267" s="3003">
        <v>5600000</v>
      </c>
      <c r="AL267" s="3003">
        <v>5600000</v>
      </c>
      <c r="AM267" s="3003">
        <v>5600000</v>
      </c>
      <c r="AN267" s="3003">
        <v>5600000</v>
      </c>
      <c r="AO267" s="3003">
        <v>5600000</v>
      </c>
      <c r="AP267" s="3003">
        <v>5600000</v>
      </c>
      <c r="AQ267" s="3003">
        <v>5600000</v>
      </c>
      <c r="AR267" s="3003">
        <v>5600000</v>
      </c>
      <c r="AS267" s="3003">
        <v>5600000</v>
      </c>
      <c r="AT267" s="3003">
        <v>5600000</v>
      </c>
      <c r="AU267" s="3003">
        <v>5600000</v>
      </c>
      <c r="AV267" s="2694">
        <v>0</v>
      </c>
      <c r="AW267" s="3043"/>
      <c r="AX267" s="3038"/>
      <c r="AY267" s="3039"/>
      <c r="AZ267" s="3039"/>
      <c r="BA267" s="3039"/>
      <c r="BB267" s="3039"/>
      <c r="BC267" s="3039"/>
      <c r="BD267" s="3039"/>
      <c r="BE267" s="3039"/>
      <c r="BF267" s="3039"/>
      <c r="BG267" s="3039"/>
      <c r="BI267" s="2730"/>
      <c r="BJ267" s="2730"/>
    </row>
    <row r="268" spans="1:62" ht="18" hidden="1" outlineLevel="1" thickBot="1">
      <c r="A268" s="2772" t="s">
        <v>4302</v>
      </c>
      <c r="B268" s="3040" t="s">
        <v>4303</v>
      </c>
      <c r="C268" s="3041"/>
      <c r="D268" s="3042">
        <v>1</v>
      </c>
      <c r="E268" s="3042"/>
      <c r="F268" s="3001">
        <v>144600</v>
      </c>
      <c r="G268" s="3003">
        <v>640000</v>
      </c>
      <c r="H268" s="3003"/>
      <c r="I268" s="3003"/>
      <c r="J268" s="3003"/>
      <c r="K268" s="3003">
        <v>64000</v>
      </c>
      <c r="L268" s="3003">
        <v>1632000</v>
      </c>
      <c r="M268" s="3003"/>
      <c r="N268" s="3003"/>
      <c r="O268" s="3003"/>
      <c r="P268" s="3003">
        <v>64000</v>
      </c>
      <c r="Q268" s="3003">
        <v>1632000</v>
      </c>
      <c r="R268" s="3003"/>
      <c r="S268" s="3003"/>
      <c r="T268" s="3003"/>
      <c r="U268" s="3003">
        <v>64000</v>
      </c>
      <c r="V268" s="3003">
        <v>1632000</v>
      </c>
      <c r="W268" s="3003"/>
      <c r="X268" s="3003"/>
      <c r="Y268" s="3003"/>
      <c r="Z268" s="3003">
        <v>64000</v>
      </c>
      <c r="AA268" s="3003">
        <v>1632000</v>
      </c>
      <c r="AB268" s="3003"/>
      <c r="AC268" s="3003"/>
      <c r="AD268" s="3003"/>
      <c r="AE268" s="3003">
        <v>64000</v>
      </c>
      <c r="AF268" s="3003">
        <v>1632000</v>
      </c>
      <c r="AG268" s="3003"/>
      <c r="AH268" s="3003"/>
      <c r="AI268" s="3003"/>
      <c r="AJ268" s="3003">
        <v>64000</v>
      </c>
      <c r="AK268" s="3003">
        <v>1632000</v>
      </c>
      <c r="AL268" s="3003"/>
      <c r="AM268" s="3003"/>
      <c r="AN268" s="3003"/>
      <c r="AO268" s="3003">
        <v>64000</v>
      </c>
      <c r="AP268" s="3003">
        <v>1632000</v>
      </c>
      <c r="AQ268" s="3003"/>
      <c r="AR268" s="3003"/>
      <c r="AS268" s="3003"/>
      <c r="AT268" s="3003">
        <v>64000</v>
      </c>
      <c r="AU268" s="3003">
        <v>1632000</v>
      </c>
      <c r="AV268" s="2694">
        <v>0</v>
      </c>
      <c r="AW268" s="3045"/>
      <c r="AX268" s="3038"/>
      <c r="AY268" s="3039"/>
      <c r="AZ268" s="3039"/>
      <c r="BA268" s="3039"/>
      <c r="BB268" s="3039"/>
      <c r="BC268" s="3039"/>
      <c r="BD268" s="3039"/>
      <c r="BE268" s="3039"/>
      <c r="BF268" s="3039"/>
      <c r="BG268" s="3039"/>
      <c r="BI268" s="2730"/>
      <c r="BJ268" s="2730"/>
    </row>
    <row r="269" spans="1:62" ht="18" hidden="1" outlineLevel="1" thickBot="1">
      <c r="A269" s="2772" t="s">
        <v>4304</v>
      </c>
      <c r="B269" s="3040" t="s">
        <v>4305</v>
      </c>
      <c r="C269" s="3041"/>
      <c r="D269" s="3042">
        <v>1</v>
      </c>
      <c r="E269" s="3042"/>
      <c r="F269" s="3001">
        <v>536840</v>
      </c>
      <c r="G269" s="3003">
        <v>521840</v>
      </c>
      <c r="H269" s="3003">
        <v>557840</v>
      </c>
      <c r="I269" s="3003">
        <v>557840</v>
      </c>
      <c r="J269" s="3003">
        <v>557840</v>
      </c>
      <c r="K269" s="3003">
        <v>557840</v>
      </c>
      <c r="L269" s="3003">
        <v>557840</v>
      </c>
      <c r="M269" s="3003">
        <v>557840</v>
      </c>
      <c r="N269" s="3003">
        <v>557840</v>
      </c>
      <c r="O269" s="3003">
        <v>557840</v>
      </c>
      <c r="P269" s="3003">
        <v>557840</v>
      </c>
      <c r="Q269" s="3003">
        <v>557840</v>
      </c>
      <c r="R269" s="3003">
        <v>557840</v>
      </c>
      <c r="S269" s="3003">
        <v>557840</v>
      </c>
      <c r="T269" s="3003">
        <v>557840</v>
      </c>
      <c r="U269" s="3003">
        <v>557840</v>
      </c>
      <c r="V269" s="3003">
        <v>557840</v>
      </c>
      <c r="W269" s="3003">
        <v>557840</v>
      </c>
      <c r="X269" s="3003">
        <v>557840</v>
      </c>
      <c r="Y269" s="3003">
        <v>557840</v>
      </c>
      <c r="Z269" s="3003">
        <v>557840</v>
      </c>
      <c r="AA269" s="3003">
        <v>557840</v>
      </c>
      <c r="AB269" s="3003">
        <v>557840</v>
      </c>
      <c r="AC269" s="3003">
        <v>557840</v>
      </c>
      <c r="AD269" s="3003">
        <v>557840</v>
      </c>
      <c r="AE269" s="3003">
        <v>557840</v>
      </c>
      <c r="AF269" s="3003">
        <v>557840</v>
      </c>
      <c r="AG269" s="3003">
        <v>557840</v>
      </c>
      <c r="AH269" s="3003">
        <v>557840</v>
      </c>
      <c r="AI269" s="3003">
        <v>557840</v>
      </c>
      <c r="AJ269" s="3003">
        <v>557840</v>
      </c>
      <c r="AK269" s="3003">
        <v>557840</v>
      </c>
      <c r="AL269" s="3003">
        <v>557840</v>
      </c>
      <c r="AM269" s="3003">
        <v>557840</v>
      </c>
      <c r="AN269" s="3003">
        <v>557840</v>
      </c>
      <c r="AO269" s="3003">
        <v>557840</v>
      </c>
      <c r="AP269" s="3003">
        <v>557840</v>
      </c>
      <c r="AQ269" s="3003">
        <v>557840</v>
      </c>
      <c r="AR269" s="3003">
        <v>557840</v>
      </c>
      <c r="AS269" s="3003">
        <v>557840</v>
      </c>
      <c r="AT269" s="3003">
        <v>557840</v>
      </c>
      <c r="AU269" s="3003">
        <v>557840</v>
      </c>
      <c r="AV269" s="2694">
        <v>0</v>
      </c>
      <c r="AW269" s="3043"/>
      <c r="AX269" s="3038"/>
      <c r="AY269" s="3039"/>
      <c r="AZ269" s="3039"/>
      <c r="BA269" s="3039"/>
      <c r="BB269" s="3039"/>
      <c r="BC269" s="3039"/>
      <c r="BD269" s="3039"/>
      <c r="BE269" s="3039"/>
      <c r="BF269" s="3039"/>
      <c r="BG269" s="3039"/>
      <c r="BI269" s="2730"/>
      <c r="BJ269" s="2730"/>
    </row>
    <row r="270" spans="1:62" ht="18" hidden="1" outlineLevel="1" thickBot="1">
      <c r="A270" s="2772" t="s">
        <v>4306</v>
      </c>
      <c r="B270" s="3040" t="s">
        <v>4307</v>
      </c>
      <c r="C270" s="3041"/>
      <c r="D270" s="3042">
        <v>1</v>
      </c>
      <c r="E270" s="3042"/>
      <c r="F270" s="3001">
        <v>1782000</v>
      </c>
      <c r="G270" s="3003">
        <v>1741500</v>
      </c>
      <c r="H270" s="3003">
        <v>1903500</v>
      </c>
      <c r="I270" s="3003">
        <v>1903500</v>
      </c>
      <c r="J270" s="3003">
        <v>1903500</v>
      </c>
      <c r="K270" s="3003">
        <v>1903500</v>
      </c>
      <c r="L270" s="3003">
        <v>1903500</v>
      </c>
      <c r="M270" s="3003">
        <v>1903500</v>
      </c>
      <c r="N270" s="3003">
        <v>1903500</v>
      </c>
      <c r="O270" s="3003">
        <v>1903500</v>
      </c>
      <c r="P270" s="3003">
        <v>1903500</v>
      </c>
      <c r="Q270" s="3003">
        <v>1903500</v>
      </c>
      <c r="R270" s="3003">
        <v>1903500</v>
      </c>
      <c r="S270" s="3003">
        <v>1903500</v>
      </c>
      <c r="T270" s="3003">
        <v>1903500</v>
      </c>
      <c r="U270" s="3003">
        <v>1903500</v>
      </c>
      <c r="V270" s="3003">
        <v>1903500</v>
      </c>
      <c r="W270" s="3003">
        <v>1903500</v>
      </c>
      <c r="X270" s="3003">
        <v>1903500</v>
      </c>
      <c r="Y270" s="3003">
        <v>1903500</v>
      </c>
      <c r="Z270" s="3003">
        <v>1903500</v>
      </c>
      <c r="AA270" s="3003">
        <v>1903500</v>
      </c>
      <c r="AB270" s="3003">
        <v>1903500</v>
      </c>
      <c r="AC270" s="3003">
        <v>1903500</v>
      </c>
      <c r="AD270" s="3003">
        <v>1903500</v>
      </c>
      <c r="AE270" s="3003">
        <v>1903500</v>
      </c>
      <c r="AF270" s="3003">
        <v>1903500</v>
      </c>
      <c r="AG270" s="3003">
        <v>1903500</v>
      </c>
      <c r="AH270" s="3003">
        <v>1903500</v>
      </c>
      <c r="AI270" s="3003">
        <v>1903500</v>
      </c>
      <c r="AJ270" s="3003">
        <v>1903500</v>
      </c>
      <c r="AK270" s="3003">
        <v>1903500</v>
      </c>
      <c r="AL270" s="3003">
        <v>1903500</v>
      </c>
      <c r="AM270" s="3003">
        <v>1903500</v>
      </c>
      <c r="AN270" s="3003">
        <v>1903500</v>
      </c>
      <c r="AO270" s="3003">
        <v>1903500</v>
      </c>
      <c r="AP270" s="3003">
        <v>1903500</v>
      </c>
      <c r="AQ270" s="3003">
        <v>1903500</v>
      </c>
      <c r="AR270" s="3003">
        <v>1903500</v>
      </c>
      <c r="AS270" s="3003">
        <v>1903500</v>
      </c>
      <c r="AT270" s="3003">
        <v>1903500</v>
      </c>
      <c r="AU270" s="3003">
        <v>1903500</v>
      </c>
      <c r="AV270" s="2694">
        <v>0</v>
      </c>
      <c r="AW270" s="3043"/>
      <c r="AX270" s="3038"/>
      <c r="AY270" s="3039"/>
      <c r="AZ270" s="3039"/>
      <c r="BA270" s="3039"/>
      <c r="BB270" s="3039"/>
      <c r="BC270" s="3039"/>
      <c r="BD270" s="3039"/>
      <c r="BE270" s="3039"/>
      <c r="BF270" s="3039"/>
      <c r="BG270" s="3039"/>
      <c r="BI270" s="2730"/>
      <c r="BJ270" s="2730"/>
    </row>
    <row r="271" spans="1:62" ht="18" hidden="1" outlineLevel="1" thickBot="1">
      <c r="A271" s="2772" t="s">
        <v>4308</v>
      </c>
      <c r="B271" s="3046"/>
      <c r="C271" s="3041"/>
      <c r="D271" s="3042">
        <v>1</v>
      </c>
      <c r="E271" s="3042"/>
      <c r="F271" s="3001"/>
      <c r="G271" s="3003">
        <v>0</v>
      </c>
      <c r="H271" s="3003"/>
      <c r="I271" s="3003"/>
      <c r="J271" s="3003"/>
      <c r="K271" s="3003"/>
      <c r="L271" s="3003"/>
      <c r="M271" s="3003"/>
      <c r="N271" s="3003"/>
      <c r="O271" s="3003"/>
      <c r="P271" s="3003"/>
      <c r="Q271" s="3003"/>
      <c r="R271" s="3003"/>
      <c r="S271" s="3003"/>
      <c r="T271" s="3003"/>
      <c r="U271" s="3003"/>
      <c r="V271" s="3003"/>
      <c r="W271" s="3003"/>
      <c r="X271" s="3003"/>
      <c r="Y271" s="3003"/>
      <c r="Z271" s="3003"/>
      <c r="AA271" s="3003"/>
      <c r="AB271" s="3003"/>
      <c r="AC271" s="3003"/>
      <c r="AD271" s="3003"/>
      <c r="AE271" s="3003"/>
      <c r="AF271" s="3003"/>
      <c r="AG271" s="3003"/>
      <c r="AH271" s="3003"/>
      <c r="AI271" s="3003"/>
      <c r="AJ271" s="3003"/>
      <c r="AK271" s="3003"/>
      <c r="AL271" s="3003"/>
      <c r="AM271" s="3003"/>
      <c r="AN271" s="3003"/>
      <c r="AO271" s="3003"/>
      <c r="AP271" s="3003"/>
      <c r="AQ271" s="3003"/>
      <c r="AR271" s="3003"/>
      <c r="AS271" s="3003"/>
      <c r="AT271" s="3003"/>
      <c r="AU271" s="3003"/>
      <c r="AV271" s="2694">
        <v>0</v>
      </c>
      <c r="AW271" s="3043"/>
      <c r="AX271" s="3038"/>
      <c r="AY271" s="3039"/>
      <c r="AZ271" s="3039"/>
      <c r="BA271" s="3039"/>
      <c r="BB271" s="3039"/>
      <c r="BC271" s="3039"/>
      <c r="BD271" s="3039"/>
      <c r="BE271" s="3039"/>
      <c r="BF271" s="3039"/>
      <c r="BG271" s="3039"/>
      <c r="BI271" s="2730"/>
      <c r="BJ271" s="2730"/>
    </row>
    <row r="272" spans="1:62" ht="18" hidden="1" outlineLevel="1" thickBot="1">
      <c r="A272" s="3047" t="s">
        <v>4309</v>
      </c>
      <c r="B272" s="2889" t="s">
        <v>4310</v>
      </c>
      <c r="C272" s="3048"/>
      <c r="D272" s="3049">
        <v>2</v>
      </c>
      <c r="E272" s="3049"/>
      <c r="F272" s="3050">
        <v>22000000</v>
      </c>
      <c r="G272" s="3051">
        <v>28200000</v>
      </c>
      <c r="H272" s="3051">
        <f t="shared" ref="H272:AU272" si="211">G272</f>
        <v>28200000</v>
      </c>
      <c r="I272" s="3051">
        <f t="shared" si="211"/>
        <v>28200000</v>
      </c>
      <c r="J272" s="3051">
        <f t="shared" si="211"/>
        <v>28200000</v>
      </c>
      <c r="K272" s="3051">
        <f t="shared" si="211"/>
        <v>28200000</v>
      </c>
      <c r="L272" s="3051">
        <f t="shared" si="211"/>
        <v>28200000</v>
      </c>
      <c r="M272" s="3051">
        <f t="shared" si="211"/>
        <v>28200000</v>
      </c>
      <c r="N272" s="3051">
        <f t="shared" si="211"/>
        <v>28200000</v>
      </c>
      <c r="O272" s="3051">
        <f t="shared" si="211"/>
        <v>28200000</v>
      </c>
      <c r="P272" s="3051">
        <f t="shared" si="211"/>
        <v>28200000</v>
      </c>
      <c r="Q272" s="3051">
        <f t="shared" si="211"/>
        <v>28200000</v>
      </c>
      <c r="R272" s="3051">
        <f t="shared" si="211"/>
        <v>28200000</v>
      </c>
      <c r="S272" s="3051">
        <f t="shared" si="211"/>
        <v>28200000</v>
      </c>
      <c r="T272" s="3051">
        <f t="shared" si="211"/>
        <v>28200000</v>
      </c>
      <c r="U272" s="3051">
        <f t="shared" si="211"/>
        <v>28200000</v>
      </c>
      <c r="V272" s="3051">
        <f t="shared" si="211"/>
        <v>28200000</v>
      </c>
      <c r="W272" s="3051">
        <f t="shared" si="211"/>
        <v>28200000</v>
      </c>
      <c r="X272" s="3051">
        <f t="shared" si="211"/>
        <v>28200000</v>
      </c>
      <c r="Y272" s="3051">
        <f t="shared" si="211"/>
        <v>28200000</v>
      </c>
      <c r="Z272" s="3051">
        <f t="shared" si="211"/>
        <v>28200000</v>
      </c>
      <c r="AA272" s="3051">
        <f t="shared" si="211"/>
        <v>28200000</v>
      </c>
      <c r="AB272" s="3051">
        <f t="shared" si="211"/>
        <v>28200000</v>
      </c>
      <c r="AC272" s="3051">
        <f t="shared" si="211"/>
        <v>28200000</v>
      </c>
      <c r="AD272" s="3051">
        <f t="shared" si="211"/>
        <v>28200000</v>
      </c>
      <c r="AE272" s="3051">
        <f t="shared" si="211"/>
        <v>28200000</v>
      </c>
      <c r="AF272" s="3051">
        <f t="shared" si="211"/>
        <v>28200000</v>
      </c>
      <c r="AG272" s="3051">
        <f t="shared" si="211"/>
        <v>28200000</v>
      </c>
      <c r="AH272" s="3051">
        <f t="shared" si="211"/>
        <v>28200000</v>
      </c>
      <c r="AI272" s="3051">
        <f t="shared" si="211"/>
        <v>28200000</v>
      </c>
      <c r="AJ272" s="3051">
        <f t="shared" si="211"/>
        <v>28200000</v>
      </c>
      <c r="AK272" s="3051">
        <f t="shared" si="211"/>
        <v>28200000</v>
      </c>
      <c r="AL272" s="3051">
        <f t="shared" si="211"/>
        <v>28200000</v>
      </c>
      <c r="AM272" s="3051">
        <f t="shared" si="211"/>
        <v>28200000</v>
      </c>
      <c r="AN272" s="3051">
        <f t="shared" si="211"/>
        <v>28200000</v>
      </c>
      <c r="AO272" s="3051">
        <f t="shared" si="211"/>
        <v>28200000</v>
      </c>
      <c r="AP272" s="3051">
        <f t="shared" si="211"/>
        <v>28200000</v>
      </c>
      <c r="AQ272" s="3051">
        <f t="shared" si="211"/>
        <v>28200000</v>
      </c>
      <c r="AR272" s="3051">
        <f t="shared" si="211"/>
        <v>28200000</v>
      </c>
      <c r="AS272" s="3051">
        <f t="shared" si="211"/>
        <v>28200000</v>
      </c>
      <c r="AT272" s="3051">
        <f t="shared" si="211"/>
        <v>28200000</v>
      </c>
      <c r="AU272" s="3051">
        <f t="shared" si="211"/>
        <v>28200000</v>
      </c>
      <c r="AV272" s="2694">
        <v>0</v>
      </c>
      <c r="AW272" s="3052"/>
      <c r="AX272" s="2965"/>
      <c r="AY272" s="3039"/>
      <c r="AZ272" s="3039"/>
      <c r="BA272" s="3039"/>
      <c r="BB272" s="3039"/>
      <c r="BC272" s="3039"/>
      <c r="BD272" s="3039"/>
      <c r="BE272" s="3039"/>
      <c r="BF272" s="3039"/>
      <c r="BG272" s="3039"/>
      <c r="BI272" s="2730"/>
      <c r="BJ272" s="2730"/>
    </row>
    <row r="273" spans="1:62" ht="18" hidden="1" outlineLevel="1" thickBot="1">
      <c r="A273" s="3047" t="s">
        <v>4311</v>
      </c>
      <c r="B273" s="2889" t="s">
        <v>4312</v>
      </c>
      <c r="C273" s="3048"/>
      <c r="D273" s="3049">
        <v>2</v>
      </c>
      <c r="E273" s="3049"/>
      <c r="F273" s="3050"/>
      <c r="G273" s="3051">
        <v>1900000</v>
      </c>
      <c r="H273" s="3051">
        <v>2000000</v>
      </c>
      <c r="I273" s="3051">
        <v>2000000</v>
      </c>
      <c r="J273" s="3051">
        <v>2000000</v>
      </c>
      <c r="K273" s="3051">
        <v>2000000</v>
      </c>
      <c r="L273" s="3051">
        <v>2000000</v>
      </c>
      <c r="M273" s="3051">
        <v>2000000</v>
      </c>
      <c r="N273" s="3051">
        <v>2000000</v>
      </c>
      <c r="O273" s="3051">
        <v>2000000</v>
      </c>
      <c r="P273" s="3051">
        <v>2000000</v>
      </c>
      <c r="Q273" s="3051">
        <v>2000000</v>
      </c>
      <c r="R273" s="3051">
        <v>2000000</v>
      </c>
      <c r="S273" s="3051">
        <v>2000000</v>
      </c>
      <c r="T273" s="3051">
        <v>2000000</v>
      </c>
      <c r="U273" s="3051">
        <v>2000000</v>
      </c>
      <c r="V273" s="3051">
        <v>2000000</v>
      </c>
      <c r="W273" s="3051">
        <v>2000000</v>
      </c>
      <c r="X273" s="3051">
        <v>2000000</v>
      </c>
      <c r="Y273" s="3051">
        <v>2000000</v>
      </c>
      <c r="Z273" s="3051">
        <v>2000000</v>
      </c>
      <c r="AA273" s="3051">
        <v>2000000</v>
      </c>
      <c r="AB273" s="3051">
        <v>2000000</v>
      </c>
      <c r="AC273" s="3051">
        <v>2000000</v>
      </c>
      <c r="AD273" s="3051">
        <v>2000000</v>
      </c>
      <c r="AE273" s="3051">
        <v>2000000</v>
      </c>
      <c r="AF273" s="3051">
        <v>2000000</v>
      </c>
      <c r="AG273" s="3051">
        <v>2000000</v>
      </c>
      <c r="AH273" s="3051">
        <v>2000000</v>
      </c>
      <c r="AI273" s="3051">
        <v>2000000</v>
      </c>
      <c r="AJ273" s="3051">
        <v>2000000</v>
      </c>
      <c r="AK273" s="3051">
        <v>2000000</v>
      </c>
      <c r="AL273" s="3051">
        <v>2000000</v>
      </c>
      <c r="AM273" s="3051">
        <v>2000000</v>
      </c>
      <c r="AN273" s="3051">
        <v>2000000</v>
      </c>
      <c r="AO273" s="3051">
        <v>2000000</v>
      </c>
      <c r="AP273" s="3051">
        <v>2000000</v>
      </c>
      <c r="AQ273" s="3051">
        <v>2000000</v>
      </c>
      <c r="AR273" s="3051">
        <v>2000000</v>
      </c>
      <c r="AS273" s="3051">
        <v>2000000</v>
      </c>
      <c r="AT273" s="3051">
        <v>2000000</v>
      </c>
      <c r="AU273" s="3051">
        <v>2000000</v>
      </c>
      <c r="AV273" s="2694">
        <v>0</v>
      </c>
      <c r="AW273" s="2809"/>
      <c r="AX273" s="2965"/>
      <c r="AY273" s="3039"/>
      <c r="AZ273" s="3039"/>
      <c r="BA273" s="3039"/>
      <c r="BB273" s="3039"/>
      <c r="BC273" s="3039"/>
      <c r="BD273" s="3039"/>
      <c r="BE273" s="3039"/>
      <c r="BF273" s="3039"/>
      <c r="BG273" s="3039"/>
      <c r="BI273" s="2730"/>
      <c r="BJ273" s="2730"/>
    </row>
    <row r="274" spans="1:62" ht="18" hidden="1" outlineLevel="1" thickBot="1">
      <c r="A274" s="3047" t="s">
        <v>4313</v>
      </c>
      <c r="B274" s="2832" t="s">
        <v>4314</v>
      </c>
      <c r="C274" s="3048"/>
      <c r="D274" s="3049">
        <v>2</v>
      </c>
      <c r="E274" s="3049"/>
      <c r="F274" s="3050">
        <v>2450000</v>
      </c>
      <c r="G274" s="3051">
        <v>2160000</v>
      </c>
      <c r="H274" s="3051">
        <v>3250000</v>
      </c>
      <c r="I274" s="3051">
        <v>3250000</v>
      </c>
      <c r="J274" s="3051">
        <v>3250000</v>
      </c>
      <c r="K274" s="3051">
        <v>3250000</v>
      </c>
      <c r="L274" s="3051">
        <v>3250000</v>
      </c>
      <c r="M274" s="3051">
        <v>3250000</v>
      </c>
      <c r="N274" s="3051">
        <v>3250000</v>
      </c>
      <c r="O274" s="3051">
        <v>3250000</v>
      </c>
      <c r="P274" s="3051">
        <v>3250000</v>
      </c>
      <c r="Q274" s="3051">
        <v>3250000</v>
      </c>
      <c r="R274" s="3051">
        <v>3250000</v>
      </c>
      <c r="S274" s="3051">
        <v>3250000</v>
      </c>
      <c r="T274" s="3051">
        <v>3250000</v>
      </c>
      <c r="U274" s="3051">
        <v>3250000</v>
      </c>
      <c r="V274" s="3051">
        <v>3250000</v>
      </c>
      <c r="W274" s="3051">
        <v>3250000</v>
      </c>
      <c r="X274" s="3051">
        <v>3250000</v>
      </c>
      <c r="Y274" s="3051">
        <v>3250000</v>
      </c>
      <c r="Z274" s="3051">
        <v>3250000</v>
      </c>
      <c r="AA274" s="3051">
        <v>3250000</v>
      </c>
      <c r="AB274" s="3051">
        <v>3250000</v>
      </c>
      <c r="AC274" s="3051">
        <v>3250000</v>
      </c>
      <c r="AD274" s="3051">
        <v>3250000</v>
      </c>
      <c r="AE274" s="3051">
        <v>3250000</v>
      </c>
      <c r="AF274" s="3051">
        <v>3250000</v>
      </c>
      <c r="AG274" s="3051">
        <v>3250000</v>
      </c>
      <c r="AH274" s="3051">
        <v>3250000</v>
      </c>
      <c r="AI274" s="3051">
        <v>3250000</v>
      </c>
      <c r="AJ274" s="3051">
        <v>3250000</v>
      </c>
      <c r="AK274" s="3051">
        <v>3250000</v>
      </c>
      <c r="AL274" s="3051">
        <v>3250000</v>
      </c>
      <c r="AM274" s="3051">
        <v>3250000</v>
      </c>
      <c r="AN274" s="3051">
        <v>3250000</v>
      </c>
      <c r="AO274" s="3051">
        <v>3250000</v>
      </c>
      <c r="AP274" s="3051">
        <v>3250000</v>
      </c>
      <c r="AQ274" s="3051">
        <v>3250000</v>
      </c>
      <c r="AR274" s="3051">
        <v>3250000</v>
      </c>
      <c r="AS274" s="3051">
        <v>3250000</v>
      </c>
      <c r="AT274" s="3051">
        <v>3250000</v>
      </c>
      <c r="AU274" s="3051">
        <v>3250000</v>
      </c>
      <c r="AV274" s="2694">
        <v>0</v>
      </c>
      <c r="AW274" s="2809"/>
      <c r="AX274" s="2965"/>
      <c r="AY274" s="3039"/>
      <c r="AZ274" s="3039"/>
      <c r="BA274" s="3039"/>
      <c r="BB274" s="3039"/>
      <c r="BC274" s="3039"/>
      <c r="BD274" s="3039"/>
      <c r="BE274" s="3039"/>
      <c r="BF274" s="3039"/>
      <c r="BG274" s="3039"/>
      <c r="BI274" s="2730"/>
      <c r="BJ274" s="2730"/>
    </row>
    <row r="275" spans="1:62" ht="18" hidden="1" outlineLevel="1" thickBot="1">
      <c r="A275" s="3047" t="s">
        <v>4315</v>
      </c>
      <c r="B275" s="3053" t="s">
        <v>4316</v>
      </c>
      <c r="C275" s="3048"/>
      <c r="D275" s="3049">
        <v>2</v>
      </c>
      <c r="E275" s="3049"/>
      <c r="F275" s="3050">
        <v>4993455</v>
      </c>
      <c r="G275" s="3051">
        <v>6335000</v>
      </c>
      <c r="H275" s="3051">
        <f t="shared" ref="H275:AU275" si="212">G275</f>
        <v>6335000</v>
      </c>
      <c r="I275" s="3051">
        <f t="shared" si="212"/>
        <v>6335000</v>
      </c>
      <c r="J275" s="3051">
        <f t="shared" si="212"/>
        <v>6335000</v>
      </c>
      <c r="K275" s="3051">
        <f t="shared" si="212"/>
        <v>6335000</v>
      </c>
      <c r="L275" s="3051">
        <f t="shared" si="212"/>
        <v>6335000</v>
      </c>
      <c r="M275" s="3051">
        <f t="shared" si="212"/>
        <v>6335000</v>
      </c>
      <c r="N275" s="3051">
        <f t="shared" si="212"/>
        <v>6335000</v>
      </c>
      <c r="O275" s="3051">
        <f t="shared" si="212"/>
        <v>6335000</v>
      </c>
      <c r="P275" s="3051">
        <f t="shared" si="212"/>
        <v>6335000</v>
      </c>
      <c r="Q275" s="3051">
        <f t="shared" si="212"/>
        <v>6335000</v>
      </c>
      <c r="R275" s="3051">
        <f t="shared" si="212"/>
        <v>6335000</v>
      </c>
      <c r="S275" s="3051">
        <f t="shared" si="212"/>
        <v>6335000</v>
      </c>
      <c r="T275" s="3051">
        <f t="shared" si="212"/>
        <v>6335000</v>
      </c>
      <c r="U275" s="3051">
        <f t="shared" si="212"/>
        <v>6335000</v>
      </c>
      <c r="V275" s="3051">
        <f t="shared" si="212"/>
        <v>6335000</v>
      </c>
      <c r="W275" s="3051">
        <f t="shared" si="212"/>
        <v>6335000</v>
      </c>
      <c r="X275" s="3051">
        <f t="shared" si="212"/>
        <v>6335000</v>
      </c>
      <c r="Y275" s="3051">
        <f t="shared" si="212"/>
        <v>6335000</v>
      </c>
      <c r="Z275" s="3051">
        <f t="shared" si="212"/>
        <v>6335000</v>
      </c>
      <c r="AA275" s="3051">
        <f t="shared" si="212"/>
        <v>6335000</v>
      </c>
      <c r="AB275" s="3051">
        <f t="shared" si="212"/>
        <v>6335000</v>
      </c>
      <c r="AC275" s="3051">
        <f t="shared" si="212"/>
        <v>6335000</v>
      </c>
      <c r="AD275" s="3051">
        <f t="shared" si="212"/>
        <v>6335000</v>
      </c>
      <c r="AE275" s="3051">
        <f t="shared" si="212"/>
        <v>6335000</v>
      </c>
      <c r="AF275" s="3051">
        <f t="shared" si="212"/>
        <v>6335000</v>
      </c>
      <c r="AG275" s="3051">
        <f t="shared" si="212"/>
        <v>6335000</v>
      </c>
      <c r="AH275" s="3051">
        <f t="shared" si="212"/>
        <v>6335000</v>
      </c>
      <c r="AI275" s="3051">
        <f t="shared" si="212"/>
        <v>6335000</v>
      </c>
      <c r="AJ275" s="3051">
        <f t="shared" si="212"/>
        <v>6335000</v>
      </c>
      <c r="AK275" s="3051">
        <f t="shared" si="212"/>
        <v>6335000</v>
      </c>
      <c r="AL275" s="3051">
        <f t="shared" si="212"/>
        <v>6335000</v>
      </c>
      <c r="AM275" s="3051">
        <f t="shared" si="212"/>
        <v>6335000</v>
      </c>
      <c r="AN275" s="3051">
        <f t="shared" si="212"/>
        <v>6335000</v>
      </c>
      <c r="AO275" s="3051">
        <f t="shared" si="212"/>
        <v>6335000</v>
      </c>
      <c r="AP275" s="3051">
        <f t="shared" si="212"/>
        <v>6335000</v>
      </c>
      <c r="AQ275" s="3051">
        <f t="shared" si="212"/>
        <v>6335000</v>
      </c>
      <c r="AR275" s="3051">
        <f t="shared" si="212"/>
        <v>6335000</v>
      </c>
      <c r="AS275" s="3051">
        <f t="shared" si="212"/>
        <v>6335000</v>
      </c>
      <c r="AT275" s="3051">
        <f t="shared" si="212"/>
        <v>6335000</v>
      </c>
      <c r="AU275" s="3051">
        <f t="shared" si="212"/>
        <v>6335000</v>
      </c>
      <c r="AV275" s="2694">
        <v>0</v>
      </c>
      <c r="AW275" s="2809"/>
      <c r="AX275" s="2965"/>
      <c r="AY275" s="2760"/>
      <c r="AZ275" s="2760"/>
      <c r="BA275" s="2760"/>
      <c r="BB275" s="2760"/>
      <c r="BC275" s="2760"/>
      <c r="BD275" s="2760"/>
      <c r="BE275" s="2760"/>
      <c r="BF275" s="2760"/>
      <c r="BG275" s="2760"/>
      <c r="BI275" s="2730"/>
      <c r="BJ275" s="2730"/>
    </row>
    <row r="276" spans="1:62" ht="18" hidden="1" outlineLevel="1" thickBot="1">
      <c r="A276" s="2772" t="s">
        <v>4317</v>
      </c>
      <c r="B276" s="3054" t="s">
        <v>4318</v>
      </c>
      <c r="C276" s="3012"/>
      <c r="D276" s="3013">
        <v>3</v>
      </c>
      <c r="E276" s="3013"/>
      <c r="F276" s="2964">
        <v>30000000</v>
      </c>
      <c r="G276" s="2983">
        <v>30000000</v>
      </c>
      <c r="H276" s="2983">
        <v>10000000</v>
      </c>
      <c r="I276" s="2983"/>
      <c r="J276" s="2983"/>
      <c r="K276" s="2983"/>
      <c r="L276" s="2983"/>
      <c r="M276" s="2983"/>
      <c r="N276" s="2983"/>
      <c r="O276" s="2983"/>
      <c r="P276" s="2983"/>
      <c r="Q276" s="2983"/>
      <c r="R276" s="2983"/>
      <c r="S276" s="2983"/>
      <c r="T276" s="2983"/>
      <c r="U276" s="2983"/>
      <c r="V276" s="2983"/>
      <c r="W276" s="2983"/>
      <c r="X276" s="2983"/>
      <c r="Y276" s="2983"/>
      <c r="Z276" s="2983"/>
      <c r="AA276" s="2983"/>
      <c r="AB276" s="2983"/>
      <c r="AC276" s="2983"/>
      <c r="AD276" s="2983"/>
      <c r="AE276" s="2983"/>
      <c r="AF276" s="2983"/>
      <c r="AG276" s="2983"/>
      <c r="AH276" s="2983"/>
      <c r="AI276" s="2983"/>
      <c r="AJ276" s="2983"/>
      <c r="AK276" s="2983"/>
      <c r="AL276" s="2983"/>
      <c r="AM276" s="2983"/>
      <c r="AN276" s="2983"/>
      <c r="AO276" s="2983"/>
      <c r="AP276" s="2983"/>
      <c r="AQ276" s="2983"/>
      <c r="AR276" s="2983"/>
      <c r="AS276" s="2983"/>
      <c r="AT276" s="2983"/>
      <c r="AU276" s="2983"/>
      <c r="AV276" s="2694">
        <v>0</v>
      </c>
      <c r="AW276" s="2809"/>
      <c r="AX276" s="3015"/>
      <c r="AY276" s="2760"/>
      <c r="AZ276" s="2760"/>
      <c r="BA276" s="2760"/>
      <c r="BB276" s="2760"/>
      <c r="BC276" s="2760"/>
      <c r="BD276" s="2760"/>
      <c r="BE276" s="2760"/>
      <c r="BF276" s="2760"/>
      <c r="BG276" s="2760"/>
      <c r="BI276" s="2730"/>
      <c r="BJ276" s="2730"/>
    </row>
    <row r="277" spans="1:62" ht="18" hidden="1" outlineLevel="1" thickBot="1">
      <c r="A277" s="2772" t="s">
        <v>4319</v>
      </c>
      <c r="B277" s="3055">
        <f ca="1">민감도!E82</f>
        <v>1</v>
      </c>
      <c r="C277" s="3012"/>
      <c r="D277" s="3013"/>
      <c r="E277" s="3013"/>
      <c r="F277" s="2964"/>
      <c r="G277" s="2983"/>
      <c r="H277" s="2983"/>
      <c r="I277" s="2983"/>
      <c r="J277" s="2983"/>
      <c r="K277" s="2983"/>
      <c r="L277" s="2983"/>
      <c r="M277" s="2983"/>
      <c r="N277" s="2983"/>
      <c r="O277" s="2983"/>
      <c r="P277" s="2983"/>
      <c r="Q277" s="2983"/>
      <c r="R277" s="2983"/>
      <c r="S277" s="2983"/>
      <c r="T277" s="2983"/>
      <c r="U277" s="2983"/>
      <c r="V277" s="2983"/>
      <c r="W277" s="2983"/>
      <c r="X277" s="2983"/>
      <c r="Y277" s="2983"/>
      <c r="Z277" s="2983"/>
      <c r="AA277" s="2983"/>
      <c r="AB277" s="2983"/>
      <c r="AC277" s="2983"/>
      <c r="AD277" s="2983"/>
      <c r="AE277" s="2983"/>
      <c r="AF277" s="2983"/>
      <c r="AG277" s="2983"/>
      <c r="AH277" s="2983"/>
      <c r="AI277" s="2983"/>
      <c r="AJ277" s="2983"/>
      <c r="AK277" s="2983"/>
      <c r="AL277" s="2983"/>
      <c r="AM277" s="2983"/>
      <c r="AN277" s="2983"/>
      <c r="AO277" s="2983"/>
      <c r="AP277" s="2983"/>
      <c r="AQ277" s="2983"/>
      <c r="AR277" s="2983"/>
      <c r="AS277" s="2983"/>
      <c r="AT277" s="2983"/>
      <c r="AU277" s="2983"/>
      <c r="AV277" s="2694">
        <v>0</v>
      </c>
      <c r="AW277" s="2809"/>
      <c r="AX277" s="3015"/>
      <c r="AY277" s="2760"/>
      <c r="AZ277" s="2760"/>
      <c r="BA277" s="2760"/>
      <c r="BB277" s="2760"/>
      <c r="BC277" s="2760"/>
      <c r="BD277" s="2760"/>
      <c r="BE277" s="2760"/>
      <c r="BF277" s="2760"/>
      <c r="BG277" s="2760"/>
      <c r="BI277" s="2730"/>
      <c r="BJ277" s="2730"/>
    </row>
    <row r="278" spans="1:62" ht="18" hidden="1" outlineLevel="1" thickBot="1">
      <c r="A278" s="2772" t="s">
        <v>4320</v>
      </c>
      <c r="B278" s="2826" t="s">
        <v>4321</v>
      </c>
      <c r="C278" s="2962"/>
      <c r="D278" s="2963">
        <v>1</v>
      </c>
      <c r="E278" s="2963"/>
      <c r="F278" s="3001"/>
      <c r="G278" s="3003"/>
      <c r="H278" s="3003"/>
      <c r="I278" s="3003"/>
      <c r="J278" s="3003"/>
      <c r="K278" s="3003"/>
      <c r="L278" s="3003"/>
      <c r="M278" s="3003"/>
      <c r="N278" s="3003"/>
      <c r="O278" s="3003"/>
      <c r="P278" s="3003"/>
      <c r="Q278" s="3003"/>
      <c r="R278" s="3003"/>
      <c r="S278" s="3003"/>
      <c r="T278" s="3003"/>
      <c r="U278" s="3003"/>
      <c r="V278" s="3003"/>
      <c r="W278" s="3003"/>
      <c r="X278" s="3003"/>
      <c r="Y278" s="3003"/>
      <c r="Z278" s="3003"/>
      <c r="AA278" s="3003"/>
      <c r="AB278" s="3003"/>
      <c r="AC278" s="3003"/>
      <c r="AD278" s="3003"/>
      <c r="AE278" s="3003"/>
      <c r="AF278" s="3003"/>
      <c r="AG278" s="3003"/>
      <c r="AH278" s="3003"/>
      <c r="AI278" s="3003"/>
      <c r="AJ278" s="3003"/>
      <c r="AK278" s="3003"/>
      <c r="AL278" s="3003"/>
      <c r="AM278" s="3003"/>
      <c r="AN278" s="3003"/>
      <c r="AO278" s="3003"/>
      <c r="AP278" s="3003"/>
      <c r="AQ278" s="3003"/>
      <c r="AR278" s="3003"/>
      <c r="AS278" s="3003"/>
      <c r="AT278" s="3003"/>
      <c r="AU278" s="3003"/>
      <c r="AV278" s="2694">
        <v>0</v>
      </c>
      <c r="AW278" s="2809"/>
      <c r="AX278" s="2965"/>
      <c r="AY278" s="2760"/>
      <c r="AZ278" s="2760"/>
      <c r="BA278" s="2760"/>
      <c r="BB278" s="2760"/>
      <c r="BC278" s="2760"/>
      <c r="BD278" s="2760"/>
      <c r="BE278" s="2760"/>
      <c r="BF278" s="2760"/>
      <c r="BG278" s="2760"/>
      <c r="BI278" s="2730"/>
      <c r="BJ278" s="2730"/>
    </row>
    <row r="279" spans="1:62" ht="18" hidden="1" outlineLevel="1" thickBot="1">
      <c r="A279" s="2823" t="s">
        <v>4178</v>
      </c>
      <c r="B279" s="2878"/>
      <c r="C279" s="2994">
        <v>0.01</v>
      </c>
      <c r="D279" s="2963">
        <v>1</v>
      </c>
      <c r="E279" s="2996"/>
      <c r="F279" s="2997">
        <f>SUM(F280:F282)</f>
        <v>522991</v>
      </c>
      <c r="G279" s="2997">
        <f>SUM(G280:G282)</f>
        <v>778800</v>
      </c>
      <c r="H279" s="2997">
        <f t="shared" ref="H279:AU279" si="213">(SUM(H280:H282)*(1+$C$279)^(H2-$F$2))</f>
        <v>1030301</v>
      </c>
      <c r="I279" s="2997">
        <f t="shared" si="213"/>
        <v>783028.75999999989</v>
      </c>
      <c r="J279" s="2997">
        <f t="shared" si="213"/>
        <v>857978.00624500006</v>
      </c>
      <c r="K279" s="2997">
        <f t="shared" si="213"/>
        <v>866557.78630744992</v>
      </c>
      <c r="L279" s="2997">
        <f t="shared" si="213"/>
        <v>806755.31445676007</v>
      </c>
      <c r="M279" s="2997">
        <f t="shared" si="213"/>
        <v>814822.86760132748</v>
      </c>
      <c r="N279" s="2997">
        <f t="shared" si="213"/>
        <v>822971.09627734101</v>
      </c>
      <c r="O279" s="2997">
        <f t="shared" si="213"/>
        <v>901743.50732825568</v>
      </c>
      <c r="P279" s="2997">
        <f t="shared" si="213"/>
        <v>910760.94240153837</v>
      </c>
      <c r="Q279" s="2997">
        <f t="shared" si="213"/>
        <v>919868.55182555353</v>
      </c>
      <c r="R279" s="2997">
        <f t="shared" si="213"/>
        <v>929067.2373438091</v>
      </c>
      <c r="S279" s="2997">
        <f t="shared" si="213"/>
        <v>938357.90971724724</v>
      </c>
      <c r="T279" s="2997">
        <f t="shared" si="213"/>
        <v>947741.48881441983</v>
      </c>
      <c r="U279" s="2997">
        <f t="shared" si="213"/>
        <v>957218.90370256372</v>
      </c>
      <c r="V279" s="2997">
        <f t="shared" si="213"/>
        <v>966791.09273958963</v>
      </c>
      <c r="W279" s="2997">
        <f t="shared" si="213"/>
        <v>976459.00366698555</v>
      </c>
      <c r="X279" s="2997">
        <f t="shared" si="213"/>
        <v>986223.59370365553</v>
      </c>
      <c r="Y279" s="2997">
        <f t="shared" si="213"/>
        <v>996085.82964069187</v>
      </c>
      <c r="Z279" s="2997">
        <f t="shared" si="213"/>
        <v>1006046.6879370988</v>
      </c>
      <c r="AA279" s="2997">
        <f t="shared" si="213"/>
        <v>1016107.1548164698</v>
      </c>
      <c r="AB279" s="2997">
        <f t="shared" si="213"/>
        <v>1026268.2263646347</v>
      </c>
      <c r="AC279" s="2997">
        <f t="shared" si="213"/>
        <v>1036530.9086282809</v>
      </c>
      <c r="AD279" s="2997">
        <f t="shared" si="213"/>
        <v>1046896.2177145639</v>
      </c>
      <c r="AE279" s="2997">
        <f t="shared" si="213"/>
        <v>1057365.1798917097</v>
      </c>
      <c r="AF279" s="2997">
        <f t="shared" si="213"/>
        <v>1067938.8316906267</v>
      </c>
      <c r="AG279" s="2997">
        <f t="shared" si="213"/>
        <v>1078618.2200075325</v>
      </c>
      <c r="AH279" s="2997">
        <f t="shared" si="213"/>
        <v>1089404.4022076081</v>
      </c>
      <c r="AI279" s="2997">
        <f t="shared" si="213"/>
        <v>1100298.4462296842</v>
      </c>
      <c r="AJ279" s="2997">
        <f t="shared" si="213"/>
        <v>1111301.4306919812</v>
      </c>
      <c r="AK279" s="2997">
        <f t="shared" si="213"/>
        <v>1122414.4449989006</v>
      </c>
      <c r="AL279" s="2997">
        <f t="shared" si="213"/>
        <v>1133638.58944889</v>
      </c>
      <c r="AM279" s="2997">
        <f t="shared" si="213"/>
        <v>1144974.975343379</v>
      </c>
      <c r="AN279" s="2997">
        <f t="shared" si="213"/>
        <v>1156424.7250968127</v>
      </c>
      <c r="AO279" s="2997">
        <f t="shared" si="213"/>
        <v>1167988.9723477806</v>
      </c>
      <c r="AP279" s="2997">
        <f t="shared" si="213"/>
        <v>1179668.8620712585</v>
      </c>
      <c r="AQ279" s="2997">
        <f t="shared" si="213"/>
        <v>1191465.5506919711</v>
      </c>
      <c r="AR279" s="2997">
        <f t="shared" si="213"/>
        <v>1203380.2061988909</v>
      </c>
      <c r="AS279" s="2997">
        <f t="shared" si="213"/>
        <v>1215414.0082608797</v>
      </c>
      <c r="AT279" s="2997">
        <f t="shared" si="213"/>
        <v>1227568.1483434886</v>
      </c>
      <c r="AU279" s="2997">
        <f t="shared" si="213"/>
        <v>1239843.8298269236</v>
      </c>
      <c r="AV279" s="2694">
        <v>0</v>
      </c>
      <c r="AW279" s="2809"/>
      <c r="AX279" s="2999"/>
      <c r="AY279" s="2760"/>
      <c r="AZ279" s="2760"/>
      <c r="BA279" s="2760"/>
      <c r="BB279" s="2760"/>
      <c r="BC279" s="2760"/>
      <c r="BD279" s="2760"/>
      <c r="BE279" s="2760"/>
      <c r="BF279" s="2760"/>
      <c r="BG279" s="2760"/>
      <c r="BI279" s="2730"/>
      <c r="BJ279" s="2730"/>
    </row>
    <row r="280" spans="1:62" ht="18" hidden="1" outlineLevel="1" thickBot="1">
      <c r="A280" s="3056" t="s">
        <v>4322</v>
      </c>
      <c r="B280" s="2826" t="s">
        <v>4323</v>
      </c>
      <c r="C280" s="2962"/>
      <c r="D280" s="2963"/>
      <c r="E280" s="2963"/>
      <c r="F280" s="3001">
        <v>413900</v>
      </c>
      <c r="G280" s="3003">
        <v>658800</v>
      </c>
      <c r="H280" s="3003">
        <v>890000</v>
      </c>
      <c r="I280" s="3003">
        <v>640000</v>
      </c>
      <c r="J280" s="3003">
        <v>640000</v>
      </c>
      <c r="K280" s="3003">
        <v>640000</v>
      </c>
      <c r="L280" s="3003">
        <v>640000</v>
      </c>
      <c r="M280" s="3003">
        <v>640000</v>
      </c>
      <c r="N280" s="3003">
        <v>640000</v>
      </c>
      <c r="O280" s="3003">
        <v>640000</v>
      </c>
      <c r="P280" s="3003">
        <v>640000</v>
      </c>
      <c r="Q280" s="3003">
        <v>640000</v>
      </c>
      <c r="R280" s="3003">
        <v>640000</v>
      </c>
      <c r="S280" s="3003">
        <v>640000</v>
      </c>
      <c r="T280" s="3003">
        <v>640000</v>
      </c>
      <c r="U280" s="3003">
        <v>640000</v>
      </c>
      <c r="V280" s="3003">
        <v>640000</v>
      </c>
      <c r="W280" s="3003">
        <v>640000</v>
      </c>
      <c r="X280" s="3003">
        <v>640000</v>
      </c>
      <c r="Y280" s="3003">
        <v>640000</v>
      </c>
      <c r="Z280" s="3003">
        <v>640000</v>
      </c>
      <c r="AA280" s="3003">
        <v>640000</v>
      </c>
      <c r="AB280" s="3003">
        <v>640000</v>
      </c>
      <c r="AC280" s="3003">
        <v>640000</v>
      </c>
      <c r="AD280" s="3003">
        <v>640000</v>
      </c>
      <c r="AE280" s="3003">
        <v>640000</v>
      </c>
      <c r="AF280" s="3003">
        <v>640000</v>
      </c>
      <c r="AG280" s="3003">
        <v>640000</v>
      </c>
      <c r="AH280" s="3003">
        <v>640000</v>
      </c>
      <c r="AI280" s="3003">
        <v>640000</v>
      </c>
      <c r="AJ280" s="3003">
        <v>640000</v>
      </c>
      <c r="AK280" s="3003">
        <v>640000</v>
      </c>
      <c r="AL280" s="3003">
        <v>640000</v>
      </c>
      <c r="AM280" s="3003">
        <v>640000</v>
      </c>
      <c r="AN280" s="3003">
        <v>640000</v>
      </c>
      <c r="AO280" s="3003">
        <v>640000</v>
      </c>
      <c r="AP280" s="3003">
        <v>640000</v>
      </c>
      <c r="AQ280" s="3003">
        <v>640000</v>
      </c>
      <c r="AR280" s="3003">
        <v>640000</v>
      </c>
      <c r="AS280" s="3003">
        <v>640000</v>
      </c>
      <c r="AT280" s="3003">
        <v>640000</v>
      </c>
      <c r="AU280" s="3003">
        <v>640000</v>
      </c>
      <c r="AV280" s="2694">
        <v>0</v>
      </c>
      <c r="AW280" s="2809"/>
      <c r="AX280" s="2965"/>
      <c r="AY280" s="2760"/>
      <c r="AZ280" s="2760"/>
      <c r="BA280" s="2760"/>
      <c r="BB280" s="2760"/>
      <c r="BC280" s="2760"/>
      <c r="BD280" s="2760"/>
      <c r="BE280" s="2760"/>
      <c r="BF280" s="2760"/>
      <c r="BG280" s="2760"/>
      <c r="BI280" s="2730"/>
      <c r="BJ280" s="2730"/>
    </row>
    <row r="281" spans="1:62" ht="18" hidden="1" outlineLevel="1" thickBot="1">
      <c r="A281" s="3056" t="s">
        <v>4324</v>
      </c>
      <c r="B281" s="3057" t="s">
        <v>4325</v>
      </c>
      <c r="C281" s="2962"/>
      <c r="D281" s="2963"/>
      <c r="E281" s="2963"/>
      <c r="F281" s="3001">
        <v>109091</v>
      </c>
      <c r="G281" s="3003">
        <v>120000</v>
      </c>
      <c r="H281" s="3003">
        <v>120000</v>
      </c>
      <c r="I281" s="3003">
        <v>120000</v>
      </c>
      <c r="J281" s="3003">
        <v>120000</v>
      </c>
      <c r="K281" s="3003">
        <v>120000</v>
      </c>
      <c r="L281" s="3003">
        <v>120000</v>
      </c>
      <c r="M281" s="3003">
        <v>120000</v>
      </c>
      <c r="N281" s="3003">
        <v>120000</v>
      </c>
      <c r="O281" s="3003">
        <v>120000</v>
      </c>
      <c r="P281" s="3003">
        <v>120000</v>
      </c>
      <c r="Q281" s="3003">
        <v>120000</v>
      </c>
      <c r="R281" s="3003">
        <v>120000</v>
      </c>
      <c r="S281" s="3003">
        <v>120000</v>
      </c>
      <c r="T281" s="3003">
        <v>120000</v>
      </c>
      <c r="U281" s="3003">
        <v>120000</v>
      </c>
      <c r="V281" s="3003">
        <v>120000</v>
      </c>
      <c r="W281" s="3003">
        <v>120000</v>
      </c>
      <c r="X281" s="3003">
        <v>120000</v>
      </c>
      <c r="Y281" s="3003">
        <v>120000</v>
      </c>
      <c r="Z281" s="3003">
        <v>120000</v>
      </c>
      <c r="AA281" s="3003">
        <v>120000</v>
      </c>
      <c r="AB281" s="3003">
        <v>120000</v>
      </c>
      <c r="AC281" s="3003">
        <v>120000</v>
      </c>
      <c r="AD281" s="3003">
        <v>120000</v>
      </c>
      <c r="AE281" s="3003">
        <v>120000</v>
      </c>
      <c r="AF281" s="3003">
        <v>120000</v>
      </c>
      <c r="AG281" s="3003">
        <v>120000</v>
      </c>
      <c r="AH281" s="3003">
        <v>120000</v>
      </c>
      <c r="AI281" s="3003">
        <v>120000</v>
      </c>
      <c r="AJ281" s="3003">
        <v>120000</v>
      </c>
      <c r="AK281" s="3003">
        <v>120000</v>
      </c>
      <c r="AL281" s="3003">
        <v>120000</v>
      </c>
      <c r="AM281" s="3003">
        <v>120000</v>
      </c>
      <c r="AN281" s="3003">
        <v>120000</v>
      </c>
      <c r="AO281" s="3003">
        <v>120000</v>
      </c>
      <c r="AP281" s="3003">
        <v>120000</v>
      </c>
      <c r="AQ281" s="3003">
        <v>120000</v>
      </c>
      <c r="AR281" s="3003">
        <v>120000</v>
      </c>
      <c r="AS281" s="3003">
        <v>120000</v>
      </c>
      <c r="AT281" s="3003">
        <v>120000</v>
      </c>
      <c r="AU281" s="3003">
        <v>120000</v>
      </c>
      <c r="AV281" s="2694">
        <v>0</v>
      </c>
      <c r="AW281" s="2809"/>
      <c r="AX281" s="2965"/>
      <c r="AY281" s="2760"/>
      <c r="AZ281" s="2760"/>
      <c r="BA281" s="2760"/>
      <c r="BB281" s="2760"/>
      <c r="BC281" s="2760"/>
      <c r="BD281" s="2760"/>
      <c r="BE281" s="2760"/>
      <c r="BF281" s="2760"/>
      <c r="BG281" s="2760"/>
      <c r="BI281" s="2730"/>
      <c r="BJ281" s="2730"/>
    </row>
    <row r="282" spans="1:62" ht="18" hidden="1" outlineLevel="1" thickBot="1">
      <c r="A282" s="3058" t="s">
        <v>4326</v>
      </c>
      <c r="B282" s="3059" t="s">
        <v>4327</v>
      </c>
      <c r="C282" s="2962"/>
      <c r="D282" s="2963"/>
      <c r="E282" s="2963"/>
      <c r="F282" s="3001"/>
      <c r="G282" s="3003"/>
      <c r="H282" s="3003"/>
      <c r="I282" s="3003"/>
      <c r="J282" s="3003">
        <v>64500</v>
      </c>
      <c r="K282" s="3003">
        <v>64500</v>
      </c>
      <c r="L282" s="3003"/>
      <c r="M282" s="3003"/>
      <c r="N282" s="3003"/>
      <c r="O282" s="3003">
        <v>64500</v>
      </c>
      <c r="P282" s="3003">
        <v>64500</v>
      </c>
      <c r="Q282" s="3003">
        <v>64500</v>
      </c>
      <c r="R282" s="3003">
        <v>64500</v>
      </c>
      <c r="S282" s="3003">
        <v>64500</v>
      </c>
      <c r="T282" s="3003">
        <v>64500</v>
      </c>
      <c r="U282" s="3003">
        <v>64500</v>
      </c>
      <c r="V282" s="3003">
        <v>64500</v>
      </c>
      <c r="W282" s="3003">
        <v>64500</v>
      </c>
      <c r="X282" s="3003">
        <v>64500</v>
      </c>
      <c r="Y282" s="3003">
        <v>64500</v>
      </c>
      <c r="Z282" s="3003">
        <v>64500</v>
      </c>
      <c r="AA282" s="3003">
        <v>64500</v>
      </c>
      <c r="AB282" s="3003">
        <v>64500</v>
      </c>
      <c r="AC282" s="3003">
        <v>64500</v>
      </c>
      <c r="AD282" s="3003">
        <v>64500</v>
      </c>
      <c r="AE282" s="3003">
        <v>64500</v>
      </c>
      <c r="AF282" s="3003">
        <v>64500</v>
      </c>
      <c r="AG282" s="3003">
        <v>64500</v>
      </c>
      <c r="AH282" s="3003">
        <v>64500</v>
      </c>
      <c r="AI282" s="3003">
        <v>64500</v>
      </c>
      <c r="AJ282" s="3003">
        <v>64500</v>
      </c>
      <c r="AK282" s="3003">
        <v>64500</v>
      </c>
      <c r="AL282" s="3003">
        <v>64500</v>
      </c>
      <c r="AM282" s="3003">
        <v>64500</v>
      </c>
      <c r="AN282" s="3003">
        <v>64500</v>
      </c>
      <c r="AO282" s="3003">
        <v>64500</v>
      </c>
      <c r="AP282" s="3003">
        <v>64500</v>
      </c>
      <c r="AQ282" s="3003">
        <v>64500</v>
      </c>
      <c r="AR282" s="3003">
        <v>64500</v>
      </c>
      <c r="AS282" s="3003">
        <v>64500</v>
      </c>
      <c r="AT282" s="3003">
        <v>64500</v>
      </c>
      <c r="AU282" s="3003">
        <v>64500</v>
      </c>
      <c r="AV282" s="2694">
        <v>0</v>
      </c>
      <c r="AW282" s="2809"/>
      <c r="AX282" s="2965"/>
      <c r="AY282" s="2760"/>
      <c r="AZ282" s="2760"/>
      <c r="BA282" s="2760"/>
      <c r="BB282" s="2760"/>
      <c r="BC282" s="2760"/>
      <c r="BD282" s="2760"/>
      <c r="BE282" s="2760"/>
      <c r="BF282" s="2760"/>
      <c r="BG282" s="2760"/>
      <c r="BI282" s="2730"/>
      <c r="BJ282" s="2730"/>
    </row>
    <row r="283" spans="1:62" ht="18" hidden="1" outlineLevel="1" thickBot="1">
      <c r="A283" s="2955" t="s">
        <v>4328</v>
      </c>
      <c r="B283" s="2956"/>
      <c r="C283" s="3060"/>
      <c r="D283" s="3061">
        <v>2</v>
      </c>
      <c r="E283" s="3061"/>
      <c r="F283" s="3062">
        <f t="shared" ref="F283:AU283" si="214">SUM(F285:F287)</f>
        <v>1080218520</v>
      </c>
      <c r="G283" s="3062">
        <f t="shared" si="214"/>
        <v>1116485879</v>
      </c>
      <c r="H283" s="3062">
        <f t="shared" si="214"/>
        <v>1152840142.95</v>
      </c>
      <c r="I283" s="3062">
        <f t="shared" si="214"/>
        <v>1182917192.0385001</v>
      </c>
      <c r="J283" s="3062">
        <f t="shared" si="214"/>
        <v>1213806389.4956551</v>
      </c>
      <c r="K283" s="3062">
        <f t="shared" si="214"/>
        <v>1245530296.5104449</v>
      </c>
      <c r="L283" s="3062">
        <f t="shared" ca="1" si="214"/>
        <v>1299477532.4299271</v>
      </c>
      <c r="M283" s="3062">
        <f t="shared" ca="1" si="214"/>
        <v>1321409581.5017514</v>
      </c>
      <c r="N283" s="3062">
        <f t="shared" ca="1" si="214"/>
        <v>1343719409.0313606</v>
      </c>
      <c r="O283" s="3062">
        <f t="shared" ca="1" si="214"/>
        <v>1505302424.6628668</v>
      </c>
      <c r="P283" s="3062">
        <f t="shared" ca="1" si="214"/>
        <v>1530471187.665699</v>
      </c>
      <c r="Q283" s="3062">
        <f t="shared" ca="1" si="214"/>
        <v>1556069266.6462317</v>
      </c>
      <c r="R283" s="3062">
        <f t="shared" ca="1" si="214"/>
        <v>1582104137.0347829</v>
      </c>
      <c r="S283" s="3062">
        <f t="shared" ca="1" si="214"/>
        <v>1608583407.1069398</v>
      </c>
      <c r="T283" s="3062">
        <f t="shared" ca="1" si="214"/>
        <v>1635514820.3905115</v>
      </c>
      <c r="U283" s="3062">
        <f t="shared" ca="1" si="214"/>
        <v>1820089211.3254218</v>
      </c>
      <c r="V283" s="3062">
        <f t="shared" ca="1" si="214"/>
        <v>1850306439.2242203</v>
      </c>
      <c r="W283" s="3062">
        <f t="shared" ca="1" si="214"/>
        <v>1881035243.3360791</v>
      </c>
      <c r="X283" s="3062">
        <f t="shared" ca="1" si="214"/>
        <v>1912284463.6600857</v>
      </c>
      <c r="Y283" s="3062">
        <f t="shared" ca="1" si="214"/>
        <v>1944063096.1224318</v>
      </c>
      <c r="Z283" s="3062">
        <f t="shared" ca="1" si="214"/>
        <v>1976380295.3818622</v>
      </c>
      <c r="AA283" s="3062">
        <f t="shared" ca="1" si="214"/>
        <v>2009245377.6865356</v>
      </c>
      <c r="AB283" s="3062">
        <f t="shared" ca="1" si="214"/>
        <v>2042667823.783258</v>
      </c>
      <c r="AC283" s="3062">
        <f t="shared" ca="1" si="214"/>
        <v>2076657281.8800597</v>
      </c>
      <c r="AD283" s="3062">
        <f t="shared" ca="1" si="214"/>
        <v>2111223570.6631145</v>
      </c>
      <c r="AE283" s="3062">
        <f t="shared" ca="1" si="214"/>
        <v>2146376682.3690124</v>
      </c>
      <c r="AF283" s="3062">
        <f t="shared" ca="1" si="214"/>
        <v>2182126785.9134178</v>
      </c>
      <c r="AG283" s="3062">
        <f t="shared" ca="1" si="214"/>
        <v>2218484230.0771666</v>
      </c>
      <c r="AH283" s="3062">
        <f t="shared" ca="1" si="214"/>
        <v>2255459546.7508726</v>
      </c>
      <c r="AI283" s="3062">
        <f t="shared" ca="1" si="214"/>
        <v>2293063454.2391353</v>
      </c>
      <c r="AJ283" s="3062">
        <f t="shared" ca="1" si="214"/>
        <v>2331306860.6254616</v>
      </c>
      <c r="AK283" s="3062">
        <f t="shared" ca="1" si="214"/>
        <v>2370200867.1990376</v>
      </c>
      <c r="AL283" s="3062">
        <f t="shared" ca="1" si="214"/>
        <v>2605364538.4372768</v>
      </c>
      <c r="AM283" s="3062">
        <f t="shared" ca="1" si="214"/>
        <v>2648527956.0860643</v>
      </c>
      <c r="AN283" s="3062">
        <f t="shared" ca="1" si="214"/>
        <v>2692420483.9910274</v>
      </c>
      <c r="AO283" s="3062">
        <f t="shared" ca="1" si="214"/>
        <v>2737054691.9858384</v>
      </c>
      <c r="AP283" s="3062">
        <f t="shared" ca="1" si="214"/>
        <v>2782443371.1152701</v>
      </c>
      <c r="AQ283" s="3062">
        <f t="shared" ca="1" si="214"/>
        <v>2828599537.606637</v>
      </c>
      <c r="AR283" s="3062">
        <f t="shared" ca="1" si="214"/>
        <v>2875536436.913867</v>
      </c>
      <c r="AS283" s="3062">
        <f t="shared" ca="1" si="214"/>
        <v>2923267547.8355675</v>
      </c>
      <c r="AT283" s="3062">
        <f t="shared" ca="1" si="214"/>
        <v>2971806586.7084537</v>
      </c>
      <c r="AU283" s="3062">
        <f t="shared" ca="1" si="214"/>
        <v>3021167511.6775403</v>
      </c>
      <c r="AV283" s="2694">
        <v>0</v>
      </c>
      <c r="AW283" s="2809"/>
      <c r="AX283" s="2965"/>
      <c r="AY283" s="2774"/>
      <c r="AZ283" s="2774"/>
      <c r="BA283" s="2774"/>
      <c r="BB283" s="2774"/>
      <c r="BC283" s="2774"/>
      <c r="BD283" s="2774"/>
      <c r="BE283" s="2774"/>
      <c r="BF283" s="2774"/>
      <c r="BG283" s="2774"/>
      <c r="BI283" s="2730"/>
      <c r="BJ283" s="2730"/>
    </row>
    <row r="284" spans="1:62" ht="18" hidden="1" outlineLevel="1" thickBot="1">
      <c r="A284" s="2938"/>
      <c r="B284" s="3063"/>
      <c r="C284" s="3064"/>
      <c r="D284" s="2943"/>
      <c r="E284" s="2943"/>
      <c r="F284" s="3065">
        <v>0.15</v>
      </c>
      <c r="G284" s="3065"/>
      <c r="H284" s="3065">
        <v>0.05</v>
      </c>
      <c r="I284" s="3065">
        <v>0.03</v>
      </c>
      <c r="J284" s="3065">
        <v>0.03</v>
      </c>
      <c r="K284" s="3065">
        <v>0.03</v>
      </c>
      <c r="L284" s="3065"/>
      <c r="M284" s="3065"/>
      <c r="N284" s="3065"/>
      <c r="O284" s="3065"/>
      <c r="P284" s="3065"/>
      <c r="Q284" s="3065"/>
      <c r="R284" s="3065"/>
      <c r="S284" s="3065"/>
      <c r="T284" s="3065"/>
      <c r="U284" s="3065"/>
      <c r="V284" s="3065"/>
      <c r="W284" s="3065"/>
      <c r="X284" s="3065"/>
      <c r="Y284" s="3065"/>
      <c r="Z284" s="3065"/>
      <c r="AA284" s="3065"/>
      <c r="AB284" s="3065"/>
      <c r="AC284" s="3065"/>
      <c r="AD284" s="3065"/>
      <c r="AE284" s="3065"/>
      <c r="AF284" s="3065"/>
      <c r="AG284" s="3065"/>
      <c r="AH284" s="3065"/>
      <c r="AI284" s="3065"/>
      <c r="AJ284" s="3065"/>
      <c r="AK284" s="3065"/>
      <c r="AL284" s="3065"/>
      <c r="AM284" s="3065"/>
      <c r="AN284" s="3065"/>
      <c r="AO284" s="3065"/>
      <c r="AP284" s="3065"/>
      <c r="AQ284" s="3065"/>
      <c r="AR284" s="3065"/>
      <c r="AS284" s="3065"/>
      <c r="AT284" s="3065"/>
      <c r="AU284" s="3065"/>
      <c r="AV284" s="2694">
        <v>0</v>
      </c>
      <c r="AW284" s="2974"/>
      <c r="AX284" s="3066"/>
      <c r="AY284" s="3067"/>
      <c r="AZ284" s="3067"/>
      <c r="BA284" s="3067"/>
      <c r="BB284" s="3067"/>
      <c r="BC284" s="3067"/>
      <c r="BD284" s="3067"/>
      <c r="BE284" s="3067"/>
      <c r="BF284" s="3067"/>
      <c r="BG284" s="3067"/>
      <c r="BI284" s="2730"/>
      <c r="BJ284" s="2730"/>
    </row>
    <row r="285" spans="1:62" ht="18" hidden="1" outlineLevel="1" thickBot="1">
      <c r="A285" s="3068" t="s">
        <v>4329</v>
      </c>
      <c r="B285" s="3069" t="s">
        <v>4330</v>
      </c>
      <c r="C285" s="3070">
        <v>0.02</v>
      </c>
      <c r="D285" s="3071"/>
      <c r="E285" s="3071"/>
      <c r="F285" s="3072">
        <v>431976000</v>
      </c>
      <c r="G285" s="3073">
        <v>441976000</v>
      </c>
      <c r="H285" s="3073">
        <f t="shared" ref="H285:AU285" si="215">G285*(1+$C$285)</f>
        <v>450815520</v>
      </c>
      <c r="I285" s="3073">
        <f t="shared" si="215"/>
        <v>459831830.40000004</v>
      </c>
      <c r="J285" s="3073">
        <f t="shared" si="215"/>
        <v>469028467.00800002</v>
      </c>
      <c r="K285" s="3073">
        <f t="shared" si="215"/>
        <v>478409036.34816003</v>
      </c>
      <c r="L285" s="3073">
        <f t="shared" si="215"/>
        <v>487977217.07512325</v>
      </c>
      <c r="M285" s="3073">
        <f t="shared" si="215"/>
        <v>497736761.41662574</v>
      </c>
      <c r="N285" s="3073">
        <f t="shared" si="215"/>
        <v>507691496.64495826</v>
      </c>
      <c r="O285" s="3073">
        <f t="shared" si="215"/>
        <v>517845326.57785743</v>
      </c>
      <c r="P285" s="3073">
        <f t="shared" si="215"/>
        <v>528202233.10941458</v>
      </c>
      <c r="Q285" s="3073">
        <f t="shared" si="215"/>
        <v>538766277.77160287</v>
      </c>
      <c r="R285" s="3073">
        <f t="shared" si="215"/>
        <v>549541603.32703495</v>
      </c>
      <c r="S285" s="3073">
        <f t="shared" si="215"/>
        <v>560532435.39357567</v>
      </c>
      <c r="T285" s="3073">
        <f t="shared" si="215"/>
        <v>571743084.10144722</v>
      </c>
      <c r="U285" s="3073">
        <f t="shared" si="215"/>
        <v>583177945.78347623</v>
      </c>
      <c r="V285" s="3073">
        <f t="shared" si="215"/>
        <v>594841504.69914579</v>
      </c>
      <c r="W285" s="3073">
        <f t="shared" si="215"/>
        <v>606738334.79312873</v>
      </c>
      <c r="X285" s="3073">
        <f t="shared" si="215"/>
        <v>618873101.48899126</v>
      </c>
      <c r="Y285" s="3073">
        <f t="shared" si="215"/>
        <v>631250563.51877105</v>
      </c>
      <c r="Z285" s="3073">
        <f t="shared" si="215"/>
        <v>643875574.78914654</v>
      </c>
      <c r="AA285" s="3073">
        <f t="shared" si="215"/>
        <v>656753086.28492951</v>
      </c>
      <c r="AB285" s="3073">
        <f t="shared" si="215"/>
        <v>669888148.0106281</v>
      </c>
      <c r="AC285" s="3073">
        <f t="shared" si="215"/>
        <v>683285910.97084069</v>
      </c>
      <c r="AD285" s="3073">
        <f t="shared" si="215"/>
        <v>696951629.19025755</v>
      </c>
      <c r="AE285" s="3073">
        <f t="shared" si="215"/>
        <v>710890661.77406275</v>
      </c>
      <c r="AF285" s="3073">
        <f t="shared" si="215"/>
        <v>725108475.00954401</v>
      </c>
      <c r="AG285" s="3073">
        <f t="shared" si="215"/>
        <v>739610644.50973487</v>
      </c>
      <c r="AH285" s="3073">
        <f t="shared" si="215"/>
        <v>754402857.39992952</v>
      </c>
      <c r="AI285" s="3073">
        <f t="shared" si="215"/>
        <v>769490914.54792809</v>
      </c>
      <c r="AJ285" s="3073">
        <f t="shared" si="215"/>
        <v>784880732.83888662</v>
      </c>
      <c r="AK285" s="3073">
        <f t="shared" si="215"/>
        <v>800578347.49566436</v>
      </c>
      <c r="AL285" s="3073">
        <f t="shared" si="215"/>
        <v>816589914.44557762</v>
      </c>
      <c r="AM285" s="3073">
        <f t="shared" si="215"/>
        <v>832921712.7344892</v>
      </c>
      <c r="AN285" s="3073">
        <f t="shared" si="215"/>
        <v>849580146.98917902</v>
      </c>
      <c r="AO285" s="3073">
        <f t="shared" si="215"/>
        <v>866571749.92896259</v>
      </c>
      <c r="AP285" s="3073">
        <f t="shared" si="215"/>
        <v>883903184.92754185</v>
      </c>
      <c r="AQ285" s="3073">
        <f t="shared" si="215"/>
        <v>901581248.62609267</v>
      </c>
      <c r="AR285" s="3073">
        <f t="shared" si="215"/>
        <v>919612873.59861457</v>
      </c>
      <c r="AS285" s="3073">
        <f t="shared" si="215"/>
        <v>938005131.07058692</v>
      </c>
      <c r="AT285" s="3073">
        <f t="shared" si="215"/>
        <v>956765233.69199872</v>
      </c>
      <c r="AU285" s="3073">
        <f t="shared" si="215"/>
        <v>975900538.36583877</v>
      </c>
      <c r="AV285" s="2694">
        <v>0</v>
      </c>
      <c r="AW285" s="2960"/>
      <c r="AX285" s="3074"/>
      <c r="AY285" s="3075"/>
      <c r="AZ285" s="3075"/>
      <c r="BA285" s="3075"/>
      <c r="BB285" s="3075"/>
      <c r="BC285" s="3075"/>
      <c r="BD285" s="3075"/>
      <c r="BE285" s="3075"/>
      <c r="BF285" s="3075"/>
      <c r="BG285" s="3075"/>
      <c r="BI285" s="2730"/>
      <c r="BJ285" s="2730"/>
    </row>
    <row r="286" spans="1:62" ht="18" hidden="1" outlineLevel="1" thickBot="1">
      <c r="A286" s="2938" t="s">
        <v>4331</v>
      </c>
      <c r="B286" s="3063" t="s">
        <v>4332</v>
      </c>
      <c r="C286" s="3070">
        <v>1.4999999999999999E-2</v>
      </c>
      <c r="D286" s="3071"/>
      <c r="E286" s="3071"/>
      <c r="F286" s="3076">
        <v>639982520</v>
      </c>
      <c r="G286" s="3077">
        <v>668594879</v>
      </c>
      <c r="H286" s="3077">
        <f>(1+H284)*G286</f>
        <v>702024622.95000005</v>
      </c>
      <c r="I286" s="3077">
        <f>(1+I284)*H286</f>
        <v>723085361.63850009</v>
      </c>
      <c r="J286" s="3077">
        <f>(1+J284)*I286</f>
        <v>744777922.48765516</v>
      </c>
      <c r="K286" s="3077">
        <f>(1+K284)*J286</f>
        <v>767121260.16228485</v>
      </c>
      <c r="L286" s="3078">
        <f t="shared" ref="L286:AU286" ca="1" si="216">IF(L4&lt;$I$370,$I$382,SUMIF($H$370:$BU$370,L4,$H$382:$BU$382))*1000*(1+$C$286)^(L2-$H$2)</f>
        <v>811500315.3548038</v>
      </c>
      <c r="M286" s="3078">
        <f t="shared" ca="1" si="216"/>
        <v>823672820.0851258</v>
      </c>
      <c r="N286" s="3078">
        <f t="shared" ca="1" si="216"/>
        <v>836027912.38640249</v>
      </c>
      <c r="O286" s="3078">
        <f t="shared" ca="1" si="216"/>
        <v>987457098.08500946</v>
      </c>
      <c r="P286" s="3078">
        <f t="shared" ca="1" si="216"/>
        <v>1002268954.5562844</v>
      </c>
      <c r="Q286" s="3078">
        <f t="shared" ca="1" si="216"/>
        <v>1017302988.8746287</v>
      </c>
      <c r="R286" s="3078">
        <f t="shared" ca="1" si="216"/>
        <v>1032562533.7077479</v>
      </c>
      <c r="S286" s="3078">
        <f t="shared" ca="1" si="216"/>
        <v>1048050971.713364</v>
      </c>
      <c r="T286" s="3078">
        <f t="shared" ca="1" si="216"/>
        <v>1063771736.2890643</v>
      </c>
      <c r="U286" s="3078">
        <f t="shared" ca="1" si="216"/>
        <v>1236911265.5419455</v>
      </c>
      <c r="V286" s="3078">
        <f t="shared" ca="1" si="216"/>
        <v>1255464934.5250745</v>
      </c>
      <c r="W286" s="3078">
        <f t="shared" ca="1" si="216"/>
        <v>1274296908.5429504</v>
      </c>
      <c r="X286" s="3078">
        <f t="shared" ca="1" si="216"/>
        <v>1293411362.1710944</v>
      </c>
      <c r="Y286" s="3078">
        <f t="shared" ca="1" si="216"/>
        <v>1312812532.6036606</v>
      </c>
      <c r="Z286" s="3078">
        <f t="shared" ca="1" si="216"/>
        <v>1332504720.5927155</v>
      </c>
      <c r="AA286" s="3078">
        <f t="shared" ca="1" si="216"/>
        <v>1352492291.4016061</v>
      </c>
      <c r="AB286" s="3078">
        <f t="shared" ca="1" si="216"/>
        <v>1372779675.7726297</v>
      </c>
      <c r="AC286" s="3078">
        <f t="shared" ca="1" si="216"/>
        <v>1393371370.909219</v>
      </c>
      <c r="AD286" s="3078">
        <f t="shared" ca="1" si="216"/>
        <v>1414271941.472857</v>
      </c>
      <c r="AE286" s="3078">
        <f t="shared" ca="1" si="216"/>
        <v>1435486020.5949497</v>
      </c>
      <c r="AF286" s="3078">
        <f t="shared" ca="1" si="216"/>
        <v>1457018310.9038739</v>
      </c>
      <c r="AG286" s="3078">
        <f t="shared" ca="1" si="216"/>
        <v>1478873585.5674319</v>
      </c>
      <c r="AH286" s="3078">
        <f t="shared" ca="1" si="216"/>
        <v>1501056689.3509431</v>
      </c>
      <c r="AI286" s="3078">
        <f t="shared" ca="1" si="216"/>
        <v>1523572539.6912072</v>
      </c>
      <c r="AJ286" s="3078">
        <f t="shared" ca="1" si="216"/>
        <v>1546426127.7865748</v>
      </c>
      <c r="AK286" s="3078">
        <f t="shared" ca="1" si="216"/>
        <v>1569622519.7033734</v>
      </c>
      <c r="AL286" s="3078">
        <f t="shared" ca="1" si="216"/>
        <v>1788774623.9916995</v>
      </c>
      <c r="AM286" s="3078">
        <f t="shared" ca="1" si="216"/>
        <v>1815606243.3515749</v>
      </c>
      <c r="AN286" s="3078">
        <f t="shared" ca="1" si="216"/>
        <v>1842840337.0018482</v>
      </c>
      <c r="AO286" s="3078">
        <f t="shared" ca="1" si="216"/>
        <v>1870482942.0568757</v>
      </c>
      <c r="AP286" s="3078">
        <f t="shared" ca="1" si="216"/>
        <v>1898540186.1877284</v>
      </c>
      <c r="AQ286" s="3078">
        <f t="shared" ca="1" si="216"/>
        <v>1927018288.9805443</v>
      </c>
      <c r="AR286" s="3078">
        <f t="shared" ca="1" si="216"/>
        <v>1955923563.3152523</v>
      </c>
      <c r="AS286" s="3078">
        <f t="shared" ca="1" si="216"/>
        <v>1985262416.7649806</v>
      </c>
      <c r="AT286" s="3078">
        <f t="shared" ca="1" si="216"/>
        <v>2015041353.0164549</v>
      </c>
      <c r="AU286" s="3078">
        <f t="shared" ca="1" si="216"/>
        <v>2045266973.3117015</v>
      </c>
      <c r="AV286" s="2694">
        <v>0</v>
      </c>
      <c r="AW286" s="2974"/>
      <c r="AX286" s="3074"/>
      <c r="AY286" s="3067"/>
      <c r="AZ286" s="3067"/>
      <c r="BA286" s="3067"/>
      <c r="BB286" s="3067"/>
      <c r="BC286" s="3067"/>
      <c r="BD286" s="3067"/>
      <c r="BE286" s="3067"/>
      <c r="BF286" s="3067"/>
      <c r="BG286" s="3067"/>
      <c r="BI286" s="2730"/>
      <c r="BJ286" s="2730"/>
    </row>
    <row r="287" spans="1:62" ht="18" hidden="1" outlineLevel="1" thickBot="1">
      <c r="A287" s="2934" t="s">
        <v>4333</v>
      </c>
      <c r="B287" s="3069"/>
      <c r="C287" s="3048"/>
      <c r="D287" s="3049"/>
      <c r="E287" s="3049"/>
      <c r="F287" s="3072">
        <f>SUM(F288:F289)</f>
        <v>8260000</v>
      </c>
      <c r="G287" s="3072">
        <f t="shared" ref="G287:AU287" si="217">SUM(G288:G289)</f>
        <v>5915000</v>
      </c>
      <c r="H287" s="3072">
        <f t="shared" si="217"/>
        <v>0</v>
      </c>
      <c r="I287" s="3072">
        <f t="shared" si="217"/>
        <v>0</v>
      </c>
      <c r="J287" s="3072">
        <f t="shared" si="217"/>
        <v>0</v>
      </c>
      <c r="K287" s="3072">
        <f t="shared" si="217"/>
        <v>0</v>
      </c>
      <c r="L287" s="3072">
        <f t="shared" si="217"/>
        <v>0</v>
      </c>
      <c r="M287" s="3072">
        <f t="shared" si="217"/>
        <v>0</v>
      </c>
      <c r="N287" s="3072">
        <f t="shared" si="217"/>
        <v>0</v>
      </c>
      <c r="O287" s="3072">
        <f t="shared" si="217"/>
        <v>0</v>
      </c>
      <c r="P287" s="3072">
        <f t="shared" si="217"/>
        <v>0</v>
      </c>
      <c r="Q287" s="3072">
        <f t="shared" si="217"/>
        <v>0</v>
      </c>
      <c r="R287" s="3072">
        <f t="shared" si="217"/>
        <v>0</v>
      </c>
      <c r="S287" s="3072">
        <f t="shared" si="217"/>
        <v>0</v>
      </c>
      <c r="T287" s="3072">
        <f t="shared" si="217"/>
        <v>0</v>
      </c>
      <c r="U287" s="3072">
        <f t="shared" si="217"/>
        <v>0</v>
      </c>
      <c r="V287" s="3072">
        <f t="shared" si="217"/>
        <v>0</v>
      </c>
      <c r="W287" s="3072">
        <f t="shared" si="217"/>
        <v>0</v>
      </c>
      <c r="X287" s="3072">
        <f t="shared" si="217"/>
        <v>0</v>
      </c>
      <c r="Y287" s="3072">
        <f t="shared" si="217"/>
        <v>0</v>
      </c>
      <c r="Z287" s="3072">
        <f t="shared" si="217"/>
        <v>0</v>
      </c>
      <c r="AA287" s="3072">
        <f t="shared" si="217"/>
        <v>0</v>
      </c>
      <c r="AB287" s="3072">
        <f t="shared" si="217"/>
        <v>0</v>
      </c>
      <c r="AC287" s="3072">
        <f t="shared" si="217"/>
        <v>0</v>
      </c>
      <c r="AD287" s="3072">
        <f t="shared" si="217"/>
        <v>0</v>
      </c>
      <c r="AE287" s="3072">
        <f t="shared" si="217"/>
        <v>0</v>
      </c>
      <c r="AF287" s="3072">
        <f t="shared" si="217"/>
        <v>0</v>
      </c>
      <c r="AG287" s="3072">
        <f t="shared" si="217"/>
        <v>0</v>
      </c>
      <c r="AH287" s="3072">
        <f t="shared" si="217"/>
        <v>0</v>
      </c>
      <c r="AI287" s="3072">
        <f t="shared" si="217"/>
        <v>0</v>
      </c>
      <c r="AJ287" s="3072">
        <f t="shared" si="217"/>
        <v>0</v>
      </c>
      <c r="AK287" s="3072">
        <f t="shared" si="217"/>
        <v>0</v>
      </c>
      <c r="AL287" s="3072">
        <f t="shared" si="217"/>
        <v>0</v>
      </c>
      <c r="AM287" s="3072">
        <f t="shared" si="217"/>
        <v>0</v>
      </c>
      <c r="AN287" s="3072">
        <f t="shared" si="217"/>
        <v>0</v>
      </c>
      <c r="AO287" s="3072">
        <f t="shared" si="217"/>
        <v>0</v>
      </c>
      <c r="AP287" s="3072">
        <f t="shared" si="217"/>
        <v>0</v>
      </c>
      <c r="AQ287" s="3072">
        <f t="shared" si="217"/>
        <v>0</v>
      </c>
      <c r="AR287" s="3072">
        <f t="shared" si="217"/>
        <v>0</v>
      </c>
      <c r="AS287" s="3072">
        <f t="shared" si="217"/>
        <v>0</v>
      </c>
      <c r="AT287" s="3072">
        <f t="shared" si="217"/>
        <v>0</v>
      </c>
      <c r="AU287" s="3072">
        <f t="shared" si="217"/>
        <v>0</v>
      </c>
      <c r="AV287" s="2694">
        <v>0</v>
      </c>
      <c r="AW287" s="2960"/>
      <c r="AX287" s="2965"/>
      <c r="AY287" s="2774"/>
      <c r="AZ287" s="2774"/>
      <c r="BA287" s="2774"/>
      <c r="BB287" s="2774"/>
      <c r="BC287" s="2774"/>
      <c r="BD287" s="2774"/>
      <c r="BE287" s="2774"/>
      <c r="BF287" s="2774"/>
      <c r="BG287" s="2774"/>
      <c r="BI287" s="2730"/>
      <c r="BJ287" s="2730"/>
    </row>
    <row r="288" spans="1:62" ht="18" hidden="1" outlineLevel="1" thickBot="1">
      <c r="A288" s="2812" t="s">
        <v>4334</v>
      </c>
      <c r="B288" s="2889"/>
      <c r="C288" s="3070">
        <v>1.4999999999999999E-2</v>
      </c>
      <c r="D288" s="3071"/>
      <c r="E288" s="3071"/>
      <c r="F288" s="3050">
        <v>8260000</v>
      </c>
      <c r="G288" s="3051">
        <v>5915000</v>
      </c>
      <c r="H288" s="3051"/>
      <c r="I288" s="3051">
        <f t="shared" ref="I288:AU288" si="218">H288*(1+$C$288)</f>
        <v>0</v>
      </c>
      <c r="J288" s="3051">
        <f t="shared" si="218"/>
        <v>0</v>
      </c>
      <c r="K288" s="3051">
        <f t="shared" si="218"/>
        <v>0</v>
      </c>
      <c r="L288" s="3051">
        <f t="shared" si="218"/>
        <v>0</v>
      </c>
      <c r="M288" s="3051">
        <f t="shared" si="218"/>
        <v>0</v>
      </c>
      <c r="N288" s="3051">
        <f t="shared" si="218"/>
        <v>0</v>
      </c>
      <c r="O288" s="3051">
        <f t="shared" si="218"/>
        <v>0</v>
      </c>
      <c r="P288" s="3051">
        <f t="shared" si="218"/>
        <v>0</v>
      </c>
      <c r="Q288" s="3051">
        <f t="shared" si="218"/>
        <v>0</v>
      </c>
      <c r="R288" s="3051">
        <f t="shared" si="218"/>
        <v>0</v>
      </c>
      <c r="S288" s="3051">
        <f t="shared" si="218"/>
        <v>0</v>
      </c>
      <c r="T288" s="3051">
        <f t="shared" si="218"/>
        <v>0</v>
      </c>
      <c r="U288" s="3051">
        <f t="shared" si="218"/>
        <v>0</v>
      </c>
      <c r="V288" s="3051">
        <f t="shared" si="218"/>
        <v>0</v>
      </c>
      <c r="W288" s="3051">
        <f t="shared" si="218"/>
        <v>0</v>
      </c>
      <c r="X288" s="3051">
        <f t="shared" si="218"/>
        <v>0</v>
      </c>
      <c r="Y288" s="3051">
        <f t="shared" si="218"/>
        <v>0</v>
      </c>
      <c r="Z288" s="3051">
        <f t="shared" si="218"/>
        <v>0</v>
      </c>
      <c r="AA288" s="3051">
        <f t="shared" si="218"/>
        <v>0</v>
      </c>
      <c r="AB288" s="3051">
        <f t="shared" si="218"/>
        <v>0</v>
      </c>
      <c r="AC288" s="3051">
        <f t="shared" si="218"/>
        <v>0</v>
      </c>
      <c r="AD288" s="3051">
        <f t="shared" si="218"/>
        <v>0</v>
      </c>
      <c r="AE288" s="3051">
        <f t="shared" si="218"/>
        <v>0</v>
      </c>
      <c r="AF288" s="3051">
        <f t="shared" si="218"/>
        <v>0</v>
      </c>
      <c r="AG288" s="3051">
        <f t="shared" si="218"/>
        <v>0</v>
      </c>
      <c r="AH288" s="3051">
        <f t="shared" si="218"/>
        <v>0</v>
      </c>
      <c r="AI288" s="3051">
        <f t="shared" si="218"/>
        <v>0</v>
      </c>
      <c r="AJ288" s="3051">
        <f t="shared" si="218"/>
        <v>0</v>
      </c>
      <c r="AK288" s="3051">
        <f t="shared" si="218"/>
        <v>0</v>
      </c>
      <c r="AL288" s="3051">
        <f t="shared" si="218"/>
        <v>0</v>
      </c>
      <c r="AM288" s="3051">
        <f t="shared" si="218"/>
        <v>0</v>
      </c>
      <c r="AN288" s="3051">
        <f t="shared" si="218"/>
        <v>0</v>
      </c>
      <c r="AO288" s="3051">
        <f t="shared" si="218"/>
        <v>0</v>
      </c>
      <c r="AP288" s="3051">
        <f t="shared" si="218"/>
        <v>0</v>
      </c>
      <c r="AQ288" s="3051">
        <f t="shared" si="218"/>
        <v>0</v>
      </c>
      <c r="AR288" s="3051">
        <f t="shared" si="218"/>
        <v>0</v>
      </c>
      <c r="AS288" s="3051">
        <f t="shared" si="218"/>
        <v>0</v>
      </c>
      <c r="AT288" s="3051">
        <f t="shared" si="218"/>
        <v>0</v>
      </c>
      <c r="AU288" s="3051">
        <f t="shared" si="218"/>
        <v>0</v>
      </c>
      <c r="AV288" s="2694">
        <v>0</v>
      </c>
      <c r="AW288" s="2974"/>
      <c r="AX288" s="3074"/>
      <c r="AY288" s="2760"/>
      <c r="AZ288" s="2760"/>
      <c r="BA288" s="2760"/>
      <c r="BB288" s="2760"/>
      <c r="BC288" s="2760"/>
      <c r="BD288" s="2760"/>
      <c r="BE288" s="2760"/>
      <c r="BF288" s="2760"/>
      <c r="BG288" s="2760"/>
      <c r="BI288" s="2730"/>
      <c r="BJ288" s="2730"/>
    </row>
    <row r="289" spans="1:62" ht="18" hidden="1" outlineLevel="1" thickBot="1">
      <c r="A289" s="2812" t="s">
        <v>4335</v>
      </c>
      <c r="B289" s="2889"/>
      <c r="C289" s="3048"/>
      <c r="D289" s="3049"/>
      <c r="E289" s="3049"/>
      <c r="F289" s="3050"/>
      <c r="G289" s="3079"/>
      <c r="H289" s="3079"/>
      <c r="I289" s="3079"/>
      <c r="J289" s="3079"/>
      <c r="K289" s="3079"/>
      <c r="L289" s="3079"/>
      <c r="M289" s="3079"/>
      <c r="N289" s="3079"/>
      <c r="O289" s="3079"/>
      <c r="P289" s="3079"/>
      <c r="Q289" s="3079"/>
      <c r="R289" s="3079"/>
      <c r="S289" s="3079"/>
      <c r="T289" s="3079"/>
      <c r="U289" s="3079"/>
      <c r="V289" s="3079"/>
      <c r="W289" s="3079"/>
      <c r="X289" s="3079"/>
      <c r="Y289" s="3079"/>
      <c r="Z289" s="3079"/>
      <c r="AA289" s="3079"/>
      <c r="AB289" s="3079"/>
      <c r="AC289" s="3079"/>
      <c r="AD289" s="3079"/>
      <c r="AE289" s="3079"/>
      <c r="AF289" s="3079"/>
      <c r="AG289" s="3079"/>
      <c r="AH289" s="3079"/>
      <c r="AI289" s="3079"/>
      <c r="AJ289" s="3079"/>
      <c r="AK289" s="3079"/>
      <c r="AL289" s="3079"/>
      <c r="AM289" s="3079"/>
      <c r="AN289" s="3079"/>
      <c r="AO289" s="3079"/>
      <c r="AP289" s="3079"/>
      <c r="AQ289" s="3079"/>
      <c r="AR289" s="3079"/>
      <c r="AS289" s="3079"/>
      <c r="AT289" s="3079"/>
      <c r="AU289" s="3079"/>
      <c r="AV289" s="2694">
        <v>0</v>
      </c>
      <c r="AW289" s="2809"/>
      <c r="AX289" s="2965"/>
      <c r="AY289" s="2760"/>
      <c r="AZ289" s="2760"/>
      <c r="BA289" s="2760"/>
      <c r="BB289" s="2760"/>
      <c r="BC289" s="2760"/>
      <c r="BD289" s="2760"/>
      <c r="BE289" s="2760"/>
      <c r="BF289" s="2760"/>
      <c r="BG289" s="2760"/>
      <c r="BI289" s="2730"/>
      <c r="BJ289" s="2730"/>
    </row>
    <row r="290" spans="1:62" ht="18" hidden="1" outlineLevel="1" thickBot="1">
      <c r="A290" s="2823" t="s">
        <v>4336</v>
      </c>
      <c r="B290" s="2878" t="s">
        <v>4337</v>
      </c>
      <c r="C290" s="2811"/>
      <c r="D290" s="2792">
        <v>2</v>
      </c>
      <c r="E290" s="2792"/>
      <c r="F290" s="2794"/>
      <c r="G290" s="2794">
        <v>50000000</v>
      </c>
      <c r="H290" s="3080"/>
      <c r="I290" s="3080"/>
      <c r="J290" s="3080"/>
      <c r="K290" s="3080"/>
      <c r="L290" s="3080">
        <v>50000000</v>
      </c>
      <c r="M290" s="3080"/>
      <c r="N290" s="3080"/>
      <c r="O290" s="3080"/>
      <c r="P290" s="3080">
        <v>0</v>
      </c>
      <c r="Q290" s="3080">
        <v>50000000</v>
      </c>
      <c r="R290" s="3080"/>
      <c r="S290" s="3080"/>
      <c r="T290" s="3080"/>
      <c r="U290" s="3080"/>
      <c r="V290" s="3080">
        <v>50000000</v>
      </c>
      <c r="W290" s="3080"/>
      <c r="X290" s="3080"/>
      <c r="Y290" s="3080"/>
      <c r="Z290" s="2794"/>
      <c r="AA290" s="3080">
        <v>50000000</v>
      </c>
      <c r="AB290" s="3080"/>
      <c r="AC290" s="3080"/>
      <c r="AD290" s="3080"/>
      <c r="AE290" s="3080"/>
      <c r="AF290" s="3080">
        <v>50000000</v>
      </c>
      <c r="AG290" s="3080"/>
      <c r="AH290" s="3080"/>
      <c r="AI290" s="3080"/>
      <c r="AJ290" s="3080"/>
      <c r="AK290" s="3080">
        <v>50000000</v>
      </c>
      <c r="AL290" s="3080"/>
      <c r="AM290" s="3080"/>
      <c r="AN290" s="3080"/>
      <c r="AO290" s="3080"/>
      <c r="AP290" s="3080">
        <v>50000000</v>
      </c>
      <c r="AQ290" s="3080"/>
      <c r="AR290" s="3080"/>
      <c r="AS290" s="3080"/>
      <c r="AT290" s="3080"/>
      <c r="AU290" s="3080"/>
      <c r="AV290" s="2694">
        <v>0</v>
      </c>
      <c r="AW290" s="2809"/>
      <c r="AX290" s="2759"/>
      <c r="AY290" s="2760"/>
      <c r="AZ290" s="2760"/>
      <c r="BA290" s="2760"/>
      <c r="BB290" s="2760"/>
      <c r="BC290" s="2760"/>
      <c r="BD290" s="2760"/>
      <c r="BE290" s="2760"/>
      <c r="BF290" s="2760"/>
      <c r="BG290" s="2760"/>
      <c r="BI290" s="2730"/>
      <c r="BJ290" s="2730"/>
    </row>
    <row r="291" spans="1:62" ht="18" collapsed="1" thickTop="1">
      <c r="A291" s="2745" t="s">
        <v>4338</v>
      </c>
      <c r="B291" s="2959"/>
      <c r="C291" s="3081"/>
      <c r="D291" s="3082"/>
      <c r="E291" s="3082"/>
      <c r="F291" s="2750">
        <f>SUM(F292,F301)</f>
        <v>5012054777</v>
      </c>
      <c r="G291" s="2750">
        <f t="shared" ref="G291:AU291" si="219">SUM(G292,G301)</f>
        <v>5045999994.3223162</v>
      </c>
      <c r="H291" s="2750">
        <f t="shared" ca="1" si="219"/>
        <v>5343635018.1004906</v>
      </c>
      <c r="I291" s="2750">
        <f t="shared" ca="1" si="219"/>
        <v>4623869253.7968616</v>
      </c>
      <c r="J291" s="2750">
        <f t="shared" ca="1" si="219"/>
        <v>4711953836.6472158</v>
      </c>
      <c r="K291" s="2750">
        <f t="shared" ca="1" si="219"/>
        <v>4859242081.0481453</v>
      </c>
      <c r="L291" s="2750">
        <f t="shared" ca="1" si="219"/>
        <v>5165199261.6759768</v>
      </c>
      <c r="M291" s="2750">
        <f t="shared" ca="1" si="219"/>
        <v>5299583104.4175968</v>
      </c>
      <c r="N291" s="2750">
        <f t="shared" ca="1" si="219"/>
        <v>5441722633.6292362</v>
      </c>
      <c r="O291" s="2750">
        <f t="shared" ca="1" si="219"/>
        <v>5572853830.8005962</v>
      </c>
      <c r="P291" s="2750">
        <f t="shared" ca="1" si="219"/>
        <v>5707107945.5529575</v>
      </c>
      <c r="Q291" s="2750">
        <f t="shared" ca="1" si="219"/>
        <v>5859008087.6579409</v>
      </c>
      <c r="R291" s="2750">
        <f t="shared" ca="1" si="219"/>
        <v>5944506513.2972918</v>
      </c>
      <c r="S291" s="2750">
        <f t="shared" ca="1" si="219"/>
        <v>6105459531.7615328</v>
      </c>
      <c r="T291" s="2750">
        <f t="shared" ca="1" si="219"/>
        <v>6335268557.0490561</v>
      </c>
      <c r="U291" s="2750">
        <f t="shared" ca="1" si="219"/>
        <v>6777206523.1329107</v>
      </c>
      <c r="V291" s="2750">
        <f t="shared" ca="1" si="219"/>
        <v>6933380201.0105152</v>
      </c>
      <c r="W291" s="2750">
        <f t="shared" ca="1" si="219"/>
        <v>7133509291.9293804</v>
      </c>
      <c r="X291" s="2750">
        <f t="shared" ca="1" si="219"/>
        <v>7273308001.5908422</v>
      </c>
      <c r="Y291" s="2750">
        <f t="shared" ca="1" si="219"/>
        <v>7416311925.7000046</v>
      </c>
      <c r="Z291" s="2750">
        <f t="shared" ca="1" si="219"/>
        <v>7557398552.6784821</v>
      </c>
      <c r="AA291" s="2750">
        <f t="shared" ca="1" si="219"/>
        <v>7723291641.1072416</v>
      </c>
      <c r="AB291" s="2750">
        <f t="shared" ca="1" si="219"/>
        <v>7907507794.7617311</v>
      </c>
      <c r="AC291" s="2750">
        <f t="shared" ca="1" si="219"/>
        <v>8076784583.043684</v>
      </c>
      <c r="AD291" s="2750">
        <f t="shared" ca="1" si="219"/>
        <v>8264110699.2458878</v>
      </c>
      <c r="AE291" s="2750">
        <f t="shared" ca="1" si="219"/>
        <v>8271125711.5074635</v>
      </c>
      <c r="AF291" s="2750">
        <f t="shared" ca="1" si="219"/>
        <v>8465365911.7963781</v>
      </c>
      <c r="AG291" s="2750">
        <f t="shared" ca="1" si="219"/>
        <v>8668986061.3404045</v>
      </c>
      <c r="AH291" s="2750">
        <f t="shared" ca="1" si="219"/>
        <v>8861791875.9935417</v>
      </c>
      <c r="AI291" s="2750">
        <f t="shared" ca="1" si="219"/>
        <v>9057578406.7358818</v>
      </c>
      <c r="AJ291" s="2750">
        <f t="shared" ca="1" si="219"/>
        <v>9288803849.0940762</v>
      </c>
      <c r="AK291" s="2750">
        <f t="shared" ca="1" si="219"/>
        <v>9490266083.2587547</v>
      </c>
      <c r="AL291" s="2750">
        <f t="shared" ca="1" si="219"/>
        <v>10314396372.50638</v>
      </c>
      <c r="AM291" s="2750">
        <f t="shared" ca="1" si="219"/>
        <v>10540252834.835514</v>
      </c>
      <c r="AN291" s="2750">
        <f t="shared" ca="1" si="219"/>
        <v>10756753278.713202</v>
      </c>
      <c r="AO291" s="2750">
        <f t="shared" ca="1" si="219"/>
        <v>11034010706.00362</v>
      </c>
      <c r="AP291" s="2750">
        <f t="shared" ca="1" si="219"/>
        <v>11261473965.948912</v>
      </c>
      <c r="AQ291" s="2750">
        <f t="shared" ca="1" si="219"/>
        <v>11530051152.296391</v>
      </c>
      <c r="AR291" s="2750">
        <f t="shared" ca="1" si="219"/>
        <v>11805799047.080269</v>
      </c>
      <c r="AS291" s="2750">
        <f t="shared" ca="1" si="219"/>
        <v>12049758944.13031</v>
      </c>
      <c r="AT291" s="2750">
        <f t="shared" ca="1" si="219"/>
        <v>12337336541.102318</v>
      </c>
      <c r="AU291" s="2750">
        <f t="shared" ca="1" si="219"/>
        <v>12616834889.04434</v>
      </c>
      <c r="AV291" s="2694">
        <v>0</v>
      </c>
      <c r="AW291" s="2809"/>
      <c r="AX291" s="3083"/>
      <c r="AY291" s="2694"/>
      <c r="AZ291" s="2694"/>
      <c r="BA291" s="2694"/>
      <c r="BB291" s="2694"/>
      <c r="BC291" s="2694"/>
      <c r="BD291" s="2694"/>
      <c r="BE291" s="2694"/>
      <c r="BF291" s="2694"/>
      <c r="BG291" s="2694"/>
      <c r="BI291" s="2730"/>
      <c r="BJ291" s="2730"/>
    </row>
    <row r="292" spans="1:62" ht="17.25">
      <c r="A292" s="2752" t="s">
        <v>4012</v>
      </c>
      <c r="B292" s="2753" t="s">
        <v>4339</v>
      </c>
      <c r="C292" s="3084"/>
      <c r="D292" s="3085"/>
      <c r="E292" s="3085"/>
      <c r="F292" s="2757">
        <f>SUM(F293,F300)</f>
        <v>231165664</v>
      </c>
      <c r="G292" s="2757">
        <f t="shared" ref="G292:AU292" si="220">SUM(G293,G300)</f>
        <v>213073534</v>
      </c>
      <c r="H292" s="2757">
        <f t="shared" si="220"/>
        <v>238711860.89284894</v>
      </c>
      <c r="I292" s="2757">
        <f t="shared" si="220"/>
        <v>238711860.89284894</v>
      </c>
      <c r="J292" s="2757">
        <f t="shared" si="220"/>
        <v>238711860.89284894</v>
      </c>
      <c r="K292" s="2757">
        <f t="shared" si="220"/>
        <v>259110427.82177383</v>
      </c>
      <c r="L292" s="2757">
        <f t="shared" si="220"/>
        <v>259110427.82177383</v>
      </c>
      <c r="M292" s="2757">
        <f t="shared" si="220"/>
        <v>267814605.87272292</v>
      </c>
      <c r="N292" s="2757">
        <f t="shared" si="220"/>
        <v>280964131.99969244</v>
      </c>
      <c r="O292" s="2757">
        <f t="shared" si="220"/>
        <v>280964131.99969244</v>
      </c>
      <c r="P292" s="2757">
        <f t="shared" si="220"/>
        <v>280964131.99969244</v>
      </c>
      <c r="Q292" s="2757">
        <f t="shared" si="220"/>
        <v>294771134.43301034</v>
      </c>
      <c r="R292" s="2757">
        <f t="shared" si="220"/>
        <v>241716993.16796306</v>
      </c>
      <c r="S292" s="2757">
        <f t="shared" si="220"/>
        <v>188662851.90291578</v>
      </c>
      <c r="T292" s="2757">
        <f t="shared" si="220"/>
        <v>197854790.33139491</v>
      </c>
      <c r="U292" s="2757">
        <f t="shared" si="220"/>
        <v>197854790.33139491</v>
      </c>
      <c r="V292" s="2757">
        <f t="shared" si="220"/>
        <v>219446592.00903046</v>
      </c>
      <c r="W292" s="2757">
        <f t="shared" si="220"/>
        <v>252849109.20433259</v>
      </c>
      <c r="X292" s="2757">
        <f t="shared" si="220"/>
        <v>252849109.20433259</v>
      </c>
      <c r="Y292" s="2757">
        <f t="shared" si="220"/>
        <v>252849109.20433259</v>
      </c>
      <c r="Z292" s="2757">
        <f t="shared" si="220"/>
        <v>219068735.47967181</v>
      </c>
      <c r="AA292" s="2757">
        <f t="shared" si="220"/>
        <v>234303910.74341145</v>
      </c>
      <c r="AB292" s="2757">
        <f t="shared" si="220"/>
        <v>234303910.74341145</v>
      </c>
      <c r="AC292" s="2757">
        <f t="shared" si="220"/>
        <v>245777902.11391535</v>
      </c>
      <c r="AD292" s="2757">
        <f t="shared" si="220"/>
        <v>270773111.53098816</v>
      </c>
      <c r="AE292" s="2757">
        <f t="shared" si="220"/>
        <v>282604177.32173598</v>
      </c>
      <c r="AF292" s="2757">
        <f t="shared" si="220"/>
        <v>308915801.10144126</v>
      </c>
      <c r="AG292" s="2757">
        <f t="shared" si="220"/>
        <v>308915801.10144126</v>
      </c>
      <c r="AH292" s="2757">
        <f t="shared" si="220"/>
        <v>325712581.82971424</v>
      </c>
      <c r="AI292" s="2757">
        <f t="shared" si="220"/>
        <v>341757006.75453329</v>
      </c>
      <c r="AJ292" s="2757">
        <f t="shared" si="220"/>
        <v>354617041.99961728</v>
      </c>
      <c r="AK292" s="2757">
        <f t="shared" si="220"/>
        <v>367477077.24470133</v>
      </c>
      <c r="AL292" s="2757">
        <f t="shared" si="220"/>
        <v>385609726.94026971</v>
      </c>
      <c r="AM292" s="2757">
        <f t="shared" si="220"/>
        <v>399305664.47628409</v>
      </c>
      <c r="AN292" s="2757">
        <f t="shared" si="220"/>
        <v>399305664.47628409</v>
      </c>
      <c r="AO292" s="2757">
        <f t="shared" si="220"/>
        <v>419029743.53343171</v>
      </c>
      <c r="AP292" s="2757">
        <f t="shared" si="220"/>
        <v>419029743.53343171</v>
      </c>
      <c r="AQ292" s="2757">
        <f t="shared" si="220"/>
        <v>419029743.53343171</v>
      </c>
      <c r="AR292" s="2757">
        <f t="shared" si="220"/>
        <v>454627124.84402704</v>
      </c>
      <c r="AS292" s="2757">
        <f t="shared" si="220"/>
        <v>454627124.84402704</v>
      </c>
      <c r="AT292" s="2757">
        <f t="shared" si="220"/>
        <v>454627124.84402704</v>
      </c>
      <c r="AU292" s="2757">
        <f t="shared" si="220"/>
        <v>477117276.91956174</v>
      </c>
      <c r="AV292" s="2694">
        <v>0</v>
      </c>
      <c r="AW292" s="2960"/>
      <c r="AX292" s="3086"/>
      <c r="AY292" s="2760"/>
      <c r="AZ292" s="2760"/>
      <c r="BA292" s="2760"/>
      <c r="BB292" s="2760"/>
      <c r="BC292" s="2760"/>
      <c r="BD292" s="2760"/>
      <c r="BE292" s="2760"/>
      <c r="BF292" s="2760"/>
      <c r="BG292" s="2760"/>
      <c r="BI292" s="2730"/>
      <c r="BJ292" s="2730"/>
    </row>
    <row r="293" spans="1:62" ht="17.25" hidden="1" outlineLevel="1">
      <c r="A293" s="2773" t="s">
        <v>4122</v>
      </c>
      <c r="B293" s="2762"/>
      <c r="C293" s="3087"/>
      <c r="D293" s="3088">
        <v>1</v>
      </c>
      <c r="E293" s="3088"/>
      <c r="F293" s="2765">
        <f>SUM(F294:F299)</f>
        <v>192092400</v>
      </c>
      <c r="G293" s="2765">
        <f t="shared" ref="G293:AU293" si="221">SUM(G294:G299)</f>
        <v>194853400</v>
      </c>
      <c r="H293" s="2765">
        <f t="shared" si="221"/>
        <v>220349410.05493748</v>
      </c>
      <c r="I293" s="2765">
        <f t="shared" si="221"/>
        <v>220349410.05493748</v>
      </c>
      <c r="J293" s="2765">
        <f t="shared" si="221"/>
        <v>220349410.05493748</v>
      </c>
      <c r="K293" s="2765">
        <f t="shared" si="221"/>
        <v>239178856.45086816</v>
      </c>
      <c r="L293" s="2765">
        <f t="shared" si="221"/>
        <v>239178856.45086816</v>
      </c>
      <c r="M293" s="2765">
        <f t="shared" si="221"/>
        <v>247213482.34405193</v>
      </c>
      <c r="N293" s="2765">
        <f t="shared" si="221"/>
        <v>259351506.46125454</v>
      </c>
      <c r="O293" s="2765">
        <f t="shared" si="221"/>
        <v>259351506.46125454</v>
      </c>
      <c r="P293" s="2765">
        <f t="shared" si="221"/>
        <v>259351506.46125454</v>
      </c>
      <c r="Q293" s="2765">
        <f t="shared" si="221"/>
        <v>272096431.78431726</v>
      </c>
      <c r="R293" s="2765">
        <f t="shared" si="221"/>
        <v>223123378.30888897</v>
      </c>
      <c r="S293" s="2765">
        <f t="shared" si="221"/>
        <v>174150324.83346072</v>
      </c>
      <c r="T293" s="2765">
        <f t="shared" si="221"/>
        <v>182635191.07513377</v>
      </c>
      <c r="U293" s="2765">
        <f t="shared" si="221"/>
        <v>182635191.07513377</v>
      </c>
      <c r="V293" s="2765">
        <f t="shared" si="221"/>
        <v>202566084.93141273</v>
      </c>
      <c r="W293" s="2765">
        <f t="shared" si="221"/>
        <v>233399177.72707623</v>
      </c>
      <c r="X293" s="2765">
        <f t="shared" si="221"/>
        <v>233399177.72707623</v>
      </c>
      <c r="Y293" s="2765">
        <f t="shared" si="221"/>
        <v>233399177.72707623</v>
      </c>
      <c r="Z293" s="2765">
        <f t="shared" si="221"/>
        <v>202217294.28892782</v>
      </c>
      <c r="AA293" s="2765">
        <f t="shared" si="221"/>
        <v>216280532.99391827</v>
      </c>
      <c r="AB293" s="2765">
        <f t="shared" si="221"/>
        <v>216280532.99391827</v>
      </c>
      <c r="AC293" s="2765">
        <f t="shared" si="221"/>
        <v>226871909.64361417</v>
      </c>
      <c r="AD293" s="2765">
        <f t="shared" si="221"/>
        <v>249944410.64398909</v>
      </c>
      <c r="AE293" s="2765">
        <f t="shared" si="221"/>
        <v>260865394.4508332</v>
      </c>
      <c r="AF293" s="2765">
        <f t="shared" si="221"/>
        <v>285153047.17056119</v>
      </c>
      <c r="AG293" s="2765">
        <f t="shared" si="221"/>
        <v>285153047.17056119</v>
      </c>
      <c r="AH293" s="2765">
        <f t="shared" si="221"/>
        <v>300657767.84281313</v>
      </c>
      <c r="AI293" s="2765">
        <f t="shared" si="221"/>
        <v>315468006.23495382</v>
      </c>
      <c r="AJ293" s="2765">
        <f t="shared" si="221"/>
        <v>327338807.99964672</v>
      </c>
      <c r="AK293" s="2765">
        <f t="shared" si="221"/>
        <v>339209609.76433969</v>
      </c>
      <c r="AL293" s="2765">
        <f t="shared" si="221"/>
        <v>355947440.25255668</v>
      </c>
      <c r="AM293" s="2765">
        <f t="shared" si="221"/>
        <v>368589844.13195455</v>
      </c>
      <c r="AN293" s="2765">
        <f t="shared" si="221"/>
        <v>368589844.13195455</v>
      </c>
      <c r="AO293" s="2765">
        <f t="shared" si="221"/>
        <v>386796686.33855236</v>
      </c>
      <c r="AP293" s="2765">
        <f t="shared" si="221"/>
        <v>386796686.33855236</v>
      </c>
      <c r="AQ293" s="2765">
        <f t="shared" si="221"/>
        <v>386796686.33855236</v>
      </c>
      <c r="AR293" s="2765">
        <f t="shared" si="221"/>
        <v>419655807.54833263</v>
      </c>
      <c r="AS293" s="2765">
        <f t="shared" si="221"/>
        <v>419655807.54833263</v>
      </c>
      <c r="AT293" s="2765">
        <f t="shared" si="221"/>
        <v>419655807.54833263</v>
      </c>
      <c r="AU293" s="2765">
        <f t="shared" si="221"/>
        <v>440415947.9257493</v>
      </c>
      <c r="AV293" s="2694">
        <v>0</v>
      </c>
      <c r="AW293" s="2758"/>
      <c r="AX293" s="3086"/>
      <c r="AY293" s="2774"/>
      <c r="AZ293" s="2774"/>
      <c r="BA293" s="2774"/>
      <c r="BB293" s="2774"/>
      <c r="BC293" s="2774"/>
      <c r="BD293" s="2774"/>
      <c r="BE293" s="2774"/>
      <c r="BF293" s="2774"/>
      <c r="BG293" s="2774"/>
      <c r="BI293" s="2730"/>
      <c r="BJ293" s="2730"/>
    </row>
    <row r="294" spans="1:62" ht="17.25" hidden="1" outlineLevel="1">
      <c r="A294" s="2767" t="s">
        <v>4019</v>
      </c>
      <c r="B294" s="2768"/>
      <c r="C294" s="3087"/>
      <c r="D294" s="3088"/>
      <c r="E294" s="3088"/>
      <c r="F294" s="2769">
        <v>70500000</v>
      </c>
      <c r="G294" s="2769">
        <v>70500000</v>
      </c>
      <c r="H294" s="2769">
        <f>인력계획!H98*10^6</f>
        <v>77066819.791762516</v>
      </c>
      <c r="I294" s="2769">
        <f>인력계획!I98*10^6</f>
        <v>77066819.791762516</v>
      </c>
      <c r="J294" s="2769">
        <f>인력계획!J98*10^6</f>
        <v>77066819.791762516</v>
      </c>
      <c r="K294" s="2769">
        <f>인력계획!K98*10^6</f>
        <v>161840321.56270128</v>
      </c>
      <c r="L294" s="2769">
        <f>인력계획!L98*10^6</f>
        <v>161840321.56270128</v>
      </c>
      <c r="M294" s="2769">
        <f>인력계획!M98*10^6</f>
        <v>242760482.34405193</v>
      </c>
      <c r="N294" s="2769">
        <f>인력계획!N98*10^6</f>
        <v>254898506.46125454</v>
      </c>
      <c r="O294" s="2769">
        <f>인력계획!O98*10^6</f>
        <v>254898506.46125454</v>
      </c>
      <c r="P294" s="2769">
        <f>인력계획!P98*10^6</f>
        <v>254898506.46125454</v>
      </c>
      <c r="Q294" s="2769">
        <f>인력계획!Q98*10^6</f>
        <v>267643431.78431728</v>
      </c>
      <c r="R294" s="2769">
        <f>인력계획!R98*10^6</f>
        <v>178428954.52287817</v>
      </c>
      <c r="S294" s="2769">
        <f>인력계획!S98*10^6</f>
        <v>89214477.261439085</v>
      </c>
      <c r="T294" s="2769">
        <f>인력계획!T98*10^6</f>
        <v>93675201.124511048</v>
      </c>
      <c r="U294" s="2769">
        <f>인력계획!U98*10^6</f>
        <v>93675201.124511048</v>
      </c>
      <c r="V294" s="2769">
        <f>인력계획!V98*10^6</f>
        <v>93675201.124511048</v>
      </c>
      <c r="W294" s="2769">
        <f>인력계획!W98*10^6</f>
        <v>98358961.180736601</v>
      </c>
      <c r="X294" s="2769">
        <f>인력계획!X98*10^6</f>
        <v>98358961.180736601</v>
      </c>
      <c r="Y294" s="2769">
        <f>인력계획!Y98*10^6</f>
        <v>98358961.180736601</v>
      </c>
      <c r="Z294" s="2769">
        <f>인력계획!Z98*10^6</f>
        <v>0</v>
      </c>
      <c r="AA294" s="2769">
        <f>인력계획!AA98*10^6</f>
        <v>0</v>
      </c>
      <c r="AB294" s="2769">
        <f>인력계획!AB98*10^6</f>
        <v>0</v>
      </c>
      <c r="AC294" s="2769">
        <f>인력계획!AC98*10^6</f>
        <v>0</v>
      </c>
      <c r="AD294" s="2769">
        <f>인력계획!AD98*10^6</f>
        <v>0</v>
      </c>
      <c r="AE294" s="2769">
        <f>인력계획!AE98*10^6</f>
        <v>0</v>
      </c>
      <c r="AF294" s="2769">
        <f>인력계획!AF98*10^6</f>
        <v>0</v>
      </c>
      <c r="AG294" s="2769">
        <f>인력계획!AG98*10^6</f>
        <v>0</v>
      </c>
      <c r="AH294" s="2769">
        <f>인력계획!AH98*10^6</f>
        <v>0</v>
      </c>
      <c r="AI294" s="2769">
        <f>인력계획!AI98*10^6</f>
        <v>0</v>
      </c>
      <c r="AJ294" s="2769">
        <f>인력계획!AJ98*10^6</f>
        <v>119555932.05869274</v>
      </c>
      <c r="AK294" s="2769">
        <f>인력계획!AK98*10^6</f>
        <v>239111864.11738548</v>
      </c>
      <c r="AL294" s="2769">
        <f>인력계획!AL98*10^6</f>
        <v>251067457.32325476</v>
      </c>
      <c r="AM294" s="2769">
        <f>인력계획!AM98*10^6</f>
        <v>251067457.32325476</v>
      </c>
      <c r="AN294" s="2769">
        <f>인력계획!AN98*10^6</f>
        <v>251067457.32325476</v>
      </c>
      <c r="AO294" s="2769">
        <f>인력계획!AO98*10^6</f>
        <v>263620830.18941751</v>
      </c>
      <c r="AP294" s="2769">
        <f>인력계획!AP98*10^6</f>
        <v>263620830.18941751</v>
      </c>
      <c r="AQ294" s="2769">
        <f>인력계획!AQ98*10^6</f>
        <v>263620830.18941751</v>
      </c>
      <c r="AR294" s="2769">
        <f>인력계획!AR98*10^6</f>
        <v>415202807.54833263</v>
      </c>
      <c r="AS294" s="2769">
        <f>인력계획!AS98*10^6</f>
        <v>415202807.54833263</v>
      </c>
      <c r="AT294" s="2769">
        <f>인력계획!AT98*10^6</f>
        <v>415202807.54833263</v>
      </c>
      <c r="AU294" s="2769">
        <f>인력계획!AU98*10^6</f>
        <v>435962947.9257493</v>
      </c>
      <c r="AV294" s="2694">
        <v>0</v>
      </c>
      <c r="AW294" s="2758"/>
      <c r="AX294" s="3086"/>
      <c r="AY294" s="2760"/>
      <c r="AZ294" s="2760"/>
      <c r="BA294" s="2760"/>
      <c r="BB294" s="2760"/>
      <c r="BC294" s="2760"/>
      <c r="BD294" s="2760"/>
      <c r="BE294" s="2760"/>
      <c r="BF294" s="2760"/>
      <c r="BG294" s="2760"/>
      <c r="BI294" s="2730"/>
      <c r="BJ294" s="2730"/>
    </row>
    <row r="295" spans="1:62" ht="17.25" hidden="1" outlineLevel="1">
      <c r="A295" s="2767" t="s">
        <v>4020</v>
      </c>
      <c r="B295" s="2768"/>
      <c r="C295" s="3087"/>
      <c r="D295" s="3088"/>
      <c r="E295" s="3088"/>
      <c r="F295" s="2769">
        <v>63500400</v>
      </c>
      <c r="G295" s="2769">
        <v>63500400</v>
      </c>
      <c r="H295" s="2769">
        <f>인력계획!H99*10^6</f>
        <v>138829590.26317498</v>
      </c>
      <c r="I295" s="2769">
        <f>인력계획!I99*10^6</f>
        <v>138829590.26317498</v>
      </c>
      <c r="J295" s="2769">
        <f>인력계획!J99*10^6</f>
        <v>138829590.26317498</v>
      </c>
      <c r="K295" s="2769">
        <f>인력계획!K99*10^6</f>
        <v>72885534.888166875</v>
      </c>
      <c r="L295" s="2769">
        <f>인력계획!L99*10^6</f>
        <v>72885534.888166875</v>
      </c>
      <c r="M295" s="2769">
        <f>인력계획!M99*10^6</f>
        <v>0</v>
      </c>
      <c r="N295" s="2769">
        <f>인력계획!N99*10^6</f>
        <v>0</v>
      </c>
      <c r="O295" s="2769">
        <f>인력계획!O99*10^6</f>
        <v>0</v>
      </c>
      <c r="P295" s="2769">
        <f>인력계획!P99*10^6</f>
        <v>0</v>
      </c>
      <c r="Q295" s="2769">
        <f>인력계획!Q99*10^6</f>
        <v>0</v>
      </c>
      <c r="R295" s="2769">
        <f>인력계획!R99*10^6</f>
        <v>0</v>
      </c>
      <c r="S295" s="2769">
        <f>인력계획!S99*10^6</f>
        <v>0</v>
      </c>
      <c r="T295" s="2769">
        <f>인력계획!T99*10^6</f>
        <v>0</v>
      </c>
      <c r="U295" s="2769">
        <f>인력계획!U99*10^6</f>
        <v>0</v>
      </c>
      <c r="V295" s="2769">
        <f>인력계획!V99*10^6</f>
        <v>0</v>
      </c>
      <c r="W295" s="2769">
        <f>인력계획!W99*10^6</f>
        <v>0</v>
      </c>
      <c r="X295" s="2769">
        <f>인력계획!X99*10^6</f>
        <v>0</v>
      </c>
      <c r="Y295" s="2769">
        <f>인력계획!Y99*10^6</f>
        <v>0</v>
      </c>
      <c r="Z295" s="2769">
        <f>인력계획!Z99*10^6</f>
        <v>0</v>
      </c>
      <c r="AA295" s="2769">
        <f>인력계획!AA99*10^6</f>
        <v>0</v>
      </c>
      <c r="AB295" s="2769">
        <f>인력계획!AB99*10^6</f>
        <v>0</v>
      </c>
      <c r="AC295" s="2769">
        <f>인력계획!AC99*10^6</f>
        <v>0</v>
      </c>
      <c r="AD295" s="2769">
        <f>인력계획!AD99*10^6</f>
        <v>0</v>
      </c>
      <c r="AE295" s="2769">
        <f>인력계획!AE99*10^6</f>
        <v>97673587.5682538</v>
      </c>
      <c r="AF295" s="2769">
        <f>인력계획!AF99*10^6</f>
        <v>205114533.89333299</v>
      </c>
      <c r="AG295" s="2769">
        <f>인력계획!AG99*10^6</f>
        <v>205114533.89333299</v>
      </c>
      <c r="AH295" s="2769">
        <f>인력계획!AH99*10^6</f>
        <v>205114533.89333299</v>
      </c>
      <c r="AI295" s="2769">
        <f>인력계획!AI99*10^6</f>
        <v>215370260.58799964</v>
      </c>
      <c r="AJ295" s="2769">
        <f>인력계획!AJ99*10^6</f>
        <v>107685130.29399982</v>
      </c>
      <c r="AK295" s="2769">
        <f>인력계획!AK99*10^6</f>
        <v>0</v>
      </c>
      <c r="AL295" s="2769">
        <f>인력계획!AL99*10^6</f>
        <v>0</v>
      </c>
      <c r="AM295" s="2769">
        <f>인력계획!AM99*10^6</f>
        <v>113069386.80869982</v>
      </c>
      <c r="AN295" s="2769">
        <f>인력계획!AN99*10^6</f>
        <v>113069386.80869982</v>
      </c>
      <c r="AO295" s="2769">
        <f>인력계획!AO99*10^6</f>
        <v>118722856.14913481</v>
      </c>
      <c r="AP295" s="2769">
        <f>인력계획!AP99*10^6</f>
        <v>118722856.14913481</v>
      </c>
      <c r="AQ295" s="2769">
        <f>인력계획!AQ99*10^6</f>
        <v>118722856.14913481</v>
      </c>
      <c r="AR295" s="2769">
        <f>인력계획!AR99*10^6</f>
        <v>0</v>
      </c>
      <c r="AS295" s="2769">
        <f>인력계획!AS99*10^6</f>
        <v>0</v>
      </c>
      <c r="AT295" s="2769">
        <f>인력계획!AT99*10^6</f>
        <v>0</v>
      </c>
      <c r="AU295" s="2769">
        <f>인력계획!AU99*10^6</f>
        <v>0</v>
      </c>
      <c r="AV295" s="2694">
        <v>0</v>
      </c>
      <c r="AW295" s="2771"/>
      <c r="AX295" s="3086"/>
      <c r="AY295" s="2760"/>
      <c r="AZ295" s="2760"/>
      <c r="BA295" s="2760"/>
      <c r="BB295" s="2760"/>
      <c r="BC295" s="2760"/>
      <c r="BD295" s="2760"/>
      <c r="BE295" s="2760"/>
      <c r="BF295" s="2760"/>
      <c r="BG295" s="2760"/>
      <c r="BI295" s="2730"/>
      <c r="BJ295" s="2730"/>
    </row>
    <row r="296" spans="1:62" ht="17.25" hidden="1" outlineLevel="1">
      <c r="A296" s="2767" t="s">
        <v>4021</v>
      </c>
      <c r="B296" s="2768"/>
      <c r="C296" s="3087"/>
      <c r="D296" s="3088"/>
      <c r="E296" s="3088"/>
      <c r="F296" s="2769">
        <v>58092000</v>
      </c>
      <c r="G296" s="2769">
        <v>56400000</v>
      </c>
      <c r="H296" s="2769">
        <f>인력계획!H100*10^6</f>
        <v>0</v>
      </c>
      <c r="I296" s="2769">
        <f>인력계획!I100*10^6</f>
        <v>0</v>
      </c>
      <c r="J296" s="2769">
        <f>인력계획!J100*10^6</f>
        <v>0</v>
      </c>
      <c r="K296" s="2769">
        <f>인력계획!K100*10^6</f>
        <v>0</v>
      </c>
      <c r="L296" s="2769">
        <f>인력계획!L100*10^6</f>
        <v>0</v>
      </c>
      <c r="M296" s="2769">
        <f>인력계획!M100*10^6</f>
        <v>0</v>
      </c>
      <c r="N296" s="2769">
        <f>인력계획!N100*10^6</f>
        <v>0</v>
      </c>
      <c r="O296" s="2769">
        <f>인력계획!O100*10^6</f>
        <v>0</v>
      </c>
      <c r="P296" s="2769">
        <f>인력계획!P100*10^6</f>
        <v>0</v>
      </c>
      <c r="Q296" s="2769">
        <f>인력계획!Q100*10^6</f>
        <v>0</v>
      </c>
      <c r="R296" s="2769">
        <f>인력계획!R100*10^6</f>
        <v>0</v>
      </c>
      <c r="S296" s="2769">
        <f>인력계획!S100*10^6</f>
        <v>0</v>
      </c>
      <c r="T296" s="2769">
        <f>인력계획!T100*10^6</f>
        <v>0</v>
      </c>
      <c r="U296" s="2769">
        <f>인력계획!U100*10^6</f>
        <v>0</v>
      </c>
      <c r="V296" s="2769">
        <f>인력계획!V100*10^6</f>
        <v>0</v>
      </c>
      <c r="W296" s="2769">
        <f>인력계획!W100*10^6</f>
        <v>0</v>
      </c>
      <c r="X296" s="2769">
        <f>인력계획!X100*10^6</f>
        <v>0</v>
      </c>
      <c r="Y296" s="2769">
        <f>인력계획!Y100*10^6</f>
        <v>0</v>
      </c>
      <c r="Z296" s="2769">
        <f>인력계획!Z100*10^6</f>
        <v>82621527.391818747</v>
      </c>
      <c r="AA296" s="2769">
        <f>인력계획!AA100*10^6</f>
        <v>165243054.78363749</v>
      </c>
      <c r="AB296" s="2769">
        <f>인력계획!AB100*10^6</f>
        <v>165243054.78363749</v>
      </c>
      <c r="AC296" s="2769">
        <f>인력계획!AC100*10^6</f>
        <v>173505207.52281937</v>
      </c>
      <c r="AD296" s="2769">
        <f>인력계획!AD100*10^6</f>
        <v>173505207.52281937</v>
      </c>
      <c r="AE296" s="2769">
        <f>인력계획!AE100*10^6</f>
        <v>86752603.761409685</v>
      </c>
      <c r="AF296" s="2769">
        <f>인력계획!AF100*10^6</f>
        <v>0</v>
      </c>
      <c r="AG296" s="2769">
        <f>인력계획!AG100*10^6</f>
        <v>0</v>
      </c>
      <c r="AH296" s="2769">
        <f>인력계획!AH100*10^6</f>
        <v>91090233.949480176</v>
      </c>
      <c r="AI296" s="2769">
        <f>인력계획!AI100*10^6</f>
        <v>95644745.646954194</v>
      </c>
      <c r="AJ296" s="2769">
        <f>인력계획!AJ100*10^6</f>
        <v>95644745.646954194</v>
      </c>
      <c r="AK296" s="2769">
        <f>인력계획!AK100*10^6</f>
        <v>95644745.646954194</v>
      </c>
      <c r="AL296" s="2769">
        <f>인력계획!AL100*10^6</f>
        <v>100426982.9293019</v>
      </c>
      <c r="AM296" s="2769">
        <f>인력계획!AM100*10^6</f>
        <v>0</v>
      </c>
      <c r="AN296" s="2769">
        <f>인력계획!AN100*10^6</f>
        <v>0</v>
      </c>
      <c r="AO296" s="2769">
        <f>인력계획!AO100*10^6</f>
        <v>0</v>
      </c>
      <c r="AP296" s="2769">
        <f>인력계획!AP100*10^6</f>
        <v>0</v>
      </c>
      <c r="AQ296" s="2769">
        <f>인력계획!AQ100*10^6</f>
        <v>0</v>
      </c>
      <c r="AR296" s="2769">
        <f>인력계획!AR100*10^6</f>
        <v>0</v>
      </c>
      <c r="AS296" s="2769">
        <f>인력계획!AS100*10^6</f>
        <v>0</v>
      </c>
      <c r="AT296" s="2769">
        <f>인력계획!AT100*10^6</f>
        <v>0</v>
      </c>
      <c r="AU296" s="2769">
        <f>인력계획!AU100*10^6</f>
        <v>0</v>
      </c>
      <c r="AV296" s="2694">
        <v>0</v>
      </c>
      <c r="AW296" s="2771"/>
      <c r="AX296" s="3086"/>
      <c r="AY296" s="2760"/>
      <c r="AZ296" s="2760"/>
      <c r="BA296" s="2760"/>
      <c r="BB296" s="2760"/>
      <c r="BC296" s="2760"/>
      <c r="BD296" s="2760"/>
      <c r="BE296" s="2760"/>
      <c r="BF296" s="2760"/>
      <c r="BG296" s="2760"/>
      <c r="BI296" s="2730"/>
      <c r="BJ296" s="2730"/>
    </row>
    <row r="297" spans="1:62" ht="17.25" hidden="1" outlineLevel="1">
      <c r="A297" s="2767" t="s">
        <v>4022</v>
      </c>
      <c r="B297" s="2768"/>
      <c r="C297" s="3087"/>
      <c r="D297" s="3088"/>
      <c r="E297" s="3088"/>
      <c r="F297" s="2769"/>
      <c r="G297" s="2769"/>
      <c r="H297" s="2769">
        <f>인력계획!H101*10^6</f>
        <v>0</v>
      </c>
      <c r="I297" s="2769">
        <f>인력계획!I101*10^6</f>
        <v>0</v>
      </c>
      <c r="J297" s="2769">
        <f>인력계획!J101*10^6</f>
        <v>0</v>
      </c>
      <c r="K297" s="2769">
        <f>인력계획!K101*10^6</f>
        <v>0</v>
      </c>
      <c r="L297" s="2769">
        <f>인력계획!L101*10^6</f>
        <v>0</v>
      </c>
      <c r="M297" s="2769">
        <f>인력계획!M101*10^6</f>
        <v>0</v>
      </c>
      <c r="N297" s="2769">
        <f>인력계획!N101*10^6</f>
        <v>0</v>
      </c>
      <c r="O297" s="2769">
        <f>인력계획!O101*10^6</f>
        <v>0</v>
      </c>
      <c r="P297" s="2769">
        <f>인력계획!P101*10^6</f>
        <v>0</v>
      </c>
      <c r="Q297" s="2769">
        <f>인력계획!Q101*10^6</f>
        <v>0</v>
      </c>
      <c r="R297" s="2769">
        <f>인력계획!R101*10^6</f>
        <v>0</v>
      </c>
      <c r="S297" s="2769">
        <f>인력계획!S101*10^6</f>
        <v>0</v>
      </c>
      <c r="T297" s="2769">
        <f>인력계획!T101*10^6</f>
        <v>0</v>
      </c>
      <c r="U297" s="2769">
        <f>인력계획!U101*10^6</f>
        <v>0</v>
      </c>
      <c r="V297" s="2769">
        <f>인력계획!V101*10^6</f>
        <v>62184388.831590295</v>
      </c>
      <c r="W297" s="2769">
        <f>인력계획!W101*10^6</f>
        <v>130587216.54633962</v>
      </c>
      <c r="X297" s="2769">
        <f>인력계획!X101*10^6</f>
        <v>130587216.54633962</v>
      </c>
      <c r="Y297" s="2769">
        <f>인력계획!Y101*10^6</f>
        <v>130587216.54633962</v>
      </c>
      <c r="Z297" s="2769">
        <f>인력계획!Z101*10^6</f>
        <v>68558288.6868283</v>
      </c>
      <c r="AA297" s="2769">
        <f>인력계획!AA101*10^6</f>
        <v>0</v>
      </c>
      <c r="AB297" s="2769">
        <f>인력계획!AB101*10^6</f>
        <v>0</v>
      </c>
      <c r="AC297" s="2769">
        <f>인력계획!AC101*10^6</f>
        <v>0</v>
      </c>
      <c r="AD297" s="2769">
        <f>인력계획!AD101*10^6</f>
        <v>71986203.121169716</v>
      </c>
      <c r="AE297" s="2769">
        <f>인력계획!AE101*10^6</f>
        <v>71986203.121169716</v>
      </c>
      <c r="AF297" s="2769">
        <f>인력계획!AF101*10^6</f>
        <v>75585513.277228221</v>
      </c>
      <c r="AG297" s="2769">
        <f>인력계획!AG101*10^6</f>
        <v>75585513.277228221</v>
      </c>
      <c r="AH297" s="2769">
        <f>인력계획!AH101*10^6</f>
        <v>0</v>
      </c>
      <c r="AI297" s="2769">
        <f>인력계획!AI101*10^6</f>
        <v>0</v>
      </c>
      <c r="AJ297" s="2769">
        <f>인력계획!AJ101*10^6</f>
        <v>0</v>
      </c>
      <c r="AK297" s="2769">
        <f>인력계획!AK101*10^6</f>
        <v>0</v>
      </c>
      <c r="AL297" s="2769">
        <f>인력계획!AL101*10^6</f>
        <v>0</v>
      </c>
      <c r="AM297" s="2769">
        <f>인력계획!AM101*10^6</f>
        <v>0</v>
      </c>
      <c r="AN297" s="2769">
        <f>인력계획!AN101*10^6</f>
        <v>0</v>
      </c>
      <c r="AO297" s="2769">
        <f>인력계획!AO101*10^6</f>
        <v>0</v>
      </c>
      <c r="AP297" s="2769">
        <f>인력계획!AP101*10^6</f>
        <v>0</v>
      </c>
      <c r="AQ297" s="2769">
        <f>인력계획!AQ101*10^6</f>
        <v>0</v>
      </c>
      <c r="AR297" s="2769">
        <f>인력계획!AR101*10^6</f>
        <v>0</v>
      </c>
      <c r="AS297" s="2769">
        <f>인력계획!AS101*10^6</f>
        <v>0</v>
      </c>
      <c r="AT297" s="2769">
        <f>인력계획!AT101*10^6</f>
        <v>0</v>
      </c>
      <c r="AU297" s="2769">
        <f>인력계획!AU101*10^6</f>
        <v>0</v>
      </c>
      <c r="AV297" s="2694">
        <v>0</v>
      </c>
      <c r="AW297" s="2771"/>
      <c r="AX297" s="3086"/>
      <c r="AY297" s="2760"/>
      <c r="AZ297" s="2760"/>
      <c r="BA297" s="2760"/>
      <c r="BB297" s="2760"/>
      <c r="BC297" s="2760"/>
      <c r="BD297" s="2760"/>
      <c r="BE297" s="2760"/>
      <c r="BF297" s="2760"/>
      <c r="BG297" s="2760"/>
      <c r="BI297" s="2730"/>
      <c r="BJ297" s="2730"/>
    </row>
    <row r="298" spans="1:62" ht="17.25" hidden="1" outlineLevel="1">
      <c r="A298" s="2767" t="s">
        <v>4023</v>
      </c>
      <c r="B298" s="2768"/>
      <c r="C298" s="3087"/>
      <c r="D298" s="3088"/>
      <c r="E298" s="3088"/>
      <c r="F298" s="2769"/>
      <c r="G298" s="2769"/>
      <c r="H298" s="2769">
        <f>인력계획!H102*10^6</f>
        <v>0</v>
      </c>
      <c r="I298" s="2769">
        <f>인력계획!I102*10^6</f>
        <v>0</v>
      </c>
      <c r="J298" s="2769">
        <f>인력계획!J102*10^6</f>
        <v>0</v>
      </c>
      <c r="K298" s="2769">
        <f>인력계획!K102*10^6</f>
        <v>0</v>
      </c>
      <c r="L298" s="2769">
        <f>인력계획!L102*10^6</f>
        <v>0</v>
      </c>
      <c r="M298" s="2769">
        <f>인력계획!M102*10^6</f>
        <v>0</v>
      </c>
      <c r="N298" s="2769">
        <f>인력계획!N102*10^6</f>
        <v>0</v>
      </c>
      <c r="O298" s="2769">
        <f>인력계획!O102*10^6</f>
        <v>0</v>
      </c>
      <c r="P298" s="2769">
        <f>인력계획!P102*10^6</f>
        <v>0</v>
      </c>
      <c r="Q298" s="2769">
        <f>인력계획!Q102*10^6</f>
        <v>0</v>
      </c>
      <c r="R298" s="2769">
        <f>인력계획!R102*10^6</f>
        <v>40241423.786010817</v>
      </c>
      <c r="S298" s="2769">
        <f>인력계획!S102*10^6</f>
        <v>80482847.572021633</v>
      </c>
      <c r="T298" s="2769">
        <f>인력계획!T102*10^6</f>
        <v>84506989.950622723</v>
      </c>
      <c r="U298" s="2769">
        <f>인력계획!U102*10^6</f>
        <v>84506989.950622723</v>
      </c>
      <c r="V298" s="2769">
        <f>인력계획!V102*10^6</f>
        <v>42253494.975311361</v>
      </c>
      <c r="W298" s="2769">
        <f>인력계획!W102*10^6</f>
        <v>0</v>
      </c>
      <c r="X298" s="2769">
        <f>인력계획!X102*10^6</f>
        <v>0</v>
      </c>
      <c r="Y298" s="2769">
        <f>인력계획!Y102*10^6</f>
        <v>0</v>
      </c>
      <c r="Z298" s="2769">
        <f>인력계획!Z102*10^6</f>
        <v>46584478.210280776</v>
      </c>
      <c r="AA298" s="2769">
        <f>인력계획!AA102*10^6</f>
        <v>46584478.210280776</v>
      </c>
      <c r="AB298" s="2769">
        <f>인력계획!AB102*10^6</f>
        <v>46584478.210280776</v>
      </c>
      <c r="AC298" s="2769">
        <f>인력계획!AC102*10^6</f>
        <v>48913702.120794818</v>
      </c>
      <c r="AD298" s="2769">
        <f>인력계획!AD102*10^6</f>
        <v>0</v>
      </c>
      <c r="AE298" s="2769">
        <f>인력계획!AE102*10^6</f>
        <v>0</v>
      </c>
      <c r="AF298" s="2769">
        <f>인력계획!AF102*10^6</f>
        <v>0</v>
      </c>
      <c r="AG298" s="2769">
        <f>인력계획!AG102*10^6</f>
        <v>0</v>
      </c>
      <c r="AH298" s="2769">
        <f>인력계획!AH102*10^6</f>
        <v>0</v>
      </c>
      <c r="AI298" s="2769">
        <f>인력계획!AI102*10^6</f>
        <v>0</v>
      </c>
      <c r="AJ298" s="2769">
        <f>인력계획!AJ102*10^6</f>
        <v>0</v>
      </c>
      <c r="AK298" s="2769">
        <f>인력계획!AK102*10^6</f>
        <v>0</v>
      </c>
      <c r="AL298" s="2769">
        <f>인력계획!AL102*10^6</f>
        <v>0</v>
      </c>
      <c r="AM298" s="2769">
        <f>인력계획!AM102*10^6</f>
        <v>0</v>
      </c>
      <c r="AN298" s="2769">
        <f>인력계획!AN102*10^6</f>
        <v>0</v>
      </c>
      <c r="AO298" s="2769">
        <f>인력계획!AO102*10^6</f>
        <v>0</v>
      </c>
      <c r="AP298" s="2769">
        <f>인력계획!AP102*10^6</f>
        <v>0</v>
      </c>
      <c r="AQ298" s="2769">
        <f>인력계획!AQ102*10^6</f>
        <v>0</v>
      </c>
      <c r="AR298" s="2769">
        <f>인력계획!AR102*10^6</f>
        <v>0</v>
      </c>
      <c r="AS298" s="2769">
        <f>인력계획!AS102*10^6</f>
        <v>0</v>
      </c>
      <c r="AT298" s="2769">
        <f>인력계획!AT102*10^6</f>
        <v>0</v>
      </c>
      <c r="AU298" s="2769">
        <f>인력계획!AU102*10^6</f>
        <v>0</v>
      </c>
      <c r="AV298" s="2694">
        <v>0</v>
      </c>
      <c r="AW298" s="2771"/>
      <c r="AX298" s="3086"/>
      <c r="AY298" s="2760"/>
      <c r="AZ298" s="2760"/>
      <c r="BA298" s="2760"/>
      <c r="BB298" s="2760"/>
      <c r="BC298" s="2760"/>
      <c r="BD298" s="2760"/>
      <c r="BE298" s="2760"/>
      <c r="BF298" s="2760"/>
      <c r="BG298" s="2760"/>
      <c r="BI298" s="2730"/>
      <c r="BJ298" s="2730"/>
    </row>
    <row r="299" spans="1:62" ht="17.25" hidden="1" outlineLevel="1">
      <c r="A299" s="2767" t="s">
        <v>4255</v>
      </c>
      <c r="B299" s="2768"/>
      <c r="C299" s="2787">
        <v>0.01</v>
      </c>
      <c r="D299" s="2764"/>
      <c r="E299" s="2764"/>
      <c r="F299" s="2769"/>
      <c r="G299" s="2770">
        <v>4453000</v>
      </c>
      <c r="H299" s="2770">
        <f t="shared" ref="H299:AU299" si="222">G299+(G299*$C$24)</f>
        <v>4453000</v>
      </c>
      <c r="I299" s="2770">
        <f t="shared" si="222"/>
        <v>4453000</v>
      </c>
      <c r="J299" s="2770">
        <f t="shared" si="222"/>
        <v>4453000</v>
      </c>
      <c r="K299" s="2770">
        <f t="shared" si="222"/>
        <v>4453000</v>
      </c>
      <c r="L299" s="2770">
        <f t="shared" si="222"/>
        <v>4453000</v>
      </c>
      <c r="M299" s="2770">
        <f t="shared" si="222"/>
        <v>4453000</v>
      </c>
      <c r="N299" s="2770">
        <f t="shared" si="222"/>
        <v>4453000</v>
      </c>
      <c r="O299" s="2770">
        <f t="shared" si="222"/>
        <v>4453000</v>
      </c>
      <c r="P299" s="2770">
        <f t="shared" si="222"/>
        <v>4453000</v>
      </c>
      <c r="Q299" s="2770">
        <f t="shared" si="222"/>
        <v>4453000</v>
      </c>
      <c r="R299" s="2770">
        <f t="shared" si="222"/>
        <v>4453000</v>
      </c>
      <c r="S299" s="2770">
        <f t="shared" si="222"/>
        <v>4453000</v>
      </c>
      <c r="T299" s="2770">
        <f t="shared" si="222"/>
        <v>4453000</v>
      </c>
      <c r="U299" s="2770">
        <f t="shared" si="222"/>
        <v>4453000</v>
      </c>
      <c r="V299" s="2770">
        <f t="shared" si="222"/>
        <v>4453000</v>
      </c>
      <c r="W299" s="2770">
        <f t="shared" si="222"/>
        <v>4453000</v>
      </c>
      <c r="X299" s="2770">
        <f t="shared" si="222"/>
        <v>4453000</v>
      </c>
      <c r="Y299" s="2770">
        <f t="shared" si="222"/>
        <v>4453000</v>
      </c>
      <c r="Z299" s="2770">
        <f t="shared" si="222"/>
        <v>4453000</v>
      </c>
      <c r="AA299" s="2770">
        <f t="shared" si="222"/>
        <v>4453000</v>
      </c>
      <c r="AB299" s="2770">
        <f t="shared" si="222"/>
        <v>4453000</v>
      </c>
      <c r="AC299" s="2770">
        <f t="shared" si="222"/>
        <v>4453000</v>
      </c>
      <c r="AD299" s="2770">
        <f t="shared" si="222"/>
        <v>4453000</v>
      </c>
      <c r="AE299" s="2770">
        <f t="shared" si="222"/>
        <v>4453000</v>
      </c>
      <c r="AF299" s="2770">
        <f t="shared" si="222"/>
        <v>4453000</v>
      </c>
      <c r="AG299" s="2770">
        <f t="shared" si="222"/>
        <v>4453000</v>
      </c>
      <c r="AH299" s="2770">
        <f t="shared" si="222"/>
        <v>4453000</v>
      </c>
      <c r="AI299" s="2770">
        <f t="shared" si="222"/>
        <v>4453000</v>
      </c>
      <c r="AJ299" s="2770">
        <f t="shared" si="222"/>
        <v>4453000</v>
      </c>
      <c r="AK299" s="2770">
        <f t="shared" si="222"/>
        <v>4453000</v>
      </c>
      <c r="AL299" s="2770">
        <f t="shared" si="222"/>
        <v>4453000</v>
      </c>
      <c r="AM299" s="2770">
        <f t="shared" si="222"/>
        <v>4453000</v>
      </c>
      <c r="AN299" s="2770">
        <f t="shared" si="222"/>
        <v>4453000</v>
      </c>
      <c r="AO299" s="2770">
        <f t="shared" si="222"/>
        <v>4453000</v>
      </c>
      <c r="AP299" s="2770">
        <f t="shared" si="222"/>
        <v>4453000</v>
      </c>
      <c r="AQ299" s="2770">
        <f t="shared" si="222"/>
        <v>4453000</v>
      </c>
      <c r="AR299" s="2770">
        <f t="shared" si="222"/>
        <v>4453000</v>
      </c>
      <c r="AS299" s="2770">
        <f t="shared" si="222"/>
        <v>4453000</v>
      </c>
      <c r="AT299" s="2770">
        <f t="shared" si="222"/>
        <v>4453000</v>
      </c>
      <c r="AU299" s="2770">
        <f t="shared" si="222"/>
        <v>4453000</v>
      </c>
      <c r="AV299" s="2694">
        <v>0</v>
      </c>
      <c r="AW299" s="2771"/>
      <c r="AX299" s="3086"/>
      <c r="AY299" s="2760"/>
      <c r="AZ299" s="2760"/>
      <c r="BA299" s="2760"/>
      <c r="BB299" s="2760"/>
      <c r="BC299" s="2760"/>
      <c r="BD299" s="2760"/>
      <c r="BE299" s="2760"/>
      <c r="BF299" s="2760"/>
      <c r="BG299" s="2760"/>
      <c r="BI299" s="2730"/>
      <c r="BJ299" s="2730"/>
    </row>
    <row r="300" spans="1:62" ht="17.25" hidden="1" outlineLevel="1">
      <c r="A300" s="2773" t="s">
        <v>4127</v>
      </c>
      <c r="B300" s="2762"/>
      <c r="C300" s="3087"/>
      <c r="D300" s="3088">
        <v>1</v>
      </c>
      <c r="E300" s="3088"/>
      <c r="F300" s="2765">
        <v>39073264</v>
      </c>
      <c r="G300" s="2766">
        <v>18220134</v>
      </c>
      <c r="H300" s="2766">
        <f t="shared" ref="H300:AU300" si="223">H293/12</f>
        <v>18362450.837911457</v>
      </c>
      <c r="I300" s="2766">
        <f t="shared" si="223"/>
        <v>18362450.837911457</v>
      </c>
      <c r="J300" s="2766">
        <f t="shared" si="223"/>
        <v>18362450.837911457</v>
      </c>
      <c r="K300" s="2766">
        <f t="shared" si="223"/>
        <v>19931571.370905679</v>
      </c>
      <c r="L300" s="2766">
        <f t="shared" si="223"/>
        <v>19931571.370905679</v>
      </c>
      <c r="M300" s="2766">
        <f t="shared" si="223"/>
        <v>20601123.528670993</v>
      </c>
      <c r="N300" s="2766">
        <f t="shared" si="223"/>
        <v>21612625.538437877</v>
      </c>
      <c r="O300" s="2766">
        <f t="shared" si="223"/>
        <v>21612625.538437877</v>
      </c>
      <c r="P300" s="2766">
        <f t="shared" si="223"/>
        <v>21612625.538437877</v>
      </c>
      <c r="Q300" s="2766">
        <f t="shared" si="223"/>
        <v>22674702.648693103</v>
      </c>
      <c r="R300" s="2766">
        <f t="shared" si="223"/>
        <v>18593614.859074082</v>
      </c>
      <c r="S300" s="2766">
        <f t="shared" si="223"/>
        <v>14512527.069455059</v>
      </c>
      <c r="T300" s="2766">
        <f t="shared" si="223"/>
        <v>15219599.256261148</v>
      </c>
      <c r="U300" s="2766">
        <f t="shared" si="223"/>
        <v>15219599.256261148</v>
      </c>
      <c r="V300" s="2766">
        <f t="shared" si="223"/>
        <v>16880507.077617727</v>
      </c>
      <c r="W300" s="2766">
        <f t="shared" si="223"/>
        <v>19449931.477256354</v>
      </c>
      <c r="X300" s="2766">
        <f t="shared" si="223"/>
        <v>19449931.477256354</v>
      </c>
      <c r="Y300" s="2766">
        <f t="shared" si="223"/>
        <v>19449931.477256354</v>
      </c>
      <c r="Z300" s="2766">
        <f t="shared" si="223"/>
        <v>16851441.190743987</v>
      </c>
      <c r="AA300" s="2766">
        <f t="shared" si="223"/>
        <v>18023377.749493189</v>
      </c>
      <c r="AB300" s="2766">
        <f t="shared" si="223"/>
        <v>18023377.749493189</v>
      </c>
      <c r="AC300" s="2766">
        <f t="shared" si="223"/>
        <v>18905992.470301181</v>
      </c>
      <c r="AD300" s="2766">
        <f t="shared" si="223"/>
        <v>20828700.886999089</v>
      </c>
      <c r="AE300" s="2766">
        <f t="shared" si="223"/>
        <v>21738782.870902766</v>
      </c>
      <c r="AF300" s="2766">
        <f t="shared" si="223"/>
        <v>23762753.9308801</v>
      </c>
      <c r="AG300" s="2766">
        <f t="shared" si="223"/>
        <v>23762753.9308801</v>
      </c>
      <c r="AH300" s="2766">
        <f t="shared" si="223"/>
        <v>25054813.986901093</v>
      </c>
      <c r="AI300" s="2766">
        <f t="shared" si="223"/>
        <v>26289000.519579485</v>
      </c>
      <c r="AJ300" s="2766">
        <f t="shared" si="223"/>
        <v>27278233.999970559</v>
      </c>
      <c r="AK300" s="2766">
        <f t="shared" si="223"/>
        <v>28267467.48036164</v>
      </c>
      <c r="AL300" s="2766">
        <f t="shared" si="223"/>
        <v>29662286.687713057</v>
      </c>
      <c r="AM300" s="2766">
        <f t="shared" si="223"/>
        <v>30715820.344329547</v>
      </c>
      <c r="AN300" s="2766">
        <f t="shared" si="223"/>
        <v>30715820.344329547</v>
      </c>
      <c r="AO300" s="2766">
        <f t="shared" si="223"/>
        <v>32233057.194879364</v>
      </c>
      <c r="AP300" s="2766">
        <f t="shared" si="223"/>
        <v>32233057.194879364</v>
      </c>
      <c r="AQ300" s="2766">
        <f t="shared" si="223"/>
        <v>32233057.194879364</v>
      </c>
      <c r="AR300" s="2766">
        <f t="shared" si="223"/>
        <v>34971317.295694388</v>
      </c>
      <c r="AS300" s="2766">
        <f t="shared" si="223"/>
        <v>34971317.295694388</v>
      </c>
      <c r="AT300" s="2766">
        <f t="shared" si="223"/>
        <v>34971317.295694388</v>
      </c>
      <c r="AU300" s="2766">
        <f t="shared" si="223"/>
        <v>36701328.993812442</v>
      </c>
      <c r="AV300" s="2694">
        <v>0</v>
      </c>
      <c r="AW300" s="2771"/>
      <c r="AX300" s="3086"/>
      <c r="AY300" s="2774"/>
      <c r="AZ300" s="2774"/>
      <c r="BA300" s="2774"/>
      <c r="BB300" s="2774"/>
      <c r="BC300" s="2774"/>
      <c r="BD300" s="2774"/>
      <c r="BE300" s="2774"/>
      <c r="BF300" s="2774"/>
      <c r="BG300" s="2774"/>
      <c r="BI300" s="2730"/>
      <c r="BJ300" s="2730"/>
    </row>
    <row r="301" spans="1:62" ht="17.25" collapsed="1">
      <c r="A301" s="2752" t="s">
        <v>4030</v>
      </c>
      <c r="B301" s="2788"/>
      <c r="C301" s="3084"/>
      <c r="D301" s="3085"/>
      <c r="E301" s="3085"/>
      <c r="F301" s="2757">
        <f>F302+F322+F329+F330+F331+F335+F336+F341+F344+F352</f>
        <v>4780889113</v>
      </c>
      <c r="G301" s="2757">
        <f t="shared" ref="G301:AU301" si="224">G302+G322+G329+G330+G331+G335+G336+G341+G344+G352</f>
        <v>4832926460.3223162</v>
      </c>
      <c r="H301" s="2757">
        <f t="shared" ca="1" si="224"/>
        <v>5104923157.2076416</v>
      </c>
      <c r="I301" s="2757">
        <f t="shared" ca="1" si="224"/>
        <v>4385157392.9040127</v>
      </c>
      <c r="J301" s="2757">
        <f t="shared" ca="1" si="224"/>
        <v>4473241975.7543669</v>
      </c>
      <c r="K301" s="2757">
        <f t="shared" ca="1" si="224"/>
        <v>4600131653.2263718</v>
      </c>
      <c r="L301" s="2757">
        <f t="shared" ca="1" si="224"/>
        <v>4906088833.8542032</v>
      </c>
      <c r="M301" s="2757">
        <f t="shared" ca="1" si="224"/>
        <v>5031768498.5448742</v>
      </c>
      <c r="N301" s="2757">
        <f t="shared" ca="1" si="224"/>
        <v>5160758501.6295443</v>
      </c>
      <c r="O301" s="2757">
        <f t="shared" ca="1" si="224"/>
        <v>5291889698.8009043</v>
      </c>
      <c r="P301" s="2757">
        <f t="shared" ca="1" si="224"/>
        <v>5426143813.5532646</v>
      </c>
      <c r="Q301" s="2757">
        <f t="shared" ca="1" si="224"/>
        <v>5564236953.2249308</v>
      </c>
      <c r="R301" s="2757">
        <f t="shared" ca="1" si="224"/>
        <v>5702789520.1293287</v>
      </c>
      <c r="S301" s="2757">
        <f t="shared" ca="1" si="224"/>
        <v>5916796679.8586168</v>
      </c>
      <c r="T301" s="2757">
        <f t="shared" ca="1" si="224"/>
        <v>6137413766.7176609</v>
      </c>
      <c r="U301" s="2757">
        <f t="shared" ca="1" si="224"/>
        <v>6579351732.8015156</v>
      </c>
      <c r="V301" s="2757">
        <f t="shared" ca="1" si="224"/>
        <v>6713933609.0014849</v>
      </c>
      <c r="W301" s="2757">
        <f t="shared" ca="1" si="224"/>
        <v>6880660182.7250481</v>
      </c>
      <c r="X301" s="2757">
        <f t="shared" ca="1" si="224"/>
        <v>7020458892.3865099</v>
      </c>
      <c r="Y301" s="2757">
        <f t="shared" ca="1" si="224"/>
        <v>7163462816.4956722</v>
      </c>
      <c r="Z301" s="2757">
        <f t="shared" ca="1" si="224"/>
        <v>7338329817.1988106</v>
      </c>
      <c r="AA301" s="2757">
        <f t="shared" ca="1" si="224"/>
        <v>7488987730.3638306</v>
      </c>
      <c r="AB301" s="2757">
        <f t="shared" ca="1" si="224"/>
        <v>7673203884.0183201</v>
      </c>
      <c r="AC301" s="2757">
        <f t="shared" ca="1" si="224"/>
        <v>7831006680.9297686</v>
      </c>
      <c r="AD301" s="2757">
        <f t="shared" ca="1" si="224"/>
        <v>7993337587.7149</v>
      </c>
      <c r="AE301" s="2757">
        <f t="shared" ca="1" si="224"/>
        <v>7988521534.1857271</v>
      </c>
      <c r="AF301" s="2757">
        <f t="shared" ca="1" si="224"/>
        <v>8156450110.6949368</v>
      </c>
      <c r="AG301" s="2757">
        <f t="shared" ca="1" si="224"/>
        <v>8360070260.2389631</v>
      </c>
      <c r="AH301" s="2757">
        <f t="shared" ca="1" si="224"/>
        <v>8536079294.1638279</v>
      </c>
      <c r="AI301" s="2757">
        <f t="shared" ca="1" si="224"/>
        <v>8715821399.981348</v>
      </c>
      <c r="AJ301" s="2757">
        <f t="shared" ca="1" si="224"/>
        <v>8934186807.0944595</v>
      </c>
      <c r="AK301" s="2757">
        <f t="shared" ca="1" si="224"/>
        <v>9122789006.0140533</v>
      </c>
      <c r="AL301" s="2757">
        <f t="shared" ca="1" si="224"/>
        <v>9928786645.5661106</v>
      </c>
      <c r="AM301" s="2757">
        <f t="shared" ca="1" si="224"/>
        <v>10140947170.35923</v>
      </c>
      <c r="AN301" s="2757">
        <f t="shared" ca="1" si="224"/>
        <v>10357447614.236917</v>
      </c>
      <c r="AO301" s="2757">
        <f t="shared" ca="1" si="224"/>
        <v>10614980962.470188</v>
      </c>
      <c r="AP301" s="2757">
        <f t="shared" ca="1" si="224"/>
        <v>10842444222.41548</v>
      </c>
      <c r="AQ301" s="2757">
        <f t="shared" ca="1" si="224"/>
        <v>11111021408.762959</v>
      </c>
      <c r="AR301" s="2757">
        <f t="shared" ca="1" si="224"/>
        <v>11351171922.236242</v>
      </c>
      <c r="AS301" s="2757">
        <f t="shared" ca="1" si="224"/>
        <v>11595131819.286283</v>
      </c>
      <c r="AT301" s="2757">
        <f t="shared" ca="1" si="224"/>
        <v>11882709416.258291</v>
      </c>
      <c r="AU301" s="2757">
        <f t="shared" ca="1" si="224"/>
        <v>12139717612.124779</v>
      </c>
      <c r="AV301" s="2694">
        <v>0</v>
      </c>
      <c r="AW301" s="2758"/>
      <c r="AX301" s="3086"/>
      <c r="AY301" s="2760"/>
      <c r="AZ301" s="2760"/>
      <c r="BA301" s="2760"/>
      <c r="BB301" s="2760"/>
      <c r="BC301" s="2760"/>
      <c r="BD301" s="2760"/>
      <c r="BE301" s="2760"/>
      <c r="BF301" s="2760"/>
      <c r="BG301" s="2760"/>
      <c r="BI301" s="2730"/>
      <c r="BJ301" s="2730"/>
    </row>
    <row r="302" spans="1:62" ht="17.25" outlineLevel="1">
      <c r="A302" s="3089" t="s">
        <v>4031</v>
      </c>
      <c r="B302" s="3090" t="s">
        <v>4340</v>
      </c>
      <c r="C302" s="3091">
        <v>0.01</v>
      </c>
      <c r="D302" s="3092">
        <v>1</v>
      </c>
      <c r="E302" s="3093"/>
      <c r="F302" s="3094">
        <f>SUM(F303,F309:F313,F317)</f>
        <v>23507010</v>
      </c>
      <c r="G302" s="3094">
        <f t="shared" ref="G302:AU302" si="225">SUM(G303,G309:G313,G317)</f>
        <v>23789750</v>
      </c>
      <c r="H302" s="3094">
        <f t="shared" si="225"/>
        <v>31009162.35945395</v>
      </c>
      <c r="I302" s="3094">
        <f t="shared" si="225"/>
        <v>31197556.145453949</v>
      </c>
      <c r="J302" s="3094">
        <f t="shared" si="225"/>
        <v>31686833.869313948</v>
      </c>
      <c r="K302" s="3094">
        <f t="shared" si="225"/>
        <v>42932233.448601082</v>
      </c>
      <c r="L302" s="3094">
        <f t="shared" si="225"/>
        <v>43124671.967775807</v>
      </c>
      <c r="M302" s="3094">
        <f t="shared" si="225"/>
        <v>43849383.070053488</v>
      </c>
      <c r="N302" s="3094">
        <f t="shared" si="225"/>
        <v>44937228.96765022</v>
      </c>
      <c r="O302" s="3094">
        <f t="shared" si="225"/>
        <v>45133876.180111766</v>
      </c>
      <c r="P302" s="3094">
        <f t="shared" si="225"/>
        <v>45331489.864697926</v>
      </c>
      <c r="Q302" s="3094">
        <f t="shared" si="225"/>
        <v>46151843.053770259</v>
      </c>
      <c r="R302" s="3094">
        <f t="shared" si="225"/>
        <v>44115772.706822</v>
      </c>
      <c r="S302" s="3094">
        <f t="shared" si="225"/>
        <v>41777768.371991873</v>
      </c>
      <c r="T302" s="3094">
        <f t="shared" si="225"/>
        <v>42390322.175828561</v>
      </c>
      <c r="U302" s="3094">
        <f t="shared" si="225"/>
        <v>42589926.506401494</v>
      </c>
      <c r="V302" s="3094">
        <f t="shared" si="225"/>
        <v>44062858.955207013</v>
      </c>
      <c r="W302" s="3094">
        <f t="shared" si="225"/>
        <v>45768663.052736312</v>
      </c>
      <c r="X302" s="3094">
        <f t="shared" si="225"/>
        <v>45971285.494129941</v>
      </c>
      <c r="Y302" s="3094">
        <f t="shared" si="225"/>
        <v>46174934.159937486</v>
      </c>
      <c r="Z302" s="3094">
        <f t="shared" si="225"/>
        <v>44999781.07598681</v>
      </c>
      <c r="AA302" s="3094">
        <f t="shared" si="225"/>
        <v>45890004.344993562</v>
      </c>
      <c r="AB302" s="3094">
        <f t="shared" si="225"/>
        <v>46095191.559501298</v>
      </c>
      <c r="AC302" s="3094">
        <f t="shared" si="225"/>
        <v>46818132.772430629</v>
      </c>
      <c r="AD302" s="3094">
        <f t="shared" si="225"/>
        <v>48451030.168187179</v>
      </c>
      <c r="AE302" s="3094">
        <f t="shared" si="225"/>
        <v>49192186.728447333</v>
      </c>
      <c r="AF302" s="3094">
        <f t="shared" si="225"/>
        <v>50586522.268929183</v>
      </c>
      <c r="AG302" s="3094">
        <f t="shared" si="225"/>
        <v>50797075.088518843</v>
      </c>
      <c r="AH302" s="3094">
        <f t="shared" si="225"/>
        <v>52065133.89335981</v>
      </c>
      <c r="AI302" s="3094">
        <f t="shared" si="225"/>
        <v>53000428.84453968</v>
      </c>
      <c r="AJ302" s="3094">
        <f t="shared" si="225"/>
        <v>53968670.984042048</v>
      </c>
      <c r="AK302" s="3094">
        <f t="shared" si="225"/>
        <v>54941556.557530046</v>
      </c>
      <c r="AL302" s="3094">
        <f t="shared" si="225"/>
        <v>56277846.064142928</v>
      </c>
      <c r="AM302" s="3094">
        <f t="shared" si="225"/>
        <v>57115536.797035977</v>
      </c>
      <c r="AN302" s="3094">
        <f t="shared" si="225"/>
        <v>57337674.977414981</v>
      </c>
      <c r="AO302" s="3094">
        <f t="shared" si="225"/>
        <v>58449258.45912008</v>
      </c>
      <c r="AP302" s="3094">
        <f t="shared" si="225"/>
        <v>58973851.616924703</v>
      </c>
      <c r="AQ302" s="3094">
        <f t="shared" si="225"/>
        <v>59199690.706307374</v>
      </c>
      <c r="AR302" s="3094">
        <f t="shared" si="225"/>
        <v>61219564.590840712</v>
      </c>
      <c r="AS302" s="3094">
        <f t="shared" si="225"/>
        <v>61449830.431326956</v>
      </c>
      <c r="AT302" s="3094">
        <f t="shared" si="225"/>
        <v>61981398.930218056</v>
      </c>
      <c r="AU302" s="3094">
        <f t="shared" si="225"/>
        <v>63227070.12277443</v>
      </c>
      <c r="AV302" s="2694">
        <v>0</v>
      </c>
      <c r="AW302" s="2703"/>
      <c r="AX302" s="2875"/>
      <c r="AY302" s="2760"/>
      <c r="AZ302" s="2760"/>
      <c r="BA302" s="2760"/>
      <c r="BB302" s="2760"/>
      <c r="BC302" s="2760"/>
      <c r="BD302" s="2760"/>
      <c r="BE302" s="2760"/>
      <c r="BF302" s="2760"/>
      <c r="BG302" s="2760"/>
      <c r="BI302" s="2730"/>
      <c r="BJ302" s="2730"/>
    </row>
    <row r="303" spans="1:62" ht="17.25" outlineLevel="1">
      <c r="A303" s="2773" t="s">
        <v>4128</v>
      </c>
      <c r="B303" s="2825"/>
      <c r="C303" s="3087"/>
      <c r="D303" s="3088"/>
      <c r="E303" s="3088"/>
      <c r="F303" s="2765">
        <f t="shared" ref="F303:AU303" si="226">SUM(F304:F308)*(1+$C$302)^(F2-$F$2)</f>
        <v>900000</v>
      </c>
      <c r="G303" s="2765">
        <f t="shared" si="226"/>
        <v>909000</v>
      </c>
      <c r="H303" s="2765">
        <f t="shared" si="226"/>
        <v>1111909</v>
      </c>
      <c r="I303" s="2765">
        <f t="shared" si="226"/>
        <v>1123028.0899999999</v>
      </c>
      <c r="J303" s="2765">
        <f t="shared" si="226"/>
        <v>1134258.3709</v>
      </c>
      <c r="K303" s="2765">
        <f t="shared" si="226"/>
        <v>1282232.2611219999</v>
      </c>
      <c r="L303" s="2765">
        <f t="shared" si="226"/>
        <v>1295054.5837332201</v>
      </c>
      <c r="M303" s="2765">
        <f t="shared" si="226"/>
        <v>1447382.7253444633</v>
      </c>
      <c r="N303" s="2765">
        <f t="shared" si="226"/>
        <v>1461856.5525979083</v>
      </c>
      <c r="O303" s="2765">
        <f t="shared" si="226"/>
        <v>1476475.1181238876</v>
      </c>
      <c r="P303" s="2765">
        <f t="shared" si="226"/>
        <v>1491239.8693051264</v>
      </c>
      <c r="Q303" s="2765">
        <f t="shared" si="226"/>
        <v>1506152.2679981773</v>
      </c>
      <c r="R303" s="2765">
        <f t="shared" si="226"/>
        <v>1374726.5367610031</v>
      </c>
      <c r="S303" s="2765">
        <f t="shared" si="226"/>
        <v>1240521.6756722855</v>
      </c>
      <c r="T303" s="2765">
        <f t="shared" si="226"/>
        <v>1252926.8924290086</v>
      </c>
      <c r="U303" s="2765">
        <f t="shared" si="226"/>
        <v>1265456.1613532982</v>
      </c>
      <c r="V303" s="2765">
        <f t="shared" si="226"/>
        <v>1278110.7229668316</v>
      </c>
      <c r="W303" s="2765">
        <f t="shared" si="226"/>
        <v>1290891.8301965001</v>
      </c>
      <c r="X303" s="2765">
        <f t="shared" si="226"/>
        <v>1303800.7484984652</v>
      </c>
      <c r="Y303" s="2765">
        <f t="shared" si="226"/>
        <v>1316838.7559834495</v>
      </c>
      <c r="Z303" s="2765">
        <f t="shared" si="226"/>
        <v>1171382.4383500484</v>
      </c>
      <c r="AA303" s="2765">
        <f t="shared" si="226"/>
        <v>1183096.2627335486</v>
      </c>
      <c r="AB303" s="2765">
        <f t="shared" si="226"/>
        <v>1194927.2253608846</v>
      </c>
      <c r="AC303" s="2765">
        <f t="shared" si="226"/>
        <v>1206876.4976144931</v>
      </c>
      <c r="AD303" s="2765">
        <f t="shared" si="226"/>
        <v>1218945.2625906384</v>
      </c>
      <c r="AE303" s="2765">
        <f t="shared" si="226"/>
        <v>1231134.7152165449</v>
      </c>
      <c r="AF303" s="2765">
        <f t="shared" si="226"/>
        <v>1243446.0623687103</v>
      </c>
      <c r="AG303" s="2765">
        <f t="shared" si="226"/>
        <v>1255880.522992397</v>
      </c>
      <c r="AH303" s="2765">
        <f t="shared" si="226"/>
        <v>1268439.3282223211</v>
      </c>
      <c r="AI303" s="2765">
        <f t="shared" si="226"/>
        <v>1281123.7215045444</v>
      </c>
      <c r="AJ303" s="2765">
        <f t="shared" si="226"/>
        <v>1469155.3177128679</v>
      </c>
      <c r="AK303" s="2765">
        <f t="shared" si="226"/>
        <v>1660819.4334732066</v>
      </c>
      <c r="AL303" s="2765">
        <f t="shared" si="226"/>
        <v>1677427.627807939</v>
      </c>
      <c r="AM303" s="2765">
        <f t="shared" si="226"/>
        <v>1694201.9040860184</v>
      </c>
      <c r="AN303" s="2765">
        <f t="shared" si="226"/>
        <v>1711143.9231268787</v>
      </c>
      <c r="AO303" s="2765">
        <f t="shared" si="226"/>
        <v>1728255.3623581473</v>
      </c>
      <c r="AP303" s="2765">
        <f t="shared" si="226"/>
        <v>1745537.9159817288</v>
      </c>
      <c r="AQ303" s="2765">
        <f t="shared" si="226"/>
        <v>1762993.2951415461</v>
      </c>
      <c r="AR303" s="2765">
        <f t="shared" si="226"/>
        <v>1970361.7687913922</v>
      </c>
      <c r="AS303" s="2765">
        <f t="shared" si="226"/>
        <v>1990065.3864793056</v>
      </c>
      <c r="AT303" s="2765">
        <f t="shared" si="226"/>
        <v>2009966.040344099</v>
      </c>
      <c r="AU303" s="2765">
        <f t="shared" si="226"/>
        <v>2030065.7007475402</v>
      </c>
      <c r="AV303" s="2694">
        <v>0</v>
      </c>
      <c r="AW303" s="2758"/>
      <c r="AX303" s="3086"/>
      <c r="AY303" s="2774"/>
      <c r="AZ303" s="2774"/>
      <c r="BA303" s="2774"/>
      <c r="BB303" s="2774"/>
      <c r="BC303" s="2774"/>
      <c r="BD303" s="2774"/>
      <c r="BE303" s="2774"/>
      <c r="BF303" s="2774"/>
      <c r="BG303" s="2774"/>
      <c r="BI303" s="2730"/>
      <c r="BJ303" s="2730"/>
    </row>
    <row r="304" spans="1:62" ht="17.25" outlineLevel="1">
      <c r="A304" s="2801" t="s">
        <v>4262</v>
      </c>
      <c r="B304" s="2808" t="s">
        <v>4037</v>
      </c>
      <c r="C304" s="2962">
        <v>450</v>
      </c>
      <c r="D304" s="2963"/>
      <c r="E304" s="2963"/>
      <c r="F304" s="2769">
        <v>300000</v>
      </c>
      <c r="G304" s="2769">
        <v>300000</v>
      </c>
      <c r="H304" s="2769">
        <f>$C$304*10^3*인력계획!H30</f>
        <v>450000</v>
      </c>
      <c r="I304" s="2769">
        <f>$C$304*10^3*인력계획!I30</f>
        <v>450000</v>
      </c>
      <c r="J304" s="2769">
        <f>$C$304*10^3*인력계획!J30</f>
        <v>450000</v>
      </c>
      <c r="K304" s="2769">
        <f>$C$304*10^3*인력계획!K30</f>
        <v>900000</v>
      </c>
      <c r="L304" s="2769">
        <f>$C$304*10^3*인력계획!L30</f>
        <v>900000</v>
      </c>
      <c r="M304" s="2769">
        <f>$C$304*10^3*인력계획!M30</f>
        <v>1350000</v>
      </c>
      <c r="N304" s="2769">
        <f>$C$304*10^3*인력계획!N30</f>
        <v>1350000</v>
      </c>
      <c r="O304" s="2769">
        <f>$C$304*10^3*인력계획!O30</f>
        <v>1350000</v>
      </c>
      <c r="P304" s="2769">
        <f>$C$304*10^3*인력계획!P30</f>
        <v>1350000</v>
      </c>
      <c r="Q304" s="2769">
        <f>$C$304*10^3*인력계획!Q30</f>
        <v>1350000</v>
      </c>
      <c r="R304" s="2769">
        <f>$C$304*10^3*인력계획!R30</f>
        <v>900000</v>
      </c>
      <c r="S304" s="2769">
        <f>$C$304*10^3*인력계획!S30</f>
        <v>450000</v>
      </c>
      <c r="T304" s="2769">
        <f>$C$304*10^3*인력계획!T30</f>
        <v>450000</v>
      </c>
      <c r="U304" s="2769">
        <f>$C$304*10^3*인력계획!U30</f>
        <v>450000</v>
      </c>
      <c r="V304" s="2769">
        <f>$C$304*10^3*인력계획!V30</f>
        <v>450000</v>
      </c>
      <c r="W304" s="2769">
        <f>$C$304*10^3*인력계획!W30</f>
        <v>450000</v>
      </c>
      <c r="X304" s="2769">
        <f>$C$304*10^3*인력계획!X30</f>
        <v>450000</v>
      </c>
      <c r="Y304" s="2769">
        <f>$C$304*10^3*인력계획!Y30</f>
        <v>450000</v>
      </c>
      <c r="Z304" s="2769">
        <f>$C$304*10^3*인력계획!Z30</f>
        <v>0</v>
      </c>
      <c r="AA304" s="2769">
        <f>$C$304*10^3*인력계획!AA30</f>
        <v>0</v>
      </c>
      <c r="AB304" s="2769">
        <f>$C$304*10^3*인력계획!AB30</f>
        <v>0</v>
      </c>
      <c r="AC304" s="2769">
        <f>$C$304*10^3*인력계획!AC30</f>
        <v>0</v>
      </c>
      <c r="AD304" s="2769">
        <f>$C$304*10^3*인력계획!AD30</f>
        <v>0</v>
      </c>
      <c r="AE304" s="2769">
        <f>$C$304*10^3*인력계획!AE30</f>
        <v>0</v>
      </c>
      <c r="AF304" s="2769">
        <f>$C$304*10^3*인력계획!AF30</f>
        <v>0</v>
      </c>
      <c r="AG304" s="2769">
        <f>$C$304*10^3*인력계획!AG30</f>
        <v>0</v>
      </c>
      <c r="AH304" s="2769">
        <f>$C$304*10^3*인력계획!AH30</f>
        <v>0</v>
      </c>
      <c r="AI304" s="2769">
        <f>$C$304*10^3*인력계획!AI30</f>
        <v>0</v>
      </c>
      <c r="AJ304" s="2769">
        <f>$C$304*10^3*인력계획!AJ30</f>
        <v>450000</v>
      </c>
      <c r="AK304" s="2769">
        <f>$C$304*10^3*인력계획!AK30</f>
        <v>900000</v>
      </c>
      <c r="AL304" s="2769">
        <f>$C$304*10^3*인력계획!AL30</f>
        <v>900000</v>
      </c>
      <c r="AM304" s="2769">
        <f>$C$304*10^3*인력계획!AM30</f>
        <v>900000</v>
      </c>
      <c r="AN304" s="2769">
        <f>$C$304*10^3*인력계획!AN30</f>
        <v>900000</v>
      </c>
      <c r="AO304" s="2769">
        <f>$C$304*10^3*인력계획!AO30</f>
        <v>900000</v>
      </c>
      <c r="AP304" s="2769">
        <f>$C$304*10^3*인력계획!AP30</f>
        <v>900000</v>
      </c>
      <c r="AQ304" s="2769">
        <f>$C$304*10^3*인력계획!AQ30</f>
        <v>900000</v>
      </c>
      <c r="AR304" s="2769">
        <f>$C$304*10^3*인력계획!AR30</f>
        <v>1350000</v>
      </c>
      <c r="AS304" s="2769">
        <f>$C$304*10^3*인력계획!AS30</f>
        <v>1350000</v>
      </c>
      <c r="AT304" s="2769">
        <f>$C$304*10^3*인력계획!AT30</f>
        <v>1350000</v>
      </c>
      <c r="AU304" s="2769">
        <f>$C$304*10^3*인력계획!AU30</f>
        <v>1350000</v>
      </c>
      <c r="AV304" s="2694">
        <v>0</v>
      </c>
      <c r="AW304" s="2758"/>
      <c r="AX304" s="2965"/>
      <c r="AY304" s="2760"/>
      <c r="AZ304" s="2760"/>
      <c r="BA304" s="2760"/>
      <c r="BB304" s="2760"/>
      <c r="BC304" s="2760"/>
      <c r="BD304" s="2760"/>
      <c r="BE304" s="2760"/>
      <c r="BF304" s="2760"/>
      <c r="BG304" s="2760"/>
      <c r="BI304" s="2730"/>
      <c r="BJ304" s="2730"/>
    </row>
    <row r="305" spans="1:62" ht="17.25" outlineLevel="1">
      <c r="A305" s="2801" t="s">
        <v>4130</v>
      </c>
      <c r="B305" s="2808" t="s">
        <v>4040</v>
      </c>
      <c r="C305" s="2962">
        <v>320</v>
      </c>
      <c r="D305" s="2963"/>
      <c r="E305" s="2963"/>
      <c r="F305" s="2769">
        <v>300000</v>
      </c>
      <c r="G305" s="2769">
        <v>300000</v>
      </c>
      <c r="H305" s="2769">
        <f>$C$305*10^3*인력계획!H31</f>
        <v>640000</v>
      </c>
      <c r="I305" s="2769">
        <f>$C$305*10^3*인력계획!I31</f>
        <v>640000</v>
      </c>
      <c r="J305" s="2769">
        <f>$C$305*10^3*인력계획!J31</f>
        <v>640000</v>
      </c>
      <c r="K305" s="2769">
        <f>$C$305*10^3*인력계획!K31</f>
        <v>320000</v>
      </c>
      <c r="L305" s="2769">
        <f>$C$305*10^3*인력계획!L31</f>
        <v>320000</v>
      </c>
      <c r="M305" s="2769">
        <f>$C$305*10^3*인력계획!M31</f>
        <v>0</v>
      </c>
      <c r="N305" s="2769">
        <f>$C$305*10^3*인력계획!N31</f>
        <v>0</v>
      </c>
      <c r="O305" s="2769">
        <f>$C$305*10^3*인력계획!O31</f>
        <v>0</v>
      </c>
      <c r="P305" s="2769">
        <f>$C$305*10^3*인력계획!P31</f>
        <v>0</v>
      </c>
      <c r="Q305" s="2769">
        <f>$C$305*10^3*인력계획!Q31</f>
        <v>0</v>
      </c>
      <c r="R305" s="2769">
        <f>$C$305*10^3*인력계획!R31</f>
        <v>0</v>
      </c>
      <c r="S305" s="2769">
        <f>$C$305*10^3*인력계획!S31</f>
        <v>0</v>
      </c>
      <c r="T305" s="2769">
        <f>$C$305*10^3*인력계획!T31</f>
        <v>0</v>
      </c>
      <c r="U305" s="2769">
        <f>$C$305*10^3*인력계획!U31</f>
        <v>0</v>
      </c>
      <c r="V305" s="2769">
        <f>$C$305*10^3*인력계획!V31</f>
        <v>0</v>
      </c>
      <c r="W305" s="2769">
        <f>$C$305*10^3*인력계획!W31</f>
        <v>0</v>
      </c>
      <c r="X305" s="2769">
        <f>$C$305*10^3*인력계획!X31</f>
        <v>0</v>
      </c>
      <c r="Y305" s="2769">
        <f>$C$305*10^3*인력계획!Y31</f>
        <v>0</v>
      </c>
      <c r="Z305" s="2769">
        <f>$C$305*10^3*인력계획!Z31</f>
        <v>0</v>
      </c>
      <c r="AA305" s="2769">
        <f>$C$305*10^3*인력계획!AA31</f>
        <v>0</v>
      </c>
      <c r="AB305" s="2769">
        <f>$C$305*10^3*인력계획!AB31</f>
        <v>0</v>
      </c>
      <c r="AC305" s="2769">
        <f>$C$305*10^3*인력계획!AC31</f>
        <v>0</v>
      </c>
      <c r="AD305" s="2769">
        <f>$C$305*10^3*인력계획!AD31</f>
        <v>0</v>
      </c>
      <c r="AE305" s="2769">
        <f>$C$305*10^3*인력계획!AE31</f>
        <v>320000</v>
      </c>
      <c r="AF305" s="2769">
        <f>$C$305*10^3*인력계획!AF31</f>
        <v>640000</v>
      </c>
      <c r="AG305" s="2769">
        <f>$C$305*10^3*인력계획!AG31</f>
        <v>640000</v>
      </c>
      <c r="AH305" s="2769">
        <f>$C$305*10^3*인력계획!AH31</f>
        <v>640000</v>
      </c>
      <c r="AI305" s="2769">
        <f>$C$305*10^3*인력계획!AI31</f>
        <v>640000</v>
      </c>
      <c r="AJ305" s="2769">
        <f>$C$305*10^3*인력계획!AJ31</f>
        <v>320000</v>
      </c>
      <c r="AK305" s="2769">
        <f>$C$305*10^3*인력계획!AK31</f>
        <v>0</v>
      </c>
      <c r="AL305" s="2769">
        <f>$C$305*10^3*인력계획!AL31</f>
        <v>0</v>
      </c>
      <c r="AM305" s="2769">
        <f>$C$305*10^3*인력계획!AM31</f>
        <v>320000</v>
      </c>
      <c r="AN305" s="2769">
        <f>$C$305*10^3*인력계획!AN31</f>
        <v>320000</v>
      </c>
      <c r="AO305" s="2769">
        <f>$C$305*10^3*인력계획!AO31</f>
        <v>320000</v>
      </c>
      <c r="AP305" s="2769">
        <f>$C$305*10^3*인력계획!AP31</f>
        <v>320000</v>
      </c>
      <c r="AQ305" s="2769">
        <f>$C$305*10^3*인력계획!AQ31</f>
        <v>320000</v>
      </c>
      <c r="AR305" s="2769">
        <f>$C$305*10^3*인력계획!AR31</f>
        <v>0</v>
      </c>
      <c r="AS305" s="2769">
        <f>$C$305*10^3*인력계획!AS31</f>
        <v>0</v>
      </c>
      <c r="AT305" s="2769">
        <f>$C$305*10^3*인력계획!AT31</f>
        <v>0</v>
      </c>
      <c r="AU305" s="2769">
        <f>$C$305*10^3*인력계획!AU31</f>
        <v>0</v>
      </c>
      <c r="AV305" s="2694">
        <v>0</v>
      </c>
      <c r="AW305" s="2809"/>
      <c r="AX305" s="2965"/>
      <c r="AY305" s="2760"/>
      <c r="AZ305" s="2760"/>
      <c r="BA305" s="2760"/>
      <c r="BB305" s="2760"/>
      <c r="BC305" s="2760"/>
      <c r="BD305" s="2760"/>
      <c r="BE305" s="2760"/>
      <c r="BF305" s="2760"/>
      <c r="BG305" s="2760"/>
      <c r="BI305" s="2730"/>
      <c r="BJ305" s="2730"/>
    </row>
    <row r="306" spans="1:62" ht="17.25" outlineLevel="1">
      <c r="A306" s="2801" t="s">
        <v>4131</v>
      </c>
      <c r="B306" s="2808" t="s">
        <v>4040</v>
      </c>
      <c r="C306" s="2962"/>
      <c r="D306" s="2963"/>
      <c r="E306" s="2963"/>
      <c r="F306" s="2769">
        <v>300000</v>
      </c>
      <c r="G306" s="2769">
        <v>300000</v>
      </c>
      <c r="H306" s="2769">
        <f>$C$305*10^3*인력계획!H32</f>
        <v>0</v>
      </c>
      <c r="I306" s="2769">
        <f>$C$305*10^3*인력계획!I32</f>
        <v>0</v>
      </c>
      <c r="J306" s="2769">
        <f>$C$305*10^3*인력계획!J32</f>
        <v>0</v>
      </c>
      <c r="K306" s="2769">
        <f>$C$305*10^3*인력계획!K32</f>
        <v>0</v>
      </c>
      <c r="L306" s="2769">
        <f>$C$305*10^3*인력계획!L32</f>
        <v>0</v>
      </c>
      <c r="M306" s="2769">
        <f>$C$305*10^3*인력계획!M32</f>
        <v>0</v>
      </c>
      <c r="N306" s="2769">
        <f>$C$305*10^3*인력계획!N32</f>
        <v>0</v>
      </c>
      <c r="O306" s="2769">
        <f>$C$305*10^3*인력계획!O32</f>
        <v>0</v>
      </c>
      <c r="P306" s="2769">
        <f>$C$305*10^3*인력계획!P32</f>
        <v>0</v>
      </c>
      <c r="Q306" s="2769">
        <f>$C$305*10^3*인력계획!Q32</f>
        <v>0</v>
      </c>
      <c r="R306" s="2769">
        <f>$C$305*10^3*인력계획!R32</f>
        <v>0</v>
      </c>
      <c r="S306" s="2769">
        <f>$C$305*10^3*인력계획!S32</f>
        <v>0</v>
      </c>
      <c r="T306" s="2769">
        <f>$C$305*10^3*인력계획!T32</f>
        <v>0</v>
      </c>
      <c r="U306" s="2769">
        <f>$C$305*10^3*인력계획!U32</f>
        <v>0</v>
      </c>
      <c r="V306" s="2769">
        <f>$C$305*10^3*인력계획!V32</f>
        <v>0</v>
      </c>
      <c r="W306" s="2769">
        <f>$C$305*10^3*인력계획!W32</f>
        <v>0</v>
      </c>
      <c r="X306" s="2769">
        <f>$C$305*10^3*인력계획!X32</f>
        <v>0</v>
      </c>
      <c r="Y306" s="2769">
        <f>$C$305*10^3*인력계획!Y32</f>
        <v>0</v>
      </c>
      <c r="Z306" s="2769">
        <f>$C$305*10^3*인력계획!Z32</f>
        <v>320000</v>
      </c>
      <c r="AA306" s="2769">
        <f>$C$305*10^3*인력계획!AA32</f>
        <v>640000</v>
      </c>
      <c r="AB306" s="2769">
        <f>$C$305*10^3*인력계획!AB32</f>
        <v>640000</v>
      </c>
      <c r="AC306" s="2769">
        <f>$C$305*10^3*인력계획!AC32</f>
        <v>640000</v>
      </c>
      <c r="AD306" s="2769">
        <f>$C$305*10^3*인력계획!AD32</f>
        <v>640000</v>
      </c>
      <c r="AE306" s="2769">
        <f>$C$305*10^3*인력계획!AE32</f>
        <v>320000</v>
      </c>
      <c r="AF306" s="2769">
        <f>$C$305*10^3*인력계획!AF32</f>
        <v>0</v>
      </c>
      <c r="AG306" s="2769">
        <f>$C$305*10^3*인력계획!AG32</f>
        <v>0</v>
      </c>
      <c r="AH306" s="2769">
        <f>$C$305*10^3*인력계획!AH32</f>
        <v>320000</v>
      </c>
      <c r="AI306" s="2769">
        <f>$C$305*10^3*인력계획!AI32</f>
        <v>320000</v>
      </c>
      <c r="AJ306" s="2769">
        <f>$C$305*10^3*인력계획!AJ32</f>
        <v>320000</v>
      </c>
      <c r="AK306" s="2769">
        <f>$C$305*10^3*인력계획!AK32</f>
        <v>320000</v>
      </c>
      <c r="AL306" s="2769">
        <f>$C$305*10^3*인력계획!AL32</f>
        <v>320000</v>
      </c>
      <c r="AM306" s="2769">
        <f>$C$305*10^3*인력계획!AM32</f>
        <v>0</v>
      </c>
      <c r="AN306" s="2769">
        <f>$C$305*10^3*인력계획!AN32</f>
        <v>0</v>
      </c>
      <c r="AO306" s="2769">
        <f>$C$305*10^3*인력계획!AO32</f>
        <v>0</v>
      </c>
      <c r="AP306" s="2769">
        <f>$C$305*10^3*인력계획!AP32</f>
        <v>0</v>
      </c>
      <c r="AQ306" s="2769">
        <f>$C$305*10^3*인력계획!AQ32</f>
        <v>0</v>
      </c>
      <c r="AR306" s="2769">
        <f>$C$305*10^3*인력계획!AR32</f>
        <v>0</v>
      </c>
      <c r="AS306" s="2769">
        <f>$C$305*10^3*인력계획!AS32</f>
        <v>0</v>
      </c>
      <c r="AT306" s="2769">
        <f>$C$305*10^3*인력계획!AT32</f>
        <v>0</v>
      </c>
      <c r="AU306" s="2769">
        <f>$C$305*10^3*인력계획!AU32</f>
        <v>0</v>
      </c>
      <c r="AV306" s="2694">
        <v>0</v>
      </c>
      <c r="AW306" s="2809"/>
      <c r="AX306" s="2965"/>
      <c r="AY306" s="2760"/>
      <c r="AZ306" s="2760"/>
      <c r="BA306" s="2760"/>
      <c r="BB306" s="2760"/>
      <c r="BC306" s="2760"/>
      <c r="BD306" s="2760"/>
      <c r="BE306" s="2760"/>
      <c r="BF306" s="2760"/>
      <c r="BG306" s="2760"/>
      <c r="BI306" s="2730"/>
      <c r="BJ306" s="2730"/>
    </row>
    <row r="307" spans="1:62" ht="17.25" outlineLevel="1">
      <c r="A307" s="2801" t="s">
        <v>4058</v>
      </c>
      <c r="B307" s="2808" t="s">
        <v>4040</v>
      </c>
      <c r="C307" s="2962"/>
      <c r="D307" s="2963"/>
      <c r="E307" s="2963"/>
      <c r="F307" s="2769"/>
      <c r="G307" s="2769"/>
      <c r="H307" s="2769">
        <f>$C$305*10^3*인력계획!H33</f>
        <v>0</v>
      </c>
      <c r="I307" s="2769">
        <f>$C$305*10^3*인력계획!I33</f>
        <v>0</v>
      </c>
      <c r="J307" s="2769">
        <f>$C$305*10^3*인력계획!J33</f>
        <v>0</v>
      </c>
      <c r="K307" s="2769">
        <f>$C$305*10^3*인력계획!K33</f>
        <v>0</v>
      </c>
      <c r="L307" s="2769">
        <f>$C$305*10^3*인력계획!L33</f>
        <v>0</v>
      </c>
      <c r="M307" s="2769">
        <f>$C$305*10^3*인력계획!M33</f>
        <v>0</v>
      </c>
      <c r="N307" s="2769">
        <f>$C$305*10^3*인력계획!N33</f>
        <v>0</v>
      </c>
      <c r="O307" s="2769">
        <f>$C$305*10^3*인력계획!O33</f>
        <v>0</v>
      </c>
      <c r="P307" s="2769">
        <f>$C$305*10^3*인력계획!P33</f>
        <v>0</v>
      </c>
      <c r="Q307" s="2769">
        <f>$C$305*10^3*인력계획!Q33</f>
        <v>0</v>
      </c>
      <c r="R307" s="2769">
        <f>$C$305*10^3*인력계획!R33</f>
        <v>0</v>
      </c>
      <c r="S307" s="2769">
        <f>$C$305*10^3*인력계획!S33</f>
        <v>0</v>
      </c>
      <c r="T307" s="2769">
        <f>$C$305*10^3*인력계획!T33</f>
        <v>0</v>
      </c>
      <c r="U307" s="2769">
        <f>$C$305*10^3*인력계획!U33</f>
        <v>0</v>
      </c>
      <c r="V307" s="2769">
        <f>$C$305*10^3*인력계획!V33</f>
        <v>320000</v>
      </c>
      <c r="W307" s="2769">
        <f>$C$305*10^3*인력계획!W33</f>
        <v>640000</v>
      </c>
      <c r="X307" s="2769">
        <f>$C$305*10^3*인력계획!X33</f>
        <v>640000</v>
      </c>
      <c r="Y307" s="2769">
        <f>$C$305*10^3*인력계획!Y33</f>
        <v>640000</v>
      </c>
      <c r="Z307" s="2769">
        <f>$C$305*10^3*인력계획!Z33</f>
        <v>320000</v>
      </c>
      <c r="AA307" s="2769">
        <f>$C$305*10^3*인력계획!AA33</f>
        <v>0</v>
      </c>
      <c r="AB307" s="2769">
        <f>$C$305*10^3*인력계획!AB33</f>
        <v>0</v>
      </c>
      <c r="AC307" s="2769">
        <f>$C$305*10^3*인력계획!AC33</f>
        <v>0</v>
      </c>
      <c r="AD307" s="2769">
        <f>$C$305*10^3*인력계획!AD33</f>
        <v>320000</v>
      </c>
      <c r="AE307" s="2769">
        <f>$C$305*10^3*인력계획!AE33</f>
        <v>320000</v>
      </c>
      <c r="AF307" s="2769">
        <f>$C$305*10^3*인력계획!AF33</f>
        <v>320000</v>
      </c>
      <c r="AG307" s="2769">
        <f>$C$305*10^3*인력계획!AG33</f>
        <v>320000</v>
      </c>
      <c r="AH307" s="2769">
        <f>$C$305*10^3*인력계획!AH33</f>
        <v>0</v>
      </c>
      <c r="AI307" s="2769">
        <f>$C$305*10^3*인력계획!AI33</f>
        <v>0</v>
      </c>
      <c r="AJ307" s="2769">
        <f>$C$305*10^3*인력계획!AJ33</f>
        <v>0</v>
      </c>
      <c r="AK307" s="2769">
        <f>$C$305*10^3*인력계획!AK33</f>
        <v>0</v>
      </c>
      <c r="AL307" s="2769">
        <f>$C$305*10^3*인력계획!AL33</f>
        <v>0</v>
      </c>
      <c r="AM307" s="2769">
        <f>$C$305*10^3*인력계획!AM33</f>
        <v>0</v>
      </c>
      <c r="AN307" s="2769">
        <f>$C$305*10^3*인력계획!AN33</f>
        <v>0</v>
      </c>
      <c r="AO307" s="2769">
        <f>$C$305*10^3*인력계획!AO33</f>
        <v>0</v>
      </c>
      <c r="AP307" s="2769">
        <f>$C$305*10^3*인력계획!AP33</f>
        <v>0</v>
      </c>
      <c r="AQ307" s="2769">
        <f>$C$305*10^3*인력계획!AQ33</f>
        <v>0</v>
      </c>
      <c r="AR307" s="2769">
        <f>$C$305*10^3*인력계획!AR33</f>
        <v>0</v>
      </c>
      <c r="AS307" s="2769">
        <f>$C$305*10^3*인력계획!AS33</f>
        <v>0</v>
      </c>
      <c r="AT307" s="2769">
        <f>$C$305*10^3*인력계획!AT33</f>
        <v>0</v>
      </c>
      <c r="AU307" s="2769">
        <f>$C$305*10^3*인력계획!AU33</f>
        <v>0</v>
      </c>
      <c r="AV307" s="2694">
        <v>0</v>
      </c>
      <c r="AW307" s="2809"/>
      <c r="AX307" s="2965"/>
      <c r="AY307" s="2760"/>
      <c r="AZ307" s="2760"/>
      <c r="BA307" s="2760"/>
      <c r="BB307" s="2760"/>
      <c r="BC307" s="2760"/>
      <c r="BD307" s="2760"/>
      <c r="BE307" s="2760"/>
      <c r="BF307" s="2760"/>
      <c r="BG307" s="2760"/>
      <c r="BI307" s="2730"/>
      <c r="BJ307" s="2730"/>
    </row>
    <row r="308" spans="1:62" ht="17.25" outlineLevel="1">
      <c r="A308" s="2801" t="s">
        <v>4132</v>
      </c>
      <c r="B308" s="2808" t="s">
        <v>4040</v>
      </c>
      <c r="C308" s="2962"/>
      <c r="D308" s="2963"/>
      <c r="E308" s="2963"/>
      <c r="F308" s="2769"/>
      <c r="G308" s="2769"/>
      <c r="H308" s="2769">
        <f>$C$305*10^3*인력계획!H34</f>
        <v>0</v>
      </c>
      <c r="I308" s="2769">
        <f>$C$305*10^3*인력계획!I34</f>
        <v>0</v>
      </c>
      <c r="J308" s="2769">
        <f>$C$305*10^3*인력계획!J34</f>
        <v>0</v>
      </c>
      <c r="K308" s="2769">
        <f>$C$305*10^3*인력계획!K34</f>
        <v>0</v>
      </c>
      <c r="L308" s="2769">
        <f>$C$305*10^3*인력계획!L34</f>
        <v>0</v>
      </c>
      <c r="M308" s="2769">
        <f>$C$305*10^3*인력계획!M34</f>
        <v>0</v>
      </c>
      <c r="N308" s="2769">
        <f>$C$305*10^3*인력계획!N34</f>
        <v>0</v>
      </c>
      <c r="O308" s="2769">
        <f>$C$305*10^3*인력계획!O34</f>
        <v>0</v>
      </c>
      <c r="P308" s="2769">
        <f>$C$305*10^3*인력계획!P34</f>
        <v>0</v>
      </c>
      <c r="Q308" s="2769">
        <f>$C$305*10^3*인력계획!Q34</f>
        <v>0</v>
      </c>
      <c r="R308" s="2769">
        <f>$C$305*10^3*인력계획!R34</f>
        <v>320000</v>
      </c>
      <c r="S308" s="2769">
        <f>$C$305*10^3*인력계획!S34</f>
        <v>640000</v>
      </c>
      <c r="T308" s="2769">
        <f>$C$305*10^3*인력계획!T34</f>
        <v>640000</v>
      </c>
      <c r="U308" s="2769">
        <f>$C$305*10^3*인력계획!U34</f>
        <v>640000</v>
      </c>
      <c r="V308" s="2769">
        <f>$C$305*10^3*인력계획!V34</f>
        <v>320000</v>
      </c>
      <c r="W308" s="2769">
        <f>$C$305*10^3*인력계획!W34</f>
        <v>0</v>
      </c>
      <c r="X308" s="2769">
        <f>$C$305*10^3*인력계획!X34</f>
        <v>0</v>
      </c>
      <c r="Y308" s="2769">
        <f>$C$305*10^3*인력계획!Y34</f>
        <v>0</v>
      </c>
      <c r="Z308" s="2769">
        <f>$C$305*10^3*인력계획!Z34</f>
        <v>320000</v>
      </c>
      <c r="AA308" s="2769">
        <f>$C$305*10^3*인력계획!AA34</f>
        <v>320000</v>
      </c>
      <c r="AB308" s="2769">
        <f>$C$305*10^3*인력계획!AB34</f>
        <v>320000</v>
      </c>
      <c r="AC308" s="2769">
        <f>$C$305*10^3*인력계획!AC34</f>
        <v>320000</v>
      </c>
      <c r="AD308" s="2769">
        <f>$C$305*10^3*인력계획!AD34</f>
        <v>0</v>
      </c>
      <c r="AE308" s="2769">
        <f>$C$305*10^3*인력계획!AE34</f>
        <v>0</v>
      </c>
      <c r="AF308" s="2769">
        <f>$C$305*10^3*인력계획!AF34</f>
        <v>0</v>
      </c>
      <c r="AG308" s="2769">
        <f>$C$305*10^3*인력계획!AG34</f>
        <v>0</v>
      </c>
      <c r="AH308" s="2769">
        <f>$C$305*10^3*인력계획!AH34</f>
        <v>0</v>
      </c>
      <c r="AI308" s="2769">
        <f>$C$305*10^3*인력계획!AI34</f>
        <v>0</v>
      </c>
      <c r="AJ308" s="2769">
        <f>$C$305*10^3*인력계획!AJ34</f>
        <v>0</v>
      </c>
      <c r="AK308" s="2769">
        <f>$C$305*10^3*인력계획!AK34</f>
        <v>0</v>
      </c>
      <c r="AL308" s="2769">
        <f>$C$305*10^3*인력계획!AL34</f>
        <v>0</v>
      </c>
      <c r="AM308" s="2769">
        <f>$C$305*10^3*인력계획!AM34</f>
        <v>0</v>
      </c>
      <c r="AN308" s="2769">
        <f>$C$305*10^3*인력계획!AN34</f>
        <v>0</v>
      </c>
      <c r="AO308" s="2769">
        <f>$C$305*10^3*인력계획!AO34</f>
        <v>0</v>
      </c>
      <c r="AP308" s="2769">
        <f>$C$305*10^3*인력계획!AP34</f>
        <v>0</v>
      </c>
      <c r="AQ308" s="2769">
        <f>$C$305*10^3*인력계획!AQ34</f>
        <v>0</v>
      </c>
      <c r="AR308" s="2769">
        <f>$C$305*10^3*인력계획!AR34</f>
        <v>0</v>
      </c>
      <c r="AS308" s="2769">
        <f>$C$305*10^3*인력계획!AS34</f>
        <v>0</v>
      </c>
      <c r="AT308" s="2769">
        <f>$C$305*10^3*인력계획!AT34</f>
        <v>0</v>
      </c>
      <c r="AU308" s="2769">
        <f>$C$305*10^3*인력계획!AU34</f>
        <v>0</v>
      </c>
      <c r="AV308" s="2694">
        <v>0</v>
      </c>
      <c r="AW308" s="2809"/>
      <c r="AX308" s="2965"/>
      <c r="AY308" s="2760"/>
      <c r="AZ308" s="2760"/>
      <c r="BA308" s="2760"/>
      <c r="BB308" s="2760"/>
      <c r="BC308" s="2760"/>
      <c r="BD308" s="2760"/>
      <c r="BE308" s="2760"/>
      <c r="BF308" s="2760"/>
      <c r="BG308" s="2760"/>
      <c r="BI308" s="2730"/>
      <c r="BJ308" s="2730"/>
    </row>
    <row r="309" spans="1:62" ht="17.25" outlineLevel="1">
      <c r="A309" s="2773" t="s">
        <v>4045</v>
      </c>
      <c r="B309" s="2825"/>
      <c r="C309" s="3087"/>
      <c r="D309" s="3088"/>
      <c r="E309" s="3088"/>
      <c r="F309" s="2765"/>
      <c r="G309" s="2765"/>
      <c r="H309" s="2765">
        <v>300000</v>
      </c>
      <c r="I309" s="2766">
        <f t="shared" ref="I309:X311" si="227">H309</f>
        <v>300000</v>
      </c>
      <c r="J309" s="2766">
        <f t="shared" si="227"/>
        <v>300000</v>
      </c>
      <c r="K309" s="2766">
        <f t="shared" si="227"/>
        <v>300000</v>
      </c>
      <c r="L309" s="2766">
        <f t="shared" si="227"/>
        <v>300000</v>
      </c>
      <c r="M309" s="2766">
        <f t="shared" si="227"/>
        <v>300000</v>
      </c>
      <c r="N309" s="2766">
        <f t="shared" si="227"/>
        <v>300000</v>
      </c>
      <c r="O309" s="2766">
        <f t="shared" si="227"/>
        <v>300000</v>
      </c>
      <c r="P309" s="2766">
        <f t="shared" si="227"/>
        <v>300000</v>
      </c>
      <c r="Q309" s="2766">
        <f t="shared" si="227"/>
        <v>300000</v>
      </c>
      <c r="R309" s="2766">
        <f t="shared" si="227"/>
        <v>300000</v>
      </c>
      <c r="S309" s="2766">
        <f t="shared" si="227"/>
        <v>300000</v>
      </c>
      <c r="T309" s="2766">
        <f t="shared" si="227"/>
        <v>300000</v>
      </c>
      <c r="U309" s="2766">
        <f t="shared" si="227"/>
        <v>300000</v>
      </c>
      <c r="V309" s="2766">
        <f t="shared" si="227"/>
        <v>300000</v>
      </c>
      <c r="W309" s="2766">
        <f t="shared" si="227"/>
        <v>300000</v>
      </c>
      <c r="X309" s="2766">
        <f t="shared" si="227"/>
        <v>300000</v>
      </c>
      <c r="Y309" s="2766">
        <f t="shared" ref="Y309:AN311" si="228">X309</f>
        <v>300000</v>
      </c>
      <c r="Z309" s="2766">
        <f t="shared" si="228"/>
        <v>300000</v>
      </c>
      <c r="AA309" s="2766">
        <f t="shared" si="228"/>
        <v>300000</v>
      </c>
      <c r="AB309" s="2766">
        <f t="shared" si="228"/>
        <v>300000</v>
      </c>
      <c r="AC309" s="2766">
        <f t="shared" si="228"/>
        <v>300000</v>
      </c>
      <c r="AD309" s="2766">
        <f t="shared" si="228"/>
        <v>300000</v>
      </c>
      <c r="AE309" s="2766">
        <f t="shared" si="228"/>
        <v>300000</v>
      </c>
      <c r="AF309" s="2766">
        <f t="shared" si="228"/>
        <v>300000</v>
      </c>
      <c r="AG309" s="2766">
        <f t="shared" si="228"/>
        <v>300000</v>
      </c>
      <c r="AH309" s="2766">
        <f t="shared" si="228"/>
        <v>300000</v>
      </c>
      <c r="AI309" s="2766">
        <f t="shared" si="228"/>
        <v>300000</v>
      </c>
      <c r="AJ309" s="2766">
        <f t="shared" si="228"/>
        <v>300000</v>
      </c>
      <c r="AK309" s="2766">
        <f t="shared" si="228"/>
        <v>300000</v>
      </c>
      <c r="AL309" s="2766">
        <f t="shared" si="228"/>
        <v>300000</v>
      </c>
      <c r="AM309" s="2766">
        <f t="shared" si="228"/>
        <v>300000</v>
      </c>
      <c r="AN309" s="2766">
        <f t="shared" si="228"/>
        <v>300000</v>
      </c>
      <c r="AO309" s="2766">
        <f t="shared" ref="AO309:AU311" si="229">AN309</f>
        <v>300000</v>
      </c>
      <c r="AP309" s="2766">
        <f t="shared" si="229"/>
        <v>300000</v>
      </c>
      <c r="AQ309" s="2766">
        <f t="shared" si="229"/>
        <v>300000</v>
      </c>
      <c r="AR309" s="2766">
        <f t="shared" si="229"/>
        <v>300000</v>
      </c>
      <c r="AS309" s="2766">
        <f t="shared" si="229"/>
        <v>300000</v>
      </c>
      <c r="AT309" s="2766">
        <f t="shared" si="229"/>
        <v>300000</v>
      </c>
      <c r="AU309" s="2766">
        <f t="shared" si="229"/>
        <v>300000</v>
      </c>
      <c r="AV309" s="2694">
        <v>0</v>
      </c>
      <c r="AW309" s="2809"/>
      <c r="AX309" s="3086"/>
      <c r="AY309" s="2774"/>
      <c r="AZ309" s="2774"/>
      <c r="BA309" s="2774"/>
      <c r="BB309" s="2774"/>
      <c r="BC309" s="2774"/>
      <c r="BD309" s="2774"/>
      <c r="BE309" s="2774"/>
      <c r="BF309" s="2774"/>
      <c r="BG309" s="2774"/>
      <c r="BI309" s="2730"/>
      <c r="BJ309" s="2730"/>
    </row>
    <row r="310" spans="1:62" outlineLevel="1">
      <c r="A310" s="2773" t="s">
        <v>4046</v>
      </c>
      <c r="B310" s="2825"/>
      <c r="C310" s="3095"/>
      <c r="D310" s="3096"/>
      <c r="E310" s="3096"/>
      <c r="F310" s="2765"/>
      <c r="G310" s="2766"/>
      <c r="H310" s="2766">
        <f>2000000</f>
        <v>2000000</v>
      </c>
      <c r="I310" s="2766">
        <f>H310</f>
        <v>2000000</v>
      </c>
      <c r="J310" s="2766">
        <f>I310</f>
        <v>2000000</v>
      </c>
      <c r="K310" s="2766">
        <f>J310*2+8000000</f>
        <v>12000000</v>
      </c>
      <c r="L310" s="2766">
        <f t="shared" si="227"/>
        <v>12000000</v>
      </c>
      <c r="M310" s="2766">
        <f t="shared" si="227"/>
        <v>12000000</v>
      </c>
      <c r="N310" s="2766">
        <f t="shared" si="227"/>
        <v>12000000</v>
      </c>
      <c r="O310" s="2766">
        <f t="shared" si="227"/>
        <v>12000000</v>
      </c>
      <c r="P310" s="2766">
        <f t="shared" si="227"/>
        <v>12000000</v>
      </c>
      <c r="Q310" s="2766">
        <f t="shared" si="227"/>
        <v>12000000</v>
      </c>
      <c r="R310" s="2766">
        <f t="shared" si="227"/>
        <v>12000000</v>
      </c>
      <c r="S310" s="2766">
        <f t="shared" si="227"/>
        <v>12000000</v>
      </c>
      <c r="T310" s="2766">
        <f t="shared" si="227"/>
        <v>12000000</v>
      </c>
      <c r="U310" s="2766">
        <f t="shared" si="227"/>
        <v>12000000</v>
      </c>
      <c r="V310" s="2766">
        <f t="shared" si="227"/>
        <v>12000000</v>
      </c>
      <c r="W310" s="2766">
        <f t="shared" si="227"/>
        <v>12000000</v>
      </c>
      <c r="X310" s="2766">
        <f t="shared" si="227"/>
        <v>12000000</v>
      </c>
      <c r="Y310" s="2766">
        <f t="shared" si="228"/>
        <v>12000000</v>
      </c>
      <c r="Z310" s="2766">
        <f t="shared" si="228"/>
        <v>12000000</v>
      </c>
      <c r="AA310" s="2766">
        <f t="shared" si="228"/>
        <v>12000000</v>
      </c>
      <c r="AB310" s="2766">
        <f t="shared" si="228"/>
        <v>12000000</v>
      </c>
      <c r="AC310" s="2766">
        <f t="shared" si="228"/>
        <v>12000000</v>
      </c>
      <c r="AD310" s="2766">
        <f t="shared" si="228"/>
        <v>12000000</v>
      </c>
      <c r="AE310" s="2766">
        <f t="shared" si="228"/>
        <v>12000000</v>
      </c>
      <c r="AF310" s="2766">
        <f t="shared" si="228"/>
        <v>12000000</v>
      </c>
      <c r="AG310" s="2766">
        <f t="shared" si="228"/>
        <v>12000000</v>
      </c>
      <c r="AH310" s="2766">
        <f t="shared" si="228"/>
        <v>12000000</v>
      </c>
      <c r="AI310" s="2766">
        <f t="shared" si="228"/>
        <v>12000000</v>
      </c>
      <c r="AJ310" s="2766">
        <f t="shared" si="228"/>
        <v>12000000</v>
      </c>
      <c r="AK310" s="2766">
        <f t="shared" si="228"/>
        <v>12000000</v>
      </c>
      <c r="AL310" s="2766">
        <f t="shared" si="228"/>
        <v>12000000</v>
      </c>
      <c r="AM310" s="2766">
        <f t="shared" si="228"/>
        <v>12000000</v>
      </c>
      <c r="AN310" s="2766">
        <f t="shared" si="228"/>
        <v>12000000</v>
      </c>
      <c r="AO310" s="2766">
        <f t="shared" si="229"/>
        <v>12000000</v>
      </c>
      <c r="AP310" s="2766">
        <f t="shared" si="229"/>
        <v>12000000</v>
      </c>
      <c r="AQ310" s="2766">
        <f t="shared" si="229"/>
        <v>12000000</v>
      </c>
      <c r="AR310" s="2766">
        <f t="shared" si="229"/>
        <v>12000000</v>
      </c>
      <c r="AS310" s="2766">
        <f t="shared" si="229"/>
        <v>12000000</v>
      </c>
      <c r="AT310" s="2766">
        <f t="shared" si="229"/>
        <v>12000000</v>
      </c>
      <c r="AU310" s="2766">
        <f t="shared" si="229"/>
        <v>12000000</v>
      </c>
      <c r="AV310" s="2694">
        <v>0</v>
      </c>
      <c r="AW310" s="2758"/>
      <c r="AX310" s="3097"/>
      <c r="AY310" s="2774"/>
      <c r="AZ310" s="2774"/>
      <c r="BA310" s="2774"/>
      <c r="BB310" s="2774"/>
      <c r="BC310" s="2774"/>
      <c r="BD310" s="2774"/>
      <c r="BE310" s="2774"/>
      <c r="BF310" s="2774"/>
      <c r="BG310" s="2774"/>
      <c r="BI310" s="2730"/>
      <c r="BJ310" s="2730"/>
    </row>
    <row r="311" spans="1:62" ht="17.25" outlineLevel="1">
      <c r="A311" s="2773" t="s">
        <v>4048</v>
      </c>
      <c r="B311" s="2826" t="s">
        <v>4260</v>
      </c>
      <c r="C311" s="3087"/>
      <c r="D311" s="3088"/>
      <c r="E311" s="3088"/>
      <c r="F311" s="2765"/>
      <c r="G311" s="2765"/>
      <c r="H311" s="2765">
        <v>1800000</v>
      </c>
      <c r="I311" s="2766">
        <f>H311</f>
        <v>1800000</v>
      </c>
      <c r="J311" s="2766">
        <f>I311</f>
        <v>1800000</v>
      </c>
      <c r="K311" s="2766">
        <f>J311</f>
        <v>1800000</v>
      </c>
      <c r="L311" s="2766">
        <f t="shared" si="227"/>
        <v>1800000</v>
      </c>
      <c r="M311" s="2766">
        <f t="shared" si="227"/>
        <v>1800000</v>
      </c>
      <c r="N311" s="2766">
        <f t="shared" si="227"/>
        <v>1800000</v>
      </c>
      <c r="O311" s="2766">
        <f t="shared" si="227"/>
        <v>1800000</v>
      </c>
      <c r="P311" s="2766">
        <f t="shared" si="227"/>
        <v>1800000</v>
      </c>
      <c r="Q311" s="2766">
        <f t="shared" si="227"/>
        <v>1800000</v>
      </c>
      <c r="R311" s="2766">
        <f t="shared" si="227"/>
        <v>1800000</v>
      </c>
      <c r="S311" s="2766">
        <f t="shared" si="227"/>
        <v>1800000</v>
      </c>
      <c r="T311" s="2766">
        <f t="shared" si="227"/>
        <v>1800000</v>
      </c>
      <c r="U311" s="2766">
        <f t="shared" si="227"/>
        <v>1800000</v>
      </c>
      <c r="V311" s="2766">
        <f t="shared" si="227"/>
        <v>1800000</v>
      </c>
      <c r="W311" s="2766">
        <f t="shared" si="227"/>
        <v>1800000</v>
      </c>
      <c r="X311" s="2766">
        <f t="shared" si="227"/>
        <v>1800000</v>
      </c>
      <c r="Y311" s="2766">
        <f t="shared" si="228"/>
        <v>1800000</v>
      </c>
      <c r="Z311" s="2766">
        <f t="shared" si="228"/>
        <v>1800000</v>
      </c>
      <c r="AA311" s="2766">
        <f t="shared" si="228"/>
        <v>1800000</v>
      </c>
      <c r="AB311" s="2766">
        <f t="shared" si="228"/>
        <v>1800000</v>
      </c>
      <c r="AC311" s="2766">
        <f t="shared" si="228"/>
        <v>1800000</v>
      </c>
      <c r="AD311" s="2766">
        <f t="shared" si="228"/>
        <v>1800000</v>
      </c>
      <c r="AE311" s="2766">
        <f t="shared" si="228"/>
        <v>1800000</v>
      </c>
      <c r="AF311" s="2766">
        <f t="shared" si="228"/>
        <v>1800000</v>
      </c>
      <c r="AG311" s="2766">
        <f t="shared" si="228"/>
        <v>1800000</v>
      </c>
      <c r="AH311" s="2766">
        <f t="shared" si="228"/>
        <v>1800000</v>
      </c>
      <c r="AI311" s="2766">
        <f t="shared" si="228"/>
        <v>1800000</v>
      </c>
      <c r="AJ311" s="2766">
        <f t="shared" si="228"/>
        <v>1800000</v>
      </c>
      <c r="AK311" s="2766">
        <f t="shared" si="228"/>
        <v>1800000</v>
      </c>
      <c r="AL311" s="2766">
        <f t="shared" si="228"/>
        <v>1800000</v>
      </c>
      <c r="AM311" s="2766">
        <f t="shared" si="228"/>
        <v>1800000</v>
      </c>
      <c r="AN311" s="2766">
        <f t="shared" si="228"/>
        <v>1800000</v>
      </c>
      <c r="AO311" s="2766">
        <f t="shared" si="229"/>
        <v>1800000</v>
      </c>
      <c r="AP311" s="2766">
        <f t="shared" si="229"/>
        <v>1800000</v>
      </c>
      <c r="AQ311" s="2766">
        <f t="shared" si="229"/>
        <v>1800000</v>
      </c>
      <c r="AR311" s="2766">
        <f t="shared" si="229"/>
        <v>1800000</v>
      </c>
      <c r="AS311" s="2766">
        <f t="shared" si="229"/>
        <v>1800000</v>
      </c>
      <c r="AT311" s="2766">
        <f t="shared" si="229"/>
        <v>1800000</v>
      </c>
      <c r="AU311" s="2766">
        <f t="shared" si="229"/>
        <v>1800000</v>
      </c>
      <c r="AV311" s="2694">
        <v>0</v>
      </c>
      <c r="AW311" s="2758"/>
      <c r="AX311" s="3086"/>
      <c r="AY311" s="2774"/>
      <c r="AZ311" s="2774"/>
      <c r="BA311" s="2774"/>
      <c r="BB311" s="2774"/>
      <c r="BC311" s="2774"/>
      <c r="BD311" s="2774"/>
      <c r="BE311" s="2774"/>
      <c r="BF311" s="2774"/>
      <c r="BG311" s="2774"/>
      <c r="BI311" s="2730"/>
      <c r="BJ311" s="2730"/>
    </row>
    <row r="312" spans="1:62" ht="17.25" outlineLevel="1">
      <c r="A312" s="2773" t="s">
        <v>4050</v>
      </c>
      <c r="B312" s="2802" t="s">
        <v>4134</v>
      </c>
      <c r="C312" s="3004">
        <v>100</v>
      </c>
      <c r="D312" s="3005"/>
      <c r="E312" s="3005"/>
      <c r="F312" s="2765">
        <v>2427000</v>
      </c>
      <c r="G312" s="2765">
        <v>3424840</v>
      </c>
      <c r="H312" s="2765">
        <v>3600000</v>
      </c>
      <c r="I312" s="2766">
        <f t="shared" ref="I312:AU312" si="230">H312+$C$312*1000</f>
        <v>3700000</v>
      </c>
      <c r="J312" s="2766">
        <f t="shared" si="230"/>
        <v>3800000</v>
      </c>
      <c r="K312" s="2766">
        <f t="shared" si="230"/>
        <v>3900000</v>
      </c>
      <c r="L312" s="2766">
        <f t="shared" si="230"/>
        <v>4000000</v>
      </c>
      <c r="M312" s="2766">
        <f t="shared" si="230"/>
        <v>4100000</v>
      </c>
      <c r="N312" s="2766">
        <f t="shared" si="230"/>
        <v>4200000</v>
      </c>
      <c r="O312" s="2766">
        <f t="shared" si="230"/>
        <v>4300000</v>
      </c>
      <c r="P312" s="2766">
        <f t="shared" si="230"/>
        <v>4400000</v>
      </c>
      <c r="Q312" s="2766">
        <f t="shared" si="230"/>
        <v>4500000</v>
      </c>
      <c r="R312" s="2766">
        <f t="shared" si="230"/>
        <v>4600000</v>
      </c>
      <c r="S312" s="2766">
        <f t="shared" si="230"/>
        <v>4700000</v>
      </c>
      <c r="T312" s="2766">
        <f t="shared" si="230"/>
        <v>4800000</v>
      </c>
      <c r="U312" s="2766">
        <f t="shared" si="230"/>
        <v>4900000</v>
      </c>
      <c r="V312" s="2766">
        <f t="shared" si="230"/>
        <v>5000000</v>
      </c>
      <c r="W312" s="2766">
        <f t="shared" si="230"/>
        <v>5100000</v>
      </c>
      <c r="X312" s="2766">
        <f t="shared" si="230"/>
        <v>5200000</v>
      </c>
      <c r="Y312" s="2766">
        <f t="shared" si="230"/>
        <v>5300000</v>
      </c>
      <c r="Z312" s="2766">
        <f t="shared" si="230"/>
        <v>5400000</v>
      </c>
      <c r="AA312" s="2766">
        <f t="shared" si="230"/>
        <v>5500000</v>
      </c>
      <c r="AB312" s="2766">
        <f t="shared" si="230"/>
        <v>5600000</v>
      </c>
      <c r="AC312" s="2766">
        <f t="shared" si="230"/>
        <v>5700000</v>
      </c>
      <c r="AD312" s="2766">
        <f t="shared" si="230"/>
        <v>5800000</v>
      </c>
      <c r="AE312" s="2766">
        <f t="shared" si="230"/>
        <v>5900000</v>
      </c>
      <c r="AF312" s="2766">
        <f t="shared" si="230"/>
        <v>6000000</v>
      </c>
      <c r="AG312" s="2766">
        <f t="shared" si="230"/>
        <v>6100000</v>
      </c>
      <c r="AH312" s="2766">
        <f t="shared" si="230"/>
        <v>6200000</v>
      </c>
      <c r="AI312" s="2766">
        <f t="shared" si="230"/>
        <v>6300000</v>
      </c>
      <c r="AJ312" s="2766">
        <f t="shared" si="230"/>
        <v>6400000</v>
      </c>
      <c r="AK312" s="2766">
        <f t="shared" si="230"/>
        <v>6500000</v>
      </c>
      <c r="AL312" s="2766">
        <f t="shared" si="230"/>
        <v>6600000</v>
      </c>
      <c r="AM312" s="2766">
        <f t="shared" si="230"/>
        <v>6700000</v>
      </c>
      <c r="AN312" s="2766">
        <f t="shared" si="230"/>
        <v>6800000</v>
      </c>
      <c r="AO312" s="2766">
        <f t="shared" si="230"/>
        <v>6900000</v>
      </c>
      <c r="AP312" s="2766">
        <f t="shared" si="230"/>
        <v>7000000</v>
      </c>
      <c r="AQ312" s="2766">
        <f t="shared" si="230"/>
        <v>7100000</v>
      </c>
      <c r="AR312" s="2766">
        <f t="shared" si="230"/>
        <v>7200000</v>
      </c>
      <c r="AS312" s="2766">
        <f t="shared" si="230"/>
        <v>7300000</v>
      </c>
      <c r="AT312" s="2766">
        <f t="shared" si="230"/>
        <v>7400000</v>
      </c>
      <c r="AU312" s="2766">
        <f t="shared" si="230"/>
        <v>7500000</v>
      </c>
      <c r="AV312" s="2694">
        <v>0</v>
      </c>
      <c r="AW312" s="2809"/>
      <c r="AX312" s="3006"/>
      <c r="AY312" s="2774"/>
      <c r="AZ312" s="2774"/>
      <c r="BA312" s="2774"/>
      <c r="BB312" s="2774"/>
      <c r="BC312" s="2774"/>
      <c r="BD312" s="2774"/>
      <c r="BE312" s="2774"/>
      <c r="BF312" s="2774"/>
      <c r="BG312" s="2774"/>
      <c r="BI312" s="2730"/>
      <c r="BJ312" s="2730"/>
    </row>
    <row r="313" spans="1:62" ht="17.25" outlineLevel="1">
      <c r="A313" s="2773" t="s">
        <v>4261</v>
      </c>
      <c r="B313" s="2802"/>
      <c r="C313" s="3087"/>
      <c r="D313" s="3088"/>
      <c r="E313" s="3088"/>
      <c r="F313" s="2765">
        <f>SUM(F314:F316)</f>
        <v>1800000</v>
      </c>
      <c r="G313" s="2765">
        <f t="shared" ref="G313:AU313" si="231">SUM(G314:G316)</f>
        <v>1800000</v>
      </c>
      <c r="H313" s="2765">
        <f t="shared" si="231"/>
        <v>3720000</v>
      </c>
      <c r="I313" s="2765">
        <f t="shared" si="231"/>
        <v>3720000</v>
      </c>
      <c r="J313" s="2765">
        <f t="shared" si="231"/>
        <v>4020000</v>
      </c>
      <c r="K313" s="2765">
        <f t="shared" si="231"/>
        <v>4020000</v>
      </c>
      <c r="L313" s="2765">
        <f t="shared" si="231"/>
        <v>4020000</v>
      </c>
      <c r="M313" s="2765">
        <f t="shared" si="231"/>
        <v>4020000</v>
      </c>
      <c r="N313" s="2765">
        <f t="shared" si="231"/>
        <v>4320000</v>
      </c>
      <c r="O313" s="2765">
        <f t="shared" si="231"/>
        <v>4320000</v>
      </c>
      <c r="P313" s="2765">
        <f t="shared" si="231"/>
        <v>4320000</v>
      </c>
      <c r="Q313" s="2765">
        <f t="shared" si="231"/>
        <v>4320000</v>
      </c>
      <c r="R313" s="2765">
        <f t="shared" si="231"/>
        <v>4620000</v>
      </c>
      <c r="S313" s="2765">
        <f t="shared" si="231"/>
        <v>4620000</v>
      </c>
      <c r="T313" s="2765">
        <f t="shared" si="231"/>
        <v>4620000</v>
      </c>
      <c r="U313" s="2765">
        <f t="shared" si="231"/>
        <v>4620000</v>
      </c>
      <c r="V313" s="2765">
        <f t="shared" si="231"/>
        <v>4920000</v>
      </c>
      <c r="W313" s="2765">
        <f t="shared" si="231"/>
        <v>4920000</v>
      </c>
      <c r="X313" s="2765">
        <f t="shared" si="231"/>
        <v>4920000</v>
      </c>
      <c r="Y313" s="2765">
        <f t="shared" si="231"/>
        <v>4920000</v>
      </c>
      <c r="Z313" s="2765">
        <f t="shared" si="231"/>
        <v>5220000</v>
      </c>
      <c r="AA313" s="2765">
        <f t="shared" si="231"/>
        <v>5220000</v>
      </c>
      <c r="AB313" s="2765">
        <f t="shared" si="231"/>
        <v>5220000</v>
      </c>
      <c r="AC313" s="2765">
        <f t="shared" si="231"/>
        <v>5220000</v>
      </c>
      <c r="AD313" s="2765">
        <f t="shared" si="231"/>
        <v>5520000</v>
      </c>
      <c r="AE313" s="2765">
        <f t="shared" si="231"/>
        <v>5520000</v>
      </c>
      <c r="AF313" s="2765">
        <f t="shared" si="231"/>
        <v>5520000</v>
      </c>
      <c r="AG313" s="2765">
        <f t="shared" si="231"/>
        <v>5520000</v>
      </c>
      <c r="AH313" s="2765">
        <f t="shared" si="231"/>
        <v>5820000</v>
      </c>
      <c r="AI313" s="2765">
        <f t="shared" si="231"/>
        <v>5820000</v>
      </c>
      <c r="AJ313" s="2765">
        <f t="shared" si="231"/>
        <v>5820000</v>
      </c>
      <c r="AK313" s="2765">
        <f t="shared" si="231"/>
        <v>5820000</v>
      </c>
      <c r="AL313" s="2765">
        <f t="shared" si="231"/>
        <v>6120000</v>
      </c>
      <c r="AM313" s="2765">
        <f t="shared" si="231"/>
        <v>6120000</v>
      </c>
      <c r="AN313" s="2765">
        <f t="shared" si="231"/>
        <v>6120000</v>
      </c>
      <c r="AO313" s="2765">
        <f t="shared" si="231"/>
        <v>6120000</v>
      </c>
      <c r="AP313" s="2765">
        <f t="shared" si="231"/>
        <v>6420000</v>
      </c>
      <c r="AQ313" s="2765">
        <f t="shared" si="231"/>
        <v>6420000</v>
      </c>
      <c r="AR313" s="2765">
        <f t="shared" si="231"/>
        <v>6420000</v>
      </c>
      <c r="AS313" s="2765">
        <f t="shared" si="231"/>
        <v>6420000</v>
      </c>
      <c r="AT313" s="2765">
        <f t="shared" si="231"/>
        <v>6720000</v>
      </c>
      <c r="AU313" s="2765">
        <f t="shared" si="231"/>
        <v>6720000</v>
      </c>
      <c r="AV313" s="2694">
        <v>0</v>
      </c>
      <c r="AW313" s="2771"/>
      <c r="AX313" s="3086"/>
      <c r="AY313" s="2774"/>
      <c r="AZ313" s="2774"/>
      <c r="BA313" s="2774"/>
      <c r="BB313" s="2774"/>
      <c r="BC313" s="2774"/>
      <c r="BD313" s="2774"/>
      <c r="BE313" s="2774"/>
      <c r="BF313" s="2774"/>
      <c r="BG313" s="2774"/>
      <c r="BI313" s="2730"/>
      <c r="BJ313" s="2730"/>
    </row>
    <row r="314" spans="1:62" ht="17.25" outlineLevel="1">
      <c r="A314" s="2801" t="s">
        <v>4341</v>
      </c>
      <c r="B314" s="2802" t="s">
        <v>4057</v>
      </c>
      <c r="C314" s="3087"/>
      <c r="D314" s="3088"/>
      <c r="E314" s="3088"/>
      <c r="F314" s="2769">
        <f t="shared" ref="F314:G316" si="232">50000*12</f>
        <v>600000</v>
      </c>
      <c r="G314" s="2769">
        <f t="shared" si="232"/>
        <v>600000</v>
      </c>
      <c r="H314" s="2770">
        <f>150000*12</f>
        <v>1800000</v>
      </c>
      <c r="I314" s="2770">
        <f>H314</f>
        <v>1800000</v>
      </c>
      <c r="J314" s="2770">
        <f>I314+100000</f>
        <v>1900000</v>
      </c>
      <c r="K314" s="2770">
        <f t="shared" ref="K314:M316" si="233">J314</f>
        <v>1900000</v>
      </c>
      <c r="L314" s="2770">
        <f t="shared" si="233"/>
        <v>1900000</v>
      </c>
      <c r="M314" s="2770">
        <f t="shared" si="233"/>
        <v>1900000</v>
      </c>
      <c r="N314" s="2770">
        <f>M314+100000</f>
        <v>2000000</v>
      </c>
      <c r="O314" s="2770">
        <f t="shared" ref="O314:Q316" si="234">N314</f>
        <v>2000000</v>
      </c>
      <c r="P314" s="2770">
        <f t="shared" si="234"/>
        <v>2000000</v>
      </c>
      <c r="Q314" s="2770">
        <f t="shared" si="234"/>
        <v>2000000</v>
      </c>
      <c r="R314" s="2770">
        <f>Q314+100000</f>
        <v>2100000</v>
      </c>
      <c r="S314" s="2770">
        <f t="shared" ref="S314:U316" si="235">R314</f>
        <v>2100000</v>
      </c>
      <c r="T314" s="2770">
        <f t="shared" si="235"/>
        <v>2100000</v>
      </c>
      <c r="U314" s="2770">
        <f t="shared" si="235"/>
        <v>2100000</v>
      </c>
      <c r="V314" s="2770">
        <f>U314+100000</f>
        <v>2200000</v>
      </c>
      <c r="W314" s="2770">
        <f t="shared" ref="W314:Y316" si="236">V314</f>
        <v>2200000</v>
      </c>
      <c r="X314" s="2770">
        <f t="shared" si="236"/>
        <v>2200000</v>
      </c>
      <c r="Y314" s="2770">
        <f t="shared" si="236"/>
        <v>2200000</v>
      </c>
      <c r="Z314" s="2770">
        <f>Y314+100000</f>
        <v>2300000</v>
      </c>
      <c r="AA314" s="2770">
        <f t="shared" ref="AA314:AC316" si="237">Z314</f>
        <v>2300000</v>
      </c>
      <c r="AB314" s="2770">
        <f t="shared" si="237"/>
        <v>2300000</v>
      </c>
      <c r="AC314" s="2770">
        <f t="shared" si="237"/>
        <v>2300000</v>
      </c>
      <c r="AD314" s="2770">
        <f>AC314+100000</f>
        <v>2400000</v>
      </c>
      <c r="AE314" s="2770">
        <f t="shared" ref="AE314:AG316" si="238">AD314</f>
        <v>2400000</v>
      </c>
      <c r="AF314" s="2770">
        <f t="shared" si="238"/>
        <v>2400000</v>
      </c>
      <c r="AG314" s="2770">
        <f t="shared" si="238"/>
        <v>2400000</v>
      </c>
      <c r="AH314" s="2770">
        <f>AG314+100000</f>
        <v>2500000</v>
      </c>
      <c r="AI314" s="2770">
        <f t="shared" ref="AI314:AK316" si="239">AH314</f>
        <v>2500000</v>
      </c>
      <c r="AJ314" s="2770">
        <f t="shared" si="239"/>
        <v>2500000</v>
      </c>
      <c r="AK314" s="2770">
        <f t="shared" si="239"/>
        <v>2500000</v>
      </c>
      <c r="AL314" s="2770">
        <f>AK314+100000</f>
        <v>2600000</v>
      </c>
      <c r="AM314" s="2770">
        <f t="shared" ref="AM314:AO316" si="240">AL314</f>
        <v>2600000</v>
      </c>
      <c r="AN314" s="2770">
        <f t="shared" si="240"/>
        <v>2600000</v>
      </c>
      <c r="AO314" s="2770">
        <f t="shared" si="240"/>
        <v>2600000</v>
      </c>
      <c r="AP314" s="2770">
        <f>AO314+100000</f>
        <v>2700000</v>
      </c>
      <c r="AQ314" s="2770">
        <f t="shared" ref="AQ314:AS316" si="241">AP314</f>
        <v>2700000</v>
      </c>
      <c r="AR314" s="2770">
        <f t="shared" si="241"/>
        <v>2700000</v>
      </c>
      <c r="AS314" s="2770">
        <f t="shared" si="241"/>
        <v>2700000</v>
      </c>
      <c r="AT314" s="2770">
        <f>AS314+100000</f>
        <v>2800000</v>
      </c>
      <c r="AU314" s="2770">
        <f>AT314</f>
        <v>2800000</v>
      </c>
      <c r="AV314" s="2694">
        <v>0</v>
      </c>
      <c r="AW314" s="2771"/>
      <c r="AX314" s="3086"/>
      <c r="AY314" s="2760"/>
      <c r="AZ314" s="2760"/>
      <c r="BA314" s="2760"/>
      <c r="BB314" s="2760"/>
      <c r="BC314" s="2760"/>
      <c r="BD314" s="2760"/>
      <c r="BE314" s="2760"/>
      <c r="BF314" s="2760"/>
      <c r="BG314" s="2760"/>
      <c r="BI314" s="2730"/>
      <c r="BJ314" s="2730"/>
    </row>
    <row r="315" spans="1:62" ht="17.25" outlineLevel="1">
      <c r="A315" s="2801" t="s">
        <v>4342</v>
      </c>
      <c r="B315" s="2802" t="s">
        <v>4059</v>
      </c>
      <c r="C315" s="3087"/>
      <c r="D315" s="3088"/>
      <c r="E315" s="3088"/>
      <c r="F315" s="2769">
        <f t="shared" si="232"/>
        <v>600000</v>
      </c>
      <c r="G315" s="2769">
        <f t="shared" si="232"/>
        <v>600000</v>
      </c>
      <c r="H315" s="2770">
        <f>80000*12</f>
        <v>960000</v>
      </c>
      <c r="I315" s="2770">
        <f>H315</f>
        <v>960000</v>
      </c>
      <c r="J315" s="2770">
        <f>I315+100000</f>
        <v>1060000</v>
      </c>
      <c r="K315" s="2770">
        <f t="shared" si="233"/>
        <v>1060000</v>
      </c>
      <c r="L315" s="2770">
        <f t="shared" si="233"/>
        <v>1060000</v>
      </c>
      <c r="M315" s="2770">
        <f t="shared" si="233"/>
        <v>1060000</v>
      </c>
      <c r="N315" s="2770">
        <f>M315+100000</f>
        <v>1160000</v>
      </c>
      <c r="O315" s="2770">
        <f t="shared" si="234"/>
        <v>1160000</v>
      </c>
      <c r="P315" s="2770">
        <f t="shared" si="234"/>
        <v>1160000</v>
      </c>
      <c r="Q315" s="2770">
        <f t="shared" si="234"/>
        <v>1160000</v>
      </c>
      <c r="R315" s="2770">
        <f>Q315+100000</f>
        <v>1260000</v>
      </c>
      <c r="S315" s="2770">
        <f t="shared" si="235"/>
        <v>1260000</v>
      </c>
      <c r="T315" s="2770">
        <f t="shared" si="235"/>
        <v>1260000</v>
      </c>
      <c r="U315" s="2770">
        <f t="shared" si="235"/>
        <v>1260000</v>
      </c>
      <c r="V315" s="2770">
        <f>U315+100000</f>
        <v>1360000</v>
      </c>
      <c r="W315" s="2770">
        <f t="shared" si="236"/>
        <v>1360000</v>
      </c>
      <c r="X315" s="2770">
        <f t="shared" si="236"/>
        <v>1360000</v>
      </c>
      <c r="Y315" s="2770">
        <f t="shared" si="236"/>
        <v>1360000</v>
      </c>
      <c r="Z315" s="2770">
        <f>Y315+100000</f>
        <v>1460000</v>
      </c>
      <c r="AA315" s="2770">
        <f t="shared" si="237"/>
        <v>1460000</v>
      </c>
      <c r="AB315" s="2770">
        <f t="shared" si="237"/>
        <v>1460000</v>
      </c>
      <c r="AC315" s="2770">
        <f t="shared" si="237"/>
        <v>1460000</v>
      </c>
      <c r="AD315" s="2770">
        <f>AC315+100000</f>
        <v>1560000</v>
      </c>
      <c r="AE315" s="2770">
        <f t="shared" si="238"/>
        <v>1560000</v>
      </c>
      <c r="AF315" s="2770">
        <f t="shared" si="238"/>
        <v>1560000</v>
      </c>
      <c r="AG315" s="2770">
        <f t="shared" si="238"/>
        <v>1560000</v>
      </c>
      <c r="AH315" s="2770">
        <f>AG315+100000</f>
        <v>1660000</v>
      </c>
      <c r="AI315" s="2770">
        <f t="shared" si="239"/>
        <v>1660000</v>
      </c>
      <c r="AJ315" s="2770">
        <f t="shared" si="239"/>
        <v>1660000</v>
      </c>
      <c r="AK315" s="2770">
        <f t="shared" si="239"/>
        <v>1660000</v>
      </c>
      <c r="AL315" s="2770">
        <f>AK315+100000</f>
        <v>1760000</v>
      </c>
      <c r="AM315" s="2770">
        <f t="shared" si="240"/>
        <v>1760000</v>
      </c>
      <c r="AN315" s="2770">
        <f t="shared" si="240"/>
        <v>1760000</v>
      </c>
      <c r="AO315" s="2770">
        <f t="shared" si="240"/>
        <v>1760000</v>
      </c>
      <c r="AP315" s="2770">
        <f>AO315+100000</f>
        <v>1860000</v>
      </c>
      <c r="AQ315" s="2770">
        <f t="shared" si="241"/>
        <v>1860000</v>
      </c>
      <c r="AR315" s="2770">
        <f t="shared" si="241"/>
        <v>1860000</v>
      </c>
      <c r="AS315" s="2770">
        <f t="shared" si="241"/>
        <v>1860000</v>
      </c>
      <c r="AT315" s="2770">
        <f>AS315+100000</f>
        <v>1960000</v>
      </c>
      <c r="AU315" s="2770">
        <f>AT315</f>
        <v>1960000</v>
      </c>
      <c r="AV315" s="2694">
        <v>0</v>
      </c>
      <c r="AW315" s="2771"/>
      <c r="AX315" s="3086"/>
      <c r="AY315" s="2760"/>
      <c r="AZ315" s="2760"/>
      <c r="BA315" s="2760"/>
      <c r="BB315" s="2760"/>
      <c r="BC315" s="2760"/>
      <c r="BD315" s="2760"/>
      <c r="BE315" s="2760"/>
      <c r="BF315" s="2760"/>
      <c r="BG315" s="2760"/>
      <c r="BI315" s="2730"/>
      <c r="BJ315" s="2730"/>
    </row>
    <row r="316" spans="1:62" ht="17.25" outlineLevel="1">
      <c r="A316" s="2772" t="s">
        <v>4343</v>
      </c>
      <c r="B316" s="2802" t="s">
        <v>4059</v>
      </c>
      <c r="C316" s="3087"/>
      <c r="D316" s="3088"/>
      <c r="E316" s="3088"/>
      <c r="F316" s="2769">
        <f t="shared" si="232"/>
        <v>600000</v>
      </c>
      <c r="G316" s="2769">
        <f t="shared" si="232"/>
        <v>600000</v>
      </c>
      <c r="H316" s="2770">
        <f>H315</f>
        <v>960000</v>
      </c>
      <c r="I316" s="2770">
        <f>H316</f>
        <v>960000</v>
      </c>
      <c r="J316" s="2770">
        <f>I316+100000</f>
        <v>1060000</v>
      </c>
      <c r="K316" s="2770">
        <f t="shared" si="233"/>
        <v>1060000</v>
      </c>
      <c r="L316" s="2770">
        <f t="shared" si="233"/>
        <v>1060000</v>
      </c>
      <c r="M316" s="2770">
        <f t="shared" si="233"/>
        <v>1060000</v>
      </c>
      <c r="N316" s="2770">
        <f>M316+100000</f>
        <v>1160000</v>
      </c>
      <c r="O316" s="2770">
        <f t="shared" si="234"/>
        <v>1160000</v>
      </c>
      <c r="P316" s="2770">
        <f t="shared" si="234"/>
        <v>1160000</v>
      </c>
      <c r="Q316" s="2770">
        <f t="shared" si="234"/>
        <v>1160000</v>
      </c>
      <c r="R316" s="2770">
        <f>Q316+100000</f>
        <v>1260000</v>
      </c>
      <c r="S316" s="2770">
        <f t="shared" si="235"/>
        <v>1260000</v>
      </c>
      <c r="T316" s="2770">
        <f t="shared" si="235"/>
        <v>1260000</v>
      </c>
      <c r="U316" s="2770">
        <f t="shared" si="235"/>
        <v>1260000</v>
      </c>
      <c r="V316" s="2770">
        <f>U316+100000</f>
        <v>1360000</v>
      </c>
      <c r="W316" s="2770">
        <f t="shared" si="236"/>
        <v>1360000</v>
      </c>
      <c r="X316" s="2770">
        <f t="shared" si="236"/>
        <v>1360000</v>
      </c>
      <c r="Y316" s="2770">
        <f t="shared" si="236"/>
        <v>1360000</v>
      </c>
      <c r="Z316" s="2770">
        <f>Y316+100000</f>
        <v>1460000</v>
      </c>
      <c r="AA316" s="2770">
        <f t="shared" si="237"/>
        <v>1460000</v>
      </c>
      <c r="AB316" s="2770">
        <f t="shared" si="237"/>
        <v>1460000</v>
      </c>
      <c r="AC316" s="2770">
        <f t="shared" si="237"/>
        <v>1460000</v>
      </c>
      <c r="AD316" s="2770">
        <f>AC316+100000</f>
        <v>1560000</v>
      </c>
      <c r="AE316" s="2770">
        <f t="shared" si="238"/>
        <v>1560000</v>
      </c>
      <c r="AF316" s="2770">
        <f t="shared" si="238"/>
        <v>1560000</v>
      </c>
      <c r="AG316" s="2770">
        <f t="shared" si="238"/>
        <v>1560000</v>
      </c>
      <c r="AH316" s="2770">
        <f>AG316+100000</f>
        <v>1660000</v>
      </c>
      <c r="AI316" s="2770">
        <f t="shared" si="239"/>
        <v>1660000</v>
      </c>
      <c r="AJ316" s="2770">
        <f t="shared" si="239"/>
        <v>1660000</v>
      </c>
      <c r="AK316" s="2770">
        <f t="shared" si="239"/>
        <v>1660000</v>
      </c>
      <c r="AL316" s="2770">
        <f>AK316+100000</f>
        <v>1760000</v>
      </c>
      <c r="AM316" s="2770">
        <f t="shared" si="240"/>
        <v>1760000</v>
      </c>
      <c r="AN316" s="2770">
        <f t="shared" si="240"/>
        <v>1760000</v>
      </c>
      <c r="AO316" s="2770">
        <f t="shared" si="240"/>
        <v>1760000</v>
      </c>
      <c r="AP316" s="2770">
        <f>AO316+100000</f>
        <v>1860000</v>
      </c>
      <c r="AQ316" s="2770">
        <f t="shared" si="241"/>
        <v>1860000</v>
      </c>
      <c r="AR316" s="2770">
        <f t="shared" si="241"/>
        <v>1860000</v>
      </c>
      <c r="AS316" s="2770">
        <f t="shared" si="241"/>
        <v>1860000</v>
      </c>
      <c r="AT316" s="2770">
        <f>AS316+100000</f>
        <v>1960000</v>
      </c>
      <c r="AU316" s="2770">
        <f>AT316</f>
        <v>1960000</v>
      </c>
      <c r="AV316" s="2694">
        <v>0</v>
      </c>
      <c r="AW316" s="2771"/>
      <c r="AX316" s="3086"/>
      <c r="AY316" s="2760"/>
      <c r="AZ316" s="2760"/>
      <c r="BA316" s="2760"/>
      <c r="BB316" s="2760"/>
      <c r="BC316" s="2760"/>
      <c r="BD316" s="2760"/>
      <c r="BE316" s="2760"/>
      <c r="BF316" s="2760"/>
      <c r="BG316" s="2760"/>
      <c r="BI316" s="2730"/>
      <c r="BJ316" s="2730"/>
    </row>
    <row r="317" spans="1:62" ht="17.25" outlineLevel="1">
      <c r="A317" s="2854" t="s">
        <v>4265</v>
      </c>
      <c r="B317" s="2825"/>
      <c r="C317" s="3087"/>
      <c r="D317" s="3088"/>
      <c r="E317" s="3088"/>
      <c r="F317" s="2765">
        <f>SUM(F318:F321)</f>
        <v>18380010</v>
      </c>
      <c r="G317" s="2765">
        <f t="shared" ref="G317:AU317" si="242">SUM(G318:G321)</f>
        <v>17655910</v>
      </c>
      <c r="H317" s="2765">
        <f t="shared" si="242"/>
        <v>18477253.35945395</v>
      </c>
      <c r="I317" s="2765">
        <f t="shared" si="242"/>
        <v>18554528.055453949</v>
      </c>
      <c r="J317" s="2765">
        <f t="shared" si="242"/>
        <v>18632575.49841395</v>
      </c>
      <c r="K317" s="2765">
        <f t="shared" si="242"/>
        <v>19630001.187479086</v>
      </c>
      <c r="L317" s="2765">
        <f t="shared" si="242"/>
        <v>19709617.384042583</v>
      </c>
      <c r="M317" s="2765">
        <f t="shared" si="242"/>
        <v>20182000.34470902</v>
      </c>
      <c r="N317" s="2765">
        <f t="shared" si="242"/>
        <v>20855372.415052313</v>
      </c>
      <c r="O317" s="2765">
        <f t="shared" si="242"/>
        <v>20937401.061987877</v>
      </c>
      <c r="P317" s="2765">
        <f t="shared" si="242"/>
        <v>21020249.995392799</v>
      </c>
      <c r="Q317" s="2765">
        <f t="shared" si="242"/>
        <v>21725690.785772078</v>
      </c>
      <c r="R317" s="2765">
        <f t="shared" si="242"/>
        <v>19421046.170061</v>
      </c>
      <c r="S317" s="2765">
        <f t="shared" si="242"/>
        <v>17117246.696319584</v>
      </c>
      <c r="T317" s="2765">
        <f t="shared" si="242"/>
        <v>17617395.283399552</v>
      </c>
      <c r="U317" s="2765">
        <f t="shared" si="242"/>
        <v>17704470.345048193</v>
      </c>
      <c r="V317" s="2765">
        <f t="shared" si="242"/>
        <v>18764748.232240181</v>
      </c>
      <c r="W317" s="2765">
        <f t="shared" si="242"/>
        <v>20357771.222539816</v>
      </c>
      <c r="X317" s="2765">
        <f t="shared" si="242"/>
        <v>20447484.745631471</v>
      </c>
      <c r="Y317" s="2765">
        <f t="shared" si="242"/>
        <v>20538095.40395404</v>
      </c>
      <c r="Z317" s="2765">
        <f t="shared" si="242"/>
        <v>19108398.637636762</v>
      </c>
      <c r="AA317" s="2765">
        <f t="shared" si="242"/>
        <v>19886908.082260009</v>
      </c>
      <c r="AB317" s="2765">
        <f t="shared" si="242"/>
        <v>19980264.334140413</v>
      </c>
      <c r="AC317" s="2765">
        <f t="shared" si="242"/>
        <v>20591256.274816133</v>
      </c>
      <c r="AD317" s="2765">
        <f t="shared" si="242"/>
        <v>21812084.905596539</v>
      </c>
      <c r="AE317" s="2765">
        <f t="shared" si="242"/>
        <v>22441052.013230786</v>
      </c>
      <c r="AF317" s="2765">
        <f t="shared" si="242"/>
        <v>23723076.206560474</v>
      </c>
      <c r="AG317" s="2765">
        <f t="shared" si="242"/>
        <v>23821194.565526444</v>
      </c>
      <c r="AH317" s="2765">
        <f t="shared" si="242"/>
        <v>24676694.565137487</v>
      </c>
      <c r="AI317" s="2765">
        <f t="shared" si="242"/>
        <v>25499305.123035133</v>
      </c>
      <c r="AJ317" s="2765">
        <f t="shared" si="242"/>
        <v>26179515.666329179</v>
      </c>
      <c r="AK317" s="2765">
        <f t="shared" si="242"/>
        <v>26860737.124056842</v>
      </c>
      <c r="AL317" s="2765">
        <f t="shared" si="242"/>
        <v>27780418.43633499</v>
      </c>
      <c r="AM317" s="2765">
        <f t="shared" si="242"/>
        <v>28501334.892949957</v>
      </c>
      <c r="AN317" s="2765">
        <f t="shared" si="242"/>
        <v>28606531.0542881</v>
      </c>
      <c r="AO317" s="2765">
        <f t="shared" si="242"/>
        <v>29601003.096761934</v>
      </c>
      <c r="AP317" s="2765">
        <f t="shared" si="242"/>
        <v>29708313.700942978</v>
      </c>
      <c r="AQ317" s="2765">
        <f t="shared" si="242"/>
        <v>29816697.411165826</v>
      </c>
      <c r="AR317" s="2765">
        <f t="shared" si="242"/>
        <v>31529202.822049323</v>
      </c>
      <c r="AS317" s="2765">
        <f t="shared" si="242"/>
        <v>31639765.044847649</v>
      </c>
      <c r="AT317" s="2765">
        <f t="shared" si="242"/>
        <v>31751432.889873963</v>
      </c>
      <c r="AU317" s="2765">
        <f t="shared" si="242"/>
        <v>32877004.422026888</v>
      </c>
      <c r="AV317" s="2694">
        <v>0</v>
      </c>
      <c r="AW317" s="2771"/>
      <c r="AX317" s="3086"/>
      <c r="AY317" s="2760"/>
      <c r="AZ317" s="2760"/>
      <c r="BA317" s="2760"/>
      <c r="BB317" s="2760"/>
      <c r="BC317" s="2760"/>
      <c r="BD317" s="2760"/>
      <c r="BE317" s="2760"/>
      <c r="BF317" s="2760"/>
      <c r="BG317" s="2760"/>
      <c r="BI317" s="2730"/>
      <c r="BJ317" s="2730"/>
    </row>
    <row r="318" spans="1:62" ht="17.25" outlineLevel="1">
      <c r="A318" s="2772" t="s">
        <v>4344</v>
      </c>
      <c r="B318" s="2803" t="s">
        <v>4063</v>
      </c>
      <c r="C318" s="3098">
        <v>0.01</v>
      </c>
      <c r="D318" s="3099"/>
      <c r="E318" s="3099"/>
      <c r="F318" s="2770">
        <v>7146960</v>
      </c>
      <c r="G318" s="2770">
        <v>6472290</v>
      </c>
      <c r="H318" s="2770">
        <f t="shared" ref="H318:AU318" si="243">((H293*0.0306)+((H293*0.0306))*0.03275)*(1+$C$318)</f>
        <v>7033150.260057319</v>
      </c>
      <c r="I318" s="2770">
        <f t="shared" si="243"/>
        <v>7033150.260057319</v>
      </c>
      <c r="J318" s="2770">
        <f t="shared" si="243"/>
        <v>7033150.260057319</v>
      </c>
      <c r="K318" s="2770">
        <f t="shared" si="243"/>
        <v>7634151.7593726916</v>
      </c>
      <c r="L318" s="2770">
        <f t="shared" si="243"/>
        <v>7634151.7593726916</v>
      </c>
      <c r="M318" s="2770">
        <f t="shared" si="243"/>
        <v>7890602.3265696708</v>
      </c>
      <c r="N318" s="2770">
        <f t="shared" si="243"/>
        <v>8278025.8620136809</v>
      </c>
      <c r="O318" s="2770">
        <f t="shared" si="243"/>
        <v>8278025.8620136809</v>
      </c>
      <c r="P318" s="2770">
        <f t="shared" si="243"/>
        <v>8278025.8620136809</v>
      </c>
      <c r="Q318" s="2770">
        <f t="shared" si="243"/>
        <v>8684820.5742298886</v>
      </c>
      <c r="R318" s="2770">
        <f t="shared" si="243"/>
        <v>7121690.2545224978</v>
      </c>
      <c r="S318" s="2770">
        <f t="shared" si="243"/>
        <v>5558559.9348151088</v>
      </c>
      <c r="T318" s="2770">
        <f t="shared" si="243"/>
        <v>5829381.3506713891</v>
      </c>
      <c r="U318" s="2770">
        <f t="shared" si="243"/>
        <v>5829381.3506713891</v>
      </c>
      <c r="V318" s="2770">
        <f t="shared" si="243"/>
        <v>6465539.0389243979</v>
      </c>
      <c r="W318" s="2770">
        <f t="shared" si="243"/>
        <v>7449674.982651799</v>
      </c>
      <c r="X318" s="2770">
        <f t="shared" si="243"/>
        <v>7449674.982651799</v>
      </c>
      <c r="Y318" s="2770">
        <f t="shared" si="243"/>
        <v>7449674.982651799</v>
      </c>
      <c r="Z318" s="2770">
        <f t="shared" si="243"/>
        <v>6454406.2793799695</v>
      </c>
      <c r="AA318" s="2770">
        <f t="shared" si="243"/>
        <v>6903279.1442112913</v>
      </c>
      <c r="AB318" s="2770">
        <f t="shared" si="243"/>
        <v>6903279.1442112913</v>
      </c>
      <c r="AC318" s="2770">
        <f t="shared" si="243"/>
        <v>7241336.5205373801</v>
      </c>
      <c r="AD318" s="2770">
        <f t="shared" si="243"/>
        <v>7977768.564401268</v>
      </c>
      <c r="AE318" s="2770">
        <f t="shared" si="243"/>
        <v>8326346.3984968429</v>
      </c>
      <c r="AF318" s="2770">
        <f t="shared" si="243"/>
        <v>9101563.8633375615</v>
      </c>
      <c r="AG318" s="2770">
        <f t="shared" si="243"/>
        <v>9101563.8633375615</v>
      </c>
      <c r="AH318" s="2770">
        <f t="shared" si="243"/>
        <v>9596446.1968140956</v>
      </c>
      <c r="AI318" s="2770">
        <f t="shared" si="243"/>
        <v>10069161.925770326</v>
      </c>
      <c r="AJ318" s="2770">
        <f t="shared" si="243"/>
        <v>10448056.212338295</v>
      </c>
      <c r="AK318" s="2770">
        <f t="shared" si="243"/>
        <v>10826950.498906268</v>
      </c>
      <c r="AL318" s="2770">
        <f t="shared" si="243"/>
        <v>11361191.442967108</v>
      </c>
      <c r="AM318" s="2770">
        <f t="shared" si="243"/>
        <v>11764713.858161993</v>
      </c>
      <c r="AN318" s="2770">
        <f t="shared" si="243"/>
        <v>11764713.858161993</v>
      </c>
      <c r="AO318" s="2770">
        <f t="shared" si="243"/>
        <v>12345842.970185621</v>
      </c>
      <c r="AP318" s="2770">
        <f t="shared" si="243"/>
        <v>12345842.970185621</v>
      </c>
      <c r="AQ318" s="2770">
        <f t="shared" si="243"/>
        <v>12345842.970185621</v>
      </c>
      <c r="AR318" s="2770">
        <f t="shared" si="243"/>
        <v>13394646.036298675</v>
      </c>
      <c r="AS318" s="2770">
        <f t="shared" si="243"/>
        <v>13394646.036298675</v>
      </c>
      <c r="AT318" s="2770">
        <f t="shared" si="243"/>
        <v>13394646.036298675</v>
      </c>
      <c r="AU318" s="2770">
        <f t="shared" si="243"/>
        <v>14057271.757229134</v>
      </c>
      <c r="AV318" s="2694">
        <v>0</v>
      </c>
      <c r="AW318" s="2758"/>
      <c r="AX318" s="2875"/>
      <c r="AY318" s="2760"/>
      <c r="AZ318" s="2760"/>
      <c r="BA318" s="2760"/>
      <c r="BB318" s="2760"/>
      <c r="BC318" s="2760"/>
      <c r="BD318" s="2760"/>
      <c r="BE318" s="2760"/>
      <c r="BF318" s="2760"/>
      <c r="BG318" s="2760"/>
      <c r="BI318" s="2730"/>
      <c r="BJ318" s="2730"/>
    </row>
    <row r="319" spans="1:62" ht="17.25" outlineLevel="1">
      <c r="A319" s="2772" t="s">
        <v>4345</v>
      </c>
      <c r="B319" s="2803" t="s">
        <v>4065</v>
      </c>
      <c r="C319" s="3098">
        <v>0.01</v>
      </c>
      <c r="D319" s="3099"/>
      <c r="E319" s="3099"/>
      <c r="F319" s="2770">
        <v>7328040</v>
      </c>
      <c r="G319" s="2770">
        <v>7650960</v>
      </c>
      <c r="H319" s="2770">
        <f t="shared" ref="H319:AU319" si="244">G319*(1+$C$319)</f>
        <v>7727469.5999999996</v>
      </c>
      <c r="I319" s="2770">
        <f t="shared" si="244"/>
        <v>7804744.2960000001</v>
      </c>
      <c r="J319" s="2770">
        <f t="shared" si="244"/>
        <v>7882791.7389599998</v>
      </c>
      <c r="K319" s="2770">
        <f t="shared" si="244"/>
        <v>7961619.6563495994</v>
      </c>
      <c r="L319" s="2770">
        <f t="shared" si="244"/>
        <v>8041235.8529130956</v>
      </c>
      <c r="M319" s="2770">
        <f t="shared" si="244"/>
        <v>8121648.2114422265</v>
      </c>
      <c r="N319" s="2770">
        <f t="shared" si="244"/>
        <v>8202864.6935566487</v>
      </c>
      <c r="O319" s="2770">
        <f t="shared" si="244"/>
        <v>8284893.340492215</v>
      </c>
      <c r="P319" s="2770">
        <f t="shared" si="244"/>
        <v>8367742.2738971375</v>
      </c>
      <c r="Q319" s="2770">
        <f t="shared" si="244"/>
        <v>8451419.6966361087</v>
      </c>
      <c r="R319" s="2770">
        <f t="shared" si="244"/>
        <v>8535933.8936024699</v>
      </c>
      <c r="S319" s="2770">
        <f t="shared" si="244"/>
        <v>8621293.2325384952</v>
      </c>
      <c r="T319" s="2770">
        <f t="shared" si="244"/>
        <v>8707506.1648638807</v>
      </c>
      <c r="U319" s="2770">
        <f t="shared" si="244"/>
        <v>8794581.2265125196</v>
      </c>
      <c r="V319" s="2770">
        <f t="shared" si="244"/>
        <v>8882527.0387776457</v>
      </c>
      <c r="W319" s="2770">
        <f t="shared" si="244"/>
        <v>8971352.3091654219</v>
      </c>
      <c r="X319" s="2770">
        <f t="shared" si="244"/>
        <v>9061065.8322570771</v>
      </c>
      <c r="Y319" s="2770">
        <f t="shared" si="244"/>
        <v>9151676.4905796479</v>
      </c>
      <c r="Z319" s="2770">
        <f t="shared" si="244"/>
        <v>9243193.2554854453</v>
      </c>
      <c r="AA319" s="2770">
        <f t="shared" si="244"/>
        <v>9335625.1880402993</v>
      </c>
      <c r="AB319" s="2770">
        <f t="shared" si="244"/>
        <v>9428981.4399207029</v>
      </c>
      <c r="AC319" s="2770">
        <f t="shared" si="244"/>
        <v>9523271.25431991</v>
      </c>
      <c r="AD319" s="2770">
        <f t="shared" si="244"/>
        <v>9618503.9668631088</v>
      </c>
      <c r="AE319" s="2770">
        <f t="shared" si="244"/>
        <v>9714689.0065317396</v>
      </c>
      <c r="AF319" s="2770">
        <f t="shared" si="244"/>
        <v>9811835.8965970576</v>
      </c>
      <c r="AG319" s="2770">
        <f t="shared" si="244"/>
        <v>9909954.2555630282</v>
      </c>
      <c r="AH319" s="2770">
        <f t="shared" si="244"/>
        <v>10009053.798118658</v>
      </c>
      <c r="AI319" s="2770">
        <f t="shared" si="244"/>
        <v>10109144.336099844</v>
      </c>
      <c r="AJ319" s="2770">
        <f t="shared" si="244"/>
        <v>10210235.779460844</v>
      </c>
      <c r="AK319" s="2770">
        <f t="shared" si="244"/>
        <v>10312338.137255453</v>
      </c>
      <c r="AL319" s="2770">
        <f t="shared" si="244"/>
        <v>10415461.518628007</v>
      </c>
      <c r="AM319" s="2770">
        <f t="shared" si="244"/>
        <v>10519616.133814286</v>
      </c>
      <c r="AN319" s="2770">
        <f t="shared" si="244"/>
        <v>10624812.295152429</v>
      </c>
      <c r="AO319" s="2770">
        <f t="shared" si="244"/>
        <v>10731060.418103954</v>
      </c>
      <c r="AP319" s="2770">
        <f t="shared" si="244"/>
        <v>10838371.022284994</v>
      </c>
      <c r="AQ319" s="2770">
        <f t="shared" si="244"/>
        <v>10946754.732507844</v>
      </c>
      <c r="AR319" s="2770">
        <f t="shared" si="244"/>
        <v>11056222.279832922</v>
      </c>
      <c r="AS319" s="2770">
        <f t="shared" si="244"/>
        <v>11166784.502631251</v>
      </c>
      <c r="AT319" s="2770">
        <f t="shared" si="244"/>
        <v>11278452.347657563</v>
      </c>
      <c r="AU319" s="2770">
        <f t="shared" si="244"/>
        <v>11391236.87113414</v>
      </c>
      <c r="AV319" s="2694">
        <v>0</v>
      </c>
      <c r="AW319" s="2771"/>
      <c r="AX319" s="2875"/>
      <c r="AY319" s="2760"/>
      <c r="AZ319" s="2760"/>
      <c r="BA319" s="2760"/>
      <c r="BB319" s="2760"/>
      <c r="BC319" s="2760"/>
      <c r="BD319" s="2760"/>
      <c r="BE319" s="2760"/>
      <c r="BF319" s="2760"/>
      <c r="BG319" s="2760"/>
      <c r="BI319" s="2730"/>
      <c r="BJ319" s="2730"/>
    </row>
    <row r="320" spans="1:62" ht="17.25" outlineLevel="1">
      <c r="A320" s="2772" t="s">
        <v>4346</v>
      </c>
      <c r="B320" s="2803" t="s">
        <v>4067</v>
      </c>
      <c r="C320" s="3098">
        <v>0.01</v>
      </c>
      <c r="D320" s="3099"/>
      <c r="E320" s="3099"/>
      <c r="F320" s="2770">
        <v>1926470</v>
      </c>
      <c r="G320" s="2770">
        <v>1660930</v>
      </c>
      <c r="H320" s="2770">
        <f t="shared" ref="H320:AU320" si="245">H293*0.0065*(1+$C$320)</f>
        <v>1446593.8770106644</v>
      </c>
      <c r="I320" s="2770">
        <f t="shared" si="245"/>
        <v>1446593.8770106644</v>
      </c>
      <c r="J320" s="2770">
        <f t="shared" si="245"/>
        <v>1446593.8770106644</v>
      </c>
      <c r="K320" s="2770">
        <f t="shared" si="245"/>
        <v>1570209.1925999494</v>
      </c>
      <c r="L320" s="2770">
        <f t="shared" si="245"/>
        <v>1570209.1925999494</v>
      </c>
      <c r="M320" s="2770">
        <f t="shared" si="245"/>
        <v>1622956.511588701</v>
      </c>
      <c r="N320" s="2770">
        <f t="shared" si="245"/>
        <v>1702642.6399181359</v>
      </c>
      <c r="O320" s="2770">
        <f t="shared" si="245"/>
        <v>1702642.6399181359</v>
      </c>
      <c r="P320" s="2770">
        <f t="shared" si="245"/>
        <v>1702642.6399181359</v>
      </c>
      <c r="Q320" s="2770">
        <f t="shared" si="245"/>
        <v>1786313.0746640428</v>
      </c>
      <c r="R320" s="2770">
        <f t="shared" si="245"/>
        <v>1464804.9785978559</v>
      </c>
      <c r="S320" s="2770">
        <f t="shared" si="245"/>
        <v>1143296.8825316697</v>
      </c>
      <c r="T320" s="2770">
        <f t="shared" si="245"/>
        <v>1199000.0294082533</v>
      </c>
      <c r="U320" s="2770">
        <f t="shared" si="245"/>
        <v>1199000.0294082533</v>
      </c>
      <c r="V320" s="2770">
        <f t="shared" si="245"/>
        <v>1329846.3475747244</v>
      </c>
      <c r="W320" s="2770">
        <f t="shared" si="245"/>
        <v>1532265.6017782555</v>
      </c>
      <c r="X320" s="2770">
        <f t="shared" si="245"/>
        <v>1532265.6017782555</v>
      </c>
      <c r="Y320" s="2770">
        <f t="shared" si="245"/>
        <v>1532265.6017782555</v>
      </c>
      <c r="Z320" s="2770">
        <f t="shared" si="245"/>
        <v>1327556.537006811</v>
      </c>
      <c r="AA320" s="2770">
        <f t="shared" si="245"/>
        <v>1419881.6991050732</v>
      </c>
      <c r="AB320" s="2770">
        <f t="shared" si="245"/>
        <v>1419881.6991050732</v>
      </c>
      <c r="AC320" s="2770">
        <f t="shared" si="245"/>
        <v>1489414.0868103269</v>
      </c>
      <c r="AD320" s="2770">
        <f t="shared" si="245"/>
        <v>1640885.0558777882</v>
      </c>
      <c r="AE320" s="2770">
        <f t="shared" si="245"/>
        <v>1712581.3145697201</v>
      </c>
      <c r="AF320" s="2770">
        <f t="shared" si="245"/>
        <v>1872029.7546747341</v>
      </c>
      <c r="AG320" s="2770">
        <f t="shared" si="245"/>
        <v>1872029.7546747341</v>
      </c>
      <c r="AH320" s="2770">
        <f t="shared" si="245"/>
        <v>1973818.2458880681</v>
      </c>
      <c r="AI320" s="2770">
        <f t="shared" si="245"/>
        <v>2071047.4609324716</v>
      </c>
      <c r="AJ320" s="2770">
        <f t="shared" si="245"/>
        <v>2148979.2745176805</v>
      </c>
      <c r="AK320" s="2770">
        <f t="shared" si="245"/>
        <v>2226911.0881028902</v>
      </c>
      <c r="AL320" s="2770">
        <f t="shared" si="245"/>
        <v>2336794.9452580349</v>
      </c>
      <c r="AM320" s="2770">
        <f t="shared" si="245"/>
        <v>2419792.3267262815</v>
      </c>
      <c r="AN320" s="2770">
        <f t="shared" si="245"/>
        <v>2419792.3267262815</v>
      </c>
      <c r="AO320" s="2770">
        <f t="shared" si="245"/>
        <v>2539320.2458125963</v>
      </c>
      <c r="AP320" s="2770">
        <f t="shared" si="245"/>
        <v>2539320.2458125963</v>
      </c>
      <c r="AQ320" s="2770">
        <f t="shared" si="245"/>
        <v>2539320.2458125963</v>
      </c>
      <c r="AR320" s="2770">
        <f t="shared" si="245"/>
        <v>2755040.3765548035</v>
      </c>
      <c r="AS320" s="2770">
        <f t="shared" si="245"/>
        <v>2755040.3765548035</v>
      </c>
      <c r="AT320" s="2770">
        <f t="shared" si="245"/>
        <v>2755040.3765548035</v>
      </c>
      <c r="AU320" s="2770">
        <f t="shared" si="245"/>
        <v>2891330.6981325443</v>
      </c>
      <c r="AV320" s="2694">
        <v>0</v>
      </c>
      <c r="AW320" s="2771"/>
      <c r="AX320" s="2875"/>
      <c r="AY320" s="2760"/>
      <c r="AZ320" s="2760"/>
      <c r="BA320" s="2760"/>
      <c r="BB320" s="2760"/>
      <c r="BC320" s="2760"/>
      <c r="BD320" s="2760"/>
      <c r="BE320" s="2760"/>
      <c r="BF320" s="2760"/>
      <c r="BG320" s="2760"/>
      <c r="BI320" s="2730"/>
      <c r="BJ320" s="2730"/>
    </row>
    <row r="321" spans="1:62" ht="17.25" outlineLevel="1">
      <c r="A321" s="2772" t="s">
        <v>4347</v>
      </c>
      <c r="B321" s="2803" t="s">
        <v>4069</v>
      </c>
      <c r="C321" s="3098">
        <v>0.01</v>
      </c>
      <c r="D321" s="3099"/>
      <c r="E321" s="3099"/>
      <c r="F321" s="2770">
        <v>1978540</v>
      </c>
      <c r="G321" s="2770">
        <v>1871730</v>
      </c>
      <c r="H321" s="2770">
        <f t="shared" ref="H321:AU321" si="246">H293*0.0102*(1+$C$321)</f>
        <v>2270039.6223859661</v>
      </c>
      <c r="I321" s="2770">
        <f t="shared" si="246"/>
        <v>2270039.6223859661</v>
      </c>
      <c r="J321" s="2770">
        <f t="shared" si="246"/>
        <v>2270039.6223859661</v>
      </c>
      <c r="K321" s="2770">
        <f t="shared" si="246"/>
        <v>2464020.5791568439</v>
      </c>
      <c r="L321" s="2770">
        <f t="shared" si="246"/>
        <v>2464020.5791568439</v>
      </c>
      <c r="M321" s="2770">
        <f t="shared" si="246"/>
        <v>2546793.2951084231</v>
      </c>
      <c r="N321" s="2770">
        <f t="shared" si="246"/>
        <v>2671839.2195638446</v>
      </c>
      <c r="O321" s="2770">
        <f t="shared" si="246"/>
        <v>2671839.2195638446</v>
      </c>
      <c r="P321" s="2770">
        <f t="shared" si="246"/>
        <v>2671839.2195638446</v>
      </c>
      <c r="Q321" s="2770">
        <f t="shared" si="246"/>
        <v>2803137.4402420367</v>
      </c>
      <c r="R321" s="2770">
        <f t="shared" si="246"/>
        <v>2298617.043338174</v>
      </c>
      <c r="S321" s="2770">
        <f t="shared" si="246"/>
        <v>1794096.6464343125</v>
      </c>
      <c r="T321" s="2770">
        <f t="shared" si="246"/>
        <v>1881507.7384560283</v>
      </c>
      <c r="U321" s="2770">
        <f t="shared" si="246"/>
        <v>1881507.7384560283</v>
      </c>
      <c r="V321" s="2770">
        <f t="shared" si="246"/>
        <v>2086835.806963414</v>
      </c>
      <c r="W321" s="2770">
        <f t="shared" si="246"/>
        <v>2404478.3289443394</v>
      </c>
      <c r="X321" s="2770">
        <f t="shared" si="246"/>
        <v>2404478.3289443394</v>
      </c>
      <c r="Y321" s="2770">
        <f t="shared" si="246"/>
        <v>2404478.3289443394</v>
      </c>
      <c r="Z321" s="2770">
        <f t="shared" si="246"/>
        <v>2083242.5657645345</v>
      </c>
      <c r="AA321" s="2770">
        <f t="shared" si="246"/>
        <v>2228122.0509033464</v>
      </c>
      <c r="AB321" s="2770">
        <f t="shared" si="246"/>
        <v>2228122.0509033464</v>
      </c>
      <c r="AC321" s="2770">
        <f t="shared" si="246"/>
        <v>2337234.4131485135</v>
      </c>
      <c r="AD321" s="2770">
        <f t="shared" si="246"/>
        <v>2574927.3184543755</v>
      </c>
      <c r="AE321" s="2770">
        <f t="shared" si="246"/>
        <v>2687435.293632484</v>
      </c>
      <c r="AF321" s="2770">
        <f t="shared" si="246"/>
        <v>2937646.6919511217</v>
      </c>
      <c r="AG321" s="2770">
        <f t="shared" si="246"/>
        <v>2937646.6919511217</v>
      </c>
      <c r="AH321" s="2770">
        <f t="shared" si="246"/>
        <v>3097376.3243166609</v>
      </c>
      <c r="AI321" s="2770">
        <f t="shared" si="246"/>
        <v>3249951.4002324943</v>
      </c>
      <c r="AJ321" s="2770">
        <f t="shared" si="246"/>
        <v>3372244.4000123604</v>
      </c>
      <c r="AK321" s="2770">
        <f t="shared" si="246"/>
        <v>3494537.3997922279</v>
      </c>
      <c r="AL321" s="2770">
        <f t="shared" si="246"/>
        <v>3666970.5294818394</v>
      </c>
      <c r="AM321" s="2770">
        <f t="shared" si="246"/>
        <v>3797212.5742473961</v>
      </c>
      <c r="AN321" s="2770">
        <f t="shared" si="246"/>
        <v>3797212.5742473961</v>
      </c>
      <c r="AO321" s="2770">
        <f t="shared" si="246"/>
        <v>3984779.4626597669</v>
      </c>
      <c r="AP321" s="2770">
        <f t="shared" si="246"/>
        <v>3984779.4626597669</v>
      </c>
      <c r="AQ321" s="2770">
        <f t="shared" si="246"/>
        <v>3984779.4626597669</v>
      </c>
      <c r="AR321" s="2770">
        <f t="shared" si="246"/>
        <v>4323294.1293629231</v>
      </c>
      <c r="AS321" s="2770">
        <f t="shared" si="246"/>
        <v>4323294.1293629231</v>
      </c>
      <c r="AT321" s="2770">
        <f t="shared" si="246"/>
        <v>4323294.1293629231</v>
      </c>
      <c r="AU321" s="2770">
        <f t="shared" si="246"/>
        <v>4537165.0955310697</v>
      </c>
      <c r="AV321" s="2694">
        <v>0</v>
      </c>
      <c r="AW321" s="2771"/>
      <c r="AX321" s="2875"/>
      <c r="AY321" s="2760"/>
      <c r="AZ321" s="2760"/>
      <c r="BA321" s="2760"/>
      <c r="BB321" s="2760"/>
      <c r="BC321" s="2760"/>
      <c r="BD321" s="2760"/>
      <c r="BE321" s="2760"/>
      <c r="BF321" s="2760"/>
      <c r="BG321" s="2760"/>
      <c r="BI321" s="2730"/>
      <c r="BJ321" s="2730"/>
    </row>
    <row r="322" spans="1:62" ht="17.25" outlineLevel="1">
      <c r="A322" s="2789" t="s">
        <v>4072</v>
      </c>
      <c r="B322" s="2830"/>
      <c r="C322" s="3100"/>
      <c r="D322" s="3092">
        <v>1</v>
      </c>
      <c r="E322" s="3092"/>
      <c r="F322" s="2843">
        <f>SUM(F323,F327,F328)</f>
        <v>3115443</v>
      </c>
      <c r="G322" s="2843">
        <f t="shared" ref="G322:AU322" si="247">SUM(G323,G327,G328)</f>
        <v>1841564</v>
      </c>
      <c r="H322" s="2843">
        <f t="shared" si="247"/>
        <v>1750000</v>
      </c>
      <c r="I322" s="2843">
        <f t="shared" si="247"/>
        <v>1767500</v>
      </c>
      <c r="J322" s="2843">
        <f t="shared" si="247"/>
        <v>1785175</v>
      </c>
      <c r="K322" s="2843">
        <f t="shared" si="247"/>
        <v>1803026.75</v>
      </c>
      <c r="L322" s="2843">
        <f t="shared" si="247"/>
        <v>1821057.0175000001</v>
      </c>
      <c r="M322" s="2843">
        <f t="shared" si="247"/>
        <v>1839267.5876750001</v>
      </c>
      <c r="N322" s="2843">
        <f t="shared" si="247"/>
        <v>1857660.26355175</v>
      </c>
      <c r="O322" s="2843">
        <f t="shared" si="247"/>
        <v>1876236.8661872675</v>
      </c>
      <c r="P322" s="2843">
        <f t="shared" si="247"/>
        <v>1894999.23484914</v>
      </c>
      <c r="Q322" s="2843">
        <f t="shared" si="247"/>
        <v>1913949.2271976317</v>
      </c>
      <c r="R322" s="2843">
        <f t="shared" si="247"/>
        <v>1933088.7194696078</v>
      </c>
      <c r="S322" s="2843">
        <f t="shared" si="247"/>
        <v>1952419.6066643039</v>
      </c>
      <c r="T322" s="2843">
        <f t="shared" si="247"/>
        <v>1971943.802730947</v>
      </c>
      <c r="U322" s="2843">
        <f t="shared" si="247"/>
        <v>1991663.2407582565</v>
      </c>
      <c r="V322" s="2843">
        <f t="shared" si="247"/>
        <v>2011579.8731658391</v>
      </c>
      <c r="W322" s="2843">
        <f t="shared" si="247"/>
        <v>2031695.6718974975</v>
      </c>
      <c r="X322" s="2843">
        <f t="shared" si="247"/>
        <v>2052012.6286164727</v>
      </c>
      <c r="Y322" s="2843">
        <f t="shared" si="247"/>
        <v>2072532.7549026373</v>
      </c>
      <c r="Z322" s="2843">
        <f t="shared" si="247"/>
        <v>2093258.0824516639</v>
      </c>
      <c r="AA322" s="2843">
        <f t="shared" si="247"/>
        <v>2114190.6632761806</v>
      </c>
      <c r="AB322" s="2843">
        <f t="shared" si="247"/>
        <v>2135332.5699089426</v>
      </c>
      <c r="AC322" s="2843">
        <f t="shared" si="247"/>
        <v>2156685.8956080321</v>
      </c>
      <c r="AD322" s="2843">
        <f t="shared" si="247"/>
        <v>2178252.7545641121</v>
      </c>
      <c r="AE322" s="2843">
        <f t="shared" si="247"/>
        <v>2200035.2821097532</v>
      </c>
      <c r="AF322" s="2843">
        <f t="shared" si="247"/>
        <v>2222035.6349308509</v>
      </c>
      <c r="AG322" s="2843">
        <f t="shared" si="247"/>
        <v>2244255.9912801594</v>
      </c>
      <c r="AH322" s="2843">
        <f t="shared" si="247"/>
        <v>2266698.5511929612</v>
      </c>
      <c r="AI322" s="2843">
        <f t="shared" si="247"/>
        <v>2289365.5367048904</v>
      </c>
      <c r="AJ322" s="2843">
        <f t="shared" si="247"/>
        <v>2312259.1920719398</v>
      </c>
      <c r="AK322" s="2843">
        <f t="shared" si="247"/>
        <v>2335381.7839926593</v>
      </c>
      <c r="AL322" s="2843">
        <f t="shared" si="247"/>
        <v>2358735.6018325854</v>
      </c>
      <c r="AM322" s="2843">
        <f t="shared" si="247"/>
        <v>2382322.9578509117</v>
      </c>
      <c r="AN322" s="2843">
        <f t="shared" si="247"/>
        <v>2406146.1874294207</v>
      </c>
      <c r="AO322" s="2843">
        <f t="shared" si="247"/>
        <v>2430207.6493037147</v>
      </c>
      <c r="AP322" s="2843">
        <f t="shared" si="247"/>
        <v>2454509.7257967517</v>
      </c>
      <c r="AQ322" s="2843">
        <f t="shared" si="247"/>
        <v>2479054.8230547197</v>
      </c>
      <c r="AR322" s="2843">
        <f t="shared" si="247"/>
        <v>2503845.3712852667</v>
      </c>
      <c r="AS322" s="2843">
        <f t="shared" si="247"/>
        <v>2528883.8249981198</v>
      </c>
      <c r="AT322" s="2843">
        <f t="shared" si="247"/>
        <v>2554172.6632481008</v>
      </c>
      <c r="AU322" s="2843">
        <f t="shared" si="247"/>
        <v>2579714.3898805818</v>
      </c>
      <c r="AV322" s="2694">
        <v>0</v>
      </c>
      <c r="AW322" s="2771"/>
      <c r="AX322" s="3086"/>
      <c r="AY322" s="2760"/>
      <c r="AZ322" s="2760"/>
      <c r="BA322" s="2760"/>
      <c r="BB322" s="2760"/>
      <c r="BC322" s="2760"/>
      <c r="BD322" s="2760"/>
      <c r="BE322" s="2760"/>
      <c r="BF322" s="2760"/>
      <c r="BG322" s="2760"/>
      <c r="BI322" s="2730"/>
      <c r="BJ322" s="2730"/>
    </row>
    <row r="323" spans="1:62" ht="17.25" outlineLevel="1">
      <c r="A323" s="2773" t="s">
        <v>4348</v>
      </c>
      <c r="B323" s="2825"/>
      <c r="C323" s="3087"/>
      <c r="D323" s="3088"/>
      <c r="E323" s="3088"/>
      <c r="F323" s="2766">
        <f>SUM(F324:F326)</f>
        <v>525150</v>
      </c>
      <c r="G323" s="2766">
        <f t="shared" ref="G323:AU323" si="248">SUM(G324:G326)</f>
        <v>975220</v>
      </c>
      <c r="H323" s="2766">
        <f t="shared" si="248"/>
        <v>850000</v>
      </c>
      <c r="I323" s="2766">
        <f t="shared" si="248"/>
        <v>858500</v>
      </c>
      <c r="J323" s="2766">
        <f t="shared" si="248"/>
        <v>867085</v>
      </c>
      <c r="K323" s="2766">
        <f t="shared" si="248"/>
        <v>875755.85</v>
      </c>
      <c r="L323" s="2766">
        <f t="shared" si="248"/>
        <v>884513.4084999999</v>
      </c>
      <c r="M323" s="2766">
        <f t="shared" si="248"/>
        <v>893358.54258499993</v>
      </c>
      <c r="N323" s="2766">
        <f t="shared" si="248"/>
        <v>902292.12801084993</v>
      </c>
      <c r="O323" s="2766">
        <f t="shared" si="248"/>
        <v>911315.04929095844</v>
      </c>
      <c r="P323" s="2766">
        <f t="shared" si="248"/>
        <v>920428.19978386804</v>
      </c>
      <c r="Q323" s="2766">
        <f t="shared" si="248"/>
        <v>929632.4817817068</v>
      </c>
      <c r="R323" s="2766">
        <f t="shared" si="248"/>
        <v>938928.80659952387</v>
      </c>
      <c r="S323" s="2766">
        <f t="shared" si="248"/>
        <v>948318.09466551908</v>
      </c>
      <c r="T323" s="2766">
        <f t="shared" si="248"/>
        <v>957801.2756121743</v>
      </c>
      <c r="U323" s="2766">
        <f t="shared" si="248"/>
        <v>967379.28836829599</v>
      </c>
      <c r="V323" s="2766">
        <f t="shared" si="248"/>
        <v>977053.08125197899</v>
      </c>
      <c r="W323" s="2766">
        <f t="shared" si="248"/>
        <v>986823.61206449871</v>
      </c>
      <c r="X323" s="2766">
        <f t="shared" si="248"/>
        <v>996691.84818514378</v>
      </c>
      <c r="Y323" s="2766">
        <f t="shared" si="248"/>
        <v>1006658.7666669951</v>
      </c>
      <c r="Z323" s="2766">
        <f t="shared" si="248"/>
        <v>1016725.3543336652</v>
      </c>
      <c r="AA323" s="2766">
        <f t="shared" si="248"/>
        <v>1026892.6078770019</v>
      </c>
      <c r="AB323" s="2766">
        <f t="shared" si="248"/>
        <v>1037161.5339557719</v>
      </c>
      <c r="AC323" s="2766">
        <f t="shared" si="248"/>
        <v>1047533.1492953296</v>
      </c>
      <c r="AD323" s="2766">
        <f t="shared" si="248"/>
        <v>1058008.4807882828</v>
      </c>
      <c r="AE323" s="2766">
        <f t="shared" si="248"/>
        <v>1068588.5655961656</v>
      </c>
      <c r="AF323" s="2766">
        <f t="shared" si="248"/>
        <v>1079274.4512521273</v>
      </c>
      <c r="AG323" s="2766">
        <f t="shared" si="248"/>
        <v>1090067.1957646487</v>
      </c>
      <c r="AH323" s="2766">
        <f t="shared" si="248"/>
        <v>1100967.8677222952</v>
      </c>
      <c r="AI323" s="2766">
        <f t="shared" si="248"/>
        <v>1111977.5463995181</v>
      </c>
      <c r="AJ323" s="2766">
        <f t="shared" si="248"/>
        <v>1123097.3218635134</v>
      </c>
      <c r="AK323" s="2766">
        <f t="shared" si="248"/>
        <v>1134328.2950821486</v>
      </c>
      <c r="AL323" s="2766">
        <f t="shared" si="248"/>
        <v>1145671.57803297</v>
      </c>
      <c r="AM323" s="2766">
        <f t="shared" si="248"/>
        <v>1157128.2938132999</v>
      </c>
      <c r="AN323" s="2766">
        <f t="shared" si="248"/>
        <v>1168699.5767514328</v>
      </c>
      <c r="AO323" s="2766">
        <f t="shared" si="248"/>
        <v>1180386.5725189471</v>
      </c>
      <c r="AP323" s="2766">
        <f t="shared" si="248"/>
        <v>1192190.4382441365</v>
      </c>
      <c r="AQ323" s="2766">
        <f t="shared" si="248"/>
        <v>1204112.3426265779</v>
      </c>
      <c r="AR323" s="2766">
        <f t="shared" si="248"/>
        <v>1216153.4660528437</v>
      </c>
      <c r="AS323" s="2766">
        <f t="shared" si="248"/>
        <v>1228315.0007133724</v>
      </c>
      <c r="AT323" s="2766">
        <f t="shared" si="248"/>
        <v>1240598.150720506</v>
      </c>
      <c r="AU323" s="2766">
        <f t="shared" si="248"/>
        <v>1253004.1322277111</v>
      </c>
      <c r="AV323" s="2694">
        <v>0</v>
      </c>
      <c r="AW323" s="2758"/>
      <c r="AX323" s="3086"/>
      <c r="AY323" s="2774"/>
      <c r="AZ323" s="2774"/>
      <c r="BA323" s="2774"/>
      <c r="BB323" s="2774"/>
      <c r="BC323" s="2774"/>
      <c r="BD323" s="2774"/>
      <c r="BE323" s="2774"/>
      <c r="BF323" s="2774"/>
      <c r="BG323" s="2774"/>
      <c r="BI323" s="2730"/>
      <c r="BJ323" s="2730"/>
    </row>
    <row r="324" spans="1:62" ht="17.25" outlineLevel="1">
      <c r="A324" s="2801" t="s">
        <v>4349</v>
      </c>
      <c r="B324" s="2802" t="s">
        <v>4150</v>
      </c>
      <c r="C324" s="3098">
        <v>0.01</v>
      </c>
      <c r="D324" s="3099"/>
      <c r="E324" s="3099"/>
      <c r="F324" s="2769">
        <v>494400</v>
      </c>
      <c r="G324" s="2769">
        <v>788620</v>
      </c>
      <c r="H324" s="2770">
        <v>700000</v>
      </c>
      <c r="I324" s="2770">
        <f t="shared" ref="I324:AU324" si="249">H324*(1+$C$324)</f>
        <v>707000</v>
      </c>
      <c r="J324" s="2770">
        <f t="shared" si="249"/>
        <v>714070</v>
      </c>
      <c r="K324" s="2770">
        <f t="shared" si="249"/>
        <v>721210.7</v>
      </c>
      <c r="L324" s="2770">
        <f t="shared" si="249"/>
        <v>728422.80699999991</v>
      </c>
      <c r="M324" s="2770">
        <f t="shared" si="249"/>
        <v>735707.03506999987</v>
      </c>
      <c r="N324" s="2770">
        <f t="shared" si="249"/>
        <v>743064.10542069993</v>
      </c>
      <c r="O324" s="2770">
        <f t="shared" si="249"/>
        <v>750494.74647490692</v>
      </c>
      <c r="P324" s="2770">
        <f t="shared" si="249"/>
        <v>757999.69393965602</v>
      </c>
      <c r="Q324" s="2770">
        <f t="shared" si="249"/>
        <v>765579.69087905262</v>
      </c>
      <c r="R324" s="2770">
        <f t="shared" si="249"/>
        <v>773235.4877878431</v>
      </c>
      <c r="S324" s="2770">
        <f t="shared" si="249"/>
        <v>780967.84266572155</v>
      </c>
      <c r="T324" s="2770">
        <f t="shared" si="249"/>
        <v>788777.52109237877</v>
      </c>
      <c r="U324" s="2770">
        <f t="shared" si="249"/>
        <v>796665.29630330252</v>
      </c>
      <c r="V324" s="2770">
        <f t="shared" si="249"/>
        <v>804631.94926633558</v>
      </c>
      <c r="W324" s="2770">
        <f t="shared" si="249"/>
        <v>812678.26875899895</v>
      </c>
      <c r="X324" s="2770">
        <f t="shared" si="249"/>
        <v>820805.05144658894</v>
      </c>
      <c r="Y324" s="2770">
        <f t="shared" si="249"/>
        <v>829013.10196105484</v>
      </c>
      <c r="Z324" s="2770">
        <f t="shared" si="249"/>
        <v>837303.2329806654</v>
      </c>
      <c r="AA324" s="2770">
        <f t="shared" si="249"/>
        <v>845676.26531047211</v>
      </c>
      <c r="AB324" s="2770">
        <f t="shared" si="249"/>
        <v>854133.02796357684</v>
      </c>
      <c r="AC324" s="2770">
        <f t="shared" si="249"/>
        <v>862674.35824321257</v>
      </c>
      <c r="AD324" s="2770">
        <f t="shared" si="249"/>
        <v>871301.10182564473</v>
      </c>
      <c r="AE324" s="2770">
        <f t="shared" si="249"/>
        <v>880014.11284390115</v>
      </c>
      <c r="AF324" s="2770">
        <f t="shared" si="249"/>
        <v>888814.25397234014</v>
      </c>
      <c r="AG324" s="2770">
        <f t="shared" si="249"/>
        <v>897702.39651206357</v>
      </c>
      <c r="AH324" s="2770">
        <f t="shared" si="249"/>
        <v>906679.42047718423</v>
      </c>
      <c r="AI324" s="2770">
        <f t="shared" si="249"/>
        <v>915746.2146819561</v>
      </c>
      <c r="AJ324" s="2770">
        <f t="shared" si="249"/>
        <v>924903.67682877567</v>
      </c>
      <c r="AK324" s="2770">
        <f t="shared" si="249"/>
        <v>934152.71359706344</v>
      </c>
      <c r="AL324" s="2770">
        <f t="shared" si="249"/>
        <v>943494.24073303409</v>
      </c>
      <c r="AM324" s="2770">
        <f t="shared" si="249"/>
        <v>952929.18314036448</v>
      </c>
      <c r="AN324" s="2770">
        <f t="shared" si="249"/>
        <v>962458.4749717681</v>
      </c>
      <c r="AO324" s="2770">
        <f t="shared" si="249"/>
        <v>972083.05972148583</v>
      </c>
      <c r="AP324" s="2770">
        <f t="shared" si="249"/>
        <v>981803.89031870069</v>
      </c>
      <c r="AQ324" s="2770">
        <f t="shared" si="249"/>
        <v>991621.92922188772</v>
      </c>
      <c r="AR324" s="2770">
        <f t="shared" si="249"/>
        <v>1001538.1485141066</v>
      </c>
      <c r="AS324" s="2770">
        <f t="shared" si="249"/>
        <v>1011553.5299992478</v>
      </c>
      <c r="AT324" s="2770">
        <f t="shared" si="249"/>
        <v>1021669.0652992403</v>
      </c>
      <c r="AU324" s="2770">
        <f t="shared" si="249"/>
        <v>1031885.7559522328</v>
      </c>
      <c r="AV324" s="2694">
        <v>0</v>
      </c>
      <c r="AW324" s="2758"/>
      <c r="AX324" s="2875"/>
      <c r="AY324" s="2760"/>
      <c r="AZ324" s="2760"/>
      <c r="BA324" s="2760"/>
      <c r="BB324" s="2760"/>
      <c r="BC324" s="2760"/>
      <c r="BD324" s="2760"/>
      <c r="BE324" s="2760"/>
      <c r="BF324" s="2760"/>
      <c r="BG324" s="2760"/>
      <c r="BI324" s="2730"/>
      <c r="BJ324" s="2730"/>
    </row>
    <row r="325" spans="1:62" ht="17.25" outlineLevel="1">
      <c r="A325" s="2801" t="s">
        <v>4350</v>
      </c>
      <c r="B325" s="2802" t="s">
        <v>4282</v>
      </c>
      <c r="C325" s="3098">
        <v>0.01</v>
      </c>
      <c r="D325" s="3099"/>
      <c r="E325" s="3099"/>
      <c r="F325" s="2769">
        <v>30750</v>
      </c>
      <c r="G325" s="2769">
        <v>150000</v>
      </c>
      <c r="H325" s="2770">
        <v>150000</v>
      </c>
      <c r="I325" s="2770">
        <f t="shared" ref="I325:AU325" si="250">H325*(1+$C$325)</f>
        <v>151500</v>
      </c>
      <c r="J325" s="2770">
        <f t="shared" si="250"/>
        <v>153015</v>
      </c>
      <c r="K325" s="2770">
        <f t="shared" si="250"/>
        <v>154545.15</v>
      </c>
      <c r="L325" s="2770">
        <f t="shared" si="250"/>
        <v>156090.60149999999</v>
      </c>
      <c r="M325" s="2770">
        <f t="shared" si="250"/>
        <v>157651.507515</v>
      </c>
      <c r="N325" s="2770">
        <f t="shared" si="250"/>
        <v>159228.02259015001</v>
      </c>
      <c r="O325" s="2770">
        <f t="shared" si="250"/>
        <v>160820.30281605152</v>
      </c>
      <c r="P325" s="2770">
        <f t="shared" si="250"/>
        <v>162428.50584421205</v>
      </c>
      <c r="Q325" s="2770">
        <f t="shared" si="250"/>
        <v>164052.79090265417</v>
      </c>
      <c r="R325" s="2770">
        <f t="shared" si="250"/>
        <v>165693.31881168071</v>
      </c>
      <c r="S325" s="2770">
        <f t="shared" si="250"/>
        <v>167350.25199979753</v>
      </c>
      <c r="T325" s="2770">
        <f t="shared" si="250"/>
        <v>169023.7545197955</v>
      </c>
      <c r="U325" s="2770">
        <f t="shared" si="250"/>
        <v>170713.99206499345</v>
      </c>
      <c r="V325" s="2770">
        <f t="shared" si="250"/>
        <v>172421.13198564338</v>
      </c>
      <c r="W325" s="2770">
        <f t="shared" si="250"/>
        <v>174145.34330549982</v>
      </c>
      <c r="X325" s="2770">
        <f t="shared" si="250"/>
        <v>175886.79673855481</v>
      </c>
      <c r="Y325" s="2770">
        <f t="shared" si="250"/>
        <v>177645.66470594035</v>
      </c>
      <c r="Z325" s="2770">
        <f t="shared" si="250"/>
        <v>179422.12135299976</v>
      </c>
      <c r="AA325" s="2770">
        <f t="shared" si="250"/>
        <v>181216.34256652975</v>
      </c>
      <c r="AB325" s="2770">
        <f t="shared" si="250"/>
        <v>183028.50599219505</v>
      </c>
      <c r="AC325" s="2770">
        <f t="shared" si="250"/>
        <v>184858.79105211698</v>
      </c>
      <c r="AD325" s="2770">
        <f t="shared" si="250"/>
        <v>186707.37896263815</v>
      </c>
      <c r="AE325" s="2770">
        <f t="shared" si="250"/>
        <v>188574.45275226454</v>
      </c>
      <c r="AF325" s="2770">
        <f t="shared" si="250"/>
        <v>190460.19727978719</v>
      </c>
      <c r="AG325" s="2770">
        <f t="shared" si="250"/>
        <v>192364.79925258507</v>
      </c>
      <c r="AH325" s="2770">
        <f t="shared" si="250"/>
        <v>194288.44724511093</v>
      </c>
      <c r="AI325" s="2770">
        <f t="shared" si="250"/>
        <v>196231.33171756205</v>
      </c>
      <c r="AJ325" s="2770">
        <f t="shared" si="250"/>
        <v>198193.64503473768</v>
      </c>
      <c r="AK325" s="2770">
        <f t="shared" si="250"/>
        <v>200175.58148508507</v>
      </c>
      <c r="AL325" s="2770">
        <f t="shared" si="250"/>
        <v>202177.33729993593</v>
      </c>
      <c r="AM325" s="2770">
        <f t="shared" si="250"/>
        <v>204199.11067293529</v>
      </c>
      <c r="AN325" s="2770">
        <f t="shared" si="250"/>
        <v>206241.10177966463</v>
      </c>
      <c r="AO325" s="2770">
        <f t="shared" si="250"/>
        <v>208303.51279746127</v>
      </c>
      <c r="AP325" s="2770">
        <f t="shared" si="250"/>
        <v>210386.54792543588</v>
      </c>
      <c r="AQ325" s="2770">
        <f t="shared" si="250"/>
        <v>212490.41340469025</v>
      </c>
      <c r="AR325" s="2770">
        <f t="shared" si="250"/>
        <v>214615.31753873714</v>
      </c>
      <c r="AS325" s="2770">
        <f t="shared" si="250"/>
        <v>216761.47071412453</v>
      </c>
      <c r="AT325" s="2770">
        <f t="shared" si="250"/>
        <v>218929.08542126577</v>
      </c>
      <c r="AU325" s="2770">
        <f t="shared" si="250"/>
        <v>221118.37627547843</v>
      </c>
      <c r="AV325" s="2694">
        <v>0</v>
      </c>
      <c r="AW325" s="2771"/>
      <c r="AX325" s="2875"/>
      <c r="AY325" s="2760"/>
      <c r="AZ325" s="2760"/>
      <c r="BA325" s="2760"/>
      <c r="BB325" s="2760"/>
      <c r="BC325" s="2760"/>
      <c r="BD325" s="2760"/>
      <c r="BE325" s="2760"/>
      <c r="BF325" s="2760"/>
      <c r="BG325" s="2760"/>
      <c r="BI325" s="2730"/>
      <c r="BJ325" s="2730"/>
    </row>
    <row r="326" spans="1:62" ht="17.25" outlineLevel="1">
      <c r="A326" s="2772" t="s">
        <v>4351</v>
      </c>
      <c r="B326" s="2802"/>
      <c r="C326" s="3098"/>
      <c r="D326" s="3099"/>
      <c r="E326" s="3099"/>
      <c r="F326" s="2769"/>
      <c r="G326" s="2770">
        <v>36600</v>
      </c>
      <c r="H326" s="2770"/>
      <c r="I326" s="2770"/>
      <c r="J326" s="2770"/>
      <c r="K326" s="2770"/>
      <c r="L326" s="2770"/>
      <c r="M326" s="2770"/>
      <c r="N326" s="2770"/>
      <c r="O326" s="2770"/>
      <c r="P326" s="2770"/>
      <c r="Q326" s="2770"/>
      <c r="R326" s="2770"/>
      <c r="S326" s="2770"/>
      <c r="T326" s="2770"/>
      <c r="U326" s="2770"/>
      <c r="V326" s="2770"/>
      <c r="W326" s="2770"/>
      <c r="X326" s="2770"/>
      <c r="Y326" s="2770"/>
      <c r="Z326" s="2770"/>
      <c r="AA326" s="2770"/>
      <c r="AB326" s="2770"/>
      <c r="AC326" s="2770"/>
      <c r="AD326" s="2770"/>
      <c r="AE326" s="2770"/>
      <c r="AF326" s="2770"/>
      <c r="AG326" s="2770"/>
      <c r="AH326" s="2770"/>
      <c r="AI326" s="2770"/>
      <c r="AJ326" s="2770"/>
      <c r="AK326" s="2770"/>
      <c r="AL326" s="2770"/>
      <c r="AM326" s="2770"/>
      <c r="AN326" s="2770"/>
      <c r="AO326" s="2770"/>
      <c r="AP326" s="2770"/>
      <c r="AQ326" s="2770"/>
      <c r="AR326" s="2770"/>
      <c r="AS326" s="2770"/>
      <c r="AT326" s="2770"/>
      <c r="AU326" s="2770"/>
      <c r="AV326" s="2694">
        <v>0</v>
      </c>
      <c r="AW326" s="2771"/>
      <c r="AX326" s="2875"/>
      <c r="AY326" s="2760"/>
      <c r="AZ326" s="2760"/>
      <c r="BA326" s="2760"/>
      <c r="BB326" s="2760"/>
      <c r="BC326" s="2760"/>
      <c r="BD326" s="2760"/>
      <c r="BE326" s="2760"/>
      <c r="BF326" s="2760"/>
      <c r="BG326" s="2760"/>
      <c r="BI326" s="2730"/>
      <c r="BJ326" s="2730"/>
    </row>
    <row r="327" spans="1:62" ht="17.25" outlineLevel="1">
      <c r="A327" s="2773" t="s">
        <v>4352</v>
      </c>
      <c r="B327" s="2825"/>
      <c r="C327" s="3098">
        <v>0.01</v>
      </c>
      <c r="D327" s="3099"/>
      <c r="E327" s="3099"/>
      <c r="F327" s="2765">
        <v>939835</v>
      </c>
      <c r="G327" s="2766">
        <v>866344</v>
      </c>
      <c r="H327" s="2766">
        <f>1500*50*12</f>
        <v>900000</v>
      </c>
      <c r="I327" s="2766">
        <f t="shared" ref="I327:AU327" si="251">H327*(1+$C$327)</f>
        <v>909000</v>
      </c>
      <c r="J327" s="2766">
        <f t="shared" si="251"/>
        <v>918090</v>
      </c>
      <c r="K327" s="2766">
        <f t="shared" si="251"/>
        <v>927270.9</v>
      </c>
      <c r="L327" s="2766">
        <f t="shared" si="251"/>
        <v>936543.60900000005</v>
      </c>
      <c r="M327" s="2766">
        <f t="shared" si="251"/>
        <v>945909.04509000003</v>
      </c>
      <c r="N327" s="2766">
        <f t="shared" si="251"/>
        <v>955368.13554090005</v>
      </c>
      <c r="O327" s="2766">
        <f t="shared" si="251"/>
        <v>964921.81689630903</v>
      </c>
      <c r="P327" s="2766">
        <f t="shared" si="251"/>
        <v>974571.03506527212</v>
      </c>
      <c r="Q327" s="2766">
        <f t="shared" si="251"/>
        <v>984316.74541592482</v>
      </c>
      <c r="R327" s="2766">
        <f t="shared" si="251"/>
        <v>994159.91287008405</v>
      </c>
      <c r="S327" s="2766">
        <f t="shared" si="251"/>
        <v>1004101.5119987848</v>
      </c>
      <c r="T327" s="2766">
        <f t="shared" si="251"/>
        <v>1014142.5271187727</v>
      </c>
      <c r="U327" s="2766">
        <f t="shared" si="251"/>
        <v>1024283.9523899605</v>
      </c>
      <c r="V327" s="2766">
        <f t="shared" si="251"/>
        <v>1034526.7919138601</v>
      </c>
      <c r="W327" s="2766">
        <f t="shared" si="251"/>
        <v>1044872.0598329988</v>
      </c>
      <c r="X327" s="2766">
        <f t="shared" si="251"/>
        <v>1055320.7804313288</v>
      </c>
      <c r="Y327" s="2766">
        <f t="shared" si="251"/>
        <v>1065873.9882356422</v>
      </c>
      <c r="Z327" s="2766">
        <f t="shared" si="251"/>
        <v>1076532.7281179987</v>
      </c>
      <c r="AA327" s="2766">
        <f t="shared" si="251"/>
        <v>1087298.0553991788</v>
      </c>
      <c r="AB327" s="2766">
        <f t="shared" si="251"/>
        <v>1098171.0359531706</v>
      </c>
      <c r="AC327" s="2766">
        <f t="shared" si="251"/>
        <v>1109152.7463127023</v>
      </c>
      <c r="AD327" s="2766">
        <f t="shared" si="251"/>
        <v>1120244.2737758292</v>
      </c>
      <c r="AE327" s="2766">
        <f t="shared" si="251"/>
        <v>1131446.7165135876</v>
      </c>
      <c r="AF327" s="2766">
        <f t="shared" si="251"/>
        <v>1142761.1836787234</v>
      </c>
      <c r="AG327" s="2766">
        <f t="shared" si="251"/>
        <v>1154188.7955155107</v>
      </c>
      <c r="AH327" s="2766">
        <f t="shared" si="251"/>
        <v>1165730.6834706659</v>
      </c>
      <c r="AI327" s="2766">
        <f t="shared" si="251"/>
        <v>1177387.9903053725</v>
      </c>
      <c r="AJ327" s="2766">
        <f t="shared" si="251"/>
        <v>1189161.8702084261</v>
      </c>
      <c r="AK327" s="2766">
        <f t="shared" si="251"/>
        <v>1201053.4889105104</v>
      </c>
      <c r="AL327" s="2766">
        <f t="shared" si="251"/>
        <v>1213064.0237996154</v>
      </c>
      <c r="AM327" s="2766">
        <f t="shared" si="251"/>
        <v>1225194.6640376116</v>
      </c>
      <c r="AN327" s="2766">
        <f t="shared" si="251"/>
        <v>1237446.6106779878</v>
      </c>
      <c r="AO327" s="2766">
        <f t="shared" si="251"/>
        <v>1249821.0767847677</v>
      </c>
      <c r="AP327" s="2766">
        <f t="shared" si="251"/>
        <v>1262319.2875526154</v>
      </c>
      <c r="AQ327" s="2766">
        <f t="shared" si="251"/>
        <v>1274942.4804281415</v>
      </c>
      <c r="AR327" s="2766">
        <f t="shared" si="251"/>
        <v>1287691.905232423</v>
      </c>
      <c r="AS327" s="2766">
        <f t="shared" si="251"/>
        <v>1300568.8242847472</v>
      </c>
      <c r="AT327" s="2766">
        <f t="shared" si="251"/>
        <v>1313574.5125275948</v>
      </c>
      <c r="AU327" s="2766">
        <f t="shared" si="251"/>
        <v>1326710.2576528708</v>
      </c>
      <c r="AV327" s="2694">
        <v>0</v>
      </c>
      <c r="AW327" s="2771"/>
      <c r="AX327" s="2875"/>
      <c r="AY327" s="2774"/>
      <c r="AZ327" s="2774"/>
      <c r="BA327" s="2774"/>
      <c r="BB327" s="2774"/>
      <c r="BC327" s="2774"/>
      <c r="BD327" s="2774"/>
      <c r="BE327" s="2774"/>
      <c r="BF327" s="2774"/>
      <c r="BG327" s="2774"/>
      <c r="BI327" s="2730"/>
      <c r="BJ327" s="2730"/>
    </row>
    <row r="328" spans="1:62" ht="17.25" outlineLevel="1">
      <c r="A328" s="2773" t="s">
        <v>4286</v>
      </c>
      <c r="B328" s="2825"/>
      <c r="C328" s="3087"/>
      <c r="D328" s="3088"/>
      <c r="E328" s="3088"/>
      <c r="F328" s="2765">
        <v>1650458</v>
      </c>
      <c r="G328" s="2765"/>
      <c r="H328" s="2766"/>
      <c r="I328" s="2766"/>
      <c r="J328" s="2766"/>
      <c r="K328" s="2766"/>
      <c r="L328" s="2766"/>
      <c r="M328" s="2766"/>
      <c r="N328" s="2766"/>
      <c r="O328" s="2766"/>
      <c r="P328" s="2766"/>
      <c r="Q328" s="2766"/>
      <c r="R328" s="2766"/>
      <c r="S328" s="2766"/>
      <c r="T328" s="2766"/>
      <c r="U328" s="2766"/>
      <c r="V328" s="2766"/>
      <c r="W328" s="2766"/>
      <c r="X328" s="2766"/>
      <c r="Y328" s="2766"/>
      <c r="Z328" s="2766"/>
      <c r="AA328" s="2766"/>
      <c r="AB328" s="2766"/>
      <c r="AC328" s="2766"/>
      <c r="AD328" s="2766"/>
      <c r="AE328" s="2766"/>
      <c r="AF328" s="2766"/>
      <c r="AG328" s="2766"/>
      <c r="AH328" s="2766"/>
      <c r="AI328" s="2766"/>
      <c r="AJ328" s="2766"/>
      <c r="AK328" s="2766"/>
      <c r="AL328" s="2766"/>
      <c r="AM328" s="2766"/>
      <c r="AN328" s="2766"/>
      <c r="AO328" s="2766"/>
      <c r="AP328" s="2766"/>
      <c r="AQ328" s="2766"/>
      <c r="AR328" s="2766"/>
      <c r="AS328" s="2766"/>
      <c r="AT328" s="2766"/>
      <c r="AU328" s="2766"/>
      <c r="AV328" s="2694">
        <v>0</v>
      </c>
      <c r="AW328" s="2758"/>
      <c r="AX328" s="3086"/>
      <c r="AY328" s="2774"/>
      <c r="AZ328" s="2774"/>
      <c r="BA328" s="2774"/>
      <c r="BB328" s="2774"/>
      <c r="BC328" s="2774"/>
      <c r="BD328" s="2774"/>
      <c r="BE328" s="2774"/>
      <c r="BF328" s="2774"/>
      <c r="BG328" s="2774"/>
      <c r="BI328" s="2730"/>
      <c r="BJ328" s="2730"/>
    </row>
    <row r="329" spans="1:62" ht="17.25" outlineLevel="1">
      <c r="A329" s="2823" t="s">
        <v>4287</v>
      </c>
      <c r="B329" s="2904" t="s">
        <v>4353</v>
      </c>
      <c r="C329" s="3100"/>
      <c r="D329" s="3092">
        <v>1</v>
      </c>
      <c r="E329" s="3092"/>
      <c r="F329" s="2794">
        <v>600000</v>
      </c>
      <c r="G329" s="2843">
        <f t="shared" ref="G329:AU329" si="252">F329</f>
        <v>600000</v>
      </c>
      <c r="H329" s="2843">
        <f t="shared" si="252"/>
        <v>600000</v>
      </c>
      <c r="I329" s="2843">
        <f t="shared" si="252"/>
        <v>600000</v>
      </c>
      <c r="J329" s="2843">
        <f t="shared" si="252"/>
        <v>600000</v>
      </c>
      <c r="K329" s="2843">
        <f t="shared" si="252"/>
        <v>600000</v>
      </c>
      <c r="L329" s="2843">
        <f t="shared" si="252"/>
        <v>600000</v>
      </c>
      <c r="M329" s="2843">
        <f t="shared" si="252"/>
        <v>600000</v>
      </c>
      <c r="N329" s="2843">
        <f t="shared" si="252"/>
        <v>600000</v>
      </c>
      <c r="O329" s="2843">
        <f t="shared" si="252"/>
        <v>600000</v>
      </c>
      <c r="P329" s="2843">
        <f t="shared" si="252"/>
        <v>600000</v>
      </c>
      <c r="Q329" s="2843">
        <f t="shared" si="252"/>
        <v>600000</v>
      </c>
      <c r="R329" s="2843">
        <f t="shared" si="252"/>
        <v>600000</v>
      </c>
      <c r="S329" s="2843">
        <f t="shared" si="252"/>
        <v>600000</v>
      </c>
      <c r="T329" s="2843">
        <f t="shared" si="252"/>
        <v>600000</v>
      </c>
      <c r="U329" s="2843">
        <f t="shared" si="252"/>
        <v>600000</v>
      </c>
      <c r="V329" s="2843">
        <f t="shared" si="252"/>
        <v>600000</v>
      </c>
      <c r="W329" s="2843">
        <f t="shared" si="252"/>
        <v>600000</v>
      </c>
      <c r="X329" s="2843">
        <f t="shared" si="252"/>
        <v>600000</v>
      </c>
      <c r="Y329" s="2843">
        <f t="shared" si="252"/>
        <v>600000</v>
      </c>
      <c r="Z329" s="2843">
        <f t="shared" si="252"/>
        <v>600000</v>
      </c>
      <c r="AA329" s="2843">
        <f t="shared" si="252"/>
        <v>600000</v>
      </c>
      <c r="AB329" s="2843">
        <f t="shared" si="252"/>
        <v>600000</v>
      </c>
      <c r="AC329" s="2843">
        <f t="shared" si="252"/>
        <v>600000</v>
      </c>
      <c r="AD329" s="2843">
        <f t="shared" si="252"/>
        <v>600000</v>
      </c>
      <c r="AE329" s="2843">
        <f t="shared" si="252"/>
        <v>600000</v>
      </c>
      <c r="AF329" s="2843">
        <f t="shared" si="252"/>
        <v>600000</v>
      </c>
      <c r="AG329" s="2843">
        <f t="shared" si="252"/>
        <v>600000</v>
      </c>
      <c r="AH329" s="2843">
        <f t="shared" si="252"/>
        <v>600000</v>
      </c>
      <c r="AI329" s="2843">
        <f t="shared" si="252"/>
        <v>600000</v>
      </c>
      <c r="AJ329" s="2843">
        <f t="shared" si="252"/>
        <v>600000</v>
      </c>
      <c r="AK329" s="2843">
        <f t="shared" si="252"/>
        <v>600000</v>
      </c>
      <c r="AL329" s="2843">
        <f t="shared" si="252"/>
        <v>600000</v>
      </c>
      <c r="AM329" s="2843">
        <f t="shared" si="252"/>
        <v>600000</v>
      </c>
      <c r="AN329" s="2843">
        <f t="shared" si="252"/>
        <v>600000</v>
      </c>
      <c r="AO329" s="2843">
        <f t="shared" si="252"/>
        <v>600000</v>
      </c>
      <c r="AP329" s="2843">
        <f t="shared" si="252"/>
        <v>600000</v>
      </c>
      <c r="AQ329" s="2843">
        <f t="shared" si="252"/>
        <v>600000</v>
      </c>
      <c r="AR329" s="2843">
        <f t="shared" si="252"/>
        <v>600000</v>
      </c>
      <c r="AS329" s="2843">
        <f t="shared" si="252"/>
        <v>600000</v>
      </c>
      <c r="AT329" s="2843">
        <f t="shared" si="252"/>
        <v>600000</v>
      </c>
      <c r="AU329" s="2843">
        <f t="shared" si="252"/>
        <v>600000</v>
      </c>
      <c r="AV329" s="2694">
        <v>0</v>
      </c>
      <c r="AW329" s="2758"/>
      <c r="AX329" s="3086"/>
      <c r="AY329" s="2760"/>
      <c r="AZ329" s="2760"/>
      <c r="BA329" s="2760"/>
      <c r="BB329" s="2760"/>
      <c r="BC329" s="2760"/>
      <c r="BD329" s="2760"/>
      <c r="BE329" s="2760"/>
      <c r="BF329" s="2760"/>
      <c r="BG329" s="2760"/>
      <c r="BI329" s="2730"/>
      <c r="BJ329" s="2730"/>
    </row>
    <row r="330" spans="1:62" ht="17.25" outlineLevel="1">
      <c r="A330" s="2789" t="s">
        <v>4089</v>
      </c>
      <c r="B330" s="2824" t="s">
        <v>4134</v>
      </c>
      <c r="C330" s="3100">
        <v>100</v>
      </c>
      <c r="D330" s="3092">
        <v>1</v>
      </c>
      <c r="E330" s="3092"/>
      <c r="F330" s="2794">
        <v>2107000</v>
      </c>
      <c r="G330" s="2794">
        <v>1419400</v>
      </c>
      <c r="H330" s="2843">
        <f t="shared" ref="H330:AU330" si="253">G330+$C$330*1000</f>
        <v>1519400</v>
      </c>
      <c r="I330" s="2843">
        <f t="shared" si="253"/>
        <v>1619400</v>
      </c>
      <c r="J330" s="2843">
        <f t="shared" si="253"/>
        <v>1719400</v>
      </c>
      <c r="K330" s="2843">
        <f t="shared" si="253"/>
        <v>1819400</v>
      </c>
      <c r="L330" s="2843">
        <f t="shared" si="253"/>
        <v>1919400</v>
      </c>
      <c r="M330" s="2843">
        <f t="shared" si="253"/>
        <v>2019400</v>
      </c>
      <c r="N330" s="2843">
        <f t="shared" si="253"/>
        <v>2119400</v>
      </c>
      <c r="O330" s="2843">
        <f t="shared" si="253"/>
        <v>2219400</v>
      </c>
      <c r="P330" s="2843">
        <f t="shared" si="253"/>
        <v>2319400</v>
      </c>
      <c r="Q330" s="2843">
        <f t="shared" si="253"/>
        <v>2419400</v>
      </c>
      <c r="R330" s="2843">
        <f t="shared" si="253"/>
        <v>2519400</v>
      </c>
      <c r="S330" s="2843">
        <f t="shared" si="253"/>
        <v>2619400</v>
      </c>
      <c r="T330" s="2843">
        <f t="shared" si="253"/>
        <v>2719400</v>
      </c>
      <c r="U330" s="2843">
        <f t="shared" si="253"/>
        <v>2819400</v>
      </c>
      <c r="V330" s="2843">
        <f t="shared" si="253"/>
        <v>2919400</v>
      </c>
      <c r="W330" s="2843">
        <f t="shared" si="253"/>
        <v>3019400</v>
      </c>
      <c r="X330" s="2843">
        <f t="shared" si="253"/>
        <v>3119400</v>
      </c>
      <c r="Y330" s="2843">
        <f t="shared" si="253"/>
        <v>3219400</v>
      </c>
      <c r="Z330" s="2843">
        <f t="shared" si="253"/>
        <v>3319400</v>
      </c>
      <c r="AA330" s="2843">
        <f t="shared" si="253"/>
        <v>3419400</v>
      </c>
      <c r="AB330" s="2843">
        <f t="shared" si="253"/>
        <v>3519400</v>
      </c>
      <c r="AC330" s="2843">
        <f t="shared" si="253"/>
        <v>3619400</v>
      </c>
      <c r="AD330" s="2843">
        <f t="shared" si="253"/>
        <v>3719400</v>
      </c>
      <c r="AE330" s="2843">
        <f t="shared" si="253"/>
        <v>3819400</v>
      </c>
      <c r="AF330" s="2843">
        <f t="shared" si="253"/>
        <v>3919400</v>
      </c>
      <c r="AG330" s="2843">
        <f t="shared" si="253"/>
        <v>4019400</v>
      </c>
      <c r="AH330" s="2843">
        <f t="shared" si="253"/>
        <v>4119400</v>
      </c>
      <c r="AI330" s="2843">
        <f t="shared" si="253"/>
        <v>4219400</v>
      </c>
      <c r="AJ330" s="2843">
        <f t="shared" si="253"/>
        <v>4319400</v>
      </c>
      <c r="AK330" s="2843">
        <f t="shared" si="253"/>
        <v>4419400</v>
      </c>
      <c r="AL330" s="2843">
        <f t="shared" si="253"/>
        <v>4519400</v>
      </c>
      <c r="AM330" s="2843">
        <f t="shared" si="253"/>
        <v>4619400</v>
      </c>
      <c r="AN330" s="2843">
        <f t="shared" si="253"/>
        <v>4719400</v>
      </c>
      <c r="AO330" s="2843">
        <f t="shared" si="253"/>
        <v>4819400</v>
      </c>
      <c r="AP330" s="2843">
        <f t="shared" si="253"/>
        <v>4919400</v>
      </c>
      <c r="AQ330" s="2843">
        <f t="shared" si="253"/>
        <v>5019400</v>
      </c>
      <c r="AR330" s="2843">
        <f t="shared" si="253"/>
        <v>5119400</v>
      </c>
      <c r="AS330" s="2843">
        <f t="shared" si="253"/>
        <v>5219400</v>
      </c>
      <c r="AT330" s="2843">
        <f t="shared" si="253"/>
        <v>5319400</v>
      </c>
      <c r="AU330" s="2843">
        <f t="shared" si="253"/>
        <v>5419400</v>
      </c>
      <c r="AV330" s="2694">
        <v>0</v>
      </c>
      <c r="AW330" s="2809"/>
      <c r="AX330" s="3086"/>
      <c r="AY330" s="2760"/>
      <c r="AZ330" s="2760"/>
      <c r="BA330" s="2760"/>
      <c r="BB330" s="2760"/>
      <c r="BC330" s="2760"/>
      <c r="BD330" s="2760"/>
      <c r="BE330" s="2760"/>
      <c r="BF330" s="2760"/>
      <c r="BG330" s="2760"/>
      <c r="BI330" s="2730"/>
      <c r="BJ330" s="2730"/>
    </row>
    <row r="331" spans="1:62" ht="17.25" outlineLevel="1">
      <c r="A331" s="2789" t="s">
        <v>4354</v>
      </c>
      <c r="B331" s="2830" t="s">
        <v>4355</v>
      </c>
      <c r="C331" s="3101">
        <v>0.02</v>
      </c>
      <c r="D331" s="3092">
        <v>1</v>
      </c>
      <c r="E331" s="3102"/>
      <c r="F331" s="2843">
        <f>SUM(F332:F334)</f>
        <v>4752728</v>
      </c>
      <c r="G331" s="2843">
        <f t="shared" ref="G331:AU331" si="254">SUM(G332:G334)</f>
        <v>5198182</v>
      </c>
      <c r="H331" s="2843">
        <f t="shared" si="254"/>
        <v>5302145.6399999997</v>
      </c>
      <c r="I331" s="2843">
        <f t="shared" si="254"/>
        <v>5408188.5527999997</v>
      </c>
      <c r="J331" s="2843">
        <f t="shared" si="254"/>
        <v>5516352.3238559999</v>
      </c>
      <c r="K331" s="2843">
        <f t="shared" si="254"/>
        <v>5626679.3703331202</v>
      </c>
      <c r="L331" s="2843">
        <f t="shared" si="254"/>
        <v>5739212.9577397825</v>
      </c>
      <c r="M331" s="2843">
        <f t="shared" si="254"/>
        <v>5853997.2168945782</v>
      </c>
      <c r="N331" s="2843">
        <f t="shared" si="254"/>
        <v>5971077.1612324696</v>
      </c>
      <c r="O331" s="2843">
        <f t="shared" si="254"/>
        <v>6090498.7044571191</v>
      </c>
      <c r="P331" s="2843">
        <f t="shared" si="254"/>
        <v>6212308.678546262</v>
      </c>
      <c r="Q331" s="2843">
        <f t="shared" si="254"/>
        <v>6336554.8521171864</v>
      </c>
      <c r="R331" s="2843">
        <f t="shared" si="254"/>
        <v>6463285.9491595309</v>
      </c>
      <c r="S331" s="2843">
        <f t="shared" si="254"/>
        <v>6592551.668142722</v>
      </c>
      <c r="T331" s="2843">
        <f t="shared" si="254"/>
        <v>6724402.7015055763</v>
      </c>
      <c r="U331" s="2843">
        <f t="shared" si="254"/>
        <v>6858890.7555356883</v>
      </c>
      <c r="V331" s="2843">
        <f t="shared" si="254"/>
        <v>6996068.5706464024</v>
      </c>
      <c r="W331" s="2843">
        <f t="shared" si="254"/>
        <v>7135989.9420593306</v>
      </c>
      <c r="X331" s="2843">
        <f t="shared" si="254"/>
        <v>7278709.7409005174</v>
      </c>
      <c r="Y331" s="2843">
        <f t="shared" si="254"/>
        <v>7424283.935718528</v>
      </c>
      <c r="Z331" s="2843">
        <f t="shared" si="254"/>
        <v>7572769.6144328993</v>
      </c>
      <c r="AA331" s="2843">
        <f t="shared" si="254"/>
        <v>7724225.006721558</v>
      </c>
      <c r="AB331" s="2843">
        <f t="shared" si="254"/>
        <v>7878709.5068559889</v>
      </c>
      <c r="AC331" s="2843">
        <f t="shared" si="254"/>
        <v>8036283.6969931088</v>
      </c>
      <c r="AD331" s="2843">
        <f t="shared" si="254"/>
        <v>8197009.3709329711</v>
      </c>
      <c r="AE331" s="2843">
        <f t="shared" si="254"/>
        <v>8360949.5583516303</v>
      </c>
      <c r="AF331" s="2843">
        <f t="shared" si="254"/>
        <v>8528168.5495186634</v>
      </c>
      <c r="AG331" s="2843">
        <f t="shared" si="254"/>
        <v>8698731.9205090366</v>
      </c>
      <c r="AH331" s="2843">
        <f t="shared" si="254"/>
        <v>8872706.5589192174</v>
      </c>
      <c r="AI331" s="2843">
        <f t="shared" si="254"/>
        <v>9050160.6900976021</v>
      </c>
      <c r="AJ331" s="2843">
        <f t="shared" si="254"/>
        <v>9231163.9038995542</v>
      </c>
      <c r="AK331" s="2843">
        <f t="shared" si="254"/>
        <v>9415787.1819775458</v>
      </c>
      <c r="AL331" s="2843">
        <f t="shared" si="254"/>
        <v>9604102.9256170969</v>
      </c>
      <c r="AM331" s="2843">
        <f t="shared" si="254"/>
        <v>9796184.9841294382</v>
      </c>
      <c r="AN331" s="2843">
        <f t="shared" si="254"/>
        <v>9992108.6838120278</v>
      </c>
      <c r="AO331" s="2843">
        <f t="shared" si="254"/>
        <v>10191950.857488269</v>
      </c>
      <c r="AP331" s="2843">
        <f t="shared" si="254"/>
        <v>10395789.874638034</v>
      </c>
      <c r="AQ331" s="2843">
        <f t="shared" si="254"/>
        <v>10603705.672130795</v>
      </c>
      <c r="AR331" s="2843">
        <f t="shared" si="254"/>
        <v>10815779.785573412</v>
      </c>
      <c r="AS331" s="2843">
        <f t="shared" si="254"/>
        <v>11032095.38128488</v>
      </c>
      <c r="AT331" s="2843">
        <f t="shared" si="254"/>
        <v>11252737.288910577</v>
      </c>
      <c r="AU331" s="2843">
        <f t="shared" si="254"/>
        <v>11477792.034688789</v>
      </c>
      <c r="AV331" s="2694">
        <v>0</v>
      </c>
      <c r="AW331" s="2771"/>
      <c r="AX331" s="2875"/>
      <c r="AY331" s="2774"/>
      <c r="AZ331" s="2774"/>
      <c r="BA331" s="2774"/>
      <c r="BB331" s="2774"/>
      <c r="BC331" s="2774"/>
      <c r="BD331" s="2774"/>
      <c r="BE331" s="2774"/>
      <c r="BF331" s="2774"/>
      <c r="BG331" s="2774"/>
      <c r="BI331" s="2730"/>
      <c r="BJ331" s="2730"/>
    </row>
    <row r="332" spans="1:62" ht="17.25" outlineLevel="1">
      <c r="A332" s="2767" t="s">
        <v>4356</v>
      </c>
      <c r="B332" s="3103"/>
      <c r="C332" s="3104"/>
      <c r="D332" s="3105"/>
      <c r="E332" s="3105"/>
      <c r="F332" s="3106">
        <v>4392728</v>
      </c>
      <c r="G332" s="3106">
        <v>4838182</v>
      </c>
      <c r="H332" s="3107">
        <f t="shared" ref="H332:AU332" si="255">G332*(1+$C$331)</f>
        <v>4934945.6399999997</v>
      </c>
      <c r="I332" s="3107">
        <f t="shared" si="255"/>
        <v>5033644.5527999997</v>
      </c>
      <c r="J332" s="3107">
        <f t="shared" si="255"/>
        <v>5134317.443856</v>
      </c>
      <c r="K332" s="3107">
        <f t="shared" si="255"/>
        <v>5237003.7927331198</v>
      </c>
      <c r="L332" s="3107">
        <f t="shared" si="255"/>
        <v>5341743.8685877826</v>
      </c>
      <c r="M332" s="3107">
        <f t="shared" si="255"/>
        <v>5448578.745959538</v>
      </c>
      <c r="N332" s="3107">
        <f t="shared" si="255"/>
        <v>5557550.3208787292</v>
      </c>
      <c r="O332" s="3107">
        <f t="shared" si="255"/>
        <v>5668701.3272963036</v>
      </c>
      <c r="P332" s="3107">
        <f t="shared" si="255"/>
        <v>5782075.3538422296</v>
      </c>
      <c r="Q332" s="3107">
        <f t="shared" si="255"/>
        <v>5897716.8609190742</v>
      </c>
      <c r="R332" s="3107">
        <f t="shared" si="255"/>
        <v>6015671.1981374556</v>
      </c>
      <c r="S332" s="3107">
        <f t="shared" si="255"/>
        <v>6135984.6221002052</v>
      </c>
      <c r="T332" s="3107">
        <f t="shared" si="255"/>
        <v>6258704.3145422097</v>
      </c>
      <c r="U332" s="3107">
        <f t="shared" si="255"/>
        <v>6383878.4008330544</v>
      </c>
      <c r="V332" s="3107">
        <f t="shared" si="255"/>
        <v>6511555.9688497158</v>
      </c>
      <c r="W332" s="3107">
        <f t="shared" si="255"/>
        <v>6641787.0882267104</v>
      </c>
      <c r="X332" s="3107">
        <f t="shared" si="255"/>
        <v>6774622.8299912447</v>
      </c>
      <c r="Y332" s="3107">
        <f t="shared" si="255"/>
        <v>6910115.2865910698</v>
      </c>
      <c r="Z332" s="3107">
        <f t="shared" si="255"/>
        <v>7048317.5923228916</v>
      </c>
      <c r="AA332" s="3107">
        <f t="shared" si="255"/>
        <v>7189283.94416935</v>
      </c>
      <c r="AB332" s="3107">
        <f t="shared" si="255"/>
        <v>7333069.6230527367</v>
      </c>
      <c r="AC332" s="3107">
        <f t="shared" si="255"/>
        <v>7479731.0155137917</v>
      </c>
      <c r="AD332" s="3107">
        <f t="shared" si="255"/>
        <v>7629325.6358240675</v>
      </c>
      <c r="AE332" s="3107">
        <f t="shared" si="255"/>
        <v>7781912.148540549</v>
      </c>
      <c r="AF332" s="3107">
        <f t="shared" si="255"/>
        <v>7937550.3915113602</v>
      </c>
      <c r="AG332" s="3107">
        <f t="shared" si="255"/>
        <v>8096301.3993415879</v>
      </c>
      <c r="AH332" s="3107">
        <f t="shared" si="255"/>
        <v>8258227.4273284199</v>
      </c>
      <c r="AI332" s="3107">
        <f t="shared" si="255"/>
        <v>8423391.9758749884</v>
      </c>
      <c r="AJ332" s="3107">
        <f t="shared" si="255"/>
        <v>8591859.8153924886</v>
      </c>
      <c r="AK332" s="3107">
        <f t="shared" si="255"/>
        <v>8763697.0117003378</v>
      </c>
      <c r="AL332" s="3107">
        <f t="shared" si="255"/>
        <v>8938970.9519343451</v>
      </c>
      <c r="AM332" s="3107">
        <f t="shared" si="255"/>
        <v>9117750.370973032</v>
      </c>
      <c r="AN332" s="3107">
        <f t="shared" si="255"/>
        <v>9300105.3783924934</v>
      </c>
      <c r="AO332" s="3107">
        <f t="shared" si="255"/>
        <v>9486107.4859603439</v>
      </c>
      <c r="AP332" s="3107">
        <f t="shared" si="255"/>
        <v>9675829.6356795505</v>
      </c>
      <c r="AQ332" s="3107">
        <f t="shared" si="255"/>
        <v>9869346.2283931412</v>
      </c>
      <c r="AR332" s="3107">
        <f t="shared" si="255"/>
        <v>10066733.152961005</v>
      </c>
      <c r="AS332" s="3107">
        <f t="shared" si="255"/>
        <v>10268067.816020224</v>
      </c>
      <c r="AT332" s="3107">
        <f t="shared" si="255"/>
        <v>10473429.17234063</v>
      </c>
      <c r="AU332" s="3107">
        <f t="shared" si="255"/>
        <v>10682897.755787442</v>
      </c>
      <c r="AV332" s="2694">
        <v>0</v>
      </c>
      <c r="AW332" s="2758"/>
      <c r="AX332" s="3086"/>
      <c r="AY332" s="2760"/>
      <c r="AZ332" s="2760"/>
      <c r="BA332" s="2760"/>
      <c r="BB332" s="2760"/>
      <c r="BC332" s="2760"/>
      <c r="BD332" s="2760"/>
      <c r="BE332" s="2760"/>
      <c r="BF332" s="2760"/>
      <c r="BG332" s="2760"/>
      <c r="BI332" s="2730"/>
      <c r="BJ332" s="2730"/>
    </row>
    <row r="333" spans="1:62" ht="17.25" outlineLevel="1">
      <c r="A333" s="2767" t="s">
        <v>4357</v>
      </c>
      <c r="B333" s="2844" t="s">
        <v>4358</v>
      </c>
      <c r="C333" s="3087"/>
      <c r="D333" s="3088"/>
      <c r="E333" s="3088"/>
      <c r="F333" s="2769"/>
      <c r="G333" s="2770"/>
      <c r="H333" s="2770"/>
      <c r="I333" s="2770"/>
      <c r="J333" s="2770"/>
      <c r="K333" s="2770"/>
      <c r="L333" s="2770"/>
      <c r="M333" s="2770"/>
      <c r="N333" s="2770"/>
      <c r="O333" s="2770"/>
      <c r="P333" s="2770"/>
      <c r="Q333" s="2770"/>
      <c r="R333" s="2770"/>
      <c r="S333" s="2770"/>
      <c r="T333" s="2770"/>
      <c r="U333" s="2770"/>
      <c r="V333" s="2770"/>
      <c r="W333" s="2770"/>
      <c r="X333" s="2770"/>
      <c r="Y333" s="2770"/>
      <c r="Z333" s="2770"/>
      <c r="AA333" s="2770"/>
      <c r="AB333" s="2770"/>
      <c r="AC333" s="2770"/>
      <c r="AD333" s="2770"/>
      <c r="AE333" s="2770"/>
      <c r="AF333" s="2770"/>
      <c r="AG333" s="2770"/>
      <c r="AH333" s="2770"/>
      <c r="AI333" s="2770"/>
      <c r="AJ333" s="2770"/>
      <c r="AK333" s="2770"/>
      <c r="AL333" s="2770"/>
      <c r="AM333" s="2770"/>
      <c r="AN333" s="2770"/>
      <c r="AO333" s="2770"/>
      <c r="AP333" s="2770"/>
      <c r="AQ333" s="2770"/>
      <c r="AR333" s="2770"/>
      <c r="AS333" s="2770"/>
      <c r="AT333" s="2770"/>
      <c r="AU333" s="2770"/>
      <c r="AV333" s="2694">
        <v>0</v>
      </c>
      <c r="AW333" s="2771"/>
      <c r="AX333" s="3086"/>
      <c r="AY333" s="2760"/>
      <c r="AZ333" s="2760"/>
      <c r="BA333" s="2760"/>
      <c r="BB333" s="2760"/>
      <c r="BC333" s="2760"/>
      <c r="BD333" s="2760"/>
      <c r="BE333" s="2760"/>
      <c r="BF333" s="2760"/>
      <c r="BG333" s="2760"/>
      <c r="BI333" s="2730"/>
      <c r="BJ333" s="2730"/>
    </row>
    <row r="334" spans="1:62" ht="17.25" outlineLevel="1">
      <c r="A334" s="2767" t="s">
        <v>4359</v>
      </c>
      <c r="B334" s="3108" t="s">
        <v>4360</v>
      </c>
      <c r="C334" s="3109"/>
      <c r="D334" s="3110"/>
      <c r="E334" s="3110"/>
      <c r="F334" s="2821">
        <v>360000</v>
      </c>
      <c r="G334" s="2821">
        <v>360000</v>
      </c>
      <c r="H334" s="2822">
        <f t="shared" ref="H334:AU334" si="256">G334*(1+$C$331)</f>
        <v>367200</v>
      </c>
      <c r="I334" s="2822">
        <f t="shared" si="256"/>
        <v>374544</v>
      </c>
      <c r="J334" s="2822">
        <f t="shared" si="256"/>
        <v>382034.88</v>
      </c>
      <c r="K334" s="2822">
        <f t="shared" si="256"/>
        <v>389675.57760000002</v>
      </c>
      <c r="L334" s="2822">
        <f t="shared" si="256"/>
        <v>397469.08915200003</v>
      </c>
      <c r="M334" s="2822">
        <f t="shared" si="256"/>
        <v>405418.47093504004</v>
      </c>
      <c r="N334" s="2822">
        <f t="shared" si="256"/>
        <v>413526.84035374084</v>
      </c>
      <c r="O334" s="2822">
        <f t="shared" si="256"/>
        <v>421797.3771608157</v>
      </c>
      <c r="P334" s="2822">
        <f t="shared" si="256"/>
        <v>430233.32470403204</v>
      </c>
      <c r="Q334" s="2822">
        <f t="shared" si="256"/>
        <v>438837.99119811266</v>
      </c>
      <c r="R334" s="2822">
        <f t="shared" si="256"/>
        <v>447614.75102207495</v>
      </c>
      <c r="S334" s="2822">
        <f t="shared" si="256"/>
        <v>456567.04604251648</v>
      </c>
      <c r="T334" s="2822">
        <f t="shared" si="256"/>
        <v>465698.38696336682</v>
      </c>
      <c r="U334" s="2822">
        <f t="shared" si="256"/>
        <v>475012.35470263415</v>
      </c>
      <c r="V334" s="2822">
        <f t="shared" si="256"/>
        <v>484512.60179668682</v>
      </c>
      <c r="W334" s="2822">
        <f t="shared" si="256"/>
        <v>494202.85383262055</v>
      </c>
      <c r="X334" s="2822">
        <f t="shared" si="256"/>
        <v>504086.91090927296</v>
      </c>
      <c r="Y334" s="2822">
        <f t="shared" si="256"/>
        <v>514168.64912745846</v>
      </c>
      <c r="Z334" s="2822">
        <f t="shared" si="256"/>
        <v>524452.02211000759</v>
      </c>
      <c r="AA334" s="2822">
        <f t="shared" si="256"/>
        <v>534941.06255220773</v>
      </c>
      <c r="AB334" s="2822">
        <f t="shared" si="256"/>
        <v>545639.8838032519</v>
      </c>
      <c r="AC334" s="2822">
        <f t="shared" si="256"/>
        <v>556552.6814793169</v>
      </c>
      <c r="AD334" s="2822">
        <f t="shared" si="256"/>
        <v>567683.73510890326</v>
      </c>
      <c r="AE334" s="2822">
        <f t="shared" si="256"/>
        <v>579037.40981108136</v>
      </c>
      <c r="AF334" s="2822">
        <f t="shared" si="256"/>
        <v>590618.15800730302</v>
      </c>
      <c r="AG334" s="2822">
        <f t="shared" si="256"/>
        <v>602430.52116744907</v>
      </c>
      <c r="AH334" s="2822">
        <f t="shared" si="256"/>
        <v>614479.13159079803</v>
      </c>
      <c r="AI334" s="2822">
        <f t="shared" si="256"/>
        <v>626768.71422261395</v>
      </c>
      <c r="AJ334" s="2822">
        <f t="shared" si="256"/>
        <v>639304.08850706625</v>
      </c>
      <c r="AK334" s="2822">
        <f t="shared" si="256"/>
        <v>652090.17027720762</v>
      </c>
      <c r="AL334" s="2822">
        <f t="shared" si="256"/>
        <v>665131.97368275176</v>
      </c>
      <c r="AM334" s="2822">
        <f t="shared" si="256"/>
        <v>678434.61315640679</v>
      </c>
      <c r="AN334" s="2822">
        <f t="shared" si="256"/>
        <v>692003.30541953491</v>
      </c>
      <c r="AO334" s="2822">
        <f t="shared" si="256"/>
        <v>705843.3715279256</v>
      </c>
      <c r="AP334" s="2822">
        <f t="shared" si="256"/>
        <v>719960.23895848414</v>
      </c>
      <c r="AQ334" s="2822">
        <f t="shared" si="256"/>
        <v>734359.44373765378</v>
      </c>
      <c r="AR334" s="2822">
        <f t="shared" si="256"/>
        <v>749046.63261240686</v>
      </c>
      <c r="AS334" s="2822">
        <f t="shared" si="256"/>
        <v>764027.56526465504</v>
      </c>
      <c r="AT334" s="2822">
        <f t="shared" si="256"/>
        <v>779308.11656994815</v>
      </c>
      <c r="AU334" s="2822">
        <f t="shared" si="256"/>
        <v>794894.27890134708</v>
      </c>
      <c r="AV334" s="2694">
        <v>0</v>
      </c>
      <c r="AW334" s="2845"/>
      <c r="AX334" s="3086"/>
      <c r="AY334" s="2760"/>
      <c r="AZ334" s="2760"/>
      <c r="BA334" s="2760"/>
      <c r="BB334" s="2760"/>
      <c r="BC334" s="2760"/>
      <c r="BD334" s="2760"/>
      <c r="BE334" s="2760"/>
      <c r="BF334" s="2760"/>
      <c r="BG334" s="2760"/>
      <c r="BI334" s="2730"/>
      <c r="BJ334" s="2730"/>
    </row>
    <row r="335" spans="1:62" ht="17.25" outlineLevel="1">
      <c r="A335" s="2789" t="s">
        <v>4361</v>
      </c>
      <c r="B335" s="2830"/>
      <c r="C335" s="3100"/>
      <c r="D335" s="3092"/>
      <c r="E335" s="3092"/>
      <c r="F335" s="2794"/>
      <c r="G335" s="2843"/>
      <c r="H335" s="2843"/>
      <c r="I335" s="2843"/>
      <c r="J335" s="2843"/>
      <c r="K335" s="2843"/>
      <c r="L335" s="2843"/>
      <c r="M335" s="2843"/>
      <c r="N335" s="2843"/>
      <c r="O335" s="2843"/>
      <c r="P335" s="2843"/>
      <c r="Q335" s="2843"/>
      <c r="R335" s="2843"/>
      <c r="S335" s="2843"/>
      <c r="T335" s="2843"/>
      <c r="U335" s="2843"/>
      <c r="V335" s="2843"/>
      <c r="W335" s="2843"/>
      <c r="X335" s="2843"/>
      <c r="Y335" s="2843"/>
      <c r="Z335" s="2843"/>
      <c r="AA335" s="2843"/>
      <c r="AB335" s="2843"/>
      <c r="AC335" s="2843"/>
      <c r="AD335" s="2843"/>
      <c r="AE335" s="2843"/>
      <c r="AF335" s="2843"/>
      <c r="AG335" s="2843"/>
      <c r="AH335" s="2843"/>
      <c r="AI335" s="2843"/>
      <c r="AJ335" s="2843"/>
      <c r="AK335" s="2843"/>
      <c r="AL335" s="2843"/>
      <c r="AM335" s="2843"/>
      <c r="AN335" s="2843"/>
      <c r="AO335" s="2843"/>
      <c r="AP335" s="2843"/>
      <c r="AQ335" s="2843"/>
      <c r="AR335" s="2843"/>
      <c r="AS335" s="2843"/>
      <c r="AT335" s="2843"/>
      <c r="AU335" s="2843"/>
      <c r="AV335" s="2694">
        <v>0</v>
      </c>
      <c r="AW335" s="2845"/>
      <c r="AX335" s="3086"/>
      <c r="AY335" s="2774"/>
      <c r="AZ335" s="2774"/>
      <c r="BA335" s="2774"/>
      <c r="BB335" s="2774"/>
      <c r="BC335" s="2774"/>
      <c r="BD335" s="2774"/>
      <c r="BE335" s="2774"/>
      <c r="BF335" s="2774"/>
      <c r="BG335" s="2774"/>
      <c r="BI335" s="2730"/>
      <c r="BJ335" s="2730"/>
    </row>
    <row r="336" spans="1:62" ht="17.25" outlineLevel="1">
      <c r="A336" s="2955" t="s">
        <v>4362</v>
      </c>
      <c r="B336" s="3111" t="e">
        <f>민감도!#REF!</f>
        <v>#REF!</v>
      </c>
      <c r="C336" s="3112"/>
      <c r="D336" s="3113">
        <v>1</v>
      </c>
      <c r="E336" s="3113"/>
      <c r="F336" s="2903">
        <f>SUM(F338:F340)</f>
        <v>3123507480</v>
      </c>
      <c r="G336" s="2903">
        <f t="shared" ref="G336:AU336" si="257">SUM(G338:G340)</f>
        <v>3472460060</v>
      </c>
      <c r="H336" s="2903">
        <f t="shared" si="257"/>
        <v>3646083063</v>
      </c>
      <c r="I336" s="2903">
        <f t="shared" ca="1" si="257"/>
        <v>3008254591.5587502</v>
      </c>
      <c r="J336" s="2903">
        <f t="shared" ca="1" si="257"/>
        <v>3083460956.3477187</v>
      </c>
      <c r="K336" s="2903">
        <f t="shared" ca="1" si="257"/>
        <v>3162281823.3768806</v>
      </c>
      <c r="L336" s="2903">
        <f t="shared" ca="1" si="257"/>
        <v>3430610038.6262903</v>
      </c>
      <c r="M336" s="2903">
        <f t="shared" ca="1" si="257"/>
        <v>3517506697.8048377</v>
      </c>
      <c r="N336" s="2903">
        <f t="shared" ca="1" si="257"/>
        <v>3606720028.0099926</v>
      </c>
      <c r="O336" s="2903">
        <f t="shared" ca="1" si="257"/>
        <v>3698326338.4721813</v>
      </c>
      <c r="P336" s="2903">
        <f t="shared" ca="1" si="257"/>
        <v>3792406191.1905713</v>
      </c>
      <c r="Q336" s="2903">
        <f t="shared" ca="1" si="257"/>
        <v>3889044806.2446351</v>
      </c>
      <c r="R336" s="2903">
        <f t="shared" ca="1" si="257"/>
        <v>3988332515.3600249</v>
      </c>
      <c r="S336" s="2903">
        <f t="shared" ca="1" si="257"/>
        <v>4088040828.2440252</v>
      </c>
      <c r="T336" s="2903">
        <f t="shared" ca="1" si="257"/>
        <v>4190241848.9501257</v>
      </c>
      <c r="U336" s="2903">
        <f t="shared" ca="1" si="257"/>
        <v>4587128718.7104502</v>
      </c>
      <c r="V336" s="2903">
        <f t="shared" ca="1" si="257"/>
        <v>4701806936.6782103</v>
      </c>
      <c r="W336" s="2903">
        <f t="shared" ca="1" si="257"/>
        <v>4820800408.2616644</v>
      </c>
      <c r="X336" s="2903">
        <f t="shared" ca="1" si="257"/>
        <v>4941320418.4682055</v>
      </c>
      <c r="Y336" s="2903">
        <f t="shared" ca="1" si="257"/>
        <v>5064853428.9299097</v>
      </c>
      <c r="Z336" s="2903">
        <f t="shared" ca="1" si="257"/>
        <v>5193190389.2426357</v>
      </c>
      <c r="AA336" s="2903">
        <f t="shared" ca="1" si="257"/>
        <v>5323020148.9737015</v>
      </c>
      <c r="AB336" s="2903">
        <f t="shared" ca="1" si="257"/>
        <v>5458078378.5907946</v>
      </c>
      <c r="AC336" s="2903">
        <f t="shared" ca="1" si="257"/>
        <v>5594530338.0555639</v>
      </c>
      <c r="AD336" s="2903">
        <f t="shared" ca="1" si="257"/>
        <v>5734393596.5069523</v>
      </c>
      <c r="AE336" s="2903">
        <f t="shared" ca="1" si="257"/>
        <v>5880102133.23806</v>
      </c>
      <c r="AF336" s="2903">
        <f t="shared" ca="1" si="257"/>
        <v>6027104686.5690117</v>
      </c>
      <c r="AG336" s="2903">
        <f t="shared" ca="1" si="257"/>
        <v>6180496663.2875891</v>
      </c>
      <c r="AH336" s="2903">
        <f t="shared" ca="1" si="257"/>
        <v>6335009079.8697786</v>
      </c>
      <c r="AI336" s="2903">
        <f t="shared" ca="1" si="257"/>
        <v>6493384306.8665228</v>
      </c>
      <c r="AJ336" s="2903">
        <f t="shared" ca="1" si="257"/>
        <v>6658934289.7308435</v>
      </c>
      <c r="AK336" s="2903">
        <f t="shared" ca="1" si="257"/>
        <v>6825407646.9741154</v>
      </c>
      <c r="AL336" s="2903">
        <f t="shared" ca="1" si="257"/>
        <v>7576859935.7299194</v>
      </c>
      <c r="AM336" s="2903">
        <f t="shared" ca="1" si="257"/>
        <v>7766281434.1231699</v>
      </c>
      <c r="AN336" s="2903">
        <f t="shared" ca="1" si="257"/>
        <v>7960438469.9762478</v>
      </c>
      <c r="AO336" s="2903">
        <f t="shared" ca="1" si="257"/>
        <v>8161708282.5868702</v>
      </c>
      <c r="AP336" s="2903">
        <f t="shared" ca="1" si="257"/>
        <v>8365750989.6515417</v>
      </c>
      <c r="AQ336" s="2903">
        <f t="shared" ca="1" si="257"/>
        <v>8577505290.0975027</v>
      </c>
      <c r="AR336" s="2903">
        <f t="shared" ca="1" si="257"/>
        <v>8791942922.3499413</v>
      </c>
      <c r="AS336" s="2903">
        <f t="shared" ca="1" si="257"/>
        <v>9011741495.4086876</v>
      </c>
      <c r="AT336" s="2903">
        <f t="shared" ca="1" si="257"/>
        <v>9240127408.517355</v>
      </c>
      <c r="AU336" s="2903">
        <f t="shared" ca="1" si="257"/>
        <v>9471130593.7302895</v>
      </c>
      <c r="AV336" s="2694">
        <v>0</v>
      </c>
      <c r="AW336" s="2758"/>
      <c r="AX336" s="3086"/>
      <c r="AY336" s="2774"/>
      <c r="AZ336" s="2774"/>
      <c r="BA336" s="2774"/>
      <c r="BB336" s="2774"/>
      <c r="BC336" s="2774"/>
      <c r="BD336" s="2774"/>
      <c r="BE336" s="2774"/>
      <c r="BF336" s="2774"/>
      <c r="BG336" s="2774"/>
      <c r="BI336" s="2730"/>
      <c r="BJ336" s="2730"/>
    </row>
    <row r="337" spans="1:62" ht="17.25" outlineLevel="1">
      <c r="A337" s="3114"/>
      <c r="B337" s="2939"/>
      <c r="C337" s="3115"/>
      <c r="D337" s="3116"/>
      <c r="E337" s="3116"/>
      <c r="F337" s="3117"/>
      <c r="G337" s="3118"/>
      <c r="H337" s="3118">
        <v>0.05</v>
      </c>
      <c r="I337" s="3119">
        <f ca="1">I338/H338-1</f>
        <v>-0.17493525529186493</v>
      </c>
      <c r="J337" s="3119">
        <f t="shared" ref="J337:AU337" ca="1" si="258">J338/I338-1</f>
        <v>2.4999999999999911E-2</v>
      </c>
      <c r="K337" s="3119">
        <f t="shared" ca="1" si="258"/>
        <v>2.556246637950732E-2</v>
      </c>
      <c r="L337" s="3119">
        <f t="shared" ca="1" si="258"/>
        <v>8.4852720357122324E-2</v>
      </c>
      <c r="M337" s="3119">
        <f t="shared" ca="1" si="258"/>
        <v>2.5329797966003431E-2</v>
      </c>
      <c r="N337" s="3119">
        <f t="shared" ca="1" si="258"/>
        <v>2.5362661074911363E-2</v>
      </c>
      <c r="O337" s="3119">
        <f t="shared" ca="1" si="258"/>
        <v>2.5398786085631508E-2</v>
      </c>
      <c r="P337" s="3119">
        <f t="shared" ca="1" si="258"/>
        <v>2.5438494093859676E-2</v>
      </c>
      <c r="Q337" s="3119">
        <f t="shared" ca="1" si="258"/>
        <v>2.5482137245357972E-2</v>
      </c>
      <c r="R337" s="3119">
        <f t="shared" ca="1" si="258"/>
        <v>2.5530101621859425E-2</v>
      </c>
      <c r="S337" s="3119">
        <f t="shared" ca="1" si="258"/>
        <v>2.4999999999999911E-2</v>
      </c>
      <c r="T337" s="3119">
        <f t="shared" ca="1" si="258"/>
        <v>2.4999999999999911E-2</v>
      </c>
      <c r="U337" s="3119">
        <f t="shared" ca="1" si="258"/>
        <v>9.4716936173926403E-2</v>
      </c>
      <c r="V337" s="3119">
        <f t="shared" ca="1" si="258"/>
        <v>2.4999999999999689E-2</v>
      </c>
      <c r="W337" s="3119">
        <f t="shared" ca="1" si="258"/>
        <v>2.5308030122462188E-2</v>
      </c>
      <c r="X337" s="3119">
        <f t="shared" ca="1" si="258"/>
        <v>2.4999999999999911E-2</v>
      </c>
      <c r="Y337" s="3119">
        <f t="shared" ca="1" si="258"/>
        <v>2.4999999999999911E-2</v>
      </c>
      <c r="Z337" s="3119">
        <f t="shared" ca="1" si="258"/>
        <v>2.5338731340117215E-2</v>
      </c>
      <c r="AA337" s="3119">
        <f t="shared" ca="1" si="258"/>
        <v>2.4999999999999911E-2</v>
      </c>
      <c r="AB337" s="3119">
        <f t="shared" ca="1" si="258"/>
        <v>2.5372481380355527E-2</v>
      </c>
      <c r="AC337" s="3119">
        <f t="shared" ca="1" si="258"/>
        <v>2.4999999999999911E-2</v>
      </c>
      <c r="AD337" s="3119">
        <f t="shared" ca="1" si="258"/>
        <v>2.4999999999999911E-2</v>
      </c>
      <c r="AE337" s="3119">
        <f t="shared" ca="1" si="258"/>
        <v>2.5409580678219301E-2</v>
      </c>
      <c r="AF337" s="3119">
        <f t="shared" ca="1" si="258"/>
        <v>2.5000000000000133E-2</v>
      </c>
      <c r="AG337" s="3119">
        <f t="shared" ca="1" si="258"/>
        <v>2.5450358786765603E-2</v>
      </c>
      <c r="AH337" s="3119">
        <f t="shared" ca="1" si="258"/>
        <v>2.4999999999999911E-2</v>
      </c>
      <c r="AI337" s="3119">
        <f t="shared" ca="1" si="258"/>
        <v>2.4999999999999911E-2</v>
      </c>
      <c r="AJ337" s="3119">
        <f t="shared" ca="1" si="258"/>
        <v>2.5495177097289323E-2</v>
      </c>
      <c r="AK337" s="3119">
        <f t="shared" ca="1" si="258"/>
        <v>2.5000000000000133E-2</v>
      </c>
      <c r="AL337" s="3119">
        <f t="shared" ca="1" si="258"/>
        <v>0.11009632356375709</v>
      </c>
      <c r="AM337" s="3119">
        <f t="shared" ca="1" si="258"/>
        <v>2.5000000000000355E-2</v>
      </c>
      <c r="AN337" s="3119">
        <f t="shared" ca="1" si="258"/>
        <v>2.4999999999999911E-2</v>
      </c>
      <c r="AO337" s="3119">
        <f t="shared" ca="1" si="258"/>
        <v>2.5283759603159428E-2</v>
      </c>
      <c r="AP337" s="3119">
        <f t="shared" ca="1" si="258"/>
        <v>2.4999999999999911E-2</v>
      </c>
      <c r="AQ337" s="3119">
        <f t="shared" ca="1" si="258"/>
        <v>2.5312049176206886E-2</v>
      </c>
      <c r="AR337" s="3119">
        <f t="shared" ca="1" si="258"/>
        <v>2.5000000000000133E-2</v>
      </c>
      <c r="AS337" s="3119">
        <f t="shared" ca="1" si="258"/>
        <v>2.4999999999999689E-2</v>
      </c>
      <c r="AT337" s="3119">
        <f t="shared" ca="1" si="258"/>
        <v>2.5343149625965733E-2</v>
      </c>
      <c r="AU337" s="3119">
        <f t="shared" ca="1" si="258"/>
        <v>2.5000000000000133E-2</v>
      </c>
      <c r="AV337" s="2694">
        <v>0</v>
      </c>
      <c r="AW337" s="2960"/>
      <c r="AX337" s="3120"/>
      <c r="AY337" s="2711"/>
      <c r="AZ337" s="2711"/>
      <c r="BA337" s="2711"/>
      <c r="BB337" s="2711"/>
      <c r="BC337" s="2711"/>
      <c r="BD337" s="2711"/>
      <c r="BE337" s="2711"/>
      <c r="BF337" s="2711"/>
      <c r="BG337" s="2711"/>
      <c r="BI337" s="2730"/>
      <c r="BJ337" s="2730"/>
    </row>
    <row r="338" spans="1:62" ht="17.25" outlineLevel="1">
      <c r="A338" s="3047" t="s">
        <v>4363</v>
      </c>
      <c r="B338" s="3121"/>
      <c r="C338" s="3122">
        <v>2.5000000000000001E-2</v>
      </c>
      <c r="D338" s="3123"/>
      <c r="E338" s="3123"/>
      <c r="F338" s="3124">
        <v>3073917480</v>
      </c>
      <c r="G338" s="3125">
        <v>3371300060</v>
      </c>
      <c r="H338" s="3126">
        <f>(G338+G339)*(1+H337)</f>
        <v>3646083063</v>
      </c>
      <c r="I338" s="3051">
        <f t="shared" ref="I338:AU338" ca="1" si="259">IF(I4&lt;$F$384,$F$385,HLOOKUP(I4,$F$384:$AT$388,2,0))*1000*(1+$C$338)^(I2-$H$2)</f>
        <v>3008254591.5587502</v>
      </c>
      <c r="J338" s="3051">
        <f t="shared" ca="1" si="259"/>
        <v>3083460956.3477187</v>
      </c>
      <c r="K338" s="3051">
        <f t="shared" ca="1" si="259"/>
        <v>3162281823.3768806</v>
      </c>
      <c r="L338" s="3051">
        <f t="shared" ca="1" si="259"/>
        <v>3430610038.6262903</v>
      </c>
      <c r="M338" s="3051">
        <f t="shared" ca="1" si="259"/>
        <v>3517506697.8048377</v>
      </c>
      <c r="N338" s="3051">
        <f t="shared" ca="1" si="259"/>
        <v>3606720028.0099926</v>
      </c>
      <c r="O338" s="3051">
        <f t="shared" ca="1" si="259"/>
        <v>3698326338.4721813</v>
      </c>
      <c r="P338" s="3051">
        <f t="shared" ca="1" si="259"/>
        <v>3792406191.1905713</v>
      </c>
      <c r="Q338" s="3051">
        <f t="shared" ca="1" si="259"/>
        <v>3889044806.2446351</v>
      </c>
      <c r="R338" s="3051">
        <f t="shared" ca="1" si="259"/>
        <v>3988332515.3600249</v>
      </c>
      <c r="S338" s="3051">
        <f t="shared" ca="1" si="259"/>
        <v>4088040828.2440252</v>
      </c>
      <c r="T338" s="3051">
        <f t="shared" ca="1" si="259"/>
        <v>4190241848.9501257</v>
      </c>
      <c r="U338" s="3051">
        <f t="shared" ca="1" si="259"/>
        <v>4587128718.7104502</v>
      </c>
      <c r="V338" s="3051">
        <f t="shared" ca="1" si="259"/>
        <v>4701806936.6782103</v>
      </c>
      <c r="W338" s="3051">
        <f t="shared" ca="1" si="259"/>
        <v>4820800408.2616644</v>
      </c>
      <c r="X338" s="3051">
        <f t="shared" ca="1" si="259"/>
        <v>4941320418.4682055</v>
      </c>
      <c r="Y338" s="3051">
        <f t="shared" ca="1" si="259"/>
        <v>5064853428.9299097</v>
      </c>
      <c r="Z338" s="3051">
        <f t="shared" ca="1" si="259"/>
        <v>5193190389.2426357</v>
      </c>
      <c r="AA338" s="3051">
        <f t="shared" ca="1" si="259"/>
        <v>5323020148.9737015</v>
      </c>
      <c r="AB338" s="3051">
        <f t="shared" ca="1" si="259"/>
        <v>5458078378.5907946</v>
      </c>
      <c r="AC338" s="3051">
        <f t="shared" ca="1" si="259"/>
        <v>5594530338.0555639</v>
      </c>
      <c r="AD338" s="3051">
        <f t="shared" ca="1" si="259"/>
        <v>5734393596.5069523</v>
      </c>
      <c r="AE338" s="3051">
        <f t="shared" ca="1" si="259"/>
        <v>5880102133.23806</v>
      </c>
      <c r="AF338" s="3051">
        <f t="shared" ca="1" si="259"/>
        <v>6027104686.5690117</v>
      </c>
      <c r="AG338" s="3051">
        <f t="shared" ca="1" si="259"/>
        <v>6180496663.2875891</v>
      </c>
      <c r="AH338" s="3051">
        <f t="shared" ca="1" si="259"/>
        <v>6335009079.8697786</v>
      </c>
      <c r="AI338" s="3051">
        <f t="shared" ca="1" si="259"/>
        <v>6493384306.8665228</v>
      </c>
      <c r="AJ338" s="3051">
        <f t="shared" ca="1" si="259"/>
        <v>6658934289.7308435</v>
      </c>
      <c r="AK338" s="3051">
        <f t="shared" ca="1" si="259"/>
        <v>6825407646.9741154</v>
      </c>
      <c r="AL338" s="3051">
        <f t="shared" ca="1" si="259"/>
        <v>7576859935.7299194</v>
      </c>
      <c r="AM338" s="3051">
        <f t="shared" ca="1" si="259"/>
        <v>7766281434.1231699</v>
      </c>
      <c r="AN338" s="3051">
        <f t="shared" ca="1" si="259"/>
        <v>7960438469.9762478</v>
      </c>
      <c r="AO338" s="3051">
        <f t="shared" ca="1" si="259"/>
        <v>8161708282.5868702</v>
      </c>
      <c r="AP338" s="3051">
        <f t="shared" ca="1" si="259"/>
        <v>8365750989.6515417</v>
      </c>
      <c r="AQ338" s="3051">
        <f t="shared" ca="1" si="259"/>
        <v>8577505290.0975027</v>
      </c>
      <c r="AR338" s="3051">
        <f t="shared" ca="1" si="259"/>
        <v>8791942922.3499413</v>
      </c>
      <c r="AS338" s="3051">
        <f t="shared" ca="1" si="259"/>
        <v>9011741495.4086876</v>
      </c>
      <c r="AT338" s="3051">
        <f t="shared" ca="1" si="259"/>
        <v>9240127408.517355</v>
      </c>
      <c r="AU338" s="3051">
        <f t="shared" ca="1" si="259"/>
        <v>9471130593.7302895</v>
      </c>
      <c r="AV338" s="2694">
        <v>0</v>
      </c>
      <c r="AW338" s="2751"/>
      <c r="AX338" s="3127"/>
      <c r="AY338" s="2760"/>
      <c r="AZ338" s="2760"/>
      <c r="BA338" s="2760"/>
      <c r="BB338" s="2760"/>
      <c r="BC338" s="2760"/>
      <c r="BD338" s="2760"/>
      <c r="BE338" s="2760"/>
      <c r="BF338" s="2760"/>
      <c r="BG338" s="2760"/>
      <c r="BI338" s="2730"/>
      <c r="BJ338" s="2730"/>
    </row>
    <row r="339" spans="1:62" ht="17.25" outlineLevel="1">
      <c r="A339" s="3047" t="s">
        <v>4364</v>
      </c>
      <c r="B339" s="3128"/>
      <c r="C339" s="3129"/>
      <c r="D339" s="3130"/>
      <c r="E339" s="3130"/>
      <c r="F339" s="2779">
        <v>49590000</v>
      </c>
      <c r="G339" s="2780">
        <v>101160000</v>
      </c>
      <c r="H339" s="2780"/>
      <c r="I339" s="2780"/>
      <c r="J339" s="2780"/>
      <c r="K339" s="2780"/>
      <c r="L339" s="2780"/>
      <c r="M339" s="2780"/>
      <c r="N339" s="2780"/>
      <c r="O339" s="2780"/>
      <c r="P339" s="2780"/>
      <c r="Q339" s="2780"/>
      <c r="R339" s="2780"/>
      <c r="S339" s="2780"/>
      <c r="T339" s="2780"/>
      <c r="U339" s="2780"/>
      <c r="V339" s="2780"/>
      <c r="W339" s="2780"/>
      <c r="X339" s="2780"/>
      <c r="Y339" s="2780"/>
      <c r="Z339" s="2780"/>
      <c r="AA339" s="2780"/>
      <c r="AB339" s="2780"/>
      <c r="AC339" s="2780"/>
      <c r="AD339" s="2780"/>
      <c r="AE339" s="2780"/>
      <c r="AF339" s="2780"/>
      <c r="AG339" s="2780"/>
      <c r="AH339" s="2780"/>
      <c r="AI339" s="2780"/>
      <c r="AJ339" s="2780"/>
      <c r="AK339" s="2780"/>
      <c r="AL339" s="2780"/>
      <c r="AM339" s="2780"/>
      <c r="AN339" s="2780"/>
      <c r="AO339" s="2780"/>
      <c r="AP339" s="2780"/>
      <c r="AQ339" s="2780"/>
      <c r="AR339" s="2780"/>
      <c r="AS339" s="2780"/>
      <c r="AT339" s="2780"/>
      <c r="AU339" s="2780"/>
      <c r="AV339" s="2694">
        <v>0</v>
      </c>
      <c r="AW339" s="2809"/>
      <c r="AX339" s="3131"/>
      <c r="AY339" s="2760"/>
      <c r="AZ339" s="2760"/>
      <c r="BA339" s="2760"/>
      <c r="BB339" s="2760"/>
      <c r="BC339" s="2760"/>
      <c r="BD339" s="2760"/>
      <c r="BE339" s="2760"/>
      <c r="BF339" s="2760"/>
      <c r="BG339" s="2760"/>
      <c r="BI339" s="2730"/>
      <c r="BJ339" s="2730"/>
    </row>
    <row r="340" spans="1:62" ht="17.25" outlineLevel="1">
      <c r="A340" s="3047" t="s">
        <v>4365</v>
      </c>
      <c r="B340" s="3128"/>
      <c r="C340" s="3129"/>
      <c r="D340" s="3130"/>
      <c r="E340" s="3130"/>
      <c r="F340" s="2779"/>
      <c r="G340" s="2780"/>
      <c r="H340" s="2780">
        <f>G340*(1+$H$337)</f>
        <v>0</v>
      </c>
      <c r="I340" s="2780"/>
      <c r="J340" s="2780"/>
      <c r="K340" s="2780"/>
      <c r="L340" s="2780"/>
      <c r="M340" s="2780"/>
      <c r="N340" s="2780"/>
      <c r="O340" s="2780"/>
      <c r="P340" s="2780"/>
      <c r="Q340" s="2780"/>
      <c r="R340" s="2780"/>
      <c r="S340" s="2780"/>
      <c r="T340" s="2780"/>
      <c r="U340" s="2780"/>
      <c r="V340" s="2780"/>
      <c r="W340" s="2780"/>
      <c r="X340" s="2780"/>
      <c r="Y340" s="2780"/>
      <c r="Z340" s="2780"/>
      <c r="AA340" s="2780"/>
      <c r="AB340" s="2780"/>
      <c r="AC340" s="2780"/>
      <c r="AD340" s="2780"/>
      <c r="AE340" s="2780"/>
      <c r="AF340" s="2780"/>
      <c r="AG340" s="2780"/>
      <c r="AH340" s="2780"/>
      <c r="AI340" s="2780"/>
      <c r="AJ340" s="2780"/>
      <c r="AK340" s="2780"/>
      <c r="AL340" s="2780"/>
      <c r="AM340" s="2780"/>
      <c r="AN340" s="2780"/>
      <c r="AO340" s="2780"/>
      <c r="AP340" s="2780"/>
      <c r="AQ340" s="2780"/>
      <c r="AR340" s="2780"/>
      <c r="AS340" s="2780"/>
      <c r="AT340" s="2780"/>
      <c r="AU340" s="2780"/>
      <c r="AV340" s="2694">
        <v>0</v>
      </c>
      <c r="AW340" s="2809"/>
      <c r="AX340" s="3131"/>
      <c r="AY340" s="2760"/>
      <c r="AZ340" s="2760"/>
      <c r="BA340" s="2760"/>
      <c r="BB340" s="2760"/>
      <c r="BC340" s="2760"/>
      <c r="BD340" s="2760"/>
      <c r="BE340" s="2760"/>
      <c r="BF340" s="2760"/>
      <c r="BG340" s="2760"/>
      <c r="BI340" s="2730"/>
      <c r="BJ340" s="2730"/>
    </row>
    <row r="341" spans="1:62" ht="17.25" outlineLevel="1">
      <c r="A341" s="3132" t="s">
        <v>4366</v>
      </c>
      <c r="B341" s="3133" t="s">
        <v>4367</v>
      </c>
      <c r="C341" s="3134">
        <v>0.01</v>
      </c>
      <c r="D341" s="3113"/>
      <c r="E341" s="3135"/>
      <c r="F341" s="3136">
        <f>SUM(F342:F343)</f>
        <v>230160490</v>
      </c>
      <c r="G341" s="3136">
        <f t="shared" ref="G341:AU341" si="260">SUM(G342:G343)</f>
        <v>370731131.14285713</v>
      </c>
      <c r="H341" s="3136">
        <f t="shared" ca="1" si="260"/>
        <v>521253070.86067587</v>
      </c>
      <c r="I341" s="3136">
        <f t="shared" ca="1" si="260"/>
        <v>466298104.24707884</v>
      </c>
      <c r="J341" s="3136">
        <f t="shared" ca="1" si="260"/>
        <v>470961085.28954971</v>
      </c>
      <c r="K341" s="3136">
        <f t="shared" ca="1" si="260"/>
        <v>491014912.14704013</v>
      </c>
      <c r="L341" s="3136">
        <f t="shared" ca="1" si="260"/>
        <v>511422719.4331516</v>
      </c>
      <c r="M341" s="3136">
        <f t="shared" ca="1" si="260"/>
        <v>532189581.37377036</v>
      </c>
      <c r="N341" s="3136">
        <f t="shared" ca="1" si="260"/>
        <v>553320638.28125834</v>
      </c>
      <c r="O341" s="3136">
        <f t="shared" ca="1" si="260"/>
        <v>574821097.3687588</v>
      </c>
      <c r="P341" s="3136">
        <f t="shared" ca="1" si="260"/>
        <v>596696233.57418108</v>
      </c>
      <c r="Q341" s="3136">
        <f t="shared" ca="1" si="260"/>
        <v>618951390.39397466</v>
      </c>
      <c r="R341" s="3136">
        <f t="shared" ca="1" si="260"/>
        <v>641591980.72680688</v>
      </c>
      <c r="S341" s="3136">
        <f t="shared" ca="1" si="260"/>
        <v>648007900.53407502</v>
      </c>
      <c r="T341" s="3136">
        <f t="shared" ca="1" si="260"/>
        <v>654487979.53941584</v>
      </c>
      <c r="U341" s="3136">
        <f t="shared" ca="1" si="260"/>
        <v>677982419.83057415</v>
      </c>
      <c r="V341" s="3136">
        <f t="shared" ca="1" si="260"/>
        <v>684762244.02888012</v>
      </c>
      <c r="W341" s="3136">
        <f t="shared" ca="1" si="260"/>
        <v>708900113.13089824</v>
      </c>
      <c r="X341" s="3136">
        <f t="shared" ca="1" si="260"/>
        <v>715989114.26220727</v>
      </c>
      <c r="Y341" s="3136">
        <f t="shared" ca="1" si="260"/>
        <v>723149005.40482903</v>
      </c>
      <c r="Z341" s="3136">
        <f t="shared" ca="1" si="260"/>
        <v>748194653.88470364</v>
      </c>
      <c r="AA341" s="3136">
        <f t="shared" ca="1" si="260"/>
        <v>755676600.42355061</v>
      </c>
      <c r="AB341" s="3136">
        <f t="shared" ca="1" si="260"/>
        <v>781405589.43797183</v>
      </c>
      <c r="AC341" s="3136">
        <f t="shared" ca="1" si="260"/>
        <v>789219645.33235133</v>
      </c>
      <c r="AD341" s="3136">
        <f t="shared" ca="1" si="260"/>
        <v>797111841.78567505</v>
      </c>
      <c r="AE341" s="3136">
        <f t="shared" ca="1" si="260"/>
        <v>823805819.7431488</v>
      </c>
      <c r="AF341" s="3136">
        <f t="shared" ca="1" si="260"/>
        <v>832043877.94058037</v>
      </c>
      <c r="AG341" s="3136">
        <f t="shared" ca="1" si="260"/>
        <v>859463505.73634911</v>
      </c>
      <c r="AH341" s="3136">
        <f t="shared" ca="1" si="260"/>
        <v>868058140.79371274</v>
      </c>
      <c r="AI341" s="3136">
        <f t="shared" ca="1" si="260"/>
        <v>876738722.2016499</v>
      </c>
      <c r="AJ341" s="3136">
        <f t="shared" ca="1" si="260"/>
        <v>905184022.96641469</v>
      </c>
      <c r="AK341" s="3136">
        <f t="shared" ca="1" si="260"/>
        <v>914235863.19607854</v>
      </c>
      <c r="AL341" s="3136">
        <f t="shared" ca="1" si="260"/>
        <v>943451661.43299699</v>
      </c>
      <c r="AM341" s="3136">
        <f t="shared" ca="1" si="260"/>
        <v>952886178.04732704</v>
      </c>
      <c r="AN341" s="3136">
        <f t="shared" ca="1" si="260"/>
        <v>962415039.82780027</v>
      </c>
      <c r="AO341" s="3136">
        <f t="shared" ca="1" si="260"/>
        <v>992720875.12450528</v>
      </c>
      <c r="AP341" s="3136">
        <f t="shared" ca="1" si="260"/>
        <v>1002648083.8757505</v>
      </c>
      <c r="AQ341" s="3136">
        <f t="shared" ca="1" si="260"/>
        <v>1033771951.4793935</v>
      </c>
      <c r="AR341" s="3136">
        <f t="shared" ca="1" si="260"/>
        <v>1044109670.9941876</v>
      </c>
      <c r="AS341" s="3136">
        <f t="shared" ca="1" si="260"/>
        <v>1054550767.7041291</v>
      </c>
      <c r="AT341" s="3136">
        <f t="shared" ca="1" si="260"/>
        <v>1086832934.0624192</v>
      </c>
      <c r="AU341" s="3136">
        <f t="shared" ca="1" si="260"/>
        <v>1097701263.4030433</v>
      </c>
      <c r="AV341" s="2694">
        <v>0</v>
      </c>
      <c r="AW341" s="2809"/>
      <c r="AX341" s="3137"/>
      <c r="AY341" s="2760"/>
      <c r="AZ341" s="2760"/>
      <c r="BA341" s="2760"/>
      <c r="BB341" s="2760"/>
      <c r="BC341" s="2760"/>
      <c r="BD341" s="2760"/>
      <c r="BE341" s="2760"/>
      <c r="BF341" s="2760"/>
      <c r="BG341" s="2760"/>
      <c r="BI341" s="2730"/>
      <c r="BJ341" s="2730"/>
    </row>
    <row r="342" spans="1:62" ht="17.25" outlineLevel="1">
      <c r="A342" s="3138" t="s">
        <v>4368</v>
      </c>
      <c r="B342" s="3139"/>
      <c r="C342" s="3134"/>
      <c r="D342" s="3135"/>
      <c r="E342" s="3135"/>
      <c r="F342" s="3140">
        <v>171013070</v>
      </c>
      <c r="G342" s="3140">
        <v>173628702</v>
      </c>
      <c r="H342" s="3140">
        <f t="shared" ref="H342:AU342" ca="1" si="261">IF(H4&lt;$F$384,$F$387,HLOOKUP(H4,$F$384:$AT$388,4,0))*1000*(1+$C$341)^(H$2-$F$2)</f>
        <v>205225038.82422745</v>
      </c>
      <c r="I342" s="3140">
        <f t="shared" ca="1" si="261"/>
        <v>183588456.15961605</v>
      </c>
      <c r="J342" s="3140">
        <f t="shared" ca="1" si="261"/>
        <v>185424340.72121224</v>
      </c>
      <c r="K342" s="3140">
        <f t="shared" ca="1" si="261"/>
        <v>193319828.77772835</v>
      </c>
      <c r="L342" s="3140">
        <f t="shared" ca="1" si="261"/>
        <v>201354684.16130272</v>
      </c>
      <c r="M342" s="3140">
        <f t="shared" ca="1" si="261"/>
        <v>209530904.6696707</v>
      </c>
      <c r="N342" s="3140">
        <f t="shared" ca="1" si="261"/>
        <v>217850514.11979002</v>
      </c>
      <c r="O342" s="3140">
        <f t="shared" ca="1" si="261"/>
        <v>226315562.66844475</v>
      </c>
      <c r="P342" s="3140">
        <f t="shared" ca="1" si="261"/>
        <v>234928127.13666058</v>
      </c>
      <c r="Q342" s="3140">
        <f t="shared" ca="1" si="261"/>
        <v>243690311.3379738</v>
      </c>
      <c r="R342" s="3140">
        <f t="shared" ca="1" si="261"/>
        <v>252604246.41059968</v>
      </c>
      <c r="S342" s="3140">
        <f t="shared" ca="1" si="261"/>
        <v>255130288.87470567</v>
      </c>
      <c r="T342" s="3140">
        <f t="shared" ca="1" si="261"/>
        <v>257681591.76345277</v>
      </c>
      <c r="U342" s="3140">
        <f t="shared" ca="1" si="261"/>
        <v>266931700.18573049</v>
      </c>
      <c r="V342" s="3140">
        <f t="shared" ca="1" si="261"/>
        <v>269601017.18758786</v>
      </c>
      <c r="W342" s="3140">
        <f t="shared" ca="1" si="261"/>
        <v>279104453.04345036</v>
      </c>
      <c r="X342" s="3140">
        <f t="shared" ca="1" si="261"/>
        <v>281895497.5738849</v>
      </c>
      <c r="Y342" s="3140">
        <f t="shared" ca="1" si="261"/>
        <v>284714452.54962367</v>
      </c>
      <c r="Z342" s="3140">
        <f t="shared" ca="1" si="261"/>
        <v>294575294.56475699</v>
      </c>
      <c r="AA342" s="3140">
        <f t="shared" ca="1" si="261"/>
        <v>297521047.51040453</v>
      </c>
      <c r="AB342" s="3140">
        <f t="shared" ca="1" si="261"/>
        <v>307650930.79468745</v>
      </c>
      <c r="AC342" s="3140">
        <f t="shared" ca="1" si="261"/>
        <v>310727440.10263425</v>
      </c>
      <c r="AD342" s="3140">
        <f t="shared" ca="1" si="261"/>
        <v>313834714.50366068</v>
      </c>
      <c r="AE342" s="3140">
        <f t="shared" ca="1" si="261"/>
        <v>324344528.19866699</v>
      </c>
      <c r="AF342" s="3140">
        <f t="shared" ca="1" si="261"/>
        <v>327587973.4806537</v>
      </c>
      <c r="AG342" s="3140">
        <f t="shared" ca="1" si="261"/>
        <v>338383486.24308419</v>
      </c>
      <c r="AH342" s="3140">
        <f t="shared" ca="1" si="261"/>
        <v>341767321.10551506</v>
      </c>
      <c r="AI342" s="3140">
        <f t="shared" ca="1" si="261"/>
        <v>345184994.31657022</v>
      </c>
      <c r="AJ342" s="3140">
        <f t="shared" ca="1" si="261"/>
        <v>356384329.68773013</v>
      </c>
      <c r="AK342" s="3140">
        <f t="shared" ca="1" si="261"/>
        <v>359948172.98460728</v>
      </c>
      <c r="AL342" s="3140">
        <f t="shared" ca="1" si="261"/>
        <v>371450864.59955031</v>
      </c>
      <c r="AM342" s="3140">
        <f t="shared" ca="1" si="261"/>
        <v>375165373.2455458</v>
      </c>
      <c r="AN342" s="3140">
        <f t="shared" ca="1" si="261"/>
        <v>378917026.9780013</v>
      </c>
      <c r="AO342" s="3140">
        <f t="shared" ca="1" si="261"/>
        <v>390848882.29560637</v>
      </c>
      <c r="AP342" s="3140">
        <f t="shared" ca="1" si="261"/>
        <v>394757371.11856252</v>
      </c>
      <c r="AQ342" s="3140">
        <f t="shared" ca="1" si="261"/>
        <v>407011297.84703451</v>
      </c>
      <c r="AR342" s="3140">
        <f t="shared" ca="1" si="261"/>
        <v>411081410.8255049</v>
      </c>
      <c r="AS342" s="3140">
        <f t="shared" ca="1" si="261"/>
        <v>415192224.93375981</v>
      </c>
      <c r="AT342" s="3140">
        <f t="shared" ca="1" si="261"/>
        <v>427902191.00316077</v>
      </c>
      <c r="AU342" s="3140">
        <f t="shared" ca="1" si="261"/>
        <v>432181212.91319239</v>
      </c>
      <c r="AV342" s="2694">
        <v>0</v>
      </c>
      <c r="AW342" s="2960"/>
      <c r="AX342" s="3137"/>
      <c r="AY342" s="2760"/>
      <c r="AZ342" s="2760"/>
      <c r="BA342" s="2760"/>
      <c r="BB342" s="2760"/>
      <c r="BC342" s="2760"/>
      <c r="BD342" s="2760"/>
      <c r="BE342" s="2760"/>
      <c r="BF342" s="2760"/>
      <c r="BG342" s="2760"/>
      <c r="BI342" s="2730"/>
      <c r="BJ342" s="2730"/>
    </row>
    <row r="343" spans="1:62" ht="17.25" outlineLevel="1">
      <c r="A343" s="3141" t="s">
        <v>4369</v>
      </c>
      <c r="B343" s="3142"/>
      <c r="C343" s="3143"/>
      <c r="D343" s="3144"/>
      <c r="E343" s="3144"/>
      <c r="F343" s="3145">
        <v>59147420</v>
      </c>
      <c r="G343" s="3145">
        <v>197102429.14285713</v>
      </c>
      <c r="H343" s="3146">
        <f t="shared" ref="H343:AU343" ca="1" si="262">IF(H4&lt;$F$384,$F$388,HLOOKUP(H4,$F$384:$AT$388,5,0))*1000*(1+$C$341)^(H$2-$F$2)</f>
        <v>316028032.03644842</v>
      </c>
      <c r="I343" s="3146">
        <f t="shared" ca="1" si="262"/>
        <v>282709648.08746278</v>
      </c>
      <c r="J343" s="3146">
        <f t="shared" ca="1" si="262"/>
        <v>285536744.56833744</v>
      </c>
      <c r="K343" s="3146">
        <f t="shared" ca="1" si="262"/>
        <v>297695083.36931175</v>
      </c>
      <c r="L343" s="3146">
        <f t="shared" ca="1" si="262"/>
        <v>310068035.27184886</v>
      </c>
      <c r="M343" s="3146">
        <f t="shared" ca="1" si="262"/>
        <v>322658676.70409966</v>
      </c>
      <c r="N343" s="3146">
        <f t="shared" ca="1" si="262"/>
        <v>335470124.16146839</v>
      </c>
      <c r="O343" s="3146">
        <f t="shared" ca="1" si="262"/>
        <v>348505534.70031404</v>
      </c>
      <c r="P343" s="3146">
        <f t="shared" ca="1" si="262"/>
        <v>361768106.43752044</v>
      </c>
      <c r="Q343" s="3146">
        <f t="shared" ca="1" si="262"/>
        <v>375261079.05600089</v>
      </c>
      <c r="R343" s="3146">
        <f t="shared" ca="1" si="262"/>
        <v>388987734.31620717</v>
      </c>
      <c r="S343" s="3146">
        <f t="shared" ca="1" si="262"/>
        <v>392877611.65936929</v>
      </c>
      <c r="T343" s="3146">
        <f t="shared" ca="1" si="262"/>
        <v>396806387.77596301</v>
      </c>
      <c r="U343" s="3146">
        <f t="shared" ca="1" si="262"/>
        <v>411050719.64484364</v>
      </c>
      <c r="V343" s="3146">
        <f t="shared" ca="1" si="262"/>
        <v>415161226.8412922</v>
      </c>
      <c r="W343" s="3146">
        <f t="shared" ca="1" si="262"/>
        <v>429795660.08744782</v>
      </c>
      <c r="X343" s="3146">
        <f t="shared" ca="1" si="262"/>
        <v>434093616.68832231</v>
      </c>
      <c r="Y343" s="3146">
        <f t="shared" ca="1" si="262"/>
        <v>438434552.85520542</v>
      </c>
      <c r="Z343" s="3146">
        <f t="shared" ca="1" si="262"/>
        <v>453619359.31994671</v>
      </c>
      <c r="AA343" s="3146">
        <f t="shared" ca="1" si="262"/>
        <v>458155552.91314608</v>
      </c>
      <c r="AB343" s="3146">
        <f t="shared" ca="1" si="262"/>
        <v>473754658.64328432</v>
      </c>
      <c r="AC343" s="3146">
        <f t="shared" ca="1" si="262"/>
        <v>478492205.22971708</v>
      </c>
      <c r="AD343" s="3146">
        <f t="shared" ca="1" si="262"/>
        <v>483277127.28201437</v>
      </c>
      <c r="AE343" s="3146">
        <f t="shared" ca="1" si="262"/>
        <v>499461291.54448187</v>
      </c>
      <c r="AF343" s="3146">
        <f t="shared" ca="1" si="262"/>
        <v>504455904.45992672</v>
      </c>
      <c r="AG343" s="3146">
        <f t="shared" ca="1" si="262"/>
        <v>521080019.49326497</v>
      </c>
      <c r="AH343" s="3146">
        <f t="shared" ca="1" si="262"/>
        <v>526290819.68819767</v>
      </c>
      <c r="AI343" s="3146">
        <f t="shared" ca="1" si="262"/>
        <v>531553727.88507968</v>
      </c>
      <c r="AJ343" s="3146">
        <f t="shared" ca="1" si="262"/>
        <v>548799693.27868462</v>
      </c>
      <c r="AK343" s="3146">
        <f t="shared" ca="1" si="262"/>
        <v>554287690.21147132</v>
      </c>
      <c r="AL343" s="3146">
        <f t="shared" ca="1" si="262"/>
        <v>572000796.83344674</v>
      </c>
      <c r="AM343" s="3146">
        <f t="shared" ca="1" si="262"/>
        <v>577720804.80178118</v>
      </c>
      <c r="AN343" s="3146">
        <f t="shared" ca="1" si="262"/>
        <v>583498012.84979904</v>
      </c>
      <c r="AO343" s="3146">
        <f t="shared" ca="1" si="262"/>
        <v>601871992.82889891</v>
      </c>
      <c r="AP343" s="3146">
        <f t="shared" ca="1" si="262"/>
        <v>607890712.75718796</v>
      </c>
      <c r="AQ343" s="3146">
        <f t="shared" ca="1" si="262"/>
        <v>626760653.63235903</v>
      </c>
      <c r="AR343" s="3146">
        <f t="shared" ca="1" si="262"/>
        <v>633028260.16868269</v>
      </c>
      <c r="AS343" s="3146">
        <f t="shared" ca="1" si="262"/>
        <v>639358542.77036929</v>
      </c>
      <c r="AT343" s="3146">
        <f t="shared" ca="1" si="262"/>
        <v>658930743.05925846</v>
      </c>
      <c r="AU343" s="3146">
        <f t="shared" ca="1" si="262"/>
        <v>665520050.489851</v>
      </c>
      <c r="AV343" s="2694">
        <v>0</v>
      </c>
      <c r="AW343" s="2751"/>
      <c r="AX343" s="3137"/>
      <c r="AY343" s="2760"/>
      <c r="AZ343" s="2760"/>
      <c r="BA343" s="2760"/>
      <c r="BB343" s="2760"/>
      <c r="BC343" s="2760"/>
      <c r="BD343" s="2760"/>
      <c r="BE343" s="2760"/>
      <c r="BF343" s="2760"/>
      <c r="BG343" s="2760"/>
      <c r="BI343" s="2730"/>
      <c r="BJ343" s="2730"/>
    </row>
    <row r="344" spans="1:62" ht="17.25" outlineLevel="1">
      <c r="A344" s="2934" t="s">
        <v>4370</v>
      </c>
      <c r="B344" s="3063" t="s">
        <v>4371</v>
      </c>
      <c r="C344" s="3147"/>
      <c r="D344" s="3113"/>
      <c r="E344" s="3148"/>
      <c r="F344" s="3149">
        <f t="shared" ref="F344:AU344" si="263">SUM(F345:F351)</f>
        <v>990146957</v>
      </c>
      <c r="G344" s="3149">
        <f t="shared" si="263"/>
        <v>583363881.17945886</v>
      </c>
      <c r="H344" s="3149">
        <f t="shared" ca="1" si="263"/>
        <v>520148598.42751157</v>
      </c>
      <c r="I344" s="3149">
        <f t="shared" ca="1" si="263"/>
        <v>488981758.31072885</v>
      </c>
      <c r="J344" s="3149">
        <f t="shared" ca="1" si="263"/>
        <v>492671575.8938362</v>
      </c>
      <c r="K344" s="3149">
        <f t="shared" ca="1" si="263"/>
        <v>505364575.13312352</v>
      </c>
      <c r="L344" s="3149">
        <f t="shared" ca="1" si="263"/>
        <v>518275840.82134885</v>
      </c>
      <c r="M344" s="3149">
        <f t="shared" ca="1" si="263"/>
        <v>531408519.53094268</v>
      </c>
      <c r="N344" s="3149">
        <f t="shared" ca="1" si="263"/>
        <v>544765800.4655509</v>
      </c>
      <c r="O344" s="3149">
        <f t="shared" ca="1" si="263"/>
        <v>558350916.04409683</v>
      </c>
      <c r="P344" s="3149">
        <f t="shared" ca="1" si="263"/>
        <v>572167142.49365723</v>
      </c>
      <c r="Q344" s="3149">
        <f t="shared" ca="1" si="263"/>
        <v>586217800.45130646</v>
      </c>
      <c r="R344" s="3149">
        <f t="shared" ca="1" si="263"/>
        <v>600506255.57509732</v>
      </c>
      <c r="S344" s="3149">
        <f t="shared" ca="1" si="263"/>
        <v>605311318.13084841</v>
      </c>
      <c r="T344" s="3149">
        <f t="shared" ca="1" si="263"/>
        <v>610164431.31215692</v>
      </c>
      <c r="U344" s="3149">
        <f t="shared" ca="1" si="263"/>
        <v>624986141.13954103</v>
      </c>
      <c r="V344" s="3149">
        <f t="shared" ca="1" si="263"/>
        <v>630036002.55093646</v>
      </c>
      <c r="W344" s="3149">
        <f t="shared" ca="1" si="263"/>
        <v>645258009.13791001</v>
      </c>
      <c r="X344" s="3149">
        <f t="shared" ca="1" si="263"/>
        <v>650510589.22928905</v>
      </c>
      <c r="Y344" s="3149">
        <f t="shared" ca="1" si="263"/>
        <v>655815695.12158203</v>
      </c>
      <c r="Z344" s="3149">
        <f t="shared" ca="1" si="263"/>
        <v>671604493.74791896</v>
      </c>
      <c r="AA344" s="3149">
        <f t="shared" ca="1" si="263"/>
        <v>677120538.68539798</v>
      </c>
      <c r="AB344" s="3149">
        <f t="shared" ca="1" si="263"/>
        <v>693334433.86443806</v>
      </c>
      <c r="AC344" s="3149">
        <f t="shared" ca="1" si="263"/>
        <v>699067778.20308232</v>
      </c>
      <c r="AD344" s="3149">
        <f t="shared" ca="1" si="263"/>
        <v>704858455.98511326</v>
      </c>
      <c r="AE344" s="3149">
        <f t="shared" ca="1" si="263"/>
        <v>721674728.48069882</v>
      </c>
      <c r="AF344" s="3149">
        <f t="shared" ca="1" si="263"/>
        <v>727691475.76550579</v>
      </c>
      <c r="AG344" s="3149">
        <f t="shared" ca="1" si="263"/>
        <v>744959144.80859303</v>
      </c>
      <c r="AH344" s="3149">
        <f t="shared" ca="1" si="263"/>
        <v>751208736.25667882</v>
      </c>
      <c r="AI344" s="3149">
        <f t="shared" ca="1" si="263"/>
        <v>757520823.61924565</v>
      </c>
      <c r="AJ344" s="3149">
        <f t="shared" ca="1" si="263"/>
        <v>775428626.17237568</v>
      </c>
      <c r="AK344" s="3149">
        <f t="shared" ca="1" si="263"/>
        <v>781982912.4340992</v>
      </c>
      <c r="AL344" s="3149">
        <f t="shared" ca="1" si="263"/>
        <v>800370001.34647763</v>
      </c>
      <c r="AM344" s="3149">
        <f t="shared" ca="1" si="263"/>
        <v>807173701.35994244</v>
      </c>
      <c r="AN344" s="3149">
        <f t="shared" ca="1" si="263"/>
        <v>814045438.37354183</v>
      </c>
      <c r="AO344" s="3149">
        <f t="shared" ca="1" si="263"/>
        <v>833112718.22011936</v>
      </c>
      <c r="AP344" s="3149">
        <f t="shared" ca="1" si="263"/>
        <v>840243845.40232074</v>
      </c>
      <c r="AQ344" s="3149">
        <f t="shared" ca="1" si="263"/>
        <v>859819986.19337595</v>
      </c>
      <c r="AR344" s="3149">
        <f t="shared" ca="1" si="263"/>
        <v>867218186.05530989</v>
      </c>
      <c r="AS344" s="3149">
        <f t="shared" ca="1" si="263"/>
        <v>874690367.91586268</v>
      </c>
      <c r="AT344" s="3149">
        <f t="shared" ca="1" si="263"/>
        <v>894989196.38994431</v>
      </c>
      <c r="AU344" s="3149">
        <f t="shared" ca="1" si="263"/>
        <v>902739088.35384381</v>
      </c>
      <c r="AV344" s="2694">
        <v>0</v>
      </c>
      <c r="AW344" s="2751"/>
      <c r="AX344" s="2875"/>
      <c r="AY344" s="2774"/>
      <c r="AZ344" s="2774"/>
      <c r="BA344" s="2774"/>
      <c r="BB344" s="2774"/>
      <c r="BC344" s="2774"/>
      <c r="BD344" s="2774"/>
      <c r="BE344" s="2774"/>
      <c r="BF344" s="2774"/>
      <c r="BG344" s="2774"/>
      <c r="BI344" s="2730"/>
      <c r="BJ344" s="2730"/>
    </row>
    <row r="345" spans="1:62" ht="17.25" outlineLevel="1">
      <c r="A345" s="3138" t="s">
        <v>4372</v>
      </c>
      <c r="B345" s="3150" t="s">
        <v>4373</v>
      </c>
      <c r="C345" s="3151">
        <v>0.01</v>
      </c>
      <c r="D345" s="3152"/>
      <c r="E345" s="3152"/>
      <c r="F345" s="3153">
        <f>617651048-10678191</f>
        <v>606972857</v>
      </c>
      <c r="G345" s="3154">
        <v>186504134</v>
      </c>
      <c r="H345" s="3140">
        <v>120000000</v>
      </c>
      <c r="I345" s="3140">
        <v>120000000</v>
      </c>
      <c r="J345" s="3140">
        <v>120000000</v>
      </c>
      <c r="K345" s="3140">
        <v>120000000</v>
      </c>
      <c r="L345" s="3140">
        <v>120000000</v>
      </c>
      <c r="M345" s="3140">
        <v>120000000</v>
      </c>
      <c r="N345" s="3140">
        <v>120000000</v>
      </c>
      <c r="O345" s="3140">
        <v>120000000</v>
      </c>
      <c r="P345" s="3140">
        <v>120000000</v>
      </c>
      <c r="Q345" s="3140">
        <v>120000000</v>
      </c>
      <c r="R345" s="3140">
        <v>120000000</v>
      </c>
      <c r="S345" s="3140">
        <v>120000000</v>
      </c>
      <c r="T345" s="3140">
        <v>120000000</v>
      </c>
      <c r="U345" s="3140">
        <v>120000000</v>
      </c>
      <c r="V345" s="3140">
        <v>120000000</v>
      </c>
      <c r="W345" s="3140">
        <v>120000000</v>
      </c>
      <c r="X345" s="3140">
        <v>120000000</v>
      </c>
      <c r="Y345" s="3140">
        <v>120000000</v>
      </c>
      <c r="Z345" s="3140">
        <v>120000000</v>
      </c>
      <c r="AA345" s="3140">
        <v>120000000</v>
      </c>
      <c r="AB345" s="3140">
        <v>120000000</v>
      </c>
      <c r="AC345" s="3140">
        <v>120000000</v>
      </c>
      <c r="AD345" s="3140">
        <v>120000000</v>
      </c>
      <c r="AE345" s="3140">
        <v>120000000</v>
      </c>
      <c r="AF345" s="3140">
        <v>120000000</v>
      </c>
      <c r="AG345" s="3140">
        <v>120000000</v>
      </c>
      <c r="AH345" s="3140">
        <v>120000000</v>
      </c>
      <c r="AI345" s="3140">
        <v>120000000</v>
      </c>
      <c r="AJ345" s="3140">
        <v>120000000</v>
      </c>
      <c r="AK345" s="3140">
        <v>120000000</v>
      </c>
      <c r="AL345" s="3140">
        <v>120000000</v>
      </c>
      <c r="AM345" s="3140">
        <v>120000000</v>
      </c>
      <c r="AN345" s="3140">
        <v>120000000</v>
      </c>
      <c r="AO345" s="3140">
        <v>120000000</v>
      </c>
      <c r="AP345" s="3140">
        <v>120000000</v>
      </c>
      <c r="AQ345" s="3140">
        <v>120000000</v>
      </c>
      <c r="AR345" s="3140">
        <v>120000000</v>
      </c>
      <c r="AS345" s="3140">
        <v>120000000</v>
      </c>
      <c r="AT345" s="3140">
        <v>120000000</v>
      </c>
      <c r="AU345" s="3140">
        <v>120000000</v>
      </c>
      <c r="AV345" s="2694">
        <v>0</v>
      </c>
      <c r="AW345" s="2960"/>
      <c r="AX345" s="2875"/>
      <c r="AY345" s="2760"/>
      <c r="AZ345" s="2760"/>
      <c r="BA345" s="2760"/>
      <c r="BB345" s="2760"/>
      <c r="BC345" s="2760"/>
      <c r="BD345" s="2760"/>
      <c r="BE345" s="2760"/>
      <c r="BF345" s="2760"/>
      <c r="BG345" s="2760"/>
      <c r="BI345" s="2730"/>
      <c r="BJ345" s="2730"/>
    </row>
    <row r="346" spans="1:62" ht="17.25" outlineLevel="1">
      <c r="A346" s="3047" t="s">
        <v>4374</v>
      </c>
      <c r="B346" s="3155"/>
      <c r="C346" s="2871">
        <v>0.01</v>
      </c>
      <c r="D346" s="2872"/>
      <c r="E346" s="2872"/>
      <c r="F346" s="3050">
        <v>263871914</v>
      </c>
      <c r="G346" s="3050">
        <v>299285632</v>
      </c>
      <c r="H346" s="3050">
        <f t="shared" ref="H346:AU346" ca="1" si="264">IF(H4&lt;$F$384,$F$392,HLOOKUP(H4,$F$384:$AT$396,8,0))*1000*(1+$C$346)^(H$2-$F$2)</f>
        <v>301775968.53882974</v>
      </c>
      <c r="I346" s="3050">
        <f t="shared" ca="1" si="264"/>
        <v>269960159.28430742</v>
      </c>
      <c r="J346" s="3050">
        <f t="shared" ca="1" si="264"/>
        <v>272659760.87715054</v>
      </c>
      <c r="K346" s="3050">
        <f t="shared" ca="1" si="264"/>
        <v>284269789.40482265</v>
      </c>
      <c r="L346" s="3050">
        <f t="shared" ca="1" si="264"/>
        <v>296084752.52696073</v>
      </c>
      <c r="M346" s="3050">
        <f t="shared" ca="1" si="264"/>
        <v>308107587.9326008</v>
      </c>
      <c r="N346" s="3050">
        <f t="shared" ca="1" si="264"/>
        <v>320341271.57110125</v>
      </c>
      <c r="O346" s="3050">
        <f t="shared" ca="1" si="264"/>
        <v>332788818.12357831</v>
      </c>
      <c r="P346" s="3050">
        <f t="shared" ca="1" si="264"/>
        <v>345453281.47994792</v>
      </c>
      <c r="Q346" s="3050">
        <f t="shared" ca="1" si="264"/>
        <v>358337755.2216323</v>
      </c>
      <c r="R346" s="3050">
        <f t="shared" ca="1" si="264"/>
        <v>371445373.11000264</v>
      </c>
      <c r="S346" s="3050">
        <f t="shared" ca="1" si="264"/>
        <v>375159826.84110266</v>
      </c>
      <c r="T346" s="3050">
        <f t="shared" ca="1" si="264"/>
        <v>378911425.10951376</v>
      </c>
      <c r="U346" s="3050">
        <f t="shared" ca="1" si="264"/>
        <v>392513373.70318848</v>
      </c>
      <c r="V346" s="3050">
        <f t="shared" ca="1" si="264"/>
        <v>396438507.44022048</v>
      </c>
      <c r="W346" s="3050">
        <f t="shared" ca="1" si="264"/>
        <v>410412964.82748824</v>
      </c>
      <c r="X346" s="3050">
        <f t="shared" ca="1" si="264"/>
        <v>414517094.47576314</v>
      </c>
      <c r="Y346" s="3050">
        <f t="shared" ca="1" si="264"/>
        <v>418662265.42052072</v>
      </c>
      <c r="Z346" s="3050">
        <f t="shared" ca="1" si="264"/>
        <v>433162275.58874357</v>
      </c>
      <c r="AA346" s="3050">
        <f t="shared" ca="1" si="264"/>
        <v>437493898.34463096</v>
      </c>
      <c r="AB346" s="3050">
        <f t="shared" ca="1" si="264"/>
        <v>452389523.93112689</v>
      </c>
      <c r="AC346" s="3050">
        <f t="shared" ca="1" si="264"/>
        <v>456913419.17043805</v>
      </c>
      <c r="AD346" s="3050">
        <f t="shared" ca="1" si="264"/>
        <v>461482553.36214256</v>
      </c>
      <c r="AE346" s="3050">
        <f t="shared" ca="1" si="264"/>
        <v>476936852.82357252</v>
      </c>
      <c r="AF346" s="3050">
        <f t="shared" ca="1" si="264"/>
        <v>481706221.35180825</v>
      </c>
      <c r="AG346" s="3050">
        <f t="shared" ca="1" si="264"/>
        <v>497580630.91908354</v>
      </c>
      <c r="AH346" s="3050">
        <f t="shared" ca="1" si="264"/>
        <v>502556437.22827441</v>
      </c>
      <c r="AI346" s="3050">
        <f t="shared" ca="1" si="264"/>
        <v>507582001.60055715</v>
      </c>
      <c r="AJ346" s="3050">
        <f t="shared" ca="1" si="264"/>
        <v>524050217.65248644</v>
      </c>
      <c r="AK346" s="3050">
        <f t="shared" ca="1" si="264"/>
        <v>529290719.82901114</v>
      </c>
      <c r="AL346" s="3050">
        <f t="shared" ca="1" si="264"/>
        <v>546205010.22354722</v>
      </c>
      <c r="AM346" s="3050">
        <f t="shared" ca="1" si="264"/>
        <v>551667060.32578266</v>
      </c>
      <c r="AN346" s="3050">
        <f t="shared" ca="1" si="264"/>
        <v>557183730.92904055</v>
      </c>
      <c r="AO346" s="3050">
        <f t="shared" ca="1" si="264"/>
        <v>574729090.96680582</v>
      </c>
      <c r="AP346" s="3050">
        <f t="shared" ca="1" si="264"/>
        <v>580476381.87647402</v>
      </c>
      <c r="AQ346" s="3050">
        <f t="shared" ca="1" si="264"/>
        <v>598495336.23055625</v>
      </c>
      <c r="AR346" s="3050">
        <f t="shared" ca="1" si="264"/>
        <v>604480289.59286189</v>
      </c>
      <c r="AS346" s="3050">
        <f t="shared" ca="1" si="264"/>
        <v>610525092.48879027</v>
      </c>
      <c r="AT346" s="3050">
        <f t="shared" ca="1" si="264"/>
        <v>629214636.13640654</v>
      </c>
      <c r="AU346" s="3050">
        <f t="shared" ca="1" si="264"/>
        <v>635506782.49777067</v>
      </c>
      <c r="AV346" s="2694">
        <v>0</v>
      </c>
      <c r="AW346" s="3156"/>
      <c r="AX346" s="2875"/>
      <c r="AY346" s="2760"/>
      <c r="AZ346" s="2760"/>
      <c r="BA346" s="2760"/>
      <c r="BB346" s="2760"/>
      <c r="BC346" s="2760"/>
      <c r="BD346" s="2760"/>
      <c r="BE346" s="2760"/>
      <c r="BF346" s="2760"/>
      <c r="BG346" s="2760"/>
      <c r="BI346" s="2730"/>
      <c r="BJ346" s="2730"/>
    </row>
    <row r="347" spans="1:62" ht="17.25" outlineLevel="1">
      <c r="A347" s="3047" t="s">
        <v>4375</v>
      </c>
      <c r="B347" s="3157"/>
      <c r="C347" s="2871">
        <v>0.01</v>
      </c>
      <c r="D347" s="2872"/>
      <c r="E347" s="2872"/>
      <c r="F347" s="3158">
        <v>47687072</v>
      </c>
      <c r="G347" s="3051">
        <v>24842084.179458868</v>
      </c>
      <c r="H347" s="3051">
        <f t="shared" ref="H347:AU347" si="265">G347*($C$347+1)</f>
        <v>25090505.021253455</v>
      </c>
      <c r="I347" s="3051">
        <f t="shared" si="265"/>
        <v>25341410.071465991</v>
      </c>
      <c r="J347" s="3051">
        <f t="shared" si="265"/>
        <v>25594824.172180653</v>
      </c>
      <c r="K347" s="3051">
        <f t="shared" si="265"/>
        <v>25850772.413902458</v>
      </c>
      <c r="L347" s="3051">
        <f t="shared" si="265"/>
        <v>26109280.138041481</v>
      </c>
      <c r="M347" s="3051">
        <f t="shared" si="265"/>
        <v>26370372.939421896</v>
      </c>
      <c r="N347" s="3051">
        <f t="shared" si="265"/>
        <v>26634076.668816116</v>
      </c>
      <c r="O347" s="3051">
        <f t="shared" si="265"/>
        <v>26900417.435504276</v>
      </c>
      <c r="P347" s="3051">
        <f t="shared" si="265"/>
        <v>27169421.609859318</v>
      </c>
      <c r="Q347" s="3051">
        <f t="shared" si="265"/>
        <v>27441115.825957909</v>
      </c>
      <c r="R347" s="3051">
        <f t="shared" si="265"/>
        <v>27715526.984217487</v>
      </c>
      <c r="S347" s="3051">
        <f t="shared" si="265"/>
        <v>27992682.254059661</v>
      </c>
      <c r="T347" s="3051">
        <f t="shared" si="265"/>
        <v>28272609.076600257</v>
      </c>
      <c r="U347" s="3051">
        <f t="shared" si="265"/>
        <v>28555335.167366259</v>
      </c>
      <c r="V347" s="3051">
        <f t="shared" si="265"/>
        <v>28840888.519039921</v>
      </c>
      <c r="W347" s="3051">
        <f t="shared" si="265"/>
        <v>29129297.404230323</v>
      </c>
      <c r="X347" s="3051">
        <f t="shared" si="265"/>
        <v>29420590.378272627</v>
      </c>
      <c r="Y347" s="3051">
        <f t="shared" si="265"/>
        <v>29714796.282055352</v>
      </c>
      <c r="Z347" s="3051">
        <f t="shared" si="265"/>
        <v>30011944.244875904</v>
      </c>
      <c r="AA347" s="3051">
        <f t="shared" si="265"/>
        <v>30312063.687324662</v>
      </c>
      <c r="AB347" s="3051">
        <f t="shared" si="265"/>
        <v>30615184.324197907</v>
      </c>
      <c r="AC347" s="3051">
        <f t="shared" si="265"/>
        <v>30921336.167439885</v>
      </c>
      <c r="AD347" s="3051">
        <f t="shared" si="265"/>
        <v>31230549.529114284</v>
      </c>
      <c r="AE347" s="3051">
        <f t="shared" si="265"/>
        <v>31542855.024405427</v>
      </c>
      <c r="AF347" s="3051">
        <f t="shared" si="265"/>
        <v>31858283.574649483</v>
      </c>
      <c r="AG347" s="3051">
        <f t="shared" si="265"/>
        <v>32176866.41039598</v>
      </c>
      <c r="AH347" s="3051">
        <f t="shared" si="265"/>
        <v>32498635.074499939</v>
      </c>
      <c r="AI347" s="3051">
        <f t="shared" si="265"/>
        <v>32823621.425244939</v>
      </c>
      <c r="AJ347" s="3051">
        <f t="shared" si="265"/>
        <v>33151857.639497388</v>
      </c>
      <c r="AK347" s="3051">
        <f t="shared" si="265"/>
        <v>33483376.215892363</v>
      </c>
      <c r="AL347" s="3051">
        <f t="shared" si="265"/>
        <v>33818209.97805129</v>
      </c>
      <c r="AM347" s="3051">
        <f t="shared" si="265"/>
        <v>34156392.077831805</v>
      </c>
      <c r="AN347" s="3051">
        <f t="shared" si="265"/>
        <v>34497955.998610124</v>
      </c>
      <c r="AO347" s="3051">
        <f t="shared" si="265"/>
        <v>34842935.558596224</v>
      </c>
      <c r="AP347" s="3051">
        <f t="shared" si="265"/>
        <v>35191364.914182186</v>
      </c>
      <c r="AQ347" s="3051">
        <f t="shared" si="265"/>
        <v>35543278.563324012</v>
      </c>
      <c r="AR347" s="3051">
        <f t="shared" si="265"/>
        <v>35898711.348957255</v>
      </c>
      <c r="AS347" s="3051">
        <f t="shared" si="265"/>
        <v>36257698.462446831</v>
      </c>
      <c r="AT347" s="3051">
        <f t="shared" si="265"/>
        <v>36620275.447071299</v>
      </c>
      <c r="AU347" s="3051">
        <f t="shared" si="265"/>
        <v>36986478.201542012</v>
      </c>
      <c r="AV347" s="2694">
        <v>0</v>
      </c>
      <c r="AW347" s="3159"/>
      <c r="AX347" s="2875"/>
      <c r="AY347" s="2760"/>
      <c r="AZ347" s="2760"/>
      <c r="BA347" s="2760"/>
      <c r="BB347" s="2760"/>
      <c r="BC347" s="2760"/>
      <c r="BD347" s="2760"/>
      <c r="BE347" s="2760"/>
      <c r="BF347" s="2760"/>
      <c r="BG347" s="2760"/>
      <c r="BI347" s="2730"/>
      <c r="BJ347" s="2730"/>
    </row>
    <row r="348" spans="1:62" ht="17.25" outlineLevel="1">
      <c r="A348" s="3047" t="s">
        <v>4376</v>
      </c>
      <c r="B348" s="2776"/>
      <c r="C348" s="2871">
        <v>0.01</v>
      </c>
      <c r="D348" s="2872"/>
      <c r="E348" s="2872"/>
      <c r="F348" s="3158">
        <v>66158652</v>
      </c>
      <c r="G348" s="3051">
        <v>67915766</v>
      </c>
      <c r="H348" s="3051">
        <f t="shared" ref="H348:AU348" si="266">G348*($C$348+1)</f>
        <v>68594923.659999996</v>
      </c>
      <c r="I348" s="3051">
        <f t="shared" si="266"/>
        <v>69280872.896599993</v>
      </c>
      <c r="J348" s="3051">
        <f t="shared" si="266"/>
        <v>69973681.625565991</v>
      </c>
      <c r="K348" s="3051">
        <f t="shared" si="266"/>
        <v>70673418.44182165</v>
      </c>
      <c r="L348" s="3051">
        <f t="shared" si="266"/>
        <v>71380152.626239866</v>
      </c>
      <c r="M348" s="3051">
        <f t="shared" si="266"/>
        <v>72093954.152502269</v>
      </c>
      <c r="N348" s="3051">
        <f t="shared" si="266"/>
        <v>72814893.69402729</v>
      </c>
      <c r="O348" s="3051">
        <f t="shared" si="266"/>
        <v>73543042.630967557</v>
      </c>
      <c r="P348" s="3051">
        <f t="shared" si="266"/>
        <v>74278473.057277232</v>
      </c>
      <c r="Q348" s="3051">
        <f t="shared" si="266"/>
        <v>75021257.787850007</v>
      </c>
      <c r="R348" s="3051">
        <f t="shared" si="266"/>
        <v>75771470.365728512</v>
      </c>
      <c r="S348" s="3051">
        <f t="shared" si="266"/>
        <v>76529185.069385797</v>
      </c>
      <c r="T348" s="3051">
        <f t="shared" si="266"/>
        <v>77294476.920079648</v>
      </c>
      <c r="U348" s="3051">
        <f t="shared" si="266"/>
        <v>78067421.68928045</v>
      </c>
      <c r="V348" s="3051">
        <f t="shared" si="266"/>
        <v>78848095.906173259</v>
      </c>
      <c r="W348" s="3051">
        <f t="shared" si="266"/>
        <v>79636576.865234986</v>
      </c>
      <c r="X348" s="3051">
        <f t="shared" si="266"/>
        <v>80432942.633887336</v>
      </c>
      <c r="Y348" s="3051">
        <f t="shared" si="266"/>
        <v>81237272.060226217</v>
      </c>
      <c r="Z348" s="3051">
        <f t="shared" si="266"/>
        <v>82049644.780828476</v>
      </c>
      <c r="AA348" s="3051">
        <f t="shared" si="266"/>
        <v>82870141.228636757</v>
      </c>
      <c r="AB348" s="3051">
        <f t="shared" si="266"/>
        <v>83698842.640923128</v>
      </c>
      <c r="AC348" s="3051">
        <f t="shared" si="266"/>
        <v>84535831.067332357</v>
      </c>
      <c r="AD348" s="3051">
        <f t="shared" si="266"/>
        <v>85381189.378005683</v>
      </c>
      <c r="AE348" s="3051">
        <f t="shared" si="266"/>
        <v>86235001.271785736</v>
      </c>
      <c r="AF348" s="3051">
        <f t="shared" si="266"/>
        <v>87097351.284503594</v>
      </c>
      <c r="AG348" s="3051">
        <f t="shared" si="266"/>
        <v>87968324.797348633</v>
      </c>
      <c r="AH348" s="3051">
        <f t="shared" si="266"/>
        <v>88848008.04532212</v>
      </c>
      <c r="AI348" s="3051">
        <f t="shared" si="266"/>
        <v>89736488.125775337</v>
      </c>
      <c r="AJ348" s="3051">
        <f t="shared" si="266"/>
        <v>90633853.007033095</v>
      </c>
      <c r="AK348" s="3051">
        <f t="shared" si="266"/>
        <v>91540191.537103429</v>
      </c>
      <c r="AL348" s="3051">
        <f t="shared" si="266"/>
        <v>92455593.45247446</v>
      </c>
      <c r="AM348" s="3051">
        <f t="shared" si="266"/>
        <v>93380149.386999205</v>
      </c>
      <c r="AN348" s="3051">
        <f t="shared" si="266"/>
        <v>94313950.880869195</v>
      </c>
      <c r="AO348" s="3051">
        <f t="shared" si="266"/>
        <v>95257090.389677882</v>
      </c>
      <c r="AP348" s="3051">
        <f t="shared" si="266"/>
        <v>96209661.293574661</v>
      </c>
      <c r="AQ348" s="3051">
        <f t="shared" si="266"/>
        <v>97171757.906510413</v>
      </c>
      <c r="AR348" s="3051">
        <f t="shared" si="266"/>
        <v>98143475.485575512</v>
      </c>
      <c r="AS348" s="3051">
        <f t="shared" si="266"/>
        <v>99124910.240431264</v>
      </c>
      <c r="AT348" s="3051">
        <f t="shared" si="266"/>
        <v>100116159.34283558</v>
      </c>
      <c r="AU348" s="3051">
        <f t="shared" si="266"/>
        <v>101117320.93626393</v>
      </c>
      <c r="AV348" s="2694">
        <v>0</v>
      </c>
      <c r="AW348" s="2771"/>
      <c r="AX348" s="2875"/>
      <c r="AY348" s="2760"/>
      <c r="AZ348" s="2760"/>
      <c r="BA348" s="2760"/>
      <c r="BB348" s="2760"/>
      <c r="BC348" s="2760"/>
      <c r="BD348" s="2760"/>
      <c r="BE348" s="2760"/>
      <c r="BF348" s="2760"/>
      <c r="BG348" s="2760"/>
      <c r="BI348" s="2730"/>
      <c r="BJ348" s="2730"/>
    </row>
    <row r="349" spans="1:62" ht="17.25" outlineLevel="1">
      <c r="A349" s="3047" t="s">
        <v>4377</v>
      </c>
      <c r="B349" s="2776"/>
      <c r="C349" s="2871">
        <v>0.01</v>
      </c>
      <c r="D349" s="2872"/>
      <c r="E349" s="2872"/>
      <c r="F349" s="3050">
        <v>1261691</v>
      </c>
      <c r="G349" s="3051">
        <v>331648</v>
      </c>
      <c r="H349" s="3051">
        <f t="shared" ref="H349:AU349" si="267">G349*(1+$C$349)</f>
        <v>334964.47999999998</v>
      </c>
      <c r="I349" s="3051">
        <f t="shared" si="267"/>
        <v>338314.12479999999</v>
      </c>
      <c r="J349" s="3051">
        <f t="shared" si="267"/>
        <v>341697.26604800002</v>
      </c>
      <c r="K349" s="3051">
        <f t="shared" si="267"/>
        <v>345114.23870848003</v>
      </c>
      <c r="L349" s="3051">
        <f t="shared" si="267"/>
        <v>348565.38109556481</v>
      </c>
      <c r="M349" s="3051">
        <f t="shared" si="267"/>
        <v>352051.03490652045</v>
      </c>
      <c r="N349" s="3051">
        <f t="shared" si="267"/>
        <v>355571.54525558563</v>
      </c>
      <c r="O349" s="3051">
        <f t="shared" si="267"/>
        <v>359127.26070814149</v>
      </c>
      <c r="P349" s="3051">
        <f t="shared" si="267"/>
        <v>362718.53331522288</v>
      </c>
      <c r="Q349" s="3051">
        <f t="shared" si="267"/>
        <v>366345.71864837513</v>
      </c>
      <c r="R349" s="3051">
        <f t="shared" si="267"/>
        <v>370009.17583485891</v>
      </c>
      <c r="S349" s="3051">
        <f t="shared" si="267"/>
        <v>373709.26759320748</v>
      </c>
      <c r="T349" s="3051">
        <f t="shared" si="267"/>
        <v>377446.36026913958</v>
      </c>
      <c r="U349" s="3051">
        <f t="shared" si="267"/>
        <v>381220.823871831</v>
      </c>
      <c r="V349" s="3051">
        <f t="shared" si="267"/>
        <v>385033.03211054933</v>
      </c>
      <c r="W349" s="3051">
        <f t="shared" si="267"/>
        <v>388883.36243165482</v>
      </c>
      <c r="X349" s="3051">
        <f t="shared" si="267"/>
        <v>392772.19605597138</v>
      </c>
      <c r="Y349" s="3051">
        <f t="shared" si="267"/>
        <v>396699.9180165311</v>
      </c>
      <c r="Z349" s="3051">
        <f t="shared" si="267"/>
        <v>400666.91719669639</v>
      </c>
      <c r="AA349" s="3051">
        <f t="shared" si="267"/>
        <v>404673.58636866335</v>
      </c>
      <c r="AB349" s="3051">
        <f t="shared" si="267"/>
        <v>408720.32223235001</v>
      </c>
      <c r="AC349" s="3051">
        <f t="shared" si="267"/>
        <v>412807.52545467351</v>
      </c>
      <c r="AD349" s="3051">
        <f t="shared" si="267"/>
        <v>416935.60070922022</v>
      </c>
      <c r="AE349" s="3051">
        <f t="shared" si="267"/>
        <v>421104.95671631244</v>
      </c>
      <c r="AF349" s="3051">
        <f t="shared" si="267"/>
        <v>425316.00628347555</v>
      </c>
      <c r="AG349" s="3051">
        <f t="shared" si="267"/>
        <v>429569.16634631029</v>
      </c>
      <c r="AH349" s="3051">
        <f t="shared" si="267"/>
        <v>433864.85800977342</v>
      </c>
      <c r="AI349" s="3051">
        <f t="shared" si="267"/>
        <v>438203.50658987113</v>
      </c>
      <c r="AJ349" s="3051">
        <f t="shared" si="267"/>
        <v>442585.54165576986</v>
      </c>
      <c r="AK349" s="3051">
        <f t="shared" si="267"/>
        <v>447011.39707232756</v>
      </c>
      <c r="AL349" s="3051">
        <f t="shared" si="267"/>
        <v>451481.51104305085</v>
      </c>
      <c r="AM349" s="3051">
        <f t="shared" si="267"/>
        <v>455996.32615348138</v>
      </c>
      <c r="AN349" s="3051">
        <f t="shared" si="267"/>
        <v>460556.28941501619</v>
      </c>
      <c r="AO349" s="3051">
        <f t="shared" si="267"/>
        <v>465161.85230916634</v>
      </c>
      <c r="AP349" s="3051">
        <f t="shared" si="267"/>
        <v>469813.470832258</v>
      </c>
      <c r="AQ349" s="3051">
        <f t="shared" si="267"/>
        <v>474511.60554058058</v>
      </c>
      <c r="AR349" s="3051">
        <f t="shared" si="267"/>
        <v>479256.7215959864</v>
      </c>
      <c r="AS349" s="3051">
        <f t="shared" si="267"/>
        <v>484049.28881194629</v>
      </c>
      <c r="AT349" s="3051">
        <f t="shared" si="267"/>
        <v>488889.78170006577</v>
      </c>
      <c r="AU349" s="3051">
        <f t="shared" si="267"/>
        <v>493778.67951706646</v>
      </c>
      <c r="AV349" s="2694">
        <v>0</v>
      </c>
      <c r="AW349" s="2771"/>
      <c r="AX349" s="2875"/>
      <c r="AY349" s="2760"/>
      <c r="AZ349" s="2760"/>
      <c r="BA349" s="2760"/>
      <c r="BB349" s="2760"/>
      <c r="BC349" s="2760"/>
      <c r="BD349" s="2760"/>
      <c r="BE349" s="2760"/>
      <c r="BF349" s="2760"/>
      <c r="BG349" s="2760"/>
      <c r="BI349" s="2730"/>
      <c r="BJ349" s="2730"/>
    </row>
    <row r="350" spans="1:62" ht="17.25" outlineLevel="1">
      <c r="A350" s="3047" t="s">
        <v>4378</v>
      </c>
      <c r="B350" s="2776"/>
      <c r="C350" s="2871">
        <v>0.01</v>
      </c>
      <c r="D350" s="2872"/>
      <c r="E350" s="2872"/>
      <c r="F350" s="3050">
        <v>1159828</v>
      </c>
      <c r="G350" s="3050">
        <v>1770519</v>
      </c>
      <c r="H350" s="3050">
        <f t="shared" ref="H350:AU350" ca="1" si="268">IF(H4&lt;$F$384,$F$395,HLOOKUP(H4,$F$384:$AT$396,12,0))*1000*(1+$C$350)^(H$2-$F$2)</f>
        <v>2486992.4156733034</v>
      </c>
      <c r="I350" s="3050">
        <f t="shared" ca="1" si="268"/>
        <v>2320572.5334602366</v>
      </c>
      <c r="J350" s="3050">
        <f t="shared" ca="1" si="268"/>
        <v>2343778.258794839</v>
      </c>
      <c r="K350" s="3050">
        <f t="shared" ca="1" si="268"/>
        <v>2414560.3622104428</v>
      </c>
      <c r="L350" s="3050">
        <f t="shared" ca="1" si="268"/>
        <v>2487480.0851491988</v>
      </c>
      <c r="M350" s="3050">
        <f t="shared" ca="1" si="268"/>
        <v>2562601.983720704</v>
      </c>
      <c r="N350" s="3050">
        <f t="shared" ca="1" si="268"/>
        <v>2639992.5636290698</v>
      </c>
      <c r="O350" s="3050">
        <f t="shared" ca="1" si="268"/>
        <v>2719720.3390506678</v>
      </c>
      <c r="P350" s="3050">
        <f t="shared" ca="1" si="268"/>
        <v>2801855.8932899982</v>
      </c>
      <c r="Q350" s="3050">
        <f t="shared" ca="1" si="268"/>
        <v>2886471.9412673558</v>
      </c>
      <c r="R350" s="3050">
        <f t="shared" ca="1" si="268"/>
        <v>2973643.3938936298</v>
      </c>
      <c r="S350" s="3050">
        <f t="shared" ca="1" si="268"/>
        <v>3003379.8278325661</v>
      </c>
      <c r="T350" s="3050">
        <f t="shared" ca="1" si="268"/>
        <v>3033413.6261108923</v>
      </c>
      <c r="U350" s="3050">
        <f t="shared" ca="1" si="268"/>
        <v>3125022.7176194401</v>
      </c>
      <c r="V350" s="3050">
        <f t="shared" ca="1" si="268"/>
        <v>3156272.9447956355</v>
      </c>
      <c r="W350" s="3050">
        <f t="shared" ca="1" si="268"/>
        <v>3251592.3877284639</v>
      </c>
      <c r="X350" s="3050">
        <f t="shared" ca="1" si="268"/>
        <v>3284108.3116057487</v>
      </c>
      <c r="Y350" s="3050">
        <f t="shared" ca="1" si="268"/>
        <v>3316949.3947218056</v>
      </c>
      <c r="Z350" s="3050">
        <f t="shared" ca="1" si="268"/>
        <v>3417121.2664424046</v>
      </c>
      <c r="AA350" s="3050">
        <f t="shared" ca="1" si="268"/>
        <v>3451292.4791068281</v>
      </c>
      <c r="AB350" s="3050">
        <f t="shared" ca="1" si="268"/>
        <v>3555521.5119758556</v>
      </c>
      <c r="AC350" s="3050">
        <f t="shared" ca="1" si="268"/>
        <v>3591076.7270956133</v>
      </c>
      <c r="AD350" s="3050">
        <f t="shared" ca="1" si="268"/>
        <v>3626987.4943665704</v>
      </c>
      <c r="AE350" s="3050">
        <f t="shared" ca="1" si="268"/>
        <v>3736522.516696441</v>
      </c>
      <c r="AF350" s="3050">
        <f t="shared" ca="1" si="268"/>
        <v>3773887.7418634053</v>
      </c>
      <c r="AG350" s="3050">
        <f t="shared" ca="1" si="268"/>
        <v>3887859.1516676787</v>
      </c>
      <c r="AH350" s="3050">
        <f t="shared" ca="1" si="268"/>
        <v>3926737.743184356</v>
      </c>
      <c r="AI350" s="3050">
        <f t="shared" ca="1" si="268"/>
        <v>3966005.1206161994</v>
      </c>
      <c r="AJ350" s="3050">
        <f t="shared" ca="1" si="268"/>
        <v>4085778.47525881</v>
      </c>
      <c r="AK350" s="3050">
        <f t="shared" ca="1" si="268"/>
        <v>4126636.2600113964</v>
      </c>
      <c r="AL350" s="3050">
        <f t="shared" ca="1" si="268"/>
        <v>4251260.6750637414</v>
      </c>
      <c r="AM350" s="3050">
        <f t="shared" ca="1" si="268"/>
        <v>4293773.2818143787</v>
      </c>
      <c r="AN350" s="3050">
        <f t="shared" ca="1" si="268"/>
        <v>4336711.0146325231</v>
      </c>
      <c r="AO350" s="3050">
        <f t="shared" ca="1" si="268"/>
        <v>4467679.6872744244</v>
      </c>
      <c r="AP350" s="3050">
        <f t="shared" ca="1" si="268"/>
        <v>4512356.4841471687</v>
      </c>
      <c r="AQ350" s="3050">
        <f t="shared" ca="1" si="268"/>
        <v>4648629.6499684136</v>
      </c>
      <c r="AR350" s="3050">
        <f t="shared" ca="1" si="268"/>
        <v>4695115.9464680981</v>
      </c>
      <c r="AS350" s="3050">
        <f t="shared" ca="1" si="268"/>
        <v>4742067.1059327777</v>
      </c>
      <c r="AT350" s="3050">
        <f t="shared" ca="1" si="268"/>
        <v>4885277.5325319488</v>
      </c>
      <c r="AU350" s="3050">
        <f t="shared" ca="1" si="268"/>
        <v>4934130.3078572685</v>
      </c>
      <c r="AV350" s="2694">
        <v>0</v>
      </c>
      <c r="AW350" s="2771"/>
      <c r="AX350" s="2875"/>
      <c r="AY350" s="2760"/>
      <c r="AZ350" s="2760"/>
      <c r="BA350" s="2760"/>
      <c r="BB350" s="2760"/>
      <c r="BC350" s="2760"/>
      <c r="BD350" s="2760"/>
      <c r="BE350" s="2760"/>
      <c r="BF350" s="2760"/>
      <c r="BG350" s="2760"/>
      <c r="BI350" s="2730"/>
      <c r="BJ350" s="2730"/>
    </row>
    <row r="351" spans="1:62" ht="17.25" outlineLevel="1">
      <c r="A351" s="3047" t="s">
        <v>4379</v>
      </c>
      <c r="B351" s="2776" t="s">
        <v>4380</v>
      </c>
      <c r="C351" s="3160">
        <v>0.01</v>
      </c>
      <c r="D351" s="3161"/>
      <c r="E351" s="3161"/>
      <c r="F351" s="3050">
        <v>3034943</v>
      </c>
      <c r="G351" s="3050">
        <v>2714098</v>
      </c>
      <c r="H351" s="3050">
        <f t="shared" ref="H351:AU351" ca="1" si="269">IF(H4&lt;$F$384,$F$396,HLOOKUP(H4,$F$384:$AT$396,13,0))*1000*(1+$C$351)^(H$2-$F$2)</f>
        <v>1865244.3117549778</v>
      </c>
      <c r="I351" s="3050">
        <f t="shared" ca="1" si="269"/>
        <v>1740429.4000951773</v>
      </c>
      <c r="J351" s="3050">
        <f t="shared" ca="1" si="269"/>
        <v>1757833.6940961294</v>
      </c>
      <c r="K351" s="3050">
        <f t="shared" ca="1" si="269"/>
        <v>1810920.2716578324</v>
      </c>
      <c r="L351" s="3050">
        <f t="shared" ca="1" si="269"/>
        <v>1865610.0638618995</v>
      </c>
      <c r="M351" s="3050">
        <f t="shared" ca="1" si="269"/>
        <v>1921951.4877905282</v>
      </c>
      <c r="N351" s="3050">
        <f t="shared" ca="1" si="269"/>
        <v>1979994.4227218027</v>
      </c>
      <c r="O351" s="3050">
        <f t="shared" ca="1" si="269"/>
        <v>2039790.2542880015</v>
      </c>
      <c r="P351" s="3050">
        <f t="shared" ca="1" si="269"/>
        <v>2101391.9199674991</v>
      </c>
      <c r="Q351" s="3050">
        <f t="shared" ca="1" si="269"/>
        <v>2164853.9559505172</v>
      </c>
      <c r="R351" s="3050">
        <f t="shared" ca="1" si="269"/>
        <v>2230232.5454202234</v>
      </c>
      <c r="S351" s="3050">
        <f t="shared" ca="1" si="269"/>
        <v>2252534.8708744254</v>
      </c>
      <c r="T351" s="3050">
        <f t="shared" ca="1" si="269"/>
        <v>2275060.21958317</v>
      </c>
      <c r="U351" s="3050">
        <f t="shared" ca="1" si="269"/>
        <v>2343767.0382145811</v>
      </c>
      <c r="V351" s="3050">
        <f t="shared" ca="1" si="269"/>
        <v>2367204.7085967278</v>
      </c>
      <c r="W351" s="3050">
        <f t="shared" ca="1" si="269"/>
        <v>2438694.2907963493</v>
      </c>
      <c r="X351" s="3050">
        <f t="shared" ca="1" si="269"/>
        <v>2463081.2337043127</v>
      </c>
      <c r="Y351" s="3050">
        <f t="shared" ca="1" si="269"/>
        <v>2487712.0460413555</v>
      </c>
      <c r="Z351" s="3050">
        <f t="shared" ca="1" si="269"/>
        <v>2562840.9498318043</v>
      </c>
      <c r="AA351" s="3050">
        <f t="shared" ca="1" si="269"/>
        <v>2588469.3593301219</v>
      </c>
      <c r="AB351" s="3050">
        <f t="shared" ca="1" si="269"/>
        <v>2666641.1339818919</v>
      </c>
      <c r="AC351" s="3050">
        <f t="shared" ca="1" si="269"/>
        <v>2693307.5453217104</v>
      </c>
      <c r="AD351" s="3050">
        <f t="shared" ca="1" si="269"/>
        <v>2720240.620774928</v>
      </c>
      <c r="AE351" s="3050">
        <f t="shared" ca="1" si="269"/>
        <v>2802391.8875223314</v>
      </c>
      <c r="AF351" s="3050">
        <f t="shared" ca="1" si="269"/>
        <v>2830415.8063975545</v>
      </c>
      <c r="AG351" s="3050">
        <f t="shared" ca="1" si="269"/>
        <v>2915894.36375076</v>
      </c>
      <c r="AH351" s="3050">
        <f t="shared" ca="1" si="269"/>
        <v>2945053.3073882675</v>
      </c>
      <c r="AI351" s="3050">
        <f t="shared" ca="1" si="269"/>
        <v>2974503.8404621505</v>
      </c>
      <c r="AJ351" s="3050">
        <f t="shared" ca="1" si="269"/>
        <v>3064333.8564441083</v>
      </c>
      <c r="AK351" s="3050">
        <f t="shared" ca="1" si="269"/>
        <v>3094977.195008548</v>
      </c>
      <c r="AL351" s="3050">
        <f t="shared" ca="1" si="269"/>
        <v>3188445.5062978072</v>
      </c>
      <c r="AM351" s="3050">
        <f t="shared" ca="1" si="269"/>
        <v>3220329.9613607852</v>
      </c>
      <c r="AN351" s="3050">
        <f t="shared" ca="1" si="269"/>
        <v>3252533.2609743932</v>
      </c>
      <c r="AO351" s="3050">
        <f t="shared" ca="1" si="269"/>
        <v>3350759.7654558197</v>
      </c>
      <c r="AP351" s="3050">
        <f t="shared" ca="1" si="269"/>
        <v>3384267.3631103779</v>
      </c>
      <c r="AQ351" s="3050">
        <f t="shared" ca="1" si="269"/>
        <v>3486472.2374763116</v>
      </c>
      <c r="AR351" s="3050">
        <f t="shared" ca="1" si="269"/>
        <v>3521336.959851075</v>
      </c>
      <c r="AS351" s="3050">
        <f t="shared" ca="1" si="269"/>
        <v>3556550.3294495847</v>
      </c>
      <c r="AT351" s="3050">
        <f t="shared" ca="1" si="269"/>
        <v>3663958.149398963</v>
      </c>
      <c r="AU351" s="3050">
        <f t="shared" ca="1" si="269"/>
        <v>3700597.730892953</v>
      </c>
      <c r="AV351" s="2694">
        <v>0</v>
      </c>
      <c r="AW351" s="2771"/>
      <c r="AX351" s="3162"/>
      <c r="AY351" s="2760"/>
      <c r="AZ351" s="2760"/>
      <c r="BA351" s="2760"/>
      <c r="BB351" s="2760"/>
      <c r="BC351" s="2760"/>
      <c r="BD351" s="2760"/>
      <c r="BE351" s="2760"/>
      <c r="BF351" s="2760"/>
      <c r="BG351" s="2760"/>
      <c r="BI351" s="2730"/>
      <c r="BJ351" s="2730"/>
    </row>
    <row r="352" spans="1:62" ht="17.25" outlineLevel="1">
      <c r="A352" s="2955" t="s">
        <v>4381</v>
      </c>
      <c r="B352" s="3163">
        <v>500000000</v>
      </c>
      <c r="C352" s="3164">
        <v>0.01</v>
      </c>
      <c r="D352" s="3113"/>
      <c r="E352" s="3165"/>
      <c r="F352" s="2903">
        <v>402992005</v>
      </c>
      <c r="G352" s="2903">
        <v>373522492</v>
      </c>
      <c r="H352" s="2903">
        <f t="shared" ref="H352:AU352" si="270">G352*(1+$C$352)</f>
        <v>377257716.92000002</v>
      </c>
      <c r="I352" s="2903">
        <f t="shared" si="270"/>
        <v>381030294.08920002</v>
      </c>
      <c r="J352" s="2903">
        <f t="shared" si="270"/>
        <v>384840597.030092</v>
      </c>
      <c r="K352" s="2903">
        <f t="shared" si="270"/>
        <v>388689003.00039291</v>
      </c>
      <c r="L352" s="2903">
        <f t="shared" si="270"/>
        <v>392575893.03039682</v>
      </c>
      <c r="M352" s="2903">
        <f t="shared" si="270"/>
        <v>396501651.96070081</v>
      </c>
      <c r="N352" s="2903">
        <f t="shared" si="270"/>
        <v>400466668.48030782</v>
      </c>
      <c r="O352" s="2903">
        <f t="shared" si="270"/>
        <v>404471335.16511089</v>
      </c>
      <c r="P352" s="2903">
        <f t="shared" si="270"/>
        <v>408516048.51676202</v>
      </c>
      <c r="Q352" s="2903">
        <f t="shared" si="270"/>
        <v>412601209.00192964</v>
      </c>
      <c r="R352" s="2903">
        <f t="shared" si="270"/>
        <v>416727221.09194893</v>
      </c>
      <c r="S352" s="3166">
        <f>(R352+100000000)*(1+$C$352)</f>
        <v>521894493.30286843</v>
      </c>
      <c r="T352" s="3166">
        <f>(S352+100000000)*(1+$C$352)</f>
        <v>628113438.23589706</v>
      </c>
      <c r="U352" s="2903">
        <f t="shared" si="270"/>
        <v>634394572.61825609</v>
      </c>
      <c r="V352" s="2903">
        <f t="shared" si="270"/>
        <v>640738518.34443867</v>
      </c>
      <c r="W352" s="2903">
        <f t="shared" si="270"/>
        <v>647145903.52788305</v>
      </c>
      <c r="X352" s="2903">
        <f t="shared" si="270"/>
        <v>653617362.56316185</v>
      </c>
      <c r="Y352" s="2903">
        <f t="shared" si="270"/>
        <v>660153536.18879342</v>
      </c>
      <c r="Z352" s="2903">
        <f t="shared" si="270"/>
        <v>666755071.55068135</v>
      </c>
      <c r="AA352" s="2903">
        <f t="shared" si="270"/>
        <v>673422622.26618814</v>
      </c>
      <c r="AB352" s="2903">
        <f t="shared" si="270"/>
        <v>680156848.48885</v>
      </c>
      <c r="AC352" s="2903">
        <f t="shared" si="270"/>
        <v>686958416.97373855</v>
      </c>
      <c r="AD352" s="2903">
        <f t="shared" si="270"/>
        <v>693828001.14347589</v>
      </c>
      <c r="AE352" s="3167">
        <f>(AD352-200000000)*(1+$C$352)</f>
        <v>498766281.15491062</v>
      </c>
      <c r="AF352" s="2903">
        <f t="shared" si="270"/>
        <v>503753943.96645975</v>
      </c>
      <c r="AG352" s="2903">
        <f t="shared" si="270"/>
        <v>508791483.40612435</v>
      </c>
      <c r="AH352" s="2903">
        <f t="shared" si="270"/>
        <v>513879398.24018562</v>
      </c>
      <c r="AI352" s="2903">
        <f t="shared" si="270"/>
        <v>519018192.22258747</v>
      </c>
      <c r="AJ352" s="2903">
        <f t="shared" si="270"/>
        <v>524208374.14481336</v>
      </c>
      <c r="AK352" s="2903">
        <f t="shared" si="270"/>
        <v>529450457.88626152</v>
      </c>
      <c r="AL352" s="2903">
        <f t="shared" si="270"/>
        <v>534744962.46512413</v>
      </c>
      <c r="AM352" s="2903">
        <f t="shared" si="270"/>
        <v>540092412.08977532</v>
      </c>
      <c r="AN352" s="2903">
        <f t="shared" si="270"/>
        <v>545493336.21067309</v>
      </c>
      <c r="AO352" s="2903">
        <f t="shared" si="270"/>
        <v>550948269.57277977</v>
      </c>
      <c r="AP352" s="2903">
        <f t="shared" si="270"/>
        <v>556457752.2685076</v>
      </c>
      <c r="AQ352" s="2903">
        <f t="shared" si="270"/>
        <v>562022329.79119265</v>
      </c>
      <c r="AR352" s="2903">
        <f t="shared" si="270"/>
        <v>567642553.08910453</v>
      </c>
      <c r="AS352" s="2903">
        <f t="shared" si="270"/>
        <v>573318978.61999559</v>
      </c>
      <c r="AT352" s="2903">
        <f t="shared" si="270"/>
        <v>579052168.40619552</v>
      </c>
      <c r="AU352" s="2903">
        <f t="shared" si="270"/>
        <v>584842690.09025753</v>
      </c>
      <c r="AV352" s="2694">
        <v>0</v>
      </c>
      <c r="AW352" s="2771"/>
      <c r="AX352" s="3137"/>
      <c r="AY352" s="2774"/>
      <c r="AZ352" s="2774"/>
      <c r="BA352" s="2774"/>
      <c r="BB352" s="2774"/>
      <c r="BC352" s="2774"/>
      <c r="BD352" s="2774"/>
      <c r="BE352" s="2774"/>
      <c r="BF352" s="2774"/>
      <c r="BG352" s="2774"/>
      <c r="BI352" s="2730"/>
      <c r="BJ352" s="2730"/>
    </row>
    <row r="353" spans="1:62" ht="17.25" outlineLevel="1">
      <c r="A353" s="3138" t="s">
        <v>4382</v>
      </c>
      <c r="B353" s="3168" t="s">
        <v>4383</v>
      </c>
      <c r="C353" s="3151"/>
      <c r="D353" s="3152"/>
      <c r="E353" s="3152"/>
      <c r="F353" s="3169"/>
      <c r="G353" s="3140"/>
      <c r="H353" s="3140"/>
      <c r="I353" s="3140"/>
      <c r="J353" s="3140"/>
      <c r="K353" s="3140"/>
      <c r="L353" s="3140"/>
      <c r="M353" s="3140"/>
      <c r="N353" s="3140"/>
      <c r="O353" s="3140"/>
      <c r="P353" s="3140"/>
      <c r="Q353" s="3140"/>
      <c r="R353" s="3140"/>
      <c r="S353" s="3140"/>
      <c r="T353" s="3140"/>
      <c r="U353" s="3140"/>
      <c r="V353" s="3140"/>
      <c r="W353" s="3140"/>
      <c r="X353" s="3140"/>
      <c r="Y353" s="3140"/>
      <c r="Z353" s="3140"/>
      <c r="AA353" s="3140"/>
      <c r="AB353" s="3140"/>
      <c r="AC353" s="3140"/>
      <c r="AD353" s="3140"/>
      <c r="AE353" s="3140"/>
      <c r="AF353" s="3140"/>
      <c r="AG353" s="3140"/>
      <c r="AH353" s="3140"/>
      <c r="AI353" s="3140"/>
      <c r="AJ353" s="3140"/>
      <c r="AK353" s="3140"/>
      <c r="AL353" s="3140"/>
      <c r="AM353" s="3140"/>
      <c r="AN353" s="3140"/>
      <c r="AO353" s="3140"/>
      <c r="AP353" s="3140"/>
      <c r="AQ353" s="3140"/>
      <c r="AR353" s="3140"/>
      <c r="AS353" s="3140"/>
      <c r="AT353" s="3140"/>
      <c r="AU353" s="3140"/>
      <c r="AV353" s="2694">
        <v>0</v>
      </c>
      <c r="AW353" s="2771"/>
      <c r="AX353" s="2875"/>
      <c r="AY353" s="2760"/>
      <c r="AZ353" s="2760"/>
      <c r="BA353" s="2760"/>
      <c r="BB353" s="2760"/>
      <c r="BC353" s="2760"/>
      <c r="BD353" s="2760"/>
      <c r="BE353" s="2760"/>
      <c r="BF353" s="2760"/>
      <c r="BG353" s="2760"/>
      <c r="BI353" s="2730"/>
      <c r="BJ353" s="2730"/>
    </row>
    <row r="354" spans="1:62" ht="17.25" outlineLevel="1">
      <c r="A354" s="3047" t="s">
        <v>4384</v>
      </c>
      <c r="B354" s="2776" t="s">
        <v>4385</v>
      </c>
      <c r="C354" s="2871"/>
      <c r="D354" s="2872"/>
      <c r="E354" s="2872"/>
      <c r="F354" s="3050"/>
      <c r="G354" s="3051"/>
      <c r="H354" s="3051"/>
      <c r="I354" s="3051"/>
      <c r="J354" s="3051"/>
      <c r="K354" s="3051"/>
      <c r="L354" s="3051"/>
      <c r="M354" s="3051"/>
      <c r="N354" s="3051"/>
      <c r="O354" s="3051"/>
      <c r="P354" s="3051"/>
      <c r="Q354" s="3051"/>
      <c r="R354" s="3051"/>
      <c r="S354" s="3051"/>
      <c r="T354" s="3051"/>
      <c r="U354" s="3051"/>
      <c r="V354" s="3051"/>
      <c r="W354" s="3051"/>
      <c r="X354" s="3051"/>
      <c r="Y354" s="3051"/>
      <c r="Z354" s="3051"/>
      <c r="AA354" s="3051"/>
      <c r="AB354" s="3051"/>
      <c r="AC354" s="3051"/>
      <c r="AD354" s="3051"/>
      <c r="AE354" s="3051"/>
      <c r="AF354" s="3051"/>
      <c r="AG354" s="3051"/>
      <c r="AH354" s="3051"/>
      <c r="AI354" s="3051"/>
      <c r="AJ354" s="3051"/>
      <c r="AK354" s="3051"/>
      <c r="AL354" s="3051"/>
      <c r="AM354" s="3051"/>
      <c r="AN354" s="3051"/>
      <c r="AO354" s="3051"/>
      <c r="AP354" s="3051"/>
      <c r="AQ354" s="3051"/>
      <c r="AR354" s="3051"/>
      <c r="AS354" s="3051"/>
      <c r="AT354" s="3051"/>
      <c r="AU354" s="3051"/>
      <c r="AV354" s="2694">
        <v>0</v>
      </c>
      <c r="AW354" s="2771"/>
      <c r="AX354" s="2875"/>
      <c r="AY354" s="2760"/>
      <c r="AZ354" s="2760"/>
      <c r="BA354" s="2760"/>
      <c r="BB354" s="2760"/>
      <c r="BC354" s="2760"/>
      <c r="BD354" s="2760"/>
      <c r="BE354" s="2760"/>
      <c r="BF354" s="2760"/>
      <c r="BG354" s="2760"/>
      <c r="BI354" s="2730"/>
      <c r="BJ354" s="2730"/>
    </row>
    <row r="355" spans="1:62" ht="17.25" outlineLevel="1">
      <c r="A355" s="3047" t="s">
        <v>4386</v>
      </c>
      <c r="B355" s="2776" t="s">
        <v>4387</v>
      </c>
      <c r="C355" s="3170"/>
      <c r="D355" s="3171"/>
      <c r="E355" s="3171"/>
      <c r="F355" s="3050"/>
      <c r="G355" s="3051"/>
      <c r="H355" s="3051"/>
      <c r="I355" s="3051"/>
      <c r="J355" s="3051"/>
      <c r="K355" s="3051"/>
      <c r="L355" s="3051"/>
      <c r="M355" s="3051"/>
      <c r="N355" s="3051"/>
      <c r="O355" s="3051"/>
      <c r="P355" s="3051"/>
      <c r="Q355" s="3051"/>
      <c r="R355" s="3051"/>
      <c r="S355" s="3051"/>
      <c r="T355" s="3051"/>
      <c r="U355" s="3051"/>
      <c r="V355" s="3051"/>
      <c r="W355" s="3051"/>
      <c r="X355" s="3051"/>
      <c r="Y355" s="3051"/>
      <c r="Z355" s="3051"/>
      <c r="AA355" s="3051"/>
      <c r="AB355" s="3051"/>
      <c r="AC355" s="3051"/>
      <c r="AD355" s="3051"/>
      <c r="AE355" s="3051"/>
      <c r="AF355" s="3051"/>
      <c r="AG355" s="3051"/>
      <c r="AH355" s="3051"/>
      <c r="AI355" s="3051"/>
      <c r="AJ355" s="3051"/>
      <c r="AK355" s="3051"/>
      <c r="AL355" s="3051"/>
      <c r="AM355" s="3051"/>
      <c r="AN355" s="3051"/>
      <c r="AO355" s="3051"/>
      <c r="AP355" s="3051"/>
      <c r="AQ355" s="3051"/>
      <c r="AR355" s="3051"/>
      <c r="AS355" s="3051"/>
      <c r="AT355" s="3051"/>
      <c r="AU355" s="3051"/>
      <c r="AV355" s="2694">
        <v>0</v>
      </c>
      <c r="AW355" s="2771"/>
      <c r="AX355" s="3086"/>
      <c r="AY355" s="2760"/>
      <c r="AZ355" s="2760"/>
      <c r="BA355" s="2760"/>
      <c r="BB355" s="2760"/>
      <c r="BC355" s="2760"/>
      <c r="BD355" s="2760"/>
      <c r="BE355" s="2760"/>
      <c r="BF355" s="2760"/>
      <c r="BG355" s="2760"/>
      <c r="BI355" s="2730"/>
      <c r="BJ355" s="2730"/>
    </row>
    <row r="356" spans="1:62" ht="17.25" outlineLevel="1">
      <c r="A356" s="3047" t="s">
        <v>4388</v>
      </c>
      <c r="B356" s="2776" t="s">
        <v>4389</v>
      </c>
      <c r="C356" s="3170"/>
      <c r="D356" s="3171"/>
      <c r="E356" s="3171"/>
      <c r="F356" s="3050"/>
      <c r="G356" s="3051"/>
      <c r="H356" s="3051"/>
      <c r="I356" s="3051"/>
      <c r="J356" s="3051"/>
      <c r="K356" s="3051"/>
      <c r="L356" s="3051"/>
      <c r="M356" s="3051"/>
      <c r="N356" s="3051"/>
      <c r="O356" s="3051"/>
      <c r="P356" s="3051"/>
      <c r="Q356" s="3051"/>
      <c r="R356" s="3051"/>
      <c r="S356" s="3051"/>
      <c r="T356" s="3051"/>
      <c r="U356" s="3051"/>
      <c r="V356" s="3051"/>
      <c r="W356" s="3051"/>
      <c r="X356" s="3051"/>
      <c r="Y356" s="3051"/>
      <c r="Z356" s="3051"/>
      <c r="AA356" s="3051"/>
      <c r="AB356" s="3051"/>
      <c r="AC356" s="3051"/>
      <c r="AD356" s="3051"/>
      <c r="AE356" s="3051"/>
      <c r="AF356" s="3051"/>
      <c r="AG356" s="3051"/>
      <c r="AH356" s="3051"/>
      <c r="AI356" s="3051"/>
      <c r="AJ356" s="3051"/>
      <c r="AK356" s="3051"/>
      <c r="AL356" s="3051"/>
      <c r="AM356" s="3051"/>
      <c r="AN356" s="3051"/>
      <c r="AO356" s="3051"/>
      <c r="AP356" s="3051"/>
      <c r="AQ356" s="3051"/>
      <c r="AR356" s="3051"/>
      <c r="AS356" s="3051"/>
      <c r="AT356" s="3051"/>
      <c r="AU356" s="3051"/>
      <c r="AV356" s="2694">
        <v>0</v>
      </c>
      <c r="AW356" s="2771"/>
      <c r="AX356" s="3086"/>
      <c r="AY356" s="2760"/>
      <c r="AZ356" s="2760"/>
      <c r="BA356" s="2760"/>
      <c r="BB356" s="2760"/>
      <c r="BC356" s="2760"/>
      <c r="BD356" s="2760"/>
      <c r="BE356" s="2760"/>
      <c r="BF356" s="2760"/>
      <c r="BG356" s="2760"/>
      <c r="BI356" s="2730"/>
      <c r="BJ356" s="2730"/>
    </row>
    <row r="357" spans="1:62" ht="17.25" outlineLevel="1">
      <c r="A357" s="3047" t="s">
        <v>4390</v>
      </c>
      <c r="B357" s="2776" t="s">
        <v>4389</v>
      </c>
      <c r="C357" s="3170"/>
      <c r="D357" s="3171"/>
      <c r="E357" s="3171"/>
      <c r="F357" s="3050"/>
      <c r="G357" s="3051"/>
      <c r="H357" s="3051"/>
      <c r="I357" s="3051"/>
      <c r="J357" s="3051"/>
      <c r="K357" s="3051"/>
      <c r="L357" s="3051"/>
      <c r="M357" s="3051"/>
      <c r="N357" s="3051"/>
      <c r="O357" s="3051"/>
      <c r="P357" s="3051"/>
      <c r="Q357" s="3051"/>
      <c r="R357" s="3051"/>
      <c r="S357" s="3051"/>
      <c r="T357" s="3051"/>
      <c r="U357" s="3051"/>
      <c r="V357" s="3051"/>
      <c r="W357" s="3051"/>
      <c r="X357" s="3051"/>
      <c r="Y357" s="3051"/>
      <c r="Z357" s="3051"/>
      <c r="AA357" s="3051"/>
      <c r="AB357" s="3051"/>
      <c r="AC357" s="3051"/>
      <c r="AD357" s="3051"/>
      <c r="AE357" s="3051"/>
      <c r="AF357" s="3051"/>
      <c r="AG357" s="3051"/>
      <c r="AH357" s="3051"/>
      <c r="AI357" s="3051"/>
      <c r="AJ357" s="3051"/>
      <c r="AK357" s="3051"/>
      <c r="AL357" s="3051"/>
      <c r="AM357" s="3051"/>
      <c r="AN357" s="3051"/>
      <c r="AO357" s="3051"/>
      <c r="AP357" s="3051"/>
      <c r="AQ357" s="3051"/>
      <c r="AR357" s="3051"/>
      <c r="AS357" s="3051"/>
      <c r="AT357" s="3051"/>
      <c r="AU357" s="3051"/>
      <c r="AV357" s="2694">
        <v>0</v>
      </c>
      <c r="AW357" s="2771"/>
      <c r="AX357" s="3086"/>
      <c r="AY357" s="2760"/>
      <c r="AZ357" s="2760"/>
      <c r="BA357" s="2760"/>
      <c r="BB357" s="2760"/>
      <c r="BC357" s="2760"/>
      <c r="BD357" s="2760"/>
      <c r="BE357" s="2760"/>
      <c r="BF357" s="2760"/>
      <c r="BG357" s="2760"/>
      <c r="BI357" s="2730"/>
      <c r="BJ357" s="2730"/>
    </row>
    <row r="358" spans="1:62" ht="17.25" outlineLevel="1">
      <c r="A358" s="3047" t="s">
        <v>4391</v>
      </c>
      <c r="B358" s="2776" t="s">
        <v>4392</v>
      </c>
      <c r="C358" s="3170"/>
      <c r="D358" s="3171"/>
      <c r="E358" s="3171"/>
      <c r="F358" s="3050"/>
      <c r="G358" s="3051"/>
      <c r="H358" s="3051"/>
      <c r="I358" s="3051"/>
      <c r="J358" s="3051"/>
      <c r="K358" s="3051"/>
      <c r="L358" s="3051"/>
      <c r="M358" s="3051"/>
      <c r="N358" s="3051"/>
      <c r="O358" s="3051"/>
      <c r="P358" s="3051"/>
      <c r="Q358" s="3051"/>
      <c r="R358" s="3051"/>
      <c r="S358" s="3051"/>
      <c r="T358" s="3051"/>
      <c r="U358" s="3051"/>
      <c r="V358" s="3051"/>
      <c r="W358" s="3051"/>
      <c r="X358" s="3051"/>
      <c r="Y358" s="3051"/>
      <c r="Z358" s="3051"/>
      <c r="AA358" s="3051"/>
      <c r="AB358" s="3051"/>
      <c r="AC358" s="3051"/>
      <c r="AD358" s="3051"/>
      <c r="AE358" s="3051"/>
      <c r="AF358" s="3051"/>
      <c r="AG358" s="3051"/>
      <c r="AH358" s="3051"/>
      <c r="AI358" s="3051"/>
      <c r="AJ358" s="3051"/>
      <c r="AK358" s="3051"/>
      <c r="AL358" s="3051"/>
      <c r="AM358" s="3051"/>
      <c r="AN358" s="3051"/>
      <c r="AO358" s="3051"/>
      <c r="AP358" s="3051"/>
      <c r="AQ358" s="3051"/>
      <c r="AR358" s="3051"/>
      <c r="AS358" s="3051"/>
      <c r="AT358" s="3051"/>
      <c r="AU358" s="3051"/>
      <c r="AV358" s="2694">
        <v>0</v>
      </c>
      <c r="AW358" s="2771"/>
      <c r="AX358" s="3086"/>
      <c r="AY358" s="2760"/>
      <c r="AZ358" s="2760"/>
      <c r="BA358" s="2760"/>
      <c r="BB358" s="2760"/>
      <c r="BC358" s="2760"/>
      <c r="BD358" s="2760"/>
      <c r="BE358" s="2760"/>
      <c r="BF358" s="2760"/>
      <c r="BG358" s="2760"/>
      <c r="BI358" s="2730"/>
      <c r="BJ358" s="2730"/>
    </row>
    <row r="359" spans="1:62" ht="17.25" outlineLevel="1">
      <c r="A359" s="3047" t="s">
        <v>4393</v>
      </c>
      <c r="B359" s="2776" t="s">
        <v>4394</v>
      </c>
      <c r="C359" s="3170"/>
      <c r="D359" s="3171"/>
      <c r="E359" s="3171"/>
      <c r="F359" s="3050"/>
      <c r="G359" s="3051"/>
      <c r="H359" s="3051"/>
      <c r="I359" s="3051"/>
      <c r="J359" s="3051"/>
      <c r="K359" s="3051"/>
      <c r="L359" s="3051"/>
      <c r="M359" s="3051"/>
      <c r="N359" s="3051"/>
      <c r="O359" s="3051"/>
      <c r="P359" s="3051"/>
      <c r="Q359" s="3051"/>
      <c r="R359" s="3051"/>
      <c r="S359" s="3051"/>
      <c r="T359" s="3051"/>
      <c r="U359" s="3051"/>
      <c r="V359" s="3051"/>
      <c r="W359" s="3051"/>
      <c r="X359" s="3051"/>
      <c r="Y359" s="3051"/>
      <c r="Z359" s="3051"/>
      <c r="AA359" s="3051"/>
      <c r="AB359" s="3051"/>
      <c r="AC359" s="3051"/>
      <c r="AD359" s="3051"/>
      <c r="AE359" s="3051"/>
      <c r="AF359" s="3051"/>
      <c r="AG359" s="3051"/>
      <c r="AH359" s="3051"/>
      <c r="AI359" s="3051"/>
      <c r="AJ359" s="3051"/>
      <c r="AK359" s="3051"/>
      <c r="AL359" s="3051"/>
      <c r="AM359" s="3051"/>
      <c r="AN359" s="3051"/>
      <c r="AO359" s="3051"/>
      <c r="AP359" s="3051"/>
      <c r="AQ359" s="3051"/>
      <c r="AR359" s="3051"/>
      <c r="AS359" s="3051"/>
      <c r="AT359" s="3051"/>
      <c r="AU359" s="3051"/>
      <c r="AV359" s="2694">
        <v>0</v>
      </c>
      <c r="AW359" s="2771"/>
      <c r="AX359" s="3086"/>
      <c r="AY359" s="2760"/>
      <c r="AZ359" s="2760"/>
      <c r="BA359" s="2760"/>
      <c r="BB359" s="2760"/>
      <c r="BC359" s="2760"/>
      <c r="BD359" s="2760"/>
      <c r="BE359" s="2760"/>
      <c r="BF359" s="2760"/>
      <c r="BG359" s="2760"/>
      <c r="BI359" s="2730"/>
      <c r="BJ359" s="2730"/>
    </row>
    <row r="360" spans="1:62" ht="17.25" outlineLevel="1">
      <c r="A360" s="3047" t="s">
        <v>4395</v>
      </c>
      <c r="B360" s="2776" t="s">
        <v>4383</v>
      </c>
      <c r="C360" s="3170"/>
      <c r="D360" s="3171"/>
      <c r="E360" s="3171"/>
      <c r="F360" s="3050"/>
      <c r="G360" s="3051"/>
      <c r="H360" s="3051"/>
      <c r="I360" s="3051"/>
      <c r="J360" s="3051"/>
      <c r="K360" s="3051"/>
      <c r="L360" s="3051"/>
      <c r="M360" s="3051"/>
      <c r="N360" s="3051"/>
      <c r="O360" s="3051"/>
      <c r="P360" s="3051"/>
      <c r="Q360" s="3051"/>
      <c r="R360" s="3051"/>
      <c r="S360" s="3051"/>
      <c r="T360" s="3051"/>
      <c r="U360" s="3051"/>
      <c r="V360" s="3051"/>
      <c r="W360" s="3051"/>
      <c r="X360" s="3051"/>
      <c r="Y360" s="3051"/>
      <c r="Z360" s="3051"/>
      <c r="AA360" s="3051"/>
      <c r="AB360" s="3051"/>
      <c r="AC360" s="3051"/>
      <c r="AD360" s="3051"/>
      <c r="AE360" s="3051"/>
      <c r="AF360" s="3051"/>
      <c r="AG360" s="3051"/>
      <c r="AH360" s="3051"/>
      <c r="AI360" s="3051"/>
      <c r="AJ360" s="3051"/>
      <c r="AK360" s="3051"/>
      <c r="AL360" s="3051"/>
      <c r="AM360" s="3051"/>
      <c r="AN360" s="3051"/>
      <c r="AO360" s="3051"/>
      <c r="AP360" s="3051"/>
      <c r="AQ360" s="3051"/>
      <c r="AR360" s="3051"/>
      <c r="AS360" s="3051"/>
      <c r="AT360" s="3051"/>
      <c r="AU360" s="3051"/>
      <c r="AV360" s="2694">
        <v>0</v>
      </c>
      <c r="AW360" s="2771"/>
      <c r="AX360" s="3086"/>
      <c r="AY360" s="2760"/>
      <c r="AZ360" s="2760"/>
      <c r="BA360" s="2760"/>
      <c r="BB360" s="2760"/>
      <c r="BC360" s="2760"/>
      <c r="BD360" s="2760"/>
      <c r="BE360" s="2760"/>
      <c r="BF360" s="2760"/>
      <c r="BG360" s="2760"/>
      <c r="BI360" s="2730"/>
      <c r="BJ360" s="2730"/>
    </row>
    <row r="361" spans="1:62" ht="17.25" outlineLevel="1">
      <c r="A361" s="3141" t="s">
        <v>4396</v>
      </c>
      <c r="B361" s="3172"/>
      <c r="C361" s="3173"/>
      <c r="D361" s="3174"/>
      <c r="E361" s="3174"/>
      <c r="F361" s="3175"/>
      <c r="G361" s="3146"/>
      <c r="H361" s="3146"/>
      <c r="I361" s="3146"/>
      <c r="J361" s="3146"/>
      <c r="K361" s="3146"/>
      <c r="L361" s="3146"/>
      <c r="M361" s="3146"/>
      <c r="N361" s="3146"/>
      <c r="O361" s="3146"/>
      <c r="P361" s="3146"/>
      <c r="Q361" s="3146"/>
      <c r="R361" s="3146"/>
      <c r="S361" s="3146"/>
      <c r="T361" s="3146"/>
      <c r="U361" s="3146"/>
      <c r="V361" s="3146"/>
      <c r="W361" s="3146"/>
      <c r="X361" s="3146"/>
      <c r="Y361" s="3146"/>
      <c r="Z361" s="3146"/>
      <c r="AA361" s="3146"/>
      <c r="AB361" s="3146"/>
      <c r="AC361" s="3146"/>
      <c r="AD361" s="3146"/>
      <c r="AE361" s="3146"/>
      <c r="AF361" s="3146"/>
      <c r="AG361" s="3146"/>
      <c r="AH361" s="3146"/>
      <c r="AI361" s="3146"/>
      <c r="AJ361" s="3146"/>
      <c r="AK361" s="3146"/>
      <c r="AL361" s="3146"/>
      <c r="AM361" s="3146"/>
      <c r="AN361" s="3146"/>
      <c r="AO361" s="3146"/>
      <c r="AP361" s="3146"/>
      <c r="AQ361" s="3146"/>
      <c r="AR361" s="3146"/>
      <c r="AS361" s="3146"/>
      <c r="AT361" s="3146"/>
      <c r="AU361" s="3146"/>
      <c r="AV361" s="2694">
        <v>0</v>
      </c>
      <c r="AW361" s="2771"/>
      <c r="AX361" s="3086"/>
      <c r="AY361" s="2760"/>
      <c r="AZ361" s="2760"/>
      <c r="BA361" s="2760"/>
      <c r="BB361" s="2760"/>
      <c r="BC361" s="2760"/>
      <c r="BD361" s="2760"/>
      <c r="BE361" s="2760"/>
      <c r="BF361" s="2760"/>
      <c r="BG361" s="2760"/>
      <c r="BI361" s="2730"/>
      <c r="BJ361" s="2730"/>
    </row>
    <row r="362" spans="1:62" ht="17.25">
      <c r="A362" s="3176"/>
      <c r="B362" s="3163"/>
      <c r="C362" s="3177"/>
      <c r="D362" s="3113"/>
      <c r="E362" s="3113"/>
      <c r="F362" s="3178"/>
      <c r="G362" s="3179"/>
      <c r="H362" s="3179"/>
      <c r="I362" s="3180" t="s">
        <v>4397</v>
      </c>
      <c r="J362" s="3179"/>
      <c r="K362" s="3179"/>
      <c r="L362" s="3179"/>
      <c r="M362" s="3179"/>
      <c r="N362" s="3179"/>
      <c r="O362" s="3179"/>
      <c r="P362" s="3179"/>
      <c r="Q362" s="3179"/>
      <c r="R362" s="3179"/>
      <c r="S362" s="3179"/>
      <c r="T362" s="3179"/>
      <c r="U362" s="3179"/>
      <c r="V362" s="3179"/>
      <c r="W362" s="3179"/>
      <c r="X362" s="3179"/>
      <c r="Y362" s="3179"/>
      <c r="Z362" s="3179"/>
      <c r="AA362" s="3179"/>
      <c r="AB362" s="3179"/>
      <c r="AC362" s="3179"/>
      <c r="AD362" s="3179"/>
      <c r="AE362" s="3179"/>
      <c r="AF362" s="3179"/>
      <c r="AG362" s="3179"/>
      <c r="AH362" s="3179"/>
      <c r="AI362" s="3179"/>
      <c r="AJ362" s="3179"/>
      <c r="AK362" s="3179"/>
      <c r="AL362" s="3179"/>
      <c r="AM362" s="3179"/>
      <c r="AN362" s="3179"/>
      <c r="AO362" s="3179"/>
      <c r="AP362" s="3179"/>
      <c r="AQ362" s="3179"/>
      <c r="AR362" s="3179"/>
      <c r="AS362" s="3179"/>
      <c r="AT362" s="3179"/>
      <c r="AU362" s="3179"/>
      <c r="AV362" s="2694">
        <v>0</v>
      </c>
      <c r="AW362" s="2771"/>
      <c r="AX362" s="3086"/>
      <c r="AY362" s="2760"/>
      <c r="AZ362" s="2760"/>
      <c r="BA362" s="2760"/>
      <c r="BB362" s="2760"/>
      <c r="BC362" s="2760"/>
      <c r="BD362" s="2760"/>
      <c r="BE362" s="2760"/>
      <c r="BF362" s="2760"/>
      <c r="BG362" s="2760"/>
      <c r="BJ362" s="2730"/>
    </row>
    <row r="363" spans="1:62">
      <c r="A363" s="2808"/>
      <c r="B363" s="2808"/>
      <c r="C363" s="3181"/>
      <c r="D363" s="3181"/>
      <c r="E363" s="3181"/>
      <c r="F363" s="3182"/>
      <c r="G363" s="3183"/>
      <c r="H363" s="3184"/>
      <c r="I363" s="3184"/>
      <c r="J363" s="3184"/>
      <c r="K363" s="3184"/>
      <c r="L363" s="3184"/>
      <c r="M363" s="3184"/>
      <c r="N363" s="3184"/>
      <c r="O363" s="3184"/>
      <c r="P363" s="3184"/>
      <c r="Q363" s="3184"/>
      <c r="R363" s="3182"/>
      <c r="S363" s="3182"/>
      <c r="T363" s="3182"/>
      <c r="U363" s="3182"/>
      <c r="V363" s="3182"/>
      <c r="W363" s="3182"/>
      <c r="X363" s="3182"/>
      <c r="Y363" s="3182"/>
      <c r="Z363" s="3182"/>
      <c r="AA363" s="3182"/>
      <c r="AB363" s="3182"/>
      <c r="AC363" s="3182"/>
      <c r="AD363" s="3182"/>
      <c r="AE363" s="3182"/>
      <c r="AF363" s="3182"/>
      <c r="AG363" s="3182"/>
      <c r="AH363" s="3182"/>
      <c r="AI363" s="3182"/>
      <c r="AJ363" s="3182"/>
      <c r="AK363" s="3182"/>
      <c r="AL363" s="3182"/>
      <c r="AM363" s="3182"/>
      <c r="AN363" s="3182"/>
      <c r="AO363" s="3182"/>
      <c r="AP363" s="3182"/>
      <c r="AQ363" s="3182"/>
      <c r="AR363" s="3182"/>
      <c r="AS363" s="3182"/>
      <c r="AT363" s="3182"/>
      <c r="AU363" s="3182"/>
      <c r="AV363" s="3185"/>
      <c r="AW363" s="2771"/>
      <c r="AX363" s="2760"/>
      <c r="AY363" s="3185"/>
      <c r="AZ363" s="3185"/>
      <c r="BA363" s="3185"/>
      <c r="BB363" s="3185"/>
      <c r="BC363" s="3185"/>
      <c r="BD363" s="3185"/>
      <c r="BE363" s="3185"/>
      <c r="BF363" s="3185"/>
      <c r="BG363" s="3185"/>
      <c r="BJ363" s="2730"/>
    </row>
    <row r="364" spans="1:62">
      <c r="A364" s="3186" t="s">
        <v>4398</v>
      </c>
      <c r="B364" s="3187"/>
      <c r="C364" s="3188"/>
      <c r="D364" s="3188"/>
      <c r="E364" s="3188"/>
      <c r="F364" s="3189">
        <f>SUM(F365:F368)</f>
        <v>4794847760</v>
      </c>
      <c r="G364" s="3190">
        <f t="shared" ref="G364:AQ364" si="271">SUM(G365:G368)</f>
        <v>5235955667</v>
      </c>
      <c r="H364" s="3190">
        <f t="shared" si="271"/>
        <v>5484494170.3499994</v>
      </c>
      <c r="I364" s="3190">
        <f t="shared" ca="1" si="271"/>
        <v>4887026312.4632502</v>
      </c>
      <c r="J364" s="3190">
        <f t="shared" ca="1" si="271"/>
        <v>5003559692.6423645</v>
      </c>
      <c r="K364" s="3190">
        <f t="shared" ca="1" si="271"/>
        <v>5124698851.8882999</v>
      </c>
      <c r="L364" s="3190">
        <f t="shared" ca="1" si="271"/>
        <v>5457727604.0372066</v>
      </c>
      <c r="M364" s="3190">
        <f t="shared" ca="1" si="271"/>
        <v>5577470912.7822933</v>
      </c>
      <c r="N364" s="3190">
        <f t="shared" ca="1" si="271"/>
        <v>5700072390.0191927</v>
      </c>
      <c r="O364" s="3190">
        <f t="shared" ca="1" si="271"/>
        <v>5964506210.4075556</v>
      </c>
      <c r="P364" s="3190">
        <f t="shared" ca="1" si="271"/>
        <v>6095167987.8378658</v>
      </c>
      <c r="Q364" s="3190">
        <f t="shared" ca="1" si="271"/>
        <v>6228989041.007185</v>
      </c>
      <c r="R364" s="3190">
        <f t="shared" ca="1" si="271"/>
        <v>6366069745.0328712</v>
      </c>
      <c r="S364" s="3190">
        <f t="shared" ca="1" si="271"/>
        <v>6504191824.3785982</v>
      </c>
      <c r="T364" s="3190">
        <f t="shared" ca="1" si="271"/>
        <v>6645437772.2036858</v>
      </c>
      <c r="U364" s="3190">
        <f t="shared" ca="1" si="271"/>
        <v>7239194249.4418659</v>
      </c>
      <c r="V364" s="3190">
        <f t="shared" ca="1" si="271"/>
        <v>7396569340.099514</v>
      </c>
      <c r="W364" s="3190">
        <f t="shared" ca="1" si="271"/>
        <v>7558958455.2577839</v>
      </c>
      <c r="X364" s="3190">
        <f t="shared" ca="1" si="271"/>
        <v>7723584527.8432312</v>
      </c>
      <c r="Y364" s="3190">
        <f t="shared" ca="1" si="271"/>
        <v>7891945865.4530058</v>
      </c>
      <c r="Z364" s="3190">
        <f t="shared" ca="1" si="271"/>
        <v>8065845465.1311722</v>
      </c>
      <c r="AA364" s="3190">
        <f t="shared" ca="1" si="271"/>
        <v>8241984428.8745108</v>
      </c>
      <c r="AB364" s="3190">
        <f t="shared" ca="1" si="271"/>
        <v>8424110888.121541</v>
      </c>
      <c r="AC364" s="3190">
        <f t="shared" ca="1" si="271"/>
        <v>8608402775.9693241</v>
      </c>
      <c r="AD364" s="3190">
        <f t="shared" ca="1" si="271"/>
        <v>8796890550.5442734</v>
      </c>
      <c r="AE364" s="3190">
        <f t="shared" ca="1" si="271"/>
        <v>8992021299.7318916</v>
      </c>
      <c r="AF364" s="3190">
        <f t="shared" ca="1" si="271"/>
        <v>9189257093.8691196</v>
      </c>
      <c r="AG364" s="3190">
        <f t="shared" ca="1" si="271"/>
        <v>9393706899.0722466</v>
      </c>
      <c r="AH364" s="3190">
        <f t="shared" ca="1" si="271"/>
        <v>9600115522.4137554</v>
      </c>
      <c r="AI364" s="3190">
        <f t="shared" ca="1" si="271"/>
        <v>9811239360.335659</v>
      </c>
      <c r="AJ364" s="3190">
        <f t="shared" ca="1" si="271"/>
        <v>10030404623.574755</v>
      </c>
      <c r="AK364" s="3190">
        <f t="shared" ca="1" si="271"/>
        <v>10251374439.489882</v>
      </c>
      <c r="AL364" s="3190">
        <f t="shared" ca="1" si="271"/>
        <v>11253826888.363674</v>
      </c>
      <c r="AM364" s="3190">
        <f t="shared" ca="1" si="271"/>
        <v>11502485840.618658</v>
      </c>
      <c r="AN364" s="3190">
        <f t="shared" ca="1" si="271"/>
        <v>11756850551.132841</v>
      </c>
      <c r="AO364" s="3190">
        <f t="shared" ca="1" si="271"/>
        <v>12019314445.695757</v>
      </c>
      <c r="AP364" s="3190">
        <f t="shared" ca="1" si="271"/>
        <v>12285554103.956707</v>
      </c>
      <c r="AQ364" s="3190">
        <f t="shared" ca="1" si="271"/>
        <v>12560524967.041883</v>
      </c>
      <c r="AR364" s="3190">
        <f ca="1">SUM(AR365:AR368)</f>
        <v>12839215800.691616</v>
      </c>
      <c r="AS364" s="3190">
        <f ca="1">SUM(AS365:AS368)</f>
        <v>13124321531.293482</v>
      </c>
      <c r="AT364" s="3190">
        <f ca="1">SUM(AT365:AT368)</f>
        <v>13419086170.595774</v>
      </c>
      <c r="AU364" s="3190">
        <f ca="1">SUM(AU365:AU368)</f>
        <v>13717557563.408344</v>
      </c>
      <c r="AV364" s="2694"/>
      <c r="AW364" s="3191"/>
      <c r="AX364" s="3185"/>
      <c r="AY364" s="2694"/>
      <c r="AZ364" s="2694"/>
      <c r="BA364" s="2694"/>
      <c r="BB364" s="2694"/>
      <c r="BC364" s="2694"/>
      <c r="BD364" s="2694"/>
      <c r="BE364" s="2694"/>
      <c r="BF364" s="2694"/>
      <c r="BG364" s="2694"/>
      <c r="BJ364" s="2730">
        <f t="shared" ref="BJ364:BJ369" si="272">BI364-F364</f>
        <v>-4794847760</v>
      </c>
    </row>
    <row r="365" spans="1:62">
      <c r="A365" s="3192" t="s">
        <v>4399</v>
      </c>
      <c r="B365" s="2690"/>
      <c r="C365" s="2691"/>
      <c r="D365" s="2691"/>
      <c r="E365" s="2691"/>
      <c r="F365" s="3193">
        <f t="shared" ref="F365:AU365" si="273">SUM(F336,F286)</f>
        <v>3763490000</v>
      </c>
      <c r="G365" s="3193">
        <f t="shared" si="273"/>
        <v>4141054939</v>
      </c>
      <c r="H365" s="3193">
        <f t="shared" si="273"/>
        <v>4348107685.9499998</v>
      </c>
      <c r="I365" s="3193">
        <f t="shared" ca="1" si="273"/>
        <v>3731339953.1972504</v>
      </c>
      <c r="J365" s="3193">
        <f t="shared" ca="1" si="273"/>
        <v>3828238878.8353739</v>
      </c>
      <c r="K365" s="3193">
        <f t="shared" ca="1" si="273"/>
        <v>3929403083.5391655</v>
      </c>
      <c r="L365" s="3193">
        <f t="shared" ca="1" si="273"/>
        <v>4242110353.9810944</v>
      </c>
      <c r="M365" s="3193">
        <f t="shared" ca="1" si="273"/>
        <v>4341179517.8899632</v>
      </c>
      <c r="N365" s="3193">
        <f t="shared" ca="1" si="273"/>
        <v>4442747940.3963947</v>
      </c>
      <c r="O365" s="3193">
        <f t="shared" ca="1" si="273"/>
        <v>4685783436.5571909</v>
      </c>
      <c r="P365" s="3193">
        <f t="shared" ca="1" si="273"/>
        <v>4794675145.7468557</v>
      </c>
      <c r="Q365" s="3193">
        <f t="shared" ca="1" si="273"/>
        <v>4906347795.1192636</v>
      </c>
      <c r="R365" s="3193">
        <f t="shared" ca="1" si="273"/>
        <v>5020895049.0677729</v>
      </c>
      <c r="S365" s="3193">
        <f t="shared" ca="1" si="273"/>
        <v>5136091799.9573889</v>
      </c>
      <c r="T365" s="3193">
        <f t="shared" ca="1" si="273"/>
        <v>5254013585.2391901</v>
      </c>
      <c r="U365" s="3193">
        <f t="shared" ca="1" si="273"/>
        <v>5824039984.2523956</v>
      </c>
      <c r="V365" s="3193">
        <f t="shared" ca="1" si="273"/>
        <v>5957271871.2032852</v>
      </c>
      <c r="W365" s="3193">
        <f t="shared" ca="1" si="273"/>
        <v>6095097316.804615</v>
      </c>
      <c r="X365" s="3193">
        <f t="shared" ca="1" si="273"/>
        <v>6234731780.6392994</v>
      </c>
      <c r="Y365" s="3193">
        <f t="shared" ca="1" si="273"/>
        <v>6377665961.5335703</v>
      </c>
      <c r="Z365" s="3193">
        <f t="shared" ca="1" si="273"/>
        <v>6525695109.835351</v>
      </c>
      <c r="AA365" s="3193">
        <f t="shared" ca="1" si="273"/>
        <v>6675512440.3753071</v>
      </c>
      <c r="AB365" s="3193">
        <f t="shared" ca="1" si="273"/>
        <v>6830858054.3634243</v>
      </c>
      <c r="AC365" s="3193">
        <f t="shared" ca="1" si="273"/>
        <v>6987901708.9647827</v>
      </c>
      <c r="AD365" s="3193">
        <f t="shared" ca="1" si="273"/>
        <v>7148665537.9798088</v>
      </c>
      <c r="AE365" s="3193">
        <f t="shared" ca="1" si="273"/>
        <v>7315588153.8330097</v>
      </c>
      <c r="AF365" s="3193">
        <f t="shared" ca="1" si="273"/>
        <v>7484122997.4728851</v>
      </c>
      <c r="AG365" s="3193">
        <f t="shared" ca="1" si="273"/>
        <v>7659370248.8550205</v>
      </c>
      <c r="AH365" s="3193">
        <f t="shared" ca="1" si="273"/>
        <v>7836065769.2207222</v>
      </c>
      <c r="AI365" s="3193">
        <f t="shared" ca="1" si="273"/>
        <v>8016956846.5577297</v>
      </c>
      <c r="AJ365" s="3193">
        <f t="shared" ca="1" si="273"/>
        <v>8205360417.5174179</v>
      </c>
      <c r="AK365" s="3193">
        <f t="shared" ca="1" si="273"/>
        <v>8395030166.6774883</v>
      </c>
      <c r="AL365" s="3193">
        <f t="shared" ca="1" si="273"/>
        <v>9365634559.7216187</v>
      </c>
      <c r="AM365" s="3193">
        <f t="shared" ca="1" si="273"/>
        <v>9581887677.4747448</v>
      </c>
      <c r="AN365" s="3193">
        <f t="shared" ca="1" si="273"/>
        <v>9803278806.978096</v>
      </c>
      <c r="AO365" s="3193">
        <f t="shared" ca="1" si="273"/>
        <v>10032191224.643745</v>
      </c>
      <c r="AP365" s="3193">
        <f t="shared" ca="1" si="273"/>
        <v>10264291175.83927</v>
      </c>
      <c r="AQ365" s="3193">
        <f t="shared" ca="1" si="273"/>
        <v>10504523579.078047</v>
      </c>
      <c r="AR365" s="3193">
        <f t="shared" ca="1" si="273"/>
        <v>10747866485.665194</v>
      </c>
      <c r="AS365" s="3193">
        <f t="shared" ca="1" si="273"/>
        <v>10997003912.173668</v>
      </c>
      <c r="AT365" s="3193">
        <f t="shared" ca="1" si="273"/>
        <v>11255168761.53381</v>
      </c>
      <c r="AU365" s="3193">
        <f t="shared" ca="1" si="273"/>
        <v>11516397567.04199</v>
      </c>
      <c r="AV365" s="2694"/>
      <c r="AW365" s="3191"/>
      <c r="AX365" s="3185"/>
      <c r="AY365" s="2694"/>
      <c r="AZ365" s="2694"/>
      <c r="BA365" s="2694"/>
      <c r="BB365" s="2694"/>
      <c r="BC365" s="2694"/>
      <c r="BD365" s="2694"/>
      <c r="BE365" s="2694"/>
      <c r="BF365" s="2694"/>
      <c r="BG365" s="2694"/>
      <c r="BJ365" s="2730">
        <f t="shared" si="272"/>
        <v>-3763490000</v>
      </c>
    </row>
    <row r="366" spans="1:62">
      <c r="A366" s="3194" t="s">
        <v>4400</v>
      </c>
      <c r="B366" s="2691"/>
      <c r="C366" s="2691"/>
      <c r="D366" s="2691"/>
      <c r="E366" s="2691"/>
      <c r="F366" s="3193">
        <f t="shared" ref="F366:AU366" si="274">F197</f>
        <v>240000000</v>
      </c>
      <c r="G366" s="3193">
        <f t="shared" si="274"/>
        <v>293542968</v>
      </c>
      <c r="H366" s="3193">
        <f t="shared" si="274"/>
        <v>308220116.40000004</v>
      </c>
      <c r="I366" s="3193">
        <f t="shared" si="274"/>
        <v>312843418.14600003</v>
      </c>
      <c r="J366" s="3193">
        <f t="shared" si="274"/>
        <v>317536069.41819</v>
      </c>
      <c r="K366" s="3195">
        <f t="shared" si="274"/>
        <v>322299110.45946282</v>
      </c>
      <c r="L366" s="3195">
        <f t="shared" si="274"/>
        <v>327133597.1163547</v>
      </c>
      <c r="M366" s="3195">
        <f t="shared" si="274"/>
        <v>332040601.07309997</v>
      </c>
      <c r="N366" s="3195">
        <f t="shared" si="274"/>
        <v>337021210.08919644</v>
      </c>
      <c r="O366" s="3195">
        <f t="shared" si="274"/>
        <v>342076528.24053437</v>
      </c>
      <c r="P366" s="3195">
        <f t="shared" si="274"/>
        <v>347207676.16414237</v>
      </c>
      <c r="Q366" s="3195">
        <f t="shared" si="274"/>
        <v>352415791.30660444</v>
      </c>
      <c r="R366" s="3195">
        <f t="shared" si="274"/>
        <v>357702028.17620349</v>
      </c>
      <c r="S366" s="3195">
        <f t="shared" si="274"/>
        <v>363067558.5988465</v>
      </c>
      <c r="T366" s="3195">
        <f t="shared" si="274"/>
        <v>368513571.97782916</v>
      </c>
      <c r="U366" s="3195">
        <f t="shared" si="274"/>
        <v>374041275.55749655</v>
      </c>
      <c r="V366" s="3195">
        <f t="shared" si="274"/>
        <v>379651894.69085896</v>
      </c>
      <c r="W366" s="3195">
        <f t="shared" si="274"/>
        <v>385346673.11122179</v>
      </c>
      <c r="X366" s="3195">
        <f t="shared" si="274"/>
        <v>391126873.20789009</v>
      </c>
      <c r="Y366" s="3195">
        <f t="shared" si="274"/>
        <v>396993776.3060084</v>
      </c>
      <c r="Z366" s="3195">
        <f t="shared" si="274"/>
        <v>402948682.95059848</v>
      </c>
      <c r="AA366" s="3195">
        <f t="shared" si="274"/>
        <v>408992913.19485742</v>
      </c>
      <c r="AB366" s="3195">
        <f t="shared" si="274"/>
        <v>415127806.89278024</v>
      </c>
      <c r="AC366" s="3195">
        <f t="shared" si="274"/>
        <v>421354723.99617189</v>
      </c>
      <c r="AD366" s="3195">
        <f t="shared" si="274"/>
        <v>427675044.85611445</v>
      </c>
      <c r="AE366" s="3195">
        <f t="shared" si="274"/>
        <v>434090170.52895612</v>
      </c>
      <c r="AF366" s="3195">
        <f t="shared" si="274"/>
        <v>440601523.0868904</v>
      </c>
      <c r="AG366" s="3195">
        <f t="shared" si="274"/>
        <v>447210545.93319368</v>
      </c>
      <c r="AH366" s="3195">
        <f t="shared" si="274"/>
        <v>453918704.12219155</v>
      </c>
      <c r="AI366" s="3195">
        <f t="shared" si="274"/>
        <v>460727484.68402439</v>
      </c>
      <c r="AJ366" s="3195">
        <f t="shared" si="274"/>
        <v>467638396.95428473</v>
      </c>
      <c r="AK366" s="3195">
        <f t="shared" si="274"/>
        <v>474652972.90859896</v>
      </c>
      <c r="AL366" s="3195">
        <f t="shared" si="274"/>
        <v>481772767.5022279</v>
      </c>
      <c r="AM366" s="3195">
        <f t="shared" si="274"/>
        <v>488999359.01476127</v>
      </c>
      <c r="AN366" s="3195">
        <f t="shared" si="274"/>
        <v>496334349.39998263</v>
      </c>
      <c r="AO366" s="3195">
        <f t="shared" si="274"/>
        <v>503779364.64098233</v>
      </c>
      <c r="AP366" s="3195">
        <f t="shared" si="274"/>
        <v>511336055.11059701</v>
      </c>
      <c r="AQ366" s="3195">
        <f t="shared" si="274"/>
        <v>519006095.93725592</v>
      </c>
      <c r="AR366" s="3195">
        <f t="shared" si="274"/>
        <v>526791187.3763147</v>
      </c>
      <c r="AS366" s="3195">
        <f t="shared" si="274"/>
        <v>534693055.18695939</v>
      </c>
      <c r="AT366" s="3195">
        <f t="shared" si="274"/>
        <v>542713451.01476371</v>
      </c>
      <c r="AU366" s="3195">
        <f t="shared" si="274"/>
        <v>550854152.77998507</v>
      </c>
      <c r="AV366" s="2694"/>
      <c r="AW366" s="3191"/>
      <c r="AX366" s="2694"/>
      <c r="AY366" s="2694"/>
      <c r="AZ366" s="2694"/>
      <c r="BA366" s="2694"/>
      <c r="BB366" s="2694"/>
      <c r="BC366" s="2694"/>
      <c r="BD366" s="2694"/>
      <c r="BE366" s="2694"/>
      <c r="BF366" s="2694"/>
      <c r="BG366" s="2694"/>
      <c r="BJ366" s="2730">
        <f t="shared" si="272"/>
        <v>-240000000</v>
      </c>
    </row>
    <row r="367" spans="1:62">
      <c r="A367" s="3196" t="s">
        <v>4401</v>
      </c>
      <c r="B367" s="3197"/>
      <c r="C367" s="3197"/>
      <c r="D367" s="3197"/>
      <c r="E367" s="3197"/>
      <c r="F367" s="3198">
        <f t="shared" ref="F367:AU367" si="275">F190+F191</f>
        <v>359381760</v>
      </c>
      <c r="G367" s="3198">
        <f t="shared" si="275"/>
        <v>359381760</v>
      </c>
      <c r="H367" s="3198">
        <f t="shared" si="275"/>
        <v>377350848</v>
      </c>
      <c r="I367" s="3198">
        <f t="shared" si="275"/>
        <v>383011110.71999997</v>
      </c>
      <c r="J367" s="3198">
        <f t="shared" si="275"/>
        <v>388756277.38079989</v>
      </c>
      <c r="K367" s="3198">
        <f t="shared" si="275"/>
        <v>394587621.54151189</v>
      </c>
      <c r="L367" s="3198">
        <f t="shared" si="275"/>
        <v>400506435.86463451</v>
      </c>
      <c r="M367" s="3198">
        <f t="shared" si="275"/>
        <v>406514032.40260398</v>
      </c>
      <c r="N367" s="3198">
        <f t="shared" si="275"/>
        <v>412611742.88864303</v>
      </c>
      <c r="O367" s="3198">
        <f t="shared" si="275"/>
        <v>418800919.03197259</v>
      </c>
      <c r="P367" s="3198">
        <f t="shared" si="275"/>
        <v>425082932.81745219</v>
      </c>
      <c r="Q367" s="3198">
        <f t="shared" si="275"/>
        <v>431459176.80971396</v>
      </c>
      <c r="R367" s="3198">
        <f t="shared" si="275"/>
        <v>437931064.46185958</v>
      </c>
      <c r="S367" s="3198">
        <f t="shared" si="275"/>
        <v>444500030.42878747</v>
      </c>
      <c r="T367" s="3198">
        <f t="shared" si="275"/>
        <v>451167530.88521928</v>
      </c>
      <c r="U367" s="3198">
        <f t="shared" si="275"/>
        <v>457935043.84849751</v>
      </c>
      <c r="V367" s="3198">
        <f t="shared" si="275"/>
        <v>464804069.50622493</v>
      </c>
      <c r="W367" s="3198">
        <f t="shared" si="275"/>
        <v>471776130.54881823</v>
      </c>
      <c r="X367" s="3198">
        <f t="shared" si="275"/>
        <v>478852772.5070504</v>
      </c>
      <c r="Y367" s="3198">
        <f t="shared" si="275"/>
        <v>486035564.09465617</v>
      </c>
      <c r="Z367" s="3198">
        <f t="shared" si="275"/>
        <v>493326097.55607593</v>
      </c>
      <c r="AA367" s="3198">
        <f t="shared" si="275"/>
        <v>500725989.01941705</v>
      </c>
      <c r="AB367" s="3198">
        <f t="shared" si="275"/>
        <v>508236878.85470831</v>
      </c>
      <c r="AC367" s="3198">
        <f t="shared" si="275"/>
        <v>515860432.03752887</v>
      </c>
      <c r="AD367" s="3198">
        <f t="shared" si="275"/>
        <v>523598338.5180918</v>
      </c>
      <c r="AE367" s="3198">
        <f t="shared" si="275"/>
        <v>531452313.5958631</v>
      </c>
      <c r="AF367" s="3198">
        <f t="shared" si="275"/>
        <v>539424098.29980099</v>
      </c>
      <c r="AG367" s="3198">
        <f t="shared" si="275"/>
        <v>547515459.77429795</v>
      </c>
      <c r="AH367" s="3198">
        <f t="shared" si="275"/>
        <v>555728191.67091227</v>
      </c>
      <c r="AI367" s="3198">
        <f t="shared" si="275"/>
        <v>564064114.54597592</v>
      </c>
      <c r="AJ367" s="3198">
        <f t="shared" si="275"/>
        <v>572525076.26416564</v>
      </c>
      <c r="AK367" s="3198">
        <f t="shared" si="275"/>
        <v>581112952.40812802</v>
      </c>
      <c r="AL367" s="3198">
        <f t="shared" si="275"/>
        <v>589829646.69424987</v>
      </c>
      <c r="AM367" s="3198">
        <f t="shared" si="275"/>
        <v>598677091.39466357</v>
      </c>
      <c r="AN367" s="3198">
        <f t="shared" si="275"/>
        <v>607657247.76558352</v>
      </c>
      <c r="AO367" s="3198">
        <f t="shared" si="275"/>
        <v>616772106.48206723</v>
      </c>
      <c r="AP367" s="3198">
        <f t="shared" si="275"/>
        <v>626023688.07929814</v>
      </c>
      <c r="AQ367" s="3198">
        <f t="shared" si="275"/>
        <v>635414043.40048754</v>
      </c>
      <c r="AR367" s="3198">
        <f t="shared" si="275"/>
        <v>644945254.05149472</v>
      </c>
      <c r="AS367" s="3198">
        <f t="shared" si="275"/>
        <v>654619432.86226702</v>
      </c>
      <c r="AT367" s="3198">
        <f t="shared" si="275"/>
        <v>664438724.35520101</v>
      </c>
      <c r="AU367" s="3198">
        <f t="shared" si="275"/>
        <v>674405305.22052908</v>
      </c>
      <c r="AV367" s="3197"/>
      <c r="AW367" s="2695"/>
      <c r="AX367" s="2694"/>
      <c r="AY367" s="3197"/>
      <c r="AZ367" s="3197"/>
      <c r="BA367" s="3197"/>
      <c r="BB367" s="3197"/>
      <c r="BC367" s="3197"/>
      <c r="BD367" s="3197"/>
      <c r="BE367" s="3197"/>
      <c r="BF367" s="3197"/>
      <c r="BG367" s="3197"/>
      <c r="BJ367" s="2730">
        <f t="shared" si="272"/>
        <v>-359381760</v>
      </c>
    </row>
    <row r="368" spans="1:62">
      <c r="A368" s="3199" t="s">
        <v>4402</v>
      </c>
      <c r="B368" s="3200"/>
      <c r="C368" s="3200"/>
      <c r="D368" s="3200"/>
      <c r="E368" s="3200"/>
      <c r="F368" s="3201">
        <f t="shared" ref="F368:AU368" si="276">F285</f>
        <v>431976000</v>
      </c>
      <c r="G368" s="3201">
        <f t="shared" si="276"/>
        <v>441976000</v>
      </c>
      <c r="H368" s="3201">
        <f t="shared" si="276"/>
        <v>450815520</v>
      </c>
      <c r="I368" s="3201">
        <f t="shared" si="276"/>
        <v>459831830.40000004</v>
      </c>
      <c r="J368" s="3201">
        <f t="shared" si="276"/>
        <v>469028467.00800002</v>
      </c>
      <c r="K368" s="3201">
        <f t="shared" si="276"/>
        <v>478409036.34816003</v>
      </c>
      <c r="L368" s="3201">
        <f t="shared" si="276"/>
        <v>487977217.07512325</v>
      </c>
      <c r="M368" s="3201">
        <f t="shared" si="276"/>
        <v>497736761.41662574</v>
      </c>
      <c r="N368" s="3201">
        <f t="shared" si="276"/>
        <v>507691496.64495826</v>
      </c>
      <c r="O368" s="3201">
        <f t="shared" si="276"/>
        <v>517845326.57785743</v>
      </c>
      <c r="P368" s="3201">
        <f t="shared" si="276"/>
        <v>528202233.10941458</v>
      </c>
      <c r="Q368" s="3201">
        <f t="shared" si="276"/>
        <v>538766277.77160287</v>
      </c>
      <c r="R368" s="3201">
        <f t="shared" si="276"/>
        <v>549541603.32703495</v>
      </c>
      <c r="S368" s="3201">
        <f t="shared" si="276"/>
        <v>560532435.39357567</v>
      </c>
      <c r="T368" s="3201">
        <f t="shared" si="276"/>
        <v>571743084.10144722</v>
      </c>
      <c r="U368" s="3201">
        <f t="shared" si="276"/>
        <v>583177945.78347623</v>
      </c>
      <c r="V368" s="3201">
        <f t="shared" si="276"/>
        <v>594841504.69914579</v>
      </c>
      <c r="W368" s="3201">
        <f t="shared" si="276"/>
        <v>606738334.79312873</v>
      </c>
      <c r="X368" s="3201">
        <f t="shared" si="276"/>
        <v>618873101.48899126</v>
      </c>
      <c r="Y368" s="3201">
        <f t="shared" si="276"/>
        <v>631250563.51877105</v>
      </c>
      <c r="Z368" s="3201">
        <f t="shared" si="276"/>
        <v>643875574.78914654</v>
      </c>
      <c r="AA368" s="3201">
        <f t="shared" si="276"/>
        <v>656753086.28492951</v>
      </c>
      <c r="AB368" s="3201">
        <f t="shared" si="276"/>
        <v>669888148.0106281</v>
      </c>
      <c r="AC368" s="3201">
        <f t="shared" si="276"/>
        <v>683285910.97084069</v>
      </c>
      <c r="AD368" s="3201">
        <f t="shared" si="276"/>
        <v>696951629.19025755</v>
      </c>
      <c r="AE368" s="3201">
        <f t="shared" si="276"/>
        <v>710890661.77406275</v>
      </c>
      <c r="AF368" s="3201">
        <f t="shared" si="276"/>
        <v>725108475.00954401</v>
      </c>
      <c r="AG368" s="3201">
        <f t="shared" si="276"/>
        <v>739610644.50973487</v>
      </c>
      <c r="AH368" s="3201">
        <f t="shared" si="276"/>
        <v>754402857.39992952</v>
      </c>
      <c r="AI368" s="3201">
        <f t="shared" si="276"/>
        <v>769490914.54792809</v>
      </c>
      <c r="AJ368" s="3201">
        <f t="shared" si="276"/>
        <v>784880732.83888662</v>
      </c>
      <c r="AK368" s="3201">
        <f t="shared" si="276"/>
        <v>800578347.49566436</v>
      </c>
      <c r="AL368" s="3201">
        <f t="shared" si="276"/>
        <v>816589914.44557762</v>
      </c>
      <c r="AM368" s="3201">
        <f t="shared" si="276"/>
        <v>832921712.7344892</v>
      </c>
      <c r="AN368" s="3201">
        <f t="shared" si="276"/>
        <v>849580146.98917902</v>
      </c>
      <c r="AO368" s="3201">
        <f t="shared" si="276"/>
        <v>866571749.92896259</v>
      </c>
      <c r="AP368" s="3201">
        <f t="shared" si="276"/>
        <v>883903184.92754185</v>
      </c>
      <c r="AQ368" s="3201">
        <f t="shared" si="276"/>
        <v>901581248.62609267</v>
      </c>
      <c r="AR368" s="3201">
        <f t="shared" si="276"/>
        <v>919612873.59861457</v>
      </c>
      <c r="AS368" s="3201">
        <f t="shared" si="276"/>
        <v>938005131.07058692</v>
      </c>
      <c r="AT368" s="3201">
        <f t="shared" si="276"/>
        <v>956765233.69199872</v>
      </c>
      <c r="AU368" s="3201">
        <f t="shared" si="276"/>
        <v>975900538.36583877</v>
      </c>
      <c r="AV368" s="3197"/>
      <c r="AW368" s="2695"/>
      <c r="AX368" s="2694"/>
      <c r="AY368" s="3197"/>
      <c r="AZ368" s="3197"/>
      <c r="BA368" s="3197"/>
      <c r="BB368" s="3197"/>
      <c r="BC368" s="3197"/>
      <c r="BD368" s="3197"/>
      <c r="BE368" s="3197"/>
      <c r="BF368" s="3197"/>
      <c r="BG368" s="3197"/>
      <c r="BJ368" s="2730">
        <f t="shared" si="272"/>
        <v>-431976000</v>
      </c>
    </row>
    <row r="369" spans="1:73">
      <c r="A369" s="3202"/>
      <c r="B369" s="3197"/>
      <c r="C369" s="3197"/>
      <c r="D369" s="3197"/>
      <c r="E369" s="3197"/>
      <c r="F369" s="3197"/>
      <c r="G369" s="3197"/>
      <c r="H369" s="3197"/>
      <c r="I369" s="3197"/>
      <c r="J369" s="3197"/>
      <c r="K369" s="3197"/>
      <c r="L369" s="3197"/>
      <c r="M369" s="3197"/>
      <c r="N369" s="3197"/>
      <c r="O369" s="3197"/>
      <c r="P369" s="3197"/>
      <c r="Q369" s="3197"/>
      <c r="R369" s="3197"/>
      <c r="S369" s="3197"/>
      <c r="T369" s="3197"/>
      <c r="U369" s="3197"/>
      <c r="V369" s="3197"/>
      <c r="W369" s="3197"/>
      <c r="X369" s="3197"/>
      <c r="Y369" s="3197"/>
      <c r="Z369" s="3197"/>
      <c r="AA369" s="3197"/>
      <c r="AB369" s="3197"/>
      <c r="AC369" s="3197"/>
      <c r="AD369" s="3197"/>
      <c r="AE369" s="3197"/>
      <c r="AF369" s="3197"/>
      <c r="AG369" s="3197"/>
      <c r="AH369" s="3197"/>
      <c r="AI369" s="3197"/>
      <c r="AJ369" s="3197"/>
      <c r="AK369" s="3197"/>
      <c r="AL369" s="3197"/>
      <c r="AM369" s="3197"/>
      <c r="AN369" s="3197"/>
      <c r="AO369" s="3197"/>
      <c r="AP369" s="3197"/>
      <c r="AQ369" s="3197"/>
      <c r="AR369" s="3197"/>
      <c r="AS369" s="3197"/>
      <c r="AT369" s="3197"/>
      <c r="AU369" s="3197"/>
      <c r="AV369" s="3197"/>
      <c r="AW369" s="2695"/>
      <c r="AX369" s="3197"/>
      <c r="AY369" s="3197"/>
      <c r="AZ369" s="3197"/>
      <c r="BA369" s="3197"/>
      <c r="BB369" s="3197"/>
      <c r="BC369" s="3197"/>
      <c r="BD369" s="3197"/>
      <c r="BE369" s="3197"/>
      <c r="BF369" s="3197"/>
      <c r="BG369" s="3197"/>
      <c r="BJ369" s="2730">
        <f t="shared" si="272"/>
        <v>0</v>
      </c>
    </row>
    <row r="370" spans="1:73">
      <c r="A370" s="3203" t="s">
        <v>4403</v>
      </c>
      <c r="B370" s="3204"/>
      <c r="C370" s="3205" t="s">
        <v>4404</v>
      </c>
      <c r="D370" s="3206"/>
      <c r="E370" s="3206"/>
      <c r="F370" s="3207" t="s">
        <v>4405</v>
      </c>
      <c r="G370" s="3208" t="s">
        <v>4406</v>
      </c>
      <c r="H370" s="3209"/>
      <c r="I370" s="3209">
        <v>250000</v>
      </c>
      <c r="J370" s="3210"/>
      <c r="K370" s="3211">
        <v>260000</v>
      </c>
      <c r="L370" s="3209"/>
      <c r="M370" s="3209">
        <v>270000</v>
      </c>
      <c r="N370" s="3210"/>
      <c r="O370" s="3211">
        <v>280000</v>
      </c>
      <c r="P370" s="3209"/>
      <c r="Q370" s="3209">
        <v>290000</v>
      </c>
      <c r="R370" s="3210"/>
      <c r="S370" s="3211">
        <v>300000</v>
      </c>
      <c r="T370" s="3209"/>
      <c r="U370" s="3209">
        <v>310000</v>
      </c>
      <c r="V370" s="3210"/>
      <c r="W370" s="3211">
        <v>320000</v>
      </c>
      <c r="X370" s="3209"/>
      <c r="Y370" s="3209">
        <v>330000</v>
      </c>
      <c r="Z370" s="3210"/>
      <c r="AA370" s="3211">
        <v>340000</v>
      </c>
      <c r="AB370" s="3209"/>
      <c r="AC370" s="3209">
        <v>350000</v>
      </c>
      <c r="AD370" s="3210"/>
      <c r="AE370" s="3211">
        <v>360000</v>
      </c>
      <c r="AF370" s="3209"/>
      <c r="AG370" s="3209">
        <v>370000</v>
      </c>
      <c r="AH370" s="3210"/>
      <c r="AI370" s="3211">
        <v>380000</v>
      </c>
      <c r="AJ370" s="3209"/>
      <c r="AK370" s="3209">
        <v>390000</v>
      </c>
      <c r="AL370" s="3210"/>
      <c r="AM370" s="3211">
        <v>400000</v>
      </c>
      <c r="AN370" s="3210"/>
      <c r="AO370" s="3211">
        <v>410000</v>
      </c>
      <c r="AP370" s="3210"/>
      <c r="AQ370" s="3211">
        <v>420000</v>
      </c>
      <c r="AR370" s="3210"/>
      <c r="AS370" s="3211">
        <v>430000</v>
      </c>
      <c r="AT370" s="3210"/>
      <c r="AU370" s="3211">
        <v>440000</v>
      </c>
      <c r="AV370" s="3210"/>
      <c r="AW370" s="3212">
        <v>450000</v>
      </c>
      <c r="AX370" s="3213"/>
      <c r="AY370" s="3213">
        <v>460000</v>
      </c>
      <c r="AZ370" s="3214"/>
      <c r="BA370" s="3212">
        <v>470000</v>
      </c>
      <c r="BB370" s="3214"/>
      <c r="BC370" s="3212">
        <f>BA370+10000</f>
        <v>480000</v>
      </c>
      <c r="BD370" s="3214"/>
      <c r="BE370" s="3212">
        <f>BC370+10000</f>
        <v>490000</v>
      </c>
      <c r="BF370" s="3214"/>
      <c r="BG370" s="3215">
        <f>BE370+10000</f>
        <v>500000</v>
      </c>
      <c r="BH370" s="3214"/>
      <c r="BI370" s="3212">
        <f>BG370+10000</f>
        <v>510000</v>
      </c>
      <c r="BJ370" s="3214"/>
      <c r="BK370" s="3212">
        <f>BI370+10000</f>
        <v>520000</v>
      </c>
      <c r="BL370" s="3214"/>
      <c r="BM370" s="3212">
        <f>BK370+10000</f>
        <v>530000</v>
      </c>
      <c r="BN370" s="3214"/>
      <c r="BO370" s="3212">
        <f>BM370+10000</f>
        <v>540000</v>
      </c>
      <c r="BP370" s="3214"/>
      <c r="BQ370" s="3212">
        <f>BO370+10000</f>
        <v>550000</v>
      </c>
      <c r="BR370" s="3214"/>
      <c r="BS370" s="3212">
        <f>BQ370+10000</f>
        <v>560000</v>
      </c>
      <c r="BT370" s="3214"/>
      <c r="BU370" s="3212">
        <f>BS370+10000</f>
        <v>570000</v>
      </c>
    </row>
    <row r="371" spans="1:73">
      <c r="A371" s="3216"/>
      <c r="B371" s="3217"/>
      <c r="C371" s="3218"/>
      <c r="D371" s="3219"/>
      <c r="E371" s="3219"/>
      <c r="F371" s="3220"/>
      <c r="G371" s="3221"/>
      <c r="H371" s="3222" t="s">
        <v>4407</v>
      </c>
      <c r="I371" s="3222" t="s">
        <v>43</v>
      </c>
      <c r="J371" s="3223" t="s">
        <v>4407</v>
      </c>
      <c r="K371" s="3224" t="s">
        <v>43</v>
      </c>
      <c r="L371" s="3222" t="s">
        <v>4407</v>
      </c>
      <c r="M371" s="3222" t="s">
        <v>43</v>
      </c>
      <c r="N371" s="3223" t="s">
        <v>4407</v>
      </c>
      <c r="O371" s="3224" t="s">
        <v>43</v>
      </c>
      <c r="P371" s="3222" t="s">
        <v>4407</v>
      </c>
      <c r="Q371" s="3222" t="s">
        <v>43</v>
      </c>
      <c r="R371" s="3223" t="s">
        <v>4407</v>
      </c>
      <c r="S371" s="3224" t="s">
        <v>43</v>
      </c>
      <c r="T371" s="3222" t="s">
        <v>4407</v>
      </c>
      <c r="U371" s="3222" t="s">
        <v>43</v>
      </c>
      <c r="V371" s="3223" t="s">
        <v>4407</v>
      </c>
      <c r="W371" s="3224" t="s">
        <v>43</v>
      </c>
      <c r="X371" s="3222" t="s">
        <v>4407</v>
      </c>
      <c r="Y371" s="3222" t="s">
        <v>43</v>
      </c>
      <c r="Z371" s="3223" t="s">
        <v>4407</v>
      </c>
      <c r="AA371" s="3224" t="s">
        <v>43</v>
      </c>
      <c r="AB371" s="3222" t="s">
        <v>4407</v>
      </c>
      <c r="AC371" s="3222" t="s">
        <v>43</v>
      </c>
      <c r="AD371" s="3223" t="s">
        <v>4407</v>
      </c>
      <c r="AE371" s="3224" t="s">
        <v>43</v>
      </c>
      <c r="AF371" s="3222" t="s">
        <v>4407</v>
      </c>
      <c r="AG371" s="3222" t="s">
        <v>43</v>
      </c>
      <c r="AH371" s="3223" t="s">
        <v>4407</v>
      </c>
      <c r="AI371" s="3224" t="s">
        <v>43</v>
      </c>
      <c r="AJ371" s="3222" t="s">
        <v>4407</v>
      </c>
      <c r="AK371" s="3222" t="s">
        <v>43</v>
      </c>
      <c r="AL371" s="3223" t="s">
        <v>4407</v>
      </c>
      <c r="AM371" s="3224" t="s">
        <v>43</v>
      </c>
      <c r="AN371" s="3223" t="s">
        <v>4407</v>
      </c>
      <c r="AO371" s="3224" t="s">
        <v>43</v>
      </c>
      <c r="AP371" s="3223" t="s">
        <v>4407</v>
      </c>
      <c r="AQ371" s="3224" t="s">
        <v>43</v>
      </c>
      <c r="AR371" s="3223" t="s">
        <v>4407</v>
      </c>
      <c r="AS371" s="3224" t="s">
        <v>43</v>
      </c>
      <c r="AT371" s="3223" t="s">
        <v>4407</v>
      </c>
      <c r="AU371" s="3224" t="s">
        <v>43</v>
      </c>
      <c r="AV371" s="3223" t="s">
        <v>4407</v>
      </c>
      <c r="AW371" s="3224" t="s">
        <v>43</v>
      </c>
      <c r="AX371" s="3223" t="s">
        <v>4407</v>
      </c>
      <c r="AY371" s="3224" t="s">
        <v>43</v>
      </c>
      <c r="AZ371" s="3223" t="s">
        <v>4407</v>
      </c>
      <c r="BA371" s="3224" t="s">
        <v>43</v>
      </c>
      <c r="BB371" s="3223" t="s">
        <v>4407</v>
      </c>
      <c r="BC371" s="3224" t="s">
        <v>43</v>
      </c>
      <c r="BD371" s="3223" t="s">
        <v>4407</v>
      </c>
      <c r="BE371" s="3224" t="s">
        <v>43</v>
      </c>
      <c r="BF371" s="3223" t="s">
        <v>4407</v>
      </c>
      <c r="BG371" s="3225" t="s">
        <v>43</v>
      </c>
      <c r="BH371" s="3223" t="s">
        <v>4407</v>
      </c>
      <c r="BI371" s="3224" t="s">
        <v>43</v>
      </c>
      <c r="BJ371" s="3223" t="s">
        <v>4407</v>
      </c>
      <c r="BK371" s="3224" t="s">
        <v>43</v>
      </c>
      <c r="BL371" s="3223" t="s">
        <v>4407</v>
      </c>
      <c r="BM371" s="3224" t="s">
        <v>43</v>
      </c>
      <c r="BN371" s="3223" t="s">
        <v>4407</v>
      </c>
      <c r="BO371" s="3224" t="s">
        <v>43</v>
      </c>
      <c r="BP371" s="3223" t="s">
        <v>4407</v>
      </c>
      <c r="BQ371" s="3224" t="s">
        <v>43</v>
      </c>
      <c r="BR371" s="3223" t="s">
        <v>4407</v>
      </c>
      <c r="BS371" s="3224" t="s">
        <v>43</v>
      </c>
      <c r="BT371" s="3223" t="s">
        <v>4407</v>
      </c>
      <c r="BU371" s="3224" t="s">
        <v>43</v>
      </c>
    </row>
    <row r="372" spans="1:73">
      <c r="A372" s="3226" t="s">
        <v>4408</v>
      </c>
      <c r="B372" s="3227"/>
      <c r="C372" s="3228" t="s">
        <v>4409</v>
      </c>
      <c r="D372" s="3229"/>
      <c r="E372" s="3229"/>
      <c r="F372" s="3230">
        <v>1</v>
      </c>
      <c r="G372" s="3231">
        <v>6198.7583333333323</v>
      </c>
      <c r="H372" s="3232">
        <v>1</v>
      </c>
      <c r="I372" s="3232">
        <f t="shared" ref="I372:I381" si="277">H372*G372*12</f>
        <v>74385.099999999991</v>
      </c>
      <c r="J372" s="3233">
        <v>1</v>
      </c>
      <c r="K372" s="3234">
        <f t="shared" ref="K372:K381" si="278">J372*G372*12</f>
        <v>74385.099999999991</v>
      </c>
      <c r="L372" s="3232">
        <v>1</v>
      </c>
      <c r="M372" s="3232">
        <f t="shared" ref="M372:M381" si="279">L372*G372*12</f>
        <v>74385.099999999991</v>
      </c>
      <c r="N372" s="3233">
        <v>1</v>
      </c>
      <c r="O372" s="3234">
        <f t="shared" ref="O372:O381" si="280">N372*G372*12</f>
        <v>74385.099999999991</v>
      </c>
      <c r="P372" s="3232">
        <v>1</v>
      </c>
      <c r="Q372" s="3232">
        <f t="shared" ref="Q372:Q381" si="281">P372*G372*12</f>
        <v>74385.099999999991</v>
      </c>
      <c r="R372" s="3233">
        <v>1</v>
      </c>
      <c r="S372" s="3234">
        <f t="shared" ref="S372:S381" si="282">R372*G372*12</f>
        <v>74385.099999999991</v>
      </c>
      <c r="T372" s="3232">
        <v>1</v>
      </c>
      <c r="U372" s="3232">
        <f t="shared" ref="U372:U381" si="283">T372*G372*12</f>
        <v>74385.099999999991</v>
      </c>
      <c r="V372" s="3233">
        <v>1</v>
      </c>
      <c r="W372" s="3234">
        <f t="shared" ref="W372:W381" si="284">V372*G372*12</f>
        <v>74385.099999999991</v>
      </c>
      <c r="X372" s="3233">
        <v>1</v>
      </c>
      <c r="Y372" s="3232">
        <f t="shared" ref="Y372:Y381" si="285">X372*G372*12</f>
        <v>74385.099999999991</v>
      </c>
      <c r="Z372" s="3233">
        <v>1</v>
      </c>
      <c r="AA372" s="3234">
        <f t="shared" ref="AA372:AA381" si="286">Z372*G372*12</f>
        <v>74385.099999999991</v>
      </c>
      <c r="AB372" s="3233">
        <v>1</v>
      </c>
      <c r="AC372" s="3232">
        <f t="shared" ref="AC372:AC381" si="287">AB372*G372*12</f>
        <v>74385.099999999991</v>
      </c>
      <c r="AD372" s="3233">
        <v>1</v>
      </c>
      <c r="AE372" s="3234">
        <f t="shared" ref="AE372:AE381" si="288">AD372*G372*12</f>
        <v>74385.099999999991</v>
      </c>
      <c r="AF372" s="3232">
        <v>1</v>
      </c>
      <c r="AG372" s="3232">
        <f t="shared" ref="AG372:AG381" si="289">AF372*G372*12</f>
        <v>74385.099999999991</v>
      </c>
      <c r="AH372" s="3233">
        <v>1</v>
      </c>
      <c r="AI372" s="3234">
        <f t="shared" ref="AI372:AI381" si="290">AH372*G372*12</f>
        <v>74385.099999999991</v>
      </c>
      <c r="AJ372" s="3232">
        <v>1</v>
      </c>
      <c r="AK372" s="3232">
        <f t="shared" ref="AK372:AK381" si="291">AJ372*G372*12</f>
        <v>74385.099999999991</v>
      </c>
      <c r="AL372" s="3233">
        <v>1</v>
      </c>
      <c r="AM372" s="3234">
        <f t="shared" ref="AM372:AM381" si="292">AL372*G372*12</f>
        <v>74385.099999999991</v>
      </c>
      <c r="AN372" s="3233">
        <v>1</v>
      </c>
      <c r="AO372" s="3234">
        <f t="shared" ref="AO372:AO381" si="293">AN372*G372*12</f>
        <v>74385.099999999991</v>
      </c>
      <c r="AP372" s="3233">
        <v>1</v>
      </c>
      <c r="AQ372" s="3234">
        <f t="shared" ref="AQ372:AQ381" si="294">AP372*G372*12</f>
        <v>74385.099999999991</v>
      </c>
      <c r="AR372" s="3233">
        <v>1</v>
      </c>
      <c r="AS372" s="3234">
        <f t="shared" ref="AS372:AS381" si="295">AR372*G372*12</f>
        <v>74385.099999999991</v>
      </c>
      <c r="AT372" s="3233">
        <v>1</v>
      </c>
      <c r="AU372" s="3234">
        <f t="shared" ref="AU372:AU381" si="296">AT372*G372*12</f>
        <v>74385.099999999991</v>
      </c>
      <c r="AV372" s="3233">
        <v>1</v>
      </c>
      <c r="AW372" s="3234">
        <f t="shared" ref="AW372:AW381" si="297">AV372*G372*12</f>
        <v>74385.099999999991</v>
      </c>
      <c r="AX372" s="3233">
        <v>1</v>
      </c>
      <c r="AY372" s="3232">
        <f t="shared" ref="AY372:AY381" si="298">AX372*G372*12</f>
        <v>74385.099999999991</v>
      </c>
      <c r="AZ372" s="3233">
        <v>1</v>
      </c>
      <c r="BA372" s="3234">
        <f>AZ372*G$372*12</f>
        <v>74385.099999999991</v>
      </c>
      <c r="BB372" s="3233">
        <v>1</v>
      </c>
      <c r="BC372" s="3234">
        <f>BB372*$G372*12</f>
        <v>74385.099999999991</v>
      </c>
      <c r="BD372" s="3233">
        <v>1</v>
      </c>
      <c r="BE372" s="3234">
        <f>BD372*$G372*12</f>
        <v>74385.099999999991</v>
      </c>
      <c r="BF372" s="3233">
        <v>1</v>
      </c>
      <c r="BG372" s="3235">
        <f t="shared" ref="BG372:BG381" si="299">BF372*$G372*12</f>
        <v>74385.099999999991</v>
      </c>
      <c r="BH372" s="3233">
        <v>1</v>
      </c>
      <c r="BI372" s="3234">
        <f t="shared" ref="BI372:BI381" si="300">BH372*$G372*12</f>
        <v>74385.099999999991</v>
      </c>
      <c r="BJ372" s="3233">
        <v>1</v>
      </c>
      <c r="BK372" s="3234">
        <v>74385.099999999991</v>
      </c>
      <c r="BL372" s="3233">
        <v>1</v>
      </c>
      <c r="BM372" s="3234">
        <v>74385.099999999991</v>
      </c>
      <c r="BN372" s="3233">
        <v>1</v>
      </c>
      <c r="BO372" s="3234">
        <v>74385.099999999991</v>
      </c>
      <c r="BP372" s="3233">
        <v>1</v>
      </c>
      <c r="BQ372" s="3234">
        <v>74385.099999999991</v>
      </c>
      <c r="BR372" s="3233">
        <v>1</v>
      </c>
      <c r="BS372" s="3234">
        <v>74385.099999999991</v>
      </c>
      <c r="BT372" s="3233">
        <v>1</v>
      </c>
      <c r="BU372" s="3234">
        <v>74385.099999999991</v>
      </c>
    </row>
    <row r="373" spans="1:73">
      <c r="A373" s="3226"/>
      <c r="B373" s="3227"/>
      <c r="C373" s="3228" t="s">
        <v>4410</v>
      </c>
      <c r="D373" s="3229"/>
      <c r="E373" s="3229"/>
      <c r="F373" s="3230">
        <v>1</v>
      </c>
      <c r="G373" s="3231">
        <v>5396.791666666667</v>
      </c>
      <c r="H373" s="3232">
        <v>1</v>
      </c>
      <c r="I373" s="3232">
        <f t="shared" si="277"/>
        <v>64761.5</v>
      </c>
      <c r="J373" s="3233">
        <v>1</v>
      </c>
      <c r="K373" s="3234">
        <f t="shared" si="278"/>
        <v>64761.5</v>
      </c>
      <c r="L373" s="3232">
        <v>1</v>
      </c>
      <c r="M373" s="3232">
        <f t="shared" si="279"/>
        <v>64761.5</v>
      </c>
      <c r="N373" s="3233">
        <v>1</v>
      </c>
      <c r="O373" s="3234">
        <f t="shared" si="280"/>
        <v>64761.5</v>
      </c>
      <c r="P373" s="3232">
        <v>1</v>
      </c>
      <c r="Q373" s="3232">
        <f t="shared" si="281"/>
        <v>64761.5</v>
      </c>
      <c r="R373" s="3236">
        <v>1</v>
      </c>
      <c r="S373" s="3234">
        <f t="shared" si="282"/>
        <v>64761.5</v>
      </c>
      <c r="T373" s="3232">
        <v>1</v>
      </c>
      <c r="U373" s="3232">
        <f t="shared" si="283"/>
        <v>64761.5</v>
      </c>
      <c r="V373" s="3233">
        <v>1</v>
      </c>
      <c r="W373" s="3234">
        <f t="shared" si="284"/>
        <v>64761.5</v>
      </c>
      <c r="X373" s="3233">
        <v>1</v>
      </c>
      <c r="Y373" s="3232">
        <f t="shared" si="285"/>
        <v>64761.5</v>
      </c>
      <c r="Z373" s="3233">
        <v>1</v>
      </c>
      <c r="AA373" s="3234">
        <f t="shared" si="286"/>
        <v>64761.5</v>
      </c>
      <c r="AB373" s="3233">
        <v>1</v>
      </c>
      <c r="AC373" s="3232">
        <f t="shared" si="287"/>
        <v>64761.5</v>
      </c>
      <c r="AD373" s="3233">
        <v>2</v>
      </c>
      <c r="AE373" s="3234">
        <f t="shared" si="288"/>
        <v>129523</v>
      </c>
      <c r="AF373" s="3232">
        <v>2</v>
      </c>
      <c r="AG373" s="3232">
        <f t="shared" si="289"/>
        <v>129523</v>
      </c>
      <c r="AH373" s="3233">
        <v>2</v>
      </c>
      <c r="AI373" s="3234">
        <f t="shared" si="290"/>
        <v>129523</v>
      </c>
      <c r="AJ373" s="3232">
        <v>2</v>
      </c>
      <c r="AK373" s="3232">
        <f t="shared" si="291"/>
        <v>129523</v>
      </c>
      <c r="AL373" s="3233">
        <v>3</v>
      </c>
      <c r="AM373" s="3234">
        <f t="shared" si="292"/>
        <v>194284.5</v>
      </c>
      <c r="AN373" s="3233">
        <v>3</v>
      </c>
      <c r="AO373" s="3234">
        <f t="shared" si="293"/>
        <v>194284.5</v>
      </c>
      <c r="AP373" s="3233">
        <v>3</v>
      </c>
      <c r="AQ373" s="3234">
        <f t="shared" si="294"/>
        <v>194284.5</v>
      </c>
      <c r="AR373" s="3233">
        <v>3</v>
      </c>
      <c r="AS373" s="3234">
        <f t="shared" si="295"/>
        <v>194284.5</v>
      </c>
      <c r="AT373" s="3233">
        <v>3</v>
      </c>
      <c r="AU373" s="3234">
        <f t="shared" si="296"/>
        <v>194284.5</v>
      </c>
      <c r="AV373" s="3233">
        <v>3</v>
      </c>
      <c r="AW373" s="3234">
        <f t="shared" si="297"/>
        <v>194284.5</v>
      </c>
      <c r="AX373" s="3233">
        <v>3</v>
      </c>
      <c r="AY373" s="3232">
        <f t="shared" si="298"/>
        <v>194284.5</v>
      </c>
      <c r="AZ373" s="3233">
        <v>4</v>
      </c>
      <c r="BA373" s="3234">
        <f t="shared" ref="BA373:BA381" si="301">AZ373*G373*12</f>
        <v>259046</v>
      </c>
      <c r="BB373" s="3233">
        <v>4</v>
      </c>
      <c r="BC373" s="3234">
        <f t="shared" ref="BC373:BE381" si="302">BB373*$G373*12</f>
        <v>259046</v>
      </c>
      <c r="BD373" s="3233">
        <v>4</v>
      </c>
      <c r="BE373" s="3234">
        <f t="shared" si="302"/>
        <v>259046</v>
      </c>
      <c r="BF373" s="3233">
        <v>4</v>
      </c>
      <c r="BG373" s="3235">
        <f t="shared" si="299"/>
        <v>259046</v>
      </c>
      <c r="BH373" s="3233">
        <v>4</v>
      </c>
      <c r="BI373" s="3234">
        <f t="shared" si="300"/>
        <v>259046</v>
      </c>
      <c r="BJ373" s="3233">
        <v>4</v>
      </c>
      <c r="BK373" s="3234">
        <v>259046</v>
      </c>
      <c r="BL373" s="3233">
        <v>4</v>
      </c>
      <c r="BM373" s="3234">
        <v>259046</v>
      </c>
      <c r="BN373" s="3233">
        <v>4</v>
      </c>
      <c r="BO373" s="3234">
        <v>259046</v>
      </c>
      <c r="BP373" s="3233">
        <v>4</v>
      </c>
      <c r="BQ373" s="3234">
        <v>259046</v>
      </c>
      <c r="BR373" s="3233">
        <v>4</v>
      </c>
      <c r="BS373" s="3234">
        <v>259046</v>
      </c>
      <c r="BT373" s="3233">
        <v>4</v>
      </c>
      <c r="BU373" s="3234">
        <v>259046</v>
      </c>
    </row>
    <row r="374" spans="1:73">
      <c r="A374" s="3226" t="s">
        <v>4411</v>
      </c>
      <c r="B374" s="3227"/>
      <c r="C374" s="3228" t="s">
        <v>4409</v>
      </c>
      <c r="D374" s="3229"/>
      <c r="E374" s="3229"/>
      <c r="F374" s="3230">
        <v>1</v>
      </c>
      <c r="G374" s="3231">
        <v>5396.791666666667</v>
      </c>
      <c r="H374" s="3232">
        <v>1</v>
      </c>
      <c r="I374" s="3232">
        <f t="shared" si="277"/>
        <v>64761.5</v>
      </c>
      <c r="J374" s="3233">
        <v>1</v>
      </c>
      <c r="K374" s="3234">
        <f t="shared" si="278"/>
        <v>64761.5</v>
      </c>
      <c r="L374" s="3232">
        <v>1</v>
      </c>
      <c r="M374" s="3232">
        <f t="shared" si="279"/>
        <v>64761.5</v>
      </c>
      <c r="N374" s="3233">
        <v>1</v>
      </c>
      <c r="O374" s="3234">
        <f t="shared" si="280"/>
        <v>64761.5</v>
      </c>
      <c r="P374" s="3232">
        <v>1</v>
      </c>
      <c r="Q374" s="3232">
        <f t="shared" si="281"/>
        <v>64761.5</v>
      </c>
      <c r="R374" s="3236">
        <v>1</v>
      </c>
      <c r="S374" s="3234">
        <f t="shared" si="282"/>
        <v>64761.5</v>
      </c>
      <c r="T374" s="3232">
        <v>1</v>
      </c>
      <c r="U374" s="3232">
        <f t="shared" si="283"/>
        <v>64761.5</v>
      </c>
      <c r="V374" s="3233">
        <v>1</v>
      </c>
      <c r="W374" s="3234">
        <f t="shared" si="284"/>
        <v>64761.5</v>
      </c>
      <c r="X374" s="3233">
        <v>1</v>
      </c>
      <c r="Y374" s="3232">
        <f t="shared" si="285"/>
        <v>64761.5</v>
      </c>
      <c r="Z374" s="3233">
        <v>1</v>
      </c>
      <c r="AA374" s="3234">
        <f t="shared" si="286"/>
        <v>64761.5</v>
      </c>
      <c r="AB374" s="3233">
        <v>1</v>
      </c>
      <c r="AC374" s="3232">
        <f t="shared" si="287"/>
        <v>64761.5</v>
      </c>
      <c r="AD374" s="3233">
        <v>1</v>
      </c>
      <c r="AE374" s="3234">
        <f t="shared" si="288"/>
        <v>64761.5</v>
      </c>
      <c r="AF374" s="3232">
        <v>1</v>
      </c>
      <c r="AG374" s="3232">
        <f t="shared" si="289"/>
        <v>64761.5</v>
      </c>
      <c r="AH374" s="3233">
        <v>1</v>
      </c>
      <c r="AI374" s="3234">
        <f t="shared" si="290"/>
        <v>64761.5</v>
      </c>
      <c r="AJ374" s="3232">
        <v>1</v>
      </c>
      <c r="AK374" s="3232">
        <f t="shared" si="291"/>
        <v>64761.5</v>
      </c>
      <c r="AL374" s="3233">
        <v>2</v>
      </c>
      <c r="AM374" s="3234">
        <f t="shared" si="292"/>
        <v>129523</v>
      </c>
      <c r="AN374" s="3233">
        <v>2</v>
      </c>
      <c r="AO374" s="3234">
        <f t="shared" si="293"/>
        <v>129523</v>
      </c>
      <c r="AP374" s="3233">
        <v>2</v>
      </c>
      <c r="AQ374" s="3234">
        <f t="shared" si="294"/>
        <v>129523</v>
      </c>
      <c r="AR374" s="3233">
        <v>2</v>
      </c>
      <c r="AS374" s="3234">
        <f t="shared" si="295"/>
        <v>129523</v>
      </c>
      <c r="AT374" s="3233">
        <v>2</v>
      </c>
      <c r="AU374" s="3234">
        <f t="shared" si="296"/>
        <v>129523</v>
      </c>
      <c r="AV374" s="3233">
        <v>2</v>
      </c>
      <c r="AW374" s="3234">
        <f t="shared" si="297"/>
        <v>129523</v>
      </c>
      <c r="AX374" s="3233">
        <v>2</v>
      </c>
      <c r="AY374" s="3232">
        <f t="shared" si="298"/>
        <v>129523</v>
      </c>
      <c r="AZ374" s="3233">
        <v>2</v>
      </c>
      <c r="BA374" s="3234">
        <f t="shared" si="301"/>
        <v>129523</v>
      </c>
      <c r="BB374" s="3233">
        <v>2</v>
      </c>
      <c r="BC374" s="3234">
        <f t="shared" si="302"/>
        <v>129523</v>
      </c>
      <c r="BD374" s="3233">
        <v>2</v>
      </c>
      <c r="BE374" s="3234">
        <f t="shared" si="302"/>
        <v>129523</v>
      </c>
      <c r="BF374" s="3233">
        <v>2</v>
      </c>
      <c r="BG374" s="3235">
        <f t="shared" si="299"/>
        <v>129523</v>
      </c>
      <c r="BH374" s="3233">
        <v>2</v>
      </c>
      <c r="BI374" s="3234">
        <f t="shared" si="300"/>
        <v>129523</v>
      </c>
      <c r="BJ374" s="3233">
        <v>2</v>
      </c>
      <c r="BK374" s="3234">
        <v>129523</v>
      </c>
      <c r="BL374" s="3233">
        <v>2</v>
      </c>
      <c r="BM374" s="3234">
        <v>129523</v>
      </c>
      <c r="BN374" s="3233">
        <v>2</v>
      </c>
      <c r="BO374" s="3234">
        <v>129523</v>
      </c>
      <c r="BP374" s="3233">
        <v>2</v>
      </c>
      <c r="BQ374" s="3234">
        <v>129523</v>
      </c>
      <c r="BR374" s="3233">
        <v>2</v>
      </c>
      <c r="BS374" s="3234">
        <v>129523</v>
      </c>
      <c r="BT374" s="3233">
        <v>2</v>
      </c>
      <c r="BU374" s="3234">
        <v>129523</v>
      </c>
    </row>
    <row r="375" spans="1:73">
      <c r="A375" s="3226"/>
      <c r="B375" s="3227"/>
      <c r="C375" s="3228" t="s">
        <v>4410</v>
      </c>
      <c r="D375" s="3229"/>
      <c r="E375" s="3229"/>
      <c r="F375" s="3230">
        <v>2</v>
      </c>
      <c r="G375" s="3231">
        <v>5031.75</v>
      </c>
      <c r="H375" s="3232">
        <v>1</v>
      </c>
      <c r="I375" s="3232">
        <f t="shared" si="277"/>
        <v>60381</v>
      </c>
      <c r="J375" s="3233">
        <v>2</v>
      </c>
      <c r="K375" s="3234">
        <f t="shared" si="278"/>
        <v>120762</v>
      </c>
      <c r="L375" s="3232">
        <v>2</v>
      </c>
      <c r="M375" s="3232">
        <f t="shared" si="279"/>
        <v>120762</v>
      </c>
      <c r="N375" s="3233">
        <v>2</v>
      </c>
      <c r="O375" s="3234">
        <f t="shared" si="280"/>
        <v>120762</v>
      </c>
      <c r="P375" s="3232">
        <v>2</v>
      </c>
      <c r="Q375" s="3232">
        <f t="shared" si="281"/>
        <v>120762</v>
      </c>
      <c r="R375" s="3236">
        <v>2</v>
      </c>
      <c r="S375" s="3234">
        <f t="shared" si="282"/>
        <v>120762</v>
      </c>
      <c r="T375" s="3232">
        <v>2</v>
      </c>
      <c r="U375" s="3232">
        <f t="shared" si="283"/>
        <v>120762</v>
      </c>
      <c r="V375" s="3233">
        <v>2</v>
      </c>
      <c r="W375" s="3234">
        <f t="shared" si="284"/>
        <v>120762</v>
      </c>
      <c r="X375" s="3233">
        <v>2</v>
      </c>
      <c r="Y375" s="3232">
        <f t="shared" si="285"/>
        <v>120762</v>
      </c>
      <c r="Z375" s="3233">
        <v>2</v>
      </c>
      <c r="AA375" s="3234">
        <f t="shared" si="286"/>
        <v>120762</v>
      </c>
      <c r="AB375" s="3233">
        <v>2</v>
      </c>
      <c r="AC375" s="3232">
        <f t="shared" si="287"/>
        <v>120762</v>
      </c>
      <c r="AD375" s="3233">
        <v>3</v>
      </c>
      <c r="AE375" s="3234">
        <f t="shared" si="288"/>
        <v>181143</v>
      </c>
      <c r="AF375" s="3232">
        <v>3</v>
      </c>
      <c r="AG375" s="3232">
        <f t="shared" si="289"/>
        <v>181143</v>
      </c>
      <c r="AH375" s="3233">
        <v>3</v>
      </c>
      <c r="AI375" s="3234">
        <f t="shared" si="290"/>
        <v>181143</v>
      </c>
      <c r="AJ375" s="3232">
        <v>3</v>
      </c>
      <c r="AK375" s="3232">
        <f t="shared" si="291"/>
        <v>181143</v>
      </c>
      <c r="AL375" s="3233">
        <v>3</v>
      </c>
      <c r="AM375" s="3234">
        <f t="shared" si="292"/>
        <v>181143</v>
      </c>
      <c r="AN375" s="3233">
        <v>3</v>
      </c>
      <c r="AO375" s="3234">
        <f t="shared" si="293"/>
        <v>181143</v>
      </c>
      <c r="AP375" s="3233">
        <v>3</v>
      </c>
      <c r="AQ375" s="3234">
        <f t="shared" si="294"/>
        <v>181143</v>
      </c>
      <c r="AR375" s="3233">
        <v>3</v>
      </c>
      <c r="AS375" s="3234">
        <f t="shared" si="295"/>
        <v>181143</v>
      </c>
      <c r="AT375" s="3233">
        <v>3</v>
      </c>
      <c r="AU375" s="3234">
        <f t="shared" si="296"/>
        <v>181143</v>
      </c>
      <c r="AV375" s="3233">
        <v>3</v>
      </c>
      <c r="AW375" s="3234">
        <f t="shared" si="297"/>
        <v>181143</v>
      </c>
      <c r="AX375" s="3233">
        <v>3</v>
      </c>
      <c r="AY375" s="3232">
        <f t="shared" si="298"/>
        <v>181143</v>
      </c>
      <c r="AZ375" s="3233">
        <v>4</v>
      </c>
      <c r="BA375" s="3234">
        <f t="shared" si="301"/>
        <v>241524</v>
      </c>
      <c r="BB375" s="3233">
        <v>4</v>
      </c>
      <c r="BC375" s="3234">
        <f t="shared" si="302"/>
        <v>241524</v>
      </c>
      <c r="BD375" s="3233">
        <v>4</v>
      </c>
      <c r="BE375" s="3234">
        <f t="shared" si="302"/>
        <v>241524</v>
      </c>
      <c r="BF375" s="3233">
        <v>4</v>
      </c>
      <c r="BG375" s="3235">
        <f t="shared" si="299"/>
        <v>241524</v>
      </c>
      <c r="BH375" s="3233">
        <v>4</v>
      </c>
      <c r="BI375" s="3234">
        <f t="shared" si="300"/>
        <v>241524</v>
      </c>
      <c r="BJ375" s="3233">
        <v>4</v>
      </c>
      <c r="BK375" s="3234">
        <v>241524</v>
      </c>
      <c r="BL375" s="3233">
        <v>4</v>
      </c>
      <c r="BM375" s="3234">
        <v>241524</v>
      </c>
      <c r="BN375" s="3233">
        <v>4</v>
      </c>
      <c r="BO375" s="3234">
        <v>241524</v>
      </c>
      <c r="BP375" s="3233">
        <v>4</v>
      </c>
      <c r="BQ375" s="3234">
        <v>241524</v>
      </c>
      <c r="BR375" s="3233">
        <v>4</v>
      </c>
      <c r="BS375" s="3234">
        <v>241524</v>
      </c>
      <c r="BT375" s="3233">
        <v>4</v>
      </c>
      <c r="BU375" s="3234">
        <v>241524</v>
      </c>
    </row>
    <row r="376" spans="1:73">
      <c r="A376" s="3226" t="s">
        <v>4412</v>
      </c>
      <c r="B376" s="3227"/>
      <c r="C376" s="3237"/>
      <c r="D376" s="3238"/>
      <c r="E376" s="3238"/>
      <c r="F376" s="3230">
        <v>2</v>
      </c>
      <c r="G376" s="3231">
        <v>5031.75</v>
      </c>
      <c r="H376" s="3232">
        <v>2</v>
      </c>
      <c r="I376" s="3232">
        <f t="shared" si="277"/>
        <v>120762</v>
      </c>
      <c r="J376" s="3233">
        <v>2</v>
      </c>
      <c r="K376" s="3234">
        <f t="shared" si="278"/>
        <v>120762</v>
      </c>
      <c r="L376" s="3232">
        <v>2</v>
      </c>
      <c r="M376" s="3232">
        <f t="shared" si="279"/>
        <v>120762</v>
      </c>
      <c r="N376" s="3233">
        <v>2</v>
      </c>
      <c r="O376" s="3234">
        <f t="shared" si="280"/>
        <v>120762</v>
      </c>
      <c r="P376" s="3232">
        <v>2</v>
      </c>
      <c r="Q376" s="3232">
        <f t="shared" si="281"/>
        <v>120762</v>
      </c>
      <c r="R376" s="3233">
        <v>2</v>
      </c>
      <c r="S376" s="3234">
        <f t="shared" si="282"/>
        <v>120762</v>
      </c>
      <c r="T376" s="3232">
        <v>2</v>
      </c>
      <c r="U376" s="3232">
        <f t="shared" si="283"/>
        <v>120762</v>
      </c>
      <c r="V376" s="3233">
        <v>2</v>
      </c>
      <c r="W376" s="3234">
        <f t="shared" si="284"/>
        <v>120762</v>
      </c>
      <c r="X376" s="3233">
        <v>2</v>
      </c>
      <c r="Y376" s="3232">
        <f t="shared" si="285"/>
        <v>120762</v>
      </c>
      <c r="Z376" s="3233">
        <v>2</v>
      </c>
      <c r="AA376" s="3234">
        <f t="shared" si="286"/>
        <v>120762</v>
      </c>
      <c r="AB376" s="3233">
        <v>2</v>
      </c>
      <c r="AC376" s="3232">
        <f t="shared" si="287"/>
        <v>120762</v>
      </c>
      <c r="AD376" s="3233">
        <v>2</v>
      </c>
      <c r="AE376" s="3234">
        <f t="shared" si="288"/>
        <v>120762</v>
      </c>
      <c r="AF376" s="3232">
        <v>2</v>
      </c>
      <c r="AG376" s="3232">
        <f t="shared" si="289"/>
        <v>120762</v>
      </c>
      <c r="AH376" s="3233">
        <v>2</v>
      </c>
      <c r="AI376" s="3234">
        <f t="shared" si="290"/>
        <v>120762</v>
      </c>
      <c r="AJ376" s="3232">
        <v>2</v>
      </c>
      <c r="AK376" s="3232">
        <f t="shared" si="291"/>
        <v>120762</v>
      </c>
      <c r="AL376" s="3233">
        <v>2</v>
      </c>
      <c r="AM376" s="3234">
        <f t="shared" si="292"/>
        <v>120762</v>
      </c>
      <c r="AN376" s="3233">
        <v>2</v>
      </c>
      <c r="AO376" s="3234">
        <f t="shared" si="293"/>
        <v>120762</v>
      </c>
      <c r="AP376" s="3233">
        <v>2</v>
      </c>
      <c r="AQ376" s="3234">
        <f t="shared" si="294"/>
        <v>120762</v>
      </c>
      <c r="AR376" s="3233">
        <v>2</v>
      </c>
      <c r="AS376" s="3234">
        <f t="shared" si="295"/>
        <v>120762</v>
      </c>
      <c r="AT376" s="3233">
        <v>2</v>
      </c>
      <c r="AU376" s="3234">
        <f t="shared" si="296"/>
        <v>120762</v>
      </c>
      <c r="AV376" s="3233">
        <v>2</v>
      </c>
      <c r="AW376" s="3234">
        <f t="shared" si="297"/>
        <v>120762</v>
      </c>
      <c r="AX376" s="3233">
        <v>2</v>
      </c>
      <c r="AY376" s="3232">
        <f t="shared" si="298"/>
        <v>120762</v>
      </c>
      <c r="AZ376" s="3233">
        <v>2</v>
      </c>
      <c r="BA376" s="3234">
        <f t="shared" si="301"/>
        <v>120762</v>
      </c>
      <c r="BB376" s="3233">
        <v>2</v>
      </c>
      <c r="BC376" s="3234">
        <f t="shared" si="302"/>
        <v>120762</v>
      </c>
      <c r="BD376" s="3233">
        <v>2</v>
      </c>
      <c r="BE376" s="3234">
        <f t="shared" si="302"/>
        <v>120762</v>
      </c>
      <c r="BF376" s="3233">
        <v>2</v>
      </c>
      <c r="BG376" s="3235">
        <f t="shared" si="299"/>
        <v>120762</v>
      </c>
      <c r="BH376" s="3233">
        <v>2</v>
      </c>
      <c r="BI376" s="3234">
        <f t="shared" si="300"/>
        <v>120762</v>
      </c>
      <c r="BJ376" s="3233">
        <v>2</v>
      </c>
      <c r="BK376" s="3234">
        <v>120762</v>
      </c>
      <c r="BL376" s="3233">
        <v>2</v>
      </c>
      <c r="BM376" s="3234">
        <v>120762</v>
      </c>
      <c r="BN376" s="3233">
        <v>2</v>
      </c>
      <c r="BO376" s="3234">
        <v>120762</v>
      </c>
      <c r="BP376" s="3233">
        <v>2</v>
      </c>
      <c r="BQ376" s="3234">
        <v>120762</v>
      </c>
      <c r="BR376" s="3233">
        <v>2</v>
      </c>
      <c r="BS376" s="3234">
        <v>120762</v>
      </c>
      <c r="BT376" s="3233">
        <v>2</v>
      </c>
      <c r="BU376" s="3234">
        <v>120762</v>
      </c>
    </row>
    <row r="377" spans="1:73">
      <c r="A377" s="3226" t="s">
        <v>4413</v>
      </c>
      <c r="B377" s="3227"/>
      <c r="C377" s="3237"/>
      <c r="D377" s="3238"/>
      <c r="E377" s="3238"/>
      <c r="F377" s="3230">
        <v>1</v>
      </c>
      <c r="G377" s="3231">
        <v>4521.5166666666673</v>
      </c>
      <c r="H377" s="3232">
        <v>1</v>
      </c>
      <c r="I377" s="3232">
        <f t="shared" si="277"/>
        <v>54258.200000000012</v>
      </c>
      <c r="J377" s="3233">
        <v>1</v>
      </c>
      <c r="K377" s="3234">
        <f t="shared" si="278"/>
        <v>54258.200000000012</v>
      </c>
      <c r="L377" s="3232">
        <v>1</v>
      </c>
      <c r="M377" s="3232">
        <f t="shared" si="279"/>
        <v>54258.200000000012</v>
      </c>
      <c r="N377" s="3233">
        <v>1</v>
      </c>
      <c r="O377" s="3234">
        <f t="shared" si="280"/>
        <v>54258.200000000012</v>
      </c>
      <c r="P377" s="3232">
        <v>1</v>
      </c>
      <c r="Q377" s="3232">
        <f t="shared" si="281"/>
        <v>54258.200000000012</v>
      </c>
      <c r="R377" s="3233">
        <v>1</v>
      </c>
      <c r="S377" s="3234">
        <f t="shared" si="282"/>
        <v>54258.200000000012</v>
      </c>
      <c r="T377" s="3232">
        <v>1</v>
      </c>
      <c r="U377" s="3232">
        <f t="shared" si="283"/>
        <v>54258.200000000012</v>
      </c>
      <c r="V377" s="3233">
        <v>1</v>
      </c>
      <c r="W377" s="3234">
        <f t="shared" si="284"/>
        <v>54258.200000000012</v>
      </c>
      <c r="X377" s="3233">
        <v>1</v>
      </c>
      <c r="Y377" s="3232">
        <f t="shared" si="285"/>
        <v>54258.200000000012</v>
      </c>
      <c r="Z377" s="3233">
        <v>1</v>
      </c>
      <c r="AA377" s="3234">
        <f t="shared" si="286"/>
        <v>54258.200000000012</v>
      </c>
      <c r="AB377" s="3233">
        <v>1</v>
      </c>
      <c r="AC377" s="3232">
        <f t="shared" si="287"/>
        <v>54258.200000000012</v>
      </c>
      <c r="AD377" s="3233">
        <v>1</v>
      </c>
      <c r="AE377" s="3234">
        <f t="shared" si="288"/>
        <v>54258.200000000012</v>
      </c>
      <c r="AF377" s="3232">
        <v>1</v>
      </c>
      <c r="AG377" s="3232">
        <f t="shared" si="289"/>
        <v>54258.200000000012</v>
      </c>
      <c r="AH377" s="3233">
        <v>1</v>
      </c>
      <c r="AI377" s="3234">
        <f t="shared" si="290"/>
        <v>54258.200000000012</v>
      </c>
      <c r="AJ377" s="3232">
        <v>1</v>
      </c>
      <c r="AK377" s="3232">
        <f t="shared" si="291"/>
        <v>54258.200000000012</v>
      </c>
      <c r="AL377" s="3233">
        <v>1</v>
      </c>
      <c r="AM377" s="3234">
        <f t="shared" si="292"/>
        <v>54258.200000000012</v>
      </c>
      <c r="AN377" s="3233">
        <v>1</v>
      </c>
      <c r="AO377" s="3234">
        <f t="shared" si="293"/>
        <v>54258.200000000012</v>
      </c>
      <c r="AP377" s="3233">
        <v>1</v>
      </c>
      <c r="AQ377" s="3234">
        <f t="shared" si="294"/>
        <v>54258.200000000012</v>
      </c>
      <c r="AR377" s="3233">
        <v>1</v>
      </c>
      <c r="AS377" s="3234">
        <f t="shared" si="295"/>
        <v>54258.200000000012</v>
      </c>
      <c r="AT377" s="3233">
        <v>1</v>
      </c>
      <c r="AU377" s="3234">
        <f t="shared" si="296"/>
        <v>54258.200000000012</v>
      </c>
      <c r="AV377" s="3233">
        <v>1</v>
      </c>
      <c r="AW377" s="3234">
        <f t="shared" si="297"/>
        <v>54258.200000000012</v>
      </c>
      <c r="AX377" s="3233">
        <v>1</v>
      </c>
      <c r="AY377" s="3232">
        <f t="shared" si="298"/>
        <v>54258.200000000012</v>
      </c>
      <c r="AZ377" s="3233">
        <v>1</v>
      </c>
      <c r="BA377" s="3234">
        <f t="shared" si="301"/>
        <v>54258.200000000012</v>
      </c>
      <c r="BB377" s="3233">
        <v>1</v>
      </c>
      <c r="BC377" s="3234">
        <f t="shared" si="302"/>
        <v>54258.200000000012</v>
      </c>
      <c r="BD377" s="3233">
        <v>1</v>
      </c>
      <c r="BE377" s="3234">
        <f t="shared" si="302"/>
        <v>54258.200000000012</v>
      </c>
      <c r="BF377" s="3233">
        <v>1</v>
      </c>
      <c r="BG377" s="3235">
        <f t="shared" si="299"/>
        <v>54258.200000000012</v>
      </c>
      <c r="BH377" s="3233">
        <v>1</v>
      </c>
      <c r="BI377" s="3234">
        <f t="shared" si="300"/>
        <v>54258.200000000012</v>
      </c>
      <c r="BJ377" s="3233">
        <v>1</v>
      </c>
      <c r="BK377" s="3234">
        <v>54258.200000000012</v>
      </c>
      <c r="BL377" s="3233">
        <v>1</v>
      </c>
      <c r="BM377" s="3234">
        <v>54258.200000000012</v>
      </c>
      <c r="BN377" s="3233">
        <v>1</v>
      </c>
      <c r="BO377" s="3234">
        <v>54258.200000000012</v>
      </c>
      <c r="BP377" s="3233">
        <v>1</v>
      </c>
      <c r="BQ377" s="3234">
        <v>54258.200000000012</v>
      </c>
      <c r="BR377" s="3233">
        <v>1</v>
      </c>
      <c r="BS377" s="3234">
        <v>54258.200000000012</v>
      </c>
      <c r="BT377" s="3233">
        <v>1</v>
      </c>
      <c r="BU377" s="3234">
        <v>54258.200000000012</v>
      </c>
    </row>
    <row r="378" spans="1:73">
      <c r="A378" s="3226" t="s">
        <v>4414</v>
      </c>
      <c r="B378" s="3227"/>
      <c r="C378" s="3237"/>
      <c r="D378" s="3238"/>
      <c r="E378" s="3238"/>
      <c r="F378" s="3230">
        <v>1</v>
      </c>
      <c r="G378" s="3231">
        <v>4668.1166666666668</v>
      </c>
      <c r="H378" s="3232">
        <v>1</v>
      </c>
      <c r="I378" s="3232">
        <f t="shared" si="277"/>
        <v>56017.4</v>
      </c>
      <c r="J378" s="3233">
        <v>1</v>
      </c>
      <c r="K378" s="3234">
        <f t="shared" si="278"/>
        <v>56017.4</v>
      </c>
      <c r="L378" s="3232">
        <v>1</v>
      </c>
      <c r="M378" s="3232">
        <f t="shared" si="279"/>
        <v>56017.4</v>
      </c>
      <c r="N378" s="3233">
        <v>1</v>
      </c>
      <c r="O378" s="3234">
        <f t="shared" si="280"/>
        <v>56017.4</v>
      </c>
      <c r="P378" s="3232">
        <v>1</v>
      </c>
      <c r="Q378" s="3232">
        <f t="shared" si="281"/>
        <v>56017.4</v>
      </c>
      <c r="R378" s="3233">
        <v>1</v>
      </c>
      <c r="S378" s="3234">
        <f t="shared" si="282"/>
        <v>56017.4</v>
      </c>
      <c r="T378" s="3232">
        <v>1</v>
      </c>
      <c r="U378" s="3232">
        <f t="shared" si="283"/>
        <v>56017.4</v>
      </c>
      <c r="V378" s="3233">
        <v>1</v>
      </c>
      <c r="W378" s="3234">
        <f t="shared" si="284"/>
        <v>56017.4</v>
      </c>
      <c r="X378" s="3233">
        <v>1</v>
      </c>
      <c r="Y378" s="3232">
        <f t="shared" si="285"/>
        <v>56017.4</v>
      </c>
      <c r="Z378" s="3233">
        <v>1</v>
      </c>
      <c r="AA378" s="3234">
        <f t="shared" si="286"/>
        <v>56017.4</v>
      </c>
      <c r="AB378" s="3233">
        <v>1</v>
      </c>
      <c r="AC378" s="3232">
        <f t="shared" si="287"/>
        <v>56017.4</v>
      </c>
      <c r="AD378" s="3233">
        <v>1</v>
      </c>
      <c r="AE378" s="3234">
        <f t="shared" si="288"/>
        <v>56017.4</v>
      </c>
      <c r="AF378" s="3232">
        <v>1</v>
      </c>
      <c r="AG378" s="3232">
        <f t="shared" si="289"/>
        <v>56017.4</v>
      </c>
      <c r="AH378" s="3233">
        <v>1</v>
      </c>
      <c r="AI378" s="3234">
        <f t="shared" si="290"/>
        <v>56017.4</v>
      </c>
      <c r="AJ378" s="3232">
        <v>1</v>
      </c>
      <c r="AK378" s="3232">
        <f t="shared" si="291"/>
        <v>56017.4</v>
      </c>
      <c r="AL378" s="3233">
        <v>1</v>
      </c>
      <c r="AM378" s="3234">
        <f t="shared" si="292"/>
        <v>56017.4</v>
      </c>
      <c r="AN378" s="3233">
        <v>1</v>
      </c>
      <c r="AO378" s="3234">
        <f t="shared" si="293"/>
        <v>56017.4</v>
      </c>
      <c r="AP378" s="3233">
        <v>1</v>
      </c>
      <c r="AQ378" s="3234">
        <f t="shared" si="294"/>
        <v>56017.4</v>
      </c>
      <c r="AR378" s="3233">
        <v>1</v>
      </c>
      <c r="AS378" s="3234">
        <f t="shared" si="295"/>
        <v>56017.4</v>
      </c>
      <c r="AT378" s="3233">
        <v>1</v>
      </c>
      <c r="AU378" s="3234">
        <f t="shared" si="296"/>
        <v>56017.4</v>
      </c>
      <c r="AV378" s="3233">
        <v>1</v>
      </c>
      <c r="AW378" s="3234">
        <f t="shared" si="297"/>
        <v>56017.4</v>
      </c>
      <c r="AX378" s="3233">
        <v>1</v>
      </c>
      <c r="AY378" s="3232">
        <f t="shared" si="298"/>
        <v>56017.4</v>
      </c>
      <c r="AZ378" s="3233">
        <v>1</v>
      </c>
      <c r="BA378" s="3234">
        <f t="shared" si="301"/>
        <v>56017.4</v>
      </c>
      <c r="BB378" s="3233">
        <v>1</v>
      </c>
      <c r="BC378" s="3234">
        <f t="shared" si="302"/>
        <v>56017.4</v>
      </c>
      <c r="BD378" s="3233">
        <v>1</v>
      </c>
      <c r="BE378" s="3234">
        <f t="shared" si="302"/>
        <v>56017.4</v>
      </c>
      <c r="BF378" s="3233">
        <v>1</v>
      </c>
      <c r="BG378" s="3235">
        <f t="shared" si="299"/>
        <v>56017.4</v>
      </c>
      <c r="BH378" s="3233">
        <v>1</v>
      </c>
      <c r="BI378" s="3234">
        <f t="shared" si="300"/>
        <v>56017.4</v>
      </c>
      <c r="BJ378" s="3233">
        <v>1</v>
      </c>
      <c r="BK378" s="3234">
        <v>56017.4</v>
      </c>
      <c r="BL378" s="3233">
        <v>1</v>
      </c>
      <c r="BM378" s="3234">
        <v>56017.4</v>
      </c>
      <c r="BN378" s="3233">
        <v>1</v>
      </c>
      <c r="BO378" s="3234">
        <v>56017.4</v>
      </c>
      <c r="BP378" s="3233">
        <v>1</v>
      </c>
      <c r="BQ378" s="3234">
        <v>56017.4</v>
      </c>
      <c r="BR378" s="3233">
        <v>1</v>
      </c>
      <c r="BS378" s="3234">
        <v>56017.4</v>
      </c>
      <c r="BT378" s="3233">
        <v>1</v>
      </c>
      <c r="BU378" s="3234">
        <v>56017.4</v>
      </c>
    </row>
    <row r="379" spans="1:73">
      <c r="A379" s="3226" t="s">
        <v>4415</v>
      </c>
      <c r="B379" s="3227"/>
      <c r="C379" s="3237"/>
      <c r="D379" s="3238"/>
      <c r="E379" s="3238"/>
      <c r="F379" s="3230">
        <v>1</v>
      </c>
      <c r="G379" s="3231">
        <v>4376.3583333333336</v>
      </c>
      <c r="H379" s="3232">
        <v>1</v>
      </c>
      <c r="I379" s="3232">
        <f t="shared" si="277"/>
        <v>52516.3</v>
      </c>
      <c r="J379" s="3233">
        <v>1</v>
      </c>
      <c r="K379" s="3234">
        <f t="shared" si="278"/>
        <v>52516.3</v>
      </c>
      <c r="L379" s="3232">
        <v>1</v>
      </c>
      <c r="M379" s="3232">
        <f t="shared" si="279"/>
        <v>52516.3</v>
      </c>
      <c r="N379" s="3233">
        <v>1</v>
      </c>
      <c r="O379" s="3234">
        <f t="shared" si="280"/>
        <v>52516.3</v>
      </c>
      <c r="P379" s="3232">
        <v>1</v>
      </c>
      <c r="Q379" s="3232">
        <f t="shared" si="281"/>
        <v>52516.3</v>
      </c>
      <c r="R379" s="3233">
        <v>1</v>
      </c>
      <c r="S379" s="3234">
        <f t="shared" si="282"/>
        <v>52516.3</v>
      </c>
      <c r="T379" s="3232">
        <v>1</v>
      </c>
      <c r="U379" s="3232">
        <f t="shared" si="283"/>
        <v>52516.3</v>
      </c>
      <c r="V379" s="3233">
        <v>1</v>
      </c>
      <c r="W379" s="3234">
        <f t="shared" si="284"/>
        <v>52516.3</v>
      </c>
      <c r="X379" s="3233">
        <v>1</v>
      </c>
      <c r="Y379" s="3232">
        <f t="shared" si="285"/>
        <v>52516.3</v>
      </c>
      <c r="Z379" s="3233">
        <v>1</v>
      </c>
      <c r="AA379" s="3234">
        <f t="shared" si="286"/>
        <v>52516.3</v>
      </c>
      <c r="AB379" s="3233">
        <v>1</v>
      </c>
      <c r="AC379" s="3232">
        <f t="shared" si="287"/>
        <v>52516.3</v>
      </c>
      <c r="AD379" s="3233">
        <v>1</v>
      </c>
      <c r="AE379" s="3234">
        <f t="shared" si="288"/>
        <v>52516.3</v>
      </c>
      <c r="AF379" s="3232">
        <v>1</v>
      </c>
      <c r="AG379" s="3232">
        <f t="shared" si="289"/>
        <v>52516.3</v>
      </c>
      <c r="AH379" s="3233">
        <v>1</v>
      </c>
      <c r="AI379" s="3234">
        <f t="shared" si="290"/>
        <v>52516.3</v>
      </c>
      <c r="AJ379" s="3232">
        <v>1</v>
      </c>
      <c r="AK379" s="3232">
        <f t="shared" si="291"/>
        <v>52516.3</v>
      </c>
      <c r="AL379" s="3233">
        <v>1</v>
      </c>
      <c r="AM379" s="3234">
        <f t="shared" si="292"/>
        <v>52516.3</v>
      </c>
      <c r="AN379" s="3233">
        <v>1</v>
      </c>
      <c r="AO379" s="3234">
        <f t="shared" si="293"/>
        <v>52516.3</v>
      </c>
      <c r="AP379" s="3233">
        <v>1</v>
      </c>
      <c r="AQ379" s="3234">
        <f t="shared" si="294"/>
        <v>52516.3</v>
      </c>
      <c r="AR379" s="3233">
        <v>1</v>
      </c>
      <c r="AS379" s="3234">
        <f t="shared" si="295"/>
        <v>52516.3</v>
      </c>
      <c r="AT379" s="3233">
        <v>1</v>
      </c>
      <c r="AU379" s="3234">
        <f t="shared" si="296"/>
        <v>52516.3</v>
      </c>
      <c r="AV379" s="3233">
        <v>1</v>
      </c>
      <c r="AW379" s="3234">
        <f t="shared" si="297"/>
        <v>52516.3</v>
      </c>
      <c r="AX379" s="3233">
        <v>1</v>
      </c>
      <c r="AY379" s="3232">
        <f t="shared" si="298"/>
        <v>52516.3</v>
      </c>
      <c r="AZ379" s="3233">
        <v>1</v>
      </c>
      <c r="BA379" s="3234">
        <f t="shared" si="301"/>
        <v>52516.3</v>
      </c>
      <c r="BB379" s="3233">
        <v>1</v>
      </c>
      <c r="BC379" s="3234">
        <f t="shared" si="302"/>
        <v>52516.3</v>
      </c>
      <c r="BD379" s="3233">
        <v>1</v>
      </c>
      <c r="BE379" s="3234">
        <f t="shared" si="302"/>
        <v>52516.3</v>
      </c>
      <c r="BF379" s="3233">
        <v>1</v>
      </c>
      <c r="BG379" s="3235">
        <f t="shared" si="299"/>
        <v>52516.3</v>
      </c>
      <c r="BH379" s="3233">
        <v>1</v>
      </c>
      <c r="BI379" s="3234">
        <f t="shared" si="300"/>
        <v>52516.3</v>
      </c>
      <c r="BJ379" s="3233">
        <v>1</v>
      </c>
      <c r="BK379" s="3234">
        <v>52516.3</v>
      </c>
      <c r="BL379" s="3233">
        <v>1</v>
      </c>
      <c r="BM379" s="3234">
        <v>52516.3</v>
      </c>
      <c r="BN379" s="3233">
        <v>1</v>
      </c>
      <c r="BO379" s="3234">
        <v>52516.3</v>
      </c>
      <c r="BP379" s="3233">
        <v>1</v>
      </c>
      <c r="BQ379" s="3234">
        <v>52516.3</v>
      </c>
      <c r="BR379" s="3233">
        <v>1</v>
      </c>
      <c r="BS379" s="3234">
        <v>52516.3</v>
      </c>
      <c r="BT379" s="3233">
        <v>1</v>
      </c>
      <c r="BU379" s="3234">
        <v>52516.3</v>
      </c>
    </row>
    <row r="380" spans="1:73">
      <c r="A380" s="3226" t="s">
        <v>4416</v>
      </c>
      <c r="B380" s="3227"/>
      <c r="C380" s="3237"/>
      <c r="D380" s="3238"/>
      <c r="E380" s="3238"/>
      <c r="F380" s="3230">
        <v>2</v>
      </c>
      <c r="G380" s="3231">
        <v>4084.6</v>
      </c>
      <c r="H380" s="3232">
        <v>2</v>
      </c>
      <c r="I380" s="3232">
        <f t="shared" si="277"/>
        <v>98030.399999999994</v>
      </c>
      <c r="J380" s="3233">
        <v>2</v>
      </c>
      <c r="K380" s="3234">
        <f t="shared" si="278"/>
        <v>98030.399999999994</v>
      </c>
      <c r="L380" s="3232">
        <v>2</v>
      </c>
      <c r="M380" s="3232">
        <f t="shared" si="279"/>
        <v>98030.399999999994</v>
      </c>
      <c r="N380" s="3233">
        <v>2</v>
      </c>
      <c r="O380" s="3234">
        <f t="shared" si="280"/>
        <v>98030.399999999994</v>
      </c>
      <c r="P380" s="3232">
        <v>2</v>
      </c>
      <c r="Q380" s="3232">
        <f t="shared" si="281"/>
        <v>98030.399999999994</v>
      </c>
      <c r="R380" s="3233">
        <v>2</v>
      </c>
      <c r="S380" s="3234">
        <f t="shared" si="282"/>
        <v>98030.399999999994</v>
      </c>
      <c r="T380" s="3232">
        <v>2</v>
      </c>
      <c r="U380" s="3232">
        <f t="shared" si="283"/>
        <v>98030.399999999994</v>
      </c>
      <c r="V380" s="3233">
        <v>2</v>
      </c>
      <c r="W380" s="3234">
        <f t="shared" si="284"/>
        <v>98030.399999999994</v>
      </c>
      <c r="X380" s="3233">
        <v>2</v>
      </c>
      <c r="Y380" s="3232">
        <f t="shared" si="285"/>
        <v>98030.399999999994</v>
      </c>
      <c r="Z380" s="3233">
        <v>2</v>
      </c>
      <c r="AA380" s="3234">
        <f t="shared" si="286"/>
        <v>98030.399999999994</v>
      </c>
      <c r="AB380" s="3233">
        <v>2</v>
      </c>
      <c r="AC380" s="3232">
        <f t="shared" si="287"/>
        <v>98030.399999999994</v>
      </c>
      <c r="AD380" s="3233">
        <v>2</v>
      </c>
      <c r="AE380" s="3234">
        <f t="shared" si="288"/>
        <v>98030.399999999994</v>
      </c>
      <c r="AF380" s="3232">
        <v>2</v>
      </c>
      <c r="AG380" s="3232">
        <f t="shared" si="289"/>
        <v>98030.399999999994</v>
      </c>
      <c r="AH380" s="3233">
        <v>2</v>
      </c>
      <c r="AI380" s="3234">
        <f t="shared" si="290"/>
        <v>98030.399999999994</v>
      </c>
      <c r="AJ380" s="3232">
        <v>2</v>
      </c>
      <c r="AK380" s="3232">
        <f t="shared" si="291"/>
        <v>98030.399999999994</v>
      </c>
      <c r="AL380" s="3233">
        <v>2</v>
      </c>
      <c r="AM380" s="3234">
        <f t="shared" si="292"/>
        <v>98030.399999999994</v>
      </c>
      <c r="AN380" s="3233">
        <v>2</v>
      </c>
      <c r="AO380" s="3234">
        <f t="shared" si="293"/>
        <v>98030.399999999994</v>
      </c>
      <c r="AP380" s="3233">
        <v>2</v>
      </c>
      <c r="AQ380" s="3234">
        <f t="shared" si="294"/>
        <v>98030.399999999994</v>
      </c>
      <c r="AR380" s="3233">
        <v>2</v>
      </c>
      <c r="AS380" s="3234">
        <f t="shared" si="295"/>
        <v>98030.399999999994</v>
      </c>
      <c r="AT380" s="3233">
        <v>2</v>
      </c>
      <c r="AU380" s="3234">
        <f t="shared" si="296"/>
        <v>98030.399999999994</v>
      </c>
      <c r="AV380" s="3233">
        <v>2</v>
      </c>
      <c r="AW380" s="3234">
        <f t="shared" si="297"/>
        <v>98030.399999999994</v>
      </c>
      <c r="AX380" s="3233">
        <v>2</v>
      </c>
      <c r="AY380" s="3232">
        <f t="shared" si="298"/>
        <v>98030.399999999994</v>
      </c>
      <c r="AZ380" s="3233">
        <v>2</v>
      </c>
      <c r="BA380" s="3234">
        <f t="shared" si="301"/>
        <v>98030.399999999994</v>
      </c>
      <c r="BB380" s="3233">
        <v>2</v>
      </c>
      <c r="BC380" s="3234">
        <f t="shared" si="302"/>
        <v>98030.399999999994</v>
      </c>
      <c r="BD380" s="3233">
        <v>2</v>
      </c>
      <c r="BE380" s="3234">
        <f t="shared" si="302"/>
        <v>98030.399999999994</v>
      </c>
      <c r="BF380" s="3233">
        <v>2</v>
      </c>
      <c r="BG380" s="3235">
        <f t="shared" si="299"/>
        <v>98030.399999999994</v>
      </c>
      <c r="BH380" s="3233">
        <v>2</v>
      </c>
      <c r="BI380" s="3234">
        <f t="shared" si="300"/>
        <v>98030.399999999994</v>
      </c>
      <c r="BJ380" s="3233">
        <v>2</v>
      </c>
      <c r="BK380" s="3234">
        <v>98030.399999999994</v>
      </c>
      <c r="BL380" s="3233">
        <v>2</v>
      </c>
      <c r="BM380" s="3234">
        <v>98030.399999999994</v>
      </c>
      <c r="BN380" s="3233">
        <v>2</v>
      </c>
      <c r="BO380" s="3234">
        <v>98030.399999999994</v>
      </c>
      <c r="BP380" s="3233">
        <v>2</v>
      </c>
      <c r="BQ380" s="3234">
        <v>98030.399999999994</v>
      </c>
      <c r="BR380" s="3233">
        <v>2</v>
      </c>
      <c r="BS380" s="3234">
        <v>98030.399999999994</v>
      </c>
      <c r="BT380" s="3233">
        <v>2</v>
      </c>
      <c r="BU380" s="3234">
        <v>98030.399999999994</v>
      </c>
    </row>
    <row r="381" spans="1:73">
      <c r="A381" s="3226" t="s">
        <v>4417</v>
      </c>
      <c r="B381" s="3227"/>
      <c r="C381" s="3237"/>
      <c r="D381" s="3238"/>
      <c r="E381" s="3238"/>
      <c r="F381" s="3230"/>
      <c r="G381" s="3231">
        <v>4860.7</v>
      </c>
      <c r="H381" s="3232">
        <v>1</v>
      </c>
      <c r="I381" s="3232">
        <f t="shared" si="277"/>
        <v>58328.399999999994</v>
      </c>
      <c r="J381" s="3233">
        <v>1</v>
      </c>
      <c r="K381" s="3234">
        <f t="shared" si="278"/>
        <v>58328.399999999994</v>
      </c>
      <c r="L381" s="3232">
        <v>1</v>
      </c>
      <c r="M381" s="3232">
        <f t="shared" si="279"/>
        <v>58328.399999999994</v>
      </c>
      <c r="N381" s="3233">
        <v>1</v>
      </c>
      <c r="O381" s="3234">
        <f t="shared" si="280"/>
        <v>58328.399999999994</v>
      </c>
      <c r="P381" s="3232">
        <v>1</v>
      </c>
      <c r="Q381" s="3232">
        <f t="shared" si="281"/>
        <v>58328.399999999994</v>
      </c>
      <c r="R381" s="3233">
        <v>1</v>
      </c>
      <c r="S381" s="3234">
        <f t="shared" si="282"/>
        <v>58328.399999999994</v>
      </c>
      <c r="T381" s="3232">
        <v>1</v>
      </c>
      <c r="U381" s="3232">
        <f t="shared" si="283"/>
        <v>58328.399999999994</v>
      </c>
      <c r="V381" s="3233">
        <v>1</v>
      </c>
      <c r="W381" s="3234">
        <f t="shared" si="284"/>
        <v>58328.399999999994</v>
      </c>
      <c r="X381" s="3233">
        <v>1</v>
      </c>
      <c r="Y381" s="3232">
        <f t="shared" si="285"/>
        <v>58328.399999999994</v>
      </c>
      <c r="Z381" s="3233">
        <v>1</v>
      </c>
      <c r="AA381" s="3234">
        <f t="shared" si="286"/>
        <v>58328.399999999994</v>
      </c>
      <c r="AB381" s="3233">
        <v>1</v>
      </c>
      <c r="AC381" s="3232">
        <f t="shared" si="287"/>
        <v>58328.399999999994</v>
      </c>
      <c r="AD381" s="3233">
        <v>1</v>
      </c>
      <c r="AE381" s="3234">
        <f t="shared" si="288"/>
        <v>58328.399999999994</v>
      </c>
      <c r="AF381" s="3232">
        <v>1</v>
      </c>
      <c r="AG381" s="3232">
        <f t="shared" si="289"/>
        <v>58328.399999999994</v>
      </c>
      <c r="AH381" s="3233">
        <v>1</v>
      </c>
      <c r="AI381" s="3234">
        <f t="shared" si="290"/>
        <v>58328.399999999994</v>
      </c>
      <c r="AJ381" s="3232">
        <v>1</v>
      </c>
      <c r="AK381" s="3232">
        <f t="shared" si="291"/>
        <v>58328.399999999994</v>
      </c>
      <c r="AL381" s="3233">
        <v>1</v>
      </c>
      <c r="AM381" s="3234">
        <f t="shared" si="292"/>
        <v>58328.399999999994</v>
      </c>
      <c r="AN381" s="3233">
        <v>1</v>
      </c>
      <c r="AO381" s="3234">
        <f t="shared" si="293"/>
        <v>58328.399999999994</v>
      </c>
      <c r="AP381" s="3233">
        <v>1</v>
      </c>
      <c r="AQ381" s="3234">
        <f t="shared" si="294"/>
        <v>58328.399999999994</v>
      </c>
      <c r="AR381" s="3233">
        <v>1</v>
      </c>
      <c r="AS381" s="3234">
        <f t="shared" si="295"/>
        <v>58328.399999999994</v>
      </c>
      <c r="AT381" s="3233">
        <v>1</v>
      </c>
      <c r="AU381" s="3234">
        <f t="shared" si="296"/>
        <v>58328.399999999994</v>
      </c>
      <c r="AV381" s="3233">
        <v>1</v>
      </c>
      <c r="AW381" s="3234">
        <f t="shared" si="297"/>
        <v>58328.399999999994</v>
      </c>
      <c r="AX381" s="3233">
        <v>1</v>
      </c>
      <c r="AY381" s="3232">
        <f t="shared" si="298"/>
        <v>58328.399999999994</v>
      </c>
      <c r="AZ381" s="3233">
        <v>1</v>
      </c>
      <c r="BA381" s="3234">
        <f t="shared" si="301"/>
        <v>58328.399999999994</v>
      </c>
      <c r="BB381" s="3233">
        <v>1</v>
      </c>
      <c r="BC381" s="3234">
        <f t="shared" si="302"/>
        <v>58328.399999999994</v>
      </c>
      <c r="BD381" s="3233">
        <v>1</v>
      </c>
      <c r="BE381" s="3234">
        <f t="shared" si="302"/>
        <v>58328.399999999994</v>
      </c>
      <c r="BF381" s="3233">
        <v>1</v>
      </c>
      <c r="BG381" s="3235">
        <f t="shared" si="299"/>
        <v>58328.399999999994</v>
      </c>
      <c r="BH381" s="3233">
        <v>1</v>
      </c>
      <c r="BI381" s="3234">
        <f t="shared" si="300"/>
        <v>58328.399999999994</v>
      </c>
      <c r="BJ381" s="3233">
        <v>1</v>
      </c>
      <c r="BK381" s="3234">
        <v>58328.399999999994</v>
      </c>
      <c r="BL381" s="3233">
        <v>1</v>
      </c>
      <c r="BM381" s="3234">
        <v>58328.399999999994</v>
      </c>
      <c r="BN381" s="3233">
        <v>1</v>
      </c>
      <c r="BO381" s="3234">
        <v>58328.399999999994</v>
      </c>
      <c r="BP381" s="3233">
        <v>1</v>
      </c>
      <c r="BQ381" s="3234">
        <v>58328.399999999994</v>
      </c>
      <c r="BR381" s="3233">
        <v>1</v>
      </c>
      <c r="BS381" s="3234">
        <v>58328.399999999994</v>
      </c>
      <c r="BT381" s="3233">
        <v>1</v>
      </c>
      <c r="BU381" s="3234">
        <v>58328.399999999994</v>
      </c>
    </row>
    <row r="382" spans="1:73">
      <c r="A382" s="3239" t="s">
        <v>4418</v>
      </c>
      <c r="B382" s="3240"/>
      <c r="C382" s="3241"/>
      <c r="D382" s="3242"/>
      <c r="E382" s="3242"/>
      <c r="F382" s="3243">
        <f>SUM(F372:F380)</f>
        <v>12</v>
      </c>
      <c r="G382" s="3244">
        <f>SUM(G372:G381)</f>
        <v>49567.133333333324</v>
      </c>
      <c r="H382" s="3245">
        <f t="shared" ref="H382:BI382" si="303">SUM(H372:H381)</f>
        <v>12</v>
      </c>
      <c r="I382" s="3245">
        <f t="shared" si="303"/>
        <v>704201.8</v>
      </c>
      <c r="J382" s="3246">
        <f t="shared" si="303"/>
        <v>13</v>
      </c>
      <c r="K382" s="3247">
        <f t="shared" si="303"/>
        <v>764582.8</v>
      </c>
      <c r="L382" s="3245">
        <f t="shared" si="303"/>
        <v>13</v>
      </c>
      <c r="M382" s="3245">
        <f t="shared" si="303"/>
        <v>764582.8</v>
      </c>
      <c r="N382" s="3246">
        <f t="shared" si="303"/>
        <v>13</v>
      </c>
      <c r="O382" s="3247">
        <f t="shared" si="303"/>
        <v>764582.8</v>
      </c>
      <c r="P382" s="3245">
        <f t="shared" si="303"/>
        <v>13</v>
      </c>
      <c r="Q382" s="3245">
        <f t="shared" si="303"/>
        <v>764582.8</v>
      </c>
      <c r="R382" s="3246">
        <f t="shared" si="303"/>
        <v>13</v>
      </c>
      <c r="S382" s="3247">
        <f t="shared" si="303"/>
        <v>764582.8</v>
      </c>
      <c r="T382" s="3245">
        <f t="shared" si="303"/>
        <v>13</v>
      </c>
      <c r="U382" s="3245">
        <f t="shared" si="303"/>
        <v>764582.8</v>
      </c>
      <c r="V382" s="3246">
        <f t="shared" si="303"/>
        <v>13</v>
      </c>
      <c r="W382" s="3247">
        <f t="shared" si="303"/>
        <v>764582.8</v>
      </c>
      <c r="X382" s="3245">
        <f t="shared" si="303"/>
        <v>13</v>
      </c>
      <c r="Y382" s="3245">
        <f t="shared" si="303"/>
        <v>764582.8</v>
      </c>
      <c r="Z382" s="3246">
        <f t="shared" si="303"/>
        <v>13</v>
      </c>
      <c r="AA382" s="3247">
        <f t="shared" si="303"/>
        <v>764582.8</v>
      </c>
      <c r="AB382" s="3245">
        <f t="shared" si="303"/>
        <v>13</v>
      </c>
      <c r="AC382" s="3245">
        <f t="shared" si="303"/>
        <v>764582.8</v>
      </c>
      <c r="AD382" s="3246">
        <f t="shared" si="303"/>
        <v>15</v>
      </c>
      <c r="AE382" s="3247">
        <f t="shared" si="303"/>
        <v>889725.30000000016</v>
      </c>
      <c r="AF382" s="3245">
        <f t="shared" si="303"/>
        <v>15</v>
      </c>
      <c r="AG382" s="3245">
        <f t="shared" si="303"/>
        <v>889725.30000000016</v>
      </c>
      <c r="AH382" s="3246">
        <f t="shared" si="303"/>
        <v>15</v>
      </c>
      <c r="AI382" s="3247">
        <f t="shared" si="303"/>
        <v>889725.30000000016</v>
      </c>
      <c r="AJ382" s="3245">
        <f t="shared" si="303"/>
        <v>15</v>
      </c>
      <c r="AK382" s="3245">
        <f t="shared" si="303"/>
        <v>889725.30000000016</v>
      </c>
      <c r="AL382" s="3246">
        <f t="shared" si="303"/>
        <v>17</v>
      </c>
      <c r="AM382" s="3247">
        <f t="shared" si="303"/>
        <v>1019248.3000000002</v>
      </c>
      <c r="AN382" s="3246">
        <f t="shared" si="303"/>
        <v>17</v>
      </c>
      <c r="AO382" s="3247">
        <f t="shared" si="303"/>
        <v>1019248.3000000002</v>
      </c>
      <c r="AP382" s="3246">
        <f t="shared" si="303"/>
        <v>17</v>
      </c>
      <c r="AQ382" s="3247">
        <f t="shared" si="303"/>
        <v>1019248.3000000002</v>
      </c>
      <c r="AR382" s="3246">
        <f t="shared" si="303"/>
        <v>17</v>
      </c>
      <c r="AS382" s="3247">
        <f t="shared" si="303"/>
        <v>1019248.3000000002</v>
      </c>
      <c r="AT382" s="3246">
        <f t="shared" si="303"/>
        <v>17</v>
      </c>
      <c r="AU382" s="3247">
        <f t="shared" si="303"/>
        <v>1019248.3000000002</v>
      </c>
      <c r="AV382" s="3246">
        <f t="shared" si="303"/>
        <v>17</v>
      </c>
      <c r="AW382" s="3247">
        <f t="shared" si="303"/>
        <v>1019248.3000000002</v>
      </c>
      <c r="AX382" s="3246">
        <f t="shared" si="303"/>
        <v>17</v>
      </c>
      <c r="AY382" s="3247">
        <f t="shared" si="303"/>
        <v>1019248.3000000002</v>
      </c>
      <c r="AZ382" s="3246">
        <f t="shared" si="303"/>
        <v>19</v>
      </c>
      <c r="BA382" s="3247">
        <f t="shared" si="303"/>
        <v>1144390.8</v>
      </c>
      <c r="BB382" s="3246">
        <f t="shared" si="303"/>
        <v>19</v>
      </c>
      <c r="BC382" s="3247">
        <f t="shared" si="303"/>
        <v>1144390.8</v>
      </c>
      <c r="BD382" s="3246">
        <f t="shared" si="303"/>
        <v>19</v>
      </c>
      <c r="BE382" s="3247">
        <f t="shared" si="303"/>
        <v>1144390.8</v>
      </c>
      <c r="BF382" s="3246">
        <f t="shared" si="303"/>
        <v>19</v>
      </c>
      <c r="BG382" s="3248">
        <f t="shared" si="303"/>
        <v>1144390.8</v>
      </c>
      <c r="BH382" s="3246">
        <f t="shared" si="303"/>
        <v>19</v>
      </c>
      <c r="BI382" s="3247">
        <f t="shared" si="303"/>
        <v>1144390.8</v>
      </c>
      <c r="BJ382" s="3246">
        <f>SUM(BJ372:BJ381)</f>
        <v>19</v>
      </c>
      <c r="BK382" s="3247">
        <f>SUM(BK372:BK381)</f>
        <v>1144390.8</v>
      </c>
      <c r="BL382" s="3246">
        <f t="shared" ref="BL382:BU382" si="304">SUM(BL372:BL381)</f>
        <v>19</v>
      </c>
      <c r="BM382" s="3247">
        <f t="shared" si="304"/>
        <v>1144390.8</v>
      </c>
      <c r="BN382" s="3246">
        <f t="shared" si="304"/>
        <v>19</v>
      </c>
      <c r="BO382" s="3247">
        <f t="shared" si="304"/>
        <v>1144390.8</v>
      </c>
      <c r="BP382" s="3246">
        <f t="shared" si="304"/>
        <v>19</v>
      </c>
      <c r="BQ382" s="3247">
        <f t="shared" si="304"/>
        <v>1144390.8</v>
      </c>
      <c r="BR382" s="3246">
        <f t="shared" si="304"/>
        <v>19</v>
      </c>
      <c r="BS382" s="3247">
        <f t="shared" si="304"/>
        <v>1144390.8</v>
      </c>
      <c r="BT382" s="3246">
        <f t="shared" si="304"/>
        <v>19</v>
      </c>
      <c r="BU382" s="3247">
        <f t="shared" si="304"/>
        <v>1144390.8</v>
      </c>
    </row>
    <row r="383" spans="1:73">
      <c r="A383" s="3249"/>
      <c r="B383" s="3222"/>
      <c r="C383" s="3250"/>
      <c r="D383" s="3250"/>
      <c r="E383" s="3250"/>
      <c r="F383" s="3222"/>
      <c r="G383" s="3251"/>
      <c r="H383" s="3251"/>
      <c r="I383" s="3251"/>
      <c r="J383" s="3251"/>
      <c r="K383" s="3252"/>
      <c r="L383" s="3251"/>
      <c r="M383" s="3251"/>
      <c r="N383" s="3251"/>
      <c r="O383" s="3252"/>
      <c r="P383" s="3251"/>
      <c r="Q383" s="3251"/>
      <c r="R383" s="3251"/>
      <c r="S383" s="3252"/>
      <c r="T383" s="3251"/>
      <c r="U383" s="3251"/>
      <c r="V383" s="3251"/>
      <c r="W383" s="3252"/>
      <c r="X383" s="3251"/>
      <c r="Y383" s="3251"/>
      <c r="Z383" s="3251"/>
      <c r="AA383" s="3251"/>
      <c r="AB383" s="3251"/>
      <c r="AC383" s="3251"/>
      <c r="AD383" s="3251"/>
      <c r="AE383" s="3251"/>
      <c r="AF383" s="3251"/>
      <c r="AG383" s="3251"/>
      <c r="AH383" s="3251"/>
      <c r="AI383" s="3251"/>
      <c r="AJ383" s="3251"/>
      <c r="AK383" s="3251"/>
      <c r="AL383" s="3251"/>
      <c r="AM383" s="3251"/>
      <c r="AN383" s="3251"/>
      <c r="AO383" s="3251"/>
      <c r="AP383" s="3251"/>
      <c r="AQ383" s="3251"/>
      <c r="AR383" s="3251"/>
      <c r="AS383" s="3251"/>
      <c r="AT383" s="3222"/>
      <c r="AU383" s="3222"/>
      <c r="AV383" s="3222"/>
      <c r="AW383" s="3253"/>
      <c r="AX383" s="3222"/>
      <c r="AY383" s="3222"/>
      <c r="AZ383" s="3222"/>
      <c r="BA383" s="3222"/>
      <c r="BB383" s="3222"/>
      <c r="BC383" s="3222"/>
      <c r="BD383" s="3222"/>
      <c r="BE383" s="3222"/>
      <c r="BF383" s="3222"/>
      <c r="BG383" s="3222"/>
      <c r="BJ383" s="2730">
        <f>BI383-F383</f>
        <v>0</v>
      </c>
    </row>
    <row r="384" spans="1:73">
      <c r="A384" s="3254" t="s">
        <v>4419</v>
      </c>
      <c r="B384" s="3255" t="s">
        <v>4420</v>
      </c>
      <c r="C384" s="3256"/>
      <c r="D384" s="3257"/>
      <c r="E384" s="3257"/>
      <c r="F384" s="3258">
        <v>250000</v>
      </c>
      <c r="G384" s="3258">
        <v>260000</v>
      </c>
      <c r="H384" s="3258">
        <v>270000</v>
      </c>
      <c r="I384" s="3258">
        <v>280000</v>
      </c>
      <c r="J384" s="3258">
        <v>290000</v>
      </c>
      <c r="K384" s="3258">
        <v>300000</v>
      </c>
      <c r="L384" s="3258">
        <v>310000</v>
      </c>
      <c r="M384" s="3258">
        <v>320000</v>
      </c>
      <c r="N384" s="3258">
        <v>330000</v>
      </c>
      <c r="O384" s="3258">
        <v>340000</v>
      </c>
      <c r="P384" s="3258">
        <v>350000</v>
      </c>
      <c r="Q384" s="3258">
        <v>360000</v>
      </c>
      <c r="R384" s="3258">
        <v>370000</v>
      </c>
      <c r="S384" s="3258">
        <v>380000</v>
      </c>
      <c r="T384" s="3258">
        <v>390000</v>
      </c>
      <c r="U384" s="3258">
        <v>400000</v>
      </c>
      <c r="V384" s="3258">
        <v>410000</v>
      </c>
      <c r="W384" s="3259">
        <f>V384+10000</f>
        <v>420000</v>
      </c>
      <c r="X384" s="3259">
        <f t="shared" ref="X384:AT384" si="305">W384+10000</f>
        <v>430000</v>
      </c>
      <c r="Y384" s="3259">
        <f t="shared" si="305"/>
        <v>440000</v>
      </c>
      <c r="Z384" s="3259">
        <f t="shared" si="305"/>
        <v>450000</v>
      </c>
      <c r="AA384" s="3258">
        <f t="shared" si="305"/>
        <v>460000</v>
      </c>
      <c r="AB384" s="3258">
        <f t="shared" si="305"/>
        <v>470000</v>
      </c>
      <c r="AC384" s="3258">
        <f t="shared" si="305"/>
        <v>480000</v>
      </c>
      <c r="AD384" s="3258">
        <f t="shared" si="305"/>
        <v>490000</v>
      </c>
      <c r="AE384" s="3258">
        <f t="shared" si="305"/>
        <v>500000</v>
      </c>
      <c r="AF384" s="3258">
        <f t="shared" si="305"/>
        <v>510000</v>
      </c>
      <c r="AG384" s="3258">
        <f t="shared" si="305"/>
        <v>520000</v>
      </c>
      <c r="AH384" s="3258">
        <f t="shared" si="305"/>
        <v>530000</v>
      </c>
      <c r="AI384" s="3258">
        <f t="shared" si="305"/>
        <v>540000</v>
      </c>
      <c r="AJ384" s="3258">
        <f t="shared" si="305"/>
        <v>550000</v>
      </c>
      <c r="AK384" s="3258">
        <f t="shared" si="305"/>
        <v>560000</v>
      </c>
      <c r="AL384" s="3258">
        <f t="shared" si="305"/>
        <v>570000</v>
      </c>
      <c r="AM384" s="3258">
        <f t="shared" si="305"/>
        <v>580000</v>
      </c>
      <c r="AN384" s="3258">
        <f t="shared" si="305"/>
        <v>590000</v>
      </c>
      <c r="AO384" s="3258">
        <f t="shared" si="305"/>
        <v>600000</v>
      </c>
      <c r="AP384" s="3258">
        <f t="shared" si="305"/>
        <v>610000</v>
      </c>
      <c r="AQ384" s="3258">
        <f t="shared" si="305"/>
        <v>620000</v>
      </c>
      <c r="AR384" s="3258">
        <f t="shared" si="305"/>
        <v>630000</v>
      </c>
      <c r="AS384" s="3258">
        <f t="shared" si="305"/>
        <v>640000</v>
      </c>
      <c r="AT384" s="3258">
        <f t="shared" si="305"/>
        <v>650000</v>
      </c>
      <c r="AU384" s="3260"/>
      <c r="AV384" s="3260"/>
      <c r="AW384" s="3261"/>
      <c r="AX384" s="3260"/>
      <c r="AY384" s="3260"/>
      <c r="AZ384" s="3260"/>
      <c r="BA384" s="3260"/>
      <c r="BB384" s="3260"/>
      <c r="BC384" s="3260"/>
      <c r="BD384" s="3260"/>
      <c r="BE384" s="3260"/>
      <c r="BF384" s="3260"/>
      <c r="BG384" s="3260"/>
      <c r="BJ384" s="2730">
        <f>BI384-F384</f>
        <v>-250000</v>
      </c>
    </row>
    <row r="385" spans="1:62">
      <c r="A385" s="3262" t="s">
        <v>4421</v>
      </c>
      <c r="B385" s="3263"/>
      <c r="C385" s="3264"/>
      <c r="D385" s="3264"/>
      <c r="E385" s="3264"/>
      <c r="F385" s="3265">
        <f>F433</f>
        <v>2918777.4283500002</v>
      </c>
      <c r="G385" s="3265">
        <f t="shared" ref="G385:AH385" si="306">G433</f>
        <v>2928777.4283500002</v>
      </c>
      <c r="H385" s="3265">
        <f t="shared" si="306"/>
        <v>2929777.4283500002</v>
      </c>
      <c r="I385" s="3265">
        <f t="shared" si="306"/>
        <v>2930877.4283500002</v>
      </c>
      <c r="J385" s="3265">
        <f t="shared" si="306"/>
        <v>2932087.4283500002</v>
      </c>
      <c r="K385" s="3265">
        <f t="shared" si="306"/>
        <v>2933418.4283500002</v>
      </c>
      <c r="L385" s="3265">
        <f t="shared" si="306"/>
        <v>2934882.5283500003</v>
      </c>
      <c r="M385" s="3265">
        <f t="shared" si="306"/>
        <v>2936493.0383500005</v>
      </c>
      <c r="N385" s="3265">
        <f t="shared" si="306"/>
        <v>3107963.3765500002</v>
      </c>
      <c r="O385" s="3265">
        <f t="shared" si="306"/>
        <v>3108963.3765500002</v>
      </c>
      <c r="P385" s="3265">
        <f t="shared" si="306"/>
        <v>3110063.3765500002</v>
      </c>
      <c r="Q385" s="3265">
        <f t="shared" si="306"/>
        <v>3111273.3765500002</v>
      </c>
      <c r="R385" s="3265">
        <f t="shared" si="306"/>
        <v>3112604.3765500002</v>
      </c>
      <c r="S385" s="3265">
        <f t="shared" si="306"/>
        <v>3114068.4765500003</v>
      </c>
      <c r="T385" s="3265">
        <f t="shared" si="306"/>
        <v>3115678.98655</v>
      </c>
      <c r="U385" s="3265">
        <f t="shared" si="306"/>
        <v>3327596.6383000002</v>
      </c>
      <c r="V385" s="3265">
        <f t="shared" si="306"/>
        <v>3328596.6383000002</v>
      </c>
      <c r="W385" s="3265">
        <f t="shared" si="306"/>
        <v>3329696.6383000002</v>
      </c>
      <c r="X385" s="3265">
        <f t="shared" si="306"/>
        <v>3330906.6383000002</v>
      </c>
      <c r="Y385" s="3265">
        <f t="shared" si="306"/>
        <v>3332237.6383000002</v>
      </c>
      <c r="Z385" s="3266">
        <f t="shared" si="306"/>
        <v>3333701.7383000003</v>
      </c>
      <c r="AA385" s="3265">
        <f t="shared" si="306"/>
        <v>3335312.2483000001</v>
      </c>
      <c r="AB385" s="3265">
        <f t="shared" si="306"/>
        <v>3612212.551</v>
      </c>
      <c r="AC385" s="3265">
        <f t="shared" si="306"/>
        <v>3613212.551</v>
      </c>
      <c r="AD385" s="3265">
        <f t="shared" si="306"/>
        <v>3614312.551</v>
      </c>
      <c r="AE385" s="3265">
        <f t="shared" si="306"/>
        <v>3615522.551</v>
      </c>
      <c r="AF385" s="3265">
        <f t="shared" si="306"/>
        <v>3616853.551</v>
      </c>
      <c r="AG385" s="3267">
        <f t="shared" si="306"/>
        <v>3618317.6510000001</v>
      </c>
      <c r="AH385" s="3267">
        <f t="shared" si="306"/>
        <v>3619928.1609999998</v>
      </c>
      <c r="AI385" s="3265">
        <f t="shared" ref="AI385:AT385" si="307">AH385</f>
        <v>3619928.1609999998</v>
      </c>
      <c r="AJ385" s="3265">
        <f t="shared" si="307"/>
        <v>3619928.1609999998</v>
      </c>
      <c r="AK385" s="3265">
        <f t="shared" si="307"/>
        <v>3619928.1609999998</v>
      </c>
      <c r="AL385" s="3265">
        <f t="shared" si="307"/>
        <v>3619928.1609999998</v>
      </c>
      <c r="AM385" s="3265">
        <f t="shared" si="307"/>
        <v>3619928.1609999998</v>
      </c>
      <c r="AN385" s="3265">
        <f t="shared" si="307"/>
        <v>3619928.1609999998</v>
      </c>
      <c r="AO385" s="3265">
        <f t="shared" si="307"/>
        <v>3619928.1609999998</v>
      </c>
      <c r="AP385" s="3265">
        <f t="shared" si="307"/>
        <v>3619928.1609999998</v>
      </c>
      <c r="AQ385" s="3265">
        <f t="shared" si="307"/>
        <v>3619928.1609999998</v>
      </c>
      <c r="AR385" s="3265">
        <f t="shared" si="307"/>
        <v>3619928.1609999998</v>
      </c>
      <c r="AS385" s="3265">
        <f t="shared" si="307"/>
        <v>3619928.1609999998</v>
      </c>
      <c r="AT385" s="3265">
        <f t="shared" si="307"/>
        <v>3619928.1609999998</v>
      </c>
      <c r="AU385" s="3268"/>
      <c r="AV385" s="3268"/>
      <c r="AW385" s="3269"/>
      <c r="AX385" s="3268"/>
      <c r="AY385" s="3268"/>
      <c r="AZ385" s="3268"/>
      <c r="BA385" s="3268"/>
      <c r="BB385" s="3268"/>
      <c r="BC385" s="3268"/>
      <c r="BD385" s="3268"/>
      <c r="BE385" s="3268"/>
      <c r="BF385" s="3268"/>
      <c r="BG385" s="3268"/>
      <c r="BJ385" s="2730">
        <f>BI385-F385</f>
        <v>-2918777.4283500002</v>
      </c>
    </row>
    <row r="386" spans="1:62">
      <c r="A386" s="3262" t="s">
        <v>4422</v>
      </c>
      <c r="B386" s="3263"/>
      <c r="C386" s="3263"/>
      <c r="D386" s="3263"/>
      <c r="E386" s="3263"/>
      <c r="F386" s="3265"/>
      <c r="G386" s="3265"/>
      <c r="H386" s="3265"/>
      <c r="I386" s="3265"/>
      <c r="J386" s="3265"/>
      <c r="K386" s="3265"/>
      <c r="L386" s="3265"/>
      <c r="M386" s="3265"/>
      <c r="N386" s="3265"/>
      <c r="O386" s="3265"/>
      <c r="P386" s="3265"/>
      <c r="Q386" s="3265"/>
      <c r="R386" s="3265"/>
      <c r="S386" s="3265"/>
      <c r="T386" s="3265"/>
      <c r="U386" s="3265"/>
      <c r="V386" s="3265"/>
      <c r="W386" s="3266"/>
      <c r="X386" s="3266"/>
      <c r="Y386" s="3266"/>
      <c r="Z386" s="3270"/>
      <c r="AA386" s="3271"/>
      <c r="AB386" s="3272"/>
      <c r="AC386" s="3272"/>
      <c r="AD386" s="3272"/>
      <c r="AE386" s="3272"/>
      <c r="AF386" s="3272"/>
      <c r="AG386" s="3272"/>
      <c r="AH386" s="3272"/>
      <c r="AI386" s="3272"/>
      <c r="AJ386" s="3272"/>
      <c r="AK386" s="3272"/>
      <c r="AL386" s="3272"/>
      <c r="AM386" s="3272"/>
      <c r="AN386" s="3272"/>
      <c r="AO386" s="3272"/>
      <c r="AP386" s="3272"/>
      <c r="AQ386" s="3272"/>
      <c r="AR386" s="3272"/>
      <c r="AS386" s="3272"/>
      <c r="AT386" s="3272"/>
      <c r="AU386" s="3268"/>
      <c r="AV386" s="3268"/>
      <c r="AW386" s="3269"/>
      <c r="AX386" s="3268"/>
      <c r="AY386" s="3268"/>
      <c r="AZ386" s="3268"/>
      <c r="BA386" s="3268"/>
      <c r="BB386" s="3268"/>
      <c r="BC386" s="3268"/>
      <c r="BD386" s="3268"/>
      <c r="BE386" s="3268"/>
      <c r="BF386" s="3268"/>
      <c r="BG386" s="3268"/>
      <c r="BJ386" s="2730">
        <f>BI386-F386</f>
        <v>0</v>
      </c>
    </row>
    <row r="387" spans="1:62">
      <c r="A387" s="3273" t="s">
        <v>4382</v>
      </c>
      <c r="B387" s="3263"/>
      <c r="C387" s="3263"/>
      <c r="D387" s="3263"/>
      <c r="E387" s="3263"/>
      <c r="F387" s="3265">
        <f>동력비!D60</f>
        <v>143700.9248562658</v>
      </c>
      <c r="G387" s="3265">
        <f>동력비!E60</f>
        <v>149448.96185051644</v>
      </c>
      <c r="H387" s="3265">
        <f>동력비!F60</f>
        <v>155196.99884476708</v>
      </c>
      <c r="I387" s="3265">
        <f>동력비!G60</f>
        <v>160945.03583901768</v>
      </c>
      <c r="J387" s="3265">
        <f>동력비!H60</f>
        <v>166693.07283326832</v>
      </c>
      <c r="K387" s="3265">
        <f>동력비!I60</f>
        <v>172441.10982751899</v>
      </c>
      <c r="L387" s="3265">
        <f>동력비!J60</f>
        <v>178189.14682176962</v>
      </c>
      <c r="M387" s="3265">
        <f>동력비!K60</f>
        <v>183937.18381602026</v>
      </c>
      <c r="N387" s="3265">
        <f>동력비!L60</f>
        <v>189685.22081027087</v>
      </c>
      <c r="O387" s="3265">
        <f>동력비!M60</f>
        <v>195433.25780452151</v>
      </c>
      <c r="P387" s="3265">
        <f>동력비!N60</f>
        <v>201181.29479877211</v>
      </c>
      <c r="Q387" s="3265">
        <f>동력비!O60</f>
        <v>206929.33179302278</v>
      </c>
      <c r="R387" s="3265">
        <f>동력비!P60</f>
        <v>212677.36878727342</v>
      </c>
      <c r="S387" s="3265">
        <f>동력비!Q60</f>
        <v>218425.40578152402</v>
      </c>
      <c r="T387" s="3265">
        <f>동력비!R60</f>
        <v>224173.44277577466</v>
      </c>
      <c r="U387" s="3265">
        <f>동력비!S60</f>
        <v>229921.4797700253</v>
      </c>
      <c r="V387" s="3265">
        <f>동력비!T60</f>
        <v>235669.51676427593</v>
      </c>
      <c r="W387" s="3265">
        <f>동력비!U60</f>
        <v>241417.55375852657</v>
      </c>
      <c r="X387" s="3265">
        <f>동력비!V60</f>
        <v>247165.59075277718</v>
      </c>
      <c r="Y387" s="3265">
        <f>동력비!W60</f>
        <v>252913.62774702781</v>
      </c>
      <c r="Z387" s="3265">
        <f>동력비!X60</f>
        <v>258661.66474127845</v>
      </c>
      <c r="AA387" s="3265">
        <f>동력비!Y60</f>
        <v>264409.70173552906</v>
      </c>
      <c r="AB387" s="3265">
        <f>동력비!Z60</f>
        <v>270157.73872977972</v>
      </c>
      <c r="AC387" s="3265">
        <f>동력비!AA60</f>
        <v>275905.77572403039</v>
      </c>
      <c r="AD387" s="3265">
        <f>동력비!AB60</f>
        <v>281653.812718281</v>
      </c>
      <c r="AE387" s="3265">
        <f>동력비!AC60</f>
        <v>287401.84971253161</v>
      </c>
      <c r="AF387" s="3271">
        <f>동력비!AD60</f>
        <v>293149.88670678221</v>
      </c>
      <c r="AG387" s="3271">
        <f>동력비!AE60</f>
        <v>298897.92370103288</v>
      </c>
      <c r="AH387" s="3271">
        <f>동력비!AF60</f>
        <v>304645.96069528349</v>
      </c>
      <c r="AI387" s="3271">
        <f>동력비!AG60</f>
        <v>310393.99768953415</v>
      </c>
      <c r="AJ387" s="3271">
        <f>동력비!AH60</f>
        <v>316142.03468378476</v>
      </c>
      <c r="AK387" s="3271">
        <f>동력비!AI60</f>
        <v>321890.07167803537</v>
      </c>
      <c r="AL387" s="3271">
        <f>동력비!AJ60</f>
        <v>327638.10867228603</v>
      </c>
      <c r="AM387" s="3271">
        <f>동력비!AK60</f>
        <v>333386.14566653664</v>
      </c>
      <c r="AN387" s="3271">
        <f>동력비!AL60</f>
        <v>339134.18266078731</v>
      </c>
      <c r="AO387" s="3271">
        <f>동력비!AM60</f>
        <v>344882.21965503797</v>
      </c>
      <c r="AP387" s="3271">
        <f>동력비!AN60</f>
        <v>350630.25664928852</v>
      </c>
      <c r="AQ387" s="3271">
        <f>동력비!AO60</f>
        <v>356378.29364353925</v>
      </c>
      <c r="AR387" s="3271">
        <f>동력비!AP60</f>
        <v>362126.33063778986</v>
      </c>
      <c r="AS387" s="3271">
        <f>동력비!AQ60</f>
        <v>367874.36763204052</v>
      </c>
      <c r="AT387" s="3271">
        <f>동력비!AR60</f>
        <v>373622.40462629113</v>
      </c>
      <c r="AU387" s="3274"/>
      <c r="AV387" s="3268"/>
      <c r="AW387" s="3269"/>
      <c r="AX387" s="3268"/>
      <c r="AY387" s="3268"/>
      <c r="AZ387" s="3268"/>
      <c r="BA387" s="3268"/>
      <c r="BB387" s="3268"/>
      <c r="BC387" s="3268"/>
      <c r="BD387" s="3268"/>
      <c r="BE387" s="3268"/>
      <c r="BF387" s="3268"/>
      <c r="BG387" s="3268"/>
      <c r="BJ387" s="2730">
        <f>BI387-F387</f>
        <v>-143700.9248562658</v>
      </c>
    </row>
    <row r="388" spans="1:62">
      <c r="A388" s="3273" t="s">
        <v>4423</v>
      </c>
      <c r="B388" s="3263"/>
      <c r="C388" s="3263" t="s">
        <v>4424</v>
      </c>
      <c r="D388" s="3263"/>
      <c r="E388" s="3263"/>
      <c r="F388" s="3265">
        <f>동력비!D30/1000</f>
        <v>221286.45093369586</v>
      </c>
      <c r="G388" s="3265">
        <f>동력비!E30/1000</f>
        <v>230137.90897104368</v>
      </c>
      <c r="H388" s="3265">
        <f>동력비!F30/1000</f>
        <v>238989.36700839153</v>
      </c>
      <c r="I388" s="3265">
        <f>동력비!G30/1000</f>
        <v>247840.82504573936</v>
      </c>
      <c r="J388" s="3265">
        <f>동력비!H30/1000</f>
        <v>256692.28308308718</v>
      </c>
      <c r="K388" s="3265">
        <f>동력비!I30/1000</f>
        <v>265543.74112043501</v>
      </c>
      <c r="L388" s="3265">
        <f>동력비!J30/1000</f>
        <v>274395.19915778283</v>
      </c>
      <c r="M388" s="3265">
        <f>동력비!K30/1000</f>
        <v>283246.65719513065</v>
      </c>
      <c r="N388" s="3265">
        <f>동력비!L30/1000</f>
        <v>292098.11523247848</v>
      </c>
      <c r="O388" s="3265">
        <f>동력비!M30/1000</f>
        <v>300949.57326982636</v>
      </c>
      <c r="P388" s="3265">
        <f>동력비!N30/1000</f>
        <v>309801.03130717418</v>
      </c>
      <c r="Q388" s="3265">
        <f>동력비!O30/1000</f>
        <v>318652.48934452201</v>
      </c>
      <c r="R388" s="3265">
        <f>동력비!P30/1000</f>
        <v>327503.94738186983</v>
      </c>
      <c r="S388" s="3265">
        <f>동력비!Q30/1000</f>
        <v>336355.40541921771</v>
      </c>
      <c r="T388" s="3265">
        <f>동력비!R30/1000</f>
        <v>345206.86345656548</v>
      </c>
      <c r="U388" s="3265">
        <f>동력비!S30/1000</f>
        <v>354058.32149391336</v>
      </c>
      <c r="V388" s="3265">
        <f>동력비!T30/1000</f>
        <v>362909.77953126119</v>
      </c>
      <c r="W388" s="3265">
        <f>동력비!U30/1000</f>
        <v>371761.23756860901</v>
      </c>
      <c r="X388" s="3265">
        <f>동력비!V30/1000</f>
        <v>380612.69560595683</v>
      </c>
      <c r="Y388" s="3265">
        <f>동력비!W30/1000</f>
        <v>389464.15364330471</v>
      </c>
      <c r="Z388" s="3265">
        <f>동력비!X30/1000</f>
        <v>398315.61168065248</v>
      </c>
      <c r="AA388" s="3265">
        <f>동력비!Y30/1000</f>
        <v>407167.06971800036</v>
      </c>
      <c r="AB388" s="3265">
        <f>동력비!Z30/1000</f>
        <v>416018.52775534819</v>
      </c>
      <c r="AC388" s="3265">
        <f>동력비!AA30/1000</f>
        <v>424869.98579269601</v>
      </c>
      <c r="AD388" s="3265">
        <f>동력비!AB30/1000</f>
        <v>433721.44383004383</v>
      </c>
      <c r="AE388" s="3265">
        <f>동력비!AC30/1000</f>
        <v>442572.90186739172</v>
      </c>
      <c r="AF388" s="3265">
        <f>동력비!AD30/1000</f>
        <v>451424.35990473954</v>
      </c>
      <c r="AG388" s="3265">
        <f>동력비!AE30/1000</f>
        <v>460275.81794208736</v>
      </c>
      <c r="AH388" s="3265">
        <f>동력비!AF30/1000</f>
        <v>469127.27597943519</v>
      </c>
      <c r="AI388" s="3265">
        <f>동력비!AG30/1000</f>
        <v>477978.73401678307</v>
      </c>
      <c r="AJ388" s="3265">
        <f>동력비!AH30/1000</f>
        <v>486830.19205413084</v>
      </c>
      <c r="AK388" s="3265">
        <f>동력비!AI30/1000</f>
        <v>495681.65009147872</v>
      </c>
      <c r="AL388" s="3265">
        <f>동력비!AJ30/1000</f>
        <v>504533.10812882654</v>
      </c>
      <c r="AM388" s="3265">
        <f>동력비!AK30/1000</f>
        <v>513384.56616617437</v>
      </c>
      <c r="AN388" s="3265">
        <f>동력비!AL30/1000</f>
        <v>522236.02420352219</v>
      </c>
      <c r="AO388" s="3265">
        <f>동력비!AM30/1000</f>
        <v>531087.48224087001</v>
      </c>
      <c r="AP388" s="3265">
        <f>동력비!AN30/1000</f>
        <v>539938.94027821778</v>
      </c>
      <c r="AQ388" s="3265">
        <f>동력비!AO30/1000</f>
        <v>548790.39831556566</v>
      </c>
      <c r="AR388" s="3265">
        <f>동력비!AP30/1000</f>
        <v>557641.85635291354</v>
      </c>
      <c r="AS388" s="3265">
        <f>동력비!AQ30/1000</f>
        <v>566493.31439026131</v>
      </c>
      <c r="AT388" s="3265">
        <f>동력비!AR30/1000</f>
        <v>575344.77242760919</v>
      </c>
      <c r="AU388" s="3268"/>
      <c r="AV388" s="3268"/>
      <c r="AW388" s="3269"/>
      <c r="AX388" s="3268"/>
      <c r="AY388" s="3268"/>
      <c r="AZ388" s="3268"/>
      <c r="BA388" s="3268"/>
      <c r="BB388" s="3268"/>
      <c r="BC388" s="3268"/>
      <c r="BD388" s="3268"/>
      <c r="BE388" s="3268"/>
      <c r="BF388" s="3268"/>
      <c r="BG388" s="3268"/>
    </row>
    <row r="389" spans="1:62">
      <c r="A389" s="3262" t="s">
        <v>4425</v>
      </c>
      <c r="B389" s="3263"/>
      <c r="C389" s="3263"/>
      <c r="D389" s="3263"/>
      <c r="E389" s="3263"/>
      <c r="F389" s="3265"/>
      <c r="G389" s="3265"/>
      <c r="H389" s="3265"/>
      <c r="I389" s="3265"/>
      <c r="J389" s="3265"/>
      <c r="K389" s="3265"/>
      <c r="L389" s="3265"/>
      <c r="M389" s="3265"/>
      <c r="N389" s="3265"/>
      <c r="O389" s="3265"/>
      <c r="P389" s="3265"/>
      <c r="Q389" s="3265"/>
      <c r="R389" s="3265"/>
      <c r="S389" s="3265"/>
      <c r="T389" s="3265"/>
      <c r="U389" s="3265"/>
      <c r="V389" s="3271"/>
      <c r="W389" s="3271"/>
      <c r="X389" s="3271"/>
      <c r="Y389" s="3271"/>
      <c r="Z389" s="3270"/>
      <c r="AA389" s="3271"/>
      <c r="AB389" s="3271"/>
      <c r="AC389" s="3271"/>
      <c r="AD389" s="3271"/>
      <c r="AE389" s="3271"/>
      <c r="AF389" s="3271"/>
      <c r="AG389" s="3272"/>
      <c r="AH389" s="3272"/>
      <c r="AI389" s="3272"/>
      <c r="AJ389" s="3272"/>
      <c r="AK389" s="3272"/>
      <c r="AL389" s="3272"/>
      <c r="AM389" s="3272"/>
      <c r="AN389" s="3272"/>
      <c r="AO389" s="3272"/>
      <c r="AP389" s="3272"/>
      <c r="AQ389" s="3272"/>
      <c r="AR389" s="3272"/>
      <c r="AS389" s="3272"/>
      <c r="AT389" s="3272"/>
      <c r="AU389" s="3268"/>
      <c r="AV389" s="3268"/>
      <c r="AW389" s="3269"/>
      <c r="AX389" s="3268"/>
      <c r="AY389" s="3268"/>
      <c r="AZ389" s="3268"/>
      <c r="BA389" s="3268"/>
      <c r="BB389" s="3268"/>
      <c r="BC389" s="3268"/>
      <c r="BD389" s="3268"/>
      <c r="BE389" s="3268"/>
      <c r="BF389" s="3268"/>
      <c r="BG389" s="3268"/>
    </row>
    <row r="390" spans="1:62">
      <c r="A390" s="3273" t="s">
        <v>4426</v>
      </c>
      <c r="B390" s="3263"/>
      <c r="C390" s="3263" t="s">
        <v>4427</v>
      </c>
      <c r="D390" s="3263"/>
      <c r="E390" s="3263"/>
      <c r="F390" s="3265">
        <f>동력비!D29/1000</f>
        <v>0</v>
      </c>
      <c r="G390" s="3265">
        <f>동력비!E29/1000</f>
        <v>0</v>
      </c>
      <c r="H390" s="3265">
        <f>동력비!F29/1000</f>
        <v>0</v>
      </c>
      <c r="I390" s="3265">
        <f>동력비!G29/1000</f>
        <v>0</v>
      </c>
      <c r="J390" s="3265">
        <f>동력비!H29/1000</f>
        <v>0</v>
      </c>
      <c r="K390" s="3265">
        <f>동력비!I29/1000</f>
        <v>0</v>
      </c>
      <c r="L390" s="3265">
        <f>동력비!J29/1000</f>
        <v>0</v>
      </c>
      <c r="M390" s="3265">
        <f>동력비!K29/1000</f>
        <v>0</v>
      </c>
      <c r="N390" s="3265">
        <f>동력비!L29/1000</f>
        <v>0</v>
      </c>
      <c r="O390" s="3265">
        <f>동력비!M29/1000</f>
        <v>0</v>
      </c>
      <c r="P390" s="3265">
        <f>동력비!N29/1000</f>
        <v>0</v>
      </c>
      <c r="Q390" s="3265">
        <f>동력비!O29/1000</f>
        <v>0</v>
      </c>
      <c r="R390" s="3265">
        <f>동력비!P29/1000</f>
        <v>0</v>
      </c>
      <c r="S390" s="3265">
        <f>동력비!Q29/1000</f>
        <v>0</v>
      </c>
      <c r="T390" s="3265">
        <f>동력비!R29/1000</f>
        <v>0</v>
      </c>
      <c r="U390" s="3265">
        <f>동력비!S29/1000</f>
        <v>0</v>
      </c>
      <c r="V390" s="3265">
        <f>동력비!T29/1000</f>
        <v>0</v>
      </c>
      <c r="W390" s="3265">
        <f>동력비!U29/1000</f>
        <v>0</v>
      </c>
      <c r="X390" s="3265">
        <f>동력비!V29/1000</f>
        <v>0</v>
      </c>
      <c r="Y390" s="3265">
        <f>동력비!W29/1000</f>
        <v>0</v>
      </c>
      <c r="Z390" s="3265">
        <f>동력비!X29/1000</f>
        <v>0</v>
      </c>
      <c r="AA390" s="3265">
        <f>동력비!Y29/1000</f>
        <v>0</v>
      </c>
      <c r="AB390" s="3265">
        <f>동력비!Z29/1000</f>
        <v>0</v>
      </c>
      <c r="AC390" s="3265">
        <f>동력비!AA29/1000</f>
        <v>0</v>
      </c>
      <c r="AD390" s="3265">
        <f>동력비!AB29/1000</f>
        <v>0</v>
      </c>
      <c r="AE390" s="3265">
        <f>동력비!AC29/1000</f>
        <v>0</v>
      </c>
      <c r="AF390" s="3265">
        <f>동력비!AD29/1000</f>
        <v>0</v>
      </c>
      <c r="AG390" s="3272"/>
      <c r="AH390" s="3272"/>
      <c r="AI390" s="3272"/>
      <c r="AJ390" s="3272"/>
      <c r="AK390" s="3272"/>
      <c r="AL390" s="3272"/>
      <c r="AM390" s="3272"/>
      <c r="AN390" s="3272"/>
      <c r="AO390" s="3272"/>
      <c r="AP390" s="3272"/>
      <c r="AQ390" s="3272"/>
      <c r="AR390" s="3272"/>
      <c r="AS390" s="3272"/>
      <c r="AT390" s="3272"/>
      <c r="AU390" s="3268"/>
      <c r="AV390" s="3268"/>
      <c r="AW390" s="3269"/>
      <c r="AX390" s="3268"/>
      <c r="AY390" s="3268"/>
      <c r="AZ390" s="3268"/>
      <c r="BA390" s="3268"/>
      <c r="BB390" s="3268"/>
      <c r="BC390" s="3268"/>
      <c r="BD390" s="3268"/>
      <c r="BE390" s="3268"/>
      <c r="BF390" s="3268"/>
      <c r="BG390" s="3268"/>
    </row>
    <row r="391" spans="1:62">
      <c r="A391" s="3273" t="s">
        <v>4428</v>
      </c>
      <c r="B391" s="3263"/>
      <c r="C391" s="3263"/>
      <c r="D391" s="3263"/>
      <c r="E391" s="3263"/>
      <c r="F391" s="3275">
        <f>동력비!D35/1000</f>
        <v>211306.99268897291</v>
      </c>
      <c r="G391" s="3275">
        <f>동력비!E35/1000</f>
        <v>219759.27239653183</v>
      </c>
      <c r="H391" s="3275">
        <f>동력비!F35/1000</f>
        <v>228211.55210409075</v>
      </c>
      <c r="I391" s="3275">
        <f>동력비!G35/1000</f>
        <v>236663.83181164964</v>
      </c>
      <c r="J391" s="3275">
        <f>동력비!H35/1000</f>
        <v>245116.11151920859</v>
      </c>
      <c r="K391" s="3275">
        <f>동력비!I35/1000</f>
        <v>253568.39122676748</v>
      </c>
      <c r="L391" s="3275">
        <f>동력비!J35/1000</f>
        <v>262020.67093432642</v>
      </c>
      <c r="M391" s="3275">
        <f>동력비!K35/1000</f>
        <v>270472.95064188528</v>
      </c>
      <c r="N391" s="3275">
        <f>동력비!L35/1000</f>
        <v>278925.23034944426</v>
      </c>
      <c r="O391" s="3275">
        <f>동력비!M35/1000</f>
        <v>287377.51005700312</v>
      </c>
      <c r="P391" s="3275">
        <f>동력비!N35/1000</f>
        <v>295829.7897645621</v>
      </c>
      <c r="Q391" s="3275">
        <f>동력비!O35/1000</f>
        <v>304282.06947212096</v>
      </c>
      <c r="R391" s="3275">
        <f>동력비!P35/1000</f>
        <v>312734.34917967994</v>
      </c>
      <c r="S391" s="3275">
        <f>동력비!Q35/1000</f>
        <v>321186.6288872388</v>
      </c>
      <c r="T391" s="3275">
        <f>동력비!R35/1000</f>
        <v>329638.90859479777</v>
      </c>
      <c r="U391" s="3275">
        <f>동력비!S35/1000</f>
        <v>338091.18830235663</v>
      </c>
      <c r="V391" s="3275">
        <f>동력비!T35/1000</f>
        <v>346543.46800991561</v>
      </c>
      <c r="W391" s="3275">
        <f>동력비!U35/1000</f>
        <v>354995.74771747447</v>
      </c>
      <c r="X391" s="3275">
        <f>동력비!V35/1000</f>
        <v>363448.02742503339</v>
      </c>
      <c r="Y391" s="3275">
        <f>동력비!W35/1000</f>
        <v>371900.30713259231</v>
      </c>
      <c r="Z391" s="3275">
        <f>동력비!X35/1000</f>
        <v>380352.58684015117</v>
      </c>
      <c r="AA391" s="3275">
        <f>동력비!Y35/1000</f>
        <v>388804.86654771015</v>
      </c>
      <c r="AB391" s="3275">
        <f>동력비!Z35/1000</f>
        <v>397257.14625526912</v>
      </c>
      <c r="AC391" s="3275">
        <f>동력비!AA35/1000</f>
        <v>405709.42596282798</v>
      </c>
      <c r="AD391" s="3275">
        <f>동력비!AB35/1000</f>
        <v>414161.7056703869</v>
      </c>
      <c r="AE391" s="3275">
        <f>동력비!AC35/1000</f>
        <v>422613.98537794582</v>
      </c>
      <c r="AF391" s="3275">
        <f>동력비!AD35/1000</f>
        <v>431066.26508550474</v>
      </c>
      <c r="AG391" s="3275">
        <f>동력비!AE35/1000</f>
        <v>439518.54479306366</v>
      </c>
      <c r="AH391" s="3275">
        <f>동력비!AF35/1000</f>
        <v>447970.82450062252</v>
      </c>
      <c r="AI391" s="3275">
        <f>동력비!AG35/1000</f>
        <v>456423.1042081815</v>
      </c>
      <c r="AJ391" s="3275">
        <f>동력비!AH35/1000</f>
        <v>464875.38391574041</v>
      </c>
      <c r="AK391" s="3275">
        <f>동력비!AI35/1000</f>
        <v>473327.66362329928</v>
      </c>
      <c r="AL391" s="3275">
        <f>동력비!AJ35/1000</f>
        <v>481779.94333085825</v>
      </c>
      <c r="AM391" s="3275">
        <f>동력비!AK35/1000</f>
        <v>490232.22303841717</v>
      </c>
      <c r="AN391" s="3275">
        <f>동력비!AL35/1000</f>
        <v>498684.50274597603</v>
      </c>
      <c r="AO391" s="3275">
        <f>동력비!AM35/1000</f>
        <v>507136.78245353495</v>
      </c>
      <c r="AP391" s="3275">
        <f>동력비!AN35/1000</f>
        <v>515589.06216109381</v>
      </c>
      <c r="AQ391" s="3275">
        <f>동력비!AO35/1000</f>
        <v>524041.34186865285</v>
      </c>
      <c r="AR391" s="3275">
        <f>동력비!AP35/1000</f>
        <v>532493.62157621176</v>
      </c>
      <c r="AS391" s="3275">
        <f>동력비!AQ35/1000</f>
        <v>540945.90128377057</v>
      </c>
      <c r="AT391" s="3275">
        <f>동력비!AR35/1000</f>
        <v>549398.1809913296</v>
      </c>
      <c r="AU391" s="3268"/>
      <c r="AV391" s="3268"/>
      <c r="AW391" s="3269"/>
      <c r="AX391" s="3268"/>
      <c r="AY391" s="3268"/>
      <c r="AZ391" s="3268"/>
      <c r="BA391" s="3268"/>
      <c r="BB391" s="3268"/>
      <c r="BC391" s="3268"/>
      <c r="BD391" s="3268"/>
      <c r="BE391" s="3268"/>
      <c r="BF391" s="3268"/>
      <c r="BG391" s="3268"/>
    </row>
    <row r="392" spans="1:62">
      <c r="A392" s="3273" t="s">
        <v>4429</v>
      </c>
      <c r="B392" s="3263"/>
      <c r="C392" s="3263"/>
      <c r="D392" s="3263"/>
      <c r="E392" s="3263"/>
      <c r="F392" s="3271">
        <f>동력비!D33/1000</f>
        <v>60000</v>
      </c>
      <c r="G392" s="3271">
        <f>동력비!E33/1000</f>
        <v>62400</v>
      </c>
      <c r="H392" s="3271">
        <f>동력비!F33/1000</f>
        <v>64800</v>
      </c>
      <c r="I392" s="3271">
        <f>동력비!G33/1000</f>
        <v>67200</v>
      </c>
      <c r="J392" s="3271">
        <f>동력비!H33/1000</f>
        <v>69600</v>
      </c>
      <c r="K392" s="3271">
        <f>동력비!I33/1000</f>
        <v>72000</v>
      </c>
      <c r="L392" s="3271">
        <f>동력비!J33/1000</f>
        <v>74400</v>
      </c>
      <c r="M392" s="3271">
        <f>동력비!K33/1000</f>
        <v>76800</v>
      </c>
      <c r="N392" s="3271">
        <f>동력비!L33/1000</f>
        <v>79200</v>
      </c>
      <c r="O392" s="3271">
        <f>동력비!M33/1000</f>
        <v>81600</v>
      </c>
      <c r="P392" s="3271">
        <f>동력비!N33/1000</f>
        <v>84000</v>
      </c>
      <c r="Q392" s="3271">
        <f>동력비!O33/1000</f>
        <v>86400</v>
      </c>
      <c r="R392" s="3271">
        <f>동력비!P33/1000</f>
        <v>88800</v>
      </c>
      <c r="S392" s="3271">
        <f>동력비!Q33/1000</f>
        <v>91200</v>
      </c>
      <c r="T392" s="3271">
        <f>동력비!R33/1000</f>
        <v>93600</v>
      </c>
      <c r="U392" s="3271">
        <f>동력비!S33/1000</f>
        <v>96000</v>
      </c>
      <c r="V392" s="3271">
        <f>동력비!T33/1000</f>
        <v>98400</v>
      </c>
      <c r="W392" s="3271">
        <f>동력비!U33/1000</f>
        <v>100800</v>
      </c>
      <c r="X392" s="3271">
        <f>동력비!V33/1000</f>
        <v>103200</v>
      </c>
      <c r="Y392" s="3271">
        <f>동력비!W33/1000</f>
        <v>105600</v>
      </c>
      <c r="Z392" s="3271">
        <f>동력비!X33/1000</f>
        <v>108000</v>
      </c>
      <c r="AA392" s="3271">
        <f>동력비!Y33/1000</f>
        <v>110400</v>
      </c>
      <c r="AB392" s="3271">
        <f>동력비!Z33/1000</f>
        <v>112800</v>
      </c>
      <c r="AC392" s="3271">
        <f>동력비!AA33/1000</f>
        <v>115200</v>
      </c>
      <c r="AD392" s="3271">
        <f>동력비!AB33/1000</f>
        <v>117600</v>
      </c>
      <c r="AE392" s="3271">
        <f>동력비!AC33/1000</f>
        <v>120000</v>
      </c>
      <c r="AF392" s="3271">
        <f>동력비!AD33/1000</f>
        <v>122400</v>
      </c>
      <c r="AG392" s="3271">
        <f>동력비!AE33/1000</f>
        <v>124800</v>
      </c>
      <c r="AH392" s="3271">
        <f>동력비!AF33/1000</f>
        <v>127200</v>
      </c>
      <c r="AI392" s="3271">
        <f>동력비!AG33/1000</f>
        <v>129600</v>
      </c>
      <c r="AJ392" s="3271">
        <f>동력비!AH33/1000</f>
        <v>132000</v>
      </c>
      <c r="AK392" s="3271">
        <f>동력비!AI33/1000</f>
        <v>134400</v>
      </c>
      <c r="AL392" s="3271">
        <f>동력비!AJ33/1000</f>
        <v>136800</v>
      </c>
      <c r="AM392" s="3271">
        <f>동력비!AK33/1000</f>
        <v>139200</v>
      </c>
      <c r="AN392" s="3271">
        <f>동력비!AL33/1000</f>
        <v>141600</v>
      </c>
      <c r="AO392" s="3271">
        <f>동력비!AM33/1000</f>
        <v>144000</v>
      </c>
      <c r="AP392" s="3271">
        <f>동력비!AN33/1000</f>
        <v>146400</v>
      </c>
      <c r="AQ392" s="3271">
        <f>동력비!AO33/1000</f>
        <v>148800</v>
      </c>
      <c r="AR392" s="3271">
        <f>동력비!AP33/1000</f>
        <v>151200</v>
      </c>
      <c r="AS392" s="3271">
        <f>동력비!AQ33/1000</f>
        <v>153600</v>
      </c>
      <c r="AT392" s="3271">
        <f>동력비!AR33/1000</f>
        <v>156000</v>
      </c>
      <c r="AU392" s="3268"/>
      <c r="AV392" s="3268"/>
      <c r="AW392" s="3269"/>
      <c r="AX392" s="3268"/>
      <c r="AY392" s="3268"/>
      <c r="AZ392" s="3268"/>
      <c r="BA392" s="3268"/>
      <c r="BB392" s="3268"/>
      <c r="BC392" s="3268"/>
      <c r="BD392" s="3268"/>
      <c r="BE392" s="3268"/>
      <c r="BF392" s="3268"/>
      <c r="BG392" s="3268"/>
    </row>
    <row r="393" spans="1:62">
      <c r="A393" s="3273" t="s">
        <v>4430</v>
      </c>
      <c r="B393" s="3263"/>
      <c r="C393" s="3263"/>
      <c r="D393" s="3263"/>
      <c r="E393" s="3263"/>
      <c r="F393" s="3271">
        <f>동력비!D37/1000</f>
        <v>60000</v>
      </c>
      <c r="G393" s="3271">
        <f>동력비!E37/1000</f>
        <v>62400</v>
      </c>
      <c r="H393" s="3271">
        <f>동력비!F37/1000</f>
        <v>64800</v>
      </c>
      <c r="I393" s="3271">
        <f>동력비!G37/1000</f>
        <v>67200</v>
      </c>
      <c r="J393" s="3271">
        <f>동력비!H37/1000</f>
        <v>69600</v>
      </c>
      <c r="K393" s="3271">
        <f>동력비!I37/1000</f>
        <v>72000</v>
      </c>
      <c r="L393" s="3271">
        <f>동력비!J37/1000</f>
        <v>74400</v>
      </c>
      <c r="M393" s="3271">
        <f>동력비!K37/1000</f>
        <v>76800</v>
      </c>
      <c r="N393" s="3271">
        <f>동력비!L37/1000</f>
        <v>79200</v>
      </c>
      <c r="O393" s="3271">
        <f>동력비!M37/1000</f>
        <v>81600</v>
      </c>
      <c r="P393" s="3271">
        <f>동력비!N37/1000</f>
        <v>84000</v>
      </c>
      <c r="Q393" s="3271">
        <f>동력비!O37/1000</f>
        <v>86400</v>
      </c>
      <c r="R393" s="3271">
        <f>동력비!P37/1000</f>
        <v>88800</v>
      </c>
      <c r="S393" s="3271">
        <f>동력비!Q37/1000</f>
        <v>91200</v>
      </c>
      <c r="T393" s="3271">
        <f>동력비!R37/1000</f>
        <v>93600</v>
      </c>
      <c r="U393" s="3271">
        <f>동력비!S37/1000</f>
        <v>96000</v>
      </c>
      <c r="V393" s="3271">
        <f>동력비!T37/1000</f>
        <v>98400</v>
      </c>
      <c r="W393" s="3271">
        <f>동력비!U37/1000</f>
        <v>100800</v>
      </c>
      <c r="X393" s="3271">
        <f>동력비!V37/1000</f>
        <v>103200</v>
      </c>
      <c r="Y393" s="3271">
        <f>동력비!W37/1000</f>
        <v>105600</v>
      </c>
      <c r="Z393" s="3271">
        <f>동력비!X37/1000</f>
        <v>108000</v>
      </c>
      <c r="AA393" s="3271">
        <f>동력비!Y37/1000</f>
        <v>110400</v>
      </c>
      <c r="AB393" s="3271">
        <f>동력비!Z37/1000</f>
        <v>112800</v>
      </c>
      <c r="AC393" s="3271">
        <f>동력비!AA37/1000</f>
        <v>115200</v>
      </c>
      <c r="AD393" s="3271">
        <f>동력비!AB37/1000</f>
        <v>117600</v>
      </c>
      <c r="AE393" s="3271">
        <f>동력비!AC37/1000</f>
        <v>120000</v>
      </c>
      <c r="AF393" s="3271">
        <f>동력비!AD37/1000</f>
        <v>122400</v>
      </c>
      <c r="AG393" s="3271">
        <f>동력비!AE37/1000</f>
        <v>124800</v>
      </c>
      <c r="AH393" s="3271">
        <f>동력비!AF37/1000</f>
        <v>127200</v>
      </c>
      <c r="AI393" s="3271">
        <f>동력비!AG37/1000</f>
        <v>129600</v>
      </c>
      <c r="AJ393" s="3271">
        <f>동력비!AH37/1000</f>
        <v>132000</v>
      </c>
      <c r="AK393" s="3271">
        <f>동력비!AI37/1000</f>
        <v>134400</v>
      </c>
      <c r="AL393" s="3271">
        <f>동력비!AJ37/1000</f>
        <v>136800</v>
      </c>
      <c r="AM393" s="3271">
        <f>동력비!AK37/1000</f>
        <v>139200</v>
      </c>
      <c r="AN393" s="3271">
        <f>동력비!AL37/1000</f>
        <v>141600</v>
      </c>
      <c r="AO393" s="3271">
        <f>동력비!AM37/1000</f>
        <v>144000</v>
      </c>
      <c r="AP393" s="3271">
        <f>동력비!AN37/1000</f>
        <v>146400</v>
      </c>
      <c r="AQ393" s="3271">
        <f>동력비!AO37/1000</f>
        <v>148800</v>
      </c>
      <c r="AR393" s="3271">
        <f>동력비!AP37/1000</f>
        <v>151200</v>
      </c>
      <c r="AS393" s="3271">
        <f>동력비!AQ37/1000</f>
        <v>153600</v>
      </c>
      <c r="AT393" s="3271">
        <f>동력비!AR37/1000</f>
        <v>156000</v>
      </c>
      <c r="AU393" s="3268"/>
      <c r="AV393" s="3268"/>
      <c r="AW393" s="3269"/>
      <c r="AX393" s="3268"/>
      <c r="AY393" s="3268"/>
      <c r="AZ393" s="3268"/>
      <c r="BA393" s="3268"/>
      <c r="BB393" s="3268"/>
      <c r="BC393" s="3268"/>
      <c r="BD393" s="3268"/>
      <c r="BE393" s="3268"/>
      <c r="BF393" s="3268"/>
      <c r="BG393" s="3268"/>
    </row>
    <row r="394" spans="1:62">
      <c r="A394" s="3273" t="s">
        <v>4431</v>
      </c>
      <c r="B394" s="3263"/>
      <c r="C394" s="3263"/>
      <c r="D394" s="3263"/>
      <c r="E394" s="3263"/>
      <c r="F394" s="3271">
        <f>동력비!D39/1000</f>
        <v>30000</v>
      </c>
      <c r="G394" s="3271">
        <f>동력비!E39/1000</f>
        <v>31200</v>
      </c>
      <c r="H394" s="3271">
        <f>동력비!F39/1000</f>
        <v>32400</v>
      </c>
      <c r="I394" s="3271">
        <f>동력비!G39/1000</f>
        <v>33600</v>
      </c>
      <c r="J394" s="3271">
        <f>동력비!H39/1000</f>
        <v>34800</v>
      </c>
      <c r="K394" s="3271">
        <f>동력비!I39/1000</f>
        <v>36000</v>
      </c>
      <c r="L394" s="3271">
        <f>동력비!J39/1000</f>
        <v>37200</v>
      </c>
      <c r="M394" s="3271">
        <f>동력비!K39/1000</f>
        <v>38400</v>
      </c>
      <c r="N394" s="3271">
        <f>동력비!L39/1000</f>
        <v>39600</v>
      </c>
      <c r="O394" s="3271">
        <f>동력비!M39/1000</f>
        <v>40800</v>
      </c>
      <c r="P394" s="3271">
        <f>동력비!N39/1000</f>
        <v>42000</v>
      </c>
      <c r="Q394" s="3271">
        <f>동력비!O39/1000</f>
        <v>43200</v>
      </c>
      <c r="R394" s="3271">
        <f>동력비!P39/1000</f>
        <v>44400</v>
      </c>
      <c r="S394" s="3271">
        <f>동력비!Q39/1000</f>
        <v>45600</v>
      </c>
      <c r="T394" s="3271">
        <f>동력비!R39/1000</f>
        <v>46800</v>
      </c>
      <c r="U394" s="3271">
        <f>동력비!S39/1000</f>
        <v>48000</v>
      </c>
      <c r="V394" s="3271">
        <f>동력비!T39/1000</f>
        <v>49200</v>
      </c>
      <c r="W394" s="3271">
        <f>동력비!U39/1000</f>
        <v>50400</v>
      </c>
      <c r="X394" s="3271">
        <f>동력비!V39/1000</f>
        <v>51600</v>
      </c>
      <c r="Y394" s="3271">
        <f>동력비!W39/1000</f>
        <v>52800</v>
      </c>
      <c r="Z394" s="3271">
        <f>동력비!X39/1000</f>
        <v>54000</v>
      </c>
      <c r="AA394" s="3271">
        <f>동력비!Y39/1000</f>
        <v>55200</v>
      </c>
      <c r="AB394" s="3271">
        <f>동력비!Z39/1000</f>
        <v>56400</v>
      </c>
      <c r="AC394" s="3271">
        <f>동력비!AA39/1000</f>
        <v>57600</v>
      </c>
      <c r="AD394" s="3271">
        <f>동력비!AB39/1000</f>
        <v>58800</v>
      </c>
      <c r="AE394" s="3271">
        <f>동력비!AC39/1000</f>
        <v>60000</v>
      </c>
      <c r="AF394" s="3271">
        <f>동력비!AD39/1000</f>
        <v>61200</v>
      </c>
      <c r="AG394" s="3271">
        <f>동력비!AE39/1000</f>
        <v>62400</v>
      </c>
      <c r="AH394" s="3271">
        <f>동력비!AF39/1000</f>
        <v>63600</v>
      </c>
      <c r="AI394" s="3271">
        <f>동력비!AG39/1000</f>
        <v>64800</v>
      </c>
      <c r="AJ394" s="3271">
        <f>동력비!AH39/1000</f>
        <v>66000</v>
      </c>
      <c r="AK394" s="3271">
        <f>동력비!AI39/1000</f>
        <v>67200</v>
      </c>
      <c r="AL394" s="3271">
        <f>동력비!AJ39/1000</f>
        <v>68400</v>
      </c>
      <c r="AM394" s="3271">
        <f>동력비!AK39/1000</f>
        <v>69600</v>
      </c>
      <c r="AN394" s="3271">
        <f>동력비!AL39/1000</f>
        <v>70800</v>
      </c>
      <c r="AO394" s="3271">
        <f>동력비!AM39/1000</f>
        <v>72000</v>
      </c>
      <c r="AP394" s="3271">
        <f>동력비!AN39/1000</f>
        <v>73200</v>
      </c>
      <c r="AQ394" s="3271">
        <f>동력비!AO39/1000</f>
        <v>74400</v>
      </c>
      <c r="AR394" s="3271">
        <f>동력비!AP39/1000</f>
        <v>75600</v>
      </c>
      <c r="AS394" s="3271">
        <f>동력비!AQ39/1000</f>
        <v>76800</v>
      </c>
      <c r="AT394" s="3271">
        <f>동력비!AR39/1000</f>
        <v>78000</v>
      </c>
      <c r="AU394" s="3268"/>
      <c r="AV394" s="3268"/>
      <c r="AW394" s="3269"/>
      <c r="AX394" s="3268"/>
      <c r="AY394" s="3268"/>
      <c r="AZ394" s="3268"/>
      <c r="BA394" s="3268"/>
      <c r="BB394" s="3268"/>
      <c r="BC394" s="3268"/>
      <c r="BD394" s="3268"/>
      <c r="BE394" s="3268"/>
      <c r="BF394" s="3268"/>
      <c r="BG394" s="3268"/>
    </row>
    <row r="395" spans="1:62">
      <c r="A395" s="3273" t="s">
        <v>4432</v>
      </c>
      <c r="B395" s="3263"/>
      <c r="C395" s="3263"/>
      <c r="D395" s="3263"/>
      <c r="E395" s="3263"/>
      <c r="F395" s="3271">
        <f>동력비!D40/1000</f>
        <v>2000</v>
      </c>
      <c r="G395" s="3271">
        <f>동력비!E40/1000</f>
        <v>2040</v>
      </c>
      <c r="H395" s="3271">
        <f>동력비!F40/1000</f>
        <v>2080.8000000000002</v>
      </c>
      <c r="I395" s="3271">
        <f>동력비!G40/1000</f>
        <v>2122.4160000000002</v>
      </c>
      <c r="J395" s="3271">
        <f>동력비!H40/1000</f>
        <v>2164.8643199999997</v>
      </c>
      <c r="K395" s="3271">
        <f>동력비!I40/1000</f>
        <v>2208.1616064</v>
      </c>
      <c r="L395" s="3271">
        <f>동력비!J40/1000</f>
        <v>2252.3248385279999</v>
      </c>
      <c r="M395" s="3271">
        <f>동력비!K40/1000</f>
        <v>2297.3713352985596</v>
      </c>
      <c r="N395" s="3271">
        <f>동력비!L40/1000</f>
        <v>2343.318762004531</v>
      </c>
      <c r="O395" s="3271">
        <f>동력비!M40/1000</f>
        <v>2390.1851372446217</v>
      </c>
      <c r="P395" s="3271">
        <f>동력비!N40/1000</f>
        <v>2437.988839989514</v>
      </c>
      <c r="Q395" s="3271">
        <f>동력비!O40/1000</f>
        <v>2486.7486167893044</v>
      </c>
      <c r="R395" s="3271">
        <f>동력비!P40/1000</f>
        <v>2536.4835891250905</v>
      </c>
      <c r="S395" s="3271">
        <f>동력비!Q40/1000</f>
        <v>2587.213260907592</v>
      </c>
      <c r="T395" s="3271">
        <f>동력비!R40/1000</f>
        <v>2638.9575261257442</v>
      </c>
      <c r="U395" s="3271">
        <f>동력비!S40/1000</f>
        <v>2691.7366766482587</v>
      </c>
      <c r="V395" s="3271">
        <f>동력비!T40/1000</f>
        <v>2745.5714101812237</v>
      </c>
      <c r="W395" s="3271">
        <f>동력비!U40/1000</f>
        <v>2800.4828383848485</v>
      </c>
      <c r="X395" s="3271">
        <f>동력비!V40/1000</f>
        <v>2856.4924951525454</v>
      </c>
      <c r="Y395" s="3271">
        <f>동력비!W40/1000</f>
        <v>2913.6223450555963</v>
      </c>
      <c r="Z395" s="3271">
        <f>동력비!X40/1000</f>
        <v>2971.8947919567081</v>
      </c>
      <c r="AA395" s="3271">
        <f>동력비!Y40/1000</f>
        <v>3031.3326877958425</v>
      </c>
      <c r="AB395" s="3271">
        <f>동력비!Z40/1000</f>
        <v>3091.9593415517593</v>
      </c>
      <c r="AC395" s="3271">
        <f>동력비!AA40/1000</f>
        <v>3153.7985283827943</v>
      </c>
      <c r="AD395" s="3271">
        <f>동력비!AB40/1000</f>
        <v>3216.8744989504503</v>
      </c>
      <c r="AE395" s="3271">
        <f>동력비!AC40/1000</f>
        <v>3281.2119889294595</v>
      </c>
      <c r="AF395" s="3271">
        <f>동력비!AD40/1000</f>
        <v>3346.836228708049</v>
      </c>
      <c r="AG395" s="3271">
        <f>동력비!AE40/1000</f>
        <v>3413.77295328221</v>
      </c>
      <c r="AH395" s="3271">
        <f>동력비!AF40/1000</f>
        <v>3482.0484123478541</v>
      </c>
      <c r="AI395" s="3271">
        <f>동력비!AG40/1000</f>
        <v>3551.6893805948116</v>
      </c>
      <c r="AJ395" s="3271">
        <f>동력비!AH40/1000</f>
        <v>3622.7231682067077</v>
      </c>
      <c r="AK395" s="3271">
        <f>동력비!AI40/1000</f>
        <v>3695.1776315708416</v>
      </c>
      <c r="AL395" s="3271">
        <f>동력비!AJ40/1000</f>
        <v>3769.0811842022586</v>
      </c>
      <c r="AM395" s="3271">
        <f>동력비!AK40/1000</f>
        <v>3844.4628078863038</v>
      </c>
      <c r="AN395" s="3271">
        <f>동력비!AL40/1000</f>
        <v>3921.3520640440297</v>
      </c>
      <c r="AO395" s="3271">
        <f>동력비!AM40/1000</f>
        <v>3999.7791053249107</v>
      </c>
      <c r="AP395" s="3271">
        <f>동력비!AN40/1000</f>
        <v>4079.7746874314084</v>
      </c>
      <c r="AQ395" s="3271">
        <f>동력비!AO40/1000</f>
        <v>4161.3701811800365</v>
      </c>
      <c r="AR395" s="3271">
        <f>동력비!AP40/1000</f>
        <v>4244.5975848036369</v>
      </c>
      <c r="AS395" s="3271">
        <f>동력비!AQ40/1000</f>
        <v>4329.4895364997101</v>
      </c>
      <c r="AT395" s="3271">
        <f>동력비!AR40/1000</f>
        <v>4416.0793272297042</v>
      </c>
      <c r="AU395" s="3268"/>
      <c r="AV395" s="3268"/>
      <c r="AW395" s="3269"/>
      <c r="AX395" s="3268"/>
      <c r="AY395" s="3268"/>
      <c r="AZ395" s="3268"/>
      <c r="BA395" s="3268"/>
      <c r="BB395" s="3268"/>
      <c r="BC395" s="3268"/>
      <c r="BD395" s="3268"/>
      <c r="BE395" s="3268"/>
      <c r="BF395" s="3268"/>
      <c r="BG395" s="3268"/>
    </row>
    <row r="396" spans="1:62">
      <c r="A396" s="3273" t="s">
        <v>4433</v>
      </c>
      <c r="B396" s="3263"/>
      <c r="C396" s="3263"/>
      <c r="D396" s="3263"/>
      <c r="E396" s="3263"/>
      <c r="F396" s="3271">
        <f>동력비!D41/1000</f>
        <v>1500</v>
      </c>
      <c r="G396" s="3271">
        <f>동력비!E41/1000</f>
        <v>1530</v>
      </c>
      <c r="H396" s="3271">
        <f>동력비!F41/1000</f>
        <v>1560.6</v>
      </c>
      <c r="I396" s="3271">
        <f>동력비!G41/1000</f>
        <v>1591.8119999999999</v>
      </c>
      <c r="J396" s="3271">
        <f>동력비!H41/1000</f>
        <v>1623.64824</v>
      </c>
      <c r="K396" s="3271">
        <f>동력비!I41/1000</f>
        <v>1656.1212048</v>
      </c>
      <c r="L396" s="3271">
        <f>동력비!J41/1000</f>
        <v>1689.2436288959998</v>
      </c>
      <c r="M396" s="3271">
        <f>동력비!K41/1000</f>
        <v>1723.02850147392</v>
      </c>
      <c r="N396" s="3271">
        <f>동력비!L41/1000</f>
        <v>1757.4890715033985</v>
      </c>
      <c r="O396" s="3271">
        <f>동력비!M41/1000</f>
        <v>1792.6388529334665</v>
      </c>
      <c r="P396" s="3271">
        <f>동력비!N41/1000</f>
        <v>1828.4916299921358</v>
      </c>
      <c r="Q396" s="3271">
        <f>동력비!O41/1000</f>
        <v>1865.0614625919784</v>
      </c>
      <c r="R396" s="3271">
        <f>동력비!P41/1000</f>
        <v>1902.3626918438181</v>
      </c>
      <c r="S396" s="3271">
        <f>동력비!Q41/1000</f>
        <v>1940.4099456806946</v>
      </c>
      <c r="T396" s="3271">
        <f>동력비!R41/1000</f>
        <v>1979.2181445943088</v>
      </c>
      <c r="U396" s="3271">
        <f>동력비!S41/1000</f>
        <v>2018.8025074861948</v>
      </c>
      <c r="V396" s="3271">
        <f>동력비!T41/1000</f>
        <v>2059.1785576359189</v>
      </c>
      <c r="W396" s="3271">
        <f>동력비!U41/1000</f>
        <v>2100.3621287886372</v>
      </c>
      <c r="X396" s="3271">
        <f>동력비!V41/1000</f>
        <v>2142.3693713644097</v>
      </c>
      <c r="Y396" s="3271">
        <f>동력비!W41/1000</f>
        <v>2185.2167587916979</v>
      </c>
      <c r="Z396" s="3271">
        <f>동력비!X41/1000</f>
        <v>2228.9210939675318</v>
      </c>
      <c r="AA396" s="3271">
        <f>동력비!Y41/1000</f>
        <v>2273.4995158468823</v>
      </c>
      <c r="AB396" s="3271">
        <f>동력비!Z41/1000</f>
        <v>2318.9695061638204</v>
      </c>
      <c r="AC396" s="3271">
        <f>동력비!AA41/1000</f>
        <v>2365.3488962870965</v>
      </c>
      <c r="AD396" s="3271">
        <f>동력비!AB41/1000</f>
        <v>2412.6558742128386</v>
      </c>
      <c r="AE396" s="3271">
        <f>동력비!AC41/1000</f>
        <v>2460.9089916970952</v>
      </c>
      <c r="AF396" s="3271">
        <f>동력비!AD41/1000</f>
        <v>2510.1271715310372</v>
      </c>
      <c r="AG396" s="3271">
        <f>동력비!AE41/1000</f>
        <v>2560.3297149616583</v>
      </c>
      <c r="AH396" s="3271">
        <f>동력비!AF41/1000</f>
        <v>2611.5363092608914</v>
      </c>
      <c r="AI396" s="3271">
        <f>동력비!AG41/1000</f>
        <v>2663.7670354461093</v>
      </c>
      <c r="AJ396" s="3271">
        <f>동력비!AH41/1000</f>
        <v>2717.0423761550314</v>
      </c>
      <c r="AK396" s="3271">
        <f>동력비!AI41/1000</f>
        <v>2771.3832236781323</v>
      </c>
      <c r="AL396" s="3271">
        <f>동력비!AJ41/1000</f>
        <v>2826.8108881516946</v>
      </c>
      <c r="AM396" s="3271">
        <f>동력비!AK41/1000</f>
        <v>2883.3471059147287</v>
      </c>
      <c r="AN396" s="3271">
        <f>동력비!AL41/1000</f>
        <v>2941.0140480330233</v>
      </c>
      <c r="AO396" s="3271">
        <f>동력비!AM41/1000</f>
        <v>2999.8343289936838</v>
      </c>
      <c r="AP396" s="3271">
        <f>동력비!AN41/1000</f>
        <v>3059.8310155735576</v>
      </c>
      <c r="AQ396" s="3271">
        <f>동력비!AO41/1000</f>
        <v>3121.0276358850288</v>
      </c>
      <c r="AR396" s="3271">
        <f>동력비!AP41/1000</f>
        <v>3183.4481886027293</v>
      </c>
      <c r="AS396" s="3271">
        <f>동력비!AQ41/1000</f>
        <v>3247.1171523747839</v>
      </c>
      <c r="AT396" s="3271">
        <f>동력비!AR41/1000</f>
        <v>3312.0594954222797</v>
      </c>
      <c r="AU396" s="3268"/>
      <c r="AV396" s="3268"/>
      <c r="AW396" s="3269"/>
      <c r="AX396" s="3268"/>
      <c r="AY396" s="3268"/>
      <c r="AZ396" s="3268"/>
      <c r="BA396" s="3268"/>
      <c r="BB396" s="3268"/>
      <c r="BC396" s="3268"/>
      <c r="BD396" s="3268"/>
      <c r="BE396" s="3268"/>
      <c r="BF396" s="3268"/>
      <c r="BG396" s="3268"/>
    </row>
    <row r="397" spans="1:62">
      <c r="A397" s="3276"/>
      <c r="B397" s="3277"/>
      <c r="C397" s="3278"/>
      <c r="D397" s="3278"/>
      <c r="E397" s="3278"/>
      <c r="F397" s="3279"/>
      <c r="G397" s="3279"/>
      <c r="H397" s="3279"/>
      <c r="I397" s="3279"/>
      <c r="J397" s="3279"/>
      <c r="K397" s="3279"/>
      <c r="L397" s="3279"/>
      <c r="M397" s="3279"/>
      <c r="N397" s="3279"/>
      <c r="O397" s="3279"/>
      <c r="P397" s="3279"/>
      <c r="Q397" s="3279"/>
      <c r="R397" s="3279"/>
      <c r="S397" s="3279"/>
      <c r="T397" s="3279"/>
      <c r="U397" s="3279"/>
      <c r="V397" s="3279"/>
      <c r="W397" s="3279"/>
      <c r="X397" s="3279"/>
      <c r="Y397" s="3279"/>
      <c r="Z397" s="3276"/>
      <c r="AA397" s="3280"/>
      <c r="AB397" s="3281"/>
      <c r="AC397" s="3280"/>
      <c r="AD397" s="3280"/>
      <c r="AE397" s="3280"/>
      <c r="AF397" s="3280"/>
      <c r="AG397" s="3280"/>
      <c r="AH397" s="3280"/>
      <c r="AI397" s="3280"/>
      <c r="AJ397" s="3280"/>
      <c r="AK397" s="3280"/>
      <c r="AL397" s="3280"/>
      <c r="AM397" s="3280"/>
      <c r="AN397" s="3280"/>
      <c r="AO397" s="3280"/>
      <c r="AP397" s="3280"/>
      <c r="AQ397" s="3280"/>
      <c r="AR397" s="3280"/>
      <c r="AS397" s="3280"/>
      <c r="AT397" s="3280"/>
      <c r="AU397" s="3282"/>
      <c r="AV397" s="3282"/>
      <c r="AW397" s="3283"/>
      <c r="AX397" s="3282"/>
      <c r="AY397" s="3282"/>
      <c r="AZ397" s="3282"/>
      <c r="BA397" s="3282"/>
      <c r="BB397" s="3282"/>
      <c r="BC397" s="3282"/>
      <c r="BD397" s="3282"/>
      <c r="BE397" s="3282"/>
      <c r="BF397" s="3282"/>
      <c r="BG397" s="3282"/>
    </row>
    <row r="398" spans="1:62">
      <c r="A398" s="3197"/>
      <c r="B398" s="3197"/>
      <c r="C398" s="3197"/>
      <c r="D398" s="3197"/>
      <c r="E398" s="3197"/>
      <c r="F398" s="3197"/>
      <c r="G398" s="3197"/>
      <c r="H398" s="3197"/>
      <c r="I398" s="3197"/>
      <c r="J398" s="3197"/>
      <c r="K398" s="3197"/>
      <c r="L398" s="3197"/>
      <c r="M398" s="3197"/>
      <c r="N398" s="3197"/>
      <c r="O398" s="3197"/>
      <c r="P398" s="3197"/>
      <c r="Q398" s="3197"/>
      <c r="R398" s="3197"/>
      <c r="S398" s="3197"/>
      <c r="T398" s="3197"/>
      <c r="U398" s="3197"/>
      <c r="V398" s="3197"/>
      <c r="W398" s="3197"/>
      <c r="X398" s="3197"/>
      <c r="Y398" s="3197"/>
      <c r="Z398" s="3197"/>
      <c r="AA398" s="3197"/>
      <c r="AB398" s="3197"/>
      <c r="AC398" s="3197"/>
      <c r="AD398" s="3197"/>
      <c r="AE398" s="3197"/>
      <c r="AF398" s="3197"/>
      <c r="AG398" s="3197"/>
      <c r="AH398" s="3197"/>
      <c r="AI398" s="3197"/>
      <c r="AJ398" s="3197"/>
      <c r="AK398" s="3197"/>
      <c r="AL398" s="3197"/>
      <c r="AM398" s="3197"/>
      <c r="AN398" s="3197"/>
      <c r="AO398" s="3197"/>
      <c r="AP398" s="3197"/>
      <c r="AQ398" s="3197"/>
      <c r="AR398" s="3197"/>
      <c r="AS398" s="3197"/>
      <c r="AT398" s="3197"/>
      <c r="AU398" s="3197"/>
      <c r="AV398" s="3197"/>
      <c r="AW398" s="3284"/>
      <c r="AX398" s="3197"/>
      <c r="AY398" s="3197"/>
      <c r="AZ398" s="3197"/>
      <c r="BA398" s="3197"/>
      <c r="BB398" s="3197"/>
      <c r="BC398" s="3197"/>
      <c r="BD398" s="3197"/>
      <c r="BE398" s="3197"/>
      <c r="BF398" s="3197"/>
      <c r="BG398" s="3197"/>
    </row>
    <row r="399" spans="1:62">
      <c r="A399" s="3285" t="s">
        <v>4434</v>
      </c>
      <c r="B399" s="3285"/>
      <c r="C399" s="3285"/>
      <c r="D399" s="3285"/>
      <c r="E399" s="3285"/>
      <c r="F399" s="3285" t="s">
        <v>4435</v>
      </c>
      <c r="G399" s="3285"/>
      <c r="H399" s="3285"/>
      <c r="I399" s="3285"/>
      <c r="J399" s="3285"/>
      <c r="K399" s="3285"/>
      <c r="L399" s="3285"/>
      <c r="M399" s="3285"/>
      <c r="N399" s="3285"/>
      <c r="O399" s="3285"/>
      <c r="P399" s="3285"/>
      <c r="Q399" s="3285"/>
      <c r="R399" s="3285"/>
      <c r="S399" s="3285"/>
      <c r="T399" s="3285"/>
      <c r="U399" s="3285"/>
      <c r="V399" s="3285"/>
      <c r="W399" s="3285"/>
      <c r="X399" s="3285"/>
      <c r="Y399" s="3285"/>
      <c r="Z399" s="3285"/>
      <c r="AA399" s="3285"/>
      <c r="AB399" s="3285"/>
      <c r="AC399" s="3286"/>
      <c r="AD399" s="3286"/>
      <c r="AE399" s="3286"/>
      <c r="AF399" s="3286"/>
      <c r="AG399" s="3286"/>
      <c r="AH399" s="3286"/>
      <c r="AI399" s="3286"/>
      <c r="AJ399" s="3286"/>
      <c r="AK399" s="3286"/>
      <c r="AL399" s="3286"/>
      <c r="AM399" s="3286"/>
      <c r="AN399" s="3286"/>
      <c r="AO399" s="3286"/>
      <c r="AP399" s="3286"/>
      <c r="AQ399" s="3286"/>
      <c r="AR399" s="3286"/>
      <c r="AS399" s="3286"/>
      <c r="AT399" s="3286"/>
      <c r="AU399" s="3286"/>
      <c r="AV399" s="3286"/>
      <c r="AW399" s="3287"/>
      <c r="AX399" s="3286"/>
      <c r="AY399" s="3286"/>
      <c r="AZ399" s="3286"/>
      <c r="BA399" s="3286"/>
      <c r="BB399" s="3286"/>
      <c r="BC399" s="3286"/>
      <c r="BD399" s="3286"/>
      <c r="BE399" s="3286"/>
      <c r="BF399" s="3286"/>
      <c r="BG399" s="3286"/>
    </row>
    <row r="400" spans="1:62">
      <c r="A400" s="3288" t="s">
        <v>4436</v>
      </c>
      <c r="B400" s="3289">
        <v>1</v>
      </c>
      <c r="C400" s="3290"/>
      <c r="D400" s="3290"/>
      <c r="E400" s="3290"/>
      <c r="F400" s="3291"/>
      <c r="G400" s="3291"/>
      <c r="H400" s="3291"/>
      <c r="I400" s="3291"/>
      <c r="J400" s="3291"/>
      <c r="K400" s="3291"/>
      <c r="L400" s="3291"/>
      <c r="M400" s="3291"/>
      <c r="N400" s="3291"/>
      <c r="O400" s="3291"/>
      <c r="P400" s="3291"/>
      <c r="Q400" s="3291"/>
      <c r="R400" s="3291"/>
      <c r="S400" s="3291"/>
      <c r="T400" s="3291"/>
      <c r="U400" s="3292"/>
      <c r="V400" s="3292"/>
      <c r="W400" s="3292"/>
      <c r="X400" s="3292"/>
      <c r="Y400" s="3292"/>
      <c r="Z400" s="3292"/>
      <c r="AA400" s="3292"/>
      <c r="AB400" s="3292"/>
      <c r="AC400" s="3293"/>
      <c r="AD400" s="3293"/>
      <c r="AE400" s="3293"/>
      <c r="AF400" s="3293"/>
      <c r="AG400" s="3293"/>
      <c r="AH400" s="3293"/>
      <c r="AI400" s="3293"/>
      <c r="AJ400" s="3293"/>
      <c r="AK400" s="3293"/>
      <c r="AL400" s="3293"/>
      <c r="AM400" s="3293"/>
      <c r="AN400" s="3293"/>
      <c r="AO400" s="3293"/>
      <c r="AP400" s="3293"/>
      <c r="AQ400" s="3293"/>
      <c r="AR400" s="3293"/>
      <c r="AS400" s="3293"/>
      <c r="AT400" s="3293"/>
      <c r="AU400" s="3293"/>
      <c r="AV400" s="3293"/>
      <c r="AW400" s="3294"/>
      <c r="AX400" s="3293"/>
      <c r="AY400" s="3293"/>
      <c r="AZ400" s="3293"/>
      <c r="BA400" s="3293"/>
      <c r="BB400" s="3293"/>
      <c r="BC400" s="3293"/>
      <c r="BD400" s="3293"/>
      <c r="BE400" s="3293"/>
      <c r="BF400" s="3293"/>
      <c r="BG400" s="3293"/>
    </row>
    <row r="401" spans="1:59">
      <c r="A401" s="5606" t="s">
        <v>4437</v>
      </c>
      <c r="B401" s="5607"/>
      <c r="C401" s="5610" t="s">
        <v>4438</v>
      </c>
      <c r="D401" s="5611"/>
      <c r="E401" s="5611"/>
      <c r="F401" s="5611"/>
      <c r="G401" s="5611"/>
      <c r="H401" s="5612"/>
      <c r="I401" s="5610" t="s">
        <v>4439</v>
      </c>
      <c r="J401" s="5611"/>
      <c r="K401" s="5611"/>
      <c r="L401" s="5612"/>
      <c r="M401" s="5610" t="s">
        <v>4440</v>
      </c>
      <c r="N401" s="5611"/>
      <c r="O401" s="5611"/>
      <c r="P401" s="5612"/>
      <c r="Q401" s="5610" t="s">
        <v>4441</v>
      </c>
      <c r="R401" s="5611"/>
      <c r="S401" s="5611"/>
      <c r="T401" s="5612"/>
      <c r="U401" s="3295"/>
      <c r="V401" s="3295"/>
      <c r="W401" s="3295"/>
      <c r="X401" s="3295"/>
      <c r="Y401" s="3295"/>
      <c r="Z401" s="3295"/>
      <c r="AA401" s="3295"/>
      <c r="AB401" s="3295"/>
      <c r="AC401" s="3295"/>
      <c r="AD401" s="3295"/>
      <c r="AE401" s="3295"/>
      <c r="AF401" s="3295"/>
      <c r="AG401" s="3295"/>
      <c r="AH401" s="3295"/>
      <c r="AI401" s="3295"/>
      <c r="AJ401" s="3295"/>
      <c r="AK401" s="3295"/>
      <c r="AL401" s="3295"/>
      <c r="AM401" s="3295"/>
      <c r="AN401" s="3295"/>
      <c r="AO401" s="3295"/>
      <c r="AP401" s="3295"/>
      <c r="AQ401" s="3295"/>
      <c r="AR401" s="3295"/>
      <c r="AS401" s="3295"/>
      <c r="AT401" s="3295"/>
      <c r="AU401" s="3295"/>
      <c r="AV401" s="3295"/>
      <c r="AW401" s="3296"/>
      <c r="AX401" s="3295"/>
      <c r="AY401" s="3295"/>
      <c r="AZ401" s="3295"/>
      <c r="BA401" s="3295"/>
      <c r="BB401" s="3295"/>
      <c r="BC401" s="3295"/>
      <c r="BD401" s="3295"/>
      <c r="BE401" s="3295"/>
      <c r="BF401" s="3295"/>
      <c r="BG401" s="3295"/>
    </row>
    <row r="402" spans="1:59" ht="17.25" thickBot="1">
      <c r="A402" s="5608"/>
      <c r="B402" s="5609"/>
      <c r="C402" s="3297" t="s">
        <v>4442</v>
      </c>
      <c r="D402" s="3298"/>
      <c r="E402" s="3299"/>
      <c r="F402" s="3300" t="s">
        <v>4443</v>
      </c>
      <c r="G402" s="3300" t="s">
        <v>4444</v>
      </c>
      <c r="H402" s="3300" t="s">
        <v>4445</v>
      </c>
      <c r="I402" s="3301" t="str">
        <f>C402</f>
        <v>가동대수</v>
      </c>
      <c r="J402" s="3300" t="s">
        <v>4443</v>
      </c>
      <c r="K402" s="3300" t="s">
        <v>4444</v>
      </c>
      <c r="L402" s="3300" t="s">
        <v>4445</v>
      </c>
      <c r="M402" s="3301" t="str">
        <f>I402</f>
        <v>가동대수</v>
      </c>
      <c r="N402" s="3300" t="s">
        <v>4443</v>
      </c>
      <c r="O402" s="3300" t="s">
        <v>4444</v>
      </c>
      <c r="P402" s="3300" t="s">
        <v>4445</v>
      </c>
      <c r="Q402" s="3301" t="str">
        <f>M402</f>
        <v>가동대수</v>
      </c>
      <c r="R402" s="3300" t="s">
        <v>4443</v>
      </c>
      <c r="S402" s="3300" t="s">
        <v>4444</v>
      </c>
      <c r="T402" s="3300" t="s">
        <v>4445</v>
      </c>
      <c r="U402" s="3295"/>
      <c r="V402" s="3295"/>
      <c r="W402" s="3295"/>
      <c r="X402" s="3295"/>
      <c r="Y402" s="3295"/>
      <c r="Z402" s="3295"/>
      <c r="AA402" s="3295"/>
      <c r="AB402" s="3295"/>
      <c r="AC402" s="3295"/>
      <c r="AD402" s="3295"/>
      <c r="AE402" s="3295"/>
      <c r="AF402" s="3295"/>
      <c r="AG402" s="3295"/>
      <c r="AH402" s="3295"/>
      <c r="AI402" s="3295"/>
      <c r="AJ402" s="3295"/>
      <c r="AK402" s="3295"/>
      <c r="AL402" s="3295"/>
      <c r="AM402" s="3295"/>
      <c r="AN402" s="3295"/>
      <c r="AO402" s="3295"/>
      <c r="AP402" s="3295"/>
      <c r="AQ402" s="3295"/>
      <c r="AR402" s="3295"/>
      <c r="AS402" s="3295"/>
      <c r="AT402" s="3295"/>
      <c r="AU402" s="3295"/>
      <c r="AV402" s="3295"/>
      <c r="AW402" s="3296"/>
      <c r="AX402" s="3295"/>
      <c r="AY402" s="3295"/>
      <c r="AZ402" s="3295"/>
      <c r="BA402" s="3295"/>
      <c r="BB402" s="3295"/>
      <c r="BC402" s="3295"/>
      <c r="BD402" s="3295"/>
      <c r="BE402" s="3295"/>
      <c r="BF402" s="3295"/>
      <c r="BG402" s="3295"/>
    </row>
    <row r="403" spans="1:59">
      <c r="A403" s="5613" t="s">
        <v>4446</v>
      </c>
      <c r="B403" s="3302" t="s">
        <v>4447</v>
      </c>
      <c r="C403" s="3303">
        <v>3</v>
      </c>
      <c r="D403" s="3304"/>
      <c r="E403" s="3304"/>
      <c r="F403" s="3302">
        <v>11</v>
      </c>
      <c r="G403" s="3305">
        <f>F403/C403/2</f>
        <v>1.8333333333333333</v>
      </c>
      <c r="H403" s="3306">
        <f>IF($A$419=1,F403*G422*10^6,IF($A$419=2,F403*H422*10^6,IF($A$419=3,F403*I422*10^6)))</f>
        <v>636284083.05000007</v>
      </c>
      <c r="I403" s="3304">
        <v>3</v>
      </c>
      <c r="J403" s="3302">
        <v>12</v>
      </c>
      <c r="K403" s="3305">
        <f>J403/I403/2</f>
        <v>2</v>
      </c>
      <c r="L403" s="3306">
        <f>IF($A$419=1,J403*G422*10^6,IF($A$419=2,J403*H422*10^6,IF($A$419=3,J403*I422*10^6)))</f>
        <v>694128090.5999999</v>
      </c>
      <c r="M403" s="3304">
        <v>4</v>
      </c>
      <c r="N403" s="3302">
        <v>12</v>
      </c>
      <c r="O403" s="3305">
        <f>N403/M403/2</f>
        <v>1.5</v>
      </c>
      <c r="P403" s="3306">
        <f>IF($A$419=1,N403*G422*10^6,IF($A$419=2,N403*H422*10^6,IF($A$419=3,N403*I422*10^6)))</f>
        <v>694128090.5999999</v>
      </c>
      <c r="Q403" s="3304">
        <v>4</v>
      </c>
      <c r="R403" s="3302">
        <v>13</v>
      </c>
      <c r="S403" s="3305">
        <f>R403/Q403/2</f>
        <v>1.625</v>
      </c>
      <c r="T403" s="3306">
        <f>IF($A$419=1,R403*G422*10^6,IF($A$419=2,R403*H422*10^6,IF($A$419=3,R403*I422*10^6)))</f>
        <v>751972098.14999998</v>
      </c>
      <c r="U403" s="3307"/>
      <c r="V403" s="3307"/>
      <c r="W403" s="3307"/>
      <c r="X403" s="3307"/>
      <c r="Y403" s="3307"/>
      <c r="Z403" s="3307"/>
      <c r="AA403" s="3307"/>
      <c r="AB403" s="3307"/>
      <c r="AC403" s="3307"/>
      <c r="AD403" s="3307"/>
      <c r="AE403" s="3307"/>
      <c r="AF403" s="3307"/>
      <c r="AG403" s="3307"/>
      <c r="AH403" s="3307"/>
      <c r="AI403" s="3307"/>
      <c r="AJ403" s="3307"/>
      <c r="AK403" s="3307"/>
      <c r="AL403" s="3307"/>
      <c r="AM403" s="3307"/>
      <c r="AN403" s="3307"/>
      <c r="AO403" s="3307"/>
      <c r="AP403" s="3307"/>
      <c r="AQ403" s="3307"/>
      <c r="AR403" s="3307"/>
      <c r="AS403" s="3307"/>
      <c r="AT403" s="3307"/>
      <c r="AU403" s="3307"/>
      <c r="AV403" s="3307"/>
      <c r="AW403" s="3308"/>
      <c r="AX403" s="3307"/>
      <c r="AY403" s="3307"/>
      <c r="AZ403" s="3307"/>
      <c r="BA403" s="3307"/>
      <c r="BB403" s="3307"/>
      <c r="BC403" s="3307"/>
      <c r="BD403" s="3307"/>
      <c r="BE403" s="3307"/>
      <c r="BF403" s="3307"/>
      <c r="BG403" s="3307"/>
    </row>
    <row r="404" spans="1:59">
      <c r="A404" s="5614"/>
      <c r="B404" s="3309" t="s">
        <v>4448</v>
      </c>
      <c r="C404" s="3310">
        <v>9</v>
      </c>
      <c r="D404" s="3311"/>
      <c r="E404" s="3311"/>
      <c r="F404" s="3312">
        <f>IF($B$400=1,12,27)</f>
        <v>12</v>
      </c>
      <c r="G404" s="3313">
        <f>F404/C404/2</f>
        <v>0.66666666666666663</v>
      </c>
      <c r="H404" s="3314">
        <f>IF($A$419=1,F404*G423*10^6,IF($A$419=2,F404*H423*10^6,IF($A$419=3,F404*I423*10^6)))</f>
        <v>405719999.99999994</v>
      </c>
      <c r="I404" s="3311">
        <v>10</v>
      </c>
      <c r="J404" s="3312">
        <f>IF($B$400=1,12,27)</f>
        <v>12</v>
      </c>
      <c r="K404" s="3313">
        <f>J404/I404/2</f>
        <v>0.6</v>
      </c>
      <c r="L404" s="3314">
        <f>IF($A$419=1,J404*G423*10^6,IF($A$419=2,J404*H423*10^6,IF($A$419=3,J404*I423*10^6)))</f>
        <v>405719999.99999994</v>
      </c>
      <c r="M404" s="3311">
        <v>14</v>
      </c>
      <c r="N404" s="3312">
        <f>IF($B$400=1,12,30)</f>
        <v>12</v>
      </c>
      <c r="O404" s="3313">
        <f>N404/M404/2</f>
        <v>0.42857142857142855</v>
      </c>
      <c r="P404" s="3314">
        <f>IF($A$419=1,N404*G423*10^6,IF($A$419=2,N404*H423*10^6,IF($A$419=3,N404*I423*10^6)))</f>
        <v>405719999.99999994</v>
      </c>
      <c r="Q404" s="3311">
        <v>14</v>
      </c>
      <c r="R404" s="3312">
        <f>IF($B$400=1,12,33)</f>
        <v>12</v>
      </c>
      <c r="S404" s="3313">
        <f>R404/Q404/2</f>
        <v>0.42857142857142855</v>
      </c>
      <c r="T404" s="3314">
        <f>IF($A$419=1,R404*G423*10^6,IF($A$419=2,R404*H423*10^6,IF($A$419=3,R404*I423*10^6)))</f>
        <v>405719999.99999994</v>
      </c>
      <c r="U404" s="3315"/>
      <c r="V404" s="3315"/>
      <c r="W404" s="3315"/>
      <c r="X404" s="3315"/>
      <c r="Y404" s="3315"/>
      <c r="Z404" s="3315"/>
      <c r="AA404" s="3315"/>
      <c r="AB404" s="3315"/>
      <c r="AC404" s="3315"/>
      <c r="AD404" s="3315"/>
      <c r="AE404" s="3315"/>
      <c r="AF404" s="3315"/>
      <c r="AG404" s="3315"/>
      <c r="AH404" s="3315"/>
      <c r="AI404" s="3315"/>
      <c r="AJ404" s="3315"/>
      <c r="AK404" s="3315"/>
      <c r="AL404" s="3315"/>
      <c r="AM404" s="3315"/>
      <c r="AN404" s="3315"/>
      <c r="AO404" s="3315"/>
      <c r="AP404" s="3315"/>
      <c r="AQ404" s="3315"/>
      <c r="AR404" s="3315"/>
      <c r="AS404" s="3315"/>
      <c r="AT404" s="3315"/>
      <c r="AU404" s="3315"/>
      <c r="AV404" s="3315"/>
      <c r="AW404" s="3316"/>
      <c r="AX404" s="3315"/>
      <c r="AY404" s="3315"/>
      <c r="AZ404" s="3315"/>
      <c r="BA404" s="3315"/>
      <c r="BB404" s="3315"/>
      <c r="BC404" s="3315"/>
      <c r="BD404" s="3315"/>
      <c r="BE404" s="3315"/>
      <c r="BF404" s="3315"/>
      <c r="BG404" s="3315"/>
    </row>
    <row r="405" spans="1:59">
      <c r="A405" s="5614"/>
      <c r="B405" s="3317" t="s">
        <v>4449</v>
      </c>
      <c r="C405" s="3318">
        <v>9</v>
      </c>
      <c r="D405" s="3319"/>
      <c r="E405" s="3319"/>
      <c r="F405" s="3317">
        <v>27</v>
      </c>
      <c r="G405" s="3320">
        <f>F405/C405/2</f>
        <v>1.5</v>
      </c>
      <c r="H405" s="3321">
        <f>IF($A$419=1,F405*G426*10^6,IF($A$419=2,F405*H426*10^6,IF($A$419=3,F405*I426*10^6)))</f>
        <v>1092077465.8500001</v>
      </c>
      <c r="I405" s="3319">
        <v>9</v>
      </c>
      <c r="J405" s="3317">
        <v>30</v>
      </c>
      <c r="K405" s="3320">
        <f>J405/I405/2</f>
        <v>1.6666666666666667</v>
      </c>
      <c r="L405" s="3321">
        <f>IF($A$419=1,J405*G426*10^6,IF($A$419=2,J405*H426*10^6,IF($A$419=3,J405*I426*10^6)))</f>
        <v>1213419406.5000002</v>
      </c>
      <c r="M405" s="3319">
        <v>12</v>
      </c>
      <c r="N405" s="3317">
        <v>34</v>
      </c>
      <c r="O405" s="3320">
        <f>N405/M405/2</f>
        <v>1.4166666666666667</v>
      </c>
      <c r="P405" s="3321">
        <f>IF($A$419=1,N405*G426*10^6,IF($A$419=2,N405*H426*10^6,IF($A$419=3,N405*I426*10^6)))</f>
        <v>1375208660.7</v>
      </c>
      <c r="Q405" s="3319">
        <v>12</v>
      </c>
      <c r="R405" s="3317">
        <v>36</v>
      </c>
      <c r="S405" s="3320">
        <f>R405/Q405/2</f>
        <v>1.5</v>
      </c>
      <c r="T405" s="3321">
        <f>IF($A$419=1,R405*G426*10^6,IF($A$419=2,R405*H426*10^6,IF($A$419=3,R405*I426*10^6)))</f>
        <v>1456103287.8000002</v>
      </c>
      <c r="U405" s="3307"/>
      <c r="V405" s="3307"/>
      <c r="W405" s="3307"/>
      <c r="X405" s="3307"/>
      <c r="Y405" s="3307"/>
      <c r="Z405" s="3307"/>
      <c r="AA405" s="3307"/>
      <c r="AB405" s="3307"/>
      <c r="AC405" s="3307"/>
      <c r="AD405" s="3307"/>
      <c r="AE405" s="3307"/>
      <c r="AF405" s="3307"/>
      <c r="AG405" s="3307"/>
      <c r="AH405" s="3307"/>
      <c r="AI405" s="3307"/>
      <c r="AJ405" s="3307"/>
      <c r="AK405" s="3307"/>
      <c r="AL405" s="3307"/>
      <c r="AM405" s="3307"/>
      <c r="AN405" s="3307"/>
      <c r="AO405" s="3307"/>
      <c r="AP405" s="3307"/>
      <c r="AQ405" s="3307"/>
      <c r="AR405" s="3307"/>
      <c r="AS405" s="3307"/>
      <c r="AT405" s="3307"/>
      <c r="AU405" s="3307"/>
      <c r="AV405" s="3307"/>
      <c r="AW405" s="3308"/>
      <c r="AX405" s="3307"/>
      <c r="AY405" s="3307"/>
      <c r="AZ405" s="3307"/>
      <c r="BA405" s="3307"/>
      <c r="BB405" s="3307"/>
      <c r="BC405" s="3307"/>
      <c r="BD405" s="3307"/>
      <c r="BE405" s="3307"/>
      <c r="BF405" s="3307"/>
      <c r="BG405" s="3307"/>
    </row>
    <row r="406" spans="1:59">
      <c r="A406" s="5614"/>
      <c r="B406" s="3317" t="s">
        <v>4450</v>
      </c>
      <c r="C406" s="3318">
        <v>3</v>
      </c>
      <c r="D406" s="3319"/>
      <c r="E406" s="3319"/>
      <c r="F406" s="3317">
        <v>6</v>
      </c>
      <c r="G406" s="3320">
        <f>F406/C406/2</f>
        <v>1</v>
      </c>
      <c r="H406" s="3321">
        <f>IF($A$419=1,F406*G427*10^6,IF($A$419=2,F406*H427*10^6,IF($A$419=3,F406*I427*10^6)))</f>
        <v>264099811.50000003</v>
      </c>
      <c r="I406" s="3319">
        <v>3</v>
      </c>
      <c r="J406" s="3317">
        <v>6</v>
      </c>
      <c r="K406" s="3320">
        <f>J406/I406/2</f>
        <v>1</v>
      </c>
      <c r="L406" s="3321">
        <f>IF($A$419=1,J406*G427*10^6,IF($A$419=2,J406*H427*10^6,IF($A$419=3,J406*I427*10^6)))</f>
        <v>264099811.50000003</v>
      </c>
      <c r="M406" s="3319">
        <v>3</v>
      </c>
      <c r="N406" s="3317">
        <v>6</v>
      </c>
      <c r="O406" s="3320">
        <f>N406/M406/2</f>
        <v>1</v>
      </c>
      <c r="P406" s="3321">
        <f>IF($A$419=1,N406*G427*10^6,IF($A$419=2,N406*H427*10^6,IF($A$419=3,N406*I427*10^6)))</f>
        <v>264099811.50000003</v>
      </c>
      <c r="Q406" s="3319">
        <v>4</v>
      </c>
      <c r="R406" s="3317">
        <v>8</v>
      </c>
      <c r="S406" s="3320">
        <f>R406/Q406/2</f>
        <v>1</v>
      </c>
      <c r="T406" s="3321">
        <f>IF($A$419=1,R406*G427*10^6,IF($A$419=2,R406*H427*10^6,IF($A$419=3,R406*I427*10^6)))</f>
        <v>352133082.00000006</v>
      </c>
      <c r="U406" s="3307"/>
      <c r="V406" s="3307"/>
      <c r="W406" s="3307"/>
      <c r="X406" s="3307"/>
      <c r="Y406" s="3307"/>
      <c r="Z406" s="3307"/>
      <c r="AA406" s="3307"/>
      <c r="AB406" s="3307"/>
      <c r="AC406" s="3307"/>
      <c r="AD406" s="3307"/>
      <c r="AE406" s="3307"/>
      <c r="AF406" s="3307"/>
      <c r="AG406" s="3307"/>
      <c r="AH406" s="3307"/>
      <c r="AI406" s="3307"/>
      <c r="AJ406" s="3307"/>
      <c r="AK406" s="3307"/>
      <c r="AL406" s="3307"/>
      <c r="AM406" s="3307"/>
      <c r="AN406" s="3307"/>
      <c r="AO406" s="3307"/>
      <c r="AP406" s="3307"/>
      <c r="AQ406" s="3307"/>
      <c r="AR406" s="3307"/>
      <c r="AS406" s="3307"/>
      <c r="AT406" s="3307"/>
      <c r="AU406" s="3307"/>
      <c r="AV406" s="3307"/>
      <c r="AW406" s="3308"/>
      <c r="AX406" s="3307"/>
      <c r="AY406" s="3307"/>
      <c r="AZ406" s="3307"/>
      <c r="BA406" s="3307"/>
      <c r="BB406" s="3307"/>
      <c r="BC406" s="3307"/>
      <c r="BD406" s="3307"/>
      <c r="BE406" s="3307"/>
      <c r="BF406" s="3307"/>
      <c r="BG406" s="3307"/>
    </row>
    <row r="407" spans="1:59">
      <c r="A407" s="5615"/>
      <c r="B407" s="3322" t="s">
        <v>4451</v>
      </c>
      <c r="C407" s="3323">
        <f>SUM(C403:C406)</f>
        <v>24</v>
      </c>
      <c r="D407" s="3324"/>
      <c r="E407" s="3324"/>
      <c r="F407" s="3322">
        <f>SUM(F403:F406)</f>
        <v>56</v>
      </c>
      <c r="G407" s="3322"/>
      <c r="H407" s="3325">
        <f>SUM(H403:H406)</f>
        <v>2398181360.4000001</v>
      </c>
      <c r="I407" s="3324">
        <f>SUM(I403:I406)</f>
        <v>25</v>
      </c>
      <c r="J407" s="3322">
        <f>SUM(J403:J406)</f>
        <v>60</v>
      </c>
      <c r="K407" s="3322" t="s">
        <v>4452</v>
      </c>
      <c r="L407" s="3325">
        <f>SUM(L403:L406)</f>
        <v>2577367308.6000004</v>
      </c>
      <c r="M407" s="3324">
        <f>SUM(M403:M406)</f>
        <v>33</v>
      </c>
      <c r="N407" s="3322">
        <f>SUM(N403:N406)</f>
        <v>64</v>
      </c>
      <c r="O407" s="3322" t="s">
        <v>4452</v>
      </c>
      <c r="P407" s="3325">
        <f>SUM(P403:P406)</f>
        <v>2739156562.8000002</v>
      </c>
      <c r="Q407" s="3324">
        <f>SUM(Q403:Q406)</f>
        <v>34</v>
      </c>
      <c r="R407" s="3322">
        <f>SUM(R403:R406)</f>
        <v>69</v>
      </c>
      <c r="S407" s="3322" t="s">
        <v>4452</v>
      </c>
      <c r="T407" s="3325">
        <f>SUM(T403:T406)</f>
        <v>2965928467.9499998</v>
      </c>
      <c r="U407" s="3326"/>
      <c r="V407" s="3326"/>
      <c r="W407" s="3326"/>
      <c r="X407" s="3326"/>
      <c r="Y407" s="3326"/>
      <c r="Z407" s="3326"/>
      <c r="AA407" s="3326"/>
      <c r="AB407" s="3326"/>
      <c r="AC407" s="3326"/>
      <c r="AD407" s="3326"/>
      <c r="AE407" s="3326"/>
      <c r="AF407" s="3326"/>
      <c r="AG407" s="3326"/>
      <c r="AH407" s="3326"/>
      <c r="AI407" s="3326"/>
      <c r="AJ407" s="3326"/>
      <c r="AK407" s="3326"/>
      <c r="AL407" s="3326"/>
      <c r="AM407" s="3326"/>
      <c r="AN407" s="3326"/>
      <c r="AO407" s="3326"/>
      <c r="AP407" s="3326"/>
      <c r="AQ407" s="3326"/>
      <c r="AR407" s="3326"/>
      <c r="AS407" s="3326"/>
      <c r="AT407" s="3326"/>
      <c r="AU407" s="3326"/>
      <c r="AV407" s="3326"/>
      <c r="AW407" s="3327"/>
      <c r="AX407" s="3326"/>
      <c r="AY407" s="3326"/>
      <c r="AZ407" s="3326"/>
      <c r="BA407" s="3326"/>
      <c r="BB407" s="3326"/>
      <c r="BC407" s="3326"/>
      <c r="BD407" s="3326"/>
      <c r="BE407" s="3326"/>
      <c r="BF407" s="3326"/>
      <c r="BG407" s="3326"/>
    </row>
    <row r="408" spans="1:59">
      <c r="A408" s="5616" t="s">
        <v>4453</v>
      </c>
      <c r="B408" s="5617"/>
      <c r="C408" s="3328" t="s">
        <v>4454</v>
      </c>
      <c r="D408" s="3329"/>
      <c r="E408" s="3329"/>
      <c r="F408" s="3330">
        <v>9</v>
      </c>
      <c r="G408" s="3330" t="s">
        <v>4452</v>
      </c>
      <c r="H408" s="3331">
        <f>IF($A$419=1,F408*G428*10^6,IF($A$419=2,F408*H428*10^6,IF($A$419=3,F408*I428*10^6)))</f>
        <v>520596067.95000005</v>
      </c>
      <c r="I408" s="3329" t="s">
        <v>4454</v>
      </c>
      <c r="J408" s="3330">
        <v>9</v>
      </c>
      <c r="K408" s="3330" t="s">
        <v>4452</v>
      </c>
      <c r="L408" s="3331">
        <f>IF($A$419=1,J408*G428*10^6,IF($A$419=2,J408*H428*10^6,IF($A$419=3,J408*I428*10^6)))</f>
        <v>520596067.95000005</v>
      </c>
      <c r="M408" s="3329" t="s">
        <v>4454</v>
      </c>
      <c r="N408" s="3330">
        <v>10</v>
      </c>
      <c r="O408" s="3330" t="s">
        <v>4452</v>
      </c>
      <c r="P408" s="3331">
        <f>IF($A$419=1,N408*G428*10^6,IF($A$419=2,N408*H428*10^6,IF($A$419=3,N408*I428*10^6)))</f>
        <v>578440075.5</v>
      </c>
      <c r="Q408" s="3329" t="s">
        <v>4454</v>
      </c>
      <c r="R408" s="3330">
        <v>11</v>
      </c>
      <c r="S408" s="3330" t="s">
        <v>4452</v>
      </c>
      <c r="T408" s="3331">
        <f>IF($A$419=1,R408*G428*10^6,IF($A$419=2,R408*H428*10^6,IF($A$419=3,R408*I428*10^6)))</f>
        <v>636284083.05000007</v>
      </c>
      <c r="U408" s="3307"/>
      <c r="V408" s="3307"/>
      <c r="W408" s="3307"/>
      <c r="X408" s="3307"/>
      <c r="Y408" s="3307"/>
      <c r="Z408" s="3307"/>
      <c r="AA408" s="3307"/>
      <c r="AB408" s="3307"/>
      <c r="AC408" s="3307"/>
      <c r="AD408" s="3307"/>
      <c r="AE408" s="3307"/>
      <c r="AF408" s="3307"/>
      <c r="AG408" s="3307"/>
      <c r="AH408" s="3307"/>
      <c r="AI408" s="3307"/>
      <c r="AJ408" s="3307"/>
      <c r="AK408" s="3307"/>
      <c r="AL408" s="3307"/>
      <c r="AM408" s="3307"/>
      <c r="AN408" s="3307"/>
      <c r="AO408" s="3307"/>
      <c r="AP408" s="3307"/>
      <c r="AQ408" s="3307"/>
      <c r="AR408" s="3307"/>
      <c r="AS408" s="3307"/>
      <c r="AT408" s="3307"/>
      <c r="AU408" s="3307"/>
      <c r="AV408" s="3307"/>
      <c r="AW408" s="3308"/>
      <c r="AX408" s="3307"/>
      <c r="AY408" s="3307"/>
      <c r="AZ408" s="3307"/>
      <c r="BA408" s="3307"/>
      <c r="BB408" s="3307"/>
      <c r="BC408" s="3307"/>
      <c r="BD408" s="3307"/>
      <c r="BE408" s="3307"/>
      <c r="BF408" s="3307"/>
      <c r="BG408" s="3307"/>
    </row>
    <row r="409" spans="1:59">
      <c r="A409" s="5602" t="s">
        <v>4451</v>
      </c>
      <c r="B409" s="5603"/>
      <c r="C409" s="3332"/>
      <c r="D409" s="3333"/>
      <c r="E409" s="3333"/>
      <c r="F409" s="3334">
        <f>SUM(F408:F408)</f>
        <v>9</v>
      </c>
      <c r="G409" s="3334"/>
      <c r="H409" s="3335">
        <f>SUM(H408)</f>
        <v>520596067.95000005</v>
      </c>
      <c r="I409" s="3333"/>
      <c r="J409" s="3334">
        <f>SUM(J408:J408)</f>
        <v>9</v>
      </c>
      <c r="K409" s="3334"/>
      <c r="L409" s="3335">
        <f>SUM(L408)</f>
        <v>520596067.95000005</v>
      </c>
      <c r="M409" s="3333"/>
      <c r="N409" s="3334">
        <f>SUM(N408:N408)</f>
        <v>10</v>
      </c>
      <c r="O409" s="3334"/>
      <c r="P409" s="3335">
        <f>SUM(P408)</f>
        <v>578440075.5</v>
      </c>
      <c r="Q409" s="3333"/>
      <c r="R409" s="3334">
        <f>SUM(R408:R408)</f>
        <v>11</v>
      </c>
      <c r="S409" s="3334"/>
      <c r="T409" s="3335">
        <f>SUM(T408)</f>
        <v>636284083.05000007</v>
      </c>
      <c r="U409" s="3307"/>
      <c r="V409" s="3307"/>
      <c r="W409" s="3307"/>
      <c r="X409" s="3307"/>
      <c r="Y409" s="3307"/>
      <c r="Z409" s="3307"/>
      <c r="AA409" s="3307"/>
      <c r="AB409" s="3307"/>
      <c r="AC409" s="3307"/>
      <c r="AD409" s="3307"/>
      <c r="AE409" s="3307"/>
      <c r="AF409" s="3307"/>
      <c r="AG409" s="3307"/>
      <c r="AH409" s="3307"/>
      <c r="AI409" s="3307"/>
      <c r="AJ409" s="3307"/>
      <c r="AK409" s="3307"/>
      <c r="AL409" s="3307"/>
      <c r="AM409" s="3307"/>
      <c r="AN409" s="3307"/>
      <c r="AO409" s="3307"/>
      <c r="AP409" s="3307"/>
      <c r="AQ409" s="3307"/>
      <c r="AR409" s="3307"/>
      <c r="AS409" s="3307"/>
      <c r="AT409" s="3307"/>
      <c r="AU409" s="3307"/>
      <c r="AV409" s="3307"/>
      <c r="AW409" s="3308"/>
      <c r="AX409" s="3307"/>
      <c r="AY409" s="3307"/>
      <c r="AZ409" s="3307"/>
      <c r="BA409" s="3307"/>
      <c r="BB409" s="3307"/>
      <c r="BC409" s="3307"/>
      <c r="BD409" s="3307"/>
      <c r="BE409" s="3307"/>
      <c r="BF409" s="3307"/>
      <c r="BG409" s="3307"/>
    </row>
    <row r="410" spans="1:59">
      <c r="A410" s="5602" t="s">
        <v>4455</v>
      </c>
      <c r="B410" s="5603"/>
      <c r="C410" s="3332">
        <f>SUM(C403:C406)</f>
        <v>24</v>
      </c>
      <c r="D410" s="3333"/>
      <c r="E410" s="3333"/>
      <c r="F410" s="3334">
        <f>F407+F409</f>
        <v>65</v>
      </c>
      <c r="G410" s="3334" t="s">
        <v>4452</v>
      </c>
      <c r="H410" s="3335">
        <f>H407+H409</f>
        <v>2918777428.3500004</v>
      </c>
      <c r="I410" s="3333">
        <f>SUM(I403:I406)</f>
        <v>25</v>
      </c>
      <c r="J410" s="3334">
        <f>J407+J409</f>
        <v>69</v>
      </c>
      <c r="K410" s="3334" t="s">
        <v>4452</v>
      </c>
      <c r="L410" s="3335">
        <f>L407+L409</f>
        <v>3097963376.5500002</v>
      </c>
      <c r="M410" s="3333">
        <f>SUM(M403:M406)</f>
        <v>33</v>
      </c>
      <c r="N410" s="3334">
        <f>N407+N409</f>
        <v>74</v>
      </c>
      <c r="O410" s="3334" t="s">
        <v>4452</v>
      </c>
      <c r="P410" s="3335">
        <f>P407+P409</f>
        <v>3317596638.3000002</v>
      </c>
      <c r="Q410" s="3333">
        <f>SUM(Q403:Q406)</f>
        <v>34</v>
      </c>
      <c r="R410" s="3334">
        <f>R407+R409</f>
        <v>80</v>
      </c>
      <c r="S410" s="3334" t="s">
        <v>4452</v>
      </c>
      <c r="T410" s="3335">
        <f>T407+T409</f>
        <v>3602212551</v>
      </c>
      <c r="U410" s="3307"/>
      <c r="V410" s="3307"/>
      <c r="W410" s="3307"/>
      <c r="X410" s="3307"/>
      <c r="Y410" s="3307"/>
      <c r="Z410" s="3307"/>
      <c r="AA410" s="3307"/>
      <c r="AB410" s="3307"/>
      <c r="AC410" s="3307"/>
      <c r="AD410" s="3307"/>
      <c r="AE410" s="3307"/>
      <c r="AF410" s="3307"/>
      <c r="AG410" s="3307"/>
      <c r="AH410" s="3307"/>
      <c r="AI410" s="3307"/>
      <c r="AJ410" s="3307"/>
      <c r="AK410" s="3307"/>
      <c r="AL410" s="3307"/>
      <c r="AM410" s="3307"/>
      <c r="AN410" s="3307"/>
      <c r="AO410" s="3307"/>
      <c r="AP410" s="3307"/>
      <c r="AQ410" s="3307"/>
      <c r="AR410" s="3307"/>
      <c r="AS410" s="3307"/>
      <c r="AT410" s="3307"/>
      <c r="AU410" s="3307"/>
      <c r="AV410" s="3307"/>
      <c r="AW410" s="3308"/>
      <c r="AX410" s="3307"/>
      <c r="AY410" s="3307"/>
      <c r="AZ410" s="3307"/>
      <c r="BA410" s="3307"/>
      <c r="BB410" s="3307"/>
      <c r="BC410" s="3307"/>
      <c r="BD410" s="3307"/>
      <c r="BE410" s="3307"/>
      <c r="BF410" s="3307"/>
      <c r="BG410" s="3307"/>
    </row>
    <row r="411" spans="1:59">
      <c r="A411" s="3336" t="s">
        <v>4456</v>
      </c>
      <c r="B411" s="3337"/>
      <c r="C411" s="3338">
        <v>0.1</v>
      </c>
      <c r="D411" s="3338"/>
      <c r="E411" s="3338"/>
      <c r="F411" s="3339" t="s">
        <v>4457</v>
      </c>
      <c r="G411" s="3340">
        <v>10000000</v>
      </c>
      <c r="H411" s="3341">
        <f>G411+$H$410</f>
        <v>2928777428.3500004</v>
      </c>
      <c r="I411" s="3342"/>
      <c r="J411" s="3342" t="s">
        <v>4458</v>
      </c>
      <c r="K411" s="3340">
        <f>G411</f>
        <v>10000000</v>
      </c>
      <c r="L411" s="3341">
        <f>K411+$L$410</f>
        <v>3107963376.5500002</v>
      </c>
      <c r="M411" s="3342"/>
      <c r="N411" s="3342" t="s">
        <v>4459</v>
      </c>
      <c r="O411" s="3340">
        <f>K411</f>
        <v>10000000</v>
      </c>
      <c r="P411" s="3341">
        <f>O411+$P$410</f>
        <v>3327596638.3000002</v>
      </c>
      <c r="Q411" s="3342"/>
      <c r="R411" s="3342" t="s">
        <v>4460</v>
      </c>
      <c r="S411" s="3340">
        <f t="shared" ref="S411:S417" si="308">O411</f>
        <v>10000000</v>
      </c>
      <c r="T411" s="3343">
        <f t="shared" ref="T411:T417" si="309">S411+$T$410</f>
        <v>3612212551</v>
      </c>
      <c r="U411" s="3307"/>
      <c r="V411" s="3307"/>
      <c r="W411" s="3307"/>
      <c r="X411" s="3307"/>
      <c r="Y411" s="3307"/>
      <c r="Z411" s="3307"/>
      <c r="AA411" s="3307"/>
      <c r="AB411" s="3307"/>
      <c r="AC411" s="3307"/>
      <c r="AD411" s="3307"/>
      <c r="AE411" s="3307"/>
      <c r="AF411" s="3307"/>
      <c r="AG411" s="3307"/>
      <c r="AH411" s="3307"/>
      <c r="AI411" s="3307"/>
      <c r="AJ411" s="3307"/>
      <c r="AK411" s="3307"/>
      <c r="AL411" s="3307"/>
      <c r="AM411" s="3307"/>
      <c r="AN411" s="3307"/>
      <c r="AO411" s="3307"/>
      <c r="AP411" s="3307"/>
      <c r="AQ411" s="3307"/>
      <c r="AR411" s="3307"/>
      <c r="AS411" s="3307"/>
      <c r="AT411" s="3307"/>
      <c r="AU411" s="3307"/>
      <c r="AV411" s="3307"/>
      <c r="AW411" s="3308"/>
      <c r="AX411" s="3307"/>
      <c r="AY411" s="3307"/>
      <c r="AZ411" s="3307"/>
      <c r="BA411" s="3307"/>
      <c r="BB411" s="3307"/>
      <c r="BC411" s="3307"/>
      <c r="BD411" s="3307"/>
      <c r="BE411" s="3307"/>
      <c r="BF411" s="3307"/>
      <c r="BG411" s="3307"/>
    </row>
    <row r="412" spans="1:59">
      <c r="A412" s="3344"/>
      <c r="B412" s="3345"/>
      <c r="C412" s="3346"/>
      <c r="D412" s="3346"/>
      <c r="E412" s="3346"/>
      <c r="F412" s="3318" t="s">
        <v>4461</v>
      </c>
      <c r="G412" s="3347">
        <f t="shared" ref="G412:G417" si="310">G411*(1+$C$411)</f>
        <v>11000000</v>
      </c>
      <c r="H412" s="3348">
        <f t="shared" ref="H412:H417" si="311">G412+$H$410</f>
        <v>2929777428.3500004</v>
      </c>
      <c r="I412" s="3318"/>
      <c r="J412" s="3318" t="s">
        <v>4462</v>
      </c>
      <c r="K412" s="3347">
        <f t="shared" ref="K412:K417" si="312">G412</f>
        <v>11000000</v>
      </c>
      <c r="L412" s="3348">
        <f t="shared" ref="L412:L417" si="313">K412+$L$410</f>
        <v>3108963376.5500002</v>
      </c>
      <c r="M412" s="3318"/>
      <c r="N412" s="3318" t="s">
        <v>4463</v>
      </c>
      <c r="O412" s="3347">
        <f t="shared" ref="O412:O417" si="314">K412</f>
        <v>11000000</v>
      </c>
      <c r="P412" s="3348">
        <f t="shared" ref="P412:P417" si="315">O412+$P$410</f>
        <v>3328596638.3000002</v>
      </c>
      <c r="Q412" s="3318"/>
      <c r="R412" s="3318" t="s">
        <v>4464</v>
      </c>
      <c r="S412" s="3347">
        <f t="shared" si="308"/>
        <v>11000000</v>
      </c>
      <c r="T412" s="3349">
        <f t="shared" si="309"/>
        <v>3613212551</v>
      </c>
      <c r="U412" s="3350"/>
      <c r="V412" s="3351"/>
      <c r="W412" s="3352"/>
      <c r="X412" s="3307"/>
      <c r="Y412" s="3307"/>
      <c r="Z412" s="3307"/>
      <c r="AA412" s="3307"/>
      <c r="AB412" s="3307"/>
      <c r="AC412" s="3307"/>
      <c r="AD412" s="3307"/>
      <c r="AE412" s="3307"/>
      <c r="AF412" s="3307"/>
      <c r="AG412" s="3307"/>
      <c r="AH412" s="3307"/>
      <c r="AI412" s="3307"/>
      <c r="AJ412" s="3307"/>
      <c r="AK412" s="3307"/>
      <c r="AL412" s="3307"/>
      <c r="AM412" s="3307"/>
      <c r="AN412" s="3307"/>
      <c r="AO412" s="3307"/>
      <c r="AP412" s="3307"/>
      <c r="AQ412" s="3307"/>
      <c r="AR412" s="3307"/>
      <c r="AS412" s="3307"/>
      <c r="AT412" s="3307"/>
      <c r="AU412" s="3307"/>
      <c r="AV412" s="3307"/>
      <c r="AW412" s="3308"/>
      <c r="AX412" s="3307"/>
      <c r="AY412" s="3307"/>
      <c r="AZ412" s="3307"/>
      <c r="BA412" s="3307"/>
      <c r="BB412" s="3307"/>
      <c r="BC412" s="3307"/>
      <c r="BD412" s="3307"/>
      <c r="BE412" s="3307"/>
      <c r="BF412" s="3307"/>
      <c r="BG412" s="3307"/>
    </row>
    <row r="413" spans="1:59">
      <c r="A413" s="3344"/>
      <c r="B413" s="3345"/>
      <c r="C413" s="3318"/>
      <c r="D413" s="3318"/>
      <c r="E413" s="3318"/>
      <c r="F413" s="3318" t="s">
        <v>4465</v>
      </c>
      <c r="G413" s="3347">
        <f t="shared" si="310"/>
        <v>12100000.000000002</v>
      </c>
      <c r="H413" s="3348">
        <f t="shared" si="311"/>
        <v>2930877428.3500004</v>
      </c>
      <c r="I413" s="3318"/>
      <c r="J413" s="3318" t="s">
        <v>4466</v>
      </c>
      <c r="K413" s="3347">
        <f t="shared" si="312"/>
        <v>12100000.000000002</v>
      </c>
      <c r="L413" s="3348">
        <f t="shared" si="313"/>
        <v>3110063376.5500002</v>
      </c>
      <c r="M413" s="3318"/>
      <c r="N413" s="3318" t="s">
        <v>4467</v>
      </c>
      <c r="O413" s="3347">
        <f t="shared" si="314"/>
        <v>12100000.000000002</v>
      </c>
      <c r="P413" s="3348">
        <f t="shared" si="315"/>
        <v>3329696638.3000002</v>
      </c>
      <c r="Q413" s="3318"/>
      <c r="R413" s="3318" t="s">
        <v>4468</v>
      </c>
      <c r="S413" s="3347">
        <f t="shared" si="308"/>
        <v>12100000.000000002</v>
      </c>
      <c r="T413" s="3349">
        <f t="shared" si="309"/>
        <v>3614312551</v>
      </c>
      <c r="U413" s="3350"/>
      <c r="V413" s="3351"/>
      <c r="W413" s="3352"/>
      <c r="X413" s="3307"/>
      <c r="Y413" s="3307"/>
      <c r="Z413" s="3307"/>
      <c r="AA413" s="3307"/>
      <c r="AB413" s="3307"/>
      <c r="AC413" s="3307"/>
      <c r="AD413" s="3307"/>
      <c r="AE413" s="3307"/>
      <c r="AF413" s="3307"/>
      <c r="AG413" s="3307"/>
      <c r="AH413" s="3307"/>
      <c r="AI413" s="3307"/>
      <c r="AJ413" s="3307"/>
      <c r="AK413" s="3307"/>
      <c r="AL413" s="3307"/>
      <c r="AM413" s="3307"/>
      <c r="AN413" s="3307"/>
      <c r="AO413" s="3307"/>
      <c r="AP413" s="3307"/>
      <c r="AQ413" s="3307"/>
      <c r="AR413" s="3307"/>
      <c r="AS413" s="3307"/>
      <c r="AT413" s="3307"/>
      <c r="AU413" s="3307"/>
      <c r="AV413" s="3307"/>
      <c r="AW413" s="3308"/>
      <c r="AX413" s="3307"/>
      <c r="AY413" s="3307"/>
      <c r="AZ413" s="3307"/>
      <c r="BA413" s="3307"/>
      <c r="BB413" s="3307"/>
      <c r="BC413" s="3307"/>
      <c r="BD413" s="3307"/>
      <c r="BE413" s="3307"/>
      <c r="BF413" s="3307"/>
      <c r="BG413" s="3307"/>
    </row>
    <row r="414" spans="1:59">
      <c r="A414" s="3344"/>
      <c r="B414" s="3351"/>
      <c r="C414" s="3351"/>
      <c r="D414" s="3351"/>
      <c r="E414" s="3351"/>
      <c r="F414" s="3353" t="s">
        <v>4469</v>
      </c>
      <c r="G414" s="3354">
        <f t="shared" si="310"/>
        <v>13310000.000000004</v>
      </c>
      <c r="H414" s="3348">
        <f t="shared" si="311"/>
        <v>2932087428.3500004</v>
      </c>
      <c r="I414" s="3318"/>
      <c r="J414" s="3318" t="s">
        <v>4470</v>
      </c>
      <c r="K414" s="3354">
        <f t="shared" si="312"/>
        <v>13310000.000000004</v>
      </c>
      <c r="L414" s="3348">
        <f t="shared" si="313"/>
        <v>3111273376.5500002</v>
      </c>
      <c r="M414" s="3318"/>
      <c r="N414" s="3318" t="s">
        <v>4471</v>
      </c>
      <c r="O414" s="3354">
        <f t="shared" si="314"/>
        <v>13310000.000000004</v>
      </c>
      <c r="P414" s="3348">
        <f t="shared" si="315"/>
        <v>3330906638.3000002</v>
      </c>
      <c r="Q414" s="3318"/>
      <c r="R414" s="3318" t="s">
        <v>4472</v>
      </c>
      <c r="S414" s="3354">
        <f t="shared" si="308"/>
        <v>13310000.000000004</v>
      </c>
      <c r="T414" s="3349">
        <f t="shared" si="309"/>
        <v>3615522551</v>
      </c>
      <c r="U414" s="3350"/>
      <c r="V414" s="3351"/>
      <c r="W414" s="3352"/>
      <c r="X414" s="3307"/>
      <c r="Y414" s="3307"/>
      <c r="Z414" s="3307"/>
      <c r="AA414" s="3307"/>
      <c r="AB414" s="3307"/>
      <c r="AC414" s="3307"/>
      <c r="AD414" s="3307"/>
      <c r="AE414" s="3307"/>
      <c r="AF414" s="3307"/>
      <c r="AG414" s="3307"/>
      <c r="AH414" s="3307"/>
      <c r="AI414" s="3307"/>
      <c r="AJ414" s="3307"/>
      <c r="AK414" s="3307"/>
      <c r="AL414" s="3307"/>
      <c r="AM414" s="3307"/>
      <c r="AN414" s="3307"/>
      <c r="AO414" s="3307"/>
      <c r="AP414" s="3307"/>
      <c r="AQ414" s="3307"/>
      <c r="AR414" s="3307"/>
      <c r="AS414" s="3307"/>
      <c r="AT414" s="3307"/>
      <c r="AU414" s="3307"/>
      <c r="AV414" s="3307"/>
      <c r="AW414" s="3308"/>
      <c r="AX414" s="3307"/>
      <c r="AY414" s="3307"/>
      <c r="AZ414" s="3307"/>
      <c r="BA414" s="3307"/>
      <c r="BB414" s="3307"/>
      <c r="BC414" s="3307"/>
      <c r="BD414" s="3307"/>
      <c r="BE414" s="3307"/>
      <c r="BF414" s="3307"/>
      <c r="BG414" s="3307"/>
    </row>
    <row r="415" spans="1:59">
      <c r="A415" s="3344"/>
      <c r="B415" s="3351"/>
      <c r="C415" s="3351"/>
      <c r="D415" s="3351"/>
      <c r="E415" s="3351"/>
      <c r="F415" s="3318" t="s">
        <v>4473</v>
      </c>
      <c r="G415" s="3347">
        <f t="shared" si="310"/>
        <v>14641000.000000006</v>
      </c>
      <c r="H415" s="3348">
        <f t="shared" si="311"/>
        <v>2933418428.3500004</v>
      </c>
      <c r="I415" s="3318"/>
      <c r="J415" s="3318" t="s">
        <v>4474</v>
      </c>
      <c r="K415" s="3347">
        <f t="shared" si="312"/>
        <v>14641000.000000006</v>
      </c>
      <c r="L415" s="3348">
        <f t="shared" si="313"/>
        <v>3112604376.5500002</v>
      </c>
      <c r="M415" s="3318"/>
      <c r="N415" s="3318" t="s">
        <v>4475</v>
      </c>
      <c r="O415" s="3347">
        <f t="shared" si="314"/>
        <v>14641000.000000006</v>
      </c>
      <c r="P415" s="3348">
        <f t="shared" si="315"/>
        <v>3332237638.3000002</v>
      </c>
      <c r="Q415" s="3318"/>
      <c r="R415" s="3318" t="s">
        <v>4476</v>
      </c>
      <c r="S415" s="3355">
        <f t="shared" si="308"/>
        <v>14641000.000000006</v>
      </c>
      <c r="T415" s="3349">
        <f t="shared" si="309"/>
        <v>3616853551</v>
      </c>
      <c r="U415" s="3350"/>
      <c r="V415" s="3351"/>
      <c r="W415" s="3352"/>
      <c r="X415" s="3307"/>
      <c r="Y415" s="3307"/>
      <c r="Z415" s="3307"/>
      <c r="AA415" s="3307"/>
      <c r="AB415" s="3307"/>
      <c r="AC415" s="3307"/>
      <c r="AD415" s="3307"/>
      <c r="AE415" s="3307"/>
      <c r="AF415" s="3307"/>
      <c r="AG415" s="3307"/>
      <c r="AH415" s="3307"/>
      <c r="AI415" s="3307"/>
      <c r="AJ415" s="3307"/>
      <c r="AK415" s="3307"/>
      <c r="AL415" s="3307"/>
      <c r="AM415" s="3307"/>
      <c r="AN415" s="3307"/>
      <c r="AO415" s="3307"/>
      <c r="AP415" s="3307"/>
      <c r="AQ415" s="3307"/>
      <c r="AR415" s="3307"/>
      <c r="AS415" s="3307"/>
      <c r="AT415" s="3307"/>
      <c r="AU415" s="3307"/>
      <c r="AV415" s="3307"/>
      <c r="AW415" s="3308"/>
      <c r="AX415" s="3307"/>
      <c r="AY415" s="3307"/>
      <c r="AZ415" s="3307"/>
      <c r="BA415" s="3307"/>
      <c r="BB415" s="3307"/>
      <c r="BC415" s="3307"/>
      <c r="BD415" s="3307"/>
      <c r="BE415" s="3307"/>
      <c r="BF415" s="3307"/>
      <c r="BG415" s="3307"/>
    </row>
    <row r="416" spans="1:59">
      <c r="A416" s="3344"/>
      <c r="B416" s="3351"/>
      <c r="C416" s="3351"/>
      <c r="D416" s="3351"/>
      <c r="E416" s="3351"/>
      <c r="F416" s="3318" t="s">
        <v>4477</v>
      </c>
      <c r="G416" s="3347">
        <f t="shared" si="310"/>
        <v>16105100.000000007</v>
      </c>
      <c r="H416" s="3348">
        <f t="shared" si="311"/>
        <v>2934882528.3500004</v>
      </c>
      <c r="I416" s="3318"/>
      <c r="J416" s="3318" t="s">
        <v>4478</v>
      </c>
      <c r="K416" s="3347">
        <f t="shared" si="312"/>
        <v>16105100.000000007</v>
      </c>
      <c r="L416" s="3348">
        <f t="shared" si="313"/>
        <v>3114068476.5500002</v>
      </c>
      <c r="M416" s="3318"/>
      <c r="N416" s="3318" t="s">
        <v>4479</v>
      </c>
      <c r="O416" s="3347">
        <f t="shared" si="314"/>
        <v>16105100.000000007</v>
      </c>
      <c r="P416" s="3348">
        <f t="shared" si="315"/>
        <v>3333701738.3000002</v>
      </c>
      <c r="Q416" s="3318"/>
      <c r="R416" s="3318" t="s">
        <v>4480</v>
      </c>
      <c r="S416" s="3355">
        <f t="shared" si="308"/>
        <v>16105100.000000007</v>
      </c>
      <c r="T416" s="3356">
        <f t="shared" si="309"/>
        <v>3618317651</v>
      </c>
      <c r="U416" s="3350"/>
      <c r="V416" s="3351"/>
      <c r="W416" s="3352"/>
      <c r="X416" s="3307"/>
      <c r="Y416" s="3307"/>
      <c r="Z416" s="3307"/>
      <c r="AA416" s="3307"/>
      <c r="AB416" s="3307"/>
      <c r="AC416" s="3307"/>
      <c r="AD416" s="3307"/>
      <c r="AE416" s="3307"/>
      <c r="AF416" s="3307"/>
      <c r="AG416" s="3307"/>
      <c r="AH416" s="3307"/>
      <c r="AI416" s="3307"/>
      <c r="AJ416" s="3307"/>
      <c r="AK416" s="3307"/>
      <c r="AL416" s="3307"/>
      <c r="AM416" s="3307"/>
      <c r="AN416" s="3307"/>
      <c r="AO416" s="3307"/>
      <c r="AP416" s="3307"/>
      <c r="AQ416" s="3307"/>
      <c r="AR416" s="3307"/>
      <c r="AS416" s="3307"/>
      <c r="AT416" s="3307"/>
      <c r="AU416" s="3307"/>
      <c r="AV416" s="3307"/>
      <c r="AW416" s="3308"/>
      <c r="AX416" s="3307"/>
      <c r="AY416" s="3307"/>
      <c r="AZ416" s="3307"/>
      <c r="BA416" s="3307"/>
      <c r="BB416" s="3307"/>
      <c r="BC416" s="3307"/>
      <c r="BD416" s="3307"/>
      <c r="BE416" s="3307"/>
      <c r="BF416" s="3307"/>
      <c r="BG416" s="3307"/>
    </row>
    <row r="417" spans="1:59">
      <c r="A417" s="3357"/>
      <c r="B417" s="3323"/>
      <c r="C417" s="3323"/>
      <c r="D417" s="3323"/>
      <c r="E417" s="3323"/>
      <c r="F417" s="3358" t="s">
        <v>4481</v>
      </c>
      <c r="G417" s="3359">
        <f t="shared" si="310"/>
        <v>17715610.000000011</v>
      </c>
      <c r="H417" s="3360">
        <f t="shared" si="311"/>
        <v>2936493038.3500004</v>
      </c>
      <c r="I417" s="3358"/>
      <c r="J417" s="3358" t="s">
        <v>4482</v>
      </c>
      <c r="K417" s="3359">
        <f t="shared" si="312"/>
        <v>17715610.000000011</v>
      </c>
      <c r="L417" s="3360">
        <f t="shared" si="313"/>
        <v>3115678986.5500002</v>
      </c>
      <c r="M417" s="3358"/>
      <c r="N417" s="3358" t="s">
        <v>4483</v>
      </c>
      <c r="O417" s="3359">
        <f t="shared" si="314"/>
        <v>17715610.000000011</v>
      </c>
      <c r="P417" s="3360">
        <f t="shared" si="315"/>
        <v>3335312248.3000002</v>
      </c>
      <c r="Q417" s="3358"/>
      <c r="R417" s="3358" t="s">
        <v>4484</v>
      </c>
      <c r="S417" s="3361">
        <f t="shared" si="308"/>
        <v>17715610.000000011</v>
      </c>
      <c r="T417" s="3362">
        <f t="shared" si="309"/>
        <v>3619928161</v>
      </c>
      <c r="U417" s="3350"/>
      <c r="V417" s="3351"/>
      <c r="W417" s="3352"/>
      <c r="X417" s="3307"/>
      <c r="Y417" s="3307"/>
      <c r="Z417" s="3307"/>
      <c r="AA417" s="3307"/>
      <c r="AB417" s="3307"/>
      <c r="AC417" s="3307"/>
      <c r="AD417" s="3307"/>
      <c r="AE417" s="3307"/>
      <c r="AF417" s="3307"/>
      <c r="AG417" s="3307"/>
      <c r="AH417" s="3307"/>
      <c r="AI417" s="3307"/>
      <c r="AJ417" s="3307"/>
      <c r="AK417" s="3307"/>
      <c r="AL417" s="3307"/>
      <c r="AM417" s="3307"/>
      <c r="AN417" s="3307"/>
      <c r="AO417" s="3307"/>
      <c r="AP417" s="3307"/>
      <c r="AQ417" s="3307"/>
      <c r="AR417" s="3307"/>
      <c r="AS417" s="3307"/>
      <c r="AT417" s="3307"/>
      <c r="AU417" s="3307"/>
      <c r="AV417" s="3307"/>
      <c r="AW417" s="3308"/>
      <c r="AX417" s="3307"/>
      <c r="AY417" s="3307"/>
      <c r="AZ417" s="3307"/>
      <c r="BA417" s="3307"/>
      <c r="BB417" s="3307"/>
      <c r="BC417" s="3307"/>
      <c r="BD417" s="3307"/>
      <c r="BE417" s="3307"/>
      <c r="BF417" s="3307"/>
      <c r="BG417" s="3307"/>
    </row>
    <row r="418" spans="1:59">
      <c r="A418" s="3351"/>
      <c r="B418" s="3351"/>
      <c r="C418" s="3351"/>
      <c r="D418" s="3351"/>
      <c r="E418" s="3351"/>
      <c r="F418" s="3351"/>
      <c r="G418" s="3318"/>
      <c r="H418" s="3347"/>
      <c r="I418" s="3318"/>
      <c r="J418" s="3318"/>
      <c r="K418" s="3318"/>
      <c r="L418" s="3347"/>
      <c r="M418" s="3318"/>
      <c r="N418" s="3318"/>
      <c r="O418" s="3318"/>
      <c r="P418" s="3347"/>
      <c r="Q418" s="3318"/>
      <c r="R418" s="3318"/>
      <c r="S418" s="3318"/>
      <c r="T418" s="3347"/>
      <c r="U418" s="3350"/>
      <c r="V418" s="3351"/>
      <c r="W418" s="3352"/>
      <c r="X418" s="3307"/>
      <c r="Y418" s="3307"/>
      <c r="Z418" s="3307"/>
      <c r="AA418" s="3307"/>
      <c r="AB418" s="3307"/>
      <c r="AC418" s="3307"/>
      <c r="AD418" s="3307"/>
      <c r="AE418" s="3307"/>
      <c r="AF418" s="3307"/>
      <c r="AG418" s="3307"/>
      <c r="AH418" s="3307"/>
      <c r="AI418" s="3307"/>
      <c r="AJ418" s="3307"/>
      <c r="AK418" s="3307"/>
      <c r="AL418" s="3307"/>
      <c r="AM418" s="3307"/>
      <c r="AN418" s="3307"/>
      <c r="AO418" s="3307"/>
      <c r="AP418" s="3307"/>
      <c r="AQ418" s="3307"/>
      <c r="AR418" s="3307"/>
      <c r="AS418" s="3307"/>
      <c r="AT418" s="3307"/>
      <c r="AU418" s="3307"/>
      <c r="AV418" s="3307"/>
      <c r="AW418" s="3308"/>
      <c r="AX418" s="3307"/>
      <c r="AY418" s="3307"/>
      <c r="AZ418" s="3307"/>
      <c r="BA418" s="3307"/>
      <c r="BB418" s="3307"/>
      <c r="BC418" s="3307"/>
      <c r="BD418" s="3307"/>
      <c r="BE418" s="3307"/>
      <c r="BF418" s="3307"/>
      <c r="BG418" s="3307"/>
    </row>
    <row r="419" spans="1:59">
      <c r="A419" s="3334">
        <v>3</v>
      </c>
      <c r="B419" s="3363" t="e">
        <f>민감도!#REF!</f>
        <v>#REF!</v>
      </c>
      <c r="C419" s="3364">
        <v>1</v>
      </c>
      <c r="D419" s="3351"/>
      <c r="E419" s="3351"/>
      <c r="F419" s="3351"/>
      <c r="G419" s="3318">
        <v>1</v>
      </c>
      <c r="H419" s="3318">
        <v>2</v>
      </c>
      <c r="I419" s="3318">
        <v>3</v>
      </c>
      <c r="J419" s="3347"/>
      <c r="K419" s="3318"/>
      <c r="L419" s="3318"/>
      <c r="M419" s="3318"/>
      <c r="N419" s="3347"/>
      <c r="O419" s="3318"/>
      <c r="P419" s="3318"/>
      <c r="Q419" s="3318"/>
      <c r="R419" s="3347"/>
      <c r="S419" s="3318"/>
      <c r="T419" s="3318"/>
      <c r="U419" s="3318"/>
      <c r="V419" s="3347"/>
      <c r="W419" s="3350"/>
      <c r="X419" s="3351"/>
      <c r="Y419" s="3352"/>
      <c r="Z419" s="3307"/>
      <c r="AA419" s="3307"/>
      <c r="AB419" s="3307"/>
      <c r="AC419" s="3307"/>
      <c r="AD419" s="3307"/>
      <c r="AE419" s="3307"/>
      <c r="AF419" s="3307"/>
      <c r="AG419" s="3307"/>
      <c r="AH419" s="3307"/>
      <c r="AI419" s="3307"/>
      <c r="AJ419" s="3307"/>
      <c r="AK419" s="3307"/>
      <c r="AL419" s="3307"/>
      <c r="AM419" s="3307"/>
      <c r="AN419" s="3307"/>
      <c r="AO419" s="3307"/>
      <c r="AP419" s="3307"/>
      <c r="AQ419" s="3307"/>
      <c r="AR419" s="3307"/>
      <c r="AS419" s="3307"/>
      <c r="AT419" s="3307"/>
      <c r="AU419" s="3307"/>
      <c r="AV419" s="3307"/>
      <c r="AW419" s="3308"/>
      <c r="AX419" s="3307"/>
      <c r="AY419" s="3307"/>
      <c r="AZ419" s="3307"/>
      <c r="BA419" s="3307"/>
      <c r="BB419" s="3307"/>
      <c r="BC419" s="3307"/>
      <c r="BD419" s="3307"/>
      <c r="BE419" s="3307"/>
      <c r="BF419" s="3307"/>
      <c r="BG419" s="3307"/>
    </row>
    <row r="420" spans="1:59">
      <c r="A420" s="3336" t="s">
        <v>4485</v>
      </c>
      <c r="B420" s="3365"/>
      <c r="C420" s="3365"/>
      <c r="D420" s="3365"/>
      <c r="E420" s="3365"/>
      <c r="F420" s="3366" t="s">
        <v>4486</v>
      </c>
      <c r="G420" s="3366" t="s">
        <v>4487</v>
      </c>
      <c r="H420" s="3366" t="s">
        <v>4488</v>
      </c>
      <c r="I420" s="3366" t="s">
        <v>4489</v>
      </c>
      <c r="J420" s="3350"/>
      <c r="K420" s="3307"/>
      <c r="L420" s="3307"/>
      <c r="M420" s="3307"/>
      <c r="N420" s="3350"/>
      <c r="O420" s="3307"/>
      <c r="P420" s="3307"/>
      <c r="Q420" s="3307"/>
      <c r="R420" s="3350"/>
      <c r="S420" s="3307"/>
      <c r="T420" s="3307"/>
      <c r="U420" s="3307"/>
      <c r="V420" s="3307"/>
      <c r="W420" s="3307"/>
      <c r="X420" s="3351"/>
      <c r="Y420" s="3352"/>
      <c r="Z420" s="3307"/>
      <c r="AA420" s="3307"/>
      <c r="AB420" s="3307"/>
      <c r="AC420" s="3307"/>
      <c r="AD420" s="3307"/>
      <c r="AE420" s="3350"/>
      <c r="AF420" s="3307"/>
      <c r="AG420" s="3307"/>
      <c r="AH420" s="3307"/>
      <c r="AI420" s="3307"/>
      <c r="AJ420" s="3307"/>
      <c r="AK420" s="3307"/>
      <c r="AL420" s="3307"/>
      <c r="AM420" s="3307"/>
      <c r="AN420" s="3307"/>
      <c r="AO420" s="3307"/>
      <c r="AP420" s="3307"/>
      <c r="AQ420" s="3307"/>
      <c r="AR420" s="3307"/>
      <c r="AS420" s="3307"/>
      <c r="AT420" s="3307"/>
      <c r="AU420" s="3307"/>
      <c r="AV420" s="3307"/>
      <c r="AW420" s="3308"/>
      <c r="AX420" s="3307"/>
      <c r="AY420" s="3307"/>
      <c r="AZ420" s="3307"/>
      <c r="BA420" s="3307"/>
      <c r="BB420" s="3307"/>
      <c r="BC420" s="3307"/>
      <c r="BD420" s="3307"/>
      <c r="BE420" s="3307"/>
      <c r="BF420" s="3307"/>
      <c r="BG420" s="3307"/>
    </row>
    <row r="421" spans="1:59">
      <c r="A421" s="3367"/>
      <c r="B421" s="3368" t="s">
        <v>4490</v>
      </c>
      <c r="C421" s="3368"/>
      <c r="D421" s="3368"/>
      <c r="E421" s="3368"/>
      <c r="F421" s="3369"/>
      <c r="G421" s="3370"/>
      <c r="H421" s="3370">
        <v>0.15</v>
      </c>
      <c r="I421" s="3370">
        <v>0.05</v>
      </c>
      <c r="J421" s="3350"/>
      <c r="K421" s="3307"/>
      <c r="L421" s="3307"/>
      <c r="M421" s="3307"/>
      <c r="N421" s="3350"/>
      <c r="O421" s="3307"/>
      <c r="P421" s="3307"/>
      <c r="Q421" s="3307"/>
      <c r="R421" s="3350"/>
      <c r="S421" s="3307"/>
      <c r="T421" s="3307"/>
      <c r="U421" s="3307"/>
      <c r="V421" s="3307"/>
      <c r="W421" s="3307"/>
      <c r="X421" s="3351"/>
      <c r="Y421" s="3352"/>
      <c r="Z421" s="3307"/>
      <c r="AA421" s="3307"/>
      <c r="AB421" s="3307"/>
      <c r="AC421" s="3307"/>
      <c r="AD421" s="3307"/>
      <c r="AE421" s="3350"/>
      <c r="AF421" s="3307"/>
      <c r="AG421" s="3307"/>
      <c r="AH421" s="3307"/>
      <c r="AI421" s="3307"/>
      <c r="AJ421" s="3307"/>
      <c r="AK421" s="3307"/>
      <c r="AL421" s="3307"/>
      <c r="AM421" s="3307"/>
      <c r="AN421" s="3307"/>
      <c r="AO421" s="3307"/>
      <c r="AP421" s="3307"/>
      <c r="AQ421" s="3307"/>
      <c r="AR421" s="3307"/>
      <c r="AS421" s="3307"/>
      <c r="AT421" s="3307"/>
      <c r="AU421" s="3307"/>
      <c r="AV421" s="3307"/>
      <c r="AW421" s="3308"/>
      <c r="AX421" s="3307"/>
      <c r="AY421" s="3307"/>
      <c r="AZ421" s="3307"/>
      <c r="BA421" s="3307"/>
      <c r="BB421" s="3307"/>
      <c r="BC421" s="3307"/>
      <c r="BD421" s="3307"/>
      <c r="BE421" s="3307"/>
      <c r="BF421" s="3307"/>
      <c r="BG421" s="3307"/>
    </row>
    <row r="422" spans="1:59">
      <c r="A422" s="3371" t="s">
        <v>4447</v>
      </c>
      <c r="B422" s="3307"/>
      <c r="C422" s="3307"/>
      <c r="D422" s="3307"/>
      <c r="E422" s="3307"/>
      <c r="F422" s="3372">
        <v>47.903940000000006</v>
      </c>
      <c r="G422" s="3373">
        <f>F422*(1+$G$421)</f>
        <v>47.903940000000006</v>
      </c>
      <c r="H422" s="3373">
        <f>G422*($H$421+1)</f>
        <v>55.089531000000001</v>
      </c>
      <c r="I422" s="3373">
        <f>H422*(1+$I$421)</f>
        <v>57.844007550000001</v>
      </c>
      <c r="J422" s="3307"/>
      <c r="K422" s="3307"/>
      <c r="L422" s="3307"/>
      <c r="M422" s="3307"/>
      <c r="N422" s="3307"/>
      <c r="O422" s="3307"/>
      <c r="P422" s="3307"/>
      <c r="Q422" s="3307"/>
      <c r="R422" s="3350"/>
      <c r="S422" s="3307"/>
      <c r="T422" s="3307"/>
      <c r="U422" s="3307"/>
      <c r="V422" s="3307"/>
      <c r="W422" s="3307"/>
      <c r="X422" s="3351"/>
      <c r="Y422" s="3352"/>
      <c r="Z422" s="3307"/>
      <c r="AA422" s="3307"/>
      <c r="AB422" s="3307"/>
      <c r="AC422" s="3307"/>
      <c r="AD422" s="3307"/>
      <c r="AE422" s="3350"/>
      <c r="AF422" s="3307"/>
      <c r="AG422" s="3307"/>
      <c r="AH422" s="3307"/>
      <c r="AI422" s="3307"/>
      <c r="AJ422" s="3307"/>
      <c r="AK422" s="3307"/>
      <c r="AL422" s="3307"/>
      <c r="AM422" s="3307"/>
      <c r="AN422" s="3307"/>
      <c r="AO422" s="3307"/>
      <c r="AP422" s="3307"/>
      <c r="AQ422" s="3307"/>
      <c r="AR422" s="3307"/>
      <c r="AS422" s="3307"/>
      <c r="AT422" s="3307"/>
      <c r="AU422" s="3307"/>
      <c r="AV422" s="3307"/>
      <c r="AW422" s="3308"/>
      <c r="AX422" s="3307"/>
      <c r="AY422" s="3307"/>
      <c r="AZ422" s="3307"/>
      <c r="BA422" s="3307"/>
      <c r="BB422" s="3307"/>
      <c r="BC422" s="3307"/>
      <c r="BD422" s="3307"/>
      <c r="BE422" s="3307"/>
      <c r="BF422" s="3307"/>
      <c r="BG422" s="3307"/>
    </row>
    <row r="423" spans="1:59">
      <c r="A423" s="3371"/>
      <c r="B423" s="3307"/>
      <c r="C423" s="3307"/>
      <c r="D423" s="3307"/>
      <c r="E423" s="3307"/>
      <c r="F423" s="3372"/>
      <c r="G423" s="3374">
        <f>IF($C$419=1,G424,G425)</f>
        <v>28</v>
      </c>
      <c r="H423" s="3374">
        <f>G423*($H$421+1)</f>
        <v>32.199999999999996</v>
      </c>
      <c r="I423" s="3374">
        <f>IF($C$419=1,I424,I425)</f>
        <v>33.809999999999995</v>
      </c>
      <c r="J423" s="3307"/>
      <c r="K423" s="3307"/>
      <c r="L423" s="3307"/>
      <c r="M423" s="3307"/>
      <c r="N423" s="3307"/>
      <c r="O423" s="3307"/>
      <c r="P423" s="3307"/>
      <c r="Q423" s="3307"/>
      <c r="R423" s="3350"/>
      <c r="S423" s="3307"/>
      <c r="T423" s="3307"/>
      <c r="U423" s="3307"/>
      <c r="V423" s="3307"/>
      <c r="W423" s="3307"/>
      <c r="X423" s="3351"/>
      <c r="Y423" s="3352"/>
      <c r="Z423" s="3307"/>
      <c r="AA423" s="3307"/>
      <c r="AB423" s="3307"/>
      <c r="AC423" s="3307"/>
      <c r="AD423" s="3307"/>
      <c r="AE423" s="3350"/>
      <c r="AF423" s="3307"/>
      <c r="AG423" s="3307"/>
      <c r="AH423" s="3307"/>
      <c r="AI423" s="3307"/>
      <c r="AJ423" s="3307"/>
      <c r="AK423" s="3307"/>
      <c r="AL423" s="3307"/>
      <c r="AM423" s="3307"/>
      <c r="AN423" s="3307"/>
      <c r="AO423" s="3307"/>
      <c r="AP423" s="3307"/>
      <c r="AQ423" s="3307"/>
      <c r="AR423" s="3307"/>
      <c r="AS423" s="3307"/>
      <c r="AT423" s="3307"/>
      <c r="AU423" s="3307"/>
      <c r="AV423" s="3307"/>
      <c r="AW423" s="3308"/>
      <c r="AX423" s="3307"/>
      <c r="AY423" s="3307"/>
      <c r="AZ423" s="3307"/>
      <c r="BA423" s="3307"/>
      <c r="BB423" s="3307"/>
      <c r="BC423" s="3307"/>
      <c r="BD423" s="3307"/>
      <c r="BE423" s="3307"/>
      <c r="BF423" s="3307"/>
      <c r="BG423" s="3307"/>
    </row>
    <row r="424" spans="1:59">
      <c r="A424" s="3375" t="s">
        <v>4491</v>
      </c>
      <c r="B424" s="3376"/>
      <c r="C424" s="3376"/>
      <c r="D424" s="3376"/>
      <c r="E424" s="3376"/>
      <c r="F424" s="3377">
        <v>28</v>
      </c>
      <c r="G424" s="3378">
        <f>F424*(1+$G$421)</f>
        <v>28</v>
      </c>
      <c r="H424" s="3378">
        <f>G424*(1+$H$421)</f>
        <v>32.199999999999996</v>
      </c>
      <c r="I424" s="3378">
        <f>H424*(1+$I$421)</f>
        <v>33.809999999999995</v>
      </c>
      <c r="J424" s="3307"/>
      <c r="K424" s="3307"/>
      <c r="L424" s="3307"/>
      <c r="M424" s="3307"/>
      <c r="N424" s="3307"/>
      <c r="O424" s="3307"/>
      <c r="P424" s="3307"/>
      <c r="Q424" s="3307"/>
      <c r="R424" s="3350"/>
      <c r="S424" s="3307"/>
      <c r="T424" s="3307"/>
      <c r="U424" s="3307"/>
      <c r="V424" s="3307"/>
      <c r="W424" s="3307"/>
      <c r="X424" s="3351"/>
      <c r="Y424" s="3352"/>
      <c r="Z424" s="3307"/>
      <c r="AA424" s="3307"/>
      <c r="AB424" s="3307"/>
      <c r="AC424" s="3307"/>
      <c r="AD424" s="3307"/>
      <c r="AE424" s="3350"/>
      <c r="AF424" s="3307"/>
      <c r="AG424" s="3307"/>
      <c r="AH424" s="3307"/>
      <c r="AI424" s="3307"/>
      <c r="AJ424" s="3307"/>
      <c r="AK424" s="3307"/>
      <c r="AL424" s="3307"/>
      <c r="AM424" s="3307"/>
      <c r="AN424" s="3307"/>
      <c r="AO424" s="3307"/>
      <c r="AP424" s="3307"/>
      <c r="AQ424" s="3307"/>
      <c r="AR424" s="3307"/>
      <c r="AS424" s="3307"/>
      <c r="AT424" s="3307"/>
      <c r="AU424" s="3307"/>
      <c r="AV424" s="3307"/>
      <c r="AW424" s="3308"/>
      <c r="AX424" s="3307"/>
      <c r="AY424" s="3307"/>
      <c r="AZ424" s="3307"/>
      <c r="BA424" s="3307"/>
      <c r="BB424" s="3307"/>
      <c r="BC424" s="3307"/>
      <c r="BD424" s="3307"/>
      <c r="BE424" s="3307"/>
      <c r="BF424" s="3307"/>
      <c r="BG424" s="3307"/>
    </row>
    <row r="425" spans="1:59">
      <c r="A425" s="3375" t="s">
        <v>4492</v>
      </c>
      <c r="B425" s="3376"/>
      <c r="C425" s="3376"/>
      <c r="D425" s="3376"/>
      <c r="E425" s="3376"/>
      <c r="F425" s="3377">
        <v>38.1</v>
      </c>
      <c r="G425" s="3378">
        <f>F425*(1+$G$421)</f>
        <v>38.1</v>
      </c>
      <c r="H425" s="3378">
        <f>G425*(1+$H$421)</f>
        <v>43.814999999999998</v>
      </c>
      <c r="I425" s="3378">
        <f>H425*(1+$I$421)</f>
        <v>46.005749999999999</v>
      </c>
      <c r="J425" s="3307"/>
      <c r="K425" s="3307"/>
      <c r="L425" s="3307"/>
      <c r="M425" s="3307"/>
      <c r="N425" s="3307"/>
      <c r="O425" s="3307"/>
      <c r="P425" s="3307"/>
      <c r="Q425" s="3307"/>
      <c r="R425" s="3350"/>
      <c r="S425" s="3307"/>
      <c r="T425" s="3307"/>
      <c r="U425" s="3307"/>
      <c r="V425" s="3307"/>
      <c r="W425" s="3307"/>
      <c r="X425" s="3351"/>
      <c r="Y425" s="3352"/>
      <c r="Z425" s="3307"/>
      <c r="AA425" s="3307"/>
      <c r="AB425" s="3307"/>
      <c r="AC425" s="3307"/>
      <c r="AD425" s="3307"/>
      <c r="AE425" s="3350"/>
      <c r="AF425" s="3307"/>
      <c r="AG425" s="3307"/>
      <c r="AH425" s="3307"/>
      <c r="AI425" s="3307"/>
      <c r="AJ425" s="3307"/>
      <c r="AK425" s="3307"/>
      <c r="AL425" s="3307"/>
      <c r="AM425" s="3307"/>
      <c r="AN425" s="3307"/>
      <c r="AO425" s="3307"/>
      <c r="AP425" s="3307"/>
      <c r="AQ425" s="3307"/>
      <c r="AR425" s="3307"/>
      <c r="AS425" s="3307"/>
      <c r="AT425" s="3307"/>
      <c r="AU425" s="3307"/>
      <c r="AV425" s="3307"/>
      <c r="AW425" s="3308"/>
      <c r="AX425" s="3307"/>
      <c r="AY425" s="3307"/>
      <c r="AZ425" s="3307"/>
      <c r="BA425" s="3307"/>
      <c r="BB425" s="3307"/>
      <c r="BC425" s="3307"/>
      <c r="BD425" s="3307"/>
      <c r="BE425" s="3307"/>
      <c r="BF425" s="3307"/>
      <c r="BG425" s="3307"/>
    </row>
    <row r="426" spans="1:59">
      <c r="A426" s="3371" t="s">
        <v>4449</v>
      </c>
      <c r="B426" s="3307"/>
      <c r="C426" s="3307"/>
      <c r="D426" s="3307"/>
      <c r="E426" s="3307"/>
      <c r="F426" s="3372">
        <v>33.496740000000003</v>
      </c>
      <c r="G426" s="3373">
        <f>F426*(1+$G$421)</f>
        <v>33.496740000000003</v>
      </c>
      <c r="H426" s="3373">
        <f>G426*(1+$H$421)</f>
        <v>38.521250999999999</v>
      </c>
      <c r="I426" s="3373">
        <f>H426*(1+$I$421)</f>
        <v>40.447313550000004</v>
      </c>
      <c r="J426" s="3307"/>
      <c r="K426" s="3307"/>
      <c r="L426" s="3307"/>
      <c r="M426" s="3307"/>
      <c r="N426" s="3350"/>
      <c r="O426" s="3307"/>
      <c r="P426" s="3307"/>
      <c r="Q426" s="3307"/>
      <c r="R426" s="3350"/>
      <c r="S426" s="3307"/>
      <c r="T426" s="3307"/>
      <c r="U426" s="3307"/>
      <c r="V426" s="3307"/>
      <c r="W426" s="3307"/>
      <c r="X426" s="3351"/>
      <c r="Y426" s="3352"/>
      <c r="Z426" s="3307"/>
      <c r="AA426" s="3307"/>
      <c r="AB426" s="3307"/>
      <c r="AC426" s="3307"/>
      <c r="AD426" s="3307"/>
      <c r="AE426" s="3350"/>
      <c r="AF426" s="3307"/>
      <c r="AG426" s="3307"/>
      <c r="AH426" s="3307"/>
      <c r="AI426" s="3307"/>
      <c r="AJ426" s="3307"/>
      <c r="AK426" s="3307"/>
      <c r="AL426" s="3307"/>
      <c r="AM426" s="3307"/>
      <c r="AN426" s="3307"/>
      <c r="AO426" s="3307"/>
      <c r="AP426" s="3307"/>
      <c r="AQ426" s="3307"/>
      <c r="AR426" s="3307"/>
      <c r="AS426" s="3307"/>
      <c r="AT426" s="3307"/>
      <c r="AU426" s="3307"/>
      <c r="AV426" s="3307"/>
      <c r="AW426" s="3308"/>
      <c r="AX426" s="3307"/>
      <c r="AY426" s="3307"/>
      <c r="AZ426" s="3307"/>
      <c r="BA426" s="3307"/>
      <c r="BB426" s="3307"/>
      <c r="BC426" s="3307"/>
      <c r="BD426" s="3307"/>
      <c r="BE426" s="3307"/>
      <c r="BF426" s="3307"/>
      <c r="BG426" s="3307"/>
    </row>
    <row r="427" spans="1:59">
      <c r="A427" s="3371" t="s">
        <v>4450</v>
      </c>
      <c r="B427" s="3307"/>
      <c r="C427" s="3307"/>
      <c r="D427" s="3307"/>
      <c r="E427" s="3307"/>
      <c r="F427" s="3372">
        <v>36.452700000000007</v>
      </c>
      <c r="G427" s="3373">
        <f>F427*(1+$G$421)</f>
        <v>36.452700000000007</v>
      </c>
      <c r="H427" s="3373">
        <f>G427*(1+$H$421)</f>
        <v>41.920605000000002</v>
      </c>
      <c r="I427" s="3373">
        <f>H427*(1+$I$421)</f>
        <v>44.016635250000007</v>
      </c>
      <c r="J427" s="3318"/>
      <c r="K427" s="3307"/>
      <c r="L427" s="3307"/>
      <c r="M427" s="3307"/>
      <c r="N427" s="3307"/>
      <c r="O427" s="3307"/>
      <c r="P427" s="3307"/>
      <c r="Q427" s="3307"/>
      <c r="R427" s="3307"/>
      <c r="S427" s="3307"/>
      <c r="T427" s="3307"/>
      <c r="U427" s="3307"/>
      <c r="V427" s="3307"/>
      <c r="W427" s="3307"/>
      <c r="X427" s="3307"/>
      <c r="Y427" s="3307"/>
      <c r="Z427" s="3307"/>
      <c r="AA427" s="3307"/>
      <c r="AB427" s="3307"/>
      <c r="AC427" s="3307"/>
      <c r="AD427" s="3307"/>
      <c r="AE427" s="3350"/>
      <c r="AF427" s="3307"/>
      <c r="AG427" s="3307"/>
      <c r="AH427" s="3307"/>
      <c r="AI427" s="3307"/>
      <c r="AJ427" s="3307"/>
      <c r="AK427" s="3307"/>
      <c r="AL427" s="3307"/>
      <c r="AM427" s="3307"/>
      <c r="AN427" s="3307"/>
      <c r="AO427" s="3307"/>
      <c r="AP427" s="3307"/>
      <c r="AQ427" s="3307"/>
      <c r="AR427" s="3307"/>
      <c r="AS427" s="3307"/>
      <c r="AT427" s="3307"/>
      <c r="AU427" s="3307"/>
      <c r="AV427" s="3307"/>
      <c r="AW427" s="3308"/>
      <c r="AX427" s="3307"/>
      <c r="AY427" s="3307"/>
      <c r="AZ427" s="3307"/>
      <c r="BA427" s="3307"/>
      <c r="BB427" s="3307"/>
      <c r="BC427" s="3307"/>
      <c r="BD427" s="3307"/>
      <c r="BE427" s="3307"/>
      <c r="BF427" s="3307"/>
      <c r="BG427" s="3307"/>
    </row>
    <row r="428" spans="1:59">
      <c r="A428" s="3379" t="s">
        <v>4453</v>
      </c>
      <c r="B428" s="3380"/>
      <c r="C428" s="3380"/>
      <c r="D428" s="3380"/>
      <c r="E428" s="3380"/>
      <c r="F428" s="3381">
        <v>47.903940000000006</v>
      </c>
      <c r="G428" s="3382">
        <f>F428*(1+$G$421)</f>
        <v>47.903940000000006</v>
      </c>
      <c r="H428" s="3382">
        <f>G428*(1+$H$421)</f>
        <v>55.089531000000001</v>
      </c>
      <c r="I428" s="3382">
        <f>H428*(1+$I$421)</f>
        <v>57.844007550000001</v>
      </c>
      <c r="J428" s="3318"/>
      <c r="K428" s="3307"/>
      <c r="L428" s="3307"/>
      <c r="M428" s="3307"/>
      <c r="N428" s="3307"/>
      <c r="O428" s="3307"/>
      <c r="P428" s="3307"/>
      <c r="Q428" s="3307"/>
      <c r="R428" s="3307"/>
      <c r="S428" s="3307"/>
      <c r="T428" s="3307"/>
      <c r="U428" s="3307"/>
      <c r="V428" s="3307"/>
      <c r="W428" s="3307"/>
      <c r="X428" s="3307"/>
      <c r="Y428" s="3307"/>
      <c r="Z428" s="3350"/>
      <c r="AA428" s="3307"/>
      <c r="AB428" s="3307"/>
      <c r="AC428" s="3307"/>
      <c r="AD428" s="3307"/>
      <c r="AE428" s="3350"/>
      <c r="AF428" s="3307"/>
      <c r="AG428" s="3307"/>
      <c r="AH428" s="3307"/>
      <c r="AI428" s="3307"/>
      <c r="AJ428" s="3307"/>
      <c r="AK428" s="3307"/>
      <c r="AL428" s="3307"/>
      <c r="AM428" s="3307"/>
      <c r="AN428" s="3307"/>
      <c r="AO428" s="3307"/>
      <c r="AP428" s="3307"/>
      <c r="AQ428" s="3307"/>
      <c r="AR428" s="3307"/>
      <c r="AS428" s="3307"/>
      <c r="AT428" s="3307"/>
      <c r="AU428" s="3307"/>
      <c r="AV428" s="3307"/>
      <c r="AW428" s="3308"/>
      <c r="AX428" s="3307"/>
      <c r="AY428" s="3307"/>
      <c r="AZ428" s="3307"/>
      <c r="BA428" s="3307"/>
      <c r="BB428" s="3307"/>
      <c r="BC428" s="3307"/>
      <c r="BD428" s="3307"/>
      <c r="BE428" s="3307"/>
      <c r="BF428" s="3307"/>
      <c r="BG428" s="3307"/>
    </row>
    <row r="429" spans="1:59">
      <c r="A429" s="3307"/>
      <c r="B429" s="3307"/>
      <c r="C429" s="3307"/>
      <c r="D429" s="3307"/>
      <c r="E429" s="3307"/>
      <c r="F429" s="3307"/>
      <c r="G429" s="3307"/>
      <c r="H429" s="3307"/>
      <c r="I429" s="3307"/>
      <c r="J429" s="3307"/>
      <c r="K429" s="3307"/>
      <c r="L429" s="3307"/>
      <c r="M429" s="3307"/>
      <c r="N429" s="3307"/>
      <c r="O429" s="3307"/>
      <c r="P429" s="3307"/>
      <c r="Q429" s="3307"/>
      <c r="R429" s="3307"/>
      <c r="S429" s="3307"/>
      <c r="T429" s="3307"/>
      <c r="U429" s="3307"/>
      <c r="V429" s="3307"/>
      <c r="W429" s="3307"/>
      <c r="X429" s="3307"/>
      <c r="Y429" s="3307"/>
      <c r="Z429" s="3307"/>
      <c r="AA429" s="3307"/>
      <c r="AB429" s="3307"/>
      <c r="AC429" s="3307"/>
      <c r="AD429" s="3350"/>
      <c r="AE429" s="3307"/>
      <c r="AF429" s="3307"/>
      <c r="AG429" s="3307"/>
      <c r="AH429" s="3307"/>
      <c r="AI429" s="3307"/>
      <c r="AJ429" s="3307"/>
      <c r="AK429" s="3307"/>
      <c r="AL429" s="3307"/>
      <c r="AM429" s="3307"/>
      <c r="AN429" s="3307"/>
      <c r="AO429" s="3307"/>
      <c r="AP429" s="3307"/>
      <c r="AQ429" s="3307"/>
      <c r="AR429" s="3307"/>
      <c r="AS429" s="3307"/>
      <c r="AT429" s="3307"/>
      <c r="AU429" s="3307"/>
      <c r="AV429" s="3307"/>
      <c r="AW429" s="3308"/>
      <c r="AX429" s="3307"/>
      <c r="AY429" s="3307"/>
      <c r="AZ429" s="3307"/>
      <c r="BA429" s="3307"/>
      <c r="BB429" s="3307"/>
      <c r="BC429" s="3307"/>
      <c r="BD429" s="3307"/>
      <c r="BE429" s="3307"/>
      <c r="BF429" s="3307"/>
      <c r="BG429" s="3307"/>
    </row>
    <row r="430" spans="1:59">
      <c r="A430" s="3383" t="s">
        <v>4493</v>
      </c>
      <c r="B430" s="3384"/>
      <c r="C430" s="3384"/>
      <c r="D430" s="3384"/>
      <c r="E430" s="3384"/>
      <c r="F430" s="3385"/>
      <c r="G430" s="3385"/>
      <c r="H430" s="3385"/>
      <c r="I430" s="3385"/>
      <c r="J430" s="3385"/>
      <c r="K430" s="3385"/>
      <c r="L430" s="3385"/>
      <c r="M430" s="3385"/>
      <c r="N430" s="3385"/>
      <c r="O430" s="3385"/>
      <c r="P430" s="3385"/>
      <c r="Q430" s="3385"/>
      <c r="R430" s="3385"/>
      <c r="S430" s="3385"/>
      <c r="T430" s="3385"/>
      <c r="U430" s="3385"/>
      <c r="V430" s="3385"/>
      <c r="W430" s="3385"/>
      <c r="X430" s="3385"/>
      <c r="Y430" s="3385"/>
      <c r="Z430" s="3385"/>
      <c r="AA430" s="3385"/>
      <c r="AB430" s="3385"/>
      <c r="AC430" s="3385"/>
      <c r="AD430" s="3385"/>
      <c r="AE430" s="3385"/>
      <c r="AF430" s="3385"/>
      <c r="AG430" s="3385"/>
      <c r="AH430" s="3385"/>
      <c r="AI430" s="3385"/>
      <c r="AJ430" s="3385"/>
      <c r="AK430" s="3385"/>
      <c r="AL430" s="3385"/>
      <c r="AM430" s="3385"/>
      <c r="AN430" s="3385"/>
      <c r="AO430" s="3385"/>
      <c r="AP430" s="3385"/>
      <c r="AQ430" s="3385"/>
      <c r="AR430" s="3385"/>
      <c r="AS430" s="3385"/>
      <c r="AT430" s="3385"/>
      <c r="AU430" s="3385"/>
      <c r="AV430" s="3385"/>
      <c r="AW430" s="3386"/>
      <c r="AX430" s="3385"/>
      <c r="AY430" s="3385"/>
      <c r="AZ430" s="3385"/>
      <c r="BA430" s="3385"/>
      <c r="BB430" s="3385"/>
      <c r="BC430" s="3385"/>
      <c r="BD430" s="3385"/>
      <c r="BE430" s="3385"/>
      <c r="BF430" s="3385"/>
      <c r="BG430" s="3385"/>
    </row>
    <row r="431" spans="1:59">
      <c r="A431" s="3387"/>
      <c r="B431" s="3385"/>
      <c r="C431" s="3385"/>
      <c r="D431" s="3385"/>
      <c r="E431" s="3385"/>
      <c r="F431" s="3385"/>
      <c r="G431" s="3385"/>
      <c r="H431" s="3385"/>
      <c r="I431" s="3385"/>
      <c r="J431" s="3385"/>
      <c r="K431" s="3388"/>
      <c r="L431" s="3385"/>
      <c r="M431" s="3385"/>
      <c r="N431" s="3385"/>
      <c r="O431" s="3385"/>
      <c r="P431" s="3385"/>
      <c r="Q431" s="3385"/>
      <c r="R431" s="3385"/>
      <c r="S431" s="3385"/>
      <c r="T431" s="3385"/>
      <c r="U431" s="3385"/>
      <c r="V431" s="3385"/>
      <c r="W431" s="3385"/>
      <c r="X431" s="3385"/>
      <c r="Y431" s="3385"/>
      <c r="Z431" s="3385"/>
      <c r="AA431" s="3385"/>
      <c r="AB431" s="3385"/>
      <c r="AC431" s="3385"/>
      <c r="AD431" s="3385"/>
      <c r="AE431" s="3385"/>
      <c r="AF431" s="3385"/>
      <c r="AG431" s="3385"/>
      <c r="AH431" s="3385"/>
      <c r="AI431" s="3385"/>
      <c r="AJ431" s="3385"/>
      <c r="AK431" s="3385"/>
      <c r="AL431" s="3385"/>
      <c r="AM431" s="3385"/>
      <c r="AN431" s="3385"/>
      <c r="AO431" s="3385"/>
      <c r="AP431" s="3385"/>
      <c r="AQ431" s="3385"/>
      <c r="AR431" s="3385"/>
      <c r="AS431" s="3385"/>
      <c r="AT431" s="3385"/>
      <c r="AU431" s="3385"/>
      <c r="AV431" s="3385"/>
      <c r="AW431" s="3386"/>
      <c r="AX431" s="3385"/>
      <c r="AY431" s="3385"/>
      <c r="AZ431" s="3385"/>
      <c r="BA431" s="3385"/>
      <c r="BB431" s="3385"/>
      <c r="BC431" s="3385"/>
      <c r="BD431" s="3385"/>
      <c r="BE431" s="3385"/>
      <c r="BF431" s="3385"/>
      <c r="BG431" s="3385"/>
    </row>
    <row r="432" spans="1:59">
      <c r="A432" s="3389" t="s">
        <v>4494</v>
      </c>
      <c r="B432" s="3390" t="s">
        <v>4495</v>
      </c>
      <c r="C432" s="3391"/>
      <c r="D432" s="3390"/>
      <c r="E432" s="3390"/>
      <c r="F432" s="3392">
        <v>250000</v>
      </c>
      <c r="G432" s="3392">
        <v>260000</v>
      </c>
      <c r="H432" s="3392">
        <v>270000</v>
      </c>
      <c r="I432" s="3392">
        <v>280000</v>
      </c>
      <c r="J432" s="3393">
        <v>290000</v>
      </c>
      <c r="K432" s="3393">
        <v>300000</v>
      </c>
      <c r="L432" s="3393">
        <v>310000</v>
      </c>
      <c r="M432" s="3393">
        <v>320000</v>
      </c>
      <c r="N432" s="3393">
        <v>330000</v>
      </c>
      <c r="O432" s="3393">
        <v>340000</v>
      </c>
      <c r="P432" s="3393">
        <v>350000</v>
      </c>
      <c r="Q432" s="3393">
        <v>360000</v>
      </c>
      <c r="R432" s="3393">
        <v>370000</v>
      </c>
      <c r="S432" s="3393">
        <v>380000</v>
      </c>
      <c r="T432" s="3393">
        <v>390000</v>
      </c>
      <c r="U432" s="3393">
        <v>400000</v>
      </c>
      <c r="V432" s="3392">
        <v>410000</v>
      </c>
      <c r="W432" s="3392">
        <v>420000</v>
      </c>
      <c r="X432" s="3392">
        <v>430000</v>
      </c>
      <c r="Y432" s="3392">
        <v>440000</v>
      </c>
      <c r="Z432" s="3393">
        <v>450000</v>
      </c>
      <c r="AA432" s="3393">
        <v>460000</v>
      </c>
      <c r="AB432" s="3393">
        <v>470000</v>
      </c>
      <c r="AC432" s="3393">
        <v>480000</v>
      </c>
      <c r="AD432" s="3393">
        <v>490000</v>
      </c>
      <c r="AE432" s="3392">
        <v>500000</v>
      </c>
      <c r="AF432" s="3392">
        <v>510000</v>
      </c>
      <c r="AG432" s="3392">
        <v>520000</v>
      </c>
      <c r="AH432" s="3392">
        <v>530000</v>
      </c>
      <c r="AI432" s="3385"/>
      <c r="AJ432" s="3385"/>
      <c r="AK432" s="3385"/>
      <c r="AL432" s="3385"/>
      <c r="AM432" s="3385"/>
      <c r="AN432" s="3385"/>
      <c r="AO432" s="3385"/>
      <c r="AP432" s="3385"/>
      <c r="AQ432" s="3385"/>
      <c r="AR432" s="3385"/>
      <c r="AS432" s="3385"/>
      <c r="AT432" s="3385"/>
      <c r="AU432" s="3385"/>
      <c r="AV432" s="3385"/>
      <c r="AW432" s="3386"/>
      <c r="AX432" s="3385"/>
      <c r="AY432" s="3385"/>
      <c r="AZ432" s="3385"/>
      <c r="BA432" s="3385"/>
      <c r="BB432" s="3385"/>
      <c r="BC432" s="3385"/>
      <c r="BD432" s="3385"/>
      <c r="BE432" s="3385"/>
      <c r="BF432" s="3385"/>
      <c r="BG432" s="3385"/>
    </row>
    <row r="433" spans="1:59">
      <c r="A433" s="3394" t="s">
        <v>4445</v>
      </c>
      <c r="B433" s="3395"/>
      <c r="C433" s="3396"/>
      <c r="D433" s="3395"/>
      <c r="E433" s="3395"/>
      <c r="F433" s="3397">
        <f t="array" ref="F433:M433">TRANSPOSE(H410:H417)/1000</f>
        <v>2918777.4283500002</v>
      </c>
      <c r="G433" s="3397">
        <v>2928777.4283500002</v>
      </c>
      <c r="H433" s="3397">
        <v>2929777.4283500002</v>
      </c>
      <c r="I433" s="3397">
        <v>2930877.4283500002</v>
      </c>
      <c r="J433" s="3397">
        <v>2932087.4283500002</v>
      </c>
      <c r="K433" s="3397">
        <v>2933418.4283500002</v>
      </c>
      <c r="L433" s="3397">
        <v>2934882.5283500003</v>
      </c>
      <c r="M433" s="3397">
        <v>2936493.0383500005</v>
      </c>
      <c r="N433" s="3397">
        <f t="array" ref="N433:T433">TRANSPOSE(L411:L417)/1000</f>
        <v>3107963.3765500002</v>
      </c>
      <c r="O433" s="3397">
        <v>3108963.3765500002</v>
      </c>
      <c r="P433" s="3397">
        <v>3110063.3765500002</v>
      </c>
      <c r="Q433" s="3397">
        <v>3111273.3765500002</v>
      </c>
      <c r="R433" s="3397">
        <v>3112604.3765500002</v>
      </c>
      <c r="S433" s="3397">
        <v>3114068.4765500003</v>
      </c>
      <c r="T433" s="3397">
        <v>3115678.98655</v>
      </c>
      <c r="U433" s="3397">
        <f t="array" ref="U433:AA433">TRANSPOSE(P411:P417)/1000</f>
        <v>3327596.6383000002</v>
      </c>
      <c r="V433" s="3397">
        <v>3328596.6383000002</v>
      </c>
      <c r="W433" s="3397">
        <v>3329696.6383000002</v>
      </c>
      <c r="X433" s="3397">
        <v>3330906.6383000002</v>
      </c>
      <c r="Y433" s="3397">
        <v>3332237.6383000002</v>
      </c>
      <c r="Z433" s="3397">
        <v>3333701.7383000003</v>
      </c>
      <c r="AA433" s="3397">
        <v>3335312.2483000001</v>
      </c>
      <c r="AB433" s="3398">
        <f t="array" ref="AB433:AF433">TRANSPOSE(T411:T415)/1000</f>
        <v>3612212.551</v>
      </c>
      <c r="AC433" s="3397">
        <v>3613212.551</v>
      </c>
      <c r="AD433" s="3397">
        <v>3614312.551</v>
      </c>
      <c r="AE433" s="3397">
        <v>3615522.551</v>
      </c>
      <c r="AF433" s="3397">
        <v>3616853.551</v>
      </c>
      <c r="AG433" s="3397">
        <f>T416/1000</f>
        <v>3618317.6510000001</v>
      </c>
      <c r="AH433" s="3397">
        <f>T417/1000</f>
        <v>3619928.1609999998</v>
      </c>
      <c r="AI433" s="3399"/>
      <c r="AJ433" s="3399"/>
      <c r="AK433" s="3399"/>
      <c r="AL433" s="3399"/>
      <c r="AM433" s="3399"/>
      <c r="AN433" s="3399"/>
      <c r="AO433" s="3399"/>
      <c r="AP433" s="3399"/>
      <c r="AQ433" s="3399"/>
      <c r="AR433" s="3399"/>
      <c r="AS433" s="3399"/>
      <c r="AT433" s="3399"/>
      <c r="AU433" s="3399"/>
      <c r="AV433" s="3399"/>
      <c r="AW433" s="3400"/>
      <c r="AX433" s="3399"/>
      <c r="AY433" s="3399"/>
      <c r="AZ433" s="3399"/>
      <c r="BA433" s="3399"/>
      <c r="BB433" s="3399"/>
      <c r="BC433" s="3399"/>
      <c r="BD433" s="3399"/>
      <c r="BE433" s="3399"/>
      <c r="BF433" s="3399"/>
      <c r="BG433" s="3399"/>
    </row>
    <row r="434" spans="1:59">
      <c r="A434" s="2690"/>
      <c r="B434" s="2690"/>
      <c r="C434" s="2691"/>
      <c r="D434" s="2691"/>
      <c r="E434" s="2691"/>
      <c r="F434" s="2691"/>
      <c r="G434" s="3401"/>
      <c r="H434" s="3401"/>
      <c r="I434" s="3401"/>
      <c r="J434" s="3401"/>
      <c r="K434" s="3401"/>
      <c r="L434" s="2694"/>
      <c r="M434" s="2694"/>
      <c r="N434" s="2694"/>
      <c r="O434" s="2694"/>
      <c r="P434" s="2694"/>
      <c r="Q434" s="2694"/>
      <c r="R434" s="2694"/>
      <c r="S434" s="2694"/>
      <c r="T434" s="2694"/>
      <c r="U434" s="2694"/>
      <c r="V434" s="2694"/>
      <c r="W434" s="2694"/>
      <c r="X434" s="2694"/>
      <c r="Y434" s="2694"/>
      <c r="Z434" s="2694"/>
      <c r="AA434" s="2694"/>
      <c r="AB434" s="2694"/>
      <c r="AC434" s="2694"/>
      <c r="AD434" s="2694"/>
      <c r="AE434" s="2694"/>
      <c r="AF434" s="2694"/>
      <c r="AG434" s="2694"/>
      <c r="AH434" s="2694"/>
      <c r="AI434" s="2694"/>
      <c r="AJ434" s="2694"/>
      <c r="AK434" s="2694"/>
      <c r="AL434" s="2694"/>
      <c r="AM434" s="2694"/>
      <c r="AN434" s="2694"/>
      <c r="AO434" s="2694"/>
      <c r="AP434" s="2694"/>
      <c r="AQ434" s="2694"/>
      <c r="AR434" s="2694"/>
      <c r="AS434" s="2694"/>
      <c r="AT434" s="2694"/>
      <c r="AU434" s="2694"/>
      <c r="AV434" s="2694"/>
      <c r="AW434" s="2695"/>
      <c r="AX434" s="2694"/>
      <c r="AY434" s="2694"/>
      <c r="AZ434" s="2694"/>
      <c r="BA434" s="2694"/>
      <c r="BB434" s="2694"/>
      <c r="BC434" s="2694"/>
      <c r="BD434" s="2694"/>
      <c r="BE434" s="2694"/>
      <c r="BF434" s="2694"/>
      <c r="BG434" s="2694"/>
    </row>
    <row r="435" spans="1:59">
      <c r="A435" s="2690"/>
      <c r="B435" s="2690"/>
      <c r="C435" s="2691"/>
      <c r="D435" s="2691"/>
      <c r="E435" s="2691"/>
      <c r="F435" s="2691"/>
      <c r="G435" s="3401"/>
      <c r="H435" s="3401"/>
      <c r="I435" s="3401"/>
      <c r="J435" s="3401"/>
      <c r="K435" s="3401"/>
      <c r="L435" s="2694"/>
      <c r="M435" s="2694"/>
      <c r="N435" s="2694"/>
      <c r="O435" s="2694"/>
      <c r="P435" s="2694"/>
      <c r="Q435" s="2694"/>
      <c r="R435" s="2694"/>
      <c r="S435" s="2694"/>
      <c r="T435" s="2694"/>
      <c r="U435" s="2694"/>
      <c r="V435" s="2694"/>
      <c r="W435" s="2694"/>
      <c r="X435" s="2694"/>
      <c r="Y435" s="2694"/>
      <c r="Z435" s="2694"/>
      <c r="AA435" s="2694"/>
      <c r="AB435" s="2694"/>
      <c r="AC435" s="2694"/>
      <c r="AD435" s="2694"/>
      <c r="AE435" s="2694"/>
      <c r="AF435" s="2694"/>
      <c r="AG435" s="2694"/>
      <c r="AH435" s="2694"/>
      <c r="AI435" s="2694"/>
      <c r="AJ435" s="2694"/>
      <c r="AK435" s="2694"/>
      <c r="AL435" s="2694"/>
      <c r="AM435" s="2694"/>
      <c r="AN435" s="2694"/>
      <c r="AO435" s="2694"/>
      <c r="AP435" s="2694"/>
      <c r="AQ435" s="2694"/>
      <c r="AR435" s="2694"/>
      <c r="AS435" s="2694"/>
      <c r="AT435" s="2694"/>
      <c r="AU435" s="2694"/>
      <c r="AV435" s="2694"/>
      <c r="AW435" s="2695"/>
      <c r="AX435" s="2694"/>
      <c r="AY435" s="2694"/>
      <c r="AZ435" s="2694"/>
      <c r="BA435" s="2694"/>
      <c r="BB435" s="2694"/>
      <c r="BC435" s="2694"/>
      <c r="BD435" s="2694"/>
      <c r="BE435" s="2694"/>
      <c r="BF435" s="2694"/>
      <c r="BG435" s="2694"/>
    </row>
    <row r="436" spans="1:59">
      <c r="A436" s="2690"/>
      <c r="B436" s="2690"/>
      <c r="C436" s="2691"/>
      <c r="D436" s="2691"/>
      <c r="E436" s="2691"/>
      <c r="G436" s="2691"/>
      <c r="H436" s="3401"/>
      <c r="I436" s="3401"/>
      <c r="J436" s="3401"/>
      <c r="K436" s="3401"/>
      <c r="L436" s="3401"/>
      <c r="M436" s="2694"/>
      <c r="N436" s="2694"/>
      <c r="O436" s="2694"/>
      <c r="P436" s="2694"/>
      <c r="Q436" s="2694"/>
      <c r="R436" s="2694"/>
      <c r="S436" s="2694"/>
      <c r="T436" s="2694"/>
      <c r="U436" s="2694"/>
      <c r="V436" s="2694"/>
      <c r="W436" s="2694"/>
      <c r="X436" s="2694"/>
      <c r="Y436" s="2694"/>
      <c r="Z436" s="2694"/>
      <c r="AA436" s="2694"/>
      <c r="AB436" s="2694"/>
      <c r="AC436" s="2694"/>
      <c r="AD436" s="2694"/>
      <c r="AE436" s="2694"/>
      <c r="AF436" s="2694"/>
      <c r="AG436" s="2694"/>
      <c r="AH436" s="2694"/>
      <c r="AI436" s="2694"/>
      <c r="AJ436" s="2694"/>
      <c r="AK436" s="2694"/>
      <c r="AL436" s="2694"/>
      <c r="AM436" s="2694"/>
      <c r="AN436" s="2694"/>
      <c r="AO436" s="2694"/>
      <c r="AP436" s="2694"/>
      <c r="AQ436" s="2694"/>
      <c r="AR436" s="2694"/>
      <c r="AS436" s="2694"/>
      <c r="AT436" s="2694"/>
      <c r="AU436" s="2694"/>
      <c r="AV436" s="2694"/>
      <c r="AW436" s="2695"/>
      <c r="AX436" s="2694"/>
      <c r="AY436" s="2694"/>
      <c r="AZ436" s="2694"/>
      <c r="BA436" s="2694"/>
      <c r="BB436" s="2694"/>
      <c r="BC436" s="2694"/>
      <c r="BD436" s="2694"/>
      <c r="BE436" s="2694"/>
      <c r="BF436" s="2694"/>
      <c r="BG436" s="2694"/>
    </row>
    <row r="437" spans="1:59">
      <c r="A437" s="2690"/>
      <c r="B437" s="2690"/>
      <c r="C437" s="2691"/>
      <c r="D437" s="2691"/>
      <c r="E437" s="2691"/>
      <c r="F437" s="2691"/>
      <c r="G437" s="3401"/>
      <c r="H437" s="3401"/>
      <c r="I437" s="3401"/>
      <c r="J437" s="3401"/>
      <c r="K437" s="3401"/>
      <c r="L437" s="2694"/>
      <c r="M437" s="2694"/>
      <c r="N437" s="2694"/>
      <c r="O437" s="2694"/>
      <c r="P437" s="2694"/>
      <c r="Q437" s="2694"/>
      <c r="R437" s="2694"/>
      <c r="S437" s="2694"/>
      <c r="T437" s="2694"/>
      <c r="U437" s="2694"/>
      <c r="V437" s="2694"/>
      <c r="W437" s="2694"/>
      <c r="X437" s="2694"/>
      <c r="Y437" s="2694"/>
      <c r="Z437" s="2694"/>
      <c r="AA437" s="2694"/>
      <c r="AB437" s="2694"/>
      <c r="AC437" s="2694"/>
      <c r="AD437" s="2694"/>
      <c r="AE437" s="2694"/>
      <c r="AF437" s="2694"/>
      <c r="AG437" s="2694"/>
      <c r="AH437" s="2694"/>
      <c r="AI437" s="2694"/>
      <c r="AJ437" s="2694"/>
      <c r="AK437" s="2694"/>
      <c r="AL437" s="2694"/>
      <c r="AM437" s="2694"/>
      <c r="AN437" s="2694"/>
      <c r="AO437" s="2694"/>
      <c r="AP437" s="2694"/>
      <c r="AQ437" s="2694"/>
      <c r="AR437" s="2694"/>
      <c r="AS437" s="2694"/>
      <c r="AT437" s="2694"/>
      <c r="AU437" s="2694"/>
      <c r="AV437" s="2694"/>
      <c r="AW437" s="2695"/>
      <c r="AX437" s="2694"/>
      <c r="AY437" s="2694"/>
      <c r="AZ437" s="2694"/>
      <c r="BA437" s="2694"/>
      <c r="BB437" s="2694"/>
      <c r="BC437" s="2694"/>
      <c r="BD437" s="2694"/>
      <c r="BE437" s="2694"/>
      <c r="BF437" s="2694"/>
      <c r="BG437" s="2694"/>
    </row>
    <row r="438" spans="1:59">
      <c r="A438" s="2690"/>
      <c r="B438" s="2690"/>
      <c r="C438" s="2691"/>
      <c r="D438" s="2691"/>
      <c r="E438" s="2691"/>
      <c r="F438" s="2691"/>
      <c r="G438" s="3401"/>
      <c r="H438" s="3401"/>
      <c r="I438" s="3401"/>
      <c r="J438" s="3401"/>
      <c r="K438" s="3401"/>
      <c r="L438" s="3401"/>
      <c r="M438" s="3401"/>
      <c r="N438" s="3401"/>
      <c r="O438" s="3401"/>
      <c r="P438" s="3401"/>
      <c r="Q438" s="3401"/>
      <c r="R438" s="3401"/>
      <c r="S438" s="3401"/>
      <c r="T438" s="3401"/>
      <c r="U438" s="3401"/>
      <c r="V438" s="3401"/>
      <c r="W438" s="3401"/>
      <c r="X438" s="3401"/>
      <c r="Y438" s="3401"/>
      <c r="Z438" s="3401"/>
      <c r="AA438" s="3401"/>
      <c r="AB438" s="3401"/>
      <c r="AC438" s="3401"/>
      <c r="AD438" s="3401"/>
      <c r="AE438" s="3401"/>
      <c r="AF438" s="3401"/>
      <c r="AG438" s="3401"/>
      <c r="AH438" s="3401"/>
      <c r="AI438" s="3401"/>
      <c r="AJ438" s="3401"/>
      <c r="AK438" s="3401"/>
      <c r="AL438" s="3401"/>
      <c r="AM438" s="3401"/>
      <c r="AN438" s="3401"/>
      <c r="AO438" s="3401"/>
      <c r="AP438" s="3401"/>
      <c r="AQ438" s="3401"/>
      <c r="AR438" s="3401"/>
      <c r="AS438" s="3401"/>
      <c r="AT438" s="3401"/>
      <c r="AU438" s="3401"/>
      <c r="AV438" s="2694"/>
      <c r="AW438" s="2695"/>
      <c r="AX438" s="2694"/>
      <c r="AY438" s="2694"/>
      <c r="AZ438" s="2694"/>
      <c r="BA438" s="2694"/>
      <c r="BB438" s="2694"/>
      <c r="BC438" s="2694"/>
      <c r="BD438" s="2694"/>
      <c r="BE438" s="2694"/>
      <c r="BF438" s="2694"/>
      <c r="BG438" s="2694"/>
    </row>
    <row r="439" spans="1:59">
      <c r="A439" s="2690"/>
      <c r="B439" s="2690"/>
      <c r="C439" s="2691"/>
      <c r="D439" s="2691"/>
      <c r="E439" s="2691"/>
      <c r="F439" s="2691"/>
      <c r="G439" s="3401"/>
      <c r="H439" s="3401"/>
      <c r="I439" s="3401"/>
      <c r="J439" s="3401"/>
      <c r="K439" s="3401"/>
      <c r="L439" s="2694"/>
      <c r="M439" s="2694"/>
      <c r="N439" s="2694"/>
      <c r="O439" s="2694"/>
      <c r="P439" s="2694"/>
      <c r="Q439" s="2694"/>
      <c r="R439" s="2694"/>
      <c r="S439" s="2694"/>
      <c r="T439" s="2694"/>
      <c r="U439" s="2694"/>
      <c r="V439" s="2694"/>
      <c r="W439" s="2694"/>
      <c r="X439" s="2694"/>
      <c r="Y439" s="2694"/>
      <c r="Z439" s="2694"/>
      <c r="AA439" s="2694"/>
      <c r="AB439" s="2694"/>
      <c r="AC439" s="2694"/>
      <c r="AD439" s="2694"/>
      <c r="AE439" s="2694"/>
      <c r="AF439" s="2694"/>
      <c r="AG439" s="2694"/>
      <c r="AH439" s="2694"/>
      <c r="AI439" s="2694"/>
      <c r="AJ439" s="2694"/>
      <c r="AK439" s="2694"/>
      <c r="AL439" s="2694"/>
      <c r="AM439" s="2694"/>
      <c r="AN439" s="2694"/>
      <c r="AO439" s="2694"/>
      <c r="AP439" s="2694"/>
      <c r="AQ439" s="2694"/>
      <c r="AR439" s="2694"/>
      <c r="AS439" s="2694"/>
      <c r="AT439" s="2694"/>
      <c r="AU439" s="2694"/>
      <c r="AV439" s="2694"/>
      <c r="AW439" s="2695"/>
      <c r="AX439" s="2694"/>
      <c r="AY439" s="2694"/>
      <c r="AZ439" s="2694"/>
      <c r="BA439" s="2694"/>
      <c r="BB439" s="2694"/>
      <c r="BC439" s="2694"/>
      <c r="BD439" s="2694"/>
      <c r="BE439" s="2694"/>
      <c r="BF439" s="2694"/>
      <c r="BG439" s="2694"/>
    </row>
    <row r="440" spans="1:59">
      <c r="A440" s="2690"/>
      <c r="B440" s="2690"/>
      <c r="C440" s="2691"/>
      <c r="D440" s="2691"/>
      <c r="E440" s="2691"/>
      <c r="F440" s="2691"/>
      <c r="G440" s="3401"/>
      <c r="H440" s="3401"/>
      <c r="I440" s="3401"/>
      <c r="J440" s="3401"/>
      <c r="K440" s="3401"/>
      <c r="L440" s="2694"/>
      <c r="M440" s="2694"/>
      <c r="N440" s="2694"/>
      <c r="O440" s="2694"/>
      <c r="P440" s="2694"/>
      <c r="Q440" s="2694"/>
      <c r="R440" s="2694"/>
      <c r="S440" s="2694"/>
      <c r="T440" s="2694"/>
      <c r="U440" s="2694"/>
      <c r="V440" s="2694"/>
      <c r="W440" s="2694"/>
      <c r="X440" s="2694"/>
      <c r="Y440" s="2694"/>
      <c r="Z440" s="2694"/>
      <c r="AA440" s="2694"/>
      <c r="AB440" s="2694"/>
      <c r="AC440" s="2694"/>
      <c r="AD440" s="2694"/>
      <c r="AE440" s="2694"/>
      <c r="AF440" s="2694"/>
      <c r="AG440" s="2694"/>
      <c r="AH440" s="2694"/>
      <c r="AI440" s="2694"/>
      <c r="AJ440" s="2694"/>
      <c r="AK440" s="2694"/>
      <c r="AL440" s="2694"/>
      <c r="AM440" s="2694"/>
      <c r="AN440" s="2694"/>
      <c r="AO440" s="2694"/>
      <c r="AP440" s="2694"/>
      <c r="AQ440" s="2694"/>
      <c r="AR440" s="2694"/>
      <c r="AS440" s="2694"/>
      <c r="AT440" s="2694"/>
      <c r="AU440" s="2694"/>
      <c r="AV440" s="2694"/>
      <c r="AW440" s="2695"/>
      <c r="AX440" s="2694"/>
      <c r="AY440" s="2694"/>
      <c r="AZ440" s="2694"/>
      <c r="BA440" s="2694"/>
      <c r="BB440" s="2694"/>
      <c r="BC440" s="2694"/>
      <c r="BD440" s="2694"/>
      <c r="BE440" s="2694"/>
      <c r="BF440" s="2694"/>
      <c r="BG440" s="2694"/>
    </row>
    <row r="441" spans="1:59">
      <c r="A441" s="2690"/>
      <c r="B441" s="2690"/>
      <c r="C441" s="2691"/>
      <c r="D441" s="2691"/>
      <c r="E441" s="2691"/>
      <c r="F441" s="2691"/>
      <c r="G441" s="3401"/>
      <c r="H441" s="3401"/>
      <c r="I441" s="3401"/>
      <c r="J441" s="3401"/>
      <c r="K441" s="3401"/>
      <c r="L441" s="2694"/>
      <c r="M441" s="2694"/>
      <c r="N441" s="2694"/>
      <c r="O441" s="2694"/>
      <c r="P441" s="2694"/>
      <c r="Q441" s="2694"/>
      <c r="R441" s="2694"/>
      <c r="S441" s="2694"/>
      <c r="T441" s="2694"/>
      <c r="U441" s="2694"/>
      <c r="V441" s="2694"/>
      <c r="W441" s="2694"/>
      <c r="X441" s="2694"/>
      <c r="Y441" s="2694"/>
      <c r="Z441" s="2694"/>
      <c r="AA441" s="2694"/>
      <c r="AB441" s="2694"/>
      <c r="AC441" s="2694"/>
      <c r="AD441" s="2694"/>
      <c r="AE441" s="2694"/>
      <c r="AF441" s="2694"/>
      <c r="AG441" s="2694"/>
      <c r="AH441" s="2694"/>
      <c r="AI441" s="2694"/>
      <c r="AJ441" s="2694"/>
      <c r="AK441" s="2694"/>
      <c r="AL441" s="2694"/>
      <c r="AM441" s="2694"/>
      <c r="AN441" s="2694"/>
      <c r="AO441" s="2694"/>
      <c r="AP441" s="2694"/>
      <c r="AQ441" s="2694"/>
      <c r="AR441" s="2694"/>
      <c r="AS441" s="2694"/>
      <c r="AT441" s="2694"/>
      <c r="AU441" s="2694"/>
      <c r="AV441" s="2694"/>
      <c r="AW441" s="2695"/>
      <c r="AX441" s="2694"/>
      <c r="AY441" s="2694"/>
      <c r="AZ441" s="2694"/>
      <c r="BA441" s="2694"/>
      <c r="BB441" s="2694"/>
      <c r="BC441" s="2694"/>
      <c r="BD441" s="2694"/>
      <c r="BE441" s="2694"/>
      <c r="BF441" s="2694"/>
      <c r="BG441" s="2694"/>
    </row>
    <row r="442" spans="1:59">
      <c r="A442" s="2690"/>
      <c r="B442" s="2690"/>
      <c r="C442" s="2691"/>
      <c r="D442" s="2691"/>
      <c r="E442" s="2691"/>
      <c r="F442" s="2691"/>
      <c r="G442" s="3401"/>
      <c r="H442" s="3401"/>
      <c r="I442" s="3401"/>
      <c r="J442" s="3401"/>
      <c r="K442" s="3401"/>
      <c r="L442" s="2694"/>
      <c r="M442" s="2694"/>
      <c r="N442" s="2694"/>
      <c r="O442" s="2694"/>
      <c r="P442" s="2694"/>
      <c r="Q442" s="2694"/>
      <c r="R442" s="2694"/>
      <c r="S442" s="2694"/>
      <c r="T442" s="2694"/>
      <c r="U442" s="2694"/>
      <c r="V442" s="2694"/>
      <c r="W442" s="2694"/>
      <c r="X442" s="2694"/>
      <c r="Y442" s="2694"/>
      <c r="Z442" s="2694"/>
      <c r="AA442" s="2694"/>
      <c r="AB442" s="2694"/>
      <c r="AC442" s="2694"/>
      <c r="AD442" s="2694"/>
      <c r="AE442" s="2694"/>
      <c r="AF442" s="2694"/>
      <c r="AG442" s="2694"/>
      <c r="AH442" s="2694"/>
      <c r="AI442" s="2694"/>
      <c r="AJ442" s="2694"/>
      <c r="AK442" s="2694"/>
      <c r="AL442" s="2694"/>
      <c r="AM442" s="2694"/>
      <c r="AN442" s="2694"/>
      <c r="AO442" s="2694"/>
      <c r="AP442" s="2694"/>
      <c r="AQ442" s="2694"/>
      <c r="AR442" s="2694"/>
      <c r="AS442" s="2694"/>
      <c r="AT442" s="2694"/>
      <c r="AU442" s="2694"/>
      <c r="AV442" s="2694"/>
      <c r="AW442" s="2695"/>
      <c r="AX442" s="2694"/>
      <c r="AY442" s="2694"/>
      <c r="AZ442" s="2694"/>
      <c r="BA442" s="2694"/>
      <c r="BB442" s="2694"/>
      <c r="BC442" s="2694"/>
      <c r="BD442" s="2694"/>
      <c r="BE442" s="2694"/>
      <c r="BF442" s="2694"/>
      <c r="BG442" s="2694"/>
    </row>
    <row r="443" spans="1:59">
      <c r="A443" s="2690"/>
      <c r="B443" s="2690"/>
      <c r="C443" s="2691"/>
      <c r="D443" s="2691"/>
      <c r="E443" s="2691"/>
      <c r="F443" s="2691"/>
      <c r="G443" s="3401"/>
      <c r="H443" s="3401"/>
      <c r="I443" s="3401"/>
      <c r="J443" s="3401"/>
      <c r="K443" s="3401"/>
      <c r="L443" s="2694"/>
      <c r="M443" s="2694"/>
      <c r="N443" s="2694"/>
      <c r="O443" s="2694"/>
      <c r="P443" s="2694"/>
      <c r="Q443" s="2694"/>
      <c r="R443" s="2694"/>
      <c r="S443" s="2694"/>
      <c r="T443" s="2694"/>
      <c r="U443" s="2694"/>
      <c r="V443" s="2694"/>
      <c r="W443" s="2694"/>
      <c r="X443" s="2694"/>
      <c r="Y443" s="2694"/>
      <c r="Z443" s="2694"/>
      <c r="AA443" s="2694"/>
      <c r="AB443" s="2694"/>
      <c r="AC443" s="2694"/>
      <c r="AD443" s="2694"/>
      <c r="AE443" s="2694"/>
      <c r="AF443" s="2694"/>
      <c r="AG443" s="2694"/>
      <c r="AH443" s="2694"/>
      <c r="AI443" s="2694"/>
      <c r="AJ443" s="2694"/>
      <c r="AK443" s="2694"/>
      <c r="AL443" s="2694"/>
      <c r="AM443" s="2694"/>
      <c r="AN443" s="2694"/>
      <c r="AO443" s="2694"/>
      <c r="AP443" s="2694"/>
      <c r="AQ443" s="2694"/>
      <c r="AR443" s="2694"/>
      <c r="AS443" s="2694"/>
      <c r="AT443" s="2694"/>
      <c r="AU443" s="2694"/>
      <c r="AV443" s="2694"/>
      <c r="AW443" s="2695"/>
      <c r="AX443" s="2694"/>
      <c r="AY443" s="2694"/>
      <c r="AZ443" s="2694"/>
      <c r="BA443" s="2694"/>
      <c r="BB443" s="2694"/>
      <c r="BC443" s="2694"/>
      <c r="BD443" s="2694"/>
      <c r="BE443" s="2694"/>
      <c r="BF443" s="2694"/>
      <c r="BG443" s="2694"/>
    </row>
    <row r="444" spans="1:59">
      <c r="A444" s="2690"/>
      <c r="B444" s="2690"/>
      <c r="C444" s="2691"/>
      <c r="D444" s="2691"/>
      <c r="E444" s="2691"/>
      <c r="F444" s="2691"/>
      <c r="G444" s="3401"/>
      <c r="H444" s="3401"/>
      <c r="I444" s="3401"/>
      <c r="J444" s="3401"/>
      <c r="K444" s="3401"/>
      <c r="L444" s="2694"/>
      <c r="M444" s="2694"/>
      <c r="N444" s="2694"/>
      <c r="O444" s="2694"/>
      <c r="P444" s="2694"/>
      <c r="Q444" s="2694"/>
      <c r="R444" s="2694"/>
      <c r="S444" s="2694"/>
      <c r="T444" s="2694"/>
      <c r="U444" s="2694"/>
      <c r="V444" s="2694"/>
      <c r="W444" s="2694"/>
      <c r="X444" s="2694"/>
      <c r="Y444" s="2694"/>
      <c r="Z444" s="2694"/>
      <c r="AA444" s="2694"/>
      <c r="AB444" s="2694"/>
      <c r="AC444" s="2694"/>
      <c r="AD444" s="2694"/>
      <c r="AE444" s="2694"/>
      <c r="AF444" s="2694"/>
      <c r="AG444" s="2694"/>
      <c r="AH444" s="2694"/>
      <c r="AI444" s="2694"/>
      <c r="AJ444" s="2694"/>
      <c r="AK444" s="2694"/>
      <c r="AL444" s="2694"/>
      <c r="AM444" s="2694"/>
      <c r="AN444" s="2694"/>
      <c r="AO444" s="2694"/>
      <c r="AP444" s="2694"/>
      <c r="AQ444" s="2694"/>
      <c r="AR444" s="2694"/>
      <c r="AS444" s="2694"/>
      <c r="AT444" s="2694"/>
      <c r="AU444" s="2694"/>
      <c r="AV444" s="2694"/>
      <c r="AW444" s="2695"/>
      <c r="AX444" s="2694"/>
      <c r="AY444" s="2694"/>
      <c r="AZ444" s="2694"/>
      <c r="BA444" s="2694"/>
      <c r="BB444" s="2694"/>
      <c r="BC444" s="2694"/>
      <c r="BD444" s="2694"/>
      <c r="BE444" s="2694"/>
      <c r="BF444" s="2694"/>
      <c r="BG444" s="2694"/>
    </row>
    <row r="445" spans="1:59">
      <c r="A445" s="2690"/>
      <c r="B445" s="2690"/>
      <c r="C445" s="2691"/>
      <c r="D445" s="2691"/>
      <c r="E445" s="2691"/>
      <c r="F445" s="2691"/>
      <c r="G445" s="3401"/>
      <c r="H445" s="3401"/>
      <c r="I445" s="3401"/>
      <c r="J445" s="3401"/>
      <c r="K445" s="3401"/>
      <c r="L445" s="2694"/>
      <c r="M445" s="2694"/>
      <c r="N445" s="2694"/>
      <c r="O445" s="2694"/>
      <c r="P445" s="2694"/>
      <c r="Q445" s="2694"/>
      <c r="R445" s="2694"/>
      <c r="S445" s="2694"/>
      <c r="T445" s="2694"/>
      <c r="U445" s="2694"/>
      <c r="V445" s="2694"/>
      <c r="W445" s="2694"/>
      <c r="X445" s="2694"/>
      <c r="Y445" s="2694"/>
      <c r="Z445" s="2694"/>
      <c r="AA445" s="2694"/>
      <c r="AB445" s="2694"/>
      <c r="AC445" s="2694"/>
      <c r="AD445" s="2694"/>
      <c r="AE445" s="2694"/>
      <c r="AF445" s="2694"/>
      <c r="AG445" s="2694"/>
      <c r="AH445" s="2694"/>
      <c r="AI445" s="2694"/>
      <c r="AJ445" s="2694"/>
      <c r="AK445" s="2694"/>
      <c r="AL445" s="2694"/>
      <c r="AM445" s="2694"/>
      <c r="AN445" s="2694"/>
      <c r="AO445" s="2694"/>
      <c r="AP445" s="2694"/>
      <c r="AQ445" s="2694"/>
      <c r="AR445" s="2694"/>
      <c r="AS445" s="2694"/>
      <c r="AT445" s="2694"/>
      <c r="AU445" s="2694"/>
      <c r="AV445" s="2694"/>
      <c r="AW445" s="2695"/>
      <c r="AX445" s="2694"/>
      <c r="AY445" s="2694"/>
      <c r="AZ445" s="2694"/>
      <c r="BA445" s="2694"/>
      <c r="BB445" s="2694"/>
      <c r="BC445" s="2694"/>
      <c r="BD445" s="2694"/>
      <c r="BE445" s="2694"/>
      <c r="BF445" s="2694"/>
      <c r="BG445" s="2694"/>
    </row>
  </sheetData>
  <mergeCells count="10">
    <mergeCell ref="I401:L401"/>
    <mergeCell ref="M401:P401"/>
    <mergeCell ref="Q401:T401"/>
    <mergeCell ref="A403:A407"/>
    <mergeCell ref="A408:B408"/>
    <mergeCell ref="A409:B409"/>
    <mergeCell ref="A410:B410"/>
    <mergeCell ref="B3:C3"/>
    <mergeCell ref="A401:B402"/>
    <mergeCell ref="C401:H401"/>
  </mergeCells>
  <phoneticPr fontId="12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E823B-0456-4711-AAA9-C0B1ADF1BF38}">
  <sheetPr codeName="Sheet9"/>
  <dimension ref="A1:XFB112"/>
  <sheetViews>
    <sheetView showGridLines="0" zoomScaleNormal="100" workbookViewId="0">
      <pane xSplit="8" ySplit="10" topLeftCell="I28" activePane="bottomRight" state="frozen"/>
      <selection activeCell="C10" sqref="C10"/>
      <selection pane="topRight" activeCell="C10" sqref="C10"/>
      <selection pane="bottomLeft" activeCell="C10" sqref="C10"/>
      <selection pane="bottomRight" activeCell="Q59" sqref="Q59"/>
    </sheetView>
  </sheetViews>
  <sheetFormatPr defaultColWidth="5.77734375" defaultRowHeight="12" outlineLevelCol="1"/>
  <cols>
    <col min="1" max="1" width="1.6640625" style="793" customWidth="1"/>
    <col min="2" max="2" width="5.21875" style="3403" hidden="1" customWidth="1"/>
    <col min="3" max="3" width="2.88671875" style="793" customWidth="1"/>
    <col min="4" max="4" width="19.44140625" style="793" customWidth="1"/>
    <col min="5" max="5" width="7.6640625" style="793" hidden="1" customWidth="1"/>
    <col min="6" max="6" width="8.109375" style="793" hidden="1" customWidth="1"/>
    <col min="7" max="7" width="5.77734375" style="793" hidden="1" customWidth="1"/>
    <col min="8" max="8" width="10.6640625" style="793" customWidth="1"/>
    <col min="9" max="9" width="7.6640625" style="793" customWidth="1"/>
    <col min="10" max="12" width="6" style="793" hidden="1" customWidth="1" outlineLevel="1"/>
    <col min="13" max="14" width="6.6640625" style="793" hidden="1" customWidth="1" outlineLevel="1"/>
    <col min="15" max="15" width="6" style="793" hidden="1" customWidth="1" outlineLevel="1"/>
    <col min="16" max="16" width="6" style="793" customWidth="1" collapsed="1"/>
    <col min="17" max="17" width="6" style="793" customWidth="1"/>
    <col min="18" max="46" width="6.6640625" style="793" customWidth="1"/>
    <col min="47" max="53" width="6" style="793" customWidth="1"/>
    <col min="54" max="16384" width="5.77734375" style="793"/>
  </cols>
  <sheetData>
    <row r="1" spans="1:16382" hidden="1">
      <c r="I1" s="847"/>
      <c r="J1" s="793">
        <v>10640</v>
      </c>
      <c r="K1" s="793">
        <v>450</v>
      </c>
      <c r="L1" s="793">
        <v>1180</v>
      </c>
      <c r="M1" s="793">
        <v>8207.26</v>
      </c>
      <c r="N1" s="846">
        <v>2988.893</v>
      </c>
      <c r="O1" s="793">
        <v>1195.9321887599999</v>
      </c>
      <c r="P1" s="793">
        <v>1238.3187719</v>
      </c>
      <c r="Q1" s="793">
        <v>2059.9796981959998</v>
      </c>
      <c r="R1" s="793">
        <v>1910.7362710817999</v>
      </c>
      <c r="S1" s="793">
        <v>1693.9738563290755</v>
      </c>
      <c r="T1" s="793">
        <v>1484.3366578067469</v>
      </c>
      <c r="U1" s="793">
        <v>1607.7173508460105</v>
      </c>
      <c r="V1" s="793">
        <v>2098.7820382812888</v>
      </c>
      <c r="W1" s="793">
        <v>2148.7772356773999</v>
      </c>
      <c r="X1" s="846">
        <v>2749.453073522006</v>
      </c>
      <c r="Y1" s="793">
        <v>6021.3784043852311</v>
      </c>
      <c r="Z1" s="793">
        <v>6837.0726203373779</v>
      </c>
      <c r="AA1" s="793">
        <v>3306.4395848937561</v>
      </c>
      <c r="AB1" s="793">
        <v>3180.0332850330706</v>
      </c>
      <c r="AC1" s="793">
        <v>3518.2842325454626</v>
      </c>
      <c r="AD1" s="793">
        <v>3409.0203057069948</v>
      </c>
      <c r="AE1" s="793">
        <v>1751.7579781431209</v>
      </c>
      <c r="AF1" s="793">
        <v>2110.928769109983</v>
      </c>
      <c r="AG1" s="793">
        <v>31495.532194093998</v>
      </c>
      <c r="AH1" s="846">
        <v>46366.194779962214</v>
      </c>
      <c r="AI1" s="793">
        <v>17437.806508386675</v>
      </c>
      <c r="AJ1" s="793">
        <v>7224.7901501465958</v>
      </c>
      <c r="AK1" s="793">
        <v>10408.218071559872</v>
      </c>
      <c r="AL1" s="793">
        <v>569.91277858565877</v>
      </c>
      <c r="AM1" s="793">
        <v>104.65671024936643</v>
      </c>
      <c r="AN1" s="793">
        <v>912.69494829463611</v>
      </c>
      <c r="AO1" s="793">
        <v>4630.7284516883019</v>
      </c>
      <c r="AP1" s="793">
        <v>2385.692580139244</v>
      </c>
      <c r="AQ1" s="793">
        <v>1737.0537681244364</v>
      </c>
      <c r="AR1" s="846">
        <v>3162.3635606215248</v>
      </c>
      <c r="AS1" s="793">
        <v>5978.5330077007902</v>
      </c>
      <c r="AT1" s="793">
        <v>7621.6033428454593</v>
      </c>
      <c r="AU1" s="793">
        <v>7230.3404667835948</v>
      </c>
      <c r="AV1" s="793">
        <v>8098.1513151283498</v>
      </c>
      <c r="AW1" s="793">
        <v>346.81835314259928</v>
      </c>
      <c r="AX1" s="793">
        <v>687.43732822277468</v>
      </c>
      <c r="AY1" s="793">
        <v>1503.6049586732538</v>
      </c>
      <c r="AZ1" s="793">
        <v>223.32956003823327</v>
      </c>
      <c r="BA1" s="847">
        <v>1203.0018967392832</v>
      </c>
    </row>
    <row r="2" spans="1:16382" hidden="1">
      <c r="I2" s="847">
        <v>135374.85567006035</v>
      </c>
      <c r="J2" s="793">
        <v>10640</v>
      </c>
      <c r="K2" s="793">
        <v>340</v>
      </c>
      <c r="L2" s="793">
        <v>880</v>
      </c>
      <c r="M2" s="793">
        <v>4696.5</v>
      </c>
      <c r="N2" s="846">
        <v>2499.2449999999999</v>
      </c>
      <c r="O2" s="793">
        <v>0</v>
      </c>
      <c r="P2" s="793">
        <v>249.74496240000002</v>
      </c>
      <c r="Q2" s="793">
        <v>1639.5756781559999</v>
      </c>
      <c r="R2" s="793">
        <v>1910.7362710817999</v>
      </c>
      <c r="S2" s="793">
        <v>1222.2343014019912</v>
      </c>
      <c r="T2" s="793">
        <v>974.57103506527199</v>
      </c>
      <c r="U2" s="793">
        <v>262.48446544424661</v>
      </c>
      <c r="V2" s="793">
        <v>2098.7820382812888</v>
      </c>
      <c r="W2" s="793">
        <v>111.56683466653166</v>
      </c>
      <c r="X2" s="846">
        <v>1690.2375451979547</v>
      </c>
      <c r="Y2" s="793">
        <v>3550.8510349518633</v>
      </c>
      <c r="Z2" s="793">
        <v>5131.252887892746</v>
      </c>
      <c r="AA2" s="793">
        <v>455.09983050503945</v>
      </c>
      <c r="AB2" s="793">
        <v>248.58667272382411</v>
      </c>
      <c r="AC2" s="793">
        <v>0</v>
      </c>
      <c r="AD2" s="793">
        <v>2153.0654562359969</v>
      </c>
      <c r="AE2" s="793">
        <v>1751.7579781431209</v>
      </c>
      <c r="AF2" s="793">
        <v>1574.0451515328775</v>
      </c>
      <c r="AG2" s="793">
        <v>19964.74943362864</v>
      </c>
      <c r="AH2" s="846">
        <v>39208.549582154024</v>
      </c>
      <c r="AI2" s="793">
        <v>16845.984445868969</v>
      </c>
      <c r="AJ2" s="793">
        <v>304.73631564765958</v>
      </c>
      <c r="AK2" s="793">
        <v>1154.1887955155107</v>
      </c>
      <c r="AL2" s="793">
        <v>129.52563149674063</v>
      </c>
      <c r="AM2" s="793">
        <v>52.328355124683213</v>
      </c>
      <c r="AN2" s="793">
        <v>0</v>
      </c>
      <c r="AO2" s="793">
        <v>3523.0902341374976</v>
      </c>
      <c r="AP2" s="793">
        <v>269.56978306658124</v>
      </c>
      <c r="AQ2" s="793">
        <v>136.13274044862354</v>
      </c>
      <c r="AR2" s="846">
        <v>1237.446610677988</v>
      </c>
      <c r="AS2" s="793">
        <v>2777.3801706328177</v>
      </c>
      <c r="AT2" s="793">
        <v>7411.2167949200229</v>
      </c>
      <c r="AU2" s="793">
        <v>6380.3788131648334</v>
      </c>
      <c r="AV2" s="793">
        <v>2375.0761807620247</v>
      </c>
      <c r="AW2" s="793">
        <v>0</v>
      </c>
      <c r="AX2" s="793">
        <v>0</v>
      </c>
      <c r="AY2" s="793">
        <v>353.78940204076559</v>
      </c>
      <c r="AZ2" s="793">
        <v>0</v>
      </c>
      <c r="BA2" s="847">
        <v>150.3752370924104</v>
      </c>
    </row>
    <row r="3" spans="1:16382" hidden="1">
      <c r="I3" s="847">
        <v>110096</v>
      </c>
      <c r="J3" s="793">
        <v>10640</v>
      </c>
      <c r="K3" s="793">
        <v>340</v>
      </c>
      <c r="L3" s="793">
        <v>880</v>
      </c>
      <c r="M3" s="793">
        <v>4650</v>
      </c>
      <c r="N3" s="846">
        <v>2450</v>
      </c>
      <c r="O3" s="793">
        <v>0</v>
      </c>
      <c r="P3" s="793">
        <v>240</v>
      </c>
      <c r="Q3" s="793">
        <v>1560</v>
      </c>
      <c r="R3" s="793">
        <v>1800</v>
      </c>
      <c r="S3" s="793">
        <v>1140</v>
      </c>
      <c r="T3" s="793">
        <v>900</v>
      </c>
      <c r="U3" s="793">
        <v>240</v>
      </c>
      <c r="V3" s="793">
        <v>1900</v>
      </c>
      <c r="W3" s="793">
        <v>100</v>
      </c>
      <c r="X3" s="846">
        <v>1500</v>
      </c>
      <c r="Y3" s="793">
        <v>3120</v>
      </c>
      <c r="Z3" s="793">
        <v>4464</v>
      </c>
      <c r="AA3" s="793">
        <v>392</v>
      </c>
      <c r="AB3" s="793">
        <v>212</v>
      </c>
      <c r="AC3" s="793">
        <v>0</v>
      </c>
      <c r="AD3" s="793">
        <v>1800</v>
      </c>
      <c r="AE3" s="793">
        <v>1450</v>
      </c>
      <c r="AF3" s="793">
        <v>1290</v>
      </c>
      <c r="AG3" s="793">
        <v>16200</v>
      </c>
      <c r="AH3" s="846">
        <v>31500</v>
      </c>
      <c r="AI3" s="793">
        <v>13400</v>
      </c>
      <c r="AJ3" s="793">
        <v>240</v>
      </c>
      <c r="AK3" s="793">
        <v>900</v>
      </c>
      <c r="AL3" s="793">
        <v>100</v>
      </c>
      <c r="AM3" s="793">
        <v>40</v>
      </c>
      <c r="AN3" s="793">
        <v>0</v>
      </c>
      <c r="AO3" s="793">
        <v>2640</v>
      </c>
      <c r="AP3" s="793">
        <v>200</v>
      </c>
      <c r="AQ3" s="793">
        <v>100</v>
      </c>
      <c r="AR3" s="846">
        <v>900</v>
      </c>
      <c r="AS3" s="793">
        <v>2000</v>
      </c>
      <c r="AT3" s="793">
        <v>5284</v>
      </c>
      <c r="AU3" s="793">
        <v>4504</v>
      </c>
      <c r="AV3" s="793">
        <v>1660</v>
      </c>
      <c r="AW3" s="793">
        <v>0</v>
      </c>
      <c r="AX3" s="793">
        <v>0</v>
      </c>
      <c r="AY3" s="793">
        <v>240</v>
      </c>
      <c r="AZ3" s="793">
        <v>0</v>
      </c>
      <c r="BA3" s="847">
        <v>100</v>
      </c>
    </row>
    <row r="4" spans="1:16382" hidden="1">
      <c r="I4" s="3404">
        <f t="shared" ref="I4:BA6" ca="1" si="0">I1-I10</f>
        <v>-94798.279769987566</v>
      </c>
      <c r="J4" s="3404">
        <f t="shared" si="0"/>
        <v>10640</v>
      </c>
      <c r="K4" s="3404">
        <f t="shared" si="0"/>
        <v>450</v>
      </c>
      <c r="L4" s="3404">
        <f t="shared" si="0"/>
        <v>1180</v>
      </c>
      <c r="M4" s="3404">
        <f t="shared" si="0"/>
        <v>8207.26</v>
      </c>
      <c r="N4" s="3404">
        <f t="shared" si="0"/>
        <v>2988.893</v>
      </c>
      <c r="O4" s="3404">
        <f t="shared" si="0"/>
        <v>1195.9321887599999</v>
      </c>
      <c r="P4" s="3404">
        <f t="shared" ca="1" si="0"/>
        <v>-689.77122810000014</v>
      </c>
      <c r="Q4" s="3404">
        <f t="shared" ca="1" si="0"/>
        <v>2059.9796981959998</v>
      </c>
      <c r="R4" s="3404">
        <f t="shared" ca="1" si="0"/>
        <v>1910.7362710817999</v>
      </c>
      <c r="S4" s="3404">
        <f t="shared" ca="1" si="0"/>
        <v>1381.7926533290756</v>
      </c>
      <c r="T4" s="3404">
        <f t="shared" ca="1" si="0"/>
        <v>989.31092420964683</v>
      </c>
      <c r="U4" s="3404">
        <f t="shared" ca="1" si="0"/>
        <v>482.50599120895049</v>
      </c>
      <c r="V4" s="3404">
        <f t="shared" ca="1" si="0"/>
        <v>2055.8966241970084</v>
      </c>
      <c r="W4" s="3404">
        <f t="shared" ca="1" si="0"/>
        <v>-131.7189863753365</v>
      </c>
      <c r="X4" s="3404">
        <f t="shared" ca="1" si="0"/>
        <v>124.60841907954</v>
      </c>
      <c r="Y4" s="3404">
        <f t="shared" ca="1" si="0"/>
        <v>1524.7268411463165</v>
      </c>
      <c r="Z4" s="3404">
        <f t="shared" ca="1" si="0"/>
        <v>3719.8952597544835</v>
      </c>
      <c r="AA4" s="3404">
        <f t="shared" ca="1" si="0"/>
        <v>3216.2935824831984</v>
      </c>
      <c r="AB4" s="3404">
        <f t="shared" ca="1" si="0"/>
        <v>-234.24655626679805</v>
      </c>
      <c r="AC4" s="3404">
        <f t="shared" ca="1" si="0"/>
        <v>-1194.5600417287892</v>
      </c>
      <c r="AD4" s="3404">
        <f t="shared" ca="1" si="0"/>
        <v>-2614.9689711586398</v>
      </c>
      <c r="AE4" s="3404">
        <f t="shared" ca="1" si="0"/>
        <v>-637.95730021137706</v>
      </c>
      <c r="AF4" s="3404">
        <f t="shared" ca="1" si="0"/>
        <v>-4142.1986285391176</v>
      </c>
      <c r="AG4" s="3404">
        <f t="shared" ca="1" si="0"/>
        <v>17008.392042314954</v>
      </c>
      <c r="AH4" s="3404">
        <f t="shared" ca="1" si="0"/>
        <v>40874.735545721138</v>
      </c>
      <c r="AI4" s="3404">
        <f t="shared" ca="1" si="0"/>
        <v>14423.009765284836</v>
      </c>
      <c r="AJ4" s="3404">
        <f t="shared" ca="1" si="0"/>
        <v>2960.7140365444293</v>
      </c>
      <c r="AK4" s="3404">
        <f t="shared" ca="1" si="0"/>
        <v>8690.5101851035997</v>
      </c>
      <c r="AL4" s="3404">
        <f t="shared" ca="1" si="0"/>
        <v>569.91277858565877</v>
      </c>
      <c r="AM4" s="3404">
        <f t="shared" ca="1" si="0"/>
        <v>-301.65837728084637</v>
      </c>
      <c r="AN4" s="3404">
        <f t="shared" ca="1" si="0"/>
        <v>-742.61697359380878</v>
      </c>
      <c r="AO4" s="3404">
        <f t="shared" ca="1" si="0"/>
        <v>3102.3260000267624</v>
      </c>
      <c r="AP4" s="3404">
        <f t="shared" ca="1" si="0"/>
        <v>800.14341986134264</v>
      </c>
      <c r="AQ4" s="3404">
        <f t="shared" ca="1" si="0"/>
        <v>-1706.2304916124067</v>
      </c>
      <c r="AR4" s="3404">
        <f t="shared" ca="1" si="0"/>
        <v>3162.3635606215248</v>
      </c>
      <c r="AS4" s="3404">
        <f t="shared" ca="1" si="0"/>
        <v>1246.5589497066358</v>
      </c>
      <c r="AT4" s="3404">
        <f t="shared" ca="1" si="0"/>
        <v>6396.4086788078475</v>
      </c>
      <c r="AU4" s="3404">
        <f t="shared" ca="1" si="0"/>
        <v>7230.3404667835948</v>
      </c>
      <c r="AV4" s="3404">
        <f t="shared" ca="1" si="0"/>
        <v>5931.7947820347526</v>
      </c>
      <c r="AW4" s="3404">
        <f t="shared" ca="1" si="0"/>
        <v>346.81835314259928</v>
      </c>
      <c r="AX4" s="3404">
        <f t="shared" ca="1" si="0"/>
        <v>-93.110790350454295</v>
      </c>
      <c r="AY4" s="3404">
        <f t="shared" ca="1" si="0"/>
        <v>859.75900605704226</v>
      </c>
      <c r="AZ4" s="3404">
        <f t="shared" ca="1" si="0"/>
        <v>-1120.5915583893388</v>
      </c>
      <c r="BA4" s="3404">
        <f t="shared" ca="1" si="0"/>
        <v>-5802.7288367412229</v>
      </c>
    </row>
    <row r="5" spans="1:16382" hidden="1">
      <c r="I5" s="3404">
        <f t="shared" ca="1" si="0"/>
        <v>93617.003661064635</v>
      </c>
      <c r="J5" s="3404">
        <f t="shared" si="0"/>
        <v>10640</v>
      </c>
      <c r="K5" s="3404">
        <f t="shared" si="0"/>
        <v>340</v>
      </c>
      <c r="L5" s="3404">
        <f t="shared" si="0"/>
        <v>880</v>
      </c>
      <c r="M5" s="3404">
        <f t="shared" si="0"/>
        <v>4696.5</v>
      </c>
      <c r="N5" s="3404">
        <f t="shared" si="0"/>
        <v>2499.2449999999999</v>
      </c>
      <c r="O5" s="3404">
        <f t="shared" si="0"/>
        <v>0</v>
      </c>
      <c r="P5" s="3404">
        <f t="shared" ca="1" si="0"/>
        <v>-1163.2450375999999</v>
      </c>
      <c r="Q5" s="3404">
        <f t="shared" ca="1" si="0"/>
        <v>1639.5756781559999</v>
      </c>
      <c r="R5" s="3404">
        <f t="shared" ca="1" si="0"/>
        <v>1910.7362710817999</v>
      </c>
      <c r="S5" s="3404">
        <f t="shared" ca="1" si="0"/>
        <v>910.05309840199118</v>
      </c>
      <c r="T5" s="3404">
        <f t="shared" ca="1" si="0"/>
        <v>974.57103506527199</v>
      </c>
      <c r="U5" s="3404">
        <f t="shared" ca="1" si="0"/>
        <v>-406.27322943438338</v>
      </c>
      <c r="V5" s="3404">
        <f t="shared" ca="1" si="0"/>
        <v>2055.8966241970084</v>
      </c>
      <c r="W5" s="3404">
        <f t="shared" ca="1" si="0"/>
        <v>111.56683466653166</v>
      </c>
      <c r="X5" s="3404">
        <f t="shared" ca="1" si="0"/>
        <v>1690.2375451979547</v>
      </c>
      <c r="Y5" s="3404">
        <f t="shared" ca="1" si="0"/>
        <v>1054.4050315225409</v>
      </c>
      <c r="Z5" s="3404">
        <f t="shared" ca="1" si="0"/>
        <v>4963.9026358929486</v>
      </c>
      <c r="AA5" s="3404">
        <f t="shared" ca="1" si="0"/>
        <v>455.09983050503945</v>
      </c>
      <c r="AB5" s="3404">
        <f t="shared" ca="1" si="0"/>
        <v>248.58667272382411</v>
      </c>
      <c r="AC5" s="3404">
        <f t="shared" ca="1" si="0"/>
        <v>0</v>
      </c>
      <c r="AD5" s="3404">
        <f t="shared" ca="1" si="0"/>
        <v>2060.187939806397</v>
      </c>
      <c r="AE5" s="3404">
        <f t="shared" ca="1" si="0"/>
        <v>1575.8711814045662</v>
      </c>
      <c r="AF5" s="3404">
        <f t="shared" ca="1" si="0"/>
        <v>-4394.8491825867177</v>
      </c>
      <c r="AG5" s="3404">
        <f t="shared" ca="1" si="0"/>
        <v>9606.1122941821213</v>
      </c>
      <c r="AH5" s="3404">
        <f t="shared" ca="1" si="0"/>
        <v>35342.600940734723</v>
      </c>
      <c r="AI5" s="3404">
        <f t="shared" ca="1" si="0"/>
        <v>16845.984445868969</v>
      </c>
      <c r="AJ5" s="3404">
        <f t="shared" ca="1" si="0"/>
        <v>-866.03602768241478</v>
      </c>
      <c r="AK5" s="3404">
        <f t="shared" ca="1" si="0"/>
        <v>183.310424909792</v>
      </c>
      <c r="AL5" s="3404">
        <f t="shared" ca="1" si="0"/>
        <v>129.52563149674063</v>
      </c>
      <c r="AM5" s="3404">
        <f t="shared" ca="1" si="0"/>
        <v>52.328355124683213</v>
      </c>
      <c r="AN5" s="3404">
        <f t="shared" ca="1" si="0"/>
        <v>-769.4591970103404</v>
      </c>
      <c r="AO5" s="3404">
        <f t="shared" ca="1" si="0"/>
        <v>2681.1736294086836</v>
      </c>
      <c r="AP5" s="3404">
        <f t="shared" ca="1" si="0"/>
        <v>-1315.9793772113201</v>
      </c>
      <c r="AQ5" s="3404">
        <f t="shared" ca="1" si="0"/>
        <v>136.13274044862354</v>
      </c>
      <c r="AR5" s="3404">
        <f t="shared" ca="1" si="0"/>
        <v>1237.446610677988</v>
      </c>
      <c r="AS5" s="3404">
        <f t="shared" ca="1" si="0"/>
        <v>2022.5847780463901</v>
      </c>
      <c r="AT5" s="3404">
        <f t="shared" ca="1" si="0"/>
        <v>7207.0176842470873</v>
      </c>
      <c r="AU5" s="3404">
        <f t="shared" ca="1" si="0"/>
        <v>6380.3788131648334</v>
      </c>
      <c r="AV5" s="3404">
        <f t="shared" ca="1" si="0"/>
        <v>208.71964766842711</v>
      </c>
      <c r="AW5" s="3404">
        <f t="shared" ca="1" si="0"/>
        <v>0</v>
      </c>
      <c r="AX5" s="3404">
        <f t="shared" ca="1" si="0"/>
        <v>-113.32822048250149</v>
      </c>
      <c r="AY5" s="3404">
        <f t="shared" ca="1" si="0"/>
        <v>139.17408450202842</v>
      </c>
      <c r="AZ5" s="3404">
        <f t="shared" ca="1" si="0"/>
        <v>-1127.1596477134476</v>
      </c>
      <c r="BA5" s="3404">
        <f t="shared" ca="1" si="0"/>
        <v>-6125.5918783172101</v>
      </c>
    </row>
    <row r="6" spans="1:16382" hidden="1">
      <c r="I6" s="3404">
        <f t="shared" si="0"/>
        <v>76415</v>
      </c>
      <c r="J6" s="3404">
        <f t="shared" si="0"/>
        <v>10640</v>
      </c>
      <c r="K6" s="3404">
        <f t="shared" si="0"/>
        <v>340</v>
      </c>
      <c r="L6" s="3404">
        <f t="shared" si="0"/>
        <v>880</v>
      </c>
      <c r="M6" s="3404">
        <f t="shared" si="0"/>
        <v>4650</v>
      </c>
      <c r="N6" s="3404">
        <f t="shared" si="0"/>
        <v>2450</v>
      </c>
      <c r="O6" s="3404">
        <f t="shared" si="0"/>
        <v>0</v>
      </c>
      <c r="P6" s="3404">
        <f t="shared" si="0"/>
        <v>-1159</v>
      </c>
      <c r="Q6" s="3404">
        <f t="shared" si="0"/>
        <v>1560</v>
      </c>
      <c r="R6" s="3404">
        <f t="shared" si="0"/>
        <v>1800</v>
      </c>
      <c r="S6" s="3404">
        <f t="shared" si="0"/>
        <v>840</v>
      </c>
      <c r="T6" s="3404">
        <f t="shared" si="0"/>
        <v>900</v>
      </c>
      <c r="U6" s="3404">
        <f t="shared" si="0"/>
        <v>-390</v>
      </c>
      <c r="V6" s="3404">
        <f t="shared" si="0"/>
        <v>1860</v>
      </c>
      <c r="W6" s="3404">
        <f t="shared" si="0"/>
        <v>100</v>
      </c>
      <c r="X6" s="3404">
        <f t="shared" si="0"/>
        <v>1500</v>
      </c>
      <c r="Y6" s="3404">
        <f t="shared" si="0"/>
        <v>860</v>
      </c>
      <c r="Z6" s="3404">
        <f t="shared" si="0"/>
        <v>4314</v>
      </c>
      <c r="AA6" s="3404">
        <f t="shared" si="0"/>
        <v>392</v>
      </c>
      <c r="AB6" s="3404">
        <f t="shared" si="0"/>
        <v>212</v>
      </c>
      <c r="AC6" s="3404">
        <f t="shared" si="0"/>
        <v>0</v>
      </c>
      <c r="AD6" s="3404">
        <f t="shared" si="0"/>
        <v>1720</v>
      </c>
      <c r="AE6" s="3404">
        <f t="shared" si="0"/>
        <v>1300</v>
      </c>
      <c r="AF6" s="3404">
        <f t="shared" si="0"/>
        <v>-3750</v>
      </c>
      <c r="AG6" s="3404">
        <f t="shared" si="0"/>
        <v>7540</v>
      </c>
      <c r="AH6" s="3404">
        <f t="shared" si="0"/>
        <v>28300</v>
      </c>
      <c r="AI6" s="3404">
        <f t="shared" si="0"/>
        <v>13400</v>
      </c>
      <c r="AJ6" s="3404">
        <f t="shared" si="0"/>
        <v>-710</v>
      </c>
      <c r="AK6" s="3404">
        <f t="shared" si="0"/>
        <v>120</v>
      </c>
      <c r="AL6" s="3404">
        <f t="shared" si="0"/>
        <v>100</v>
      </c>
      <c r="AM6" s="3404">
        <f t="shared" si="0"/>
        <v>40</v>
      </c>
      <c r="AN6" s="3404">
        <f t="shared" si="0"/>
        <v>-600</v>
      </c>
      <c r="AO6" s="3404">
        <f t="shared" si="0"/>
        <v>1990</v>
      </c>
      <c r="AP6" s="3404">
        <f t="shared" si="0"/>
        <v>-1012</v>
      </c>
      <c r="AQ6" s="3404">
        <f t="shared" si="0"/>
        <v>100</v>
      </c>
      <c r="AR6" s="3404">
        <f t="shared" si="0"/>
        <v>900</v>
      </c>
      <c r="AS6" s="3404">
        <f t="shared" si="0"/>
        <v>1440</v>
      </c>
      <c r="AT6" s="3404">
        <f t="shared" si="0"/>
        <v>5134</v>
      </c>
      <c r="AU6" s="3404">
        <f t="shared" si="0"/>
        <v>4504</v>
      </c>
      <c r="AV6" s="3404">
        <f t="shared" si="0"/>
        <v>100</v>
      </c>
      <c r="AW6" s="3404">
        <f t="shared" si="0"/>
        <v>0</v>
      </c>
      <c r="AX6" s="3404">
        <f t="shared" si="0"/>
        <v>-80</v>
      </c>
      <c r="AY6" s="3404">
        <f t="shared" si="0"/>
        <v>90</v>
      </c>
      <c r="AZ6" s="3404">
        <f t="shared" si="0"/>
        <v>-780</v>
      </c>
      <c r="BA6" s="3404">
        <f t="shared" si="0"/>
        <v>-4200</v>
      </c>
    </row>
    <row r="7" spans="1:16382" s="3408" customFormat="1" ht="15" customHeight="1">
      <c r="A7" s="3405"/>
      <c r="B7" s="3406"/>
      <c r="C7" s="3407"/>
      <c r="E7" s="3409"/>
      <c r="F7" s="3409"/>
      <c r="G7" s="3410"/>
      <c r="H7" s="3411">
        <f ca="1">Sensitivity!E35</f>
        <v>0.01</v>
      </c>
      <c r="I7" s="3412" t="s">
        <v>4496</v>
      </c>
      <c r="J7" s="3413"/>
      <c r="K7" s="3413"/>
      <c r="L7" s="3413"/>
      <c r="M7" s="3413"/>
      <c r="N7" s="3414"/>
      <c r="O7" s="3413">
        <v>1</v>
      </c>
      <c r="P7" s="3413">
        <f t="shared" ref="P7:BA7" ca="1" si="1">O7*($H$7+1)</f>
        <v>1.01</v>
      </c>
      <c r="Q7" s="3413">
        <f t="shared" ca="1" si="1"/>
        <v>1.0201</v>
      </c>
      <c r="R7" s="3413">
        <f t="shared" ca="1" si="1"/>
        <v>1.0303009999999999</v>
      </c>
      <c r="S7" s="3413">
        <f t="shared" ca="1" si="1"/>
        <v>1.04060401</v>
      </c>
      <c r="T7" s="3413">
        <f t="shared" ca="1" si="1"/>
        <v>1.0510100500999999</v>
      </c>
      <c r="U7" s="3413">
        <f t="shared" ca="1" si="1"/>
        <v>1.0615201506009999</v>
      </c>
      <c r="V7" s="3413">
        <f t="shared" ca="1" si="1"/>
        <v>1.0721353521070098</v>
      </c>
      <c r="W7" s="3413">
        <f t="shared" ca="1" si="1"/>
        <v>1.08285670562808</v>
      </c>
      <c r="X7" s="3414">
        <f t="shared" ca="1" si="1"/>
        <v>1.0936852726843609</v>
      </c>
      <c r="Y7" s="3413">
        <f t="shared" ca="1" si="1"/>
        <v>1.1046221254112045</v>
      </c>
      <c r="Z7" s="3413">
        <f t="shared" ca="1" si="1"/>
        <v>1.1156683466653166</v>
      </c>
      <c r="AA7" s="3413">
        <f t="shared" ca="1" si="1"/>
        <v>1.1268250301319698</v>
      </c>
      <c r="AB7" s="3413">
        <f t="shared" ca="1" si="1"/>
        <v>1.1380932804332895</v>
      </c>
      <c r="AC7" s="3413">
        <f t="shared" ca="1" si="1"/>
        <v>1.1494742132376223</v>
      </c>
      <c r="AD7" s="3413">
        <f t="shared" ca="1" si="1"/>
        <v>1.1609689553699987</v>
      </c>
      <c r="AE7" s="3413">
        <f t="shared" ca="1" si="1"/>
        <v>1.1725786449236986</v>
      </c>
      <c r="AF7" s="3413">
        <f t="shared" ca="1" si="1"/>
        <v>1.1843044313729356</v>
      </c>
      <c r="AG7" s="3413">
        <f t="shared" ca="1" si="1"/>
        <v>1.196147475686665</v>
      </c>
      <c r="AH7" s="3414">
        <f t="shared" ca="1" si="1"/>
        <v>1.2081089504435316</v>
      </c>
      <c r="AI7" s="3413">
        <f t="shared" ca="1" si="1"/>
        <v>1.220190039947967</v>
      </c>
      <c r="AJ7" s="3413">
        <f t="shared" ca="1" si="1"/>
        <v>1.2323919403474468</v>
      </c>
      <c r="AK7" s="3413">
        <f t="shared" ca="1" si="1"/>
        <v>1.2447158597509214</v>
      </c>
      <c r="AL7" s="3413">
        <f t="shared" ca="1" si="1"/>
        <v>1.2571630183484306</v>
      </c>
      <c r="AM7" s="3413">
        <f t="shared" ca="1" si="1"/>
        <v>1.269734648531915</v>
      </c>
      <c r="AN7" s="3413">
        <f t="shared" ca="1" si="1"/>
        <v>1.282431995017234</v>
      </c>
      <c r="AO7" s="3413">
        <f t="shared" ca="1" si="1"/>
        <v>1.2952563149674063</v>
      </c>
      <c r="AP7" s="3413">
        <f t="shared" ca="1" si="1"/>
        <v>1.3082088781170804</v>
      </c>
      <c r="AQ7" s="3413">
        <f t="shared" ca="1" si="1"/>
        <v>1.3212909668982513</v>
      </c>
      <c r="AR7" s="3414">
        <f t="shared" ca="1" si="1"/>
        <v>1.3345038765672339</v>
      </c>
      <c r="AS7" s="3413">
        <f t="shared" ca="1" si="1"/>
        <v>1.3478489153329063</v>
      </c>
      <c r="AT7" s="3413">
        <f t="shared" ca="1" si="1"/>
        <v>1.3613274044862353</v>
      </c>
      <c r="AU7" s="3413">
        <f t="shared" ca="1" si="1"/>
        <v>1.3749406785310978</v>
      </c>
      <c r="AV7" s="3413">
        <f t="shared" ca="1" si="1"/>
        <v>1.3886900853164088</v>
      </c>
      <c r="AW7" s="3413">
        <f t="shared" ca="1" si="1"/>
        <v>1.4025769861695729</v>
      </c>
      <c r="AX7" s="3413">
        <f t="shared" ca="1" si="1"/>
        <v>1.4166027560312686</v>
      </c>
      <c r="AY7" s="3413">
        <f t="shared" ca="1" si="1"/>
        <v>1.4307687835915812</v>
      </c>
      <c r="AZ7" s="3413">
        <f t="shared" ca="1" si="1"/>
        <v>1.4450764714274971</v>
      </c>
      <c r="BA7" s="3415">
        <f t="shared" ca="1" si="1"/>
        <v>1.4595272361417722</v>
      </c>
      <c r="BB7" s="3407"/>
      <c r="BC7" s="3407"/>
      <c r="BD7" s="3407"/>
      <c r="BE7" s="3407"/>
      <c r="BF7" s="3407"/>
      <c r="BG7" s="3407"/>
      <c r="BH7" s="3407"/>
      <c r="BI7" s="3407"/>
      <c r="BJ7" s="3407"/>
      <c r="BK7" s="3407"/>
      <c r="BL7" s="3407"/>
      <c r="BM7" s="3407"/>
      <c r="BN7" s="3407"/>
      <c r="BO7" s="3407"/>
      <c r="BP7" s="3407"/>
      <c r="BQ7" s="3407"/>
      <c r="BR7" s="3407"/>
      <c r="BS7" s="3407"/>
      <c r="BT7" s="3407"/>
      <c r="BU7" s="3407"/>
      <c r="BV7" s="3407"/>
      <c r="BW7" s="3407"/>
      <c r="BX7" s="3407"/>
      <c r="BY7" s="3407"/>
      <c r="BZ7" s="3407"/>
      <c r="CA7" s="3407"/>
      <c r="CB7" s="3407"/>
      <c r="CC7" s="3407"/>
      <c r="CD7" s="3407"/>
      <c r="CE7" s="3407"/>
      <c r="CF7" s="3407"/>
      <c r="CG7" s="3407"/>
      <c r="CH7" s="3407"/>
      <c r="CI7" s="3407"/>
      <c r="CJ7" s="3407"/>
      <c r="CK7" s="3407"/>
      <c r="CL7" s="3407"/>
      <c r="CM7" s="3407"/>
      <c r="CN7" s="3407"/>
      <c r="CO7" s="3407"/>
      <c r="CP7" s="3407"/>
      <c r="CQ7" s="3407"/>
      <c r="CR7" s="3407"/>
      <c r="CS7" s="3407"/>
      <c r="CT7" s="3407"/>
      <c r="CU7" s="3407"/>
      <c r="CV7" s="3407"/>
      <c r="CW7" s="3407"/>
      <c r="CX7" s="3407"/>
      <c r="CY7" s="3407"/>
      <c r="CZ7" s="3407"/>
      <c r="DA7" s="3407"/>
      <c r="DB7" s="3407"/>
      <c r="DC7" s="3407"/>
      <c r="DD7" s="3407"/>
      <c r="DE7" s="3407"/>
      <c r="DF7" s="3407"/>
      <c r="DG7" s="3407"/>
      <c r="DH7" s="3407"/>
      <c r="DI7" s="3407"/>
      <c r="DJ7" s="3407"/>
      <c r="DK7" s="3407"/>
      <c r="DL7" s="3407"/>
      <c r="DM7" s="3407"/>
      <c r="DN7" s="3407"/>
      <c r="DO7" s="3407"/>
      <c r="DP7" s="3407"/>
      <c r="DQ7" s="3407"/>
      <c r="DR7" s="3407"/>
      <c r="DS7" s="3407"/>
      <c r="DT7" s="3407"/>
      <c r="DU7" s="3407"/>
      <c r="DV7" s="3407"/>
      <c r="DW7" s="3407"/>
      <c r="DX7" s="3407"/>
      <c r="DY7" s="3407"/>
      <c r="DZ7" s="3407"/>
      <c r="EA7" s="3407"/>
      <c r="EB7" s="3407"/>
      <c r="EC7" s="3407"/>
      <c r="ED7" s="3407"/>
      <c r="EE7" s="3407"/>
      <c r="EF7" s="3407"/>
      <c r="EG7" s="3407"/>
      <c r="EH7" s="3407"/>
      <c r="EI7" s="3407"/>
      <c r="EJ7" s="3407"/>
      <c r="EK7" s="3407"/>
      <c r="EL7" s="3407"/>
      <c r="EM7" s="3407"/>
      <c r="EN7" s="3407"/>
      <c r="EO7" s="3407"/>
      <c r="EP7" s="3407"/>
      <c r="EQ7" s="3407"/>
      <c r="ER7" s="3407"/>
      <c r="ES7" s="3407"/>
      <c r="ET7" s="3407"/>
      <c r="EU7" s="3407"/>
      <c r="EV7" s="3407"/>
      <c r="EW7" s="3407"/>
      <c r="EX7" s="3407"/>
      <c r="EY7" s="3407"/>
      <c r="EZ7" s="3407"/>
      <c r="FA7" s="3407"/>
      <c r="FB7" s="3407"/>
      <c r="FC7" s="3407"/>
      <c r="FD7" s="3407"/>
      <c r="FE7" s="3407"/>
      <c r="FF7" s="3407"/>
      <c r="FG7" s="3407"/>
      <c r="FH7" s="3407"/>
      <c r="FI7" s="3407"/>
      <c r="FJ7" s="3407"/>
      <c r="FK7" s="3407"/>
      <c r="FL7" s="3407"/>
      <c r="FM7" s="3407"/>
      <c r="FN7" s="3407"/>
      <c r="FO7" s="3407"/>
      <c r="FP7" s="3407"/>
      <c r="FQ7" s="3407"/>
      <c r="FR7" s="3407"/>
      <c r="FS7" s="3407"/>
      <c r="FT7" s="3407"/>
      <c r="FU7" s="3407"/>
      <c r="FV7" s="3407"/>
      <c r="FW7" s="3407"/>
      <c r="FX7" s="3407"/>
      <c r="FY7" s="3407"/>
      <c r="FZ7" s="3407"/>
      <c r="GA7" s="3407"/>
      <c r="GB7" s="3407"/>
      <c r="GC7" s="3407"/>
      <c r="GD7" s="3407"/>
      <c r="GE7" s="3407"/>
      <c r="GF7" s="3407"/>
      <c r="GG7" s="3407"/>
      <c r="GH7" s="3407"/>
      <c r="GI7" s="3407"/>
      <c r="GJ7" s="3407"/>
      <c r="GK7" s="3407"/>
      <c r="GL7" s="3407"/>
      <c r="GM7" s="3407"/>
      <c r="GN7" s="3407"/>
      <c r="GO7" s="3407"/>
      <c r="GP7" s="3407"/>
      <c r="GQ7" s="3407"/>
      <c r="GR7" s="3407"/>
      <c r="GS7" s="3407"/>
      <c r="GT7" s="3407"/>
      <c r="GU7" s="3407"/>
      <c r="GV7" s="3407"/>
      <c r="GW7" s="3407"/>
      <c r="GX7" s="3407"/>
      <c r="GY7" s="3407"/>
      <c r="GZ7" s="3407"/>
      <c r="HA7" s="3407"/>
      <c r="HB7" s="3407"/>
      <c r="HC7" s="3407"/>
      <c r="HD7" s="3407"/>
      <c r="HE7" s="3407"/>
      <c r="HF7" s="3407"/>
      <c r="HG7" s="3407"/>
      <c r="HH7" s="3407"/>
      <c r="HI7" s="3407"/>
      <c r="HJ7" s="3407"/>
      <c r="HK7" s="3407"/>
      <c r="HL7" s="3407"/>
      <c r="HM7" s="3407"/>
      <c r="HN7" s="3407"/>
      <c r="HO7" s="3407"/>
      <c r="HP7" s="3407"/>
      <c r="HQ7" s="3407"/>
      <c r="HR7" s="3407"/>
      <c r="HS7" s="3407"/>
      <c r="HT7" s="3407"/>
      <c r="HU7" s="3407"/>
      <c r="HV7" s="3407"/>
      <c r="HW7" s="3407"/>
      <c r="HX7" s="3407"/>
      <c r="HY7" s="3407"/>
      <c r="HZ7" s="3407"/>
      <c r="IA7" s="3407"/>
      <c r="IB7" s="3407"/>
      <c r="IC7" s="3407"/>
      <c r="ID7" s="3407"/>
      <c r="IE7" s="3407"/>
      <c r="IF7" s="3407"/>
      <c r="IG7" s="3407"/>
      <c r="IH7" s="3407"/>
      <c r="II7" s="3407"/>
      <c r="IJ7" s="3407"/>
      <c r="IK7" s="3407"/>
      <c r="IL7" s="3407"/>
      <c r="IM7" s="3407"/>
      <c r="IN7" s="3407"/>
      <c r="IO7" s="3407"/>
      <c r="IP7" s="3407"/>
      <c r="IQ7" s="3407"/>
      <c r="IR7" s="3407"/>
      <c r="IS7" s="3407"/>
      <c r="IT7" s="3407"/>
      <c r="IU7" s="3407"/>
      <c r="IV7" s="3407"/>
      <c r="IW7" s="3407"/>
      <c r="IX7" s="3407"/>
      <c r="IY7" s="3407"/>
      <c r="IZ7" s="3407"/>
      <c r="JA7" s="3407"/>
      <c r="JB7" s="3407"/>
      <c r="JC7" s="3407"/>
      <c r="JD7" s="3407"/>
      <c r="JE7" s="3407"/>
      <c r="JF7" s="3407"/>
      <c r="JG7" s="3407"/>
      <c r="JH7" s="3407"/>
      <c r="JI7" s="3407"/>
      <c r="JJ7" s="3407"/>
      <c r="JK7" s="3407"/>
      <c r="JL7" s="3407"/>
      <c r="JM7" s="3407"/>
      <c r="JN7" s="3407"/>
      <c r="JO7" s="3407"/>
      <c r="JP7" s="3407"/>
      <c r="JQ7" s="3407"/>
      <c r="JR7" s="3407"/>
      <c r="JS7" s="3407"/>
      <c r="JT7" s="3407"/>
      <c r="JU7" s="3407"/>
      <c r="JV7" s="3407"/>
      <c r="JW7" s="3407"/>
      <c r="JX7" s="3407"/>
      <c r="JY7" s="3407"/>
      <c r="JZ7" s="3407"/>
      <c r="KA7" s="3407"/>
      <c r="KB7" s="3407"/>
      <c r="KC7" s="3407"/>
      <c r="KD7" s="3407"/>
      <c r="KE7" s="3407"/>
      <c r="KF7" s="3407"/>
      <c r="KG7" s="3407"/>
      <c r="KH7" s="3407"/>
      <c r="KI7" s="3407"/>
      <c r="KJ7" s="3407"/>
      <c r="KK7" s="3407"/>
      <c r="KL7" s="3407"/>
      <c r="KM7" s="3407"/>
      <c r="KN7" s="3407"/>
      <c r="KO7" s="3407"/>
      <c r="KP7" s="3407"/>
      <c r="KQ7" s="3407"/>
      <c r="KR7" s="3407"/>
      <c r="KS7" s="3407"/>
      <c r="KT7" s="3407"/>
      <c r="KU7" s="3407"/>
      <c r="KV7" s="3407"/>
      <c r="KW7" s="3407"/>
      <c r="KX7" s="3407"/>
      <c r="KY7" s="3407"/>
      <c r="KZ7" s="3407"/>
      <c r="LA7" s="3407"/>
      <c r="LB7" s="3407"/>
      <c r="LC7" s="3407"/>
      <c r="LD7" s="3407"/>
      <c r="LE7" s="3407"/>
      <c r="LF7" s="3407"/>
      <c r="LG7" s="3407"/>
      <c r="LH7" s="3407"/>
      <c r="LI7" s="3407"/>
      <c r="LJ7" s="3407"/>
      <c r="LK7" s="3407"/>
      <c r="LL7" s="3407"/>
      <c r="LM7" s="3407"/>
      <c r="LN7" s="3407"/>
      <c r="LO7" s="3407"/>
      <c r="LP7" s="3407"/>
      <c r="LQ7" s="3407"/>
      <c r="LR7" s="3407"/>
      <c r="LS7" s="3407"/>
      <c r="LT7" s="3407"/>
      <c r="LU7" s="3407"/>
      <c r="LV7" s="3407"/>
      <c r="LW7" s="3407"/>
      <c r="LX7" s="3407"/>
      <c r="LY7" s="3407"/>
      <c r="LZ7" s="3407"/>
      <c r="MA7" s="3407"/>
      <c r="MB7" s="3407"/>
      <c r="MC7" s="3407"/>
      <c r="MD7" s="3407"/>
      <c r="ME7" s="3407"/>
      <c r="MF7" s="3407"/>
      <c r="MG7" s="3407"/>
      <c r="MH7" s="3407"/>
      <c r="MI7" s="3407"/>
      <c r="MJ7" s="3407"/>
      <c r="MK7" s="3407"/>
      <c r="ML7" s="3407"/>
      <c r="MM7" s="3407"/>
      <c r="MN7" s="3407"/>
      <c r="MO7" s="3407"/>
      <c r="MP7" s="3407"/>
      <c r="MQ7" s="3407"/>
      <c r="MR7" s="3407"/>
      <c r="MS7" s="3407"/>
      <c r="MT7" s="3407"/>
      <c r="MU7" s="3407"/>
      <c r="MV7" s="3407"/>
      <c r="MW7" s="3407"/>
      <c r="MX7" s="3407"/>
      <c r="MY7" s="3407"/>
      <c r="MZ7" s="3407"/>
      <c r="NA7" s="3407"/>
      <c r="NB7" s="3407"/>
      <c r="NC7" s="3407"/>
      <c r="ND7" s="3407"/>
      <c r="NE7" s="3407"/>
      <c r="NF7" s="3407"/>
      <c r="NG7" s="3407"/>
      <c r="NH7" s="3407"/>
      <c r="NI7" s="3407"/>
      <c r="NJ7" s="3407"/>
      <c r="NK7" s="3407"/>
      <c r="NL7" s="3407"/>
      <c r="NM7" s="3407"/>
      <c r="NN7" s="3407"/>
      <c r="NO7" s="3407"/>
      <c r="NP7" s="3407"/>
      <c r="NQ7" s="3407"/>
      <c r="NR7" s="3407"/>
      <c r="NS7" s="3407"/>
      <c r="NT7" s="3407"/>
      <c r="NU7" s="3407"/>
      <c r="NV7" s="3407"/>
      <c r="NW7" s="3407"/>
      <c r="NX7" s="3407"/>
      <c r="NY7" s="3407"/>
      <c r="NZ7" s="3407"/>
      <c r="OA7" s="3407"/>
      <c r="OB7" s="3407"/>
      <c r="OC7" s="3407"/>
      <c r="OD7" s="3407"/>
      <c r="OE7" s="3407"/>
      <c r="OF7" s="3407"/>
      <c r="OG7" s="3407"/>
      <c r="OH7" s="3407"/>
      <c r="OI7" s="3407"/>
      <c r="OJ7" s="3407"/>
      <c r="OK7" s="3407"/>
      <c r="OL7" s="3407"/>
      <c r="OM7" s="3407"/>
      <c r="ON7" s="3407"/>
      <c r="OO7" s="3407"/>
      <c r="OP7" s="3407"/>
      <c r="OQ7" s="3407"/>
      <c r="OR7" s="3407"/>
      <c r="OS7" s="3407"/>
      <c r="OT7" s="3407"/>
      <c r="OU7" s="3407"/>
      <c r="OV7" s="3407"/>
      <c r="OW7" s="3407"/>
      <c r="OX7" s="3407"/>
      <c r="OY7" s="3407"/>
      <c r="OZ7" s="3407"/>
      <c r="PA7" s="3407"/>
      <c r="PB7" s="3407"/>
      <c r="PC7" s="3407"/>
      <c r="PD7" s="3407"/>
      <c r="PE7" s="3407"/>
      <c r="PF7" s="3407"/>
      <c r="PG7" s="3407"/>
      <c r="PH7" s="3407"/>
      <c r="PI7" s="3407"/>
      <c r="PJ7" s="3407"/>
      <c r="PK7" s="3407"/>
      <c r="PL7" s="3407"/>
      <c r="PM7" s="3407"/>
      <c r="PN7" s="3407"/>
      <c r="PO7" s="3407"/>
      <c r="PP7" s="3407"/>
      <c r="PQ7" s="3407"/>
      <c r="PR7" s="3407"/>
      <c r="PS7" s="3407"/>
      <c r="PT7" s="3407"/>
      <c r="PU7" s="3407"/>
      <c r="PV7" s="3407"/>
      <c r="PW7" s="3407"/>
      <c r="PX7" s="3407"/>
      <c r="PY7" s="3407"/>
      <c r="PZ7" s="3407"/>
      <c r="QA7" s="3407"/>
      <c r="QB7" s="3407"/>
      <c r="QC7" s="3407"/>
      <c r="QD7" s="3407"/>
      <c r="QE7" s="3407"/>
      <c r="QF7" s="3407"/>
      <c r="QG7" s="3407"/>
      <c r="QH7" s="3407"/>
      <c r="QI7" s="3407"/>
      <c r="QJ7" s="3407"/>
      <c r="QK7" s="3407"/>
      <c r="QL7" s="3407"/>
      <c r="QM7" s="3407"/>
      <c r="QN7" s="3407"/>
      <c r="QO7" s="3407"/>
      <c r="QP7" s="3407"/>
      <c r="QQ7" s="3407"/>
      <c r="QR7" s="3407"/>
      <c r="QS7" s="3407"/>
      <c r="QT7" s="3407"/>
      <c r="QU7" s="3407"/>
      <c r="QV7" s="3407"/>
      <c r="QW7" s="3407"/>
      <c r="QX7" s="3407"/>
      <c r="QY7" s="3407"/>
      <c r="QZ7" s="3407"/>
      <c r="RA7" s="3407"/>
      <c r="RB7" s="3407"/>
      <c r="RC7" s="3407"/>
      <c r="RD7" s="3407"/>
      <c r="RE7" s="3407"/>
      <c r="RF7" s="3407"/>
      <c r="RG7" s="3407"/>
      <c r="RH7" s="3407"/>
      <c r="RI7" s="3407"/>
      <c r="RJ7" s="3407"/>
      <c r="RK7" s="3407"/>
      <c r="RL7" s="3407"/>
      <c r="RM7" s="3407"/>
      <c r="RN7" s="3407"/>
      <c r="RO7" s="3407"/>
      <c r="RP7" s="3407"/>
      <c r="RQ7" s="3407"/>
      <c r="RR7" s="3407"/>
      <c r="RS7" s="3407"/>
      <c r="RT7" s="3407"/>
      <c r="RU7" s="3407"/>
      <c r="RV7" s="3407"/>
      <c r="RW7" s="3407"/>
      <c r="RX7" s="3407"/>
      <c r="RY7" s="3407"/>
      <c r="RZ7" s="3407"/>
      <c r="SA7" s="3407"/>
      <c r="SB7" s="3407"/>
      <c r="SC7" s="3407"/>
      <c r="SD7" s="3407"/>
      <c r="SE7" s="3407"/>
      <c r="SF7" s="3407"/>
      <c r="SG7" s="3407"/>
      <c r="SH7" s="3407"/>
      <c r="SI7" s="3407"/>
      <c r="SJ7" s="3407"/>
      <c r="SK7" s="3407"/>
      <c r="SL7" s="3407"/>
      <c r="SM7" s="3407"/>
      <c r="SN7" s="3407"/>
      <c r="SO7" s="3407"/>
      <c r="SP7" s="3407"/>
      <c r="SQ7" s="3407"/>
      <c r="SR7" s="3407"/>
      <c r="SS7" s="3407"/>
      <c r="ST7" s="3407"/>
      <c r="SU7" s="3407"/>
      <c r="SV7" s="3407"/>
      <c r="SW7" s="3407"/>
      <c r="SX7" s="3407"/>
      <c r="SY7" s="3407"/>
      <c r="SZ7" s="3407"/>
      <c r="TA7" s="3407"/>
      <c r="TB7" s="3407"/>
      <c r="TC7" s="3407"/>
      <c r="TD7" s="3407"/>
      <c r="TE7" s="3407"/>
      <c r="TF7" s="3407"/>
      <c r="TG7" s="3407"/>
      <c r="TH7" s="3407"/>
      <c r="TI7" s="3407"/>
      <c r="TJ7" s="3407"/>
      <c r="TK7" s="3407"/>
      <c r="TL7" s="3407"/>
      <c r="TM7" s="3407"/>
      <c r="TN7" s="3407"/>
      <c r="TO7" s="3407"/>
      <c r="TP7" s="3407"/>
      <c r="TQ7" s="3407"/>
      <c r="TR7" s="3407"/>
      <c r="TS7" s="3407"/>
      <c r="TT7" s="3407"/>
      <c r="TU7" s="3407"/>
      <c r="TV7" s="3407"/>
      <c r="TW7" s="3407"/>
      <c r="TX7" s="3407"/>
      <c r="TY7" s="3407"/>
      <c r="TZ7" s="3407"/>
      <c r="UA7" s="3407"/>
      <c r="UB7" s="3407"/>
      <c r="UC7" s="3407"/>
      <c r="UD7" s="3407"/>
      <c r="UE7" s="3407"/>
      <c r="UF7" s="3407"/>
      <c r="UG7" s="3407"/>
      <c r="UH7" s="3407"/>
      <c r="UI7" s="3407"/>
      <c r="UJ7" s="3407"/>
      <c r="UK7" s="3407"/>
      <c r="UL7" s="3407"/>
      <c r="UM7" s="3407"/>
      <c r="UN7" s="3407"/>
      <c r="UO7" s="3407"/>
      <c r="UP7" s="3407"/>
      <c r="UQ7" s="3407"/>
      <c r="UR7" s="3407"/>
      <c r="US7" s="3407"/>
      <c r="UT7" s="3407"/>
      <c r="UU7" s="3407"/>
      <c r="UV7" s="3407"/>
      <c r="UW7" s="3407"/>
      <c r="UX7" s="3407"/>
      <c r="UY7" s="3407"/>
      <c r="UZ7" s="3407"/>
      <c r="VA7" s="3407"/>
      <c r="VB7" s="3407"/>
      <c r="VC7" s="3407"/>
      <c r="VD7" s="3407"/>
      <c r="VE7" s="3407"/>
      <c r="VF7" s="3407"/>
      <c r="VG7" s="3407"/>
      <c r="VH7" s="3407"/>
      <c r="VI7" s="3407"/>
      <c r="VJ7" s="3407"/>
      <c r="VK7" s="3407"/>
      <c r="VL7" s="3407"/>
      <c r="VM7" s="3407"/>
      <c r="VN7" s="3407"/>
      <c r="VO7" s="3407"/>
      <c r="VP7" s="3407"/>
      <c r="VQ7" s="3407"/>
      <c r="VR7" s="3407"/>
      <c r="VS7" s="3407"/>
      <c r="VT7" s="3407"/>
      <c r="VU7" s="3407"/>
      <c r="VV7" s="3407"/>
      <c r="VW7" s="3407"/>
      <c r="VX7" s="3407"/>
      <c r="VY7" s="3407"/>
      <c r="VZ7" s="3407"/>
      <c r="WA7" s="3407"/>
      <c r="WB7" s="3407"/>
      <c r="WC7" s="3407"/>
      <c r="WD7" s="3407"/>
      <c r="WE7" s="3407"/>
      <c r="WF7" s="3407"/>
      <c r="WG7" s="3407"/>
      <c r="WH7" s="3407"/>
      <c r="WI7" s="3407"/>
      <c r="WJ7" s="3407"/>
      <c r="WK7" s="3407"/>
      <c r="WL7" s="3407"/>
      <c r="WM7" s="3407"/>
      <c r="WN7" s="3407"/>
      <c r="WO7" s="3407"/>
      <c r="WP7" s="3407"/>
      <c r="WQ7" s="3407"/>
      <c r="WR7" s="3407"/>
      <c r="WS7" s="3407"/>
      <c r="WT7" s="3407"/>
      <c r="WU7" s="3407"/>
      <c r="WV7" s="3407"/>
      <c r="WW7" s="3407"/>
      <c r="WX7" s="3407"/>
      <c r="WY7" s="3407"/>
      <c r="WZ7" s="3407"/>
      <c r="XA7" s="3407"/>
      <c r="XB7" s="3407"/>
      <c r="XC7" s="3407"/>
      <c r="XD7" s="3407"/>
      <c r="XE7" s="3407"/>
      <c r="XF7" s="3407"/>
      <c r="XG7" s="3407"/>
      <c r="XH7" s="3407"/>
      <c r="XI7" s="3407"/>
      <c r="XJ7" s="3407"/>
      <c r="XK7" s="3407"/>
      <c r="XL7" s="3407"/>
      <c r="XM7" s="3407"/>
      <c r="XN7" s="3407"/>
      <c r="XO7" s="3407"/>
      <c r="XP7" s="3407"/>
      <c r="XQ7" s="3407"/>
      <c r="XR7" s="3407"/>
      <c r="XS7" s="3407"/>
      <c r="XT7" s="3407"/>
      <c r="XU7" s="3407"/>
      <c r="XV7" s="3407"/>
      <c r="XW7" s="3407"/>
      <c r="XX7" s="3407"/>
      <c r="XY7" s="3407"/>
      <c r="XZ7" s="3407"/>
      <c r="YA7" s="3407"/>
      <c r="YB7" s="3407"/>
      <c r="YC7" s="3407"/>
      <c r="YD7" s="3407"/>
      <c r="YE7" s="3407"/>
      <c r="YF7" s="3407"/>
      <c r="YG7" s="3407"/>
      <c r="YH7" s="3407"/>
      <c r="YI7" s="3407"/>
      <c r="YJ7" s="3407"/>
      <c r="YK7" s="3407"/>
      <c r="YL7" s="3407"/>
      <c r="YM7" s="3407"/>
      <c r="YN7" s="3407"/>
      <c r="YO7" s="3407"/>
      <c r="YP7" s="3407"/>
      <c r="YQ7" s="3407"/>
      <c r="YR7" s="3407"/>
      <c r="YS7" s="3407"/>
      <c r="YT7" s="3407"/>
      <c r="YU7" s="3407"/>
      <c r="YV7" s="3407"/>
      <c r="YW7" s="3407"/>
      <c r="YX7" s="3407"/>
      <c r="YY7" s="3407"/>
      <c r="YZ7" s="3407"/>
      <c r="ZA7" s="3407"/>
      <c r="ZB7" s="3407"/>
      <c r="ZC7" s="3407"/>
      <c r="ZD7" s="3407"/>
      <c r="ZE7" s="3407"/>
      <c r="ZF7" s="3407"/>
      <c r="ZG7" s="3407"/>
      <c r="ZH7" s="3407"/>
      <c r="ZI7" s="3407"/>
      <c r="ZJ7" s="3407"/>
      <c r="ZK7" s="3407"/>
      <c r="ZL7" s="3407"/>
      <c r="ZM7" s="3407"/>
      <c r="ZN7" s="3407"/>
      <c r="ZO7" s="3407"/>
      <c r="ZP7" s="3407"/>
      <c r="ZQ7" s="3407"/>
      <c r="ZR7" s="3407"/>
      <c r="ZS7" s="3407"/>
      <c r="ZT7" s="3407"/>
      <c r="ZU7" s="3407"/>
      <c r="ZV7" s="3407"/>
      <c r="ZW7" s="3407"/>
      <c r="ZX7" s="3407"/>
      <c r="ZY7" s="3407"/>
      <c r="ZZ7" s="3407"/>
      <c r="AAA7" s="3407"/>
      <c r="AAB7" s="3407"/>
      <c r="AAC7" s="3407"/>
      <c r="AAD7" s="3407"/>
      <c r="AAE7" s="3407"/>
      <c r="AAF7" s="3407"/>
      <c r="AAG7" s="3407"/>
      <c r="AAH7" s="3407"/>
      <c r="AAI7" s="3407"/>
      <c r="AAJ7" s="3407"/>
      <c r="AAK7" s="3407"/>
      <c r="AAL7" s="3407"/>
      <c r="AAM7" s="3407"/>
      <c r="AAN7" s="3407"/>
      <c r="AAO7" s="3407"/>
      <c r="AAP7" s="3407"/>
      <c r="AAQ7" s="3407"/>
      <c r="AAR7" s="3407"/>
      <c r="AAS7" s="3407"/>
      <c r="AAT7" s="3407"/>
      <c r="AAU7" s="3407"/>
      <c r="AAV7" s="3407"/>
      <c r="AAW7" s="3407"/>
      <c r="AAX7" s="3407"/>
      <c r="AAY7" s="3407"/>
      <c r="AAZ7" s="3407"/>
      <c r="ABA7" s="3407"/>
      <c r="ABB7" s="3407"/>
      <c r="ABC7" s="3407"/>
      <c r="ABD7" s="3407"/>
      <c r="ABE7" s="3407"/>
      <c r="ABF7" s="3407"/>
      <c r="ABG7" s="3407"/>
      <c r="ABH7" s="3407"/>
      <c r="ABI7" s="3407"/>
      <c r="ABJ7" s="3407"/>
      <c r="ABK7" s="3407"/>
      <c r="ABL7" s="3407"/>
      <c r="ABM7" s="3407"/>
      <c r="ABN7" s="3407"/>
      <c r="ABO7" s="3407"/>
      <c r="ABP7" s="3407"/>
      <c r="ABQ7" s="3407"/>
      <c r="ABR7" s="3407"/>
      <c r="ABS7" s="3407"/>
      <c r="ABT7" s="3407"/>
      <c r="ABU7" s="3407"/>
      <c r="ABV7" s="3407"/>
      <c r="ABW7" s="3407"/>
      <c r="ABX7" s="3407"/>
      <c r="ABY7" s="3407"/>
      <c r="ABZ7" s="3407"/>
      <c r="ACA7" s="3407"/>
      <c r="ACB7" s="3407"/>
      <c r="ACC7" s="3407"/>
      <c r="ACD7" s="3407"/>
      <c r="ACE7" s="3407"/>
      <c r="ACF7" s="3407"/>
      <c r="ACG7" s="3407"/>
      <c r="ACH7" s="3407"/>
      <c r="ACI7" s="3407"/>
      <c r="ACJ7" s="3407"/>
      <c r="ACK7" s="3407"/>
      <c r="ACL7" s="3407"/>
      <c r="ACM7" s="3407"/>
      <c r="ACN7" s="3407"/>
      <c r="ACO7" s="3407"/>
      <c r="ACP7" s="3407"/>
      <c r="ACQ7" s="3407"/>
      <c r="ACR7" s="3407"/>
      <c r="ACS7" s="3407"/>
      <c r="ACT7" s="3407"/>
      <c r="ACU7" s="3407"/>
      <c r="ACV7" s="3407"/>
      <c r="ACW7" s="3407"/>
      <c r="ACX7" s="3407"/>
      <c r="ACY7" s="3407"/>
      <c r="ACZ7" s="3407"/>
      <c r="ADA7" s="3407"/>
      <c r="ADB7" s="3407"/>
      <c r="ADC7" s="3407"/>
      <c r="ADD7" s="3407"/>
      <c r="ADE7" s="3407"/>
      <c r="ADF7" s="3407"/>
      <c r="ADG7" s="3407"/>
      <c r="ADH7" s="3407"/>
      <c r="ADI7" s="3407"/>
      <c r="ADJ7" s="3407"/>
      <c r="ADK7" s="3407"/>
      <c r="ADL7" s="3407"/>
      <c r="ADM7" s="3407"/>
      <c r="ADN7" s="3407"/>
      <c r="ADO7" s="3407"/>
      <c r="ADP7" s="3407"/>
      <c r="ADQ7" s="3407"/>
      <c r="ADR7" s="3407"/>
      <c r="ADS7" s="3407"/>
      <c r="ADT7" s="3407"/>
      <c r="ADU7" s="3407"/>
      <c r="ADV7" s="3407"/>
      <c r="ADW7" s="3407"/>
      <c r="ADX7" s="3407"/>
      <c r="ADY7" s="3407"/>
      <c r="ADZ7" s="3407"/>
      <c r="AEA7" s="3407"/>
      <c r="AEB7" s="3407"/>
      <c r="AEC7" s="3407"/>
      <c r="AED7" s="3407"/>
      <c r="AEE7" s="3407"/>
      <c r="AEF7" s="3407"/>
      <c r="AEG7" s="3407"/>
      <c r="AEH7" s="3407"/>
      <c r="AEI7" s="3407"/>
      <c r="AEJ7" s="3407"/>
      <c r="AEK7" s="3407"/>
      <c r="AEL7" s="3407"/>
      <c r="AEM7" s="3407"/>
      <c r="AEN7" s="3407"/>
      <c r="AEO7" s="3407"/>
      <c r="AEP7" s="3407"/>
      <c r="AEQ7" s="3407"/>
      <c r="AER7" s="3407"/>
      <c r="AES7" s="3407"/>
      <c r="AET7" s="3407"/>
      <c r="AEU7" s="3407"/>
      <c r="AEV7" s="3407"/>
      <c r="AEW7" s="3407"/>
      <c r="AEX7" s="3407"/>
      <c r="AEY7" s="3407"/>
      <c r="AEZ7" s="3407"/>
      <c r="AFA7" s="3407"/>
      <c r="AFB7" s="3407"/>
      <c r="AFC7" s="3407"/>
      <c r="AFD7" s="3407"/>
      <c r="AFE7" s="3407"/>
      <c r="AFF7" s="3407"/>
      <c r="AFG7" s="3407"/>
      <c r="AFH7" s="3407"/>
      <c r="AFI7" s="3407"/>
      <c r="AFJ7" s="3407"/>
      <c r="AFK7" s="3407"/>
      <c r="AFL7" s="3407"/>
      <c r="AFM7" s="3407"/>
      <c r="AFN7" s="3407"/>
      <c r="AFO7" s="3407"/>
      <c r="AFP7" s="3407"/>
      <c r="AFQ7" s="3407"/>
      <c r="AFR7" s="3407"/>
      <c r="AFS7" s="3407"/>
      <c r="AFT7" s="3407"/>
      <c r="AFU7" s="3407"/>
      <c r="AFV7" s="3407"/>
      <c r="AFW7" s="3407"/>
      <c r="AFX7" s="3407"/>
      <c r="AFY7" s="3407"/>
      <c r="AFZ7" s="3407"/>
      <c r="AGA7" s="3407"/>
      <c r="AGB7" s="3407"/>
      <c r="AGC7" s="3407"/>
      <c r="AGD7" s="3407"/>
      <c r="AGE7" s="3407"/>
      <c r="AGF7" s="3407"/>
      <c r="AGG7" s="3407"/>
      <c r="AGH7" s="3407"/>
      <c r="AGI7" s="3407"/>
      <c r="AGJ7" s="3407"/>
      <c r="AGK7" s="3407"/>
      <c r="AGL7" s="3407"/>
      <c r="AGM7" s="3407"/>
      <c r="AGN7" s="3407"/>
      <c r="AGO7" s="3407"/>
      <c r="AGP7" s="3407"/>
      <c r="AGQ7" s="3407"/>
      <c r="AGR7" s="3407"/>
      <c r="AGS7" s="3407"/>
      <c r="AGT7" s="3407"/>
      <c r="AGU7" s="3407"/>
      <c r="AGV7" s="3407"/>
      <c r="AGW7" s="3407"/>
      <c r="AGX7" s="3407"/>
      <c r="AGY7" s="3407"/>
      <c r="AGZ7" s="3407"/>
      <c r="AHA7" s="3407"/>
      <c r="AHB7" s="3407"/>
      <c r="AHC7" s="3407"/>
      <c r="AHD7" s="3407"/>
      <c r="AHE7" s="3407"/>
      <c r="AHF7" s="3407"/>
      <c r="AHG7" s="3407"/>
      <c r="AHH7" s="3407"/>
      <c r="AHI7" s="3407"/>
      <c r="AHJ7" s="3407"/>
      <c r="AHK7" s="3407"/>
      <c r="AHL7" s="3407"/>
      <c r="AHM7" s="3407"/>
      <c r="AHN7" s="3407"/>
      <c r="AHO7" s="3407"/>
      <c r="AHP7" s="3407"/>
      <c r="AHQ7" s="3407"/>
      <c r="AHR7" s="3407"/>
      <c r="AHS7" s="3407"/>
      <c r="AHT7" s="3407"/>
      <c r="AHU7" s="3407"/>
      <c r="AHV7" s="3407"/>
      <c r="AHW7" s="3407"/>
      <c r="AHX7" s="3407"/>
      <c r="AHY7" s="3407"/>
      <c r="AHZ7" s="3407"/>
      <c r="AIA7" s="3407"/>
      <c r="AIB7" s="3407"/>
      <c r="AIC7" s="3407"/>
      <c r="AID7" s="3407"/>
      <c r="AIE7" s="3407"/>
      <c r="AIF7" s="3407"/>
      <c r="AIG7" s="3407"/>
      <c r="AIH7" s="3407"/>
      <c r="AII7" s="3407"/>
      <c r="AIJ7" s="3407"/>
      <c r="AIK7" s="3407"/>
      <c r="AIL7" s="3407"/>
      <c r="AIM7" s="3407"/>
      <c r="AIN7" s="3407"/>
      <c r="AIO7" s="3407"/>
      <c r="AIP7" s="3407"/>
      <c r="AIQ7" s="3407"/>
      <c r="AIR7" s="3407"/>
      <c r="AIS7" s="3407"/>
      <c r="AIT7" s="3407"/>
      <c r="AIU7" s="3407"/>
      <c r="AIV7" s="3407"/>
      <c r="AIW7" s="3407"/>
      <c r="AIX7" s="3407"/>
      <c r="AIY7" s="3407"/>
      <c r="AIZ7" s="3407"/>
      <c r="AJA7" s="3407"/>
      <c r="AJB7" s="3407"/>
      <c r="AJC7" s="3407"/>
      <c r="AJD7" s="3407"/>
      <c r="AJE7" s="3407"/>
      <c r="AJF7" s="3407"/>
      <c r="AJG7" s="3407"/>
      <c r="AJH7" s="3407"/>
      <c r="AJI7" s="3407"/>
      <c r="AJJ7" s="3407"/>
      <c r="AJK7" s="3407"/>
      <c r="AJL7" s="3407"/>
      <c r="AJM7" s="3407"/>
      <c r="AJN7" s="3407"/>
      <c r="AJO7" s="3407"/>
      <c r="AJP7" s="3407"/>
      <c r="AJQ7" s="3407"/>
      <c r="AJR7" s="3407"/>
      <c r="AJS7" s="3407"/>
      <c r="AJT7" s="3407"/>
      <c r="AJU7" s="3407"/>
      <c r="AJV7" s="3407"/>
      <c r="AJW7" s="3407"/>
      <c r="AJX7" s="3407"/>
      <c r="AJY7" s="3407"/>
      <c r="AJZ7" s="3407"/>
      <c r="AKA7" s="3407"/>
      <c r="AKB7" s="3407"/>
      <c r="AKC7" s="3407"/>
      <c r="AKD7" s="3407"/>
      <c r="AKE7" s="3407"/>
      <c r="AKF7" s="3407"/>
      <c r="AKG7" s="3407"/>
      <c r="AKH7" s="3407"/>
      <c r="AKI7" s="3407"/>
      <c r="AKJ7" s="3407"/>
      <c r="AKK7" s="3407"/>
      <c r="AKL7" s="3407"/>
      <c r="AKM7" s="3407"/>
      <c r="AKN7" s="3407"/>
      <c r="AKO7" s="3407"/>
      <c r="AKP7" s="3407"/>
      <c r="AKQ7" s="3407"/>
      <c r="AKR7" s="3407"/>
      <c r="AKS7" s="3407"/>
      <c r="AKT7" s="3407"/>
      <c r="AKU7" s="3407"/>
      <c r="AKV7" s="3407"/>
      <c r="AKW7" s="3407"/>
      <c r="AKX7" s="3407"/>
      <c r="AKY7" s="3407"/>
      <c r="AKZ7" s="3407"/>
      <c r="ALA7" s="3407"/>
      <c r="ALB7" s="3407"/>
      <c r="ALC7" s="3407"/>
      <c r="ALD7" s="3407"/>
      <c r="ALE7" s="3407"/>
      <c r="ALF7" s="3407"/>
      <c r="ALG7" s="3407"/>
      <c r="ALH7" s="3407"/>
      <c r="ALI7" s="3407"/>
      <c r="ALJ7" s="3407"/>
      <c r="ALK7" s="3407"/>
      <c r="ALL7" s="3407"/>
      <c r="ALM7" s="3407"/>
      <c r="ALN7" s="3407"/>
      <c r="ALO7" s="3407"/>
      <c r="ALP7" s="3407"/>
      <c r="ALQ7" s="3407"/>
      <c r="ALR7" s="3407"/>
      <c r="ALS7" s="3407"/>
      <c r="ALT7" s="3407"/>
      <c r="ALU7" s="3407"/>
      <c r="ALV7" s="3407"/>
      <c r="ALW7" s="3407"/>
      <c r="ALX7" s="3407"/>
      <c r="ALY7" s="3407"/>
      <c r="ALZ7" s="3407"/>
      <c r="AMA7" s="3407"/>
      <c r="AMB7" s="3407"/>
      <c r="AMC7" s="3407"/>
      <c r="AMD7" s="3407"/>
      <c r="AME7" s="3407"/>
      <c r="AMF7" s="3407"/>
      <c r="AMG7" s="3407"/>
      <c r="AMH7" s="3407"/>
      <c r="AMI7" s="3407"/>
      <c r="AMJ7" s="3407"/>
      <c r="AMK7" s="3407"/>
      <c r="AML7" s="3407"/>
      <c r="AMM7" s="3407"/>
      <c r="AMN7" s="3407"/>
      <c r="AMO7" s="3407"/>
      <c r="AMP7" s="3407"/>
      <c r="AMQ7" s="3407"/>
      <c r="AMR7" s="3407"/>
      <c r="AMS7" s="3407"/>
      <c r="AMT7" s="3407"/>
      <c r="AMU7" s="3407"/>
      <c r="AMV7" s="3407"/>
      <c r="AMW7" s="3407"/>
      <c r="AMX7" s="3407"/>
      <c r="AMY7" s="3407"/>
      <c r="AMZ7" s="3407"/>
      <c r="ANA7" s="3407"/>
      <c r="ANB7" s="3407"/>
      <c r="ANC7" s="3407"/>
      <c r="AND7" s="3407"/>
      <c r="ANE7" s="3407"/>
      <c r="ANF7" s="3407"/>
      <c r="ANG7" s="3407"/>
      <c r="ANH7" s="3407"/>
      <c r="ANI7" s="3407"/>
      <c r="ANJ7" s="3407"/>
      <c r="ANK7" s="3407"/>
      <c r="ANL7" s="3407"/>
      <c r="ANM7" s="3407"/>
      <c r="ANN7" s="3407"/>
      <c r="ANO7" s="3407"/>
      <c r="ANP7" s="3407"/>
      <c r="ANQ7" s="3407"/>
      <c r="ANR7" s="3407"/>
      <c r="ANS7" s="3407"/>
      <c r="ANT7" s="3407"/>
      <c r="ANU7" s="3407"/>
      <c r="ANV7" s="3407"/>
      <c r="ANW7" s="3407"/>
      <c r="ANX7" s="3407"/>
      <c r="ANY7" s="3407"/>
      <c r="ANZ7" s="3407"/>
      <c r="AOA7" s="3407"/>
      <c r="AOB7" s="3407"/>
      <c r="AOC7" s="3407"/>
      <c r="AOD7" s="3407"/>
      <c r="AOE7" s="3407"/>
      <c r="AOF7" s="3407"/>
      <c r="AOG7" s="3407"/>
      <c r="AOH7" s="3407"/>
      <c r="AOI7" s="3407"/>
      <c r="AOJ7" s="3407"/>
      <c r="AOK7" s="3407"/>
      <c r="AOL7" s="3407"/>
      <c r="AOM7" s="3407"/>
      <c r="AON7" s="3407"/>
      <c r="AOO7" s="3407"/>
      <c r="AOP7" s="3407"/>
      <c r="AOQ7" s="3407"/>
      <c r="AOR7" s="3407"/>
      <c r="AOS7" s="3407"/>
      <c r="AOT7" s="3407"/>
      <c r="AOU7" s="3407"/>
      <c r="AOV7" s="3407"/>
      <c r="AOW7" s="3407"/>
      <c r="AOX7" s="3407"/>
      <c r="AOY7" s="3407"/>
      <c r="AOZ7" s="3407"/>
      <c r="APA7" s="3407"/>
      <c r="APB7" s="3407"/>
      <c r="APC7" s="3407"/>
      <c r="APD7" s="3407"/>
      <c r="APE7" s="3407"/>
      <c r="APF7" s="3407"/>
      <c r="APG7" s="3407"/>
      <c r="APH7" s="3407"/>
      <c r="API7" s="3407"/>
      <c r="APJ7" s="3407"/>
      <c r="APK7" s="3407"/>
      <c r="APL7" s="3407"/>
      <c r="APM7" s="3407"/>
      <c r="APN7" s="3407"/>
      <c r="APO7" s="3407"/>
      <c r="APP7" s="3407"/>
      <c r="APQ7" s="3407"/>
      <c r="APR7" s="3407"/>
      <c r="APS7" s="3407"/>
      <c r="APT7" s="3407"/>
      <c r="APU7" s="3407"/>
      <c r="APV7" s="3407"/>
      <c r="APW7" s="3407"/>
      <c r="APX7" s="3407"/>
      <c r="APY7" s="3407"/>
      <c r="APZ7" s="3407"/>
      <c r="AQA7" s="3407"/>
      <c r="AQB7" s="3407"/>
      <c r="AQC7" s="3407"/>
      <c r="AQD7" s="3407"/>
      <c r="AQE7" s="3407"/>
      <c r="AQF7" s="3407"/>
      <c r="AQG7" s="3407"/>
      <c r="AQH7" s="3407"/>
      <c r="AQI7" s="3407"/>
      <c r="AQJ7" s="3407"/>
      <c r="AQK7" s="3407"/>
      <c r="AQL7" s="3407"/>
      <c r="AQM7" s="3407"/>
      <c r="AQN7" s="3407"/>
      <c r="AQO7" s="3407"/>
      <c r="AQP7" s="3407"/>
      <c r="AQQ7" s="3407"/>
      <c r="AQR7" s="3407"/>
      <c r="AQS7" s="3407"/>
      <c r="AQT7" s="3407"/>
      <c r="AQU7" s="3407"/>
      <c r="AQV7" s="3407"/>
      <c r="AQW7" s="3407"/>
      <c r="AQX7" s="3407"/>
      <c r="AQY7" s="3407"/>
      <c r="AQZ7" s="3407"/>
      <c r="ARA7" s="3407"/>
      <c r="ARB7" s="3407"/>
      <c r="ARC7" s="3407"/>
      <c r="ARD7" s="3407"/>
      <c r="ARE7" s="3407"/>
      <c r="ARF7" s="3407"/>
      <c r="ARG7" s="3407"/>
      <c r="ARH7" s="3407"/>
      <c r="ARI7" s="3407"/>
      <c r="ARJ7" s="3407"/>
      <c r="ARK7" s="3407"/>
      <c r="ARL7" s="3407"/>
      <c r="ARM7" s="3407"/>
      <c r="ARN7" s="3407"/>
      <c r="ARO7" s="3407"/>
      <c r="ARP7" s="3407"/>
      <c r="ARQ7" s="3407"/>
      <c r="ARR7" s="3407"/>
      <c r="ARS7" s="3407"/>
      <c r="ART7" s="3407"/>
      <c r="ARU7" s="3407"/>
      <c r="ARV7" s="3407"/>
      <c r="ARW7" s="3407"/>
      <c r="ARX7" s="3407"/>
      <c r="ARY7" s="3407"/>
      <c r="ARZ7" s="3407"/>
      <c r="ASA7" s="3407"/>
      <c r="ASB7" s="3407"/>
      <c r="ASC7" s="3407"/>
      <c r="ASD7" s="3407"/>
      <c r="ASE7" s="3407"/>
      <c r="ASF7" s="3407"/>
      <c r="ASG7" s="3407"/>
      <c r="ASH7" s="3407"/>
      <c r="ASI7" s="3407"/>
      <c r="ASJ7" s="3407"/>
      <c r="ASK7" s="3407"/>
      <c r="ASL7" s="3407"/>
      <c r="ASM7" s="3407"/>
      <c r="ASN7" s="3407"/>
      <c r="ASO7" s="3407"/>
      <c r="ASP7" s="3407"/>
      <c r="ASQ7" s="3407"/>
      <c r="ASR7" s="3407"/>
      <c r="ASS7" s="3407"/>
      <c r="AST7" s="3407"/>
      <c r="ASU7" s="3407"/>
      <c r="ASV7" s="3407"/>
      <c r="ASW7" s="3407"/>
      <c r="ASX7" s="3407"/>
      <c r="ASY7" s="3407"/>
      <c r="ASZ7" s="3407"/>
      <c r="ATA7" s="3407"/>
      <c r="ATB7" s="3407"/>
      <c r="ATC7" s="3407"/>
      <c r="ATD7" s="3407"/>
      <c r="ATE7" s="3407"/>
      <c r="ATF7" s="3407"/>
      <c r="ATG7" s="3407"/>
      <c r="ATH7" s="3407"/>
      <c r="ATI7" s="3407"/>
      <c r="ATJ7" s="3407"/>
      <c r="ATK7" s="3407"/>
      <c r="ATL7" s="3407"/>
      <c r="ATM7" s="3407"/>
      <c r="ATN7" s="3407"/>
      <c r="ATO7" s="3407"/>
      <c r="ATP7" s="3407"/>
      <c r="ATQ7" s="3407"/>
      <c r="ATR7" s="3407"/>
      <c r="ATS7" s="3407"/>
      <c r="ATT7" s="3407"/>
      <c r="ATU7" s="3407"/>
      <c r="ATV7" s="3407"/>
      <c r="ATW7" s="3407"/>
      <c r="ATX7" s="3407"/>
      <c r="ATY7" s="3407"/>
      <c r="ATZ7" s="3407"/>
      <c r="AUA7" s="3407"/>
      <c r="AUB7" s="3407"/>
      <c r="AUC7" s="3407"/>
      <c r="AUD7" s="3407"/>
      <c r="AUE7" s="3407"/>
      <c r="AUF7" s="3407"/>
      <c r="AUG7" s="3407"/>
      <c r="AUH7" s="3407"/>
      <c r="AUI7" s="3407"/>
      <c r="AUJ7" s="3407"/>
      <c r="AUK7" s="3407"/>
      <c r="AUL7" s="3407"/>
      <c r="AUM7" s="3407"/>
      <c r="AUN7" s="3407"/>
      <c r="AUO7" s="3407"/>
      <c r="AUP7" s="3407"/>
      <c r="AUQ7" s="3407"/>
      <c r="AUR7" s="3407"/>
      <c r="AUS7" s="3407"/>
      <c r="AUT7" s="3407"/>
      <c r="AUU7" s="3407"/>
      <c r="AUV7" s="3407"/>
      <c r="AUW7" s="3407"/>
      <c r="AUX7" s="3407"/>
      <c r="AUY7" s="3407"/>
      <c r="AUZ7" s="3407"/>
      <c r="AVA7" s="3407"/>
      <c r="AVB7" s="3407"/>
      <c r="AVC7" s="3407"/>
      <c r="AVD7" s="3407"/>
      <c r="AVE7" s="3407"/>
      <c r="AVF7" s="3407"/>
      <c r="AVG7" s="3407"/>
      <c r="AVH7" s="3407"/>
      <c r="AVI7" s="3407"/>
      <c r="AVJ7" s="3407"/>
      <c r="AVK7" s="3407"/>
      <c r="AVL7" s="3407"/>
      <c r="AVM7" s="3407"/>
      <c r="AVN7" s="3407"/>
      <c r="AVO7" s="3407"/>
      <c r="AVP7" s="3407"/>
      <c r="AVQ7" s="3407"/>
      <c r="AVR7" s="3407"/>
      <c r="AVS7" s="3407"/>
      <c r="AVT7" s="3407"/>
      <c r="AVU7" s="3407"/>
      <c r="AVV7" s="3407"/>
      <c r="AVW7" s="3407"/>
      <c r="AVX7" s="3407"/>
      <c r="AVY7" s="3407"/>
      <c r="AVZ7" s="3407"/>
      <c r="AWA7" s="3407"/>
      <c r="AWB7" s="3407"/>
      <c r="AWC7" s="3407"/>
      <c r="AWD7" s="3407"/>
      <c r="AWE7" s="3407"/>
      <c r="AWF7" s="3407"/>
      <c r="AWG7" s="3407"/>
      <c r="AWH7" s="3407"/>
      <c r="AWI7" s="3407"/>
      <c r="AWJ7" s="3407"/>
      <c r="AWK7" s="3407"/>
      <c r="AWL7" s="3407"/>
      <c r="AWM7" s="3407"/>
      <c r="AWN7" s="3407"/>
      <c r="AWO7" s="3407"/>
      <c r="AWP7" s="3407"/>
      <c r="AWQ7" s="3407"/>
      <c r="AWR7" s="3407"/>
      <c r="AWS7" s="3407"/>
      <c r="AWT7" s="3407"/>
      <c r="AWU7" s="3407"/>
      <c r="AWV7" s="3407"/>
      <c r="AWW7" s="3407"/>
      <c r="AWX7" s="3407"/>
      <c r="AWY7" s="3407"/>
      <c r="AWZ7" s="3407"/>
      <c r="AXA7" s="3407"/>
      <c r="AXB7" s="3407"/>
      <c r="AXC7" s="3407"/>
      <c r="AXD7" s="3407"/>
      <c r="AXE7" s="3407"/>
      <c r="AXF7" s="3407"/>
      <c r="AXG7" s="3407"/>
      <c r="AXH7" s="3407"/>
      <c r="AXI7" s="3407"/>
      <c r="AXJ7" s="3407"/>
      <c r="AXK7" s="3407"/>
      <c r="AXL7" s="3407"/>
      <c r="AXM7" s="3407"/>
      <c r="AXN7" s="3407"/>
      <c r="AXO7" s="3407"/>
      <c r="AXP7" s="3407"/>
      <c r="AXQ7" s="3407"/>
      <c r="AXR7" s="3407"/>
      <c r="AXS7" s="3407"/>
      <c r="AXT7" s="3407"/>
      <c r="AXU7" s="3407"/>
      <c r="AXV7" s="3407"/>
      <c r="AXW7" s="3407"/>
      <c r="AXX7" s="3407"/>
      <c r="AXY7" s="3407"/>
      <c r="AXZ7" s="3407"/>
      <c r="AYA7" s="3407"/>
      <c r="AYB7" s="3407"/>
      <c r="AYC7" s="3407"/>
      <c r="AYD7" s="3407"/>
      <c r="AYE7" s="3407"/>
      <c r="AYF7" s="3407"/>
      <c r="AYG7" s="3407"/>
      <c r="AYH7" s="3407"/>
      <c r="AYI7" s="3407"/>
      <c r="AYJ7" s="3407"/>
      <c r="AYK7" s="3407"/>
      <c r="AYL7" s="3407"/>
      <c r="AYM7" s="3407"/>
      <c r="AYN7" s="3407"/>
      <c r="AYO7" s="3407"/>
      <c r="AYP7" s="3407"/>
      <c r="AYQ7" s="3407"/>
      <c r="AYR7" s="3407"/>
      <c r="AYS7" s="3407"/>
      <c r="AYT7" s="3407"/>
      <c r="AYU7" s="3407"/>
      <c r="AYV7" s="3407"/>
      <c r="AYW7" s="3407"/>
      <c r="AYX7" s="3407"/>
      <c r="AYY7" s="3407"/>
      <c r="AYZ7" s="3407"/>
      <c r="AZA7" s="3407"/>
      <c r="AZB7" s="3407"/>
      <c r="AZC7" s="3407"/>
      <c r="AZD7" s="3407"/>
      <c r="AZE7" s="3407"/>
      <c r="AZF7" s="3407"/>
      <c r="AZG7" s="3407"/>
      <c r="AZH7" s="3407"/>
      <c r="AZI7" s="3407"/>
      <c r="AZJ7" s="3407"/>
      <c r="AZK7" s="3407"/>
      <c r="AZL7" s="3407"/>
      <c r="AZM7" s="3407"/>
      <c r="AZN7" s="3407"/>
      <c r="AZO7" s="3407"/>
      <c r="AZP7" s="3407"/>
      <c r="AZQ7" s="3407"/>
      <c r="AZR7" s="3407"/>
      <c r="AZS7" s="3407"/>
      <c r="AZT7" s="3407"/>
      <c r="AZU7" s="3407"/>
      <c r="AZV7" s="3407"/>
      <c r="AZW7" s="3407"/>
      <c r="AZX7" s="3407"/>
      <c r="AZY7" s="3407"/>
      <c r="AZZ7" s="3407"/>
      <c r="BAA7" s="3407"/>
      <c r="BAB7" s="3407"/>
      <c r="BAC7" s="3407"/>
      <c r="BAD7" s="3407"/>
      <c r="BAE7" s="3407"/>
      <c r="BAF7" s="3407"/>
      <c r="BAG7" s="3407"/>
      <c r="BAH7" s="3407"/>
      <c r="BAI7" s="3407"/>
      <c r="BAJ7" s="3407"/>
      <c r="BAK7" s="3407"/>
      <c r="BAL7" s="3407"/>
      <c r="BAM7" s="3407"/>
      <c r="BAN7" s="3407"/>
      <c r="BAO7" s="3407"/>
      <c r="BAP7" s="3407"/>
      <c r="BAQ7" s="3407"/>
      <c r="BAR7" s="3407"/>
      <c r="BAS7" s="3407"/>
      <c r="BAT7" s="3407"/>
      <c r="BAU7" s="3407"/>
      <c r="BAV7" s="3407"/>
      <c r="BAW7" s="3407"/>
      <c r="BAX7" s="3407"/>
      <c r="BAY7" s="3407"/>
      <c r="BAZ7" s="3407"/>
      <c r="BBA7" s="3407"/>
      <c r="BBB7" s="3407"/>
      <c r="BBC7" s="3407"/>
      <c r="BBD7" s="3407"/>
      <c r="BBE7" s="3407"/>
      <c r="BBF7" s="3407"/>
      <c r="BBG7" s="3407"/>
      <c r="BBH7" s="3407"/>
      <c r="BBI7" s="3407"/>
      <c r="BBJ7" s="3407"/>
      <c r="BBK7" s="3407"/>
      <c r="BBL7" s="3407"/>
      <c r="BBM7" s="3407"/>
      <c r="BBN7" s="3407"/>
      <c r="BBO7" s="3407"/>
      <c r="BBP7" s="3407"/>
      <c r="BBQ7" s="3407"/>
      <c r="BBR7" s="3407"/>
      <c r="BBS7" s="3407"/>
      <c r="BBT7" s="3407"/>
      <c r="BBU7" s="3407"/>
      <c r="BBV7" s="3407"/>
      <c r="BBW7" s="3407"/>
      <c r="BBX7" s="3407"/>
      <c r="BBY7" s="3407"/>
      <c r="BBZ7" s="3407"/>
      <c r="BCA7" s="3407"/>
      <c r="BCB7" s="3407"/>
      <c r="BCC7" s="3407"/>
      <c r="BCD7" s="3407"/>
      <c r="BCE7" s="3407"/>
      <c r="BCF7" s="3407"/>
      <c r="BCG7" s="3407"/>
      <c r="BCH7" s="3407"/>
      <c r="BCI7" s="3407"/>
      <c r="BCJ7" s="3407"/>
      <c r="BCK7" s="3407"/>
      <c r="BCL7" s="3407"/>
      <c r="BCM7" s="3407"/>
      <c r="BCN7" s="3407"/>
      <c r="BCO7" s="3407"/>
      <c r="BCP7" s="3407"/>
      <c r="BCQ7" s="3407"/>
      <c r="BCR7" s="3407"/>
      <c r="BCS7" s="3407"/>
      <c r="BCT7" s="3407"/>
      <c r="BCU7" s="3407"/>
      <c r="BCV7" s="3407"/>
      <c r="BCW7" s="3407"/>
      <c r="BCX7" s="3407"/>
      <c r="BCY7" s="3407"/>
      <c r="BCZ7" s="3407"/>
      <c r="BDA7" s="3407"/>
      <c r="BDB7" s="3407"/>
      <c r="BDC7" s="3407"/>
      <c r="BDD7" s="3407"/>
      <c r="BDE7" s="3407"/>
      <c r="BDF7" s="3407"/>
      <c r="BDG7" s="3407"/>
      <c r="BDH7" s="3407"/>
      <c r="BDI7" s="3407"/>
      <c r="BDJ7" s="3407"/>
      <c r="BDK7" s="3407"/>
      <c r="BDL7" s="3407"/>
      <c r="BDM7" s="3407"/>
      <c r="BDN7" s="3407"/>
      <c r="BDO7" s="3407"/>
      <c r="BDP7" s="3407"/>
      <c r="BDQ7" s="3407"/>
      <c r="BDR7" s="3407"/>
      <c r="BDS7" s="3407"/>
      <c r="BDT7" s="3407"/>
      <c r="BDU7" s="3407"/>
      <c r="BDV7" s="3407"/>
      <c r="BDW7" s="3407"/>
      <c r="BDX7" s="3407"/>
      <c r="BDY7" s="3407"/>
      <c r="BDZ7" s="3407"/>
      <c r="BEA7" s="3407"/>
      <c r="BEB7" s="3407"/>
      <c r="BEC7" s="3407"/>
      <c r="BED7" s="3407"/>
      <c r="BEE7" s="3407"/>
      <c r="BEF7" s="3407"/>
      <c r="BEG7" s="3407"/>
      <c r="BEH7" s="3407"/>
      <c r="BEI7" s="3407"/>
      <c r="BEJ7" s="3407"/>
      <c r="BEK7" s="3407"/>
      <c r="BEL7" s="3407"/>
      <c r="BEM7" s="3407"/>
      <c r="BEN7" s="3407"/>
      <c r="BEO7" s="3407"/>
      <c r="BEP7" s="3407"/>
      <c r="BEQ7" s="3407"/>
      <c r="BER7" s="3407"/>
      <c r="BES7" s="3407"/>
      <c r="BET7" s="3407"/>
      <c r="BEU7" s="3407"/>
      <c r="BEV7" s="3407"/>
      <c r="BEW7" s="3407"/>
      <c r="BEX7" s="3407"/>
      <c r="BEY7" s="3407"/>
      <c r="BEZ7" s="3407"/>
      <c r="BFA7" s="3407"/>
      <c r="BFB7" s="3407"/>
      <c r="BFC7" s="3407"/>
      <c r="BFD7" s="3407"/>
      <c r="BFE7" s="3407"/>
      <c r="BFF7" s="3407"/>
      <c r="BFG7" s="3407"/>
      <c r="BFH7" s="3407"/>
      <c r="BFI7" s="3407"/>
      <c r="BFJ7" s="3407"/>
      <c r="BFK7" s="3407"/>
      <c r="BFL7" s="3407"/>
      <c r="BFM7" s="3407"/>
      <c r="BFN7" s="3407"/>
      <c r="BFO7" s="3407"/>
      <c r="BFP7" s="3407"/>
      <c r="BFQ7" s="3407"/>
      <c r="BFR7" s="3407"/>
      <c r="BFS7" s="3407"/>
      <c r="BFT7" s="3407"/>
      <c r="BFU7" s="3407"/>
      <c r="BFV7" s="3407"/>
      <c r="BFW7" s="3407"/>
      <c r="BFX7" s="3407"/>
      <c r="BFY7" s="3407"/>
      <c r="BFZ7" s="3407"/>
      <c r="BGA7" s="3407"/>
      <c r="BGB7" s="3407"/>
      <c r="BGC7" s="3407"/>
      <c r="BGD7" s="3407"/>
      <c r="BGE7" s="3407"/>
      <c r="BGF7" s="3407"/>
      <c r="BGG7" s="3407"/>
      <c r="BGH7" s="3407"/>
      <c r="BGI7" s="3407"/>
      <c r="BGJ7" s="3407"/>
      <c r="BGK7" s="3407"/>
      <c r="BGL7" s="3407"/>
      <c r="BGM7" s="3407"/>
      <c r="BGN7" s="3407"/>
      <c r="BGO7" s="3407"/>
      <c r="BGP7" s="3407"/>
      <c r="BGQ7" s="3407"/>
      <c r="BGR7" s="3407"/>
      <c r="BGS7" s="3407"/>
      <c r="BGT7" s="3407"/>
      <c r="BGU7" s="3407"/>
      <c r="BGV7" s="3407"/>
      <c r="BGW7" s="3407"/>
      <c r="BGX7" s="3407"/>
      <c r="BGY7" s="3407"/>
      <c r="BGZ7" s="3407"/>
      <c r="BHA7" s="3407"/>
      <c r="BHB7" s="3407"/>
      <c r="BHC7" s="3407"/>
      <c r="BHD7" s="3407"/>
      <c r="BHE7" s="3407"/>
      <c r="BHF7" s="3407"/>
      <c r="BHG7" s="3407"/>
      <c r="BHH7" s="3407"/>
      <c r="BHI7" s="3407"/>
      <c r="BHJ7" s="3407"/>
      <c r="BHK7" s="3407"/>
      <c r="BHL7" s="3407"/>
      <c r="BHM7" s="3407"/>
      <c r="BHN7" s="3407"/>
      <c r="BHO7" s="3407"/>
      <c r="BHP7" s="3407"/>
      <c r="BHQ7" s="3407"/>
      <c r="BHR7" s="3407"/>
      <c r="BHS7" s="3407"/>
      <c r="BHT7" s="3407"/>
      <c r="BHU7" s="3407"/>
      <c r="BHV7" s="3407"/>
      <c r="BHW7" s="3407"/>
      <c r="BHX7" s="3407"/>
      <c r="BHY7" s="3407"/>
      <c r="BHZ7" s="3407"/>
      <c r="BIA7" s="3407"/>
      <c r="BIB7" s="3407"/>
      <c r="BIC7" s="3407"/>
      <c r="BID7" s="3407"/>
      <c r="BIE7" s="3407"/>
      <c r="BIF7" s="3407"/>
      <c r="BIG7" s="3407"/>
      <c r="BIH7" s="3407"/>
      <c r="BII7" s="3407"/>
      <c r="BIJ7" s="3407"/>
      <c r="BIK7" s="3407"/>
      <c r="BIL7" s="3407"/>
      <c r="BIM7" s="3407"/>
      <c r="BIN7" s="3407"/>
      <c r="BIO7" s="3407"/>
      <c r="BIP7" s="3407"/>
      <c r="BIQ7" s="3407"/>
      <c r="BIR7" s="3407"/>
      <c r="BIS7" s="3407"/>
      <c r="BIT7" s="3407"/>
      <c r="BIU7" s="3407"/>
      <c r="BIV7" s="3407"/>
      <c r="BIW7" s="3407"/>
      <c r="BIX7" s="3407"/>
      <c r="BIY7" s="3407"/>
      <c r="BIZ7" s="3407"/>
      <c r="BJA7" s="3407"/>
      <c r="BJB7" s="3407"/>
      <c r="BJC7" s="3407"/>
      <c r="BJD7" s="3407"/>
      <c r="BJE7" s="3407"/>
      <c r="BJF7" s="3407"/>
      <c r="BJG7" s="3407"/>
      <c r="BJH7" s="3407"/>
      <c r="BJI7" s="3407"/>
      <c r="BJJ7" s="3407"/>
      <c r="BJK7" s="3407"/>
      <c r="BJL7" s="3407"/>
      <c r="BJM7" s="3407"/>
      <c r="BJN7" s="3407"/>
      <c r="BJO7" s="3407"/>
      <c r="BJP7" s="3407"/>
      <c r="BJQ7" s="3407"/>
      <c r="BJR7" s="3407"/>
      <c r="BJS7" s="3407"/>
      <c r="BJT7" s="3407"/>
      <c r="BJU7" s="3407"/>
      <c r="BJV7" s="3407"/>
      <c r="BJW7" s="3407"/>
      <c r="BJX7" s="3407"/>
      <c r="BJY7" s="3407"/>
      <c r="BJZ7" s="3407"/>
      <c r="BKA7" s="3407"/>
      <c r="BKB7" s="3407"/>
      <c r="BKC7" s="3407"/>
      <c r="BKD7" s="3407"/>
      <c r="BKE7" s="3407"/>
      <c r="BKF7" s="3407"/>
      <c r="BKG7" s="3407"/>
      <c r="BKH7" s="3407"/>
      <c r="BKI7" s="3407"/>
      <c r="BKJ7" s="3407"/>
      <c r="BKK7" s="3407"/>
      <c r="BKL7" s="3407"/>
      <c r="BKM7" s="3407"/>
      <c r="BKN7" s="3407"/>
      <c r="BKO7" s="3407"/>
      <c r="BKP7" s="3407"/>
      <c r="BKQ7" s="3407"/>
      <c r="BKR7" s="3407"/>
      <c r="BKS7" s="3407"/>
      <c r="BKT7" s="3407"/>
      <c r="BKU7" s="3407"/>
      <c r="BKV7" s="3407"/>
      <c r="BKW7" s="3407"/>
      <c r="BKX7" s="3407"/>
      <c r="BKY7" s="3407"/>
      <c r="BKZ7" s="3407"/>
      <c r="BLA7" s="3407"/>
      <c r="BLB7" s="3407"/>
      <c r="BLC7" s="3407"/>
      <c r="BLD7" s="3407"/>
      <c r="BLE7" s="3407"/>
      <c r="BLF7" s="3407"/>
      <c r="BLG7" s="3407"/>
      <c r="BLH7" s="3407"/>
      <c r="BLI7" s="3407"/>
      <c r="BLJ7" s="3407"/>
      <c r="BLK7" s="3407"/>
      <c r="BLL7" s="3407"/>
      <c r="BLM7" s="3407"/>
      <c r="BLN7" s="3407"/>
      <c r="BLO7" s="3407"/>
      <c r="BLP7" s="3407"/>
      <c r="BLQ7" s="3407"/>
      <c r="BLR7" s="3407"/>
      <c r="BLS7" s="3407"/>
      <c r="BLT7" s="3407"/>
      <c r="BLU7" s="3407"/>
      <c r="BLV7" s="3407"/>
      <c r="BLW7" s="3407"/>
      <c r="BLX7" s="3407"/>
      <c r="BLY7" s="3407"/>
      <c r="BLZ7" s="3407"/>
      <c r="BMA7" s="3407"/>
      <c r="BMB7" s="3407"/>
      <c r="BMC7" s="3407"/>
      <c r="BMD7" s="3407"/>
      <c r="BME7" s="3407"/>
      <c r="BMF7" s="3407"/>
      <c r="BMG7" s="3407"/>
      <c r="BMH7" s="3407"/>
      <c r="BMI7" s="3407"/>
      <c r="BMJ7" s="3407"/>
      <c r="BMK7" s="3407"/>
      <c r="BML7" s="3407"/>
      <c r="BMM7" s="3407"/>
      <c r="BMN7" s="3407"/>
      <c r="BMO7" s="3407"/>
      <c r="BMP7" s="3407"/>
      <c r="BMQ7" s="3407"/>
      <c r="BMR7" s="3407"/>
      <c r="BMS7" s="3407"/>
      <c r="BMT7" s="3407"/>
      <c r="BMU7" s="3407"/>
      <c r="BMV7" s="3407"/>
      <c r="BMW7" s="3407"/>
      <c r="BMX7" s="3407"/>
      <c r="BMY7" s="3407"/>
      <c r="BMZ7" s="3407"/>
      <c r="BNA7" s="3407"/>
      <c r="BNB7" s="3407"/>
      <c r="BNC7" s="3407"/>
      <c r="BND7" s="3407"/>
      <c r="BNE7" s="3407"/>
      <c r="BNF7" s="3407"/>
      <c r="BNG7" s="3407"/>
      <c r="BNH7" s="3407"/>
      <c r="BNI7" s="3407"/>
      <c r="BNJ7" s="3407"/>
      <c r="BNK7" s="3407"/>
      <c r="BNL7" s="3407"/>
      <c r="BNM7" s="3407"/>
      <c r="BNN7" s="3407"/>
      <c r="BNO7" s="3407"/>
      <c r="BNP7" s="3407"/>
      <c r="BNQ7" s="3407"/>
      <c r="BNR7" s="3407"/>
      <c r="BNS7" s="3407"/>
      <c r="BNT7" s="3407"/>
      <c r="BNU7" s="3407"/>
      <c r="BNV7" s="3407"/>
      <c r="BNW7" s="3407"/>
      <c r="BNX7" s="3407"/>
      <c r="BNY7" s="3407"/>
      <c r="BNZ7" s="3407"/>
      <c r="BOA7" s="3407"/>
      <c r="BOB7" s="3407"/>
      <c r="BOC7" s="3407"/>
      <c r="BOD7" s="3407"/>
      <c r="BOE7" s="3407"/>
      <c r="BOF7" s="3407"/>
      <c r="BOG7" s="3407"/>
      <c r="BOH7" s="3407"/>
      <c r="BOI7" s="3407"/>
      <c r="BOJ7" s="3407"/>
      <c r="BOK7" s="3407"/>
      <c r="BOL7" s="3407"/>
      <c r="BOM7" s="3407"/>
      <c r="BON7" s="3407"/>
      <c r="BOO7" s="3407"/>
      <c r="BOP7" s="3407"/>
      <c r="BOQ7" s="3407"/>
      <c r="BOR7" s="3407"/>
      <c r="BOS7" s="3407"/>
      <c r="BOT7" s="3407"/>
      <c r="BOU7" s="3407"/>
      <c r="BOV7" s="3407"/>
      <c r="BOW7" s="3407"/>
      <c r="BOX7" s="3407"/>
      <c r="BOY7" s="3407"/>
      <c r="BOZ7" s="3407"/>
      <c r="BPA7" s="3407"/>
      <c r="BPB7" s="3407"/>
      <c r="BPC7" s="3407"/>
      <c r="BPD7" s="3407"/>
      <c r="BPE7" s="3407"/>
      <c r="BPF7" s="3407"/>
      <c r="BPG7" s="3407"/>
      <c r="BPH7" s="3407"/>
      <c r="BPI7" s="3407"/>
      <c r="BPJ7" s="3407"/>
      <c r="BPK7" s="3407"/>
      <c r="BPL7" s="3407"/>
      <c r="BPM7" s="3407"/>
      <c r="BPN7" s="3407"/>
      <c r="BPO7" s="3407"/>
      <c r="BPP7" s="3407"/>
      <c r="BPQ7" s="3407"/>
      <c r="BPR7" s="3407"/>
      <c r="BPS7" s="3407"/>
      <c r="BPT7" s="3407"/>
      <c r="BPU7" s="3407"/>
      <c r="BPV7" s="3407"/>
      <c r="BPW7" s="3407"/>
      <c r="BPX7" s="3407"/>
      <c r="BPY7" s="3407"/>
      <c r="BPZ7" s="3407"/>
      <c r="BQA7" s="3407"/>
      <c r="BQB7" s="3407"/>
      <c r="BQC7" s="3407"/>
      <c r="BQD7" s="3407"/>
      <c r="BQE7" s="3407"/>
      <c r="BQF7" s="3407"/>
      <c r="BQG7" s="3407"/>
      <c r="BQH7" s="3407"/>
      <c r="BQI7" s="3407"/>
      <c r="BQJ7" s="3407"/>
      <c r="BQK7" s="3407"/>
      <c r="BQL7" s="3407"/>
      <c r="BQM7" s="3407"/>
      <c r="BQN7" s="3407"/>
      <c r="BQO7" s="3407"/>
      <c r="BQP7" s="3407"/>
      <c r="BQQ7" s="3407"/>
      <c r="BQR7" s="3407"/>
      <c r="BQS7" s="3407"/>
      <c r="BQT7" s="3407"/>
      <c r="BQU7" s="3407"/>
      <c r="BQV7" s="3407"/>
      <c r="BQW7" s="3407"/>
      <c r="BQX7" s="3407"/>
      <c r="BQY7" s="3407"/>
      <c r="BQZ7" s="3407"/>
      <c r="BRA7" s="3407"/>
      <c r="BRB7" s="3407"/>
      <c r="BRC7" s="3407"/>
      <c r="BRD7" s="3407"/>
      <c r="BRE7" s="3407"/>
      <c r="BRF7" s="3407"/>
      <c r="BRG7" s="3407"/>
      <c r="BRH7" s="3407"/>
      <c r="BRI7" s="3407"/>
      <c r="BRJ7" s="3407"/>
      <c r="BRK7" s="3407"/>
      <c r="BRL7" s="3407"/>
      <c r="BRM7" s="3407"/>
      <c r="BRN7" s="3407"/>
      <c r="BRO7" s="3407"/>
      <c r="BRP7" s="3407"/>
      <c r="BRQ7" s="3407"/>
      <c r="BRR7" s="3407"/>
      <c r="BRS7" s="3407"/>
      <c r="BRT7" s="3407"/>
      <c r="BRU7" s="3407"/>
      <c r="BRV7" s="3407"/>
      <c r="BRW7" s="3407"/>
      <c r="BRX7" s="3407"/>
      <c r="BRY7" s="3407"/>
      <c r="BRZ7" s="3407"/>
      <c r="BSA7" s="3407"/>
      <c r="BSB7" s="3407"/>
      <c r="BSC7" s="3407"/>
      <c r="BSD7" s="3407"/>
      <c r="BSE7" s="3407"/>
      <c r="BSF7" s="3407"/>
      <c r="BSG7" s="3407"/>
      <c r="BSH7" s="3407"/>
      <c r="BSI7" s="3407"/>
      <c r="BSJ7" s="3407"/>
      <c r="BSK7" s="3407"/>
      <c r="BSL7" s="3407"/>
      <c r="BSM7" s="3407"/>
      <c r="BSN7" s="3407"/>
      <c r="BSO7" s="3407"/>
      <c r="BSP7" s="3407"/>
      <c r="BSQ7" s="3407"/>
      <c r="BSR7" s="3407"/>
      <c r="BSS7" s="3407"/>
      <c r="BST7" s="3407"/>
      <c r="BSU7" s="3407"/>
      <c r="BSV7" s="3407"/>
      <c r="BSW7" s="3407"/>
      <c r="BSX7" s="3407"/>
      <c r="BSY7" s="3407"/>
      <c r="BSZ7" s="3407"/>
      <c r="BTA7" s="3407"/>
      <c r="BTB7" s="3407"/>
      <c r="BTC7" s="3407"/>
      <c r="BTD7" s="3407"/>
      <c r="BTE7" s="3407"/>
      <c r="BTF7" s="3407"/>
      <c r="BTG7" s="3407"/>
      <c r="BTH7" s="3407"/>
      <c r="BTI7" s="3407"/>
      <c r="BTJ7" s="3407"/>
      <c r="BTK7" s="3407"/>
      <c r="BTL7" s="3407"/>
      <c r="BTM7" s="3407"/>
      <c r="BTN7" s="3407"/>
      <c r="BTO7" s="3407"/>
      <c r="BTP7" s="3407"/>
      <c r="BTQ7" s="3407"/>
      <c r="BTR7" s="3407"/>
      <c r="BTS7" s="3407"/>
      <c r="BTT7" s="3407"/>
      <c r="BTU7" s="3407"/>
      <c r="BTV7" s="3407"/>
      <c r="BTW7" s="3407"/>
      <c r="BTX7" s="3407"/>
      <c r="BTY7" s="3407"/>
      <c r="BTZ7" s="3407"/>
      <c r="BUA7" s="3407"/>
      <c r="BUB7" s="3407"/>
      <c r="BUC7" s="3407"/>
      <c r="BUD7" s="3407"/>
      <c r="BUE7" s="3407"/>
      <c r="BUF7" s="3407"/>
      <c r="BUG7" s="3407"/>
      <c r="BUH7" s="3407"/>
      <c r="BUI7" s="3407"/>
      <c r="BUJ7" s="3407"/>
      <c r="BUK7" s="3407"/>
      <c r="BUL7" s="3407"/>
      <c r="BUM7" s="3407"/>
      <c r="BUN7" s="3407"/>
      <c r="BUO7" s="3407"/>
      <c r="BUP7" s="3407"/>
      <c r="BUQ7" s="3407"/>
      <c r="BUR7" s="3407"/>
      <c r="BUS7" s="3407"/>
      <c r="BUT7" s="3407"/>
      <c r="BUU7" s="3407"/>
      <c r="BUV7" s="3407"/>
      <c r="BUW7" s="3407"/>
      <c r="BUX7" s="3407"/>
      <c r="BUY7" s="3407"/>
      <c r="BUZ7" s="3407"/>
      <c r="BVA7" s="3407"/>
      <c r="BVB7" s="3407"/>
      <c r="BVC7" s="3407"/>
      <c r="BVD7" s="3407"/>
      <c r="BVE7" s="3407"/>
      <c r="BVF7" s="3407"/>
      <c r="BVG7" s="3407"/>
      <c r="BVH7" s="3407"/>
      <c r="BVI7" s="3407"/>
      <c r="BVJ7" s="3407"/>
      <c r="BVK7" s="3407"/>
      <c r="BVL7" s="3407"/>
      <c r="BVM7" s="3407"/>
      <c r="BVN7" s="3407"/>
      <c r="BVO7" s="3407"/>
      <c r="BVP7" s="3407"/>
      <c r="BVQ7" s="3407"/>
      <c r="BVR7" s="3407"/>
      <c r="BVS7" s="3407"/>
      <c r="BVT7" s="3407"/>
      <c r="BVU7" s="3407"/>
      <c r="BVV7" s="3407"/>
      <c r="BVW7" s="3407"/>
      <c r="BVX7" s="3407"/>
      <c r="BVY7" s="3407"/>
      <c r="BVZ7" s="3407"/>
      <c r="BWA7" s="3407"/>
      <c r="BWB7" s="3407"/>
      <c r="BWC7" s="3407"/>
      <c r="BWD7" s="3407"/>
      <c r="BWE7" s="3407"/>
      <c r="BWF7" s="3407"/>
      <c r="BWG7" s="3407"/>
      <c r="BWH7" s="3407"/>
      <c r="BWI7" s="3407"/>
      <c r="BWJ7" s="3407"/>
      <c r="BWK7" s="3407"/>
      <c r="BWL7" s="3407"/>
      <c r="BWM7" s="3407"/>
      <c r="BWN7" s="3407"/>
      <c r="BWO7" s="3407"/>
      <c r="BWP7" s="3407"/>
      <c r="BWQ7" s="3407"/>
      <c r="BWR7" s="3407"/>
      <c r="BWS7" s="3407"/>
      <c r="BWT7" s="3407"/>
      <c r="BWU7" s="3407"/>
      <c r="BWV7" s="3407"/>
      <c r="BWW7" s="3407"/>
      <c r="BWX7" s="3407"/>
      <c r="BWY7" s="3407"/>
      <c r="BWZ7" s="3407"/>
      <c r="BXA7" s="3407"/>
      <c r="BXB7" s="3407"/>
      <c r="BXC7" s="3407"/>
      <c r="BXD7" s="3407"/>
      <c r="BXE7" s="3407"/>
      <c r="BXF7" s="3407"/>
      <c r="BXG7" s="3407"/>
      <c r="BXH7" s="3407"/>
      <c r="BXI7" s="3407"/>
      <c r="BXJ7" s="3407"/>
      <c r="BXK7" s="3407"/>
      <c r="BXL7" s="3407"/>
      <c r="BXM7" s="3407"/>
      <c r="BXN7" s="3407"/>
      <c r="BXO7" s="3407"/>
      <c r="BXP7" s="3407"/>
      <c r="BXQ7" s="3407"/>
      <c r="BXR7" s="3407"/>
      <c r="BXS7" s="3407"/>
      <c r="BXT7" s="3407"/>
      <c r="BXU7" s="3407"/>
      <c r="BXV7" s="3407"/>
      <c r="BXW7" s="3407"/>
      <c r="BXX7" s="3407"/>
      <c r="BXY7" s="3407"/>
      <c r="BXZ7" s="3407"/>
      <c r="BYA7" s="3407"/>
      <c r="BYB7" s="3407"/>
      <c r="BYC7" s="3407"/>
      <c r="BYD7" s="3407"/>
      <c r="BYE7" s="3407"/>
      <c r="BYF7" s="3407"/>
      <c r="BYG7" s="3407"/>
      <c r="BYH7" s="3407"/>
      <c r="BYI7" s="3407"/>
      <c r="BYJ7" s="3407"/>
      <c r="BYK7" s="3407"/>
      <c r="BYL7" s="3407"/>
      <c r="BYM7" s="3407"/>
      <c r="BYN7" s="3407"/>
      <c r="BYO7" s="3407"/>
      <c r="BYP7" s="3407"/>
      <c r="BYQ7" s="3407"/>
      <c r="BYR7" s="3407"/>
      <c r="BYS7" s="3407"/>
      <c r="BYT7" s="3407"/>
      <c r="BYU7" s="3407"/>
      <c r="BYV7" s="3407"/>
      <c r="BYW7" s="3407"/>
      <c r="BYX7" s="3407"/>
      <c r="BYY7" s="3407"/>
      <c r="BYZ7" s="3407"/>
      <c r="BZA7" s="3407"/>
      <c r="BZB7" s="3407"/>
      <c r="BZC7" s="3407"/>
      <c r="BZD7" s="3407"/>
      <c r="BZE7" s="3407"/>
      <c r="BZF7" s="3407"/>
      <c r="BZG7" s="3407"/>
      <c r="BZH7" s="3407"/>
      <c r="BZI7" s="3407"/>
      <c r="BZJ7" s="3407"/>
      <c r="BZK7" s="3407"/>
      <c r="BZL7" s="3407"/>
      <c r="BZM7" s="3407"/>
      <c r="BZN7" s="3407"/>
      <c r="BZO7" s="3407"/>
      <c r="BZP7" s="3407"/>
      <c r="BZQ7" s="3407"/>
      <c r="BZR7" s="3407"/>
      <c r="BZS7" s="3407"/>
      <c r="BZT7" s="3407"/>
      <c r="BZU7" s="3407"/>
      <c r="BZV7" s="3407"/>
      <c r="BZW7" s="3407"/>
      <c r="BZX7" s="3407"/>
      <c r="BZY7" s="3407"/>
      <c r="BZZ7" s="3407"/>
      <c r="CAA7" s="3407"/>
      <c r="CAB7" s="3407"/>
      <c r="CAC7" s="3407"/>
      <c r="CAD7" s="3407"/>
      <c r="CAE7" s="3407"/>
      <c r="CAF7" s="3407"/>
      <c r="CAG7" s="3407"/>
      <c r="CAH7" s="3407"/>
      <c r="CAI7" s="3407"/>
      <c r="CAJ7" s="3407"/>
      <c r="CAK7" s="3407"/>
      <c r="CAL7" s="3407"/>
      <c r="CAM7" s="3407"/>
      <c r="CAN7" s="3407"/>
      <c r="CAO7" s="3407"/>
      <c r="CAP7" s="3407"/>
      <c r="CAQ7" s="3407"/>
      <c r="CAR7" s="3407"/>
      <c r="CAS7" s="3407"/>
      <c r="CAT7" s="3407"/>
      <c r="CAU7" s="3407"/>
      <c r="CAV7" s="3407"/>
      <c r="CAW7" s="3407"/>
      <c r="CAX7" s="3407"/>
      <c r="CAY7" s="3407"/>
      <c r="CAZ7" s="3407"/>
      <c r="CBA7" s="3407"/>
      <c r="CBB7" s="3407"/>
      <c r="CBC7" s="3407"/>
      <c r="CBD7" s="3407"/>
      <c r="CBE7" s="3407"/>
      <c r="CBF7" s="3407"/>
      <c r="CBG7" s="3407"/>
      <c r="CBH7" s="3407"/>
      <c r="CBI7" s="3407"/>
      <c r="CBJ7" s="3407"/>
      <c r="CBK7" s="3407"/>
      <c r="CBL7" s="3407"/>
      <c r="CBM7" s="3407"/>
      <c r="CBN7" s="3407"/>
      <c r="CBO7" s="3407"/>
      <c r="CBP7" s="3407"/>
      <c r="CBQ7" s="3407"/>
      <c r="CBR7" s="3407"/>
      <c r="CBS7" s="3407"/>
      <c r="CBT7" s="3407"/>
      <c r="CBU7" s="3407"/>
      <c r="CBV7" s="3407"/>
      <c r="CBW7" s="3407"/>
      <c r="CBX7" s="3407"/>
      <c r="CBY7" s="3407"/>
      <c r="CBZ7" s="3407"/>
      <c r="CCA7" s="3407"/>
      <c r="CCB7" s="3407"/>
      <c r="CCC7" s="3407"/>
      <c r="CCD7" s="3407"/>
      <c r="CCE7" s="3407"/>
      <c r="CCF7" s="3407"/>
      <c r="CCG7" s="3407"/>
      <c r="CCH7" s="3407"/>
      <c r="CCI7" s="3407"/>
      <c r="CCJ7" s="3407"/>
      <c r="CCK7" s="3407"/>
      <c r="CCL7" s="3407"/>
      <c r="CCM7" s="3407"/>
      <c r="CCN7" s="3407"/>
      <c r="CCO7" s="3407"/>
      <c r="CCP7" s="3407"/>
      <c r="CCQ7" s="3407"/>
      <c r="CCR7" s="3407"/>
      <c r="CCS7" s="3407"/>
      <c r="CCT7" s="3407"/>
      <c r="CCU7" s="3407"/>
      <c r="CCV7" s="3407"/>
      <c r="CCW7" s="3407"/>
      <c r="CCX7" s="3407"/>
      <c r="CCY7" s="3407"/>
      <c r="CCZ7" s="3407"/>
      <c r="CDA7" s="3407"/>
      <c r="CDB7" s="3407"/>
      <c r="CDC7" s="3407"/>
      <c r="CDD7" s="3407"/>
      <c r="CDE7" s="3407"/>
      <c r="CDF7" s="3407"/>
      <c r="CDG7" s="3407"/>
      <c r="CDH7" s="3407"/>
      <c r="CDI7" s="3407"/>
      <c r="CDJ7" s="3407"/>
      <c r="CDK7" s="3407"/>
      <c r="CDL7" s="3407"/>
      <c r="CDM7" s="3407"/>
      <c r="CDN7" s="3407"/>
      <c r="CDO7" s="3407"/>
      <c r="CDP7" s="3407"/>
      <c r="CDQ7" s="3407"/>
      <c r="CDR7" s="3407"/>
      <c r="CDS7" s="3407"/>
      <c r="CDT7" s="3407"/>
      <c r="CDU7" s="3407"/>
      <c r="CDV7" s="3407"/>
      <c r="CDW7" s="3407"/>
      <c r="CDX7" s="3407"/>
      <c r="CDY7" s="3407"/>
      <c r="CDZ7" s="3407"/>
      <c r="CEA7" s="3407"/>
      <c r="CEB7" s="3407"/>
      <c r="CEC7" s="3407"/>
      <c r="CED7" s="3407"/>
      <c r="CEE7" s="3407"/>
      <c r="CEF7" s="3407"/>
      <c r="CEG7" s="3407"/>
      <c r="CEH7" s="3407"/>
      <c r="CEI7" s="3407"/>
      <c r="CEJ7" s="3407"/>
      <c r="CEK7" s="3407"/>
      <c r="CEL7" s="3407"/>
      <c r="CEM7" s="3407"/>
      <c r="CEN7" s="3407"/>
      <c r="CEO7" s="3407"/>
      <c r="CEP7" s="3407"/>
      <c r="CEQ7" s="3407"/>
      <c r="CER7" s="3407"/>
      <c r="CES7" s="3407"/>
      <c r="CET7" s="3407"/>
      <c r="CEU7" s="3407"/>
      <c r="CEV7" s="3407"/>
      <c r="CEW7" s="3407"/>
      <c r="CEX7" s="3407"/>
      <c r="CEY7" s="3407"/>
      <c r="CEZ7" s="3407"/>
      <c r="CFA7" s="3407"/>
      <c r="CFB7" s="3407"/>
      <c r="CFC7" s="3407"/>
      <c r="CFD7" s="3407"/>
      <c r="CFE7" s="3407"/>
      <c r="CFF7" s="3407"/>
      <c r="CFG7" s="3407"/>
      <c r="CFH7" s="3407"/>
      <c r="CFI7" s="3407"/>
      <c r="CFJ7" s="3407"/>
      <c r="CFK7" s="3407"/>
      <c r="CFL7" s="3407"/>
      <c r="CFM7" s="3407"/>
      <c r="CFN7" s="3407"/>
      <c r="CFO7" s="3407"/>
      <c r="CFP7" s="3407"/>
      <c r="CFQ7" s="3407"/>
      <c r="CFR7" s="3407"/>
      <c r="CFS7" s="3407"/>
      <c r="CFT7" s="3407"/>
      <c r="CFU7" s="3407"/>
      <c r="CFV7" s="3407"/>
      <c r="CFW7" s="3407"/>
      <c r="CFX7" s="3407"/>
      <c r="CFY7" s="3407"/>
      <c r="CFZ7" s="3407"/>
      <c r="CGA7" s="3407"/>
      <c r="CGB7" s="3407"/>
      <c r="CGC7" s="3407"/>
      <c r="CGD7" s="3407"/>
      <c r="CGE7" s="3407"/>
      <c r="CGF7" s="3407"/>
      <c r="CGG7" s="3407"/>
      <c r="CGH7" s="3407"/>
      <c r="CGI7" s="3407"/>
      <c r="CGJ7" s="3407"/>
      <c r="CGK7" s="3407"/>
      <c r="CGL7" s="3407"/>
      <c r="CGM7" s="3407"/>
      <c r="CGN7" s="3407"/>
      <c r="CGO7" s="3407"/>
      <c r="CGP7" s="3407"/>
      <c r="CGQ7" s="3407"/>
      <c r="CGR7" s="3407"/>
      <c r="CGS7" s="3407"/>
      <c r="CGT7" s="3407"/>
      <c r="CGU7" s="3407"/>
      <c r="CGV7" s="3407"/>
      <c r="CGW7" s="3407"/>
      <c r="CGX7" s="3407"/>
      <c r="CGY7" s="3407"/>
      <c r="CGZ7" s="3407"/>
      <c r="CHA7" s="3407"/>
      <c r="CHB7" s="3407"/>
      <c r="CHC7" s="3407"/>
      <c r="CHD7" s="3407"/>
      <c r="CHE7" s="3407"/>
      <c r="CHF7" s="3407"/>
      <c r="CHG7" s="3407"/>
      <c r="CHH7" s="3407"/>
      <c r="CHI7" s="3407"/>
      <c r="CHJ7" s="3407"/>
      <c r="CHK7" s="3407"/>
      <c r="CHL7" s="3407"/>
      <c r="CHM7" s="3407"/>
      <c r="CHN7" s="3407"/>
      <c r="CHO7" s="3407"/>
      <c r="CHP7" s="3407"/>
      <c r="CHQ7" s="3407"/>
      <c r="CHR7" s="3407"/>
      <c r="CHS7" s="3407"/>
      <c r="CHT7" s="3407"/>
      <c r="CHU7" s="3407"/>
      <c r="CHV7" s="3407"/>
      <c r="CHW7" s="3407"/>
      <c r="CHX7" s="3407"/>
      <c r="CHY7" s="3407"/>
      <c r="CHZ7" s="3407"/>
      <c r="CIA7" s="3407"/>
      <c r="CIB7" s="3407"/>
      <c r="CIC7" s="3407"/>
      <c r="CID7" s="3407"/>
      <c r="CIE7" s="3407"/>
      <c r="CIF7" s="3407"/>
      <c r="CIG7" s="3407"/>
      <c r="CIH7" s="3407"/>
      <c r="CII7" s="3407"/>
      <c r="CIJ7" s="3407"/>
      <c r="CIK7" s="3407"/>
      <c r="CIL7" s="3407"/>
      <c r="CIM7" s="3407"/>
      <c r="CIN7" s="3407"/>
      <c r="CIO7" s="3407"/>
      <c r="CIP7" s="3407"/>
      <c r="CIQ7" s="3407"/>
      <c r="CIR7" s="3407"/>
      <c r="CIS7" s="3407"/>
      <c r="CIT7" s="3407"/>
      <c r="CIU7" s="3407"/>
      <c r="CIV7" s="3407"/>
      <c r="CIW7" s="3407"/>
      <c r="CIX7" s="3407"/>
      <c r="CIY7" s="3407"/>
      <c r="CIZ7" s="3407"/>
      <c r="CJA7" s="3407"/>
      <c r="CJB7" s="3407"/>
      <c r="CJC7" s="3407"/>
      <c r="CJD7" s="3407"/>
      <c r="CJE7" s="3407"/>
      <c r="CJF7" s="3407"/>
      <c r="CJG7" s="3407"/>
      <c r="CJH7" s="3407"/>
      <c r="CJI7" s="3407"/>
      <c r="CJJ7" s="3407"/>
      <c r="CJK7" s="3407"/>
      <c r="CJL7" s="3407"/>
      <c r="CJM7" s="3407"/>
      <c r="CJN7" s="3407"/>
      <c r="CJO7" s="3407"/>
      <c r="CJP7" s="3407"/>
      <c r="CJQ7" s="3407"/>
      <c r="CJR7" s="3407"/>
      <c r="CJS7" s="3407"/>
      <c r="CJT7" s="3407"/>
      <c r="CJU7" s="3407"/>
      <c r="CJV7" s="3407"/>
      <c r="CJW7" s="3407"/>
      <c r="CJX7" s="3407"/>
      <c r="CJY7" s="3407"/>
      <c r="CJZ7" s="3407"/>
      <c r="CKA7" s="3407"/>
      <c r="CKB7" s="3407"/>
      <c r="CKC7" s="3407"/>
      <c r="CKD7" s="3407"/>
      <c r="CKE7" s="3407"/>
      <c r="CKF7" s="3407"/>
      <c r="CKG7" s="3407"/>
      <c r="CKH7" s="3407"/>
      <c r="CKI7" s="3407"/>
      <c r="CKJ7" s="3407"/>
      <c r="CKK7" s="3407"/>
      <c r="CKL7" s="3407"/>
      <c r="CKM7" s="3407"/>
      <c r="CKN7" s="3407"/>
      <c r="CKO7" s="3407"/>
      <c r="CKP7" s="3407"/>
      <c r="CKQ7" s="3407"/>
      <c r="CKR7" s="3407"/>
      <c r="CKS7" s="3407"/>
      <c r="CKT7" s="3407"/>
      <c r="CKU7" s="3407"/>
      <c r="CKV7" s="3407"/>
      <c r="CKW7" s="3407"/>
      <c r="CKX7" s="3407"/>
      <c r="CKY7" s="3407"/>
      <c r="CKZ7" s="3407"/>
      <c r="CLA7" s="3407"/>
      <c r="CLB7" s="3407"/>
      <c r="CLC7" s="3407"/>
      <c r="CLD7" s="3407"/>
      <c r="CLE7" s="3407"/>
      <c r="CLF7" s="3407"/>
      <c r="CLG7" s="3407"/>
      <c r="CLH7" s="3407"/>
      <c r="CLI7" s="3407"/>
      <c r="CLJ7" s="3407"/>
      <c r="CLK7" s="3407"/>
      <c r="CLL7" s="3407"/>
      <c r="CLM7" s="3407"/>
      <c r="CLN7" s="3407"/>
      <c r="CLO7" s="3407"/>
      <c r="CLP7" s="3407"/>
      <c r="CLQ7" s="3407"/>
      <c r="CLR7" s="3407"/>
      <c r="CLS7" s="3407"/>
      <c r="CLT7" s="3407"/>
      <c r="CLU7" s="3407"/>
      <c r="CLV7" s="3407"/>
      <c r="CLW7" s="3407"/>
      <c r="CLX7" s="3407"/>
      <c r="CLY7" s="3407"/>
      <c r="CLZ7" s="3407"/>
      <c r="CMA7" s="3407"/>
      <c r="CMB7" s="3407"/>
      <c r="CMC7" s="3407"/>
      <c r="CMD7" s="3407"/>
      <c r="CME7" s="3407"/>
      <c r="CMF7" s="3407"/>
      <c r="CMG7" s="3407"/>
      <c r="CMH7" s="3407"/>
      <c r="CMI7" s="3407"/>
      <c r="CMJ7" s="3407"/>
      <c r="CMK7" s="3407"/>
      <c r="CML7" s="3407"/>
      <c r="CMM7" s="3407"/>
      <c r="CMN7" s="3407"/>
      <c r="CMO7" s="3407"/>
      <c r="CMP7" s="3407"/>
      <c r="CMQ7" s="3407"/>
      <c r="CMR7" s="3407"/>
      <c r="CMS7" s="3407"/>
      <c r="CMT7" s="3407"/>
      <c r="CMU7" s="3407"/>
      <c r="CMV7" s="3407"/>
      <c r="CMW7" s="3407"/>
      <c r="CMX7" s="3407"/>
      <c r="CMY7" s="3407"/>
      <c r="CMZ7" s="3407"/>
      <c r="CNA7" s="3407"/>
      <c r="CNB7" s="3407"/>
      <c r="CNC7" s="3407"/>
      <c r="CND7" s="3407"/>
      <c r="CNE7" s="3407"/>
      <c r="CNF7" s="3407"/>
      <c r="CNG7" s="3407"/>
      <c r="CNH7" s="3407"/>
      <c r="CNI7" s="3407"/>
      <c r="CNJ7" s="3407"/>
      <c r="CNK7" s="3407"/>
      <c r="CNL7" s="3407"/>
      <c r="CNM7" s="3407"/>
      <c r="CNN7" s="3407"/>
      <c r="CNO7" s="3407"/>
      <c r="CNP7" s="3407"/>
      <c r="CNQ7" s="3407"/>
      <c r="CNR7" s="3407"/>
      <c r="CNS7" s="3407"/>
      <c r="CNT7" s="3407"/>
      <c r="CNU7" s="3407"/>
      <c r="CNV7" s="3407"/>
      <c r="CNW7" s="3407"/>
      <c r="CNX7" s="3407"/>
      <c r="CNY7" s="3407"/>
      <c r="CNZ7" s="3407"/>
      <c r="COA7" s="3407"/>
      <c r="COB7" s="3407"/>
      <c r="COC7" s="3407"/>
      <c r="COD7" s="3407"/>
      <c r="COE7" s="3407"/>
      <c r="COF7" s="3407"/>
      <c r="COG7" s="3407"/>
      <c r="COH7" s="3407"/>
      <c r="COI7" s="3407"/>
      <c r="COJ7" s="3407"/>
      <c r="COK7" s="3407"/>
      <c r="COL7" s="3407"/>
      <c r="COM7" s="3407"/>
      <c r="CON7" s="3407"/>
      <c r="COO7" s="3407"/>
      <c r="COP7" s="3407"/>
      <c r="COQ7" s="3407"/>
      <c r="COR7" s="3407"/>
      <c r="COS7" s="3407"/>
      <c r="COT7" s="3407"/>
      <c r="COU7" s="3407"/>
      <c r="COV7" s="3407"/>
      <c r="COW7" s="3407"/>
      <c r="COX7" s="3407"/>
      <c r="COY7" s="3407"/>
      <c r="COZ7" s="3407"/>
      <c r="CPA7" s="3407"/>
      <c r="CPB7" s="3407"/>
      <c r="CPC7" s="3407"/>
      <c r="CPD7" s="3407"/>
      <c r="CPE7" s="3407"/>
      <c r="CPF7" s="3407"/>
      <c r="CPG7" s="3407"/>
      <c r="CPH7" s="3407"/>
      <c r="CPI7" s="3407"/>
      <c r="CPJ7" s="3407"/>
      <c r="CPK7" s="3407"/>
      <c r="CPL7" s="3407"/>
      <c r="CPM7" s="3407"/>
      <c r="CPN7" s="3407"/>
      <c r="CPO7" s="3407"/>
      <c r="CPP7" s="3407"/>
      <c r="CPQ7" s="3407"/>
      <c r="CPR7" s="3407"/>
      <c r="CPS7" s="3407"/>
      <c r="CPT7" s="3407"/>
      <c r="CPU7" s="3407"/>
      <c r="CPV7" s="3407"/>
      <c r="CPW7" s="3407"/>
      <c r="CPX7" s="3407"/>
      <c r="CPY7" s="3407"/>
      <c r="CPZ7" s="3407"/>
      <c r="CQA7" s="3407"/>
      <c r="CQB7" s="3407"/>
      <c r="CQC7" s="3407"/>
      <c r="CQD7" s="3407"/>
      <c r="CQE7" s="3407"/>
      <c r="CQF7" s="3407"/>
      <c r="CQG7" s="3407"/>
      <c r="CQH7" s="3407"/>
      <c r="CQI7" s="3407"/>
      <c r="CQJ7" s="3407"/>
      <c r="CQK7" s="3407"/>
      <c r="CQL7" s="3407"/>
      <c r="CQM7" s="3407"/>
      <c r="CQN7" s="3407"/>
      <c r="CQO7" s="3407"/>
      <c r="CQP7" s="3407"/>
      <c r="CQQ7" s="3407"/>
      <c r="CQR7" s="3407"/>
      <c r="CQS7" s="3407"/>
      <c r="CQT7" s="3407"/>
      <c r="CQU7" s="3407"/>
      <c r="CQV7" s="3407"/>
      <c r="CQW7" s="3407"/>
      <c r="CQX7" s="3407"/>
      <c r="CQY7" s="3407"/>
      <c r="CQZ7" s="3407"/>
      <c r="CRA7" s="3407"/>
      <c r="CRB7" s="3407"/>
      <c r="CRC7" s="3407"/>
      <c r="CRD7" s="3407"/>
      <c r="CRE7" s="3407"/>
      <c r="CRF7" s="3407"/>
      <c r="CRG7" s="3407"/>
      <c r="CRH7" s="3407"/>
      <c r="CRI7" s="3407"/>
      <c r="CRJ7" s="3407"/>
      <c r="CRK7" s="3407"/>
      <c r="CRL7" s="3407"/>
      <c r="CRM7" s="3407"/>
      <c r="CRN7" s="3407"/>
      <c r="CRO7" s="3407"/>
      <c r="CRP7" s="3407"/>
      <c r="CRQ7" s="3407"/>
      <c r="CRR7" s="3407"/>
      <c r="CRS7" s="3407"/>
      <c r="CRT7" s="3407"/>
      <c r="CRU7" s="3407"/>
      <c r="CRV7" s="3407"/>
      <c r="CRW7" s="3407"/>
      <c r="CRX7" s="3407"/>
      <c r="CRY7" s="3407"/>
      <c r="CRZ7" s="3407"/>
      <c r="CSA7" s="3407"/>
      <c r="CSB7" s="3407"/>
      <c r="CSC7" s="3407"/>
      <c r="CSD7" s="3407"/>
      <c r="CSE7" s="3407"/>
      <c r="CSF7" s="3407"/>
      <c r="CSG7" s="3407"/>
      <c r="CSH7" s="3407"/>
      <c r="CSI7" s="3407"/>
      <c r="CSJ7" s="3407"/>
      <c r="CSK7" s="3407"/>
      <c r="CSL7" s="3407"/>
      <c r="CSM7" s="3407"/>
      <c r="CSN7" s="3407"/>
      <c r="CSO7" s="3407"/>
      <c r="CSP7" s="3407"/>
      <c r="CSQ7" s="3407"/>
      <c r="CSR7" s="3407"/>
      <c r="CSS7" s="3407"/>
      <c r="CST7" s="3407"/>
      <c r="CSU7" s="3407"/>
      <c r="CSV7" s="3407"/>
      <c r="CSW7" s="3407"/>
      <c r="CSX7" s="3407"/>
      <c r="CSY7" s="3407"/>
      <c r="CSZ7" s="3407"/>
      <c r="CTA7" s="3407"/>
      <c r="CTB7" s="3407"/>
      <c r="CTC7" s="3407"/>
      <c r="CTD7" s="3407"/>
      <c r="CTE7" s="3407"/>
      <c r="CTF7" s="3407"/>
      <c r="CTG7" s="3407"/>
      <c r="CTH7" s="3407"/>
      <c r="CTI7" s="3407"/>
      <c r="CTJ7" s="3407"/>
      <c r="CTK7" s="3407"/>
      <c r="CTL7" s="3407"/>
      <c r="CTM7" s="3407"/>
      <c r="CTN7" s="3407"/>
      <c r="CTO7" s="3407"/>
      <c r="CTP7" s="3407"/>
      <c r="CTQ7" s="3407"/>
      <c r="CTR7" s="3407"/>
      <c r="CTS7" s="3407"/>
      <c r="CTT7" s="3407"/>
      <c r="CTU7" s="3407"/>
      <c r="CTV7" s="3407"/>
      <c r="CTW7" s="3407"/>
      <c r="CTX7" s="3407"/>
      <c r="CTY7" s="3407"/>
      <c r="CTZ7" s="3407"/>
      <c r="CUA7" s="3407"/>
      <c r="CUB7" s="3407"/>
      <c r="CUC7" s="3407"/>
      <c r="CUD7" s="3407"/>
      <c r="CUE7" s="3407"/>
      <c r="CUF7" s="3407"/>
      <c r="CUG7" s="3407"/>
      <c r="CUH7" s="3407"/>
      <c r="CUI7" s="3407"/>
      <c r="CUJ7" s="3407"/>
      <c r="CUK7" s="3407"/>
      <c r="CUL7" s="3407"/>
      <c r="CUM7" s="3407"/>
      <c r="CUN7" s="3407"/>
      <c r="CUO7" s="3407"/>
      <c r="CUP7" s="3407"/>
      <c r="CUQ7" s="3407"/>
      <c r="CUR7" s="3407"/>
      <c r="CUS7" s="3407"/>
      <c r="CUT7" s="3407"/>
      <c r="CUU7" s="3407"/>
      <c r="CUV7" s="3407"/>
      <c r="CUW7" s="3407"/>
      <c r="CUX7" s="3407"/>
      <c r="CUY7" s="3407"/>
      <c r="CUZ7" s="3407"/>
      <c r="CVA7" s="3407"/>
      <c r="CVB7" s="3407"/>
      <c r="CVC7" s="3407"/>
      <c r="CVD7" s="3407"/>
      <c r="CVE7" s="3407"/>
      <c r="CVF7" s="3407"/>
      <c r="CVG7" s="3407"/>
      <c r="CVH7" s="3407"/>
      <c r="CVI7" s="3407"/>
      <c r="CVJ7" s="3407"/>
      <c r="CVK7" s="3407"/>
      <c r="CVL7" s="3407"/>
      <c r="CVM7" s="3407"/>
      <c r="CVN7" s="3407"/>
      <c r="CVO7" s="3407"/>
      <c r="CVP7" s="3407"/>
      <c r="CVQ7" s="3407"/>
      <c r="CVR7" s="3407"/>
      <c r="CVS7" s="3407"/>
      <c r="CVT7" s="3407"/>
      <c r="CVU7" s="3407"/>
      <c r="CVV7" s="3407"/>
      <c r="CVW7" s="3407"/>
      <c r="CVX7" s="3407"/>
      <c r="CVY7" s="3407"/>
      <c r="CVZ7" s="3407"/>
      <c r="CWA7" s="3407"/>
      <c r="CWB7" s="3407"/>
      <c r="CWC7" s="3407"/>
      <c r="CWD7" s="3407"/>
      <c r="CWE7" s="3407"/>
      <c r="CWF7" s="3407"/>
      <c r="CWG7" s="3407"/>
      <c r="CWH7" s="3407"/>
      <c r="CWI7" s="3407"/>
      <c r="CWJ7" s="3407"/>
      <c r="CWK7" s="3407"/>
      <c r="CWL7" s="3407"/>
      <c r="CWM7" s="3407"/>
      <c r="CWN7" s="3407"/>
      <c r="CWO7" s="3407"/>
      <c r="CWP7" s="3407"/>
      <c r="CWQ7" s="3407"/>
      <c r="CWR7" s="3407"/>
      <c r="CWS7" s="3407"/>
      <c r="CWT7" s="3407"/>
      <c r="CWU7" s="3407"/>
      <c r="CWV7" s="3407"/>
      <c r="CWW7" s="3407"/>
      <c r="CWX7" s="3407"/>
      <c r="CWY7" s="3407"/>
      <c r="CWZ7" s="3407"/>
      <c r="CXA7" s="3407"/>
      <c r="CXB7" s="3407"/>
      <c r="CXC7" s="3407"/>
      <c r="CXD7" s="3407"/>
      <c r="CXE7" s="3407"/>
      <c r="CXF7" s="3407"/>
      <c r="CXG7" s="3407"/>
      <c r="CXH7" s="3407"/>
      <c r="CXI7" s="3407"/>
      <c r="CXJ7" s="3407"/>
      <c r="CXK7" s="3407"/>
      <c r="CXL7" s="3407"/>
      <c r="CXM7" s="3407"/>
      <c r="CXN7" s="3407"/>
      <c r="CXO7" s="3407"/>
      <c r="CXP7" s="3407"/>
      <c r="CXQ7" s="3407"/>
      <c r="CXR7" s="3407"/>
      <c r="CXS7" s="3407"/>
      <c r="CXT7" s="3407"/>
      <c r="CXU7" s="3407"/>
      <c r="CXV7" s="3407"/>
      <c r="CXW7" s="3407"/>
      <c r="CXX7" s="3407"/>
      <c r="CXY7" s="3407"/>
      <c r="CXZ7" s="3407"/>
      <c r="CYA7" s="3407"/>
      <c r="CYB7" s="3407"/>
      <c r="CYC7" s="3407"/>
      <c r="CYD7" s="3407"/>
      <c r="CYE7" s="3407"/>
      <c r="CYF7" s="3407"/>
      <c r="CYG7" s="3407"/>
      <c r="CYH7" s="3407"/>
      <c r="CYI7" s="3407"/>
      <c r="CYJ7" s="3407"/>
      <c r="CYK7" s="3407"/>
      <c r="CYL7" s="3407"/>
      <c r="CYM7" s="3407"/>
      <c r="CYN7" s="3407"/>
      <c r="CYO7" s="3407"/>
      <c r="CYP7" s="3407"/>
      <c r="CYQ7" s="3407"/>
      <c r="CYR7" s="3407"/>
      <c r="CYS7" s="3407"/>
      <c r="CYT7" s="3407"/>
      <c r="CYU7" s="3407"/>
      <c r="CYV7" s="3407"/>
      <c r="CYW7" s="3407"/>
      <c r="CYX7" s="3407"/>
      <c r="CYY7" s="3407"/>
      <c r="CYZ7" s="3407"/>
      <c r="CZA7" s="3407"/>
      <c r="CZB7" s="3407"/>
      <c r="CZC7" s="3407"/>
      <c r="CZD7" s="3407"/>
      <c r="CZE7" s="3407"/>
      <c r="CZF7" s="3407"/>
      <c r="CZG7" s="3407"/>
      <c r="CZH7" s="3407"/>
      <c r="CZI7" s="3407"/>
      <c r="CZJ7" s="3407"/>
      <c r="CZK7" s="3407"/>
      <c r="CZL7" s="3407"/>
      <c r="CZM7" s="3407"/>
      <c r="CZN7" s="3407"/>
      <c r="CZO7" s="3407"/>
      <c r="CZP7" s="3407"/>
      <c r="CZQ7" s="3407"/>
      <c r="CZR7" s="3407"/>
      <c r="CZS7" s="3407"/>
      <c r="CZT7" s="3407"/>
      <c r="CZU7" s="3407"/>
      <c r="CZV7" s="3407"/>
      <c r="CZW7" s="3407"/>
      <c r="CZX7" s="3407"/>
      <c r="CZY7" s="3407"/>
      <c r="CZZ7" s="3407"/>
      <c r="DAA7" s="3407"/>
      <c r="DAB7" s="3407"/>
      <c r="DAC7" s="3407"/>
      <c r="DAD7" s="3407"/>
      <c r="DAE7" s="3407"/>
      <c r="DAF7" s="3407"/>
      <c r="DAG7" s="3407"/>
      <c r="DAH7" s="3407"/>
      <c r="DAI7" s="3407"/>
      <c r="DAJ7" s="3407"/>
      <c r="DAK7" s="3407"/>
      <c r="DAL7" s="3407"/>
      <c r="DAM7" s="3407"/>
      <c r="DAN7" s="3407"/>
      <c r="DAO7" s="3407"/>
      <c r="DAP7" s="3407"/>
      <c r="DAQ7" s="3407"/>
      <c r="DAR7" s="3407"/>
      <c r="DAS7" s="3407"/>
      <c r="DAT7" s="3407"/>
      <c r="DAU7" s="3407"/>
      <c r="DAV7" s="3407"/>
      <c r="DAW7" s="3407"/>
      <c r="DAX7" s="3407"/>
      <c r="DAY7" s="3407"/>
      <c r="DAZ7" s="3407"/>
      <c r="DBA7" s="3407"/>
      <c r="DBB7" s="3407"/>
      <c r="DBC7" s="3407"/>
      <c r="DBD7" s="3407"/>
      <c r="DBE7" s="3407"/>
      <c r="DBF7" s="3407"/>
      <c r="DBG7" s="3407"/>
      <c r="DBH7" s="3407"/>
      <c r="DBI7" s="3407"/>
      <c r="DBJ7" s="3407"/>
      <c r="DBK7" s="3407"/>
      <c r="DBL7" s="3407"/>
      <c r="DBM7" s="3407"/>
      <c r="DBN7" s="3407"/>
      <c r="DBO7" s="3407"/>
      <c r="DBP7" s="3407"/>
      <c r="DBQ7" s="3407"/>
      <c r="DBR7" s="3407"/>
      <c r="DBS7" s="3407"/>
      <c r="DBT7" s="3407"/>
      <c r="DBU7" s="3407"/>
      <c r="DBV7" s="3407"/>
      <c r="DBW7" s="3407"/>
      <c r="DBX7" s="3407"/>
      <c r="DBY7" s="3407"/>
      <c r="DBZ7" s="3407"/>
      <c r="DCA7" s="3407"/>
      <c r="DCB7" s="3407"/>
      <c r="DCC7" s="3407"/>
      <c r="DCD7" s="3407"/>
      <c r="DCE7" s="3407"/>
      <c r="DCF7" s="3407"/>
      <c r="DCG7" s="3407"/>
      <c r="DCH7" s="3407"/>
      <c r="DCI7" s="3407"/>
      <c r="DCJ7" s="3407"/>
      <c r="DCK7" s="3407"/>
      <c r="DCL7" s="3407"/>
      <c r="DCM7" s="3407"/>
      <c r="DCN7" s="3407"/>
      <c r="DCO7" s="3407"/>
      <c r="DCP7" s="3407"/>
      <c r="DCQ7" s="3407"/>
      <c r="DCR7" s="3407"/>
      <c r="DCS7" s="3407"/>
      <c r="DCT7" s="3407"/>
      <c r="DCU7" s="3407"/>
      <c r="DCV7" s="3407"/>
      <c r="DCW7" s="3407"/>
      <c r="DCX7" s="3407"/>
      <c r="DCY7" s="3407"/>
      <c r="DCZ7" s="3407"/>
      <c r="DDA7" s="3407"/>
      <c r="DDB7" s="3407"/>
      <c r="DDC7" s="3407"/>
      <c r="DDD7" s="3407"/>
      <c r="DDE7" s="3407"/>
      <c r="DDF7" s="3407"/>
      <c r="DDG7" s="3407"/>
      <c r="DDH7" s="3407"/>
      <c r="DDI7" s="3407"/>
      <c r="DDJ7" s="3407"/>
      <c r="DDK7" s="3407"/>
      <c r="DDL7" s="3407"/>
      <c r="DDM7" s="3407"/>
      <c r="DDN7" s="3407"/>
      <c r="DDO7" s="3407"/>
      <c r="DDP7" s="3407"/>
      <c r="DDQ7" s="3407"/>
      <c r="DDR7" s="3407"/>
      <c r="DDS7" s="3407"/>
      <c r="DDT7" s="3407"/>
      <c r="DDU7" s="3407"/>
      <c r="DDV7" s="3407"/>
      <c r="DDW7" s="3407"/>
      <c r="DDX7" s="3407"/>
      <c r="DDY7" s="3407"/>
      <c r="DDZ7" s="3407"/>
      <c r="DEA7" s="3407"/>
      <c r="DEB7" s="3407"/>
      <c r="DEC7" s="3407"/>
      <c r="DED7" s="3407"/>
      <c r="DEE7" s="3407"/>
      <c r="DEF7" s="3407"/>
      <c r="DEG7" s="3407"/>
      <c r="DEH7" s="3407"/>
      <c r="DEI7" s="3407"/>
      <c r="DEJ7" s="3407"/>
      <c r="DEK7" s="3407"/>
      <c r="DEL7" s="3407"/>
      <c r="DEM7" s="3407"/>
      <c r="DEN7" s="3407"/>
      <c r="DEO7" s="3407"/>
      <c r="DEP7" s="3407"/>
      <c r="DEQ7" s="3407"/>
      <c r="DER7" s="3407"/>
      <c r="DES7" s="3407"/>
      <c r="DET7" s="3407"/>
      <c r="DEU7" s="3407"/>
      <c r="DEV7" s="3407"/>
      <c r="DEW7" s="3407"/>
      <c r="DEX7" s="3407"/>
      <c r="DEY7" s="3407"/>
      <c r="DEZ7" s="3407"/>
      <c r="DFA7" s="3407"/>
      <c r="DFB7" s="3407"/>
      <c r="DFC7" s="3407"/>
      <c r="DFD7" s="3407"/>
      <c r="DFE7" s="3407"/>
      <c r="DFF7" s="3407"/>
      <c r="DFG7" s="3407"/>
      <c r="DFH7" s="3407"/>
      <c r="DFI7" s="3407"/>
      <c r="DFJ7" s="3407"/>
      <c r="DFK7" s="3407"/>
      <c r="DFL7" s="3407"/>
      <c r="DFM7" s="3407"/>
      <c r="DFN7" s="3407"/>
      <c r="DFO7" s="3407"/>
      <c r="DFP7" s="3407"/>
      <c r="DFQ7" s="3407"/>
      <c r="DFR7" s="3407"/>
      <c r="DFS7" s="3407"/>
      <c r="DFT7" s="3407"/>
      <c r="DFU7" s="3407"/>
      <c r="DFV7" s="3407"/>
      <c r="DFW7" s="3407"/>
      <c r="DFX7" s="3407"/>
      <c r="DFY7" s="3407"/>
      <c r="DFZ7" s="3407"/>
      <c r="DGA7" s="3407"/>
      <c r="DGB7" s="3407"/>
      <c r="DGC7" s="3407"/>
      <c r="DGD7" s="3407"/>
      <c r="DGE7" s="3407"/>
      <c r="DGF7" s="3407"/>
      <c r="DGG7" s="3407"/>
      <c r="DGH7" s="3407"/>
      <c r="DGI7" s="3407"/>
      <c r="DGJ7" s="3407"/>
      <c r="DGK7" s="3407"/>
      <c r="DGL7" s="3407"/>
      <c r="DGM7" s="3407"/>
      <c r="DGN7" s="3407"/>
      <c r="DGO7" s="3407"/>
      <c r="DGP7" s="3407"/>
      <c r="DGQ7" s="3407"/>
      <c r="DGR7" s="3407"/>
      <c r="DGS7" s="3407"/>
      <c r="DGT7" s="3407"/>
      <c r="DGU7" s="3407"/>
      <c r="DGV7" s="3407"/>
      <c r="DGW7" s="3407"/>
      <c r="DGX7" s="3407"/>
      <c r="DGY7" s="3407"/>
      <c r="DGZ7" s="3407"/>
      <c r="DHA7" s="3407"/>
      <c r="DHB7" s="3407"/>
      <c r="DHC7" s="3407"/>
      <c r="DHD7" s="3407"/>
      <c r="DHE7" s="3407"/>
      <c r="DHF7" s="3407"/>
      <c r="DHG7" s="3407"/>
      <c r="DHH7" s="3407"/>
      <c r="DHI7" s="3407"/>
      <c r="DHJ7" s="3407"/>
      <c r="DHK7" s="3407"/>
      <c r="DHL7" s="3407"/>
      <c r="DHM7" s="3407"/>
      <c r="DHN7" s="3407"/>
      <c r="DHO7" s="3407"/>
      <c r="DHP7" s="3407"/>
      <c r="DHQ7" s="3407"/>
      <c r="DHR7" s="3407"/>
      <c r="DHS7" s="3407"/>
      <c r="DHT7" s="3407"/>
      <c r="DHU7" s="3407"/>
      <c r="DHV7" s="3407"/>
      <c r="DHW7" s="3407"/>
      <c r="DHX7" s="3407"/>
      <c r="DHY7" s="3407"/>
      <c r="DHZ7" s="3407"/>
      <c r="DIA7" s="3407"/>
      <c r="DIB7" s="3407"/>
      <c r="DIC7" s="3407"/>
      <c r="DID7" s="3407"/>
      <c r="DIE7" s="3407"/>
      <c r="DIF7" s="3407"/>
      <c r="DIG7" s="3407"/>
      <c r="DIH7" s="3407"/>
      <c r="DII7" s="3407"/>
      <c r="DIJ7" s="3407"/>
      <c r="DIK7" s="3407"/>
      <c r="DIL7" s="3407"/>
      <c r="DIM7" s="3407"/>
      <c r="DIN7" s="3407"/>
      <c r="DIO7" s="3407"/>
      <c r="DIP7" s="3407"/>
      <c r="DIQ7" s="3407"/>
      <c r="DIR7" s="3407"/>
      <c r="DIS7" s="3407"/>
      <c r="DIT7" s="3407"/>
      <c r="DIU7" s="3407"/>
      <c r="DIV7" s="3407"/>
      <c r="DIW7" s="3407"/>
      <c r="DIX7" s="3407"/>
      <c r="DIY7" s="3407"/>
      <c r="DIZ7" s="3407"/>
      <c r="DJA7" s="3407"/>
      <c r="DJB7" s="3407"/>
      <c r="DJC7" s="3407"/>
      <c r="DJD7" s="3407"/>
      <c r="DJE7" s="3407"/>
      <c r="DJF7" s="3407"/>
      <c r="DJG7" s="3407"/>
      <c r="DJH7" s="3407"/>
      <c r="DJI7" s="3407"/>
      <c r="DJJ7" s="3407"/>
      <c r="DJK7" s="3407"/>
      <c r="DJL7" s="3407"/>
      <c r="DJM7" s="3407"/>
      <c r="DJN7" s="3407"/>
      <c r="DJO7" s="3407"/>
      <c r="DJP7" s="3407"/>
      <c r="DJQ7" s="3407"/>
      <c r="DJR7" s="3407"/>
      <c r="DJS7" s="3407"/>
      <c r="DJT7" s="3407"/>
      <c r="DJU7" s="3407"/>
      <c r="DJV7" s="3407"/>
      <c r="DJW7" s="3407"/>
      <c r="DJX7" s="3407"/>
      <c r="DJY7" s="3407"/>
      <c r="DJZ7" s="3407"/>
      <c r="DKA7" s="3407"/>
      <c r="DKB7" s="3407"/>
      <c r="DKC7" s="3407"/>
      <c r="DKD7" s="3407"/>
      <c r="DKE7" s="3407"/>
      <c r="DKF7" s="3407"/>
      <c r="DKG7" s="3407"/>
      <c r="DKH7" s="3407"/>
      <c r="DKI7" s="3407"/>
      <c r="DKJ7" s="3407"/>
      <c r="DKK7" s="3407"/>
      <c r="DKL7" s="3407"/>
      <c r="DKM7" s="3407"/>
      <c r="DKN7" s="3407"/>
      <c r="DKO7" s="3407"/>
      <c r="DKP7" s="3407"/>
      <c r="DKQ7" s="3407"/>
      <c r="DKR7" s="3407"/>
      <c r="DKS7" s="3407"/>
      <c r="DKT7" s="3407"/>
      <c r="DKU7" s="3407"/>
      <c r="DKV7" s="3407"/>
      <c r="DKW7" s="3407"/>
      <c r="DKX7" s="3407"/>
      <c r="DKY7" s="3407"/>
      <c r="DKZ7" s="3407"/>
      <c r="DLA7" s="3407"/>
      <c r="DLB7" s="3407"/>
      <c r="DLC7" s="3407"/>
      <c r="DLD7" s="3407"/>
      <c r="DLE7" s="3407"/>
      <c r="DLF7" s="3407"/>
      <c r="DLG7" s="3407"/>
      <c r="DLH7" s="3407"/>
      <c r="DLI7" s="3407"/>
      <c r="DLJ7" s="3407"/>
      <c r="DLK7" s="3407"/>
      <c r="DLL7" s="3407"/>
      <c r="DLM7" s="3407"/>
      <c r="DLN7" s="3407"/>
      <c r="DLO7" s="3407"/>
      <c r="DLP7" s="3407"/>
      <c r="DLQ7" s="3407"/>
      <c r="DLR7" s="3407"/>
      <c r="DLS7" s="3407"/>
      <c r="DLT7" s="3407"/>
      <c r="DLU7" s="3407"/>
      <c r="DLV7" s="3407"/>
      <c r="DLW7" s="3407"/>
      <c r="DLX7" s="3407"/>
      <c r="DLY7" s="3407"/>
      <c r="DLZ7" s="3407"/>
      <c r="DMA7" s="3407"/>
      <c r="DMB7" s="3407"/>
      <c r="DMC7" s="3407"/>
      <c r="DMD7" s="3407"/>
      <c r="DME7" s="3407"/>
      <c r="DMF7" s="3407"/>
      <c r="DMG7" s="3407"/>
      <c r="DMH7" s="3407"/>
      <c r="DMI7" s="3407"/>
      <c r="DMJ7" s="3407"/>
      <c r="DMK7" s="3407"/>
      <c r="DML7" s="3407"/>
      <c r="DMM7" s="3407"/>
      <c r="DMN7" s="3407"/>
      <c r="DMO7" s="3407"/>
      <c r="DMP7" s="3407"/>
      <c r="DMQ7" s="3407"/>
      <c r="DMR7" s="3407"/>
      <c r="DMS7" s="3407"/>
      <c r="DMT7" s="3407"/>
      <c r="DMU7" s="3407"/>
      <c r="DMV7" s="3407"/>
      <c r="DMW7" s="3407"/>
      <c r="DMX7" s="3407"/>
      <c r="DMY7" s="3407"/>
      <c r="DMZ7" s="3407"/>
      <c r="DNA7" s="3407"/>
      <c r="DNB7" s="3407"/>
      <c r="DNC7" s="3407"/>
      <c r="DND7" s="3407"/>
      <c r="DNE7" s="3407"/>
      <c r="DNF7" s="3407"/>
      <c r="DNG7" s="3407"/>
      <c r="DNH7" s="3407"/>
      <c r="DNI7" s="3407"/>
      <c r="DNJ7" s="3407"/>
      <c r="DNK7" s="3407"/>
      <c r="DNL7" s="3407"/>
      <c r="DNM7" s="3407"/>
      <c r="DNN7" s="3407"/>
      <c r="DNO7" s="3407"/>
      <c r="DNP7" s="3407"/>
      <c r="DNQ7" s="3407"/>
      <c r="DNR7" s="3407"/>
      <c r="DNS7" s="3407"/>
      <c r="DNT7" s="3407"/>
      <c r="DNU7" s="3407"/>
      <c r="DNV7" s="3407"/>
      <c r="DNW7" s="3407"/>
      <c r="DNX7" s="3407"/>
      <c r="DNY7" s="3407"/>
      <c r="DNZ7" s="3407"/>
      <c r="DOA7" s="3407"/>
      <c r="DOB7" s="3407"/>
      <c r="DOC7" s="3407"/>
      <c r="DOD7" s="3407"/>
      <c r="DOE7" s="3407"/>
      <c r="DOF7" s="3407"/>
      <c r="DOG7" s="3407"/>
      <c r="DOH7" s="3407"/>
      <c r="DOI7" s="3407"/>
      <c r="DOJ7" s="3407"/>
      <c r="DOK7" s="3407"/>
      <c r="DOL7" s="3407"/>
      <c r="DOM7" s="3407"/>
      <c r="DON7" s="3407"/>
      <c r="DOO7" s="3407"/>
      <c r="DOP7" s="3407"/>
      <c r="DOQ7" s="3407"/>
      <c r="DOR7" s="3407"/>
      <c r="DOS7" s="3407"/>
      <c r="DOT7" s="3407"/>
      <c r="DOU7" s="3407"/>
      <c r="DOV7" s="3407"/>
      <c r="DOW7" s="3407"/>
      <c r="DOX7" s="3407"/>
      <c r="DOY7" s="3407"/>
      <c r="DOZ7" s="3407"/>
      <c r="DPA7" s="3407"/>
      <c r="DPB7" s="3407"/>
      <c r="DPC7" s="3407"/>
      <c r="DPD7" s="3407"/>
      <c r="DPE7" s="3407"/>
      <c r="DPF7" s="3407"/>
      <c r="DPG7" s="3407"/>
      <c r="DPH7" s="3407"/>
      <c r="DPI7" s="3407"/>
      <c r="DPJ7" s="3407"/>
      <c r="DPK7" s="3407"/>
      <c r="DPL7" s="3407"/>
      <c r="DPM7" s="3407"/>
      <c r="DPN7" s="3407"/>
      <c r="DPO7" s="3407"/>
      <c r="DPP7" s="3407"/>
      <c r="DPQ7" s="3407"/>
      <c r="DPR7" s="3407"/>
      <c r="DPS7" s="3407"/>
      <c r="DPT7" s="3407"/>
      <c r="DPU7" s="3407"/>
      <c r="DPV7" s="3407"/>
      <c r="DPW7" s="3407"/>
      <c r="DPX7" s="3407"/>
      <c r="DPY7" s="3407"/>
      <c r="DPZ7" s="3407"/>
      <c r="DQA7" s="3407"/>
      <c r="DQB7" s="3407"/>
      <c r="DQC7" s="3407"/>
      <c r="DQD7" s="3407"/>
      <c r="DQE7" s="3407"/>
      <c r="DQF7" s="3407"/>
      <c r="DQG7" s="3407"/>
      <c r="DQH7" s="3407"/>
      <c r="DQI7" s="3407"/>
      <c r="DQJ7" s="3407"/>
      <c r="DQK7" s="3407"/>
      <c r="DQL7" s="3407"/>
      <c r="DQM7" s="3407"/>
      <c r="DQN7" s="3407"/>
      <c r="DQO7" s="3407"/>
      <c r="DQP7" s="3407"/>
      <c r="DQQ7" s="3407"/>
      <c r="DQR7" s="3407"/>
      <c r="DQS7" s="3407"/>
      <c r="DQT7" s="3407"/>
      <c r="DQU7" s="3407"/>
      <c r="DQV7" s="3407"/>
      <c r="DQW7" s="3407"/>
      <c r="DQX7" s="3407"/>
      <c r="DQY7" s="3407"/>
      <c r="DQZ7" s="3407"/>
      <c r="DRA7" s="3407"/>
      <c r="DRB7" s="3407"/>
      <c r="DRC7" s="3407"/>
      <c r="DRD7" s="3407"/>
      <c r="DRE7" s="3407"/>
      <c r="DRF7" s="3407"/>
      <c r="DRG7" s="3407"/>
      <c r="DRH7" s="3407"/>
      <c r="DRI7" s="3407"/>
      <c r="DRJ7" s="3407"/>
      <c r="DRK7" s="3407"/>
      <c r="DRL7" s="3407"/>
      <c r="DRM7" s="3407"/>
      <c r="DRN7" s="3407"/>
      <c r="DRO7" s="3407"/>
      <c r="DRP7" s="3407"/>
      <c r="DRQ7" s="3407"/>
      <c r="DRR7" s="3407"/>
      <c r="DRS7" s="3407"/>
      <c r="DRT7" s="3407"/>
      <c r="DRU7" s="3407"/>
      <c r="DRV7" s="3407"/>
      <c r="DRW7" s="3407"/>
      <c r="DRX7" s="3407"/>
      <c r="DRY7" s="3407"/>
      <c r="DRZ7" s="3407"/>
      <c r="DSA7" s="3407"/>
      <c r="DSB7" s="3407"/>
      <c r="DSC7" s="3407"/>
      <c r="DSD7" s="3407"/>
      <c r="DSE7" s="3407"/>
      <c r="DSF7" s="3407"/>
      <c r="DSG7" s="3407"/>
      <c r="DSH7" s="3407"/>
      <c r="DSI7" s="3407"/>
      <c r="DSJ7" s="3407"/>
      <c r="DSK7" s="3407"/>
      <c r="DSL7" s="3407"/>
      <c r="DSM7" s="3407"/>
      <c r="DSN7" s="3407"/>
      <c r="DSO7" s="3407"/>
      <c r="DSP7" s="3407"/>
      <c r="DSQ7" s="3407"/>
      <c r="DSR7" s="3407"/>
      <c r="DSS7" s="3407"/>
      <c r="DST7" s="3407"/>
      <c r="DSU7" s="3407"/>
      <c r="DSV7" s="3407"/>
      <c r="DSW7" s="3407"/>
      <c r="DSX7" s="3407"/>
      <c r="DSY7" s="3407"/>
      <c r="DSZ7" s="3407"/>
      <c r="DTA7" s="3407"/>
      <c r="DTB7" s="3407"/>
      <c r="DTC7" s="3407"/>
      <c r="DTD7" s="3407"/>
      <c r="DTE7" s="3407"/>
      <c r="DTF7" s="3407"/>
      <c r="DTG7" s="3407"/>
      <c r="DTH7" s="3407"/>
      <c r="DTI7" s="3407"/>
      <c r="DTJ7" s="3407"/>
      <c r="DTK7" s="3407"/>
      <c r="DTL7" s="3407"/>
      <c r="DTM7" s="3407"/>
      <c r="DTN7" s="3407"/>
      <c r="DTO7" s="3407"/>
      <c r="DTP7" s="3407"/>
      <c r="DTQ7" s="3407"/>
      <c r="DTR7" s="3407"/>
      <c r="DTS7" s="3407"/>
      <c r="DTT7" s="3407"/>
      <c r="DTU7" s="3407"/>
      <c r="DTV7" s="3407"/>
      <c r="DTW7" s="3407"/>
      <c r="DTX7" s="3407"/>
      <c r="DTY7" s="3407"/>
      <c r="DTZ7" s="3407"/>
      <c r="DUA7" s="3407"/>
      <c r="DUB7" s="3407"/>
      <c r="DUC7" s="3407"/>
      <c r="DUD7" s="3407"/>
      <c r="DUE7" s="3407"/>
      <c r="DUF7" s="3407"/>
      <c r="DUG7" s="3407"/>
      <c r="DUH7" s="3407"/>
      <c r="DUI7" s="3407"/>
      <c r="DUJ7" s="3407"/>
      <c r="DUK7" s="3407"/>
      <c r="DUL7" s="3407"/>
      <c r="DUM7" s="3407"/>
      <c r="DUN7" s="3407"/>
      <c r="DUO7" s="3407"/>
      <c r="DUP7" s="3407"/>
      <c r="DUQ7" s="3407"/>
      <c r="DUR7" s="3407"/>
      <c r="DUS7" s="3407"/>
      <c r="DUT7" s="3407"/>
      <c r="DUU7" s="3407"/>
      <c r="DUV7" s="3407"/>
      <c r="DUW7" s="3407"/>
      <c r="DUX7" s="3407"/>
      <c r="DUY7" s="3407"/>
      <c r="DUZ7" s="3407"/>
      <c r="DVA7" s="3407"/>
      <c r="DVB7" s="3407"/>
      <c r="DVC7" s="3407"/>
      <c r="DVD7" s="3407"/>
      <c r="DVE7" s="3407"/>
      <c r="DVF7" s="3407"/>
      <c r="DVG7" s="3407"/>
      <c r="DVH7" s="3407"/>
      <c r="DVI7" s="3407"/>
      <c r="DVJ7" s="3407"/>
      <c r="DVK7" s="3407"/>
      <c r="DVL7" s="3407"/>
      <c r="DVM7" s="3407"/>
      <c r="DVN7" s="3407"/>
      <c r="DVO7" s="3407"/>
      <c r="DVP7" s="3407"/>
      <c r="DVQ7" s="3407"/>
      <c r="DVR7" s="3407"/>
      <c r="DVS7" s="3407"/>
      <c r="DVT7" s="3407"/>
      <c r="DVU7" s="3407"/>
      <c r="DVV7" s="3407"/>
      <c r="DVW7" s="3407"/>
      <c r="DVX7" s="3407"/>
      <c r="DVY7" s="3407"/>
      <c r="DVZ7" s="3407"/>
      <c r="DWA7" s="3407"/>
      <c r="DWB7" s="3407"/>
      <c r="DWC7" s="3407"/>
      <c r="DWD7" s="3407"/>
      <c r="DWE7" s="3407"/>
      <c r="DWF7" s="3407"/>
      <c r="DWG7" s="3407"/>
      <c r="DWH7" s="3407"/>
      <c r="DWI7" s="3407"/>
      <c r="DWJ7" s="3407"/>
      <c r="DWK7" s="3407"/>
      <c r="DWL7" s="3407"/>
      <c r="DWM7" s="3407"/>
      <c r="DWN7" s="3407"/>
      <c r="DWO7" s="3407"/>
      <c r="DWP7" s="3407"/>
      <c r="DWQ7" s="3407"/>
      <c r="DWR7" s="3407"/>
      <c r="DWS7" s="3407"/>
      <c r="DWT7" s="3407"/>
      <c r="DWU7" s="3407"/>
      <c r="DWV7" s="3407"/>
      <c r="DWW7" s="3407"/>
      <c r="DWX7" s="3407"/>
      <c r="DWY7" s="3407"/>
      <c r="DWZ7" s="3407"/>
      <c r="DXA7" s="3407"/>
      <c r="DXB7" s="3407"/>
      <c r="DXC7" s="3407"/>
      <c r="DXD7" s="3407"/>
      <c r="DXE7" s="3407"/>
      <c r="DXF7" s="3407"/>
      <c r="DXG7" s="3407"/>
      <c r="DXH7" s="3407"/>
      <c r="DXI7" s="3407"/>
      <c r="DXJ7" s="3407"/>
      <c r="DXK7" s="3407"/>
      <c r="DXL7" s="3407"/>
      <c r="DXM7" s="3407"/>
      <c r="DXN7" s="3407"/>
      <c r="DXO7" s="3407"/>
      <c r="DXP7" s="3407"/>
      <c r="DXQ7" s="3407"/>
      <c r="DXR7" s="3407"/>
      <c r="DXS7" s="3407"/>
      <c r="DXT7" s="3407"/>
      <c r="DXU7" s="3407"/>
      <c r="DXV7" s="3407"/>
      <c r="DXW7" s="3407"/>
      <c r="DXX7" s="3407"/>
      <c r="DXY7" s="3407"/>
      <c r="DXZ7" s="3407"/>
      <c r="DYA7" s="3407"/>
      <c r="DYB7" s="3407"/>
      <c r="DYC7" s="3407"/>
      <c r="DYD7" s="3407"/>
      <c r="DYE7" s="3407"/>
      <c r="DYF7" s="3407"/>
      <c r="DYG7" s="3407"/>
      <c r="DYH7" s="3407"/>
      <c r="DYI7" s="3407"/>
      <c r="DYJ7" s="3407"/>
      <c r="DYK7" s="3407"/>
      <c r="DYL7" s="3407"/>
      <c r="DYM7" s="3407"/>
      <c r="DYN7" s="3407"/>
      <c r="DYO7" s="3407"/>
      <c r="DYP7" s="3407"/>
      <c r="DYQ7" s="3407"/>
      <c r="DYR7" s="3407"/>
      <c r="DYS7" s="3407"/>
      <c r="DYT7" s="3407"/>
      <c r="DYU7" s="3407"/>
      <c r="DYV7" s="3407"/>
      <c r="DYW7" s="3407"/>
      <c r="DYX7" s="3407"/>
      <c r="DYY7" s="3407"/>
      <c r="DYZ7" s="3407"/>
      <c r="DZA7" s="3407"/>
      <c r="DZB7" s="3407"/>
      <c r="DZC7" s="3407"/>
      <c r="DZD7" s="3407"/>
      <c r="DZE7" s="3407"/>
      <c r="DZF7" s="3407"/>
      <c r="DZG7" s="3407"/>
      <c r="DZH7" s="3407"/>
      <c r="DZI7" s="3407"/>
      <c r="DZJ7" s="3407"/>
      <c r="DZK7" s="3407"/>
      <c r="DZL7" s="3407"/>
      <c r="DZM7" s="3407"/>
      <c r="DZN7" s="3407"/>
      <c r="DZO7" s="3407"/>
      <c r="DZP7" s="3407"/>
      <c r="DZQ7" s="3407"/>
      <c r="DZR7" s="3407"/>
      <c r="DZS7" s="3407"/>
      <c r="DZT7" s="3407"/>
      <c r="DZU7" s="3407"/>
      <c r="DZV7" s="3407"/>
      <c r="DZW7" s="3407"/>
      <c r="DZX7" s="3407"/>
      <c r="DZY7" s="3407"/>
      <c r="DZZ7" s="3407"/>
      <c r="EAA7" s="3407"/>
      <c r="EAB7" s="3407"/>
      <c r="EAC7" s="3407"/>
      <c r="EAD7" s="3407"/>
      <c r="EAE7" s="3407"/>
      <c r="EAF7" s="3407"/>
      <c r="EAG7" s="3407"/>
      <c r="EAH7" s="3407"/>
      <c r="EAI7" s="3407"/>
      <c r="EAJ7" s="3407"/>
      <c r="EAK7" s="3407"/>
      <c r="EAL7" s="3407"/>
      <c r="EAM7" s="3407"/>
      <c r="EAN7" s="3407"/>
      <c r="EAO7" s="3407"/>
      <c r="EAP7" s="3407"/>
      <c r="EAQ7" s="3407"/>
      <c r="EAR7" s="3407"/>
      <c r="EAS7" s="3407"/>
      <c r="EAT7" s="3407"/>
      <c r="EAU7" s="3407"/>
      <c r="EAV7" s="3407"/>
      <c r="EAW7" s="3407"/>
      <c r="EAX7" s="3407"/>
      <c r="EAY7" s="3407"/>
      <c r="EAZ7" s="3407"/>
      <c r="EBA7" s="3407"/>
      <c r="EBB7" s="3407"/>
      <c r="EBC7" s="3407"/>
      <c r="EBD7" s="3407"/>
      <c r="EBE7" s="3407"/>
      <c r="EBF7" s="3407"/>
      <c r="EBG7" s="3407"/>
      <c r="EBH7" s="3407"/>
      <c r="EBI7" s="3407"/>
      <c r="EBJ7" s="3407"/>
      <c r="EBK7" s="3407"/>
      <c r="EBL7" s="3407"/>
      <c r="EBM7" s="3407"/>
      <c r="EBN7" s="3407"/>
      <c r="EBO7" s="3407"/>
      <c r="EBP7" s="3407"/>
      <c r="EBQ7" s="3407"/>
      <c r="EBR7" s="3407"/>
      <c r="EBS7" s="3407"/>
      <c r="EBT7" s="3407"/>
      <c r="EBU7" s="3407"/>
      <c r="EBV7" s="3407"/>
      <c r="EBW7" s="3407"/>
      <c r="EBX7" s="3407"/>
      <c r="EBY7" s="3407"/>
      <c r="EBZ7" s="3407"/>
      <c r="ECA7" s="3407"/>
      <c r="ECB7" s="3407"/>
      <c r="ECC7" s="3407"/>
      <c r="ECD7" s="3407"/>
      <c r="ECE7" s="3407"/>
      <c r="ECF7" s="3407"/>
      <c r="ECG7" s="3407"/>
      <c r="ECH7" s="3407"/>
      <c r="ECI7" s="3407"/>
      <c r="ECJ7" s="3407"/>
      <c r="ECK7" s="3407"/>
      <c r="ECL7" s="3407"/>
      <c r="ECM7" s="3407"/>
      <c r="ECN7" s="3407"/>
      <c r="ECO7" s="3407"/>
      <c r="ECP7" s="3407"/>
      <c r="ECQ7" s="3407"/>
      <c r="ECR7" s="3407"/>
      <c r="ECS7" s="3407"/>
      <c r="ECT7" s="3407"/>
      <c r="ECU7" s="3407"/>
      <c r="ECV7" s="3407"/>
      <c r="ECW7" s="3407"/>
      <c r="ECX7" s="3407"/>
      <c r="ECY7" s="3407"/>
      <c r="ECZ7" s="3407"/>
      <c r="EDA7" s="3407"/>
      <c r="EDB7" s="3407"/>
      <c r="EDC7" s="3407"/>
      <c r="EDD7" s="3407"/>
      <c r="EDE7" s="3407"/>
      <c r="EDF7" s="3407"/>
      <c r="EDG7" s="3407"/>
      <c r="EDH7" s="3407"/>
      <c r="EDI7" s="3407"/>
      <c r="EDJ7" s="3407"/>
      <c r="EDK7" s="3407"/>
      <c r="EDL7" s="3407"/>
      <c r="EDM7" s="3407"/>
      <c r="EDN7" s="3407"/>
      <c r="EDO7" s="3407"/>
      <c r="EDP7" s="3407"/>
      <c r="EDQ7" s="3407"/>
      <c r="EDR7" s="3407"/>
      <c r="EDS7" s="3407"/>
      <c r="EDT7" s="3407"/>
      <c r="EDU7" s="3407"/>
      <c r="EDV7" s="3407"/>
      <c r="EDW7" s="3407"/>
      <c r="EDX7" s="3407"/>
      <c r="EDY7" s="3407"/>
      <c r="EDZ7" s="3407"/>
      <c r="EEA7" s="3407"/>
      <c r="EEB7" s="3407"/>
      <c r="EEC7" s="3407"/>
      <c r="EED7" s="3407"/>
      <c r="EEE7" s="3407"/>
      <c r="EEF7" s="3407"/>
      <c r="EEG7" s="3407"/>
      <c r="EEH7" s="3407"/>
      <c r="EEI7" s="3407"/>
      <c r="EEJ7" s="3407"/>
      <c r="EEK7" s="3407"/>
      <c r="EEL7" s="3407"/>
      <c r="EEM7" s="3407"/>
      <c r="EEN7" s="3407"/>
      <c r="EEO7" s="3407"/>
      <c r="EEP7" s="3407"/>
      <c r="EEQ7" s="3407"/>
      <c r="EER7" s="3407"/>
      <c r="EES7" s="3407"/>
      <c r="EET7" s="3407"/>
      <c r="EEU7" s="3407"/>
      <c r="EEV7" s="3407"/>
      <c r="EEW7" s="3407"/>
      <c r="EEX7" s="3407"/>
      <c r="EEY7" s="3407"/>
      <c r="EEZ7" s="3407"/>
      <c r="EFA7" s="3407"/>
      <c r="EFB7" s="3407"/>
      <c r="EFC7" s="3407"/>
      <c r="EFD7" s="3407"/>
      <c r="EFE7" s="3407"/>
      <c r="EFF7" s="3407"/>
      <c r="EFG7" s="3407"/>
      <c r="EFH7" s="3407"/>
      <c r="EFI7" s="3407"/>
      <c r="EFJ7" s="3407"/>
      <c r="EFK7" s="3407"/>
      <c r="EFL7" s="3407"/>
      <c r="EFM7" s="3407"/>
      <c r="EFN7" s="3407"/>
      <c r="EFO7" s="3407"/>
      <c r="EFP7" s="3407"/>
      <c r="EFQ7" s="3407"/>
      <c r="EFR7" s="3407"/>
      <c r="EFS7" s="3407"/>
      <c r="EFT7" s="3407"/>
      <c r="EFU7" s="3407"/>
      <c r="EFV7" s="3407"/>
      <c r="EFW7" s="3407"/>
      <c r="EFX7" s="3407"/>
      <c r="EFY7" s="3407"/>
      <c r="EFZ7" s="3407"/>
      <c r="EGA7" s="3407"/>
      <c r="EGB7" s="3407"/>
      <c r="EGC7" s="3407"/>
      <c r="EGD7" s="3407"/>
      <c r="EGE7" s="3407"/>
      <c r="EGF7" s="3407"/>
      <c r="EGG7" s="3407"/>
      <c r="EGH7" s="3407"/>
      <c r="EGI7" s="3407"/>
      <c r="EGJ7" s="3407"/>
      <c r="EGK7" s="3407"/>
      <c r="EGL7" s="3407"/>
      <c r="EGM7" s="3407"/>
      <c r="EGN7" s="3407"/>
      <c r="EGO7" s="3407"/>
      <c r="EGP7" s="3407"/>
      <c r="EGQ7" s="3407"/>
      <c r="EGR7" s="3407"/>
      <c r="EGS7" s="3407"/>
      <c r="EGT7" s="3407"/>
      <c r="EGU7" s="3407"/>
      <c r="EGV7" s="3407"/>
      <c r="EGW7" s="3407"/>
      <c r="EGX7" s="3407"/>
      <c r="EGY7" s="3407"/>
      <c r="EGZ7" s="3407"/>
      <c r="EHA7" s="3407"/>
      <c r="EHB7" s="3407"/>
      <c r="EHC7" s="3407"/>
      <c r="EHD7" s="3407"/>
      <c r="EHE7" s="3407"/>
      <c r="EHF7" s="3407"/>
      <c r="EHG7" s="3407"/>
      <c r="EHH7" s="3407"/>
      <c r="EHI7" s="3407"/>
      <c r="EHJ7" s="3407"/>
      <c r="EHK7" s="3407"/>
      <c r="EHL7" s="3407"/>
      <c r="EHM7" s="3407"/>
      <c r="EHN7" s="3407"/>
      <c r="EHO7" s="3407"/>
      <c r="EHP7" s="3407"/>
      <c r="EHQ7" s="3407"/>
      <c r="EHR7" s="3407"/>
      <c r="EHS7" s="3407"/>
      <c r="EHT7" s="3407"/>
      <c r="EHU7" s="3407"/>
      <c r="EHV7" s="3407"/>
      <c r="EHW7" s="3407"/>
      <c r="EHX7" s="3407"/>
      <c r="EHY7" s="3407"/>
      <c r="EHZ7" s="3407"/>
      <c r="EIA7" s="3407"/>
      <c r="EIB7" s="3407"/>
      <c r="EIC7" s="3407"/>
      <c r="EID7" s="3407"/>
      <c r="EIE7" s="3407"/>
      <c r="EIF7" s="3407"/>
      <c r="EIG7" s="3407"/>
      <c r="EIH7" s="3407"/>
      <c r="EII7" s="3407"/>
      <c r="EIJ7" s="3407"/>
      <c r="EIK7" s="3407"/>
      <c r="EIL7" s="3407"/>
      <c r="EIM7" s="3407"/>
      <c r="EIN7" s="3407"/>
      <c r="EIO7" s="3407"/>
      <c r="EIP7" s="3407"/>
      <c r="EIQ7" s="3407"/>
      <c r="EIR7" s="3407"/>
      <c r="EIS7" s="3407"/>
      <c r="EIT7" s="3407"/>
      <c r="EIU7" s="3407"/>
      <c r="EIV7" s="3407"/>
      <c r="EIW7" s="3407"/>
      <c r="EIX7" s="3407"/>
      <c r="EIY7" s="3407"/>
      <c r="EIZ7" s="3407"/>
      <c r="EJA7" s="3407"/>
      <c r="EJB7" s="3407"/>
      <c r="EJC7" s="3407"/>
      <c r="EJD7" s="3407"/>
      <c r="EJE7" s="3407"/>
      <c r="EJF7" s="3407"/>
      <c r="EJG7" s="3407"/>
      <c r="EJH7" s="3407"/>
      <c r="EJI7" s="3407"/>
      <c r="EJJ7" s="3407"/>
      <c r="EJK7" s="3407"/>
      <c r="EJL7" s="3407"/>
      <c r="EJM7" s="3407"/>
      <c r="EJN7" s="3407"/>
      <c r="EJO7" s="3407"/>
      <c r="EJP7" s="3407"/>
      <c r="EJQ7" s="3407"/>
      <c r="EJR7" s="3407"/>
      <c r="EJS7" s="3407"/>
      <c r="EJT7" s="3407"/>
      <c r="EJU7" s="3407"/>
      <c r="EJV7" s="3407"/>
      <c r="EJW7" s="3407"/>
      <c r="EJX7" s="3407"/>
      <c r="EJY7" s="3407"/>
      <c r="EJZ7" s="3407"/>
      <c r="EKA7" s="3407"/>
      <c r="EKB7" s="3407"/>
      <c r="EKC7" s="3407"/>
      <c r="EKD7" s="3407"/>
      <c r="EKE7" s="3407"/>
      <c r="EKF7" s="3407"/>
      <c r="EKG7" s="3407"/>
      <c r="EKH7" s="3407"/>
      <c r="EKI7" s="3407"/>
      <c r="EKJ7" s="3407"/>
      <c r="EKK7" s="3407"/>
      <c r="EKL7" s="3407"/>
      <c r="EKM7" s="3407"/>
      <c r="EKN7" s="3407"/>
      <c r="EKO7" s="3407"/>
      <c r="EKP7" s="3407"/>
      <c r="EKQ7" s="3407"/>
      <c r="EKR7" s="3407"/>
      <c r="EKS7" s="3407"/>
      <c r="EKT7" s="3407"/>
      <c r="EKU7" s="3407"/>
      <c r="EKV7" s="3407"/>
      <c r="EKW7" s="3407"/>
      <c r="EKX7" s="3407"/>
      <c r="EKY7" s="3407"/>
      <c r="EKZ7" s="3407"/>
      <c r="ELA7" s="3407"/>
      <c r="ELB7" s="3407"/>
      <c r="ELC7" s="3407"/>
      <c r="ELD7" s="3407"/>
      <c r="ELE7" s="3407"/>
      <c r="ELF7" s="3407"/>
      <c r="ELG7" s="3407"/>
      <c r="ELH7" s="3407"/>
      <c r="ELI7" s="3407"/>
      <c r="ELJ7" s="3407"/>
      <c r="ELK7" s="3407"/>
      <c r="ELL7" s="3407"/>
      <c r="ELM7" s="3407"/>
      <c r="ELN7" s="3407"/>
      <c r="ELO7" s="3407"/>
      <c r="ELP7" s="3407"/>
      <c r="ELQ7" s="3407"/>
      <c r="ELR7" s="3407"/>
      <c r="ELS7" s="3407"/>
      <c r="ELT7" s="3407"/>
      <c r="ELU7" s="3407"/>
      <c r="ELV7" s="3407"/>
      <c r="ELW7" s="3407"/>
      <c r="ELX7" s="3407"/>
      <c r="ELY7" s="3407"/>
      <c r="ELZ7" s="3407"/>
      <c r="EMA7" s="3407"/>
      <c r="EMB7" s="3407"/>
      <c r="EMC7" s="3407"/>
      <c r="EMD7" s="3407"/>
      <c r="EME7" s="3407"/>
      <c r="EMF7" s="3407"/>
      <c r="EMG7" s="3407"/>
      <c r="EMH7" s="3407"/>
      <c r="EMI7" s="3407"/>
      <c r="EMJ7" s="3407"/>
      <c r="EMK7" s="3407"/>
      <c r="EML7" s="3407"/>
      <c r="EMM7" s="3407"/>
      <c r="EMN7" s="3407"/>
      <c r="EMO7" s="3407"/>
      <c r="EMP7" s="3407"/>
      <c r="EMQ7" s="3407"/>
      <c r="EMR7" s="3407"/>
      <c r="EMS7" s="3407"/>
      <c r="EMT7" s="3407"/>
      <c r="EMU7" s="3407"/>
      <c r="EMV7" s="3407"/>
      <c r="EMW7" s="3407"/>
      <c r="EMX7" s="3407"/>
      <c r="EMY7" s="3407"/>
      <c r="EMZ7" s="3407"/>
      <c r="ENA7" s="3407"/>
      <c r="ENB7" s="3407"/>
      <c r="ENC7" s="3407"/>
      <c r="END7" s="3407"/>
      <c r="ENE7" s="3407"/>
      <c r="ENF7" s="3407"/>
      <c r="ENG7" s="3407"/>
      <c r="ENH7" s="3407"/>
      <c r="ENI7" s="3407"/>
      <c r="ENJ7" s="3407"/>
      <c r="ENK7" s="3407"/>
      <c r="ENL7" s="3407"/>
      <c r="ENM7" s="3407"/>
      <c r="ENN7" s="3407"/>
      <c r="ENO7" s="3407"/>
      <c r="ENP7" s="3407"/>
      <c r="ENQ7" s="3407"/>
      <c r="ENR7" s="3407"/>
      <c r="ENS7" s="3407"/>
      <c r="ENT7" s="3407"/>
      <c r="ENU7" s="3407"/>
      <c r="ENV7" s="3407"/>
      <c r="ENW7" s="3407"/>
      <c r="ENX7" s="3407"/>
      <c r="ENY7" s="3407"/>
      <c r="ENZ7" s="3407"/>
      <c r="EOA7" s="3407"/>
      <c r="EOB7" s="3407"/>
      <c r="EOC7" s="3407"/>
      <c r="EOD7" s="3407"/>
      <c r="EOE7" s="3407"/>
      <c r="EOF7" s="3407"/>
      <c r="EOG7" s="3407"/>
      <c r="EOH7" s="3407"/>
      <c r="EOI7" s="3407"/>
      <c r="EOJ7" s="3407"/>
      <c r="EOK7" s="3407"/>
      <c r="EOL7" s="3407"/>
      <c r="EOM7" s="3407"/>
      <c r="EON7" s="3407"/>
      <c r="EOO7" s="3407"/>
      <c r="EOP7" s="3407"/>
      <c r="EOQ7" s="3407"/>
      <c r="EOR7" s="3407"/>
      <c r="EOS7" s="3407"/>
      <c r="EOT7" s="3407"/>
      <c r="EOU7" s="3407"/>
      <c r="EOV7" s="3407"/>
      <c r="EOW7" s="3407"/>
      <c r="EOX7" s="3407"/>
      <c r="EOY7" s="3407"/>
      <c r="EOZ7" s="3407"/>
      <c r="EPA7" s="3407"/>
      <c r="EPB7" s="3407"/>
      <c r="EPC7" s="3407"/>
      <c r="EPD7" s="3407"/>
      <c r="EPE7" s="3407"/>
      <c r="EPF7" s="3407"/>
      <c r="EPG7" s="3407"/>
      <c r="EPH7" s="3407"/>
      <c r="EPI7" s="3407"/>
      <c r="EPJ7" s="3407"/>
      <c r="EPK7" s="3407"/>
      <c r="EPL7" s="3407"/>
      <c r="EPM7" s="3407"/>
      <c r="EPN7" s="3407"/>
      <c r="EPO7" s="3407"/>
      <c r="EPP7" s="3407"/>
      <c r="EPQ7" s="3407"/>
      <c r="EPR7" s="3407"/>
      <c r="EPS7" s="3407"/>
      <c r="EPT7" s="3407"/>
      <c r="EPU7" s="3407"/>
      <c r="EPV7" s="3407"/>
      <c r="EPW7" s="3407"/>
      <c r="EPX7" s="3407"/>
      <c r="EPY7" s="3407"/>
      <c r="EPZ7" s="3407"/>
      <c r="EQA7" s="3407"/>
      <c r="EQB7" s="3407"/>
      <c r="EQC7" s="3407"/>
      <c r="EQD7" s="3407"/>
      <c r="EQE7" s="3407"/>
      <c r="EQF7" s="3407"/>
      <c r="EQG7" s="3407"/>
      <c r="EQH7" s="3407"/>
      <c r="EQI7" s="3407"/>
      <c r="EQJ7" s="3407"/>
      <c r="EQK7" s="3407"/>
      <c r="EQL7" s="3407"/>
      <c r="EQM7" s="3407"/>
      <c r="EQN7" s="3407"/>
      <c r="EQO7" s="3407"/>
      <c r="EQP7" s="3407"/>
      <c r="EQQ7" s="3407"/>
      <c r="EQR7" s="3407"/>
      <c r="EQS7" s="3407"/>
      <c r="EQT7" s="3407"/>
      <c r="EQU7" s="3407"/>
      <c r="EQV7" s="3407"/>
      <c r="EQW7" s="3407"/>
      <c r="EQX7" s="3407"/>
      <c r="EQY7" s="3407"/>
      <c r="EQZ7" s="3407"/>
      <c r="ERA7" s="3407"/>
      <c r="ERB7" s="3407"/>
      <c r="ERC7" s="3407"/>
      <c r="ERD7" s="3407"/>
      <c r="ERE7" s="3407"/>
      <c r="ERF7" s="3407"/>
      <c r="ERG7" s="3407"/>
      <c r="ERH7" s="3407"/>
      <c r="ERI7" s="3407"/>
      <c r="ERJ7" s="3407"/>
      <c r="ERK7" s="3407"/>
      <c r="ERL7" s="3407"/>
      <c r="ERM7" s="3407"/>
      <c r="ERN7" s="3407"/>
      <c r="ERO7" s="3407"/>
      <c r="ERP7" s="3407"/>
      <c r="ERQ7" s="3407"/>
      <c r="ERR7" s="3407"/>
      <c r="ERS7" s="3407"/>
      <c r="ERT7" s="3407"/>
      <c r="ERU7" s="3407"/>
      <c r="ERV7" s="3407"/>
      <c r="ERW7" s="3407"/>
      <c r="ERX7" s="3407"/>
      <c r="ERY7" s="3407"/>
      <c r="ERZ7" s="3407"/>
      <c r="ESA7" s="3407"/>
      <c r="ESB7" s="3407"/>
      <c r="ESC7" s="3407"/>
      <c r="ESD7" s="3407"/>
      <c r="ESE7" s="3407"/>
      <c r="ESF7" s="3407"/>
      <c r="ESG7" s="3407"/>
      <c r="ESH7" s="3407"/>
      <c r="ESI7" s="3407"/>
      <c r="ESJ7" s="3407"/>
      <c r="ESK7" s="3407"/>
      <c r="ESL7" s="3407"/>
      <c r="ESM7" s="3407"/>
      <c r="ESN7" s="3407"/>
      <c r="ESO7" s="3407"/>
      <c r="ESP7" s="3407"/>
      <c r="ESQ7" s="3407"/>
      <c r="ESR7" s="3407"/>
      <c r="ESS7" s="3407"/>
      <c r="EST7" s="3407"/>
      <c r="ESU7" s="3407"/>
      <c r="ESV7" s="3407"/>
      <c r="ESW7" s="3407"/>
      <c r="ESX7" s="3407"/>
      <c r="ESY7" s="3407"/>
      <c r="ESZ7" s="3407"/>
      <c r="ETA7" s="3407"/>
      <c r="ETB7" s="3407"/>
      <c r="ETC7" s="3407"/>
      <c r="ETD7" s="3407"/>
      <c r="ETE7" s="3407"/>
      <c r="ETF7" s="3407"/>
      <c r="ETG7" s="3407"/>
      <c r="ETH7" s="3407"/>
      <c r="ETI7" s="3407"/>
      <c r="ETJ7" s="3407"/>
      <c r="ETK7" s="3407"/>
      <c r="ETL7" s="3407"/>
      <c r="ETM7" s="3407"/>
      <c r="ETN7" s="3407"/>
      <c r="ETO7" s="3407"/>
      <c r="ETP7" s="3407"/>
      <c r="ETQ7" s="3407"/>
      <c r="ETR7" s="3407"/>
      <c r="ETS7" s="3407"/>
      <c r="ETT7" s="3407"/>
      <c r="ETU7" s="3407"/>
      <c r="ETV7" s="3407"/>
      <c r="ETW7" s="3407"/>
      <c r="ETX7" s="3407"/>
      <c r="ETY7" s="3407"/>
      <c r="ETZ7" s="3407"/>
      <c r="EUA7" s="3407"/>
      <c r="EUB7" s="3407"/>
      <c r="EUC7" s="3407"/>
      <c r="EUD7" s="3407"/>
      <c r="EUE7" s="3407"/>
      <c r="EUF7" s="3407"/>
      <c r="EUG7" s="3407"/>
      <c r="EUH7" s="3407"/>
      <c r="EUI7" s="3407"/>
      <c r="EUJ7" s="3407"/>
      <c r="EUK7" s="3407"/>
      <c r="EUL7" s="3407"/>
      <c r="EUM7" s="3407"/>
      <c r="EUN7" s="3407"/>
      <c r="EUO7" s="3407"/>
      <c r="EUP7" s="3407"/>
      <c r="EUQ7" s="3407"/>
      <c r="EUR7" s="3407"/>
      <c r="EUS7" s="3407"/>
      <c r="EUT7" s="3407"/>
      <c r="EUU7" s="3407"/>
      <c r="EUV7" s="3407"/>
      <c r="EUW7" s="3407"/>
      <c r="EUX7" s="3407"/>
      <c r="EUY7" s="3407"/>
      <c r="EUZ7" s="3407"/>
      <c r="EVA7" s="3407"/>
      <c r="EVB7" s="3407"/>
      <c r="EVC7" s="3407"/>
      <c r="EVD7" s="3407"/>
      <c r="EVE7" s="3407"/>
      <c r="EVF7" s="3407"/>
      <c r="EVG7" s="3407"/>
      <c r="EVH7" s="3407"/>
      <c r="EVI7" s="3407"/>
      <c r="EVJ7" s="3407"/>
      <c r="EVK7" s="3407"/>
      <c r="EVL7" s="3407"/>
      <c r="EVM7" s="3407"/>
      <c r="EVN7" s="3407"/>
      <c r="EVO7" s="3407"/>
      <c r="EVP7" s="3407"/>
      <c r="EVQ7" s="3407"/>
      <c r="EVR7" s="3407"/>
      <c r="EVS7" s="3407"/>
      <c r="EVT7" s="3407"/>
      <c r="EVU7" s="3407"/>
      <c r="EVV7" s="3407"/>
      <c r="EVW7" s="3407"/>
      <c r="EVX7" s="3407"/>
      <c r="EVY7" s="3407"/>
      <c r="EVZ7" s="3407"/>
      <c r="EWA7" s="3407"/>
      <c r="EWB7" s="3407"/>
      <c r="EWC7" s="3407"/>
      <c r="EWD7" s="3407"/>
      <c r="EWE7" s="3407"/>
      <c r="EWF7" s="3407"/>
      <c r="EWG7" s="3407"/>
      <c r="EWH7" s="3407"/>
      <c r="EWI7" s="3407"/>
      <c r="EWJ7" s="3407"/>
      <c r="EWK7" s="3407"/>
      <c r="EWL7" s="3407"/>
      <c r="EWM7" s="3407"/>
      <c r="EWN7" s="3407"/>
      <c r="EWO7" s="3407"/>
      <c r="EWP7" s="3407"/>
      <c r="EWQ7" s="3407"/>
      <c r="EWR7" s="3407"/>
      <c r="EWS7" s="3407"/>
      <c r="EWT7" s="3407"/>
      <c r="EWU7" s="3407"/>
      <c r="EWV7" s="3407"/>
      <c r="EWW7" s="3407"/>
      <c r="EWX7" s="3407"/>
      <c r="EWY7" s="3407"/>
      <c r="EWZ7" s="3407"/>
      <c r="EXA7" s="3407"/>
      <c r="EXB7" s="3407"/>
      <c r="EXC7" s="3407"/>
      <c r="EXD7" s="3407"/>
      <c r="EXE7" s="3407"/>
      <c r="EXF7" s="3407"/>
      <c r="EXG7" s="3407"/>
      <c r="EXH7" s="3407"/>
      <c r="EXI7" s="3407"/>
      <c r="EXJ7" s="3407"/>
      <c r="EXK7" s="3407"/>
      <c r="EXL7" s="3407"/>
      <c r="EXM7" s="3407"/>
      <c r="EXN7" s="3407"/>
      <c r="EXO7" s="3407"/>
      <c r="EXP7" s="3407"/>
      <c r="EXQ7" s="3407"/>
      <c r="EXR7" s="3407"/>
      <c r="EXS7" s="3407"/>
      <c r="EXT7" s="3407"/>
      <c r="EXU7" s="3407"/>
      <c r="EXV7" s="3407"/>
      <c r="EXW7" s="3407"/>
      <c r="EXX7" s="3407"/>
      <c r="EXY7" s="3407"/>
      <c r="EXZ7" s="3407"/>
      <c r="EYA7" s="3407"/>
      <c r="EYB7" s="3407"/>
      <c r="EYC7" s="3407"/>
      <c r="EYD7" s="3407"/>
      <c r="EYE7" s="3407"/>
      <c r="EYF7" s="3407"/>
      <c r="EYG7" s="3407"/>
      <c r="EYH7" s="3407"/>
      <c r="EYI7" s="3407"/>
      <c r="EYJ7" s="3407"/>
      <c r="EYK7" s="3407"/>
      <c r="EYL7" s="3407"/>
      <c r="EYM7" s="3407"/>
      <c r="EYN7" s="3407"/>
      <c r="EYO7" s="3407"/>
      <c r="EYP7" s="3407"/>
      <c r="EYQ7" s="3407"/>
      <c r="EYR7" s="3407"/>
      <c r="EYS7" s="3407"/>
      <c r="EYT7" s="3407"/>
      <c r="EYU7" s="3407"/>
      <c r="EYV7" s="3407"/>
      <c r="EYW7" s="3407"/>
      <c r="EYX7" s="3407"/>
      <c r="EYY7" s="3407"/>
      <c r="EYZ7" s="3407"/>
      <c r="EZA7" s="3407"/>
      <c r="EZB7" s="3407"/>
      <c r="EZC7" s="3407"/>
      <c r="EZD7" s="3407"/>
      <c r="EZE7" s="3407"/>
      <c r="EZF7" s="3407"/>
      <c r="EZG7" s="3407"/>
      <c r="EZH7" s="3407"/>
      <c r="EZI7" s="3407"/>
      <c r="EZJ7" s="3407"/>
      <c r="EZK7" s="3407"/>
      <c r="EZL7" s="3407"/>
      <c r="EZM7" s="3407"/>
      <c r="EZN7" s="3407"/>
      <c r="EZO7" s="3407"/>
      <c r="EZP7" s="3407"/>
      <c r="EZQ7" s="3407"/>
      <c r="EZR7" s="3407"/>
      <c r="EZS7" s="3407"/>
      <c r="EZT7" s="3407"/>
      <c r="EZU7" s="3407"/>
      <c r="EZV7" s="3407"/>
      <c r="EZW7" s="3407"/>
      <c r="EZX7" s="3407"/>
      <c r="EZY7" s="3407"/>
      <c r="EZZ7" s="3407"/>
      <c r="FAA7" s="3407"/>
      <c r="FAB7" s="3407"/>
      <c r="FAC7" s="3407"/>
      <c r="FAD7" s="3407"/>
      <c r="FAE7" s="3407"/>
      <c r="FAF7" s="3407"/>
      <c r="FAG7" s="3407"/>
      <c r="FAH7" s="3407"/>
      <c r="FAI7" s="3407"/>
      <c r="FAJ7" s="3407"/>
      <c r="FAK7" s="3407"/>
      <c r="FAL7" s="3407"/>
      <c r="FAM7" s="3407"/>
      <c r="FAN7" s="3407"/>
      <c r="FAO7" s="3407"/>
      <c r="FAP7" s="3407"/>
      <c r="FAQ7" s="3407"/>
      <c r="FAR7" s="3407"/>
      <c r="FAS7" s="3407"/>
      <c r="FAT7" s="3407"/>
      <c r="FAU7" s="3407"/>
      <c r="FAV7" s="3407"/>
      <c r="FAW7" s="3407"/>
      <c r="FAX7" s="3407"/>
      <c r="FAY7" s="3407"/>
      <c r="FAZ7" s="3407"/>
      <c r="FBA7" s="3407"/>
      <c r="FBB7" s="3407"/>
      <c r="FBC7" s="3407"/>
      <c r="FBD7" s="3407"/>
      <c r="FBE7" s="3407"/>
      <c r="FBF7" s="3407"/>
      <c r="FBG7" s="3407"/>
      <c r="FBH7" s="3407"/>
      <c r="FBI7" s="3407"/>
      <c r="FBJ7" s="3407"/>
      <c r="FBK7" s="3407"/>
      <c r="FBL7" s="3407"/>
      <c r="FBM7" s="3407"/>
      <c r="FBN7" s="3407"/>
      <c r="FBO7" s="3407"/>
      <c r="FBP7" s="3407"/>
      <c r="FBQ7" s="3407"/>
      <c r="FBR7" s="3407"/>
      <c r="FBS7" s="3407"/>
      <c r="FBT7" s="3407"/>
      <c r="FBU7" s="3407"/>
      <c r="FBV7" s="3407"/>
      <c r="FBW7" s="3407"/>
      <c r="FBX7" s="3407"/>
      <c r="FBY7" s="3407"/>
      <c r="FBZ7" s="3407"/>
      <c r="FCA7" s="3407"/>
      <c r="FCB7" s="3407"/>
      <c r="FCC7" s="3407"/>
      <c r="FCD7" s="3407"/>
      <c r="FCE7" s="3407"/>
      <c r="FCF7" s="3407"/>
      <c r="FCG7" s="3407"/>
      <c r="FCH7" s="3407"/>
      <c r="FCI7" s="3407"/>
      <c r="FCJ7" s="3407"/>
      <c r="FCK7" s="3407"/>
      <c r="FCL7" s="3407"/>
      <c r="FCM7" s="3407"/>
      <c r="FCN7" s="3407"/>
      <c r="FCO7" s="3407"/>
      <c r="FCP7" s="3407"/>
      <c r="FCQ7" s="3407"/>
      <c r="FCR7" s="3407"/>
      <c r="FCS7" s="3407"/>
      <c r="FCT7" s="3407"/>
      <c r="FCU7" s="3407"/>
      <c r="FCV7" s="3407"/>
      <c r="FCW7" s="3407"/>
      <c r="FCX7" s="3407"/>
      <c r="FCY7" s="3407"/>
      <c r="FCZ7" s="3407"/>
      <c r="FDA7" s="3407"/>
      <c r="FDB7" s="3407"/>
      <c r="FDC7" s="3407"/>
      <c r="FDD7" s="3407"/>
      <c r="FDE7" s="3407"/>
      <c r="FDF7" s="3407"/>
      <c r="FDG7" s="3407"/>
      <c r="FDH7" s="3407"/>
      <c r="FDI7" s="3407"/>
      <c r="FDJ7" s="3407"/>
      <c r="FDK7" s="3407"/>
      <c r="FDL7" s="3407"/>
      <c r="FDM7" s="3407"/>
      <c r="FDN7" s="3407"/>
      <c r="FDO7" s="3407"/>
      <c r="FDP7" s="3407"/>
      <c r="FDQ7" s="3407"/>
      <c r="FDR7" s="3407"/>
      <c r="FDS7" s="3407"/>
      <c r="FDT7" s="3407"/>
      <c r="FDU7" s="3407"/>
      <c r="FDV7" s="3407"/>
      <c r="FDW7" s="3407"/>
      <c r="FDX7" s="3407"/>
      <c r="FDY7" s="3407"/>
      <c r="FDZ7" s="3407"/>
      <c r="FEA7" s="3407"/>
      <c r="FEB7" s="3407"/>
      <c r="FEC7" s="3407"/>
      <c r="FED7" s="3407"/>
      <c r="FEE7" s="3407"/>
      <c r="FEF7" s="3407"/>
      <c r="FEG7" s="3407"/>
      <c r="FEH7" s="3407"/>
      <c r="FEI7" s="3407"/>
      <c r="FEJ7" s="3407"/>
      <c r="FEK7" s="3407"/>
      <c r="FEL7" s="3407"/>
      <c r="FEM7" s="3407"/>
      <c r="FEN7" s="3407"/>
      <c r="FEO7" s="3407"/>
      <c r="FEP7" s="3407"/>
      <c r="FEQ7" s="3407"/>
      <c r="FER7" s="3407"/>
      <c r="FES7" s="3407"/>
      <c r="FET7" s="3407"/>
      <c r="FEU7" s="3407"/>
      <c r="FEV7" s="3407"/>
      <c r="FEW7" s="3407"/>
      <c r="FEX7" s="3407"/>
      <c r="FEY7" s="3407"/>
      <c r="FEZ7" s="3407"/>
      <c r="FFA7" s="3407"/>
      <c r="FFB7" s="3407"/>
      <c r="FFC7" s="3407"/>
      <c r="FFD7" s="3407"/>
      <c r="FFE7" s="3407"/>
      <c r="FFF7" s="3407"/>
      <c r="FFG7" s="3407"/>
      <c r="FFH7" s="3407"/>
      <c r="FFI7" s="3407"/>
      <c r="FFJ7" s="3407"/>
      <c r="FFK7" s="3407"/>
      <c r="FFL7" s="3407"/>
      <c r="FFM7" s="3407"/>
      <c r="FFN7" s="3407"/>
      <c r="FFO7" s="3407"/>
      <c r="FFP7" s="3407"/>
      <c r="FFQ7" s="3407"/>
      <c r="FFR7" s="3407"/>
      <c r="FFS7" s="3407"/>
      <c r="FFT7" s="3407"/>
      <c r="FFU7" s="3407"/>
      <c r="FFV7" s="3407"/>
      <c r="FFW7" s="3407"/>
      <c r="FFX7" s="3407"/>
      <c r="FFY7" s="3407"/>
      <c r="FFZ7" s="3407"/>
      <c r="FGA7" s="3407"/>
      <c r="FGB7" s="3407"/>
      <c r="FGC7" s="3407"/>
      <c r="FGD7" s="3407"/>
      <c r="FGE7" s="3407"/>
      <c r="FGF7" s="3407"/>
      <c r="FGG7" s="3407"/>
      <c r="FGH7" s="3407"/>
      <c r="FGI7" s="3407"/>
      <c r="FGJ7" s="3407"/>
      <c r="FGK7" s="3407"/>
      <c r="FGL7" s="3407"/>
      <c r="FGM7" s="3407"/>
      <c r="FGN7" s="3407"/>
      <c r="FGO7" s="3407"/>
      <c r="FGP7" s="3407"/>
      <c r="FGQ7" s="3407"/>
      <c r="FGR7" s="3407"/>
      <c r="FGS7" s="3407"/>
      <c r="FGT7" s="3407"/>
      <c r="FGU7" s="3407"/>
      <c r="FGV7" s="3407"/>
      <c r="FGW7" s="3407"/>
      <c r="FGX7" s="3407"/>
      <c r="FGY7" s="3407"/>
      <c r="FGZ7" s="3407"/>
      <c r="FHA7" s="3407"/>
      <c r="FHB7" s="3407"/>
      <c r="FHC7" s="3407"/>
      <c r="FHD7" s="3407"/>
      <c r="FHE7" s="3407"/>
      <c r="FHF7" s="3407"/>
      <c r="FHG7" s="3407"/>
      <c r="FHH7" s="3407"/>
      <c r="FHI7" s="3407"/>
      <c r="FHJ7" s="3407"/>
      <c r="FHK7" s="3407"/>
      <c r="FHL7" s="3407"/>
      <c r="FHM7" s="3407"/>
      <c r="FHN7" s="3407"/>
      <c r="FHO7" s="3407"/>
      <c r="FHP7" s="3407"/>
      <c r="FHQ7" s="3407"/>
      <c r="FHR7" s="3407"/>
      <c r="FHS7" s="3407"/>
      <c r="FHT7" s="3407"/>
      <c r="FHU7" s="3407"/>
      <c r="FHV7" s="3407"/>
      <c r="FHW7" s="3407"/>
      <c r="FHX7" s="3407"/>
      <c r="FHY7" s="3407"/>
      <c r="FHZ7" s="3407"/>
      <c r="FIA7" s="3407"/>
      <c r="FIB7" s="3407"/>
      <c r="FIC7" s="3407"/>
      <c r="FID7" s="3407"/>
      <c r="FIE7" s="3407"/>
      <c r="FIF7" s="3407"/>
      <c r="FIG7" s="3407"/>
      <c r="FIH7" s="3407"/>
      <c r="FII7" s="3407"/>
      <c r="FIJ7" s="3407"/>
      <c r="FIK7" s="3407"/>
      <c r="FIL7" s="3407"/>
      <c r="FIM7" s="3407"/>
      <c r="FIN7" s="3407"/>
      <c r="FIO7" s="3407"/>
      <c r="FIP7" s="3407"/>
      <c r="FIQ7" s="3407"/>
      <c r="FIR7" s="3407"/>
      <c r="FIS7" s="3407"/>
      <c r="FIT7" s="3407"/>
      <c r="FIU7" s="3407"/>
      <c r="FIV7" s="3407"/>
      <c r="FIW7" s="3407"/>
      <c r="FIX7" s="3407"/>
      <c r="FIY7" s="3407"/>
      <c r="FIZ7" s="3407"/>
      <c r="FJA7" s="3407"/>
      <c r="FJB7" s="3407"/>
      <c r="FJC7" s="3407"/>
      <c r="FJD7" s="3407"/>
      <c r="FJE7" s="3407"/>
      <c r="FJF7" s="3407"/>
      <c r="FJG7" s="3407"/>
      <c r="FJH7" s="3407"/>
      <c r="FJI7" s="3407"/>
      <c r="FJJ7" s="3407"/>
      <c r="FJK7" s="3407"/>
      <c r="FJL7" s="3407"/>
      <c r="FJM7" s="3407"/>
      <c r="FJN7" s="3407"/>
      <c r="FJO7" s="3407"/>
      <c r="FJP7" s="3407"/>
      <c r="FJQ7" s="3407"/>
      <c r="FJR7" s="3407"/>
      <c r="FJS7" s="3407"/>
      <c r="FJT7" s="3407"/>
      <c r="FJU7" s="3407"/>
      <c r="FJV7" s="3407"/>
      <c r="FJW7" s="3407"/>
      <c r="FJX7" s="3407"/>
      <c r="FJY7" s="3407"/>
      <c r="FJZ7" s="3407"/>
      <c r="FKA7" s="3407"/>
      <c r="FKB7" s="3407"/>
      <c r="FKC7" s="3407"/>
      <c r="FKD7" s="3407"/>
      <c r="FKE7" s="3407"/>
      <c r="FKF7" s="3407"/>
      <c r="FKG7" s="3407"/>
      <c r="FKH7" s="3407"/>
      <c r="FKI7" s="3407"/>
      <c r="FKJ7" s="3407"/>
      <c r="FKK7" s="3407"/>
      <c r="FKL7" s="3407"/>
      <c r="FKM7" s="3407"/>
      <c r="FKN7" s="3407"/>
      <c r="FKO7" s="3407"/>
      <c r="FKP7" s="3407"/>
      <c r="FKQ7" s="3407"/>
      <c r="FKR7" s="3407"/>
      <c r="FKS7" s="3407"/>
      <c r="FKT7" s="3407"/>
      <c r="FKU7" s="3407"/>
      <c r="FKV7" s="3407"/>
      <c r="FKW7" s="3407"/>
      <c r="FKX7" s="3407"/>
      <c r="FKY7" s="3407"/>
      <c r="FKZ7" s="3407"/>
      <c r="FLA7" s="3407"/>
      <c r="FLB7" s="3407"/>
      <c r="FLC7" s="3407"/>
      <c r="FLD7" s="3407"/>
      <c r="FLE7" s="3407"/>
      <c r="FLF7" s="3407"/>
      <c r="FLG7" s="3407"/>
      <c r="FLH7" s="3407"/>
      <c r="FLI7" s="3407"/>
      <c r="FLJ7" s="3407"/>
      <c r="FLK7" s="3407"/>
      <c r="FLL7" s="3407"/>
      <c r="FLM7" s="3407"/>
      <c r="FLN7" s="3407"/>
      <c r="FLO7" s="3407"/>
      <c r="FLP7" s="3407"/>
      <c r="FLQ7" s="3407"/>
      <c r="FLR7" s="3407"/>
      <c r="FLS7" s="3407"/>
      <c r="FLT7" s="3407"/>
      <c r="FLU7" s="3407"/>
      <c r="FLV7" s="3407"/>
      <c r="FLW7" s="3407"/>
      <c r="FLX7" s="3407"/>
      <c r="FLY7" s="3407"/>
      <c r="FLZ7" s="3407"/>
      <c r="FMA7" s="3407"/>
      <c r="FMB7" s="3407"/>
      <c r="FMC7" s="3407"/>
      <c r="FMD7" s="3407"/>
      <c r="FME7" s="3407"/>
      <c r="FMF7" s="3407"/>
      <c r="FMG7" s="3407"/>
      <c r="FMH7" s="3407"/>
      <c r="FMI7" s="3407"/>
      <c r="FMJ7" s="3407"/>
      <c r="FMK7" s="3407"/>
      <c r="FML7" s="3407"/>
      <c r="FMM7" s="3407"/>
      <c r="FMN7" s="3407"/>
      <c r="FMO7" s="3407"/>
      <c r="FMP7" s="3407"/>
      <c r="FMQ7" s="3407"/>
      <c r="FMR7" s="3407"/>
      <c r="FMS7" s="3407"/>
      <c r="FMT7" s="3407"/>
      <c r="FMU7" s="3407"/>
      <c r="FMV7" s="3407"/>
      <c r="FMW7" s="3407"/>
      <c r="FMX7" s="3407"/>
      <c r="FMY7" s="3407"/>
      <c r="FMZ7" s="3407"/>
      <c r="FNA7" s="3407"/>
      <c r="FNB7" s="3407"/>
      <c r="FNC7" s="3407"/>
      <c r="FND7" s="3407"/>
      <c r="FNE7" s="3407"/>
      <c r="FNF7" s="3407"/>
      <c r="FNG7" s="3407"/>
      <c r="FNH7" s="3407"/>
      <c r="FNI7" s="3407"/>
      <c r="FNJ7" s="3407"/>
      <c r="FNK7" s="3407"/>
      <c r="FNL7" s="3407"/>
      <c r="FNM7" s="3407"/>
      <c r="FNN7" s="3407"/>
      <c r="FNO7" s="3407"/>
      <c r="FNP7" s="3407"/>
      <c r="FNQ7" s="3407"/>
      <c r="FNR7" s="3407"/>
      <c r="FNS7" s="3407"/>
      <c r="FNT7" s="3407"/>
      <c r="FNU7" s="3407"/>
      <c r="FNV7" s="3407"/>
      <c r="FNW7" s="3407"/>
      <c r="FNX7" s="3407"/>
      <c r="FNY7" s="3407"/>
      <c r="FNZ7" s="3407"/>
      <c r="FOA7" s="3407"/>
      <c r="FOB7" s="3407"/>
      <c r="FOC7" s="3407"/>
      <c r="FOD7" s="3407"/>
      <c r="FOE7" s="3407"/>
      <c r="FOF7" s="3407"/>
      <c r="FOG7" s="3407"/>
      <c r="FOH7" s="3407"/>
      <c r="FOI7" s="3407"/>
      <c r="FOJ7" s="3407"/>
      <c r="FOK7" s="3407"/>
      <c r="FOL7" s="3407"/>
      <c r="FOM7" s="3407"/>
      <c r="FON7" s="3407"/>
      <c r="FOO7" s="3407"/>
      <c r="FOP7" s="3407"/>
      <c r="FOQ7" s="3407"/>
      <c r="FOR7" s="3407"/>
      <c r="FOS7" s="3407"/>
      <c r="FOT7" s="3407"/>
      <c r="FOU7" s="3407"/>
      <c r="FOV7" s="3407"/>
      <c r="FOW7" s="3407"/>
      <c r="FOX7" s="3407"/>
      <c r="FOY7" s="3407"/>
      <c r="FOZ7" s="3407"/>
      <c r="FPA7" s="3407"/>
      <c r="FPB7" s="3407"/>
      <c r="FPC7" s="3407"/>
      <c r="FPD7" s="3407"/>
      <c r="FPE7" s="3407"/>
      <c r="FPF7" s="3407"/>
      <c r="FPG7" s="3407"/>
      <c r="FPH7" s="3407"/>
      <c r="FPI7" s="3407"/>
      <c r="FPJ7" s="3407"/>
      <c r="FPK7" s="3407"/>
      <c r="FPL7" s="3407"/>
      <c r="FPM7" s="3407"/>
      <c r="FPN7" s="3407"/>
      <c r="FPO7" s="3407"/>
      <c r="FPP7" s="3407"/>
      <c r="FPQ7" s="3407"/>
      <c r="FPR7" s="3407"/>
      <c r="FPS7" s="3407"/>
      <c r="FPT7" s="3407"/>
      <c r="FPU7" s="3407"/>
      <c r="FPV7" s="3407"/>
      <c r="FPW7" s="3407"/>
      <c r="FPX7" s="3407"/>
      <c r="FPY7" s="3407"/>
      <c r="FPZ7" s="3407"/>
      <c r="FQA7" s="3407"/>
      <c r="FQB7" s="3407"/>
      <c r="FQC7" s="3407"/>
      <c r="FQD7" s="3407"/>
      <c r="FQE7" s="3407"/>
      <c r="FQF7" s="3407"/>
      <c r="FQG7" s="3407"/>
      <c r="FQH7" s="3407"/>
      <c r="FQI7" s="3407"/>
      <c r="FQJ7" s="3407"/>
      <c r="FQK7" s="3407"/>
      <c r="FQL7" s="3407"/>
      <c r="FQM7" s="3407"/>
      <c r="FQN7" s="3407"/>
      <c r="FQO7" s="3407"/>
      <c r="FQP7" s="3407"/>
      <c r="FQQ7" s="3407"/>
      <c r="FQR7" s="3407"/>
      <c r="FQS7" s="3407"/>
      <c r="FQT7" s="3407"/>
      <c r="FQU7" s="3407"/>
      <c r="FQV7" s="3407"/>
      <c r="FQW7" s="3407"/>
      <c r="FQX7" s="3407"/>
      <c r="FQY7" s="3407"/>
      <c r="FQZ7" s="3407"/>
      <c r="FRA7" s="3407"/>
      <c r="FRB7" s="3407"/>
      <c r="FRC7" s="3407"/>
      <c r="FRD7" s="3407"/>
      <c r="FRE7" s="3407"/>
      <c r="FRF7" s="3407"/>
      <c r="FRG7" s="3407"/>
      <c r="FRH7" s="3407"/>
      <c r="FRI7" s="3407"/>
      <c r="FRJ7" s="3407"/>
      <c r="FRK7" s="3407"/>
      <c r="FRL7" s="3407"/>
      <c r="FRM7" s="3407"/>
      <c r="FRN7" s="3407"/>
      <c r="FRO7" s="3407"/>
      <c r="FRP7" s="3407"/>
      <c r="FRQ7" s="3407"/>
      <c r="FRR7" s="3407"/>
      <c r="FRS7" s="3407"/>
      <c r="FRT7" s="3407"/>
      <c r="FRU7" s="3407"/>
      <c r="FRV7" s="3407"/>
      <c r="FRW7" s="3407"/>
      <c r="FRX7" s="3407"/>
      <c r="FRY7" s="3407"/>
      <c r="FRZ7" s="3407"/>
      <c r="FSA7" s="3407"/>
      <c r="FSB7" s="3407"/>
      <c r="FSC7" s="3407"/>
      <c r="FSD7" s="3407"/>
      <c r="FSE7" s="3407"/>
      <c r="FSF7" s="3407"/>
      <c r="FSG7" s="3407"/>
      <c r="FSH7" s="3407"/>
      <c r="FSI7" s="3407"/>
      <c r="FSJ7" s="3407"/>
      <c r="FSK7" s="3407"/>
      <c r="FSL7" s="3407"/>
      <c r="FSM7" s="3407"/>
      <c r="FSN7" s="3407"/>
      <c r="FSO7" s="3407"/>
      <c r="FSP7" s="3407"/>
      <c r="FSQ7" s="3407"/>
      <c r="FSR7" s="3407"/>
      <c r="FSS7" s="3407"/>
      <c r="FST7" s="3407"/>
      <c r="FSU7" s="3407"/>
      <c r="FSV7" s="3407"/>
      <c r="FSW7" s="3407"/>
      <c r="FSX7" s="3407"/>
      <c r="FSY7" s="3407"/>
      <c r="FSZ7" s="3407"/>
      <c r="FTA7" s="3407"/>
      <c r="FTB7" s="3407"/>
      <c r="FTC7" s="3407"/>
      <c r="FTD7" s="3407"/>
      <c r="FTE7" s="3407"/>
      <c r="FTF7" s="3407"/>
      <c r="FTG7" s="3407"/>
      <c r="FTH7" s="3407"/>
      <c r="FTI7" s="3407"/>
      <c r="FTJ7" s="3407"/>
      <c r="FTK7" s="3407"/>
      <c r="FTL7" s="3407"/>
      <c r="FTM7" s="3407"/>
      <c r="FTN7" s="3407"/>
      <c r="FTO7" s="3407"/>
      <c r="FTP7" s="3407"/>
      <c r="FTQ7" s="3407"/>
      <c r="FTR7" s="3407"/>
      <c r="FTS7" s="3407"/>
      <c r="FTT7" s="3407"/>
      <c r="FTU7" s="3407"/>
      <c r="FTV7" s="3407"/>
      <c r="FTW7" s="3407"/>
      <c r="FTX7" s="3407"/>
      <c r="FTY7" s="3407"/>
      <c r="FTZ7" s="3407"/>
      <c r="FUA7" s="3407"/>
      <c r="FUB7" s="3407"/>
      <c r="FUC7" s="3407"/>
      <c r="FUD7" s="3407"/>
      <c r="FUE7" s="3407"/>
      <c r="FUF7" s="3407"/>
      <c r="FUG7" s="3407"/>
      <c r="FUH7" s="3407"/>
      <c r="FUI7" s="3407"/>
      <c r="FUJ7" s="3407"/>
      <c r="FUK7" s="3407"/>
      <c r="FUL7" s="3407"/>
      <c r="FUM7" s="3407"/>
      <c r="FUN7" s="3407"/>
      <c r="FUO7" s="3407"/>
      <c r="FUP7" s="3407"/>
      <c r="FUQ7" s="3407"/>
      <c r="FUR7" s="3407"/>
      <c r="FUS7" s="3407"/>
      <c r="FUT7" s="3407"/>
      <c r="FUU7" s="3407"/>
      <c r="FUV7" s="3407"/>
      <c r="FUW7" s="3407"/>
      <c r="FUX7" s="3407"/>
      <c r="FUY7" s="3407"/>
      <c r="FUZ7" s="3407"/>
      <c r="FVA7" s="3407"/>
      <c r="FVB7" s="3407"/>
      <c r="FVC7" s="3407"/>
      <c r="FVD7" s="3407"/>
      <c r="FVE7" s="3407"/>
      <c r="FVF7" s="3407"/>
      <c r="FVG7" s="3407"/>
      <c r="FVH7" s="3407"/>
      <c r="FVI7" s="3407"/>
      <c r="FVJ7" s="3407"/>
      <c r="FVK7" s="3407"/>
      <c r="FVL7" s="3407"/>
      <c r="FVM7" s="3407"/>
      <c r="FVN7" s="3407"/>
      <c r="FVO7" s="3407"/>
      <c r="FVP7" s="3407"/>
      <c r="FVQ7" s="3407"/>
      <c r="FVR7" s="3407"/>
      <c r="FVS7" s="3407"/>
      <c r="FVT7" s="3407"/>
      <c r="FVU7" s="3407"/>
      <c r="FVV7" s="3407"/>
      <c r="FVW7" s="3407"/>
      <c r="FVX7" s="3407"/>
      <c r="FVY7" s="3407"/>
      <c r="FVZ7" s="3407"/>
      <c r="FWA7" s="3407"/>
      <c r="FWB7" s="3407"/>
      <c r="FWC7" s="3407"/>
      <c r="FWD7" s="3407"/>
      <c r="FWE7" s="3407"/>
      <c r="FWF7" s="3407"/>
      <c r="FWG7" s="3407"/>
      <c r="FWH7" s="3407"/>
      <c r="FWI7" s="3407"/>
      <c r="FWJ7" s="3407"/>
      <c r="FWK7" s="3407"/>
      <c r="FWL7" s="3407"/>
      <c r="FWM7" s="3407"/>
      <c r="FWN7" s="3407"/>
      <c r="FWO7" s="3407"/>
      <c r="FWP7" s="3407"/>
      <c r="FWQ7" s="3407"/>
      <c r="FWR7" s="3407"/>
      <c r="FWS7" s="3407"/>
      <c r="FWT7" s="3407"/>
      <c r="FWU7" s="3407"/>
      <c r="FWV7" s="3407"/>
      <c r="FWW7" s="3407"/>
      <c r="FWX7" s="3407"/>
      <c r="FWY7" s="3407"/>
      <c r="FWZ7" s="3407"/>
      <c r="FXA7" s="3407"/>
      <c r="FXB7" s="3407"/>
      <c r="FXC7" s="3407"/>
      <c r="FXD7" s="3407"/>
      <c r="FXE7" s="3407"/>
      <c r="FXF7" s="3407"/>
      <c r="FXG7" s="3407"/>
      <c r="FXH7" s="3407"/>
      <c r="FXI7" s="3407"/>
      <c r="FXJ7" s="3407"/>
      <c r="FXK7" s="3407"/>
      <c r="FXL7" s="3407"/>
      <c r="FXM7" s="3407"/>
      <c r="FXN7" s="3407"/>
      <c r="FXO7" s="3407"/>
      <c r="FXP7" s="3407"/>
      <c r="FXQ7" s="3407"/>
      <c r="FXR7" s="3407"/>
      <c r="FXS7" s="3407"/>
      <c r="FXT7" s="3407"/>
      <c r="FXU7" s="3407"/>
      <c r="FXV7" s="3407"/>
      <c r="FXW7" s="3407"/>
      <c r="FXX7" s="3407"/>
      <c r="FXY7" s="3407"/>
      <c r="FXZ7" s="3407"/>
      <c r="FYA7" s="3407"/>
      <c r="FYB7" s="3407"/>
      <c r="FYC7" s="3407"/>
      <c r="FYD7" s="3407"/>
      <c r="FYE7" s="3407"/>
      <c r="FYF7" s="3407"/>
      <c r="FYG7" s="3407"/>
      <c r="FYH7" s="3407"/>
      <c r="FYI7" s="3407"/>
      <c r="FYJ7" s="3407"/>
      <c r="FYK7" s="3407"/>
      <c r="FYL7" s="3407"/>
      <c r="FYM7" s="3407"/>
      <c r="FYN7" s="3407"/>
      <c r="FYO7" s="3407"/>
      <c r="FYP7" s="3407"/>
      <c r="FYQ7" s="3407"/>
      <c r="FYR7" s="3407"/>
      <c r="FYS7" s="3407"/>
      <c r="FYT7" s="3407"/>
      <c r="FYU7" s="3407"/>
      <c r="FYV7" s="3407"/>
      <c r="FYW7" s="3407"/>
      <c r="FYX7" s="3407"/>
      <c r="FYY7" s="3407"/>
      <c r="FYZ7" s="3407"/>
      <c r="FZA7" s="3407"/>
      <c r="FZB7" s="3407"/>
      <c r="FZC7" s="3407"/>
      <c r="FZD7" s="3407"/>
      <c r="FZE7" s="3407"/>
      <c r="FZF7" s="3407"/>
      <c r="FZG7" s="3407"/>
      <c r="FZH7" s="3407"/>
      <c r="FZI7" s="3407"/>
      <c r="FZJ7" s="3407"/>
      <c r="FZK7" s="3407"/>
      <c r="FZL7" s="3407"/>
      <c r="FZM7" s="3407"/>
      <c r="FZN7" s="3407"/>
      <c r="FZO7" s="3407"/>
      <c r="FZP7" s="3407"/>
      <c r="FZQ7" s="3407"/>
      <c r="FZR7" s="3407"/>
      <c r="FZS7" s="3407"/>
      <c r="FZT7" s="3407"/>
      <c r="FZU7" s="3407"/>
      <c r="FZV7" s="3407"/>
      <c r="FZW7" s="3407"/>
      <c r="FZX7" s="3407"/>
      <c r="FZY7" s="3407"/>
      <c r="FZZ7" s="3407"/>
      <c r="GAA7" s="3407"/>
      <c r="GAB7" s="3407"/>
      <c r="GAC7" s="3407"/>
      <c r="GAD7" s="3407"/>
      <c r="GAE7" s="3407"/>
      <c r="GAF7" s="3407"/>
      <c r="GAG7" s="3407"/>
      <c r="GAH7" s="3407"/>
      <c r="GAI7" s="3407"/>
      <c r="GAJ7" s="3407"/>
      <c r="GAK7" s="3407"/>
      <c r="GAL7" s="3407"/>
      <c r="GAM7" s="3407"/>
      <c r="GAN7" s="3407"/>
      <c r="GAO7" s="3407"/>
      <c r="GAP7" s="3407"/>
      <c r="GAQ7" s="3407"/>
      <c r="GAR7" s="3407"/>
      <c r="GAS7" s="3407"/>
      <c r="GAT7" s="3407"/>
      <c r="GAU7" s="3407"/>
      <c r="GAV7" s="3407"/>
      <c r="GAW7" s="3407"/>
      <c r="GAX7" s="3407"/>
      <c r="GAY7" s="3407"/>
      <c r="GAZ7" s="3407"/>
      <c r="GBA7" s="3407"/>
      <c r="GBB7" s="3407"/>
      <c r="GBC7" s="3407"/>
      <c r="GBD7" s="3407"/>
      <c r="GBE7" s="3407"/>
      <c r="GBF7" s="3407"/>
      <c r="GBG7" s="3407"/>
      <c r="GBH7" s="3407"/>
      <c r="GBI7" s="3407"/>
      <c r="GBJ7" s="3407"/>
      <c r="GBK7" s="3407"/>
      <c r="GBL7" s="3407"/>
      <c r="GBM7" s="3407"/>
      <c r="GBN7" s="3407"/>
      <c r="GBO7" s="3407"/>
      <c r="GBP7" s="3407"/>
      <c r="GBQ7" s="3407"/>
      <c r="GBR7" s="3407"/>
      <c r="GBS7" s="3407"/>
      <c r="GBT7" s="3407"/>
      <c r="GBU7" s="3407"/>
      <c r="GBV7" s="3407"/>
      <c r="GBW7" s="3407"/>
      <c r="GBX7" s="3407"/>
      <c r="GBY7" s="3407"/>
      <c r="GBZ7" s="3407"/>
      <c r="GCA7" s="3407"/>
      <c r="GCB7" s="3407"/>
      <c r="GCC7" s="3407"/>
      <c r="GCD7" s="3407"/>
      <c r="GCE7" s="3407"/>
      <c r="GCF7" s="3407"/>
      <c r="GCG7" s="3407"/>
      <c r="GCH7" s="3407"/>
      <c r="GCI7" s="3407"/>
      <c r="GCJ7" s="3407"/>
      <c r="GCK7" s="3407"/>
      <c r="GCL7" s="3407"/>
      <c r="GCM7" s="3407"/>
      <c r="GCN7" s="3407"/>
      <c r="GCO7" s="3407"/>
      <c r="GCP7" s="3407"/>
      <c r="GCQ7" s="3407"/>
      <c r="GCR7" s="3407"/>
      <c r="GCS7" s="3407"/>
      <c r="GCT7" s="3407"/>
      <c r="GCU7" s="3407"/>
      <c r="GCV7" s="3407"/>
      <c r="GCW7" s="3407"/>
      <c r="GCX7" s="3407"/>
      <c r="GCY7" s="3407"/>
      <c r="GCZ7" s="3407"/>
      <c r="GDA7" s="3407"/>
      <c r="GDB7" s="3407"/>
      <c r="GDC7" s="3407"/>
      <c r="GDD7" s="3407"/>
      <c r="GDE7" s="3407"/>
      <c r="GDF7" s="3407"/>
      <c r="GDG7" s="3407"/>
      <c r="GDH7" s="3407"/>
      <c r="GDI7" s="3407"/>
      <c r="GDJ7" s="3407"/>
      <c r="GDK7" s="3407"/>
      <c r="GDL7" s="3407"/>
      <c r="GDM7" s="3407"/>
      <c r="GDN7" s="3407"/>
      <c r="GDO7" s="3407"/>
      <c r="GDP7" s="3407"/>
      <c r="GDQ7" s="3407"/>
      <c r="GDR7" s="3407"/>
      <c r="GDS7" s="3407"/>
      <c r="GDT7" s="3407"/>
      <c r="GDU7" s="3407"/>
      <c r="GDV7" s="3407"/>
      <c r="GDW7" s="3407"/>
      <c r="GDX7" s="3407"/>
      <c r="GDY7" s="3407"/>
      <c r="GDZ7" s="3407"/>
      <c r="GEA7" s="3407"/>
      <c r="GEB7" s="3407"/>
      <c r="GEC7" s="3407"/>
      <c r="GED7" s="3407"/>
      <c r="GEE7" s="3407"/>
      <c r="GEF7" s="3407"/>
      <c r="GEG7" s="3407"/>
      <c r="GEH7" s="3407"/>
      <c r="GEI7" s="3407"/>
      <c r="GEJ7" s="3407"/>
      <c r="GEK7" s="3407"/>
      <c r="GEL7" s="3407"/>
      <c r="GEM7" s="3407"/>
      <c r="GEN7" s="3407"/>
      <c r="GEO7" s="3407"/>
      <c r="GEP7" s="3407"/>
      <c r="GEQ7" s="3407"/>
      <c r="GER7" s="3407"/>
      <c r="GES7" s="3407"/>
      <c r="GET7" s="3407"/>
      <c r="GEU7" s="3407"/>
      <c r="GEV7" s="3407"/>
      <c r="GEW7" s="3407"/>
      <c r="GEX7" s="3407"/>
      <c r="GEY7" s="3407"/>
      <c r="GEZ7" s="3407"/>
      <c r="GFA7" s="3407"/>
      <c r="GFB7" s="3407"/>
      <c r="GFC7" s="3407"/>
      <c r="GFD7" s="3407"/>
      <c r="GFE7" s="3407"/>
      <c r="GFF7" s="3407"/>
      <c r="GFG7" s="3407"/>
      <c r="GFH7" s="3407"/>
      <c r="GFI7" s="3407"/>
      <c r="GFJ7" s="3407"/>
      <c r="GFK7" s="3407"/>
      <c r="GFL7" s="3407"/>
      <c r="GFM7" s="3407"/>
      <c r="GFN7" s="3407"/>
      <c r="GFO7" s="3407"/>
      <c r="GFP7" s="3407"/>
      <c r="GFQ7" s="3407"/>
      <c r="GFR7" s="3407"/>
      <c r="GFS7" s="3407"/>
      <c r="GFT7" s="3407"/>
      <c r="GFU7" s="3407"/>
      <c r="GFV7" s="3407"/>
      <c r="GFW7" s="3407"/>
      <c r="GFX7" s="3407"/>
      <c r="GFY7" s="3407"/>
      <c r="GFZ7" s="3407"/>
      <c r="GGA7" s="3407"/>
      <c r="GGB7" s="3407"/>
      <c r="GGC7" s="3407"/>
      <c r="GGD7" s="3407"/>
      <c r="GGE7" s="3407"/>
      <c r="GGF7" s="3407"/>
      <c r="GGG7" s="3407"/>
      <c r="GGH7" s="3407"/>
      <c r="GGI7" s="3407"/>
      <c r="GGJ7" s="3407"/>
      <c r="GGK7" s="3407"/>
      <c r="GGL7" s="3407"/>
      <c r="GGM7" s="3407"/>
      <c r="GGN7" s="3407"/>
      <c r="GGO7" s="3407"/>
      <c r="GGP7" s="3407"/>
      <c r="GGQ7" s="3407"/>
      <c r="GGR7" s="3407"/>
      <c r="GGS7" s="3407"/>
      <c r="GGT7" s="3407"/>
      <c r="GGU7" s="3407"/>
      <c r="GGV7" s="3407"/>
      <c r="GGW7" s="3407"/>
      <c r="GGX7" s="3407"/>
      <c r="GGY7" s="3407"/>
      <c r="GGZ7" s="3407"/>
      <c r="GHA7" s="3407"/>
      <c r="GHB7" s="3407"/>
      <c r="GHC7" s="3407"/>
      <c r="GHD7" s="3407"/>
      <c r="GHE7" s="3407"/>
      <c r="GHF7" s="3407"/>
      <c r="GHG7" s="3407"/>
      <c r="GHH7" s="3407"/>
      <c r="GHI7" s="3407"/>
      <c r="GHJ7" s="3407"/>
      <c r="GHK7" s="3407"/>
      <c r="GHL7" s="3407"/>
      <c r="GHM7" s="3407"/>
      <c r="GHN7" s="3407"/>
      <c r="GHO7" s="3407"/>
      <c r="GHP7" s="3407"/>
      <c r="GHQ7" s="3407"/>
      <c r="GHR7" s="3407"/>
      <c r="GHS7" s="3407"/>
      <c r="GHT7" s="3407"/>
      <c r="GHU7" s="3407"/>
      <c r="GHV7" s="3407"/>
      <c r="GHW7" s="3407"/>
      <c r="GHX7" s="3407"/>
      <c r="GHY7" s="3407"/>
      <c r="GHZ7" s="3407"/>
      <c r="GIA7" s="3407"/>
      <c r="GIB7" s="3407"/>
      <c r="GIC7" s="3407"/>
      <c r="GID7" s="3407"/>
      <c r="GIE7" s="3407"/>
      <c r="GIF7" s="3407"/>
      <c r="GIG7" s="3407"/>
      <c r="GIH7" s="3407"/>
      <c r="GII7" s="3407"/>
      <c r="GIJ7" s="3407"/>
      <c r="GIK7" s="3407"/>
      <c r="GIL7" s="3407"/>
      <c r="GIM7" s="3407"/>
      <c r="GIN7" s="3407"/>
      <c r="GIO7" s="3407"/>
      <c r="GIP7" s="3407"/>
      <c r="GIQ7" s="3407"/>
      <c r="GIR7" s="3407"/>
      <c r="GIS7" s="3407"/>
      <c r="GIT7" s="3407"/>
      <c r="GIU7" s="3407"/>
      <c r="GIV7" s="3407"/>
      <c r="GIW7" s="3407"/>
      <c r="GIX7" s="3407"/>
      <c r="GIY7" s="3407"/>
      <c r="GIZ7" s="3407"/>
      <c r="GJA7" s="3407"/>
      <c r="GJB7" s="3407"/>
      <c r="GJC7" s="3407"/>
      <c r="GJD7" s="3407"/>
      <c r="GJE7" s="3407"/>
      <c r="GJF7" s="3407"/>
      <c r="GJG7" s="3407"/>
      <c r="GJH7" s="3407"/>
      <c r="GJI7" s="3407"/>
      <c r="GJJ7" s="3407"/>
      <c r="GJK7" s="3407"/>
      <c r="GJL7" s="3407"/>
      <c r="GJM7" s="3407"/>
      <c r="GJN7" s="3407"/>
      <c r="GJO7" s="3407"/>
      <c r="GJP7" s="3407"/>
      <c r="GJQ7" s="3407"/>
      <c r="GJR7" s="3407"/>
      <c r="GJS7" s="3407"/>
      <c r="GJT7" s="3407"/>
      <c r="GJU7" s="3407"/>
      <c r="GJV7" s="3407"/>
      <c r="GJW7" s="3407"/>
      <c r="GJX7" s="3407"/>
      <c r="GJY7" s="3407"/>
      <c r="GJZ7" s="3407"/>
      <c r="GKA7" s="3407"/>
      <c r="GKB7" s="3407"/>
      <c r="GKC7" s="3407"/>
      <c r="GKD7" s="3407"/>
      <c r="GKE7" s="3407"/>
      <c r="GKF7" s="3407"/>
      <c r="GKG7" s="3407"/>
      <c r="GKH7" s="3407"/>
      <c r="GKI7" s="3407"/>
      <c r="GKJ7" s="3407"/>
      <c r="GKK7" s="3407"/>
      <c r="GKL7" s="3407"/>
      <c r="GKM7" s="3407"/>
      <c r="GKN7" s="3407"/>
      <c r="GKO7" s="3407"/>
      <c r="GKP7" s="3407"/>
      <c r="GKQ7" s="3407"/>
      <c r="GKR7" s="3407"/>
      <c r="GKS7" s="3407"/>
      <c r="GKT7" s="3407"/>
      <c r="GKU7" s="3407"/>
      <c r="GKV7" s="3407"/>
      <c r="GKW7" s="3407"/>
      <c r="GKX7" s="3407"/>
      <c r="GKY7" s="3407"/>
      <c r="GKZ7" s="3407"/>
      <c r="GLA7" s="3407"/>
      <c r="GLB7" s="3407"/>
      <c r="GLC7" s="3407"/>
      <c r="GLD7" s="3407"/>
      <c r="GLE7" s="3407"/>
      <c r="GLF7" s="3407"/>
      <c r="GLG7" s="3407"/>
      <c r="GLH7" s="3407"/>
      <c r="GLI7" s="3407"/>
      <c r="GLJ7" s="3407"/>
      <c r="GLK7" s="3407"/>
      <c r="GLL7" s="3407"/>
      <c r="GLM7" s="3407"/>
      <c r="GLN7" s="3407"/>
      <c r="GLO7" s="3407"/>
      <c r="GLP7" s="3407"/>
      <c r="GLQ7" s="3407"/>
      <c r="GLR7" s="3407"/>
      <c r="GLS7" s="3407"/>
      <c r="GLT7" s="3407"/>
      <c r="GLU7" s="3407"/>
      <c r="GLV7" s="3407"/>
      <c r="GLW7" s="3407"/>
      <c r="GLX7" s="3407"/>
      <c r="GLY7" s="3407"/>
      <c r="GLZ7" s="3407"/>
      <c r="GMA7" s="3407"/>
      <c r="GMB7" s="3407"/>
      <c r="GMC7" s="3407"/>
      <c r="GMD7" s="3407"/>
      <c r="GME7" s="3407"/>
      <c r="GMF7" s="3407"/>
      <c r="GMG7" s="3407"/>
      <c r="GMH7" s="3407"/>
      <c r="GMI7" s="3407"/>
      <c r="GMJ7" s="3407"/>
      <c r="GMK7" s="3407"/>
      <c r="GML7" s="3407"/>
      <c r="GMM7" s="3407"/>
      <c r="GMN7" s="3407"/>
      <c r="GMO7" s="3407"/>
      <c r="GMP7" s="3407"/>
      <c r="GMQ7" s="3407"/>
      <c r="GMR7" s="3407"/>
      <c r="GMS7" s="3407"/>
      <c r="GMT7" s="3407"/>
      <c r="GMU7" s="3407"/>
      <c r="GMV7" s="3407"/>
      <c r="GMW7" s="3407"/>
      <c r="GMX7" s="3407"/>
      <c r="GMY7" s="3407"/>
      <c r="GMZ7" s="3407"/>
      <c r="GNA7" s="3407"/>
      <c r="GNB7" s="3407"/>
      <c r="GNC7" s="3407"/>
      <c r="GND7" s="3407"/>
      <c r="GNE7" s="3407"/>
      <c r="GNF7" s="3407"/>
      <c r="GNG7" s="3407"/>
      <c r="GNH7" s="3407"/>
      <c r="GNI7" s="3407"/>
      <c r="GNJ7" s="3407"/>
      <c r="GNK7" s="3407"/>
      <c r="GNL7" s="3407"/>
      <c r="GNM7" s="3407"/>
      <c r="GNN7" s="3407"/>
      <c r="GNO7" s="3407"/>
      <c r="GNP7" s="3407"/>
      <c r="GNQ7" s="3407"/>
      <c r="GNR7" s="3407"/>
      <c r="GNS7" s="3407"/>
      <c r="GNT7" s="3407"/>
      <c r="GNU7" s="3407"/>
      <c r="GNV7" s="3407"/>
      <c r="GNW7" s="3407"/>
      <c r="GNX7" s="3407"/>
      <c r="GNY7" s="3407"/>
      <c r="GNZ7" s="3407"/>
      <c r="GOA7" s="3407"/>
      <c r="GOB7" s="3407"/>
      <c r="GOC7" s="3407"/>
      <c r="GOD7" s="3407"/>
      <c r="GOE7" s="3407"/>
      <c r="GOF7" s="3407"/>
      <c r="GOG7" s="3407"/>
      <c r="GOH7" s="3407"/>
      <c r="GOI7" s="3407"/>
      <c r="GOJ7" s="3407"/>
      <c r="GOK7" s="3407"/>
      <c r="GOL7" s="3407"/>
      <c r="GOM7" s="3407"/>
      <c r="GON7" s="3407"/>
      <c r="GOO7" s="3407"/>
      <c r="GOP7" s="3407"/>
      <c r="GOQ7" s="3407"/>
      <c r="GOR7" s="3407"/>
      <c r="GOS7" s="3407"/>
      <c r="GOT7" s="3407"/>
      <c r="GOU7" s="3407"/>
      <c r="GOV7" s="3407"/>
      <c r="GOW7" s="3407"/>
      <c r="GOX7" s="3407"/>
      <c r="GOY7" s="3407"/>
      <c r="GOZ7" s="3407"/>
      <c r="GPA7" s="3407"/>
      <c r="GPB7" s="3407"/>
      <c r="GPC7" s="3407"/>
      <c r="GPD7" s="3407"/>
      <c r="GPE7" s="3407"/>
      <c r="GPF7" s="3407"/>
      <c r="GPG7" s="3407"/>
      <c r="GPH7" s="3407"/>
      <c r="GPI7" s="3407"/>
      <c r="GPJ7" s="3407"/>
      <c r="GPK7" s="3407"/>
      <c r="GPL7" s="3407"/>
      <c r="GPM7" s="3407"/>
      <c r="GPN7" s="3407"/>
      <c r="GPO7" s="3407"/>
      <c r="GPP7" s="3407"/>
      <c r="GPQ7" s="3407"/>
      <c r="GPR7" s="3407"/>
      <c r="GPS7" s="3407"/>
      <c r="GPT7" s="3407"/>
      <c r="GPU7" s="3407"/>
      <c r="GPV7" s="3407"/>
      <c r="GPW7" s="3407"/>
      <c r="GPX7" s="3407"/>
      <c r="GPY7" s="3407"/>
      <c r="GPZ7" s="3407"/>
      <c r="GQA7" s="3407"/>
      <c r="GQB7" s="3407"/>
      <c r="GQC7" s="3407"/>
      <c r="GQD7" s="3407"/>
      <c r="GQE7" s="3407"/>
      <c r="GQF7" s="3407"/>
      <c r="GQG7" s="3407"/>
      <c r="GQH7" s="3407"/>
      <c r="GQI7" s="3407"/>
      <c r="GQJ7" s="3407"/>
      <c r="GQK7" s="3407"/>
      <c r="GQL7" s="3407"/>
      <c r="GQM7" s="3407"/>
      <c r="GQN7" s="3407"/>
      <c r="GQO7" s="3407"/>
      <c r="GQP7" s="3407"/>
      <c r="GQQ7" s="3407"/>
      <c r="GQR7" s="3407"/>
      <c r="GQS7" s="3407"/>
      <c r="GQT7" s="3407"/>
      <c r="GQU7" s="3407"/>
      <c r="GQV7" s="3407"/>
      <c r="GQW7" s="3407"/>
      <c r="GQX7" s="3407"/>
      <c r="GQY7" s="3407"/>
      <c r="GQZ7" s="3407"/>
      <c r="GRA7" s="3407"/>
      <c r="GRB7" s="3407"/>
      <c r="GRC7" s="3407"/>
      <c r="GRD7" s="3407"/>
      <c r="GRE7" s="3407"/>
      <c r="GRF7" s="3407"/>
      <c r="GRG7" s="3407"/>
      <c r="GRH7" s="3407"/>
      <c r="GRI7" s="3407"/>
      <c r="GRJ7" s="3407"/>
      <c r="GRK7" s="3407"/>
      <c r="GRL7" s="3407"/>
      <c r="GRM7" s="3407"/>
      <c r="GRN7" s="3407"/>
      <c r="GRO7" s="3407"/>
      <c r="GRP7" s="3407"/>
      <c r="GRQ7" s="3407"/>
      <c r="GRR7" s="3407"/>
      <c r="GRS7" s="3407"/>
      <c r="GRT7" s="3407"/>
      <c r="GRU7" s="3407"/>
      <c r="GRV7" s="3407"/>
      <c r="GRW7" s="3407"/>
      <c r="GRX7" s="3407"/>
      <c r="GRY7" s="3407"/>
      <c r="GRZ7" s="3407"/>
      <c r="GSA7" s="3407"/>
      <c r="GSB7" s="3407"/>
      <c r="GSC7" s="3407"/>
      <c r="GSD7" s="3407"/>
      <c r="GSE7" s="3407"/>
      <c r="GSF7" s="3407"/>
      <c r="GSG7" s="3407"/>
      <c r="GSH7" s="3407"/>
      <c r="GSI7" s="3407"/>
      <c r="GSJ7" s="3407"/>
      <c r="GSK7" s="3407"/>
      <c r="GSL7" s="3407"/>
      <c r="GSM7" s="3407"/>
      <c r="GSN7" s="3407"/>
      <c r="GSO7" s="3407"/>
      <c r="GSP7" s="3407"/>
      <c r="GSQ7" s="3407"/>
      <c r="GSR7" s="3407"/>
      <c r="GSS7" s="3407"/>
      <c r="GST7" s="3407"/>
      <c r="GSU7" s="3407"/>
      <c r="GSV7" s="3407"/>
      <c r="GSW7" s="3407"/>
      <c r="GSX7" s="3407"/>
      <c r="GSY7" s="3407"/>
      <c r="GSZ7" s="3407"/>
      <c r="GTA7" s="3407"/>
      <c r="GTB7" s="3407"/>
      <c r="GTC7" s="3407"/>
      <c r="GTD7" s="3407"/>
      <c r="GTE7" s="3407"/>
      <c r="GTF7" s="3407"/>
      <c r="GTG7" s="3407"/>
      <c r="GTH7" s="3407"/>
      <c r="GTI7" s="3407"/>
      <c r="GTJ7" s="3407"/>
      <c r="GTK7" s="3407"/>
      <c r="GTL7" s="3407"/>
      <c r="GTM7" s="3407"/>
      <c r="GTN7" s="3407"/>
      <c r="GTO7" s="3407"/>
      <c r="GTP7" s="3407"/>
      <c r="GTQ7" s="3407"/>
      <c r="GTR7" s="3407"/>
      <c r="GTS7" s="3407"/>
      <c r="GTT7" s="3407"/>
      <c r="GTU7" s="3407"/>
      <c r="GTV7" s="3407"/>
      <c r="GTW7" s="3407"/>
      <c r="GTX7" s="3407"/>
      <c r="GTY7" s="3407"/>
      <c r="GTZ7" s="3407"/>
      <c r="GUA7" s="3407"/>
      <c r="GUB7" s="3407"/>
      <c r="GUC7" s="3407"/>
      <c r="GUD7" s="3407"/>
      <c r="GUE7" s="3407"/>
      <c r="GUF7" s="3407"/>
      <c r="GUG7" s="3407"/>
      <c r="GUH7" s="3407"/>
      <c r="GUI7" s="3407"/>
      <c r="GUJ7" s="3407"/>
      <c r="GUK7" s="3407"/>
      <c r="GUL7" s="3407"/>
      <c r="GUM7" s="3407"/>
      <c r="GUN7" s="3407"/>
      <c r="GUO7" s="3407"/>
      <c r="GUP7" s="3407"/>
      <c r="GUQ7" s="3407"/>
      <c r="GUR7" s="3407"/>
      <c r="GUS7" s="3407"/>
      <c r="GUT7" s="3407"/>
      <c r="GUU7" s="3407"/>
      <c r="GUV7" s="3407"/>
      <c r="GUW7" s="3407"/>
      <c r="GUX7" s="3407"/>
      <c r="GUY7" s="3407"/>
      <c r="GUZ7" s="3407"/>
      <c r="GVA7" s="3407"/>
      <c r="GVB7" s="3407"/>
      <c r="GVC7" s="3407"/>
      <c r="GVD7" s="3407"/>
      <c r="GVE7" s="3407"/>
      <c r="GVF7" s="3407"/>
      <c r="GVG7" s="3407"/>
      <c r="GVH7" s="3407"/>
      <c r="GVI7" s="3407"/>
      <c r="GVJ7" s="3407"/>
      <c r="GVK7" s="3407"/>
      <c r="GVL7" s="3407"/>
      <c r="GVM7" s="3407"/>
      <c r="GVN7" s="3407"/>
      <c r="GVO7" s="3407"/>
      <c r="GVP7" s="3407"/>
      <c r="GVQ7" s="3407"/>
      <c r="GVR7" s="3407"/>
      <c r="GVS7" s="3407"/>
      <c r="GVT7" s="3407"/>
      <c r="GVU7" s="3407"/>
      <c r="GVV7" s="3407"/>
      <c r="GVW7" s="3407"/>
      <c r="GVX7" s="3407"/>
      <c r="GVY7" s="3407"/>
      <c r="GVZ7" s="3407"/>
      <c r="GWA7" s="3407"/>
      <c r="GWB7" s="3407"/>
      <c r="GWC7" s="3407"/>
      <c r="GWD7" s="3407"/>
      <c r="GWE7" s="3407"/>
      <c r="GWF7" s="3407"/>
      <c r="GWG7" s="3407"/>
      <c r="GWH7" s="3407"/>
      <c r="GWI7" s="3407"/>
      <c r="GWJ7" s="3407"/>
      <c r="GWK7" s="3407"/>
      <c r="GWL7" s="3407"/>
      <c r="GWM7" s="3407"/>
      <c r="GWN7" s="3407"/>
      <c r="GWO7" s="3407"/>
      <c r="GWP7" s="3407"/>
      <c r="GWQ7" s="3407"/>
      <c r="GWR7" s="3407"/>
      <c r="GWS7" s="3407"/>
      <c r="GWT7" s="3407"/>
      <c r="GWU7" s="3407"/>
      <c r="GWV7" s="3407"/>
      <c r="GWW7" s="3407"/>
      <c r="GWX7" s="3407"/>
      <c r="GWY7" s="3407"/>
      <c r="GWZ7" s="3407"/>
      <c r="GXA7" s="3407"/>
      <c r="GXB7" s="3407"/>
      <c r="GXC7" s="3407"/>
      <c r="GXD7" s="3407"/>
      <c r="GXE7" s="3407"/>
      <c r="GXF7" s="3407"/>
      <c r="GXG7" s="3407"/>
      <c r="GXH7" s="3407"/>
      <c r="GXI7" s="3407"/>
      <c r="GXJ7" s="3407"/>
      <c r="GXK7" s="3407"/>
      <c r="GXL7" s="3407"/>
      <c r="GXM7" s="3407"/>
      <c r="GXN7" s="3407"/>
      <c r="GXO7" s="3407"/>
      <c r="GXP7" s="3407"/>
      <c r="GXQ7" s="3407"/>
      <c r="GXR7" s="3407"/>
      <c r="GXS7" s="3407"/>
      <c r="GXT7" s="3407"/>
      <c r="GXU7" s="3407"/>
      <c r="GXV7" s="3407"/>
      <c r="GXW7" s="3407"/>
      <c r="GXX7" s="3407"/>
      <c r="GXY7" s="3407"/>
      <c r="GXZ7" s="3407"/>
      <c r="GYA7" s="3407"/>
      <c r="GYB7" s="3407"/>
      <c r="GYC7" s="3407"/>
      <c r="GYD7" s="3407"/>
      <c r="GYE7" s="3407"/>
      <c r="GYF7" s="3407"/>
      <c r="GYG7" s="3407"/>
      <c r="GYH7" s="3407"/>
      <c r="GYI7" s="3407"/>
      <c r="GYJ7" s="3407"/>
      <c r="GYK7" s="3407"/>
      <c r="GYL7" s="3407"/>
      <c r="GYM7" s="3407"/>
      <c r="GYN7" s="3407"/>
      <c r="GYO7" s="3407"/>
      <c r="GYP7" s="3407"/>
      <c r="GYQ7" s="3407"/>
      <c r="GYR7" s="3407"/>
      <c r="GYS7" s="3407"/>
      <c r="GYT7" s="3407"/>
      <c r="GYU7" s="3407"/>
      <c r="GYV7" s="3407"/>
      <c r="GYW7" s="3407"/>
      <c r="GYX7" s="3407"/>
      <c r="GYY7" s="3407"/>
      <c r="GYZ7" s="3407"/>
      <c r="GZA7" s="3407"/>
      <c r="GZB7" s="3407"/>
      <c r="GZC7" s="3407"/>
      <c r="GZD7" s="3407"/>
      <c r="GZE7" s="3407"/>
      <c r="GZF7" s="3407"/>
      <c r="GZG7" s="3407"/>
      <c r="GZH7" s="3407"/>
      <c r="GZI7" s="3407"/>
      <c r="GZJ7" s="3407"/>
      <c r="GZK7" s="3407"/>
      <c r="GZL7" s="3407"/>
      <c r="GZM7" s="3407"/>
      <c r="GZN7" s="3407"/>
      <c r="GZO7" s="3407"/>
      <c r="GZP7" s="3407"/>
      <c r="GZQ7" s="3407"/>
      <c r="GZR7" s="3407"/>
      <c r="GZS7" s="3407"/>
      <c r="GZT7" s="3407"/>
      <c r="GZU7" s="3407"/>
      <c r="GZV7" s="3407"/>
      <c r="GZW7" s="3407"/>
      <c r="GZX7" s="3407"/>
      <c r="GZY7" s="3407"/>
      <c r="GZZ7" s="3407"/>
      <c r="HAA7" s="3407"/>
      <c r="HAB7" s="3407"/>
      <c r="HAC7" s="3407"/>
      <c r="HAD7" s="3407"/>
      <c r="HAE7" s="3407"/>
      <c r="HAF7" s="3407"/>
      <c r="HAG7" s="3407"/>
      <c r="HAH7" s="3407"/>
      <c r="HAI7" s="3407"/>
      <c r="HAJ7" s="3407"/>
      <c r="HAK7" s="3407"/>
      <c r="HAL7" s="3407"/>
      <c r="HAM7" s="3407"/>
      <c r="HAN7" s="3407"/>
      <c r="HAO7" s="3407"/>
      <c r="HAP7" s="3407"/>
      <c r="HAQ7" s="3407"/>
      <c r="HAR7" s="3407"/>
      <c r="HAS7" s="3407"/>
      <c r="HAT7" s="3407"/>
      <c r="HAU7" s="3407"/>
      <c r="HAV7" s="3407"/>
      <c r="HAW7" s="3407"/>
      <c r="HAX7" s="3407"/>
      <c r="HAY7" s="3407"/>
      <c r="HAZ7" s="3407"/>
      <c r="HBA7" s="3407"/>
      <c r="HBB7" s="3407"/>
      <c r="HBC7" s="3407"/>
      <c r="HBD7" s="3407"/>
      <c r="HBE7" s="3407"/>
      <c r="HBF7" s="3407"/>
      <c r="HBG7" s="3407"/>
      <c r="HBH7" s="3407"/>
      <c r="HBI7" s="3407"/>
      <c r="HBJ7" s="3407"/>
      <c r="HBK7" s="3407"/>
      <c r="HBL7" s="3407"/>
      <c r="HBM7" s="3407"/>
      <c r="HBN7" s="3407"/>
      <c r="HBO7" s="3407"/>
      <c r="HBP7" s="3407"/>
      <c r="HBQ7" s="3407"/>
      <c r="HBR7" s="3407"/>
      <c r="HBS7" s="3407"/>
      <c r="HBT7" s="3407"/>
      <c r="HBU7" s="3407"/>
      <c r="HBV7" s="3407"/>
      <c r="HBW7" s="3407"/>
      <c r="HBX7" s="3407"/>
      <c r="HBY7" s="3407"/>
      <c r="HBZ7" s="3407"/>
      <c r="HCA7" s="3407"/>
      <c r="HCB7" s="3407"/>
      <c r="HCC7" s="3407"/>
      <c r="HCD7" s="3407"/>
      <c r="HCE7" s="3407"/>
      <c r="HCF7" s="3407"/>
      <c r="HCG7" s="3407"/>
      <c r="HCH7" s="3407"/>
      <c r="HCI7" s="3407"/>
      <c r="HCJ7" s="3407"/>
      <c r="HCK7" s="3407"/>
      <c r="HCL7" s="3407"/>
      <c r="HCM7" s="3407"/>
      <c r="HCN7" s="3407"/>
      <c r="HCO7" s="3407"/>
      <c r="HCP7" s="3407"/>
      <c r="HCQ7" s="3407"/>
      <c r="HCR7" s="3407"/>
      <c r="HCS7" s="3407"/>
      <c r="HCT7" s="3407"/>
      <c r="HCU7" s="3407"/>
      <c r="HCV7" s="3407"/>
      <c r="HCW7" s="3407"/>
      <c r="HCX7" s="3407"/>
      <c r="HCY7" s="3407"/>
      <c r="HCZ7" s="3407"/>
      <c r="HDA7" s="3407"/>
      <c r="HDB7" s="3407"/>
      <c r="HDC7" s="3407"/>
      <c r="HDD7" s="3407"/>
      <c r="HDE7" s="3407"/>
      <c r="HDF7" s="3407"/>
      <c r="HDG7" s="3407"/>
      <c r="HDH7" s="3407"/>
      <c r="HDI7" s="3407"/>
      <c r="HDJ7" s="3407"/>
      <c r="HDK7" s="3407"/>
      <c r="HDL7" s="3407"/>
      <c r="HDM7" s="3407"/>
      <c r="HDN7" s="3407"/>
      <c r="HDO7" s="3407"/>
      <c r="HDP7" s="3407"/>
      <c r="HDQ7" s="3407"/>
      <c r="HDR7" s="3407"/>
      <c r="HDS7" s="3407"/>
      <c r="HDT7" s="3407"/>
      <c r="HDU7" s="3407"/>
      <c r="HDV7" s="3407"/>
      <c r="HDW7" s="3407"/>
      <c r="HDX7" s="3407"/>
      <c r="HDY7" s="3407"/>
      <c r="HDZ7" s="3407"/>
      <c r="HEA7" s="3407"/>
      <c r="HEB7" s="3407"/>
      <c r="HEC7" s="3407"/>
      <c r="HED7" s="3407"/>
      <c r="HEE7" s="3407"/>
      <c r="HEF7" s="3407"/>
      <c r="HEG7" s="3407"/>
      <c r="HEH7" s="3407"/>
      <c r="HEI7" s="3407"/>
      <c r="HEJ7" s="3407"/>
      <c r="HEK7" s="3407"/>
      <c r="HEL7" s="3407"/>
      <c r="HEM7" s="3407"/>
      <c r="HEN7" s="3407"/>
      <c r="HEO7" s="3407"/>
      <c r="HEP7" s="3407"/>
      <c r="HEQ7" s="3407"/>
      <c r="HER7" s="3407"/>
      <c r="HES7" s="3407"/>
      <c r="HET7" s="3407"/>
      <c r="HEU7" s="3407"/>
      <c r="HEV7" s="3407"/>
      <c r="HEW7" s="3407"/>
      <c r="HEX7" s="3407"/>
      <c r="HEY7" s="3407"/>
      <c r="HEZ7" s="3407"/>
      <c r="HFA7" s="3407"/>
      <c r="HFB7" s="3407"/>
      <c r="HFC7" s="3407"/>
      <c r="HFD7" s="3407"/>
      <c r="HFE7" s="3407"/>
      <c r="HFF7" s="3407"/>
      <c r="HFG7" s="3407"/>
      <c r="HFH7" s="3407"/>
      <c r="HFI7" s="3407"/>
      <c r="HFJ7" s="3407"/>
      <c r="HFK7" s="3407"/>
      <c r="HFL7" s="3407"/>
      <c r="HFM7" s="3407"/>
      <c r="HFN7" s="3407"/>
      <c r="HFO7" s="3407"/>
      <c r="HFP7" s="3407"/>
      <c r="HFQ7" s="3407"/>
      <c r="HFR7" s="3407"/>
      <c r="HFS7" s="3407"/>
      <c r="HFT7" s="3407"/>
      <c r="HFU7" s="3407"/>
      <c r="HFV7" s="3407"/>
      <c r="HFW7" s="3407"/>
      <c r="HFX7" s="3407"/>
      <c r="HFY7" s="3407"/>
      <c r="HFZ7" s="3407"/>
      <c r="HGA7" s="3407"/>
      <c r="HGB7" s="3407"/>
      <c r="HGC7" s="3407"/>
      <c r="HGD7" s="3407"/>
      <c r="HGE7" s="3407"/>
      <c r="HGF7" s="3407"/>
      <c r="HGG7" s="3407"/>
      <c r="HGH7" s="3407"/>
      <c r="HGI7" s="3407"/>
      <c r="HGJ7" s="3407"/>
      <c r="HGK7" s="3407"/>
      <c r="HGL7" s="3407"/>
      <c r="HGM7" s="3407"/>
      <c r="HGN7" s="3407"/>
      <c r="HGO7" s="3407"/>
      <c r="HGP7" s="3407"/>
      <c r="HGQ7" s="3407"/>
      <c r="HGR7" s="3407"/>
      <c r="HGS7" s="3407"/>
      <c r="HGT7" s="3407"/>
      <c r="HGU7" s="3407"/>
      <c r="HGV7" s="3407"/>
      <c r="HGW7" s="3407"/>
      <c r="HGX7" s="3407"/>
      <c r="HGY7" s="3407"/>
      <c r="HGZ7" s="3407"/>
      <c r="HHA7" s="3407"/>
      <c r="HHB7" s="3407"/>
      <c r="HHC7" s="3407"/>
      <c r="HHD7" s="3407"/>
      <c r="HHE7" s="3407"/>
      <c r="HHF7" s="3407"/>
      <c r="HHG7" s="3407"/>
      <c r="HHH7" s="3407"/>
      <c r="HHI7" s="3407"/>
      <c r="HHJ7" s="3407"/>
      <c r="HHK7" s="3407"/>
      <c r="HHL7" s="3407"/>
      <c r="HHM7" s="3407"/>
      <c r="HHN7" s="3407"/>
      <c r="HHO7" s="3407"/>
      <c r="HHP7" s="3407"/>
      <c r="HHQ7" s="3407"/>
      <c r="HHR7" s="3407"/>
      <c r="HHS7" s="3407"/>
      <c r="HHT7" s="3407"/>
      <c r="HHU7" s="3407"/>
      <c r="HHV7" s="3407"/>
      <c r="HHW7" s="3407"/>
      <c r="HHX7" s="3407"/>
      <c r="HHY7" s="3407"/>
      <c r="HHZ7" s="3407"/>
      <c r="HIA7" s="3407"/>
      <c r="HIB7" s="3407"/>
      <c r="HIC7" s="3407"/>
      <c r="HID7" s="3407"/>
      <c r="HIE7" s="3407"/>
      <c r="HIF7" s="3407"/>
      <c r="HIG7" s="3407"/>
      <c r="HIH7" s="3407"/>
      <c r="HII7" s="3407"/>
      <c r="HIJ7" s="3407"/>
      <c r="HIK7" s="3407"/>
      <c r="HIL7" s="3407"/>
      <c r="HIM7" s="3407"/>
      <c r="HIN7" s="3407"/>
      <c r="HIO7" s="3407"/>
      <c r="HIP7" s="3407"/>
      <c r="HIQ7" s="3407"/>
      <c r="HIR7" s="3407"/>
      <c r="HIS7" s="3407"/>
      <c r="HIT7" s="3407"/>
      <c r="HIU7" s="3407"/>
      <c r="HIV7" s="3407"/>
      <c r="HIW7" s="3407"/>
      <c r="HIX7" s="3407"/>
      <c r="HIY7" s="3407"/>
      <c r="HIZ7" s="3407"/>
      <c r="HJA7" s="3407"/>
      <c r="HJB7" s="3407"/>
      <c r="HJC7" s="3407"/>
      <c r="HJD7" s="3407"/>
      <c r="HJE7" s="3407"/>
      <c r="HJF7" s="3407"/>
      <c r="HJG7" s="3407"/>
      <c r="HJH7" s="3407"/>
      <c r="HJI7" s="3407"/>
      <c r="HJJ7" s="3407"/>
      <c r="HJK7" s="3407"/>
      <c r="HJL7" s="3407"/>
      <c r="HJM7" s="3407"/>
      <c r="HJN7" s="3407"/>
      <c r="HJO7" s="3407"/>
      <c r="HJP7" s="3407"/>
      <c r="HJQ7" s="3407"/>
      <c r="HJR7" s="3407"/>
      <c r="HJS7" s="3407"/>
      <c r="HJT7" s="3407"/>
      <c r="HJU7" s="3407"/>
      <c r="HJV7" s="3407"/>
      <c r="HJW7" s="3407"/>
      <c r="HJX7" s="3407"/>
      <c r="HJY7" s="3407"/>
      <c r="HJZ7" s="3407"/>
      <c r="HKA7" s="3407"/>
      <c r="HKB7" s="3407"/>
      <c r="HKC7" s="3407"/>
      <c r="HKD7" s="3407"/>
      <c r="HKE7" s="3407"/>
      <c r="HKF7" s="3407"/>
      <c r="HKG7" s="3407"/>
      <c r="HKH7" s="3407"/>
      <c r="HKI7" s="3407"/>
      <c r="HKJ7" s="3407"/>
      <c r="HKK7" s="3407"/>
      <c r="HKL7" s="3407"/>
      <c r="HKM7" s="3407"/>
      <c r="HKN7" s="3407"/>
      <c r="HKO7" s="3407"/>
      <c r="HKP7" s="3407"/>
      <c r="HKQ7" s="3407"/>
      <c r="HKR7" s="3407"/>
      <c r="HKS7" s="3407"/>
      <c r="HKT7" s="3407"/>
      <c r="HKU7" s="3407"/>
      <c r="HKV7" s="3407"/>
      <c r="HKW7" s="3407"/>
      <c r="HKX7" s="3407"/>
      <c r="HKY7" s="3407"/>
      <c r="HKZ7" s="3407"/>
      <c r="HLA7" s="3407"/>
      <c r="HLB7" s="3407"/>
      <c r="HLC7" s="3407"/>
      <c r="HLD7" s="3407"/>
      <c r="HLE7" s="3407"/>
      <c r="HLF7" s="3407"/>
      <c r="HLG7" s="3407"/>
      <c r="HLH7" s="3407"/>
      <c r="HLI7" s="3407"/>
      <c r="HLJ7" s="3407"/>
      <c r="HLK7" s="3407"/>
      <c r="HLL7" s="3407"/>
      <c r="HLM7" s="3407"/>
      <c r="HLN7" s="3407"/>
      <c r="HLO7" s="3407"/>
      <c r="HLP7" s="3407"/>
      <c r="HLQ7" s="3407"/>
      <c r="HLR7" s="3407"/>
      <c r="HLS7" s="3407"/>
      <c r="HLT7" s="3407"/>
      <c r="HLU7" s="3407"/>
      <c r="HLV7" s="3407"/>
      <c r="HLW7" s="3407"/>
      <c r="HLX7" s="3407"/>
      <c r="HLY7" s="3407"/>
      <c r="HLZ7" s="3407"/>
      <c r="HMA7" s="3407"/>
      <c r="HMB7" s="3407"/>
      <c r="HMC7" s="3407"/>
      <c r="HMD7" s="3407"/>
      <c r="HME7" s="3407"/>
      <c r="HMF7" s="3407"/>
      <c r="HMG7" s="3407"/>
      <c r="HMH7" s="3407"/>
      <c r="HMI7" s="3407"/>
      <c r="HMJ7" s="3407"/>
      <c r="HMK7" s="3407"/>
      <c r="HML7" s="3407"/>
      <c r="HMM7" s="3407"/>
      <c r="HMN7" s="3407"/>
      <c r="HMO7" s="3407"/>
      <c r="HMP7" s="3407"/>
      <c r="HMQ7" s="3407"/>
      <c r="HMR7" s="3407"/>
      <c r="HMS7" s="3407"/>
      <c r="HMT7" s="3407"/>
      <c r="HMU7" s="3407"/>
      <c r="HMV7" s="3407"/>
      <c r="HMW7" s="3407"/>
      <c r="HMX7" s="3407"/>
      <c r="HMY7" s="3407"/>
      <c r="HMZ7" s="3407"/>
      <c r="HNA7" s="3407"/>
      <c r="HNB7" s="3407"/>
      <c r="HNC7" s="3407"/>
      <c r="HND7" s="3407"/>
      <c r="HNE7" s="3407"/>
      <c r="HNF7" s="3407"/>
      <c r="HNG7" s="3407"/>
      <c r="HNH7" s="3407"/>
      <c r="HNI7" s="3407"/>
      <c r="HNJ7" s="3407"/>
      <c r="HNK7" s="3407"/>
      <c r="HNL7" s="3407"/>
      <c r="HNM7" s="3407"/>
      <c r="HNN7" s="3407"/>
      <c r="HNO7" s="3407"/>
      <c r="HNP7" s="3407"/>
      <c r="HNQ7" s="3407"/>
      <c r="HNR7" s="3407"/>
      <c r="HNS7" s="3407"/>
      <c r="HNT7" s="3407"/>
      <c r="HNU7" s="3407"/>
      <c r="HNV7" s="3407"/>
      <c r="HNW7" s="3407"/>
      <c r="HNX7" s="3407"/>
      <c r="HNY7" s="3407"/>
      <c r="HNZ7" s="3407"/>
      <c r="HOA7" s="3407"/>
      <c r="HOB7" s="3407"/>
      <c r="HOC7" s="3407"/>
      <c r="HOD7" s="3407"/>
      <c r="HOE7" s="3407"/>
      <c r="HOF7" s="3407"/>
      <c r="HOG7" s="3407"/>
      <c r="HOH7" s="3407"/>
      <c r="HOI7" s="3407"/>
      <c r="HOJ7" s="3407"/>
      <c r="HOK7" s="3407"/>
      <c r="HOL7" s="3407"/>
      <c r="HOM7" s="3407"/>
      <c r="HON7" s="3407"/>
      <c r="HOO7" s="3407"/>
      <c r="HOP7" s="3407"/>
      <c r="HOQ7" s="3407"/>
      <c r="HOR7" s="3407"/>
      <c r="HOS7" s="3407"/>
      <c r="HOT7" s="3407"/>
      <c r="HOU7" s="3407"/>
      <c r="HOV7" s="3407"/>
      <c r="HOW7" s="3407"/>
      <c r="HOX7" s="3407"/>
      <c r="HOY7" s="3407"/>
      <c r="HOZ7" s="3407"/>
      <c r="HPA7" s="3407"/>
      <c r="HPB7" s="3407"/>
      <c r="HPC7" s="3407"/>
      <c r="HPD7" s="3407"/>
      <c r="HPE7" s="3407"/>
      <c r="HPF7" s="3407"/>
      <c r="HPG7" s="3407"/>
      <c r="HPH7" s="3407"/>
      <c r="HPI7" s="3407"/>
      <c r="HPJ7" s="3407"/>
      <c r="HPK7" s="3407"/>
      <c r="HPL7" s="3407"/>
      <c r="HPM7" s="3407"/>
      <c r="HPN7" s="3407"/>
      <c r="HPO7" s="3407"/>
      <c r="HPP7" s="3407"/>
      <c r="HPQ7" s="3407"/>
      <c r="HPR7" s="3407"/>
      <c r="HPS7" s="3407"/>
      <c r="HPT7" s="3407"/>
      <c r="HPU7" s="3407"/>
      <c r="HPV7" s="3407"/>
      <c r="HPW7" s="3407"/>
      <c r="HPX7" s="3407"/>
      <c r="HPY7" s="3407"/>
      <c r="HPZ7" s="3407"/>
      <c r="HQA7" s="3407"/>
      <c r="HQB7" s="3407"/>
      <c r="HQC7" s="3407"/>
      <c r="HQD7" s="3407"/>
      <c r="HQE7" s="3407"/>
      <c r="HQF7" s="3407"/>
      <c r="HQG7" s="3407"/>
      <c r="HQH7" s="3407"/>
      <c r="HQI7" s="3407"/>
      <c r="HQJ7" s="3407"/>
      <c r="HQK7" s="3407"/>
      <c r="HQL7" s="3407"/>
      <c r="HQM7" s="3407"/>
      <c r="HQN7" s="3407"/>
      <c r="HQO7" s="3407"/>
      <c r="HQP7" s="3407"/>
      <c r="HQQ7" s="3407"/>
      <c r="HQR7" s="3407"/>
      <c r="HQS7" s="3407"/>
      <c r="HQT7" s="3407"/>
      <c r="HQU7" s="3407"/>
      <c r="HQV7" s="3407"/>
      <c r="HQW7" s="3407"/>
      <c r="HQX7" s="3407"/>
      <c r="HQY7" s="3407"/>
      <c r="HQZ7" s="3407"/>
      <c r="HRA7" s="3407"/>
      <c r="HRB7" s="3407"/>
      <c r="HRC7" s="3407"/>
      <c r="HRD7" s="3407"/>
      <c r="HRE7" s="3407"/>
      <c r="HRF7" s="3407"/>
      <c r="HRG7" s="3407"/>
      <c r="HRH7" s="3407"/>
      <c r="HRI7" s="3407"/>
      <c r="HRJ7" s="3407"/>
      <c r="HRK7" s="3407"/>
      <c r="HRL7" s="3407"/>
      <c r="HRM7" s="3407"/>
      <c r="HRN7" s="3407"/>
      <c r="HRO7" s="3407"/>
      <c r="HRP7" s="3407"/>
      <c r="HRQ7" s="3407"/>
      <c r="HRR7" s="3407"/>
      <c r="HRS7" s="3407"/>
      <c r="HRT7" s="3407"/>
      <c r="HRU7" s="3407"/>
      <c r="HRV7" s="3407"/>
      <c r="HRW7" s="3407"/>
      <c r="HRX7" s="3407"/>
      <c r="HRY7" s="3407"/>
      <c r="HRZ7" s="3407"/>
      <c r="HSA7" s="3407"/>
      <c r="HSB7" s="3407"/>
      <c r="HSC7" s="3407"/>
      <c r="HSD7" s="3407"/>
      <c r="HSE7" s="3407"/>
      <c r="HSF7" s="3407"/>
      <c r="HSG7" s="3407"/>
      <c r="HSH7" s="3407"/>
      <c r="HSI7" s="3407"/>
      <c r="HSJ7" s="3407"/>
      <c r="HSK7" s="3407"/>
      <c r="HSL7" s="3407"/>
      <c r="HSM7" s="3407"/>
      <c r="HSN7" s="3407"/>
      <c r="HSO7" s="3407"/>
      <c r="HSP7" s="3407"/>
      <c r="HSQ7" s="3407"/>
      <c r="HSR7" s="3407"/>
      <c r="HSS7" s="3407"/>
      <c r="HST7" s="3407"/>
      <c r="HSU7" s="3407"/>
      <c r="HSV7" s="3407"/>
      <c r="HSW7" s="3407"/>
      <c r="HSX7" s="3407"/>
      <c r="HSY7" s="3407"/>
      <c r="HSZ7" s="3407"/>
      <c r="HTA7" s="3407"/>
      <c r="HTB7" s="3407"/>
      <c r="HTC7" s="3407"/>
      <c r="HTD7" s="3407"/>
      <c r="HTE7" s="3407"/>
      <c r="HTF7" s="3407"/>
      <c r="HTG7" s="3407"/>
      <c r="HTH7" s="3407"/>
      <c r="HTI7" s="3407"/>
      <c r="HTJ7" s="3407"/>
      <c r="HTK7" s="3407"/>
      <c r="HTL7" s="3407"/>
      <c r="HTM7" s="3407"/>
      <c r="HTN7" s="3407"/>
      <c r="HTO7" s="3407"/>
      <c r="HTP7" s="3407"/>
      <c r="HTQ7" s="3407"/>
      <c r="HTR7" s="3407"/>
      <c r="HTS7" s="3407"/>
      <c r="HTT7" s="3407"/>
      <c r="HTU7" s="3407"/>
      <c r="HTV7" s="3407"/>
      <c r="HTW7" s="3407"/>
      <c r="HTX7" s="3407"/>
      <c r="HTY7" s="3407"/>
      <c r="HTZ7" s="3407"/>
      <c r="HUA7" s="3407"/>
      <c r="HUB7" s="3407"/>
      <c r="HUC7" s="3407"/>
      <c r="HUD7" s="3407"/>
      <c r="HUE7" s="3407"/>
      <c r="HUF7" s="3407"/>
      <c r="HUG7" s="3407"/>
      <c r="HUH7" s="3407"/>
      <c r="HUI7" s="3407"/>
      <c r="HUJ7" s="3407"/>
      <c r="HUK7" s="3407"/>
      <c r="HUL7" s="3407"/>
      <c r="HUM7" s="3407"/>
      <c r="HUN7" s="3407"/>
      <c r="HUO7" s="3407"/>
      <c r="HUP7" s="3407"/>
      <c r="HUQ7" s="3407"/>
      <c r="HUR7" s="3407"/>
      <c r="HUS7" s="3407"/>
      <c r="HUT7" s="3407"/>
      <c r="HUU7" s="3407"/>
      <c r="HUV7" s="3407"/>
      <c r="HUW7" s="3407"/>
      <c r="HUX7" s="3407"/>
      <c r="HUY7" s="3407"/>
      <c r="HUZ7" s="3407"/>
      <c r="HVA7" s="3407"/>
      <c r="HVB7" s="3407"/>
      <c r="HVC7" s="3407"/>
      <c r="HVD7" s="3407"/>
      <c r="HVE7" s="3407"/>
      <c r="HVF7" s="3407"/>
      <c r="HVG7" s="3407"/>
      <c r="HVH7" s="3407"/>
      <c r="HVI7" s="3407"/>
      <c r="HVJ7" s="3407"/>
      <c r="HVK7" s="3407"/>
      <c r="HVL7" s="3407"/>
      <c r="HVM7" s="3407"/>
      <c r="HVN7" s="3407"/>
      <c r="HVO7" s="3407"/>
      <c r="HVP7" s="3407"/>
      <c r="HVQ7" s="3407"/>
      <c r="HVR7" s="3407"/>
      <c r="HVS7" s="3407"/>
      <c r="HVT7" s="3407"/>
      <c r="HVU7" s="3407"/>
      <c r="HVV7" s="3407"/>
      <c r="HVW7" s="3407"/>
      <c r="HVX7" s="3407"/>
      <c r="HVY7" s="3407"/>
      <c r="HVZ7" s="3407"/>
      <c r="HWA7" s="3407"/>
      <c r="HWB7" s="3407"/>
      <c r="HWC7" s="3407"/>
      <c r="HWD7" s="3407"/>
      <c r="HWE7" s="3407"/>
      <c r="HWF7" s="3407"/>
      <c r="HWG7" s="3407"/>
      <c r="HWH7" s="3407"/>
      <c r="HWI7" s="3407"/>
      <c r="HWJ7" s="3407"/>
      <c r="HWK7" s="3407"/>
      <c r="HWL7" s="3407"/>
      <c r="HWM7" s="3407"/>
      <c r="HWN7" s="3407"/>
      <c r="HWO7" s="3407"/>
      <c r="HWP7" s="3407"/>
      <c r="HWQ7" s="3407"/>
      <c r="HWR7" s="3407"/>
      <c r="HWS7" s="3407"/>
      <c r="HWT7" s="3407"/>
      <c r="HWU7" s="3407"/>
      <c r="HWV7" s="3407"/>
      <c r="HWW7" s="3407"/>
      <c r="HWX7" s="3407"/>
      <c r="HWY7" s="3407"/>
      <c r="HWZ7" s="3407"/>
      <c r="HXA7" s="3407"/>
      <c r="HXB7" s="3407"/>
      <c r="HXC7" s="3407"/>
      <c r="HXD7" s="3407"/>
      <c r="HXE7" s="3407"/>
      <c r="HXF7" s="3407"/>
      <c r="HXG7" s="3407"/>
      <c r="HXH7" s="3407"/>
      <c r="HXI7" s="3407"/>
      <c r="HXJ7" s="3407"/>
      <c r="HXK7" s="3407"/>
      <c r="HXL7" s="3407"/>
      <c r="HXM7" s="3407"/>
      <c r="HXN7" s="3407"/>
      <c r="HXO7" s="3407"/>
      <c r="HXP7" s="3407"/>
      <c r="HXQ7" s="3407"/>
      <c r="HXR7" s="3407"/>
      <c r="HXS7" s="3407"/>
      <c r="HXT7" s="3407"/>
      <c r="HXU7" s="3407"/>
      <c r="HXV7" s="3407"/>
      <c r="HXW7" s="3407"/>
      <c r="HXX7" s="3407"/>
      <c r="HXY7" s="3407"/>
      <c r="HXZ7" s="3407"/>
      <c r="HYA7" s="3407"/>
      <c r="HYB7" s="3407"/>
      <c r="HYC7" s="3407"/>
      <c r="HYD7" s="3407"/>
      <c r="HYE7" s="3407"/>
      <c r="HYF7" s="3407"/>
      <c r="HYG7" s="3407"/>
      <c r="HYH7" s="3407"/>
      <c r="HYI7" s="3407"/>
      <c r="HYJ7" s="3407"/>
      <c r="HYK7" s="3407"/>
      <c r="HYL7" s="3407"/>
      <c r="HYM7" s="3407"/>
      <c r="HYN7" s="3407"/>
      <c r="HYO7" s="3407"/>
      <c r="HYP7" s="3407"/>
      <c r="HYQ7" s="3407"/>
      <c r="HYR7" s="3407"/>
      <c r="HYS7" s="3407"/>
      <c r="HYT7" s="3407"/>
      <c r="HYU7" s="3407"/>
      <c r="HYV7" s="3407"/>
      <c r="HYW7" s="3407"/>
      <c r="HYX7" s="3407"/>
      <c r="HYY7" s="3407"/>
      <c r="HYZ7" s="3407"/>
      <c r="HZA7" s="3407"/>
      <c r="HZB7" s="3407"/>
      <c r="HZC7" s="3407"/>
      <c r="HZD7" s="3407"/>
      <c r="HZE7" s="3407"/>
      <c r="HZF7" s="3407"/>
      <c r="HZG7" s="3407"/>
      <c r="HZH7" s="3407"/>
      <c r="HZI7" s="3407"/>
      <c r="HZJ7" s="3407"/>
      <c r="HZK7" s="3407"/>
      <c r="HZL7" s="3407"/>
      <c r="HZM7" s="3407"/>
      <c r="HZN7" s="3407"/>
      <c r="HZO7" s="3407"/>
      <c r="HZP7" s="3407"/>
      <c r="HZQ7" s="3407"/>
      <c r="HZR7" s="3407"/>
      <c r="HZS7" s="3407"/>
      <c r="HZT7" s="3407"/>
      <c r="HZU7" s="3407"/>
      <c r="HZV7" s="3407"/>
      <c r="HZW7" s="3407"/>
      <c r="HZX7" s="3407"/>
      <c r="HZY7" s="3407"/>
      <c r="HZZ7" s="3407"/>
      <c r="IAA7" s="3407"/>
      <c r="IAB7" s="3407"/>
      <c r="IAC7" s="3407"/>
      <c r="IAD7" s="3407"/>
      <c r="IAE7" s="3407"/>
      <c r="IAF7" s="3407"/>
      <c r="IAG7" s="3407"/>
      <c r="IAH7" s="3407"/>
      <c r="IAI7" s="3407"/>
      <c r="IAJ7" s="3407"/>
      <c r="IAK7" s="3407"/>
      <c r="IAL7" s="3407"/>
      <c r="IAM7" s="3407"/>
      <c r="IAN7" s="3407"/>
      <c r="IAO7" s="3407"/>
      <c r="IAP7" s="3407"/>
      <c r="IAQ7" s="3407"/>
      <c r="IAR7" s="3407"/>
      <c r="IAS7" s="3407"/>
      <c r="IAT7" s="3407"/>
      <c r="IAU7" s="3407"/>
      <c r="IAV7" s="3407"/>
      <c r="IAW7" s="3407"/>
      <c r="IAX7" s="3407"/>
      <c r="IAY7" s="3407"/>
      <c r="IAZ7" s="3407"/>
      <c r="IBA7" s="3407"/>
      <c r="IBB7" s="3407"/>
      <c r="IBC7" s="3407"/>
      <c r="IBD7" s="3407"/>
      <c r="IBE7" s="3407"/>
      <c r="IBF7" s="3407"/>
      <c r="IBG7" s="3407"/>
      <c r="IBH7" s="3407"/>
      <c r="IBI7" s="3407"/>
      <c r="IBJ7" s="3407"/>
      <c r="IBK7" s="3407"/>
      <c r="IBL7" s="3407"/>
      <c r="IBM7" s="3407"/>
      <c r="IBN7" s="3407"/>
      <c r="IBO7" s="3407"/>
      <c r="IBP7" s="3407"/>
      <c r="IBQ7" s="3407"/>
      <c r="IBR7" s="3407"/>
      <c r="IBS7" s="3407"/>
      <c r="IBT7" s="3407"/>
      <c r="IBU7" s="3407"/>
      <c r="IBV7" s="3407"/>
      <c r="IBW7" s="3407"/>
      <c r="IBX7" s="3407"/>
      <c r="IBY7" s="3407"/>
      <c r="IBZ7" s="3407"/>
      <c r="ICA7" s="3407"/>
      <c r="ICB7" s="3407"/>
      <c r="ICC7" s="3407"/>
      <c r="ICD7" s="3407"/>
      <c r="ICE7" s="3407"/>
      <c r="ICF7" s="3407"/>
      <c r="ICG7" s="3407"/>
      <c r="ICH7" s="3407"/>
      <c r="ICI7" s="3407"/>
      <c r="ICJ7" s="3407"/>
      <c r="ICK7" s="3407"/>
      <c r="ICL7" s="3407"/>
      <c r="ICM7" s="3407"/>
      <c r="ICN7" s="3407"/>
      <c r="ICO7" s="3407"/>
      <c r="ICP7" s="3407"/>
      <c r="ICQ7" s="3407"/>
      <c r="ICR7" s="3407"/>
      <c r="ICS7" s="3407"/>
      <c r="ICT7" s="3407"/>
      <c r="ICU7" s="3407"/>
      <c r="ICV7" s="3407"/>
      <c r="ICW7" s="3407"/>
      <c r="ICX7" s="3407"/>
      <c r="ICY7" s="3407"/>
      <c r="ICZ7" s="3407"/>
      <c r="IDA7" s="3407"/>
      <c r="IDB7" s="3407"/>
      <c r="IDC7" s="3407"/>
      <c r="IDD7" s="3407"/>
      <c r="IDE7" s="3407"/>
      <c r="IDF7" s="3407"/>
      <c r="IDG7" s="3407"/>
      <c r="IDH7" s="3407"/>
      <c r="IDI7" s="3407"/>
      <c r="IDJ7" s="3407"/>
      <c r="IDK7" s="3407"/>
      <c r="IDL7" s="3407"/>
      <c r="IDM7" s="3407"/>
      <c r="IDN7" s="3407"/>
      <c r="IDO7" s="3407"/>
      <c r="IDP7" s="3407"/>
      <c r="IDQ7" s="3407"/>
      <c r="IDR7" s="3407"/>
      <c r="IDS7" s="3407"/>
      <c r="IDT7" s="3407"/>
      <c r="IDU7" s="3407"/>
      <c r="IDV7" s="3407"/>
      <c r="IDW7" s="3407"/>
      <c r="IDX7" s="3407"/>
      <c r="IDY7" s="3407"/>
      <c r="IDZ7" s="3407"/>
      <c r="IEA7" s="3407"/>
      <c r="IEB7" s="3407"/>
      <c r="IEC7" s="3407"/>
      <c r="IED7" s="3407"/>
      <c r="IEE7" s="3407"/>
      <c r="IEF7" s="3407"/>
      <c r="IEG7" s="3407"/>
      <c r="IEH7" s="3407"/>
      <c r="IEI7" s="3407"/>
      <c r="IEJ7" s="3407"/>
      <c r="IEK7" s="3407"/>
      <c r="IEL7" s="3407"/>
      <c r="IEM7" s="3407"/>
      <c r="IEN7" s="3407"/>
      <c r="IEO7" s="3407"/>
      <c r="IEP7" s="3407"/>
      <c r="IEQ7" s="3407"/>
      <c r="IER7" s="3407"/>
      <c r="IES7" s="3407"/>
      <c r="IET7" s="3407"/>
      <c r="IEU7" s="3407"/>
      <c r="IEV7" s="3407"/>
      <c r="IEW7" s="3407"/>
      <c r="IEX7" s="3407"/>
      <c r="IEY7" s="3407"/>
      <c r="IEZ7" s="3407"/>
      <c r="IFA7" s="3407"/>
      <c r="IFB7" s="3407"/>
      <c r="IFC7" s="3407"/>
      <c r="IFD7" s="3407"/>
      <c r="IFE7" s="3407"/>
      <c r="IFF7" s="3407"/>
      <c r="IFG7" s="3407"/>
      <c r="IFH7" s="3407"/>
      <c r="IFI7" s="3407"/>
      <c r="IFJ7" s="3407"/>
      <c r="IFK7" s="3407"/>
      <c r="IFL7" s="3407"/>
      <c r="IFM7" s="3407"/>
      <c r="IFN7" s="3407"/>
      <c r="IFO7" s="3407"/>
      <c r="IFP7" s="3407"/>
      <c r="IFQ7" s="3407"/>
      <c r="IFR7" s="3407"/>
      <c r="IFS7" s="3407"/>
      <c r="IFT7" s="3407"/>
      <c r="IFU7" s="3407"/>
      <c r="IFV7" s="3407"/>
      <c r="IFW7" s="3407"/>
      <c r="IFX7" s="3407"/>
      <c r="IFY7" s="3407"/>
      <c r="IFZ7" s="3407"/>
      <c r="IGA7" s="3407"/>
      <c r="IGB7" s="3407"/>
      <c r="IGC7" s="3407"/>
      <c r="IGD7" s="3407"/>
      <c r="IGE7" s="3407"/>
      <c r="IGF7" s="3407"/>
      <c r="IGG7" s="3407"/>
      <c r="IGH7" s="3407"/>
      <c r="IGI7" s="3407"/>
      <c r="IGJ7" s="3407"/>
      <c r="IGK7" s="3407"/>
      <c r="IGL7" s="3407"/>
      <c r="IGM7" s="3407"/>
      <c r="IGN7" s="3407"/>
      <c r="IGO7" s="3407"/>
      <c r="IGP7" s="3407"/>
      <c r="IGQ7" s="3407"/>
      <c r="IGR7" s="3407"/>
      <c r="IGS7" s="3407"/>
      <c r="IGT7" s="3407"/>
      <c r="IGU7" s="3407"/>
      <c r="IGV7" s="3407"/>
      <c r="IGW7" s="3407"/>
      <c r="IGX7" s="3407"/>
      <c r="IGY7" s="3407"/>
      <c r="IGZ7" s="3407"/>
      <c r="IHA7" s="3407"/>
      <c r="IHB7" s="3407"/>
      <c r="IHC7" s="3407"/>
      <c r="IHD7" s="3407"/>
      <c r="IHE7" s="3407"/>
      <c r="IHF7" s="3407"/>
      <c r="IHG7" s="3407"/>
      <c r="IHH7" s="3407"/>
      <c r="IHI7" s="3407"/>
      <c r="IHJ7" s="3407"/>
      <c r="IHK7" s="3407"/>
      <c r="IHL7" s="3407"/>
      <c r="IHM7" s="3407"/>
      <c r="IHN7" s="3407"/>
      <c r="IHO7" s="3407"/>
      <c r="IHP7" s="3407"/>
      <c r="IHQ7" s="3407"/>
      <c r="IHR7" s="3407"/>
      <c r="IHS7" s="3407"/>
      <c r="IHT7" s="3407"/>
      <c r="IHU7" s="3407"/>
      <c r="IHV7" s="3407"/>
      <c r="IHW7" s="3407"/>
      <c r="IHX7" s="3407"/>
      <c r="IHY7" s="3407"/>
      <c r="IHZ7" s="3407"/>
      <c r="IIA7" s="3407"/>
      <c r="IIB7" s="3407"/>
      <c r="IIC7" s="3407"/>
      <c r="IID7" s="3407"/>
      <c r="IIE7" s="3407"/>
      <c r="IIF7" s="3407"/>
      <c r="IIG7" s="3407"/>
      <c r="IIH7" s="3407"/>
      <c r="III7" s="3407"/>
      <c r="IIJ7" s="3407"/>
      <c r="IIK7" s="3407"/>
      <c r="IIL7" s="3407"/>
      <c r="IIM7" s="3407"/>
      <c r="IIN7" s="3407"/>
      <c r="IIO7" s="3407"/>
      <c r="IIP7" s="3407"/>
      <c r="IIQ7" s="3407"/>
      <c r="IIR7" s="3407"/>
      <c r="IIS7" s="3407"/>
      <c r="IIT7" s="3407"/>
      <c r="IIU7" s="3407"/>
      <c r="IIV7" s="3407"/>
      <c r="IIW7" s="3407"/>
      <c r="IIX7" s="3407"/>
      <c r="IIY7" s="3407"/>
      <c r="IIZ7" s="3407"/>
      <c r="IJA7" s="3407"/>
      <c r="IJB7" s="3407"/>
      <c r="IJC7" s="3407"/>
      <c r="IJD7" s="3407"/>
      <c r="IJE7" s="3407"/>
      <c r="IJF7" s="3407"/>
      <c r="IJG7" s="3407"/>
      <c r="IJH7" s="3407"/>
      <c r="IJI7" s="3407"/>
      <c r="IJJ7" s="3407"/>
      <c r="IJK7" s="3407"/>
      <c r="IJL7" s="3407"/>
      <c r="IJM7" s="3407"/>
      <c r="IJN7" s="3407"/>
      <c r="IJO7" s="3407"/>
      <c r="IJP7" s="3407"/>
      <c r="IJQ7" s="3407"/>
      <c r="IJR7" s="3407"/>
      <c r="IJS7" s="3407"/>
      <c r="IJT7" s="3407"/>
      <c r="IJU7" s="3407"/>
      <c r="IJV7" s="3407"/>
      <c r="IJW7" s="3407"/>
      <c r="IJX7" s="3407"/>
      <c r="IJY7" s="3407"/>
      <c r="IJZ7" s="3407"/>
      <c r="IKA7" s="3407"/>
      <c r="IKB7" s="3407"/>
      <c r="IKC7" s="3407"/>
      <c r="IKD7" s="3407"/>
      <c r="IKE7" s="3407"/>
      <c r="IKF7" s="3407"/>
      <c r="IKG7" s="3407"/>
      <c r="IKH7" s="3407"/>
      <c r="IKI7" s="3407"/>
      <c r="IKJ7" s="3407"/>
      <c r="IKK7" s="3407"/>
      <c r="IKL7" s="3407"/>
      <c r="IKM7" s="3407"/>
      <c r="IKN7" s="3407"/>
      <c r="IKO7" s="3407"/>
      <c r="IKP7" s="3407"/>
      <c r="IKQ7" s="3407"/>
      <c r="IKR7" s="3407"/>
      <c r="IKS7" s="3407"/>
      <c r="IKT7" s="3407"/>
      <c r="IKU7" s="3407"/>
      <c r="IKV7" s="3407"/>
      <c r="IKW7" s="3407"/>
      <c r="IKX7" s="3407"/>
      <c r="IKY7" s="3407"/>
      <c r="IKZ7" s="3407"/>
      <c r="ILA7" s="3407"/>
      <c r="ILB7" s="3407"/>
      <c r="ILC7" s="3407"/>
      <c r="ILD7" s="3407"/>
      <c r="ILE7" s="3407"/>
      <c r="ILF7" s="3407"/>
      <c r="ILG7" s="3407"/>
      <c r="ILH7" s="3407"/>
      <c r="ILI7" s="3407"/>
      <c r="ILJ7" s="3407"/>
      <c r="ILK7" s="3407"/>
      <c r="ILL7" s="3407"/>
      <c r="ILM7" s="3407"/>
      <c r="ILN7" s="3407"/>
      <c r="ILO7" s="3407"/>
      <c r="ILP7" s="3407"/>
      <c r="ILQ7" s="3407"/>
      <c r="ILR7" s="3407"/>
      <c r="ILS7" s="3407"/>
      <c r="ILT7" s="3407"/>
      <c r="ILU7" s="3407"/>
      <c r="ILV7" s="3407"/>
      <c r="ILW7" s="3407"/>
      <c r="ILX7" s="3407"/>
      <c r="ILY7" s="3407"/>
      <c r="ILZ7" s="3407"/>
      <c r="IMA7" s="3407"/>
      <c r="IMB7" s="3407"/>
      <c r="IMC7" s="3407"/>
      <c r="IMD7" s="3407"/>
      <c r="IME7" s="3407"/>
      <c r="IMF7" s="3407"/>
      <c r="IMG7" s="3407"/>
      <c r="IMH7" s="3407"/>
      <c r="IMI7" s="3407"/>
      <c r="IMJ7" s="3407"/>
      <c r="IMK7" s="3407"/>
      <c r="IML7" s="3407"/>
      <c r="IMM7" s="3407"/>
      <c r="IMN7" s="3407"/>
      <c r="IMO7" s="3407"/>
      <c r="IMP7" s="3407"/>
      <c r="IMQ7" s="3407"/>
      <c r="IMR7" s="3407"/>
      <c r="IMS7" s="3407"/>
      <c r="IMT7" s="3407"/>
      <c r="IMU7" s="3407"/>
      <c r="IMV7" s="3407"/>
      <c r="IMW7" s="3407"/>
      <c r="IMX7" s="3407"/>
      <c r="IMY7" s="3407"/>
      <c r="IMZ7" s="3407"/>
      <c r="INA7" s="3407"/>
      <c r="INB7" s="3407"/>
      <c r="INC7" s="3407"/>
      <c r="IND7" s="3407"/>
      <c r="INE7" s="3407"/>
      <c r="INF7" s="3407"/>
      <c r="ING7" s="3407"/>
      <c r="INH7" s="3407"/>
      <c r="INI7" s="3407"/>
      <c r="INJ7" s="3407"/>
      <c r="INK7" s="3407"/>
      <c r="INL7" s="3407"/>
      <c r="INM7" s="3407"/>
      <c r="INN7" s="3407"/>
      <c r="INO7" s="3407"/>
      <c r="INP7" s="3407"/>
      <c r="INQ7" s="3407"/>
      <c r="INR7" s="3407"/>
      <c r="INS7" s="3407"/>
      <c r="INT7" s="3407"/>
      <c r="INU7" s="3407"/>
      <c r="INV7" s="3407"/>
      <c r="INW7" s="3407"/>
      <c r="INX7" s="3407"/>
      <c r="INY7" s="3407"/>
      <c r="INZ7" s="3407"/>
      <c r="IOA7" s="3407"/>
      <c r="IOB7" s="3407"/>
      <c r="IOC7" s="3407"/>
      <c r="IOD7" s="3407"/>
      <c r="IOE7" s="3407"/>
      <c r="IOF7" s="3407"/>
      <c r="IOG7" s="3407"/>
      <c r="IOH7" s="3407"/>
      <c r="IOI7" s="3407"/>
      <c r="IOJ7" s="3407"/>
      <c r="IOK7" s="3407"/>
      <c r="IOL7" s="3407"/>
      <c r="IOM7" s="3407"/>
      <c r="ION7" s="3407"/>
      <c r="IOO7" s="3407"/>
      <c r="IOP7" s="3407"/>
      <c r="IOQ7" s="3407"/>
      <c r="IOR7" s="3407"/>
      <c r="IOS7" s="3407"/>
      <c r="IOT7" s="3407"/>
      <c r="IOU7" s="3407"/>
      <c r="IOV7" s="3407"/>
      <c r="IOW7" s="3407"/>
      <c r="IOX7" s="3407"/>
      <c r="IOY7" s="3407"/>
      <c r="IOZ7" s="3407"/>
      <c r="IPA7" s="3407"/>
      <c r="IPB7" s="3407"/>
      <c r="IPC7" s="3407"/>
      <c r="IPD7" s="3407"/>
      <c r="IPE7" s="3407"/>
      <c r="IPF7" s="3407"/>
      <c r="IPG7" s="3407"/>
      <c r="IPH7" s="3407"/>
      <c r="IPI7" s="3407"/>
      <c r="IPJ7" s="3407"/>
      <c r="IPK7" s="3407"/>
      <c r="IPL7" s="3407"/>
      <c r="IPM7" s="3407"/>
      <c r="IPN7" s="3407"/>
      <c r="IPO7" s="3407"/>
      <c r="IPP7" s="3407"/>
      <c r="IPQ7" s="3407"/>
      <c r="IPR7" s="3407"/>
      <c r="IPS7" s="3407"/>
      <c r="IPT7" s="3407"/>
      <c r="IPU7" s="3407"/>
      <c r="IPV7" s="3407"/>
      <c r="IPW7" s="3407"/>
      <c r="IPX7" s="3407"/>
      <c r="IPY7" s="3407"/>
      <c r="IPZ7" s="3407"/>
      <c r="IQA7" s="3407"/>
      <c r="IQB7" s="3407"/>
      <c r="IQC7" s="3407"/>
      <c r="IQD7" s="3407"/>
      <c r="IQE7" s="3407"/>
      <c r="IQF7" s="3407"/>
      <c r="IQG7" s="3407"/>
      <c r="IQH7" s="3407"/>
      <c r="IQI7" s="3407"/>
      <c r="IQJ7" s="3407"/>
      <c r="IQK7" s="3407"/>
      <c r="IQL7" s="3407"/>
      <c r="IQM7" s="3407"/>
      <c r="IQN7" s="3407"/>
      <c r="IQO7" s="3407"/>
      <c r="IQP7" s="3407"/>
      <c r="IQQ7" s="3407"/>
      <c r="IQR7" s="3407"/>
      <c r="IQS7" s="3407"/>
      <c r="IQT7" s="3407"/>
      <c r="IQU7" s="3407"/>
      <c r="IQV7" s="3407"/>
      <c r="IQW7" s="3407"/>
      <c r="IQX7" s="3407"/>
      <c r="IQY7" s="3407"/>
      <c r="IQZ7" s="3407"/>
      <c r="IRA7" s="3407"/>
      <c r="IRB7" s="3407"/>
      <c r="IRC7" s="3407"/>
      <c r="IRD7" s="3407"/>
      <c r="IRE7" s="3407"/>
      <c r="IRF7" s="3407"/>
      <c r="IRG7" s="3407"/>
      <c r="IRH7" s="3407"/>
      <c r="IRI7" s="3407"/>
      <c r="IRJ7" s="3407"/>
      <c r="IRK7" s="3407"/>
      <c r="IRL7" s="3407"/>
      <c r="IRM7" s="3407"/>
      <c r="IRN7" s="3407"/>
      <c r="IRO7" s="3407"/>
      <c r="IRP7" s="3407"/>
      <c r="IRQ7" s="3407"/>
      <c r="IRR7" s="3407"/>
      <c r="IRS7" s="3407"/>
      <c r="IRT7" s="3407"/>
      <c r="IRU7" s="3407"/>
      <c r="IRV7" s="3407"/>
      <c r="IRW7" s="3407"/>
      <c r="IRX7" s="3407"/>
      <c r="IRY7" s="3407"/>
      <c r="IRZ7" s="3407"/>
      <c r="ISA7" s="3407"/>
      <c r="ISB7" s="3407"/>
      <c r="ISC7" s="3407"/>
      <c r="ISD7" s="3407"/>
      <c r="ISE7" s="3407"/>
      <c r="ISF7" s="3407"/>
      <c r="ISG7" s="3407"/>
      <c r="ISH7" s="3407"/>
      <c r="ISI7" s="3407"/>
      <c r="ISJ7" s="3407"/>
      <c r="ISK7" s="3407"/>
      <c r="ISL7" s="3407"/>
      <c r="ISM7" s="3407"/>
      <c r="ISN7" s="3407"/>
      <c r="ISO7" s="3407"/>
      <c r="ISP7" s="3407"/>
      <c r="ISQ7" s="3407"/>
      <c r="ISR7" s="3407"/>
      <c r="ISS7" s="3407"/>
      <c r="IST7" s="3407"/>
      <c r="ISU7" s="3407"/>
      <c r="ISV7" s="3407"/>
      <c r="ISW7" s="3407"/>
      <c r="ISX7" s="3407"/>
      <c r="ISY7" s="3407"/>
      <c r="ISZ7" s="3407"/>
      <c r="ITA7" s="3407"/>
      <c r="ITB7" s="3407"/>
      <c r="ITC7" s="3407"/>
      <c r="ITD7" s="3407"/>
      <c r="ITE7" s="3407"/>
      <c r="ITF7" s="3407"/>
      <c r="ITG7" s="3407"/>
      <c r="ITH7" s="3407"/>
      <c r="ITI7" s="3407"/>
      <c r="ITJ7" s="3407"/>
      <c r="ITK7" s="3407"/>
      <c r="ITL7" s="3407"/>
      <c r="ITM7" s="3407"/>
      <c r="ITN7" s="3407"/>
      <c r="ITO7" s="3407"/>
      <c r="ITP7" s="3407"/>
      <c r="ITQ7" s="3407"/>
      <c r="ITR7" s="3407"/>
      <c r="ITS7" s="3407"/>
      <c r="ITT7" s="3407"/>
      <c r="ITU7" s="3407"/>
      <c r="ITV7" s="3407"/>
      <c r="ITW7" s="3407"/>
      <c r="ITX7" s="3407"/>
      <c r="ITY7" s="3407"/>
      <c r="ITZ7" s="3407"/>
      <c r="IUA7" s="3407"/>
      <c r="IUB7" s="3407"/>
      <c r="IUC7" s="3407"/>
      <c r="IUD7" s="3407"/>
      <c r="IUE7" s="3407"/>
      <c r="IUF7" s="3407"/>
      <c r="IUG7" s="3407"/>
      <c r="IUH7" s="3407"/>
      <c r="IUI7" s="3407"/>
      <c r="IUJ7" s="3407"/>
      <c r="IUK7" s="3407"/>
      <c r="IUL7" s="3407"/>
      <c r="IUM7" s="3407"/>
      <c r="IUN7" s="3407"/>
      <c r="IUO7" s="3407"/>
      <c r="IUP7" s="3407"/>
      <c r="IUQ7" s="3407"/>
      <c r="IUR7" s="3407"/>
      <c r="IUS7" s="3407"/>
      <c r="IUT7" s="3407"/>
      <c r="IUU7" s="3407"/>
      <c r="IUV7" s="3407"/>
      <c r="IUW7" s="3407"/>
      <c r="IUX7" s="3407"/>
      <c r="IUY7" s="3407"/>
      <c r="IUZ7" s="3407"/>
      <c r="IVA7" s="3407"/>
      <c r="IVB7" s="3407"/>
      <c r="IVC7" s="3407"/>
      <c r="IVD7" s="3407"/>
      <c r="IVE7" s="3407"/>
      <c r="IVF7" s="3407"/>
      <c r="IVG7" s="3407"/>
      <c r="IVH7" s="3407"/>
      <c r="IVI7" s="3407"/>
      <c r="IVJ7" s="3407"/>
      <c r="IVK7" s="3407"/>
      <c r="IVL7" s="3407"/>
      <c r="IVM7" s="3407"/>
      <c r="IVN7" s="3407"/>
      <c r="IVO7" s="3407"/>
      <c r="IVP7" s="3407"/>
      <c r="IVQ7" s="3407"/>
      <c r="IVR7" s="3407"/>
      <c r="IVS7" s="3407"/>
      <c r="IVT7" s="3407"/>
      <c r="IVU7" s="3407"/>
      <c r="IVV7" s="3407"/>
      <c r="IVW7" s="3407"/>
      <c r="IVX7" s="3407"/>
      <c r="IVY7" s="3407"/>
      <c r="IVZ7" s="3407"/>
      <c r="IWA7" s="3407"/>
      <c r="IWB7" s="3407"/>
      <c r="IWC7" s="3407"/>
      <c r="IWD7" s="3407"/>
      <c r="IWE7" s="3407"/>
      <c r="IWF7" s="3407"/>
      <c r="IWG7" s="3407"/>
      <c r="IWH7" s="3407"/>
      <c r="IWI7" s="3407"/>
      <c r="IWJ7" s="3407"/>
      <c r="IWK7" s="3407"/>
      <c r="IWL7" s="3407"/>
      <c r="IWM7" s="3407"/>
      <c r="IWN7" s="3407"/>
      <c r="IWO7" s="3407"/>
      <c r="IWP7" s="3407"/>
      <c r="IWQ7" s="3407"/>
      <c r="IWR7" s="3407"/>
      <c r="IWS7" s="3407"/>
      <c r="IWT7" s="3407"/>
      <c r="IWU7" s="3407"/>
      <c r="IWV7" s="3407"/>
      <c r="IWW7" s="3407"/>
      <c r="IWX7" s="3407"/>
      <c r="IWY7" s="3407"/>
      <c r="IWZ7" s="3407"/>
      <c r="IXA7" s="3407"/>
      <c r="IXB7" s="3407"/>
      <c r="IXC7" s="3407"/>
      <c r="IXD7" s="3407"/>
      <c r="IXE7" s="3407"/>
      <c r="IXF7" s="3407"/>
      <c r="IXG7" s="3407"/>
      <c r="IXH7" s="3407"/>
      <c r="IXI7" s="3407"/>
      <c r="IXJ7" s="3407"/>
      <c r="IXK7" s="3407"/>
      <c r="IXL7" s="3407"/>
      <c r="IXM7" s="3407"/>
      <c r="IXN7" s="3407"/>
      <c r="IXO7" s="3407"/>
      <c r="IXP7" s="3407"/>
      <c r="IXQ7" s="3407"/>
      <c r="IXR7" s="3407"/>
      <c r="IXS7" s="3407"/>
      <c r="IXT7" s="3407"/>
      <c r="IXU7" s="3407"/>
      <c r="IXV7" s="3407"/>
      <c r="IXW7" s="3407"/>
      <c r="IXX7" s="3407"/>
      <c r="IXY7" s="3407"/>
      <c r="IXZ7" s="3407"/>
      <c r="IYA7" s="3407"/>
      <c r="IYB7" s="3407"/>
      <c r="IYC7" s="3407"/>
      <c r="IYD7" s="3407"/>
      <c r="IYE7" s="3407"/>
      <c r="IYF7" s="3407"/>
      <c r="IYG7" s="3407"/>
      <c r="IYH7" s="3407"/>
      <c r="IYI7" s="3407"/>
      <c r="IYJ7" s="3407"/>
      <c r="IYK7" s="3407"/>
      <c r="IYL7" s="3407"/>
      <c r="IYM7" s="3407"/>
      <c r="IYN7" s="3407"/>
      <c r="IYO7" s="3407"/>
      <c r="IYP7" s="3407"/>
      <c r="IYQ7" s="3407"/>
      <c r="IYR7" s="3407"/>
      <c r="IYS7" s="3407"/>
      <c r="IYT7" s="3407"/>
      <c r="IYU7" s="3407"/>
      <c r="IYV7" s="3407"/>
      <c r="IYW7" s="3407"/>
      <c r="IYX7" s="3407"/>
      <c r="IYY7" s="3407"/>
      <c r="IYZ7" s="3407"/>
      <c r="IZA7" s="3407"/>
      <c r="IZB7" s="3407"/>
      <c r="IZC7" s="3407"/>
      <c r="IZD7" s="3407"/>
      <c r="IZE7" s="3407"/>
      <c r="IZF7" s="3407"/>
      <c r="IZG7" s="3407"/>
      <c r="IZH7" s="3407"/>
      <c r="IZI7" s="3407"/>
      <c r="IZJ7" s="3407"/>
      <c r="IZK7" s="3407"/>
      <c r="IZL7" s="3407"/>
      <c r="IZM7" s="3407"/>
      <c r="IZN7" s="3407"/>
      <c r="IZO7" s="3407"/>
      <c r="IZP7" s="3407"/>
      <c r="IZQ7" s="3407"/>
      <c r="IZR7" s="3407"/>
      <c r="IZS7" s="3407"/>
      <c r="IZT7" s="3407"/>
      <c r="IZU7" s="3407"/>
      <c r="IZV7" s="3407"/>
      <c r="IZW7" s="3407"/>
      <c r="IZX7" s="3407"/>
      <c r="IZY7" s="3407"/>
      <c r="IZZ7" s="3407"/>
      <c r="JAA7" s="3407"/>
      <c r="JAB7" s="3407"/>
      <c r="JAC7" s="3407"/>
      <c r="JAD7" s="3407"/>
      <c r="JAE7" s="3407"/>
      <c r="JAF7" s="3407"/>
      <c r="JAG7" s="3407"/>
      <c r="JAH7" s="3407"/>
      <c r="JAI7" s="3407"/>
      <c r="JAJ7" s="3407"/>
      <c r="JAK7" s="3407"/>
      <c r="JAL7" s="3407"/>
      <c r="JAM7" s="3407"/>
      <c r="JAN7" s="3407"/>
      <c r="JAO7" s="3407"/>
      <c r="JAP7" s="3407"/>
      <c r="JAQ7" s="3407"/>
      <c r="JAR7" s="3407"/>
      <c r="JAS7" s="3407"/>
      <c r="JAT7" s="3407"/>
      <c r="JAU7" s="3407"/>
      <c r="JAV7" s="3407"/>
      <c r="JAW7" s="3407"/>
      <c r="JAX7" s="3407"/>
      <c r="JAY7" s="3407"/>
      <c r="JAZ7" s="3407"/>
      <c r="JBA7" s="3407"/>
      <c r="JBB7" s="3407"/>
      <c r="JBC7" s="3407"/>
      <c r="JBD7" s="3407"/>
      <c r="JBE7" s="3407"/>
      <c r="JBF7" s="3407"/>
      <c r="JBG7" s="3407"/>
      <c r="JBH7" s="3407"/>
      <c r="JBI7" s="3407"/>
      <c r="JBJ7" s="3407"/>
      <c r="JBK7" s="3407"/>
      <c r="JBL7" s="3407"/>
      <c r="JBM7" s="3407"/>
      <c r="JBN7" s="3407"/>
      <c r="JBO7" s="3407"/>
      <c r="JBP7" s="3407"/>
      <c r="JBQ7" s="3407"/>
      <c r="JBR7" s="3407"/>
      <c r="JBS7" s="3407"/>
      <c r="JBT7" s="3407"/>
      <c r="JBU7" s="3407"/>
      <c r="JBV7" s="3407"/>
      <c r="JBW7" s="3407"/>
      <c r="JBX7" s="3407"/>
      <c r="JBY7" s="3407"/>
      <c r="JBZ7" s="3407"/>
      <c r="JCA7" s="3407"/>
      <c r="JCB7" s="3407"/>
      <c r="JCC7" s="3407"/>
      <c r="JCD7" s="3407"/>
      <c r="JCE7" s="3407"/>
      <c r="JCF7" s="3407"/>
      <c r="JCG7" s="3407"/>
      <c r="JCH7" s="3407"/>
      <c r="JCI7" s="3407"/>
      <c r="JCJ7" s="3407"/>
      <c r="JCK7" s="3407"/>
      <c r="JCL7" s="3407"/>
      <c r="JCM7" s="3407"/>
      <c r="JCN7" s="3407"/>
      <c r="JCO7" s="3407"/>
      <c r="JCP7" s="3407"/>
      <c r="JCQ7" s="3407"/>
      <c r="JCR7" s="3407"/>
      <c r="JCS7" s="3407"/>
      <c r="JCT7" s="3407"/>
      <c r="JCU7" s="3407"/>
      <c r="JCV7" s="3407"/>
      <c r="JCW7" s="3407"/>
      <c r="JCX7" s="3407"/>
      <c r="JCY7" s="3407"/>
      <c r="JCZ7" s="3407"/>
      <c r="JDA7" s="3407"/>
      <c r="JDB7" s="3407"/>
      <c r="JDC7" s="3407"/>
      <c r="JDD7" s="3407"/>
      <c r="JDE7" s="3407"/>
      <c r="JDF7" s="3407"/>
      <c r="JDG7" s="3407"/>
      <c r="JDH7" s="3407"/>
      <c r="JDI7" s="3407"/>
      <c r="JDJ7" s="3407"/>
      <c r="JDK7" s="3407"/>
      <c r="JDL7" s="3407"/>
      <c r="JDM7" s="3407"/>
      <c r="JDN7" s="3407"/>
      <c r="JDO7" s="3407"/>
      <c r="JDP7" s="3407"/>
      <c r="JDQ7" s="3407"/>
      <c r="JDR7" s="3407"/>
      <c r="JDS7" s="3407"/>
      <c r="JDT7" s="3407"/>
      <c r="JDU7" s="3407"/>
      <c r="JDV7" s="3407"/>
      <c r="JDW7" s="3407"/>
      <c r="JDX7" s="3407"/>
      <c r="JDY7" s="3407"/>
      <c r="JDZ7" s="3407"/>
      <c r="JEA7" s="3407"/>
      <c r="JEB7" s="3407"/>
      <c r="JEC7" s="3407"/>
      <c r="JED7" s="3407"/>
      <c r="JEE7" s="3407"/>
      <c r="JEF7" s="3407"/>
      <c r="JEG7" s="3407"/>
      <c r="JEH7" s="3407"/>
      <c r="JEI7" s="3407"/>
      <c r="JEJ7" s="3407"/>
      <c r="JEK7" s="3407"/>
      <c r="JEL7" s="3407"/>
      <c r="JEM7" s="3407"/>
      <c r="JEN7" s="3407"/>
      <c r="JEO7" s="3407"/>
      <c r="JEP7" s="3407"/>
      <c r="JEQ7" s="3407"/>
      <c r="JER7" s="3407"/>
      <c r="JES7" s="3407"/>
      <c r="JET7" s="3407"/>
      <c r="JEU7" s="3407"/>
      <c r="JEV7" s="3407"/>
      <c r="JEW7" s="3407"/>
      <c r="JEX7" s="3407"/>
      <c r="JEY7" s="3407"/>
      <c r="JEZ7" s="3407"/>
      <c r="JFA7" s="3407"/>
      <c r="JFB7" s="3407"/>
      <c r="JFC7" s="3407"/>
      <c r="JFD7" s="3407"/>
      <c r="JFE7" s="3407"/>
      <c r="JFF7" s="3407"/>
      <c r="JFG7" s="3407"/>
      <c r="JFH7" s="3407"/>
      <c r="JFI7" s="3407"/>
      <c r="JFJ7" s="3407"/>
      <c r="JFK7" s="3407"/>
      <c r="JFL7" s="3407"/>
      <c r="JFM7" s="3407"/>
      <c r="JFN7" s="3407"/>
      <c r="JFO7" s="3407"/>
      <c r="JFP7" s="3407"/>
      <c r="JFQ7" s="3407"/>
      <c r="JFR7" s="3407"/>
      <c r="JFS7" s="3407"/>
      <c r="JFT7" s="3407"/>
      <c r="JFU7" s="3407"/>
      <c r="JFV7" s="3407"/>
      <c r="JFW7" s="3407"/>
      <c r="JFX7" s="3407"/>
      <c r="JFY7" s="3407"/>
      <c r="JFZ7" s="3407"/>
      <c r="JGA7" s="3407"/>
      <c r="JGB7" s="3407"/>
      <c r="JGC7" s="3407"/>
      <c r="JGD7" s="3407"/>
      <c r="JGE7" s="3407"/>
      <c r="JGF7" s="3407"/>
      <c r="JGG7" s="3407"/>
      <c r="JGH7" s="3407"/>
      <c r="JGI7" s="3407"/>
      <c r="JGJ7" s="3407"/>
      <c r="JGK7" s="3407"/>
      <c r="JGL7" s="3407"/>
      <c r="JGM7" s="3407"/>
      <c r="JGN7" s="3407"/>
      <c r="JGO7" s="3407"/>
      <c r="JGP7" s="3407"/>
      <c r="JGQ7" s="3407"/>
      <c r="JGR7" s="3407"/>
      <c r="JGS7" s="3407"/>
      <c r="JGT7" s="3407"/>
      <c r="JGU7" s="3407"/>
      <c r="JGV7" s="3407"/>
      <c r="JGW7" s="3407"/>
      <c r="JGX7" s="3407"/>
      <c r="JGY7" s="3407"/>
      <c r="JGZ7" s="3407"/>
      <c r="JHA7" s="3407"/>
      <c r="JHB7" s="3407"/>
      <c r="JHC7" s="3407"/>
      <c r="JHD7" s="3407"/>
      <c r="JHE7" s="3407"/>
      <c r="JHF7" s="3407"/>
      <c r="JHG7" s="3407"/>
      <c r="JHH7" s="3407"/>
      <c r="JHI7" s="3407"/>
      <c r="JHJ7" s="3407"/>
      <c r="JHK7" s="3407"/>
      <c r="JHL7" s="3407"/>
      <c r="JHM7" s="3407"/>
      <c r="JHN7" s="3407"/>
      <c r="JHO7" s="3407"/>
      <c r="JHP7" s="3407"/>
      <c r="JHQ7" s="3407"/>
      <c r="JHR7" s="3407"/>
      <c r="JHS7" s="3407"/>
      <c r="JHT7" s="3407"/>
      <c r="JHU7" s="3407"/>
      <c r="JHV7" s="3407"/>
      <c r="JHW7" s="3407"/>
      <c r="JHX7" s="3407"/>
      <c r="JHY7" s="3407"/>
      <c r="JHZ7" s="3407"/>
      <c r="JIA7" s="3407"/>
      <c r="JIB7" s="3407"/>
      <c r="JIC7" s="3407"/>
      <c r="JID7" s="3407"/>
      <c r="JIE7" s="3407"/>
      <c r="JIF7" s="3407"/>
      <c r="JIG7" s="3407"/>
      <c r="JIH7" s="3407"/>
      <c r="JII7" s="3407"/>
      <c r="JIJ7" s="3407"/>
      <c r="JIK7" s="3407"/>
      <c r="JIL7" s="3407"/>
      <c r="JIM7" s="3407"/>
      <c r="JIN7" s="3407"/>
      <c r="JIO7" s="3407"/>
      <c r="JIP7" s="3407"/>
      <c r="JIQ7" s="3407"/>
      <c r="JIR7" s="3407"/>
      <c r="JIS7" s="3407"/>
      <c r="JIT7" s="3407"/>
      <c r="JIU7" s="3407"/>
      <c r="JIV7" s="3407"/>
      <c r="JIW7" s="3407"/>
      <c r="JIX7" s="3407"/>
      <c r="JIY7" s="3407"/>
      <c r="JIZ7" s="3407"/>
      <c r="JJA7" s="3407"/>
      <c r="JJB7" s="3407"/>
      <c r="JJC7" s="3407"/>
      <c r="JJD7" s="3407"/>
      <c r="JJE7" s="3407"/>
      <c r="JJF7" s="3407"/>
      <c r="JJG7" s="3407"/>
      <c r="JJH7" s="3407"/>
      <c r="JJI7" s="3407"/>
      <c r="JJJ7" s="3407"/>
      <c r="JJK7" s="3407"/>
      <c r="JJL7" s="3407"/>
      <c r="JJM7" s="3407"/>
      <c r="JJN7" s="3407"/>
      <c r="JJO7" s="3407"/>
      <c r="JJP7" s="3407"/>
      <c r="JJQ7" s="3407"/>
      <c r="JJR7" s="3407"/>
      <c r="JJS7" s="3407"/>
      <c r="JJT7" s="3407"/>
      <c r="JJU7" s="3407"/>
      <c r="JJV7" s="3407"/>
      <c r="JJW7" s="3407"/>
      <c r="JJX7" s="3407"/>
      <c r="JJY7" s="3407"/>
      <c r="JJZ7" s="3407"/>
      <c r="JKA7" s="3407"/>
      <c r="JKB7" s="3407"/>
      <c r="JKC7" s="3407"/>
      <c r="JKD7" s="3407"/>
      <c r="JKE7" s="3407"/>
      <c r="JKF7" s="3407"/>
      <c r="JKG7" s="3407"/>
      <c r="JKH7" s="3407"/>
      <c r="JKI7" s="3407"/>
      <c r="JKJ7" s="3407"/>
      <c r="JKK7" s="3407"/>
      <c r="JKL7" s="3407"/>
      <c r="JKM7" s="3407"/>
      <c r="JKN7" s="3407"/>
      <c r="JKO7" s="3407"/>
      <c r="JKP7" s="3407"/>
      <c r="JKQ7" s="3407"/>
      <c r="JKR7" s="3407"/>
      <c r="JKS7" s="3407"/>
      <c r="JKT7" s="3407"/>
      <c r="JKU7" s="3407"/>
      <c r="JKV7" s="3407"/>
      <c r="JKW7" s="3407"/>
      <c r="JKX7" s="3407"/>
      <c r="JKY7" s="3407"/>
      <c r="JKZ7" s="3407"/>
      <c r="JLA7" s="3407"/>
      <c r="JLB7" s="3407"/>
      <c r="JLC7" s="3407"/>
      <c r="JLD7" s="3407"/>
      <c r="JLE7" s="3407"/>
      <c r="JLF7" s="3407"/>
      <c r="JLG7" s="3407"/>
      <c r="JLH7" s="3407"/>
      <c r="JLI7" s="3407"/>
      <c r="JLJ7" s="3407"/>
      <c r="JLK7" s="3407"/>
      <c r="JLL7" s="3407"/>
      <c r="JLM7" s="3407"/>
      <c r="JLN7" s="3407"/>
      <c r="JLO7" s="3407"/>
      <c r="JLP7" s="3407"/>
      <c r="JLQ7" s="3407"/>
      <c r="JLR7" s="3407"/>
      <c r="JLS7" s="3407"/>
      <c r="JLT7" s="3407"/>
      <c r="JLU7" s="3407"/>
      <c r="JLV7" s="3407"/>
      <c r="JLW7" s="3407"/>
      <c r="JLX7" s="3407"/>
      <c r="JLY7" s="3407"/>
      <c r="JLZ7" s="3407"/>
      <c r="JMA7" s="3407"/>
      <c r="JMB7" s="3407"/>
      <c r="JMC7" s="3407"/>
      <c r="JMD7" s="3407"/>
      <c r="JME7" s="3407"/>
      <c r="JMF7" s="3407"/>
      <c r="JMG7" s="3407"/>
      <c r="JMH7" s="3407"/>
      <c r="JMI7" s="3407"/>
      <c r="JMJ7" s="3407"/>
      <c r="JMK7" s="3407"/>
      <c r="JML7" s="3407"/>
      <c r="JMM7" s="3407"/>
      <c r="JMN7" s="3407"/>
      <c r="JMO7" s="3407"/>
      <c r="JMP7" s="3407"/>
      <c r="JMQ7" s="3407"/>
      <c r="JMR7" s="3407"/>
      <c r="JMS7" s="3407"/>
      <c r="JMT7" s="3407"/>
      <c r="JMU7" s="3407"/>
      <c r="JMV7" s="3407"/>
      <c r="JMW7" s="3407"/>
      <c r="JMX7" s="3407"/>
      <c r="JMY7" s="3407"/>
      <c r="JMZ7" s="3407"/>
      <c r="JNA7" s="3407"/>
      <c r="JNB7" s="3407"/>
      <c r="JNC7" s="3407"/>
      <c r="JND7" s="3407"/>
      <c r="JNE7" s="3407"/>
      <c r="JNF7" s="3407"/>
      <c r="JNG7" s="3407"/>
      <c r="JNH7" s="3407"/>
      <c r="JNI7" s="3407"/>
      <c r="JNJ7" s="3407"/>
      <c r="JNK7" s="3407"/>
      <c r="JNL7" s="3407"/>
      <c r="JNM7" s="3407"/>
      <c r="JNN7" s="3407"/>
      <c r="JNO7" s="3407"/>
      <c r="JNP7" s="3407"/>
      <c r="JNQ7" s="3407"/>
      <c r="JNR7" s="3407"/>
      <c r="JNS7" s="3407"/>
      <c r="JNT7" s="3407"/>
      <c r="JNU7" s="3407"/>
      <c r="JNV7" s="3407"/>
      <c r="JNW7" s="3407"/>
      <c r="JNX7" s="3407"/>
      <c r="JNY7" s="3407"/>
      <c r="JNZ7" s="3407"/>
      <c r="JOA7" s="3407"/>
      <c r="JOB7" s="3407"/>
      <c r="JOC7" s="3407"/>
      <c r="JOD7" s="3407"/>
      <c r="JOE7" s="3407"/>
      <c r="JOF7" s="3407"/>
      <c r="JOG7" s="3407"/>
      <c r="JOH7" s="3407"/>
      <c r="JOI7" s="3407"/>
      <c r="JOJ7" s="3407"/>
      <c r="JOK7" s="3407"/>
      <c r="JOL7" s="3407"/>
      <c r="JOM7" s="3407"/>
      <c r="JON7" s="3407"/>
      <c r="JOO7" s="3407"/>
      <c r="JOP7" s="3407"/>
      <c r="JOQ7" s="3407"/>
      <c r="JOR7" s="3407"/>
      <c r="JOS7" s="3407"/>
      <c r="JOT7" s="3407"/>
      <c r="JOU7" s="3407"/>
      <c r="JOV7" s="3407"/>
      <c r="JOW7" s="3407"/>
      <c r="JOX7" s="3407"/>
      <c r="JOY7" s="3407"/>
      <c r="JOZ7" s="3407"/>
      <c r="JPA7" s="3407"/>
      <c r="JPB7" s="3407"/>
      <c r="JPC7" s="3407"/>
      <c r="JPD7" s="3407"/>
      <c r="JPE7" s="3407"/>
      <c r="JPF7" s="3407"/>
      <c r="JPG7" s="3407"/>
      <c r="JPH7" s="3407"/>
      <c r="JPI7" s="3407"/>
      <c r="JPJ7" s="3407"/>
      <c r="JPK7" s="3407"/>
      <c r="JPL7" s="3407"/>
      <c r="JPM7" s="3407"/>
      <c r="JPN7" s="3407"/>
      <c r="JPO7" s="3407"/>
      <c r="JPP7" s="3407"/>
      <c r="JPQ7" s="3407"/>
      <c r="JPR7" s="3407"/>
      <c r="JPS7" s="3407"/>
      <c r="JPT7" s="3407"/>
      <c r="JPU7" s="3407"/>
      <c r="JPV7" s="3407"/>
      <c r="JPW7" s="3407"/>
      <c r="JPX7" s="3407"/>
      <c r="JPY7" s="3407"/>
      <c r="JPZ7" s="3407"/>
      <c r="JQA7" s="3407"/>
      <c r="JQB7" s="3407"/>
      <c r="JQC7" s="3407"/>
      <c r="JQD7" s="3407"/>
      <c r="JQE7" s="3407"/>
      <c r="JQF7" s="3407"/>
      <c r="JQG7" s="3407"/>
      <c r="JQH7" s="3407"/>
      <c r="JQI7" s="3407"/>
      <c r="JQJ7" s="3407"/>
      <c r="JQK7" s="3407"/>
      <c r="JQL7" s="3407"/>
      <c r="JQM7" s="3407"/>
      <c r="JQN7" s="3407"/>
      <c r="JQO7" s="3407"/>
      <c r="JQP7" s="3407"/>
      <c r="JQQ7" s="3407"/>
      <c r="JQR7" s="3407"/>
      <c r="JQS7" s="3407"/>
      <c r="JQT7" s="3407"/>
      <c r="JQU7" s="3407"/>
      <c r="JQV7" s="3407"/>
      <c r="JQW7" s="3407"/>
      <c r="JQX7" s="3407"/>
      <c r="JQY7" s="3407"/>
      <c r="JQZ7" s="3407"/>
      <c r="JRA7" s="3407"/>
      <c r="JRB7" s="3407"/>
      <c r="JRC7" s="3407"/>
      <c r="JRD7" s="3407"/>
      <c r="JRE7" s="3407"/>
      <c r="JRF7" s="3407"/>
      <c r="JRG7" s="3407"/>
      <c r="JRH7" s="3407"/>
      <c r="JRI7" s="3407"/>
      <c r="JRJ7" s="3407"/>
      <c r="JRK7" s="3407"/>
      <c r="JRL7" s="3407"/>
      <c r="JRM7" s="3407"/>
      <c r="JRN7" s="3407"/>
      <c r="JRO7" s="3407"/>
      <c r="JRP7" s="3407"/>
      <c r="JRQ7" s="3407"/>
      <c r="JRR7" s="3407"/>
      <c r="JRS7" s="3407"/>
      <c r="JRT7" s="3407"/>
      <c r="JRU7" s="3407"/>
      <c r="JRV7" s="3407"/>
      <c r="JRW7" s="3407"/>
      <c r="JRX7" s="3407"/>
      <c r="JRY7" s="3407"/>
      <c r="JRZ7" s="3407"/>
      <c r="JSA7" s="3407"/>
      <c r="JSB7" s="3407"/>
      <c r="JSC7" s="3407"/>
      <c r="JSD7" s="3407"/>
      <c r="JSE7" s="3407"/>
      <c r="JSF7" s="3407"/>
      <c r="JSG7" s="3407"/>
      <c r="JSH7" s="3407"/>
      <c r="JSI7" s="3407"/>
      <c r="JSJ7" s="3407"/>
      <c r="JSK7" s="3407"/>
      <c r="JSL7" s="3407"/>
      <c r="JSM7" s="3407"/>
      <c r="JSN7" s="3407"/>
      <c r="JSO7" s="3407"/>
      <c r="JSP7" s="3407"/>
      <c r="JSQ7" s="3407"/>
      <c r="JSR7" s="3407"/>
      <c r="JSS7" s="3407"/>
      <c r="JST7" s="3407"/>
      <c r="JSU7" s="3407"/>
      <c r="JSV7" s="3407"/>
      <c r="JSW7" s="3407"/>
      <c r="JSX7" s="3407"/>
      <c r="JSY7" s="3407"/>
      <c r="JSZ7" s="3407"/>
      <c r="JTA7" s="3407"/>
      <c r="JTB7" s="3407"/>
      <c r="JTC7" s="3407"/>
      <c r="JTD7" s="3407"/>
      <c r="JTE7" s="3407"/>
      <c r="JTF7" s="3407"/>
      <c r="JTG7" s="3407"/>
      <c r="JTH7" s="3407"/>
      <c r="JTI7" s="3407"/>
      <c r="JTJ7" s="3407"/>
      <c r="JTK7" s="3407"/>
      <c r="JTL7" s="3407"/>
      <c r="JTM7" s="3407"/>
      <c r="JTN7" s="3407"/>
      <c r="JTO7" s="3407"/>
      <c r="JTP7" s="3407"/>
      <c r="JTQ7" s="3407"/>
      <c r="JTR7" s="3407"/>
      <c r="JTS7" s="3407"/>
      <c r="JTT7" s="3407"/>
      <c r="JTU7" s="3407"/>
      <c r="JTV7" s="3407"/>
      <c r="JTW7" s="3407"/>
      <c r="JTX7" s="3407"/>
      <c r="JTY7" s="3407"/>
      <c r="JTZ7" s="3407"/>
      <c r="JUA7" s="3407"/>
      <c r="JUB7" s="3407"/>
      <c r="JUC7" s="3407"/>
      <c r="JUD7" s="3407"/>
      <c r="JUE7" s="3407"/>
      <c r="JUF7" s="3407"/>
      <c r="JUG7" s="3407"/>
      <c r="JUH7" s="3407"/>
      <c r="JUI7" s="3407"/>
      <c r="JUJ7" s="3407"/>
      <c r="JUK7" s="3407"/>
      <c r="JUL7" s="3407"/>
      <c r="JUM7" s="3407"/>
      <c r="JUN7" s="3407"/>
      <c r="JUO7" s="3407"/>
      <c r="JUP7" s="3407"/>
      <c r="JUQ7" s="3407"/>
      <c r="JUR7" s="3407"/>
      <c r="JUS7" s="3407"/>
      <c r="JUT7" s="3407"/>
      <c r="JUU7" s="3407"/>
      <c r="JUV7" s="3407"/>
      <c r="JUW7" s="3407"/>
      <c r="JUX7" s="3407"/>
      <c r="JUY7" s="3407"/>
      <c r="JUZ7" s="3407"/>
      <c r="JVA7" s="3407"/>
      <c r="JVB7" s="3407"/>
      <c r="JVC7" s="3407"/>
      <c r="JVD7" s="3407"/>
      <c r="JVE7" s="3407"/>
      <c r="JVF7" s="3407"/>
      <c r="JVG7" s="3407"/>
      <c r="JVH7" s="3407"/>
      <c r="JVI7" s="3407"/>
      <c r="JVJ7" s="3407"/>
      <c r="JVK7" s="3407"/>
      <c r="JVL7" s="3407"/>
      <c r="JVM7" s="3407"/>
      <c r="JVN7" s="3407"/>
      <c r="JVO7" s="3407"/>
      <c r="JVP7" s="3407"/>
      <c r="JVQ7" s="3407"/>
      <c r="JVR7" s="3407"/>
      <c r="JVS7" s="3407"/>
      <c r="JVT7" s="3407"/>
      <c r="JVU7" s="3407"/>
      <c r="JVV7" s="3407"/>
      <c r="JVW7" s="3407"/>
      <c r="JVX7" s="3407"/>
      <c r="JVY7" s="3407"/>
      <c r="JVZ7" s="3407"/>
      <c r="JWA7" s="3407"/>
      <c r="JWB7" s="3407"/>
      <c r="JWC7" s="3407"/>
      <c r="JWD7" s="3407"/>
      <c r="JWE7" s="3407"/>
      <c r="JWF7" s="3407"/>
      <c r="JWG7" s="3407"/>
      <c r="JWH7" s="3407"/>
      <c r="JWI7" s="3407"/>
      <c r="JWJ7" s="3407"/>
      <c r="JWK7" s="3407"/>
      <c r="JWL7" s="3407"/>
      <c r="JWM7" s="3407"/>
      <c r="JWN7" s="3407"/>
      <c r="JWO7" s="3407"/>
      <c r="JWP7" s="3407"/>
      <c r="JWQ7" s="3407"/>
      <c r="JWR7" s="3407"/>
      <c r="JWS7" s="3407"/>
      <c r="JWT7" s="3407"/>
      <c r="JWU7" s="3407"/>
      <c r="JWV7" s="3407"/>
      <c r="JWW7" s="3407"/>
      <c r="JWX7" s="3407"/>
      <c r="JWY7" s="3407"/>
      <c r="JWZ7" s="3407"/>
      <c r="JXA7" s="3407"/>
      <c r="JXB7" s="3407"/>
      <c r="JXC7" s="3407"/>
      <c r="JXD7" s="3407"/>
      <c r="JXE7" s="3407"/>
      <c r="JXF7" s="3407"/>
      <c r="JXG7" s="3407"/>
      <c r="JXH7" s="3407"/>
      <c r="JXI7" s="3407"/>
      <c r="JXJ7" s="3407"/>
      <c r="JXK7" s="3407"/>
      <c r="JXL7" s="3407"/>
      <c r="JXM7" s="3407"/>
      <c r="JXN7" s="3407"/>
      <c r="JXO7" s="3407"/>
      <c r="JXP7" s="3407"/>
      <c r="JXQ7" s="3407"/>
      <c r="JXR7" s="3407"/>
      <c r="JXS7" s="3407"/>
      <c r="JXT7" s="3407"/>
      <c r="JXU7" s="3407"/>
      <c r="JXV7" s="3407"/>
      <c r="JXW7" s="3407"/>
      <c r="JXX7" s="3407"/>
      <c r="JXY7" s="3407"/>
      <c r="JXZ7" s="3407"/>
      <c r="JYA7" s="3407"/>
      <c r="JYB7" s="3407"/>
      <c r="JYC7" s="3407"/>
      <c r="JYD7" s="3407"/>
      <c r="JYE7" s="3407"/>
      <c r="JYF7" s="3407"/>
      <c r="JYG7" s="3407"/>
      <c r="JYH7" s="3407"/>
      <c r="JYI7" s="3407"/>
      <c r="JYJ7" s="3407"/>
      <c r="JYK7" s="3407"/>
      <c r="JYL7" s="3407"/>
      <c r="JYM7" s="3407"/>
      <c r="JYN7" s="3407"/>
      <c r="JYO7" s="3407"/>
      <c r="JYP7" s="3407"/>
      <c r="JYQ7" s="3407"/>
      <c r="JYR7" s="3407"/>
      <c r="JYS7" s="3407"/>
      <c r="JYT7" s="3407"/>
      <c r="JYU7" s="3407"/>
      <c r="JYV7" s="3407"/>
      <c r="JYW7" s="3407"/>
      <c r="JYX7" s="3407"/>
      <c r="JYY7" s="3407"/>
      <c r="JYZ7" s="3407"/>
      <c r="JZA7" s="3407"/>
      <c r="JZB7" s="3407"/>
      <c r="JZC7" s="3407"/>
      <c r="JZD7" s="3407"/>
      <c r="JZE7" s="3407"/>
      <c r="JZF7" s="3407"/>
      <c r="JZG7" s="3407"/>
      <c r="JZH7" s="3407"/>
      <c r="JZI7" s="3407"/>
      <c r="JZJ7" s="3407"/>
      <c r="JZK7" s="3407"/>
      <c r="JZL7" s="3407"/>
      <c r="JZM7" s="3407"/>
      <c r="JZN7" s="3407"/>
      <c r="JZO7" s="3407"/>
      <c r="JZP7" s="3407"/>
      <c r="JZQ7" s="3407"/>
      <c r="JZR7" s="3407"/>
      <c r="JZS7" s="3407"/>
      <c r="JZT7" s="3407"/>
      <c r="JZU7" s="3407"/>
      <c r="JZV7" s="3407"/>
      <c r="JZW7" s="3407"/>
      <c r="JZX7" s="3407"/>
      <c r="JZY7" s="3407"/>
      <c r="JZZ7" s="3407"/>
      <c r="KAA7" s="3407"/>
      <c r="KAB7" s="3407"/>
      <c r="KAC7" s="3407"/>
      <c r="KAD7" s="3407"/>
      <c r="KAE7" s="3407"/>
      <c r="KAF7" s="3407"/>
      <c r="KAG7" s="3407"/>
      <c r="KAH7" s="3407"/>
      <c r="KAI7" s="3407"/>
      <c r="KAJ7" s="3407"/>
      <c r="KAK7" s="3407"/>
      <c r="KAL7" s="3407"/>
      <c r="KAM7" s="3407"/>
      <c r="KAN7" s="3407"/>
      <c r="KAO7" s="3407"/>
      <c r="KAP7" s="3407"/>
      <c r="KAQ7" s="3407"/>
      <c r="KAR7" s="3407"/>
      <c r="KAS7" s="3407"/>
      <c r="KAT7" s="3407"/>
      <c r="KAU7" s="3407"/>
      <c r="KAV7" s="3407"/>
      <c r="KAW7" s="3407"/>
      <c r="KAX7" s="3407"/>
      <c r="KAY7" s="3407"/>
      <c r="KAZ7" s="3407"/>
      <c r="KBA7" s="3407"/>
      <c r="KBB7" s="3407"/>
      <c r="KBC7" s="3407"/>
      <c r="KBD7" s="3407"/>
      <c r="KBE7" s="3407"/>
      <c r="KBF7" s="3407"/>
      <c r="KBG7" s="3407"/>
      <c r="KBH7" s="3407"/>
      <c r="KBI7" s="3407"/>
      <c r="KBJ7" s="3407"/>
      <c r="KBK7" s="3407"/>
      <c r="KBL7" s="3407"/>
      <c r="KBM7" s="3407"/>
      <c r="KBN7" s="3407"/>
      <c r="KBO7" s="3407"/>
      <c r="KBP7" s="3407"/>
      <c r="KBQ7" s="3407"/>
      <c r="KBR7" s="3407"/>
      <c r="KBS7" s="3407"/>
      <c r="KBT7" s="3407"/>
      <c r="KBU7" s="3407"/>
      <c r="KBV7" s="3407"/>
      <c r="KBW7" s="3407"/>
      <c r="KBX7" s="3407"/>
      <c r="KBY7" s="3407"/>
      <c r="KBZ7" s="3407"/>
      <c r="KCA7" s="3407"/>
      <c r="KCB7" s="3407"/>
      <c r="KCC7" s="3407"/>
      <c r="KCD7" s="3407"/>
      <c r="KCE7" s="3407"/>
      <c r="KCF7" s="3407"/>
      <c r="KCG7" s="3407"/>
      <c r="KCH7" s="3407"/>
      <c r="KCI7" s="3407"/>
      <c r="KCJ7" s="3407"/>
      <c r="KCK7" s="3407"/>
      <c r="KCL7" s="3407"/>
      <c r="KCM7" s="3407"/>
      <c r="KCN7" s="3407"/>
      <c r="KCO7" s="3407"/>
      <c r="KCP7" s="3407"/>
      <c r="KCQ7" s="3407"/>
      <c r="KCR7" s="3407"/>
      <c r="KCS7" s="3407"/>
      <c r="KCT7" s="3407"/>
      <c r="KCU7" s="3407"/>
      <c r="KCV7" s="3407"/>
      <c r="KCW7" s="3407"/>
      <c r="KCX7" s="3407"/>
      <c r="KCY7" s="3407"/>
      <c r="KCZ7" s="3407"/>
      <c r="KDA7" s="3407"/>
      <c r="KDB7" s="3407"/>
      <c r="KDC7" s="3407"/>
      <c r="KDD7" s="3407"/>
      <c r="KDE7" s="3407"/>
      <c r="KDF7" s="3407"/>
      <c r="KDG7" s="3407"/>
      <c r="KDH7" s="3407"/>
      <c r="KDI7" s="3407"/>
      <c r="KDJ7" s="3407"/>
      <c r="KDK7" s="3407"/>
      <c r="KDL7" s="3407"/>
      <c r="KDM7" s="3407"/>
      <c r="KDN7" s="3407"/>
      <c r="KDO7" s="3407"/>
      <c r="KDP7" s="3407"/>
      <c r="KDQ7" s="3407"/>
      <c r="KDR7" s="3407"/>
      <c r="KDS7" s="3407"/>
      <c r="KDT7" s="3407"/>
      <c r="KDU7" s="3407"/>
      <c r="KDV7" s="3407"/>
      <c r="KDW7" s="3407"/>
      <c r="KDX7" s="3407"/>
      <c r="KDY7" s="3407"/>
      <c r="KDZ7" s="3407"/>
      <c r="KEA7" s="3407"/>
      <c r="KEB7" s="3407"/>
      <c r="KEC7" s="3407"/>
      <c r="KED7" s="3407"/>
      <c r="KEE7" s="3407"/>
      <c r="KEF7" s="3407"/>
      <c r="KEG7" s="3407"/>
      <c r="KEH7" s="3407"/>
      <c r="KEI7" s="3407"/>
      <c r="KEJ7" s="3407"/>
      <c r="KEK7" s="3407"/>
      <c r="KEL7" s="3407"/>
      <c r="KEM7" s="3407"/>
      <c r="KEN7" s="3407"/>
      <c r="KEO7" s="3407"/>
      <c r="KEP7" s="3407"/>
      <c r="KEQ7" s="3407"/>
      <c r="KER7" s="3407"/>
      <c r="KES7" s="3407"/>
      <c r="KET7" s="3407"/>
      <c r="KEU7" s="3407"/>
      <c r="KEV7" s="3407"/>
      <c r="KEW7" s="3407"/>
      <c r="KEX7" s="3407"/>
      <c r="KEY7" s="3407"/>
      <c r="KEZ7" s="3407"/>
      <c r="KFA7" s="3407"/>
      <c r="KFB7" s="3407"/>
      <c r="KFC7" s="3407"/>
      <c r="KFD7" s="3407"/>
      <c r="KFE7" s="3407"/>
      <c r="KFF7" s="3407"/>
      <c r="KFG7" s="3407"/>
      <c r="KFH7" s="3407"/>
      <c r="KFI7" s="3407"/>
      <c r="KFJ7" s="3407"/>
      <c r="KFK7" s="3407"/>
      <c r="KFL7" s="3407"/>
      <c r="KFM7" s="3407"/>
      <c r="KFN7" s="3407"/>
      <c r="KFO7" s="3407"/>
      <c r="KFP7" s="3407"/>
      <c r="KFQ7" s="3407"/>
      <c r="KFR7" s="3407"/>
      <c r="KFS7" s="3407"/>
      <c r="KFT7" s="3407"/>
      <c r="KFU7" s="3407"/>
      <c r="KFV7" s="3407"/>
      <c r="KFW7" s="3407"/>
      <c r="KFX7" s="3407"/>
      <c r="KFY7" s="3407"/>
      <c r="KFZ7" s="3407"/>
      <c r="KGA7" s="3407"/>
      <c r="KGB7" s="3407"/>
      <c r="KGC7" s="3407"/>
      <c r="KGD7" s="3407"/>
      <c r="KGE7" s="3407"/>
      <c r="KGF7" s="3407"/>
      <c r="KGG7" s="3407"/>
      <c r="KGH7" s="3407"/>
      <c r="KGI7" s="3407"/>
      <c r="KGJ7" s="3407"/>
      <c r="KGK7" s="3407"/>
      <c r="KGL7" s="3407"/>
      <c r="KGM7" s="3407"/>
      <c r="KGN7" s="3407"/>
      <c r="KGO7" s="3407"/>
      <c r="KGP7" s="3407"/>
      <c r="KGQ7" s="3407"/>
      <c r="KGR7" s="3407"/>
      <c r="KGS7" s="3407"/>
      <c r="KGT7" s="3407"/>
      <c r="KGU7" s="3407"/>
      <c r="KGV7" s="3407"/>
      <c r="KGW7" s="3407"/>
      <c r="KGX7" s="3407"/>
      <c r="KGY7" s="3407"/>
      <c r="KGZ7" s="3407"/>
      <c r="KHA7" s="3407"/>
      <c r="KHB7" s="3407"/>
      <c r="KHC7" s="3407"/>
      <c r="KHD7" s="3407"/>
      <c r="KHE7" s="3407"/>
      <c r="KHF7" s="3407"/>
      <c r="KHG7" s="3407"/>
      <c r="KHH7" s="3407"/>
      <c r="KHI7" s="3407"/>
      <c r="KHJ7" s="3407"/>
      <c r="KHK7" s="3407"/>
      <c r="KHL7" s="3407"/>
      <c r="KHM7" s="3407"/>
      <c r="KHN7" s="3407"/>
      <c r="KHO7" s="3407"/>
      <c r="KHP7" s="3407"/>
      <c r="KHQ7" s="3407"/>
      <c r="KHR7" s="3407"/>
      <c r="KHS7" s="3407"/>
      <c r="KHT7" s="3407"/>
      <c r="KHU7" s="3407"/>
      <c r="KHV7" s="3407"/>
      <c r="KHW7" s="3407"/>
      <c r="KHX7" s="3407"/>
      <c r="KHY7" s="3407"/>
      <c r="KHZ7" s="3407"/>
      <c r="KIA7" s="3407"/>
      <c r="KIB7" s="3407"/>
      <c r="KIC7" s="3407"/>
      <c r="KID7" s="3407"/>
      <c r="KIE7" s="3407"/>
      <c r="KIF7" s="3407"/>
      <c r="KIG7" s="3407"/>
      <c r="KIH7" s="3407"/>
      <c r="KII7" s="3407"/>
      <c r="KIJ7" s="3407"/>
      <c r="KIK7" s="3407"/>
      <c r="KIL7" s="3407"/>
      <c r="KIM7" s="3407"/>
      <c r="KIN7" s="3407"/>
      <c r="KIO7" s="3407"/>
      <c r="KIP7" s="3407"/>
      <c r="KIQ7" s="3407"/>
      <c r="KIR7" s="3407"/>
      <c r="KIS7" s="3407"/>
      <c r="KIT7" s="3407"/>
      <c r="KIU7" s="3407"/>
      <c r="KIV7" s="3407"/>
      <c r="KIW7" s="3407"/>
      <c r="KIX7" s="3407"/>
      <c r="KIY7" s="3407"/>
      <c r="KIZ7" s="3407"/>
      <c r="KJA7" s="3407"/>
      <c r="KJB7" s="3407"/>
      <c r="KJC7" s="3407"/>
      <c r="KJD7" s="3407"/>
      <c r="KJE7" s="3407"/>
      <c r="KJF7" s="3407"/>
      <c r="KJG7" s="3407"/>
      <c r="KJH7" s="3407"/>
      <c r="KJI7" s="3407"/>
      <c r="KJJ7" s="3407"/>
      <c r="KJK7" s="3407"/>
      <c r="KJL7" s="3407"/>
      <c r="KJM7" s="3407"/>
      <c r="KJN7" s="3407"/>
      <c r="KJO7" s="3407"/>
      <c r="KJP7" s="3407"/>
      <c r="KJQ7" s="3407"/>
      <c r="KJR7" s="3407"/>
      <c r="KJS7" s="3407"/>
      <c r="KJT7" s="3407"/>
      <c r="KJU7" s="3407"/>
      <c r="KJV7" s="3407"/>
      <c r="KJW7" s="3407"/>
      <c r="KJX7" s="3407"/>
      <c r="KJY7" s="3407"/>
      <c r="KJZ7" s="3407"/>
      <c r="KKA7" s="3407"/>
      <c r="KKB7" s="3407"/>
      <c r="KKC7" s="3407"/>
      <c r="KKD7" s="3407"/>
      <c r="KKE7" s="3407"/>
      <c r="KKF7" s="3407"/>
      <c r="KKG7" s="3407"/>
      <c r="KKH7" s="3407"/>
      <c r="KKI7" s="3407"/>
      <c r="KKJ7" s="3407"/>
      <c r="KKK7" s="3407"/>
      <c r="KKL7" s="3407"/>
      <c r="KKM7" s="3407"/>
      <c r="KKN7" s="3407"/>
      <c r="KKO7" s="3407"/>
      <c r="KKP7" s="3407"/>
      <c r="KKQ7" s="3407"/>
      <c r="KKR7" s="3407"/>
      <c r="KKS7" s="3407"/>
      <c r="KKT7" s="3407"/>
      <c r="KKU7" s="3407"/>
      <c r="KKV7" s="3407"/>
      <c r="KKW7" s="3407"/>
      <c r="KKX7" s="3407"/>
      <c r="KKY7" s="3407"/>
      <c r="KKZ7" s="3407"/>
      <c r="KLA7" s="3407"/>
      <c r="KLB7" s="3407"/>
      <c r="KLC7" s="3407"/>
      <c r="KLD7" s="3407"/>
      <c r="KLE7" s="3407"/>
      <c r="KLF7" s="3407"/>
      <c r="KLG7" s="3407"/>
      <c r="KLH7" s="3407"/>
      <c r="KLI7" s="3407"/>
      <c r="KLJ7" s="3407"/>
      <c r="KLK7" s="3407"/>
      <c r="KLL7" s="3407"/>
      <c r="KLM7" s="3407"/>
      <c r="KLN7" s="3407"/>
      <c r="KLO7" s="3407"/>
      <c r="KLP7" s="3407"/>
      <c r="KLQ7" s="3407"/>
      <c r="KLR7" s="3407"/>
      <c r="KLS7" s="3407"/>
      <c r="KLT7" s="3407"/>
      <c r="KLU7" s="3407"/>
      <c r="KLV7" s="3407"/>
      <c r="KLW7" s="3407"/>
      <c r="KLX7" s="3407"/>
      <c r="KLY7" s="3407"/>
      <c r="KLZ7" s="3407"/>
      <c r="KMA7" s="3407"/>
      <c r="KMB7" s="3407"/>
      <c r="KMC7" s="3407"/>
      <c r="KMD7" s="3407"/>
      <c r="KME7" s="3407"/>
      <c r="KMF7" s="3407"/>
      <c r="KMG7" s="3407"/>
      <c r="KMH7" s="3407"/>
      <c r="KMI7" s="3407"/>
      <c r="KMJ7" s="3407"/>
      <c r="KMK7" s="3407"/>
      <c r="KML7" s="3407"/>
      <c r="KMM7" s="3407"/>
      <c r="KMN7" s="3407"/>
      <c r="KMO7" s="3407"/>
      <c r="KMP7" s="3407"/>
      <c r="KMQ7" s="3407"/>
      <c r="KMR7" s="3407"/>
      <c r="KMS7" s="3407"/>
      <c r="KMT7" s="3407"/>
      <c r="KMU7" s="3407"/>
      <c r="KMV7" s="3407"/>
      <c r="KMW7" s="3407"/>
      <c r="KMX7" s="3407"/>
      <c r="KMY7" s="3407"/>
      <c r="KMZ7" s="3407"/>
      <c r="KNA7" s="3407"/>
      <c r="KNB7" s="3407"/>
      <c r="KNC7" s="3407"/>
      <c r="KND7" s="3407"/>
      <c r="KNE7" s="3407"/>
      <c r="KNF7" s="3407"/>
      <c r="KNG7" s="3407"/>
      <c r="KNH7" s="3407"/>
      <c r="KNI7" s="3407"/>
      <c r="KNJ7" s="3407"/>
      <c r="KNK7" s="3407"/>
      <c r="KNL7" s="3407"/>
      <c r="KNM7" s="3407"/>
      <c r="KNN7" s="3407"/>
      <c r="KNO7" s="3407"/>
      <c r="KNP7" s="3407"/>
      <c r="KNQ7" s="3407"/>
      <c r="KNR7" s="3407"/>
      <c r="KNS7" s="3407"/>
      <c r="KNT7" s="3407"/>
      <c r="KNU7" s="3407"/>
      <c r="KNV7" s="3407"/>
      <c r="KNW7" s="3407"/>
      <c r="KNX7" s="3407"/>
      <c r="KNY7" s="3407"/>
      <c r="KNZ7" s="3407"/>
      <c r="KOA7" s="3407"/>
      <c r="KOB7" s="3407"/>
      <c r="KOC7" s="3407"/>
      <c r="KOD7" s="3407"/>
      <c r="KOE7" s="3407"/>
      <c r="KOF7" s="3407"/>
      <c r="KOG7" s="3407"/>
      <c r="KOH7" s="3407"/>
      <c r="KOI7" s="3407"/>
      <c r="KOJ7" s="3407"/>
      <c r="KOK7" s="3407"/>
      <c r="KOL7" s="3407"/>
      <c r="KOM7" s="3407"/>
      <c r="KON7" s="3407"/>
      <c r="KOO7" s="3407"/>
      <c r="KOP7" s="3407"/>
      <c r="KOQ7" s="3407"/>
      <c r="KOR7" s="3407"/>
      <c r="KOS7" s="3407"/>
      <c r="KOT7" s="3407"/>
      <c r="KOU7" s="3407"/>
      <c r="KOV7" s="3407"/>
      <c r="KOW7" s="3407"/>
      <c r="KOX7" s="3407"/>
      <c r="KOY7" s="3407"/>
      <c r="KOZ7" s="3407"/>
      <c r="KPA7" s="3407"/>
      <c r="KPB7" s="3407"/>
      <c r="KPC7" s="3407"/>
      <c r="KPD7" s="3407"/>
      <c r="KPE7" s="3407"/>
      <c r="KPF7" s="3407"/>
      <c r="KPG7" s="3407"/>
      <c r="KPH7" s="3407"/>
      <c r="KPI7" s="3407"/>
      <c r="KPJ7" s="3407"/>
      <c r="KPK7" s="3407"/>
      <c r="KPL7" s="3407"/>
      <c r="KPM7" s="3407"/>
      <c r="KPN7" s="3407"/>
      <c r="KPO7" s="3407"/>
      <c r="KPP7" s="3407"/>
      <c r="KPQ7" s="3407"/>
      <c r="KPR7" s="3407"/>
      <c r="KPS7" s="3407"/>
      <c r="KPT7" s="3407"/>
      <c r="KPU7" s="3407"/>
      <c r="KPV7" s="3407"/>
      <c r="KPW7" s="3407"/>
      <c r="KPX7" s="3407"/>
      <c r="KPY7" s="3407"/>
      <c r="KPZ7" s="3407"/>
      <c r="KQA7" s="3407"/>
      <c r="KQB7" s="3407"/>
      <c r="KQC7" s="3407"/>
      <c r="KQD7" s="3407"/>
      <c r="KQE7" s="3407"/>
      <c r="KQF7" s="3407"/>
      <c r="KQG7" s="3407"/>
      <c r="KQH7" s="3407"/>
      <c r="KQI7" s="3407"/>
      <c r="KQJ7" s="3407"/>
      <c r="KQK7" s="3407"/>
      <c r="KQL7" s="3407"/>
      <c r="KQM7" s="3407"/>
      <c r="KQN7" s="3407"/>
      <c r="KQO7" s="3407"/>
      <c r="KQP7" s="3407"/>
      <c r="KQQ7" s="3407"/>
      <c r="KQR7" s="3407"/>
      <c r="KQS7" s="3407"/>
      <c r="KQT7" s="3407"/>
      <c r="KQU7" s="3407"/>
      <c r="KQV7" s="3407"/>
      <c r="KQW7" s="3407"/>
      <c r="KQX7" s="3407"/>
      <c r="KQY7" s="3407"/>
      <c r="KQZ7" s="3407"/>
      <c r="KRA7" s="3407"/>
      <c r="KRB7" s="3407"/>
      <c r="KRC7" s="3407"/>
      <c r="KRD7" s="3407"/>
      <c r="KRE7" s="3407"/>
      <c r="KRF7" s="3407"/>
      <c r="KRG7" s="3407"/>
      <c r="KRH7" s="3407"/>
      <c r="KRI7" s="3407"/>
      <c r="KRJ7" s="3407"/>
      <c r="KRK7" s="3407"/>
      <c r="KRL7" s="3407"/>
      <c r="KRM7" s="3407"/>
      <c r="KRN7" s="3407"/>
      <c r="KRO7" s="3407"/>
      <c r="KRP7" s="3407"/>
      <c r="KRQ7" s="3407"/>
      <c r="KRR7" s="3407"/>
      <c r="KRS7" s="3407"/>
      <c r="KRT7" s="3407"/>
      <c r="KRU7" s="3407"/>
      <c r="KRV7" s="3407"/>
      <c r="KRW7" s="3407"/>
      <c r="KRX7" s="3407"/>
      <c r="KRY7" s="3407"/>
      <c r="KRZ7" s="3407"/>
      <c r="KSA7" s="3407"/>
      <c r="KSB7" s="3407"/>
      <c r="KSC7" s="3407"/>
      <c r="KSD7" s="3407"/>
      <c r="KSE7" s="3407"/>
      <c r="KSF7" s="3407"/>
      <c r="KSG7" s="3407"/>
      <c r="KSH7" s="3407"/>
      <c r="KSI7" s="3407"/>
      <c r="KSJ7" s="3407"/>
      <c r="KSK7" s="3407"/>
      <c r="KSL7" s="3407"/>
      <c r="KSM7" s="3407"/>
      <c r="KSN7" s="3407"/>
      <c r="KSO7" s="3407"/>
      <c r="KSP7" s="3407"/>
      <c r="KSQ7" s="3407"/>
      <c r="KSR7" s="3407"/>
      <c r="KSS7" s="3407"/>
      <c r="KST7" s="3407"/>
      <c r="KSU7" s="3407"/>
      <c r="KSV7" s="3407"/>
      <c r="KSW7" s="3407"/>
      <c r="KSX7" s="3407"/>
      <c r="KSY7" s="3407"/>
      <c r="KSZ7" s="3407"/>
      <c r="KTA7" s="3407"/>
      <c r="KTB7" s="3407"/>
      <c r="KTC7" s="3407"/>
      <c r="KTD7" s="3407"/>
      <c r="KTE7" s="3407"/>
      <c r="KTF7" s="3407"/>
      <c r="KTG7" s="3407"/>
      <c r="KTH7" s="3407"/>
      <c r="KTI7" s="3407"/>
      <c r="KTJ7" s="3407"/>
      <c r="KTK7" s="3407"/>
      <c r="KTL7" s="3407"/>
      <c r="KTM7" s="3407"/>
      <c r="KTN7" s="3407"/>
      <c r="KTO7" s="3407"/>
      <c r="KTP7" s="3407"/>
      <c r="KTQ7" s="3407"/>
      <c r="KTR7" s="3407"/>
      <c r="KTS7" s="3407"/>
      <c r="KTT7" s="3407"/>
      <c r="KTU7" s="3407"/>
      <c r="KTV7" s="3407"/>
      <c r="KTW7" s="3407"/>
      <c r="KTX7" s="3407"/>
      <c r="KTY7" s="3407"/>
      <c r="KTZ7" s="3407"/>
      <c r="KUA7" s="3407"/>
      <c r="KUB7" s="3407"/>
      <c r="KUC7" s="3407"/>
      <c r="KUD7" s="3407"/>
      <c r="KUE7" s="3407"/>
      <c r="KUF7" s="3407"/>
      <c r="KUG7" s="3407"/>
      <c r="KUH7" s="3407"/>
      <c r="KUI7" s="3407"/>
      <c r="KUJ7" s="3407"/>
      <c r="KUK7" s="3407"/>
      <c r="KUL7" s="3407"/>
      <c r="KUM7" s="3407"/>
      <c r="KUN7" s="3407"/>
      <c r="KUO7" s="3407"/>
      <c r="KUP7" s="3407"/>
      <c r="KUQ7" s="3407"/>
      <c r="KUR7" s="3407"/>
      <c r="KUS7" s="3407"/>
      <c r="KUT7" s="3407"/>
      <c r="KUU7" s="3407"/>
      <c r="KUV7" s="3407"/>
      <c r="KUW7" s="3407"/>
      <c r="KUX7" s="3407"/>
      <c r="KUY7" s="3407"/>
      <c r="KUZ7" s="3407"/>
      <c r="KVA7" s="3407"/>
      <c r="KVB7" s="3407"/>
      <c r="KVC7" s="3407"/>
      <c r="KVD7" s="3407"/>
      <c r="KVE7" s="3407"/>
      <c r="KVF7" s="3407"/>
      <c r="KVG7" s="3407"/>
      <c r="KVH7" s="3407"/>
      <c r="KVI7" s="3407"/>
      <c r="KVJ7" s="3407"/>
      <c r="KVK7" s="3407"/>
      <c r="KVL7" s="3407"/>
      <c r="KVM7" s="3407"/>
      <c r="KVN7" s="3407"/>
      <c r="KVO7" s="3407"/>
      <c r="KVP7" s="3407"/>
      <c r="KVQ7" s="3407"/>
      <c r="KVR7" s="3407"/>
      <c r="KVS7" s="3407"/>
      <c r="KVT7" s="3407"/>
      <c r="KVU7" s="3407"/>
      <c r="KVV7" s="3407"/>
      <c r="KVW7" s="3407"/>
      <c r="KVX7" s="3407"/>
      <c r="KVY7" s="3407"/>
      <c r="KVZ7" s="3407"/>
      <c r="KWA7" s="3407"/>
      <c r="KWB7" s="3407"/>
      <c r="KWC7" s="3407"/>
      <c r="KWD7" s="3407"/>
      <c r="KWE7" s="3407"/>
      <c r="KWF7" s="3407"/>
      <c r="KWG7" s="3407"/>
      <c r="KWH7" s="3407"/>
      <c r="KWI7" s="3407"/>
      <c r="KWJ7" s="3407"/>
      <c r="KWK7" s="3407"/>
      <c r="KWL7" s="3407"/>
      <c r="KWM7" s="3407"/>
      <c r="KWN7" s="3407"/>
      <c r="KWO7" s="3407"/>
      <c r="KWP7" s="3407"/>
      <c r="KWQ7" s="3407"/>
      <c r="KWR7" s="3407"/>
      <c r="KWS7" s="3407"/>
      <c r="KWT7" s="3407"/>
      <c r="KWU7" s="3407"/>
      <c r="KWV7" s="3407"/>
      <c r="KWW7" s="3407"/>
      <c r="KWX7" s="3407"/>
      <c r="KWY7" s="3407"/>
      <c r="KWZ7" s="3407"/>
      <c r="KXA7" s="3407"/>
      <c r="KXB7" s="3407"/>
      <c r="KXC7" s="3407"/>
      <c r="KXD7" s="3407"/>
      <c r="KXE7" s="3407"/>
      <c r="KXF7" s="3407"/>
      <c r="KXG7" s="3407"/>
      <c r="KXH7" s="3407"/>
      <c r="KXI7" s="3407"/>
      <c r="KXJ7" s="3407"/>
      <c r="KXK7" s="3407"/>
      <c r="KXL7" s="3407"/>
      <c r="KXM7" s="3407"/>
      <c r="KXN7" s="3407"/>
      <c r="KXO7" s="3407"/>
      <c r="KXP7" s="3407"/>
      <c r="KXQ7" s="3407"/>
      <c r="KXR7" s="3407"/>
      <c r="KXS7" s="3407"/>
      <c r="KXT7" s="3407"/>
      <c r="KXU7" s="3407"/>
      <c r="KXV7" s="3407"/>
      <c r="KXW7" s="3407"/>
      <c r="KXX7" s="3407"/>
      <c r="KXY7" s="3407"/>
      <c r="KXZ7" s="3407"/>
      <c r="KYA7" s="3407"/>
      <c r="KYB7" s="3407"/>
      <c r="KYC7" s="3407"/>
      <c r="KYD7" s="3407"/>
      <c r="KYE7" s="3407"/>
      <c r="KYF7" s="3407"/>
      <c r="KYG7" s="3407"/>
      <c r="KYH7" s="3407"/>
      <c r="KYI7" s="3407"/>
      <c r="KYJ7" s="3407"/>
      <c r="KYK7" s="3407"/>
      <c r="KYL7" s="3407"/>
      <c r="KYM7" s="3407"/>
      <c r="KYN7" s="3407"/>
      <c r="KYO7" s="3407"/>
      <c r="KYP7" s="3407"/>
      <c r="KYQ7" s="3407"/>
      <c r="KYR7" s="3407"/>
      <c r="KYS7" s="3407"/>
      <c r="KYT7" s="3407"/>
      <c r="KYU7" s="3407"/>
      <c r="KYV7" s="3407"/>
      <c r="KYW7" s="3407"/>
      <c r="KYX7" s="3407"/>
      <c r="KYY7" s="3407"/>
      <c r="KYZ7" s="3407"/>
      <c r="KZA7" s="3407"/>
      <c r="KZB7" s="3407"/>
      <c r="KZC7" s="3407"/>
      <c r="KZD7" s="3407"/>
      <c r="KZE7" s="3407"/>
      <c r="KZF7" s="3407"/>
      <c r="KZG7" s="3407"/>
      <c r="KZH7" s="3407"/>
      <c r="KZI7" s="3407"/>
      <c r="KZJ7" s="3407"/>
      <c r="KZK7" s="3407"/>
      <c r="KZL7" s="3407"/>
      <c r="KZM7" s="3407"/>
      <c r="KZN7" s="3407"/>
      <c r="KZO7" s="3407"/>
      <c r="KZP7" s="3407"/>
      <c r="KZQ7" s="3407"/>
      <c r="KZR7" s="3407"/>
      <c r="KZS7" s="3407"/>
      <c r="KZT7" s="3407"/>
      <c r="KZU7" s="3407"/>
      <c r="KZV7" s="3407"/>
      <c r="KZW7" s="3407"/>
      <c r="KZX7" s="3407"/>
      <c r="KZY7" s="3407"/>
      <c r="KZZ7" s="3407"/>
      <c r="LAA7" s="3407"/>
      <c r="LAB7" s="3407"/>
      <c r="LAC7" s="3407"/>
      <c r="LAD7" s="3407"/>
      <c r="LAE7" s="3407"/>
      <c r="LAF7" s="3407"/>
      <c r="LAG7" s="3407"/>
      <c r="LAH7" s="3407"/>
      <c r="LAI7" s="3407"/>
      <c r="LAJ7" s="3407"/>
      <c r="LAK7" s="3407"/>
      <c r="LAL7" s="3407"/>
      <c r="LAM7" s="3407"/>
      <c r="LAN7" s="3407"/>
      <c r="LAO7" s="3407"/>
      <c r="LAP7" s="3407"/>
      <c r="LAQ7" s="3407"/>
      <c r="LAR7" s="3407"/>
      <c r="LAS7" s="3407"/>
      <c r="LAT7" s="3407"/>
      <c r="LAU7" s="3407"/>
      <c r="LAV7" s="3407"/>
      <c r="LAW7" s="3407"/>
      <c r="LAX7" s="3407"/>
      <c r="LAY7" s="3407"/>
      <c r="LAZ7" s="3407"/>
      <c r="LBA7" s="3407"/>
      <c r="LBB7" s="3407"/>
      <c r="LBC7" s="3407"/>
      <c r="LBD7" s="3407"/>
      <c r="LBE7" s="3407"/>
      <c r="LBF7" s="3407"/>
      <c r="LBG7" s="3407"/>
      <c r="LBH7" s="3407"/>
      <c r="LBI7" s="3407"/>
      <c r="LBJ7" s="3407"/>
      <c r="LBK7" s="3407"/>
      <c r="LBL7" s="3407"/>
      <c r="LBM7" s="3407"/>
      <c r="LBN7" s="3407"/>
      <c r="LBO7" s="3407"/>
      <c r="LBP7" s="3407"/>
      <c r="LBQ7" s="3407"/>
      <c r="LBR7" s="3407"/>
      <c r="LBS7" s="3407"/>
      <c r="LBT7" s="3407"/>
      <c r="LBU7" s="3407"/>
      <c r="LBV7" s="3407"/>
      <c r="LBW7" s="3407"/>
      <c r="LBX7" s="3407"/>
      <c r="LBY7" s="3407"/>
      <c r="LBZ7" s="3407"/>
      <c r="LCA7" s="3407"/>
      <c r="LCB7" s="3407"/>
      <c r="LCC7" s="3407"/>
      <c r="LCD7" s="3407"/>
      <c r="LCE7" s="3407"/>
      <c r="LCF7" s="3407"/>
      <c r="LCG7" s="3407"/>
      <c r="LCH7" s="3407"/>
      <c r="LCI7" s="3407"/>
      <c r="LCJ7" s="3407"/>
      <c r="LCK7" s="3407"/>
      <c r="LCL7" s="3407"/>
      <c r="LCM7" s="3407"/>
      <c r="LCN7" s="3407"/>
      <c r="LCO7" s="3407"/>
      <c r="LCP7" s="3407"/>
      <c r="LCQ7" s="3407"/>
      <c r="LCR7" s="3407"/>
      <c r="LCS7" s="3407"/>
      <c r="LCT7" s="3407"/>
      <c r="LCU7" s="3407"/>
      <c r="LCV7" s="3407"/>
      <c r="LCW7" s="3407"/>
      <c r="LCX7" s="3407"/>
      <c r="LCY7" s="3407"/>
      <c r="LCZ7" s="3407"/>
      <c r="LDA7" s="3407"/>
      <c r="LDB7" s="3407"/>
      <c r="LDC7" s="3407"/>
      <c r="LDD7" s="3407"/>
      <c r="LDE7" s="3407"/>
      <c r="LDF7" s="3407"/>
      <c r="LDG7" s="3407"/>
      <c r="LDH7" s="3407"/>
      <c r="LDI7" s="3407"/>
      <c r="LDJ7" s="3407"/>
      <c r="LDK7" s="3407"/>
      <c r="LDL7" s="3407"/>
      <c r="LDM7" s="3407"/>
      <c r="LDN7" s="3407"/>
      <c r="LDO7" s="3407"/>
      <c r="LDP7" s="3407"/>
      <c r="LDQ7" s="3407"/>
      <c r="LDR7" s="3407"/>
      <c r="LDS7" s="3407"/>
      <c r="LDT7" s="3407"/>
      <c r="LDU7" s="3407"/>
      <c r="LDV7" s="3407"/>
      <c r="LDW7" s="3407"/>
      <c r="LDX7" s="3407"/>
      <c r="LDY7" s="3407"/>
      <c r="LDZ7" s="3407"/>
      <c r="LEA7" s="3407"/>
      <c r="LEB7" s="3407"/>
      <c r="LEC7" s="3407"/>
      <c r="LED7" s="3407"/>
      <c r="LEE7" s="3407"/>
      <c r="LEF7" s="3407"/>
      <c r="LEG7" s="3407"/>
      <c r="LEH7" s="3407"/>
      <c r="LEI7" s="3407"/>
      <c r="LEJ7" s="3407"/>
      <c r="LEK7" s="3407"/>
      <c r="LEL7" s="3407"/>
      <c r="LEM7" s="3407"/>
      <c r="LEN7" s="3407"/>
      <c r="LEO7" s="3407"/>
      <c r="LEP7" s="3407"/>
      <c r="LEQ7" s="3407"/>
      <c r="LER7" s="3407"/>
      <c r="LES7" s="3407"/>
      <c r="LET7" s="3407"/>
      <c r="LEU7" s="3407"/>
      <c r="LEV7" s="3407"/>
      <c r="LEW7" s="3407"/>
      <c r="LEX7" s="3407"/>
      <c r="LEY7" s="3407"/>
      <c r="LEZ7" s="3407"/>
      <c r="LFA7" s="3407"/>
      <c r="LFB7" s="3407"/>
      <c r="LFC7" s="3407"/>
      <c r="LFD7" s="3407"/>
      <c r="LFE7" s="3407"/>
      <c r="LFF7" s="3407"/>
      <c r="LFG7" s="3407"/>
      <c r="LFH7" s="3407"/>
      <c r="LFI7" s="3407"/>
      <c r="LFJ7" s="3407"/>
      <c r="LFK7" s="3407"/>
      <c r="LFL7" s="3407"/>
      <c r="LFM7" s="3407"/>
      <c r="LFN7" s="3407"/>
      <c r="LFO7" s="3407"/>
      <c r="LFP7" s="3407"/>
      <c r="LFQ7" s="3407"/>
      <c r="LFR7" s="3407"/>
      <c r="LFS7" s="3407"/>
      <c r="LFT7" s="3407"/>
      <c r="LFU7" s="3407"/>
      <c r="LFV7" s="3407"/>
      <c r="LFW7" s="3407"/>
      <c r="LFX7" s="3407"/>
      <c r="LFY7" s="3407"/>
      <c r="LFZ7" s="3407"/>
      <c r="LGA7" s="3407"/>
      <c r="LGB7" s="3407"/>
      <c r="LGC7" s="3407"/>
      <c r="LGD7" s="3407"/>
      <c r="LGE7" s="3407"/>
      <c r="LGF7" s="3407"/>
      <c r="LGG7" s="3407"/>
      <c r="LGH7" s="3407"/>
      <c r="LGI7" s="3407"/>
      <c r="LGJ7" s="3407"/>
      <c r="LGK7" s="3407"/>
      <c r="LGL7" s="3407"/>
      <c r="LGM7" s="3407"/>
      <c r="LGN7" s="3407"/>
      <c r="LGO7" s="3407"/>
      <c r="LGP7" s="3407"/>
      <c r="LGQ7" s="3407"/>
      <c r="LGR7" s="3407"/>
      <c r="LGS7" s="3407"/>
      <c r="LGT7" s="3407"/>
      <c r="LGU7" s="3407"/>
      <c r="LGV7" s="3407"/>
      <c r="LGW7" s="3407"/>
      <c r="LGX7" s="3407"/>
      <c r="LGY7" s="3407"/>
      <c r="LGZ7" s="3407"/>
      <c r="LHA7" s="3407"/>
      <c r="LHB7" s="3407"/>
      <c r="LHC7" s="3407"/>
      <c r="LHD7" s="3407"/>
      <c r="LHE7" s="3407"/>
      <c r="LHF7" s="3407"/>
      <c r="LHG7" s="3407"/>
      <c r="LHH7" s="3407"/>
      <c r="LHI7" s="3407"/>
      <c r="LHJ7" s="3407"/>
      <c r="LHK7" s="3407"/>
      <c r="LHL7" s="3407"/>
      <c r="LHM7" s="3407"/>
      <c r="LHN7" s="3407"/>
      <c r="LHO7" s="3407"/>
      <c r="LHP7" s="3407"/>
      <c r="LHQ7" s="3407"/>
      <c r="LHR7" s="3407"/>
      <c r="LHS7" s="3407"/>
      <c r="LHT7" s="3407"/>
      <c r="LHU7" s="3407"/>
      <c r="LHV7" s="3407"/>
      <c r="LHW7" s="3407"/>
      <c r="LHX7" s="3407"/>
      <c r="LHY7" s="3407"/>
      <c r="LHZ7" s="3407"/>
      <c r="LIA7" s="3407"/>
      <c r="LIB7" s="3407"/>
      <c r="LIC7" s="3407"/>
      <c r="LID7" s="3407"/>
      <c r="LIE7" s="3407"/>
      <c r="LIF7" s="3407"/>
      <c r="LIG7" s="3407"/>
      <c r="LIH7" s="3407"/>
      <c r="LII7" s="3407"/>
      <c r="LIJ7" s="3407"/>
      <c r="LIK7" s="3407"/>
      <c r="LIL7" s="3407"/>
      <c r="LIM7" s="3407"/>
      <c r="LIN7" s="3407"/>
      <c r="LIO7" s="3407"/>
      <c r="LIP7" s="3407"/>
      <c r="LIQ7" s="3407"/>
      <c r="LIR7" s="3407"/>
      <c r="LIS7" s="3407"/>
      <c r="LIT7" s="3407"/>
      <c r="LIU7" s="3407"/>
      <c r="LIV7" s="3407"/>
      <c r="LIW7" s="3407"/>
      <c r="LIX7" s="3407"/>
      <c r="LIY7" s="3407"/>
      <c r="LIZ7" s="3407"/>
      <c r="LJA7" s="3407"/>
      <c r="LJB7" s="3407"/>
      <c r="LJC7" s="3407"/>
      <c r="LJD7" s="3407"/>
      <c r="LJE7" s="3407"/>
      <c r="LJF7" s="3407"/>
      <c r="LJG7" s="3407"/>
      <c r="LJH7" s="3407"/>
      <c r="LJI7" s="3407"/>
      <c r="LJJ7" s="3407"/>
      <c r="LJK7" s="3407"/>
      <c r="LJL7" s="3407"/>
      <c r="LJM7" s="3407"/>
      <c r="LJN7" s="3407"/>
      <c r="LJO7" s="3407"/>
      <c r="LJP7" s="3407"/>
      <c r="LJQ7" s="3407"/>
      <c r="LJR7" s="3407"/>
      <c r="LJS7" s="3407"/>
      <c r="LJT7" s="3407"/>
      <c r="LJU7" s="3407"/>
      <c r="LJV7" s="3407"/>
      <c r="LJW7" s="3407"/>
      <c r="LJX7" s="3407"/>
      <c r="LJY7" s="3407"/>
      <c r="LJZ7" s="3407"/>
      <c r="LKA7" s="3407"/>
      <c r="LKB7" s="3407"/>
      <c r="LKC7" s="3407"/>
      <c r="LKD7" s="3407"/>
      <c r="LKE7" s="3407"/>
      <c r="LKF7" s="3407"/>
      <c r="LKG7" s="3407"/>
      <c r="LKH7" s="3407"/>
      <c r="LKI7" s="3407"/>
      <c r="LKJ7" s="3407"/>
      <c r="LKK7" s="3407"/>
      <c r="LKL7" s="3407"/>
      <c r="LKM7" s="3407"/>
      <c r="LKN7" s="3407"/>
      <c r="LKO7" s="3407"/>
      <c r="LKP7" s="3407"/>
      <c r="LKQ7" s="3407"/>
      <c r="LKR7" s="3407"/>
      <c r="LKS7" s="3407"/>
      <c r="LKT7" s="3407"/>
      <c r="LKU7" s="3407"/>
      <c r="LKV7" s="3407"/>
      <c r="LKW7" s="3407"/>
      <c r="LKX7" s="3407"/>
      <c r="LKY7" s="3407"/>
      <c r="LKZ7" s="3407"/>
      <c r="LLA7" s="3407"/>
      <c r="LLB7" s="3407"/>
      <c r="LLC7" s="3407"/>
      <c r="LLD7" s="3407"/>
      <c r="LLE7" s="3407"/>
      <c r="LLF7" s="3407"/>
      <c r="LLG7" s="3407"/>
      <c r="LLH7" s="3407"/>
      <c r="LLI7" s="3407"/>
      <c r="LLJ7" s="3407"/>
      <c r="LLK7" s="3407"/>
      <c r="LLL7" s="3407"/>
      <c r="LLM7" s="3407"/>
      <c r="LLN7" s="3407"/>
      <c r="LLO7" s="3407"/>
      <c r="LLP7" s="3407"/>
      <c r="LLQ7" s="3407"/>
      <c r="LLR7" s="3407"/>
      <c r="LLS7" s="3407"/>
      <c r="LLT7" s="3407"/>
      <c r="LLU7" s="3407"/>
      <c r="LLV7" s="3407"/>
      <c r="LLW7" s="3407"/>
      <c r="LLX7" s="3407"/>
      <c r="LLY7" s="3407"/>
      <c r="LLZ7" s="3407"/>
      <c r="LMA7" s="3407"/>
      <c r="LMB7" s="3407"/>
      <c r="LMC7" s="3407"/>
      <c r="LMD7" s="3407"/>
      <c r="LME7" s="3407"/>
      <c r="LMF7" s="3407"/>
      <c r="LMG7" s="3407"/>
      <c r="LMH7" s="3407"/>
      <c r="LMI7" s="3407"/>
      <c r="LMJ7" s="3407"/>
      <c r="LMK7" s="3407"/>
      <c r="LML7" s="3407"/>
      <c r="LMM7" s="3407"/>
      <c r="LMN7" s="3407"/>
      <c r="LMO7" s="3407"/>
      <c r="LMP7" s="3407"/>
      <c r="LMQ7" s="3407"/>
      <c r="LMR7" s="3407"/>
      <c r="LMS7" s="3407"/>
      <c r="LMT7" s="3407"/>
      <c r="LMU7" s="3407"/>
      <c r="LMV7" s="3407"/>
      <c r="LMW7" s="3407"/>
      <c r="LMX7" s="3407"/>
      <c r="LMY7" s="3407"/>
      <c r="LMZ7" s="3407"/>
      <c r="LNA7" s="3407"/>
      <c r="LNB7" s="3407"/>
      <c r="LNC7" s="3407"/>
      <c r="LND7" s="3407"/>
      <c r="LNE7" s="3407"/>
      <c r="LNF7" s="3407"/>
      <c r="LNG7" s="3407"/>
      <c r="LNH7" s="3407"/>
      <c r="LNI7" s="3407"/>
      <c r="LNJ7" s="3407"/>
      <c r="LNK7" s="3407"/>
      <c r="LNL7" s="3407"/>
      <c r="LNM7" s="3407"/>
      <c r="LNN7" s="3407"/>
      <c r="LNO7" s="3407"/>
      <c r="LNP7" s="3407"/>
      <c r="LNQ7" s="3407"/>
      <c r="LNR7" s="3407"/>
      <c r="LNS7" s="3407"/>
      <c r="LNT7" s="3407"/>
      <c r="LNU7" s="3407"/>
      <c r="LNV7" s="3407"/>
      <c r="LNW7" s="3407"/>
      <c r="LNX7" s="3407"/>
      <c r="LNY7" s="3407"/>
      <c r="LNZ7" s="3407"/>
      <c r="LOA7" s="3407"/>
      <c r="LOB7" s="3407"/>
      <c r="LOC7" s="3407"/>
      <c r="LOD7" s="3407"/>
      <c r="LOE7" s="3407"/>
      <c r="LOF7" s="3407"/>
      <c r="LOG7" s="3407"/>
      <c r="LOH7" s="3407"/>
      <c r="LOI7" s="3407"/>
      <c r="LOJ7" s="3407"/>
      <c r="LOK7" s="3407"/>
      <c r="LOL7" s="3407"/>
      <c r="LOM7" s="3407"/>
      <c r="LON7" s="3407"/>
      <c r="LOO7" s="3407"/>
      <c r="LOP7" s="3407"/>
      <c r="LOQ7" s="3407"/>
      <c r="LOR7" s="3407"/>
      <c r="LOS7" s="3407"/>
      <c r="LOT7" s="3407"/>
      <c r="LOU7" s="3407"/>
      <c r="LOV7" s="3407"/>
      <c r="LOW7" s="3407"/>
      <c r="LOX7" s="3407"/>
      <c r="LOY7" s="3407"/>
      <c r="LOZ7" s="3407"/>
      <c r="LPA7" s="3407"/>
      <c r="LPB7" s="3407"/>
      <c r="LPC7" s="3407"/>
      <c r="LPD7" s="3407"/>
      <c r="LPE7" s="3407"/>
      <c r="LPF7" s="3407"/>
      <c r="LPG7" s="3407"/>
      <c r="LPH7" s="3407"/>
      <c r="LPI7" s="3407"/>
      <c r="LPJ7" s="3407"/>
      <c r="LPK7" s="3407"/>
      <c r="LPL7" s="3407"/>
      <c r="LPM7" s="3407"/>
      <c r="LPN7" s="3407"/>
      <c r="LPO7" s="3407"/>
      <c r="LPP7" s="3407"/>
      <c r="LPQ7" s="3407"/>
      <c r="LPR7" s="3407"/>
      <c r="LPS7" s="3407"/>
      <c r="LPT7" s="3407"/>
      <c r="LPU7" s="3407"/>
      <c r="LPV7" s="3407"/>
      <c r="LPW7" s="3407"/>
      <c r="LPX7" s="3407"/>
      <c r="LPY7" s="3407"/>
      <c r="LPZ7" s="3407"/>
      <c r="LQA7" s="3407"/>
      <c r="LQB7" s="3407"/>
      <c r="LQC7" s="3407"/>
      <c r="LQD7" s="3407"/>
      <c r="LQE7" s="3407"/>
      <c r="LQF7" s="3407"/>
      <c r="LQG7" s="3407"/>
      <c r="LQH7" s="3407"/>
      <c r="LQI7" s="3407"/>
      <c r="LQJ7" s="3407"/>
      <c r="LQK7" s="3407"/>
      <c r="LQL7" s="3407"/>
      <c r="LQM7" s="3407"/>
      <c r="LQN7" s="3407"/>
      <c r="LQO7" s="3407"/>
      <c r="LQP7" s="3407"/>
      <c r="LQQ7" s="3407"/>
      <c r="LQR7" s="3407"/>
      <c r="LQS7" s="3407"/>
      <c r="LQT7" s="3407"/>
      <c r="LQU7" s="3407"/>
      <c r="LQV7" s="3407"/>
      <c r="LQW7" s="3407"/>
      <c r="LQX7" s="3407"/>
      <c r="LQY7" s="3407"/>
      <c r="LQZ7" s="3407"/>
      <c r="LRA7" s="3407"/>
      <c r="LRB7" s="3407"/>
      <c r="LRC7" s="3407"/>
      <c r="LRD7" s="3407"/>
      <c r="LRE7" s="3407"/>
      <c r="LRF7" s="3407"/>
      <c r="LRG7" s="3407"/>
      <c r="LRH7" s="3407"/>
      <c r="LRI7" s="3407"/>
      <c r="LRJ7" s="3407"/>
      <c r="LRK7" s="3407"/>
      <c r="LRL7" s="3407"/>
      <c r="LRM7" s="3407"/>
      <c r="LRN7" s="3407"/>
      <c r="LRO7" s="3407"/>
      <c r="LRP7" s="3407"/>
      <c r="LRQ7" s="3407"/>
      <c r="LRR7" s="3407"/>
      <c r="LRS7" s="3407"/>
      <c r="LRT7" s="3407"/>
      <c r="LRU7" s="3407"/>
      <c r="LRV7" s="3407"/>
      <c r="LRW7" s="3407"/>
      <c r="LRX7" s="3407"/>
      <c r="LRY7" s="3407"/>
      <c r="LRZ7" s="3407"/>
      <c r="LSA7" s="3407"/>
      <c r="LSB7" s="3407"/>
      <c r="LSC7" s="3407"/>
      <c r="LSD7" s="3407"/>
      <c r="LSE7" s="3407"/>
      <c r="LSF7" s="3407"/>
      <c r="LSG7" s="3407"/>
      <c r="LSH7" s="3407"/>
      <c r="LSI7" s="3407"/>
      <c r="LSJ7" s="3407"/>
      <c r="LSK7" s="3407"/>
      <c r="LSL7" s="3407"/>
      <c r="LSM7" s="3407"/>
      <c r="LSN7" s="3407"/>
      <c r="LSO7" s="3407"/>
      <c r="LSP7" s="3407"/>
      <c r="LSQ7" s="3407"/>
      <c r="LSR7" s="3407"/>
      <c r="LSS7" s="3407"/>
      <c r="LST7" s="3407"/>
      <c r="LSU7" s="3407"/>
      <c r="LSV7" s="3407"/>
      <c r="LSW7" s="3407"/>
      <c r="LSX7" s="3407"/>
      <c r="LSY7" s="3407"/>
      <c r="LSZ7" s="3407"/>
      <c r="LTA7" s="3407"/>
      <c r="LTB7" s="3407"/>
      <c r="LTC7" s="3407"/>
      <c r="LTD7" s="3407"/>
      <c r="LTE7" s="3407"/>
      <c r="LTF7" s="3407"/>
      <c r="LTG7" s="3407"/>
      <c r="LTH7" s="3407"/>
      <c r="LTI7" s="3407"/>
      <c r="LTJ7" s="3407"/>
      <c r="LTK7" s="3407"/>
      <c r="LTL7" s="3407"/>
      <c r="LTM7" s="3407"/>
      <c r="LTN7" s="3407"/>
      <c r="LTO7" s="3407"/>
      <c r="LTP7" s="3407"/>
      <c r="LTQ7" s="3407"/>
      <c r="LTR7" s="3407"/>
      <c r="LTS7" s="3407"/>
      <c r="LTT7" s="3407"/>
      <c r="LTU7" s="3407"/>
      <c r="LTV7" s="3407"/>
      <c r="LTW7" s="3407"/>
      <c r="LTX7" s="3407"/>
      <c r="LTY7" s="3407"/>
      <c r="LTZ7" s="3407"/>
      <c r="LUA7" s="3407"/>
      <c r="LUB7" s="3407"/>
      <c r="LUC7" s="3407"/>
      <c r="LUD7" s="3407"/>
      <c r="LUE7" s="3407"/>
      <c r="LUF7" s="3407"/>
      <c r="LUG7" s="3407"/>
      <c r="LUH7" s="3407"/>
      <c r="LUI7" s="3407"/>
      <c r="LUJ7" s="3407"/>
      <c r="LUK7" s="3407"/>
      <c r="LUL7" s="3407"/>
      <c r="LUM7" s="3407"/>
      <c r="LUN7" s="3407"/>
      <c r="LUO7" s="3407"/>
      <c r="LUP7" s="3407"/>
      <c r="LUQ7" s="3407"/>
      <c r="LUR7" s="3407"/>
      <c r="LUS7" s="3407"/>
      <c r="LUT7" s="3407"/>
      <c r="LUU7" s="3407"/>
      <c r="LUV7" s="3407"/>
      <c r="LUW7" s="3407"/>
      <c r="LUX7" s="3407"/>
      <c r="LUY7" s="3407"/>
      <c r="LUZ7" s="3407"/>
      <c r="LVA7" s="3407"/>
      <c r="LVB7" s="3407"/>
      <c r="LVC7" s="3407"/>
      <c r="LVD7" s="3407"/>
      <c r="LVE7" s="3407"/>
      <c r="LVF7" s="3407"/>
      <c r="LVG7" s="3407"/>
      <c r="LVH7" s="3407"/>
      <c r="LVI7" s="3407"/>
      <c r="LVJ7" s="3407"/>
      <c r="LVK7" s="3407"/>
      <c r="LVL7" s="3407"/>
      <c r="LVM7" s="3407"/>
      <c r="LVN7" s="3407"/>
      <c r="LVO7" s="3407"/>
      <c r="LVP7" s="3407"/>
      <c r="LVQ7" s="3407"/>
      <c r="LVR7" s="3407"/>
      <c r="LVS7" s="3407"/>
      <c r="LVT7" s="3407"/>
      <c r="LVU7" s="3407"/>
      <c r="LVV7" s="3407"/>
      <c r="LVW7" s="3407"/>
      <c r="LVX7" s="3407"/>
      <c r="LVY7" s="3407"/>
      <c r="LVZ7" s="3407"/>
      <c r="LWA7" s="3407"/>
      <c r="LWB7" s="3407"/>
      <c r="LWC7" s="3407"/>
      <c r="LWD7" s="3407"/>
      <c r="LWE7" s="3407"/>
      <c r="LWF7" s="3407"/>
      <c r="LWG7" s="3407"/>
      <c r="LWH7" s="3407"/>
      <c r="LWI7" s="3407"/>
      <c r="LWJ7" s="3407"/>
      <c r="LWK7" s="3407"/>
      <c r="LWL7" s="3407"/>
      <c r="LWM7" s="3407"/>
      <c r="LWN7" s="3407"/>
      <c r="LWO7" s="3407"/>
      <c r="LWP7" s="3407"/>
      <c r="LWQ7" s="3407"/>
      <c r="LWR7" s="3407"/>
      <c r="LWS7" s="3407"/>
      <c r="LWT7" s="3407"/>
      <c r="LWU7" s="3407"/>
      <c r="LWV7" s="3407"/>
      <c r="LWW7" s="3407"/>
      <c r="LWX7" s="3407"/>
      <c r="LWY7" s="3407"/>
      <c r="LWZ7" s="3407"/>
      <c r="LXA7" s="3407"/>
      <c r="LXB7" s="3407"/>
      <c r="LXC7" s="3407"/>
      <c r="LXD7" s="3407"/>
      <c r="LXE7" s="3407"/>
      <c r="LXF7" s="3407"/>
      <c r="LXG7" s="3407"/>
      <c r="LXH7" s="3407"/>
      <c r="LXI7" s="3407"/>
      <c r="LXJ7" s="3407"/>
      <c r="LXK7" s="3407"/>
      <c r="LXL7" s="3407"/>
      <c r="LXM7" s="3407"/>
      <c r="LXN7" s="3407"/>
      <c r="LXO7" s="3407"/>
      <c r="LXP7" s="3407"/>
      <c r="LXQ7" s="3407"/>
      <c r="LXR7" s="3407"/>
      <c r="LXS7" s="3407"/>
      <c r="LXT7" s="3407"/>
      <c r="LXU7" s="3407"/>
      <c r="LXV7" s="3407"/>
      <c r="LXW7" s="3407"/>
      <c r="LXX7" s="3407"/>
      <c r="LXY7" s="3407"/>
      <c r="LXZ7" s="3407"/>
      <c r="LYA7" s="3407"/>
      <c r="LYB7" s="3407"/>
      <c r="LYC7" s="3407"/>
      <c r="LYD7" s="3407"/>
      <c r="LYE7" s="3407"/>
      <c r="LYF7" s="3407"/>
      <c r="LYG7" s="3407"/>
      <c r="LYH7" s="3407"/>
      <c r="LYI7" s="3407"/>
      <c r="LYJ7" s="3407"/>
      <c r="LYK7" s="3407"/>
      <c r="LYL7" s="3407"/>
      <c r="LYM7" s="3407"/>
      <c r="LYN7" s="3407"/>
      <c r="LYO7" s="3407"/>
      <c r="LYP7" s="3407"/>
      <c r="LYQ7" s="3407"/>
      <c r="LYR7" s="3407"/>
      <c r="LYS7" s="3407"/>
      <c r="LYT7" s="3407"/>
      <c r="LYU7" s="3407"/>
      <c r="LYV7" s="3407"/>
      <c r="LYW7" s="3407"/>
      <c r="LYX7" s="3407"/>
      <c r="LYY7" s="3407"/>
      <c r="LYZ7" s="3407"/>
      <c r="LZA7" s="3407"/>
      <c r="LZB7" s="3407"/>
      <c r="LZC7" s="3407"/>
      <c r="LZD7" s="3407"/>
      <c r="LZE7" s="3407"/>
      <c r="LZF7" s="3407"/>
      <c r="LZG7" s="3407"/>
      <c r="LZH7" s="3407"/>
      <c r="LZI7" s="3407"/>
      <c r="LZJ7" s="3407"/>
      <c r="LZK7" s="3407"/>
      <c r="LZL7" s="3407"/>
      <c r="LZM7" s="3407"/>
      <c r="LZN7" s="3407"/>
      <c r="LZO7" s="3407"/>
      <c r="LZP7" s="3407"/>
      <c r="LZQ7" s="3407"/>
      <c r="LZR7" s="3407"/>
      <c r="LZS7" s="3407"/>
      <c r="LZT7" s="3407"/>
      <c r="LZU7" s="3407"/>
      <c r="LZV7" s="3407"/>
      <c r="LZW7" s="3407"/>
      <c r="LZX7" s="3407"/>
      <c r="LZY7" s="3407"/>
      <c r="LZZ7" s="3407"/>
      <c r="MAA7" s="3407"/>
      <c r="MAB7" s="3407"/>
      <c r="MAC7" s="3407"/>
      <c r="MAD7" s="3407"/>
      <c r="MAE7" s="3407"/>
      <c r="MAF7" s="3407"/>
      <c r="MAG7" s="3407"/>
      <c r="MAH7" s="3407"/>
      <c r="MAI7" s="3407"/>
      <c r="MAJ7" s="3407"/>
      <c r="MAK7" s="3407"/>
      <c r="MAL7" s="3407"/>
      <c r="MAM7" s="3407"/>
      <c r="MAN7" s="3407"/>
      <c r="MAO7" s="3407"/>
      <c r="MAP7" s="3407"/>
      <c r="MAQ7" s="3407"/>
      <c r="MAR7" s="3407"/>
      <c r="MAS7" s="3407"/>
      <c r="MAT7" s="3407"/>
      <c r="MAU7" s="3407"/>
      <c r="MAV7" s="3407"/>
      <c r="MAW7" s="3407"/>
      <c r="MAX7" s="3407"/>
      <c r="MAY7" s="3407"/>
      <c r="MAZ7" s="3407"/>
      <c r="MBA7" s="3407"/>
      <c r="MBB7" s="3407"/>
      <c r="MBC7" s="3407"/>
      <c r="MBD7" s="3407"/>
      <c r="MBE7" s="3407"/>
      <c r="MBF7" s="3407"/>
      <c r="MBG7" s="3407"/>
      <c r="MBH7" s="3407"/>
      <c r="MBI7" s="3407"/>
      <c r="MBJ7" s="3407"/>
      <c r="MBK7" s="3407"/>
      <c r="MBL7" s="3407"/>
      <c r="MBM7" s="3407"/>
      <c r="MBN7" s="3407"/>
      <c r="MBO7" s="3407"/>
      <c r="MBP7" s="3407"/>
      <c r="MBQ7" s="3407"/>
      <c r="MBR7" s="3407"/>
      <c r="MBS7" s="3407"/>
      <c r="MBT7" s="3407"/>
      <c r="MBU7" s="3407"/>
      <c r="MBV7" s="3407"/>
      <c r="MBW7" s="3407"/>
      <c r="MBX7" s="3407"/>
      <c r="MBY7" s="3407"/>
      <c r="MBZ7" s="3407"/>
      <c r="MCA7" s="3407"/>
      <c r="MCB7" s="3407"/>
      <c r="MCC7" s="3407"/>
      <c r="MCD7" s="3407"/>
      <c r="MCE7" s="3407"/>
      <c r="MCF7" s="3407"/>
      <c r="MCG7" s="3407"/>
      <c r="MCH7" s="3407"/>
      <c r="MCI7" s="3407"/>
      <c r="MCJ7" s="3407"/>
      <c r="MCK7" s="3407"/>
      <c r="MCL7" s="3407"/>
      <c r="MCM7" s="3407"/>
      <c r="MCN7" s="3407"/>
      <c r="MCO7" s="3407"/>
      <c r="MCP7" s="3407"/>
      <c r="MCQ7" s="3407"/>
      <c r="MCR7" s="3407"/>
      <c r="MCS7" s="3407"/>
      <c r="MCT7" s="3407"/>
      <c r="MCU7" s="3407"/>
      <c r="MCV7" s="3407"/>
      <c r="MCW7" s="3407"/>
      <c r="MCX7" s="3407"/>
      <c r="MCY7" s="3407"/>
      <c r="MCZ7" s="3407"/>
      <c r="MDA7" s="3407"/>
      <c r="MDB7" s="3407"/>
      <c r="MDC7" s="3407"/>
      <c r="MDD7" s="3407"/>
      <c r="MDE7" s="3407"/>
      <c r="MDF7" s="3407"/>
      <c r="MDG7" s="3407"/>
      <c r="MDH7" s="3407"/>
      <c r="MDI7" s="3407"/>
      <c r="MDJ7" s="3407"/>
      <c r="MDK7" s="3407"/>
      <c r="MDL7" s="3407"/>
      <c r="MDM7" s="3407"/>
      <c r="MDN7" s="3407"/>
      <c r="MDO7" s="3407"/>
      <c r="MDP7" s="3407"/>
      <c r="MDQ7" s="3407"/>
      <c r="MDR7" s="3407"/>
      <c r="MDS7" s="3407"/>
      <c r="MDT7" s="3407"/>
      <c r="MDU7" s="3407"/>
      <c r="MDV7" s="3407"/>
      <c r="MDW7" s="3407"/>
      <c r="MDX7" s="3407"/>
      <c r="MDY7" s="3407"/>
      <c r="MDZ7" s="3407"/>
      <c r="MEA7" s="3407"/>
      <c r="MEB7" s="3407"/>
      <c r="MEC7" s="3407"/>
      <c r="MED7" s="3407"/>
      <c r="MEE7" s="3407"/>
      <c r="MEF7" s="3407"/>
      <c r="MEG7" s="3407"/>
      <c r="MEH7" s="3407"/>
      <c r="MEI7" s="3407"/>
      <c r="MEJ7" s="3407"/>
      <c r="MEK7" s="3407"/>
      <c r="MEL7" s="3407"/>
      <c r="MEM7" s="3407"/>
      <c r="MEN7" s="3407"/>
      <c r="MEO7" s="3407"/>
      <c r="MEP7" s="3407"/>
      <c r="MEQ7" s="3407"/>
      <c r="MER7" s="3407"/>
      <c r="MES7" s="3407"/>
      <c r="MET7" s="3407"/>
      <c r="MEU7" s="3407"/>
      <c r="MEV7" s="3407"/>
      <c r="MEW7" s="3407"/>
      <c r="MEX7" s="3407"/>
      <c r="MEY7" s="3407"/>
      <c r="MEZ7" s="3407"/>
      <c r="MFA7" s="3407"/>
      <c r="MFB7" s="3407"/>
      <c r="MFC7" s="3407"/>
      <c r="MFD7" s="3407"/>
      <c r="MFE7" s="3407"/>
      <c r="MFF7" s="3407"/>
      <c r="MFG7" s="3407"/>
      <c r="MFH7" s="3407"/>
      <c r="MFI7" s="3407"/>
      <c r="MFJ7" s="3407"/>
      <c r="MFK7" s="3407"/>
      <c r="MFL7" s="3407"/>
      <c r="MFM7" s="3407"/>
      <c r="MFN7" s="3407"/>
      <c r="MFO7" s="3407"/>
      <c r="MFP7" s="3407"/>
      <c r="MFQ7" s="3407"/>
      <c r="MFR7" s="3407"/>
      <c r="MFS7" s="3407"/>
      <c r="MFT7" s="3407"/>
      <c r="MFU7" s="3407"/>
      <c r="MFV7" s="3407"/>
      <c r="MFW7" s="3407"/>
      <c r="MFX7" s="3407"/>
      <c r="MFY7" s="3407"/>
      <c r="MFZ7" s="3407"/>
      <c r="MGA7" s="3407"/>
      <c r="MGB7" s="3407"/>
      <c r="MGC7" s="3407"/>
      <c r="MGD7" s="3407"/>
      <c r="MGE7" s="3407"/>
      <c r="MGF7" s="3407"/>
      <c r="MGG7" s="3407"/>
      <c r="MGH7" s="3407"/>
      <c r="MGI7" s="3407"/>
      <c r="MGJ7" s="3407"/>
      <c r="MGK7" s="3407"/>
      <c r="MGL7" s="3407"/>
      <c r="MGM7" s="3407"/>
      <c r="MGN7" s="3407"/>
      <c r="MGO7" s="3407"/>
      <c r="MGP7" s="3407"/>
      <c r="MGQ7" s="3407"/>
      <c r="MGR7" s="3407"/>
      <c r="MGS7" s="3407"/>
      <c r="MGT7" s="3407"/>
      <c r="MGU7" s="3407"/>
      <c r="MGV7" s="3407"/>
      <c r="MGW7" s="3407"/>
      <c r="MGX7" s="3407"/>
      <c r="MGY7" s="3407"/>
      <c r="MGZ7" s="3407"/>
      <c r="MHA7" s="3407"/>
      <c r="MHB7" s="3407"/>
      <c r="MHC7" s="3407"/>
      <c r="MHD7" s="3407"/>
      <c r="MHE7" s="3407"/>
      <c r="MHF7" s="3407"/>
      <c r="MHG7" s="3407"/>
      <c r="MHH7" s="3407"/>
      <c r="MHI7" s="3407"/>
      <c r="MHJ7" s="3407"/>
      <c r="MHK7" s="3407"/>
      <c r="MHL7" s="3407"/>
      <c r="MHM7" s="3407"/>
      <c r="MHN7" s="3407"/>
      <c r="MHO7" s="3407"/>
      <c r="MHP7" s="3407"/>
      <c r="MHQ7" s="3407"/>
      <c r="MHR7" s="3407"/>
      <c r="MHS7" s="3407"/>
      <c r="MHT7" s="3407"/>
      <c r="MHU7" s="3407"/>
      <c r="MHV7" s="3407"/>
      <c r="MHW7" s="3407"/>
      <c r="MHX7" s="3407"/>
      <c r="MHY7" s="3407"/>
      <c r="MHZ7" s="3407"/>
      <c r="MIA7" s="3407"/>
      <c r="MIB7" s="3407"/>
      <c r="MIC7" s="3407"/>
      <c r="MID7" s="3407"/>
      <c r="MIE7" s="3407"/>
      <c r="MIF7" s="3407"/>
      <c r="MIG7" s="3407"/>
      <c r="MIH7" s="3407"/>
      <c r="MII7" s="3407"/>
      <c r="MIJ7" s="3407"/>
      <c r="MIK7" s="3407"/>
      <c r="MIL7" s="3407"/>
      <c r="MIM7" s="3407"/>
      <c r="MIN7" s="3407"/>
      <c r="MIO7" s="3407"/>
      <c r="MIP7" s="3407"/>
      <c r="MIQ7" s="3407"/>
      <c r="MIR7" s="3407"/>
      <c r="MIS7" s="3407"/>
      <c r="MIT7" s="3407"/>
      <c r="MIU7" s="3407"/>
      <c r="MIV7" s="3407"/>
      <c r="MIW7" s="3407"/>
      <c r="MIX7" s="3407"/>
      <c r="MIY7" s="3407"/>
      <c r="MIZ7" s="3407"/>
      <c r="MJA7" s="3407"/>
      <c r="MJB7" s="3407"/>
      <c r="MJC7" s="3407"/>
      <c r="MJD7" s="3407"/>
      <c r="MJE7" s="3407"/>
      <c r="MJF7" s="3407"/>
      <c r="MJG7" s="3407"/>
      <c r="MJH7" s="3407"/>
      <c r="MJI7" s="3407"/>
      <c r="MJJ7" s="3407"/>
      <c r="MJK7" s="3407"/>
      <c r="MJL7" s="3407"/>
      <c r="MJM7" s="3407"/>
      <c r="MJN7" s="3407"/>
      <c r="MJO7" s="3407"/>
      <c r="MJP7" s="3407"/>
      <c r="MJQ7" s="3407"/>
      <c r="MJR7" s="3407"/>
      <c r="MJS7" s="3407"/>
      <c r="MJT7" s="3407"/>
      <c r="MJU7" s="3407"/>
      <c r="MJV7" s="3407"/>
      <c r="MJW7" s="3407"/>
      <c r="MJX7" s="3407"/>
      <c r="MJY7" s="3407"/>
      <c r="MJZ7" s="3407"/>
      <c r="MKA7" s="3407"/>
      <c r="MKB7" s="3407"/>
      <c r="MKC7" s="3407"/>
      <c r="MKD7" s="3407"/>
      <c r="MKE7" s="3407"/>
      <c r="MKF7" s="3407"/>
      <c r="MKG7" s="3407"/>
      <c r="MKH7" s="3407"/>
      <c r="MKI7" s="3407"/>
      <c r="MKJ7" s="3407"/>
      <c r="MKK7" s="3407"/>
      <c r="MKL7" s="3407"/>
      <c r="MKM7" s="3407"/>
      <c r="MKN7" s="3407"/>
      <c r="MKO7" s="3407"/>
      <c r="MKP7" s="3407"/>
      <c r="MKQ7" s="3407"/>
      <c r="MKR7" s="3407"/>
      <c r="MKS7" s="3407"/>
      <c r="MKT7" s="3407"/>
      <c r="MKU7" s="3407"/>
      <c r="MKV7" s="3407"/>
      <c r="MKW7" s="3407"/>
      <c r="MKX7" s="3407"/>
      <c r="MKY7" s="3407"/>
      <c r="MKZ7" s="3407"/>
      <c r="MLA7" s="3407"/>
      <c r="MLB7" s="3407"/>
      <c r="MLC7" s="3407"/>
      <c r="MLD7" s="3407"/>
      <c r="MLE7" s="3407"/>
      <c r="MLF7" s="3407"/>
      <c r="MLG7" s="3407"/>
      <c r="MLH7" s="3407"/>
      <c r="MLI7" s="3407"/>
      <c r="MLJ7" s="3407"/>
      <c r="MLK7" s="3407"/>
      <c r="MLL7" s="3407"/>
      <c r="MLM7" s="3407"/>
      <c r="MLN7" s="3407"/>
      <c r="MLO7" s="3407"/>
      <c r="MLP7" s="3407"/>
      <c r="MLQ7" s="3407"/>
      <c r="MLR7" s="3407"/>
      <c r="MLS7" s="3407"/>
      <c r="MLT7" s="3407"/>
      <c r="MLU7" s="3407"/>
      <c r="MLV7" s="3407"/>
      <c r="MLW7" s="3407"/>
      <c r="MLX7" s="3407"/>
      <c r="MLY7" s="3407"/>
      <c r="MLZ7" s="3407"/>
      <c r="MMA7" s="3407"/>
      <c r="MMB7" s="3407"/>
      <c r="MMC7" s="3407"/>
      <c r="MMD7" s="3407"/>
      <c r="MME7" s="3407"/>
      <c r="MMF7" s="3407"/>
      <c r="MMG7" s="3407"/>
      <c r="MMH7" s="3407"/>
      <c r="MMI7" s="3407"/>
      <c r="MMJ7" s="3407"/>
      <c r="MMK7" s="3407"/>
      <c r="MML7" s="3407"/>
      <c r="MMM7" s="3407"/>
      <c r="MMN7" s="3407"/>
      <c r="MMO7" s="3407"/>
      <c r="MMP7" s="3407"/>
      <c r="MMQ7" s="3407"/>
      <c r="MMR7" s="3407"/>
      <c r="MMS7" s="3407"/>
      <c r="MMT7" s="3407"/>
      <c r="MMU7" s="3407"/>
      <c r="MMV7" s="3407"/>
      <c r="MMW7" s="3407"/>
      <c r="MMX7" s="3407"/>
      <c r="MMY7" s="3407"/>
      <c r="MMZ7" s="3407"/>
      <c r="MNA7" s="3407"/>
      <c r="MNB7" s="3407"/>
      <c r="MNC7" s="3407"/>
      <c r="MND7" s="3407"/>
      <c r="MNE7" s="3407"/>
      <c r="MNF7" s="3407"/>
      <c r="MNG7" s="3407"/>
      <c r="MNH7" s="3407"/>
      <c r="MNI7" s="3407"/>
      <c r="MNJ7" s="3407"/>
      <c r="MNK7" s="3407"/>
      <c r="MNL7" s="3407"/>
      <c r="MNM7" s="3407"/>
      <c r="MNN7" s="3407"/>
      <c r="MNO7" s="3407"/>
      <c r="MNP7" s="3407"/>
      <c r="MNQ7" s="3407"/>
      <c r="MNR7" s="3407"/>
      <c r="MNS7" s="3407"/>
      <c r="MNT7" s="3407"/>
      <c r="MNU7" s="3407"/>
      <c r="MNV7" s="3407"/>
      <c r="MNW7" s="3407"/>
      <c r="MNX7" s="3407"/>
      <c r="MNY7" s="3407"/>
      <c r="MNZ7" s="3407"/>
      <c r="MOA7" s="3407"/>
      <c r="MOB7" s="3407"/>
      <c r="MOC7" s="3407"/>
      <c r="MOD7" s="3407"/>
      <c r="MOE7" s="3407"/>
      <c r="MOF7" s="3407"/>
      <c r="MOG7" s="3407"/>
      <c r="MOH7" s="3407"/>
      <c r="MOI7" s="3407"/>
      <c r="MOJ7" s="3407"/>
      <c r="MOK7" s="3407"/>
      <c r="MOL7" s="3407"/>
      <c r="MOM7" s="3407"/>
      <c r="MON7" s="3407"/>
      <c r="MOO7" s="3407"/>
      <c r="MOP7" s="3407"/>
      <c r="MOQ7" s="3407"/>
      <c r="MOR7" s="3407"/>
      <c r="MOS7" s="3407"/>
      <c r="MOT7" s="3407"/>
      <c r="MOU7" s="3407"/>
      <c r="MOV7" s="3407"/>
      <c r="MOW7" s="3407"/>
      <c r="MOX7" s="3407"/>
      <c r="MOY7" s="3407"/>
      <c r="MOZ7" s="3407"/>
      <c r="MPA7" s="3407"/>
      <c r="MPB7" s="3407"/>
      <c r="MPC7" s="3407"/>
      <c r="MPD7" s="3407"/>
      <c r="MPE7" s="3407"/>
      <c r="MPF7" s="3407"/>
      <c r="MPG7" s="3407"/>
      <c r="MPH7" s="3407"/>
      <c r="MPI7" s="3407"/>
      <c r="MPJ7" s="3407"/>
      <c r="MPK7" s="3407"/>
      <c r="MPL7" s="3407"/>
      <c r="MPM7" s="3407"/>
      <c r="MPN7" s="3407"/>
      <c r="MPO7" s="3407"/>
      <c r="MPP7" s="3407"/>
      <c r="MPQ7" s="3407"/>
      <c r="MPR7" s="3407"/>
      <c r="MPS7" s="3407"/>
      <c r="MPT7" s="3407"/>
      <c r="MPU7" s="3407"/>
      <c r="MPV7" s="3407"/>
      <c r="MPW7" s="3407"/>
      <c r="MPX7" s="3407"/>
      <c r="MPY7" s="3407"/>
      <c r="MPZ7" s="3407"/>
      <c r="MQA7" s="3407"/>
      <c r="MQB7" s="3407"/>
      <c r="MQC7" s="3407"/>
      <c r="MQD7" s="3407"/>
      <c r="MQE7" s="3407"/>
      <c r="MQF7" s="3407"/>
      <c r="MQG7" s="3407"/>
      <c r="MQH7" s="3407"/>
      <c r="MQI7" s="3407"/>
      <c r="MQJ7" s="3407"/>
      <c r="MQK7" s="3407"/>
      <c r="MQL7" s="3407"/>
      <c r="MQM7" s="3407"/>
      <c r="MQN7" s="3407"/>
      <c r="MQO7" s="3407"/>
      <c r="MQP7" s="3407"/>
      <c r="MQQ7" s="3407"/>
      <c r="MQR7" s="3407"/>
      <c r="MQS7" s="3407"/>
      <c r="MQT7" s="3407"/>
      <c r="MQU7" s="3407"/>
      <c r="MQV7" s="3407"/>
      <c r="MQW7" s="3407"/>
      <c r="MQX7" s="3407"/>
      <c r="MQY7" s="3407"/>
      <c r="MQZ7" s="3407"/>
      <c r="MRA7" s="3407"/>
      <c r="MRB7" s="3407"/>
      <c r="MRC7" s="3407"/>
      <c r="MRD7" s="3407"/>
      <c r="MRE7" s="3407"/>
      <c r="MRF7" s="3407"/>
      <c r="MRG7" s="3407"/>
      <c r="MRH7" s="3407"/>
      <c r="MRI7" s="3407"/>
      <c r="MRJ7" s="3407"/>
      <c r="MRK7" s="3407"/>
      <c r="MRL7" s="3407"/>
      <c r="MRM7" s="3407"/>
      <c r="MRN7" s="3407"/>
      <c r="MRO7" s="3407"/>
      <c r="MRP7" s="3407"/>
      <c r="MRQ7" s="3407"/>
      <c r="MRR7" s="3407"/>
      <c r="MRS7" s="3407"/>
      <c r="MRT7" s="3407"/>
      <c r="MRU7" s="3407"/>
      <c r="MRV7" s="3407"/>
      <c r="MRW7" s="3407"/>
      <c r="MRX7" s="3407"/>
      <c r="MRY7" s="3407"/>
      <c r="MRZ7" s="3407"/>
      <c r="MSA7" s="3407"/>
      <c r="MSB7" s="3407"/>
      <c r="MSC7" s="3407"/>
      <c r="MSD7" s="3407"/>
      <c r="MSE7" s="3407"/>
      <c r="MSF7" s="3407"/>
      <c r="MSG7" s="3407"/>
      <c r="MSH7" s="3407"/>
      <c r="MSI7" s="3407"/>
      <c r="MSJ7" s="3407"/>
      <c r="MSK7" s="3407"/>
      <c r="MSL7" s="3407"/>
      <c r="MSM7" s="3407"/>
      <c r="MSN7" s="3407"/>
      <c r="MSO7" s="3407"/>
      <c r="MSP7" s="3407"/>
      <c r="MSQ7" s="3407"/>
      <c r="MSR7" s="3407"/>
      <c r="MSS7" s="3407"/>
      <c r="MST7" s="3407"/>
      <c r="MSU7" s="3407"/>
      <c r="MSV7" s="3407"/>
      <c r="MSW7" s="3407"/>
      <c r="MSX7" s="3407"/>
      <c r="MSY7" s="3407"/>
      <c r="MSZ7" s="3407"/>
      <c r="MTA7" s="3407"/>
      <c r="MTB7" s="3407"/>
      <c r="MTC7" s="3407"/>
      <c r="MTD7" s="3407"/>
      <c r="MTE7" s="3407"/>
      <c r="MTF7" s="3407"/>
      <c r="MTG7" s="3407"/>
      <c r="MTH7" s="3407"/>
      <c r="MTI7" s="3407"/>
      <c r="MTJ7" s="3407"/>
      <c r="MTK7" s="3407"/>
      <c r="MTL7" s="3407"/>
      <c r="MTM7" s="3407"/>
      <c r="MTN7" s="3407"/>
      <c r="MTO7" s="3407"/>
      <c r="MTP7" s="3407"/>
      <c r="MTQ7" s="3407"/>
      <c r="MTR7" s="3407"/>
      <c r="MTS7" s="3407"/>
      <c r="MTT7" s="3407"/>
      <c r="MTU7" s="3407"/>
      <c r="MTV7" s="3407"/>
      <c r="MTW7" s="3407"/>
      <c r="MTX7" s="3407"/>
      <c r="MTY7" s="3407"/>
      <c r="MTZ7" s="3407"/>
      <c r="MUA7" s="3407"/>
      <c r="MUB7" s="3407"/>
      <c r="MUC7" s="3407"/>
      <c r="MUD7" s="3407"/>
      <c r="MUE7" s="3407"/>
      <c r="MUF7" s="3407"/>
      <c r="MUG7" s="3407"/>
      <c r="MUH7" s="3407"/>
      <c r="MUI7" s="3407"/>
      <c r="MUJ7" s="3407"/>
      <c r="MUK7" s="3407"/>
      <c r="MUL7" s="3407"/>
      <c r="MUM7" s="3407"/>
      <c r="MUN7" s="3407"/>
      <c r="MUO7" s="3407"/>
      <c r="MUP7" s="3407"/>
      <c r="MUQ7" s="3407"/>
      <c r="MUR7" s="3407"/>
      <c r="MUS7" s="3407"/>
      <c r="MUT7" s="3407"/>
      <c r="MUU7" s="3407"/>
      <c r="MUV7" s="3407"/>
      <c r="MUW7" s="3407"/>
      <c r="MUX7" s="3407"/>
      <c r="MUY7" s="3407"/>
      <c r="MUZ7" s="3407"/>
      <c r="MVA7" s="3407"/>
      <c r="MVB7" s="3407"/>
      <c r="MVC7" s="3407"/>
      <c r="MVD7" s="3407"/>
      <c r="MVE7" s="3407"/>
      <c r="MVF7" s="3407"/>
      <c r="MVG7" s="3407"/>
      <c r="MVH7" s="3407"/>
      <c r="MVI7" s="3407"/>
      <c r="MVJ7" s="3407"/>
      <c r="MVK7" s="3407"/>
      <c r="MVL7" s="3407"/>
      <c r="MVM7" s="3407"/>
      <c r="MVN7" s="3407"/>
      <c r="MVO7" s="3407"/>
      <c r="MVP7" s="3407"/>
      <c r="MVQ7" s="3407"/>
      <c r="MVR7" s="3407"/>
      <c r="MVS7" s="3407"/>
      <c r="MVT7" s="3407"/>
      <c r="MVU7" s="3407"/>
      <c r="MVV7" s="3407"/>
      <c r="MVW7" s="3407"/>
      <c r="MVX7" s="3407"/>
      <c r="MVY7" s="3407"/>
      <c r="MVZ7" s="3407"/>
      <c r="MWA7" s="3407"/>
      <c r="MWB7" s="3407"/>
      <c r="MWC7" s="3407"/>
      <c r="MWD7" s="3407"/>
      <c r="MWE7" s="3407"/>
      <c r="MWF7" s="3407"/>
      <c r="MWG7" s="3407"/>
      <c r="MWH7" s="3407"/>
      <c r="MWI7" s="3407"/>
      <c r="MWJ7" s="3407"/>
      <c r="MWK7" s="3407"/>
      <c r="MWL7" s="3407"/>
      <c r="MWM7" s="3407"/>
      <c r="MWN7" s="3407"/>
      <c r="MWO7" s="3407"/>
      <c r="MWP7" s="3407"/>
      <c r="MWQ7" s="3407"/>
      <c r="MWR7" s="3407"/>
      <c r="MWS7" s="3407"/>
      <c r="MWT7" s="3407"/>
      <c r="MWU7" s="3407"/>
      <c r="MWV7" s="3407"/>
      <c r="MWW7" s="3407"/>
      <c r="MWX7" s="3407"/>
      <c r="MWY7" s="3407"/>
      <c r="MWZ7" s="3407"/>
      <c r="MXA7" s="3407"/>
      <c r="MXB7" s="3407"/>
      <c r="MXC7" s="3407"/>
      <c r="MXD7" s="3407"/>
      <c r="MXE7" s="3407"/>
      <c r="MXF7" s="3407"/>
      <c r="MXG7" s="3407"/>
      <c r="MXH7" s="3407"/>
      <c r="MXI7" s="3407"/>
      <c r="MXJ7" s="3407"/>
      <c r="MXK7" s="3407"/>
      <c r="MXL7" s="3407"/>
      <c r="MXM7" s="3407"/>
      <c r="MXN7" s="3407"/>
      <c r="MXO7" s="3407"/>
      <c r="MXP7" s="3407"/>
      <c r="MXQ7" s="3407"/>
      <c r="MXR7" s="3407"/>
      <c r="MXS7" s="3407"/>
      <c r="MXT7" s="3407"/>
      <c r="MXU7" s="3407"/>
      <c r="MXV7" s="3407"/>
      <c r="MXW7" s="3407"/>
      <c r="MXX7" s="3407"/>
      <c r="MXY7" s="3407"/>
      <c r="MXZ7" s="3407"/>
      <c r="MYA7" s="3407"/>
      <c r="MYB7" s="3407"/>
      <c r="MYC7" s="3407"/>
      <c r="MYD7" s="3407"/>
      <c r="MYE7" s="3407"/>
      <c r="MYF7" s="3407"/>
      <c r="MYG7" s="3407"/>
      <c r="MYH7" s="3407"/>
      <c r="MYI7" s="3407"/>
      <c r="MYJ7" s="3407"/>
      <c r="MYK7" s="3407"/>
      <c r="MYL7" s="3407"/>
      <c r="MYM7" s="3407"/>
      <c r="MYN7" s="3407"/>
      <c r="MYO7" s="3407"/>
      <c r="MYP7" s="3407"/>
      <c r="MYQ7" s="3407"/>
      <c r="MYR7" s="3407"/>
      <c r="MYS7" s="3407"/>
      <c r="MYT7" s="3407"/>
      <c r="MYU7" s="3407"/>
      <c r="MYV7" s="3407"/>
      <c r="MYW7" s="3407"/>
      <c r="MYX7" s="3407"/>
      <c r="MYY7" s="3407"/>
      <c r="MYZ7" s="3407"/>
      <c r="MZA7" s="3407"/>
      <c r="MZB7" s="3407"/>
      <c r="MZC7" s="3407"/>
      <c r="MZD7" s="3407"/>
      <c r="MZE7" s="3407"/>
      <c r="MZF7" s="3407"/>
      <c r="MZG7" s="3407"/>
      <c r="MZH7" s="3407"/>
      <c r="MZI7" s="3407"/>
      <c r="MZJ7" s="3407"/>
      <c r="MZK7" s="3407"/>
      <c r="MZL7" s="3407"/>
      <c r="MZM7" s="3407"/>
      <c r="MZN7" s="3407"/>
      <c r="MZO7" s="3407"/>
      <c r="MZP7" s="3407"/>
      <c r="MZQ7" s="3407"/>
      <c r="MZR7" s="3407"/>
      <c r="MZS7" s="3407"/>
      <c r="MZT7" s="3407"/>
      <c r="MZU7" s="3407"/>
      <c r="MZV7" s="3407"/>
      <c r="MZW7" s="3407"/>
      <c r="MZX7" s="3407"/>
      <c r="MZY7" s="3407"/>
      <c r="MZZ7" s="3407"/>
      <c r="NAA7" s="3407"/>
      <c r="NAB7" s="3407"/>
      <c r="NAC7" s="3407"/>
      <c r="NAD7" s="3407"/>
      <c r="NAE7" s="3407"/>
      <c r="NAF7" s="3407"/>
      <c r="NAG7" s="3407"/>
      <c r="NAH7" s="3407"/>
      <c r="NAI7" s="3407"/>
      <c r="NAJ7" s="3407"/>
      <c r="NAK7" s="3407"/>
      <c r="NAL7" s="3407"/>
      <c r="NAM7" s="3407"/>
      <c r="NAN7" s="3407"/>
      <c r="NAO7" s="3407"/>
      <c r="NAP7" s="3407"/>
      <c r="NAQ7" s="3407"/>
      <c r="NAR7" s="3407"/>
      <c r="NAS7" s="3407"/>
      <c r="NAT7" s="3407"/>
      <c r="NAU7" s="3407"/>
      <c r="NAV7" s="3407"/>
      <c r="NAW7" s="3407"/>
      <c r="NAX7" s="3407"/>
      <c r="NAY7" s="3407"/>
      <c r="NAZ7" s="3407"/>
      <c r="NBA7" s="3407"/>
      <c r="NBB7" s="3407"/>
      <c r="NBC7" s="3407"/>
      <c r="NBD7" s="3407"/>
      <c r="NBE7" s="3407"/>
      <c r="NBF7" s="3407"/>
      <c r="NBG7" s="3407"/>
      <c r="NBH7" s="3407"/>
      <c r="NBI7" s="3407"/>
      <c r="NBJ7" s="3407"/>
      <c r="NBK7" s="3407"/>
      <c r="NBL7" s="3407"/>
      <c r="NBM7" s="3407"/>
      <c r="NBN7" s="3407"/>
      <c r="NBO7" s="3407"/>
      <c r="NBP7" s="3407"/>
      <c r="NBQ7" s="3407"/>
      <c r="NBR7" s="3407"/>
      <c r="NBS7" s="3407"/>
      <c r="NBT7" s="3407"/>
      <c r="NBU7" s="3407"/>
      <c r="NBV7" s="3407"/>
      <c r="NBW7" s="3407"/>
      <c r="NBX7" s="3407"/>
      <c r="NBY7" s="3407"/>
      <c r="NBZ7" s="3407"/>
      <c r="NCA7" s="3407"/>
      <c r="NCB7" s="3407"/>
      <c r="NCC7" s="3407"/>
      <c r="NCD7" s="3407"/>
      <c r="NCE7" s="3407"/>
      <c r="NCF7" s="3407"/>
      <c r="NCG7" s="3407"/>
      <c r="NCH7" s="3407"/>
      <c r="NCI7" s="3407"/>
      <c r="NCJ7" s="3407"/>
      <c r="NCK7" s="3407"/>
      <c r="NCL7" s="3407"/>
      <c r="NCM7" s="3407"/>
      <c r="NCN7" s="3407"/>
      <c r="NCO7" s="3407"/>
      <c r="NCP7" s="3407"/>
      <c r="NCQ7" s="3407"/>
      <c r="NCR7" s="3407"/>
      <c r="NCS7" s="3407"/>
      <c r="NCT7" s="3407"/>
      <c r="NCU7" s="3407"/>
      <c r="NCV7" s="3407"/>
      <c r="NCW7" s="3407"/>
      <c r="NCX7" s="3407"/>
      <c r="NCY7" s="3407"/>
      <c r="NCZ7" s="3407"/>
      <c r="NDA7" s="3407"/>
      <c r="NDB7" s="3407"/>
      <c r="NDC7" s="3407"/>
      <c r="NDD7" s="3407"/>
      <c r="NDE7" s="3407"/>
      <c r="NDF7" s="3407"/>
      <c r="NDG7" s="3407"/>
      <c r="NDH7" s="3407"/>
      <c r="NDI7" s="3407"/>
      <c r="NDJ7" s="3407"/>
      <c r="NDK7" s="3407"/>
      <c r="NDL7" s="3407"/>
      <c r="NDM7" s="3407"/>
      <c r="NDN7" s="3407"/>
      <c r="NDO7" s="3407"/>
      <c r="NDP7" s="3407"/>
      <c r="NDQ7" s="3407"/>
      <c r="NDR7" s="3407"/>
      <c r="NDS7" s="3407"/>
      <c r="NDT7" s="3407"/>
      <c r="NDU7" s="3407"/>
      <c r="NDV7" s="3407"/>
      <c r="NDW7" s="3407"/>
      <c r="NDX7" s="3407"/>
      <c r="NDY7" s="3407"/>
      <c r="NDZ7" s="3407"/>
      <c r="NEA7" s="3407"/>
      <c r="NEB7" s="3407"/>
      <c r="NEC7" s="3407"/>
      <c r="NED7" s="3407"/>
      <c r="NEE7" s="3407"/>
      <c r="NEF7" s="3407"/>
      <c r="NEG7" s="3407"/>
      <c r="NEH7" s="3407"/>
      <c r="NEI7" s="3407"/>
      <c r="NEJ7" s="3407"/>
      <c r="NEK7" s="3407"/>
      <c r="NEL7" s="3407"/>
      <c r="NEM7" s="3407"/>
      <c r="NEN7" s="3407"/>
      <c r="NEO7" s="3407"/>
      <c r="NEP7" s="3407"/>
      <c r="NEQ7" s="3407"/>
      <c r="NER7" s="3407"/>
      <c r="NES7" s="3407"/>
      <c r="NET7" s="3407"/>
      <c r="NEU7" s="3407"/>
      <c r="NEV7" s="3407"/>
      <c r="NEW7" s="3407"/>
      <c r="NEX7" s="3407"/>
      <c r="NEY7" s="3407"/>
      <c r="NEZ7" s="3407"/>
      <c r="NFA7" s="3407"/>
      <c r="NFB7" s="3407"/>
      <c r="NFC7" s="3407"/>
      <c r="NFD7" s="3407"/>
      <c r="NFE7" s="3407"/>
      <c r="NFF7" s="3407"/>
      <c r="NFG7" s="3407"/>
      <c r="NFH7" s="3407"/>
      <c r="NFI7" s="3407"/>
      <c r="NFJ7" s="3407"/>
      <c r="NFK7" s="3407"/>
      <c r="NFL7" s="3407"/>
      <c r="NFM7" s="3407"/>
      <c r="NFN7" s="3407"/>
      <c r="NFO7" s="3407"/>
      <c r="NFP7" s="3407"/>
      <c r="NFQ7" s="3407"/>
      <c r="NFR7" s="3407"/>
      <c r="NFS7" s="3407"/>
      <c r="NFT7" s="3407"/>
      <c r="NFU7" s="3407"/>
      <c r="NFV7" s="3407"/>
      <c r="NFW7" s="3407"/>
      <c r="NFX7" s="3407"/>
      <c r="NFY7" s="3407"/>
      <c r="NFZ7" s="3407"/>
      <c r="NGA7" s="3407"/>
      <c r="NGB7" s="3407"/>
      <c r="NGC7" s="3407"/>
      <c r="NGD7" s="3407"/>
      <c r="NGE7" s="3407"/>
      <c r="NGF7" s="3407"/>
      <c r="NGG7" s="3407"/>
      <c r="NGH7" s="3407"/>
      <c r="NGI7" s="3407"/>
      <c r="NGJ7" s="3407"/>
      <c r="NGK7" s="3407"/>
      <c r="NGL7" s="3407"/>
      <c r="NGM7" s="3407"/>
      <c r="NGN7" s="3407"/>
      <c r="NGO7" s="3407"/>
      <c r="NGP7" s="3407"/>
      <c r="NGQ7" s="3407"/>
      <c r="NGR7" s="3407"/>
      <c r="NGS7" s="3407"/>
      <c r="NGT7" s="3407"/>
      <c r="NGU7" s="3407"/>
      <c r="NGV7" s="3407"/>
      <c r="NGW7" s="3407"/>
      <c r="NGX7" s="3407"/>
      <c r="NGY7" s="3407"/>
      <c r="NGZ7" s="3407"/>
      <c r="NHA7" s="3407"/>
      <c r="NHB7" s="3407"/>
      <c r="NHC7" s="3407"/>
      <c r="NHD7" s="3407"/>
      <c r="NHE7" s="3407"/>
      <c r="NHF7" s="3407"/>
      <c r="NHG7" s="3407"/>
      <c r="NHH7" s="3407"/>
      <c r="NHI7" s="3407"/>
      <c r="NHJ7" s="3407"/>
      <c r="NHK7" s="3407"/>
      <c r="NHL7" s="3407"/>
      <c r="NHM7" s="3407"/>
      <c r="NHN7" s="3407"/>
      <c r="NHO7" s="3407"/>
      <c r="NHP7" s="3407"/>
      <c r="NHQ7" s="3407"/>
      <c r="NHR7" s="3407"/>
      <c r="NHS7" s="3407"/>
      <c r="NHT7" s="3407"/>
      <c r="NHU7" s="3407"/>
      <c r="NHV7" s="3407"/>
      <c r="NHW7" s="3407"/>
      <c r="NHX7" s="3407"/>
      <c r="NHY7" s="3407"/>
      <c r="NHZ7" s="3407"/>
      <c r="NIA7" s="3407"/>
      <c r="NIB7" s="3407"/>
      <c r="NIC7" s="3407"/>
      <c r="NID7" s="3407"/>
      <c r="NIE7" s="3407"/>
      <c r="NIF7" s="3407"/>
      <c r="NIG7" s="3407"/>
      <c r="NIH7" s="3407"/>
      <c r="NII7" s="3407"/>
      <c r="NIJ7" s="3407"/>
      <c r="NIK7" s="3407"/>
      <c r="NIL7" s="3407"/>
      <c r="NIM7" s="3407"/>
      <c r="NIN7" s="3407"/>
      <c r="NIO7" s="3407"/>
      <c r="NIP7" s="3407"/>
      <c r="NIQ7" s="3407"/>
      <c r="NIR7" s="3407"/>
      <c r="NIS7" s="3407"/>
      <c r="NIT7" s="3407"/>
      <c r="NIU7" s="3407"/>
      <c r="NIV7" s="3407"/>
      <c r="NIW7" s="3407"/>
      <c r="NIX7" s="3407"/>
      <c r="NIY7" s="3407"/>
      <c r="NIZ7" s="3407"/>
      <c r="NJA7" s="3407"/>
      <c r="NJB7" s="3407"/>
      <c r="NJC7" s="3407"/>
      <c r="NJD7" s="3407"/>
      <c r="NJE7" s="3407"/>
      <c r="NJF7" s="3407"/>
      <c r="NJG7" s="3407"/>
      <c r="NJH7" s="3407"/>
      <c r="NJI7" s="3407"/>
      <c r="NJJ7" s="3407"/>
      <c r="NJK7" s="3407"/>
      <c r="NJL7" s="3407"/>
      <c r="NJM7" s="3407"/>
      <c r="NJN7" s="3407"/>
      <c r="NJO7" s="3407"/>
      <c r="NJP7" s="3407"/>
      <c r="NJQ7" s="3407"/>
      <c r="NJR7" s="3407"/>
      <c r="NJS7" s="3407"/>
      <c r="NJT7" s="3407"/>
      <c r="NJU7" s="3407"/>
      <c r="NJV7" s="3407"/>
      <c r="NJW7" s="3407"/>
      <c r="NJX7" s="3407"/>
      <c r="NJY7" s="3407"/>
      <c r="NJZ7" s="3407"/>
      <c r="NKA7" s="3407"/>
      <c r="NKB7" s="3407"/>
      <c r="NKC7" s="3407"/>
      <c r="NKD7" s="3407"/>
      <c r="NKE7" s="3407"/>
      <c r="NKF7" s="3407"/>
      <c r="NKG7" s="3407"/>
      <c r="NKH7" s="3407"/>
      <c r="NKI7" s="3407"/>
      <c r="NKJ7" s="3407"/>
      <c r="NKK7" s="3407"/>
      <c r="NKL7" s="3407"/>
      <c r="NKM7" s="3407"/>
      <c r="NKN7" s="3407"/>
      <c r="NKO7" s="3407"/>
      <c r="NKP7" s="3407"/>
      <c r="NKQ7" s="3407"/>
      <c r="NKR7" s="3407"/>
      <c r="NKS7" s="3407"/>
      <c r="NKT7" s="3407"/>
      <c r="NKU7" s="3407"/>
      <c r="NKV7" s="3407"/>
      <c r="NKW7" s="3407"/>
      <c r="NKX7" s="3407"/>
      <c r="NKY7" s="3407"/>
      <c r="NKZ7" s="3407"/>
      <c r="NLA7" s="3407"/>
      <c r="NLB7" s="3407"/>
      <c r="NLC7" s="3407"/>
      <c r="NLD7" s="3407"/>
      <c r="NLE7" s="3407"/>
      <c r="NLF7" s="3407"/>
      <c r="NLG7" s="3407"/>
      <c r="NLH7" s="3407"/>
      <c r="NLI7" s="3407"/>
      <c r="NLJ7" s="3407"/>
      <c r="NLK7" s="3407"/>
      <c r="NLL7" s="3407"/>
      <c r="NLM7" s="3407"/>
      <c r="NLN7" s="3407"/>
      <c r="NLO7" s="3407"/>
      <c r="NLP7" s="3407"/>
      <c r="NLQ7" s="3407"/>
      <c r="NLR7" s="3407"/>
      <c r="NLS7" s="3407"/>
      <c r="NLT7" s="3407"/>
      <c r="NLU7" s="3407"/>
      <c r="NLV7" s="3407"/>
      <c r="NLW7" s="3407"/>
      <c r="NLX7" s="3407"/>
      <c r="NLY7" s="3407"/>
      <c r="NLZ7" s="3407"/>
      <c r="NMA7" s="3407"/>
      <c r="NMB7" s="3407"/>
      <c r="NMC7" s="3407"/>
      <c r="NMD7" s="3407"/>
      <c r="NME7" s="3407"/>
      <c r="NMF7" s="3407"/>
      <c r="NMG7" s="3407"/>
      <c r="NMH7" s="3407"/>
      <c r="NMI7" s="3407"/>
      <c r="NMJ7" s="3407"/>
      <c r="NMK7" s="3407"/>
      <c r="NML7" s="3407"/>
      <c r="NMM7" s="3407"/>
      <c r="NMN7" s="3407"/>
      <c r="NMO7" s="3407"/>
      <c r="NMP7" s="3407"/>
      <c r="NMQ7" s="3407"/>
      <c r="NMR7" s="3407"/>
      <c r="NMS7" s="3407"/>
      <c r="NMT7" s="3407"/>
      <c r="NMU7" s="3407"/>
      <c r="NMV7" s="3407"/>
      <c r="NMW7" s="3407"/>
      <c r="NMX7" s="3407"/>
      <c r="NMY7" s="3407"/>
      <c r="NMZ7" s="3407"/>
      <c r="NNA7" s="3407"/>
      <c r="NNB7" s="3407"/>
      <c r="NNC7" s="3407"/>
      <c r="NND7" s="3407"/>
      <c r="NNE7" s="3407"/>
      <c r="NNF7" s="3407"/>
      <c r="NNG7" s="3407"/>
      <c r="NNH7" s="3407"/>
      <c r="NNI7" s="3407"/>
      <c r="NNJ7" s="3407"/>
      <c r="NNK7" s="3407"/>
      <c r="NNL7" s="3407"/>
      <c r="NNM7" s="3407"/>
      <c r="NNN7" s="3407"/>
      <c r="NNO7" s="3407"/>
      <c r="NNP7" s="3407"/>
      <c r="NNQ7" s="3407"/>
      <c r="NNR7" s="3407"/>
      <c r="NNS7" s="3407"/>
      <c r="NNT7" s="3407"/>
      <c r="NNU7" s="3407"/>
      <c r="NNV7" s="3407"/>
      <c r="NNW7" s="3407"/>
      <c r="NNX7" s="3407"/>
      <c r="NNY7" s="3407"/>
      <c r="NNZ7" s="3407"/>
      <c r="NOA7" s="3407"/>
      <c r="NOB7" s="3407"/>
      <c r="NOC7" s="3407"/>
      <c r="NOD7" s="3407"/>
      <c r="NOE7" s="3407"/>
      <c r="NOF7" s="3407"/>
      <c r="NOG7" s="3407"/>
      <c r="NOH7" s="3407"/>
      <c r="NOI7" s="3407"/>
      <c r="NOJ7" s="3407"/>
      <c r="NOK7" s="3407"/>
      <c r="NOL7" s="3407"/>
      <c r="NOM7" s="3407"/>
      <c r="NON7" s="3407"/>
      <c r="NOO7" s="3407"/>
      <c r="NOP7" s="3407"/>
      <c r="NOQ7" s="3407"/>
      <c r="NOR7" s="3407"/>
      <c r="NOS7" s="3407"/>
      <c r="NOT7" s="3407"/>
      <c r="NOU7" s="3407"/>
      <c r="NOV7" s="3407"/>
      <c r="NOW7" s="3407"/>
      <c r="NOX7" s="3407"/>
      <c r="NOY7" s="3407"/>
      <c r="NOZ7" s="3407"/>
      <c r="NPA7" s="3407"/>
      <c r="NPB7" s="3407"/>
      <c r="NPC7" s="3407"/>
      <c r="NPD7" s="3407"/>
      <c r="NPE7" s="3407"/>
      <c r="NPF7" s="3407"/>
      <c r="NPG7" s="3407"/>
      <c r="NPH7" s="3407"/>
      <c r="NPI7" s="3407"/>
      <c r="NPJ7" s="3407"/>
      <c r="NPK7" s="3407"/>
      <c r="NPL7" s="3407"/>
      <c r="NPM7" s="3407"/>
      <c r="NPN7" s="3407"/>
      <c r="NPO7" s="3407"/>
      <c r="NPP7" s="3407"/>
      <c r="NPQ7" s="3407"/>
      <c r="NPR7" s="3407"/>
      <c r="NPS7" s="3407"/>
      <c r="NPT7" s="3407"/>
      <c r="NPU7" s="3407"/>
      <c r="NPV7" s="3407"/>
      <c r="NPW7" s="3407"/>
      <c r="NPX7" s="3407"/>
      <c r="NPY7" s="3407"/>
      <c r="NPZ7" s="3407"/>
      <c r="NQA7" s="3407"/>
      <c r="NQB7" s="3407"/>
      <c r="NQC7" s="3407"/>
      <c r="NQD7" s="3407"/>
      <c r="NQE7" s="3407"/>
      <c r="NQF7" s="3407"/>
      <c r="NQG7" s="3407"/>
      <c r="NQH7" s="3407"/>
      <c r="NQI7" s="3407"/>
      <c r="NQJ7" s="3407"/>
      <c r="NQK7" s="3407"/>
      <c r="NQL7" s="3407"/>
      <c r="NQM7" s="3407"/>
      <c r="NQN7" s="3407"/>
      <c r="NQO7" s="3407"/>
      <c r="NQP7" s="3407"/>
      <c r="NQQ7" s="3407"/>
      <c r="NQR7" s="3407"/>
      <c r="NQS7" s="3407"/>
      <c r="NQT7" s="3407"/>
      <c r="NQU7" s="3407"/>
      <c r="NQV7" s="3407"/>
      <c r="NQW7" s="3407"/>
      <c r="NQX7" s="3407"/>
      <c r="NQY7" s="3407"/>
      <c r="NQZ7" s="3407"/>
      <c r="NRA7" s="3407"/>
      <c r="NRB7" s="3407"/>
      <c r="NRC7" s="3407"/>
      <c r="NRD7" s="3407"/>
      <c r="NRE7" s="3407"/>
      <c r="NRF7" s="3407"/>
      <c r="NRG7" s="3407"/>
      <c r="NRH7" s="3407"/>
      <c r="NRI7" s="3407"/>
      <c r="NRJ7" s="3407"/>
      <c r="NRK7" s="3407"/>
      <c r="NRL7" s="3407"/>
      <c r="NRM7" s="3407"/>
      <c r="NRN7" s="3407"/>
      <c r="NRO7" s="3407"/>
      <c r="NRP7" s="3407"/>
      <c r="NRQ7" s="3407"/>
      <c r="NRR7" s="3407"/>
      <c r="NRS7" s="3407"/>
      <c r="NRT7" s="3407"/>
      <c r="NRU7" s="3407"/>
      <c r="NRV7" s="3407"/>
      <c r="NRW7" s="3407"/>
      <c r="NRX7" s="3407"/>
      <c r="NRY7" s="3407"/>
      <c r="NRZ7" s="3407"/>
      <c r="NSA7" s="3407"/>
      <c r="NSB7" s="3407"/>
      <c r="NSC7" s="3407"/>
      <c r="NSD7" s="3407"/>
      <c r="NSE7" s="3407"/>
      <c r="NSF7" s="3407"/>
      <c r="NSG7" s="3407"/>
      <c r="NSH7" s="3407"/>
      <c r="NSI7" s="3407"/>
      <c r="NSJ7" s="3407"/>
      <c r="NSK7" s="3407"/>
      <c r="NSL7" s="3407"/>
      <c r="NSM7" s="3407"/>
      <c r="NSN7" s="3407"/>
      <c r="NSO7" s="3407"/>
      <c r="NSP7" s="3407"/>
      <c r="NSQ7" s="3407"/>
      <c r="NSR7" s="3407"/>
      <c r="NSS7" s="3407"/>
      <c r="NST7" s="3407"/>
      <c r="NSU7" s="3407"/>
      <c r="NSV7" s="3407"/>
      <c r="NSW7" s="3407"/>
      <c r="NSX7" s="3407"/>
      <c r="NSY7" s="3407"/>
      <c r="NSZ7" s="3407"/>
      <c r="NTA7" s="3407"/>
      <c r="NTB7" s="3407"/>
      <c r="NTC7" s="3407"/>
      <c r="NTD7" s="3407"/>
      <c r="NTE7" s="3407"/>
      <c r="NTF7" s="3407"/>
      <c r="NTG7" s="3407"/>
      <c r="NTH7" s="3407"/>
      <c r="NTI7" s="3407"/>
      <c r="NTJ7" s="3407"/>
      <c r="NTK7" s="3407"/>
      <c r="NTL7" s="3407"/>
      <c r="NTM7" s="3407"/>
      <c r="NTN7" s="3407"/>
      <c r="NTO7" s="3407"/>
      <c r="NTP7" s="3407"/>
      <c r="NTQ7" s="3407"/>
      <c r="NTR7" s="3407"/>
      <c r="NTS7" s="3407"/>
      <c r="NTT7" s="3407"/>
      <c r="NTU7" s="3407"/>
      <c r="NTV7" s="3407"/>
      <c r="NTW7" s="3407"/>
      <c r="NTX7" s="3407"/>
      <c r="NTY7" s="3407"/>
      <c r="NTZ7" s="3407"/>
      <c r="NUA7" s="3407"/>
      <c r="NUB7" s="3407"/>
      <c r="NUC7" s="3407"/>
      <c r="NUD7" s="3407"/>
      <c r="NUE7" s="3407"/>
      <c r="NUF7" s="3407"/>
      <c r="NUG7" s="3407"/>
      <c r="NUH7" s="3407"/>
      <c r="NUI7" s="3407"/>
      <c r="NUJ7" s="3407"/>
      <c r="NUK7" s="3407"/>
      <c r="NUL7" s="3407"/>
      <c r="NUM7" s="3407"/>
      <c r="NUN7" s="3407"/>
      <c r="NUO7" s="3407"/>
      <c r="NUP7" s="3407"/>
      <c r="NUQ7" s="3407"/>
      <c r="NUR7" s="3407"/>
      <c r="NUS7" s="3407"/>
      <c r="NUT7" s="3407"/>
      <c r="NUU7" s="3407"/>
      <c r="NUV7" s="3407"/>
      <c r="NUW7" s="3407"/>
      <c r="NUX7" s="3407"/>
      <c r="NUY7" s="3407"/>
      <c r="NUZ7" s="3407"/>
      <c r="NVA7" s="3407"/>
      <c r="NVB7" s="3407"/>
      <c r="NVC7" s="3407"/>
      <c r="NVD7" s="3407"/>
      <c r="NVE7" s="3407"/>
      <c r="NVF7" s="3407"/>
      <c r="NVG7" s="3407"/>
      <c r="NVH7" s="3407"/>
      <c r="NVI7" s="3407"/>
      <c r="NVJ7" s="3407"/>
      <c r="NVK7" s="3407"/>
      <c r="NVL7" s="3407"/>
      <c r="NVM7" s="3407"/>
      <c r="NVN7" s="3407"/>
      <c r="NVO7" s="3407"/>
      <c r="NVP7" s="3407"/>
      <c r="NVQ7" s="3407"/>
      <c r="NVR7" s="3407"/>
      <c r="NVS7" s="3407"/>
      <c r="NVT7" s="3407"/>
      <c r="NVU7" s="3407"/>
      <c r="NVV7" s="3407"/>
      <c r="NVW7" s="3407"/>
      <c r="NVX7" s="3407"/>
      <c r="NVY7" s="3407"/>
      <c r="NVZ7" s="3407"/>
      <c r="NWA7" s="3407"/>
      <c r="NWB7" s="3407"/>
      <c r="NWC7" s="3407"/>
      <c r="NWD7" s="3407"/>
      <c r="NWE7" s="3407"/>
      <c r="NWF7" s="3407"/>
      <c r="NWG7" s="3407"/>
      <c r="NWH7" s="3407"/>
      <c r="NWI7" s="3407"/>
      <c r="NWJ7" s="3407"/>
      <c r="NWK7" s="3407"/>
      <c r="NWL7" s="3407"/>
      <c r="NWM7" s="3407"/>
      <c r="NWN7" s="3407"/>
      <c r="NWO7" s="3407"/>
      <c r="NWP7" s="3407"/>
      <c r="NWQ7" s="3407"/>
      <c r="NWR7" s="3407"/>
      <c r="NWS7" s="3407"/>
      <c r="NWT7" s="3407"/>
      <c r="NWU7" s="3407"/>
      <c r="NWV7" s="3407"/>
      <c r="NWW7" s="3407"/>
      <c r="NWX7" s="3407"/>
      <c r="NWY7" s="3407"/>
      <c r="NWZ7" s="3407"/>
      <c r="NXA7" s="3407"/>
      <c r="NXB7" s="3407"/>
      <c r="NXC7" s="3407"/>
      <c r="NXD7" s="3407"/>
      <c r="NXE7" s="3407"/>
      <c r="NXF7" s="3407"/>
      <c r="NXG7" s="3407"/>
      <c r="NXH7" s="3407"/>
      <c r="NXI7" s="3407"/>
      <c r="NXJ7" s="3407"/>
      <c r="NXK7" s="3407"/>
      <c r="NXL7" s="3407"/>
      <c r="NXM7" s="3407"/>
      <c r="NXN7" s="3407"/>
      <c r="NXO7" s="3407"/>
      <c r="NXP7" s="3407"/>
      <c r="NXQ7" s="3407"/>
      <c r="NXR7" s="3407"/>
      <c r="NXS7" s="3407"/>
      <c r="NXT7" s="3407"/>
      <c r="NXU7" s="3407"/>
      <c r="NXV7" s="3407"/>
      <c r="NXW7" s="3407"/>
      <c r="NXX7" s="3407"/>
      <c r="NXY7" s="3407"/>
      <c r="NXZ7" s="3407"/>
      <c r="NYA7" s="3407"/>
      <c r="NYB7" s="3407"/>
      <c r="NYC7" s="3407"/>
      <c r="NYD7" s="3407"/>
      <c r="NYE7" s="3407"/>
      <c r="NYF7" s="3407"/>
      <c r="NYG7" s="3407"/>
      <c r="NYH7" s="3407"/>
      <c r="NYI7" s="3407"/>
      <c r="NYJ7" s="3407"/>
      <c r="NYK7" s="3407"/>
      <c r="NYL7" s="3407"/>
      <c r="NYM7" s="3407"/>
      <c r="NYN7" s="3407"/>
      <c r="NYO7" s="3407"/>
      <c r="NYP7" s="3407"/>
      <c r="NYQ7" s="3407"/>
      <c r="NYR7" s="3407"/>
      <c r="NYS7" s="3407"/>
      <c r="NYT7" s="3407"/>
      <c r="NYU7" s="3407"/>
      <c r="NYV7" s="3407"/>
      <c r="NYW7" s="3407"/>
      <c r="NYX7" s="3407"/>
      <c r="NYY7" s="3407"/>
      <c r="NYZ7" s="3407"/>
      <c r="NZA7" s="3407"/>
      <c r="NZB7" s="3407"/>
      <c r="NZC7" s="3407"/>
      <c r="NZD7" s="3407"/>
      <c r="NZE7" s="3407"/>
      <c r="NZF7" s="3407"/>
      <c r="NZG7" s="3407"/>
      <c r="NZH7" s="3407"/>
      <c r="NZI7" s="3407"/>
      <c r="NZJ7" s="3407"/>
      <c r="NZK7" s="3407"/>
      <c r="NZL7" s="3407"/>
      <c r="NZM7" s="3407"/>
      <c r="NZN7" s="3407"/>
      <c r="NZO7" s="3407"/>
      <c r="NZP7" s="3407"/>
      <c r="NZQ7" s="3407"/>
      <c r="NZR7" s="3407"/>
      <c r="NZS7" s="3407"/>
      <c r="NZT7" s="3407"/>
      <c r="NZU7" s="3407"/>
      <c r="NZV7" s="3407"/>
      <c r="NZW7" s="3407"/>
      <c r="NZX7" s="3407"/>
      <c r="NZY7" s="3407"/>
      <c r="NZZ7" s="3407"/>
      <c r="OAA7" s="3407"/>
      <c r="OAB7" s="3407"/>
      <c r="OAC7" s="3407"/>
      <c r="OAD7" s="3407"/>
      <c r="OAE7" s="3407"/>
      <c r="OAF7" s="3407"/>
      <c r="OAG7" s="3407"/>
      <c r="OAH7" s="3407"/>
      <c r="OAI7" s="3407"/>
      <c r="OAJ7" s="3407"/>
      <c r="OAK7" s="3407"/>
      <c r="OAL7" s="3407"/>
      <c r="OAM7" s="3407"/>
      <c r="OAN7" s="3407"/>
      <c r="OAO7" s="3407"/>
      <c r="OAP7" s="3407"/>
      <c r="OAQ7" s="3407"/>
      <c r="OAR7" s="3407"/>
      <c r="OAS7" s="3407"/>
      <c r="OAT7" s="3407"/>
      <c r="OAU7" s="3407"/>
      <c r="OAV7" s="3407"/>
      <c r="OAW7" s="3407"/>
      <c r="OAX7" s="3407"/>
      <c r="OAY7" s="3407"/>
      <c r="OAZ7" s="3407"/>
      <c r="OBA7" s="3407"/>
      <c r="OBB7" s="3407"/>
      <c r="OBC7" s="3407"/>
      <c r="OBD7" s="3407"/>
      <c r="OBE7" s="3407"/>
      <c r="OBF7" s="3407"/>
      <c r="OBG7" s="3407"/>
      <c r="OBH7" s="3407"/>
      <c r="OBI7" s="3407"/>
      <c r="OBJ7" s="3407"/>
      <c r="OBK7" s="3407"/>
      <c r="OBL7" s="3407"/>
      <c r="OBM7" s="3407"/>
      <c r="OBN7" s="3407"/>
      <c r="OBO7" s="3407"/>
      <c r="OBP7" s="3407"/>
      <c r="OBQ7" s="3407"/>
      <c r="OBR7" s="3407"/>
      <c r="OBS7" s="3407"/>
      <c r="OBT7" s="3407"/>
      <c r="OBU7" s="3407"/>
      <c r="OBV7" s="3407"/>
      <c r="OBW7" s="3407"/>
      <c r="OBX7" s="3407"/>
      <c r="OBY7" s="3407"/>
      <c r="OBZ7" s="3407"/>
      <c r="OCA7" s="3407"/>
      <c r="OCB7" s="3407"/>
      <c r="OCC7" s="3407"/>
      <c r="OCD7" s="3407"/>
      <c r="OCE7" s="3407"/>
      <c r="OCF7" s="3407"/>
      <c r="OCG7" s="3407"/>
      <c r="OCH7" s="3407"/>
      <c r="OCI7" s="3407"/>
      <c r="OCJ7" s="3407"/>
      <c r="OCK7" s="3407"/>
      <c r="OCL7" s="3407"/>
      <c r="OCM7" s="3407"/>
      <c r="OCN7" s="3407"/>
      <c r="OCO7" s="3407"/>
      <c r="OCP7" s="3407"/>
      <c r="OCQ7" s="3407"/>
      <c r="OCR7" s="3407"/>
      <c r="OCS7" s="3407"/>
      <c r="OCT7" s="3407"/>
      <c r="OCU7" s="3407"/>
      <c r="OCV7" s="3407"/>
      <c r="OCW7" s="3407"/>
      <c r="OCX7" s="3407"/>
      <c r="OCY7" s="3407"/>
      <c r="OCZ7" s="3407"/>
      <c r="ODA7" s="3407"/>
      <c r="ODB7" s="3407"/>
      <c r="ODC7" s="3407"/>
      <c r="ODD7" s="3407"/>
      <c r="ODE7" s="3407"/>
      <c r="ODF7" s="3407"/>
      <c r="ODG7" s="3407"/>
      <c r="ODH7" s="3407"/>
      <c r="ODI7" s="3407"/>
      <c r="ODJ7" s="3407"/>
      <c r="ODK7" s="3407"/>
      <c r="ODL7" s="3407"/>
      <c r="ODM7" s="3407"/>
      <c r="ODN7" s="3407"/>
      <c r="ODO7" s="3407"/>
      <c r="ODP7" s="3407"/>
      <c r="ODQ7" s="3407"/>
      <c r="ODR7" s="3407"/>
      <c r="ODS7" s="3407"/>
      <c r="ODT7" s="3407"/>
      <c r="ODU7" s="3407"/>
      <c r="ODV7" s="3407"/>
      <c r="ODW7" s="3407"/>
      <c r="ODX7" s="3407"/>
      <c r="ODY7" s="3407"/>
      <c r="ODZ7" s="3407"/>
      <c r="OEA7" s="3407"/>
      <c r="OEB7" s="3407"/>
      <c r="OEC7" s="3407"/>
      <c r="OED7" s="3407"/>
      <c r="OEE7" s="3407"/>
      <c r="OEF7" s="3407"/>
      <c r="OEG7" s="3407"/>
      <c r="OEH7" s="3407"/>
      <c r="OEI7" s="3407"/>
      <c r="OEJ7" s="3407"/>
      <c r="OEK7" s="3407"/>
      <c r="OEL7" s="3407"/>
      <c r="OEM7" s="3407"/>
      <c r="OEN7" s="3407"/>
      <c r="OEO7" s="3407"/>
      <c r="OEP7" s="3407"/>
      <c r="OEQ7" s="3407"/>
      <c r="OER7" s="3407"/>
      <c r="OES7" s="3407"/>
      <c r="OET7" s="3407"/>
      <c r="OEU7" s="3407"/>
      <c r="OEV7" s="3407"/>
      <c r="OEW7" s="3407"/>
      <c r="OEX7" s="3407"/>
      <c r="OEY7" s="3407"/>
      <c r="OEZ7" s="3407"/>
      <c r="OFA7" s="3407"/>
      <c r="OFB7" s="3407"/>
      <c r="OFC7" s="3407"/>
      <c r="OFD7" s="3407"/>
      <c r="OFE7" s="3407"/>
      <c r="OFF7" s="3407"/>
      <c r="OFG7" s="3407"/>
      <c r="OFH7" s="3407"/>
      <c r="OFI7" s="3407"/>
      <c r="OFJ7" s="3407"/>
      <c r="OFK7" s="3407"/>
      <c r="OFL7" s="3407"/>
      <c r="OFM7" s="3407"/>
      <c r="OFN7" s="3407"/>
      <c r="OFO7" s="3407"/>
      <c r="OFP7" s="3407"/>
      <c r="OFQ7" s="3407"/>
      <c r="OFR7" s="3407"/>
      <c r="OFS7" s="3407"/>
      <c r="OFT7" s="3407"/>
      <c r="OFU7" s="3407"/>
      <c r="OFV7" s="3407"/>
      <c r="OFW7" s="3407"/>
      <c r="OFX7" s="3407"/>
      <c r="OFY7" s="3407"/>
      <c r="OFZ7" s="3407"/>
      <c r="OGA7" s="3407"/>
      <c r="OGB7" s="3407"/>
      <c r="OGC7" s="3407"/>
      <c r="OGD7" s="3407"/>
      <c r="OGE7" s="3407"/>
      <c r="OGF7" s="3407"/>
      <c r="OGG7" s="3407"/>
      <c r="OGH7" s="3407"/>
      <c r="OGI7" s="3407"/>
      <c r="OGJ7" s="3407"/>
      <c r="OGK7" s="3407"/>
      <c r="OGL7" s="3407"/>
      <c r="OGM7" s="3407"/>
      <c r="OGN7" s="3407"/>
      <c r="OGO7" s="3407"/>
      <c r="OGP7" s="3407"/>
      <c r="OGQ7" s="3407"/>
      <c r="OGR7" s="3407"/>
      <c r="OGS7" s="3407"/>
      <c r="OGT7" s="3407"/>
      <c r="OGU7" s="3407"/>
      <c r="OGV7" s="3407"/>
      <c r="OGW7" s="3407"/>
      <c r="OGX7" s="3407"/>
      <c r="OGY7" s="3407"/>
      <c r="OGZ7" s="3407"/>
      <c r="OHA7" s="3407"/>
      <c r="OHB7" s="3407"/>
      <c r="OHC7" s="3407"/>
      <c r="OHD7" s="3407"/>
      <c r="OHE7" s="3407"/>
      <c r="OHF7" s="3407"/>
      <c r="OHG7" s="3407"/>
      <c r="OHH7" s="3407"/>
      <c r="OHI7" s="3407"/>
      <c r="OHJ7" s="3407"/>
      <c r="OHK7" s="3407"/>
      <c r="OHL7" s="3407"/>
      <c r="OHM7" s="3407"/>
      <c r="OHN7" s="3407"/>
      <c r="OHO7" s="3407"/>
      <c r="OHP7" s="3407"/>
      <c r="OHQ7" s="3407"/>
      <c r="OHR7" s="3407"/>
      <c r="OHS7" s="3407"/>
      <c r="OHT7" s="3407"/>
      <c r="OHU7" s="3407"/>
      <c r="OHV7" s="3407"/>
      <c r="OHW7" s="3407"/>
      <c r="OHX7" s="3407"/>
      <c r="OHY7" s="3407"/>
      <c r="OHZ7" s="3407"/>
      <c r="OIA7" s="3407"/>
      <c r="OIB7" s="3407"/>
      <c r="OIC7" s="3407"/>
      <c r="OID7" s="3407"/>
      <c r="OIE7" s="3407"/>
      <c r="OIF7" s="3407"/>
      <c r="OIG7" s="3407"/>
      <c r="OIH7" s="3407"/>
      <c r="OII7" s="3407"/>
      <c r="OIJ7" s="3407"/>
      <c r="OIK7" s="3407"/>
      <c r="OIL7" s="3407"/>
      <c r="OIM7" s="3407"/>
      <c r="OIN7" s="3407"/>
      <c r="OIO7" s="3407"/>
      <c r="OIP7" s="3407"/>
      <c r="OIQ7" s="3407"/>
      <c r="OIR7" s="3407"/>
      <c r="OIS7" s="3407"/>
      <c r="OIT7" s="3407"/>
      <c r="OIU7" s="3407"/>
      <c r="OIV7" s="3407"/>
      <c r="OIW7" s="3407"/>
      <c r="OIX7" s="3407"/>
      <c r="OIY7" s="3407"/>
      <c r="OIZ7" s="3407"/>
      <c r="OJA7" s="3407"/>
      <c r="OJB7" s="3407"/>
      <c r="OJC7" s="3407"/>
      <c r="OJD7" s="3407"/>
      <c r="OJE7" s="3407"/>
      <c r="OJF7" s="3407"/>
      <c r="OJG7" s="3407"/>
      <c r="OJH7" s="3407"/>
      <c r="OJI7" s="3407"/>
      <c r="OJJ7" s="3407"/>
      <c r="OJK7" s="3407"/>
      <c r="OJL7" s="3407"/>
      <c r="OJM7" s="3407"/>
      <c r="OJN7" s="3407"/>
      <c r="OJO7" s="3407"/>
      <c r="OJP7" s="3407"/>
      <c r="OJQ7" s="3407"/>
      <c r="OJR7" s="3407"/>
      <c r="OJS7" s="3407"/>
      <c r="OJT7" s="3407"/>
      <c r="OJU7" s="3407"/>
      <c r="OJV7" s="3407"/>
      <c r="OJW7" s="3407"/>
      <c r="OJX7" s="3407"/>
      <c r="OJY7" s="3407"/>
      <c r="OJZ7" s="3407"/>
      <c r="OKA7" s="3407"/>
      <c r="OKB7" s="3407"/>
      <c r="OKC7" s="3407"/>
      <c r="OKD7" s="3407"/>
      <c r="OKE7" s="3407"/>
      <c r="OKF7" s="3407"/>
      <c r="OKG7" s="3407"/>
      <c r="OKH7" s="3407"/>
      <c r="OKI7" s="3407"/>
      <c r="OKJ7" s="3407"/>
      <c r="OKK7" s="3407"/>
      <c r="OKL7" s="3407"/>
      <c r="OKM7" s="3407"/>
      <c r="OKN7" s="3407"/>
      <c r="OKO7" s="3407"/>
      <c r="OKP7" s="3407"/>
      <c r="OKQ7" s="3407"/>
      <c r="OKR7" s="3407"/>
      <c r="OKS7" s="3407"/>
      <c r="OKT7" s="3407"/>
      <c r="OKU7" s="3407"/>
      <c r="OKV7" s="3407"/>
      <c r="OKW7" s="3407"/>
      <c r="OKX7" s="3407"/>
      <c r="OKY7" s="3407"/>
      <c r="OKZ7" s="3407"/>
      <c r="OLA7" s="3407"/>
      <c r="OLB7" s="3407"/>
      <c r="OLC7" s="3407"/>
      <c r="OLD7" s="3407"/>
      <c r="OLE7" s="3407"/>
      <c r="OLF7" s="3407"/>
      <c r="OLG7" s="3407"/>
      <c r="OLH7" s="3407"/>
      <c r="OLI7" s="3407"/>
      <c r="OLJ7" s="3407"/>
      <c r="OLK7" s="3407"/>
      <c r="OLL7" s="3407"/>
      <c r="OLM7" s="3407"/>
      <c r="OLN7" s="3407"/>
      <c r="OLO7" s="3407"/>
      <c r="OLP7" s="3407"/>
      <c r="OLQ7" s="3407"/>
      <c r="OLR7" s="3407"/>
      <c r="OLS7" s="3407"/>
      <c r="OLT7" s="3407"/>
      <c r="OLU7" s="3407"/>
      <c r="OLV7" s="3407"/>
      <c r="OLW7" s="3407"/>
      <c r="OLX7" s="3407"/>
      <c r="OLY7" s="3407"/>
      <c r="OLZ7" s="3407"/>
      <c r="OMA7" s="3407"/>
      <c r="OMB7" s="3407"/>
      <c r="OMC7" s="3407"/>
      <c r="OMD7" s="3407"/>
      <c r="OME7" s="3407"/>
      <c r="OMF7" s="3407"/>
      <c r="OMG7" s="3407"/>
      <c r="OMH7" s="3407"/>
      <c r="OMI7" s="3407"/>
      <c r="OMJ7" s="3407"/>
      <c r="OMK7" s="3407"/>
      <c r="OML7" s="3407"/>
      <c r="OMM7" s="3407"/>
      <c r="OMN7" s="3407"/>
      <c r="OMO7" s="3407"/>
      <c r="OMP7" s="3407"/>
      <c r="OMQ7" s="3407"/>
      <c r="OMR7" s="3407"/>
      <c r="OMS7" s="3407"/>
      <c r="OMT7" s="3407"/>
      <c r="OMU7" s="3407"/>
      <c r="OMV7" s="3407"/>
      <c r="OMW7" s="3407"/>
      <c r="OMX7" s="3407"/>
      <c r="OMY7" s="3407"/>
      <c r="OMZ7" s="3407"/>
      <c r="ONA7" s="3407"/>
      <c r="ONB7" s="3407"/>
      <c r="ONC7" s="3407"/>
      <c r="OND7" s="3407"/>
      <c r="ONE7" s="3407"/>
      <c r="ONF7" s="3407"/>
      <c r="ONG7" s="3407"/>
      <c r="ONH7" s="3407"/>
      <c r="ONI7" s="3407"/>
      <c r="ONJ7" s="3407"/>
      <c r="ONK7" s="3407"/>
      <c r="ONL7" s="3407"/>
      <c r="ONM7" s="3407"/>
      <c r="ONN7" s="3407"/>
      <c r="ONO7" s="3407"/>
      <c r="ONP7" s="3407"/>
      <c r="ONQ7" s="3407"/>
      <c r="ONR7" s="3407"/>
      <c r="ONS7" s="3407"/>
      <c r="ONT7" s="3407"/>
      <c r="ONU7" s="3407"/>
      <c r="ONV7" s="3407"/>
      <c r="ONW7" s="3407"/>
      <c r="ONX7" s="3407"/>
      <c r="ONY7" s="3407"/>
      <c r="ONZ7" s="3407"/>
      <c r="OOA7" s="3407"/>
      <c r="OOB7" s="3407"/>
      <c r="OOC7" s="3407"/>
      <c r="OOD7" s="3407"/>
      <c r="OOE7" s="3407"/>
      <c r="OOF7" s="3407"/>
      <c r="OOG7" s="3407"/>
      <c r="OOH7" s="3407"/>
      <c r="OOI7" s="3407"/>
      <c r="OOJ7" s="3407"/>
      <c r="OOK7" s="3407"/>
      <c r="OOL7" s="3407"/>
      <c r="OOM7" s="3407"/>
      <c r="OON7" s="3407"/>
      <c r="OOO7" s="3407"/>
      <c r="OOP7" s="3407"/>
      <c r="OOQ7" s="3407"/>
      <c r="OOR7" s="3407"/>
      <c r="OOS7" s="3407"/>
      <c r="OOT7" s="3407"/>
      <c r="OOU7" s="3407"/>
      <c r="OOV7" s="3407"/>
      <c r="OOW7" s="3407"/>
      <c r="OOX7" s="3407"/>
      <c r="OOY7" s="3407"/>
      <c r="OOZ7" s="3407"/>
      <c r="OPA7" s="3407"/>
      <c r="OPB7" s="3407"/>
      <c r="OPC7" s="3407"/>
      <c r="OPD7" s="3407"/>
      <c r="OPE7" s="3407"/>
      <c r="OPF7" s="3407"/>
      <c r="OPG7" s="3407"/>
      <c r="OPH7" s="3407"/>
      <c r="OPI7" s="3407"/>
      <c r="OPJ7" s="3407"/>
      <c r="OPK7" s="3407"/>
      <c r="OPL7" s="3407"/>
      <c r="OPM7" s="3407"/>
      <c r="OPN7" s="3407"/>
      <c r="OPO7" s="3407"/>
      <c r="OPP7" s="3407"/>
      <c r="OPQ7" s="3407"/>
      <c r="OPR7" s="3407"/>
      <c r="OPS7" s="3407"/>
      <c r="OPT7" s="3407"/>
      <c r="OPU7" s="3407"/>
      <c r="OPV7" s="3407"/>
      <c r="OPW7" s="3407"/>
      <c r="OPX7" s="3407"/>
      <c r="OPY7" s="3407"/>
      <c r="OPZ7" s="3407"/>
      <c r="OQA7" s="3407"/>
      <c r="OQB7" s="3407"/>
      <c r="OQC7" s="3407"/>
      <c r="OQD7" s="3407"/>
      <c r="OQE7" s="3407"/>
      <c r="OQF7" s="3407"/>
      <c r="OQG7" s="3407"/>
      <c r="OQH7" s="3407"/>
      <c r="OQI7" s="3407"/>
      <c r="OQJ7" s="3407"/>
      <c r="OQK7" s="3407"/>
      <c r="OQL7" s="3407"/>
      <c r="OQM7" s="3407"/>
      <c r="OQN7" s="3407"/>
      <c r="OQO7" s="3407"/>
      <c r="OQP7" s="3407"/>
      <c r="OQQ7" s="3407"/>
      <c r="OQR7" s="3407"/>
      <c r="OQS7" s="3407"/>
      <c r="OQT7" s="3407"/>
      <c r="OQU7" s="3407"/>
      <c r="OQV7" s="3407"/>
      <c r="OQW7" s="3407"/>
      <c r="OQX7" s="3407"/>
      <c r="OQY7" s="3407"/>
      <c r="OQZ7" s="3407"/>
      <c r="ORA7" s="3407"/>
      <c r="ORB7" s="3407"/>
      <c r="ORC7" s="3407"/>
      <c r="ORD7" s="3407"/>
      <c r="ORE7" s="3407"/>
      <c r="ORF7" s="3407"/>
      <c r="ORG7" s="3407"/>
      <c r="ORH7" s="3407"/>
      <c r="ORI7" s="3407"/>
      <c r="ORJ7" s="3407"/>
      <c r="ORK7" s="3407"/>
      <c r="ORL7" s="3407"/>
      <c r="ORM7" s="3407"/>
      <c r="ORN7" s="3407"/>
      <c r="ORO7" s="3407"/>
      <c r="ORP7" s="3407"/>
      <c r="ORQ7" s="3407"/>
      <c r="ORR7" s="3407"/>
      <c r="ORS7" s="3407"/>
      <c r="ORT7" s="3407"/>
      <c r="ORU7" s="3407"/>
      <c r="ORV7" s="3407"/>
      <c r="ORW7" s="3407"/>
      <c r="ORX7" s="3407"/>
      <c r="ORY7" s="3407"/>
      <c r="ORZ7" s="3407"/>
      <c r="OSA7" s="3407"/>
      <c r="OSB7" s="3407"/>
      <c r="OSC7" s="3407"/>
      <c r="OSD7" s="3407"/>
      <c r="OSE7" s="3407"/>
      <c r="OSF7" s="3407"/>
      <c r="OSG7" s="3407"/>
      <c r="OSH7" s="3407"/>
      <c r="OSI7" s="3407"/>
      <c r="OSJ7" s="3407"/>
      <c r="OSK7" s="3407"/>
      <c r="OSL7" s="3407"/>
      <c r="OSM7" s="3407"/>
      <c r="OSN7" s="3407"/>
      <c r="OSO7" s="3407"/>
      <c r="OSP7" s="3407"/>
      <c r="OSQ7" s="3407"/>
      <c r="OSR7" s="3407"/>
      <c r="OSS7" s="3407"/>
      <c r="OST7" s="3407"/>
      <c r="OSU7" s="3407"/>
      <c r="OSV7" s="3407"/>
      <c r="OSW7" s="3407"/>
      <c r="OSX7" s="3407"/>
      <c r="OSY7" s="3407"/>
      <c r="OSZ7" s="3407"/>
      <c r="OTA7" s="3407"/>
      <c r="OTB7" s="3407"/>
      <c r="OTC7" s="3407"/>
      <c r="OTD7" s="3407"/>
      <c r="OTE7" s="3407"/>
      <c r="OTF7" s="3407"/>
      <c r="OTG7" s="3407"/>
      <c r="OTH7" s="3407"/>
      <c r="OTI7" s="3407"/>
      <c r="OTJ7" s="3407"/>
      <c r="OTK7" s="3407"/>
      <c r="OTL7" s="3407"/>
      <c r="OTM7" s="3407"/>
      <c r="OTN7" s="3407"/>
      <c r="OTO7" s="3407"/>
      <c r="OTP7" s="3407"/>
      <c r="OTQ7" s="3407"/>
      <c r="OTR7" s="3407"/>
      <c r="OTS7" s="3407"/>
      <c r="OTT7" s="3407"/>
      <c r="OTU7" s="3407"/>
      <c r="OTV7" s="3407"/>
      <c r="OTW7" s="3407"/>
      <c r="OTX7" s="3407"/>
      <c r="OTY7" s="3407"/>
      <c r="OTZ7" s="3407"/>
      <c r="OUA7" s="3407"/>
      <c r="OUB7" s="3407"/>
      <c r="OUC7" s="3407"/>
      <c r="OUD7" s="3407"/>
      <c r="OUE7" s="3407"/>
      <c r="OUF7" s="3407"/>
      <c r="OUG7" s="3407"/>
      <c r="OUH7" s="3407"/>
      <c r="OUI7" s="3407"/>
      <c r="OUJ7" s="3407"/>
      <c r="OUK7" s="3407"/>
      <c r="OUL7" s="3407"/>
      <c r="OUM7" s="3407"/>
      <c r="OUN7" s="3407"/>
      <c r="OUO7" s="3407"/>
      <c r="OUP7" s="3407"/>
      <c r="OUQ7" s="3407"/>
      <c r="OUR7" s="3407"/>
      <c r="OUS7" s="3407"/>
      <c r="OUT7" s="3407"/>
      <c r="OUU7" s="3407"/>
      <c r="OUV7" s="3407"/>
      <c r="OUW7" s="3407"/>
      <c r="OUX7" s="3407"/>
      <c r="OUY7" s="3407"/>
      <c r="OUZ7" s="3407"/>
      <c r="OVA7" s="3407"/>
      <c r="OVB7" s="3407"/>
      <c r="OVC7" s="3407"/>
      <c r="OVD7" s="3407"/>
      <c r="OVE7" s="3407"/>
      <c r="OVF7" s="3407"/>
      <c r="OVG7" s="3407"/>
      <c r="OVH7" s="3407"/>
      <c r="OVI7" s="3407"/>
      <c r="OVJ7" s="3407"/>
      <c r="OVK7" s="3407"/>
      <c r="OVL7" s="3407"/>
      <c r="OVM7" s="3407"/>
      <c r="OVN7" s="3407"/>
      <c r="OVO7" s="3407"/>
      <c r="OVP7" s="3407"/>
      <c r="OVQ7" s="3407"/>
      <c r="OVR7" s="3407"/>
      <c r="OVS7" s="3407"/>
      <c r="OVT7" s="3407"/>
      <c r="OVU7" s="3407"/>
      <c r="OVV7" s="3407"/>
      <c r="OVW7" s="3407"/>
      <c r="OVX7" s="3407"/>
      <c r="OVY7" s="3407"/>
      <c r="OVZ7" s="3407"/>
      <c r="OWA7" s="3407"/>
      <c r="OWB7" s="3407"/>
      <c r="OWC7" s="3407"/>
      <c r="OWD7" s="3407"/>
      <c r="OWE7" s="3407"/>
      <c r="OWF7" s="3407"/>
      <c r="OWG7" s="3407"/>
      <c r="OWH7" s="3407"/>
      <c r="OWI7" s="3407"/>
      <c r="OWJ7" s="3407"/>
      <c r="OWK7" s="3407"/>
      <c r="OWL7" s="3407"/>
      <c r="OWM7" s="3407"/>
      <c r="OWN7" s="3407"/>
      <c r="OWO7" s="3407"/>
      <c r="OWP7" s="3407"/>
      <c r="OWQ7" s="3407"/>
      <c r="OWR7" s="3407"/>
      <c r="OWS7" s="3407"/>
      <c r="OWT7" s="3407"/>
      <c r="OWU7" s="3407"/>
      <c r="OWV7" s="3407"/>
      <c r="OWW7" s="3407"/>
      <c r="OWX7" s="3407"/>
      <c r="OWY7" s="3407"/>
      <c r="OWZ7" s="3407"/>
      <c r="OXA7" s="3407"/>
      <c r="OXB7" s="3407"/>
      <c r="OXC7" s="3407"/>
      <c r="OXD7" s="3407"/>
      <c r="OXE7" s="3407"/>
      <c r="OXF7" s="3407"/>
      <c r="OXG7" s="3407"/>
      <c r="OXH7" s="3407"/>
      <c r="OXI7" s="3407"/>
      <c r="OXJ7" s="3407"/>
      <c r="OXK7" s="3407"/>
      <c r="OXL7" s="3407"/>
      <c r="OXM7" s="3407"/>
      <c r="OXN7" s="3407"/>
      <c r="OXO7" s="3407"/>
      <c r="OXP7" s="3407"/>
      <c r="OXQ7" s="3407"/>
      <c r="OXR7" s="3407"/>
      <c r="OXS7" s="3407"/>
      <c r="OXT7" s="3407"/>
      <c r="OXU7" s="3407"/>
      <c r="OXV7" s="3407"/>
      <c r="OXW7" s="3407"/>
      <c r="OXX7" s="3407"/>
      <c r="OXY7" s="3407"/>
      <c r="OXZ7" s="3407"/>
      <c r="OYA7" s="3407"/>
      <c r="OYB7" s="3407"/>
      <c r="OYC7" s="3407"/>
      <c r="OYD7" s="3407"/>
      <c r="OYE7" s="3407"/>
      <c r="OYF7" s="3407"/>
      <c r="OYG7" s="3407"/>
      <c r="OYH7" s="3407"/>
      <c r="OYI7" s="3407"/>
      <c r="OYJ7" s="3407"/>
      <c r="OYK7" s="3407"/>
      <c r="OYL7" s="3407"/>
      <c r="OYM7" s="3407"/>
      <c r="OYN7" s="3407"/>
      <c r="OYO7" s="3407"/>
      <c r="OYP7" s="3407"/>
      <c r="OYQ7" s="3407"/>
      <c r="OYR7" s="3407"/>
      <c r="OYS7" s="3407"/>
      <c r="OYT7" s="3407"/>
      <c r="OYU7" s="3407"/>
      <c r="OYV7" s="3407"/>
      <c r="OYW7" s="3407"/>
      <c r="OYX7" s="3407"/>
      <c r="OYY7" s="3407"/>
      <c r="OYZ7" s="3407"/>
      <c r="OZA7" s="3407"/>
      <c r="OZB7" s="3407"/>
      <c r="OZC7" s="3407"/>
      <c r="OZD7" s="3407"/>
      <c r="OZE7" s="3407"/>
      <c r="OZF7" s="3407"/>
      <c r="OZG7" s="3407"/>
      <c r="OZH7" s="3407"/>
      <c r="OZI7" s="3407"/>
      <c r="OZJ7" s="3407"/>
      <c r="OZK7" s="3407"/>
      <c r="OZL7" s="3407"/>
      <c r="OZM7" s="3407"/>
      <c r="OZN7" s="3407"/>
      <c r="OZO7" s="3407"/>
      <c r="OZP7" s="3407"/>
      <c r="OZQ7" s="3407"/>
      <c r="OZR7" s="3407"/>
      <c r="OZS7" s="3407"/>
      <c r="OZT7" s="3407"/>
      <c r="OZU7" s="3407"/>
      <c r="OZV7" s="3407"/>
      <c r="OZW7" s="3407"/>
      <c r="OZX7" s="3407"/>
      <c r="OZY7" s="3407"/>
      <c r="OZZ7" s="3407"/>
      <c r="PAA7" s="3407"/>
      <c r="PAB7" s="3407"/>
      <c r="PAC7" s="3407"/>
      <c r="PAD7" s="3407"/>
      <c r="PAE7" s="3407"/>
      <c r="PAF7" s="3407"/>
      <c r="PAG7" s="3407"/>
      <c r="PAH7" s="3407"/>
      <c r="PAI7" s="3407"/>
      <c r="PAJ7" s="3407"/>
      <c r="PAK7" s="3407"/>
      <c r="PAL7" s="3407"/>
      <c r="PAM7" s="3407"/>
      <c r="PAN7" s="3407"/>
      <c r="PAO7" s="3407"/>
      <c r="PAP7" s="3407"/>
      <c r="PAQ7" s="3407"/>
      <c r="PAR7" s="3407"/>
      <c r="PAS7" s="3407"/>
      <c r="PAT7" s="3407"/>
      <c r="PAU7" s="3407"/>
      <c r="PAV7" s="3407"/>
      <c r="PAW7" s="3407"/>
      <c r="PAX7" s="3407"/>
      <c r="PAY7" s="3407"/>
      <c r="PAZ7" s="3407"/>
      <c r="PBA7" s="3407"/>
      <c r="PBB7" s="3407"/>
      <c r="PBC7" s="3407"/>
      <c r="PBD7" s="3407"/>
      <c r="PBE7" s="3407"/>
      <c r="PBF7" s="3407"/>
      <c r="PBG7" s="3407"/>
      <c r="PBH7" s="3407"/>
      <c r="PBI7" s="3407"/>
      <c r="PBJ7" s="3407"/>
      <c r="PBK7" s="3407"/>
      <c r="PBL7" s="3407"/>
      <c r="PBM7" s="3407"/>
      <c r="PBN7" s="3407"/>
      <c r="PBO7" s="3407"/>
      <c r="PBP7" s="3407"/>
      <c r="PBQ7" s="3407"/>
      <c r="PBR7" s="3407"/>
      <c r="PBS7" s="3407"/>
      <c r="PBT7" s="3407"/>
      <c r="PBU7" s="3407"/>
      <c r="PBV7" s="3407"/>
      <c r="PBW7" s="3407"/>
      <c r="PBX7" s="3407"/>
      <c r="PBY7" s="3407"/>
      <c r="PBZ7" s="3407"/>
      <c r="PCA7" s="3407"/>
      <c r="PCB7" s="3407"/>
      <c r="PCC7" s="3407"/>
      <c r="PCD7" s="3407"/>
      <c r="PCE7" s="3407"/>
      <c r="PCF7" s="3407"/>
      <c r="PCG7" s="3407"/>
      <c r="PCH7" s="3407"/>
      <c r="PCI7" s="3407"/>
      <c r="PCJ7" s="3407"/>
      <c r="PCK7" s="3407"/>
      <c r="PCL7" s="3407"/>
      <c r="PCM7" s="3407"/>
      <c r="PCN7" s="3407"/>
      <c r="PCO7" s="3407"/>
      <c r="PCP7" s="3407"/>
      <c r="PCQ7" s="3407"/>
      <c r="PCR7" s="3407"/>
      <c r="PCS7" s="3407"/>
      <c r="PCT7" s="3407"/>
      <c r="PCU7" s="3407"/>
      <c r="PCV7" s="3407"/>
      <c r="PCW7" s="3407"/>
      <c r="PCX7" s="3407"/>
      <c r="PCY7" s="3407"/>
      <c r="PCZ7" s="3407"/>
      <c r="PDA7" s="3407"/>
      <c r="PDB7" s="3407"/>
      <c r="PDC7" s="3407"/>
      <c r="PDD7" s="3407"/>
      <c r="PDE7" s="3407"/>
      <c r="PDF7" s="3407"/>
      <c r="PDG7" s="3407"/>
      <c r="PDH7" s="3407"/>
      <c r="PDI7" s="3407"/>
      <c r="PDJ7" s="3407"/>
      <c r="PDK7" s="3407"/>
      <c r="PDL7" s="3407"/>
      <c r="PDM7" s="3407"/>
      <c r="PDN7" s="3407"/>
      <c r="PDO7" s="3407"/>
      <c r="PDP7" s="3407"/>
      <c r="PDQ7" s="3407"/>
      <c r="PDR7" s="3407"/>
      <c r="PDS7" s="3407"/>
      <c r="PDT7" s="3407"/>
      <c r="PDU7" s="3407"/>
      <c r="PDV7" s="3407"/>
      <c r="PDW7" s="3407"/>
      <c r="PDX7" s="3407"/>
      <c r="PDY7" s="3407"/>
      <c r="PDZ7" s="3407"/>
      <c r="PEA7" s="3407"/>
      <c r="PEB7" s="3407"/>
      <c r="PEC7" s="3407"/>
      <c r="PED7" s="3407"/>
      <c r="PEE7" s="3407"/>
      <c r="PEF7" s="3407"/>
      <c r="PEG7" s="3407"/>
      <c r="PEH7" s="3407"/>
      <c r="PEI7" s="3407"/>
      <c r="PEJ7" s="3407"/>
      <c r="PEK7" s="3407"/>
      <c r="PEL7" s="3407"/>
      <c r="PEM7" s="3407"/>
      <c r="PEN7" s="3407"/>
      <c r="PEO7" s="3407"/>
      <c r="PEP7" s="3407"/>
      <c r="PEQ7" s="3407"/>
      <c r="PER7" s="3407"/>
      <c r="PES7" s="3407"/>
      <c r="PET7" s="3407"/>
      <c r="PEU7" s="3407"/>
      <c r="PEV7" s="3407"/>
      <c r="PEW7" s="3407"/>
      <c r="PEX7" s="3407"/>
      <c r="PEY7" s="3407"/>
      <c r="PEZ7" s="3407"/>
      <c r="PFA7" s="3407"/>
      <c r="PFB7" s="3407"/>
      <c r="PFC7" s="3407"/>
      <c r="PFD7" s="3407"/>
      <c r="PFE7" s="3407"/>
      <c r="PFF7" s="3407"/>
      <c r="PFG7" s="3407"/>
      <c r="PFH7" s="3407"/>
      <c r="PFI7" s="3407"/>
      <c r="PFJ7" s="3407"/>
      <c r="PFK7" s="3407"/>
      <c r="PFL7" s="3407"/>
      <c r="PFM7" s="3407"/>
      <c r="PFN7" s="3407"/>
      <c r="PFO7" s="3407"/>
      <c r="PFP7" s="3407"/>
      <c r="PFQ7" s="3407"/>
      <c r="PFR7" s="3407"/>
      <c r="PFS7" s="3407"/>
      <c r="PFT7" s="3407"/>
      <c r="PFU7" s="3407"/>
      <c r="PFV7" s="3407"/>
      <c r="PFW7" s="3407"/>
      <c r="PFX7" s="3407"/>
      <c r="PFY7" s="3407"/>
      <c r="PFZ7" s="3407"/>
      <c r="PGA7" s="3407"/>
      <c r="PGB7" s="3407"/>
      <c r="PGC7" s="3407"/>
      <c r="PGD7" s="3407"/>
      <c r="PGE7" s="3407"/>
      <c r="PGF7" s="3407"/>
      <c r="PGG7" s="3407"/>
      <c r="PGH7" s="3407"/>
      <c r="PGI7" s="3407"/>
      <c r="PGJ7" s="3407"/>
      <c r="PGK7" s="3407"/>
      <c r="PGL7" s="3407"/>
      <c r="PGM7" s="3407"/>
      <c r="PGN7" s="3407"/>
      <c r="PGO7" s="3407"/>
      <c r="PGP7" s="3407"/>
      <c r="PGQ7" s="3407"/>
      <c r="PGR7" s="3407"/>
      <c r="PGS7" s="3407"/>
      <c r="PGT7" s="3407"/>
      <c r="PGU7" s="3407"/>
      <c r="PGV7" s="3407"/>
      <c r="PGW7" s="3407"/>
      <c r="PGX7" s="3407"/>
      <c r="PGY7" s="3407"/>
      <c r="PGZ7" s="3407"/>
      <c r="PHA7" s="3407"/>
      <c r="PHB7" s="3407"/>
      <c r="PHC7" s="3407"/>
      <c r="PHD7" s="3407"/>
      <c r="PHE7" s="3407"/>
      <c r="PHF7" s="3407"/>
      <c r="PHG7" s="3407"/>
      <c r="PHH7" s="3407"/>
      <c r="PHI7" s="3407"/>
      <c r="PHJ7" s="3407"/>
      <c r="PHK7" s="3407"/>
      <c r="PHL7" s="3407"/>
      <c r="PHM7" s="3407"/>
      <c r="PHN7" s="3407"/>
      <c r="PHO7" s="3407"/>
      <c r="PHP7" s="3407"/>
      <c r="PHQ7" s="3407"/>
      <c r="PHR7" s="3407"/>
      <c r="PHS7" s="3407"/>
      <c r="PHT7" s="3407"/>
      <c r="PHU7" s="3407"/>
      <c r="PHV7" s="3407"/>
      <c r="PHW7" s="3407"/>
      <c r="PHX7" s="3407"/>
      <c r="PHY7" s="3407"/>
      <c r="PHZ7" s="3407"/>
      <c r="PIA7" s="3407"/>
      <c r="PIB7" s="3407"/>
      <c r="PIC7" s="3407"/>
      <c r="PID7" s="3407"/>
      <c r="PIE7" s="3407"/>
      <c r="PIF7" s="3407"/>
      <c r="PIG7" s="3407"/>
      <c r="PIH7" s="3407"/>
      <c r="PII7" s="3407"/>
      <c r="PIJ7" s="3407"/>
      <c r="PIK7" s="3407"/>
      <c r="PIL7" s="3407"/>
      <c r="PIM7" s="3407"/>
      <c r="PIN7" s="3407"/>
      <c r="PIO7" s="3407"/>
      <c r="PIP7" s="3407"/>
      <c r="PIQ7" s="3407"/>
      <c r="PIR7" s="3407"/>
      <c r="PIS7" s="3407"/>
      <c r="PIT7" s="3407"/>
      <c r="PIU7" s="3407"/>
      <c r="PIV7" s="3407"/>
      <c r="PIW7" s="3407"/>
      <c r="PIX7" s="3407"/>
      <c r="PIY7" s="3407"/>
      <c r="PIZ7" s="3407"/>
      <c r="PJA7" s="3407"/>
      <c r="PJB7" s="3407"/>
      <c r="PJC7" s="3407"/>
      <c r="PJD7" s="3407"/>
      <c r="PJE7" s="3407"/>
      <c r="PJF7" s="3407"/>
      <c r="PJG7" s="3407"/>
      <c r="PJH7" s="3407"/>
      <c r="PJI7" s="3407"/>
      <c r="PJJ7" s="3407"/>
      <c r="PJK7" s="3407"/>
      <c r="PJL7" s="3407"/>
      <c r="PJM7" s="3407"/>
      <c r="PJN7" s="3407"/>
      <c r="PJO7" s="3407"/>
      <c r="PJP7" s="3407"/>
      <c r="PJQ7" s="3407"/>
      <c r="PJR7" s="3407"/>
      <c r="PJS7" s="3407"/>
      <c r="PJT7" s="3407"/>
      <c r="PJU7" s="3407"/>
      <c r="PJV7" s="3407"/>
      <c r="PJW7" s="3407"/>
      <c r="PJX7" s="3407"/>
      <c r="PJY7" s="3407"/>
      <c r="PJZ7" s="3407"/>
      <c r="PKA7" s="3407"/>
      <c r="PKB7" s="3407"/>
      <c r="PKC7" s="3407"/>
      <c r="PKD7" s="3407"/>
      <c r="PKE7" s="3407"/>
      <c r="PKF7" s="3407"/>
      <c r="PKG7" s="3407"/>
      <c r="PKH7" s="3407"/>
      <c r="PKI7" s="3407"/>
      <c r="PKJ7" s="3407"/>
      <c r="PKK7" s="3407"/>
      <c r="PKL7" s="3407"/>
      <c r="PKM7" s="3407"/>
      <c r="PKN7" s="3407"/>
      <c r="PKO7" s="3407"/>
      <c r="PKP7" s="3407"/>
      <c r="PKQ7" s="3407"/>
      <c r="PKR7" s="3407"/>
      <c r="PKS7" s="3407"/>
      <c r="PKT7" s="3407"/>
      <c r="PKU7" s="3407"/>
      <c r="PKV7" s="3407"/>
      <c r="PKW7" s="3407"/>
      <c r="PKX7" s="3407"/>
      <c r="PKY7" s="3407"/>
      <c r="PKZ7" s="3407"/>
      <c r="PLA7" s="3407"/>
      <c r="PLB7" s="3407"/>
      <c r="PLC7" s="3407"/>
      <c r="PLD7" s="3407"/>
      <c r="PLE7" s="3407"/>
      <c r="PLF7" s="3407"/>
      <c r="PLG7" s="3407"/>
      <c r="PLH7" s="3407"/>
      <c r="PLI7" s="3407"/>
      <c r="PLJ7" s="3407"/>
      <c r="PLK7" s="3407"/>
      <c r="PLL7" s="3407"/>
      <c r="PLM7" s="3407"/>
      <c r="PLN7" s="3407"/>
      <c r="PLO7" s="3407"/>
      <c r="PLP7" s="3407"/>
      <c r="PLQ7" s="3407"/>
      <c r="PLR7" s="3407"/>
      <c r="PLS7" s="3407"/>
      <c r="PLT7" s="3407"/>
      <c r="PLU7" s="3407"/>
      <c r="PLV7" s="3407"/>
      <c r="PLW7" s="3407"/>
      <c r="PLX7" s="3407"/>
      <c r="PLY7" s="3407"/>
      <c r="PLZ7" s="3407"/>
      <c r="PMA7" s="3407"/>
      <c r="PMB7" s="3407"/>
      <c r="PMC7" s="3407"/>
      <c r="PMD7" s="3407"/>
      <c r="PME7" s="3407"/>
      <c r="PMF7" s="3407"/>
      <c r="PMG7" s="3407"/>
      <c r="PMH7" s="3407"/>
      <c r="PMI7" s="3407"/>
      <c r="PMJ7" s="3407"/>
      <c r="PMK7" s="3407"/>
      <c r="PML7" s="3407"/>
      <c r="PMM7" s="3407"/>
      <c r="PMN7" s="3407"/>
      <c r="PMO7" s="3407"/>
      <c r="PMP7" s="3407"/>
      <c r="PMQ7" s="3407"/>
      <c r="PMR7" s="3407"/>
      <c r="PMS7" s="3407"/>
      <c r="PMT7" s="3407"/>
      <c r="PMU7" s="3407"/>
      <c r="PMV7" s="3407"/>
      <c r="PMW7" s="3407"/>
      <c r="PMX7" s="3407"/>
      <c r="PMY7" s="3407"/>
      <c r="PMZ7" s="3407"/>
      <c r="PNA7" s="3407"/>
      <c r="PNB7" s="3407"/>
      <c r="PNC7" s="3407"/>
      <c r="PND7" s="3407"/>
      <c r="PNE7" s="3407"/>
      <c r="PNF7" s="3407"/>
      <c r="PNG7" s="3407"/>
      <c r="PNH7" s="3407"/>
      <c r="PNI7" s="3407"/>
      <c r="PNJ7" s="3407"/>
      <c r="PNK7" s="3407"/>
      <c r="PNL7" s="3407"/>
      <c r="PNM7" s="3407"/>
      <c r="PNN7" s="3407"/>
      <c r="PNO7" s="3407"/>
      <c r="PNP7" s="3407"/>
      <c r="PNQ7" s="3407"/>
      <c r="PNR7" s="3407"/>
      <c r="PNS7" s="3407"/>
      <c r="PNT7" s="3407"/>
      <c r="PNU7" s="3407"/>
      <c r="PNV7" s="3407"/>
      <c r="PNW7" s="3407"/>
      <c r="PNX7" s="3407"/>
      <c r="PNY7" s="3407"/>
      <c r="PNZ7" s="3407"/>
      <c r="POA7" s="3407"/>
      <c r="POB7" s="3407"/>
      <c r="POC7" s="3407"/>
      <c r="POD7" s="3407"/>
      <c r="POE7" s="3407"/>
      <c r="POF7" s="3407"/>
      <c r="POG7" s="3407"/>
      <c r="POH7" s="3407"/>
      <c r="POI7" s="3407"/>
      <c r="POJ7" s="3407"/>
      <c r="POK7" s="3407"/>
      <c r="POL7" s="3407"/>
      <c r="POM7" s="3407"/>
      <c r="PON7" s="3407"/>
      <c r="POO7" s="3407"/>
      <c r="POP7" s="3407"/>
      <c r="POQ7" s="3407"/>
      <c r="POR7" s="3407"/>
      <c r="POS7" s="3407"/>
      <c r="POT7" s="3407"/>
      <c r="POU7" s="3407"/>
      <c r="POV7" s="3407"/>
      <c r="POW7" s="3407"/>
      <c r="POX7" s="3407"/>
      <c r="POY7" s="3407"/>
      <c r="POZ7" s="3407"/>
      <c r="PPA7" s="3407"/>
      <c r="PPB7" s="3407"/>
      <c r="PPC7" s="3407"/>
      <c r="PPD7" s="3407"/>
      <c r="PPE7" s="3407"/>
      <c r="PPF7" s="3407"/>
      <c r="PPG7" s="3407"/>
      <c r="PPH7" s="3407"/>
      <c r="PPI7" s="3407"/>
      <c r="PPJ7" s="3407"/>
      <c r="PPK7" s="3407"/>
      <c r="PPL7" s="3407"/>
      <c r="PPM7" s="3407"/>
      <c r="PPN7" s="3407"/>
      <c r="PPO7" s="3407"/>
      <c r="PPP7" s="3407"/>
      <c r="PPQ7" s="3407"/>
      <c r="PPR7" s="3407"/>
      <c r="PPS7" s="3407"/>
      <c r="PPT7" s="3407"/>
      <c r="PPU7" s="3407"/>
      <c r="PPV7" s="3407"/>
      <c r="PPW7" s="3407"/>
      <c r="PPX7" s="3407"/>
      <c r="PPY7" s="3407"/>
      <c r="PPZ7" s="3407"/>
      <c r="PQA7" s="3407"/>
      <c r="PQB7" s="3407"/>
      <c r="PQC7" s="3407"/>
      <c r="PQD7" s="3407"/>
      <c r="PQE7" s="3407"/>
      <c r="PQF7" s="3407"/>
      <c r="PQG7" s="3407"/>
      <c r="PQH7" s="3407"/>
      <c r="PQI7" s="3407"/>
      <c r="PQJ7" s="3407"/>
      <c r="PQK7" s="3407"/>
      <c r="PQL7" s="3407"/>
      <c r="PQM7" s="3407"/>
      <c r="PQN7" s="3407"/>
      <c r="PQO7" s="3407"/>
      <c r="PQP7" s="3407"/>
      <c r="PQQ7" s="3407"/>
      <c r="PQR7" s="3407"/>
      <c r="PQS7" s="3407"/>
      <c r="PQT7" s="3407"/>
      <c r="PQU7" s="3407"/>
      <c r="PQV7" s="3407"/>
      <c r="PQW7" s="3407"/>
      <c r="PQX7" s="3407"/>
      <c r="PQY7" s="3407"/>
      <c r="PQZ7" s="3407"/>
      <c r="PRA7" s="3407"/>
      <c r="PRB7" s="3407"/>
      <c r="PRC7" s="3407"/>
      <c r="PRD7" s="3407"/>
      <c r="PRE7" s="3407"/>
      <c r="PRF7" s="3407"/>
      <c r="PRG7" s="3407"/>
      <c r="PRH7" s="3407"/>
      <c r="PRI7" s="3407"/>
      <c r="PRJ7" s="3407"/>
      <c r="PRK7" s="3407"/>
      <c r="PRL7" s="3407"/>
      <c r="PRM7" s="3407"/>
      <c r="PRN7" s="3407"/>
      <c r="PRO7" s="3407"/>
      <c r="PRP7" s="3407"/>
      <c r="PRQ7" s="3407"/>
      <c r="PRR7" s="3407"/>
      <c r="PRS7" s="3407"/>
      <c r="PRT7" s="3407"/>
      <c r="PRU7" s="3407"/>
      <c r="PRV7" s="3407"/>
      <c r="PRW7" s="3407"/>
      <c r="PRX7" s="3407"/>
      <c r="PRY7" s="3407"/>
      <c r="PRZ7" s="3407"/>
      <c r="PSA7" s="3407"/>
      <c r="PSB7" s="3407"/>
      <c r="PSC7" s="3407"/>
      <c r="PSD7" s="3407"/>
      <c r="PSE7" s="3407"/>
      <c r="PSF7" s="3407"/>
      <c r="PSG7" s="3407"/>
      <c r="PSH7" s="3407"/>
      <c r="PSI7" s="3407"/>
      <c r="PSJ7" s="3407"/>
      <c r="PSK7" s="3407"/>
      <c r="PSL7" s="3407"/>
      <c r="PSM7" s="3407"/>
      <c r="PSN7" s="3407"/>
      <c r="PSO7" s="3407"/>
      <c r="PSP7" s="3407"/>
      <c r="PSQ7" s="3407"/>
      <c r="PSR7" s="3407"/>
      <c r="PSS7" s="3407"/>
      <c r="PST7" s="3407"/>
      <c r="PSU7" s="3407"/>
      <c r="PSV7" s="3407"/>
      <c r="PSW7" s="3407"/>
      <c r="PSX7" s="3407"/>
      <c r="PSY7" s="3407"/>
      <c r="PSZ7" s="3407"/>
      <c r="PTA7" s="3407"/>
      <c r="PTB7" s="3407"/>
      <c r="PTC7" s="3407"/>
      <c r="PTD7" s="3407"/>
      <c r="PTE7" s="3407"/>
      <c r="PTF7" s="3407"/>
      <c r="PTG7" s="3407"/>
      <c r="PTH7" s="3407"/>
      <c r="PTI7" s="3407"/>
      <c r="PTJ7" s="3407"/>
      <c r="PTK7" s="3407"/>
      <c r="PTL7" s="3407"/>
      <c r="PTM7" s="3407"/>
      <c r="PTN7" s="3407"/>
      <c r="PTO7" s="3407"/>
      <c r="PTP7" s="3407"/>
      <c r="PTQ7" s="3407"/>
      <c r="PTR7" s="3407"/>
      <c r="PTS7" s="3407"/>
      <c r="PTT7" s="3407"/>
      <c r="PTU7" s="3407"/>
      <c r="PTV7" s="3407"/>
      <c r="PTW7" s="3407"/>
      <c r="PTX7" s="3407"/>
      <c r="PTY7" s="3407"/>
      <c r="PTZ7" s="3407"/>
      <c r="PUA7" s="3407"/>
      <c r="PUB7" s="3407"/>
      <c r="PUC7" s="3407"/>
      <c r="PUD7" s="3407"/>
      <c r="PUE7" s="3407"/>
      <c r="PUF7" s="3407"/>
      <c r="PUG7" s="3407"/>
      <c r="PUH7" s="3407"/>
      <c r="PUI7" s="3407"/>
      <c r="PUJ7" s="3407"/>
      <c r="PUK7" s="3407"/>
      <c r="PUL7" s="3407"/>
      <c r="PUM7" s="3407"/>
      <c r="PUN7" s="3407"/>
      <c r="PUO7" s="3407"/>
      <c r="PUP7" s="3407"/>
      <c r="PUQ7" s="3407"/>
      <c r="PUR7" s="3407"/>
      <c r="PUS7" s="3407"/>
      <c r="PUT7" s="3407"/>
      <c r="PUU7" s="3407"/>
      <c r="PUV7" s="3407"/>
      <c r="PUW7" s="3407"/>
      <c r="PUX7" s="3407"/>
      <c r="PUY7" s="3407"/>
      <c r="PUZ7" s="3407"/>
      <c r="PVA7" s="3407"/>
      <c r="PVB7" s="3407"/>
      <c r="PVC7" s="3407"/>
      <c r="PVD7" s="3407"/>
      <c r="PVE7" s="3407"/>
      <c r="PVF7" s="3407"/>
      <c r="PVG7" s="3407"/>
      <c r="PVH7" s="3407"/>
      <c r="PVI7" s="3407"/>
      <c r="PVJ7" s="3407"/>
      <c r="PVK7" s="3407"/>
      <c r="PVL7" s="3407"/>
      <c r="PVM7" s="3407"/>
      <c r="PVN7" s="3407"/>
      <c r="PVO7" s="3407"/>
      <c r="PVP7" s="3407"/>
      <c r="PVQ7" s="3407"/>
      <c r="PVR7" s="3407"/>
      <c r="PVS7" s="3407"/>
      <c r="PVT7" s="3407"/>
      <c r="PVU7" s="3407"/>
      <c r="PVV7" s="3407"/>
      <c r="PVW7" s="3407"/>
      <c r="PVX7" s="3407"/>
      <c r="PVY7" s="3407"/>
      <c r="PVZ7" s="3407"/>
      <c r="PWA7" s="3407"/>
      <c r="PWB7" s="3407"/>
      <c r="PWC7" s="3407"/>
      <c r="PWD7" s="3407"/>
      <c r="PWE7" s="3407"/>
      <c r="PWF7" s="3407"/>
      <c r="PWG7" s="3407"/>
      <c r="PWH7" s="3407"/>
      <c r="PWI7" s="3407"/>
      <c r="PWJ7" s="3407"/>
      <c r="PWK7" s="3407"/>
      <c r="PWL7" s="3407"/>
      <c r="PWM7" s="3407"/>
      <c r="PWN7" s="3407"/>
      <c r="PWO7" s="3407"/>
      <c r="PWP7" s="3407"/>
      <c r="PWQ7" s="3407"/>
      <c r="PWR7" s="3407"/>
      <c r="PWS7" s="3407"/>
      <c r="PWT7" s="3407"/>
      <c r="PWU7" s="3407"/>
      <c r="PWV7" s="3407"/>
      <c r="PWW7" s="3407"/>
      <c r="PWX7" s="3407"/>
      <c r="PWY7" s="3407"/>
      <c r="PWZ7" s="3407"/>
      <c r="PXA7" s="3407"/>
      <c r="PXB7" s="3407"/>
      <c r="PXC7" s="3407"/>
      <c r="PXD7" s="3407"/>
      <c r="PXE7" s="3407"/>
      <c r="PXF7" s="3407"/>
      <c r="PXG7" s="3407"/>
      <c r="PXH7" s="3407"/>
      <c r="PXI7" s="3407"/>
      <c r="PXJ7" s="3407"/>
      <c r="PXK7" s="3407"/>
      <c r="PXL7" s="3407"/>
      <c r="PXM7" s="3407"/>
      <c r="PXN7" s="3407"/>
      <c r="PXO7" s="3407"/>
      <c r="PXP7" s="3407"/>
      <c r="PXQ7" s="3407"/>
      <c r="PXR7" s="3407"/>
      <c r="PXS7" s="3407"/>
      <c r="PXT7" s="3407"/>
      <c r="PXU7" s="3407"/>
      <c r="PXV7" s="3407"/>
      <c r="PXW7" s="3407"/>
      <c r="PXX7" s="3407"/>
      <c r="PXY7" s="3407"/>
      <c r="PXZ7" s="3407"/>
      <c r="PYA7" s="3407"/>
      <c r="PYB7" s="3407"/>
      <c r="PYC7" s="3407"/>
      <c r="PYD7" s="3407"/>
      <c r="PYE7" s="3407"/>
      <c r="PYF7" s="3407"/>
      <c r="PYG7" s="3407"/>
      <c r="PYH7" s="3407"/>
      <c r="PYI7" s="3407"/>
      <c r="PYJ7" s="3407"/>
      <c r="PYK7" s="3407"/>
      <c r="PYL7" s="3407"/>
      <c r="PYM7" s="3407"/>
      <c r="PYN7" s="3407"/>
      <c r="PYO7" s="3407"/>
      <c r="PYP7" s="3407"/>
      <c r="PYQ7" s="3407"/>
      <c r="PYR7" s="3407"/>
      <c r="PYS7" s="3407"/>
      <c r="PYT7" s="3407"/>
      <c r="PYU7" s="3407"/>
      <c r="PYV7" s="3407"/>
      <c r="PYW7" s="3407"/>
      <c r="PYX7" s="3407"/>
      <c r="PYY7" s="3407"/>
      <c r="PYZ7" s="3407"/>
      <c r="PZA7" s="3407"/>
      <c r="PZB7" s="3407"/>
      <c r="PZC7" s="3407"/>
      <c r="PZD7" s="3407"/>
      <c r="PZE7" s="3407"/>
      <c r="PZF7" s="3407"/>
      <c r="PZG7" s="3407"/>
      <c r="PZH7" s="3407"/>
      <c r="PZI7" s="3407"/>
      <c r="PZJ7" s="3407"/>
      <c r="PZK7" s="3407"/>
      <c r="PZL7" s="3407"/>
      <c r="PZM7" s="3407"/>
      <c r="PZN7" s="3407"/>
      <c r="PZO7" s="3407"/>
      <c r="PZP7" s="3407"/>
      <c r="PZQ7" s="3407"/>
      <c r="PZR7" s="3407"/>
      <c r="PZS7" s="3407"/>
      <c r="PZT7" s="3407"/>
      <c r="PZU7" s="3407"/>
      <c r="PZV7" s="3407"/>
      <c r="PZW7" s="3407"/>
      <c r="PZX7" s="3407"/>
      <c r="PZY7" s="3407"/>
      <c r="PZZ7" s="3407"/>
      <c r="QAA7" s="3407"/>
      <c r="QAB7" s="3407"/>
      <c r="QAC7" s="3407"/>
      <c r="QAD7" s="3407"/>
      <c r="QAE7" s="3407"/>
      <c r="QAF7" s="3407"/>
      <c r="QAG7" s="3407"/>
      <c r="QAH7" s="3407"/>
      <c r="QAI7" s="3407"/>
      <c r="QAJ7" s="3407"/>
      <c r="QAK7" s="3407"/>
      <c r="QAL7" s="3407"/>
      <c r="QAM7" s="3407"/>
      <c r="QAN7" s="3407"/>
      <c r="QAO7" s="3407"/>
      <c r="QAP7" s="3407"/>
      <c r="QAQ7" s="3407"/>
      <c r="QAR7" s="3407"/>
      <c r="QAS7" s="3407"/>
      <c r="QAT7" s="3407"/>
      <c r="QAU7" s="3407"/>
      <c r="QAV7" s="3407"/>
      <c r="QAW7" s="3407"/>
      <c r="QAX7" s="3407"/>
      <c r="QAY7" s="3407"/>
      <c r="QAZ7" s="3407"/>
      <c r="QBA7" s="3407"/>
      <c r="QBB7" s="3407"/>
      <c r="QBC7" s="3407"/>
      <c r="QBD7" s="3407"/>
      <c r="QBE7" s="3407"/>
      <c r="QBF7" s="3407"/>
      <c r="QBG7" s="3407"/>
      <c r="QBH7" s="3407"/>
      <c r="QBI7" s="3407"/>
      <c r="QBJ7" s="3407"/>
      <c r="QBK7" s="3407"/>
      <c r="QBL7" s="3407"/>
      <c r="QBM7" s="3407"/>
      <c r="QBN7" s="3407"/>
      <c r="QBO7" s="3407"/>
      <c r="QBP7" s="3407"/>
      <c r="QBQ7" s="3407"/>
      <c r="QBR7" s="3407"/>
      <c r="QBS7" s="3407"/>
      <c r="QBT7" s="3407"/>
      <c r="QBU7" s="3407"/>
      <c r="QBV7" s="3407"/>
      <c r="QBW7" s="3407"/>
      <c r="QBX7" s="3407"/>
      <c r="QBY7" s="3407"/>
      <c r="QBZ7" s="3407"/>
      <c r="QCA7" s="3407"/>
      <c r="QCB7" s="3407"/>
      <c r="QCC7" s="3407"/>
      <c r="QCD7" s="3407"/>
      <c r="QCE7" s="3407"/>
      <c r="QCF7" s="3407"/>
      <c r="QCG7" s="3407"/>
      <c r="QCH7" s="3407"/>
      <c r="QCI7" s="3407"/>
      <c r="QCJ7" s="3407"/>
      <c r="QCK7" s="3407"/>
      <c r="QCL7" s="3407"/>
      <c r="QCM7" s="3407"/>
      <c r="QCN7" s="3407"/>
      <c r="QCO7" s="3407"/>
      <c r="QCP7" s="3407"/>
      <c r="QCQ7" s="3407"/>
      <c r="QCR7" s="3407"/>
      <c r="QCS7" s="3407"/>
      <c r="QCT7" s="3407"/>
      <c r="QCU7" s="3407"/>
      <c r="QCV7" s="3407"/>
      <c r="QCW7" s="3407"/>
      <c r="QCX7" s="3407"/>
      <c r="QCY7" s="3407"/>
      <c r="QCZ7" s="3407"/>
      <c r="QDA7" s="3407"/>
      <c r="QDB7" s="3407"/>
      <c r="QDC7" s="3407"/>
      <c r="QDD7" s="3407"/>
      <c r="QDE7" s="3407"/>
      <c r="QDF7" s="3407"/>
      <c r="QDG7" s="3407"/>
      <c r="QDH7" s="3407"/>
      <c r="QDI7" s="3407"/>
      <c r="QDJ7" s="3407"/>
      <c r="QDK7" s="3407"/>
      <c r="QDL7" s="3407"/>
      <c r="QDM7" s="3407"/>
      <c r="QDN7" s="3407"/>
      <c r="QDO7" s="3407"/>
      <c r="QDP7" s="3407"/>
      <c r="QDQ7" s="3407"/>
      <c r="QDR7" s="3407"/>
      <c r="QDS7" s="3407"/>
      <c r="QDT7" s="3407"/>
      <c r="QDU7" s="3407"/>
      <c r="QDV7" s="3407"/>
      <c r="QDW7" s="3407"/>
      <c r="QDX7" s="3407"/>
      <c r="QDY7" s="3407"/>
      <c r="QDZ7" s="3407"/>
      <c r="QEA7" s="3407"/>
      <c r="QEB7" s="3407"/>
      <c r="QEC7" s="3407"/>
      <c r="QED7" s="3407"/>
      <c r="QEE7" s="3407"/>
      <c r="QEF7" s="3407"/>
      <c r="QEG7" s="3407"/>
      <c r="QEH7" s="3407"/>
      <c r="QEI7" s="3407"/>
      <c r="QEJ7" s="3407"/>
      <c r="QEK7" s="3407"/>
      <c r="QEL7" s="3407"/>
      <c r="QEM7" s="3407"/>
      <c r="QEN7" s="3407"/>
      <c r="QEO7" s="3407"/>
      <c r="QEP7" s="3407"/>
      <c r="QEQ7" s="3407"/>
      <c r="QER7" s="3407"/>
      <c r="QES7" s="3407"/>
      <c r="QET7" s="3407"/>
      <c r="QEU7" s="3407"/>
      <c r="QEV7" s="3407"/>
      <c r="QEW7" s="3407"/>
      <c r="QEX7" s="3407"/>
      <c r="QEY7" s="3407"/>
      <c r="QEZ7" s="3407"/>
      <c r="QFA7" s="3407"/>
      <c r="QFB7" s="3407"/>
      <c r="QFC7" s="3407"/>
      <c r="QFD7" s="3407"/>
      <c r="QFE7" s="3407"/>
      <c r="QFF7" s="3407"/>
      <c r="QFG7" s="3407"/>
      <c r="QFH7" s="3407"/>
      <c r="QFI7" s="3407"/>
      <c r="QFJ7" s="3407"/>
      <c r="QFK7" s="3407"/>
      <c r="QFL7" s="3407"/>
      <c r="QFM7" s="3407"/>
      <c r="QFN7" s="3407"/>
      <c r="QFO7" s="3407"/>
      <c r="QFP7" s="3407"/>
      <c r="QFQ7" s="3407"/>
      <c r="QFR7" s="3407"/>
      <c r="QFS7" s="3407"/>
      <c r="QFT7" s="3407"/>
      <c r="QFU7" s="3407"/>
      <c r="QFV7" s="3407"/>
      <c r="QFW7" s="3407"/>
      <c r="QFX7" s="3407"/>
      <c r="QFY7" s="3407"/>
      <c r="QFZ7" s="3407"/>
      <c r="QGA7" s="3407"/>
      <c r="QGB7" s="3407"/>
      <c r="QGC7" s="3407"/>
      <c r="QGD7" s="3407"/>
      <c r="QGE7" s="3407"/>
      <c r="QGF7" s="3407"/>
      <c r="QGG7" s="3407"/>
      <c r="QGH7" s="3407"/>
      <c r="QGI7" s="3407"/>
      <c r="QGJ7" s="3407"/>
      <c r="QGK7" s="3407"/>
      <c r="QGL7" s="3407"/>
      <c r="QGM7" s="3407"/>
      <c r="QGN7" s="3407"/>
      <c r="QGO7" s="3407"/>
      <c r="QGP7" s="3407"/>
      <c r="QGQ7" s="3407"/>
      <c r="QGR7" s="3407"/>
      <c r="QGS7" s="3407"/>
      <c r="QGT7" s="3407"/>
      <c r="QGU7" s="3407"/>
      <c r="QGV7" s="3407"/>
      <c r="QGW7" s="3407"/>
      <c r="QGX7" s="3407"/>
      <c r="QGY7" s="3407"/>
      <c r="QGZ7" s="3407"/>
      <c r="QHA7" s="3407"/>
      <c r="QHB7" s="3407"/>
      <c r="QHC7" s="3407"/>
      <c r="QHD7" s="3407"/>
      <c r="QHE7" s="3407"/>
      <c r="QHF7" s="3407"/>
      <c r="QHG7" s="3407"/>
      <c r="QHH7" s="3407"/>
      <c r="QHI7" s="3407"/>
      <c r="QHJ7" s="3407"/>
      <c r="QHK7" s="3407"/>
      <c r="QHL7" s="3407"/>
      <c r="QHM7" s="3407"/>
      <c r="QHN7" s="3407"/>
      <c r="QHO7" s="3407"/>
      <c r="QHP7" s="3407"/>
      <c r="QHQ7" s="3407"/>
      <c r="QHR7" s="3407"/>
      <c r="QHS7" s="3407"/>
      <c r="QHT7" s="3407"/>
      <c r="QHU7" s="3407"/>
      <c r="QHV7" s="3407"/>
      <c r="QHW7" s="3407"/>
      <c r="QHX7" s="3407"/>
      <c r="QHY7" s="3407"/>
      <c r="QHZ7" s="3407"/>
      <c r="QIA7" s="3407"/>
      <c r="QIB7" s="3407"/>
      <c r="QIC7" s="3407"/>
      <c r="QID7" s="3407"/>
      <c r="QIE7" s="3407"/>
      <c r="QIF7" s="3407"/>
      <c r="QIG7" s="3407"/>
      <c r="QIH7" s="3407"/>
      <c r="QII7" s="3407"/>
      <c r="QIJ7" s="3407"/>
      <c r="QIK7" s="3407"/>
      <c r="QIL7" s="3407"/>
      <c r="QIM7" s="3407"/>
      <c r="QIN7" s="3407"/>
      <c r="QIO7" s="3407"/>
      <c r="QIP7" s="3407"/>
      <c r="QIQ7" s="3407"/>
      <c r="QIR7" s="3407"/>
      <c r="QIS7" s="3407"/>
      <c r="QIT7" s="3407"/>
      <c r="QIU7" s="3407"/>
      <c r="QIV7" s="3407"/>
      <c r="QIW7" s="3407"/>
      <c r="QIX7" s="3407"/>
      <c r="QIY7" s="3407"/>
      <c r="QIZ7" s="3407"/>
      <c r="QJA7" s="3407"/>
      <c r="QJB7" s="3407"/>
      <c r="QJC7" s="3407"/>
      <c r="QJD7" s="3407"/>
      <c r="QJE7" s="3407"/>
      <c r="QJF7" s="3407"/>
      <c r="QJG7" s="3407"/>
      <c r="QJH7" s="3407"/>
      <c r="QJI7" s="3407"/>
      <c r="QJJ7" s="3407"/>
      <c r="QJK7" s="3407"/>
      <c r="QJL7" s="3407"/>
      <c r="QJM7" s="3407"/>
      <c r="QJN7" s="3407"/>
      <c r="QJO7" s="3407"/>
      <c r="QJP7" s="3407"/>
      <c r="QJQ7" s="3407"/>
      <c r="QJR7" s="3407"/>
      <c r="QJS7" s="3407"/>
      <c r="QJT7" s="3407"/>
      <c r="QJU7" s="3407"/>
      <c r="QJV7" s="3407"/>
      <c r="QJW7" s="3407"/>
      <c r="QJX7" s="3407"/>
      <c r="QJY7" s="3407"/>
      <c r="QJZ7" s="3407"/>
      <c r="QKA7" s="3407"/>
      <c r="QKB7" s="3407"/>
      <c r="QKC7" s="3407"/>
      <c r="QKD7" s="3407"/>
      <c r="QKE7" s="3407"/>
      <c r="QKF7" s="3407"/>
      <c r="QKG7" s="3407"/>
      <c r="QKH7" s="3407"/>
      <c r="QKI7" s="3407"/>
      <c r="QKJ7" s="3407"/>
      <c r="QKK7" s="3407"/>
      <c r="QKL7" s="3407"/>
      <c r="QKM7" s="3407"/>
      <c r="QKN7" s="3407"/>
      <c r="QKO7" s="3407"/>
      <c r="QKP7" s="3407"/>
      <c r="QKQ7" s="3407"/>
      <c r="QKR7" s="3407"/>
      <c r="QKS7" s="3407"/>
      <c r="QKT7" s="3407"/>
      <c r="QKU7" s="3407"/>
      <c r="QKV7" s="3407"/>
      <c r="QKW7" s="3407"/>
      <c r="QKX7" s="3407"/>
      <c r="QKY7" s="3407"/>
      <c r="QKZ7" s="3407"/>
      <c r="QLA7" s="3407"/>
      <c r="QLB7" s="3407"/>
      <c r="QLC7" s="3407"/>
      <c r="QLD7" s="3407"/>
      <c r="QLE7" s="3407"/>
      <c r="QLF7" s="3407"/>
      <c r="QLG7" s="3407"/>
      <c r="QLH7" s="3407"/>
      <c r="QLI7" s="3407"/>
      <c r="QLJ7" s="3407"/>
      <c r="QLK7" s="3407"/>
      <c r="QLL7" s="3407"/>
      <c r="QLM7" s="3407"/>
      <c r="QLN7" s="3407"/>
      <c r="QLO7" s="3407"/>
      <c r="QLP7" s="3407"/>
      <c r="QLQ7" s="3407"/>
      <c r="QLR7" s="3407"/>
      <c r="QLS7" s="3407"/>
      <c r="QLT7" s="3407"/>
      <c r="QLU7" s="3407"/>
      <c r="QLV7" s="3407"/>
      <c r="QLW7" s="3407"/>
      <c r="QLX7" s="3407"/>
      <c r="QLY7" s="3407"/>
      <c r="QLZ7" s="3407"/>
      <c r="QMA7" s="3407"/>
      <c r="QMB7" s="3407"/>
      <c r="QMC7" s="3407"/>
      <c r="QMD7" s="3407"/>
      <c r="QME7" s="3407"/>
      <c r="QMF7" s="3407"/>
      <c r="QMG7" s="3407"/>
      <c r="QMH7" s="3407"/>
      <c r="QMI7" s="3407"/>
      <c r="QMJ7" s="3407"/>
      <c r="QMK7" s="3407"/>
      <c r="QML7" s="3407"/>
      <c r="QMM7" s="3407"/>
      <c r="QMN7" s="3407"/>
      <c r="QMO7" s="3407"/>
      <c r="QMP7" s="3407"/>
      <c r="QMQ7" s="3407"/>
      <c r="QMR7" s="3407"/>
      <c r="QMS7" s="3407"/>
      <c r="QMT7" s="3407"/>
      <c r="QMU7" s="3407"/>
      <c r="QMV7" s="3407"/>
      <c r="QMW7" s="3407"/>
      <c r="QMX7" s="3407"/>
      <c r="QMY7" s="3407"/>
      <c r="QMZ7" s="3407"/>
      <c r="QNA7" s="3407"/>
      <c r="QNB7" s="3407"/>
      <c r="QNC7" s="3407"/>
      <c r="QND7" s="3407"/>
      <c r="QNE7" s="3407"/>
      <c r="QNF7" s="3407"/>
      <c r="QNG7" s="3407"/>
      <c r="QNH7" s="3407"/>
      <c r="QNI7" s="3407"/>
      <c r="QNJ7" s="3407"/>
      <c r="QNK7" s="3407"/>
      <c r="QNL7" s="3407"/>
      <c r="QNM7" s="3407"/>
      <c r="QNN7" s="3407"/>
      <c r="QNO7" s="3407"/>
      <c r="QNP7" s="3407"/>
      <c r="QNQ7" s="3407"/>
      <c r="QNR7" s="3407"/>
      <c r="QNS7" s="3407"/>
      <c r="QNT7" s="3407"/>
      <c r="QNU7" s="3407"/>
      <c r="QNV7" s="3407"/>
      <c r="QNW7" s="3407"/>
      <c r="QNX7" s="3407"/>
      <c r="QNY7" s="3407"/>
      <c r="QNZ7" s="3407"/>
      <c r="QOA7" s="3407"/>
      <c r="QOB7" s="3407"/>
      <c r="QOC7" s="3407"/>
      <c r="QOD7" s="3407"/>
      <c r="QOE7" s="3407"/>
      <c r="QOF7" s="3407"/>
      <c r="QOG7" s="3407"/>
      <c r="QOH7" s="3407"/>
      <c r="QOI7" s="3407"/>
      <c r="QOJ7" s="3407"/>
      <c r="QOK7" s="3407"/>
      <c r="QOL7" s="3407"/>
      <c r="QOM7" s="3407"/>
      <c r="QON7" s="3407"/>
      <c r="QOO7" s="3407"/>
      <c r="QOP7" s="3407"/>
      <c r="QOQ7" s="3407"/>
      <c r="QOR7" s="3407"/>
      <c r="QOS7" s="3407"/>
      <c r="QOT7" s="3407"/>
      <c r="QOU7" s="3407"/>
      <c r="QOV7" s="3407"/>
      <c r="QOW7" s="3407"/>
      <c r="QOX7" s="3407"/>
      <c r="QOY7" s="3407"/>
      <c r="QOZ7" s="3407"/>
      <c r="QPA7" s="3407"/>
      <c r="QPB7" s="3407"/>
      <c r="QPC7" s="3407"/>
      <c r="QPD7" s="3407"/>
      <c r="QPE7" s="3407"/>
      <c r="QPF7" s="3407"/>
      <c r="QPG7" s="3407"/>
      <c r="QPH7" s="3407"/>
      <c r="QPI7" s="3407"/>
      <c r="QPJ7" s="3407"/>
      <c r="QPK7" s="3407"/>
      <c r="QPL7" s="3407"/>
      <c r="QPM7" s="3407"/>
      <c r="QPN7" s="3407"/>
      <c r="QPO7" s="3407"/>
      <c r="QPP7" s="3407"/>
      <c r="QPQ7" s="3407"/>
      <c r="QPR7" s="3407"/>
      <c r="QPS7" s="3407"/>
      <c r="QPT7" s="3407"/>
      <c r="QPU7" s="3407"/>
      <c r="QPV7" s="3407"/>
      <c r="QPW7" s="3407"/>
      <c r="QPX7" s="3407"/>
      <c r="QPY7" s="3407"/>
      <c r="QPZ7" s="3407"/>
      <c r="QQA7" s="3407"/>
      <c r="QQB7" s="3407"/>
      <c r="QQC7" s="3407"/>
      <c r="QQD7" s="3407"/>
      <c r="QQE7" s="3407"/>
      <c r="QQF7" s="3407"/>
      <c r="QQG7" s="3407"/>
      <c r="QQH7" s="3407"/>
      <c r="QQI7" s="3407"/>
      <c r="QQJ7" s="3407"/>
      <c r="QQK7" s="3407"/>
      <c r="QQL7" s="3407"/>
      <c r="QQM7" s="3407"/>
      <c r="QQN7" s="3407"/>
      <c r="QQO7" s="3407"/>
      <c r="QQP7" s="3407"/>
      <c r="QQQ7" s="3407"/>
      <c r="QQR7" s="3407"/>
      <c r="QQS7" s="3407"/>
      <c r="QQT7" s="3407"/>
      <c r="QQU7" s="3407"/>
      <c r="QQV7" s="3407"/>
      <c r="QQW7" s="3407"/>
      <c r="QQX7" s="3407"/>
      <c r="QQY7" s="3407"/>
      <c r="QQZ7" s="3407"/>
      <c r="QRA7" s="3407"/>
      <c r="QRB7" s="3407"/>
      <c r="QRC7" s="3407"/>
      <c r="QRD7" s="3407"/>
      <c r="QRE7" s="3407"/>
      <c r="QRF7" s="3407"/>
      <c r="QRG7" s="3407"/>
      <c r="QRH7" s="3407"/>
      <c r="QRI7" s="3407"/>
      <c r="QRJ7" s="3407"/>
      <c r="QRK7" s="3407"/>
      <c r="QRL7" s="3407"/>
      <c r="QRM7" s="3407"/>
      <c r="QRN7" s="3407"/>
      <c r="QRO7" s="3407"/>
      <c r="QRP7" s="3407"/>
      <c r="QRQ7" s="3407"/>
      <c r="QRR7" s="3407"/>
      <c r="QRS7" s="3407"/>
      <c r="QRT7" s="3407"/>
      <c r="QRU7" s="3407"/>
      <c r="QRV7" s="3407"/>
      <c r="QRW7" s="3407"/>
      <c r="QRX7" s="3407"/>
      <c r="QRY7" s="3407"/>
      <c r="QRZ7" s="3407"/>
      <c r="QSA7" s="3407"/>
      <c r="QSB7" s="3407"/>
      <c r="QSC7" s="3407"/>
      <c r="QSD7" s="3407"/>
      <c r="QSE7" s="3407"/>
      <c r="QSF7" s="3407"/>
      <c r="QSG7" s="3407"/>
      <c r="QSH7" s="3407"/>
      <c r="QSI7" s="3407"/>
      <c r="QSJ7" s="3407"/>
      <c r="QSK7" s="3407"/>
      <c r="QSL7" s="3407"/>
      <c r="QSM7" s="3407"/>
      <c r="QSN7" s="3407"/>
      <c r="QSO7" s="3407"/>
      <c r="QSP7" s="3407"/>
      <c r="QSQ7" s="3407"/>
      <c r="QSR7" s="3407"/>
      <c r="QSS7" s="3407"/>
      <c r="QST7" s="3407"/>
      <c r="QSU7" s="3407"/>
      <c r="QSV7" s="3407"/>
      <c r="QSW7" s="3407"/>
      <c r="QSX7" s="3407"/>
      <c r="QSY7" s="3407"/>
      <c r="QSZ7" s="3407"/>
      <c r="QTA7" s="3407"/>
      <c r="QTB7" s="3407"/>
      <c r="QTC7" s="3407"/>
      <c r="QTD7" s="3407"/>
      <c r="QTE7" s="3407"/>
      <c r="QTF7" s="3407"/>
      <c r="QTG7" s="3407"/>
      <c r="QTH7" s="3407"/>
      <c r="QTI7" s="3407"/>
      <c r="QTJ7" s="3407"/>
      <c r="QTK7" s="3407"/>
      <c r="QTL7" s="3407"/>
      <c r="QTM7" s="3407"/>
      <c r="QTN7" s="3407"/>
      <c r="QTO7" s="3407"/>
      <c r="QTP7" s="3407"/>
      <c r="QTQ7" s="3407"/>
      <c r="QTR7" s="3407"/>
      <c r="QTS7" s="3407"/>
      <c r="QTT7" s="3407"/>
      <c r="QTU7" s="3407"/>
      <c r="QTV7" s="3407"/>
      <c r="QTW7" s="3407"/>
      <c r="QTX7" s="3407"/>
      <c r="QTY7" s="3407"/>
      <c r="QTZ7" s="3407"/>
      <c r="QUA7" s="3407"/>
      <c r="QUB7" s="3407"/>
      <c r="QUC7" s="3407"/>
      <c r="QUD7" s="3407"/>
      <c r="QUE7" s="3407"/>
      <c r="QUF7" s="3407"/>
      <c r="QUG7" s="3407"/>
      <c r="QUH7" s="3407"/>
      <c r="QUI7" s="3407"/>
      <c r="QUJ7" s="3407"/>
      <c r="QUK7" s="3407"/>
      <c r="QUL7" s="3407"/>
      <c r="QUM7" s="3407"/>
      <c r="QUN7" s="3407"/>
      <c r="QUO7" s="3407"/>
      <c r="QUP7" s="3407"/>
      <c r="QUQ7" s="3407"/>
      <c r="QUR7" s="3407"/>
      <c r="QUS7" s="3407"/>
      <c r="QUT7" s="3407"/>
      <c r="QUU7" s="3407"/>
      <c r="QUV7" s="3407"/>
      <c r="QUW7" s="3407"/>
      <c r="QUX7" s="3407"/>
      <c r="QUY7" s="3407"/>
      <c r="QUZ7" s="3407"/>
      <c r="QVA7" s="3407"/>
      <c r="QVB7" s="3407"/>
      <c r="QVC7" s="3407"/>
      <c r="QVD7" s="3407"/>
      <c r="QVE7" s="3407"/>
      <c r="QVF7" s="3407"/>
      <c r="QVG7" s="3407"/>
      <c r="QVH7" s="3407"/>
      <c r="QVI7" s="3407"/>
      <c r="QVJ7" s="3407"/>
      <c r="QVK7" s="3407"/>
      <c r="QVL7" s="3407"/>
      <c r="QVM7" s="3407"/>
      <c r="QVN7" s="3407"/>
      <c r="QVO7" s="3407"/>
      <c r="QVP7" s="3407"/>
      <c r="QVQ7" s="3407"/>
      <c r="QVR7" s="3407"/>
      <c r="QVS7" s="3407"/>
      <c r="QVT7" s="3407"/>
      <c r="QVU7" s="3407"/>
      <c r="QVV7" s="3407"/>
      <c r="QVW7" s="3407"/>
      <c r="QVX7" s="3407"/>
      <c r="QVY7" s="3407"/>
      <c r="QVZ7" s="3407"/>
      <c r="QWA7" s="3407"/>
      <c r="QWB7" s="3407"/>
      <c r="QWC7" s="3407"/>
      <c r="QWD7" s="3407"/>
      <c r="QWE7" s="3407"/>
      <c r="QWF7" s="3407"/>
      <c r="QWG7" s="3407"/>
      <c r="QWH7" s="3407"/>
      <c r="QWI7" s="3407"/>
      <c r="QWJ7" s="3407"/>
      <c r="QWK7" s="3407"/>
      <c r="QWL7" s="3407"/>
      <c r="QWM7" s="3407"/>
      <c r="QWN7" s="3407"/>
      <c r="QWO7" s="3407"/>
      <c r="QWP7" s="3407"/>
      <c r="QWQ7" s="3407"/>
      <c r="QWR7" s="3407"/>
      <c r="QWS7" s="3407"/>
      <c r="QWT7" s="3407"/>
      <c r="QWU7" s="3407"/>
      <c r="QWV7" s="3407"/>
      <c r="QWW7" s="3407"/>
      <c r="QWX7" s="3407"/>
      <c r="QWY7" s="3407"/>
      <c r="QWZ7" s="3407"/>
      <c r="QXA7" s="3407"/>
      <c r="QXB7" s="3407"/>
      <c r="QXC7" s="3407"/>
      <c r="QXD7" s="3407"/>
      <c r="QXE7" s="3407"/>
      <c r="QXF7" s="3407"/>
      <c r="QXG7" s="3407"/>
      <c r="QXH7" s="3407"/>
      <c r="QXI7" s="3407"/>
      <c r="QXJ7" s="3407"/>
      <c r="QXK7" s="3407"/>
      <c r="QXL7" s="3407"/>
      <c r="QXM7" s="3407"/>
      <c r="QXN7" s="3407"/>
      <c r="QXO7" s="3407"/>
      <c r="QXP7" s="3407"/>
      <c r="QXQ7" s="3407"/>
      <c r="QXR7" s="3407"/>
      <c r="QXS7" s="3407"/>
      <c r="QXT7" s="3407"/>
      <c r="QXU7" s="3407"/>
      <c r="QXV7" s="3407"/>
      <c r="QXW7" s="3407"/>
      <c r="QXX7" s="3407"/>
      <c r="QXY7" s="3407"/>
      <c r="QXZ7" s="3407"/>
      <c r="QYA7" s="3407"/>
      <c r="QYB7" s="3407"/>
      <c r="QYC7" s="3407"/>
      <c r="QYD7" s="3407"/>
      <c r="QYE7" s="3407"/>
      <c r="QYF7" s="3407"/>
      <c r="QYG7" s="3407"/>
      <c r="QYH7" s="3407"/>
      <c r="QYI7" s="3407"/>
      <c r="QYJ7" s="3407"/>
      <c r="QYK7" s="3407"/>
      <c r="QYL7" s="3407"/>
      <c r="QYM7" s="3407"/>
      <c r="QYN7" s="3407"/>
      <c r="QYO7" s="3407"/>
      <c r="QYP7" s="3407"/>
      <c r="QYQ7" s="3407"/>
      <c r="QYR7" s="3407"/>
      <c r="QYS7" s="3407"/>
      <c r="QYT7" s="3407"/>
      <c r="QYU7" s="3407"/>
      <c r="QYV7" s="3407"/>
      <c r="QYW7" s="3407"/>
      <c r="QYX7" s="3407"/>
      <c r="QYY7" s="3407"/>
      <c r="QYZ7" s="3407"/>
      <c r="QZA7" s="3407"/>
      <c r="QZB7" s="3407"/>
      <c r="QZC7" s="3407"/>
      <c r="QZD7" s="3407"/>
      <c r="QZE7" s="3407"/>
      <c r="QZF7" s="3407"/>
      <c r="QZG7" s="3407"/>
      <c r="QZH7" s="3407"/>
      <c r="QZI7" s="3407"/>
      <c r="QZJ7" s="3407"/>
      <c r="QZK7" s="3407"/>
      <c r="QZL7" s="3407"/>
      <c r="QZM7" s="3407"/>
      <c r="QZN7" s="3407"/>
      <c r="QZO7" s="3407"/>
      <c r="QZP7" s="3407"/>
      <c r="QZQ7" s="3407"/>
      <c r="QZR7" s="3407"/>
      <c r="QZS7" s="3407"/>
      <c r="QZT7" s="3407"/>
      <c r="QZU7" s="3407"/>
      <c r="QZV7" s="3407"/>
      <c r="QZW7" s="3407"/>
      <c r="QZX7" s="3407"/>
      <c r="QZY7" s="3407"/>
      <c r="QZZ7" s="3407"/>
      <c r="RAA7" s="3407"/>
      <c r="RAB7" s="3407"/>
      <c r="RAC7" s="3407"/>
      <c r="RAD7" s="3407"/>
      <c r="RAE7" s="3407"/>
      <c r="RAF7" s="3407"/>
      <c r="RAG7" s="3407"/>
      <c r="RAH7" s="3407"/>
      <c r="RAI7" s="3407"/>
      <c r="RAJ7" s="3407"/>
      <c r="RAK7" s="3407"/>
      <c r="RAL7" s="3407"/>
      <c r="RAM7" s="3407"/>
      <c r="RAN7" s="3407"/>
      <c r="RAO7" s="3407"/>
      <c r="RAP7" s="3407"/>
      <c r="RAQ7" s="3407"/>
      <c r="RAR7" s="3407"/>
      <c r="RAS7" s="3407"/>
      <c r="RAT7" s="3407"/>
      <c r="RAU7" s="3407"/>
      <c r="RAV7" s="3407"/>
      <c r="RAW7" s="3407"/>
      <c r="RAX7" s="3407"/>
      <c r="RAY7" s="3407"/>
      <c r="RAZ7" s="3407"/>
      <c r="RBA7" s="3407"/>
      <c r="RBB7" s="3407"/>
      <c r="RBC7" s="3407"/>
      <c r="RBD7" s="3407"/>
      <c r="RBE7" s="3407"/>
      <c r="RBF7" s="3407"/>
      <c r="RBG7" s="3407"/>
      <c r="RBH7" s="3407"/>
      <c r="RBI7" s="3407"/>
      <c r="RBJ7" s="3407"/>
      <c r="RBK7" s="3407"/>
      <c r="RBL7" s="3407"/>
      <c r="RBM7" s="3407"/>
      <c r="RBN7" s="3407"/>
      <c r="RBO7" s="3407"/>
      <c r="RBP7" s="3407"/>
      <c r="RBQ7" s="3407"/>
      <c r="RBR7" s="3407"/>
      <c r="RBS7" s="3407"/>
      <c r="RBT7" s="3407"/>
      <c r="RBU7" s="3407"/>
      <c r="RBV7" s="3407"/>
      <c r="RBW7" s="3407"/>
      <c r="RBX7" s="3407"/>
      <c r="RBY7" s="3407"/>
      <c r="RBZ7" s="3407"/>
      <c r="RCA7" s="3407"/>
      <c r="RCB7" s="3407"/>
      <c r="RCC7" s="3407"/>
      <c r="RCD7" s="3407"/>
      <c r="RCE7" s="3407"/>
      <c r="RCF7" s="3407"/>
      <c r="RCG7" s="3407"/>
      <c r="RCH7" s="3407"/>
      <c r="RCI7" s="3407"/>
      <c r="RCJ7" s="3407"/>
      <c r="RCK7" s="3407"/>
      <c r="RCL7" s="3407"/>
      <c r="RCM7" s="3407"/>
      <c r="RCN7" s="3407"/>
      <c r="RCO7" s="3407"/>
      <c r="RCP7" s="3407"/>
      <c r="RCQ7" s="3407"/>
      <c r="RCR7" s="3407"/>
      <c r="RCS7" s="3407"/>
      <c r="RCT7" s="3407"/>
      <c r="RCU7" s="3407"/>
      <c r="RCV7" s="3407"/>
      <c r="RCW7" s="3407"/>
      <c r="RCX7" s="3407"/>
      <c r="RCY7" s="3407"/>
      <c r="RCZ7" s="3407"/>
      <c r="RDA7" s="3407"/>
      <c r="RDB7" s="3407"/>
      <c r="RDC7" s="3407"/>
      <c r="RDD7" s="3407"/>
      <c r="RDE7" s="3407"/>
      <c r="RDF7" s="3407"/>
      <c r="RDG7" s="3407"/>
      <c r="RDH7" s="3407"/>
      <c r="RDI7" s="3407"/>
      <c r="RDJ7" s="3407"/>
      <c r="RDK7" s="3407"/>
      <c r="RDL7" s="3407"/>
      <c r="RDM7" s="3407"/>
      <c r="RDN7" s="3407"/>
      <c r="RDO7" s="3407"/>
      <c r="RDP7" s="3407"/>
      <c r="RDQ7" s="3407"/>
      <c r="RDR7" s="3407"/>
      <c r="RDS7" s="3407"/>
      <c r="RDT7" s="3407"/>
      <c r="RDU7" s="3407"/>
      <c r="RDV7" s="3407"/>
      <c r="RDW7" s="3407"/>
      <c r="RDX7" s="3407"/>
      <c r="RDY7" s="3407"/>
      <c r="RDZ7" s="3407"/>
      <c r="REA7" s="3407"/>
      <c r="REB7" s="3407"/>
      <c r="REC7" s="3407"/>
      <c r="RED7" s="3407"/>
      <c r="REE7" s="3407"/>
      <c r="REF7" s="3407"/>
      <c r="REG7" s="3407"/>
      <c r="REH7" s="3407"/>
      <c r="REI7" s="3407"/>
      <c r="REJ7" s="3407"/>
      <c r="REK7" s="3407"/>
      <c r="REL7" s="3407"/>
      <c r="REM7" s="3407"/>
      <c r="REN7" s="3407"/>
      <c r="REO7" s="3407"/>
      <c r="REP7" s="3407"/>
      <c r="REQ7" s="3407"/>
      <c r="RER7" s="3407"/>
      <c r="RES7" s="3407"/>
      <c r="RET7" s="3407"/>
      <c r="REU7" s="3407"/>
      <c r="REV7" s="3407"/>
      <c r="REW7" s="3407"/>
      <c r="REX7" s="3407"/>
      <c r="REY7" s="3407"/>
      <c r="REZ7" s="3407"/>
      <c r="RFA7" s="3407"/>
      <c r="RFB7" s="3407"/>
      <c r="RFC7" s="3407"/>
      <c r="RFD7" s="3407"/>
      <c r="RFE7" s="3407"/>
      <c r="RFF7" s="3407"/>
      <c r="RFG7" s="3407"/>
      <c r="RFH7" s="3407"/>
      <c r="RFI7" s="3407"/>
      <c r="RFJ7" s="3407"/>
      <c r="RFK7" s="3407"/>
      <c r="RFL7" s="3407"/>
      <c r="RFM7" s="3407"/>
      <c r="RFN7" s="3407"/>
      <c r="RFO7" s="3407"/>
      <c r="RFP7" s="3407"/>
      <c r="RFQ7" s="3407"/>
      <c r="RFR7" s="3407"/>
      <c r="RFS7" s="3407"/>
      <c r="RFT7" s="3407"/>
      <c r="RFU7" s="3407"/>
      <c r="RFV7" s="3407"/>
      <c r="RFW7" s="3407"/>
      <c r="RFX7" s="3407"/>
      <c r="RFY7" s="3407"/>
      <c r="RFZ7" s="3407"/>
      <c r="RGA7" s="3407"/>
      <c r="RGB7" s="3407"/>
      <c r="RGC7" s="3407"/>
      <c r="RGD7" s="3407"/>
      <c r="RGE7" s="3407"/>
      <c r="RGF7" s="3407"/>
      <c r="RGG7" s="3407"/>
      <c r="RGH7" s="3407"/>
      <c r="RGI7" s="3407"/>
      <c r="RGJ7" s="3407"/>
      <c r="RGK7" s="3407"/>
      <c r="RGL7" s="3407"/>
      <c r="RGM7" s="3407"/>
      <c r="RGN7" s="3407"/>
      <c r="RGO7" s="3407"/>
      <c r="RGP7" s="3407"/>
      <c r="RGQ7" s="3407"/>
      <c r="RGR7" s="3407"/>
      <c r="RGS7" s="3407"/>
      <c r="RGT7" s="3407"/>
      <c r="RGU7" s="3407"/>
      <c r="RGV7" s="3407"/>
      <c r="RGW7" s="3407"/>
      <c r="RGX7" s="3407"/>
      <c r="RGY7" s="3407"/>
      <c r="RGZ7" s="3407"/>
      <c r="RHA7" s="3407"/>
      <c r="RHB7" s="3407"/>
      <c r="RHC7" s="3407"/>
      <c r="RHD7" s="3407"/>
      <c r="RHE7" s="3407"/>
      <c r="RHF7" s="3407"/>
      <c r="RHG7" s="3407"/>
      <c r="RHH7" s="3407"/>
      <c r="RHI7" s="3407"/>
      <c r="RHJ7" s="3407"/>
      <c r="RHK7" s="3407"/>
      <c r="RHL7" s="3407"/>
      <c r="RHM7" s="3407"/>
      <c r="RHN7" s="3407"/>
      <c r="RHO7" s="3407"/>
      <c r="RHP7" s="3407"/>
      <c r="RHQ7" s="3407"/>
      <c r="RHR7" s="3407"/>
      <c r="RHS7" s="3407"/>
      <c r="RHT7" s="3407"/>
      <c r="RHU7" s="3407"/>
      <c r="RHV7" s="3407"/>
      <c r="RHW7" s="3407"/>
      <c r="RHX7" s="3407"/>
      <c r="RHY7" s="3407"/>
      <c r="RHZ7" s="3407"/>
      <c r="RIA7" s="3407"/>
      <c r="RIB7" s="3407"/>
      <c r="RIC7" s="3407"/>
      <c r="RID7" s="3407"/>
      <c r="RIE7" s="3407"/>
      <c r="RIF7" s="3407"/>
      <c r="RIG7" s="3407"/>
      <c r="RIH7" s="3407"/>
      <c r="RII7" s="3407"/>
      <c r="RIJ7" s="3407"/>
      <c r="RIK7" s="3407"/>
      <c r="RIL7" s="3407"/>
      <c r="RIM7" s="3407"/>
      <c r="RIN7" s="3407"/>
      <c r="RIO7" s="3407"/>
      <c r="RIP7" s="3407"/>
      <c r="RIQ7" s="3407"/>
      <c r="RIR7" s="3407"/>
      <c r="RIS7" s="3407"/>
      <c r="RIT7" s="3407"/>
      <c r="RIU7" s="3407"/>
      <c r="RIV7" s="3407"/>
      <c r="RIW7" s="3407"/>
      <c r="RIX7" s="3407"/>
      <c r="RIY7" s="3407"/>
      <c r="RIZ7" s="3407"/>
      <c r="RJA7" s="3407"/>
      <c r="RJB7" s="3407"/>
      <c r="RJC7" s="3407"/>
      <c r="RJD7" s="3407"/>
      <c r="RJE7" s="3407"/>
      <c r="RJF7" s="3407"/>
      <c r="RJG7" s="3407"/>
      <c r="RJH7" s="3407"/>
      <c r="RJI7" s="3407"/>
      <c r="RJJ7" s="3407"/>
      <c r="RJK7" s="3407"/>
      <c r="RJL7" s="3407"/>
      <c r="RJM7" s="3407"/>
      <c r="RJN7" s="3407"/>
      <c r="RJO7" s="3407"/>
      <c r="RJP7" s="3407"/>
      <c r="RJQ7" s="3407"/>
      <c r="RJR7" s="3407"/>
      <c r="RJS7" s="3407"/>
      <c r="RJT7" s="3407"/>
      <c r="RJU7" s="3407"/>
      <c r="RJV7" s="3407"/>
      <c r="RJW7" s="3407"/>
      <c r="RJX7" s="3407"/>
      <c r="RJY7" s="3407"/>
      <c r="RJZ7" s="3407"/>
      <c r="RKA7" s="3407"/>
      <c r="RKB7" s="3407"/>
      <c r="RKC7" s="3407"/>
      <c r="RKD7" s="3407"/>
      <c r="RKE7" s="3407"/>
      <c r="RKF7" s="3407"/>
      <c r="RKG7" s="3407"/>
      <c r="RKH7" s="3407"/>
      <c r="RKI7" s="3407"/>
      <c r="RKJ7" s="3407"/>
      <c r="RKK7" s="3407"/>
      <c r="RKL7" s="3407"/>
      <c r="RKM7" s="3407"/>
      <c r="RKN7" s="3407"/>
      <c r="RKO7" s="3407"/>
      <c r="RKP7" s="3407"/>
      <c r="RKQ7" s="3407"/>
      <c r="RKR7" s="3407"/>
      <c r="RKS7" s="3407"/>
      <c r="RKT7" s="3407"/>
      <c r="RKU7" s="3407"/>
      <c r="RKV7" s="3407"/>
      <c r="RKW7" s="3407"/>
      <c r="RKX7" s="3407"/>
      <c r="RKY7" s="3407"/>
      <c r="RKZ7" s="3407"/>
      <c r="RLA7" s="3407"/>
      <c r="RLB7" s="3407"/>
      <c r="RLC7" s="3407"/>
      <c r="RLD7" s="3407"/>
      <c r="RLE7" s="3407"/>
      <c r="RLF7" s="3407"/>
      <c r="RLG7" s="3407"/>
      <c r="RLH7" s="3407"/>
      <c r="RLI7" s="3407"/>
      <c r="RLJ7" s="3407"/>
      <c r="RLK7" s="3407"/>
      <c r="RLL7" s="3407"/>
      <c r="RLM7" s="3407"/>
      <c r="RLN7" s="3407"/>
      <c r="RLO7" s="3407"/>
      <c r="RLP7" s="3407"/>
      <c r="RLQ7" s="3407"/>
      <c r="RLR7" s="3407"/>
      <c r="RLS7" s="3407"/>
      <c r="RLT7" s="3407"/>
      <c r="RLU7" s="3407"/>
      <c r="RLV7" s="3407"/>
      <c r="RLW7" s="3407"/>
      <c r="RLX7" s="3407"/>
      <c r="RLY7" s="3407"/>
      <c r="RLZ7" s="3407"/>
      <c r="RMA7" s="3407"/>
      <c r="RMB7" s="3407"/>
      <c r="RMC7" s="3407"/>
      <c r="RMD7" s="3407"/>
      <c r="RME7" s="3407"/>
      <c r="RMF7" s="3407"/>
      <c r="RMG7" s="3407"/>
      <c r="RMH7" s="3407"/>
      <c r="RMI7" s="3407"/>
      <c r="RMJ7" s="3407"/>
      <c r="RMK7" s="3407"/>
      <c r="RML7" s="3407"/>
      <c r="RMM7" s="3407"/>
      <c r="RMN7" s="3407"/>
      <c r="RMO7" s="3407"/>
      <c r="RMP7" s="3407"/>
      <c r="RMQ7" s="3407"/>
      <c r="RMR7" s="3407"/>
      <c r="RMS7" s="3407"/>
      <c r="RMT7" s="3407"/>
      <c r="RMU7" s="3407"/>
      <c r="RMV7" s="3407"/>
      <c r="RMW7" s="3407"/>
      <c r="RMX7" s="3407"/>
      <c r="RMY7" s="3407"/>
      <c r="RMZ7" s="3407"/>
      <c r="RNA7" s="3407"/>
      <c r="RNB7" s="3407"/>
      <c r="RNC7" s="3407"/>
      <c r="RND7" s="3407"/>
      <c r="RNE7" s="3407"/>
      <c r="RNF7" s="3407"/>
      <c r="RNG7" s="3407"/>
      <c r="RNH7" s="3407"/>
      <c r="RNI7" s="3407"/>
      <c r="RNJ7" s="3407"/>
      <c r="RNK7" s="3407"/>
      <c r="RNL7" s="3407"/>
      <c r="RNM7" s="3407"/>
      <c r="RNN7" s="3407"/>
      <c r="RNO7" s="3407"/>
      <c r="RNP7" s="3407"/>
      <c r="RNQ7" s="3407"/>
      <c r="RNR7" s="3407"/>
      <c r="RNS7" s="3407"/>
      <c r="RNT7" s="3407"/>
      <c r="RNU7" s="3407"/>
      <c r="RNV7" s="3407"/>
      <c r="RNW7" s="3407"/>
      <c r="RNX7" s="3407"/>
      <c r="RNY7" s="3407"/>
      <c r="RNZ7" s="3407"/>
      <c r="ROA7" s="3407"/>
      <c r="ROB7" s="3407"/>
      <c r="ROC7" s="3407"/>
      <c r="ROD7" s="3407"/>
      <c r="ROE7" s="3407"/>
      <c r="ROF7" s="3407"/>
      <c r="ROG7" s="3407"/>
      <c r="ROH7" s="3407"/>
      <c r="ROI7" s="3407"/>
      <c r="ROJ7" s="3407"/>
      <c r="ROK7" s="3407"/>
      <c r="ROL7" s="3407"/>
      <c r="ROM7" s="3407"/>
      <c r="RON7" s="3407"/>
      <c r="ROO7" s="3407"/>
      <c r="ROP7" s="3407"/>
      <c r="ROQ7" s="3407"/>
      <c r="ROR7" s="3407"/>
      <c r="ROS7" s="3407"/>
      <c r="ROT7" s="3407"/>
      <c r="ROU7" s="3407"/>
      <c r="ROV7" s="3407"/>
      <c r="ROW7" s="3407"/>
      <c r="ROX7" s="3407"/>
      <c r="ROY7" s="3407"/>
      <c r="ROZ7" s="3407"/>
      <c r="RPA7" s="3407"/>
      <c r="RPB7" s="3407"/>
      <c r="RPC7" s="3407"/>
      <c r="RPD7" s="3407"/>
      <c r="RPE7" s="3407"/>
      <c r="RPF7" s="3407"/>
      <c r="RPG7" s="3407"/>
      <c r="RPH7" s="3407"/>
      <c r="RPI7" s="3407"/>
      <c r="RPJ7" s="3407"/>
      <c r="RPK7" s="3407"/>
      <c r="RPL7" s="3407"/>
      <c r="RPM7" s="3407"/>
      <c r="RPN7" s="3407"/>
      <c r="RPO7" s="3407"/>
      <c r="RPP7" s="3407"/>
      <c r="RPQ7" s="3407"/>
      <c r="RPR7" s="3407"/>
      <c r="RPS7" s="3407"/>
      <c r="RPT7" s="3407"/>
      <c r="RPU7" s="3407"/>
      <c r="RPV7" s="3407"/>
      <c r="RPW7" s="3407"/>
      <c r="RPX7" s="3407"/>
      <c r="RPY7" s="3407"/>
      <c r="RPZ7" s="3407"/>
      <c r="RQA7" s="3407"/>
      <c r="RQB7" s="3407"/>
      <c r="RQC7" s="3407"/>
      <c r="RQD7" s="3407"/>
      <c r="RQE7" s="3407"/>
      <c r="RQF7" s="3407"/>
      <c r="RQG7" s="3407"/>
      <c r="RQH7" s="3407"/>
      <c r="RQI7" s="3407"/>
      <c r="RQJ7" s="3407"/>
      <c r="RQK7" s="3407"/>
      <c r="RQL7" s="3407"/>
      <c r="RQM7" s="3407"/>
      <c r="RQN7" s="3407"/>
      <c r="RQO7" s="3407"/>
      <c r="RQP7" s="3407"/>
      <c r="RQQ7" s="3407"/>
      <c r="RQR7" s="3407"/>
      <c r="RQS7" s="3407"/>
      <c r="RQT7" s="3407"/>
      <c r="RQU7" s="3407"/>
      <c r="RQV7" s="3407"/>
      <c r="RQW7" s="3407"/>
      <c r="RQX7" s="3407"/>
      <c r="RQY7" s="3407"/>
      <c r="RQZ7" s="3407"/>
      <c r="RRA7" s="3407"/>
      <c r="RRB7" s="3407"/>
      <c r="RRC7" s="3407"/>
      <c r="RRD7" s="3407"/>
      <c r="RRE7" s="3407"/>
      <c r="RRF7" s="3407"/>
      <c r="RRG7" s="3407"/>
      <c r="RRH7" s="3407"/>
      <c r="RRI7" s="3407"/>
      <c r="RRJ7" s="3407"/>
      <c r="RRK7" s="3407"/>
      <c r="RRL7" s="3407"/>
      <c r="RRM7" s="3407"/>
      <c r="RRN7" s="3407"/>
      <c r="RRO7" s="3407"/>
      <c r="RRP7" s="3407"/>
      <c r="RRQ7" s="3407"/>
      <c r="RRR7" s="3407"/>
      <c r="RRS7" s="3407"/>
      <c r="RRT7" s="3407"/>
      <c r="RRU7" s="3407"/>
      <c r="RRV7" s="3407"/>
      <c r="RRW7" s="3407"/>
      <c r="RRX7" s="3407"/>
      <c r="RRY7" s="3407"/>
      <c r="RRZ7" s="3407"/>
      <c r="RSA7" s="3407"/>
      <c r="RSB7" s="3407"/>
      <c r="RSC7" s="3407"/>
      <c r="RSD7" s="3407"/>
      <c r="RSE7" s="3407"/>
      <c r="RSF7" s="3407"/>
      <c r="RSG7" s="3407"/>
      <c r="RSH7" s="3407"/>
      <c r="RSI7" s="3407"/>
      <c r="RSJ7" s="3407"/>
      <c r="RSK7" s="3407"/>
      <c r="RSL7" s="3407"/>
      <c r="RSM7" s="3407"/>
      <c r="RSN7" s="3407"/>
      <c r="RSO7" s="3407"/>
      <c r="RSP7" s="3407"/>
      <c r="RSQ7" s="3407"/>
      <c r="RSR7" s="3407"/>
      <c r="RSS7" s="3407"/>
      <c r="RST7" s="3407"/>
      <c r="RSU7" s="3407"/>
      <c r="RSV7" s="3407"/>
      <c r="RSW7" s="3407"/>
      <c r="RSX7" s="3407"/>
      <c r="RSY7" s="3407"/>
      <c r="RSZ7" s="3407"/>
      <c r="RTA7" s="3407"/>
      <c r="RTB7" s="3407"/>
      <c r="RTC7" s="3407"/>
      <c r="RTD7" s="3407"/>
      <c r="RTE7" s="3407"/>
      <c r="RTF7" s="3407"/>
      <c r="RTG7" s="3407"/>
      <c r="RTH7" s="3407"/>
      <c r="RTI7" s="3407"/>
      <c r="RTJ7" s="3407"/>
      <c r="RTK7" s="3407"/>
      <c r="RTL7" s="3407"/>
      <c r="RTM7" s="3407"/>
      <c r="RTN7" s="3407"/>
      <c r="RTO7" s="3407"/>
      <c r="RTP7" s="3407"/>
      <c r="RTQ7" s="3407"/>
      <c r="RTR7" s="3407"/>
      <c r="RTS7" s="3407"/>
      <c r="RTT7" s="3407"/>
      <c r="RTU7" s="3407"/>
      <c r="RTV7" s="3407"/>
      <c r="RTW7" s="3407"/>
      <c r="RTX7" s="3407"/>
      <c r="RTY7" s="3407"/>
      <c r="RTZ7" s="3407"/>
      <c r="RUA7" s="3407"/>
      <c r="RUB7" s="3407"/>
      <c r="RUC7" s="3407"/>
      <c r="RUD7" s="3407"/>
      <c r="RUE7" s="3407"/>
      <c r="RUF7" s="3407"/>
      <c r="RUG7" s="3407"/>
      <c r="RUH7" s="3407"/>
      <c r="RUI7" s="3407"/>
      <c r="RUJ7" s="3407"/>
      <c r="RUK7" s="3407"/>
      <c r="RUL7" s="3407"/>
      <c r="RUM7" s="3407"/>
      <c r="RUN7" s="3407"/>
      <c r="RUO7" s="3407"/>
      <c r="RUP7" s="3407"/>
      <c r="RUQ7" s="3407"/>
      <c r="RUR7" s="3407"/>
      <c r="RUS7" s="3407"/>
      <c r="RUT7" s="3407"/>
      <c r="RUU7" s="3407"/>
      <c r="RUV7" s="3407"/>
      <c r="RUW7" s="3407"/>
      <c r="RUX7" s="3407"/>
      <c r="RUY7" s="3407"/>
      <c r="RUZ7" s="3407"/>
      <c r="RVA7" s="3407"/>
      <c r="RVB7" s="3407"/>
      <c r="RVC7" s="3407"/>
      <c r="RVD7" s="3407"/>
      <c r="RVE7" s="3407"/>
      <c r="RVF7" s="3407"/>
      <c r="RVG7" s="3407"/>
      <c r="RVH7" s="3407"/>
      <c r="RVI7" s="3407"/>
      <c r="RVJ7" s="3407"/>
      <c r="RVK7" s="3407"/>
      <c r="RVL7" s="3407"/>
      <c r="RVM7" s="3407"/>
      <c r="RVN7" s="3407"/>
      <c r="RVO7" s="3407"/>
      <c r="RVP7" s="3407"/>
      <c r="RVQ7" s="3407"/>
      <c r="RVR7" s="3407"/>
      <c r="RVS7" s="3407"/>
      <c r="RVT7" s="3407"/>
      <c r="RVU7" s="3407"/>
      <c r="RVV7" s="3407"/>
      <c r="RVW7" s="3407"/>
      <c r="RVX7" s="3407"/>
      <c r="RVY7" s="3407"/>
      <c r="RVZ7" s="3407"/>
      <c r="RWA7" s="3407"/>
      <c r="RWB7" s="3407"/>
      <c r="RWC7" s="3407"/>
      <c r="RWD7" s="3407"/>
      <c r="RWE7" s="3407"/>
      <c r="RWF7" s="3407"/>
      <c r="RWG7" s="3407"/>
      <c r="RWH7" s="3407"/>
      <c r="RWI7" s="3407"/>
      <c r="RWJ7" s="3407"/>
      <c r="RWK7" s="3407"/>
      <c r="RWL7" s="3407"/>
      <c r="RWM7" s="3407"/>
      <c r="RWN7" s="3407"/>
      <c r="RWO7" s="3407"/>
      <c r="RWP7" s="3407"/>
      <c r="RWQ7" s="3407"/>
      <c r="RWR7" s="3407"/>
      <c r="RWS7" s="3407"/>
      <c r="RWT7" s="3407"/>
      <c r="RWU7" s="3407"/>
      <c r="RWV7" s="3407"/>
      <c r="RWW7" s="3407"/>
      <c r="RWX7" s="3407"/>
      <c r="RWY7" s="3407"/>
      <c r="RWZ7" s="3407"/>
      <c r="RXA7" s="3407"/>
      <c r="RXB7" s="3407"/>
      <c r="RXC7" s="3407"/>
      <c r="RXD7" s="3407"/>
      <c r="RXE7" s="3407"/>
      <c r="RXF7" s="3407"/>
      <c r="RXG7" s="3407"/>
      <c r="RXH7" s="3407"/>
      <c r="RXI7" s="3407"/>
      <c r="RXJ7" s="3407"/>
      <c r="RXK7" s="3407"/>
      <c r="RXL7" s="3407"/>
      <c r="RXM7" s="3407"/>
      <c r="RXN7" s="3407"/>
      <c r="RXO7" s="3407"/>
      <c r="RXP7" s="3407"/>
      <c r="RXQ7" s="3407"/>
      <c r="RXR7" s="3407"/>
      <c r="RXS7" s="3407"/>
      <c r="RXT7" s="3407"/>
      <c r="RXU7" s="3407"/>
      <c r="RXV7" s="3407"/>
      <c r="RXW7" s="3407"/>
      <c r="RXX7" s="3407"/>
      <c r="RXY7" s="3407"/>
      <c r="RXZ7" s="3407"/>
      <c r="RYA7" s="3407"/>
      <c r="RYB7" s="3407"/>
      <c r="RYC7" s="3407"/>
      <c r="RYD7" s="3407"/>
      <c r="RYE7" s="3407"/>
      <c r="RYF7" s="3407"/>
      <c r="RYG7" s="3407"/>
      <c r="RYH7" s="3407"/>
      <c r="RYI7" s="3407"/>
      <c r="RYJ7" s="3407"/>
      <c r="RYK7" s="3407"/>
      <c r="RYL7" s="3407"/>
      <c r="RYM7" s="3407"/>
      <c r="RYN7" s="3407"/>
      <c r="RYO7" s="3407"/>
      <c r="RYP7" s="3407"/>
      <c r="RYQ7" s="3407"/>
      <c r="RYR7" s="3407"/>
      <c r="RYS7" s="3407"/>
      <c r="RYT7" s="3407"/>
      <c r="RYU7" s="3407"/>
      <c r="RYV7" s="3407"/>
      <c r="RYW7" s="3407"/>
      <c r="RYX7" s="3407"/>
      <c r="RYY7" s="3407"/>
      <c r="RYZ7" s="3407"/>
      <c r="RZA7" s="3407"/>
      <c r="RZB7" s="3407"/>
      <c r="RZC7" s="3407"/>
      <c r="RZD7" s="3407"/>
      <c r="RZE7" s="3407"/>
      <c r="RZF7" s="3407"/>
      <c r="RZG7" s="3407"/>
      <c r="RZH7" s="3407"/>
      <c r="RZI7" s="3407"/>
      <c r="RZJ7" s="3407"/>
      <c r="RZK7" s="3407"/>
      <c r="RZL7" s="3407"/>
      <c r="RZM7" s="3407"/>
      <c r="RZN7" s="3407"/>
      <c r="RZO7" s="3407"/>
      <c r="RZP7" s="3407"/>
      <c r="RZQ7" s="3407"/>
      <c r="RZR7" s="3407"/>
      <c r="RZS7" s="3407"/>
      <c r="RZT7" s="3407"/>
      <c r="RZU7" s="3407"/>
      <c r="RZV7" s="3407"/>
      <c r="RZW7" s="3407"/>
      <c r="RZX7" s="3407"/>
      <c r="RZY7" s="3407"/>
      <c r="RZZ7" s="3407"/>
      <c r="SAA7" s="3407"/>
      <c r="SAB7" s="3407"/>
      <c r="SAC7" s="3407"/>
      <c r="SAD7" s="3407"/>
      <c r="SAE7" s="3407"/>
      <c r="SAF7" s="3407"/>
      <c r="SAG7" s="3407"/>
      <c r="SAH7" s="3407"/>
      <c r="SAI7" s="3407"/>
      <c r="SAJ7" s="3407"/>
      <c r="SAK7" s="3407"/>
      <c r="SAL7" s="3407"/>
      <c r="SAM7" s="3407"/>
      <c r="SAN7" s="3407"/>
      <c r="SAO7" s="3407"/>
      <c r="SAP7" s="3407"/>
      <c r="SAQ7" s="3407"/>
      <c r="SAR7" s="3407"/>
      <c r="SAS7" s="3407"/>
      <c r="SAT7" s="3407"/>
      <c r="SAU7" s="3407"/>
      <c r="SAV7" s="3407"/>
      <c r="SAW7" s="3407"/>
      <c r="SAX7" s="3407"/>
      <c r="SAY7" s="3407"/>
      <c r="SAZ7" s="3407"/>
      <c r="SBA7" s="3407"/>
      <c r="SBB7" s="3407"/>
      <c r="SBC7" s="3407"/>
      <c r="SBD7" s="3407"/>
      <c r="SBE7" s="3407"/>
      <c r="SBF7" s="3407"/>
      <c r="SBG7" s="3407"/>
      <c r="SBH7" s="3407"/>
      <c r="SBI7" s="3407"/>
      <c r="SBJ7" s="3407"/>
      <c r="SBK7" s="3407"/>
      <c r="SBL7" s="3407"/>
      <c r="SBM7" s="3407"/>
      <c r="SBN7" s="3407"/>
      <c r="SBO7" s="3407"/>
      <c r="SBP7" s="3407"/>
      <c r="SBQ7" s="3407"/>
      <c r="SBR7" s="3407"/>
      <c r="SBS7" s="3407"/>
      <c r="SBT7" s="3407"/>
      <c r="SBU7" s="3407"/>
      <c r="SBV7" s="3407"/>
      <c r="SBW7" s="3407"/>
      <c r="SBX7" s="3407"/>
      <c r="SBY7" s="3407"/>
      <c r="SBZ7" s="3407"/>
      <c r="SCA7" s="3407"/>
      <c r="SCB7" s="3407"/>
      <c r="SCC7" s="3407"/>
      <c r="SCD7" s="3407"/>
      <c r="SCE7" s="3407"/>
      <c r="SCF7" s="3407"/>
      <c r="SCG7" s="3407"/>
      <c r="SCH7" s="3407"/>
      <c r="SCI7" s="3407"/>
      <c r="SCJ7" s="3407"/>
      <c r="SCK7" s="3407"/>
      <c r="SCL7" s="3407"/>
      <c r="SCM7" s="3407"/>
      <c r="SCN7" s="3407"/>
      <c r="SCO7" s="3407"/>
      <c r="SCP7" s="3407"/>
      <c r="SCQ7" s="3407"/>
      <c r="SCR7" s="3407"/>
      <c r="SCS7" s="3407"/>
      <c r="SCT7" s="3407"/>
      <c r="SCU7" s="3407"/>
      <c r="SCV7" s="3407"/>
      <c r="SCW7" s="3407"/>
      <c r="SCX7" s="3407"/>
      <c r="SCY7" s="3407"/>
      <c r="SCZ7" s="3407"/>
      <c r="SDA7" s="3407"/>
      <c r="SDB7" s="3407"/>
      <c r="SDC7" s="3407"/>
      <c r="SDD7" s="3407"/>
      <c r="SDE7" s="3407"/>
      <c r="SDF7" s="3407"/>
      <c r="SDG7" s="3407"/>
      <c r="SDH7" s="3407"/>
      <c r="SDI7" s="3407"/>
      <c r="SDJ7" s="3407"/>
      <c r="SDK7" s="3407"/>
      <c r="SDL7" s="3407"/>
      <c r="SDM7" s="3407"/>
      <c r="SDN7" s="3407"/>
      <c r="SDO7" s="3407"/>
      <c r="SDP7" s="3407"/>
      <c r="SDQ7" s="3407"/>
      <c r="SDR7" s="3407"/>
      <c r="SDS7" s="3407"/>
      <c r="SDT7" s="3407"/>
      <c r="SDU7" s="3407"/>
      <c r="SDV7" s="3407"/>
      <c r="SDW7" s="3407"/>
      <c r="SDX7" s="3407"/>
      <c r="SDY7" s="3407"/>
      <c r="SDZ7" s="3407"/>
      <c r="SEA7" s="3407"/>
      <c r="SEB7" s="3407"/>
      <c r="SEC7" s="3407"/>
      <c r="SED7" s="3407"/>
      <c r="SEE7" s="3407"/>
      <c r="SEF7" s="3407"/>
      <c r="SEG7" s="3407"/>
      <c r="SEH7" s="3407"/>
      <c r="SEI7" s="3407"/>
      <c r="SEJ7" s="3407"/>
      <c r="SEK7" s="3407"/>
      <c r="SEL7" s="3407"/>
      <c r="SEM7" s="3407"/>
      <c r="SEN7" s="3407"/>
      <c r="SEO7" s="3407"/>
      <c r="SEP7" s="3407"/>
      <c r="SEQ7" s="3407"/>
      <c r="SER7" s="3407"/>
      <c r="SES7" s="3407"/>
      <c r="SET7" s="3407"/>
      <c r="SEU7" s="3407"/>
      <c r="SEV7" s="3407"/>
      <c r="SEW7" s="3407"/>
      <c r="SEX7" s="3407"/>
      <c r="SEY7" s="3407"/>
      <c r="SEZ7" s="3407"/>
      <c r="SFA7" s="3407"/>
      <c r="SFB7" s="3407"/>
      <c r="SFC7" s="3407"/>
      <c r="SFD7" s="3407"/>
      <c r="SFE7" s="3407"/>
      <c r="SFF7" s="3407"/>
      <c r="SFG7" s="3407"/>
      <c r="SFH7" s="3407"/>
      <c r="SFI7" s="3407"/>
      <c r="SFJ7" s="3407"/>
      <c r="SFK7" s="3407"/>
      <c r="SFL7" s="3407"/>
      <c r="SFM7" s="3407"/>
      <c r="SFN7" s="3407"/>
      <c r="SFO7" s="3407"/>
      <c r="SFP7" s="3407"/>
      <c r="SFQ7" s="3407"/>
      <c r="SFR7" s="3407"/>
      <c r="SFS7" s="3407"/>
      <c r="SFT7" s="3407"/>
      <c r="SFU7" s="3407"/>
      <c r="SFV7" s="3407"/>
      <c r="SFW7" s="3407"/>
      <c r="SFX7" s="3407"/>
      <c r="SFY7" s="3407"/>
      <c r="SFZ7" s="3407"/>
      <c r="SGA7" s="3407"/>
      <c r="SGB7" s="3407"/>
      <c r="SGC7" s="3407"/>
      <c r="SGD7" s="3407"/>
      <c r="SGE7" s="3407"/>
      <c r="SGF7" s="3407"/>
      <c r="SGG7" s="3407"/>
      <c r="SGH7" s="3407"/>
      <c r="SGI7" s="3407"/>
      <c r="SGJ7" s="3407"/>
      <c r="SGK7" s="3407"/>
      <c r="SGL7" s="3407"/>
      <c r="SGM7" s="3407"/>
      <c r="SGN7" s="3407"/>
      <c r="SGO7" s="3407"/>
      <c r="SGP7" s="3407"/>
      <c r="SGQ7" s="3407"/>
      <c r="SGR7" s="3407"/>
      <c r="SGS7" s="3407"/>
      <c r="SGT7" s="3407"/>
      <c r="SGU7" s="3407"/>
      <c r="SGV7" s="3407"/>
      <c r="SGW7" s="3407"/>
      <c r="SGX7" s="3407"/>
      <c r="SGY7" s="3407"/>
      <c r="SGZ7" s="3407"/>
      <c r="SHA7" s="3407"/>
      <c r="SHB7" s="3407"/>
      <c r="SHC7" s="3407"/>
      <c r="SHD7" s="3407"/>
      <c r="SHE7" s="3407"/>
      <c r="SHF7" s="3407"/>
      <c r="SHG7" s="3407"/>
      <c r="SHH7" s="3407"/>
      <c r="SHI7" s="3407"/>
      <c r="SHJ7" s="3407"/>
      <c r="SHK7" s="3407"/>
      <c r="SHL7" s="3407"/>
      <c r="SHM7" s="3407"/>
      <c r="SHN7" s="3407"/>
      <c r="SHO7" s="3407"/>
      <c r="SHP7" s="3407"/>
      <c r="SHQ7" s="3407"/>
      <c r="SHR7" s="3407"/>
      <c r="SHS7" s="3407"/>
      <c r="SHT7" s="3407"/>
      <c r="SHU7" s="3407"/>
      <c r="SHV7" s="3407"/>
      <c r="SHW7" s="3407"/>
      <c r="SHX7" s="3407"/>
      <c r="SHY7" s="3407"/>
      <c r="SHZ7" s="3407"/>
      <c r="SIA7" s="3407"/>
      <c r="SIB7" s="3407"/>
      <c r="SIC7" s="3407"/>
      <c r="SID7" s="3407"/>
      <c r="SIE7" s="3407"/>
      <c r="SIF7" s="3407"/>
      <c r="SIG7" s="3407"/>
      <c r="SIH7" s="3407"/>
      <c r="SII7" s="3407"/>
      <c r="SIJ7" s="3407"/>
      <c r="SIK7" s="3407"/>
      <c r="SIL7" s="3407"/>
      <c r="SIM7" s="3407"/>
      <c r="SIN7" s="3407"/>
      <c r="SIO7" s="3407"/>
      <c r="SIP7" s="3407"/>
      <c r="SIQ7" s="3407"/>
      <c r="SIR7" s="3407"/>
      <c r="SIS7" s="3407"/>
      <c r="SIT7" s="3407"/>
      <c r="SIU7" s="3407"/>
      <c r="SIV7" s="3407"/>
      <c r="SIW7" s="3407"/>
      <c r="SIX7" s="3407"/>
      <c r="SIY7" s="3407"/>
      <c r="SIZ7" s="3407"/>
      <c r="SJA7" s="3407"/>
      <c r="SJB7" s="3407"/>
      <c r="SJC7" s="3407"/>
      <c r="SJD7" s="3407"/>
      <c r="SJE7" s="3407"/>
      <c r="SJF7" s="3407"/>
      <c r="SJG7" s="3407"/>
      <c r="SJH7" s="3407"/>
      <c r="SJI7" s="3407"/>
      <c r="SJJ7" s="3407"/>
      <c r="SJK7" s="3407"/>
      <c r="SJL7" s="3407"/>
      <c r="SJM7" s="3407"/>
      <c r="SJN7" s="3407"/>
      <c r="SJO7" s="3407"/>
      <c r="SJP7" s="3407"/>
      <c r="SJQ7" s="3407"/>
      <c r="SJR7" s="3407"/>
      <c r="SJS7" s="3407"/>
      <c r="SJT7" s="3407"/>
      <c r="SJU7" s="3407"/>
      <c r="SJV7" s="3407"/>
      <c r="SJW7" s="3407"/>
      <c r="SJX7" s="3407"/>
      <c r="SJY7" s="3407"/>
      <c r="SJZ7" s="3407"/>
      <c r="SKA7" s="3407"/>
      <c r="SKB7" s="3407"/>
      <c r="SKC7" s="3407"/>
      <c r="SKD7" s="3407"/>
      <c r="SKE7" s="3407"/>
      <c r="SKF7" s="3407"/>
      <c r="SKG7" s="3407"/>
      <c r="SKH7" s="3407"/>
      <c r="SKI7" s="3407"/>
      <c r="SKJ7" s="3407"/>
      <c r="SKK7" s="3407"/>
      <c r="SKL7" s="3407"/>
      <c r="SKM7" s="3407"/>
      <c r="SKN7" s="3407"/>
      <c r="SKO7" s="3407"/>
      <c r="SKP7" s="3407"/>
      <c r="SKQ7" s="3407"/>
      <c r="SKR7" s="3407"/>
      <c r="SKS7" s="3407"/>
      <c r="SKT7" s="3407"/>
      <c r="SKU7" s="3407"/>
      <c r="SKV7" s="3407"/>
      <c r="SKW7" s="3407"/>
      <c r="SKX7" s="3407"/>
      <c r="SKY7" s="3407"/>
      <c r="SKZ7" s="3407"/>
      <c r="SLA7" s="3407"/>
      <c r="SLB7" s="3407"/>
      <c r="SLC7" s="3407"/>
      <c r="SLD7" s="3407"/>
      <c r="SLE7" s="3407"/>
      <c r="SLF7" s="3407"/>
      <c r="SLG7" s="3407"/>
      <c r="SLH7" s="3407"/>
      <c r="SLI7" s="3407"/>
      <c r="SLJ7" s="3407"/>
      <c r="SLK7" s="3407"/>
      <c r="SLL7" s="3407"/>
      <c r="SLM7" s="3407"/>
      <c r="SLN7" s="3407"/>
      <c r="SLO7" s="3407"/>
      <c r="SLP7" s="3407"/>
      <c r="SLQ7" s="3407"/>
      <c r="SLR7" s="3407"/>
      <c r="SLS7" s="3407"/>
      <c r="SLT7" s="3407"/>
      <c r="SLU7" s="3407"/>
      <c r="SLV7" s="3407"/>
      <c r="SLW7" s="3407"/>
      <c r="SLX7" s="3407"/>
      <c r="SLY7" s="3407"/>
      <c r="SLZ7" s="3407"/>
      <c r="SMA7" s="3407"/>
      <c r="SMB7" s="3407"/>
      <c r="SMC7" s="3407"/>
      <c r="SMD7" s="3407"/>
      <c r="SME7" s="3407"/>
      <c r="SMF7" s="3407"/>
      <c r="SMG7" s="3407"/>
      <c r="SMH7" s="3407"/>
      <c r="SMI7" s="3407"/>
      <c r="SMJ7" s="3407"/>
      <c r="SMK7" s="3407"/>
      <c r="SML7" s="3407"/>
      <c r="SMM7" s="3407"/>
      <c r="SMN7" s="3407"/>
      <c r="SMO7" s="3407"/>
      <c r="SMP7" s="3407"/>
      <c r="SMQ7" s="3407"/>
      <c r="SMR7" s="3407"/>
      <c r="SMS7" s="3407"/>
      <c r="SMT7" s="3407"/>
      <c r="SMU7" s="3407"/>
      <c r="SMV7" s="3407"/>
      <c r="SMW7" s="3407"/>
      <c r="SMX7" s="3407"/>
      <c r="SMY7" s="3407"/>
      <c r="SMZ7" s="3407"/>
      <c r="SNA7" s="3407"/>
      <c r="SNB7" s="3407"/>
      <c r="SNC7" s="3407"/>
      <c r="SND7" s="3407"/>
      <c r="SNE7" s="3407"/>
      <c r="SNF7" s="3407"/>
      <c r="SNG7" s="3407"/>
      <c r="SNH7" s="3407"/>
      <c r="SNI7" s="3407"/>
      <c r="SNJ7" s="3407"/>
      <c r="SNK7" s="3407"/>
      <c r="SNL7" s="3407"/>
      <c r="SNM7" s="3407"/>
      <c r="SNN7" s="3407"/>
      <c r="SNO7" s="3407"/>
      <c r="SNP7" s="3407"/>
      <c r="SNQ7" s="3407"/>
      <c r="SNR7" s="3407"/>
      <c r="SNS7" s="3407"/>
      <c r="SNT7" s="3407"/>
      <c r="SNU7" s="3407"/>
      <c r="SNV7" s="3407"/>
      <c r="SNW7" s="3407"/>
      <c r="SNX7" s="3407"/>
      <c r="SNY7" s="3407"/>
      <c r="SNZ7" s="3407"/>
      <c r="SOA7" s="3407"/>
      <c r="SOB7" s="3407"/>
      <c r="SOC7" s="3407"/>
      <c r="SOD7" s="3407"/>
      <c r="SOE7" s="3407"/>
      <c r="SOF7" s="3407"/>
      <c r="SOG7" s="3407"/>
      <c r="SOH7" s="3407"/>
      <c r="SOI7" s="3407"/>
      <c r="SOJ7" s="3407"/>
      <c r="SOK7" s="3407"/>
      <c r="SOL7" s="3407"/>
      <c r="SOM7" s="3407"/>
      <c r="SON7" s="3407"/>
      <c r="SOO7" s="3407"/>
      <c r="SOP7" s="3407"/>
      <c r="SOQ7" s="3407"/>
      <c r="SOR7" s="3407"/>
      <c r="SOS7" s="3407"/>
      <c r="SOT7" s="3407"/>
      <c r="SOU7" s="3407"/>
      <c r="SOV7" s="3407"/>
      <c r="SOW7" s="3407"/>
      <c r="SOX7" s="3407"/>
      <c r="SOY7" s="3407"/>
      <c r="SOZ7" s="3407"/>
      <c r="SPA7" s="3407"/>
      <c r="SPB7" s="3407"/>
      <c r="SPC7" s="3407"/>
      <c r="SPD7" s="3407"/>
      <c r="SPE7" s="3407"/>
      <c r="SPF7" s="3407"/>
      <c r="SPG7" s="3407"/>
      <c r="SPH7" s="3407"/>
      <c r="SPI7" s="3407"/>
      <c r="SPJ7" s="3407"/>
      <c r="SPK7" s="3407"/>
      <c r="SPL7" s="3407"/>
      <c r="SPM7" s="3407"/>
      <c r="SPN7" s="3407"/>
      <c r="SPO7" s="3407"/>
      <c r="SPP7" s="3407"/>
      <c r="SPQ7" s="3407"/>
      <c r="SPR7" s="3407"/>
      <c r="SPS7" s="3407"/>
      <c r="SPT7" s="3407"/>
      <c r="SPU7" s="3407"/>
      <c r="SPV7" s="3407"/>
      <c r="SPW7" s="3407"/>
      <c r="SPX7" s="3407"/>
      <c r="SPY7" s="3407"/>
      <c r="SPZ7" s="3407"/>
      <c r="SQA7" s="3407"/>
      <c r="SQB7" s="3407"/>
      <c r="SQC7" s="3407"/>
      <c r="SQD7" s="3407"/>
      <c r="SQE7" s="3407"/>
      <c r="SQF7" s="3407"/>
      <c r="SQG7" s="3407"/>
      <c r="SQH7" s="3407"/>
      <c r="SQI7" s="3407"/>
      <c r="SQJ7" s="3407"/>
      <c r="SQK7" s="3407"/>
      <c r="SQL7" s="3407"/>
      <c r="SQM7" s="3407"/>
      <c r="SQN7" s="3407"/>
      <c r="SQO7" s="3407"/>
      <c r="SQP7" s="3407"/>
      <c r="SQQ7" s="3407"/>
      <c r="SQR7" s="3407"/>
      <c r="SQS7" s="3407"/>
      <c r="SQT7" s="3407"/>
      <c r="SQU7" s="3407"/>
      <c r="SQV7" s="3407"/>
      <c r="SQW7" s="3407"/>
      <c r="SQX7" s="3407"/>
      <c r="SQY7" s="3407"/>
      <c r="SQZ7" s="3407"/>
      <c r="SRA7" s="3407"/>
      <c r="SRB7" s="3407"/>
      <c r="SRC7" s="3407"/>
      <c r="SRD7" s="3407"/>
      <c r="SRE7" s="3407"/>
      <c r="SRF7" s="3407"/>
      <c r="SRG7" s="3407"/>
      <c r="SRH7" s="3407"/>
      <c r="SRI7" s="3407"/>
      <c r="SRJ7" s="3407"/>
      <c r="SRK7" s="3407"/>
      <c r="SRL7" s="3407"/>
      <c r="SRM7" s="3407"/>
      <c r="SRN7" s="3407"/>
      <c r="SRO7" s="3407"/>
      <c r="SRP7" s="3407"/>
      <c r="SRQ7" s="3407"/>
      <c r="SRR7" s="3407"/>
      <c r="SRS7" s="3407"/>
      <c r="SRT7" s="3407"/>
      <c r="SRU7" s="3407"/>
      <c r="SRV7" s="3407"/>
      <c r="SRW7" s="3407"/>
      <c r="SRX7" s="3407"/>
      <c r="SRY7" s="3407"/>
      <c r="SRZ7" s="3407"/>
      <c r="SSA7" s="3407"/>
      <c r="SSB7" s="3407"/>
      <c r="SSC7" s="3407"/>
      <c r="SSD7" s="3407"/>
      <c r="SSE7" s="3407"/>
      <c r="SSF7" s="3407"/>
      <c r="SSG7" s="3407"/>
      <c r="SSH7" s="3407"/>
      <c r="SSI7" s="3407"/>
      <c r="SSJ7" s="3407"/>
      <c r="SSK7" s="3407"/>
      <c r="SSL7" s="3407"/>
      <c r="SSM7" s="3407"/>
      <c r="SSN7" s="3407"/>
      <c r="SSO7" s="3407"/>
      <c r="SSP7" s="3407"/>
      <c r="SSQ7" s="3407"/>
      <c r="SSR7" s="3407"/>
      <c r="SSS7" s="3407"/>
      <c r="SST7" s="3407"/>
      <c r="SSU7" s="3407"/>
      <c r="SSV7" s="3407"/>
      <c r="SSW7" s="3407"/>
      <c r="SSX7" s="3407"/>
      <c r="SSY7" s="3407"/>
      <c r="SSZ7" s="3407"/>
      <c r="STA7" s="3407"/>
      <c r="STB7" s="3407"/>
      <c r="STC7" s="3407"/>
      <c r="STD7" s="3407"/>
      <c r="STE7" s="3407"/>
      <c r="STF7" s="3407"/>
      <c r="STG7" s="3407"/>
      <c r="STH7" s="3407"/>
      <c r="STI7" s="3407"/>
      <c r="STJ7" s="3407"/>
      <c r="STK7" s="3407"/>
      <c r="STL7" s="3407"/>
      <c r="STM7" s="3407"/>
      <c r="STN7" s="3407"/>
      <c r="STO7" s="3407"/>
      <c r="STP7" s="3407"/>
      <c r="STQ7" s="3407"/>
      <c r="STR7" s="3407"/>
      <c r="STS7" s="3407"/>
      <c r="STT7" s="3407"/>
      <c r="STU7" s="3407"/>
      <c r="STV7" s="3407"/>
      <c r="STW7" s="3407"/>
      <c r="STX7" s="3407"/>
      <c r="STY7" s="3407"/>
      <c r="STZ7" s="3407"/>
      <c r="SUA7" s="3407"/>
      <c r="SUB7" s="3407"/>
      <c r="SUC7" s="3407"/>
      <c r="SUD7" s="3407"/>
      <c r="SUE7" s="3407"/>
      <c r="SUF7" s="3407"/>
      <c r="SUG7" s="3407"/>
      <c r="SUH7" s="3407"/>
      <c r="SUI7" s="3407"/>
      <c r="SUJ7" s="3407"/>
      <c r="SUK7" s="3407"/>
      <c r="SUL7" s="3407"/>
      <c r="SUM7" s="3407"/>
      <c r="SUN7" s="3407"/>
      <c r="SUO7" s="3407"/>
      <c r="SUP7" s="3407"/>
      <c r="SUQ7" s="3407"/>
      <c r="SUR7" s="3407"/>
      <c r="SUS7" s="3407"/>
      <c r="SUT7" s="3407"/>
      <c r="SUU7" s="3407"/>
      <c r="SUV7" s="3407"/>
      <c r="SUW7" s="3407"/>
      <c r="SUX7" s="3407"/>
      <c r="SUY7" s="3407"/>
      <c r="SUZ7" s="3407"/>
      <c r="SVA7" s="3407"/>
      <c r="SVB7" s="3407"/>
      <c r="SVC7" s="3407"/>
      <c r="SVD7" s="3407"/>
      <c r="SVE7" s="3407"/>
      <c r="SVF7" s="3407"/>
      <c r="SVG7" s="3407"/>
      <c r="SVH7" s="3407"/>
      <c r="SVI7" s="3407"/>
      <c r="SVJ7" s="3407"/>
      <c r="SVK7" s="3407"/>
      <c r="SVL7" s="3407"/>
      <c r="SVM7" s="3407"/>
      <c r="SVN7" s="3407"/>
      <c r="SVO7" s="3407"/>
      <c r="SVP7" s="3407"/>
      <c r="SVQ7" s="3407"/>
      <c r="SVR7" s="3407"/>
      <c r="SVS7" s="3407"/>
      <c r="SVT7" s="3407"/>
      <c r="SVU7" s="3407"/>
      <c r="SVV7" s="3407"/>
      <c r="SVW7" s="3407"/>
      <c r="SVX7" s="3407"/>
      <c r="SVY7" s="3407"/>
      <c r="SVZ7" s="3407"/>
      <c r="SWA7" s="3407"/>
      <c r="SWB7" s="3407"/>
      <c r="SWC7" s="3407"/>
      <c r="SWD7" s="3407"/>
      <c r="SWE7" s="3407"/>
      <c r="SWF7" s="3407"/>
      <c r="SWG7" s="3407"/>
      <c r="SWH7" s="3407"/>
      <c r="SWI7" s="3407"/>
      <c r="SWJ7" s="3407"/>
      <c r="SWK7" s="3407"/>
      <c r="SWL7" s="3407"/>
      <c r="SWM7" s="3407"/>
      <c r="SWN7" s="3407"/>
      <c r="SWO7" s="3407"/>
      <c r="SWP7" s="3407"/>
      <c r="SWQ7" s="3407"/>
      <c r="SWR7" s="3407"/>
      <c r="SWS7" s="3407"/>
      <c r="SWT7" s="3407"/>
      <c r="SWU7" s="3407"/>
      <c r="SWV7" s="3407"/>
      <c r="SWW7" s="3407"/>
      <c r="SWX7" s="3407"/>
      <c r="SWY7" s="3407"/>
      <c r="SWZ7" s="3407"/>
      <c r="SXA7" s="3407"/>
      <c r="SXB7" s="3407"/>
      <c r="SXC7" s="3407"/>
      <c r="SXD7" s="3407"/>
      <c r="SXE7" s="3407"/>
      <c r="SXF7" s="3407"/>
      <c r="SXG7" s="3407"/>
      <c r="SXH7" s="3407"/>
      <c r="SXI7" s="3407"/>
      <c r="SXJ7" s="3407"/>
      <c r="SXK7" s="3407"/>
      <c r="SXL7" s="3407"/>
      <c r="SXM7" s="3407"/>
      <c r="SXN7" s="3407"/>
      <c r="SXO7" s="3407"/>
      <c r="SXP7" s="3407"/>
      <c r="SXQ7" s="3407"/>
      <c r="SXR7" s="3407"/>
      <c r="SXS7" s="3407"/>
      <c r="SXT7" s="3407"/>
      <c r="SXU7" s="3407"/>
      <c r="SXV7" s="3407"/>
      <c r="SXW7" s="3407"/>
      <c r="SXX7" s="3407"/>
      <c r="SXY7" s="3407"/>
      <c r="SXZ7" s="3407"/>
      <c r="SYA7" s="3407"/>
      <c r="SYB7" s="3407"/>
      <c r="SYC7" s="3407"/>
      <c r="SYD7" s="3407"/>
      <c r="SYE7" s="3407"/>
      <c r="SYF7" s="3407"/>
      <c r="SYG7" s="3407"/>
      <c r="SYH7" s="3407"/>
      <c r="SYI7" s="3407"/>
      <c r="SYJ7" s="3407"/>
      <c r="SYK7" s="3407"/>
      <c r="SYL7" s="3407"/>
      <c r="SYM7" s="3407"/>
      <c r="SYN7" s="3407"/>
      <c r="SYO7" s="3407"/>
      <c r="SYP7" s="3407"/>
      <c r="SYQ7" s="3407"/>
      <c r="SYR7" s="3407"/>
      <c r="SYS7" s="3407"/>
      <c r="SYT7" s="3407"/>
      <c r="SYU7" s="3407"/>
      <c r="SYV7" s="3407"/>
      <c r="SYW7" s="3407"/>
      <c r="SYX7" s="3407"/>
      <c r="SYY7" s="3407"/>
      <c r="SYZ7" s="3407"/>
      <c r="SZA7" s="3407"/>
      <c r="SZB7" s="3407"/>
      <c r="SZC7" s="3407"/>
      <c r="SZD7" s="3407"/>
      <c r="SZE7" s="3407"/>
      <c r="SZF7" s="3407"/>
      <c r="SZG7" s="3407"/>
      <c r="SZH7" s="3407"/>
      <c r="SZI7" s="3407"/>
      <c r="SZJ7" s="3407"/>
      <c r="SZK7" s="3407"/>
      <c r="SZL7" s="3407"/>
      <c r="SZM7" s="3407"/>
      <c r="SZN7" s="3407"/>
      <c r="SZO7" s="3407"/>
      <c r="SZP7" s="3407"/>
      <c r="SZQ7" s="3407"/>
      <c r="SZR7" s="3407"/>
      <c r="SZS7" s="3407"/>
      <c r="SZT7" s="3407"/>
      <c r="SZU7" s="3407"/>
      <c r="SZV7" s="3407"/>
      <c r="SZW7" s="3407"/>
      <c r="SZX7" s="3407"/>
      <c r="SZY7" s="3407"/>
      <c r="SZZ7" s="3407"/>
      <c r="TAA7" s="3407"/>
      <c r="TAB7" s="3407"/>
      <c r="TAC7" s="3407"/>
      <c r="TAD7" s="3407"/>
      <c r="TAE7" s="3407"/>
      <c r="TAF7" s="3407"/>
      <c r="TAG7" s="3407"/>
      <c r="TAH7" s="3407"/>
      <c r="TAI7" s="3407"/>
      <c r="TAJ7" s="3407"/>
      <c r="TAK7" s="3407"/>
      <c r="TAL7" s="3407"/>
      <c r="TAM7" s="3407"/>
      <c r="TAN7" s="3407"/>
      <c r="TAO7" s="3407"/>
      <c r="TAP7" s="3407"/>
      <c r="TAQ7" s="3407"/>
      <c r="TAR7" s="3407"/>
      <c r="TAS7" s="3407"/>
      <c r="TAT7" s="3407"/>
      <c r="TAU7" s="3407"/>
      <c r="TAV7" s="3407"/>
      <c r="TAW7" s="3407"/>
      <c r="TAX7" s="3407"/>
      <c r="TAY7" s="3407"/>
      <c r="TAZ7" s="3407"/>
      <c r="TBA7" s="3407"/>
      <c r="TBB7" s="3407"/>
      <c r="TBC7" s="3407"/>
      <c r="TBD7" s="3407"/>
      <c r="TBE7" s="3407"/>
      <c r="TBF7" s="3407"/>
      <c r="TBG7" s="3407"/>
      <c r="TBH7" s="3407"/>
      <c r="TBI7" s="3407"/>
      <c r="TBJ7" s="3407"/>
      <c r="TBK7" s="3407"/>
      <c r="TBL7" s="3407"/>
      <c r="TBM7" s="3407"/>
      <c r="TBN7" s="3407"/>
      <c r="TBO7" s="3407"/>
      <c r="TBP7" s="3407"/>
      <c r="TBQ7" s="3407"/>
      <c r="TBR7" s="3407"/>
      <c r="TBS7" s="3407"/>
      <c r="TBT7" s="3407"/>
      <c r="TBU7" s="3407"/>
      <c r="TBV7" s="3407"/>
      <c r="TBW7" s="3407"/>
      <c r="TBX7" s="3407"/>
      <c r="TBY7" s="3407"/>
      <c r="TBZ7" s="3407"/>
      <c r="TCA7" s="3407"/>
      <c r="TCB7" s="3407"/>
      <c r="TCC7" s="3407"/>
      <c r="TCD7" s="3407"/>
      <c r="TCE7" s="3407"/>
      <c r="TCF7" s="3407"/>
      <c r="TCG7" s="3407"/>
      <c r="TCH7" s="3407"/>
      <c r="TCI7" s="3407"/>
      <c r="TCJ7" s="3407"/>
      <c r="TCK7" s="3407"/>
      <c r="TCL7" s="3407"/>
      <c r="TCM7" s="3407"/>
      <c r="TCN7" s="3407"/>
      <c r="TCO7" s="3407"/>
      <c r="TCP7" s="3407"/>
      <c r="TCQ7" s="3407"/>
      <c r="TCR7" s="3407"/>
      <c r="TCS7" s="3407"/>
      <c r="TCT7" s="3407"/>
      <c r="TCU7" s="3407"/>
      <c r="TCV7" s="3407"/>
      <c r="TCW7" s="3407"/>
      <c r="TCX7" s="3407"/>
      <c r="TCY7" s="3407"/>
      <c r="TCZ7" s="3407"/>
      <c r="TDA7" s="3407"/>
      <c r="TDB7" s="3407"/>
      <c r="TDC7" s="3407"/>
      <c r="TDD7" s="3407"/>
      <c r="TDE7" s="3407"/>
      <c r="TDF7" s="3407"/>
      <c r="TDG7" s="3407"/>
      <c r="TDH7" s="3407"/>
      <c r="TDI7" s="3407"/>
      <c r="TDJ7" s="3407"/>
      <c r="TDK7" s="3407"/>
      <c r="TDL7" s="3407"/>
      <c r="TDM7" s="3407"/>
      <c r="TDN7" s="3407"/>
      <c r="TDO7" s="3407"/>
      <c r="TDP7" s="3407"/>
      <c r="TDQ7" s="3407"/>
      <c r="TDR7" s="3407"/>
      <c r="TDS7" s="3407"/>
      <c r="TDT7" s="3407"/>
      <c r="TDU7" s="3407"/>
      <c r="TDV7" s="3407"/>
      <c r="TDW7" s="3407"/>
      <c r="TDX7" s="3407"/>
      <c r="TDY7" s="3407"/>
      <c r="TDZ7" s="3407"/>
      <c r="TEA7" s="3407"/>
      <c r="TEB7" s="3407"/>
      <c r="TEC7" s="3407"/>
      <c r="TED7" s="3407"/>
      <c r="TEE7" s="3407"/>
      <c r="TEF7" s="3407"/>
      <c r="TEG7" s="3407"/>
      <c r="TEH7" s="3407"/>
      <c r="TEI7" s="3407"/>
      <c r="TEJ7" s="3407"/>
      <c r="TEK7" s="3407"/>
      <c r="TEL7" s="3407"/>
      <c r="TEM7" s="3407"/>
      <c r="TEN7" s="3407"/>
      <c r="TEO7" s="3407"/>
      <c r="TEP7" s="3407"/>
      <c r="TEQ7" s="3407"/>
      <c r="TER7" s="3407"/>
      <c r="TES7" s="3407"/>
      <c r="TET7" s="3407"/>
      <c r="TEU7" s="3407"/>
      <c r="TEV7" s="3407"/>
      <c r="TEW7" s="3407"/>
      <c r="TEX7" s="3407"/>
      <c r="TEY7" s="3407"/>
      <c r="TEZ7" s="3407"/>
      <c r="TFA7" s="3407"/>
      <c r="TFB7" s="3407"/>
      <c r="TFC7" s="3407"/>
      <c r="TFD7" s="3407"/>
      <c r="TFE7" s="3407"/>
      <c r="TFF7" s="3407"/>
      <c r="TFG7" s="3407"/>
      <c r="TFH7" s="3407"/>
      <c r="TFI7" s="3407"/>
      <c r="TFJ7" s="3407"/>
      <c r="TFK7" s="3407"/>
      <c r="TFL7" s="3407"/>
      <c r="TFM7" s="3407"/>
      <c r="TFN7" s="3407"/>
      <c r="TFO7" s="3407"/>
      <c r="TFP7" s="3407"/>
      <c r="TFQ7" s="3407"/>
      <c r="TFR7" s="3407"/>
      <c r="TFS7" s="3407"/>
      <c r="TFT7" s="3407"/>
      <c r="TFU7" s="3407"/>
      <c r="TFV7" s="3407"/>
      <c r="TFW7" s="3407"/>
      <c r="TFX7" s="3407"/>
      <c r="TFY7" s="3407"/>
      <c r="TFZ7" s="3407"/>
      <c r="TGA7" s="3407"/>
      <c r="TGB7" s="3407"/>
      <c r="TGC7" s="3407"/>
      <c r="TGD7" s="3407"/>
      <c r="TGE7" s="3407"/>
      <c r="TGF7" s="3407"/>
      <c r="TGG7" s="3407"/>
      <c r="TGH7" s="3407"/>
      <c r="TGI7" s="3407"/>
      <c r="TGJ7" s="3407"/>
      <c r="TGK7" s="3407"/>
      <c r="TGL7" s="3407"/>
      <c r="TGM7" s="3407"/>
      <c r="TGN7" s="3407"/>
      <c r="TGO7" s="3407"/>
      <c r="TGP7" s="3407"/>
      <c r="TGQ7" s="3407"/>
      <c r="TGR7" s="3407"/>
      <c r="TGS7" s="3407"/>
      <c r="TGT7" s="3407"/>
      <c r="TGU7" s="3407"/>
      <c r="TGV7" s="3407"/>
      <c r="TGW7" s="3407"/>
      <c r="TGX7" s="3407"/>
      <c r="TGY7" s="3407"/>
      <c r="TGZ7" s="3407"/>
      <c r="THA7" s="3407"/>
      <c r="THB7" s="3407"/>
      <c r="THC7" s="3407"/>
      <c r="THD7" s="3407"/>
      <c r="THE7" s="3407"/>
      <c r="THF7" s="3407"/>
      <c r="THG7" s="3407"/>
      <c r="THH7" s="3407"/>
      <c r="THI7" s="3407"/>
      <c r="THJ7" s="3407"/>
      <c r="THK7" s="3407"/>
      <c r="THL7" s="3407"/>
      <c r="THM7" s="3407"/>
      <c r="THN7" s="3407"/>
      <c r="THO7" s="3407"/>
      <c r="THP7" s="3407"/>
      <c r="THQ7" s="3407"/>
      <c r="THR7" s="3407"/>
      <c r="THS7" s="3407"/>
      <c r="THT7" s="3407"/>
      <c r="THU7" s="3407"/>
      <c r="THV7" s="3407"/>
      <c r="THW7" s="3407"/>
      <c r="THX7" s="3407"/>
      <c r="THY7" s="3407"/>
      <c r="THZ7" s="3407"/>
      <c r="TIA7" s="3407"/>
      <c r="TIB7" s="3407"/>
      <c r="TIC7" s="3407"/>
      <c r="TID7" s="3407"/>
      <c r="TIE7" s="3407"/>
      <c r="TIF7" s="3407"/>
      <c r="TIG7" s="3407"/>
      <c r="TIH7" s="3407"/>
      <c r="TII7" s="3407"/>
      <c r="TIJ7" s="3407"/>
      <c r="TIK7" s="3407"/>
      <c r="TIL7" s="3407"/>
      <c r="TIM7" s="3407"/>
      <c r="TIN7" s="3407"/>
      <c r="TIO7" s="3407"/>
      <c r="TIP7" s="3407"/>
      <c r="TIQ7" s="3407"/>
      <c r="TIR7" s="3407"/>
      <c r="TIS7" s="3407"/>
      <c r="TIT7" s="3407"/>
      <c r="TIU7" s="3407"/>
      <c r="TIV7" s="3407"/>
      <c r="TIW7" s="3407"/>
      <c r="TIX7" s="3407"/>
      <c r="TIY7" s="3407"/>
      <c r="TIZ7" s="3407"/>
      <c r="TJA7" s="3407"/>
      <c r="TJB7" s="3407"/>
      <c r="TJC7" s="3407"/>
      <c r="TJD7" s="3407"/>
      <c r="TJE7" s="3407"/>
      <c r="TJF7" s="3407"/>
      <c r="TJG7" s="3407"/>
      <c r="TJH7" s="3407"/>
      <c r="TJI7" s="3407"/>
      <c r="TJJ7" s="3407"/>
      <c r="TJK7" s="3407"/>
      <c r="TJL7" s="3407"/>
      <c r="TJM7" s="3407"/>
      <c r="TJN7" s="3407"/>
      <c r="TJO7" s="3407"/>
      <c r="TJP7" s="3407"/>
      <c r="TJQ7" s="3407"/>
      <c r="TJR7" s="3407"/>
      <c r="TJS7" s="3407"/>
      <c r="TJT7" s="3407"/>
      <c r="TJU7" s="3407"/>
      <c r="TJV7" s="3407"/>
      <c r="TJW7" s="3407"/>
      <c r="TJX7" s="3407"/>
      <c r="TJY7" s="3407"/>
      <c r="TJZ7" s="3407"/>
      <c r="TKA7" s="3407"/>
      <c r="TKB7" s="3407"/>
      <c r="TKC7" s="3407"/>
      <c r="TKD7" s="3407"/>
      <c r="TKE7" s="3407"/>
      <c r="TKF7" s="3407"/>
      <c r="TKG7" s="3407"/>
      <c r="TKH7" s="3407"/>
      <c r="TKI7" s="3407"/>
      <c r="TKJ7" s="3407"/>
      <c r="TKK7" s="3407"/>
      <c r="TKL7" s="3407"/>
      <c r="TKM7" s="3407"/>
      <c r="TKN7" s="3407"/>
      <c r="TKO7" s="3407"/>
      <c r="TKP7" s="3407"/>
      <c r="TKQ7" s="3407"/>
      <c r="TKR7" s="3407"/>
      <c r="TKS7" s="3407"/>
      <c r="TKT7" s="3407"/>
      <c r="TKU7" s="3407"/>
      <c r="TKV7" s="3407"/>
      <c r="TKW7" s="3407"/>
      <c r="TKX7" s="3407"/>
      <c r="TKY7" s="3407"/>
      <c r="TKZ7" s="3407"/>
      <c r="TLA7" s="3407"/>
      <c r="TLB7" s="3407"/>
      <c r="TLC7" s="3407"/>
      <c r="TLD7" s="3407"/>
      <c r="TLE7" s="3407"/>
      <c r="TLF7" s="3407"/>
      <c r="TLG7" s="3407"/>
      <c r="TLH7" s="3407"/>
      <c r="TLI7" s="3407"/>
      <c r="TLJ7" s="3407"/>
      <c r="TLK7" s="3407"/>
      <c r="TLL7" s="3407"/>
      <c r="TLM7" s="3407"/>
      <c r="TLN7" s="3407"/>
      <c r="TLO7" s="3407"/>
      <c r="TLP7" s="3407"/>
      <c r="TLQ7" s="3407"/>
      <c r="TLR7" s="3407"/>
      <c r="TLS7" s="3407"/>
      <c r="TLT7" s="3407"/>
      <c r="TLU7" s="3407"/>
      <c r="TLV7" s="3407"/>
      <c r="TLW7" s="3407"/>
      <c r="TLX7" s="3407"/>
      <c r="TLY7" s="3407"/>
      <c r="TLZ7" s="3407"/>
      <c r="TMA7" s="3407"/>
      <c r="TMB7" s="3407"/>
      <c r="TMC7" s="3407"/>
      <c r="TMD7" s="3407"/>
      <c r="TME7" s="3407"/>
      <c r="TMF7" s="3407"/>
      <c r="TMG7" s="3407"/>
      <c r="TMH7" s="3407"/>
      <c r="TMI7" s="3407"/>
      <c r="TMJ7" s="3407"/>
      <c r="TMK7" s="3407"/>
      <c r="TML7" s="3407"/>
      <c r="TMM7" s="3407"/>
      <c r="TMN7" s="3407"/>
      <c r="TMO7" s="3407"/>
      <c r="TMP7" s="3407"/>
      <c r="TMQ7" s="3407"/>
      <c r="TMR7" s="3407"/>
      <c r="TMS7" s="3407"/>
      <c r="TMT7" s="3407"/>
      <c r="TMU7" s="3407"/>
      <c r="TMV7" s="3407"/>
      <c r="TMW7" s="3407"/>
      <c r="TMX7" s="3407"/>
      <c r="TMY7" s="3407"/>
      <c r="TMZ7" s="3407"/>
      <c r="TNA7" s="3407"/>
      <c r="TNB7" s="3407"/>
      <c r="TNC7" s="3407"/>
      <c r="TND7" s="3407"/>
      <c r="TNE7" s="3407"/>
      <c r="TNF7" s="3407"/>
      <c r="TNG7" s="3407"/>
      <c r="TNH7" s="3407"/>
      <c r="TNI7" s="3407"/>
      <c r="TNJ7" s="3407"/>
      <c r="TNK7" s="3407"/>
      <c r="TNL7" s="3407"/>
      <c r="TNM7" s="3407"/>
      <c r="TNN7" s="3407"/>
      <c r="TNO7" s="3407"/>
      <c r="TNP7" s="3407"/>
      <c r="TNQ7" s="3407"/>
      <c r="TNR7" s="3407"/>
      <c r="TNS7" s="3407"/>
      <c r="TNT7" s="3407"/>
      <c r="TNU7" s="3407"/>
      <c r="TNV7" s="3407"/>
      <c r="TNW7" s="3407"/>
      <c r="TNX7" s="3407"/>
      <c r="TNY7" s="3407"/>
      <c r="TNZ7" s="3407"/>
      <c r="TOA7" s="3407"/>
      <c r="TOB7" s="3407"/>
      <c r="TOC7" s="3407"/>
      <c r="TOD7" s="3407"/>
      <c r="TOE7" s="3407"/>
      <c r="TOF7" s="3407"/>
      <c r="TOG7" s="3407"/>
      <c r="TOH7" s="3407"/>
      <c r="TOI7" s="3407"/>
      <c r="TOJ7" s="3407"/>
      <c r="TOK7" s="3407"/>
      <c r="TOL7" s="3407"/>
      <c r="TOM7" s="3407"/>
      <c r="TON7" s="3407"/>
      <c r="TOO7" s="3407"/>
      <c r="TOP7" s="3407"/>
      <c r="TOQ7" s="3407"/>
      <c r="TOR7" s="3407"/>
      <c r="TOS7" s="3407"/>
      <c r="TOT7" s="3407"/>
      <c r="TOU7" s="3407"/>
      <c r="TOV7" s="3407"/>
      <c r="TOW7" s="3407"/>
      <c r="TOX7" s="3407"/>
      <c r="TOY7" s="3407"/>
      <c r="TOZ7" s="3407"/>
      <c r="TPA7" s="3407"/>
      <c r="TPB7" s="3407"/>
      <c r="TPC7" s="3407"/>
      <c r="TPD7" s="3407"/>
      <c r="TPE7" s="3407"/>
      <c r="TPF7" s="3407"/>
      <c r="TPG7" s="3407"/>
      <c r="TPH7" s="3407"/>
      <c r="TPI7" s="3407"/>
      <c r="TPJ7" s="3407"/>
      <c r="TPK7" s="3407"/>
      <c r="TPL7" s="3407"/>
      <c r="TPM7" s="3407"/>
      <c r="TPN7" s="3407"/>
      <c r="TPO7" s="3407"/>
      <c r="TPP7" s="3407"/>
      <c r="TPQ7" s="3407"/>
      <c r="TPR7" s="3407"/>
      <c r="TPS7" s="3407"/>
      <c r="TPT7" s="3407"/>
      <c r="TPU7" s="3407"/>
      <c r="TPV7" s="3407"/>
      <c r="TPW7" s="3407"/>
      <c r="TPX7" s="3407"/>
      <c r="TPY7" s="3407"/>
      <c r="TPZ7" s="3407"/>
      <c r="TQA7" s="3407"/>
      <c r="TQB7" s="3407"/>
      <c r="TQC7" s="3407"/>
      <c r="TQD7" s="3407"/>
      <c r="TQE7" s="3407"/>
      <c r="TQF7" s="3407"/>
      <c r="TQG7" s="3407"/>
      <c r="TQH7" s="3407"/>
      <c r="TQI7" s="3407"/>
      <c r="TQJ7" s="3407"/>
      <c r="TQK7" s="3407"/>
      <c r="TQL7" s="3407"/>
      <c r="TQM7" s="3407"/>
      <c r="TQN7" s="3407"/>
      <c r="TQO7" s="3407"/>
      <c r="TQP7" s="3407"/>
      <c r="TQQ7" s="3407"/>
      <c r="TQR7" s="3407"/>
      <c r="TQS7" s="3407"/>
      <c r="TQT7" s="3407"/>
      <c r="TQU7" s="3407"/>
      <c r="TQV7" s="3407"/>
      <c r="TQW7" s="3407"/>
      <c r="TQX7" s="3407"/>
      <c r="TQY7" s="3407"/>
      <c r="TQZ7" s="3407"/>
      <c r="TRA7" s="3407"/>
      <c r="TRB7" s="3407"/>
      <c r="TRC7" s="3407"/>
      <c r="TRD7" s="3407"/>
      <c r="TRE7" s="3407"/>
      <c r="TRF7" s="3407"/>
      <c r="TRG7" s="3407"/>
      <c r="TRH7" s="3407"/>
      <c r="TRI7" s="3407"/>
      <c r="TRJ7" s="3407"/>
      <c r="TRK7" s="3407"/>
      <c r="TRL7" s="3407"/>
      <c r="TRM7" s="3407"/>
      <c r="TRN7" s="3407"/>
      <c r="TRO7" s="3407"/>
      <c r="TRP7" s="3407"/>
      <c r="TRQ7" s="3407"/>
      <c r="TRR7" s="3407"/>
      <c r="TRS7" s="3407"/>
      <c r="TRT7" s="3407"/>
      <c r="TRU7" s="3407"/>
      <c r="TRV7" s="3407"/>
      <c r="TRW7" s="3407"/>
      <c r="TRX7" s="3407"/>
      <c r="TRY7" s="3407"/>
      <c r="TRZ7" s="3407"/>
      <c r="TSA7" s="3407"/>
      <c r="TSB7" s="3407"/>
      <c r="TSC7" s="3407"/>
      <c r="TSD7" s="3407"/>
      <c r="TSE7" s="3407"/>
      <c r="TSF7" s="3407"/>
      <c r="TSG7" s="3407"/>
      <c r="TSH7" s="3407"/>
      <c r="TSI7" s="3407"/>
      <c r="TSJ7" s="3407"/>
      <c r="TSK7" s="3407"/>
      <c r="TSL7" s="3407"/>
      <c r="TSM7" s="3407"/>
      <c r="TSN7" s="3407"/>
      <c r="TSO7" s="3407"/>
      <c r="TSP7" s="3407"/>
      <c r="TSQ7" s="3407"/>
      <c r="TSR7" s="3407"/>
      <c r="TSS7" s="3407"/>
      <c r="TST7" s="3407"/>
      <c r="TSU7" s="3407"/>
      <c r="TSV7" s="3407"/>
      <c r="TSW7" s="3407"/>
      <c r="TSX7" s="3407"/>
      <c r="TSY7" s="3407"/>
      <c r="TSZ7" s="3407"/>
      <c r="TTA7" s="3407"/>
      <c r="TTB7" s="3407"/>
      <c r="TTC7" s="3407"/>
      <c r="TTD7" s="3407"/>
      <c r="TTE7" s="3407"/>
      <c r="TTF7" s="3407"/>
      <c r="TTG7" s="3407"/>
      <c r="TTH7" s="3407"/>
      <c r="TTI7" s="3407"/>
      <c r="TTJ7" s="3407"/>
      <c r="TTK7" s="3407"/>
      <c r="TTL7" s="3407"/>
      <c r="TTM7" s="3407"/>
      <c r="TTN7" s="3407"/>
      <c r="TTO7" s="3407"/>
      <c r="TTP7" s="3407"/>
      <c r="TTQ7" s="3407"/>
      <c r="TTR7" s="3407"/>
      <c r="TTS7" s="3407"/>
      <c r="TTT7" s="3407"/>
      <c r="TTU7" s="3407"/>
      <c r="TTV7" s="3407"/>
      <c r="TTW7" s="3407"/>
      <c r="TTX7" s="3407"/>
      <c r="TTY7" s="3407"/>
      <c r="TTZ7" s="3407"/>
      <c r="TUA7" s="3407"/>
      <c r="TUB7" s="3407"/>
      <c r="TUC7" s="3407"/>
      <c r="TUD7" s="3407"/>
      <c r="TUE7" s="3407"/>
      <c r="TUF7" s="3407"/>
      <c r="TUG7" s="3407"/>
      <c r="TUH7" s="3407"/>
      <c r="TUI7" s="3407"/>
      <c r="TUJ7" s="3407"/>
      <c r="TUK7" s="3407"/>
      <c r="TUL7" s="3407"/>
      <c r="TUM7" s="3407"/>
      <c r="TUN7" s="3407"/>
      <c r="TUO7" s="3407"/>
      <c r="TUP7" s="3407"/>
      <c r="TUQ7" s="3407"/>
      <c r="TUR7" s="3407"/>
      <c r="TUS7" s="3407"/>
      <c r="TUT7" s="3407"/>
      <c r="TUU7" s="3407"/>
      <c r="TUV7" s="3407"/>
      <c r="TUW7" s="3407"/>
      <c r="TUX7" s="3407"/>
      <c r="TUY7" s="3407"/>
      <c r="TUZ7" s="3407"/>
      <c r="TVA7" s="3407"/>
      <c r="TVB7" s="3407"/>
      <c r="TVC7" s="3407"/>
      <c r="TVD7" s="3407"/>
      <c r="TVE7" s="3407"/>
      <c r="TVF7" s="3407"/>
      <c r="TVG7" s="3407"/>
      <c r="TVH7" s="3407"/>
      <c r="TVI7" s="3407"/>
      <c r="TVJ7" s="3407"/>
      <c r="TVK7" s="3407"/>
      <c r="TVL7" s="3407"/>
      <c r="TVM7" s="3407"/>
      <c r="TVN7" s="3407"/>
      <c r="TVO7" s="3407"/>
      <c r="TVP7" s="3407"/>
      <c r="TVQ7" s="3407"/>
      <c r="TVR7" s="3407"/>
      <c r="TVS7" s="3407"/>
      <c r="TVT7" s="3407"/>
      <c r="TVU7" s="3407"/>
      <c r="TVV7" s="3407"/>
      <c r="TVW7" s="3407"/>
      <c r="TVX7" s="3407"/>
      <c r="TVY7" s="3407"/>
      <c r="TVZ7" s="3407"/>
      <c r="TWA7" s="3407"/>
      <c r="TWB7" s="3407"/>
      <c r="TWC7" s="3407"/>
      <c r="TWD7" s="3407"/>
      <c r="TWE7" s="3407"/>
      <c r="TWF7" s="3407"/>
      <c r="TWG7" s="3407"/>
      <c r="TWH7" s="3407"/>
      <c r="TWI7" s="3407"/>
      <c r="TWJ7" s="3407"/>
      <c r="TWK7" s="3407"/>
      <c r="TWL7" s="3407"/>
      <c r="TWM7" s="3407"/>
      <c r="TWN7" s="3407"/>
      <c r="TWO7" s="3407"/>
      <c r="TWP7" s="3407"/>
      <c r="TWQ7" s="3407"/>
      <c r="TWR7" s="3407"/>
      <c r="TWS7" s="3407"/>
      <c r="TWT7" s="3407"/>
      <c r="TWU7" s="3407"/>
      <c r="TWV7" s="3407"/>
      <c r="TWW7" s="3407"/>
      <c r="TWX7" s="3407"/>
      <c r="TWY7" s="3407"/>
      <c r="TWZ7" s="3407"/>
      <c r="TXA7" s="3407"/>
      <c r="TXB7" s="3407"/>
      <c r="TXC7" s="3407"/>
      <c r="TXD7" s="3407"/>
      <c r="TXE7" s="3407"/>
      <c r="TXF7" s="3407"/>
      <c r="TXG7" s="3407"/>
      <c r="TXH7" s="3407"/>
      <c r="TXI7" s="3407"/>
      <c r="TXJ7" s="3407"/>
      <c r="TXK7" s="3407"/>
      <c r="TXL7" s="3407"/>
      <c r="TXM7" s="3407"/>
      <c r="TXN7" s="3407"/>
      <c r="TXO7" s="3407"/>
      <c r="TXP7" s="3407"/>
      <c r="TXQ7" s="3407"/>
      <c r="TXR7" s="3407"/>
      <c r="TXS7" s="3407"/>
      <c r="TXT7" s="3407"/>
      <c r="TXU7" s="3407"/>
      <c r="TXV7" s="3407"/>
      <c r="TXW7" s="3407"/>
      <c r="TXX7" s="3407"/>
      <c r="TXY7" s="3407"/>
      <c r="TXZ7" s="3407"/>
      <c r="TYA7" s="3407"/>
      <c r="TYB7" s="3407"/>
      <c r="TYC7" s="3407"/>
      <c r="TYD7" s="3407"/>
      <c r="TYE7" s="3407"/>
      <c r="TYF7" s="3407"/>
      <c r="TYG7" s="3407"/>
      <c r="TYH7" s="3407"/>
      <c r="TYI7" s="3407"/>
      <c r="TYJ7" s="3407"/>
      <c r="TYK7" s="3407"/>
      <c r="TYL7" s="3407"/>
      <c r="TYM7" s="3407"/>
      <c r="TYN7" s="3407"/>
      <c r="TYO7" s="3407"/>
      <c r="TYP7" s="3407"/>
      <c r="TYQ7" s="3407"/>
      <c r="TYR7" s="3407"/>
      <c r="TYS7" s="3407"/>
      <c r="TYT7" s="3407"/>
      <c r="TYU7" s="3407"/>
      <c r="TYV7" s="3407"/>
      <c r="TYW7" s="3407"/>
      <c r="TYX7" s="3407"/>
      <c r="TYY7" s="3407"/>
      <c r="TYZ7" s="3407"/>
      <c r="TZA7" s="3407"/>
      <c r="TZB7" s="3407"/>
      <c r="TZC7" s="3407"/>
      <c r="TZD7" s="3407"/>
      <c r="TZE7" s="3407"/>
      <c r="TZF7" s="3407"/>
      <c r="TZG7" s="3407"/>
      <c r="TZH7" s="3407"/>
      <c r="TZI7" s="3407"/>
      <c r="TZJ7" s="3407"/>
      <c r="TZK7" s="3407"/>
      <c r="TZL7" s="3407"/>
      <c r="TZM7" s="3407"/>
      <c r="TZN7" s="3407"/>
      <c r="TZO7" s="3407"/>
      <c r="TZP7" s="3407"/>
      <c r="TZQ7" s="3407"/>
      <c r="TZR7" s="3407"/>
      <c r="TZS7" s="3407"/>
      <c r="TZT7" s="3407"/>
      <c r="TZU7" s="3407"/>
      <c r="TZV7" s="3407"/>
      <c r="TZW7" s="3407"/>
      <c r="TZX7" s="3407"/>
      <c r="TZY7" s="3407"/>
      <c r="TZZ7" s="3407"/>
      <c r="UAA7" s="3407"/>
      <c r="UAB7" s="3407"/>
      <c r="UAC7" s="3407"/>
      <c r="UAD7" s="3407"/>
      <c r="UAE7" s="3407"/>
      <c r="UAF7" s="3407"/>
      <c r="UAG7" s="3407"/>
      <c r="UAH7" s="3407"/>
      <c r="UAI7" s="3407"/>
      <c r="UAJ7" s="3407"/>
      <c r="UAK7" s="3407"/>
      <c r="UAL7" s="3407"/>
      <c r="UAM7" s="3407"/>
      <c r="UAN7" s="3407"/>
      <c r="UAO7" s="3407"/>
      <c r="UAP7" s="3407"/>
      <c r="UAQ7" s="3407"/>
      <c r="UAR7" s="3407"/>
      <c r="UAS7" s="3407"/>
      <c r="UAT7" s="3407"/>
      <c r="UAU7" s="3407"/>
      <c r="UAV7" s="3407"/>
      <c r="UAW7" s="3407"/>
      <c r="UAX7" s="3407"/>
      <c r="UAY7" s="3407"/>
      <c r="UAZ7" s="3407"/>
      <c r="UBA7" s="3407"/>
      <c r="UBB7" s="3407"/>
      <c r="UBC7" s="3407"/>
      <c r="UBD7" s="3407"/>
      <c r="UBE7" s="3407"/>
      <c r="UBF7" s="3407"/>
      <c r="UBG7" s="3407"/>
      <c r="UBH7" s="3407"/>
      <c r="UBI7" s="3407"/>
      <c r="UBJ7" s="3407"/>
      <c r="UBK7" s="3407"/>
      <c r="UBL7" s="3407"/>
      <c r="UBM7" s="3407"/>
      <c r="UBN7" s="3407"/>
      <c r="UBO7" s="3407"/>
      <c r="UBP7" s="3407"/>
      <c r="UBQ7" s="3407"/>
      <c r="UBR7" s="3407"/>
      <c r="UBS7" s="3407"/>
      <c r="UBT7" s="3407"/>
      <c r="UBU7" s="3407"/>
      <c r="UBV7" s="3407"/>
      <c r="UBW7" s="3407"/>
      <c r="UBX7" s="3407"/>
      <c r="UBY7" s="3407"/>
      <c r="UBZ7" s="3407"/>
      <c r="UCA7" s="3407"/>
      <c r="UCB7" s="3407"/>
      <c r="UCC7" s="3407"/>
      <c r="UCD7" s="3407"/>
      <c r="UCE7" s="3407"/>
      <c r="UCF7" s="3407"/>
      <c r="UCG7" s="3407"/>
      <c r="UCH7" s="3407"/>
      <c r="UCI7" s="3407"/>
      <c r="UCJ7" s="3407"/>
      <c r="UCK7" s="3407"/>
      <c r="UCL7" s="3407"/>
      <c r="UCM7" s="3407"/>
      <c r="UCN7" s="3407"/>
      <c r="UCO7" s="3407"/>
      <c r="UCP7" s="3407"/>
      <c r="UCQ7" s="3407"/>
      <c r="UCR7" s="3407"/>
      <c r="UCS7" s="3407"/>
      <c r="UCT7" s="3407"/>
      <c r="UCU7" s="3407"/>
      <c r="UCV7" s="3407"/>
      <c r="UCW7" s="3407"/>
      <c r="UCX7" s="3407"/>
      <c r="UCY7" s="3407"/>
      <c r="UCZ7" s="3407"/>
      <c r="UDA7" s="3407"/>
      <c r="UDB7" s="3407"/>
      <c r="UDC7" s="3407"/>
      <c r="UDD7" s="3407"/>
      <c r="UDE7" s="3407"/>
      <c r="UDF7" s="3407"/>
      <c r="UDG7" s="3407"/>
      <c r="UDH7" s="3407"/>
      <c r="UDI7" s="3407"/>
      <c r="UDJ7" s="3407"/>
      <c r="UDK7" s="3407"/>
      <c r="UDL7" s="3407"/>
      <c r="UDM7" s="3407"/>
      <c r="UDN7" s="3407"/>
      <c r="UDO7" s="3407"/>
      <c r="UDP7" s="3407"/>
      <c r="UDQ7" s="3407"/>
      <c r="UDR7" s="3407"/>
      <c r="UDS7" s="3407"/>
      <c r="UDT7" s="3407"/>
      <c r="UDU7" s="3407"/>
      <c r="UDV7" s="3407"/>
      <c r="UDW7" s="3407"/>
      <c r="UDX7" s="3407"/>
      <c r="UDY7" s="3407"/>
      <c r="UDZ7" s="3407"/>
      <c r="UEA7" s="3407"/>
      <c r="UEB7" s="3407"/>
      <c r="UEC7" s="3407"/>
      <c r="UED7" s="3407"/>
      <c r="UEE7" s="3407"/>
      <c r="UEF7" s="3407"/>
      <c r="UEG7" s="3407"/>
      <c r="UEH7" s="3407"/>
      <c r="UEI7" s="3407"/>
      <c r="UEJ7" s="3407"/>
      <c r="UEK7" s="3407"/>
      <c r="UEL7" s="3407"/>
      <c r="UEM7" s="3407"/>
      <c r="UEN7" s="3407"/>
      <c r="UEO7" s="3407"/>
      <c r="UEP7" s="3407"/>
      <c r="UEQ7" s="3407"/>
      <c r="UER7" s="3407"/>
      <c r="UES7" s="3407"/>
      <c r="UET7" s="3407"/>
      <c r="UEU7" s="3407"/>
      <c r="UEV7" s="3407"/>
      <c r="UEW7" s="3407"/>
      <c r="UEX7" s="3407"/>
      <c r="UEY7" s="3407"/>
      <c r="UEZ7" s="3407"/>
      <c r="UFA7" s="3407"/>
      <c r="UFB7" s="3407"/>
      <c r="UFC7" s="3407"/>
      <c r="UFD7" s="3407"/>
      <c r="UFE7" s="3407"/>
      <c r="UFF7" s="3407"/>
      <c r="UFG7" s="3407"/>
      <c r="UFH7" s="3407"/>
      <c r="UFI7" s="3407"/>
      <c r="UFJ7" s="3407"/>
      <c r="UFK7" s="3407"/>
      <c r="UFL7" s="3407"/>
      <c r="UFM7" s="3407"/>
      <c r="UFN7" s="3407"/>
      <c r="UFO7" s="3407"/>
      <c r="UFP7" s="3407"/>
      <c r="UFQ7" s="3407"/>
      <c r="UFR7" s="3407"/>
      <c r="UFS7" s="3407"/>
      <c r="UFT7" s="3407"/>
      <c r="UFU7" s="3407"/>
      <c r="UFV7" s="3407"/>
      <c r="UFW7" s="3407"/>
      <c r="UFX7" s="3407"/>
      <c r="UFY7" s="3407"/>
      <c r="UFZ7" s="3407"/>
      <c r="UGA7" s="3407"/>
      <c r="UGB7" s="3407"/>
      <c r="UGC7" s="3407"/>
      <c r="UGD7" s="3407"/>
      <c r="UGE7" s="3407"/>
      <c r="UGF7" s="3407"/>
      <c r="UGG7" s="3407"/>
      <c r="UGH7" s="3407"/>
      <c r="UGI7" s="3407"/>
      <c r="UGJ7" s="3407"/>
      <c r="UGK7" s="3407"/>
      <c r="UGL7" s="3407"/>
      <c r="UGM7" s="3407"/>
      <c r="UGN7" s="3407"/>
      <c r="UGO7" s="3407"/>
      <c r="UGP7" s="3407"/>
      <c r="UGQ7" s="3407"/>
      <c r="UGR7" s="3407"/>
      <c r="UGS7" s="3407"/>
      <c r="UGT7" s="3407"/>
      <c r="UGU7" s="3407"/>
      <c r="UGV7" s="3407"/>
      <c r="UGW7" s="3407"/>
      <c r="UGX7" s="3407"/>
      <c r="UGY7" s="3407"/>
      <c r="UGZ7" s="3407"/>
      <c r="UHA7" s="3407"/>
      <c r="UHB7" s="3407"/>
      <c r="UHC7" s="3407"/>
      <c r="UHD7" s="3407"/>
      <c r="UHE7" s="3407"/>
      <c r="UHF7" s="3407"/>
      <c r="UHG7" s="3407"/>
      <c r="UHH7" s="3407"/>
      <c r="UHI7" s="3407"/>
      <c r="UHJ7" s="3407"/>
      <c r="UHK7" s="3407"/>
      <c r="UHL7" s="3407"/>
      <c r="UHM7" s="3407"/>
      <c r="UHN7" s="3407"/>
      <c r="UHO7" s="3407"/>
      <c r="UHP7" s="3407"/>
      <c r="UHQ7" s="3407"/>
      <c r="UHR7" s="3407"/>
      <c r="UHS7" s="3407"/>
      <c r="UHT7" s="3407"/>
      <c r="UHU7" s="3407"/>
      <c r="UHV7" s="3407"/>
      <c r="UHW7" s="3407"/>
      <c r="UHX7" s="3407"/>
      <c r="UHY7" s="3407"/>
      <c r="UHZ7" s="3407"/>
      <c r="UIA7" s="3407"/>
      <c r="UIB7" s="3407"/>
      <c r="UIC7" s="3407"/>
      <c r="UID7" s="3407"/>
      <c r="UIE7" s="3407"/>
      <c r="UIF7" s="3407"/>
      <c r="UIG7" s="3407"/>
      <c r="UIH7" s="3407"/>
      <c r="UII7" s="3407"/>
      <c r="UIJ7" s="3407"/>
      <c r="UIK7" s="3407"/>
      <c r="UIL7" s="3407"/>
      <c r="UIM7" s="3407"/>
      <c r="UIN7" s="3407"/>
      <c r="UIO7" s="3407"/>
      <c r="UIP7" s="3407"/>
      <c r="UIQ7" s="3407"/>
      <c r="UIR7" s="3407"/>
      <c r="UIS7" s="3407"/>
      <c r="UIT7" s="3407"/>
      <c r="UIU7" s="3407"/>
      <c r="UIV7" s="3407"/>
      <c r="UIW7" s="3407"/>
      <c r="UIX7" s="3407"/>
      <c r="UIY7" s="3407"/>
      <c r="UIZ7" s="3407"/>
      <c r="UJA7" s="3407"/>
      <c r="UJB7" s="3407"/>
      <c r="UJC7" s="3407"/>
      <c r="UJD7" s="3407"/>
      <c r="UJE7" s="3407"/>
      <c r="UJF7" s="3407"/>
      <c r="UJG7" s="3407"/>
      <c r="UJH7" s="3407"/>
      <c r="UJI7" s="3407"/>
      <c r="UJJ7" s="3407"/>
      <c r="UJK7" s="3407"/>
      <c r="UJL7" s="3407"/>
      <c r="UJM7" s="3407"/>
      <c r="UJN7" s="3407"/>
      <c r="UJO7" s="3407"/>
      <c r="UJP7" s="3407"/>
      <c r="UJQ7" s="3407"/>
      <c r="UJR7" s="3407"/>
      <c r="UJS7" s="3407"/>
      <c r="UJT7" s="3407"/>
      <c r="UJU7" s="3407"/>
      <c r="UJV7" s="3407"/>
      <c r="UJW7" s="3407"/>
      <c r="UJX7" s="3407"/>
      <c r="UJY7" s="3407"/>
      <c r="UJZ7" s="3407"/>
      <c r="UKA7" s="3407"/>
      <c r="UKB7" s="3407"/>
      <c r="UKC7" s="3407"/>
      <c r="UKD7" s="3407"/>
      <c r="UKE7" s="3407"/>
      <c r="UKF7" s="3407"/>
      <c r="UKG7" s="3407"/>
      <c r="UKH7" s="3407"/>
      <c r="UKI7" s="3407"/>
      <c r="UKJ7" s="3407"/>
      <c r="UKK7" s="3407"/>
      <c r="UKL7" s="3407"/>
      <c r="UKM7" s="3407"/>
      <c r="UKN7" s="3407"/>
      <c r="UKO7" s="3407"/>
      <c r="UKP7" s="3407"/>
      <c r="UKQ7" s="3407"/>
      <c r="UKR7" s="3407"/>
      <c r="UKS7" s="3407"/>
      <c r="UKT7" s="3407"/>
      <c r="UKU7" s="3407"/>
      <c r="UKV7" s="3407"/>
      <c r="UKW7" s="3407"/>
      <c r="UKX7" s="3407"/>
      <c r="UKY7" s="3407"/>
      <c r="UKZ7" s="3407"/>
      <c r="ULA7" s="3407"/>
      <c r="ULB7" s="3407"/>
      <c r="ULC7" s="3407"/>
      <c r="ULD7" s="3407"/>
      <c r="ULE7" s="3407"/>
      <c r="ULF7" s="3407"/>
      <c r="ULG7" s="3407"/>
      <c r="ULH7" s="3407"/>
      <c r="ULI7" s="3407"/>
      <c r="ULJ7" s="3407"/>
      <c r="ULK7" s="3407"/>
      <c r="ULL7" s="3407"/>
      <c r="ULM7" s="3407"/>
      <c r="ULN7" s="3407"/>
      <c r="ULO7" s="3407"/>
      <c r="ULP7" s="3407"/>
      <c r="ULQ7" s="3407"/>
      <c r="ULR7" s="3407"/>
      <c r="ULS7" s="3407"/>
      <c r="ULT7" s="3407"/>
      <c r="ULU7" s="3407"/>
      <c r="ULV7" s="3407"/>
      <c r="ULW7" s="3407"/>
      <c r="ULX7" s="3407"/>
      <c r="ULY7" s="3407"/>
      <c r="ULZ7" s="3407"/>
      <c r="UMA7" s="3407"/>
      <c r="UMB7" s="3407"/>
      <c r="UMC7" s="3407"/>
      <c r="UMD7" s="3407"/>
      <c r="UME7" s="3407"/>
      <c r="UMF7" s="3407"/>
      <c r="UMG7" s="3407"/>
      <c r="UMH7" s="3407"/>
      <c r="UMI7" s="3407"/>
      <c r="UMJ7" s="3407"/>
      <c r="UMK7" s="3407"/>
      <c r="UML7" s="3407"/>
      <c r="UMM7" s="3407"/>
      <c r="UMN7" s="3407"/>
      <c r="UMO7" s="3407"/>
      <c r="UMP7" s="3407"/>
      <c r="UMQ7" s="3407"/>
      <c r="UMR7" s="3407"/>
      <c r="UMS7" s="3407"/>
      <c r="UMT7" s="3407"/>
      <c r="UMU7" s="3407"/>
      <c r="UMV7" s="3407"/>
      <c r="UMW7" s="3407"/>
      <c r="UMX7" s="3407"/>
      <c r="UMY7" s="3407"/>
      <c r="UMZ7" s="3407"/>
      <c r="UNA7" s="3407"/>
      <c r="UNB7" s="3407"/>
      <c r="UNC7" s="3407"/>
      <c r="UND7" s="3407"/>
      <c r="UNE7" s="3407"/>
      <c r="UNF7" s="3407"/>
      <c r="UNG7" s="3407"/>
      <c r="UNH7" s="3407"/>
      <c r="UNI7" s="3407"/>
      <c r="UNJ7" s="3407"/>
      <c r="UNK7" s="3407"/>
      <c r="UNL7" s="3407"/>
      <c r="UNM7" s="3407"/>
      <c r="UNN7" s="3407"/>
      <c r="UNO7" s="3407"/>
      <c r="UNP7" s="3407"/>
      <c r="UNQ7" s="3407"/>
      <c r="UNR7" s="3407"/>
      <c r="UNS7" s="3407"/>
      <c r="UNT7" s="3407"/>
      <c r="UNU7" s="3407"/>
      <c r="UNV7" s="3407"/>
      <c r="UNW7" s="3407"/>
      <c r="UNX7" s="3407"/>
      <c r="UNY7" s="3407"/>
      <c r="UNZ7" s="3407"/>
      <c r="UOA7" s="3407"/>
      <c r="UOB7" s="3407"/>
      <c r="UOC7" s="3407"/>
      <c r="UOD7" s="3407"/>
      <c r="UOE7" s="3407"/>
      <c r="UOF7" s="3407"/>
      <c r="UOG7" s="3407"/>
      <c r="UOH7" s="3407"/>
      <c r="UOI7" s="3407"/>
      <c r="UOJ7" s="3407"/>
      <c r="UOK7" s="3407"/>
      <c r="UOL7" s="3407"/>
      <c r="UOM7" s="3407"/>
      <c r="UON7" s="3407"/>
      <c r="UOO7" s="3407"/>
      <c r="UOP7" s="3407"/>
      <c r="UOQ7" s="3407"/>
      <c r="UOR7" s="3407"/>
      <c r="UOS7" s="3407"/>
      <c r="UOT7" s="3407"/>
      <c r="UOU7" s="3407"/>
      <c r="UOV7" s="3407"/>
      <c r="UOW7" s="3407"/>
      <c r="UOX7" s="3407"/>
      <c r="UOY7" s="3407"/>
      <c r="UOZ7" s="3407"/>
      <c r="UPA7" s="3407"/>
      <c r="UPB7" s="3407"/>
      <c r="UPC7" s="3407"/>
      <c r="UPD7" s="3407"/>
      <c r="UPE7" s="3407"/>
      <c r="UPF7" s="3407"/>
      <c r="UPG7" s="3407"/>
      <c r="UPH7" s="3407"/>
      <c r="UPI7" s="3407"/>
      <c r="UPJ7" s="3407"/>
      <c r="UPK7" s="3407"/>
      <c r="UPL7" s="3407"/>
      <c r="UPM7" s="3407"/>
      <c r="UPN7" s="3407"/>
      <c r="UPO7" s="3407"/>
      <c r="UPP7" s="3407"/>
      <c r="UPQ7" s="3407"/>
      <c r="UPR7" s="3407"/>
      <c r="UPS7" s="3407"/>
      <c r="UPT7" s="3407"/>
      <c r="UPU7" s="3407"/>
      <c r="UPV7" s="3407"/>
      <c r="UPW7" s="3407"/>
      <c r="UPX7" s="3407"/>
      <c r="UPY7" s="3407"/>
      <c r="UPZ7" s="3407"/>
      <c r="UQA7" s="3407"/>
      <c r="UQB7" s="3407"/>
      <c r="UQC7" s="3407"/>
      <c r="UQD7" s="3407"/>
      <c r="UQE7" s="3407"/>
      <c r="UQF7" s="3407"/>
      <c r="UQG7" s="3407"/>
      <c r="UQH7" s="3407"/>
      <c r="UQI7" s="3407"/>
      <c r="UQJ7" s="3407"/>
      <c r="UQK7" s="3407"/>
      <c r="UQL7" s="3407"/>
      <c r="UQM7" s="3407"/>
      <c r="UQN7" s="3407"/>
      <c r="UQO7" s="3407"/>
      <c r="UQP7" s="3407"/>
      <c r="UQQ7" s="3407"/>
      <c r="UQR7" s="3407"/>
      <c r="UQS7" s="3407"/>
      <c r="UQT7" s="3407"/>
      <c r="UQU7" s="3407"/>
      <c r="UQV7" s="3407"/>
      <c r="UQW7" s="3407"/>
      <c r="UQX7" s="3407"/>
      <c r="UQY7" s="3407"/>
      <c r="UQZ7" s="3407"/>
      <c r="URA7" s="3407"/>
      <c r="URB7" s="3407"/>
      <c r="URC7" s="3407"/>
      <c r="URD7" s="3407"/>
      <c r="URE7" s="3407"/>
      <c r="URF7" s="3407"/>
      <c r="URG7" s="3407"/>
      <c r="URH7" s="3407"/>
      <c r="URI7" s="3407"/>
      <c r="URJ7" s="3407"/>
      <c r="URK7" s="3407"/>
      <c r="URL7" s="3407"/>
      <c r="URM7" s="3407"/>
      <c r="URN7" s="3407"/>
      <c r="URO7" s="3407"/>
      <c r="URP7" s="3407"/>
      <c r="URQ7" s="3407"/>
      <c r="URR7" s="3407"/>
      <c r="URS7" s="3407"/>
      <c r="URT7" s="3407"/>
      <c r="URU7" s="3407"/>
      <c r="URV7" s="3407"/>
      <c r="URW7" s="3407"/>
      <c r="URX7" s="3407"/>
      <c r="URY7" s="3407"/>
      <c r="URZ7" s="3407"/>
      <c r="USA7" s="3407"/>
      <c r="USB7" s="3407"/>
      <c r="USC7" s="3407"/>
      <c r="USD7" s="3407"/>
      <c r="USE7" s="3407"/>
      <c r="USF7" s="3407"/>
      <c r="USG7" s="3407"/>
      <c r="USH7" s="3407"/>
      <c r="USI7" s="3407"/>
      <c r="USJ7" s="3407"/>
      <c r="USK7" s="3407"/>
      <c r="USL7" s="3407"/>
      <c r="USM7" s="3407"/>
      <c r="USN7" s="3407"/>
      <c r="USO7" s="3407"/>
      <c r="USP7" s="3407"/>
      <c r="USQ7" s="3407"/>
      <c r="USR7" s="3407"/>
      <c r="USS7" s="3407"/>
      <c r="UST7" s="3407"/>
      <c r="USU7" s="3407"/>
      <c r="USV7" s="3407"/>
      <c r="USW7" s="3407"/>
      <c r="USX7" s="3407"/>
      <c r="USY7" s="3407"/>
      <c r="USZ7" s="3407"/>
      <c r="UTA7" s="3407"/>
      <c r="UTB7" s="3407"/>
      <c r="UTC7" s="3407"/>
      <c r="UTD7" s="3407"/>
      <c r="UTE7" s="3407"/>
      <c r="UTF7" s="3407"/>
      <c r="UTG7" s="3407"/>
      <c r="UTH7" s="3407"/>
      <c r="UTI7" s="3407"/>
      <c r="UTJ7" s="3407"/>
      <c r="UTK7" s="3407"/>
      <c r="UTL7" s="3407"/>
      <c r="UTM7" s="3407"/>
      <c r="UTN7" s="3407"/>
      <c r="UTO7" s="3407"/>
      <c r="UTP7" s="3407"/>
      <c r="UTQ7" s="3407"/>
      <c r="UTR7" s="3407"/>
      <c r="UTS7" s="3407"/>
      <c r="UTT7" s="3407"/>
      <c r="UTU7" s="3407"/>
      <c r="UTV7" s="3407"/>
      <c r="UTW7" s="3407"/>
      <c r="UTX7" s="3407"/>
      <c r="UTY7" s="3407"/>
      <c r="UTZ7" s="3407"/>
      <c r="UUA7" s="3407"/>
      <c r="UUB7" s="3407"/>
      <c r="UUC7" s="3407"/>
      <c r="UUD7" s="3407"/>
      <c r="UUE7" s="3407"/>
      <c r="UUF7" s="3407"/>
      <c r="UUG7" s="3407"/>
      <c r="UUH7" s="3407"/>
      <c r="UUI7" s="3407"/>
      <c r="UUJ7" s="3407"/>
      <c r="UUK7" s="3407"/>
      <c r="UUL7" s="3407"/>
      <c r="UUM7" s="3407"/>
      <c r="UUN7" s="3407"/>
      <c r="UUO7" s="3407"/>
      <c r="UUP7" s="3407"/>
      <c r="UUQ7" s="3407"/>
      <c r="UUR7" s="3407"/>
      <c r="UUS7" s="3407"/>
      <c r="UUT7" s="3407"/>
      <c r="UUU7" s="3407"/>
      <c r="UUV7" s="3407"/>
      <c r="UUW7" s="3407"/>
      <c r="UUX7" s="3407"/>
      <c r="UUY7" s="3407"/>
      <c r="UUZ7" s="3407"/>
      <c r="UVA7" s="3407"/>
      <c r="UVB7" s="3407"/>
      <c r="UVC7" s="3407"/>
      <c r="UVD7" s="3407"/>
      <c r="UVE7" s="3407"/>
      <c r="UVF7" s="3407"/>
      <c r="UVG7" s="3407"/>
      <c r="UVH7" s="3407"/>
      <c r="UVI7" s="3407"/>
      <c r="UVJ7" s="3407"/>
      <c r="UVK7" s="3407"/>
      <c r="UVL7" s="3407"/>
      <c r="UVM7" s="3407"/>
      <c r="UVN7" s="3407"/>
      <c r="UVO7" s="3407"/>
      <c r="UVP7" s="3407"/>
      <c r="UVQ7" s="3407"/>
      <c r="UVR7" s="3407"/>
      <c r="UVS7" s="3407"/>
      <c r="UVT7" s="3407"/>
      <c r="UVU7" s="3407"/>
      <c r="UVV7" s="3407"/>
      <c r="UVW7" s="3407"/>
      <c r="UVX7" s="3407"/>
      <c r="UVY7" s="3407"/>
      <c r="UVZ7" s="3407"/>
      <c r="UWA7" s="3407"/>
      <c r="UWB7" s="3407"/>
      <c r="UWC7" s="3407"/>
      <c r="UWD7" s="3407"/>
      <c r="UWE7" s="3407"/>
      <c r="UWF7" s="3407"/>
      <c r="UWG7" s="3407"/>
      <c r="UWH7" s="3407"/>
      <c r="UWI7" s="3407"/>
      <c r="UWJ7" s="3407"/>
      <c r="UWK7" s="3407"/>
      <c r="UWL7" s="3407"/>
      <c r="UWM7" s="3407"/>
      <c r="UWN7" s="3407"/>
      <c r="UWO7" s="3407"/>
      <c r="UWP7" s="3407"/>
      <c r="UWQ7" s="3407"/>
      <c r="UWR7" s="3407"/>
      <c r="UWS7" s="3407"/>
      <c r="UWT7" s="3407"/>
      <c r="UWU7" s="3407"/>
      <c r="UWV7" s="3407"/>
      <c r="UWW7" s="3407"/>
      <c r="UWX7" s="3407"/>
      <c r="UWY7" s="3407"/>
      <c r="UWZ7" s="3407"/>
      <c r="UXA7" s="3407"/>
      <c r="UXB7" s="3407"/>
      <c r="UXC7" s="3407"/>
      <c r="UXD7" s="3407"/>
      <c r="UXE7" s="3407"/>
      <c r="UXF7" s="3407"/>
      <c r="UXG7" s="3407"/>
      <c r="UXH7" s="3407"/>
      <c r="UXI7" s="3407"/>
      <c r="UXJ7" s="3407"/>
      <c r="UXK7" s="3407"/>
      <c r="UXL7" s="3407"/>
      <c r="UXM7" s="3407"/>
      <c r="UXN7" s="3407"/>
      <c r="UXO7" s="3407"/>
      <c r="UXP7" s="3407"/>
      <c r="UXQ7" s="3407"/>
      <c r="UXR7" s="3407"/>
      <c r="UXS7" s="3407"/>
      <c r="UXT7" s="3407"/>
      <c r="UXU7" s="3407"/>
      <c r="UXV7" s="3407"/>
      <c r="UXW7" s="3407"/>
      <c r="UXX7" s="3407"/>
      <c r="UXY7" s="3407"/>
      <c r="UXZ7" s="3407"/>
      <c r="UYA7" s="3407"/>
      <c r="UYB7" s="3407"/>
      <c r="UYC7" s="3407"/>
      <c r="UYD7" s="3407"/>
      <c r="UYE7" s="3407"/>
      <c r="UYF7" s="3407"/>
      <c r="UYG7" s="3407"/>
      <c r="UYH7" s="3407"/>
      <c r="UYI7" s="3407"/>
      <c r="UYJ7" s="3407"/>
      <c r="UYK7" s="3407"/>
      <c r="UYL7" s="3407"/>
      <c r="UYM7" s="3407"/>
      <c r="UYN7" s="3407"/>
      <c r="UYO7" s="3407"/>
      <c r="UYP7" s="3407"/>
      <c r="UYQ7" s="3407"/>
      <c r="UYR7" s="3407"/>
      <c r="UYS7" s="3407"/>
      <c r="UYT7" s="3407"/>
      <c r="UYU7" s="3407"/>
      <c r="UYV7" s="3407"/>
      <c r="UYW7" s="3407"/>
      <c r="UYX7" s="3407"/>
      <c r="UYY7" s="3407"/>
      <c r="UYZ7" s="3407"/>
      <c r="UZA7" s="3407"/>
      <c r="UZB7" s="3407"/>
      <c r="UZC7" s="3407"/>
      <c r="UZD7" s="3407"/>
      <c r="UZE7" s="3407"/>
      <c r="UZF7" s="3407"/>
      <c r="UZG7" s="3407"/>
      <c r="UZH7" s="3407"/>
      <c r="UZI7" s="3407"/>
      <c r="UZJ7" s="3407"/>
      <c r="UZK7" s="3407"/>
      <c r="UZL7" s="3407"/>
      <c r="UZM7" s="3407"/>
      <c r="UZN7" s="3407"/>
      <c r="UZO7" s="3407"/>
      <c r="UZP7" s="3407"/>
      <c r="UZQ7" s="3407"/>
      <c r="UZR7" s="3407"/>
      <c r="UZS7" s="3407"/>
      <c r="UZT7" s="3407"/>
      <c r="UZU7" s="3407"/>
      <c r="UZV7" s="3407"/>
      <c r="UZW7" s="3407"/>
      <c r="UZX7" s="3407"/>
      <c r="UZY7" s="3407"/>
      <c r="UZZ7" s="3407"/>
      <c r="VAA7" s="3407"/>
      <c r="VAB7" s="3407"/>
      <c r="VAC7" s="3407"/>
      <c r="VAD7" s="3407"/>
      <c r="VAE7" s="3407"/>
      <c r="VAF7" s="3407"/>
      <c r="VAG7" s="3407"/>
      <c r="VAH7" s="3407"/>
      <c r="VAI7" s="3407"/>
      <c r="VAJ7" s="3407"/>
      <c r="VAK7" s="3407"/>
      <c r="VAL7" s="3407"/>
      <c r="VAM7" s="3407"/>
      <c r="VAN7" s="3407"/>
      <c r="VAO7" s="3407"/>
      <c r="VAP7" s="3407"/>
      <c r="VAQ7" s="3407"/>
      <c r="VAR7" s="3407"/>
      <c r="VAS7" s="3407"/>
      <c r="VAT7" s="3407"/>
      <c r="VAU7" s="3407"/>
      <c r="VAV7" s="3407"/>
      <c r="VAW7" s="3407"/>
      <c r="VAX7" s="3407"/>
      <c r="VAY7" s="3407"/>
      <c r="VAZ7" s="3407"/>
      <c r="VBA7" s="3407"/>
      <c r="VBB7" s="3407"/>
      <c r="VBC7" s="3407"/>
      <c r="VBD7" s="3407"/>
      <c r="VBE7" s="3407"/>
      <c r="VBF7" s="3407"/>
      <c r="VBG7" s="3407"/>
      <c r="VBH7" s="3407"/>
      <c r="VBI7" s="3407"/>
      <c r="VBJ7" s="3407"/>
      <c r="VBK7" s="3407"/>
      <c r="VBL7" s="3407"/>
      <c r="VBM7" s="3407"/>
      <c r="VBN7" s="3407"/>
      <c r="VBO7" s="3407"/>
      <c r="VBP7" s="3407"/>
      <c r="VBQ7" s="3407"/>
      <c r="VBR7" s="3407"/>
      <c r="VBS7" s="3407"/>
      <c r="VBT7" s="3407"/>
      <c r="VBU7" s="3407"/>
      <c r="VBV7" s="3407"/>
      <c r="VBW7" s="3407"/>
      <c r="VBX7" s="3407"/>
      <c r="VBY7" s="3407"/>
      <c r="VBZ7" s="3407"/>
      <c r="VCA7" s="3407"/>
      <c r="VCB7" s="3407"/>
      <c r="VCC7" s="3407"/>
      <c r="VCD7" s="3407"/>
      <c r="VCE7" s="3407"/>
      <c r="VCF7" s="3407"/>
      <c r="VCG7" s="3407"/>
      <c r="VCH7" s="3407"/>
      <c r="VCI7" s="3407"/>
      <c r="VCJ7" s="3407"/>
      <c r="VCK7" s="3407"/>
      <c r="VCL7" s="3407"/>
      <c r="VCM7" s="3407"/>
      <c r="VCN7" s="3407"/>
      <c r="VCO7" s="3407"/>
      <c r="VCP7" s="3407"/>
      <c r="VCQ7" s="3407"/>
      <c r="VCR7" s="3407"/>
      <c r="VCS7" s="3407"/>
      <c r="VCT7" s="3407"/>
      <c r="VCU7" s="3407"/>
      <c r="VCV7" s="3407"/>
      <c r="VCW7" s="3407"/>
      <c r="VCX7" s="3407"/>
      <c r="VCY7" s="3407"/>
      <c r="VCZ7" s="3407"/>
      <c r="VDA7" s="3407"/>
      <c r="VDB7" s="3407"/>
      <c r="VDC7" s="3407"/>
      <c r="VDD7" s="3407"/>
      <c r="VDE7" s="3407"/>
      <c r="VDF7" s="3407"/>
      <c r="VDG7" s="3407"/>
      <c r="VDH7" s="3407"/>
      <c r="VDI7" s="3407"/>
      <c r="VDJ7" s="3407"/>
      <c r="VDK7" s="3407"/>
      <c r="VDL7" s="3407"/>
      <c r="VDM7" s="3407"/>
      <c r="VDN7" s="3407"/>
      <c r="VDO7" s="3407"/>
      <c r="VDP7" s="3407"/>
      <c r="VDQ7" s="3407"/>
      <c r="VDR7" s="3407"/>
      <c r="VDS7" s="3407"/>
      <c r="VDT7" s="3407"/>
      <c r="VDU7" s="3407"/>
      <c r="VDV7" s="3407"/>
      <c r="VDW7" s="3407"/>
      <c r="VDX7" s="3407"/>
      <c r="VDY7" s="3407"/>
      <c r="VDZ7" s="3407"/>
      <c r="VEA7" s="3407"/>
      <c r="VEB7" s="3407"/>
      <c r="VEC7" s="3407"/>
      <c r="VED7" s="3407"/>
      <c r="VEE7" s="3407"/>
      <c r="VEF7" s="3407"/>
      <c r="VEG7" s="3407"/>
      <c r="VEH7" s="3407"/>
      <c r="VEI7" s="3407"/>
      <c r="VEJ7" s="3407"/>
      <c r="VEK7" s="3407"/>
      <c r="VEL7" s="3407"/>
      <c r="VEM7" s="3407"/>
      <c r="VEN7" s="3407"/>
      <c r="VEO7" s="3407"/>
      <c r="VEP7" s="3407"/>
      <c r="VEQ7" s="3407"/>
      <c r="VER7" s="3407"/>
      <c r="VES7" s="3407"/>
      <c r="VET7" s="3407"/>
      <c r="VEU7" s="3407"/>
      <c r="VEV7" s="3407"/>
      <c r="VEW7" s="3407"/>
      <c r="VEX7" s="3407"/>
      <c r="VEY7" s="3407"/>
      <c r="VEZ7" s="3407"/>
      <c r="VFA7" s="3407"/>
      <c r="VFB7" s="3407"/>
      <c r="VFC7" s="3407"/>
      <c r="VFD7" s="3407"/>
      <c r="VFE7" s="3407"/>
      <c r="VFF7" s="3407"/>
      <c r="VFG7" s="3407"/>
      <c r="VFH7" s="3407"/>
      <c r="VFI7" s="3407"/>
      <c r="VFJ7" s="3407"/>
      <c r="VFK7" s="3407"/>
      <c r="VFL7" s="3407"/>
      <c r="VFM7" s="3407"/>
      <c r="VFN7" s="3407"/>
      <c r="VFO7" s="3407"/>
      <c r="VFP7" s="3407"/>
      <c r="VFQ7" s="3407"/>
      <c r="VFR7" s="3407"/>
      <c r="VFS7" s="3407"/>
      <c r="VFT7" s="3407"/>
      <c r="VFU7" s="3407"/>
      <c r="VFV7" s="3407"/>
      <c r="VFW7" s="3407"/>
      <c r="VFX7" s="3407"/>
      <c r="VFY7" s="3407"/>
      <c r="VFZ7" s="3407"/>
      <c r="VGA7" s="3407"/>
      <c r="VGB7" s="3407"/>
      <c r="VGC7" s="3407"/>
      <c r="VGD7" s="3407"/>
      <c r="VGE7" s="3407"/>
      <c r="VGF7" s="3407"/>
      <c r="VGG7" s="3407"/>
      <c r="VGH7" s="3407"/>
      <c r="VGI7" s="3407"/>
      <c r="VGJ7" s="3407"/>
      <c r="VGK7" s="3407"/>
      <c r="VGL7" s="3407"/>
      <c r="VGM7" s="3407"/>
      <c r="VGN7" s="3407"/>
      <c r="VGO7" s="3407"/>
      <c r="VGP7" s="3407"/>
      <c r="VGQ7" s="3407"/>
      <c r="VGR7" s="3407"/>
      <c r="VGS7" s="3407"/>
      <c r="VGT7" s="3407"/>
      <c r="VGU7" s="3407"/>
      <c r="VGV7" s="3407"/>
      <c r="VGW7" s="3407"/>
      <c r="VGX7" s="3407"/>
      <c r="VGY7" s="3407"/>
      <c r="VGZ7" s="3407"/>
      <c r="VHA7" s="3407"/>
      <c r="VHB7" s="3407"/>
      <c r="VHC7" s="3407"/>
      <c r="VHD7" s="3407"/>
      <c r="VHE7" s="3407"/>
      <c r="VHF7" s="3407"/>
      <c r="VHG7" s="3407"/>
      <c r="VHH7" s="3407"/>
      <c r="VHI7" s="3407"/>
      <c r="VHJ7" s="3407"/>
      <c r="VHK7" s="3407"/>
      <c r="VHL7" s="3407"/>
      <c r="VHM7" s="3407"/>
      <c r="VHN7" s="3407"/>
      <c r="VHO7" s="3407"/>
      <c r="VHP7" s="3407"/>
      <c r="VHQ7" s="3407"/>
      <c r="VHR7" s="3407"/>
      <c r="VHS7" s="3407"/>
      <c r="VHT7" s="3407"/>
      <c r="VHU7" s="3407"/>
      <c r="VHV7" s="3407"/>
      <c r="VHW7" s="3407"/>
      <c r="VHX7" s="3407"/>
      <c r="VHY7" s="3407"/>
      <c r="VHZ7" s="3407"/>
      <c r="VIA7" s="3407"/>
      <c r="VIB7" s="3407"/>
      <c r="VIC7" s="3407"/>
      <c r="VID7" s="3407"/>
      <c r="VIE7" s="3407"/>
      <c r="VIF7" s="3407"/>
      <c r="VIG7" s="3407"/>
      <c r="VIH7" s="3407"/>
      <c r="VII7" s="3407"/>
      <c r="VIJ7" s="3407"/>
      <c r="VIK7" s="3407"/>
      <c r="VIL7" s="3407"/>
      <c r="VIM7" s="3407"/>
      <c r="VIN7" s="3407"/>
      <c r="VIO7" s="3407"/>
      <c r="VIP7" s="3407"/>
      <c r="VIQ7" s="3407"/>
      <c r="VIR7" s="3407"/>
      <c r="VIS7" s="3407"/>
      <c r="VIT7" s="3407"/>
      <c r="VIU7" s="3407"/>
      <c r="VIV7" s="3407"/>
      <c r="VIW7" s="3407"/>
      <c r="VIX7" s="3407"/>
      <c r="VIY7" s="3407"/>
      <c r="VIZ7" s="3407"/>
      <c r="VJA7" s="3407"/>
      <c r="VJB7" s="3407"/>
      <c r="VJC7" s="3407"/>
      <c r="VJD7" s="3407"/>
      <c r="VJE7" s="3407"/>
      <c r="VJF7" s="3407"/>
      <c r="VJG7" s="3407"/>
      <c r="VJH7" s="3407"/>
      <c r="VJI7" s="3407"/>
      <c r="VJJ7" s="3407"/>
      <c r="VJK7" s="3407"/>
      <c r="VJL7" s="3407"/>
      <c r="VJM7" s="3407"/>
      <c r="VJN7" s="3407"/>
      <c r="VJO7" s="3407"/>
      <c r="VJP7" s="3407"/>
      <c r="VJQ7" s="3407"/>
      <c r="VJR7" s="3407"/>
      <c r="VJS7" s="3407"/>
      <c r="VJT7" s="3407"/>
      <c r="VJU7" s="3407"/>
      <c r="VJV7" s="3407"/>
      <c r="VJW7" s="3407"/>
      <c r="VJX7" s="3407"/>
      <c r="VJY7" s="3407"/>
      <c r="VJZ7" s="3407"/>
      <c r="VKA7" s="3407"/>
      <c r="VKB7" s="3407"/>
      <c r="VKC7" s="3407"/>
      <c r="VKD7" s="3407"/>
      <c r="VKE7" s="3407"/>
      <c r="VKF7" s="3407"/>
      <c r="VKG7" s="3407"/>
      <c r="VKH7" s="3407"/>
      <c r="VKI7" s="3407"/>
      <c r="VKJ7" s="3407"/>
      <c r="VKK7" s="3407"/>
      <c r="VKL7" s="3407"/>
      <c r="VKM7" s="3407"/>
      <c r="VKN7" s="3407"/>
      <c r="VKO7" s="3407"/>
      <c r="VKP7" s="3407"/>
      <c r="VKQ7" s="3407"/>
      <c r="VKR7" s="3407"/>
      <c r="VKS7" s="3407"/>
      <c r="VKT7" s="3407"/>
      <c r="VKU7" s="3407"/>
      <c r="VKV7" s="3407"/>
      <c r="VKW7" s="3407"/>
      <c r="VKX7" s="3407"/>
      <c r="VKY7" s="3407"/>
      <c r="VKZ7" s="3407"/>
      <c r="VLA7" s="3407"/>
      <c r="VLB7" s="3407"/>
      <c r="VLC7" s="3407"/>
      <c r="VLD7" s="3407"/>
      <c r="VLE7" s="3407"/>
      <c r="VLF7" s="3407"/>
      <c r="VLG7" s="3407"/>
      <c r="VLH7" s="3407"/>
      <c r="VLI7" s="3407"/>
      <c r="VLJ7" s="3407"/>
      <c r="VLK7" s="3407"/>
      <c r="VLL7" s="3407"/>
      <c r="VLM7" s="3407"/>
      <c r="VLN7" s="3407"/>
      <c r="VLO7" s="3407"/>
      <c r="VLP7" s="3407"/>
      <c r="VLQ7" s="3407"/>
      <c r="VLR7" s="3407"/>
      <c r="VLS7" s="3407"/>
      <c r="VLT7" s="3407"/>
      <c r="VLU7" s="3407"/>
      <c r="VLV7" s="3407"/>
      <c r="VLW7" s="3407"/>
      <c r="VLX7" s="3407"/>
      <c r="VLY7" s="3407"/>
      <c r="VLZ7" s="3407"/>
      <c r="VMA7" s="3407"/>
      <c r="VMB7" s="3407"/>
      <c r="VMC7" s="3407"/>
      <c r="VMD7" s="3407"/>
      <c r="VME7" s="3407"/>
      <c r="VMF7" s="3407"/>
      <c r="VMG7" s="3407"/>
      <c r="VMH7" s="3407"/>
      <c r="VMI7" s="3407"/>
      <c r="VMJ7" s="3407"/>
      <c r="VMK7" s="3407"/>
      <c r="VML7" s="3407"/>
      <c r="VMM7" s="3407"/>
      <c r="VMN7" s="3407"/>
      <c r="VMO7" s="3407"/>
      <c r="VMP7" s="3407"/>
      <c r="VMQ7" s="3407"/>
      <c r="VMR7" s="3407"/>
      <c r="VMS7" s="3407"/>
      <c r="VMT7" s="3407"/>
      <c r="VMU7" s="3407"/>
      <c r="VMV7" s="3407"/>
      <c r="VMW7" s="3407"/>
      <c r="VMX7" s="3407"/>
      <c r="VMY7" s="3407"/>
      <c r="VMZ7" s="3407"/>
      <c r="VNA7" s="3407"/>
      <c r="VNB7" s="3407"/>
      <c r="VNC7" s="3407"/>
      <c r="VND7" s="3407"/>
      <c r="VNE7" s="3407"/>
      <c r="VNF7" s="3407"/>
      <c r="VNG7" s="3407"/>
      <c r="VNH7" s="3407"/>
      <c r="VNI7" s="3407"/>
      <c r="VNJ7" s="3407"/>
      <c r="VNK7" s="3407"/>
      <c r="VNL7" s="3407"/>
      <c r="VNM7" s="3407"/>
      <c r="VNN7" s="3407"/>
      <c r="VNO7" s="3407"/>
      <c r="VNP7" s="3407"/>
      <c r="VNQ7" s="3407"/>
      <c r="VNR7" s="3407"/>
      <c r="VNS7" s="3407"/>
      <c r="VNT7" s="3407"/>
      <c r="VNU7" s="3407"/>
      <c r="VNV7" s="3407"/>
      <c r="VNW7" s="3407"/>
      <c r="VNX7" s="3407"/>
      <c r="VNY7" s="3407"/>
      <c r="VNZ7" s="3407"/>
      <c r="VOA7" s="3407"/>
      <c r="VOB7" s="3407"/>
      <c r="VOC7" s="3407"/>
      <c r="VOD7" s="3407"/>
      <c r="VOE7" s="3407"/>
      <c r="VOF7" s="3407"/>
      <c r="VOG7" s="3407"/>
      <c r="VOH7" s="3407"/>
      <c r="VOI7" s="3407"/>
      <c r="VOJ7" s="3407"/>
      <c r="VOK7" s="3407"/>
      <c r="VOL7" s="3407"/>
      <c r="VOM7" s="3407"/>
      <c r="VON7" s="3407"/>
      <c r="VOO7" s="3407"/>
      <c r="VOP7" s="3407"/>
      <c r="VOQ7" s="3407"/>
      <c r="VOR7" s="3407"/>
      <c r="VOS7" s="3407"/>
      <c r="VOT7" s="3407"/>
      <c r="VOU7" s="3407"/>
      <c r="VOV7" s="3407"/>
      <c r="VOW7" s="3407"/>
      <c r="VOX7" s="3407"/>
      <c r="VOY7" s="3407"/>
      <c r="VOZ7" s="3407"/>
      <c r="VPA7" s="3407"/>
      <c r="VPB7" s="3407"/>
      <c r="VPC7" s="3407"/>
      <c r="VPD7" s="3407"/>
      <c r="VPE7" s="3407"/>
      <c r="VPF7" s="3407"/>
      <c r="VPG7" s="3407"/>
      <c r="VPH7" s="3407"/>
      <c r="VPI7" s="3407"/>
      <c r="VPJ7" s="3407"/>
      <c r="VPK7" s="3407"/>
      <c r="VPL7" s="3407"/>
      <c r="VPM7" s="3407"/>
      <c r="VPN7" s="3407"/>
      <c r="VPO7" s="3407"/>
      <c r="VPP7" s="3407"/>
      <c r="VPQ7" s="3407"/>
      <c r="VPR7" s="3407"/>
      <c r="VPS7" s="3407"/>
      <c r="VPT7" s="3407"/>
      <c r="VPU7" s="3407"/>
      <c r="VPV7" s="3407"/>
      <c r="VPW7" s="3407"/>
      <c r="VPX7" s="3407"/>
      <c r="VPY7" s="3407"/>
      <c r="VPZ7" s="3407"/>
      <c r="VQA7" s="3407"/>
      <c r="VQB7" s="3407"/>
      <c r="VQC7" s="3407"/>
      <c r="VQD7" s="3407"/>
      <c r="VQE7" s="3407"/>
      <c r="VQF7" s="3407"/>
      <c r="VQG7" s="3407"/>
      <c r="VQH7" s="3407"/>
      <c r="VQI7" s="3407"/>
      <c r="VQJ7" s="3407"/>
      <c r="VQK7" s="3407"/>
      <c r="VQL7" s="3407"/>
      <c r="VQM7" s="3407"/>
      <c r="VQN7" s="3407"/>
      <c r="VQO7" s="3407"/>
      <c r="VQP7" s="3407"/>
      <c r="VQQ7" s="3407"/>
      <c r="VQR7" s="3407"/>
      <c r="VQS7" s="3407"/>
      <c r="VQT7" s="3407"/>
      <c r="VQU7" s="3407"/>
      <c r="VQV7" s="3407"/>
      <c r="VQW7" s="3407"/>
      <c r="VQX7" s="3407"/>
      <c r="VQY7" s="3407"/>
      <c r="VQZ7" s="3407"/>
      <c r="VRA7" s="3407"/>
      <c r="VRB7" s="3407"/>
      <c r="VRC7" s="3407"/>
      <c r="VRD7" s="3407"/>
      <c r="VRE7" s="3407"/>
      <c r="VRF7" s="3407"/>
      <c r="VRG7" s="3407"/>
      <c r="VRH7" s="3407"/>
      <c r="VRI7" s="3407"/>
      <c r="VRJ7" s="3407"/>
      <c r="VRK7" s="3407"/>
      <c r="VRL7" s="3407"/>
      <c r="VRM7" s="3407"/>
      <c r="VRN7" s="3407"/>
      <c r="VRO7" s="3407"/>
      <c r="VRP7" s="3407"/>
      <c r="VRQ7" s="3407"/>
      <c r="VRR7" s="3407"/>
      <c r="VRS7" s="3407"/>
      <c r="VRT7" s="3407"/>
      <c r="VRU7" s="3407"/>
      <c r="VRV7" s="3407"/>
      <c r="VRW7" s="3407"/>
      <c r="VRX7" s="3407"/>
      <c r="VRY7" s="3407"/>
      <c r="VRZ7" s="3407"/>
      <c r="VSA7" s="3407"/>
      <c r="VSB7" s="3407"/>
      <c r="VSC7" s="3407"/>
      <c r="VSD7" s="3407"/>
      <c r="VSE7" s="3407"/>
      <c r="VSF7" s="3407"/>
      <c r="VSG7" s="3407"/>
      <c r="VSH7" s="3407"/>
      <c r="VSI7" s="3407"/>
      <c r="VSJ7" s="3407"/>
      <c r="VSK7" s="3407"/>
      <c r="VSL7" s="3407"/>
      <c r="VSM7" s="3407"/>
      <c r="VSN7" s="3407"/>
      <c r="VSO7" s="3407"/>
      <c r="VSP7" s="3407"/>
      <c r="VSQ7" s="3407"/>
      <c r="VSR7" s="3407"/>
      <c r="VSS7" s="3407"/>
      <c r="VST7" s="3407"/>
      <c r="VSU7" s="3407"/>
      <c r="VSV7" s="3407"/>
      <c r="VSW7" s="3407"/>
      <c r="VSX7" s="3407"/>
      <c r="VSY7" s="3407"/>
      <c r="VSZ7" s="3407"/>
      <c r="VTA7" s="3407"/>
      <c r="VTB7" s="3407"/>
      <c r="VTC7" s="3407"/>
      <c r="VTD7" s="3407"/>
      <c r="VTE7" s="3407"/>
      <c r="VTF7" s="3407"/>
      <c r="VTG7" s="3407"/>
      <c r="VTH7" s="3407"/>
      <c r="VTI7" s="3407"/>
      <c r="VTJ7" s="3407"/>
      <c r="VTK7" s="3407"/>
      <c r="VTL7" s="3407"/>
      <c r="VTM7" s="3407"/>
      <c r="VTN7" s="3407"/>
      <c r="VTO7" s="3407"/>
      <c r="VTP7" s="3407"/>
      <c r="VTQ7" s="3407"/>
      <c r="VTR7" s="3407"/>
      <c r="VTS7" s="3407"/>
      <c r="VTT7" s="3407"/>
      <c r="VTU7" s="3407"/>
      <c r="VTV7" s="3407"/>
      <c r="VTW7" s="3407"/>
      <c r="VTX7" s="3407"/>
      <c r="VTY7" s="3407"/>
      <c r="VTZ7" s="3407"/>
      <c r="VUA7" s="3407"/>
      <c r="VUB7" s="3407"/>
      <c r="VUC7" s="3407"/>
      <c r="VUD7" s="3407"/>
      <c r="VUE7" s="3407"/>
      <c r="VUF7" s="3407"/>
      <c r="VUG7" s="3407"/>
      <c r="VUH7" s="3407"/>
      <c r="VUI7" s="3407"/>
      <c r="VUJ7" s="3407"/>
      <c r="VUK7" s="3407"/>
      <c r="VUL7" s="3407"/>
      <c r="VUM7" s="3407"/>
      <c r="VUN7" s="3407"/>
      <c r="VUO7" s="3407"/>
      <c r="VUP7" s="3407"/>
      <c r="VUQ7" s="3407"/>
      <c r="VUR7" s="3407"/>
      <c r="VUS7" s="3407"/>
      <c r="VUT7" s="3407"/>
      <c r="VUU7" s="3407"/>
      <c r="VUV7" s="3407"/>
      <c r="VUW7" s="3407"/>
      <c r="VUX7" s="3407"/>
      <c r="VUY7" s="3407"/>
      <c r="VUZ7" s="3407"/>
      <c r="VVA7" s="3407"/>
      <c r="VVB7" s="3407"/>
      <c r="VVC7" s="3407"/>
      <c r="VVD7" s="3407"/>
      <c r="VVE7" s="3407"/>
      <c r="VVF7" s="3407"/>
      <c r="VVG7" s="3407"/>
      <c r="VVH7" s="3407"/>
      <c r="VVI7" s="3407"/>
      <c r="VVJ7" s="3407"/>
      <c r="VVK7" s="3407"/>
      <c r="VVL7" s="3407"/>
      <c r="VVM7" s="3407"/>
      <c r="VVN7" s="3407"/>
      <c r="VVO7" s="3407"/>
      <c r="VVP7" s="3407"/>
      <c r="VVQ7" s="3407"/>
      <c r="VVR7" s="3407"/>
      <c r="VVS7" s="3407"/>
      <c r="VVT7" s="3407"/>
      <c r="VVU7" s="3407"/>
      <c r="VVV7" s="3407"/>
      <c r="VVW7" s="3407"/>
      <c r="VVX7" s="3407"/>
      <c r="VVY7" s="3407"/>
      <c r="VVZ7" s="3407"/>
      <c r="VWA7" s="3407"/>
      <c r="VWB7" s="3407"/>
      <c r="VWC7" s="3407"/>
      <c r="VWD7" s="3407"/>
      <c r="VWE7" s="3407"/>
      <c r="VWF7" s="3407"/>
      <c r="VWG7" s="3407"/>
      <c r="VWH7" s="3407"/>
      <c r="VWI7" s="3407"/>
      <c r="VWJ7" s="3407"/>
      <c r="VWK7" s="3407"/>
      <c r="VWL7" s="3407"/>
      <c r="VWM7" s="3407"/>
      <c r="VWN7" s="3407"/>
      <c r="VWO7" s="3407"/>
      <c r="VWP7" s="3407"/>
      <c r="VWQ7" s="3407"/>
      <c r="VWR7" s="3407"/>
      <c r="VWS7" s="3407"/>
      <c r="VWT7" s="3407"/>
      <c r="VWU7" s="3407"/>
      <c r="VWV7" s="3407"/>
      <c r="VWW7" s="3407"/>
      <c r="VWX7" s="3407"/>
      <c r="VWY7" s="3407"/>
      <c r="VWZ7" s="3407"/>
      <c r="VXA7" s="3407"/>
      <c r="VXB7" s="3407"/>
      <c r="VXC7" s="3407"/>
      <c r="VXD7" s="3407"/>
      <c r="VXE7" s="3407"/>
      <c r="VXF7" s="3407"/>
      <c r="VXG7" s="3407"/>
      <c r="VXH7" s="3407"/>
      <c r="VXI7" s="3407"/>
      <c r="VXJ7" s="3407"/>
      <c r="VXK7" s="3407"/>
      <c r="VXL7" s="3407"/>
      <c r="VXM7" s="3407"/>
      <c r="VXN7" s="3407"/>
      <c r="VXO7" s="3407"/>
      <c r="VXP7" s="3407"/>
      <c r="VXQ7" s="3407"/>
      <c r="VXR7" s="3407"/>
      <c r="VXS7" s="3407"/>
      <c r="VXT7" s="3407"/>
      <c r="VXU7" s="3407"/>
      <c r="VXV7" s="3407"/>
      <c r="VXW7" s="3407"/>
      <c r="VXX7" s="3407"/>
      <c r="VXY7" s="3407"/>
      <c r="VXZ7" s="3407"/>
      <c r="VYA7" s="3407"/>
      <c r="VYB7" s="3407"/>
      <c r="VYC7" s="3407"/>
      <c r="VYD7" s="3407"/>
      <c r="VYE7" s="3407"/>
      <c r="VYF7" s="3407"/>
      <c r="VYG7" s="3407"/>
      <c r="VYH7" s="3407"/>
      <c r="VYI7" s="3407"/>
      <c r="VYJ7" s="3407"/>
      <c r="VYK7" s="3407"/>
      <c r="VYL7" s="3407"/>
      <c r="VYM7" s="3407"/>
      <c r="VYN7" s="3407"/>
      <c r="VYO7" s="3407"/>
      <c r="VYP7" s="3407"/>
      <c r="VYQ7" s="3407"/>
      <c r="VYR7" s="3407"/>
      <c r="VYS7" s="3407"/>
      <c r="VYT7" s="3407"/>
      <c r="VYU7" s="3407"/>
      <c r="VYV7" s="3407"/>
      <c r="VYW7" s="3407"/>
      <c r="VYX7" s="3407"/>
      <c r="VYY7" s="3407"/>
      <c r="VYZ7" s="3407"/>
      <c r="VZA7" s="3407"/>
      <c r="VZB7" s="3407"/>
      <c r="VZC7" s="3407"/>
      <c r="VZD7" s="3407"/>
      <c r="VZE7" s="3407"/>
      <c r="VZF7" s="3407"/>
      <c r="VZG7" s="3407"/>
      <c r="VZH7" s="3407"/>
      <c r="VZI7" s="3407"/>
      <c r="VZJ7" s="3407"/>
      <c r="VZK7" s="3407"/>
      <c r="VZL7" s="3407"/>
      <c r="VZM7" s="3407"/>
      <c r="VZN7" s="3407"/>
      <c r="VZO7" s="3407"/>
      <c r="VZP7" s="3407"/>
      <c r="VZQ7" s="3407"/>
      <c r="VZR7" s="3407"/>
      <c r="VZS7" s="3407"/>
      <c r="VZT7" s="3407"/>
      <c r="VZU7" s="3407"/>
      <c r="VZV7" s="3407"/>
      <c r="VZW7" s="3407"/>
      <c r="VZX7" s="3407"/>
      <c r="VZY7" s="3407"/>
      <c r="VZZ7" s="3407"/>
      <c r="WAA7" s="3407"/>
      <c r="WAB7" s="3407"/>
      <c r="WAC7" s="3407"/>
      <c r="WAD7" s="3407"/>
      <c r="WAE7" s="3407"/>
      <c r="WAF7" s="3407"/>
      <c r="WAG7" s="3407"/>
      <c r="WAH7" s="3407"/>
      <c r="WAI7" s="3407"/>
      <c r="WAJ7" s="3407"/>
      <c r="WAK7" s="3407"/>
      <c r="WAL7" s="3407"/>
      <c r="WAM7" s="3407"/>
      <c r="WAN7" s="3407"/>
      <c r="WAO7" s="3407"/>
      <c r="WAP7" s="3407"/>
      <c r="WAQ7" s="3407"/>
      <c r="WAR7" s="3407"/>
      <c r="WAS7" s="3407"/>
      <c r="WAT7" s="3407"/>
      <c r="WAU7" s="3407"/>
      <c r="WAV7" s="3407"/>
      <c r="WAW7" s="3407"/>
      <c r="WAX7" s="3407"/>
      <c r="WAY7" s="3407"/>
      <c r="WAZ7" s="3407"/>
      <c r="WBA7" s="3407"/>
      <c r="WBB7" s="3407"/>
      <c r="WBC7" s="3407"/>
      <c r="WBD7" s="3407"/>
      <c r="WBE7" s="3407"/>
      <c r="WBF7" s="3407"/>
      <c r="WBG7" s="3407"/>
      <c r="WBH7" s="3407"/>
      <c r="WBI7" s="3407"/>
      <c r="WBJ7" s="3407"/>
      <c r="WBK7" s="3407"/>
      <c r="WBL7" s="3407"/>
      <c r="WBM7" s="3407"/>
      <c r="WBN7" s="3407"/>
      <c r="WBO7" s="3407"/>
      <c r="WBP7" s="3407"/>
      <c r="WBQ7" s="3407"/>
      <c r="WBR7" s="3407"/>
      <c r="WBS7" s="3407"/>
      <c r="WBT7" s="3407"/>
      <c r="WBU7" s="3407"/>
      <c r="WBV7" s="3407"/>
      <c r="WBW7" s="3407"/>
      <c r="WBX7" s="3407"/>
      <c r="WBY7" s="3407"/>
      <c r="WBZ7" s="3407"/>
      <c r="WCA7" s="3407"/>
      <c r="WCB7" s="3407"/>
      <c r="WCC7" s="3407"/>
      <c r="WCD7" s="3407"/>
      <c r="WCE7" s="3407"/>
      <c r="WCF7" s="3407"/>
      <c r="WCG7" s="3407"/>
      <c r="WCH7" s="3407"/>
      <c r="WCI7" s="3407"/>
      <c r="WCJ7" s="3407"/>
      <c r="WCK7" s="3407"/>
      <c r="WCL7" s="3407"/>
      <c r="WCM7" s="3407"/>
      <c r="WCN7" s="3407"/>
      <c r="WCO7" s="3407"/>
      <c r="WCP7" s="3407"/>
      <c r="WCQ7" s="3407"/>
      <c r="WCR7" s="3407"/>
      <c r="WCS7" s="3407"/>
      <c r="WCT7" s="3407"/>
      <c r="WCU7" s="3407"/>
      <c r="WCV7" s="3407"/>
      <c r="WCW7" s="3407"/>
      <c r="WCX7" s="3407"/>
      <c r="WCY7" s="3407"/>
      <c r="WCZ7" s="3407"/>
      <c r="WDA7" s="3407"/>
      <c r="WDB7" s="3407"/>
      <c r="WDC7" s="3407"/>
      <c r="WDD7" s="3407"/>
      <c r="WDE7" s="3407"/>
      <c r="WDF7" s="3407"/>
      <c r="WDG7" s="3407"/>
      <c r="WDH7" s="3407"/>
      <c r="WDI7" s="3407"/>
      <c r="WDJ7" s="3407"/>
      <c r="WDK7" s="3407"/>
      <c r="WDL7" s="3407"/>
      <c r="WDM7" s="3407"/>
      <c r="WDN7" s="3407"/>
      <c r="WDO7" s="3407"/>
      <c r="WDP7" s="3407"/>
      <c r="WDQ7" s="3407"/>
      <c r="WDR7" s="3407"/>
      <c r="WDS7" s="3407"/>
      <c r="WDT7" s="3407"/>
      <c r="WDU7" s="3407"/>
      <c r="WDV7" s="3407"/>
      <c r="WDW7" s="3407"/>
      <c r="WDX7" s="3407"/>
      <c r="WDY7" s="3407"/>
      <c r="WDZ7" s="3407"/>
      <c r="WEA7" s="3407"/>
      <c r="WEB7" s="3407"/>
      <c r="WEC7" s="3407"/>
      <c r="WED7" s="3407"/>
      <c r="WEE7" s="3407"/>
      <c r="WEF7" s="3407"/>
      <c r="WEG7" s="3407"/>
      <c r="WEH7" s="3407"/>
      <c r="WEI7" s="3407"/>
      <c r="WEJ7" s="3407"/>
      <c r="WEK7" s="3407"/>
      <c r="WEL7" s="3407"/>
      <c r="WEM7" s="3407"/>
      <c r="WEN7" s="3407"/>
      <c r="WEO7" s="3407"/>
      <c r="WEP7" s="3407"/>
      <c r="WEQ7" s="3407"/>
      <c r="WER7" s="3407"/>
      <c r="WES7" s="3407"/>
      <c r="WET7" s="3407"/>
      <c r="WEU7" s="3407"/>
      <c r="WEV7" s="3407"/>
      <c r="WEW7" s="3407"/>
      <c r="WEX7" s="3407"/>
      <c r="WEY7" s="3407"/>
      <c r="WEZ7" s="3407"/>
      <c r="WFA7" s="3407"/>
      <c r="WFB7" s="3407"/>
      <c r="WFC7" s="3407"/>
      <c r="WFD7" s="3407"/>
      <c r="WFE7" s="3407"/>
      <c r="WFF7" s="3407"/>
      <c r="WFG7" s="3407"/>
      <c r="WFH7" s="3407"/>
      <c r="WFI7" s="3407"/>
      <c r="WFJ7" s="3407"/>
      <c r="WFK7" s="3407"/>
      <c r="WFL7" s="3407"/>
      <c r="WFM7" s="3407"/>
      <c r="WFN7" s="3407"/>
      <c r="WFO7" s="3407"/>
      <c r="WFP7" s="3407"/>
      <c r="WFQ7" s="3407"/>
      <c r="WFR7" s="3407"/>
      <c r="WFS7" s="3407"/>
      <c r="WFT7" s="3407"/>
      <c r="WFU7" s="3407"/>
      <c r="WFV7" s="3407"/>
      <c r="WFW7" s="3407"/>
      <c r="WFX7" s="3407"/>
      <c r="WFY7" s="3407"/>
      <c r="WFZ7" s="3407"/>
      <c r="WGA7" s="3407"/>
      <c r="WGB7" s="3407"/>
      <c r="WGC7" s="3407"/>
      <c r="WGD7" s="3407"/>
      <c r="WGE7" s="3407"/>
      <c r="WGF7" s="3407"/>
      <c r="WGG7" s="3407"/>
      <c r="WGH7" s="3407"/>
      <c r="WGI7" s="3407"/>
      <c r="WGJ7" s="3407"/>
      <c r="WGK7" s="3407"/>
      <c r="WGL7" s="3407"/>
      <c r="WGM7" s="3407"/>
      <c r="WGN7" s="3407"/>
      <c r="WGO7" s="3407"/>
      <c r="WGP7" s="3407"/>
      <c r="WGQ7" s="3407"/>
      <c r="WGR7" s="3407"/>
      <c r="WGS7" s="3407"/>
      <c r="WGT7" s="3407"/>
      <c r="WGU7" s="3407"/>
      <c r="WGV7" s="3407"/>
      <c r="WGW7" s="3407"/>
      <c r="WGX7" s="3407"/>
      <c r="WGY7" s="3407"/>
      <c r="WGZ7" s="3407"/>
      <c r="WHA7" s="3407"/>
      <c r="WHB7" s="3407"/>
      <c r="WHC7" s="3407"/>
      <c r="WHD7" s="3407"/>
      <c r="WHE7" s="3407"/>
      <c r="WHF7" s="3407"/>
      <c r="WHG7" s="3407"/>
      <c r="WHH7" s="3407"/>
      <c r="WHI7" s="3407"/>
      <c r="WHJ7" s="3407"/>
      <c r="WHK7" s="3407"/>
      <c r="WHL7" s="3407"/>
      <c r="WHM7" s="3407"/>
      <c r="WHN7" s="3407"/>
      <c r="WHO7" s="3407"/>
      <c r="WHP7" s="3407"/>
      <c r="WHQ7" s="3407"/>
      <c r="WHR7" s="3407"/>
      <c r="WHS7" s="3407"/>
      <c r="WHT7" s="3407"/>
      <c r="WHU7" s="3407"/>
      <c r="WHV7" s="3407"/>
      <c r="WHW7" s="3407"/>
      <c r="WHX7" s="3407"/>
      <c r="WHY7" s="3407"/>
      <c r="WHZ7" s="3407"/>
      <c r="WIA7" s="3407"/>
      <c r="WIB7" s="3407"/>
      <c r="WIC7" s="3407"/>
      <c r="WID7" s="3407"/>
      <c r="WIE7" s="3407"/>
      <c r="WIF7" s="3407"/>
      <c r="WIG7" s="3407"/>
      <c r="WIH7" s="3407"/>
      <c r="WII7" s="3407"/>
      <c r="WIJ7" s="3407"/>
      <c r="WIK7" s="3407"/>
      <c r="WIL7" s="3407"/>
      <c r="WIM7" s="3407"/>
      <c r="WIN7" s="3407"/>
      <c r="WIO7" s="3407"/>
      <c r="WIP7" s="3407"/>
      <c r="WIQ7" s="3407"/>
      <c r="WIR7" s="3407"/>
      <c r="WIS7" s="3407"/>
      <c r="WIT7" s="3407"/>
      <c r="WIU7" s="3407"/>
      <c r="WIV7" s="3407"/>
      <c r="WIW7" s="3407"/>
      <c r="WIX7" s="3407"/>
      <c r="WIY7" s="3407"/>
      <c r="WIZ7" s="3407"/>
      <c r="WJA7" s="3407"/>
      <c r="WJB7" s="3407"/>
      <c r="WJC7" s="3407"/>
      <c r="WJD7" s="3407"/>
      <c r="WJE7" s="3407"/>
      <c r="WJF7" s="3407"/>
      <c r="WJG7" s="3407"/>
      <c r="WJH7" s="3407"/>
      <c r="WJI7" s="3407"/>
      <c r="WJJ7" s="3407"/>
      <c r="WJK7" s="3407"/>
      <c r="WJL7" s="3407"/>
      <c r="WJM7" s="3407"/>
      <c r="WJN7" s="3407"/>
      <c r="WJO7" s="3407"/>
      <c r="WJP7" s="3407"/>
      <c r="WJQ7" s="3407"/>
      <c r="WJR7" s="3407"/>
      <c r="WJS7" s="3407"/>
      <c r="WJT7" s="3407"/>
      <c r="WJU7" s="3407"/>
      <c r="WJV7" s="3407"/>
      <c r="WJW7" s="3407"/>
      <c r="WJX7" s="3407"/>
      <c r="WJY7" s="3407"/>
      <c r="WJZ7" s="3407"/>
      <c r="WKA7" s="3407"/>
      <c r="WKB7" s="3407"/>
      <c r="WKC7" s="3407"/>
      <c r="WKD7" s="3407"/>
      <c r="WKE7" s="3407"/>
      <c r="WKF7" s="3407"/>
      <c r="WKG7" s="3407"/>
      <c r="WKH7" s="3407"/>
      <c r="WKI7" s="3407"/>
      <c r="WKJ7" s="3407"/>
      <c r="WKK7" s="3407"/>
      <c r="WKL7" s="3407"/>
      <c r="WKM7" s="3407"/>
      <c r="WKN7" s="3407"/>
      <c r="WKO7" s="3407"/>
      <c r="WKP7" s="3407"/>
      <c r="WKQ7" s="3407"/>
      <c r="WKR7" s="3407"/>
      <c r="WKS7" s="3407"/>
      <c r="WKT7" s="3407"/>
      <c r="WKU7" s="3407"/>
      <c r="WKV7" s="3407"/>
      <c r="WKW7" s="3407"/>
      <c r="WKX7" s="3407"/>
      <c r="WKY7" s="3407"/>
      <c r="WKZ7" s="3407"/>
      <c r="WLA7" s="3407"/>
      <c r="WLB7" s="3407"/>
      <c r="WLC7" s="3407"/>
      <c r="WLD7" s="3407"/>
      <c r="WLE7" s="3407"/>
      <c r="WLF7" s="3407"/>
      <c r="WLG7" s="3407"/>
      <c r="WLH7" s="3407"/>
      <c r="WLI7" s="3407"/>
      <c r="WLJ7" s="3407"/>
      <c r="WLK7" s="3407"/>
      <c r="WLL7" s="3407"/>
      <c r="WLM7" s="3407"/>
      <c r="WLN7" s="3407"/>
      <c r="WLO7" s="3407"/>
      <c r="WLP7" s="3407"/>
      <c r="WLQ7" s="3407"/>
      <c r="WLR7" s="3407"/>
      <c r="WLS7" s="3407"/>
      <c r="WLT7" s="3407"/>
      <c r="WLU7" s="3407"/>
      <c r="WLV7" s="3407"/>
      <c r="WLW7" s="3407"/>
      <c r="WLX7" s="3407"/>
      <c r="WLY7" s="3407"/>
      <c r="WLZ7" s="3407"/>
      <c r="WMA7" s="3407"/>
      <c r="WMB7" s="3407"/>
      <c r="WMC7" s="3407"/>
      <c r="WMD7" s="3407"/>
      <c r="WME7" s="3407"/>
      <c r="WMF7" s="3407"/>
      <c r="WMG7" s="3407"/>
      <c r="WMH7" s="3407"/>
      <c r="WMI7" s="3407"/>
      <c r="WMJ7" s="3407"/>
      <c r="WMK7" s="3407"/>
      <c r="WML7" s="3407"/>
      <c r="WMM7" s="3407"/>
      <c r="WMN7" s="3407"/>
      <c r="WMO7" s="3407"/>
      <c r="WMP7" s="3407"/>
      <c r="WMQ7" s="3407"/>
      <c r="WMR7" s="3407"/>
      <c r="WMS7" s="3407"/>
      <c r="WMT7" s="3407"/>
      <c r="WMU7" s="3407"/>
      <c r="WMV7" s="3407"/>
      <c r="WMW7" s="3407"/>
      <c r="WMX7" s="3407"/>
      <c r="WMY7" s="3407"/>
      <c r="WMZ7" s="3407"/>
      <c r="WNA7" s="3407"/>
      <c r="WNB7" s="3407"/>
      <c r="WNC7" s="3407"/>
      <c r="WND7" s="3407"/>
      <c r="WNE7" s="3407"/>
      <c r="WNF7" s="3407"/>
      <c r="WNG7" s="3407"/>
      <c r="WNH7" s="3407"/>
      <c r="WNI7" s="3407"/>
      <c r="WNJ7" s="3407"/>
      <c r="WNK7" s="3407"/>
      <c r="WNL7" s="3407"/>
      <c r="WNM7" s="3407"/>
      <c r="WNN7" s="3407"/>
      <c r="WNO7" s="3407"/>
      <c r="WNP7" s="3407"/>
      <c r="WNQ7" s="3407"/>
      <c r="WNR7" s="3407"/>
      <c r="WNS7" s="3407"/>
      <c r="WNT7" s="3407"/>
      <c r="WNU7" s="3407"/>
      <c r="WNV7" s="3407"/>
      <c r="WNW7" s="3407"/>
      <c r="WNX7" s="3407"/>
      <c r="WNY7" s="3407"/>
      <c r="WNZ7" s="3407"/>
      <c r="WOA7" s="3407"/>
      <c r="WOB7" s="3407"/>
      <c r="WOC7" s="3407"/>
      <c r="WOD7" s="3407"/>
      <c r="WOE7" s="3407"/>
      <c r="WOF7" s="3407"/>
      <c r="WOG7" s="3407"/>
      <c r="WOH7" s="3407"/>
      <c r="WOI7" s="3407"/>
      <c r="WOJ7" s="3407"/>
      <c r="WOK7" s="3407"/>
      <c r="WOL7" s="3407"/>
      <c r="WOM7" s="3407"/>
      <c r="WON7" s="3407"/>
      <c r="WOO7" s="3407"/>
      <c r="WOP7" s="3407"/>
      <c r="WOQ7" s="3407"/>
      <c r="WOR7" s="3407"/>
      <c r="WOS7" s="3407"/>
      <c r="WOT7" s="3407"/>
      <c r="WOU7" s="3407"/>
      <c r="WOV7" s="3407"/>
      <c r="WOW7" s="3407"/>
      <c r="WOX7" s="3407"/>
      <c r="WOY7" s="3407"/>
      <c r="WOZ7" s="3407"/>
      <c r="WPA7" s="3407"/>
      <c r="WPB7" s="3407"/>
      <c r="WPC7" s="3407"/>
      <c r="WPD7" s="3407"/>
      <c r="WPE7" s="3407"/>
      <c r="WPF7" s="3407"/>
      <c r="WPG7" s="3407"/>
      <c r="WPH7" s="3407"/>
      <c r="WPI7" s="3407"/>
      <c r="WPJ7" s="3407"/>
      <c r="WPK7" s="3407"/>
      <c r="WPL7" s="3407"/>
      <c r="WPM7" s="3407"/>
      <c r="WPN7" s="3407"/>
      <c r="WPO7" s="3407"/>
      <c r="WPP7" s="3407"/>
      <c r="WPQ7" s="3407"/>
      <c r="WPR7" s="3407"/>
      <c r="WPS7" s="3407"/>
      <c r="WPT7" s="3407"/>
      <c r="WPU7" s="3407"/>
      <c r="WPV7" s="3407"/>
      <c r="WPW7" s="3407"/>
      <c r="WPX7" s="3407"/>
      <c r="WPY7" s="3407"/>
      <c r="WPZ7" s="3407"/>
      <c r="WQA7" s="3407"/>
      <c r="WQB7" s="3407"/>
      <c r="WQC7" s="3407"/>
      <c r="WQD7" s="3407"/>
      <c r="WQE7" s="3407"/>
      <c r="WQF7" s="3407"/>
      <c r="WQG7" s="3407"/>
      <c r="WQH7" s="3407"/>
      <c r="WQI7" s="3407"/>
      <c r="WQJ7" s="3407"/>
      <c r="WQK7" s="3407"/>
      <c r="WQL7" s="3407"/>
      <c r="WQM7" s="3407"/>
      <c r="WQN7" s="3407"/>
      <c r="WQO7" s="3407"/>
      <c r="WQP7" s="3407"/>
      <c r="WQQ7" s="3407"/>
      <c r="WQR7" s="3407"/>
      <c r="WQS7" s="3407"/>
      <c r="WQT7" s="3407"/>
      <c r="WQU7" s="3407"/>
      <c r="WQV7" s="3407"/>
      <c r="WQW7" s="3407"/>
      <c r="WQX7" s="3407"/>
      <c r="WQY7" s="3407"/>
      <c r="WQZ7" s="3407"/>
      <c r="WRA7" s="3407"/>
      <c r="WRB7" s="3407"/>
      <c r="WRC7" s="3407"/>
      <c r="WRD7" s="3407"/>
      <c r="WRE7" s="3407"/>
      <c r="WRF7" s="3407"/>
      <c r="WRG7" s="3407"/>
      <c r="WRH7" s="3407"/>
      <c r="WRI7" s="3407"/>
      <c r="WRJ7" s="3407"/>
      <c r="WRK7" s="3407"/>
      <c r="WRL7" s="3407"/>
      <c r="WRM7" s="3407"/>
      <c r="WRN7" s="3407"/>
      <c r="WRO7" s="3407"/>
      <c r="WRP7" s="3407"/>
      <c r="WRQ7" s="3407"/>
      <c r="WRR7" s="3407"/>
      <c r="WRS7" s="3407"/>
      <c r="WRT7" s="3407"/>
      <c r="WRU7" s="3407"/>
      <c r="WRV7" s="3407"/>
      <c r="WRW7" s="3407"/>
      <c r="WRX7" s="3407"/>
      <c r="WRY7" s="3407"/>
      <c r="WRZ7" s="3407"/>
      <c r="WSA7" s="3407"/>
      <c r="WSB7" s="3407"/>
      <c r="WSC7" s="3407"/>
      <c r="WSD7" s="3407"/>
      <c r="WSE7" s="3407"/>
      <c r="WSF7" s="3407"/>
      <c r="WSG7" s="3407"/>
      <c r="WSH7" s="3407"/>
      <c r="WSI7" s="3407"/>
      <c r="WSJ7" s="3407"/>
      <c r="WSK7" s="3407"/>
      <c r="WSL7" s="3407"/>
      <c r="WSM7" s="3407"/>
      <c r="WSN7" s="3407"/>
      <c r="WSO7" s="3407"/>
      <c r="WSP7" s="3407"/>
      <c r="WSQ7" s="3407"/>
      <c r="WSR7" s="3407"/>
      <c r="WSS7" s="3407"/>
      <c r="WST7" s="3407"/>
      <c r="WSU7" s="3407"/>
      <c r="WSV7" s="3407"/>
      <c r="WSW7" s="3407"/>
      <c r="WSX7" s="3407"/>
      <c r="WSY7" s="3407"/>
      <c r="WSZ7" s="3407"/>
      <c r="WTA7" s="3407"/>
      <c r="WTB7" s="3407"/>
      <c r="WTC7" s="3407"/>
      <c r="WTD7" s="3407"/>
      <c r="WTE7" s="3407"/>
      <c r="WTF7" s="3407"/>
      <c r="WTG7" s="3407"/>
      <c r="WTH7" s="3407"/>
      <c r="WTI7" s="3407"/>
      <c r="WTJ7" s="3407"/>
      <c r="WTK7" s="3407"/>
      <c r="WTL7" s="3407"/>
      <c r="WTM7" s="3407"/>
      <c r="WTN7" s="3407"/>
      <c r="WTO7" s="3407"/>
      <c r="WTP7" s="3407"/>
      <c r="WTQ7" s="3407"/>
      <c r="WTR7" s="3407"/>
      <c r="WTS7" s="3407"/>
      <c r="WTT7" s="3407"/>
      <c r="WTU7" s="3407"/>
      <c r="WTV7" s="3407"/>
      <c r="WTW7" s="3407"/>
      <c r="WTX7" s="3407"/>
      <c r="WTY7" s="3407"/>
      <c r="WTZ7" s="3407"/>
      <c r="WUA7" s="3407"/>
      <c r="WUB7" s="3407"/>
      <c r="WUC7" s="3407"/>
      <c r="WUD7" s="3407"/>
      <c r="WUE7" s="3407"/>
      <c r="WUF7" s="3407"/>
      <c r="WUG7" s="3407"/>
      <c r="WUH7" s="3407"/>
      <c r="WUI7" s="3407"/>
      <c r="WUJ7" s="3407"/>
      <c r="WUK7" s="3407"/>
      <c r="WUL7" s="3407"/>
      <c r="WUM7" s="3407"/>
      <c r="WUN7" s="3407"/>
      <c r="WUO7" s="3407"/>
      <c r="WUP7" s="3407"/>
      <c r="WUQ7" s="3407"/>
      <c r="WUR7" s="3407"/>
      <c r="WUS7" s="3407"/>
      <c r="WUT7" s="3407"/>
      <c r="WUU7" s="3407"/>
      <c r="WUV7" s="3407"/>
      <c r="WUW7" s="3407"/>
      <c r="WUX7" s="3407"/>
      <c r="WUY7" s="3407"/>
      <c r="WUZ7" s="3407"/>
      <c r="WVA7" s="3407"/>
      <c r="WVB7" s="3407"/>
      <c r="WVC7" s="3407"/>
      <c r="WVD7" s="3407"/>
      <c r="WVE7" s="3407"/>
      <c r="WVF7" s="3407"/>
      <c r="WVG7" s="3407"/>
      <c r="WVH7" s="3407"/>
      <c r="WVI7" s="3407"/>
      <c r="WVJ7" s="3407"/>
      <c r="WVK7" s="3407"/>
      <c r="WVL7" s="3407"/>
      <c r="WVM7" s="3407"/>
      <c r="WVN7" s="3407"/>
      <c r="WVO7" s="3407"/>
      <c r="WVP7" s="3407"/>
      <c r="WVQ7" s="3407"/>
      <c r="WVR7" s="3407"/>
      <c r="WVS7" s="3407"/>
      <c r="WVT7" s="3407"/>
      <c r="WVU7" s="3407"/>
      <c r="WVV7" s="3407"/>
      <c r="WVW7" s="3407"/>
      <c r="WVX7" s="3407"/>
      <c r="WVY7" s="3407"/>
      <c r="WVZ7" s="3407"/>
      <c r="WWA7" s="3407"/>
      <c r="WWB7" s="3407"/>
      <c r="WWC7" s="3407"/>
      <c r="WWD7" s="3407"/>
      <c r="WWE7" s="3407"/>
      <c r="WWF7" s="3407"/>
      <c r="WWG7" s="3407"/>
      <c r="WWH7" s="3407"/>
      <c r="WWI7" s="3407"/>
      <c r="WWJ7" s="3407"/>
      <c r="WWK7" s="3407"/>
      <c r="WWL7" s="3407"/>
      <c r="WWM7" s="3407"/>
      <c r="WWN7" s="3407"/>
      <c r="WWO7" s="3407"/>
      <c r="WWP7" s="3407"/>
      <c r="WWQ7" s="3407"/>
      <c r="WWR7" s="3407"/>
      <c r="WWS7" s="3407"/>
      <c r="WWT7" s="3407"/>
      <c r="WWU7" s="3407"/>
      <c r="WWV7" s="3407"/>
      <c r="WWW7" s="3407"/>
      <c r="WWX7" s="3407"/>
      <c r="WWY7" s="3407"/>
      <c r="WWZ7" s="3407"/>
      <c r="WXA7" s="3407"/>
      <c r="WXB7" s="3407"/>
      <c r="WXC7" s="3407"/>
      <c r="WXD7" s="3407"/>
      <c r="WXE7" s="3407"/>
      <c r="WXF7" s="3407"/>
      <c r="WXG7" s="3407"/>
      <c r="WXH7" s="3407"/>
      <c r="WXI7" s="3407"/>
      <c r="WXJ7" s="3407"/>
      <c r="WXK7" s="3407"/>
      <c r="WXL7" s="3407"/>
      <c r="WXM7" s="3407"/>
      <c r="WXN7" s="3407"/>
      <c r="WXO7" s="3407"/>
      <c r="WXP7" s="3407"/>
      <c r="WXQ7" s="3407"/>
      <c r="WXR7" s="3407"/>
      <c r="WXS7" s="3407"/>
      <c r="WXT7" s="3407"/>
      <c r="WXU7" s="3407"/>
      <c r="WXV7" s="3407"/>
      <c r="WXW7" s="3407"/>
      <c r="WXX7" s="3407"/>
      <c r="WXY7" s="3407"/>
      <c r="WXZ7" s="3407"/>
      <c r="WYA7" s="3407"/>
      <c r="WYB7" s="3407"/>
      <c r="WYC7" s="3407"/>
      <c r="WYD7" s="3407"/>
      <c r="WYE7" s="3407"/>
      <c r="WYF7" s="3407"/>
      <c r="WYG7" s="3407"/>
      <c r="WYH7" s="3407"/>
      <c r="WYI7" s="3407"/>
      <c r="WYJ7" s="3407"/>
      <c r="WYK7" s="3407"/>
      <c r="WYL7" s="3407"/>
      <c r="WYM7" s="3407"/>
      <c r="WYN7" s="3407"/>
      <c r="WYO7" s="3407"/>
      <c r="WYP7" s="3407"/>
      <c r="WYQ7" s="3407"/>
      <c r="WYR7" s="3407"/>
      <c r="WYS7" s="3407"/>
      <c r="WYT7" s="3407"/>
      <c r="WYU7" s="3407"/>
      <c r="WYV7" s="3407"/>
      <c r="WYW7" s="3407"/>
      <c r="WYX7" s="3407"/>
      <c r="WYY7" s="3407"/>
      <c r="WYZ7" s="3407"/>
      <c r="WZA7" s="3407"/>
      <c r="WZB7" s="3407"/>
      <c r="WZC7" s="3407"/>
      <c r="WZD7" s="3407"/>
      <c r="WZE7" s="3407"/>
      <c r="WZF7" s="3407"/>
      <c r="WZG7" s="3407"/>
      <c r="WZH7" s="3407"/>
      <c r="WZI7" s="3407"/>
      <c r="WZJ7" s="3407"/>
      <c r="WZK7" s="3407"/>
      <c r="WZL7" s="3407"/>
      <c r="WZM7" s="3407"/>
      <c r="WZN7" s="3407"/>
      <c r="WZO7" s="3407"/>
      <c r="WZP7" s="3407"/>
      <c r="WZQ7" s="3407"/>
      <c r="WZR7" s="3407"/>
      <c r="WZS7" s="3407"/>
      <c r="WZT7" s="3407"/>
      <c r="WZU7" s="3407"/>
      <c r="WZV7" s="3407"/>
      <c r="WZW7" s="3407"/>
      <c r="WZX7" s="3407"/>
      <c r="WZY7" s="3407"/>
      <c r="WZZ7" s="3407"/>
      <c r="XAA7" s="3407"/>
      <c r="XAB7" s="3407"/>
      <c r="XAC7" s="3407"/>
      <c r="XAD7" s="3407"/>
      <c r="XAE7" s="3407"/>
      <c r="XAF7" s="3407"/>
      <c r="XAG7" s="3407"/>
      <c r="XAH7" s="3407"/>
      <c r="XAI7" s="3407"/>
      <c r="XAJ7" s="3407"/>
      <c r="XAK7" s="3407"/>
      <c r="XAL7" s="3407"/>
      <c r="XAM7" s="3407"/>
      <c r="XAN7" s="3407"/>
      <c r="XAO7" s="3407"/>
      <c r="XAP7" s="3407"/>
      <c r="XAQ7" s="3407"/>
      <c r="XAR7" s="3407"/>
      <c r="XAS7" s="3407"/>
      <c r="XAT7" s="3407"/>
      <c r="XAU7" s="3407"/>
      <c r="XAV7" s="3407"/>
      <c r="XAW7" s="3407"/>
      <c r="XAX7" s="3407"/>
      <c r="XAY7" s="3407"/>
      <c r="XAZ7" s="3407"/>
      <c r="XBA7" s="3407"/>
      <c r="XBB7" s="3407"/>
      <c r="XBC7" s="3407"/>
      <c r="XBD7" s="3407"/>
      <c r="XBE7" s="3407"/>
      <c r="XBF7" s="3407"/>
      <c r="XBG7" s="3407"/>
      <c r="XBH7" s="3407"/>
      <c r="XBI7" s="3407"/>
      <c r="XBJ7" s="3407"/>
      <c r="XBK7" s="3407"/>
      <c r="XBL7" s="3407"/>
      <c r="XBM7" s="3407"/>
      <c r="XBN7" s="3407"/>
      <c r="XBO7" s="3407"/>
      <c r="XBP7" s="3407"/>
      <c r="XBQ7" s="3407"/>
      <c r="XBR7" s="3407"/>
      <c r="XBS7" s="3407"/>
      <c r="XBT7" s="3407"/>
      <c r="XBU7" s="3407"/>
      <c r="XBV7" s="3407"/>
      <c r="XBW7" s="3407"/>
      <c r="XBX7" s="3407"/>
      <c r="XBY7" s="3407"/>
      <c r="XBZ7" s="3407"/>
      <c r="XCA7" s="3407"/>
      <c r="XCB7" s="3407"/>
      <c r="XCC7" s="3407"/>
      <c r="XCD7" s="3407"/>
      <c r="XCE7" s="3407"/>
      <c r="XCF7" s="3407"/>
      <c r="XCG7" s="3407"/>
      <c r="XCH7" s="3407"/>
      <c r="XCI7" s="3407"/>
      <c r="XCJ7" s="3407"/>
      <c r="XCK7" s="3407"/>
      <c r="XCL7" s="3407"/>
      <c r="XCM7" s="3407"/>
      <c r="XCN7" s="3407"/>
      <c r="XCO7" s="3407"/>
      <c r="XCP7" s="3407"/>
      <c r="XCQ7" s="3407"/>
      <c r="XCR7" s="3407"/>
      <c r="XCS7" s="3407"/>
      <c r="XCT7" s="3407"/>
      <c r="XCU7" s="3407"/>
      <c r="XCV7" s="3407"/>
      <c r="XCW7" s="3407"/>
      <c r="XCX7" s="3407"/>
      <c r="XCY7" s="3407"/>
      <c r="XCZ7" s="3407"/>
      <c r="XDA7" s="3407"/>
      <c r="XDB7" s="3407"/>
      <c r="XDC7" s="3407"/>
      <c r="XDD7" s="3407"/>
      <c r="XDE7" s="3407"/>
      <c r="XDF7" s="3407"/>
      <c r="XDG7" s="3407"/>
      <c r="XDH7" s="3407"/>
      <c r="XDI7" s="3407"/>
      <c r="XDJ7" s="3407"/>
      <c r="XDK7" s="3407"/>
      <c r="XDL7" s="3407"/>
      <c r="XDM7" s="3407"/>
      <c r="XDN7" s="3407"/>
      <c r="XDO7" s="3407"/>
      <c r="XDP7" s="3407"/>
      <c r="XDQ7" s="3407"/>
      <c r="XDR7" s="3407"/>
      <c r="XDS7" s="3407"/>
      <c r="XDT7" s="3407"/>
      <c r="XDU7" s="3407"/>
      <c r="XDV7" s="3407"/>
      <c r="XDW7" s="3407"/>
      <c r="XDX7" s="3407"/>
      <c r="XDY7" s="3407"/>
      <c r="XDZ7" s="3407"/>
      <c r="XEA7" s="3407"/>
      <c r="XEB7" s="3407"/>
      <c r="XEC7" s="3407"/>
      <c r="XED7" s="3407"/>
      <c r="XEE7" s="3407"/>
      <c r="XEF7" s="3407"/>
      <c r="XEG7" s="3407"/>
      <c r="XEH7" s="3407"/>
      <c r="XEI7" s="3407"/>
      <c r="XEJ7" s="3407"/>
      <c r="XEK7" s="3407"/>
      <c r="XEL7" s="3407"/>
      <c r="XEM7" s="3407"/>
      <c r="XEN7" s="3407"/>
      <c r="XEO7" s="3407"/>
      <c r="XEP7" s="3407"/>
      <c r="XEQ7" s="3407"/>
      <c r="XER7" s="3407"/>
      <c r="XES7" s="3407"/>
      <c r="XET7" s="3407"/>
      <c r="XEU7" s="3407"/>
      <c r="XEV7" s="3407"/>
      <c r="XEW7" s="3407"/>
      <c r="XEX7" s="3407"/>
      <c r="XEY7" s="3407"/>
      <c r="XEZ7" s="3407"/>
      <c r="XFA7" s="3407"/>
      <c r="XFB7" s="3407"/>
    </row>
    <row r="8" spans="1:16382" s="3419" customFormat="1" ht="15" customHeight="1">
      <c r="A8" s="3416"/>
      <c r="B8" s="3417"/>
      <c r="C8" s="3418"/>
      <c r="H8" s="3420" t="s">
        <v>95</v>
      </c>
      <c r="I8" s="3421" t="s">
        <v>4497</v>
      </c>
      <c r="J8" s="3422">
        <f>매출!O5/1000</f>
        <v>305.52</v>
      </c>
      <c r="K8" s="3422">
        <f>매출!P5/1000</f>
        <v>307.18799999999999</v>
      </c>
      <c r="L8" s="3422">
        <f>매출!Q5/1000</f>
        <v>302.93200000000002</v>
      </c>
      <c r="M8" s="3422">
        <f>매출!R5/1000</f>
        <v>320.34300000000002</v>
      </c>
      <c r="N8" s="3422">
        <f ca="1">매출!S5/1000</f>
        <v>352.19400000000002</v>
      </c>
      <c r="O8" s="3423">
        <f ca="1">매출!T5/1000</f>
        <v>314.43599999999998</v>
      </c>
      <c r="P8" s="3423">
        <f ca="1">매출!U5/1000</f>
        <v>310</v>
      </c>
      <c r="Q8" s="3423">
        <f ca="1">매출!V5/1000</f>
        <v>320</v>
      </c>
      <c r="R8" s="3423">
        <f ca="1">매출!W5/1000</f>
        <v>330</v>
      </c>
      <c r="S8" s="3423">
        <f ca="1">매출!X5/1000</f>
        <v>340</v>
      </c>
      <c r="T8" s="3423">
        <f ca="1">매출!Y5/1000</f>
        <v>350</v>
      </c>
      <c r="U8" s="3423">
        <f ca="1">매출!Z5/1000</f>
        <v>360</v>
      </c>
      <c r="V8" s="3423">
        <f ca="1">매출!AA5/1000</f>
        <v>370</v>
      </c>
      <c r="W8" s="3423">
        <f ca="1">매출!AB5/1000</f>
        <v>380</v>
      </c>
      <c r="X8" s="3423">
        <f ca="1">매출!AC5/1000</f>
        <v>390</v>
      </c>
      <c r="Y8" s="3423">
        <f ca="1">매출!AD5/1000</f>
        <v>394</v>
      </c>
      <c r="Z8" s="3423">
        <f ca="1">매출!AE5/1000</f>
        <v>398</v>
      </c>
      <c r="AA8" s="3423">
        <f ca="1">매출!AF5/1000</f>
        <v>402</v>
      </c>
      <c r="AB8" s="3423">
        <f ca="1">매출!AG5/1000</f>
        <v>406</v>
      </c>
      <c r="AC8" s="3423">
        <f ca="1">매출!AH5/1000</f>
        <v>410</v>
      </c>
      <c r="AD8" s="3423">
        <f ca="1">매출!AI5/1000</f>
        <v>414</v>
      </c>
      <c r="AE8" s="3423">
        <f ca="1">매출!AJ5/1000</f>
        <v>418</v>
      </c>
      <c r="AF8" s="3423">
        <f ca="1">매출!AK5/1000</f>
        <v>422</v>
      </c>
      <c r="AG8" s="3423">
        <f ca="1">매출!AL5/1000</f>
        <v>426</v>
      </c>
      <c r="AH8" s="3423">
        <f ca="1">매출!AM5/1000</f>
        <v>430</v>
      </c>
      <c r="AI8" s="3423">
        <f ca="1">매출!AN5/1000</f>
        <v>434</v>
      </c>
      <c r="AJ8" s="3423">
        <f ca="1">매출!AO5/1000</f>
        <v>438</v>
      </c>
      <c r="AK8" s="3423">
        <f ca="1">매출!AP5/1000</f>
        <v>442</v>
      </c>
      <c r="AL8" s="3423">
        <f ca="1">매출!AQ5/1000</f>
        <v>446</v>
      </c>
      <c r="AM8" s="3423">
        <f ca="1">매출!AR5/1000</f>
        <v>450</v>
      </c>
      <c r="AN8" s="3423">
        <f ca="1">매출!AS5/1000</f>
        <v>454</v>
      </c>
      <c r="AO8" s="3423">
        <f ca="1">매출!AT5/1000</f>
        <v>458</v>
      </c>
      <c r="AP8" s="3423">
        <f ca="1">매출!AU5/1000</f>
        <v>462</v>
      </c>
      <c r="AQ8" s="3423">
        <f ca="1">매출!AV5/1000</f>
        <v>466</v>
      </c>
      <c r="AR8" s="3423">
        <f ca="1">매출!AW5/1000</f>
        <v>470</v>
      </c>
      <c r="AS8" s="3423">
        <f ca="1">매출!AX5/1000</f>
        <v>474</v>
      </c>
      <c r="AT8" s="3423">
        <f ca="1">매출!AY5/1000</f>
        <v>478</v>
      </c>
      <c r="AU8" s="3423">
        <f ca="1">매출!AZ5/1000</f>
        <v>482</v>
      </c>
      <c r="AV8" s="3423">
        <f ca="1">매출!BA5/1000</f>
        <v>486</v>
      </c>
      <c r="AW8" s="3423">
        <f ca="1">매출!BB5/1000</f>
        <v>490</v>
      </c>
      <c r="AX8" s="3423">
        <f ca="1">매출!BC5/1000</f>
        <v>494</v>
      </c>
      <c r="AY8" s="3423">
        <f ca="1">매출!BD5/1000</f>
        <v>498</v>
      </c>
      <c r="AZ8" s="3423">
        <f ca="1">매출!BE5/1000</f>
        <v>502</v>
      </c>
      <c r="BA8" s="3423">
        <f ca="1">매출!BF5/1000</f>
        <v>506</v>
      </c>
      <c r="BB8" s="3418"/>
      <c r="BC8" s="3418"/>
      <c r="BD8" s="3418"/>
      <c r="BE8" s="3418"/>
      <c r="BF8" s="3418"/>
      <c r="BG8" s="3418"/>
      <c r="BH8" s="3418"/>
      <c r="BI8" s="3418"/>
      <c r="BJ8" s="3418"/>
      <c r="BK8" s="3418"/>
      <c r="BL8" s="3418"/>
      <c r="BM8" s="3418"/>
      <c r="BN8" s="3418"/>
      <c r="BO8" s="3418"/>
      <c r="BP8" s="3418"/>
      <c r="BQ8" s="3418"/>
      <c r="BR8" s="3418"/>
      <c r="BS8" s="3418"/>
      <c r="BT8" s="3418"/>
      <c r="BU8" s="3418"/>
      <c r="BV8" s="3418"/>
      <c r="BW8" s="3418"/>
      <c r="BX8" s="3418"/>
      <c r="BY8" s="3418"/>
      <c r="BZ8" s="3418"/>
      <c r="CA8" s="3418"/>
      <c r="CB8" s="3418"/>
      <c r="CC8" s="3418"/>
      <c r="CD8" s="3418"/>
      <c r="CE8" s="3418"/>
      <c r="CF8" s="3418"/>
      <c r="CG8" s="3418"/>
      <c r="CH8" s="3418"/>
      <c r="CI8" s="3418"/>
      <c r="CJ8" s="3418"/>
      <c r="CK8" s="3418"/>
      <c r="CL8" s="3418"/>
      <c r="CM8" s="3418"/>
      <c r="CN8" s="3418"/>
      <c r="CO8" s="3418"/>
      <c r="CP8" s="3418"/>
      <c r="CQ8" s="3418"/>
      <c r="CR8" s="3418"/>
      <c r="CS8" s="3418"/>
      <c r="CT8" s="3418"/>
      <c r="CU8" s="3418"/>
      <c r="CV8" s="3418"/>
      <c r="CW8" s="3418"/>
      <c r="CX8" s="3418"/>
      <c r="CY8" s="3418"/>
      <c r="CZ8" s="3418"/>
      <c r="DA8" s="3418"/>
      <c r="DB8" s="3418"/>
      <c r="DC8" s="3418"/>
      <c r="DD8" s="3418"/>
      <c r="DE8" s="3418"/>
      <c r="DF8" s="3418"/>
      <c r="DG8" s="3418"/>
      <c r="DH8" s="3418"/>
      <c r="DI8" s="3418"/>
      <c r="DJ8" s="3418"/>
      <c r="DK8" s="3418"/>
      <c r="DL8" s="3418"/>
      <c r="DM8" s="3418"/>
      <c r="DN8" s="3418"/>
      <c r="DO8" s="3418"/>
      <c r="DP8" s="3418"/>
      <c r="DQ8" s="3418"/>
      <c r="DR8" s="3418"/>
      <c r="DS8" s="3418"/>
      <c r="DT8" s="3418"/>
      <c r="DU8" s="3418"/>
      <c r="DV8" s="3418"/>
      <c r="DW8" s="3418"/>
      <c r="DX8" s="3418"/>
      <c r="DY8" s="3418"/>
      <c r="DZ8" s="3418"/>
      <c r="EA8" s="3418"/>
      <c r="EB8" s="3418"/>
      <c r="EC8" s="3418"/>
      <c r="ED8" s="3418"/>
      <c r="EE8" s="3418"/>
      <c r="EF8" s="3418"/>
      <c r="EG8" s="3418"/>
      <c r="EH8" s="3418"/>
      <c r="EI8" s="3418"/>
      <c r="EJ8" s="3418"/>
      <c r="EK8" s="3418"/>
      <c r="EL8" s="3418"/>
      <c r="EM8" s="3418"/>
      <c r="EN8" s="3418"/>
      <c r="EO8" s="3418"/>
      <c r="EP8" s="3418"/>
      <c r="EQ8" s="3418"/>
      <c r="ER8" s="3418"/>
      <c r="ES8" s="3418"/>
      <c r="ET8" s="3418"/>
      <c r="EU8" s="3418"/>
      <c r="EV8" s="3418"/>
      <c r="EW8" s="3418"/>
      <c r="EX8" s="3418"/>
      <c r="EY8" s="3418"/>
      <c r="EZ8" s="3418"/>
      <c r="FA8" s="3418"/>
      <c r="FB8" s="3418"/>
      <c r="FC8" s="3418"/>
      <c r="FD8" s="3418"/>
      <c r="FE8" s="3418"/>
      <c r="FF8" s="3418"/>
      <c r="FG8" s="3418"/>
      <c r="FH8" s="3418"/>
      <c r="FI8" s="3418"/>
      <c r="FJ8" s="3418"/>
      <c r="FK8" s="3418"/>
      <c r="FL8" s="3418"/>
      <c r="FM8" s="3418"/>
      <c r="FN8" s="3418"/>
      <c r="FO8" s="3418"/>
      <c r="FP8" s="3418"/>
      <c r="FQ8" s="3418"/>
      <c r="FR8" s="3418"/>
      <c r="FS8" s="3418"/>
      <c r="FT8" s="3418"/>
      <c r="FU8" s="3418"/>
      <c r="FV8" s="3418"/>
      <c r="FW8" s="3418"/>
      <c r="FX8" s="3418"/>
      <c r="FY8" s="3418"/>
      <c r="FZ8" s="3418"/>
      <c r="GA8" s="3418"/>
      <c r="GB8" s="3418"/>
      <c r="GC8" s="3418"/>
      <c r="GD8" s="3418"/>
      <c r="GE8" s="3418"/>
      <c r="GF8" s="3418"/>
      <c r="GG8" s="3418"/>
      <c r="GH8" s="3418"/>
      <c r="GI8" s="3418"/>
      <c r="GJ8" s="3418"/>
      <c r="GK8" s="3418"/>
      <c r="GL8" s="3418"/>
      <c r="GM8" s="3418"/>
      <c r="GN8" s="3418"/>
      <c r="GO8" s="3418"/>
      <c r="GP8" s="3418"/>
      <c r="GQ8" s="3418"/>
      <c r="GR8" s="3418"/>
      <c r="GS8" s="3418"/>
      <c r="GT8" s="3418"/>
      <c r="GU8" s="3418"/>
      <c r="GV8" s="3418"/>
      <c r="GW8" s="3418"/>
      <c r="GX8" s="3418"/>
      <c r="GY8" s="3418"/>
      <c r="GZ8" s="3418"/>
      <c r="HA8" s="3418"/>
      <c r="HB8" s="3418"/>
      <c r="HC8" s="3418"/>
      <c r="HD8" s="3418"/>
      <c r="HE8" s="3418"/>
      <c r="HF8" s="3418"/>
      <c r="HG8" s="3418"/>
      <c r="HH8" s="3418"/>
      <c r="HI8" s="3418"/>
      <c r="HJ8" s="3418"/>
      <c r="HK8" s="3418"/>
      <c r="HL8" s="3418"/>
      <c r="HM8" s="3418"/>
      <c r="HN8" s="3418"/>
      <c r="HO8" s="3418"/>
      <c r="HP8" s="3418"/>
      <c r="HQ8" s="3418"/>
      <c r="HR8" s="3418"/>
      <c r="HS8" s="3418"/>
      <c r="HT8" s="3418"/>
      <c r="HU8" s="3418"/>
      <c r="HV8" s="3418"/>
      <c r="HW8" s="3418"/>
      <c r="HX8" s="3418"/>
      <c r="HY8" s="3418"/>
      <c r="HZ8" s="3418"/>
      <c r="IA8" s="3418"/>
      <c r="IB8" s="3418"/>
      <c r="IC8" s="3418"/>
      <c r="ID8" s="3418"/>
      <c r="IE8" s="3418"/>
      <c r="IF8" s="3418"/>
      <c r="IG8" s="3418"/>
      <c r="IH8" s="3418"/>
      <c r="II8" s="3418"/>
      <c r="IJ8" s="3418"/>
      <c r="IK8" s="3418"/>
      <c r="IL8" s="3418"/>
      <c r="IM8" s="3418"/>
      <c r="IN8" s="3418"/>
      <c r="IO8" s="3418"/>
      <c r="IP8" s="3418"/>
      <c r="IQ8" s="3418"/>
      <c r="IR8" s="3418"/>
      <c r="IS8" s="3418"/>
      <c r="IT8" s="3418"/>
      <c r="IU8" s="3418"/>
      <c r="IV8" s="3418"/>
      <c r="IW8" s="3418"/>
      <c r="IX8" s="3418"/>
      <c r="IY8" s="3418"/>
      <c r="IZ8" s="3418"/>
      <c r="JA8" s="3418"/>
      <c r="JB8" s="3418"/>
      <c r="JC8" s="3418"/>
      <c r="JD8" s="3418"/>
      <c r="JE8" s="3418"/>
      <c r="JF8" s="3418"/>
      <c r="JG8" s="3418"/>
      <c r="JH8" s="3418"/>
      <c r="JI8" s="3418"/>
      <c r="JJ8" s="3418"/>
      <c r="JK8" s="3418"/>
      <c r="JL8" s="3418"/>
      <c r="JM8" s="3418"/>
      <c r="JN8" s="3418"/>
      <c r="JO8" s="3418"/>
      <c r="JP8" s="3418"/>
      <c r="JQ8" s="3418"/>
      <c r="JR8" s="3418"/>
      <c r="JS8" s="3418"/>
      <c r="JT8" s="3418"/>
      <c r="JU8" s="3418"/>
      <c r="JV8" s="3418"/>
      <c r="JW8" s="3418"/>
      <c r="JX8" s="3418"/>
      <c r="JY8" s="3418"/>
      <c r="JZ8" s="3418"/>
      <c r="KA8" s="3418"/>
      <c r="KB8" s="3418"/>
      <c r="KC8" s="3418"/>
      <c r="KD8" s="3418"/>
      <c r="KE8" s="3418"/>
      <c r="KF8" s="3418"/>
      <c r="KG8" s="3418"/>
      <c r="KH8" s="3418"/>
      <c r="KI8" s="3418"/>
      <c r="KJ8" s="3418"/>
      <c r="KK8" s="3418"/>
      <c r="KL8" s="3418"/>
      <c r="KM8" s="3418"/>
      <c r="KN8" s="3418"/>
      <c r="KO8" s="3418"/>
      <c r="KP8" s="3418"/>
      <c r="KQ8" s="3418"/>
      <c r="KR8" s="3418"/>
      <c r="KS8" s="3418"/>
      <c r="KT8" s="3418"/>
      <c r="KU8" s="3418"/>
      <c r="KV8" s="3418"/>
      <c r="KW8" s="3418"/>
      <c r="KX8" s="3418"/>
      <c r="KY8" s="3418"/>
      <c r="KZ8" s="3418"/>
      <c r="LA8" s="3418"/>
      <c r="LB8" s="3418"/>
      <c r="LC8" s="3418"/>
      <c r="LD8" s="3418"/>
      <c r="LE8" s="3418"/>
      <c r="LF8" s="3418"/>
      <c r="LG8" s="3418"/>
      <c r="LH8" s="3418"/>
      <c r="LI8" s="3418"/>
      <c r="LJ8" s="3418"/>
      <c r="LK8" s="3418"/>
      <c r="LL8" s="3418"/>
      <c r="LM8" s="3418"/>
      <c r="LN8" s="3418"/>
      <c r="LO8" s="3418"/>
      <c r="LP8" s="3418"/>
      <c r="LQ8" s="3418"/>
      <c r="LR8" s="3418"/>
      <c r="LS8" s="3418"/>
      <c r="LT8" s="3418"/>
      <c r="LU8" s="3418"/>
      <c r="LV8" s="3418"/>
      <c r="LW8" s="3418"/>
      <c r="LX8" s="3418"/>
      <c r="LY8" s="3418"/>
      <c r="LZ8" s="3418"/>
      <c r="MA8" s="3418"/>
      <c r="MB8" s="3418"/>
      <c r="MC8" s="3418"/>
      <c r="MD8" s="3418"/>
      <c r="ME8" s="3418"/>
      <c r="MF8" s="3418"/>
      <c r="MG8" s="3418"/>
      <c r="MH8" s="3418"/>
      <c r="MI8" s="3418"/>
      <c r="MJ8" s="3418"/>
      <c r="MK8" s="3418"/>
      <c r="ML8" s="3418"/>
      <c r="MM8" s="3418"/>
      <c r="MN8" s="3418"/>
      <c r="MO8" s="3418"/>
      <c r="MP8" s="3418"/>
      <c r="MQ8" s="3418"/>
      <c r="MR8" s="3418"/>
      <c r="MS8" s="3418"/>
      <c r="MT8" s="3418"/>
      <c r="MU8" s="3418"/>
      <c r="MV8" s="3418"/>
      <c r="MW8" s="3418"/>
      <c r="MX8" s="3418"/>
      <c r="MY8" s="3418"/>
      <c r="MZ8" s="3418"/>
      <c r="NA8" s="3418"/>
      <c r="NB8" s="3418"/>
      <c r="NC8" s="3418"/>
      <c r="ND8" s="3418"/>
      <c r="NE8" s="3418"/>
      <c r="NF8" s="3418"/>
      <c r="NG8" s="3418"/>
      <c r="NH8" s="3418"/>
      <c r="NI8" s="3418"/>
      <c r="NJ8" s="3418"/>
      <c r="NK8" s="3418"/>
      <c r="NL8" s="3418"/>
      <c r="NM8" s="3418"/>
      <c r="NN8" s="3418"/>
      <c r="NO8" s="3418"/>
      <c r="NP8" s="3418"/>
      <c r="NQ8" s="3418"/>
      <c r="NR8" s="3418"/>
      <c r="NS8" s="3418"/>
      <c r="NT8" s="3418"/>
      <c r="NU8" s="3418"/>
      <c r="NV8" s="3418"/>
      <c r="NW8" s="3418"/>
      <c r="NX8" s="3418"/>
      <c r="NY8" s="3418"/>
      <c r="NZ8" s="3418"/>
      <c r="OA8" s="3418"/>
      <c r="OB8" s="3418"/>
      <c r="OC8" s="3418"/>
      <c r="OD8" s="3418"/>
      <c r="OE8" s="3418"/>
      <c r="OF8" s="3418"/>
      <c r="OG8" s="3418"/>
      <c r="OH8" s="3418"/>
      <c r="OI8" s="3418"/>
      <c r="OJ8" s="3418"/>
      <c r="OK8" s="3418"/>
      <c r="OL8" s="3418"/>
      <c r="OM8" s="3418"/>
      <c r="ON8" s="3418"/>
      <c r="OO8" s="3418"/>
      <c r="OP8" s="3418"/>
      <c r="OQ8" s="3418"/>
      <c r="OR8" s="3418"/>
      <c r="OS8" s="3418"/>
      <c r="OT8" s="3418"/>
      <c r="OU8" s="3418"/>
      <c r="OV8" s="3418"/>
      <c r="OW8" s="3418"/>
      <c r="OX8" s="3418"/>
      <c r="OY8" s="3418"/>
      <c r="OZ8" s="3418"/>
      <c r="PA8" s="3418"/>
      <c r="PB8" s="3418"/>
      <c r="PC8" s="3418"/>
      <c r="PD8" s="3418"/>
      <c r="PE8" s="3418"/>
      <c r="PF8" s="3418"/>
      <c r="PG8" s="3418"/>
      <c r="PH8" s="3418"/>
      <c r="PI8" s="3418"/>
      <c r="PJ8" s="3418"/>
      <c r="PK8" s="3418"/>
      <c r="PL8" s="3418"/>
      <c r="PM8" s="3418"/>
      <c r="PN8" s="3418"/>
      <c r="PO8" s="3418"/>
      <c r="PP8" s="3418"/>
      <c r="PQ8" s="3418"/>
      <c r="PR8" s="3418"/>
      <c r="PS8" s="3418"/>
      <c r="PT8" s="3418"/>
      <c r="PU8" s="3418"/>
      <c r="PV8" s="3418"/>
      <c r="PW8" s="3418"/>
      <c r="PX8" s="3418"/>
      <c r="PY8" s="3418"/>
      <c r="PZ8" s="3418"/>
      <c r="QA8" s="3418"/>
      <c r="QB8" s="3418"/>
      <c r="QC8" s="3418"/>
      <c r="QD8" s="3418"/>
      <c r="QE8" s="3418"/>
      <c r="QF8" s="3418"/>
      <c r="QG8" s="3418"/>
      <c r="QH8" s="3418"/>
      <c r="QI8" s="3418"/>
      <c r="QJ8" s="3418"/>
      <c r="QK8" s="3418"/>
      <c r="QL8" s="3418"/>
      <c r="QM8" s="3418"/>
      <c r="QN8" s="3418"/>
      <c r="QO8" s="3418"/>
      <c r="QP8" s="3418"/>
      <c r="QQ8" s="3418"/>
      <c r="QR8" s="3418"/>
      <c r="QS8" s="3418"/>
      <c r="QT8" s="3418"/>
      <c r="QU8" s="3418"/>
      <c r="QV8" s="3418"/>
      <c r="QW8" s="3418"/>
      <c r="QX8" s="3418"/>
      <c r="QY8" s="3418"/>
      <c r="QZ8" s="3418"/>
      <c r="RA8" s="3418"/>
      <c r="RB8" s="3418"/>
      <c r="RC8" s="3418"/>
      <c r="RD8" s="3418"/>
      <c r="RE8" s="3418"/>
      <c r="RF8" s="3418"/>
      <c r="RG8" s="3418"/>
      <c r="RH8" s="3418"/>
      <c r="RI8" s="3418"/>
      <c r="RJ8" s="3418"/>
      <c r="RK8" s="3418"/>
      <c r="RL8" s="3418"/>
      <c r="RM8" s="3418"/>
      <c r="RN8" s="3418"/>
      <c r="RO8" s="3418"/>
      <c r="RP8" s="3418"/>
      <c r="RQ8" s="3418"/>
      <c r="RR8" s="3418"/>
      <c r="RS8" s="3418"/>
      <c r="RT8" s="3418"/>
      <c r="RU8" s="3418"/>
      <c r="RV8" s="3418"/>
      <c r="RW8" s="3418"/>
      <c r="RX8" s="3418"/>
      <c r="RY8" s="3418"/>
      <c r="RZ8" s="3418"/>
      <c r="SA8" s="3418"/>
      <c r="SB8" s="3418"/>
      <c r="SC8" s="3418"/>
      <c r="SD8" s="3418"/>
      <c r="SE8" s="3418"/>
      <c r="SF8" s="3418"/>
      <c r="SG8" s="3418"/>
      <c r="SH8" s="3418"/>
      <c r="SI8" s="3418"/>
      <c r="SJ8" s="3418"/>
      <c r="SK8" s="3418"/>
      <c r="SL8" s="3418"/>
      <c r="SM8" s="3418"/>
      <c r="SN8" s="3418"/>
      <c r="SO8" s="3418"/>
      <c r="SP8" s="3418"/>
      <c r="SQ8" s="3418"/>
      <c r="SR8" s="3418"/>
      <c r="SS8" s="3418"/>
      <c r="ST8" s="3418"/>
      <c r="SU8" s="3418"/>
      <c r="SV8" s="3418"/>
      <c r="SW8" s="3418"/>
      <c r="SX8" s="3418"/>
      <c r="SY8" s="3418"/>
      <c r="SZ8" s="3418"/>
      <c r="TA8" s="3418"/>
      <c r="TB8" s="3418"/>
      <c r="TC8" s="3418"/>
      <c r="TD8" s="3418"/>
      <c r="TE8" s="3418"/>
      <c r="TF8" s="3418"/>
      <c r="TG8" s="3418"/>
      <c r="TH8" s="3418"/>
      <c r="TI8" s="3418"/>
      <c r="TJ8" s="3418"/>
      <c r="TK8" s="3418"/>
      <c r="TL8" s="3418"/>
      <c r="TM8" s="3418"/>
      <c r="TN8" s="3418"/>
      <c r="TO8" s="3418"/>
      <c r="TP8" s="3418"/>
      <c r="TQ8" s="3418"/>
      <c r="TR8" s="3418"/>
      <c r="TS8" s="3418"/>
      <c r="TT8" s="3418"/>
      <c r="TU8" s="3418"/>
      <c r="TV8" s="3418"/>
      <c r="TW8" s="3418"/>
      <c r="TX8" s="3418"/>
      <c r="TY8" s="3418"/>
      <c r="TZ8" s="3418"/>
      <c r="UA8" s="3418"/>
      <c r="UB8" s="3418"/>
      <c r="UC8" s="3418"/>
      <c r="UD8" s="3418"/>
      <c r="UE8" s="3418"/>
      <c r="UF8" s="3418"/>
      <c r="UG8" s="3418"/>
      <c r="UH8" s="3418"/>
      <c r="UI8" s="3418"/>
      <c r="UJ8" s="3418"/>
      <c r="UK8" s="3418"/>
      <c r="UL8" s="3418"/>
      <c r="UM8" s="3418"/>
      <c r="UN8" s="3418"/>
      <c r="UO8" s="3418"/>
      <c r="UP8" s="3418"/>
      <c r="UQ8" s="3418"/>
      <c r="UR8" s="3418"/>
      <c r="US8" s="3418"/>
      <c r="UT8" s="3418"/>
      <c r="UU8" s="3418"/>
      <c r="UV8" s="3418"/>
      <c r="UW8" s="3418"/>
      <c r="UX8" s="3418"/>
      <c r="UY8" s="3418"/>
      <c r="UZ8" s="3418"/>
      <c r="VA8" s="3418"/>
      <c r="VB8" s="3418"/>
      <c r="VC8" s="3418"/>
      <c r="VD8" s="3418"/>
      <c r="VE8" s="3418"/>
      <c r="VF8" s="3418"/>
      <c r="VG8" s="3418"/>
      <c r="VH8" s="3418"/>
      <c r="VI8" s="3418"/>
      <c r="VJ8" s="3418"/>
      <c r="VK8" s="3418"/>
      <c r="VL8" s="3418"/>
      <c r="VM8" s="3418"/>
      <c r="VN8" s="3418"/>
      <c r="VO8" s="3418"/>
      <c r="VP8" s="3418"/>
      <c r="VQ8" s="3418"/>
      <c r="VR8" s="3418"/>
      <c r="VS8" s="3418"/>
      <c r="VT8" s="3418"/>
      <c r="VU8" s="3418"/>
      <c r="VV8" s="3418"/>
      <c r="VW8" s="3418"/>
      <c r="VX8" s="3418"/>
      <c r="VY8" s="3418"/>
      <c r="VZ8" s="3418"/>
      <c r="WA8" s="3418"/>
      <c r="WB8" s="3418"/>
      <c r="WC8" s="3418"/>
      <c r="WD8" s="3418"/>
      <c r="WE8" s="3418"/>
      <c r="WF8" s="3418"/>
      <c r="WG8" s="3418"/>
      <c r="WH8" s="3418"/>
      <c r="WI8" s="3418"/>
      <c r="WJ8" s="3418"/>
      <c r="WK8" s="3418"/>
      <c r="WL8" s="3418"/>
      <c r="WM8" s="3418"/>
      <c r="WN8" s="3418"/>
      <c r="WO8" s="3418"/>
      <c r="WP8" s="3418"/>
      <c r="WQ8" s="3418"/>
      <c r="WR8" s="3418"/>
      <c r="WS8" s="3418"/>
      <c r="WT8" s="3418"/>
      <c r="WU8" s="3418"/>
      <c r="WV8" s="3418"/>
      <c r="WW8" s="3418"/>
      <c r="WX8" s="3418"/>
      <c r="WY8" s="3418"/>
      <c r="WZ8" s="3418"/>
      <c r="XA8" s="3418"/>
      <c r="XB8" s="3418"/>
      <c r="XC8" s="3418"/>
      <c r="XD8" s="3418"/>
      <c r="XE8" s="3418"/>
      <c r="XF8" s="3418"/>
      <c r="XG8" s="3418"/>
      <c r="XH8" s="3418"/>
      <c r="XI8" s="3418"/>
      <c r="XJ8" s="3418"/>
      <c r="XK8" s="3418"/>
      <c r="XL8" s="3418"/>
      <c r="XM8" s="3418"/>
      <c r="XN8" s="3418"/>
      <c r="XO8" s="3418"/>
      <c r="XP8" s="3418"/>
      <c r="XQ8" s="3418"/>
      <c r="XR8" s="3418"/>
      <c r="XS8" s="3418"/>
      <c r="XT8" s="3418"/>
      <c r="XU8" s="3418"/>
      <c r="XV8" s="3418"/>
      <c r="XW8" s="3418"/>
      <c r="XX8" s="3418"/>
      <c r="XY8" s="3418"/>
      <c r="XZ8" s="3418"/>
      <c r="YA8" s="3418"/>
      <c r="YB8" s="3418"/>
      <c r="YC8" s="3418"/>
      <c r="YD8" s="3418"/>
      <c r="YE8" s="3418"/>
      <c r="YF8" s="3418"/>
      <c r="YG8" s="3418"/>
      <c r="YH8" s="3418"/>
      <c r="YI8" s="3418"/>
      <c r="YJ8" s="3418"/>
      <c r="YK8" s="3418"/>
      <c r="YL8" s="3418"/>
      <c r="YM8" s="3418"/>
      <c r="YN8" s="3418"/>
      <c r="YO8" s="3418"/>
      <c r="YP8" s="3418"/>
      <c r="YQ8" s="3418"/>
      <c r="YR8" s="3418"/>
      <c r="YS8" s="3418"/>
      <c r="YT8" s="3418"/>
      <c r="YU8" s="3418"/>
      <c r="YV8" s="3418"/>
      <c r="YW8" s="3418"/>
      <c r="YX8" s="3418"/>
      <c r="YY8" s="3418"/>
      <c r="YZ8" s="3418"/>
      <c r="ZA8" s="3418"/>
      <c r="ZB8" s="3418"/>
      <c r="ZC8" s="3418"/>
      <c r="ZD8" s="3418"/>
      <c r="ZE8" s="3418"/>
      <c r="ZF8" s="3418"/>
      <c r="ZG8" s="3418"/>
      <c r="ZH8" s="3418"/>
      <c r="ZI8" s="3418"/>
      <c r="ZJ8" s="3418"/>
      <c r="ZK8" s="3418"/>
      <c r="ZL8" s="3418"/>
      <c r="ZM8" s="3418"/>
      <c r="ZN8" s="3418"/>
      <c r="ZO8" s="3418"/>
      <c r="ZP8" s="3418"/>
      <c r="ZQ8" s="3418"/>
      <c r="ZR8" s="3418"/>
      <c r="ZS8" s="3418"/>
      <c r="ZT8" s="3418"/>
      <c r="ZU8" s="3418"/>
      <c r="ZV8" s="3418"/>
      <c r="ZW8" s="3418"/>
      <c r="ZX8" s="3418"/>
      <c r="ZY8" s="3418"/>
      <c r="ZZ8" s="3418"/>
      <c r="AAA8" s="3418"/>
      <c r="AAB8" s="3418"/>
      <c r="AAC8" s="3418"/>
      <c r="AAD8" s="3418"/>
      <c r="AAE8" s="3418"/>
      <c r="AAF8" s="3418"/>
      <c r="AAG8" s="3418"/>
      <c r="AAH8" s="3418"/>
      <c r="AAI8" s="3418"/>
      <c r="AAJ8" s="3418"/>
      <c r="AAK8" s="3418"/>
      <c r="AAL8" s="3418"/>
      <c r="AAM8" s="3418"/>
      <c r="AAN8" s="3418"/>
      <c r="AAO8" s="3418"/>
      <c r="AAP8" s="3418"/>
      <c r="AAQ8" s="3418"/>
      <c r="AAR8" s="3418"/>
      <c r="AAS8" s="3418"/>
      <c r="AAT8" s="3418"/>
      <c r="AAU8" s="3418"/>
      <c r="AAV8" s="3418"/>
      <c r="AAW8" s="3418"/>
      <c r="AAX8" s="3418"/>
      <c r="AAY8" s="3418"/>
      <c r="AAZ8" s="3418"/>
      <c r="ABA8" s="3418"/>
      <c r="ABB8" s="3418"/>
      <c r="ABC8" s="3418"/>
      <c r="ABD8" s="3418"/>
      <c r="ABE8" s="3418"/>
      <c r="ABF8" s="3418"/>
      <c r="ABG8" s="3418"/>
      <c r="ABH8" s="3418"/>
      <c r="ABI8" s="3418"/>
      <c r="ABJ8" s="3418"/>
      <c r="ABK8" s="3418"/>
      <c r="ABL8" s="3418"/>
      <c r="ABM8" s="3418"/>
      <c r="ABN8" s="3418"/>
      <c r="ABO8" s="3418"/>
      <c r="ABP8" s="3418"/>
      <c r="ABQ8" s="3418"/>
      <c r="ABR8" s="3418"/>
      <c r="ABS8" s="3418"/>
      <c r="ABT8" s="3418"/>
      <c r="ABU8" s="3418"/>
      <c r="ABV8" s="3418"/>
      <c r="ABW8" s="3418"/>
      <c r="ABX8" s="3418"/>
      <c r="ABY8" s="3418"/>
      <c r="ABZ8" s="3418"/>
      <c r="ACA8" s="3418"/>
      <c r="ACB8" s="3418"/>
      <c r="ACC8" s="3418"/>
      <c r="ACD8" s="3418"/>
      <c r="ACE8" s="3418"/>
      <c r="ACF8" s="3418"/>
      <c r="ACG8" s="3418"/>
      <c r="ACH8" s="3418"/>
      <c r="ACI8" s="3418"/>
      <c r="ACJ8" s="3418"/>
      <c r="ACK8" s="3418"/>
      <c r="ACL8" s="3418"/>
      <c r="ACM8" s="3418"/>
      <c r="ACN8" s="3418"/>
      <c r="ACO8" s="3418"/>
      <c r="ACP8" s="3418"/>
      <c r="ACQ8" s="3418"/>
      <c r="ACR8" s="3418"/>
      <c r="ACS8" s="3418"/>
      <c r="ACT8" s="3418"/>
      <c r="ACU8" s="3418"/>
      <c r="ACV8" s="3418"/>
      <c r="ACW8" s="3418"/>
      <c r="ACX8" s="3418"/>
      <c r="ACY8" s="3418"/>
      <c r="ACZ8" s="3418"/>
      <c r="ADA8" s="3418"/>
      <c r="ADB8" s="3418"/>
      <c r="ADC8" s="3418"/>
      <c r="ADD8" s="3418"/>
      <c r="ADE8" s="3418"/>
      <c r="ADF8" s="3418"/>
      <c r="ADG8" s="3418"/>
      <c r="ADH8" s="3418"/>
      <c r="ADI8" s="3418"/>
      <c r="ADJ8" s="3418"/>
      <c r="ADK8" s="3418"/>
      <c r="ADL8" s="3418"/>
      <c r="ADM8" s="3418"/>
      <c r="ADN8" s="3418"/>
      <c r="ADO8" s="3418"/>
      <c r="ADP8" s="3418"/>
      <c r="ADQ8" s="3418"/>
      <c r="ADR8" s="3418"/>
      <c r="ADS8" s="3418"/>
      <c r="ADT8" s="3418"/>
      <c r="ADU8" s="3418"/>
      <c r="ADV8" s="3418"/>
      <c r="ADW8" s="3418"/>
      <c r="ADX8" s="3418"/>
      <c r="ADY8" s="3418"/>
      <c r="ADZ8" s="3418"/>
      <c r="AEA8" s="3418"/>
      <c r="AEB8" s="3418"/>
      <c r="AEC8" s="3418"/>
      <c r="AED8" s="3418"/>
      <c r="AEE8" s="3418"/>
      <c r="AEF8" s="3418"/>
      <c r="AEG8" s="3418"/>
      <c r="AEH8" s="3418"/>
      <c r="AEI8" s="3418"/>
      <c r="AEJ8" s="3418"/>
      <c r="AEK8" s="3418"/>
      <c r="AEL8" s="3418"/>
      <c r="AEM8" s="3418"/>
      <c r="AEN8" s="3418"/>
      <c r="AEO8" s="3418"/>
      <c r="AEP8" s="3418"/>
      <c r="AEQ8" s="3418"/>
      <c r="AER8" s="3418"/>
      <c r="AES8" s="3418"/>
      <c r="AET8" s="3418"/>
      <c r="AEU8" s="3418"/>
      <c r="AEV8" s="3418"/>
      <c r="AEW8" s="3418"/>
      <c r="AEX8" s="3418"/>
      <c r="AEY8" s="3418"/>
      <c r="AEZ8" s="3418"/>
      <c r="AFA8" s="3418"/>
      <c r="AFB8" s="3418"/>
      <c r="AFC8" s="3418"/>
      <c r="AFD8" s="3418"/>
      <c r="AFE8" s="3418"/>
      <c r="AFF8" s="3418"/>
      <c r="AFG8" s="3418"/>
      <c r="AFH8" s="3418"/>
      <c r="AFI8" s="3418"/>
      <c r="AFJ8" s="3418"/>
      <c r="AFK8" s="3418"/>
      <c r="AFL8" s="3418"/>
      <c r="AFM8" s="3418"/>
      <c r="AFN8" s="3418"/>
      <c r="AFO8" s="3418"/>
      <c r="AFP8" s="3418"/>
      <c r="AFQ8" s="3418"/>
      <c r="AFR8" s="3418"/>
      <c r="AFS8" s="3418"/>
      <c r="AFT8" s="3418"/>
      <c r="AFU8" s="3418"/>
      <c r="AFV8" s="3418"/>
      <c r="AFW8" s="3418"/>
      <c r="AFX8" s="3418"/>
      <c r="AFY8" s="3418"/>
      <c r="AFZ8" s="3418"/>
      <c r="AGA8" s="3418"/>
      <c r="AGB8" s="3418"/>
      <c r="AGC8" s="3418"/>
      <c r="AGD8" s="3418"/>
      <c r="AGE8" s="3418"/>
      <c r="AGF8" s="3418"/>
      <c r="AGG8" s="3418"/>
      <c r="AGH8" s="3418"/>
      <c r="AGI8" s="3418"/>
      <c r="AGJ8" s="3418"/>
      <c r="AGK8" s="3418"/>
      <c r="AGL8" s="3418"/>
      <c r="AGM8" s="3418"/>
      <c r="AGN8" s="3418"/>
      <c r="AGO8" s="3418"/>
      <c r="AGP8" s="3418"/>
      <c r="AGQ8" s="3418"/>
      <c r="AGR8" s="3418"/>
      <c r="AGS8" s="3418"/>
      <c r="AGT8" s="3418"/>
      <c r="AGU8" s="3418"/>
      <c r="AGV8" s="3418"/>
      <c r="AGW8" s="3418"/>
      <c r="AGX8" s="3418"/>
      <c r="AGY8" s="3418"/>
      <c r="AGZ8" s="3418"/>
      <c r="AHA8" s="3418"/>
      <c r="AHB8" s="3418"/>
      <c r="AHC8" s="3418"/>
      <c r="AHD8" s="3418"/>
      <c r="AHE8" s="3418"/>
      <c r="AHF8" s="3418"/>
      <c r="AHG8" s="3418"/>
      <c r="AHH8" s="3418"/>
      <c r="AHI8" s="3418"/>
      <c r="AHJ8" s="3418"/>
      <c r="AHK8" s="3418"/>
      <c r="AHL8" s="3418"/>
      <c r="AHM8" s="3418"/>
      <c r="AHN8" s="3418"/>
      <c r="AHO8" s="3418"/>
      <c r="AHP8" s="3418"/>
      <c r="AHQ8" s="3418"/>
      <c r="AHR8" s="3418"/>
      <c r="AHS8" s="3418"/>
      <c r="AHT8" s="3418"/>
      <c r="AHU8" s="3418"/>
      <c r="AHV8" s="3418"/>
      <c r="AHW8" s="3418"/>
      <c r="AHX8" s="3418"/>
      <c r="AHY8" s="3418"/>
      <c r="AHZ8" s="3418"/>
      <c r="AIA8" s="3418"/>
      <c r="AIB8" s="3418"/>
      <c r="AIC8" s="3418"/>
      <c r="AID8" s="3418"/>
      <c r="AIE8" s="3418"/>
      <c r="AIF8" s="3418"/>
      <c r="AIG8" s="3418"/>
      <c r="AIH8" s="3418"/>
      <c r="AII8" s="3418"/>
      <c r="AIJ8" s="3418"/>
      <c r="AIK8" s="3418"/>
      <c r="AIL8" s="3418"/>
      <c r="AIM8" s="3418"/>
      <c r="AIN8" s="3418"/>
      <c r="AIO8" s="3418"/>
      <c r="AIP8" s="3418"/>
      <c r="AIQ8" s="3418"/>
      <c r="AIR8" s="3418"/>
      <c r="AIS8" s="3418"/>
      <c r="AIT8" s="3418"/>
      <c r="AIU8" s="3418"/>
      <c r="AIV8" s="3418"/>
      <c r="AIW8" s="3418"/>
      <c r="AIX8" s="3418"/>
      <c r="AIY8" s="3418"/>
      <c r="AIZ8" s="3418"/>
      <c r="AJA8" s="3418"/>
      <c r="AJB8" s="3418"/>
      <c r="AJC8" s="3418"/>
      <c r="AJD8" s="3418"/>
      <c r="AJE8" s="3418"/>
      <c r="AJF8" s="3418"/>
      <c r="AJG8" s="3418"/>
      <c r="AJH8" s="3418"/>
      <c r="AJI8" s="3418"/>
      <c r="AJJ8" s="3418"/>
      <c r="AJK8" s="3418"/>
      <c r="AJL8" s="3418"/>
      <c r="AJM8" s="3418"/>
      <c r="AJN8" s="3418"/>
      <c r="AJO8" s="3418"/>
      <c r="AJP8" s="3418"/>
      <c r="AJQ8" s="3418"/>
      <c r="AJR8" s="3418"/>
      <c r="AJS8" s="3418"/>
      <c r="AJT8" s="3418"/>
      <c r="AJU8" s="3418"/>
      <c r="AJV8" s="3418"/>
      <c r="AJW8" s="3418"/>
      <c r="AJX8" s="3418"/>
      <c r="AJY8" s="3418"/>
      <c r="AJZ8" s="3418"/>
      <c r="AKA8" s="3418"/>
      <c r="AKB8" s="3418"/>
      <c r="AKC8" s="3418"/>
      <c r="AKD8" s="3418"/>
      <c r="AKE8" s="3418"/>
      <c r="AKF8" s="3418"/>
      <c r="AKG8" s="3418"/>
      <c r="AKH8" s="3418"/>
      <c r="AKI8" s="3418"/>
      <c r="AKJ8" s="3418"/>
      <c r="AKK8" s="3418"/>
      <c r="AKL8" s="3418"/>
      <c r="AKM8" s="3418"/>
      <c r="AKN8" s="3418"/>
      <c r="AKO8" s="3418"/>
      <c r="AKP8" s="3418"/>
      <c r="AKQ8" s="3418"/>
      <c r="AKR8" s="3418"/>
      <c r="AKS8" s="3418"/>
      <c r="AKT8" s="3418"/>
      <c r="AKU8" s="3418"/>
      <c r="AKV8" s="3418"/>
      <c r="AKW8" s="3418"/>
      <c r="AKX8" s="3418"/>
      <c r="AKY8" s="3418"/>
      <c r="AKZ8" s="3418"/>
      <c r="ALA8" s="3418"/>
      <c r="ALB8" s="3418"/>
      <c r="ALC8" s="3418"/>
      <c r="ALD8" s="3418"/>
      <c r="ALE8" s="3418"/>
      <c r="ALF8" s="3418"/>
      <c r="ALG8" s="3418"/>
      <c r="ALH8" s="3418"/>
      <c r="ALI8" s="3418"/>
      <c r="ALJ8" s="3418"/>
      <c r="ALK8" s="3418"/>
      <c r="ALL8" s="3418"/>
      <c r="ALM8" s="3418"/>
      <c r="ALN8" s="3418"/>
      <c r="ALO8" s="3418"/>
      <c r="ALP8" s="3418"/>
      <c r="ALQ8" s="3418"/>
      <c r="ALR8" s="3418"/>
      <c r="ALS8" s="3418"/>
      <c r="ALT8" s="3418"/>
      <c r="ALU8" s="3418"/>
      <c r="ALV8" s="3418"/>
      <c r="ALW8" s="3418"/>
      <c r="ALX8" s="3418"/>
      <c r="ALY8" s="3418"/>
      <c r="ALZ8" s="3418"/>
      <c r="AMA8" s="3418"/>
      <c r="AMB8" s="3418"/>
      <c r="AMC8" s="3418"/>
      <c r="AMD8" s="3418"/>
      <c r="AME8" s="3418"/>
      <c r="AMF8" s="3418"/>
      <c r="AMG8" s="3418"/>
      <c r="AMH8" s="3418"/>
      <c r="AMI8" s="3418"/>
      <c r="AMJ8" s="3418"/>
      <c r="AMK8" s="3418"/>
      <c r="AML8" s="3418"/>
      <c r="AMM8" s="3418"/>
      <c r="AMN8" s="3418"/>
      <c r="AMO8" s="3418"/>
      <c r="AMP8" s="3418"/>
      <c r="AMQ8" s="3418"/>
      <c r="AMR8" s="3418"/>
      <c r="AMS8" s="3418"/>
      <c r="AMT8" s="3418"/>
      <c r="AMU8" s="3418"/>
      <c r="AMV8" s="3418"/>
      <c r="AMW8" s="3418"/>
      <c r="AMX8" s="3418"/>
      <c r="AMY8" s="3418"/>
      <c r="AMZ8" s="3418"/>
      <c r="ANA8" s="3418"/>
      <c r="ANB8" s="3418"/>
      <c r="ANC8" s="3418"/>
      <c r="AND8" s="3418"/>
      <c r="ANE8" s="3418"/>
      <c r="ANF8" s="3418"/>
      <c r="ANG8" s="3418"/>
      <c r="ANH8" s="3418"/>
      <c r="ANI8" s="3418"/>
      <c r="ANJ8" s="3418"/>
      <c r="ANK8" s="3418"/>
      <c r="ANL8" s="3418"/>
      <c r="ANM8" s="3418"/>
      <c r="ANN8" s="3418"/>
      <c r="ANO8" s="3418"/>
      <c r="ANP8" s="3418"/>
      <c r="ANQ8" s="3418"/>
      <c r="ANR8" s="3418"/>
      <c r="ANS8" s="3418"/>
      <c r="ANT8" s="3418"/>
      <c r="ANU8" s="3418"/>
      <c r="ANV8" s="3418"/>
      <c r="ANW8" s="3418"/>
      <c r="ANX8" s="3418"/>
      <c r="ANY8" s="3418"/>
      <c r="ANZ8" s="3418"/>
      <c r="AOA8" s="3418"/>
      <c r="AOB8" s="3418"/>
      <c r="AOC8" s="3418"/>
      <c r="AOD8" s="3418"/>
      <c r="AOE8" s="3418"/>
      <c r="AOF8" s="3418"/>
      <c r="AOG8" s="3418"/>
      <c r="AOH8" s="3418"/>
      <c r="AOI8" s="3418"/>
      <c r="AOJ8" s="3418"/>
      <c r="AOK8" s="3418"/>
      <c r="AOL8" s="3418"/>
      <c r="AOM8" s="3418"/>
      <c r="AON8" s="3418"/>
      <c r="AOO8" s="3418"/>
      <c r="AOP8" s="3418"/>
      <c r="AOQ8" s="3418"/>
      <c r="AOR8" s="3418"/>
      <c r="AOS8" s="3418"/>
      <c r="AOT8" s="3418"/>
      <c r="AOU8" s="3418"/>
      <c r="AOV8" s="3418"/>
      <c r="AOW8" s="3418"/>
      <c r="AOX8" s="3418"/>
      <c r="AOY8" s="3418"/>
      <c r="AOZ8" s="3418"/>
      <c r="APA8" s="3418"/>
      <c r="APB8" s="3418"/>
      <c r="APC8" s="3418"/>
      <c r="APD8" s="3418"/>
      <c r="APE8" s="3418"/>
      <c r="APF8" s="3418"/>
      <c r="APG8" s="3418"/>
      <c r="APH8" s="3418"/>
      <c r="API8" s="3418"/>
      <c r="APJ8" s="3418"/>
      <c r="APK8" s="3418"/>
      <c r="APL8" s="3418"/>
      <c r="APM8" s="3418"/>
      <c r="APN8" s="3418"/>
      <c r="APO8" s="3418"/>
      <c r="APP8" s="3418"/>
      <c r="APQ8" s="3418"/>
      <c r="APR8" s="3418"/>
      <c r="APS8" s="3418"/>
      <c r="APT8" s="3418"/>
      <c r="APU8" s="3418"/>
      <c r="APV8" s="3418"/>
      <c r="APW8" s="3418"/>
      <c r="APX8" s="3418"/>
      <c r="APY8" s="3418"/>
      <c r="APZ8" s="3418"/>
      <c r="AQA8" s="3418"/>
      <c r="AQB8" s="3418"/>
      <c r="AQC8" s="3418"/>
      <c r="AQD8" s="3418"/>
      <c r="AQE8" s="3418"/>
      <c r="AQF8" s="3418"/>
      <c r="AQG8" s="3418"/>
      <c r="AQH8" s="3418"/>
      <c r="AQI8" s="3418"/>
      <c r="AQJ8" s="3418"/>
      <c r="AQK8" s="3418"/>
      <c r="AQL8" s="3418"/>
      <c r="AQM8" s="3418"/>
      <c r="AQN8" s="3418"/>
      <c r="AQO8" s="3418"/>
      <c r="AQP8" s="3418"/>
      <c r="AQQ8" s="3418"/>
      <c r="AQR8" s="3418"/>
      <c r="AQS8" s="3418"/>
      <c r="AQT8" s="3418"/>
      <c r="AQU8" s="3418"/>
      <c r="AQV8" s="3418"/>
      <c r="AQW8" s="3418"/>
      <c r="AQX8" s="3418"/>
      <c r="AQY8" s="3418"/>
      <c r="AQZ8" s="3418"/>
      <c r="ARA8" s="3418"/>
      <c r="ARB8" s="3418"/>
      <c r="ARC8" s="3418"/>
      <c r="ARD8" s="3418"/>
      <c r="ARE8" s="3418"/>
      <c r="ARF8" s="3418"/>
      <c r="ARG8" s="3418"/>
      <c r="ARH8" s="3418"/>
      <c r="ARI8" s="3418"/>
      <c r="ARJ8" s="3418"/>
      <c r="ARK8" s="3418"/>
      <c r="ARL8" s="3418"/>
      <c r="ARM8" s="3418"/>
      <c r="ARN8" s="3418"/>
      <c r="ARO8" s="3418"/>
      <c r="ARP8" s="3418"/>
      <c r="ARQ8" s="3418"/>
      <c r="ARR8" s="3418"/>
      <c r="ARS8" s="3418"/>
      <c r="ART8" s="3418"/>
      <c r="ARU8" s="3418"/>
      <c r="ARV8" s="3418"/>
      <c r="ARW8" s="3418"/>
      <c r="ARX8" s="3418"/>
      <c r="ARY8" s="3418"/>
      <c r="ARZ8" s="3418"/>
      <c r="ASA8" s="3418"/>
      <c r="ASB8" s="3418"/>
      <c r="ASC8" s="3418"/>
      <c r="ASD8" s="3418"/>
      <c r="ASE8" s="3418"/>
      <c r="ASF8" s="3418"/>
      <c r="ASG8" s="3418"/>
      <c r="ASH8" s="3418"/>
      <c r="ASI8" s="3418"/>
      <c r="ASJ8" s="3418"/>
      <c r="ASK8" s="3418"/>
      <c r="ASL8" s="3418"/>
      <c r="ASM8" s="3418"/>
      <c r="ASN8" s="3418"/>
      <c r="ASO8" s="3418"/>
      <c r="ASP8" s="3418"/>
      <c r="ASQ8" s="3418"/>
      <c r="ASR8" s="3418"/>
      <c r="ASS8" s="3418"/>
      <c r="AST8" s="3418"/>
      <c r="ASU8" s="3418"/>
      <c r="ASV8" s="3418"/>
      <c r="ASW8" s="3418"/>
      <c r="ASX8" s="3418"/>
      <c r="ASY8" s="3418"/>
      <c r="ASZ8" s="3418"/>
      <c r="ATA8" s="3418"/>
      <c r="ATB8" s="3418"/>
      <c r="ATC8" s="3418"/>
      <c r="ATD8" s="3418"/>
      <c r="ATE8" s="3418"/>
      <c r="ATF8" s="3418"/>
      <c r="ATG8" s="3418"/>
      <c r="ATH8" s="3418"/>
      <c r="ATI8" s="3418"/>
      <c r="ATJ8" s="3418"/>
      <c r="ATK8" s="3418"/>
      <c r="ATL8" s="3418"/>
      <c r="ATM8" s="3418"/>
      <c r="ATN8" s="3418"/>
      <c r="ATO8" s="3418"/>
      <c r="ATP8" s="3418"/>
      <c r="ATQ8" s="3418"/>
      <c r="ATR8" s="3418"/>
      <c r="ATS8" s="3418"/>
      <c r="ATT8" s="3418"/>
      <c r="ATU8" s="3418"/>
      <c r="ATV8" s="3418"/>
      <c r="ATW8" s="3418"/>
      <c r="ATX8" s="3418"/>
      <c r="ATY8" s="3418"/>
      <c r="ATZ8" s="3418"/>
      <c r="AUA8" s="3418"/>
      <c r="AUB8" s="3418"/>
      <c r="AUC8" s="3418"/>
      <c r="AUD8" s="3418"/>
      <c r="AUE8" s="3418"/>
      <c r="AUF8" s="3418"/>
      <c r="AUG8" s="3418"/>
      <c r="AUH8" s="3418"/>
      <c r="AUI8" s="3418"/>
      <c r="AUJ8" s="3418"/>
      <c r="AUK8" s="3418"/>
      <c r="AUL8" s="3418"/>
      <c r="AUM8" s="3418"/>
      <c r="AUN8" s="3418"/>
      <c r="AUO8" s="3418"/>
      <c r="AUP8" s="3418"/>
      <c r="AUQ8" s="3418"/>
      <c r="AUR8" s="3418"/>
      <c r="AUS8" s="3418"/>
      <c r="AUT8" s="3418"/>
      <c r="AUU8" s="3418"/>
      <c r="AUV8" s="3418"/>
      <c r="AUW8" s="3418"/>
      <c r="AUX8" s="3418"/>
      <c r="AUY8" s="3418"/>
      <c r="AUZ8" s="3418"/>
      <c r="AVA8" s="3418"/>
      <c r="AVB8" s="3418"/>
      <c r="AVC8" s="3418"/>
      <c r="AVD8" s="3418"/>
      <c r="AVE8" s="3418"/>
      <c r="AVF8" s="3418"/>
      <c r="AVG8" s="3418"/>
      <c r="AVH8" s="3418"/>
      <c r="AVI8" s="3418"/>
      <c r="AVJ8" s="3418"/>
      <c r="AVK8" s="3418"/>
      <c r="AVL8" s="3418"/>
      <c r="AVM8" s="3418"/>
      <c r="AVN8" s="3418"/>
      <c r="AVO8" s="3418"/>
      <c r="AVP8" s="3418"/>
      <c r="AVQ8" s="3418"/>
      <c r="AVR8" s="3418"/>
      <c r="AVS8" s="3418"/>
      <c r="AVT8" s="3418"/>
      <c r="AVU8" s="3418"/>
      <c r="AVV8" s="3418"/>
      <c r="AVW8" s="3418"/>
      <c r="AVX8" s="3418"/>
      <c r="AVY8" s="3418"/>
      <c r="AVZ8" s="3418"/>
      <c r="AWA8" s="3418"/>
      <c r="AWB8" s="3418"/>
      <c r="AWC8" s="3418"/>
      <c r="AWD8" s="3418"/>
      <c r="AWE8" s="3418"/>
      <c r="AWF8" s="3418"/>
      <c r="AWG8" s="3418"/>
      <c r="AWH8" s="3418"/>
      <c r="AWI8" s="3418"/>
      <c r="AWJ8" s="3418"/>
      <c r="AWK8" s="3418"/>
      <c r="AWL8" s="3418"/>
      <c r="AWM8" s="3418"/>
      <c r="AWN8" s="3418"/>
      <c r="AWO8" s="3418"/>
      <c r="AWP8" s="3418"/>
      <c r="AWQ8" s="3418"/>
      <c r="AWR8" s="3418"/>
      <c r="AWS8" s="3418"/>
      <c r="AWT8" s="3418"/>
      <c r="AWU8" s="3418"/>
      <c r="AWV8" s="3418"/>
      <c r="AWW8" s="3418"/>
      <c r="AWX8" s="3418"/>
      <c r="AWY8" s="3418"/>
      <c r="AWZ8" s="3418"/>
      <c r="AXA8" s="3418"/>
      <c r="AXB8" s="3418"/>
      <c r="AXC8" s="3418"/>
      <c r="AXD8" s="3418"/>
      <c r="AXE8" s="3418"/>
      <c r="AXF8" s="3418"/>
      <c r="AXG8" s="3418"/>
      <c r="AXH8" s="3418"/>
      <c r="AXI8" s="3418"/>
      <c r="AXJ8" s="3418"/>
      <c r="AXK8" s="3418"/>
      <c r="AXL8" s="3418"/>
      <c r="AXM8" s="3418"/>
      <c r="AXN8" s="3418"/>
      <c r="AXO8" s="3418"/>
      <c r="AXP8" s="3418"/>
      <c r="AXQ8" s="3418"/>
      <c r="AXR8" s="3418"/>
      <c r="AXS8" s="3418"/>
      <c r="AXT8" s="3418"/>
      <c r="AXU8" s="3418"/>
      <c r="AXV8" s="3418"/>
      <c r="AXW8" s="3418"/>
      <c r="AXX8" s="3418"/>
      <c r="AXY8" s="3418"/>
      <c r="AXZ8" s="3418"/>
      <c r="AYA8" s="3418"/>
      <c r="AYB8" s="3418"/>
      <c r="AYC8" s="3418"/>
      <c r="AYD8" s="3418"/>
      <c r="AYE8" s="3418"/>
      <c r="AYF8" s="3418"/>
      <c r="AYG8" s="3418"/>
      <c r="AYH8" s="3418"/>
      <c r="AYI8" s="3418"/>
      <c r="AYJ8" s="3418"/>
      <c r="AYK8" s="3418"/>
      <c r="AYL8" s="3418"/>
      <c r="AYM8" s="3418"/>
      <c r="AYN8" s="3418"/>
      <c r="AYO8" s="3418"/>
      <c r="AYP8" s="3418"/>
      <c r="AYQ8" s="3418"/>
      <c r="AYR8" s="3418"/>
      <c r="AYS8" s="3418"/>
      <c r="AYT8" s="3418"/>
      <c r="AYU8" s="3418"/>
      <c r="AYV8" s="3418"/>
      <c r="AYW8" s="3418"/>
      <c r="AYX8" s="3418"/>
      <c r="AYY8" s="3418"/>
      <c r="AYZ8" s="3418"/>
      <c r="AZA8" s="3418"/>
      <c r="AZB8" s="3418"/>
      <c r="AZC8" s="3418"/>
      <c r="AZD8" s="3418"/>
      <c r="AZE8" s="3418"/>
      <c r="AZF8" s="3418"/>
      <c r="AZG8" s="3418"/>
      <c r="AZH8" s="3418"/>
      <c r="AZI8" s="3418"/>
      <c r="AZJ8" s="3418"/>
      <c r="AZK8" s="3418"/>
      <c r="AZL8" s="3418"/>
      <c r="AZM8" s="3418"/>
      <c r="AZN8" s="3418"/>
      <c r="AZO8" s="3418"/>
      <c r="AZP8" s="3418"/>
      <c r="AZQ8" s="3418"/>
      <c r="AZR8" s="3418"/>
      <c r="AZS8" s="3418"/>
      <c r="AZT8" s="3418"/>
      <c r="AZU8" s="3418"/>
      <c r="AZV8" s="3418"/>
      <c r="AZW8" s="3418"/>
      <c r="AZX8" s="3418"/>
      <c r="AZY8" s="3418"/>
      <c r="AZZ8" s="3418"/>
      <c r="BAA8" s="3418"/>
      <c r="BAB8" s="3418"/>
      <c r="BAC8" s="3418"/>
      <c r="BAD8" s="3418"/>
      <c r="BAE8" s="3418"/>
      <c r="BAF8" s="3418"/>
      <c r="BAG8" s="3418"/>
      <c r="BAH8" s="3418"/>
      <c r="BAI8" s="3418"/>
      <c r="BAJ8" s="3418"/>
      <c r="BAK8" s="3418"/>
      <c r="BAL8" s="3418"/>
      <c r="BAM8" s="3418"/>
      <c r="BAN8" s="3418"/>
      <c r="BAO8" s="3418"/>
      <c r="BAP8" s="3418"/>
      <c r="BAQ8" s="3418"/>
      <c r="BAR8" s="3418"/>
      <c r="BAS8" s="3418"/>
      <c r="BAT8" s="3418"/>
      <c r="BAU8" s="3418"/>
      <c r="BAV8" s="3418"/>
      <c r="BAW8" s="3418"/>
      <c r="BAX8" s="3418"/>
      <c r="BAY8" s="3418"/>
      <c r="BAZ8" s="3418"/>
      <c r="BBA8" s="3418"/>
      <c r="BBB8" s="3418"/>
      <c r="BBC8" s="3418"/>
      <c r="BBD8" s="3418"/>
      <c r="BBE8" s="3418"/>
      <c r="BBF8" s="3418"/>
      <c r="BBG8" s="3418"/>
      <c r="BBH8" s="3418"/>
      <c r="BBI8" s="3418"/>
      <c r="BBJ8" s="3418"/>
      <c r="BBK8" s="3418"/>
      <c r="BBL8" s="3418"/>
      <c r="BBM8" s="3418"/>
      <c r="BBN8" s="3418"/>
      <c r="BBO8" s="3418"/>
      <c r="BBP8" s="3418"/>
      <c r="BBQ8" s="3418"/>
      <c r="BBR8" s="3418"/>
      <c r="BBS8" s="3418"/>
      <c r="BBT8" s="3418"/>
      <c r="BBU8" s="3418"/>
      <c r="BBV8" s="3418"/>
      <c r="BBW8" s="3418"/>
      <c r="BBX8" s="3418"/>
      <c r="BBY8" s="3418"/>
      <c r="BBZ8" s="3418"/>
      <c r="BCA8" s="3418"/>
      <c r="BCB8" s="3418"/>
      <c r="BCC8" s="3418"/>
      <c r="BCD8" s="3418"/>
      <c r="BCE8" s="3418"/>
      <c r="BCF8" s="3418"/>
      <c r="BCG8" s="3418"/>
      <c r="BCH8" s="3418"/>
      <c r="BCI8" s="3418"/>
      <c r="BCJ8" s="3418"/>
      <c r="BCK8" s="3418"/>
      <c r="BCL8" s="3418"/>
      <c r="BCM8" s="3418"/>
      <c r="BCN8" s="3418"/>
      <c r="BCO8" s="3418"/>
      <c r="BCP8" s="3418"/>
      <c r="BCQ8" s="3418"/>
      <c r="BCR8" s="3418"/>
      <c r="BCS8" s="3418"/>
      <c r="BCT8" s="3418"/>
      <c r="BCU8" s="3418"/>
      <c r="BCV8" s="3418"/>
      <c r="BCW8" s="3418"/>
      <c r="BCX8" s="3418"/>
      <c r="BCY8" s="3418"/>
      <c r="BCZ8" s="3418"/>
      <c r="BDA8" s="3418"/>
      <c r="BDB8" s="3418"/>
      <c r="BDC8" s="3418"/>
      <c r="BDD8" s="3418"/>
      <c r="BDE8" s="3418"/>
      <c r="BDF8" s="3418"/>
      <c r="BDG8" s="3418"/>
      <c r="BDH8" s="3418"/>
      <c r="BDI8" s="3418"/>
      <c r="BDJ8" s="3418"/>
      <c r="BDK8" s="3418"/>
      <c r="BDL8" s="3418"/>
      <c r="BDM8" s="3418"/>
      <c r="BDN8" s="3418"/>
      <c r="BDO8" s="3418"/>
      <c r="BDP8" s="3418"/>
      <c r="BDQ8" s="3418"/>
      <c r="BDR8" s="3418"/>
      <c r="BDS8" s="3418"/>
      <c r="BDT8" s="3418"/>
      <c r="BDU8" s="3418"/>
      <c r="BDV8" s="3418"/>
      <c r="BDW8" s="3418"/>
      <c r="BDX8" s="3418"/>
      <c r="BDY8" s="3418"/>
      <c r="BDZ8" s="3418"/>
      <c r="BEA8" s="3418"/>
      <c r="BEB8" s="3418"/>
      <c r="BEC8" s="3418"/>
      <c r="BED8" s="3418"/>
      <c r="BEE8" s="3418"/>
      <c r="BEF8" s="3418"/>
      <c r="BEG8" s="3418"/>
      <c r="BEH8" s="3418"/>
      <c r="BEI8" s="3418"/>
      <c r="BEJ8" s="3418"/>
      <c r="BEK8" s="3418"/>
      <c r="BEL8" s="3418"/>
      <c r="BEM8" s="3418"/>
      <c r="BEN8" s="3418"/>
      <c r="BEO8" s="3418"/>
      <c r="BEP8" s="3418"/>
      <c r="BEQ8" s="3418"/>
      <c r="BER8" s="3418"/>
      <c r="BES8" s="3418"/>
      <c r="BET8" s="3418"/>
      <c r="BEU8" s="3418"/>
      <c r="BEV8" s="3418"/>
      <c r="BEW8" s="3418"/>
      <c r="BEX8" s="3418"/>
      <c r="BEY8" s="3418"/>
      <c r="BEZ8" s="3418"/>
      <c r="BFA8" s="3418"/>
      <c r="BFB8" s="3418"/>
      <c r="BFC8" s="3418"/>
      <c r="BFD8" s="3418"/>
      <c r="BFE8" s="3418"/>
      <c r="BFF8" s="3418"/>
      <c r="BFG8" s="3418"/>
      <c r="BFH8" s="3418"/>
      <c r="BFI8" s="3418"/>
      <c r="BFJ8" s="3418"/>
      <c r="BFK8" s="3418"/>
      <c r="BFL8" s="3418"/>
      <c r="BFM8" s="3418"/>
      <c r="BFN8" s="3418"/>
      <c r="BFO8" s="3418"/>
      <c r="BFP8" s="3418"/>
      <c r="BFQ8" s="3418"/>
      <c r="BFR8" s="3418"/>
      <c r="BFS8" s="3418"/>
      <c r="BFT8" s="3418"/>
      <c r="BFU8" s="3418"/>
      <c r="BFV8" s="3418"/>
      <c r="BFW8" s="3418"/>
      <c r="BFX8" s="3418"/>
      <c r="BFY8" s="3418"/>
      <c r="BFZ8" s="3418"/>
      <c r="BGA8" s="3418"/>
      <c r="BGB8" s="3418"/>
      <c r="BGC8" s="3418"/>
      <c r="BGD8" s="3418"/>
      <c r="BGE8" s="3418"/>
      <c r="BGF8" s="3418"/>
      <c r="BGG8" s="3418"/>
      <c r="BGH8" s="3418"/>
      <c r="BGI8" s="3418"/>
      <c r="BGJ8" s="3418"/>
      <c r="BGK8" s="3418"/>
      <c r="BGL8" s="3418"/>
      <c r="BGM8" s="3418"/>
      <c r="BGN8" s="3418"/>
      <c r="BGO8" s="3418"/>
      <c r="BGP8" s="3418"/>
      <c r="BGQ8" s="3418"/>
      <c r="BGR8" s="3418"/>
      <c r="BGS8" s="3418"/>
      <c r="BGT8" s="3418"/>
      <c r="BGU8" s="3418"/>
      <c r="BGV8" s="3418"/>
      <c r="BGW8" s="3418"/>
      <c r="BGX8" s="3418"/>
      <c r="BGY8" s="3418"/>
      <c r="BGZ8" s="3418"/>
      <c r="BHA8" s="3418"/>
      <c r="BHB8" s="3418"/>
      <c r="BHC8" s="3418"/>
      <c r="BHD8" s="3418"/>
      <c r="BHE8" s="3418"/>
      <c r="BHF8" s="3418"/>
      <c r="BHG8" s="3418"/>
      <c r="BHH8" s="3418"/>
      <c r="BHI8" s="3418"/>
      <c r="BHJ8" s="3418"/>
      <c r="BHK8" s="3418"/>
      <c r="BHL8" s="3418"/>
      <c r="BHM8" s="3418"/>
      <c r="BHN8" s="3418"/>
      <c r="BHO8" s="3418"/>
      <c r="BHP8" s="3418"/>
      <c r="BHQ8" s="3418"/>
      <c r="BHR8" s="3418"/>
      <c r="BHS8" s="3418"/>
      <c r="BHT8" s="3418"/>
      <c r="BHU8" s="3418"/>
      <c r="BHV8" s="3418"/>
      <c r="BHW8" s="3418"/>
      <c r="BHX8" s="3418"/>
      <c r="BHY8" s="3418"/>
      <c r="BHZ8" s="3418"/>
      <c r="BIA8" s="3418"/>
      <c r="BIB8" s="3418"/>
      <c r="BIC8" s="3418"/>
      <c r="BID8" s="3418"/>
      <c r="BIE8" s="3418"/>
      <c r="BIF8" s="3418"/>
      <c r="BIG8" s="3418"/>
      <c r="BIH8" s="3418"/>
      <c r="BII8" s="3418"/>
      <c r="BIJ8" s="3418"/>
      <c r="BIK8" s="3418"/>
      <c r="BIL8" s="3418"/>
      <c r="BIM8" s="3418"/>
      <c r="BIN8" s="3418"/>
      <c r="BIO8" s="3418"/>
      <c r="BIP8" s="3418"/>
      <c r="BIQ8" s="3418"/>
      <c r="BIR8" s="3418"/>
      <c r="BIS8" s="3418"/>
      <c r="BIT8" s="3418"/>
      <c r="BIU8" s="3418"/>
      <c r="BIV8" s="3418"/>
      <c r="BIW8" s="3418"/>
      <c r="BIX8" s="3418"/>
      <c r="BIY8" s="3418"/>
      <c r="BIZ8" s="3418"/>
      <c r="BJA8" s="3418"/>
      <c r="BJB8" s="3418"/>
      <c r="BJC8" s="3418"/>
      <c r="BJD8" s="3418"/>
      <c r="BJE8" s="3418"/>
      <c r="BJF8" s="3418"/>
      <c r="BJG8" s="3418"/>
      <c r="BJH8" s="3418"/>
      <c r="BJI8" s="3418"/>
      <c r="BJJ8" s="3418"/>
      <c r="BJK8" s="3418"/>
      <c r="BJL8" s="3418"/>
      <c r="BJM8" s="3418"/>
      <c r="BJN8" s="3418"/>
      <c r="BJO8" s="3418"/>
      <c r="BJP8" s="3418"/>
      <c r="BJQ8" s="3418"/>
      <c r="BJR8" s="3418"/>
      <c r="BJS8" s="3418"/>
      <c r="BJT8" s="3418"/>
      <c r="BJU8" s="3418"/>
      <c r="BJV8" s="3418"/>
      <c r="BJW8" s="3418"/>
      <c r="BJX8" s="3418"/>
      <c r="BJY8" s="3418"/>
      <c r="BJZ8" s="3418"/>
      <c r="BKA8" s="3418"/>
      <c r="BKB8" s="3418"/>
      <c r="BKC8" s="3418"/>
      <c r="BKD8" s="3418"/>
      <c r="BKE8" s="3418"/>
      <c r="BKF8" s="3418"/>
      <c r="BKG8" s="3418"/>
      <c r="BKH8" s="3418"/>
      <c r="BKI8" s="3418"/>
      <c r="BKJ8" s="3418"/>
      <c r="BKK8" s="3418"/>
      <c r="BKL8" s="3418"/>
      <c r="BKM8" s="3418"/>
      <c r="BKN8" s="3418"/>
      <c r="BKO8" s="3418"/>
      <c r="BKP8" s="3418"/>
      <c r="BKQ8" s="3418"/>
      <c r="BKR8" s="3418"/>
      <c r="BKS8" s="3418"/>
      <c r="BKT8" s="3418"/>
      <c r="BKU8" s="3418"/>
      <c r="BKV8" s="3418"/>
      <c r="BKW8" s="3418"/>
      <c r="BKX8" s="3418"/>
      <c r="BKY8" s="3418"/>
      <c r="BKZ8" s="3418"/>
      <c r="BLA8" s="3418"/>
      <c r="BLB8" s="3418"/>
      <c r="BLC8" s="3418"/>
      <c r="BLD8" s="3418"/>
      <c r="BLE8" s="3418"/>
      <c r="BLF8" s="3418"/>
      <c r="BLG8" s="3418"/>
      <c r="BLH8" s="3418"/>
      <c r="BLI8" s="3418"/>
      <c r="BLJ8" s="3418"/>
      <c r="BLK8" s="3418"/>
      <c r="BLL8" s="3418"/>
      <c r="BLM8" s="3418"/>
      <c r="BLN8" s="3418"/>
      <c r="BLO8" s="3418"/>
      <c r="BLP8" s="3418"/>
      <c r="BLQ8" s="3418"/>
      <c r="BLR8" s="3418"/>
      <c r="BLS8" s="3418"/>
      <c r="BLT8" s="3418"/>
      <c r="BLU8" s="3418"/>
      <c r="BLV8" s="3418"/>
      <c r="BLW8" s="3418"/>
      <c r="BLX8" s="3418"/>
      <c r="BLY8" s="3418"/>
      <c r="BLZ8" s="3418"/>
      <c r="BMA8" s="3418"/>
      <c r="BMB8" s="3418"/>
      <c r="BMC8" s="3418"/>
      <c r="BMD8" s="3418"/>
      <c r="BME8" s="3418"/>
      <c r="BMF8" s="3418"/>
      <c r="BMG8" s="3418"/>
      <c r="BMH8" s="3418"/>
      <c r="BMI8" s="3418"/>
      <c r="BMJ8" s="3418"/>
      <c r="BMK8" s="3418"/>
      <c r="BML8" s="3418"/>
      <c r="BMM8" s="3418"/>
      <c r="BMN8" s="3418"/>
      <c r="BMO8" s="3418"/>
      <c r="BMP8" s="3418"/>
      <c r="BMQ8" s="3418"/>
      <c r="BMR8" s="3418"/>
      <c r="BMS8" s="3418"/>
      <c r="BMT8" s="3418"/>
      <c r="BMU8" s="3418"/>
      <c r="BMV8" s="3418"/>
      <c r="BMW8" s="3418"/>
      <c r="BMX8" s="3418"/>
      <c r="BMY8" s="3418"/>
      <c r="BMZ8" s="3418"/>
      <c r="BNA8" s="3418"/>
      <c r="BNB8" s="3418"/>
      <c r="BNC8" s="3418"/>
      <c r="BND8" s="3418"/>
      <c r="BNE8" s="3418"/>
      <c r="BNF8" s="3418"/>
      <c r="BNG8" s="3418"/>
      <c r="BNH8" s="3418"/>
      <c r="BNI8" s="3418"/>
      <c r="BNJ8" s="3418"/>
      <c r="BNK8" s="3418"/>
      <c r="BNL8" s="3418"/>
      <c r="BNM8" s="3418"/>
      <c r="BNN8" s="3418"/>
      <c r="BNO8" s="3418"/>
      <c r="BNP8" s="3418"/>
      <c r="BNQ8" s="3418"/>
      <c r="BNR8" s="3418"/>
      <c r="BNS8" s="3418"/>
      <c r="BNT8" s="3418"/>
      <c r="BNU8" s="3418"/>
      <c r="BNV8" s="3418"/>
      <c r="BNW8" s="3418"/>
      <c r="BNX8" s="3418"/>
      <c r="BNY8" s="3418"/>
      <c r="BNZ8" s="3418"/>
      <c r="BOA8" s="3418"/>
      <c r="BOB8" s="3418"/>
      <c r="BOC8" s="3418"/>
      <c r="BOD8" s="3418"/>
      <c r="BOE8" s="3418"/>
      <c r="BOF8" s="3418"/>
      <c r="BOG8" s="3418"/>
      <c r="BOH8" s="3418"/>
      <c r="BOI8" s="3418"/>
      <c r="BOJ8" s="3418"/>
      <c r="BOK8" s="3418"/>
      <c r="BOL8" s="3418"/>
      <c r="BOM8" s="3418"/>
      <c r="BON8" s="3418"/>
      <c r="BOO8" s="3418"/>
      <c r="BOP8" s="3418"/>
      <c r="BOQ8" s="3418"/>
      <c r="BOR8" s="3418"/>
      <c r="BOS8" s="3418"/>
      <c r="BOT8" s="3418"/>
      <c r="BOU8" s="3418"/>
      <c r="BOV8" s="3418"/>
      <c r="BOW8" s="3418"/>
      <c r="BOX8" s="3418"/>
      <c r="BOY8" s="3418"/>
      <c r="BOZ8" s="3418"/>
      <c r="BPA8" s="3418"/>
      <c r="BPB8" s="3418"/>
      <c r="BPC8" s="3418"/>
      <c r="BPD8" s="3418"/>
      <c r="BPE8" s="3418"/>
      <c r="BPF8" s="3418"/>
      <c r="BPG8" s="3418"/>
      <c r="BPH8" s="3418"/>
      <c r="BPI8" s="3418"/>
      <c r="BPJ8" s="3418"/>
      <c r="BPK8" s="3418"/>
      <c r="BPL8" s="3418"/>
      <c r="BPM8" s="3418"/>
      <c r="BPN8" s="3418"/>
      <c r="BPO8" s="3418"/>
      <c r="BPP8" s="3418"/>
      <c r="BPQ8" s="3418"/>
      <c r="BPR8" s="3418"/>
      <c r="BPS8" s="3418"/>
      <c r="BPT8" s="3418"/>
      <c r="BPU8" s="3418"/>
      <c r="BPV8" s="3418"/>
      <c r="BPW8" s="3418"/>
      <c r="BPX8" s="3418"/>
      <c r="BPY8" s="3418"/>
      <c r="BPZ8" s="3418"/>
      <c r="BQA8" s="3418"/>
      <c r="BQB8" s="3418"/>
      <c r="BQC8" s="3418"/>
      <c r="BQD8" s="3418"/>
      <c r="BQE8" s="3418"/>
      <c r="BQF8" s="3418"/>
      <c r="BQG8" s="3418"/>
      <c r="BQH8" s="3418"/>
      <c r="BQI8" s="3418"/>
      <c r="BQJ8" s="3418"/>
      <c r="BQK8" s="3418"/>
      <c r="BQL8" s="3418"/>
      <c r="BQM8" s="3418"/>
      <c r="BQN8" s="3418"/>
      <c r="BQO8" s="3418"/>
      <c r="BQP8" s="3418"/>
      <c r="BQQ8" s="3418"/>
      <c r="BQR8" s="3418"/>
      <c r="BQS8" s="3418"/>
      <c r="BQT8" s="3418"/>
      <c r="BQU8" s="3418"/>
      <c r="BQV8" s="3418"/>
      <c r="BQW8" s="3418"/>
      <c r="BQX8" s="3418"/>
      <c r="BQY8" s="3418"/>
      <c r="BQZ8" s="3418"/>
      <c r="BRA8" s="3418"/>
      <c r="BRB8" s="3418"/>
      <c r="BRC8" s="3418"/>
      <c r="BRD8" s="3418"/>
      <c r="BRE8" s="3418"/>
      <c r="BRF8" s="3418"/>
      <c r="BRG8" s="3418"/>
      <c r="BRH8" s="3418"/>
      <c r="BRI8" s="3418"/>
      <c r="BRJ8" s="3418"/>
      <c r="BRK8" s="3418"/>
      <c r="BRL8" s="3418"/>
      <c r="BRM8" s="3418"/>
      <c r="BRN8" s="3418"/>
      <c r="BRO8" s="3418"/>
      <c r="BRP8" s="3418"/>
      <c r="BRQ8" s="3418"/>
      <c r="BRR8" s="3418"/>
      <c r="BRS8" s="3418"/>
      <c r="BRT8" s="3418"/>
      <c r="BRU8" s="3418"/>
      <c r="BRV8" s="3418"/>
      <c r="BRW8" s="3418"/>
      <c r="BRX8" s="3418"/>
      <c r="BRY8" s="3418"/>
      <c r="BRZ8" s="3418"/>
      <c r="BSA8" s="3418"/>
      <c r="BSB8" s="3418"/>
      <c r="BSC8" s="3418"/>
      <c r="BSD8" s="3418"/>
      <c r="BSE8" s="3418"/>
      <c r="BSF8" s="3418"/>
      <c r="BSG8" s="3418"/>
      <c r="BSH8" s="3418"/>
      <c r="BSI8" s="3418"/>
      <c r="BSJ8" s="3418"/>
      <c r="BSK8" s="3418"/>
      <c r="BSL8" s="3418"/>
      <c r="BSM8" s="3418"/>
      <c r="BSN8" s="3418"/>
      <c r="BSO8" s="3418"/>
      <c r="BSP8" s="3418"/>
      <c r="BSQ8" s="3418"/>
      <c r="BSR8" s="3418"/>
      <c r="BSS8" s="3418"/>
      <c r="BST8" s="3418"/>
      <c r="BSU8" s="3418"/>
      <c r="BSV8" s="3418"/>
      <c r="BSW8" s="3418"/>
      <c r="BSX8" s="3418"/>
      <c r="BSY8" s="3418"/>
      <c r="BSZ8" s="3418"/>
      <c r="BTA8" s="3418"/>
      <c r="BTB8" s="3418"/>
      <c r="BTC8" s="3418"/>
      <c r="BTD8" s="3418"/>
      <c r="BTE8" s="3418"/>
      <c r="BTF8" s="3418"/>
      <c r="BTG8" s="3418"/>
      <c r="BTH8" s="3418"/>
      <c r="BTI8" s="3418"/>
      <c r="BTJ8" s="3418"/>
      <c r="BTK8" s="3418"/>
      <c r="BTL8" s="3418"/>
      <c r="BTM8" s="3418"/>
      <c r="BTN8" s="3418"/>
      <c r="BTO8" s="3418"/>
      <c r="BTP8" s="3418"/>
      <c r="BTQ8" s="3418"/>
      <c r="BTR8" s="3418"/>
      <c r="BTS8" s="3418"/>
      <c r="BTT8" s="3418"/>
      <c r="BTU8" s="3418"/>
      <c r="BTV8" s="3418"/>
      <c r="BTW8" s="3418"/>
      <c r="BTX8" s="3418"/>
      <c r="BTY8" s="3418"/>
      <c r="BTZ8" s="3418"/>
      <c r="BUA8" s="3418"/>
      <c r="BUB8" s="3418"/>
      <c r="BUC8" s="3418"/>
      <c r="BUD8" s="3418"/>
      <c r="BUE8" s="3418"/>
      <c r="BUF8" s="3418"/>
      <c r="BUG8" s="3418"/>
      <c r="BUH8" s="3418"/>
      <c r="BUI8" s="3418"/>
      <c r="BUJ8" s="3418"/>
      <c r="BUK8" s="3418"/>
      <c r="BUL8" s="3418"/>
      <c r="BUM8" s="3418"/>
      <c r="BUN8" s="3418"/>
      <c r="BUO8" s="3418"/>
      <c r="BUP8" s="3418"/>
      <c r="BUQ8" s="3418"/>
      <c r="BUR8" s="3418"/>
      <c r="BUS8" s="3418"/>
      <c r="BUT8" s="3418"/>
      <c r="BUU8" s="3418"/>
      <c r="BUV8" s="3418"/>
      <c r="BUW8" s="3418"/>
      <c r="BUX8" s="3418"/>
      <c r="BUY8" s="3418"/>
      <c r="BUZ8" s="3418"/>
      <c r="BVA8" s="3418"/>
      <c r="BVB8" s="3418"/>
      <c r="BVC8" s="3418"/>
      <c r="BVD8" s="3418"/>
      <c r="BVE8" s="3418"/>
      <c r="BVF8" s="3418"/>
      <c r="BVG8" s="3418"/>
      <c r="BVH8" s="3418"/>
      <c r="BVI8" s="3418"/>
      <c r="BVJ8" s="3418"/>
      <c r="BVK8" s="3418"/>
      <c r="BVL8" s="3418"/>
      <c r="BVM8" s="3418"/>
      <c r="BVN8" s="3418"/>
      <c r="BVO8" s="3418"/>
      <c r="BVP8" s="3418"/>
      <c r="BVQ8" s="3418"/>
      <c r="BVR8" s="3418"/>
      <c r="BVS8" s="3418"/>
      <c r="BVT8" s="3418"/>
      <c r="BVU8" s="3418"/>
      <c r="BVV8" s="3418"/>
      <c r="BVW8" s="3418"/>
      <c r="BVX8" s="3418"/>
      <c r="BVY8" s="3418"/>
      <c r="BVZ8" s="3418"/>
      <c r="BWA8" s="3418"/>
      <c r="BWB8" s="3418"/>
      <c r="BWC8" s="3418"/>
      <c r="BWD8" s="3418"/>
      <c r="BWE8" s="3418"/>
      <c r="BWF8" s="3418"/>
      <c r="BWG8" s="3418"/>
      <c r="BWH8" s="3418"/>
      <c r="BWI8" s="3418"/>
      <c r="BWJ8" s="3418"/>
      <c r="BWK8" s="3418"/>
      <c r="BWL8" s="3418"/>
      <c r="BWM8" s="3418"/>
      <c r="BWN8" s="3418"/>
      <c r="BWO8" s="3418"/>
      <c r="BWP8" s="3418"/>
      <c r="BWQ8" s="3418"/>
      <c r="BWR8" s="3418"/>
      <c r="BWS8" s="3418"/>
      <c r="BWT8" s="3418"/>
      <c r="BWU8" s="3418"/>
      <c r="BWV8" s="3418"/>
      <c r="BWW8" s="3418"/>
      <c r="BWX8" s="3418"/>
      <c r="BWY8" s="3418"/>
      <c r="BWZ8" s="3418"/>
      <c r="BXA8" s="3418"/>
      <c r="BXB8" s="3418"/>
      <c r="BXC8" s="3418"/>
      <c r="BXD8" s="3418"/>
      <c r="BXE8" s="3418"/>
      <c r="BXF8" s="3418"/>
      <c r="BXG8" s="3418"/>
      <c r="BXH8" s="3418"/>
      <c r="BXI8" s="3418"/>
      <c r="BXJ8" s="3418"/>
      <c r="BXK8" s="3418"/>
      <c r="BXL8" s="3418"/>
      <c r="BXM8" s="3418"/>
      <c r="BXN8" s="3418"/>
      <c r="BXO8" s="3418"/>
      <c r="BXP8" s="3418"/>
      <c r="BXQ8" s="3418"/>
      <c r="BXR8" s="3418"/>
      <c r="BXS8" s="3418"/>
      <c r="BXT8" s="3418"/>
      <c r="BXU8" s="3418"/>
      <c r="BXV8" s="3418"/>
      <c r="BXW8" s="3418"/>
      <c r="BXX8" s="3418"/>
      <c r="BXY8" s="3418"/>
      <c r="BXZ8" s="3418"/>
      <c r="BYA8" s="3418"/>
      <c r="BYB8" s="3418"/>
      <c r="BYC8" s="3418"/>
      <c r="BYD8" s="3418"/>
      <c r="BYE8" s="3418"/>
      <c r="BYF8" s="3418"/>
      <c r="BYG8" s="3418"/>
      <c r="BYH8" s="3418"/>
      <c r="BYI8" s="3418"/>
      <c r="BYJ8" s="3418"/>
      <c r="BYK8" s="3418"/>
      <c r="BYL8" s="3418"/>
      <c r="BYM8" s="3418"/>
      <c r="BYN8" s="3418"/>
      <c r="BYO8" s="3418"/>
      <c r="BYP8" s="3418"/>
      <c r="BYQ8" s="3418"/>
      <c r="BYR8" s="3418"/>
      <c r="BYS8" s="3418"/>
      <c r="BYT8" s="3418"/>
      <c r="BYU8" s="3418"/>
      <c r="BYV8" s="3418"/>
      <c r="BYW8" s="3418"/>
      <c r="BYX8" s="3418"/>
      <c r="BYY8" s="3418"/>
      <c r="BYZ8" s="3418"/>
      <c r="BZA8" s="3418"/>
      <c r="BZB8" s="3418"/>
      <c r="BZC8" s="3418"/>
      <c r="BZD8" s="3418"/>
      <c r="BZE8" s="3418"/>
      <c r="BZF8" s="3418"/>
      <c r="BZG8" s="3418"/>
      <c r="BZH8" s="3418"/>
      <c r="BZI8" s="3418"/>
      <c r="BZJ8" s="3418"/>
      <c r="BZK8" s="3418"/>
      <c r="BZL8" s="3418"/>
      <c r="BZM8" s="3418"/>
      <c r="BZN8" s="3418"/>
      <c r="BZO8" s="3418"/>
      <c r="BZP8" s="3418"/>
      <c r="BZQ8" s="3418"/>
      <c r="BZR8" s="3418"/>
      <c r="BZS8" s="3418"/>
      <c r="BZT8" s="3418"/>
      <c r="BZU8" s="3418"/>
      <c r="BZV8" s="3418"/>
      <c r="BZW8" s="3418"/>
      <c r="BZX8" s="3418"/>
      <c r="BZY8" s="3418"/>
      <c r="BZZ8" s="3418"/>
      <c r="CAA8" s="3418"/>
      <c r="CAB8" s="3418"/>
      <c r="CAC8" s="3418"/>
      <c r="CAD8" s="3418"/>
      <c r="CAE8" s="3418"/>
      <c r="CAF8" s="3418"/>
      <c r="CAG8" s="3418"/>
      <c r="CAH8" s="3418"/>
      <c r="CAI8" s="3418"/>
      <c r="CAJ8" s="3418"/>
      <c r="CAK8" s="3418"/>
      <c r="CAL8" s="3418"/>
      <c r="CAM8" s="3418"/>
      <c r="CAN8" s="3418"/>
      <c r="CAO8" s="3418"/>
      <c r="CAP8" s="3418"/>
      <c r="CAQ8" s="3418"/>
      <c r="CAR8" s="3418"/>
      <c r="CAS8" s="3418"/>
      <c r="CAT8" s="3418"/>
      <c r="CAU8" s="3418"/>
      <c r="CAV8" s="3418"/>
      <c r="CAW8" s="3418"/>
      <c r="CAX8" s="3418"/>
      <c r="CAY8" s="3418"/>
      <c r="CAZ8" s="3418"/>
      <c r="CBA8" s="3418"/>
      <c r="CBB8" s="3418"/>
      <c r="CBC8" s="3418"/>
      <c r="CBD8" s="3418"/>
      <c r="CBE8" s="3418"/>
      <c r="CBF8" s="3418"/>
      <c r="CBG8" s="3418"/>
      <c r="CBH8" s="3418"/>
      <c r="CBI8" s="3418"/>
      <c r="CBJ8" s="3418"/>
      <c r="CBK8" s="3418"/>
      <c r="CBL8" s="3418"/>
      <c r="CBM8" s="3418"/>
      <c r="CBN8" s="3418"/>
      <c r="CBO8" s="3418"/>
      <c r="CBP8" s="3418"/>
      <c r="CBQ8" s="3418"/>
      <c r="CBR8" s="3418"/>
      <c r="CBS8" s="3418"/>
      <c r="CBT8" s="3418"/>
      <c r="CBU8" s="3418"/>
      <c r="CBV8" s="3418"/>
      <c r="CBW8" s="3418"/>
      <c r="CBX8" s="3418"/>
      <c r="CBY8" s="3418"/>
      <c r="CBZ8" s="3418"/>
      <c r="CCA8" s="3418"/>
      <c r="CCB8" s="3418"/>
      <c r="CCC8" s="3418"/>
      <c r="CCD8" s="3418"/>
      <c r="CCE8" s="3418"/>
      <c r="CCF8" s="3418"/>
      <c r="CCG8" s="3418"/>
      <c r="CCH8" s="3418"/>
      <c r="CCI8" s="3418"/>
      <c r="CCJ8" s="3418"/>
      <c r="CCK8" s="3418"/>
      <c r="CCL8" s="3418"/>
      <c r="CCM8" s="3418"/>
      <c r="CCN8" s="3418"/>
      <c r="CCO8" s="3418"/>
      <c r="CCP8" s="3418"/>
      <c r="CCQ8" s="3418"/>
      <c r="CCR8" s="3418"/>
      <c r="CCS8" s="3418"/>
      <c r="CCT8" s="3418"/>
      <c r="CCU8" s="3418"/>
      <c r="CCV8" s="3418"/>
      <c r="CCW8" s="3418"/>
      <c r="CCX8" s="3418"/>
      <c r="CCY8" s="3418"/>
      <c r="CCZ8" s="3418"/>
      <c r="CDA8" s="3418"/>
      <c r="CDB8" s="3418"/>
      <c r="CDC8" s="3418"/>
      <c r="CDD8" s="3418"/>
      <c r="CDE8" s="3418"/>
      <c r="CDF8" s="3418"/>
      <c r="CDG8" s="3418"/>
      <c r="CDH8" s="3418"/>
      <c r="CDI8" s="3418"/>
      <c r="CDJ8" s="3418"/>
      <c r="CDK8" s="3418"/>
      <c r="CDL8" s="3418"/>
      <c r="CDM8" s="3418"/>
      <c r="CDN8" s="3418"/>
      <c r="CDO8" s="3418"/>
      <c r="CDP8" s="3418"/>
      <c r="CDQ8" s="3418"/>
      <c r="CDR8" s="3418"/>
      <c r="CDS8" s="3418"/>
      <c r="CDT8" s="3418"/>
      <c r="CDU8" s="3418"/>
      <c r="CDV8" s="3418"/>
      <c r="CDW8" s="3418"/>
      <c r="CDX8" s="3418"/>
      <c r="CDY8" s="3418"/>
      <c r="CDZ8" s="3418"/>
      <c r="CEA8" s="3418"/>
      <c r="CEB8" s="3418"/>
      <c r="CEC8" s="3418"/>
      <c r="CED8" s="3418"/>
      <c r="CEE8" s="3418"/>
      <c r="CEF8" s="3418"/>
      <c r="CEG8" s="3418"/>
      <c r="CEH8" s="3418"/>
      <c r="CEI8" s="3418"/>
      <c r="CEJ8" s="3418"/>
      <c r="CEK8" s="3418"/>
      <c r="CEL8" s="3418"/>
      <c r="CEM8" s="3418"/>
      <c r="CEN8" s="3418"/>
      <c r="CEO8" s="3418"/>
      <c r="CEP8" s="3418"/>
      <c r="CEQ8" s="3418"/>
      <c r="CER8" s="3418"/>
      <c r="CES8" s="3418"/>
      <c r="CET8" s="3418"/>
      <c r="CEU8" s="3418"/>
      <c r="CEV8" s="3418"/>
      <c r="CEW8" s="3418"/>
      <c r="CEX8" s="3418"/>
      <c r="CEY8" s="3418"/>
      <c r="CEZ8" s="3418"/>
      <c r="CFA8" s="3418"/>
      <c r="CFB8" s="3418"/>
      <c r="CFC8" s="3418"/>
      <c r="CFD8" s="3418"/>
      <c r="CFE8" s="3418"/>
      <c r="CFF8" s="3418"/>
      <c r="CFG8" s="3418"/>
      <c r="CFH8" s="3418"/>
      <c r="CFI8" s="3418"/>
      <c r="CFJ8" s="3418"/>
      <c r="CFK8" s="3418"/>
      <c r="CFL8" s="3418"/>
      <c r="CFM8" s="3418"/>
      <c r="CFN8" s="3418"/>
      <c r="CFO8" s="3418"/>
      <c r="CFP8" s="3418"/>
      <c r="CFQ8" s="3418"/>
      <c r="CFR8" s="3418"/>
      <c r="CFS8" s="3418"/>
      <c r="CFT8" s="3418"/>
      <c r="CFU8" s="3418"/>
      <c r="CFV8" s="3418"/>
      <c r="CFW8" s="3418"/>
      <c r="CFX8" s="3418"/>
      <c r="CFY8" s="3418"/>
      <c r="CFZ8" s="3418"/>
      <c r="CGA8" s="3418"/>
      <c r="CGB8" s="3418"/>
      <c r="CGC8" s="3418"/>
      <c r="CGD8" s="3418"/>
      <c r="CGE8" s="3418"/>
      <c r="CGF8" s="3418"/>
      <c r="CGG8" s="3418"/>
      <c r="CGH8" s="3418"/>
      <c r="CGI8" s="3418"/>
      <c r="CGJ8" s="3418"/>
      <c r="CGK8" s="3418"/>
      <c r="CGL8" s="3418"/>
      <c r="CGM8" s="3418"/>
      <c r="CGN8" s="3418"/>
      <c r="CGO8" s="3418"/>
      <c r="CGP8" s="3418"/>
      <c r="CGQ8" s="3418"/>
      <c r="CGR8" s="3418"/>
      <c r="CGS8" s="3418"/>
      <c r="CGT8" s="3418"/>
      <c r="CGU8" s="3418"/>
      <c r="CGV8" s="3418"/>
      <c r="CGW8" s="3418"/>
      <c r="CGX8" s="3418"/>
      <c r="CGY8" s="3418"/>
      <c r="CGZ8" s="3418"/>
      <c r="CHA8" s="3418"/>
      <c r="CHB8" s="3418"/>
      <c r="CHC8" s="3418"/>
      <c r="CHD8" s="3418"/>
      <c r="CHE8" s="3418"/>
      <c r="CHF8" s="3418"/>
      <c r="CHG8" s="3418"/>
      <c r="CHH8" s="3418"/>
      <c r="CHI8" s="3418"/>
      <c r="CHJ8" s="3418"/>
      <c r="CHK8" s="3418"/>
      <c r="CHL8" s="3418"/>
      <c r="CHM8" s="3418"/>
      <c r="CHN8" s="3418"/>
      <c r="CHO8" s="3418"/>
      <c r="CHP8" s="3418"/>
      <c r="CHQ8" s="3418"/>
      <c r="CHR8" s="3418"/>
      <c r="CHS8" s="3418"/>
      <c r="CHT8" s="3418"/>
      <c r="CHU8" s="3418"/>
      <c r="CHV8" s="3418"/>
      <c r="CHW8" s="3418"/>
      <c r="CHX8" s="3418"/>
      <c r="CHY8" s="3418"/>
      <c r="CHZ8" s="3418"/>
      <c r="CIA8" s="3418"/>
      <c r="CIB8" s="3418"/>
      <c r="CIC8" s="3418"/>
      <c r="CID8" s="3418"/>
      <c r="CIE8" s="3418"/>
      <c r="CIF8" s="3418"/>
      <c r="CIG8" s="3418"/>
      <c r="CIH8" s="3418"/>
      <c r="CII8" s="3418"/>
      <c r="CIJ8" s="3418"/>
      <c r="CIK8" s="3418"/>
      <c r="CIL8" s="3418"/>
      <c r="CIM8" s="3418"/>
      <c r="CIN8" s="3418"/>
      <c r="CIO8" s="3418"/>
      <c r="CIP8" s="3418"/>
      <c r="CIQ8" s="3418"/>
      <c r="CIR8" s="3418"/>
      <c r="CIS8" s="3418"/>
      <c r="CIT8" s="3418"/>
      <c r="CIU8" s="3418"/>
      <c r="CIV8" s="3418"/>
      <c r="CIW8" s="3418"/>
      <c r="CIX8" s="3418"/>
      <c r="CIY8" s="3418"/>
      <c r="CIZ8" s="3418"/>
      <c r="CJA8" s="3418"/>
      <c r="CJB8" s="3418"/>
      <c r="CJC8" s="3418"/>
      <c r="CJD8" s="3418"/>
      <c r="CJE8" s="3418"/>
      <c r="CJF8" s="3418"/>
      <c r="CJG8" s="3418"/>
      <c r="CJH8" s="3418"/>
      <c r="CJI8" s="3418"/>
      <c r="CJJ8" s="3418"/>
      <c r="CJK8" s="3418"/>
      <c r="CJL8" s="3418"/>
      <c r="CJM8" s="3418"/>
      <c r="CJN8" s="3418"/>
      <c r="CJO8" s="3418"/>
      <c r="CJP8" s="3418"/>
      <c r="CJQ8" s="3418"/>
      <c r="CJR8" s="3418"/>
      <c r="CJS8" s="3418"/>
      <c r="CJT8" s="3418"/>
      <c r="CJU8" s="3418"/>
      <c r="CJV8" s="3418"/>
      <c r="CJW8" s="3418"/>
      <c r="CJX8" s="3418"/>
      <c r="CJY8" s="3418"/>
      <c r="CJZ8" s="3418"/>
      <c r="CKA8" s="3418"/>
      <c r="CKB8" s="3418"/>
      <c r="CKC8" s="3418"/>
      <c r="CKD8" s="3418"/>
      <c r="CKE8" s="3418"/>
      <c r="CKF8" s="3418"/>
      <c r="CKG8" s="3418"/>
      <c r="CKH8" s="3418"/>
      <c r="CKI8" s="3418"/>
      <c r="CKJ8" s="3418"/>
      <c r="CKK8" s="3418"/>
      <c r="CKL8" s="3418"/>
      <c r="CKM8" s="3418"/>
      <c r="CKN8" s="3418"/>
      <c r="CKO8" s="3418"/>
      <c r="CKP8" s="3418"/>
      <c r="CKQ8" s="3418"/>
      <c r="CKR8" s="3418"/>
      <c r="CKS8" s="3418"/>
      <c r="CKT8" s="3418"/>
      <c r="CKU8" s="3418"/>
      <c r="CKV8" s="3418"/>
      <c r="CKW8" s="3418"/>
      <c r="CKX8" s="3418"/>
      <c r="CKY8" s="3418"/>
      <c r="CKZ8" s="3418"/>
      <c r="CLA8" s="3418"/>
      <c r="CLB8" s="3418"/>
      <c r="CLC8" s="3418"/>
      <c r="CLD8" s="3418"/>
      <c r="CLE8" s="3418"/>
      <c r="CLF8" s="3418"/>
      <c r="CLG8" s="3418"/>
      <c r="CLH8" s="3418"/>
      <c r="CLI8" s="3418"/>
      <c r="CLJ8" s="3418"/>
      <c r="CLK8" s="3418"/>
      <c r="CLL8" s="3418"/>
      <c r="CLM8" s="3418"/>
      <c r="CLN8" s="3418"/>
      <c r="CLO8" s="3418"/>
      <c r="CLP8" s="3418"/>
      <c r="CLQ8" s="3418"/>
      <c r="CLR8" s="3418"/>
      <c r="CLS8" s="3418"/>
      <c r="CLT8" s="3418"/>
      <c r="CLU8" s="3418"/>
      <c r="CLV8" s="3418"/>
      <c r="CLW8" s="3418"/>
      <c r="CLX8" s="3418"/>
      <c r="CLY8" s="3418"/>
      <c r="CLZ8" s="3418"/>
      <c r="CMA8" s="3418"/>
      <c r="CMB8" s="3418"/>
      <c r="CMC8" s="3418"/>
      <c r="CMD8" s="3418"/>
      <c r="CME8" s="3418"/>
      <c r="CMF8" s="3418"/>
      <c r="CMG8" s="3418"/>
      <c r="CMH8" s="3418"/>
      <c r="CMI8" s="3418"/>
      <c r="CMJ8" s="3418"/>
      <c r="CMK8" s="3418"/>
      <c r="CML8" s="3418"/>
      <c r="CMM8" s="3418"/>
      <c r="CMN8" s="3418"/>
      <c r="CMO8" s="3418"/>
      <c r="CMP8" s="3418"/>
      <c r="CMQ8" s="3418"/>
      <c r="CMR8" s="3418"/>
      <c r="CMS8" s="3418"/>
      <c r="CMT8" s="3418"/>
      <c r="CMU8" s="3418"/>
      <c r="CMV8" s="3418"/>
      <c r="CMW8" s="3418"/>
      <c r="CMX8" s="3418"/>
      <c r="CMY8" s="3418"/>
      <c r="CMZ8" s="3418"/>
      <c r="CNA8" s="3418"/>
      <c r="CNB8" s="3418"/>
      <c r="CNC8" s="3418"/>
      <c r="CND8" s="3418"/>
      <c r="CNE8" s="3418"/>
      <c r="CNF8" s="3418"/>
      <c r="CNG8" s="3418"/>
      <c r="CNH8" s="3418"/>
      <c r="CNI8" s="3418"/>
      <c r="CNJ8" s="3418"/>
      <c r="CNK8" s="3418"/>
      <c r="CNL8" s="3418"/>
      <c r="CNM8" s="3418"/>
      <c r="CNN8" s="3418"/>
      <c r="CNO8" s="3418"/>
      <c r="CNP8" s="3418"/>
      <c r="CNQ8" s="3418"/>
      <c r="CNR8" s="3418"/>
      <c r="CNS8" s="3418"/>
      <c r="CNT8" s="3418"/>
      <c r="CNU8" s="3418"/>
      <c r="CNV8" s="3418"/>
      <c r="CNW8" s="3418"/>
      <c r="CNX8" s="3418"/>
      <c r="CNY8" s="3418"/>
      <c r="CNZ8" s="3418"/>
      <c r="COA8" s="3418"/>
      <c r="COB8" s="3418"/>
      <c r="COC8" s="3418"/>
      <c r="COD8" s="3418"/>
      <c r="COE8" s="3418"/>
      <c r="COF8" s="3418"/>
      <c r="COG8" s="3418"/>
      <c r="COH8" s="3418"/>
      <c r="COI8" s="3418"/>
      <c r="COJ8" s="3418"/>
      <c r="COK8" s="3418"/>
      <c r="COL8" s="3418"/>
      <c r="COM8" s="3418"/>
      <c r="CON8" s="3418"/>
      <c r="COO8" s="3418"/>
      <c r="COP8" s="3418"/>
      <c r="COQ8" s="3418"/>
      <c r="COR8" s="3418"/>
      <c r="COS8" s="3418"/>
      <c r="COT8" s="3418"/>
      <c r="COU8" s="3418"/>
      <c r="COV8" s="3418"/>
      <c r="COW8" s="3418"/>
      <c r="COX8" s="3418"/>
      <c r="COY8" s="3418"/>
      <c r="COZ8" s="3418"/>
      <c r="CPA8" s="3418"/>
      <c r="CPB8" s="3418"/>
      <c r="CPC8" s="3418"/>
      <c r="CPD8" s="3418"/>
      <c r="CPE8" s="3418"/>
      <c r="CPF8" s="3418"/>
      <c r="CPG8" s="3418"/>
      <c r="CPH8" s="3418"/>
      <c r="CPI8" s="3418"/>
      <c r="CPJ8" s="3418"/>
      <c r="CPK8" s="3418"/>
      <c r="CPL8" s="3418"/>
      <c r="CPM8" s="3418"/>
      <c r="CPN8" s="3418"/>
      <c r="CPO8" s="3418"/>
      <c r="CPP8" s="3418"/>
      <c r="CPQ8" s="3418"/>
      <c r="CPR8" s="3418"/>
      <c r="CPS8" s="3418"/>
      <c r="CPT8" s="3418"/>
      <c r="CPU8" s="3418"/>
      <c r="CPV8" s="3418"/>
      <c r="CPW8" s="3418"/>
      <c r="CPX8" s="3418"/>
      <c r="CPY8" s="3418"/>
      <c r="CPZ8" s="3418"/>
      <c r="CQA8" s="3418"/>
      <c r="CQB8" s="3418"/>
      <c r="CQC8" s="3418"/>
      <c r="CQD8" s="3418"/>
      <c r="CQE8" s="3418"/>
      <c r="CQF8" s="3418"/>
      <c r="CQG8" s="3418"/>
      <c r="CQH8" s="3418"/>
      <c r="CQI8" s="3418"/>
      <c r="CQJ8" s="3418"/>
      <c r="CQK8" s="3418"/>
      <c r="CQL8" s="3418"/>
      <c r="CQM8" s="3418"/>
      <c r="CQN8" s="3418"/>
      <c r="CQO8" s="3418"/>
      <c r="CQP8" s="3418"/>
      <c r="CQQ8" s="3418"/>
      <c r="CQR8" s="3418"/>
      <c r="CQS8" s="3418"/>
      <c r="CQT8" s="3418"/>
      <c r="CQU8" s="3418"/>
      <c r="CQV8" s="3418"/>
      <c r="CQW8" s="3418"/>
      <c r="CQX8" s="3418"/>
      <c r="CQY8" s="3418"/>
      <c r="CQZ8" s="3418"/>
      <c r="CRA8" s="3418"/>
      <c r="CRB8" s="3418"/>
      <c r="CRC8" s="3418"/>
      <c r="CRD8" s="3418"/>
      <c r="CRE8" s="3418"/>
      <c r="CRF8" s="3418"/>
      <c r="CRG8" s="3418"/>
      <c r="CRH8" s="3418"/>
      <c r="CRI8" s="3418"/>
      <c r="CRJ8" s="3418"/>
      <c r="CRK8" s="3418"/>
      <c r="CRL8" s="3418"/>
      <c r="CRM8" s="3418"/>
      <c r="CRN8" s="3418"/>
      <c r="CRO8" s="3418"/>
      <c r="CRP8" s="3418"/>
      <c r="CRQ8" s="3418"/>
      <c r="CRR8" s="3418"/>
      <c r="CRS8" s="3418"/>
      <c r="CRT8" s="3418"/>
      <c r="CRU8" s="3418"/>
      <c r="CRV8" s="3418"/>
      <c r="CRW8" s="3418"/>
      <c r="CRX8" s="3418"/>
      <c r="CRY8" s="3418"/>
      <c r="CRZ8" s="3418"/>
      <c r="CSA8" s="3418"/>
      <c r="CSB8" s="3418"/>
      <c r="CSC8" s="3418"/>
      <c r="CSD8" s="3418"/>
      <c r="CSE8" s="3418"/>
      <c r="CSF8" s="3418"/>
      <c r="CSG8" s="3418"/>
      <c r="CSH8" s="3418"/>
      <c r="CSI8" s="3418"/>
      <c r="CSJ8" s="3418"/>
      <c r="CSK8" s="3418"/>
      <c r="CSL8" s="3418"/>
      <c r="CSM8" s="3418"/>
      <c r="CSN8" s="3418"/>
      <c r="CSO8" s="3418"/>
      <c r="CSP8" s="3418"/>
      <c r="CSQ8" s="3418"/>
      <c r="CSR8" s="3418"/>
      <c r="CSS8" s="3418"/>
      <c r="CST8" s="3418"/>
      <c r="CSU8" s="3418"/>
      <c r="CSV8" s="3418"/>
      <c r="CSW8" s="3418"/>
      <c r="CSX8" s="3418"/>
      <c r="CSY8" s="3418"/>
      <c r="CSZ8" s="3418"/>
      <c r="CTA8" s="3418"/>
      <c r="CTB8" s="3418"/>
      <c r="CTC8" s="3418"/>
      <c r="CTD8" s="3418"/>
      <c r="CTE8" s="3418"/>
      <c r="CTF8" s="3418"/>
      <c r="CTG8" s="3418"/>
      <c r="CTH8" s="3418"/>
      <c r="CTI8" s="3418"/>
      <c r="CTJ8" s="3418"/>
      <c r="CTK8" s="3418"/>
      <c r="CTL8" s="3418"/>
      <c r="CTM8" s="3418"/>
      <c r="CTN8" s="3418"/>
      <c r="CTO8" s="3418"/>
      <c r="CTP8" s="3418"/>
      <c r="CTQ8" s="3418"/>
      <c r="CTR8" s="3418"/>
      <c r="CTS8" s="3418"/>
      <c r="CTT8" s="3418"/>
      <c r="CTU8" s="3418"/>
      <c r="CTV8" s="3418"/>
      <c r="CTW8" s="3418"/>
      <c r="CTX8" s="3418"/>
      <c r="CTY8" s="3418"/>
      <c r="CTZ8" s="3418"/>
      <c r="CUA8" s="3418"/>
      <c r="CUB8" s="3418"/>
      <c r="CUC8" s="3418"/>
      <c r="CUD8" s="3418"/>
      <c r="CUE8" s="3418"/>
      <c r="CUF8" s="3418"/>
      <c r="CUG8" s="3418"/>
      <c r="CUH8" s="3418"/>
      <c r="CUI8" s="3418"/>
      <c r="CUJ8" s="3418"/>
      <c r="CUK8" s="3418"/>
      <c r="CUL8" s="3418"/>
      <c r="CUM8" s="3418"/>
      <c r="CUN8" s="3418"/>
      <c r="CUO8" s="3418"/>
      <c r="CUP8" s="3418"/>
      <c r="CUQ8" s="3418"/>
      <c r="CUR8" s="3418"/>
      <c r="CUS8" s="3418"/>
      <c r="CUT8" s="3418"/>
      <c r="CUU8" s="3418"/>
      <c r="CUV8" s="3418"/>
      <c r="CUW8" s="3418"/>
      <c r="CUX8" s="3418"/>
      <c r="CUY8" s="3418"/>
      <c r="CUZ8" s="3418"/>
      <c r="CVA8" s="3418"/>
      <c r="CVB8" s="3418"/>
      <c r="CVC8" s="3418"/>
      <c r="CVD8" s="3418"/>
      <c r="CVE8" s="3418"/>
      <c r="CVF8" s="3418"/>
      <c r="CVG8" s="3418"/>
      <c r="CVH8" s="3418"/>
      <c r="CVI8" s="3418"/>
      <c r="CVJ8" s="3418"/>
      <c r="CVK8" s="3418"/>
      <c r="CVL8" s="3418"/>
      <c r="CVM8" s="3418"/>
      <c r="CVN8" s="3418"/>
      <c r="CVO8" s="3418"/>
      <c r="CVP8" s="3418"/>
      <c r="CVQ8" s="3418"/>
      <c r="CVR8" s="3418"/>
      <c r="CVS8" s="3418"/>
      <c r="CVT8" s="3418"/>
      <c r="CVU8" s="3418"/>
      <c r="CVV8" s="3418"/>
      <c r="CVW8" s="3418"/>
      <c r="CVX8" s="3418"/>
      <c r="CVY8" s="3418"/>
      <c r="CVZ8" s="3418"/>
      <c r="CWA8" s="3418"/>
      <c r="CWB8" s="3418"/>
      <c r="CWC8" s="3418"/>
      <c r="CWD8" s="3418"/>
      <c r="CWE8" s="3418"/>
      <c r="CWF8" s="3418"/>
      <c r="CWG8" s="3418"/>
      <c r="CWH8" s="3418"/>
      <c r="CWI8" s="3418"/>
      <c r="CWJ8" s="3418"/>
      <c r="CWK8" s="3418"/>
      <c r="CWL8" s="3418"/>
      <c r="CWM8" s="3418"/>
      <c r="CWN8" s="3418"/>
      <c r="CWO8" s="3418"/>
      <c r="CWP8" s="3418"/>
      <c r="CWQ8" s="3418"/>
      <c r="CWR8" s="3418"/>
      <c r="CWS8" s="3418"/>
      <c r="CWT8" s="3418"/>
      <c r="CWU8" s="3418"/>
      <c r="CWV8" s="3418"/>
      <c r="CWW8" s="3418"/>
      <c r="CWX8" s="3418"/>
      <c r="CWY8" s="3418"/>
      <c r="CWZ8" s="3418"/>
      <c r="CXA8" s="3418"/>
      <c r="CXB8" s="3418"/>
      <c r="CXC8" s="3418"/>
      <c r="CXD8" s="3418"/>
      <c r="CXE8" s="3418"/>
      <c r="CXF8" s="3418"/>
      <c r="CXG8" s="3418"/>
      <c r="CXH8" s="3418"/>
      <c r="CXI8" s="3418"/>
      <c r="CXJ8" s="3418"/>
      <c r="CXK8" s="3418"/>
      <c r="CXL8" s="3418"/>
      <c r="CXM8" s="3418"/>
      <c r="CXN8" s="3418"/>
      <c r="CXO8" s="3418"/>
      <c r="CXP8" s="3418"/>
      <c r="CXQ8" s="3418"/>
      <c r="CXR8" s="3418"/>
      <c r="CXS8" s="3418"/>
      <c r="CXT8" s="3418"/>
      <c r="CXU8" s="3418"/>
      <c r="CXV8" s="3418"/>
      <c r="CXW8" s="3418"/>
      <c r="CXX8" s="3418"/>
      <c r="CXY8" s="3418"/>
      <c r="CXZ8" s="3418"/>
      <c r="CYA8" s="3418"/>
      <c r="CYB8" s="3418"/>
      <c r="CYC8" s="3418"/>
      <c r="CYD8" s="3418"/>
      <c r="CYE8" s="3418"/>
      <c r="CYF8" s="3418"/>
      <c r="CYG8" s="3418"/>
      <c r="CYH8" s="3418"/>
      <c r="CYI8" s="3418"/>
      <c r="CYJ8" s="3418"/>
      <c r="CYK8" s="3418"/>
      <c r="CYL8" s="3418"/>
      <c r="CYM8" s="3418"/>
      <c r="CYN8" s="3418"/>
      <c r="CYO8" s="3418"/>
      <c r="CYP8" s="3418"/>
      <c r="CYQ8" s="3418"/>
      <c r="CYR8" s="3418"/>
      <c r="CYS8" s="3418"/>
      <c r="CYT8" s="3418"/>
      <c r="CYU8" s="3418"/>
      <c r="CYV8" s="3418"/>
      <c r="CYW8" s="3418"/>
      <c r="CYX8" s="3418"/>
      <c r="CYY8" s="3418"/>
      <c r="CYZ8" s="3418"/>
      <c r="CZA8" s="3418"/>
      <c r="CZB8" s="3418"/>
      <c r="CZC8" s="3418"/>
      <c r="CZD8" s="3418"/>
      <c r="CZE8" s="3418"/>
      <c r="CZF8" s="3418"/>
      <c r="CZG8" s="3418"/>
      <c r="CZH8" s="3418"/>
      <c r="CZI8" s="3418"/>
      <c r="CZJ8" s="3418"/>
      <c r="CZK8" s="3418"/>
      <c r="CZL8" s="3418"/>
      <c r="CZM8" s="3418"/>
      <c r="CZN8" s="3418"/>
      <c r="CZO8" s="3418"/>
      <c r="CZP8" s="3418"/>
      <c r="CZQ8" s="3418"/>
      <c r="CZR8" s="3418"/>
      <c r="CZS8" s="3418"/>
      <c r="CZT8" s="3418"/>
      <c r="CZU8" s="3418"/>
      <c r="CZV8" s="3418"/>
      <c r="CZW8" s="3418"/>
      <c r="CZX8" s="3418"/>
      <c r="CZY8" s="3418"/>
      <c r="CZZ8" s="3418"/>
      <c r="DAA8" s="3418"/>
      <c r="DAB8" s="3418"/>
      <c r="DAC8" s="3418"/>
      <c r="DAD8" s="3418"/>
      <c r="DAE8" s="3418"/>
      <c r="DAF8" s="3418"/>
      <c r="DAG8" s="3418"/>
      <c r="DAH8" s="3418"/>
      <c r="DAI8" s="3418"/>
      <c r="DAJ8" s="3418"/>
      <c r="DAK8" s="3418"/>
      <c r="DAL8" s="3418"/>
      <c r="DAM8" s="3418"/>
      <c r="DAN8" s="3418"/>
      <c r="DAO8" s="3418"/>
      <c r="DAP8" s="3418"/>
      <c r="DAQ8" s="3418"/>
      <c r="DAR8" s="3418"/>
      <c r="DAS8" s="3418"/>
      <c r="DAT8" s="3418"/>
      <c r="DAU8" s="3418"/>
      <c r="DAV8" s="3418"/>
      <c r="DAW8" s="3418"/>
      <c r="DAX8" s="3418"/>
      <c r="DAY8" s="3418"/>
      <c r="DAZ8" s="3418"/>
      <c r="DBA8" s="3418"/>
      <c r="DBB8" s="3418"/>
      <c r="DBC8" s="3418"/>
      <c r="DBD8" s="3418"/>
      <c r="DBE8" s="3418"/>
      <c r="DBF8" s="3418"/>
      <c r="DBG8" s="3418"/>
      <c r="DBH8" s="3418"/>
      <c r="DBI8" s="3418"/>
      <c r="DBJ8" s="3418"/>
      <c r="DBK8" s="3418"/>
      <c r="DBL8" s="3418"/>
      <c r="DBM8" s="3418"/>
      <c r="DBN8" s="3418"/>
      <c r="DBO8" s="3418"/>
      <c r="DBP8" s="3418"/>
      <c r="DBQ8" s="3418"/>
      <c r="DBR8" s="3418"/>
      <c r="DBS8" s="3418"/>
      <c r="DBT8" s="3418"/>
      <c r="DBU8" s="3418"/>
      <c r="DBV8" s="3418"/>
      <c r="DBW8" s="3418"/>
      <c r="DBX8" s="3418"/>
      <c r="DBY8" s="3418"/>
      <c r="DBZ8" s="3418"/>
      <c r="DCA8" s="3418"/>
      <c r="DCB8" s="3418"/>
      <c r="DCC8" s="3418"/>
      <c r="DCD8" s="3418"/>
      <c r="DCE8" s="3418"/>
      <c r="DCF8" s="3418"/>
      <c r="DCG8" s="3418"/>
      <c r="DCH8" s="3418"/>
      <c r="DCI8" s="3418"/>
      <c r="DCJ8" s="3418"/>
      <c r="DCK8" s="3418"/>
      <c r="DCL8" s="3418"/>
      <c r="DCM8" s="3418"/>
      <c r="DCN8" s="3418"/>
      <c r="DCO8" s="3418"/>
      <c r="DCP8" s="3418"/>
      <c r="DCQ8" s="3418"/>
      <c r="DCR8" s="3418"/>
      <c r="DCS8" s="3418"/>
      <c r="DCT8" s="3418"/>
      <c r="DCU8" s="3418"/>
      <c r="DCV8" s="3418"/>
      <c r="DCW8" s="3418"/>
      <c r="DCX8" s="3418"/>
      <c r="DCY8" s="3418"/>
      <c r="DCZ8" s="3418"/>
      <c r="DDA8" s="3418"/>
      <c r="DDB8" s="3418"/>
      <c r="DDC8" s="3418"/>
      <c r="DDD8" s="3418"/>
      <c r="DDE8" s="3418"/>
      <c r="DDF8" s="3418"/>
      <c r="DDG8" s="3418"/>
      <c r="DDH8" s="3418"/>
      <c r="DDI8" s="3418"/>
      <c r="DDJ8" s="3418"/>
      <c r="DDK8" s="3418"/>
      <c r="DDL8" s="3418"/>
      <c r="DDM8" s="3418"/>
      <c r="DDN8" s="3418"/>
      <c r="DDO8" s="3418"/>
      <c r="DDP8" s="3418"/>
      <c r="DDQ8" s="3418"/>
      <c r="DDR8" s="3418"/>
      <c r="DDS8" s="3418"/>
      <c r="DDT8" s="3418"/>
      <c r="DDU8" s="3418"/>
      <c r="DDV8" s="3418"/>
      <c r="DDW8" s="3418"/>
      <c r="DDX8" s="3418"/>
      <c r="DDY8" s="3418"/>
      <c r="DDZ8" s="3418"/>
      <c r="DEA8" s="3418"/>
      <c r="DEB8" s="3418"/>
      <c r="DEC8" s="3418"/>
      <c r="DED8" s="3418"/>
      <c r="DEE8" s="3418"/>
      <c r="DEF8" s="3418"/>
      <c r="DEG8" s="3418"/>
      <c r="DEH8" s="3418"/>
      <c r="DEI8" s="3418"/>
      <c r="DEJ8" s="3418"/>
      <c r="DEK8" s="3418"/>
      <c r="DEL8" s="3418"/>
      <c r="DEM8" s="3418"/>
      <c r="DEN8" s="3418"/>
      <c r="DEO8" s="3418"/>
      <c r="DEP8" s="3418"/>
      <c r="DEQ8" s="3418"/>
      <c r="DER8" s="3418"/>
      <c r="DES8" s="3418"/>
      <c r="DET8" s="3418"/>
      <c r="DEU8" s="3418"/>
      <c r="DEV8" s="3418"/>
      <c r="DEW8" s="3418"/>
      <c r="DEX8" s="3418"/>
      <c r="DEY8" s="3418"/>
      <c r="DEZ8" s="3418"/>
      <c r="DFA8" s="3418"/>
      <c r="DFB8" s="3418"/>
      <c r="DFC8" s="3418"/>
      <c r="DFD8" s="3418"/>
      <c r="DFE8" s="3418"/>
      <c r="DFF8" s="3418"/>
      <c r="DFG8" s="3418"/>
      <c r="DFH8" s="3418"/>
      <c r="DFI8" s="3418"/>
      <c r="DFJ8" s="3418"/>
      <c r="DFK8" s="3418"/>
      <c r="DFL8" s="3418"/>
      <c r="DFM8" s="3418"/>
      <c r="DFN8" s="3418"/>
      <c r="DFO8" s="3418"/>
      <c r="DFP8" s="3418"/>
      <c r="DFQ8" s="3418"/>
      <c r="DFR8" s="3418"/>
      <c r="DFS8" s="3418"/>
      <c r="DFT8" s="3418"/>
      <c r="DFU8" s="3418"/>
      <c r="DFV8" s="3418"/>
      <c r="DFW8" s="3418"/>
      <c r="DFX8" s="3418"/>
      <c r="DFY8" s="3418"/>
      <c r="DFZ8" s="3418"/>
      <c r="DGA8" s="3418"/>
      <c r="DGB8" s="3418"/>
      <c r="DGC8" s="3418"/>
      <c r="DGD8" s="3418"/>
      <c r="DGE8" s="3418"/>
      <c r="DGF8" s="3418"/>
      <c r="DGG8" s="3418"/>
      <c r="DGH8" s="3418"/>
      <c r="DGI8" s="3418"/>
      <c r="DGJ8" s="3418"/>
      <c r="DGK8" s="3418"/>
      <c r="DGL8" s="3418"/>
      <c r="DGM8" s="3418"/>
      <c r="DGN8" s="3418"/>
      <c r="DGO8" s="3418"/>
      <c r="DGP8" s="3418"/>
      <c r="DGQ8" s="3418"/>
      <c r="DGR8" s="3418"/>
      <c r="DGS8" s="3418"/>
      <c r="DGT8" s="3418"/>
      <c r="DGU8" s="3418"/>
      <c r="DGV8" s="3418"/>
      <c r="DGW8" s="3418"/>
      <c r="DGX8" s="3418"/>
      <c r="DGY8" s="3418"/>
      <c r="DGZ8" s="3418"/>
      <c r="DHA8" s="3418"/>
      <c r="DHB8" s="3418"/>
      <c r="DHC8" s="3418"/>
      <c r="DHD8" s="3418"/>
      <c r="DHE8" s="3418"/>
      <c r="DHF8" s="3418"/>
      <c r="DHG8" s="3418"/>
      <c r="DHH8" s="3418"/>
      <c r="DHI8" s="3418"/>
      <c r="DHJ8" s="3418"/>
      <c r="DHK8" s="3418"/>
      <c r="DHL8" s="3418"/>
      <c r="DHM8" s="3418"/>
      <c r="DHN8" s="3418"/>
      <c r="DHO8" s="3418"/>
      <c r="DHP8" s="3418"/>
      <c r="DHQ8" s="3418"/>
      <c r="DHR8" s="3418"/>
      <c r="DHS8" s="3418"/>
      <c r="DHT8" s="3418"/>
      <c r="DHU8" s="3418"/>
      <c r="DHV8" s="3418"/>
      <c r="DHW8" s="3418"/>
      <c r="DHX8" s="3418"/>
      <c r="DHY8" s="3418"/>
      <c r="DHZ8" s="3418"/>
      <c r="DIA8" s="3418"/>
      <c r="DIB8" s="3418"/>
      <c r="DIC8" s="3418"/>
      <c r="DID8" s="3418"/>
      <c r="DIE8" s="3418"/>
      <c r="DIF8" s="3418"/>
      <c r="DIG8" s="3418"/>
      <c r="DIH8" s="3418"/>
      <c r="DII8" s="3418"/>
      <c r="DIJ8" s="3418"/>
      <c r="DIK8" s="3418"/>
      <c r="DIL8" s="3418"/>
      <c r="DIM8" s="3418"/>
      <c r="DIN8" s="3418"/>
      <c r="DIO8" s="3418"/>
      <c r="DIP8" s="3418"/>
      <c r="DIQ8" s="3418"/>
      <c r="DIR8" s="3418"/>
      <c r="DIS8" s="3418"/>
      <c r="DIT8" s="3418"/>
      <c r="DIU8" s="3418"/>
      <c r="DIV8" s="3418"/>
      <c r="DIW8" s="3418"/>
      <c r="DIX8" s="3418"/>
      <c r="DIY8" s="3418"/>
      <c r="DIZ8" s="3418"/>
      <c r="DJA8" s="3418"/>
      <c r="DJB8" s="3418"/>
      <c r="DJC8" s="3418"/>
      <c r="DJD8" s="3418"/>
      <c r="DJE8" s="3418"/>
      <c r="DJF8" s="3418"/>
      <c r="DJG8" s="3418"/>
      <c r="DJH8" s="3418"/>
      <c r="DJI8" s="3418"/>
      <c r="DJJ8" s="3418"/>
      <c r="DJK8" s="3418"/>
      <c r="DJL8" s="3418"/>
      <c r="DJM8" s="3418"/>
      <c r="DJN8" s="3418"/>
      <c r="DJO8" s="3418"/>
      <c r="DJP8" s="3418"/>
      <c r="DJQ8" s="3418"/>
      <c r="DJR8" s="3418"/>
      <c r="DJS8" s="3418"/>
      <c r="DJT8" s="3418"/>
      <c r="DJU8" s="3418"/>
      <c r="DJV8" s="3418"/>
      <c r="DJW8" s="3418"/>
      <c r="DJX8" s="3418"/>
      <c r="DJY8" s="3418"/>
      <c r="DJZ8" s="3418"/>
      <c r="DKA8" s="3418"/>
      <c r="DKB8" s="3418"/>
      <c r="DKC8" s="3418"/>
      <c r="DKD8" s="3418"/>
      <c r="DKE8" s="3418"/>
      <c r="DKF8" s="3418"/>
      <c r="DKG8" s="3418"/>
      <c r="DKH8" s="3418"/>
      <c r="DKI8" s="3418"/>
      <c r="DKJ8" s="3418"/>
      <c r="DKK8" s="3418"/>
      <c r="DKL8" s="3418"/>
      <c r="DKM8" s="3418"/>
      <c r="DKN8" s="3418"/>
      <c r="DKO8" s="3418"/>
      <c r="DKP8" s="3418"/>
      <c r="DKQ8" s="3418"/>
      <c r="DKR8" s="3418"/>
      <c r="DKS8" s="3418"/>
      <c r="DKT8" s="3418"/>
      <c r="DKU8" s="3418"/>
      <c r="DKV8" s="3418"/>
      <c r="DKW8" s="3418"/>
      <c r="DKX8" s="3418"/>
      <c r="DKY8" s="3418"/>
      <c r="DKZ8" s="3418"/>
      <c r="DLA8" s="3418"/>
      <c r="DLB8" s="3418"/>
      <c r="DLC8" s="3418"/>
      <c r="DLD8" s="3418"/>
      <c r="DLE8" s="3418"/>
      <c r="DLF8" s="3418"/>
      <c r="DLG8" s="3418"/>
      <c r="DLH8" s="3418"/>
      <c r="DLI8" s="3418"/>
      <c r="DLJ8" s="3418"/>
      <c r="DLK8" s="3418"/>
      <c r="DLL8" s="3418"/>
      <c r="DLM8" s="3418"/>
      <c r="DLN8" s="3418"/>
      <c r="DLO8" s="3418"/>
      <c r="DLP8" s="3418"/>
      <c r="DLQ8" s="3418"/>
      <c r="DLR8" s="3418"/>
      <c r="DLS8" s="3418"/>
      <c r="DLT8" s="3418"/>
      <c r="DLU8" s="3418"/>
      <c r="DLV8" s="3418"/>
      <c r="DLW8" s="3418"/>
      <c r="DLX8" s="3418"/>
      <c r="DLY8" s="3418"/>
      <c r="DLZ8" s="3418"/>
      <c r="DMA8" s="3418"/>
      <c r="DMB8" s="3418"/>
      <c r="DMC8" s="3418"/>
      <c r="DMD8" s="3418"/>
      <c r="DME8" s="3418"/>
      <c r="DMF8" s="3418"/>
      <c r="DMG8" s="3418"/>
      <c r="DMH8" s="3418"/>
      <c r="DMI8" s="3418"/>
      <c r="DMJ8" s="3418"/>
      <c r="DMK8" s="3418"/>
      <c r="DML8" s="3418"/>
      <c r="DMM8" s="3418"/>
      <c r="DMN8" s="3418"/>
      <c r="DMO8" s="3418"/>
      <c r="DMP8" s="3418"/>
      <c r="DMQ8" s="3418"/>
      <c r="DMR8" s="3418"/>
      <c r="DMS8" s="3418"/>
      <c r="DMT8" s="3418"/>
      <c r="DMU8" s="3418"/>
      <c r="DMV8" s="3418"/>
      <c r="DMW8" s="3418"/>
      <c r="DMX8" s="3418"/>
      <c r="DMY8" s="3418"/>
      <c r="DMZ8" s="3418"/>
      <c r="DNA8" s="3418"/>
      <c r="DNB8" s="3418"/>
      <c r="DNC8" s="3418"/>
      <c r="DND8" s="3418"/>
      <c r="DNE8" s="3418"/>
      <c r="DNF8" s="3418"/>
      <c r="DNG8" s="3418"/>
      <c r="DNH8" s="3418"/>
      <c r="DNI8" s="3418"/>
      <c r="DNJ8" s="3418"/>
      <c r="DNK8" s="3418"/>
      <c r="DNL8" s="3418"/>
      <c r="DNM8" s="3418"/>
      <c r="DNN8" s="3418"/>
      <c r="DNO8" s="3418"/>
      <c r="DNP8" s="3418"/>
      <c r="DNQ8" s="3418"/>
      <c r="DNR8" s="3418"/>
      <c r="DNS8" s="3418"/>
      <c r="DNT8" s="3418"/>
      <c r="DNU8" s="3418"/>
      <c r="DNV8" s="3418"/>
      <c r="DNW8" s="3418"/>
      <c r="DNX8" s="3418"/>
      <c r="DNY8" s="3418"/>
      <c r="DNZ8" s="3418"/>
      <c r="DOA8" s="3418"/>
      <c r="DOB8" s="3418"/>
      <c r="DOC8" s="3418"/>
      <c r="DOD8" s="3418"/>
      <c r="DOE8" s="3418"/>
      <c r="DOF8" s="3418"/>
      <c r="DOG8" s="3418"/>
      <c r="DOH8" s="3418"/>
      <c r="DOI8" s="3418"/>
      <c r="DOJ8" s="3418"/>
      <c r="DOK8" s="3418"/>
      <c r="DOL8" s="3418"/>
      <c r="DOM8" s="3418"/>
      <c r="DON8" s="3418"/>
      <c r="DOO8" s="3418"/>
      <c r="DOP8" s="3418"/>
      <c r="DOQ8" s="3418"/>
      <c r="DOR8" s="3418"/>
      <c r="DOS8" s="3418"/>
      <c r="DOT8" s="3418"/>
      <c r="DOU8" s="3418"/>
      <c r="DOV8" s="3418"/>
      <c r="DOW8" s="3418"/>
      <c r="DOX8" s="3418"/>
      <c r="DOY8" s="3418"/>
      <c r="DOZ8" s="3418"/>
      <c r="DPA8" s="3418"/>
      <c r="DPB8" s="3418"/>
      <c r="DPC8" s="3418"/>
      <c r="DPD8" s="3418"/>
      <c r="DPE8" s="3418"/>
      <c r="DPF8" s="3418"/>
      <c r="DPG8" s="3418"/>
      <c r="DPH8" s="3418"/>
      <c r="DPI8" s="3418"/>
      <c r="DPJ8" s="3418"/>
      <c r="DPK8" s="3418"/>
      <c r="DPL8" s="3418"/>
      <c r="DPM8" s="3418"/>
      <c r="DPN8" s="3418"/>
      <c r="DPO8" s="3418"/>
      <c r="DPP8" s="3418"/>
      <c r="DPQ8" s="3418"/>
      <c r="DPR8" s="3418"/>
      <c r="DPS8" s="3418"/>
      <c r="DPT8" s="3418"/>
      <c r="DPU8" s="3418"/>
      <c r="DPV8" s="3418"/>
      <c r="DPW8" s="3418"/>
      <c r="DPX8" s="3418"/>
      <c r="DPY8" s="3418"/>
      <c r="DPZ8" s="3418"/>
      <c r="DQA8" s="3418"/>
      <c r="DQB8" s="3418"/>
      <c r="DQC8" s="3418"/>
      <c r="DQD8" s="3418"/>
      <c r="DQE8" s="3418"/>
      <c r="DQF8" s="3418"/>
      <c r="DQG8" s="3418"/>
      <c r="DQH8" s="3418"/>
      <c r="DQI8" s="3418"/>
      <c r="DQJ8" s="3418"/>
      <c r="DQK8" s="3418"/>
      <c r="DQL8" s="3418"/>
      <c r="DQM8" s="3418"/>
      <c r="DQN8" s="3418"/>
      <c r="DQO8" s="3418"/>
      <c r="DQP8" s="3418"/>
      <c r="DQQ8" s="3418"/>
      <c r="DQR8" s="3418"/>
      <c r="DQS8" s="3418"/>
      <c r="DQT8" s="3418"/>
      <c r="DQU8" s="3418"/>
      <c r="DQV8" s="3418"/>
      <c r="DQW8" s="3418"/>
      <c r="DQX8" s="3418"/>
      <c r="DQY8" s="3418"/>
      <c r="DQZ8" s="3418"/>
      <c r="DRA8" s="3418"/>
      <c r="DRB8" s="3418"/>
      <c r="DRC8" s="3418"/>
      <c r="DRD8" s="3418"/>
      <c r="DRE8" s="3418"/>
      <c r="DRF8" s="3418"/>
      <c r="DRG8" s="3418"/>
      <c r="DRH8" s="3418"/>
      <c r="DRI8" s="3418"/>
      <c r="DRJ8" s="3418"/>
      <c r="DRK8" s="3418"/>
      <c r="DRL8" s="3418"/>
      <c r="DRM8" s="3418"/>
      <c r="DRN8" s="3418"/>
      <c r="DRO8" s="3418"/>
      <c r="DRP8" s="3418"/>
      <c r="DRQ8" s="3418"/>
      <c r="DRR8" s="3418"/>
      <c r="DRS8" s="3418"/>
      <c r="DRT8" s="3418"/>
      <c r="DRU8" s="3418"/>
      <c r="DRV8" s="3418"/>
      <c r="DRW8" s="3418"/>
      <c r="DRX8" s="3418"/>
      <c r="DRY8" s="3418"/>
      <c r="DRZ8" s="3418"/>
      <c r="DSA8" s="3418"/>
      <c r="DSB8" s="3418"/>
      <c r="DSC8" s="3418"/>
      <c r="DSD8" s="3418"/>
      <c r="DSE8" s="3418"/>
      <c r="DSF8" s="3418"/>
      <c r="DSG8" s="3418"/>
      <c r="DSH8" s="3418"/>
      <c r="DSI8" s="3418"/>
      <c r="DSJ8" s="3418"/>
      <c r="DSK8" s="3418"/>
      <c r="DSL8" s="3418"/>
      <c r="DSM8" s="3418"/>
      <c r="DSN8" s="3418"/>
      <c r="DSO8" s="3418"/>
      <c r="DSP8" s="3418"/>
      <c r="DSQ8" s="3418"/>
      <c r="DSR8" s="3418"/>
      <c r="DSS8" s="3418"/>
      <c r="DST8" s="3418"/>
      <c r="DSU8" s="3418"/>
      <c r="DSV8" s="3418"/>
      <c r="DSW8" s="3418"/>
      <c r="DSX8" s="3418"/>
      <c r="DSY8" s="3418"/>
      <c r="DSZ8" s="3418"/>
      <c r="DTA8" s="3418"/>
      <c r="DTB8" s="3418"/>
      <c r="DTC8" s="3418"/>
      <c r="DTD8" s="3418"/>
      <c r="DTE8" s="3418"/>
      <c r="DTF8" s="3418"/>
      <c r="DTG8" s="3418"/>
      <c r="DTH8" s="3418"/>
      <c r="DTI8" s="3418"/>
      <c r="DTJ8" s="3418"/>
      <c r="DTK8" s="3418"/>
      <c r="DTL8" s="3418"/>
      <c r="DTM8" s="3418"/>
      <c r="DTN8" s="3418"/>
      <c r="DTO8" s="3418"/>
      <c r="DTP8" s="3418"/>
      <c r="DTQ8" s="3418"/>
      <c r="DTR8" s="3418"/>
      <c r="DTS8" s="3418"/>
      <c r="DTT8" s="3418"/>
      <c r="DTU8" s="3418"/>
      <c r="DTV8" s="3418"/>
      <c r="DTW8" s="3418"/>
      <c r="DTX8" s="3418"/>
      <c r="DTY8" s="3418"/>
      <c r="DTZ8" s="3418"/>
      <c r="DUA8" s="3418"/>
      <c r="DUB8" s="3418"/>
      <c r="DUC8" s="3418"/>
      <c r="DUD8" s="3418"/>
      <c r="DUE8" s="3418"/>
      <c r="DUF8" s="3418"/>
      <c r="DUG8" s="3418"/>
      <c r="DUH8" s="3418"/>
      <c r="DUI8" s="3418"/>
      <c r="DUJ8" s="3418"/>
      <c r="DUK8" s="3418"/>
      <c r="DUL8" s="3418"/>
      <c r="DUM8" s="3418"/>
      <c r="DUN8" s="3418"/>
      <c r="DUO8" s="3418"/>
      <c r="DUP8" s="3418"/>
      <c r="DUQ8" s="3418"/>
      <c r="DUR8" s="3418"/>
      <c r="DUS8" s="3418"/>
      <c r="DUT8" s="3418"/>
      <c r="DUU8" s="3418"/>
      <c r="DUV8" s="3418"/>
      <c r="DUW8" s="3418"/>
      <c r="DUX8" s="3418"/>
      <c r="DUY8" s="3418"/>
      <c r="DUZ8" s="3418"/>
      <c r="DVA8" s="3418"/>
      <c r="DVB8" s="3418"/>
      <c r="DVC8" s="3418"/>
      <c r="DVD8" s="3418"/>
      <c r="DVE8" s="3418"/>
      <c r="DVF8" s="3418"/>
      <c r="DVG8" s="3418"/>
      <c r="DVH8" s="3418"/>
      <c r="DVI8" s="3418"/>
      <c r="DVJ8" s="3418"/>
      <c r="DVK8" s="3418"/>
      <c r="DVL8" s="3418"/>
      <c r="DVM8" s="3418"/>
      <c r="DVN8" s="3418"/>
      <c r="DVO8" s="3418"/>
      <c r="DVP8" s="3418"/>
      <c r="DVQ8" s="3418"/>
      <c r="DVR8" s="3418"/>
      <c r="DVS8" s="3418"/>
      <c r="DVT8" s="3418"/>
      <c r="DVU8" s="3418"/>
      <c r="DVV8" s="3418"/>
      <c r="DVW8" s="3418"/>
      <c r="DVX8" s="3418"/>
      <c r="DVY8" s="3418"/>
      <c r="DVZ8" s="3418"/>
      <c r="DWA8" s="3418"/>
      <c r="DWB8" s="3418"/>
      <c r="DWC8" s="3418"/>
      <c r="DWD8" s="3418"/>
      <c r="DWE8" s="3418"/>
      <c r="DWF8" s="3418"/>
      <c r="DWG8" s="3418"/>
      <c r="DWH8" s="3418"/>
      <c r="DWI8" s="3418"/>
      <c r="DWJ8" s="3418"/>
      <c r="DWK8" s="3418"/>
      <c r="DWL8" s="3418"/>
      <c r="DWM8" s="3418"/>
      <c r="DWN8" s="3418"/>
      <c r="DWO8" s="3418"/>
      <c r="DWP8" s="3418"/>
      <c r="DWQ8" s="3418"/>
      <c r="DWR8" s="3418"/>
      <c r="DWS8" s="3418"/>
      <c r="DWT8" s="3418"/>
      <c r="DWU8" s="3418"/>
      <c r="DWV8" s="3418"/>
      <c r="DWW8" s="3418"/>
      <c r="DWX8" s="3418"/>
      <c r="DWY8" s="3418"/>
      <c r="DWZ8" s="3418"/>
      <c r="DXA8" s="3418"/>
      <c r="DXB8" s="3418"/>
      <c r="DXC8" s="3418"/>
      <c r="DXD8" s="3418"/>
      <c r="DXE8" s="3418"/>
      <c r="DXF8" s="3418"/>
      <c r="DXG8" s="3418"/>
      <c r="DXH8" s="3418"/>
      <c r="DXI8" s="3418"/>
      <c r="DXJ8" s="3418"/>
      <c r="DXK8" s="3418"/>
      <c r="DXL8" s="3418"/>
      <c r="DXM8" s="3418"/>
      <c r="DXN8" s="3418"/>
      <c r="DXO8" s="3418"/>
      <c r="DXP8" s="3418"/>
      <c r="DXQ8" s="3418"/>
      <c r="DXR8" s="3418"/>
      <c r="DXS8" s="3418"/>
      <c r="DXT8" s="3418"/>
      <c r="DXU8" s="3418"/>
      <c r="DXV8" s="3418"/>
      <c r="DXW8" s="3418"/>
      <c r="DXX8" s="3418"/>
      <c r="DXY8" s="3418"/>
      <c r="DXZ8" s="3418"/>
      <c r="DYA8" s="3418"/>
      <c r="DYB8" s="3418"/>
      <c r="DYC8" s="3418"/>
      <c r="DYD8" s="3418"/>
      <c r="DYE8" s="3418"/>
      <c r="DYF8" s="3418"/>
      <c r="DYG8" s="3418"/>
      <c r="DYH8" s="3418"/>
      <c r="DYI8" s="3418"/>
      <c r="DYJ8" s="3418"/>
      <c r="DYK8" s="3418"/>
      <c r="DYL8" s="3418"/>
      <c r="DYM8" s="3418"/>
      <c r="DYN8" s="3418"/>
      <c r="DYO8" s="3418"/>
      <c r="DYP8" s="3418"/>
      <c r="DYQ8" s="3418"/>
      <c r="DYR8" s="3418"/>
      <c r="DYS8" s="3418"/>
      <c r="DYT8" s="3418"/>
      <c r="DYU8" s="3418"/>
      <c r="DYV8" s="3418"/>
      <c r="DYW8" s="3418"/>
      <c r="DYX8" s="3418"/>
      <c r="DYY8" s="3418"/>
      <c r="DYZ8" s="3418"/>
      <c r="DZA8" s="3418"/>
      <c r="DZB8" s="3418"/>
      <c r="DZC8" s="3418"/>
      <c r="DZD8" s="3418"/>
      <c r="DZE8" s="3418"/>
      <c r="DZF8" s="3418"/>
      <c r="DZG8" s="3418"/>
      <c r="DZH8" s="3418"/>
      <c r="DZI8" s="3418"/>
      <c r="DZJ8" s="3418"/>
      <c r="DZK8" s="3418"/>
      <c r="DZL8" s="3418"/>
      <c r="DZM8" s="3418"/>
      <c r="DZN8" s="3418"/>
      <c r="DZO8" s="3418"/>
      <c r="DZP8" s="3418"/>
      <c r="DZQ8" s="3418"/>
      <c r="DZR8" s="3418"/>
      <c r="DZS8" s="3418"/>
      <c r="DZT8" s="3418"/>
      <c r="DZU8" s="3418"/>
      <c r="DZV8" s="3418"/>
      <c r="DZW8" s="3418"/>
      <c r="DZX8" s="3418"/>
      <c r="DZY8" s="3418"/>
      <c r="DZZ8" s="3418"/>
      <c r="EAA8" s="3418"/>
      <c r="EAB8" s="3418"/>
      <c r="EAC8" s="3418"/>
      <c r="EAD8" s="3418"/>
      <c r="EAE8" s="3418"/>
      <c r="EAF8" s="3418"/>
      <c r="EAG8" s="3418"/>
      <c r="EAH8" s="3418"/>
      <c r="EAI8" s="3418"/>
      <c r="EAJ8" s="3418"/>
      <c r="EAK8" s="3418"/>
      <c r="EAL8" s="3418"/>
      <c r="EAM8" s="3418"/>
      <c r="EAN8" s="3418"/>
      <c r="EAO8" s="3418"/>
      <c r="EAP8" s="3418"/>
      <c r="EAQ8" s="3418"/>
      <c r="EAR8" s="3418"/>
      <c r="EAS8" s="3418"/>
      <c r="EAT8" s="3418"/>
      <c r="EAU8" s="3418"/>
      <c r="EAV8" s="3418"/>
      <c r="EAW8" s="3418"/>
      <c r="EAX8" s="3418"/>
      <c r="EAY8" s="3418"/>
      <c r="EAZ8" s="3418"/>
      <c r="EBA8" s="3418"/>
      <c r="EBB8" s="3418"/>
      <c r="EBC8" s="3418"/>
      <c r="EBD8" s="3418"/>
      <c r="EBE8" s="3418"/>
      <c r="EBF8" s="3418"/>
      <c r="EBG8" s="3418"/>
      <c r="EBH8" s="3418"/>
      <c r="EBI8" s="3418"/>
      <c r="EBJ8" s="3418"/>
      <c r="EBK8" s="3418"/>
      <c r="EBL8" s="3418"/>
      <c r="EBM8" s="3418"/>
      <c r="EBN8" s="3418"/>
      <c r="EBO8" s="3418"/>
      <c r="EBP8" s="3418"/>
      <c r="EBQ8" s="3418"/>
      <c r="EBR8" s="3418"/>
      <c r="EBS8" s="3418"/>
      <c r="EBT8" s="3418"/>
      <c r="EBU8" s="3418"/>
      <c r="EBV8" s="3418"/>
      <c r="EBW8" s="3418"/>
      <c r="EBX8" s="3418"/>
      <c r="EBY8" s="3418"/>
      <c r="EBZ8" s="3418"/>
      <c r="ECA8" s="3418"/>
      <c r="ECB8" s="3418"/>
      <c r="ECC8" s="3418"/>
      <c r="ECD8" s="3418"/>
      <c r="ECE8" s="3418"/>
      <c r="ECF8" s="3418"/>
      <c r="ECG8" s="3418"/>
      <c r="ECH8" s="3418"/>
      <c r="ECI8" s="3418"/>
      <c r="ECJ8" s="3418"/>
      <c r="ECK8" s="3418"/>
      <c r="ECL8" s="3418"/>
      <c r="ECM8" s="3418"/>
      <c r="ECN8" s="3418"/>
      <c r="ECO8" s="3418"/>
      <c r="ECP8" s="3418"/>
      <c r="ECQ8" s="3418"/>
      <c r="ECR8" s="3418"/>
      <c r="ECS8" s="3418"/>
      <c r="ECT8" s="3418"/>
      <c r="ECU8" s="3418"/>
      <c r="ECV8" s="3418"/>
      <c r="ECW8" s="3418"/>
      <c r="ECX8" s="3418"/>
      <c r="ECY8" s="3418"/>
      <c r="ECZ8" s="3418"/>
      <c r="EDA8" s="3418"/>
      <c r="EDB8" s="3418"/>
      <c r="EDC8" s="3418"/>
      <c r="EDD8" s="3418"/>
      <c r="EDE8" s="3418"/>
      <c r="EDF8" s="3418"/>
      <c r="EDG8" s="3418"/>
      <c r="EDH8" s="3418"/>
      <c r="EDI8" s="3418"/>
      <c r="EDJ8" s="3418"/>
      <c r="EDK8" s="3418"/>
      <c r="EDL8" s="3418"/>
      <c r="EDM8" s="3418"/>
      <c r="EDN8" s="3418"/>
      <c r="EDO8" s="3418"/>
      <c r="EDP8" s="3418"/>
      <c r="EDQ8" s="3418"/>
      <c r="EDR8" s="3418"/>
      <c r="EDS8" s="3418"/>
      <c r="EDT8" s="3418"/>
      <c r="EDU8" s="3418"/>
      <c r="EDV8" s="3418"/>
      <c r="EDW8" s="3418"/>
      <c r="EDX8" s="3418"/>
      <c r="EDY8" s="3418"/>
      <c r="EDZ8" s="3418"/>
      <c r="EEA8" s="3418"/>
      <c r="EEB8" s="3418"/>
      <c r="EEC8" s="3418"/>
      <c r="EED8" s="3418"/>
      <c r="EEE8" s="3418"/>
      <c r="EEF8" s="3418"/>
      <c r="EEG8" s="3418"/>
      <c r="EEH8" s="3418"/>
      <c r="EEI8" s="3418"/>
      <c r="EEJ8" s="3418"/>
      <c r="EEK8" s="3418"/>
      <c r="EEL8" s="3418"/>
      <c r="EEM8" s="3418"/>
      <c r="EEN8" s="3418"/>
      <c r="EEO8" s="3418"/>
      <c r="EEP8" s="3418"/>
      <c r="EEQ8" s="3418"/>
      <c r="EER8" s="3418"/>
      <c r="EES8" s="3418"/>
      <c r="EET8" s="3418"/>
      <c r="EEU8" s="3418"/>
      <c r="EEV8" s="3418"/>
      <c r="EEW8" s="3418"/>
      <c r="EEX8" s="3418"/>
      <c r="EEY8" s="3418"/>
      <c r="EEZ8" s="3418"/>
      <c r="EFA8" s="3418"/>
      <c r="EFB8" s="3418"/>
      <c r="EFC8" s="3418"/>
      <c r="EFD8" s="3418"/>
      <c r="EFE8" s="3418"/>
      <c r="EFF8" s="3418"/>
      <c r="EFG8" s="3418"/>
      <c r="EFH8" s="3418"/>
      <c r="EFI8" s="3418"/>
      <c r="EFJ8" s="3418"/>
      <c r="EFK8" s="3418"/>
      <c r="EFL8" s="3418"/>
      <c r="EFM8" s="3418"/>
      <c r="EFN8" s="3418"/>
      <c r="EFO8" s="3418"/>
      <c r="EFP8" s="3418"/>
      <c r="EFQ8" s="3418"/>
      <c r="EFR8" s="3418"/>
      <c r="EFS8" s="3418"/>
      <c r="EFT8" s="3418"/>
      <c r="EFU8" s="3418"/>
      <c r="EFV8" s="3418"/>
      <c r="EFW8" s="3418"/>
      <c r="EFX8" s="3418"/>
      <c r="EFY8" s="3418"/>
      <c r="EFZ8" s="3418"/>
      <c r="EGA8" s="3418"/>
      <c r="EGB8" s="3418"/>
      <c r="EGC8" s="3418"/>
      <c r="EGD8" s="3418"/>
      <c r="EGE8" s="3418"/>
      <c r="EGF8" s="3418"/>
      <c r="EGG8" s="3418"/>
      <c r="EGH8" s="3418"/>
      <c r="EGI8" s="3418"/>
      <c r="EGJ8" s="3418"/>
      <c r="EGK8" s="3418"/>
      <c r="EGL8" s="3418"/>
      <c r="EGM8" s="3418"/>
      <c r="EGN8" s="3418"/>
      <c r="EGO8" s="3418"/>
      <c r="EGP8" s="3418"/>
      <c r="EGQ8" s="3418"/>
      <c r="EGR8" s="3418"/>
      <c r="EGS8" s="3418"/>
      <c r="EGT8" s="3418"/>
      <c r="EGU8" s="3418"/>
      <c r="EGV8" s="3418"/>
      <c r="EGW8" s="3418"/>
      <c r="EGX8" s="3418"/>
      <c r="EGY8" s="3418"/>
      <c r="EGZ8" s="3418"/>
      <c r="EHA8" s="3418"/>
      <c r="EHB8" s="3418"/>
      <c r="EHC8" s="3418"/>
      <c r="EHD8" s="3418"/>
      <c r="EHE8" s="3418"/>
      <c r="EHF8" s="3418"/>
      <c r="EHG8" s="3418"/>
      <c r="EHH8" s="3418"/>
      <c r="EHI8" s="3418"/>
      <c r="EHJ8" s="3418"/>
      <c r="EHK8" s="3418"/>
      <c r="EHL8" s="3418"/>
      <c r="EHM8" s="3418"/>
      <c r="EHN8" s="3418"/>
      <c r="EHO8" s="3418"/>
      <c r="EHP8" s="3418"/>
      <c r="EHQ8" s="3418"/>
      <c r="EHR8" s="3418"/>
      <c r="EHS8" s="3418"/>
      <c r="EHT8" s="3418"/>
      <c r="EHU8" s="3418"/>
      <c r="EHV8" s="3418"/>
      <c r="EHW8" s="3418"/>
      <c r="EHX8" s="3418"/>
      <c r="EHY8" s="3418"/>
      <c r="EHZ8" s="3418"/>
      <c r="EIA8" s="3418"/>
      <c r="EIB8" s="3418"/>
      <c r="EIC8" s="3418"/>
      <c r="EID8" s="3418"/>
      <c r="EIE8" s="3418"/>
      <c r="EIF8" s="3418"/>
      <c r="EIG8" s="3418"/>
      <c r="EIH8" s="3418"/>
      <c r="EII8" s="3418"/>
      <c r="EIJ8" s="3418"/>
      <c r="EIK8" s="3418"/>
      <c r="EIL8" s="3418"/>
      <c r="EIM8" s="3418"/>
      <c r="EIN8" s="3418"/>
      <c r="EIO8" s="3418"/>
      <c r="EIP8" s="3418"/>
      <c r="EIQ8" s="3418"/>
      <c r="EIR8" s="3418"/>
      <c r="EIS8" s="3418"/>
      <c r="EIT8" s="3418"/>
      <c r="EIU8" s="3418"/>
      <c r="EIV8" s="3418"/>
      <c r="EIW8" s="3418"/>
      <c r="EIX8" s="3418"/>
      <c r="EIY8" s="3418"/>
      <c r="EIZ8" s="3418"/>
      <c r="EJA8" s="3418"/>
      <c r="EJB8" s="3418"/>
      <c r="EJC8" s="3418"/>
      <c r="EJD8" s="3418"/>
      <c r="EJE8" s="3418"/>
      <c r="EJF8" s="3418"/>
      <c r="EJG8" s="3418"/>
      <c r="EJH8" s="3418"/>
      <c r="EJI8" s="3418"/>
      <c r="EJJ8" s="3418"/>
      <c r="EJK8" s="3418"/>
      <c r="EJL8" s="3418"/>
      <c r="EJM8" s="3418"/>
      <c r="EJN8" s="3418"/>
      <c r="EJO8" s="3418"/>
      <c r="EJP8" s="3418"/>
      <c r="EJQ8" s="3418"/>
      <c r="EJR8" s="3418"/>
      <c r="EJS8" s="3418"/>
      <c r="EJT8" s="3418"/>
      <c r="EJU8" s="3418"/>
      <c r="EJV8" s="3418"/>
      <c r="EJW8" s="3418"/>
      <c r="EJX8" s="3418"/>
      <c r="EJY8" s="3418"/>
      <c r="EJZ8" s="3418"/>
      <c r="EKA8" s="3418"/>
      <c r="EKB8" s="3418"/>
      <c r="EKC8" s="3418"/>
      <c r="EKD8" s="3418"/>
      <c r="EKE8" s="3418"/>
      <c r="EKF8" s="3418"/>
      <c r="EKG8" s="3418"/>
      <c r="EKH8" s="3418"/>
      <c r="EKI8" s="3418"/>
      <c r="EKJ8" s="3418"/>
      <c r="EKK8" s="3418"/>
      <c r="EKL8" s="3418"/>
      <c r="EKM8" s="3418"/>
      <c r="EKN8" s="3418"/>
      <c r="EKO8" s="3418"/>
      <c r="EKP8" s="3418"/>
      <c r="EKQ8" s="3418"/>
      <c r="EKR8" s="3418"/>
      <c r="EKS8" s="3418"/>
      <c r="EKT8" s="3418"/>
      <c r="EKU8" s="3418"/>
      <c r="EKV8" s="3418"/>
      <c r="EKW8" s="3418"/>
      <c r="EKX8" s="3418"/>
      <c r="EKY8" s="3418"/>
      <c r="EKZ8" s="3418"/>
      <c r="ELA8" s="3418"/>
      <c r="ELB8" s="3418"/>
      <c r="ELC8" s="3418"/>
      <c r="ELD8" s="3418"/>
      <c r="ELE8" s="3418"/>
      <c r="ELF8" s="3418"/>
      <c r="ELG8" s="3418"/>
      <c r="ELH8" s="3418"/>
      <c r="ELI8" s="3418"/>
      <c r="ELJ8" s="3418"/>
      <c r="ELK8" s="3418"/>
      <c r="ELL8" s="3418"/>
      <c r="ELM8" s="3418"/>
      <c r="ELN8" s="3418"/>
      <c r="ELO8" s="3418"/>
      <c r="ELP8" s="3418"/>
      <c r="ELQ8" s="3418"/>
      <c r="ELR8" s="3418"/>
      <c r="ELS8" s="3418"/>
      <c r="ELT8" s="3418"/>
      <c r="ELU8" s="3418"/>
      <c r="ELV8" s="3418"/>
      <c r="ELW8" s="3418"/>
      <c r="ELX8" s="3418"/>
      <c r="ELY8" s="3418"/>
      <c r="ELZ8" s="3418"/>
      <c r="EMA8" s="3418"/>
      <c r="EMB8" s="3418"/>
      <c r="EMC8" s="3418"/>
      <c r="EMD8" s="3418"/>
      <c r="EME8" s="3418"/>
      <c r="EMF8" s="3418"/>
      <c r="EMG8" s="3418"/>
      <c r="EMH8" s="3418"/>
      <c r="EMI8" s="3418"/>
      <c r="EMJ8" s="3418"/>
      <c r="EMK8" s="3418"/>
      <c r="EML8" s="3418"/>
      <c r="EMM8" s="3418"/>
      <c r="EMN8" s="3418"/>
      <c r="EMO8" s="3418"/>
      <c r="EMP8" s="3418"/>
      <c r="EMQ8" s="3418"/>
      <c r="EMR8" s="3418"/>
      <c r="EMS8" s="3418"/>
      <c r="EMT8" s="3418"/>
      <c r="EMU8" s="3418"/>
      <c r="EMV8" s="3418"/>
      <c r="EMW8" s="3418"/>
      <c r="EMX8" s="3418"/>
      <c r="EMY8" s="3418"/>
      <c r="EMZ8" s="3418"/>
      <c r="ENA8" s="3418"/>
      <c r="ENB8" s="3418"/>
      <c r="ENC8" s="3418"/>
      <c r="END8" s="3418"/>
      <c r="ENE8" s="3418"/>
      <c r="ENF8" s="3418"/>
      <c r="ENG8" s="3418"/>
      <c r="ENH8" s="3418"/>
      <c r="ENI8" s="3418"/>
      <c r="ENJ8" s="3418"/>
      <c r="ENK8" s="3418"/>
      <c r="ENL8" s="3418"/>
      <c r="ENM8" s="3418"/>
      <c r="ENN8" s="3418"/>
      <c r="ENO8" s="3418"/>
      <c r="ENP8" s="3418"/>
      <c r="ENQ8" s="3418"/>
      <c r="ENR8" s="3418"/>
      <c r="ENS8" s="3418"/>
      <c r="ENT8" s="3418"/>
      <c r="ENU8" s="3418"/>
      <c r="ENV8" s="3418"/>
      <c r="ENW8" s="3418"/>
      <c r="ENX8" s="3418"/>
      <c r="ENY8" s="3418"/>
      <c r="ENZ8" s="3418"/>
      <c r="EOA8" s="3418"/>
      <c r="EOB8" s="3418"/>
      <c r="EOC8" s="3418"/>
      <c r="EOD8" s="3418"/>
      <c r="EOE8" s="3418"/>
      <c r="EOF8" s="3418"/>
      <c r="EOG8" s="3418"/>
      <c r="EOH8" s="3418"/>
      <c r="EOI8" s="3418"/>
      <c r="EOJ8" s="3418"/>
      <c r="EOK8" s="3418"/>
      <c r="EOL8" s="3418"/>
      <c r="EOM8" s="3418"/>
      <c r="EON8" s="3418"/>
      <c r="EOO8" s="3418"/>
      <c r="EOP8" s="3418"/>
      <c r="EOQ8" s="3418"/>
      <c r="EOR8" s="3418"/>
      <c r="EOS8" s="3418"/>
      <c r="EOT8" s="3418"/>
      <c r="EOU8" s="3418"/>
      <c r="EOV8" s="3418"/>
      <c r="EOW8" s="3418"/>
      <c r="EOX8" s="3418"/>
      <c r="EOY8" s="3418"/>
      <c r="EOZ8" s="3418"/>
      <c r="EPA8" s="3418"/>
      <c r="EPB8" s="3418"/>
      <c r="EPC8" s="3418"/>
      <c r="EPD8" s="3418"/>
      <c r="EPE8" s="3418"/>
      <c r="EPF8" s="3418"/>
      <c r="EPG8" s="3418"/>
      <c r="EPH8" s="3418"/>
      <c r="EPI8" s="3418"/>
      <c r="EPJ8" s="3418"/>
      <c r="EPK8" s="3418"/>
      <c r="EPL8" s="3418"/>
      <c r="EPM8" s="3418"/>
      <c r="EPN8" s="3418"/>
      <c r="EPO8" s="3418"/>
      <c r="EPP8" s="3418"/>
      <c r="EPQ8" s="3418"/>
      <c r="EPR8" s="3418"/>
      <c r="EPS8" s="3418"/>
      <c r="EPT8" s="3418"/>
      <c r="EPU8" s="3418"/>
      <c r="EPV8" s="3418"/>
      <c r="EPW8" s="3418"/>
      <c r="EPX8" s="3418"/>
      <c r="EPY8" s="3418"/>
      <c r="EPZ8" s="3418"/>
      <c r="EQA8" s="3418"/>
      <c r="EQB8" s="3418"/>
      <c r="EQC8" s="3418"/>
      <c r="EQD8" s="3418"/>
      <c r="EQE8" s="3418"/>
      <c r="EQF8" s="3418"/>
      <c r="EQG8" s="3418"/>
      <c r="EQH8" s="3418"/>
      <c r="EQI8" s="3418"/>
      <c r="EQJ8" s="3418"/>
      <c r="EQK8" s="3418"/>
      <c r="EQL8" s="3418"/>
      <c r="EQM8" s="3418"/>
      <c r="EQN8" s="3418"/>
      <c r="EQO8" s="3418"/>
      <c r="EQP8" s="3418"/>
      <c r="EQQ8" s="3418"/>
      <c r="EQR8" s="3418"/>
      <c r="EQS8" s="3418"/>
      <c r="EQT8" s="3418"/>
      <c r="EQU8" s="3418"/>
      <c r="EQV8" s="3418"/>
      <c r="EQW8" s="3418"/>
      <c r="EQX8" s="3418"/>
      <c r="EQY8" s="3418"/>
      <c r="EQZ8" s="3418"/>
      <c r="ERA8" s="3418"/>
      <c r="ERB8" s="3418"/>
      <c r="ERC8" s="3418"/>
      <c r="ERD8" s="3418"/>
      <c r="ERE8" s="3418"/>
      <c r="ERF8" s="3418"/>
      <c r="ERG8" s="3418"/>
      <c r="ERH8" s="3418"/>
      <c r="ERI8" s="3418"/>
      <c r="ERJ8" s="3418"/>
      <c r="ERK8" s="3418"/>
      <c r="ERL8" s="3418"/>
      <c r="ERM8" s="3418"/>
      <c r="ERN8" s="3418"/>
      <c r="ERO8" s="3418"/>
      <c r="ERP8" s="3418"/>
      <c r="ERQ8" s="3418"/>
      <c r="ERR8" s="3418"/>
      <c r="ERS8" s="3418"/>
      <c r="ERT8" s="3418"/>
      <c r="ERU8" s="3418"/>
      <c r="ERV8" s="3418"/>
      <c r="ERW8" s="3418"/>
      <c r="ERX8" s="3418"/>
      <c r="ERY8" s="3418"/>
      <c r="ERZ8" s="3418"/>
      <c r="ESA8" s="3418"/>
      <c r="ESB8" s="3418"/>
      <c r="ESC8" s="3418"/>
      <c r="ESD8" s="3418"/>
      <c r="ESE8" s="3418"/>
      <c r="ESF8" s="3418"/>
      <c r="ESG8" s="3418"/>
      <c r="ESH8" s="3418"/>
      <c r="ESI8" s="3418"/>
      <c r="ESJ8" s="3418"/>
      <c r="ESK8" s="3418"/>
      <c r="ESL8" s="3418"/>
      <c r="ESM8" s="3418"/>
      <c r="ESN8" s="3418"/>
      <c r="ESO8" s="3418"/>
      <c r="ESP8" s="3418"/>
      <c r="ESQ8" s="3418"/>
      <c r="ESR8" s="3418"/>
      <c r="ESS8" s="3418"/>
      <c r="EST8" s="3418"/>
      <c r="ESU8" s="3418"/>
      <c r="ESV8" s="3418"/>
      <c r="ESW8" s="3418"/>
      <c r="ESX8" s="3418"/>
      <c r="ESY8" s="3418"/>
      <c r="ESZ8" s="3418"/>
      <c r="ETA8" s="3418"/>
      <c r="ETB8" s="3418"/>
      <c r="ETC8" s="3418"/>
      <c r="ETD8" s="3418"/>
      <c r="ETE8" s="3418"/>
      <c r="ETF8" s="3418"/>
      <c r="ETG8" s="3418"/>
      <c r="ETH8" s="3418"/>
      <c r="ETI8" s="3418"/>
      <c r="ETJ8" s="3418"/>
      <c r="ETK8" s="3418"/>
      <c r="ETL8" s="3418"/>
      <c r="ETM8" s="3418"/>
      <c r="ETN8" s="3418"/>
      <c r="ETO8" s="3418"/>
      <c r="ETP8" s="3418"/>
      <c r="ETQ8" s="3418"/>
      <c r="ETR8" s="3418"/>
      <c r="ETS8" s="3418"/>
      <c r="ETT8" s="3418"/>
      <c r="ETU8" s="3418"/>
      <c r="ETV8" s="3418"/>
      <c r="ETW8" s="3418"/>
      <c r="ETX8" s="3418"/>
      <c r="ETY8" s="3418"/>
      <c r="ETZ8" s="3418"/>
      <c r="EUA8" s="3418"/>
      <c r="EUB8" s="3418"/>
      <c r="EUC8" s="3418"/>
      <c r="EUD8" s="3418"/>
      <c r="EUE8" s="3418"/>
      <c r="EUF8" s="3418"/>
      <c r="EUG8" s="3418"/>
      <c r="EUH8" s="3418"/>
      <c r="EUI8" s="3418"/>
      <c r="EUJ8" s="3418"/>
      <c r="EUK8" s="3418"/>
      <c r="EUL8" s="3418"/>
      <c r="EUM8" s="3418"/>
      <c r="EUN8" s="3418"/>
      <c r="EUO8" s="3418"/>
      <c r="EUP8" s="3418"/>
      <c r="EUQ8" s="3418"/>
      <c r="EUR8" s="3418"/>
      <c r="EUS8" s="3418"/>
      <c r="EUT8" s="3418"/>
      <c r="EUU8" s="3418"/>
      <c r="EUV8" s="3418"/>
      <c r="EUW8" s="3418"/>
      <c r="EUX8" s="3418"/>
      <c r="EUY8" s="3418"/>
      <c r="EUZ8" s="3418"/>
      <c r="EVA8" s="3418"/>
      <c r="EVB8" s="3418"/>
      <c r="EVC8" s="3418"/>
      <c r="EVD8" s="3418"/>
      <c r="EVE8" s="3418"/>
      <c r="EVF8" s="3418"/>
      <c r="EVG8" s="3418"/>
      <c r="EVH8" s="3418"/>
      <c r="EVI8" s="3418"/>
      <c r="EVJ8" s="3418"/>
      <c r="EVK8" s="3418"/>
      <c r="EVL8" s="3418"/>
      <c r="EVM8" s="3418"/>
      <c r="EVN8" s="3418"/>
      <c r="EVO8" s="3418"/>
      <c r="EVP8" s="3418"/>
      <c r="EVQ8" s="3418"/>
      <c r="EVR8" s="3418"/>
      <c r="EVS8" s="3418"/>
      <c r="EVT8" s="3418"/>
      <c r="EVU8" s="3418"/>
      <c r="EVV8" s="3418"/>
      <c r="EVW8" s="3418"/>
      <c r="EVX8" s="3418"/>
      <c r="EVY8" s="3418"/>
      <c r="EVZ8" s="3418"/>
      <c r="EWA8" s="3418"/>
      <c r="EWB8" s="3418"/>
      <c r="EWC8" s="3418"/>
      <c r="EWD8" s="3418"/>
      <c r="EWE8" s="3418"/>
      <c r="EWF8" s="3418"/>
      <c r="EWG8" s="3418"/>
      <c r="EWH8" s="3418"/>
      <c r="EWI8" s="3418"/>
      <c r="EWJ8" s="3418"/>
      <c r="EWK8" s="3418"/>
      <c r="EWL8" s="3418"/>
      <c r="EWM8" s="3418"/>
      <c r="EWN8" s="3418"/>
      <c r="EWO8" s="3418"/>
      <c r="EWP8" s="3418"/>
      <c r="EWQ8" s="3418"/>
      <c r="EWR8" s="3418"/>
      <c r="EWS8" s="3418"/>
      <c r="EWT8" s="3418"/>
      <c r="EWU8" s="3418"/>
      <c r="EWV8" s="3418"/>
      <c r="EWW8" s="3418"/>
      <c r="EWX8" s="3418"/>
      <c r="EWY8" s="3418"/>
      <c r="EWZ8" s="3418"/>
      <c r="EXA8" s="3418"/>
      <c r="EXB8" s="3418"/>
      <c r="EXC8" s="3418"/>
      <c r="EXD8" s="3418"/>
      <c r="EXE8" s="3418"/>
      <c r="EXF8" s="3418"/>
      <c r="EXG8" s="3418"/>
      <c r="EXH8" s="3418"/>
      <c r="EXI8" s="3418"/>
      <c r="EXJ8" s="3418"/>
      <c r="EXK8" s="3418"/>
      <c r="EXL8" s="3418"/>
      <c r="EXM8" s="3418"/>
      <c r="EXN8" s="3418"/>
      <c r="EXO8" s="3418"/>
      <c r="EXP8" s="3418"/>
      <c r="EXQ8" s="3418"/>
      <c r="EXR8" s="3418"/>
      <c r="EXS8" s="3418"/>
      <c r="EXT8" s="3418"/>
      <c r="EXU8" s="3418"/>
      <c r="EXV8" s="3418"/>
      <c r="EXW8" s="3418"/>
      <c r="EXX8" s="3418"/>
      <c r="EXY8" s="3418"/>
      <c r="EXZ8" s="3418"/>
      <c r="EYA8" s="3418"/>
      <c r="EYB8" s="3418"/>
      <c r="EYC8" s="3418"/>
      <c r="EYD8" s="3418"/>
      <c r="EYE8" s="3418"/>
      <c r="EYF8" s="3418"/>
      <c r="EYG8" s="3418"/>
      <c r="EYH8" s="3418"/>
      <c r="EYI8" s="3418"/>
      <c r="EYJ8" s="3418"/>
      <c r="EYK8" s="3418"/>
      <c r="EYL8" s="3418"/>
      <c r="EYM8" s="3418"/>
      <c r="EYN8" s="3418"/>
      <c r="EYO8" s="3418"/>
      <c r="EYP8" s="3418"/>
      <c r="EYQ8" s="3418"/>
      <c r="EYR8" s="3418"/>
      <c r="EYS8" s="3418"/>
      <c r="EYT8" s="3418"/>
      <c r="EYU8" s="3418"/>
      <c r="EYV8" s="3418"/>
      <c r="EYW8" s="3418"/>
      <c r="EYX8" s="3418"/>
      <c r="EYY8" s="3418"/>
      <c r="EYZ8" s="3418"/>
      <c r="EZA8" s="3418"/>
      <c r="EZB8" s="3418"/>
      <c r="EZC8" s="3418"/>
      <c r="EZD8" s="3418"/>
      <c r="EZE8" s="3418"/>
      <c r="EZF8" s="3418"/>
      <c r="EZG8" s="3418"/>
      <c r="EZH8" s="3418"/>
      <c r="EZI8" s="3418"/>
      <c r="EZJ8" s="3418"/>
      <c r="EZK8" s="3418"/>
      <c r="EZL8" s="3418"/>
      <c r="EZM8" s="3418"/>
      <c r="EZN8" s="3418"/>
      <c r="EZO8" s="3418"/>
      <c r="EZP8" s="3418"/>
      <c r="EZQ8" s="3418"/>
      <c r="EZR8" s="3418"/>
      <c r="EZS8" s="3418"/>
      <c r="EZT8" s="3418"/>
      <c r="EZU8" s="3418"/>
      <c r="EZV8" s="3418"/>
      <c r="EZW8" s="3418"/>
      <c r="EZX8" s="3418"/>
      <c r="EZY8" s="3418"/>
      <c r="EZZ8" s="3418"/>
      <c r="FAA8" s="3418"/>
      <c r="FAB8" s="3418"/>
      <c r="FAC8" s="3418"/>
      <c r="FAD8" s="3418"/>
      <c r="FAE8" s="3418"/>
      <c r="FAF8" s="3418"/>
      <c r="FAG8" s="3418"/>
      <c r="FAH8" s="3418"/>
      <c r="FAI8" s="3418"/>
      <c r="FAJ8" s="3418"/>
      <c r="FAK8" s="3418"/>
      <c r="FAL8" s="3418"/>
      <c r="FAM8" s="3418"/>
      <c r="FAN8" s="3418"/>
      <c r="FAO8" s="3418"/>
      <c r="FAP8" s="3418"/>
      <c r="FAQ8" s="3418"/>
      <c r="FAR8" s="3418"/>
      <c r="FAS8" s="3418"/>
      <c r="FAT8" s="3418"/>
      <c r="FAU8" s="3418"/>
      <c r="FAV8" s="3418"/>
      <c r="FAW8" s="3418"/>
      <c r="FAX8" s="3418"/>
      <c r="FAY8" s="3418"/>
      <c r="FAZ8" s="3418"/>
      <c r="FBA8" s="3418"/>
      <c r="FBB8" s="3418"/>
      <c r="FBC8" s="3418"/>
      <c r="FBD8" s="3418"/>
      <c r="FBE8" s="3418"/>
      <c r="FBF8" s="3418"/>
      <c r="FBG8" s="3418"/>
      <c r="FBH8" s="3418"/>
      <c r="FBI8" s="3418"/>
      <c r="FBJ8" s="3418"/>
      <c r="FBK8" s="3418"/>
      <c r="FBL8" s="3418"/>
      <c r="FBM8" s="3418"/>
      <c r="FBN8" s="3418"/>
      <c r="FBO8" s="3418"/>
      <c r="FBP8" s="3418"/>
      <c r="FBQ8" s="3418"/>
      <c r="FBR8" s="3418"/>
      <c r="FBS8" s="3418"/>
      <c r="FBT8" s="3418"/>
      <c r="FBU8" s="3418"/>
      <c r="FBV8" s="3418"/>
      <c r="FBW8" s="3418"/>
      <c r="FBX8" s="3418"/>
      <c r="FBY8" s="3418"/>
      <c r="FBZ8" s="3418"/>
      <c r="FCA8" s="3418"/>
      <c r="FCB8" s="3418"/>
      <c r="FCC8" s="3418"/>
      <c r="FCD8" s="3418"/>
      <c r="FCE8" s="3418"/>
      <c r="FCF8" s="3418"/>
      <c r="FCG8" s="3418"/>
      <c r="FCH8" s="3418"/>
      <c r="FCI8" s="3418"/>
      <c r="FCJ8" s="3418"/>
      <c r="FCK8" s="3418"/>
      <c r="FCL8" s="3418"/>
      <c r="FCM8" s="3418"/>
      <c r="FCN8" s="3418"/>
      <c r="FCO8" s="3418"/>
      <c r="FCP8" s="3418"/>
      <c r="FCQ8" s="3418"/>
      <c r="FCR8" s="3418"/>
      <c r="FCS8" s="3418"/>
      <c r="FCT8" s="3418"/>
      <c r="FCU8" s="3418"/>
      <c r="FCV8" s="3418"/>
      <c r="FCW8" s="3418"/>
      <c r="FCX8" s="3418"/>
      <c r="FCY8" s="3418"/>
      <c r="FCZ8" s="3418"/>
      <c r="FDA8" s="3418"/>
      <c r="FDB8" s="3418"/>
      <c r="FDC8" s="3418"/>
      <c r="FDD8" s="3418"/>
      <c r="FDE8" s="3418"/>
      <c r="FDF8" s="3418"/>
      <c r="FDG8" s="3418"/>
      <c r="FDH8" s="3418"/>
      <c r="FDI8" s="3418"/>
      <c r="FDJ8" s="3418"/>
      <c r="FDK8" s="3418"/>
      <c r="FDL8" s="3418"/>
      <c r="FDM8" s="3418"/>
      <c r="FDN8" s="3418"/>
      <c r="FDO8" s="3418"/>
      <c r="FDP8" s="3418"/>
      <c r="FDQ8" s="3418"/>
      <c r="FDR8" s="3418"/>
      <c r="FDS8" s="3418"/>
      <c r="FDT8" s="3418"/>
      <c r="FDU8" s="3418"/>
      <c r="FDV8" s="3418"/>
      <c r="FDW8" s="3418"/>
      <c r="FDX8" s="3418"/>
      <c r="FDY8" s="3418"/>
      <c r="FDZ8" s="3418"/>
      <c r="FEA8" s="3418"/>
      <c r="FEB8" s="3418"/>
      <c r="FEC8" s="3418"/>
      <c r="FED8" s="3418"/>
      <c r="FEE8" s="3418"/>
      <c r="FEF8" s="3418"/>
      <c r="FEG8" s="3418"/>
      <c r="FEH8" s="3418"/>
      <c r="FEI8" s="3418"/>
      <c r="FEJ8" s="3418"/>
      <c r="FEK8" s="3418"/>
      <c r="FEL8" s="3418"/>
      <c r="FEM8" s="3418"/>
      <c r="FEN8" s="3418"/>
      <c r="FEO8" s="3418"/>
      <c r="FEP8" s="3418"/>
      <c r="FEQ8" s="3418"/>
      <c r="FER8" s="3418"/>
      <c r="FES8" s="3418"/>
      <c r="FET8" s="3418"/>
      <c r="FEU8" s="3418"/>
      <c r="FEV8" s="3418"/>
      <c r="FEW8" s="3418"/>
      <c r="FEX8" s="3418"/>
      <c r="FEY8" s="3418"/>
      <c r="FEZ8" s="3418"/>
      <c r="FFA8" s="3418"/>
      <c r="FFB8" s="3418"/>
      <c r="FFC8" s="3418"/>
      <c r="FFD8" s="3418"/>
      <c r="FFE8" s="3418"/>
      <c r="FFF8" s="3418"/>
      <c r="FFG8" s="3418"/>
      <c r="FFH8" s="3418"/>
      <c r="FFI8" s="3418"/>
      <c r="FFJ8" s="3418"/>
      <c r="FFK8" s="3418"/>
      <c r="FFL8" s="3418"/>
      <c r="FFM8" s="3418"/>
      <c r="FFN8" s="3418"/>
      <c r="FFO8" s="3418"/>
      <c r="FFP8" s="3418"/>
      <c r="FFQ8" s="3418"/>
      <c r="FFR8" s="3418"/>
      <c r="FFS8" s="3418"/>
      <c r="FFT8" s="3418"/>
      <c r="FFU8" s="3418"/>
      <c r="FFV8" s="3418"/>
      <c r="FFW8" s="3418"/>
      <c r="FFX8" s="3418"/>
      <c r="FFY8" s="3418"/>
      <c r="FFZ8" s="3418"/>
      <c r="FGA8" s="3418"/>
      <c r="FGB8" s="3418"/>
      <c r="FGC8" s="3418"/>
      <c r="FGD8" s="3418"/>
      <c r="FGE8" s="3418"/>
      <c r="FGF8" s="3418"/>
      <c r="FGG8" s="3418"/>
      <c r="FGH8" s="3418"/>
      <c r="FGI8" s="3418"/>
      <c r="FGJ8" s="3418"/>
      <c r="FGK8" s="3418"/>
      <c r="FGL8" s="3418"/>
      <c r="FGM8" s="3418"/>
      <c r="FGN8" s="3418"/>
      <c r="FGO8" s="3418"/>
      <c r="FGP8" s="3418"/>
      <c r="FGQ8" s="3418"/>
      <c r="FGR8" s="3418"/>
      <c r="FGS8" s="3418"/>
      <c r="FGT8" s="3418"/>
      <c r="FGU8" s="3418"/>
      <c r="FGV8" s="3418"/>
      <c r="FGW8" s="3418"/>
      <c r="FGX8" s="3418"/>
      <c r="FGY8" s="3418"/>
      <c r="FGZ8" s="3418"/>
      <c r="FHA8" s="3418"/>
      <c r="FHB8" s="3418"/>
      <c r="FHC8" s="3418"/>
      <c r="FHD8" s="3418"/>
      <c r="FHE8" s="3418"/>
      <c r="FHF8" s="3418"/>
      <c r="FHG8" s="3418"/>
      <c r="FHH8" s="3418"/>
      <c r="FHI8" s="3418"/>
      <c r="FHJ8" s="3418"/>
      <c r="FHK8" s="3418"/>
      <c r="FHL8" s="3418"/>
      <c r="FHM8" s="3418"/>
      <c r="FHN8" s="3418"/>
      <c r="FHO8" s="3418"/>
      <c r="FHP8" s="3418"/>
      <c r="FHQ8" s="3418"/>
      <c r="FHR8" s="3418"/>
      <c r="FHS8" s="3418"/>
      <c r="FHT8" s="3418"/>
      <c r="FHU8" s="3418"/>
      <c r="FHV8" s="3418"/>
      <c r="FHW8" s="3418"/>
      <c r="FHX8" s="3418"/>
      <c r="FHY8" s="3418"/>
      <c r="FHZ8" s="3418"/>
      <c r="FIA8" s="3418"/>
      <c r="FIB8" s="3418"/>
      <c r="FIC8" s="3418"/>
      <c r="FID8" s="3418"/>
      <c r="FIE8" s="3418"/>
      <c r="FIF8" s="3418"/>
      <c r="FIG8" s="3418"/>
      <c r="FIH8" s="3418"/>
      <c r="FII8" s="3418"/>
      <c r="FIJ8" s="3418"/>
      <c r="FIK8" s="3418"/>
      <c r="FIL8" s="3418"/>
      <c r="FIM8" s="3418"/>
      <c r="FIN8" s="3418"/>
      <c r="FIO8" s="3418"/>
      <c r="FIP8" s="3418"/>
      <c r="FIQ8" s="3418"/>
      <c r="FIR8" s="3418"/>
      <c r="FIS8" s="3418"/>
      <c r="FIT8" s="3418"/>
      <c r="FIU8" s="3418"/>
      <c r="FIV8" s="3418"/>
      <c r="FIW8" s="3418"/>
      <c r="FIX8" s="3418"/>
      <c r="FIY8" s="3418"/>
      <c r="FIZ8" s="3418"/>
      <c r="FJA8" s="3418"/>
      <c r="FJB8" s="3418"/>
      <c r="FJC8" s="3418"/>
      <c r="FJD8" s="3418"/>
      <c r="FJE8" s="3418"/>
      <c r="FJF8" s="3418"/>
      <c r="FJG8" s="3418"/>
      <c r="FJH8" s="3418"/>
      <c r="FJI8" s="3418"/>
      <c r="FJJ8" s="3418"/>
      <c r="FJK8" s="3418"/>
      <c r="FJL8" s="3418"/>
      <c r="FJM8" s="3418"/>
      <c r="FJN8" s="3418"/>
      <c r="FJO8" s="3418"/>
      <c r="FJP8" s="3418"/>
      <c r="FJQ8" s="3418"/>
      <c r="FJR8" s="3418"/>
      <c r="FJS8" s="3418"/>
      <c r="FJT8" s="3418"/>
      <c r="FJU8" s="3418"/>
      <c r="FJV8" s="3418"/>
      <c r="FJW8" s="3418"/>
      <c r="FJX8" s="3418"/>
      <c r="FJY8" s="3418"/>
      <c r="FJZ8" s="3418"/>
      <c r="FKA8" s="3418"/>
      <c r="FKB8" s="3418"/>
      <c r="FKC8" s="3418"/>
      <c r="FKD8" s="3418"/>
      <c r="FKE8" s="3418"/>
      <c r="FKF8" s="3418"/>
      <c r="FKG8" s="3418"/>
      <c r="FKH8" s="3418"/>
      <c r="FKI8" s="3418"/>
      <c r="FKJ8" s="3418"/>
      <c r="FKK8" s="3418"/>
      <c r="FKL8" s="3418"/>
      <c r="FKM8" s="3418"/>
      <c r="FKN8" s="3418"/>
      <c r="FKO8" s="3418"/>
      <c r="FKP8" s="3418"/>
      <c r="FKQ8" s="3418"/>
      <c r="FKR8" s="3418"/>
      <c r="FKS8" s="3418"/>
      <c r="FKT8" s="3418"/>
      <c r="FKU8" s="3418"/>
      <c r="FKV8" s="3418"/>
      <c r="FKW8" s="3418"/>
      <c r="FKX8" s="3418"/>
      <c r="FKY8" s="3418"/>
      <c r="FKZ8" s="3418"/>
      <c r="FLA8" s="3418"/>
      <c r="FLB8" s="3418"/>
      <c r="FLC8" s="3418"/>
      <c r="FLD8" s="3418"/>
      <c r="FLE8" s="3418"/>
      <c r="FLF8" s="3418"/>
      <c r="FLG8" s="3418"/>
      <c r="FLH8" s="3418"/>
      <c r="FLI8" s="3418"/>
      <c r="FLJ8" s="3418"/>
      <c r="FLK8" s="3418"/>
      <c r="FLL8" s="3418"/>
      <c r="FLM8" s="3418"/>
      <c r="FLN8" s="3418"/>
      <c r="FLO8" s="3418"/>
      <c r="FLP8" s="3418"/>
      <c r="FLQ8" s="3418"/>
      <c r="FLR8" s="3418"/>
      <c r="FLS8" s="3418"/>
      <c r="FLT8" s="3418"/>
      <c r="FLU8" s="3418"/>
      <c r="FLV8" s="3418"/>
      <c r="FLW8" s="3418"/>
      <c r="FLX8" s="3418"/>
      <c r="FLY8" s="3418"/>
      <c r="FLZ8" s="3418"/>
      <c r="FMA8" s="3418"/>
      <c r="FMB8" s="3418"/>
      <c r="FMC8" s="3418"/>
      <c r="FMD8" s="3418"/>
      <c r="FME8" s="3418"/>
      <c r="FMF8" s="3418"/>
      <c r="FMG8" s="3418"/>
      <c r="FMH8" s="3418"/>
      <c r="FMI8" s="3418"/>
      <c r="FMJ8" s="3418"/>
      <c r="FMK8" s="3418"/>
      <c r="FML8" s="3418"/>
      <c r="FMM8" s="3418"/>
      <c r="FMN8" s="3418"/>
      <c r="FMO8" s="3418"/>
      <c r="FMP8" s="3418"/>
      <c r="FMQ8" s="3418"/>
      <c r="FMR8" s="3418"/>
      <c r="FMS8" s="3418"/>
      <c r="FMT8" s="3418"/>
      <c r="FMU8" s="3418"/>
      <c r="FMV8" s="3418"/>
      <c r="FMW8" s="3418"/>
      <c r="FMX8" s="3418"/>
      <c r="FMY8" s="3418"/>
      <c r="FMZ8" s="3418"/>
      <c r="FNA8" s="3418"/>
      <c r="FNB8" s="3418"/>
      <c r="FNC8" s="3418"/>
      <c r="FND8" s="3418"/>
      <c r="FNE8" s="3418"/>
      <c r="FNF8" s="3418"/>
      <c r="FNG8" s="3418"/>
      <c r="FNH8" s="3418"/>
      <c r="FNI8" s="3418"/>
      <c r="FNJ8" s="3418"/>
      <c r="FNK8" s="3418"/>
      <c r="FNL8" s="3418"/>
      <c r="FNM8" s="3418"/>
      <c r="FNN8" s="3418"/>
      <c r="FNO8" s="3418"/>
      <c r="FNP8" s="3418"/>
      <c r="FNQ8" s="3418"/>
      <c r="FNR8" s="3418"/>
      <c r="FNS8" s="3418"/>
      <c r="FNT8" s="3418"/>
      <c r="FNU8" s="3418"/>
      <c r="FNV8" s="3418"/>
      <c r="FNW8" s="3418"/>
      <c r="FNX8" s="3418"/>
      <c r="FNY8" s="3418"/>
      <c r="FNZ8" s="3418"/>
      <c r="FOA8" s="3418"/>
      <c r="FOB8" s="3418"/>
      <c r="FOC8" s="3418"/>
      <c r="FOD8" s="3418"/>
      <c r="FOE8" s="3418"/>
      <c r="FOF8" s="3418"/>
      <c r="FOG8" s="3418"/>
      <c r="FOH8" s="3418"/>
      <c r="FOI8" s="3418"/>
      <c r="FOJ8" s="3418"/>
      <c r="FOK8" s="3418"/>
      <c r="FOL8" s="3418"/>
      <c r="FOM8" s="3418"/>
      <c r="FON8" s="3418"/>
      <c r="FOO8" s="3418"/>
      <c r="FOP8" s="3418"/>
      <c r="FOQ8" s="3418"/>
      <c r="FOR8" s="3418"/>
      <c r="FOS8" s="3418"/>
      <c r="FOT8" s="3418"/>
      <c r="FOU8" s="3418"/>
      <c r="FOV8" s="3418"/>
      <c r="FOW8" s="3418"/>
      <c r="FOX8" s="3418"/>
      <c r="FOY8" s="3418"/>
      <c r="FOZ8" s="3418"/>
      <c r="FPA8" s="3418"/>
      <c r="FPB8" s="3418"/>
      <c r="FPC8" s="3418"/>
      <c r="FPD8" s="3418"/>
      <c r="FPE8" s="3418"/>
      <c r="FPF8" s="3418"/>
      <c r="FPG8" s="3418"/>
      <c r="FPH8" s="3418"/>
      <c r="FPI8" s="3418"/>
      <c r="FPJ8" s="3418"/>
      <c r="FPK8" s="3418"/>
      <c r="FPL8" s="3418"/>
      <c r="FPM8" s="3418"/>
      <c r="FPN8" s="3418"/>
      <c r="FPO8" s="3418"/>
      <c r="FPP8" s="3418"/>
      <c r="FPQ8" s="3418"/>
      <c r="FPR8" s="3418"/>
      <c r="FPS8" s="3418"/>
      <c r="FPT8" s="3418"/>
      <c r="FPU8" s="3418"/>
      <c r="FPV8" s="3418"/>
      <c r="FPW8" s="3418"/>
      <c r="FPX8" s="3418"/>
      <c r="FPY8" s="3418"/>
      <c r="FPZ8" s="3418"/>
      <c r="FQA8" s="3418"/>
      <c r="FQB8" s="3418"/>
      <c r="FQC8" s="3418"/>
      <c r="FQD8" s="3418"/>
      <c r="FQE8" s="3418"/>
      <c r="FQF8" s="3418"/>
      <c r="FQG8" s="3418"/>
      <c r="FQH8" s="3418"/>
      <c r="FQI8" s="3418"/>
      <c r="FQJ8" s="3418"/>
      <c r="FQK8" s="3418"/>
      <c r="FQL8" s="3418"/>
      <c r="FQM8" s="3418"/>
      <c r="FQN8" s="3418"/>
      <c r="FQO8" s="3418"/>
      <c r="FQP8" s="3418"/>
      <c r="FQQ8" s="3418"/>
      <c r="FQR8" s="3418"/>
      <c r="FQS8" s="3418"/>
      <c r="FQT8" s="3418"/>
      <c r="FQU8" s="3418"/>
      <c r="FQV8" s="3418"/>
      <c r="FQW8" s="3418"/>
      <c r="FQX8" s="3418"/>
      <c r="FQY8" s="3418"/>
      <c r="FQZ8" s="3418"/>
      <c r="FRA8" s="3418"/>
      <c r="FRB8" s="3418"/>
      <c r="FRC8" s="3418"/>
      <c r="FRD8" s="3418"/>
      <c r="FRE8" s="3418"/>
      <c r="FRF8" s="3418"/>
      <c r="FRG8" s="3418"/>
      <c r="FRH8" s="3418"/>
      <c r="FRI8" s="3418"/>
      <c r="FRJ8" s="3418"/>
      <c r="FRK8" s="3418"/>
      <c r="FRL8" s="3418"/>
      <c r="FRM8" s="3418"/>
      <c r="FRN8" s="3418"/>
      <c r="FRO8" s="3418"/>
      <c r="FRP8" s="3418"/>
      <c r="FRQ8" s="3418"/>
      <c r="FRR8" s="3418"/>
      <c r="FRS8" s="3418"/>
      <c r="FRT8" s="3418"/>
      <c r="FRU8" s="3418"/>
      <c r="FRV8" s="3418"/>
      <c r="FRW8" s="3418"/>
      <c r="FRX8" s="3418"/>
      <c r="FRY8" s="3418"/>
      <c r="FRZ8" s="3418"/>
      <c r="FSA8" s="3418"/>
      <c r="FSB8" s="3418"/>
      <c r="FSC8" s="3418"/>
      <c r="FSD8" s="3418"/>
      <c r="FSE8" s="3418"/>
      <c r="FSF8" s="3418"/>
      <c r="FSG8" s="3418"/>
      <c r="FSH8" s="3418"/>
      <c r="FSI8" s="3418"/>
      <c r="FSJ8" s="3418"/>
      <c r="FSK8" s="3418"/>
      <c r="FSL8" s="3418"/>
      <c r="FSM8" s="3418"/>
      <c r="FSN8" s="3418"/>
      <c r="FSO8" s="3418"/>
      <c r="FSP8" s="3418"/>
      <c r="FSQ8" s="3418"/>
      <c r="FSR8" s="3418"/>
      <c r="FSS8" s="3418"/>
      <c r="FST8" s="3418"/>
      <c r="FSU8" s="3418"/>
      <c r="FSV8" s="3418"/>
      <c r="FSW8" s="3418"/>
      <c r="FSX8" s="3418"/>
      <c r="FSY8" s="3418"/>
      <c r="FSZ8" s="3418"/>
      <c r="FTA8" s="3418"/>
      <c r="FTB8" s="3418"/>
      <c r="FTC8" s="3418"/>
      <c r="FTD8" s="3418"/>
      <c r="FTE8" s="3418"/>
      <c r="FTF8" s="3418"/>
      <c r="FTG8" s="3418"/>
      <c r="FTH8" s="3418"/>
      <c r="FTI8" s="3418"/>
      <c r="FTJ8" s="3418"/>
      <c r="FTK8" s="3418"/>
      <c r="FTL8" s="3418"/>
      <c r="FTM8" s="3418"/>
      <c r="FTN8" s="3418"/>
      <c r="FTO8" s="3418"/>
      <c r="FTP8" s="3418"/>
      <c r="FTQ8" s="3418"/>
      <c r="FTR8" s="3418"/>
      <c r="FTS8" s="3418"/>
      <c r="FTT8" s="3418"/>
      <c r="FTU8" s="3418"/>
      <c r="FTV8" s="3418"/>
      <c r="FTW8" s="3418"/>
      <c r="FTX8" s="3418"/>
      <c r="FTY8" s="3418"/>
      <c r="FTZ8" s="3418"/>
      <c r="FUA8" s="3418"/>
      <c r="FUB8" s="3418"/>
      <c r="FUC8" s="3418"/>
      <c r="FUD8" s="3418"/>
      <c r="FUE8" s="3418"/>
      <c r="FUF8" s="3418"/>
      <c r="FUG8" s="3418"/>
      <c r="FUH8" s="3418"/>
      <c r="FUI8" s="3418"/>
      <c r="FUJ8" s="3418"/>
      <c r="FUK8" s="3418"/>
      <c r="FUL8" s="3418"/>
      <c r="FUM8" s="3418"/>
      <c r="FUN8" s="3418"/>
      <c r="FUO8" s="3418"/>
      <c r="FUP8" s="3418"/>
      <c r="FUQ8" s="3418"/>
      <c r="FUR8" s="3418"/>
      <c r="FUS8" s="3418"/>
      <c r="FUT8" s="3418"/>
      <c r="FUU8" s="3418"/>
      <c r="FUV8" s="3418"/>
      <c r="FUW8" s="3418"/>
      <c r="FUX8" s="3418"/>
      <c r="FUY8" s="3418"/>
      <c r="FUZ8" s="3418"/>
      <c r="FVA8" s="3418"/>
      <c r="FVB8" s="3418"/>
      <c r="FVC8" s="3418"/>
      <c r="FVD8" s="3418"/>
      <c r="FVE8" s="3418"/>
      <c r="FVF8" s="3418"/>
      <c r="FVG8" s="3418"/>
      <c r="FVH8" s="3418"/>
      <c r="FVI8" s="3418"/>
      <c r="FVJ8" s="3418"/>
      <c r="FVK8" s="3418"/>
      <c r="FVL8" s="3418"/>
      <c r="FVM8" s="3418"/>
      <c r="FVN8" s="3418"/>
      <c r="FVO8" s="3418"/>
      <c r="FVP8" s="3418"/>
      <c r="FVQ8" s="3418"/>
      <c r="FVR8" s="3418"/>
      <c r="FVS8" s="3418"/>
      <c r="FVT8" s="3418"/>
      <c r="FVU8" s="3418"/>
      <c r="FVV8" s="3418"/>
      <c r="FVW8" s="3418"/>
      <c r="FVX8" s="3418"/>
      <c r="FVY8" s="3418"/>
      <c r="FVZ8" s="3418"/>
      <c r="FWA8" s="3418"/>
      <c r="FWB8" s="3418"/>
      <c r="FWC8" s="3418"/>
      <c r="FWD8" s="3418"/>
      <c r="FWE8" s="3418"/>
      <c r="FWF8" s="3418"/>
      <c r="FWG8" s="3418"/>
      <c r="FWH8" s="3418"/>
      <c r="FWI8" s="3418"/>
      <c r="FWJ8" s="3418"/>
      <c r="FWK8" s="3418"/>
      <c r="FWL8" s="3418"/>
      <c r="FWM8" s="3418"/>
      <c r="FWN8" s="3418"/>
      <c r="FWO8" s="3418"/>
      <c r="FWP8" s="3418"/>
      <c r="FWQ8" s="3418"/>
      <c r="FWR8" s="3418"/>
      <c r="FWS8" s="3418"/>
      <c r="FWT8" s="3418"/>
      <c r="FWU8" s="3418"/>
      <c r="FWV8" s="3418"/>
      <c r="FWW8" s="3418"/>
      <c r="FWX8" s="3418"/>
      <c r="FWY8" s="3418"/>
      <c r="FWZ8" s="3418"/>
      <c r="FXA8" s="3418"/>
      <c r="FXB8" s="3418"/>
      <c r="FXC8" s="3418"/>
      <c r="FXD8" s="3418"/>
      <c r="FXE8" s="3418"/>
      <c r="FXF8" s="3418"/>
      <c r="FXG8" s="3418"/>
      <c r="FXH8" s="3418"/>
      <c r="FXI8" s="3418"/>
      <c r="FXJ8" s="3418"/>
      <c r="FXK8" s="3418"/>
      <c r="FXL8" s="3418"/>
      <c r="FXM8" s="3418"/>
      <c r="FXN8" s="3418"/>
      <c r="FXO8" s="3418"/>
      <c r="FXP8" s="3418"/>
      <c r="FXQ8" s="3418"/>
      <c r="FXR8" s="3418"/>
      <c r="FXS8" s="3418"/>
      <c r="FXT8" s="3418"/>
      <c r="FXU8" s="3418"/>
      <c r="FXV8" s="3418"/>
      <c r="FXW8" s="3418"/>
      <c r="FXX8" s="3418"/>
      <c r="FXY8" s="3418"/>
      <c r="FXZ8" s="3418"/>
      <c r="FYA8" s="3418"/>
      <c r="FYB8" s="3418"/>
      <c r="FYC8" s="3418"/>
      <c r="FYD8" s="3418"/>
      <c r="FYE8" s="3418"/>
      <c r="FYF8" s="3418"/>
      <c r="FYG8" s="3418"/>
      <c r="FYH8" s="3418"/>
      <c r="FYI8" s="3418"/>
      <c r="FYJ8" s="3418"/>
      <c r="FYK8" s="3418"/>
      <c r="FYL8" s="3418"/>
      <c r="FYM8" s="3418"/>
      <c r="FYN8" s="3418"/>
      <c r="FYO8" s="3418"/>
      <c r="FYP8" s="3418"/>
      <c r="FYQ8" s="3418"/>
      <c r="FYR8" s="3418"/>
      <c r="FYS8" s="3418"/>
      <c r="FYT8" s="3418"/>
      <c r="FYU8" s="3418"/>
      <c r="FYV8" s="3418"/>
      <c r="FYW8" s="3418"/>
      <c r="FYX8" s="3418"/>
      <c r="FYY8" s="3418"/>
      <c r="FYZ8" s="3418"/>
      <c r="FZA8" s="3418"/>
      <c r="FZB8" s="3418"/>
      <c r="FZC8" s="3418"/>
      <c r="FZD8" s="3418"/>
      <c r="FZE8" s="3418"/>
      <c r="FZF8" s="3418"/>
      <c r="FZG8" s="3418"/>
      <c r="FZH8" s="3418"/>
      <c r="FZI8" s="3418"/>
      <c r="FZJ8" s="3418"/>
      <c r="FZK8" s="3418"/>
      <c r="FZL8" s="3418"/>
      <c r="FZM8" s="3418"/>
      <c r="FZN8" s="3418"/>
      <c r="FZO8" s="3418"/>
      <c r="FZP8" s="3418"/>
      <c r="FZQ8" s="3418"/>
      <c r="FZR8" s="3418"/>
      <c r="FZS8" s="3418"/>
      <c r="FZT8" s="3418"/>
      <c r="FZU8" s="3418"/>
      <c r="FZV8" s="3418"/>
      <c r="FZW8" s="3418"/>
      <c r="FZX8" s="3418"/>
      <c r="FZY8" s="3418"/>
      <c r="FZZ8" s="3418"/>
      <c r="GAA8" s="3418"/>
      <c r="GAB8" s="3418"/>
      <c r="GAC8" s="3418"/>
      <c r="GAD8" s="3418"/>
      <c r="GAE8" s="3418"/>
      <c r="GAF8" s="3418"/>
      <c r="GAG8" s="3418"/>
      <c r="GAH8" s="3418"/>
      <c r="GAI8" s="3418"/>
      <c r="GAJ8" s="3418"/>
      <c r="GAK8" s="3418"/>
      <c r="GAL8" s="3418"/>
      <c r="GAM8" s="3418"/>
      <c r="GAN8" s="3418"/>
      <c r="GAO8" s="3418"/>
      <c r="GAP8" s="3418"/>
      <c r="GAQ8" s="3418"/>
      <c r="GAR8" s="3418"/>
      <c r="GAS8" s="3418"/>
      <c r="GAT8" s="3418"/>
      <c r="GAU8" s="3418"/>
      <c r="GAV8" s="3418"/>
      <c r="GAW8" s="3418"/>
      <c r="GAX8" s="3418"/>
      <c r="GAY8" s="3418"/>
      <c r="GAZ8" s="3418"/>
      <c r="GBA8" s="3418"/>
      <c r="GBB8" s="3418"/>
      <c r="GBC8" s="3418"/>
      <c r="GBD8" s="3418"/>
      <c r="GBE8" s="3418"/>
      <c r="GBF8" s="3418"/>
      <c r="GBG8" s="3418"/>
      <c r="GBH8" s="3418"/>
      <c r="GBI8" s="3418"/>
      <c r="GBJ8" s="3418"/>
      <c r="GBK8" s="3418"/>
      <c r="GBL8" s="3418"/>
      <c r="GBM8" s="3418"/>
      <c r="GBN8" s="3418"/>
      <c r="GBO8" s="3418"/>
      <c r="GBP8" s="3418"/>
      <c r="GBQ8" s="3418"/>
      <c r="GBR8" s="3418"/>
      <c r="GBS8" s="3418"/>
      <c r="GBT8" s="3418"/>
      <c r="GBU8" s="3418"/>
      <c r="GBV8" s="3418"/>
      <c r="GBW8" s="3418"/>
      <c r="GBX8" s="3418"/>
      <c r="GBY8" s="3418"/>
      <c r="GBZ8" s="3418"/>
      <c r="GCA8" s="3418"/>
      <c r="GCB8" s="3418"/>
      <c r="GCC8" s="3418"/>
      <c r="GCD8" s="3418"/>
      <c r="GCE8" s="3418"/>
      <c r="GCF8" s="3418"/>
      <c r="GCG8" s="3418"/>
      <c r="GCH8" s="3418"/>
      <c r="GCI8" s="3418"/>
      <c r="GCJ8" s="3418"/>
      <c r="GCK8" s="3418"/>
      <c r="GCL8" s="3418"/>
      <c r="GCM8" s="3418"/>
      <c r="GCN8" s="3418"/>
      <c r="GCO8" s="3418"/>
      <c r="GCP8" s="3418"/>
      <c r="GCQ8" s="3418"/>
      <c r="GCR8" s="3418"/>
      <c r="GCS8" s="3418"/>
      <c r="GCT8" s="3418"/>
      <c r="GCU8" s="3418"/>
      <c r="GCV8" s="3418"/>
      <c r="GCW8" s="3418"/>
      <c r="GCX8" s="3418"/>
      <c r="GCY8" s="3418"/>
      <c r="GCZ8" s="3418"/>
      <c r="GDA8" s="3418"/>
      <c r="GDB8" s="3418"/>
      <c r="GDC8" s="3418"/>
      <c r="GDD8" s="3418"/>
      <c r="GDE8" s="3418"/>
      <c r="GDF8" s="3418"/>
      <c r="GDG8" s="3418"/>
      <c r="GDH8" s="3418"/>
      <c r="GDI8" s="3418"/>
      <c r="GDJ8" s="3418"/>
      <c r="GDK8" s="3418"/>
      <c r="GDL8" s="3418"/>
      <c r="GDM8" s="3418"/>
      <c r="GDN8" s="3418"/>
      <c r="GDO8" s="3418"/>
      <c r="GDP8" s="3418"/>
      <c r="GDQ8" s="3418"/>
      <c r="GDR8" s="3418"/>
      <c r="GDS8" s="3418"/>
      <c r="GDT8" s="3418"/>
      <c r="GDU8" s="3418"/>
      <c r="GDV8" s="3418"/>
      <c r="GDW8" s="3418"/>
      <c r="GDX8" s="3418"/>
      <c r="GDY8" s="3418"/>
      <c r="GDZ8" s="3418"/>
      <c r="GEA8" s="3418"/>
      <c r="GEB8" s="3418"/>
      <c r="GEC8" s="3418"/>
      <c r="GED8" s="3418"/>
      <c r="GEE8" s="3418"/>
      <c r="GEF8" s="3418"/>
      <c r="GEG8" s="3418"/>
      <c r="GEH8" s="3418"/>
      <c r="GEI8" s="3418"/>
      <c r="GEJ8" s="3418"/>
      <c r="GEK8" s="3418"/>
      <c r="GEL8" s="3418"/>
      <c r="GEM8" s="3418"/>
      <c r="GEN8" s="3418"/>
      <c r="GEO8" s="3418"/>
      <c r="GEP8" s="3418"/>
      <c r="GEQ8" s="3418"/>
      <c r="GER8" s="3418"/>
      <c r="GES8" s="3418"/>
      <c r="GET8" s="3418"/>
      <c r="GEU8" s="3418"/>
      <c r="GEV8" s="3418"/>
      <c r="GEW8" s="3418"/>
      <c r="GEX8" s="3418"/>
      <c r="GEY8" s="3418"/>
      <c r="GEZ8" s="3418"/>
      <c r="GFA8" s="3418"/>
      <c r="GFB8" s="3418"/>
      <c r="GFC8" s="3418"/>
      <c r="GFD8" s="3418"/>
      <c r="GFE8" s="3418"/>
      <c r="GFF8" s="3418"/>
      <c r="GFG8" s="3418"/>
      <c r="GFH8" s="3418"/>
      <c r="GFI8" s="3418"/>
      <c r="GFJ8" s="3418"/>
      <c r="GFK8" s="3418"/>
      <c r="GFL8" s="3418"/>
      <c r="GFM8" s="3418"/>
      <c r="GFN8" s="3418"/>
      <c r="GFO8" s="3418"/>
      <c r="GFP8" s="3418"/>
      <c r="GFQ8" s="3418"/>
      <c r="GFR8" s="3418"/>
      <c r="GFS8" s="3418"/>
      <c r="GFT8" s="3418"/>
      <c r="GFU8" s="3418"/>
      <c r="GFV8" s="3418"/>
      <c r="GFW8" s="3418"/>
      <c r="GFX8" s="3418"/>
      <c r="GFY8" s="3418"/>
      <c r="GFZ8" s="3418"/>
      <c r="GGA8" s="3418"/>
      <c r="GGB8" s="3418"/>
      <c r="GGC8" s="3418"/>
      <c r="GGD8" s="3418"/>
      <c r="GGE8" s="3418"/>
      <c r="GGF8" s="3418"/>
      <c r="GGG8" s="3418"/>
      <c r="GGH8" s="3418"/>
      <c r="GGI8" s="3418"/>
      <c r="GGJ8" s="3418"/>
      <c r="GGK8" s="3418"/>
      <c r="GGL8" s="3418"/>
      <c r="GGM8" s="3418"/>
      <c r="GGN8" s="3418"/>
      <c r="GGO8" s="3418"/>
      <c r="GGP8" s="3418"/>
      <c r="GGQ8" s="3418"/>
      <c r="GGR8" s="3418"/>
      <c r="GGS8" s="3418"/>
      <c r="GGT8" s="3418"/>
      <c r="GGU8" s="3418"/>
      <c r="GGV8" s="3418"/>
      <c r="GGW8" s="3418"/>
      <c r="GGX8" s="3418"/>
      <c r="GGY8" s="3418"/>
      <c r="GGZ8" s="3418"/>
      <c r="GHA8" s="3418"/>
      <c r="GHB8" s="3418"/>
      <c r="GHC8" s="3418"/>
      <c r="GHD8" s="3418"/>
      <c r="GHE8" s="3418"/>
      <c r="GHF8" s="3418"/>
      <c r="GHG8" s="3418"/>
      <c r="GHH8" s="3418"/>
      <c r="GHI8" s="3418"/>
      <c r="GHJ8" s="3418"/>
      <c r="GHK8" s="3418"/>
      <c r="GHL8" s="3418"/>
      <c r="GHM8" s="3418"/>
      <c r="GHN8" s="3418"/>
      <c r="GHO8" s="3418"/>
      <c r="GHP8" s="3418"/>
      <c r="GHQ8" s="3418"/>
      <c r="GHR8" s="3418"/>
      <c r="GHS8" s="3418"/>
      <c r="GHT8" s="3418"/>
      <c r="GHU8" s="3418"/>
      <c r="GHV8" s="3418"/>
      <c r="GHW8" s="3418"/>
      <c r="GHX8" s="3418"/>
      <c r="GHY8" s="3418"/>
      <c r="GHZ8" s="3418"/>
      <c r="GIA8" s="3418"/>
      <c r="GIB8" s="3418"/>
      <c r="GIC8" s="3418"/>
      <c r="GID8" s="3418"/>
      <c r="GIE8" s="3418"/>
      <c r="GIF8" s="3418"/>
      <c r="GIG8" s="3418"/>
      <c r="GIH8" s="3418"/>
      <c r="GII8" s="3418"/>
      <c r="GIJ8" s="3418"/>
      <c r="GIK8" s="3418"/>
      <c r="GIL8" s="3418"/>
      <c r="GIM8" s="3418"/>
      <c r="GIN8" s="3418"/>
      <c r="GIO8" s="3418"/>
      <c r="GIP8" s="3418"/>
      <c r="GIQ8" s="3418"/>
      <c r="GIR8" s="3418"/>
      <c r="GIS8" s="3418"/>
      <c r="GIT8" s="3418"/>
      <c r="GIU8" s="3418"/>
      <c r="GIV8" s="3418"/>
      <c r="GIW8" s="3418"/>
      <c r="GIX8" s="3418"/>
      <c r="GIY8" s="3418"/>
      <c r="GIZ8" s="3418"/>
      <c r="GJA8" s="3418"/>
      <c r="GJB8" s="3418"/>
      <c r="GJC8" s="3418"/>
      <c r="GJD8" s="3418"/>
      <c r="GJE8" s="3418"/>
      <c r="GJF8" s="3418"/>
      <c r="GJG8" s="3418"/>
      <c r="GJH8" s="3418"/>
      <c r="GJI8" s="3418"/>
      <c r="GJJ8" s="3418"/>
      <c r="GJK8" s="3418"/>
      <c r="GJL8" s="3418"/>
      <c r="GJM8" s="3418"/>
      <c r="GJN8" s="3418"/>
      <c r="GJO8" s="3418"/>
      <c r="GJP8" s="3418"/>
      <c r="GJQ8" s="3418"/>
      <c r="GJR8" s="3418"/>
      <c r="GJS8" s="3418"/>
      <c r="GJT8" s="3418"/>
      <c r="GJU8" s="3418"/>
      <c r="GJV8" s="3418"/>
      <c r="GJW8" s="3418"/>
      <c r="GJX8" s="3418"/>
      <c r="GJY8" s="3418"/>
      <c r="GJZ8" s="3418"/>
      <c r="GKA8" s="3418"/>
      <c r="GKB8" s="3418"/>
      <c r="GKC8" s="3418"/>
      <c r="GKD8" s="3418"/>
      <c r="GKE8" s="3418"/>
      <c r="GKF8" s="3418"/>
      <c r="GKG8" s="3418"/>
      <c r="GKH8" s="3418"/>
      <c r="GKI8" s="3418"/>
      <c r="GKJ8" s="3418"/>
      <c r="GKK8" s="3418"/>
      <c r="GKL8" s="3418"/>
      <c r="GKM8" s="3418"/>
      <c r="GKN8" s="3418"/>
      <c r="GKO8" s="3418"/>
      <c r="GKP8" s="3418"/>
      <c r="GKQ8" s="3418"/>
      <c r="GKR8" s="3418"/>
      <c r="GKS8" s="3418"/>
      <c r="GKT8" s="3418"/>
      <c r="GKU8" s="3418"/>
      <c r="GKV8" s="3418"/>
      <c r="GKW8" s="3418"/>
      <c r="GKX8" s="3418"/>
      <c r="GKY8" s="3418"/>
      <c r="GKZ8" s="3418"/>
      <c r="GLA8" s="3418"/>
      <c r="GLB8" s="3418"/>
      <c r="GLC8" s="3418"/>
      <c r="GLD8" s="3418"/>
      <c r="GLE8" s="3418"/>
      <c r="GLF8" s="3418"/>
      <c r="GLG8" s="3418"/>
      <c r="GLH8" s="3418"/>
      <c r="GLI8" s="3418"/>
      <c r="GLJ8" s="3418"/>
      <c r="GLK8" s="3418"/>
      <c r="GLL8" s="3418"/>
      <c r="GLM8" s="3418"/>
      <c r="GLN8" s="3418"/>
      <c r="GLO8" s="3418"/>
      <c r="GLP8" s="3418"/>
      <c r="GLQ8" s="3418"/>
      <c r="GLR8" s="3418"/>
      <c r="GLS8" s="3418"/>
      <c r="GLT8" s="3418"/>
      <c r="GLU8" s="3418"/>
      <c r="GLV8" s="3418"/>
      <c r="GLW8" s="3418"/>
      <c r="GLX8" s="3418"/>
      <c r="GLY8" s="3418"/>
      <c r="GLZ8" s="3418"/>
      <c r="GMA8" s="3418"/>
      <c r="GMB8" s="3418"/>
      <c r="GMC8" s="3418"/>
      <c r="GMD8" s="3418"/>
      <c r="GME8" s="3418"/>
      <c r="GMF8" s="3418"/>
      <c r="GMG8" s="3418"/>
      <c r="GMH8" s="3418"/>
      <c r="GMI8" s="3418"/>
      <c r="GMJ8" s="3418"/>
      <c r="GMK8" s="3418"/>
      <c r="GML8" s="3418"/>
      <c r="GMM8" s="3418"/>
      <c r="GMN8" s="3418"/>
      <c r="GMO8" s="3418"/>
      <c r="GMP8" s="3418"/>
      <c r="GMQ8" s="3418"/>
      <c r="GMR8" s="3418"/>
      <c r="GMS8" s="3418"/>
      <c r="GMT8" s="3418"/>
      <c r="GMU8" s="3418"/>
      <c r="GMV8" s="3418"/>
      <c r="GMW8" s="3418"/>
      <c r="GMX8" s="3418"/>
      <c r="GMY8" s="3418"/>
      <c r="GMZ8" s="3418"/>
      <c r="GNA8" s="3418"/>
      <c r="GNB8" s="3418"/>
      <c r="GNC8" s="3418"/>
      <c r="GND8" s="3418"/>
      <c r="GNE8" s="3418"/>
      <c r="GNF8" s="3418"/>
      <c r="GNG8" s="3418"/>
      <c r="GNH8" s="3418"/>
      <c r="GNI8" s="3418"/>
      <c r="GNJ8" s="3418"/>
      <c r="GNK8" s="3418"/>
      <c r="GNL8" s="3418"/>
      <c r="GNM8" s="3418"/>
      <c r="GNN8" s="3418"/>
      <c r="GNO8" s="3418"/>
      <c r="GNP8" s="3418"/>
      <c r="GNQ8" s="3418"/>
      <c r="GNR8" s="3418"/>
      <c r="GNS8" s="3418"/>
      <c r="GNT8" s="3418"/>
      <c r="GNU8" s="3418"/>
      <c r="GNV8" s="3418"/>
      <c r="GNW8" s="3418"/>
      <c r="GNX8" s="3418"/>
      <c r="GNY8" s="3418"/>
      <c r="GNZ8" s="3418"/>
      <c r="GOA8" s="3418"/>
      <c r="GOB8" s="3418"/>
      <c r="GOC8" s="3418"/>
      <c r="GOD8" s="3418"/>
      <c r="GOE8" s="3418"/>
      <c r="GOF8" s="3418"/>
      <c r="GOG8" s="3418"/>
      <c r="GOH8" s="3418"/>
      <c r="GOI8" s="3418"/>
      <c r="GOJ8" s="3418"/>
      <c r="GOK8" s="3418"/>
      <c r="GOL8" s="3418"/>
      <c r="GOM8" s="3418"/>
      <c r="GON8" s="3418"/>
      <c r="GOO8" s="3418"/>
      <c r="GOP8" s="3418"/>
      <c r="GOQ8" s="3418"/>
      <c r="GOR8" s="3418"/>
      <c r="GOS8" s="3418"/>
      <c r="GOT8" s="3418"/>
      <c r="GOU8" s="3418"/>
      <c r="GOV8" s="3418"/>
      <c r="GOW8" s="3418"/>
      <c r="GOX8" s="3418"/>
      <c r="GOY8" s="3418"/>
      <c r="GOZ8" s="3418"/>
      <c r="GPA8" s="3418"/>
      <c r="GPB8" s="3418"/>
      <c r="GPC8" s="3418"/>
      <c r="GPD8" s="3418"/>
      <c r="GPE8" s="3418"/>
      <c r="GPF8" s="3418"/>
      <c r="GPG8" s="3418"/>
      <c r="GPH8" s="3418"/>
      <c r="GPI8" s="3418"/>
      <c r="GPJ8" s="3418"/>
      <c r="GPK8" s="3418"/>
      <c r="GPL8" s="3418"/>
      <c r="GPM8" s="3418"/>
      <c r="GPN8" s="3418"/>
      <c r="GPO8" s="3418"/>
      <c r="GPP8" s="3418"/>
      <c r="GPQ8" s="3418"/>
      <c r="GPR8" s="3418"/>
      <c r="GPS8" s="3418"/>
      <c r="GPT8" s="3418"/>
      <c r="GPU8" s="3418"/>
      <c r="GPV8" s="3418"/>
      <c r="GPW8" s="3418"/>
      <c r="GPX8" s="3418"/>
      <c r="GPY8" s="3418"/>
      <c r="GPZ8" s="3418"/>
      <c r="GQA8" s="3418"/>
      <c r="GQB8" s="3418"/>
      <c r="GQC8" s="3418"/>
      <c r="GQD8" s="3418"/>
      <c r="GQE8" s="3418"/>
      <c r="GQF8" s="3418"/>
      <c r="GQG8" s="3418"/>
      <c r="GQH8" s="3418"/>
      <c r="GQI8" s="3418"/>
      <c r="GQJ8" s="3418"/>
      <c r="GQK8" s="3418"/>
      <c r="GQL8" s="3418"/>
      <c r="GQM8" s="3418"/>
      <c r="GQN8" s="3418"/>
      <c r="GQO8" s="3418"/>
      <c r="GQP8" s="3418"/>
      <c r="GQQ8" s="3418"/>
      <c r="GQR8" s="3418"/>
      <c r="GQS8" s="3418"/>
      <c r="GQT8" s="3418"/>
      <c r="GQU8" s="3418"/>
      <c r="GQV8" s="3418"/>
      <c r="GQW8" s="3418"/>
      <c r="GQX8" s="3418"/>
      <c r="GQY8" s="3418"/>
      <c r="GQZ8" s="3418"/>
      <c r="GRA8" s="3418"/>
      <c r="GRB8" s="3418"/>
      <c r="GRC8" s="3418"/>
      <c r="GRD8" s="3418"/>
      <c r="GRE8" s="3418"/>
      <c r="GRF8" s="3418"/>
      <c r="GRG8" s="3418"/>
      <c r="GRH8" s="3418"/>
      <c r="GRI8" s="3418"/>
      <c r="GRJ8" s="3418"/>
      <c r="GRK8" s="3418"/>
      <c r="GRL8" s="3418"/>
      <c r="GRM8" s="3418"/>
      <c r="GRN8" s="3418"/>
      <c r="GRO8" s="3418"/>
      <c r="GRP8" s="3418"/>
      <c r="GRQ8" s="3418"/>
      <c r="GRR8" s="3418"/>
      <c r="GRS8" s="3418"/>
      <c r="GRT8" s="3418"/>
      <c r="GRU8" s="3418"/>
      <c r="GRV8" s="3418"/>
      <c r="GRW8" s="3418"/>
      <c r="GRX8" s="3418"/>
      <c r="GRY8" s="3418"/>
      <c r="GRZ8" s="3418"/>
      <c r="GSA8" s="3418"/>
      <c r="GSB8" s="3418"/>
      <c r="GSC8" s="3418"/>
      <c r="GSD8" s="3418"/>
      <c r="GSE8" s="3418"/>
      <c r="GSF8" s="3418"/>
      <c r="GSG8" s="3418"/>
      <c r="GSH8" s="3418"/>
      <c r="GSI8" s="3418"/>
      <c r="GSJ8" s="3418"/>
      <c r="GSK8" s="3418"/>
      <c r="GSL8" s="3418"/>
      <c r="GSM8" s="3418"/>
      <c r="GSN8" s="3418"/>
      <c r="GSO8" s="3418"/>
      <c r="GSP8" s="3418"/>
      <c r="GSQ8" s="3418"/>
      <c r="GSR8" s="3418"/>
      <c r="GSS8" s="3418"/>
      <c r="GST8" s="3418"/>
      <c r="GSU8" s="3418"/>
      <c r="GSV8" s="3418"/>
      <c r="GSW8" s="3418"/>
      <c r="GSX8" s="3418"/>
      <c r="GSY8" s="3418"/>
      <c r="GSZ8" s="3418"/>
      <c r="GTA8" s="3418"/>
      <c r="GTB8" s="3418"/>
      <c r="GTC8" s="3418"/>
      <c r="GTD8" s="3418"/>
      <c r="GTE8" s="3418"/>
      <c r="GTF8" s="3418"/>
      <c r="GTG8" s="3418"/>
      <c r="GTH8" s="3418"/>
      <c r="GTI8" s="3418"/>
      <c r="GTJ8" s="3418"/>
      <c r="GTK8" s="3418"/>
      <c r="GTL8" s="3418"/>
      <c r="GTM8" s="3418"/>
      <c r="GTN8" s="3418"/>
      <c r="GTO8" s="3418"/>
      <c r="GTP8" s="3418"/>
      <c r="GTQ8" s="3418"/>
      <c r="GTR8" s="3418"/>
      <c r="GTS8" s="3418"/>
      <c r="GTT8" s="3418"/>
      <c r="GTU8" s="3418"/>
      <c r="GTV8" s="3418"/>
      <c r="GTW8" s="3418"/>
      <c r="GTX8" s="3418"/>
      <c r="GTY8" s="3418"/>
      <c r="GTZ8" s="3418"/>
      <c r="GUA8" s="3418"/>
      <c r="GUB8" s="3418"/>
      <c r="GUC8" s="3418"/>
      <c r="GUD8" s="3418"/>
      <c r="GUE8" s="3418"/>
      <c r="GUF8" s="3418"/>
      <c r="GUG8" s="3418"/>
      <c r="GUH8" s="3418"/>
      <c r="GUI8" s="3418"/>
      <c r="GUJ8" s="3418"/>
      <c r="GUK8" s="3418"/>
      <c r="GUL8" s="3418"/>
      <c r="GUM8" s="3418"/>
      <c r="GUN8" s="3418"/>
      <c r="GUO8" s="3418"/>
      <c r="GUP8" s="3418"/>
      <c r="GUQ8" s="3418"/>
      <c r="GUR8" s="3418"/>
      <c r="GUS8" s="3418"/>
      <c r="GUT8" s="3418"/>
      <c r="GUU8" s="3418"/>
      <c r="GUV8" s="3418"/>
      <c r="GUW8" s="3418"/>
      <c r="GUX8" s="3418"/>
      <c r="GUY8" s="3418"/>
      <c r="GUZ8" s="3418"/>
      <c r="GVA8" s="3418"/>
      <c r="GVB8" s="3418"/>
      <c r="GVC8" s="3418"/>
      <c r="GVD8" s="3418"/>
      <c r="GVE8" s="3418"/>
      <c r="GVF8" s="3418"/>
      <c r="GVG8" s="3418"/>
      <c r="GVH8" s="3418"/>
      <c r="GVI8" s="3418"/>
      <c r="GVJ8" s="3418"/>
      <c r="GVK8" s="3418"/>
      <c r="GVL8" s="3418"/>
      <c r="GVM8" s="3418"/>
      <c r="GVN8" s="3418"/>
      <c r="GVO8" s="3418"/>
      <c r="GVP8" s="3418"/>
      <c r="GVQ8" s="3418"/>
      <c r="GVR8" s="3418"/>
      <c r="GVS8" s="3418"/>
      <c r="GVT8" s="3418"/>
      <c r="GVU8" s="3418"/>
      <c r="GVV8" s="3418"/>
      <c r="GVW8" s="3418"/>
      <c r="GVX8" s="3418"/>
      <c r="GVY8" s="3418"/>
      <c r="GVZ8" s="3418"/>
      <c r="GWA8" s="3418"/>
      <c r="GWB8" s="3418"/>
      <c r="GWC8" s="3418"/>
      <c r="GWD8" s="3418"/>
      <c r="GWE8" s="3418"/>
      <c r="GWF8" s="3418"/>
      <c r="GWG8" s="3418"/>
      <c r="GWH8" s="3418"/>
      <c r="GWI8" s="3418"/>
      <c r="GWJ8" s="3418"/>
      <c r="GWK8" s="3418"/>
      <c r="GWL8" s="3418"/>
      <c r="GWM8" s="3418"/>
      <c r="GWN8" s="3418"/>
      <c r="GWO8" s="3418"/>
      <c r="GWP8" s="3418"/>
      <c r="GWQ8" s="3418"/>
      <c r="GWR8" s="3418"/>
      <c r="GWS8" s="3418"/>
      <c r="GWT8" s="3418"/>
      <c r="GWU8" s="3418"/>
      <c r="GWV8" s="3418"/>
      <c r="GWW8" s="3418"/>
      <c r="GWX8" s="3418"/>
      <c r="GWY8" s="3418"/>
      <c r="GWZ8" s="3418"/>
      <c r="GXA8" s="3418"/>
      <c r="GXB8" s="3418"/>
      <c r="GXC8" s="3418"/>
      <c r="GXD8" s="3418"/>
      <c r="GXE8" s="3418"/>
      <c r="GXF8" s="3418"/>
      <c r="GXG8" s="3418"/>
      <c r="GXH8" s="3418"/>
      <c r="GXI8" s="3418"/>
      <c r="GXJ8" s="3418"/>
      <c r="GXK8" s="3418"/>
      <c r="GXL8" s="3418"/>
      <c r="GXM8" s="3418"/>
      <c r="GXN8" s="3418"/>
      <c r="GXO8" s="3418"/>
      <c r="GXP8" s="3418"/>
      <c r="GXQ8" s="3418"/>
      <c r="GXR8" s="3418"/>
      <c r="GXS8" s="3418"/>
      <c r="GXT8" s="3418"/>
      <c r="GXU8" s="3418"/>
      <c r="GXV8" s="3418"/>
      <c r="GXW8" s="3418"/>
      <c r="GXX8" s="3418"/>
      <c r="GXY8" s="3418"/>
      <c r="GXZ8" s="3418"/>
      <c r="GYA8" s="3418"/>
      <c r="GYB8" s="3418"/>
      <c r="GYC8" s="3418"/>
      <c r="GYD8" s="3418"/>
      <c r="GYE8" s="3418"/>
      <c r="GYF8" s="3418"/>
      <c r="GYG8" s="3418"/>
      <c r="GYH8" s="3418"/>
      <c r="GYI8" s="3418"/>
      <c r="GYJ8" s="3418"/>
      <c r="GYK8" s="3418"/>
      <c r="GYL8" s="3418"/>
      <c r="GYM8" s="3418"/>
      <c r="GYN8" s="3418"/>
      <c r="GYO8" s="3418"/>
      <c r="GYP8" s="3418"/>
      <c r="GYQ8" s="3418"/>
      <c r="GYR8" s="3418"/>
      <c r="GYS8" s="3418"/>
      <c r="GYT8" s="3418"/>
      <c r="GYU8" s="3418"/>
      <c r="GYV8" s="3418"/>
      <c r="GYW8" s="3418"/>
      <c r="GYX8" s="3418"/>
      <c r="GYY8" s="3418"/>
      <c r="GYZ8" s="3418"/>
      <c r="GZA8" s="3418"/>
      <c r="GZB8" s="3418"/>
      <c r="GZC8" s="3418"/>
      <c r="GZD8" s="3418"/>
      <c r="GZE8" s="3418"/>
      <c r="GZF8" s="3418"/>
      <c r="GZG8" s="3418"/>
      <c r="GZH8" s="3418"/>
      <c r="GZI8" s="3418"/>
      <c r="GZJ8" s="3418"/>
      <c r="GZK8" s="3418"/>
      <c r="GZL8" s="3418"/>
      <c r="GZM8" s="3418"/>
      <c r="GZN8" s="3418"/>
      <c r="GZO8" s="3418"/>
      <c r="GZP8" s="3418"/>
      <c r="GZQ8" s="3418"/>
      <c r="GZR8" s="3418"/>
      <c r="GZS8" s="3418"/>
      <c r="GZT8" s="3418"/>
      <c r="GZU8" s="3418"/>
      <c r="GZV8" s="3418"/>
      <c r="GZW8" s="3418"/>
      <c r="GZX8" s="3418"/>
      <c r="GZY8" s="3418"/>
      <c r="GZZ8" s="3418"/>
      <c r="HAA8" s="3418"/>
      <c r="HAB8" s="3418"/>
      <c r="HAC8" s="3418"/>
      <c r="HAD8" s="3418"/>
      <c r="HAE8" s="3418"/>
      <c r="HAF8" s="3418"/>
      <c r="HAG8" s="3418"/>
      <c r="HAH8" s="3418"/>
      <c r="HAI8" s="3418"/>
      <c r="HAJ8" s="3418"/>
      <c r="HAK8" s="3418"/>
      <c r="HAL8" s="3418"/>
      <c r="HAM8" s="3418"/>
      <c r="HAN8" s="3418"/>
      <c r="HAO8" s="3418"/>
      <c r="HAP8" s="3418"/>
      <c r="HAQ8" s="3418"/>
      <c r="HAR8" s="3418"/>
      <c r="HAS8" s="3418"/>
      <c r="HAT8" s="3418"/>
      <c r="HAU8" s="3418"/>
      <c r="HAV8" s="3418"/>
      <c r="HAW8" s="3418"/>
      <c r="HAX8" s="3418"/>
      <c r="HAY8" s="3418"/>
      <c r="HAZ8" s="3418"/>
      <c r="HBA8" s="3418"/>
      <c r="HBB8" s="3418"/>
      <c r="HBC8" s="3418"/>
      <c r="HBD8" s="3418"/>
      <c r="HBE8" s="3418"/>
      <c r="HBF8" s="3418"/>
      <c r="HBG8" s="3418"/>
      <c r="HBH8" s="3418"/>
      <c r="HBI8" s="3418"/>
      <c r="HBJ8" s="3418"/>
      <c r="HBK8" s="3418"/>
      <c r="HBL8" s="3418"/>
      <c r="HBM8" s="3418"/>
      <c r="HBN8" s="3418"/>
      <c r="HBO8" s="3418"/>
      <c r="HBP8" s="3418"/>
      <c r="HBQ8" s="3418"/>
      <c r="HBR8" s="3418"/>
      <c r="HBS8" s="3418"/>
      <c r="HBT8" s="3418"/>
      <c r="HBU8" s="3418"/>
      <c r="HBV8" s="3418"/>
      <c r="HBW8" s="3418"/>
      <c r="HBX8" s="3418"/>
      <c r="HBY8" s="3418"/>
      <c r="HBZ8" s="3418"/>
      <c r="HCA8" s="3418"/>
      <c r="HCB8" s="3418"/>
      <c r="HCC8" s="3418"/>
      <c r="HCD8" s="3418"/>
      <c r="HCE8" s="3418"/>
      <c r="HCF8" s="3418"/>
      <c r="HCG8" s="3418"/>
      <c r="HCH8" s="3418"/>
      <c r="HCI8" s="3418"/>
      <c r="HCJ8" s="3418"/>
      <c r="HCK8" s="3418"/>
      <c r="HCL8" s="3418"/>
      <c r="HCM8" s="3418"/>
      <c r="HCN8" s="3418"/>
      <c r="HCO8" s="3418"/>
      <c r="HCP8" s="3418"/>
      <c r="HCQ8" s="3418"/>
      <c r="HCR8" s="3418"/>
      <c r="HCS8" s="3418"/>
      <c r="HCT8" s="3418"/>
      <c r="HCU8" s="3418"/>
      <c r="HCV8" s="3418"/>
      <c r="HCW8" s="3418"/>
      <c r="HCX8" s="3418"/>
      <c r="HCY8" s="3418"/>
      <c r="HCZ8" s="3418"/>
      <c r="HDA8" s="3418"/>
      <c r="HDB8" s="3418"/>
      <c r="HDC8" s="3418"/>
      <c r="HDD8" s="3418"/>
      <c r="HDE8" s="3418"/>
      <c r="HDF8" s="3418"/>
      <c r="HDG8" s="3418"/>
      <c r="HDH8" s="3418"/>
      <c r="HDI8" s="3418"/>
      <c r="HDJ8" s="3418"/>
      <c r="HDK8" s="3418"/>
      <c r="HDL8" s="3418"/>
      <c r="HDM8" s="3418"/>
      <c r="HDN8" s="3418"/>
      <c r="HDO8" s="3418"/>
      <c r="HDP8" s="3418"/>
      <c r="HDQ8" s="3418"/>
      <c r="HDR8" s="3418"/>
      <c r="HDS8" s="3418"/>
      <c r="HDT8" s="3418"/>
      <c r="HDU8" s="3418"/>
      <c r="HDV8" s="3418"/>
      <c r="HDW8" s="3418"/>
      <c r="HDX8" s="3418"/>
      <c r="HDY8" s="3418"/>
      <c r="HDZ8" s="3418"/>
      <c r="HEA8" s="3418"/>
      <c r="HEB8" s="3418"/>
      <c r="HEC8" s="3418"/>
      <c r="HED8" s="3418"/>
      <c r="HEE8" s="3418"/>
      <c r="HEF8" s="3418"/>
      <c r="HEG8" s="3418"/>
      <c r="HEH8" s="3418"/>
      <c r="HEI8" s="3418"/>
      <c r="HEJ8" s="3418"/>
      <c r="HEK8" s="3418"/>
      <c r="HEL8" s="3418"/>
      <c r="HEM8" s="3418"/>
      <c r="HEN8" s="3418"/>
      <c r="HEO8" s="3418"/>
      <c r="HEP8" s="3418"/>
      <c r="HEQ8" s="3418"/>
      <c r="HER8" s="3418"/>
      <c r="HES8" s="3418"/>
      <c r="HET8" s="3418"/>
      <c r="HEU8" s="3418"/>
      <c r="HEV8" s="3418"/>
      <c r="HEW8" s="3418"/>
      <c r="HEX8" s="3418"/>
      <c r="HEY8" s="3418"/>
      <c r="HEZ8" s="3418"/>
      <c r="HFA8" s="3418"/>
      <c r="HFB8" s="3418"/>
      <c r="HFC8" s="3418"/>
      <c r="HFD8" s="3418"/>
      <c r="HFE8" s="3418"/>
      <c r="HFF8" s="3418"/>
      <c r="HFG8" s="3418"/>
      <c r="HFH8" s="3418"/>
      <c r="HFI8" s="3418"/>
      <c r="HFJ8" s="3418"/>
      <c r="HFK8" s="3418"/>
      <c r="HFL8" s="3418"/>
      <c r="HFM8" s="3418"/>
      <c r="HFN8" s="3418"/>
      <c r="HFO8" s="3418"/>
      <c r="HFP8" s="3418"/>
      <c r="HFQ8" s="3418"/>
      <c r="HFR8" s="3418"/>
      <c r="HFS8" s="3418"/>
      <c r="HFT8" s="3418"/>
      <c r="HFU8" s="3418"/>
      <c r="HFV8" s="3418"/>
      <c r="HFW8" s="3418"/>
      <c r="HFX8" s="3418"/>
      <c r="HFY8" s="3418"/>
      <c r="HFZ8" s="3418"/>
      <c r="HGA8" s="3418"/>
      <c r="HGB8" s="3418"/>
      <c r="HGC8" s="3418"/>
      <c r="HGD8" s="3418"/>
      <c r="HGE8" s="3418"/>
      <c r="HGF8" s="3418"/>
      <c r="HGG8" s="3418"/>
      <c r="HGH8" s="3418"/>
      <c r="HGI8" s="3418"/>
      <c r="HGJ8" s="3418"/>
      <c r="HGK8" s="3418"/>
      <c r="HGL8" s="3418"/>
      <c r="HGM8" s="3418"/>
      <c r="HGN8" s="3418"/>
      <c r="HGO8" s="3418"/>
      <c r="HGP8" s="3418"/>
      <c r="HGQ8" s="3418"/>
      <c r="HGR8" s="3418"/>
      <c r="HGS8" s="3418"/>
      <c r="HGT8" s="3418"/>
      <c r="HGU8" s="3418"/>
      <c r="HGV8" s="3418"/>
      <c r="HGW8" s="3418"/>
      <c r="HGX8" s="3418"/>
      <c r="HGY8" s="3418"/>
      <c r="HGZ8" s="3418"/>
      <c r="HHA8" s="3418"/>
      <c r="HHB8" s="3418"/>
      <c r="HHC8" s="3418"/>
      <c r="HHD8" s="3418"/>
      <c r="HHE8" s="3418"/>
      <c r="HHF8" s="3418"/>
      <c r="HHG8" s="3418"/>
      <c r="HHH8" s="3418"/>
      <c r="HHI8" s="3418"/>
      <c r="HHJ8" s="3418"/>
      <c r="HHK8" s="3418"/>
      <c r="HHL8" s="3418"/>
      <c r="HHM8" s="3418"/>
      <c r="HHN8" s="3418"/>
      <c r="HHO8" s="3418"/>
      <c r="HHP8" s="3418"/>
      <c r="HHQ8" s="3418"/>
      <c r="HHR8" s="3418"/>
      <c r="HHS8" s="3418"/>
      <c r="HHT8" s="3418"/>
      <c r="HHU8" s="3418"/>
      <c r="HHV8" s="3418"/>
      <c r="HHW8" s="3418"/>
      <c r="HHX8" s="3418"/>
      <c r="HHY8" s="3418"/>
      <c r="HHZ8" s="3418"/>
      <c r="HIA8" s="3418"/>
      <c r="HIB8" s="3418"/>
      <c r="HIC8" s="3418"/>
      <c r="HID8" s="3418"/>
      <c r="HIE8" s="3418"/>
      <c r="HIF8" s="3418"/>
      <c r="HIG8" s="3418"/>
      <c r="HIH8" s="3418"/>
      <c r="HII8" s="3418"/>
      <c r="HIJ8" s="3418"/>
      <c r="HIK8" s="3418"/>
      <c r="HIL8" s="3418"/>
      <c r="HIM8" s="3418"/>
      <c r="HIN8" s="3418"/>
      <c r="HIO8" s="3418"/>
      <c r="HIP8" s="3418"/>
      <c r="HIQ8" s="3418"/>
      <c r="HIR8" s="3418"/>
      <c r="HIS8" s="3418"/>
      <c r="HIT8" s="3418"/>
      <c r="HIU8" s="3418"/>
      <c r="HIV8" s="3418"/>
      <c r="HIW8" s="3418"/>
      <c r="HIX8" s="3418"/>
      <c r="HIY8" s="3418"/>
      <c r="HIZ8" s="3418"/>
      <c r="HJA8" s="3418"/>
      <c r="HJB8" s="3418"/>
      <c r="HJC8" s="3418"/>
      <c r="HJD8" s="3418"/>
      <c r="HJE8" s="3418"/>
      <c r="HJF8" s="3418"/>
      <c r="HJG8" s="3418"/>
      <c r="HJH8" s="3418"/>
      <c r="HJI8" s="3418"/>
      <c r="HJJ8" s="3418"/>
      <c r="HJK8" s="3418"/>
      <c r="HJL8" s="3418"/>
      <c r="HJM8" s="3418"/>
      <c r="HJN8" s="3418"/>
      <c r="HJO8" s="3418"/>
      <c r="HJP8" s="3418"/>
      <c r="HJQ8" s="3418"/>
      <c r="HJR8" s="3418"/>
      <c r="HJS8" s="3418"/>
      <c r="HJT8" s="3418"/>
      <c r="HJU8" s="3418"/>
      <c r="HJV8" s="3418"/>
      <c r="HJW8" s="3418"/>
      <c r="HJX8" s="3418"/>
      <c r="HJY8" s="3418"/>
      <c r="HJZ8" s="3418"/>
      <c r="HKA8" s="3418"/>
      <c r="HKB8" s="3418"/>
      <c r="HKC8" s="3418"/>
      <c r="HKD8" s="3418"/>
      <c r="HKE8" s="3418"/>
      <c r="HKF8" s="3418"/>
      <c r="HKG8" s="3418"/>
      <c r="HKH8" s="3418"/>
      <c r="HKI8" s="3418"/>
      <c r="HKJ8" s="3418"/>
      <c r="HKK8" s="3418"/>
      <c r="HKL8" s="3418"/>
      <c r="HKM8" s="3418"/>
      <c r="HKN8" s="3418"/>
      <c r="HKO8" s="3418"/>
      <c r="HKP8" s="3418"/>
      <c r="HKQ8" s="3418"/>
      <c r="HKR8" s="3418"/>
      <c r="HKS8" s="3418"/>
      <c r="HKT8" s="3418"/>
      <c r="HKU8" s="3418"/>
      <c r="HKV8" s="3418"/>
      <c r="HKW8" s="3418"/>
      <c r="HKX8" s="3418"/>
      <c r="HKY8" s="3418"/>
      <c r="HKZ8" s="3418"/>
      <c r="HLA8" s="3418"/>
      <c r="HLB8" s="3418"/>
      <c r="HLC8" s="3418"/>
      <c r="HLD8" s="3418"/>
      <c r="HLE8" s="3418"/>
      <c r="HLF8" s="3418"/>
      <c r="HLG8" s="3418"/>
      <c r="HLH8" s="3418"/>
      <c r="HLI8" s="3418"/>
      <c r="HLJ8" s="3418"/>
      <c r="HLK8" s="3418"/>
      <c r="HLL8" s="3418"/>
      <c r="HLM8" s="3418"/>
      <c r="HLN8" s="3418"/>
      <c r="HLO8" s="3418"/>
      <c r="HLP8" s="3418"/>
      <c r="HLQ8" s="3418"/>
      <c r="HLR8" s="3418"/>
      <c r="HLS8" s="3418"/>
      <c r="HLT8" s="3418"/>
      <c r="HLU8" s="3418"/>
      <c r="HLV8" s="3418"/>
      <c r="HLW8" s="3418"/>
      <c r="HLX8" s="3418"/>
      <c r="HLY8" s="3418"/>
      <c r="HLZ8" s="3418"/>
      <c r="HMA8" s="3418"/>
      <c r="HMB8" s="3418"/>
      <c r="HMC8" s="3418"/>
      <c r="HMD8" s="3418"/>
      <c r="HME8" s="3418"/>
      <c r="HMF8" s="3418"/>
      <c r="HMG8" s="3418"/>
      <c r="HMH8" s="3418"/>
      <c r="HMI8" s="3418"/>
      <c r="HMJ8" s="3418"/>
      <c r="HMK8" s="3418"/>
      <c r="HML8" s="3418"/>
      <c r="HMM8" s="3418"/>
      <c r="HMN8" s="3418"/>
      <c r="HMO8" s="3418"/>
      <c r="HMP8" s="3418"/>
      <c r="HMQ8" s="3418"/>
      <c r="HMR8" s="3418"/>
      <c r="HMS8" s="3418"/>
      <c r="HMT8" s="3418"/>
      <c r="HMU8" s="3418"/>
      <c r="HMV8" s="3418"/>
      <c r="HMW8" s="3418"/>
      <c r="HMX8" s="3418"/>
      <c r="HMY8" s="3418"/>
      <c r="HMZ8" s="3418"/>
      <c r="HNA8" s="3418"/>
      <c r="HNB8" s="3418"/>
      <c r="HNC8" s="3418"/>
      <c r="HND8" s="3418"/>
      <c r="HNE8" s="3418"/>
      <c r="HNF8" s="3418"/>
      <c r="HNG8" s="3418"/>
      <c r="HNH8" s="3418"/>
      <c r="HNI8" s="3418"/>
      <c r="HNJ8" s="3418"/>
      <c r="HNK8" s="3418"/>
      <c r="HNL8" s="3418"/>
      <c r="HNM8" s="3418"/>
      <c r="HNN8" s="3418"/>
      <c r="HNO8" s="3418"/>
      <c r="HNP8" s="3418"/>
      <c r="HNQ8" s="3418"/>
      <c r="HNR8" s="3418"/>
      <c r="HNS8" s="3418"/>
      <c r="HNT8" s="3418"/>
      <c r="HNU8" s="3418"/>
      <c r="HNV8" s="3418"/>
      <c r="HNW8" s="3418"/>
      <c r="HNX8" s="3418"/>
      <c r="HNY8" s="3418"/>
      <c r="HNZ8" s="3418"/>
      <c r="HOA8" s="3418"/>
      <c r="HOB8" s="3418"/>
      <c r="HOC8" s="3418"/>
      <c r="HOD8" s="3418"/>
      <c r="HOE8" s="3418"/>
      <c r="HOF8" s="3418"/>
      <c r="HOG8" s="3418"/>
      <c r="HOH8" s="3418"/>
      <c r="HOI8" s="3418"/>
      <c r="HOJ8" s="3418"/>
      <c r="HOK8" s="3418"/>
      <c r="HOL8" s="3418"/>
      <c r="HOM8" s="3418"/>
      <c r="HON8" s="3418"/>
      <c r="HOO8" s="3418"/>
      <c r="HOP8" s="3418"/>
      <c r="HOQ8" s="3418"/>
      <c r="HOR8" s="3418"/>
      <c r="HOS8" s="3418"/>
      <c r="HOT8" s="3418"/>
      <c r="HOU8" s="3418"/>
      <c r="HOV8" s="3418"/>
      <c r="HOW8" s="3418"/>
      <c r="HOX8" s="3418"/>
      <c r="HOY8" s="3418"/>
      <c r="HOZ8" s="3418"/>
      <c r="HPA8" s="3418"/>
      <c r="HPB8" s="3418"/>
      <c r="HPC8" s="3418"/>
      <c r="HPD8" s="3418"/>
      <c r="HPE8" s="3418"/>
      <c r="HPF8" s="3418"/>
      <c r="HPG8" s="3418"/>
      <c r="HPH8" s="3418"/>
      <c r="HPI8" s="3418"/>
      <c r="HPJ8" s="3418"/>
      <c r="HPK8" s="3418"/>
      <c r="HPL8" s="3418"/>
      <c r="HPM8" s="3418"/>
      <c r="HPN8" s="3418"/>
      <c r="HPO8" s="3418"/>
      <c r="HPP8" s="3418"/>
      <c r="HPQ8" s="3418"/>
      <c r="HPR8" s="3418"/>
      <c r="HPS8" s="3418"/>
      <c r="HPT8" s="3418"/>
      <c r="HPU8" s="3418"/>
      <c r="HPV8" s="3418"/>
      <c r="HPW8" s="3418"/>
      <c r="HPX8" s="3418"/>
      <c r="HPY8" s="3418"/>
      <c r="HPZ8" s="3418"/>
      <c r="HQA8" s="3418"/>
      <c r="HQB8" s="3418"/>
      <c r="HQC8" s="3418"/>
      <c r="HQD8" s="3418"/>
      <c r="HQE8" s="3418"/>
      <c r="HQF8" s="3418"/>
      <c r="HQG8" s="3418"/>
      <c r="HQH8" s="3418"/>
      <c r="HQI8" s="3418"/>
      <c r="HQJ8" s="3418"/>
      <c r="HQK8" s="3418"/>
      <c r="HQL8" s="3418"/>
      <c r="HQM8" s="3418"/>
      <c r="HQN8" s="3418"/>
      <c r="HQO8" s="3418"/>
      <c r="HQP8" s="3418"/>
      <c r="HQQ8" s="3418"/>
      <c r="HQR8" s="3418"/>
      <c r="HQS8" s="3418"/>
      <c r="HQT8" s="3418"/>
      <c r="HQU8" s="3418"/>
      <c r="HQV8" s="3418"/>
      <c r="HQW8" s="3418"/>
      <c r="HQX8" s="3418"/>
      <c r="HQY8" s="3418"/>
      <c r="HQZ8" s="3418"/>
      <c r="HRA8" s="3418"/>
      <c r="HRB8" s="3418"/>
      <c r="HRC8" s="3418"/>
      <c r="HRD8" s="3418"/>
      <c r="HRE8" s="3418"/>
      <c r="HRF8" s="3418"/>
      <c r="HRG8" s="3418"/>
      <c r="HRH8" s="3418"/>
      <c r="HRI8" s="3418"/>
      <c r="HRJ8" s="3418"/>
      <c r="HRK8" s="3418"/>
      <c r="HRL8" s="3418"/>
      <c r="HRM8" s="3418"/>
      <c r="HRN8" s="3418"/>
      <c r="HRO8" s="3418"/>
      <c r="HRP8" s="3418"/>
      <c r="HRQ8" s="3418"/>
      <c r="HRR8" s="3418"/>
      <c r="HRS8" s="3418"/>
      <c r="HRT8" s="3418"/>
      <c r="HRU8" s="3418"/>
      <c r="HRV8" s="3418"/>
      <c r="HRW8" s="3418"/>
      <c r="HRX8" s="3418"/>
      <c r="HRY8" s="3418"/>
      <c r="HRZ8" s="3418"/>
      <c r="HSA8" s="3418"/>
      <c r="HSB8" s="3418"/>
      <c r="HSC8" s="3418"/>
      <c r="HSD8" s="3418"/>
      <c r="HSE8" s="3418"/>
      <c r="HSF8" s="3418"/>
      <c r="HSG8" s="3418"/>
      <c r="HSH8" s="3418"/>
      <c r="HSI8" s="3418"/>
      <c r="HSJ8" s="3418"/>
      <c r="HSK8" s="3418"/>
      <c r="HSL8" s="3418"/>
      <c r="HSM8" s="3418"/>
      <c r="HSN8" s="3418"/>
      <c r="HSO8" s="3418"/>
      <c r="HSP8" s="3418"/>
      <c r="HSQ8" s="3418"/>
      <c r="HSR8" s="3418"/>
      <c r="HSS8" s="3418"/>
      <c r="HST8" s="3418"/>
      <c r="HSU8" s="3418"/>
      <c r="HSV8" s="3418"/>
      <c r="HSW8" s="3418"/>
      <c r="HSX8" s="3418"/>
      <c r="HSY8" s="3418"/>
      <c r="HSZ8" s="3418"/>
      <c r="HTA8" s="3418"/>
      <c r="HTB8" s="3418"/>
      <c r="HTC8" s="3418"/>
      <c r="HTD8" s="3418"/>
      <c r="HTE8" s="3418"/>
      <c r="HTF8" s="3418"/>
      <c r="HTG8" s="3418"/>
      <c r="HTH8" s="3418"/>
      <c r="HTI8" s="3418"/>
      <c r="HTJ8" s="3418"/>
      <c r="HTK8" s="3418"/>
      <c r="HTL8" s="3418"/>
      <c r="HTM8" s="3418"/>
      <c r="HTN8" s="3418"/>
      <c r="HTO8" s="3418"/>
      <c r="HTP8" s="3418"/>
      <c r="HTQ8" s="3418"/>
      <c r="HTR8" s="3418"/>
      <c r="HTS8" s="3418"/>
      <c r="HTT8" s="3418"/>
      <c r="HTU8" s="3418"/>
      <c r="HTV8" s="3418"/>
      <c r="HTW8" s="3418"/>
      <c r="HTX8" s="3418"/>
      <c r="HTY8" s="3418"/>
      <c r="HTZ8" s="3418"/>
      <c r="HUA8" s="3418"/>
      <c r="HUB8" s="3418"/>
      <c r="HUC8" s="3418"/>
      <c r="HUD8" s="3418"/>
      <c r="HUE8" s="3418"/>
      <c r="HUF8" s="3418"/>
      <c r="HUG8" s="3418"/>
      <c r="HUH8" s="3418"/>
      <c r="HUI8" s="3418"/>
      <c r="HUJ8" s="3418"/>
      <c r="HUK8" s="3418"/>
      <c r="HUL8" s="3418"/>
      <c r="HUM8" s="3418"/>
      <c r="HUN8" s="3418"/>
      <c r="HUO8" s="3418"/>
      <c r="HUP8" s="3418"/>
      <c r="HUQ8" s="3418"/>
      <c r="HUR8" s="3418"/>
      <c r="HUS8" s="3418"/>
      <c r="HUT8" s="3418"/>
      <c r="HUU8" s="3418"/>
      <c r="HUV8" s="3418"/>
      <c r="HUW8" s="3418"/>
      <c r="HUX8" s="3418"/>
      <c r="HUY8" s="3418"/>
      <c r="HUZ8" s="3418"/>
      <c r="HVA8" s="3418"/>
      <c r="HVB8" s="3418"/>
      <c r="HVC8" s="3418"/>
      <c r="HVD8" s="3418"/>
      <c r="HVE8" s="3418"/>
      <c r="HVF8" s="3418"/>
      <c r="HVG8" s="3418"/>
      <c r="HVH8" s="3418"/>
      <c r="HVI8" s="3418"/>
      <c r="HVJ8" s="3418"/>
      <c r="HVK8" s="3418"/>
      <c r="HVL8" s="3418"/>
      <c r="HVM8" s="3418"/>
      <c r="HVN8" s="3418"/>
      <c r="HVO8" s="3418"/>
      <c r="HVP8" s="3418"/>
      <c r="HVQ8" s="3418"/>
      <c r="HVR8" s="3418"/>
      <c r="HVS8" s="3418"/>
      <c r="HVT8" s="3418"/>
      <c r="HVU8" s="3418"/>
      <c r="HVV8" s="3418"/>
      <c r="HVW8" s="3418"/>
      <c r="HVX8" s="3418"/>
      <c r="HVY8" s="3418"/>
      <c r="HVZ8" s="3418"/>
      <c r="HWA8" s="3418"/>
      <c r="HWB8" s="3418"/>
      <c r="HWC8" s="3418"/>
      <c r="HWD8" s="3418"/>
      <c r="HWE8" s="3418"/>
      <c r="HWF8" s="3418"/>
      <c r="HWG8" s="3418"/>
      <c r="HWH8" s="3418"/>
      <c r="HWI8" s="3418"/>
      <c r="HWJ8" s="3418"/>
      <c r="HWK8" s="3418"/>
      <c r="HWL8" s="3418"/>
      <c r="HWM8" s="3418"/>
      <c r="HWN8" s="3418"/>
      <c r="HWO8" s="3418"/>
      <c r="HWP8" s="3418"/>
      <c r="HWQ8" s="3418"/>
      <c r="HWR8" s="3418"/>
      <c r="HWS8" s="3418"/>
      <c r="HWT8" s="3418"/>
      <c r="HWU8" s="3418"/>
      <c r="HWV8" s="3418"/>
      <c r="HWW8" s="3418"/>
      <c r="HWX8" s="3418"/>
      <c r="HWY8" s="3418"/>
      <c r="HWZ8" s="3418"/>
      <c r="HXA8" s="3418"/>
      <c r="HXB8" s="3418"/>
      <c r="HXC8" s="3418"/>
      <c r="HXD8" s="3418"/>
      <c r="HXE8" s="3418"/>
      <c r="HXF8" s="3418"/>
      <c r="HXG8" s="3418"/>
      <c r="HXH8" s="3418"/>
      <c r="HXI8" s="3418"/>
      <c r="HXJ8" s="3418"/>
      <c r="HXK8" s="3418"/>
      <c r="HXL8" s="3418"/>
      <c r="HXM8" s="3418"/>
      <c r="HXN8" s="3418"/>
      <c r="HXO8" s="3418"/>
      <c r="HXP8" s="3418"/>
      <c r="HXQ8" s="3418"/>
      <c r="HXR8" s="3418"/>
      <c r="HXS8" s="3418"/>
      <c r="HXT8" s="3418"/>
      <c r="HXU8" s="3418"/>
      <c r="HXV8" s="3418"/>
      <c r="HXW8" s="3418"/>
      <c r="HXX8" s="3418"/>
      <c r="HXY8" s="3418"/>
      <c r="HXZ8" s="3418"/>
      <c r="HYA8" s="3418"/>
      <c r="HYB8" s="3418"/>
      <c r="HYC8" s="3418"/>
      <c r="HYD8" s="3418"/>
      <c r="HYE8" s="3418"/>
      <c r="HYF8" s="3418"/>
      <c r="HYG8" s="3418"/>
      <c r="HYH8" s="3418"/>
      <c r="HYI8" s="3418"/>
      <c r="HYJ8" s="3418"/>
      <c r="HYK8" s="3418"/>
      <c r="HYL8" s="3418"/>
      <c r="HYM8" s="3418"/>
      <c r="HYN8" s="3418"/>
      <c r="HYO8" s="3418"/>
      <c r="HYP8" s="3418"/>
      <c r="HYQ8" s="3418"/>
      <c r="HYR8" s="3418"/>
      <c r="HYS8" s="3418"/>
      <c r="HYT8" s="3418"/>
      <c r="HYU8" s="3418"/>
      <c r="HYV8" s="3418"/>
      <c r="HYW8" s="3418"/>
      <c r="HYX8" s="3418"/>
      <c r="HYY8" s="3418"/>
      <c r="HYZ8" s="3418"/>
      <c r="HZA8" s="3418"/>
      <c r="HZB8" s="3418"/>
      <c r="HZC8" s="3418"/>
      <c r="HZD8" s="3418"/>
      <c r="HZE8" s="3418"/>
      <c r="HZF8" s="3418"/>
      <c r="HZG8" s="3418"/>
      <c r="HZH8" s="3418"/>
      <c r="HZI8" s="3418"/>
      <c r="HZJ8" s="3418"/>
      <c r="HZK8" s="3418"/>
      <c r="HZL8" s="3418"/>
      <c r="HZM8" s="3418"/>
      <c r="HZN8" s="3418"/>
      <c r="HZO8" s="3418"/>
      <c r="HZP8" s="3418"/>
      <c r="HZQ8" s="3418"/>
      <c r="HZR8" s="3418"/>
      <c r="HZS8" s="3418"/>
      <c r="HZT8" s="3418"/>
      <c r="HZU8" s="3418"/>
      <c r="HZV8" s="3418"/>
      <c r="HZW8" s="3418"/>
      <c r="HZX8" s="3418"/>
      <c r="HZY8" s="3418"/>
      <c r="HZZ8" s="3418"/>
      <c r="IAA8" s="3418"/>
      <c r="IAB8" s="3418"/>
      <c r="IAC8" s="3418"/>
      <c r="IAD8" s="3418"/>
      <c r="IAE8" s="3418"/>
      <c r="IAF8" s="3418"/>
      <c r="IAG8" s="3418"/>
      <c r="IAH8" s="3418"/>
      <c r="IAI8" s="3418"/>
      <c r="IAJ8" s="3418"/>
      <c r="IAK8" s="3418"/>
      <c r="IAL8" s="3418"/>
      <c r="IAM8" s="3418"/>
      <c r="IAN8" s="3418"/>
      <c r="IAO8" s="3418"/>
      <c r="IAP8" s="3418"/>
      <c r="IAQ8" s="3418"/>
      <c r="IAR8" s="3418"/>
      <c r="IAS8" s="3418"/>
      <c r="IAT8" s="3418"/>
      <c r="IAU8" s="3418"/>
      <c r="IAV8" s="3418"/>
      <c r="IAW8" s="3418"/>
      <c r="IAX8" s="3418"/>
      <c r="IAY8" s="3418"/>
      <c r="IAZ8" s="3418"/>
      <c r="IBA8" s="3418"/>
      <c r="IBB8" s="3418"/>
      <c r="IBC8" s="3418"/>
      <c r="IBD8" s="3418"/>
      <c r="IBE8" s="3418"/>
      <c r="IBF8" s="3418"/>
      <c r="IBG8" s="3418"/>
      <c r="IBH8" s="3418"/>
      <c r="IBI8" s="3418"/>
      <c r="IBJ8" s="3418"/>
      <c r="IBK8" s="3418"/>
      <c r="IBL8" s="3418"/>
      <c r="IBM8" s="3418"/>
      <c r="IBN8" s="3418"/>
      <c r="IBO8" s="3418"/>
      <c r="IBP8" s="3418"/>
      <c r="IBQ8" s="3418"/>
      <c r="IBR8" s="3418"/>
      <c r="IBS8" s="3418"/>
      <c r="IBT8" s="3418"/>
      <c r="IBU8" s="3418"/>
      <c r="IBV8" s="3418"/>
      <c r="IBW8" s="3418"/>
      <c r="IBX8" s="3418"/>
      <c r="IBY8" s="3418"/>
      <c r="IBZ8" s="3418"/>
      <c r="ICA8" s="3418"/>
      <c r="ICB8" s="3418"/>
      <c r="ICC8" s="3418"/>
      <c r="ICD8" s="3418"/>
      <c r="ICE8" s="3418"/>
      <c r="ICF8" s="3418"/>
      <c r="ICG8" s="3418"/>
      <c r="ICH8" s="3418"/>
      <c r="ICI8" s="3418"/>
      <c r="ICJ8" s="3418"/>
      <c r="ICK8" s="3418"/>
      <c r="ICL8" s="3418"/>
      <c r="ICM8" s="3418"/>
      <c r="ICN8" s="3418"/>
      <c r="ICO8" s="3418"/>
      <c r="ICP8" s="3418"/>
      <c r="ICQ8" s="3418"/>
      <c r="ICR8" s="3418"/>
      <c r="ICS8" s="3418"/>
      <c r="ICT8" s="3418"/>
      <c r="ICU8" s="3418"/>
      <c r="ICV8" s="3418"/>
      <c r="ICW8" s="3418"/>
      <c r="ICX8" s="3418"/>
      <c r="ICY8" s="3418"/>
      <c r="ICZ8" s="3418"/>
      <c r="IDA8" s="3418"/>
      <c r="IDB8" s="3418"/>
      <c r="IDC8" s="3418"/>
      <c r="IDD8" s="3418"/>
      <c r="IDE8" s="3418"/>
      <c r="IDF8" s="3418"/>
      <c r="IDG8" s="3418"/>
      <c r="IDH8" s="3418"/>
      <c r="IDI8" s="3418"/>
      <c r="IDJ8" s="3418"/>
      <c r="IDK8" s="3418"/>
      <c r="IDL8" s="3418"/>
      <c r="IDM8" s="3418"/>
      <c r="IDN8" s="3418"/>
      <c r="IDO8" s="3418"/>
      <c r="IDP8" s="3418"/>
      <c r="IDQ8" s="3418"/>
      <c r="IDR8" s="3418"/>
      <c r="IDS8" s="3418"/>
      <c r="IDT8" s="3418"/>
      <c r="IDU8" s="3418"/>
      <c r="IDV8" s="3418"/>
      <c r="IDW8" s="3418"/>
      <c r="IDX8" s="3418"/>
      <c r="IDY8" s="3418"/>
      <c r="IDZ8" s="3418"/>
      <c r="IEA8" s="3418"/>
      <c r="IEB8" s="3418"/>
      <c r="IEC8" s="3418"/>
      <c r="IED8" s="3418"/>
      <c r="IEE8" s="3418"/>
      <c r="IEF8" s="3418"/>
      <c r="IEG8" s="3418"/>
      <c r="IEH8" s="3418"/>
      <c r="IEI8" s="3418"/>
      <c r="IEJ8" s="3418"/>
      <c r="IEK8" s="3418"/>
      <c r="IEL8" s="3418"/>
      <c r="IEM8" s="3418"/>
      <c r="IEN8" s="3418"/>
      <c r="IEO8" s="3418"/>
      <c r="IEP8" s="3418"/>
      <c r="IEQ8" s="3418"/>
      <c r="IER8" s="3418"/>
      <c r="IES8" s="3418"/>
      <c r="IET8" s="3418"/>
      <c r="IEU8" s="3418"/>
      <c r="IEV8" s="3418"/>
      <c r="IEW8" s="3418"/>
      <c r="IEX8" s="3418"/>
      <c r="IEY8" s="3418"/>
      <c r="IEZ8" s="3418"/>
      <c r="IFA8" s="3418"/>
      <c r="IFB8" s="3418"/>
      <c r="IFC8" s="3418"/>
      <c r="IFD8" s="3418"/>
      <c r="IFE8" s="3418"/>
      <c r="IFF8" s="3418"/>
      <c r="IFG8" s="3418"/>
      <c r="IFH8" s="3418"/>
      <c r="IFI8" s="3418"/>
      <c r="IFJ8" s="3418"/>
      <c r="IFK8" s="3418"/>
      <c r="IFL8" s="3418"/>
      <c r="IFM8" s="3418"/>
      <c r="IFN8" s="3418"/>
      <c r="IFO8" s="3418"/>
      <c r="IFP8" s="3418"/>
      <c r="IFQ8" s="3418"/>
      <c r="IFR8" s="3418"/>
      <c r="IFS8" s="3418"/>
      <c r="IFT8" s="3418"/>
      <c r="IFU8" s="3418"/>
      <c r="IFV8" s="3418"/>
      <c r="IFW8" s="3418"/>
      <c r="IFX8" s="3418"/>
      <c r="IFY8" s="3418"/>
      <c r="IFZ8" s="3418"/>
      <c r="IGA8" s="3418"/>
      <c r="IGB8" s="3418"/>
      <c r="IGC8" s="3418"/>
      <c r="IGD8" s="3418"/>
      <c r="IGE8" s="3418"/>
      <c r="IGF8" s="3418"/>
      <c r="IGG8" s="3418"/>
      <c r="IGH8" s="3418"/>
      <c r="IGI8" s="3418"/>
      <c r="IGJ8" s="3418"/>
      <c r="IGK8" s="3418"/>
      <c r="IGL8" s="3418"/>
      <c r="IGM8" s="3418"/>
      <c r="IGN8" s="3418"/>
      <c r="IGO8" s="3418"/>
      <c r="IGP8" s="3418"/>
      <c r="IGQ8" s="3418"/>
      <c r="IGR8" s="3418"/>
      <c r="IGS8" s="3418"/>
      <c r="IGT8" s="3418"/>
      <c r="IGU8" s="3418"/>
      <c r="IGV8" s="3418"/>
      <c r="IGW8" s="3418"/>
      <c r="IGX8" s="3418"/>
      <c r="IGY8" s="3418"/>
      <c r="IGZ8" s="3418"/>
      <c r="IHA8" s="3418"/>
      <c r="IHB8" s="3418"/>
      <c r="IHC8" s="3418"/>
      <c r="IHD8" s="3418"/>
      <c r="IHE8" s="3418"/>
      <c r="IHF8" s="3418"/>
      <c r="IHG8" s="3418"/>
      <c r="IHH8" s="3418"/>
      <c r="IHI8" s="3418"/>
      <c r="IHJ8" s="3418"/>
      <c r="IHK8" s="3418"/>
      <c r="IHL8" s="3418"/>
      <c r="IHM8" s="3418"/>
      <c r="IHN8" s="3418"/>
      <c r="IHO8" s="3418"/>
      <c r="IHP8" s="3418"/>
      <c r="IHQ8" s="3418"/>
      <c r="IHR8" s="3418"/>
      <c r="IHS8" s="3418"/>
      <c r="IHT8" s="3418"/>
      <c r="IHU8" s="3418"/>
      <c r="IHV8" s="3418"/>
      <c r="IHW8" s="3418"/>
      <c r="IHX8" s="3418"/>
      <c r="IHY8" s="3418"/>
      <c r="IHZ8" s="3418"/>
      <c r="IIA8" s="3418"/>
      <c r="IIB8" s="3418"/>
      <c r="IIC8" s="3418"/>
      <c r="IID8" s="3418"/>
      <c r="IIE8" s="3418"/>
      <c r="IIF8" s="3418"/>
      <c r="IIG8" s="3418"/>
      <c r="IIH8" s="3418"/>
      <c r="III8" s="3418"/>
      <c r="IIJ8" s="3418"/>
      <c r="IIK8" s="3418"/>
      <c r="IIL8" s="3418"/>
      <c r="IIM8" s="3418"/>
      <c r="IIN8" s="3418"/>
      <c r="IIO8" s="3418"/>
      <c r="IIP8" s="3418"/>
      <c r="IIQ8" s="3418"/>
      <c r="IIR8" s="3418"/>
      <c r="IIS8" s="3418"/>
      <c r="IIT8" s="3418"/>
      <c r="IIU8" s="3418"/>
      <c r="IIV8" s="3418"/>
      <c r="IIW8" s="3418"/>
      <c r="IIX8" s="3418"/>
      <c r="IIY8" s="3418"/>
      <c r="IIZ8" s="3418"/>
      <c r="IJA8" s="3418"/>
      <c r="IJB8" s="3418"/>
      <c r="IJC8" s="3418"/>
      <c r="IJD8" s="3418"/>
      <c r="IJE8" s="3418"/>
      <c r="IJF8" s="3418"/>
      <c r="IJG8" s="3418"/>
      <c r="IJH8" s="3418"/>
      <c r="IJI8" s="3418"/>
      <c r="IJJ8" s="3418"/>
      <c r="IJK8" s="3418"/>
      <c r="IJL8" s="3418"/>
      <c r="IJM8" s="3418"/>
      <c r="IJN8" s="3418"/>
      <c r="IJO8" s="3418"/>
      <c r="IJP8" s="3418"/>
      <c r="IJQ8" s="3418"/>
      <c r="IJR8" s="3418"/>
      <c r="IJS8" s="3418"/>
      <c r="IJT8" s="3418"/>
      <c r="IJU8" s="3418"/>
      <c r="IJV8" s="3418"/>
      <c r="IJW8" s="3418"/>
      <c r="IJX8" s="3418"/>
      <c r="IJY8" s="3418"/>
      <c r="IJZ8" s="3418"/>
      <c r="IKA8" s="3418"/>
      <c r="IKB8" s="3418"/>
      <c r="IKC8" s="3418"/>
      <c r="IKD8" s="3418"/>
      <c r="IKE8" s="3418"/>
      <c r="IKF8" s="3418"/>
      <c r="IKG8" s="3418"/>
      <c r="IKH8" s="3418"/>
      <c r="IKI8" s="3418"/>
      <c r="IKJ8" s="3418"/>
      <c r="IKK8" s="3418"/>
      <c r="IKL8" s="3418"/>
      <c r="IKM8" s="3418"/>
      <c r="IKN8" s="3418"/>
      <c r="IKO8" s="3418"/>
      <c r="IKP8" s="3418"/>
      <c r="IKQ8" s="3418"/>
      <c r="IKR8" s="3418"/>
      <c r="IKS8" s="3418"/>
      <c r="IKT8" s="3418"/>
      <c r="IKU8" s="3418"/>
      <c r="IKV8" s="3418"/>
      <c r="IKW8" s="3418"/>
      <c r="IKX8" s="3418"/>
      <c r="IKY8" s="3418"/>
      <c r="IKZ8" s="3418"/>
      <c r="ILA8" s="3418"/>
      <c r="ILB8" s="3418"/>
      <c r="ILC8" s="3418"/>
      <c r="ILD8" s="3418"/>
      <c r="ILE8" s="3418"/>
      <c r="ILF8" s="3418"/>
      <c r="ILG8" s="3418"/>
      <c r="ILH8" s="3418"/>
      <c r="ILI8" s="3418"/>
      <c r="ILJ8" s="3418"/>
      <c r="ILK8" s="3418"/>
      <c r="ILL8" s="3418"/>
      <c r="ILM8" s="3418"/>
      <c r="ILN8" s="3418"/>
      <c r="ILO8" s="3418"/>
      <c r="ILP8" s="3418"/>
      <c r="ILQ8" s="3418"/>
      <c r="ILR8" s="3418"/>
      <c r="ILS8" s="3418"/>
      <c r="ILT8" s="3418"/>
      <c r="ILU8" s="3418"/>
      <c r="ILV8" s="3418"/>
      <c r="ILW8" s="3418"/>
      <c r="ILX8" s="3418"/>
      <c r="ILY8" s="3418"/>
      <c r="ILZ8" s="3418"/>
      <c r="IMA8" s="3418"/>
      <c r="IMB8" s="3418"/>
      <c r="IMC8" s="3418"/>
      <c r="IMD8" s="3418"/>
      <c r="IME8" s="3418"/>
      <c r="IMF8" s="3418"/>
      <c r="IMG8" s="3418"/>
      <c r="IMH8" s="3418"/>
      <c r="IMI8" s="3418"/>
      <c r="IMJ8" s="3418"/>
      <c r="IMK8" s="3418"/>
      <c r="IML8" s="3418"/>
      <c r="IMM8" s="3418"/>
      <c r="IMN8" s="3418"/>
      <c r="IMO8" s="3418"/>
      <c r="IMP8" s="3418"/>
      <c r="IMQ8" s="3418"/>
      <c r="IMR8" s="3418"/>
      <c r="IMS8" s="3418"/>
      <c r="IMT8" s="3418"/>
      <c r="IMU8" s="3418"/>
      <c r="IMV8" s="3418"/>
      <c r="IMW8" s="3418"/>
      <c r="IMX8" s="3418"/>
      <c r="IMY8" s="3418"/>
      <c r="IMZ8" s="3418"/>
      <c r="INA8" s="3418"/>
      <c r="INB8" s="3418"/>
      <c r="INC8" s="3418"/>
      <c r="IND8" s="3418"/>
      <c r="INE8" s="3418"/>
      <c r="INF8" s="3418"/>
      <c r="ING8" s="3418"/>
      <c r="INH8" s="3418"/>
      <c r="INI8" s="3418"/>
      <c r="INJ8" s="3418"/>
      <c r="INK8" s="3418"/>
      <c r="INL8" s="3418"/>
      <c r="INM8" s="3418"/>
      <c r="INN8" s="3418"/>
      <c r="INO8" s="3418"/>
      <c r="INP8" s="3418"/>
      <c r="INQ8" s="3418"/>
      <c r="INR8" s="3418"/>
      <c r="INS8" s="3418"/>
      <c r="INT8" s="3418"/>
      <c r="INU8" s="3418"/>
      <c r="INV8" s="3418"/>
      <c r="INW8" s="3418"/>
      <c r="INX8" s="3418"/>
      <c r="INY8" s="3418"/>
      <c r="INZ8" s="3418"/>
      <c r="IOA8" s="3418"/>
      <c r="IOB8" s="3418"/>
      <c r="IOC8" s="3418"/>
      <c r="IOD8" s="3418"/>
      <c r="IOE8" s="3418"/>
      <c r="IOF8" s="3418"/>
      <c r="IOG8" s="3418"/>
      <c r="IOH8" s="3418"/>
      <c r="IOI8" s="3418"/>
      <c r="IOJ8" s="3418"/>
      <c r="IOK8" s="3418"/>
      <c r="IOL8" s="3418"/>
      <c r="IOM8" s="3418"/>
      <c r="ION8" s="3418"/>
      <c r="IOO8" s="3418"/>
      <c r="IOP8" s="3418"/>
      <c r="IOQ8" s="3418"/>
      <c r="IOR8" s="3418"/>
      <c r="IOS8" s="3418"/>
      <c r="IOT8" s="3418"/>
      <c r="IOU8" s="3418"/>
      <c r="IOV8" s="3418"/>
      <c r="IOW8" s="3418"/>
      <c r="IOX8" s="3418"/>
      <c r="IOY8" s="3418"/>
      <c r="IOZ8" s="3418"/>
      <c r="IPA8" s="3418"/>
      <c r="IPB8" s="3418"/>
      <c r="IPC8" s="3418"/>
      <c r="IPD8" s="3418"/>
      <c r="IPE8" s="3418"/>
      <c r="IPF8" s="3418"/>
      <c r="IPG8" s="3418"/>
      <c r="IPH8" s="3418"/>
      <c r="IPI8" s="3418"/>
      <c r="IPJ8" s="3418"/>
      <c r="IPK8" s="3418"/>
      <c r="IPL8" s="3418"/>
      <c r="IPM8" s="3418"/>
      <c r="IPN8" s="3418"/>
      <c r="IPO8" s="3418"/>
      <c r="IPP8" s="3418"/>
      <c r="IPQ8" s="3418"/>
      <c r="IPR8" s="3418"/>
      <c r="IPS8" s="3418"/>
      <c r="IPT8" s="3418"/>
      <c r="IPU8" s="3418"/>
      <c r="IPV8" s="3418"/>
      <c r="IPW8" s="3418"/>
      <c r="IPX8" s="3418"/>
      <c r="IPY8" s="3418"/>
      <c r="IPZ8" s="3418"/>
      <c r="IQA8" s="3418"/>
      <c r="IQB8" s="3418"/>
      <c r="IQC8" s="3418"/>
      <c r="IQD8" s="3418"/>
      <c r="IQE8" s="3418"/>
      <c r="IQF8" s="3418"/>
      <c r="IQG8" s="3418"/>
      <c r="IQH8" s="3418"/>
      <c r="IQI8" s="3418"/>
      <c r="IQJ8" s="3418"/>
      <c r="IQK8" s="3418"/>
      <c r="IQL8" s="3418"/>
      <c r="IQM8" s="3418"/>
      <c r="IQN8" s="3418"/>
      <c r="IQO8" s="3418"/>
      <c r="IQP8" s="3418"/>
      <c r="IQQ8" s="3418"/>
      <c r="IQR8" s="3418"/>
      <c r="IQS8" s="3418"/>
      <c r="IQT8" s="3418"/>
      <c r="IQU8" s="3418"/>
      <c r="IQV8" s="3418"/>
      <c r="IQW8" s="3418"/>
      <c r="IQX8" s="3418"/>
      <c r="IQY8" s="3418"/>
      <c r="IQZ8" s="3418"/>
      <c r="IRA8" s="3418"/>
      <c r="IRB8" s="3418"/>
      <c r="IRC8" s="3418"/>
      <c r="IRD8" s="3418"/>
      <c r="IRE8" s="3418"/>
      <c r="IRF8" s="3418"/>
      <c r="IRG8" s="3418"/>
      <c r="IRH8" s="3418"/>
      <c r="IRI8" s="3418"/>
      <c r="IRJ8" s="3418"/>
      <c r="IRK8" s="3418"/>
      <c r="IRL8" s="3418"/>
      <c r="IRM8" s="3418"/>
      <c r="IRN8" s="3418"/>
      <c r="IRO8" s="3418"/>
      <c r="IRP8" s="3418"/>
      <c r="IRQ8" s="3418"/>
      <c r="IRR8" s="3418"/>
      <c r="IRS8" s="3418"/>
      <c r="IRT8" s="3418"/>
      <c r="IRU8" s="3418"/>
      <c r="IRV8" s="3418"/>
      <c r="IRW8" s="3418"/>
      <c r="IRX8" s="3418"/>
      <c r="IRY8" s="3418"/>
      <c r="IRZ8" s="3418"/>
      <c r="ISA8" s="3418"/>
      <c r="ISB8" s="3418"/>
      <c r="ISC8" s="3418"/>
      <c r="ISD8" s="3418"/>
      <c r="ISE8" s="3418"/>
      <c r="ISF8" s="3418"/>
      <c r="ISG8" s="3418"/>
      <c r="ISH8" s="3418"/>
      <c r="ISI8" s="3418"/>
      <c r="ISJ8" s="3418"/>
      <c r="ISK8" s="3418"/>
      <c r="ISL8" s="3418"/>
      <c r="ISM8" s="3418"/>
      <c r="ISN8" s="3418"/>
      <c r="ISO8" s="3418"/>
      <c r="ISP8" s="3418"/>
      <c r="ISQ8" s="3418"/>
      <c r="ISR8" s="3418"/>
      <c r="ISS8" s="3418"/>
      <c r="IST8" s="3418"/>
      <c r="ISU8" s="3418"/>
      <c r="ISV8" s="3418"/>
      <c r="ISW8" s="3418"/>
      <c r="ISX8" s="3418"/>
      <c r="ISY8" s="3418"/>
      <c r="ISZ8" s="3418"/>
      <c r="ITA8" s="3418"/>
      <c r="ITB8" s="3418"/>
      <c r="ITC8" s="3418"/>
      <c r="ITD8" s="3418"/>
      <c r="ITE8" s="3418"/>
      <c r="ITF8" s="3418"/>
      <c r="ITG8" s="3418"/>
      <c r="ITH8" s="3418"/>
      <c r="ITI8" s="3418"/>
      <c r="ITJ8" s="3418"/>
      <c r="ITK8" s="3418"/>
      <c r="ITL8" s="3418"/>
      <c r="ITM8" s="3418"/>
      <c r="ITN8" s="3418"/>
      <c r="ITO8" s="3418"/>
      <c r="ITP8" s="3418"/>
      <c r="ITQ8" s="3418"/>
      <c r="ITR8" s="3418"/>
      <c r="ITS8" s="3418"/>
      <c r="ITT8" s="3418"/>
      <c r="ITU8" s="3418"/>
      <c r="ITV8" s="3418"/>
      <c r="ITW8" s="3418"/>
      <c r="ITX8" s="3418"/>
      <c r="ITY8" s="3418"/>
      <c r="ITZ8" s="3418"/>
      <c r="IUA8" s="3418"/>
      <c r="IUB8" s="3418"/>
      <c r="IUC8" s="3418"/>
      <c r="IUD8" s="3418"/>
      <c r="IUE8" s="3418"/>
      <c r="IUF8" s="3418"/>
      <c r="IUG8" s="3418"/>
      <c r="IUH8" s="3418"/>
      <c r="IUI8" s="3418"/>
      <c r="IUJ8" s="3418"/>
      <c r="IUK8" s="3418"/>
      <c r="IUL8" s="3418"/>
      <c r="IUM8" s="3418"/>
      <c r="IUN8" s="3418"/>
      <c r="IUO8" s="3418"/>
      <c r="IUP8" s="3418"/>
      <c r="IUQ8" s="3418"/>
      <c r="IUR8" s="3418"/>
      <c r="IUS8" s="3418"/>
      <c r="IUT8" s="3418"/>
      <c r="IUU8" s="3418"/>
      <c r="IUV8" s="3418"/>
      <c r="IUW8" s="3418"/>
      <c r="IUX8" s="3418"/>
      <c r="IUY8" s="3418"/>
      <c r="IUZ8" s="3418"/>
      <c r="IVA8" s="3418"/>
      <c r="IVB8" s="3418"/>
      <c r="IVC8" s="3418"/>
      <c r="IVD8" s="3418"/>
      <c r="IVE8" s="3418"/>
      <c r="IVF8" s="3418"/>
      <c r="IVG8" s="3418"/>
      <c r="IVH8" s="3418"/>
      <c r="IVI8" s="3418"/>
      <c r="IVJ8" s="3418"/>
      <c r="IVK8" s="3418"/>
      <c r="IVL8" s="3418"/>
      <c r="IVM8" s="3418"/>
      <c r="IVN8" s="3418"/>
      <c r="IVO8" s="3418"/>
      <c r="IVP8" s="3418"/>
      <c r="IVQ8" s="3418"/>
      <c r="IVR8" s="3418"/>
      <c r="IVS8" s="3418"/>
      <c r="IVT8" s="3418"/>
      <c r="IVU8" s="3418"/>
      <c r="IVV8" s="3418"/>
      <c r="IVW8" s="3418"/>
      <c r="IVX8" s="3418"/>
      <c r="IVY8" s="3418"/>
      <c r="IVZ8" s="3418"/>
      <c r="IWA8" s="3418"/>
      <c r="IWB8" s="3418"/>
      <c r="IWC8" s="3418"/>
      <c r="IWD8" s="3418"/>
      <c r="IWE8" s="3418"/>
      <c r="IWF8" s="3418"/>
      <c r="IWG8" s="3418"/>
      <c r="IWH8" s="3418"/>
      <c r="IWI8" s="3418"/>
      <c r="IWJ8" s="3418"/>
      <c r="IWK8" s="3418"/>
      <c r="IWL8" s="3418"/>
      <c r="IWM8" s="3418"/>
      <c r="IWN8" s="3418"/>
      <c r="IWO8" s="3418"/>
      <c r="IWP8" s="3418"/>
      <c r="IWQ8" s="3418"/>
      <c r="IWR8" s="3418"/>
      <c r="IWS8" s="3418"/>
      <c r="IWT8" s="3418"/>
      <c r="IWU8" s="3418"/>
      <c r="IWV8" s="3418"/>
      <c r="IWW8" s="3418"/>
      <c r="IWX8" s="3418"/>
      <c r="IWY8" s="3418"/>
      <c r="IWZ8" s="3418"/>
      <c r="IXA8" s="3418"/>
      <c r="IXB8" s="3418"/>
      <c r="IXC8" s="3418"/>
      <c r="IXD8" s="3418"/>
      <c r="IXE8" s="3418"/>
      <c r="IXF8" s="3418"/>
      <c r="IXG8" s="3418"/>
      <c r="IXH8" s="3418"/>
      <c r="IXI8" s="3418"/>
      <c r="IXJ8" s="3418"/>
      <c r="IXK8" s="3418"/>
      <c r="IXL8" s="3418"/>
      <c r="IXM8" s="3418"/>
      <c r="IXN8" s="3418"/>
      <c r="IXO8" s="3418"/>
      <c r="IXP8" s="3418"/>
      <c r="IXQ8" s="3418"/>
      <c r="IXR8" s="3418"/>
      <c r="IXS8" s="3418"/>
      <c r="IXT8" s="3418"/>
      <c r="IXU8" s="3418"/>
      <c r="IXV8" s="3418"/>
      <c r="IXW8" s="3418"/>
      <c r="IXX8" s="3418"/>
      <c r="IXY8" s="3418"/>
      <c r="IXZ8" s="3418"/>
      <c r="IYA8" s="3418"/>
      <c r="IYB8" s="3418"/>
      <c r="IYC8" s="3418"/>
      <c r="IYD8" s="3418"/>
      <c r="IYE8" s="3418"/>
      <c r="IYF8" s="3418"/>
      <c r="IYG8" s="3418"/>
      <c r="IYH8" s="3418"/>
      <c r="IYI8" s="3418"/>
      <c r="IYJ8" s="3418"/>
      <c r="IYK8" s="3418"/>
      <c r="IYL8" s="3418"/>
      <c r="IYM8" s="3418"/>
      <c r="IYN8" s="3418"/>
      <c r="IYO8" s="3418"/>
      <c r="IYP8" s="3418"/>
      <c r="IYQ8" s="3418"/>
      <c r="IYR8" s="3418"/>
      <c r="IYS8" s="3418"/>
      <c r="IYT8" s="3418"/>
      <c r="IYU8" s="3418"/>
      <c r="IYV8" s="3418"/>
      <c r="IYW8" s="3418"/>
      <c r="IYX8" s="3418"/>
      <c r="IYY8" s="3418"/>
      <c r="IYZ8" s="3418"/>
      <c r="IZA8" s="3418"/>
      <c r="IZB8" s="3418"/>
      <c r="IZC8" s="3418"/>
      <c r="IZD8" s="3418"/>
      <c r="IZE8" s="3418"/>
      <c r="IZF8" s="3418"/>
      <c r="IZG8" s="3418"/>
      <c r="IZH8" s="3418"/>
      <c r="IZI8" s="3418"/>
      <c r="IZJ8" s="3418"/>
      <c r="IZK8" s="3418"/>
      <c r="IZL8" s="3418"/>
      <c r="IZM8" s="3418"/>
      <c r="IZN8" s="3418"/>
      <c r="IZO8" s="3418"/>
      <c r="IZP8" s="3418"/>
      <c r="IZQ8" s="3418"/>
      <c r="IZR8" s="3418"/>
      <c r="IZS8" s="3418"/>
      <c r="IZT8" s="3418"/>
      <c r="IZU8" s="3418"/>
      <c r="IZV8" s="3418"/>
      <c r="IZW8" s="3418"/>
      <c r="IZX8" s="3418"/>
      <c r="IZY8" s="3418"/>
      <c r="IZZ8" s="3418"/>
      <c r="JAA8" s="3418"/>
      <c r="JAB8" s="3418"/>
      <c r="JAC8" s="3418"/>
      <c r="JAD8" s="3418"/>
      <c r="JAE8" s="3418"/>
      <c r="JAF8" s="3418"/>
      <c r="JAG8" s="3418"/>
      <c r="JAH8" s="3418"/>
      <c r="JAI8" s="3418"/>
      <c r="JAJ8" s="3418"/>
      <c r="JAK8" s="3418"/>
      <c r="JAL8" s="3418"/>
      <c r="JAM8" s="3418"/>
      <c r="JAN8" s="3418"/>
      <c r="JAO8" s="3418"/>
      <c r="JAP8" s="3418"/>
      <c r="JAQ8" s="3418"/>
      <c r="JAR8" s="3418"/>
      <c r="JAS8" s="3418"/>
      <c r="JAT8" s="3418"/>
      <c r="JAU8" s="3418"/>
      <c r="JAV8" s="3418"/>
      <c r="JAW8" s="3418"/>
      <c r="JAX8" s="3418"/>
      <c r="JAY8" s="3418"/>
      <c r="JAZ8" s="3418"/>
      <c r="JBA8" s="3418"/>
      <c r="JBB8" s="3418"/>
      <c r="JBC8" s="3418"/>
      <c r="JBD8" s="3418"/>
      <c r="JBE8" s="3418"/>
      <c r="JBF8" s="3418"/>
      <c r="JBG8" s="3418"/>
      <c r="JBH8" s="3418"/>
      <c r="JBI8" s="3418"/>
      <c r="JBJ8" s="3418"/>
      <c r="JBK8" s="3418"/>
      <c r="JBL8" s="3418"/>
      <c r="JBM8" s="3418"/>
      <c r="JBN8" s="3418"/>
      <c r="JBO8" s="3418"/>
      <c r="JBP8" s="3418"/>
      <c r="JBQ8" s="3418"/>
      <c r="JBR8" s="3418"/>
      <c r="JBS8" s="3418"/>
      <c r="JBT8" s="3418"/>
      <c r="JBU8" s="3418"/>
      <c r="JBV8" s="3418"/>
      <c r="JBW8" s="3418"/>
      <c r="JBX8" s="3418"/>
      <c r="JBY8" s="3418"/>
      <c r="JBZ8" s="3418"/>
      <c r="JCA8" s="3418"/>
      <c r="JCB8" s="3418"/>
      <c r="JCC8" s="3418"/>
      <c r="JCD8" s="3418"/>
      <c r="JCE8" s="3418"/>
      <c r="JCF8" s="3418"/>
      <c r="JCG8" s="3418"/>
      <c r="JCH8" s="3418"/>
      <c r="JCI8" s="3418"/>
      <c r="JCJ8" s="3418"/>
      <c r="JCK8" s="3418"/>
      <c r="JCL8" s="3418"/>
      <c r="JCM8" s="3418"/>
      <c r="JCN8" s="3418"/>
      <c r="JCO8" s="3418"/>
      <c r="JCP8" s="3418"/>
      <c r="JCQ8" s="3418"/>
      <c r="JCR8" s="3418"/>
      <c r="JCS8" s="3418"/>
      <c r="JCT8" s="3418"/>
      <c r="JCU8" s="3418"/>
      <c r="JCV8" s="3418"/>
      <c r="JCW8" s="3418"/>
      <c r="JCX8" s="3418"/>
      <c r="JCY8" s="3418"/>
      <c r="JCZ8" s="3418"/>
      <c r="JDA8" s="3418"/>
      <c r="JDB8" s="3418"/>
      <c r="JDC8" s="3418"/>
      <c r="JDD8" s="3418"/>
      <c r="JDE8" s="3418"/>
      <c r="JDF8" s="3418"/>
      <c r="JDG8" s="3418"/>
      <c r="JDH8" s="3418"/>
      <c r="JDI8" s="3418"/>
      <c r="JDJ8" s="3418"/>
      <c r="JDK8" s="3418"/>
      <c r="JDL8" s="3418"/>
      <c r="JDM8" s="3418"/>
      <c r="JDN8" s="3418"/>
      <c r="JDO8" s="3418"/>
      <c r="JDP8" s="3418"/>
      <c r="JDQ8" s="3418"/>
      <c r="JDR8" s="3418"/>
      <c r="JDS8" s="3418"/>
      <c r="JDT8" s="3418"/>
      <c r="JDU8" s="3418"/>
      <c r="JDV8" s="3418"/>
      <c r="JDW8" s="3418"/>
      <c r="JDX8" s="3418"/>
      <c r="JDY8" s="3418"/>
      <c r="JDZ8" s="3418"/>
      <c r="JEA8" s="3418"/>
      <c r="JEB8" s="3418"/>
      <c r="JEC8" s="3418"/>
      <c r="JED8" s="3418"/>
      <c r="JEE8" s="3418"/>
      <c r="JEF8" s="3418"/>
      <c r="JEG8" s="3418"/>
      <c r="JEH8" s="3418"/>
      <c r="JEI8" s="3418"/>
      <c r="JEJ8" s="3418"/>
      <c r="JEK8" s="3418"/>
      <c r="JEL8" s="3418"/>
      <c r="JEM8" s="3418"/>
      <c r="JEN8" s="3418"/>
      <c r="JEO8" s="3418"/>
      <c r="JEP8" s="3418"/>
      <c r="JEQ8" s="3418"/>
      <c r="JER8" s="3418"/>
      <c r="JES8" s="3418"/>
      <c r="JET8" s="3418"/>
      <c r="JEU8" s="3418"/>
      <c r="JEV8" s="3418"/>
      <c r="JEW8" s="3418"/>
      <c r="JEX8" s="3418"/>
      <c r="JEY8" s="3418"/>
      <c r="JEZ8" s="3418"/>
      <c r="JFA8" s="3418"/>
      <c r="JFB8" s="3418"/>
      <c r="JFC8" s="3418"/>
      <c r="JFD8" s="3418"/>
      <c r="JFE8" s="3418"/>
      <c r="JFF8" s="3418"/>
      <c r="JFG8" s="3418"/>
      <c r="JFH8" s="3418"/>
      <c r="JFI8" s="3418"/>
      <c r="JFJ8" s="3418"/>
      <c r="JFK8" s="3418"/>
      <c r="JFL8" s="3418"/>
      <c r="JFM8" s="3418"/>
      <c r="JFN8" s="3418"/>
      <c r="JFO8" s="3418"/>
      <c r="JFP8" s="3418"/>
      <c r="JFQ8" s="3418"/>
      <c r="JFR8" s="3418"/>
      <c r="JFS8" s="3418"/>
      <c r="JFT8" s="3418"/>
      <c r="JFU8" s="3418"/>
      <c r="JFV8" s="3418"/>
      <c r="JFW8" s="3418"/>
      <c r="JFX8" s="3418"/>
      <c r="JFY8" s="3418"/>
      <c r="JFZ8" s="3418"/>
      <c r="JGA8" s="3418"/>
      <c r="JGB8" s="3418"/>
      <c r="JGC8" s="3418"/>
      <c r="JGD8" s="3418"/>
      <c r="JGE8" s="3418"/>
      <c r="JGF8" s="3418"/>
      <c r="JGG8" s="3418"/>
      <c r="JGH8" s="3418"/>
      <c r="JGI8" s="3418"/>
      <c r="JGJ8" s="3418"/>
      <c r="JGK8" s="3418"/>
      <c r="JGL8" s="3418"/>
      <c r="JGM8" s="3418"/>
      <c r="JGN8" s="3418"/>
      <c r="JGO8" s="3418"/>
      <c r="JGP8" s="3418"/>
      <c r="JGQ8" s="3418"/>
      <c r="JGR8" s="3418"/>
      <c r="JGS8" s="3418"/>
      <c r="JGT8" s="3418"/>
      <c r="JGU8" s="3418"/>
      <c r="JGV8" s="3418"/>
      <c r="JGW8" s="3418"/>
      <c r="JGX8" s="3418"/>
      <c r="JGY8" s="3418"/>
      <c r="JGZ8" s="3418"/>
      <c r="JHA8" s="3418"/>
      <c r="JHB8" s="3418"/>
      <c r="JHC8" s="3418"/>
      <c r="JHD8" s="3418"/>
      <c r="JHE8" s="3418"/>
      <c r="JHF8" s="3418"/>
      <c r="JHG8" s="3418"/>
      <c r="JHH8" s="3418"/>
      <c r="JHI8" s="3418"/>
      <c r="JHJ8" s="3418"/>
      <c r="JHK8" s="3418"/>
      <c r="JHL8" s="3418"/>
      <c r="JHM8" s="3418"/>
      <c r="JHN8" s="3418"/>
      <c r="JHO8" s="3418"/>
      <c r="JHP8" s="3418"/>
      <c r="JHQ8" s="3418"/>
      <c r="JHR8" s="3418"/>
      <c r="JHS8" s="3418"/>
      <c r="JHT8" s="3418"/>
      <c r="JHU8" s="3418"/>
      <c r="JHV8" s="3418"/>
      <c r="JHW8" s="3418"/>
      <c r="JHX8" s="3418"/>
      <c r="JHY8" s="3418"/>
      <c r="JHZ8" s="3418"/>
      <c r="JIA8" s="3418"/>
      <c r="JIB8" s="3418"/>
      <c r="JIC8" s="3418"/>
      <c r="JID8" s="3418"/>
      <c r="JIE8" s="3418"/>
      <c r="JIF8" s="3418"/>
      <c r="JIG8" s="3418"/>
      <c r="JIH8" s="3418"/>
      <c r="JII8" s="3418"/>
      <c r="JIJ8" s="3418"/>
      <c r="JIK8" s="3418"/>
      <c r="JIL8" s="3418"/>
      <c r="JIM8" s="3418"/>
      <c r="JIN8" s="3418"/>
      <c r="JIO8" s="3418"/>
      <c r="JIP8" s="3418"/>
      <c r="JIQ8" s="3418"/>
      <c r="JIR8" s="3418"/>
      <c r="JIS8" s="3418"/>
      <c r="JIT8" s="3418"/>
      <c r="JIU8" s="3418"/>
      <c r="JIV8" s="3418"/>
      <c r="JIW8" s="3418"/>
      <c r="JIX8" s="3418"/>
      <c r="JIY8" s="3418"/>
      <c r="JIZ8" s="3418"/>
      <c r="JJA8" s="3418"/>
      <c r="JJB8" s="3418"/>
      <c r="JJC8" s="3418"/>
      <c r="JJD8" s="3418"/>
      <c r="JJE8" s="3418"/>
      <c r="JJF8" s="3418"/>
      <c r="JJG8" s="3418"/>
      <c r="JJH8" s="3418"/>
      <c r="JJI8" s="3418"/>
      <c r="JJJ8" s="3418"/>
      <c r="JJK8" s="3418"/>
      <c r="JJL8" s="3418"/>
      <c r="JJM8" s="3418"/>
      <c r="JJN8" s="3418"/>
      <c r="JJO8" s="3418"/>
      <c r="JJP8" s="3418"/>
      <c r="JJQ8" s="3418"/>
      <c r="JJR8" s="3418"/>
      <c r="JJS8" s="3418"/>
      <c r="JJT8" s="3418"/>
      <c r="JJU8" s="3418"/>
      <c r="JJV8" s="3418"/>
      <c r="JJW8" s="3418"/>
      <c r="JJX8" s="3418"/>
      <c r="JJY8" s="3418"/>
      <c r="JJZ8" s="3418"/>
      <c r="JKA8" s="3418"/>
      <c r="JKB8" s="3418"/>
      <c r="JKC8" s="3418"/>
      <c r="JKD8" s="3418"/>
      <c r="JKE8" s="3418"/>
      <c r="JKF8" s="3418"/>
      <c r="JKG8" s="3418"/>
      <c r="JKH8" s="3418"/>
      <c r="JKI8" s="3418"/>
      <c r="JKJ8" s="3418"/>
      <c r="JKK8" s="3418"/>
      <c r="JKL8" s="3418"/>
      <c r="JKM8" s="3418"/>
      <c r="JKN8" s="3418"/>
      <c r="JKO8" s="3418"/>
      <c r="JKP8" s="3418"/>
      <c r="JKQ8" s="3418"/>
      <c r="JKR8" s="3418"/>
      <c r="JKS8" s="3418"/>
      <c r="JKT8" s="3418"/>
      <c r="JKU8" s="3418"/>
      <c r="JKV8" s="3418"/>
      <c r="JKW8" s="3418"/>
      <c r="JKX8" s="3418"/>
      <c r="JKY8" s="3418"/>
      <c r="JKZ8" s="3418"/>
      <c r="JLA8" s="3418"/>
      <c r="JLB8" s="3418"/>
      <c r="JLC8" s="3418"/>
      <c r="JLD8" s="3418"/>
      <c r="JLE8" s="3418"/>
      <c r="JLF8" s="3418"/>
      <c r="JLG8" s="3418"/>
      <c r="JLH8" s="3418"/>
      <c r="JLI8" s="3418"/>
      <c r="JLJ8" s="3418"/>
      <c r="JLK8" s="3418"/>
      <c r="JLL8" s="3418"/>
      <c r="JLM8" s="3418"/>
      <c r="JLN8" s="3418"/>
      <c r="JLO8" s="3418"/>
      <c r="JLP8" s="3418"/>
      <c r="JLQ8" s="3418"/>
      <c r="JLR8" s="3418"/>
      <c r="JLS8" s="3418"/>
      <c r="JLT8" s="3418"/>
      <c r="JLU8" s="3418"/>
      <c r="JLV8" s="3418"/>
      <c r="JLW8" s="3418"/>
      <c r="JLX8" s="3418"/>
      <c r="JLY8" s="3418"/>
      <c r="JLZ8" s="3418"/>
      <c r="JMA8" s="3418"/>
      <c r="JMB8" s="3418"/>
      <c r="JMC8" s="3418"/>
      <c r="JMD8" s="3418"/>
      <c r="JME8" s="3418"/>
      <c r="JMF8" s="3418"/>
      <c r="JMG8" s="3418"/>
      <c r="JMH8" s="3418"/>
      <c r="JMI8" s="3418"/>
      <c r="JMJ8" s="3418"/>
      <c r="JMK8" s="3418"/>
      <c r="JML8" s="3418"/>
      <c r="JMM8" s="3418"/>
      <c r="JMN8" s="3418"/>
      <c r="JMO8" s="3418"/>
      <c r="JMP8" s="3418"/>
      <c r="JMQ8" s="3418"/>
      <c r="JMR8" s="3418"/>
      <c r="JMS8" s="3418"/>
      <c r="JMT8" s="3418"/>
      <c r="JMU8" s="3418"/>
      <c r="JMV8" s="3418"/>
      <c r="JMW8" s="3418"/>
      <c r="JMX8" s="3418"/>
      <c r="JMY8" s="3418"/>
      <c r="JMZ8" s="3418"/>
      <c r="JNA8" s="3418"/>
      <c r="JNB8" s="3418"/>
      <c r="JNC8" s="3418"/>
      <c r="JND8" s="3418"/>
      <c r="JNE8" s="3418"/>
      <c r="JNF8" s="3418"/>
      <c r="JNG8" s="3418"/>
      <c r="JNH8" s="3418"/>
      <c r="JNI8" s="3418"/>
      <c r="JNJ8" s="3418"/>
      <c r="JNK8" s="3418"/>
      <c r="JNL8" s="3418"/>
      <c r="JNM8" s="3418"/>
      <c r="JNN8" s="3418"/>
      <c r="JNO8" s="3418"/>
      <c r="JNP8" s="3418"/>
      <c r="JNQ8" s="3418"/>
      <c r="JNR8" s="3418"/>
      <c r="JNS8" s="3418"/>
      <c r="JNT8" s="3418"/>
      <c r="JNU8" s="3418"/>
      <c r="JNV8" s="3418"/>
      <c r="JNW8" s="3418"/>
      <c r="JNX8" s="3418"/>
      <c r="JNY8" s="3418"/>
      <c r="JNZ8" s="3418"/>
      <c r="JOA8" s="3418"/>
      <c r="JOB8" s="3418"/>
      <c r="JOC8" s="3418"/>
      <c r="JOD8" s="3418"/>
      <c r="JOE8" s="3418"/>
      <c r="JOF8" s="3418"/>
      <c r="JOG8" s="3418"/>
      <c r="JOH8" s="3418"/>
      <c r="JOI8" s="3418"/>
      <c r="JOJ8" s="3418"/>
      <c r="JOK8" s="3418"/>
      <c r="JOL8" s="3418"/>
      <c r="JOM8" s="3418"/>
      <c r="JON8" s="3418"/>
      <c r="JOO8" s="3418"/>
      <c r="JOP8" s="3418"/>
      <c r="JOQ8" s="3418"/>
      <c r="JOR8" s="3418"/>
      <c r="JOS8" s="3418"/>
      <c r="JOT8" s="3418"/>
      <c r="JOU8" s="3418"/>
      <c r="JOV8" s="3418"/>
      <c r="JOW8" s="3418"/>
      <c r="JOX8" s="3418"/>
      <c r="JOY8" s="3418"/>
      <c r="JOZ8" s="3418"/>
      <c r="JPA8" s="3418"/>
      <c r="JPB8" s="3418"/>
      <c r="JPC8" s="3418"/>
      <c r="JPD8" s="3418"/>
      <c r="JPE8" s="3418"/>
      <c r="JPF8" s="3418"/>
      <c r="JPG8" s="3418"/>
      <c r="JPH8" s="3418"/>
      <c r="JPI8" s="3418"/>
      <c r="JPJ8" s="3418"/>
      <c r="JPK8" s="3418"/>
      <c r="JPL8" s="3418"/>
      <c r="JPM8" s="3418"/>
      <c r="JPN8" s="3418"/>
      <c r="JPO8" s="3418"/>
      <c r="JPP8" s="3418"/>
      <c r="JPQ8" s="3418"/>
      <c r="JPR8" s="3418"/>
      <c r="JPS8" s="3418"/>
      <c r="JPT8" s="3418"/>
      <c r="JPU8" s="3418"/>
      <c r="JPV8" s="3418"/>
      <c r="JPW8" s="3418"/>
      <c r="JPX8" s="3418"/>
      <c r="JPY8" s="3418"/>
      <c r="JPZ8" s="3418"/>
      <c r="JQA8" s="3418"/>
      <c r="JQB8" s="3418"/>
      <c r="JQC8" s="3418"/>
      <c r="JQD8" s="3418"/>
      <c r="JQE8" s="3418"/>
      <c r="JQF8" s="3418"/>
      <c r="JQG8" s="3418"/>
      <c r="JQH8" s="3418"/>
      <c r="JQI8" s="3418"/>
      <c r="JQJ8" s="3418"/>
      <c r="JQK8" s="3418"/>
      <c r="JQL8" s="3418"/>
      <c r="JQM8" s="3418"/>
      <c r="JQN8" s="3418"/>
      <c r="JQO8" s="3418"/>
      <c r="JQP8" s="3418"/>
      <c r="JQQ8" s="3418"/>
      <c r="JQR8" s="3418"/>
      <c r="JQS8" s="3418"/>
      <c r="JQT8" s="3418"/>
      <c r="JQU8" s="3418"/>
      <c r="JQV8" s="3418"/>
      <c r="JQW8" s="3418"/>
      <c r="JQX8" s="3418"/>
      <c r="JQY8" s="3418"/>
      <c r="JQZ8" s="3418"/>
      <c r="JRA8" s="3418"/>
      <c r="JRB8" s="3418"/>
      <c r="JRC8" s="3418"/>
      <c r="JRD8" s="3418"/>
      <c r="JRE8" s="3418"/>
      <c r="JRF8" s="3418"/>
      <c r="JRG8" s="3418"/>
      <c r="JRH8" s="3418"/>
      <c r="JRI8" s="3418"/>
      <c r="JRJ8" s="3418"/>
      <c r="JRK8" s="3418"/>
      <c r="JRL8" s="3418"/>
      <c r="JRM8" s="3418"/>
      <c r="JRN8" s="3418"/>
      <c r="JRO8" s="3418"/>
      <c r="JRP8" s="3418"/>
      <c r="JRQ8" s="3418"/>
      <c r="JRR8" s="3418"/>
      <c r="JRS8" s="3418"/>
      <c r="JRT8" s="3418"/>
      <c r="JRU8" s="3418"/>
      <c r="JRV8" s="3418"/>
      <c r="JRW8" s="3418"/>
      <c r="JRX8" s="3418"/>
      <c r="JRY8" s="3418"/>
      <c r="JRZ8" s="3418"/>
      <c r="JSA8" s="3418"/>
      <c r="JSB8" s="3418"/>
      <c r="JSC8" s="3418"/>
      <c r="JSD8" s="3418"/>
      <c r="JSE8" s="3418"/>
      <c r="JSF8" s="3418"/>
      <c r="JSG8" s="3418"/>
      <c r="JSH8" s="3418"/>
      <c r="JSI8" s="3418"/>
      <c r="JSJ8" s="3418"/>
      <c r="JSK8" s="3418"/>
      <c r="JSL8" s="3418"/>
      <c r="JSM8" s="3418"/>
      <c r="JSN8" s="3418"/>
      <c r="JSO8" s="3418"/>
      <c r="JSP8" s="3418"/>
      <c r="JSQ8" s="3418"/>
      <c r="JSR8" s="3418"/>
      <c r="JSS8" s="3418"/>
      <c r="JST8" s="3418"/>
      <c r="JSU8" s="3418"/>
      <c r="JSV8" s="3418"/>
      <c r="JSW8" s="3418"/>
      <c r="JSX8" s="3418"/>
      <c r="JSY8" s="3418"/>
      <c r="JSZ8" s="3418"/>
      <c r="JTA8" s="3418"/>
      <c r="JTB8" s="3418"/>
      <c r="JTC8" s="3418"/>
      <c r="JTD8" s="3418"/>
      <c r="JTE8" s="3418"/>
      <c r="JTF8" s="3418"/>
      <c r="JTG8" s="3418"/>
      <c r="JTH8" s="3418"/>
      <c r="JTI8" s="3418"/>
      <c r="JTJ8" s="3418"/>
      <c r="JTK8" s="3418"/>
      <c r="JTL8" s="3418"/>
      <c r="JTM8" s="3418"/>
      <c r="JTN8" s="3418"/>
      <c r="JTO8" s="3418"/>
      <c r="JTP8" s="3418"/>
      <c r="JTQ8" s="3418"/>
      <c r="JTR8" s="3418"/>
      <c r="JTS8" s="3418"/>
      <c r="JTT8" s="3418"/>
      <c r="JTU8" s="3418"/>
      <c r="JTV8" s="3418"/>
      <c r="JTW8" s="3418"/>
      <c r="JTX8" s="3418"/>
      <c r="JTY8" s="3418"/>
      <c r="JTZ8" s="3418"/>
      <c r="JUA8" s="3418"/>
      <c r="JUB8" s="3418"/>
      <c r="JUC8" s="3418"/>
      <c r="JUD8" s="3418"/>
      <c r="JUE8" s="3418"/>
      <c r="JUF8" s="3418"/>
      <c r="JUG8" s="3418"/>
      <c r="JUH8" s="3418"/>
      <c r="JUI8" s="3418"/>
      <c r="JUJ8" s="3418"/>
      <c r="JUK8" s="3418"/>
      <c r="JUL8" s="3418"/>
      <c r="JUM8" s="3418"/>
      <c r="JUN8" s="3418"/>
      <c r="JUO8" s="3418"/>
      <c r="JUP8" s="3418"/>
      <c r="JUQ8" s="3418"/>
      <c r="JUR8" s="3418"/>
      <c r="JUS8" s="3418"/>
      <c r="JUT8" s="3418"/>
      <c r="JUU8" s="3418"/>
      <c r="JUV8" s="3418"/>
      <c r="JUW8" s="3418"/>
      <c r="JUX8" s="3418"/>
      <c r="JUY8" s="3418"/>
      <c r="JUZ8" s="3418"/>
      <c r="JVA8" s="3418"/>
      <c r="JVB8" s="3418"/>
      <c r="JVC8" s="3418"/>
      <c r="JVD8" s="3418"/>
      <c r="JVE8" s="3418"/>
      <c r="JVF8" s="3418"/>
      <c r="JVG8" s="3418"/>
      <c r="JVH8" s="3418"/>
      <c r="JVI8" s="3418"/>
      <c r="JVJ8" s="3418"/>
      <c r="JVK8" s="3418"/>
      <c r="JVL8" s="3418"/>
      <c r="JVM8" s="3418"/>
      <c r="JVN8" s="3418"/>
      <c r="JVO8" s="3418"/>
      <c r="JVP8" s="3418"/>
      <c r="JVQ8" s="3418"/>
      <c r="JVR8" s="3418"/>
      <c r="JVS8" s="3418"/>
      <c r="JVT8" s="3418"/>
      <c r="JVU8" s="3418"/>
      <c r="JVV8" s="3418"/>
      <c r="JVW8" s="3418"/>
      <c r="JVX8" s="3418"/>
      <c r="JVY8" s="3418"/>
      <c r="JVZ8" s="3418"/>
      <c r="JWA8" s="3418"/>
      <c r="JWB8" s="3418"/>
      <c r="JWC8" s="3418"/>
      <c r="JWD8" s="3418"/>
      <c r="JWE8" s="3418"/>
      <c r="JWF8" s="3418"/>
      <c r="JWG8" s="3418"/>
      <c r="JWH8" s="3418"/>
      <c r="JWI8" s="3418"/>
      <c r="JWJ8" s="3418"/>
      <c r="JWK8" s="3418"/>
      <c r="JWL8" s="3418"/>
      <c r="JWM8" s="3418"/>
      <c r="JWN8" s="3418"/>
      <c r="JWO8" s="3418"/>
      <c r="JWP8" s="3418"/>
      <c r="JWQ8" s="3418"/>
      <c r="JWR8" s="3418"/>
      <c r="JWS8" s="3418"/>
      <c r="JWT8" s="3418"/>
      <c r="JWU8" s="3418"/>
      <c r="JWV8" s="3418"/>
      <c r="JWW8" s="3418"/>
      <c r="JWX8" s="3418"/>
      <c r="JWY8" s="3418"/>
      <c r="JWZ8" s="3418"/>
      <c r="JXA8" s="3418"/>
      <c r="JXB8" s="3418"/>
      <c r="JXC8" s="3418"/>
      <c r="JXD8" s="3418"/>
      <c r="JXE8" s="3418"/>
      <c r="JXF8" s="3418"/>
      <c r="JXG8" s="3418"/>
      <c r="JXH8" s="3418"/>
      <c r="JXI8" s="3418"/>
      <c r="JXJ8" s="3418"/>
      <c r="JXK8" s="3418"/>
      <c r="JXL8" s="3418"/>
      <c r="JXM8" s="3418"/>
      <c r="JXN8" s="3418"/>
      <c r="JXO8" s="3418"/>
      <c r="JXP8" s="3418"/>
      <c r="JXQ8" s="3418"/>
      <c r="JXR8" s="3418"/>
      <c r="JXS8" s="3418"/>
      <c r="JXT8" s="3418"/>
      <c r="JXU8" s="3418"/>
      <c r="JXV8" s="3418"/>
      <c r="JXW8" s="3418"/>
      <c r="JXX8" s="3418"/>
      <c r="JXY8" s="3418"/>
      <c r="JXZ8" s="3418"/>
      <c r="JYA8" s="3418"/>
      <c r="JYB8" s="3418"/>
      <c r="JYC8" s="3418"/>
      <c r="JYD8" s="3418"/>
      <c r="JYE8" s="3418"/>
      <c r="JYF8" s="3418"/>
      <c r="JYG8" s="3418"/>
      <c r="JYH8" s="3418"/>
      <c r="JYI8" s="3418"/>
      <c r="JYJ8" s="3418"/>
      <c r="JYK8" s="3418"/>
      <c r="JYL8" s="3418"/>
      <c r="JYM8" s="3418"/>
      <c r="JYN8" s="3418"/>
      <c r="JYO8" s="3418"/>
      <c r="JYP8" s="3418"/>
      <c r="JYQ8" s="3418"/>
      <c r="JYR8" s="3418"/>
      <c r="JYS8" s="3418"/>
      <c r="JYT8" s="3418"/>
      <c r="JYU8" s="3418"/>
      <c r="JYV8" s="3418"/>
      <c r="JYW8" s="3418"/>
      <c r="JYX8" s="3418"/>
      <c r="JYY8" s="3418"/>
      <c r="JYZ8" s="3418"/>
      <c r="JZA8" s="3418"/>
      <c r="JZB8" s="3418"/>
      <c r="JZC8" s="3418"/>
      <c r="JZD8" s="3418"/>
      <c r="JZE8" s="3418"/>
      <c r="JZF8" s="3418"/>
      <c r="JZG8" s="3418"/>
      <c r="JZH8" s="3418"/>
      <c r="JZI8" s="3418"/>
      <c r="JZJ8" s="3418"/>
      <c r="JZK8" s="3418"/>
      <c r="JZL8" s="3418"/>
      <c r="JZM8" s="3418"/>
      <c r="JZN8" s="3418"/>
      <c r="JZO8" s="3418"/>
      <c r="JZP8" s="3418"/>
      <c r="JZQ8" s="3418"/>
      <c r="JZR8" s="3418"/>
      <c r="JZS8" s="3418"/>
      <c r="JZT8" s="3418"/>
      <c r="JZU8" s="3418"/>
      <c r="JZV8" s="3418"/>
      <c r="JZW8" s="3418"/>
      <c r="JZX8" s="3418"/>
      <c r="JZY8" s="3418"/>
      <c r="JZZ8" s="3418"/>
      <c r="KAA8" s="3418"/>
      <c r="KAB8" s="3418"/>
      <c r="KAC8" s="3418"/>
      <c r="KAD8" s="3418"/>
      <c r="KAE8" s="3418"/>
      <c r="KAF8" s="3418"/>
      <c r="KAG8" s="3418"/>
      <c r="KAH8" s="3418"/>
      <c r="KAI8" s="3418"/>
      <c r="KAJ8" s="3418"/>
      <c r="KAK8" s="3418"/>
      <c r="KAL8" s="3418"/>
      <c r="KAM8" s="3418"/>
      <c r="KAN8" s="3418"/>
      <c r="KAO8" s="3418"/>
      <c r="KAP8" s="3418"/>
      <c r="KAQ8" s="3418"/>
      <c r="KAR8" s="3418"/>
      <c r="KAS8" s="3418"/>
      <c r="KAT8" s="3418"/>
      <c r="KAU8" s="3418"/>
      <c r="KAV8" s="3418"/>
      <c r="KAW8" s="3418"/>
      <c r="KAX8" s="3418"/>
      <c r="KAY8" s="3418"/>
      <c r="KAZ8" s="3418"/>
      <c r="KBA8" s="3418"/>
      <c r="KBB8" s="3418"/>
      <c r="KBC8" s="3418"/>
      <c r="KBD8" s="3418"/>
      <c r="KBE8" s="3418"/>
      <c r="KBF8" s="3418"/>
      <c r="KBG8" s="3418"/>
      <c r="KBH8" s="3418"/>
      <c r="KBI8" s="3418"/>
      <c r="KBJ8" s="3418"/>
      <c r="KBK8" s="3418"/>
      <c r="KBL8" s="3418"/>
      <c r="KBM8" s="3418"/>
      <c r="KBN8" s="3418"/>
      <c r="KBO8" s="3418"/>
      <c r="KBP8" s="3418"/>
      <c r="KBQ8" s="3418"/>
      <c r="KBR8" s="3418"/>
      <c r="KBS8" s="3418"/>
      <c r="KBT8" s="3418"/>
      <c r="KBU8" s="3418"/>
      <c r="KBV8" s="3418"/>
      <c r="KBW8" s="3418"/>
      <c r="KBX8" s="3418"/>
      <c r="KBY8" s="3418"/>
      <c r="KBZ8" s="3418"/>
      <c r="KCA8" s="3418"/>
      <c r="KCB8" s="3418"/>
      <c r="KCC8" s="3418"/>
      <c r="KCD8" s="3418"/>
      <c r="KCE8" s="3418"/>
      <c r="KCF8" s="3418"/>
      <c r="KCG8" s="3418"/>
      <c r="KCH8" s="3418"/>
      <c r="KCI8" s="3418"/>
      <c r="KCJ8" s="3418"/>
      <c r="KCK8" s="3418"/>
      <c r="KCL8" s="3418"/>
      <c r="KCM8" s="3418"/>
      <c r="KCN8" s="3418"/>
      <c r="KCO8" s="3418"/>
      <c r="KCP8" s="3418"/>
      <c r="KCQ8" s="3418"/>
      <c r="KCR8" s="3418"/>
      <c r="KCS8" s="3418"/>
      <c r="KCT8" s="3418"/>
      <c r="KCU8" s="3418"/>
      <c r="KCV8" s="3418"/>
      <c r="KCW8" s="3418"/>
      <c r="KCX8" s="3418"/>
      <c r="KCY8" s="3418"/>
      <c r="KCZ8" s="3418"/>
      <c r="KDA8" s="3418"/>
      <c r="KDB8" s="3418"/>
      <c r="KDC8" s="3418"/>
      <c r="KDD8" s="3418"/>
      <c r="KDE8" s="3418"/>
      <c r="KDF8" s="3418"/>
      <c r="KDG8" s="3418"/>
      <c r="KDH8" s="3418"/>
      <c r="KDI8" s="3418"/>
      <c r="KDJ8" s="3418"/>
      <c r="KDK8" s="3418"/>
      <c r="KDL8" s="3418"/>
      <c r="KDM8" s="3418"/>
      <c r="KDN8" s="3418"/>
      <c r="KDO8" s="3418"/>
      <c r="KDP8" s="3418"/>
      <c r="KDQ8" s="3418"/>
      <c r="KDR8" s="3418"/>
      <c r="KDS8" s="3418"/>
      <c r="KDT8" s="3418"/>
      <c r="KDU8" s="3418"/>
      <c r="KDV8" s="3418"/>
      <c r="KDW8" s="3418"/>
      <c r="KDX8" s="3418"/>
      <c r="KDY8" s="3418"/>
      <c r="KDZ8" s="3418"/>
      <c r="KEA8" s="3418"/>
      <c r="KEB8" s="3418"/>
      <c r="KEC8" s="3418"/>
      <c r="KED8" s="3418"/>
      <c r="KEE8" s="3418"/>
      <c r="KEF8" s="3418"/>
      <c r="KEG8" s="3418"/>
      <c r="KEH8" s="3418"/>
      <c r="KEI8" s="3418"/>
      <c r="KEJ8" s="3418"/>
      <c r="KEK8" s="3418"/>
      <c r="KEL8" s="3418"/>
      <c r="KEM8" s="3418"/>
      <c r="KEN8" s="3418"/>
      <c r="KEO8" s="3418"/>
      <c r="KEP8" s="3418"/>
      <c r="KEQ8" s="3418"/>
      <c r="KER8" s="3418"/>
      <c r="KES8" s="3418"/>
      <c r="KET8" s="3418"/>
      <c r="KEU8" s="3418"/>
      <c r="KEV8" s="3418"/>
      <c r="KEW8" s="3418"/>
      <c r="KEX8" s="3418"/>
      <c r="KEY8" s="3418"/>
      <c r="KEZ8" s="3418"/>
      <c r="KFA8" s="3418"/>
      <c r="KFB8" s="3418"/>
      <c r="KFC8" s="3418"/>
      <c r="KFD8" s="3418"/>
      <c r="KFE8" s="3418"/>
      <c r="KFF8" s="3418"/>
      <c r="KFG8" s="3418"/>
      <c r="KFH8" s="3418"/>
      <c r="KFI8" s="3418"/>
      <c r="KFJ8" s="3418"/>
      <c r="KFK8" s="3418"/>
      <c r="KFL8" s="3418"/>
      <c r="KFM8" s="3418"/>
      <c r="KFN8" s="3418"/>
      <c r="KFO8" s="3418"/>
      <c r="KFP8" s="3418"/>
      <c r="KFQ8" s="3418"/>
      <c r="KFR8" s="3418"/>
      <c r="KFS8" s="3418"/>
      <c r="KFT8" s="3418"/>
      <c r="KFU8" s="3418"/>
      <c r="KFV8" s="3418"/>
      <c r="KFW8" s="3418"/>
      <c r="KFX8" s="3418"/>
      <c r="KFY8" s="3418"/>
      <c r="KFZ8" s="3418"/>
      <c r="KGA8" s="3418"/>
      <c r="KGB8" s="3418"/>
      <c r="KGC8" s="3418"/>
      <c r="KGD8" s="3418"/>
      <c r="KGE8" s="3418"/>
      <c r="KGF8" s="3418"/>
      <c r="KGG8" s="3418"/>
      <c r="KGH8" s="3418"/>
      <c r="KGI8" s="3418"/>
      <c r="KGJ8" s="3418"/>
      <c r="KGK8" s="3418"/>
      <c r="KGL8" s="3418"/>
      <c r="KGM8" s="3418"/>
      <c r="KGN8" s="3418"/>
      <c r="KGO8" s="3418"/>
      <c r="KGP8" s="3418"/>
      <c r="KGQ8" s="3418"/>
      <c r="KGR8" s="3418"/>
      <c r="KGS8" s="3418"/>
      <c r="KGT8" s="3418"/>
      <c r="KGU8" s="3418"/>
      <c r="KGV8" s="3418"/>
      <c r="KGW8" s="3418"/>
      <c r="KGX8" s="3418"/>
      <c r="KGY8" s="3418"/>
      <c r="KGZ8" s="3418"/>
      <c r="KHA8" s="3418"/>
      <c r="KHB8" s="3418"/>
      <c r="KHC8" s="3418"/>
      <c r="KHD8" s="3418"/>
      <c r="KHE8" s="3418"/>
      <c r="KHF8" s="3418"/>
      <c r="KHG8" s="3418"/>
      <c r="KHH8" s="3418"/>
      <c r="KHI8" s="3418"/>
      <c r="KHJ8" s="3418"/>
      <c r="KHK8" s="3418"/>
      <c r="KHL8" s="3418"/>
      <c r="KHM8" s="3418"/>
      <c r="KHN8" s="3418"/>
      <c r="KHO8" s="3418"/>
      <c r="KHP8" s="3418"/>
      <c r="KHQ8" s="3418"/>
      <c r="KHR8" s="3418"/>
      <c r="KHS8" s="3418"/>
      <c r="KHT8" s="3418"/>
      <c r="KHU8" s="3418"/>
      <c r="KHV8" s="3418"/>
      <c r="KHW8" s="3418"/>
      <c r="KHX8" s="3418"/>
      <c r="KHY8" s="3418"/>
      <c r="KHZ8" s="3418"/>
      <c r="KIA8" s="3418"/>
      <c r="KIB8" s="3418"/>
      <c r="KIC8" s="3418"/>
      <c r="KID8" s="3418"/>
      <c r="KIE8" s="3418"/>
      <c r="KIF8" s="3418"/>
      <c r="KIG8" s="3418"/>
      <c r="KIH8" s="3418"/>
      <c r="KII8" s="3418"/>
      <c r="KIJ8" s="3418"/>
      <c r="KIK8" s="3418"/>
      <c r="KIL8" s="3418"/>
      <c r="KIM8" s="3418"/>
      <c r="KIN8" s="3418"/>
      <c r="KIO8" s="3418"/>
      <c r="KIP8" s="3418"/>
      <c r="KIQ8" s="3418"/>
      <c r="KIR8" s="3418"/>
      <c r="KIS8" s="3418"/>
      <c r="KIT8" s="3418"/>
      <c r="KIU8" s="3418"/>
      <c r="KIV8" s="3418"/>
      <c r="KIW8" s="3418"/>
      <c r="KIX8" s="3418"/>
      <c r="KIY8" s="3418"/>
      <c r="KIZ8" s="3418"/>
      <c r="KJA8" s="3418"/>
      <c r="KJB8" s="3418"/>
      <c r="KJC8" s="3418"/>
      <c r="KJD8" s="3418"/>
      <c r="KJE8" s="3418"/>
      <c r="KJF8" s="3418"/>
      <c r="KJG8" s="3418"/>
      <c r="KJH8" s="3418"/>
      <c r="KJI8" s="3418"/>
      <c r="KJJ8" s="3418"/>
      <c r="KJK8" s="3418"/>
      <c r="KJL8" s="3418"/>
      <c r="KJM8" s="3418"/>
      <c r="KJN8" s="3418"/>
      <c r="KJO8" s="3418"/>
      <c r="KJP8" s="3418"/>
      <c r="KJQ8" s="3418"/>
      <c r="KJR8" s="3418"/>
      <c r="KJS8" s="3418"/>
      <c r="KJT8" s="3418"/>
      <c r="KJU8" s="3418"/>
      <c r="KJV8" s="3418"/>
      <c r="KJW8" s="3418"/>
      <c r="KJX8" s="3418"/>
      <c r="KJY8" s="3418"/>
      <c r="KJZ8" s="3418"/>
      <c r="KKA8" s="3418"/>
      <c r="KKB8" s="3418"/>
      <c r="KKC8" s="3418"/>
      <c r="KKD8" s="3418"/>
      <c r="KKE8" s="3418"/>
      <c r="KKF8" s="3418"/>
      <c r="KKG8" s="3418"/>
      <c r="KKH8" s="3418"/>
      <c r="KKI8" s="3418"/>
      <c r="KKJ8" s="3418"/>
      <c r="KKK8" s="3418"/>
      <c r="KKL8" s="3418"/>
      <c r="KKM8" s="3418"/>
      <c r="KKN8" s="3418"/>
      <c r="KKO8" s="3418"/>
      <c r="KKP8" s="3418"/>
      <c r="KKQ8" s="3418"/>
      <c r="KKR8" s="3418"/>
      <c r="KKS8" s="3418"/>
      <c r="KKT8" s="3418"/>
      <c r="KKU8" s="3418"/>
      <c r="KKV8" s="3418"/>
      <c r="KKW8" s="3418"/>
      <c r="KKX8" s="3418"/>
      <c r="KKY8" s="3418"/>
      <c r="KKZ8" s="3418"/>
      <c r="KLA8" s="3418"/>
      <c r="KLB8" s="3418"/>
      <c r="KLC8" s="3418"/>
      <c r="KLD8" s="3418"/>
      <c r="KLE8" s="3418"/>
      <c r="KLF8" s="3418"/>
      <c r="KLG8" s="3418"/>
      <c r="KLH8" s="3418"/>
      <c r="KLI8" s="3418"/>
      <c r="KLJ8" s="3418"/>
      <c r="KLK8" s="3418"/>
      <c r="KLL8" s="3418"/>
      <c r="KLM8" s="3418"/>
      <c r="KLN8" s="3418"/>
      <c r="KLO8" s="3418"/>
      <c r="KLP8" s="3418"/>
      <c r="KLQ8" s="3418"/>
      <c r="KLR8" s="3418"/>
      <c r="KLS8" s="3418"/>
      <c r="KLT8" s="3418"/>
      <c r="KLU8" s="3418"/>
      <c r="KLV8" s="3418"/>
      <c r="KLW8" s="3418"/>
      <c r="KLX8" s="3418"/>
      <c r="KLY8" s="3418"/>
      <c r="KLZ8" s="3418"/>
      <c r="KMA8" s="3418"/>
      <c r="KMB8" s="3418"/>
      <c r="KMC8" s="3418"/>
      <c r="KMD8" s="3418"/>
      <c r="KME8" s="3418"/>
      <c r="KMF8" s="3418"/>
      <c r="KMG8" s="3418"/>
      <c r="KMH8" s="3418"/>
      <c r="KMI8" s="3418"/>
      <c r="KMJ8" s="3418"/>
      <c r="KMK8" s="3418"/>
      <c r="KML8" s="3418"/>
      <c r="KMM8" s="3418"/>
      <c r="KMN8" s="3418"/>
      <c r="KMO8" s="3418"/>
      <c r="KMP8" s="3418"/>
      <c r="KMQ8" s="3418"/>
      <c r="KMR8" s="3418"/>
      <c r="KMS8" s="3418"/>
      <c r="KMT8" s="3418"/>
      <c r="KMU8" s="3418"/>
      <c r="KMV8" s="3418"/>
      <c r="KMW8" s="3418"/>
      <c r="KMX8" s="3418"/>
      <c r="KMY8" s="3418"/>
      <c r="KMZ8" s="3418"/>
      <c r="KNA8" s="3418"/>
      <c r="KNB8" s="3418"/>
      <c r="KNC8" s="3418"/>
      <c r="KND8" s="3418"/>
      <c r="KNE8" s="3418"/>
      <c r="KNF8" s="3418"/>
      <c r="KNG8" s="3418"/>
      <c r="KNH8" s="3418"/>
      <c r="KNI8" s="3418"/>
      <c r="KNJ8" s="3418"/>
      <c r="KNK8" s="3418"/>
      <c r="KNL8" s="3418"/>
      <c r="KNM8" s="3418"/>
      <c r="KNN8" s="3418"/>
      <c r="KNO8" s="3418"/>
      <c r="KNP8" s="3418"/>
      <c r="KNQ8" s="3418"/>
      <c r="KNR8" s="3418"/>
      <c r="KNS8" s="3418"/>
      <c r="KNT8" s="3418"/>
      <c r="KNU8" s="3418"/>
      <c r="KNV8" s="3418"/>
      <c r="KNW8" s="3418"/>
      <c r="KNX8" s="3418"/>
      <c r="KNY8" s="3418"/>
      <c r="KNZ8" s="3418"/>
      <c r="KOA8" s="3418"/>
      <c r="KOB8" s="3418"/>
      <c r="KOC8" s="3418"/>
      <c r="KOD8" s="3418"/>
      <c r="KOE8" s="3418"/>
      <c r="KOF8" s="3418"/>
      <c r="KOG8" s="3418"/>
      <c r="KOH8" s="3418"/>
      <c r="KOI8" s="3418"/>
      <c r="KOJ8" s="3418"/>
      <c r="KOK8" s="3418"/>
      <c r="KOL8" s="3418"/>
      <c r="KOM8" s="3418"/>
      <c r="KON8" s="3418"/>
      <c r="KOO8" s="3418"/>
      <c r="KOP8" s="3418"/>
      <c r="KOQ8" s="3418"/>
      <c r="KOR8" s="3418"/>
      <c r="KOS8" s="3418"/>
      <c r="KOT8" s="3418"/>
      <c r="KOU8" s="3418"/>
      <c r="KOV8" s="3418"/>
      <c r="KOW8" s="3418"/>
      <c r="KOX8" s="3418"/>
      <c r="KOY8" s="3418"/>
      <c r="KOZ8" s="3418"/>
      <c r="KPA8" s="3418"/>
      <c r="KPB8" s="3418"/>
      <c r="KPC8" s="3418"/>
      <c r="KPD8" s="3418"/>
      <c r="KPE8" s="3418"/>
      <c r="KPF8" s="3418"/>
      <c r="KPG8" s="3418"/>
      <c r="KPH8" s="3418"/>
      <c r="KPI8" s="3418"/>
      <c r="KPJ8" s="3418"/>
      <c r="KPK8" s="3418"/>
      <c r="KPL8" s="3418"/>
      <c r="KPM8" s="3418"/>
      <c r="KPN8" s="3418"/>
      <c r="KPO8" s="3418"/>
      <c r="KPP8" s="3418"/>
      <c r="KPQ8" s="3418"/>
      <c r="KPR8" s="3418"/>
      <c r="KPS8" s="3418"/>
      <c r="KPT8" s="3418"/>
      <c r="KPU8" s="3418"/>
      <c r="KPV8" s="3418"/>
      <c r="KPW8" s="3418"/>
      <c r="KPX8" s="3418"/>
      <c r="KPY8" s="3418"/>
      <c r="KPZ8" s="3418"/>
      <c r="KQA8" s="3418"/>
      <c r="KQB8" s="3418"/>
      <c r="KQC8" s="3418"/>
      <c r="KQD8" s="3418"/>
      <c r="KQE8" s="3418"/>
      <c r="KQF8" s="3418"/>
      <c r="KQG8" s="3418"/>
      <c r="KQH8" s="3418"/>
      <c r="KQI8" s="3418"/>
      <c r="KQJ8" s="3418"/>
      <c r="KQK8" s="3418"/>
      <c r="KQL8" s="3418"/>
      <c r="KQM8" s="3418"/>
      <c r="KQN8" s="3418"/>
      <c r="KQO8" s="3418"/>
      <c r="KQP8" s="3418"/>
      <c r="KQQ8" s="3418"/>
      <c r="KQR8" s="3418"/>
      <c r="KQS8" s="3418"/>
      <c r="KQT8" s="3418"/>
      <c r="KQU8" s="3418"/>
      <c r="KQV8" s="3418"/>
      <c r="KQW8" s="3418"/>
      <c r="KQX8" s="3418"/>
      <c r="KQY8" s="3418"/>
      <c r="KQZ8" s="3418"/>
      <c r="KRA8" s="3418"/>
      <c r="KRB8" s="3418"/>
      <c r="KRC8" s="3418"/>
      <c r="KRD8" s="3418"/>
      <c r="KRE8" s="3418"/>
      <c r="KRF8" s="3418"/>
      <c r="KRG8" s="3418"/>
      <c r="KRH8" s="3418"/>
      <c r="KRI8" s="3418"/>
      <c r="KRJ8" s="3418"/>
      <c r="KRK8" s="3418"/>
      <c r="KRL8" s="3418"/>
      <c r="KRM8" s="3418"/>
      <c r="KRN8" s="3418"/>
      <c r="KRO8" s="3418"/>
      <c r="KRP8" s="3418"/>
      <c r="KRQ8" s="3418"/>
      <c r="KRR8" s="3418"/>
      <c r="KRS8" s="3418"/>
      <c r="KRT8" s="3418"/>
      <c r="KRU8" s="3418"/>
      <c r="KRV8" s="3418"/>
      <c r="KRW8" s="3418"/>
      <c r="KRX8" s="3418"/>
      <c r="KRY8" s="3418"/>
      <c r="KRZ8" s="3418"/>
      <c r="KSA8" s="3418"/>
      <c r="KSB8" s="3418"/>
      <c r="KSC8" s="3418"/>
      <c r="KSD8" s="3418"/>
      <c r="KSE8" s="3418"/>
      <c r="KSF8" s="3418"/>
      <c r="KSG8" s="3418"/>
      <c r="KSH8" s="3418"/>
      <c r="KSI8" s="3418"/>
      <c r="KSJ8" s="3418"/>
      <c r="KSK8" s="3418"/>
      <c r="KSL8" s="3418"/>
      <c r="KSM8" s="3418"/>
      <c r="KSN8" s="3418"/>
      <c r="KSO8" s="3418"/>
      <c r="KSP8" s="3418"/>
      <c r="KSQ8" s="3418"/>
      <c r="KSR8" s="3418"/>
      <c r="KSS8" s="3418"/>
      <c r="KST8" s="3418"/>
      <c r="KSU8" s="3418"/>
      <c r="KSV8" s="3418"/>
      <c r="KSW8" s="3418"/>
      <c r="KSX8" s="3418"/>
      <c r="KSY8" s="3418"/>
      <c r="KSZ8" s="3418"/>
      <c r="KTA8" s="3418"/>
      <c r="KTB8" s="3418"/>
      <c r="KTC8" s="3418"/>
      <c r="KTD8" s="3418"/>
      <c r="KTE8" s="3418"/>
      <c r="KTF8" s="3418"/>
      <c r="KTG8" s="3418"/>
      <c r="KTH8" s="3418"/>
      <c r="KTI8" s="3418"/>
      <c r="KTJ8" s="3418"/>
      <c r="KTK8" s="3418"/>
      <c r="KTL8" s="3418"/>
      <c r="KTM8" s="3418"/>
      <c r="KTN8" s="3418"/>
      <c r="KTO8" s="3418"/>
      <c r="KTP8" s="3418"/>
      <c r="KTQ8" s="3418"/>
      <c r="KTR8" s="3418"/>
      <c r="KTS8" s="3418"/>
      <c r="KTT8" s="3418"/>
      <c r="KTU8" s="3418"/>
      <c r="KTV8" s="3418"/>
      <c r="KTW8" s="3418"/>
      <c r="KTX8" s="3418"/>
      <c r="KTY8" s="3418"/>
      <c r="KTZ8" s="3418"/>
      <c r="KUA8" s="3418"/>
      <c r="KUB8" s="3418"/>
      <c r="KUC8" s="3418"/>
      <c r="KUD8" s="3418"/>
      <c r="KUE8" s="3418"/>
      <c r="KUF8" s="3418"/>
      <c r="KUG8" s="3418"/>
      <c r="KUH8" s="3418"/>
      <c r="KUI8" s="3418"/>
      <c r="KUJ8" s="3418"/>
      <c r="KUK8" s="3418"/>
      <c r="KUL8" s="3418"/>
      <c r="KUM8" s="3418"/>
      <c r="KUN8" s="3418"/>
      <c r="KUO8" s="3418"/>
      <c r="KUP8" s="3418"/>
      <c r="KUQ8" s="3418"/>
      <c r="KUR8" s="3418"/>
      <c r="KUS8" s="3418"/>
      <c r="KUT8" s="3418"/>
      <c r="KUU8" s="3418"/>
      <c r="KUV8" s="3418"/>
      <c r="KUW8" s="3418"/>
      <c r="KUX8" s="3418"/>
      <c r="KUY8" s="3418"/>
      <c r="KUZ8" s="3418"/>
      <c r="KVA8" s="3418"/>
      <c r="KVB8" s="3418"/>
      <c r="KVC8" s="3418"/>
      <c r="KVD8" s="3418"/>
      <c r="KVE8" s="3418"/>
      <c r="KVF8" s="3418"/>
      <c r="KVG8" s="3418"/>
      <c r="KVH8" s="3418"/>
      <c r="KVI8" s="3418"/>
      <c r="KVJ8" s="3418"/>
      <c r="KVK8" s="3418"/>
      <c r="KVL8" s="3418"/>
      <c r="KVM8" s="3418"/>
      <c r="KVN8" s="3418"/>
      <c r="KVO8" s="3418"/>
      <c r="KVP8" s="3418"/>
      <c r="KVQ8" s="3418"/>
      <c r="KVR8" s="3418"/>
      <c r="KVS8" s="3418"/>
      <c r="KVT8" s="3418"/>
      <c r="KVU8" s="3418"/>
      <c r="KVV8" s="3418"/>
      <c r="KVW8" s="3418"/>
      <c r="KVX8" s="3418"/>
      <c r="KVY8" s="3418"/>
      <c r="KVZ8" s="3418"/>
      <c r="KWA8" s="3418"/>
      <c r="KWB8" s="3418"/>
      <c r="KWC8" s="3418"/>
      <c r="KWD8" s="3418"/>
      <c r="KWE8" s="3418"/>
      <c r="KWF8" s="3418"/>
      <c r="KWG8" s="3418"/>
      <c r="KWH8" s="3418"/>
      <c r="KWI8" s="3418"/>
      <c r="KWJ8" s="3418"/>
      <c r="KWK8" s="3418"/>
      <c r="KWL8" s="3418"/>
      <c r="KWM8" s="3418"/>
      <c r="KWN8" s="3418"/>
      <c r="KWO8" s="3418"/>
      <c r="KWP8" s="3418"/>
      <c r="KWQ8" s="3418"/>
      <c r="KWR8" s="3418"/>
      <c r="KWS8" s="3418"/>
      <c r="KWT8" s="3418"/>
      <c r="KWU8" s="3418"/>
      <c r="KWV8" s="3418"/>
      <c r="KWW8" s="3418"/>
      <c r="KWX8" s="3418"/>
      <c r="KWY8" s="3418"/>
      <c r="KWZ8" s="3418"/>
      <c r="KXA8" s="3418"/>
      <c r="KXB8" s="3418"/>
      <c r="KXC8" s="3418"/>
      <c r="KXD8" s="3418"/>
      <c r="KXE8" s="3418"/>
      <c r="KXF8" s="3418"/>
      <c r="KXG8" s="3418"/>
      <c r="KXH8" s="3418"/>
      <c r="KXI8" s="3418"/>
      <c r="KXJ8" s="3418"/>
      <c r="KXK8" s="3418"/>
      <c r="KXL8" s="3418"/>
      <c r="KXM8" s="3418"/>
      <c r="KXN8" s="3418"/>
      <c r="KXO8" s="3418"/>
      <c r="KXP8" s="3418"/>
      <c r="KXQ8" s="3418"/>
      <c r="KXR8" s="3418"/>
      <c r="KXS8" s="3418"/>
      <c r="KXT8" s="3418"/>
      <c r="KXU8" s="3418"/>
      <c r="KXV8" s="3418"/>
      <c r="KXW8" s="3418"/>
      <c r="KXX8" s="3418"/>
      <c r="KXY8" s="3418"/>
      <c r="KXZ8" s="3418"/>
      <c r="KYA8" s="3418"/>
      <c r="KYB8" s="3418"/>
      <c r="KYC8" s="3418"/>
      <c r="KYD8" s="3418"/>
      <c r="KYE8" s="3418"/>
      <c r="KYF8" s="3418"/>
      <c r="KYG8" s="3418"/>
      <c r="KYH8" s="3418"/>
      <c r="KYI8" s="3418"/>
      <c r="KYJ8" s="3418"/>
      <c r="KYK8" s="3418"/>
      <c r="KYL8" s="3418"/>
      <c r="KYM8" s="3418"/>
      <c r="KYN8" s="3418"/>
      <c r="KYO8" s="3418"/>
      <c r="KYP8" s="3418"/>
      <c r="KYQ8" s="3418"/>
      <c r="KYR8" s="3418"/>
      <c r="KYS8" s="3418"/>
      <c r="KYT8" s="3418"/>
      <c r="KYU8" s="3418"/>
      <c r="KYV8" s="3418"/>
      <c r="KYW8" s="3418"/>
      <c r="KYX8" s="3418"/>
      <c r="KYY8" s="3418"/>
      <c r="KYZ8" s="3418"/>
      <c r="KZA8" s="3418"/>
      <c r="KZB8" s="3418"/>
      <c r="KZC8" s="3418"/>
      <c r="KZD8" s="3418"/>
      <c r="KZE8" s="3418"/>
      <c r="KZF8" s="3418"/>
      <c r="KZG8" s="3418"/>
      <c r="KZH8" s="3418"/>
      <c r="KZI8" s="3418"/>
      <c r="KZJ8" s="3418"/>
      <c r="KZK8" s="3418"/>
      <c r="KZL8" s="3418"/>
      <c r="KZM8" s="3418"/>
      <c r="KZN8" s="3418"/>
      <c r="KZO8" s="3418"/>
      <c r="KZP8" s="3418"/>
      <c r="KZQ8" s="3418"/>
      <c r="KZR8" s="3418"/>
      <c r="KZS8" s="3418"/>
      <c r="KZT8" s="3418"/>
      <c r="KZU8" s="3418"/>
      <c r="KZV8" s="3418"/>
      <c r="KZW8" s="3418"/>
      <c r="KZX8" s="3418"/>
      <c r="KZY8" s="3418"/>
      <c r="KZZ8" s="3418"/>
      <c r="LAA8" s="3418"/>
      <c r="LAB8" s="3418"/>
      <c r="LAC8" s="3418"/>
      <c r="LAD8" s="3418"/>
      <c r="LAE8" s="3418"/>
      <c r="LAF8" s="3418"/>
      <c r="LAG8" s="3418"/>
      <c r="LAH8" s="3418"/>
      <c r="LAI8" s="3418"/>
      <c r="LAJ8" s="3418"/>
      <c r="LAK8" s="3418"/>
      <c r="LAL8" s="3418"/>
      <c r="LAM8" s="3418"/>
      <c r="LAN8" s="3418"/>
      <c r="LAO8" s="3418"/>
      <c r="LAP8" s="3418"/>
      <c r="LAQ8" s="3418"/>
      <c r="LAR8" s="3418"/>
      <c r="LAS8" s="3418"/>
      <c r="LAT8" s="3418"/>
      <c r="LAU8" s="3418"/>
      <c r="LAV8" s="3418"/>
      <c r="LAW8" s="3418"/>
      <c r="LAX8" s="3418"/>
      <c r="LAY8" s="3418"/>
      <c r="LAZ8" s="3418"/>
      <c r="LBA8" s="3418"/>
      <c r="LBB8" s="3418"/>
      <c r="LBC8" s="3418"/>
      <c r="LBD8" s="3418"/>
      <c r="LBE8" s="3418"/>
      <c r="LBF8" s="3418"/>
      <c r="LBG8" s="3418"/>
      <c r="LBH8" s="3418"/>
      <c r="LBI8" s="3418"/>
      <c r="LBJ8" s="3418"/>
      <c r="LBK8" s="3418"/>
      <c r="LBL8" s="3418"/>
      <c r="LBM8" s="3418"/>
      <c r="LBN8" s="3418"/>
      <c r="LBO8" s="3418"/>
      <c r="LBP8" s="3418"/>
      <c r="LBQ8" s="3418"/>
      <c r="LBR8" s="3418"/>
      <c r="LBS8" s="3418"/>
      <c r="LBT8" s="3418"/>
      <c r="LBU8" s="3418"/>
      <c r="LBV8" s="3418"/>
      <c r="LBW8" s="3418"/>
      <c r="LBX8" s="3418"/>
      <c r="LBY8" s="3418"/>
      <c r="LBZ8" s="3418"/>
      <c r="LCA8" s="3418"/>
      <c r="LCB8" s="3418"/>
      <c r="LCC8" s="3418"/>
      <c r="LCD8" s="3418"/>
      <c r="LCE8" s="3418"/>
      <c r="LCF8" s="3418"/>
      <c r="LCG8" s="3418"/>
      <c r="LCH8" s="3418"/>
      <c r="LCI8" s="3418"/>
      <c r="LCJ8" s="3418"/>
      <c r="LCK8" s="3418"/>
      <c r="LCL8" s="3418"/>
      <c r="LCM8" s="3418"/>
      <c r="LCN8" s="3418"/>
      <c r="LCO8" s="3418"/>
      <c r="LCP8" s="3418"/>
      <c r="LCQ8" s="3418"/>
      <c r="LCR8" s="3418"/>
      <c r="LCS8" s="3418"/>
      <c r="LCT8" s="3418"/>
      <c r="LCU8" s="3418"/>
      <c r="LCV8" s="3418"/>
      <c r="LCW8" s="3418"/>
      <c r="LCX8" s="3418"/>
      <c r="LCY8" s="3418"/>
      <c r="LCZ8" s="3418"/>
      <c r="LDA8" s="3418"/>
      <c r="LDB8" s="3418"/>
      <c r="LDC8" s="3418"/>
      <c r="LDD8" s="3418"/>
      <c r="LDE8" s="3418"/>
      <c r="LDF8" s="3418"/>
      <c r="LDG8" s="3418"/>
      <c r="LDH8" s="3418"/>
      <c r="LDI8" s="3418"/>
      <c r="LDJ8" s="3418"/>
      <c r="LDK8" s="3418"/>
      <c r="LDL8" s="3418"/>
      <c r="LDM8" s="3418"/>
      <c r="LDN8" s="3418"/>
      <c r="LDO8" s="3418"/>
      <c r="LDP8" s="3418"/>
      <c r="LDQ8" s="3418"/>
      <c r="LDR8" s="3418"/>
      <c r="LDS8" s="3418"/>
      <c r="LDT8" s="3418"/>
      <c r="LDU8" s="3418"/>
      <c r="LDV8" s="3418"/>
      <c r="LDW8" s="3418"/>
      <c r="LDX8" s="3418"/>
      <c r="LDY8" s="3418"/>
      <c r="LDZ8" s="3418"/>
      <c r="LEA8" s="3418"/>
      <c r="LEB8" s="3418"/>
      <c r="LEC8" s="3418"/>
      <c r="LED8" s="3418"/>
      <c r="LEE8" s="3418"/>
      <c r="LEF8" s="3418"/>
      <c r="LEG8" s="3418"/>
      <c r="LEH8" s="3418"/>
      <c r="LEI8" s="3418"/>
      <c r="LEJ8" s="3418"/>
      <c r="LEK8" s="3418"/>
      <c r="LEL8" s="3418"/>
      <c r="LEM8" s="3418"/>
      <c r="LEN8" s="3418"/>
      <c r="LEO8" s="3418"/>
      <c r="LEP8" s="3418"/>
      <c r="LEQ8" s="3418"/>
      <c r="LER8" s="3418"/>
      <c r="LES8" s="3418"/>
      <c r="LET8" s="3418"/>
      <c r="LEU8" s="3418"/>
      <c r="LEV8" s="3418"/>
      <c r="LEW8" s="3418"/>
      <c r="LEX8" s="3418"/>
      <c r="LEY8" s="3418"/>
      <c r="LEZ8" s="3418"/>
      <c r="LFA8" s="3418"/>
      <c r="LFB8" s="3418"/>
      <c r="LFC8" s="3418"/>
      <c r="LFD8" s="3418"/>
      <c r="LFE8" s="3418"/>
      <c r="LFF8" s="3418"/>
      <c r="LFG8" s="3418"/>
      <c r="LFH8" s="3418"/>
      <c r="LFI8" s="3418"/>
      <c r="LFJ8" s="3418"/>
      <c r="LFK8" s="3418"/>
      <c r="LFL8" s="3418"/>
      <c r="LFM8" s="3418"/>
      <c r="LFN8" s="3418"/>
      <c r="LFO8" s="3418"/>
      <c r="LFP8" s="3418"/>
      <c r="LFQ8" s="3418"/>
      <c r="LFR8" s="3418"/>
      <c r="LFS8" s="3418"/>
      <c r="LFT8" s="3418"/>
      <c r="LFU8" s="3418"/>
      <c r="LFV8" s="3418"/>
      <c r="LFW8" s="3418"/>
      <c r="LFX8" s="3418"/>
      <c r="LFY8" s="3418"/>
      <c r="LFZ8" s="3418"/>
      <c r="LGA8" s="3418"/>
      <c r="LGB8" s="3418"/>
      <c r="LGC8" s="3418"/>
      <c r="LGD8" s="3418"/>
      <c r="LGE8" s="3418"/>
      <c r="LGF8" s="3418"/>
      <c r="LGG8" s="3418"/>
      <c r="LGH8" s="3418"/>
      <c r="LGI8" s="3418"/>
      <c r="LGJ8" s="3418"/>
      <c r="LGK8" s="3418"/>
      <c r="LGL8" s="3418"/>
      <c r="LGM8" s="3418"/>
      <c r="LGN8" s="3418"/>
      <c r="LGO8" s="3418"/>
      <c r="LGP8" s="3418"/>
      <c r="LGQ8" s="3418"/>
      <c r="LGR8" s="3418"/>
      <c r="LGS8" s="3418"/>
      <c r="LGT8" s="3418"/>
      <c r="LGU8" s="3418"/>
      <c r="LGV8" s="3418"/>
      <c r="LGW8" s="3418"/>
      <c r="LGX8" s="3418"/>
      <c r="LGY8" s="3418"/>
      <c r="LGZ8" s="3418"/>
      <c r="LHA8" s="3418"/>
      <c r="LHB8" s="3418"/>
      <c r="LHC8" s="3418"/>
      <c r="LHD8" s="3418"/>
      <c r="LHE8" s="3418"/>
      <c r="LHF8" s="3418"/>
      <c r="LHG8" s="3418"/>
      <c r="LHH8" s="3418"/>
      <c r="LHI8" s="3418"/>
      <c r="LHJ8" s="3418"/>
      <c r="LHK8" s="3418"/>
      <c r="LHL8" s="3418"/>
      <c r="LHM8" s="3418"/>
      <c r="LHN8" s="3418"/>
      <c r="LHO8" s="3418"/>
      <c r="LHP8" s="3418"/>
      <c r="LHQ8" s="3418"/>
      <c r="LHR8" s="3418"/>
      <c r="LHS8" s="3418"/>
      <c r="LHT8" s="3418"/>
      <c r="LHU8" s="3418"/>
      <c r="LHV8" s="3418"/>
      <c r="LHW8" s="3418"/>
      <c r="LHX8" s="3418"/>
      <c r="LHY8" s="3418"/>
      <c r="LHZ8" s="3418"/>
      <c r="LIA8" s="3418"/>
      <c r="LIB8" s="3418"/>
      <c r="LIC8" s="3418"/>
      <c r="LID8" s="3418"/>
      <c r="LIE8" s="3418"/>
      <c r="LIF8" s="3418"/>
      <c r="LIG8" s="3418"/>
      <c r="LIH8" s="3418"/>
      <c r="LII8" s="3418"/>
      <c r="LIJ8" s="3418"/>
      <c r="LIK8" s="3418"/>
      <c r="LIL8" s="3418"/>
      <c r="LIM8" s="3418"/>
      <c r="LIN8" s="3418"/>
      <c r="LIO8" s="3418"/>
      <c r="LIP8" s="3418"/>
      <c r="LIQ8" s="3418"/>
      <c r="LIR8" s="3418"/>
      <c r="LIS8" s="3418"/>
      <c r="LIT8" s="3418"/>
      <c r="LIU8" s="3418"/>
      <c r="LIV8" s="3418"/>
      <c r="LIW8" s="3418"/>
      <c r="LIX8" s="3418"/>
      <c r="LIY8" s="3418"/>
      <c r="LIZ8" s="3418"/>
      <c r="LJA8" s="3418"/>
      <c r="LJB8" s="3418"/>
      <c r="LJC8" s="3418"/>
      <c r="LJD8" s="3418"/>
      <c r="LJE8" s="3418"/>
      <c r="LJF8" s="3418"/>
      <c r="LJG8" s="3418"/>
      <c r="LJH8" s="3418"/>
      <c r="LJI8" s="3418"/>
      <c r="LJJ8" s="3418"/>
      <c r="LJK8" s="3418"/>
      <c r="LJL8" s="3418"/>
      <c r="LJM8" s="3418"/>
      <c r="LJN8" s="3418"/>
      <c r="LJO8" s="3418"/>
      <c r="LJP8" s="3418"/>
      <c r="LJQ8" s="3418"/>
      <c r="LJR8" s="3418"/>
      <c r="LJS8" s="3418"/>
      <c r="LJT8" s="3418"/>
      <c r="LJU8" s="3418"/>
      <c r="LJV8" s="3418"/>
      <c r="LJW8" s="3418"/>
      <c r="LJX8" s="3418"/>
      <c r="LJY8" s="3418"/>
      <c r="LJZ8" s="3418"/>
      <c r="LKA8" s="3418"/>
      <c r="LKB8" s="3418"/>
      <c r="LKC8" s="3418"/>
      <c r="LKD8" s="3418"/>
      <c r="LKE8" s="3418"/>
      <c r="LKF8" s="3418"/>
      <c r="LKG8" s="3418"/>
      <c r="LKH8" s="3418"/>
      <c r="LKI8" s="3418"/>
      <c r="LKJ8" s="3418"/>
      <c r="LKK8" s="3418"/>
      <c r="LKL8" s="3418"/>
      <c r="LKM8" s="3418"/>
      <c r="LKN8" s="3418"/>
      <c r="LKO8" s="3418"/>
      <c r="LKP8" s="3418"/>
      <c r="LKQ8" s="3418"/>
      <c r="LKR8" s="3418"/>
      <c r="LKS8" s="3418"/>
      <c r="LKT8" s="3418"/>
      <c r="LKU8" s="3418"/>
      <c r="LKV8" s="3418"/>
      <c r="LKW8" s="3418"/>
      <c r="LKX8" s="3418"/>
      <c r="LKY8" s="3418"/>
      <c r="LKZ8" s="3418"/>
      <c r="LLA8" s="3418"/>
      <c r="LLB8" s="3418"/>
      <c r="LLC8" s="3418"/>
      <c r="LLD8" s="3418"/>
      <c r="LLE8" s="3418"/>
      <c r="LLF8" s="3418"/>
      <c r="LLG8" s="3418"/>
      <c r="LLH8" s="3418"/>
      <c r="LLI8" s="3418"/>
      <c r="LLJ8" s="3418"/>
      <c r="LLK8" s="3418"/>
      <c r="LLL8" s="3418"/>
      <c r="LLM8" s="3418"/>
      <c r="LLN8" s="3418"/>
      <c r="LLO8" s="3418"/>
      <c r="LLP8" s="3418"/>
      <c r="LLQ8" s="3418"/>
      <c r="LLR8" s="3418"/>
      <c r="LLS8" s="3418"/>
      <c r="LLT8" s="3418"/>
      <c r="LLU8" s="3418"/>
      <c r="LLV8" s="3418"/>
      <c r="LLW8" s="3418"/>
      <c r="LLX8" s="3418"/>
      <c r="LLY8" s="3418"/>
      <c r="LLZ8" s="3418"/>
      <c r="LMA8" s="3418"/>
      <c r="LMB8" s="3418"/>
      <c r="LMC8" s="3418"/>
      <c r="LMD8" s="3418"/>
      <c r="LME8" s="3418"/>
      <c r="LMF8" s="3418"/>
      <c r="LMG8" s="3418"/>
      <c r="LMH8" s="3418"/>
      <c r="LMI8" s="3418"/>
      <c r="LMJ8" s="3418"/>
      <c r="LMK8" s="3418"/>
      <c r="LML8" s="3418"/>
      <c r="LMM8" s="3418"/>
      <c r="LMN8" s="3418"/>
      <c r="LMO8" s="3418"/>
      <c r="LMP8" s="3418"/>
      <c r="LMQ8" s="3418"/>
      <c r="LMR8" s="3418"/>
      <c r="LMS8" s="3418"/>
      <c r="LMT8" s="3418"/>
      <c r="LMU8" s="3418"/>
      <c r="LMV8" s="3418"/>
      <c r="LMW8" s="3418"/>
      <c r="LMX8" s="3418"/>
      <c r="LMY8" s="3418"/>
      <c r="LMZ8" s="3418"/>
      <c r="LNA8" s="3418"/>
      <c r="LNB8" s="3418"/>
      <c r="LNC8" s="3418"/>
      <c r="LND8" s="3418"/>
      <c r="LNE8" s="3418"/>
      <c r="LNF8" s="3418"/>
      <c r="LNG8" s="3418"/>
      <c r="LNH8" s="3418"/>
      <c r="LNI8" s="3418"/>
      <c r="LNJ8" s="3418"/>
      <c r="LNK8" s="3418"/>
      <c r="LNL8" s="3418"/>
      <c r="LNM8" s="3418"/>
      <c r="LNN8" s="3418"/>
      <c r="LNO8" s="3418"/>
      <c r="LNP8" s="3418"/>
      <c r="LNQ8" s="3418"/>
      <c r="LNR8" s="3418"/>
      <c r="LNS8" s="3418"/>
      <c r="LNT8" s="3418"/>
      <c r="LNU8" s="3418"/>
      <c r="LNV8" s="3418"/>
      <c r="LNW8" s="3418"/>
      <c r="LNX8" s="3418"/>
      <c r="LNY8" s="3418"/>
      <c r="LNZ8" s="3418"/>
      <c r="LOA8" s="3418"/>
      <c r="LOB8" s="3418"/>
      <c r="LOC8" s="3418"/>
      <c r="LOD8" s="3418"/>
      <c r="LOE8" s="3418"/>
      <c r="LOF8" s="3418"/>
      <c r="LOG8" s="3418"/>
      <c r="LOH8" s="3418"/>
      <c r="LOI8" s="3418"/>
      <c r="LOJ8" s="3418"/>
      <c r="LOK8" s="3418"/>
      <c r="LOL8" s="3418"/>
      <c r="LOM8" s="3418"/>
      <c r="LON8" s="3418"/>
      <c r="LOO8" s="3418"/>
      <c r="LOP8" s="3418"/>
      <c r="LOQ8" s="3418"/>
      <c r="LOR8" s="3418"/>
      <c r="LOS8" s="3418"/>
      <c r="LOT8" s="3418"/>
      <c r="LOU8" s="3418"/>
      <c r="LOV8" s="3418"/>
      <c r="LOW8" s="3418"/>
      <c r="LOX8" s="3418"/>
      <c r="LOY8" s="3418"/>
      <c r="LOZ8" s="3418"/>
      <c r="LPA8" s="3418"/>
      <c r="LPB8" s="3418"/>
      <c r="LPC8" s="3418"/>
      <c r="LPD8" s="3418"/>
      <c r="LPE8" s="3418"/>
      <c r="LPF8" s="3418"/>
      <c r="LPG8" s="3418"/>
      <c r="LPH8" s="3418"/>
      <c r="LPI8" s="3418"/>
      <c r="LPJ8" s="3418"/>
      <c r="LPK8" s="3418"/>
      <c r="LPL8" s="3418"/>
      <c r="LPM8" s="3418"/>
      <c r="LPN8" s="3418"/>
      <c r="LPO8" s="3418"/>
      <c r="LPP8" s="3418"/>
      <c r="LPQ8" s="3418"/>
      <c r="LPR8" s="3418"/>
      <c r="LPS8" s="3418"/>
      <c r="LPT8" s="3418"/>
      <c r="LPU8" s="3418"/>
      <c r="LPV8" s="3418"/>
      <c r="LPW8" s="3418"/>
      <c r="LPX8" s="3418"/>
      <c r="LPY8" s="3418"/>
      <c r="LPZ8" s="3418"/>
      <c r="LQA8" s="3418"/>
      <c r="LQB8" s="3418"/>
      <c r="LQC8" s="3418"/>
      <c r="LQD8" s="3418"/>
      <c r="LQE8" s="3418"/>
      <c r="LQF8" s="3418"/>
      <c r="LQG8" s="3418"/>
      <c r="LQH8" s="3418"/>
      <c r="LQI8" s="3418"/>
      <c r="LQJ8" s="3418"/>
      <c r="LQK8" s="3418"/>
      <c r="LQL8" s="3418"/>
      <c r="LQM8" s="3418"/>
      <c r="LQN8" s="3418"/>
      <c r="LQO8" s="3418"/>
      <c r="LQP8" s="3418"/>
      <c r="LQQ8" s="3418"/>
      <c r="LQR8" s="3418"/>
      <c r="LQS8" s="3418"/>
      <c r="LQT8" s="3418"/>
      <c r="LQU8" s="3418"/>
      <c r="LQV8" s="3418"/>
      <c r="LQW8" s="3418"/>
      <c r="LQX8" s="3418"/>
      <c r="LQY8" s="3418"/>
      <c r="LQZ8" s="3418"/>
      <c r="LRA8" s="3418"/>
      <c r="LRB8" s="3418"/>
      <c r="LRC8" s="3418"/>
      <c r="LRD8" s="3418"/>
      <c r="LRE8" s="3418"/>
      <c r="LRF8" s="3418"/>
      <c r="LRG8" s="3418"/>
      <c r="LRH8" s="3418"/>
      <c r="LRI8" s="3418"/>
      <c r="LRJ8" s="3418"/>
      <c r="LRK8" s="3418"/>
      <c r="LRL8" s="3418"/>
      <c r="LRM8" s="3418"/>
      <c r="LRN8" s="3418"/>
      <c r="LRO8" s="3418"/>
      <c r="LRP8" s="3418"/>
      <c r="LRQ8" s="3418"/>
      <c r="LRR8" s="3418"/>
      <c r="LRS8" s="3418"/>
      <c r="LRT8" s="3418"/>
      <c r="LRU8" s="3418"/>
      <c r="LRV8" s="3418"/>
      <c r="LRW8" s="3418"/>
      <c r="LRX8" s="3418"/>
      <c r="LRY8" s="3418"/>
      <c r="LRZ8" s="3418"/>
      <c r="LSA8" s="3418"/>
      <c r="LSB8" s="3418"/>
      <c r="LSC8" s="3418"/>
      <c r="LSD8" s="3418"/>
      <c r="LSE8" s="3418"/>
      <c r="LSF8" s="3418"/>
      <c r="LSG8" s="3418"/>
      <c r="LSH8" s="3418"/>
      <c r="LSI8" s="3418"/>
      <c r="LSJ8" s="3418"/>
      <c r="LSK8" s="3418"/>
      <c r="LSL8" s="3418"/>
      <c r="LSM8" s="3418"/>
      <c r="LSN8" s="3418"/>
      <c r="LSO8" s="3418"/>
      <c r="LSP8" s="3418"/>
      <c r="LSQ8" s="3418"/>
      <c r="LSR8" s="3418"/>
      <c r="LSS8" s="3418"/>
      <c r="LST8" s="3418"/>
      <c r="LSU8" s="3418"/>
      <c r="LSV8" s="3418"/>
      <c r="LSW8" s="3418"/>
      <c r="LSX8" s="3418"/>
      <c r="LSY8" s="3418"/>
      <c r="LSZ8" s="3418"/>
      <c r="LTA8" s="3418"/>
      <c r="LTB8" s="3418"/>
      <c r="LTC8" s="3418"/>
      <c r="LTD8" s="3418"/>
      <c r="LTE8" s="3418"/>
      <c r="LTF8" s="3418"/>
      <c r="LTG8" s="3418"/>
      <c r="LTH8" s="3418"/>
      <c r="LTI8" s="3418"/>
      <c r="LTJ8" s="3418"/>
      <c r="LTK8" s="3418"/>
      <c r="LTL8" s="3418"/>
      <c r="LTM8" s="3418"/>
      <c r="LTN8" s="3418"/>
      <c r="LTO8" s="3418"/>
      <c r="LTP8" s="3418"/>
      <c r="LTQ8" s="3418"/>
      <c r="LTR8" s="3418"/>
      <c r="LTS8" s="3418"/>
      <c r="LTT8" s="3418"/>
      <c r="LTU8" s="3418"/>
      <c r="LTV8" s="3418"/>
      <c r="LTW8" s="3418"/>
      <c r="LTX8" s="3418"/>
      <c r="LTY8" s="3418"/>
      <c r="LTZ8" s="3418"/>
      <c r="LUA8" s="3418"/>
      <c r="LUB8" s="3418"/>
      <c r="LUC8" s="3418"/>
      <c r="LUD8" s="3418"/>
      <c r="LUE8" s="3418"/>
      <c r="LUF8" s="3418"/>
      <c r="LUG8" s="3418"/>
      <c r="LUH8" s="3418"/>
      <c r="LUI8" s="3418"/>
      <c r="LUJ8" s="3418"/>
      <c r="LUK8" s="3418"/>
      <c r="LUL8" s="3418"/>
      <c r="LUM8" s="3418"/>
      <c r="LUN8" s="3418"/>
      <c r="LUO8" s="3418"/>
      <c r="LUP8" s="3418"/>
      <c r="LUQ8" s="3418"/>
      <c r="LUR8" s="3418"/>
      <c r="LUS8" s="3418"/>
      <c r="LUT8" s="3418"/>
      <c r="LUU8" s="3418"/>
      <c r="LUV8" s="3418"/>
      <c r="LUW8" s="3418"/>
      <c r="LUX8" s="3418"/>
      <c r="LUY8" s="3418"/>
      <c r="LUZ8" s="3418"/>
      <c r="LVA8" s="3418"/>
      <c r="LVB8" s="3418"/>
      <c r="LVC8" s="3418"/>
      <c r="LVD8" s="3418"/>
      <c r="LVE8" s="3418"/>
      <c r="LVF8" s="3418"/>
      <c r="LVG8" s="3418"/>
      <c r="LVH8" s="3418"/>
      <c r="LVI8" s="3418"/>
      <c r="LVJ8" s="3418"/>
      <c r="LVK8" s="3418"/>
      <c r="LVL8" s="3418"/>
      <c r="LVM8" s="3418"/>
      <c r="LVN8" s="3418"/>
      <c r="LVO8" s="3418"/>
      <c r="LVP8" s="3418"/>
      <c r="LVQ8" s="3418"/>
      <c r="LVR8" s="3418"/>
      <c r="LVS8" s="3418"/>
      <c r="LVT8" s="3418"/>
      <c r="LVU8" s="3418"/>
      <c r="LVV8" s="3418"/>
      <c r="LVW8" s="3418"/>
      <c r="LVX8" s="3418"/>
      <c r="LVY8" s="3418"/>
      <c r="LVZ8" s="3418"/>
      <c r="LWA8" s="3418"/>
      <c r="LWB8" s="3418"/>
      <c r="LWC8" s="3418"/>
      <c r="LWD8" s="3418"/>
      <c r="LWE8" s="3418"/>
      <c r="LWF8" s="3418"/>
      <c r="LWG8" s="3418"/>
      <c r="LWH8" s="3418"/>
      <c r="LWI8" s="3418"/>
      <c r="LWJ8" s="3418"/>
      <c r="LWK8" s="3418"/>
      <c r="LWL8" s="3418"/>
      <c r="LWM8" s="3418"/>
      <c r="LWN8" s="3418"/>
      <c r="LWO8" s="3418"/>
      <c r="LWP8" s="3418"/>
      <c r="LWQ8" s="3418"/>
      <c r="LWR8" s="3418"/>
      <c r="LWS8" s="3418"/>
      <c r="LWT8" s="3418"/>
      <c r="LWU8" s="3418"/>
      <c r="LWV8" s="3418"/>
      <c r="LWW8" s="3418"/>
      <c r="LWX8" s="3418"/>
      <c r="LWY8" s="3418"/>
      <c r="LWZ8" s="3418"/>
      <c r="LXA8" s="3418"/>
      <c r="LXB8" s="3418"/>
      <c r="LXC8" s="3418"/>
      <c r="LXD8" s="3418"/>
      <c r="LXE8" s="3418"/>
      <c r="LXF8" s="3418"/>
      <c r="LXG8" s="3418"/>
      <c r="LXH8" s="3418"/>
      <c r="LXI8" s="3418"/>
      <c r="LXJ8" s="3418"/>
      <c r="LXK8" s="3418"/>
      <c r="LXL8" s="3418"/>
      <c r="LXM8" s="3418"/>
      <c r="LXN8" s="3418"/>
      <c r="LXO8" s="3418"/>
      <c r="LXP8" s="3418"/>
      <c r="LXQ8" s="3418"/>
      <c r="LXR8" s="3418"/>
      <c r="LXS8" s="3418"/>
      <c r="LXT8" s="3418"/>
      <c r="LXU8" s="3418"/>
      <c r="LXV8" s="3418"/>
      <c r="LXW8" s="3418"/>
      <c r="LXX8" s="3418"/>
      <c r="LXY8" s="3418"/>
      <c r="LXZ8" s="3418"/>
      <c r="LYA8" s="3418"/>
      <c r="LYB8" s="3418"/>
      <c r="LYC8" s="3418"/>
      <c r="LYD8" s="3418"/>
      <c r="LYE8" s="3418"/>
      <c r="LYF8" s="3418"/>
      <c r="LYG8" s="3418"/>
      <c r="LYH8" s="3418"/>
      <c r="LYI8" s="3418"/>
      <c r="LYJ8" s="3418"/>
      <c r="LYK8" s="3418"/>
      <c r="LYL8" s="3418"/>
      <c r="LYM8" s="3418"/>
      <c r="LYN8" s="3418"/>
      <c r="LYO8" s="3418"/>
      <c r="LYP8" s="3418"/>
      <c r="LYQ8" s="3418"/>
      <c r="LYR8" s="3418"/>
      <c r="LYS8" s="3418"/>
      <c r="LYT8" s="3418"/>
      <c r="LYU8" s="3418"/>
      <c r="LYV8" s="3418"/>
      <c r="LYW8" s="3418"/>
      <c r="LYX8" s="3418"/>
      <c r="LYY8" s="3418"/>
      <c r="LYZ8" s="3418"/>
      <c r="LZA8" s="3418"/>
      <c r="LZB8" s="3418"/>
      <c r="LZC8" s="3418"/>
      <c r="LZD8" s="3418"/>
      <c r="LZE8" s="3418"/>
      <c r="LZF8" s="3418"/>
      <c r="LZG8" s="3418"/>
      <c r="LZH8" s="3418"/>
      <c r="LZI8" s="3418"/>
      <c r="LZJ8" s="3418"/>
      <c r="LZK8" s="3418"/>
      <c r="LZL8" s="3418"/>
      <c r="LZM8" s="3418"/>
      <c r="LZN8" s="3418"/>
      <c r="LZO8" s="3418"/>
      <c r="LZP8" s="3418"/>
      <c r="LZQ8" s="3418"/>
      <c r="LZR8" s="3418"/>
      <c r="LZS8" s="3418"/>
      <c r="LZT8" s="3418"/>
      <c r="LZU8" s="3418"/>
      <c r="LZV8" s="3418"/>
      <c r="LZW8" s="3418"/>
      <c r="LZX8" s="3418"/>
      <c r="LZY8" s="3418"/>
      <c r="LZZ8" s="3418"/>
      <c r="MAA8" s="3418"/>
      <c r="MAB8" s="3418"/>
      <c r="MAC8" s="3418"/>
      <c r="MAD8" s="3418"/>
      <c r="MAE8" s="3418"/>
      <c r="MAF8" s="3418"/>
      <c r="MAG8" s="3418"/>
      <c r="MAH8" s="3418"/>
      <c r="MAI8" s="3418"/>
      <c r="MAJ8" s="3418"/>
      <c r="MAK8" s="3418"/>
      <c r="MAL8" s="3418"/>
      <c r="MAM8" s="3418"/>
      <c r="MAN8" s="3418"/>
      <c r="MAO8" s="3418"/>
      <c r="MAP8" s="3418"/>
      <c r="MAQ8" s="3418"/>
      <c r="MAR8" s="3418"/>
      <c r="MAS8" s="3418"/>
      <c r="MAT8" s="3418"/>
      <c r="MAU8" s="3418"/>
      <c r="MAV8" s="3418"/>
      <c r="MAW8" s="3418"/>
      <c r="MAX8" s="3418"/>
      <c r="MAY8" s="3418"/>
      <c r="MAZ8" s="3418"/>
      <c r="MBA8" s="3418"/>
      <c r="MBB8" s="3418"/>
      <c r="MBC8" s="3418"/>
      <c r="MBD8" s="3418"/>
      <c r="MBE8" s="3418"/>
      <c r="MBF8" s="3418"/>
      <c r="MBG8" s="3418"/>
      <c r="MBH8" s="3418"/>
      <c r="MBI8" s="3418"/>
      <c r="MBJ8" s="3418"/>
      <c r="MBK8" s="3418"/>
      <c r="MBL8" s="3418"/>
      <c r="MBM8" s="3418"/>
      <c r="MBN8" s="3418"/>
      <c r="MBO8" s="3418"/>
      <c r="MBP8" s="3418"/>
      <c r="MBQ8" s="3418"/>
      <c r="MBR8" s="3418"/>
      <c r="MBS8" s="3418"/>
      <c r="MBT8" s="3418"/>
      <c r="MBU8" s="3418"/>
      <c r="MBV8" s="3418"/>
      <c r="MBW8" s="3418"/>
      <c r="MBX8" s="3418"/>
      <c r="MBY8" s="3418"/>
      <c r="MBZ8" s="3418"/>
      <c r="MCA8" s="3418"/>
      <c r="MCB8" s="3418"/>
      <c r="MCC8" s="3418"/>
      <c r="MCD8" s="3418"/>
      <c r="MCE8" s="3418"/>
      <c r="MCF8" s="3418"/>
      <c r="MCG8" s="3418"/>
      <c r="MCH8" s="3418"/>
      <c r="MCI8" s="3418"/>
      <c r="MCJ8" s="3418"/>
      <c r="MCK8" s="3418"/>
      <c r="MCL8" s="3418"/>
      <c r="MCM8" s="3418"/>
      <c r="MCN8" s="3418"/>
      <c r="MCO8" s="3418"/>
      <c r="MCP8" s="3418"/>
      <c r="MCQ8" s="3418"/>
      <c r="MCR8" s="3418"/>
      <c r="MCS8" s="3418"/>
      <c r="MCT8" s="3418"/>
      <c r="MCU8" s="3418"/>
      <c r="MCV8" s="3418"/>
      <c r="MCW8" s="3418"/>
      <c r="MCX8" s="3418"/>
      <c r="MCY8" s="3418"/>
      <c r="MCZ8" s="3418"/>
      <c r="MDA8" s="3418"/>
      <c r="MDB8" s="3418"/>
      <c r="MDC8" s="3418"/>
      <c r="MDD8" s="3418"/>
      <c r="MDE8" s="3418"/>
      <c r="MDF8" s="3418"/>
      <c r="MDG8" s="3418"/>
      <c r="MDH8" s="3418"/>
      <c r="MDI8" s="3418"/>
      <c r="MDJ8" s="3418"/>
      <c r="MDK8" s="3418"/>
      <c r="MDL8" s="3418"/>
      <c r="MDM8" s="3418"/>
      <c r="MDN8" s="3418"/>
      <c r="MDO8" s="3418"/>
      <c r="MDP8" s="3418"/>
      <c r="MDQ8" s="3418"/>
      <c r="MDR8" s="3418"/>
      <c r="MDS8" s="3418"/>
      <c r="MDT8" s="3418"/>
      <c r="MDU8" s="3418"/>
      <c r="MDV8" s="3418"/>
      <c r="MDW8" s="3418"/>
      <c r="MDX8" s="3418"/>
      <c r="MDY8" s="3418"/>
      <c r="MDZ8" s="3418"/>
      <c r="MEA8" s="3418"/>
      <c r="MEB8" s="3418"/>
      <c r="MEC8" s="3418"/>
      <c r="MED8" s="3418"/>
      <c r="MEE8" s="3418"/>
      <c r="MEF8" s="3418"/>
      <c r="MEG8" s="3418"/>
      <c r="MEH8" s="3418"/>
      <c r="MEI8" s="3418"/>
      <c r="MEJ8" s="3418"/>
      <c r="MEK8" s="3418"/>
      <c r="MEL8" s="3418"/>
      <c r="MEM8" s="3418"/>
      <c r="MEN8" s="3418"/>
      <c r="MEO8" s="3418"/>
      <c r="MEP8" s="3418"/>
      <c r="MEQ8" s="3418"/>
      <c r="MER8" s="3418"/>
      <c r="MES8" s="3418"/>
      <c r="MET8" s="3418"/>
      <c r="MEU8" s="3418"/>
      <c r="MEV8" s="3418"/>
      <c r="MEW8" s="3418"/>
      <c r="MEX8" s="3418"/>
      <c r="MEY8" s="3418"/>
      <c r="MEZ8" s="3418"/>
      <c r="MFA8" s="3418"/>
      <c r="MFB8" s="3418"/>
      <c r="MFC8" s="3418"/>
      <c r="MFD8" s="3418"/>
      <c r="MFE8" s="3418"/>
      <c r="MFF8" s="3418"/>
      <c r="MFG8" s="3418"/>
      <c r="MFH8" s="3418"/>
      <c r="MFI8" s="3418"/>
      <c r="MFJ8" s="3418"/>
      <c r="MFK8" s="3418"/>
      <c r="MFL8" s="3418"/>
      <c r="MFM8" s="3418"/>
      <c r="MFN8" s="3418"/>
      <c r="MFO8" s="3418"/>
      <c r="MFP8" s="3418"/>
      <c r="MFQ8" s="3418"/>
      <c r="MFR8" s="3418"/>
      <c r="MFS8" s="3418"/>
      <c r="MFT8" s="3418"/>
      <c r="MFU8" s="3418"/>
      <c r="MFV8" s="3418"/>
      <c r="MFW8" s="3418"/>
      <c r="MFX8" s="3418"/>
      <c r="MFY8" s="3418"/>
      <c r="MFZ8" s="3418"/>
      <c r="MGA8" s="3418"/>
      <c r="MGB8" s="3418"/>
      <c r="MGC8" s="3418"/>
      <c r="MGD8" s="3418"/>
      <c r="MGE8" s="3418"/>
      <c r="MGF8" s="3418"/>
      <c r="MGG8" s="3418"/>
      <c r="MGH8" s="3418"/>
      <c r="MGI8" s="3418"/>
      <c r="MGJ8" s="3418"/>
      <c r="MGK8" s="3418"/>
      <c r="MGL8" s="3418"/>
      <c r="MGM8" s="3418"/>
      <c r="MGN8" s="3418"/>
      <c r="MGO8" s="3418"/>
      <c r="MGP8" s="3418"/>
      <c r="MGQ8" s="3418"/>
      <c r="MGR8" s="3418"/>
      <c r="MGS8" s="3418"/>
      <c r="MGT8" s="3418"/>
      <c r="MGU8" s="3418"/>
      <c r="MGV8" s="3418"/>
      <c r="MGW8" s="3418"/>
      <c r="MGX8" s="3418"/>
      <c r="MGY8" s="3418"/>
      <c r="MGZ8" s="3418"/>
      <c r="MHA8" s="3418"/>
      <c r="MHB8" s="3418"/>
      <c r="MHC8" s="3418"/>
      <c r="MHD8" s="3418"/>
      <c r="MHE8" s="3418"/>
      <c r="MHF8" s="3418"/>
      <c r="MHG8" s="3418"/>
      <c r="MHH8" s="3418"/>
      <c r="MHI8" s="3418"/>
      <c r="MHJ8" s="3418"/>
      <c r="MHK8" s="3418"/>
      <c r="MHL8" s="3418"/>
      <c r="MHM8" s="3418"/>
      <c r="MHN8" s="3418"/>
      <c r="MHO8" s="3418"/>
      <c r="MHP8" s="3418"/>
      <c r="MHQ8" s="3418"/>
      <c r="MHR8" s="3418"/>
      <c r="MHS8" s="3418"/>
      <c r="MHT8" s="3418"/>
      <c r="MHU8" s="3418"/>
      <c r="MHV8" s="3418"/>
      <c r="MHW8" s="3418"/>
      <c r="MHX8" s="3418"/>
      <c r="MHY8" s="3418"/>
      <c r="MHZ8" s="3418"/>
      <c r="MIA8" s="3418"/>
      <c r="MIB8" s="3418"/>
      <c r="MIC8" s="3418"/>
      <c r="MID8" s="3418"/>
      <c r="MIE8" s="3418"/>
      <c r="MIF8" s="3418"/>
      <c r="MIG8" s="3418"/>
      <c r="MIH8" s="3418"/>
      <c r="MII8" s="3418"/>
      <c r="MIJ8" s="3418"/>
      <c r="MIK8" s="3418"/>
      <c r="MIL8" s="3418"/>
      <c r="MIM8" s="3418"/>
      <c r="MIN8" s="3418"/>
      <c r="MIO8" s="3418"/>
      <c r="MIP8" s="3418"/>
      <c r="MIQ8" s="3418"/>
      <c r="MIR8" s="3418"/>
      <c r="MIS8" s="3418"/>
      <c r="MIT8" s="3418"/>
      <c r="MIU8" s="3418"/>
      <c r="MIV8" s="3418"/>
      <c r="MIW8" s="3418"/>
      <c r="MIX8" s="3418"/>
      <c r="MIY8" s="3418"/>
      <c r="MIZ8" s="3418"/>
      <c r="MJA8" s="3418"/>
      <c r="MJB8" s="3418"/>
      <c r="MJC8" s="3418"/>
      <c r="MJD8" s="3418"/>
      <c r="MJE8" s="3418"/>
      <c r="MJF8" s="3418"/>
      <c r="MJG8" s="3418"/>
      <c r="MJH8" s="3418"/>
      <c r="MJI8" s="3418"/>
      <c r="MJJ8" s="3418"/>
      <c r="MJK8" s="3418"/>
      <c r="MJL8" s="3418"/>
      <c r="MJM8" s="3418"/>
      <c r="MJN8" s="3418"/>
      <c r="MJO8" s="3418"/>
      <c r="MJP8" s="3418"/>
      <c r="MJQ8" s="3418"/>
      <c r="MJR8" s="3418"/>
      <c r="MJS8" s="3418"/>
      <c r="MJT8" s="3418"/>
      <c r="MJU8" s="3418"/>
      <c r="MJV8" s="3418"/>
      <c r="MJW8" s="3418"/>
      <c r="MJX8" s="3418"/>
      <c r="MJY8" s="3418"/>
      <c r="MJZ8" s="3418"/>
      <c r="MKA8" s="3418"/>
      <c r="MKB8" s="3418"/>
      <c r="MKC8" s="3418"/>
      <c r="MKD8" s="3418"/>
      <c r="MKE8" s="3418"/>
      <c r="MKF8" s="3418"/>
      <c r="MKG8" s="3418"/>
      <c r="MKH8" s="3418"/>
      <c r="MKI8" s="3418"/>
      <c r="MKJ8" s="3418"/>
      <c r="MKK8" s="3418"/>
      <c r="MKL8" s="3418"/>
      <c r="MKM8" s="3418"/>
      <c r="MKN8" s="3418"/>
      <c r="MKO8" s="3418"/>
      <c r="MKP8" s="3418"/>
      <c r="MKQ8" s="3418"/>
      <c r="MKR8" s="3418"/>
      <c r="MKS8" s="3418"/>
      <c r="MKT8" s="3418"/>
      <c r="MKU8" s="3418"/>
      <c r="MKV8" s="3418"/>
      <c r="MKW8" s="3418"/>
      <c r="MKX8" s="3418"/>
      <c r="MKY8" s="3418"/>
      <c r="MKZ8" s="3418"/>
      <c r="MLA8" s="3418"/>
      <c r="MLB8" s="3418"/>
      <c r="MLC8" s="3418"/>
      <c r="MLD8" s="3418"/>
      <c r="MLE8" s="3418"/>
      <c r="MLF8" s="3418"/>
      <c r="MLG8" s="3418"/>
      <c r="MLH8" s="3418"/>
      <c r="MLI8" s="3418"/>
      <c r="MLJ8" s="3418"/>
      <c r="MLK8" s="3418"/>
      <c r="MLL8" s="3418"/>
      <c r="MLM8" s="3418"/>
      <c r="MLN8" s="3418"/>
      <c r="MLO8" s="3418"/>
      <c r="MLP8" s="3418"/>
      <c r="MLQ8" s="3418"/>
      <c r="MLR8" s="3418"/>
      <c r="MLS8" s="3418"/>
      <c r="MLT8" s="3418"/>
      <c r="MLU8" s="3418"/>
      <c r="MLV8" s="3418"/>
      <c r="MLW8" s="3418"/>
      <c r="MLX8" s="3418"/>
      <c r="MLY8" s="3418"/>
      <c r="MLZ8" s="3418"/>
      <c r="MMA8" s="3418"/>
      <c r="MMB8" s="3418"/>
      <c r="MMC8" s="3418"/>
      <c r="MMD8" s="3418"/>
      <c r="MME8" s="3418"/>
      <c r="MMF8" s="3418"/>
      <c r="MMG8" s="3418"/>
      <c r="MMH8" s="3418"/>
      <c r="MMI8" s="3418"/>
      <c r="MMJ8" s="3418"/>
      <c r="MMK8" s="3418"/>
      <c r="MML8" s="3418"/>
      <c r="MMM8" s="3418"/>
      <c r="MMN8" s="3418"/>
      <c r="MMO8" s="3418"/>
      <c r="MMP8" s="3418"/>
      <c r="MMQ8" s="3418"/>
      <c r="MMR8" s="3418"/>
      <c r="MMS8" s="3418"/>
      <c r="MMT8" s="3418"/>
      <c r="MMU8" s="3418"/>
      <c r="MMV8" s="3418"/>
      <c r="MMW8" s="3418"/>
      <c r="MMX8" s="3418"/>
      <c r="MMY8" s="3418"/>
      <c r="MMZ8" s="3418"/>
      <c r="MNA8" s="3418"/>
      <c r="MNB8" s="3418"/>
      <c r="MNC8" s="3418"/>
      <c r="MND8" s="3418"/>
      <c r="MNE8" s="3418"/>
      <c r="MNF8" s="3418"/>
      <c r="MNG8" s="3418"/>
      <c r="MNH8" s="3418"/>
      <c r="MNI8" s="3418"/>
      <c r="MNJ8" s="3418"/>
      <c r="MNK8" s="3418"/>
      <c r="MNL8" s="3418"/>
      <c r="MNM8" s="3418"/>
      <c r="MNN8" s="3418"/>
      <c r="MNO8" s="3418"/>
      <c r="MNP8" s="3418"/>
      <c r="MNQ8" s="3418"/>
      <c r="MNR8" s="3418"/>
      <c r="MNS8" s="3418"/>
      <c r="MNT8" s="3418"/>
      <c r="MNU8" s="3418"/>
      <c r="MNV8" s="3418"/>
      <c r="MNW8" s="3418"/>
      <c r="MNX8" s="3418"/>
      <c r="MNY8" s="3418"/>
      <c r="MNZ8" s="3418"/>
      <c r="MOA8" s="3418"/>
      <c r="MOB8" s="3418"/>
      <c r="MOC8" s="3418"/>
      <c r="MOD8" s="3418"/>
      <c r="MOE8" s="3418"/>
      <c r="MOF8" s="3418"/>
      <c r="MOG8" s="3418"/>
      <c r="MOH8" s="3418"/>
      <c r="MOI8" s="3418"/>
      <c r="MOJ8" s="3418"/>
      <c r="MOK8" s="3418"/>
      <c r="MOL8" s="3418"/>
      <c r="MOM8" s="3418"/>
      <c r="MON8" s="3418"/>
      <c r="MOO8" s="3418"/>
      <c r="MOP8" s="3418"/>
      <c r="MOQ8" s="3418"/>
      <c r="MOR8" s="3418"/>
      <c r="MOS8" s="3418"/>
      <c r="MOT8" s="3418"/>
      <c r="MOU8" s="3418"/>
      <c r="MOV8" s="3418"/>
      <c r="MOW8" s="3418"/>
      <c r="MOX8" s="3418"/>
      <c r="MOY8" s="3418"/>
      <c r="MOZ8" s="3418"/>
      <c r="MPA8" s="3418"/>
      <c r="MPB8" s="3418"/>
      <c r="MPC8" s="3418"/>
      <c r="MPD8" s="3418"/>
      <c r="MPE8" s="3418"/>
      <c r="MPF8" s="3418"/>
      <c r="MPG8" s="3418"/>
      <c r="MPH8" s="3418"/>
      <c r="MPI8" s="3418"/>
      <c r="MPJ8" s="3418"/>
      <c r="MPK8" s="3418"/>
      <c r="MPL8" s="3418"/>
      <c r="MPM8" s="3418"/>
      <c r="MPN8" s="3418"/>
      <c r="MPO8" s="3418"/>
      <c r="MPP8" s="3418"/>
      <c r="MPQ8" s="3418"/>
      <c r="MPR8" s="3418"/>
      <c r="MPS8" s="3418"/>
      <c r="MPT8" s="3418"/>
      <c r="MPU8" s="3418"/>
      <c r="MPV8" s="3418"/>
      <c r="MPW8" s="3418"/>
      <c r="MPX8" s="3418"/>
      <c r="MPY8" s="3418"/>
      <c r="MPZ8" s="3418"/>
      <c r="MQA8" s="3418"/>
      <c r="MQB8" s="3418"/>
      <c r="MQC8" s="3418"/>
      <c r="MQD8" s="3418"/>
      <c r="MQE8" s="3418"/>
      <c r="MQF8" s="3418"/>
      <c r="MQG8" s="3418"/>
      <c r="MQH8" s="3418"/>
      <c r="MQI8" s="3418"/>
      <c r="MQJ8" s="3418"/>
      <c r="MQK8" s="3418"/>
      <c r="MQL8" s="3418"/>
      <c r="MQM8" s="3418"/>
      <c r="MQN8" s="3418"/>
      <c r="MQO8" s="3418"/>
      <c r="MQP8" s="3418"/>
      <c r="MQQ8" s="3418"/>
      <c r="MQR8" s="3418"/>
      <c r="MQS8" s="3418"/>
      <c r="MQT8" s="3418"/>
      <c r="MQU8" s="3418"/>
      <c r="MQV8" s="3418"/>
      <c r="MQW8" s="3418"/>
      <c r="MQX8" s="3418"/>
      <c r="MQY8" s="3418"/>
      <c r="MQZ8" s="3418"/>
      <c r="MRA8" s="3418"/>
      <c r="MRB8" s="3418"/>
      <c r="MRC8" s="3418"/>
      <c r="MRD8" s="3418"/>
      <c r="MRE8" s="3418"/>
      <c r="MRF8" s="3418"/>
      <c r="MRG8" s="3418"/>
      <c r="MRH8" s="3418"/>
      <c r="MRI8" s="3418"/>
      <c r="MRJ8" s="3418"/>
      <c r="MRK8" s="3418"/>
      <c r="MRL8" s="3418"/>
      <c r="MRM8" s="3418"/>
      <c r="MRN8" s="3418"/>
      <c r="MRO8" s="3418"/>
      <c r="MRP8" s="3418"/>
      <c r="MRQ8" s="3418"/>
      <c r="MRR8" s="3418"/>
      <c r="MRS8" s="3418"/>
      <c r="MRT8" s="3418"/>
      <c r="MRU8" s="3418"/>
      <c r="MRV8" s="3418"/>
      <c r="MRW8" s="3418"/>
      <c r="MRX8" s="3418"/>
      <c r="MRY8" s="3418"/>
      <c r="MRZ8" s="3418"/>
      <c r="MSA8" s="3418"/>
      <c r="MSB8" s="3418"/>
      <c r="MSC8" s="3418"/>
      <c r="MSD8" s="3418"/>
      <c r="MSE8" s="3418"/>
      <c r="MSF8" s="3418"/>
      <c r="MSG8" s="3418"/>
      <c r="MSH8" s="3418"/>
      <c r="MSI8" s="3418"/>
      <c r="MSJ8" s="3418"/>
      <c r="MSK8" s="3418"/>
      <c r="MSL8" s="3418"/>
      <c r="MSM8" s="3418"/>
      <c r="MSN8" s="3418"/>
      <c r="MSO8" s="3418"/>
      <c r="MSP8" s="3418"/>
      <c r="MSQ8" s="3418"/>
      <c r="MSR8" s="3418"/>
      <c r="MSS8" s="3418"/>
      <c r="MST8" s="3418"/>
      <c r="MSU8" s="3418"/>
      <c r="MSV8" s="3418"/>
      <c r="MSW8" s="3418"/>
      <c r="MSX8" s="3418"/>
      <c r="MSY8" s="3418"/>
      <c r="MSZ8" s="3418"/>
      <c r="MTA8" s="3418"/>
      <c r="MTB8" s="3418"/>
      <c r="MTC8" s="3418"/>
      <c r="MTD8" s="3418"/>
      <c r="MTE8" s="3418"/>
      <c r="MTF8" s="3418"/>
      <c r="MTG8" s="3418"/>
      <c r="MTH8" s="3418"/>
      <c r="MTI8" s="3418"/>
      <c r="MTJ8" s="3418"/>
      <c r="MTK8" s="3418"/>
      <c r="MTL8" s="3418"/>
      <c r="MTM8" s="3418"/>
      <c r="MTN8" s="3418"/>
      <c r="MTO8" s="3418"/>
      <c r="MTP8" s="3418"/>
      <c r="MTQ8" s="3418"/>
      <c r="MTR8" s="3418"/>
      <c r="MTS8" s="3418"/>
      <c r="MTT8" s="3418"/>
      <c r="MTU8" s="3418"/>
      <c r="MTV8" s="3418"/>
      <c r="MTW8" s="3418"/>
      <c r="MTX8" s="3418"/>
      <c r="MTY8" s="3418"/>
      <c r="MTZ8" s="3418"/>
      <c r="MUA8" s="3418"/>
      <c r="MUB8" s="3418"/>
      <c r="MUC8" s="3418"/>
      <c r="MUD8" s="3418"/>
      <c r="MUE8" s="3418"/>
      <c r="MUF8" s="3418"/>
      <c r="MUG8" s="3418"/>
      <c r="MUH8" s="3418"/>
      <c r="MUI8" s="3418"/>
      <c r="MUJ8" s="3418"/>
      <c r="MUK8" s="3418"/>
      <c r="MUL8" s="3418"/>
      <c r="MUM8" s="3418"/>
      <c r="MUN8" s="3418"/>
      <c r="MUO8" s="3418"/>
      <c r="MUP8" s="3418"/>
      <c r="MUQ8" s="3418"/>
      <c r="MUR8" s="3418"/>
      <c r="MUS8" s="3418"/>
      <c r="MUT8" s="3418"/>
      <c r="MUU8" s="3418"/>
      <c r="MUV8" s="3418"/>
      <c r="MUW8" s="3418"/>
      <c r="MUX8" s="3418"/>
      <c r="MUY8" s="3418"/>
      <c r="MUZ8" s="3418"/>
      <c r="MVA8" s="3418"/>
      <c r="MVB8" s="3418"/>
      <c r="MVC8" s="3418"/>
      <c r="MVD8" s="3418"/>
      <c r="MVE8" s="3418"/>
      <c r="MVF8" s="3418"/>
      <c r="MVG8" s="3418"/>
      <c r="MVH8" s="3418"/>
      <c r="MVI8" s="3418"/>
      <c r="MVJ8" s="3418"/>
      <c r="MVK8" s="3418"/>
      <c r="MVL8" s="3418"/>
      <c r="MVM8" s="3418"/>
      <c r="MVN8" s="3418"/>
      <c r="MVO8" s="3418"/>
      <c r="MVP8" s="3418"/>
      <c r="MVQ8" s="3418"/>
      <c r="MVR8" s="3418"/>
      <c r="MVS8" s="3418"/>
      <c r="MVT8" s="3418"/>
      <c r="MVU8" s="3418"/>
      <c r="MVV8" s="3418"/>
      <c r="MVW8" s="3418"/>
      <c r="MVX8" s="3418"/>
      <c r="MVY8" s="3418"/>
      <c r="MVZ8" s="3418"/>
      <c r="MWA8" s="3418"/>
      <c r="MWB8" s="3418"/>
      <c r="MWC8" s="3418"/>
      <c r="MWD8" s="3418"/>
      <c r="MWE8" s="3418"/>
      <c r="MWF8" s="3418"/>
      <c r="MWG8" s="3418"/>
      <c r="MWH8" s="3418"/>
      <c r="MWI8" s="3418"/>
      <c r="MWJ8" s="3418"/>
      <c r="MWK8" s="3418"/>
      <c r="MWL8" s="3418"/>
      <c r="MWM8" s="3418"/>
      <c r="MWN8" s="3418"/>
      <c r="MWO8" s="3418"/>
      <c r="MWP8" s="3418"/>
      <c r="MWQ8" s="3418"/>
      <c r="MWR8" s="3418"/>
      <c r="MWS8" s="3418"/>
      <c r="MWT8" s="3418"/>
      <c r="MWU8" s="3418"/>
      <c r="MWV8" s="3418"/>
      <c r="MWW8" s="3418"/>
      <c r="MWX8" s="3418"/>
      <c r="MWY8" s="3418"/>
      <c r="MWZ8" s="3418"/>
      <c r="MXA8" s="3418"/>
      <c r="MXB8" s="3418"/>
      <c r="MXC8" s="3418"/>
      <c r="MXD8" s="3418"/>
      <c r="MXE8" s="3418"/>
      <c r="MXF8" s="3418"/>
      <c r="MXG8" s="3418"/>
      <c r="MXH8" s="3418"/>
      <c r="MXI8" s="3418"/>
      <c r="MXJ8" s="3418"/>
      <c r="MXK8" s="3418"/>
      <c r="MXL8" s="3418"/>
      <c r="MXM8" s="3418"/>
      <c r="MXN8" s="3418"/>
      <c r="MXO8" s="3418"/>
      <c r="MXP8" s="3418"/>
      <c r="MXQ8" s="3418"/>
      <c r="MXR8" s="3418"/>
      <c r="MXS8" s="3418"/>
      <c r="MXT8" s="3418"/>
      <c r="MXU8" s="3418"/>
      <c r="MXV8" s="3418"/>
      <c r="MXW8" s="3418"/>
      <c r="MXX8" s="3418"/>
      <c r="MXY8" s="3418"/>
      <c r="MXZ8" s="3418"/>
      <c r="MYA8" s="3418"/>
      <c r="MYB8" s="3418"/>
      <c r="MYC8" s="3418"/>
      <c r="MYD8" s="3418"/>
      <c r="MYE8" s="3418"/>
      <c r="MYF8" s="3418"/>
      <c r="MYG8" s="3418"/>
      <c r="MYH8" s="3418"/>
      <c r="MYI8" s="3418"/>
      <c r="MYJ8" s="3418"/>
      <c r="MYK8" s="3418"/>
      <c r="MYL8" s="3418"/>
      <c r="MYM8" s="3418"/>
      <c r="MYN8" s="3418"/>
      <c r="MYO8" s="3418"/>
      <c r="MYP8" s="3418"/>
      <c r="MYQ8" s="3418"/>
      <c r="MYR8" s="3418"/>
      <c r="MYS8" s="3418"/>
      <c r="MYT8" s="3418"/>
      <c r="MYU8" s="3418"/>
      <c r="MYV8" s="3418"/>
      <c r="MYW8" s="3418"/>
      <c r="MYX8" s="3418"/>
      <c r="MYY8" s="3418"/>
      <c r="MYZ8" s="3418"/>
      <c r="MZA8" s="3418"/>
      <c r="MZB8" s="3418"/>
      <c r="MZC8" s="3418"/>
      <c r="MZD8" s="3418"/>
      <c r="MZE8" s="3418"/>
      <c r="MZF8" s="3418"/>
      <c r="MZG8" s="3418"/>
      <c r="MZH8" s="3418"/>
      <c r="MZI8" s="3418"/>
      <c r="MZJ8" s="3418"/>
      <c r="MZK8" s="3418"/>
      <c r="MZL8" s="3418"/>
      <c r="MZM8" s="3418"/>
      <c r="MZN8" s="3418"/>
      <c r="MZO8" s="3418"/>
      <c r="MZP8" s="3418"/>
      <c r="MZQ8" s="3418"/>
      <c r="MZR8" s="3418"/>
      <c r="MZS8" s="3418"/>
      <c r="MZT8" s="3418"/>
      <c r="MZU8" s="3418"/>
      <c r="MZV8" s="3418"/>
      <c r="MZW8" s="3418"/>
      <c r="MZX8" s="3418"/>
      <c r="MZY8" s="3418"/>
      <c r="MZZ8" s="3418"/>
      <c r="NAA8" s="3418"/>
      <c r="NAB8" s="3418"/>
      <c r="NAC8" s="3418"/>
      <c r="NAD8" s="3418"/>
      <c r="NAE8" s="3418"/>
      <c r="NAF8" s="3418"/>
      <c r="NAG8" s="3418"/>
      <c r="NAH8" s="3418"/>
      <c r="NAI8" s="3418"/>
      <c r="NAJ8" s="3418"/>
      <c r="NAK8" s="3418"/>
      <c r="NAL8" s="3418"/>
      <c r="NAM8" s="3418"/>
      <c r="NAN8" s="3418"/>
      <c r="NAO8" s="3418"/>
      <c r="NAP8" s="3418"/>
      <c r="NAQ8" s="3418"/>
      <c r="NAR8" s="3418"/>
      <c r="NAS8" s="3418"/>
      <c r="NAT8" s="3418"/>
      <c r="NAU8" s="3418"/>
      <c r="NAV8" s="3418"/>
      <c r="NAW8" s="3418"/>
      <c r="NAX8" s="3418"/>
      <c r="NAY8" s="3418"/>
      <c r="NAZ8" s="3418"/>
      <c r="NBA8" s="3418"/>
      <c r="NBB8" s="3418"/>
      <c r="NBC8" s="3418"/>
      <c r="NBD8" s="3418"/>
      <c r="NBE8" s="3418"/>
      <c r="NBF8" s="3418"/>
      <c r="NBG8" s="3418"/>
      <c r="NBH8" s="3418"/>
      <c r="NBI8" s="3418"/>
      <c r="NBJ8" s="3418"/>
      <c r="NBK8" s="3418"/>
      <c r="NBL8" s="3418"/>
      <c r="NBM8" s="3418"/>
      <c r="NBN8" s="3418"/>
      <c r="NBO8" s="3418"/>
      <c r="NBP8" s="3418"/>
      <c r="NBQ8" s="3418"/>
      <c r="NBR8" s="3418"/>
      <c r="NBS8" s="3418"/>
      <c r="NBT8" s="3418"/>
      <c r="NBU8" s="3418"/>
      <c r="NBV8" s="3418"/>
      <c r="NBW8" s="3418"/>
      <c r="NBX8" s="3418"/>
      <c r="NBY8" s="3418"/>
      <c r="NBZ8" s="3418"/>
      <c r="NCA8" s="3418"/>
      <c r="NCB8" s="3418"/>
      <c r="NCC8" s="3418"/>
      <c r="NCD8" s="3418"/>
      <c r="NCE8" s="3418"/>
      <c r="NCF8" s="3418"/>
      <c r="NCG8" s="3418"/>
      <c r="NCH8" s="3418"/>
      <c r="NCI8" s="3418"/>
      <c r="NCJ8" s="3418"/>
      <c r="NCK8" s="3418"/>
      <c r="NCL8" s="3418"/>
      <c r="NCM8" s="3418"/>
      <c r="NCN8" s="3418"/>
      <c r="NCO8" s="3418"/>
      <c r="NCP8" s="3418"/>
      <c r="NCQ8" s="3418"/>
      <c r="NCR8" s="3418"/>
      <c r="NCS8" s="3418"/>
      <c r="NCT8" s="3418"/>
      <c r="NCU8" s="3418"/>
      <c r="NCV8" s="3418"/>
      <c r="NCW8" s="3418"/>
      <c r="NCX8" s="3418"/>
      <c r="NCY8" s="3418"/>
      <c r="NCZ8" s="3418"/>
      <c r="NDA8" s="3418"/>
      <c r="NDB8" s="3418"/>
      <c r="NDC8" s="3418"/>
      <c r="NDD8" s="3418"/>
      <c r="NDE8" s="3418"/>
      <c r="NDF8" s="3418"/>
      <c r="NDG8" s="3418"/>
      <c r="NDH8" s="3418"/>
      <c r="NDI8" s="3418"/>
      <c r="NDJ8" s="3418"/>
      <c r="NDK8" s="3418"/>
      <c r="NDL8" s="3418"/>
      <c r="NDM8" s="3418"/>
      <c r="NDN8" s="3418"/>
      <c r="NDO8" s="3418"/>
      <c r="NDP8" s="3418"/>
      <c r="NDQ8" s="3418"/>
      <c r="NDR8" s="3418"/>
      <c r="NDS8" s="3418"/>
      <c r="NDT8" s="3418"/>
      <c r="NDU8" s="3418"/>
      <c r="NDV8" s="3418"/>
      <c r="NDW8" s="3418"/>
      <c r="NDX8" s="3418"/>
      <c r="NDY8" s="3418"/>
      <c r="NDZ8" s="3418"/>
      <c r="NEA8" s="3418"/>
      <c r="NEB8" s="3418"/>
      <c r="NEC8" s="3418"/>
      <c r="NED8" s="3418"/>
      <c r="NEE8" s="3418"/>
      <c r="NEF8" s="3418"/>
      <c r="NEG8" s="3418"/>
      <c r="NEH8" s="3418"/>
      <c r="NEI8" s="3418"/>
      <c r="NEJ8" s="3418"/>
      <c r="NEK8" s="3418"/>
      <c r="NEL8" s="3418"/>
      <c r="NEM8" s="3418"/>
      <c r="NEN8" s="3418"/>
      <c r="NEO8" s="3418"/>
      <c r="NEP8" s="3418"/>
      <c r="NEQ8" s="3418"/>
      <c r="NER8" s="3418"/>
      <c r="NES8" s="3418"/>
      <c r="NET8" s="3418"/>
      <c r="NEU8" s="3418"/>
      <c r="NEV8" s="3418"/>
      <c r="NEW8" s="3418"/>
      <c r="NEX8" s="3418"/>
      <c r="NEY8" s="3418"/>
      <c r="NEZ8" s="3418"/>
      <c r="NFA8" s="3418"/>
      <c r="NFB8" s="3418"/>
      <c r="NFC8" s="3418"/>
      <c r="NFD8" s="3418"/>
      <c r="NFE8" s="3418"/>
      <c r="NFF8" s="3418"/>
      <c r="NFG8" s="3418"/>
      <c r="NFH8" s="3418"/>
      <c r="NFI8" s="3418"/>
      <c r="NFJ8" s="3418"/>
      <c r="NFK8" s="3418"/>
      <c r="NFL8" s="3418"/>
      <c r="NFM8" s="3418"/>
      <c r="NFN8" s="3418"/>
      <c r="NFO8" s="3418"/>
      <c r="NFP8" s="3418"/>
      <c r="NFQ8" s="3418"/>
      <c r="NFR8" s="3418"/>
      <c r="NFS8" s="3418"/>
      <c r="NFT8" s="3418"/>
      <c r="NFU8" s="3418"/>
      <c r="NFV8" s="3418"/>
      <c r="NFW8" s="3418"/>
      <c r="NFX8" s="3418"/>
      <c r="NFY8" s="3418"/>
      <c r="NFZ8" s="3418"/>
      <c r="NGA8" s="3418"/>
      <c r="NGB8" s="3418"/>
      <c r="NGC8" s="3418"/>
      <c r="NGD8" s="3418"/>
      <c r="NGE8" s="3418"/>
      <c r="NGF8" s="3418"/>
      <c r="NGG8" s="3418"/>
      <c r="NGH8" s="3418"/>
      <c r="NGI8" s="3418"/>
      <c r="NGJ8" s="3418"/>
      <c r="NGK8" s="3418"/>
      <c r="NGL8" s="3418"/>
      <c r="NGM8" s="3418"/>
      <c r="NGN8" s="3418"/>
      <c r="NGO8" s="3418"/>
      <c r="NGP8" s="3418"/>
      <c r="NGQ8" s="3418"/>
      <c r="NGR8" s="3418"/>
      <c r="NGS8" s="3418"/>
      <c r="NGT8" s="3418"/>
      <c r="NGU8" s="3418"/>
      <c r="NGV8" s="3418"/>
      <c r="NGW8" s="3418"/>
      <c r="NGX8" s="3418"/>
      <c r="NGY8" s="3418"/>
      <c r="NGZ8" s="3418"/>
      <c r="NHA8" s="3418"/>
      <c r="NHB8" s="3418"/>
      <c r="NHC8" s="3418"/>
      <c r="NHD8" s="3418"/>
      <c r="NHE8" s="3418"/>
      <c r="NHF8" s="3418"/>
      <c r="NHG8" s="3418"/>
      <c r="NHH8" s="3418"/>
      <c r="NHI8" s="3418"/>
      <c r="NHJ8" s="3418"/>
      <c r="NHK8" s="3418"/>
      <c r="NHL8" s="3418"/>
      <c r="NHM8" s="3418"/>
      <c r="NHN8" s="3418"/>
      <c r="NHO8" s="3418"/>
      <c r="NHP8" s="3418"/>
      <c r="NHQ8" s="3418"/>
      <c r="NHR8" s="3418"/>
      <c r="NHS8" s="3418"/>
      <c r="NHT8" s="3418"/>
      <c r="NHU8" s="3418"/>
      <c r="NHV8" s="3418"/>
      <c r="NHW8" s="3418"/>
      <c r="NHX8" s="3418"/>
      <c r="NHY8" s="3418"/>
      <c r="NHZ8" s="3418"/>
      <c r="NIA8" s="3418"/>
      <c r="NIB8" s="3418"/>
      <c r="NIC8" s="3418"/>
      <c r="NID8" s="3418"/>
      <c r="NIE8" s="3418"/>
      <c r="NIF8" s="3418"/>
      <c r="NIG8" s="3418"/>
      <c r="NIH8" s="3418"/>
      <c r="NII8" s="3418"/>
      <c r="NIJ8" s="3418"/>
      <c r="NIK8" s="3418"/>
      <c r="NIL8" s="3418"/>
      <c r="NIM8" s="3418"/>
      <c r="NIN8" s="3418"/>
      <c r="NIO8" s="3418"/>
      <c r="NIP8" s="3418"/>
      <c r="NIQ8" s="3418"/>
      <c r="NIR8" s="3418"/>
      <c r="NIS8" s="3418"/>
      <c r="NIT8" s="3418"/>
      <c r="NIU8" s="3418"/>
      <c r="NIV8" s="3418"/>
      <c r="NIW8" s="3418"/>
      <c r="NIX8" s="3418"/>
      <c r="NIY8" s="3418"/>
      <c r="NIZ8" s="3418"/>
      <c r="NJA8" s="3418"/>
      <c r="NJB8" s="3418"/>
      <c r="NJC8" s="3418"/>
      <c r="NJD8" s="3418"/>
      <c r="NJE8" s="3418"/>
      <c r="NJF8" s="3418"/>
      <c r="NJG8" s="3418"/>
      <c r="NJH8" s="3418"/>
      <c r="NJI8" s="3418"/>
      <c r="NJJ8" s="3418"/>
      <c r="NJK8" s="3418"/>
      <c r="NJL8" s="3418"/>
      <c r="NJM8" s="3418"/>
      <c r="NJN8" s="3418"/>
      <c r="NJO8" s="3418"/>
      <c r="NJP8" s="3418"/>
      <c r="NJQ8" s="3418"/>
      <c r="NJR8" s="3418"/>
      <c r="NJS8" s="3418"/>
      <c r="NJT8" s="3418"/>
      <c r="NJU8" s="3418"/>
      <c r="NJV8" s="3418"/>
      <c r="NJW8" s="3418"/>
      <c r="NJX8" s="3418"/>
      <c r="NJY8" s="3418"/>
      <c r="NJZ8" s="3418"/>
      <c r="NKA8" s="3418"/>
      <c r="NKB8" s="3418"/>
      <c r="NKC8" s="3418"/>
      <c r="NKD8" s="3418"/>
      <c r="NKE8" s="3418"/>
      <c r="NKF8" s="3418"/>
      <c r="NKG8" s="3418"/>
      <c r="NKH8" s="3418"/>
      <c r="NKI8" s="3418"/>
      <c r="NKJ8" s="3418"/>
      <c r="NKK8" s="3418"/>
      <c r="NKL8" s="3418"/>
      <c r="NKM8" s="3418"/>
      <c r="NKN8" s="3418"/>
      <c r="NKO8" s="3418"/>
      <c r="NKP8" s="3418"/>
      <c r="NKQ8" s="3418"/>
      <c r="NKR8" s="3418"/>
      <c r="NKS8" s="3418"/>
      <c r="NKT8" s="3418"/>
      <c r="NKU8" s="3418"/>
      <c r="NKV8" s="3418"/>
      <c r="NKW8" s="3418"/>
      <c r="NKX8" s="3418"/>
      <c r="NKY8" s="3418"/>
      <c r="NKZ8" s="3418"/>
      <c r="NLA8" s="3418"/>
      <c r="NLB8" s="3418"/>
      <c r="NLC8" s="3418"/>
      <c r="NLD8" s="3418"/>
      <c r="NLE8" s="3418"/>
      <c r="NLF8" s="3418"/>
      <c r="NLG8" s="3418"/>
      <c r="NLH8" s="3418"/>
      <c r="NLI8" s="3418"/>
      <c r="NLJ8" s="3418"/>
      <c r="NLK8" s="3418"/>
      <c r="NLL8" s="3418"/>
      <c r="NLM8" s="3418"/>
      <c r="NLN8" s="3418"/>
      <c r="NLO8" s="3418"/>
      <c r="NLP8" s="3418"/>
      <c r="NLQ8" s="3418"/>
      <c r="NLR8" s="3418"/>
      <c r="NLS8" s="3418"/>
      <c r="NLT8" s="3418"/>
      <c r="NLU8" s="3418"/>
      <c r="NLV8" s="3418"/>
      <c r="NLW8" s="3418"/>
      <c r="NLX8" s="3418"/>
      <c r="NLY8" s="3418"/>
      <c r="NLZ8" s="3418"/>
      <c r="NMA8" s="3418"/>
      <c r="NMB8" s="3418"/>
      <c r="NMC8" s="3418"/>
      <c r="NMD8" s="3418"/>
      <c r="NME8" s="3418"/>
      <c r="NMF8" s="3418"/>
      <c r="NMG8" s="3418"/>
      <c r="NMH8" s="3418"/>
      <c r="NMI8" s="3418"/>
      <c r="NMJ8" s="3418"/>
      <c r="NMK8" s="3418"/>
      <c r="NML8" s="3418"/>
      <c r="NMM8" s="3418"/>
      <c r="NMN8" s="3418"/>
      <c r="NMO8" s="3418"/>
      <c r="NMP8" s="3418"/>
      <c r="NMQ8" s="3418"/>
      <c r="NMR8" s="3418"/>
      <c r="NMS8" s="3418"/>
      <c r="NMT8" s="3418"/>
      <c r="NMU8" s="3418"/>
      <c r="NMV8" s="3418"/>
      <c r="NMW8" s="3418"/>
      <c r="NMX8" s="3418"/>
      <c r="NMY8" s="3418"/>
      <c r="NMZ8" s="3418"/>
      <c r="NNA8" s="3418"/>
      <c r="NNB8" s="3418"/>
      <c r="NNC8" s="3418"/>
      <c r="NND8" s="3418"/>
      <c r="NNE8" s="3418"/>
      <c r="NNF8" s="3418"/>
      <c r="NNG8" s="3418"/>
      <c r="NNH8" s="3418"/>
      <c r="NNI8" s="3418"/>
      <c r="NNJ8" s="3418"/>
      <c r="NNK8" s="3418"/>
      <c r="NNL8" s="3418"/>
      <c r="NNM8" s="3418"/>
      <c r="NNN8" s="3418"/>
      <c r="NNO8" s="3418"/>
      <c r="NNP8" s="3418"/>
      <c r="NNQ8" s="3418"/>
      <c r="NNR8" s="3418"/>
      <c r="NNS8" s="3418"/>
      <c r="NNT8" s="3418"/>
      <c r="NNU8" s="3418"/>
      <c r="NNV8" s="3418"/>
      <c r="NNW8" s="3418"/>
      <c r="NNX8" s="3418"/>
      <c r="NNY8" s="3418"/>
      <c r="NNZ8" s="3418"/>
      <c r="NOA8" s="3418"/>
      <c r="NOB8" s="3418"/>
      <c r="NOC8" s="3418"/>
      <c r="NOD8" s="3418"/>
      <c r="NOE8" s="3418"/>
      <c r="NOF8" s="3418"/>
      <c r="NOG8" s="3418"/>
      <c r="NOH8" s="3418"/>
      <c r="NOI8" s="3418"/>
      <c r="NOJ8" s="3418"/>
      <c r="NOK8" s="3418"/>
      <c r="NOL8" s="3418"/>
      <c r="NOM8" s="3418"/>
      <c r="NON8" s="3418"/>
      <c r="NOO8" s="3418"/>
      <c r="NOP8" s="3418"/>
      <c r="NOQ8" s="3418"/>
      <c r="NOR8" s="3418"/>
      <c r="NOS8" s="3418"/>
      <c r="NOT8" s="3418"/>
      <c r="NOU8" s="3418"/>
      <c r="NOV8" s="3418"/>
      <c r="NOW8" s="3418"/>
      <c r="NOX8" s="3418"/>
      <c r="NOY8" s="3418"/>
      <c r="NOZ8" s="3418"/>
      <c r="NPA8" s="3418"/>
      <c r="NPB8" s="3418"/>
      <c r="NPC8" s="3418"/>
      <c r="NPD8" s="3418"/>
      <c r="NPE8" s="3418"/>
      <c r="NPF8" s="3418"/>
      <c r="NPG8" s="3418"/>
      <c r="NPH8" s="3418"/>
      <c r="NPI8" s="3418"/>
      <c r="NPJ8" s="3418"/>
      <c r="NPK8" s="3418"/>
      <c r="NPL8" s="3418"/>
      <c r="NPM8" s="3418"/>
      <c r="NPN8" s="3418"/>
      <c r="NPO8" s="3418"/>
      <c r="NPP8" s="3418"/>
      <c r="NPQ8" s="3418"/>
      <c r="NPR8" s="3418"/>
      <c r="NPS8" s="3418"/>
      <c r="NPT8" s="3418"/>
      <c r="NPU8" s="3418"/>
      <c r="NPV8" s="3418"/>
      <c r="NPW8" s="3418"/>
      <c r="NPX8" s="3418"/>
      <c r="NPY8" s="3418"/>
      <c r="NPZ8" s="3418"/>
      <c r="NQA8" s="3418"/>
      <c r="NQB8" s="3418"/>
      <c r="NQC8" s="3418"/>
      <c r="NQD8" s="3418"/>
      <c r="NQE8" s="3418"/>
      <c r="NQF8" s="3418"/>
      <c r="NQG8" s="3418"/>
      <c r="NQH8" s="3418"/>
      <c r="NQI8" s="3418"/>
      <c r="NQJ8" s="3418"/>
      <c r="NQK8" s="3418"/>
      <c r="NQL8" s="3418"/>
      <c r="NQM8" s="3418"/>
      <c r="NQN8" s="3418"/>
      <c r="NQO8" s="3418"/>
      <c r="NQP8" s="3418"/>
      <c r="NQQ8" s="3418"/>
      <c r="NQR8" s="3418"/>
      <c r="NQS8" s="3418"/>
      <c r="NQT8" s="3418"/>
      <c r="NQU8" s="3418"/>
      <c r="NQV8" s="3418"/>
      <c r="NQW8" s="3418"/>
      <c r="NQX8" s="3418"/>
      <c r="NQY8" s="3418"/>
      <c r="NQZ8" s="3418"/>
      <c r="NRA8" s="3418"/>
      <c r="NRB8" s="3418"/>
      <c r="NRC8" s="3418"/>
      <c r="NRD8" s="3418"/>
      <c r="NRE8" s="3418"/>
      <c r="NRF8" s="3418"/>
      <c r="NRG8" s="3418"/>
      <c r="NRH8" s="3418"/>
      <c r="NRI8" s="3418"/>
      <c r="NRJ8" s="3418"/>
      <c r="NRK8" s="3418"/>
      <c r="NRL8" s="3418"/>
      <c r="NRM8" s="3418"/>
      <c r="NRN8" s="3418"/>
      <c r="NRO8" s="3418"/>
      <c r="NRP8" s="3418"/>
      <c r="NRQ8" s="3418"/>
      <c r="NRR8" s="3418"/>
      <c r="NRS8" s="3418"/>
      <c r="NRT8" s="3418"/>
      <c r="NRU8" s="3418"/>
      <c r="NRV8" s="3418"/>
      <c r="NRW8" s="3418"/>
      <c r="NRX8" s="3418"/>
      <c r="NRY8" s="3418"/>
      <c r="NRZ8" s="3418"/>
      <c r="NSA8" s="3418"/>
      <c r="NSB8" s="3418"/>
      <c r="NSC8" s="3418"/>
      <c r="NSD8" s="3418"/>
      <c r="NSE8" s="3418"/>
      <c r="NSF8" s="3418"/>
      <c r="NSG8" s="3418"/>
      <c r="NSH8" s="3418"/>
      <c r="NSI8" s="3418"/>
      <c r="NSJ8" s="3418"/>
      <c r="NSK8" s="3418"/>
      <c r="NSL8" s="3418"/>
      <c r="NSM8" s="3418"/>
      <c r="NSN8" s="3418"/>
      <c r="NSO8" s="3418"/>
      <c r="NSP8" s="3418"/>
      <c r="NSQ8" s="3418"/>
      <c r="NSR8" s="3418"/>
      <c r="NSS8" s="3418"/>
      <c r="NST8" s="3418"/>
      <c r="NSU8" s="3418"/>
      <c r="NSV8" s="3418"/>
      <c r="NSW8" s="3418"/>
      <c r="NSX8" s="3418"/>
      <c r="NSY8" s="3418"/>
      <c r="NSZ8" s="3418"/>
      <c r="NTA8" s="3418"/>
      <c r="NTB8" s="3418"/>
      <c r="NTC8" s="3418"/>
      <c r="NTD8" s="3418"/>
      <c r="NTE8" s="3418"/>
      <c r="NTF8" s="3418"/>
      <c r="NTG8" s="3418"/>
      <c r="NTH8" s="3418"/>
      <c r="NTI8" s="3418"/>
      <c r="NTJ8" s="3418"/>
      <c r="NTK8" s="3418"/>
      <c r="NTL8" s="3418"/>
      <c r="NTM8" s="3418"/>
      <c r="NTN8" s="3418"/>
      <c r="NTO8" s="3418"/>
      <c r="NTP8" s="3418"/>
      <c r="NTQ8" s="3418"/>
      <c r="NTR8" s="3418"/>
      <c r="NTS8" s="3418"/>
      <c r="NTT8" s="3418"/>
      <c r="NTU8" s="3418"/>
      <c r="NTV8" s="3418"/>
      <c r="NTW8" s="3418"/>
      <c r="NTX8" s="3418"/>
      <c r="NTY8" s="3418"/>
      <c r="NTZ8" s="3418"/>
      <c r="NUA8" s="3418"/>
      <c r="NUB8" s="3418"/>
      <c r="NUC8" s="3418"/>
      <c r="NUD8" s="3418"/>
      <c r="NUE8" s="3418"/>
      <c r="NUF8" s="3418"/>
      <c r="NUG8" s="3418"/>
      <c r="NUH8" s="3418"/>
      <c r="NUI8" s="3418"/>
      <c r="NUJ8" s="3418"/>
      <c r="NUK8" s="3418"/>
      <c r="NUL8" s="3418"/>
      <c r="NUM8" s="3418"/>
      <c r="NUN8" s="3418"/>
      <c r="NUO8" s="3418"/>
      <c r="NUP8" s="3418"/>
      <c r="NUQ8" s="3418"/>
      <c r="NUR8" s="3418"/>
      <c r="NUS8" s="3418"/>
      <c r="NUT8" s="3418"/>
      <c r="NUU8" s="3418"/>
      <c r="NUV8" s="3418"/>
      <c r="NUW8" s="3418"/>
      <c r="NUX8" s="3418"/>
      <c r="NUY8" s="3418"/>
      <c r="NUZ8" s="3418"/>
      <c r="NVA8" s="3418"/>
      <c r="NVB8" s="3418"/>
      <c r="NVC8" s="3418"/>
      <c r="NVD8" s="3418"/>
      <c r="NVE8" s="3418"/>
      <c r="NVF8" s="3418"/>
      <c r="NVG8" s="3418"/>
      <c r="NVH8" s="3418"/>
      <c r="NVI8" s="3418"/>
      <c r="NVJ8" s="3418"/>
      <c r="NVK8" s="3418"/>
      <c r="NVL8" s="3418"/>
      <c r="NVM8" s="3418"/>
      <c r="NVN8" s="3418"/>
      <c r="NVO8" s="3418"/>
      <c r="NVP8" s="3418"/>
      <c r="NVQ8" s="3418"/>
      <c r="NVR8" s="3418"/>
      <c r="NVS8" s="3418"/>
      <c r="NVT8" s="3418"/>
      <c r="NVU8" s="3418"/>
      <c r="NVV8" s="3418"/>
      <c r="NVW8" s="3418"/>
      <c r="NVX8" s="3418"/>
      <c r="NVY8" s="3418"/>
      <c r="NVZ8" s="3418"/>
      <c r="NWA8" s="3418"/>
      <c r="NWB8" s="3418"/>
      <c r="NWC8" s="3418"/>
      <c r="NWD8" s="3418"/>
      <c r="NWE8" s="3418"/>
      <c r="NWF8" s="3418"/>
      <c r="NWG8" s="3418"/>
      <c r="NWH8" s="3418"/>
      <c r="NWI8" s="3418"/>
      <c r="NWJ8" s="3418"/>
      <c r="NWK8" s="3418"/>
      <c r="NWL8" s="3418"/>
      <c r="NWM8" s="3418"/>
      <c r="NWN8" s="3418"/>
      <c r="NWO8" s="3418"/>
      <c r="NWP8" s="3418"/>
      <c r="NWQ8" s="3418"/>
      <c r="NWR8" s="3418"/>
      <c r="NWS8" s="3418"/>
      <c r="NWT8" s="3418"/>
      <c r="NWU8" s="3418"/>
      <c r="NWV8" s="3418"/>
      <c r="NWW8" s="3418"/>
      <c r="NWX8" s="3418"/>
      <c r="NWY8" s="3418"/>
      <c r="NWZ8" s="3418"/>
      <c r="NXA8" s="3418"/>
      <c r="NXB8" s="3418"/>
      <c r="NXC8" s="3418"/>
      <c r="NXD8" s="3418"/>
      <c r="NXE8" s="3418"/>
      <c r="NXF8" s="3418"/>
      <c r="NXG8" s="3418"/>
      <c r="NXH8" s="3418"/>
      <c r="NXI8" s="3418"/>
      <c r="NXJ8" s="3418"/>
      <c r="NXK8" s="3418"/>
      <c r="NXL8" s="3418"/>
      <c r="NXM8" s="3418"/>
      <c r="NXN8" s="3418"/>
      <c r="NXO8" s="3418"/>
      <c r="NXP8" s="3418"/>
      <c r="NXQ8" s="3418"/>
      <c r="NXR8" s="3418"/>
      <c r="NXS8" s="3418"/>
      <c r="NXT8" s="3418"/>
      <c r="NXU8" s="3418"/>
      <c r="NXV8" s="3418"/>
      <c r="NXW8" s="3418"/>
      <c r="NXX8" s="3418"/>
      <c r="NXY8" s="3418"/>
      <c r="NXZ8" s="3418"/>
      <c r="NYA8" s="3418"/>
      <c r="NYB8" s="3418"/>
      <c r="NYC8" s="3418"/>
      <c r="NYD8" s="3418"/>
      <c r="NYE8" s="3418"/>
      <c r="NYF8" s="3418"/>
      <c r="NYG8" s="3418"/>
      <c r="NYH8" s="3418"/>
      <c r="NYI8" s="3418"/>
      <c r="NYJ8" s="3418"/>
      <c r="NYK8" s="3418"/>
      <c r="NYL8" s="3418"/>
      <c r="NYM8" s="3418"/>
      <c r="NYN8" s="3418"/>
      <c r="NYO8" s="3418"/>
      <c r="NYP8" s="3418"/>
      <c r="NYQ8" s="3418"/>
      <c r="NYR8" s="3418"/>
      <c r="NYS8" s="3418"/>
      <c r="NYT8" s="3418"/>
      <c r="NYU8" s="3418"/>
      <c r="NYV8" s="3418"/>
      <c r="NYW8" s="3418"/>
      <c r="NYX8" s="3418"/>
      <c r="NYY8" s="3418"/>
      <c r="NYZ8" s="3418"/>
      <c r="NZA8" s="3418"/>
      <c r="NZB8" s="3418"/>
      <c r="NZC8" s="3418"/>
      <c r="NZD8" s="3418"/>
      <c r="NZE8" s="3418"/>
      <c r="NZF8" s="3418"/>
      <c r="NZG8" s="3418"/>
      <c r="NZH8" s="3418"/>
      <c r="NZI8" s="3418"/>
      <c r="NZJ8" s="3418"/>
      <c r="NZK8" s="3418"/>
      <c r="NZL8" s="3418"/>
      <c r="NZM8" s="3418"/>
      <c r="NZN8" s="3418"/>
      <c r="NZO8" s="3418"/>
      <c r="NZP8" s="3418"/>
      <c r="NZQ8" s="3418"/>
      <c r="NZR8" s="3418"/>
      <c r="NZS8" s="3418"/>
      <c r="NZT8" s="3418"/>
      <c r="NZU8" s="3418"/>
      <c r="NZV8" s="3418"/>
      <c r="NZW8" s="3418"/>
      <c r="NZX8" s="3418"/>
      <c r="NZY8" s="3418"/>
      <c r="NZZ8" s="3418"/>
      <c r="OAA8" s="3418"/>
      <c r="OAB8" s="3418"/>
      <c r="OAC8" s="3418"/>
      <c r="OAD8" s="3418"/>
      <c r="OAE8" s="3418"/>
      <c r="OAF8" s="3418"/>
      <c r="OAG8" s="3418"/>
      <c r="OAH8" s="3418"/>
      <c r="OAI8" s="3418"/>
      <c r="OAJ8" s="3418"/>
      <c r="OAK8" s="3418"/>
      <c r="OAL8" s="3418"/>
      <c r="OAM8" s="3418"/>
      <c r="OAN8" s="3418"/>
      <c r="OAO8" s="3418"/>
      <c r="OAP8" s="3418"/>
      <c r="OAQ8" s="3418"/>
      <c r="OAR8" s="3418"/>
      <c r="OAS8" s="3418"/>
      <c r="OAT8" s="3418"/>
      <c r="OAU8" s="3418"/>
      <c r="OAV8" s="3418"/>
      <c r="OAW8" s="3418"/>
      <c r="OAX8" s="3418"/>
      <c r="OAY8" s="3418"/>
      <c r="OAZ8" s="3418"/>
      <c r="OBA8" s="3418"/>
      <c r="OBB8" s="3418"/>
      <c r="OBC8" s="3418"/>
      <c r="OBD8" s="3418"/>
      <c r="OBE8" s="3418"/>
      <c r="OBF8" s="3418"/>
      <c r="OBG8" s="3418"/>
      <c r="OBH8" s="3418"/>
      <c r="OBI8" s="3418"/>
      <c r="OBJ8" s="3418"/>
      <c r="OBK8" s="3418"/>
      <c r="OBL8" s="3418"/>
      <c r="OBM8" s="3418"/>
      <c r="OBN8" s="3418"/>
      <c r="OBO8" s="3418"/>
      <c r="OBP8" s="3418"/>
      <c r="OBQ8" s="3418"/>
      <c r="OBR8" s="3418"/>
      <c r="OBS8" s="3418"/>
      <c r="OBT8" s="3418"/>
      <c r="OBU8" s="3418"/>
      <c r="OBV8" s="3418"/>
      <c r="OBW8" s="3418"/>
      <c r="OBX8" s="3418"/>
      <c r="OBY8" s="3418"/>
      <c r="OBZ8" s="3418"/>
      <c r="OCA8" s="3418"/>
      <c r="OCB8" s="3418"/>
      <c r="OCC8" s="3418"/>
      <c r="OCD8" s="3418"/>
      <c r="OCE8" s="3418"/>
      <c r="OCF8" s="3418"/>
      <c r="OCG8" s="3418"/>
      <c r="OCH8" s="3418"/>
      <c r="OCI8" s="3418"/>
      <c r="OCJ8" s="3418"/>
      <c r="OCK8" s="3418"/>
      <c r="OCL8" s="3418"/>
      <c r="OCM8" s="3418"/>
      <c r="OCN8" s="3418"/>
      <c r="OCO8" s="3418"/>
      <c r="OCP8" s="3418"/>
      <c r="OCQ8" s="3418"/>
      <c r="OCR8" s="3418"/>
      <c r="OCS8" s="3418"/>
      <c r="OCT8" s="3418"/>
      <c r="OCU8" s="3418"/>
      <c r="OCV8" s="3418"/>
      <c r="OCW8" s="3418"/>
      <c r="OCX8" s="3418"/>
      <c r="OCY8" s="3418"/>
      <c r="OCZ8" s="3418"/>
      <c r="ODA8" s="3418"/>
      <c r="ODB8" s="3418"/>
      <c r="ODC8" s="3418"/>
      <c r="ODD8" s="3418"/>
      <c r="ODE8" s="3418"/>
      <c r="ODF8" s="3418"/>
      <c r="ODG8" s="3418"/>
      <c r="ODH8" s="3418"/>
      <c r="ODI8" s="3418"/>
      <c r="ODJ8" s="3418"/>
      <c r="ODK8" s="3418"/>
      <c r="ODL8" s="3418"/>
      <c r="ODM8" s="3418"/>
      <c r="ODN8" s="3418"/>
      <c r="ODO8" s="3418"/>
      <c r="ODP8" s="3418"/>
      <c r="ODQ8" s="3418"/>
      <c r="ODR8" s="3418"/>
      <c r="ODS8" s="3418"/>
      <c r="ODT8" s="3418"/>
      <c r="ODU8" s="3418"/>
      <c r="ODV8" s="3418"/>
      <c r="ODW8" s="3418"/>
      <c r="ODX8" s="3418"/>
      <c r="ODY8" s="3418"/>
      <c r="ODZ8" s="3418"/>
      <c r="OEA8" s="3418"/>
      <c r="OEB8" s="3418"/>
      <c r="OEC8" s="3418"/>
      <c r="OED8" s="3418"/>
      <c r="OEE8" s="3418"/>
      <c r="OEF8" s="3418"/>
      <c r="OEG8" s="3418"/>
      <c r="OEH8" s="3418"/>
      <c r="OEI8" s="3418"/>
      <c r="OEJ8" s="3418"/>
      <c r="OEK8" s="3418"/>
      <c r="OEL8" s="3418"/>
      <c r="OEM8" s="3418"/>
      <c r="OEN8" s="3418"/>
      <c r="OEO8" s="3418"/>
      <c r="OEP8" s="3418"/>
      <c r="OEQ8" s="3418"/>
      <c r="OER8" s="3418"/>
      <c r="OES8" s="3418"/>
      <c r="OET8" s="3418"/>
      <c r="OEU8" s="3418"/>
      <c r="OEV8" s="3418"/>
      <c r="OEW8" s="3418"/>
      <c r="OEX8" s="3418"/>
      <c r="OEY8" s="3418"/>
      <c r="OEZ8" s="3418"/>
      <c r="OFA8" s="3418"/>
      <c r="OFB8" s="3418"/>
      <c r="OFC8" s="3418"/>
      <c r="OFD8" s="3418"/>
      <c r="OFE8" s="3418"/>
      <c r="OFF8" s="3418"/>
      <c r="OFG8" s="3418"/>
      <c r="OFH8" s="3418"/>
      <c r="OFI8" s="3418"/>
      <c r="OFJ8" s="3418"/>
      <c r="OFK8" s="3418"/>
      <c r="OFL8" s="3418"/>
      <c r="OFM8" s="3418"/>
      <c r="OFN8" s="3418"/>
      <c r="OFO8" s="3418"/>
      <c r="OFP8" s="3418"/>
      <c r="OFQ8" s="3418"/>
      <c r="OFR8" s="3418"/>
      <c r="OFS8" s="3418"/>
      <c r="OFT8" s="3418"/>
      <c r="OFU8" s="3418"/>
      <c r="OFV8" s="3418"/>
      <c r="OFW8" s="3418"/>
      <c r="OFX8" s="3418"/>
      <c r="OFY8" s="3418"/>
      <c r="OFZ8" s="3418"/>
      <c r="OGA8" s="3418"/>
      <c r="OGB8" s="3418"/>
      <c r="OGC8" s="3418"/>
      <c r="OGD8" s="3418"/>
      <c r="OGE8" s="3418"/>
      <c r="OGF8" s="3418"/>
      <c r="OGG8" s="3418"/>
      <c r="OGH8" s="3418"/>
      <c r="OGI8" s="3418"/>
      <c r="OGJ8" s="3418"/>
      <c r="OGK8" s="3418"/>
      <c r="OGL8" s="3418"/>
      <c r="OGM8" s="3418"/>
      <c r="OGN8" s="3418"/>
      <c r="OGO8" s="3418"/>
      <c r="OGP8" s="3418"/>
      <c r="OGQ8" s="3418"/>
      <c r="OGR8" s="3418"/>
      <c r="OGS8" s="3418"/>
      <c r="OGT8" s="3418"/>
      <c r="OGU8" s="3418"/>
      <c r="OGV8" s="3418"/>
      <c r="OGW8" s="3418"/>
      <c r="OGX8" s="3418"/>
      <c r="OGY8" s="3418"/>
      <c r="OGZ8" s="3418"/>
      <c r="OHA8" s="3418"/>
      <c r="OHB8" s="3418"/>
      <c r="OHC8" s="3418"/>
      <c r="OHD8" s="3418"/>
      <c r="OHE8" s="3418"/>
      <c r="OHF8" s="3418"/>
      <c r="OHG8" s="3418"/>
      <c r="OHH8" s="3418"/>
      <c r="OHI8" s="3418"/>
      <c r="OHJ8" s="3418"/>
      <c r="OHK8" s="3418"/>
      <c r="OHL8" s="3418"/>
      <c r="OHM8" s="3418"/>
      <c r="OHN8" s="3418"/>
      <c r="OHO8" s="3418"/>
      <c r="OHP8" s="3418"/>
      <c r="OHQ8" s="3418"/>
      <c r="OHR8" s="3418"/>
      <c r="OHS8" s="3418"/>
      <c r="OHT8" s="3418"/>
      <c r="OHU8" s="3418"/>
      <c r="OHV8" s="3418"/>
      <c r="OHW8" s="3418"/>
      <c r="OHX8" s="3418"/>
      <c r="OHY8" s="3418"/>
      <c r="OHZ8" s="3418"/>
      <c r="OIA8" s="3418"/>
      <c r="OIB8" s="3418"/>
      <c r="OIC8" s="3418"/>
      <c r="OID8" s="3418"/>
      <c r="OIE8" s="3418"/>
      <c r="OIF8" s="3418"/>
      <c r="OIG8" s="3418"/>
      <c r="OIH8" s="3418"/>
      <c r="OII8" s="3418"/>
      <c r="OIJ8" s="3418"/>
      <c r="OIK8" s="3418"/>
      <c r="OIL8" s="3418"/>
      <c r="OIM8" s="3418"/>
      <c r="OIN8" s="3418"/>
      <c r="OIO8" s="3418"/>
      <c r="OIP8" s="3418"/>
      <c r="OIQ8" s="3418"/>
      <c r="OIR8" s="3418"/>
      <c r="OIS8" s="3418"/>
      <c r="OIT8" s="3418"/>
      <c r="OIU8" s="3418"/>
      <c r="OIV8" s="3418"/>
      <c r="OIW8" s="3418"/>
      <c r="OIX8" s="3418"/>
      <c r="OIY8" s="3418"/>
      <c r="OIZ8" s="3418"/>
      <c r="OJA8" s="3418"/>
      <c r="OJB8" s="3418"/>
      <c r="OJC8" s="3418"/>
      <c r="OJD8" s="3418"/>
      <c r="OJE8" s="3418"/>
      <c r="OJF8" s="3418"/>
      <c r="OJG8" s="3418"/>
      <c r="OJH8" s="3418"/>
      <c r="OJI8" s="3418"/>
      <c r="OJJ8" s="3418"/>
      <c r="OJK8" s="3418"/>
      <c r="OJL8" s="3418"/>
      <c r="OJM8" s="3418"/>
      <c r="OJN8" s="3418"/>
      <c r="OJO8" s="3418"/>
      <c r="OJP8" s="3418"/>
      <c r="OJQ8" s="3418"/>
      <c r="OJR8" s="3418"/>
      <c r="OJS8" s="3418"/>
      <c r="OJT8" s="3418"/>
      <c r="OJU8" s="3418"/>
      <c r="OJV8" s="3418"/>
      <c r="OJW8" s="3418"/>
      <c r="OJX8" s="3418"/>
      <c r="OJY8" s="3418"/>
      <c r="OJZ8" s="3418"/>
      <c r="OKA8" s="3418"/>
      <c r="OKB8" s="3418"/>
      <c r="OKC8" s="3418"/>
      <c r="OKD8" s="3418"/>
      <c r="OKE8" s="3418"/>
      <c r="OKF8" s="3418"/>
      <c r="OKG8" s="3418"/>
      <c r="OKH8" s="3418"/>
      <c r="OKI8" s="3418"/>
      <c r="OKJ8" s="3418"/>
      <c r="OKK8" s="3418"/>
      <c r="OKL8" s="3418"/>
      <c r="OKM8" s="3418"/>
      <c r="OKN8" s="3418"/>
      <c r="OKO8" s="3418"/>
      <c r="OKP8" s="3418"/>
      <c r="OKQ8" s="3418"/>
      <c r="OKR8" s="3418"/>
      <c r="OKS8" s="3418"/>
      <c r="OKT8" s="3418"/>
      <c r="OKU8" s="3418"/>
      <c r="OKV8" s="3418"/>
      <c r="OKW8" s="3418"/>
      <c r="OKX8" s="3418"/>
      <c r="OKY8" s="3418"/>
      <c r="OKZ8" s="3418"/>
      <c r="OLA8" s="3418"/>
      <c r="OLB8" s="3418"/>
      <c r="OLC8" s="3418"/>
      <c r="OLD8" s="3418"/>
      <c r="OLE8" s="3418"/>
      <c r="OLF8" s="3418"/>
      <c r="OLG8" s="3418"/>
      <c r="OLH8" s="3418"/>
      <c r="OLI8" s="3418"/>
      <c r="OLJ8" s="3418"/>
      <c r="OLK8" s="3418"/>
      <c r="OLL8" s="3418"/>
      <c r="OLM8" s="3418"/>
      <c r="OLN8" s="3418"/>
      <c r="OLO8" s="3418"/>
      <c r="OLP8" s="3418"/>
      <c r="OLQ8" s="3418"/>
      <c r="OLR8" s="3418"/>
      <c r="OLS8" s="3418"/>
      <c r="OLT8" s="3418"/>
      <c r="OLU8" s="3418"/>
      <c r="OLV8" s="3418"/>
      <c r="OLW8" s="3418"/>
      <c r="OLX8" s="3418"/>
      <c r="OLY8" s="3418"/>
      <c r="OLZ8" s="3418"/>
      <c r="OMA8" s="3418"/>
      <c r="OMB8" s="3418"/>
      <c r="OMC8" s="3418"/>
      <c r="OMD8" s="3418"/>
      <c r="OME8" s="3418"/>
      <c r="OMF8" s="3418"/>
      <c r="OMG8" s="3418"/>
      <c r="OMH8" s="3418"/>
      <c r="OMI8" s="3418"/>
      <c r="OMJ8" s="3418"/>
      <c r="OMK8" s="3418"/>
      <c r="OML8" s="3418"/>
      <c r="OMM8" s="3418"/>
      <c r="OMN8" s="3418"/>
      <c r="OMO8" s="3418"/>
      <c r="OMP8" s="3418"/>
      <c r="OMQ8" s="3418"/>
      <c r="OMR8" s="3418"/>
      <c r="OMS8" s="3418"/>
      <c r="OMT8" s="3418"/>
      <c r="OMU8" s="3418"/>
      <c r="OMV8" s="3418"/>
      <c r="OMW8" s="3418"/>
      <c r="OMX8" s="3418"/>
      <c r="OMY8" s="3418"/>
      <c r="OMZ8" s="3418"/>
      <c r="ONA8" s="3418"/>
      <c r="ONB8" s="3418"/>
      <c r="ONC8" s="3418"/>
      <c r="OND8" s="3418"/>
      <c r="ONE8" s="3418"/>
      <c r="ONF8" s="3418"/>
      <c r="ONG8" s="3418"/>
      <c r="ONH8" s="3418"/>
      <c r="ONI8" s="3418"/>
      <c r="ONJ8" s="3418"/>
      <c r="ONK8" s="3418"/>
      <c r="ONL8" s="3418"/>
      <c r="ONM8" s="3418"/>
      <c r="ONN8" s="3418"/>
      <c r="ONO8" s="3418"/>
      <c r="ONP8" s="3418"/>
      <c r="ONQ8" s="3418"/>
      <c r="ONR8" s="3418"/>
      <c r="ONS8" s="3418"/>
      <c r="ONT8" s="3418"/>
      <c r="ONU8" s="3418"/>
      <c r="ONV8" s="3418"/>
      <c r="ONW8" s="3418"/>
      <c r="ONX8" s="3418"/>
      <c r="ONY8" s="3418"/>
      <c r="ONZ8" s="3418"/>
      <c r="OOA8" s="3418"/>
      <c r="OOB8" s="3418"/>
      <c r="OOC8" s="3418"/>
      <c r="OOD8" s="3418"/>
      <c r="OOE8" s="3418"/>
      <c r="OOF8" s="3418"/>
      <c r="OOG8" s="3418"/>
      <c r="OOH8" s="3418"/>
      <c r="OOI8" s="3418"/>
      <c r="OOJ8" s="3418"/>
      <c r="OOK8" s="3418"/>
      <c r="OOL8" s="3418"/>
      <c r="OOM8" s="3418"/>
      <c r="OON8" s="3418"/>
      <c r="OOO8" s="3418"/>
      <c r="OOP8" s="3418"/>
      <c r="OOQ8" s="3418"/>
      <c r="OOR8" s="3418"/>
      <c r="OOS8" s="3418"/>
      <c r="OOT8" s="3418"/>
      <c r="OOU8" s="3418"/>
      <c r="OOV8" s="3418"/>
      <c r="OOW8" s="3418"/>
      <c r="OOX8" s="3418"/>
      <c r="OOY8" s="3418"/>
      <c r="OOZ8" s="3418"/>
      <c r="OPA8" s="3418"/>
      <c r="OPB8" s="3418"/>
      <c r="OPC8" s="3418"/>
      <c r="OPD8" s="3418"/>
      <c r="OPE8" s="3418"/>
      <c r="OPF8" s="3418"/>
      <c r="OPG8" s="3418"/>
      <c r="OPH8" s="3418"/>
      <c r="OPI8" s="3418"/>
      <c r="OPJ8" s="3418"/>
      <c r="OPK8" s="3418"/>
      <c r="OPL8" s="3418"/>
      <c r="OPM8" s="3418"/>
      <c r="OPN8" s="3418"/>
      <c r="OPO8" s="3418"/>
      <c r="OPP8" s="3418"/>
      <c r="OPQ8" s="3418"/>
      <c r="OPR8" s="3418"/>
      <c r="OPS8" s="3418"/>
      <c r="OPT8" s="3418"/>
      <c r="OPU8" s="3418"/>
      <c r="OPV8" s="3418"/>
      <c r="OPW8" s="3418"/>
      <c r="OPX8" s="3418"/>
      <c r="OPY8" s="3418"/>
      <c r="OPZ8" s="3418"/>
      <c r="OQA8" s="3418"/>
      <c r="OQB8" s="3418"/>
      <c r="OQC8" s="3418"/>
      <c r="OQD8" s="3418"/>
      <c r="OQE8" s="3418"/>
      <c r="OQF8" s="3418"/>
      <c r="OQG8" s="3418"/>
      <c r="OQH8" s="3418"/>
      <c r="OQI8" s="3418"/>
      <c r="OQJ8" s="3418"/>
      <c r="OQK8" s="3418"/>
      <c r="OQL8" s="3418"/>
      <c r="OQM8" s="3418"/>
      <c r="OQN8" s="3418"/>
      <c r="OQO8" s="3418"/>
      <c r="OQP8" s="3418"/>
      <c r="OQQ8" s="3418"/>
      <c r="OQR8" s="3418"/>
      <c r="OQS8" s="3418"/>
      <c r="OQT8" s="3418"/>
      <c r="OQU8" s="3418"/>
      <c r="OQV8" s="3418"/>
      <c r="OQW8" s="3418"/>
      <c r="OQX8" s="3418"/>
      <c r="OQY8" s="3418"/>
      <c r="OQZ8" s="3418"/>
      <c r="ORA8" s="3418"/>
      <c r="ORB8" s="3418"/>
      <c r="ORC8" s="3418"/>
      <c r="ORD8" s="3418"/>
      <c r="ORE8" s="3418"/>
      <c r="ORF8" s="3418"/>
      <c r="ORG8" s="3418"/>
      <c r="ORH8" s="3418"/>
      <c r="ORI8" s="3418"/>
      <c r="ORJ8" s="3418"/>
      <c r="ORK8" s="3418"/>
      <c r="ORL8" s="3418"/>
      <c r="ORM8" s="3418"/>
      <c r="ORN8" s="3418"/>
      <c r="ORO8" s="3418"/>
      <c r="ORP8" s="3418"/>
      <c r="ORQ8" s="3418"/>
      <c r="ORR8" s="3418"/>
      <c r="ORS8" s="3418"/>
      <c r="ORT8" s="3418"/>
      <c r="ORU8" s="3418"/>
      <c r="ORV8" s="3418"/>
      <c r="ORW8" s="3418"/>
      <c r="ORX8" s="3418"/>
      <c r="ORY8" s="3418"/>
      <c r="ORZ8" s="3418"/>
      <c r="OSA8" s="3418"/>
      <c r="OSB8" s="3418"/>
      <c r="OSC8" s="3418"/>
      <c r="OSD8" s="3418"/>
      <c r="OSE8" s="3418"/>
      <c r="OSF8" s="3418"/>
      <c r="OSG8" s="3418"/>
      <c r="OSH8" s="3418"/>
      <c r="OSI8" s="3418"/>
      <c r="OSJ8" s="3418"/>
      <c r="OSK8" s="3418"/>
      <c r="OSL8" s="3418"/>
      <c r="OSM8" s="3418"/>
      <c r="OSN8" s="3418"/>
      <c r="OSO8" s="3418"/>
      <c r="OSP8" s="3418"/>
      <c r="OSQ8" s="3418"/>
      <c r="OSR8" s="3418"/>
      <c r="OSS8" s="3418"/>
      <c r="OST8" s="3418"/>
      <c r="OSU8" s="3418"/>
      <c r="OSV8" s="3418"/>
      <c r="OSW8" s="3418"/>
      <c r="OSX8" s="3418"/>
      <c r="OSY8" s="3418"/>
      <c r="OSZ8" s="3418"/>
      <c r="OTA8" s="3418"/>
      <c r="OTB8" s="3418"/>
      <c r="OTC8" s="3418"/>
      <c r="OTD8" s="3418"/>
      <c r="OTE8" s="3418"/>
      <c r="OTF8" s="3418"/>
      <c r="OTG8" s="3418"/>
      <c r="OTH8" s="3418"/>
      <c r="OTI8" s="3418"/>
      <c r="OTJ8" s="3418"/>
      <c r="OTK8" s="3418"/>
      <c r="OTL8" s="3418"/>
      <c r="OTM8" s="3418"/>
      <c r="OTN8" s="3418"/>
      <c r="OTO8" s="3418"/>
      <c r="OTP8" s="3418"/>
      <c r="OTQ8" s="3418"/>
      <c r="OTR8" s="3418"/>
      <c r="OTS8" s="3418"/>
      <c r="OTT8" s="3418"/>
      <c r="OTU8" s="3418"/>
      <c r="OTV8" s="3418"/>
      <c r="OTW8" s="3418"/>
      <c r="OTX8" s="3418"/>
      <c r="OTY8" s="3418"/>
      <c r="OTZ8" s="3418"/>
      <c r="OUA8" s="3418"/>
      <c r="OUB8" s="3418"/>
      <c r="OUC8" s="3418"/>
      <c r="OUD8" s="3418"/>
      <c r="OUE8" s="3418"/>
      <c r="OUF8" s="3418"/>
      <c r="OUG8" s="3418"/>
      <c r="OUH8" s="3418"/>
      <c r="OUI8" s="3418"/>
      <c r="OUJ8" s="3418"/>
      <c r="OUK8" s="3418"/>
      <c r="OUL8" s="3418"/>
      <c r="OUM8" s="3418"/>
      <c r="OUN8" s="3418"/>
      <c r="OUO8" s="3418"/>
      <c r="OUP8" s="3418"/>
      <c r="OUQ8" s="3418"/>
      <c r="OUR8" s="3418"/>
      <c r="OUS8" s="3418"/>
      <c r="OUT8" s="3418"/>
      <c r="OUU8" s="3418"/>
      <c r="OUV8" s="3418"/>
      <c r="OUW8" s="3418"/>
      <c r="OUX8" s="3418"/>
      <c r="OUY8" s="3418"/>
      <c r="OUZ8" s="3418"/>
      <c r="OVA8" s="3418"/>
      <c r="OVB8" s="3418"/>
      <c r="OVC8" s="3418"/>
      <c r="OVD8" s="3418"/>
      <c r="OVE8" s="3418"/>
      <c r="OVF8" s="3418"/>
      <c r="OVG8" s="3418"/>
      <c r="OVH8" s="3418"/>
      <c r="OVI8" s="3418"/>
      <c r="OVJ8" s="3418"/>
      <c r="OVK8" s="3418"/>
      <c r="OVL8" s="3418"/>
      <c r="OVM8" s="3418"/>
      <c r="OVN8" s="3418"/>
      <c r="OVO8" s="3418"/>
      <c r="OVP8" s="3418"/>
      <c r="OVQ8" s="3418"/>
      <c r="OVR8" s="3418"/>
      <c r="OVS8" s="3418"/>
      <c r="OVT8" s="3418"/>
      <c r="OVU8" s="3418"/>
      <c r="OVV8" s="3418"/>
      <c r="OVW8" s="3418"/>
      <c r="OVX8" s="3418"/>
      <c r="OVY8" s="3418"/>
      <c r="OVZ8" s="3418"/>
      <c r="OWA8" s="3418"/>
      <c r="OWB8" s="3418"/>
      <c r="OWC8" s="3418"/>
      <c r="OWD8" s="3418"/>
      <c r="OWE8" s="3418"/>
      <c r="OWF8" s="3418"/>
      <c r="OWG8" s="3418"/>
      <c r="OWH8" s="3418"/>
      <c r="OWI8" s="3418"/>
      <c r="OWJ8" s="3418"/>
      <c r="OWK8" s="3418"/>
      <c r="OWL8" s="3418"/>
      <c r="OWM8" s="3418"/>
      <c r="OWN8" s="3418"/>
      <c r="OWO8" s="3418"/>
      <c r="OWP8" s="3418"/>
      <c r="OWQ8" s="3418"/>
      <c r="OWR8" s="3418"/>
      <c r="OWS8" s="3418"/>
      <c r="OWT8" s="3418"/>
      <c r="OWU8" s="3418"/>
      <c r="OWV8" s="3418"/>
      <c r="OWW8" s="3418"/>
      <c r="OWX8" s="3418"/>
      <c r="OWY8" s="3418"/>
      <c r="OWZ8" s="3418"/>
      <c r="OXA8" s="3418"/>
      <c r="OXB8" s="3418"/>
      <c r="OXC8" s="3418"/>
      <c r="OXD8" s="3418"/>
      <c r="OXE8" s="3418"/>
      <c r="OXF8" s="3418"/>
      <c r="OXG8" s="3418"/>
      <c r="OXH8" s="3418"/>
      <c r="OXI8" s="3418"/>
      <c r="OXJ8" s="3418"/>
      <c r="OXK8" s="3418"/>
      <c r="OXL8" s="3418"/>
      <c r="OXM8" s="3418"/>
      <c r="OXN8" s="3418"/>
      <c r="OXO8" s="3418"/>
      <c r="OXP8" s="3418"/>
      <c r="OXQ8" s="3418"/>
      <c r="OXR8" s="3418"/>
      <c r="OXS8" s="3418"/>
      <c r="OXT8" s="3418"/>
      <c r="OXU8" s="3418"/>
      <c r="OXV8" s="3418"/>
      <c r="OXW8" s="3418"/>
      <c r="OXX8" s="3418"/>
      <c r="OXY8" s="3418"/>
      <c r="OXZ8" s="3418"/>
      <c r="OYA8" s="3418"/>
      <c r="OYB8" s="3418"/>
      <c r="OYC8" s="3418"/>
      <c r="OYD8" s="3418"/>
      <c r="OYE8" s="3418"/>
      <c r="OYF8" s="3418"/>
      <c r="OYG8" s="3418"/>
      <c r="OYH8" s="3418"/>
      <c r="OYI8" s="3418"/>
      <c r="OYJ8" s="3418"/>
      <c r="OYK8" s="3418"/>
      <c r="OYL8" s="3418"/>
      <c r="OYM8" s="3418"/>
      <c r="OYN8" s="3418"/>
      <c r="OYO8" s="3418"/>
      <c r="OYP8" s="3418"/>
      <c r="OYQ8" s="3418"/>
      <c r="OYR8" s="3418"/>
      <c r="OYS8" s="3418"/>
      <c r="OYT8" s="3418"/>
      <c r="OYU8" s="3418"/>
      <c r="OYV8" s="3418"/>
      <c r="OYW8" s="3418"/>
      <c r="OYX8" s="3418"/>
      <c r="OYY8" s="3418"/>
      <c r="OYZ8" s="3418"/>
      <c r="OZA8" s="3418"/>
      <c r="OZB8" s="3418"/>
      <c r="OZC8" s="3418"/>
      <c r="OZD8" s="3418"/>
      <c r="OZE8" s="3418"/>
      <c r="OZF8" s="3418"/>
      <c r="OZG8" s="3418"/>
      <c r="OZH8" s="3418"/>
      <c r="OZI8" s="3418"/>
      <c r="OZJ8" s="3418"/>
      <c r="OZK8" s="3418"/>
      <c r="OZL8" s="3418"/>
      <c r="OZM8" s="3418"/>
      <c r="OZN8" s="3418"/>
      <c r="OZO8" s="3418"/>
      <c r="OZP8" s="3418"/>
      <c r="OZQ8" s="3418"/>
      <c r="OZR8" s="3418"/>
      <c r="OZS8" s="3418"/>
      <c r="OZT8" s="3418"/>
      <c r="OZU8" s="3418"/>
      <c r="OZV8" s="3418"/>
      <c r="OZW8" s="3418"/>
      <c r="OZX8" s="3418"/>
      <c r="OZY8" s="3418"/>
      <c r="OZZ8" s="3418"/>
      <c r="PAA8" s="3418"/>
      <c r="PAB8" s="3418"/>
      <c r="PAC8" s="3418"/>
      <c r="PAD8" s="3418"/>
      <c r="PAE8" s="3418"/>
      <c r="PAF8" s="3418"/>
      <c r="PAG8" s="3418"/>
      <c r="PAH8" s="3418"/>
      <c r="PAI8" s="3418"/>
      <c r="PAJ8" s="3418"/>
      <c r="PAK8" s="3418"/>
      <c r="PAL8" s="3418"/>
      <c r="PAM8" s="3418"/>
      <c r="PAN8" s="3418"/>
      <c r="PAO8" s="3418"/>
      <c r="PAP8" s="3418"/>
      <c r="PAQ8" s="3418"/>
      <c r="PAR8" s="3418"/>
      <c r="PAS8" s="3418"/>
      <c r="PAT8" s="3418"/>
      <c r="PAU8" s="3418"/>
      <c r="PAV8" s="3418"/>
      <c r="PAW8" s="3418"/>
      <c r="PAX8" s="3418"/>
      <c r="PAY8" s="3418"/>
      <c r="PAZ8" s="3418"/>
      <c r="PBA8" s="3418"/>
      <c r="PBB8" s="3418"/>
      <c r="PBC8" s="3418"/>
      <c r="PBD8" s="3418"/>
      <c r="PBE8" s="3418"/>
      <c r="PBF8" s="3418"/>
      <c r="PBG8" s="3418"/>
      <c r="PBH8" s="3418"/>
      <c r="PBI8" s="3418"/>
      <c r="PBJ8" s="3418"/>
      <c r="PBK8" s="3418"/>
      <c r="PBL8" s="3418"/>
      <c r="PBM8" s="3418"/>
      <c r="PBN8" s="3418"/>
      <c r="PBO8" s="3418"/>
      <c r="PBP8" s="3418"/>
      <c r="PBQ8" s="3418"/>
      <c r="PBR8" s="3418"/>
      <c r="PBS8" s="3418"/>
      <c r="PBT8" s="3418"/>
      <c r="PBU8" s="3418"/>
      <c r="PBV8" s="3418"/>
      <c r="PBW8" s="3418"/>
      <c r="PBX8" s="3418"/>
      <c r="PBY8" s="3418"/>
      <c r="PBZ8" s="3418"/>
      <c r="PCA8" s="3418"/>
      <c r="PCB8" s="3418"/>
      <c r="PCC8" s="3418"/>
      <c r="PCD8" s="3418"/>
      <c r="PCE8" s="3418"/>
      <c r="PCF8" s="3418"/>
      <c r="PCG8" s="3418"/>
      <c r="PCH8" s="3418"/>
      <c r="PCI8" s="3418"/>
      <c r="PCJ8" s="3418"/>
      <c r="PCK8" s="3418"/>
      <c r="PCL8" s="3418"/>
      <c r="PCM8" s="3418"/>
      <c r="PCN8" s="3418"/>
      <c r="PCO8" s="3418"/>
      <c r="PCP8" s="3418"/>
      <c r="PCQ8" s="3418"/>
      <c r="PCR8" s="3418"/>
      <c r="PCS8" s="3418"/>
      <c r="PCT8" s="3418"/>
      <c r="PCU8" s="3418"/>
      <c r="PCV8" s="3418"/>
      <c r="PCW8" s="3418"/>
      <c r="PCX8" s="3418"/>
      <c r="PCY8" s="3418"/>
      <c r="PCZ8" s="3418"/>
      <c r="PDA8" s="3418"/>
      <c r="PDB8" s="3418"/>
      <c r="PDC8" s="3418"/>
      <c r="PDD8" s="3418"/>
      <c r="PDE8" s="3418"/>
      <c r="PDF8" s="3418"/>
      <c r="PDG8" s="3418"/>
      <c r="PDH8" s="3418"/>
      <c r="PDI8" s="3418"/>
      <c r="PDJ8" s="3418"/>
      <c r="PDK8" s="3418"/>
      <c r="PDL8" s="3418"/>
      <c r="PDM8" s="3418"/>
      <c r="PDN8" s="3418"/>
      <c r="PDO8" s="3418"/>
      <c r="PDP8" s="3418"/>
      <c r="PDQ8" s="3418"/>
      <c r="PDR8" s="3418"/>
      <c r="PDS8" s="3418"/>
      <c r="PDT8" s="3418"/>
      <c r="PDU8" s="3418"/>
      <c r="PDV8" s="3418"/>
      <c r="PDW8" s="3418"/>
      <c r="PDX8" s="3418"/>
      <c r="PDY8" s="3418"/>
      <c r="PDZ8" s="3418"/>
      <c r="PEA8" s="3418"/>
      <c r="PEB8" s="3418"/>
      <c r="PEC8" s="3418"/>
      <c r="PED8" s="3418"/>
      <c r="PEE8" s="3418"/>
      <c r="PEF8" s="3418"/>
      <c r="PEG8" s="3418"/>
      <c r="PEH8" s="3418"/>
      <c r="PEI8" s="3418"/>
      <c r="PEJ8" s="3418"/>
      <c r="PEK8" s="3418"/>
      <c r="PEL8" s="3418"/>
      <c r="PEM8" s="3418"/>
      <c r="PEN8" s="3418"/>
      <c r="PEO8" s="3418"/>
      <c r="PEP8" s="3418"/>
      <c r="PEQ8" s="3418"/>
      <c r="PER8" s="3418"/>
      <c r="PES8" s="3418"/>
      <c r="PET8" s="3418"/>
      <c r="PEU8" s="3418"/>
      <c r="PEV8" s="3418"/>
      <c r="PEW8" s="3418"/>
      <c r="PEX8" s="3418"/>
      <c r="PEY8" s="3418"/>
      <c r="PEZ8" s="3418"/>
      <c r="PFA8" s="3418"/>
      <c r="PFB8" s="3418"/>
      <c r="PFC8" s="3418"/>
      <c r="PFD8" s="3418"/>
      <c r="PFE8" s="3418"/>
      <c r="PFF8" s="3418"/>
      <c r="PFG8" s="3418"/>
      <c r="PFH8" s="3418"/>
      <c r="PFI8" s="3418"/>
      <c r="PFJ8" s="3418"/>
      <c r="PFK8" s="3418"/>
      <c r="PFL8" s="3418"/>
      <c r="PFM8" s="3418"/>
      <c r="PFN8" s="3418"/>
      <c r="PFO8" s="3418"/>
      <c r="PFP8" s="3418"/>
      <c r="PFQ8" s="3418"/>
      <c r="PFR8" s="3418"/>
      <c r="PFS8" s="3418"/>
      <c r="PFT8" s="3418"/>
      <c r="PFU8" s="3418"/>
      <c r="PFV8" s="3418"/>
      <c r="PFW8" s="3418"/>
      <c r="PFX8" s="3418"/>
      <c r="PFY8" s="3418"/>
      <c r="PFZ8" s="3418"/>
      <c r="PGA8" s="3418"/>
      <c r="PGB8" s="3418"/>
      <c r="PGC8" s="3418"/>
      <c r="PGD8" s="3418"/>
      <c r="PGE8" s="3418"/>
      <c r="PGF8" s="3418"/>
      <c r="PGG8" s="3418"/>
      <c r="PGH8" s="3418"/>
      <c r="PGI8" s="3418"/>
      <c r="PGJ8" s="3418"/>
      <c r="PGK8" s="3418"/>
      <c r="PGL8" s="3418"/>
      <c r="PGM8" s="3418"/>
      <c r="PGN8" s="3418"/>
      <c r="PGO8" s="3418"/>
      <c r="PGP8" s="3418"/>
      <c r="PGQ8" s="3418"/>
      <c r="PGR8" s="3418"/>
      <c r="PGS8" s="3418"/>
      <c r="PGT8" s="3418"/>
      <c r="PGU8" s="3418"/>
      <c r="PGV8" s="3418"/>
      <c r="PGW8" s="3418"/>
      <c r="PGX8" s="3418"/>
      <c r="PGY8" s="3418"/>
      <c r="PGZ8" s="3418"/>
      <c r="PHA8" s="3418"/>
      <c r="PHB8" s="3418"/>
      <c r="PHC8" s="3418"/>
      <c r="PHD8" s="3418"/>
      <c r="PHE8" s="3418"/>
      <c r="PHF8" s="3418"/>
      <c r="PHG8" s="3418"/>
      <c r="PHH8" s="3418"/>
      <c r="PHI8" s="3418"/>
      <c r="PHJ8" s="3418"/>
      <c r="PHK8" s="3418"/>
      <c r="PHL8" s="3418"/>
      <c r="PHM8" s="3418"/>
      <c r="PHN8" s="3418"/>
      <c r="PHO8" s="3418"/>
      <c r="PHP8" s="3418"/>
      <c r="PHQ8" s="3418"/>
      <c r="PHR8" s="3418"/>
      <c r="PHS8" s="3418"/>
      <c r="PHT8" s="3418"/>
      <c r="PHU8" s="3418"/>
      <c r="PHV8" s="3418"/>
      <c r="PHW8" s="3418"/>
      <c r="PHX8" s="3418"/>
      <c r="PHY8" s="3418"/>
      <c r="PHZ8" s="3418"/>
      <c r="PIA8" s="3418"/>
      <c r="PIB8" s="3418"/>
      <c r="PIC8" s="3418"/>
      <c r="PID8" s="3418"/>
      <c r="PIE8" s="3418"/>
      <c r="PIF8" s="3418"/>
      <c r="PIG8" s="3418"/>
      <c r="PIH8" s="3418"/>
      <c r="PII8" s="3418"/>
      <c r="PIJ8" s="3418"/>
      <c r="PIK8" s="3418"/>
      <c r="PIL8" s="3418"/>
      <c r="PIM8" s="3418"/>
      <c r="PIN8" s="3418"/>
      <c r="PIO8" s="3418"/>
      <c r="PIP8" s="3418"/>
      <c r="PIQ8" s="3418"/>
      <c r="PIR8" s="3418"/>
      <c r="PIS8" s="3418"/>
      <c r="PIT8" s="3418"/>
      <c r="PIU8" s="3418"/>
      <c r="PIV8" s="3418"/>
      <c r="PIW8" s="3418"/>
      <c r="PIX8" s="3418"/>
      <c r="PIY8" s="3418"/>
      <c r="PIZ8" s="3418"/>
      <c r="PJA8" s="3418"/>
      <c r="PJB8" s="3418"/>
      <c r="PJC8" s="3418"/>
      <c r="PJD8" s="3418"/>
      <c r="PJE8" s="3418"/>
      <c r="PJF8" s="3418"/>
      <c r="PJG8" s="3418"/>
      <c r="PJH8" s="3418"/>
      <c r="PJI8" s="3418"/>
      <c r="PJJ8" s="3418"/>
      <c r="PJK8" s="3418"/>
      <c r="PJL8" s="3418"/>
      <c r="PJM8" s="3418"/>
      <c r="PJN8" s="3418"/>
      <c r="PJO8" s="3418"/>
      <c r="PJP8" s="3418"/>
      <c r="PJQ8" s="3418"/>
      <c r="PJR8" s="3418"/>
      <c r="PJS8" s="3418"/>
      <c r="PJT8" s="3418"/>
      <c r="PJU8" s="3418"/>
      <c r="PJV8" s="3418"/>
      <c r="PJW8" s="3418"/>
      <c r="PJX8" s="3418"/>
      <c r="PJY8" s="3418"/>
      <c r="PJZ8" s="3418"/>
      <c r="PKA8" s="3418"/>
      <c r="PKB8" s="3418"/>
      <c r="PKC8" s="3418"/>
      <c r="PKD8" s="3418"/>
      <c r="PKE8" s="3418"/>
      <c r="PKF8" s="3418"/>
      <c r="PKG8" s="3418"/>
      <c r="PKH8" s="3418"/>
      <c r="PKI8" s="3418"/>
      <c r="PKJ8" s="3418"/>
      <c r="PKK8" s="3418"/>
      <c r="PKL8" s="3418"/>
      <c r="PKM8" s="3418"/>
      <c r="PKN8" s="3418"/>
      <c r="PKO8" s="3418"/>
      <c r="PKP8" s="3418"/>
      <c r="PKQ8" s="3418"/>
      <c r="PKR8" s="3418"/>
      <c r="PKS8" s="3418"/>
      <c r="PKT8" s="3418"/>
      <c r="PKU8" s="3418"/>
      <c r="PKV8" s="3418"/>
      <c r="PKW8" s="3418"/>
      <c r="PKX8" s="3418"/>
      <c r="PKY8" s="3418"/>
      <c r="PKZ8" s="3418"/>
      <c r="PLA8" s="3418"/>
      <c r="PLB8" s="3418"/>
      <c r="PLC8" s="3418"/>
      <c r="PLD8" s="3418"/>
      <c r="PLE8" s="3418"/>
      <c r="PLF8" s="3418"/>
      <c r="PLG8" s="3418"/>
      <c r="PLH8" s="3418"/>
      <c r="PLI8" s="3418"/>
      <c r="PLJ8" s="3418"/>
      <c r="PLK8" s="3418"/>
      <c r="PLL8" s="3418"/>
      <c r="PLM8" s="3418"/>
      <c r="PLN8" s="3418"/>
      <c r="PLO8" s="3418"/>
      <c r="PLP8" s="3418"/>
      <c r="PLQ8" s="3418"/>
      <c r="PLR8" s="3418"/>
      <c r="PLS8" s="3418"/>
      <c r="PLT8" s="3418"/>
      <c r="PLU8" s="3418"/>
      <c r="PLV8" s="3418"/>
      <c r="PLW8" s="3418"/>
      <c r="PLX8" s="3418"/>
      <c r="PLY8" s="3418"/>
      <c r="PLZ8" s="3418"/>
      <c r="PMA8" s="3418"/>
      <c r="PMB8" s="3418"/>
      <c r="PMC8" s="3418"/>
      <c r="PMD8" s="3418"/>
      <c r="PME8" s="3418"/>
      <c r="PMF8" s="3418"/>
      <c r="PMG8" s="3418"/>
      <c r="PMH8" s="3418"/>
      <c r="PMI8" s="3418"/>
      <c r="PMJ8" s="3418"/>
      <c r="PMK8" s="3418"/>
      <c r="PML8" s="3418"/>
      <c r="PMM8" s="3418"/>
      <c r="PMN8" s="3418"/>
      <c r="PMO8" s="3418"/>
      <c r="PMP8" s="3418"/>
      <c r="PMQ8" s="3418"/>
      <c r="PMR8" s="3418"/>
      <c r="PMS8" s="3418"/>
      <c r="PMT8" s="3418"/>
      <c r="PMU8" s="3418"/>
      <c r="PMV8" s="3418"/>
      <c r="PMW8" s="3418"/>
      <c r="PMX8" s="3418"/>
      <c r="PMY8" s="3418"/>
      <c r="PMZ8" s="3418"/>
      <c r="PNA8" s="3418"/>
      <c r="PNB8" s="3418"/>
      <c r="PNC8" s="3418"/>
      <c r="PND8" s="3418"/>
      <c r="PNE8" s="3418"/>
      <c r="PNF8" s="3418"/>
      <c r="PNG8" s="3418"/>
      <c r="PNH8" s="3418"/>
      <c r="PNI8" s="3418"/>
      <c r="PNJ8" s="3418"/>
      <c r="PNK8" s="3418"/>
      <c r="PNL8" s="3418"/>
      <c r="PNM8" s="3418"/>
      <c r="PNN8" s="3418"/>
      <c r="PNO8" s="3418"/>
      <c r="PNP8" s="3418"/>
      <c r="PNQ8" s="3418"/>
      <c r="PNR8" s="3418"/>
      <c r="PNS8" s="3418"/>
      <c r="PNT8" s="3418"/>
      <c r="PNU8" s="3418"/>
      <c r="PNV8" s="3418"/>
      <c r="PNW8" s="3418"/>
      <c r="PNX8" s="3418"/>
      <c r="PNY8" s="3418"/>
      <c r="PNZ8" s="3418"/>
      <c r="POA8" s="3418"/>
      <c r="POB8" s="3418"/>
      <c r="POC8" s="3418"/>
      <c r="POD8" s="3418"/>
      <c r="POE8" s="3418"/>
      <c r="POF8" s="3418"/>
      <c r="POG8" s="3418"/>
      <c r="POH8" s="3418"/>
      <c r="POI8" s="3418"/>
      <c r="POJ8" s="3418"/>
      <c r="POK8" s="3418"/>
      <c r="POL8" s="3418"/>
      <c r="POM8" s="3418"/>
      <c r="PON8" s="3418"/>
      <c r="POO8" s="3418"/>
      <c r="POP8" s="3418"/>
      <c r="POQ8" s="3418"/>
      <c r="POR8" s="3418"/>
      <c r="POS8" s="3418"/>
      <c r="POT8" s="3418"/>
      <c r="POU8" s="3418"/>
      <c r="POV8" s="3418"/>
      <c r="POW8" s="3418"/>
      <c r="POX8" s="3418"/>
      <c r="POY8" s="3418"/>
      <c r="POZ8" s="3418"/>
      <c r="PPA8" s="3418"/>
      <c r="PPB8" s="3418"/>
      <c r="PPC8" s="3418"/>
      <c r="PPD8" s="3418"/>
      <c r="PPE8" s="3418"/>
      <c r="PPF8" s="3418"/>
      <c r="PPG8" s="3418"/>
      <c r="PPH8" s="3418"/>
      <c r="PPI8" s="3418"/>
      <c r="PPJ8" s="3418"/>
      <c r="PPK8" s="3418"/>
      <c r="PPL8" s="3418"/>
      <c r="PPM8" s="3418"/>
      <c r="PPN8" s="3418"/>
      <c r="PPO8" s="3418"/>
      <c r="PPP8" s="3418"/>
      <c r="PPQ8" s="3418"/>
      <c r="PPR8" s="3418"/>
      <c r="PPS8" s="3418"/>
      <c r="PPT8" s="3418"/>
      <c r="PPU8" s="3418"/>
      <c r="PPV8" s="3418"/>
      <c r="PPW8" s="3418"/>
      <c r="PPX8" s="3418"/>
      <c r="PPY8" s="3418"/>
      <c r="PPZ8" s="3418"/>
      <c r="PQA8" s="3418"/>
      <c r="PQB8" s="3418"/>
      <c r="PQC8" s="3418"/>
      <c r="PQD8" s="3418"/>
      <c r="PQE8" s="3418"/>
      <c r="PQF8" s="3418"/>
      <c r="PQG8" s="3418"/>
      <c r="PQH8" s="3418"/>
      <c r="PQI8" s="3418"/>
      <c r="PQJ8" s="3418"/>
      <c r="PQK8" s="3418"/>
      <c r="PQL8" s="3418"/>
      <c r="PQM8" s="3418"/>
      <c r="PQN8" s="3418"/>
      <c r="PQO8" s="3418"/>
      <c r="PQP8" s="3418"/>
      <c r="PQQ8" s="3418"/>
      <c r="PQR8" s="3418"/>
      <c r="PQS8" s="3418"/>
      <c r="PQT8" s="3418"/>
      <c r="PQU8" s="3418"/>
      <c r="PQV8" s="3418"/>
      <c r="PQW8" s="3418"/>
      <c r="PQX8" s="3418"/>
      <c r="PQY8" s="3418"/>
      <c r="PQZ8" s="3418"/>
      <c r="PRA8" s="3418"/>
      <c r="PRB8" s="3418"/>
      <c r="PRC8" s="3418"/>
      <c r="PRD8" s="3418"/>
      <c r="PRE8" s="3418"/>
      <c r="PRF8" s="3418"/>
      <c r="PRG8" s="3418"/>
      <c r="PRH8" s="3418"/>
      <c r="PRI8" s="3418"/>
      <c r="PRJ8" s="3418"/>
      <c r="PRK8" s="3418"/>
      <c r="PRL8" s="3418"/>
      <c r="PRM8" s="3418"/>
      <c r="PRN8" s="3418"/>
      <c r="PRO8" s="3418"/>
      <c r="PRP8" s="3418"/>
      <c r="PRQ8" s="3418"/>
      <c r="PRR8" s="3418"/>
      <c r="PRS8" s="3418"/>
      <c r="PRT8" s="3418"/>
      <c r="PRU8" s="3418"/>
      <c r="PRV8" s="3418"/>
      <c r="PRW8" s="3418"/>
      <c r="PRX8" s="3418"/>
      <c r="PRY8" s="3418"/>
      <c r="PRZ8" s="3418"/>
      <c r="PSA8" s="3418"/>
      <c r="PSB8" s="3418"/>
      <c r="PSC8" s="3418"/>
      <c r="PSD8" s="3418"/>
      <c r="PSE8" s="3418"/>
      <c r="PSF8" s="3418"/>
      <c r="PSG8" s="3418"/>
      <c r="PSH8" s="3418"/>
      <c r="PSI8" s="3418"/>
      <c r="PSJ8" s="3418"/>
      <c r="PSK8" s="3418"/>
      <c r="PSL8" s="3418"/>
      <c r="PSM8" s="3418"/>
      <c r="PSN8" s="3418"/>
      <c r="PSO8" s="3418"/>
      <c r="PSP8" s="3418"/>
      <c r="PSQ8" s="3418"/>
      <c r="PSR8" s="3418"/>
      <c r="PSS8" s="3418"/>
      <c r="PST8" s="3418"/>
      <c r="PSU8" s="3418"/>
      <c r="PSV8" s="3418"/>
      <c r="PSW8" s="3418"/>
      <c r="PSX8" s="3418"/>
      <c r="PSY8" s="3418"/>
      <c r="PSZ8" s="3418"/>
      <c r="PTA8" s="3418"/>
      <c r="PTB8" s="3418"/>
      <c r="PTC8" s="3418"/>
      <c r="PTD8" s="3418"/>
      <c r="PTE8" s="3418"/>
      <c r="PTF8" s="3418"/>
      <c r="PTG8" s="3418"/>
      <c r="PTH8" s="3418"/>
      <c r="PTI8" s="3418"/>
      <c r="PTJ8" s="3418"/>
      <c r="PTK8" s="3418"/>
      <c r="PTL8" s="3418"/>
      <c r="PTM8" s="3418"/>
      <c r="PTN8" s="3418"/>
      <c r="PTO8" s="3418"/>
      <c r="PTP8" s="3418"/>
      <c r="PTQ8" s="3418"/>
      <c r="PTR8" s="3418"/>
      <c r="PTS8" s="3418"/>
      <c r="PTT8" s="3418"/>
      <c r="PTU8" s="3418"/>
      <c r="PTV8" s="3418"/>
      <c r="PTW8" s="3418"/>
      <c r="PTX8" s="3418"/>
      <c r="PTY8" s="3418"/>
      <c r="PTZ8" s="3418"/>
      <c r="PUA8" s="3418"/>
      <c r="PUB8" s="3418"/>
      <c r="PUC8" s="3418"/>
      <c r="PUD8" s="3418"/>
      <c r="PUE8" s="3418"/>
      <c r="PUF8" s="3418"/>
      <c r="PUG8" s="3418"/>
      <c r="PUH8" s="3418"/>
      <c r="PUI8" s="3418"/>
      <c r="PUJ8" s="3418"/>
      <c r="PUK8" s="3418"/>
      <c r="PUL8" s="3418"/>
      <c r="PUM8" s="3418"/>
      <c r="PUN8" s="3418"/>
      <c r="PUO8" s="3418"/>
      <c r="PUP8" s="3418"/>
      <c r="PUQ8" s="3418"/>
      <c r="PUR8" s="3418"/>
      <c r="PUS8" s="3418"/>
      <c r="PUT8" s="3418"/>
      <c r="PUU8" s="3418"/>
      <c r="PUV8" s="3418"/>
      <c r="PUW8" s="3418"/>
      <c r="PUX8" s="3418"/>
      <c r="PUY8" s="3418"/>
      <c r="PUZ8" s="3418"/>
      <c r="PVA8" s="3418"/>
      <c r="PVB8" s="3418"/>
      <c r="PVC8" s="3418"/>
      <c r="PVD8" s="3418"/>
      <c r="PVE8" s="3418"/>
      <c r="PVF8" s="3418"/>
      <c r="PVG8" s="3418"/>
      <c r="PVH8" s="3418"/>
      <c r="PVI8" s="3418"/>
      <c r="PVJ8" s="3418"/>
      <c r="PVK8" s="3418"/>
      <c r="PVL8" s="3418"/>
      <c r="PVM8" s="3418"/>
      <c r="PVN8" s="3418"/>
      <c r="PVO8" s="3418"/>
      <c r="PVP8" s="3418"/>
      <c r="PVQ8" s="3418"/>
      <c r="PVR8" s="3418"/>
      <c r="PVS8" s="3418"/>
      <c r="PVT8" s="3418"/>
      <c r="PVU8" s="3418"/>
      <c r="PVV8" s="3418"/>
      <c r="PVW8" s="3418"/>
      <c r="PVX8" s="3418"/>
      <c r="PVY8" s="3418"/>
      <c r="PVZ8" s="3418"/>
      <c r="PWA8" s="3418"/>
      <c r="PWB8" s="3418"/>
      <c r="PWC8" s="3418"/>
      <c r="PWD8" s="3418"/>
      <c r="PWE8" s="3418"/>
      <c r="PWF8" s="3418"/>
      <c r="PWG8" s="3418"/>
      <c r="PWH8" s="3418"/>
      <c r="PWI8" s="3418"/>
      <c r="PWJ8" s="3418"/>
      <c r="PWK8" s="3418"/>
      <c r="PWL8" s="3418"/>
      <c r="PWM8" s="3418"/>
      <c r="PWN8" s="3418"/>
      <c r="PWO8" s="3418"/>
      <c r="PWP8" s="3418"/>
      <c r="PWQ8" s="3418"/>
      <c r="PWR8" s="3418"/>
      <c r="PWS8" s="3418"/>
      <c r="PWT8" s="3418"/>
      <c r="PWU8" s="3418"/>
      <c r="PWV8" s="3418"/>
      <c r="PWW8" s="3418"/>
      <c r="PWX8" s="3418"/>
      <c r="PWY8" s="3418"/>
      <c r="PWZ8" s="3418"/>
      <c r="PXA8" s="3418"/>
      <c r="PXB8" s="3418"/>
      <c r="PXC8" s="3418"/>
      <c r="PXD8" s="3418"/>
      <c r="PXE8" s="3418"/>
      <c r="PXF8" s="3418"/>
      <c r="PXG8" s="3418"/>
      <c r="PXH8" s="3418"/>
      <c r="PXI8" s="3418"/>
      <c r="PXJ8" s="3418"/>
      <c r="PXK8" s="3418"/>
      <c r="PXL8" s="3418"/>
      <c r="PXM8" s="3418"/>
      <c r="PXN8" s="3418"/>
      <c r="PXO8" s="3418"/>
      <c r="PXP8" s="3418"/>
      <c r="PXQ8" s="3418"/>
      <c r="PXR8" s="3418"/>
      <c r="PXS8" s="3418"/>
      <c r="PXT8" s="3418"/>
      <c r="PXU8" s="3418"/>
      <c r="PXV8" s="3418"/>
      <c r="PXW8" s="3418"/>
      <c r="PXX8" s="3418"/>
      <c r="PXY8" s="3418"/>
      <c r="PXZ8" s="3418"/>
      <c r="PYA8" s="3418"/>
      <c r="PYB8" s="3418"/>
      <c r="PYC8" s="3418"/>
      <c r="PYD8" s="3418"/>
      <c r="PYE8" s="3418"/>
      <c r="PYF8" s="3418"/>
      <c r="PYG8" s="3418"/>
      <c r="PYH8" s="3418"/>
      <c r="PYI8" s="3418"/>
      <c r="PYJ8" s="3418"/>
      <c r="PYK8" s="3418"/>
      <c r="PYL8" s="3418"/>
      <c r="PYM8" s="3418"/>
      <c r="PYN8" s="3418"/>
      <c r="PYO8" s="3418"/>
      <c r="PYP8" s="3418"/>
      <c r="PYQ8" s="3418"/>
      <c r="PYR8" s="3418"/>
      <c r="PYS8" s="3418"/>
      <c r="PYT8" s="3418"/>
      <c r="PYU8" s="3418"/>
      <c r="PYV8" s="3418"/>
      <c r="PYW8" s="3418"/>
      <c r="PYX8" s="3418"/>
      <c r="PYY8" s="3418"/>
      <c r="PYZ8" s="3418"/>
      <c r="PZA8" s="3418"/>
      <c r="PZB8" s="3418"/>
      <c r="PZC8" s="3418"/>
      <c r="PZD8" s="3418"/>
      <c r="PZE8" s="3418"/>
      <c r="PZF8" s="3418"/>
      <c r="PZG8" s="3418"/>
      <c r="PZH8" s="3418"/>
      <c r="PZI8" s="3418"/>
      <c r="PZJ8" s="3418"/>
      <c r="PZK8" s="3418"/>
      <c r="PZL8" s="3418"/>
      <c r="PZM8" s="3418"/>
      <c r="PZN8" s="3418"/>
      <c r="PZO8" s="3418"/>
      <c r="PZP8" s="3418"/>
      <c r="PZQ8" s="3418"/>
      <c r="PZR8" s="3418"/>
      <c r="PZS8" s="3418"/>
      <c r="PZT8" s="3418"/>
      <c r="PZU8" s="3418"/>
      <c r="PZV8" s="3418"/>
      <c r="PZW8" s="3418"/>
      <c r="PZX8" s="3418"/>
      <c r="PZY8" s="3418"/>
      <c r="PZZ8" s="3418"/>
      <c r="QAA8" s="3418"/>
      <c r="QAB8" s="3418"/>
      <c r="QAC8" s="3418"/>
      <c r="QAD8" s="3418"/>
      <c r="QAE8" s="3418"/>
      <c r="QAF8" s="3418"/>
      <c r="QAG8" s="3418"/>
      <c r="QAH8" s="3418"/>
      <c r="QAI8" s="3418"/>
      <c r="QAJ8" s="3418"/>
      <c r="QAK8" s="3418"/>
      <c r="QAL8" s="3418"/>
      <c r="QAM8" s="3418"/>
      <c r="QAN8" s="3418"/>
      <c r="QAO8" s="3418"/>
      <c r="QAP8" s="3418"/>
      <c r="QAQ8" s="3418"/>
      <c r="QAR8" s="3418"/>
      <c r="QAS8" s="3418"/>
      <c r="QAT8" s="3418"/>
      <c r="QAU8" s="3418"/>
      <c r="QAV8" s="3418"/>
      <c r="QAW8" s="3418"/>
      <c r="QAX8" s="3418"/>
      <c r="QAY8" s="3418"/>
      <c r="QAZ8" s="3418"/>
      <c r="QBA8" s="3418"/>
      <c r="QBB8" s="3418"/>
      <c r="QBC8" s="3418"/>
      <c r="QBD8" s="3418"/>
      <c r="QBE8" s="3418"/>
      <c r="QBF8" s="3418"/>
      <c r="QBG8" s="3418"/>
      <c r="QBH8" s="3418"/>
      <c r="QBI8" s="3418"/>
      <c r="QBJ8" s="3418"/>
      <c r="QBK8" s="3418"/>
      <c r="QBL8" s="3418"/>
      <c r="QBM8" s="3418"/>
      <c r="QBN8" s="3418"/>
      <c r="QBO8" s="3418"/>
      <c r="QBP8" s="3418"/>
      <c r="QBQ8" s="3418"/>
      <c r="QBR8" s="3418"/>
      <c r="QBS8" s="3418"/>
      <c r="QBT8" s="3418"/>
      <c r="QBU8" s="3418"/>
      <c r="QBV8" s="3418"/>
      <c r="QBW8" s="3418"/>
      <c r="QBX8" s="3418"/>
      <c r="QBY8" s="3418"/>
      <c r="QBZ8" s="3418"/>
      <c r="QCA8" s="3418"/>
      <c r="QCB8" s="3418"/>
      <c r="QCC8" s="3418"/>
      <c r="QCD8" s="3418"/>
      <c r="QCE8" s="3418"/>
      <c r="QCF8" s="3418"/>
      <c r="QCG8" s="3418"/>
      <c r="QCH8" s="3418"/>
      <c r="QCI8" s="3418"/>
      <c r="QCJ8" s="3418"/>
      <c r="QCK8" s="3418"/>
      <c r="QCL8" s="3418"/>
      <c r="QCM8" s="3418"/>
      <c r="QCN8" s="3418"/>
      <c r="QCO8" s="3418"/>
      <c r="QCP8" s="3418"/>
      <c r="QCQ8" s="3418"/>
      <c r="QCR8" s="3418"/>
      <c r="QCS8" s="3418"/>
      <c r="QCT8" s="3418"/>
      <c r="QCU8" s="3418"/>
      <c r="QCV8" s="3418"/>
      <c r="QCW8" s="3418"/>
      <c r="QCX8" s="3418"/>
      <c r="QCY8" s="3418"/>
      <c r="QCZ8" s="3418"/>
      <c r="QDA8" s="3418"/>
      <c r="QDB8" s="3418"/>
      <c r="QDC8" s="3418"/>
      <c r="QDD8" s="3418"/>
      <c r="QDE8" s="3418"/>
      <c r="QDF8" s="3418"/>
      <c r="QDG8" s="3418"/>
      <c r="QDH8" s="3418"/>
      <c r="QDI8" s="3418"/>
      <c r="QDJ8" s="3418"/>
      <c r="QDK8" s="3418"/>
      <c r="QDL8" s="3418"/>
      <c r="QDM8" s="3418"/>
      <c r="QDN8" s="3418"/>
      <c r="QDO8" s="3418"/>
      <c r="QDP8" s="3418"/>
      <c r="QDQ8" s="3418"/>
      <c r="QDR8" s="3418"/>
      <c r="QDS8" s="3418"/>
      <c r="QDT8" s="3418"/>
      <c r="QDU8" s="3418"/>
      <c r="QDV8" s="3418"/>
      <c r="QDW8" s="3418"/>
      <c r="QDX8" s="3418"/>
      <c r="QDY8" s="3418"/>
      <c r="QDZ8" s="3418"/>
      <c r="QEA8" s="3418"/>
      <c r="QEB8" s="3418"/>
      <c r="QEC8" s="3418"/>
      <c r="QED8" s="3418"/>
      <c r="QEE8" s="3418"/>
      <c r="QEF8" s="3418"/>
      <c r="QEG8" s="3418"/>
      <c r="QEH8" s="3418"/>
      <c r="QEI8" s="3418"/>
      <c r="QEJ8" s="3418"/>
      <c r="QEK8" s="3418"/>
      <c r="QEL8" s="3418"/>
      <c r="QEM8" s="3418"/>
      <c r="QEN8" s="3418"/>
      <c r="QEO8" s="3418"/>
      <c r="QEP8" s="3418"/>
      <c r="QEQ8" s="3418"/>
      <c r="QER8" s="3418"/>
      <c r="QES8" s="3418"/>
      <c r="QET8" s="3418"/>
      <c r="QEU8" s="3418"/>
      <c r="QEV8" s="3418"/>
      <c r="QEW8" s="3418"/>
      <c r="QEX8" s="3418"/>
      <c r="QEY8" s="3418"/>
      <c r="QEZ8" s="3418"/>
      <c r="QFA8" s="3418"/>
      <c r="QFB8" s="3418"/>
      <c r="QFC8" s="3418"/>
      <c r="QFD8" s="3418"/>
      <c r="QFE8" s="3418"/>
      <c r="QFF8" s="3418"/>
      <c r="QFG8" s="3418"/>
      <c r="QFH8" s="3418"/>
      <c r="QFI8" s="3418"/>
      <c r="QFJ8" s="3418"/>
      <c r="QFK8" s="3418"/>
      <c r="QFL8" s="3418"/>
      <c r="QFM8" s="3418"/>
      <c r="QFN8" s="3418"/>
      <c r="QFO8" s="3418"/>
      <c r="QFP8" s="3418"/>
      <c r="QFQ8" s="3418"/>
      <c r="QFR8" s="3418"/>
      <c r="QFS8" s="3418"/>
      <c r="QFT8" s="3418"/>
      <c r="QFU8" s="3418"/>
      <c r="QFV8" s="3418"/>
      <c r="QFW8" s="3418"/>
      <c r="QFX8" s="3418"/>
      <c r="QFY8" s="3418"/>
      <c r="QFZ8" s="3418"/>
      <c r="QGA8" s="3418"/>
      <c r="QGB8" s="3418"/>
      <c r="QGC8" s="3418"/>
      <c r="QGD8" s="3418"/>
      <c r="QGE8" s="3418"/>
      <c r="QGF8" s="3418"/>
      <c r="QGG8" s="3418"/>
      <c r="QGH8" s="3418"/>
      <c r="QGI8" s="3418"/>
      <c r="QGJ8" s="3418"/>
      <c r="QGK8" s="3418"/>
      <c r="QGL8" s="3418"/>
      <c r="QGM8" s="3418"/>
      <c r="QGN8" s="3418"/>
      <c r="QGO8" s="3418"/>
      <c r="QGP8" s="3418"/>
      <c r="QGQ8" s="3418"/>
      <c r="QGR8" s="3418"/>
      <c r="QGS8" s="3418"/>
      <c r="QGT8" s="3418"/>
      <c r="QGU8" s="3418"/>
      <c r="QGV8" s="3418"/>
      <c r="QGW8" s="3418"/>
      <c r="QGX8" s="3418"/>
      <c r="QGY8" s="3418"/>
      <c r="QGZ8" s="3418"/>
      <c r="QHA8" s="3418"/>
      <c r="QHB8" s="3418"/>
      <c r="QHC8" s="3418"/>
      <c r="QHD8" s="3418"/>
      <c r="QHE8" s="3418"/>
      <c r="QHF8" s="3418"/>
      <c r="QHG8" s="3418"/>
      <c r="QHH8" s="3418"/>
      <c r="QHI8" s="3418"/>
      <c r="QHJ8" s="3418"/>
      <c r="QHK8" s="3418"/>
      <c r="QHL8" s="3418"/>
      <c r="QHM8" s="3418"/>
      <c r="QHN8" s="3418"/>
      <c r="QHO8" s="3418"/>
      <c r="QHP8" s="3418"/>
      <c r="QHQ8" s="3418"/>
      <c r="QHR8" s="3418"/>
      <c r="QHS8" s="3418"/>
      <c r="QHT8" s="3418"/>
      <c r="QHU8" s="3418"/>
      <c r="QHV8" s="3418"/>
      <c r="QHW8" s="3418"/>
      <c r="QHX8" s="3418"/>
      <c r="QHY8" s="3418"/>
      <c r="QHZ8" s="3418"/>
      <c r="QIA8" s="3418"/>
      <c r="QIB8" s="3418"/>
      <c r="QIC8" s="3418"/>
      <c r="QID8" s="3418"/>
      <c r="QIE8" s="3418"/>
      <c r="QIF8" s="3418"/>
      <c r="QIG8" s="3418"/>
      <c r="QIH8" s="3418"/>
      <c r="QII8" s="3418"/>
      <c r="QIJ8" s="3418"/>
      <c r="QIK8" s="3418"/>
      <c r="QIL8" s="3418"/>
      <c r="QIM8" s="3418"/>
      <c r="QIN8" s="3418"/>
      <c r="QIO8" s="3418"/>
      <c r="QIP8" s="3418"/>
      <c r="QIQ8" s="3418"/>
      <c r="QIR8" s="3418"/>
      <c r="QIS8" s="3418"/>
      <c r="QIT8" s="3418"/>
      <c r="QIU8" s="3418"/>
      <c r="QIV8" s="3418"/>
      <c r="QIW8" s="3418"/>
      <c r="QIX8" s="3418"/>
      <c r="QIY8" s="3418"/>
      <c r="QIZ8" s="3418"/>
      <c r="QJA8" s="3418"/>
      <c r="QJB8" s="3418"/>
      <c r="QJC8" s="3418"/>
      <c r="QJD8" s="3418"/>
      <c r="QJE8" s="3418"/>
      <c r="QJF8" s="3418"/>
      <c r="QJG8" s="3418"/>
      <c r="QJH8" s="3418"/>
      <c r="QJI8" s="3418"/>
      <c r="QJJ8" s="3418"/>
      <c r="QJK8" s="3418"/>
      <c r="QJL8" s="3418"/>
      <c r="QJM8" s="3418"/>
      <c r="QJN8" s="3418"/>
      <c r="QJO8" s="3418"/>
      <c r="QJP8" s="3418"/>
      <c r="QJQ8" s="3418"/>
      <c r="QJR8" s="3418"/>
      <c r="QJS8" s="3418"/>
      <c r="QJT8" s="3418"/>
      <c r="QJU8" s="3418"/>
      <c r="QJV8" s="3418"/>
      <c r="QJW8" s="3418"/>
      <c r="QJX8" s="3418"/>
      <c r="QJY8" s="3418"/>
      <c r="QJZ8" s="3418"/>
      <c r="QKA8" s="3418"/>
      <c r="QKB8" s="3418"/>
      <c r="QKC8" s="3418"/>
      <c r="QKD8" s="3418"/>
      <c r="QKE8" s="3418"/>
      <c r="QKF8" s="3418"/>
      <c r="QKG8" s="3418"/>
      <c r="QKH8" s="3418"/>
      <c r="QKI8" s="3418"/>
      <c r="QKJ8" s="3418"/>
      <c r="QKK8" s="3418"/>
      <c r="QKL8" s="3418"/>
      <c r="QKM8" s="3418"/>
      <c r="QKN8" s="3418"/>
      <c r="QKO8" s="3418"/>
      <c r="QKP8" s="3418"/>
      <c r="QKQ8" s="3418"/>
      <c r="QKR8" s="3418"/>
      <c r="QKS8" s="3418"/>
      <c r="QKT8" s="3418"/>
      <c r="QKU8" s="3418"/>
      <c r="QKV8" s="3418"/>
      <c r="QKW8" s="3418"/>
      <c r="QKX8" s="3418"/>
      <c r="QKY8" s="3418"/>
      <c r="QKZ8" s="3418"/>
      <c r="QLA8" s="3418"/>
      <c r="QLB8" s="3418"/>
      <c r="QLC8" s="3418"/>
      <c r="QLD8" s="3418"/>
      <c r="QLE8" s="3418"/>
      <c r="QLF8" s="3418"/>
      <c r="QLG8" s="3418"/>
      <c r="QLH8" s="3418"/>
      <c r="QLI8" s="3418"/>
      <c r="QLJ8" s="3418"/>
      <c r="QLK8" s="3418"/>
      <c r="QLL8" s="3418"/>
      <c r="QLM8" s="3418"/>
      <c r="QLN8" s="3418"/>
      <c r="QLO8" s="3418"/>
      <c r="QLP8" s="3418"/>
      <c r="QLQ8" s="3418"/>
      <c r="QLR8" s="3418"/>
      <c r="QLS8" s="3418"/>
      <c r="QLT8" s="3418"/>
      <c r="QLU8" s="3418"/>
      <c r="QLV8" s="3418"/>
      <c r="QLW8" s="3418"/>
      <c r="QLX8" s="3418"/>
      <c r="QLY8" s="3418"/>
      <c r="QLZ8" s="3418"/>
      <c r="QMA8" s="3418"/>
      <c r="QMB8" s="3418"/>
      <c r="QMC8" s="3418"/>
      <c r="QMD8" s="3418"/>
      <c r="QME8" s="3418"/>
      <c r="QMF8" s="3418"/>
      <c r="QMG8" s="3418"/>
      <c r="QMH8" s="3418"/>
      <c r="QMI8" s="3418"/>
      <c r="QMJ8" s="3418"/>
      <c r="QMK8" s="3418"/>
      <c r="QML8" s="3418"/>
      <c r="QMM8" s="3418"/>
      <c r="QMN8" s="3418"/>
      <c r="QMO8" s="3418"/>
      <c r="QMP8" s="3418"/>
      <c r="QMQ8" s="3418"/>
      <c r="QMR8" s="3418"/>
      <c r="QMS8" s="3418"/>
      <c r="QMT8" s="3418"/>
      <c r="QMU8" s="3418"/>
      <c r="QMV8" s="3418"/>
      <c r="QMW8" s="3418"/>
      <c r="QMX8" s="3418"/>
      <c r="QMY8" s="3418"/>
      <c r="QMZ8" s="3418"/>
      <c r="QNA8" s="3418"/>
      <c r="QNB8" s="3418"/>
      <c r="QNC8" s="3418"/>
      <c r="QND8" s="3418"/>
      <c r="QNE8" s="3418"/>
      <c r="QNF8" s="3418"/>
      <c r="QNG8" s="3418"/>
      <c r="QNH8" s="3418"/>
      <c r="QNI8" s="3418"/>
      <c r="QNJ8" s="3418"/>
      <c r="QNK8" s="3418"/>
      <c r="QNL8" s="3418"/>
      <c r="QNM8" s="3418"/>
      <c r="QNN8" s="3418"/>
      <c r="QNO8" s="3418"/>
      <c r="QNP8" s="3418"/>
      <c r="QNQ8" s="3418"/>
      <c r="QNR8" s="3418"/>
      <c r="QNS8" s="3418"/>
      <c r="QNT8" s="3418"/>
      <c r="QNU8" s="3418"/>
      <c r="QNV8" s="3418"/>
      <c r="QNW8" s="3418"/>
      <c r="QNX8" s="3418"/>
      <c r="QNY8" s="3418"/>
      <c r="QNZ8" s="3418"/>
      <c r="QOA8" s="3418"/>
      <c r="QOB8" s="3418"/>
      <c r="QOC8" s="3418"/>
      <c r="QOD8" s="3418"/>
      <c r="QOE8" s="3418"/>
      <c r="QOF8" s="3418"/>
      <c r="QOG8" s="3418"/>
      <c r="QOH8" s="3418"/>
      <c r="QOI8" s="3418"/>
      <c r="QOJ8" s="3418"/>
      <c r="QOK8" s="3418"/>
      <c r="QOL8" s="3418"/>
      <c r="QOM8" s="3418"/>
      <c r="QON8" s="3418"/>
      <c r="QOO8" s="3418"/>
      <c r="QOP8" s="3418"/>
      <c r="QOQ8" s="3418"/>
      <c r="QOR8" s="3418"/>
      <c r="QOS8" s="3418"/>
      <c r="QOT8" s="3418"/>
      <c r="QOU8" s="3418"/>
      <c r="QOV8" s="3418"/>
      <c r="QOW8" s="3418"/>
      <c r="QOX8" s="3418"/>
      <c r="QOY8" s="3418"/>
      <c r="QOZ8" s="3418"/>
      <c r="QPA8" s="3418"/>
      <c r="QPB8" s="3418"/>
      <c r="QPC8" s="3418"/>
      <c r="QPD8" s="3418"/>
      <c r="QPE8" s="3418"/>
      <c r="QPF8" s="3418"/>
      <c r="QPG8" s="3418"/>
      <c r="QPH8" s="3418"/>
      <c r="QPI8" s="3418"/>
      <c r="QPJ8" s="3418"/>
      <c r="QPK8" s="3418"/>
      <c r="QPL8" s="3418"/>
      <c r="QPM8" s="3418"/>
      <c r="QPN8" s="3418"/>
      <c r="QPO8" s="3418"/>
      <c r="QPP8" s="3418"/>
      <c r="QPQ8" s="3418"/>
      <c r="QPR8" s="3418"/>
      <c r="QPS8" s="3418"/>
      <c r="QPT8" s="3418"/>
      <c r="QPU8" s="3418"/>
      <c r="QPV8" s="3418"/>
      <c r="QPW8" s="3418"/>
      <c r="QPX8" s="3418"/>
      <c r="QPY8" s="3418"/>
      <c r="QPZ8" s="3418"/>
      <c r="QQA8" s="3418"/>
      <c r="QQB8" s="3418"/>
      <c r="QQC8" s="3418"/>
      <c r="QQD8" s="3418"/>
      <c r="QQE8" s="3418"/>
      <c r="QQF8" s="3418"/>
      <c r="QQG8" s="3418"/>
      <c r="QQH8" s="3418"/>
      <c r="QQI8" s="3418"/>
      <c r="QQJ8" s="3418"/>
      <c r="QQK8" s="3418"/>
      <c r="QQL8" s="3418"/>
      <c r="QQM8" s="3418"/>
      <c r="QQN8" s="3418"/>
      <c r="QQO8" s="3418"/>
      <c r="QQP8" s="3418"/>
      <c r="QQQ8" s="3418"/>
      <c r="QQR8" s="3418"/>
      <c r="QQS8" s="3418"/>
      <c r="QQT8" s="3418"/>
      <c r="QQU8" s="3418"/>
      <c r="QQV8" s="3418"/>
      <c r="QQW8" s="3418"/>
      <c r="QQX8" s="3418"/>
      <c r="QQY8" s="3418"/>
      <c r="QQZ8" s="3418"/>
      <c r="QRA8" s="3418"/>
      <c r="QRB8" s="3418"/>
      <c r="QRC8" s="3418"/>
      <c r="QRD8" s="3418"/>
      <c r="QRE8" s="3418"/>
      <c r="QRF8" s="3418"/>
      <c r="QRG8" s="3418"/>
      <c r="QRH8" s="3418"/>
      <c r="QRI8" s="3418"/>
      <c r="QRJ8" s="3418"/>
      <c r="QRK8" s="3418"/>
      <c r="QRL8" s="3418"/>
      <c r="QRM8" s="3418"/>
      <c r="QRN8" s="3418"/>
      <c r="QRO8" s="3418"/>
      <c r="QRP8" s="3418"/>
      <c r="QRQ8" s="3418"/>
      <c r="QRR8" s="3418"/>
      <c r="QRS8" s="3418"/>
      <c r="QRT8" s="3418"/>
      <c r="QRU8" s="3418"/>
      <c r="QRV8" s="3418"/>
      <c r="QRW8" s="3418"/>
      <c r="QRX8" s="3418"/>
      <c r="QRY8" s="3418"/>
      <c r="QRZ8" s="3418"/>
      <c r="QSA8" s="3418"/>
      <c r="QSB8" s="3418"/>
      <c r="QSC8" s="3418"/>
      <c r="QSD8" s="3418"/>
      <c r="QSE8" s="3418"/>
      <c r="QSF8" s="3418"/>
      <c r="QSG8" s="3418"/>
      <c r="QSH8" s="3418"/>
      <c r="QSI8" s="3418"/>
      <c r="QSJ8" s="3418"/>
      <c r="QSK8" s="3418"/>
      <c r="QSL8" s="3418"/>
      <c r="QSM8" s="3418"/>
      <c r="QSN8" s="3418"/>
      <c r="QSO8" s="3418"/>
      <c r="QSP8" s="3418"/>
      <c r="QSQ8" s="3418"/>
      <c r="QSR8" s="3418"/>
      <c r="QSS8" s="3418"/>
      <c r="QST8" s="3418"/>
      <c r="QSU8" s="3418"/>
      <c r="QSV8" s="3418"/>
      <c r="QSW8" s="3418"/>
      <c r="QSX8" s="3418"/>
      <c r="QSY8" s="3418"/>
      <c r="QSZ8" s="3418"/>
      <c r="QTA8" s="3418"/>
      <c r="QTB8" s="3418"/>
      <c r="QTC8" s="3418"/>
      <c r="QTD8" s="3418"/>
      <c r="QTE8" s="3418"/>
      <c r="QTF8" s="3418"/>
      <c r="QTG8" s="3418"/>
      <c r="QTH8" s="3418"/>
      <c r="QTI8" s="3418"/>
      <c r="QTJ8" s="3418"/>
      <c r="QTK8" s="3418"/>
      <c r="QTL8" s="3418"/>
      <c r="QTM8" s="3418"/>
      <c r="QTN8" s="3418"/>
      <c r="QTO8" s="3418"/>
      <c r="QTP8" s="3418"/>
      <c r="QTQ8" s="3418"/>
      <c r="QTR8" s="3418"/>
      <c r="QTS8" s="3418"/>
      <c r="QTT8" s="3418"/>
      <c r="QTU8" s="3418"/>
      <c r="QTV8" s="3418"/>
      <c r="QTW8" s="3418"/>
      <c r="QTX8" s="3418"/>
      <c r="QTY8" s="3418"/>
      <c r="QTZ8" s="3418"/>
      <c r="QUA8" s="3418"/>
      <c r="QUB8" s="3418"/>
      <c r="QUC8" s="3418"/>
      <c r="QUD8" s="3418"/>
      <c r="QUE8" s="3418"/>
      <c r="QUF8" s="3418"/>
      <c r="QUG8" s="3418"/>
      <c r="QUH8" s="3418"/>
      <c r="QUI8" s="3418"/>
      <c r="QUJ8" s="3418"/>
      <c r="QUK8" s="3418"/>
      <c r="QUL8" s="3418"/>
      <c r="QUM8" s="3418"/>
      <c r="QUN8" s="3418"/>
      <c r="QUO8" s="3418"/>
      <c r="QUP8" s="3418"/>
      <c r="QUQ8" s="3418"/>
      <c r="QUR8" s="3418"/>
      <c r="QUS8" s="3418"/>
      <c r="QUT8" s="3418"/>
      <c r="QUU8" s="3418"/>
      <c r="QUV8" s="3418"/>
      <c r="QUW8" s="3418"/>
      <c r="QUX8" s="3418"/>
      <c r="QUY8" s="3418"/>
      <c r="QUZ8" s="3418"/>
      <c r="QVA8" s="3418"/>
      <c r="QVB8" s="3418"/>
      <c r="QVC8" s="3418"/>
      <c r="QVD8" s="3418"/>
      <c r="QVE8" s="3418"/>
      <c r="QVF8" s="3418"/>
      <c r="QVG8" s="3418"/>
      <c r="QVH8" s="3418"/>
      <c r="QVI8" s="3418"/>
      <c r="QVJ8" s="3418"/>
      <c r="QVK8" s="3418"/>
      <c r="QVL8" s="3418"/>
      <c r="QVM8" s="3418"/>
      <c r="QVN8" s="3418"/>
      <c r="QVO8" s="3418"/>
      <c r="QVP8" s="3418"/>
      <c r="QVQ8" s="3418"/>
      <c r="QVR8" s="3418"/>
      <c r="QVS8" s="3418"/>
      <c r="QVT8" s="3418"/>
      <c r="QVU8" s="3418"/>
      <c r="QVV8" s="3418"/>
      <c r="QVW8" s="3418"/>
      <c r="QVX8" s="3418"/>
      <c r="QVY8" s="3418"/>
      <c r="QVZ8" s="3418"/>
      <c r="QWA8" s="3418"/>
      <c r="QWB8" s="3418"/>
      <c r="QWC8" s="3418"/>
      <c r="QWD8" s="3418"/>
      <c r="QWE8" s="3418"/>
      <c r="QWF8" s="3418"/>
      <c r="QWG8" s="3418"/>
      <c r="QWH8" s="3418"/>
      <c r="QWI8" s="3418"/>
      <c r="QWJ8" s="3418"/>
      <c r="QWK8" s="3418"/>
      <c r="QWL8" s="3418"/>
      <c r="QWM8" s="3418"/>
      <c r="QWN8" s="3418"/>
      <c r="QWO8" s="3418"/>
      <c r="QWP8" s="3418"/>
      <c r="QWQ8" s="3418"/>
      <c r="QWR8" s="3418"/>
      <c r="QWS8" s="3418"/>
      <c r="QWT8" s="3418"/>
      <c r="QWU8" s="3418"/>
      <c r="QWV8" s="3418"/>
      <c r="QWW8" s="3418"/>
      <c r="QWX8" s="3418"/>
      <c r="QWY8" s="3418"/>
      <c r="QWZ8" s="3418"/>
      <c r="QXA8" s="3418"/>
      <c r="QXB8" s="3418"/>
      <c r="QXC8" s="3418"/>
      <c r="QXD8" s="3418"/>
      <c r="QXE8" s="3418"/>
      <c r="QXF8" s="3418"/>
      <c r="QXG8" s="3418"/>
      <c r="QXH8" s="3418"/>
      <c r="QXI8" s="3418"/>
      <c r="QXJ8" s="3418"/>
      <c r="QXK8" s="3418"/>
      <c r="QXL8" s="3418"/>
      <c r="QXM8" s="3418"/>
      <c r="QXN8" s="3418"/>
      <c r="QXO8" s="3418"/>
      <c r="QXP8" s="3418"/>
      <c r="QXQ8" s="3418"/>
      <c r="QXR8" s="3418"/>
      <c r="QXS8" s="3418"/>
      <c r="QXT8" s="3418"/>
      <c r="QXU8" s="3418"/>
      <c r="QXV8" s="3418"/>
      <c r="QXW8" s="3418"/>
      <c r="QXX8" s="3418"/>
      <c r="QXY8" s="3418"/>
      <c r="QXZ8" s="3418"/>
      <c r="QYA8" s="3418"/>
      <c r="QYB8" s="3418"/>
      <c r="QYC8" s="3418"/>
      <c r="QYD8" s="3418"/>
      <c r="QYE8" s="3418"/>
      <c r="QYF8" s="3418"/>
      <c r="QYG8" s="3418"/>
      <c r="QYH8" s="3418"/>
      <c r="QYI8" s="3418"/>
      <c r="QYJ8" s="3418"/>
      <c r="QYK8" s="3418"/>
      <c r="QYL8" s="3418"/>
      <c r="QYM8" s="3418"/>
      <c r="QYN8" s="3418"/>
      <c r="QYO8" s="3418"/>
      <c r="QYP8" s="3418"/>
      <c r="QYQ8" s="3418"/>
      <c r="QYR8" s="3418"/>
      <c r="QYS8" s="3418"/>
      <c r="QYT8" s="3418"/>
      <c r="QYU8" s="3418"/>
      <c r="QYV8" s="3418"/>
      <c r="QYW8" s="3418"/>
      <c r="QYX8" s="3418"/>
      <c r="QYY8" s="3418"/>
      <c r="QYZ8" s="3418"/>
      <c r="QZA8" s="3418"/>
      <c r="QZB8" s="3418"/>
      <c r="QZC8" s="3418"/>
      <c r="QZD8" s="3418"/>
      <c r="QZE8" s="3418"/>
      <c r="QZF8" s="3418"/>
      <c r="QZG8" s="3418"/>
      <c r="QZH8" s="3418"/>
      <c r="QZI8" s="3418"/>
      <c r="QZJ8" s="3418"/>
      <c r="QZK8" s="3418"/>
      <c r="QZL8" s="3418"/>
      <c r="QZM8" s="3418"/>
      <c r="QZN8" s="3418"/>
      <c r="QZO8" s="3418"/>
      <c r="QZP8" s="3418"/>
      <c r="QZQ8" s="3418"/>
      <c r="QZR8" s="3418"/>
      <c r="QZS8" s="3418"/>
      <c r="QZT8" s="3418"/>
      <c r="QZU8" s="3418"/>
      <c r="QZV8" s="3418"/>
      <c r="QZW8" s="3418"/>
      <c r="QZX8" s="3418"/>
      <c r="QZY8" s="3418"/>
      <c r="QZZ8" s="3418"/>
      <c r="RAA8" s="3418"/>
      <c r="RAB8" s="3418"/>
      <c r="RAC8" s="3418"/>
      <c r="RAD8" s="3418"/>
      <c r="RAE8" s="3418"/>
      <c r="RAF8" s="3418"/>
      <c r="RAG8" s="3418"/>
      <c r="RAH8" s="3418"/>
      <c r="RAI8" s="3418"/>
      <c r="RAJ8" s="3418"/>
      <c r="RAK8" s="3418"/>
      <c r="RAL8" s="3418"/>
      <c r="RAM8" s="3418"/>
      <c r="RAN8" s="3418"/>
      <c r="RAO8" s="3418"/>
      <c r="RAP8" s="3418"/>
      <c r="RAQ8" s="3418"/>
      <c r="RAR8" s="3418"/>
      <c r="RAS8" s="3418"/>
      <c r="RAT8" s="3418"/>
      <c r="RAU8" s="3418"/>
      <c r="RAV8" s="3418"/>
      <c r="RAW8" s="3418"/>
      <c r="RAX8" s="3418"/>
      <c r="RAY8" s="3418"/>
      <c r="RAZ8" s="3418"/>
      <c r="RBA8" s="3418"/>
      <c r="RBB8" s="3418"/>
      <c r="RBC8" s="3418"/>
      <c r="RBD8" s="3418"/>
      <c r="RBE8" s="3418"/>
      <c r="RBF8" s="3418"/>
      <c r="RBG8" s="3418"/>
      <c r="RBH8" s="3418"/>
      <c r="RBI8" s="3418"/>
      <c r="RBJ8" s="3418"/>
      <c r="RBK8" s="3418"/>
      <c r="RBL8" s="3418"/>
      <c r="RBM8" s="3418"/>
      <c r="RBN8" s="3418"/>
      <c r="RBO8" s="3418"/>
      <c r="RBP8" s="3418"/>
      <c r="RBQ8" s="3418"/>
      <c r="RBR8" s="3418"/>
      <c r="RBS8" s="3418"/>
      <c r="RBT8" s="3418"/>
      <c r="RBU8" s="3418"/>
      <c r="RBV8" s="3418"/>
      <c r="RBW8" s="3418"/>
      <c r="RBX8" s="3418"/>
      <c r="RBY8" s="3418"/>
      <c r="RBZ8" s="3418"/>
      <c r="RCA8" s="3418"/>
      <c r="RCB8" s="3418"/>
      <c r="RCC8" s="3418"/>
      <c r="RCD8" s="3418"/>
      <c r="RCE8" s="3418"/>
      <c r="RCF8" s="3418"/>
      <c r="RCG8" s="3418"/>
      <c r="RCH8" s="3418"/>
      <c r="RCI8" s="3418"/>
      <c r="RCJ8" s="3418"/>
      <c r="RCK8" s="3418"/>
      <c r="RCL8" s="3418"/>
      <c r="RCM8" s="3418"/>
      <c r="RCN8" s="3418"/>
      <c r="RCO8" s="3418"/>
      <c r="RCP8" s="3418"/>
      <c r="RCQ8" s="3418"/>
      <c r="RCR8" s="3418"/>
      <c r="RCS8" s="3418"/>
      <c r="RCT8" s="3418"/>
      <c r="RCU8" s="3418"/>
      <c r="RCV8" s="3418"/>
      <c r="RCW8" s="3418"/>
      <c r="RCX8" s="3418"/>
      <c r="RCY8" s="3418"/>
      <c r="RCZ8" s="3418"/>
      <c r="RDA8" s="3418"/>
      <c r="RDB8" s="3418"/>
      <c r="RDC8" s="3418"/>
      <c r="RDD8" s="3418"/>
      <c r="RDE8" s="3418"/>
      <c r="RDF8" s="3418"/>
      <c r="RDG8" s="3418"/>
      <c r="RDH8" s="3418"/>
      <c r="RDI8" s="3418"/>
      <c r="RDJ8" s="3418"/>
      <c r="RDK8" s="3418"/>
      <c r="RDL8" s="3418"/>
      <c r="RDM8" s="3418"/>
      <c r="RDN8" s="3418"/>
      <c r="RDO8" s="3418"/>
      <c r="RDP8" s="3418"/>
      <c r="RDQ8" s="3418"/>
      <c r="RDR8" s="3418"/>
      <c r="RDS8" s="3418"/>
      <c r="RDT8" s="3418"/>
      <c r="RDU8" s="3418"/>
      <c r="RDV8" s="3418"/>
      <c r="RDW8" s="3418"/>
      <c r="RDX8" s="3418"/>
      <c r="RDY8" s="3418"/>
      <c r="RDZ8" s="3418"/>
      <c r="REA8" s="3418"/>
      <c r="REB8" s="3418"/>
      <c r="REC8" s="3418"/>
      <c r="RED8" s="3418"/>
      <c r="REE8" s="3418"/>
      <c r="REF8" s="3418"/>
      <c r="REG8" s="3418"/>
      <c r="REH8" s="3418"/>
      <c r="REI8" s="3418"/>
      <c r="REJ8" s="3418"/>
      <c r="REK8" s="3418"/>
      <c r="REL8" s="3418"/>
      <c r="REM8" s="3418"/>
      <c r="REN8" s="3418"/>
      <c r="REO8" s="3418"/>
      <c r="REP8" s="3418"/>
      <c r="REQ8" s="3418"/>
      <c r="RER8" s="3418"/>
      <c r="RES8" s="3418"/>
      <c r="RET8" s="3418"/>
      <c r="REU8" s="3418"/>
      <c r="REV8" s="3418"/>
      <c r="REW8" s="3418"/>
      <c r="REX8" s="3418"/>
      <c r="REY8" s="3418"/>
      <c r="REZ8" s="3418"/>
      <c r="RFA8" s="3418"/>
      <c r="RFB8" s="3418"/>
      <c r="RFC8" s="3418"/>
      <c r="RFD8" s="3418"/>
      <c r="RFE8" s="3418"/>
      <c r="RFF8" s="3418"/>
      <c r="RFG8" s="3418"/>
      <c r="RFH8" s="3418"/>
      <c r="RFI8" s="3418"/>
      <c r="RFJ8" s="3418"/>
      <c r="RFK8" s="3418"/>
      <c r="RFL8" s="3418"/>
      <c r="RFM8" s="3418"/>
      <c r="RFN8" s="3418"/>
      <c r="RFO8" s="3418"/>
      <c r="RFP8" s="3418"/>
      <c r="RFQ8" s="3418"/>
      <c r="RFR8" s="3418"/>
      <c r="RFS8" s="3418"/>
      <c r="RFT8" s="3418"/>
      <c r="RFU8" s="3418"/>
      <c r="RFV8" s="3418"/>
      <c r="RFW8" s="3418"/>
      <c r="RFX8" s="3418"/>
      <c r="RFY8" s="3418"/>
      <c r="RFZ8" s="3418"/>
      <c r="RGA8" s="3418"/>
      <c r="RGB8" s="3418"/>
      <c r="RGC8" s="3418"/>
      <c r="RGD8" s="3418"/>
      <c r="RGE8" s="3418"/>
      <c r="RGF8" s="3418"/>
      <c r="RGG8" s="3418"/>
      <c r="RGH8" s="3418"/>
      <c r="RGI8" s="3418"/>
      <c r="RGJ8" s="3418"/>
      <c r="RGK8" s="3418"/>
      <c r="RGL8" s="3418"/>
      <c r="RGM8" s="3418"/>
      <c r="RGN8" s="3418"/>
      <c r="RGO8" s="3418"/>
      <c r="RGP8" s="3418"/>
      <c r="RGQ8" s="3418"/>
      <c r="RGR8" s="3418"/>
      <c r="RGS8" s="3418"/>
      <c r="RGT8" s="3418"/>
      <c r="RGU8" s="3418"/>
      <c r="RGV8" s="3418"/>
      <c r="RGW8" s="3418"/>
      <c r="RGX8" s="3418"/>
      <c r="RGY8" s="3418"/>
      <c r="RGZ8" s="3418"/>
      <c r="RHA8" s="3418"/>
      <c r="RHB8" s="3418"/>
      <c r="RHC8" s="3418"/>
      <c r="RHD8" s="3418"/>
      <c r="RHE8" s="3418"/>
      <c r="RHF8" s="3418"/>
      <c r="RHG8" s="3418"/>
      <c r="RHH8" s="3418"/>
      <c r="RHI8" s="3418"/>
      <c r="RHJ8" s="3418"/>
      <c r="RHK8" s="3418"/>
      <c r="RHL8" s="3418"/>
      <c r="RHM8" s="3418"/>
      <c r="RHN8" s="3418"/>
      <c r="RHO8" s="3418"/>
      <c r="RHP8" s="3418"/>
      <c r="RHQ8" s="3418"/>
      <c r="RHR8" s="3418"/>
      <c r="RHS8" s="3418"/>
      <c r="RHT8" s="3418"/>
      <c r="RHU8" s="3418"/>
      <c r="RHV8" s="3418"/>
      <c r="RHW8" s="3418"/>
      <c r="RHX8" s="3418"/>
      <c r="RHY8" s="3418"/>
      <c r="RHZ8" s="3418"/>
      <c r="RIA8" s="3418"/>
      <c r="RIB8" s="3418"/>
      <c r="RIC8" s="3418"/>
      <c r="RID8" s="3418"/>
      <c r="RIE8" s="3418"/>
      <c r="RIF8" s="3418"/>
      <c r="RIG8" s="3418"/>
      <c r="RIH8" s="3418"/>
      <c r="RII8" s="3418"/>
      <c r="RIJ8" s="3418"/>
      <c r="RIK8" s="3418"/>
      <c r="RIL8" s="3418"/>
      <c r="RIM8" s="3418"/>
      <c r="RIN8" s="3418"/>
      <c r="RIO8" s="3418"/>
      <c r="RIP8" s="3418"/>
      <c r="RIQ8" s="3418"/>
      <c r="RIR8" s="3418"/>
      <c r="RIS8" s="3418"/>
      <c r="RIT8" s="3418"/>
      <c r="RIU8" s="3418"/>
      <c r="RIV8" s="3418"/>
      <c r="RIW8" s="3418"/>
      <c r="RIX8" s="3418"/>
      <c r="RIY8" s="3418"/>
      <c r="RIZ8" s="3418"/>
      <c r="RJA8" s="3418"/>
      <c r="RJB8" s="3418"/>
      <c r="RJC8" s="3418"/>
      <c r="RJD8" s="3418"/>
      <c r="RJE8" s="3418"/>
      <c r="RJF8" s="3418"/>
      <c r="RJG8" s="3418"/>
      <c r="RJH8" s="3418"/>
      <c r="RJI8" s="3418"/>
      <c r="RJJ8" s="3418"/>
      <c r="RJK8" s="3418"/>
      <c r="RJL8" s="3418"/>
      <c r="RJM8" s="3418"/>
      <c r="RJN8" s="3418"/>
      <c r="RJO8" s="3418"/>
      <c r="RJP8" s="3418"/>
      <c r="RJQ8" s="3418"/>
      <c r="RJR8" s="3418"/>
      <c r="RJS8" s="3418"/>
      <c r="RJT8" s="3418"/>
      <c r="RJU8" s="3418"/>
      <c r="RJV8" s="3418"/>
      <c r="RJW8" s="3418"/>
      <c r="RJX8" s="3418"/>
      <c r="RJY8" s="3418"/>
      <c r="RJZ8" s="3418"/>
      <c r="RKA8" s="3418"/>
      <c r="RKB8" s="3418"/>
      <c r="RKC8" s="3418"/>
      <c r="RKD8" s="3418"/>
      <c r="RKE8" s="3418"/>
      <c r="RKF8" s="3418"/>
      <c r="RKG8" s="3418"/>
      <c r="RKH8" s="3418"/>
      <c r="RKI8" s="3418"/>
      <c r="RKJ8" s="3418"/>
      <c r="RKK8" s="3418"/>
      <c r="RKL8" s="3418"/>
      <c r="RKM8" s="3418"/>
      <c r="RKN8" s="3418"/>
      <c r="RKO8" s="3418"/>
      <c r="RKP8" s="3418"/>
      <c r="RKQ8" s="3418"/>
      <c r="RKR8" s="3418"/>
      <c r="RKS8" s="3418"/>
      <c r="RKT8" s="3418"/>
      <c r="RKU8" s="3418"/>
      <c r="RKV8" s="3418"/>
      <c r="RKW8" s="3418"/>
      <c r="RKX8" s="3418"/>
      <c r="RKY8" s="3418"/>
      <c r="RKZ8" s="3418"/>
      <c r="RLA8" s="3418"/>
      <c r="RLB8" s="3418"/>
      <c r="RLC8" s="3418"/>
      <c r="RLD8" s="3418"/>
      <c r="RLE8" s="3418"/>
      <c r="RLF8" s="3418"/>
      <c r="RLG8" s="3418"/>
      <c r="RLH8" s="3418"/>
      <c r="RLI8" s="3418"/>
      <c r="RLJ8" s="3418"/>
      <c r="RLK8" s="3418"/>
      <c r="RLL8" s="3418"/>
      <c r="RLM8" s="3418"/>
      <c r="RLN8" s="3418"/>
      <c r="RLO8" s="3418"/>
      <c r="RLP8" s="3418"/>
      <c r="RLQ8" s="3418"/>
      <c r="RLR8" s="3418"/>
      <c r="RLS8" s="3418"/>
      <c r="RLT8" s="3418"/>
      <c r="RLU8" s="3418"/>
      <c r="RLV8" s="3418"/>
      <c r="RLW8" s="3418"/>
      <c r="RLX8" s="3418"/>
      <c r="RLY8" s="3418"/>
      <c r="RLZ8" s="3418"/>
      <c r="RMA8" s="3418"/>
      <c r="RMB8" s="3418"/>
      <c r="RMC8" s="3418"/>
      <c r="RMD8" s="3418"/>
      <c r="RME8" s="3418"/>
      <c r="RMF8" s="3418"/>
      <c r="RMG8" s="3418"/>
      <c r="RMH8" s="3418"/>
      <c r="RMI8" s="3418"/>
      <c r="RMJ8" s="3418"/>
      <c r="RMK8" s="3418"/>
      <c r="RML8" s="3418"/>
      <c r="RMM8" s="3418"/>
      <c r="RMN8" s="3418"/>
      <c r="RMO8" s="3418"/>
      <c r="RMP8" s="3418"/>
      <c r="RMQ8" s="3418"/>
      <c r="RMR8" s="3418"/>
      <c r="RMS8" s="3418"/>
      <c r="RMT8" s="3418"/>
      <c r="RMU8" s="3418"/>
      <c r="RMV8" s="3418"/>
      <c r="RMW8" s="3418"/>
      <c r="RMX8" s="3418"/>
      <c r="RMY8" s="3418"/>
      <c r="RMZ8" s="3418"/>
      <c r="RNA8" s="3418"/>
      <c r="RNB8" s="3418"/>
      <c r="RNC8" s="3418"/>
      <c r="RND8" s="3418"/>
      <c r="RNE8" s="3418"/>
      <c r="RNF8" s="3418"/>
      <c r="RNG8" s="3418"/>
      <c r="RNH8" s="3418"/>
      <c r="RNI8" s="3418"/>
      <c r="RNJ8" s="3418"/>
      <c r="RNK8" s="3418"/>
      <c r="RNL8" s="3418"/>
      <c r="RNM8" s="3418"/>
      <c r="RNN8" s="3418"/>
      <c r="RNO8" s="3418"/>
      <c r="RNP8" s="3418"/>
      <c r="RNQ8" s="3418"/>
      <c r="RNR8" s="3418"/>
      <c r="RNS8" s="3418"/>
      <c r="RNT8" s="3418"/>
      <c r="RNU8" s="3418"/>
      <c r="RNV8" s="3418"/>
      <c r="RNW8" s="3418"/>
      <c r="RNX8" s="3418"/>
      <c r="RNY8" s="3418"/>
      <c r="RNZ8" s="3418"/>
      <c r="ROA8" s="3418"/>
      <c r="ROB8" s="3418"/>
      <c r="ROC8" s="3418"/>
      <c r="ROD8" s="3418"/>
      <c r="ROE8" s="3418"/>
      <c r="ROF8" s="3418"/>
      <c r="ROG8" s="3418"/>
      <c r="ROH8" s="3418"/>
      <c r="ROI8" s="3418"/>
      <c r="ROJ8" s="3418"/>
      <c r="ROK8" s="3418"/>
      <c r="ROL8" s="3418"/>
      <c r="ROM8" s="3418"/>
      <c r="RON8" s="3418"/>
      <c r="ROO8" s="3418"/>
      <c r="ROP8" s="3418"/>
      <c r="ROQ8" s="3418"/>
      <c r="ROR8" s="3418"/>
      <c r="ROS8" s="3418"/>
      <c r="ROT8" s="3418"/>
      <c r="ROU8" s="3418"/>
      <c r="ROV8" s="3418"/>
      <c r="ROW8" s="3418"/>
      <c r="ROX8" s="3418"/>
      <c r="ROY8" s="3418"/>
      <c r="ROZ8" s="3418"/>
      <c r="RPA8" s="3418"/>
      <c r="RPB8" s="3418"/>
      <c r="RPC8" s="3418"/>
      <c r="RPD8" s="3418"/>
      <c r="RPE8" s="3418"/>
      <c r="RPF8" s="3418"/>
      <c r="RPG8" s="3418"/>
      <c r="RPH8" s="3418"/>
      <c r="RPI8" s="3418"/>
      <c r="RPJ8" s="3418"/>
      <c r="RPK8" s="3418"/>
      <c r="RPL8" s="3418"/>
      <c r="RPM8" s="3418"/>
      <c r="RPN8" s="3418"/>
      <c r="RPO8" s="3418"/>
      <c r="RPP8" s="3418"/>
      <c r="RPQ8" s="3418"/>
      <c r="RPR8" s="3418"/>
      <c r="RPS8" s="3418"/>
      <c r="RPT8" s="3418"/>
      <c r="RPU8" s="3418"/>
      <c r="RPV8" s="3418"/>
      <c r="RPW8" s="3418"/>
      <c r="RPX8" s="3418"/>
      <c r="RPY8" s="3418"/>
      <c r="RPZ8" s="3418"/>
      <c r="RQA8" s="3418"/>
      <c r="RQB8" s="3418"/>
      <c r="RQC8" s="3418"/>
      <c r="RQD8" s="3418"/>
      <c r="RQE8" s="3418"/>
      <c r="RQF8" s="3418"/>
      <c r="RQG8" s="3418"/>
      <c r="RQH8" s="3418"/>
      <c r="RQI8" s="3418"/>
      <c r="RQJ8" s="3418"/>
      <c r="RQK8" s="3418"/>
      <c r="RQL8" s="3418"/>
      <c r="RQM8" s="3418"/>
      <c r="RQN8" s="3418"/>
      <c r="RQO8" s="3418"/>
      <c r="RQP8" s="3418"/>
      <c r="RQQ8" s="3418"/>
      <c r="RQR8" s="3418"/>
      <c r="RQS8" s="3418"/>
      <c r="RQT8" s="3418"/>
      <c r="RQU8" s="3418"/>
      <c r="RQV8" s="3418"/>
      <c r="RQW8" s="3418"/>
      <c r="RQX8" s="3418"/>
      <c r="RQY8" s="3418"/>
      <c r="RQZ8" s="3418"/>
      <c r="RRA8" s="3418"/>
      <c r="RRB8" s="3418"/>
      <c r="RRC8" s="3418"/>
      <c r="RRD8" s="3418"/>
      <c r="RRE8" s="3418"/>
      <c r="RRF8" s="3418"/>
      <c r="RRG8" s="3418"/>
      <c r="RRH8" s="3418"/>
      <c r="RRI8" s="3418"/>
      <c r="RRJ8" s="3418"/>
      <c r="RRK8" s="3418"/>
      <c r="RRL8" s="3418"/>
      <c r="RRM8" s="3418"/>
      <c r="RRN8" s="3418"/>
      <c r="RRO8" s="3418"/>
      <c r="RRP8" s="3418"/>
      <c r="RRQ8" s="3418"/>
      <c r="RRR8" s="3418"/>
      <c r="RRS8" s="3418"/>
      <c r="RRT8" s="3418"/>
      <c r="RRU8" s="3418"/>
      <c r="RRV8" s="3418"/>
      <c r="RRW8" s="3418"/>
      <c r="RRX8" s="3418"/>
      <c r="RRY8" s="3418"/>
      <c r="RRZ8" s="3418"/>
      <c r="RSA8" s="3418"/>
      <c r="RSB8" s="3418"/>
      <c r="RSC8" s="3418"/>
      <c r="RSD8" s="3418"/>
      <c r="RSE8" s="3418"/>
      <c r="RSF8" s="3418"/>
      <c r="RSG8" s="3418"/>
      <c r="RSH8" s="3418"/>
      <c r="RSI8" s="3418"/>
      <c r="RSJ8" s="3418"/>
      <c r="RSK8" s="3418"/>
      <c r="RSL8" s="3418"/>
      <c r="RSM8" s="3418"/>
      <c r="RSN8" s="3418"/>
      <c r="RSO8" s="3418"/>
      <c r="RSP8" s="3418"/>
      <c r="RSQ8" s="3418"/>
      <c r="RSR8" s="3418"/>
      <c r="RSS8" s="3418"/>
      <c r="RST8" s="3418"/>
      <c r="RSU8" s="3418"/>
      <c r="RSV8" s="3418"/>
      <c r="RSW8" s="3418"/>
      <c r="RSX8" s="3418"/>
      <c r="RSY8" s="3418"/>
      <c r="RSZ8" s="3418"/>
      <c r="RTA8" s="3418"/>
      <c r="RTB8" s="3418"/>
      <c r="RTC8" s="3418"/>
      <c r="RTD8" s="3418"/>
      <c r="RTE8" s="3418"/>
      <c r="RTF8" s="3418"/>
      <c r="RTG8" s="3418"/>
      <c r="RTH8" s="3418"/>
      <c r="RTI8" s="3418"/>
      <c r="RTJ8" s="3418"/>
      <c r="RTK8" s="3418"/>
      <c r="RTL8" s="3418"/>
      <c r="RTM8" s="3418"/>
      <c r="RTN8" s="3418"/>
      <c r="RTO8" s="3418"/>
      <c r="RTP8" s="3418"/>
      <c r="RTQ8" s="3418"/>
      <c r="RTR8" s="3418"/>
      <c r="RTS8" s="3418"/>
      <c r="RTT8" s="3418"/>
      <c r="RTU8" s="3418"/>
      <c r="RTV8" s="3418"/>
      <c r="RTW8" s="3418"/>
      <c r="RTX8" s="3418"/>
      <c r="RTY8" s="3418"/>
      <c r="RTZ8" s="3418"/>
      <c r="RUA8" s="3418"/>
      <c r="RUB8" s="3418"/>
      <c r="RUC8" s="3418"/>
      <c r="RUD8" s="3418"/>
      <c r="RUE8" s="3418"/>
      <c r="RUF8" s="3418"/>
      <c r="RUG8" s="3418"/>
      <c r="RUH8" s="3418"/>
      <c r="RUI8" s="3418"/>
      <c r="RUJ8" s="3418"/>
      <c r="RUK8" s="3418"/>
      <c r="RUL8" s="3418"/>
      <c r="RUM8" s="3418"/>
      <c r="RUN8" s="3418"/>
      <c r="RUO8" s="3418"/>
      <c r="RUP8" s="3418"/>
      <c r="RUQ8" s="3418"/>
      <c r="RUR8" s="3418"/>
      <c r="RUS8" s="3418"/>
      <c r="RUT8" s="3418"/>
      <c r="RUU8" s="3418"/>
      <c r="RUV8" s="3418"/>
      <c r="RUW8" s="3418"/>
      <c r="RUX8" s="3418"/>
      <c r="RUY8" s="3418"/>
      <c r="RUZ8" s="3418"/>
      <c r="RVA8" s="3418"/>
      <c r="RVB8" s="3418"/>
      <c r="RVC8" s="3418"/>
      <c r="RVD8" s="3418"/>
      <c r="RVE8" s="3418"/>
      <c r="RVF8" s="3418"/>
      <c r="RVG8" s="3418"/>
      <c r="RVH8" s="3418"/>
      <c r="RVI8" s="3418"/>
      <c r="RVJ8" s="3418"/>
      <c r="RVK8" s="3418"/>
      <c r="RVL8" s="3418"/>
      <c r="RVM8" s="3418"/>
      <c r="RVN8" s="3418"/>
      <c r="RVO8" s="3418"/>
      <c r="RVP8" s="3418"/>
      <c r="RVQ8" s="3418"/>
      <c r="RVR8" s="3418"/>
      <c r="RVS8" s="3418"/>
      <c r="RVT8" s="3418"/>
      <c r="RVU8" s="3418"/>
      <c r="RVV8" s="3418"/>
      <c r="RVW8" s="3418"/>
      <c r="RVX8" s="3418"/>
      <c r="RVY8" s="3418"/>
      <c r="RVZ8" s="3418"/>
      <c r="RWA8" s="3418"/>
      <c r="RWB8" s="3418"/>
      <c r="RWC8" s="3418"/>
      <c r="RWD8" s="3418"/>
      <c r="RWE8" s="3418"/>
      <c r="RWF8" s="3418"/>
      <c r="RWG8" s="3418"/>
      <c r="RWH8" s="3418"/>
      <c r="RWI8" s="3418"/>
      <c r="RWJ8" s="3418"/>
      <c r="RWK8" s="3418"/>
      <c r="RWL8" s="3418"/>
      <c r="RWM8" s="3418"/>
      <c r="RWN8" s="3418"/>
      <c r="RWO8" s="3418"/>
      <c r="RWP8" s="3418"/>
      <c r="RWQ8" s="3418"/>
      <c r="RWR8" s="3418"/>
      <c r="RWS8" s="3418"/>
      <c r="RWT8" s="3418"/>
      <c r="RWU8" s="3418"/>
      <c r="RWV8" s="3418"/>
      <c r="RWW8" s="3418"/>
      <c r="RWX8" s="3418"/>
      <c r="RWY8" s="3418"/>
      <c r="RWZ8" s="3418"/>
      <c r="RXA8" s="3418"/>
      <c r="RXB8" s="3418"/>
      <c r="RXC8" s="3418"/>
      <c r="RXD8" s="3418"/>
      <c r="RXE8" s="3418"/>
      <c r="RXF8" s="3418"/>
      <c r="RXG8" s="3418"/>
      <c r="RXH8" s="3418"/>
      <c r="RXI8" s="3418"/>
      <c r="RXJ8" s="3418"/>
      <c r="RXK8" s="3418"/>
      <c r="RXL8" s="3418"/>
      <c r="RXM8" s="3418"/>
      <c r="RXN8" s="3418"/>
      <c r="RXO8" s="3418"/>
      <c r="RXP8" s="3418"/>
      <c r="RXQ8" s="3418"/>
      <c r="RXR8" s="3418"/>
      <c r="RXS8" s="3418"/>
      <c r="RXT8" s="3418"/>
      <c r="RXU8" s="3418"/>
      <c r="RXV8" s="3418"/>
      <c r="RXW8" s="3418"/>
      <c r="RXX8" s="3418"/>
      <c r="RXY8" s="3418"/>
      <c r="RXZ8" s="3418"/>
      <c r="RYA8" s="3418"/>
      <c r="RYB8" s="3418"/>
      <c r="RYC8" s="3418"/>
      <c r="RYD8" s="3418"/>
      <c r="RYE8" s="3418"/>
      <c r="RYF8" s="3418"/>
      <c r="RYG8" s="3418"/>
      <c r="RYH8" s="3418"/>
      <c r="RYI8" s="3418"/>
      <c r="RYJ8" s="3418"/>
      <c r="RYK8" s="3418"/>
      <c r="RYL8" s="3418"/>
      <c r="RYM8" s="3418"/>
      <c r="RYN8" s="3418"/>
      <c r="RYO8" s="3418"/>
      <c r="RYP8" s="3418"/>
      <c r="RYQ8" s="3418"/>
      <c r="RYR8" s="3418"/>
      <c r="RYS8" s="3418"/>
      <c r="RYT8" s="3418"/>
      <c r="RYU8" s="3418"/>
      <c r="RYV8" s="3418"/>
      <c r="RYW8" s="3418"/>
      <c r="RYX8" s="3418"/>
      <c r="RYY8" s="3418"/>
      <c r="RYZ8" s="3418"/>
      <c r="RZA8" s="3418"/>
      <c r="RZB8" s="3418"/>
      <c r="RZC8" s="3418"/>
      <c r="RZD8" s="3418"/>
      <c r="RZE8" s="3418"/>
      <c r="RZF8" s="3418"/>
      <c r="RZG8" s="3418"/>
      <c r="RZH8" s="3418"/>
      <c r="RZI8" s="3418"/>
      <c r="RZJ8" s="3418"/>
      <c r="RZK8" s="3418"/>
      <c r="RZL8" s="3418"/>
      <c r="RZM8" s="3418"/>
      <c r="RZN8" s="3418"/>
      <c r="RZO8" s="3418"/>
      <c r="RZP8" s="3418"/>
      <c r="RZQ8" s="3418"/>
      <c r="RZR8" s="3418"/>
      <c r="RZS8" s="3418"/>
      <c r="RZT8" s="3418"/>
      <c r="RZU8" s="3418"/>
      <c r="RZV8" s="3418"/>
      <c r="RZW8" s="3418"/>
      <c r="RZX8" s="3418"/>
      <c r="RZY8" s="3418"/>
      <c r="RZZ8" s="3418"/>
      <c r="SAA8" s="3418"/>
      <c r="SAB8" s="3418"/>
      <c r="SAC8" s="3418"/>
      <c r="SAD8" s="3418"/>
      <c r="SAE8" s="3418"/>
      <c r="SAF8" s="3418"/>
      <c r="SAG8" s="3418"/>
      <c r="SAH8" s="3418"/>
      <c r="SAI8" s="3418"/>
      <c r="SAJ8" s="3418"/>
      <c r="SAK8" s="3418"/>
      <c r="SAL8" s="3418"/>
      <c r="SAM8" s="3418"/>
      <c r="SAN8" s="3418"/>
      <c r="SAO8" s="3418"/>
      <c r="SAP8" s="3418"/>
      <c r="SAQ8" s="3418"/>
      <c r="SAR8" s="3418"/>
      <c r="SAS8" s="3418"/>
      <c r="SAT8" s="3418"/>
      <c r="SAU8" s="3418"/>
      <c r="SAV8" s="3418"/>
      <c r="SAW8" s="3418"/>
      <c r="SAX8" s="3418"/>
      <c r="SAY8" s="3418"/>
      <c r="SAZ8" s="3418"/>
      <c r="SBA8" s="3418"/>
      <c r="SBB8" s="3418"/>
      <c r="SBC8" s="3418"/>
      <c r="SBD8" s="3418"/>
      <c r="SBE8" s="3418"/>
      <c r="SBF8" s="3418"/>
      <c r="SBG8" s="3418"/>
      <c r="SBH8" s="3418"/>
      <c r="SBI8" s="3418"/>
      <c r="SBJ8" s="3418"/>
      <c r="SBK8" s="3418"/>
      <c r="SBL8" s="3418"/>
      <c r="SBM8" s="3418"/>
      <c r="SBN8" s="3418"/>
      <c r="SBO8" s="3418"/>
      <c r="SBP8" s="3418"/>
      <c r="SBQ8" s="3418"/>
      <c r="SBR8" s="3418"/>
      <c r="SBS8" s="3418"/>
      <c r="SBT8" s="3418"/>
      <c r="SBU8" s="3418"/>
      <c r="SBV8" s="3418"/>
      <c r="SBW8" s="3418"/>
      <c r="SBX8" s="3418"/>
      <c r="SBY8" s="3418"/>
      <c r="SBZ8" s="3418"/>
      <c r="SCA8" s="3418"/>
      <c r="SCB8" s="3418"/>
      <c r="SCC8" s="3418"/>
      <c r="SCD8" s="3418"/>
      <c r="SCE8" s="3418"/>
      <c r="SCF8" s="3418"/>
      <c r="SCG8" s="3418"/>
      <c r="SCH8" s="3418"/>
      <c r="SCI8" s="3418"/>
      <c r="SCJ8" s="3418"/>
      <c r="SCK8" s="3418"/>
      <c r="SCL8" s="3418"/>
      <c r="SCM8" s="3418"/>
      <c r="SCN8" s="3418"/>
      <c r="SCO8" s="3418"/>
      <c r="SCP8" s="3418"/>
      <c r="SCQ8" s="3418"/>
      <c r="SCR8" s="3418"/>
      <c r="SCS8" s="3418"/>
      <c r="SCT8" s="3418"/>
      <c r="SCU8" s="3418"/>
      <c r="SCV8" s="3418"/>
      <c r="SCW8" s="3418"/>
      <c r="SCX8" s="3418"/>
      <c r="SCY8" s="3418"/>
      <c r="SCZ8" s="3418"/>
      <c r="SDA8" s="3418"/>
      <c r="SDB8" s="3418"/>
      <c r="SDC8" s="3418"/>
      <c r="SDD8" s="3418"/>
      <c r="SDE8" s="3418"/>
      <c r="SDF8" s="3418"/>
      <c r="SDG8" s="3418"/>
      <c r="SDH8" s="3418"/>
      <c r="SDI8" s="3418"/>
      <c r="SDJ8" s="3418"/>
      <c r="SDK8" s="3418"/>
      <c r="SDL8" s="3418"/>
      <c r="SDM8" s="3418"/>
      <c r="SDN8" s="3418"/>
      <c r="SDO8" s="3418"/>
      <c r="SDP8" s="3418"/>
      <c r="SDQ8" s="3418"/>
      <c r="SDR8" s="3418"/>
      <c r="SDS8" s="3418"/>
      <c r="SDT8" s="3418"/>
      <c r="SDU8" s="3418"/>
      <c r="SDV8" s="3418"/>
      <c r="SDW8" s="3418"/>
      <c r="SDX8" s="3418"/>
      <c r="SDY8" s="3418"/>
      <c r="SDZ8" s="3418"/>
      <c r="SEA8" s="3418"/>
      <c r="SEB8" s="3418"/>
      <c r="SEC8" s="3418"/>
      <c r="SED8" s="3418"/>
      <c r="SEE8" s="3418"/>
      <c r="SEF8" s="3418"/>
      <c r="SEG8" s="3418"/>
      <c r="SEH8" s="3418"/>
      <c r="SEI8" s="3418"/>
      <c r="SEJ8" s="3418"/>
      <c r="SEK8" s="3418"/>
      <c r="SEL8" s="3418"/>
      <c r="SEM8" s="3418"/>
      <c r="SEN8" s="3418"/>
      <c r="SEO8" s="3418"/>
      <c r="SEP8" s="3418"/>
      <c r="SEQ8" s="3418"/>
      <c r="SER8" s="3418"/>
      <c r="SES8" s="3418"/>
      <c r="SET8" s="3418"/>
      <c r="SEU8" s="3418"/>
      <c r="SEV8" s="3418"/>
      <c r="SEW8" s="3418"/>
      <c r="SEX8" s="3418"/>
      <c r="SEY8" s="3418"/>
      <c r="SEZ8" s="3418"/>
      <c r="SFA8" s="3418"/>
      <c r="SFB8" s="3418"/>
      <c r="SFC8" s="3418"/>
      <c r="SFD8" s="3418"/>
      <c r="SFE8" s="3418"/>
      <c r="SFF8" s="3418"/>
      <c r="SFG8" s="3418"/>
      <c r="SFH8" s="3418"/>
      <c r="SFI8" s="3418"/>
      <c r="SFJ8" s="3418"/>
      <c r="SFK8" s="3418"/>
      <c r="SFL8" s="3418"/>
      <c r="SFM8" s="3418"/>
      <c r="SFN8" s="3418"/>
      <c r="SFO8" s="3418"/>
      <c r="SFP8" s="3418"/>
      <c r="SFQ8" s="3418"/>
      <c r="SFR8" s="3418"/>
      <c r="SFS8" s="3418"/>
      <c r="SFT8" s="3418"/>
      <c r="SFU8" s="3418"/>
      <c r="SFV8" s="3418"/>
      <c r="SFW8" s="3418"/>
      <c r="SFX8" s="3418"/>
      <c r="SFY8" s="3418"/>
      <c r="SFZ8" s="3418"/>
      <c r="SGA8" s="3418"/>
      <c r="SGB8" s="3418"/>
      <c r="SGC8" s="3418"/>
      <c r="SGD8" s="3418"/>
      <c r="SGE8" s="3418"/>
      <c r="SGF8" s="3418"/>
      <c r="SGG8" s="3418"/>
      <c r="SGH8" s="3418"/>
      <c r="SGI8" s="3418"/>
      <c r="SGJ8" s="3418"/>
      <c r="SGK8" s="3418"/>
      <c r="SGL8" s="3418"/>
      <c r="SGM8" s="3418"/>
      <c r="SGN8" s="3418"/>
      <c r="SGO8" s="3418"/>
      <c r="SGP8" s="3418"/>
      <c r="SGQ8" s="3418"/>
      <c r="SGR8" s="3418"/>
      <c r="SGS8" s="3418"/>
      <c r="SGT8" s="3418"/>
      <c r="SGU8" s="3418"/>
      <c r="SGV8" s="3418"/>
      <c r="SGW8" s="3418"/>
      <c r="SGX8" s="3418"/>
      <c r="SGY8" s="3418"/>
      <c r="SGZ8" s="3418"/>
      <c r="SHA8" s="3418"/>
      <c r="SHB8" s="3418"/>
      <c r="SHC8" s="3418"/>
      <c r="SHD8" s="3418"/>
      <c r="SHE8" s="3418"/>
      <c r="SHF8" s="3418"/>
      <c r="SHG8" s="3418"/>
      <c r="SHH8" s="3418"/>
      <c r="SHI8" s="3418"/>
      <c r="SHJ8" s="3418"/>
      <c r="SHK8" s="3418"/>
      <c r="SHL8" s="3418"/>
      <c r="SHM8" s="3418"/>
      <c r="SHN8" s="3418"/>
      <c r="SHO8" s="3418"/>
      <c r="SHP8" s="3418"/>
      <c r="SHQ8" s="3418"/>
      <c r="SHR8" s="3418"/>
      <c r="SHS8" s="3418"/>
      <c r="SHT8" s="3418"/>
      <c r="SHU8" s="3418"/>
      <c r="SHV8" s="3418"/>
      <c r="SHW8" s="3418"/>
      <c r="SHX8" s="3418"/>
      <c r="SHY8" s="3418"/>
      <c r="SHZ8" s="3418"/>
      <c r="SIA8" s="3418"/>
      <c r="SIB8" s="3418"/>
      <c r="SIC8" s="3418"/>
      <c r="SID8" s="3418"/>
      <c r="SIE8" s="3418"/>
      <c r="SIF8" s="3418"/>
      <c r="SIG8" s="3418"/>
      <c r="SIH8" s="3418"/>
      <c r="SII8" s="3418"/>
      <c r="SIJ8" s="3418"/>
      <c r="SIK8" s="3418"/>
      <c r="SIL8" s="3418"/>
      <c r="SIM8" s="3418"/>
      <c r="SIN8" s="3418"/>
      <c r="SIO8" s="3418"/>
      <c r="SIP8" s="3418"/>
      <c r="SIQ8" s="3418"/>
      <c r="SIR8" s="3418"/>
      <c r="SIS8" s="3418"/>
      <c r="SIT8" s="3418"/>
      <c r="SIU8" s="3418"/>
      <c r="SIV8" s="3418"/>
      <c r="SIW8" s="3418"/>
      <c r="SIX8" s="3418"/>
      <c r="SIY8" s="3418"/>
      <c r="SIZ8" s="3418"/>
      <c r="SJA8" s="3418"/>
      <c r="SJB8" s="3418"/>
      <c r="SJC8" s="3418"/>
      <c r="SJD8" s="3418"/>
      <c r="SJE8" s="3418"/>
      <c r="SJF8" s="3418"/>
      <c r="SJG8" s="3418"/>
      <c r="SJH8" s="3418"/>
      <c r="SJI8" s="3418"/>
      <c r="SJJ8" s="3418"/>
      <c r="SJK8" s="3418"/>
      <c r="SJL8" s="3418"/>
      <c r="SJM8" s="3418"/>
      <c r="SJN8" s="3418"/>
      <c r="SJO8" s="3418"/>
      <c r="SJP8" s="3418"/>
      <c r="SJQ8" s="3418"/>
      <c r="SJR8" s="3418"/>
      <c r="SJS8" s="3418"/>
      <c r="SJT8" s="3418"/>
      <c r="SJU8" s="3418"/>
      <c r="SJV8" s="3418"/>
      <c r="SJW8" s="3418"/>
      <c r="SJX8" s="3418"/>
      <c r="SJY8" s="3418"/>
      <c r="SJZ8" s="3418"/>
      <c r="SKA8" s="3418"/>
      <c r="SKB8" s="3418"/>
      <c r="SKC8" s="3418"/>
      <c r="SKD8" s="3418"/>
      <c r="SKE8" s="3418"/>
      <c r="SKF8" s="3418"/>
      <c r="SKG8" s="3418"/>
      <c r="SKH8" s="3418"/>
      <c r="SKI8" s="3418"/>
      <c r="SKJ8" s="3418"/>
      <c r="SKK8" s="3418"/>
      <c r="SKL8" s="3418"/>
      <c r="SKM8" s="3418"/>
      <c r="SKN8" s="3418"/>
      <c r="SKO8" s="3418"/>
      <c r="SKP8" s="3418"/>
      <c r="SKQ8" s="3418"/>
      <c r="SKR8" s="3418"/>
      <c r="SKS8" s="3418"/>
      <c r="SKT8" s="3418"/>
      <c r="SKU8" s="3418"/>
      <c r="SKV8" s="3418"/>
      <c r="SKW8" s="3418"/>
      <c r="SKX8" s="3418"/>
      <c r="SKY8" s="3418"/>
      <c r="SKZ8" s="3418"/>
      <c r="SLA8" s="3418"/>
      <c r="SLB8" s="3418"/>
      <c r="SLC8" s="3418"/>
      <c r="SLD8" s="3418"/>
      <c r="SLE8" s="3418"/>
      <c r="SLF8" s="3418"/>
      <c r="SLG8" s="3418"/>
      <c r="SLH8" s="3418"/>
      <c r="SLI8" s="3418"/>
      <c r="SLJ8" s="3418"/>
      <c r="SLK8" s="3418"/>
      <c r="SLL8" s="3418"/>
      <c r="SLM8" s="3418"/>
      <c r="SLN8" s="3418"/>
      <c r="SLO8" s="3418"/>
      <c r="SLP8" s="3418"/>
      <c r="SLQ8" s="3418"/>
      <c r="SLR8" s="3418"/>
      <c r="SLS8" s="3418"/>
      <c r="SLT8" s="3418"/>
      <c r="SLU8" s="3418"/>
      <c r="SLV8" s="3418"/>
      <c r="SLW8" s="3418"/>
      <c r="SLX8" s="3418"/>
      <c r="SLY8" s="3418"/>
      <c r="SLZ8" s="3418"/>
      <c r="SMA8" s="3418"/>
      <c r="SMB8" s="3418"/>
      <c r="SMC8" s="3418"/>
      <c r="SMD8" s="3418"/>
      <c r="SME8" s="3418"/>
      <c r="SMF8" s="3418"/>
      <c r="SMG8" s="3418"/>
      <c r="SMH8" s="3418"/>
      <c r="SMI8" s="3418"/>
      <c r="SMJ8" s="3418"/>
      <c r="SMK8" s="3418"/>
      <c r="SML8" s="3418"/>
      <c r="SMM8" s="3418"/>
      <c r="SMN8" s="3418"/>
      <c r="SMO8" s="3418"/>
      <c r="SMP8" s="3418"/>
      <c r="SMQ8" s="3418"/>
      <c r="SMR8" s="3418"/>
      <c r="SMS8" s="3418"/>
      <c r="SMT8" s="3418"/>
      <c r="SMU8" s="3418"/>
      <c r="SMV8" s="3418"/>
      <c r="SMW8" s="3418"/>
      <c r="SMX8" s="3418"/>
      <c r="SMY8" s="3418"/>
      <c r="SMZ8" s="3418"/>
      <c r="SNA8" s="3418"/>
      <c r="SNB8" s="3418"/>
      <c r="SNC8" s="3418"/>
      <c r="SND8" s="3418"/>
      <c r="SNE8" s="3418"/>
      <c r="SNF8" s="3418"/>
      <c r="SNG8" s="3418"/>
      <c r="SNH8" s="3418"/>
      <c r="SNI8" s="3418"/>
      <c r="SNJ8" s="3418"/>
      <c r="SNK8" s="3418"/>
      <c r="SNL8" s="3418"/>
      <c r="SNM8" s="3418"/>
      <c r="SNN8" s="3418"/>
      <c r="SNO8" s="3418"/>
      <c r="SNP8" s="3418"/>
      <c r="SNQ8" s="3418"/>
      <c r="SNR8" s="3418"/>
      <c r="SNS8" s="3418"/>
      <c r="SNT8" s="3418"/>
      <c r="SNU8" s="3418"/>
      <c r="SNV8" s="3418"/>
      <c r="SNW8" s="3418"/>
      <c r="SNX8" s="3418"/>
      <c r="SNY8" s="3418"/>
      <c r="SNZ8" s="3418"/>
      <c r="SOA8" s="3418"/>
      <c r="SOB8" s="3418"/>
      <c r="SOC8" s="3418"/>
      <c r="SOD8" s="3418"/>
      <c r="SOE8" s="3418"/>
      <c r="SOF8" s="3418"/>
      <c r="SOG8" s="3418"/>
      <c r="SOH8" s="3418"/>
      <c r="SOI8" s="3418"/>
      <c r="SOJ8" s="3418"/>
      <c r="SOK8" s="3418"/>
      <c r="SOL8" s="3418"/>
      <c r="SOM8" s="3418"/>
      <c r="SON8" s="3418"/>
      <c r="SOO8" s="3418"/>
      <c r="SOP8" s="3418"/>
      <c r="SOQ8" s="3418"/>
      <c r="SOR8" s="3418"/>
      <c r="SOS8" s="3418"/>
      <c r="SOT8" s="3418"/>
      <c r="SOU8" s="3418"/>
      <c r="SOV8" s="3418"/>
      <c r="SOW8" s="3418"/>
      <c r="SOX8" s="3418"/>
      <c r="SOY8" s="3418"/>
      <c r="SOZ8" s="3418"/>
      <c r="SPA8" s="3418"/>
      <c r="SPB8" s="3418"/>
      <c r="SPC8" s="3418"/>
      <c r="SPD8" s="3418"/>
      <c r="SPE8" s="3418"/>
      <c r="SPF8" s="3418"/>
      <c r="SPG8" s="3418"/>
      <c r="SPH8" s="3418"/>
      <c r="SPI8" s="3418"/>
      <c r="SPJ8" s="3418"/>
      <c r="SPK8" s="3418"/>
      <c r="SPL8" s="3418"/>
      <c r="SPM8" s="3418"/>
      <c r="SPN8" s="3418"/>
      <c r="SPO8" s="3418"/>
      <c r="SPP8" s="3418"/>
      <c r="SPQ8" s="3418"/>
      <c r="SPR8" s="3418"/>
      <c r="SPS8" s="3418"/>
      <c r="SPT8" s="3418"/>
      <c r="SPU8" s="3418"/>
      <c r="SPV8" s="3418"/>
      <c r="SPW8" s="3418"/>
      <c r="SPX8" s="3418"/>
      <c r="SPY8" s="3418"/>
      <c r="SPZ8" s="3418"/>
      <c r="SQA8" s="3418"/>
      <c r="SQB8" s="3418"/>
      <c r="SQC8" s="3418"/>
      <c r="SQD8" s="3418"/>
      <c r="SQE8" s="3418"/>
      <c r="SQF8" s="3418"/>
      <c r="SQG8" s="3418"/>
      <c r="SQH8" s="3418"/>
      <c r="SQI8" s="3418"/>
      <c r="SQJ8" s="3418"/>
      <c r="SQK8" s="3418"/>
      <c r="SQL8" s="3418"/>
      <c r="SQM8" s="3418"/>
      <c r="SQN8" s="3418"/>
      <c r="SQO8" s="3418"/>
      <c r="SQP8" s="3418"/>
      <c r="SQQ8" s="3418"/>
      <c r="SQR8" s="3418"/>
      <c r="SQS8" s="3418"/>
      <c r="SQT8" s="3418"/>
      <c r="SQU8" s="3418"/>
      <c r="SQV8" s="3418"/>
      <c r="SQW8" s="3418"/>
      <c r="SQX8" s="3418"/>
      <c r="SQY8" s="3418"/>
      <c r="SQZ8" s="3418"/>
      <c r="SRA8" s="3418"/>
      <c r="SRB8" s="3418"/>
      <c r="SRC8" s="3418"/>
      <c r="SRD8" s="3418"/>
      <c r="SRE8" s="3418"/>
      <c r="SRF8" s="3418"/>
      <c r="SRG8" s="3418"/>
      <c r="SRH8" s="3418"/>
      <c r="SRI8" s="3418"/>
      <c r="SRJ8" s="3418"/>
      <c r="SRK8" s="3418"/>
      <c r="SRL8" s="3418"/>
      <c r="SRM8" s="3418"/>
      <c r="SRN8" s="3418"/>
      <c r="SRO8" s="3418"/>
      <c r="SRP8" s="3418"/>
      <c r="SRQ8" s="3418"/>
      <c r="SRR8" s="3418"/>
      <c r="SRS8" s="3418"/>
      <c r="SRT8" s="3418"/>
      <c r="SRU8" s="3418"/>
      <c r="SRV8" s="3418"/>
      <c r="SRW8" s="3418"/>
      <c r="SRX8" s="3418"/>
      <c r="SRY8" s="3418"/>
      <c r="SRZ8" s="3418"/>
      <c r="SSA8" s="3418"/>
      <c r="SSB8" s="3418"/>
      <c r="SSC8" s="3418"/>
      <c r="SSD8" s="3418"/>
      <c r="SSE8" s="3418"/>
      <c r="SSF8" s="3418"/>
      <c r="SSG8" s="3418"/>
      <c r="SSH8" s="3418"/>
      <c r="SSI8" s="3418"/>
      <c r="SSJ8" s="3418"/>
      <c r="SSK8" s="3418"/>
      <c r="SSL8" s="3418"/>
      <c r="SSM8" s="3418"/>
      <c r="SSN8" s="3418"/>
      <c r="SSO8" s="3418"/>
      <c r="SSP8" s="3418"/>
      <c r="SSQ8" s="3418"/>
      <c r="SSR8" s="3418"/>
      <c r="SSS8" s="3418"/>
      <c r="SST8" s="3418"/>
      <c r="SSU8" s="3418"/>
      <c r="SSV8" s="3418"/>
      <c r="SSW8" s="3418"/>
      <c r="SSX8" s="3418"/>
      <c r="SSY8" s="3418"/>
      <c r="SSZ8" s="3418"/>
      <c r="STA8" s="3418"/>
      <c r="STB8" s="3418"/>
      <c r="STC8" s="3418"/>
      <c r="STD8" s="3418"/>
      <c r="STE8" s="3418"/>
      <c r="STF8" s="3418"/>
      <c r="STG8" s="3418"/>
      <c r="STH8" s="3418"/>
      <c r="STI8" s="3418"/>
      <c r="STJ8" s="3418"/>
      <c r="STK8" s="3418"/>
      <c r="STL8" s="3418"/>
      <c r="STM8" s="3418"/>
      <c r="STN8" s="3418"/>
      <c r="STO8" s="3418"/>
      <c r="STP8" s="3418"/>
      <c r="STQ8" s="3418"/>
      <c r="STR8" s="3418"/>
      <c r="STS8" s="3418"/>
      <c r="STT8" s="3418"/>
      <c r="STU8" s="3418"/>
      <c r="STV8" s="3418"/>
      <c r="STW8" s="3418"/>
      <c r="STX8" s="3418"/>
      <c r="STY8" s="3418"/>
      <c r="STZ8" s="3418"/>
      <c r="SUA8" s="3418"/>
      <c r="SUB8" s="3418"/>
      <c r="SUC8" s="3418"/>
      <c r="SUD8" s="3418"/>
      <c r="SUE8" s="3418"/>
      <c r="SUF8" s="3418"/>
      <c r="SUG8" s="3418"/>
      <c r="SUH8" s="3418"/>
      <c r="SUI8" s="3418"/>
      <c r="SUJ8" s="3418"/>
      <c r="SUK8" s="3418"/>
      <c r="SUL8" s="3418"/>
      <c r="SUM8" s="3418"/>
      <c r="SUN8" s="3418"/>
      <c r="SUO8" s="3418"/>
      <c r="SUP8" s="3418"/>
      <c r="SUQ8" s="3418"/>
      <c r="SUR8" s="3418"/>
      <c r="SUS8" s="3418"/>
      <c r="SUT8" s="3418"/>
      <c r="SUU8" s="3418"/>
      <c r="SUV8" s="3418"/>
      <c r="SUW8" s="3418"/>
      <c r="SUX8" s="3418"/>
      <c r="SUY8" s="3418"/>
      <c r="SUZ8" s="3418"/>
      <c r="SVA8" s="3418"/>
      <c r="SVB8" s="3418"/>
      <c r="SVC8" s="3418"/>
      <c r="SVD8" s="3418"/>
      <c r="SVE8" s="3418"/>
      <c r="SVF8" s="3418"/>
      <c r="SVG8" s="3418"/>
      <c r="SVH8" s="3418"/>
      <c r="SVI8" s="3418"/>
      <c r="SVJ8" s="3418"/>
      <c r="SVK8" s="3418"/>
      <c r="SVL8" s="3418"/>
      <c r="SVM8" s="3418"/>
      <c r="SVN8" s="3418"/>
      <c r="SVO8" s="3418"/>
      <c r="SVP8" s="3418"/>
      <c r="SVQ8" s="3418"/>
      <c r="SVR8" s="3418"/>
      <c r="SVS8" s="3418"/>
      <c r="SVT8" s="3418"/>
      <c r="SVU8" s="3418"/>
      <c r="SVV8" s="3418"/>
      <c r="SVW8" s="3418"/>
      <c r="SVX8" s="3418"/>
      <c r="SVY8" s="3418"/>
      <c r="SVZ8" s="3418"/>
      <c r="SWA8" s="3418"/>
      <c r="SWB8" s="3418"/>
      <c r="SWC8" s="3418"/>
      <c r="SWD8" s="3418"/>
      <c r="SWE8" s="3418"/>
      <c r="SWF8" s="3418"/>
      <c r="SWG8" s="3418"/>
      <c r="SWH8" s="3418"/>
      <c r="SWI8" s="3418"/>
      <c r="SWJ8" s="3418"/>
      <c r="SWK8" s="3418"/>
      <c r="SWL8" s="3418"/>
      <c r="SWM8" s="3418"/>
      <c r="SWN8" s="3418"/>
      <c r="SWO8" s="3418"/>
      <c r="SWP8" s="3418"/>
      <c r="SWQ8" s="3418"/>
      <c r="SWR8" s="3418"/>
      <c r="SWS8" s="3418"/>
      <c r="SWT8" s="3418"/>
      <c r="SWU8" s="3418"/>
      <c r="SWV8" s="3418"/>
      <c r="SWW8" s="3418"/>
      <c r="SWX8" s="3418"/>
      <c r="SWY8" s="3418"/>
      <c r="SWZ8" s="3418"/>
      <c r="SXA8" s="3418"/>
      <c r="SXB8" s="3418"/>
      <c r="SXC8" s="3418"/>
      <c r="SXD8" s="3418"/>
      <c r="SXE8" s="3418"/>
      <c r="SXF8" s="3418"/>
      <c r="SXG8" s="3418"/>
      <c r="SXH8" s="3418"/>
      <c r="SXI8" s="3418"/>
      <c r="SXJ8" s="3418"/>
      <c r="SXK8" s="3418"/>
      <c r="SXL8" s="3418"/>
      <c r="SXM8" s="3418"/>
      <c r="SXN8" s="3418"/>
      <c r="SXO8" s="3418"/>
      <c r="SXP8" s="3418"/>
      <c r="SXQ8" s="3418"/>
      <c r="SXR8" s="3418"/>
      <c r="SXS8" s="3418"/>
      <c r="SXT8" s="3418"/>
      <c r="SXU8" s="3418"/>
      <c r="SXV8" s="3418"/>
      <c r="SXW8" s="3418"/>
      <c r="SXX8" s="3418"/>
      <c r="SXY8" s="3418"/>
      <c r="SXZ8" s="3418"/>
      <c r="SYA8" s="3418"/>
      <c r="SYB8" s="3418"/>
      <c r="SYC8" s="3418"/>
      <c r="SYD8" s="3418"/>
      <c r="SYE8" s="3418"/>
      <c r="SYF8" s="3418"/>
      <c r="SYG8" s="3418"/>
      <c r="SYH8" s="3418"/>
      <c r="SYI8" s="3418"/>
      <c r="SYJ8" s="3418"/>
      <c r="SYK8" s="3418"/>
      <c r="SYL8" s="3418"/>
      <c r="SYM8" s="3418"/>
      <c r="SYN8" s="3418"/>
      <c r="SYO8" s="3418"/>
      <c r="SYP8" s="3418"/>
      <c r="SYQ8" s="3418"/>
      <c r="SYR8" s="3418"/>
      <c r="SYS8" s="3418"/>
      <c r="SYT8" s="3418"/>
      <c r="SYU8" s="3418"/>
      <c r="SYV8" s="3418"/>
      <c r="SYW8" s="3418"/>
      <c r="SYX8" s="3418"/>
      <c r="SYY8" s="3418"/>
      <c r="SYZ8" s="3418"/>
      <c r="SZA8" s="3418"/>
      <c r="SZB8" s="3418"/>
      <c r="SZC8" s="3418"/>
      <c r="SZD8" s="3418"/>
      <c r="SZE8" s="3418"/>
      <c r="SZF8" s="3418"/>
      <c r="SZG8" s="3418"/>
      <c r="SZH8" s="3418"/>
      <c r="SZI8" s="3418"/>
      <c r="SZJ8" s="3418"/>
      <c r="SZK8" s="3418"/>
      <c r="SZL8" s="3418"/>
      <c r="SZM8" s="3418"/>
      <c r="SZN8" s="3418"/>
      <c r="SZO8" s="3418"/>
      <c r="SZP8" s="3418"/>
      <c r="SZQ8" s="3418"/>
      <c r="SZR8" s="3418"/>
      <c r="SZS8" s="3418"/>
      <c r="SZT8" s="3418"/>
      <c r="SZU8" s="3418"/>
      <c r="SZV8" s="3418"/>
      <c r="SZW8" s="3418"/>
      <c r="SZX8" s="3418"/>
      <c r="SZY8" s="3418"/>
      <c r="SZZ8" s="3418"/>
      <c r="TAA8" s="3418"/>
      <c r="TAB8" s="3418"/>
      <c r="TAC8" s="3418"/>
      <c r="TAD8" s="3418"/>
      <c r="TAE8" s="3418"/>
      <c r="TAF8" s="3418"/>
      <c r="TAG8" s="3418"/>
      <c r="TAH8" s="3418"/>
      <c r="TAI8" s="3418"/>
      <c r="TAJ8" s="3418"/>
      <c r="TAK8" s="3418"/>
      <c r="TAL8" s="3418"/>
      <c r="TAM8" s="3418"/>
      <c r="TAN8" s="3418"/>
      <c r="TAO8" s="3418"/>
      <c r="TAP8" s="3418"/>
      <c r="TAQ8" s="3418"/>
      <c r="TAR8" s="3418"/>
      <c r="TAS8" s="3418"/>
      <c r="TAT8" s="3418"/>
      <c r="TAU8" s="3418"/>
      <c r="TAV8" s="3418"/>
      <c r="TAW8" s="3418"/>
      <c r="TAX8" s="3418"/>
      <c r="TAY8" s="3418"/>
      <c r="TAZ8" s="3418"/>
      <c r="TBA8" s="3418"/>
      <c r="TBB8" s="3418"/>
      <c r="TBC8" s="3418"/>
      <c r="TBD8" s="3418"/>
      <c r="TBE8" s="3418"/>
      <c r="TBF8" s="3418"/>
      <c r="TBG8" s="3418"/>
      <c r="TBH8" s="3418"/>
      <c r="TBI8" s="3418"/>
      <c r="TBJ8" s="3418"/>
      <c r="TBK8" s="3418"/>
      <c r="TBL8" s="3418"/>
      <c r="TBM8" s="3418"/>
      <c r="TBN8" s="3418"/>
      <c r="TBO8" s="3418"/>
      <c r="TBP8" s="3418"/>
      <c r="TBQ8" s="3418"/>
      <c r="TBR8" s="3418"/>
      <c r="TBS8" s="3418"/>
      <c r="TBT8" s="3418"/>
      <c r="TBU8" s="3418"/>
      <c r="TBV8" s="3418"/>
      <c r="TBW8" s="3418"/>
      <c r="TBX8" s="3418"/>
      <c r="TBY8" s="3418"/>
      <c r="TBZ8" s="3418"/>
      <c r="TCA8" s="3418"/>
      <c r="TCB8" s="3418"/>
      <c r="TCC8" s="3418"/>
      <c r="TCD8" s="3418"/>
      <c r="TCE8" s="3418"/>
      <c r="TCF8" s="3418"/>
      <c r="TCG8" s="3418"/>
      <c r="TCH8" s="3418"/>
      <c r="TCI8" s="3418"/>
      <c r="TCJ8" s="3418"/>
      <c r="TCK8" s="3418"/>
      <c r="TCL8" s="3418"/>
      <c r="TCM8" s="3418"/>
      <c r="TCN8" s="3418"/>
      <c r="TCO8" s="3418"/>
      <c r="TCP8" s="3418"/>
      <c r="TCQ8" s="3418"/>
      <c r="TCR8" s="3418"/>
      <c r="TCS8" s="3418"/>
      <c r="TCT8" s="3418"/>
      <c r="TCU8" s="3418"/>
      <c r="TCV8" s="3418"/>
      <c r="TCW8" s="3418"/>
      <c r="TCX8" s="3418"/>
      <c r="TCY8" s="3418"/>
      <c r="TCZ8" s="3418"/>
      <c r="TDA8" s="3418"/>
      <c r="TDB8" s="3418"/>
      <c r="TDC8" s="3418"/>
      <c r="TDD8" s="3418"/>
      <c r="TDE8" s="3418"/>
      <c r="TDF8" s="3418"/>
      <c r="TDG8" s="3418"/>
      <c r="TDH8" s="3418"/>
      <c r="TDI8" s="3418"/>
      <c r="TDJ8" s="3418"/>
      <c r="TDK8" s="3418"/>
      <c r="TDL8" s="3418"/>
      <c r="TDM8" s="3418"/>
      <c r="TDN8" s="3418"/>
      <c r="TDO8" s="3418"/>
      <c r="TDP8" s="3418"/>
      <c r="TDQ8" s="3418"/>
      <c r="TDR8" s="3418"/>
      <c r="TDS8" s="3418"/>
      <c r="TDT8" s="3418"/>
      <c r="TDU8" s="3418"/>
      <c r="TDV8" s="3418"/>
      <c r="TDW8" s="3418"/>
      <c r="TDX8" s="3418"/>
      <c r="TDY8" s="3418"/>
      <c r="TDZ8" s="3418"/>
      <c r="TEA8" s="3418"/>
      <c r="TEB8" s="3418"/>
      <c r="TEC8" s="3418"/>
      <c r="TED8" s="3418"/>
      <c r="TEE8" s="3418"/>
      <c r="TEF8" s="3418"/>
      <c r="TEG8" s="3418"/>
      <c r="TEH8" s="3418"/>
      <c r="TEI8" s="3418"/>
      <c r="TEJ8" s="3418"/>
      <c r="TEK8" s="3418"/>
      <c r="TEL8" s="3418"/>
      <c r="TEM8" s="3418"/>
      <c r="TEN8" s="3418"/>
      <c r="TEO8" s="3418"/>
      <c r="TEP8" s="3418"/>
      <c r="TEQ8" s="3418"/>
      <c r="TER8" s="3418"/>
      <c r="TES8" s="3418"/>
      <c r="TET8" s="3418"/>
      <c r="TEU8" s="3418"/>
      <c r="TEV8" s="3418"/>
      <c r="TEW8" s="3418"/>
      <c r="TEX8" s="3418"/>
      <c r="TEY8" s="3418"/>
      <c r="TEZ8" s="3418"/>
      <c r="TFA8" s="3418"/>
      <c r="TFB8" s="3418"/>
      <c r="TFC8" s="3418"/>
      <c r="TFD8" s="3418"/>
      <c r="TFE8" s="3418"/>
      <c r="TFF8" s="3418"/>
      <c r="TFG8" s="3418"/>
      <c r="TFH8" s="3418"/>
      <c r="TFI8" s="3418"/>
      <c r="TFJ8" s="3418"/>
      <c r="TFK8" s="3418"/>
      <c r="TFL8" s="3418"/>
      <c r="TFM8" s="3418"/>
      <c r="TFN8" s="3418"/>
      <c r="TFO8" s="3418"/>
      <c r="TFP8" s="3418"/>
      <c r="TFQ8" s="3418"/>
      <c r="TFR8" s="3418"/>
      <c r="TFS8" s="3418"/>
      <c r="TFT8" s="3418"/>
      <c r="TFU8" s="3418"/>
      <c r="TFV8" s="3418"/>
      <c r="TFW8" s="3418"/>
      <c r="TFX8" s="3418"/>
      <c r="TFY8" s="3418"/>
      <c r="TFZ8" s="3418"/>
      <c r="TGA8" s="3418"/>
      <c r="TGB8" s="3418"/>
      <c r="TGC8" s="3418"/>
      <c r="TGD8" s="3418"/>
      <c r="TGE8" s="3418"/>
      <c r="TGF8" s="3418"/>
      <c r="TGG8" s="3418"/>
      <c r="TGH8" s="3418"/>
      <c r="TGI8" s="3418"/>
      <c r="TGJ8" s="3418"/>
      <c r="TGK8" s="3418"/>
      <c r="TGL8" s="3418"/>
      <c r="TGM8" s="3418"/>
      <c r="TGN8" s="3418"/>
      <c r="TGO8" s="3418"/>
      <c r="TGP8" s="3418"/>
      <c r="TGQ8" s="3418"/>
      <c r="TGR8" s="3418"/>
      <c r="TGS8" s="3418"/>
      <c r="TGT8" s="3418"/>
      <c r="TGU8" s="3418"/>
      <c r="TGV8" s="3418"/>
      <c r="TGW8" s="3418"/>
      <c r="TGX8" s="3418"/>
      <c r="TGY8" s="3418"/>
      <c r="TGZ8" s="3418"/>
      <c r="THA8" s="3418"/>
      <c r="THB8" s="3418"/>
      <c r="THC8" s="3418"/>
      <c r="THD8" s="3418"/>
      <c r="THE8" s="3418"/>
      <c r="THF8" s="3418"/>
      <c r="THG8" s="3418"/>
      <c r="THH8" s="3418"/>
      <c r="THI8" s="3418"/>
      <c r="THJ8" s="3418"/>
      <c r="THK8" s="3418"/>
      <c r="THL8" s="3418"/>
      <c r="THM8" s="3418"/>
      <c r="THN8" s="3418"/>
      <c r="THO8" s="3418"/>
      <c r="THP8" s="3418"/>
      <c r="THQ8" s="3418"/>
      <c r="THR8" s="3418"/>
      <c r="THS8" s="3418"/>
      <c r="THT8" s="3418"/>
      <c r="THU8" s="3418"/>
      <c r="THV8" s="3418"/>
      <c r="THW8" s="3418"/>
      <c r="THX8" s="3418"/>
      <c r="THY8" s="3418"/>
      <c r="THZ8" s="3418"/>
      <c r="TIA8" s="3418"/>
      <c r="TIB8" s="3418"/>
      <c r="TIC8" s="3418"/>
      <c r="TID8" s="3418"/>
      <c r="TIE8" s="3418"/>
      <c r="TIF8" s="3418"/>
      <c r="TIG8" s="3418"/>
      <c r="TIH8" s="3418"/>
      <c r="TII8" s="3418"/>
      <c r="TIJ8" s="3418"/>
      <c r="TIK8" s="3418"/>
      <c r="TIL8" s="3418"/>
      <c r="TIM8" s="3418"/>
      <c r="TIN8" s="3418"/>
      <c r="TIO8" s="3418"/>
      <c r="TIP8" s="3418"/>
      <c r="TIQ8" s="3418"/>
      <c r="TIR8" s="3418"/>
      <c r="TIS8" s="3418"/>
      <c r="TIT8" s="3418"/>
      <c r="TIU8" s="3418"/>
      <c r="TIV8" s="3418"/>
      <c r="TIW8" s="3418"/>
      <c r="TIX8" s="3418"/>
      <c r="TIY8" s="3418"/>
      <c r="TIZ8" s="3418"/>
      <c r="TJA8" s="3418"/>
      <c r="TJB8" s="3418"/>
      <c r="TJC8" s="3418"/>
      <c r="TJD8" s="3418"/>
      <c r="TJE8" s="3418"/>
      <c r="TJF8" s="3418"/>
      <c r="TJG8" s="3418"/>
      <c r="TJH8" s="3418"/>
      <c r="TJI8" s="3418"/>
      <c r="TJJ8" s="3418"/>
      <c r="TJK8" s="3418"/>
      <c r="TJL8" s="3418"/>
      <c r="TJM8" s="3418"/>
      <c r="TJN8" s="3418"/>
      <c r="TJO8" s="3418"/>
      <c r="TJP8" s="3418"/>
      <c r="TJQ8" s="3418"/>
      <c r="TJR8" s="3418"/>
      <c r="TJS8" s="3418"/>
      <c r="TJT8" s="3418"/>
      <c r="TJU8" s="3418"/>
      <c r="TJV8" s="3418"/>
      <c r="TJW8" s="3418"/>
      <c r="TJX8" s="3418"/>
      <c r="TJY8" s="3418"/>
      <c r="TJZ8" s="3418"/>
      <c r="TKA8" s="3418"/>
      <c r="TKB8" s="3418"/>
      <c r="TKC8" s="3418"/>
      <c r="TKD8" s="3418"/>
      <c r="TKE8" s="3418"/>
      <c r="TKF8" s="3418"/>
      <c r="TKG8" s="3418"/>
      <c r="TKH8" s="3418"/>
      <c r="TKI8" s="3418"/>
      <c r="TKJ8" s="3418"/>
      <c r="TKK8" s="3418"/>
      <c r="TKL8" s="3418"/>
      <c r="TKM8" s="3418"/>
      <c r="TKN8" s="3418"/>
      <c r="TKO8" s="3418"/>
      <c r="TKP8" s="3418"/>
      <c r="TKQ8" s="3418"/>
      <c r="TKR8" s="3418"/>
      <c r="TKS8" s="3418"/>
      <c r="TKT8" s="3418"/>
      <c r="TKU8" s="3418"/>
      <c r="TKV8" s="3418"/>
      <c r="TKW8" s="3418"/>
      <c r="TKX8" s="3418"/>
      <c r="TKY8" s="3418"/>
      <c r="TKZ8" s="3418"/>
      <c r="TLA8" s="3418"/>
      <c r="TLB8" s="3418"/>
      <c r="TLC8" s="3418"/>
      <c r="TLD8" s="3418"/>
      <c r="TLE8" s="3418"/>
      <c r="TLF8" s="3418"/>
      <c r="TLG8" s="3418"/>
      <c r="TLH8" s="3418"/>
      <c r="TLI8" s="3418"/>
      <c r="TLJ8" s="3418"/>
      <c r="TLK8" s="3418"/>
      <c r="TLL8" s="3418"/>
      <c r="TLM8" s="3418"/>
      <c r="TLN8" s="3418"/>
      <c r="TLO8" s="3418"/>
      <c r="TLP8" s="3418"/>
      <c r="TLQ8" s="3418"/>
      <c r="TLR8" s="3418"/>
      <c r="TLS8" s="3418"/>
      <c r="TLT8" s="3418"/>
      <c r="TLU8" s="3418"/>
      <c r="TLV8" s="3418"/>
      <c r="TLW8" s="3418"/>
      <c r="TLX8" s="3418"/>
      <c r="TLY8" s="3418"/>
      <c r="TLZ8" s="3418"/>
      <c r="TMA8" s="3418"/>
      <c r="TMB8" s="3418"/>
      <c r="TMC8" s="3418"/>
      <c r="TMD8" s="3418"/>
      <c r="TME8" s="3418"/>
      <c r="TMF8" s="3418"/>
      <c r="TMG8" s="3418"/>
      <c r="TMH8" s="3418"/>
      <c r="TMI8" s="3418"/>
      <c r="TMJ8" s="3418"/>
      <c r="TMK8" s="3418"/>
      <c r="TML8" s="3418"/>
      <c r="TMM8" s="3418"/>
      <c r="TMN8" s="3418"/>
      <c r="TMO8" s="3418"/>
      <c r="TMP8" s="3418"/>
      <c r="TMQ8" s="3418"/>
      <c r="TMR8" s="3418"/>
      <c r="TMS8" s="3418"/>
      <c r="TMT8" s="3418"/>
      <c r="TMU8" s="3418"/>
      <c r="TMV8" s="3418"/>
      <c r="TMW8" s="3418"/>
      <c r="TMX8" s="3418"/>
      <c r="TMY8" s="3418"/>
      <c r="TMZ8" s="3418"/>
      <c r="TNA8" s="3418"/>
      <c r="TNB8" s="3418"/>
      <c r="TNC8" s="3418"/>
      <c r="TND8" s="3418"/>
      <c r="TNE8" s="3418"/>
      <c r="TNF8" s="3418"/>
      <c r="TNG8" s="3418"/>
      <c r="TNH8" s="3418"/>
      <c r="TNI8" s="3418"/>
      <c r="TNJ8" s="3418"/>
      <c r="TNK8" s="3418"/>
      <c r="TNL8" s="3418"/>
      <c r="TNM8" s="3418"/>
      <c r="TNN8" s="3418"/>
      <c r="TNO8" s="3418"/>
      <c r="TNP8" s="3418"/>
      <c r="TNQ8" s="3418"/>
      <c r="TNR8" s="3418"/>
      <c r="TNS8" s="3418"/>
      <c r="TNT8" s="3418"/>
      <c r="TNU8" s="3418"/>
      <c r="TNV8" s="3418"/>
      <c r="TNW8" s="3418"/>
      <c r="TNX8" s="3418"/>
      <c r="TNY8" s="3418"/>
      <c r="TNZ8" s="3418"/>
      <c r="TOA8" s="3418"/>
      <c r="TOB8" s="3418"/>
      <c r="TOC8" s="3418"/>
      <c r="TOD8" s="3418"/>
      <c r="TOE8" s="3418"/>
      <c r="TOF8" s="3418"/>
      <c r="TOG8" s="3418"/>
      <c r="TOH8" s="3418"/>
      <c r="TOI8" s="3418"/>
      <c r="TOJ8" s="3418"/>
      <c r="TOK8" s="3418"/>
      <c r="TOL8" s="3418"/>
      <c r="TOM8" s="3418"/>
      <c r="TON8" s="3418"/>
      <c r="TOO8" s="3418"/>
      <c r="TOP8" s="3418"/>
      <c r="TOQ8" s="3418"/>
      <c r="TOR8" s="3418"/>
      <c r="TOS8" s="3418"/>
      <c r="TOT8" s="3418"/>
      <c r="TOU8" s="3418"/>
      <c r="TOV8" s="3418"/>
      <c r="TOW8" s="3418"/>
      <c r="TOX8" s="3418"/>
      <c r="TOY8" s="3418"/>
      <c r="TOZ8" s="3418"/>
      <c r="TPA8" s="3418"/>
      <c r="TPB8" s="3418"/>
      <c r="TPC8" s="3418"/>
      <c r="TPD8" s="3418"/>
      <c r="TPE8" s="3418"/>
      <c r="TPF8" s="3418"/>
      <c r="TPG8" s="3418"/>
      <c r="TPH8" s="3418"/>
      <c r="TPI8" s="3418"/>
      <c r="TPJ8" s="3418"/>
      <c r="TPK8" s="3418"/>
      <c r="TPL8" s="3418"/>
      <c r="TPM8" s="3418"/>
      <c r="TPN8" s="3418"/>
      <c r="TPO8" s="3418"/>
      <c r="TPP8" s="3418"/>
      <c r="TPQ8" s="3418"/>
      <c r="TPR8" s="3418"/>
      <c r="TPS8" s="3418"/>
      <c r="TPT8" s="3418"/>
      <c r="TPU8" s="3418"/>
      <c r="TPV8" s="3418"/>
      <c r="TPW8" s="3418"/>
      <c r="TPX8" s="3418"/>
      <c r="TPY8" s="3418"/>
      <c r="TPZ8" s="3418"/>
      <c r="TQA8" s="3418"/>
      <c r="TQB8" s="3418"/>
      <c r="TQC8" s="3418"/>
      <c r="TQD8" s="3418"/>
      <c r="TQE8" s="3418"/>
      <c r="TQF8" s="3418"/>
      <c r="TQG8" s="3418"/>
      <c r="TQH8" s="3418"/>
      <c r="TQI8" s="3418"/>
      <c r="TQJ8" s="3418"/>
      <c r="TQK8" s="3418"/>
      <c r="TQL8" s="3418"/>
      <c r="TQM8" s="3418"/>
      <c r="TQN8" s="3418"/>
      <c r="TQO8" s="3418"/>
      <c r="TQP8" s="3418"/>
      <c r="TQQ8" s="3418"/>
      <c r="TQR8" s="3418"/>
      <c r="TQS8" s="3418"/>
      <c r="TQT8" s="3418"/>
      <c r="TQU8" s="3418"/>
      <c r="TQV8" s="3418"/>
      <c r="TQW8" s="3418"/>
      <c r="TQX8" s="3418"/>
      <c r="TQY8" s="3418"/>
      <c r="TQZ8" s="3418"/>
      <c r="TRA8" s="3418"/>
      <c r="TRB8" s="3418"/>
      <c r="TRC8" s="3418"/>
      <c r="TRD8" s="3418"/>
      <c r="TRE8" s="3418"/>
      <c r="TRF8" s="3418"/>
      <c r="TRG8" s="3418"/>
      <c r="TRH8" s="3418"/>
      <c r="TRI8" s="3418"/>
      <c r="TRJ8" s="3418"/>
      <c r="TRK8" s="3418"/>
      <c r="TRL8" s="3418"/>
      <c r="TRM8" s="3418"/>
      <c r="TRN8" s="3418"/>
      <c r="TRO8" s="3418"/>
      <c r="TRP8" s="3418"/>
      <c r="TRQ8" s="3418"/>
      <c r="TRR8" s="3418"/>
      <c r="TRS8" s="3418"/>
      <c r="TRT8" s="3418"/>
      <c r="TRU8" s="3418"/>
      <c r="TRV8" s="3418"/>
      <c r="TRW8" s="3418"/>
      <c r="TRX8" s="3418"/>
      <c r="TRY8" s="3418"/>
      <c r="TRZ8" s="3418"/>
      <c r="TSA8" s="3418"/>
      <c r="TSB8" s="3418"/>
      <c r="TSC8" s="3418"/>
      <c r="TSD8" s="3418"/>
      <c r="TSE8" s="3418"/>
      <c r="TSF8" s="3418"/>
      <c r="TSG8" s="3418"/>
      <c r="TSH8" s="3418"/>
      <c r="TSI8" s="3418"/>
      <c r="TSJ8" s="3418"/>
      <c r="TSK8" s="3418"/>
      <c r="TSL8" s="3418"/>
      <c r="TSM8" s="3418"/>
      <c r="TSN8" s="3418"/>
      <c r="TSO8" s="3418"/>
      <c r="TSP8" s="3418"/>
      <c r="TSQ8" s="3418"/>
      <c r="TSR8" s="3418"/>
      <c r="TSS8" s="3418"/>
      <c r="TST8" s="3418"/>
      <c r="TSU8" s="3418"/>
      <c r="TSV8" s="3418"/>
      <c r="TSW8" s="3418"/>
      <c r="TSX8" s="3418"/>
      <c r="TSY8" s="3418"/>
      <c r="TSZ8" s="3418"/>
      <c r="TTA8" s="3418"/>
      <c r="TTB8" s="3418"/>
      <c r="TTC8" s="3418"/>
      <c r="TTD8" s="3418"/>
      <c r="TTE8" s="3418"/>
      <c r="TTF8" s="3418"/>
      <c r="TTG8" s="3418"/>
      <c r="TTH8" s="3418"/>
      <c r="TTI8" s="3418"/>
      <c r="TTJ8" s="3418"/>
      <c r="TTK8" s="3418"/>
      <c r="TTL8" s="3418"/>
      <c r="TTM8" s="3418"/>
      <c r="TTN8" s="3418"/>
      <c r="TTO8" s="3418"/>
      <c r="TTP8" s="3418"/>
      <c r="TTQ8" s="3418"/>
      <c r="TTR8" s="3418"/>
      <c r="TTS8" s="3418"/>
      <c r="TTT8" s="3418"/>
      <c r="TTU8" s="3418"/>
      <c r="TTV8" s="3418"/>
      <c r="TTW8" s="3418"/>
      <c r="TTX8" s="3418"/>
      <c r="TTY8" s="3418"/>
      <c r="TTZ8" s="3418"/>
      <c r="TUA8" s="3418"/>
      <c r="TUB8" s="3418"/>
      <c r="TUC8" s="3418"/>
      <c r="TUD8" s="3418"/>
      <c r="TUE8" s="3418"/>
      <c r="TUF8" s="3418"/>
      <c r="TUG8" s="3418"/>
      <c r="TUH8" s="3418"/>
      <c r="TUI8" s="3418"/>
      <c r="TUJ8" s="3418"/>
      <c r="TUK8" s="3418"/>
      <c r="TUL8" s="3418"/>
      <c r="TUM8" s="3418"/>
      <c r="TUN8" s="3418"/>
      <c r="TUO8" s="3418"/>
      <c r="TUP8" s="3418"/>
      <c r="TUQ8" s="3418"/>
      <c r="TUR8" s="3418"/>
      <c r="TUS8" s="3418"/>
      <c r="TUT8" s="3418"/>
      <c r="TUU8" s="3418"/>
      <c r="TUV8" s="3418"/>
      <c r="TUW8" s="3418"/>
      <c r="TUX8" s="3418"/>
      <c r="TUY8" s="3418"/>
      <c r="TUZ8" s="3418"/>
      <c r="TVA8" s="3418"/>
      <c r="TVB8" s="3418"/>
      <c r="TVC8" s="3418"/>
      <c r="TVD8" s="3418"/>
      <c r="TVE8" s="3418"/>
      <c r="TVF8" s="3418"/>
      <c r="TVG8" s="3418"/>
      <c r="TVH8" s="3418"/>
      <c r="TVI8" s="3418"/>
      <c r="TVJ8" s="3418"/>
      <c r="TVK8" s="3418"/>
      <c r="TVL8" s="3418"/>
      <c r="TVM8" s="3418"/>
      <c r="TVN8" s="3418"/>
      <c r="TVO8" s="3418"/>
      <c r="TVP8" s="3418"/>
      <c r="TVQ8" s="3418"/>
      <c r="TVR8" s="3418"/>
      <c r="TVS8" s="3418"/>
      <c r="TVT8" s="3418"/>
      <c r="TVU8" s="3418"/>
      <c r="TVV8" s="3418"/>
      <c r="TVW8" s="3418"/>
      <c r="TVX8" s="3418"/>
      <c r="TVY8" s="3418"/>
      <c r="TVZ8" s="3418"/>
      <c r="TWA8" s="3418"/>
      <c r="TWB8" s="3418"/>
      <c r="TWC8" s="3418"/>
      <c r="TWD8" s="3418"/>
      <c r="TWE8" s="3418"/>
      <c r="TWF8" s="3418"/>
      <c r="TWG8" s="3418"/>
      <c r="TWH8" s="3418"/>
      <c r="TWI8" s="3418"/>
      <c r="TWJ8" s="3418"/>
      <c r="TWK8" s="3418"/>
      <c r="TWL8" s="3418"/>
      <c r="TWM8" s="3418"/>
      <c r="TWN8" s="3418"/>
      <c r="TWO8" s="3418"/>
      <c r="TWP8" s="3418"/>
      <c r="TWQ8" s="3418"/>
      <c r="TWR8" s="3418"/>
      <c r="TWS8" s="3418"/>
      <c r="TWT8" s="3418"/>
      <c r="TWU8" s="3418"/>
      <c r="TWV8" s="3418"/>
      <c r="TWW8" s="3418"/>
      <c r="TWX8" s="3418"/>
      <c r="TWY8" s="3418"/>
      <c r="TWZ8" s="3418"/>
      <c r="TXA8" s="3418"/>
      <c r="TXB8" s="3418"/>
      <c r="TXC8" s="3418"/>
      <c r="TXD8" s="3418"/>
      <c r="TXE8" s="3418"/>
      <c r="TXF8" s="3418"/>
      <c r="TXG8" s="3418"/>
      <c r="TXH8" s="3418"/>
      <c r="TXI8" s="3418"/>
      <c r="TXJ8" s="3418"/>
      <c r="TXK8" s="3418"/>
      <c r="TXL8" s="3418"/>
      <c r="TXM8" s="3418"/>
      <c r="TXN8" s="3418"/>
      <c r="TXO8" s="3418"/>
      <c r="TXP8" s="3418"/>
      <c r="TXQ8" s="3418"/>
      <c r="TXR8" s="3418"/>
      <c r="TXS8" s="3418"/>
      <c r="TXT8" s="3418"/>
      <c r="TXU8" s="3418"/>
      <c r="TXV8" s="3418"/>
      <c r="TXW8" s="3418"/>
      <c r="TXX8" s="3418"/>
      <c r="TXY8" s="3418"/>
      <c r="TXZ8" s="3418"/>
      <c r="TYA8" s="3418"/>
      <c r="TYB8" s="3418"/>
      <c r="TYC8" s="3418"/>
      <c r="TYD8" s="3418"/>
      <c r="TYE8" s="3418"/>
      <c r="TYF8" s="3418"/>
      <c r="TYG8" s="3418"/>
      <c r="TYH8" s="3418"/>
      <c r="TYI8" s="3418"/>
      <c r="TYJ8" s="3418"/>
      <c r="TYK8" s="3418"/>
      <c r="TYL8" s="3418"/>
      <c r="TYM8" s="3418"/>
      <c r="TYN8" s="3418"/>
      <c r="TYO8" s="3418"/>
      <c r="TYP8" s="3418"/>
      <c r="TYQ8" s="3418"/>
      <c r="TYR8" s="3418"/>
      <c r="TYS8" s="3418"/>
      <c r="TYT8" s="3418"/>
      <c r="TYU8" s="3418"/>
      <c r="TYV8" s="3418"/>
      <c r="TYW8" s="3418"/>
      <c r="TYX8" s="3418"/>
      <c r="TYY8" s="3418"/>
      <c r="TYZ8" s="3418"/>
      <c r="TZA8" s="3418"/>
      <c r="TZB8" s="3418"/>
      <c r="TZC8" s="3418"/>
      <c r="TZD8" s="3418"/>
      <c r="TZE8" s="3418"/>
      <c r="TZF8" s="3418"/>
      <c r="TZG8" s="3418"/>
      <c r="TZH8" s="3418"/>
      <c r="TZI8" s="3418"/>
      <c r="TZJ8" s="3418"/>
      <c r="TZK8" s="3418"/>
      <c r="TZL8" s="3418"/>
      <c r="TZM8" s="3418"/>
      <c r="TZN8" s="3418"/>
      <c r="TZO8" s="3418"/>
      <c r="TZP8" s="3418"/>
      <c r="TZQ8" s="3418"/>
      <c r="TZR8" s="3418"/>
      <c r="TZS8" s="3418"/>
      <c r="TZT8" s="3418"/>
      <c r="TZU8" s="3418"/>
      <c r="TZV8" s="3418"/>
      <c r="TZW8" s="3418"/>
      <c r="TZX8" s="3418"/>
      <c r="TZY8" s="3418"/>
      <c r="TZZ8" s="3418"/>
      <c r="UAA8" s="3418"/>
      <c r="UAB8" s="3418"/>
      <c r="UAC8" s="3418"/>
      <c r="UAD8" s="3418"/>
      <c r="UAE8" s="3418"/>
      <c r="UAF8" s="3418"/>
      <c r="UAG8" s="3418"/>
      <c r="UAH8" s="3418"/>
      <c r="UAI8" s="3418"/>
      <c r="UAJ8" s="3418"/>
      <c r="UAK8" s="3418"/>
      <c r="UAL8" s="3418"/>
      <c r="UAM8" s="3418"/>
      <c r="UAN8" s="3418"/>
      <c r="UAO8" s="3418"/>
      <c r="UAP8" s="3418"/>
      <c r="UAQ8" s="3418"/>
      <c r="UAR8" s="3418"/>
      <c r="UAS8" s="3418"/>
      <c r="UAT8" s="3418"/>
      <c r="UAU8" s="3418"/>
      <c r="UAV8" s="3418"/>
      <c r="UAW8" s="3418"/>
      <c r="UAX8" s="3418"/>
      <c r="UAY8" s="3418"/>
      <c r="UAZ8" s="3418"/>
      <c r="UBA8" s="3418"/>
      <c r="UBB8" s="3418"/>
      <c r="UBC8" s="3418"/>
      <c r="UBD8" s="3418"/>
      <c r="UBE8" s="3418"/>
      <c r="UBF8" s="3418"/>
      <c r="UBG8" s="3418"/>
      <c r="UBH8" s="3418"/>
      <c r="UBI8" s="3418"/>
      <c r="UBJ8" s="3418"/>
      <c r="UBK8" s="3418"/>
      <c r="UBL8" s="3418"/>
      <c r="UBM8" s="3418"/>
      <c r="UBN8" s="3418"/>
      <c r="UBO8" s="3418"/>
      <c r="UBP8" s="3418"/>
      <c r="UBQ8" s="3418"/>
      <c r="UBR8" s="3418"/>
      <c r="UBS8" s="3418"/>
      <c r="UBT8" s="3418"/>
      <c r="UBU8" s="3418"/>
      <c r="UBV8" s="3418"/>
      <c r="UBW8" s="3418"/>
      <c r="UBX8" s="3418"/>
      <c r="UBY8" s="3418"/>
      <c r="UBZ8" s="3418"/>
      <c r="UCA8" s="3418"/>
      <c r="UCB8" s="3418"/>
      <c r="UCC8" s="3418"/>
      <c r="UCD8" s="3418"/>
      <c r="UCE8" s="3418"/>
      <c r="UCF8" s="3418"/>
      <c r="UCG8" s="3418"/>
      <c r="UCH8" s="3418"/>
      <c r="UCI8" s="3418"/>
      <c r="UCJ8" s="3418"/>
      <c r="UCK8" s="3418"/>
      <c r="UCL8" s="3418"/>
      <c r="UCM8" s="3418"/>
      <c r="UCN8" s="3418"/>
      <c r="UCO8" s="3418"/>
      <c r="UCP8" s="3418"/>
      <c r="UCQ8" s="3418"/>
      <c r="UCR8" s="3418"/>
      <c r="UCS8" s="3418"/>
      <c r="UCT8" s="3418"/>
      <c r="UCU8" s="3418"/>
      <c r="UCV8" s="3418"/>
      <c r="UCW8" s="3418"/>
      <c r="UCX8" s="3418"/>
      <c r="UCY8" s="3418"/>
      <c r="UCZ8" s="3418"/>
      <c r="UDA8" s="3418"/>
      <c r="UDB8" s="3418"/>
      <c r="UDC8" s="3418"/>
      <c r="UDD8" s="3418"/>
      <c r="UDE8" s="3418"/>
      <c r="UDF8" s="3418"/>
      <c r="UDG8" s="3418"/>
      <c r="UDH8" s="3418"/>
      <c r="UDI8" s="3418"/>
      <c r="UDJ8" s="3418"/>
      <c r="UDK8" s="3418"/>
      <c r="UDL8" s="3418"/>
      <c r="UDM8" s="3418"/>
      <c r="UDN8" s="3418"/>
      <c r="UDO8" s="3418"/>
      <c r="UDP8" s="3418"/>
      <c r="UDQ8" s="3418"/>
      <c r="UDR8" s="3418"/>
      <c r="UDS8" s="3418"/>
      <c r="UDT8" s="3418"/>
      <c r="UDU8" s="3418"/>
      <c r="UDV8" s="3418"/>
      <c r="UDW8" s="3418"/>
      <c r="UDX8" s="3418"/>
      <c r="UDY8" s="3418"/>
      <c r="UDZ8" s="3418"/>
      <c r="UEA8" s="3418"/>
      <c r="UEB8" s="3418"/>
      <c r="UEC8" s="3418"/>
      <c r="UED8" s="3418"/>
      <c r="UEE8" s="3418"/>
      <c r="UEF8" s="3418"/>
      <c r="UEG8" s="3418"/>
      <c r="UEH8" s="3418"/>
      <c r="UEI8" s="3418"/>
      <c r="UEJ8" s="3418"/>
      <c r="UEK8" s="3418"/>
      <c r="UEL8" s="3418"/>
      <c r="UEM8" s="3418"/>
      <c r="UEN8" s="3418"/>
      <c r="UEO8" s="3418"/>
      <c r="UEP8" s="3418"/>
      <c r="UEQ8" s="3418"/>
      <c r="UER8" s="3418"/>
      <c r="UES8" s="3418"/>
      <c r="UET8" s="3418"/>
      <c r="UEU8" s="3418"/>
      <c r="UEV8" s="3418"/>
      <c r="UEW8" s="3418"/>
      <c r="UEX8" s="3418"/>
      <c r="UEY8" s="3418"/>
      <c r="UEZ8" s="3418"/>
      <c r="UFA8" s="3418"/>
      <c r="UFB8" s="3418"/>
      <c r="UFC8" s="3418"/>
      <c r="UFD8" s="3418"/>
      <c r="UFE8" s="3418"/>
      <c r="UFF8" s="3418"/>
      <c r="UFG8" s="3418"/>
      <c r="UFH8" s="3418"/>
      <c r="UFI8" s="3418"/>
      <c r="UFJ8" s="3418"/>
      <c r="UFK8" s="3418"/>
      <c r="UFL8" s="3418"/>
      <c r="UFM8" s="3418"/>
      <c r="UFN8" s="3418"/>
      <c r="UFO8" s="3418"/>
      <c r="UFP8" s="3418"/>
      <c r="UFQ8" s="3418"/>
      <c r="UFR8" s="3418"/>
      <c r="UFS8" s="3418"/>
      <c r="UFT8" s="3418"/>
      <c r="UFU8" s="3418"/>
      <c r="UFV8" s="3418"/>
      <c r="UFW8" s="3418"/>
      <c r="UFX8" s="3418"/>
      <c r="UFY8" s="3418"/>
      <c r="UFZ8" s="3418"/>
      <c r="UGA8" s="3418"/>
      <c r="UGB8" s="3418"/>
      <c r="UGC8" s="3418"/>
      <c r="UGD8" s="3418"/>
      <c r="UGE8" s="3418"/>
      <c r="UGF8" s="3418"/>
      <c r="UGG8" s="3418"/>
      <c r="UGH8" s="3418"/>
      <c r="UGI8" s="3418"/>
      <c r="UGJ8" s="3418"/>
      <c r="UGK8" s="3418"/>
      <c r="UGL8" s="3418"/>
      <c r="UGM8" s="3418"/>
      <c r="UGN8" s="3418"/>
      <c r="UGO8" s="3418"/>
      <c r="UGP8" s="3418"/>
      <c r="UGQ8" s="3418"/>
      <c r="UGR8" s="3418"/>
      <c r="UGS8" s="3418"/>
      <c r="UGT8" s="3418"/>
      <c r="UGU8" s="3418"/>
      <c r="UGV8" s="3418"/>
      <c r="UGW8" s="3418"/>
      <c r="UGX8" s="3418"/>
      <c r="UGY8" s="3418"/>
      <c r="UGZ8" s="3418"/>
      <c r="UHA8" s="3418"/>
      <c r="UHB8" s="3418"/>
      <c r="UHC8" s="3418"/>
      <c r="UHD8" s="3418"/>
      <c r="UHE8" s="3418"/>
      <c r="UHF8" s="3418"/>
      <c r="UHG8" s="3418"/>
      <c r="UHH8" s="3418"/>
      <c r="UHI8" s="3418"/>
      <c r="UHJ8" s="3418"/>
      <c r="UHK8" s="3418"/>
      <c r="UHL8" s="3418"/>
      <c r="UHM8" s="3418"/>
      <c r="UHN8" s="3418"/>
      <c r="UHO8" s="3418"/>
      <c r="UHP8" s="3418"/>
      <c r="UHQ8" s="3418"/>
      <c r="UHR8" s="3418"/>
      <c r="UHS8" s="3418"/>
      <c r="UHT8" s="3418"/>
      <c r="UHU8" s="3418"/>
      <c r="UHV8" s="3418"/>
      <c r="UHW8" s="3418"/>
      <c r="UHX8" s="3418"/>
      <c r="UHY8" s="3418"/>
      <c r="UHZ8" s="3418"/>
      <c r="UIA8" s="3418"/>
      <c r="UIB8" s="3418"/>
      <c r="UIC8" s="3418"/>
      <c r="UID8" s="3418"/>
      <c r="UIE8" s="3418"/>
      <c r="UIF8" s="3418"/>
      <c r="UIG8" s="3418"/>
      <c r="UIH8" s="3418"/>
      <c r="UII8" s="3418"/>
      <c r="UIJ8" s="3418"/>
      <c r="UIK8" s="3418"/>
      <c r="UIL8" s="3418"/>
      <c r="UIM8" s="3418"/>
      <c r="UIN8" s="3418"/>
      <c r="UIO8" s="3418"/>
      <c r="UIP8" s="3418"/>
      <c r="UIQ8" s="3418"/>
      <c r="UIR8" s="3418"/>
      <c r="UIS8" s="3418"/>
      <c r="UIT8" s="3418"/>
      <c r="UIU8" s="3418"/>
      <c r="UIV8" s="3418"/>
      <c r="UIW8" s="3418"/>
      <c r="UIX8" s="3418"/>
      <c r="UIY8" s="3418"/>
      <c r="UIZ8" s="3418"/>
      <c r="UJA8" s="3418"/>
      <c r="UJB8" s="3418"/>
      <c r="UJC8" s="3418"/>
      <c r="UJD8" s="3418"/>
      <c r="UJE8" s="3418"/>
      <c r="UJF8" s="3418"/>
      <c r="UJG8" s="3418"/>
      <c r="UJH8" s="3418"/>
      <c r="UJI8" s="3418"/>
      <c r="UJJ8" s="3418"/>
      <c r="UJK8" s="3418"/>
      <c r="UJL8" s="3418"/>
      <c r="UJM8" s="3418"/>
      <c r="UJN8" s="3418"/>
      <c r="UJO8" s="3418"/>
      <c r="UJP8" s="3418"/>
      <c r="UJQ8" s="3418"/>
      <c r="UJR8" s="3418"/>
      <c r="UJS8" s="3418"/>
      <c r="UJT8" s="3418"/>
      <c r="UJU8" s="3418"/>
      <c r="UJV8" s="3418"/>
      <c r="UJW8" s="3418"/>
      <c r="UJX8" s="3418"/>
      <c r="UJY8" s="3418"/>
      <c r="UJZ8" s="3418"/>
      <c r="UKA8" s="3418"/>
      <c r="UKB8" s="3418"/>
      <c r="UKC8" s="3418"/>
      <c r="UKD8" s="3418"/>
      <c r="UKE8" s="3418"/>
      <c r="UKF8" s="3418"/>
      <c r="UKG8" s="3418"/>
      <c r="UKH8" s="3418"/>
      <c r="UKI8" s="3418"/>
      <c r="UKJ8" s="3418"/>
      <c r="UKK8" s="3418"/>
      <c r="UKL8" s="3418"/>
      <c r="UKM8" s="3418"/>
      <c r="UKN8" s="3418"/>
      <c r="UKO8" s="3418"/>
      <c r="UKP8" s="3418"/>
      <c r="UKQ8" s="3418"/>
      <c r="UKR8" s="3418"/>
      <c r="UKS8" s="3418"/>
      <c r="UKT8" s="3418"/>
      <c r="UKU8" s="3418"/>
      <c r="UKV8" s="3418"/>
      <c r="UKW8" s="3418"/>
      <c r="UKX8" s="3418"/>
      <c r="UKY8" s="3418"/>
      <c r="UKZ8" s="3418"/>
      <c r="ULA8" s="3418"/>
      <c r="ULB8" s="3418"/>
      <c r="ULC8" s="3418"/>
      <c r="ULD8" s="3418"/>
      <c r="ULE8" s="3418"/>
      <c r="ULF8" s="3418"/>
      <c r="ULG8" s="3418"/>
      <c r="ULH8" s="3418"/>
      <c r="ULI8" s="3418"/>
      <c r="ULJ8" s="3418"/>
      <c r="ULK8" s="3418"/>
      <c r="ULL8" s="3418"/>
      <c r="ULM8" s="3418"/>
      <c r="ULN8" s="3418"/>
      <c r="ULO8" s="3418"/>
      <c r="ULP8" s="3418"/>
      <c r="ULQ8" s="3418"/>
      <c r="ULR8" s="3418"/>
      <c r="ULS8" s="3418"/>
      <c r="ULT8" s="3418"/>
      <c r="ULU8" s="3418"/>
      <c r="ULV8" s="3418"/>
      <c r="ULW8" s="3418"/>
      <c r="ULX8" s="3418"/>
      <c r="ULY8" s="3418"/>
      <c r="ULZ8" s="3418"/>
      <c r="UMA8" s="3418"/>
      <c r="UMB8" s="3418"/>
      <c r="UMC8" s="3418"/>
      <c r="UMD8" s="3418"/>
      <c r="UME8" s="3418"/>
      <c r="UMF8" s="3418"/>
      <c r="UMG8" s="3418"/>
      <c r="UMH8" s="3418"/>
      <c r="UMI8" s="3418"/>
      <c r="UMJ8" s="3418"/>
      <c r="UMK8" s="3418"/>
      <c r="UML8" s="3418"/>
      <c r="UMM8" s="3418"/>
      <c r="UMN8" s="3418"/>
      <c r="UMO8" s="3418"/>
      <c r="UMP8" s="3418"/>
      <c r="UMQ8" s="3418"/>
      <c r="UMR8" s="3418"/>
      <c r="UMS8" s="3418"/>
      <c r="UMT8" s="3418"/>
      <c r="UMU8" s="3418"/>
      <c r="UMV8" s="3418"/>
      <c r="UMW8" s="3418"/>
      <c r="UMX8" s="3418"/>
      <c r="UMY8" s="3418"/>
      <c r="UMZ8" s="3418"/>
      <c r="UNA8" s="3418"/>
      <c r="UNB8" s="3418"/>
      <c r="UNC8" s="3418"/>
      <c r="UND8" s="3418"/>
      <c r="UNE8" s="3418"/>
      <c r="UNF8" s="3418"/>
      <c r="UNG8" s="3418"/>
      <c r="UNH8" s="3418"/>
      <c r="UNI8" s="3418"/>
      <c r="UNJ8" s="3418"/>
      <c r="UNK8" s="3418"/>
      <c r="UNL8" s="3418"/>
      <c r="UNM8" s="3418"/>
      <c r="UNN8" s="3418"/>
      <c r="UNO8" s="3418"/>
      <c r="UNP8" s="3418"/>
      <c r="UNQ8" s="3418"/>
      <c r="UNR8" s="3418"/>
      <c r="UNS8" s="3418"/>
      <c r="UNT8" s="3418"/>
      <c r="UNU8" s="3418"/>
      <c r="UNV8" s="3418"/>
      <c r="UNW8" s="3418"/>
      <c r="UNX8" s="3418"/>
      <c r="UNY8" s="3418"/>
      <c r="UNZ8" s="3418"/>
      <c r="UOA8" s="3418"/>
      <c r="UOB8" s="3418"/>
      <c r="UOC8" s="3418"/>
      <c r="UOD8" s="3418"/>
      <c r="UOE8" s="3418"/>
      <c r="UOF8" s="3418"/>
      <c r="UOG8" s="3418"/>
      <c r="UOH8" s="3418"/>
      <c r="UOI8" s="3418"/>
      <c r="UOJ8" s="3418"/>
      <c r="UOK8" s="3418"/>
      <c r="UOL8" s="3418"/>
      <c r="UOM8" s="3418"/>
      <c r="UON8" s="3418"/>
      <c r="UOO8" s="3418"/>
      <c r="UOP8" s="3418"/>
      <c r="UOQ8" s="3418"/>
      <c r="UOR8" s="3418"/>
      <c r="UOS8" s="3418"/>
      <c r="UOT8" s="3418"/>
      <c r="UOU8" s="3418"/>
      <c r="UOV8" s="3418"/>
      <c r="UOW8" s="3418"/>
      <c r="UOX8" s="3418"/>
      <c r="UOY8" s="3418"/>
      <c r="UOZ8" s="3418"/>
      <c r="UPA8" s="3418"/>
      <c r="UPB8" s="3418"/>
      <c r="UPC8" s="3418"/>
      <c r="UPD8" s="3418"/>
      <c r="UPE8" s="3418"/>
      <c r="UPF8" s="3418"/>
      <c r="UPG8" s="3418"/>
      <c r="UPH8" s="3418"/>
      <c r="UPI8" s="3418"/>
      <c r="UPJ8" s="3418"/>
      <c r="UPK8" s="3418"/>
      <c r="UPL8" s="3418"/>
      <c r="UPM8" s="3418"/>
      <c r="UPN8" s="3418"/>
      <c r="UPO8" s="3418"/>
      <c r="UPP8" s="3418"/>
      <c r="UPQ8" s="3418"/>
      <c r="UPR8" s="3418"/>
      <c r="UPS8" s="3418"/>
      <c r="UPT8" s="3418"/>
      <c r="UPU8" s="3418"/>
      <c r="UPV8" s="3418"/>
      <c r="UPW8" s="3418"/>
      <c r="UPX8" s="3418"/>
      <c r="UPY8" s="3418"/>
      <c r="UPZ8" s="3418"/>
      <c r="UQA8" s="3418"/>
      <c r="UQB8" s="3418"/>
      <c r="UQC8" s="3418"/>
      <c r="UQD8" s="3418"/>
      <c r="UQE8" s="3418"/>
      <c r="UQF8" s="3418"/>
      <c r="UQG8" s="3418"/>
      <c r="UQH8" s="3418"/>
      <c r="UQI8" s="3418"/>
      <c r="UQJ8" s="3418"/>
      <c r="UQK8" s="3418"/>
      <c r="UQL8" s="3418"/>
      <c r="UQM8" s="3418"/>
      <c r="UQN8" s="3418"/>
      <c r="UQO8" s="3418"/>
      <c r="UQP8" s="3418"/>
      <c r="UQQ8" s="3418"/>
      <c r="UQR8" s="3418"/>
      <c r="UQS8" s="3418"/>
      <c r="UQT8" s="3418"/>
      <c r="UQU8" s="3418"/>
      <c r="UQV8" s="3418"/>
      <c r="UQW8" s="3418"/>
      <c r="UQX8" s="3418"/>
      <c r="UQY8" s="3418"/>
      <c r="UQZ8" s="3418"/>
      <c r="URA8" s="3418"/>
      <c r="URB8" s="3418"/>
      <c r="URC8" s="3418"/>
      <c r="URD8" s="3418"/>
      <c r="URE8" s="3418"/>
      <c r="URF8" s="3418"/>
      <c r="URG8" s="3418"/>
      <c r="URH8" s="3418"/>
      <c r="URI8" s="3418"/>
      <c r="URJ8" s="3418"/>
      <c r="URK8" s="3418"/>
      <c r="URL8" s="3418"/>
      <c r="URM8" s="3418"/>
      <c r="URN8" s="3418"/>
      <c r="URO8" s="3418"/>
      <c r="URP8" s="3418"/>
      <c r="URQ8" s="3418"/>
      <c r="URR8" s="3418"/>
      <c r="URS8" s="3418"/>
      <c r="URT8" s="3418"/>
      <c r="URU8" s="3418"/>
      <c r="URV8" s="3418"/>
      <c r="URW8" s="3418"/>
      <c r="URX8" s="3418"/>
      <c r="URY8" s="3418"/>
      <c r="URZ8" s="3418"/>
      <c r="USA8" s="3418"/>
      <c r="USB8" s="3418"/>
      <c r="USC8" s="3418"/>
      <c r="USD8" s="3418"/>
      <c r="USE8" s="3418"/>
      <c r="USF8" s="3418"/>
      <c r="USG8" s="3418"/>
      <c r="USH8" s="3418"/>
      <c r="USI8" s="3418"/>
      <c r="USJ8" s="3418"/>
      <c r="USK8" s="3418"/>
      <c r="USL8" s="3418"/>
      <c r="USM8" s="3418"/>
      <c r="USN8" s="3418"/>
      <c r="USO8" s="3418"/>
      <c r="USP8" s="3418"/>
      <c r="USQ8" s="3418"/>
      <c r="USR8" s="3418"/>
      <c r="USS8" s="3418"/>
      <c r="UST8" s="3418"/>
      <c r="USU8" s="3418"/>
      <c r="USV8" s="3418"/>
      <c r="USW8" s="3418"/>
      <c r="USX8" s="3418"/>
      <c r="USY8" s="3418"/>
      <c r="USZ8" s="3418"/>
      <c r="UTA8" s="3418"/>
      <c r="UTB8" s="3418"/>
      <c r="UTC8" s="3418"/>
      <c r="UTD8" s="3418"/>
      <c r="UTE8" s="3418"/>
      <c r="UTF8" s="3418"/>
      <c r="UTG8" s="3418"/>
      <c r="UTH8" s="3418"/>
      <c r="UTI8" s="3418"/>
      <c r="UTJ8" s="3418"/>
      <c r="UTK8" s="3418"/>
      <c r="UTL8" s="3418"/>
      <c r="UTM8" s="3418"/>
      <c r="UTN8" s="3418"/>
      <c r="UTO8" s="3418"/>
      <c r="UTP8" s="3418"/>
      <c r="UTQ8" s="3418"/>
      <c r="UTR8" s="3418"/>
      <c r="UTS8" s="3418"/>
      <c r="UTT8" s="3418"/>
      <c r="UTU8" s="3418"/>
      <c r="UTV8" s="3418"/>
      <c r="UTW8" s="3418"/>
      <c r="UTX8" s="3418"/>
      <c r="UTY8" s="3418"/>
      <c r="UTZ8" s="3418"/>
      <c r="UUA8" s="3418"/>
      <c r="UUB8" s="3418"/>
      <c r="UUC8" s="3418"/>
      <c r="UUD8" s="3418"/>
      <c r="UUE8" s="3418"/>
      <c r="UUF8" s="3418"/>
      <c r="UUG8" s="3418"/>
      <c r="UUH8" s="3418"/>
      <c r="UUI8" s="3418"/>
      <c r="UUJ8" s="3418"/>
      <c r="UUK8" s="3418"/>
      <c r="UUL8" s="3418"/>
      <c r="UUM8" s="3418"/>
      <c r="UUN8" s="3418"/>
      <c r="UUO8" s="3418"/>
      <c r="UUP8" s="3418"/>
      <c r="UUQ8" s="3418"/>
      <c r="UUR8" s="3418"/>
      <c r="UUS8" s="3418"/>
      <c r="UUT8" s="3418"/>
      <c r="UUU8" s="3418"/>
      <c r="UUV8" s="3418"/>
      <c r="UUW8" s="3418"/>
      <c r="UUX8" s="3418"/>
      <c r="UUY8" s="3418"/>
      <c r="UUZ8" s="3418"/>
      <c r="UVA8" s="3418"/>
      <c r="UVB8" s="3418"/>
      <c r="UVC8" s="3418"/>
      <c r="UVD8" s="3418"/>
      <c r="UVE8" s="3418"/>
      <c r="UVF8" s="3418"/>
      <c r="UVG8" s="3418"/>
      <c r="UVH8" s="3418"/>
      <c r="UVI8" s="3418"/>
      <c r="UVJ8" s="3418"/>
      <c r="UVK8" s="3418"/>
      <c r="UVL8" s="3418"/>
      <c r="UVM8" s="3418"/>
      <c r="UVN8" s="3418"/>
      <c r="UVO8" s="3418"/>
      <c r="UVP8" s="3418"/>
      <c r="UVQ8" s="3418"/>
      <c r="UVR8" s="3418"/>
      <c r="UVS8" s="3418"/>
      <c r="UVT8" s="3418"/>
      <c r="UVU8" s="3418"/>
      <c r="UVV8" s="3418"/>
      <c r="UVW8" s="3418"/>
      <c r="UVX8" s="3418"/>
      <c r="UVY8" s="3418"/>
      <c r="UVZ8" s="3418"/>
      <c r="UWA8" s="3418"/>
      <c r="UWB8" s="3418"/>
      <c r="UWC8" s="3418"/>
      <c r="UWD8" s="3418"/>
      <c r="UWE8" s="3418"/>
      <c r="UWF8" s="3418"/>
      <c r="UWG8" s="3418"/>
      <c r="UWH8" s="3418"/>
      <c r="UWI8" s="3418"/>
      <c r="UWJ8" s="3418"/>
      <c r="UWK8" s="3418"/>
      <c r="UWL8" s="3418"/>
      <c r="UWM8" s="3418"/>
      <c r="UWN8" s="3418"/>
      <c r="UWO8" s="3418"/>
      <c r="UWP8" s="3418"/>
      <c r="UWQ8" s="3418"/>
      <c r="UWR8" s="3418"/>
      <c r="UWS8" s="3418"/>
      <c r="UWT8" s="3418"/>
      <c r="UWU8" s="3418"/>
      <c r="UWV8" s="3418"/>
      <c r="UWW8" s="3418"/>
      <c r="UWX8" s="3418"/>
      <c r="UWY8" s="3418"/>
      <c r="UWZ8" s="3418"/>
      <c r="UXA8" s="3418"/>
      <c r="UXB8" s="3418"/>
      <c r="UXC8" s="3418"/>
      <c r="UXD8" s="3418"/>
      <c r="UXE8" s="3418"/>
      <c r="UXF8" s="3418"/>
      <c r="UXG8" s="3418"/>
      <c r="UXH8" s="3418"/>
      <c r="UXI8" s="3418"/>
      <c r="UXJ8" s="3418"/>
      <c r="UXK8" s="3418"/>
      <c r="UXL8" s="3418"/>
      <c r="UXM8" s="3418"/>
      <c r="UXN8" s="3418"/>
      <c r="UXO8" s="3418"/>
      <c r="UXP8" s="3418"/>
      <c r="UXQ8" s="3418"/>
      <c r="UXR8" s="3418"/>
      <c r="UXS8" s="3418"/>
      <c r="UXT8" s="3418"/>
      <c r="UXU8" s="3418"/>
      <c r="UXV8" s="3418"/>
      <c r="UXW8" s="3418"/>
      <c r="UXX8" s="3418"/>
      <c r="UXY8" s="3418"/>
      <c r="UXZ8" s="3418"/>
      <c r="UYA8" s="3418"/>
      <c r="UYB8" s="3418"/>
      <c r="UYC8" s="3418"/>
      <c r="UYD8" s="3418"/>
      <c r="UYE8" s="3418"/>
      <c r="UYF8" s="3418"/>
      <c r="UYG8" s="3418"/>
      <c r="UYH8" s="3418"/>
      <c r="UYI8" s="3418"/>
      <c r="UYJ8" s="3418"/>
      <c r="UYK8" s="3418"/>
      <c r="UYL8" s="3418"/>
      <c r="UYM8" s="3418"/>
      <c r="UYN8" s="3418"/>
      <c r="UYO8" s="3418"/>
      <c r="UYP8" s="3418"/>
      <c r="UYQ8" s="3418"/>
      <c r="UYR8" s="3418"/>
      <c r="UYS8" s="3418"/>
      <c r="UYT8" s="3418"/>
      <c r="UYU8" s="3418"/>
      <c r="UYV8" s="3418"/>
      <c r="UYW8" s="3418"/>
      <c r="UYX8" s="3418"/>
      <c r="UYY8" s="3418"/>
      <c r="UYZ8" s="3418"/>
      <c r="UZA8" s="3418"/>
      <c r="UZB8" s="3418"/>
      <c r="UZC8" s="3418"/>
      <c r="UZD8" s="3418"/>
      <c r="UZE8" s="3418"/>
      <c r="UZF8" s="3418"/>
      <c r="UZG8" s="3418"/>
      <c r="UZH8" s="3418"/>
      <c r="UZI8" s="3418"/>
      <c r="UZJ8" s="3418"/>
      <c r="UZK8" s="3418"/>
      <c r="UZL8" s="3418"/>
      <c r="UZM8" s="3418"/>
      <c r="UZN8" s="3418"/>
      <c r="UZO8" s="3418"/>
      <c r="UZP8" s="3418"/>
      <c r="UZQ8" s="3418"/>
      <c r="UZR8" s="3418"/>
      <c r="UZS8" s="3418"/>
      <c r="UZT8" s="3418"/>
      <c r="UZU8" s="3418"/>
      <c r="UZV8" s="3418"/>
      <c r="UZW8" s="3418"/>
      <c r="UZX8" s="3418"/>
      <c r="UZY8" s="3418"/>
      <c r="UZZ8" s="3418"/>
      <c r="VAA8" s="3418"/>
      <c r="VAB8" s="3418"/>
      <c r="VAC8" s="3418"/>
      <c r="VAD8" s="3418"/>
      <c r="VAE8" s="3418"/>
      <c r="VAF8" s="3418"/>
      <c r="VAG8" s="3418"/>
      <c r="VAH8" s="3418"/>
      <c r="VAI8" s="3418"/>
      <c r="VAJ8" s="3418"/>
      <c r="VAK8" s="3418"/>
      <c r="VAL8" s="3418"/>
      <c r="VAM8" s="3418"/>
      <c r="VAN8" s="3418"/>
      <c r="VAO8" s="3418"/>
      <c r="VAP8" s="3418"/>
      <c r="VAQ8" s="3418"/>
      <c r="VAR8" s="3418"/>
      <c r="VAS8" s="3418"/>
      <c r="VAT8" s="3418"/>
      <c r="VAU8" s="3418"/>
      <c r="VAV8" s="3418"/>
      <c r="VAW8" s="3418"/>
      <c r="VAX8" s="3418"/>
      <c r="VAY8" s="3418"/>
      <c r="VAZ8" s="3418"/>
      <c r="VBA8" s="3418"/>
      <c r="VBB8" s="3418"/>
      <c r="VBC8" s="3418"/>
      <c r="VBD8" s="3418"/>
      <c r="VBE8" s="3418"/>
      <c r="VBF8" s="3418"/>
      <c r="VBG8" s="3418"/>
      <c r="VBH8" s="3418"/>
      <c r="VBI8" s="3418"/>
      <c r="VBJ8" s="3418"/>
      <c r="VBK8" s="3418"/>
      <c r="VBL8" s="3418"/>
      <c r="VBM8" s="3418"/>
      <c r="VBN8" s="3418"/>
      <c r="VBO8" s="3418"/>
      <c r="VBP8" s="3418"/>
      <c r="VBQ8" s="3418"/>
      <c r="VBR8" s="3418"/>
      <c r="VBS8" s="3418"/>
      <c r="VBT8" s="3418"/>
      <c r="VBU8" s="3418"/>
      <c r="VBV8" s="3418"/>
      <c r="VBW8" s="3418"/>
      <c r="VBX8" s="3418"/>
      <c r="VBY8" s="3418"/>
      <c r="VBZ8" s="3418"/>
      <c r="VCA8" s="3418"/>
      <c r="VCB8" s="3418"/>
      <c r="VCC8" s="3418"/>
      <c r="VCD8" s="3418"/>
      <c r="VCE8" s="3418"/>
      <c r="VCF8" s="3418"/>
      <c r="VCG8" s="3418"/>
      <c r="VCH8" s="3418"/>
      <c r="VCI8" s="3418"/>
      <c r="VCJ8" s="3418"/>
      <c r="VCK8" s="3418"/>
      <c r="VCL8" s="3418"/>
      <c r="VCM8" s="3418"/>
      <c r="VCN8" s="3418"/>
      <c r="VCO8" s="3418"/>
      <c r="VCP8" s="3418"/>
      <c r="VCQ8" s="3418"/>
      <c r="VCR8" s="3418"/>
      <c r="VCS8" s="3418"/>
      <c r="VCT8" s="3418"/>
      <c r="VCU8" s="3418"/>
      <c r="VCV8" s="3418"/>
      <c r="VCW8" s="3418"/>
      <c r="VCX8" s="3418"/>
      <c r="VCY8" s="3418"/>
      <c r="VCZ8" s="3418"/>
      <c r="VDA8" s="3418"/>
      <c r="VDB8" s="3418"/>
      <c r="VDC8" s="3418"/>
      <c r="VDD8" s="3418"/>
      <c r="VDE8" s="3418"/>
      <c r="VDF8" s="3418"/>
      <c r="VDG8" s="3418"/>
      <c r="VDH8" s="3418"/>
      <c r="VDI8" s="3418"/>
      <c r="VDJ8" s="3418"/>
      <c r="VDK8" s="3418"/>
      <c r="VDL8" s="3418"/>
      <c r="VDM8" s="3418"/>
      <c r="VDN8" s="3418"/>
      <c r="VDO8" s="3418"/>
      <c r="VDP8" s="3418"/>
      <c r="VDQ8" s="3418"/>
      <c r="VDR8" s="3418"/>
      <c r="VDS8" s="3418"/>
      <c r="VDT8" s="3418"/>
      <c r="VDU8" s="3418"/>
      <c r="VDV8" s="3418"/>
      <c r="VDW8" s="3418"/>
      <c r="VDX8" s="3418"/>
      <c r="VDY8" s="3418"/>
      <c r="VDZ8" s="3418"/>
      <c r="VEA8" s="3418"/>
      <c r="VEB8" s="3418"/>
      <c r="VEC8" s="3418"/>
      <c r="VED8" s="3418"/>
      <c r="VEE8" s="3418"/>
      <c r="VEF8" s="3418"/>
      <c r="VEG8" s="3418"/>
      <c r="VEH8" s="3418"/>
      <c r="VEI8" s="3418"/>
      <c r="VEJ8" s="3418"/>
      <c r="VEK8" s="3418"/>
      <c r="VEL8" s="3418"/>
      <c r="VEM8" s="3418"/>
      <c r="VEN8" s="3418"/>
      <c r="VEO8" s="3418"/>
      <c r="VEP8" s="3418"/>
      <c r="VEQ8" s="3418"/>
      <c r="VER8" s="3418"/>
      <c r="VES8" s="3418"/>
      <c r="VET8" s="3418"/>
      <c r="VEU8" s="3418"/>
      <c r="VEV8" s="3418"/>
      <c r="VEW8" s="3418"/>
      <c r="VEX8" s="3418"/>
      <c r="VEY8" s="3418"/>
      <c r="VEZ8" s="3418"/>
      <c r="VFA8" s="3418"/>
      <c r="VFB8" s="3418"/>
      <c r="VFC8" s="3418"/>
      <c r="VFD8" s="3418"/>
      <c r="VFE8" s="3418"/>
      <c r="VFF8" s="3418"/>
      <c r="VFG8" s="3418"/>
      <c r="VFH8" s="3418"/>
      <c r="VFI8" s="3418"/>
      <c r="VFJ8" s="3418"/>
      <c r="VFK8" s="3418"/>
      <c r="VFL8" s="3418"/>
      <c r="VFM8" s="3418"/>
      <c r="VFN8" s="3418"/>
      <c r="VFO8" s="3418"/>
      <c r="VFP8" s="3418"/>
      <c r="VFQ8" s="3418"/>
      <c r="VFR8" s="3418"/>
      <c r="VFS8" s="3418"/>
      <c r="VFT8" s="3418"/>
      <c r="VFU8" s="3418"/>
      <c r="VFV8" s="3418"/>
      <c r="VFW8" s="3418"/>
      <c r="VFX8" s="3418"/>
      <c r="VFY8" s="3418"/>
      <c r="VFZ8" s="3418"/>
      <c r="VGA8" s="3418"/>
      <c r="VGB8" s="3418"/>
      <c r="VGC8" s="3418"/>
      <c r="VGD8" s="3418"/>
      <c r="VGE8" s="3418"/>
      <c r="VGF8" s="3418"/>
      <c r="VGG8" s="3418"/>
      <c r="VGH8" s="3418"/>
      <c r="VGI8" s="3418"/>
      <c r="VGJ8" s="3418"/>
      <c r="VGK8" s="3418"/>
      <c r="VGL8" s="3418"/>
      <c r="VGM8" s="3418"/>
      <c r="VGN8" s="3418"/>
      <c r="VGO8" s="3418"/>
      <c r="VGP8" s="3418"/>
      <c r="VGQ8" s="3418"/>
      <c r="VGR8" s="3418"/>
      <c r="VGS8" s="3418"/>
      <c r="VGT8" s="3418"/>
      <c r="VGU8" s="3418"/>
      <c r="VGV8" s="3418"/>
      <c r="VGW8" s="3418"/>
      <c r="VGX8" s="3418"/>
      <c r="VGY8" s="3418"/>
      <c r="VGZ8" s="3418"/>
      <c r="VHA8" s="3418"/>
      <c r="VHB8" s="3418"/>
      <c r="VHC8" s="3418"/>
      <c r="VHD8" s="3418"/>
      <c r="VHE8" s="3418"/>
      <c r="VHF8" s="3418"/>
      <c r="VHG8" s="3418"/>
      <c r="VHH8" s="3418"/>
      <c r="VHI8" s="3418"/>
      <c r="VHJ8" s="3418"/>
      <c r="VHK8" s="3418"/>
      <c r="VHL8" s="3418"/>
      <c r="VHM8" s="3418"/>
      <c r="VHN8" s="3418"/>
      <c r="VHO8" s="3418"/>
      <c r="VHP8" s="3418"/>
      <c r="VHQ8" s="3418"/>
      <c r="VHR8" s="3418"/>
      <c r="VHS8" s="3418"/>
      <c r="VHT8" s="3418"/>
      <c r="VHU8" s="3418"/>
      <c r="VHV8" s="3418"/>
      <c r="VHW8" s="3418"/>
      <c r="VHX8" s="3418"/>
      <c r="VHY8" s="3418"/>
      <c r="VHZ8" s="3418"/>
      <c r="VIA8" s="3418"/>
      <c r="VIB8" s="3418"/>
      <c r="VIC8" s="3418"/>
      <c r="VID8" s="3418"/>
      <c r="VIE8" s="3418"/>
      <c r="VIF8" s="3418"/>
      <c r="VIG8" s="3418"/>
      <c r="VIH8" s="3418"/>
      <c r="VII8" s="3418"/>
      <c r="VIJ8" s="3418"/>
      <c r="VIK8" s="3418"/>
      <c r="VIL8" s="3418"/>
      <c r="VIM8" s="3418"/>
      <c r="VIN8" s="3418"/>
      <c r="VIO8" s="3418"/>
      <c r="VIP8" s="3418"/>
      <c r="VIQ8" s="3418"/>
      <c r="VIR8" s="3418"/>
      <c r="VIS8" s="3418"/>
      <c r="VIT8" s="3418"/>
      <c r="VIU8" s="3418"/>
      <c r="VIV8" s="3418"/>
      <c r="VIW8" s="3418"/>
      <c r="VIX8" s="3418"/>
      <c r="VIY8" s="3418"/>
      <c r="VIZ8" s="3418"/>
      <c r="VJA8" s="3418"/>
      <c r="VJB8" s="3418"/>
      <c r="VJC8" s="3418"/>
      <c r="VJD8" s="3418"/>
      <c r="VJE8" s="3418"/>
      <c r="VJF8" s="3418"/>
      <c r="VJG8" s="3418"/>
      <c r="VJH8" s="3418"/>
      <c r="VJI8" s="3418"/>
      <c r="VJJ8" s="3418"/>
      <c r="VJK8" s="3418"/>
      <c r="VJL8" s="3418"/>
      <c r="VJM8" s="3418"/>
      <c r="VJN8" s="3418"/>
      <c r="VJO8" s="3418"/>
      <c r="VJP8" s="3418"/>
      <c r="VJQ8" s="3418"/>
      <c r="VJR8" s="3418"/>
      <c r="VJS8" s="3418"/>
      <c r="VJT8" s="3418"/>
      <c r="VJU8" s="3418"/>
      <c r="VJV8" s="3418"/>
      <c r="VJW8" s="3418"/>
      <c r="VJX8" s="3418"/>
      <c r="VJY8" s="3418"/>
      <c r="VJZ8" s="3418"/>
      <c r="VKA8" s="3418"/>
      <c r="VKB8" s="3418"/>
      <c r="VKC8" s="3418"/>
      <c r="VKD8" s="3418"/>
      <c r="VKE8" s="3418"/>
      <c r="VKF8" s="3418"/>
      <c r="VKG8" s="3418"/>
      <c r="VKH8" s="3418"/>
      <c r="VKI8" s="3418"/>
      <c r="VKJ8" s="3418"/>
      <c r="VKK8" s="3418"/>
      <c r="VKL8" s="3418"/>
      <c r="VKM8" s="3418"/>
      <c r="VKN8" s="3418"/>
      <c r="VKO8" s="3418"/>
      <c r="VKP8" s="3418"/>
      <c r="VKQ8" s="3418"/>
      <c r="VKR8" s="3418"/>
      <c r="VKS8" s="3418"/>
      <c r="VKT8" s="3418"/>
      <c r="VKU8" s="3418"/>
      <c r="VKV8" s="3418"/>
      <c r="VKW8" s="3418"/>
      <c r="VKX8" s="3418"/>
      <c r="VKY8" s="3418"/>
      <c r="VKZ8" s="3418"/>
      <c r="VLA8" s="3418"/>
      <c r="VLB8" s="3418"/>
      <c r="VLC8" s="3418"/>
      <c r="VLD8" s="3418"/>
      <c r="VLE8" s="3418"/>
      <c r="VLF8" s="3418"/>
      <c r="VLG8" s="3418"/>
      <c r="VLH8" s="3418"/>
      <c r="VLI8" s="3418"/>
      <c r="VLJ8" s="3418"/>
      <c r="VLK8" s="3418"/>
      <c r="VLL8" s="3418"/>
      <c r="VLM8" s="3418"/>
      <c r="VLN8" s="3418"/>
      <c r="VLO8" s="3418"/>
      <c r="VLP8" s="3418"/>
      <c r="VLQ8" s="3418"/>
      <c r="VLR8" s="3418"/>
      <c r="VLS8" s="3418"/>
      <c r="VLT8" s="3418"/>
      <c r="VLU8" s="3418"/>
      <c r="VLV8" s="3418"/>
      <c r="VLW8" s="3418"/>
      <c r="VLX8" s="3418"/>
      <c r="VLY8" s="3418"/>
      <c r="VLZ8" s="3418"/>
      <c r="VMA8" s="3418"/>
      <c r="VMB8" s="3418"/>
      <c r="VMC8" s="3418"/>
      <c r="VMD8" s="3418"/>
      <c r="VME8" s="3418"/>
      <c r="VMF8" s="3418"/>
      <c r="VMG8" s="3418"/>
      <c r="VMH8" s="3418"/>
      <c r="VMI8" s="3418"/>
      <c r="VMJ8" s="3418"/>
      <c r="VMK8" s="3418"/>
      <c r="VML8" s="3418"/>
      <c r="VMM8" s="3418"/>
      <c r="VMN8" s="3418"/>
      <c r="VMO8" s="3418"/>
      <c r="VMP8" s="3418"/>
      <c r="VMQ8" s="3418"/>
      <c r="VMR8" s="3418"/>
      <c r="VMS8" s="3418"/>
      <c r="VMT8" s="3418"/>
      <c r="VMU8" s="3418"/>
      <c r="VMV8" s="3418"/>
      <c r="VMW8" s="3418"/>
      <c r="VMX8" s="3418"/>
      <c r="VMY8" s="3418"/>
      <c r="VMZ8" s="3418"/>
      <c r="VNA8" s="3418"/>
      <c r="VNB8" s="3418"/>
      <c r="VNC8" s="3418"/>
      <c r="VND8" s="3418"/>
      <c r="VNE8" s="3418"/>
      <c r="VNF8" s="3418"/>
      <c r="VNG8" s="3418"/>
      <c r="VNH8" s="3418"/>
      <c r="VNI8" s="3418"/>
      <c r="VNJ8" s="3418"/>
      <c r="VNK8" s="3418"/>
      <c r="VNL8" s="3418"/>
      <c r="VNM8" s="3418"/>
      <c r="VNN8" s="3418"/>
      <c r="VNO8" s="3418"/>
      <c r="VNP8" s="3418"/>
      <c r="VNQ8" s="3418"/>
      <c r="VNR8" s="3418"/>
      <c r="VNS8" s="3418"/>
      <c r="VNT8" s="3418"/>
      <c r="VNU8" s="3418"/>
      <c r="VNV8" s="3418"/>
      <c r="VNW8" s="3418"/>
      <c r="VNX8" s="3418"/>
      <c r="VNY8" s="3418"/>
      <c r="VNZ8" s="3418"/>
      <c r="VOA8" s="3418"/>
      <c r="VOB8" s="3418"/>
      <c r="VOC8" s="3418"/>
      <c r="VOD8" s="3418"/>
      <c r="VOE8" s="3418"/>
      <c r="VOF8" s="3418"/>
      <c r="VOG8" s="3418"/>
      <c r="VOH8" s="3418"/>
      <c r="VOI8" s="3418"/>
      <c r="VOJ8" s="3418"/>
      <c r="VOK8" s="3418"/>
      <c r="VOL8" s="3418"/>
      <c r="VOM8" s="3418"/>
      <c r="VON8" s="3418"/>
      <c r="VOO8" s="3418"/>
      <c r="VOP8" s="3418"/>
      <c r="VOQ8" s="3418"/>
      <c r="VOR8" s="3418"/>
      <c r="VOS8" s="3418"/>
      <c r="VOT8" s="3418"/>
      <c r="VOU8" s="3418"/>
      <c r="VOV8" s="3418"/>
      <c r="VOW8" s="3418"/>
      <c r="VOX8" s="3418"/>
      <c r="VOY8" s="3418"/>
      <c r="VOZ8" s="3418"/>
      <c r="VPA8" s="3418"/>
      <c r="VPB8" s="3418"/>
      <c r="VPC8" s="3418"/>
      <c r="VPD8" s="3418"/>
      <c r="VPE8" s="3418"/>
      <c r="VPF8" s="3418"/>
      <c r="VPG8" s="3418"/>
      <c r="VPH8" s="3418"/>
      <c r="VPI8" s="3418"/>
      <c r="VPJ8" s="3418"/>
      <c r="VPK8" s="3418"/>
      <c r="VPL8" s="3418"/>
      <c r="VPM8" s="3418"/>
      <c r="VPN8" s="3418"/>
      <c r="VPO8" s="3418"/>
      <c r="VPP8" s="3418"/>
      <c r="VPQ8" s="3418"/>
      <c r="VPR8" s="3418"/>
      <c r="VPS8" s="3418"/>
      <c r="VPT8" s="3418"/>
      <c r="VPU8" s="3418"/>
      <c r="VPV8" s="3418"/>
      <c r="VPW8" s="3418"/>
      <c r="VPX8" s="3418"/>
      <c r="VPY8" s="3418"/>
      <c r="VPZ8" s="3418"/>
      <c r="VQA8" s="3418"/>
      <c r="VQB8" s="3418"/>
      <c r="VQC8" s="3418"/>
      <c r="VQD8" s="3418"/>
      <c r="VQE8" s="3418"/>
      <c r="VQF8" s="3418"/>
      <c r="VQG8" s="3418"/>
      <c r="VQH8" s="3418"/>
      <c r="VQI8" s="3418"/>
      <c r="VQJ8" s="3418"/>
      <c r="VQK8" s="3418"/>
      <c r="VQL8" s="3418"/>
      <c r="VQM8" s="3418"/>
      <c r="VQN8" s="3418"/>
      <c r="VQO8" s="3418"/>
      <c r="VQP8" s="3418"/>
      <c r="VQQ8" s="3418"/>
      <c r="VQR8" s="3418"/>
      <c r="VQS8" s="3418"/>
      <c r="VQT8" s="3418"/>
      <c r="VQU8" s="3418"/>
      <c r="VQV8" s="3418"/>
      <c r="VQW8" s="3418"/>
      <c r="VQX8" s="3418"/>
      <c r="VQY8" s="3418"/>
      <c r="VQZ8" s="3418"/>
      <c r="VRA8" s="3418"/>
      <c r="VRB8" s="3418"/>
      <c r="VRC8" s="3418"/>
      <c r="VRD8" s="3418"/>
      <c r="VRE8" s="3418"/>
      <c r="VRF8" s="3418"/>
      <c r="VRG8" s="3418"/>
      <c r="VRH8" s="3418"/>
      <c r="VRI8" s="3418"/>
      <c r="VRJ8" s="3418"/>
      <c r="VRK8" s="3418"/>
      <c r="VRL8" s="3418"/>
      <c r="VRM8" s="3418"/>
      <c r="VRN8" s="3418"/>
      <c r="VRO8" s="3418"/>
      <c r="VRP8" s="3418"/>
      <c r="VRQ8" s="3418"/>
      <c r="VRR8" s="3418"/>
      <c r="VRS8" s="3418"/>
      <c r="VRT8" s="3418"/>
      <c r="VRU8" s="3418"/>
      <c r="VRV8" s="3418"/>
      <c r="VRW8" s="3418"/>
      <c r="VRX8" s="3418"/>
      <c r="VRY8" s="3418"/>
      <c r="VRZ8" s="3418"/>
      <c r="VSA8" s="3418"/>
      <c r="VSB8" s="3418"/>
      <c r="VSC8" s="3418"/>
      <c r="VSD8" s="3418"/>
      <c r="VSE8" s="3418"/>
      <c r="VSF8" s="3418"/>
      <c r="VSG8" s="3418"/>
      <c r="VSH8" s="3418"/>
      <c r="VSI8" s="3418"/>
      <c r="VSJ8" s="3418"/>
      <c r="VSK8" s="3418"/>
      <c r="VSL8" s="3418"/>
      <c r="VSM8" s="3418"/>
      <c r="VSN8" s="3418"/>
      <c r="VSO8" s="3418"/>
      <c r="VSP8" s="3418"/>
      <c r="VSQ8" s="3418"/>
      <c r="VSR8" s="3418"/>
      <c r="VSS8" s="3418"/>
      <c r="VST8" s="3418"/>
      <c r="VSU8" s="3418"/>
      <c r="VSV8" s="3418"/>
      <c r="VSW8" s="3418"/>
      <c r="VSX8" s="3418"/>
      <c r="VSY8" s="3418"/>
      <c r="VSZ8" s="3418"/>
      <c r="VTA8" s="3418"/>
      <c r="VTB8" s="3418"/>
      <c r="VTC8" s="3418"/>
      <c r="VTD8" s="3418"/>
      <c r="VTE8" s="3418"/>
      <c r="VTF8" s="3418"/>
      <c r="VTG8" s="3418"/>
      <c r="VTH8" s="3418"/>
      <c r="VTI8" s="3418"/>
      <c r="VTJ8" s="3418"/>
      <c r="VTK8" s="3418"/>
      <c r="VTL8" s="3418"/>
      <c r="VTM8" s="3418"/>
      <c r="VTN8" s="3418"/>
      <c r="VTO8" s="3418"/>
      <c r="VTP8" s="3418"/>
      <c r="VTQ8" s="3418"/>
      <c r="VTR8" s="3418"/>
      <c r="VTS8" s="3418"/>
      <c r="VTT8" s="3418"/>
      <c r="VTU8" s="3418"/>
      <c r="VTV8" s="3418"/>
      <c r="VTW8" s="3418"/>
      <c r="VTX8" s="3418"/>
      <c r="VTY8" s="3418"/>
      <c r="VTZ8" s="3418"/>
      <c r="VUA8" s="3418"/>
      <c r="VUB8" s="3418"/>
      <c r="VUC8" s="3418"/>
      <c r="VUD8" s="3418"/>
      <c r="VUE8" s="3418"/>
      <c r="VUF8" s="3418"/>
      <c r="VUG8" s="3418"/>
      <c r="VUH8" s="3418"/>
      <c r="VUI8" s="3418"/>
      <c r="VUJ8" s="3418"/>
      <c r="VUK8" s="3418"/>
      <c r="VUL8" s="3418"/>
      <c r="VUM8" s="3418"/>
      <c r="VUN8" s="3418"/>
      <c r="VUO8" s="3418"/>
      <c r="VUP8" s="3418"/>
      <c r="VUQ8" s="3418"/>
      <c r="VUR8" s="3418"/>
      <c r="VUS8" s="3418"/>
      <c r="VUT8" s="3418"/>
      <c r="VUU8" s="3418"/>
      <c r="VUV8" s="3418"/>
      <c r="VUW8" s="3418"/>
      <c r="VUX8" s="3418"/>
      <c r="VUY8" s="3418"/>
      <c r="VUZ8" s="3418"/>
      <c r="VVA8" s="3418"/>
      <c r="VVB8" s="3418"/>
      <c r="VVC8" s="3418"/>
      <c r="VVD8" s="3418"/>
      <c r="VVE8" s="3418"/>
      <c r="VVF8" s="3418"/>
      <c r="VVG8" s="3418"/>
      <c r="VVH8" s="3418"/>
      <c r="VVI8" s="3418"/>
      <c r="VVJ8" s="3418"/>
      <c r="VVK8" s="3418"/>
      <c r="VVL8" s="3418"/>
      <c r="VVM8" s="3418"/>
      <c r="VVN8" s="3418"/>
      <c r="VVO8" s="3418"/>
      <c r="VVP8" s="3418"/>
      <c r="VVQ8" s="3418"/>
      <c r="VVR8" s="3418"/>
      <c r="VVS8" s="3418"/>
      <c r="VVT8" s="3418"/>
      <c r="VVU8" s="3418"/>
      <c r="VVV8" s="3418"/>
      <c r="VVW8" s="3418"/>
      <c r="VVX8" s="3418"/>
      <c r="VVY8" s="3418"/>
      <c r="VVZ8" s="3418"/>
      <c r="VWA8" s="3418"/>
      <c r="VWB8" s="3418"/>
      <c r="VWC8" s="3418"/>
      <c r="VWD8" s="3418"/>
      <c r="VWE8" s="3418"/>
      <c r="VWF8" s="3418"/>
      <c r="VWG8" s="3418"/>
      <c r="VWH8" s="3418"/>
      <c r="VWI8" s="3418"/>
      <c r="VWJ8" s="3418"/>
      <c r="VWK8" s="3418"/>
      <c r="VWL8" s="3418"/>
      <c r="VWM8" s="3418"/>
      <c r="VWN8" s="3418"/>
      <c r="VWO8" s="3418"/>
      <c r="VWP8" s="3418"/>
      <c r="VWQ8" s="3418"/>
      <c r="VWR8" s="3418"/>
      <c r="VWS8" s="3418"/>
      <c r="VWT8" s="3418"/>
      <c r="VWU8" s="3418"/>
      <c r="VWV8" s="3418"/>
      <c r="VWW8" s="3418"/>
      <c r="VWX8" s="3418"/>
      <c r="VWY8" s="3418"/>
      <c r="VWZ8" s="3418"/>
      <c r="VXA8" s="3418"/>
      <c r="VXB8" s="3418"/>
      <c r="VXC8" s="3418"/>
      <c r="VXD8" s="3418"/>
      <c r="VXE8" s="3418"/>
      <c r="VXF8" s="3418"/>
      <c r="VXG8" s="3418"/>
      <c r="VXH8" s="3418"/>
      <c r="VXI8" s="3418"/>
      <c r="VXJ8" s="3418"/>
      <c r="VXK8" s="3418"/>
      <c r="VXL8" s="3418"/>
      <c r="VXM8" s="3418"/>
      <c r="VXN8" s="3418"/>
      <c r="VXO8" s="3418"/>
      <c r="VXP8" s="3418"/>
      <c r="VXQ8" s="3418"/>
      <c r="VXR8" s="3418"/>
      <c r="VXS8" s="3418"/>
      <c r="VXT8" s="3418"/>
      <c r="VXU8" s="3418"/>
      <c r="VXV8" s="3418"/>
      <c r="VXW8" s="3418"/>
      <c r="VXX8" s="3418"/>
      <c r="VXY8" s="3418"/>
      <c r="VXZ8" s="3418"/>
      <c r="VYA8" s="3418"/>
      <c r="VYB8" s="3418"/>
      <c r="VYC8" s="3418"/>
      <c r="VYD8" s="3418"/>
      <c r="VYE8" s="3418"/>
      <c r="VYF8" s="3418"/>
      <c r="VYG8" s="3418"/>
      <c r="VYH8" s="3418"/>
      <c r="VYI8" s="3418"/>
      <c r="VYJ8" s="3418"/>
      <c r="VYK8" s="3418"/>
      <c r="VYL8" s="3418"/>
      <c r="VYM8" s="3418"/>
      <c r="VYN8" s="3418"/>
      <c r="VYO8" s="3418"/>
      <c r="VYP8" s="3418"/>
      <c r="VYQ8" s="3418"/>
      <c r="VYR8" s="3418"/>
      <c r="VYS8" s="3418"/>
      <c r="VYT8" s="3418"/>
      <c r="VYU8" s="3418"/>
      <c r="VYV8" s="3418"/>
      <c r="VYW8" s="3418"/>
      <c r="VYX8" s="3418"/>
      <c r="VYY8" s="3418"/>
      <c r="VYZ8" s="3418"/>
      <c r="VZA8" s="3418"/>
      <c r="VZB8" s="3418"/>
      <c r="VZC8" s="3418"/>
      <c r="VZD8" s="3418"/>
      <c r="VZE8" s="3418"/>
      <c r="VZF8" s="3418"/>
      <c r="VZG8" s="3418"/>
      <c r="VZH8" s="3418"/>
      <c r="VZI8" s="3418"/>
      <c r="VZJ8" s="3418"/>
      <c r="VZK8" s="3418"/>
      <c r="VZL8" s="3418"/>
      <c r="VZM8" s="3418"/>
      <c r="VZN8" s="3418"/>
      <c r="VZO8" s="3418"/>
      <c r="VZP8" s="3418"/>
      <c r="VZQ8" s="3418"/>
      <c r="VZR8" s="3418"/>
      <c r="VZS8" s="3418"/>
      <c r="VZT8" s="3418"/>
      <c r="VZU8" s="3418"/>
      <c r="VZV8" s="3418"/>
      <c r="VZW8" s="3418"/>
      <c r="VZX8" s="3418"/>
      <c r="VZY8" s="3418"/>
      <c r="VZZ8" s="3418"/>
      <c r="WAA8" s="3418"/>
      <c r="WAB8" s="3418"/>
      <c r="WAC8" s="3418"/>
      <c r="WAD8" s="3418"/>
      <c r="WAE8" s="3418"/>
      <c r="WAF8" s="3418"/>
      <c r="WAG8" s="3418"/>
      <c r="WAH8" s="3418"/>
      <c r="WAI8" s="3418"/>
      <c r="WAJ8" s="3418"/>
      <c r="WAK8" s="3418"/>
      <c r="WAL8" s="3418"/>
      <c r="WAM8" s="3418"/>
      <c r="WAN8" s="3418"/>
      <c r="WAO8" s="3418"/>
      <c r="WAP8" s="3418"/>
      <c r="WAQ8" s="3418"/>
      <c r="WAR8" s="3418"/>
      <c r="WAS8" s="3418"/>
      <c r="WAT8" s="3418"/>
      <c r="WAU8" s="3418"/>
      <c r="WAV8" s="3418"/>
      <c r="WAW8" s="3418"/>
      <c r="WAX8" s="3418"/>
      <c r="WAY8" s="3418"/>
      <c r="WAZ8" s="3418"/>
      <c r="WBA8" s="3418"/>
      <c r="WBB8" s="3418"/>
      <c r="WBC8" s="3418"/>
      <c r="WBD8" s="3418"/>
      <c r="WBE8" s="3418"/>
      <c r="WBF8" s="3418"/>
      <c r="WBG8" s="3418"/>
      <c r="WBH8" s="3418"/>
      <c r="WBI8" s="3418"/>
      <c r="WBJ8" s="3418"/>
      <c r="WBK8" s="3418"/>
      <c r="WBL8" s="3418"/>
      <c r="WBM8" s="3418"/>
      <c r="WBN8" s="3418"/>
      <c r="WBO8" s="3418"/>
      <c r="WBP8" s="3418"/>
      <c r="WBQ8" s="3418"/>
      <c r="WBR8" s="3418"/>
      <c r="WBS8" s="3418"/>
      <c r="WBT8" s="3418"/>
      <c r="WBU8" s="3418"/>
      <c r="WBV8" s="3418"/>
      <c r="WBW8" s="3418"/>
      <c r="WBX8" s="3418"/>
      <c r="WBY8" s="3418"/>
      <c r="WBZ8" s="3418"/>
      <c r="WCA8" s="3418"/>
      <c r="WCB8" s="3418"/>
      <c r="WCC8" s="3418"/>
      <c r="WCD8" s="3418"/>
      <c r="WCE8" s="3418"/>
      <c r="WCF8" s="3418"/>
      <c r="WCG8" s="3418"/>
      <c r="WCH8" s="3418"/>
      <c r="WCI8" s="3418"/>
      <c r="WCJ8" s="3418"/>
      <c r="WCK8" s="3418"/>
      <c r="WCL8" s="3418"/>
      <c r="WCM8" s="3418"/>
      <c r="WCN8" s="3418"/>
      <c r="WCO8" s="3418"/>
      <c r="WCP8" s="3418"/>
      <c r="WCQ8" s="3418"/>
      <c r="WCR8" s="3418"/>
      <c r="WCS8" s="3418"/>
      <c r="WCT8" s="3418"/>
      <c r="WCU8" s="3418"/>
      <c r="WCV8" s="3418"/>
      <c r="WCW8" s="3418"/>
      <c r="WCX8" s="3418"/>
      <c r="WCY8" s="3418"/>
      <c r="WCZ8" s="3418"/>
      <c r="WDA8" s="3418"/>
      <c r="WDB8" s="3418"/>
      <c r="WDC8" s="3418"/>
      <c r="WDD8" s="3418"/>
      <c r="WDE8" s="3418"/>
      <c r="WDF8" s="3418"/>
      <c r="WDG8" s="3418"/>
      <c r="WDH8" s="3418"/>
      <c r="WDI8" s="3418"/>
      <c r="WDJ8" s="3418"/>
      <c r="WDK8" s="3418"/>
      <c r="WDL8" s="3418"/>
      <c r="WDM8" s="3418"/>
      <c r="WDN8" s="3418"/>
      <c r="WDO8" s="3418"/>
      <c r="WDP8" s="3418"/>
      <c r="WDQ8" s="3418"/>
      <c r="WDR8" s="3418"/>
      <c r="WDS8" s="3418"/>
      <c r="WDT8" s="3418"/>
      <c r="WDU8" s="3418"/>
      <c r="WDV8" s="3418"/>
      <c r="WDW8" s="3418"/>
      <c r="WDX8" s="3418"/>
      <c r="WDY8" s="3418"/>
      <c r="WDZ8" s="3418"/>
      <c r="WEA8" s="3418"/>
      <c r="WEB8" s="3418"/>
      <c r="WEC8" s="3418"/>
      <c r="WED8" s="3418"/>
      <c r="WEE8" s="3418"/>
      <c r="WEF8" s="3418"/>
      <c r="WEG8" s="3418"/>
      <c r="WEH8" s="3418"/>
      <c r="WEI8" s="3418"/>
      <c r="WEJ8" s="3418"/>
      <c r="WEK8" s="3418"/>
      <c r="WEL8" s="3418"/>
      <c r="WEM8" s="3418"/>
      <c r="WEN8" s="3418"/>
      <c r="WEO8" s="3418"/>
      <c r="WEP8" s="3418"/>
      <c r="WEQ8" s="3418"/>
      <c r="WER8" s="3418"/>
      <c r="WES8" s="3418"/>
      <c r="WET8" s="3418"/>
      <c r="WEU8" s="3418"/>
      <c r="WEV8" s="3418"/>
      <c r="WEW8" s="3418"/>
      <c r="WEX8" s="3418"/>
      <c r="WEY8" s="3418"/>
      <c r="WEZ8" s="3418"/>
      <c r="WFA8" s="3418"/>
      <c r="WFB8" s="3418"/>
      <c r="WFC8" s="3418"/>
      <c r="WFD8" s="3418"/>
      <c r="WFE8" s="3418"/>
      <c r="WFF8" s="3418"/>
      <c r="WFG8" s="3418"/>
      <c r="WFH8" s="3418"/>
      <c r="WFI8" s="3418"/>
      <c r="WFJ8" s="3418"/>
      <c r="WFK8" s="3418"/>
      <c r="WFL8" s="3418"/>
      <c r="WFM8" s="3418"/>
      <c r="WFN8" s="3418"/>
      <c r="WFO8" s="3418"/>
      <c r="WFP8" s="3418"/>
      <c r="WFQ8" s="3418"/>
      <c r="WFR8" s="3418"/>
      <c r="WFS8" s="3418"/>
      <c r="WFT8" s="3418"/>
      <c r="WFU8" s="3418"/>
      <c r="WFV8" s="3418"/>
      <c r="WFW8" s="3418"/>
      <c r="WFX8" s="3418"/>
      <c r="WFY8" s="3418"/>
      <c r="WFZ8" s="3418"/>
      <c r="WGA8" s="3418"/>
      <c r="WGB8" s="3418"/>
      <c r="WGC8" s="3418"/>
      <c r="WGD8" s="3418"/>
      <c r="WGE8" s="3418"/>
      <c r="WGF8" s="3418"/>
      <c r="WGG8" s="3418"/>
      <c r="WGH8" s="3418"/>
      <c r="WGI8" s="3418"/>
      <c r="WGJ8" s="3418"/>
      <c r="WGK8" s="3418"/>
      <c r="WGL8" s="3418"/>
      <c r="WGM8" s="3418"/>
      <c r="WGN8" s="3418"/>
      <c r="WGO8" s="3418"/>
      <c r="WGP8" s="3418"/>
      <c r="WGQ8" s="3418"/>
      <c r="WGR8" s="3418"/>
      <c r="WGS8" s="3418"/>
      <c r="WGT8" s="3418"/>
      <c r="WGU8" s="3418"/>
      <c r="WGV8" s="3418"/>
      <c r="WGW8" s="3418"/>
      <c r="WGX8" s="3418"/>
      <c r="WGY8" s="3418"/>
      <c r="WGZ8" s="3418"/>
      <c r="WHA8" s="3418"/>
      <c r="WHB8" s="3418"/>
      <c r="WHC8" s="3418"/>
      <c r="WHD8" s="3418"/>
      <c r="WHE8" s="3418"/>
      <c r="WHF8" s="3418"/>
      <c r="WHG8" s="3418"/>
      <c r="WHH8" s="3418"/>
      <c r="WHI8" s="3418"/>
      <c r="WHJ8" s="3418"/>
      <c r="WHK8" s="3418"/>
      <c r="WHL8" s="3418"/>
      <c r="WHM8" s="3418"/>
      <c r="WHN8" s="3418"/>
      <c r="WHO8" s="3418"/>
      <c r="WHP8" s="3418"/>
      <c r="WHQ8" s="3418"/>
      <c r="WHR8" s="3418"/>
      <c r="WHS8" s="3418"/>
      <c r="WHT8" s="3418"/>
      <c r="WHU8" s="3418"/>
      <c r="WHV8" s="3418"/>
      <c r="WHW8" s="3418"/>
      <c r="WHX8" s="3418"/>
      <c r="WHY8" s="3418"/>
      <c r="WHZ8" s="3418"/>
      <c r="WIA8" s="3418"/>
      <c r="WIB8" s="3418"/>
      <c r="WIC8" s="3418"/>
      <c r="WID8" s="3418"/>
      <c r="WIE8" s="3418"/>
      <c r="WIF8" s="3418"/>
      <c r="WIG8" s="3418"/>
      <c r="WIH8" s="3418"/>
      <c r="WII8" s="3418"/>
      <c r="WIJ8" s="3418"/>
      <c r="WIK8" s="3418"/>
      <c r="WIL8" s="3418"/>
      <c r="WIM8" s="3418"/>
      <c r="WIN8" s="3418"/>
      <c r="WIO8" s="3418"/>
      <c r="WIP8" s="3418"/>
      <c r="WIQ8" s="3418"/>
      <c r="WIR8" s="3418"/>
      <c r="WIS8" s="3418"/>
      <c r="WIT8" s="3418"/>
      <c r="WIU8" s="3418"/>
      <c r="WIV8" s="3418"/>
      <c r="WIW8" s="3418"/>
      <c r="WIX8" s="3418"/>
      <c r="WIY8" s="3418"/>
      <c r="WIZ8" s="3418"/>
      <c r="WJA8" s="3418"/>
      <c r="WJB8" s="3418"/>
      <c r="WJC8" s="3418"/>
      <c r="WJD8" s="3418"/>
      <c r="WJE8" s="3418"/>
      <c r="WJF8" s="3418"/>
      <c r="WJG8" s="3418"/>
      <c r="WJH8" s="3418"/>
      <c r="WJI8" s="3418"/>
      <c r="WJJ8" s="3418"/>
      <c r="WJK8" s="3418"/>
      <c r="WJL8" s="3418"/>
      <c r="WJM8" s="3418"/>
      <c r="WJN8" s="3418"/>
      <c r="WJO8" s="3418"/>
      <c r="WJP8" s="3418"/>
      <c r="WJQ8" s="3418"/>
      <c r="WJR8" s="3418"/>
      <c r="WJS8" s="3418"/>
      <c r="WJT8" s="3418"/>
      <c r="WJU8" s="3418"/>
      <c r="WJV8" s="3418"/>
      <c r="WJW8" s="3418"/>
      <c r="WJX8" s="3418"/>
      <c r="WJY8" s="3418"/>
      <c r="WJZ8" s="3418"/>
      <c r="WKA8" s="3418"/>
      <c r="WKB8" s="3418"/>
      <c r="WKC8" s="3418"/>
      <c r="WKD8" s="3418"/>
      <c r="WKE8" s="3418"/>
      <c r="WKF8" s="3418"/>
      <c r="WKG8" s="3418"/>
      <c r="WKH8" s="3418"/>
      <c r="WKI8" s="3418"/>
      <c r="WKJ8" s="3418"/>
      <c r="WKK8" s="3418"/>
      <c r="WKL8" s="3418"/>
      <c r="WKM8" s="3418"/>
      <c r="WKN8" s="3418"/>
      <c r="WKO8" s="3418"/>
      <c r="WKP8" s="3418"/>
      <c r="WKQ8" s="3418"/>
      <c r="WKR8" s="3418"/>
      <c r="WKS8" s="3418"/>
      <c r="WKT8" s="3418"/>
      <c r="WKU8" s="3418"/>
      <c r="WKV8" s="3418"/>
      <c r="WKW8" s="3418"/>
      <c r="WKX8" s="3418"/>
      <c r="WKY8" s="3418"/>
      <c r="WKZ8" s="3418"/>
      <c r="WLA8" s="3418"/>
      <c r="WLB8" s="3418"/>
      <c r="WLC8" s="3418"/>
      <c r="WLD8" s="3418"/>
      <c r="WLE8" s="3418"/>
      <c r="WLF8" s="3418"/>
      <c r="WLG8" s="3418"/>
      <c r="WLH8" s="3418"/>
      <c r="WLI8" s="3418"/>
      <c r="WLJ8" s="3418"/>
      <c r="WLK8" s="3418"/>
      <c r="WLL8" s="3418"/>
      <c r="WLM8" s="3418"/>
      <c r="WLN8" s="3418"/>
      <c r="WLO8" s="3418"/>
      <c r="WLP8" s="3418"/>
      <c r="WLQ8" s="3418"/>
      <c r="WLR8" s="3418"/>
      <c r="WLS8" s="3418"/>
      <c r="WLT8" s="3418"/>
      <c r="WLU8" s="3418"/>
      <c r="WLV8" s="3418"/>
      <c r="WLW8" s="3418"/>
      <c r="WLX8" s="3418"/>
      <c r="WLY8" s="3418"/>
      <c r="WLZ8" s="3418"/>
      <c r="WMA8" s="3418"/>
      <c r="WMB8" s="3418"/>
      <c r="WMC8" s="3418"/>
      <c r="WMD8" s="3418"/>
      <c r="WME8" s="3418"/>
      <c r="WMF8" s="3418"/>
      <c r="WMG8" s="3418"/>
      <c r="WMH8" s="3418"/>
      <c r="WMI8" s="3418"/>
      <c r="WMJ8" s="3418"/>
      <c r="WMK8" s="3418"/>
      <c r="WML8" s="3418"/>
      <c r="WMM8" s="3418"/>
      <c r="WMN8" s="3418"/>
      <c r="WMO8" s="3418"/>
      <c r="WMP8" s="3418"/>
      <c r="WMQ8" s="3418"/>
      <c r="WMR8" s="3418"/>
      <c r="WMS8" s="3418"/>
      <c r="WMT8" s="3418"/>
      <c r="WMU8" s="3418"/>
      <c r="WMV8" s="3418"/>
      <c r="WMW8" s="3418"/>
      <c r="WMX8" s="3418"/>
      <c r="WMY8" s="3418"/>
      <c r="WMZ8" s="3418"/>
      <c r="WNA8" s="3418"/>
      <c r="WNB8" s="3418"/>
      <c r="WNC8" s="3418"/>
      <c r="WND8" s="3418"/>
      <c r="WNE8" s="3418"/>
      <c r="WNF8" s="3418"/>
      <c r="WNG8" s="3418"/>
      <c r="WNH8" s="3418"/>
      <c r="WNI8" s="3418"/>
      <c r="WNJ8" s="3418"/>
      <c r="WNK8" s="3418"/>
      <c r="WNL8" s="3418"/>
      <c r="WNM8" s="3418"/>
      <c r="WNN8" s="3418"/>
      <c r="WNO8" s="3418"/>
      <c r="WNP8" s="3418"/>
      <c r="WNQ8" s="3418"/>
      <c r="WNR8" s="3418"/>
      <c r="WNS8" s="3418"/>
      <c r="WNT8" s="3418"/>
      <c r="WNU8" s="3418"/>
      <c r="WNV8" s="3418"/>
      <c r="WNW8" s="3418"/>
      <c r="WNX8" s="3418"/>
      <c r="WNY8" s="3418"/>
      <c r="WNZ8" s="3418"/>
      <c r="WOA8" s="3418"/>
      <c r="WOB8" s="3418"/>
      <c r="WOC8" s="3418"/>
      <c r="WOD8" s="3418"/>
      <c r="WOE8" s="3418"/>
      <c r="WOF8" s="3418"/>
      <c r="WOG8" s="3418"/>
      <c r="WOH8" s="3418"/>
      <c r="WOI8" s="3418"/>
      <c r="WOJ8" s="3418"/>
      <c r="WOK8" s="3418"/>
      <c r="WOL8" s="3418"/>
      <c r="WOM8" s="3418"/>
      <c r="WON8" s="3418"/>
      <c r="WOO8" s="3418"/>
      <c r="WOP8" s="3418"/>
      <c r="WOQ8" s="3418"/>
      <c r="WOR8" s="3418"/>
      <c r="WOS8" s="3418"/>
      <c r="WOT8" s="3418"/>
      <c r="WOU8" s="3418"/>
      <c r="WOV8" s="3418"/>
      <c r="WOW8" s="3418"/>
      <c r="WOX8" s="3418"/>
      <c r="WOY8" s="3418"/>
      <c r="WOZ8" s="3418"/>
      <c r="WPA8" s="3418"/>
      <c r="WPB8" s="3418"/>
      <c r="WPC8" s="3418"/>
      <c r="WPD8" s="3418"/>
      <c r="WPE8" s="3418"/>
      <c r="WPF8" s="3418"/>
      <c r="WPG8" s="3418"/>
      <c r="WPH8" s="3418"/>
      <c r="WPI8" s="3418"/>
      <c r="WPJ8" s="3418"/>
      <c r="WPK8" s="3418"/>
      <c r="WPL8" s="3418"/>
      <c r="WPM8" s="3418"/>
      <c r="WPN8" s="3418"/>
      <c r="WPO8" s="3418"/>
      <c r="WPP8" s="3418"/>
      <c r="WPQ8" s="3418"/>
      <c r="WPR8" s="3418"/>
      <c r="WPS8" s="3418"/>
      <c r="WPT8" s="3418"/>
      <c r="WPU8" s="3418"/>
      <c r="WPV8" s="3418"/>
      <c r="WPW8" s="3418"/>
      <c r="WPX8" s="3418"/>
      <c r="WPY8" s="3418"/>
      <c r="WPZ8" s="3418"/>
      <c r="WQA8" s="3418"/>
      <c r="WQB8" s="3418"/>
      <c r="WQC8" s="3418"/>
      <c r="WQD8" s="3418"/>
      <c r="WQE8" s="3418"/>
      <c r="WQF8" s="3418"/>
      <c r="WQG8" s="3418"/>
      <c r="WQH8" s="3418"/>
      <c r="WQI8" s="3418"/>
      <c r="WQJ8" s="3418"/>
      <c r="WQK8" s="3418"/>
      <c r="WQL8" s="3418"/>
      <c r="WQM8" s="3418"/>
      <c r="WQN8" s="3418"/>
      <c r="WQO8" s="3418"/>
      <c r="WQP8" s="3418"/>
      <c r="WQQ8" s="3418"/>
      <c r="WQR8" s="3418"/>
      <c r="WQS8" s="3418"/>
      <c r="WQT8" s="3418"/>
      <c r="WQU8" s="3418"/>
      <c r="WQV8" s="3418"/>
      <c r="WQW8" s="3418"/>
      <c r="WQX8" s="3418"/>
      <c r="WQY8" s="3418"/>
      <c r="WQZ8" s="3418"/>
      <c r="WRA8" s="3418"/>
      <c r="WRB8" s="3418"/>
      <c r="WRC8" s="3418"/>
      <c r="WRD8" s="3418"/>
      <c r="WRE8" s="3418"/>
      <c r="WRF8" s="3418"/>
      <c r="WRG8" s="3418"/>
      <c r="WRH8" s="3418"/>
      <c r="WRI8" s="3418"/>
      <c r="WRJ8" s="3418"/>
      <c r="WRK8" s="3418"/>
      <c r="WRL8" s="3418"/>
      <c r="WRM8" s="3418"/>
      <c r="WRN8" s="3418"/>
      <c r="WRO8" s="3418"/>
      <c r="WRP8" s="3418"/>
      <c r="WRQ8" s="3418"/>
      <c r="WRR8" s="3418"/>
      <c r="WRS8" s="3418"/>
      <c r="WRT8" s="3418"/>
      <c r="WRU8" s="3418"/>
      <c r="WRV8" s="3418"/>
      <c r="WRW8" s="3418"/>
      <c r="WRX8" s="3418"/>
      <c r="WRY8" s="3418"/>
      <c r="WRZ8" s="3418"/>
      <c r="WSA8" s="3418"/>
      <c r="WSB8" s="3418"/>
      <c r="WSC8" s="3418"/>
      <c r="WSD8" s="3418"/>
      <c r="WSE8" s="3418"/>
      <c r="WSF8" s="3418"/>
      <c r="WSG8" s="3418"/>
      <c r="WSH8" s="3418"/>
      <c r="WSI8" s="3418"/>
      <c r="WSJ8" s="3418"/>
      <c r="WSK8" s="3418"/>
      <c r="WSL8" s="3418"/>
      <c r="WSM8" s="3418"/>
      <c r="WSN8" s="3418"/>
      <c r="WSO8" s="3418"/>
      <c r="WSP8" s="3418"/>
      <c r="WSQ8" s="3418"/>
      <c r="WSR8" s="3418"/>
      <c r="WSS8" s="3418"/>
      <c r="WST8" s="3418"/>
      <c r="WSU8" s="3418"/>
      <c r="WSV8" s="3418"/>
      <c r="WSW8" s="3418"/>
      <c r="WSX8" s="3418"/>
      <c r="WSY8" s="3418"/>
      <c r="WSZ8" s="3418"/>
      <c r="WTA8" s="3418"/>
      <c r="WTB8" s="3418"/>
      <c r="WTC8" s="3418"/>
      <c r="WTD8" s="3418"/>
      <c r="WTE8" s="3418"/>
      <c r="WTF8" s="3418"/>
      <c r="WTG8" s="3418"/>
      <c r="WTH8" s="3418"/>
      <c r="WTI8" s="3418"/>
      <c r="WTJ8" s="3418"/>
      <c r="WTK8" s="3418"/>
      <c r="WTL8" s="3418"/>
      <c r="WTM8" s="3418"/>
      <c r="WTN8" s="3418"/>
      <c r="WTO8" s="3418"/>
      <c r="WTP8" s="3418"/>
      <c r="WTQ8" s="3418"/>
      <c r="WTR8" s="3418"/>
      <c r="WTS8" s="3418"/>
      <c r="WTT8" s="3418"/>
      <c r="WTU8" s="3418"/>
      <c r="WTV8" s="3418"/>
      <c r="WTW8" s="3418"/>
      <c r="WTX8" s="3418"/>
      <c r="WTY8" s="3418"/>
      <c r="WTZ8" s="3418"/>
      <c r="WUA8" s="3418"/>
      <c r="WUB8" s="3418"/>
      <c r="WUC8" s="3418"/>
      <c r="WUD8" s="3418"/>
      <c r="WUE8" s="3418"/>
      <c r="WUF8" s="3418"/>
      <c r="WUG8" s="3418"/>
      <c r="WUH8" s="3418"/>
      <c r="WUI8" s="3418"/>
      <c r="WUJ8" s="3418"/>
      <c r="WUK8" s="3418"/>
      <c r="WUL8" s="3418"/>
      <c r="WUM8" s="3418"/>
      <c r="WUN8" s="3418"/>
      <c r="WUO8" s="3418"/>
      <c r="WUP8" s="3418"/>
      <c r="WUQ8" s="3418"/>
      <c r="WUR8" s="3418"/>
      <c r="WUS8" s="3418"/>
      <c r="WUT8" s="3418"/>
      <c r="WUU8" s="3418"/>
      <c r="WUV8" s="3418"/>
      <c r="WUW8" s="3418"/>
      <c r="WUX8" s="3418"/>
      <c r="WUY8" s="3418"/>
      <c r="WUZ8" s="3418"/>
      <c r="WVA8" s="3418"/>
      <c r="WVB8" s="3418"/>
      <c r="WVC8" s="3418"/>
      <c r="WVD8" s="3418"/>
      <c r="WVE8" s="3418"/>
      <c r="WVF8" s="3418"/>
      <c r="WVG8" s="3418"/>
      <c r="WVH8" s="3418"/>
      <c r="WVI8" s="3418"/>
      <c r="WVJ8" s="3418"/>
      <c r="WVK8" s="3418"/>
      <c r="WVL8" s="3418"/>
      <c r="WVM8" s="3418"/>
      <c r="WVN8" s="3418"/>
      <c r="WVO8" s="3418"/>
      <c r="WVP8" s="3418"/>
      <c r="WVQ8" s="3418"/>
      <c r="WVR8" s="3418"/>
      <c r="WVS8" s="3418"/>
      <c r="WVT8" s="3418"/>
      <c r="WVU8" s="3418"/>
      <c r="WVV8" s="3418"/>
      <c r="WVW8" s="3418"/>
      <c r="WVX8" s="3418"/>
      <c r="WVY8" s="3418"/>
      <c r="WVZ8" s="3418"/>
      <c r="WWA8" s="3418"/>
      <c r="WWB8" s="3418"/>
      <c r="WWC8" s="3418"/>
      <c r="WWD8" s="3418"/>
      <c r="WWE8" s="3418"/>
      <c r="WWF8" s="3418"/>
      <c r="WWG8" s="3418"/>
      <c r="WWH8" s="3418"/>
      <c r="WWI8" s="3418"/>
      <c r="WWJ8" s="3418"/>
      <c r="WWK8" s="3418"/>
      <c r="WWL8" s="3418"/>
      <c r="WWM8" s="3418"/>
      <c r="WWN8" s="3418"/>
      <c r="WWO8" s="3418"/>
      <c r="WWP8" s="3418"/>
      <c r="WWQ8" s="3418"/>
      <c r="WWR8" s="3418"/>
      <c r="WWS8" s="3418"/>
      <c r="WWT8" s="3418"/>
      <c r="WWU8" s="3418"/>
      <c r="WWV8" s="3418"/>
      <c r="WWW8" s="3418"/>
      <c r="WWX8" s="3418"/>
      <c r="WWY8" s="3418"/>
      <c r="WWZ8" s="3418"/>
      <c r="WXA8" s="3418"/>
      <c r="WXB8" s="3418"/>
      <c r="WXC8" s="3418"/>
      <c r="WXD8" s="3418"/>
      <c r="WXE8" s="3418"/>
      <c r="WXF8" s="3418"/>
      <c r="WXG8" s="3418"/>
      <c r="WXH8" s="3418"/>
      <c r="WXI8" s="3418"/>
      <c r="WXJ8" s="3418"/>
      <c r="WXK8" s="3418"/>
      <c r="WXL8" s="3418"/>
      <c r="WXM8" s="3418"/>
      <c r="WXN8" s="3418"/>
      <c r="WXO8" s="3418"/>
      <c r="WXP8" s="3418"/>
      <c r="WXQ8" s="3418"/>
      <c r="WXR8" s="3418"/>
      <c r="WXS8" s="3418"/>
      <c r="WXT8" s="3418"/>
      <c r="WXU8" s="3418"/>
      <c r="WXV8" s="3418"/>
      <c r="WXW8" s="3418"/>
      <c r="WXX8" s="3418"/>
      <c r="WXY8" s="3418"/>
      <c r="WXZ8" s="3418"/>
      <c r="WYA8" s="3418"/>
      <c r="WYB8" s="3418"/>
      <c r="WYC8" s="3418"/>
      <c r="WYD8" s="3418"/>
      <c r="WYE8" s="3418"/>
      <c r="WYF8" s="3418"/>
      <c r="WYG8" s="3418"/>
      <c r="WYH8" s="3418"/>
      <c r="WYI8" s="3418"/>
      <c r="WYJ8" s="3418"/>
      <c r="WYK8" s="3418"/>
      <c r="WYL8" s="3418"/>
      <c r="WYM8" s="3418"/>
      <c r="WYN8" s="3418"/>
      <c r="WYO8" s="3418"/>
      <c r="WYP8" s="3418"/>
      <c r="WYQ8" s="3418"/>
      <c r="WYR8" s="3418"/>
      <c r="WYS8" s="3418"/>
      <c r="WYT8" s="3418"/>
      <c r="WYU8" s="3418"/>
      <c r="WYV8" s="3418"/>
      <c r="WYW8" s="3418"/>
      <c r="WYX8" s="3418"/>
      <c r="WYY8" s="3418"/>
      <c r="WYZ8" s="3418"/>
      <c r="WZA8" s="3418"/>
      <c r="WZB8" s="3418"/>
      <c r="WZC8" s="3418"/>
      <c r="WZD8" s="3418"/>
      <c r="WZE8" s="3418"/>
      <c r="WZF8" s="3418"/>
      <c r="WZG8" s="3418"/>
      <c r="WZH8" s="3418"/>
      <c r="WZI8" s="3418"/>
      <c r="WZJ8" s="3418"/>
      <c r="WZK8" s="3418"/>
      <c r="WZL8" s="3418"/>
      <c r="WZM8" s="3418"/>
      <c r="WZN8" s="3418"/>
      <c r="WZO8" s="3418"/>
      <c r="WZP8" s="3418"/>
      <c r="WZQ8" s="3418"/>
      <c r="WZR8" s="3418"/>
      <c r="WZS8" s="3418"/>
      <c r="WZT8" s="3418"/>
      <c r="WZU8" s="3418"/>
      <c r="WZV8" s="3418"/>
      <c r="WZW8" s="3418"/>
      <c r="WZX8" s="3418"/>
      <c r="WZY8" s="3418"/>
      <c r="WZZ8" s="3418"/>
      <c r="XAA8" s="3418"/>
      <c r="XAB8" s="3418"/>
      <c r="XAC8" s="3418"/>
      <c r="XAD8" s="3418"/>
      <c r="XAE8" s="3418"/>
      <c r="XAF8" s="3418"/>
      <c r="XAG8" s="3418"/>
      <c r="XAH8" s="3418"/>
      <c r="XAI8" s="3418"/>
      <c r="XAJ8" s="3418"/>
      <c r="XAK8" s="3418"/>
      <c r="XAL8" s="3418"/>
      <c r="XAM8" s="3418"/>
      <c r="XAN8" s="3418"/>
      <c r="XAO8" s="3418"/>
      <c r="XAP8" s="3418"/>
      <c r="XAQ8" s="3418"/>
      <c r="XAR8" s="3418"/>
      <c r="XAS8" s="3418"/>
      <c r="XAT8" s="3418"/>
      <c r="XAU8" s="3418"/>
      <c r="XAV8" s="3418"/>
      <c r="XAW8" s="3418"/>
      <c r="XAX8" s="3418"/>
      <c r="XAY8" s="3418"/>
      <c r="XAZ8" s="3418"/>
      <c r="XBA8" s="3418"/>
      <c r="XBB8" s="3418"/>
      <c r="XBC8" s="3418"/>
      <c r="XBD8" s="3418"/>
      <c r="XBE8" s="3418"/>
      <c r="XBF8" s="3418"/>
      <c r="XBG8" s="3418"/>
      <c r="XBH8" s="3418"/>
      <c r="XBI8" s="3418"/>
      <c r="XBJ8" s="3418"/>
      <c r="XBK8" s="3418"/>
      <c r="XBL8" s="3418"/>
      <c r="XBM8" s="3418"/>
      <c r="XBN8" s="3418"/>
      <c r="XBO8" s="3418"/>
      <c r="XBP8" s="3418"/>
      <c r="XBQ8" s="3418"/>
      <c r="XBR8" s="3418"/>
      <c r="XBS8" s="3418"/>
      <c r="XBT8" s="3418"/>
      <c r="XBU8" s="3418"/>
      <c r="XBV8" s="3418"/>
      <c r="XBW8" s="3418"/>
      <c r="XBX8" s="3418"/>
      <c r="XBY8" s="3418"/>
      <c r="XBZ8" s="3418"/>
      <c r="XCA8" s="3418"/>
      <c r="XCB8" s="3418"/>
      <c r="XCC8" s="3418"/>
      <c r="XCD8" s="3418"/>
      <c r="XCE8" s="3418"/>
      <c r="XCF8" s="3418"/>
      <c r="XCG8" s="3418"/>
      <c r="XCH8" s="3418"/>
      <c r="XCI8" s="3418"/>
      <c r="XCJ8" s="3418"/>
      <c r="XCK8" s="3418"/>
      <c r="XCL8" s="3418"/>
      <c r="XCM8" s="3418"/>
      <c r="XCN8" s="3418"/>
      <c r="XCO8" s="3418"/>
      <c r="XCP8" s="3418"/>
      <c r="XCQ8" s="3418"/>
      <c r="XCR8" s="3418"/>
      <c r="XCS8" s="3418"/>
      <c r="XCT8" s="3418"/>
      <c r="XCU8" s="3418"/>
      <c r="XCV8" s="3418"/>
      <c r="XCW8" s="3418"/>
      <c r="XCX8" s="3418"/>
      <c r="XCY8" s="3418"/>
      <c r="XCZ8" s="3418"/>
      <c r="XDA8" s="3418"/>
      <c r="XDB8" s="3418"/>
      <c r="XDC8" s="3418"/>
      <c r="XDD8" s="3418"/>
      <c r="XDE8" s="3418"/>
      <c r="XDF8" s="3418"/>
      <c r="XDG8" s="3418"/>
      <c r="XDH8" s="3418"/>
      <c r="XDI8" s="3418"/>
      <c r="XDJ8" s="3418"/>
      <c r="XDK8" s="3418"/>
      <c r="XDL8" s="3418"/>
      <c r="XDM8" s="3418"/>
      <c r="XDN8" s="3418"/>
      <c r="XDO8" s="3418"/>
      <c r="XDP8" s="3418"/>
      <c r="XDQ8" s="3418"/>
      <c r="XDR8" s="3418"/>
      <c r="XDS8" s="3418"/>
      <c r="XDT8" s="3418"/>
      <c r="XDU8" s="3418"/>
      <c r="XDV8" s="3418"/>
      <c r="XDW8" s="3418"/>
      <c r="XDX8" s="3418"/>
      <c r="XDY8" s="3418"/>
      <c r="XDZ8" s="3418"/>
      <c r="XEA8" s="3418"/>
      <c r="XEB8" s="3418"/>
      <c r="XEC8" s="3418"/>
      <c r="XED8" s="3418"/>
      <c r="XEE8" s="3418"/>
      <c r="XEF8" s="3418"/>
      <c r="XEG8" s="3418"/>
      <c r="XEH8" s="3418"/>
      <c r="XEI8" s="3418"/>
      <c r="XEJ8" s="3418"/>
      <c r="XEK8" s="3418"/>
      <c r="XEL8" s="3418"/>
      <c r="XEM8" s="3418"/>
      <c r="XEN8" s="3418"/>
      <c r="XEO8" s="3418"/>
      <c r="XEP8" s="3418"/>
      <c r="XEQ8" s="3418"/>
      <c r="XER8" s="3418"/>
      <c r="XES8" s="3418"/>
      <c r="XET8" s="3418"/>
      <c r="XEU8" s="3418"/>
      <c r="XEV8" s="3418"/>
      <c r="XEW8" s="3418"/>
      <c r="XEX8" s="3418"/>
      <c r="XEY8" s="3418"/>
      <c r="XEZ8" s="3418"/>
      <c r="XFA8" s="3418"/>
      <c r="XFB8" s="3418"/>
    </row>
    <row r="9" spans="1:16382" s="3429" customFormat="1" ht="15" customHeight="1">
      <c r="A9" s="3424"/>
      <c r="B9" s="3425"/>
      <c r="C9" s="3426"/>
      <c r="D9" s="3427"/>
      <c r="E9" s="3428"/>
      <c r="F9" s="3427" t="s">
        <v>4498</v>
      </c>
      <c r="G9" s="3429" t="s">
        <v>4499</v>
      </c>
      <c r="H9" s="3426"/>
      <c r="I9" s="3430" t="s">
        <v>4500</v>
      </c>
      <c r="J9" s="3431">
        <v>2016</v>
      </c>
      <c r="K9" s="3431">
        <f>J9+1</f>
        <v>2017</v>
      </c>
      <c r="L9" s="3431">
        <f t="shared" ref="L9:BA9" si="2">K9+1</f>
        <v>2018</v>
      </c>
      <c r="M9" s="3431">
        <f t="shared" si="2"/>
        <v>2019</v>
      </c>
      <c r="N9" s="3432">
        <f t="shared" si="2"/>
        <v>2020</v>
      </c>
      <c r="O9" s="3431">
        <v>2021</v>
      </c>
      <c r="P9" s="3431">
        <v>2022</v>
      </c>
      <c r="Q9" s="3431">
        <f t="shared" si="2"/>
        <v>2023</v>
      </c>
      <c r="R9" s="3431">
        <f t="shared" si="2"/>
        <v>2024</v>
      </c>
      <c r="S9" s="3431">
        <f t="shared" si="2"/>
        <v>2025</v>
      </c>
      <c r="T9" s="3431">
        <f t="shared" si="2"/>
        <v>2026</v>
      </c>
      <c r="U9" s="3431">
        <f t="shared" si="2"/>
        <v>2027</v>
      </c>
      <c r="V9" s="3431">
        <f t="shared" si="2"/>
        <v>2028</v>
      </c>
      <c r="W9" s="3431">
        <f t="shared" si="2"/>
        <v>2029</v>
      </c>
      <c r="X9" s="3432">
        <f t="shared" si="2"/>
        <v>2030</v>
      </c>
      <c r="Y9" s="3431">
        <f t="shared" si="2"/>
        <v>2031</v>
      </c>
      <c r="Z9" s="3431">
        <f t="shared" si="2"/>
        <v>2032</v>
      </c>
      <c r="AA9" s="3431">
        <f t="shared" si="2"/>
        <v>2033</v>
      </c>
      <c r="AB9" s="3431">
        <f t="shared" si="2"/>
        <v>2034</v>
      </c>
      <c r="AC9" s="3431">
        <f t="shared" si="2"/>
        <v>2035</v>
      </c>
      <c r="AD9" s="3431">
        <f t="shared" si="2"/>
        <v>2036</v>
      </c>
      <c r="AE9" s="3431">
        <f t="shared" si="2"/>
        <v>2037</v>
      </c>
      <c r="AF9" s="3431">
        <f t="shared" si="2"/>
        <v>2038</v>
      </c>
      <c r="AG9" s="3431">
        <f t="shared" si="2"/>
        <v>2039</v>
      </c>
      <c r="AH9" s="3432">
        <f t="shared" si="2"/>
        <v>2040</v>
      </c>
      <c r="AI9" s="3431">
        <f t="shared" si="2"/>
        <v>2041</v>
      </c>
      <c r="AJ9" s="3431">
        <f t="shared" si="2"/>
        <v>2042</v>
      </c>
      <c r="AK9" s="3431">
        <f t="shared" si="2"/>
        <v>2043</v>
      </c>
      <c r="AL9" s="3431">
        <f t="shared" si="2"/>
        <v>2044</v>
      </c>
      <c r="AM9" s="3431">
        <f t="shared" si="2"/>
        <v>2045</v>
      </c>
      <c r="AN9" s="3431">
        <f t="shared" si="2"/>
        <v>2046</v>
      </c>
      <c r="AO9" s="3431">
        <f t="shared" si="2"/>
        <v>2047</v>
      </c>
      <c r="AP9" s="3431">
        <f t="shared" si="2"/>
        <v>2048</v>
      </c>
      <c r="AQ9" s="3431">
        <f t="shared" si="2"/>
        <v>2049</v>
      </c>
      <c r="AR9" s="3432">
        <f t="shared" si="2"/>
        <v>2050</v>
      </c>
      <c r="AS9" s="3431">
        <f t="shared" si="2"/>
        <v>2051</v>
      </c>
      <c r="AT9" s="3431">
        <f t="shared" si="2"/>
        <v>2052</v>
      </c>
      <c r="AU9" s="3431">
        <f t="shared" si="2"/>
        <v>2053</v>
      </c>
      <c r="AV9" s="3431">
        <f t="shared" si="2"/>
        <v>2054</v>
      </c>
      <c r="AW9" s="3431">
        <f t="shared" si="2"/>
        <v>2055</v>
      </c>
      <c r="AX9" s="3431">
        <f t="shared" si="2"/>
        <v>2056</v>
      </c>
      <c r="AY9" s="3431">
        <f t="shared" si="2"/>
        <v>2057</v>
      </c>
      <c r="AZ9" s="3431">
        <f t="shared" si="2"/>
        <v>2058</v>
      </c>
      <c r="BA9" s="3433">
        <f t="shared" si="2"/>
        <v>2059</v>
      </c>
      <c r="BB9" s="3426"/>
      <c r="BC9" s="3426"/>
      <c r="BD9" s="3426"/>
      <c r="BE9" s="3426"/>
      <c r="BF9" s="3426"/>
      <c r="BG9" s="3426"/>
      <c r="BH9" s="3426"/>
      <c r="BI9" s="3426"/>
      <c r="BJ9" s="3426"/>
      <c r="BK9" s="3426"/>
      <c r="BL9" s="3426"/>
      <c r="BM9" s="3426"/>
      <c r="BN9" s="3426"/>
      <c r="BO9" s="3426"/>
      <c r="BP9" s="3426"/>
      <c r="BQ9" s="3426"/>
      <c r="BR9" s="3426"/>
      <c r="BS9" s="3426"/>
      <c r="BT9" s="3426"/>
      <c r="BU9" s="3426"/>
      <c r="BV9" s="3426"/>
      <c r="BW9" s="3426"/>
      <c r="BX9" s="3426"/>
      <c r="BY9" s="3426"/>
      <c r="BZ9" s="3426"/>
      <c r="CA9" s="3426"/>
      <c r="CB9" s="3426"/>
      <c r="CC9" s="3426"/>
      <c r="CD9" s="3426"/>
      <c r="CE9" s="3426"/>
      <c r="CF9" s="3426"/>
      <c r="CG9" s="3426"/>
      <c r="CH9" s="3426"/>
      <c r="CI9" s="3426"/>
      <c r="CJ9" s="3426"/>
      <c r="CK9" s="3426"/>
      <c r="CL9" s="3426"/>
      <c r="CM9" s="3426"/>
      <c r="CN9" s="3426"/>
      <c r="CO9" s="3426"/>
      <c r="CP9" s="3426"/>
      <c r="CQ9" s="3426"/>
      <c r="CR9" s="3426"/>
      <c r="CS9" s="3426"/>
      <c r="CT9" s="3426"/>
      <c r="CU9" s="3426"/>
      <c r="CV9" s="3426"/>
      <c r="CW9" s="3426"/>
      <c r="CX9" s="3426"/>
      <c r="CY9" s="3426"/>
      <c r="CZ9" s="3426"/>
      <c r="DA9" s="3426"/>
      <c r="DB9" s="3426"/>
      <c r="DC9" s="3426"/>
      <c r="DD9" s="3426"/>
      <c r="DE9" s="3426"/>
      <c r="DF9" s="3426"/>
      <c r="DG9" s="3426"/>
      <c r="DH9" s="3426"/>
      <c r="DI9" s="3426"/>
      <c r="DJ9" s="3426"/>
      <c r="DK9" s="3426"/>
      <c r="DL9" s="3426"/>
      <c r="DM9" s="3426"/>
      <c r="DN9" s="3426"/>
      <c r="DO9" s="3426"/>
      <c r="DP9" s="3426"/>
      <c r="DQ9" s="3426"/>
      <c r="DR9" s="3426"/>
      <c r="DS9" s="3426"/>
      <c r="DT9" s="3426"/>
      <c r="DU9" s="3426"/>
      <c r="DV9" s="3426"/>
      <c r="DW9" s="3426"/>
      <c r="DX9" s="3426"/>
      <c r="DY9" s="3426"/>
      <c r="DZ9" s="3426"/>
      <c r="EA9" s="3426"/>
      <c r="EB9" s="3426"/>
      <c r="EC9" s="3426"/>
      <c r="ED9" s="3426"/>
      <c r="EE9" s="3426"/>
      <c r="EF9" s="3426"/>
      <c r="EG9" s="3426"/>
      <c r="EH9" s="3426"/>
      <c r="EI9" s="3426"/>
      <c r="EJ9" s="3426"/>
      <c r="EK9" s="3426"/>
      <c r="EL9" s="3426"/>
      <c r="EM9" s="3426"/>
      <c r="EN9" s="3426"/>
      <c r="EO9" s="3426"/>
      <c r="EP9" s="3426"/>
      <c r="EQ9" s="3426"/>
      <c r="ER9" s="3426"/>
      <c r="ES9" s="3426"/>
      <c r="ET9" s="3426"/>
      <c r="EU9" s="3426"/>
      <c r="EV9" s="3426"/>
      <c r="EW9" s="3426"/>
      <c r="EX9" s="3426"/>
      <c r="EY9" s="3426"/>
      <c r="EZ9" s="3426"/>
      <c r="FA9" s="3426"/>
      <c r="FB9" s="3426"/>
      <c r="FC9" s="3426"/>
      <c r="FD9" s="3426"/>
      <c r="FE9" s="3426"/>
      <c r="FF9" s="3426"/>
      <c r="FG9" s="3426"/>
      <c r="FH9" s="3426"/>
      <c r="FI9" s="3426"/>
      <c r="FJ9" s="3426"/>
      <c r="FK9" s="3426"/>
      <c r="FL9" s="3426"/>
      <c r="FM9" s="3426"/>
      <c r="FN9" s="3426"/>
      <c r="FO9" s="3426"/>
      <c r="FP9" s="3426"/>
      <c r="FQ9" s="3426"/>
      <c r="FR9" s="3426"/>
      <c r="FS9" s="3426"/>
      <c r="FT9" s="3426"/>
      <c r="FU9" s="3426"/>
      <c r="FV9" s="3426"/>
      <c r="FW9" s="3426"/>
      <c r="FX9" s="3426"/>
      <c r="FY9" s="3426"/>
      <c r="FZ9" s="3426"/>
      <c r="GA9" s="3426"/>
      <c r="GB9" s="3426"/>
      <c r="GC9" s="3426"/>
      <c r="GD9" s="3426"/>
      <c r="GE9" s="3426"/>
      <c r="GF9" s="3426"/>
      <c r="GG9" s="3426"/>
      <c r="GH9" s="3426"/>
      <c r="GI9" s="3426"/>
      <c r="GJ9" s="3426"/>
      <c r="GK9" s="3426"/>
      <c r="GL9" s="3426"/>
      <c r="GM9" s="3426"/>
      <c r="GN9" s="3426"/>
      <c r="GO9" s="3426"/>
      <c r="GP9" s="3426"/>
      <c r="GQ9" s="3426"/>
      <c r="GR9" s="3426"/>
      <c r="GS9" s="3426"/>
      <c r="GT9" s="3426"/>
      <c r="GU9" s="3426"/>
      <c r="GV9" s="3426"/>
      <c r="GW9" s="3426"/>
      <c r="GX9" s="3426"/>
      <c r="GY9" s="3426"/>
      <c r="GZ9" s="3426"/>
      <c r="HA9" s="3426"/>
      <c r="HB9" s="3426"/>
      <c r="HC9" s="3426"/>
      <c r="HD9" s="3426"/>
      <c r="HE9" s="3426"/>
      <c r="HF9" s="3426"/>
      <c r="HG9" s="3426"/>
      <c r="HH9" s="3426"/>
      <c r="HI9" s="3426"/>
      <c r="HJ9" s="3426"/>
      <c r="HK9" s="3426"/>
      <c r="HL9" s="3426"/>
      <c r="HM9" s="3426"/>
      <c r="HN9" s="3426"/>
      <c r="HO9" s="3426"/>
      <c r="HP9" s="3426"/>
      <c r="HQ9" s="3426"/>
      <c r="HR9" s="3426"/>
      <c r="HS9" s="3426"/>
      <c r="HT9" s="3426"/>
      <c r="HU9" s="3426"/>
      <c r="HV9" s="3426"/>
      <c r="HW9" s="3426"/>
      <c r="HX9" s="3426"/>
      <c r="HY9" s="3426"/>
      <c r="HZ9" s="3426"/>
      <c r="IA9" s="3426"/>
      <c r="IB9" s="3426"/>
      <c r="IC9" s="3426"/>
      <c r="ID9" s="3426"/>
      <c r="IE9" s="3426"/>
      <c r="IF9" s="3426"/>
      <c r="IG9" s="3426"/>
      <c r="IH9" s="3426"/>
      <c r="II9" s="3426"/>
      <c r="IJ9" s="3426"/>
      <c r="IK9" s="3426"/>
      <c r="IL9" s="3426"/>
      <c r="IM9" s="3426"/>
      <c r="IN9" s="3426"/>
      <c r="IO9" s="3426"/>
      <c r="IP9" s="3426"/>
      <c r="IQ9" s="3426"/>
      <c r="IR9" s="3426"/>
      <c r="IS9" s="3426"/>
      <c r="IT9" s="3426"/>
      <c r="IU9" s="3426"/>
      <c r="IV9" s="3426"/>
      <c r="IW9" s="3426"/>
      <c r="IX9" s="3426"/>
      <c r="IY9" s="3426"/>
      <c r="IZ9" s="3426"/>
      <c r="JA9" s="3426"/>
      <c r="JB9" s="3426"/>
      <c r="JC9" s="3426"/>
      <c r="JD9" s="3426"/>
      <c r="JE9" s="3426"/>
      <c r="JF9" s="3426"/>
      <c r="JG9" s="3426"/>
      <c r="JH9" s="3426"/>
      <c r="JI9" s="3426"/>
      <c r="JJ9" s="3426"/>
      <c r="JK9" s="3426"/>
      <c r="JL9" s="3426"/>
      <c r="JM9" s="3426"/>
      <c r="JN9" s="3426"/>
      <c r="JO9" s="3426"/>
      <c r="JP9" s="3426"/>
      <c r="JQ9" s="3426"/>
      <c r="JR9" s="3426"/>
      <c r="JS9" s="3426"/>
      <c r="JT9" s="3426"/>
      <c r="JU9" s="3426"/>
      <c r="JV9" s="3426"/>
      <c r="JW9" s="3426"/>
      <c r="JX9" s="3426"/>
      <c r="JY9" s="3426"/>
      <c r="JZ9" s="3426"/>
      <c r="KA9" s="3426"/>
      <c r="KB9" s="3426"/>
      <c r="KC9" s="3426"/>
      <c r="KD9" s="3426"/>
      <c r="KE9" s="3426"/>
      <c r="KF9" s="3426"/>
      <c r="KG9" s="3426"/>
      <c r="KH9" s="3426"/>
      <c r="KI9" s="3426"/>
      <c r="KJ9" s="3426"/>
      <c r="KK9" s="3426"/>
      <c r="KL9" s="3426"/>
      <c r="KM9" s="3426"/>
      <c r="KN9" s="3426"/>
      <c r="KO9" s="3426"/>
      <c r="KP9" s="3426"/>
      <c r="KQ9" s="3426"/>
      <c r="KR9" s="3426"/>
      <c r="KS9" s="3426"/>
      <c r="KT9" s="3426"/>
      <c r="KU9" s="3426"/>
      <c r="KV9" s="3426"/>
      <c r="KW9" s="3426"/>
      <c r="KX9" s="3426"/>
      <c r="KY9" s="3426"/>
      <c r="KZ9" s="3426"/>
      <c r="LA9" s="3426"/>
      <c r="LB9" s="3426"/>
      <c r="LC9" s="3426"/>
      <c r="LD9" s="3426"/>
      <c r="LE9" s="3426"/>
      <c r="LF9" s="3426"/>
      <c r="LG9" s="3426"/>
      <c r="LH9" s="3426"/>
      <c r="LI9" s="3426"/>
      <c r="LJ9" s="3426"/>
      <c r="LK9" s="3426"/>
      <c r="LL9" s="3426"/>
      <c r="LM9" s="3426"/>
      <c r="LN9" s="3426"/>
      <c r="LO9" s="3426"/>
      <c r="LP9" s="3426"/>
      <c r="LQ9" s="3426"/>
      <c r="LR9" s="3426"/>
      <c r="LS9" s="3426"/>
      <c r="LT9" s="3426"/>
      <c r="LU9" s="3426"/>
      <c r="LV9" s="3426"/>
      <c r="LW9" s="3426"/>
      <c r="LX9" s="3426"/>
      <c r="LY9" s="3426"/>
      <c r="LZ9" s="3426"/>
      <c r="MA9" s="3426"/>
      <c r="MB9" s="3426"/>
      <c r="MC9" s="3426"/>
      <c r="MD9" s="3426"/>
      <c r="ME9" s="3426"/>
      <c r="MF9" s="3426"/>
      <c r="MG9" s="3426"/>
      <c r="MH9" s="3426"/>
      <c r="MI9" s="3426"/>
      <c r="MJ9" s="3426"/>
      <c r="MK9" s="3426"/>
      <c r="ML9" s="3426"/>
      <c r="MM9" s="3426"/>
      <c r="MN9" s="3426"/>
      <c r="MO9" s="3426"/>
      <c r="MP9" s="3426"/>
      <c r="MQ9" s="3426"/>
      <c r="MR9" s="3426"/>
      <c r="MS9" s="3426"/>
      <c r="MT9" s="3426"/>
      <c r="MU9" s="3426"/>
      <c r="MV9" s="3426"/>
      <c r="MW9" s="3426"/>
      <c r="MX9" s="3426"/>
      <c r="MY9" s="3426"/>
      <c r="MZ9" s="3426"/>
      <c r="NA9" s="3426"/>
      <c r="NB9" s="3426"/>
      <c r="NC9" s="3426"/>
      <c r="ND9" s="3426"/>
      <c r="NE9" s="3426"/>
      <c r="NF9" s="3426"/>
      <c r="NG9" s="3426"/>
      <c r="NH9" s="3426"/>
      <c r="NI9" s="3426"/>
      <c r="NJ9" s="3426"/>
      <c r="NK9" s="3426"/>
      <c r="NL9" s="3426"/>
      <c r="NM9" s="3426"/>
      <c r="NN9" s="3426"/>
      <c r="NO9" s="3426"/>
      <c r="NP9" s="3426"/>
      <c r="NQ9" s="3426"/>
      <c r="NR9" s="3426"/>
      <c r="NS9" s="3426"/>
      <c r="NT9" s="3426"/>
      <c r="NU9" s="3426"/>
      <c r="NV9" s="3426"/>
      <c r="NW9" s="3426"/>
      <c r="NX9" s="3426"/>
      <c r="NY9" s="3426"/>
      <c r="NZ9" s="3426"/>
      <c r="OA9" s="3426"/>
      <c r="OB9" s="3426"/>
      <c r="OC9" s="3426"/>
      <c r="OD9" s="3426"/>
      <c r="OE9" s="3426"/>
      <c r="OF9" s="3426"/>
      <c r="OG9" s="3426"/>
      <c r="OH9" s="3426"/>
      <c r="OI9" s="3426"/>
      <c r="OJ9" s="3426"/>
      <c r="OK9" s="3426"/>
      <c r="OL9" s="3426"/>
      <c r="OM9" s="3426"/>
      <c r="ON9" s="3426"/>
      <c r="OO9" s="3426"/>
      <c r="OP9" s="3426"/>
      <c r="OQ9" s="3426"/>
      <c r="OR9" s="3426"/>
      <c r="OS9" s="3426"/>
      <c r="OT9" s="3426"/>
      <c r="OU9" s="3426"/>
      <c r="OV9" s="3426"/>
      <c r="OW9" s="3426"/>
      <c r="OX9" s="3426"/>
      <c r="OY9" s="3426"/>
      <c r="OZ9" s="3426"/>
      <c r="PA9" s="3426"/>
      <c r="PB9" s="3426"/>
      <c r="PC9" s="3426"/>
      <c r="PD9" s="3426"/>
      <c r="PE9" s="3426"/>
      <c r="PF9" s="3426"/>
      <c r="PG9" s="3426"/>
      <c r="PH9" s="3426"/>
      <c r="PI9" s="3426"/>
      <c r="PJ9" s="3426"/>
      <c r="PK9" s="3426"/>
      <c r="PL9" s="3426"/>
      <c r="PM9" s="3426"/>
      <c r="PN9" s="3426"/>
      <c r="PO9" s="3426"/>
      <c r="PP9" s="3426"/>
      <c r="PQ9" s="3426"/>
      <c r="PR9" s="3426"/>
      <c r="PS9" s="3426"/>
      <c r="PT9" s="3426"/>
      <c r="PU9" s="3426"/>
      <c r="PV9" s="3426"/>
      <c r="PW9" s="3426"/>
      <c r="PX9" s="3426"/>
      <c r="PY9" s="3426"/>
      <c r="PZ9" s="3426"/>
      <c r="QA9" s="3426"/>
      <c r="QB9" s="3426"/>
      <c r="QC9" s="3426"/>
      <c r="QD9" s="3426"/>
      <c r="QE9" s="3426"/>
      <c r="QF9" s="3426"/>
      <c r="QG9" s="3426"/>
      <c r="QH9" s="3426"/>
      <c r="QI9" s="3426"/>
      <c r="QJ9" s="3426"/>
      <c r="QK9" s="3426"/>
      <c r="QL9" s="3426"/>
      <c r="QM9" s="3426"/>
      <c r="QN9" s="3426"/>
      <c r="QO9" s="3426"/>
      <c r="QP9" s="3426"/>
      <c r="QQ9" s="3426"/>
      <c r="QR9" s="3426"/>
      <c r="QS9" s="3426"/>
      <c r="QT9" s="3426"/>
      <c r="QU9" s="3426"/>
      <c r="QV9" s="3426"/>
      <c r="QW9" s="3426"/>
      <c r="QX9" s="3426"/>
      <c r="QY9" s="3426"/>
      <c r="QZ9" s="3426"/>
      <c r="RA9" s="3426"/>
      <c r="RB9" s="3426"/>
      <c r="RC9" s="3426"/>
      <c r="RD9" s="3426"/>
      <c r="RE9" s="3426"/>
      <c r="RF9" s="3426"/>
      <c r="RG9" s="3426"/>
      <c r="RH9" s="3426"/>
      <c r="RI9" s="3426"/>
      <c r="RJ9" s="3426"/>
      <c r="RK9" s="3426"/>
      <c r="RL9" s="3426"/>
      <c r="RM9" s="3426"/>
      <c r="RN9" s="3426"/>
      <c r="RO9" s="3426"/>
      <c r="RP9" s="3426"/>
      <c r="RQ9" s="3426"/>
      <c r="RR9" s="3426"/>
      <c r="RS9" s="3426"/>
      <c r="RT9" s="3426"/>
      <c r="RU9" s="3426"/>
      <c r="RV9" s="3426"/>
      <c r="RW9" s="3426"/>
      <c r="RX9" s="3426"/>
      <c r="RY9" s="3426"/>
      <c r="RZ9" s="3426"/>
      <c r="SA9" s="3426"/>
      <c r="SB9" s="3426"/>
      <c r="SC9" s="3426"/>
      <c r="SD9" s="3426"/>
      <c r="SE9" s="3426"/>
      <c r="SF9" s="3426"/>
      <c r="SG9" s="3426"/>
      <c r="SH9" s="3426"/>
      <c r="SI9" s="3426"/>
      <c r="SJ9" s="3426"/>
      <c r="SK9" s="3426"/>
      <c r="SL9" s="3426"/>
      <c r="SM9" s="3426"/>
      <c r="SN9" s="3426"/>
      <c r="SO9" s="3426"/>
      <c r="SP9" s="3426"/>
      <c r="SQ9" s="3426"/>
      <c r="SR9" s="3426"/>
      <c r="SS9" s="3426"/>
      <c r="ST9" s="3426"/>
      <c r="SU9" s="3426"/>
      <c r="SV9" s="3426"/>
      <c r="SW9" s="3426"/>
      <c r="SX9" s="3426"/>
      <c r="SY9" s="3426"/>
      <c r="SZ9" s="3426"/>
      <c r="TA9" s="3426"/>
      <c r="TB9" s="3426"/>
      <c r="TC9" s="3426"/>
      <c r="TD9" s="3426"/>
      <c r="TE9" s="3426"/>
      <c r="TF9" s="3426"/>
      <c r="TG9" s="3426"/>
      <c r="TH9" s="3426"/>
      <c r="TI9" s="3426"/>
      <c r="TJ9" s="3426"/>
      <c r="TK9" s="3426"/>
      <c r="TL9" s="3426"/>
      <c r="TM9" s="3426"/>
      <c r="TN9" s="3426"/>
      <c r="TO9" s="3426"/>
      <c r="TP9" s="3426"/>
      <c r="TQ9" s="3426"/>
      <c r="TR9" s="3426"/>
      <c r="TS9" s="3426"/>
      <c r="TT9" s="3426"/>
      <c r="TU9" s="3426"/>
      <c r="TV9" s="3426"/>
      <c r="TW9" s="3426"/>
      <c r="TX9" s="3426"/>
      <c r="TY9" s="3426"/>
      <c r="TZ9" s="3426"/>
      <c r="UA9" s="3426"/>
      <c r="UB9" s="3426"/>
      <c r="UC9" s="3426"/>
      <c r="UD9" s="3426"/>
      <c r="UE9" s="3426"/>
      <c r="UF9" s="3426"/>
      <c r="UG9" s="3426"/>
      <c r="UH9" s="3426"/>
      <c r="UI9" s="3426"/>
      <c r="UJ9" s="3426"/>
      <c r="UK9" s="3426"/>
      <c r="UL9" s="3426"/>
      <c r="UM9" s="3426"/>
      <c r="UN9" s="3426"/>
      <c r="UO9" s="3426"/>
      <c r="UP9" s="3426"/>
      <c r="UQ9" s="3426"/>
      <c r="UR9" s="3426"/>
      <c r="US9" s="3426"/>
      <c r="UT9" s="3426"/>
      <c r="UU9" s="3426"/>
      <c r="UV9" s="3426"/>
      <c r="UW9" s="3426"/>
      <c r="UX9" s="3426"/>
      <c r="UY9" s="3426"/>
      <c r="UZ9" s="3426"/>
      <c r="VA9" s="3426"/>
      <c r="VB9" s="3426"/>
      <c r="VC9" s="3426"/>
      <c r="VD9" s="3426"/>
      <c r="VE9" s="3426"/>
      <c r="VF9" s="3426"/>
      <c r="VG9" s="3426"/>
      <c r="VH9" s="3426"/>
      <c r="VI9" s="3426"/>
      <c r="VJ9" s="3426"/>
      <c r="VK9" s="3426"/>
      <c r="VL9" s="3426"/>
      <c r="VM9" s="3426"/>
      <c r="VN9" s="3426"/>
      <c r="VO9" s="3426"/>
      <c r="VP9" s="3426"/>
      <c r="VQ9" s="3426"/>
      <c r="VR9" s="3426"/>
      <c r="VS9" s="3426"/>
      <c r="VT9" s="3426"/>
      <c r="VU9" s="3426"/>
      <c r="VV9" s="3426"/>
      <c r="VW9" s="3426"/>
      <c r="VX9" s="3426"/>
      <c r="VY9" s="3426"/>
      <c r="VZ9" s="3426"/>
      <c r="WA9" s="3426"/>
      <c r="WB9" s="3426"/>
      <c r="WC9" s="3426"/>
      <c r="WD9" s="3426"/>
      <c r="WE9" s="3426"/>
      <c r="WF9" s="3426"/>
      <c r="WG9" s="3426"/>
      <c r="WH9" s="3426"/>
      <c r="WI9" s="3426"/>
      <c r="WJ9" s="3426"/>
      <c r="WK9" s="3426"/>
      <c r="WL9" s="3426"/>
      <c r="WM9" s="3426"/>
      <c r="WN9" s="3426"/>
      <c r="WO9" s="3426"/>
      <c r="WP9" s="3426"/>
      <c r="WQ9" s="3426"/>
      <c r="WR9" s="3426"/>
      <c r="WS9" s="3426"/>
      <c r="WT9" s="3426"/>
      <c r="WU9" s="3426"/>
      <c r="WV9" s="3426"/>
      <c r="WW9" s="3426"/>
      <c r="WX9" s="3426"/>
      <c r="WY9" s="3426"/>
      <c r="WZ9" s="3426"/>
      <c r="XA9" s="3426"/>
      <c r="XB9" s="3426"/>
      <c r="XC9" s="3426"/>
      <c r="XD9" s="3426"/>
      <c r="XE9" s="3426"/>
      <c r="XF9" s="3426"/>
      <c r="XG9" s="3426"/>
      <c r="XH9" s="3426"/>
      <c r="XI9" s="3426"/>
      <c r="XJ9" s="3426"/>
      <c r="XK9" s="3426"/>
      <c r="XL9" s="3426"/>
      <c r="XM9" s="3426"/>
      <c r="XN9" s="3426"/>
      <c r="XO9" s="3426"/>
      <c r="XP9" s="3426"/>
      <c r="XQ9" s="3426"/>
      <c r="XR9" s="3426"/>
      <c r="XS9" s="3426"/>
      <c r="XT9" s="3426"/>
      <c r="XU9" s="3426"/>
      <c r="XV9" s="3426"/>
      <c r="XW9" s="3426"/>
      <c r="XX9" s="3426"/>
      <c r="XY9" s="3426"/>
      <c r="XZ9" s="3426"/>
      <c r="YA9" s="3426"/>
      <c r="YB9" s="3426"/>
      <c r="YC9" s="3426"/>
      <c r="YD9" s="3426"/>
      <c r="YE9" s="3426"/>
      <c r="YF9" s="3426"/>
      <c r="YG9" s="3426"/>
      <c r="YH9" s="3426"/>
      <c r="YI9" s="3426"/>
      <c r="YJ9" s="3426"/>
      <c r="YK9" s="3426"/>
      <c r="YL9" s="3426"/>
      <c r="YM9" s="3426"/>
      <c r="YN9" s="3426"/>
      <c r="YO9" s="3426"/>
      <c r="YP9" s="3426"/>
      <c r="YQ9" s="3426"/>
      <c r="YR9" s="3426"/>
      <c r="YS9" s="3426"/>
      <c r="YT9" s="3426"/>
      <c r="YU9" s="3426"/>
      <c r="YV9" s="3426"/>
      <c r="YW9" s="3426"/>
      <c r="YX9" s="3426"/>
      <c r="YY9" s="3426"/>
      <c r="YZ9" s="3426"/>
      <c r="ZA9" s="3426"/>
      <c r="ZB9" s="3426"/>
      <c r="ZC9" s="3426"/>
      <c r="ZD9" s="3426"/>
      <c r="ZE9" s="3426"/>
      <c r="ZF9" s="3426"/>
      <c r="ZG9" s="3426"/>
      <c r="ZH9" s="3426"/>
      <c r="ZI9" s="3426"/>
      <c r="ZJ9" s="3426"/>
      <c r="ZK9" s="3426"/>
      <c r="ZL9" s="3426"/>
      <c r="ZM9" s="3426"/>
      <c r="ZN9" s="3426"/>
      <c r="ZO9" s="3426"/>
      <c r="ZP9" s="3426"/>
      <c r="ZQ9" s="3426"/>
      <c r="ZR9" s="3426"/>
      <c r="ZS9" s="3426"/>
      <c r="ZT9" s="3426"/>
      <c r="ZU9" s="3426"/>
      <c r="ZV9" s="3426"/>
      <c r="ZW9" s="3426"/>
      <c r="ZX9" s="3426"/>
      <c r="ZY9" s="3426"/>
      <c r="ZZ9" s="3426"/>
      <c r="AAA9" s="3426"/>
      <c r="AAB9" s="3426"/>
      <c r="AAC9" s="3426"/>
      <c r="AAD9" s="3426"/>
      <c r="AAE9" s="3426"/>
      <c r="AAF9" s="3426"/>
      <c r="AAG9" s="3426"/>
      <c r="AAH9" s="3426"/>
      <c r="AAI9" s="3426"/>
      <c r="AAJ9" s="3426"/>
      <c r="AAK9" s="3426"/>
      <c r="AAL9" s="3426"/>
      <c r="AAM9" s="3426"/>
      <c r="AAN9" s="3426"/>
      <c r="AAO9" s="3426"/>
      <c r="AAP9" s="3426"/>
      <c r="AAQ9" s="3426"/>
      <c r="AAR9" s="3426"/>
      <c r="AAS9" s="3426"/>
      <c r="AAT9" s="3426"/>
      <c r="AAU9" s="3426"/>
      <c r="AAV9" s="3426"/>
      <c r="AAW9" s="3426"/>
      <c r="AAX9" s="3426"/>
      <c r="AAY9" s="3426"/>
      <c r="AAZ9" s="3426"/>
      <c r="ABA9" s="3426"/>
      <c r="ABB9" s="3426"/>
      <c r="ABC9" s="3426"/>
      <c r="ABD9" s="3426"/>
      <c r="ABE9" s="3426"/>
      <c r="ABF9" s="3426"/>
      <c r="ABG9" s="3426"/>
      <c r="ABH9" s="3426"/>
      <c r="ABI9" s="3426"/>
      <c r="ABJ9" s="3426"/>
      <c r="ABK9" s="3426"/>
      <c r="ABL9" s="3426"/>
      <c r="ABM9" s="3426"/>
      <c r="ABN9" s="3426"/>
      <c r="ABO9" s="3426"/>
      <c r="ABP9" s="3426"/>
      <c r="ABQ9" s="3426"/>
      <c r="ABR9" s="3426"/>
      <c r="ABS9" s="3426"/>
      <c r="ABT9" s="3426"/>
      <c r="ABU9" s="3426"/>
      <c r="ABV9" s="3426"/>
      <c r="ABW9" s="3426"/>
      <c r="ABX9" s="3426"/>
      <c r="ABY9" s="3426"/>
      <c r="ABZ9" s="3426"/>
      <c r="ACA9" s="3426"/>
      <c r="ACB9" s="3426"/>
      <c r="ACC9" s="3426"/>
      <c r="ACD9" s="3426"/>
      <c r="ACE9" s="3426"/>
      <c r="ACF9" s="3426"/>
      <c r="ACG9" s="3426"/>
      <c r="ACH9" s="3426"/>
      <c r="ACI9" s="3426"/>
      <c r="ACJ9" s="3426"/>
      <c r="ACK9" s="3426"/>
      <c r="ACL9" s="3426"/>
      <c r="ACM9" s="3426"/>
      <c r="ACN9" s="3426"/>
      <c r="ACO9" s="3426"/>
      <c r="ACP9" s="3426"/>
      <c r="ACQ9" s="3426"/>
      <c r="ACR9" s="3426"/>
      <c r="ACS9" s="3426"/>
      <c r="ACT9" s="3426"/>
      <c r="ACU9" s="3426"/>
      <c r="ACV9" s="3426"/>
      <c r="ACW9" s="3426"/>
      <c r="ACX9" s="3426"/>
      <c r="ACY9" s="3426"/>
      <c r="ACZ9" s="3426"/>
      <c r="ADA9" s="3426"/>
      <c r="ADB9" s="3426"/>
      <c r="ADC9" s="3426"/>
      <c r="ADD9" s="3426"/>
      <c r="ADE9" s="3426"/>
      <c r="ADF9" s="3426"/>
      <c r="ADG9" s="3426"/>
      <c r="ADH9" s="3426"/>
      <c r="ADI9" s="3426"/>
      <c r="ADJ9" s="3426"/>
      <c r="ADK9" s="3426"/>
      <c r="ADL9" s="3426"/>
      <c r="ADM9" s="3426"/>
      <c r="ADN9" s="3426"/>
      <c r="ADO9" s="3426"/>
      <c r="ADP9" s="3426"/>
      <c r="ADQ9" s="3426"/>
      <c r="ADR9" s="3426"/>
      <c r="ADS9" s="3426"/>
      <c r="ADT9" s="3426"/>
      <c r="ADU9" s="3426"/>
      <c r="ADV9" s="3426"/>
      <c r="ADW9" s="3426"/>
      <c r="ADX9" s="3426"/>
      <c r="ADY9" s="3426"/>
      <c r="ADZ9" s="3426"/>
      <c r="AEA9" s="3426"/>
      <c r="AEB9" s="3426"/>
      <c r="AEC9" s="3426"/>
      <c r="AED9" s="3426"/>
      <c r="AEE9" s="3426"/>
      <c r="AEF9" s="3426"/>
      <c r="AEG9" s="3426"/>
      <c r="AEH9" s="3426"/>
      <c r="AEI9" s="3426"/>
      <c r="AEJ9" s="3426"/>
      <c r="AEK9" s="3426"/>
      <c r="AEL9" s="3426"/>
      <c r="AEM9" s="3426"/>
      <c r="AEN9" s="3426"/>
      <c r="AEO9" s="3426"/>
      <c r="AEP9" s="3426"/>
      <c r="AEQ9" s="3426"/>
      <c r="AER9" s="3426"/>
      <c r="AES9" s="3426"/>
      <c r="AET9" s="3426"/>
      <c r="AEU9" s="3426"/>
      <c r="AEV9" s="3426"/>
      <c r="AEW9" s="3426"/>
      <c r="AEX9" s="3426"/>
      <c r="AEY9" s="3426"/>
      <c r="AEZ9" s="3426"/>
      <c r="AFA9" s="3426"/>
      <c r="AFB9" s="3426"/>
      <c r="AFC9" s="3426"/>
      <c r="AFD9" s="3426"/>
      <c r="AFE9" s="3426"/>
      <c r="AFF9" s="3426"/>
      <c r="AFG9" s="3426"/>
      <c r="AFH9" s="3426"/>
      <c r="AFI9" s="3426"/>
      <c r="AFJ9" s="3426"/>
      <c r="AFK9" s="3426"/>
      <c r="AFL9" s="3426"/>
      <c r="AFM9" s="3426"/>
      <c r="AFN9" s="3426"/>
      <c r="AFO9" s="3426"/>
      <c r="AFP9" s="3426"/>
      <c r="AFQ9" s="3426"/>
      <c r="AFR9" s="3426"/>
      <c r="AFS9" s="3426"/>
      <c r="AFT9" s="3426"/>
      <c r="AFU9" s="3426"/>
      <c r="AFV9" s="3426"/>
      <c r="AFW9" s="3426"/>
      <c r="AFX9" s="3426"/>
      <c r="AFY9" s="3426"/>
      <c r="AFZ9" s="3426"/>
      <c r="AGA9" s="3426"/>
      <c r="AGB9" s="3426"/>
      <c r="AGC9" s="3426"/>
      <c r="AGD9" s="3426"/>
      <c r="AGE9" s="3426"/>
      <c r="AGF9" s="3426"/>
      <c r="AGG9" s="3426"/>
      <c r="AGH9" s="3426"/>
      <c r="AGI9" s="3426"/>
      <c r="AGJ9" s="3426"/>
      <c r="AGK9" s="3426"/>
      <c r="AGL9" s="3426"/>
      <c r="AGM9" s="3426"/>
      <c r="AGN9" s="3426"/>
      <c r="AGO9" s="3426"/>
      <c r="AGP9" s="3426"/>
      <c r="AGQ9" s="3426"/>
      <c r="AGR9" s="3426"/>
      <c r="AGS9" s="3426"/>
      <c r="AGT9" s="3426"/>
      <c r="AGU9" s="3426"/>
      <c r="AGV9" s="3426"/>
      <c r="AGW9" s="3426"/>
      <c r="AGX9" s="3426"/>
      <c r="AGY9" s="3426"/>
      <c r="AGZ9" s="3426"/>
      <c r="AHA9" s="3426"/>
      <c r="AHB9" s="3426"/>
      <c r="AHC9" s="3426"/>
      <c r="AHD9" s="3426"/>
      <c r="AHE9" s="3426"/>
      <c r="AHF9" s="3426"/>
      <c r="AHG9" s="3426"/>
      <c r="AHH9" s="3426"/>
      <c r="AHI9" s="3426"/>
      <c r="AHJ9" s="3426"/>
      <c r="AHK9" s="3426"/>
      <c r="AHL9" s="3426"/>
      <c r="AHM9" s="3426"/>
      <c r="AHN9" s="3426"/>
      <c r="AHO9" s="3426"/>
      <c r="AHP9" s="3426"/>
      <c r="AHQ9" s="3426"/>
      <c r="AHR9" s="3426"/>
      <c r="AHS9" s="3426"/>
      <c r="AHT9" s="3426"/>
      <c r="AHU9" s="3426"/>
      <c r="AHV9" s="3426"/>
      <c r="AHW9" s="3426"/>
      <c r="AHX9" s="3426"/>
      <c r="AHY9" s="3426"/>
      <c r="AHZ9" s="3426"/>
      <c r="AIA9" s="3426"/>
      <c r="AIB9" s="3426"/>
      <c r="AIC9" s="3426"/>
      <c r="AID9" s="3426"/>
      <c r="AIE9" s="3426"/>
      <c r="AIF9" s="3426"/>
      <c r="AIG9" s="3426"/>
      <c r="AIH9" s="3426"/>
      <c r="AII9" s="3426"/>
      <c r="AIJ9" s="3426"/>
      <c r="AIK9" s="3426"/>
      <c r="AIL9" s="3426"/>
      <c r="AIM9" s="3426"/>
      <c r="AIN9" s="3426"/>
      <c r="AIO9" s="3426"/>
      <c r="AIP9" s="3426"/>
      <c r="AIQ9" s="3426"/>
      <c r="AIR9" s="3426"/>
      <c r="AIS9" s="3426"/>
      <c r="AIT9" s="3426"/>
      <c r="AIU9" s="3426"/>
      <c r="AIV9" s="3426"/>
      <c r="AIW9" s="3426"/>
      <c r="AIX9" s="3426"/>
      <c r="AIY9" s="3426"/>
      <c r="AIZ9" s="3426"/>
      <c r="AJA9" s="3426"/>
      <c r="AJB9" s="3426"/>
      <c r="AJC9" s="3426"/>
      <c r="AJD9" s="3426"/>
      <c r="AJE9" s="3426"/>
      <c r="AJF9" s="3426"/>
      <c r="AJG9" s="3426"/>
      <c r="AJH9" s="3426"/>
      <c r="AJI9" s="3426"/>
      <c r="AJJ9" s="3426"/>
      <c r="AJK9" s="3426"/>
      <c r="AJL9" s="3426"/>
      <c r="AJM9" s="3426"/>
      <c r="AJN9" s="3426"/>
      <c r="AJO9" s="3426"/>
      <c r="AJP9" s="3426"/>
      <c r="AJQ9" s="3426"/>
      <c r="AJR9" s="3426"/>
      <c r="AJS9" s="3426"/>
      <c r="AJT9" s="3426"/>
      <c r="AJU9" s="3426"/>
      <c r="AJV9" s="3426"/>
      <c r="AJW9" s="3426"/>
      <c r="AJX9" s="3426"/>
      <c r="AJY9" s="3426"/>
      <c r="AJZ9" s="3426"/>
      <c r="AKA9" s="3426"/>
      <c r="AKB9" s="3426"/>
      <c r="AKC9" s="3426"/>
      <c r="AKD9" s="3426"/>
      <c r="AKE9" s="3426"/>
      <c r="AKF9" s="3426"/>
      <c r="AKG9" s="3426"/>
      <c r="AKH9" s="3426"/>
      <c r="AKI9" s="3426"/>
      <c r="AKJ9" s="3426"/>
      <c r="AKK9" s="3426"/>
      <c r="AKL9" s="3426"/>
      <c r="AKM9" s="3426"/>
      <c r="AKN9" s="3426"/>
      <c r="AKO9" s="3426"/>
      <c r="AKP9" s="3426"/>
      <c r="AKQ9" s="3426"/>
      <c r="AKR9" s="3426"/>
      <c r="AKS9" s="3426"/>
      <c r="AKT9" s="3426"/>
      <c r="AKU9" s="3426"/>
      <c r="AKV9" s="3426"/>
      <c r="AKW9" s="3426"/>
      <c r="AKX9" s="3426"/>
      <c r="AKY9" s="3426"/>
      <c r="AKZ9" s="3426"/>
      <c r="ALA9" s="3426"/>
      <c r="ALB9" s="3426"/>
      <c r="ALC9" s="3426"/>
      <c r="ALD9" s="3426"/>
      <c r="ALE9" s="3426"/>
      <c r="ALF9" s="3426"/>
      <c r="ALG9" s="3426"/>
      <c r="ALH9" s="3426"/>
      <c r="ALI9" s="3426"/>
      <c r="ALJ9" s="3426"/>
      <c r="ALK9" s="3426"/>
      <c r="ALL9" s="3426"/>
      <c r="ALM9" s="3426"/>
      <c r="ALN9" s="3426"/>
      <c r="ALO9" s="3426"/>
      <c r="ALP9" s="3426"/>
      <c r="ALQ9" s="3426"/>
      <c r="ALR9" s="3426"/>
      <c r="ALS9" s="3426"/>
      <c r="ALT9" s="3426"/>
      <c r="ALU9" s="3426"/>
      <c r="ALV9" s="3426"/>
      <c r="ALW9" s="3426"/>
      <c r="ALX9" s="3426"/>
      <c r="ALY9" s="3426"/>
      <c r="ALZ9" s="3426"/>
      <c r="AMA9" s="3426"/>
      <c r="AMB9" s="3426"/>
      <c r="AMC9" s="3426"/>
      <c r="AMD9" s="3426"/>
      <c r="AME9" s="3426"/>
      <c r="AMF9" s="3426"/>
      <c r="AMG9" s="3426"/>
      <c r="AMH9" s="3426"/>
      <c r="AMI9" s="3426"/>
      <c r="AMJ9" s="3426"/>
      <c r="AMK9" s="3426"/>
      <c r="AML9" s="3426"/>
      <c r="AMM9" s="3426"/>
      <c r="AMN9" s="3426"/>
      <c r="AMO9" s="3426"/>
      <c r="AMP9" s="3426"/>
      <c r="AMQ9" s="3426"/>
      <c r="AMR9" s="3426"/>
      <c r="AMS9" s="3426"/>
      <c r="AMT9" s="3426"/>
      <c r="AMU9" s="3426"/>
      <c r="AMV9" s="3426"/>
      <c r="AMW9" s="3426"/>
      <c r="AMX9" s="3426"/>
      <c r="AMY9" s="3426"/>
      <c r="AMZ9" s="3426"/>
      <c r="ANA9" s="3426"/>
      <c r="ANB9" s="3426"/>
      <c r="ANC9" s="3426"/>
      <c r="AND9" s="3426"/>
      <c r="ANE9" s="3426"/>
      <c r="ANF9" s="3426"/>
      <c r="ANG9" s="3426"/>
      <c r="ANH9" s="3426"/>
      <c r="ANI9" s="3426"/>
      <c r="ANJ9" s="3426"/>
      <c r="ANK9" s="3426"/>
      <c r="ANL9" s="3426"/>
      <c r="ANM9" s="3426"/>
      <c r="ANN9" s="3426"/>
      <c r="ANO9" s="3426"/>
      <c r="ANP9" s="3426"/>
      <c r="ANQ9" s="3426"/>
      <c r="ANR9" s="3426"/>
      <c r="ANS9" s="3426"/>
      <c r="ANT9" s="3426"/>
      <c r="ANU9" s="3426"/>
      <c r="ANV9" s="3426"/>
      <c r="ANW9" s="3426"/>
      <c r="ANX9" s="3426"/>
      <c r="ANY9" s="3426"/>
      <c r="ANZ9" s="3426"/>
      <c r="AOA9" s="3426"/>
      <c r="AOB9" s="3426"/>
      <c r="AOC9" s="3426"/>
      <c r="AOD9" s="3426"/>
      <c r="AOE9" s="3426"/>
      <c r="AOF9" s="3426"/>
      <c r="AOG9" s="3426"/>
      <c r="AOH9" s="3426"/>
      <c r="AOI9" s="3426"/>
      <c r="AOJ9" s="3426"/>
      <c r="AOK9" s="3426"/>
      <c r="AOL9" s="3426"/>
      <c r="AOM9" s="3426"/>
      <c r="AON9" s="3426"/>
      <c r="AOO9" s="3426"/>
      <c r="AOP9" s="3426"/>
      <c r="AOQ9" s="3426"/>
      <c r="AOR9" s="3426"/>
      <c r="AOS9" s="3426"/>
      <c r="AOT9" s="3426"/>
      <c r="AOU9" s="3426"/>
      <c r="AOV9" s="3426"/>
      <c r="AOW9" s="3426"/>
      <c r="AOX9" s="3426"/>
      <c r="AOY9" s="3426"/>
      <c r="AOZ9" s="3426"/>
      <c r="APA9" s="3426"/>
      <c r="APB9" s="3426"/>
      <c r="APC9" s="3426"/>
      <c r="APD9" s="3426"/>
      <c r="APE9" s="3426"/>
      <c r="APF9" s="3426"/>
      <c r="APG9" s="3426"/>
      <c r="APH9" s="3426"/>
      <c r="API9" s="3426"/>
      <c r="APJ9" s="3426"/>
      <c r="APK9" s="3426"/>
      <c r="APL9" s="3426"/>
      <c r="APM9" s="3426"/>
      <c r="APN9" s="3426"/>
      <c r="APO9" s="3426"/>
      <c r="APP9" s="3426"/>
      <c r="APQ9" s="3426"/>
      <c r="APR9" s="3426"/>
      <c r="APS9" s="3426"/>
      <c r="APT9" s="3426"/>
      <c r="APU9" s="3426"/>
      <c r="APV9" s="3426"/>
      <c r="APW9" s="3426"/>
      <c r="APX9" s="3426"/>
      <c r="APY9" s="3426"/>
      <c r="APZ9" s="3426"/>
      <c r="AQA9" s="3426"/>
      <c r="AQB9" s="3426"/>
      <c r="AQC9" s="3426"/>
      <c r="AQD9" s="3426"/>
      <c r="AQE9" s="3426"/>
      <c r="AQF9" s="3426"/>
      <c r="AQG9" s="3426"/>
      <c r="AQH9" s="3426"/>
      <c r="AQI9" s="3426"/>
      <c r="AQJ9" s="3426"/>
      <c r="AQK9" s="3426"/>
      <c r="AQL9" s="3426"/>
      <c r="AQM9" s="3426"/>
      <c r="AQN9" s="3426"/>
      <c r="AQO9" s="3426"/>
      <c r="AQP9" s="3426"/>
      <c r="AQQ9" s="3426"/>
      <c r="AQR9" s="3426"/>
      <c r="AQS9" s="3426"/>
      <c r="AQT9" s="3426"/>
      <c r="AQU9" s="3426"/>
      <c r="AQV9" s="3426"/>
      <c r="AQW9" s="3426"/>
      <c r="AQX9" s="3426"/>
      <c r="AQY9" s="3426"/>
      <c r="AQZ9" s="3426"/>
      <c r="ARA9" s="3426"/>
      <c r="ARB9" s="3426"/>
      <c r="ARC9" s="3426"/>
      <c r="ARD9" s="3426"/>
      <c r="ARE9" s="3426"/>
      <c r="ARF9" s="3426"/>
      <c r="ARG9" s="3426"/>
      <c r="ARH9" s="3426"/>
      <c r="ARI9" s="3426"/>
      <c r="ARJ9" s="3426"/>
      <c r="ARK9" s="3426"/>
      <c r="ARL9" s="3426"/>
      <c r="ARM9" s="3426"/>
      <c r="ARN9" s="3426"/>
      <c r="ARO9" s="3426"/>
      <c r="ARP9" s="3426"/>
      <c r="ARQ9" s="3426"/>
      <c r="ARR9" s="3426"/>
      <c r="ARS9" s="3426"/>
      <c r="ART9" s="3426"/>
      <c r="ARU9" s="3426"/>
      <c r="ARV9" s="3426"/>
      <c r="ARW9" s="3426"/>
      <c r="ARX9" s="3426"/>
      <c r="ARY9" s="3426"/>
      <c r="ARZ9" s="3426"/>
      <c r="ASA9" s="3426"/>
      <c r="ASB9" s="3426"/>
      <c r="ASC9" s="3426"/>
      <c r="ASD9" s="3426"/>
      <c r="ASE9" s="3426"/>
      <c r="ASF9" s="3426"/>
      <c r="ASG9" s="3426"/>
      <c r="ASH9" s="3426"/>
      <c r="ASI9" s="3426"/>
      <c r="ASJ9" s="3426"/>
      <c r="ASK9" s="3426"/>
      <c r="ASL9" s="3426"/>
      <c r="ASM9" s="3426"/>
      <c r="ASN9" s="3426"/>
      <c r="ASO9" s="3426"/>
      <c r="ASP9" s="3426"/>
      <c r="ASQ9" s="3426"/>
      <c r="ASR9" s="3426"/>
      <c r="ASS9" s="3426"/>
      <c r="AST9" s="3426"/>
      <c r="ASU9" s="3426"/>
      <c r="ASV9" s="3426"/>
      <c r="ASW9" s="3426"/>
      <c r="ASX9" s="3426"/>
      <c r="ASY9" s="3426"/>
      <c r="ASZ9" s="3426"/>
      <c r="ATA9" s="3426"/>
      <c r="ATB9" s="3426"/>
      <c r="ATC9" s="3426"/>
      <c r="ATD9" s="3426"/>
      <c r="ATE9" s="3426"/>
      <c r="ATF9" s="3426"/>
      <c r="ATG9" s="3426"/>
      <c r="ATH9" s="3426"/>
      <c r="ATI9" s="3426"/>
      <c r="ATJ9" s="3426"/>
      <c r="ATK9" s="3426"/>
      <c r="ATL9" s="3426"/>
      <c r="ATM9" s="3426"/>
      <c r="ATN9" s="3426"/>
      <c r="ATO9" s="3426"/>
      <c r="ATP9" s="3426"/>
      <c r="ATQ9" s="3426"/>
      <c r="ATR9" s="3426"/>
      <c r="ATS9" s="3426"/>
      <c r="ATT9" s="3426"/>
      <c r="ATU9" s="3426"/>
      <c r="ATV9" s="3426"/>
      <c r="ATW9" s="3426"/>
      <c r="ATX9" s="3426"/>
      <c r="ATY9" s="3426"/>
      <c r="ATZ9" s="3426"/>
      <c r="AUA9" s="3426"/>
      <c r="AUB9" s="3426"/>
      <c r="AUC9" s="3426"/>
      <c r="AUD9" s="3426"/>
      <c r="AUE9" s="3426"/>
      <c r="AUF9" s="3426"/>
      <c r="AUG9" s="3426"/>
      <c r="AUH9" s="3426"/>
      <c r="AUI9" s="3426"/>
      <c r="AUJ9" s="3426"/>
      <c r="AUK9" s="3426"/>
      <c r="AUL9" s="3426"/>
      <c r="AUM9" s="3426"/>
      <c r="AUN9" s="3426"/>
      <c r="AUO9" s="3426"/>
      <c r="AUP9" s="3426"/>
      <c r="AUQ9" s="3426"/>
      <c r="AUR9" s="3426"/>
      <c r="AUS9" s="3426"/>
      <c r="AUT9" s="3426"/>
      <c r="AUU9" s="3426"/>
      <c r="AUV9" s="3426"/>
      <c r="AUW9" s="3426"/>
      <c r="AUX9" s="3426"/>
      <c r="AUY9" s="3426"/>
      <c r="AUZ9" s="3426"/>
      <c r="AVA9" s="3426"/>
      <c r="AVB9" s="3426"/>
      <c r="AVC9" s="3426"/>
      <c r="AVD9" s="3426"/>
      <c r="AVE9" s="3426"/>
      <c r="AVF9" s="3426"/>
      <c r="AVG9" s="3426"/>
      <c r="AVH9" s="3426"/>
      <c r="AVI9" s="3426"/>
      <c r="AVJ9" s="3426"/>
      <c r="AVK9" s="3426"/>
      <c r="AVL9" s="3426"/>
      <c r="AVM9" s="3426"/>
      <c r="AVN9" s="3426"/>
      <c r="AVO9" s="3426"/>
      <c r="AVP9" s="3426"/>
      <c r="AVQ9" s="3426"/>
      <c r="AVR9" s="3426"/>
      <c r="AVS9" s="3426"/>
      <c r="AVT9" s="3426"/>
      <c r="AVU9" s="3426"/>
      <c r="AVV9" s="3426"/>
      <c r="AVW9" s="3426"/>
      <c r="AVX9" s="3426"/>
      <c r="AVY9" s="3426"/>
      <c r="AVZ9" s="3426"/>
      <c r="AWA9" s="3426"/>
      <c r="AWB9" s="3426"/>
      <c r="AWC9" s="3426"/>
      <c r="AWD9" s="3426"/>
      <c r="AWE9" s="3426"/>
      <c r="AWF9" s="3426"/>
      <c r="AWG9" s="3426"/>
      <c r="AWH9" s="3426"/>
      <c r="AWI9" s="3426"/>
      <c r="AWJ9" s="3426"/>
      <c r="AWK9" s="3426"/>
      <c r="AWL9" s="3426"/>
      <c r="AWM9" s="3426"/>
      <c r="AWN9" s="3426"/>
      <c r="AWO9" s="3426"/>
      <c r="AWP9" s="3426"/>
      <c r="AWQ9" s="3426"/>
      <c r="AWR9" s="3426"/>
      <c r="AWS9" s="3426"/>
      <c r="AWT9" s="3426"/>
      <c r="AWU9" s="3426"/>
      <c r="AWV9" s="3426"/>
      <c r="AWW9" s="3426"/>
      <c r="AWX9" s="3426"/>
      <c r="AWY9" s="3426"/>
      <c r="AWZ9" s="3426"/>
      <c r="AXA9" s="3426"/>
      <c r="AXB9" s="3426"/>
      <c r="AXC9" s="3426"/>
      <c r="AXD9" s="3426"/>
      <c r="AXE9" s="3426"/>
      <c r="AXF9" s="3426"/>
      <c r="AXG9" s="3426"/>
      <c r="AXH9" s="3426"/>
      <c r="AXI9" s="3426"/>
      <c r="AXJ9" s="3426"/>
      <c r="AXK9" s="3426"/>
      <c r="AXL9" s="3426"/>
      <c r="AXM9" s="3426"/>
      <c r="AXN9" s="3426"/>
      <c r="AXO9" s="3426"/>
      <c r="AXP9" s="3426"/>
      <c r="AXQ9" s="3426"/>
      <c r="AXR9" s="3426"/>
      <c r="AXS9" s="3426"/>
      <c r="AXT9" s="3426"/>
      <c r="AXU9" s="3426"/>
      <c r="AXV9" s="3426"/>
      <c r="AXW9" s="3426"/>
      <c r="AXX9" s="3426"/>
      <c r="AXY9" s="3426"/>
      <c r="AXZ9" s="3426"/>
      <c r="AYA9" s="3426"/>
      <c r="AYB9" s="3426"/>
      <c r="AYC9" s="3426"/>
      <c r="AYD9" s="3426"/>
      <c r="AYE9" s="3426"/>
      <c r="AYF9" s="3426"/>
      <c r="AYG9" s="3426"/>
      <c r="AYH9" s="3426"/>
      <c r="AYI9" s="3426"/>
      <c r="AYJ9" s="3426"/>
      <c r="AYK9" s="3426"/>
      <c r="AYL9" s="3426"/>
      <c r="AYM9" s="3426"/>
      <c r="AYN9" s="3426"/>
      <c r="AYO9" s="3426"/>
      <c r="AYP9" s="3426"/>
      <c r="AYQ9" s="3426"/>
      <c r="AYR9" s="3426"/>
      <c r="AYS9" s="3426"/>
      <c r="AYT9" s="3426"/>
      <c r="AYU9" s="3426"/>
      <c r="AYV9" s="3426"/>
      <c r="AYW9" s="3426"/>
      <c r="AYX9" s="3426"/>
      <c r="AYY9" s="3426"/>
      <c r="AYZ9" s="3426"/>
      <c r="AZA9" s="3426"/>
      <c r="AZB9" s="3426"/>
      <c r="AZC9" s="3426"/>
      <c r="AZD9" s="3426"/>
      <c r="AZE9" s="3426"/>
      <c r="AZF9" s="3426"/>
      <c r="AZG9" s="3426"/>
      <c r="AZH9" s="3426"/>
      <c r="AZI9" s="3426"/>
      <c r="AZJ9" s="3426"/>
      <c r="AZK9" s="3426"/>
      <c r="AZL9" s="3426"/>
      <c r="AZM9" s="3426"/>
      <c r="AZN9" s="3426"/>
      <c r="AZO9" s="3426"/>
      <c r="AZP9" s="3426"/>
      <c r="AZQ9" s="3426"/>
      <c r="AZR9" s="3426"/>
      <c r="AZS9" s="3426"/>
      <c r="AZT9" s="3426"/>
      <c r="AZU9" s="3426"/>
      <c r="AZV9" s="3426"/>
      <c r="AZW9" s="3426"/>
      <c r="AZX9" s="3426"/>
      <c r="AZY9" s="3426"/>
      <c r="AZZ9" s="3426"/>
      <c r="BAA9" s="3426"/>
      <c r="BAB9" s="3426"/>
      <c r="BAC9" s="3426"/>
      <c r="BAD9" s="3426"/>
      <c r="BAE9" s="3426"/>
      <c r="BAF9" s="3426"/>
      <c r="BAG9" s="3426"/>
      <c r="BAH9" s="3426"/>
      <c r="BAI9" s="3426"/>
      <c r="BAJ9" s="3426"/>
      <c r="BAK9" s="3426"/>
      <c r="BAL9" s="3426"/>
      <c r="BAM9" s="3426"/>
      <c r="BAN9" s="3426"/>
      <c r="BAO9" s="3426"/>
      <c r="BAP9" s="3426"/>
      <c r="BAQ9" s="3426"/>
      <c r="BAR9" s="3426"/>
      <c r="BAS9" s="3426"/>
      <c r="BAT9" s="3426"/>
      <c r="BAU9" s="3426"/>
      <c r="BAV9" s="3426"/>
      <c r="BAW9" s="3426"/>
      <c r="BAX9" s="3426"/>
      <c r="BAY9" s="3426"/>
      <c r="BAZ9" s="3426"/>
      <c r="BBA9" s="3426"/>
      <c r="BBB9" s="3426"/>
      <c r="BBC9" s="3426"/>
      <c r="BBD9" s="3426"/>
      <c r="BBE9" s="3426"/>
      <c r="BBF9" s="3426"/>
      <c r="BBG9" s="3426"/>
      <c r="BBH9" s="3426"/>
      <c r="BBI9" s="3426"/>
      <c r="BBJ9" s="3426"/>
      <c r="BBK9" s="3426"/>
      <c r="BBL9" s="3426"/>
      <c r="BBM9" s="3426"/>
      <c r="BBN9" s="3426"/>
      <c r="BBO9" s="3426"/>
      <c r="BBP9" s="3426"/>
      <c r="BBQ9" s="3426"/>
      <c r="BBR9" s="3426"/>
      <c r="BBS9" s="3426"/>
      <c r="BBT9" s="3426"/>
      <c r="BBU9" s="3426"/>
      <c r="BBV9" s="3426"/>
      <c r="BBW9" s="3426"/>
      <c r="BBX9" s="3426"/>
      <c r="BBY9" s="3426"/>
      <c r="BBZ9" s="3426"/>
      <c r="BCA9" s="3426"/>
      <c r="BCB9" s="3426"/>
      <c r="BCC9" s="3426"/>
      <c r="BCD9" s="3426"/>
      <c r="BCE9" s="3426"/>
      <c r="BCF9" s="3426"/>
      <c r="BCG9" s="3426"/>
      <c r="BCH9" s="3426"/>
      <c r="BCI9" s="3426"/>
      <c r="BCJ9" s="3426"/>
      <c r="BCK9" s="3426"/>
      <c r="BCL9" s="3426"/>
      <c r="BCM9" s="3426"/>
      <c r="BCN9" s="3426"/>
      <c r="BCO9" s="3426"/>
      <c r="BCP9" s="3426"/>
      <c r="BCQ9" s="3426"/>
      <c r="BCR9" s="3426"/>
      <c r="BCS9" s="3426"/>
      <c r="BCT9" s="3426"/>
      <c r="BCU9" s="3426"/>
      <c r="BCV9" s="3426"/>
      <c r="BCW9" s="3426"/>
      <c r="BCX9" s="3426"/>
      <c r="BCY9" s="3426"/>
      <c r="BCZ9" s="3426"/>
      <c r="BDA9" s="3426"/>
      <c r="BDB9" s="3426"/>
      <c r="BDC9" s="3426"/>
      <c r="BDD9" s="3426"/>
      <c r="BDE9" s="3426"/>
      <c r="BDF9" s="3426"/>
      <c r="BDG9" s="3426"/>
      <c r="BDH9" s="3426"/>
      <c r="BDI9" s="3426"/>
      <c r="BDJ9" s="3426"/>
      <c r="BDK9" s="3426"/>
      <c r="BDL9" s="3426"/>
      <c r="BDM9" s="3426"/>
      <c r="BDN9" s="3426"/>
      <c r="BDO9" s="3426"/>
      <c r="BDP9" s="3426"/>
      <c r="BDQ9" s="3426"/>
      <c r="BDR9" s="3426"/>
      <c r="BDS9" s="3426"/>
      <c r="BDT9" s="3426"/>
      <c r="BDU9" s="3426"/>
      <c r="BDV9" s="3426"/>
      <c r="BDW9" s="3426"/>
      <c r="BDX9" s="3426"/>
      <c r="BDY9" s="3426"/>
      <c r="BDZ9" s="3426"/>
      <c r="BEA9" s="3426"/>
      <c r="BEB9" s="3426"/>
      <c r="BEC9" s="3426"/>
      <c r="BED9" s="3426"/>
      <c r="BEE9" s="3426"/>
      <c r="BEF9" s="3426"/>
      <c r="BEG9" s="3426"/>
      <c r="BEH9" s="3426"/>
      <c r="BEI9" s="3426"/>
      <c r="BEJ9" s="3426"/>
      <c r="BEK9" s="3426"/>
      <c r="BEL9" s="3426"/>
      <c r="BEM9" s="3426"/>
      <c r="BEN9" s="3426"/>
      <c r="BEO9" s="3426"/>
      <c r="BEP9" s="3426"/>
      <c r="BEQ9" s="3426"/>
      <c r="BER9" s="3426"/>
      <c r="BES9" s="3426"/>
      <c r="BET9" s="3426"/>
      <c r="BEU9" s="3426"/>
      <c r="BEV9" s="3426"/>
      <c r="BEW9" s="3426"/>
      <c r="BEX9" s="3426"/>
      <c r="BEY9" s="3426"/>
      <c r="BEZ9" s="3426"/>
      <c r="BFA9" s="3426"/>
      <c r="BFB9" s="3426"/>
      <c r="BFC9" s="3426"/>
      <c r="BFD9" s="3426"/>
      <c r="BFE9" s="3426"/>
      <c r="BFF9" s="3426"/>
      <c r="BFG9" s="3426"/>
      <c r="BFH9" s="3426"/>
      <c r="BFI9" s="3426"/>
      <c r="BFJ9" s="3426"/>
      <c r="BFK9" s="3426"/>
      <c r="BFL9" s="3426"/>
      <c r="BFM9" s="3426"/>
      <c r="BFN9" s="3426"/>
      <c r="BFO9" s="3426"/>
      <c r="BFP9" s="3426"/>
      <c r="BFQ9" s="3426"/>
      <c r="BFR9" s="3426"/>
      <c r="BFS9" s="3426"/>
      <c r="BFT9" s="3426"/>
      <c r="BFU9" s="3426"/>
      <c r="BFV9" s="3426"/>
      <c r="BFW9" s="3426"/>
      <c r="BFX9" s="3426"/>
      <c r="BFY9" s="3426"/>
      <c r="BFZ9" s="3426"/>
      <c r="BGA9" s="3426"/>
      <c r="BGB9" s="3426"/>
      <c r="BGC9" s="3426"/>
      <c r="BGD9" s="3426"/>
      <c r="BGE9" s="3426"/>
      <c r="BGF9" s="3426"/>
      <c r="BGG9" s="3426"/>
      <c r="BGH9" s="3426"/>
      <c r="BGI9" s="3426"/>
      <c r="BGJ9" s="3426"/>
      <c r="BGK9" s="3426"/>
      <c r="BGL9" s="3426"/>
      <c r="BGM9" s="3426"/>
      <c r="BGN9" s="3426"/>
      <c r="BGO9" s="3426"/>
      <c r="BGP9" s="3426"/>
      <c r="BGQ9" s="3426"/>
      <c r="BGR9" s="3426"/>
      <c r="BGS9" s="3426"/>
      <c r="BGT9" s="3426"/>
      <c r="BGU9" s="3426"/>
      <c r="BGV9" s="3426"/>
      <c r="BGW9" s="3426"/>
      <c r="BGX9" s="3426"/>
      <c r="BGY9" s="3426"/>
      <c r="BGZ9" s="3426"/>
      <c r="BHA9" s="3426"/>
      <c r="BHB9" s="3426"/>
      <c r="BHC9" s="3426"/>
      <c r="BHD9" s="3426"/>
      <c r="BHE9" s="3426"/>
      <c r="BHF9" s="3426"/>
      <c r="BHG9" s="3426"/>
      <c r="BHH9" s="3426"/>
      <c r="BHI9" s="3426"/>
      <c r="BHJ9" s="3426"/>
      <c r="BHK9" s="3426"/>
      <c r="BHL9" s="3426"/>
      <c r="BHM9" s="3426"/>
      <c r="BHN9" s="3426"/>
      <c r="BHO9" s="3426"/>
      <c r="BHP9" s="3426"/>
      <c r="BHQ9" s="3426"/>
      <c r="BHR9" s="3426"/>
      <c r="BHS9" s="3426"/>
      <c r="BHT9" s="3426"/>
      <c r="BHU9" s="3426"/>
      <c r="BHV9" s="3426"/>
      <c r="BHW9" s="3426"/>
      <c r="BHX9" s="3426"/>
      <c r="BHY9" s="3426"/>
      <c r="BHZ9" s="3426"/>
      <c r="BIA9" s="3426"/>
      <c r="BIB9" s="3426"/>
      <c r="BIC9" s="3426"/>
      <c r="BID9" s="3426"/>
      <c r="BIE9" s="3426"/>
      <c r="BIF9" s="3426"/>
      <c r="BIG9" s="3426"/>
      <c r="BIH9" s="3426"/>
      <c r="BII9" s="3426"/>
      <c r="BIJ9" s="3426"/>
      <c r="BIK9" s="3426"/>
      <c r="BIL9" s="3426"/>
      <c r="BIM9" s="3426"/>
      <c r="BIN9" s="3426"/>
      <c r="BIO9" s="3426"/>
      <c r="BIP9" s="3426"/>
      <c r="BIQ9" s="3426"/>
      <c r="BIR9" s="3426"/>
      <c r="BIS9" s="3426"/>
      <c r="BIT9" s="3426"/>
      <c r="BIU9" s="3426"/>
      <c r="BIV9" s="3426"/>
      <c r="BIW9" s="3426"/>
      <c r="BIX9" s="3426"/>
      <c r="BIY9" s="3426"/>
      <c r="BIZ9" s="3426"/>
      <c r="BJA9" s="3426"/>
      <c r="BJB9" s="3426"/>
      <c r="BJC9" s="3426"/>
      <c r="BJD9" s="3426"/>
      <c r="BJE9" s="3426"/>
      <c r="BJF9" s="3426"/>
      <c r="BJG9" s="3426"/>
      <c r="BJH9" s="3426"/>
      <c r="BJI9" s="3426"/>
      <c r="BJJ9" s="3426"/>
      <c r="BJK9" s="3426"/>
      <c r="BJL9" s="3426"/>
      <c r="BJM9" s="3426"/>
      <c r="BJN9" s="3426"/>
      <c r="BJO9" s="3426"/>
      <c r="BJP9" s="3426"/>
      <c r="BJQ9" s="3426"/>
      <c r="BJR9" s="3426"/>
      <c r="BJS9" s="3426"/>
      <c r="BJT9" s="3426"/>
      <c r="BJU9" s="3426"/>
      <c r="BJV9" s="3426"/>
      <c r="BJW9" s="3426"/>
      <c r="BJX9" s="3426"/>
      <c r="BJY9" s="3426"/>
      <c r="BJZ9" s="3426"/>
      <c r="BKA9" s="3426"/>
      <c r="BKB9" s="3426"/>
      <c r="BKC9" s="3426"/>
      <c r="BKD9" s="3426"/>
      <c r="BKE9" s="3426"/>
      <c r="BKF9" s="3426"/>
      <c r="BKG9" s="3426"/>
      <c r="BKH9" s="3426"/>
      <c r="BKI9" s="3426"/>
      <c r="BKJ9" s="3426"/>
      <c r="BKK9" s="3426"/>
      <c r="BKL9" s="3426"/>
      <c r="BKM9" s="3426"/>
      <c r="BKN9" s="3426"/>
      <c r="BKO9" s="3426"/>
      <c r="BKP9" s="3426"/>
      <c r="BKQ9" s="3426"/>
      <c r="BKR9" s="3426"/>
      <c r="BKS9" s="3426"/>
      <c r="BKT9" s="3426"/>
      <c r="BKU9" s="3426"/>
      <c r="BKV9" s="3426"/>
      <c r="BKW9" s="3426"/>
      <c r="BKX9" s="3426"/>
      <c r="BKY9" s="3426"/>
      <c r="BKZ9" s="3426"/>
      <c r="BLA9" s="3426"/>
      <c r="BLB9" s="3426"/>
      <c r="BLC9" s="3426"/>
      <c r="BLD9" s="3426"/>
      <c r="BLE9" s="3426"/>
      <c r="BLF9" s="3426"/>
      <c r="BLG9" s="3426"/>
      <c r="BLH9" s="3426"/>
      <c r="BLI9" s="3426"/>
      <c r="BLJ9" s="3426"/>
      <c r="BLK9" s="3426"/>
      <c r="BLL9" s="3426"/>
      <c r="BLM9" s="3426"/>
      <c r="BLN9" s="3426"/>
      <c r="BLO9" s="3426"/>
      <c r="BLP9" s="3426"/>
      <c r="BLQ9" s="3426"/>
      <c r="BLR9" s="3426"/>
      <c r="BLS9" s="3426"/>
      <c r="BLT9" s="3426"/>
      <c r="BLU9" s="3426"/>
      <c r="BLV9" s="3426"/>
      <c r="BLW9" s="3426"/>
      <c r="BLX9" s="3426"/>
      <c r="BLY9" s="3426"/>
      <c r="BLZ9" s="3426"/>
      <c r="BMA9" s="3426"/>
      <c r="BMB9" s="3426"/>
      <c r="BMC9" s="3426"/>
      <c r="BMD9" s="3426"/>
      <c r="BME9" s="3426"/>
      <c r="BMF9" s="3426"/>
      <c r="BMG9" s="3426"/>
      <c r="BMH9" s="3426"/>
      <c r="BMI9" s="3426"/>
      <c r="BMJ9" s="3426"/>
      <c r="BMK9" s="3426"/>
      <c r="BML9" s="3426"/>
      <c r="BMM9" s="3426"/>
      <c r="BMN9" s="3426"/>
      <c r="BMO9" s="3426"/>
      <c r="BMP9" s="3426"/>
      <c r="BMQ9" s="3426"/>
      <c r="BMR9" s="3426"/>
      <c r="BMS9" s="3426"/>
      <c r="BMT9" s="3426"/>
      <c r="BMU9" s="3426"/>
      <c r="BMV9" s="3426"/>
      <c r="BMW9" s="3426"/>
      <c r="BMX9" s="3426"/>
      <c r="BMY9" s="3426"/>
      <c r="BMZ9" s="3426"/>
      <c r="BNA9" s="3426"/>
      <c r="BNB9" s="3426"/>
      <c r="BNC9" s="3426"/>
      <c r="BND9" s="3426"/>
      <c r="BNE9" s="3426"/>
      <c r="BNF9" s="3426"/>
      <c r="BNG9" s="3426"/>
      <c r="BNH9" s="3426"/>
      <c r="BNI9" s="3426"/>
      <c r="BNJ9" s="3426"/>
      <c r="BNK9" s="3426"/>
      <c r="BNL9" s="3426"/>
      <c r="BNM9" s="3426"/>
      <c r="BNN9" s="3426"/>
      <c r="BNO9" s="3426"/>
      <c r="BNP9" s="3426"/>
      <c r="BNQ9" s="3426"/>
      <c r="BNR9" s="3426"/>
      <c r="BNS9" s="3426"/>
      <c r="BNT9" s="3426"/>
      <c r="BNU9" s="3426"/>
      <c r="BNV9" s="3426"/>
      <c r="BNW9" s="3426"/>
      <c r="BNX9" s="3426"/>
      <c r="BNY9" s="3426"/>
      <c r="BNZ9" s="3426"/>
      <c r="BOA9" s="3426"/>
      <c r="BOB9" s="3426"/>
      <c r="BOC9" s="3426"/>
      <c r="BOD9" s="3426"/>
      <c r="BOE9" s="3426"/>
      <c r="BOF9" s="3426"/>
      <c r="BOG9" s="3426"/>
      <c r="BOH9" s="3426"/>
      <c r="BOI9" s="3426"/>
      <c r="BOJ9" s="3426"/>
      <c r="BOK9" s="3426"/>
      <c r="BOL9" s="3426"/>
      <c r="BOM9" s="3426"/>
      <c r="BON9" s="3426"/>
      <c r="BOO9" s="3426"/>
      <c r="BOP9" s="3426"/>
      <c r="BOQ9" s="3426"/>
      <c r="BOR9" s="3426"/>
      <c r="BOS9" s="3426"/>
      <c r="BOT9" s="3426"/>
      <c r="BOU9" s="3426"/>
      <c r="BOV9" s="3426"/>
      <c r="BOW9" s="3426"/>
      <c r="BOX9" s="3426"/>
      <c r="BOY9" s="3426"/>
      <c r="BOZ9" s="3426"/>
      <c r="BPA9" s="3426"/>
      <c r="BPB9" s="3426"/>
      <c r="BPC9" s="3426"/>
      <c r="BPD9" s="3426"/>
      <c r="BPE9" s="3426"/>
      <c r="BPF9" s="3426"/>
      <c r="BPG9" s="3426"/>
      <c r="BPH9" s="3426"/>
      <c r="BPI9" s="3426"/>
      <c r="BPJ9" s="3426"/>
      <c r="BPK9" s="3426"/>
      <c r="BPL9" s="3426"/>
      <c r="BPM9" s="3426"/>
      <c r="BPN9" s="3426"/>
      <c r="BPO9" s="3426"/>
      <c r="BPP9" s="3426"/>
      <c r="BPQ9" s="3426"/>
      <c r="BPR9" s="3426"/>
      <c r="BPS9" s="3426"/>
      <c r="BPT9" s="3426"/>
      <c r="BPU9" s="3426"/>
      <c r="BPV9" s="3426"/>
      <c r="BPW9" s="3426"/>
      <c r="BPX9" s="3426"/>
      <c r="BPY9" s="3426"/>
      <c r="BPZ9" s="3426"/>
      <c r="BQA9" s="3426"/>
      <c r="BQB9" s="3426"/>
      <c r="BQC9" s="3426"/>
      <c r="BQD9" s="3426"/>
      <c r="BQE9" s="3426"/>
      <c r="BQF9" s="3426"/>
      <c r="BQG9" s="3426"/>
      <c r="BQH9" s="3426"/>
      <c r="BQI9" s="3426"/>
      <c r="BQJ9" s="3426"/>
      <c r="BQK9" s="3426"/>
      <c r="BQL9" s="3426"/>
      <c r="BQM9" s="3426"/>
      <c r="BQN9" s="3426"/>
      <c r="BQO9" s="3426"/>
      <c r="BQP9" s="3426"/>
      <c r="BQQ9" s="3426"/>
      <c r="BQR9" s="3426"/>
      <c r="BQS9" s="3426"/>
      <c r="BQT9" s="3426"/>
      <c r="BQU9" s="3426"/>
      <c r="BQV9" s="3426"/>
      <c r="BQW9" s="3426"/>
      <c r="BQX9" s="3426"/>
      <c r="BQY9" s="3426"/>
      <c r="BQZ9" s="3426"/>
      <c r="BRA9" s="3426"/>
      <c r="BRB9" s="3426"/>
      <c r="BRC9" s="3426"/>
      <c r="BRD9" s="3426"/>
      <c r="BRE9" s="3426"/>
      <c r="BRF9" s="3426"/>
      <c r="BRG9" s="3426"/>
      <c r="BRH9" s="3426"/>
      <c r="BRI9" s="3426"/>
      <c r="BRJ9" s="3426"/>
      <c r="BRK9" s="3426"/>
      <c r="BRL9" s="3426"/>
      <c r="BRM9" s="3426"/>
      <c r="BRN9" s="3426"/>
      <c r="BRO9" s="3426"/>
      <c r="BRP9" s="3426"/>
      <c r="BRQ9" s="3426"/>
      <c r="BRR9" s="3426"/>
      <c r="BRS9" s="3426"/>
      <c r="BRT9" s="3426"/>
      <c r="BRU9" s="3426"/>
      <c r="BRV9" s="3426"/>
      <c r="BRW9" s="3426"/>
      <c r="BRX9" s="3426"/>
      <c r="BRY9" s="3426"/>
      <c r="BRZ9" s="3426"/>
      <c r="BSA9" s="3426"/>
      <c r="BSB9" s="3426"/>
      <c r="BSC9" s="3426"/>
      <c r="BSD9" s="3426"/>
      <c r="BSE9" s="3426"/>
      <c r="BSF9" s="3426"/>
      <c r="BSG9" s="3426"/>
      <c r="BSH9" s="3426"/>
      <c r="BSI9" s="3426"/>
      <c r="BSJ9" s="3426"/>
      <c r="BSK9" s="3426"/>
      <c r="BSL9" s="3426"/>
      <c r="BSM9" s="3426"/>
      <c r="BSN9" s="3426"/>
      <c r="BSO9" s="3426"/>
      <c r="BSP9" s="3426"/>
      <c r="BSQ9" s="3426"/>
      <c r="BSR9" s="3426"/>
      <c r="BSS9" s="3426"/>
      <c r="BST9" s="3426"/>
      <c r="BSU9" s="3426"/>
      <c r="BSV9" s="3426"/>
      <c r="BSW9" s="3426"/>
      <c r="BSX9" s="3426"/>
      <c r="BSY9" s="3426"/>
      <c r="BSZ9" s="3426"/>
      <c r="BTA9" s="3426"/>
      <c r="BTB9" s="3426"/>
      <c r="BTC9" s="3426"/>
      <c r="BTD9" s="3426"/>
      <c r="BTE9" s="3426"/>
      <c r="BTF9" s="3426"/>
      <c r="BTG9" s="3426"/>
      <c r="BTH9" s="3426"/>
      <c r="BTI9" s="3426"/>
      <c r="BTJ9" s="3426"/>
      <c r="BTK9" s="3426"/>
      <c r="BTL9" s="3426"/>
      <c r="BTM9" s="3426"/>
      <c r="BTN9" s="3426"/>
      <c r="BTO9" s="3426"/>
      <c r="BTP9" s="3426"/>
      <c r="BTQ9" s="3426"/>
      <c r="BTR9" s="3426"/>
      <c r="BTS9" s="3426"/>
      <c r="BTT9" s="3426"/>
      <c r="BTU9" s="3426"/>
      <c r="BTV9" s="3426"/>
      <c r="BTW9" s="3426"/>
      <c r="BTX9" s="3426"/>
      <c r="BTY9" s="3426"/>
      <c r="BTZ9" s="3426"/>
      <c r="BUA9" s="3426"/>
      <c r="BUB9" s="3426"/>
      <c r="BUC9" s="3426"/>
      <c r="BUD9" s="3426"/>
      <c r="BUE9" s="3426"/>
      <c r="BUF9" s="3426"/>
      <c r="BUG9" s="3426"/>
      <c r="BUH9" s="3426"/>
      <c r="BUI9" s="3426"/>
      <c r="BUJ9" s="3426"/>
      <c r="BUK9" s="3426"/>
      <c r="BUL9" s="3426"/>
      <c r="BUM9" s="3426"/>
      <c r="BUN9" s="3426"/>
      <c r="BUO9" s="3426"/>
      <c r="BUP9" s="3426"/>
      <c r="BUQ9" s="3426"/>
      <c r="BUR9" s="3426"/>
      <c r="BUS9" s="3426"/>
      <c r="BUT9" s="3426"/>
      <c r="BUU9" s="3426"/>
      <c r="BUV9" s="3426"/>
      <c r="BUW9" s="3426"/>
      <c r="BUX9" s="3426"/>
      <c r="BUY9" s="3426"/>
      <c r="BUZ9" s="3426"/>
      <c r="BVA9" s="3426"/>
      <c r="BVB9" s="3426"/>
      <c r="BVC9" s="3426"/>
      <c r="BVD9" s="3426"/>
      <c r="BVE9" s="3426"/>
      <c r="BVF9" s="3426"/>
      <c r="BVG9" s="3426"/>
      <c r="BVH9" s="3426"/>
      <c r="BVI9" s="3426"/>
      <c r="BVJ9" s="3426"/>
      <c r="BVK9" s="3426"/>
      <c r="BVL9" s="3426"/>
      <c r="BVM9" s="3426"/>
      <c r="BVN9" s="3426"/>
      <c r="BVO9" s="3426"/>
      <c r="BVP9" s="3426"/>
      <c r="BVQ9" s="3426"/>
      <c r="BVR9" s="3426"/>
      <c r="BVS9" s="3426"/>
      <c r="BVT9" s="3426"/>
      <c r="BVU9" s="3426"/>
      <c r="BVV9" s="3426"/>
      <c r="BVW9" s="3426"/>
      <c r="BVX9" s="3426"/>
      <c r="BVY9" s="3426"/>
      <c r="BVZ9" s="3426"/>
      <c r="BWA9" s="3426"/>
      <c r="BWB9" s="3426"/>
      <c r="BWC9" s="3426"/>
      <c r="BWD9" s="3426"/>
      <c r="BWE9" s="3426"/>
      <c r="BWF9" s="3426"/>
      <c r="BWG9" s="3426"/>
      <c r="BWH9" s="3426"/>
      <c r="BWI9" s="3426"/>
      <c r="BWJ9" s="3426"/>
      <c r="BWK9" s="3426"/>
      <c r="BWL9" s="3426"/>
      <c r="BWM9" s="3426"/>
      <c r="BWN9" s="3426"/>
      <c r="BWO9" s="3426"/>
      <c r="BWP9" s="3426"/>
      <c r="BWQ9" s="3426"/>
      <c r="BWR9" s="3426"/>
      <c r="BWS9" s="3426"/>
      <c r="BWT9" s="3426"/>
      <c r="BWU9" s="3426"/>
      <c r="BWV9" s="3426"/>
      <c r="BWW9" s="3426"/>
      <c r="BWX9" s="3426"/>
      <c r="BWY9" s="3426"/>
      <c r="BWZ9" s="3426"/>
      <c r="BXA9" s="3426"/>
      <c r="BXB9" s="3426"/>
      <c r="BXC9" s="3426"/>
      <c r="BXD9" s="3426"/>
      <c r="BXE9" s="3426"/>
      <c r="BXF9" s="3426"/>
      <c r="BXG9" s="3426"/>
      <c r="BXH9" s="3426"/>
      <c r="BXI9" s="3426"/>
      <c r="BXJ9" s="3426"/>
      <c r="BXK9" s="3426"/>
      <c r="BXL9" s="3426"/>
      <c r="BXM9" s="3426"/>
      <c r="BXN9" s="3426"/>
      <c r="BXO9" s="3426"/>
      <c r="BXP9" s="3426"/>
      <c r="BXQ9" s="3426"/>
      <c r="BXR9" s="3426"/>
      <c r="BXS9" s="3426"/>
      <c r="BXT9" s="3426"/>
      <c r="BXU9" s="3426"/>
      <c r="BXV9" s="3426"/>
      <c r="BXW9" s="3426"/>
      <c r="BXX9" s="3426"/>
      <c r="BXY9" s="3426"/>
      <c r="BXZ9" s="3426"/>
      <c r="BYA9" s="3426"/>
      <c r="BYB9" s="3426"/>
      <c r="BYC9" s="3426"/>
      <c r="BYD9" s="3426"/>
      <c r="BYE9" s="3426"/>
      <c r="BYF9" s="3426"/>
      <c r="BYG9" s="3426"/>
      <c r="BYH9" s="3426"/>
      <c r="BYI9" s="3426"/>
      <c r="BYJ9" s="3426"/>
      <c r="BYK9" s="3426"/>
      <c r="BYL9" s="3426"/>
      <c r="BYM9" s="3426"/>
      <c r="BYN9" s="3426"/>
      <c r="BYO9" s="3426"/>
      <c r="BYP9" s="3426"/>
      <c r="BYQ9" s="3426"/>
      <c r="BYR9" s="3426"/>
      <c r="BYS9" s="3426"/>
      <c r="BYT9" s="3426"/>
      <c r="BYU9" s="3426"/>
      <c r="BYV9" s="3426"/>
      <c r="BYW9" s="3426"/>
      <c r="BYX9" s="3426"/>
      <c r="BYY9" s="3426"/>
      <c r="BYZ9" s="3426"/>
      <c r="BZA9" s="3426"/>
      <c r="BZB9" s="3426"/>
      <c r="BZC9" s="3426"/>
      <c r="BZD9" s="3426"/>
      <c r="BZE9" s="3426"/>
      <c r="BZF9" s="3426"/>
      <c r="BZG9" s="3426"/>
      <c r="BZH9" s="3426"/>
      <c r="BZI9" s="3426"/>
      <c r="BZJ9" s="3426"/>
      <c r="BZK9" s="3426"/>
      <c r="BZL9" s="3426"/>
      <c r="BZM9" s="3426"/>
      <c r="BZN9" s="3426"/>
      <c r="BZO9" s="3426"/>
      <c r="BZP9" s="3426"/>
      <c r="BZQ9" s="3426"/>
      <c r="BZR9" s="3426"/>
      <c r="BZS9" s="3426"/>
      <c r="BZT9" s="3426"/>
      <c r="BZU9" s="3426"/>
      <c r="BZV9" s="3426"/>
      <c r="BZW9" s="3426"/>
      <c r="BZX9" s="3426"/>
      <c r="BZY9" s="3426"/>
      <c r="BZZ9" s="3426"/>
      <c r="CAA9" s="3426"/>
      <c r="CAB9" s="3426"/>
      <c r="CAC9" s="3426"/>
      <c r="CAD9" s="3426"/>
      <c r="CAE9" s="3426"/>
      <c r="CAF9" s="3426"/>
      <c r="CAG9" s="3426"/>
      <c r="CAH9" s="3426"/>
      <c r="CAI9" s="3426"/>
      <c r="CAJ9" s="3426"/>
      <c r="CAK9" s="3426"/>
      <c r="CAL9" s="3426"/>
      <c r="CAM9" s="3426"/>
      <c r="CAN9" s="3426"/>
      <c r="CAO9" s="3426"/>
      <c r="CAP9" s="3426"/>
      <c r="CAQ9" s="3426"/>
      <c r="CAR9" s="3426"/>
      <c r="CAS9" s="3426"/>
      <c r="CAT9" s="3426"/>
      <c r="CAU9" s="3426"/>
      <c r="CAV9" s="3426"/>
      <c r="CAW9" s="3426"/>
      <c r="CAX9" s="3426"/>
      <c r="CAY9" s="3426"/>
      <c r="CAZ9" s="3426"/>
      <c r="CBA9" s="3426"/>
      <c r="CBB9" s="3426"/>
      <c r="CBC9" s="3426"/>
      <c r="CBD9" s="3426"/>
      <c r="CBE9" s="3426"/>
      <c r="CBF9" s="3426"/>
      <c r="CBG9" s="3426"/>
      <c r="CBH9" s="3426"/>
      <c r="CBI9" s="3426"/>
      <c r="CBJ9" s="3426"/>
      <c r="CBK9" s="3426"/>
      <c r="CBL9" s="3426"/>
      <c r="CBM9" s="3426"/>
      <c r="CBN9" s="3426"/>
      <c r="CBO9" s="3426"/>
      <c r="CBP9" s="3426"/>
      <c r="CBQ9" s="3426"/>
      <c r="CBR9" s="3426"/>
      <c r="CBS9" s="3426"/>
      <c r="CBT9" s="3426"/>
      <c r="CBU9" s="3426"/>
      <c r="CBV9" s="3426"/>
      <c r="CBW9" s="3426"/>
      <c r="CBX9" s="3426"/>
      <c r="CBY9" s="3426"/>
      <c r="CBZ9" s="3426"/>
      <c r="CCA9" s="3426"/>
      <c r="CCB9" s="3426"/>
      <c r="CCC9" s="3426"/>
      <c r="CCD9" s="3426"/>
      <c r="CCE9" s="3426"/>
      <c r="CCF9" s="3426"/>
      <c r="CCG9" s="3426"/>
      <c r="CCH9" s="3426"/>
      <c r="CCI9" s="3426"/>
      <c r="CCJ9" s="3426"/>
      <c r="CCK9" s="3426"/>
      <c r="CCL9" s="3426"/>
      <c r="CCM9" s="3426"/>
      <c r="CCN9" s="3426"/>
      <c r="CCO9" s="3426"/>
      <c r="CCP9" s="3426"/>
      <c r="CCQ9" s="3426"/>
      <c r="CCR9" s="3426"/>
      <c r="CCS9" s="3426"/>
      <c r="CCT9" s="3426"/>
      <c r="CCU9" s="3426"/>
      <c r="CCV9" s="3426"/>
      <c r="CCW9" s="3426"/>
      <c r="CCX9" s="3426"/>
      <c r="CCY9" s="3426"/>
      <c r="CCZ9" s="3426"/>
      <c r="CDA9" s="3426"/>
      <c r="CDB9" s="3426"/>
      <c r="CDC9" s="3426"/>
      <c r="CDD9" s="3426"/>
      <c r="CDE9" s="3426"/>
      <c r="CDF9" s="3426"/>
      <c r="CDG9" s="3426"/>
      <c r="CDH9" s="3426"/>
      <c r="CDI9" s="3426"/>
      <c r="CDJ9" s="3426"/>
      <c r="CDK9" s="3426"/>
      <c r="CDL9" s="3426"/>
      <c r="CDM9" s="3426"/>
      <c r="CDN9" s="3426"/>
      <c r="CDO9" s="3426"/>
      <c r="CDP9" s="3426"/>
      <c r="CDQ9" s="3426"/>
      <c r="CDR9" s="3426"/>
      <c r="CDS9" s="3426"/>
      <c r="CDT9" s="3426"/>
      <c r="CDU9" s="3426"/>
      <c r="CDV9" s="3426"/>
      <c r="CDW9" s="3426"/>
      <c r="CDX9" s="3426"/>
      <c r="CDY9" s="3426"/>
      <c r="CDZ9" s="3426"/>
      <c r="CEA9" s="3426"/>
      <c r="CEB9" s="3426"/>
      <c r="CEC9" s="3426"/>
      <c r="CED9" s="3426"/>
      <c r="CEE9" s="3426"/>
      <c r="CEF9" s="3426"/>
      <c r="CEG9" s="3426"/>
      <c r="CEH9" s="3426"/>
      <c r="CEI9" s="3426"/>
      <c r="CEJ9" s="3426"/>
      <c r="CEK9" s="3426"/>
      <c r="CEL9" s="3426"/>
      <c r="CEM9" s="3426"/>
      <c r="CEN9" s="3426"/>
      <c r="CEO9" s="3426"/>
      <c r="CEP9" s="3426"/>
      <c r="CEQ9" s="3426"/>
      <c r="CER9" s="3426"/>
      <c r="CES9" s="3426"/>
      <c r="CET9" s="3426"/>
      <c r="CEU9" s="3426"/>
      <c r="CEV9" s="3426"/>
      <c r="CEW9" s="3426"/>
      <c r="CEX9" s="3426"/>
      <c r="CEY9" s="3426"/>
      <c r="CEZ9" s="3426"/>
      <c r="CFA9" s="3426"/>
      <c r="CFB9" s="3426"/>
      <c r="CFC9" s="3426"/>
      <c r="CFD9" s="3426"/>
      <c r="CFE9" s="3426"/>
      <c r="CFF9" s="3426"/>
      <c r="CFG9" s="3426"/>
      <c r="CFH9" s="3426"/>
      <c r="CFI9" s="3426"/>
      <c r="CFJ9" s="3426"/>
      <c r="CFK9" s="3426"/>
      <c r="CFL9" s="3426"/>
      <c r="CFM9" s="3426"/>
      <c r="CFN9" s="3426"/>
      <c r="CFO9" s="3426"/>
      <c r="CFP9" s="3426"/>
      <c r="CFQ9" s="3426"/>
      <c r="CFR9" s="3426"/>
      <c r="CFS9" s="3426"/>
      <c r="CFT9" s="3426"/>
      <c r="CFU9" s="3426"/>
      <c r="CFV9" s="3426"/>
      <c r="CFW9" s="3426"/>
      <c r="CFX9" s="3426"/>
      <c r="CFY9" s="3426"/>
      <c r="CFZ9" s="3426"/>
      <c r="CGA9" s="3426"/>
      <c r="CGB9" s="3426"/>
      <c r="CGC9" s="3426"/>
      <c r="CGD9" s="3426"/>
      <c r="CGE9" s="3426"/>
      <c r="CGF9" s="3426"/>
      <c r="CGG9" s="3426"/>
      <c r="CGH9" s="3426"/>
      <c r="CGI9" s="3426"/>
      <c r="CGJ9" s="3426"/>
      <c r="CGK9" s="3426"/>
      <c r="CGL9" s="3426"/>
      <c r="CGM9" s="3426"/>
      <c r="CGN9" s="3426"/>
      <c r="CGO9" s="3426"/>
      <c r="CGP9" s="3426"/>
      <c r="CGQ9" s="3426"/>
      <c r="CGR9" s="3426"/>
      <c r="CGS9" s="3426"/>
      <c r="CGT9" s="3426"/>
      <c r="CGU9" s="3426"/>
      <c r="CGV9" s="3426"/>
      <c r="CGW9" s="3426"/>
      <c r="CGX9" s="3426"/>
      <c r="CGY9" s="3426"/>
      <c r="CGZ9" s="3426"/>
      <c r="CHA9" s="3426"/>
      <c r="CHB9" s="3426"/>
      <c r="CHC9" s="3426"/>
      <c r="CHD9" s="3426"/>
      <c r="CHE9" s="3426"/>
      <c r="CHF9" s="3426"/>
      <c r="CHG9" s="3426"/>
      <c r="CHH9" s="3426"/>
      <c r="CHI9" s="3426"/>
      <c r="CHJ9" s="3426"/>
      <c r="CHK9" s="3426"/>
      <c r="CHL9" s="3426"/>
      <c r="CHM9" s="3426"/>
      <c r="CHN9" s="3426"/>
      <c r="CHO9" s="3426"/>
      <c r="CHP9" s="3426"/>
      <c r="CHQ9" s="3426"/>
      <c r="CHR9" s="3426"/>
      <c r="CHS9" s="3426"/>
      <c r="CHT9" s="3426"/>
      <c r="CHU9" s="3426"/>
      <c r="CHV9" s="3426"/>
      <c r="CHW9" s="3426"/>
      <c r="CHX9" s="3426"/>
      <c r="CHY9" s="3426"/>
      <c r="CHZ9" s="3426"/>
      <c r="CIA9" s="3426"/>
      <c r="CIB9" s="3426"/>
      <c r="CIC9" s="3426"/>
      <c r="CID9" s="3426"/>
      <c r="CIE9" s="3426"/>
      <c r="CIF9" s="3426"/>
      <c r="CIG9" s="3426"/>
      <c r="CIH9" s="3426"/>
      <c r="CII9" s="3426"/>
      <c r="CIJ9" s="3426"/>
      <c r="CIK9" s="3426"/>
      <c r="CIL9" s="3426"/>
      <c r="CIM9" s="3426"/>
      <c r="CIN9" s="3426"/>
      <c r="CIO9" s="3426"/>
      <c r="CIP9" s="3426"/>
      <c r="CIQ9" s="3426"/>
      <c r="CIR9" s="3426"/>
      <c r="CIS9" s="3426"/>
      <c r="CIT9" s="3426"/>
      <c r="CIU9" s="3426"/>
      <c r="CIV9" s="3426"/>
      <c r="CIW9" s="3426"/>
      <c r="CIX9" s="3426"/>
      <c r="CIY9" s="3426"/>
      <c r="CIZ9" s="3426"/>
      <c r="CJA9" s="3426"/>
      <c r="CJB9" s="3426"/>
      <c r="CJC9" s="3426"/>
      <c r="CJD9" s="3426"/>
      <c r="CJE9" s="3426"/>
      <c r="CJF9" s="3426"/>
      <c r="CJG9" s="3426"/>
      <c r="CJH9" s="3426"/>
      <c r="CJI9" s="3426"/>
      <c r="CJJ9" s="3426"/>
      <c r="CJK9" s="3426"/>
      <c r="CJL9" s="3426"/>
      <c r="CJM9" s="3426"/>
      <c r="CJN9" s="3426"/>
      <c r="CJO9" s="3426"/>
      <c r="CJP9" s="3426"/>
      <c r="CJQ9" s="3426"/>
      <c r="CJR9" s="3426"/>
      <c r="CJS9" s="3426"/>
      <c r="CJT9" s="3426"/>
      <c r="CJU9" s="3426"/>
      <c r="CJV9" s="3426"/>
      <c r="CJW9" s="3426"/>
      <c r="CJX9" s="3426"/>
      <c r="CJY9" s="3426"/>
      <c r="CJZ9" s="3426"/>
      <c r="CKA9" s="3426"/>
      <c r="CKB9" s="3426"/>
      <c r="CKC9" s="3426"/>
      <c r="CKD9" s="3426"/>
      <c r="CKE9" s="3426"/>
      <c r="CKF9" s="3426"/>
      <c r="CKG9" s="3426"/>
      <c r="CKH9" s="3426"/>
      <c r="CKI9" s="3426"/>
      <c r="CKJ9" s="3426"/>
      <c r="CKK9" s="3426"/>
      <c r="CKL9" s="3426"/>
      <c r="CKM9" s="3426"/>
      <c r="CKN9" s="3426"/>
      <c r="CKO9" s="3426"/>
      <c r="CKP9" s="3426"/>
      <c r="CKQ9" s="3426"/>
      <c r="CKR9" s="3426"/>
      <c r="CKS9" s="3426"/>
      <c r="CKT9" s="3426"/>
      <c r="CKU9" s="3426"/>
      <c r="CKV9" s="3426"/>
      <c r="CKW9" s="3426"/>
      <c r="CKX9" s="3426"/>
      <c r="CKY9" s="3426"/>
      <c r="CKZ9" s="3426"/>
      <c r="CLA9" s="3426"/>
      <c r="CLB9" s="3426"/>
      <c r="CLC9" s="3426"/>
      <c r="CLD9" s="3426"/>
      <c r="CLE9" s="3426"/>
      <c r="CLF9" s="3426"/>
      <c r="CLG9" s="3426"/>
      <c r="CLH9" s="3426"/>
      <c r="CLI9" s="3426"/>
      <c r="CLJ9" s="3426"/>
      <c r="CLK9" s="3426"/>
      <c r="CLL9" s="3426"/>
      <c r="CLM9" s="3426"/>
      <c r="CLN9" s="3426"/>
      <c r="CLO9" s="3426"/>
      <c r="CLP9" s="3426"/>
      <c r="CLQ9" s="3426"/>
      <c r="CLR9" s="3426"/>
      <c r="CLS9" s="3426"/>
      <c r="CLT9" s="3426"/>
      <c r="CLU9" s="3426"/>
      <c r="CLV9" s="3426"/>
      <c r="CLW9" s="3426"/>
      <c r="CLX9" s="3426"/>
      <c r="CLY9" s="3426"/>
      <c r="CLZ9" s="3426"/>
      <c r="CMA9" s="3426"/>
      <c r="CMB9" s="3426"/>
      <c r="CMC9" s="3426"/>
      <c r="CMD9" s="3426"/>
      <c r="CME9" s="3426"/>
      <c r="CMF9" s="3426"/>
      <c r="CMG9" s="3426"/>
      <c r="CMH9" s="3426"/>
      <c r="CMI9" s="3426"/>
      <c r="CMJ9" s="3426"/>
      <c r="CMK9" s="3426"/>
      <c r="CML9" s="3426"/>
      <c r="CMM9" s="3426"/>
      <c r="CMN9" s="3426"/>
      <c r="CMO9" s="3426"/>
      <c r="CMP9" s="3426"/>
      <c r="CMQ9" s="3426"/>
      <c r="CMR9" s="3426"/>
      <c r="CMS9" s="3426"/>
      <c r="CMT9" s="3426"/>
      <c r="CMU9" s="3426"/>
      <c r="CMV9" s="3426"/>
      <c r="CMW9" s="3426"/>
      <c r="CMX9" s="3426"/>
      <c r="CMY9" s="3426"/>
      <c r="CMZ9" s="3426"/>
      <c r="CNA9" s="3426"/>
      <c r="CNB9" s="3426"/>
      <c r="CNC9" s="3426"/>
      <c r="CND9" s="3426"/>
      <c r="CNE9" s="3426"/>
      <c r="CNF9" s="3426"/>
      <c r="CNG9" s="3426"/>
      <c r="CNH9" s="3426"/>
      <c r="CNI9" s="3426"/>
      <c r="CNJ9" s="3426"/>
      <c r="CNK9" s="3426"/>
      <c r="CNL9" s="3426"/>
      <c r="CNM9" s="3426"/>
      <c r="CNN9" s="3426"/>
      <c r="CNO9" s="3426"/>
      <c r="CNP9" s="3426"/>
      <c r="CNQ9" s="3426"/>
      <c r="CNR9" s="3426"/>
      <c r="CNS9" s="3426"/>
      <c r="CNT9" s="3426"/>
      <c r="CNU9" s="3426"/>
      <c r="CNV9" s="3426"/>
      <c r="CNW9" s="3426"/>
      <c r="CNX9" s="3426"/>
      <c r="CNY9" s="3426"/>
      <c r="CNZ9" s="3426"/>
      <c r="COA9" s="3426"/>
      <c r="COB9" s="3426"/>
      <c r="COC9" s="3426"/>
      <c r="COD9" s="3426"/>
      <c r="COE9" s="3426"/>
      <c r="COF9" s="3426"/>
      <c r="COG9" s="3426"/>
      <c r="COH9" s="3426"/>
      <c r="COI9" s="3426"/>
      <c r="COJ9" s="3426"/>
      <c r="COK9" s="3426"/>
      <c r="COL9" s="3426"/>
      <c r="COM9" s="3426"/>
      <c r="CON9" s="3426"/>
      <c r="COO9" s="3426"/>
      <c r="COP9" s="3426"/>
      <c r="COQ9" s="3426"/>
      <c r="COR9" s="3426"/>
      <c r="COS9" s="3426"/>
      <c r="COT9" s="3426"/>
      <c r="COU9" s="3426"/>
      <c r="COV9" s="3426"/>
      <c r="COW9" s="3426"/>
      <c r="COX9" s="3426"/>
      <c r="COY9" s="3426"/>
      <c r="COZ9" s="3426"/>
      <c r="CPA9" s="3426"/>
      <c r="CPB9" s="3426"/>
      <c r="CPC9" s="3426"/>
      <c r="CPD9" s="3426"/>
      <c r="CPE9" s="3426"/>
      <c r="CPF9" s="3426"/>
      <c r="CPG9" s="3426"/>
      <c r="CPH9" s="3426"/>
      <c r="CPI9" s="3426"/>
      <c r="CPJ9" s="3426"/>
      <c r="CPK9" s="3426"/>
      <c r="CPL9" s="3426"/>
      <c r="CPM9" s="3426"/>
      <c r="CPN9" s="3426"/>
      <c r="CPO9" s="3426"/>
      <c r="CPP9" s="3426"/>
      <c r="CPQ9" s="3426"/>
      <c r="CPR9" s="3426"/>
      <c r="CPS9" s="3426"/>
      <c r="CPT9" s="3426"/>
      <c r="CPU9" s="3426"/>
      <c r="CPV9" s="3426"/>
      <c r="CPW9" s="3426"/>
      <c r="CPX9" s="3426"/>
      <c r="CPY9" s="3426"/>
      <c r="CPZ9" s="3426"/>
      <c r="CQA9" s="3426"/>
      <c r="CQB9" s="3426"/>
      <c r="CQC9" s="3426"/>
      <c r="CQD9" s="3426"/>
      <c r="CQE9" s="3426"/>
      <c r="CQF9" s="3426"/>
      <c r="CQG9" s="3426"/>
      <c r="CQH9" s="3426"/>
      <c r="CQI9" s="3426"/>
      <c r="CQJ9" s="3426"/>
      <c r="CQK9" s="3426"/>
      <c r="CQL9" s="3426"/>
      <c r="CQM9" s="3426"/>
      <c r="CQN9" s="3426"/>
      <c r="CQO9" s="3426"/>
      <c r="CQP9" s="3426"/>
      <c r="CQQ9" s="3426"/>
      <c r="CQR9" s="3426"/>
      <c r="CQS9" s="3426"/>
      <c r="CQT9" s="3426"/>
      <c r="CQU9" s="3426"/>
      <c r="CQV9" s="3426"/>
      <c r="CQW9" s="3426"/>
      <c r="CQX9" s="3426"/>
      <c r="CQY9" s="3426"/>
      <c r="CQZ9" s="3426"/>
      <c r="CRA9" s="3426"/>
      <c r="CRB9" s="3426"/>
      <c r="CRC9" s="3426"/>
      <c r="CRD9" s="3426"/>
      <c r="CRE9" s="3426"/>
      <c r="CRF9" s="3426"/>
      <c r="CRG9" s="3426"/>
      <c r="CRH9" s="3426"/>
      <c r="CRI9" s="3426"/>
      <c r="CRJ9" s="3426"/>
      <c r="CRK9" s="3426"/>
      <c r="CRL9" s="3426"/>
      <c r="CRM9" s="3426"/>
      <c r="CRN9" s="3426"/>
      <c r="CRO9" s="3426"/>
      <c r="CRP9" s="3426"/>
      <c r="CRQ9" s="3426"/>
      <c r="CRR9" s="3426"/>
      <c r="CRS9" s="3426"/>
      <c r="CRT9" s="3426"/>
      <c r="CRU9" s="3426"/>
      <c r="CRV9" s="3426"/>
      <c r="CRW9" s="3426"/>
      <c r="CRX9" s="3426"/>
      <c r="CRY9" s="3426"/>
      <c r="CRZ9" s="3426"/>
      <c r="CSA9" s="3426"/>
      <c r="CSB9" s="3426"/>
      <c r="CSC9" s="3426"/>
      <c r="CSD9" s="3426"/>
      <c r="CSE9" s="3426"/>
      <c r="CSF9" s="3426"/>
      <c r="CSG9" s="3426"/>
      <c r="CSH9" s="3426"/>
      <c r="CSI9" s="3426"/>
      <c r="CSJ9" s="3426"/>
      <c r="CSK9" s="3426"/>
      <c r="CSL9" s="3426"/>
      <c r="CSM9" s="3426"/>
      <c r="CSN9" s="3426"/>
      <c r="CSO9" s="3426"/>
      <c r="CSP9" s="3426"/>
      <c r="CSQ9" s="3426"/>
      <c r="CSR9" s="3426"/>
      <c r="CSS9" s="3426"/>
      <c r="CST9" s="3426"/>
      <c r="CSU9" s="3426"/>
      <c r="CSV9" s="3426"/>
      <c r="CSW9" s="3426"/>
      <c r="CSX9" s="3426"/>
      <c r="CSY9" s="3426"/>
      <c r="CSZ9" s="3426"/>
      <c r="CTA9" s="3426"/>
      <c r="CTB9" s="3426"/>
      <c r="CTC9" s="3426"/>
      <c r="CTD9" s="3426"/>
      <c r="CTE9" s="3426"/>
      <c r="CTF9" s="3426"/>
      <c r="CTG9" s="3426"/>
      <c r="CTH9" s="3426"/>
      <c r="CTI9" s="3426"/>
      <c r="CTJ9" s="3426"/>
      <c r="CTK9" s="3426"/>
      <c r="CTL9" s="3426"/>
      <c r="CTM9" s="3426"/>
      <c r="CTN9" s="3426"/>
      <c r="CTO9" s="3426"/>
      <c r="CTP9" s="3426"/>
      <c r="CTQ9" s="3426"/>
      <c r="CTR9" s="3426"/>
      <c r="CTS9" s="3426"/>
      <c r="CTT9" s="3426"/>
      <c r="CTU9" s="3426"/>
      <c r="CTV9" s="3426"/>
      <c r="CTW9" s="3426"/>
      <c r="CTX9" s="3426"/>
      <c r="CTY9" s="3426"/>
      <c r="CTZ9" s="3426"/>
      <c r="CUA9" s="3426"/>
      <c r="CUB9" s="3426"/>
      <c r="CUC9" s="3426"/>
      <c r="CUD9" s="3426"/>
      <c r="CUE9" s="3426"/>
      <c r="CUF9" s="3426"/>
      <c r="CUG9" s="3426"/>
      <c r="CUH9" s="3426"/>
      <c r="CUI9" s="3426"/>
      <c r="CUJ9" s="3426"/>
      <c r="CUK9" s="3426"/>
      <c r="CUL9" s="3426"/>
      <c r="CUM9" s="3426"/>
      <c r="CUN9" s="3426"/>
      <c r="CUO9" s="3426"/>
      <c r="CUP9" s="3426"/>
      <c r="CUQ9" s="3426"/>
      <c r="CUR9" s="3426"/>
      <c r="CUS9" s="3426"/>
      <c r="CUT9" s="3426"/>
      <c r="CUU9" s="3426"/>
      <c r="CUV9" s="3426"/>
      <c r="CUW9" s="3426"/>
      <c r="CUX9" s="3426"/>
      <c r="CUY9" s="3426"/>
      <c r="CUZ9" s="3426"/>
      <c r="CVA9" s="3426"/>
      <c r="CVB9" s="3426"/>
      <c r="CVC9" s="3426"/>
      <c r="CVD9" s="3426"/>
      <c r="CVE9" s="3426"/>
      <c r="CVF9" s="3426"/>
      <c r="CVG9" s="3426"/>
      <c r="CVH9" s="3426"/>
      <c r="CVI9" s="3426"/>
      <c r="CVJ9" s="3426"/>
      <c r="CVK9" s="3426"/>
      <c r="CVL9" s="3426"/>
      <c r="CVM9" s="3426"/>
      <c r="CVN9" s="3426"/>
      <c r="CVO9" s="3426"/>
      <c r="CVP9" s="3426"/>
      <c r="CVQ9" s="3426"/>
      <c r="CVR9" s="3426"/>
      <c r="CVS9" s="3426"/>
      <c r="CVT9" s="3426"/>
      <c r="CVU9" s="3426"/>
      <c r="CVV9" s="3426"/>
      <c r="CVW9" s="3426"/>
      <c r="CVX9" s="3426"/>
      <c r="CVY9" s="3426"/>
      <c r="CVZ9" s="3426"/>
      <c r="CWA9" s="3426"/>
      <c r="CWB9" s="3426"/>
      <c r="CWC9" s="3426"/>
      <c r="CWD9" s="3426"/>
      <c r="CWE9" s="3426"/>
      <c r="CWF9" s="3426"/>
      <c r="CWG9" s="3426"/>
      <c r="CWH9" s="3426"/>
      <c r="CWI9" s="3426"/>
      <c r="CWJ9" s="3426"/>
      <c r="CWK9" s="3426"/>
      <c r="CWL9" s="3426"/>
      <c r="CWM9" s="3426"/>
      <c r="CWN9" s="3426"/>
      <c r="CWO9" s="3426"/>
      <c r="CWP9" s="3426"/>
      <c r="CWQ9" s="3426"/>
      <c r="CWR9" s="3426"/>
      <c r="CWS9" s="3426"/>
      <c r="CWT9" s="3426"/>
      <c r="CWU9" s="3426"/>
      <c r="CWV9" s="3426"/>
      <c r="CWW9" s="3426"/>
      <c r="CWX9" s="3426"/>
      <c r="CWY9" s="3426"/>
      <c r="CWZ9" s="3426"/>
      <c r="CXA9" s="3426"/>
      <c r="CXB9" s="3426"/>
      <c r="CXC9" s="3426"/>
      <c r="CXD9" s="3426"/>
      <c r="CXE9" s="3426"/>
      <c r="CXF9" s="3426"/>
      <c r="CXG9" s="3426"/>
      <c r="CXH9" s="3426"/>
      <c r="CXI9" s="3426"/>
      <c r="CXJ9" s="3426"/>
      <c r="CXK9" s="3426"/>
      <c r="CXL9" s="3426"/>
      <c r="CXM9" s="3426"/>
      <c r="CXN9" s="3426"/>
      <c r="CXO9" s="3426"/>
      <c r="CXP9" s="3426"/>
      <c r="CXQ9" s="3426"/>
      <c r="CXR9" s="3426"/>
      <c r="CXS9" s="3426"/>
      <c r="CXT9" s="3426"/>
      <c r="CXU9" s="3426"/>
      <c r="CXV9" s="3426"/>
      <c r="CXW9" s="3426"/>
      <c r="CXX9" s="3426"/>
      <c r="CXY9" s="3426"/>
      <c r="CXZ9" s="3426"/>
      <c r="CYA9" s="3426"/>
      <c r="CYB9" s="3426"/>
      <c r="CYC9" s="3426"/>
      <c r="CYD9" s="3426"/>
      <c r="CYE9" s="3426"/>
      <c r="CYF9" s="3426"/>
      <c r="CYG9" s="3426"/>
      <c r="CYH9" s="3426"/>
      <c r="CYI9" s="3426"/>
      <c r="CYJ9" s="3426"/>
      <c r="CYK9" s="3426"/>
      <c r="CYL9" s="3426"/>
      <c r="CYM9" s="3426"/>
      <c r="CYN9" s="3426"/>
      <c r="CYO9" s="3426"/>
      <c r="CYP9" s="3426"/>
      <c r="CYQ9" s="3426"/>
      <c r="CYR9" s="3426"/>
      <c r="CYS9" s="3426"/>
      <c r="CYT9" s="3426"/>
      <c r="CYU9" s="3426"/>
      <c r="CYV9" s="3426"/>
      <c r="CYW9" s="3426"/>
      <c r="CYX9" s="3426"/>
      <c r="CYY9" s="3426"/>
      <c r="CYZ9" s="3426"/>
      <c r="CZA9" s="3426"/>
      <c r="CZB9" s="3426"/>
      <c r="CZC9" s="3426"/>
      <c r="CZD9" s="3426"/>
      <c r="CZE9" s="3426"/>
      <c r="CZF9" s="3426"/>
      <c r="CZG9" s="3426"/>
      <c r="CZH9" s="3426"/>
      <c r="CZI9" s="3426"/>
      <c r="CZJ9" s="3426"/>
      <c r="CZK9" s="3426"/>
      <c r="CZL9" s="3426"/>
      <c r="CZM9" s="3426"/>
      <c r="CZN9" s="3426"/>
      <c r="CZO9" s="3426"/>
      <c r="CZP9" s="3426"/>
      <c r="CZQ9" s="3426"/>
      <c r="CZR9" s="3426"/>
      <c r="CZS9" s="3426"/>
      <c r="CZT9" s="3426"/>
      <c r="CZU9" s="3426"/>
      <c r="CZV9" s="3426"/>
      <c r="CZW9" s="3426"/>
      <c r="CZX9" s="3426"/>
      <c r="CZY9" s="3426"/>
      <c r="CZZ9" s="3426"/>
      <c r="DAA9" s="3426"/>
      <c r="DAB9" s="3426"/>
      <c r="DAC9" s="3426"/>
      <c r="DAD9" s="3426"/>
      <c r="DAE9" s="3426"/>
      <c r="DAF9" s="3426"/>
      <c r="DAG9" s="3426"/>
      <c r="DAH9" s="3426"/>
      <c r="DAI9" s="3426"/>
      <c r="DAJ9" s="3426"/>
      <c r="DAK9" s="3426"/>
      <c r="DAL9" s="3426"/>
      <c r="DAM9" s="3426"/>
      <c r="DAN9" s="3426"/>
      <c r="DAO9" s="3426"/>
      <c r="DAP9" s="3426"/>
      <c r="DAQ9" s="3426"/>
      <c r="DAR9" s="3426"/>
      <c r="DAS9" s="3426"/>
      <c r="DAT9" s="3426"/>
      <c r="DAU9" s="3426"/>
      <c r="DAV9" s="3426"/>
      <c r="DAW9" s="3426"/>
      <c r="DAX9" s="3426"/>
      <c r="DAY9" s="3426"/>
      <c r="DAZ9" s="3426"/>
      <c r="DBA9" s="3426"/>
      <c r="DBB9" s="3426"/>
      <c r="DBC9" s="3426"/>
      <c r="DBD9" s="3426"/>
      <c r="DBE9" s="3426"/>
      <c r="DBF9" s="3426"/>
      <c r="DBG9" s="3426"/>
      <c r="DBH9" s="3426"/>
      <c r="DBI9" s="3426"/>
      <c r="DBJ9" s="3426"/>
      <c r="DBK9" s="3426"/>
      <c r="DBL9" s="3426"/>
      <c r="DBM9" s="3426"/>
      <c r="DBN9" s="3426"/>
      <c r="DBO9" s="3426"/>
      <c r="DBP9" s="3426"/>
      <c r="DBQ9" s="3426"/>
      <c r="DBR9" s="3426"/>
      <c r="DBS9" s="3426"/>
      <c r="DBT9" s="3426"/>
      <c r="DBU9" s="3426"/>
      <c r="DBV9" s="3426"/>
      <c r="DBW9" s="3426"/>
      <c r="DBX9" s="3426"/>
      <c r="DBY9" s="3426"/>
      <c r="DBZ9" s="3426"/>
      <c r="DCA9" s="3426"/>
      <c r="DCB9" s="3426"/>
      <c r="DCC9" s="3426"/>
      <c r="DCD9" s="3426"/>
      <c r="DCE9" s="3426"/>
      <c r="DCF9" s="3426"/>
      <c r="DCG9" s="3426"/>
      <c r="DCH9" s="3426"/>
      <c r="DCI9" s="3426"/>
      <c r="DCJ9" s="3426"/>
      <c r="DCK9" s="3426"/>
      <c r="DCL9" s="3426"/>
      <c r="DCM9" s="3426"/>
      <c r="DCN9" s="3426"/>
      <c r="DCO9" s="3426"/>
      <c r="DCP9" s="3426"/>
      <c r="DCQ9" s="3426"/>
      <c r="DCR9" s="3426"/>
      <c r="DCS9" s="3426"/>
      <c r="DCT9" s="3426"/>
      <c r="DCU9" s="3426"/>
      <c r="DCV9" s="3426"/>
      <c r="DCW9" s="3426"/>
      <c r="DCX9" s="3426"/>
      <c r="DCY9" s="3426"/>
      <c r="DCZ9" s="3426"/>
      <c r="DDA9" s="3426"/>
      <c r="DDB9" s="3426"/>
      <c r="DDC9" s="3426"/>
      <c r="DDD9" s="3426"/>
      <c r="DDE9" s="3426"/>
      <c r="DDF9" s="3426"/>
      <c r="DDG9" s="3426"/>
      <c r="DDH9" s="3426"/>
      <c r="DDI9" s="3426"/>
      <c r="DDJ9" s="3426"/>
      <c r="DDK9" s="3426"/>
      <c r="DDL9" s="3426"/>
      <c r="DDM9" s="3426"/>
      <c r="DDN9" s="3426"/>
      <c r="DDO9" s="3426"/>
      <c r="DDP9" s="3426"/>
      <c r="DDQ9" s="3426"/>
      <c r="DDR9" s="3426"/>
      <c r="DDS9" s="3426"/>
      <c r="DDT9" s="3426"/>
      <c r="DDU9" s="3426"/>
      <c r="DDV9" s="3426"/>
      <c r="DDW9" s="3426"/>
      <c r="DDX9" s="3426"/>
      <c r="DDY9" s="3426"/>
      <c r="DDZ9" s="3426"/>
      <c r="DEA9" s="3426"/>
      <c r="DEB9" s="3426"/>
      <c r="DEC9" s="3426"/>
      <c r="DED9" s="3426"/>
      <c r="DEE9" s="3426"/>
      <c r="DEF9" s="3426"/>
      <c r="DEG9" s="3426"/>
      <c r="DEH9" s="3426"/>
      <c r="DEI9" s="3426"/>
      <c r="DEJ9" s="3426"/>
      <c r="DEK9" s="3426"/>
      <c r="DEL9" s="3426"/>
      <c r="DEM9" s="3426"/>
      <c r="DEN9" s="3426"/>
      <c r="DEO9" s="3426"/>
      <c r="DEP9" s="3426"/>
      <c r="DEQ9" s="3426"/>
      <c r="DER9" s="3426"/>
      <c r="DES9" s="3426"/>
      <c r="DET9" s="3426"/>
      <c r="DEU9" s="3426"/>
      <c r="DEV9" s="3426"/>
      <c r="DEW9" s="3426"/>
      <c r="DEX9" s="3426"/>
      <c r="DEY9" s="3426"/>
      <c r="DEZ9" s="3426"/>
      <c r="DFA9" s="3426"/>
      <c r="DFB9" s="3426"/>
      <c r="DFC9" s="3426"/>
      <c r="DFD9" s="3426"/>
      <c r="DFE9" s="3426"/>
      <c r="DFF9" s="3426"/>
      <c r="DFG9" s="3426"/>
      <c r="DFH9" s="3426"/>
      <c r="DFI9" s="3426"/>
      <c r="DFJ9" s="3426"/>
      <c r="DFK9" s="3426"/>
      <c r="DFL9" s="3426"/>
      <c r="DFM9" s="3426"/>
      <c r="DFN9" s="3426"/>
      <c r="DFO9" s="3426"/>
      <c r="DFP9" s="3426"/>
      <c r="DFQ9" s="3426"/>
      <c r="DFR9" s="3426"/>
      <c r="DFS9" s="3426"/>
      <c r="DFT9" s="3426"/>
      <c r="DFU9" s="3426"/>
      <c r="DFV9" s="3426"/>
      <c r="DFW9" s="3426"/>
      <c r="DFX9" s="3426"/>
      <c r="DFY9" s="3426"/>
      <c r="DFZ9" s="3426"/>
      <c r="DGA9" s="3426"/>
      <c r="DGB9" s="3426"/>
      <c r="DGC9" s="3426"/>
      <c r="DGD9" s="3426"/>
      <c r="DGE9" s="3426"/>
      <c r="DGF9" s="3426"/>
      <c r="DGG9" s="3426"/>
      <c r="DGH9" s="3426"/>
      <c r="DGI9" s="3426"/>
      <c r="DGJ9" s="3426"/>
      <c r="DGK9" s="3426"/>
      <c r="DGL9" s="3426"/>
      <c r="DGM9" s="3426"/>
      <c r="DGN9" s="3426"/>
      <c r="DGO9" s="3426"/>
      <c r="DGP9" s="3426"/>
      <c r="DGQ9" s="3426"/>
      <c r="DGR9" s="3426"/>
      <c r="DGS9" s="3426"/>
      <c r="DGT9" s="3426"/>
      <c r="DGU9" s="3426"/>
      <c r="DGV9" s="3426"/>
      <c r="DGW9" s="3426"/>
      <c r="DGX9" s="3426"/>
      <c r="DGY9" s="3426"/>
      <c r="DGZ9" s="3426"/>
      <c r="DHA9" s="3426"/>
      <c r="DHB9" s="3426"/>
      <c r="DHC9" s="3426"/>
      <c r="DHD9" s="3426"/>
      <c r="DHE9" s="3426"/>
      <c r="DHF9" s="3426"/>
      <c r="DHG9" s="3426"/>
      <c r="DHH9" s="3426"/>
      <c r="DHI9" s="3426"/>
      <c r="DHJ9" s="3426"/>
      <c r="DHK9" s="3426"/>
      <c r="DHL9" s="3426"/>
      <c r="DHM9" s="3426"/>
      <c r="DHN9" s="3426"/>
      <c r="DHO9" s="3426"/>
      <c r="DHP9" s="3426"/>
      <c r="DHQ9" s="3426"/>
      <c r="DHR9" s="3426"/>
      <c r="DHS9" s="3426"/>
      <c r="DHT9" s="3426"/>
      <c r="DHU9" s="3426"/>
      <c r="DHV9" s="3426"/>
      <c r="DHW9" s="3426"/>
      <c r="DHX9" s="3426"/>
      <c r="DHY9" s="3426"/>
      <c r="DHZ9" s="3426"/>
      <c r="DIA9" s="3426"/>
      <c r="DIB9" s="3426"/>
      <c r="DIC9" s="3426"/>
      <c r="DID9" s="3426"/>
      <c r="DIE9" s="3426"/>
      <c r="DIF9" s="3426"/>
      <c r="DIG9" s="3426"/>
      <c r="DIH9" s="3426"/>
      <c r="DII9" s="3426"/>
      <c r="DIJ9" s="3426"/>
      <c r="DIK9" s="3426"/>
      <c r="DIL9" s="3426"/>
      <c r="DIM9" s="3426"/>
      <c r="DIN9" s="3426"/>
      <c r="DIO9" s="3426"/>
      <c r="DIP9" s="3426"/>
      <c r="DIQ9" s="3426"/>
      <c r="DIR9" s="3426"/>
      <c r="DIS9" s="3426"/>
      <c r="DIT9" s="3426"/>
      <c r="DIU9" s="3426"/>
      <c r="DIV9" s="3426"/>
      <c r="DIW9" s="3426"/>
      <c r="DIX9" s="3426"/>
      <c r="DIY9" s="3426"/>
      <c r="DIZ9" s="3426"/>
      <c r="DJA9" s="3426"/>
      <c r="DJB9" s="3426"/>
      <c r="DJC9" s="3426"/>
      <c r="DJD9" s="3426"/>
      <c r="DJE9" s="3426"/>
      <c r="DJF9" s="3426"/>
      <c r="DJG9" s="3426"/>
      <c r="DJH9" s="3426"/>
      <c r="DJI9" s="3426"/>
      <c r="DJJ9" s="3426"/>
      <c r="DJK9" s="3426"/>
      <c r="DJL9" s="3426"/>
      <c r="DJM9" s="3426"/>
      <c r="DJN9" s="3426"/>
      <c r="DJO9" s="3426"/>
      <c r="DJP9" s="3426"/>
      <c r="DJQ9" s="3426"/>
      <c r="DJR9" s="3426"/>
      <c r="DJS9" s="3426"/>
      <c r="DJT9" s="3426"/>
      <c r="DJU9" s="3426"/>
      <c r="DJV9" s="3426"/>
      <c r="DJW9" s="3426"/>
      <c r="DJX9" s="3426"/>
      <c r="DJY9" s="3426"/>
      <c r="DJZ9" s="3426"/>
      <c r="DKA9" s="3426"/>
      <c r="DKB9" s="3426"/>
      <c r="DKC9" s="3426"/>
      <c r="DKD9" s="3426"/>
      <c r="DKE9" s="3426"/>
      <c r="DKF9" s="3426"/>
      <c r="DKG9" s="3426"/>
      <c r="DKH9" s="3426"/>
      <c r="DKI9" s="3426"/>
      <c r="DKJ9" s="3426"/>
      <c r="DKK9" s="3426"/>
      <c r="DKL9" s="3426"/>
      <c r="DKM9" s="3426"/>
      <c r="DKN9" s="3426"/>
      <c r="DKO9" s="3426"/>
      <c r="DKP9" s="3426"/>
      <c r="DKQ9" s="3426"/>
      <c r="DKR9" s="3426"/>
      <c r="DKS9" s="3426"/>
      <c r="DKT9" s="3426"/>
      <c r="DKU9" s="3426"/>
      <c r="DKV9" s="3426"/>
      <c r="DKW9" s="3426"/>
      <c r="DKX9" s="3426"/>
      <c r="DKY9" s="3426"/>
      <c r="DKZ9" s="3426"/>
      <c r="DLA9" s="3426"/>
      <c r="DLB9" s="3426"/>
      <c r="DLC9" s="3426"/>
      <c r="DLD9" s="3426"/>
      <c r="DLE9" s="3426"/>
      <c r="DLF9" s="3426"/>
      <c r="DLG9" s="3426"/>
      <c r="DLH9" s="3426"/>
      <c r="DLI9" s="3426"/>
      <c r="DLJ9" s="3426"/>
      <c r="DLK9" s="3426"/>
      <c r="DLL9" s="3426"/>
      <c r="DLM9" s="3426"/>
      <c r="DLN9" s="3426"/>
      <c r="DLO9" s="3426"/>
      <c r="DLP9" s="3426"/>
      <c r="DLQ9" s="3426"/>
      <c r="DLR9" s="3426"/>
      <c r="DLS9" s="3426"/>
      <c r="DLT9" s="3426"/>
      <c r="DLU9" s="3426"/>
      <c r="DLV9" s="3426"/>
      <c r="DLW9" s="3426"/>
      <c r="DLX9" s="3426"/>
      <c r="DLY9" s="3426"/>
      <c r="DLZ9" s="3426"/>
      <c r="DMA9" s="3426"/>
      <c r="DMB9" s="3426"/>
      <c r="DMC9" s="3426"/>
      <c r="DMD9" s="3426"/>
      <c r="DME9" s="3426"/>
      <c r="DMF9" s="3426"/>
      <c r="DMG9" s="3426"/>
      <c r="DMH9" s="3426"/>
      <c r="DMI9" s="3426"/>
      <c r="DMJ9" s="3426"/>
      <c r="DMK9" s="3426"/>
      <c r="DML9" s="3426"/>
      <c r="DMM9" s="3426"/>
      <c r="DMN9" s="3426"/>
      <c r="DMO9" s="3426"/>
      <c r="DMP9" s="3426"/>
      <c r="DMQ9" s="3426"/>
      <c r="DMR9" s="3426"/>
      <c r="DMS9" s="3426"/>
      <c r="DMT9" s="3426"/>
      <c r="DMU9" s="3426"/>
      <c r="DMV9" s="3426"/>
      <c r="DMW9" s="3426"/>
      <c r="DMX9" s="3426"/>
      <c r="DMY9" s="3426"/>
      <c r="DMZ9" s="3426"/>
      <c r="DNA9" s="3426"/>
      <c r="DNB9" s="3426"/>
      <c r="DNC9" s="3426"/>
      <c r="DND9" s="3426"/>
      <c r="DNE9" s="3426"/>
      <c r="DNF9" s="3426"/>
      <c r="DNG9" s="3426"/>
      <c r="DNH9" s="3426"/>
      <c r="DNI9" s="3426"/>
      <c r="DNJ9" s="3426"/>
      <c r="DNK9" s="3426"/>
      <c r="DNL9" s="3426"/>
      <c r="DNM9" s="3426"/>
      <c r="DNN9" s="3426"/>
      <c r="DNO9" s="3426"/>
      <c r="DNP9" s="3426"/>
      <c r="DNQ9" s="3426"/>
      <c r="DNR9" s="3426"/>
      <c r="DNS9" s="3426"/>
      <c r="DNT9" s="3426"/>
      <c r="DNU9" s="3426"/>
      <c r="DNV9" s="3426"/>
      <c r="DNW9" s="3426"/>
      <c r="DNX9" s="3426"/>
      <c r="DNY9" s="3426"/>
      <c r="DNZ9" s="3426"/>
      <c r="DOA9" s="3426"/>
      <c r="DOB9" s="3426"/>
      <c r="DOC9" s="3426"/>
      <c r="DOD9" s="3426"/>
      <c r="DOE9" s="3426"/>
      <c r="DOF9" s="3426"/>
      <c r="DOG9" s="3426"/>
      <c r="DOH9" s="3426"/>
      <c r="DOI9" s="3426"/>
      <c r="DOJ9" s="3426"/>
      <c r="DOK9" s="3426"/>
      <c r="DOL9" s="3426"/>
      <c r="DOM9" s="3426"/>
      <c r="DON9" s="3426"/>
      <c r="DOO9" s="3426"/>
      <c r="DOP9" s="3426"/>
      <c r="DOQ9" s="3426"/>
      <c r="DOR9" s="3426"/>
      <c r="DOS9" s="3426"/>
      <c r="DOT9" s="3426"/>
      <c r="DOU9" s="3426"/>
      <c r="DOV9" s="3426"/>
      <c r="DOW9" s="3426"/>
      <c r="DOX9" s="3426"/>
      <c r="DOY9" s="3426"/>
      <c r="DOZ9" s="3426"/>
      <c r="DPA9" s="3426"/>
      <c r="DPB9" s="3426"/>
      <c r="DPC9" s="3426"/>
      <c r="DPD9" s="3426"/>
      <c r="DPE9" s="3426"/>
      <c r="DPF9" s="3426"/>
      <c r="DPG9" s="3426"/>
      <c r="DPH9" s="3426"/>
      <c r="DPI9" s="3426"/>
      <c r="DPJ9" s="3426"/>
      <c r="DPK9" s="3426"/>
      <c r="DPL9" s="3426"/>
      <c r="DPM9" s="3426"/>
      <c r="DPN9" s="3426"/>
      <c r="DPO9" s="3426"/>
      <c r="DPP9" s="3426"/>
      <c r="DPQ9" s="3426"/>
      <c r="DPR9" s="3426"/>
      <c r="DPS9" s="3426"/>
      <c r="DPT9" s="3426"/>
      <c r="DPU9" s="3426"/>
      <c r="DPV9" s="3426"/>
      <c r="DPW9" s="3426"/>
      <c r="DPX9" s="3426"/>
      <c r="DPY9" s="3426"/>
      <c r="DPZ9" s="3426"/>
      <c r="DQA9" s="3426"/>
      <c r="DQB9" s="3426"/>
      <c r="DQC9" s="3426"/>
      <c r="DQD9" s="3426"/>
      <c r="DQE9" s="3426"/>
      <c r="DQF9" s="3426"/>
      <c r="DQG9" s="3426"/>
      <c r="DQH9" s="3426"/>
      <c r="DQI9" s="3426"/>
      <c r="DQJ9" s="3426"/>
      <c r="DQK9" s="3426"/>
      <c r="DQL9" s="3426"/>
      <c r="DQM9" s="3426"/>
      <c r="DQN9" s="3426"/>
      <c r="DQO9" s="3426"/>
      <c r="DQP9" s="3426"/>
      <c r="DQQ9" s="3426"/>
      <c r="DQR9" s="3426"/>
      <c r="DQS9" s="3426"/>
      <c r="DQT9" s="3426"/>
      <c r="DQU9" s="3426"/>
      <c r="DQV9" s="3426"/>
      <c r="DQW9" s="3426"/>
      <c r="DQX9" s="3426"/>
      <c r="DQY9" s="3426"/>
      <c r="DQZ9" s="3426"/>
      <c r="DRA9" s="3426"/>
      <c r="DRB9" s="3426"/>
      <c r="DRC9" s="3426"/>
      <c r="DRD9" s="3426"/>
      <c r="DRE9" s="3426"/>
      <c r="DRF9" s="3426"/>
      <c r="DRG9" s="3426"/>
      <c r="DRH9" s="3426"/>
      <c r="DRI9" s="3426"/>
      <c r="DRJ9" s="3426"/>
      <c r="DRK9" s="3426"/>
      <c r="DRL9" s="3426"/>
      <c r="DRM9" s="3426"/>
      <c r="DRN9" s="3426"/>
      <c r="DRO9" s="3426"/>
      <c r="DRP9" s="3426"/>
      <c r="DRQ9" s="3426"/>
      <c r="DRR9" s="3426"/>
      <c r="DRS9" s="3426"/>
      <c r="DRT9" s="3426"/>
      <c r="DRU9" s="3426"/>
      <c r="DRV9" s="3426"/>
      <c r="DRW9" s="3426"/>
      <c r="DRX9" s="3426"/>
      <c r="DRY9" s="3426"/>
      <c r="DRZ9" s="3426"/>
      <c r="DSA9" s="3426"/>
      <c r="DSB9" s="3426"/>
      <c r="DSC9" s="3426"/>
      <c r="DSD9" s="3426"/>
      <c r="DSE9" s="3426"/>
      <c r="DSF9" s="3426"/>
      <c r="DSG9" s="3426"/>
      <c r="DSH9" s="3426"/>
      <c r="DSI9" s="3426"/>
      <c r="DSJ9" s="3426"/>
      <c r="DSK9" s="3426"/>
      <c r="DSL9" s="3426"/>
      <c r="DSM9" s="3426"/>
      <c r="DSN9" s="3426"/>
      <c r="DSO9" s="3426"/>
      <c r="DSP9" s="3426"/>
      <c r="DSQ9" s="3426"/>
      <c r="DSR9" s="3426"/>
      <c r="DSS9" s="3426"/>
      <c r="DST9" s="3426"/>
      <c r="DSU9" s="3426"/>
      <c r="DSV9" s="3426"/>
      <c r="DSW9" s="3426"/>
      <c r="DSX9" s="3426"/>
      <c r="DSY9" s="3426"/>
      <c r="DSZ9" s="3426"/>
      <c r="DTA9" s="3426"/>
      <c r="DTB9" s="3426"/>
      <c r="DTC9" s="3426"/>
      <c r="DTD9" s="3426"/>
      <c r="DTE9" s="3426"/>
      <c r="DTF9" s="3426"/>
      <c r="DTG9" s="3426"/>
      <c r="DTH9" s="3426"/>
      <c r="DTI9" s="3426"/>
      <c r="DTJ9" s="3426"/>
      <c r="DTK9" s="3426"/>
      <c r="DTL9" s="3426"/>
      <c r="DTM9" s="3426"/>
      <c r="DTN9" s="3426"/>
      <c r="DTO9" s="3426"/>
      <c r="DTP9" s="3426"/>
      <c r="DTQ9" s="3426"/>
      <c r="DTR9" s="3426"/>
      <c r="DTS9" s="3426"/>
      <c r="DTT9" s="3426"/>
      <c r="DTU9" s="3426"/>
      <c r="DTV9" s="3426"/>
      <c r="DTW9" s="3426"/>
      <c r="DTX9" s="3426"/>
      <c r="DTY9" s="3426"/>
      <c r="DTZ9" s="3426"/>
      <c r="DUA9" s="3426"/>
      <c r="DUB9" s="3426"/>
      <c r="DUC9" s="3426"/>
      <c r="DUD9" s="3426"/>
      <c r="DUE9" s="3426"/>
      <c r="DUF9" s="3426"/>
      <c r="DUG9" s="3426"/>
      <c r="DUH9" s="3426"/>
      <c r="DUI9" s="3426"/>
      <c r="DUJ9" s="3426"/>
      <c r="DUK9" s="3426"/>
      <c r="DUL9" s="3426"/>
      <c r="DUM9" s="3426"/>
      <c r="DUN9" s="3426"/>
      <c r="DUO9" s="3426"/>
      <c r="DUP9" s="3426"/>
      <c r="DUQ9" s="3426"/>
      <c r="DUR9" s="3426"/>
      <c r="DUS9" s="3426"/>
      <c r="DUT9" s="3426"/>
      <c r="DUU9" s="3426"/>
      <c r="DUV9" s="3426"/>
      <c r="DUW9" s="3426"/>
      <c r="DUX9" s="3426"/>
      <c r="DUY9" s="3426"/>
      <c r="DUZ9" s="3426"/>
      <c r="DVA9" s="3426"/>
      <c r="DVB9" s="3426"/>
      <c r="DVC9" s="3426"/>
      <c r="DVD9" s="3426"/>
      <c r="DVE9" s="3426"/>
      <c r="DVF9" s="3426"/>
      <c r="DVG9" s="3426"/>
      <c r="DVH9" s="3426"/>
      <c r="DVI9" s="3426"/>
      <c r="DVJ9" s="3426"/>
      <c r="DVK9" s="3426"/>
      <c r="DVL9" s="3426"/>
      <c r="DVM9" s="3426"/>
      <c r="DVN9" s="3426"/>
      <c r="DVO9" s="3426"/>
      <c r="DVP9" s="3426"/>
      <c r="DVQ9" s="3426"/>
      <c r="DVR9" s="3426"/>
      <c r="DVS9" s="3426"/>
      <c r="DVT9" s="3426"/>
      <c r="DVU9" s="3426"/>
      <c r="DVV9" s="3426"/>
      <c r="DVW9" s="3426"/>
      <c r="DVX9" s="3426"/>
      <c r="DVY9" s="3426"/>
      <c r="DVZ9" s="3426"/>
      <c r="DWA9" s="3426"/>
      <c r="DWB9" s="3426"/>
      <c r="DWC9" s="3426"/>
      <c r="DWD9" s="3426"/>
      <c r="DWE9" s="3426"/>
      <c r="DWF9" s="3426"/>
      <c r="DWG9" s="3426"/>
      <c r="DWH9" s="3426"/>
      <c r="DWI9" s="3426"/>
      <c r="DWJ9" s="3426"/>
      <c r="DWK9" s="3426"/>
      <c r="DWL9" s="3426"/>
      <c r="DWM9" s="3426"/>
      <c r="DWN9" s="3426"/>
      <c r="DWO9" s="3426"/>
      <c r="DWP9" s="3426"/>
      <c r="DWQ9" s="3426"/>
      <c r="DWR9" s="3426"/>
      <c r="DWS9" s="3426"/>
      <c r="DWT9" s="3426"/>
      <c r="DWU9" s="3426"/>
      <c r="DWV9" s="3426"/>
      <c r="DWW9" s="3426"/>
      <c r="DWX9" s="3426"/>
      <c r="DWY9" s="3426"/>
      <c r="DWZ9" s="3426"/>
      <c r="DXA9" s="3426"/>
      <c r="DXB9" s="3426"/>
      <c r="DXC9" s="3426"/>
      <c r="DXD9" s="3426"/>
      <c r="DXE9" s="3426"/>
      <c r="DXF9" s="3426"/>
      <c r="DXG9" s="3426"/>
      <c r="DXH9" s="3426"/>
      <c r="DXI9" s="3426"/>
      <c r="DXJ9" s="3426"/>
      <c r="DXK9" s="3426"/>
      <c r="DXL9" s="3426"/>
      <c r="DXM9" s="3426"/>
      <c r="DXN9" s="3426"/>
      <c r="DXO9" s="3426"/>
      <c r="DXP9" s="3426"/>
      <c r="DXQ9" s="3426"/>
      <c r="DXR9" s="3426"/>
      <c r="DXS9" s="3426"/>
      <c r="DXT9" s="3426"/>
      <c r="DXU9" s="3426"/>
      <c r="DXV9" s="3426"/>
      <c r="DXW9" s="3426"/>
      <c r="DXX9" s="3426"/>
      <c r="DXY9" s="3426"/>
      <c r="DXZ9" s="3426"/>
      <c r="DYA9" s="3426"/>
      <c r="DYB9" s="3426"/>
      <c r="DYC9" s="3426"/>
      <c r="DYD9" s="3426"/>
      <c r="DYE9" s="3426"/>
      <c r="DYF9" s="3426"/>
      <c r="DYG9" s="3426"/>
      <c r="DYH9" s="3426"/>
      <c r="DYI9" s="3426"/>
      <c r="DYJ9" s="3426"/>
      <c r="DYK9" s="3426"/>
      <c r="DYL9" s="3426"/>
      <c r="DYM9" s="3426"/>
      <c r="DYN9" s="3426"/>
      <c r="DYO9" s="3426"/>
      <c r="DYP9" s="3426"/>
      <c r="DYQ9" s="3426"/>
      <c r="DYR9" s="3426"/>
      <c r="DYS9" s="3426"/>
      <c r="DYT9" s="3426"/>
      <c r="DYU9" s="3426"/>
      <c r="DYV9" s="3426"/>
      <c r="DYW9" s="3426"/>
      <c r="DYX9" s="3426"/>
      <c r="DYY9" s="3426"/>
      <c r="DYZ9" s="3426"/>
      <c r="DZA9" s="3426"/>
      <c r="DZB9" s="3426"/>
      <c r="DZC9" s="3426"/>
      <c r="DZD9" s="3426"/>
      <c r="DZE9" s="3426"/>
      <c r="DZF9" s="3426"/>
      <c r="DZG9" s="3426"/>
      <c r="DZH9" s="3426"/>
      <c r="DZI9" s="3426"/>
      <c r="DZJ9" s="3426"/>
      <c r="DZK9" s="3426"/>
      <c r="DZL9" s="3426"/>
      <c r="DZM9" s="3426"/>
      <c r="DZN9" s="3426"/>
      <c r="DZO9" s="3426"/>
      <c r="DZP9" s="3426"/>
      <c r="DZQ9" s="3426"/>
      <c r="DZR9" s="3426"/>
      <c r="DZS9" s="3426"/>
      <c r="DZT9" s="3426"/>
      <c r="DZU9" s="3426"/>
      <c r="DZV9" s="3426"/>
      <c r="DZW9" s="3426"/>
      <c r="DZX9" s="3426"/>
      <c r="DZY9" s="3426"/>
      <c r="DZZ9" s="3426"/>
      <c r="EAA9" s="3426"/>
      <c r="EAB9" s="3426"/>
      <c r="EAC9" s="3426"/>
      <c r="EAD9" s="3426"/>
      <c r="EAE9" s="3426"/>
      <c r="EAF9" s="3426"/>
      <c r="EAG9" s="3426"/>
      <c r="EAH9" s="3426"/>
      <c r="EAI9" s="3426"/>
      <c r="EAJ9" s="3426"/>
      <c r="EAK9" s="3426"/>
      <c r="EAL9" s="3426"/>
      <c r="EAM9" s="3426"/>
      <c r="EAN9" s="3426"/>
      <c r="EAO9" s="3426"/>
      <c r="EAP9" s="3426"/>
      <c r="EAQ9" s="3426"/>
      <c r="EAR9" s="3426"/>
      <c r="EAS9" s="3426"/>
      <c r="EAT9" s="3426"/>
      <c r="EAU9" s="3426"/>
      <c r="EAV9" s="3426"/>
      <c r="EAW9" s="3426"/>
      <c r="EAX9" s="3426"/>
      <c r="EAY9" s="3426"/>
      <c r="EAZ9" s="3426"/>
      <c r="EBA9" s="3426"/>
      <c r="EBB9" s="3426"/>
      <c r="EBC9" s="3426"/>
      <c r="EBD9" s="3426"/>
      <c r="EBE9" s="3426"/>
      <c r="EBF9" s="3426"/>
      <c r="EBG9" s="3426"/>
      <c r="EBH9" s="3426"/>
      <c r="EBI9" s="3426"/>
      <c r="EBJ9" s="3426"/>
      <c r="EBK9" s="3426"/>
      <c r="EBL9" s="3426"/>
      <c r="EBM9" s="3426"/>
      <c r="EBN9" s="3426"/>
      <c r="EBO9" s="3426"/>
      <c r="EBP9" s="3426"/>
      <c r="EBQ9" s="3426"/>
      <c r="EBR9" s="3426"/>
      <c r="EBS9" s="3426"/>
      <c r="EBT9" s="3426"/>
      <c r="EBU9" s="3426"/>
      <c r="EBV9" s="3426"/>
      <c r="EBW9" s="3426"/>
      <c r="EBX9" s="3426"/>
      <c r="EBY9" s="3426"/>
      <c r="EBZ9" s="3426"/>
      <c r="ECA9" s="3426"/>
      <c r="ECB9" s="3426"/>
      <c r="ECC9" s="3426"/>
      <c r="ECD9" s="3426"/>
      <c r="ECE9" s="3426"/>
      <c r="ECF9" s="3426"/>
      <c r="ECG9" s="3426"/>
      <c r="ECH9" s="3426"/>
      <c r="ECI9" s="3426"/>
      <c r="ECJ9" s="3426"/>
      <c r="ECK9" s="3426"/>
      <c r="ECL9" s="3426"/>
      <c r="ECM9" s="3426"/>
      <c r="ECN9" s="3426"/>
      <c r="ECO9" s="3426"/>
      <c r="ECP9" s="3426"/>
      <c r="ECQ9" s="3426"/>
      <c r="ECR9" s="3426"/>
      <c r="ECS9" s="3426"/>
      <c r="ECT9" s="3426"/>
      <c r="ECU9" s="3426"/>
      <c r="ECV9" s="3426"/>
      <c r="ECW9" s="3426"/>
      <c r="ECX9" s="3426"/>
      <c r="ECY9" s="3426"/>
      <c r="ECZ9" s="3426"/>
      <c r="EDA9" s="3426"/>
      <c r="EDB9" s="3426"/>
      <c r="EDC9" s="3426"/>
      <c r="EDD9" s="3426"/>
      <c r="EDE9" s="3426"/>
      <c r="EDF9" s="3426"/>
      <c r="EDG9" s="3426"/>
      <c r="EDH9" s="3426"/>
      <c r="EDI9" s="3426"/>
      <c r="EDJ9" s="3426"/>
      <c r="EDK9" s="3426"/>
      <c r="EDL9" s="3426"/>
      <c r="EDM9" s="3426"/>
      <c r="EDN9" s="3426"/>
      <c r="EDO9" s="3426"/>
      <c r="EDP9" s="3426"/>
      <c r="EDQ9" s="3426"/>
      <c r="EDR9" s="3426"/>
      <c r="EDS9" s="3426"/>
      <c r="EDT9" s="3426"/>
      <c r="EDU9" s="3426"/>
      <c r="EDV9" s="3426"/>
      <c r="EDW9" s="3426"/>
      <c r="EDX9" s="3426"/>
      <c r="EDY9" s="3426"/>
      <c r="EDZ9" s="3426"/>
      <c r="EEA9" s="3426"/>
      <c r="EEB9" s="3426"/>
      <c r="EEC9" s="3426"/>
      <c r="EED9" s="3426"/>
      <c r="EEE9" s="3426"/>
      <c r="EEF9" s="3426"/>
      <c r="EEG9" s="3426"/>
      <c r="EEH9" s="3426"/>
      <c r="EEI9" s="3426"/>
      <c r="EEJ9" s="3426"/>
      <c r="EEK9" s="3426"/>
      <c r="EEL9" s="3426"/>
      <c r="EEM9" s="3426"/>
      <c r="EEN9" s="3426"/>
      <c r="EEO9" s="3426"/>
      <c r="EEP9" s="3426"/>
      <c r="EEQ9" s="3426"/>
      <c r="EER9" s="3426"/>
      <c r="EES9" s="3426"/>
      <c r="EET9" s="3426"/>
      <c r="EEU9" s="3426"/>
      <c r="EEV9" s="3426"/>
      <c r="EEW9" s="3426"/>
      <c r="EEX9" s="3426"/>
      <c r="EEY9" s="3426"/>
      <c r="EEZ9" s="3426"/>
      <c r="EFA9" s="3426"/>
      <c r="EFB9" s="3426"/>
      <c r="EFC9" s="3426"/>
      <c r="EFD9" s="3426"/>
      <c r="EFE9" s="3426"/>
      <c r="EFF9" s="3426"/>
      <c r="EFG9" s="3426"/>
      <c r="EFH9" s="3426"/>
      <c r="EFI9" s="3426"/>
      <c r="EFJ9" s="3426"/>
      <c r="EFK9" s="3426"/>
      <c r="EFL9" s="3426"/>
      <c r="EFM9" s="3426"/>
      <c r="EFN9" s="3426"/>
      <c r="EFO9" s="3426"/>
      <c r="EFP9" s="3426"/>
      <c r="EFQ9" s="3426"/>
      <c r="EFR9" s="3426"/>
      <c r="EFS9" s="3426"/>
      <c r="EFT9" s="3426"/>
      <c r="EFU9" s="3426"/>
      <c r="EFV9" s="3426"/>
      <c r="EFW9" s="3426"/>
      <c r="EFX9" s="3426"/>
      <c r="EFY9" s="3426"/>
      <c r="EFZ9" s="3426"/>
      <c r="EGA9" s="3426"/>
      <c r="EGB9" s="3426"/>
      <c r="EGC9" s="3426"/>
      <c r="EGD9" s="3426"/>
      <c r="EGE9" s="3426"/>
      <c r="EGF9" s="3426"/>
      <c r="EGG9" s="3426"/>
      <c r="EGH9" s="3426"/>
      <c r="EGI9" s="3426"/>
      <c r="EGJ9" s="3426"/>
      <c r="EGK9" s="3426"/>
      <c r="EGL9" s="3426"/>
      <c r="EGM9" s="3426"/>
      <c r="EGN9" s="3426"/>
      <c r="EGO9" s="3426"/>
      <c r="EGP9" s="3426"/>
      <c r="EGQ9" s="3426"/>
      <c r="EGR9" s="3426"/>
      <c r="EGS9" s="3426"/>
      <c r="EGT9" s="3426"/>
      <c r="EGU9" s="3426"/>
      <c r="EGV9" s="3426"/>
      <c r="EGW9" s="3426"/>
      <c r="EGX9" s="3426"/>
      <c r="EGY9" s="3426"/>
      <c r="EGZ9" s="3426"/>
      <c r="EHA9" s="3426"/>
      <c r="EHB9" s="3426"/>
      <c r="EHC9" s="3426"/>
      <c r="EHD9" s="3426"/>
      <c r="EHE9" s="3426"/>
      <c r="EHF9" s="3426"/>
      <c r="EHG9" s="3426"/>
      <c r="EHH9" s="3426"/>
      <c r="EHI9" s="3426"/>
      <c r="EHJ9" s="3426"/>
      <c r="EHK9" s="3426"/>
      <c r="EHL9" s="3426"/>
      <c r="EHM9" s="3426"/>
      <c r="EHN9" s="3426"/>
      <c r="EHO9" s="3426"/>
      <c r="EHP9" s="3426"/>
      <c r="EHQ9" s="3426"/>
      <c r="EHR9" s="3426"/>
      <c r="EHS9" s="3426"/>
      <c r="EHT9" s="3426"/>
      <c r="EHU9" s="3426"/>
      <c r="EHV9" s="3426"/>
      <c r="EHW9" s="3426"/>
      <c r="EHX9" s="3426"/>
      <c r="EHY9" s="3426"/>
      <c r="EHZ9" s="3426"/>
      <c r="EIA9" s="3426"/>
      <c r="EIB9" s="3426"/>
      <c r="EIC9" s="3426"/>
      <c r="EID9" s="3426"/>
      <c r="EIE9" s="3426"/>
      <c r="EIF9" s="3426"/>
      <c r="EIG9" s="3426"/>
      <c r="EIH9" s="3426"/>
      <c r="EII9" s="3426"/>
      <c r="EIJ9" s="3426"/>
      <c r="EIK9" s="3426"/>
      <c r="EIL9" s="3426"/>
      <c r="EIM9" s="3426"/>
      <c r="EIN9" s="3426"/>
      <c r="EIO9" s="3426"/>
      <c r="EIP9" s="3426"/>
      <c r="EIQ9" s="3426"/>
      <c r="EIR9" s="3426"/>
      <c r="EIS9" s="3426"/>
      <c r="EIT9" s="3426"/>
      <c r="EIU9" s="3426"/>
      <c r="EIV9" s="3426"/>
      <c r="EIW9" s="3426"/>
      <c r="EIX9" s="3426"/>
      <c r="EIY9" s="3426"/>
      <c r="EIZ9" s="3426"/>
      <c r="EJA9" s="3426"/>
      <c r="EJB9" s="3426"/>
      <c r="EJC9" s="3426"/>
      <c r="EJD9" s="3426"/>
      <c r="EJE9" s="3426"/>
      <c r="EJF9" s="3426"/>
      <c r="EJG9" s="3426"/>
      <c r="EJH9" s="3426"/>
      <c r="EJI9" s="3426"/>
      <c r="EJJ9" s="3426"/>
      <c r="EJK9" s="3426"/>
      <c r="EJL9" s="3426"/>
      <c r="EJM9" s="3426"/>
      <c r="EJN9" s="3426"/>
      <c r="EJO9" s="3426"/>
      <c r="EJP9" s="3426"/>
      <c r="EJQ9" s="3426"/>
      <c r="EJR9" s="3426"/>
      <c r="EJS9" s="3426"/>
      <c r="EJT9" s="3426"/>
      <c r="EJU9" s="3426"/>
      <c r="EJV9" s="3426"/>
      <c r="EJW9" s="3426"/>
      <c r="EJX9" s="3426"/>
      <c r="EJY9" s="3426"/>
      <c r="EJZ9" s="3426"/>
      <c r="EKA9" s="3426"/>
      <c r="EKB9" s="3426"/>
      <c r="EKC9" s="3426"/>
      <c r="EKD9" s="3426"/>
      <c r="EKE9" s="3426"/>
      <c r="EKF9" s="3426"/>
      <c r="EKG9" s="3426"/>
      <c r="EKH9" s="3426"/>
      <c r="EKI9" s="3426"/>
      <c r="EKJ9" s="3426"/>
      <c r="EKK9" s="3426"/>
      <c r="EKL9" s="3426"/>
      <c r="EKM9" s="3426"/>
      <c r="EKN9" s="3426"/>
      <c r="EKO9" s="3426"/>
      <c r="EKP9" s="3426"/>
      <c r="EKQ9" s="3426"/>
      <c r="EKR9" s="3426"/>
      <c r="EKS9" s="3426"/>
      <c r="EKT9" s="3426"/>
      <c r="EKU9" s="3426"/>
      <c r="EKV9" s="3426"/>
      <c r="EKW9" s="3426"/>
      <c r="EKX9" s="3426"/>
      <c r="EKY9" s="3426"/>
      <c r="EKZ9" s="3426"/>
      <c r="ELA9" s="3426"/>
      <c r="ELB9" s="3426"/>
      <c r="ELC9" s="3426"/>
      <c r="ELD9" s="3426"/>
      <c r="ELE9" s="3426"/>
      <c r="ELF9" s="3426"/>
      <c r="ELG9" s="3426"/>
      <c r="ELH9" s="3426"/>
      <c r="ELI9" s="3426"/>
      <c r="ELJ9" s="3426"/>
      <c r="ELK9" s="3426"/>
      <c r="ELL9" s="3426"/>
      <c r="ELM9" s="3426"/>
      <c r="ELN9" s="3426"/>
      <c r="ELO9" s="3426"/>
      <c r="ELP9" s="3426"/>
      <c r="ELQ9" s="3426"/>
      <c r="ELR9" s="3426"/>
      <c r="ELS9" s="3426"/>
      <c r="ELT9" s="3426"/>
      <c r="ELU9" s="3426"/>
      <c r="ELV9" s="3426"/>
      <c r="ELW9" s="3426"/>
      <c r="ELX9" s="3426"/>
      <c r="ELY9" s="3426"/>
      <c r="ELZ9" s="3426"/>
      <c r="EMA9" s="3426"/>
      <c r="EMB9" s="3426"/>
      <c r="EMC9" s="3426"/>
      <c r="EMD9" s="3426"/>
      <c r="EME9" s="3426"/>
      <c r="EMF9" s="3426"/>
      <c r="EMG9" s="3426"/>
      <c r="EMH9" s="3426"/>
      <c r="EMI9" s="3426"/>
      <c r="EMJ9" s="3426"/>
      <c r="EMK9" s="3426"/>
      <c r="EML9" s="3426"/>
      <c r="EMM9" s="3426"/>
      <c r="EMN9" s="3426"/>
      <c r="EMO9" s="3426"/>
      <c r="EMP9" s="3426"/>
      <c r="EMQ9" s="3426"/>
      <c r="EMR9" s="3426"/>
      <c r="EMS9" s="3426"/>
      <c r="EMT9" s="3426"/>
      <c r="EMU9" s="3426"/>
      <c r="EMV9" s="3426"/>
      <c r="EMW9" s="3426"/>
      <c r="EMX9" s="3426"/>
      <c r="EMY9" s="3426"/>
      <c r="EMZ9" s="3426"/>
      <c r="ENA9" s="3426"/>
      <c r="ENB9" s="3426"/>
      <c r="ENC9" s="3426"/>
      <c r="END9" s="3426"/>
      <c r="ENE9" s="3426"/>
      <c r="ENF9" s="3426"/>
      <c r="ENG9" s="3426"/>
      <c r="ENH9" s="3426"/>
      <c r="ENI9" s="3426"/>
      <c r="ENJ9" s="3426"/>
      <c r="ENK9" s="3426"/>
      <c r="ENL9" s="3426"/>
      <c r="ENM9" s="3426"/>
      <c r="ENN9" s="3426"/>
      <c r="ENO9" s="3426"/>
      <c r="ENP9" s="3426"/>
      <c r="ENQ9" s="3426"/>
      <c r="ENR9" s="3426"/>
      <c r="ENS9" s="3426"/>
      <c r="ENT9" s="3426"/>
      <c r="ENU9" s="3426"/>
      <c r="ENV9" s="3426"/>
      <c r="ENW9" s="3426"/>
      <c r="ENX9" s="3426"/>
      <c r="ENY9" s="3426"/>
      <c r="ENZ9" s="3426"/>
      <c r="EOA9" s="3426"/>
      <c r="EOB9" s="3426"/>
      <c r="EOC9" s="3426"/>
      <c r="EOD9" s="3426"/>
      <c r="EOE9" s="3426"/>
      <c r="EOF9" s="3426"/>
      <c r="EOG9" s="3426"/>
      <c r="EOH9" s="3426"/>
      <c r="EOI9" s="3426"/>
      <c r="EOJ9" s="3426"/>
      <c r="EOK9" s="3426"/>
      <c r="EOL9" s="3426"/>
      <c r="EOM9" s="3426"/>
      <c r="EON9" s="3426"/>
      <c r="EOO9" s="3426"/>
      <c r="EOP9" s="3426"/>
      <c r="EOQ9" s="3426"/>
      <c r="EOR9" s="3426"/>
      <c r="EOS9" s="3426"/>
      <c r="EOT9" s="3426"/>
      <c r="EOU9" s="3426"/>
      <c r="EOV9" s="3426"/>
      <c r="EOW9" s="3426"/>
      <c r="EOX9" s="3426"/>
      <c r="EOY9" s="3426"/>
      <c r="EOZ9" s="3426"/>
      <c r="EPA9" s="3426"/>
      <c r="EPB9" s="3426"/>
      <c r="EPC9" s="3426"/>
      <c r="EPD9" s="3426"/>
      <c r="EPE9" s="3426"/>
      <c r="EPF9" s="3426"/>
      <c r="EPG9" s="3426"/>
      <c r="EPH9" s="3426"/>
      <c r="EPI9" s="3426"/>
      <c r="EPJ9" s="3426"/>
      <c r="EPK9" s="3426"/>
      <c r="EPL9" s="3426"/>
      <c r="EPM9" s="3426"/>
      <c r="EPN9" s="3426"/>
      <c r="EPO9" s="3426"/>
      <c r="EPP9" s="3426"/>
      <c r="EPQ9" s="3426"/>
      <c r="EPR9" s="3426"/>
      <c r="EPS9" s="3426"/>
      <c r="EPT9" s="3426"/>
      <c r="EPU9" s="3426"/>
      <c r="EPV9" s="3426"/>
      <c r="EPW9" s="3426"/>
      <c r="EPX9" s="3426"/>
      <c r="EPY9" s="3426"/>
      <c r="EPZ9" s="3426"/>
      <c r="EQA9" s="3426"/>
      <c r="EQB9" s="3426"/>
      <c r="EQC9" s="3426"/>
      <c r="EQD9" s="3426"/>
      <c r="EQE9" s="3426"/>
      <c r="EQF9" s="3426"/>
      <c r="EQG9" s="3426"/>
      <c r="EQH9" s="3426"/>
      <c r="EQI9" s="3426"/>
      <c r="EQJ9" s="3426"/>
      <c r="EQK9" s="3426"/>
      <c r="EQL9" s="3426"/>
      <c r="EQM9" s="3426"/>
      <c r="EQN9" s="3426"/>
      <c r="EQO9" s="3426"/>
      <c r="EQP9" s="3426"/>
      <c r="EQQ9" s="3426"/>
      <c r="EQR9" s="3426"/>
      <c r="EQS9" s="3426"/>
      <c r="EQT9" s="3426"/>
      <c r="EQU9" s="3426"/>
      <c r="EQV9" s="3426"/>
      <c r="EQW9" s="3426"/>
      <c r="EQX9" s="3426"/>
      <c r="EQY9" s="3426"/>
      <c r="EQZ9" s="3426"/>
      <c r="ERA9" s="3426"/>
      <c r="ERB9" s="3426"/>
      <c r="ERC9" s="3426"/>
      <c r="ERD9" s="3426"/>
      <c r="ERE9" s="3426"/>
      <c r="ERF9" s="3426"/>
      <c r="ERG9" s="3426"/>
      <c r="ERH9" s="3426"/>
      <c r="ERI9" s="3426"/>
      <c r="ERJ9" s="3426"/>
      <c r="ERK9" s="3426"/>
      <c r="ERL9" s="3426"/>
      <c r="ERM9" s="3426"/>
      <c r="ERN9" s="3426"/>
      <c r="ERO9" s="3426"/>
      <c r="ERP9" s="3426"/>
      <c r="ERQ9" s="3426"/>
      <c r="ERR9" s="3426"/>
      <c r="ERS9" s="3426"/>
      <c r="ERT9" s="3426"/>
      <c r="ERU9" s="3426"/>
      <c r="ERV9" s="3426"/>
      <c r="ERW9" s="3426"/>
      <c r="ERX9" s="3426"/>
      <c r="ERY9" s="3426"/>
      <c r="ERZ9" s="3426"/>
      <c r="ESA9" s="3426"/>
      <c r="ESB9" s="3426"/>
      <c r="ESC9" s="3426"/>
      <c r="ESD9" s="3426"/>
      <c r="ESE9" s="3426"/>
      <c r="ESF9" s="3426"/>
      <c r="ESG9" s="3426"/>
      <c r="ESH9" s="3426"/>
      <c r="ESI9" s="3426"/>
      <c r="ESJ9" s="3426"/>
      <c r="ESK9" s="3426"/>
      <c r="ESL9" s="3426"/>
      <c r="ESM9" s="3426"/>
      <c r="ESN9" s="3426"/>
      <c r="ESO9" s="3426"/>
      <c r="ESP9" s="3426"/>
      <c r="ESQ9" s="3426"/>
      <c r="ESR9" s="3426"/>
      <c r="ESS9" s="3426"/>
      <c r="EST9" s="3426"/>
      <c r="ESU9" s="3426"/>
      <c r="ESV9" s="3426"/>
      <c r="ESW9" s="3426"/>
      <c r="ESX9" s="3426"/>
      <c r="ESY9" s="3426"/>
      <c r="ESZ9" s="3426"/>
      <c r="ETA9" s="3426"/>
      <c r="ETB9" s="3426"/>
      <c r="ETC9" s="3426"/>
      <c r="ETD9" s="3426"/>
      <c r="ETE9" s="3426"/>
      <c r="ETF9" s="3426"/>
      <c r="ETG9" s="3426"/>
      <c r="ETH9" s="3426"/>
      <c r="ETI9" s="3426"/>
      <c r="ETJ9" s="3426"/>
      <c r="ETK9" s="3426"/>
      <c r="ETL9" s="3426"/>
      <c r="ETM9" s="3426"/>
      <c r="ETN9" s="3426"/>
      <c r="ETO9" s="3426"/>
      <c r="ETP9" s="3426"/>
      <c r="ETQ9" s="3426"/>
      <c r="ETR9" s="3426"/>
      <c r="ETS9" s="3426"/>
      <c r="ETT9" s="3426"/>
      <c r="ETU9" s="3426"/>
      <c r="ETV9" s="3426"/>
      <c r="ETW9" s="3426"/>
      <c r="ETX9" s="3426"/>
      <c r="ETY9" s="3426"/>
      <c r="ETZ9" s="3426"/>
      <c r="EUA9" s="3426"/>
      <c r="EUB9" s="3426"/>
      <c r="EUC9" s="3426"/>
      <c r="EUD9" s="3426"/>
      <c r="EUE9" s="3426"/>
      <c r="EUF9" s="3426"/>
      <c r="EUG9" s="3426"/>
      <c r="EUH9" s="3426"/>
      <c r="EUI9" s="3426"/>
      <c r="EUJ9" s="3426"/>
      <c r="EUK9" s="3426"/>
      <c r="EUL9" s="3426"/>
      <c r="EUM9" s="3426"/>
      <c r="EUN9" s="3426"/>
      <c r="EUO9" s="3426"/>
      <c r="EUP9" s="3426"/>
      <c r="EUQ9" s="3426"/>
      <c r="EUR9" s="3426"/>
      <c r="EUS9" s="3426"/>
      <c r="EUT9" s="3426"/>
      <c r="EUU9" s="3426"/>
      <c r="EUV9" s="3426"/>
      <c r="EUW9" s="3426"/>
      <c r="EUX9" s="3426"/>
      <c r="EUY9" s="3426"/>
      <c r="EUZ9" s="3426"/>
      <c r="EVA9" s="3426"/>
      <c r="EVB9" s="3426"/>
      <c r="EVC9" s="3426"/>
      <c r="EVD9" s="3426"/>
      <c r="EVE9" s="3426"/>
      <c r="EVF9" s="3426"/>
      <c r="EVG9" s="3426"/>
      <c r="EVH9" s="3426"/>
      <c r="EVI9" s="3426"/>
      <c r="EVJ9" s="3426"/>
      <c r="EVK9" s="3426"/>
      <c r="EVL9" s="3426"/>
      <c r="EVM9" s="3426"/>
      <c r="EVN9" s="3426"/>
      <c r="EVO9" s="3426"/>
      <c r="EVP9" s="3426"/>
      <c r="EVQ9" s="3426"/>
      <c r="EVR9" s="3426"/>
      <c r="EVS9" s="3426"/>
      <c r="EVT9" s="3426"/>
      <c r="EVU9" s="3426"/>
      <c r="EVV9" s="3426"/>
      <c r="EVW9" s="3426"/>
      <c r="EVX9" s="3426"/>
      <c r="EVY9" s="3426"/>
      <c r="EVZ9" s="3426"/>
      <c r="EWA9" s="3426"/>
      <c r="EWB9" s="3426"/>
      <c r="EWC9" s="3426"/>
      <c r="EWD9" s="3426"/>
      <c r="EWE9" s="3426"/>
      <c r="EWF9" s="3426"/>
      <c r="EWG9" s="3426"/>
      <c r="EWH9" s="3426"/>
      <c r="EWI9" s="3426"/>
      <c r="EWJ9" s="3426"/>
      <c r="EWK9" s="3426"/>
      <c r="EWL9" s="3426"/>
      <c r="EWM9" s="3426"/>
      <c r="EWN9" s="3426"/>
      <c r="EWO9" s="3426"/>
      <c r="EWP9" s="3426"/>
      <c r="EWQ9" s="3426"/>
      <c r="EWR9" s="3426"/>
      <c r="EWS9" s="3426"/>
      <c r="EWT9" s="3426"/>
      <c r="EWU9" s="3426"/>
      <c r="EWV9" s="3426"/>
      <c r="EWW9" s="3426"/>
      <c r="EWX9" s="3426"/>
      <c r="EWY9" s="3426"/>
      <c r="EWZ9" s="3426"/>
      <c r="EXA9" s="3426"/>
      <c r="EXB9" s="3426"/>
      <c r="EXC9" s="3426"/>
      <c r="EXD9" s="3426"/>
      <c r="EXE9" s="3426"/>
      <c r="EXF9" s="3426"/>
      <c r="EXG9" s="3426"/>
      <c r="EXH9" s="3426"/>
      <c r="EXI9" s="3426"/>
      <c r="EXJ9" s="3426"/>
      <c r="EXK9" s="3426"/>
      <c r="EXL9" s="3426"/>
      <c r="EXM9" s="3426"/>
      <c r="EXN9" s="3426"/>
      <c r="EXO9" s="3426"/>
      <c r="EXP9" s="3426"/>
      <c r="EXQ9" s="3426"/>
      <c r="EXR9" s="3426"/>
      <c r="EXS9" s="3426"/>
      <c r="EXT9" s="3426"/>
      <c r="EXU9" s="3426"/>
      <c r="EXV9" s="3426"/>
      <c r="EXW9" s="3426"/>
      <c r="EXX9" s="3426"/>
      <c r="EXY9" s="3426"/>
      <c r="EXZ9" s="3426"/>
      <c r="EYA9" s="3426"/>
      <c r="EYB9" s="3426"/>
      <c r="EYC9" s="3426"/>
      <c r="EYD9" s="3426"/>
      <c r="EYE9" s="3426"/>
      <c r="EYF9" s="3426"/>
      <c r="EYG9" s="3426"/>
      <c r="EYH9" s="3426"/>
      <c r="EYI9" s="3426"/>
      <c r="EYJ9" s="3426"/>
      <c r="EYK9" s="3426"/>
      <c r="EYL9" s="3426"/>
      <c r="EYM9" s="3426"/>
      <c r="EYN9" s="3426"/>
      <c r="EYO9" s="3426"/>
      <c r="EYP9" s="3426"/>
      <c r="EYQ9" s="3426"/>
      <c r="EYR9" s="3426"/>
      <c r="EYS9" s="3426"/>
      <c r="EYT9" s="3426"/>
      <c r="EYU9" s="3426"/>
      <c r="EYV9" s="3426"/>
      <c r="EYW9" s="3426"/>
      <c r="EYX9" s="3426"/>
      <c r="EYY9" s="3426"/>
      <c r="EYZ9" s="3426"/>
      <c r="EZA9" s="3426"/>
      <c r="EZB9" s="3426"/>
      <c r="EZC9" s="3426"/>
      <c r="EZD9" s="3426"/>
      <c r="EZE9" s="3426"/>
      <c r="EZF9" s="3426"/>
      <c r="EZG9" s="3426"/>
      <c r="EZH9" s="3426"/>
      <c r="EZI9" s="3426"/>
      <c r="EZJ9" s="3426"/>
      <c r="EZK9" s="3426"/>
      <c r="EZL9" s="3426"/>
      <c r="EZM9" s="3426"/>
      <c r="EZN9" s="3426"/>
      <c r="EZO9" s="3426"/>
      <c r="EZP9" s="3426"/>
      <c r="EZQ9" s="3426"/>
      <c r="EZR9" s="3426"/>
      <c r="EZS9" s="3426"/>
      <c r="EZT9" s="3426"/>
      <c r="EZU9" s="3426"/>
      <c r="EZV9" s="3426"/>
      <c r="EZW9" s="3426"/>
      <c r="EZX9" s="3426"/>
      <c r="EZY9" s="3426"/>
      <c r="EZZ9" s="3426"/>
      <c r="FAA9" s="3426"/>
      <c r="FAB9" s="3426"/>
      <c r="FAC9" s="3426"/>
      <c r="FAD9" s="3426"/>
      <c r="FAE9" s="3426"/>
      <c r="FAF9" s="3426"/>
      <c r="FAG9" s="3426"/>
      <c r="FAH9" s="3426"/>
      <c r="FAI9" s="3426"/>
      <c r="FAJ9" s="3426"/>
      <c r="FAK9" s="3426"/>
      <c r="FAL9" s="3426"/>
      <c r="FAM9" s="3426"/>
      <c r="FAN9" s="3426"/>
      <c r="FAO9" s="3426"/>
      <c r="FAP9" s="3426"/>
      <c r="FAQ9" s="3426"/>
      <c r="FAR9" s="3426"/>
      <c r="FAS9" s="3426"/>
      <c r="FAT9" s="3426"/>
      <c r="FAU9" s="3426"/>
      <c r="FAV9" s="3426"/>
      <c r="FAW9" s="3426"/>
      <c r="FAX9" s="3426"/>
      <c r="FAY9" s="3426"/>
      <c r="FAZ9" s="3426"/>
      <c r="FBA9" s="3426"/>
      <c r="FBB9" s="3426"/>
      <c r="FBC9" s="3426"/>
      <c r="FBD9" s="3426"/>
      <c r="FBE9" s="3426"/>
      <c r="FBF9" s="3426"/>
      <c r="FBG9" s="3426"/>
      <c r="FBH9" s="3426"/>
      <c r="FBI9" s="3426"/>
      <c r="FBJ9" s="3426"/>
      <c r="FBK9" s="3426"/>
      <c r="FBL9" s="3426"/>
      <c r="FBM9" s="3426"/>
      <c r="FBN9" s="3426"/>
      <c r="FBO9" s="3426"/>
      <c r="FBP9" s="3426"/>
      <c r="FBQ9" s="3426"/>
      <c r="FBR9" s="3426"/>
      <c r="FBS9" s="3426"/>
      <c r="FBT9" s="3426"/>
      <c r="FBU9" s="3426"/>
      <c r="FBV9" s="3426"/>
      <c r="FBW9" s="3426"/>
      <c r="FBX9" s="3426"/>
      <c r="FBY9" s="3426"/>
      <c r="FBZ9" s="3426"/>
      <c r="FCA9" s="3426"/>
      <c r="FCB9" s="3426"/>
      <c r="FCC9" s="3426"/>
      <c r="FCD9" s="3426"/>
      <c r="FCE9" s="3426"/>
      <c r="FCF9" s="3426"/>
      <c r="FCG9" s="3426"/>
      <c r="FCH9" s="3426"/>
      <c r="FCI9" s="3426"/>
      <c r="FCJ9" s="3426"/>
      <c r="FCK9" s="3426"/>
      <c r="FCL9" s="3426"/>
      <c r="FCM9" s="3426"/>
      <c r="FCN9" s="3426"/>
      <c r="FCO9" s="3426"/>
      <c r="FCP9" s="3426"/>
      <c r="FCQ9" s="3426"/>
      <c r="FCR9" s="3426"/>
      <c r="FCS9" s="3426"/>
      <c r="FCT9" s="3426"/>
      <c r="FCU9" s="3426"/>
      <c r="FCV9" s="3426"/>
      <c r="FCW9" s="3426"/>
      <c r="FCX9" s="3426"/>
      <c r="FCY9" s="3426"/>
      <c r="FCZ9" s="3426"/>
      <c r="FDA9" s="3426"/>
      <c r="FDB9" s="3426"/>
      <c r="FDC9" s="3426"/>
      <c r="FDD9" s="3426"/>
      <c r="FDE9" s="3426"/>
      <c r="FDF9" s="3426"/>
      <c r="FDG9" s="3426"/>
      <c r="FDH9" s="3426"/>
      <c r="FDI9" s="3426"/>
      <c r="FDJ9" s="3426"/>
      <c r="FDK9" s="3426"/>
      <c r="FDL9" s="3426"/>
      <c r="FDM9" s="3426"/>
      <c r="FDN9" s="3426"/>
      <c r="FDO9" s="3426"/>
      <c r="FDP9" s="3426"/>
      <c r="FDQ9" s="3426"/>
      <c r="FDR9" s="3426"/>
      <c r="FDS9" s="3426"/>
      <c r="FDT9" s="3426"/>
      <c r="FDU9" s="3426"/>
      <c r="FDV9" s="3426"/>
      <c r="FDW9" s="3426"/>
      <c r="FDX9" s="3426"/>
      <c r="FDY9" s="3426"/>
      <c r="FDZ9" s="3426"/>
      <c r="FEA9" s="3426"/>
      <c r="FEB9" s="3426"/>
      <c r="FEC9" s="3426"/>
      <c r="FED9" s="3426"/>
      <c r="FEE9" s="3426"/>
      <c r="FEF9" s="3426"/>
      <c r="FEG9" s="3426"/>
      <c r="FEH9" s="3426"/>
      <c r="FEI9" s="3426"/>
      <c r="FEJ9" s="3426"/>
      <c r="FEK9" s="3426"/>
      <c r="FEL9" s="3426"/>
      <c r="FEM9" s="3426"/>
      <c r="FEN9" s="3426"/>
      <c r="FEO9" s="3426"/>
      <c r="FEP9" s="3426"/>
      <c r="FEQ9" s="3426"/>
      <c r="FER9" s="3426"/>
      <c r="FES9" s="3426"/>
      <c r="FET9" s="3426"/>
      <c r="FEU9" s="3426"/>
      <c r="FEV9" s="3426"/>
      <c r="FEW9" s="3426"/>
      <c r="FEX9" s="3426"/>
      <c r="FEY9" s="3426"/>
      <c r="FEZ9" s="3426"/>
      <c r="FFA9" s="3426"/>
      <c r="FFB9" s="3426"/>
      <c r="FFC9" s="3426"/>
      <c r="FFD9" s="3426"/>
      <c r="FFE9" s="3426"/>
      <c r="FFF9" s="3426"/>
      <c r="FFG9" s="3426"/>
      <c r="FFH9" s="3426"/>
      <c r="FFI9" s="3426"/>
      <c r="FFJ9" s="3426"/>
      <c r="FFK9" s="3426"/>
      <c r="FFL9" s="3426"/>
      <c r="FFM9" s="3426"/>
      <c r="FFN9" s="3426"/>
      <c r="FFO9" s="3426"/>
      <c r="FFP9" s="3426"/>
      <c r="FFQ9" s="3426"/>
      <c r="FFR9" s="3426"/>
      <c r="FFS9" s="3426"/>
      <c r="FFT9" s="3426"/>
      <c r="FFU9" s="3426"/>
      <c r="FFV9" s="3426"/>
      <c r="FFW9" s="3426"/>
      <c r="FFX9" s="3426"/>
      <c r="FFY9" s="3426"/>
      <c r="FFZ9" s="3426"/>
      <c r="FGA9" s="3426"/>
      <c r="FGB9" s="3426"/>
      <c r="FGC9" s="3426"/>
      <c r="FGD9" s="3426"/>
      <c r="FGE9" s="3426"/>
      <c r="FGF9" s="3426"/>
      <c r="FGG9" s="3426"/>
      <c r="FGH9" s="3426"/>
      <c r="FGI9" s="3426"/>
      <c r="FGJ9" s="3426"/>
      <c r="FGK9" s="3426"/>
      <c r="FGL9" s="3426"/>
      <c r="FGM9" s="3426"/>
      <c r="FGN9" s="3426"/>
      <c r="FGO9" s="3426"/>
      <c r="FGP9" s="3426"/>
      <c r="FGQ9" s="3426"/>
      <c r="FGR9" s="3426"/>
      <c r="FGS9" s="3426"/>
      <c r="FGT9" s="3426"/>
      <c r="FGU9" s="3426"/>
      <c r="FGV9" s="3426"/>
      <c r="FGW9" s="3426"/>
      <c r="FGX9" s="3426"/>
      <c r="FGY9" s="3426"/>
      <c r="FGZ9" s="3426"/>
      <c r="FHA9" s="3426"/>
      <c r="FHB9" s="3426"/>
      <c r="FHC9" s="3426"/>
      <c r="FHD9" s="3426"/>
      <c r="FHE9" s="3426"/>
      <c r="FHF9" s="3426"/>
      <c r="FHG9" s="3426"/>
      <c r="FHH9" s="3426"/>
      <c r="FHI9" s="3426"/>
      <c r="FHJ9" s="3426"/>
      <c r="FHK9" s="3426"/>
      <c r="FHL9" s="3426"/>
      <c r="FHM9" s="3426"/>
      <c r="FHN9" s="3426"/>
      <c r="FHO9" s="3426"/>
      <c r="FHP9" s="3426"/>
      <c r="FHQ9" s="3426"/>
      <c r="FHR9" s="3426"/>
      <c r="FHS9" s="3426"/>
      <c r="FHT9" s="3426"/>
      <c r="FHU9" s="3426"/>
      <c r="FHV9" s="3426"/>
      <c r="FHW9" s="3426"/>
      <c r="FHX9" s="3426"/>
      <c r="FHY9" s="3426"/>
      <c r="FHZ9" s="3426"/>
      <c r="FIA9" s="3426"/>
      <c r="FIB9" s="3426"/>
      <c r="FIC9" s="3426"/>
      <c r="FID9" s="3426"/>
      <c r="FIE9" s="3426"/>
      <c r="FIF9" s="3426"/>
      <c r="FIG9" s="3426"/>
      <c r="FIH9" s="3426"/>
      <c r="FII9" s="3426"/>
      <c r="FIJ9" s="3426"/>
      <c r="FIK9" s="3426"/>
      <c r="FIL9" s="3426"/>
      <c r="FIM9" s="3426"/>
      <c r="FIN9" s="3426"/>
      <c r="FIO9" s="3426"/>
      <c r="FIP9" s="3426"/>
      <c r="FIQ9" s="3426"/>
      <c r="FIR9" s="3426"/>
      <c r="FIS9" s="3426"/>
      <c r="FIT9" s="3426"/>
      <c r="FIU9" s="3426"/>
      <c r="FIV9" s="3426"/>
      <c r="FIW9" s="3426"/>
      <c r="FIX9" s="3426"/>
      <c r="FIY9" s="3426"/>
      <c r="FIZ9" s="3426"/>
      <c r="FJA9" s="3426"/>
      <c r="FJB9" s="3426"/>
      <c r="FJC9" s="3426"/>
      <c r="FJD9" s="3426"/>
      <c r="FJE9" s="3426"/>
      <c r="FJF9" s="3426"/>
      <c r="FJG9" s="3426"/>
      <c r="FJH9" s="3426"/>
      <c r="FJI9" s="3426"/>
      <c r="FJJ9" s="3426"/>
      <c r="FJK9" s="3426"/>
      <c r="FJL9" s="3426"/>
      <c r="FJM9" s="3426"/>
      <c r="FJN9" s="3426"/>
      <c r="FJO9" s="3426"/>
      <c r="FJP9" s="3426"/>
      <c r="FJQ9" s="3426"/>
      <c r="FJR9" s="3426"/>
      <c r="FJS9" s="3426"/>
      <c r="FJT9" s="3426"/>
      <c r="FJU9" s="3426"/>
      <c r="FJV9" s="3426"/>
      <c r="FJW9" s="3426"/>
      <c r="FJX9" s="3426"/>
      <c r="FJY9" s="3426"/>
      <c r="FJZ9" s="3426"/>
      <c r="FKA9" s="3426"/>
      <c r="FKB9" s="3426"/>
      <c r="FKC9" s="3426"/>
      <c r="FKD9" s="3426"/>
      <c r="FKE9" s="3426"/>
      <c r="FKF9" s="3426"/>
      <c r="FKG9" s="3426"/>
      <c r="FKH9" s="3426"/>
      <c r="FKI9" s="3426"/>
      <c r="FKJ9" s="3426"/>
      <c r="FKK9" s="3426"/>
      <c r="FKL9" s="3426"/>
      <c r="FKM9" s="3426"/>
      <c r="FKN9" s="3426"/>
      <c r="FKO9" s="3426"/>
      <c r="FKP9" s="3426"/>
      <c r="FKQ9" s="3426"/>
      <c r="FKR9" s="3426"/>
      <c r="FKS9" s="3426"/>
      <c r="FKT9" s="3426"/>
      <c r="FKU9" s="3426"/>
      <c r="FKV9" s="3426"/>
      <c r="FKW9" s="3426"/>
      <c r="FKX9" s="3426"/>
      <c r="FKY9" s="3426"/>
      <c r="FKZ9" s="3426"/>
      <c r="FLA9" s="3426"/>
      <c r="FLB9" s="3426"/>
      <c r="FLC9" s="3426"/>
      <c r="FLD9" s="3426"/>
      <c r="FLE9" s="3426"/>
      <c r="FLF9" s="3426"/>
      <c r="FLG9" s="3426"/>
      <c r="FLH9" s="3426"/>
      <c r="FLI9" s="3426"/>
      <c r="FLJ9" s="3426"/>
      <c r="FLK9" s="3426"/>
      <c r="FLL9" s="3426"/>
      <c r="FLM9" s="3426"/>
      <c r="FLN9" s="3426"/>
      <c r="FLO9" s="3426"/>
      <c r="FLP9" s="3426"/>
      <c r="FLQ9" s="3426"/>
      <c r="FLR9" s="3426"/>
      <c r="FLS9" s="3426"/>
      <c r="FLT9" s="3426"/>
      <c r="FLU9" s="3426"/>
      <c r="FLV9" s="3426"/>
      <c r="FLW9" s="3426"/>
      <c r="FLX9" s="3426"/>
      <c r="FLY9" s="3426"/>
      <c r="FLZ9" s="3426"/>
      <c r="FMA9" s="3426"/>
      <c r="FMB9" s="3426"/>
      <c r="FMC9" s="3426"/>
      <c r="FMD9" s="3426"/>
      <c r="FME9" s="3426"/>
      <c r="FMF9" s="3426"/>
      <c r="FMG9" s="3426"/>
      <c r="FMH9" s="3426"/>
      <c r="FMI9" s="3426"/>
      <c r="FMJ9" s="3426"/>
      <c r="FMK9" s="3426"/>
      <c r="FML9" s="3426"/>
      <c r="FMM9" s="3426"/>
      <c r="FMN9" s="3426"/>
      <c r="FMO9" s="3426"/>
      <c r="FMP9" s="3426"/>
      <c r="FMQ9" s="3426"/>
      <c r="FMR9" s="3426"/>
      <c r="FMS9" s="3426"/>
      <c r="FMT9" s="3426"/>
      <c r="FMU9" s="3426"/>
      <c r="FMV9" s="3426"/>
      <c r="FMW9" s="3426"/>
      <c r="FMX9" s="3426"/>
      <c r="FMY9" s="3426"/>
      <c r="FMZ9" s="3426"/>
      <c r="FNA9" s="3426"/>
      <c r="FNB9" s="3426"/>
      <c r="FNC9" s="3426"/>
      <c r="FND9" s="3426"/>
      <c r="FNE9" s="3426"/>
      <c r="FNF9" s="3426"/>
      <c r="FNG9" s="3426"/>
      <c r="FNH9" s="3426"/>
      <c r="FNI9" s="3426"/>
      <c r="FNJ9" s="3426"/>
      <c r="FNK9" s="3426"/>
      <c r="FNL9" s="3426"/>
      <c r="FNM9" s="3426"/>
      <c r="FNN9" s="3426"/>
      <c r="FNO9" s="3426"/>
      <c r="FNP9" s="3426"/>
      <c r="FNQ9" s="3426"/>
      <c r="FNR9" s="3426"/>
      <c r="FNS9" s="3426"/>
      <c r="FNT9" s="3426"/>
      <c r="FNU9" s="3426"/>
      <c r="FNV9" s="3426"/>
      <c r="FNW9" s="3426"/>
      <c r="FNX9" s="3426"/>
      <c r="FNY9" s="3426"/>
      <c r="FNZ9" s="3426"/>
      <c r="FOA9" s="3426"/>
      <c r="FOB9" s="3426"/>
      <c r="FOC9" s="3426"/>
      <c r="FOD9" s="3426"/>
      <c r="FOE9" s="3426"/>
      <c r="FOF9" s="3426"/>
      <c r="FOG9" s="3426"/>
      <c r="FOH9" s="3426"/>
      <c r="FOI9" s="3426"/>
      <c r="FOJ9" s="3426"/>
      <c r="FOK9" s="3426"/>
      <c r="FOL9" s="3426"/>
      <c r="FOM9" s="3426"/>
      <c r="FON9" s="3426"/>
      <c r="FOO9" s="3426"/>
      <c r="FOP9" s="3426"/>
      <c r="FOQ9" s="3426"/>
      <c r="FOR9" s="3426"/>
      <c r="FOS9" s="3426"/>
      <c r="FOT9" s="3426"/>
      <c r="FOU9" s="3426"/>
      <c r="FOV9" s="3426"/>
      <c r="FOW9" s="3426"/>
      <c r="FOX9" s="3426"/>
      <c r="FOY9" s="3426"/>
      <c r="FOZ9" s="3426"/>
      <c r="FPA9" s="3426"/>
      <c r="FPB9" s="3426"/>
      <c r="FPC9" s="3426"/>
      <c r="FPD9" s="3426"/>
      <c r="FPE9" s="3426"/>
      <c r="FPF9" s="3426"/>
      <c r="FPG9" s="3426"/>
      <c r="FPH9" s="3426"/>
      <c r="FPI9" s="3426"/>
      <c r="FPJ9" s="3426"/>
      <c r="FPK9" s="3426"/>
      <c r="FPL9" s="3426"/>
      <c r="FPM9" s="3426"/>
      <c r="FPN9" s="3426"/>
      <c r="FPO9" s="3426"/>
      <c r="FPP9" s="3426"/>
      <c r="FPQ9" s="3426"/>
      <c r="FPR9" s="3426"/>
      <c r="FPS9" s="3426"/>
      <c r="FPT9" s="3426"/>
      <c r="FPU9" s="3426"/>
      <c r="FPV9" s="3426"/>
      <c r="FPW9" s="3426"/>
      <c r="FPX9" s="3426"/>
      <c r="FPY9" s="3426"/>
      <c r="FPZ9" s="3426"/>
      <c r="FQA9" s="3426"/>
      <c r="FQB9" s="3426"/>
      <c r="FQC9" s="3426"/>
      <c r="FQD9" s="3426"/>
      <c r="FQE9" s="3426"/>
      <c r="FQF9" s="3426"/>
      <c r="FQG9" s="3426"/>
      <c r="FQH9" s="3426"/>
      <c r="FQI9" s="3426"/>
      <c r="FQJ9" s="3426"/>
      <c r="FQK9" s="3426"/>
      <c r="FQL9" s="3426"/>
      <c r="FQM9" s="3426"/>
      <c r="FQN9" s="3426"/>
      <c r="FQO9" s="3426"/>
      <c r="FQP9" s="3426"/>
      <c r="FQQ9" s="3426"/>
      <c r="FQR9" s="3426"/>
      <c r="FQS9" s="3426"/>
      <c r="FQT9" s="3426"/>
      <c r="FQU9" s="3426"/>
      <c r="FQV9" s="3426"/>
      <c r="FQW9" s="3426"/>
      <c r="FQX9" s="3426"/>
      <c r="FQY9" s="3426"/>
      <c r="FQZ9" s="3426"/>
      <c r="FRA9" s="3426"/>
      <c r="FRB9" s="3426"/>
      <c r="FRC9" s="3426"/>
      <c r="FRD9" s="3426"/>
      <c r="FRE9" s="3426"/>
      <c r="FRF9" s="3426"/>
      <c r="FRG9" s="3426"/>
      <c r="FRH9" s="3426"/>
      <c r="FRI9" s="3426"/>
      <c r="FRJ9" s="3426"/>
      <c r="FRK9" s="3426"/>
      <c r="FRL9" s="3426"/>
      <c r="FRM9" s="3426"/>
      <c r="FRN9" s="3426"/>
      <c r="FRO9" s="3426"/>
      <c r="FRP9" s="3426"/>
      <c r="FRQ9" s="3426"/>
      <c r="FRR9" s="3426"/>
      <c r="FRS9" s="3426"/>
      <c r="FRT9" s="3426"/>
      <c r="FRU9" s="3426"/>
      <c r="FRV9" s="3426"/>
      <c r="FRW9" s="3426"/>
      <c r="FRX9" s="3426"/>
      <c r="FRY9" s="3426"/>
      <c r="FRZ9" s="3426"/>
      <c r="FSA9" s="3426"/>
      <c r="FSB9" s="3426"/>
      <c r="FSC9" s="3426"/>
      <c r="FSD9" s="3426"/>
      <c r="FSE9" s="3426"/>
      <c r="FSF9" s="3426"/>
      <c r="FSG9" s="3426"/>
      <c r="FSH9" s="3426"/>
      <c r="FSI9" s="3426"/>
      <c r="FSJ9" s="3426"/>
      <c r="FSK9" s="3426"/>
      <c r="FSL9" s="3426"/>
      <c r="FSM9" s="3426"/>
      <c r="FSN9" s="3426"/>
      <c r="FSO9" s="3426"/>
      <c r="FSP9" s="3426"/>
      <c r="FSQ9" s="3426"/>
      <c r="FSR9" s="3426"/>
      <c r="FSS9" s="3426"/>
      <c r="FST9" s="3426"/>
      <c r="FSU9" s="3426"/>
      <c r="FSV9" s="3426"/>
      <c r="FSW9" s="3426"/>
      <c r="FSX9" s="3426"/>
      <c r="FSY9" s="3426"/>
      <c r="FSZ9" s="3426"/>
      <c r="FTA9" s="3426"/>
      <c r="FTB9" s="3426"/>
      <c r="FTC9" s="3426"/>
      <c r="FTD9" s="3426"/>
      <c r="FTE9" s="3426"/>
      <c r="FTF9" s="3426"/>
      <c r="FTG9" s="3426"/>
      <c r="FTH9" s="3426"/>
      <c r="FTI9" s="3426"/>
      <c r="FTJ9" s="3426"/>
      <c r="FTK9" s="3426"/>
      <c r="FTL9" s="3426"/>
      <c r="FTM9" s="3426"/>
      <c r="FTN9" s="3426"/>
      <c r="FTO9" s="3426"/>
      <c r="FTP9" s="3426"/>
      <c r="FTQ9" s="3426"/>
      <c r="FTR9" s="3426"/>
      <c r="FTS9" s="3426"/>
      <c r="FTT9" s="3426"/>
      <c r="FTU9" s="3426"/>
      <c r="FTV9" s="3426"/>
      <c r="FTW9" s="3426"/>
      <c r="FTX9" s="3426"/>
      <c r="FTY9" s="3426"/>
      <c r="FTZ9" s="3426"/>
      <c r="FUA9" s="3426"/>
      <c r="FUB9" s="3426"/>
      <c r="FUC9" s="3426"/>
      <c r="FUD9" s="3426"/>
      <c r="FUE9" s="3426"/>
      <c r="FUF9" s="3426"/>
      <c r="FUG9" s="3426"/>
      <c r="FUH9" s="3426"/>
      <c r="FUI9" s="3426"/>
      <c r="FUJ9" s="3426"/>
      <c r="FUK9" s="3426"/>
      <c r="FUL9" s="3426"/>
      <c r="FUM9" s="3426"/>
      <c r="FUN9" s="3426"/>
      <c r="FUO9" s="3426"/>
      <c r="FUP9" s="3426"/>
      <c r="FUQ9" s="3426"/>
      <c r="FUR9" s="3426"/>
      <c r="FUS9" s="3426"/>
      <c r="FUT9" s="3426"/>
      <c r="FUU9" s="3426"/>
      <c r="FUV9" s="3426"/>
      <c r="FUW9" s="3426"/>
      <c r="FUX9" s="3426"/>
      <c r="FUY9" s="3426"/>
      <c r="FUZ9" s="3426"/>
      <c r="FVA9" s="3426"/>
      <c r="FVB9" s="3426"/>
      <c r="FVC9" s="3426"/>
      <c r="FVD9" s="3426"/>
      <c r="FVE9" s="3426"/>
      <c r="FVF9" s="3426"/>
      <c r="FVG9" s="3426"/>
      <c r="FVH9" s="3426"/>
      <c r="FVI9" s="3426"/>
      <c r="FVJ9" s="3426"/>
      <c r="FVK9" s="3426"/>
      <c r="FVL9" s="3426"/>
      <c r="FVM9" s="3426"/>
      <c r="FVN9" s="3426"/>
      <c r="FVO9" s="3426"/>
      <c r="FVP9" s="3426"/>
      <c r="FVQ9" s="3426"/>
      <c r="FVR9" s="3426"/>
      <c r="FVS9" s="3426"/>
      <c r="FVT9" s="3426"/>
      <c r="FVU9" s="3426"/>
      <c r="FVV9" s="3426"/>
      <c r="FVW9" s="3426"/>
      <c r="FVX9" s="3426"/>
      <c r="FVY9" s="3426"/>
      <c r="FVZ9" s="3426"/>
      <c r="FWA9" s="3426"/>
      <c r="FWB9" s="3426"/>
      <c r="FWC9" s="3426"/>
      <c r="FWD9" s="3426"/>
      <c r="FWE9" s="3426"/>
      <c r="FWF9" s="3426"/>
      <c r="FWG9" s="3426"/>
      <c r="FWH9" s="3426"/>
      <c r="FWI9" s="3426"/>
      <c r="FWJ9" s="3426"/>
      <c r="FWK9" s="3426"/>
      <c r="FWL9" s="3426"/>
      <c r="FWM9" s="3426"/>
      <c r="FWN9" s="3426"/>
      <c r="FWO9" s="3426"/>
      <c r="FWP9" s="3426"/>
      <c r="FWQ9" s="3426"/>
      <c r="FWR9" s="3426"/>
      <c r="FWS9" s="3426"/>
      <c r="FWT9" s="3426"/>
      <c r="FWU9" s="3426"/>
      <c r="FWV9" s="3426"/>
      <c r="FWW9" s="3426"/>
      <c r="FWX9" s="3426"/>
      <c r="FWY9" s="3426"/>
      <c r="FWZ9" s="3426"/>
      <c r="FXA9" s="3426"/>
      <c r="FXB9" s="3426"/>
      <c r="FXC9" s="3426"/>
      <c r="FXD9" s="3426"/>
      <c r="FXE9" s="3426"/>
      <c r="FXF9" s="3426"/>
      <c r="FXG9" s="3426"/>
      <c r="FXH9" s="3426"/>
      <c r="FXI9" s="3426"/>
      <c r="FXJ9" s="3426"/>
      <c r="FXK9" s="3426"/>
      <c r="FXL9" s="3426"/>
      <c r="FXM9" s="3426"/>
      <c r="FXN9" s="3426"/>
      <c r="FXO9" s="3426"/>
      <c r="FXP9" s="3426"/>
      <c r="FXQ9" s="3426"/>
      <c r="FXR9" s="3426"/>
      <c r="FXS9" s="3426"/>
      <c r="FXT9" s="3426"/>
      <c r="FXU9" s="3426"/>
      <c r="FXV9" s="3426"/>
      <c r="FXW9" s="3426"/>
      <c r="FXX9" s="3426"/>
      <c r="FXY9" s="3426"/>
      <c r="FXZ9" s="3426"/>
      <c r="FYA9" s="3426"/>
      <c r="FYB9" s="3426"/>
      <c r="FYC9" s="3426"/>
      <c r="FYD9" s="3426"/>
      <c r="FYE9" s="3426"/>
      <c r="FYF9" s="3426"/>
      <c r="FYG9" s="3426"/>
      <c r="FYH9" s="3426"/>
      <c r="FYI9" s="3426"/>
      <c r="FYJ9" s="3426"/>
      <c r="FYK9" s="3426"/>
      <c r="FYL9" s="3426"/>
      <c r="FYM9" s="3426"/>
      <c r="FYN9" s="3426"/>
      <c r="FYO9" s="3426"/>
      <c r="FYP9" s="3426"/>
      <c r="FYQ9" s="3426"/>
      <c r="FYR9" s="3426"/>
      <c r="FYS9" s="3426"/>
      <c r="FYT9" s="3426"/>
      <c r="FYU9" s="3426"/>
      <c r="FYV9" s="3426"/>
      <c r="FYW9" s="3426"/>
      <c r="FYX9" s="3426"/>
      <c r="FYY9" s="3426"/>
      <c r="FYZ9" s="3426"/>
      <c r="FZA9" s="3426"/>
      <c r="FZB9" s="3426"/>
      <c r="FZC9" s="3426"/>
      <c r="FZD9" s="3426"/>
      <c r="FZE9" s="3426"/>
      <c r="FZF9" s="3426"/>
      <c r="FZG9" s="3426"/>
      <c r="FZH9" s="3426"/>
      <c r="FZI9" s="3426"/>
      <c r="FZJ9" s="3426"/>
      <c r="FZK9" s="3426"/>
      <c r="FZL9" s="3426"/>
      <c r="FZM9" s="3426"/>
      <c r="FZN9" s="3426"/>
      <c r="FZO9" s="3426"/>
      <c r="FZP9" s="3426"/>
      <c r="FZQ9" s="3426"/>
      <c r="FZR9" s="3426"/>
      <c r="FZS9" s="3426"/>
      <c r="FZT9" s="3426"/>
      <c r="FZU9" s="3426"/>
      <c r="FZV9" s="3426"/>
      <c r="FZW9" s="3426"/>
      <c r="FZX9" s="3426"/>
      <c r="FZY9" s="3426"/>
      <c r="FZZ9" s="3426"/>
      <c r="GAA9" s="3426"/>
      <c r="GAB9" s="3426"/>
      <c r="GAC9" s="3426"/>
      <c r="GAD9" s="3426"/>
      <c r="GAE9" s="3426"/>
      <c r="GAF9" s="3426"/>
      <c r="GAG9" s="3426"/>
      <c r="GAH9" s="3426"/>
      <c r="GAI9" s="3426"/>
      <c r="GAJ9" s="3426"/>
      <c r="GAK9" s="3426"/>
      <c r="GAL9" s="3426"/>
      <c r="GAM9" s="3426"/>
      <c r="GAN9" s="3426"/>
      <c r="GAO9" s="3426"/>
      <c r="GAP9" s="3426"/>
      <c r="GAQ9" s="3426"/>
      <c r="GAR9" s="3426"/>
      <c r="GAS9" s="3426"/>
      <c r="GAT9" s="3426"/>
      <c r="GAU9" s="3426"/>
      <c r="GAV9" s="3426"/>
      <c r="GAW9" s="3426"/>
      <c r="GAX9" s="3426"/>
      <c r="GAY9" s="3426"/>
      <c r="GAZ9" s="3426"/>
      <c r="GBA9" s="3426"/>
      <c r="GBB9" s="3426"/>
      <c r="GBC9" s="3426"/>
      <c r="GBD9" s="3426"/>
      <c r="GBE9" s="3426"/>
      <c r="GBF9" s="3426"/>
      <c r="GBG9" s="3426"/>
      <c r="GBH9" s="3426"/>
      <c r="GBI9" s="3426"/>
      <c r="GBJ9" s="3426"/>
      <c r="GBK9" s="3426"/>
      <c r="GBL9" s="3426"/>
      <c r="GBM9" s="3426"/>
      <c r="GBN9" s="3426"/>
      <c r="GBO9" s="3426"/>
      <c r="GBP9" s="3426"/>
      <c r="GBQ9" s="3426"/>
      <c r="GBR9" s="3426"/>
      <c r="GBS9" s="3426"/>
      <c r="GBT9" s="3426"/>
      <c r="GBU9" s="3426"/>
      <c r="GBV9" s="3426"/>
      <c r="GBW9" s="3426"/>
      <c r="GBX9" s="3426"/>
      <c r="GBY9" s="3426"/>
      <c r="GBZ9" s="3426"/>
      <c r="GCA9" s="3426"/>
      <c r="GCB9" s="3426"/>
      <c r="GCC9" s="3426"/>
      <c r="GCD9" s="3426"/>
      <c r="GCE9" s="3426"/>
      <c r="GCF9" s="3426"/>
      <c r="GCG9" s="3426"/>
      <c r="GCH9" s="3426"/>
      <c r="GCI9" s="3426"/>
      <c r="GCJ9" s="3426"/>
      <c r="GCK9" s="3426"/>
      <c r="GCL9" s="3426"/>
      <c r="GCM9" s="3426"/>
      <c r="GCN9" s="3426"/>
      <c r="GCO9" s="3426"/>
      <c r="GCP9" s="3426"/>
      <c r="GCQ9" s="3426"/>
      <c r="GCR9" s="3426"/>
      <c r="GCS9" s="3426"/>
      <c r="GCT9" s="3426"/>
      <c r="GCU9" s="3426"/>
      <c r="GCV9" s="3426"/>
      <c r="GCW9" s="3426"/>
      <c r="GCX9" s="3426"/>
      <c r="GCY9" s="3426"/>
      <c r="GCZ9" s="3426"/>
      <c r="GDA9" s="3426"/>
      <c r="GDB9" s="3426"/>
      <c r="GDC9" s="3426"/>
      <c r="GDD9" s="3426"/>
      <c r="GDE9" s="3426"/>
      <c r="GDF9" s="3426"/>
      <c r="GDG9" s="3426"/>
      <c r="GDH9" s="3426"/>
      <c r="GDI9" s="3426"/>
      <c r="GDJ9" s="3426"/>
      <c r="GDK9" s="3426"/>
      <c r="GDL9" s="3426"/>
      <c r="GDM9" s="3426"/>
      <c r="GDN9" s="3426"/>
      <c r="GDO9" s="3426"/>
      <c r="GDP9" s="3426"/>
      <c r="GDQ9" s="3426"/>
      <c r="GDR9" s="3426"/>
      <c r="GDS9" s="3426"/>
      <c r="GDT9" s="3426"/>
      <c r="GDU9" s="3426"/>
      <c r="GDV9" s="3426"/>
      <c r="GDW9" s="3426"/>
      <c r="GDX9" s="3426"/>
      <c r="GDY9" s="3426"/>
      <c r="GDZ9" s="3426"/>
      <c r="GEA9" s="3426"/>
      <c r="GEB9" s="3426"/>
      <c r="GEC9" s="3426"/>
      <c r="GED9" s="3426"/>
      <c r="GEE9" s="3426"/>
      <c r="GEF9" s="3426"/>
      <c r="GEG9" s="3426"/>
      <c r="GEH9" s="3426"/>
      <c r="GEI9" s="3426"/>
      <c r="GEJ9" s="3426"/>
      <c r="GEK9" s="3426"/>
      <c r="GEL9" s="3426"/>
      <c r="GEM9" s="3426"/>
      <c r="GEN9" s="3426"/>
      <c r="GEO9" s="3426"/>
      <c r="GEP9" s="3426"/>
      <c r="GEQ9" s="3426"/>
      <c r="GER9" s="3426"/>
      <c r="GES9" s="3426"/>
      <c r="GET9" s="3426"/>
      <c r="GEU9" s="3426"/>
      <c r="GEV9" s="3426"/>
      <c r="GEW9" s="3426"/>
      <c r="GEX9" s="3426"/>
      <c r="GEY9" s="3426"/>
      <c r="GEZ9" s="3426"/>
      <c r="GFA9" s="3426"/>
      <c r="GFB9" s="3426"/>
      <c r="GFC9" s="3426"/>
      <c r="GFD9" s="3426"/>
      <c r="GFE9" s="3426"/>
      <c r="GFF9" s="3426"/>
      <c r="GFG9" s="3426"/>
      <c r="GFH9" s="3426"/>
      <c r="GFI9" s="3426"/>
      <c r="GFJ9" s="3426"/>
      <c r="GFK9" s="3426"/>
      <c r="GFL9" s="3426"/>
      <c r="GFM9" s="3426"/>
      <c r="GFN9" s="3426"/>
      <c r="GFO9" s="3426"/>
      <c r="GFP9" s="3426"/>
      <c r="GFQ9" s="3426"/>
      <c r="GFR9" s="3426"/>
      <c r="GFS9" s="3426"/>
      <c r="GFT9" s="3426"/>
      <c r="GFU9" s="3426"/>
      <c r="GFV9" s="3426"/>
      <c r="GFW9" s="3426"/>
      <c r="GFX9" s="3426"/>
      <c r="GFY9" s="3426"/>
      <c r="GFZ9" s="3426"/>
      <c r="GGA9" s="3426"/>
      <c r="GGB9" s="3426"/>
      <c r="GGC9" s="3426"/>
      <c r="GGD9" s="3426"/>
      <c r="GGE9" s="3426"/>
      <c r="GGF9" s="3426"/>
      <c r="GGG9" s="3426"/>
      <c r="GGH9" s="3426"/>
      <c r="GGI9" s="3426"/>
      <c r="GGJ9" s="3426"/>
      <c r="GGK9" s="3426"/>
      <c r="GGL9" s="3426"/>
      <c r="GGM9" s="3426"/>
      <c r="GGN9" s="3426"/>
      <c r="GGO9" s="3426"/>
      <c r="GGP9" s="3426"/>
      <c r="GGQ9" s="3426"/>
      <c r="GGR9" s="3426"/>
      <c r="GGS9" s="3426"/>
      <c r="GGT9" s="3426"/>
      <c r="GGU9" s="3426"/>
      <c r="GGV9" s="3426"/>
      <c r="GGW9" s="3426"/>
      <c r="GGX9" s="3426"/>
      <c r="GGY9" s="3426"/>
      <c r="GGZ9" s="3426"/>
      <c r="GHA9" s="3426"/>
      <c r="GHB9" s="3426"/>
      <c r="GHC9" s="3426"/>
      <c r="GHD9" s="3426"/>
      <c r="GHE9" s="3426"/>
      <c r="GHF9" s="3426"/>
      <c r="GHG9" s="3426"/>
      <c r="GHH9" s="3426"/>
      <c r="GHI9" s="3426"/>
      <c r="GHJ9" s="3426"/>
      <c r="GHK9" s="3426"/>
      <c r="GHL9" s="3426"/>
      <c r="GHM9" s="3426"/>
      <c r="GHN9" s="3426"/>
      <c r="GHO9" s="3426"/>
      <c r="GHP9" s="3426"/>
      <c r="GHQ9" s="3426"/>
      <c r="GHR9" s="3426"/>
      <c r="GHS9" s="3426"/>
      <c r="GHT9" s="3426"/>
      <c r="GHU9" s="3426"/>
      <c r="GHV9" s="3426"/>
      <c r="GHW9" s="3426"/>
      <c r="GHX9" s="3426"/>
      <c r="GHY9" s="3426"/>
      <c r="GHZ9" s="3426"/>
      <c r="GIA9" s="3426"/>
      <c r="GIB9" s="3426"/>
      <c r="GIC9" s="3426"/>
      <c r="GID9" s="3426"/>
      <c r="GIE9" s="3426"/>
      <c r="GIF9" s="3426"/>
      <c r="GIG9" s="3426"/>
      <c r="GIH9" s="3426"/>
      <c r="GII9" s="3426"/>
      <c r="GIJ9" s="3426"/>
      <c r="GIK9" s="3426"/>
      <c r="GIL9" s="3426"/>
      <c r="GIM9" s="3426"/>
      <c r="GIN9" s="3426"/>
      <c r="GIO9" s="3426"/>
      <c r="GIP9" s="3426"/>
      <c r="GIQ9" s="3426"/>
      <c r="GIR9" s="3426"/>
      <c r="GIS9" s="3426"/>
      <c r="GIT9" s="3426"/>
      <c r="GIU9" s="3426"/>
      <c r="GIV9" s="3426"/>
      <c r="GIW9" s="3426"/>
      <c r="GIX9" s="3426"/>
      <c r="GIY9" s="3426"/>
      <c r="GIZ9" s="3426"/>
      <c r="GJA9" s="3426"/>
      <c r="GJB9" s="3426"/>
      <c r="GJC9" s="3426"/>
      <c r="GJD9" s="3426"/>
      <c r="GJE9" s="3426"/>
      <c r="GJF9" s="3426"/>
      <c r="GJG9" s="3426"/>
      <c r="GJH9" s="3426"/>
      <c r="GJI9" s="3426"/>
      <c r="GJJ9" s="3426"/>
      <c r="GJK9" s="3426"/>
      <c r="GJL9" s="3426"/>
      <c r="GJM9" s="3426"/>
      <c r="GJN9" s="3426"/>
      <c r="GJO9" s="3426"/>
      <c r="GJP9" s="3426"/>
      <c r="GJQ9" s="3426"/>
      <c r="GJR9" s="3426"/>
      <c r="GJS9" s="3426"/>
      <c r="GJT9" s="3426"/>
      <c r="GJU9" s="3426"/>
      <c r="GJV9" s="3426"/>
      <c r="GJW9" s="3426"/>
      <c r="GJX9" s="3426"/>
      <c r="GJY9" s="3426"/>
      <c r="GJZ9" s="3426"/>
      <c r="GKA9" s="3426"/>
      <c r="GKB9" s="3426"/>
      <c r="GKC9" s="3426"/>
      <c r="GKD9" s="3426"/>
      <c r="GKE9" s="3426"/>
      <c r="GKF9" s="3426"/>
      <c r="GKG9" s="3426"/>
      <c r="GKH9" s="3426"/>
      <c r="GKI9" s="3426"/>
      <c r="GKJ9" s="3426"/>
      <c r="GKK9" s="3426"/>
      <c r="GKL9" s="3426"/>
      <c r="GKM9" s="3426"/>
      <c r="GKN9" s="3426"/>
      <c r="GKO9" s="3426"/>
      <c r="GKP9" s="3426"/>
      <c r="GKQ9" s="3426"/>
      <c r="GKR9" s="3426"/>
      <c r="GKS9" s="3426"/>
      <c r="GKT9" s="3426"/>
      <c r="GKU9" s="3426"/>
      <c r="GKV9" s="3426"/>
      <c r="GKW9" s="3426"/>
      <c r="GKX9" s="3426"/>
      <c r="GKY9" s="3426"/>
      <c r="GKZ9" s="3426"/>
      <c r="GLA9" s="3426"/>
      <c r="GLB9" s="3426"/>
      <c r="GLC9" s="3426"/>
      <c r="GLD9" s="3426"/>
      <c r="GLE9" s="3426"/>
      <c r="GLF9" s="3426"/>
      <c r="GLG9" s="3426"/>
      <c r="GLH9" s="3426"/>
      <c r="GLI9" s="3426"/>
      <c r="GLJ9" s="3426"/>
      <c r="GLK9" s="3426"/>
      <c r="GLL9" s="3426"/>
      <c r="GLM9" s="3426"/>
      <c r="GLN9" s="3426"/>
      <c r="GLO9" s="3426"/>
      <c r="GLP9" s="3426"/>
      <c r="GLQ9" s="3426"/>
      <c r="GLR9" s="3426"/>
      <c r="GLS9" s="3426"/>
      <c r="GLT9" s="3426"/>
      <c r="GLU9" s="3426"/>
      <c r="GLV9" s="3426"/>
      <c r="GLW9" s="3426"/>
      <c r="GLX9" s="3426"/>
      <c r="GLY9" s="3426"/>
      <c r="GLZ9" s="3426"/>
      <c r="GMA9" s="3426"/>
      <c r="GMB9" s="3426"/>
      <c r="GMC9" s="3426"/>
      <c r="GMD9" s="3426"/>
      <c r="GME9" s="3426"/>
      <c r="GMF9" s="3426"/>
      <c r="GMG9" s="3426"/>
      <c r="GMH9" s="3426"/>
      <c r="GMI9" s="3426"/>
      <c r="GMJ9" s="3426"/>
      <c r="GMK9" s="3426"/>
      <c r="GML9" s="3426"/>
      <c r="GMM9" s="3426"/>
      <c r="GMN9" s="3426"/>
      <c r="GMO9" s="3426"/>
      <c r="GMP9" s="3426"/>
      <c r="GMQ9" s="3426"/>
      <c r="GMR9" s="3426"/>
      <c r="GMS9" s="3426"/>
      <c r="GMT9" s="3426"/>
      <c r="GMU9" s="3426"/>
      <c r="GMV9" s="3426"/>
      <c r="GMW9" s="3426"/>
      <c r="GMX9" s="3426"/>
      <c r="GMY9" s="3426"/>
      <c r="GMZ9" s="3426"/>
      <c r="GNA9" s="3426"/>
      <c r="GNB9" s="3426"/>
      <c r="GNC9" s="3426"/>
      <c r="GND9" s="3426"/>
      <c r="GNE9" s="3426"/>
      <c r="GNF9" s="3426"/>
      <c r="GNG9" s="3426"/>
      <c r="GNH9" s="3426"/>
      <c r="GNI9" s="3426"/>
      <c r="GNJ9" s="3426"/>
      <c r="GNK9" s="3426"/>
      <c r="GNL9" s="3426"/>
      <c r="GNM9" s="3426"/>
      <c r="GNN9" s="3426"/>
      <c r="GNO9" s="3426"/>
      <c r="GNP9" s="3426"/>
      <c r="GNQ9" s="3426"/>
      <c r="GNR9" s="3426"/>
      <c r="GNS9" s="3426"/>
      <c r="GNT9" s="3426"/>
      <c r="GNU9" s="3426"/>
      <c r="GNV9" s="3426"/>
      <c r="GNW9" s="3426"/>
      <c r="GNX9" s="3426"/>
      <c r="GNY9" s="3426"/>
      <c r="GNZ9" s="3426"/>
      <c r="GOA9" s="3426"/>
      <c r="GOB9" s="3426"/>
      <c r="GOC9" s="3426"/>
      <c r="GOD9" s="3426"/>
      <c r="GOE9" s="3426"/>
      <c r="GOF9" s="3426"/>
      <c r="GOG9" s="3426"/>
      <c r="GOH9" s="3426"/>
      <c r="GOI9" s="3426"/>
      <c r="GOJ9" s="3426"/>
      <c r="GOK9" s="3426"/>
      <c r="GOL9" s="3426"/>
      <c r="GOM9" s="3426"/>
      <c r="GON9" s="3426"/>
      <c r="GOO9" s="3426"/>
      <c r="GOP9" s="3426"/>
      <c r="GOQ9" s="3426"/>
      <c r="GOR9" s="3426"/>
      <c r="GOS9" s="3426"/>
      <c r="GOT9" s="3426"/>
      <c r="GOU9" s="3426"/>
      <c r="GOV9" s="3426"/>
      <c r="GOW9" s="3426"/>
      <c r="GOX9" s="3426"/>
      <c r="GOY9" s="3426"/>
      <c r="GOZ9" s="3426"/>
      <c r="GPA9" s="3426"/>
      <c r="GPB9" s="3426"/>
      <c r="GPC9" s="3426"/>
      <c r="GPD9" s="3426"/>
      <c r="GPE9" s="3426"/>
      <c r="GPF9" s="3426"/>
      <c r="GPG9" s="3426"/>
      <c r="GPH9" s="3426"/>
      <c r="GPI9" s="3426"/>
      <c r="GPJ9" s="3426"/>
      <c r="GPK9" s="3426"/>
      <c r="GPL9" s="3426"/>
      <c r="GPM9" s="3426"/>
      <c r="GPN9" s="3426"/>
      <c r="GPO9" s="3426"/>
      <c r="GPP9" s="3426"/>
      <c r="GPQ9" s="3426"/>
      <c r="GPR9" s="3426"/>
      <c r="GPS9" s="3426"/>
      <c r="GPT9" s="3426"/>
      <c r="GPU9" s="3426"/>
      <c r="GPV9" s="3426"/>
      <c r="GPW9" s="3426"/>
      <c r="GPX9" s="3426"/>
      <c r="GPY9" s="3426"/>
      <c r="GPZ9" s="3426"/>
      <c r="GQA9" s="3426"/>
      <c r="GQB9" s="3426"/>
      <c r="GQC9" s="3426"/>
      <c r="GQD9" s="3426"/>
      <c r="GQE9" s="3426"/>
      <c r="GQF9" s="3426"/>
      <c r="GQG9" s="3426"/>
      <c r="GQH9" s="3426"/>
      <c r="GQI9" s="3426"/>
      <c r="GQJ9" s="3426"/>
      <c r="GQK9" s="3426"/>
      <c r="GQL9" s="3426"/>
      <c r="GQM9" s="3426"/>
      <c r="GQN9" s="3426"/>
      <c r="GQO9" s="3426"/>
      <c r="GQP9" s="3426"/>
      <c r="GQQ9" s="3426"/>
      <c r="GQR9" s="3426"/>
      <c r="GQS9" s="3426"/>
      <c r="GQT9" s="3426"/>
      <c r="GQU9" s="3426"/>
      <c r="GQV9" s="3426"/>
      <c r="GQW9" s="3426"/>
      <c r="GQX9" s="3426"/>
      <c r="GQY9" s="3426"/>
      <c r="GQZ9" s="3426"/>
      <c r="GRA9" s="3426"/>
      <c r="GRB9" s="3426"/>
      <c r="GRC9" s="3426"/>
      <c r="GRD9" s="3426"/>
      <c r="GRE9" s="3426"/>
      <c r="GRF9" s="3426"/>
      <c r="GRG9" s="3426"/>
      <c r="GRH9" s="3426"/>
      <c r="GRI9" s="3426"/>
      <c r="GRJ9" s="3426"/>
      <c r="GRK9" s="3426"/>
      <c r="GRL9" s="3426"/>
      <c r="GRM9" s="3426"/>
      <c r="GRN9" s="3426"/>
      <c r="GRO9" s="3426"/>
      <c r="GRP9" s="3426"/>
      <c r="GRQ9" s="3426"/>
      <c r="GRR9" s="3426"/>
      <c r="GRS9" s="3426"/>
      <c r="GRT9" s="3426"/>
      <c r="GRU9" s="3426"/>
      <c r="GRV9" s="3426"/>
      <c r="GRW9" s="3426"/>
      <c r="GRX9" s="3426"/>
      <c r="GRY9" s="3426"/>
      <c r="GRZ9" s="3426"/>
      <c r="GSA9" s="3426"/>
      <c r="GSB9" s="3426"/>
      <c r="GSC9" s="3426"/>
      <c r="GSD9" s="3426"/>
      <c r="GSE9" s="3426"/>
      <c r="GSF9" s="3426"/>
      <c r="GSG9" s="3426"/>
      <c r="GSH9" s="3426"/>
      <c r="GSI9" s="3426"/>
      <c r="GSJ9" s="3426"/>
      <c r="GSK9" s="3426"/>
      <c r="GSL9" s="3426"/>
      <c r="GSM9" s="3426"/>
      <c r="GSN9" s="3426"/>
      <c r="GSO9" s="3426"/>
      <c r="GSP9" s="3426"/>
      <c r="GSQ9" s="3426"/>
      <c r="GSR9" s="3426"/>
      <c r="GSS9" s="3426"/>
      <c r="GST9" s="3426"/>
      <c r="GSU9" s="3426"/>
      <c r="GSV9" s="3426"/>
      <c r="GSW9" s="3426"/>
      <c r="GSX9" s="3426"/>
      <c r="GSY9" s="3426"/>
      <c r="GSZ9" s="3426"/>
      <c r="GTA9" s="3426"/>
      <c r="GTB9" s="3426"/>
      <c r="GTC9" s="3426"/>
      <c r="GTD9" s="3426"/>
      <c r="GTE9" s="3426"/>
      <c r="GTF9" s="3426"/>
      <c r="GTG9" s="3426"/>
      <c r="GTH9" s="3426"/>
      <c r="GTI9" s="3426"/>
      <c r="GTJ9" s="3426"/>
      <c r="GTK9" s="3426"/>
      <c r="GTL9" s="3426"/>
      <c r="GTM9" s="3426"/>
      <c r="GTN9" s="3426"/>
      <c r="GTO9" s="3426"/>
      <c r="GTP9" s="3426"/>
      <c r="GTQ9" s="3426"/>
      <c r="GTR9" s="3426"/>
      <c r="GTS9" s="3426"/>
      <c r="GTT9" s="3426"/>
      <c r="GTU9" s="3426"/>
      <c r="GTV9" s="3426"/>
      <c r="GTW9" s="3426"/>
      <c r="GTX9" s="3426"/>
      <c r="GTY9" s="3426"/>
      <c r="GTZ9" s="3426"/>
      <c r="GUA9" s="3426"/>
      <c r="GUB9" s="3426"/>
      <c r="GUC9" s="3426"/>
      <c r="GUD9" s="3426"/>
      <c r="GUE9" s="3426"/>
      <c r="GUF9" s="3426"/>
      <c r="GUG9" s="3426"/>
      <c r="GUH9" s="3426"/>
      <c r="GUI9" s="3426"/>
      <c r="GUJ9" s="3426"/>
      <c r="GUK9" s="3426"/>
      <c r="GUL9" s="3426"/>
      <c r="GUM9" s="3426"/>
      <c r="GUN9" s="3426"/>
      <c r="GUO9" s="3426"/>
      <c r="GUP9" s="3426"/>
      <c r="GUQ9" s="3426"/>
      <c r="GUR9" s="3426"/>
      <c r="GUS9" s="3426"/>
      <c r="GUT9" s="3426"/>
      <c r="GUU9" s="3426"/>
      <c r="GUV9" s="3426"/>
      <c r="GUW9" s="3426"/>
      <c r="GUX9" s="3426"/>
      <c r="GUY9" s="3426"/>
      <c r="GUZ9" s="3426"/>
      <c r="GVA9" s="3426"/>
      <c r="GVB9" s="3426"/>
      <c r="GVC9" s="3426"/>
      <c r="GVD9" s="3426"/>
      <c r="GVE9" s="3426"/>
      <c r="GVF9" s="3426"/>
      <c r="GVG9" s="3426"/>
      <c r="GVH9" s="3426"/>
      <c r="GVI9" s="3426"/>
      <c r="GVJ9" s="3426"/>
      <c r="GVK9" s="3426"/>
      <c r="GVL9" s="3426"/>
      <c r="GVM9" s="3426"/>
      <c r="GVN9" s="3426"/>
      <c r="GVO9" s="3426"/>
      <c r="GVP9" s="3426"/>
      <c r="GVQ9" s="3426"/>
      <c r="GVR9" s="3426"/>
      <c r="GVS9" s="3426"/>
      <c r="GVT9" s="3426"/>
      <c r="GVU9" s="3426"/>
      <c r="GVV9" s="3426"/>
      <c r="GVW9" s="3426"/>
      <c r="GVX9" s="3426"/>
      <c r="GVY9" s="3426"/>
      <c r="GVZ9" s="3426"/>
      <c r="GWA9" s="3426"/>
      <c r="GWB9" s="3426"/>
      <c r="GWC9" s="3426"/>
      <c r="GWD9" s="3426"/>
      <c r="GWE9" s="3426"/>
      <c r="GWF9" s="3426"/>
      <c r="GWG9" s="3426"/>
      <c r="GWH9" s="3426"/>
      <c r="GWI9" s="3426"/>
      <c r="GWJ9" s="3426"/>
      <c r="GWK9" s="3426"/>
      <c r="GWL9" s="3426"/>
      <c r="GWM9" s="3426"/>
      <c r="GWN9" s="3426"/>
      <c r="GWO9" s="3426"/>
      <c r="GWP9" s="3426"/>
      <c r="GWQ9" s="3426"/>
      <c r="GWR9" s="3426"/>
      <c r="GWS9" s="3426"/>
      <c r="GWT9" s="3426"/>
      <c r="GWU9" s="3426"/>
      <c r="GWV9" s="3426"/>
      <c r="GWW9" s="3426"/>
      <c r="GWX9" s="3426"/>
      <c r="GWY9" s="3426"/>
      <c r="GWZ9" s="3426"/>
      <c r="GXA9" s="3426"/>
      <c r="GXB9" s="3426"/>
      <c r="GXC9" s="3426"/>
      <c r="GXD9" s="3426"/>
      <c r="GXE9" s="3426"/>
      <c r="GXF9" s="3426"/>
      <c r="GXG9" s="3426"/>
      <c r="GXH9" s="3426"/>
      <c r="GXI9" s="3426"/>
      <c r="GXJ9" s="3426"/>
      <c r="GXK9" s="3426"/>
      <c r="GXL9" s="3426"/>
      <c r="GXM9" s="3426"/>
      <c r="GXN9" s="3426"/>
      <c r="GXO9" s="3426"/>
      <c r="GXP9" s="3426"/>
      <c r="GXQ9" s="3426"/>
      <c r="GXR9" s="3426"/>
      <c r="GXS9" s="3426"/>
      <c r="GXT9" s="3426"/>
      <c r="GXU9" s="3426"/>
      <c r="GXV9" s="3426"/>
      <c r="GXW9" s="3426"/>
      <c r="GXX9" s="3426"/>
      <c r="GXY9" s="3426"/>
      <c r="GXZ9" s="3426"/>
      <c r="GYA9" s="3426"/>
      <c r="GYB9" s="3426"/>
      <c r="GYC9" s="3426"/>
      <c r="GYD9" s="3426"/>
      <c r="GYE9" s="3426"/>
      <c r="GYF9" s="3426"/>
      <c r="GYG9" s="3426"/>
      <c r="GYH9" s="3426"/>
      <c r="GYI9" s="3426"/>
      <c r="GYJ9" s="3426"/>
      <c r="GYK9" s="3426"/>
      <c r="GYL9" s="3426"/>
      <c r="GYM9" s="3426"/>
      <c r="GYN9" s="3426"/>
      <c r="GYO9" s="3426"/>
      <c r="GYP9" s="3426"/>
      <c r="GYQ9" s="3426"/>
      <c r="GYR9" s="3426"/>
      <c r="GYS9" s="3426"/>
      <c r="GYT9" s="3426"/>
      <c r="GYU9" s="3426"/>
      <c r="GYV9" s="3426"/>
      <c r="GYW9" s="3426"/>
      <c r="GYX9" s="3426"/>
      <c r="GYY9" s="3426"/>
      <c r="GYZ9" s="3426"/>
      <c r="GZA9" s="3426"/>
      <c r="GZB9" s="3426"/>
      <c r="GZC9" s="3426"/>
      <c r="GZD9" s="3426"/>
      <c r="GZE9" s="3426"/>
      <c r="GZF9" s="3426"/>
      <c r="GZG9" s="3426"/>
      <c r="GZH9" s="3426"/>
      <c r="GZI9" s="3426"/>
      <c r="GZJ9" s="3426"/>
      <c r="GZK9" s="3426"/>
      <c r="GZL9" s="3426"/>
      <c r="GZM9" s="3426"/>
      <c r="GZN9" s="3426"/>
      <c r="GZO9" s="3426"/>
      <c r="GZP9" s="3426"/>
      <c r="GZQ9" s="3426"/>
      <c r="GZR9" s="3426"/>
      <c r="GZS9" s="3426"/>
      <c r="GZT9" s="3426"/>
      <c r="GZU9" s="3426"/>
      <c r="GZV9" s="3426"/>
      <c r="GZW9" s="3426"/>
      <c r="GZX9" s="3426"/>
      <c r="GZY9" s="3426"/>
      <c r="GZZ9" s="3426"/>
      <c r="HAA9" s="3426"/>
      <c r="HAB9" s="3426"/>
      <c r="HAC9" s="3426"/>
      <c r="HAD9" s="3426"/>
      <c r="HAE9" s="3426"/>
      <c r="HAF9" s="3426"/>
      <c r="HAG9" s="3426"/>
      <c r="HAH9" s="3426"/>
      <c r="HAI9" s="3426"/>
      <c r="HAJ9" s="3426"/>
      <c r="HAK9" s="3426"/>
      <c r="HAL9" s="3426"/>
      <c r="HAM9" s="3426"/>
      <c r="HAN9" s="3426"/>
      <c r="HAO9" s="3426"/>
      <c r="HAP9" s="3426"/>
      <c r="HAQ9" s="3426"/>
      <c r="HAR9" s="3426"/>
      <c r="HAS9" s="3426"/>
      <c r="HAT9" s="3426"/>
      <c r="HAU9" s="3426"/>
      <c r="HAV9" s="3426"/>
      <c r="HAW9" s="3426"/>
      <c r="HAX9" s="3426"/>
      <c r="HAY9" s="3426"/>
      <c r="HAZ9" s="3426"/>
      <c r="HBA9" s="3426"/>
      <c r="HBB9" s="3426"/>
      <c r="HBC9" s="3426"/>
      <c r="HBD9" s="3426"/>
      <c r="HBE9" s="3426"/>
      <c r="HBF9" s="3426"/>
      <c r="HBG9" s="3426"/>
      <c r="HBH9" s="3426"/>
      <c r="HBI9" s="3426"/>
      <c r="HBJ9" s="3426"/>
      <c r="HBK9" s="3426"/>
      <c r="HBL9" s="3426"/>
      <c r="HBM9" s="3426"/>
      <c r="HBN9" s="3426"/>
      <c r="HBO9" s="3426"/>
      <c r="HBP9" s="3426"/>
      <c r="HBQ9" s="3426"/>
      <c r="HBR9" s="3426"/>
      <c r="HBS9" s="3426"/>
      <c r="HBT9" s="3426"/>
      <c r="HBU9" s="3426"/>
      <c r="HBV9" s="3426"/>
      <c r="HBW9" s="3426"/>
      <c r="HBX9" s="3426"/>
      <c r="HBY9" s="3426"/>
      <c r="HBZ9" s="3426"/>
      <c r="HCA9" s="3426"/>
      <c r="HCB9" s="3426"/>
      <c r="HCC9" s="3426"/>
      <c r="HCD9" s="3426"/>
      <c r="HCE9" s="3426"/>
      <c r="HCF9" s="3426"/>
      <c r="HCG9" s="3426"/>
      <c r="HCH9" s="3426"/>
      <c r="HCI9" s="3426"/>
      <c r="HCJ9" s="3426"/>
      <c r="HCK9" s="3426"/>
      <c r="HCL9" s="3426"/>
      <c r="HCM9" s="3426"/>
      <c r="HCN9" s="3426"/>
      <c r="HCO9" s="3426"/>
      <c r="HCP9" s="3426"/>
      <c r="HCQ9" s="3426"/>
      <c r="HCR9" s="3426"/>
      <c r="HCS9" s="3426"/>
      <c r="HCT9" s="3426"/>
      <c r="HCU9" s="3426"/>
      <c r="HCV9" s="3426"/>
      <c r="HCW9" s="3426"/>
      <c r="HCX9" s="3426"/>
      <c r="HCY9" s="3426"/>
      <c r="HCZ9" s="3426"/>
      <c r="HDA9" s="3426"/>
      <c r="HDB9" s="3426"/>
      <c r="HDC9" s="3426"/>
      <c r="HDD9" s="3426"/>
      <c r="HDE9" s="3426"/>
      <c r="HDF9" s="3426"/>
      <c r="HDG9" s="3426"/>
      <c r="HDH9" s="3426"/>
      <c r="HDI9" s="3426"/>
      <c r="HDJ9" s="3426"/>
      <c r="HDK9" s="3426"/>
      <c r="HDL9" s="3426"/>
      <c r="HDM9" s="3426"/>
      <c r="HDN9" s="3426"/>
      <c r="HDO9" s="3426"/>
      <c r="HDP9" s="3426"/>
      <c r="HDQ9" s="3426"/>
      <c r="HDR9" s="3426"/>
      <c r="HDS9" s="3426"/>
      <c r="HDT9" s="3426"/>
      <c r="HDU9" s="3426"/>
      <c r="HDV9" s="3426"/>
      <c r="HDW9" s="3426"/>
      <c r="HDX9" s="3426"/>
      <c r="HDY9" s="3426"/>
      <c r="HDZ9" s="3426"/>
      <c r="HEA9" s="3426"/>
      <c r="HEB9" s="3426"/>
      <c r="HEC9" s="3426"/>
      <c r="HED9" s="3426"/>
      <c r="HEE9" s="3426"/>
      <c r="HEF9" s="3426"/>
      <c r="HEG9" s="3426"/>
      <c r="HEH9" s="3426"/>
      <c r="HEI9" s="3426"/>
      <c r="HEJ9" s="3426"/>
      <c r="HEK9" s="3426"/>
      <c r="HEL9" s="3426"/>
      <c r="HEM9" s="3426"/>
      <c r="HEN9" s="3426"/>
      <c r="HEO9" s="3426"/>
      <c r="HEP9" s="3426"/>
      <c r="HEQ9" s="3426"/>
      <c r="HER9" s="3426"/>
      <c r="HES9" s="3426"/>
      <c r="HET9" s="3426"/>
      <c r="HEU9" s="3426"/>
      <c r="HEV9" s="3426"/>
      <c r="HEW9" s="3426"/>
      <c r="HEX9" s="3426"/>
      <c r="HEY9" s="3426"/>
      <c r="HEZ9" s="3426"/>
      <c r="HFA9" s="3426"/>
      <c r="HFB9" s="3426"/>
      <c r="HFC9" s="3426"/>
      <c r="HFD9" s="3426"/>
      <c r="HFE9" s="3426"/>
      <c r="HFF9" s="3426"/>
      <c r="HFG9" s="3426"/>
      <c r="HFH9" s="3426"/>
      <c r="HFI9" s="3426"/>
      <c r="HFJ9" s="3426"/>
      <c r="HFK9" s="3426"/>
      <c r="HFL9" s="3426"/>
      <c r="HFM9" s="3426"/>
      <c r="HFN9" s="3426"/>
      <c r="HFO9" s="3426"/>
      <c r="HFP9" s="3426"/>
      <c r="HFQ9" s="3426"/>
      <c r="HFR9" s="3426"/>
      <c r="HFS9" s="3426"/>
      <c r="HFT9" s="3426"/>
      <c r="HFU9" s="3426"/>
      <c r="HFV9" s="3426"/>
      <c r="HFW9" s="3426"/>
      <c r="HFX9" s="3426"/>
      <c r="HFY9" s="3426"/>
      <c r="HFZ9" s="3426"/>
      <c r="HGA9" s="3426"/>
      <c r="HGB9" s="3426"/>
      <c r="HGC9" s="3426"/>
      <c r="HGD9" s="3426"/>
      <c r="HGE9" s="3426"/>
      <c r="HGF9" s="3426"/>
      <c r="HGG9" s="3426"/>
      <c r="HGH9" s="3426"/>
      <c r="HGI9" s="3426"/>
      <c r="HGJ9" s="3426"/>
      <c r="HGK9" s="3426"/>
      <c r="HGL9" s="3426"/>
      <c r="HGM9" s="3426"/>
      <c r="HGN9" s="3426"/>
      <c r="HGO9" s="3426"/>
      <c r="HGP9" s="3426"/>
      <c r="HGQ9" s="3426"/>
      <c r="HGR9" s="3426"/>
      <c r="HGS9" s="3426"/>
      <c r="HGT9" s="3426"/>
      <c r="HGU9" s="3426"/>
      <c r="HGV9" s="3426"/>
      <c r="HGW9" s="3426"/>
      <c r="HGX9" s="3426"/>
      <c r="HGY9" s="3426"/>
      <c r="HGZ9" s="3426"/>
      <c r="HHA9" s="3426"/>
      <c r="HHB9" s="3426"/>
      <c r="HHC9" s="3426"/>
      <c r="HHD9" s="3426"/>
      <c r="HHE9" s="3426"/>
      <c r="HHF9" s="3426"/>
      <c r="HHG9" s="3426"/>
      <c r="HHH9" s="3426"/>
      <c r="HHI9" s="3426"/>
      <c r="HHJ9" s="3426"/>
      <c r="HHK9" s="3426"/>
      <c r="HHL9" s="3426"/>
      <c r="HHM9" s="3426"/>
      <c r="HHN9" s="3426"/>
      <c r="HHO9" s="3426"/>
      <c r="HHP9" s="3426"/>
      <c r="HHQ9" s="3426"/>
      <c r="HHR9" s="3426"/>
      <c r="HHS9" s="3426"/>
      <c r="HHT9" s="3426"/>
      <c r="HHU9" s="3426"/>
      <c r="HHV9" s="3426"/>
      <c r="HHW9" s="3426"/>
      <c r="HHX9" s="3426"/>
      <c r="HHY9" s="3426"/>
      <c r="HHZ9" s="3426"/>
      <c r="HIA9" s="3426"/>
      <c r="HIB9" s="3426"/>
      <c r="HIC9" s="3426"/>
      <c r="HID9" s="3426"/>
      <c r="HIE9" s="3426"/>
      <c r="HIF9" s="3426"/>
      <c r="HIG9" s="3426"/>
      <c r="HIH9" s="3426"/>
      <c r="HII9" s="3426"/>
      <c r="HIJ9" s="3426"/>
      <c r="HIK9" s="3426"/>
      <c r="HIL9" s="3426"/>
      <c r="HIM9" s="3426"/>
      <c r="HIN9" s="3426"/>
      <c r="HIO9" s="3426"/>
      <c r="HIP9" s="3426"/>
      <c r="HIQ9" s="3426"/>
      <c r="HIR9" s="3426"/>
      <c r="HIS9" s="3426"/>
      <c r="HIT9" s="3426"/>
      <c r="HIU9" s="3426"/>
      <c r="HIV9" s="3426"/>
      <c r="HIW9" s="3426"/>
      <c r="HIX9" s="3426"/>
      <c r="HIY9" s="3426"/>
      <c r="HIZ9" s="3426"/>
      <c r="HJA9" s="3426"/>
      <c r="HJB9" s="3426"/>
      <c r="HJC9" s="3426"/>
      <c r="HJD9" s="3426"/>
      <c r="HJE9" s="3426"/>
      <c r="HJF9" s="3426"/>
      <c r="HJG9" s="3426"/>
      <c r="HJH9" s="3426"/>
      <c r="HJI9" s="3426"/>
      <c r="HJJ9" s="3426"/>
      <c r="HJK9" s="3426"/>
      <c r="HJL9" s="3426"/>
      <c r="HJM9" s="3426"/>
      <c r="HJN9" s="3426"/>
      <c r="HJO9" s="3426"/>
      <c r="HJP9" s="3426"/>
      <c r="HJQ9" s="3426"/>
      <c r="HJR9" s="3426"/>
      <c r="HJS9" s="3426"/>
      <c r="HJT9" s="3426"/>
      <c r="HJU9" s="3426"/>
      <c r="HJV9" s="3426"/>
      <c r="HJW9" s="3426"/>
      <c r="HJX9" s="3426"/>
      <c r="HJY9" s="3426"/>
      <c r="HJZ9" s="3426"/>
      <c r="HKA9" s="3426"/>
      <c r="HKB9" s="3426"/>
      <c r="HKC9" s="3426"/>
      <c r="HKD9" s="3426"/>
      <c r="HKE9" s="3426"/>
      <c r="HKF9" s="3426"/>
      <c r="HKG9" s="3426"/>
      <c r="HKH9" s="3426"/>
      <c r="HKI9" s="3426"/>
      <c r="HKJ9" s="3426"/>
      <c r="HKK9" s="3426"/>
      <c r="HKL9" s="3426"/>
      <c r="HKM9" s="3426"/>
      <c r="HKN9" s="3426"/>
      <c r="HKO9" s="3426"/>
      <c r="HKP9" s="3426"/>
      <c r="HKQ9" s="3426"/>
      <c r="HKR9" s="3426"/>
      <c r="HKS9" s="3426"/>
      <c r="HKT9" s="3426"/>
      <c r="HKU9" s="3426"/>
      <c r="HKV9" s="3426"/>
      <c r="HKW9" s="3426"/>
      <c r="HKX9" s="3426"/>
      <c r="HKY9" s="3426"/>
      <c r="HKZ9" s="3426"/>
      <c r="HLA9" s="3426"/>
      <c r="HLB9" s="3426"/>
      <c r="HLC9" s="3426"/>
      <c r="HLD9" s="3426"/>
      <c r="HLE9" s="3426"/>
      <c r="HLF9" s="3426"/>
      <c r="HLG9" s="3426"/>
      <c r="HLH9" s="3426"/>
      <c r="HLI9" s="3426"/>
      <c r="HLJ9" s="3426"/>
      <c r="HLK9" s="3426"/>
      <c r="HLL9" s="3426"/>
      <c r="HLM9" s="3426"/>
      <c r="HLN9" s="3426"/>
      <c r="HLO9" s="3426"/>
      <c r="HLP9" s="3426"/>
      <c r="HLQ9" s="3426"/>
      <c r="HLR9" s="3426"/>
      <c r="HLS9" s="3426"/>
      <c r="HLT9" s="3426"/>
      <c r="HLU9" s="3426"/>
      <c r="HLV9" s="3426"/>
      <c r="HLW9" s="3426"/>
      <c r="HLX9" s="3426"/>
      <c r="HLY9" s="3426"/>
      <c r="HLZ9" s="3426"/>
      <c r="HMA9" s="3426"/>
      <c r="HMB9" s="3426"/>
      <c r="HMC9" s="3426"/>
      <c r="HMD9" s="3426"/>
      <c r="HME9" s="3426"/>
      <c r="HMF9" s="3426"/>
      <c r="HMG9" s="3426"/>
      <c r="HMH9" s="3426"/>
      <c r="HMI9" s="3426"/>
      <c r="HMJ9" s="3426"/>
      <c r="HMK9" s="3426"/>
      <c r="HML9" s="3426"/>
      <c r="HMM9" s="3426"/>
      <c r="HMN9" s="3426"/>
      <c r="HMO9" s="3426"/>
      <c r="HMP9" s="3426"/>
      <c r="HMQ9" s="3426"/>
      <c r="HMR9" s="3426"/>
      <c r="HMS9" s="3426"/>
      <c r="HMT9" s="3426"/>
      <c r="HMU9" s="3426"/>
      <c r="HMV9" s="3426"/>
      <c r="HMW9" s="3426"/>
      <c r="HMX9" s="3426"/>
      <c r="HMY9" s="3426"/>
      <c r="HMZ9" s="3426"/>
      <c r="HNA9" s="3426"/>
      <c r="HNB9" s="3426"/>
      <c r="HNC9" s="3426"/>
      <c r="HND9" s="3426"/>
      <c r="HNE9" s="3426"/>
      <c r="HNF9" s="3426"/>
      <c r="HNG9" s="3426"/>
      <c r="HNH9" s="3426"/>
      <c r="HNI9" s="3426"/>
      <c r="HNJ9" s="3426"/>
      <c r="HNK9" s="3426"/>
      <c r="HNL9" s="3426"/>
      <c r="HNM9" s="3426"/>
      <c r="HNN9" s="3426"/>
      <c r="HNO9" s="3426"/>
      <c r="HNP9" s="3426"/>
      <c r="HNQ9" s="3426"/>
      <c r="HNR9" s="3426"/>
      <c r="HNS9" s="3426"/>
      <c r="HNT9" s="3426"/>
      <c r="HNU9" s="3426"/>
      <c r="HNV9" s="3426"/>
      <c r="HNW9" s="3426"/>
      <c r="HNX9" s="3426"/>
      <c r="HNY9" s="3426"/>
      <c r="HNZ9" s="3426"/>
      <c r="HOA9" s="3426"/>
      <c r="HOB9" s="3426"/>
      <c r="HOC9" s="3426"/>
      <c r="HOD9" s="3426"/>
      <c r="HOE9" s="3426"/>
      <c r="HOF9" s="3426"/>
      <c r="HOG9" s="3426"/>
      <c r="HOH9" s="3426"/>
      <c r="HOI9" s="3426"/>
      <c r="HOJ9" s="3426"/>
      <c r="HOK9" s="3426"/>
      <c r="HOL9" s="3426"/>
      <c r="HOM9" s="3426"/>
      <c r="HON9" s="3426"/>
      <c r="HOO9" s="3426"/>
      <c r="HOP9" s="3426"/>
      <c r="HOQ9" s="3426"/>
      <c r="HOR9" s="3426"/>
      <c r="HOS9" s="3426"/>
      <c r="HOT9" s="3426"/>
      <c r="HOU9" s="3426"/>
      <c r="HOV9" s="3426"/>
      <c r="HOW9" s="3426"/>
      <c r="HOX9" s="3426"/>
      <c r="HOY9" s="3426"/>
      <c r="HOZ9" s="3426"/>
      <c r="HPA9" s="3426"/>
      <c r="HPB9" s="3426"/>
      <c r="HPC9" s="3426"/>
      <c r="HPD9" s="3426"/>
      <c r="HPE9" s="3426"/>
      <c r="HPF9" s="3426"/>
      <c r="HPG9" s="3426"/>
      <c r="HPH9" s="3426"/>
      <c r="HPI9" s="3426"/>
      <c r="HPJ9" s="3426"/>
      <c r="HPK9" s="3426"/>
      <c r="HPL9" s="3426"/>
      <c r="HPM9" s="3426"/>
      <c r="HPN9" s="3426"/>
      <c r="HPO9" s="3426"/>
      <c r="HPP9" s="3426"/>
      <c r="HPQ9" s="3426"/>
      <c r="HPR9" s="3426"/>
      <c r="HPS9" s="3426"/>
      <c r="HPT9" s="3426"/>
      <c r="HPU9" s="3426"/>
      <c r="HPV9" s="3426"/>
      <c r="HPW9" s="3426"/>
      <c r="HPX9" s="3426"/>
      <c r="HPY9" s="3426"/>
      <c r="HPZ9" s="3426"/>
      <c r="HQA9" s="3426"/>
      <c r="HQB9" s="3426"/>
      <c r="HQC9" s="3426"/>
      <c r="HQD9" s="3426"/>
      <c r="HQE9" s="3426"/>
      <c r="HQF9" s="3426"/>
      <c r="HQG9" s="3426"/>
      <c r="HQH9" s="3426"/>
      <c r="HQI9" s="3426"/>
      <c r="HQJ9" s="3426"/>
      <c r="HQK9" s="3426"/>
      <c r="HQL9" s="3426"/>
      <c r="HQM9" s="3426"/>
      <c r="HQN9" s="3426"/>
      <c r="HQO9" s="3426"/>
      <c r="HQP9" s="3426"/>
      <c r="HQQ9" s="3426"/>
      <c r="HQR9" s="3426"/>
      <c r="HQS9" s="3426"/>
      <c r="HQT9" s="3426"/>
      <c r="HQU9" s="3426"/>
      <c r="HQV9" s="3426"/>
      <c r="HQW9" s="3426"/>
      <c r="HQX9" s="3426"/>
      <c r="HQY9" s="3426"/>
      <c r="HQZ9" s="3426"/>
      <c r="HRA9" s="3426"/>
      <c r="HRB9" s="3426"/>
      <c r="HRC9" s="3426"/>
      <c r="HRD9" s="3426"/>
      <c r="HRE9" s="3426"/>
      <c r="HRF9" s="3426"/>
      <c r="HRG9" s="3426"/>
      <c r="HRH9" s="3426"/>
      <c r="HRI9" s="3426"/>
      <c r="HRJ9" s="3426"/>
      <c r="HRK9" s="3426"/>
      <c r="HRL9" s="3426"/>
      <c r="HRM9" s="3426"/>
      <c r="HRN9" s="3426"/>
      <c r="HRO9" s="3426"/>
      <c r="HRP9" s="3426"/>
      <c r="HRQ9" s="3426"/>
      <c r="HRR9" s="3426"/>
      <c r="HRS9" s="3426"/>
      <c r="HRT9" s="3426"/>
      <c r="HRU9" s="3426"/>
      <c r="HRV9" s="3426"/>
      <c r="HRW9" s="3426"/>
      <c r="HRX9" s="3426"/>
      <c r="HRY9" s="3426"/>
      <c r="HRZ9" s="3426"/>
      <c r="HSA9" s="3426"/>
      <c r="HSB9" s="3426"/>
      <c r="HSC9" s="3426"/>
      <c r="HSD9" s="3426"/>
      <c r="HSE9" s="3426"/>
      <c r="HSF9" s="3426"/>
      <c r="HSG9" s="3426"/>
      <c r="HSH9" s="3426"/>
      <c r="HSI9" s="3426"/>
      <c r="HSJ9" s="3426"/>
      <c r="HSK9" s="3426"/>
      <c r="HSL9" s="3426"/>
      <c r="HSM9" s="3426"/>
      <c r="HSN9" s="3426"/>
      <c r="HSO9" s="3426"/>
      <c r="HSP9" s="3426"/>
      <c r="HSQ9" s="3426"/>
      <c r="HSR9" s="3426"/>
      <c r="HSS9" s="3426"/>
      <c r="HST9" s="3426"/>
      <c r="HSU9" s="3426"/>
      <c r="HSV9" s="3426"/>
      <c r="HSW9" s="3426"/>
      <c r="HSX9" s="3426"/>
      <c r="HSY9" s="3426"/>
      <c r="HSZ9" s="3426"/>
      <c r="HTA9" s="3426"/>
      <c r="HTB9" s="3426"/>
      <c r="HTC9" s="3426"/>
      <c r="HTD9" s="3426"/>
      <c r="HTE9" s="3426"/>
      <c r="HTF9" s="3426"/>
      <c r="HTG9" s="3426"/>
      <c r="HTH9" s="3426"/>
      <c r="HTI9" s="3426"/>
      <c r="HTJ9" s="3426"/>
      <c r="HTK9" s="3426"/>
      <c r="HTL9" s="3426"/>
      <c r="HTM9" s="3426"/>
      <c r="HTN9" s="3426"/>
      <c r="HTO9" s="3426"/>
      <c r="HTP9" s="3426"/>
      <c r="HTQ9" s="3426"/>
      <c r="HTR9" s="3426"/>
      <c r="HTS9" s="3426"/>
      <c r="HTT9" s="3426"/>
      <c r="HTU9" s="3426"/>
      <c r="HTV9" s="3426"/>
      <c r="HTW9" s="3426"/>
      <c r="HTX9" s="3426"/>
      <c r="HTY9" s="3426"/>
      <c r="HTZ9" s="3426"/>
      <c r="HUA9" s="3426"/>
      <c r="HUB9" s="3426"/>
      <c r="HUC9" s="3426"/>
      <c r="HUD9" s="3426"/>
      <c r="HUE9" s="3426"/>
      <c r="HUF9" s="3426"/>
      <c r="HUG9" s="3426"/>
      <c r="HUH9" s="3426"/>
      <c r="HUI9" s="3426"/>
      <c r="HUJ9" s="3426"/>
      <c r="HUK9" s="3426"/>
      <c r="HUL9" s="3426"/>
      <c r="HUM9" s="3426"/>
      <c r="HUN9" s="3426"/>
      <c r="HUO9" s="3426"/>
      <c r="HUP9" s="3426"/>
      <c r="HUQ9" s="3426"/>
      <c r="HUR9" s="3426"/>
      <c r="HUS9" s="3426"/>
      <c r="HUT9" s="3426"/>
      <c r="HUU9" s="3426"/>
      <c r="HUV9" s="3426"/>
      <c r="HUW9" s="3426"/>
      <c r="HUX9" s="3426"/>
      <c r="HUY9" s="3426"/>
      <c r="HUZ9" s="3426"/>
      <c r="HVA9" s="3426"/>
      <c r="HVB9" s="3426"/>
      <c r="HVC9" s="3426"/>
      <c r="HVD9" s="3426"/>
      <c r="HVE9" s="3426"/>
      <c r="HVF9" s="3426"/>
      <c r="HVG9" s="3426"/>
      <c r="HVH9" s="3426"/>
      <c r="HVI9" s="3426"/>
      <c r="HVJ9" s="3426"/>
      <c r="HVK9" s="3426"/>
      <c r="HVL9" s="3426"/>
      <c r="HVM9" s="3426"/>
      <c r="HVN9" s="3426"/>
      <c r="HVO9" s="3426"/>
      <c r="HVP9" s="3426"/>
      <c r="HVQ9" s="3426"/>
      <c r="HVR9" s="3426"/>
      <c r="HVS9" s="3426"/>
      <c r="HVT9" s="3426"/>
      <c r="HVU9" s="3426"/>
      <c r="HVV9" s="3426"/>
      <c r="HVW9" s="3426"/>
      <c r="HVX9" s="3426"/>
      <c r="HVY9" s="3426"/>
      <c r="HVZ9" s="3426"/>
      <c r="HWA9" s="3426"/>
      <c r="HWB9" s="3426"/>
      <c r="HWC9" s="3426"/>
      <c r="HWD9" s="3426"/>
      <c r="HWE9" s="3426"/>
      <c r="HWF9" s="3426"/>
      <c r="HWG9" s="3426"/>
      <c r="HWH9" s="3426"/>
      <c r="HWI9" s="3426"/>
      <c r="HWJ9" s="3426"/>
      <c r="HWK9" s="3426"/>
      <c r="HWL9" s="3426"/>
      <c r="HWM9" s="3426"/>
      <c r="HWN9" s="3426"/>
      <c r="HWO9" s="3426"/>
      <c r="HWP9" s="3426"/>
      <c r="HWQ9" s="3426"/>
      <c r="HWR9" s="3426"/>
      <c r="HWS9" s="3426"/>
      <c r="HWT9" s="3426"/>
      <c r="HWU9" s="3426"/>
      <c r="HWV9" s="3426"/>
      <c r="HWW9" s="3426"/>
      <c r="HWX9" s="3426"/>
      <c r="HWY9" s="3426"/>
      <c r="HWZ9" s="3426"/>
      <c r="HXA9" s="3426"/>
      <c r="HXB9" s="3426"/>
      <c r="HXC9" s="3426"/>
      <c r="HXD9" s="3426"/>
      <c r="HXE9" s="3426"/>
      <c r="HXF9" s="3426"/>
      <c r="HXG9" s="3426"/>
      <c r="HXH9" s="3426"/>
      <c r="HXI9" s="3426"/>
      <c r="HXJ9" s="3426"/>
      <c r="HXK9" s="3426"/>
      <c r="HXL9" s="3426"/>
      <c r="HXM9" s="3426"/>
      <c r="HXN9" s="3426"/>
      <c r="HXO9" s="3426"/>
      <c r="HXP9" s="3426"/>
      <c r="HXQ9" s="3426"/>
      <c r="HXR9" s="3426"/>
      <c r="HXS9" s="3426"/>
      <c r="HXT9" s="3426"/>
      <c r="HXU9" s="3426"/>
      <c r="HXV9" s="3426"/>
      <c r="HXW9" s="3426"/>
      <c r="HXX9" s="3426"/>
      <c r="HXY9" s="3426"/>
      <c r="HXZ9" s="3426"/>
      <c r="HYA9" s="3426"/>
      <c r="HYB9" s="3426"/>
      <c r="HYC9" s="3426"/>
      <c r="HYD9" s="3426"/>
      <c r="HYE9" s="3426"/>
      <c r="HYF9" s="3426"/>
      <c r="HYG9" s="3426"/>
      <c r="HYH9" s="3426"/>
      <c r="HYI9" s="3426"/>
      <c r="HYJ9" s="3426"/>
      <c r="HYK9" s="3426"/>
      <c r="HYL9" s="3426"/>
      <c r="HYM9" s="3426"/>
      <c r="HYN9" s="3426"/>
      <c r="HYO9" s="3426"/>
      <c r="HYP9" s="3426"/>
      <c r="HYQ9" s="3426"/>
      <c r="HYR9" s="3426"/>
      <c r="HYS9" s="3426"/>
      <c r="HYT9" s="3426"/>
      <c r="HYU9" s="3426"/>
      <c r="HYV9" s="3426"/>
      <c r="HYW9" s="3426"/>
      <c r="HYX9" s="3426"/>
      <c r="HYY9" s="3426"/>
      <c r="HYZ9" s="3426"/>
      <c r="HZA9" s="3426"/>
      <c r="HZB9" s="3426"/>
      <c r="HZC9" s="3426"/>
      <c r="HZD9" s="3426"/>
      <c r="HZE9" s="3426"/>
      <c r="HZF9" s="3426"/>
      <c r="HZG9" s="3426"/>
      <c r="HZH9" s="3426"/>
      <c r="HZI9" s="3426"/>
      <c r="HZJ9" s="3426"/>
      <c r="HZK9" s="3426"/>
      <c r="HZL9" s="3426"/>
      <c r="HZM9" s="3426"/>
      <c r="HZN9" s="3426"/>
      <c r="HZO9" s="3426"/>
      <c r="HZP9" s="3426"/>
      <c r="HZQ9" s="3426"/>
      <c r="HZR9" s="3426"/>
      <c r="HZS9" s="3426"/>
      <c r="HZT9" s="3426"/>
      <c r="HZU9" s="3426"/>
      <c r="HZV9" s="3426"/>
      <c r="HZW9" s="3426"/>
      <c r="HZX9" s="3426"/>
      <c r="HZY9" s="3426"/>
      <c r="HZZ9" s="3426"/>
      <c r="IAA9" s="3426"/>
      <c r="IAB9" s="3426"/>
      <c r="IAC9" s="3426"/>
      <c r="IAD9" s="3426"/>
      <c r="IAE9" s="3426"/>
      <c r="IAF9" s="3426"/>
      <c r="IAG9" s="3426"/>
      <c r="IAH9" s="3426"/>
      <c r="IAI9" s="3426"/>
      <c r="IAJ9" s="3426"/>
      <c r="IAK9" s="3426"/>
      <c r="IAL9" s="3426"/>
      <c r="IAM9" s="3426"/>
      <c r="IAN9" s="3426"/>
      <c r="IAO9" s="3426"/>
      <c r="IAP9" s="3426"/>
      <c r="IAQ9" s="3426"/>
      <c r="IAR9" s="3426"/>
      <c r="IAS9" s="3426"/>
      <c r="IAT9" s="3426"/>
      <c r="IAU9" s="3426"/>
      <c r="IAV9" s="3426"/>
      <c r="IAW9" s="3426"/>
      <c r="IAX9" s="3426"/>
      <c r="IAY9" s="3426"/>
      <c r="IAZ9" s="3426"/>
      <c r="IBA9" s="3426"/>
      <c r="IBB9" s="3426"/>
      <c r="IBC9" s="3426"/>
      <c r="IBD9" s="3426"/>
      <c r="IBE9" s="3426"/>
      <c r="IBF9" s="3426"/>
      <c r="IBG9" s="3426"/>
      <c r="IBH9" s="3426"/>
      <c r="IBI9" s="3426"/>
      <c r="IBJ9" s="3426"/>
      <c r="IBK9" s="3426"/>
      <c r="IBL9" s="3426"/>
      <c r="IBM9" s="3426"/>
      <c r="IBN9" s="3426"/>
      <c r="IBO9" s="3426"/>
      <c r="IBP9" s="3426"/>
      <c r="IBQ9" s="3426"/>
      <c r="IBR9" s="3426"/>
      <c r="IBS9" s="3426"/>
      <c r="IBT9" s="3426"/>
      <c r="IBU9" s="3426"/>
      <c r="IBV9" s="3426"/>
      <c r="IBW9" s="3426"/>
      <c r="IBX9" s="3426"/>
      <c r="IBY9" s="3426"/>
      <c r="IBZ9" s="3426"/>
      <c r="ICA9" s="3426"/>
      <c r="ICB9" s="3426"/>
      <c r="ICC9" s="3426"/>
      <c r="ICD9" s="3426"/>
      <c r="ICE9" s="3426"/>
      <c r="ICF9" s="3426"/>
      <c r="ICG9" s="3426"/>
      <c r="ICH9" s="3426"/>
      <c r="ICI9" s="3426"/>
      <c r="ICJ9" s="3426"/>
      <c r="ICK9" s="3426"/>
      <c r="ICL9" s="3426"/>
      <c r="ICM9" s="3426"/>
      <c r="ICN9" s="3426"/>
      <c r="ICO9" s="3426"/>
      <c r="ICP9" s="3426"/>
      <c r="ICQ9" s="3426"/>
      <c r="ICR9" s="3426"/>
      <c r="ICS9" s="3426"/>
      <c r="ICT9" s="3426"/>
      <c r="ICU9" s="3426"/>
      <c r="ICV9" s="3426"/>
      <c r="ICW9" s="3426"/>
      <c r="ICX9" s="3426"/>
      <c r="ICY9" s="3426"/>
      <c r="ICZ9" s="3426"/>
      <c r="IDA9" s="3426"/>
      <c r="IDB9" s="3426"/>
      <c r="IDC9" s="3426"/>
      <c r="IDD9" s="3426"/>
      <c r="IDE9" s="3426"/>
      <c r="IDF9" s="3426"/>
      <c r="IDG9" s="3426"/>
      <c r="IDH9" s="3426"/>
      <c r="IDI9" s="3426"/>
      <c r="IDJ9" s="3426"/>
      <c r="IDK9" s="3426"/>
      <c r="IDL9" s="3426"/>
      <c r="IDM9" s="3426"/>
      <c r="IDN9" s="3426"/>
      <c r="IDO9" s="3426"/>
      <c r="IDP9" s="3426"/>
      <c r="IDQ9" s="3426"/>
      <c r="IDR9" s="3426"/>
      <c r="IDS9" s="3426"/>
      <c r="IDT9" s="3426"/>
      <c r="IDU9" s="3426"/>
      <c r="IDV9" s="3426"/>
      <c r="IDW9" s="3426"/>
      <c r="IDX9" s="3426"/>
      <c r="IDY9" s="3426"/>
      <c r="IDZ9" s="3426"/>
      <c r="IEA9" s="3426"/>
      <c r="IEB9" s="3426"/>
      <c r="IEC9" s="3426"/>
      <c r="IED9" s="3426"/>
      <c r="IEE9" s="3426"/>
      <c r="IEF9" s="3426"/>
      <c r="IEG9" s="3426"/>
      <c r="IEH9" s="3426"/>
      <c r="IEI9" s="3426"/>
      <c r="IEJ9" s="3426"/>
      <c r="IEK9" s="3426"/>
      <c r="IEL9" s="3426"/>
      <c r="IEM9" s="3426"/>
      <c r="IEN9" s="3426"/>
      <c r="IEO9" s="3426"/>
      <c r="IEP9" s="3426"/>
      <c r="IEQ9" s="3426"/>
      <c r="IER9" s="3426"/>
      <c r="IES9" s="3426"/>
      <c r="IET9" s="3426"/>
      <c r="IEU9" s="3426"/>
      <c r="IEV9" s="3426"/>
      <c r="IEW9" s="3426"/>
      <c r="IEX9" s="3426"/>
      <c r="IEY9" s="3426"/>
      <c r="IEZ9" s="3426"/>
      <c r="IFA9" s="3426"/>
      <c r="IFB9" s="3426"/>
      <c r="IFC9" s="3426"/>
      <c r="IFD9" s="3426"/>
      <c r="IFE9" s="3426"/>
      <c r="IFF9" s="3426"/>
      <c r="IFG9" s="3426"/>
      <c r="IFH9" s="3426"/>
      <c r="IFI9" s="3426"/>
      <c r="IFJ9" s="3426"/>
      <c r="IFK9" s="3426"/>
      <c r="IFL9" s="3426"/>
      <c r="IFM9" s="3426"/>
      <c r="IFN9" s="3426"/>
      <c r="IFO9" s="3426"/>
      <c r="IFP9" s="3426"/>
      <c r="IFQ9" s="3426"/>
      <c r="IFR9" s="3426"/>
      <c r="IFS9" s="3426"/>
      <c r="IFT9" s="3426"/>
      <c r="IFU9" s="3426"/>
      <c r="IFV9" s="3426"/>
      <c r="IFW9" s="3426"/>
      <c r="IFX9" s="3426"/>
      <c r="IFY9" s="3426"/>
      <c r="IFZ9" s="3426"/>
      <c r="IGA9" s="3426"/>
      <c r="IGB9" s="3426"/>
      <c r="IGC9" s="3426"/>
      <c r="IGD9" s="3426"/>
      <c r="IGE9" s="3426"/>
      <c r="IGF9" s="3426"/>
      <c r="IGG9" s="3426"/>
      <c r="IGH9" s="3426"/>
      <c r="IGI9" s="3426"/>
      <c r="IGJ9" s="3426"/>
      <c r="IGK9" s="3426"/>
      <c r="IGL9" s="3426"/>
      <c r="IGM9" s="3426"/>
      <c r="IGN9" s="3426"/>
      <c r="IGO9" s="3426"/>
      <c r="IGP9" s="3426"/>
      <c r="IGQ9" s="3426"/>
      <c r="IGR9" s="3426"/>
      <c r="IGS9" s="3426"/>
      <c r="IGT9" s="3426"/>
      <c r="IGU9" s="3426"/>
      <c r="IGV9" s="3426"/>
      <c r="IGW9" s="3426"/>
      <c r="IGX9" s="3426"/>
      <c r="IGY9" s="3426"/>
      <c r="IGZ9" s="3426"/>
      <c r="IHA9" s="3426"/>
      <c r="IHB9" s="3426"/>
      <c r="IHC9" s="3426"/>
      <c r="IHD9" s="3426"/>
      <c r="IHE9" s="3426"/>
      <c r="IHF9" s="3426"/>
      <c r="IHG9" s="3426"/>
      <c r="IHH9" s="3426"/>
      <c r="IHI9" s="3426"/>
      <c r="IHJ9" s="3426"/>
      <c r="IHK9" s="3426"/>
      <c r="IHL9" s="3426"/>
      <c r="IHM9" s="3426"/>
      <c r="IHN9" s="3426"/>
      <c r="IHO9" s="3426"/>
      <c r="IHP9" s="3426"/>
      <c r="IHQ9" s="3426"/>
      <c r="IHR9" s="3426"/>
      <c r="IHS9" s="3426"/>
      <c r="IHT9" s="3426"/>
      <c r="IHU9" s="3426"/>
      <c r="IHV9" s="3426"/>
      <c r="IHW9" s="3426"/>
      <c r="IHX9" s="3426"/>
      <c r="IHY9" s="3426"/>
      <c r="IHZ9" s="3426"/>
      <c r="IIA9" s="3426"/>
      <c r="IIB9" s="3426"/>
      <c r="IIC9" s="3426"/>
      <c r="IID9" s="3426"/>
      <c r="IIE9" s="3426"/>
      <c r="IIF9" s="3426"/>
      <c r="IIG9" s="3426"/>
      <c r="IIH9" s="3426"/>
      <c r="III9" s="3426"/>
      <c r="IIJ9" s="3426"/>
      <c r="IIK9" s="3426"/>
      <c r="IIL9" s="3426"/>
      <c r="IIM9" s="3426"/>
      <c r="IIN9" s="3426"/>
      <c r="IIO9" s="3426"/>
      <c r="IIP9" s="3426"/>
      <c r="IIQ9" s="3426"/>
      <c r="IIR9" s="3426"/>
      <c r="IIS9" s="3426"/>
      <c r="IIT9" s="3426"/>
      <c r="IIU9" s="3426"/>
      <c r="IIV9" s="3426"/>
      <c r="IIW9" s="3426"/>
      <c r="IIX9" s="3426"/>
      <c r="IIY9" s="3426"/>
      <c r="IIZ9" s="3426"/>
      <c r="IJA9" s="3426"/>
      <c r="IJB9" s="3426"/>
      <c r="IJC9" s="3426"/>
      <c r="IJD9" s="3426"/>
      <c r="IJE9" s="3426"/>
      <c r="IJF9" s="3426"/>
      <c r="IJG9" s="3426"/>
      <c r="IJH9" s="3426"/>
      <c r="IJI9" s="3426"/>
      <c r="IJJ9" s="3426"/>
      <c r="IJK9" s="3426"/>
      <c r="IJL9" s="3426"/>
      <c r="IJM9" s="3426"/>
      <c r="IJN9" s="3426"/>
      <c r="IJO9" s="3426"/>
      <c r="IJP9" s="3426"/>
      <c r="IJQ9" s="3426"/>
      <c r="IJR9" s="3426"/>
      <c r="IJS9" s="3426"/>
      <c r="IJT9" s="3426"/>
      <c r="IJU9" s="3426"/>
      <c r="IJV9" s="3426"/>
      <c r="IJW9" s="3426"/>
      <c r="IJX9" s="3426"/>
      <c r="IJY9" s="3426"/>
      <c r="IJZ9" s="3426"/>
      <c r="IKA9" s="3426"/>
      <c r="IKB9" s="3426"/>
      <c r="IKC9" s="3426"/>
      <c r="IKD9" s="3426"/>
      <c r="IKE9" s="3426"/>
      <c r="IKF9" s="3426"/>
      <c r="IKG9" s="3426"/>
      <c r="IKH9" s="3426"/>
      <c r="IKI9" s="3426"/>
      <c r="IKJ9" s="3426"/>
      <c r="IKK9" s="3426"/>
      <c r="IKL9" s="3426"/>
      <c r="IKM9" s="3426"/>
      <c r="IKN9" s="3426"/>
      <c r="IKO9" s="3426"/>
      <c r="IKP9" s="3426"/>
      <c r="IKQ9" s="3426"/>
      <c r="IKR9" s="3426"/>
      <c r="IKS9" s="3426"/>
      <c r="IKT9" s="3426"/>
      <c r="IKU9" s="3426"/>
      <c r="IKV9" s="3426"/>
      <c r="IKW9" s="3426"/>
      <c r="IKX9" s="3426"/>
      <c r="IKY9" s="3426"/>
      <c r="IKZ9" s="3426"/>
      <c r="ILA9" s="3426"/>
      <c r="ILB9" s="3426"/>
      <c r="ILC9" s="3426"/>
      <c r="ILD9" s="3426"/>
      <c r="ILE9" s="3426"/>
      <c r="ILF9" s="3426"/>
      <c r="ILG9" s="3426"/>
      <c r="ILH9" s="3426"/>
      <c r="ILI9" s="3426"/>
      <c r="ILJ9" s="3426"/>
      <c r="ILK9" s="3426"/>
      <c r="ILL9" s="3426"/>
      <c r="ILM9" s="3426"/>
      <c r="ILN9" s="3426"/>
      <c r="ILO9" s="3426"/>
      <c r="ILP9" s="3426"/>
      <c r="ILQ9" s="3426"/>
      <c r="ILR9" s="3426"/>
      <c r="ILS9" s="3426"/>
      <c r="ILT9" s="3426"/>
      <c r="ILU9" s="3426"/>
      <c r="ILV9" s="3426"/>
      <c r="ILW9" s="3426"/>
      <c r="ILX9" s="3426"/>
      <c r="ILY9" s="3426"/>
      <c r="ILZ9" s="3426"/>
      <c r="IMA9" s="3426"/>
      <c r="IMB9" s="3426"/>
      <c r="IMC9" s="3426"/>
      <c r="IMD9" s="3426"/>
      <c r="IME9" s="3426"/>
      <c r="IMF9" s="3426"/>
      <c r="IMG9" s="3426"/>
      <c r="IMH9" s="3426"/>
      <c r="IMI9" s="3426"/>
      <c r="IMJ9" s="3426"/>
      <c r="IMK9" s="3426"/>
      <c r="IML9" s="3426"/>
      <c r="IMM9" s="3426"/>
      <c r="IMN9" s="3426"/>
      <c r="IMO9" s="3426"/>
      <c r="IMP9" s="3426"/>
      <c r="IMQ9" s="3426"/>
      <c r="IMR9" s="3426"/>
      <c r="IMS9" s="3426"/>
      <c r="IMT9" s="3426"/>
      <c r="IMU9" s="3426"/>
      <c r="IMV9" s="3426"/>
      <c r="IMW9" s="3426"/>
      <c r="IMX9" s="3426"/>
      <c r="IMY9" s="3426"/>
      <c r="IMZ9" s="3426"/>
      <c r="INA9" s="3426"/>
      <c r="INB9" s="3426"/>
      <c r="INC9" s="3426"/>
      <c r="IND9" s="3426"/>
      <c r="INE9" s="3426"/>
      <c r="INF9" s="3426"/>
      <c r="ING9" s="3426"/>
      <c r="INH9" s="3426"/>
      <c r="INI9" s="3426"/>
      <c r="INJ9" s="3426"/>
      <c r="INK9" s="3426"/>
      <c r="INL9" s="3426"/>
      <c r="INM9" s="3426"/>
      <c r="INN9" s="3426"/>
      <c r="INO9" s="3426"/>
      <c r="INP9" s="3426"/>
      <c r="INQ9" s="3426"/>
      <c r="INR9" s="3426"/>
      <c r="INS9" s="3426"/>
      <c r="INT9" s="3426"/>
      <c r="INU9" s="3426"/>
      <c r="INV9" s="3426"/>
      <c r="INW9" s="3426"/>
      <c r="INX9" s="3426"/>
      <c r="INY9" s="3426"/>
      <c r="INZ9" s="3426"/>
      <c r="IOA9" s="3426"/>
      <c r="IOB9" s="3426"/>
      <c r="IOC9" s="3426"/>
      <c r="IOD9" s="3426"/>
      <c r="IOE9" s="3426"/>
      <c r="IOF9" s="3426"/>
      <c r="IOG9" s="3426"/>
      <c r="IOH9" s="3426"/>
      <c r="IOI9" s="3426"/>
      <c r="IOJ9" s="3426"/>
      <c r="IOK9" s="3426"/>
      <c r="IOL9" s="3426"/>
      <c r="IOM9" s="3426"/>
      <c r="ION9" s="3426"/>
      <c r="IOO9" s="3426"/>
      <c r="IOP9" s="3426"/>
      <c r="IOQ9" s="3426"/>
      <c r="IOR9" s="3426"/>
      <c r="IOS9" s="3426"/>
      <c r="IOT9" s="3426"/>
      <c r="IOU9" s="3426"/>
      <c r="IOV9" s="3426"/>
      <c r="IOW9" s="3426"/>
      <c r="IOX9" s="3426"/>
      <c r="IOY9" s="3426"/>
      <c r="IOZ9" s="3426"/>
      <c r="IPA9" s="3426"/>
      <c r="IPB9" s="3426"/>
      <c r="IPC9" s="3426"/>
      <c r="IPD9" s="3426"/>
      <c r="IPE9" s="3426"/>
      <c r="IPF9" s="3426"/>
      <c r="IPG9" s="3426"/>
      <c r="IPH9" s="3426"/>
      <c r="IPI9" s="3426"/>
      <c r="IPJ9" s="3426"/>
      <c r="IPK9" s="3426"/>
      <c r="IPL9" s="3426"/>
      <c r="IPM9" s="3426"/>
      <c r="IPN9" s="3426"/>
      <c r="IPO9" s="3426"/>
      <c r="IPP9" s="3426"/>
      <c r="IPQ9" s="3426"/>
      <c r="IPR9" s="3426"/>
      <c r="IPS9" s="3426"/>
      <c r="IPT9" s="3426"/>
      <c r="IPU9" s="3426"/>
      <c r="IPV9" s="3426"/>
      <c r="IPW9" s="3426"/>
      <c r="IPX9" s="3426"/>
      <c r="IPY9" s="3426"/>
      <c r="IPZ9" s="3426"/>
      <c r="IQA9" s="3426"/>
      <c r="IQB9" s="3426"/>
      <c r="IQC9" s="3426"/>
      <c r="IQD9" s="3426"/>
      <c r="IQE9" s="3426"/>
      <c r="IQF9" s="3426"/>
      <c r="IQG9" s="3426"/>
      <c r="IQH9" s="3426"/>
      <c r="IQI9" s="3426"/>
      <c r="IQJ9" s="3426"/>
      <c r="IQK9" s="3426"/>
      <c r="IQL9" s="3426"/>
      <c r="IQM9" s="3426"/>
      <c r="IQN9" s="3426"/>
      <c r="IQO9" s="3426"/>
      <c r="IQP9" s="3426"/>
      <c r="IQQ9" s="3426"/>
      <c r="IQR9" s="3426"/>
      <c r="IQS9" s="3426"/>
      <c r="IQT9" s="3426"/>
      <c r="IQU9" s="3426"/>
      <c r="IQV9" s="3426"/>
      <c r="IQW9" s="3426"/>
      <c r="IQX9" s="3426"/>
      <c r="IQY9" s="3426"/>
      <c r="IQZ9" s="3426"/>
      <c r="IRA9" s="3426"/>
      <c r="IRB9" s="3426"/>
      <c r="IRC9" s="3426"/>
      <c r="IRD9" s="3426"/>
      <c r="IRE9" s="3426"/>
      <c r="IRF9" s="3426"/>
      <c r="IRG9" s="3426"/>
      <c r="IRH9" s="3426"/>
      <c r="IRI9" s="3426"/>
      <c r="IRJ9" s="3426"/>
      <c r="IRK9" s="3426"/>
      <c r="IRL9" s="3426"/>
      <c r="IRM9" s="3426"/>
      <c r="IRN9" s="3426"/>
      <c r="IRO9" s="3426"/>
      <c r="IRP9" s="3426"/>
      <c r="IRQ9" s="3426"/>
      <c r="IRR9" s="3426"/>
      <c r="IRS9" s="3426"/>
      <c r="IRT9" s="3426"/>
      <c r="IRU9" s="3426"/>
      <c r="IRV9" s="3426"/>
      <c r="IRW9" s="3426"/>
      <c r="IRX9" s="3426"/>
      <c r="IRY9" s="3426"/>
      <c r="IRZ9" s="3426"/>
      <c r="ISA9" s="3426"/>
      <c r="ISB9" s="3426"/>
      <c r="ISC9" s="3426"/>
      <c r="ISD9" s="3426"/>
      <c r="ISE9" s="3426"/>
      <c r="ISF9" s="3426"/>
      <c r="ISG9" s="3426"/>
      <c r="ISH9" s="3426"/>
      <c r="ISI9" s="3426"/>
      <c r="ISJ9" s="3426"/>
      <c r="ISK9" s="3426"/>
      <c r="ISL9" s="3426"/>
      <c r="ISM9" s="3426"/>
      <c r="ISN9" s="3426"/>
      <c r="ISO9" s="3426"/>
      <c r="ISP9" s="3426"/>
      <c r="ISQ9" s="3426"/>
      <c r="ISR9" s="3426"/>
      <c r="ISS9" s="3426"/>
      <c r="IST9" s="3426"/>
      <c r="ISU9" s="3426"/>
      <c r="ISV9" s="3426"/>
      <c r="ISW9" s="3426"/>
      <c r="ISX9" s="3426"/>
      <c r="ISY9" s="3426"/>
      <c r="ISZ9" s="3426"/>
      <c r="ITA9" s="3426"/>
      <c r="ITB9" s="3426"/>
      <c r="ITC9" s="3426"/>
      <c r="ITD9" s="3426"/>
      <c r="ITE9" s="3426"/>
      <c r="ITF9" s="3426"/>
      <c r="ITG9" s="3426"/>
      <c r="ITH9" s="3426"/>
      <c r="ITI9" s="3426"/>
      <c r="ITJ9" s="3426"/>
      <c r="ITK9" s="3426"/>
      <c r="ITL9" s="3426"/>
      <c r="ITM9" s="3426"/>
      <c r="ITN9" s="3426"/>
      <c r="ITO9" s="3426"/>
      <c r="ITP9" s="3426"/>
      <c r="ITQ9" s="3426"/>
      <c r="ITR9" s="3426"/>
      <c r="ITS9" s="3426"/>
      <c r="ITT9" s="3426"/>
      <c r="ITU9" s="3426"/>
      <c r="ITV9" s="3426"/>
      <c r="ITW9" s="3426"/>
      <c r="ITX9" s="3426"/>
      <c r="ITY9" s="3426"/>
      <c r="ITZ9" s="3426"/>
      <c r="IUA9" s="3426"/>
      <c r="IUB9" s="3426"/>
      <c r="IUC9" s="3426"/>
      <c r="IUD9" s="3426"/>
      <c r="IUE9" s="3426"/>
      <c r="IUF9" s="3426"/>
      <c r="IUG9" s="3426"/>
      <c r="IUH9" s="3426"/>
      <c r="IUI9" s="3426"/>
      <c r="IUJ9" s="3426"/>
      <c r="IUK9" s="3426"/>
      <c r="IUL9" s="3426"/>
      <c r="IUM9" s="3426"/>
      <c r="IUN9" s="3426"/>
      <c r="IUO9" s="3426"/>
      <c r="IUP9" s="3426"/>
      <c r="IUQ9" s="3426"/>
      <c r="IUR9" s="3426"/>
      <c r="IUS9" s="3426"/>
      <c r="IUT9" s="3426"/>
      <c r="IUU9" s="3426"/>
      <c r="IUV9" s="3426"/>
      <c r="IUW9" s="3426"/>
      <c r="IUX9" s="3426"/>
      <c r="IUY9" s="3426"/>
      <c r="IUZ9" s="3426"/>
      <c r="IVA9" s="3426"/>
      <c r="IVB9" s="3426"/>
      <c r="IVC9" s="3426"/>
      <c r="IVD9" s="3426"/>
      <c r="IVE9" s="3426"/>
      <c r="IVF9" s="3426"/>
      <c r="IVG9" s="3426"/>
      <c r="IVH9" s="3426"/>
      <c r="IVI9" s="3426"/>
      <c r="IVJ9" s="3426"/>
      <c r="IVK9" s="3426"/>
      <c r="IVL9" s="3426"/>
      <c r="IVM9" s="3426"/>
      <c r="IVN9" s="3426"/>
      <c r="IVO9" s="3426"/>
      <c r="IVP9" s="3426"/>
      <c r="IVQ9" s="3426"/>
      <c r="IVR9" s="3426"/>
      <c r="IVS9" s="3426"/>
      <c r="IVT9" s="3426"/>
      <c r="IVU9" s="3426"/>
      <c r="IVV9" s="3426"/>
      <c r="IVW9" s="3426"/>
      <c r="IVX9" s="3426"/>
      <c r="IVY9" s="3426"/>
      <c r="IVZ9" s="3426"/>
      <c r="IWA9" s="3426"/>
      <c r="IWB9" s="3426"/>
      <c r="IWC9" s="3426"/>
      <c r="IWD9" s="3426"/>
      <c r="IWE9" s="3426"/>
      <c r="IWF9" s="3426"/>
      <c r="IWG9" s="3426"/>
      <c r="IWH9" s="3426"/>
      <c r="IWI9" s="3426"/>
      <c r="IWJ9" s="3426"/>
      <c r="IWK9" s="3426"/>
      <c r="IWL9" s="3426"/>
      <c r="IWM9" s="3426"/>
      <c r="IWN9" s="3426"/>
      <c r="IWO9" s="3426"/>
      <c r="IWP9" s="3426"/>
      <c r="IWQ9" s="3426"/>
      <c r="IWR9" s="3426"/>
      <c r="IWS9" s="3426"/>
      <c r="IWT9" s="3426"/>
      <c r="IWU9" s="3426"/>
      <c r="IWV9" s="3426"/>
      <c r="IWW9" s="3426"/>
      <c r="IWX9" s="3426"/>
      <c r="IWY9" s="3426"/>
      <c r="IWZ9" s="3426"/>
      <c r="IXA9" s="3426"/>
      <c r="IXB9" s="3426"/>
      <c r="IXC9" s="3426"/>
      <c r="IXD9" s="3426"/>
      <c r="IXE9" s="3426"/>
      <c r="IXF9" s="3426"/>
      <c r="IXG9" s="3426"/>
      <c r="IXH9" s="3426"/>
      <c r="IXI9" s="3426"/>
      <c r="IXJ9" s="3426"/>
      <c r="IXK9" s="3426"/>
      <c r="IXL9" s="3426"/>
      <c r="IXM9" s="3426"/>
      <c r="IXN9" s="3426"/>
      <c r="IXO9" s="3426"/>
      <c r="IXP9" s="3426"/>
      <c r="IXQ9" s="3426"/>
      <c r="IXR9" s="3426"/>
      <c r="IXS9" s="3426"/>
      <c r="IXT9" s="3426"/>
      <c r="IXU9" s="3426"/>
      <c r="IXV9" s="3426"/>
      <c r="IXW9" s="3426"/>
      <c r="IXX9" s="3426"/>
      <c r="IXY9" s="3426"/>
      <c r="IXZ9" s="3426"/>
      <c r="IYA9" s="3426"/>
      <c r="IYB9" s="3426"/>
      <c r="IYC9" s="3426"/>
      <c r="IYD9" s="3426"/>
      <c r="IYE9" s="3426"/>
      <c r="IYF9" s="3426"/>
      <c r="IYG9" s="3426"/>
      <c r="IYH9" s="3426"/>
      <c r="IYI9" s="3426"/>
      <c r="IYJ9" s="3426"/>
      <c r="IYK9" s="3426"/>
      <c r="IYL9" s="3426"/>
      <c r="IYM9" s="3426"/>
      <c r="IYN9" s="3426"/>
      <c r="IYO9" s="3426"/>
      <c r="IYP9" s="3426"/>
      <c r="IYQ9" s="3426"/>
      <c r="IYR9" s="3426"/>
      <c r="IYS9" s="3426"/>
      <c r="IYT9" s="3426"/>
      <c r="IYU9" s="3426"/>
      <c r="IYV9" s="3426"/>
      <c r="IYW9" s="3426"/>
      <c r="IYX9" s="3426"/>
      <c r="IYY9" s="3426"/>
      <c r="IYZ9" s="3426"/>
      <c r="IZA9" s="3426"/>
      <c r="IZB9" s="3426"/>
      <c r="IZC9" s="3426"/>
      <c r="IZD9" s="3426"/>
      <c r="IZE9" s="3426"/>
      <c r="IZF9" s="3426"/>
      <c r="IZG9" s="3426"/>
      <c r="IZH9" s="3426"/>
      <c r="IZI9" s="3426"/>
      <c r="IZJ9" s="3426"/>
      <c r="IZK9" s="3426"/>
      <c r="IZL9" s="3426"/>
      <c r="IZM9" s="3426"/>
      <c r="IZN9" s="3426"/>
      <c r="IZO9" s="3426"/>
      <c r="IZP9" s="3426"/>
      <c r="IZQ9" s="3426"/>
      <c r="IZR9" s="3426"/>
      <c r="IZS9" s="3426"/>
      <c r="IZT9" s="3426"/>
      <c r="IZU9" s="3426"/>
      <c r="IZV9" s="3426"/>
      <c r="IZW9" s="3426"/>
      <c r="IZX9" s="3426"/>
      <c r="IZY9" s="3426"/>
      <c r="IZZ9" s="3426"/>
      <c r="JAA9" s="3426"/>
      <c r="JAB9" s="3426"/>
      <c r="JAC9" s="3426"/>
      <c r="JAD9" s="3426"/>
      <c r="JAE9" s="3426"/>
      <c r="JAF9" s="3426"/>
      <c r="JAG9" s="3426"/>
      <c r="JAH9" s="3426"/>
      <c r="JAI9" s="3426"/>
      <c r="JAJ9" s="3426"/>
      <c r="JAK9" s="3426"/>
      <c r="JAL9" s="3426"/>
      <c r="JAM9" s="3426"/>
      <c r="JAN9" s="3426"/>
      <c r="JAO9" s="3426"/>
      <c r="JAP9" s="3426"/>
      <c r="JAQ9" s="3426"/>
      <c r="JAR9" s="3426"/>
      <c r="JAS9" s="3426"/>
      <c r="JAT9" s="3426"/>
      <c r="JAU9" s="3426"/>
      <c r="JAV9" s="3426"/>
      <c r="JAW9" s="3426"/>
      <c r="JAX9" s="3426"/>
      <c r="JAY9" s="3426"/>
      <c r="JAZ9" s="3426"/>
      <c r="JBA9" s="3426"/>
      <c r="JBB9" s="3426"/>
      <c r="JBC9" s="3426"/>
      <c r="JBD9" s="3426"/>
      <c r="JBE9" s="3426"/>
      <c r="JBF9" s="3426"/>
      <c r="JBG9" s="3426"/>
      <c r="JBH9" s="3426"/>
      <c r="JBI9" s="3426"/>
      <c r="JBJ9" s="3426"/>
      <c r="JBK9" s="3426"/>
      <c r="JBL9" s="3426"/>
      <c r="JBM9" s="3426"/>
      <c r="JBN9" s="3426"/>
      <c r="JBO9" s="3426"/>
      <c r="JBP9" s="3426"/>
      <c r="JBQ9" s="3426"/>
      <c r="JBR9" s="3426"/>
      <c r="JBS9" s="3426"/>
      <c r="JBT9" s="3426"/>
      <c r="JBU9" s="3426"/>
      <c r="JBV9" s="3426"/>
      <c r="JBW9" s="3426"/>
      <c r="JBX9" s="3426"/>
      <c r="JBY9" s="3426"/>
      <c r="JBZ9" s="3426"/>
      <c r="JCA9" s="3426"/>
      <c r="JCB9" s="3426"/>
      <c r="JCC9" s="3426"/>
      <c r="JCD9" s="3426"/>
      <c r="JCE9" s="3426"/>
      <c r="JCF9" s="3426"/>
      <c r="JCG9" s="3426"/>
      <c r="JCH9" s="3426"/>
      <c r="JCI9" s="3426"/>
      <c r="JCJ9" s="3426"/>
      <c r="JCK9" s="3426"/>
      <c r="JCL9" s="3426"/>
      <c r="JCM9" s="3426"/>
      <c r="JCN9" s="3426"/>
      <c r="JCO9" s="3426"/>
      <c r="JCP9" s="3426"/>
      <c r="JCQ9" s="3426"/>
      <c r="JCR9" s="3426"/>
      <c r="JCS9" s="3426"/>
      <c r="JCT9" s="3426"/>
      <c r="JCU9" s="3426"/>
      <c r="JCV9" s="3426"/>
      <c r="JCW9" s="3426"/>
      <c r="JCX9" s="3426"/>
      <c r="JCY9" s="3426"/>
      <c r="JCZ9" s="3426"/>
      <c r="JDA9" s="3426"/>
      <c r="JDB9" s="3426"/>
      <c r="JDC9" s="3426"/>
      <c r="JDD9" s="3426"/>
      <c r="JDE9" s="3426"/>
      <c r="JDF9" s="3426"/>
      <c r="JDG9" s="3426"/>
      <c r="JDH9" s="3426"/>
      <c r="JDI9" s="3426"/>
      <c r="JDJ9" s="3426"/>
      <c r="JDK9" s="3426"/>
      <c r="JDL9" s="3426"/>
      <c r="JDM9" s="3426"/>
      <c r="JDN9" s="3426"/>
      <c r="JDO9" s="3426"/>
      <c r="JDP9" s="3426"/>
      <c r="JDQ9" s="3426"/>
      <c r="JDR9" s="3426"/>
      <c r="JDS9" s="3426"/>
      <c r="JDT9" s="3426"/>
      <c r="JDU9" s="3426"/>
      <c r="JDV9" s="3426"/>
      <c r="JDW9" s="3426"/>
      <c r="JDX9" s="3426"/>
      <c r="JDY9" s="3426"/>
      <c r="JDZ9" s="3426"/>
      <c r="JEA9" s="3426"/>
      <c r="JEB9" s="3426"/>
      <c r="JEC9" s="3426"/>
      <c r="JED9" s="3426"/>
      <c r="JEE9" s="3426"/>
      <c r="JEF9" s="3426"/>
      <c r="JEG9" s="3426"/>
      <c r="JEH9" s="3426"/>
      <c r="JEI9" s="3426"/>
      <c r="JEJ9" s="3426"/>
      <c r="JEK9" s="3426"/>
      <c r="JEL9" s="3426"/>
      <c r="JEM9" s="3426"/>
      <c r="JEN9" s="3426"/>
      <c r="JEO9" s="3426"/>
      <c r="JEP9" s="3426"/>
      <c r="JEQ9" s="3426"/>
      <c r="JER9" s="3426"/>
      <c r="JES9" s="3426"/>
      <c r="JET9" s="3426"/>
      <c r="JEU9" s="3426"/>
      <c r="JEV9" s="3426"/>
      <c r="JEW9" s="3426"/>
      <c r="JEX9" s="3426"/>
      <c r="JEY9" s="3426"/>
      <c r="JEZ9" s="3426"/>
      <c r="JFA9" s="3426"/>
      <c r="JFB9" s="3426"/>
      <c r="JFC9" s="3426"/>
      <c r="JFD9" s="3426"/>
      <c r="JFE9" s="3426"/>
      <c r="JFF9" s="3426"/>
      <c r="JFG9" s="3426"/>
      <c r="JFH9" s="3426"/>
      <c r="JFI9" s="3426"/>
      <c r="JFJ9" s="3426"/>
      <c r="JFK9" s="3426"/>
      <c r="JFL9" s="3426"/>
      <c r="JFM9" s="3426"/>
      <c r="JFN9" s="3426"/>
      <c r="JFO9" s="3426"/>
      <c r="JFP9" s="3426"/>
      <c r="JFQ9" s="3426"/>
      <c r="JFR9" s="3426"/>
      <c r="JFS9" s="3426"/>
      <c r="JFT9" s="3426"/>
      <c r="JFU9" s="3426"/>
      <c r="JFV9" s="3426"/>
      <c r="JFW9" s="3426"/>
      <c r="JFX9" s="3426"/>
      <c r="JFY9" s="3426"/>
      <c r="JFZ9" s="3426"/>
      <c r="JGA9" s="3426"/>
      <c r="JGB9" s="3426"/>
      <c r="JGC9" s="3426"/>
      <c r="JGD9" s="3426"/>
      <c r="JGE9" s="3426"/>
      <c r="JGF9" s="3426"/>
      <c r="JGG9" s="3426"/>
      <c r="JGH9" s="3426"/>
      <c r="JGI9" s="3426"/>
      <c r="JGJ9" s="3426"/>
      <c r="JGK9" s="3426"/>
      <c r="JGL9" s="3426"/>
      <c r="JGM9" s="3426"/>
      <c r="JGN9" s="3426"/>
      <c r="JGO9" s="3426"/>
      <c r="JGP9" s="3426"/>
      <c r="JGQ9" s="3426"/>
      <c r="JGR9" s="3426"/>
      <c r="JGS9" s="3426"/>
      <c r="JGT9" s="3426"/>
      <c r="JGU9" s="3426"/>
      <c r="JGV9" s="3426"/>
      <c r="JGW9" s="3426"/>
      <c r="JGX9" s="3426"/>
      <c r="JGY9" s="3426"/>
      <c r="JGZ9" s="3426"/>
      <c r="JHA9" s="3426"/>
      <c r="JHB9" s="3426"/>
      <c r="JHC9" s="3426"/>
      <c r="JHD9" s="3426"/>
      <c r="JHE9" s="3426"/>
      <c r="JHF9" s="3426"/>
      <c r="JHG9" s="3426"/>
      <c r="JHH9" s="3426"/>
      <c r="JHI9" s="3426"/>
      <c r="JHJ9" s="3426"/>
      <c r="JHK9" s="3426"/>
      <c r="JHL9" s="3426"/>
      <c r="JHM9" s="3426"/>
      <c r="JHN9" s="3426"/>
      <c r="JHO9" s="3426"/>
      <c r="JHP9" s="3426"/>
      <c r="JHQ9" s="3426"/>
      <c r="JHR9" s="3426"/>
      <c r="JHS9" s="3426"/>
      <c r="JHT9" s="3426"/>
      <c r="JHU9" s="3426"/>
      <c r="JHV9" s="3426"/>
      <c r="JHW9" s="3426"/>
      <c r="JHX9" s="3426"/>
      <c r="JHY9" s="3426"/>
      <c r="JHZ9" s="3426"/>
      <c r="JIA9" s="3426"/>
      <c r="JIB9" s="3426"/>
      <c r="JIC9" s="3426"/>
      <c r="JID9" s="3426"/>
      <c r="JIE9" s="3426"/>
      <c r="JIF9" s="3426"/>
      <c r="JIG9" s="3426"/>
      <c r="JIH9" s="3426"/>
      <c r="JII9" s="3426"/>
      <c r="JIJ9" s="3426"/>
      <c r="JIK9" s="3426"/>
      <c r="JIL9" s="3426"/>
      <c r="JIM9" s="3426"/>
      <c r="JIN9" s="3426"/>
      <c r="JIO9" s="3426"/>
      <c r="JIP9" s="3426"/>
      <c r="JIQ9" s="3426"/>
      <c r="JIR9" s="3426"/>
      <c r="JIS9" s="3426"/>
      <c r="JIT9" s="3426"/>
      <c r="JIU9" s="3426"/>
      <c r="JIV9" s="3426"/>
      <c r="JIW9" s="3426"/>
      <c r="JIX9" s="3426"/>
      <c r="JIY9" s="3426"/>
      <c r="JIZ9" s="3426"/>
      <c r="JJA9" s="3426"/>
      <c r="JJB9" s="3426"/>
      <c r="JJC9" s="3426"/>
      <c r="JJD9" s="3426"/>
      <c r="JJE9" s="3426"/>
      <c r="JJF9" s="3426"/>
      <c r="JJG9" s="3426"/>
      <c r="JJH9" s="3426"/>
      <c r="JJI9" s="3426"/>
      <c r="JJJ9" s="3426"/>
      <c r="JJK9" s="3426"/>
      <c r="JJL9" s="3426"/>
      <c r="JJM9" s="3426"/>
      <c r="JJN9" s="3426"/>
      <c r="JJO9" s="3426"/>
      <c r="JJP9" s="3426"/>
      <c r="JJQ9" s="3426"/>
      <c r="JJR9" s="3426"/>
      <c r="JJS9" s="3426"/>
      <c r="JJT9" s="3426"/>
      <c r="JJU9" s="3426"/>
      <c r="JJV9" s="3426"/>
      <c r="JJW9" s="3426"/>
      <c r="JJX9" s="3426"/>
      <c r="JJY9" s="3426"/>
      <c r="JJZ9" s="3426"/>
      <c r="JKA9" s="3426"/>
      <c r="JKB9" s="3426"/>
      <c r="JKC9" s="3426"/>
      <c r="JKD9" s="3426"/>
      <c r="JKE9" s="3426"/>
      <c r="JKF9" s="3426"/>
      <c r="JKG9" s="3426"/>
      <c r="JKH9" s="3426"/>
      <c r="JKI9" s="3426"/>
      <c r="JKJ9" s="3426"/>
      <c r="JKK9" s="3426"/>
      <c r="JKL9" s="3426"/>
      <c r="JKM9" s="3426"/>
      <c r="JKN9" s="3426"/>
      <c r="JKO9" s="3426"/>
      <c r="JKP9" s="3426"/>
      <c r="JKQ9" s="3426"/>
      <c r="JKR9" s="3426"/>
      <c r="JKS9" s="3426"/>
      <c r="JKT9" s="3426"/>
      <c r="JKU9" s="3426"/>
      <c r="JKV9" s="3426"/>
      <c r="JKW9" s="3426"/>
      <c r="JKX9" s="3426"/>
      <c r="JKY9" s="3426"/>
      <c r="JKZ9" s="3426"/>
      <c r="JLA9" s="3426"/>
      <c r="JLB9" s="3426"/>
      <c r="JLC9" s="3426"/>
      <c r="JLD9" s="3426"/>
      <c r="JLE9" s="3426"/>
      <c r="JLF9" s="3426"/>
      <c r="JLG9" s="3426"/>
      <c r="JLH9" s="3426"/>
      <c r="JLI9" s="3426"/>
      <c r="JLJ9" s="3426"/>
      <c r="JLK9" s="3426"/>
      <c r="JLL9" s="3426"/>
      <c r="JLM9" s="3426"/>
      <c r="JLN9" s="3426"/>
      <c r="JLO9" s="3426"/>
      <c r="JLP9" s="3426"/>
      <c r="JLQ9" s="3426"/>
      <c r="JLR9" s="3426"/>
      <c r="JLS9" s="3426"/>
      <c r="JLT9" s="3426"/>
      <c r="JLU9" s="3426"/>
      <c r="JLV9" s="3426"/>
      <c r="JLW9" s="3426"/>
      <c r="JLX9" s="3426"/>
      <c r="JLY9" s="3426"/>
      <c r="JLZ9" s="3426"/>
      <c r="JMA9" s="3426"/>
      <c r="JMB9" s="3426"/>
      <c r="JMC9" s="3426"/>
      <c r="JMD9" s="3426"/>
      <c r="JME9" s="3426"/>
      <c r="JMF9" s="3426"/>
      <c r="JMG9" s="3426"/>
      <c r="JMH9" s="3426"/>
      <c r="JMI9" s="3426"/>
      <c r="JMJ9" s="3426"/>
      <c r="JMK9" s="3426"/>
      <c r="JML9" s="3426"/>
      <c r="JMM9" s="3426"/>
      <c r="JMN9" s="3426"/>
      <c r="JMO9" s="3426"/>
      <c r="JMP9" s="3426"/>
      <c r="JMQ9" s="3426"/>
      <c r="JMR9" s="3426"/>
      <c r="JMS9" s="3426"/>
      <c r="JMT9" s="3426"/>
      <c r="JMU9" s="3426"/>
      <c r="JMV9" s="3426"/>
      <c r="JMW9" s="3426"/>
      <c r="JMX9" s="3426"/>
      <c r="JMY9" s="3426"/>
      <c r="JMZ9" s="3426"/>
      <c r="JNA9" s="3426"/>
      <c r="JNB9" s="3426"/>
      <c r="JNC9" s="3426"/>
      <c r="JND9" s="3426"/>
      <c r="JNE9" s="3426"/>
      <c r="JNF9" s="3426"/>
      <c r="JNG9" s="3426"/>
      <c r="JNH9" s="3426"/>
      <c r="JNI9" s="3426"/>
      <c r="JNJ9" s="3426"/>
      <c r="JNK9" s="3426"/>
      <c r="JNL9" s="3426"/>
      <c r="JNM9" s="3426"/>
      <c r="JNN9" s="3426"/>
      <c r="JNO9" s="3426"/>
      <c r="JNP9" s="3426"/>
      <c r="JNQ9" s="3426"/>
      <c r="JNR9" s="3426"/>
      <c r="JNS9" s="3426"/>
      <c r="JNT9" s="3426"/>
      <c r="JNU9" s="3426"/>
      <c r="JNV9" s="3426"/>
      <c r="JNW9" s="3426"/>
      <c r="JNX9" s="3426"/>
      <c r="JNY9" s="3426"/>
      <c r="JNZ9" s="3426"/>
      <c r="JOA9" s="3426"/>
      <c r="JOB9" s="3426"/>
      <c r="JOC9" s="3426"/>
      <c r="JOD9" s="3426"/>
      <c r="JOE9" s="3426"/>
      <c r="JOF9" s="3426"/>
      <c r="JOG9" s="3426"/>
      <c r="JOH9" s="3426"/>
      <c r="JOI9" s="3426"/>
      <c r="JOJ9" s="3426"/>
      <c r="JOK9" s="3426"/>
      <c r="JOL9" s="3426"/>
      <c r="JOM9" s="3426"/>
      <c r="JON9" s="3426"/>
      <c r="JOO9" s="3426"/>
      <c r="JOP9" s="3426"/>
      <c r="JOQ9" s="3426"/>
      <c r="JOR9" s="3426"/>
      <c r="JOS9" s="3426"/>
      <c r="JOT9" s="3426"/>
      <c r="JOU9" s="3426"/>
      <c r="JOV9" s="3426"/>
      <c r="JOW9" s="3426"/>
      <c r="JOX9" s="3426"/>
      <c r="JOY9" s="3426"/>
      <c r="JOZ9" s="3426"/>
      <c r="JPA9" s="3426"/>
      <c r="JPB9" s="3426"/>
      <c r="JPC9" s="3426"/>
      <c r="JPD9" s="3426"/>
      <c r="JPE9" s="3426"/>
      <c r="JPF9" s="3426"/>
      <c r="JPG9" s="3426"/>
      <c r="JPH9" s="3426"/>
      <c r="JPI9" s="3426"/>
      <c r="JPJ9" s="3426"/>
      <c r="JPK9" s="3426"/>
      <c r="JPL9" s="3426"/>
      <c r="JPM9" s="3426"/>
      <c r="JPN9" s="3426"/>
      <c r="JPO9" s="3426"/>
      <c r="JPP9" s="3426"/>
      <c r="JPQ9" s="3426"/>
      <c r="JPR9" s="3426"/>
      <c r="JPS9" s="3426"/>
      <c r="JPT9" s="3426"/>
      <c r="JPU9" s="3426"/>
      <c r="JPV9" s="3426"/>
      <c r="JPW9" s="3426"/>
      <c r="JPX9" s="3426"/>
      <c r="JPY9" s="3426"/>
      <c r="JPZ9" s="3426"/>
      <c r="JQA9" s="3426"/>
      <c r="JQB9" s="3426"/>
      <c r="JQC9" s="3426"/>
      <c r="JQD9" s="3426"/>
      <c r="JQE9" s="3426"/>
      <c r="JQF9" s="3426"/>
      <c r="JQG9" s="3426"/>
      <c r="JQH9" s="3426"/>
      <c r="JQI9" s="3426"/>
      <c r="JQJ9" s="3426"/>
      <c r="JQK9" s="3426"/>
      <c r="JQL9" s="3426"/>
      <c r="JQM9" s="3426"/>
      <c r="JQN9" s="3426"/>
      <c r="JQO9" s="3426"/>
      <c r="JQP9" s="3426"/>
      <c r="JQQ9" s="3426"/>
      <c r="JQR9" s="3426"/>
      <c r="JQS9" s="3426"/>
      <c r="JQT9" s="3426"/>
      <c r="JQU9" s="3426"/>
      <c r="JQV9" s="3426"/>
      <c r="JQW9" s="3426"/>
      <c r="JQX9" s="3426"/>
      <c r="JQY9" s="3426"/>
      <c r="JQZ9" s="3426"/>
      <c r="JRA9" s="3426"/>
      <c r="JRB9" s="3426"/>
      <c r="JRC9" s="3426"/>
      <c r="JRD9" s="3426"/>
      <c r="JRE9" s="3426"/>
      <c r="JRF9" s="3426"/>
      <c r="JRG9" s="3426"/>
      <c r="JRH9" s="3426"/>
      <c r="JRI9" s="3426"/>
      <c r="JRJ9" s="3426"/>
      <c r="JRK9" s="3426"/>
      <c r="JRL9" s="3426"/>
      <c r="JRM9" s="3426"/>
      <c r="JRN9" s="3426"/>
      <c r="JRO9" s="3426"/>
      <c r="JRP9" s="3426"/>
      <c r="JRQ9" s="3426"/>
      <c r="JRR9" s="3426"/>
      <c r="JRS9" s="3426"/>
      <c r="JRT9" s="3426"/>
      <c r="JRU9" s="3426"/>
      <c r="JRV9" s="3426"/>
      <c r="JRW9" s="3426"/>
      <c r="JRX9" s="3426"/>
      <c r="JRY9" s="3426"/>
      <c r="JRZ9" s="3426"/>
      <c r="JSA9" s="3426"/>
      <c r="JSB9" s="3426"/>
      <c r="JSC9" s="3426"/>
      <c r="JSD9" s="3426"/>
      <c r="JSE9" s="3426"/>
      <c r="JSF9" s="3426"/>
      <c r="JSG9" s="3426"/>
      <c r="JSH9" s="3426"/>
      <c r="JSI9" s="3426"/>
      <c r="JSJ9" s="3426"/>
      <c r="JSK9" s="3426"/>
      <c r="JSL9" s="3426"/>
      <c r="JSM9" s="3426"/>
      <c r="JSN9" s="3426"/>
      <c r="JSO9" s="3426"/>
      <c r="JSP9" s="3426"/>
      <c r="JSQ9" s="3426"/>
      <c r="JSR9" s="3426"/>
      <c r="JSS9" s="3426"/>
      <c r="JST9" s="3426"/>
      <c r="JSU9" s="3426"/>
      <c r="JSV9" s="3426"/>
      <c r="JSW9" s="3426"/>
      <c r="JSX9" s="3426"/>
      <c r="JSY9" s="3426"/>
      <c r="JSZ9" s="3426"/>
      <c r="JTA9" s="3426"/>
      <c r="JTB9" s="3426"/>
      <c r="JTC9" s="3426"/>
      <c r="JTD9" s="3426"/>
      <c r="JTE9" s="3426"/>
      <c r="JTF9" s="3426"/>
      <c r="JTG9" s="3426"/>
      <c r="JTH9" s="3426"/>
      <c r="JTI9" s="3426"/>
      <c r="JTJ9" s="3426"/>
      <c r="JTK9" s="3426"/>
      <c r="JTL9" s="3426"/>
      <c r="JTM9" s="3426"/>
      <c r="JTN9" s="3426"/>
      <c r="JTO9" s="3426"/>
      <c r="JTP9" s="3426"/>
      <c r="JTQ9" s="3426"/>
      <c r="JTR9" s="3426"/>
      <c r="JTS9" s="3426"/>
      <c r="JTT9" s="3426"/>
      <c r="JTU9" s="3426"/>
      <c r="JTV9" s="3426"/>
      <c r="JTW9" s="3426"/>
      <c r="JTX9" s="3426"/>
      <c r="JTY9" s="3426"/>
      <c r="JTZ9" s="3426"/>
      <c r="JUA9" s="3426"/>
      <c r="JUB9" s="3426"/>
      <c r="JUC9" s="3426"/>
      <c r="JUD9" s="3426"/>
      <c r="JUE9" s="3426"/>
      <c r="JUF9" s="3426"/>
      <c r="JUG9" s="3426"/>
      <c r="JUH9" s="3426"/>
      <c r="JUI9" s="3426"/>
      <c r="JUJ9" s="3426"/>
      <c r="JUK9" s="3426"/>
      <c r="JUL9" s="3426"/>
      <c r="JUM9" s="3426"/>
      <c r="JUN9" s="3426"/>
      <c r="JUO9" s="3426"/>
      <c r="JUP9" s="3426"/>
      <c r="JUQ9" s="3426"/>
      <c r="JUR9" s="3426"/>
      <c r="JUS9" s="3426"/>
      <c r="JUT9" s="3426"/>
      <c r="JUU9" s="3426"/>
      <c r="JUV9" s="3426"/>
      <c r="JUW9" s="3426"/>
      <c r="JUX9" s="3426"/>
      <c r="JUY9" s="3426"/>
      <c r="JUZ9" s="3426"/>
      <c r="JVA9" s="3426"/>
      <c r="JVB9" s="3426"/>
      <c r="JVC9" s="3426"/>
      <c r="JVD9" s="3426"/>
      <c r="JVE9" s="3426"/>
      <c r="JVF9" s="3426"/>
      <c r="JVG9" s="3426"/>
      <c r="JVH9" s="3426"/>
      <c r="JVI9" s="3426"/>
      <c r="JVJ9" s="3426"/>
      <c r="JVK9" s="3426"/>
      <c r="JVL9" s="3426"/>
      <c r="JVM9" s="3426"/>
      <c r="JVN9" s="3426"/>
      <c r="JVO9" s="3426"/>
      <c r="JVP9" s="3426"/>
      <c r="JVQ9" s="3426"/>
      <c r="JVR9" s="3426"/>
      <c r="JVS9" s="3426"/>
      <c r="JVT9" s="3426"/>
      <c r="JVU9" s="3426"/>
      <c r="JVV9" s="3426"/>
      <c r="JVW9" s="3426"/>
      <c r="JVX9" s="3426"/>
      <c r="JVY9" s="3426"/>
      <c r="JVZ9" s="3426"/>
      <c r="JWA9" s="3426"/>
      <c r="JWB9" s="3426"/>
      <c r="JWC9" s="3426"/>
      <c r="JWD9" s="3426"/>
      <c r="JWE9" s="3426"/>
      <c r="JWF9" s="3426"/>
      <c r="JWG9" s="3426"/>
      <c r="JWH9" s="3426"/>
      <c r="JWI9" s="3426"/>
      <c r="JWJ9" s="3426"/>
      <c r="JWK9" s="3426"/>
      <c r="JWL9" s="3426"/>
      <c r="JWM9" s="3426"/>
      <c r="JWN9" s="3426"/>
      <c r="JWO9" s="3426"/>
      <c r="JWP9" s="3426"/>
      <c r="JWQ9" s="3426"/>
      <c r="JWR9" s="3426"/>
      <c r="JWS9" s="3426"/>
      <c r="JWT9" s="3426"/>
      <c r="JWU9" s="3426"/>
      <c r="JWV9" s="3426"/>
      <c r="JWW9" s="3426"/>
      <c r="JWX9" s="3426"/>
      <c r="JWY9" s="3426"/>
      <c r="JWZ9" s="3426"/>
      <c r="JXA9" s="3426"/>
      <c r="JXB9" s="3426"/>
      <c r="JXC9" s="3426"/>
      <c r="JXD9" s="3426"/>
      <c r="JXE9" s="3426"/>
      <c r="JXF9" s="3426"/>
      <c r="JXG9" s="3426"/>
      <c r="JXH9" s="3426"/>
      <c r="JXI9" s="3426"/>
      <c r="JXJ9" s="3426"/>
      <c r="JXK9" s="3426"/>
      <c r="JXL9" s="3426"/>
      <c r="JXM9" s="3426"/>
      <c r="JXN9" s="3426"/>
      <c r="JXO9" s="3426"/>
      <c r="JXP9" s="3426"/>
      <c r="JXQ9" s="3426"/>
      <c r="JXR9" s="3426"/>
      <c r="JXS9" s="3426"/>
      <c r="JXT9" s="3426"/>
      <c r="JXU9" s="3426"/>
      <c r="JXV9" s="3426"/>
      <c r="JXW9" s="3426"/>
      <c r="JXX9" s="3426"/>
      <c r="JXY9" s="3426"/>
      <c r="JXZ9" s="3426"/>
      <c r="JYA9" s="3426"/>
      <c r="JYB9" s="3426"/>
      <c r="JYC9" s="3426"/>
      <c r="JYD9" s="3426"/>
      <c r="JYE9" s="3426"/>
      <c r="JYF9" s="3426"/>
      <c r="JYG9" s="3426"/>
      <c r="JYH9" s="3426"/>
      <c r="JYI9" s="3426"/>
      <c r="JYJ9" s="3426"/>
      <c r="JYK9" s="3426"/>
      <c r="JYL9" s="3426"/>
      <c r="JYM9" s="3426"/>
      <c r="JYN9" s="3426"/>
      <c r="JYO9" s="3426"/>
      <c r="JYP9" s="3426"/>
      <c r="JYQ9" s="3426"/>
      <c r="JYR9" s="3426"/>
      <c r="JYS9" s="3426"/>
      <c r="JYT9" s="3426"/>
      <c r="JYU9" s="3426"/>
      <c r="JYV9" s="3426"/>
      <c r="JYW9" s="3426"/>
      <c r="JYX9" s="3426"/>
      <c r="JYY9" s="3426"/>
      <c r="JYZ9" s="3426"/>
      <c r="JZA9" s="3426"/>
      <c r="JZB9" s="3426"/>
      <c r="JZC9" s="3426"/>
      <c r="JZD9" s="3426"/>
      <c r="JZE9" s="3426"/>
      <c r="JZF9" s="3426"/>
      <c r="JZG9" s="3426"/>
      <c r="JZH9" s="3426"/>
      <c r="JZI9" s="3426"/>
      <c r="JZJ9" s="3426"/>
      <c r="JZK9" s="3426"/>
      <c r="JZL9" s="3426"/>
      <c r="JZM9" s="3426"/>
      <c r="JZN9" s="3426"/>
      <c r="JZO9" s="3426"/>
      <c r="JZP9" s="3426"/>
      <c r="JZQ9" s="3426"/>
      <c r="JZR9" s="3426"/>
      <c r="JZS9" s="3426"/>
      <c r="JZT9" s="3426"/>
      <c r="JZU9" s="3426"/>
      <c r="JZV9" s="3426"/>
      <c r="JZW9" s="3426"/>
      <c r="JZX9" s="3426"/>
      <c r="JZY9" s="3426"/>
      <c r="JZZ9" s="3426"/>
      <c r="KAA9" s="3426"/>
      <c r="KAB9" s="3426"/>
      <c r="KAC9" s="3426"/>
      <c r="KAD9" s="3426"/>
      <c r="KAE9" s="3426"/>
      <c r="KAF9" s="3426"/>
      <c r="KAG9" s="3426"/>
      <c r="KAH9" s="3426"/>
      <c r="KAI9" s="3426"/>
      <c r="KAJ9" s="3426"/>
      <c r="KAK9" s="3426"/>
      <c r="KAL9" s="3426"/>
      <c r="KAM9" s="3426"/>
      <c r="KAN9" s="3426"/>
      <c r="KAO9" s="3426"/>
      <c r="KAP9" s="3426"/>
      <c r="KAQ9" s="3426"/>
      <c r="KAR9" s="3426"/>
      <c r="KAS9" s="3426"/>
      <c r="KAT9" s="3426"/>
      <c r="KAU9" s="3426"/>
      <c r="KAV9" s="3426"/>
      <c r="KAW9" s="3426"/>
      <c r="KAX9" s="3426"/>
      <c r="KAY9" s="3426"/>
      <c r="KAZ9" s="3426"/>
      <c r="KBA9" s="3426"/>
      <c r="KBB9" s="3426"/>
      <c r="KBC9" s="3426"/>
      <c r="KBD9" s="3426"/>
      <c r="KBE9" s="3426"/>
      <c r="KBF9" s="3426"/>
      <c r="KBG9" s="3426"/>
      <c r="KBH9" s="3426"/>
      <c r="KBI9" s="3426"/>
      <c r="KBJ9" s="3426"/>
      <c r="KBK9" s="3426"/>
      <c r="KBL9" s="3426"/>
      <c r="KBM9" s="3426"/>
      <c r="KBN9" s="3426"/>
      <c r="KBO9" s="3426"/>
      <c r="KBP9" s="3426"/>
      <c r="KBQ9" s="3426"/>
      <c r="KBR9" s="3426"/>
      <c r="KBS9" s="3426"/>
      <c r="KBT9" s="3426"/>
      <c r="KBU9" s="3426"/>
      <c r="KBV9" s="3426"/>
      <c r="KBW9" s="3426"/>
      <c r="KBX9" s="3426"/>
      <c r="KBY9" s="3426"/>
      <c r="KBZ9" s="3426"/>
      <c r="KCA9" s="3426"/>
      <c r="KCB9" s="3426"/>
      <c r="KCC9" s="3426"/>
      <c r="KCD9" s="3426"/>
      <c r="KCE9" s="3426"/>
      <c r="KCF9" s="3426"/>
      <c r="KCG9" s="3426"/>
      <c r="KCH9" s="3426"/>
      <c r="KCI9" s="3426"/>
      <c r="KCJ9" s="3426"/>
      <c r="KCK9" s="3426"/>
      <c r="KCL9" s="3426"/>
      <c r="KCM9" s="3426"/>
      <c r="KCN9" s="3426"/>
      <c r="KCO9" s="3426"/>
      <c r="KCP9" s="3426"/>
      <c r="KCQ9" s="3426"/>
      <c r="KCR9" s="3426"/>
      <c r="KCS9" s="3426"/>
      <c r="KCT9" s="3426"/>
      <c r="KCU9" s="3426"/>
      <c r="KCV9" s="3426"/>
      <c r="KCW9" s="3426"/>
      <c r="KCX9" s="3426"/>
      <c r="KCY9" s="3426"/>
      <c r="KCZ9" s="3426"/>
      <c r="KDA9" s="3426"/>
      <c r="KDB9" s="3426"/>
      <c r="KDC9" s="3426"/>
      <c r="KDD9" s="3426"/>
      <c r="KDE9" s="3426"/>
      <c r="KDF9" s="3426"/>
      <c r="KDG9" s="3426"/>
      <c r="KDH9" s="3426"/>
      <c r="KDI9" s="3426"/>
      <c r="KDJ9" s="3426"/>
      <c r="KDK9" s="3426"/>
      <c r="KDL9" s="3426"/>
      <c r="KDM9" s="3426"/>
      <c r="KDN9" s="3426"/>
      <c r="KDO9" s="3426"/>
      <c r="KDP9" s="3426"/>
      <c r="KDQ9" s="3426"/>
      <c r="KDR9" s="3426"/>
      <c r="KDS9" s="3426"/>
      <c r="KDT9" s="3426"/>
      <c r="KDU9" s="3426"/>
      <c r="KDV9" s="3426"/>
      <c r="KDW9" s="3426"/>
      <c r="KDX9" s="3426"/>
      <c r="KDY9" s="3426"/>
      <c r="KDZ9" s="3426"/>
      <c r="KEA9" s="3426"/>
      <c r="KEB9" s="3426"/>
      <c r="KEC9" s="3426"/>
      <c r="KED9" s="3426"/>
      <c r="KEE9" s="3426"/>
      <c r="KEF9" s="3426"/>
      <c r="KEG9" s="3426"/>
      <c r="KEH9" s="3426"/>
      <c r="KEI9" s="3426"/>
      <c r="KEJ9" s="3426"/>
      <c r="KEK9" s="3426"/>
      <c r="KEL9" s="3426"/>
      <c r="KEM9" s="3426"/>
      <c r="KEN9" s="3426"/>
      <c r="KEO9" s="3426"/>
      <c r="KEP9" s="3426"/>
      <c r="KEQ9" s="3426"/>
      <c r="KER9" s="3426"/>
      <c r="KES9" s="3426"/>
      <c r="KET9" s="3426"/>
      <c r="KEU9" s="3426"/>
      <c r="KEV9" s="3426"/>
      <c r="KEW9" s="3426"/>
      <c r="KEX9" s="3426"/>
      <c r="KEY9" s="3426"/>
      <c r="KEZ9" s="3426"/>
      <c r="KFA9" s="3426"/>
      <c r="KFB9" s="3426"/>
      <c r="KFC9" s="3426"/>
      <c r="KFD9" s="3426"/>
      <c r="KFE9" s="3426"/>
      <c r="KFF9" s="3426"/>
      <c r="KFG9" s="3426"/>
      <c r="KFH9" s="3426"/>
      <c r="KFI9" s="3426"/>
      <c r="KFJ9" s="3426"/>
      <c r="KFK9" s="3426"/>
      <c r="KFL9" s="3426"/>
      <c r="KFM9" s="3426"/>
      <c r="KFN9" s="3426"/>
      <c r="KFO9" s="3426"/>
      <c r="KFP9" s="3426"/>
      <c r="KFQ9" s="3426"/>
      <c r="KFR9" s="3426"/>
      <c r="KFS9" s="3426"/>
      <c r="KFT9" s="3426"/>
      <c r="KFU9" s="3426"/>
      <c r="KFV9" s="3426"/>
      <c r="KFW9" s="3426"/>
      <c r="KFX9" s="3426"/>
      <c r="KFY9" s="3426"/>
      <c r="KFZ9" s="3426"/>
      <c r="KGA9" s="3426"/>
      <c r="KGB9" s="3426"/>
      <c r="KGC9" s="3426"/>
      <c r="KGD9" s="3426"/>
      <c r="KGE9" s="3426"/>
      <c r="KGF9" s="3426"/>
      <c r="KGG9" s="3426"/>
      <c r="KGH9" s="3426"/>
      <c r="KGI9" s="3426"/>
      <c r="KGJ9" s="3426"/>
      <c r="KGK9" s="3426"/>
      <c r="KGL9" s="3426"/>
      <c r="KGM9" s="3426"/>
      <c r="KGN9" s="3426"/>
      <c r="KGO9" s="3426"/>
      <c r="KGP9" s="3426"/>
      <c r="KGQ9" s="3426"/>
      <c r="KGR9" s="3426"/>
      <c r="KGS9" s="3426"/>
      <c r="KGT9" s="3426"/>
      <c r="KGU9" s="3426"/>
      <c r="KGV9" s="3426"/>
      <c r="KGW9" s="3426"/>
      <c r="KGX9" s="3426"/>
      <c r="KGY9" s="3426"/>
      <c r="KGZ9" s="3426"/>
      <c r="KHA9" s="3426"/>
      <c r="KHB9" s="3426"/>
      <c r="KHC9" s="3426"/>
      <c r="KHD9" s="3426"/>
      <c r="KHE9" s="3426"/>
      <c r="KHF9" s="3426"/>
      <c r="KHG9" s="3426"/>
      <c r="KHH9" s="3426"/>
      <c r="KHI9" s="3426"/>
      <c r="KHJ9" s="3426"/>
      <c r="KHK9" s="3426"/>
      <c r="KHL9" s="3426"/>
      <c r="KHM9" s="3426"/>
      <c r="KHN9" s="3426"/>
      <c r="KHO9" s="3426"/>
      <c r="KHP9" s="3426"/>
      <c r="KHQ9" s="3426"/>
      <c r="KHR9" s="3426"/>
      <c r="KHS9" s="3426"/>
      <c r="KHT9" s="3426"/>
      <c r="KHU9" s="3426"/>
      <c r="KHV9" s="3426"/>
      <c r="KHW9" s="3426"/>
      <c r="KHX9" s="3426"/>
      <c r="KHY9" s="3426"/>
      <c r="KHZ9" s="3426"/>
      <c r="KIA9" s="3426"/>
      <c r="KIB9" s="3426"/>
      <c r="KIC9" s="3426"/>
      <c r="KID9" s="3426"/>
      <c r="KIE9" s="3426"/>
      <c r="KIF9" s="3426"/>
      <c r="KIG9" s="3426"/>
      <c r="KIH9" s="3426"/>
      <c r="KII9" s="3426"/>
      <c r="KIJ9" s="3426"/>
      <c r="KIK9" s="3426"/>
      <c r="KIL9" s="3426"/>
      <c r="KIM9" s="3426"/>
      <c r="KIN9" s="3426"/>
      <c r="KIO9" s="3426"/>
      <c r="KIP9" s="3426"/>
      <c r="KIQ9" s="3426"/>
      <c r="KIR9" s="3426"/>
      <c r="KIS9" s="3426"/>
      <c r="KIT9" s="3426"/>
      <c r="KIU9" s="3426"/>
      <c r="KIV9" s="3426"/>
      <c r="KIW9" s="3426"/>
      <c r="KIX9" s="3426"/>
      <c r="KIY9" s="3426"/>
      <c r="KIZ9" s="3426"/>
      <c r="KJA9" s="3426"/>
      <c r="KJB9" s="3426"/>
      <c r="KJC9" s="3426"/>
      <c r="KJD9" s="3426"/>
      <c r="KJE9" s="3426"/>
      <c r="KJF9" s="3426"/>
      <c r="KJG9" s="3426"/>
      <c r="KJH9" s="3426"/>
      <c r="KJI9" s="3426"/>
      <c r="KJJ9" s="3426"/>
      <c r="KJK9" s="3426"/>
      <c r="KJL9" s="3426"/>
      <c r="KJM9" s="3426"/>
      <c r="KJN9" s="3426"/>
      <c r="KJO9" s="3426"/>
      <c r="KJP9" s="3426"/>
      <c r="KJQ9" s="3426"/>
      <c r="KJR9" s="3426"/>
      <c r="KJS9" s="3426"/>
      <c r="KJT9" s="3426"/>
      <c r="KJU9" s="3426"/>
      <c r="KJV9" s="3426"/>
      <c r="KJW9" s="3426"/>
      <c r="KJX9" s="3426"/>
      <c r="KJY9" s="3426"/>
      <c r="KJZ9" s="3426"/>
      <c r="KKA9" s="3426"/>
      <c r="KKB9" s="3426"/>
      <c r="KKC9" s="3426"/>
      <c r="KKD9" s="3426"/>
      <c r="KKE9" s="3426"/>
      <c r="KKF9" s="3426"/>
      <c r="KKG9" s="3426"/>
      <c r="KKH9" s="3426"/>
      <c r="KKI9" s="3426"/>
      <c r="KKJ9" s="3426"/>
      <c r="KKK9" s="3426"/>
      <c r="KKL9" s="3426"/>
      <c r="KKM9" s="3426"/>
      <c r="KKN9" s="3426"/>
      <c r="KKO9" s="3426"/>
      <c r="KKP9" s="3426"/>
      <c r="KKQ9" s="3426"/>
      <c r="KKR9" s="3426"/>
      <c r="KKS9" s="3426"/>
      <c r="KKT9" s="3426"/>
      <c r="KKU9" s="3426"/>
      <c r="KKV9" s="3426"/>
      <c r="KKW9" s="3426"/>
      <c r="KKX9" s="3426"/>
      <c r="KKY9" s="3426"/>
      <c r="KKZ9" s="3426"/>
      <c r="KLA9" s="3426"/>
      <c r="KLB9" s="3426"/>
      <c r="KLC9" s="3426"/>
      <c r="KLD9" s="3426"/>
      <c r="KLE9" s="3426"/>
      <c r="KLF9" s="3426"/>
      <c r="KLG9" s="3426"/>
      <c r="KLH9" s="3426"/>
      <c r="KLI9" s="3426"/>
      <c r="KLJ9" s="3426"/>
      <c r="KLK9" s="3426"/>
      <c r="KLL9" s="3426"/>
      <c r="KLM9" s="3426"/>
      <c r="KLN9" s="3426"/>
      <c r="KLO9" s="3426"/>
      <c r="KLP9" s="3426"/>
      <c r="KLQ9" s="3426"/>
      <c r="KLR9" s="3426"/>
      <c r="KLS9" s="3426"/>
      <c r="KLT9" s="3426"/>
      <c r="KLU9" s="3426"/>
      <c r="KLV9" s="3426"/>
      <c r="KLW9" s="3426"/>
      <c r="KLX9" s="3426"/>
      <c r="KLY9" s="3426"/>
      <c r="KLZ9" s="3426"/>
      <c r="KMA9" s="3426"/>
      <c r="KMB9" s="3426"/>
      <c r="KMC9" s="3426"/>
      <c r="KMD9" s="3426"/>
      <c r="KME9" s="3426"/>
      <c r="KMF9" s="3426"/>
      <c r="KMG9" s="3426"/>
      <c r="KMH9" s="3426"/>
      <c r="KMI9" s="3426"/>
      <c r="KMJ9" s="3426"/>
      <c r="KMK9" s="3426"/>
      <c r="KML9" s="3426"/>
      <c r="KMM9" s="3426"/>
      <c r="KMN9" s="3426"/>
      <c r="KMO9" s="3426"/>
      <c r="KMP9" s="3426"/>
      <c r="KMQ9" s="3426"/>
      <c r="KMR9" s="3426"/>
      <c r="KMS9" s="3426"/>
      <c r="KMT9" s="3426"/>
      <c r="KMU9" s="3426"/>
      <c r="KMV9" s="3426"/>
      <c r="KMW9" s="3426"/>
      <c r="KMX9" s="3426"/>
      <c r="KMY9" s="3426"/>
      <c r="KMZ9" s="3426"/>
      <c r="KNA9" s="3426"/>
      <c r="KNB9" s="3426"/>
      <c r="KNC9" s="3426"/>
      <c r="KND9" s="3426"/>
      <c r="KNE9" s="3426"/>
      <c r="KNF9" s="3426"/>
      <c r="KNG9" s="3426"/>
      <c r="KNH9" s="3426"/>
      <c r="KNI9" s="3426"/>
      <c r="KNJ9" s="3426"/>
      <c r="KNK9" s="3426"/>
      <c r="KNL9" s="3426"/>
      <c r="KNM9" s="3426"/>
      <c r="KNN9" s="3426"/>
      <c r="KNO9" s="3426"/>
      <c r="KNP9" s="3426"/>
      <c r="KNQ9" s="3426"/>
      <c r="KNR9" s="3426"/>
      <c r="KNS9" s="3426"/>
      <c r="KNT9" s="3426"/>
      <c r="KNU9" s="3426"/>
      <c r="KNV9" s="3426"/>
      <c r="KNW9" s="3426"/>
      <c r="KNX9" s="3426"/>
      <c r="KNY9" s="3426"/>
      <c r="KNZ9" s="3426"/>
      <c r="KOA9" s="3426"/>
      <c r="KOB9" s="3426"/>
      <c r="KOC9" s="3426"/>
      <c r="KOD9" s="3426"/>
      <c r="KOE9" s="3426"/>
      <c r="KOF9" s="3426"/>
      <c r="KOG9" s="3426"/>
      <c r="KOH9" s="3426"/>
      <c r="KOI9" s="3426"/>
      <c r="KOJ9" s="3426"/>
      <c r="KOK9" s="3426"/>
      <c r="KOL9" s="3426"/>
      <c r="KOM9" s="3426"/>
      <c r="KON9" s="3426"/>
      <c r="KOO9" s="3426"/>
      <c r="KOP9" s="3426"/>
      <c r="KOQ9" s="3426"/>
      <c r="KOR9" s="3426"/>
      <c r="KOS9" s="3426"/>
      <c r="KOT9" s="3426"/>
      <c r="KOU9" s="3426"/>
      <c r="KOV9" s="3426"/>
      <c r="KOW9" s="3426"/>
      <c r="KOX9" s="3426"/>
      <c r="KOY9" s="3426"/>
      <c r="KOZ9" s="3426"/>
      <c r="KPA9" s="3426"/>
      <c r="KPB9" s="3426"/>
      <c r="KPC9" s="3426"/>
      <c r="KPD9" s="3426"/>
      <c r="KPE9" s="3426"/>
      <c r="KPF9" s="3426"/>
      <c r="KPG9" s="3426"/>
      <c r="KPH9" s="3426"/>
      <c r="KPI9" s="3426"/>
      <c r="KPJ9" s="3426"/>
      <c r="KPK9" s="3426"/>
      <c r="KPL9" s="3426"/>
      <c r="KPM9" s="3426"/>
      <c r="KPN9" s="3426"/>
      <c r="KPO9" s="3426"/>
      <c r="KPP9" s="3426"/>
      <c r="KPQ9" s="3426"/>
      <c r="KPR9" s="3426"/>
      <c r="KPS9" s="3426"/>
      <c r="KPT9" s="3426"/>
      <c r="KPU9" s="3426"/>
      <c r="KPV9" s="3426"/>
      <c r="KPW9" s="3426"/>
      <c r="KPX9" s="3426"/>
      <c r="KPY9" s="3426"/>
      <c r="KPZ9" s="3426"/>
      <c r="KQA9" s="3426"/>
      <c r="KQB9" s="3426"/>
      <c r="KQC9" s="3426"/>
      <c r="KQD9" s="3426"/>
      <c r="KQE9" s="3426"/>
      <c r="KQF9" s="3426"/>
      <c r="KQG9" s="3426"/>
      <c r="KQH9" s="3426"/>
      <c r="KQI9" s="3426"/>
      <c r="KQJ9" s="3426"/>
      <c r="KQK9" s="3426"/>
      <c r="KQL9" s="3426"/>
      <c r="KQM9" s="3426"/>
      <c r="KQN9" s="3426"/>
      <c r="KQO9" s="3426"/>
      <c r="KQP9" s="3426"/>
      <c r="KQQ9" s="3426"/>
      <c r="KQR9" s="3426"/>
      <c r="KQS9" s="3426"/>
      <c r="KQT9" s="3426"/>
      <c r="KQU9" s="3426"/>
      <c r="KQV9" s="3426"/>
      <c r="KQW9" s="3426"/>
      <c r="KQX9" s="3426"/>
      <c r="KQY9" s="3426"/>
      <c r="KQZ9" s="3426"/>
      <c r="KRA9" s="3426"/>
      <c r="KRB9" s="3426"/>
      <c r="KRC9" s="3426"/>
      <c r="KRD9" s="3426"/>
      <c r="KRE9" s="3426"/>
      <c r="KRF9" s="3426"/>
      <c r="KRG9" s="3426"/>
      <c r="KRH9" s="3426"/>
      <c r="KRI9" s="3426"/>
      <c r="KRJ9" s="3426"/>
      <c r="KRK9" s="3426"/>
      <c r="KRL9" s="3426"/>
      <c r="KRM9" s="3426"/>
      <c r="KRN9" s="3426"/>
      <c r="KRO9" s="3426"/>
      <c r="KRP9" s="3426"/>
      <c r="KRQ9" s="3426"/>
      <c r="KRR9" s="3426"/>
      <c r="KRS9" s="3426"/>
      <c r="KRT9" s="3426"/>
      <c r="KRU9" s="3426"/>
      <c r="KRV9" s="3426"/>
      <c r="KRW9" s="3426"/>
      <c r="KRX9" s="3426"/>
      <c r="KRY9" s="3426"/>
      <c r="KRZ9" s="3426"/>
      <c r="KSA9" s="3426"/>
      <c r="KSB9" s="3426"/>
      <c r="KSC9" s="3426"/>
      <c r="KSD9" s="3426"/>
      <c r="KSE9" s="3426"/>
      <c r="KSF9" s="3426"/>
      <c r="KSG9" s="3426"/>
      <c r="KSH9" s="3426"/>
      <c r="KSI9" s="3426"/>
      <c r="KSJ9" s="3426"/>
      <c r="KSK9" s="3426"/>
      <c r="KSL9" s="3426"/>
      <c r="KSM9" s="3426"/>
      <c r="KSN9" s="3426"/>
      <c r="KSO9" s="3426"/>
      <c r="KSP9" s="3426"/>
      <c r="KSQ9" s="3426"/>
      <c r="KSR9" s="3426"/>
      <c r="KSS9" s="3426"/>
      <c r="KST9" s="3426"/>
      <c r="KSU9" s="3426"/>
      <c r="KSV9" s="3426"/>
      <c r="KSW9" s="3426"/>
      <c r="KSX9" s="3426"/>
      <c r="KSY9" s="3426"/>
      <c r="KSZ9" s="3426"/>
      <c r="KTA9" s="3426"/>
      <c r="KTB9" s="3426"/>
      <c r="KTC9" s="3426"/>
      <c r="KTD9" s="3426"/>
      <c r="KTE9" s="3426"/>
      <c r="KTF9" s="3426"/>
      <c r="KTG9" s="3426"/>
      <c r="KTH9" s="3426"/>
      <c r="KTI9" s="3426"/>
      <c r="KTJ9" s="3426"/>
      <c r="KTK9" s="3426"/>
      <c r="KTL9" s="3426"/>
      <c r="KTM9" s="3426"/>
      <c r="KTN9" s="3426"/>
      <c r="KTO9" s="3426"/>
      <c r="KTP9" s="3426"/>
      <c r="KTQ9" s="3426"/>
      <c r="KTR9" s="3426"/>
      <c r="KTS9" s="3426"/>
      <c r="KTT9" s="3426"/>
      <c r="KTU9" s="3426"/>
      <c r="KTV9" s="3426"/>
      <c r="KTW9" s="3426"/>
      <c r="KTX9" s="3426"/>
      <c r="KTY9" s="3426"/>
      <c r="KTZ9" s="3426"/>
      <c r="KUA9" s="3426"/>
      <c r="KUB9" s="3426"/>
      <c r="KUC9" s="3426"/>
      <c r="KUD9" s="3426"/>
      <c r="KUE9" s="3426"/>
      <c r="KUF9" s="3426"/>
      <c r="KUG9" s="3426"/>
      <c r="KUH9" s="3426"/>
      <c r="KUI9" s="3426"/>
      <c r="KUJ9" s="3426"/>
      <c r="KUK9" s="3426"/>
      <c r="KUL9" s="3426"/>
      <c r="KUM9" s="3426"/>
      <c r="KUN9" s="3426"/>
      <c r="KUO9" s="3426"/>
      <c r="KUP9" s="3426"/>
      <c r="KUQ9" s="3426"/>
      <c r="KUR9" s="3426"/>
      <c r="KUS9" s="3426"/>
      <c r="KUT9" s="3426"/>
      <c r="KUU9" s="3426"/>
      <c r="KUV9" s="3426"/>
      <c r="KUW9" s="3426"/>
      <c r="KUX9" s="3426"/>
      <c r="KUY9" s="3426"/>
      <c r="KUZ9" s="3426"/>
      <c r="KVA9" s="3426"/>
      <c r="KVB9" s="3426"/>
      <c r="KVC9" s="3426"/>
      <c r="KVD9" s="3426"/>
      <c r="KVE9" s="3426"/>
      <c r="KVF9" s="3426"/>
      <c r="KVG9" s="3426"/>
      <c r="KVH9" s="3426"/>
      <c r="KVI9" s="3426"/>
      <c r="KVJ9" s="3426"/>
      <c r="KVK9" s="3426"/>
      <c r="KVL9" s="3426"/>
      <c r="KVM9" s="3426"/>
      <c r="KVN9" s="3426"/>
      <c r="KVO9" s="3426"/>
      <c r="KVP9" s="3426"/>
      <c r="KVQ9" s="3426"/>
      <c r="KVR9" s="3426"/>
      <c r="KVS9" s="3426"/>
      <c r="KVT9" s="3426"/>
      <c r="KVU9" s="3426"/>
      <c r="KVV9" s="3426"/>
      <c r="KVW9" s="3426"/>
      <c r="KVX9" s="3426"/>
      <c r="KVY9" s="3426"/>
      <c r="KVZ9" s="3426"/>
      <c r="KWA9" s="3426"/>
      <c r="KWB9" s="3426"/>
      <c r="KWC9" s="3426"/>
      <c r="KWD9" s="3426"/>
      <c r="KWE9" s="3426"/>
      <c r="KWF9" s="3426"/>
      <c r="KWG9" s="3426"/>
      <c r="KWH9" s="3426"/>
      <c r="KWI9" s="3426"/>
      <c r="KWJ9" s="3426"/>
      <c r="KWK9" s="3426"/>
      <c r="KWL9" s="3426"/>
      <c r="KWM9" s="3426"/>
      <c r="KWN9" s="3426"/>
      <c r="KWO9" s="3426"/>
      <c r="KWP9" s="3426"/>
      <c r="KWQ9" s="3426"/>
      <c r="KWR9" s="3426"/>
      <c r="KWS9" s="3426"/>
      <c r="KWT9" s="3426"/>
      <c r="KWU9" s="3426"/>
      <c r="KWV9" s="3426"/>
      <c r="KWW9" s="3426"/>
      <c r="KWX9" s="3426"/>
      <c r="KWY9" s="3426"/>
      <c r="KWZ9" s="3426"/>
      <c r="KXA9" s="3426"/>
      <c r="KXB9" s="3426"/>
      <c r="KXC9" s="3426"/>
      <c r="KXD9" s="3426"/>
      <c r="KXE9" s="3426"/>
      <c r="KXF9" s="3426"/>
      <c r="KXG9" s="3426"/>
      <c r="KXH9" s="3426"/>
      <c r="KXI9" s="3426"/>
      <c r="KXJ9" s="3426"/>
      <c r="KXK9" s="3426"/>
      <c r="KXL9" s="3426"/>
      <c r="KXM9" s="3426"/>
      <c r="KXN9" s="3426"/>
      <c r="KXO9" s="3426"/>
      <c r="KXP9" s="3426"/>
      <c r="KXQ9" s="3426"/>
      <c r="KXR9" s="3426"/>
      <c r="KXS9" s="3426"/>
      <c r="KXT9" s="3426"/>
      <c r="KXU9" s="3426"/>
      <c r="KXV9" s="3426"/>
      <c r="KXW9" s="3426"/>
      <c r="KXX9" s="3426"/>
      <c r="KXY9" s="3426"/>
      <c r="KXZ9" s="3426"/>
      <c r="KYA9" s="3426"/>
      <c r="KYB9" s="3426"/>
      <c r="KYC9" s="3426"/>
      <c r="KYD9" s="3426"/>
      <c r="KYE9" s="3426"/>
      <c r="KYF9" s="3426"/>
      <c r="KYG9" s="3426"/>
      <c r="KYH9" s="3426"/>
      <c r="KYI9" s="3426"/>
      <c r="KYJ9" s="3426"/>
      <c r="KYK9" s="3426"/>
      <c r="KYL9" s="3426"/>
      <c r="KYM9" s="3426"/>
      <c r="KYN9" s="3426"/>
      <c r="KYO9" s="3426"/>
      <c r="KYP9" s="3426"/>
      <c r="KYQ9" s="3426"/>
      <c r="KYR9" s="3426"/>
      <c r="KYS9" s="3426"/>
      <c r="KYT9" s="3426"/>
      <c r="KYU9" s="3426"/>
      <c r="KYV9" s="3426"/>
      <c r="KYW9" s="3426"/>
      <c r="KYX9" s="3426"/>
      <c r="KYY9" s="3426"/>
      <c r="KYZ9" s="3426"/>
      <c r="KZA9" s="3426"/>
      <c r="KZB9" s="3426"/>
      <c r="KZC9" s="3426"/>
      <c r="KZD9" s="3426"/>
      <c r="KZE9" s="3426"/>
      <c r="KZF9" s="3426"/>
      <c r="KZG9" s="3426"/>
      <c r="KZH9" s="3426"/>
      <c r="KZI9" s="3426"/>
      <c r="KZJ9" s="3426"/>
      <c r="KZK9" s="3426"/>
      <c r="KZL9" s="3426"/>
      <c r="KZM9" s="3426"/>
      <c r="KZN9" s="3426"/>
      <c r="KZO9" s="3426"/>
      <c r="KZP9" s="3426"/>
      <c r="KZQ9" s="3426"/>
      <c r="KZR9" s="3426"/>
      <c r="KZS9" s="3426"/>
      <c r="KZT9" s="3426"/>
      <c r="KZU9" s="3426"/>
      <c r="KZV9" s="3426"/>
      <c r="KZW9" s="3426"/>
      <c r="KZX9" s="3426"/>
      <c r="KZY9" s="3426"/>
      <c r="KZZ9" s="3426"/>
      <c r="LAA9" s="3426"/>
      <c r="LAB9" s="3426"/>
      <c r="LAC9" s="3426"/>
      <c r="LAD9" s="3426"/>
      <c r="LAE9" s="3426"/>
      <c r="LAF9" s="3426"/>
      <c r="LAG9" s="3426"/>
      <c r="LAH9" s="3426"/>
      <c r="LAI9" s="3426"/>
      <c r="LAJ9" s="3426"/>
      <c r="LAK9" s="3426"/>
      <c r="LAL9" s="3426"/>
      <c r="LAM9" s="3426"/>
      <c r="LAN9" s="3426"/>
      <c r="LAO9" s="3426"/>
      <c r="LAP9" s="3426"/>
      <c r="LAQ9" s="3426"/>
      <c r="LAR9" s="3426"/>
      <c r="LAS9" s="3426"/>
      <c r="LAT9" s="3426"/>
      <c r="LAU9" s="3426"/>
      <c r="LAV9" s="3426"/>
      <c r="LAW9" s="3426"/>
      <c r="LAX9" s="3426"/>
      <c r="LAY9" s="3426"/>
      <c r="LAZ9" s="3426"/>
      <c r="LBA9" s="3426"/>
      <c r="LBB9" s="3426"/>
      <c r="LBC9" s="3426"/>
      <c r="LBD9" s="3426"/>
      <c r="LBE9" s="3426"/>
      <c r="LBF9" s="3426"/>
      <c r="LBG9" s="3426"/>
      <c r="LBH9" s="3426"/>
      <c r="LBI9" s="3426"/>
      <c r="LBJ9" s="3426"/>
      <c r="LBK9" s="3426"/>
      <c r="LBL9" s="3426"/>
      <c r="LBM9" s="3426"/>
      <c r="LBN9" s="3426"/>
      <c r="LBO9" s="3426"/>
      <c r="LBP9" s="3426"/>
      <c r="LBQ9" s="3426"/>
      <c r="LBR9" s="3426"/>
      <c r="LBS9" s="3426"/>
      <c r="LBT9" s="3426"/>
      <c r="LBU9" s="3426"/>
      <c r="LBV9" s="3426"/>
      <c r="LBW9" s="3426"/>
      <c r="LBX9" s="3426"/>
      <c r="LBY9" s="3426"/>
      <c r="LBZ9" s="3426"/>
      <c r="LCA9" s="3426"/>
      <c r="LCB9" s="3426"/>
      <c r="LCC9" s="3426"/>
      <c r="LCD9" s="3426"/>
      <c r="LCE9" s="3426"/>
      <c r="LCF9" s="3426"/>
      <c r="LCG9" s="3426"/>
      <c r="LCH9" s="3426"/>
      <c r="LCI9" s="3426"/>
      <c r="LCJ9" s="3426"/>
      <c r="LCK9" s="3426"/>
      <c r="LCL9" s="3426"/>
      <c r="LCM9" s="3426"/>
      <c r="LCN9" s="3426"/>
      <c r="LCO9" s="3426"/>
      <c r="LCP9" s="3426"/>
      <c r="LCQ9" s="3426"/>
      <c r="LCR9" s="3426"/>
      <c r="LCS9" s="3426"/>
      <c r="LCT9" s="3426"/>
      <c r="LCU9" s="3426"/>
      <c r="LCV9" s="3426"/>
      <c r="LCW9" s="3426"/>
      <c r="LCX9" s="3426"/>
      <c r="LCY9" s="3426"/>
      <c r="LCZ9" s="3426"/>
      <c r="LDA9" s="3426"/>
      <c r="LDB9" s="3426"/>
      <c r="LDC9" s="3426"/>
      <c r="LDD9" s="3426"/>
      <c r="LDE9" s="3426"/>
      <c r="LDF9" s="3426"/>
      <c r="LDG9" s="3426"/>
      <c r="LDH9" s="3426"/>
      <c r="LDI9" s="3426"/>
      <c r="LDJ9" s="3426"/>
      <c r="LDK9" s="3426"/>
      <c r="LDL9" s="3426"/>
      <c r="LDM9" s="3426"/>
      <c r="LDN9" s="3426"/>
      <c r="LDO9" s="3426"/>
      <c r="LDP9" s="3426"/>
      <c r="LDQ9" s="3426"/>
      <c r="LDR9" s="3426"/>
      <c r="LDS9" s="3426"/>
      <c r="LDT9" s="3426"/>
      <c r="LDU9" s="3426"/>
      <c r="LDV9" s="3426"/>
      <c r="LDW9" s="3426"/>
      <c r="LDX9" s="3426"/>
      <c r="LDY9" s="3426"/>
      <c r="LDZ9" s="3426"/>
      <c r="LEA9" s="3426"/>
      <c r="LEB9" s="3426"/>
      <c r="LEC9" s="3426"/>
      <c r="LED9" s="3426"/>
      <c r="LEE9" s="3426"/>
      <c r="LEF9" s="3426"/>
      <c r="LEG9" s="3426"/>
      <c r="LEH9" s="3426"/>
      <c r="LEI9" s="3426"/>
      <c r="LEJ9" s="3426"/>
      <c r="LEK9" s="3426"/>
      <c r="LEL9" s="3426"/>
      <c r="LEM9" s="3426"/>
      <c r="LEN9" s="3426"/>
      <c r="LEO9" s="3426"/>
      <c r="LEP9" s="3426"/>
      <c r="LEQ9" s="3426"/>
      <c r="LER9" s="3426"/>
      <c r="LES9" s="3426"/>
      <c r="LET9" s="3426"/>
      <c r="LEU9" s="3426"/>
      <c r="LEV9" s="3426"/>
      <c r="LEW9" s="3426"/>
      <c r="LEX9" s="3426"/>
      <c r="LEY9" s="3426"/>
      <c r="LEZ9" s="3426"/>
      <c r="LFA9" s="3426"/>
      <c r="LFB9" s="3426"/>
      <c r="LFC9" s="3426"/>
      <c r="LFD9" s="3426"/>
      <c r="LFE9" s="3426"/>
      <c r="LFF9" s="3426"/>
      <c r="LFG9" s="3426"/>
      <c r="LFH9" s="3426"/>
      <c r="LFI9" s="3426"/>
      <c r="LFJ9" s="3426"/>
      <c r="LFK9" s="3426"/>
      <c r="LFL9" s="3426"/>
      <c r="LFM9" s="3426"/>
      <c r="LFN9" s="3426"/>
      <c r="LFO9" s="3426"/>
      <c r="LFP9" s="3426"/>
      <c r="LFQ9" s="3426"/>
      <c r="LFR9" s="3426"/>
      <c r="LFS9" s="3426"/>
      <c r="LFT9" s="3426"/>
      <c r="LFU9" s="3426"/>
      <c r="LFV9" s="3426"/>
      <c r="LFW9" s="3426"/>
      <c r="LFX9" s="3426"/>
      <c r="LFY9" s="3426"/>
      <c r="LFZ9" s="3426"/>
      <c r="LGA9" s="3426"/>
      <c r="LGB9" s="3426"/>
      <c r="LGC9" s="3426"/>
      <c r="LGD9" s="3426"/>
      <c r="LGE9" s="3426"/>
      <c r="LGF9" s="3426"/>
      <c r="LGG9" s="3426"/>
      <c r="LGH9" s="3426"/>
      <c r="LGI9" s="3426"/>
      <c r="LGJ9" s="3426"/>
      <c r="LGK9" s="3426"/>
      <c r="LGL9" s="3426"/>
      <c r="LGM9" s="3426"/>
      <c r="LGN9" s="3426"/>
      <c r="LGO9" s="3426"/>
      <c r="LGP9" s="3426"/>
      <c r="LGQ9" s="3426"/>
      <c r="LGR9" s="3426"/>
      <c r="LGS9" s="3426"/>
      <c r="LGT9" s="3426"/>
      <c r="LGU9" s="3426"/>
      <c r="LGV9" s="3426"/>
      <c r="LGW9" s="3426"/>
      <c r="LGX9" s="3426"/>
      <c r="LGY9" s="3426"/>
      <c r="LGZ9" s="3426"/>
      <c r="LHA9" s="3426"/>
      <c r="LHB9" s="3426"/>
      <c r="LHC9" s="3426"/>
      <c r="LHD9" s="3426"/>
      <c r="LHE9" s="3426"/>
      <c r="LHF9" s="3426"/>
      <c r="LHG9" s="3426"/>
      <c r="LHH9" s="3426"/>
      <c r="LHI9" s="3426"/>
      <c r="LHJ9" s="3426"/>
      <c r="LHK9" s="3426"/>
      <c r="LHL9" s="3426"/>
      <c r="LHM9" s="3426"/>
      <c r="LHN9" s="3426"/>
      <c r="LHO9" s="3426"/>
      <c r="LHP9" s="3426"/>
      <c r="LHQ9" s="3426"/>
      <c r="LHR9" s="3426"/>
      <c r="LHS9" s="3426"/>
      <c r="LHT9" s="3426"/>
      <c r="LHU9" s="3426"/>
      <c r="LHV9" s="3426"/>
      <c r="LHW9" s="3426"/>
      <c r="LHX9" s="3426"/>
      <c r="LHY9" s="3426"/>
      <c r="LHZ9" s="3426"/>
      <c r="LIA9" s="3426"/>
      <c r="LIB9" s="3426"/>
      <c r="LIC9" s="3426"/>
      <c r="LID9" s="3426"/>
      <c r="LIE9" s="3426"/>
      <c r="LIF9" s="3426"/>
      <c r="LIG9" s="3426"/>
      <c r="LIH9" s="3426"/>
      <c r="LII9" s="3426"/>
      <c r="LIJ9" s="3426"/>
      <c r="LIK9" s="3426"/>
      <c r="LIL9" s="3426"/>
      <c r="LIM9" s="3426"/>
      <c r="LIN9" s="3426"/>
      <c r="LIO9" s="3426"/>
      <c r="LIP9" s="3426"/>
      <c r="LIQ9" s="3426"/>
      <c r="LIR9" s="3426"/>
      <c r="LIS9" s="3426"/>
      <c r="LIT9" s="3426"/>
      <c r="LIU9" s="3426"/>
      <c r="LIV9" s="3426"/>
      <c r="LIW9" s="3426"/>
      <c r="LIX9" s="3426"/>
      <c r="LIY9" s="3426"/>
      <c r="LIZ9" s="3426"/>
      <c r="LJA9" s="3426"/>
      <c r="LJB9" s="3426"/>
      <c r="LJC9" s="3426"/>
      <c r="LJD9" s="3426"/>
      <c r="LJE9" s="3426"/>
      <c r="LJF9" s="3426"/>
      <c r="LJG9" s="3426"/>
      <c r="LJH9" s="3426"/>
      <c r="LJI9" s="3426"/>
      <c r="LJJ9" s="3426"/>
      <c r="LJK9" s="3426"/>
      <c r="LJL9" s="3426"/>
      <c r="LJM9" s="3426"/>
      <c r="LJN9" s="3426"/>
      <c r="LJO9" s="3426"/>
      <c r="LJP9" s="3426"/>
      <c r="LJQ9" s="3426"/>
      <c r="LJR9" s="3426"/>
      <c r="LJS9" s="3426"/>
      <c r="LJT9" s="3426"/>
      <c r="LJU9" s="3426"/>
      <c r="LJV9" s="3426"/>
      <c r="LJW9" s="3426"/>
      <c r="LJX9" s="3426"/>
      <c r="LJY9" s="3426"/>
      <c r="LJZ9" s="3426"/>
      <c r="LKA9" s="3426"/>
      <c r="LKB9" s="3426"/>
      <c r="LKC9" s="3426"/>
      <c r="LKD9" s="3426"/>
      <c r="LKE9" s="3426"/>
      <c r="LKF9" s="3426"/>
      <c r="LKG9" s="3426"/>
      <c r="LKH9" s="3426"/>
      <c r="LKI9" s="3426"/>
      <c r="LKJ9" s="3426"/>
      <c r="LKK9" s="3426"/>
      <c r="LKL9" s="3426"/>
      <c r="LKM9" s="3426"/>
      <c r="LKN9" s="3426"/>
      <c r="LKO9" s="3426"/>
      <c r="LKP9" s="3426"/>
      <c r="LKQ9" s="3426"/>
      <c r="LKR9" s="3426"/>
      <c r="LKS9" s="3426"/>
      <c r="LKT9" s="3426"/>
      <c r="LKU9" s="3426"/>
      <c r="LKV9" s="3426"/>
      <c r="LKW9" s="3426"/>
      <c r="LKX9" s="3426"/>
      <c r="LKY9" s="3426"/>
      <c r="LKZ9" s="3426"/>
      <c r="LLA9" s="3426"/>
      <c r="LLB9" s="3426"/>
      <c r="LLC9" s="3426"/>
      <c r="LLD9" s="3426"/>
      <c r="LLE9" s="3426"/>
      <c r="LLF9" s="3426"/>
      <c r="LLG9" s="3426"/>
      <c r="LLH9" s="3426"/>
      <c r="LLI9" s="3426"/>
      <c r="LLJ9" s="3426"/>
      <c r="LLK9" s="3426"/>
      <c r="LLL9" s="3426"/>
      <c r="LLM9" s="3426"/>
      <c r="LLN9" s="3426"/>
      <c r="LLO9" s="3426"/>
      <c r="LLP9" s="3426"/>
      <c r="LLQ9" s="3426"/>
      <c r="LLR9" s="3426"/>
      <c r="LLS9" s="3426"/>
      <c r="LLT9" s="3426"/>
      <c r="LLU9" s="3426"/>
      <c r="LLV9" s="3426"/>
      <c r="LLW9" s="3426"/>
      <c r="LLX9" s="3426"/>
      <c r="LLY9" s="3426"/>
      <c r="LLZ9" s="3426"/>
      <c r="LMA9" s="3426"/>
      <c r="LMB9" s="3426"/>
      <c r="LMC9" s="3426"/>
      <c r="LMD9" s="3426"/>
      <c r="LME9" s="3426"/>
      <c r="LMF9" s="3426"/>
      <c r="LMG9" s="3426"/>
      <c r="LMH9" s="3426"/>
      <c r="LMI9" s="3426"/>
      <c r="LMJ9" s="3426"/>
      <c r="LMK9" s="3426"/>
      <c r="LML9" s="3426"/>
      <c r="LMM9" s="3426"/>
      <c r="LMN9" s="3426"/>
      <c r="LMO9" s="3426"/>
      <c r="LMP9" s="3426"/>
      <c r="LMQ9" s="3426"/>
      <c r="LMR9" s="3426"/>
      <c r="LMS9" s="3426"/>
      <c r="LMT9" s="3426"/>
      <c r="LMU9" s="3426"/>
      <c r="LMV9" s="3426"/>
      <c r="LMW9" s="3426"/>
      <c r="LMX9" s="3426"/>
      <c r="LMY9" s="3426"/>
      <c r="LMZ9" s="3426"/>
      <c r="LNA9" s="3426"/>
      <c r="LNB9" s="3426"/>
      <c r="LNC9" s="3426"/>
      <c r="LND9" s="3426"/>
      <c r="LNE9" s="3426"/>
      <c r="LNF9" s="3426"/>
      <c r="LNG9" s="3426"/>
      <c r="LNH9" s="3426"/>
      <c r="LNI9" s="3426"/>
      <c r="LNJ9" s="3426"/>
      <c r="LNK9" s="3426"/>
      <c r="LNL9" s="3426"/>
      <c r="LNM9" s="3426"/>
      <c r="LNN9" s="3426"/>
      <c r="LNO9" s="3426"/>
      <c r="LNP9" s="3426"/>
      <c r="LNQ9" s="3426"/>
      <c r="LNR9" s="3426"/>
      <c r="LNS9" s="3426"/>
      <c r="LNT9" s="3426"/>
      <c r="LNU9" s="3426"/>
      <c r="LNV9" s="3426"/>
      <c r="LNW9" s="3426"/>
      <c r="LNX9" s="3426"/>
      <c r="LNY9" s="3426"/>
      <c r="LNZ9" s="3426"/>
      <c r="LOA9" s="3426"/>
      <c r="LOB9" s="3426"/>
      <c r="LOC9" s="3426"/>
      <c r="LOD9" s="3426"/>
      <c r="LOE9" s="3426"/>
      <c r="LOF9" s="3426"/>
      <c r="LOG9" s="3426"/>
      <c r="LOH9" s="3426"/>
      <c r="LOI9" s="3426"/>
      <c r="LOJ9" s="3426"/>
      <c r="LOK9" s="3426"/>
      <c r="LOL9" s="3426"/>
      <c r="LOM9" s="3426"/>
      <c r="LON9" s="3426"/>
      <c r="LOO9" s="3426"/>
      <c r="LOP9" s="3426"/>
      <c r="LOQ9" s="3426"/>
      <c r="LOR9" s="3426"/>
      <c r="LOS9" s="3426"/>
      <c r="LOT9" s="3426"/>
      <c r="LOU9" s="3426"/>
      <c r="LOV9" s="3426"/>
      <c r="LOW9" s="3426"/>
      <c r="LOX9" s="3426"/>
      <c r="LOY9" s="3426"/>
      <c r="LOZ9" s="3426"/>
      <c r="LPA9" s="3426"/>
      <c r="LPB9" s="3426"/>
      <c r="LPC9" s="3426"/>
      <c r="LPD9" s="3426"/>
      <c r="LPE9" s="3426"/>
      <c r="LPF9" s="3426"/>
      <c r="LPG9" s="3426"/>
      <c r="LPH9" s="3426"/>
      <c r="LPI9" s="3426"/>
      <c r="LPJ9" s="3426"/>
      <c r="LPK9" s="3426"/>
      <c r="LPL9" s="3426"/>
      <c r="LPM9" s="3426"/>
      <c r="LPN9" s="3426"/>
      <c r="LPO9" s="3426"/>
      <c r="LPP9" s="3426"/>
      <c r="LPQ9" s="3426"/>
      <c r="LPR9" s="3426"/>
      <c r="LPS9" s="3426"/>
      <c r="LPT9" s="3426"/>
      <c r="LPU9" s="3426"/>
      <c r="LPV9" s="3426"/>
      <c r="LPW9" s="3426"/>
      <c r="LPX9" s="3426"/>
      <c r="LPY9" s="3426"/>
      <c r="LPZ9" s="3426"/>
      <c r="LQA9" s="3426"/>
      <c r="LQB9" s="3426"/>
      <c r="LQC9" s="3426"/>
      <c r="LQD9" s="3426"/>
      <c r="LQE9" s="3426"/>
      <c r="LQF9" s="3426"/>
      <c r="LQG9" s="3426"/>
      <c r="LQH9" s="3426"/>
      <c r="LQI9" s="3426"/>
      <c r="LQJ9" s="3426"/>
      <c r="LQK9" s="3426"/>
      <c r="LQL9" s="3426"/>
      <c r="LQM9" s="3426"/>
      <c r="LQN9" s="3426"/>
      <c r="LQO9" s="3426"/>
      <c r="LQP9" s="3426"/>
      <c r="LQQ9" s="3426"/>
      <c r="LQR9" s="3426"/>
      <c r="LQS9" s="3426"/>
      <c r="LQT9" s="3426"/>
      <c r="LQU9" s="3426"/>
      <c r="LQV9" s="3426"/>
      <c r="LQW9" s="3426"/>
      <c r="LQX9" s="3426"/>
      <c r="LQY9" s="3426"/>
      <c r="LQZ9" s="3426"/>
      <c r="LRA9" s="3426"/>
      <c r="LRB9" s="3426"/>
      <c r="LRC9" s="3426"/>
      <c r="LRD9" s="3426"/>
      <c r="LRE9" s="3426"/>
      <c r="LRF9" s="3426"/>
      <c r="LRG9" s="3426"/>
      <c r="LRH9" s="3426"/>
      <c r="LRI9" s="3426"/>
      <c r="LRJ9" s="3426"/>
      <c r="LRK9" s="3426"/>
      <c r="LRL9" s="3426"/>
      <c r="LRM9" s="3426"/>
      <c r="LRN9" s="3426"/>
      <c r="LRO9" s="3426"/>
      <c r="LRP9" s="3426"/>
      <c r="LRQ9" s="3426"/>
      <c r="LRR9" s="3426"/>
      <c r="LRS9" s="3426"/>
      <c r="LRT9" s="3426"/>
      <c r="LRU9" s="3426"/>
      <c r="LRV9" s="3426"/>
      <c r="LRW9" s="3426"/>
      <c r="LRX9" s="3426"/>
      <c r="LRY9" s="3426"/>
      <c r="LRZ9" s="3426"/>
      <c r="LSA9" s="3426"/>
      <c r="LSB9" s="3426"/>
      <c r="LSC9" s="3426"/>
      <c r="LSD9" s="3426"/>
      <c r="LSE9" s="3426"/>
      <c r="LSF9" s="3426"/>
      <c r="LSG9" s="3426"/>
      <c r="LSH9" s="3426"/>
      <c r="LSI9" s="3426"/>
      <c r="LSJ9" s="3426"/>
      <c r="LSK9" s="3426"/>
      <c r="LSL9" s="3426"/>
      <c r="LSM9" s="3426"/>
      <c r="LSN9" s="3426"/>
      <c r="LSO9" s="3426"/>
      <c r="LSP9" s="3426"/>
      <c r="LSQ9" s="3426"/>
      <c r="LSR9" s="3426"/>
      <c r="LSS9" s="3426"/>
      <c r="LST9" s="3426"/>
      <c r="LSU9" s="3426"/>
      <c r="LSV9" s="3426"/>
      <c r="LSW9" s="3426"/>
      <c r="LSX9" s="3426"/>
      <c r="LSY9" s="3426"/>
      <c r="LSZ9" s="3426"/>
      <c r="LTA9" s="3426"/>
      <c r="LTB9" s="3426"/>
      <c r="LTC9" s="3426"/>
      <c r="LTD9" s="3426"/>
      <c r="LTE9" s="3426"/>
      <c r="LTF9" s="3426"/>
      <c r="LTG9" s="3426"/>
      <c r="LTH9" s="3426"/>
      <c r="LTI9" s="3426"/>
      <c r="LTJ9" s="3426"/>
      <c r="LTK9" s="3426"/>
      <c r="LTL9" s="3426"/>
      <c r="LTM9" s="3426"/>
      <c r="LTN9" s="3426"/>
      <c r="LTO9" s="3426"/>
      <c r="LTP9" s="3426"/>
      <c r="LTQ9" s="3426"/>
      <c r="LTR9" s="3426"/>
      <c r="LTS9" s="3426"/>
      <c r="LTT9" s="3426"/>
      <c r="LTU9" s="3426"/>
      <c r="LTV9" s="3426"/>
      <c r="LTW9" s="3426"/>
      <c r="LTX9" s="3426"/>
      <c r="LTY9" s="3426"/>
      <c r="LTZ9" s="3426"/>
      <c r="LUA9" s="3426"/>
      <c r="LUB9" s="3426"/>
      <c r="LUC9" s="3426"/>
      <c r="LUD9" s="3426"/>
      <c r="LUE9" s="3426"/>
      <c r="LUF9" s="3426"/>
      <c r="LUG9" s="3426"/>
      <c r="LUH9" s="3426"/>
      <c r="LUI9" s="3426"/>
      <c r="LUJ9" s="3426"/>
      <c r="LUK9" s="3426"/>
      <c r="LUL9" s="3426"/>
      <c r="LUM9" s="3426"/>
      <c r="LUN9" s="3426"/>
      <c r="LUO9" s="3426"/>
      <c r="LUP9" s="3426"/>
      <c r="LUQ9" s="3426"/>
      <c r="LUR9" s="3426"/>
      <c r="LUS9" s="3426"/>
      <c r="LUT9" s="3426"/>
      <c r="LUU9" s="3426"/>
      <c r="LUV9" s="3426"/>
      <c r="LUW9" s="3426"/>
      <c r="LUX9" s="3426"/>
      <c r="LUY9" s="3426"/>
      <c r="LUZ9" s="3426"/>
      <c r="LVA9" s="3426"/>
      <c r="LVB9" s="3426"/>
      <c r="LVC9" s="3426"/>
      <c r="LVD9" s="3426"/>
      <c r="LVE9" s="3426"/>
      <c r="LVF9" s="3426"/>
      <c r="LVG9" s="3426"/>
      <c r="LVH9" s="3426"/>
      <c r="LVI9" s="3426"/>
      <c r="LVJ9" s="3426"/>
      <c r="LVK9" s="3426"/>
      <c r="LVL9" s="3426"/>
      <c r="LVM9" s="3426"/>
      <c r="LVN9" s="3426"/>
      <c r="LVO9" s="3426"/>
      <c r="LVP9" s="3426"/>
      <c r="LVQ9" s="3426"/>
      <c r="LVR9" s="3426"/>
      <c r="LVS9" s="3426"/>
      <c r="LVT9" s="3426"/>
      <c r="LVU9" s="3426"/>
      <c r="LVV9" s="3426"/>
      <c r="LVW9" s="3426"/>
      <c r="LVX9" s="3426"/>
      <c r="LVY9" s="3426"/>
      <c r="LVZ9" s="3426"/>
      <c r="LWA9" s="3426"/>
      <c r="LWB9" s="3426"/>
      <c r="LWC9" s="3426"/>
      <c r="LWD9" s="3426"/>
      <c r="LWE9" s="3426"/>
      <c r="LWF9" s="3426"/>
      <c r="LWG9" s="3426"/>
      <c r="LWH9" s="3426"/>
      <c r="LWI9" s="3426"/>
      <c r="LWJ9" s="3426"/>
      <c r="LWK9" s="3426"/>
      <c r="LWL9" s="3426"/>
      <c r="LWM9" s="3426"/>
      <c r="LWN9" s="3426"/>
      <c r="LWO9" s="3426"/>
      <c r="LWP9" s="3426"/>
      <c r="LWQ9" s="3426"/>
      <c r="LWR9" s="3426"/>
      <c r="LWS9" s="3426"/>
      <c r="LWT9" s="3426"/>
      <c r="LWU9" s="3426"/>
      <c r="LWV9" s="3426"/>
      <c r="LWW9" s="3426"/>
      <c r="LWX9" s="3426"/>
      <c r="LWY9" s="3426"/>
      <c r="LWZ9" s="3426"/>
      <c r="LXA9" s="3426"/>
      <c r="LXB9" s="3426"/>
      <c r="LXC9" s="3426"/>
      <c r="LXD9" s="3426"/>
      <c r="LXE9" s="3426"/>
      <c r="LXF9" s="3426"/>
      <c r="LXG9" s="3426"/>
      <c r="LXH9" s="3426"/>
      <c r="LXI9" s="3426"/>
      <c r="LXJ9" s="3426"/>
      <c r="LXK9" s="3426"/>
      <c r="LXL9" s="3426"/>
      <c r="LXM9" s="3426"/>
      <c r="LXN9" s="3426"/>
      <c r="LXO9" s="3426"/>
      <c r="LXP9" s="3426"/>
      <c r="LXQ9" s="3426"/>
      <c r="LXR9" s="3426"/>
      <c r="LXS9" s="3426"/>
      <c r="LXT9" s="3426"/>
      <c r="LXU9" s="3426"/>
      <c r="LXV9" s="3426"/>
      <c r="LXW9" s="3426"/>
      <c r="LXX9" s="3426"/>
      <c r="LXY9" s="3426"/>
      <c r="LXZ9" s="3426"/>
      <c r="LYA9" s="3426"/>
      <c r="LYB9" s="3426"/>
      <c r="LYC9" s="3426"/>
      <c r="LYD9" s="3426"/>
      <c r="LYE9" s="3426"/>
      <c r="LYF9" s="3426"/>
      <c r="LYG9" s="3426"/>
      <c r="LYH9" s="3426"/>
      <c r="LYI9" s="3426"/>
      <c r="LYJ9" s="3426"/>
      <c r="LYK9" s="3426"/>
      <c r="LYL9" s="3426"/>
      <c r="LYM9" s="3426"/>
      <c r="LYN9" s="3426"/>
      <c r="LYO9" s="3426"/>
      <c r="LYP9" s="3426"/>
      <c r="LYQ9" s="3426"/>
      <c r="LYR9" s="3426"/>
      <c r="LYS9" s="3426"/>
      <c r="LYT9" s="3426"/>
      <c r="LYU9" s="3426"/>
      <c r="LYV9" s="3426"/>
      <c r="LYW9" s="3426"/>
      <c r="LYX9" s="3426"/>
      <c r="LYY9" s="3426"/>
      <c r="LYZ9" s="3426"/>
      <c r="LZA9" s="3426"/>
      <c r="LZB9" s="3426"/>
      <c r="LZC9" s="3426"/>
      <c r="LZD9" s="3426"/>
      <c r="LZE9" s="3426"/>
      <c r="LZF9" s="3426"/>
      <c r="LZG9" s="3426"/>
      <c r="LZH9" s="3426"/>
      <c r="LZI9" s="3426"/>
      <c r="LZJ9" s="3426"/>
      <c r="LZK9" s="3426"/>
      <c r="LZL9" s="3426"/>
      <c r="LZM9" s="3426"/>
      <c r="LZN9" s="3426"/>
      <c r="LZO9" s="3426"/>
      <c r="LZP9" s="3426"/>
      <c r="LZQ9" s="3426"/>
      <c r="LZR9" s="3426"/>
      <c r="LZS9" s="3426"/>
      <c r="LZT9" s="3426"/>
      <c r="LZU9" s="3426"/>
      <c r="LZV9" s="3426"/>
      <c r="LZW9" s="3426"/>
      <c r="LZX9" s="3426"/>
      <c r="LZY9" s="3426"/>
      <c r="LZZ9" s="3426"/>
      <c r="MAA9" s="3426"/>
      <c r="MAB9" s="3426"/>
      <c r="MAC9" s="3426"/>
      <c r="MAD9" s="3426"/>
      <c r="MAE9" s="3426"/>
      <c r="MAF9" s="3426"/>
      <c r="MAG9" s="3426"/>
      <c r="MAH9" s="3426"/>
      <c r="MAI9" s="3426"/>
      <c r="MAJ9" s="3426"/>
      <c r="MAK9" s="3426"/>
      <c r="MAL9" s="3426"/>
      <c r="MAM9" s="3426"/>
      <c r="MAN9" s="3426"/>
      <c r="MAO9" s="3426"/>
      <c r="MAP9" s="3426"/>
      <c r="MAQ9" s="3426"/>
      <c r="MAR9" s="3426"/>
      <c r="MAS9" s="3426"/>
      <c r="MAT9" s="3426"/>
      <c r="MAU9" s="3426"/>
      <c r="MAV9" s="3426"/>
      <c r="MAW9" s="3426"/>
      <c r="MAX9" s="3426"/>
      <c r="MAY9" s="3426"/>
      <c r="MAZ9" s="3426"/>
      <c r="MBA9" s="3426"/>
      <c r="MBB9" s="3426"/>
      <c r="MBC9" s="3426"/>
      <c r="MBD9" s="3426"/>
      <c r="MBE9" s="3426"/>
      <c r="MBF9" s="3426"/>
      <c r="MBG9" s="3426"/>
      <c r="MBH9" s="3426"/>
      <c r="MBI9" s="3426"/>
      <c r="MBJ9" s="3426"/>
      <c r="MBK9" s="3426"/>
      <c r="MBL9" s="3426"/>
      <c r="MBM9" s="3426"/>
      <c r="MBN9" s="3426"/>
      <c r="MBO9" s="3426"/>
      <c r="MBP9" s="3426"/>
      <c r="MBQ9" s="3426"/>
      <c r="MBR9" s="3426"/>
      <c r="MBS9" s="3426"/>
      <c r="MBT9" s="3426"/>
      <c r="MBU9" s="3426"/>
      <c r="MBV9" s="3426"/>
      <c r="MBW9" s="3426"/>
      <c r="MBX9" s="3426"/>
      <c r="MBY9" s="3426"/>
      <c r="MBZ9" s="3426"/>
      <c r="MCA9" s="3426"/>
      <c r="MCB9" s="3426"/>
      <c r="MCC9" s="3426"/>
      <c r="MCD9" s="3426"/>
      <c r="MCE9" s="3426"/>
      <c r="MCF9" s="3426"/>
      <c r="MCG9" s="3426"/>
      <c r="MCH9" s="3426"/>
      <c r="MCI9" s="3426"/>
      <c r="MCJ9" s="3426"/>
      <c r="MCK9" s="3426"/>
      <c r="MCL9" s="3426"/>
      <c r="MCM9" s="3426"/>
      <c r="MCN9" s="3426"/>
      <c r="MCO9" s="3426"/>
      <c r="MCP9" s="3426"/>
      <c r="MCQ9" s="3426"/>
      <c r="MCR9" s="3426"/>
      <c r="MCS9" s="3426"/>
      <c r="MCT9" s="3426"/>
      <c r="MCU9" s="3426"/>
      <c r="MCV9" s="3426"/>
      <c r="MCW9" s="3426"/>
      <c r="MCX9" s="3426"/>
      <c r="MCY9" s="3426"/>
      <c r="MCZ9" s="3426"/>
      <c r="MDA9" s="3426"/>
      <c r="MDB9" s="3426"/>
      <c r="MDC9" s="3426"/>
      <c r="MDD9" s="3426"/>
      <c r="MDE9" s="3426"/>
      <c r="MDF9" s="3426"/>
      <c r="MDG9" s="3426"/>
      <c r="MDH9" s="3426"/>
      <c r="MDI9" s="3426"/>
      <c r="MDJ9" s="3426"/>
      <c r="MDK9" s="3426"/>
      <c r="MDL9" s="3426"/>
      <c r="MDM9" s="3426"/>
      <c r="MDN9" s="3426"/>
      <c r="MDO9" s="3426"/>
      <c r="MDP9" s="3426"/>
      <c r="MDQ9" s="3426"/>
      <c r="MDR9" s="3426"/>
      <c r="MDS9" s="3426"/>
      <c r="MDT9" s="3426"/>
      <c r="MDU9" s="3426"/>
      <c r="MDV9" s="3426"/>
      <c r="MDW9" s="3426"/>
      <c r="MDX9" s="3426"/>
      <c r="MDY9" s="3426"/>
      <c r="MDZ9" s="3426"/>
      <c r="MEA9" s="3426"/>
      <c r="MEB9" s="3426"/>
      <c r="MEC9" s="3426"/>
      <c r="MED9" s="3426"/>
      <c r="MEE9" s="3426"/>
      <c r="MEF9" s="3426"/>
      <c r="MEG9" s="3426"/>
      <c r="MEH9" s="3426"/>
      <c r="MEI9" s="3426"/>
      <c r="MEJ9" s="3426"/>
      <c r="MEK9" s="3426"/>
      <c r="MEL9" s="3426"/>
      <c r="MEM9" s="3426"/>
      <c r="MEN9" s="3426"/>
      <c r="MEO9" s="3426"/>
      <c r="MEP9" s="3426"/>
      <c r="MEQ9" s="3426"/>
      <c r="MER9" s="3426"/>
      <c r="MES9" s="3426"/>
      <c r="MET9" s="3426"/>
      <c r="MEU9" s="3426"/>
      <c r="MEV9" s="3426"/>
      <c r="MEW9" s="3426"/>
      <c r="MEX9" s="3426"/>
      <c r="MEY9" s="3426"/>
      <c r="MEZ9" s="3426"/>
      <c r="MFA9" s="3426"/>
      <c r="MFB9" s="3426"/>
      <c r="MFC9" s="3426"/>
      <c r="MFD9" s="3426"/>
      <c r="MFE9" s="3426"/>
      <c r="MFF9" s="3426"/>
      <c r="MFG9" s="3426"/>
      <c r="MFH9" s="3426"/>
      <c r="MFI9" s="3426"/>
      <c r="MFJ9" s="3426"/>
      <c r="MFK9" s="3426"/>
      <c r="MFL9" s="3426"/>
      <c r="MFM9" s="3426"/>
      <c r="MFN9" s="3426"/>
      <c r="MFO9" s="3426"/>
      <c r="MFP9" s="3426"/>
      <c r="MFQ9" s="3426"/>
      <c r="MFR9" s="3426"/>
      <c r="MFS9" s="3426"/>
      <c r="MFT9" s="3426"/>
      <c r="MFU9" s="3426"/>
      <c r="MFV9" s="3426"/>
      <c r="MFW9" s="3426"/>
      <c r="MFX9" s="3426"/>
      <c r="MFY9" s="3426"/>
      <c r="MFZ9" s="3426"/>
      <c r="MGA9" s="3426"/>
      <c r="MGB9" s="3426"/>
      <c r="MGC9" s="3426"/>
      <c r="MGD9" s="3426"/>
      <c r="MGE9" s="3426"/>
      <c r="MGF9" s="3426"/>
      <c r="MGG9" s="3426"/>
      <c r="MGH9" s="3426"/>
      <c r="MGI9" s="3426"/>
      <c r="MGJ9" s="3426"/>
      <c r="MGK9" s="3426"/>
      <c r="MGL9" s="3426"/>
      <c r="MGM9" s="3426"/>
      <c r="MGN9" s="3426"/>
      <c r="MGO9" s="3426"/>
      <c r="MGP9" s="3426"/>
      <c r="MGQ9" s="3426"/>
      <c r="MGR9" s="3426"/>
      <c r="MGS9" s="3426"/>
      <c r="MGT9" s="3426"/>
      <c r="MGU9" s="3426"/>
      <c r="MGV9" s="3426"/>
      <c r="MGW9" s="3426"/>
      <c r="MGX9" s="3426"/>
      <c r="MGY9" s="3426"/>
      <c r="MGZ9" s="3426"/>
      <c r="MHA9" s="3426"/>
      <c r="MHB9" s="3426"/>
      <c r="MHC9" s="3426"/>
      <c r="MHD9" s="3426"/>
      <c r="MHE9" s="3426"/>
      <c r="MHF9" s="3426"/>
      <c r="MHG9" s="3426"/>
      <c r="MHH9" s="3426"/>
      <c r="MHI9" s="3426"/>
      <c r="MHJ9" s="3426"/>
      <c r="MHK9" s="3426"/>
      <c r="MHL9" s="3426"/>
      <c r="MHM9" s="3426"/>
      <c r="MHN9" s="3426"/>
      <c r="MHO9" s="3426"/>
      <c r="MHP9" s="3426"/>
      <c r="MHQ9" s="3426"/>
      <c r="MHR9" s="3426"/>
      <c r="MHS9" s="3426"/>
      <c r="MHT9" s="3426"/>
      <c r="MHU9" s="3426"/>
      <c r="MHV9" s="3426"/>
      <c r="MHW9" s="3426"/>
      <c r="MHX9" s="3426"/>
      <c r="MHY9" s="3426"/>
      <c r="MHZ9" s="3426"/>
      <c r="MIA9" s="3426"/>
      <c r="MIB9" s="3426"/>
      <c r="MIC9" s="3426"/>
      <c r="MID9" s="3426"/>
      <c r="MIE9" s="3426"/>
      <c r="MIF9" s="3426"/>
      <c r="MIG9" s="3426"/>
      <c r="MIH9" s="3426"/>
      <c r="MII9" s="3426"/>
      <c r="MIJ9" s="3426"/>
      <c r="MIK9" s="3426"/>
      <c r="MIL9" s="3426"/>
      <c r="MIM9" s="3426"/>
      <c r="MIN9" s="3426"/>
      <c r="MIO9" s="3426"/>
      <c r="MIP9" s="3426"/>
      <c r="MIQ9" s="3426"/>
      <c r="MIR9" s="3426"/>
      <c r="MIS9" s="3426"/>
      <c r="MIT9" s="3426"/>
      <c r="MIU9" s="3426"/>
      <c r="MIV9" s="3426"/>
      <c r="MIW9" s="3426"/>
      <c r="MIX9" s="3426"/>
      <c r="MIY9" s="3426"/>
      <c r="MIZ9" s="3426"/>
      <c r="MJA9" s="3426"/>
      <c r="MJB9" s="3426"/>
      <c r="MJC9" s="3426"/>
      <c r="MJD9" s="3426"/>
      <c r="MJE9" s="3426"/>
      <c r="MJF9" s="3426"/>
      <c r="MJG9" s="3426"/>
      <c r="MJH9" s="3426"/>
      <c r="MJI9" s="3426"/>
      <c r="MJJ9" s="3426"/>
      <c r="MJK9" s="3426"/>
      <c r="MJL9" s="3426"/>
      <c r="MJM9" s="3426"/>
      <c r="MJN9" s="3426"/>
      <c r="MJO9" s="3426"/>
      <c r="MJP9" s="3426"/>
      <c r="MJQ9" s="3426"/>
      <c r="MJR9" s="3426"/>
      <c r="MJS9" s="3426"/>
      <c r="MJT9" s="3426"/>
      <c r="MJU9" s="3426"/>
      <c r="MJV9" s="3426"/>
      <c r="MJW9" s="3426"/>
      <c r="MJX9" s="3426"/>
      <c r="MJY9" s="3426"/>
      <c r="MJZ9" s="3426"/>
      <c r="MKA9" s="3426"/>
      <c r="MKB9" s="3426"/>
      <c r="MKC9" s="3426"/>
      <c r="MKD9" s="3426"/>
      <c r="MKE9" s="3426"/>
      <c r="MKF9" s="3426"/>
      <c r="MKG9" s="3426"/>
      <c r="MKH9" s="3426"/>
      <c r="MKI9" s="3426"/>
      <c r="MKJ9" s="3426"/>
      <c r="MKK9" s="3426"/>
      <c r="MKL9" s="3426"/>
      <c r="MKM9" s="3426"/>
      <c r="MKN9" s="3426"/>
      <c r="MKO9" s="3426"/>
      <c r="MKP9" s="3426"/>
      <c r="MKQ9" s="3426"/>
      <c r="MKR9" s="3426"/>
      <c r="MKS9" s="3426"/>
      <c r="MKT9" s="3426"/>
      <c r="MKU9" s="3426"/>
      <c r="MKV9" s="3426"/>
      <c r="MKW9" s="3426"/>
      <c r="MKX9" s="3426"/>
      <c r="MKY9" s="3426"/>
      <c r="MKZ9" s="3426"/>
      <c r="MLA9" s="3426"/>
      <c r="MLB9" s="3426"/>
      <c r="MLC9" s="3426"/>
      <c r="MLD9" s="3426"/>
      <c r="MLE9" s="3426"/>
      <c r="MLF9" s="3426"/>
      <c r="MLG9" s="3426"/>
      <c r="MLH9" s="3426"/>
      <c r="MLI9" s="3426"/>
      <c r="MLJ9" s="3426"/>
      <c r="MLK9" s="3426"/>
      <c r="MLL9" s="3426"/>
      <c r="MLM9" s="3426"/>
      <c r="MLN9" s="3426"/>
      <c r="MLO9" s="3426"/>
      <c r="MLP9" s="3426"/>
      <c r="MLQ9" s="3426"/>
      <c r="MLR9" s="3426"/>
      <c r="MLS9" s="3426"/>
      <c r="MLT9" s="3426"/>
      <c r="MLU9" s="3426"/>
      <c r="MLV9" s="3426"/>
      <c r="MLW9" s="3426"/>
      <c r="MLX9" s="3426"/>
      <c r="MLY9" s="3426"/>
      <c r="MLZ9" s="3426"/>
      <c r="MMA9" s="3426"/>
      <c r="MMB9" s="3426"/>
      <c r="MMC9" s="3426"/>
      <c r="MMD9" s="3426"/>
      <c r="MME9" s="3426"/>
      <c r="MMF9" s="3426"/>
      <c r="MMG9" s="3426"/>
      <c r="MMH9" s="3426"/>
      <c r="MMI9" s="3426"/>
      <c r="MMJ9" s="3426"/>
      <c r="MMK9" s="3426"/>
      <c r="MML9" s="3426"/>
      <c r="MMM9" s="3426"/>
      <c r="MMN9" s="3426"/>
      <c r="MMO9" s="3426"/>
      <c r="MMP9" s="3426"/>
      <c r="MMQ9" s="3426"/>
      <c r="MMR9" s="3426"/>
      <c r="MMS9" s="3426"/>
      <c r="MMT9" s="3426"/>
      <c r="MMU9" s="3426"/>
      <c r="MMV9" s="3426"/>
      <c r="MMW9" s="3426"/>
      <c r="MMX9" s="3426"/>
      <c r="MMY9" s="3426"/>
      <c r="MMZ9" s="3426"/>
      <c r="MNA9" s="3426"/>
      <c r="MNB9" s="3426"/>
      <c r="MNC9" s="3426"/>
      <c r="MND9" s="3426"/>
      <c r="MNE9" s="3426"/>
      <c r="MNF9" s="3426"/>
      <c r="MNG9" s="3426"/>
      <c r="MNH9" s="3426"/>
      <c r="MNI9" s="3426"/>
      <c r="MNJ9" s="3426"/>
      <c r="MNK9" s="3426"/>
      <c r="MNL9" s="3426"/>
      <c r="MNM9" s="3426"/>
      <c r="MNN9" s="3426"/>
      <c r="MNO9" s="3426"/>
      <c r="MNP9" s="3426"/>
      <c r="MNQ9" s="3426"/>
      <c r="MNR9" s="3426"/>
      <c r="MNS9" s="3426"/>
      <c r="MNT9" s="3426"/>
      <c r="MNU9" s="3426"/>
      <c r="MNV9" s="3426"/>
      <c r="MNW9" s="3426"/>
      <c r="MNX9" s="3426"/>
      <c r="MNY9" s="3426"/>
      <c r="MNZ9" s="3426"/>
      <c r="MOA9" s="3426"/>
      <c r="MOB9" s="3426"/>
      <c r="MOC9" s="3426"/>
      <c r="MOD9" s="3426"/>
      <c r="MOE9" s="3426"/>
      <c r="MOF9" s="3426"/>
      <c r="MOG9" s="3426"/>
      <c r="MOH9" s="3426"/>
      <c r="MOI9" s="3426"/>
      <c r="MOJ9" s="3426"/>
      <c r="MOK9" s="3426"/>
      <c r="MOL9" s="3426"/>
      <c r="MOM9" s="3426"/>
      <c r="MON9" s="3426"/>
      <c r="MOO9" s="3426"/>
      <c r="MOP9" s="3426"/>
      <c r="MOQ9" s="3426"/>
      <c r="MOR9" s="3426"/>
      <c r="MOS9" s="3426"/>
      <c r="MOT9" s="3426"/>
      <c r="MOU9" s="3426"/>
      <c r="MOV9" s="3426"/>
      <c r="MOW9" s="3426"/>
      <c r="MOX9" s="3426"/>
      <c r="MOY9" s="3426"/>
      <c r="MOZ9" s="3426"/>
      <c r="MPA9" s="3426"/>
      <c r="MPB9" s="3426"/>
      <c r="MPC9" s="3426"/>
      <c r="MPD9" s="3426"/>
      <c r="MPE9" s="3426"/>
      <c r="MPF9" s="3426"/>
      <c r="MPG9" s="3426"/>
      <c r="MPH9" s="3426"/>
      <c r="MPI9" s="3426"/>
      <c r="MPJ9" s="3426"/>
      <c r="MPK9" s="3426"/>
      <c r="MPL9" s="3426"/>
      <c r="MPM9" s="3426"/>
      <c r="MPN9" s="3426"/>
      <c r="MPO9" s="3426"/>
      <c r="MPP9" s="3426"/>
      <c r="MPQ9" s="3426"/>
      <c r="MPR9" s="3426"/>
      <c r="MPS9" s="3426"/>
      <c r="MPT9" s="3426"/>
      <c r="MPU9" s="3426"/>
      <c r="MPV9" s="3426"/>
      <c r="MPW9" s="3426"/>
      <c r="MPX9" s="3426"/>
      <c r="MPY9" s="3426"/>
      <c r="MPZ9" s="3426"/>
      <c r="MQA9" s="3426"/>
      <c r="MQB9" s="3426"/>
      <c r="MQC9" s="3426"/>
      <c r="MQD9" s="3426"/>
      <c r="MQE9" s="3426"/>
      <c r="MQF9" s="3426"/>
      <c r="MQG9" s="3426"/>
      <c r="MQH9" s="3426"/>
      <c r="MQI9" s="3426"/>
      <c r="MQJ9" s="3426"/>
      <c r="MQK9" s="3426"/>
      <c r="MQL9" s="3426"/>
      <c r="MQM9" s="3426"/>
      <c r="MQN9" s="3426"/>
      <c r="MQO9" s="3426"/>
      <c r="MQP9" s="3426"/>
      <c r="MQQ9" s="3426"/>
      <c r="MQR9" s="3426"/>
      <c r="MQS9" s="3426"/>
      <c r="MQT9" s="3426"/>
      <c r="MQU9" s="3426"/>
      <c r="MQV9" s="3426"/>
      <c r="MQW9" s="3426"/>
      <c r="MQX9" s="3426"/>
      <c r="MQY9" s="3426"/>
      <c r="MQZ9" s="3426"/>
      <c r="MRA9" s="3426"/>
      <c r="MRB9" s="3426"/>
      <c r="MRC9" s="3426"/>
      <c r="MRD9" s="3426"/>
      <c r="MRE9" s="3426"/>
      <c r="MRF9" s="3426"/>
      <c r="MRG9" s="3426"/>
      <c r="MRH9" s="3426"/>
      <c r="MRI9" s="3426"/>
      <c r="MRJ9" s="3426"/>
      <c r="MRK9" s="3426"/>
      <c r="MRL9" s="3426"/>
      <c r="MRM9" s="3426"/>
      <c r="MRN9" s="3426"/>
      <c r="MRO9" s="3426"/>
      <c r="MRP9" s="3426"/>
      <c r="MRQ9" s="3426"/>
      <c r="MRR9" s="3426"/>
      <c r="MRS9" s="3426"/>
      <c r="MRT9" s="3426"/>
      <c r="MRU9" s="3426"/>
      <c r="MRV9" s="3426"/>
      <c r="MRW9" s="3426"/>
      <c r="MRX9" s="3426"/>
      <c r="MRY9" s="3426"/>
      <c r="MRZ9" s="3426"/>
      <c r="MSA9" s="3426"/>
      <c r="MSB9" s="3426"/>
      <c r="MSC9" s="3426"/>
      <c r="MSD9" s="3426"/>
      <c r="MSE9" s="3426"/>
      <c r="MSF9" s="3426"/>
      <c r="MSG9" s="3426"/>
      <c r="MSH9" s="3426"/>
      <c r="MSI9" s="3426"/>
      <c r="MSJ9" s="3426"/>
      <c r="MSK9" s="3426"/>
      <c r="MSL9" s="3426"/>
      <c r="MSM9" s="3426"/>
      <c r="MSN9" s="3426"/>
      <c r="MSO9" s="3426"/>
      <c r="MSP9" s="3426"/>
      <c r="MSQ9" s="3426"/>
      <c r="MSR9" s="3426"/>
      <c r="MSS9" s="3426"/>
      <c r="MST9" s="3426"/>
      <c r="MSU9" s="3426"/>
      <c r="MSV9" s="3426"/>
      <c r="MSW9" s="3426"/>
      <c r="MSX9" s="3426"/>
      <c r="MSY9" s="3426"/>
      <c r="MSZ9" s="3426"/>
      <c r="MTA9" s="3426"/>
      <c r="MTB9" s="3426"/>
      <c r="MTC9" s="3426"/>
      <c r="MTD9" s="3426"/>
      <c r="MTE9" s="3426"/>
      <c r="MTF9" s="3426"/>
      <c r="MTG9" s="3426"/>
      <c r="MTH9" s="3426"/>
      <c r="MTI9" s="3426"/>
      <c r="MTJ9" s="3426"/>
      <c r="MTK9" s="3426"/>
      <c r="MTL9" s="3426"/>
      <c r="MTM9" s="3426"/>
      <c r="MTN9" s="3426"/>
      <c r="MTO9" s="3426"/>
      <c r="MTP9" s="3426"/>
      <c r="MTQ9" s="3426"/>
      <c r="MTR9" s="3426"/>
      <c r="MTS9" s="3426"/>
      <c r="MTT9" s="3426"/>
      <c r="MTU9" s="3426"/>
      <c r="MTV9" s="3426"/>
      <c r="MTW9" s="3426"/>
      <c r="MTX9" s="3426"/>
      <c r="MTY9" s="3426"/>
      <c r="MTZ9" s="3426"/>
      <c r="MUA9" s="3426"/>
      <c r="MUB9" s="3426"/>
      <c r="MUC9" s="3426"/>
      <c r="MUD9" s="3426"/>
      <c r="MUE9" s="3426"/>
      <c r="MUF9" s="3426"/>
      <c r="MUG9" s="3426"/>
      <c r="MUH9" s="3426"/>
      <c r="MUI9" s="3426"/>
      <c r="MUJ9" s="3426"/>
      <c r="MUK9" s="3426"/>
      <c r="MUL9" s="3426"/>
      <c r="MUM9" s="3426"/>
      <c r="MUN9" s="3426"/>
      <c r="MUO9" s="3426"/>
      <c r="MUP9" s="3426"/>
      <c r="MUQ9" s="3426"/>
      <c r="MUR9" s="3426"/>
      <c r="MUS9" s="3426"/>
      <c r="MUT9" s="3426"/>
      <c r="MUU9" s="3426"/>
      <c r="MUV9" s="3426"/>
      <c r="MUW9" s="3426"/>
      <c r="MUX9" s="3426"/>
      <c r="MUY9" s="3426"/>
      <c r="MUZ9" s="3426"/>
      <c r="MVA9" s="3426"/>
      <c r="MVB9" s="3426"/>
      <c r="MVC9" s="3426"/>
      <c r="MVD9" s="3426"/>
      <c r="MVE9" s="3426"/>
      <c r="MVF9" s="3426"/>
      <c r="MVG9" s="3426"/>
      <c r="MVH9" s="3426"/>
      <c r="MVI9" s="3426"/>
      <c r="MVJ9" s="3426"/>
      <c r="MVK9" s="3426"/>
      <c r="MVL9" s="3426"/>
      <c r="MVM9" s="3426"/>
      <c r="MVN9" s="3426"/>
      <c r="MVO9" s="3426"/>
      <c r="MVP9" s="3426"/>
      <c r="MVQ9" s="3426"/>
      <c r="MVR9" s="3426"/>
      <c r="MVS9" s="3426"/>
      <c r="MVT9" s="3426"/>
      <c r="MVU9" s="3426"/>
      <c r="MVV9" s="3426"/>
      <c r="MVW9" s="3426"/>
      <c r="MVX9" s="3426"/>
      <c r="MVY9" s="3426"/>
      <c r="MVZ9" s="3426"/>
      <c r="MWA9" s="3426"/>
      <c r="MWB9" s="3426"/>
      <c r="MWC9" s="3426"/>
      <c r="MWD9" s="3426"/>
      <c r="MWE9" s="3426"/>
      <c r="MWF9" s="3426"/>
      <c r="MWG9" s="3426"/>
      <c r="MWH9" s="3426"/>
      <c r="MWI9" s="3426"/>
      <c r="MWJ9" s="3426"/>
      <c r="MWK9" s="3426"/>
      <c r="MWL9" s="3426"/>
      <c r="MWM9" s="3426"/>
      <c r="MWN9" s="3426"/>
      <c r="MWO9" s="3426"/>
      <c r="MWP9" s="3426"/>
      <c r="MWQ9" s="3426"/>
      <c r="MWR9" s="3426"/>
      <c r="MWS9" s="3426"/>
      <c r="MWT9" s="3426"/>
      <c r="MWU9" s="3426"/>
      <c r="MWV9" s="3426"/>
      <c r="MWW9" s="3426"/>
      <c r="MWX9" s="3426"/>
      <c r="MWY9" s="3426"/>
      <c r="MWZ9" s="3426"/>
      <c r="MXA9" s="3426"/>
      <c r="MXB9" s="3426"/>
      <c r="MXC9" s="3426"/>
      <c r="MXD9" s="3426"/>
      <c r="MXE9" s="3426"/>
      <c r="MXF9" s="3426"/>
      <c r="MXG9" s="3426"/>
      <c r="MXH9" s="3426"/>
      <c r="MXI9" s="3426"/>
      <c r="MXJ9" s="3426"/>
      <c r="MXK9" s="3426"/>
      <c r="MXL9" s="3426"/>
      <c r="MXM9" s="3426"/>
      <c r="MXN9" s="3426"/>
      <c r="MXO9" s="3426"/>
      <c r="MXP9" s="3426"/>
      <c r="MXQ9" s="3426"/>
      <c r="MXR9" s="3426"/>
      <c r="MXS9" s="3426"/>
      <c r="MXT9" s="3426"/>
      <c r="MXU9" s="3426"/>
      <c r="MXV9" s="3426"/>
      <c r="MXW9" s="3426"/>
      <c r="MXX9" s="3426"/>
      <c r="MXY9" s="3426"/>
      <c r="MXZ9" s="3426"/>
      <c r="MYA9" s="3426"/>
      <c r="MYB9" s="3426"/>
      <c r="MYC9" s="3426"/>
      <c r="MYD9" s="3426"/>
      <c r="MYE9" s="3426"/>
      <c r="MYF9" s="3426"/>
      <c r="MYG9" s="3426"/>
      <c r="MYH9" s="3426"/>
      <c r="MYI9" s="3426"/>
      <c r="MYJ9" s="3426"/>
      <c r="MYK9" s="3426"/>
      <c r="MYL9" s="3426"/>
      <c r="MYM9" s="3426"/>
      <c r="MYN9" s="3426"/>
      <c r="MYO9" s="3426"/>
      <c r="MYP9" s="3426"/>
      <c r="MYQ9" s="3426"/>
      <c r="MYR9" s="3426"/>
      <c r="MYS9" s="3426"/>
      <c r="MYT9" s="3426"/>
      <c r="MYU9" s="3426"/>
      <c r="MYV9" s="3426"/>
      <c r="MYW9" s="3426"/>
      <c r="MYX9" s="3426"/>
      <c r="MYY9" s="3426"/>
      <c r="MYZ9" s="3426"/>
      <c r="MZA9" s="3426"/>
      <c r="MZB9" s="3426"/>
      <c r="MZC9" s="3426"/>
      <c r="MZD9" s="3426"/>
      <c r="MZE9" s="3426"/>
      <c r="MZF9" s="3426"/>
      <c r="MZG9" s="3426"/>
      <c r="MZH9" s="3426"/>
      <c r="MZI9" s="3426"/>
      <c r="MZJ9" s="3426"/>
      <c r="MZK9" s="3426"/>
      <c r="MZL9" s="3426"/>
      <c r="MZM9" s="3426"/>
      <c r="MZN9" s="3426"/>
      <c r="MZO9" s="3426"/>
      <c r="MZP9" s="3426"/>
      <c r="MZQ9" s="3426"/>
      <c r="MZR9" s="3426"/>
      <c r="MZS9" s="3426"/>
      <c r="MZT9" s="3426"/>
      <c r="MZU9" s="3426"/>
      <c r="MZV9" s="3426"/>
      <c r="MZW9" s="3426"/>
      <c r="MZX9" s="3426"/>
      <c r="MZY9" s="3426"/>
      <c r="MZZ9" s="3426"/>
      <c r="NAA9" s="3426"/>
      <c r="NAB9" s="3426"/>
      <c r="NAC9" s="3426"/>
      <c r="NAD9" s="3426"/>
      <c r="NAE9" s="3426"/>
      <c r="NAF9" s="3426"/>
      <c r="NAG9" s="3426"/>
      <c r="NAH9" s="3426"/>
      <c r="NAI9" s="3426"/>
      <c r="NAJ9" s="3426"/>
      <c r="NAK9" s="3426"/>
      <c r="NAL9" s="3426"/>
      <c r="NAM9" s="3426"/>
      <c r="NAN9" s="3426"/>
      <c r="NAO9" s="3426"/>
      <c r="NAP9" s="3426"/>
      <c r="NAQ9" s="3426"/>
      <c r="NAR9" s="3426"/>
      <c r="NAS9" s="3426"/>
      <c r="NAT9" s="3426"/>
      <c r="NAU9" s="3426"/>
      <c r="NAV9" s="3426"/>
      <c r="NAW9" s="3426"/>
      <c r="NAX9" s="3426"/>
      <c r="NAY9" s="3426"/>
      <c r="NAZ9" s="3426"/>
      <c r="NBA9" s="3426"/>
      <c r="NBB9" s="3426"/>
      <c r="NBC9" s="3426"/>
      <c r="NBD9" s="3426"/>
      <c r="NBE9" s="3426"/>
      <c r="NBF9" s="3426"/>
      <c r="NBG9" s="3426"/>
      <c r="NBH9" s="3426"/>
      <c r="NBI9" s="3426"/>
      <c r="NBJ9" s="3426"/>
      <c r="NBK9" s="3426"/>
      <c r="NBL9" s="3426"/>
      <c r="NBM9" s="3426"/>
      <c r="NBN9" s="3426"/>
      <c r="NBO9" s="3426"/>
      <c r="NBP9" s="3426"/>
      <c r="NBQ9" s="3426"/>
      <c r="NBR9" s="3426"/>
      <c r="NBS9" s="3426"/>
      <c r="NBT9" s="3426"/>
      <c r="NBU9" s="3426"/>
      <c r="NBV9" s="3426"/>
      <c r="NBW9" s="3426"/>
      <c r="NBX9" s="3426"/>
      <c r="NBY9" s="3426"/>
      <c r="NBZ9" s="3426"/>
      <c r="NCA9" s="3426"/>
      <c r="NCB9" s="3426"/>
      <c r="NCC9" s="3426"/>
      <c r="NCD9" s="3426"/>
      <c r="NCE9" s="3426"/>
      <c r="NCF9" s="3426"/>
      <c r="NCG9" s="3426"/>
      <c r="NCH9" s="3426"/>
      <c r="NCI9" s="3426"/>
      <c r="NCJ9" s="3426"/>
      <c r="NCK9" s="3426"/>
      <c r="NCL9" s="3426"/>
      <c r="NCM9" s="3426"/>
      <c r="NCN9" s="3426"/>
      <c r="NCO9" s="3426"/>
      <c r="NCP9" s="3426"/>
      <c r="NCQ9" s="3426"/>
      <c r="NCR9" s="3426"/>
      <c r="NCS9" s="3426"/>
      <c r="NCT9" s="3426"/>
      <c r="NCU9" s="3426"/>
      <c r="NCV9" s="3426"/>
      <c r="NCW9" s="3426"/>
      <c r="NCX9" s="3426"/>
      <c r="NCY9" s="3426"/>
      <c r="NCZ9" s="3426"/>
      <c r="NDA9" s="3426"/>
      <c r="NDB9" s="3426"/>
      <c r="NDC9" s="3426"/>
      <c r="NDD9" s="3426"/>
      <c r="NDE9" s="3426"/>
      <c r="NDF9" s="3426"/>
      <c r="NDG9" s="3426"/>
      <c r="NDH9" s="3426"/>
      <c r="NDI9" s="3426"/>
      <c r="NDJ9" s="3426"/>
      <c r="NDK9" s="3426"/>
      <c r="NDL9" s="3426"/>
      <c r="NDM9" s="3426"/>
      <c r="NDN9" s="3426"/>
      <c r="NDO9" s="3426"/>
      <c r="NDP9" s="3426"/>
      <c r="NDQ9" s="3426"/>
      <c r="NDR9" s="3426"/>
      <c r="NDS9" s="3426"/>
      <c r="NDT9" s="3426"/>
      <c r="NDU9" s="3426"/>
      <c r="NDV9" s="3426"/>
      <c r="NDW9" s="3426"/>
      <c r="NDX9" s="3426"/>
      <c r="NDY9" s="3426"/>
      <c r="NDZ9" s="3426"/>
      <c r="NEA9" s="3426"/>
      <c r="NEB9" s="3426"/>
      <c r="NEC9" s="3426"/>
      <c r="NED9" s="3426"/>
      <c r="NEE9" s="3426"/>
      <c r="NEF9" s="3426"/>
      <c r="NEG9" s="3426"/>
      <c r="NEH9" s="3426"/>
      <c r="NEI9" s="3426"/>
      <c r="NEJ9" s="3426"/>
      <c r="NEK9" s="3426"/>
      <c r="NEL9" s="3426"/>
      <c r="NEM9" s="3426"/>
      <c r="NEN9" s="3426"/>
      <c r="NEO9" s="3426"/>
      <c r="NEP9" s="3426"/>
      <c r="NEQ9" s="3426"/>
      <c r="NER9" s="3426"/>
      <c r="NES9" s="3426"/>
      <c r="NET9" s="3426"/>
      <c r="NEU9" s="3426"/>
      <c r="NEV9" s="3426"/>
      <c r="NEW9" s="3426"/>
      <c r="NEX9" s="3426"/>
      <c r="NEY9" s="3426"/>
      <c r="NEZ9" s="3426"/>
      <c r="NFA9" s="3426"/>
      <c r="NFB9" s="3426"/>
      <c r="NFC9" s="3426"/>
      <c r="NFD9" s="3426"/>
      <c r="NFE9" s="3426"/>
      <c r="NFF9" s="3426"/>
      <c r="NFG9" s="3426"/>
      <c r="NFH9" s="3426"/>
      <c r="NFI9" s="3426"/>
      <c r="NFJ9" s="3426"/>
      <c r="NFK9" s="3426"/>
      <c r="NFL9" s="3426"/>
      <c r="NFM9" s="3426"/>
      <c r="NFN9" s="3426"/>
      <c r="NFO9" s="3426"/>
      <c r="NFP9" s="3426"/>
      <c r="NFQ9" s="3426"/>
      <c r="NFR9" s="3426"/>
      <c r="NFS9" s="3426"/>
      <c r="NFT9" s="3426"/>
      <c r="NFU9" s="3426"/>
      <c r="NFV9" s="3426"/>
      <c r="NFW9" s="3426"/>
      <c r="NFX9" s="3426"/>
      <c r="NFY9" s="3426"/>
      <c r="NFZ9" s="3426"/>
      <c r="NGA9" s="3426"/>
      <c r="NGB9" s="3426"/>
      <c r="NGC9" s="3426"/>
      <c r="NGD9" s="3426"/>
      <c r="NGE9" s="3426"/>
      <c r="NGF9" s="3426"/>
      <c r="NGG9" s="3426"/>
      <c r="NGH9" s="3426"/>
      <c r="NGI9" s="3426"/>
      <c r="NGJ9" s="3426"/>
      <c r="NGK9" s="3426"/>
      <c r="NGL9" s="3426"/>
      <c r="NGM9" s="3426"/>
      <c r="NGN9" s="3426"/>
      <c r="NGO9" s="3426"/>
      <c r="NGP9" s="3426"/>
      <c r="NGQ9" s="3426"/>
      <c r="NGR9" s="3426"/>
      <c r="NGS9" s="3426"/>
      <c r="NGT9" s="3426"/>
      <c r="NGU9" s="3426"/>
      <c r="NGV9" s="3426"/>
      <c r="NGW9" s="3426"/>
      <c r="NGX9" s="3426"/>
      <c r="NGY9" s="3426"/>
      <c r="NGZ9" s="3426"/>
      <c r="NHA9" s="3426"/>
      <c r="NHB9" s="3426"/>
      <c r="NHC9" s="3426"/>
      <c r="NHD9" s="3426"/>
      <c r="NHE9" s="3426"/>
      <c r="NHF9" s="3426"/>
      <c r="NHG9" s="3426"/>
      <c r="NHH9" s="3426"/>
      <c r="NHI9" s="3426"/>
      <c r="NHJ9" s="3426"/>
      <c r="NHK9" s="3426"/>
      <c r="NHL9" s="3426"/>
      <c r="NHM9" s="3426"/>
      <c r="NHN9" s="3426"/>
      <c r="NHO9" s="3426"/>
      <c r="NHP9" s="3426"/>
      <c r="NHQ9" s="3426"/>
      <c r="NHR9" s="3426"/>
      <c r="NHS9" s="3426"/>
      <c r="NHT9" s="3426"/>
      <c r="NHU9" s="3426"/>
      <c r="NHV9" s="3426"/>
      <c r="NHW9" s="3426"/>
      <c r="NHX9" s="3426"/>
      <c r="NHY9" s="3426"/>
      <c r="NHZ9" s="3426"/>
      <c r="NIA9" s="3426"/>
      <c r="NIB9" s="3426"/>
      <c r="NIC9" s="3426"/>
      <c r="NID9" s="3426"/>
      <c r="NIE9" s="3426"/>
      <c r="NIF9" s="3426"/>
      <c r="NIG9" s="3426"/>
      <c r="NIH9" s="3426"/>
      <c r="NII9" s="3426"/>
      <c r="NIJ9" s="3426"/>
      <c r="NIK9" s="3426"/>
      <c r="NIL9" s="3426"/>
      <c r="NIM9" s="3426"/>
      <c r="NIN9" s="3426"/>
      <c r="NIO9" s="3426"/>
      <c r="NIP9" s="3426"/>
      <c r="NIQ9" s="3426"/>
      <c r="NIR9" s="3426"/>
      <c r="NIS9" s="3426"/>
      <c r="NIT9" s="3426"/>
      <c r="NIU9" s="3426"/>
      <c r="NIV9" s="3426"/>
      <c r="NIW9" s="3426"/>
      <c r="NIX9" s="3426"/>
      <c r="NIY9" s="3426"/>
      <c r="NIZ9" s="3426"/>
      <c r="NJA9" s="3426"/>
      <c r="NJB9" s="3426"/>
      <c r="NJC9" s="3426"/>
      <c r="NJD9" s="3426"/>
      <c r="NJE9" s="3426"/>
      <c r="NJF9" s="3426"/>
      <c r="NJG9" s="3426"/>
      <c r="NJH9" s="3426"/>
      <c r="NJI9" s="3426"/>
      <c r="NJJ9" s="3426"/>
      <c r="NJK9" s="3426"/>
      <c r="NJL9" s="3426"/>
      <c r="NJM9" s="3426"/>
      <c r="NJN9" s="3426"/>
      <c r="NJO9" s="3426"/>
      <c r="NJP9" s="3426"/>
      <c r="NJQ9" s="3426"/>
      <c r="NJR9" s="3426"/>
      <c r="NJS9" s="3426"/>
      <c r="NJT9" s="3426"/>
      <c r="NJU9" s="3426"/>
      <c r="NJV9" s="3426"/>
      <c r="NJW9" s="3426"/>
      <c r="NJX9" s="3426"/>
      <c r="NJY9" s="3426"/>
      <c r="NJZ9" s="3426"/>
      <c r="NKA9" s="3426"/>
      <c r="NKB9" s="3426"/>
      <c r="NKC9" s="3426"/>
      <c r="NKD9" s="3426"/>
      <c r="NKE9" s="3426"/>
      <c r="NKF9" s="3426"/>
      <c r="NKG9" s="3426"/>
      <c r="NKH9" s="3426"/>
      <c r="NKI9" s="3426"/>
      <c r="NKJ9" s="3426"/>
      <c r="NKK9" s="3426"/>
      <c r="NKL9" s="3426"/>
      <c r="NKM9" s="3426"/>
      <c r="NKN9" s="3426"/>
      <c r="NKO9" s="3426"/>
      <c r="NKP9" s="3426"/>
      <c r="NKQ9" s="3426"/>
      <c r="NKR9" s="3426"/>
      <c r="NKS9" s="3426"/>
      <c r="NKT9" s="3426"/>
      <c r="NKU9" s="3426"/>
      <c r="NKV9" s="3426"/>
      <c r="NKW9" s="3426"/>
      <c r="NKX9" s="3426"/>
      <c r="NKY9" s="3426"/>
      <c r="NKZ9" s="3426"/>
      <c r="NLA9" s="3426"/>
      <c r="NLB9" s="3426"/>
      <c r="NLC9" s="3426"/>
      <c r="NLD9" s="3426"/>
      <c r="NLE9" s="3426"/>
      <c r="NLF9" s="3426"/>
      <c r="NLG9" s="3426"/>
      <c r="NLH9" s="3426"/>
      <c r="NLI9" s="3426"/>
      <c r="NLJ9" s="3426"/>
      <c r="NLK9" s="3426"/>
      <c r="NLL9" s="3426"/>
      <c r="NLM9" s="3426"/>
      <c r="NLN9" s="3426"/>
      <c r="NLO9" s="3426"/>
      <c r="NLP9" s="3426"/>
      <c r="NLQ9" s="3426"/>
      <c r="NLR9" s="3426"/>
      <c r="NLS9" s="3426"/>
      <c r="NLT9" s="3426"/>
      <c r="NLU9" s="3426"/>
      <c r="NLV9" s="3426"/>
      <c r="NLW9" s="3426"/>
      <c r="NLX9" s="3426"/>
      <c r="NLY9" s="3426"/>
      <c r="NLZ9" s="3426"/>
      <c r="NMA9" s="3426"/>
      <c r="NMB9" s="3426"/>
      <c r="NMC9" s="3426"/>
      <c r="NMD9" s="3426"/>
      <c r="NME9" s="3426"/>
      <c r="NMF9" s="3426"/>
      <c r="NMG9" s="3426"/>
      <c r="NMH9" s="3426"/>
      <c r="NMI9" s="3426"/>
      <c r="NMJ9" s="3426"/>
      <c r="NMK9" s="3426"/>
      <c r="NML9" s="3426"/>
      <c r="NMM9" s="3426"/>
      <c r="NMN9" s="3426"/>
      <c r="NMO9" s="3426"/>
      <c r="NMP9" s="3426"/>
      <c r="NMQ9" s="3426"/>
      <c r="NMR9" s="3426"/>
      <c r="NMS9" s="3426"/>
      <c r="NMT9" s="3426"/>
      <c r="NMU9" s="3426"/>
      <c r="NMV9" s="3426"/>
      <c r="NMW9" s="3426"/>
      <c r="NMX9" s="3426"/>
      <c r="NMY9" s="3426"/>
      <c r="NMZ9" s="3426"/>
      <c r="NNA9" s="3426"/>
      <c r="NNB9" s="3426"/>
      <c r="NNC9" s="3426"/>
      <c r="NND9" s="3426"/>
      <c r="NNE9" s="3426"/>
      <c r="NNF9" s="3426"/>
      <c r="NNG9" s="3426"/>
      <c r="NNH9" s="3426"/>
      <c r="NNI9" s="3426"/>
      <c r="NNJ9" s="3426"/>
      <c r="NNK9" s="3426"/>
      <c r="NNL9" s="3426"/>
      <c r="NNM9" s="3426"/>
      <c r="NNN9" s="3426"/>
      <c r="NNO9" s="3426"/>
      <c r="NNP9" s="3426"/>
      <c r="NNQ9" s="3426"/>
      <c r="NNR9" s="3426"/>
      <c r="NNS9" s="3426"/>
      <c r="NNT9" s="3426"/>
      <c r="NNU9" s="3426"/>
      <c r="NNV9" s="3426"/>
      <c r="NNW9" s="3426"/>
      <c r="NNX9" s="3426"/>
      <c r="NNY9" s="3426"/>
      <c r="NNZ9" s="3426"/>
      <c r="NOA9" s="3426"/>
      <c r="NOB9" s="3426"/>
      <c r="NOC9" s="3426"/>
      <c r="NOD9" s="3426"/>
      <c r="NOE9" s="3426"/>
      <c r="NOF9" s="3426"/>
      <c r="NOG9" s="3426"/>
      <c r="NOH9" s="3426"/>
      <c r="NOI9" s="3426"/>
      <c r="NOJ9" s="3426"/>
      <c r="NOK9" s="3426"/>
      <c r="NOL9" s="3426"/>
      <c r="NOM9" s="3426"/>
      <c r="NON9" s="3426"/>
      <c r="NOO9" s="3426"/>
      <c r="NOP9" s="3426"/>
      <c r="NOQ9" s="3426"/>
      <c r="NOR9" s="3426"/>
      <c r="NOS9" s="3426"/>
      <c r="NOT9" s="3426"/>
      <c r="NOU9" s="3426"/>
      <c r="NOV9" s="3426"/>
      <c r="NOW9" s="3426"/>
      <c r="NOX9" s="3426"/>
      <c r="NOY9" s="3426"/>
      <c r="NOZ9" s="3426"/>
      <c r="NPA9" s="3426"/>
      <c r="NPB9" s="3426"/>
      <c r="NPC9" s="3426"/>
      <c r="NPD9" s="3426"/>
      <c r="NPE9" s="3426"/>
      <c r="NPF9" s="3426"/>
      <c r="NPG9" s="3426"/>
      <c r="NPH9" s="3426"/>
      <c r="NPI9" s="3426"/>
      <c r="NPJ9" s="3426"/>
      <c r="NPK9" s="3426"/>
      <c r="NPL9" s="3426"/>
      <c r="NPM9" s="3426"/>
      <c r="NPN9" s="3426"/>
      <c r="NPO9" s="3426"/>
      <c r="NPP9" s="3426"/>
      <c r="NPQ9" s="3426"/>
      <c r="NPR9" s="3426"/>
      <c r="NPS9" s="3426"/>
      <c r="NPT9" s="3426"/>
      <c r="NPU9" s="3426"/>
      <c r="NPV9" s="3426"/>
      <c r="NPW9" s="3426"/>
      <c r="NPX9" s="3426"/>
      <c r="NPY9" s="3426"/>
      <c r="NPZ9" s="3426"/>
      <c r="NQA9" s="3426"/>
      <c r="NQB9" s="3426"/>
      <c r="NQC9" s="3426"/>
      <c r="NQD9" s="3426"/>
      <c r="NQE9" s="3426"/>
      <c r="NQF9" s="3426"/>
      <c r="NQG9" s="3426"/>
      <c r="NQH9" s="3426"/>
      <c r="NQI9" s="3426"/>
      <c r="NQJ9" s="3426"/>
      <c r="NQK9" s="3426"/>
      <c r="NQL9" s="3426"/>
      <c r="NQM9" s="3426"/>
      <c r="NQN9" s="3426"/>
      <c r="NQO9" s="3426"/>
      <c r="NQP9" s="3426"/>
      <c r="NQQ9" s="3426"/>
      <c r="NQR9" s="3426"/>
      <c r="NQS9" s="3426"/>
      <c r="NQT9" s="3426"/>
      <c r="NQU9" s="3426"/>
      <c r="NQV9" s="3426"/>
      <c r="NQW9" s="3426"/>
      <c r="NQX9" s="3426"/>
      <c r="NQY9" s="3426"/>
      <c r="NQZ9" s="3426"/>
      <c r="NRA9" s="3426"/>
      <c r="NRB9" s="3426"/>
      <c r="NRC9" s="3426"/>
      <c r="NRD9" s="3426"/>
      <c r="NRE9" s="3426"/>
      <c r="NRF9" s="3426"/>
      <c r="NRG9" s="3426"/>
      <c r="NRH9" s="3426"/>
      <c r="NRI9" s="3426"/>
      <c r="NRJ9" s="3426"/>
      <c r="NRK9" s="3426"/>
      <c r="NRL9" s="3426"/>
      <c r="NRM9" s="3426"/>
      <c r="NRN9" s="3426"/>
      <c r="NRO9" s="3426"/>
      <c r="NRP9" s="3426"/>
      <c r="NRQ9" s="3426"/>
      <c r="NRR9" s="3426"/>
      <c r="NRS9" s="3426"/>
      <c r="NRT9" s="3426"/>
      <c r="NRU9" s="3426"/>
      <c r="NRV9" s="3426"/>
      <c r="NRW9" s="3426"/>
      <c r="NRX9" s="3426"/>
      <c r="NRY9" s="3426"/>
      <c r="NRZ9" s="3426"/>
      <c r="NSA9" s="3426"/>
      <c r="NSB9" s="3426"/>
      <c r="NSC9" s="3426"/>
      <c r="NSD9" s="3426"/>
      <c r="NSE9" s="3426"/>
      <c r="NSF9" s="3426"/>
      <c r="NSG9" s="3426"/>
      <c r="NSH9" s="3426"/>
      <c r="NSI9" s="3426"/>
      <c r="NSJ9" s="3426"/>
      <c r="NSK9" s="3426"/>
      <c r="NSL9" s="3426"/>
      <c r="NSM9" s="3426"/>
      <c r="NSN9" s="3426"/>
      <c r="NSO9" s="3426"/>
      <c r="NSP9" s="3426"/>
      <c r="NSQ9" s="3426"/>
      <c r="NSR9" s="3426"/>
      <c r="NSS9" s="3426"/>
      <c r="NST9" s="3426"/>
      <c r="NSU9" s="3426"/>
      <c r="NSV9" s="3426"/>
      <c r="NSW9" s="3426"/>
      <c r="NSX9" s="3426"/>
      <c r="NSY9" s="3426"/>
      <c r="NSZ9" s="3426"/>
      <c r="NTA9" s="3426"/>
      <c r="NTB9" s="3426"/>
      <c r="NTC9" s="3426"/>
      <c r="NTD9" s="3426"/>
      <c r="NTE9" s="3426"/>
      <c r="NTF9" s="3426"/>
      <c r="NTG9" s="3426"/>
      <c r="NTH9" s="3426"/>
      <c r="NTI9" s="3426"/>
      <c r="NTJ9" s="3426"/>
      <c r="NTK9" s="3426"/>
      <c r="NTL9" s="3426"/>
      <c r="NTM9" s="3426"/>
      <c r="NTN9" s="3426"/>
      <c r="NTO9" s="3426"/>
      <c r="NTP9" s="3426"/>
      <c r="NTQ9" s="3426"/>
      <c r="NTR9" s="3426"/>
      <c r="NTS9" s="3426"/>
      <c r="NTT9" s="3426"/>
      <c r="NTU9" s="3426"/>
      <c r="NTV9" s="3426"/>
      <c r="NTW9" s="3426"/>
      <c r="NTX9" s="3426"/>
      <c r="NTY9" s="3426"/>
      <c r="NTZ9" s="3426"/>
      <c r="NUA9" s="3426"/>
      <c r="NUB9" s="3426"/>
      <c r="NUC9" s="3426"/>
      <c r="NUD9" s="3426"/>
      <c r="NUE9" s="3426"/>
      <c r="NUF9" s="3426"/>
      <c r="NUG9" s="3426"/>
      <c r="NUH9" s="3426"/>
      <c r="NUI9" s="3426"/>
      <c r="NUJ9" s="3426"/>
      <c r="NUK9" s="3426"/>
      <c r="NUL9" s="3426"/>
      <c r="NUM9" s="3426"/>
      <c r="NUN9" s="3426"/>
      <c r="NUO9" s="3426"/>
      <c r="NUP9" s="3426"/>
      <c r="NUQ9" s="3426"/>
      <c r="NUR9" s="3426"/>
      <c r="NUS9" s="3426"/>
      <c r="NUT9" s="3426"/>
      <c r="NUU9" s="3426"/>
      <c r="NUV9" s="3426"/>
      <c r="NUW9" s="3426"/>
      <c r="NUX9" s="3426"/>
      <c r="NUY9" s="3426"/>
      <c r="NUZ9" s="3426"/>
      <c r="NVA9" s="3426"/>
      <c r="NVB9" s="3426"/>
      <c r="NVC9" s="3426"/>
      <c r="NVD9" s="3426"/>
      <c r="NVE9" s="3426"/>
      <c r="NVF9" s="3426"/>
      <c r="NVG9" s="3426"/>
      <c r="NVH9" s="3426"/>
      <c r="NVI9" s="3426"/>
      <c r="NVJ9" s="3426"/>
      <c r="NVK9" s="3426"/>
      <c r="NVL9" s="3426"/>
      <c r="NVM9" s="3426"/>
      <c r="NVN9" s="3426"/>
      <c r="NVO9" s="3426"/>
      <c r="NVP9" s="3426"/>
      <c r="NVQ9" s="3426"/>
      <c r="NVR9" s="3426"/>
      <c r="NVS9" s="3426"/>
      <c r="NVT9" s="3426"/>
      <c r="NVU9" s="3426"/>
      <c r="NVV9" s="3426"/>
      <c r="NVW9" s="3426"/>
      <c r="NVX9" s="3426"/>
      <c r="NVY9" s="3426"/>
      <c r="NVZ9" s="3426"/>
      <c r="NWA9" s="3426"/>
      <c r="NWB9" s="3426"/>
      <c r="NWC9" s="3426"/>
      <c r="NWD9" s="3426"/>
      <c r="NWE9" s="3426"/>
      <c r="NWF9" s="3426"/>
      <c r="NWG9" s="3426"/>
      <c r="NWH9" s="3426"/>
      <c r="NWI9" s="3426"/>
      <c r="NWJ9" s="3426"/>
      <c r="NWK9" s="3426"/>
      <c r="NWL9" s="3426"/>
      <c r="NWM9" s="3426"/>
      <c r="NWN9" s="3426"/>
      <c r="NWO9" s="3426"/>
      <c r="NWP9" s="3426"/>
      <c r="NWQ9" s="3426"/>
      <c r="NWR9" s="3426"/>
      <c r="NWS9" s="3426"/>
      <c r="NWT9" s="3426"/>
      <c r="NWU9" s="3426"/>
      <c r="NWV9" s="3426"/>
      <c r="NWW9" s="3426"/>
      <c r="NWX9" s="3426"/>
      <c r="NWY9" s="3426"/>
      <c r="NWZ9" s="3426"/>
      <c r="NXA9" s="3426"/>
      <c r="NXB9" s="3426"/>
      <c r="NXC9" s="3426"/>
      <c r="NXD9" s="3426"/>
      <c r="NXE9" s="3426"/>
      <c r="NXF9" s="3426"/>
      <c r="NXG9" s="3426"/>
      <c r="NXH9" s="3426"/>
      <c r="NXI9" s="3426"/>
      <c r="NXJ9" s="3426"/>
      <c r="NXK9" s="3426"/>
      <c r="NXL9" s="3426"/>
      <c r="NXM9" s="3426"/>
      <c r="NXN9" s="3426"/>
      <c r="NXO9" s="3426"/>
      <c r="NXP9" s="3426"/>
      <c r="NXQ9" s="3426"/>
      <c r="NXR9" s="3426"/>
      <c r="NXS9" s="3426"/>
      <c r="NXT9" s="3426"/>
      <c r="NXU9" s="3426"/>
      <c r="NXV9" s="3426"/>
      <c r="NXW9" s="3426"/>
      <c r="NXX9" s="3426"/>
      <c r="NXY9" s="3426"/>
      <c r="NXZ9" s="3426"/>
      <c r="NYA9" s="3426"/>
      <c r="NYB9" s="3426"/>
      <c r="NYC9" s="3426"/>
      <c r="NYD9" s="3426"/>
      <c r="NYE9" s="3426"/>
      <c r="NYF9" s="3426"/>
      <c r="NYG9" s="3426"/>
      <c r="NYH9" s="3426"/>
      <c r="NYI9" s="3426"/>
      <c r="NYJ9" s="3426"/>
      <c r="NYK9" s="3426"/>
      <c r="NYL9" s="3426"/>
      <c r="NYM9" s="3426"/>
      <c r="NYN9" s="3426"/>
      <c r="NYO9" s="3426"/>
      <c r="NYP9" s="3426"/>
      <c r="NYQ9" s="3426"/>
      <c r="NYR9" s="3426"/>
      <c r="NYS9" s="3426"/>
      <c r="NYT9" s="3426"/>
      <c r="NYU9" s="3426"/>
      <c r="NYV9" s="3426"/>
      <c r="NYW9" s="3426"/>
      <c r="NYX9" s="3426"/>
      <c r="NYY9" s="3426"/>
      <c r="NYZ9" s="3426"/>
      <c r="NZA9" s="3426"/>
      <c r="NZB9" s="3426"/>
      <c r="NZC9" s="3426"/>
      <c r="NZD9" s="3426"/>
      <c r="NZE9" s="3426"/>
      <c r="NZF9" s="3426"/>
      <c r="NZG9" s="3426"/>
      <c r="NZH9" s="3426"/>
      <c r="NZI9" s="3426"/>
      <c r="NZJ9" s="3426"/>
      <c r="NZK9" s="3426"/>
      <c r="NZL9" s="3426"/>
      <c r="NZM9" s="3426"/>
      <c r="NZN9" s="3426"/>
      <c r="NZO9" s="3426"/>
      <c r="NZP9" s="3426"/>
      <c r="NZQ9" s="3426"/>
      <c r="NZR9" s="3426"/>
      <c r="NZS9" s="3426"/>
      <c r="NZT9" s="3426"/>
      <c r="NZU9" s="3426"/>
      <c r="NZV9" s="3426"/>
      <c r="NZW9" s="3426"/>
      <c r="NZX9" s="3426"/>
      <c r="NZY9" s="3426"/>
      <c r="NZZ9" s="3426"/>
      <c r="OAA9" s="3426"/>
      <c r="OAB9" s="3426"/>
      <c r="OAC9" s="3426"/>
      <c r="OAD9" s="3426"/>
      <c r="OAE9" s="3426"/>
      <c r="OAF9" s="3426"/>
      <c r="OAG9" s="3426"/>
      <c r="OAH9" s="3426"/>
      <c r="OAI9" s="3426"/>
      <c r="OAJ9" s="3426"/>
      <c r="OAK9" s="3426"/>
      <c r="OAL9" s="3426"/>
      <c r="OAM9" s="3426"/>
      <c r="OAN9" s="3426"/>
      <c r="OAO9" s="3426"/>
      <c r="OAP9" s="3426"/>
      <c r="OAQ9" s="3426"/>
      <c r="OAR9" s="3426"/>
      <c r="OAS9" s="3426"/>
      <c r="OAT9" s="3426"/>
      <c r="OAU9" s="3426"/>
      <c r="OAV9" s="3426"/>
      <c r="OAW9" s="3426"/>
      <c r="OAX9" s="3426"/>
      <c r="OAY9" s="3426"/>
      <c r="OAZ9" s="3426"/>
      <c r="OBA9" s="3426"/>
      <c r="OBB9" s="3426"/>
      <c r="OBC9" s="3426"/>
      <c r="OBD9" s="3426"/>
      <c r="OBE9" s="3426"/>
      <c r="OBF9" s="3426"/>
      <c r="OBG9" s="3426"/>
      <c r="OBH9" s="3426"/>
      <c r="OBI9" s="3426"/>
      <c r="OBJ9" s="3426"/>
      <c r="OBK9" s="3426"/>
      <c r="OBL9" s="3426"/>
      <c r="OBM9" s="3426"/>
      <c r="OBN9" s="3426"/>
      <c r="OBO9" s="3426"/>
      <c r="OBP9" s="3426"/>
      <c r="OBQ9" s="3426"/>
      <c r="OBR9" s="3426"/>
      <c r="OBS9" s="3426"/>
      <c r="OBT9" s="3426"/>
      <c r="OBU9" s="3426"/>
      <c r="OBV9" s="3426"/>
      <c r="OBW9" s="3426"/>
      <c r="OBX9" s="3426"/>
      <c r="OBY9" s="3426"/>
      <c r="OBZ9" s="3426"/>
      <c r="OCA9" s="3426"/>
      <c r="OCB9" s="3426"/>
      <c r="OCC9" s="3426"/>
      <c r="OCD9" s="3426"/>
      <c r="OCE9" s="3426"/>
      <c r="OCF9" s="3426"/>
      <c r="OCG9" s="3426"/>
      <c r="OCH9" s="3426"/>
      <c r="OCI9" s="3426"/>
      <c r="OCJ9" s="3426"/>
      <c r="OCK9" s="3426"/>
      <c r="OCL9" s="3426"/>
      <c r="OCM9" s="3426"/>
      <c r="OCN9" s="3426"/>
      <c r="OCO9" s="3426"/>
      <c r="OCP9" s="3426"/>
      <c r="OCQ9" s="3426"/>
      <c r="OCR9" s="3426"/>
      <c r="OCS9" s="3426"/>
      <c r="OCT9" s="3426"/>
      <c r="OCU9" s="3426"/>
      <c r="OCV9" s="3426"/>
      <c r="OCW9" s="3426"/>
      <c r="OCX9" s="3426"/>
      <c r="OCY9" s="3426"/>
      <c r="OCZ9" s="3426"/>
      <c r="ODA9" s="3426"/>
      <c r="ODB9" s="3426"/>
      <c r="ODC9" s="3426"/>
      <c r="ODD9" s="3426"/>
      <c r="ODE9" s="3426"/>
      <c r="ODF9" s="3426"/>
      <c r="ODG9" s="3426"/>
      <c r="ODH9" s="3426"/>
      <c r="ODI9" s="3426"/>
      <c r="ODJ9" s="3426"/>
      <c r="ODK9" s="3426"/>
      <c r="ODL9" s="3426"/>
      <c r="ODM9" s="3426"/>
      <c r="ODN9" s="3426"/>
      <c r="ODO9" s="3426"/>
      <c r="ODP9" s="3426"/>
      <c r="ODQ9" s="3426"/>
      <c r="ODR9" s="3426"/>
      <c r="ODS9" s="3426"/>
      <c r="ODT9" s="3426"/>
      <c r="ODU9" s="3426"/>
      <c r="ODV9" s="3426"/>
      <c r="ODW9" s="3426"/>
      <c r="ODX9" s="3426"/>
      <c r="ODY9" s="3426"/>
      <c r="ODZ9" s="3426"/>
      <c r="OEA9" s="3426"/>
      <c r="OEB9" s="3426"/>
      <c r="OEC9" s="3426"/>
      <c r="OED9" s="3426"/>
      <c r="OEE9" s="3426"/>
      <c r="OEF9" s="3426"/>
      <c r="OEG9" s="3426"/>
      <c r="OEH9" s="3426"/>
      <c r="OEI9" s="3426"/>
      <c r="OEJ9" s="3426"/>
      <c r="OEK9" s="3426"/>
      <c r="OEL9" s="3426"/>
      <c r="OEM9" s="3426"/>
      <c r="OEN9" s="3426"/>
      <c r="OEO9" s="3426"/>
      <c r="OEP9" s="3426"/>
      <c r="OEQ9" s="3426"/>
      <c r="OER9" s="3426"/>
      <c r="OES9" s="3426"/>
      <c r="OET9" s="3426"/>
      <c r="OEU9" s="3426"/>
      <c r="OEV9" s="3426"/>
      <c r="OEW9" s="3426"/>
      <c r="OEX9" s="3426"/>
      <c r="OEY9" s="3426"/>
      <c r="OEZ9" s="3426"/>
      <c r="OFA9" s="3426"/>
      <c r="OFB9" s="3426"/>
      <c r="OFC9" s="3426"/>
      <c r="OFD9" s="3426"/>
      <c r="OFE9" s="3426"/>
      <c r="OFF9" s="3426"/>
      <c r="OFG9" s="3426"/>
      <c r="OFH9" s="3426"/>
      <c r="OFI9" s="3426"/>
      <c r="OFJ9" s="3426"/>
      <c r="OFK9" s="3426"/>
      <c r="OFL9" s="3426"/>
      <c r="OFM9" s="3426"/>
      <c r="OFN9" s="3426"/>
      <c r="OFO9" s="3426"/>
      <c r="OFP9" s="3426"/>
      <c r="OFQ9" s="3426"/>
      <c r="OFR9" s="3426"/>
      <c r="OFS9" s="3426"/>
      <c r="OFT9" s="3426"/>
      <c r="OFU9" s="3426"/>
      <c r="OFV9" s="3426"/>
      <c r="OFW9" s="3426"/>
      <c r="OFX9" s="3426"/>
      <c r="OFY9" s="3426"/>
      <c r="OFZ9" s="3426"/>
      <c r="OGA9" s="3426"/>
      <c r="OGB9" s="3426"/>
      <c r="OGC9" s="3426"/>
      <c r="OGD9" s="3426"/>
      <c r="OGE9" s="3426"/>
      <c r="OGF9" s="3426"/>
      <c r="OGG9" s="3426"/>
      <c r="OGH9" s="3426"/>
      <c r="OGI9" s="3426"/>
      <c r="OGJ9" s="3426"/>
      <c r="OGK9" s="3426"/>
      <c r="OGL9" s="3426"/>
      <c r="OGM9" s="3426"/>
      <c r="OGN9" s="3426"/>
      <c r="OGO9" s="3426"/>
      <c r="OGP9" s="3426"/>
      <c r="OGQ9" s="3426"/>
      <c r="OGR9" s="3426"/>
      <c r="OGS9" s="3426"/>
      <c r="OGT9" s="3426"/>
      <c r="OGU9" s="3426"/>
      <c r="OGV9" s="3426"/>
      <c r="OGW9" s="3426"/>
      <c r="OGX9" s="3426"/>
      <c r="OGY9" s="3426"/>
      <c r="OGZ9" s="3426"/>
      <c r="OHA9" s="3426"/>
      <c r="OHB9" s="3426"/>
      <c r="OHC9" s="3426"/>
      <c r="OHD9" s="3426"/>
      <c r="OHE9" s="3426"/>
      <c r="OHF9" s="3426"/>
      <c r="OHG9" s="3426"/>
      <c r="OHH9" s="3426"/>
      <c r="OHI9" s="3426"/>
      <c r="OHJ9" s="3426"/>
      <c r="OHK9" s="3426"/>
      <c r="OHL9" s="3426"/>
      <c r="OHM9" s="3426"/>
      <c r="OHN9" s="3426"/>
      <c r="OHO9" s="3426"/>
      <c r="OHP9" s="3426"/>
      <c r="OHQ9" s="3426"/>
      <c r="OHR9" s="3426"/>
      <c r="OHS9" s="3426"/>
      <c r="OHT9" s="3426"/>
      <c r="OHU9" s="3426"/>
      <c r="OHV9" s="3426"/>
      <c r="OHW9" s="3426"/>
      <c r="OHX9" s="3426"/>
      <c r="OHY9" s="3426"/>
      <c r="OHZ9" s="3426"/>
      <c r="OIA9" s="3426"/>
      <c r="OIB9" s="3426"/>
      <c r="OIC9" s="3426"/>
      <c r="OID9" s="3426"/>
      <c r="OIE9" s="3426"/>
      <c r="OIF9" s="3426"/>
      <c r="OIG9" s="3426"/>
      <c r="OIH9" s="3426"/>
      <c r="OII9" s="3426"/>
      <c r="OIJ9" s="3426"/>
      <c r="OIK9" s="3426"/>
      <c r="OIL9" s="3426"/>
      <c r="OIM9" s="3426"/>
      <c r="OIN9" s="3426"/>
      <c r="OIO9" s="3426"/>
      <c r="OIP9" s="3426"/>
      <c r="OIQ9" s="3426"/>
      <c r="OIR9" s="3426"/>
      <c r="OIS9" s="3426"/>
      <c r="OIT9" s="3426"/>
      <c r="OIU9" s="3426"/>
      <c r="OIV9" s="3426"/>
      <c r="OIW9" s="3426"/>
      <c r="OIX9" s="3426"/>
      <c r="OIY9" s="3426"/>
      <c r="OIZ9" s="3426"/>
      <c r="OJA9" s="3426"/>
      <c r="OJB9" s="3426"/>
      <c r="OJC9" s="3426"/>
      <c r="OJD9" s="3426"/>
      <c r="OJE9" s="3426"/>
      <c r="OJF9" s="3426"/>
      <c r="OJG9" s="3426"/>
      <c r="OJH9" s="3426"/>
      <c r="OJI9" s="3426"/>
      <c r="OJJ9" s="3426"/>
      <c r="OJK9" s="3426"/>
      <c r="OJL9" s="3426"/>
      <c r="OJM9" s="3426"/>
      <c r="OJN9" s="3426"/>
      <c r="OJO9" s="3426"/>
      <c r="OJP9" s="3426"/>
      <c r="OJQ9" s="3426"/>
      <c r="OJR9" s="3426"/>
      <c r="OJS9" s="3426"/>
      <c r="OJT9" s="3426"/>
      <c r="OJU9" s="3426"/>
      <c r="OJV9" s="3426"/>
      <c r="OJW9" s="3426"/>
      <c r="OJX9" s="3426"/>
      <c r="OJY9" s="3426"/>
      <c r="OJZ9" s="3426"/>
      <c r="OKA9" s="3426"/>
      <c r="OKB9" s="3426"/>
      <c r="OKC9" s="3426"/>
      <c r="OKD9" s="3426"/>
      <c r="OKE9" s="3426"/>
      <c r="OKF9" s="3426"/>
      <c r="OKG9" s="3426"/>
      <c r="OKH9" s="3426"/>
      <c r="OKI9" s="3426"/>
      <c r="OKJ9" s="3426"/>
      <c r="OKK9" s="3426"/>
      <c r="OKL9" s="3426"/>
      <c r="OKM9" s="3426"/>
      <c r="OKN9" s="3426"/>
      <c r="OKO9" s="3426"/>
      <c r="OKP9" s="3426"/>
      <c r="OKQ9" s="3426"/>
      <c r="OKR9" s="3426"/>
      <c r="OKS9" s="3426"/>
      <c r="OKT9" s="3426"/>
      <c r="OKU9" s="3426"/>
      <c r="OKV9" s="3426"/>
      <c r="OKW9" s="3426"/>
      <c r="OKX9" s="3426"/>
      <c r="OKY9" s="3426"/>
      <c r="OKZ9" s="3426"/>
      <c r="OLA9" s="3426"/>
      <c r="OLB9" s="3426"/>
      <c r="OLC9" s="3426"/>
      <c r="OLD9" s="3426"/>
      <c r="OLE9" s="3426"/>
      <c r="OLF9" s="3426"/>
      <c r="OLG9" s="3426"/>
      <c r="OLH9" s="3426"/>
      <c r="OLI9" s="3426"/>
      <c r="OLJ9" s="3426"/>
      <c r="OLK9" s="3426"/>
      <c r="OLL9" s="3426"/>
      <c r="OLM9" s="3426"/>
      <c r="OLN9" s="3426"/>
      <c r="OLO9" s="3426"/>
      <c r="OLP9" s="3426"/>
      <c r="OLQ9" s="3426"/>
      <c r="OLR9" s="3426"/>
      <c r="OLS9" s="3426"/>
      <c r="OLT9" s="3426"/>
      <c r="OLU9" s="3426"/>
      <c r="OLV9" s="3426"/>
      <c r="OLW9" s="3426"/>
      <c r="OLX9" s="3426"/>
      <c r="OLY9" s="3426"/>
      <c r="OLZ9" s="3426"/>
      <c r="OMA9" s="3426"/>
      <c r="OMB9" s="3426"/>
      <c r="OMC9" s="3426"/>
      <c r="OMD9" s="3426"/>
      <c r="OME9" s="3426"/>
      <c r="OMF9" s="3426"/>
      <c r="OMG9" s="3426"/>
      <c r="OMH9" s="3426"/>
      <c r="OMI9" s="3426"/>
      <c r="OMJ9" s="3426"/>
      <c r="OMK9" s="3426"/>
      <c r="OML9" s="3426"/>
      <c r="OMM9" s="3426"/>
      <c r="OMN9" s="3426"/>
      <c r="OMO9" s="3426"/>
      <c r="OMP9" s="3426"/>
      <c r="OMQ9" s="3426"/>
      <c r="OMR9" s="3426"/>
      <c r="OMS9" s="3426"/>
      <c r="OMT9" s="3426"/>
      <c r="OMU9" s="3426"/>
      <c r="OMV9" s="3426"/>
      <c r="OMW9" s="3426"/>
      <c r="OMX9" s="3426"/>
      <c r="OMY9" s="3426"/>
      <c r="OMZ9" s="3426"/>
      <c r="ONA9" s="3426"/>
      <c r="ONB9" s="3426"/>
      <c r="ONC9" s="3426"/>
      <c r="OND9" s="3426"/>
      <c r="ONE9" s="3426"/>
      <c r="ONF9" s="3426"/>
      <c r="ONG9" s="3426"/>
      <c r="ONH9" s="3426"/>
      <c r="ONI9" s="3426"/>
      <c r="ONJ9" s="3426"/>
      <c r="ONK9" s="3426"/>
      <c r="ONL9" s="3426"/>
      <c r="ONM9" s="3426"/>
      <c r="ONN9" s="3426"/>
      <c r="ONO9" s="3426"/>
      <c r="ONP9" s="3426"/>
      <c r="ONQ9" s="3426"/>
      <c r="ONR9" s="3426"/>
      <c r="ONS9" s="3426"/>
      <c r="ONT9" s="3426"/>
      <c r="ONU9" s="3426"/>
      <c r="ONV9" s="3426"/>
      <c r="ONW9" s="3426"/>
      <c r="ONX9" s="3426"/>
      <c r="ONY9" s="3426"/>
      <c r="ONZ9" s="3426"/>
      <c r="OOA9" s="3426"/>
      <c r="OOB9" s="3426"/>
      <c r="OOC9" s="3426"/>
      <c r="OOD9" s="3426"/>
      <c r="OOE9" s="3426"/>
      <c r="OOF9" s="3426"/>
      <c r="OOG9" s="3426"/>
      <c r="OOH9" s="3426"/>
      <c r="OOI9" s="3426"/>
      <c r="OOJ9" s="3426"/>
      <c r="OOK9" s="3426"/>
      <c r="OOL9" s="3426"/>
      <c r="OOM9" s="3426"/>
      <c r="OON9" s="3426"/>
      <c r="OOO9" s="3426"/>
      <c r="OOP9" s="3426"/>
      <c r="OOQ9" s="3426"/>
      <c r="OOR9" s="3426"/>
      <c r="OOS9" s="3426"/>
      <c r="OOT9" s="3426"/>
      <c r="OOU9" s="3426"/>
      <c r="OOV9" s="3426"/>
      <c r="OOW9" s="3426"/>
      <c r="OOX9" s="3426"/>
      <c r="OOY9" s="3426"/>
      <c r="OOZ9" s="3426"/>
      <c r="OPA9" s="3426"/>
      <c r="OPB9" s="3426"/>
      <c r="OPC9" s="3426"/>
      <c r="OPD9" s="3426"/>
      <c r="OPE9" s="3426"/>
      <c r="OPF9" s="3426"/>
      <c r="OPG9" s="3426"/>
      <c r="OPH9" s="3426"/>
      <c r="OPI9" s="3426"/>
      <c r="OPJ9" s="3426"/>
      <c r="OPK9" s="3426"/>
      <c r="OPL9" s="3426"/>
      <c r="OPM9" s="3426"/>
      <c r="OPN9" s="3426"/>
      <c r="OPO9" s="3426"/>
      <c r="OPP9" s="3426"/>
      <c r="OPQ9" s="3426"/>
      <c r="OPR9" s="3426"/>
      <c r="OPS9" s="3426"/>
      <c r="OPT9" s="3426"/>
      <c r="OPU9" s="3426"/>
      <c r="OPV9" s="3426"/>
      <c r="OPW9" s="3426"/>
      <c r="OPX9" s="3426"/>
      <c r="OPY9" s="3426"/>
      <c r="OPZ9" s="3426"/>
      <c r="OQA9" s="3426"/>
      <c r="OQB9" s="3426"/>
      <c r="OQC9" s="3426"/>
      <c r="OQD9" s="3426"/>
      <c r="OQE9" s="3426"/>
      <c r="OQF9" s="3426"/>
      <c r="OQG9" s="3426"/>
      <c r="OQH9" s="3426"/>
      <c r="OQI9" s="3426"/>
      <c r="OQJ9" s="3426"/>
      <c r="OQK9" s="3426"/>
      <c r="OQL9" s="3426"/>
      <c r="OQM9" s="3426"/>
      <c r="OQN9" s="3426"/>
      <c r="OQO9" s="3426"/>
      <c r="OQP9" s="3426"/>
      <c r="OQQ9" s="3426"/>
      <c r="OQR9" s="3426"/>
      <c r="OQS9" s="3426"/>
      <c r="OQT9" s="3426"/>
      <c r="OQU9" s="3426"/>
      <c r="OQV9" s="3426"/>
      <c r="OQW9" s="3426"/>
      <c r="OQX9" s="3426"/>
      <c r="OQY9" s="3426"/>
      <c r="OQZ9" s="3426"/>
      <c r="ORA9" s="3426"/>
      <c r="ORB9" s="3426"/>
      <c r="ORC9" s="3426"/>
      <c r="ORD9" s="3426"/>
      <c r="ORE9" s="3426"/>
      <c r="ORF9" s="3426"/>
      <c r="ORG9" s="3426"/>
      <c r="ORH9" s="3426"/>
      <c r="ORI9" s="3426"/>
      <c r="ORJ9" s="3426"/>
      <c r="ORK9" s="3426"/>
      <c r="ORL9" s="3426"/>
      <c r="ORM9" s="3426"/>
      <c r="ORN9" s="3426"/>
      <c r="ORO9" s="3426"/>
      <c r="ORP9" s="3426"/>
      <c r="ORQ9" s="3426"/>
      <c r="ORR9" s="3426"/>
      <c r="ORS9" s="3426"/>
      <c r="ORT9" s="3426"/>
      <c r="ORU9" s="3426"/>
      <c r="ORV9" s="3426"/>
      <c r="ORW9" s="3426"/>
      <c r="ORX9" s="3426"/>
      <c r="ORY9" s="3426"/>
      <c r="ORZ9" s="3426"/>
      <c r="OSA9" s="3426"/>
      <c r="OSB9" s="3426"/>
      <c r="OSC9" s="3426"/>
      <c r="OSD9" s="3426"/>
      <c r="OSE9" s="3426"/>
      <c r="OSF9" s="3426"/>
      <c r="OSG9" s="3426"/>
      <c r="OSH9" s="3426"/>
      <c r="OSI9" s="3426"/>
      <c r="OSJ9" s="3426"/>
      <c r="OSK9" s="3426"/>
      <c r="OSL9" s="3426"/>
      <c r="OSM9" s="3426"/>
      <c r="OSN9" s="3426"/>
      <c r="OSO9" s="3426"/>
      <c r="OSP9" s="3426"/>
      <c r="OSQ9" s="3426"/>
      <c r="OSR9" s="3426"/>
      <c r="OSS9" s="3426"/>
      <c r="OST9" s="3426"/>
      <c r="OSU9" s="3426"/>
      <c r="OSV9" s="3426"/>
      <c r="OSW9" s="3426"/>
      <c r="OSX9" s="3426"/>
      <c r="OSY9" s="3426"/>
      <c r="OSZ9" s="3426"/>
      <c r="OTA9" s="3426"/>
      <c r="OTB9" s="3426"/>
      <c r="OTC9" s="3426"/>
      <c r="OTD9" s="3426"/>
      <c r="OTE9" s="3426"/>
      <c r="OTF9" s="3426"/>
      <c r="OTG9" s="3426"/>
      <c r="OTH9" s="3426"/>
      <c r="OTI9" s="3426"/>
      <c r="OTJ9" s="3426"/>
      <c r="OTK9" s="3426"/>
      <c r="OTL9" s="3426"/>
      <c r="OTM9" s="3426"/>
      <c r="OTN9" s="3426"/>
      <c r="OTO9" s="3426"/>
      <c r="OTP9" s="3426"/>
      <c r="OTQ9" s="3426"/>
      <c r="OTR9" s="3426"/>
      <c r="OTS9" s="3426"/>
      <c r="OTT9" s="3426"/>
      <c r="OTU9" s="3426"/>
      <c r="OTV9" s="3426"/>
      <c r="OTW9" s="3426"/>
      <c r="OTX9" s="3426"/>
      <c r="OTY9" s="3426"/>
      <c r="OTZ9" s="3426"/>
      <c r="OUA9" s="3426"/>
      <c r="OUB9" s="3426"/>
      <c r="OUC9" s="3426"/>
      <c r="OUD9" s="3426"/>
      <c r="OUE9" s="3426"/>
      <c r="OUF9" s="3426"/>
      <c r="OUG9" s="3426"/>
      <c r="OUH9" s="3426"/>
      <c r="OUI9" s="3426"/>
      <c r="OUJ9" s="3426"/>
      <c r="OUK9" s="3426"/>
      <c r="OUL9" s="3426"/>
      <c r="OUM9" s="3426"/>
      <c r="OUN9" s="3426"/>
      <c r="OUO9" s="3426"/>
      <c r="OUP9" s="3426"/>
      <c r="OUQ9" s="3426"/>
      <c r="OUR9" s="3426"/>
      <c r="OUS9" s="3426"/>
      <c r="OUT9" s="3426"/>
      <c r="OUU9" s="3426"/>
      <c r="OUV9" s="3426"/>
      <c r="OUW9" s="3426"/>
      <c r="OUX9" s="3426"/>
      <c r="OUY9" s="3426"/>
      <c r="OUZ9" s="3426"/>
      <c r="OVA9" s="3426"/>
      <c r="OVB9" s="3426"/>
      <c r="OVC9" s="3426"/>
      <c r="OVD9" s="3426"/>
      <c r="OVE9" s="3426"/>
      <c r="OVF9" s="3426"/>
      <c r="OVG9" s="3426"/>
      <c r="OVH9" s="3426"/>
      <c r="OVI9" s="3426"/>
      <c r="OVJ9" s="3426"/>
      <c r="OVK9" s="3426"/>
      <c r="OVL9" s="3426"/>
      <c r="OVM9" s="3426"/>
      <c r="OVN9" s="3426"/>
      <c r="OVO9" s="3426"/>
      <c r="OVP9" s="3426"/>
      <c r="OVQ9" s="3426"/>
      <c r="OVR9" s="3426"/>
      <c r="OVS9" s="3426"/>
      <c r="OVT9" s="3426"/>
      <c r="OVU9" s="3426"/>
      <c r="OVV9" s="3426"/>
      <c r="OVW9" s="3426"/>
      <c r="OVX9" s="3426"/>
      <c r="OVY9" s="3426"/>
      <c r="OVZ9" s="3426"/>
      <c r="OWA9" s="3426"/>
      <c r="OWB9" s="3426"/>
      <c r="OWC9" s="3426"/>
      <c r="OWD9" s="3426"/>
      <c r="OWE9" s="3426"/>
      <c r="OWF9" s="3426"/>
      <c r="OWG9" s="3426"/>
      <c r="OWH9" s="3426"/>
      <c r="OWI9" s="3426"/>
      <c r="OWJ9" s="3426"/>
      <c r="OWK9" s="3426"/>
      <c r="OWL9" s="3426"/>
      <c r="OWM9" s="3426"/>
      <c r="OWN9" s="3426"/>
      <c r="OWO9" s="3426"/>
      <c r="OWP9" s="3426"/>
      <c r="OWQ9" s="3426"/>
      <c r="OWR9" s="3426"/>
      <c r="OWS9" s="3426"/>
      <c r="OWT9" s="3426"/>
      <c r="OWU9" s="3426"/>
      <c r="OWV9" s="3426"/>
      <c r="OWW9" s="3426"/>
      <c r="OWX9" s="3426"/>
      <c r="OWY9" s="3426"/>
      <c r="OWZ9" s="3426"/>
      <c r="OXA9" s="3426"/>
      <c r="OXB9" s="3426"/>
      <c r="OXC9" s="3426"/>
      <c r="OXD9" s="3426"/>
      <c r="OXE9" s="3426"/>
      <c r="OXF9" s="3426"/>
      <c r="OXG9" s="3426"/>
      <c r="OXH9" s="3426"/>
      <c r="OXI9" s="3426"/>
      <c r="OXJ9" s="3426"/>
      <c r="OXK9" s="3426"/>
      <c r="OXL9" s="3426"/>
      <c r="OXM9" s="3426"/>
      <c r="OXN9" s="3426"/>
      <c r="OXO9" s="3426"/>
      <c r="OXP9" s="3426"/>
      <c r="OXQ9" s="3426"/>
      <c r="OXR9" s="3426"/>
      <c r="OXS9" s="3426"/>
      <c r="OXT9" s="3426"/>
      <c r="OXU9" s="3426"/>
      <c r="OXV9" s="3426"/>
      <c r="OXW9" s="3426"/>
      <c r="OXX9" s="3426"/>
      <c r="OXY9" s="3426"/>
      <c r="OXZ9" s="3426"/>
      <c r="OYA9" s="3426"/>
      <c r="OYB9" s="3426"/>
      <c r="OYC9" s="3426"/>
      <c r="OYD9" s="3426"/>
      <c r="OYE9" s="3426"/>
      <c r="OYF9" s="3426"/>
      <c r="OYG9" s="3426"/>
      <c r="OYH9" s="3426"/>
      <c r="OYI9" s="3426"/>
      <c r="OYJ9" s="3426"/>
      <c r="OYK9" s="3426"/>
      <c r="OYL9" s="3426"/>
      <c r="OYM9" s="3426"/>
      <c r="OYN9" s="3426"/>
      <c r="OYO9" s="3426"/>
      <c r="OYP9" s="3426"/>
      <c r="OYQ9" s="3426"/>
      <c r="OYR9" s="3426"/>
      <c r="OYS9" s="3426"/>
      <c r="OYT9" s="3426"/>
      <c r="OYU9" s="3426"/>
      <c r="OYV9" s="3426"/>
      <c r="OYW9" s="3426"/>
      <c r="OYX9" s="3426"/>
      <c r="OYY9" s="3426"/>
      <c r="OYZ9" s="3426"/>
      <c r="OZA9" s="3426"/>
      <c r="OZB9" s="3426"/>
      <c r="OZC9" s="3426"/>
      <c r="OZD9" s="3426"/>
      <c r="OZE9" s="3426"/>
      <c r="OZF9" s="3426"/>
      <c r="OZG9" s="3426"/>
      <c r="OZH9" s="3426"/>
      <c r="OZI9" s="3426"/>
      <c r="OZJ9" s="3426"/>
      <c r="OZK9" s="3426"/>
      <c r="OZL9" s="3426"/>
      <c r="OZM9" s="3426"/>
      <c r="OZN9" s="3426"/>
      <c r="OZO9" s="3426"/>
      <c r="OZP9" s="3426"/>
      <c r="OZQ9" s="3426"/>
      <c r="OZR9" s="3426"/>
      <c r="OZS9" s="3426"/>
      <c r="OZT9" s="3426"/>
      <c r="OZU9" s="3426"/>
      <c r="OZV9" s="3426"/>
      <c r="OZW9" s="3426"/>
      <c r="OZX9" s="3426"/>
      <c r="OZY9" s="3426"/>
      <c r="OZZ9" s="3426"/>
      <c r="PAA9" s="3426"/>
      <c r="PAB9" s="3426"/>
      <c r="PAC9" s="3426"/>
      <c r="PAD9" s="3426"/>
      <c r="PAE9" s="3426"/>
      <c r="PAF9" s="3426"/>
      <c r="PAG9" s="3426"/>
      <c r="PAH9" s="3426"/>
      <c r="PAI9" s="3426"/>
      <c r="PAJ9" s="3426"/>
      <c r="PAK9" s="3426"/>
      <c r="PAL9" s="3426"/>
      <c r="PAM9" s="3426"/>
      <c r="PAN9" s="3426"/>
      <c r="PAO9" s="3426"/>
      <c r="PAP9" s="3426"/>
      <c r="PAQ9" s="3426"/>
      <c r="PAR9" s="3426"/>
      <c r="PAS9" s="3426"/>
      <c r="PAT9" s="3426"/>
      <c r="PAU9" s="3426"/>
      <c r="PAV9" s="3426"/>
      <c r="PAW9" s="3426"/>
      <c r="PAX9" s="3426"/>
      <c r="PAY9" s="3426"/>
      <c r="PAZ9" s="3426"/>
      <c r="PBA9" s="3426"/>
      <c r="PBB9" s="3426"/>
      <c r="PBC9" s="3426"/>
      <c r="PBD9" s="3426"/>
      <c r="PBE9" s="3426"/>
      <c r="PBF9" s="3426"/>
      <c r="PBG9" s="3426"/>
      <c r="PBH9" s="3426"/>
      <c r="PBI9" s="3426"/>
      <c r="PBJ9" s="3426"/>
      <c r="PBK9" s="3426"/>
      <c r="PBL9" s="3426"/>
      <c r="PBM9" s="3426"/>
      <c r="PBN9" s="3426"/>
      <c r="PBO9" s="3426"/>
      <c r="PBP9" s="3426"/>
      <c r="PBQ9" s="3426"/>
      <c r="PBR9" s="3426"/>
      <c r="PBS9" s="3426"/>
      <c r="PBT9" s="3426"/>
      <c r="PBU9" s="3426"/>
      <c r="PBV9" s="3426"/>
      <c r="PBW9" s="3426"/>
      <c r="PBX9" s="3426"/>
      <c r="PBY9" s="3426"/>
      <c r="PBZ9" s="3426"/>
      <c r="PCA9" s="3426"/>
      <c r="PCB9" s="3426"/>
      <c r="PCC9" s="3426"/>
      <c r="PCD9" s="3426"/>
      <c r="PCE9" s="3426"/>
      <c r="PCF9" s="3426"/>
      <c r="PCG9" s="3426"/>
      <c r="PCH9" s="3426"/>
      <c r="PCI9" s="3426"/>
      <c r="PCJ9" s="3426"/>
      <c r="PCK9" s="3426"/>
      <c r="PCL9" s="3426"/>
      <c r="PCM9" s="3426"/>
      <c r="PCN9" s="3426"/>
      <c r="PCO9" s="3426"/>
      <c r="PCP9" s="3426"/>
      <c r="PCQ9" s="3426"/>
      <c r="PCR9" s="3426"/>
      <c r="PCS9" s="3426"/>
      <c r="PCT9" s="3426"/>
      <c r="PCU9" s="3426"/>
      <c r="PCV9" s="3426"/>
      <c r="PCW9" s="3426"/>
      <c r="PCX9" s="3426"/>
      <c r="PCY9" s="3426"/>
      <c r="PCZ9" s="3426"/>
      <c r="PDA9" s="3426"/>
      <c r="PDB9" s="3426"/>
      <c r="PDC9" s="3426"/>
      <c r="PDD9" s="3426"/>
      <c r="PDE9" s="3426"/>
      <c r="PDF9" s="3426"/>
      <c r="PDG9" s="3426"/>
      <c r="PDH9" s="3426"/>
      <c r="PDI9" s="3426"/>
      <c r="PDJ9" s="3426"/>
      <c r="PDK9" s="3426"/>
      <c r="PDL9" s="3426"/>
      <c r="PDM9" s="3426"/>
      <c r="PDN9" s="3426"/>
      <c r="PDO9" s="3426"/>
      <c r="PDP9" s="3426"/>
      <c r="PDQ9" s="3426"/>
      <c r="PDR9" s="3426"/>
      <c r="PDS9" s="3426"/>
      <c r="PDT9" s="3426"/>
      <c r="PDU9" s="3426"/>
      <c r="PDV9" s="3426"/>
      <c r="PDW9" s="3426"/>
      <c r="PDX9" s="3426"/>
      <c r="PDY9" s="3426"/>
      <c r="PDZ9" s="3426"/>
      <c r="PEA9" s="3426"/>
      <c r="PEB9" s="3426"/>
      <c r="PEC9" s="3426"/>
      <c r="PED9" s="3426"/>
      <c r="PEE9" s="3426"/>
      <c r="PEF9" s="3426"/>
      <c r="PEG9" s="3426"/>
      <c r="PEH9" s="3426"/>
      <c r="PEI9" s="3426"/>
      <c r="PEJ9" s="3426"/>
      <c r="PEK9" s="3426"/>
      <c r="PEL9" s="3426"/>
      <c r="PEM9" s="3426"/>
      <c r="PEN9" s="3426"/>
      <c r="PEO9" s="3426"/>
      <c r="PEP9" s="3426"/>
      <c r="PEQ9" s="3426"/>
      <c r="PER9" s="3426"/>
      <c r="PES9" s="3426"/>
      <c r="PET9" s="3426"/>
      <c r="PEU9" s="3426"/>
      <c r="PEV9" s="3426"/>
      <c r="PEW9" s="3426"/>
      <c r="PEX9" s="3426"/>
      <c r="PEY9" s="3426"/>
      <c r="PEZ9" s="3426"/>
      <c r="PFA9" s="3426"/>
      <c r="PFB9" s="3426"/>
      <c r="PFC9" s="3426"/>
      <c r="PFD9" s="3426"/>
      <c r="PFE9" s="3426"/>
      <c r="PFF9" s="3426"/>
      <c r="PFG9" s="3426"/>
      <c r="PFH9" s="3426"/>
      <c r="PFI9" s="3426"/>
      <c r="PFJ9" s="3426"/>
      <c r="PFK9" s="3426"/>
      <c r="PFL9" s="3426"/>
      <c r="PFM9" s="3426"/>
      <c r="PFN9" s="3426"/>
      <c r="PFO9" s="3426"/>
      <c r="PFP9" s="3426"/>
      <c r="PFQ9" s="3426"/>
      <c r="PFR9" s="3426"/>
      <c r="PFS9" s="3426"/>
      <c r="PFT9" s="3426"/>
      <c r="PFU9" s="3426"/>
      <c r="PFV9" s="3426"/>
      <c r="PFW9" s="3426"/>
      <c r="PFX9" s="3426"/>
      <c r="PFY9" s="3426"/>
      <c r="PFZ9" s="3426"/>
      <c r="PGA9" s="3426"/>
      <c r="PGB9" s="3426"/>
      <c r="PGC9" s="3426"/>
      <c r="PGD9" s="3426"/>
      <c r="PGE9" s="3426"/>
      <c r="PGF9" s="3426"/>
      <c r="PGG9" s="3426"/>
      <c r="PGH9" s="3426"/>
      <c r="PGI9" s="3426"/>
      <c r="PGJ9" s="3426"/>
      <c r="PGK9" s="3426"/>
      <c r="PGL9" s="3426"/>
      <c r="PGM9" s="3426"/>
      <c r="PGN9" s="3426"/>
      <c r="PGO9" s="3426"/>
      <c r="PGP9" s="3426"/>
      <c r="PGQ9" s="3426"/>
      <c r="PGR9" s="3426"/>
      <c r="PGS9" s="3426"/>
      <c r="PGT9" s="3426"/>
      <c r="PGU9" s="3426"/>
      <c r="PGV9" s="3426"/>
      <c r="PGW9" s="3426"/>
      <c r="PGX9" s="3426"/>
      <c r="PGY9" s="3426"/>
      <c r="PGZ9" s="3426"/>
      <c r="PHA9" s="3426"/>
      <c r="PHB9" s="3426"/>
      <c r="PHC9" s="3426"/>
      <c r="PHD9" s="3426"/>
      <c r="PHE9" s="3426"/>
      <c r="PHF9" s="3426"/>
      <c r="PHG9" s="3426"/>
      <c r="PHH9" s="3426"/>
      <c r="PHI9" s="3426"/>
      <c r="PHJ9" s="3426"/>
      <c r="PHK9" s="3426"/>
      <c r="PHL9" s="3426"/>
      <c r="PHM9" s="3426"/>
      <c r="PHN9" s="3426"/>
      <c r="PHO9" s="3426"/>
      <c r="PHP9" s="3426"/>
      <c r="PHQ9" s="3426"/>
      <c r="PHR9" s="3426"/>
      <c r="PHS9" s="3426"/>
      <c r="PHT9" s="3426"/>
      <c r="PHU9" s="3426"/>
      <c r="PHV9" s="3426"/>
      <c r="PHW9" s="3426"/>
      <c r="PHX9" s="3426"/>
      <c r="PHY9" s="3426"/>
      <c r="PHZ9" s="3426"/>
      <c r="PIA9" s="3426"/>
      <c r="PIB9" s="3426"/>
      <c r="PIC9" s="3426"/>
      <c r="PID9" s="3426"/>
      <c r="PIE9" s="3426"/>
      <c r="PIF9" s="3426"/>
      <c r="PIG9" s="3426"/>
      <c r="PIH9" s="3426"/>
      <c r="PII9" s="3426"/>
      <c r="PIJ9" s="3426"/>
      <c r="PIK9" s="3426"/>
      <c r="PIL9" s="3426"/>
      <c r="PIM9" s="3426"/>
      <c r="PIN9" s="3426"/>
      <c r="PIO9" s="3426"/>
      <c r="PIP9" s="3426"/>
      <c r="PIQ9" s="3426"/>
      <c r="PIR9" s="3426"/>
      <c r="PIS9" s="3426"/>
      <c r="PIT9" s="3426"/>
      <c r="PIU9" s="3426"/>
      <c r="PIV9" s="3426"/>
      <c r="PIW9" s="3426"/>
      <c r="PIX9" s="3426"/>
      <c r="PIY9" s="3426"/>
      <c r="PIZ9" s="3426"/>
      <c r="PJA9" s="3426"/>
      <c r="PJB9" s="3426"/>
      <c r="PJC9" s="3426"/>
      <c r="PJD9" s="3426"/>
      <c r="PJE9" s="3426"/>
      <c r="PJF9" s="3426"/>
      <c r="PJG9" s="3426"/>
      <c r="PJH9" s="3426"/>
      <c r="PJI9" s="3426"/>
      <c r="PJJ9" s="3426"/>
      <c r="PJK9" s="3426"/>
      <c r="PJL9" s="3426"/>
      <c r="PJM9" s="3426"/>
      <c r="PJN9" s="3426"/>
      <c r="PJO9" s="3426"/>
      <c r="PJP9" s="3426"/>
      <c r="PJQ9" s="3426"/>
      <c r="PJR9" s="3426"/>
      <c r="PJS9" s="3426"/>
      <c r="PJT9" s="3426"/>
      <c r="PJU9" s="3426"/>
      <c r="PJV9" s="3426"/>
      <c r="PJW9" s="3426"/>
      <c r="PJX9" s="3426"/>
      <c r="PJY9" s="3426"/>
      <c r="PJZ9" s="3426"/>
      <c r="PKA9" s="3426"/>
      <c r="PKB9" s="3426"/>
      <c r="PKC9" s="3426"/>
      <c r="PKD9" s="3426"/>
      <c r="PKE9" s="3426"/>
      <c r="PKF9" s="3426"/>
      <c r="PKG9" s="3426"/>
      <c r="PKH9" s="3426"/>
      <c r="PKI9" s="3426"/>
      <c r="PKJ9" s="3426"/>
      <c r="PKK9" s="3426"/>
      <c r="PKL9" s="3426"/>
      <c r="PKM9" s="3426"/>
      <c r="PKN9" s="3426"/>
      <c r="PKO9" s="3426"/>
      <c r="PKP9" s="3426"/>
      <c r="PKQ9" s="3426"/>
      <c r="PKR9" s="3426"/>
      <c r="PKS9" s="3426"/>
      <c r="PKT9" s="3426"/>
      <c r="PKU9" s="3426"/>
      <c r="PKV9" s="3426"/>
      <c r="PKW9" s="3426"/>
      <c r="PKX9" s="3426"/>
      <c r="PKY9" s="3426"/>
      <c r="PKZ9" s="3426"/>
      <c r="PLA9" s="3426"/>
      <c r="PLB9" s="3426"/>
      <c r="PLC9" s="3426"/>
      <c r="PLD9" s="3426"/>
      <c r="PLE9" s="3426"/>
      <c r="PLF9" s="3426"/>
      <c r="PLG9" s="3426"/>
      <c r="PLH9" s="3426"/>
      <c r="PLI9" s="3426"/>
      <c r="PLJ9" s="3426"/>
      <c r="PLK9" s="3426"/>
      <c r="PLL9" s="3426"/>
      <c r="PLM9" s="3426"/>
      <c r="PLN9" s="3426"/>
      <c r="PLO9" s="3426"/>
      <c r="PLP9" s="3426"/>
      <c r="PLQ9" s="3426"/>
      <c r="PLR9" s="3426"/>
      <c r="PLS9" s="3426"/>
      <c r="PLT9" s="3426"/>
      <c r="PLU9" s="3426"/>
      <c r="PLV9" s="3426"/>
      <c r="PLW9" s="3426"/>
      <c r="PLX9" s="3426"/>
      <c r="PLY9" s="3426"/>
      <c r="PLZ9" s="3426"/>
      <c r="PMA9" s="3426"/>
      <c r="PMB9" s="3426"/>
      <c r="PMC9" s="3426"/>
      <c r="PMD9" s="3426"/>
      <c r="PME9" s="3426"/>
      <c r="PMF9" s="3426"/>
      <c r="PMG9" s="3426"/>
      <c r="PMH9" s="3426"/>
      <c r="PMI9" s="3426"/>
      <c r="PMJ9" s="3426"/>
      <c r="PMK9" s="3426"/>
      <c r="PML9" s="3426"/>
      <c r="PMM9" s="3426"/>
      <c r="PMN9" s="3426"/>
      <c r="PMO9" s="3426"/>
      <c r="PMP9" s="3426"/>
      <c r="PMQ9" s="3426"/>
      <c r="PMR9" s="3426"/>
      <c r="PMS9" s="3426"/>
      <c r="PMT9" s="3426"/>
      <c r="PMU9" s="3426"/>
      <c r="PMV9" s="3426"/>
      <c r="PMW9" s="3426"/>
      <c r="PMX9" s="3426"/>
      <c r="PMY9" s="3426"/>
      <c r="PMZ9" s="3426"/>
      <c r="PNA9" s="3426"/>
      <c r="PNB9" s="3426"/>
      <c r="PNC9" s="3426"/>
      <c r="PND9" s="3426"/>
      <c r="PNE9" s="3426"/>
      <c r="PNF9" s="3426"/>
      <c r="PNG9" s="3426"/>
      <c r="PNH9" s="3426"/>
      <c r="PNI9" s="3426"/>
      <c r="PNJ9" s="3426"/>
      <c r="PNK9" s="3426"/>
      <c r="PNL9" s="3426"/>
      <c r="PNM9" s="3426"/>
      <c r="PNN9" s="3426"/>
      <c r="PNO9" s="3426"/>
      <c r="PNP9" s="3426"/>
      <c r="PNQ9" s="3426"/>
      <c r="PNR9" s="3426"/>
      <c r="PNS9" s="3426"/>
      <c r="PNT9" s="3426"/>
      <c r="PNU9" s="3426"/>
      <c r="PNV9" s="3426"/>
      <c r="PNW9" s="3426"/>
      <c r="PNX9" s="3426"/>
      <c r="PNY9" s="3426"/>
      <c r="PNZ9" s="3426"/>
      <c r="POA9" s="3426"/>
      <c r="POB9" s="3426"/>
      <c r="POC9" s="3426"/>
      <c r="POD9" s="3426"/>
      <c r="POE9" s="3426"/>
      <c r="POF9" s="3426"/>
      <c r="POG9" s="3426"/>
      <c r="POH9" s="3426"/>
      <c r="POI9" s="3426"/>
      <c r="POJ9" s="3426"/>
      <c r="POK9" s="3426"/>
      <c r="POL9" s="3426"/>
      <c r="POM9" s="3426"/>
      <c r="PON9" s="3426"/>
      <c r="POO9" s="3426"/>
      <c r="POP9" s="3426"/>
      <c r="POQ9" s="3426"/>
      <c r="POR9" s="3426"/>
      <c r="POS9" s="3426"/>
      <c r="POT9" s="3426"/>
      <c r="POU9" s="3426"/>
      <c r="POV9" s="3426"/>
      <c r="POW9" s="3426"/>
      <c r="POX9" s="3426"/>
      <c r="POY9" s="3426"/>
      <c r="POZ9" s="3426"/>
      <c r="PPA9" s="3426"/>
      <c r="PPB9" s="3426"/>
      <c r="PPC9" s="3426"/>
      <c r="PPD9" s="3426"/>
      <c r="PPE9" s="3426"/>
      <c r="PPF9" s="3426"/>
      <c r="PPG9" s="3426"/>
      <c r="PPH9" s="3426"/>
      <c r="PPI9" s="3426"/>
      <c r="PPJ9" s="3426"/>
      <c r="PPK9" s="3426"/>
      <c r="PPL9" s="3426"/>
      <c r="PPM9" s="3426"/>
      <c r="PPN9" s="3426"/>
      <c r="PPO9" s="3426"/>
      <c r="PPP9" s="3426"/>
      <c r="PPQ9" s="3426"/>
      <c r="PPR9" s="3426"/>
      <c r="PPS9" s="3426"/>
      <c r="PPT9" s="3426"/>
      <c r="PPU9" s="3426"/>
      <c r="PPV9" s="3426"/>
      <c r="PPW9" s="3426"/>
      <c r="PPX9" s="3426"/>
      <c r="PPY9" s="3426"/>
      <c r="PPZ9" s="3426"/>
      <c r="PQA9" s="3426"/>
      <c r="PQB9" s="3426"/>
      <c r="PQC9" s="3426"/>
      <c r="PQD9" s="3426"/>
      <c r="PQE9" s="3426"/>
      <c r="PQF9" s="3426"/>
      <c r="PQG9" s="3426"/>
      <c r="PQH9" s="3426"/>
      <c r="PQI9" s="3426"/>
      <c r="PQJ9" s="3426"/>
      <c r="PQK9" s="3426"/>
      <c r="PQL9" s="3426"/>
      <c r="PQM9" s="3426"/>
      <c r="PQN9" s="3426"/>
      <c r="PQO9" s="3426"/>
      <c r="PQP9" s="3426"/>
      <c r="PQQ9" s="3426"/>
      <c r="PQR9" s="3426"/>
      <c r="PQS9" s="3426"/>
      <c r="PQT9" s="3426"/>
      <c r="PQU9" s="3426"/>
      <c r="PQV9" s="3426"/>
      <c r="PQW9" s="3426"/>
      <c r="PQX9" s="3426"/>
      <c r="PQY9" s="3426"/>
      <c r="PQZ9" s="3426"/>
      <c r="PRA9" s="3426"/>
      <c r="PRB9" s="3426"/>
      <c r="PRC9" s="3426"/>
      <c r="PRD9" s="3426"/>
      <c r="PRE9" s="3426"/>
      <c r="PRF9" s="3426"/>
      <c r="PRG9" s="3426"/>
      <c r="PRH9" s="3426"/>
      <c r="PRI9" s="3426"/>
      <c r="PRJ9" s="3426"/>
      <c r="PRK9" s="3426"/>
      <c r="PRL9" s="3426"/>
      <c r="PRM9" s="3426"/>
      <c r="PRN9" s="3426"/>
      <c r="PRO9" s="3426"/>
      <c r="PRP9" s="3426"/>
      <c r="PRQ9" s="3426"/>
      <c r="PRR9" s="3426"/>
      <c r="PRS9" s="3426"/>
      <c r="PRT9" s="3426"/>
      <c r="PRU9" s="3426"/>
      <c r="PRV9" s="3426"/>
      <c r="PRW9" s="3426"/>
      <c r="PRX9" s="3426"/>
      <c r="PRY9" s="3426"/>
      <c r="PRZ9" s="3426"/>
      <c r="PSA9" s="3426"/>
      <c r="PSB9" s="3426"/>
      <c r="PSC9" s="3426"/>
      <c r="PSD9" s="3426"/>
      <c r="PSE9" s="3426"/>
      <c r="PSF9" s="3426"/>
      <c r="PSG9" s="3426"/>
      <c r="PSH9" s="3426"/>
      <c r="PSI9" s="3426"/>
      <c r="PSJ9" s="3426"/>
      <c r="PSK9" s="3426"/>
      <c r="PSL9" s="3426"/>
      <c r="PSM9" s="3426"/>
      <c r="PSN9" s="3426"/>
      <c r="PSO9" s="3426"/>
      <c r="PSP9" s="3426"/>
      <c r="PSQ9" s="3426"/>
      <c r="PSR9" s="3426"/>
      <c r="PSS9" s="3426"/>
      <c r="PST9" s="3426"/>
      <c r="PSU9" s="3426"/>
      <c r="PSV9" s="3426"/>
      <c r="PSW9" s="3426"/>
      <c r="PSX9" s="3426"/>
      <c r="PSY9" s="3426"/>
      <c r="PSZ9" s="3426"/>
      <c r="PTA9" s="3426"/>
      <c r="PTB9" s="3426"/>
      <c r="PTC9" s="3426"/>
      <c r="PTD9" s="3426"/>
      <c r="PTE9" s="3426"/>
      <c r="PTF9" s="3426"/>
      <c r="PTG9" s="3426"/>
      <c r="PTH9" s="3426"/>
      <c r="PTI9" s="3426"/>
      <c r="PTJ9" s="3426"/>
      <c r="PTK9" s="3426"/>
      <c r="PTL9" s="3426"/>
      <c r="PTM9" s="3426"/>
      <c r="PTN9" s="3426"/>
      <c r="PTO9" s="3426"/>
      <c r="PTP9" s="3426"/>
      <c r="PTQ9" s="3426"/>
      <c r="PTR9" s="3426"/>
      <c r="PTS9" s="3426"/>
      <c r="PTT9" s="3426"/>
      <c r="PTU9" s="3426"/>
      <c r="PTV9" s="3426"/>
      <c r="PTW9" s="3426"/>
      <c r="PTX9" s="3426"/>
      <c r="PTY9" s="3426"/>
      <c r="PTZ9" s="3426"/>
      <c r="PUA9" s="3426"/>
      <c r="PUB9" s="3426"/>
      <c r="PUC9" s="3426"/>
      <c r="PUD9" s="3426"/>
      <c r="PUE9" s="3426"/>
      <c r="PUF9" s="3426"/>
      <c r="PUG9" s="3426"/>
      <c r="PUH9" s="3426"/>
      <c r="PUI9" s="3426"/>
      <c r="PUJ9" s="3426"/>
      <c r="PUK9" s="3426"/>
      <c r="PUL9" s="3426"/>
      <c r="PUM9" s="3426"/>
      <c r="PUN9" s="3426"/>
      <c r="PUO9" s="3426"/>
      <c r="PUP9" s="3426"/>
      <c r="PUQ9" s="3426"/>
      <c r="PUR9" s="3426"/>
      <c r="PUS9" s="3426"/>
      <c r="PUT9" s="3426"/>
      <c r="PUU9" s="3426"/>
      <c r="PUV9" s="3426"/>
      <c r="PUW9" s="3426"/>
      <c r="PUX9" s="3426"/>
      <c r="PUY9" s="3426"/>
      <c r="PUZ9" s="3426"/>
      <c r="PVA9" s="3426"/>
      <c r="PVB9" s="3426"/>
      <c r="PVC9" s="3426"/>
      <c r="PVD9" s="3426"/>
      <c r="PVE9" s="3426"/>
      <c r="PVF9" s="3426"/>
      <c r="PVG9" s="3426"/>
      <c r="PVH9" s="3426"/>
      <c r="PVI9" s="3426"/>
      <c r="PVJ9" s="3426"/>
      <c r="PVK9" s="3426"/>
      <c r="PVL9" s="3426"/>
      <c r="PVM9" s="3426"/>
      <c r="PVN9" s="3426"/>
      <c r="PVO9" s="3426"/>
      <c r="PVP9" s="3426"/>
      <c r="PVQ9" s="3426"/>
      <c r="PVR9" s="3426"/>
      <c r="PVS9" s="3426"/>
      <c r="PVT9" s="3426"/>
      <c r="PVU9" s="3426"/>
      <c r="PVV9" s="3426"/>
      <c r="PVW9" s="3426"/>
      <c r="PVX9" s="3426"/>
      <c r="PVY9" s="3426"/>
      <c r="PVZ9" s="3426"/>
      <c r="PWA9" s="3426"/>
      <c r="PWB9" s="3426"/>
      <c r="PWC9" s="3426"/>
      <c r="PWD9" s="3426"/>
      <c r="PWE9" s="3426"/>
      <c r="PWF9" s="3426"/>
      <c r="PWG9" s="3426"/>
      <c r="PWH9" s="3426"/>
      <c r="PWI9" s="3426"/>
      <c r="PWJ9" s="3426"/>
      <c r="PWK9" s="3426"/>
      <c r="PWL9" s="3426"/>
      <c r="PWM9" s="3426"/>
      <c r="PWN9" s="3426"/>
      <c r="PWO9" s="3426"/>
      <c r="PWP9" s="3426"/>
      <c r="PWQ9" s="3426"/>
      <c r="PWR9" s="3426"/>
      <c r="PWS9" s="3426"/>
      <c r="PWT9" s="3426"/>
      <c r="PWU9" s="3426"/>
      <c r="PWV9" s="3426"/>
      <c r="PWW9" s="3426"/>
      <c r="PWX9" s="3426"/>
      <c r="PWY9" s="3426"/>
      <c r="PWZ9" s="3426"/>
      <c r="PXA9" s="3426"/>
      <c r="PXB9" s="3426"/>
      <c r="PXC9" s="3426"/>
      <c r="PXD9" s="3426"/>
      <c r="PXE9" s="3426"/>
      <c r="PXF9" s="3426"/>
      <c r="PXG9" s="3426"/>
      <c r="PXH9" s="3426"/>
      <c r="PXI9" s="3426"/>
      <c r="PXJ9" s="3426"/>
      <c r="PXK9" s="3426"/>
      <c r="PXL9" s="3426"/>
      <c r="PXM9" s="3426"/>
      <c r="PXN9" s="3426"/>
      <c r="PXO9" s="3426"/>
      <c r="PXP9" s="3426"/>
      <c r="PXQ9" s="3426"/>
      <c r="PXR9" s="3426"/>
      <c r="PXS9" s="3426"/>
      <c r="PXT9" s="3426"/>
      <c r="PXU9" s="3426"/>
      <c r="PXV9" s="3426"/>
      <c r="PXW9" s="3426"/>
      <c r="PXX9" s="3426"/>
      <c r="PXY9" s="3426"/>
      <c r="PXZ9" s="3426"/>
      <c r="PYA9" s="3426"/>
      <c r="PYB9" s="3426"/>
      <c r="PYC9" s="3426"/>
      <c r="PYD9" s="3426"/>
      <c r="PYE9" s="3426"/>
      <c r="PYF9" s="3426"/>
      <c r="PYG9" s="3426"/>
      <c r="PYH9" s="3426"/>
      <c r="PYI9" s="3426"/>
      <c r="PYJ9" s="3426"/>
      <c r="PYK9" s="3426"/>
      <c r="PYL9" s="3426"/>
      <c r="PYM9" s="3426"/>
      <c r="PYN9" s="3426"/>
      <c r="PYO9" s="3426"/>
      <c r="PYP9" s="3426"/>
      <c r="PYQ9" s="3426"/>
      <c r="PYR9" s="3426"/>
      <c r="PYS9" s="3426"/>
      <c r="PYT9" s="3426"/>
      <c r="PYU9" s="3426"/>
      <c r="PYV9" s="3426"/>
      <c r="PYW9" s="3426"/>
      <c r="PYX9" s="3426"/>
      <c r="PYY9" s="3426"/>
      <c r="PYZ9" s="3426"/>
      <c r="PZA9" s="3426"/>
      <c r="PZB9" s="3426"/>
      <c r="PZC9" s="3426"/>
      <c r="PZD9" s="3426"/>
      <c r="PZE9" s="3426"/>
      <c r="PZF9" s="3426"/>
      <c r="PZG9" s="3426"/>
      <c r="PZH9" s="3426"/>
      <c r="PZI9" s="3426"/>
      <c r="PZJ9" s="3426"/>
      <c r="PZK9" s="3426"/>
      <c r="PZL9" s="3426"/>
      <c r="PZM9" s="3426"/>
      <c r="PZN9" s="3426"/>
      <c r="PZO9" s="3426"/>
      <c r="PZP9" s="3426"/>
      <c r="PZQ9" s="3426"/>
      <c r="PZR9" s="3426"/>
      <c r="PZS9" s="3426"/>
      <c r="PZT9" s="3426"/>
      <c r="PZU9" s="3426"/>
      <c r="PZV9" s="3426"/>
      <c r="PZW9" s="3426"/>
      <c r="PZX9" s="3426"/>
      <c r="PZY9" s="3426"/>
      <c r="PZZ9" s="3426"/>
      <c r="QAA9" s="3426"/>
      <c r="QAB9" s="3426"/>
      <c r="QAC9" s="3426"/>
      <c r="QAD9" s="3426"/>
      <c r="QAE9" s="3426"/>
      <c r="QAF9" s="3426"/>
      <c r="QAG9" s="3426"/>
      <c r="QAH9" s="3426"/>
      <c r="QAI9" s="3426"/>
      <c r="QAJ9" s="3426"/>
      <c r="QAK9" s="3426"/>
      <c r="QAL9" s="3426"/>
      <c r="QAM9" s="3426"/>
      <c r="QAN9" s="3426"/>
      <c r="QAO9" s="3426"/>
      <c r="QAP9" s="3426"/>
      <c r="QAQ9" s="3426"/>
      <c r="QAR9" s="3426"/>
      <c r="QAS9" s="3426"/>
      <c r="QAT9" s="3426"/>
      <c r="QAU9" s="3426"/>
      <c r="QAV9" s="3426"/>
      <c r="QAW9" s="3426"/>
      <c r="QAX9" s="3426"/>
      <c r="QAY9" s="3426"/>
      <c r="QAZ9" s="3426"/>
      <c r="QBA9" s="3426"/>
      <c r="QBB9" s="3426"/>
      <c r="QBC9" s="3426"/>
      <c r="QBD9" s="3426"/>
      <c r="QBE9" s="3426"/>
      <c r="QBF9" s="3426"/>
      <c r="QBG9" s="3426"/>
      <c r="QBH9" s="3426"/>
      <c r="QBI9" s="3426"/>
      <c r="QBJ9" s="3426"/>
      <c r="QBK9" s="3426"/>
      <c r="QBL9" s="3426"/>
      <c r="QBM9" s="3426"/>
      <c r="QBN9" s="3426"/>
      <c r="QBO9" s="3426"/>
      <c r="QBP9" s="3426"/>
      <c r="QBQ9" s="3426"/>
      <c r="QBR9" s="3426"/>
      <c r="QBS9" s="3426"/>
      <c r="QBT9" s="3426"/>
      <c r="QBU9" s="3426"/>
      <c r="QBV9" s="3426"/>
      <c r="QBW9" s="3426"/>
      <c r="QBX9" s="3426"/>
      <c r="QBY9" s="3426"/>
      <c r="QBZ9" s="3426"/>
      <c r="QCA9" s="3426"/>
      <c r="QCB9" s="3426"/>
      <c r="QCC9" s="3426"/>
      <c r="QCD9" s="3426"/>
      <c r="QCE9" s="3426"/>
      <c r="QCF9" s="3426"/>
      <c r="QCG9" s="3426"/>
      <c r="QCH9" s="3426"/>
      <c r="QCI9" s="3426"/>
      <c r="QCJ9" s="3426"/>
      <c r="QCK9" s="3426"/>
      <c r="QCL9" s="3426"/>
      <c r="QCM9" s="3426"/>
      <c r="QCN9" s="3426"/>
      <c r="QCO9" s="3426"/>
      <c r="QCP9" s="3426"/>
      <c r="QCQ9" s="3426"/>
      <c r="QCR9" s="3426"/>
      <c r="QCS9" s="3426"/>
      <c r="QCT9" s="3426"/>
      <c r="QCU9" s="3426"/>
      <c r="QCV9" s="3426"/>
      <c r="QCW9" s="3426"/>
      <c r="QCX9" s="3426"/>
      <c r="QCY9" s="3426"/>
      <c r="QCZ9" s="3426"/>
      <c r="QDA9" s="3426"/>
      <c r="QDB9" s="3426"/>
      <c r="QDC9" s="3426"/>
      <c r="QDD9" s="3426"/>
      <c r="QDE9" s="3426"/>
      <c r="QDF9" s="3426"/>
      <c r="QDG9" s="3426"/>
      <c r="QDH9" s="3426"/>
      <c r="QDI9" s="3426"/>
      <c r="QDJ9" s="3426"/>
      <c r="QDK9" s="3426"/>
      <c r="QDL9" s="3426"/>
      <c r="QDM9" s="3426"/>
      <c r="QDN9" s="3426"/>
      <c r="QDO9" s="3426"/>
      <c r="QDP9" s="3426"/>
      <c r="QDQ9" s="3426"/>
      <c r="QDR9" s="3426"/>
      <c r="QDS9" s="3426"/>
      <c r="QDT9" s="3426"/>
      <c r="QDU9" s="3426"/>
      <c r="QDV9" s="3426"/>
      <c r="QDW9" s="3426"/>
      <c r="QDX9" s="3426"/>
      <c r="QDY9" s="3426"/>
      <c r="QDZ9" s="3426"/>
      <c r="QEA9" s="3426"/>
      <c r="QEB9" s="3426"/>
      <c r="QEC9" s="3426"/>
      <c r="QED9" s="3426"/>
      <c r="QEE9" s="3426"/>
      <c r="QEF9" s="3426"/>
      <c r="QEG9" s="3426"/>
      <c r="QEH9" s="3426"/>
      <c r="QEI9" s="3426"/>
      <c r="QEJ9" s="3426"/>
      <c r="QEK9" s="3426"/>
      <c r="QEL9" s="3426"/>
      <c r="QEM9" s="3426"/>
      <c r="QEN9" s="3426"/>
      <c r="QEO9" s="3426"/>
      <c r="QEP9" s="3426"/>
      <c r="QEQ9" s="3426"/>
      <c r="QER9" s="3426"/>
      <c r="QES9" s="3426"/>
      <c r="QET9" s="3426"/>
      <c r="QEU9" s="3426"/>
      <c r="QEV9" s="3426"/>
      <c r="QEW9" s="3426"/>
      <c r="QEX9" s="3426"/>
      <c r="QEY9" s="3426"/>
      <c r="QEZ9" s="3426"/>
      <c r="QFA9" s="3426"/>
      <c r="QFB9" s="3426"/>
      <c r="QFC9" s="3426"/>
      <c r="QFD9" s="3426"/>
      <c r="QFE9" s="3426"/>
      <c r="QFF9" s="3426"/>
      <c r="QFG9" s="3426"/>
      <c r="QFH9" s="3426"/>
      <c r="QFI9" s="3426"/>
      <c r="QFJ9" s="3426"/>
      <c r="QFK9" s="3426"/>
      <c r="QFL9" s="3426"/>
      <c r="QFM9" s="3426"/>
      <c r="QFN9" s="3426"/>
      <c r="QFO9" s="3426"/>
      <c r="QFP9" s="3426"/>
      <c r="QFQ9" s="3426"/>
      <c r="QFR9" s="3426"/>
      <c r="QFS9" s="3426"/>
      <c r="QFT9" s="3426"/>
      <c r="QFU9" s="3426"/>
      <c r="QFV9" s="3426"/>
      <c r="QFW9" s="3426"/>
      <c r="QFX9" s="3426"/>
      <c r="QFY9" s="3426"/>
      <c r="QFZ9" s="3426"/>
      <c r="QGA9" s="3426"/>
      <c r="QGB9" s="3426"/>
      <c r="QGC9" s="3426"/>
      <c r="QGD9" s="3426"/>
      <c r="QGE9" s="3426"/>
      <c r="QGF9" s="3426"/>
      <c r="QGG9" s="3426"/>
      <c r="QGH9" s="3426"/>
      <c r="QGI9" s="3426"/>
      <c r="QGJ9" s="3426"/>
      <c r="QGK9" s="3426"/>
      <c r="QGL9" s="3426"/>
      <c r="QGM9" s="3426"/>
      <c r="QGN9" s="3426"/>
      <c r="QGO9" s="3426"/>
      <c r="QGP9" s="3426"/>
      <c r="QGQ9" s="3426"/>
      <c r="QGR9" s="3426"/>
      <c r="QGS9" s="3426"/>
      <c r="QGT9" s="3426"/>
      <c r="QGU9" s="3426"/>
      <c r="QGV9" s="3426"/>
      <c r="QGW9" s="3426"/>
      <c r="QGX9" s="3426"/>
      <c r="QGY9" s="3426"/>
      <c r="QGZ9" s="3426"/>
      <c r="QHA9" s="3426"/>
      <c r="QHB9" s="3426"/>
      <c r="QHC9" s="3426"/>
      <c r="QHD9" s="3426"/>
      <c r="QHE9" s="3426"/>
      <c r="QHF9" s="3426"/>
      <c r="QHG9" s="3426"/>
      <c r="QHH9" s="3426"/>
      <c r="QHI9" s="3426"/>
      <c r="QHJ9" s="3426"/>
      <c r="QHK9" s="3426"/>
      <c r="QHL9" s="3426"/>
      <c r="QHM9" s="3426"/>
      <c r="QHN9" s="3426"/>
      <c r="QHO9" s="3426"/>
      <c r="QHP9" s="3426"/>
      <c r="QHQ9" s="3426"/>
      <c r="QHR9" s="3426"/>
      <c r="QHS9" s="3426"/>
      <c r="QHT9" s="3426"/>
      <c r="QHU9" s="3426"/>
      <c r="QHV9" s="3426"/>
      <c r="QHW9" s="3426"/>
      <c r="QHX9" s="3426"/>
      <c r="QHY9" s="3426"/>
      <c r="QHZ9" s="3426"/>
      <c r="QIA9" s="3426"/>
      <c r="QIB9" s="3426"/>
      <c r="QIC9" s="3426"/>
      <c r="QID9" s="3426"/>
      <c r="QIE9" s="3426"/>
      <c r="QIF9" s="3426"/>
      <c r="QIG9" s="3426"/>
      <c r="QIH9" s="3426"/>
      <c r="QII9" s="3426"/>
      <c r="QIJ9" s="3426"/>
      <c r="QIK9" s="3426"/>
      <c r="QIL9" s="3426"/>
      <c r="QIM9" s="3426"/>
      <c r="QIN9" s="3426"/>
      <c r="QIO9" s="3426"/>
      <c r="QIP9" s="3426"/>
      <c r="QIQ9" s="3426"/>
      <c r="QIR9" s="3426"/>
      <c r="QIS9" s="3426"/>
      <c r="QIT9" s="3426"/>
      <c r="QIU9" s="3426"/>
      <c r="QIV9" s="3426"/>
      <c r="QIW9" s="3426"/>
      <c r="QIX9" s="3426"/>
      <c r="QIY9" s="3426"/>
      <c r="QIZ9" s="3426"/>
      <c r="QJA9" s="3426"/>
      <c r="QJB9" s="3426"/>
      <c r="QJC9" s="3426"/>
      <c r="QJD9" s="3426"/>
      <c r="QJE9" s="3426"/>
      <c r="QJF9" s="3426"/>
      <c r="QJG9" s="3426"/>
      <c r="QJH9" s="3426"/>
      <c r="QJI9" s="3426"/>
      <c r="QJJ9" s="3426"/>
      <c r="QJK9" s="3426"/>
      <c r="QJL9" s="3426"/>
      <c r="QJM9" s="3426"/>
      <c r="QJN9" s="3426"/>
      <c r="QJO9" s="3426"/>
      <c r="QJP9" s="3426"/>
      <c r="QJQ9" s="3426"/>
      <c r="QJR9" s="3426"/>
      <c r="QJS9" s="3426"/>
      <c r="QJT9" s="3426"/>
      <c r="QJU9" s="3426"/>
      <c r="QJV9" s="3426"/>
      <c r="QJW9" s="3426"/>
      <c r="QJX9" s="3426"/>
      <c r="QJY9" s="3426"/>
      <c r="QJZ9" s="3426"/>
      <c r="QKA9" s="3426"/>
      <c r="QKB9" s="3426"/>
      <c r="QKC9" s="3426"/>
      <c r="QKD9" s="3426"/>
      <c r="QKE9" s="3426"/>
      <c r="QKF9" s="3426"/>
      <c r="QKG9" s="3426"/>
      <c r="QKH9" s="3426"/>
      <c r="QKI9" s="3426"/>
      <c r="QKJ9" s="3426"/>
      <c r="QKK9" s="3426"/>
      <c r="QKL9" s="3426"/>
      <c r="QKM9" s="3426"/>
      <c r="QKN9" s="3426"/>
      <c r="QKO9" s="3426"/>
      <c r="QKP9" s="3426"/>
      <c r="QKQ9" s="3426"/>
      <c r="QKR9" s="3426"/>
      <c r="QKS9" s="3426"/>
      <c r="QKT9" s="3426"/>
      <c r="QKU9" s="3426"/>
      <c r="QKV9" s="3426"/>
      <c r="QKW9" s="3426"/>
      <c r="QKX9" s="3426"/>
      <c r="QKY9" s="3426"/>
      <c r="QKZ9" s="3426"/>
      <c r="QLA9" s="3426"/>
      <c r="QLB9" s="3426"/>
      <c r="QLC9" s="3426"/>
      <c r="QLD9" s="3426"/>
      <c r="QLE9" s="3426"/>
      <c r="QLF9" s="3426"/>
      <c r="QLG9" s="3426"/>
      <c r="QLH9" s="3426"/>
      <c r="QLI9" s="3426"/>
      <c r="QLJ9" s="3426"/>
      <c r="QLK9" s="3426"/>
      <c r="QLL9" s="3426"/>
      <c r="QLM9" s="3426"/>
      <c r="QLN9" s="3426"/>
      <c r="QLO9" s="3426"/>
      <c r="QLP9" s="3426"/>
      <c r="QLQ9" s="3426"/>
      <c r="QLR9" s="3426"/>
      <c r="QLS9" s="3426"/>
      <c r="QLT9" s="3426"/>
      <c r="QLU9" s="3426"/>
      <c r="QLV9" s="3426"/>
      <c r="QLW9" s="3426"/>
      <c r="QLX9" s="3426"/>
      <c r="QLY9" s="3426"/>
      <c r="QLZ9" s="3426"/>
      <c r="QMA9" s="3426"/>
      <c r="QMB9" s="3426"/>
      <c r="QMC9" s="3426"/>
      <c r="QMD9" s="3426"/>
      <c r="QME9" s="3426"/>
      <c r="QMF9" s="3426"/>
      <c r="QMG9" s="3426"/>
      <c r="QMH9" s="3426"/>
      <c r="QMI9" s="3426"/>
      <c r="QMJ9" s="3426"/>
      <c r="QMK9" s="3426"/>
      <c r="QML9" s="3426"/>
      <c r="QMM9" s="3426"/>
      <c r="QMN9" s="3426"/>
      <c r="QMO9" s="3426"/>
      <c r="QMP9" s="3426"/>
      <c r="QMQ9" s="3426"/>
      <c r="QMR9" s="3426"/>
      <c r="QMS9" s="3426"/>
      <c r="QMT9" s="3426"/>
      <c r="QMU9" s="3426"/>
      <c r="QMV9" s="3426"/>
      <c r="QMW9" s="3426"/>
      <c r="QMX9" s="3426"/>
      <c r="QMY9" s="3426"/>
      <c r="QMZ9" s="3426"/>
      <c r="QNA9" s="3426"/>
      <c r="QNB9" s="3426"/>
      <c r="QNC9" s="3426"/>
      <c r="QND9" s="3426"/>
      <c r="QNE9" s="3426"/>
      <c r="QNF9" s="3426"/>
      <c r="QNG9" s="3426"/>
      <c r="QNH9" s="3426"/>
      <c r="QNI9" s="3426"/>
      <c r="QNJ9" s="3426"/>
      <c r="QNK9" s="3426"/>
      <c r="QNL9" s="3426"/>
      <c r="QNM9" s="3426"/>
      <c r="QNN9" s="3426"/>
      <c r="QNO9" s="3426"/>
      <c r="QNP9" s="3426"/>
      <c r="QNQ9" s="3426"/>
      <c r="QNR9" s="3426"/>
      <c r="QNS9" s="3426"/>
      <c r="QNT9" s="3426"/>
      <c r="QNU9" s="3426"/>
      <c r="QNV9" s="3426"/>
      <c r="QNW9" s="3426"/>
      <c r="QNX9" s="3426"/>
      <c r="QNY9" s="3426"/>
      <c r="QNZ9" s="3426"/>
      <c r="QOA9" s="3426"/>
      <c r="QOB9" s="3426"/>
      <c r="QOC9" s="3426"/>
      <c r="QOD9" s="3426"/>
      <c r="QOE9" s="3426"/>
      <c r="QOF9" s="3426"/>
      <c r="QOG9" s="3426"/>
      <c r="QOH9" s="3426"/>
      <c r="QOI9" s="3426"/>
      <c r="QOJ9" s="3426"/>
      <c r="QOK9" s="3426"/>
      <c r="QOL9" s="3426"/>
      <c r="QOM9" s="3426"/>
      <c r="QON9" s="3426"/>
      <c r="QOO9" s="3426"/>
      <c r="QOP9" s="3426"/>
      <c r="QOQ9" s="3426"/>
      <c r="QOR9" s="3426"/>
      <c r="QOS9" s="3426"/>
      <c r="QOT9" s="3426"/>
      <c r="QOU9" s="3426"/>
      <c r="QOV9" s="3426"/>
      <c r="QOW9" s="3426"/>
      <c r="QOX9" s="3426"/>
      <c r="QOY9" s="3426"/>
      <c r="QOZ9" s="3426"/>
      <c r="QPA9" s="3426"/>
      <c r="QPB9" s="3426"/>
      <c r="QPC9" s="3426"/>
      <c r="QPD9" s="3426"/>
      <c r="QPE9" s="3426"/>
      <c r="QPF9" s="3426"/>
      <c r="QPG9" s="3426"/>
      <c r="QPH9" s="3426"/>
      <c r="QPI9" s="3426"/>
      <c r="QPJ9" s="3426"/>
      <c r="QPK9" s="3426"/>
      <c r="QPL9" s="3426"/>
      <c r="QPM9" s="3426"/>
      <c r="QPN9" s="3426"/>
      <c r="QPO9" s="3426"/>
      <c r="QPP9" s="3426"/>
      <c r="QPQ9" s="3426"/>
      <c r="QPR9" s="3426"/>
      <c r="QPS9" s="3426"/>
      <c r="QPT9" s="3426"/>
      <c r="QPU9" s="3426"/>
      <c r="QPV9" s="3426"/>
      <c r="QPW9" s="3426"/>
      <c r="QPX9" s="3426"/>
      <c r="QPY9" s="3426"/>
      <c r="QPZ9" s="3426"/>
      <c r="QQA9" s="3426"/>
      <c r="QQB9" s="3426"/>
      <c r="QQC9" s="3426"/>
      <c r="QQD9" s="3426"/>
      <c r="QQE9" s="3426"/>
      <c r="QQF9" s="3426"/>
      <c r="QQG9" s="3426"/>
      <c r="QQH9" s="3426"/>
      <c r="QQI9" s="3426"/>
      <c r="QQJ9" s="3426"/>
      <c r="QQK9" s="3426"/>
      <c r="QQL9" s="3426"/>
      <c r="QQM9" s="3426"/>
      <c r="QQN9" s="3426"/>
      <c r="QQO9" s="3426"/>
      <c r="QQP9" s="3426"/>
      <c r="QQQ9" s="3426"/>
      <c r="QQR9" s="3426"/>
      <c r="QQS9" s="3426"/>
      <c r="QQT9" s="3426"/>
      <c r="QQU9" s="3426"/>
      <c r="QQV9" s="3426"/>
      <c r="QQW9" s="3426"/>
      <c r="QQX9" s="3426"/>
      <c r="QQY9" s="3426"/>
      <c r="QQZ9" s="3426"/>
      <c r="QRA9" s="3426"/>
      <c r="QRB9" s="3426"/>
      <c r="QRC9" s="3426"/>
      <c r="QRD9" s="3426"/>
      <c r="QRE9" s="3426"/>
      <c r="QRF9" s="3426"/>
      <c r="QRG9" s="3426"/>
      <c r="QRH9" s="3426"/>
      <c r="QRI9" s="3426"/>
      <c r="QRJ9" s="3426"/>
      <c r="QRK9" s="3426"/>
      <c r="QRL9" s="3426"/>
      <c r="QRM9" s="3426"/>
      <c r="QRN9" s="3426"/>
      <c r="QRO9" s="3426"/>
      <c r="QRP9" s="3426"/>
      <c r="QRQ9" s="3426"/>
      <c r="QRR9" s="3426"/>
      <c r="QRS9" s="3426"/>
      <c r="QRT9" s="3426"/>
      <c r="QRU9" s="3426"/>
      <c r="QRV9" s="3426"/>
      <c r="QRW9" s="3426"/>
      <c r="QRX9" s="3426"/>
      <c r="QRY9" s="3426"/>
      <c r="QRZ9" s="3426"/>
      <c r="QSA9" s="3426"/>
      <c r="QSB9" s="3426"/>
      <c r="QSC9" s="3426"/>
      <c r="QSD9" s="3426"/>
      <c r="QSE9" s="3426"/>
      <c r="QSF9" s="3426"/>
      <c r="QSG9" s="3426"/>
      <c r="QSH9" s="3426"/>
      <c r="QSI9" s="3426"/>
      <c r="QSJ9" s="3426"/>
      <c r="QSK9" s="3426"/>
      <c r="QSL9" s="3426"/>
      <c r="QSM9" s="3426"/>
      <c r="QSN9" s="3426"/>
      <c r="QSO9" s="3426"/>
      <c r="QSP9" s="3426"/>
      <c r="QSQ9" s="3426"/>
      <c r="QSR9" s="3426"/>
      <c r="QSS9" s="3426"/>
      <c r="QST9" s="3426"/>
      <c r="QSU9" s="3426"/>
      <c r="QSV9" s="3426"/>
      <c r="QSW9" s="3426"/>
      <c r="QSX9" s="3426"/>
      <c r="QSY9" s="3426"/>
      <c r="QSZ9" s="3426"/>
      <c r="QTA9" s="3426"/>
      <c r="QTB9" s="3426"/>
      <c r="QTC9" s="3426"/>
      <c r="QTD9" s="3426"/>
      <c r="QTE9" s="3426"/>
      <c r="QTF9" s="3426"/>
      <c r="QTG9" s="3426"/>
      <c r="QTH9" s="3426"/>
      <c r="QTI9" s="3426"/>
      <c r="QTJ9" s="3426"/>
      <c r="QTK9" s="3426"/>
      <c r="QTL9" s="3426"/>
      <c r="QTM9" s="3426"/>
      <c r="QTN9" s="3426"/>
      <c r="QTO9" s="3426"/>
      <c r="QTP9" s="3426"/>
      <c r="QTQ9" s="3426"/>
      <c r="QTR9" s="3426"/>
      <c r="QTS9" s="3426"/>
      <c r="QTT9" s="3426"/>
      <c r="QTU9" s="3426"/>
      <c r="QTV9" s="3426"/>
      <c r="QTW9" s="3426"/>
      <c r="QTX9" s="3426"/>
      <c r="QTY9" s="3426"/>
      <c r="QTZ9" s="3426"/>
      <c r="QUA9" s="3426"/>
      <c r="QUB9" s="3426"/>
      <c r="QUC9" s="3426"/>
      <c r="QUD9" s="3426"/>
      <c r="QUE9" s="3426"/>
      <c r="QUF9" s="3426"/>
      <c r="QUG9" s="3426"/>
      <c r="QUH9" s="3426"/>
      <c r="QUI9" s="3426"/>
      <c r="QUJ9" s="3426"/>
      <c r="QUK9" s="3426"/>
      <c r="QUL9" s="3426"/>
      <c r="QUM9" s="3426"/>
      <c r="QUN9" s="3426"/>
      <c r="QUO9" s="3426"/>
      <c r="QUP9" s="3426"/>
      <c r="QUQ9" s="3426"/>
      <c r="QUR9" s="3426"/>
      <c r="QUS9" s="3426"/>
      <c r="QUT9" s="3426"/>
      <c r="QUU9" s="3426"/>
      <c r="QUV9" s="3426"/>
      <c r="QUW9" s="3426"/>
      <c r="QUX9" s="3426"/>
      <c r="QUY9" s="3426"/>
      <c r="QUZ9" s="3426"/>
      <c r="QVA9" s="3426"/>
      <c r="QVB9" s="3426"/>
      <c r="QVC9" s="3426"/>
      <c r="QVD9" s="3426"/>
      <c r="QVE9" s="3426"/>
      <c r="QVF9" s="3426"/>
      <c r="QVG9" s="3426"/>
      <c r="QVH9" s="3426"/>
      <c r="QVI9" s="3426"/>
      <c r="QVJ9" s="3426"/>
      <c r="QVK9" s="3426"/>
      <c r="QVL9" s="3426"/>
      <c r="QVM9" s="3426"/>
      <c r="QVN9" s="3426"/>
      <c r="QVO9" s="3426"/>
      <c r="QVP9" s="3426"/>
      <c r="QVQ9" s="3426"/>
      <c r="QVR9" s="3426"/>
      <c r="QVS9" s="3426"/>
      <c r="QVT9" s="3426"/>
      <c r="QVU9" s="3426"/>
      <c r="QVV9" s="3426"/>
      <c r="QVW9" s="3426"/>
      <c r="QVX9" s="3426"/>
      <c r="QVY9" s="3426"/>
      <c r="QVZ9" s="3426"/>
      <c r="QWA9" s="3426"/>
      <c r="QWB9" s="3426"/>
      <c r="QWC9" s="3426"/>
      <c r="QWD9" s="3426"/>
      <c r="QWE9" s="3426"/>
      <c r="QWF9" s="3426"/>
      <c r="QWG9" s="3426"/>
      <c r="QWH9" s="3426"/>
      <c r="QWI9" s="3426"/>
      <c r="QWJ9" s="3426"/>
      <c r="QWK9" s="3426"/>
      <c r="QWL9" s="3426"/>
      <c r="QWM9" s="3426"/>
      <c r="QWN9" s="3426"/>
      <c r="QWO9" s="3426"/>
      <c r="QWP9" s="3426"/>
      <c r="QWQ9" s="3426"/>
      <c r="QWR9" s="3426"/>
      <c r="QWS9" s="3426"/>
      <c r="QWT9" s="3426"/>
      <c r="QWU9" s="3426"/>
      <c r="QWV9" s="3426"/>
      <c r="QWW9" s="3426"/>
      <c r="QWX9" s="3426"/>
      <c r="QWY9" s="3426"/>
      <c r="QWZ9" s="3426"/>
      <c r="QXA9" s="3426"/>
      <c r="QXB9" s="3426"/>
      <c r="QXC9" s="3426"/>
      <c r="QXD9" s="3426"/>
      <c r="QXE9" s="3426"/>
      <c r="QXF9" s="3426"/>
      <c r="QXG9" s="3426"/>
      <c r="QXH9" s="3426"/>
      <c r="QXI9" s="3426"/>
      <c r="QXJ9" s="3426"/>
      <c r="QXK9" s="3426"/>
      <c r="QXL9" s="3426"/>
      <c r="QXM9" s="3426"/>
      <c r="QXN9" s="3426"/>
      <c r="QXO9" s="3426"/>
      <c r="QXP9" s="3426"/>
      <c r="QXQ9" s="3426"/>
      <c r="QXR9" s="3426"/>
      <c r="QXS9" s="3426"/>
      <c r="QXT9" s="3426"/>
      <c r="QXU9" s="3426"/>
      <c r="QXV9" s="3426"/>
      <c r="QXW9" s="3426"/>
      <c r="QXX9" s="3426"/>
      <c r="QXY9" s="3426"/>
      <c r="QXZ9" s="3426"/>
      <c r="QYA9" s="3426"/>
      <c r="QYB9" s="3426"/>
      <c r="QYC9" s="3426"/>
      <c r="QYD9" s="3426"/>
      <c r="QYE9" s="3426"/>
      <c r="QYF9" s="3426"/>
      <c r="QYG9" s="3426"/>
      <c r="QYH9" s="3426"/>
      <c r="QYI9" s="3426"/>
      <c r="QYJ9" s="3426"/>
      <c r="QYK9" s="3426"/>
      <c r="QYL9" s="3426"/>
      <c r="QYM9" s="3426"/>
      <c r="QYN9" s="3426"/>
      <c r="QYO9" s="3426"/>
      <c r="QYP9" s="3426"/>
      <c r="QYQ9" s="3426"/>
      <c r="QYR9" s="3426"/>
      <c r="QYS9" s="3426"/>
      <c r="QYT9" s="3426"/>
      <c r="QYU9" s="3426"/>
      <c r="QYV9" s="3426"/>
      <c r="QYW9" s="3426"/>
      <c r="QYX9" s="3426"/>
      <c r="QYY9" s="3426"/>
      <c r="QYZ9" s="3426"/>
      <c r="QZA9" s="3426"/>
      <c r="QZB9" s="3426"/>
      <c r="QZC9" s="3426"/>
      <c r="QZD9" s="3426"/>
      <c r="QZE9" s="3426"/>
      <c r="QZF9" s="3426"/>
      <c r="QZG9" s="3426"/>
      <c r="QZH9" s="3426"/>
      <c r="QZI9" s="3426"/>
      <c r="QZJ9" s="3426"/>
      <c r="QZK9" s="3426"/>
      <c r="QZL9" s="3426"/>
      <c r="QZM9" s="3426"/>
      <c r="QZN9" s="3426"/>
      <c r="QZO9" s="3426"/>
      <c r="QZP9" s="3426"/>
      <c r="QZQ9" s="3426"/>
      <c r="QZR9" s="3426"/>
      <c r="QZS9" s="3426"/>
      <c r="QZT9" s="3426"/>
      <c r="QZU9" s="3426"/>
      <c r="QZV9" s="3426"/>
      <c r="QZW9" s="3426"/>
      <c r="QZX9" s="3426"/>
      <c r="QZY9" s="3426"/>
      <c r="QZZ9" s="3426"/>
      <c r="RAA9" s="3426"/>
      <c r="RAB9" s="3426"/>
      <c r="RAC9" s="3426"/>
      <c r="RAD9" s="3426"/>
      <c r="RAE9" s="3426"/>
      <c r="RAF9" s="3426"/>
      <c r="RAG9" s="3426"/>
      <c r="RAH9" s="3426"/>
      <c r="RAI9" s="3426"/>
      <c r="RAJ9" s="3426"/>
      <c r="RAK9" s="3426"/>
      <c r="RAL9" s="3426"/>
      <c r="RAM9" s="3426"/>
      <c r="RAN9" s="3426"/>
      <c r="RAO9" s="3426"/>
      <c r="RAP9" s="3426"/>
      <c r="RAQ9" s="3426"/>
      <c r="RAR9" s="3426"/>
      <c r="RAS9" s="3426"/>
      <c r="RAT9" s="3426"/>
      <c r="RAU9" s="3426"/>
      <c r="RAV9" s="3426"/>
      <c r="RAW9" s="3426"/>
      <c r="RAX9" s="3426"/>
      <c r="RAY9" s="3426"/>
      <c r="RAZ9" s="3426"/>
      <c r="RBA9" s="3426"/>
      <c r="RBB9" s="3426"/>
      <c r="RBC9" s="3426"/>
      <c r="RBD9" s="3426"/>
      <c r="RBE9" s="3426"/>
      <c r="RBF9" s="3426"/>
      <c r="RBG9" s="3426"/>
      <c r="RBH9" s="3426"/>
      <c r="RBI9" s="3426"/>
      <c r="RBJ9" s="3426"/>
      <c r="RBK9" s="3426"/>
      <c r="RBL9" s="3426"/>
      <c r="RBM9" s="3426"/>
      <c r="RBN9" s="3426"/>
      <c r="RBO9" s="3426"/>
      <c r="RBP9" s="3426"/>
      <c r="RBQ9" s="3426"/>
      <c r="RBR9" s="3426"/>
      <c r="RBS9" s="3426"/>
      <c r="RBT9" s="3426"/>
      <c r="RBU9" s="3426"/>
      <c r="RBV9" s="3426"/>
      <c r="RBW9" s="3426"/>
      <c r="RBX9" s="3426"/>
      <c r="RBY9" s="3426"/>
      <c r="RBZ9" s="3426"/>
      <c r="RCA9" s="3426"/>
      <c r="RCB9" s="3426"/>
      <c r="RCC9" s="3426"/>
      <c r="RCD9" s="3426"/>
      <c r="RCE9" s="3426"/>
      <c r="RCF9" s="3426"/>
      <c r="RCG9" s="3426"/>
      <c r="RCH9" s="3426"/>
      <c r="RCI9" s="3426"/>
      <c r="RCJ9" s="3426"/>
      <c r="RCK9" s="3426"/>
      <c r="RCL9" s="3426"/>
      <c r="RCM9" s="3426"/>
      <c r="RCN9" s="3426"/>
      <c r="RCO9" s="3426"/>
      <c r="RCP9" s="3426"/>
      <c r="RCQ9" s="3426"/>
      <c r="RCR9" s="3426"/>
      <c r="RCS9" s="3426"/>
      <c r="RCT9" s="3426"/>
      <c r="RCU9" s="3426"/>
      <c r="RCV9" s="3426"/>
      <c r="RCW9" s="3426"/>
      <c r="RCX9" s="3426"/>
      <c r="RCY9" s="3426"/>
      <c r="RCZ9" s="3426"/>
      <c r="RDA9" s="3426"/>
      <c r="RDB9" s="3426"/>
      <c r="RDC9" s="3426"/>
      <c r="RDD9" s="3426"/>
      <c r="RDE9" s="3426"/>
      <c r="RDF9" s="3426"/>
      <c r="RDG9" s="3426"/>
      <c r="RDH9" s="3426"/>
      <c r="RDI9" s="3426"/>
      <c r="RDJ9" s="3426"/>
      <c r="RDK9" s="3426"/>
      <c r="RDL9" s="3426"/>
      <c r="RDM9" s="3426"/>
      <c r="RDN9" s="3426"/>
      <c r="RDO9" s="3426"/>
      <c r="RDP9" s="3426"/>
      <c r="RDQ9" s="3426"/>
      <c r="RDR9" s="3426"/>
      <c r="RDS9" s="3426"/>
      <c r="RDT9" s="3426"/>
      <c r="RDU9" s="3426"/>
      <c r="RDV9" s="3426"/>
      <c r="RDW9" s="3426"/>
      <c r="RDX9" s="3426"/>
      <c r="RDY9" s="3426"/>
      <c r="RDZ9" s="3426"/>
      <c r="REA9" s="3426"/>
      <c r="REB9" s="3426"/>
      <c r="REC9" s="3426"/>
      <c r="RED9" s="3426"/>
      <c r="REE9" s="3426"/>
      <c r="REF9" s="3426"/>
      <c r="REG9" s="3426"/>
      <c r="REH9" s="3426"/>
      <c r="REI9" s="3426"/>
      <c r="REJ9" s="3426"/>
      <c r="REK9" s="3426"/>
      <c r="REL9" s="3426"/>
      <c r="REM9" s="3426"/>
      <c r="REN9" s="3426"/>
      <c r="REO9" s="3426"/>
      <c r="REP9" s="3426"/>
      <c r="REQ9" s="3426"/>
      <c r="RER9" s="3426"/>
      <c r="RES9" s="3426"/>
      <c r="RET9" s="3426"/>
      <c r="REU9" s="3426"/>
      <c r="REV9" s="3426"/>
      <c r="REW9" s="3426"/>
      <c r="REX9" s="3426"/>
      <c r="REY9" s="3426"/>
      <c r="REZ9" s="3426"/>
      <c r="RFA9" s="3426"/>
      <c r="RFB9" s="3426"/>
      <c r="RFC9" s="3426"/>
      <c r="RFD9" s="3426"/>
      <c r="RFE9" s="3426"/>
      <c r="RFF9" s="3426"/>
      <c r="RFG9" s="3426"/>
      <c r="RFH9" s="3426"/>
      <c r="RFI9" s="3426"/>
      <c r="RFJ9" s="3426"/>
      <c r="RFK9" s="3426"/>
      <c r="RFL9" s="3426"/>
      <c r="RFM9" s="3426"/>
      <c r="RFN9" s="3426"/>
      <c r="RFO9" s="3426"/>
      <c r="RFP9" s="3426"/>
      <c r="RFQ9" s="3426"/>
      <c r="RFR9" s="3426"/>
      <c r="RFS9" s="3426"/>
      <c r="RFT9" s="3426"/>
      <c r="RFU9" s="3426"/>
      <c r="RFV9" s="3426"/>
      <c r="RFW9" s="3426"/>
      <c r="RFX9" s="3426"/>
      <c r="RFY9" s="3426"/>
      <c r="RFZ9" s="3426"/>
      <c r="RGA9" s="3426"/>
      <c r="RGB9" s="3426"/>
      <c r="RGC9" s="3426"/>
      <c r="RGD9" s="3426"/>
      <c r="RGE9" s="3426"/>
      <c r="RGF9" s="3426"/>
      <c r="RGG9" s="3426"/>
      <c r="RGH9" s="3426"/>
      <c r="RGI9" s="3426"/>
      <c r="RGJ9" s="3426"/>
      <c r="RGK9" s="3426"/>
      <c r="RGL9" s="3426"/>
      <c r="RGM9" s="3426"/>
      <c r="RGN9" s="3426"/>
      <c r="RGO9" s="3426"/>
      <c r="RGP9" s="3426"/>
      <c r="RGQ9" s="3426"/>
      <c r="RGR9" s="3426"/>
      <c r="RGS9" s="3426"/>
      <c r="RGT9" s="3426"/>
      <c r="RGU9" s="3426"/>
      <c r="RGV9" s="3426"/>
      <c r="RGW9" s="3426"/>
      <c r="RGX9" s="3426"/>
      <c r="RGY9" s="3426"/>
      <c r="RGZ9" s="3426"/>
      <c r="RHA9" s="3426"/>
      <c r="RHB9" s="3426"/>
      <c r="RHC9" s="3426"/>
      <c r="RHD9" s="3426"/>
      <c r="RHE9" s="3426"/>
      <c r="RHF9" s="3426"/>
      <c r="RHG9" s="3426"/>
      <c r="RHH9" s="3426"/>
      <c r="RHI9" s="3426"/>
      <c r="RHJ9" s="3426"/>
      <c r="RHK9" s="3426"/>
      <c r="RHL9" s="3426"/>
      <c r="RHM9" s="3426"/>
      <c r="RHN9" s="3426"/>
      <c r="RHO9" s="3426"/>
      <c r="RHP9" s="3426"/>
      <c r="RHQ9" s="3426"/>
      <c r="RHR9" s="3426"/>
      <c r="RHS9" s="3426"/>
      <c r="RHT9" s="3426"/>
      <c r="RHU9" s="3426"/>
      <c r="RHV9" s="3426"/>
      <c r="RHW9" s="3426"/>
      <c r="RHX9" s="3426"/>
      <c r="RHY9" s="3426"/>
      <c r="RHZ9" s="3426"/>
      <c r="RIA9" s="3426"/>
      <c r="RIB9" s="3426"/>
      <c r="RIC9" s="3426"/>
      <c r="RID9" s="3426"/>
      <c r="RIE9" s="3426"/>
      <c r="RIF9" s="3426"/>
      <c r="RIG9" s="3426"/>
      <c r="RIH9" s="3426"/>
      <c r="RII9" s="3426"/>
      <c r="RIJ9" s="3426"/>
      <c r="RIK9" s="3426"/>
      <c r="RIL9" s="3426"/>
      <c r="RIM9" s="3426"/>
      <c r="RIN9" s="3426"/>
      <c r="RIO9" s="3426"/>
      <c r="RIP9" s="3426"/>
      <c r="RIQ9" s="3426"/>
      <c r="RIR9" s="3426"/>
      <c r="RIS9" s="3426"/>
      <c r="RIT9" s="3426"/>
      <c r="RIU9" s="3426"/>
      <c r="RIV9" s="3426"/>
      <c r="RIW9" s="3426"/>
      <c r="RIX9" s="3426"/>
      <c r="RIY9" s="3426"/>
      <c r="RIZ9" s="3426"/>
      <c r="RJA9" s="3426"/>
      <c r="RJB9" s="3426"/>
      <c r="RJC9" s="3426"/>
      <c r="RJD9" s="3426"/>
      <c r="RJE9" s="3426"/>
      <c r="RJF9" s="3426"/>
      <c r="RJG9" s="3426"/>
      <c r="RJH9" s="3426"/>
      <c r="RJI9" s="3426"/>
      <c r="RJJ9" s="3426"/>
      <c r="RJK9" s="3426"/>
      <c r="RJL9" s="3426"/>
      <c r="RJM9" s="3426"/>
      <c r="RJN9" s="3426"/>
      <c r="RJO9" s="3426"/>
      <c r="RJP9" s="3426"/>
      <c r="RJQ9" s="3426"/>
      <c r="RJR9" s="3426"/>
      <c r="RJS9" s="3426"/>
      <c r="RJT9" s="3426"/>
      <c r="RJU9" s="3426"/>
      <c r="RJV9" s="3426"/>
      <c r="RJW9" s="3426"/>
      <c r="RJX9" s="3426"/>
      <c r="RJY9" s="3426"/>
      <c r="RJZ9" s="3426"/>
      <c r="RKA9" s="3426"/>
      <c r="RKB9" s="3426"/>
      <c r="RKC9" s="3426"/>
      <c r="RKD9" s="3426"/>
      <c r="RKE9" s="3426"/>
      <c r="RKF9" s="3426"/>
      <c r="RKG9" s="3426"/>
      <c r="RKH9" s="3426"/>
      <c r="RKI9" s="3426"/>
      <c r="RKJ9" s="3426"/>
      <c r="RKK9" s="3426"/>
      <c r="RKL9" s="3426"/>
      <c r="RKM9" s="3426"/>
      <c r="RKN9" s="3426"/>
      <c r="RKO9" s="3426"/>
      <c r="RKP9" s="3426"/>
      <c r="RKQ9" s="3426"/>
      <c r="RKR9" s="3426"/>
      <c r="RKS9" s="3426"/>
      <c r="RKT9" s="3426"/>
      <c r="RKU9" s="3426"/>
      <c r="RKV9" s="3426"/>
      <c r="RKW9" s="3426"/>
      <c r="RKX9" s="3426"/>
      <c r="RKY9" s="3426"/>
      <c r="RKZ9" s="3426"/>
      <c r="RLA9" s="3426"/>
      <c r="RLB9" s="3426"/>
      <c r="RLC9" s="3426"/>
      <c r="RLD9" s="3426"/>
      <c r="RLE9" s="3426"/>
      <c r="RLF9" s="3426"/>
      <c r="RLG9" s="3426"/>
      <c r="RLH9" s="3426"/>
      <c r="RLI9" s="3426"/>
      <c r="RLJ9" s="3426"/>
      <c r="RLK9" s="3426"/>
      <c r="RLL9" s="3426"/>
      <c r="RLM9" s="3426"/>
      <c r="RLN9" s="3426"/>
      <c r="RLO9" s="3426"/>
      <c r="RLP9" s="3426"/>
      <c r="RLQ9" s="3426"/>
      <c r="RLR9" s="3426"/>
      <c r="RLS9" s="3426"/>
      <c r="RLT9" s="3426"/>
      <c r="RLU9" s="3426"/>
      <c r="RLV9" s="3426"/>
      <c r="RLW9" s="3426"/>
      <c r="RLX9" s="3426"/>
      <c r="RLY9" s="3426"/>
      <c r="RLZ9" s="3426"/>
      <c r="RMA9" s="3426"/>
      <c r="RMB9" s="3426"/>
      <c r="RMC9" s="3426"/>
      <c r="RMD9" s="3426"/>
      <c r="RME9" s="3426"/>
      <c r="RMF9" s="3426"/>
      <c r="RMG9" s="3426"/>
      <c r="RMH9" s="3426"/>
      <c r="RMI9" s="3426"/>
      <c r="RMJ9" s="3426"/>
      <c r="RMK9" s="3426"/>
      <c r="RML9" s="3426"/>
      <c r="RMM9" s="3426"/>
      <c r="RMN9" s="3426"/>
      <c r="RMO9" s="3426"/>
      <c r="RMP9" s="3426"/>
      <c r="RMQ9" s="3426"/>
      <c r="RMR9" s="3426"/>
      <c r="RMS9" s="3426"/>
      <c r="RMT9" s="3426"/>
      <c r="RMU9" s="3426"/>
      <c r="RMV9" s="3426"/>
      <c r="RMW9" s="3426"/>
      <c r="RMX9" s="3426"/>
      <c r="RMY9" s="3426"/>
      <c r="RMZ9" s="3426"/>
      <c r="RNA9" s="3426"/>
      <c r="RNB9" s="3426"/>
      <c r="RNC9" s="3426"/>
      <c r="RND9" s="3426"/>
      <c r="RNE9" s="3426"/>
      <c r="RNF9" s="3426"/>
      <c r="RNG9" s="3426"/>
      <c r="RNH9" s="3426"/>
      <c r="RNI9" s="3426"/>
      <c r="RNJ9" s="3426"/>
      <c r="RNK9" s="3426"/>
      <c r="RNL9" s="3426"/>
      <c r="RNM9" s="3426"/>
      <c r="RNN9" s="3426"/>
      <c r="RNO9" s="3426"/>
      <c r="RNP9" s="3426"/>
      <c r="RNQ9" s="3426"/>
      <c r="RNR9" s="3426"/>
      <c r="RNS9" s="3426"/>
      <c r="RNT9" s="3426"/>
      <c r="RNU9" s="3426"/>
      <c r="RNV9" s="3426"/>
      <c r="RNW9" s="3426"/>
      <c r="RNX9" s="3426"/>
      <c r="RNY9" s="3426"/>
      <c r="RNZ9" s="3426"/>
      <c r="ROA9" s="3426"/>
      <c r="ROB9" s="3426"/>
      <c r="ROC9" s="3426"/>
      <c r="ROD9" s="3426"/>
      <c r="ROE9" s="3426"/>
      <c r="ROF9" s="3426"/>
      <c r="ROG9" s="3426"/>
      <c r="ROH9" s="3426"/>
      <c r="ROI9" s="3426"/>
      <c r="ROJ9" s="3426"/>
      <c r="ROK9" s="3426"/>
      <c r="ROL9" s="3426"/>
      <c r="ROM9" s="3426"/>
      <c r="RON9" s="3426"/>
      <c r="ROO9" s="3426"/>
      <c r="ROP9" s="3426"/>
      <c r="ROQ9" s="3426"/>
      <c r="ROR9" s="3426"/>
      <c r="ROS9" s="3426"/>
      <c r="ROT9" s="3426"/>
      <c r="ROU9" s="3426"/>
      <c r="ROV9" s="3426"/>
      <c r="ROW9" s="3426"/>
      <c r="ROX9" s="3426"/>
      <c r="ROY9" s="3426"/>
      <c r="ROZ9" s="3426"/>
      <c r="RPA9" s="3426"/>
      <c r="RPB9" s="3426"/>
      <c r="RPC9" s="3426"/>
      <c r="RPD9" s="3426"/>
      <c r="RPE9" s="3426"/>
      <c r="RPF9" s="3426"/>
      <c r="RPG9" s="3426"/>
      <c r="RPH9" s="3426"/>
      <c r="RPI9" s="3426"/>
      <c r="RPJ9" s="3426"/>
      <c r="RPK9" s="3426"/>
      <c r="RPL9" s="3426"/>
      <c r="RPM9" s="3426"/>
      <c r="RPN9" s="3426"/>
      <c r="RPO9" s="3426"/>
      <c r="RPP9" s="3426"/>
      <c r="RPQ9" s="3426"/>
      <c r="RPR9" s="3426"/>
      <c r="RPS9" s="3426"/>
      <c r="RPT9" s="3426"/>
      <c r="RPU9" s="3426"/>
      <c r="RPV9" s="3426"/>
      <c r="RPW9" s="3426"/>
      <c r="RPX9" s="3426"/>
      <c r="RPY9" s="3426"/>
      <c r="RPZ9" s="3426"/>
      <c r="RQA9" s="3426"/>
      <c r="RQB9" s="3426"/>
      <c r="RQC9" s="3426"/>
      <c r="RQD9" s="3426"/>
      <c r="RQE9" s="3426"/>
      <c r="RQF9" s="3426"/>
      <c r="RQG9" s="3426"/>
      <c r="RQH9" s="3426"/>
      <c r="RQI9" s="3426"/>
      <c r="RQJ9" s="3426"/>
      <c r="RQK9" s="3426"/>
      <c r="RQL9" s="3426"/>
      <c r="RQM9" s="3426"/>
      <c r="RQN9" s="3426"/>
      <c r="RQO9" s="3426"/>
      <c r="RQP9" s="3426"/>
      <c r="RQQ9" s="3426"/>
      <c r="RQR9" s="3426"/>
      <c r="RQS9" s="3426"/>
      <c r="RQT9" s="3426"/>
      <c r="RQU9" s="3426"/>
      <c r="RQV9" s="3426"/>
      <c r="RQW9" s="3426"/>
      <c r="RQX9" s="3426"/>
      <c r="RQY9" s="3426"/>
      <c r="RQZ9" s="3426"/>
      <c r="RRA9" s="3426"/>
      <c r="RRB9" s="3426"/>
      <c r="RRC9" s="3426"/>
      <c r="RRD9" s="3426"/>
      <c r="RRE9" s="3426"/>
      <c r="RRF9" s="3426"/>
      <c r="RRG9" s="3426"/>
      <c r="RRH9" s="3426"/>
      <c r="RRI9" s="3426"/>
      <c r="RRJ9" s="3426"/>
      <c r="RRK9" s="3426"/>
      <c r="RRL9" s="3426"/>
      <c r="RRM9" s="3426"/>
      <c r="RRN9" s="3426"/>
      <c r="RRO9" s="3426"/>
      <c r="RRP9" s="3426"/>
      <c r="RRQ9" s="3426"/>
      <c r="RRR9" s="3426"/>
      <c r="RRS9" s="3426"/>
      <c r="RRT9" s="3426"/>
      <c r="RRU9" s="3426"/>
      <c r="RRV9" s="3426"/>
      <c r="RRW9" s="3426"/>
      <c r="RRX9" s="3426"/>
      <c r="RRY9" s="3426"/>
      <c r="RRZ9" s="3426"/>
      <c r="RSA9" s="3426"/>
      <c r="RSB9" s="3426"/>
      <c r="RSC9" s="3426"/>
      <c r="RSD9" s="3426"/>
      <c r="RSE9" s="3426"/>
      <c r="RSF9" s="3426"/>
      <c r="RSG9" s="3426"/>
      <c r="RSH9" s="3426"/>
      <c r="RSI9" s="3426"/>
      <c r="RSJ9" s="3426"/>
      <c r="RSK9" s="3426"/>
      <c r="RSL9" s="3426"/>
      <c r="RSM9" s="3426"/>
      <c r="RSN9" s="3426"/>
      <c r="RSO9" s="3426"/>
      <c r="RSP9" s="3426"/>
      <c r="RSQ9" s="3426"/>
      <c r="RSR9" s="3426"/>
      <c r="RSS9" s="3426"/>
      <c r="RST9" s="3426"/>
      <c r="RSU9" s="3426"/>
      <c r="RSV9" s="3426"/>
      <c r="RSW9" s="3426"/>
      <c r="RSX9" s="3426"/>
      <c r="RSY9" s="3426"/>
      <c r="RSZ9" s="3426"/>
      <c r="RTA9" s="3426"/>
      <c r="RTB9" s="3426"/>
      <c r="RTC9" s="3426"/>
      <c r="RTD9" s="3426"/>
      <c r="RTE9" s="3426"/>
      <c r="RTF9" s="3426"/>
      <c r="RTG9" s="3426"/>
      <c r="RTH9" s="3426"/>
      <c r="RTI9" s="3426"/>
      <c r="RTJ9" s="3426"/>
      <c r="RTK9" s="3426"/>
      <c r="RTL9" s="3426"/>
      <c r="RTM9" s="3426"/>
      <c r="RTN9" s="3426"/>
      <c r="RTO9" s="3426"/>
      <c r="RTP9" s="3426"/>
      <c r="RTQ9" s="3426"/>
      <c r="RTR9" s="3426"/>
      <c r="RTS9" s="3426"/>
      <c r="RTT9" s="3426"/>
      <c r="RTU9" s="3426"/>
      <c r="RTV9" s="3426"/>
      <c r="RTW9" s="3426"/>
      <c r="RTX9" s="3426"/>
      <c r="RTY9" s="3426"/>
      <c r="RTZ9" s="3426"/>
      <c r="RUA9" s="3426"/>
      <c r="RUB9" s="3426"/>
      <c r="RUC9" s="3426"/>
      <c r="RUD9" s="3426"/>
      <c r="RUE9" s="3426"/>
      <c r="RUF9" s="3426"/>
      <c r="RUG9" s="3426"/>
      <c r="RUH9" s="3426"/>
      <c r="RUI9" s="3426"/>
      <c r="RUJ9" s="3426"/>
      <c r="RUK9" s="3426"/>
      <c r="RUL9" s="3426"/>
      <c r="RUM9" s="3426"/>
      <c r="RUN9" s="3426"/>
      <c r="RUO9" s="3426"/>
      <c r="RUP9" s="3426"/>
      <c r="RUQ9" s="3426"/>
      <c r="RUR9" s="3426"/>
      <c r="RUS9" s="3426"/>
      <c r="RUT9" s="3426"/>
      <c r="RUU9" s="3426"/>
      <c r="RUV9" s="3426"/>
      <c r="RUW9" s="3426"/>
      <c r="RUX9" s="3426"/>
      <c r="RUY9" s="3426"/>
      <c r="RUZ9" s="3426"/>
      <c r="RVA9" s="3426"/>
      <c r="RVB9" s="3426"/>
      <c r="RVC9" s="3426"/>
      <c r="RVD9" s="3426"/>
      <c r="RVE9" s="3426"/>
      <c r="RVF9" s="3426"/>
      <c r="RVG9" s="3426"/>
      <c r="RVH9" s="3426"/>
      <c r="RVI9" s="3426"/>
      <c r="RVJ9" s="3426"/>
      <c r="RVK9" s="3426"/>
      <c r="RVL9" s="3426"/>
      <c r="RVM9" s="3426"/>
      <c r="RVN9" s="3426"/>
      <c r="RVO9" s="3426"/>
      <c r="RVP9" s="3426"/>
      <c r="RVQ9" s="3426"/>
      <c r="RVR9" s="3426"/>
      <c r="RVS9" s="3426"/>
      <c r="RVT9" s="3426"/>
      <c r="RVU9" s="3426"/>
      <c r="RVV9" s="3426"/>
      <c r="RVW9" s="3426"/>
      <c r="RVX9" s="3426"/>
      <c r="RVY9" s="3426"/>
      <c r="RVZ9" s="3426"/>
      <c r="RWA9" s="3426"/>
      <c r="RWB9" s="3426"/>
      <c r="RWC9" s="3426"/>
      <c r="RWD9" s="3426"/>
      <c r="RWE9" s="3426"/>
      <c r="RWF9" s="3426"/>
      <c r="RWG9" s="3426"/>
      <c r="RWH9" s="3426"/>
      <c r="RWI9" s="3426"/>
      <c r="RWJ9" s="3426"/>
      <c r="RWK9" s="3426"/>
      <c r="RWL9" s="3426"/>
      <c r="RWM9" s="3426"/>
      <c r="RWN9" s="3426"/>
      <c r="RWO9" s="3426"/>
      <c r="RWP9" s="3426"/>
      <c r="RWQ9" s="3426"/>
      <c r="RWR9" s="3426"/>
      <c r="RWS9" s="3426"/>
      <c r="RWT9" s="3426"/>
      <c r="RWU9" s="3426"/>
      <c r="RWV9" s="3426"/>
      <c r="RWW9" s="3426"/>
      <c r="RWX9" s="3426"/>
      <c r="RWY9" s="3426"/>
      <c r="RWZ9" s="3426"/>
      <c r="RXA9" s="3426"/>
      <c r="RXB9" s="3426"/>
      <c r="RXC9" s="3426"/>
      <c r="RXD9" s="3426"/>
      <c r="RXE9" s="3426"/>
      <c r="RXF9" s="3426"/>
      <c r="RXG9" s="3426"/>
      <c r="RXH9" s="3426"/>
      <c r="RXI9" s="3426"/>
      <c r="RXJ9" s="3426"/>
      <c r="RXK9" s="3426"/>
      <c r="RXL9" s="3426"/>
      <c r="RXM9" s="3426"/>
      <c r="RXN9" s="3426"/>
      <c r="RXO9" s="3426"/>
      <c r="RXP9" s="3426"/>
      <c r="RXQ9" s="3426"/>
      <c r="RXR9" s="3426"/>
      <c r="RXS9" s="3426"/>
      <c r="RXT9" s="3426"/>
      <c r="RXU9" s="3426"/>
      <c r="RXV9" s="3426"/>
      <c r="RXW9" s="3426"/>
      <c r="RXX9" s="3426"/>
      <c r="RXY9" s="3426"/>
      <c r="RXZ9" s="3426"/>
      <c r="RYA9" s="3426"/>
      <c r="RYB9" s="3426"/>
      <c r="RYC9" s="3426"/>
      <c r="RYD9" s="3426"/>
      <c r="RYE9" s="3426"/>
      <c r="RYF9" s="3426"/>
      <c r="RYG9" s="3426"/>
      <c r="RYH9" s="3426"/>
      <c r="RYI9" s="3426"/>
      <c r="RYJ9" s="3426"/>
      <c r="RYK9" s="3426"/>
      <c r="RYL9" s="3426"/>
      <c r="RYM9" s="3426"/>
      <c r="RYN9" s="3426"/>
      <c r="RYO9" s="3426"/>
      <c r="RYP9" s="3426"/>
      <c r="RYQ9" s="3426"/>
      <c r="RYR9" s="3426"/>
      <c r="RYS9" s="3426"/>
      <c r="RYT9" s="3426"/>
      <c r="RYU9" s="3426"/>
      <c r="RYV9" s="3426"/>
      <c r="RYW9" s="3426"/>
      <c r="RYX9" s="3426"/>
      <c r="RYY9" s="3426"/>
      <c r="RYZ9" s="3426"/>
      <c r="RZA9" s="3426"/>
      <c r="RZB9" s="3426"/>
      <c r="RZC9" s="3426"/>
      <c r="RZD9" s="3426"/>
      <c r="RZE9" s="3426"/>
      <c r="RZF9" s="3426"/>
      <c r="RZG9" s="3426"/>
      <c r="RZH9" s="3426"/>
      <c r="RZI9" s="3426"/>
      <c r="RZJ9" s="3426"/>
      <c r="RZK9" s="3426"/>
      <c r="RZL9" s="3426"/>
      <c r="RZM9" s="3426"/>
      <c r="RZN9" s="3426"/>
      <c r="RZO9" s="3426"/>
      <c r="RZP9" s="3426"/>
      <c r="RZQ9" s="3426"/>
      <c r="RZR9" s="3426"/>
      <c r="RZS9" s="3426"/>
      <c r="RZT9" s="3426"/>
      <c r="RZU9" s="3426"/>
      <c r="RZV9" s="3426"/>
      <c r="RZW9" s="3426"/>
      <c r="RZX9" s="3426"/>
      <c r="RZY9" s="3426"/>
      <c r="RZZ9" s="3426"/>
      <c r="SAA9" s="3426"/>
      <c r="SAB9" s="3426"/>
      <c r="SAC9" s="3426"/>
      <c r="SAD9" s="3426"/>
      <c r="SAE9" s="3426"/>
      <c r="SAF9" s="3426"/>
      <c r="SAG9" s="3426"/>
      <c r="SAH9" s="3426"/>
      <c r="SAI9" s="3426"/>
      <c r="SAJ9" s="3426"/>
      <c r="SAK9" s="3426"/>
      <c r="SAL9" s="3426"/>
      <c r="SAM9" s="3426"/>
      <c r="SAN9" s="3426"/>
      <c r="SAO9" s="3426"/>
      <c r="SAP9" s="3426"/>
      <c r="SAQ9" s="3426"/>
      <c r="SAR9" s="3426"/>
      <c r="SAS9" s="3426"/>
      <c r="SAT9" s="3426"/>
      <c r="SAU9" s="3426"/>
      <c r="SAV9" s="3426"/>
      <c r="SAW9" s="3426"/>
      <c r="SAX9" s="3426"/>
      <c r="SAY9" s="3426"/>
      <c r="SAZ9" s="3426"/>
      <c r="SBA9" s="3426"/>
      <c r="SBB9" s="3426"/>
      <c r="SBC9" s="3426"/>
      <c r="SBD9" s="3426"/>
      <c r="SBE9" s="3426"/>
      <c r="SBF9" s="3426"/>
      <c r="SBG9" s="3426"/>
      <c r="SBH9" s="3426"/>
      <c r="SBI9" s="3426"/>
      <c r="SBJ9" s="3426"/>
      <c r="SBK9" s="3426"/>
      <c r="SBL9" s="3426"/>
      <c r="SBM9" s="3426"/>
      <c r="SBN9" s="3426"/>
      <c r="SBO9" s="3426"/>
      <c r="SBP9" s="3426"/>
      <c r="SBQ9" s="3426"/>
      <c r="SBR9" s="3426"/>
      <c r="SBS9" s="3426"/>
      <c r="SBT9" s="3426"/>
      <c r="SBU9" s="3426"/>
      <c r="SBV9" s="3426"/>
      <c r="SBW9" s="3426"/>
      <c r="SBX9" s="3426"/>
      <c r="SBY9" s="3426"/>
      <c r="SBZ9" s="3426"/>
      <c r="SCA9" s="3426"/>
      <c r="SCB9" s="3426"/>
      <c r="SCC9" s="3426"/>
      <c r="SCD9" s="3426"/>
      <c r="SCE9" s="3426"/>
      <c r="SCF9" s="3426"/>
      <c r="SCG9" s="3426"/>
      <c r="SCH9" s="3426"/>
      <c r="SCI9" s="3426"/>
      <c r="SCJ9" s="3426"/>
      <c r="SCK9" s="3426"/>
      <c r="SCL9" s="3426"/>
      <c r="SCM9" s="3426"/>
      <c r="SCN9" s="3426"/>
      <c r="SCO9" s="3426"/>
      <c r="SCP9" s="3426"/>
      <c r="SCQ9" s="3426"/>
      <c r="SCR9" s="3426"/>
      <c r="SCS9" s="3426"/>
      <c r="SCT9" s="3426"/>
      <c r="SCU9" s="3426"/>
      <c r="SCV9" s="3426"/>
      <c r="SCW9" s="3426"/>
      <c r="SCX9" s="3426"/>
      <c r="SCY9" s="3426"/>
      <c r="SCZ9" s="3426"/>
      <c r="SDA9" s="3426"/>
      <c r="SDB9" s="3426"/>
      <c r="SDC9" s="3426"/>
      <c r="SDD9" s="3426"/>
      <c r="SDE9" s="3426"/>
      <c r="SDF9" s="3426"/>
      <c r="SDG9" s="3426"/>
      <c r="SDH9" s="3426"/>
      <c r="SDI9" s="3426"/>
      <c r="SDJ9" s="3426"/>
      <c r="SDK9" s="3426"/>
      <c r="SDL9" s="3426"/>
      <c r="SDM9" s="3426"/>
      <c r="SDN9" s="3426"/>
      <c r="SDO9" s="3426"/>
      <c r="SDP9" s="3426"/>
      <c r="SDQ9" s="3426"/>
      <c r="SDR9" s="3426"/>
      <c r="SDS9" s="3426"/>
      <c r="SDT9" s="3426"/>
      <c r="SDU9" s="3426"/>
      <c r="SDV9" s="3426"/>
      <c r="SDW9" s="3426"/>
      <c r="SDX9" s="3426"/>
      <c r="SDY9" s="3426"/>
      <c r="SDZ9" s="3426"/>
      <c r="SEA9" s="3426"/>
      <c r="SEB9" s="3426"/>
      <c r="SEC9" s="3426"/>
      <c r="SED9" s="3426"/>
      <c r="SEE9" s="3426"/>
      <c r="SEF9" s="3426"/>
      <c r="SEG9" s="3426"/>
      <c r="SEH9" s="3426"/>
      <c r="SEI9" s="3426"/>
      <c r="SEJ9" s="3426"/>
      <c r="SEK9" s="3426"/>
      <c r="SEL9" s="3426"/>
      <c r="SEM9" s="3426"/>
      <c r="SEN9" s="3426"/>
      <c r="SEO9" s="3426"/>
      <c r="SEP9" s="3426"/>
      <c r="SEQ9" s="3426"/>
      <c r="SER9" s="3426"/>
      <c r="SES9" s="3426"/>
      <c r="SET9" s="3426"/>
      <c r="SEU9" s="3426"/>
      <c r="SEV9" s="3426"/>
      <c r="SEW9" s="3426"/>
      <c r="SEX9" s="3426"/>
      <c r="SEY9" s="3426"/>
      <c r="SEZ9" s="3426"/>
      <c r="SFA9" s="3426"/>
      <c r="SFB9" s="3426"/>
      <c r="SFC9" s="3426"/>
      <c r="SFD9" s="3426"/>
      <c r="SFE9" s="3426"/>
      <c r="SFF9" s="3426"/>
      <c r="SFG9" s="3426"/>
      <c r="SFH9" s="3426"/>
      <c r="SFI9" s="3426"/>
      <c r="SFJ9" s="3426"/>
      <c r="SFK9" s="3426"/>
      <c r="SFL9" s="3426"/>
      <c r="SFM9" s="3426"/>
      <c r="SFN9" s="3426"/>
      <c r="SFO9" s="3426"/>
      <c r="SFP9" s="3426"/>
      <c r="SFQ9" s="3426"/>
      <c r="SFR9" s="3426"/>
      <c r="SFS9" s="3426"/>
      <c r="SFT9" s="3426"/>
      <c r="SFU9" s="3426"/>
      <c r="SFV9" s="3426"/>
      <c r="SFW9" s="3426"/>
      <c r="SFX9" s="3426"/>
      <c r="SFY9" s="3426"/>
      <c r="SFZ9" s="3426"/>
      <c r="SGA9" s="3426"/>
      <c r="SGB9" s="3426"/>
      <c r="SGC9" s="3426"/>
      <c r="SGD9" s="3426"/>
      <c r="SGE9" s="3426"/>
      <c r="SGF9" s="3426"/>
      <c r="SGG9" s="3426"/>
      <c r="SGH9" s="3426"/>
      <c r="SGI9" s="3426"/>
      <c r="SGJ9" s="3426"/>
      <c r="SGK9" s="3426"/>
      <c r="SGL9" s="3426"/>
      <c r="SGM9" s="3426"/>
      <c r="SGN9" s="3426"/>
      <c r="SGO9" s="3426"/>
      <c r="SGP9" s="3426"/>
      <c r="SGQ9" s="3426"/>
      <c r="SGR9" s="3426"/>
      <c r="SGS9" s="3426"/>
      <c r="SGT9" s="3426"/>
      <c r="SGU9" s="3426"/>
      <c r="SGV9" s="3426"/>
      <c r="SGW9" s="3426"/>
      <c r="SGX9" s="3426"/>
      <c r="SGY9" s="3426"/>
      <c r="SGZ9" s="3426"/>
      <c r="SHA9" s="3426"/>
      <c r="SHB9" s="3426"/>
      <c r="SHC9" s="3426"/>
      <c r="SHD9" s="3426"/>
      <c r="SHE9" s="3426"/>
      <c r="SHF9" s="3426"/>
      <c r="SHG9" s="3426"/>
      <c r="SHH9" s="3426"/>
      <c r="SHI9" s="3426"/>
      <c r="SHJ9" s="3426"/>
      <c r="SHK9" s="3426"/>
      <c r="SHL9" s="3426"/>
      <c r="SHM9" s="3426"/>
      <c r="SHN9" s="3426"/>
      <c r="SHO9" s="3426"/>
      <c r="SHP9" s="3426"/>
      <c r="SHQ9" s="3426"/>
      <c r="SHR9" s="3426"/>
      <c r="SHS9" s="3426"/>
      <c r="SHT9" s="3426"/>
      <c r="SHU9" s="3426"/>
      <c r="SHV9" s="3426"/>
      <c r="SHW9" s="3426"/>
      <c r="SHX9" s="3426"/>
      <c r="SHY9" s="3426"/>
      <c r="SHZ9" s="3426"/>
      <c r="SIA9" s="3426"/>
      <c r="SIB9" s="3426"/>
      <c r="SIC9" s="3426"/>
      <c r="SID9" s="3426"/>
      <c r="SIE9" s="3426"/>
      <c r="SIF9" s="3426"/>
      <c r="SIG9" s="3426"/>
      <c r="SIH9" s="3426"/>
      <c r="SII9" s="3426"/>
      <c r="SIJ9" s="3426"/>
      <c r="SIK9" s="3426"/>
      <c r="SIL9" s="3426"/>
      <c r="SIM9" s="3426"/>
      <c r="SIN9" s="3426"/>
      <c r="SIO9" s="3426"/>
      <c r="SIP9" s="3426"/>
      <c r="SIQ9" s="3426"/>
      <c r="SIR9" s="3426"/>
      <c r="SIS9" s="3426"/>
      <c r="SIT9" s="3426"/>
      <c r="SIU9" s="3426"/>
      <c r="SIV9" s="3426"/>
      <c r="SIW9" s="3426"/>
      <c r="SIX9" s="3426"/>
      <c r="SIY9" s="3426"/>
      <c r="SIZ9" s="3426"/>
      <c r="SJA9" s="3426"/>
      <c r="SJB9" s="3426"/>
      <c r="SJC9" s="3426"/>
      <c r="SJD9" s="3426"/>
      <c r="SJE9" s="3426"/>
      <c r="SJF9" s="3426"/>
      <c r="SJG9" s="3426"/>
      <c r="SJH9" s="3426"/>
      <c r="SJI9" s="3426"/>
      <c r="SJJ9" s="3426"/>
      <c r="SJK9" s="3426"/>
      <c r="SJL9" s="3426"/>
      <c r="SJM9" s="3426"/>
      <c r="SJN9" s="3426"/>
      <c r="SJO9" s="3426"/>
      <c r="SJP9" s="3426"/>
      <c r="SJQ9" s="3426"/>
      <c r="SJR9" s="3426"/>
      <c r="SJS9" s="3426"/>
      <c r="SJT9" s="3426"/>
      <c r="SJU9" s="3426"/>
      <c r="SJV9" s="3426"/>
      <c r="SJW9" s="3426"/>
      <c r="SJX9" s="3426"/>
      <c r="SJY9" s="3426"/>
      <c r="SJZ9" s="3426"/>
      <c r="SKA9" s="3426"/>
      <c r="SKB9" s="3426"/>
      <c r="SKC9" s="3426"/>
      <c r="SKD9" s="3426"/>
      <c r="SKE9" s="3426"/>
      <c r="SKF9" s="3426"/>
      <c r="SKG9" s="3426"/>
      <c r="SKH9" s="3426"/>
      <c r="SKI9" s="3426"/>
      <c r="SKJ9" s="3426"/>
      <c r="SKK9" s="3426"/>
      <c r="SKL9" s="3426"/>
      <c r="SKM9" s="3426"/>
      <c r="SKN9" s="3426"/>
      <c r="SKO9" s="3426"/>
      <c r="SKP9" s="3426"/>
      <c r="SKQ9" s="3426"/>
      <c r="SKR9" s="3426"/>
      <c r="SKS9" s="3426"/>
      <c r="SKT9" s="3426"/>
      <c r="SKU9" s="3426"/>
      <c r="SKV9" s="3426"/>
      <c r="SKW9" s="3426"/>
      <c r="SKX9" s="3426"/>
      <c r="SKY9" s="3426"/>
      <c r="SKZ9" s="3426"/>
      <c r="SLA9" s="3426"/>
      <c r="SLB9" s="3426"/>
      <c r="SLC9" s="3426"/>
      <c r="SLD9" s="3426"/>
      <c r="SLE9" s="3426"/>
      <c r="SLF9" s="3426"/>
      <c r="SLG9" s="3426"/>
      <c r="SLH9" s="3426"/>
      <c r="SLI9" s="3426"/>
      <c r="SLJ9" s="3426"/>
      <c r="SLK9" s="3426"/>
      <c r="SLL9" s="3426"/>
      <c r="SLM9" s="3426"/>
      <c r="SLN9" s="3426"/>
      <c r="SLO9" s="3426"/>
      <c r="SLP9" s="3426"/>
      <c r="SLQ9" s="3426"/>
      <c r="SLR9" s="3426"/>
      <c r="SLS9" s="3426"/>
      <c r="SLT9" s="3426"/>
      <c r="SLU9" s="3426"/>
      <c r="SLV9" s="3426"/>
      <c r="SLW9" s="3426"/>
      <c r="SLX9" s="3426"/>
      <c r="SLY9" s="3426"/>
      <c r="SLZ9" s="3426"/>
      <c r="SMA9" s="3426"/>
      <c r="SMB9" s="3426"/>
      <c r="SMC9" s="3426"/>
      <c r="SMD9" s="3426"/>
      <c r="SME9" s="3426"/>
      <c r="SMF9" s="3426"/>
      <c r="SMG9" s="3426"/>
      <c r="SMH9" s="3426"/>
      <c r="SMI9" s="3426"/>
      <c r="SMJ9" s="3426"/>
      <c r="SMK9" s="3426"/>
      <c r="SML9" s="3426"/>
      <c r="SMM9" s="3426"/>
      <c r="SMN9" s="3426"/>
      <c r="SMO9" s="3426"/>
      <c r="SMP9" s="3426"/>
      <c r="SMQ9" s="3426"/>
      <c r="SMR9" s="3426"/>
      <c r="SMS9" s="3426"/>
      <c r="SMT9" s="3426"/>
      <c r="SMU9" s="3426"/>
      <c r="SMV9" s="3426"/>
      <c r="SMW9" s="3426"/>
      <c r="SMX9" s="3426"/>
      <c r="SMY9" s="3426"/>
      <c r="SMZ9" s="3426"/>
      <c r="SNA9" s="3426"/>
      <c r="SNB9" s="3426"/>
      <c r="SNC9" s="3426"/>
      <c r="SND9" s="3426"/>
      <c r="SNE9" s="3426"/>
      <c r="SNF9" s="3426"/>
      <c r="SNG9" s="3426"/>
      <c r="SNH9" s="3426"/>
      <c r="SNI9" s="3426"/>
      <c r="SNJ9" s="3426"/>
      <c r="SNK9" s="3426"/>
      <c r="SNL9" s="3426"/>
      <c r="SNM9" s="3426"/>
      <c r="SNN9" s="3426"/>
      <c r="SNO9" s="3426"/>
      <c r="SNP9" s="3426"/>
      <c r="SNQ9" s="3426"/>
      <c r="SNR9" s="3426"/>
      <c r="SNS9" s="3426"/>
      <c r="SNT9" s="3426"/>
      <c r="SNU9" s="3426"/>
      <c r="SNV9" s="3426"/>
      <c r="SNW9" s="3426"/>
      <c r="SNX9" s="3426"/>
      <c r="SNY9" s="3426"/>
      <c r="SNZ9" s="3426"/>
      <c r="SOA9" s="3426"/>
      <c r="SOB9" s="3426"/>
      <c r="SOC9" s="3426"/>
      <c r="SOD9" s="3426"/>
      <c r="SOE9" s="3426"/>
      <c r="SOF9" s="3426"/>
      <c r="SOG9" s="3426"/>
      <c r="SOH9" s="3426"/>
      <c r="SOI9" s="3426"/>
      <c r="SOJ9" s="3426"/>
      <c r="SOK9" s="3426"/>
      <c r="SOL9" s="3426"/>
      <c r="SOM9" s="3426"/>
      <c r="SON9" s="3426"/>
      <c r="SOO9" s="3426"/>
      <c r="SOP9" s="3426"/>
      <c r="SOQ9" s="3426"/>
      <c r="SOR9" s="3426"/>
      <c r="SOS9" s="3426"/>
      <c r="SOT9" s="3426"/>
      <c r="SOU9" s="3426"/>
      <c r="SOV9" s="3426"/>
      <c r="SOW9" s="3426"/>
      <c r="SOX9" s="3426"/>
      <c r="SOY9" s="3426"/>
      <c r="SOZ9" s="3426"/>
      <c r="SPA9" s="3426"/>
      <c r="SPB9" s="3426"/>
      <c r="SPC9" s="3426"/>
      <c r="SPD9" s="3426"/>
      <c r="SPE9" s="3426"/>
      <c r="SPF9" s="3426"/>
      <c r="SPG9" s="3426"/>
      <c r="SPH9" s="3426"/>
      <c r="SPI9" s="3426"/>
      <c r="SPJ9" s="3426"/>
      <c r="SPK9" s="3426"/>
      <c r="SPL9" s="3426"/>
      <c r="SPM9" s="3426"/>
      <c r="SPN9" s="3426"/>
      <c r="SPO9" s="3426"/>
      <c r="SPP9" s="3426"/>
      <c r="SPQ9" s="3426"/>
      <c r="SPR9" s="3426"/>
      <c r="SPS9" s="3426"/>
      <c r="SPT9" s="3426"/>
      <c r="SPU9" s="3426"/>
      <c r="SPV9" s="3426"/>
      <c r="SPW9" s="3426"/>
      <c r="SPX9" s="3426"/>
      <c r="SPY9" s="3426"/>
      <c r="SPZ9" s="3426"/>
      <c r="SQA9" s="3426"/>
      <c r="SQB9" s="3426"/>
      <c r="SQC9" s="3426"/>
      <c r="SQD9" s="3426"/>
      <c r="SQE9" s="3426"/>
      <c r="SQF9" s="3426"/>
      <c r="SQG9" s="3426"/>
      <c r="SQH9" s="3426"/>
      <c r="SQI9" s="3426"/>
      <c r="SQJ9" s="3426"/>
      <c r="SQK9" s="3426"/>
      <c r="SQL9" s="3426"/>
      <c r="SQM9" s="3426"/>
      <c r="SQN9" s="3426"/>
      <c r="SQO9" s="3426"/>
      <c r="SQP9" s="3426"/>
      <c r="SQQ9" s="3426"/>
      <c r="SQR9" s="3426"/>
      <c r="SQS9" s="3426"/>
      <c r="SQT9" s="3426"/>
      <c r="SQU9" s="3426"/>
      <c r="SQV9" s="3426"/>
      <c r="SQW9" s="3426"/>
      <c r="SQX9" s="3426"/>
      <c r="SQY9" s="3426"/>
      <c r="SQZ9" s="3426"/>
      <c r="SRA9" s="3426"/>
      <c r="SRB9" s="3426"/>
      <c r="SRC9" s="3426"/>
      <c r="SRD9" s="3426"/>
      <c r="SRE9" s="3426"/>
      <c r="SRF9" s="3426"/>
      <c r="SRG9" s="3426"/>
      <c r="SRH9" s="3426"/>
      <c r="SRI9" s="3426"/>
      <c r="SRJ9" s="3426"/>
      <c r="SRK9" s="3426"/>
      <c r="SRL9" s="3426"/>
      <c r="SRM9" s="3426"/>
      <c r="SRN9" s="3426"/>
      <c r="SRO9" s="3426"/>
      <c r="SRP9" s="3426"/>
      <c r="SRQ9" s="3426"/>
      <c r="SRR9" s="3426"/>
      <c r="SRS9" s="3426"/>
      <c r="SRT9" s="3426"/>
      <c r="SRU9" s="3426"/>
      <c r="SRV9" s="3426"/>
      <c r="SRW9" s="3426"/>
      <c r="SRX9" s="3426"/>
      <c r="SRY9" s="3426"/>
      <c r="SRZ9" s="3426"/>
      <c r="SSA9" s="3426"/>
      <c r="SSB9" s="3426"/>
      <c r="SSC9" s="3426"/>
      <c r="SSD9" s="3426"/>
      <c r="SSE9" s="3426"/>
      <c r="SSF9" s="3426"/>
      <c r="SSG9" s="3426"/>
      <c r="SSH9" s="3426"/>
      <c r="SSI9" s="3426"/>
      <c r="SSJ9" s="3426"/>
      <c r="SSK9" s="3426"/>
      <c r="SSL9" s="3426"/>
      <c r="SSM9" s="3426"/>
      <c r="SSN9" s="3426"/>
      <c r="SSO9" s="3426"/>
      <c r="SSP9" s="3426"/>
      <c r="SSQ9" s="3426"/>
      <c r="SSR9" s="3426"/>
      <c r="SSS9" s="3426"/>
      <c r="SST9" s="3426"/>
      <c r="SSU9" s="3426"/>
      <c r="SSV9" s="3426"/>
      <c r="SSW9" s="3426"/>
      <c r="SSX9" s="3426"/>
      <c r="SSY9" s="3426"/>
      <c r="SSZ9" s="3426"/>
      <c r="STA9" s="3426"/>
      <c r="STB9" s="3426"/>
      <c r="STC9" s="3426"/>
      <c r="STD9" s="3426"/>
      <c r="STE9" s="3426"/>
      <c r="STF9" s="3426"/>
      <c r="STG9" s="3426"/>
      <c r="STH9" s="3426"/>
      <c r="STI9" s="3426"/>
      <c r="STJ9" s="3426"/>
      <c r="STK9" s="3426"/>
      <c r="STL9" s="3426"/>
      <c r="STM9" s="3426"/>
      <c r="STN9" s="3426"/>
      <c r="STO9" s="3426"/>
      <c r="STP9" s="3426"/>
      <c r="STQ9" s="3426"/>
      <c r="STR9" s="3426"/>
      <c r="STS9" s="3426"/>
      <c r="STT9" s="3426"/>
      <c r="STU9" s="3426"/>
      <c r="STV9" s="3426"/>
      <c r="STW9" s="3426"/>
      <c r="STX9" s="3426"/>
      <c r="STY9" s="3426"/>
      <c r="STZ9" s="3426"/>
      <c r="SUA9" s="3426"/>
      <c r="SUB9" s="3426"/>
      <c r="SUC9" s="3426"/>
      <c r="SUD9" s="3426"/>
      <c r="SUE9" s="3426"/>
      <c r="SUF9" s="3426"/>
      <c r="SUG9" s="3426"/>
      <c r="SUH9" s="3426"/>
      <c r="SUI9" s="3426"/>
      <c r="SUJ9" s="3426"/>
      <c r="SUK9" s="3426"/>
      <c r="SUL9" s="3426"/>
      <c r="SUM9" s="3426"/>
      <c r="SUN9" s="3426"/>
      <c r="SUO9" s="3426"/>
      <c r="SUP9" s="3426"/>
      <c r="SUQ9" s="3426"/>
      <c r="SUR9" s="3426"/>
      <c r="SUS9" s="3426"/>
      <c r="SUT9" s="3426"/>
      <c r="SUU9" s="3426"/>
      <c r="SUV9" s="3426"/>
      <c r="SUW9" s="3426"/>
      <c r="SUX9" s="3426"/>
      <c r="SUY9" s="3426"/>
      <c r="SUZ9" s="3426"/>
      <c r="SVA9" s="3426"/>
      <c r="SVB9" s="3426"/>
      <c r="SVC9" s="3426"/>
      <c r="SVD9" s="3426"/>
      <c r="SVE9" s="3426"/>
      <c r="SVF9" s="3426"/>
      <c r="SVG9" s="3426"/>
      <c r="SVH9" s="3426"/>
      <c r="SVI9" s="3426"/>
      <c r="SVJ9" s="3426"/>
      <c r="SVK9" s="3426"/>
      <c r="SVL9" s="3426"/>
      <c r="SVM9" s="3426"/>
      <c r="SVN9" s="3426"/>
      <c r="SVO9" s="3426"/>
      <c r="SVP9" s="3426"/>
      <c r="SVQ9" s="3426"/>
      <c r="SVR9" s="3426"/>
      <c r="SVS9" s="3426"/>
      <c r="SVT9" s="3426"/>
      <c r="SVU9" s="3426"/>
      <c r="SVV9" s="3426"/>
      <c r="SVW9" s="3426"/>
      <c r="SVX9" s="3426"/>
      <c r="SVY9" s="3426"/>
      <c r="SVZ9" s="3426"/>
      <c r="SWA9" s="3426"/>
      <c r="SWB9" s="3426"/>
      <c r="SWC9" s="3426"/>
      <c r="SWD9" s="3426"/>
      <c r="SWE9" s="3426"/>
      <c r="SWF9" s="3426"/>
      <c r="SWG9" s="3426"/>
      <c r="SWH9" s="3426"/>
      <c r="SWI9" s="3426"/>
      <c r="SWJ9" s="3426"/>
      <c r="SWK9" s="3426"/>
      <c r="SWL9" s="3426"/>
      <c r="SWM9" s="3426"/>
      <c r="SWN9" s="3426"/>
      <c r="SWO9" s="3426"/>
      <c r="SWP9" s="3426"/>
      <c r="SWQ9" s="3426"/>
      <c r="SWR9" s="3426"/>
      <c r="SWS9" s="3426"/>
      <c r="SWT9" s="3426"/>
      <c r="SWU9" s="3426"/>
      <c r="SWV9" s="3426"/>
      <c r="SWW9" s="3426"/>
      <c r="SWX9" s="3426"/>
      <c r="SWY9" s="3426"/>
      <c r="SWZ9" s="3426"/>
      <c r="SXA9" s="3426"/>
      <c r="SXB9" s="3426"/>
      <c r="SXC9" s="3426"/>
      <c r="SXD9" s="3426"/>
      <c r="SXE9" s="3426"/>
      <c r="SXF9" s="3426"/>
      <c r="SXG9" s="3426"/>
      <c r="SXH9" s="3426"/>
      <c r="SXI9" s="3426"/>
      <c r="SXJ9" s="3426"/>
      <c r="SXK9" s="3426"/>
      <c r="SXL9" s="3426"/>
      <c r="SXM9" s="3426"/>
      <c r="SXN9" s="3426"/>
      <c r="SXO9" s="3426"/>
      <c r="SXP9" s="3426"/>
      <c r="SXQ9" s="3426"/>
      <c r="SXR9" s="3426"/>
      <c r="SXS9" s="3426"/>
      <c r="SXT9" s="3426"/>
      <c r="SXU9" s="3426"/>
      <c r="SXV9" s="3426"/>
      <c r="SXW9" s="3426"/>
      <c r="SXX9" s="3426"/>
      <c r="SXY9" s="3426"/>
      <c r="SXZ9" s="3426"/>
      <c r="SYA9" s="3426"/>
      <c r="SYB9" s="3426"/>
      <c r="SYC9" s="3426"/>
      <c r="SYD9" s="3426"/>
      <c r="SYE9" s="3426"/>
      <c r="SYF9" s="3426"/>
      <c r="SYG9" s="3426"/>
      <c r="SYH9" s="3426"/>
      <c r="SYI9" s="3426"/>
      <c r="SYJ9" s="3426"/>
      <c r="SYK9" s="3426"/>
      <c r="SYL9" s="3426"/>
      <c r="SYM9" s="3426"/>
      <c r="SYN9" s="3426"/>
      <c r="SYO9" s="3426"/>
      <c r="SYP9" s="3426"/>
      <c r="SYQ9" s="3426"/>
      <c r="SYR9" s="3426"/>
      <c r="SYS9" s="3426"/>
      <c r="SYT9" s="3426"/>
      <c r="SYU9" s="3426"/>
      <c r="SYV9" s="3426"/>
      <c r="SYW9" s="3426"/>
      <c r="SYX9" s="3426"/>
      <c r="SYY9" s="3426"/>
      <c r="SYZ9" s="3426"/>
      <c r="SZA9" s="3426"/>
      <c r="SZB9" s="3426"/>
      <c r="SZC9" s="3426"/>
      <c r="SZD9" s="3426"/>
      <c r="SZE9" s="3426"/>
      <c r="SZF9" s="3426"/>
      <c r="SZG9" s="3426"/>
      <c r="SZH9" s="3426"/>
      <c r="SZI9" s="3426"/>
      <c r="SZJ9" s="3426"/>
      <c r="SZK9" s="3426"/>
      <c r="SZL9" s="3426"/>
      <c r="SZM9" s="3426"/>
      <c r="SZN9" s="3426"/>
      <c r="SZO9" s="3426"/>
      <c r="SZP9" s="3426"/>
      <c r="SZQ9" s="3426"/>
      <c r="SZR9" s="3426"/>
      <c r="SZS9" s="3426"/>
      <c r="SZT9" s="3426"/>
      <c r="SZU9" s="3426"/>
      <c r="SZV9" s="3426"/>
      <c r="SZW9" s="3426"/>
      <c r="SZX9" s="3426"/>
      <c r="SZY9" s="3426"/>
      <c r="SZZ9" s="3426"/>
      <c r="TAA9" s="3426"/>
      <c r="TAB9" s="3426"/>
      <c r="TAC9" s="3426"/>
      <c r="TAD9" s="3426"/>
      <c r="TAE9" s="3426"/>
      <c r="TAF9" s="3426"/>
      <c r="TAG9" s="3426"/>
      <c r="TAH9" s="3426"/>
      <c r="TAI9" s="3426"/>
      <c r="TAJ9" s="3426"/>
      <c r="TAK9" s="3426"/>
      <c r="TAL9" s="3426"/>
      <c r="TAM9" s="3426"/>
      <c r="TAN9" s="3426"/>
      <c r="TAO9" s="3426"/>
      <c r="TAP9" s="3426"/>
      <c r="TAQ9" s="3426"/>
      <c r="TAR9" s="3426"/>
      <c r="TAS9" s="3426"/>
      <c r="TAT9" s="3426"/>
      <c r="TAU9" s="3426"/>
      <c r="TAV9" s="3426"/>
      <c r="TAW9" s="3426"/>
      <c r="TAX9" s="3426"/>
      <c r="TAY9" s="3426"/>
      <c r="TAZ9" s="3426"/>
      <c r="TBA9" s="3426"/>
      <c r="TBB9" s="3426"/>
      <c r="TBC9" s="3426"/>
      <c r="TBD9" s="3426"/>
      <c r="TBE9" s="3426"/>
      <c r="TBF9" s="3426"/>
      <c r="TBG9" s="3426"/>
      <c r="TBH9" s="3426"/>
      <c r="TBI9" s="3426"/>
      <c r="TBJ9" s="3426"/>
      <c r="TBK9" s="3426"/>
      <c r="TBL9" s="3426"/>
      <c r="TBM9" s="3426"/>
      <c r="TBN9" s="3426"/>
      <c r="TBO9" s="3426"/>
      <c r="TBP9" s="3426"/>
      <c r="TBQ9" s="3426"/>
      <c r="TBR9" s="3426"/>
      <c r="TBS9" s="3426"/>
      <c r="TBT9" s="3426"/>
      <c r="TBU9" s="3426"/>
      <c r="TBV9" s="3426"/>
      <c r="TBW9" s="3426"/>
      <c r="TBX9" s="3426"/>
      <c r="TBY9" s="3426"/>
      <c r="TBZ9" s="3426"/>
      <c r="TCA9" s="3426"/>
      <c r="TCB9" s="3426"/>
      <c r="TCC9" s="3426"/>
      <c r="TCD9" s="3426"/>
      <c r="TCE9" s="3426"/>
      <c r="TCF9" s="3426"/>
      <c r="TCG9" s="3426"/>
      <c r="TCH9" s="3426"/>
      <c r="TCI9" s="3426"/>
      <c r="TCJ9" s="3426"/>
      <c r="TCK9" s="3426"/>
      <c r="TCL9" s="3426"/>
      <c r="TCM9" s="3426"/>
      <c r="TCN9" s="3426"/>
      <c r="TCO9" s="3426"/>
      <c r="TCP9" s="3426"/>
      <c r="TCQ9" s="3426"/>
      <c r="TCR9" s="3426"/>
      <c r="TCS9" s="3426"/>
      <c r="TCT9" s="3426"/>
      <c r="TCU9" s="3426"/>
      <c r="TCV9" s="3426"/>
      <c r="TCW9" s="3426"/>
      <c r="TCX9" s="3426"/>
      <c r="TCY9" s="3426"/>
      <c r="TCZ9" s="3426"/>
      <c r="TDA9" s="3426"/>
      <c r="TDB9" s="3426"/>
      <c r="TDC9" s="3426"/>
      <c r="TDD9" s="3426"/>
      <c r="TDE9" s="3426"/>
      <c r="TDF9" s="3426"/>
      <c r="TDG9" s="3426"/>
      <c r="TDH9" s="3426"/>
      <c r="TDI9" s="3426"/>
      <c r="TDJ9" s="3426"/>
      <c r="TDK9" s="3426"/>
      <c r="TDL9" s="3426"/>
      <c r="TDM9" s="3426"/>
      <c r="TDN9" s="3426"/>
      <c r="TDO9" s="3426"/>
      <c r="TDP9" s="3426"/>
      <c r="TDQ9" s="3426"/>
      <c r="TDR9" s="3426"/>
      <c r="TDS9" s="3426"/>
      <c r="TDT9" s="3426"/>
      <c r="TDU9" s="3426"/>
      <c r="TDV9" s="3426"/>
      <c r="TDW9" s="3426"/>
      <c r="TDX9" s="3426"/>
      <c r="TDY9" s="3426"/>
      <c r="TDZ9" s="3426"/>
      <c r="TEA9" s="3426"/>
      <c r="TEB9" s="3426"/>
      <c r="TEC9" s="3426"/>
      <c r="TED9" s="3426"/>
      <c r="TEE9" s="3426"/>
      <c r="TEF9" s="3426"/>
      <c r="TEG9" s="3426"/>
      <c r="TEH9" s="3426"/>
      <c r="TEI9" s="3426"/>
      <c r="TEJ9" s="3426"/>
      <c r="TEK9" s="3426"/>
      <c r="TEL9" s="3426"/>
      <c r="TEM9" s="3426"/>
      <c r="TEN9" s="3426"/>
      <c r="TEO9" s="3426"/>
      <c r="TEP9" s="3426"/>
      <c r="TEQ9" s="3426"/>
      <c r="TER9" s="3426"/>
      <c r="TES9" s="3426"/>
      <c r="TET9" s="3426"/>
      <c r="TEU9" s="3426"/>
      <c r="TEV9" s="3426"/>
      <c r="TEW9" s="3426"/>
      <c r="TEX9" s="3426"/>
      <c r="TEY9" s="3426"/>
      <c r="TEZ9" s="3426"/>
      <c r="TFA9" s="3426"/>
      <c r="TFB9" s="3426"/>
      <c r="TFC9" s="3426"/>
      <c r="TFD9" s="3426"/>
      <c r="TFE9" s="3426"/>
      <c r="TFF9" s="3426"/>
      <c r="TFG9" s="3426"/>
      <c r="TFH9" s="3426"/>
      <c r="TFI9" s="3426"/>
      <c r="TFJ9" s="3426"/>
      <c r="TFK9" s="3426"/>
      <c r="TFL9" s="3426"/>
      <c r="TFM9" s="3426"/>
      <c r="TFN9" s="3426"/>
      <c r="TFO9" s="3426"/>
      <c r="TFP9" s="3426"/>
      <c r="TFQ9" s="3426"/>
      <c r="TFR9" s="3426"/>
      <c r="TFS9" s="3426"/>
      <c r="TFT9" s="3426"/>
      <c r="TFU9" s="3426"/>
      <c r="TFV9" s="3426"/>
      <c r="TFW9" s="3426"/>
      <c r="TFX9" s="3426"/>
      <c r="TFY9" s="3426"/>
      <c r="TFZ9" s="3426"/>
      <c r="TGA9" s="3426"/>
      <c r="TGB9" s="3426"/>
      <c r="TGC9" s="3426"/>
      <c r="TGD9" s="3426"/>
      <c r="TGE9" s="3426"/>
      <c r="TGF9" s="3426"/>
      <c r="TGG9" s="3426"/>
      <c r="TGH9" s="3426"/>
      <c r="TGI9" s="3426"/>
      <c r="TGJ9" s="3426"/>
      <c r="TGK9" s="3426"/>
      <c r="TGL9" s="3426"/>
      <c r="TGM9" s="3426"/>
      <c r="TGN9" s="3426"/>
      <c r="TGO9" s="3426"/>
      <c r="TGP9" s="3426"/>
      <c r="TGQ9" s="3426"/>
      <c r="TGR9" s="3426"/>
      <c r="TGS9" s="3426"/>
      <c r="TGT9" s="3426"/>
      <c r="TGU9" s="3426"/>
      <c r="TGV9" s="3426"/>
      <c r="TGW9" s="3426"/>
      <c r="TGX9" s="3426"/>
      <c r="TGY9" s="3426"/>
      <c r="TGZ9" s="3426"/>
      <c r="THA9" s="3426"/>
      <c r="THB9" s="3426"/>
      <c r="THC9" s="3426"/>
      <c r="THD9" s="3426"/>
      <c r="THE9" s="3426"/>
      <c r="THF9" s="3426"/>
      <c r="THG9" s="3426"/>
      <c r="THH9" s="3426"/>
      <c r="THI9" s="3426"/>
      <c r="THJ9" s="3426"/>
      <c r="THK9" s="3426"/>
      <c r="THL9" s="3426"/>
      <c r="THM9" s="3426"/>
      <c r="THN9" s="3426"/>
      <c r="THO9" s="3426"/>
      <c r="THP9" s="3426"/>
      <c r="THQ9" s="3426"/>
      <c r="THR9" s="3426"/>
      <c r="THS9" s="3426"/>
      <c r="THT9" s="3426"/>
      <c r="THU9" s="3426"/>
      <c r="THV9" s="3426"/>
      <c r="THW9" s="3426"/>
      <c r="THX9" s="3426"/>
      <c r="THY9" s="3426"/>
      <c r="THZ9" s="3426"/>
      <c r="TIA9" s="3426"/>
      <c r="TIB9" s="3426"/>
      <c r="TIC9" s="3426"/>
      <c r="TID9" s="3426"/>
      <c r="TIE9" s="3426"/>
      <c r="TIF9" s="3426"/>
      <c r="TIG9" s="3426"/>
      <c r="TIH9" s="3426"/>
      <c r="TII9" s="3426"/>
      <c r="TIJ9" s="3426"/>
      <c r="TIK9" s="3426"/>
      <c r="TIL9" s="3426"/>
      <c r="TIM9" s="3426"/>
      <c r="TIN9" s="3426"/>
      <c r="TIO9" s="3426"/>
      <c r="TIP9" s="3426"/>
      <c r="TIQ9" s="3426"/>
      <c r="TIR9" s="3426"/>
      <c r="TIS9" s="3426"/>
      <c r="TIT9" s="3426"/>
      <c r="TIU9" s="3426"/>
      <c r="TIV9" s="3426"/>
      <c r="TIW9" s="3426"/>
      <c r="TIX9" s="3426"/>
      <c r="TIY9" s="3426"/>
      <c r="TIZ9" s="3426"/>
      <c r="TJA9" s="3426"/>
      <c r="TJB9" s="3426"/>
      <c r="TJC9" s="3426"/>
      <c r="TJD9" s="3426"/>
      <c r="TJE9" s="3426"/>
      <c r="TJF9" s="3426"/>
      <c r="TJG9" s="3426"/>
      <c r="TJH9" s="3426"/>
      <c r="TJI9" s="3426"/>
      <c r="TJJ9" s="3426"/>
      <c r="TJK9" s="3426"/>
      <c r="TJL9" s="3426"/>
      <c r="TJM9" s="3426"/>
      <c r="TJN9" s="3426"/>
      <c r="TJO9" s="3426"/>
      <c r="TJP9" s="3426"/>
      <c r="TJQ9" s="3426"/>
      <c r="TJR9" s="3426"/>
      <c r="TJS9" s="3426"/>
      <c r="TJT9" s="3426"/>
      <c r="TJU9" s="3426"/>
      <c r="TJV9" s="3426"/>
      <c r="TJW9" s="3426"/>
      <c r="TJX9" s="3426"/>
      <c r="TJY9" s="3426"/>
      <c r="TJZ9" s="3426"/>
      <c r="TKA9" s="3426"/>
      <c r="TKB9" s="3426"/>
      <c r="TKC9" s="3426"/>
      <c r="TKD9" s="3426"/>
      <c r="TKE9" s="3426"/>
      <c r="TKF9" s="3426"/>
      <c r="TKG9" s="3426"/>
      <c r="TKH9" s="3426"/>
      <c r="TKI9" s="3426"/>
      <c r="TKJ9" s="3426"/>
      <c r="TKK9" s="3426"/>
      <c r="TKL9" s="3426"/>
      <c r="TKM9" s="3426"/>
      <c r="TKN9" s="3426"/>
      <c r="TKO9" s="3426"/>
      <c r="TKP9" s="3426"/>
      <c r="TKQ9" s="3426"/>
      <c r="TKR9" s="3426"/>
      <c r="TKS9" s="3426"/>
      <c r="TKT9" s="3426"/>
      <c r="TKU9" s="3426"/>
      <c r="TKV9" s="3426"/>
      <c r="TKW9" s="3426"/>
      <c r="TKX9" s="3426"/>
      <c r="TKY9" s="3426"/>
      <c r="TKZ9" s="3426"/>
      <c r="TLA9" s="3426"/>
      <c r="TLB9" s="3426"/>
      <c r="TLC9" s="3426"/>
      <c r="TLD9" s="3426"/>
      <c r="TLE9" s="3426"/>
      <c r="TLF9" s="3426"/>
      <c r="TLG9" s="3426"/>
      <c r="TLH9" s="3426"/>
      <c r="TLI9" s="3426"/>
      <c r="TLJ9" s="3426"/>
      <c r="TLK9" s="3426"/>
      <c r="TLL9" s="3426"/>
      <c r="TLM9" s="3426"/>
      <c r="TLN9" s="3426"/>
      <c r="TLO9" s="3426"/>
      <c r="TLP9" s="3426"/>
      <c r="TLQ9" s="3426"/>
      <c r="TLR9" s="3426"/>
      <c r="TLS9" s="3426"/>
      <c r="TLT9" s="3426"/>
      <c r="TLU9" s="3426"/>
      <c r="TLV9" s="3426"/>
      <c r="TLW9" s="3426"/>
      <c r="TLX9" s="3426"/>
      <c r="TLY9" s="3426"/>
      <c r="TLZ9" s="3426"/>
      <c r="TMA9" s="3426"/>
      <c r="TMB9" s="3426"/>
      <c r="TMC9" s="3426"/>
      <c r="TMD9" s="3426"/>
      <c r="TME9" s="3426"/>
      <c r="TMF9" s="3426"/>
      <c r="TMG9" s="3426"/>
      <c r="TMH9" s="3426"/>
      <c r="TMI9" s="3426"/>
      <c r="TMJ9" s="3426"/>
      <c r="TMK9" s="3426"/>
      <c r="TML9" s="3426"/>
      <c r="TMM9" s="3426"/>
      <c r="TMN9" s="3426"/>
      <c r="TMO9" s="3426"/>
      <c r="TMP9" s="3426"/>
      <c r="TMQ9" s="3426"/>
      <c r="TMR9" s="3426"/>
      <c r="TMS9" s="3426"/>
      <c r="TMT9" s="3426"/>
      <c r="TMU9" s="3426"/>
      <c r="TMV9" s="3426"/>
      <c r="TMW9" s="3426"/>
      <c r="TMX9" s="3426"/>
      <c r="TMY9" s="3426"/>
      <c r="TMZ9" s="3426"/>
      <c r="TNA9" s="3426"/>
      <c r="TNB9" s="3426"/>
      <c r="TNC9" s="3426"/>
      <c r="TND9" s="3426"/>
      <c r="TNE9" s="3426"/>
      <c r="TNF9" s="3426"/>
      <c r="TNG9" s="3426"/>
      <c r="TNH9" s="3426"/>
      <c r="TNI9" s="3426"/>
      <c r="TNJ9" s="3426"/>
      <c r="TNK9" s="3426"/>
      <c r="TNL9" s="3426"/>
      <c r="TNM9" s="3426"/>
      <c r="TNN9" s="3426"/>
      <c r="TNO9" s="3426"/>
      <c r="TNP9" s="3426"/>
      <c r="TNQ9" s="3426"/>
      <c r="TNR9" s="3426"/>
      <c r="TNS9" s="3426"/>
      <c r="TNT9" s="3426"/>
      <c r="TNU9" s="3426"/>
      <c r="TNV9" s="3426"/>
      <c r="TNW9" s="3426"/>
      <c r="TNX9" s="3426"/>
      <c r="TNY9" s="3426"/>
      <c r="TNZ9" s="3426"/>
      <c r="TOA9" s="3426"/>
      <c r="TOB9" s="3426"/>
      <c r="TOC9" s="3426"/>
      <c r="TOD9" s="3426"/>
      <c r="TOE9" s="3426"/>
      <c r="TOF9" s="3426"/>
      <c r="TOG9" s="3426"/>
      <c r="TOH9" s="3426"/>
      <c r="TOI9" s="3426"/>
      <c r="TOJ9" s="3426"/>
      <c r="TOK9" s="3426"/>
      <c r="TOL9" s="3426"/>
      <c r="TOM9" s="3426"/>
      <c r="TON9" s="3426"/>
      <c r="TOO9" s="3426"/>
      <c r="TOP9" s="3426"/>
      <c r="TOQ9" s="3426"/>
      <c r="TOR9" s="3426"/>
      <c r="TOS9" s="3426"/>
      <c r="TOT9" s="3426"/>
      <c r="TOU9" s="3426"/>
      <c r="TOV9" s="3426"/>
      <c r="TOW9" s="3426"/>
      <c r="TOX9" s="3426"/>
      <c r="TOY9" s="3426"/>
      <c r="TOZ9" s="3426"/>
      <c r="TPA9" s="3426"/>
      <c r="TPB9" s="3426"/>
      <c r="TPC9" s="3426"/>
      <c r="TPD9" s="3426"/>
      <c r="TPE9" s="3426"/>
      <c r="TPF9" s="3426"/>
      <c r="TPG9" s="3426"/>
      <c r="TPH9" s="3426"/>
      <c r="TPI9" s="3426"/>
      <c r="TPJ9" s="3426"/>
      <c r="TPK9" s="3426"/>
      <c r="TPL9" s="3426"/>
      <c r="TPM9" s="3426"/>
      <c r="TPN9" s="3426"/>
      <c r="TPO9" s="3426"/>
      <c r="TPP9" s="3426"/>
      <c r="TPQ9" s="3426"/>
      <c r="TPR9" s="3426"/>
      <c r="TPS9" s="3426"/>
      <c r="TPT9" s="3426"/>
      <c r="TPU9" s="3426"/>
      <c r="TPV9" s="3426"/>
      <c r="TPW9" s="3426"/>
      <c r="TPX9" s="3426"/>
      <c r="TPY9" s="3426"/>
      <c r="TPZ9" s="3426"/>
      <c r="TQA9" s="3426"/>
      <c r="TQB9" s="3426"/>
      <c r="TQC9" s="3426"/>
      <c r="TQD9" s="3426"/>
      <c r="TQE9" s="3426"/>
      <c r="TQF9" s="3426"/>
      <c r="TQG9" s="3426"/>
      <c r="TQH9" s="3426"/>
      <c r="TQI9" s="3426"/>
      <c r="TQJ9" s="3426"/>
      <c r="TQK9" s="3426"/>
      <c r="TQL9" s="3426"/>
      <c r="TQM9" s="3426"/>
      <c r="TQN9" s="3426"/>
      <c r="TQO9" s="3426"/>
      <c r="TQP9" s="3426"/>
      <c r="TQQ9" s="3426"/>
      <c r="TQR9" s="3426"/>
      <c r="TQS9" s="3426"/>
      <c r="TQT9" s="3426"/>
      <c r="TQU9" s="3426"/>
      <c r="TQV9" s="3426"/>
      <c r="TQW9" s="3426"/>
      <c r="TQX9" s="3426"/>
      <c r="TQY9" s="3426"/>
      <c r="TQZ9" s="3426"/>
      <c r="TRA9" s="3426"/>
      <c r="TRB9" s="3426"/>
      <c r="TRC9" s="3426"/>
      <c r="TRD9" s="3426"/>
      <c r="TRE9" s="3426"/>
      <c r="TRF9" s="3426"/>
      <c r="TRG9" s="3426"/>
      <c r="TRH9" s="3426"/>
      <c r="TRI9" s="3426"/>
      <c r="TRJ9" s="3426"/>
      <c r="TRK9" s="3426"/>
      <c r="TRL9" s="3426"/>
      <c r="TRM9" s="3426"/>
      <c r="TRN9" s="3426"/>
      <c r="TRO9" s="3426"/>
      <c r="TRP9" s="3426"/>
      <c r="TRQ9" s="3426"/>
      <c r="TRR9" s="3426"/>
      <c r="TRS9" s="3426"/>
      <c r="TRT9" s="3426"/>
      <c r="TRU9" s="3426"/>
      <c r="TRV9" s="3426"/>
      <c r="TRW9" s="3426"/>
      <c r="TRX9" s="3426"/>
      <c r="TRY9" s="3426"/>
      <c r="TRZ9" s="3426"/>
      <c r="TSA9" s="3426"/>
      <c r="TSB9" s="3426"/>
      <c r="TSC9" s="3426"/>
      <c r="TSD9" s="3426"/>
      <c r="TSE9" s="3426"/>
      <c r="TSF9" s="3426"/>
      <c r="TSG9" s="3426"/>
      <c r="TSH9" s="3426"/>
      <c r="TSI9" s="3426"/>
      <c r="TSJ9" s="3426"/>
      <c r="TSK9" s="3426"/>
      <c r="TSL9" s="3426"/>
      <c r="TSM9" s="3426"/>
      <c r="TSN9" s="3426"/>
      <c r="TSO9" s="3426"/>
      <c r="TSP9" s="3426"/>
      <c r="TSQ9" s="3426"/>
      <c r="TSR9" s="3426"/>
      <c r="TSS9" s="3426"/>
      <c r="TST9" s="3426"/>
      <c r="TSU9" s="3426"/>
      <c r="TSV9" s="3426"/>
      <c r="TSW9" s="3426"/>
      <c r="TSX9" s="3426"/>
      <c r="TSY9" s="3426"/>
      <c r="TSZ9" s="3426"/>
      <c r="TTA9" s="3426"/>
      <c r="TTB9" s="3426"/>
      <c r="TTC9" s="3426"/>
      <c r="TTD9" s="3426"/>
      <c r="TTE9" s="3426"/>
      <c r="TTF9" s="3426"/>
      <c r="TTG9" s="3426"/>
      <c r="TTH9" s="3426"/>
      <c r="TTI9" s="3426"/>
      <c r="TTJ9" s="3426"/>
      <c r="TTK9" s="3426"/>
      <c r="TTL9" s="3426"/>
      <c r="TTM9" s="3426"/>
      <c r="TTN9" s="3426"/>
      <c r="TTO9" s="3426"/>
      <c r="TTP9" s="3426"/>
      <c r="TTQ9" s="3426"/>
      <c r="TTR9" s="3426"/>
      <c r="TTS9" s="3426"/>
      <c r="TTT9" s="3426"/>
      <c r="TTU9" s="3426"/>
      <c r="TTV9" s="3426"/>
      <c r="TTW9" s="3426"/>
      <c r="TTX9" s="3426"/>
      <c r="TTY9" s="3426"/>
      <c r="TTZ9" s="3426"/>
      <c r="TUA9" s="3426"/>
      <c r="TUB9" s="3426"/>
      <c r="TUC9" s="3426"/>
      <c r="TUD9" s="3426"/>
      <c r="TUE9" s="3426"/>
      <c r="TUF9" s="3426"/>
      <c r="TUG9" s="3426"/>
      <c r="TUH9" s="3426"/>
      <c r="TUI9" s="3426"/>
      <c r="TUJ9" s="3426"/>
      <c r="TUK9" s="3426"/>
      <c r="TUL9" s="3426"/>
      <c r="TUM9" s="3426"/>
      <c r="TUN9" s="3426"/>
      <c r="TUO9" s="3426"/>
      <c r="TUP9" s="3426"/>
      <c r="TUQ9" s="3426"/>
      <c r="TUR9" s="3426"/>
      <c r="TUS9" s="3426"/>
      <c r="TUT9" s="3426"/>
      <c r="TUU9" s="3426"/>
      <c r="TUV9" s="3426"/>
      <c r="TUW9" s="3426"/>
      <c r="TUX9" s="3426"/>
      <c r="TUY9" s="3426"/>
      <c r="TUZ9" s="3426"/>
      <c r="TVA9" s="3426"/>
      <c r="TVB9" s="3426"/>
      <c r="TVC9" s="3426"/>
      <c r="TVD9" s="3426"/>
      <c r="TVE9" s="3426"/>
      <c r="TVF9" s="3426"/>
      <c r="TVG9" s="3426"/>
      <c r="TVH9" s="3426"/>
      <c r="TVI9" s="3426"/>
      <c r="TVJ9" s="3426"/>
      <c r="TVK9" s="3426"/>
      <c r="TVL9" s="3426"/>
      <c r="TVM9" s="3426"/>
      <c r="TVN9" s="3426"/>
      <c r="TVO9" s="3426"/>
      <c r="TVP9" s="3426"/>
      <c r="TVQ9" s="3426"/>
      <c r="TVR9" s="3426"/>
      <c r="TVS9" s="3426"/>
      <c r="TVT9" s="3426"/>
      <c r="TVU9" s="3426"/>
      <c r="TVV9" s="3426"/>
      <c r="TVW9" s="3426"/>
      <c r="TVX9" s="3426"/>
      <c r="TVY9" s="3426"/>
      <c r="TVZ9" s="3426"/>
      <c r="TWA9" s="3426"/>
      <c r="TWB9" s="3426"/>
      <c r="TWC9" s="3426"/>
      <c r="TWD9" s="3426"/>
      <c r="TWE9" s="3426"/>
      <c r="TWF9" s="3426"/>
      <c r="TWG9" s="3426"/>
      <c r="TWH9" s="3426"/>
      <c r="TWI9" s="3426"/>
      <c r="TWJ9" s="3426"/>
      <c r="TWK9" s="3426"/>
      <c r="TWL9" s="3426"/>
      <c r="TWM9" s="3426"/>
      <c r="TWN9" s="3426"/>
      <c r="TWO9" s="3426"/>
      <c r="TWP9" s="3426"/>
      <c r="TWQ9" s="3426"/>
      <c r="TWR9" s="3426"/>
      <c r="TWS9" s="3426"/>
      <c r="TWT9" s="3426"/>
      <c r="TWU9" s="3426"/>
      <c r="TWV9" s="3426"/>
      <c r="TWW9" s="3426"/>
      <c r="TWX9" s="3426"/>
      <c r="TWY9" s="3426"/>
      <c r="TWZ9" s="3426"/>
      <c r="TXA9" s="3426"/>
      <c r="TXB9" s="3426"/>
      <c r="TXC9" s="3426"/>
      <c r="TXD9" s="3426"/>
      <c r="TXE9" s="3426"/>
      <c r="TXF9" s="3426"/>
      <c r="TXG9" s="3426"/>
      <c r="TXH9" s="3426"/>
      <c r="TXI9" s="3426"/>
      <c r="TXJ9" s="3426"/>
      <c r="TXK9" s="3426"/>
      <c r="TXL9" s="3426"/>
      <c r="TXM9" s="3426"/>
      <c r="TXN9" s="3426"/>
      <c r="TXO9" s="3426"/>
      <c r="TXP9" s="3426"/>
      <c r="TXQ9" s="3426"/>
      <c r="TXR9" s="3426"/>
      <c r="TXS9" s="3426"/>
      <c r="TXT9" s="3426"/>
      <c r="TXU9" s="3426"/>
      <c r="TXV9" s="3426"/>
      <c r="TXW9" s="3426"/>
      <c r="TXX9" s="3426"/>
      <c r="TXY9" s="3426"/>
      <c r="TXZ9" s="3426"/>
      <c r="TYA9" s="3426"/>
      <c r="TYB9" s="3426"/>
      <c r="TYC9" s="3426"/>
      <c r="TYD9" s="3426"/>
      <c r="TYE9" s="3426"/>
      <c r="TYF9" s="3426"/>
      <c r="TYG9" s="3426"/>
      <c r="TYH9" s="3426"/>
      <c r="TYI9" s="3426"/>
      <c r="TYJ9" s="3426"/>
      <c r="TYK9" s="3426"/>
      <c r="TYL9" s="3426"/>
      <c r="TYM9" s="3426"/>
      <c r="TYN9" s="3426"/>
      <c r="TYO9" s="3426"/>
      <c r="TYP9" s="3426"/>
      <c r="TYQ9" s="3426"/>
      <c r="TYR9" s="3426"/>
      <c r="TYS9" s="3426"/>
      <c r="TYT9" s="3426"/>
      <c r="TYU9" s="3426"/>
      <c r="TYV9" s="3426"/>
      <c r="TYW9" s="3426"/>
      <c r="TYX9" s="3426"/>
      <c r="TYY9" s="3426"/>
      <c r="TYZ9" s="3426"/>
      <c r="TZA9" s="3426"/>
      <c r="TZB9" s="3426"/>
      <c r="TZC9" s="3426"/>
      <c r="TZD9" s="3426"/>
      <c r="TZE9" s="3426"/>
      <c r="TZF9" s="3426"/>
      <c r="TZG9" s="3426"/>
      <c r="TZH9" s="3426"/>
      <c r="TZI9" s="3426"/>
      <c r="TZJ9" s="3426"/>
      <c r="TZK9" s="3426"/>
      <c r="TZL9" s="3426"/>
      <c r="TZM9" s="3426"/>
      <c r="TZN9" s="3426"/>
      <c r="TZO9" s="3426"/>
      <c r="TZP9" s="3426"/>
      <c r="TZQ9" s="3426"/>
      <c r="TZR9" s="3426"/>
      <c r="TZS9" s="3426"/>
      <c r="TZT9" s="3426"/>
      <c r="TZU9" s="3426"/>
      <c r="TZV9" s="3426"/>
      <c r="TZW9" s="3426"/>
      <c r="TZX9" s="3426"/>
      <c r="TZY9" s="3426"/>
      <c r="TZZ9" s="3426"/>
      <c r="UAA9" s="3426"/>
      <c r="UAB9" s="3426"/>
      <c r="UAC9" s="3426"/>
      <c r="UAD9" s="3426"/>
      <c r="UAE9" s="3426"/>
      <c r="UAF9" s="3426"/>
      <c r="UAG9" s="3426"/>
      <c r="UAH9" s="3426"/>
      <c r="UAI9" s="3426"/>
      <c r="UAJ9" s="3426"/>
      <c r="UAK9" s="3426"/>
      <c r="UAL9" s="3426"/>
      <c r="UAM9" s="3426"/>
      <c r="UAN9" s="3426"/>
      <c r="UAO9" s="3426"/>
      <c r="UAP9" s="3426"/>
      <c r="UAQ9" s="3426"/>
      <c r="UAR9" s="3426"/>
      <c r="UAS9" s="3426"/>
      <c r="UAT9" s="3426"/>
      <c r="UAU9" s="3426"/>
      <c r="UAV9" s="3426"/>
      <c r="UAW9" s="3426"/>
      <c r="UAX9" s="3426"/>
      <c r="UAY9" s="3426"/>
      <c r="UAZ9" s="3426"/>
      <c r="UBA9" s="3426"/>
      <c r="UBB9" s="3426"/>
      <c r="UBC9" s="3426"/>
      <c r="UBD9" s="3426"/>
      <c r="UBE9" s="3426"/>
      <c r="UBF9" s="3426"/>
      <c r="UBG9" s="3426"/>
      <c r="UBH9" s="3426"/>
      <c r="UBI9" s="3426"/>
      <c r="UBJ9" s="3426"/>
      <c r="UBK9" s="3426"/>
      <c r="UBL9" s="3426"/>
      <c r="UBM9" s="3426"/>
      <c r="UBN9" s="3426"/>
      <c r="UBO9" s="3426"/>
      <c r="UBP9" s="3426"/>
      <c r="UBQ9" s="3426"/>
      <c r="UBR9" s="3426"/>
      <c r="UBS9" s="3426"/>
      <c r="UBT9" s="3426"/>
      <c r="UBU9" s="3426"/>
      <c r="UBV9" s="3426"/>
      <c r="UBW9" s="3426"/>
      <c r="UBX9" s="3426"/>
      <c r="UBY9" s="3426"/>
      <c r="UBZ9" s="3426"/>
      <c r="UCA9" s="3426"/>
      <c r="UCB9" s="3426"/>
      <c r="UCC9" s="3426"/>
      <c r="UCD9" s="3426"/>
      <c r="UCE9" s="3426"/>
      <c r="UCF9" s="3426"/>
      <c r="UCG9" s="3426"/>
      <c r="UCH9" s="3426"/>
      <c r="UCI9" s="3426"/>
      <c r="UCJ9" s="3426"/>
      <c r="UCK9" s="3426"/>
      <c r="UCL9" s="3426"/>
      <c r="UCM9" s="3426"/>
      <c r="UCN9" s="3426"/>
      <c r="UCO9" s="3426"/>
      <c r="UCP9" s="3426"/>
      <c r="UCQ9" s="3426"/>
      <c r="UCR9" s="3426"/>
      <c r="UCS9" s="3426"/>
      <c r="UCT9" s="3426"/>
      <c r="UCU9" s="3426"/>
      <c r="UCV9" s="3426"/>
      <c r="UCW9" s="3426"/>
      <c r="UCX9" s="3426"/>
      <c r="UCY9" s="3426"/>
      <c r="UCZ9" s="3426"/>
      <c r="UDA9" s="3426"/>
      <c r="UDB9" s="3426"/>
      <c r="UDC9" s="3426"/>
      <c r="UDD9" s="3426"/>
      <c r="UDE9" s="3426"/>
      <c r="UDF9" s="3426"/>
      <c r="UDG9" s="3426"/>
      <c r="UDH9" s="3426"/>
      <c r="UDI9" s="3426"/>
      <c r="UDJ9" s="3426"/>
      <c r="UDK9" s="3426"/>
      <c r="UDL9" s="3426"/>
      <c r="UDM9" s="3426"/>
      <c r="UDN9" s="3426"/>
      <c r="UDO9" s="3426"/>
      <c r="UDP9" s="3426"/>
      <c r="UDQ9" s="3426"/>
      <c r="UDR9" s="3426"/>
      <c r="UDS9" s="3426"/>
      <c r="UDT9" s="3426"/>
      <c r="UDU9" s="3426"/>
      <c r="UDV9" s="3426"/>
      <c r="UDW9" s="3426"/>
      <c r="UDX9" s="3426"/>
      <c r="UDY9" s="3426"/>
      <c r="UDZ9" s="3426"/>
      <c r="UEA9" s="3426"/>
      <c r="UEB9" s="3426"/>
      <c r="UEC9" s="3426"/>
      <c r="UED9" s="3426"/>
      <c r="UEE9" s="3426"/>
      <c r="UEF9" s="3426"/>
      <c r="UEG9" s="3426"/>
      <c r="UEH9" s="3426"/>
      <c r="UEI9" s="3426"/>
      <c r="UEJ9" s="3426"/>
      <c r="UEK9" s="3426"/>
      <c r="UEL9" s="3426"/>
      <c r="UEM9" s="3426"/>
      <c r="UEN9" s="3426"/>
      <c r="UEO9" s="3426"/>
      <c r="UEP9" s="3426"/>
      <c r="UEQ9" s="3426"/>
      <c r="UER9" s="3426"/>
      <c r="UES9" s="3426"/>
      <c r="UET9" s="3426"/>
      <c r="UEU9" s="3426"/>
      <c r="UEV9" s="3426"/>
      <c r="UEW9" s="3426"/>
      <c r="UEX9" s="3426"/>
      <c r="UEY9" s="3426"/>
      <c r="UEZ9" s="3426"/>
      <c r="UFA9" s="3426"/>
      <c r="UFB9" s="3426"/>
      <c r="UFC9" s="3426"/>
      <c r="UFD9" s="3426"/>
      <c r="UFE9" s="3426"/>
      <c r="UFF9" s="3426"/>
      <c r="UFG9" s="3426"/>
      <c r="UFH9" s="3426"/>
      <c r="UFI9" s="3426"/>
      <c r="UFJ9" s="3426"/>
      <c r="UFK9" s="3426"/>
      <c r="UFL9" s="3426"/>
      <c r="UFM9" s="3426"/>
      <c r="UFN9" s="3426"/>
      <c r="UFO9" s="3426"/>
      <c r="UFP9" s="3426"/>
      <c r="UFQ9" s="3426"/>
      <c r="UFR9" s="3426"/>
      <c r="UFS9" s="3426"/>
      <c r="UFT9" s="3426"/>
      <c r="UFU9" s="3426"/>
      <c r="UFV9" s="3426"/>
      <c r="UFW9" s="3426"/>
      <c r="UFX9" s="3426"/>
      <c r="UFY9" s="3426"/>
      <c r="UFZ9" s="3426"/>
      <c r="UGA9" s="3426"/>
      <c r="UGB9" s="3426"/>
      <c r="UGC9" s="3426"/>
      <c r="UGD9" s="3426"/>
      <c r="UGE9" s="3426"/>
      <c r="UGF9" s="3426"/>
      <c r="UGG9" s="3426"/>
      <c r="UGH9" s="3426"/>
      <c r="UGI9" s="3426"/>
      <c r="UGJ9" s="3426"/>
      <c r="UGK9" s="3426"/>
      <c r="UGL9" s="3426"/>
      <c r="UGM9" s="3426"/>
      <c r="UGN9" s="3426"/>
      <c r="UGO9" s="3426"/>
      <c r="UGP9" s="3426"/>
      <c r="UGQ9" s="3426"/>
      <c r="UGR9" s="3426"/>
      <c r="UGS9" s="3426"/>
      <c r="UGT9" s="3426"/>
      <c r="UGU9" s="3426"/>
      <c r="UGV9" s="3426"/>
      <c r="UGW9" s="3426"/>
      <c r="UGX9" s="3426"/>
      <c r="UGY9" s="3426"/>
      <c r="UGZ9" s="3426"/>
      <c r="UHA9" s="3426"/>
      <c r="UHB9" s="3426"/>
      <c r="UHC9" s="3426"/>
      <c r="UHD9" s="3426"/>
      <c r="UHE9" s="3426"/>
      <c r="UHF9" s="3426"/>
      <c r="UHG9" s="3426"/>
      <c r="UHH9" s="3426"/>
      <c r="UHI9" s="3426"/>
      <c r="UHJ9" s="3426"/>
      <c r="UHK9" s="3426"/>
      <c r="UHL9" s="3426"/>
      <c r="UHM9" s="3426"/>
      <c r="UHN9" s="3426"/>
      <c r="UHO9" s="3426"/>
      <c r="UHP9" s="3426"/>
      <c r="UHQ9" s="3426"/>
      <c r="UHR9" s="3426"/>
      <c r="UHS9" s="3426"/>
      <c r="UHT9" s="3426"/>
      <c r="UHU9" s="3426"/>
      <c r="UHV9" s="3426"/>
      <c r="UHW9" s="3426"/>
      <c r="UHX9" s="3426"/>
      <c r="UHY9" s="3426"/>
      <c r="UHZ9" s="3426"/>
      <c r="UIA9" s="3426"/>
      <c r="UIB9" s="3426"/>
      <c r="UIC9" s="3426"/>
      <c r="UID9" s="3426"/>
      <c r="UIE9" s="3426"/>
      <c r="UIF9" s="3426"/>
      <c r="UIG9" s="3426"/>
      <c r="UIH9" s="3426"/>
      <c r="UII9" s="3426"/>
      <c r="UIJ9" s="3426"/>
      <c r="UIK9" s="3426"/>
      <c r="UIL9" s="3426"/>
      <c r="UIM9" s="3426"/>
      <c r="UIN9" s="3426"/>
      <c r="UIO9" s="3426"/>
      <c r="UIP9" s="3426"/>
      <c r="UIQ9" s="3426"/>
      <c r="UIR9" s="3426"/>
      <c r="UIS9" s="3426"/>
      <c r="UIT9" s="3426"/>
      <c r="UIU9" s="3426"/>
      <c r="UIV9" s="3426"/>
      <c r="UIW9" s="3426"/>
      <c r="UIX9" s="3426"/>
      <c r="UIY9" s="3426"/>
      <c r="UIZ9" s="3426"/>
      <c r="UJA9" s="3426"/>
      <c r="UJB9" s="3426"/>
      <c r="UJC9" s="3426"/>
      <c r="UJD9" s="3426"/>
      <c r="UJE9" s="3426"/>
      <c r="UJF9" s="3426"/>
      <c r="UJG9" s="3426"/>
      <c r="UJH9" s="3426"/>
      <c r="UJI9" s="3426"/>
      <c r="UJJ9" s="3426"/>
      <c r="UJK9" s="3426"/>
      <c r="UJL9" s="3426"/>
      <c r="UJM9" s="3426"/>
      <c r="UJN9" s="3426"/>
      <c r="UJO9" s="3426"/>
      <c r="UJP9" s="3426"/>
      <c r="UJQ9" s="3426"/>
      <c r="UJR9" s="3426"/>
      <c r="UJS9" s="3426"/>
      <c r="UJT9" s="3426"/>
      <c r="UJU9" s="3426"/>
      <c r="UJV9" s="3426"/>
      <c r="UJW9" s="3426"/>
      <c r="UJX9" s="3426"/>
      <c r="UJY9" s="3426"/>
      <c r="UJZ9" s="3426"/>
      <c r="UKA9" s="3426"/>
      <c r="UKB9" s="3426"/>
      <c r="UKC9" s="3426"/>
      <c r="UKD9" s="3426"/>
      <c r="UKE9" s="3426"/>
      <c r="UKF9" s="3426"/>
      <c r="UKG9" s="3426"/>
      <c r="UKH9" s="3426"/>
      <c r="UKI9" s="3426"/>
      <c r="UKJ9" s="3426"/>
      <c r="UKK9" s="3426"/>
      <c r="UKL9" s="3426"/>
      <c r="UKM9" s="3426"/>
      <c r="UKN9" s="3426"/>
      <c r="UKO9" s="3426"/>
      <c r="UKP9" s="3426"/>
      <c r="UKQ9" s="3426"/>
      <c r="UKR9" s="3426"/>
      <c r="UKS9" s="3426"/>
      <c r="UKT9" s="3426"/>
      <c r="UKU9" s="3426"/>
      <c r="UKV9" s="3426"/>
      <c r="UKW9" s="3426"/>
      <c r="UKX9" s="3426"/>
      <c r="UKY9" s="3426"/>
      <c r="UKZ9" s="3426"/>
      <c r="ULA9" s="3426"/>
      <c r="ULB9" s="3426"/>
      <c r="ULC9" s="3426"/>
      <c r="ULD9" s="3426"/>
      <c r="ULE9" s="3426"/>
      <c r="ULF9" s="3426"/>
      <c r="ULG9" s="3426"/>
      <c r="ULH9" s="3426"/>
      <c r="ULI9" s="3426"/>
      <c r="ULJ9" s="3426"/>
      <c r="ULK9" s="3426"/>
      <c r="ULL9" s="3426"/>
      <c r="ULM9" s="3426"/>
      <c r="ULN9" s="3426"/>
      <c r="ULO9" s="3426"/>
      <c r="ULP9" s="3426"/>
      <c r="ULQ9" s="3426"/>
      <c r="ULR9" s="3426"/>
      <c r="ULS9" s="3426"/>
      <c r="ULT9" s="3426"/>
      <c r="ULU9" s="3426"/>
      <c r="ULV9" s="3426"/>
      <c r="ULW9" s="3426"/>
      <c r="ULX9" s="3426"/>
      <c r="ULY9" s="3426"/>
      <c r="ULZ9" s="3426"/>
      <c r="UMA9" s="3426"/>
      <c r="UMB9" s="3426"/>
      <c r="UMC9" s="3426"/>
      <c r="UMD9" s="3426"/>
      <c r="UME9" s="3426"/>
      <c r="UMF9" s="3426"/>
      <c r="UMG9" s="3426"/>
      <c r="UMH9" s="3426"/>
      <c r="UMI9" s="3426"/>
      <c r="UMJ9" s="3426"/>
      <c r="UMK9" s="3426"/>
      <c r="UML9" s="3426"/>
      <c r="UMM9" s="3426"/>
      <c r="UMN9" s="3426"/>
      <c r="UMO9" s="3426"/>
      <c r="UMP9" s="3426"/>
      <c r="UMQ9" s="3426"/>
      <c r="UMR9" s="3426"/>
      <c r="UMS9" s="3426"/>
      <c r="UMT9" s="3426"/>
      <c r="UMU9" s="3426"/>
      <c r="UMV9" s="3426"/>
      <c r="UMW9" s="3426"/>
      <c r="UMX9" s="3426"/>
      <c r="UMY9" s="3426"/>
      <c r="UMZ9" s="3426"/>
      <c r="UNA9" s="3426"/>
      <c r="UNB9" s="3426"/>
      <c r="UNC9" s="3426"/>
      <c r="UND9" s="3426"/>
      <c r="UNE9" s="3426"/>
      <c r="UNF9" s="3426"/>
      <c r="UNG9" s="3426"/>
      <c r="UNH9" s="3426"/>
      <c r="UNI9" s="3426"/>
      <c r="UNJ9" s="3426"/>
      <c r="UNK9" s="3426"/>
      <c r="UNL9" s="3426"/>
      <c r="UNM9" s="3426"/>
      <c r="UNN9" s="3426"/>
      <c r="UNO9" s="3426"/>
      <c r="UNP9" s="3426"/>
      <c r="UNQ9" s="3426"/>
      <c r="UNR9" s="3426"/>
      <c r="UNS9" s="3426"/>
      <c r="UNT9" s="3426"/>
      <c r="UNU9" s="3426"/>
      <c r="UNV9" s="3426"/>
      <c r="UNW9" s="3426"/>
      <c r="UNX9" s="3426"/>
      <c r="UNY9" s="3426"/>
      <c r="UNZ9" s="3426"/>
      <c r="UOA9" s="3426"/>
      <c r="UOB9" s="3426"/>
      <c r="UOC9" s="3426"/>
      <c r="UOD9" s="3426"/>
      <c r="UOE9" s="3426"/>
      <c r="UOF9" s="3426"/>
      <c r="UOG9" s="3426"/>
      <c r="UOH9" s="3426"/>
      <c r="UOI9" s="3426"/>
      <c r="UOJ9" s="3426"/>
      <c r="UOK9" s="3426"/>
      <c r="UOL9" s="3426"/>
      <c r="UOM9" s="3426"/>
      <c r="UON9" s="3426"/>
      <c r="UOO9" s="3426"/>
      <c r="UOP9" s="3426"/>
      <c r="UOQ9" s="3426"/>
      <c r="UOR9" s="3426"/>
      <c r="UOS9" s="3426"/>
      <c r="UOT9" s="3426"/>
      <c r="UOU9" s="3426"/>
      <c r="UOV9" s="3426"/>
      <c r="UOW9" s="3426"/>
      <c r="UOX9" s="3426"/>
      <c r="UOY9" s="3426"/>
      <c r="UOZ9" s="3426"/>
      <c r="UPA9" s="3426"/>
      <c r="UPB9" s="3426"/>
      <c r="UPC9" s="3426"/>
      <c r="UPD9" s="3426"/>
      <c r="UPE9" s="3426"/>
      <c r="UPF9" s="3426"/>
      <c r="UPG9" s="3426"/>
      <c r="UPH9" s="3426"/>
      <c r="UPI9" s="3426"/>
      <c r="UPJ9" s="3426"/>
      <c r="UPK9" s="3426"/>
      <c r="UPL9" s="3426"/>
      <c r="UPM9" s="3426"/>
      <c r="UPN9" s="3426"/>
      <c r="UPO9" s="3426"/>
      <c r="UPP9" s="3426"/>
      <c r="UPQ9" s="3426"/>
      <c r="UPR9" s="3426"/>
      <c r="UPS9" s="3426"/>
      <c r="UPT9" s="3426"/>
      <c r="UPU9" s="3426"/>
      <c r="UPV9" s="3426"/>
      <c r="UPW9" s="3426"/>
      <c r="UPX9" s="3426"/>
      <c r="UPY9" s="3426"/>
      <c r="UPZ9" s="3426"/>
      <c r="UQA9" s="3426"/>
      <c r="UQB9" s="3426"/>
      <c r="UQC9" s="3426"/>
      <c r="UQD9" s="3426"/>
      <c r="UQE9" s="3426"/>
      <c r="UQF9" s="3426"/>
      <c r="UQG9" s="3426"/>
      <c r="UQH9" s="3426"/>
      <c r="UQI9" s="3426"/>
      <c r="UQJ9" s="3426"/>
      <c r="UQK9" s="3426"/>
      <c r="UQL9" s="3426"/>
      <c r="UQM9" s="3426"/>
      <c r="UQN9" s="3426"/>
      <c r="UQO9" s="3426"/>
      <c r="UQP9" s="3426"/>
      <c r="UQQ9" s="3426"/>
      <c r="UQR9" s="3426"/>
      <c r="UQS9" s="3426"/>
      <c r="UQT9" s="3426"/>
      <c r="UQU9" s="3426"/>
      <c r="UQV9" s="3426"/>
      <c r="UQW9" s="3426"/>
      <c r="UQX9" s="3426"/>
      <c r="UQY9" s="3426"/>
      <c r="UQZ9" s="3426"/>
      <c r="URA9" s="3426"/>
      <c r="URB9" s="3426"/>
      <c r="URC9" s="3426"/>
      <c r="URD9" s="3426"/>
      <c r="URE9" s="3426"/>
      <c r="URF9" s="3426"/>
      <c r="URG9" s="3426"/>
      <c r="URH9" s="3426"/>
      <c r="URI9" s="3426"/>
      <c r="URJ9" s="3426"/>
      <c r="URK9" s="3426"/>
      <c r="URL9" s="3426"/>
      <c r="URM9" s="3426"/>
      <c r="URN9" s="3426"/>
      <c r="URO9" s="3426"/>
      <c r="URP9" s="3426"/>
      <c r="URQ9" s="3426"/>
      <c r="URR9" s="3426"/>
      <c r="URS9" s="3426"/>
      <c r="URT9" s="3426"/>
      <c r="URU9" s="3426"/>
      <c r="URV9" s="3426"/>
      <c r="URW9" s="3426"/>
      <c r="URX9" s="3426"/>
      <c r="URY9" s="3426"/>
      <c r="URZ9" s="3426"/>
      <c r="USA9" s="3426"/>
      <c r="USB9" s="3426"/>
      <c r="USC9" s="3426"/>
      <c r="USD9" s="3426"/>
      <c r="USE9" s="3426"/>
      <c r="USF9" s="3426"/>
      <c r="USG9" s="3426"/>
      <c r="USH9" s="3426"/>
      <c r="USI9" s="3426"/>
      <c r="USJ9" s="3426"/>
      <c r="USK9" s="3426"/>
      <c r="USL9" s="3426"/>
      <c r="USM9" s="3426"/>
      <c r="USN9" s="3426"/>
      <c r="USO9" s="3426"/>
      <c r="USP9" s="3426"/>
      <c r="USQ9" s="3426"/>
      <c r="USR9" s="3426"/>
      <c r="USS9" s="3426"/>
      <c r="UST9" s="3426"/>
      <c r="USU9" s="3426"/>
      <c r="USV9" s="3426"/>
      <c r="USW9" s="3426"/>
      <c r="USX9" s="3426"/>
      <c r="USY9" s="3426"/>
      <c r="USZ9" s="3426"/>
      <c r="UTA9" s="3426"/>
      <c r="UTB9" s="3426"/>
      <c r="UTC9" s="3426"/>
      <c r="UTD9" s="3426"/>
      <c r="UTE9" s="3426"/>
      <c r="UTF9" s="3426"/>
      <c r="UTG9" s="3426"/>
      <c r="UTH9" s="3426"/>
      <c r="UTI9" s="3426"/>
      <c r="UTJ9" s="3426"/>
      <c r="UTK9" s="3426"/>
      <c r="UTL9" s="3426"/>
      <c r="UTM9" s="3426"/>
      <c r="UTN9" s="3426"/>
      <c r="UTO9" s="3426"/>
      <c r="UTP9" s="3426"/>
      <c r="UTQ9" s="3426"/>
      <c r="UTR9" s="3426"/>
      <c r="UTS9" s="3426"/>
      <c r="UTT9" s="3426"/>
      <c r="UTU9" s="3426"/>
      <c r="UTV9" s="3426"/>
      <c r="UTW9" s="3426"/>
      <c r="UTX9" s="3426"/>
      <c r="UTY9" s="3426"/>
      <c r="UTZ9" s="3426"/>
      <c r="UUA9" s="3426"/>
      <c r="UUB9" s="3426"/>
      <c r="UUC9" s="3426"/>
      <c r="UUD9" s="3426"/>
      <c r="UUE9" s="3426"/>
      <c r="UUF9" s="3426"/>
      <c r="UUG9" s="3426"/>
      <c r="UUH9" s="3426"/>
      <c r="UUI9" s="3426"/>
      <c r="UUJ9" s="3426"/>
      <c r="UUK9" s="3426"/>
      <c r="UUL9" s="3426"/>
      <c r="UUM9" s="3426"/>
      <c r="UUN9" s="3426"/>
      <c r="UUO9" s="3426"/>
      <c r="UUP9" s="3426"/>
      <c r="UUQ9" s="3426"/>
      <c r="UUR9" s="3426"/>
      <c r="UUS9" s="3426"/>
      <c r="UUT9" s="3426"/>
      <c r="UUU9" s="3426"/>
      <c r="UUV9" s="3426"/>
      <c r="UUW9" s="3426"/>
      <c r="UUX9" s="3426"/>
      <c r="UUY9" s="3426"/>
      <c r="UUZ9" s="3426"/>
      <c r="UVA9" s="3426"/>
      <c r="UVB9" s="3426"/>
      <c r="UVC9" s="3426"/>
      <c r="UVD9" s="3426"/>
      <c r="UVE9" s="3426"/>
      <c r="UVF9" s="3426"/>
      <c r="UVG9" s="3426"/>
      <c r="UVH9" s="3426"/>
      <c r="UVI9" s="3426"/>
      <c r="UVJ9" s="3426"/>
      <c r="UVK9" s="3426"/>
      <c r="UVL9" s="3426"/>
      <c r="UVM9" s="3426"/>
      <c r="UVN9" s="3426"/>
      <c r="UVO9" s="3426"/>
      <c r="UVP9" s="3426"/>
      <c r="UVQ9" s="3426"/>
      <c r="UVR9" s="3426"/>
      <c r="UVS9" s="3426"/>
      <c r="UVT9" s="3426"/>
      <c r="UVU9" s="3426"/>
      <c r="UVV9" s="3426"/>
      <c r="UVW9" s="3426"/>
      <c r="UVX9" s="3426"/>
      <c r="UVY9" s="3426"/>
      <c r="UVZ9" s="3426"/>
      <c r="UWA9" s="3426"/>
      <c r="UWB9" s="3426"/>
      <c r="UWC9" s="3426"/>
      <c r="UWD9" s="3426"/>
      <c r="UWE9" s="3426"/>
      <c r="UWF9" s="3426"/>
      <c r="UWG9" s="3426"/>
      <c r="UWH9" s="3426"/>
      <c r="UWI9" s="3426"/>
      <c r="UWJ9" s="3426"/>
      <c r="UWK9" s="3426"/>
      <c r="UWL9" s="3426"/>
      <c r="UWM9" s="3426"/>
      <c r="UWN9" s="3426"/>
      <c r="UWO9" s="3426"/>
      <c r="UWP9" s="3426"/>
      <c r="UWQ9" s="3426"/>
      <c r="UWR9" s="3426"/>
      <c r="UWS9" s="3426"/>
      <c r="UWT9" s="3426"/>
      <c r="UWU9" s="3426"/>
      <c r="UWV9" s="3426"/>
      <c r="UWW9" s="3426"/>
      <c r="UWX9" s="3426"/>
      <c r="UWY9" s="3426"/>
      <c r="UWZ9" s="3426"/>
      <c r="UXA9" s="3426"/>
      <c r="UXB9" s="3426"/>
      <c r="UXC9" s="3426"/>
      <c r="UXD9" s="3426"/>
      <c r="UXE9" s="3426"/>
      <c r="UXF9" s="3426"/>
      <c r="UXG9" s="3426"/>
      <c r="UXH9" s="3426"/>
      <c r="UXI9" s="3426"/>
      <c r="UXJ9" s="3426"/>
      <c r="UXK9" s="3426"/>
      <c r="UXL9" s="3426"/>
      <c r="UXM9" s="3426"/>
      <c r="UXN9" s="3426"/>
      <c r="UXO9" s="3426"/>
      <c r="UXP9" s="3426"/>
      <c r="UXQ9" s="3426"/>
      <c r="UXR9" s="3426"/>
      <c r="UXS9" s="3426"/>
      <c r="UXT9" s="3426"/>
      <c r="UXU9" s="3426"/>
      <c r="UXV9" s="3426"/>
      <c r="UXW9" s="3426"/>
      <c r="UXX9" s="3426"/>
      <c r="UXY9" s="3426"/>
      <c r="UXZ9" s="3426"/>
      <c r="UYA9" s="3426"/>
      <c r="UYB9" s="3426"/>
      <c r="UYC9" s="3426"/>
      <c r="UYD9" s="3426"/>
      <c r="UYE9" s="3426"/>
      <c r="UYF9" s="3426"/>
      <c r="UYG9" s="3426"/>
      <c r="UYH9" s="3426"/>
      <c r="UYI9" s="3426"/>
      <c r="UYJ9" s="3426"/>
      <c r="UYK9" s="3426"/>
      <c r="UYL9" s="3426"/>
      <c r="UYM9" s="3426"/>
      <c r="UYN9" s="3426"/>
      <c r="UYO9" s="3426"/>
      <c r="UYP9" s="3426"/>
      <c r="UYQ9" s="3426"/>
      <c r="UYR9" s="3426"/>
      <c r="UYS9" s="3426"/>
      <c r="UYT9" s="3426"/>
      <c r="UYU9" s="3426"/>
      <c r="UYV9" s="3426"/>
      <c r="UYW9" s="3426"/>
      <c r="UYX9" s="3426"/>
      <c r="UYY9" s="3426"/>
      <c r="UYZ9" s="3426"/>
      <c r="UZA9" s="3426"/>
      <c r="UZB9" s="3426"/>
      <c r="UZC9" s="3426"/>
      <c r="UZD9" s="3426"/>
      <c r="UZE9" s="3426"/>
      <c r="UZF9" s="3426"/>
      <c r="UZG9" s="3426"/>
      <c r="UZH9" s="3426"/>
      <c r="UZI9" s="3426"/>
      <c r="UZJ9" s="3426"/>
      <c r="UZK9" s="3426"/>
      <c r="UZL9" s="3426"/>
      <c r="UZM9" s="3426"/>
      <c r="UZN9" s="3426"/>
      <c r="UZO9" s="3426"/>
      <c r="UZP9" s="3426"/>
      <c r="UZQ9" s="3426"/>
      <c r="UZR9" s="3426"/>
      <c r="UZS9" s="3426"/>
      <c r="UZT9" s="3426"/>
      <c r="UZU9" s="3426"/>
      <c r="UZV9" s="3426"/>
      <c r="UZW9" s="3426"/>
      <c r="UZX9" s="3426"/>
      <c r="UZY9" s="3426"/>
      <c r="UZZ9" s="3426"/>
      <c r="VAA9" s="3426"/>
      <c r="VAB9" s="3426"/>
      <c r="VAC9" s="3426"/>
      <c r="VAD9" s="3426"/>
      <c r="VAE9" s="3426"/>
      <c r="VAF9" s="3426"/>
      <c r="VAG9" s="3426"/>
      <c r="VAH9" s="3426"/>
      <c r="VAI9" s="3426"/>
      <c r="VAJ9" s="3426"/>
      <c r="VAK9" s="3426"/>
      <c r="VAL9" s="3426"/>
      <c r="VAM9" s="3426"/>
      <c r="VAN9" s="3426"/>
      <c r="VAO9" s="3426"/>
      <c r="VAP9" s="3426"/>
      <c r="VAQ9" s="3426"/>
      <c r="VAR9" s="3426"/>
      <c r="VAS9" s="3426"/>
      <c r="VAT9" s="3426"/>
      <c r="VAU9" s="3426"/>
      <c r="VAV9" s="3426"/>
      <c r="VAW9" s="3426"/>
      <c r="VAX9" s="3426"/>
      <c r="VAY9" s="3426"/>
      <c r="VAZ9" s="3426"/>
      <c r="VBA9" s="3426"/>
      <c r="VBB9" s="3426"/>
      <c r="VBC9" s="3426"/>
      <c r="VBD9" s="3426"/>
      <c r="VBE9" s="3426"/>
      <c r="VBF9" s="3426"/>
      <c r="VBG9" s="3426"/>
      <c r="VBH9" s="3426"/>
      <c r="VBI9" s="3426"/>
      <c r="VBJ9" s="3426"/>
      <c r="VBK9" s="3426"/>
      <c r="VBL9" s="3426"/>
      <c r="VBM9" s="3426"/>
      <c r="VBN9" s="3426"/>
      <c r="VBO9" s="3426"/>
      <c r="VBP9" s="3426"/>
      <c r="VBQ9" s="3426"/>
      <c r="VBR9" s="3426"/>
      <c r="VBS9" s="3426"/>
      <c r="VBT9" s="3426"/>
      <c r="VBU9" s="3426"/>
      <c r="VBV9" s="3426"/>
      <c r="VBW9" s="3426"/>
      <c r="VBX9" s="3426"/>
      <c r="VBY9" s="3426"/>
      <c r="VBZ9" s="3426"/>
      <c r="VCA9" s="3426"/>
      <c r="VCB9" s="3426"/>
      <c r="VCC9" s="3426"/>
      <c r="VCD9" s="3426"/>
      <c r="VCE9" s="3426"/>
      <c r="VCF9" s="3426"/>
      <c r="VCG9" s="3426"/>
      <c r="VCH9" s="3426"/>
      <c r="VCI9" s="3426"/>
      <c r="VCJ9" s="3426"/>
      <c r="VCK9" s="3426"/>
      <c r="VCL9" s="3426"/>
      <c r="VCM9" s="3426"/>
      <c r="VCN9" s="3426"/>
      <c r="VCO9" s="3426"/>
      <c r="VCP9" s="3426"/>
      <c r="VCQ9" s="3426"/>
      <c r="VCR9" s="3426"/>
      <c r="VCS9" s="3426"/>
      <c r="VCT9" s="3426"/>
      <c r="VCU9" s="3426"/>
      <c r="VCV9" s="3426"/>
      <c r="VCW9" s="3426"/>
      <c r="VCX9" s="3426"/>
      <c r="VCY9" s="3426"/>
      <c r="VCZ9" s="3426"/>
      <c r="VDA9" s="3426"/>
      <c r="VDB9" s="3426"/>
      <c r="VDC9" s="3426"/>
      <c r="VDD9" s="3426"/>
      <c r="VDE9" s="3426"/>
      <c r="VDF9" s="3426"/>
      <c r="VDG9" s="3426"/>
      <c r="VDH9" s="3426"/>
      <c r="VDI9" s="3426"/>
      <c r="VDJ9" s="3426"/>
      <c r="VDK9" s="3426"/>
      <c r="VDL9" s="3426"/>
      <c r="VDM9" s="3426"/>
      <c r="VDN9" s="3426"/>
      <c r="VDO9" s="3426"/>
      <c r="VDP9" s="3426"/>
      <c r="VDQ9" s="3426"/>
      <c r="VDR9" s="3426"/>
      <c r="VDS9" s="3426"/>
      <c r="VDT9" s="3426"/>
      <c r="VDU9" s="3426"/>
      <c r="VDV9" s="3426"/>
      <c r="VDW9" s="3426"/>
      <c r="VDX9" s="3426"/>
      <c r="VDY9" s="3426"/>
      <c r="VDZ9" s="3426"/>
      <c r="VEA9" s="3426"/>
      <c r="VEB9" s="3426"/>
      <c r="VEC9" s="3426"/>
      <c r="VED9" s="3426"/>
      <c r="VEE9" s="3426"/>
      <c r="VEF9" s="3426"/>
      <c r="VEG9" s="3426"/>
      <c r="VEH9" s="3426"/>
      <c r="VEI9" s="3426"/>
      <c r="VEJ9" s="3426"/>
      <c r="VEK9" s="3426"/>
      <c r="VEL9" s="3426"/>
      <c r="VEM9" s="3426"/>
      <c r="VEN9" s="3426"/>
      <c r="VEO9" s="3426"/>
      <c r="VEP9" s="3426"/>
      <c r="VEQ9" s="3426"/>
      <c r="VER9" s="3426"/>
      <c r="VES9" s="3426"/>
      <c r="VET9" s="3426"/>
      <c r="VEU9" s="3426"/>
      <c r="VEV9" s="3426"/>
      <c r="VEW9" s="3426"/>
      <c r="VEX9" s="3426"/>
      <c r="VEY9" s="3426"/>
      <c r="VEZ9" s="3426"/>
      <c r="VFA9" s="3426"/>
      <c r="VFB9" s="3426"/>
      <c r="VFC9" s="3426"/>
      <c r="VFD9" s="3426"/>
      <c r="VFE9" s="3426"/>
      <c r="VFF9" s="3426"/>
      <c r="VFG9" s="3426"/>
      <c r="VFH9" s="3426"/>
      <c r="VFI9" s="3426"/>
      <c r="VFJ9" s="3426"/>
      <c r="VFK9" s="3426"/>
      <c r="VFL9" s="3426"/>
      <c r="VFM9" s="3426"/>
      <c r="VFN9" s="3426"/>
      <c r="VFO9" s="3426"/>
      <c r="VFP9" s="3426"/>
      <c r="VFQ9" s="3426"/>
      <c r="VFR9" s="3426"/>
      <c r="VFS9" s="3426"/>
      <c r="VFT9" s="3426"/>
      <c r="VFU9" s="3426"/>
      <c r="VFV9" s="3426"/>
      <c r="VFW9" s="3426"/>
      <c r="VFX9" s="3426"/>
      <c r="VFY9" s="3426"/>
      <c r="VFZ9" s="3426"/>
      <c r="VGA9" s="3426"/>
      <c r="VGB9" s="3426"/>
      <c r="VGC9" s="3426"/>
      <c r="VGD9" s="3426"/>
      <c r="VGE9" s="3426"/>
      <c r="VGF9" s="3426"/>
      <c r="VGG9" s="3426"/>
      <c r="VGH9" s="3426"/>
      <c r="VGI9" s="3426"/>
      <c r="VGJ9" s="3426"/>
      <c r="VGK9" s="3426"/>
      <c r="VGL9" s="3426"/>
      <c r="VGM9" s="3426"/>
      <c r="VGN9" s="3426"/>
      <c r="VGO9" s="3426"/>
      <c r="VGP9" s="3426"/>
      <c r="VGQ9" s="3426"/>
      <c r="VGR9" s="3426"/>
      <c r="VGS9" s="3426"/>
      <c r="VGT9" s="3426"/>
      <c r="VGU9" s="3426"/>
      <c r="VGV9" s="3426"/>
      <c r="VGW9" s="3426"/>
      <c r="VGX9" s="3426"/>
      <c r="VGY9" s="3426"/>
      <c r="VGZ9" s="3426"/>
      <c r="VHA9" s="3426"/>
      <c r="VHB9" s="3426"/>
      <c r="VHC9" s="3426"/>
      <c r="VHD9" s="3426"/>
      <c r="VHE9" s="3426"/>
      <c r="VHF9" s="3426"/>
      <c r="VHG9" s="3426"/>
      <c r="VHH9" s="3426"/>
      <c r="VHI9" s="3426"/>
      <c r="VHJ9" s="3426"/>
      <c r="VHK9" s="3426"/>
      <c r="VHL9" s="3426"/>
      <c r="VHM9" s="3426"/>
      <c r="VHN9" s="3426"/>
      <c r="VHO9" s="3426"/>
      <c r="VHP9" s="3426"/>
      <c r="VHQ9" s="3426"/>
      <c r="VHR9" s="3426"/>
      <c r="VHS9" s="3426"/>
      <c r="VHT9" s="3426"/>
      <c r="VHU9" s="3426"/>
      <c r="VHV9" s="3426"/>
      <c r="VHW9" s="3426"/>
      <c r="VHX9" s="3426"/>
      <c r="VHY9" s="3426"/>
      <c r="VHZ9" s="3426"/>
      <c r="VIA9" s="3426"/>
      <c r="VIB9" s="3426"/>
      <c r="VIC9" s="3426"/>
      <c r="VID9" s="3426"/>
      <c r="VIE9" s="3426"/>
      <c r="VIF9" s="3426"/>
      <c r="VIG9" s="3426"/>
      <c r="VIH9" s="3426"/>
      <c r="VII9" s="3426"/>
      <c r="VIJ9" s="3426"/>
      <c r="VIK9" s="3426"/>
      <c r="VIL9" s="3426"/>
      <c r="VIM9" s="3426"/>
      <c r="VIN9" s="3426"/>
      <c r="VIO9" s="3426"/>
      <c r="VIP9" s="3426"/>
      <c r="VIQ9" s="3426"/>
      <c r="VIR9" s="3426"/>
      <c r="VIS9" s="3426"/>
      <c r="VIT9" s="3426"/>
      <c r="VIU9" s="3426"/>
      <c r="VIV9" s="3426"/>
      <c r="VIW9" s="3426"/>
      <c r="VIX9" s="3426"/>
      <c r="VIY9" s="3426"/>
      <c r="VIZ9" s="3426"/>
      <c r="VJA9" s="3426"/>
      <c r="VJB9" s="3426"/>
      <c r="VJC9" s="3426"/>
      <c r="VJD9" s="3426"/>
      <c r="VJE9" s="3426"/>
      <c r="VJF9" s="3426"/>
      <c r="VJG9" s="3426"/>
      <c r="VJH9" s="3426"/>
      <c r="VJI9" s="3426"/>
      <c r="VJJ9" s="3426"/>
      <c r="VJK9" s="3426"/>
      <c r="VJL9" s="3426"/>
      <c r="VJM9" s="3426"/>
      <c r="VJN9" s="3426"/>
      <c r="VJO9" s="3426"/>
      <c r="VJP9" s="3426"/>
      <c r="VJQ9" s="3426"/>
      <c r="VJR9" s="3426"/>
      <c r="VJS9" s="3426"/>
      <c r="VJT9" s="3426"/>
      <c r="VJU9" s="3426"/>
      <c r="VJV9" s="3426"/>
      <c r="VJW9" s="3426"/>
      <c r="VJX9" s="3426"/>
      <c r="VJY9" s="3426"/>
      <c r="VJZ9" s="3426"/>
      <c r="VKA9" s="3426"/>
      <c r="VKB9" s="3426"/>
      <c r="VKC9" s="3426"/>
      <c r="VKD9" s="3426"/>
      <c r="VKE9" s="3426"/>
      <c r="VKF9" s="3426"/>
      <c r="VKG9" s="3426"/>
      <c r="VKH9" s="3426"/>
      <c r="VKI9" s="3426"/>
      <c r="VKJ9" s="3426"/>
      <c r="VKK9" s="3426"/>
      <c r="VKL9" s="3426"/>
      <c r="VKM9" s="3426"/>
      <c r="VKN9" s="3426"/>
      <c r="VKO9" s="3426"/>
      <c r="VKP9" s="3426"/>
      <c r="VKQ9" s="3426"/>
      <c r="VKR9" s="3426"/>
      <c r="VKS9" s="3426"/>
      <c r="VKT9" s="3426"/>
      <c r="VKU9" s="3426"/>
      <c r="VKV9" s="3426"/>
      <c r="VKW9" s="3426"/>
      <c r="VKX9" s="3426"/>
      <c r="VKY9" s="3426"/>
      <c r="VKZ9" s="3426"/>
      <c r="VLA9" s="3426"/>
      <c r="VLB9" s="3426"/>
      <c r="VLC9" s="3426"/>
      <c r="VLD9" s="3426"/>
      <c r="VLE9" s="3426"/>
      <c r="VLF9" s="3426"/>
      <c r="VLG9" s="3426"/>
      <c r="VLH9" s="3426"/>
      <c r="VLI9" s="3426"/>
      <c r="VLJ9" s="3426"/>
      <c r="VLK9" s="3426"/>
      <c r="VLL9" s="3426"/>
      <c r="VLM9" s="3426"/>
      <c r="VLN9" s="3426"/>
      <c r="VLO9" s="3426"/>
      <c r="VLP9" s="3426"/>
      <c r="VLQ9" s="3426"/>
      <c r="VLR9" s="3426"/>
      <c r="VLS9" s="3426"/>
      <c r="VLT9" s="3426"/>
      <c r="VLU9" s="3426"/>
      <c r="VLV9" s="3426"/>
      <c r="VLW9" s="3426"/>
      <c r="VLX9" s="3426"/>
      <c r="VLY9" s="3426"/>
      <c r="VLZ9" s="3426"/>
      <c r="VMA9" s="3426"/>
      <c r="VMB9" s="3426"/>
      <c r="VMC9" s="3426"/>
      <c r="VMD9" s="3426"/>
      <c r="VME9" s="3426"/>
      <c r="VMF9" s="3426"/>
      <c r="VMG9" s="3426"/>
      <c r="VMH9" s="3426"/>
      <c r="VMI9" s="3426"/>
      <c r="VMJ9" s="3426"/>
      <c r="VMK9" s="3426"/>
      <c r="VML9" s="3426"/>
      <c r="VMM9" s="3426"/>
      <c r="VMN9" s="3426"/>
      <c r="VMO9" s="3426"/>
      <c r="VMP9" s="3426"/>
      <c r="VMQ9" s="3426"/>
      <c r="VMR9" s="3426"/>
      <c r="VMS9" s="3426"/>
      <c r="VMT9" s="3426"/>
      <c r="VMU9" s="3426"/>
      <c r="VMV9" s="3426"/>
      <c r="VMW9" s="3426"/>
      <c r="VMX9" s="3426"/>
      <c r="VMY9" s="3426"/>
      <c r="VMZ9" s="3426"/>
      <c r="VNA9" s="3426"/>
      <c r="VNB9" s="3426"/>
      <c r="VNC9" s="3426"/>
      <c r="VND9" s="3426"/>
      <c r="VNE9" s="3426"/>
      <c r="VNF9" s="3426"/>
      <c r="VNG9" s="3426"/>
      <c r="VNH9" s="3426"/>
      <c r="VNI9" s="3426"/>
      <c r="VNJ9" s="3426"/>
      <c r="VNK9" s="3426"/>
      <c r="VNL9" s="3426"/>
      <c r="VNM9" s="3426"/>
      <c r="VNN9" s="3426"/>
      <c r="VNO9" s="3426"/>
      <c r="VNP9" s="3426"/>
      <c r="VNQ9" s="3426"/>
      <c r="VNR9" s="3426"/>
      <c r="VNS9" s="3426"/>
      <c r="VNT9" s="3426"/>
      <c r="VNU9" s="3426"/>
      <c r="VNV9" s="3426"/>
      <c r="VNW9" s="3426"/>
      <c r="VNX9" s="3426"/>
      <c r="VNY9" s="3426"/>
      <c r="VNZ9" s="3426"/>
      <c r="VOA9" s="3426"/>
      <c r="VOB9" s="3426"/>
      <c r="VOC9" s="3426"/>
      <c r="VOD9" s="3426"/>
      <c r="VOE9" s="3426"/>
      <c r="VOF9" s="3426"/>
      <c r="VOG9" s="3426"/>
      <c r="VOH9" s="3426"/>
      <c r="VOI9" s="3426"/>
      <c r="VOJ9" s="3426"/>
      <c r="VOK9" s="3426"/>
      <c r="VOL9" s="3426"/>
      <c r="VOM9" s="3426"/>
      <c r="VON9" s="3426"/>
      <c r="VOO9" s="3426"/>
      <c r="VOP9" s="3426"/>
      <c r="VOQ9" s="3426"/>
      <c r="VOR9" s="3426"/>
      <c r="VOS9" s="3426"/>
      <c r="VOT9" s="3426"/>
      <c r="VOU9" s="3426"/>
      <c r="VOV9" s="3426"/>
      <c r="VOW9" s="3426"/>
      <c r="VOX9" s="3426"/>
      <c r="VOY9" s="3426"/>
      <c r="VOZ9" s="3426"/>
      <c r="VPA9" s="3426"/>
      <c r="VPB9" s="3426"/>
      <c r="VPC9" s="3426"/>
      <c r="VPD9" s="3426"/>
      <c r="VPE9" s="3426"/>
      <c r="VPF9" s="3426"/>
      <c r="VPG9" s="3426"/>
      <c r="VPH9" s="3426"/>
      <c r="VPI9" s="3426"/>
      <c r="VPJ9" s="3426"/>
      <c r="VPK9" s="3426"/>
      <c r="VPL9" s="3426"/>
      <c r="VPM9" s="3426"/>
      <c r="VPN9" s="3426"/>
      <c r="VPO9" s="3426"/>
      <c r="VPP9" s="3426"/>
      <c r="VPQ9" s="3426"/>
      <c r="VPR9" s="3426"/>
      <c r="VPS9" s="3426"/>
      <c r="VPT9" s="3426"/>
      <c r="VPU9" s="3426"/>
      <c r="VPV9" s="3426"/>
      <c r="VPW9" s="3426"/>
      <c r="VPX9" s="3426"/>
      <c r="VPY9" s="3426"/>
      <c r="VPZ9" s="3426"/>
      <c r="VQA9" s="3426"/>
      <c r="VQB9" s="3426"/>
      <c r="VQC9" s="3426"/>
      <c r="VQD9" s="3426"/>
      <c r="VQE9" s="3426"/>
      <c r="VQF9" s="3426"/>
      <c r="VQG9" s="3426"/>
      <c r="VQH9" s="3426"/>
      <c r="VQI9" s="3426"/>
      <c r="VQJ9" s="3426"/>
      <c r="VQK9" s="3426"/>
      <c r="VQL9" s="3426"/>
      <c r="VQM9" s="3426"/>
      <c r="VQN9" s="3426"/>
      <c r="VQO9" s="3426"/>
      <c r="VQP9" s="3426"/>
      <c r="VQQ9" s="3426"/>
      <c r="VQR9" s="3426"/>
      <c r="VQS9" s="3426"/>
      <c r="VQT9" s="3426"/>
      <c r="VQU9" s="3426"/>
      <c r="VQV9" s="3426"/>
      <c r="VQW9" s="3426"/>
      <c r="VQX9" s="3426"/>
      <c r="VQY9" s="3426"/>
      <c r="VQZ9" s="3426"/>
      <c r="VRA9" s="3426"/>
      <c r="VRB9" s="3426"/>
      <c r="VRC9" s="3426"/>
      <c r="VRD9" s="3426"/>
      <c r="VRE9" s="3426"/>
      <c r="VRF9" s="3426"/>
      <c r="VRG9" s="3426"/>
      <c r="VRH9" s="3426"/>
      <c r="VRI9" s="3426"/>
      <c r="VRJ9" s="3426"/>
      <c r="VRK9" s="3426"/>
      <c r="VRL9" s="3426"/>
      <c r="VRM9" s="3426"/>
      <c r="VRN9" s="3426"/>
      <c r="VRO9" s="3426"/>
      <c r="VRP9" s="3426"/>
      <c r="VRQ9" s="3426"/>
      <c r="VRR9" s="3426"/>
      <c r="VRS9" s="3426"/>
      <c r="VRT9" s="3426"/>
      <c r="VRU9" s="3426"/>
      <c r="VRV9" s="3426"/>
      <c r="VRW9" s="3426"/>
      <c r="VRX9" s="3426"/>
      <c r="VRY9" s="3426"/>
      <c r="VRZ9" s="3426"/>
      <c r="VSA9" s="3426"/>
      <c r="VSB9" s="3426"/>
      <c r="VSC9" s="3426"/>
      <c r="VSD9" s="3426"/>
      <c r="VSE9" s="3426"/>
      <c r="VSF9" s="3426"/>
      <c r="VSG9" s="3426"/>
      <c r="VSH9" s="3426"/>
      <c r="VSI9" s="3426"/>
      <c r="VSJ9" s="3426"/>
      <c r="VSK9" s="3426"/>
      <c r="VSL9" s="3426"/>
      <c r="VSM9" s="3426"/>
      <c r="VSN9" s="3426"/>
      <c r="VSO9" s="3426"/>
      <c r="VSP9" s="3426"/>
      <c r="VSQ9" s="3426"/>
      <c r="VSR9" s="3426"/>
      <c r="VSS9" s="3426"/>
      <c r="VST9" s="3426"/>
      <c r="VSU9" s="3426"/>
      <c r="VSV9" s="3426"/>
      <c r="VSW9" s="3426"/>
      <c r="VSX9" s="3426"/>
      <c r="VSY9" s="3426"/>
      <c r="VSZ9" s="3426"/>
      <c r="VTA9" s="3426"/>
      <c r="VTB9" s="3426"/>
      <c r="VTC9" s="3426"/>
      <c r="VTD9" s="3426"/>
      <c r="VTE9" s="3426"/>
      <c r="VTF9" s="3426"/>
      <c r="VTG9" s="3426"/>
      <c r="VTH9" s="3426"/>
      <c r="VTI9" s="3426"/>
      <c r="VTJ9" s="3426"/>
      <c r="VTK9" s="3426"/>
      <c r="VTL9" s="3426"/>
      <c r="VTM9" s="3426"/>
      <c r="VTN9" s="3426"/>
      <c r="VTO9" s="3426"/>
      <c r="VTP9" s="3426"/>
      <c r="VTQ9" s="3426"/>
      <c r="VTR9" s="3426"/>
      <c r="VTS9" s="3426"/>
      <c r="VTT9" s="3426"/>
      <c r="VTU9" s="3426"/>
      <c r="VTV9" s="3426"/>
      <c r="VTW9" s="3426"/>
      <c r="VTX9" s="3426"/>
      <c r="VTY9" s="3426"/>
      <c r="VTZ9" s="3426"/>
      <c r="VUA9" s="3426"/>
      <c r="VUB9" s="3426"/>
      <c r="VUC9" s="3426"/>
      <c r="VUD9" s="3426"/>
      <c r="VUE9" s="3426"/>
      <c r="VUF9" s="3426"/>
      <c r="VUG9" s="3426"/>
      <c r="VUH9" s="3426"/>
      <c r="VUI9" s="3426"/>
      <c r="VUJ9" s="3426"/>
      <c r="VUK9" s="3426"/>
      <c r="VUL9" s="3426"/>
      <c r="VUM9" s="3426"/>
      <c r="VUN9" s="3426"/>
      <c r="VUO9" s="3426"/>
      <c r="VUP9" s="3426"/>
      <c r="VUQ9" s="3426"/>
      <c r="VUR9" s="3426"/>
      <c r="VUS9" s="3426"/>
      <c r="VUT9" s="3426"/>
      <c r="VUU9" s="3426"/>
      <c r="VUV9" s="3426"/>
      <c r="VUW9" s="3426"/>
      <c r="VUX9" s="3426"/>
      <c r="VUY9" s="3426"/>
      <c r="VUZ9" s="3426"/>
      <c r="VVA9" s="3426"/>
      <c r="VVB9" s="3426"/>
      <c r="VVC9" s="3426"/>
      <c r="VVD9" s="3426"/>
      <c r="VVE9" s="3426"/>
      <c r="VVF9" s="3426"/>
      <c r="VVG9" s="3426"/>
      <c r="VVH9" s="3426"/>
      <c r="VVI9" s="3426"/>
      <c r="VVJ9" s="3426"/>
      <c r="VVK9" s="3426"/>
      <c r="VVL9" s="3426"/>
      <c r="VVM9" s="3426"/>
      <c r="VVN9" s="3426"/>
      <c r="VVO9" s="3426"/>
      <c r="VVP9" s="3426"/>
      <c r="VVQ9" s="3426"/>
      <c r="VVR9" s="3426"/>
      <c r="VVS9" s="3426"/>
      <c r="VVT9" s="3426"/>
      <c r="VVU9" s="3426"/>
      <c r="VVV9" s="3426"/>
      <c r="VVW9" s="3426"/>
      <c r="VVX9" s="3426"/>
      <c r="VVY9" s="3426"/>
      <c r="VVZ9" s="3426"/>
      <c r="VWA9" s="3426"/>
      <c r="VWB9" s="3426"/>
      <c r="VWC9" s="3426"/>
      <c r="VWD9" s="3426"/>
      <c r="VWE9" s="3426"/>
      <c r="VWF9" s="3426"/>
      <c r="VWG9" s="3426"/>
      <c r="VWH9" s="3426"/>
      <c r="VWI9" s="3426"/>
      <c r="VWJ9" s="3426"/>
      <c r="VWK9" s="3426"/>
      <c r="VWL9" s="3426"/>
      <c r="VWM9" s="3426"/>
      <c r="VWN9" s="3426"/>
      <c r="VWO9" s="3426"/>
      <c r="VWP9" s="3426"/>
      <c r="VWQ9" s="3426"/>
      <c r="VWR9" s="3426"/>
      <c r="VWS9" s="3426"/>
      <c r="VWT9" s="3426"/>
      <c r="VWU9" s="3426"/>
      <c r="VWV9" s="3426"/>
      <c r="VWW9" s="3426"/>
      <c r="VWX9" s="3426"/>
      <c r="VWY9" s="3426"/>
      <c r="VWZ9" s="3426"/>
      <c r="VXA9" s="3426"/>
      <c r="VXB9" s="3426"/>
      <c r="VXC9" s="3426"/>
      <c r="VXD9" s="3426"/>
      <c r="VXE9" s="3426"/>
      <c r="VXF9" s="3426"/>
      <c r="VXG9" s="3426"/>
      <c r="VXH9" s="3426"/>
      <c r="VXI9" s="3426"/>
      <c r="VXJ9" s="3426"/>
      <c r="VXK9" s="3426"/>
      <c r="VXL9" s="3426"/>
      <c r="VXM9" s="3426"/>
      <c r="VXN9" s="3426"/>
      <c r="VXO9" s="3426"/>
      <c r="VXP9" s="3426"/>
      <c r="VXQ9" s="3426"/>
      <c r="VXR9" s="3426"/>
      <c r="VXS9" s="3426"/>
      <c r="VXT9" s="3426"/>
      <c r="VXU9" s="3426"/>
      <c r="VXV9" s="3426"/>
      <c r="VXW9" s="3426"/>
      <c r="VXX9" s="3426"/>
      <c r="VXY9" s="3426"/>
      <c r="VXZ9" s="3426"/>
      <c r="VYA9" s="3426"/>
      <c r="VYB9" s="3426"/>
      <c r="VYC9" s="3426"/>
      <c r="VYD9" s="3426"/>
      <c r="VYE9" s="3426"/>
      <c r="VYF9" s="3426"/>
      <c r="VYG9" s="3426"/>
      <c r="VYH9" s="3426"/>
      <c r="VYI9" s="3426"/>
      <c r="VYJ9" s="3426"/>
      <c r="VYK9" s="3426"/>
      <c r="VYL9" s="3426"/>
      <c r="VYM9" s="3426"/>
      <c r="VYN9" s="3426"/>
      <c r="VYO9" s="3426"/>
      <c r="VYP9" s="3426"/>
      <c r="VYQ9" s="3426"/>
      <c r="VYR9" s="3426"/>
      <c r="VYS9" s="3426"/>
      <c r="VYT9" s="3426"/>
      <c r="VYU9" s="3426"/>
      <c r="VYV9" s="3426"/>
      <c r="VYW9" s="3426"/>
      <c r="VYX9" s="3426"/>
      <c r="VYY9" s="3426"/>
      <c r="VYZ9" s="3426"/>
      <c r="VZA9" s="3426"/>
      <c r="VZB9" s="3426"/>
      <c r="VZC9" s="3426"/>
      <c r="VZD9" s="3426"/>
      <c r="VZE9" s="3426"/>
      <c r="VZF9" s="3426"/>
      <c r="VZG9" s="3426"/>
      <c r="VZH9" s="3426"/>
      <c r="VZI9" s="3426"/>
      <c r="VZJ9" s="3426"/>
      <c r="VZK9" s="3426"/>
      <c r="VZL9" s="3426"/>
      <c r="VZM9" s="3426"/>
      <c r="VZN9" s="3426"/>
      <c r="VZO9" s="3426"/>
      <c r="VZP9" s="3426"/>
      <c r="VZQ9" s="3426"/>
      <c r="VZR9" s="3426"/>
      <c r="VZS9" s="3426"/>
      <c r="VZT9" s="3426"/>
      <c r="VZU9" s="3426"/>
      <c r="VZV9" s="3426"/>
      <c r="VZW9" s="3426"/>
      <c r="VZX9" s="3426"/>
      <c r="VZY9" s="3426"/>
      <c r="VZZ9" s="3426"/>
      <c r="WAA9" s="3426"/>
      <c r="WAB9" s="3426"/>
      <c r="WAC9" s="3426"/>
      <c r="WAD9" s="3426"/>
      <c r="WAE9" s="3426"/>
      <c r="WAF9" s="3426"/>
      <c r="WAG9" s="3426"/>
      <c r="WAH9" s="3426"/>
      <c r="WAI9" s="3426"/>
      <c r="WAJ9" s="3426"/>
      <c r="WAK9" s="3426"/>
      <c r="WAL9" s="3426"/>
      <c r="WAM9" s="3426"/>
      <c r="WAN9" s="3426"/>
      <c r="WAO9" s="3426"/>
      <c r="WAP9" s="3426"/>
      <c r="WAQ9" s="3426"/>
      <c r="WAR9" s="3426"/>
      <c r="WAS9" s="3426"/>
      <c r="WAT9" s="3426"/>
      <c r="WAU9" s="3426"/>
      <c r="WAV9" s="3426"/>
      <c r="WAW9" s="3426"/>
      <c r="WAX9" s="3426"/>
      <c r="WAY9" s="3426"/>
      <c r="WAZ9" s="3426"/>
      <c r="WBA9" s="3426"/>
      <c r="WBB9" s="3426"/>
      <c r="WBC9" s="3426"/>
      <c r="WBD9" s="3426"/>
      <c r="WBE9" s="3426"/>
      <c r="WBF9" s="3426"/>
      <c r="WBG9" s="3426"/>
      <c r="WBH9" s="3426"/>
      <c r="WBI9" s="3426"/>
      <c r="WBJ9" s="3426"/>
      <c r="WBK9" s="3426"/>
      <c r="WBL9" s="3426"/>
      <c r="WBM9" s="3426"/>
      <c r="WBN9" s="3426"/>
      <c r="WBO9" s="3426"/>
      <c r="WBP9" s="3426"/>
      <c r="WBQ9" s="3426"/>
      <c r="WBR9" s="3426"/>
      <c r="WBS9" s="3426"/>
      <c r="WBT9" s="3426"/>
      <c r="WBU9" s="3426"/>
      <c r="WBV9" s="3426"/>
      <c r="WBW9" s="3426"/>
      <c r="WBX9" s="3426"/>
      <c r="WBY9" s="3426"/>
      <c r="WBZ9" s="3426"/>
      <c r="WCA9" s="3426"/>
      <c r="WCB9" s="3426"/>
      <c r="WCC9" s="3426"/>
      <c r="WCD9" s="3426"/>
      <c r="WCE9" s="3426"/>
      <c r="WCF9" s="3426"/>
      <c r="WCG9" s="3426"/>
      <c r="WCH9" s="3426"/>
      <c r="WCI9" s="3426"/>
      <c r="WCJ9" s="3426"/>
      <c r="WCK9" s="3426"/>
      <c r="WCL9" s="3426"/>
      <c r="WCM9" s="3426"/>
      <c r="WCN9" s="3426"/>
      <c r="WCO9" s="3426"/>
      <c r="WCP9" s="3426"/>
      <c r="WCQ9" s="3426"/>
      <c r="WCR9" s="3426"/>
      <c r="WCS9" s="3426"/>
      <c r="WCT9" s="3426"/>
      <c r="WCU9" s="3426"/>
      <c r="WCV9" s="3426"/>
      <c r="WCW9" s="3426"/>
      <c r="WCX9" s="3426"/>
      <c r="WCY9" s="3426"/>
      <c r="WCZ9" s="3426"/>
      <c r="WDA9" s="3426"/>
      <c r="WDB9" s="3426"/>
      <c r="WDC9" s="3426"/>
      <c r="WDD9" s="3426"/>
      <c r="WDE9" s="3426"/>
      <c r="WDF9" s="3426"/>
      <c r="WDG9" s="3426"/>
      <c r="WDH9" s="3426"/>
      <c r="WDI9" s="3426"/>
      <c r="WDJ9" s="3426"/>
      <c r="WDK9" s="3426"/>
      <c r="WDL9" s="3426"/>
      <c r="WDM9" s="3426"/>
      <c r="WDN9" s="3426"/>
      <c r="WDO9" s="3426"/>
      <c r="WDP9" s="3426"/>
      <c r="WDQ9" s="3426"/>
      <c r="WDR9" s="3426"/>
      <c r="WDS9" s="3426"/>
      <c r="WDT9" s="3426"/>
      <c r="WDU9" s="3426"/>
      <c r="WDV9" s="3426"/>
      <c r="WDW9" s="3426"/>
      <c r="WDX9" s="3426"/>
      <c r="WDY9" s="3426"/>
      <c r="WDZ9" s="3426"/>
      <c r="WEA9" s="3426"/>
      <c r="WEB9" s="3426"/>
      <c r="WEC9" s="3426"/>
      <c r="WED9" s="3426"/>
      <c r="WEE9" s="3426"/>
      <c r="WEF9" s="3426"/>
      <c r="WEG9" s="3426"/>
      <c r="WEH9" s="3426"/>
      <c r="WEI9" s="3426"/>
      <c r="WEJ9" s="3426"/>
      <c r="WEK9" s="3426"/>
      <c r="WEL9" s="3426"/>
      <c r="WEM9" s="3426"/>
      <c r="WEN9" s="3426"/>
      <c r="WEO9" s="3426"/>
      <c r="WEP9" s="3426"/>
      <c r="WEQ9" s="3426"/>
      <c r="WER9" s="3426"/>
      <c r="WES9" s="3426"/>
      <c r="WET9" s="3426"/>
      <c r="WEU9" s="3426"/>
      <c r="WEV9" s="3426"/>
      <c r="WEW9" s="3426"/>
      <c r="WEX9" s="3426"/>
      <c r="WEY9" s="3426"/>
      <c r="WEZ9" s="3426"/>
      <c r="WFA9" s="3426"/>
      <c r="WFB9" s="3426"/>
      <c r="WFC9" s="3426"/>
      <c r="WFD9" s="3426"/>
      <c r="WFE9" s="3426"/>
      <c r="WFF9" s="3426"/>
      <c r="WFG9" s="3426"/>
      <c r="WFH9" s="3426"/>
      <c r="WFI9" s="3426"/>
      <c r="WFJ9" s="3426"/>
      <c r="WFK9" s="3426"/>
      <c r="WFL9" s="3426"/>
      <c r="WFM9" s="3426"/>
      <c r="WFN9" s="3426"/>
      <c r="WFO9" s="3426"/>
      <c r="WFP9" s="3426"/>
      <c r="WFQ9" s="3426"/>
      <c r="WFR9" s="3426"/>
      <c r="WFS9" s="3426"/>
      <c r="WFT9" s="3426"/>
      <c r="WFU9" s="3426"/>
      <c r="WFV9" s="3426"/>
      <c r="WFW9" s="3426"/>
      <c r="WFX9" s="3426"/>
      <c r="WFY9" s="3426"/>
      <c r="WFZ9" s="3426"/>
      <c r="WGA9" s="3426"/>
      <c r="WGB9" s="3426"/>
      <c r="WGC9" s="3426"/>
      <c r="WGD9" s="3426"/>
      <c r="WGE9" s="3426"/>
      <c r="WGF9" s="3426"/>
      <c r="WGG9" s="3426"/>
      <c r="WGH9" s="3426"/>
      <c r="WGI9" s="3426"/>
      <c r="WGJ9" s="3426"/>
      <c r="WGK9" s="3426"/>
      <c r="WGL9" s="3426"/>
      <c r="WGM9" s="3426"/>
      <c r="WGN9" s="3426"/>
      <c r="WGO9" s="3426"/>
      <c r="WGP9" s="3426"/>
      <c r="WGQ9" s="3426"/>
      <c r="WGR9" s="3426"/>
      <c r="WGS9" s="3426"/>
      <c r="WGT9" s="3426"/>
      <c r="WGU9" s="3426"/>
      <c r="WGV9" s="3426"/>
      <c r="WGW9" s="3426"/>
      <c r="WGX9" s="3426"/>
      <c r="WGY9" s="3426"/>
      <c r="WGZ9" s="3426"/>
      <c r="WHA9" s="3426"/>
      <c r="WHB9" s="3426"/>
      <c r="WHC9" s="3426"/>
      <c r="WHD9" s="3426"/>
      <c r="WHE9" s="3426"/>
      <c r="WHF9" s="3426"/>
      <c r="WHG9" s="3426"/>
      <c r="WHH9" s="3426"/>
      <c r="WHI9" s="3426"/>
      <c r="WHJ9" s="3426"/>
      <c r="WHK9" s="3426"/>
      <c r="WHL9" s="3426"/>
      <c r="WHM9" s="3426"/>
      <c r="WHN9" s="3426"/>
      <c r="WHO9" s="3426"/>
      <c r="WHP9" s="3426"/>
      <c r="WHQ9" s="3426"/>
      <c r="WHR9" s="3426"/>
      <c r="WHS9" s="3426"/>
      <c r="WHT9" s="3426"/>
      <c r="WHU9" s="3426"/>
      <c r="WHV9" s="3426"/>
      <c r="WHW9" s="3426"/>
      <c r="WHX9" s="3426"/>
      <c r="WHY9" s="3426"/>
      <c r="WHZ9" s="3426"/>
      <c r="WIA9" s="3426"/>
      <c r="WIB9" s="3426"/>
      <c r="WIC9" s="3426"/>
      <c r="WID9" s="3426"/>
      <c r="WIE9" s="3426"/>
      <c r="WIF9" s="3426"/>
      <c r="WIG9" s="3426"/>
      <c r="WIH9" s="3426"/>
      <c r="WII9" s="3426"/>
      <c r="WIJ9" s="3426"/>
      <c r="WIK9" s="3426"/>
      <c r="WIL9" s="3426"/>
      <c r="WIM9" s="3426"/>
      <c r="WIN9" s="3426"/>
      <c r="WIO9" s="3426"/>
      <c r="WIP9" s="3426"/>
      <c r="WIQ9" s="3426"/>
      <c r="WIR9" s="3426"/>
      <c r="WIS9" s="3426"/>
      <c r="WIT9" s="3426"/>
      <c r="WIU9" s="3426"/>
      <c r="WIV9" s="3426"/>
      <c r="WIW9" s="3426"/>
      <c r="WIX9" s="3426"/>
      <c r="WIY9" s="3426"/>
      <c r="WIZ9" s="3426"/>
      <c r="WJA9" s="3426"/>
      <c r="WJB9" s="3426"/>
      <c r="WJC9" s="3426"/>
      <c r="WJD9" s="3426"/>
      <c r="WJE9" s="3426"/>
      <c r="WJF9" s="3426"/>
      <c r="WJG9" s="3426"/>
      <c r="WJH9" s="3426"/>
      <c r="WJI9" s="3426"/>
      <c r="WJJ9" s="3426"/>
      <c r="WJK9" s="3426"/>
      <c r="WJL9" s="3426"/>
      <c r="WJM9" s="3426"/>
      <c r="WJN9" s="3426"/>
      <c r="WJO9" s="3426"/>
      <c r="WJP9" s="3426"/>
      <c r="WJQ9" s="3426"/>
      <c r="WJR9" s="3426"/>
      <c r="WJS9" s="3426"/>
      <c r="WJT9" s="3426"/>
      <c r="WJU9" s="3426"/>
      <c r="WJV9" s="3426"/>
      <c r="WJW9" s="3426"/>
      <c r="WJX9" s="3426"/>
      <c r="WJY9" s="3426"/>
      <c r="WJZ9" s="3426"/>
      <c r="WKA9" s="3426"/>
      <c r="WKB9" s="3426"/>
      <c r="WKC9" s="3426"/>
      <c r="WKD9" s="3426"/>
      <c r="WKE9" s="3426"/>
      <c r="WKF9" s="3426"/>
      <c r="WKG9" s="3426"/>
      <c r="WKH9" s="3426"/>
      <c r="WKI9" s="3426"/>
      <c r="WKJ9" s="3426"/>
      <c r="WKK9" s="3426"/>
      <c r="WKL9" s="3426"/>
      <c r="WKM9" s="3426"/>
      <c r="WKN9" s="3426"/>
      <c r="WKO9" s="3426"/>
      <c r="WKP9" s="3426"/>
      <c r="WKQ9" s="3426"/>
      <c r="WKR9" s="3426"/>
      <c r="WKS9" s="3426"/>
      <c r="WKT9" s="3426"/>
      <c r="WKU9" s="3426"/>
      <c r="WKV9" s="3426"/>
      <c r="WKW9" s="3426"/>
      <c r="WKX9" s="3426"/>
      <c r="WKY9" s="3426"/>
      <c r="WKZ9" s="3426"/>
      <c r="WLA9" s="3426"/>
      <c r="WLB9" s="3426"/>
      <c r="WLC9" s="3426"/>
      <c r="WLD9" s="3426"/>
      <c r="WLE9" s="3426"/>
      <c r="WLF9" s="3426"/>
      <c r="WLG9" s="3426"/>
      <c r="WLH9" s="3426"/>
      <c r="WLI9" s="3426"/>
      <c r="WLJ9" s="3426"/>
      <c r="WLK9" s="3426"/>
      <c r="WLL9" s="3426"/>
      <c r="WLM9" s="3426"/>
      <c r="WLN9" s="3426"/>
      <c r="WLO9" s="3426"/>
      <c r="WLP9" s="3426"/>
      <c r="WLQ9" s="3426"/>
      <c r="WLR9" s="3426"/>
      <c r="WLS9" s="3426"/>
      <c r="WLT9" s="3426"/>
      <c r="WLU9" s="3426"/>
      <c r="WLV9" s="3426"/>
      <c r="WLW9" s="3426"/>
      <c r="WLX9" s="3426"/>
      <c r="WLY9" s="3426"/>
      <c r="WLZ9" s="3426"/>
      <c r="WMA9" s="3426"/>
      <c r="WMB9" s="3426"/>
      <c r="WMC9" s="3426"/>
      <c r="WMD9" s="3426"/>
      <c r="WME9" s="3426"/>
      <c r="WMF9" s="3426"/>
      <c r="WMG9" s="3426"/>
      <c r="WMH9" s="3426"/>
      <c r="WMI9" s="3426"/>
      <c r="WMJ9" s="3426"/>
      <c r="WMK9" s="3426"/>
      <c r="WML9" s="3426"/>
      <c r="WMM9" s="3426"/>
      <c r="WMN9" s="3426"/>
      <c r="WMO9" s="3426"/>
      <c r="WMP9" s="3426"/>
      <c r="WMQ9" s="3426"/>
      <c r="WMR9" s="3426"/>
      <c r="WMS9" s="3426"/>
      <c r="WMT9" s="3426"/>
      <c r="WMU9" s="3426"/>
      <c r="WMV9" s="3426"/>
      <c r="WMW9" s="3426"/>
      <c r="WMX9" s="3426"/>
      <c r="WMY9" s="3426"/>
      <c r="WMZ9" s="3426"/>
      <c r="WNA9" s="3426"/>
      <c r="WNB9" s="3426"/>
      <c r="WNC9" s="3426"/>
      <c r="WND9" s="3426"/>
      <c r="WNE9" s="3426"/>
      <c r="WNF9" s="3426"/>
      <c r="WNG9" s="3426"/>
      <c r="WNH9" s="3426"/>
      <c r="WNI9" s="3426"/>
      <c r="WNJ9" s="3426"/>
      <c r="WNK9" s="3426"/>
      <c r="WNL9" s="3426"/>
      <c r="WNM9" s="3426"/>
      <c r="WNN9" s="3426"/>
      <c r="WNO9" s="3426"/>
      <c r="WNP9" s="3426"/>
      <c r="WNQ9" s="3426"/>
      <c r="WNR9" s="3426"/>
      <c r="WNS9" s="3426"/>
      <c r="WNT9" s="3426"/>
      <c r="WNU9" s="3426"/>
      <c r="WNV9" s="3426"/>
      <c r="WNW9" s="3426"/>
      <c r="WNX9" s="3426"/>
      <c r="WNY9" s="3426"/>
      <c r="WNZ9" s="3426"/>
      <c r="WOA9" s="3426"/>
      <c r="WOB9" s="3426"/>
      <c r="WOC9" s="3426"/>
      <c r="WOD9" s="3426"/>
      <c r="WOE9" s="3426"/>
      <c r="WOF9" s="3426"/>
      <c r="WOG9" s="3426"/>
      <c r="WOH9" s="3426"/>
      <c r="WOI9" s="3426"/>
      <c r="WOJ9" s="3426"/>
      <c r="WOK9" s="3426"/>
      <c r="WOL9" s="3426"/>
      <c r="WOM9" s="3426"/>
      <c r="WON9" s="3426"/>
      <c r="WOO9" s="3426"/>
      <c r="WOP9" s="3426"/>
      <c r="WOQ9" s="3426"/>
      <c r="WOR9" s="3426"/>
      <c r="WOS9" s="3426"/>
      <c r="WOT9" s="3426"/>
      <c r="WOU9" s="3426"/>
      <c r="WOV9" s="3426"/>
      <c r="WOW9" s="3426"/>
      <c r="WOX9" s="3426"/>
      <c r="WOY9" s="3426"/>
      <c r="WOZ9" s="3426"/>
      <c r="WPA9" s="3426"/>
      <c r="WPB9" s="3426"/>
      <c r="WPC9" s="3426"/>
      <c r="WPD9" s="3426"/>
      <c r="WPE9" s="3426"/>
      <c r="WPF9" s="3426"/>
      <c r="WPG9" s="3426"/>
      <c r="WPH9" s="3426"/>
      <c r="WPI9" s="3426"/>
      <c r="WPJ9" s="3426"/>
      <c r="WPK9" s="3426"/>
      <c r="WPL9" s="3426"/>
      <c r="WPM9" s="3426"/>
      <c r="WPN9" s="3426"/>
      <c r="WPO9" s="3426"/>
      <c r="WPP9" s="3426"/>
      <c r="WPQ9" s="3426"/>
      <c r="WPR9" s="3426"/>
      <c r="WPS9" s="3426"/>
      <c r="WPT9" s="3426"/>
      <c r="WPU9" s="3426"/>
      <c r="WPV9" s="3426"/>
      <c r="WPW9" s="3426"/>
      <c r="WPX9" s="3426"/>
      <c r="WPY9" s="3426"/>
      <c r="WPZ9" s="3426"/>
      <c r="WQA9" s="3426"/>
      <c r="WQB9" s="3426"/>
      <c r="WQC9" s="3426"/>
      <c r="WQD9" s="3426"/>
      <c r="WQE9" s="3426"/>
      <c r="WQF9" s="3426"/>
      <c r="WQG9" s="3426"/>
      <c r="WQH9" s="3426"/>
      <c r="WQI9" s="3426"/>
      <c r="WQJ9" s="3426"/>
      <c r="WQK9" s="3426"/>
      <c r="WQL9" s="3426"/>
      <c r="WQM9" s="3426"/>
      <c r="WQN9" s="3426"/>
      <c r="WQO9" s="3426"/>
      <c r="WQP9" s="3426"/>
      <c r="WQQ9" s="3426"/>
      <c r="WQR9" s="3426"/>
      <c r="WQS9" s="3426"/>
      <c r="WQT9" s="3426"/>
      <c r="WQU9" s="3426"/>
      <c r="WQV9" s="3426"/>
      <c r="WQW9" s="3426"/>
      <c r="WQX9" s="3426"/>
      <c r="WQY9" s="3426"/>
      <c r="WQZ9" s="3426"/>
      <c r="WRA9" s="3426"/>
      <c r="WRB9" s="3426"/>
      <c r="WRC9" s="3426"/>
      <c r="WRD9" s="3426"/>
      <c r="WRE9" s="3426"/>
      <c r="WRF9" s="3426"/>
      <c r="WRG9" s="3426"/>
      <c r="WRH9" s="3426"/>
      <c r="WRI9" s="3426"/>
      <c r="WRJ9" s="3426"/>
      <c r="WRK9" s="3426"/>
      <c r="WRL9" s="3426"/>
      <c r="WRM9" s="3426"/>
      <c r="WRN9" s="3426"/>
      <c r="WRO9" s="3426"/>
      <c r="WRP9" s="3426"/>
      <c r="WRQ9" s="3426"/>
      <c r="WRR9" s="3426"/>
      <c r="WRS9" s="3426"/>
      <c r="WRT9" s="3426"/>
      <c r="WRU9" s="3426"/>
      <c r="WRV9" s="3426"/>
      <c r="WRW9" s="3426"/>
      <c r="WRX9" s="3426"/>
      <c r="WRY9" s="3426"/>
      <c r="WRZ9" s="3426"/>
      <c r="WSA9" s="3426"/>
      <c r="WSB9" s="3426"/>
      <c r="WSC9" s="3426"/>
      <c r="WSD9" s="3426"/>
      <c r="WSE9" s="3426"/>
      <c r="WSF9" s="3426"/>
      <c r="WSG9" s="3426"/>
      <c r="WSH9" s="3426"/>
      <c r="WSI9" s="3426"/>
      <c r="WSJ9" s="3426"/>
      <c r="WSK9" s="3426"/>
      <c r="WSL9" s="3426"/>
      <c r="WSM9" s="3426"/>
      <c r="WSN9" s="3426"/>
      <c r="WSO9" s="3426"/>
      <c r="WSP9" s="3426"/>
      <c r="WSQ9" s="3426"/>
      <c r="WSR9" s="3426"/>
      <c r="WSS9" s="3426"/>
      <c r="WST9" s="3426"/>
      <c r="WSU9" s="3426"/>
      <c r="WSV9" s="3426"/>
      <c r="WSW9" s="3426"/>
      <c r="WSX9" s="3426"/>
      <c r="WSY9" s="3426"/>
      <c r="WSZ9" s="3426"/>
      <c r="WTA9" s="3426"/>
      <c r="WTB9" s="3426"/>
      <c r="WTC9" s="3426"/>
      <c r="WTD9" s="3426"/>
      <c r="WTE9" s="3426"/>
      <c r="WTF9" s="3426"/>
      <c r="WTG9" s="3426"/>
      <c r="WTH9" s="3426"/>
      <c r="WTI9" s="3426"/>
      <c r="WTJ9" s="3426"/>
      <c r="WTK9" s="3426"/>
      <c r="WTL9" s="3426"/>
      <c r="WTM9" s="3426"/>
      <c r="WTN9" s="3426"/>
      <c r="WTO9" s="3426"/>
      <c r="WTP9" s="3426"/>
      <c r="WTQ9" s="3426"/>
      <c r="WTR9" s="3426"/>
      <c r="WTS9" s="3426"/>
      <c r="WTT9" s="3426"/>
      <c r="WTU9" s="3426"/>
      <c r="WTV9" s="3426"/>
      <c r="WTW9" s="3426"/>
      <c r="WTX9" s="3426"/>
      <c r="WTY9" s="3426"/>
      <c r="WTZ9" s="3426"/>
      <c r="WUA9" s="3426"/>
      <c r="WUB9" s="3426"/>
      <c r="WUC9" s="3426"/>
      <c r="WUD9" s="3426"/>
      <c r="WUE9" s="3426"/>
      <c r="WUF9" s="3426"/>
      <c r="WUG9" s="3426"/>
      <c r="WUH9" s="3426"/>
      <c r="WUI9" s="3426"/>
      <c r="WUJ9" s="3426"/>
      <c r="WUK9" s="3426"/>
      <c r="WUL9" s="3426"/>
      <c r="WUM9" s="3426"/>
      <c r="WUN9" s="3426"/>
      <c r="WUO9" s="3426"/>
      <c r="WUP9" s="3426"/>
      <c r="WUQ9" s="3426"/>
      <c r="WUR9" s="3426"/>
      <c r="WUS9" s="3426"/>
      <c r="WUT9" s="3426"/>
      <c r="WUU9" s="3426"/>
      <c r="WUV9" s="3426"/>
      <c r="WUW9" s="3426"/>
      <c r="WUX9" s="3426"/>
      <c r="WUY9" s="3426"/>
      <c r="WUZ9" s="3426"/>
      <c r="WVA9" s="3426"/>
      <c r="WVB9" s="3426"/>
      <c r="WVC9" s="3426"/>
      <c r="WVD9" s="3426"/>
      <c r="WVE9" s="3426"/>
      <c r="WVF9" s="3426"/>
      <c r="WVG9" s="3426"/>
      <c r="WVH9" s="3426"/>
      <c r="WVI9" s="3426"/>
      <c r="WVJ9" s="3426"/>
      <c r="WVK9" s="3426"/>
      <c r="WVL9" s="3426"/>
      <c r="WVM9" s="3426"/>
      <c r="WVN9" s="3426"/>
      <c r="WVO9" s="3426"/>
      <c r="WVP9" s="3426"/>
      <c r="WVQ9" s="3426"/>
      <c r="WVR9" s="3426"/>
      <c r="WVS9" s="3426"/>
      <c r="WVT9" s="3426"/>
      <c r="WVU9" s="3426"/>
      <c r="WVV9" s="3426"/>
      <c r="WVW9" s="3426"/>
      <c r="WVX9" s="3426"/>
      <c r="WVY9" s="3426"/>
      <c r="WVZ9" s="3426"/>
      <c r="WWA9" s="3426"/>
      <c r="WWB9" s="3426"/>
      <c r="WWC9" s="3426"/>
      <c r="WWD9" s="3426"/>
      <c r="WWE9" s="3426"/>
      <c r="WWF9" s="3426"/>
      <c r="WWG9" s="3426"/>
      <c r="WWH9" s="3426"/>
      <c r="WWI9" s="3426"/>
      <c r="WWJ9" s="3426"/>
      <c r="WWK9" s="3426"/>
      <c r="WWL9" s="3426"/>
      <c r="WWM9" s="3426"/>
      <c r="WWN9" s="3426"/>
      <c r="WWO9" s="3426"/>
      <c r="WWP9" s="3426"/>
      <c r="WWQ9" s="3426"/>
      <c r="WWR9" s="3426"/>
      <c r="WWS9" s="3426"/>
      <c r="WWT9" s="3426"/>
      <c r="WWU9" s="3426"/>
      <c r="WWV9" s="3426"/>
      <c r="WWW9" s="3426"/>
      <c r="WWX9" s="3426"/>
      <c r="WWY9" s="3426"/>
      <c r="WWZ9" s="3426"/>
      <c r="WXA9" s="3426"/>
      <c r="WXB9" s="3426"/>
      <c r="WXC9" s="3426"/>
      <c r="WXD9" s="3426"/>
      <c r="WXE9" s="3426"/>
      <c r="WXF9" s="3426"/>
      <c r="WXG9" s="3426"/>
      <c r="WXH9" s="3426"/>
      <c r="WXI9" s="3426"/>
      <c r="WXJ9" s="3426"/>
      <c r="WXK9" s="3426"/>
      <c r="WXL9" s="3426"/>
      <c r="WXM9" s="3426"/>
      <c r="WXN9" s="3426"/>
      <c r="WXO9" s="3426"/>
      <c r="WXP9" s="3426"/>
      <c r="WXQ9" s="3426"/>
      <c r="WXR9" s="3426"/>
      <c r="WXS9" s="3426"/>
      <c r="WXT9" s="3426"/>
      <c r="WXU9" s="3426"/>
      <c r="WXV9" s="3426"/>
      <c r="WXW9" s="3426"/>
      <c r="WXX9" s="3426"/>
      <c r="WXY9" s="3426"/>
      <c r="WXZ9" s="3426"/>
      <c r="WYA9" s="3426"/>
      <c r="WYB9" s="3426"/>
      <c r="WYC9" s="3426"/>
      <c r="WYD9" s="3426"/>
      <c r="WYE9" s="3426"/>
      <c r="WYF9" s="3426"/>
      <c r="WYG9" s="3426"/>
      <c r="WYH9" s="3426"/>
      <c r="WYI9" s="3426"/>
      <c r="WYJ9" s="3426"/>
      <c r="WYK9" s="3426"/>
      <c r="WYL9" s="3426"/>
      <c r="WYM9" s="3426"/>
      <c r="WYN9" s="3426"/>
      <c r="WYO9" s="3426"/>
      <c r="WYP9" s="3426"/>
      <c r="WYQ9" s="3426"/>
      <c r="WYR9" s="3426"/>
      <c r="WYS9" s="3426"/>
      <c r="WYT9" s="3426"/>
      <c r="WYU9" s="3426"/>
      <c r="WYV9" s="3426"/>
      <c r="WYW9" s="3426"/>
      <c r="WYX9" s="3426"/>
      <c r="WYY9" s="3426"/>
      <c r="WYZ9" s="3426"/>
      <c r="WZA9" s="3426"/>
      <c r="WZB9" s="3426"/>
      <c r="WZC9" s="3426"/>
      <c r="WZD9" s="3426"/>
      <c r="WZE9" s="3426"/>
      <c r="WZF9" s="3426"/>
      <c r="WZG9" s="3426"/>
      <c r="WZH9" s="3426"/>
      <c r="WZI9" s="3426"/>
      <c r="WZJ9" s="3426"/>
      <c r="WZK9" s="3426"/>
      <c r="WZL9" s="3426"/>
      <c r="WZM9" s="3426"/>
      <c r="WZN9" s="3426"/>
      <c r="WZO9" s="3426"/>
      <c r="WZP9" s="3426"/>
      <c r="WZQ9" s="3426"/>
      <c r="WZR9" s="3426"/>
      <c r="WZS9" s="3426"/>
      <c r="WZT9" s="3426"/>
      <c r="WZU9" s="3426"/>
      <c r="WZV9" s="3426"/>
      <c r="WZW9" s="3426"/>
      <c r="WZX9" s="3426"/>
      <c r="WZY9" s="3426"/>
      <c r="WZZ9" s="3426"/>
      <c r="XAA9" s="3426"/>
      <c r="XAB9" s="3426"/>
      <c r="XAC9" s="3426"/>
      <c r="XAD9" s="3426"/>
      <c r="XAE9" s="3426"/>
      <c r="XAF9" s="3426"/>
      <c r="XAG9" s="3426"/>
      <c r="XAH9" s="3426"/>
      <c r="XAI9" s="3426"/>
      <c r="XAJ9" s="3426"/>
      <c r="XAK9" s="3426"/>
      <c r="XAL9" s="3426"/>
      <c r="XAM9" s="3426"/>
      <c r="XAN9" s="3426"/>
      <c r="XAO9" s="3426"/>
      <c r="XAP9" s="3426"/>
      <c r="XAQ9" s="3426"/>
      <c r="XAR9" s="3426"/>
      <c r="XAS9" s="3426"/>
      <c r="XAT9" s="3426"/>
      <c r="XAU9" s="3426"/>
      <c r="XAV9" s="3426"/>
      <c r="XAW9" s="3426"/>
      <c r="XAX9" s="3426"/>
      <c r="XAY9" s="3426"/>
      <c r="XAZ9" s="3426"/>
      <c r="XBA9" s="3426"/>
      <c r="XBB9" s="3426"/>
      <c r="XBC9" s="3426"/>
      <c r="XBD9" s="3426"/>
      <c r="XBE9" s="3426"/>
      <c r="XBF9" s="3426"/>
      <c r="XBG9" s="3426"/>
      <c r="XBH9" s="3426"/>
      <c r="XBI9" s="3426"/>
      <c r="XBJ9" s="3426"/>
      <c r="XBK9" s="3426"/>
      <c r="XBL9" s="3426"/>
      <c r="XBM9" s="3426"/>
      <c r="XBN9" s="3426"/>
      <c r="XBO9" s="3426"/>
      <c r="XBP9" s="3426"/>
      <c r="XBQ9" s="3426"/>
      <c r="XBR9" s="3426"/>
      <c r="XBS9" s="3426"/>
      <c r="XBT9" s="3426"/>
      <c r="XBU9" s="3426"/>
      <c r="XBV9" s="3426"/>
      <c r="XBW9" s="3426"/>
      <c r="XBX9" s="3426"/>
      <c r="XBY9" s="3426"/>
      <c r="XBZ9" s="3426"/>
      <c r="XCA9" s="3426"/>
      <c r="XCB9" s="3426"/>
      <c r="XCC9" s="3426"/>
      <c r="XCD9" s="3426"/>
      <c r="XCE9" s="3426"/>
      <c r="XCF9" s="3426"/>
      <c r="XCG9" s="3426"/>
      <c r="XCH9" s="3426"/>
      <c r="XCI9" s="3426"/>
      <c r="XCJ9" s="3426"/>
      <c r="XCK9" s="3426"/>
      <c r="XCL9" s="3426"/>
      <c r="XCM9" s="3426"/>
      <c r="XCN9" s="3426"/>
      <c r="XCO9" s="3426"/>
      <c r="XCP9" s="3426"/>
      <c r="XCQ9" s="3426"/>
      <c r="XCR9" s="3426"/>
      <c r="XCS9" s="3426"/>
      <c r="XCT9" s="3426"/>
      <c r="XCU9" s="3426"/>
      <c r="XCV9" s="3426"/>
      <c r="XCW9" s="3426"/>
      <c r="XCX9" s="3426"/>
      <c r="XCY9" s="3426"/>
      <c r="XCZ9" s="3426"/>
      <c r="XDA9" s="3426"/>
      <c r="XDB9" s="3426"/>
      <c r="XDC9" s="3426"/>
      <c r="XDD9" s="3426"/>
      <c r="XDE9" s="3426"/>
      <c r="XDF9" s="3426"/>
      <c r="XDG9" s="3426"/>
      <c r="XDH9" s="3426"/>
      <c r="XDI9" s="3426"/>
      <c r="XDJ9" s="3426"/>
      <c r="XDK9" s="3426"/>
      <c r="XDL9" s="3426"/>
      <c r="XDM9" s="3426"/>
      <c r="XDN9" s="3426"/>
      <c r="XDO9" s="3426"/>
      <c r="XDP9" s="3426"/>
      <c r="XDQ9" s="3426"/>
      <c r="XDR9" s="3426"/>
      <c r="XDS9" s="3426"/>
      <c r="XDT9" s="3426"/>
      <c r="XDU9" s="3426"/>
      <c r="XDV9" s="3426"/>
      <c r="XDW9" s="3426"/>
      <c r="XDX9" s="3426"/>
      <c r="XDY9" s="3426"/>
      <c r="XDZ9" s="3426"/>
      <c r="XEA9" s="3426"/>
      <c r="XEB9" s="3426"/>
      <c r="XEC9" s="3426"/>
      <c r="XED9" s="3426"/>
      <c r="XEE9" s="3426"/>
      <c r="XEF9" s="3426"/>
      <c r="XEG9" s="3426"/>
      <c r="XEH9" s="3426"/>
      <c r="XEI9" s="3426"/>
      <c r="XEJ9" s="3426"/>
      <c r="XEK9" s="3426"/>
      <c r="XEL9" s="3426"/>
      <c r="XEM9" s="3426"/>
      <c r="XEN9" s="3426"/>
      <c r="XEO9" s="3426"/>
      <c r="XEP9" s="3426"/>
      <c r="XEQ9" s="3426"/>
      <c r="XER9" s="3426"/>
      <c r="XES9" s="3426"/>
      <c r="XET9" s="3426"/>
      <c r="XEU9" s="3426"/>
      <c r="XEV9" s="3426"/>
      <c r="XEW9" s="3426"/>
      <c r="XEX9" s="3426"/>
      <c r="XEY9" s="3426"/>
      <c r="XEZ9" s="3426"/>
      <c r="XFA9" s="3426"/>
      <c r="XFB9" s="3426"/>
    </row>
    <row r="10" spans="1:16382" s="3448" customFormat="1" ht="15" customHeight="1">
      <c r="A10" s="3434"/>
      <c r="B10" s="3435"/>
      <c r="C10" s="3436" t="s">
        <v>4501</v>
      </c>
      <c r="D10" s="3437"/>
      <c r="E10" s="3438"/>
      <c r="F10" s="3439"/>
      <c r="G10" s="3440"/>
      <c r="H10" s="3441"/>
      <c r="I10" s="3442">
        <f ca="1">I11+I62+I63</f>
        <v>94798.279769987566</v>
      </c>
      <c r="J10" s="3443">
        <f>J11+J62</f>
        <v>0</v>
      </c>
      <c r="K10" s="3443">
        <f>K11+K62</f>
        <v>0</v>
      </c>
      <c r="L10" s="3443">
        <f t="shared" ref="L10:BA10" si="3">L11+L62+L63</f>
        <v>0</v>
      </c>
      <c r="M10" s="3443">
        <f t="shared" si="3"/>
        <v>0</v>
      </c>
      <c r="N10" s="3444">
        <f t="shared" si="3"/>
        <v>0</v>
      </c>
      <c r="O10" s="3443">
        <f t="shared" si="3"/>
        <v>0</v>
      </c>
      <c r="P10" s="3443">
        <f ca="1">P11+P62+P63</f>
        <v>1928.0900000000001</v>
      </c>
      <c r="Q10" s="3443">
        <f t="shared" ca="1" si="3"/>
        <v>0</v>
      </c>
      <c r="R10" s="3443">
        <f t="shared" ca="1" si="3"/>
        <v>0</v>
      </c>
      <c r="S10" s="3443">
        <f t="shared" ca="1" si="3"/>
        <v>312.18120299999998</v>
      </c>
      <c r="T10" s="3443">
        <f t="shared" ca="1" si="3"/>
        <v>495.02573359709999</v>
      </c>
      <c r="U10" s="3443">
        <f t="shared" ca="1" si="3"/>
        <v>1125.21135963706</v>
      </c>
      <c r="V10" s="3443">
        <f t="shared" ca="1" si="3"/>
        <v>42.885414084280391</v>
      </c>
      <c r="W10" s="3443">
        <f t="shared" ca="1" si="3"/>
        <v>2280.4962220527364</v>
      </c>
      <c r="X10" s="3444">
        <f t="shared" ca="1" si="3"/>
        <v>2624.844654442466</v>
      </c>
      <c r="Y10" s="3443">
        <f t="shared" ca="1" si="3"/>
        <v>4496.6515632389146</v>
      </c>
      <c r="Z10" s="3443">
        <f t="shared" ca="1" si="3"/>
        <v>3117.1773605828944</v>
      </c>
      <c r="AA10" s="3443">
        <f t="shared" ca="1" si="3"/>
        <v>90.146002410557585</v>
      </c>
      <c r="AB10" s="3443">
        <f t="shared" ca="1" si="3"/>
        <v>3414.2798412998686</v>
      </c>
      <c r="AC10" s="3443">
        <f t="shared" ca="1" si="3"/>
        <v>4712.8442742742518</v>
      </c>
      <c r="AD10" s="3443">
        <f t="shared" ca="1" si="3"/>
        <v>6023.9892768656346</v>
      </c>
      <c r="AE10" s="3443">
        <f t="shared" ca="1" si="3"/>
        <v>2389.715278354498</v>
      </c>
      <c r="AF10" s="3443">
        <f t="shared" ca="1" si="3"/>
        <v>6253.1273976491002</v>
      </c>
      <c r="AG10" s="3443">
        <f t="shared" ca="1" si="3"/>
        <v>14487.140151779044</v>
      </c>
      <c r="AH10" s="3444">
        <f t="shared" ca="1" si="3"/>
        <v>5491.4592342410724</v>
      </c>
      <c r="AI10" s="3443">
        <f t="shared" ca="1" si="3"/>
        <v>3014.7967431018392</v>
      </c>
      <c r="AJ10" s="3443">
        <f t="shared" ca="1" si="3"/>
        <v>4264.0761136021665</v>
      </c>
      <c r="AK10" s="3443">
        <f t="shared" ca="1" si="3"/>
        <v>1717.7078864562716</v>
      </c>
      <c r="AL10" s="3443">
        <f t="shared" ca="1" si="3"/>
        <v>0</v>
      </c>
      <c r="AM10" s="3443">
        <f t="shared" ca="1" si="3"/>
        <v>406.31508753021279</v>
      </c>
      <c r="AN10" s="3443">
        <f t="shared" ca="1" si="3"/>
        <v>1655.3119218884449</v>
      </c>
      <c r="AO10" s="3443">
        <f t="shared" ca="1" si="3"/>
        <v>1528.4024516615395</v>
      </c>
      <c r="AP10" s="3443">
        <f t="shared" ca="1" si="3"/>
        <v>1585.5491602779014</v>
      </c>
      <c r="AQ10" s="3443">
        <f t="shared" ca="1" si="3"/>
        <v>3443.2842597368431</v>
      </c>
      <c r="AR10" s="3444">
        <f t="shared" ca="1" si="3"/>
        <v>0</v>
      </c>
      <c r="AS10" s="3443">
        <f t="shared" ca="1" si="3"/>
        <v>4731.9740579941545</v>
      </c>
      <c r="AT10" s="3443">
        <f t="shared" ca="1" si="3"/>
        <v>1225.1946640376118</v>
      </c>
      <c r="AU10" s="3443">
        <f t="shared" ca="1" si="3"/>
        <v>0</v>
      </c>
      <c r="AV10" s="3443">
        <f t="shared" ca="1" si="3"/>
        <v>2166.3565330935976</v>
      </c>
      <c r="AW10" s="3443">
        <f t="shared" ca="1" si="3"/>
        <v>0</v>
      </c>
      <c r="AX10" s="3443">
        <f t="shared" ca="1" si="3"/>
        <v>780.54811857322898</v>
      </c>
      <c r="AY10" s="3443">
        <f t="shared" ca="1" si="3"/>
        <v>643.84595261621155</v>
      </c>
      <c r="AZ10" s="3443">
        <f t="shared" ca="1" si="3"/>
        <v>1343.9211184275721</v>
      </c>
      <c r="BA10" s="3445">
        <f t="shared" ca="1" si="3"/>
        <v>7005.7307334805064</v>
      </c>
      <c r="BB10" s="3446">
        <f>BB11+BB62</f>
        <v>0</v>
      </c>
      <c r="BC10" s="3447"/>
      <c r="BD10" s="3447"/>
      <c r="BE10" s="3447"/>
      <c r="BF10" s="3447"/>
      <c r="BG10" s="3447"/>
      <c r="BH10" s="3447"/>
      <c r="BI10" s="3447"/>
      <c r="BJ10" s="3447"/>
      <c r="BK10" s="3447"/>
      <c r="BL10" s="3447"/>
      <c r="BM10" s="3447"/>
      <c r="BN10" s="3447"/>
      <c r="BO10" s="3447"/>
      <c r="BP10" s="3447"/>
      <c r="BQ10" s="3447"/>
      <c r="BR10" s="3447"/>
      <c r="BS10" s="3447"/>
      <c r="BT10" s="3447"/>
      <c r="BU10" s="3447"/>
      <c r="BV10" s="3447"/>
      <c r="BW10" s="3447"/>
      <c r="BX10" s="3447"/>
      <c r="BY10" s="3447"/>
      <c r="BZ10" s="3447"/>
      <c r="CA10" s="3447"/>
      <c r="CB10" s="3447"/>
      <c r="CC10" s="3447"/>
      <c r="CD10" s="3447"/>
      <c r="CE10" s="3447"/>
      <c r="CF10" s="3447"/>
      <c r="CG10" s="3447"/>
      <c r="CH10" s="3447"/>
      <c r="CI10" s="3447"/>
      <c r="CJ10" s="3447"/>
      <c r="CK10" s="3447"/>
      <c r="CL10" s="3447"/>
      <c r="CM10" s="3447"/>
      <c r="CN10" s="3447"/>
      <c r="CO10" s="3447"/>
      <c r="CP10" s="3447"/>
      <c r="CQ10" s="3447"/>
      <c r="CR10" s="3447"/>
      <c r="CS10" s="3447"/>
      <c r="CT10" s="3447"/>
      <c r="CU10" s="3447"/>
      <c r="CV10" s="3447"/>
      <c r="CW10" s="3447"/>
      <c r="CX10" s="3447"/>
      <c r="CY10" s="3447"/>
      <c r="CZ10" s="3447"/>
      <c r="DA10" s="3447"/>
      <c r="DB10" s="3447"/>
      <c r="DC10" s="3447"/>
      <c r="DD10" s="3447"/>
      <c r="DE10" s="3447"/>
      <c r="DF10" s="3447"/>
      <c r="DG10" s="3447"/>
      <c r="DH10" s="3447"/>
      <c r="DI10" s="3447"/>
      <c r="DJ10" s="3447"/>
      <c r="DK10" s="3447"/>
      <c r="DL10" s="3447"/>
      <c r="DM10" s="3447"/>
      <c r="DN10" s="3447"/>
      <c r="DO10" s="3447"/>
      <c r="DP10" s="3447"/>
      <c r="DQ10" s="3447"/>
      <c r="DR10" s="3447"/>
      <c r="DS10" s="3447"/>
      <c r="DT10" s="3447"/>
      <c r="DU10" s="3447"/>
      <c r="DV10" s="3447"/>
      <c r="DW10" s="3447"/>
      <c r="DX10" s="3447"/>
      <c r="DY10" s="3447"/>
      <c r="DZ10" s="3447"/>
      <c r="EA10" s="3447"/>
      <c r="EB10" s="3447"/>
      <c r="EC10" s="3447"/>
      <c r="ED10" s="3447"/>
      <c r="EE10" s="3447"/>
      <c r="EF10" s="3447"/>
      <c r="EG10" s="3447"/>
      <c r="EH10" s="3447"/>
      <c r="EI10" s="3447"/>
      <c r="EJ10" s="3447"/>
      <c r="EK10" s="3447"/>
      <c r="EL10" s="3447"/>
      <c r="EM10" s="3447"/>
      <c r="EN10" s="3447"/>
      <c r="EO10" s="3447"/>
      <c r="EP10" s="3447"/>
      <c r="EQ10" s="3447"/>
      <c r="ER10" s="3447"/>
      <c r="ES10" s="3447"/>
      <c r="ET10" s="3447"/>
      <c r="EU10" s="3447"/>
      <c r="EV10" s="3447"/>
      <c r="EW10" s="3447"/>
      <c r="EX10" s="3447"/>
      <c r="EY10" s="3447"/>
      <c r="EZ10" s="3447"/>
      <c r="FA10" s="3447"/>
      <c r="FB10" s="3447"/>
      <c r="FC10" s="3447"/>
      <c r="FD10" s="3447"/>
      <c r="FE10" s="3447"/>
      <c r="FF10" s="3447"/>
      <c r="FG10" s="3447"/>
      <c r="FH10" s="3447"/>
      <c r="FI10" s="3447"/>
      <c r="FJ10" s="3447"/>
      <c r="FK10" s="3447"/>
      <c r="FL10" s="3447"/>
      <c r="FM10" s="3447"/>
      <c r="FN10" s="3447"/>
      <c r="FO10" s="3447"/>
      <c r="FP10" s="3447"/>
      <c r="FQ10" s="3447"/>
      <c r="FR10" s="3447"/>
      <c r="FS10" s="3447"/>
      <c r="FT10" s="3447"/>
      <c r="FU10" s="3447"/>
      <c r="FV10" s="3447"/>
      <c r="FW10" s="3447"/>
      <c r="FX10" s="3447"/>
      <c r="FY10" s="3447"/>
      <c r="FZ10" s="3447"/>
      <c r="GA10" s="3447"/>
      <c r="GB10" s="3447"/>
      <c r="GC10" s="3447"/>
      <c r="GD10" s="3447"/>
      <c r="GE10" s="3447"/>
      <c r="GF10" s="3447"/>
      <c r="GG10" s="3447"/>
      <c r="GH10" s="3447"/>
      <c r="GI10" s="3447"/>
      <c r="GJ10" s="3447"/>
      <c r="GK10" s="3447"/>
      <c r="GL10" s="3447"/>
      <c r="GM10" s="3447"/>
      <c r="GN10" s="3447"/>
      <c r="GO10" s="3447"/>
      <c r="GP10" s="3447"/>
      <c r="GQ10" s="3447"/>
      <c r="GR10" s="3447"/>
      <c r="GS10" s="3447"/>
      <c r="GT10" s="3447"/>
      <c r="GU10" s="3447"/>
      <c r="GV10" s="3447"/>
      <c r="GW10" s="3447"/>
      <c r="GX10" s="3447"/>
      <c r="GY10" s="3447"/>
      <c r="GZ10" s="3447"/>
      <c r="HA10" s="3447"/>
      <c r="HB10" s="3447"/>
      <c r="HC10" s="3447"/>
      <c r="HD10" s="3447"/>
      <c r="HE10" s="3447"/>
      <c r="HF10" s="3447"/>
      <c r="HG10" s="3447"/>
      <c r="HH10" s="3447"/>
      <c r="HI10" s="3447"/>
      <c r="HJ10" s="3447"/>
      <c r="HK10" s="3447"/>
      <c r="HL10" s="3447"/>
      <c r="HM10" s="3447"/>
      <c r="HN10" s="3447"/>
      <c r="HO10" s="3447"/>
      <c r="HP10" s="3447"/>
      <c r="HQ10" s="3447"/>
      <c r="HR10" s="3447"/>
      <c r="HS10" s="3447"/>
      <c r="HT10" s="3447"/>
      <c r="HU10" s="3447"/>
      <c r="HV10" s="3447"/>
      <c r="HW10" s="3447"/>
      <c r="HX10" s="3447"/>
      <c r="HY10" s="3447"/>
      <c r="HZ10" s="3447"/>
      <c r="IA10" s="3447"/>
      <c r="IB10" s="3447"/>
      <c r="IC10" s="3447"/>
      <c r="ID10" s="3447"/>
      <c r="IE10" s="3447"/>
      <c r="IF10" s="3447"/>
      <c r="IG10" s="3447"/>
      <c r="IH10" s="3447"/>
      <c r="II10" s="3447"/>
      <c r="IJ10" s="3447"/>
      <c r="IK10" s="3447"/>
      <c r="IL10" s="3447"/>
      <c r="IM10" s="3447"/>
      <c r="IN10" s="3447"/>
      <c r="IO10" s="3447"/>
      <c r="IP10" s="3447"/>
      <c r="IQ10" s="3447"/>
      <c r="IR10" s="3447"/>
      <c r="IS10" s="3447"/>
      <c r="IT10" s="3447"/>
      <c r="IU10" s="3447"/>
      <c r="IV10" s="3447"/>
      <c r="IW10" s="3447"/>
      <c r="IX10" s="3447"/>
      <c r="IY10" s="3447"/>
      <c r="IZ10" s="3447"/>
      <c r="JA10" s="3447"/>
      <c r="JB10" s="3447"/>
      <c r="JC10" s="3447"/>
      <c r="JD10" s="3447"/>
      <c r="JE10" s="3447"/>
      <c r="JF10" s="3447"/>
      <c r="JG10" s="3447"/>
      <c r="JH10" s="3447"/>
      <c r="JI10" s="3447"/>
      <c r="JJ10" s="3447"/>
      <c r="JK10" s="3447"/>
      <c r="JL10" s="3447"/>
      <c r="JM10" s="3447"/>
      <c r="JN10" s="3447"/>
      <c r="JO10" s="3447"/>
      <c r="JP10" s="3447"/>
      <c r="JQ10" s="3447"/>
      <c r="JR10" s="3447"/>
      <c r="JS10" s="3447"/>
      <c r="JT10" s="3447"/>
      <c r="JU10" s="3447"/>
      <c r="JV10" s="3447"/>
      <c r="JW10" s="3447"/>
      <c r="JX10" s="3447"/>
      <c r="JY10" s="3447"/>
      <c r="JZ10" s="3447"/>
      <c r="KA10" s="3447"/>
      <c r="KB10" s="3447"/>
      <c r="KC10" s="3447"/>
      <c r="KD10" s="3447"/>
      <c r="KE10" s="3447"/>
      <c r="KF10" s="3447"/>
      <c r="KG10" s="3447"/>
      <c r="KH10" s="3447"/>
      <c r="KI10" s="3447"/>
      <c r="KJ10" s="3447"/>
      <c r="KK10" s="3447"/>
      <c r="KL10" s="3447"/>
      <c r="KM10" s="3447"/>
      <c r="KN10" s="3447"/>
      <c r="KO10" s="3447"/>
      <c r="KP10" s="3447"/>
      <c r="KQ10" s="3447"/>
      <c r="KR10" s="3447"/>
      <c r="KS10" s="3447"/>
      <c r="KT10" s="3447"/>
      <c r="KU10" s="3447"/>
      <c r="KV10" s="3447"/>
      <c r="KW10" s="3447"/>
      <c r="KX10" s="3447"/>
      <c r="KY10" s="3447"/>
      <c r="KZ10" s="3447"/>
      <c r="LA10" s="3447"/>
      <c r="LB10" s="3447"/>
      <c r="LC10" s="3447"/>
      <c r="LD10" s="3447"/>
      <c r="LE10" s="3447"/>
      <c r="LF10" s="3447"/>
      <c r="LG10" s="3447"/>
      <c r="LH10" s="3447"/>
      <c r="LI10" s="3447"/>
      <c r="LJ10" s="3447"/>
      <c r="LK10" s="3447"/>
      <c r="LL10" s="3447"/>
      <c r="LM10" s="3447"/>
      <c r="LN10" s="3447"/>
      <c r="LO10" s="3447"/>
      <c r="LP10" s="3447"/>
      <c r="LQ10" s="3447"/>
      <c r="LR10" s="3447"/>
      <c r="LS10" s="3447"/>
      <c r="LT10" s="3447"/>
      <c r="LU10" s="3447"/>
      <c r="LV10" s="3447"/>
      <c r="LW10" s="3447"/>
      <c r="LX10" s="3447"/>
      <c r="LY10" s="3447"/>
      <c r="LZ10" s="3447"/>
      <c r="MA10" s="3447"/>
      <c r="MB10" s="3447"/>
      <c r="MC10" s="3447"/>
      <c r="MD10" s="3447"/>
      <c r="ME10" s="3447"/>
      <c r="MF10" s="3447"/>
      <c r="MG10" s="3447"/>
      <c r="MH10" s="3447"/>
      <c r="MI10" s="3447"/>
      <c r="MJ10" s="3447"/>
      <c r="MK10" s="3447"/>
      <c r="ML10" s="3447"/>
      <c r="MM10" s="3447"/>
      <c r="MN10" s="3447"/>
      <c r="MO10" s="3447"/>
      <c r="MP10" s="3447"/>
      <c r="MQ10" s="3447"/>
      <c r="MR10" s="3447"/>
      <c r="MS10" s="3447"/>
      <c r="MT10" s="3447"/>
      <c r="MU10" s="3447"/>
      <c r="MV10" s="3447"/>
      <c r="MW10" s="3447"/>
      <c r="MX10" s="3447"/>
      <c r="MY10" s="3447"/>
      <c r="MZ10" s="3447"/>
      <c r="NA10" s="3447"/>
      <c r="NB10" s="3447"/>
      <c r="NC10" s="3447"/>
      <c r="ND10" s="3447"/>
      <c r="NE10" s="3447"/>
      <c r="NF10" s="3447"/>
      <c r="NG10" s="3447"/>
      <c r="NH10" s="3447"/>
      <c r="NI10" s="3447"/>
      <c r="NJ10" s="3447"/>
      <c r="NK10" s="3447"/>
      <c r="NL10" s="3447"/>
      <c r="NM10" s="3447"/>
      <c r="NN10" s="3447"/>
      <c r="NO10" s="3447"/>
      <c r="NP10" s="3447"/>
      <c r="NQ10" s="3447"/>
      <c r="NR10" s="3447"/>
      <c r="NS10" s="3447"/>
      <c r="NT10" s="3447"/>
      <c r="NU10" s="3447"/>
      <c r="NV10" s="3447"/>
      <c r="NW10" s="3447"/>
      <c r="NX10" s="3447"/>
      <c r="NY10" s="3447"/>
      <c r="NZ10" s="3447"/>
      <c r="OA10" s="3447"/>
      <c r="OB10" s="3447"/>
      <c r="OC10" s="3447"/>
      <c r="OD10" s="3447"/>
      <c r="OE10" s="3447"/>
      <c r="OF10" s="3447"/>
      <c r="OG10" s="3447"/>
      <c r="OH10" s="3447"/>
      <c r="OI10" s="3447"/>
      <c r="OJ10" s="3447"/>
      <c r="OK10" s="3447"/>
      <c r="OL10" s="3447"/>
      <c r="OM10" s="3447"/>
      <c r="ON10" s="3447"/>
      <c r="OO10" s="3447"/>
      <c r="OP10" s="3447"/>
      <c r="OQ10" s="3447"/>
      <c r="OR10" s="3447"/>
      <c r="OS10" s="3447"/>
      <c r="OT10" s="3447"/>
      <c r="OU10" s="3447"/>
      <c r="OV10" s="3447"/>
      <c r="OW10" s="3447"/>
      <c r="OX10" s="3447"/>
      <c r="OY10" s="3447"/>
      <c r="OZ10" s="3447"/>
      <c r="PA10" s="3447"/>
      <c r="PB10" s="3447"/>
      <c r="PC10" s="3447"/>
      <c r="PD10" s="3447"/>
      <c r="PE10" s="3447"/>
      <c r="PF10" s="3447"/>
      <c r="PG10" s="3447"/>
      <c r="PH10" s="3447"/>
      <c r="PI10" s="3447"/>
      <c r="PJ10" s="3447"/>
      <c r="PK10" s="3447"/>
      <c r="PL10" s="3447"/>
      <c r="PM10" s="3447"/>
      <c r="PN10" s="3447"/>
      <c r="PO10" s="3447"/>
      <c r="PP10" s="3447"/>
      <c r="PQ10" s="3447"/>
      <c r="PR10" s="3447"/>
      <c r="PS10" s="3447"/>
      <c r="PT10" s="3447"/>
      <c r="PU10" s="3447"/>
      <c r="PV10" s="3447"/>
      <c r="PW10" s="3447"/>
      <c r="PX10" s="3447"/>
      <c r="PY10" s="3447"/>
      <c r="PZ10" s="3447"/>
      <c r="QA10" s="3447"/>
      <c r="QB10" s="3447"/>
      <c r="QC10" s="3447"/>
      <c r="QD10" s="3447"/>
      <c r="QE10" s="3447"/>
      <c r="QF10" s="3447"/>
      <c r="QG10" s="3447"/>
      <c r="QH10" s="3447"/>
      <c r="QI10" s="3447"/>
      <c r="QJ10" s="3447"/>
      <c r="QK10" s="3447"/>
      <c r="QL10" s="3447"/>
      <c r="QM10" s="3447"/>
      <c r="QN10" s="3447"/>
      <c r="QO10" s="3447"/>
      <c r="QP10" s="3447"/>
      <c r="QQ10" s="3447"/>
      <c r="QR10" s="3447"/>
      <c r="QS10" s="3447"/>
      <c r="QT10" s="3447"/>
      <c r="QU10" s="3447"/>
      <c r="QV10" s="3447"/>
      <c r="QW10" s="3447"/>
      <c r="QX10" s="3447"/>
      <c r="QY10" s="3447"/>
      <c r="QZ10" s="3447"/>
      <c r="RA10" s="3447"/>
      <c r="RB10" s="3447"/>
      <c r="RC10" s="3447"/>
      <c r="RD10" s="3447"/>
      <c r="RE10" s="3447"/>
      <c r="RF10" s="3447"/>
      <c r="RG10" s="3447"/>
      <c r="RH10" s="3447"/>
      <c r="RI10" s="3447"/>
      <c r="RJ10" s="3447"/>
      <c r="RK10" s="3447"/>
      <c r="RL10" s="3447"/>
      <c r="RM10" s="3447"/>
      <c r="RN10" s="3447"/>
      <c r="RO10" s="3447"/>
      <c r="RP10" s="3447"/>
      <c r="RQ10" s="3447"/>
      <c r="RR10" s="3447"/>
      <c r="RS10" s="3447"/>
      <c r="RT10" s="3447"/>
      <c r="RU10" s="3447"/>
      <c r="RV10" s="3447"/>
      <c r="RW10" s="3447"/>
      <c r="RX10" s="3447"/>
      <c r="RY10" s="3447"/>
      <c r="RZ10" s="3447"/>
      <c r="SA10" s="3447"/>
      <c r="SB10" s="3447"/>
      <c r="SC10" s="3447"/>
      <c r="SD10" s="3447"/>
      <c r="SE10" s="3447"/>
      <c r="SF10" s="3447"/>
      <c r="SG10" s="3447"/>
      <c r="SH10" s="3447"/>
      <c r="SI10" s="3447"/>
      <c r="SJ10" s="3447"/>
      <c r="SK10" s="3447"/>
      <c r="SL10" s="3447"/>
      <c r="SM10" s="3447"/>
      <c r="SN10" s="3447"/>
      <c r="SO10" s="3447"/>
      <c r="SP10" s="3447"/>
      <c r="SQ10" s="3447"/>
      <c r="SR10" s="3447"/>
      <c r="SS10" s="3447"/>
      <c r="ST10" s="3447"/>
      <c r="SU10" s="3447"/>
      <c r="SV10" s="3447"/>
      <c r="SW10" s="3447"/>
      <c r="SX10" s="3447"/>
      <c r="SY10" s="3447"/>
      <c r="SZ10" s="3447"/>
      <c r="TA10" s="3447"/>
      <c r="TB10" s="3447"/>
      <c r="TC10" s="3447"/>
      <c r="TD10" s="3447"/>
      <c r="TE10" s="3447"/>
      <c r="TF10" s="3447"/>
      <c r="TG10" s="3447"/>
      <c r="TH10" s="3447"/>
      <c r="TI10" s="3447"/>
      <c r="TJ10" s="3447"/>
      <c r="TK10" s="3447"/>
      <c r="TL10" s="3447"/>
      <c r="TM10" s="3447"/>
      <c r="TN10" s="3447"/>
      <c r="TO10" s="3447"/>
      <c r="TP10" s="3447"/>
      <c r="TQ10" s="3447"/>
      <c r="TR10" s="3447"/>
      <c r="TS10" s="3447"/>
      <c r="TT10" s="3447"/>
      <c r="TU10" s="3447"/>
      <c r="TV10" s="3447"/>
      <c r="TW10" s="3447"/>
      <c r="TX10" s="3447"/>
      <c r="TY10" s="3447"/>
      <c r="TZ10" s="3447"/>
      <c r="UA10" s="3447"/>
      <c r="UB10" s="3447"/>
      <c r="UC10" s="3447"/>
      <c r="UD10" s="3447"/>
      <c r="UE10" s="3447"/>
      <c r="UF10" s="3447"/>
      <c r="UG10" s="3447"/>
      <c r="UH10" s="3447"/>
      <c r="UI10" s="3447"/>
      <c r="UJ10" s="3447"/>
      <c r="UK10" s="3447"/>
      <c r="UL10" s="3447"/>
      <c r="UM10" s="3447"/>
      <c r="UN10" s="3447"/>
      <c r="UO10" s="3447"/>
      <c r="UP10" s="3447"/>
      <c r="UQ10" s="3447"/>
      <c r="UR10" s="3447"/>
      <c r="US10" s="3447"/>
      <c r="UT10" s="3447"/>
      <c r="UU10" s="3447"/>
      <c r="UV10" s="3447"/>
      <c r="UW10" s="3447"/>
      <c r="UX10" s="3447"/>
      <c r="UY10" s="3447"/>
      <c r="UZ10" s="3447"/>
      <c r="VA10" s="3447"/>
      <c r="VB10" s="3447"/>
      <c r="VC10" s="3447"/>
      <c r="VD10" s="3447"/>
      <c r="VE10" s="3447"/>
      <c r="VF10" s="3447"/>
      <c r="VG10" s="3447"/>
      <c r="VH10" s="3447"/>
      <c r="VI10" s="3447"/>
      <c r="VJ10" s="3447"/>
      <c r="VK10" s="3447"/>
      <c r="VL10" s="3447"/>
      <c r="VM10" s="3447"/>
      <c r="VN10" s="3447"/>
      <c r="VO10" s="3447"/>
      <c r="VP10" s="3447"/>
      <c r="VQ10" s="3447"/>
      <c r="VR10" s="3447"/>
      <c r="VS10" s="3447"/>
      <c r="VT10" s="3447"/>
      <c r="VU10" s="3447"/>
      <c r="VV10" s="3447"/>
      <c r="VW10" s="3447"/>
      <c r="VX10" s="3447"/>
      <c r="VY10" s="3447"/>
      <c r="VZ10" s="3447"/>
      <c r="WA10" s="3447"/>
      <c r="WB10" s="3447"/>
      <c r="WC10" s="3447"/>
      <c r="WD10" s="3447"/>
      <c r="WE10" s="3447"/>
      <c r="WF10" s="3447"/>
      <c r="WG10" s="3447"/>
      <c r="WH10" s="3447"/>
      <c r="WI10" s="3447"/>
      <c r="WJ10" s="3447"/>
      <c r="WK10" s="3447"/>
      <c r="WL10" s="3447"/>
      <c r="WM10" s="3447"/>
      <c r="WN10" s="3447"/>
      <c r="WO10" s="3447"/>
      <c r="WP10" s="3447"/>
      <c r="WQ10" s="3447"/>
      <c r="WR10" s="3447"/>
      <c r="WS10" s="3447"/>
      <c r="WT10" s="3447"/>
      <c r="WU10" s="3447"/>
      <c r="WV10" s="3447"/>
      <c r="WW10" s="3447"/>
      <c r="WX10" s="3447"/>
      <c r="WY10" s="3447"/>
      <c r="WZ10" s="3447"/>
      <c r="XA10" s="3447"/>
      <c r="XB10" s="3447"/>
      <c r="XC10" s="3447"/>
      <c r="XD10" s="3447"/>
      <c r="XE10" s="3447"/>
      <c r="XF10" s="3447"/>
      <c r="XG10" s="3447"/>
      <c r="XH10" s="3447"/>
      <c r="XI10" s="3447"/>
      <c r="XJ10" s="3447"/>
      <c r="XK10" s="3447"/>
      <c r="XL10" s="3447"/>
      <c r="XM10" s="3447"/>
      <c r="XN10" s="3447"/>
      <c r="XO10" s="3447"/>
      <c r="XP10" s="3447"/>
      <c r="XQ10" s="3447"/>
      <c r="XR10" s="3447"/>
      <c r="XS10" s="3447"/>
      <c r="XT10" s="3447"/>
      <c r="XU10" s="3447"/>
      <c r="XV10" s="3447"/>
      <c r="XW10" s="3447"/>
      <c r="XX10" s="3447"/>
      <c r="XY10" s="3447"/>
      <c r="XZ10" s="3447"/>
      <c r="YA10" s="3447"/>
      <c r="YB10" s="3447"/>
      <c r="YC10" s="3447"/>
      <c r="YD10" s="3447"/>
      <c r="YE10" s="3447"/>
      <c r="YF10" s="3447"/>
      <c r="YG10" s="3447"/>
      <c r="YH10" s="3447"/>
      <c r="YI10" s="3447"/>
      <c r="YJ10" s="3447"/>
      <c r="YK10" s="3447"/>
      <c r="YL10" s="3447"/>
      <c r="YM10" s="3447"/>
      <c r="YN10" s="3447"/>
      <c r="YO10" s="3447"/>
      <c r="YP10" s="3447"/>
      <c r="YQ10" s="3447"/>
      <c r="YR10" s="3447"/>
      <c r="YS10" s="3447"/>
      <c r="YT10" s="3447"/>
      <c r="YU10" s="3447"/>
      <c r="YV10" s="3447"/>
      <c r="YW10" s="3447"/>
      <c r="YX10" s="3447"/>
      <c r="YY10" s="3447"/>
      <c r="YZ10" s="3447"/>
      <c r="ZA10" s="3447"/>
      <c r="ZB10" s="3447"/>
      <c r="ZC10" s="3447"/>
      <c r="ZD10" s="3447"/>
      <c r="ZE10" s="3447"/>
      <c r="ZF10" s="3447"/>
      <c r="ZG10" s="3447"/>
      <c r="ZH10" s="3447"/>
      <c r="ZI10" s="3447"/>
      <c r="ZJ10" s="3447"/>
      <c r="ZK10" s="3447"/>
      <c r="ZL10" s="3447"/>
      <c r="ZM10" s="3447"/>
      <c r="ZN10" s="3447"/>
      <c r="ZO10" s="3447"/>
      <c r="ZP10" s="3447"/>
      <c r="ZQ10" s="3447"/>
      <c r="ZR10" s="3447"/>
      <c r="ZS10" s="3447"/>
      <c r="ZT10" s="3447"/>
      <c r="ZU10" s="3447"/>
      <c r="ZV10" s="3447"/>
      <c r="ZW10" s="3447"/>
      <c r="ZX10" s="3447"/>
      <c r="ZY10" s="3447"/>
      <c r="ZZ10" s="3447"/>
      <c r="AAA10" s="3447"/>
      <c r="AAB10" s="3447"/>
      <c r="AAC10" s="3447"/>
      <c r="AAD10" s="3447"/>
      <c r="AAE10" s="3447"/>
      <c r="AAF10" s="3447"/>
      <c r="AAG10" s="3447"/>
      <c r="AAH10" s="3447"/>
      <c r="AAI10" s="3447"/>
      <c r="AAJ10" s="3447"/>
      <c r="AAK10" s="3447"/>
      <c r="AAL10" s="3447"/>
      <c r="AAM10" s="3447"/>
      <c r="AAN10" s="3447"/>
      <c r="AAO10" s="3447"/>
      <c r="AAP10" s="3447"/>
      <c r="AAQ10" s="3447"/>
      <c r="AAR10" s="3447"/>
      <c r="AAS10" s="3447"/>
      <c r="AAT10" s="3447"/>
      <c r="AAU10" s="3447"/>
      <c r="AAV10" s="3447"/>
      <c r="AAW10" s="3447"/>
      <c r="AAX10" s="3447"/>
      <c r="AAY10" s="3447"/>
      <c r="AAZ10" s="3447"/>
      <c r="ABA10" s="3447"/>
      <c r="ABB10" s="3447"/>
      <c r="ABC10" s="3447"/>
      <c r="ABD10" s="3447"/>
      <c r="ABE10" s="3447"/>
      <c r="ABF10" s="3447"/>
      <c r="ABG10" s="3447"/>
      <c r="ABH10" s="3447"/>
      <c r="ABI10" s="3447"/>
      <c r="ABJ10" s="3447"/>
      <c r="ABK10" s="3447"/>
      <c r="ABL10" s="3447"/>
      <c r="ABM10" s="3447"/>
      <c r="ABN10" s="3447"/>
      <c r="ABO10" s="3447"/>
      <c r="ABP10" s="3447"/>
      <c r="ABQ10" s="3447"/>
      <c r="ABR10" s="3447"/>
      <c r="ABS10" s="3447"/>
      <c r="ABT10" s="3447"/>
      <c r="ABU10" s="3447"/>
      <c r="ABV10" s="3447"/>
      <c r="ABW10" s="3447"/>
      <c r="ABX10" s="3447"/>
      <c r="ABY10" s="3447"/>
      <c r="ABZ10" s="3447"/>
      <c r="ACA10" s="3447"/>
      <c r="ACB10" s="3447"/>
      <c r="ACC10" s="3447"/>
      <c r="ACD10" s="3447"/>
      <c r="ACE10" s="3447"/>
      <c r="ACF10" s="3447"/>
      <c r="ACG10" s="3447"/>
      <c r="ACH10" s="3447"/>
      <c r="ACI10" s="3447"/>
      <c r="ACJ10" s="3447"/>
      <c r="ACK10" s="3447"/>
      <c r="ACL10" s="3447"/>
      <c r="ACM10" s="3447"/>
      <c r="ACN10" s="3447"/>
      <c r="ACO10" s="3447"/>
      <c r="ACP10" s="3447"/>
      <c r="ACQ10" s="3447"/>
      <c r="ACR10" s="3447"/>
      <c r="ACS10" s="3447"/>
      <c r="ACT10" s="3447"/>
      <c r="ACU10" s="3447"/>
      <c r="ACV10" s="3447"/>
      <c r="ACW10" s="3447"/>
      <c r="ACX10" s="3447"/>
      <c r="ACY10" s="3447"/>
      <c r="ACZ10" s="3447"/>
      <c r="ADA10" s="3447"/>
      <c r="ADB10" s="3447"/>
      <c r="ADC10" s="3447"/>
      <c r="ADD10" s="3447"/>
      <c r="ADE10" s="3447"/>
      <c r="ADF10" s="3447"/>
      <c r="ADG10" s="3447"/>
      <c r="ADH10" s="3447"/>
      <c r="ADI10" s="3447"/>
      <c r="ADJ10" s="3447"/>
      <c r="ADK10" s="3447"/>
      <c r="ADL10" s="3447"/>
      <c r="ADM10" s="3447"/>
      <c r="ADN10" s="3447"/>
      <c r="ADO10" s="3447"/>
      <c r="ADP10" s="3447"/>
      <c r="ADQ10" s="3447"/>
      <c r="ADR10" s="3447"/>
      <c r="ADS10" s="3447"/>
      <c r="ADT10" s="3447"/>
      <c r="ADU10" s="3447"/>
      <c r="ADV10" s="3447"/>
      <c r="ADW10" s="3447"/>
      <c r="ADX10" s="3447"/>
      <c r="ADY10" s="3447"/>
      <c r="ADZ10" s="3447"/>
      <c r="AEA10" s="3447"/>
      <c r="AEB10" s="3447"/>
      <c r="AEC10" s="3447"/>
      <c r="AED10" s="3447"/>
      <c r="AEE10" s="3447"/>
      <c r="AEF10" s="3447"/>
      <c r="AEG10" s="3447"/>
      <c r="AEH10" s="3447"/>
      <c r="AEI10" s="3447"/>
      <c r="AEJ10" s="3447"/>
      <c r="AEK10" s="3447"/>
      <c r="AEL10" s="3447"/>
      <c r="AEM10" s="3447"/>
      <c r="AEN10" s="3447"/>
      <c r="AEO10" s="3447"/>
      <c r="AEP10" s="3447"/>
      <c r="AEQ10" s="3447"/>
      <c r="AER10" s="3447"/>
      <c r="AES10" s="3447"/>
      <c r="AET10" s="3447"/>
      <c r="AEU10" s="3447"/>
      <c r="AEV10" s="3447"/>
      <c r="AEW10" s="3447"/>
      <c r="AEX10" s="3447"/>
      <c r="AEY10" s="3447"/>
      <c r="AEZ10" s="3447"/>
      <c r="AFA10" s="3447"/>
      <c r="AFB10" s="3447"/>
      <c r="AFC10" s="3447"/>
      <c r="AFD10" s="3447"/>
      <c r="AFE10" s="3447"/>
      <c r="AFF10" s="3447"/>
      <c r="AFG10" s="3447"/>
      <c r="AFH10" s="3447"/>
      <c r="AFI10" s="3447"/>
      <c r="AFJ10" s="3447"/>
      <c r="AFK10" s="3447"/>
      <c r="AFL10" s="3447"/>
      <c r="AFM10" s="3447"/>
      <c r="AFN10" s="3447"/>
      <c r="AFO10" s="3447"/>
      <c r="AFP10" s="3447"/>
      <c r="AFQ10" s="3447"/>
      <c r="AFR10" s="3447"/>
      <c r="AFS10" s="3447"/>
      <c r="AFT10" s="3447"/>
      <c r="AFU10" s="3447"/>
      <c r="AFV10" s="3447"/>
      <c r="AFW10" s="3447"/>
      <c r="AFX10" s="3447"/>
      <c r="AFY10" s="3447"/>
      <c r="AFZ10" s="3447"/>
      <c r="AGA10" s="3447"/>
      <c r="AGB10" s="3447"/>
      <c r="AGC10" s="3447"/>
      <c r="AGD10" s="3447"/>
      <c r="AGE10" s="3447"/>
      <c r="AGF10" s="3447"/>
      <c r="AGG10" s="3447"/>
      <c r="AGH10" s="3447"/>
      <c r="AGI10" s="3447"/>
      <c r="AGJ10" s="3447"/>
      <c r="AGK10" s="3447"/>
      <c r="AGL10" s="3447"/>
      <c r="AGM10" s="3447"/>
      <c r="AGN10" s="3447"/>
      <c r="AGO10" s="3447"/>
      <c r="AGP10" s="3447"/>
      <c r="AGQ10" s="3447"/>
      <c r="AGR10" s="3447"/>
      <c r="AGS10" s="3447"/>
      <c r="AGT10" s="3447"/>
      <c r="AGU10" s="3447"/>
      <c r="AGV10" s="3447"/>
      <c r="AGW10" s="3447"/>
      <c r="AGX10" s="3447"/>
      <c r="AGY10" s="3447"/>
      <c r="AGZ10" s="3447"/>
      <c r="AHA10" s="3447"/>
      <c r="AHB10" s="3447"/>
      <c r="AHC10" s="3447"/>
      <c r="AHD10" s="3447"/>
      <c r="AHE10" s="3447"/>
      <c r="AHF10" s="3447"/>
      <c r="AHG10" s="3447"/>
      <c r="AHH10" s="3447"/>
      <c r="AHI10" s="3447"/>
      <c r="AHJ10" s="3447"/>
      <c r="AHK10" s="3447"/>
      <c r="AHL10" s="3447"/>
      <c r="AHM10" s="3447"/>
      <c r="AHN10" s="3447"/>
      <c r="AHO10" s="3447"/>
      <c r="AHP10" s="3447"/>
      <c r="AHQ10" s="3447"/>
      <c r="AHR10" s="3447"/>
      <c r="AHS10" s="3447"/>
      <c r="AHT10" s="3447"/>
      <c r="AHU10" s="3447"/>
      <c r="AHV10" s="3447"/>
      <c r="AHW10" s="3447"/>
      <c r="AHX10" s="3447"/>
      <c r="AHY10" s="3447"/>
      <c r="AHZ10" s="3447"/>
      <c r="AIA10" s="3447"/>
      <c r="AIB10" s="3447"/>
      <c r="AIC10" s="3447"/>
      <c r="AID10" s="3447"/>
      <c r="AIE10" s="3447"/>
      <c r="AIF10" s="3447"/>
      <c r="AIG10" s="3447"/>
      <c r="AIH10" s="3447"/>
      <c r="AII10" s="3447"/>
      <c r="AIJ10" s="3447"/>
      <c r="AIK10" s="3447"/>
      <c r="AIL10" s="3447"/>
      <c r="AIM10" s="3447"/>
      <c r="AIN10" s="3447"/>
      <c r="AIO10" s="3447"/>
      <c r="AIP10" s="3447"/>
      <c r="AIQ10" s="3447"/>
      <c r="AIR10" s="3447"/>
      <c r="AIS10" s="3447"/>
      <c r="AIT10" s="3447"/>
      <c r="AIU10" s="3447"/>
      <c r="AIV10" s="3447"/>
      <c r="AIW10" s="3447"/>
      <c r="AIX10" s="3447"/>
      <c r="AIY10" s="3447"/>
      <c r="AIZ10" s="3447"/>
      <c r="AJA10" s="3447"/>
      <c r="AJB10" s="3447"/>
      <c r="AJC10" s="3447"/>
      <c r="AJD10" s="3447"/>
      <c r="AJE10" s="3447"/>
      <c r="AJF10" s="3447"/>
      <c r="AJG10" s="3447"/>
      <c r="AJH10" s="3447"/>
      <c r="AJI10" s="3447"/>
      <c r="AJJ10" s="3447"/>
      <c r="AJK10" s="3447"/>
      <c r="AJL10" s="3447"/>
      <c r="AJM10" s="3447"/>
      <c r="AJN10" s="3447"/>
      <c r="AJO10" s="3447"/>
      <c r="AJP10" s="3447"/>
      <c r="AJQ10" s="3447"/>
      <c r="AJR10" s="3447"/>
      <c r="AJS10" s="3447"/>
      <c r="AJT10" s="3447"/>
      <c r="AJU10" s="3447"/>
      <c r="AJV10" s="3447"/>
      <c r="AJW10" s="3447"/>
      <c r="AJX10" s="3447"/>
      <c r="AJY10" s="3447"/>
      <c r="AJZ10" s="3447"/>
      <c r="AKA10" s="3447"/>
      <c r="AKB10" s="3447"/>
      <c r="AKC10" s="3447"/>
      <c r="AKD10" s="3447"/>
      <c r="AKE10" s="3447"/>
      <c r="AKF10" s="3447"/>
      <c r="AKG10" s="3447"/>
      <c r="AKH10" s="3447"/>
      <c r="AKI10" s="3447"/>
      <c r="AKJ10" s="3447"/>
      <c r="AKK10" s="3447"/>
      <c r="AKL10" s="3447"/>
      <c r="AKM10" s="3447"/>
      <c r="AKN10" s="3447"/>
      <c r="AKO10" s="3447"/>
      <c r="AKP10" s="3447"/>
      <c r="AKQ10" s="3447"/>
      <c r="AKR10" s="3447"/>
      <c r="AKS10" s="3447"/>
      <c r="AKT10" s="3447"/>
      <c r="AKU10" s="3447"/>
      <c r="AKV10" s="3447"/>
      <c r="AKW10" s="3447"/>
      <c r="AKX10" s="3447"/>
      <c r="AKY10" s="3447"/>
      <c r="AKZ10" s="3447"/>
      <c r="ALA10" s="3447"/>
      <c r="ALB10" s="3447"/>
      <c r="ALC10" s="3447"/>
      <c r="ALD10" s="3447"/>
      <c r="ALE10" s="3447"/>
      <c r="ALF10" s="3447"/>
      <c r="ALG10" s="3447"/>
      <c r="ALH10" s="3447"/>
      <c r="ALI10" s="3447"/>
      <c r="ALJ10" s="3447"/>
      <c r="ALK10" s="3447"/>
      <c r="ALL10" s="3447"/>
      <c r="ALM10" s="3447"/>
      <c r="ALN10" s="3447"/>
      <c r="ALO10" s="3447"/>
      <c r="ALP10" s="3447"/>
      <c r="ALQ10" s="3447"/>
      <c r="ALR10" s="3447"/>
      <c r="ALS10" s="3447"/>
      <c r="ALT10" s="3447"/>
      <c r="ALU10" s="3447"/>
      <c r="ALV10" s="3447"/>
      <c r="ALW10" s="3447"/>
      <c r="ALX10" s="3447"/>
      <c r="ALY10" s="3447"/>
      <c r="ALZ10" s="3447"/>
      <c r="AMA10" s="3447"/>
      <c r="AMB10" s="3447"/>
      <c r="AMC10" s="3447"/>
      <c r="AMD10" s="3447"/>
      <c r="AME10" s="3447"/>
      <c r="AMF10" s="3447"/>
      <c r="AMG10" s="3447"/>
      <c r="AMH10" s="3447"/>
      <c r="AMI10" s="3447"/>
      <c r="AMJ10" s="3447"/>
      <c r="AMK10" s="3447"/>
      <c r="AML10" s="3447"/>
      <c r="AMM10" s="3447"/>
      <c r="AMN10" s="3447"/>
      <c r="AMO10" s="3447"/>
      <c r="AMP10" s="3447"/>
      <c r="AMQ10" s="3447"/>
      <c r="AMR10" s="3447"/>
      <c r="AMS10" s="3447"/>
      <c r="AMT10" s="3447"/>
      <c r="AMU10" s="3447"/>
      <c r="AMV10" s="3447"/>
      <c r="AMW10" s="3447"/>
      <c r="AMX10" s="3447"/>
      <c r="AMY10" s="3447"/>
      <c r="AMZ10" s="3447"/>
      <c r="ANA10" s="3447"/>
      <c r="ANB10" s="3447"/>
      <c r="ANC10" s="3447"/>
      <c r="AND10" s="3447"/>
      <c r="ANE10" s="3447"/>
      <c r="ANF10" s="3447"/>
      <c r="ANG10" s="3447"/>
      <c r="ANH10" s="3447"/>
      <c r="ANI10" s="3447"/>
      <c r="ANJ10" s="3447"/>
      <c r="ANK10" s="3447"/>
      <c r="ANL10" s="3447"/>
      <c r="ANM10" s="3447"/>
      <c r="ANN10" s="3447"/>
      <c r="ANO10" s="3447"/>
      <c r="ANP10" s="3447"/>
      <c r="ANQ10" s="3447"/>
      <c r="ANR10" s="3447"/>
      <c r="ANS10" s="3447"/>
      <c r="ANT10" s="3447"/>
      <c r="ANU10" s="3447"/>
      <c r="ANV10" s="3447"/>
      <c r="ANW10" s="3447"/>
      <c r="ANX10" s="3447"/>
      <c r="ANY10" s="3447"/>
      <c r="ANZ10" s="3447"/>
      <c r="AOA10" s="3447"/>
      <c r="AOB10" s="3447"/>
      <c r="AOC10" s="3447"/>
      <c r="AOD10" s="3447"/>
      <c r="AOE10" s="3447"/>
      <c r="AOF10" s="3447"/>
      <c r="AOG10" s="3447"/>
      <c r="AOH10" s="3447"/>
      <c r="AOI10" s="3447"/>
      <c r="AOJ10" s="3447"/>
      <c r="AOK10" s="3447"/>
      <c r="AOL10" s="3447"/>
      <c r="AOM10" s="3447"/>
      <c r="AON10" s="3447"/>
      <c r="AOO10" s="3447"/>
      <c r="AOP10" s="3447"/>
      <c r="AOQ10" s="3447"/>
      <c r="AOR10" s="3447"/>
      <c r="AOS10" s="3447"/>
      <c r="AOT10" s="3447"/>
      <c r="AOU10" s="3447"/>
      <c r="AOV10" s="3447"/>
      <c r="AOW10" s="3447"/>
      <c r="AOX10" s="3447"/>
      <c r="AOY10" s="3447"/>
      <c r="AOZ10" s="3447"/>
      <c r="APA10" s="3447"/>
      <c r="APB10" s="3447"/>
      <c r="APC10" s="3447"/>
      <c r="APD10" s="3447"/>
      <c r="APE10" s="3447"/>
      <c r="APF10" s="3447"/>
      <c r="APG10" s="3447"/>
      <c r="APH10" s="3447"/>
      <c r="API10" s="3447"/>
      <c r="APJ10" s="3447"/>
      <c r="APK10" s="3447"/>
      <c r="APL10" s="3447"/>
      <c r="APM10" s="3447"/>
      <c r="APN10" s="3447"/>
      <c r="APO10" s="3447"/>
      <c r="APP10" s="3447"/>
      <c r="APQ10" s="3447"/>
      <c r="APR10" s="3447"/>
      <c r="APS10" s="3447"/>
      <c r="APT10" s="3447"/>
      <c r="APU10" s="3447"/>
      <c r="APV10" s="3447"/>
      <c r="APW10" s="3447"/>
      <c r="APX10" s="3447"/>
      <c r="APY10" s="3447"/>
      <c r="APZ10" s="3447"/>
      <c r="AQA10" s="3447"/>
      <c r="AQB10" s="3447"/>
      <c r="AQC10" s="3447"/>
      <c r="AQD10" s="3447"/>
      <c r="AQE10" s="3447"/>
      <c r="AQF10" s="3447"/>
      <c r="AQG10" s="3447"/>
      <c r="AQH10" s="3447"/>
      <c r="AQI10" s="3447"/>
      <c r="AQJ10" s="3447"/>
      <c r="AQK10" s="3447"/>
      <c r="AQL10" s="3447"/>
      <c r="AQM10" s="3447"/>
      <c r="AQN10" s="3447"/>
      <c r="AQO10" s="3447"/>
      <c r="AQP10" s="3447"/>
      <c r="AQQ10" s="3447"/>
      <c r="AQR10" s="3447"/>
      <c r="AQS10" s="3447"/>
      <c r="AQT10" s="3447"/>
      <c r="AQU10" s="3447"/>
      <c r="AQV10" s="3447"/>
      <c r="AQW10" s="3447"/>
      <c r="AQX10" s="3447"/>
      <c r="AQY10" s="3447"/>
      <c r="AQZ10" s="3447"/>
      <c r="ARA10" s="3447"/>
      <c r="ARB10" s="3447"/>
      <c r="ARC10" s="3447"/>
      <c r="ARD10" s="3447"/>
      <c r="ARE10" s="3447"/>
      <c r="ARF10" s="3447"/>
      <c r="ARG10" s="3447"/>
      <c r="ARH10" s="3447"/>
      <c r="ARI10" s="3447"/>
      <c r="ARJ10" s="3447"/>
      <c r="ARK10" s="3447"/>
      <c r="ARL10" s="3447"/>
      <c r="ARM10" s="3447"/>
      <c r="ARN10" s="3447"/>
      <c r="ARO10" s="3447"/>
      <c r="ARP10" s="3447"/>
      <c r="ARQ10" s="3447"/>
      <c r="ARR10" s="3447"/>
      <c r="ARS10" s="3447"/>
      <c r="ART10" s="3447"/>
      <c r="ARU10" s="3447"/>
      <c r="ARV10" s="3447"/>
      <c r="ARW10" s="3447"/>
      <c r="ARX10" s="3447"/>
      <c r="ARY10" s="3447"/>
      <c r="ARZ10" s="3447"/>
      <c r="ASA10" s="3447"/>
      <c r="ASB10" s="3447"/>
      <c r="ASC10" s="3447"/>
      <c r="ASD10" s="3447"/>
      <c r="ASE10" s="3447"/>
      <c r="ASF10" s="3447"/>
      <c r="ASG10" s="3447"/>
      <c r="ASH10" s="3447"/>
      <c r="ASI10" s="3447"/>
      <c r="ASJ10" s="3447"/>
      <c r="ASK10" s="3447"/>
      <c r="ASL10" s="3447"/>
      <c r="ASM10" s="3447"/>
      <c r="ASN10" s="3447"/>
      <c r="ASO10" s="3447"/>
      <c r="ASP10" s="3447"/>
      <c r="ASQ10" s="3447"/>
      <c r="ASR10" s="3447"/>
      <c r="ASS10" s="3447"/>
      <c r="AST10" s="3447"/>
      <c r="ASU10" s="3447"/>
      <c r="ASV10" s="3447"/>
      <c r="ASW10" s="3447"/>
      <c r="ASX10" s="3447"/>
      <c r="ASY10" s="3447"/>
      <c r="ASZ10" s="3447"/>
      <c r="ATA10" s="3447"/>
      <c r="ATB10" s="3447"/>
      <c r="ATC10" s="3447"/>
      <c r="ATD10" s="3447"/>
      <c r="ATE10" s="3447"/>
      <c r="ATF10" s="3447"/>
      <c r="ATG10" s="3447"/>
      <c r="ATH10" s="3447"/>
      <c r="ATI10" s="3447"/>
      <c r="ATJ10" s="3447"/>
      <c r="ATK10" s="3447"/>
      <c r="ATL10" s="3447"/>
      <c r="ATM10" s="3447"/>
      <c r="ATN10" s="3447"/>
      <c r="ATO10" s="3447"/>
      <c r="ATP10" s="3447"/>
      <c r="ATQ10" s="3447"/>
      <c r="ATR10" s="3447"/>
      <c r="ATS10" s="3447"/>
      <c r="ATT10" s="3447"/>
      <c r="ATU10" s="3447"/>
      <c r="ATV10" s="3447"/>
      <c r="ATW10" s="3447"/>
      <c r="ATX10" s="3447"/>
      <c r="ATY10" s="3447"/>
      <c r="ATZ10" s="3447"/>
      <c r="AUA10" s="3447"/>
      <c r="AUB10" s="3447"/>
      <c r="AUC10" s="3447"/>
      <c r="AUD10" s="3447"/>
      <c r="AUE10" s="3447"/>
      <c r="AUF10" s="3447"/>
      <c r="AUG10" s="3447"/>
      <c r="AUH10" s="3447"/>
      <c r="AUI10" s="3447"/>
      <c r="AUJ10" s="3447"/>
      <c r="AUK10" s="3447"/>
      <c r="AUL10" s="3447"/>
      <c r="AUM10" s="3447"/>
      <c r="AUN10" s="3447"/>
      <c r="AUO10" s="3447"/>
      <c r="AUP10" s="3447"/>
      <c r="AUQ10" s="3447"/>
      <c r="AUR10" s="3447"/>
      <c r="AUS10" s="3447"/>
      <c r="AUT10" s="3447"/>
      <c r="AUU10" s="3447"/>
      <c r="AUV10" s="3447"/>
      <c r="AUW10" s="3447"/>
      <c r="AUX10" s="3447"/>
      <c r="AUY10" s="3447"/>
      <c r="AUZ10" s="3447"/>
      <c r="AVA10" s="3447"/>
      <c r="AVB10" s="3447"/>
      <c r="AVC10" s="3447"/>
      <c r="AVD10" s="3447"/>
      <c r="AVE10" s="3447"/>
      <c r="AVF10" s="3447"/>
      <c r="AVG10" s="3447"/>
      <c r="AVH10" s="3447"/>
      <c r="AVI10" s="3447"/>
      <c r="AVJ10" s="3447"/>
      <c r="AVK10" s="3447"/>
      <c r="AVL10" s="3447"/>
      <c r="AVM10" s="3447"/>
      <c r="AVN10" s="3447"/>
      <c r="AVO10" s="3447"/>
      <c r="AVP10" s="3447"/>
      <c r="AVQ10" s="3447"/>
      <c r="AVR10" s="3447"/>
      <c r="AVS10" s="3447"/>
      <c r="AVT10" s="3447"/>
      <c r="AVU10" s="3447"/>
      <c r="AVV10" s="3447"/>
      <c r="AVW10" s="3447"/>
      <c r="AVX10" s="3447"/>
      <c r="AVY10" s="3447"/>
      <c r="AVZ10" s="3447"/>
      <c r="AWA10" s="3447"/>
      <c r="AWB10" s="3447"/>
      <c r="AWC10" s="3447"/>
      <c r="AWD10" s="3447"/>
      <c r="AWE10" s="3447"/>
      <c r="AWF10" s="3447"/>
      <c r="AWG10" s="3447"/>
      <c r="AWH10" s="3447"/>
      <c r="AWI10" s="3447"/>
      <c r="AWJ10" s="3447"/>
      <c r="AWK10" s="3447"/>
      <c r="AWL10" s="3447"/>
      <c r="AWM10" s="3447"/>
      <c r="AWN10" s="3447"/>
      <c r="AWO10" s="3447"/>
      <c r="AWP10" s="3447"/>
      <c r="AWQ10" s="3447"/>
      <c r="AWR10" s="3447"/>
      <c r="AWS10" s="3447"/>
      <c r="AWT10" s="3447"/>
      <c r="AWU10" s="3447"/>
      <c r="AWV10" s="3447"/>
      <c r="AWW10" s="3447"/>
      <c r="AWX10" s="3447"/>
      <c r="AWY10" s="3447"/>
      <c r="AWZ10" s="3447"/>
      <c r="AXA10" s="3447"/>
      <c r="AXB10" s="3447"/>
      <c r="AXC10" s="3447"/>
      <c r="AXD10" s="3447"/>
      <c r="AXE10" s="3447"/>
      <c r="AXF10" s="3447"/>
      <c r="AXG10" s="3447"/>
      <c r="AXH10" s="3447"/>
      <c r="AXI10" s="3447"/>
      <c r="AXJ10" s="3447"/>
      <c r="AXK10" s="3447"/>
      <c r="AXL10" s="3447"/>
      <c r="AXM10" s="3447"/>
      <c r="AXN10" s="3447"/>
      <c r="AXO10" s="3447"/>
      <c r="AXP10" s="3447"/>
      <c r="AXQ10" s="3447"/>
      <c r="AXR10" s="3447"/>
      <c r="AXS10" s="3447"/>
      <c r="AXT10" s="3447"/>
      <c r="AXU10" s="3447"/>
      <c r="AXV10" s="3447"/>
      <c r="AXW10" s="3447"/>
      <c r="AXX10" s="3447"/>
      <c r="AXY10" s="3447"/>
      <c r="AXZ10" s="3447"/>
      <c r="AYA10" s="3447"/>
      <c r="AYB10" s="3447"/>
      <c r="AYC10" s="3447"/>
      <c r="AYD10" s="3447"/>
      <c r="AYE10" s="3447"/>
      <c r="AYF10" s="3447"/>
      <c r="AYG10" s="3447"/>
      <c r="AYH10" s="3447"/>
      <c r="AYI10" s="3447"/>
      <c r="AYJ10" s="3447"/>
      <c r="AYK10" s="3447"/>
      <c r="AYL10" s="3447"/>
      <c r="AYM10" s="3447"/>
      <c r="AYN10" s="3447"/>
      <c r="AYO10" s="3447"/>
      <c r="AYP10" s="3447"/>
      <c r="AYQ10" s="3447"/>
      <c r="AYR10" s="3447"/>
      <c r="AYS10" s="3447"/>
      <c r="AYT10" s="3447"/>
      <c r="AYU10" s="3447"/>
      <c r="AYV10" s="3447"/>
      <c r="AYW10" s="3447"/>
      <c r="AYX10" s="3447"/>
      <c r="AYY10" s="3447"/>
      <c r="AYZ10" s="3447"/>
      <c r="AZA10" s="3447"/>
      <c r="AZB10" s="3447"/>
      <c r="AZC10" s="3447"/>
      <c r="AZD10" s="3447"/>
      <c r="AZE10" s="3447"/>
      <c r="AZF10" s="3447"/>
      <c r="AZG10" s="3447"/>
      <c r="AZH10" s="3447"/>
      <c r="AZI10" s="3447"/>
      <c r="AZJ10" s="3447"/>
      <c r="AZK10" s="3447"/>
      <c r="AZL10" s="3447"/>
      <c r="AZM10" s="3447"/>
      <c r="AZN10" s="3447"/>
      <c r="AZO10" s="3447"/>
      <c r="AZP10" s="3447"/>
      <c r="AZQ10" s="3447"/>
      <c r="AZR10" s="3447"/>
      <c r="AZS10" s="3447"/>
      <c r="AZT10" s="3447"/>
      <c r="AZU10" s="3447"/>
      <c r="AZV10" s="3447"/>
      <c r="AZW10" s="3447"/>
      <c r="AZX10" s="3447"/>
      <c r="AZY10" s="3447"/>
      <c r="AZZ10" s="3447"/>
      <c r="BAA10" s="3447"/>
      <c r="BAB10" s="3447"/>
      <c r="BAC10" s="3447"/>
      <c r="BAD10" s="3447"/>
      <c r="BAE10" s="3447"/>
      <c r="BAF10" s="3447"/>
      <c r="BAG10" s="3447"/>
      <c r="BAH10" s="3447"/>
      <c r="BAI10" s="3447"/>
      <c r="BAJ10" s="3447"/>
      <c r="BAK10" s="3447"/>
      <c r="BAL10" s="3447"/>
      <c r="BAM10" s="3447"/>
      <c r="BAN10" s="3447"/>
      <c r="BAO10" s="3447"/>
      <c r="BAP10" s="3447"/>
      <c r="BAQ10" s="3447"/>
      <c r="BAR10" s="3447"/>
      <c r="BAS10" s="3447"/>
      <c r="BAT10" s="3447"/>
      <c r="BAU10" s="3447"/>
      <c r="BAV10" s="3447"/>
      <c r="BAW10" s="3447"/>
      <c r="BAX10" s="3447"/>
      <c r="BAY10" s="3447"/>
      <c r="BAZ10" s="3447"/>
      <c r="BBA10" s="3447"/>
      <c r="BBB10" s="3447"/>
      <c r="BBC10" s="3447"/>
      <c r="BBD10" s="3447"/>
      <c r="BBE10" s="3447"/>
      <c r="BBF10" s="3447"/>
      <c r="BBG10" s="3447"/>
      <c r="BBH10" s="3447"/>
      <c r="BBI10" s="3447"/>
      <c r="BBJ10" s="3447"/>
      <c r="BBK10" s="3447"/>
      <c r="BBL10" s="3447"/>
      <c r="BBM10" s="3447"/>
      <c r="BBN10" s="3447"/>
      <c r="BBO10" s="3447"/>
      <c r="BBP10" s="3447"/>
      <c r="BBQ10" s="3447"/>
      <c r="BBR10" s="3447"/>
      <c r="BBS10" s="3447"/>
      <c r="BBT10" s="3447"/>
      <c r="BBU10" s="3447"/>
      <c r="BBV10" s="3447"/>
      <c r="BBW10" s="3447"/>
      <c r="BBX10" s="3447"/>
      <c r="BBY10" s="3447"/>
      <c r="BBZ10" s="3447"/>
      <c r="BCA10" s="3447"/>
      <c r="BCB10" s="3447"/>
      <c r="BCC10" s="3447"/>
      <c r="BCD10" s="3447"/>
      <c r="BCE10" s="3447"/>
      <c r="BCF10" s="3447"/>
      <c r="BCG10" s="3447"/>
      <c r="BCH10" s="3447"/>
      <c r="BCI10" s="3447"/>
      <c r="BCJ10" s="3447"/>
      <c r="BCK10" s="3447"/>
      <c r="BCL10" s="3447"/>
      <c r="BCM10" s="3447"/>
      <c r="BCN10" s="3447"/>
      <c r="BCO10" s="3447"/>
      <c r="BCP10" s="3447"/>
      <c r="BCQ10" s="3447"/>
      <c r="BCR10" s="3447"/>
      <c r="BCS10" s="3447"/>
      <c r="BCT10" s="3447"/>
      <c r="BCU10" s="3447"/>
      <c r="BCV10" s="3447"/>
      <c r="BCW10" s="3447"/>
      <c r="BCX10" s="3447"/>
      <c r="BCY10" s="3447"/>
      <c r="BCZ10" s="3447"/>
      <c r="BDA10" s="3447"/>
      <c r="BDB10" s="3447"/>
      <c r="BDC10" s="3447"/>
      <c r="BDD10" s="3447"/>
      <c r="BDE10" s="3447"/>
      <c r="BDF10" s="3447"/>
      <c r="BDG10" s="3447"/>
      <c r="BDH10" s="3447"/>
      <c r="BDI10" s="3447"/>
      <c r="BDJ10" s="3447"/>
      <c r="BDK10" s="3447"/>
      <c r="BDL10" s="3447"/>
      <c r="BDM10" s="3447"/>
      <c r="BDN10" s="3447"/>
      <c r="BDO10" s="3447"/>
      <c r="BDP10" s="3447"/>
      <c r="BDQ10" s="3447"/>
      <c r="BDR10" s="3447"/>
      <c r="BDS10" s="3447"/>
      <c r="BDT10" s="3447"/>
      <c r="BDU10" s="3447"/>
      <c r="BDV10" s="3447"/>
      <c r="BDW10" s="3447"/>
      <c r="BDX10" s="3447"/>
      <c r="BDY10" s="3447"/>
      <c r="BDZ10" s="3447"/>
      <c r="BEA10" s="3447"/>
      <c r="BEB10" s="3447"/>
      <c r="BEC10" s="3447"/>
      <c r="BED10" s="3447"/>
      <c r="BEE10" s="3447"/>
      <c r="BEF10" s="3447"/>
      <c r="BEG10" s="3447"/>
      <c r="BEH10" s="3447"/>
      <c r="BEI10" s="3447"/>
      <c r="BEJ10" s="3447"/>
      <c r="BEK10" s="3447"/>
      <c r="BEL10" s="3447"/>
      <c r="BEM10" s="3447"/>
      <c r="BEN10" s="3447"/>
      <c r="BEO10" s="3447"/>
      <c r="BEP10" s="3447"/>
      <c r="BEQ10" s="3447"/>
      <c r="BER10" s="3447"/>
      <c r="BES10" s="3447"/>
      <c r="BET10" s="3447"/>
      <c r="BEU10" s="3447"/>
      <c r="BEV10" s="3447"/>
      <c r="BEW10" s="3447"/>
      <c r="BEX10" s="3447"/>
      <c r="BEY10" s="3447"/>
      <c r="BEZ10" s="3447"/>
      <c r="BFA10" s="3447"/>
      <c r="BFB10" s="3447"/>
      <c r="BFC10" s="3447"/>
      <c r="BFD10" s="3447"/>
      <c r="BFE10" s="3447"/>
      <c r="BFF10" s="3447"/>
      <c r="BFG10" s="3447"/>
      <c r="BFH10" s="3447"/>
      <c r="BFI10" s="3447"/>
      <c r="BFJ10" s="3447"/>
      <c r="BFK10" s="3447"/>
      <c r="BFL10" s="3447"/>
      <c r="BFM10" s="3447"/>
      <c r="BFN10" s="3447"/>
      <c r="BFO10" s="3447"/>
      <c r="BFP10" s="3447"/>
      <c r="BFQ10" s="3447"/>
      <c r="BFR10" s="3447"/>
      <c r="BFS10" s="3447"/>
      <c r="BFT10" s="3447"/>
      <c r="BFU10" s="3447"/>
      <c r="BFV10" s="3447"/>
      <c r="BFW10" s="3447"/>
      <c r="BFX10" s="3447"/>
      <c r="BFY10" s="3447"/>
      <c r="BFZ10" s="3447"/>
      <c r="BGA10" s="3447"/>
      <c r="BGB10" s="3447"/>
      <c r="BGC10" s="3447"/>
      <c r="BGD10" s="3447"/>
      <c r="BGE10" s="3447"/>
      <c r="BGF10" s="3447"/>
      <c r="BGG10" s="3447"/>
      <c r="BGH10" s="3447"/>
      <c r="BGI10" s="3447"/>
      <c r="BGJ10" s="3447"/>
      <c r="BGK10" s="3447"/>
      <c r="BGL10" s="3447"/>
      <c r="BGM10" s="3447"/>
      <c r="BGN10" s="3447"/>
      <c r="BGO10" s="3447"/>
      <c r="BGP10" s="3447"/>
      <c r="BGQ10" s="3447"/>
      <c r="BGR10" s="3447"/>
      <c r="BGS10" s="3447"/>
      <c r="BGT10" s="3447"/>
      <c r="BGU10" s="3447"/>
      <c r="BGV10" s="3447"/>
      <c r="BGW10" s="3447"/>
      <c r="BGX10" s="3447"/>
      <c r="BGY10" s="3447"/>
      <c r="BGZ10" s="3447"/>
      <c r="BHA10" s="3447"/>
      <c r="BHB10" s="3447"/>
      <c r="BHC10" s="3447"/>
      <c r="BHD10" s="3447"/>
      <c r="BHE10" s="3447"/>
      <c r="BHF10" s="3447"/>
      <c r="BHG10" s="3447"/>
      <c r="BHH10" s="3447"/>
      <c r="BHI10" s="3447"/>
      <c r="BHJ10" s="3447"/>
      <c r="BHK10" s="3447"/>
      <c r="BHL10" s="3447"/>
      <c r="BHM10" s="3447"/>
      <c r="BHN10" s="3447"/>
      <c r="BHO10" s="3447"/>
      <c r="BHP10" s="3447"/>
      <c r="BHQ10" s="3447"/>
      <c r="BHR10" s="3447"/>
      <c r="BHS10" s="3447"/>
      <c r="BHT10" s="3447"/>
      <c r="BHU10" s="3447"/>
      <c r="BHV10" s="3447"/>
      <c r="BHW10" s="3447"/>
      <c r="BHX10" s="3447"/>
      <c r="BHY10" s="3447"/>
      <c r="BHZ10" s="3447"/>
      <c r="BIA10" s="3447"/>
      <c r="BIB10" s="3447"/>
      <c r="BIC10" s="3447"/>
      <c r="BID10" s="3447"/>
      <c r="BIE10" s="3447"/>
      <c r="BIF10" s="3447"/>
      <c r="BIG10" s="3447"/>
      <c r="BIH10" s="3447"/>
      <c r="BII10" s="3447"/>
      <c r="BIJ10" s="3447"/>
      <c r="BIK10" s="3447"/>
      <c r="BIL10" s="3447"/>
      <c r="BIM10" s="3447"/>
      <c r="BIN10" s="3447"/>
      <c r="BIO10" s="3447"/>
      <c r="BIP10" s="3447"/>
      <c r="BIQ10" s="3447"/>
      <c r="BIR10" s="3447"/>
      <c r="BIS10" s="3447"/>
      <c r="BIT10" s="3447"/>
      <c r="BIU10" s="3447"/>
      <c r="BIV10" s="3447"/>
      <c r="BIW10" s="3447"/>
      <c r="BIX10" s="3447"/>
      <c r="BIY10" s="3447"/>
      <c r="BIZ10" s="3447"/>
      <c r="BJA10" s="3447"/>
      <c r="BJB10" s="3447"/>
      <c r="BJC10" s="3447"/>
      <c r="BJD10" s="3447"/>
      <c r="BJE10" s="3447"/>
      <c r="BJF10" s="3447"/>
      <c r="BJG10" s="3447"/>
      <c r="BJH10" s="3447"/>
      <c r="BJI10" s="3447"/>
      <c r="BJJ10" s="3447"/>
      <c r="BJK10" s="3447"/>
      <c r="BJL10" s="3447"/>
      <c r="BJM10" s="3447"/>
      <c r="BJN10" s="3447"/>
      <c r="BJO10" s="3447"/>
      <c r="BJP10" s="3447"/>
      <c r="BJQ10" s="3447"/>
      <c r="BJR10" s="3447"/>
      <c r="BJS10" s="3447"/>
      <c r="BJT10" s="3447"/>
      <c r="BJU10" s="3447"/>
      <c r="BJV10" s="3447"/>
      <c r="BJW10" s="3447"/>
      <c r="BJX10" s="3447"/>
      <c r="BJY10" s="3447"/>
      <c r="BJZ10" s="3447"/>
      <c r="BKA10" s="3447"/>
      <c r="BKB10" s="3447"/>
      <c r="BKC10" s="3447"/>
      <c r="BKD10" s="3447"/>
      <c r="BKE10" s="3447"/>
      <c r="BKF10" s="3447"/>
      <c r="BKG10" s="3447"/>
      <c r="BKH10" s="3447"/>
      <c r="BKI10" s="3447"/>
      <c r="BKJ10" s="3447"/>
      <c r="BKK10" s="3447"/>
      <c r="BKL10" s="3447"/>
      <c r="BKM10" s="3447"/>
      <c r="BKN10" s="3447"/>
      <c r="BKO10" s="3447"/>
      <c r="BKP10" s="3447"/>
      <c r="BKQ10" s="3447"/>
      <c r="BKR10" s="3447"/>
      <c r="BKS10" s="3447"/>
      <c r="BKT10" s="3447"/>
      <c r="BKU10" s="3447"/>
      <c r="BKV10" s="3447"/>
      <c r="BKW10" s="3447"/>
      <c r="BKX10" s="3447"/>
      <c r="BKY10" s="3447"/>
      <c r="BKZ10" s="3447"/>
      <c r="BLA10" s="3447"/>
      <c r="BLB10" s="3447"/>
      <c r="BLC10" s="3447"/>
      <c r="BLD10" s="3447"/>
      <c r="BLE10" s="3447"/>
      <c r="BLF10" s="3447"/>
      <c r="BLG10" s="3447"/>
      <c r="BLH10" s="3447"/>
      <c r="BLI10" s="3447"/>
      <c r="BLJ10" s="3447"/>
      <c r="BLK10" s="3447"/>
      <c r="BLL10" s="3447"/>
      <c r="BLM10" s="3447"/>
      <c r="BLN10" s="3447"/>
      <c r="BLO10" s="3447"/>
      <c r="BLP10" s="3447"/>
      <c r="BLQ10" s="3447"/>
      <c r="BLR10" s="3447"/>
      <c r="BLS10" s="3447"/>
      <c r="BLT10" s="3447"/>
      <c r="BLU10" s="3447"/>
      <c r="BLV10" s="3447"/>
      <c r="BLW10" s="3447"/>
      <c r="BLX10" s="3447"/>
      <c r="BLY10" s="3447"/>
      <c r="BLZ10" s="3447"/>
      <c r="BMA10" s="3447"/>
      <c r="BMB10" s="3447"/>
      <c r="BMC10" s="3447"/>
      <c r="BMD10" s="3447"/>
      <c r="BME10" s="3447"/>
      <c r="BMF10" s="3447"/>
      <c r="BMG10" s="3447"/>
      <c r="BMH10" s="3447"/>
      <c r="BMI10" s="3447"/>
      <c r="BMJ10" s="3447"/>
      <c r="BMK10" s="3447"/>
      <c r="BML10" s="3447"/>
      <c r="BMM10" s="3447"/>
      <c r="BMN10" s="3447"/>
      <c r="BMO10" s="3447"/>
      <c r="BMP10" s="3447"/>
      <c r="BMQ10" s="3447"/>
      <c r="BMR10" s="3447"/>
      <c r="BMS10" s="3447"/>
      <c r="BMT10" s="3447"/>
      <c r="BMU10" s="3447"/>
      <c r="BMV10" s="3447"/>
      <c r="BMW10" s="3447"/>
      <c r="BMX10" s="3447"/>
      <c r="BMY10" s="3447"/>
      <c r="BMZ10" s="3447"/>
      <c r="BNA10" s="3447"/>
      <c r="BNB10" s="3447"/>
      <c r="BNC10" s="3447"/>
      <c r="BND10" s="3447"/>
      <c r="BNE10" s="3447"/>
      <c r="BNF10" s="3447"/>
      <c r="BNG10" s="3447"/>
      <c r="BNH10" s="3447"/>
      <c r="BNI10" s="3447"/>
      <c r="BNJ10" s="3447"/>
      <c r="BNK10" s="3447"/>
      <c r="BNL10" s="3447"/>
      <c r="BNM10" s="3447"/>
      <c r="BNN10" s="3447"/>
      <c r="BNO10" s="3447"/>
      <c r="BNP10" s="3447"/>
      <c r="BNQ10" s="3447"/>
      <c r="BNR10" s="3447"/>
      <c r="BNS10" s="3447"/>
      <c r="BNT10" s="3447"/>
      <c r="BNU10" s="3447"/>
      <c r="BNV10" s="3447"/>
      <c r="BNW10" s="3447"/>
      <c r="BNX10" s="3447"/>
      <c r="BNY10" s="3447"/>
      <c r="BNZ10" s="3447"/>
      <c r="BOA10" s="3447"/>
      <c r="BOB10" s="3447"/>
      <c r="BOC10" s="3447"/>
      <c r="BOD10" s="3447"/>
      <c r="BOE10" s="3447"/>
      <c r="BOF10" s="3447"/>
      <c r="BOG10" s="3447"/>
      <c r="BOH10" s="3447"/>
      <c r="BOI10" s="3447"/>
      <c r="BOJ10" s="3447"/>
      <c r="BOK10" s="3447"/>
      <c r="BOL10" s="3447"/>
      <c r="BOM10" s="3447"/>
      <c r="BON10" s="3447"/>
      <c r="BOO10" s="3447"/>
      <c r="BOP10" s="3447"/>
      <c r="BOQ10" s="3447"/>
      <c r="BOR10" s="3447"/>
      <c r="BOS10" s="3447"/>
      <c r="BOT10" s="3447"/>
      <c r="BOU10" s="3447"/>
      <c r="BOV10" s="3447"/>
      <c r="BOW10" s="3447"/>
      <c r="BOX10" s="3447"/>
      <c r="BOY10" s="3447"/>
      <c r="BOZ10" s="3447"/>
      <c r="BPA10" s="3447"/>
      <c r="BPB10" s="3447"/>
      <c r="BPC10" s="3447"/>
      <c r="BPD10" s="3447"/>
      <c r="BPE10" s="3447"/>
      <c r="BPF10" s="3447"/>
      <c r="BPG10" s="3447"/>
      <c r="BPH10" s="3447"/>
      <c r="BPI10" s="3447"/>
      <c r="BPJ10" s="3447"/>
      <c r="BPK10" s="3447"/>
      <c r="BPL10" s="3447"/>
      <c r="BPM10" s="3447"/>
      <c r="BPN10" s="3447"/>
      <c r="BPO10" s="3447"/>
      <c r="BPP10" s="3447"/>
      <c r="BPQ10" s="3447"/>
      <c r="BPR10" s="3447"/>
      <c r="BPS10" s="3447"/>
      <c r="BPT10" s="3447"/>
      <c r="BPU10" s="3447"/>
      <c r="BPV10" s="3447"/>
      <c r="BPW10" s="3447"/>
      <c r="BPX10" s="3447"/>
      <c r="BPY10" s="3447"/>
      <c r="BPZ10" s="3447"/>
      <c r="BQA10" s="3447"/>
      <c r="BQB10" s="3447"/>
      <c r="BQC10" s="3447"/>
      <c r="BQD10" s="3447"/>
      <c r="BQE10" s="3447"/>
      <c r="BQF10" s="3447"/>
      <c r="BQG10" s="3447"/>
      <c r="BQH10" s="3447"/>
      <c r="BQI10" s="3447"/>
      <c r="BQJ10" s="3447"/>
      <c r="BQK10" s="3447"/>
      <c r="BQL10" s="3447"/>
      <c r="BQM10" s="3447"/>
      <c r="BQN10" s="3447"/>
      <c r="BQO10" s="3447"/>
      <c r="BQP10" s="3447"/>
      <c r="BQQ10" s="3447"/>
      <c r="BQR10" s="3447"/>
      <c r="BQS10" s="3447"/>
      <c r="BQT10" s="3447"/>
      <c r="BQU10" s="3447"/>
      <c r="BQV10" s="3447"/>
      <c r="BQW10" s="3447"/>
      <c r="BQX10" s="3447"/>
      <c r="BQY10" s="3447"/>
      <c r="BQZ10" s="3447"/>
      <c r="BRA10" s="3447"/>
      <c r="BRB10" s="3447"/>
      <c r="BRC10" s="3447"/>
      <c r="BRD10" s="3447"/>
      <c r="BRE10" s="3447"/>
      <c r="BRF10" s="3447"/>
      <c r="BRG10" s="3447"/>
      <c r="BRH10" s="3447"/>
      <c r="BRI10" s="3447"/>
      <c r="BRJ10" s="3447"/>
      <c r="BRK10" s="3447"/>
      <c r="BRL10" s="3447"/>
      <c r="BRM10" s="3447"/>
      <c r="BRN10" s="3447"/>
      <c r="BRO10" s="3447"/>
      <c r="BRP10" s="3447"/>
      <c r="BRQ10" s="3447"/>
      <c r="BRR10" s="3447"/>
      <c r="BRS10" s="3447"/>
      <c r="BRT10" s="3447"/>
      <c r="BRU10" s="3447"/>
      <c r="BRV10" s="3447"/>
      <c r="BRW10" s="3447"/>
      <c r="BRX10" s="3447"/>
      <c r="BRY10" s="3447"/>
      <c r="BRZ10" s="3447"/>
      <c r="BSA10" s="3447"/>
      <c r="BSB10" s="3447"/>
      <c r="BSC10" s="3447"/>
      <c r="BSD10" s="3447"/>
      <c r="BSE10" s="3447"/>
      <c r="BSF10" s="3447"/>
      <c r="BSG10" s="3447"/>
      <c r="BSH10" s="3447"/>
      <c r="BSI10" s="3447"/>
      <c r="BSJ10" s="3447"/>
      <c r="BSK10" s="3447"/>
      <c r="BSL10" s="3447"/>
      <c r="BSM10" s="3447"/>
      <c r="BSN10" s="3447"/>
      <c r="BSO10" s="3447"/>
      <c r="BSP10" s="3447"/>
      <c r="BSQ10" s="3447"/>
      <c r="BSR10" s="3447"/>
      <c r="BSS10" s="3447"/>
      <c r="BST10" s="3447"/>
      <c r="BSU10" s="3447"/>
      <c r="BSV10" s="3447"/>
      <c r="BSW10" s="3447"/>
      <c r="BSX10" s="3447"/>
      <c r="BSY10" s="3447"/>
      <c r="BSZ10" s="3447"/>
      <c r="BTA10" s="3447"/>
      <c r="BTB10" s="3447"/>
      <c r="BTC10" s="3447"/>
      <c r="BTD10" s="3447"/>
      <c r="BTE10" s="3447"/>
      <c r="BTF10" s="3447"/>
      <c r="BTG10" s="3447"/>
      <c r="BTH10" s="3447"/>
      <c r="BTI10" s="3447"/>
      <c r="BTJ10" s="3447"/>
      <c r="BTK10" s="3447"/>
      <c r="BTL10" s="3447"/>
      <c r="BTM10" s="3447"/>
      <c r="BTN10" s="3447"/>
      <c r="BTO10" s="3447"/>
      <c r="BTP10" s="3447"/>
      <c r="BTQ10" s="3447"/>
      <c r="BTR10" s="3447"/>
      <c r="BTS10" s="3447"/>
      <c r="BTT10" s="3447"/>
      <c r="BTU10" s="3447"/>
      <c r="BTV10" s="3447"/>
      <c r="BTW10" s="3447"/>
      <c r="BTX10" s="3447"/>
      <c r="BTY10" s="3447"/>
      <c r="BTZ10" s="3447"/>
      <c r="BUA10" s="3447"/>
      <c r="BUB10" s="3447"/>
      <c r="BUC10" s="3447"/>
      <c r="BUD10" s="3447"/>
      <c r="BUE10" s="3447"/>
      <c r="BUF10" s="3447"/>
      <c r="BUG10" s="3447"/>
      <c r="BUH10" s="3447"/>
      <c r="BUI10" s="3447"/>
      <c r="BUJ10" s="3447"/>
      <c r="BUK10" s="3447"/>
      <c r="BUL10" s="3447"/>
      <c r="BUM10" s="3447"/>
      <c r="BUN10" s="3447"/>
      <c r="BUO10" s="3447"/>
      <c r="BUP10" s="3447"/>
      <c r="BUQ10" s="3447"/>
      <c r="BUR10" s="3447"/>
      <c r="BUS10" s="3447"/>
      <c r="BUT10" s="3447"/>
      <c r="BUU10" s="3447"/>
      <c r="BUV10" s="3447"/>
      <c r="BUW10" s="3447"/>
      <c r="BUX10" s="3447"/>
      <c r="BUY10" s="3447"/>
      <c r="BUZ10" s="3447"/>
      <c r="BVA10" s="3447"/>
      <c r="BVB10" s="3447"/>
      <c r="BVC10" s="3447"/>
      <c r="BVD10" s="3447"/>
      <c r="BVE10" s="3447"/>
      <c r="BVF10" s="3447"/>
      <c r="BVG10" s="3447"/>
      <c r="BVH10" s="3447"/>
      <c r="BVI10" s="3447"/>
      <c r="BVJ10" s="3447"/>
      <c r="BVK10" s="3447"/>
      <c r="BVL10" s="3447"/>
      <c r="BVM10" s="3447"/>
      <c r="BVN10" s="3447"/>
      <c r="BVO10" s="3447"/>
      <c r="BVP10" s="3447"/>
      <c r="BVQ10" s="3447"/>
      <c r="BVR10" s="3447"/>
      <c r="BVS10" s="3447"/>
      <c r="BVT10" s="3447"/>
      <c r="BVU10" s="3447"/>
      <c r="BVV10" s="3447"/>
      <c r="BVW10" s="3447"/>
      <c r="BVX10" s="3447"/>
      <c r="BVY10" s="3447"/>
      <c r="BVZ10" s="3447"/>
      <c r="BWA10" s="3447"/>
      <c r="BWB10" s="3447"/>
      <c r="BWC10" s="3447"/>
      <c r="BWD10" s="3447"/>
      <c r="BWE10" s="3447"/>
      <c r="BWF10" s="3447"/>
      <c r="BWG10" s="3447"/>
      <c r="BWH10" s="3447"/>
      <c r="BWI10" s="3447"/>
      <c r="BWJ10" s="3447"/>
      <c r="BWK10" s="3447"/>
      <c r="BWL10" s="3447"/>
      <c r="BWM10" s="3447"/>
      <c r="BWN10" s="3447"/>
      <c r="BWO10" s="3447"/>
      <c r="BWP10" s="3447"/>
      <c r="BWQ10" s="3447"/>
      <c r="BWR10" s="3447"/>
      <c r="BWS10" s="3447"/>
      <c r="BWT10" s="3447"/>
      <c r="BWU10" s="3447"/>
      <c r="BWV10" s="3447"/>
      <c r="BWW10" s="3447"/>
      <c r="BWX10" s="3447"/>
      <c r="BWY10" s="3447"/>
      <c r="BWZ10" s="3447"/>
      <c r="BXA10" s="3447"/>
      <c r="BXB10" s="3447"/>
      <c r="BXC10" s="3447"/>
      <c r="BXD10" s="3447"/>
      <c r="BXE10" s="3447"/>
      <c r="BXF10" s="3447"/>
      <c r="BXG10" s="3447"/>
      <c r="BXH10" s="3447"/>
      <c r="BXI10" s="3447"/>
      <c r="BXJ10" s="3447"/>
      <c r="BXK10" s="3447"/>
      <c r="BXL10" s="3447"/>
      <c r="BXM10" s="3447"/>
      <c r="BXN10" s="3447"/>
      <c r="BXO10" s="3447"/>
      <c r="BXP10" s="3447"/>
      <c r="BXQ10" s="3447"/>
      <c r="BXR10" s="3447"/>
      <c r="BXS10" s="3447"/>
      <c r="BXT10" s="3447"/>
      <c r="BXU10" s="3447"/>
      <c r="BXV10" s="3447"/>
      <c r="BXW10" s="3447"/>
      <c r="BXX10" s="3447"/>
      <c r="BXY10" s="3447"/>
      <c r="BXZ10" s="3447"/>
      <c r="BYA10" s="3447"/>
      <c r="BYB10" s="3447"/>
      <c r="BYC10" s="3447"/>
      <c r="BYD10" s="3447"/>
      <c r="BYE10" s="3447"/>
      <c r="BYF10" s="3447"/>
      <c r="BYG10" s="3447"/>
      <c r="BYH10" s="3447"/>
      <c r="BYI10" s="3447"/>
      <c r="BYJ10" s="3447"/>
      <c r="BYK10" s="3447"/>
      <c r="BYL10" s="3447"/>
      <c r="BYM10" s="3447"/>
      <c r="BYN10" s="3447"/>
      <c r="BYO10" s="3447"/>
      <c r="BYP10" s="3447"/>
      <c r="BYQ10" s="3447"/>
      <c r="BYR10" s="3447"/>
      <c r="BYS10" s="3447"/>
      <c r="BYT10" s="3447"/>
      <c r="BYU10" s="3447"/>
      <c r="BYV10" s="3447"/>
      <c r="BYW10" s="3447"/>
      <c r="BYX10" s="3447"/>
      <c r="BYY10" s="3447"/>
      <c r="BYZ10" s="3447"/>
      <c r="BZA10" s="3447"/>
      <c r="BZB10" s="3447"/>
      <c r="BZC10" s="3447"/>
      <c r="BZD10" s="3447"/>
      <c r="BZE10" s="3447"/>
      <c r="BZF10" s="3447"/>
      <c r="BZG10" s="3447"/>
      <c r="BZH10" s="3447"/>
      <c r="BZI10" s="3447"/>
      <c r="BZJ10" s="3447"/>
      <c r="BZK10" s="3447"/>
      <c r="BZL10" s="3447"/>
      <c r="BZM10" s="3447"/>
      <c r="BZN10" s="3447"/>
      <c r="BZO10" s="3447"/>
      <c r="BZP10" s="3447"/>
      <c r="BZQ10" s="3447"/>
      <c r="BZR10" s="3447"/>
      <c r="BZS10" s="3447"/>
      <c r="BZT10" s="3447"/>
      <c r="BZU10" s="3447"/>
      <c r="BZV10" s="3447"/>
      <c r="BZW10" s="3447"/>
      <c r="BZX10" s="3447"/>
      <c r="BZY10" s="3447"/>
      <c r="BZZ10" s="3447"/>
      <c r="CAA10" s="3447"/>
      <c r="CAB10" s="3447"/>
      <c r="CAC10" s="3447"/>
      <c r="CAD10" s="3447"/>
      <c r="CAE10" s="3447"/>
      <c r="CAF10" s="3447"/>
      <c r="CAG10" s="3447"/>
      <c r="CAH10" s="3447"/>
      <c r="CAI10" s="3447"/>
      <c r="CAJ10" s="3447"/>
      <c r="CAK10" s="3447"/>
      <c r="CAL10" s="3447"/>
      <c r="CAM10" s="3447"/>
      <c r="CAN10" s="3447"/>
      <c r="CAO10" s="3447"/>
      <c r="CAP10" s="3447"/>
      <c r="CAQ10" s="3447"/>
      <c r="CAR10" s="3447"/>
      <c r="CAS10" s="3447"/>
      <c r="CAT10" s="3447"/>
      <c r="CAU10" s="3447"/>
      <c r="CAV10" s="3447"/>
      <c r="CAW10" s="3447"/>
      <c r="CAX10" s="3447"/>
      <c r="CAY10" s="3447"/>
      <c r="CAZ10" s="3447"/>
      <c r="CBA10" s="3447"/>
      <c r="CBB10" s="3447"/>
      <c r="CBC10" s="3447"/>
      <c r="CBD10" s="3447"/>
      <c r="CBE10" s="3447"/>
      <c r="CBF10" s="3447"/>
      <c r="CBG10" s="3447"/>
      <c r="CBH10" s="3447"/>
      <c r="CBI10" s="3447"/>
      <c r="CBJ10" s="3447"/>
      <c r="CBK10" s="3447"/>
      <c r="CBL10" s="3447"/>
      <c r="CBM10" s="3447"/>
      <c r="CBN10" s="3447"/>
      <c r="CBO10" s="3447"/>
      <c r="CBP10" s="3447"/>
      <c r="CBQ10" s="3447"/>
      <c r="CBR10" s="3447"/>
      <c r="CBS10" s="3447"/>
      <c r="CBT10" s="3447"/>
      <c r="CBU10" s="3447"/>
      <c r="CBV10" s="3447"/>
      <c r="CBW10" s="3447"/>
      <c r="CBX10" s="3447"/>
      <c r="CBY10" s="3447"/>
      <c r="CBZ10" s="3447"/>
      <c r="CCA10" s="3447"/>
      <c r="CCB10" s="3447"/>
      <c r="CCC10" s="3447"/>
      <c r="CCD10" s="3447"/>
      <c r="CCE10" s="3447"/>
      <c r="CCF10" s="3447"/>
      <c r="CCG10" s="3447"/>
      <c r="CCH10" s="3447"/>
      <c r="CCI10" s="3447"/>
      <c r="CCJ10" s="3447"/>
      <c r="CCK10" s="3447"/>
      <c r="CCL10" s="3447"/>
      <c r="CCM10" s="3447"/>
      <c r="CCN10" s="3447"/>
      <c r="CCO10" s="3447"/>
      <c r="CCP10" s="3447"/>
      <c r="CCQ10" s="3447"/>
      <c r="CCR10" s="3447"/>
      <c r="CCS10" s="3447"/>
      <c r="CCT10" s="3447"/>
      <c r="CCU10" s="3447"/>
      <c r="CCV10" s="3447"/>
      <c r="CCW10" s="3447"/>
      <c r="CCX10" s="3447"/>
      <c r="CCY10" s="3447"/>
      <c r="CCZ10" s="3447"/>
      <c r="CDA10" s="3447"/>
      <c r="CDB10" s="3447"/>
      <c r="CDC10" s="3447"/>
      <c r="CDD10" s="3447"/>
      <c r="CDE10" s="3447"/>
      <c r="CDF10" s="3447"/>
      <c r="CDG10" s="3447"/>
      <c r="CDH10" s="3447"/>
      <c r="CDI10" s="3447"/>
      <c r="CDJ10" s="3447"/>
      <c r="CDK10" s="3447"/>
      <c r="CDL10" s="3447"/>
      <c r="CDM10" s="3447"/>
      <c r="CDN10" s="3447"/>
      <c r="CDO10" s="3447"/>
      <c r="CDP10" s="3447"/>
      <c r="CDQ10" s="3447"/>
      <c r="CDR10" s="3447"/>
      <c r="CDS10" s="3447"/>
      <c r="CDT10" s="3447"/>
      <c r="CDU10" s="3447"/>
      <c r="CDV10" s="3447"/>
      <c r="CDW10" s="3447"/>
      <c r="CDX10" s="3447"/>
      <c r="CDY10" s="3447"/>
      <c r="CDZ10" s="3447"/>
      <c r="CEA10" s="3447"/>
      <c r="CEB10" s="3447"/>
      <c r="CEC10" s="3447"/>
      <c r="CED10" s="3447"/>
      <c r="CEE10" s="3447"/>
      <c r="CEF10" s="3447"/>
      <c r="CEG10" s="3447"/>
      <c r="CEH10" s="3447"/>
      <c r="CEI10" s="3447"/>
      <c r="CEJ10" s="3447"/>
      <c r="CEK10" s="3447"/>
      <c r="CEL10" s="3447"/>
      <c r="CEM10" s="3447"/>
      <c r="CEN10" s="3447"/>
      <c r="CEO10" s="3447"/>
      <c r="CEP10" s="3447"/>
      <c r="CEQ10" s="3447"/>
      <c r="CER10" s="3447"/>
      <c r="CES10" s="3447"/>
      <c r="CET10" s="3447"/>
      <c r="CEU10" s="3447"/>
      <c r="CEV10" s="3447"/>
      <c r="CEW10" s="3447"/>
      <c r="CEX10" s="3447"/>
      <c r="CEY10" s="3447"/>
      <c r="CEZ10" s="3447"/>
      <c r="CFA10" s="3447"/>
      <c r="CFB10" s="3447"/>
      <c r="CFC10" s="3447"/>
      <c r="CFD10" s="3447"/>
      <c r="CFE10" s="3447"/>
      <c r="CFF10" s="3447"/>
      <c r="CFG10" s="3447"/>
      <c r="CFH10" s="3447"/>
      <c r="CFI10" s="3447"/>
      <c r="CFJ10" s="3447"/>
      <c r="CFK10" s="3447"/>
      <c r="CFL10" s="3447"/>
      <c r="CFM10" s="3447"/>
      <c r="CFN10" s="3447"/>
      <c r="CFO10" s="3447"/>
      <c r="CFP10" s="3447"/>
      <c r="CFQ10" s="3447"/>
      <c r="CFR10" s="3447"/>
      <c r="CFS10" s="3447"/>
      <c r="CFT10" s="3447"/>
      <c r="CFU10" s="3447"/>
      <c r="CFV10" s="3447"/>
      <c r="CFW10" s="3447"/>
      <c r="CFX10" s="3447"/>
      <c r="CFY10" s="3447"/>
      <c r="CFZ10" s="3447"/>
      <c r="CGA10" s="3447"/>
      <c r="CGB10" s="3447"/>
      <c r="CGC10" s="3447"/>
      <c r="CGD10" s="3447"/>
      <c r="CGE10" s="3447"/>
      <c r="CGF10" s="3447"/>
      <c r="CGG10" s="3447"/>
      <c r="CGH10" s="3447"/>
      <c r="CGI10" s="3447"/>
      <c r="CGJ10" s="3447"/>
      <c r="CGK10" s="3447"/>
      <c r="CGL10" s="3447"/>
      <c r="CGM10" s="3447"/>
      <c r="CGN10" s="3447"/>
      <c r="CGO10" s="3447"/>
      <c r="CGP10" s="3447"/>
      <c r="CGQ10" s="3447"/>
      <c r="CGR10" s="3447"/>
      <c r="CGS10" s="3447"/>
      <c r="CGT10" s="3447"/>
      <c r="CGU10" s="3447"/>
      <c r="CGV10" s="3447"/>
      <c r="CGW10" s="3447"/>
      <c r="CGX10" s="3447"/>
      <c r="CGY10" s="3447"/>
      <c r="CGZ10" s="3447"/>
      <c r="CHA10" s="3447"/>
      <c r="CHB10" s="3447"/>
      <c r="CHC10" s="3447"/>
      <c r="CHD10" s="3447"/>
      <c r="CHE10" s="3447"/>
      <c r="CHF10" s="3447"/>
      <c r="CHG10" s="3447"/>
      <c r="CHH10" s="3447"/>
      <c r="CHI10" s="3447"/>
      <c r="CHJ10" s="3447"/>
      <c r="CHK10" s="3447"/>
      <c r="CHL10" s="3447"/>
      <c r="CHM10" s="3447"/>
      <c r="CHN10" s="3447"/>
      <c r="CHO10" s="3447"/>
      <c r="CHP10" s="3447"/>
      <c r="CHQ10" s="3447"/>
      <c r="CHR10" s="3447"/>
      <c r="CHS10" s="3447"/>
      <c r="CHT10" s="3447"/>
      <c r="CHU10" s="3447"/>
      <c r="CHV10" s="3447"/>
      <c r="CHW10" s="3447"/>
      <c r="CHX10" s="3447"/>
      <c r="CHY10" s="3447"/>
      <c r="CHZ10" s="3447"/>
      <c r="CIA10" s="3447"/>
      <c r="CIB10" s="3447"/>
      <c r="CIC10" s="3447"/>
      <c r="CID10" s="3447"/>
      <c r="CIE10" s="3447"/>
      <c r="CIF10" s="3447"/>
      <c r="CIG10" s="3447"/>
      <c r="CIH10" s="3447"/>
      <c r="CII10" s="3447"/>
      <c r="CIJ10" s="3447"/>
      <c r="CIK10" s="3447"/>
      <c r="CIL10" s="3447"/>
      <c r="CIM10" s="3447"/>
      <c r="CIN10" s="3447"/>
      <c r="CIO10" s="3447"/>
      <c r="CIP10" s="3447"/>
      <c r="CIQ10" s="3447"/>
      <c r="CIR10" s="3447"/>
      <c r="CIS10" s="3447"/>
      <c r="CIT10" s="3447"/>
      <c r="CIU10" s="3447"/>
      <c r="CIV10" s="3447"/>
      <c r="CIW10" s="3447"/>
      <c r="CIX10" s="3447"/>
      <c r="CIY10" s="3447"/>
      <c r="CIZ10" s="3447"/>
      <c r="CJA10" s="3447"/>
      <c r="CJB10" s="3447"/>
      <c r="CJC10" s="3447"/>
      <c r="CJD10" s="3447"/>
      <c r="CJE10" s="3447"/>
      <c r="CJF10" s="3447"/>
      <c r="CJG10" s="3447"/>
      <c r="CJH10" s="3447"/>
      <c r="CJI10" s="3447"/>
      <c r="CJJ10" s="3447"/>
      <c r="CJK10" s="3447"/>
      <c r="CJL10" s="3447"/>
      <c r="CJM10" s="3447"/>
      <c r="CJN10" s="3447"/>
      <c r="CJO10" s="3447"/>
      <c r="CJP10" s="3447"/>
      <c r="CJQ10" s="3447"/>
      <c r="CJR10" s="3447"/>
      <c r="CJS10" s="3447"/>
      <c r="CJT10" s="3447"/>
      <c r="CJU10" s="3447"/>
      <c r="CJV10" s="3447"/>
      <c r="CJW10" s="3447"/>
      <c r="CJX10" s="3447"/>
      <c r="CJY10" s="3447"/>
      <c r="CJZ10" s="3447"/>
      <c r="CKA10" s="3447"/>
      <c r="CKB10" s="3447"/>
      <c r="CKC10" s="3447"/>
      <c r="CKD10" s="3447"/>
      <c r="CKE10" s="3447"/>
      <c r="CKF10" s="3447"/>
      <c r="CKG10" s="3447"/>
      <c r="CKH10" s="3447"/>
      <c r="CKI10" s="3447"/>
      <c r="CKJ10" s="3447"/>
      <c r="CKK10" s="3447"/>
      <c r="CKL10" s="3447"/>
      <c r="CKM10" s="3447"/>
      <c r="CKN10" s="3447"/>
      <c r="CKO10" s="3447"/>
      <c r="CKP10" s="3447"/>
      <c r="CKQ10" s="3447"/>
      <c r="CKR10" s="3447"/>
      <c r="CKS10" s="3447"/>
      <c r="CKT10" s="3447"/>
      <c r="CKU10" s="3447"/>
      <c r="CKV10" s="3447"/>
      <c r="CKW10" s="3447"/>
      <c r="CKX10" s="3447"/>
      <c r="CKY10" s="3447"/>
      <c r="CKZ10" s="3447"/>
      <c r="CLA10" s="3447"/>
      <c r="CLB10" s="3447"/>
      <c r="CLC10" s="3447"/>
      <c r="CLD10" s="3447"/>
      <c r="CLE10" s="3447"/>
      <c r="CLF10" s="3447"/>
      <c r="CLG10" s="3447"/>
      <c r="CLH10" s="3447"/>
      <c r="CLI10" s="3447"/>
      <c r="CLJ10" s="3447"/>
      <c r="CLK10" s="3447"/>
      <c r="CLL10" s="3447"/>
      <c r="CLM10" s="3447"/>
      <c r="CLN10" s="3447"/>
      <c r="CLO10" s="3447"/>
      <c r="CLP10" s="3447"/>
      <c r="CLQ10" s="3447"/>
      <c r="CLR10" s="3447"/>
      <c r="CLS10" s="3447"/>
      <c r="CLT10" s="3447"/>
      <c r="CLU10" s="3447"/>
      <c r="CLV10" s="3447"/>
      <c r="CLW10" s="3447"/>
      <c r="CLX10" s="3447"/>
      <c r="CLY10" s="3447"/>
      <c r="CLZ10" s="3447"/>
      <c r="CMA10" s="3447"/>
      <c r="CMB10" s="3447"/>
      <c r="CMC10" s="3447"/>
      <c r="CMD10" s="3447"/>
      <c r="CME10" s="3447"/>
      <c r="CMF10" s="3447"/>
      <c r="CMG10" s="3447"/>
      <c r="CMH10" s="3447"/>
      <c r="CMI10" s="3447"/>
      <c r="CMJ10" s="3447"/>
      <c r="CMK10" s="3447"/>
      <c r="CML10" s="3447"/>
      <c r="CMM10" s="3447"/>
      <c r="CMN10" s="3447"/>
      <c r="CMO10" s="3447"/>
      <c r="CMP10" s="3447"/>
      <c r="CMQ10" s="3447"/>
      <c r="CMR10" s="3447"/>
      <c r="CMS10" s="3447"/>
      <c r="CMT10" s="3447"/>
      <c r="CMU10" s="3447"/>
      <c r="CMV10" s="3447"/>
      <c r="CMW10" s="3447"/>
      <c r="CMX10" s="3447"/>
      <c r="CMY10" s="3447"/>
      <c r="CMZ10" s="3447"/>
      <c r="CNA10" s="3447"/>
      <c r="CNB10" s="3447"/>
      <c r="CNC10" s="3447"/>
      <c r="CND10" s="3447"/>
      <c r="CNE10" s="3447"/>
      <c r="CNF10" s="3447"/>
      <c r="CNG10" s="3447"/>
      <c r="CNH10" s="3447"/>
      <c r="CNI10" s="3447"/>
      <c r="CNJ10" s="3447"/>
      <c r="CNK10" s="3447"/>
      <c r="CNL10" s="3447"/>
      <c r="CNM10" s="3447"/>
      <c r="CNN10" s="3447"/>
      <c r="CNO10" s="3447"/>
      <c r="CNP10" s="3447"/>
      <c r="CNQ10" s="3447"/>
      <c r="CNR10" s="3447"/>
      <c r="CNS10" s="3447"/>
      <c r="CNT10" s="3447"/>
      <c r="CNU10" s="3447"/>
      <c r="CNV10" s="3447"/>
      <c r="CNW10" s="3447"/>
      <c r="CNX10" s="3447"/>
      <c r="CNY10" s="3447"/>
      <c r="CNZ10" s="3447"/>
      <c r="COA10" s="3447"/>
      <c r="COB10" s="3447"/>
      <c r="COC10" s="3447"/>
      <c r="COD10" s="3447"/>
      <c r="COE10" s="3447"/>
      <c r="COF10" s="3447"/>
      <c r="COG10" s="3447"/>
      <c r="COH10" s="3447"/>
      <c r="COI10" s="3447"/>
      <c r="COJ10" s="3447"/>
      <c r="COK10" s="3447"/>
      <c r="COL10" s="3447"/>
      <c r="COM10" s="3447"/>
      <c r="CON10" s="3447"/>
      <c r="COO10" s="3447"/>
      <c r="COP10" s="3447"/>
      <c r="COQ10" s="3447"/>
      <c r="COR10" s="3447"/>
      <c r="COS10" s="3447"/>
      <c r="COT10" s="3447"/>
      <c r="COU10" s="3447"/>
      <c r="COV10" s="3447"/>
      <c r="COW10" s="3447"/>
      <c r="COX10" s="3447"/>
      <c r="COY10" s="3447"/>
      <c r="COZ10" s="3447"/>
      <c r="CPA10" s="3447"/>
      <c r="CPB10" s="3447"/>
      <c r="CPC10" s="3447"/>
      <c r="CPD10" s="3447"/>
      <c r="CPE10" s="3447"/>
      <c r="CPF10" s="3447"/>
      <c r="CPG10" s="3447"/>
      <c r="CPH10" s="3447"/>
      <c r="CPI10" s="3447"/>
      <c r="CPJ10" s="3447"/>
      <c r="CPK10" s="3447"/>
      <c r="CPL10" s="3447"/>
      <c r="CPM10" s="3447"/>
      <c r="CPN10" s="3447"/>
      <c r="CPO10" s="3447"/>
      <c r="CPP10" s="3447"/>
      <c r="CPQ10" s="3447"/>
      <c r="CPR10" s="3447"/>
      <c r="CPS10" s="3447"/>
      <c r="CPT10" s="3447"/>
      <c r="CPU10" s="3447"/>
      <c r="CPV10" s="3447"/>
      <c r="CPW10" s="3447"/>
      <c r="CPX10" s="3447"/>
      <c r="CPY10" s="3447"/>
      <c r="CPZ10" s="3447"/>
      <c r="CQA10" s="3447"/>
      <c r="CQB10" s="3447"/>
      <c r="CQC10" s="3447"/>
      <c r="CQD10" s="3447"/>
      <c r="CQE10" s="3447"/>
      <c r="CQF10" s="3447"/>
      <c r="CQG10" s="3447"/>
      <c r="CQH10" s="3447"/>
      <c r="CQI10" s="3447"/>
      <c r="CQJ10" s="3447"/>
      <c r="CQK10" s="3447"/>
      <c r="CQL10" s="3447"/>
      <c r="CQM10" s="3447"/>
      <c r="CQN10" s="3447"/>
      <c r="CQO10" s="3447"/>
      <c r="CQP10" s="3447"/>
      <c r="CQQ10" s="3447"/>
      <c r="CQR10" s="3447"/>
      <c r="CQS10" s="3447"/>
      <c r="CQT10" s="3447"/>
      <c r="CQU10" s="3447"/>
      <c r="CQV10" s="3447"/>
      <c r="CQW10" s="3447"/>
      <c r="CQX10" s="3447"/>
      <c r="CQY10" s="3447"/>
      <c r="CQZ10" s="3447"/>
      <c r="CRA10" s="3447"/>
      <c r="CRB10" s="3447"/>
      <c r="CRC10" s="3447"/>
      <c r="CRD10" s="3447"/>
      <c r="CRE10" s="3447"/>
      <c r="CRF10" s="3447"/>
      <c r="CRG10" s="3447"/>
      <c r="CRH10" s="3447"/>
      <c r="CRI10" s="3447"/>
      <c r="CRJ10" s="3447"/>
      <c r="CRK10" s="3447"/>
      <c r="CRL10" s="3447"/>
      <c r="CRM10" s="3447"/>
      <c r="CRN10" s="3447"/>
      <c r="CRO10" s="3447"/>
      <c r="CRP10" s="3447"/>
      <c r="CRQ10" s="3447"/>
      <c r="CRR10" s="3447"/>
      <c r="CRS10" s="3447"/>
      <c r="CRT10" s="3447"/>
      <c r="CRU10" s="3447"/>
      <c r="CRV10" s="3447"/>
      <c r="CRW10" s="3447"/>
      <c r="CRX10" s="3447"/>
      <c r="CRY10" s="3447"/>
      <c r="CRZ10" s="3447"/>
      <c r="CSA10" s="3447"/>
      <c r="CSB10" s="3447"/>
      <c r="CSC10" s="3447"/>
      <c r="CSD10" s="3447"/>
      <c r="CSE10" s="3447"/>
      <c r="CSF10" s="3447"/>
      <c r="CSG10" s="3447"/>
      <c r="CSH10" s="3447"/>
      <c r="CSI10" s="3447"/>
      <c r="CSJ10" s="3447"/>
      <c r="CSK10" s="3447"/>
      <c r="CSL10" s="3447"/>
      <c r="CSM10" s="3447"/>
      <c r="CSN10" s="3447"/>
      <c r="CSO10" s="3447"/>
      <c r="CSP10" s="3447"/>
      <c r="CSQ10" s="3447"/>
      <c r="CSR10" s="3447"/>
      <c r="CSS10" s="3447"/>
      <c r="CST10" s="3447"/>
      <c r="CSU10" s="3447"/>
      <c r="CSV10" s="3447"/>
      <c r="CSW10" s="3447"/>
      <c r="CSX10" s="3447"/>
      <c r="CSY10" s="3447"/>
      <c r="CSZ10" s="3447"/>
      <c r="CTA10" s="3447"/>
      <c r="CTB10" s="3447"/>
      <c r="CTC10" s="3447"/>
      <c r="CTD10" s="3447"/>
      <c r="CTE10" s="3447"/>
      <c r="CTF10" s="3447"/>
      <c r="CTG10" s="3447"/>
      <c r="CTH10" s="3447"/>
      <c r="CTI10" s="3447"/>
      <c r="CTJ10" s="3447"/>
      <c r="CTK10" s="3447"/>
      <c r="CTL10" s="3447"/>
      <c r="CTM10" s="3447"/>
      <c r="CTN10" s="3447"/>
      <c r="CTO10" s="3447"/>
      <c r="CTP10" s="3447"/>
      <c r="CTQ10" s="3447"/>
      <c r="CTR10" s="3447"/>
      <c r="CTS10" s="3447"/>
      <c r="CTT10" s="3447"/>
      <c r="CTU10" s="3447"/>
      <c r="CTV10" s="3447"/>
      <c r="CTW10" s="3447"/>
      <c r="CTX10" s="3447"/>
      <c r="CTY10" s="3447"/>
      <c r="CTZ10" s="3447"/>
      <c r="CUA10" s="3447"/>
      <c r="CUB10" s="3447"/>
      <c r="CUC10" s="3447"/>
      <c r="CUD10" s="3447"/>
      <c r="CUE10" s="3447"/>
      <c r="CUF10" s="3447"/>
      <c r="CUG10" s="3447"/>
      <c r="CUH10" s="3447"/>
      <c r="CUI10" s="3447"/>
      <c r="CUJ10" s="3447"/>
      <c r="CUK10" s="3447"/>
      <c r="CUL10" s="3447"/>
      <c r="CUM10" s="3447"/>
      <c r="CUN10" s="3447"/>
      <c r="CUO10" s="3447"/>
      <c r="CUP10" s="3447"/>
      <c r="CUQ10" s="3447"/>
      <c r="CUR10" s="3447"/>
      <c r="CUS10" s="3447"/>
      <c r="CUT10" s="3447"/>
      <c r="CUU10" s="3447"/>
      <c r="CUV10" s="3447"/>
      <c r="CUW10" s="3447"/>
      <c r="CUX10" s="3447"/>
      <c r="CUY10" s="3447"/>
      <c r="CUZ10" s="3447"/>
      <c r="CVA10" s="3447"/>
      <c r="CVB10" s="3447"/>
      <c r="CVC10" s="3447"/>
      <c r="CVD10" s="3447"/>
      <c r="CVE10" s="3447"/>
      <c r="CVF10" s="3447"/>
      <c r="CVG10" s="3447"/>
      <c r="CVH10" s="3447"/>
      <c r="CVI10" s="3447"/>
      <c r="CVJ10" s="3447"/>
      <c r="CVK10" s="3447"/>
      <c r="CVL10" s="3447"/>
      <c r="CVM10" s="3447"/>
      <c r="CVN10" s="3447"/>
      <c r="CVO10" s="3447"/>
      <c r="CVP10" s="3447"/>
      <c r="CVQ10" s="3447"/>
      <c r="CVR10" s="3447"/>
      <c r="CVS10" s="3447"/>
      <c r="CVT10" s="3447"/>
      <c r="CVU10" s="3447"/>
      <c r="CVV10" s="3447"/>
      <c r="CVW10" s="3447"/>
      <c r="CVX10" s="3447"/>
      <c r="CVY10" s="3447"/>
      <c r="CVZ10" s="3447"/>
      <c r="CWA10" s="3447"/>
      <c r="CWB10" s="3447"/>
      <c r="CWC10" s="3447"/>
      <c r="CWD10" s="3447"/>
      <c r="CWE10" s="3447"/>
      <c r="CWF10" s="3447"/>
      <c r="CWG10" s="3447"/>
      <c r="CWH10" s="3447"/>
      <c r="CWI10" s="3447"/>
      <c r="CWJ10" s="3447"/>
      <c r="CWK10" s="3447"/>
      <c r="CWL10" s="3447"/>
      <c r="CWM10" s="3447"/>
      <c r="CWN10" s="3447"/>
      <c r="CWO10" s="3447"/>
      <c r="CWP10" s="3447"/>
      <c r="CWQ10" s="3447"/>
      <c r="CWR10" s="3447"/>
      <c r="CWS10" s="3447"/>
      <c r="CWT10" s="3447"/>
      <c r="CWU10" s="3447"/>
      <c r="CWV10" s="3447"/>
      <c r="CWW10" s="3447"/>
      <c r="CWX10" s="3447"/>
      <c r="CWY10" s="3447"/>
      <c r="CWZ10" s="3447"/>
      <c r="CXA10" s="3447"/>
      <c r="CXB10" s="3447"/>
      <c r="CXC10" s="3447"/>
      <c r="CXD10" s="3447"/>
      <c r="CXE10" s="3447"/>
      <c r="CXF10" s="3447"/>
      <c r="CXG10" s="3447"/>
      <c r="CXH10" s="3447"/>
      <c r="CXI10" s="3447"/>
      <c r="CXJ10" s="3447"/>
      <c r="CXK10" s="3447"/>
      <c r="CXL10" s="3447"/>
      <c r="CXM10" s="3447"/>
      <c r="CXN10" s="3447"/>
      <c r="CXO10" s="3447"/>
      <c r="CXP10" s="3447"/>
      <c r="CXQ10" s="3447"/>
      <c r="CXR10" s="3447"/>
      <c r="CXS10" s="3447"/>
      <c r="CXT10" s="3447"/>
      <c r="CXU10" s="3447"/>
      <c r="CXV10" s="3447"/>
      <c r="CXW10" s="3447"/>
      <c r="CXX10" s="3447"/>
      <c r="CXY10" s="3447"/>
      <c r="CXZ10" s="3447"/>
      <c r="CYA10" s="3447"/>
      <c r="CYB10" s="3447"/>
      <c r="CYC10" s="3447"/>
      <c r="CYD10" s="3447"/>
      <c r="CYE10" s="3447"/>
      <c r="CYF10" s="3447"/>
      <c r="CYG10" s="3447"/>
      <c r="CYH10" s="3447"/>
      <c r="CYI10" s="3447"/>
      <c r="CYJ10" s="3447"/>
      <c r="CYK10" s="3447"/>
      <c r="CYL10" s="3447"/>
      <c r="CYM10" s="3447"/>
      <c r="CYN10" s="3447"/>
      <c r="CYO10" s="3447"/>
      <c r="CYP10" s="3447"/>
      <c r="CYQ10" s="3447"/>
      <c r="CYR10" s="3447"/>
      <c r="CYS10" s="3447"/>
      <c r="CYT10" s="3447"/>
      <c r="CYU10" s="3447"/>
      <c r="CYV10" s="3447"/>
      <c r="CYW10" s="3447"/>
      <c r="CYX10" s="3447"/>
      <c r="CYY10" s="3447"/>
      <c r="CYZ10" s="3447"/>
      <c r="CZA10" s="3447"/>
      <c r="CZB10" s="3447"/>
      <c r="CZC10" s="3447"/>
      <c r="CZD10" s="3447"/>
      <c r="CZE10" s="3447"/>
      <c r="CZF10" s="3447"/>
      <c r="CZG10" s="3447"/>
      <c r="CZH10" s="3447"/>
      <c r="CZI10" s="3447"/>
      <c r="CZJ10" s="3447"/>
      <c r="CZK10" s="3447"/>
      <c r="CZL10" s="3447"/>
      <c r="CZM10" s="3447"/>
      <c r="CZN10" s="3447"/>
      <c r="CZO10" s="3447"/>
      <c r="CZP10" s="3447"/>
      <c r="CZQ10" s="3447"/>
      <c r="CZR10" s="3447"/>
      <c r="CZS10" s="3447"/>
      <c r="CZT10" s="3447"/>
      <c r="CZU10" s="3447"/>
      <c r="CZV10" s="3447"/>
      <c r="CZW10" s="3447"/>
      <c r="CZX10" s="3447"/>
      <c r="CZY10" s="3447"/>
      <c r="CZZ10" s="3447"/>
      <c r="DAA10" s="3447"/>
      <c r="DAB10" s="3447"/>
      <c r="DAC10" s="3447"/>
      <c r="DAD10" s="3447"/>
      <c r="DAE10" s="3447"/>
      <c r="DAF10" s="3447"/>
      <c r="DAG10" s="3447"/>
      <c r="DAH10" s="3447"/>
      <c r="DAI10" s="3447"/>
      <c r="DAJ10" s="3447"/>
      <c r="DAK10" s="3447"/>
      <c r="DAL10" s="3447"/>
      <c r="DAM10" s="3447"/>
      <c r="DAN10" s="3447"/>
      <c r="DAO10" s="3447"/>
      <c r="DAP10" s="3447"/>
      <c r="DAQ10" s="3447"/>
      <c r="DAR10" s="3447"/>
      <c r="DAS10" s="3447"/>
      <c r="DAT10" s="3447"/>
      <c r="DAU10" s="3447"/>
      <c r="DAV10" s="3447"/>
      <c r="DAW10" s="3447"/>
      <c r="DAX10" s="3447"/>
      <c r="DAY10" s="3447"/>
      <c r="DAZ10" s="3447"/>
      <c r="DBA10" s="3447"/>
      <c r="DBB10" s="3447"/>
      <c r="DBC10" s="3447"/>
      <c r="DBD10" s="3447"/>
      <c r="DBE10" s="3447"/>
      <c r="DBF10" s="3447"/>
      <c r="DBG10" s="3447"/>
      <c r="DBH10" s="3447"/>
      <c r="DBI10" s="3447"/>
      <c r="DBJ10" s="3447"/>
      <c r="DBK10" s="3447"/>
      <c r="DBL10" s="3447"/>
      <c r="DBM10" s="3447"/>
      <c r="DBN10" s="3447"/>
      <c r="DBO10" s="3447"/>
      <c r="DBP10" s="3447"/>
      <c r="DBQ10" s="3447"/>
      <c r="DBR10" s="3447"/>
      <c r="DBS10" s="3447"/>
      <c r="DBT10" s="3447"/>
      <c r="DBU10" s="3447"/>
      <c r="DBV10" s="3447"/>
      <c r="DBW10" s="3447"/>
      <c r="DBX10" s="3447"/>
      <c r="DBY10" s="3447"/>
      <c r="DBZ10" s="3447"/>
      <c r="DCA10" s="3447"/>
      <c r="DCB10" s="3447"/>
      <c r="DCC10" s="3447"/>
      <c r="DCD10" s="3447"/>
      <c r="DCE10" s="3447"/>
      <c r="DCF10" s="3447"/>
      <c r="DCG10" s="3447"/>
      <c r="DCH10" s="3447"/>
      <c r="DCI10" s="3447"/>
      <c r="DCJ10" s="3447"/>
      <c r="DCK10" s="3447"/>
      <c r="DCL10" s="3447"/>
      <c r="DCM10" s="3447"/>
      <c r="DCN10" s="3447"/>
      <c r="DCO10" s="3447"/>
      <c r="DCP10" s="3447"/>
      <c r="DCQ10" s="3447"/>
      <c r="DCR10" s="3447"/>
      <c r="DCS10" s="3447"/>
      <c r="DCT10" s="3447"/>
      <c r="DCU10" s="3447"/>
      <c r="DCV10" s="3447"/>
      <c r="DCW10" s="3447"/>
      <c r="DCX10" s="3447"/>
      <c r="DCY10" s="3447"/>
      <c r="DCZ10" s="3447"/>
      <c r="DDA10" s="3447"/>
      <c r="DDB10" s="3447"/>
      <c r="DDC10" s="3447"/>
      <c r="DDD10" s="3447"/>
      <c r="DDE10" s="3447"/>
      <c r="DDF10" s="3447"/>
      <c r="DDG10" s="3447"/>
      <c r="DDH10" s="3447"/>
      <c r="DDI10" s="3447"/>
      <c r="DDJ10" s="3447"/>
      <c r="DDK10" s="3447"/>
      <c r="DDL10" s="3447"/>
      <c r="DDM10" s="3447"/>
      <c r="DDN10" s="3447"/>
      <c r="DDO10" s="3447"/>
      <c r="DDP10" s="3447"/>
      <c r="DDQ10" s="3447"/>
      <c r="DDR10" s="3447"/>
      <c r="DDS10" s="3447"/>
      <c r="DDT10" s="3447"/>
      <c r="DDU10" s="3447"/>
      <c r="DDV10" s="3447"/>
      <c r="DDW10" s="3447"/>
      <c r="DDX10" s="3447"/>
      <c r="DDY10" s="3447"/>
      <c r="DDZ10" s="3447"/>
      <c r="DEA10" s="3447"/>
      <c r="DEB10" s="3447"/>
      <c r="DEC10" s="3447"/>
      <c r="DED10" s="3447"/>
      <c r="DEE10" s="3447"/>
      <c r="DEF10" s="3447"/>
      <c r="DEG10" s="3447"/>
      <c r="DEH10" s="3447"/>
      <c r="DEI10" s="3447"/>
      <c r="DEJ10" s="3447"/>
      <c r="DEK10" s="3447"/>
      <c r="DEL10" s="3447"/>
      <c r="DEM10" s="3447"/>
      <c r="DEN10" s="3447"/>
      <c r="DEO10" s="3447"/>
      <c r="DEP10" s="3447"/>
      <c r="DEQ10" s="3447"/>
      <c r="DER10" s="3447"/>
      <c r="DES10" s="3447"/>
      <c r="DET10" s="3447"/>
      <c r="DEU10" s="3447"/>
      <c r="DEV10" s="3447"/>
      <c r="DEW10" s="3447"/>
      <c r="DEX10" s="3447"/>
      <c r="DEY10" s="3447"/>
      <c r="DEZ10" s="3447"/>
      <c r="DFA10" s="3447"/>
      <c r="DFB10" s="3447"/>
      <c r="DFC10" s="3447"/>
      <c r="DFD10" s="3447"/>
      <c r="DFE10" s="3447"/>
      <c r="DFF10" s="3447"/>
      <c r="DFG10" s="3447"/>
      <c r="DFH10" s="3447"/>
      <c r="DFI10" s="3447"/>
      <c r="DFJ10" s="3447"/>
      <c r="DFK10" s="3447"/>
      <c r="DFL10" s="3447"/>
      <c r="DFM10" s="3447"/>
      <c r="DFN10" s="3447"/>
      <c r="DFO10" s="3447"/>
      <c r="DFP10" s="3447"/>
      <c r="DFQ10" s="3447"/>
      <c r="DFR10" s="3447"/>
      <c r="DFS10" s="3447"/>
      <c r="DFT10" s="3447"/>
      <c r="DFU10" s="3447"/>
      <c r="DFV10" s="3447"/>
      <c r="DFW10" s="3447"/>
      <c r="DFX10" s="3447"/>
      <c r="DFY10" s="3447"/>
      <c r="DFZ10" s="3447"/>
      <c r="DGA10" s="3447"/>
      <c r="DGB10" s="3447"/>
      <c r="DGC10" s="3447"/>
      <c r="DGD10" s="3447"/>
      <c r="DGE10" s="3447"/>
      <c r="DGF10" s="3447"/>
      <c r="DGG10" s="3447"/>
      <c r="DGH10" s="3447"/>
      <c r="DGI10" s="3447"/>
      <c r="DGJ10" s="3447"/>
      <c r="DGK10" s="3447"/>
      <c r="DGL10" s="3447"/>
      <c r="DGM10" s="3447"/>
      <c r="DGN10" s="3447"/>
      <c r="DGO10" s="3447"/>
      <c r="DGP10" s="3447"/>
      <c r="DGQ10" s="3447"/>
      <c r="DGR10" s="3447"/>
      <c r="DGS10" s="3447"/>
      <c r="DGT10" s="3447"/>
      <c r="DGU10" s="3447"/>
      <c r="DGV10" s="3447"/>
      <c r="DGW10" s="3447"/>
      <c r="DGX10" s="3447"/>
      <c r="DGY10" s="3447"/>
      <c r="DGZ10" s="3447"/>
      <c r="DHA10" s="3447"/>
      <c r="DHB10" s="3447"/>
      <c r="DHC10" s="3447"/>
      <c r="DHD10" s="3447"/>
      <c r="DHE10" s="3447"/>
      <c r="DHF10" s="3447"/>
      <c r="DHG10" s="3447"/>
      <c r="DHH10" s="3447"/>
      <c r="DHI10" s="3447"/>
      <c r="DHJ10" s="3447"/>
      <c r="DHK10" s="3447"/>
      <c r="DHL10" s="3447"/>
      <c r="DHM10" s="3447"/>
      <c r="DHN10" s="3447"/>
      <c r="DHO10" s="3447"/>
      <c r="DHP10" s="3447"/>
      <c r="DHQ10" s="3447"/>
      <c r="DHR10" s="3447"/>
      <c r="DHS10" s="3447"/>
      <c r="DHT10" s="3447"/>
      <c r="DHU10" s="3447"/>
      <c r="DHV10" s="3447"/>
      <c r="DHW10" s="3447"/>
      <c r="DHX10" s="3447"/>
      <c r="DHY10" s="3447"/>
      <c r="DHZ10" s="3447"/>
      <c r="DIA10" s="3447"/>
      <c r="DIB10" s="3447"/>
      <c r="DIC10" s="3447"/>
      <c r="DID10" s="3447"/>
      <c r="DIE10" s="3447"/>
      <c r="DIF10" s="3447"/>
      <c r="DIG10" s="3447"/>
      <c r="DIH10" s="3447"/>
      <c r="DII10" s="3447"/>
      <c r="DIJ10" s="3447"/>
      <c r="DIK10" s="3447"/>
      <c r="DIL10" s="3447"/>
      <c r="DIM10" s="3447"/>
      <c r="DIN10" s="3447"/>
      <c r="DIO10" s="3447"/>
      <c r="DIP10" s="3447"/>
      <c r="DIQ10" s="3447"/>
      <c r="DIR10" s="3447"/>
      <c r="DIS10" s="3447"/>
      <c r="DIT10" s="3447"/>
      <c r="DIU10" s="3447"/>
      <c r="DIV10" s="3447"/>
      <c r="DIW10" s="3447"/>
      <c r="DIX10" s="3447"/>
      <c r="DIY10" s="3447"/>
      <c r="DIZ10" s="3447"/>
      <c r="DJA10" s="3447"/>
      <c r="DJB10" s="3447"/>
      <c r="DJC10" s="3447"/>
      <c r="DJD10" s="3447"/>
      <c r="DJE10" s="3447"/>
      <c r="DJF10" s="3447"/>
      <c r="DJG10" s="3447"/>
      <c r="DJH10" s="3447"/>
      <c r="DJI10" s="3447"/>
      <c r="DJJ10" s="3447"/>
      <c r="DJK10" s="3447"/>
      <c r="DJL10" s="3447"/>
      <c r="DJM10" s="3447"/>
      <c r="DJN10" s="3447"/>
      <c r="DJO10" s="3447"/>
      <c r="DJP10" s="3447"/>
      <c r="DJQ10" s="3447"/>
      <c r="DJR10" s="3447"/>
      <c r="DJS10" s="3447"/>
      <c r="DJT10" s="3447"/>
      <c r="DJU10" s="3447"/>
      <c r="DJV10" s="3447"/>
      <c r="DJW10" s="3447"/>
      <c r="DJX10" s="3447"/>
      <c r="DJY10" s="3447"/>
      <c r="DJZ10" s="3447"/>
      <c r="DKA10" s="3447"/>
      <c r="DKB10" s="3447"/>
      <c r="DKC10" s="3447"/>
      <c r="DKD10" s="3447"/>
      <c r="DKE10" s="3447"/>
      <c r="DKF10" s="3447"/>
      <c r="DKG10" s="3447"/>
      <c r="DKH10" s="3447"/>
      <c r="DKI10" s="3447"/>
      <c r="DKJ10" s="3447"/>
      <c r="DKK10" s="3447"/>
      <c r="DKL10" s="3447"/>
      <c r="DKM10" s="3447"/>
      <c r="DKN10" s="3447"/>
      <c r="DKO10" s="3447"/>
      <c r="DKP10" s="3447"/>
      <c r="DKQ10" s="3447"/>
      <c r="DKR10" s="3447"/>
      <c r="DKS10" s="3447"/>
      <c r="DKT10" s="3447"/>
      <c r="DKU10" s="3447"/>
      <c r="DKV10" s="3447"/>
      <c r="DKW10" s="3447"/>
      <c r="DKX10" s="3447"/>
      <c r="DKY10" s="3447"/>
      <c r="DKZ10" s="3447"/>
      <c r="DLA10" s="3447"/>
      <c r="DLB10" s="3447"/>
      <c r="DLC10" s="3447"/>
      <c r="DLD10" s="3447"/>
      <c r="DLE10" s="3447"/>
      <c r="DLF10" s="3447"/>
      <c r="DLG10" s="3447"/>
      <c r="DLH10" s="3447"/>
      <c r="DLI10" s="3447"/>
      <c r="DLJ10" s="3447"/>
      <c r="DLK10" s="3447"/>
      <c r="DLL10" s="3447"/>
      <c r="DLM10" s="3447"/>
      <c r="DLN10" s="3447"/>
      <c r="DLO10" s="3447"/>
      <c r="DLP10" s="3447"/>
      <c r="DLQ10" s="3447"/>
      <c r="DLR10" s="3447"/>
      <c r="DLS10" s="3447"/>
      <c r="DLT10" s="3447"/>
      <c r="DLU10" s="3447"/>
      <c r="DLV10" s="3447"/>
      <c r="DLW10" s="3447"/>
      <c r="DLX10" s="3447"/>
      <c r="DLY10" s="3447"/>
      <c r="DLZ10" s="3447"/>
      <c r="DMA10" s="3447"/>
      <c r="DMB10" s="3447"/>
      <c r="DMC10" s="3447"/>
      <c r="DMD10" s="3447"/>
      <c r="DME10" s="3447"/>
      <c r="DMF10" s="3447"/>
      <c r="DMG10" s="3447"/>
      <c r="DMH10" s="3447"/>
      <c r="DMI10" s="3447"/>
      <c r="DMJ10" s="3447"/>
      <c r="DMK10" s="3447"/>
      <c r="DML10" s="3447"/>
      <c r="DMM10" s="3447"/>
      <c r="DMN10" s="3447"/>
      <c r="DMO10" s="3447"/>
      <c r="DMP10" s="3447"/>
      <c r="DMQ10" s="3447"/>
      <c r="DMR10" s="3447"/>
      <c r="DMS10" s="3447"/>
      <c r="DMT10" s="3447"/>
      <c r="DMU10" s="3447"/>
      <c r="DMV10" s="3447"/>
      <c r="DMW10" s="3447"/>
      <c r="DMX10" s="3447"/>
      <c r="DMY10" s="3447"/>
      <c r="DMZ10" s="3447"/>
      <c r="DNA10" s="3447"/>
      <c r="DNB10" s="3447"/>
      <c r="DNC10" s="3447"/>
      <c r="DND10" s="3447"/>
      <c r="DNE10" s="3447"/>
      <c r="DNF10" s="3447"/>
      <c r="DNG10" s="3447"/>
      <c r="DNH10" s="3447"/>
      <c r="DNI10" s="3447"/>
      <c r="DNJ10" s="3447"/>
      <c r="DNK10" s="3447"/>
      <c r="DNL10" s="3447"/>
      <c r="DNM10" s="3447"/>
      <c r="DNN10" s="3447"/>
      <c r="DNO10" s="3447"/>
      <c r="DNP10" s="3447"/>
      <c r="DNQ10" s="3447"/>
      <c r="DNR10" s="3447"/>
      <c r="DNS10" s="3447"/>
      <c r="DNT10" s="3447"/>
      <c r="DNU10" s="3447"/>
      <c r="DNV10" s="3447"/>
      <c r="DNW10" s="3447"/>
      <c r="DNX10" s="3447"/>
      <c r="DNY10" s="3447"/>
      <c r="DNZ10" s="3447"/>
      <c r="DOA10" s="3447"/>
      <c r="DOB10" s="3447"/>
      <c r="DOC10" s="3447"/>
      <c r="DOD10" s="3447"/>
      <c r="DOE10" s="3447"/>
      <c r="DOF10" s="3447"/>
      <c r="DOG10" s="3447"/>
      <c r="DOH10" s="3447"/>
      <c r="DOI10" s="3447"/>
      <c r="DOJ10" s="3447"/>
      <c r="DOK10" s="3447"/>
      <c r="DOL10" s="3447"/>
      <c r="DOM10" s="3447"/>
      <c r="DON10" s="3447"/>
      <c r="DOO10" s="3447"/>
      <c r="DOP10" s="3447"/>
      <c r="DOQ10" s="3447"/>
      <c r="DOR10" s="3447"/>
      <c r="DOS10" s="3447"/>
      <c r="DOT10" s="3447"/>
      <c r="DOU10" s="3447"/>
      <c r="DOV10" s="3447"/>
      <c r="DOW10" s="3447"/>
      <c r="DOX10" s="3447"/>
      <c r="DOY10" s="3447"/>
      <c r="DOZ10" s="3447"/>
      <c r="DPA10" s="3447"/>
      <c r="DPB10" s="3447"/>
      <c r="DPC10" s="3447"/>
      <c r="DPD10" s="3447"/>
      <c r="DPE10" s="3447"/>
      <c r="DPF10" s="3447"/>
      <c r="DPG10" s="3447"/>
      <c r="DPH10" s="3447"/>
      <c r="DPI10" s="3447"/>
      <c r="DPJ10" s="3447"/>
      <c r="DPK10" s="3447"/>
      <c r="DPL10" s="3447"/>
      <c r="DPM10" s="3447"/>
      <c r="DPN10" s="3447"/>
      <c r="DPO10" s="3447"/>
      <c r="DPP10" s="3447"/>
      <c r="DPQ10" s="3447"/>
      <c r="DPR10" s="3447"/>
      <c r="DPS10" s="3447"/>
      <c r="DPT10" s="3447"/>
      <c r="DPU10" s="3447"/>
      <c r="DPV10" s="3447"/>
      <c r="DPW10" s="3447"/>
      <c r="DPX10" s="3447"/>
      <c r="DPY10" s="3447"/>
      <c r="DPZ10" s="3447"/>
      <c r="DQA10" s="3447"/>
      <c r="DQB10" s="3447"/>
      <c r="DQC10" s="3447"/>
      <c r="DQD10" s="3447"/>
      <c r="DQE10" s="3447"/>
      <c r="DQF10" s="3447"/>
      <c r="DQG10" s="3447"/>
      <c r="DQH10" s="3447"/>
      <c r="DQI10" s="3447"/>
      <c r="DQJ10" s="3447"/>
      <c r="DQK10" s="3447"/>
      <c r="DQL10" s="3447"/>
      <c r="DQM10" s="3447"/>
      <c r="DQN10" s="3447"/>
      <c r="DQO10" s="3447"/>
      <c r="DQP10" s="3447"/>
      <c r="DQQ10" s="3447"/>
      <c r="DQR10" s="3447"/>
      <c r="DQS10" s="3447"/>
      <c r="DQT10" s="3447"/>
      <c r="DQU10" s="3447"/>
      <c r="DQV10" s="3447"/>
      <c r="DQW10" s="3447"/>
      <c r="DQX10" s="3447"/>
      <c r="DQY10" s="3447"/>
      <c r="DQZ10" s="3447"/>
      <c r="DRA10" s="3447"/>
      <c r="DRB10" s="3447"/>
      <c r="DRC10" s="3447"/>
      <c r="DRD10" s="3447"/>
      <c r="DRE10" s="3447"/>
      <c r="DRF10" s="3447"/>
      <c r="DRG10" s="3447"/>
      <c r="DRH10" s="3447"/>
      <c r="DRI10" s="3447"/>
      <c r="DRJ10" s="3447"/>
      <c r="DRK10" s="3447"/>
      <c r="DRL10" s="3447"/>
      <c r="DRM10" s="3447"/>
      <c r="DRN10" s="3447"/>
      <c r="DRO10" s="3447"/>
      <c r="DRP10" s="3447"/>
      <c r="DRQ10" s="3447"/>
      <c r="DRR10" s="3447"/>
      <c r="DRS10" s="3447"/>
      <c r="DRT10" s="3447"/>
      <c r="DRU10" s="3447"/>
      <c r="DRV10" s="3447"/>
      <c r="DRW10" s="3447"/>
      <c r="DRX10" s="3447"/>
      <c r="DRY10" s="3447"/>
      <c r="DRZ10" s="3447"/>
      <c r="DSA10" s="3447"/>
      <c r="DSB10" s="3447"/>
      <c r="DSC10" s="3447"/>
      <c r="DSD10" s="3447"/>
      <c r="DSE10" s="3447"/>
      <c r="DSF10" s="3447"/>
      <c r="DSG10" s="3447"/>
      <c r="DSH10" s="3447"/>
      <c r="DSI10" s="3447"/>
      <c r="DSJ10" s="3447"/>
      <c r="DSK10" s="3447"/>
      <c r="DSL10" s="3447"/>
      <c r="DSM10" s="3447"/>
      <c r="DSN10" s="3447"/>
      <c r="DSO10" s="3447"/>
      <c r="DSP10" s="3447"/>
      <c r="DSQ10" s="3447"/>
      <c r="DSR10" s="3447"/>
      <c r="DSS10" s="3447"/>
      <c r="DST10" s="3447"/>
      <c r="DSU10" s="3447"/>
      <c r="DSV10" s="3447"/>
      <c r="DSW10" s="3447"/>
      <c r="DSX10" s="3447"/>
      <c r="DSY10" s="3447"/>
      <c r="DSZ10" s="3447"/>
      <c r="DTA10" s="3447"/>
      <c r="DTB10" s="3447"/>
      <c r="DTC10" s="3447"/>
      <c r="DTD10" s="3447"/>
      <c r="DTE10" s="3447"/>
      <c r="DTF10" s="3447"/>
      <c r="DTG10" s="3447"/>
      <c r="DTH10" s="3447"/>
      <c r="DTI10" s="3447"/>
      <c r="DTJ10" s="3447"/>
      <c r="DTK10" s="3447"/>
      <c r="DTL10" s="3447"/>
      <c r="DTM10" s="3447"/>
      <c r="DTN10" s="3447"/>
      <c r="DTO10" s="3447"/>
      <c r="DTP10" s="3447"/>
      <c r="DTQ10" s="3447"/>
      <c r="DTR10" s="3447"/>
      <c r="DTS10" s="3447"/>
      <c r="DTT10" s="3447"/>
      <c r="DTU10" s="3447"/>
      <c r="DTV10" s="3447"/>
      <c r="DTW10" s="3447"/>
      <c r="DTX10" s="3447"/>
      <c r="DTY10" s="3447"/>
      <c r="DTZ10" s="3447"/>
      <c r="DUA10" s="3447"/>
      <c r="DUB10" s="3447"/>
      <c r="DUC10" s="3447"/>
      <c r="DUD10" s="3447"/>
      <c r="DUE10" s="3447"/>
      <c r="DUF10" s="3447"/>
      <c r="DUG10" s="3447"/>
      <c r="DUH10" s="3447"/>
      <c r="DUI10" s="3447"/>
      <c r="DUJ10" s="3447"/>
      <c r="DUK10" s="3447"/>
      <c r="DUL10" s="3447"/>
      <c r="DUM10" s="3447"/>
      <c r="DUN10" s="3447"/>
      <c r="DUO10" s="3447"/>
      <c r="DUP10" s="3447"/>
      <c r="DUQ10" s="3447"/>
      <c r="DUR10" s="3447"/>
      <c r="DUS10" s="3447"/>
      <c r="DUT10" s="3447"/>
      <c r="DUU10" s="3447"/>
      <c r="DUV10" s="3447"/>
      <c r="DUW10" s="3447"/>
      <c r="DUX10" s="3447"/>
      <c r="DUY10" s="3447"/>
      <c r="DUZ10" s="3447"/>
      <c r="DVA10" s="3447"/>
      <c r="DVB10" s="3447"/>
      <c r="DVC10" s="3447"/>
      <c r="DVD10" s="3447"/>
      <c r="DVE10" s="3447"/>
      <c r="DVF10" s="3447"/>
      <c r="DVG10" s="3447"/>
      <c r="DVH10" s="3447"/>
      <c r="DVI10" s="3447"/>
      <c r="DVJ10" s="3447"/>
      <c r="DVK10" s="3447"/>
      <c r="DVL10" s="3447"/>
      <c r="DVM10" s="3447"/>
      <c r="DVN10" s="3447"/>
      <c r="DVO10" s="3447"/>
      <c r="DVP10" s="3447"/>
      <c r="DVQ10" s="3447"/>
      <c r="DVR10" s="3447"/>
      <c r="DVS10" s="3447"/>
      <c r="DVT10" s="3447"/>
      <c r="DVU10" s="3447"/>
      <c r="DVV10" s="3447"/>
      <c r="DVW10" s="3447"/>
      <c r="DVX10" s="3447"/>
      <c r="DVY10" s="3447"/>
      <c r="DVZ10" s="3447"/>
      <c r="DWA10" s="3447"/>
      <c r="DWB10" s="3447"/>
      <c r="DWC10" s="3447"/>
      <c r="DWD10" s="3447"/>
      <c r="DWE10" s="3447"/>
      <c r="DWF10" s="3447"/>
      <c r="DWG10" s="3447"/>
      <c r="DWH10" s="3447"/>
      <c r="DWI10" s="3447"/>
      <c r="DWJ10" s="3447"/>
      <c r="DWK10" s="3447"/>
      <c r="DWL10" s="3447"/>
      <c r="DWM10" s="3447"/>
      <c r="DWN10" s="3447"/>
      <c r="DWO10" s="3447"/>
      <c r="DWP10" s="3447"/>
      <c r="DWQ10" s="3447"/>
      <c r="DWR10" s="3447"/>
      <c r="DWS10" s="3447"/>
      <c r="DWT10" s="3447"/>
      <c r="DWU10" s="3447"/>
      <c r="DWV10" s="3447"/>
      <c r="DWW10" s="3447"/>
      <c r="DWX10" s="3447"/>
      <c r="DWY10" s="3447"/>
      <c r="DWZ10" s="3447"/>
      <c r="DXA10" s="3447"/>
      <c r="DXB10" s="3447"/>
      <c r="DXC10" s="3447"/>
      <c r="DXD10" s="3447"/>
      <c r="DXE10" s="3447"/>
      <c r="DXF10" s="3447"/>
      <c r="DXG10" s="3447"/>
      <c r="DXH10" s="3447"/>
      <c r="DXI10" s="3447"/>
      <c r="DXJ10" s="3447"/>
      <c r="DXK10" s="3447"/>
      <c r="DXL10" s="3447"/>
      <c r="DXM10" s="3447"/>
      <c r="DXN10" s="3447"/>
      <c r="DXO10" s="3447"/>
      <c r="DXP10" s="3447"/>
      <c r="DXQ10" s="3447"/>
      <c r="DXR10" s="3447"/>
      <c r="DXS10" s="3447"/>
      <c r="DXT10" s="3447"/>
      <c r="DXU10" s="3447"/>
      <c r="DXV10" s="3447"/>
      <c r="DXW10" s="3447"/>
      <c r="DXX10" s="3447"/>
      <c r="DXY10" s="3447"/>
      <c r="DXZ10" s="3447"/>
      <c r="DYA10" s="3447"/>
      <c r="DYB10" s="3447"/>
      <c r="DYC10" s="3447"/>
      <c r="DYD10" s="3447"/>
      <c r="DYE10" s="3447"/>
      <c r="DYF10" s="3447"/>
      <c r="DYG10" s="3447"/>
      <c r="DYH10" s="3447"/>
      <c r="DYI10" s="3447"/>
      <c r="DYJ10" s="3447"/>
      <c r="DYK10" s="3447"/>
      <c r="DYL10" s="3447"/>
      <c r="DYM10" s="3447"/>
      <c r="DYN10" s="3447"/>
      <c r="DYO10" s="3447"/>
      <c r="DYP10" s="3447"/>
      <c r="DYQ10" s="3447"/>
      <c r="DYR10" s="3447"/>
      <c r="DYS10" s="3447"/>
      <c r="DYT10" s="3447"/>
      <c r="DYU10" s="3447"/>
      <c r="DYV10" s="3447"/>
      <c r="DYW10" s="3447"/>
      <c r="DYX10" s="3447"/>
      <c r="DYY10" s="3447"/>
      <c r="DYZ10" s="3447"/>
      <c r="DZA10" s="3447"/>
      <c r="DZB10" s="3447"/>
      <c r="DZC10" s="3447"/>
      <c r="DZD10" s="3447"/>
      <c r="DZE10" s="3447"/>
      <c r="DZF10" s="3447"/>
      <c r="DZG10" s="3447"/>
      <c r="DZH10" s="3447"/>
      <c r="DZI10" s="3447"/>
      <c r="DZJ10" s="3447"/>
      <c r="DZK10" s="3447"/>
      <c r="DZL10" s="3447"/>
      <c r="DZM10" s="3447"/>
      <c r="DZN10" s="3447"/>
      <c r="DZO10" s="3447"/>
      <c r="DZP10" s="3447"/>
      <c r="DZQ10" s="3447"/>
      <c r="DZR10" s="3447"/>
      <c r="DZS10" s="3447"/>
      <c r="DZT10" s="3447"/>
      <c r="DZU10" s="3447"/>
      <c r="DZV10" s="3447"/>
      <c r="DZW10" s="3447"/>
      <c r="DZX10" s="3447"/>
      <c r="DZY10" s="3447"/>
      <c r="DZZ10" s="3447"/>
      <c r="EAA10" s="3447"/>
      <c r="EAB10" s="3447"/>
      <c r="EAC10" s="3447"/>
      <c r="EAD10" s="3447"/>
      <c r="EAE10" s="3447"/>
      <c r="EAF10" s="3447"/>
      <c r="EAG10" s="3447"/>
      <c r="EAH10" s="3447"/>
      <c r="EAI10" s="3447"/>
      <c r="EAJ10" s="3447"/>
      <c r="EAK10" s="3447"/>
      <c r="EAL10" s="3447"/>
      <c r="EAM10" s="3447"/>
      <c r="EAN10" s="3447"/>
      <c r="EAO10" s="3447"/>
      <c r="EAP10" s="3447"/>
      <c r="EAQ10" s="3447"/>
      <c r="EAR10" s="3447"/>
      <c r="EAS10" s="3447"/>
      <c r="EAT10" s="3447"/>
      <c r="EAU10" s="3447"/>
      <c r="EAV10" s="3447"/>
      <c r="EAW10" s="3447"/>
      <c r="EAX10" s="3447"/>
      <c r="EAY10" s="3447"/>
      <c r="EAZ10" s="3447"/>
      <c r="EBA10" s="3447"/>
      <c r="EBB10" s="3447"/>
      <c r="EBC10" s="3447"/>
      <c r="EBD10" s="3447"/>
      <c r="EBE10" s="3447"/>
      <c r="EBF10" s="3447"/>
      <c r="EBG10" s="3447"/>
      <c r="EBH10" s="3447"/>
      <c r="EBI10" s="3447"/>
      <c r="EBJ10" s="3447"/>
      <c r="EBK10" s="3447"/>
      <c r="EBL10" s="3447"/>
      <c r="EBM10" s="3447"/>
      <c r="EBN10" s="3447"/>
      <c r="EBO10" s="3447"/>
      <c r="EBP10" s="3447"/>
      <c r="EBQ10" s="3447"/>
      <c r="EBR10" s="3447"/>
      <c r="EBS10" s="3447"/>
      <c r="EBT10" s="3447"/>
      <c r="EBU10" s="3447"/>
      <c r="EBV10" s="3447"/>
      <c r="EBW10" s="3447"/>
      <c r="EBX10" s="3447"/>
      <c r="EBY10" s="3447"/>
      <c r="EBZ10" s="3447"/>
      <c r="ECA10" s="3447"/>
      <c r="ECB10" s="3447"/>
      <c r="ECC10" s="3447"/>
      <c r="ECD10" s="3447"/>
      <c r="ECE10" s="3447"/>
      <c r="ECF10" s="3447"/>
      <c r="ECG10" s="3447"/>
      <c r="ECH10" s="3447"/>
      <c r="ECI10" s="3447"/>
      <c r="ECJ10" s="3447"/>
      <c r="ECK10" s="3447"/>
      <c r="ECL10" s="3447"/>
      <c r="ECM10" s="3447"/>
      <c r="ECN10" s="3447"/>
      <c r="ECO10" s="3447"/>
      <c r="ECP10" s="3447"/>
      <c r="ECQ10" s="3447"/>
      <c r="ECR10" s="3447"/>
      <c r="ECS10" s="3447"/>
      <c r="ECT10" s="3447"/>
      <c r="ECU10" s="3447"/>
      <c r="ECV10" s="3447"/>
      <c r="ECW10" s="3447"/>
      <c r="ECX10" s="3447"/>
      <c r="ECY10" s="3447"/>
      <c r="ECZ10" s="3447"/>
      <c r="EDA10" s="3447"/>
      <c r="EDB10" s="3447"/>
      <c r="EDC10" s="3447"/>
      <c r="EDD10" s="3447"/>
      <c r="EDE10" s="3447"/>
      <c r="EDF10" s="3447"/>
      <c r="EDG10" s="3447"/>
      <c r="EDH10" s="3447"/>
      <c r="EDI10" s="3447"/>
      <c r="EDJ10" s="3447"/>
      <c r="EDK10" s="3447"/>
      <c r="EDL10" s="3447"/>
      <c r="EDM10" s="3447"/>
      <c r="EDN10" s="3447"/>
      <c r="EDO10" s="3447"/>
      <c r="EDP10" s="3447"/>
      <c r="EDQ10" s="3447"/>
      <c r="EDR10" s="3447"/>
      <c r="EDS10" s="3447"/>
      <c r="EDT10" s="3447"/>
      <c r="EDU10" s="3447"/>
      <c r="EDV10" s="3447"/>
      <c r="EDW10" s="3447"/>
      <c r="EDX10" s="3447"/>
      <c r="EDY10" s="3447"/>
      <c r="EDZ10" s="3447"/>
      <c r="EEA10" s="3447"/>
      <c r="EEB10" s="3447"/>
      <c r="EEC10" s="3447"/>
      <c r="EED10" s="3447"/>
      <c r="EEE10" s="3447"/>
      <c r="EEF10" s="3447"/>
      <c r="EEG10" s="3447"/>
      <c r="EEH10" s="3447"/>
      <c r="EEI10" s="3447"/>
      <c r="EEJ10" s="3447"/>
      <c r="EEK10" s="3447"/>
      <c r="EEL10" s="3447"/>
      <c r="EEM10" s="3447"/>
      <c r="EEN10" s="3447"/>
      <c r="EEO10" s="3447"/>
      <c r="EEP10" s="3447"/>
      <c r="EEQ10" s="3447"/>
      <c r="EER10" s="3447"/>
      <c r="EES10" s="3447"/>
      <c r="EET10" s="3447"/>
      <c r="EEU10" s="3447"/>
      <c r="EEV10" s="3447"/>
      <c r="EEW10" s="3447"/>
      <c r="EEX10" s="3447"/>
      <c r="EEY10" s="3447"/>
      <c r="EEZ10" s="3447"/>
      <c r="EFA10" s="3447"/>
      <c r="EFB10" s="3447"/>
      <c r="EFC10" s="3447"/>
      <c r="EFD10" s="3447"/>
      <c r="EFE10" s="3447"/>
      <c r="EFF10" s="3447"/>
      <c r="EFG10" s="3447"/>
      <c r="EFH10" s="3447"/>
      <c r="EFI10" s="3447"/>
      <c r="EFJ10" s="3447"/>
      <c r="EFK10" s="3447"/>
      <c r="EFL10" s="3447"/>
      <c r="EFM10" s="3447"/>
      <c r="EFN10" s="3447"/>
      <c r="EFO10" s="3447"/>
      <c r="EFP10" s="3447"/>
      <c r="EFQ10" s="3447"/>
      <c r="EFR10" s="3447"/>
      <c r="EFS10" s="3447"/>
      <c r="EFT10" s="3447"/>
      <c r="EFU10" s="3447"/>
      <c r="EFV10" s="3447"/>
      <c r="EFW10" s="3447"/>
      <c r="EFX10" s="3447"/>
      <c r="EFY10" s="3447"/>
      <c r="EFZ10" s="3447"/>
      <c r="EGA10" s="3447"/>
      <c r="EGB10" s="3447"/>
      <c r="EGC10" s="3447"/>
      <c r="EGD10" s="3447"/>
      <c r="EGE10" s="3447"/>
      <c r="EGF10" s="3447"/>
      <c r="EGG10" s="3447"/>
      <c r="EGH10" s="3447"/>
      <c r="EGI10" s="3447"/>
      <c r="EGJ10" s="3447"/>
      <c r="EGK10" s="3447"/>
      <c r="EGL10" s="3447"/>
      <c r="EGM10" s="3447"/>
      <c r="EGN10" s="3447"/>
      <c r="EGO10" s="3447"/>
      <c r="EGP10" s="3447"/>
      <c r="EGQ10" s="3447"/>
      <c r="EGR10" s="3447"/>
      <c r="EGS10" s="3447"/>
      <c r="EGT10" s="3447"/>
      <c r="EGU10" s="3447"/>
      <c r="EGV10" s="3447"/>
      <c r="EGW10" s="3447"/>
      <c r="EGX10" s="3447"/>
      <c r="EGY10" s="3447"/>
      <c r="EGZ10" s="3447"/>
      <c r="EHA10" s="3447"/>
      <c r="EHB10" s="3447"/>
      <c r="EHC10" s="3447"/>
      <c r="EHD10" s="3447"/>
      <c r="EHE10" s="3447"/>
      <c r="EHF10" s="3447"/>
      <c r="EHG10" s="3447"/>
      <c r="EHH10" s="3447"/>
      <c r="EHI10" s="3447"/>
      <c r="EHJ10" s="3447"/>
      <c r="EHK10" s="3447"/>
      <c r="EHL10" s="3447"/>
      <c r="EHM10" s="3447"/>
      <c r="EHN10" s="3447"/>
      <c r="EHO10" s="3447"/>
      <c r="EHP10" s="3447"/>
      <c r="EHQ10" s="3447"/>
      <c r="EHR10" s="3447"/>
      <c r="EHS10" s="3447"/>
      <c r="EHT10" s="3447"/>
      <c r="EHU10" s="3447"/>
      <c r="EHV10" s="3447"/>
      <c r="EHW10" s="3447"/>
      <c r="EHX10" s="3447"/>
      <c r="EHY10" s="3447"/>
      <c r="EHZ10" s="3447"/>
      <c r="EIA10" s="3447"/>
      <c r="EIB10" s="3447"/>
      <c r="EIC10" s="3447"/>
      <c r="EID10" s="3447"/>
      <c r="EIE10" s="3447"/>
      <c r="EIF10" s="3447"/>
      <c r="EIG10" s="3447"/>
      <c r="EIH10" s="3447"/>
      <c r="EII10" s="3447"/>
      <c r="EIJ10" s="3447"/>
      <c r="EIK10" s="3447"/>
      <c r="EIL10" s="3447"/>
      <c r="EIM10" s="3447"/>
      <c r="EIN10" s="3447"/>
      <c r="EIO10" s="3447"/>
      <c r="EIP10" s="3447"/>
      <c r="EIQ10" s="3447"/>
      <c r="EIR10" s="3447"/>
      <c r="EIS10" s="3447"/>
      <c r="EIT10" s="3447"/>
      <c r="EIU10" s="3447"/>
      <c r="EIV10" s="3447"/>
      <c r="EIW10" s="3447"/>
      <c r="EIX10" s="3447"/>
      <c r="EIY10" s="3447"/>
      <c r="EIZ10" s="3447"/>
      <c r="EJA10" s="3447"/>
      <c r="EJB10" s="3447"/>
      <c r="EJC10" s="3447"/>
      <c r="EJD10" s="3447"/>
      <c r="EJE10" s="3447"/>
      <c r="EJF10" s="3447"/>
      <c r="EJG10" s="3447"/>
      <c r="EJH10" s="3447"/>
      <c r="EJI10" s="3447"/>
      <c r="EJJ10" s="3447"/>
      <c r="EJK10" s="3447"/>
      <c r="EJL10" s="3447"/>
      <c r="EJM10" s="3447"/>
      <c r="EJN10" s="3447"/>
      <c r="EJO10" s="3447"/>
      <c r="EJP10" s="3447"/>
      <c r="EJQ10" s="3447"/>
      <c r="EJR10" s="3447"/>
      <c r="EJS10" s="3447"/>
      <c r="EJT10" s="3447"/>
      <c r="EJU10" s="3447"/>
      <c r="EJV10" s="3447"/>
      <c r="EJW10" s="3447"/>
      <c r="EJX10" s="3447"/>
      <c r="EJY10" s="3447"/>
      <c r="EJZ10" s="3447"/>
      <c r="EKA10" s="3447"/>
      <c r="EKB10" s="3447"/>
      <c r="EKC10" s="3447"/>
      <c r="EKD10" s="3447"/>
      <c r="EKE10" s="3447"/>
      <c r="EKF10" s="3447"/>
      <c r="EKG10" s="3447"/>
      <c r="EKH10" s="3447"/>
      <c r="EKI10" s="3447"/>
      <c r="EKJ10" s="3447"/>
      <c r="EKK10" s="3447"/>
      <c r="EKL10" s="3447"/>
      <c r="EKM10" s="3447"/>
      <c r="EKN10" s="3447"/>
      <c r="EKO10" s="3447"/>
      <c r="EKP10" s="3447"/>
      <c r="EKQ10" s="3447"/>
      <c r="EKR10" s="3447"/>
      <c r="EKS10" s="3447"/>
      <c r="EKT10" s="3447"/>
      <c r="EKU10" s="3447"/>
      <c r="EKV10" s="3447"/>
      <c r="EKW10" s="3447"/>
      <c r="EKX10" s="3447"/>
      <c r="EKY10" s="3447"/>
      <c r="EKZ10" s="3447"/>
      <c r="ELA10" s="3447"/>
      <c r="ELB10" s="3447"/>
      <c r="ELC10" s="3447"/>
      <c r="ELD10" s="3447"/>
      <c r="ELE10" s="3447"/>
      <c r="ELF10" s="3447"/>
      <c r="ELG10" s="3447"/>
      <c r="ELH10" s="3447"/>
      <c r="ELI10" s="3447"/>
      <c r="ELJ10" s="3447"/>
      <c r="ELK10" s="3447"/>
      <c r="ELL10" s="3447"/>
      <c r="ELM10" s="3447"/>
      <c r="ELN10" s="3447"/>
      <c r="ELO10" s="3447"/>
      <c r="ELP10" s="3447"/>
      <c r="ELQ10" s="3447"/>
      <c r="ELR10" s="3447"/>
      <c r="ELS10" s="3447"/>
      <c r="ELT10" s="3447"/>
      <c r="ELU10" s="3447"/>
      <c r="ELV10" s="3447"/>
      <c r="ELW10" s="3447"/>
      <c r="ELX10" s="3447"/>
      <c r="ELY10" s="3447"/>
      <c r="ELZ10" s="3447"/>
      <c r="EMA10" s="3447"/>
      <c r="EMB10" s="3447"/>
      <c r="EMC10" s="3447"/>
      <c r="EMD10" s="3447"/>
      <c r="EME10" s="3447"/>
      <c r="EMF10" s="3447"/>
      <c r="EMG10" s="3447"/>
      <c r="EMH10" s="3447"/>
      <c r="EMI10" s="3447"/>
      <c r="EMJ10" s="3447"/>
      <c r="EMK10" s="3447"/>
      <c r="EML10" s="3447"/>
      <c r="EMM10" s="3447"/>
      <c r="EMN10" s="3447"/>
      <c r="EMO10" s="3447"/>
      <c r="EMP10" s="3447"/>
      <c r="EMQ10" s="3447"/>
      <c r="EMR10" s="3447"/>
      <c r="EMS10" s="3447"/>
      <c r="EMT10" s="3447"/>
      <c r="EMU10" s="3447"/>
      <c r="EMV10" s="3447"/>
      <c r="EMW10" s="3447"/>
      <c r="EMX10" s="3447"/>
      <c r="EMY10" s="3447"/>
      <c r="EMZ10" s="3447"/>
      <c r="ENA10" s="3447"/>
      <c r="ENB10" s="3447"/>
      <c r="ENC10" s="3447"/>
      <c r="END10" s="3447"/>
      <c r="ENE10" s="3447"/>
      <c r="ENF10" s="3447"/>
      <c r="ENG10" s="3447"/>
      <c r="ENH10" s="3447"/>
      <c r="ENI10" s="3447"/>
      <c r="ENJ10" s="3447"/>
      <c r="ENK10" s="3447"/>
      <c r="ENL10" s="3447"/>
      <c r="ENM10" s="3447"/>
      <c r="ENN10" s="3447"/>
      <c r="ENO10" s="3447"/>
      <c r="ENP10" s="3447"/>
      <c r="ENQ10" s="3447"/>
      <c r="ENR10" s="3447"/>
      <c r="ENS10" s="3447"/>
      <c r="ENT10" s="3447"/>
      <c r="ENU10" s="3447"/>
      <c r="ENV10" s="3447"/>
      <c r="ENW10" s="3447"/>
      <c r="ENX10" s="3447"/>
      <c r="ENY10" s="3447"/>
      <c r="ENZ10" s="3447"/>
      <c r="EOA10" s="3447"/>
      <c r="EOB10" s="3447"/>
      <c r="EOC10" s="3447"/>
      <c r="EOD10" s="3447"/>
      <c r="EOE10" s="3447"/>
      <c r="EOF10" s="3447"/>
      <c r="EOG10" s="3447"/>
      <c r="EOH10" s="3447"/>
      <c r="EOI10" s="3447"/>
      <c r="EOJ10" s="3447"/>
      <c r="EOK10" s="3447"/>
      <c r="EOL10" s="3447"/>
      <c r="EOM10" s="3447"/>
      <c r="EON10" s="3447"/>
      <c r="EOO10" s="3447"/>
      <c r="EOP10" s="3447"/>
      <c r="EOQ10" s="3447"/>
      <c r="EOR10" s="3447"/>
      <c r="EOS10" s="3447"/>
      <c r="EOT10" s="3447"/>
      <c r="EOU10" s="3447"/>
      <c r="EOV10" s="3447"/>
      <c r="EOW10" s="3447"/>
      <c r="EOX10" s="3447"/>
      <c r="EOY10" s="3447"/>
      <c r="EOZ10" s="3447"/>
      <c r="EPA10" s="3447"/>
      <c r="EPB10" s="3447"/>
      <c r="EPC10" s="3447"/>
      <c r="EPD10" s="3447"/>
      <c r="EPE10" s="3447"/>
      <c r="EPF10" s="3447"/>
      <c r="EPG10" s="3447"/>
      <c r="EPH10" s="3447"/>
      <c r="EPI10" s="3447"/>
      <c r="EPJ10" s="3447"/>
      <c r="EPK10" s="3447"/>
      <c r="EPL10" s="3447"/>
      <c r="EPM10" s="3447"/>
      <c r="EPN10" s="3447"/>
      <c r="EPO10" s="3447"/>
      <c r="EPP10" s="3447"/>
      <c r="EPQ10" s="3447"/>
      <c r="EPR10" s="3447"/>
      <c r="EPS10" s="3447"/>
      <c r="EPT10" s="3447"/>
      <c r="EPU10" s="3447"/>
      <c r="EPV10" s="3447"/>
      <c r="EPW10" s="3447"/>
      <c r="EPX10" s="3447"/>
      <c r="EPY10" s="3447"/>
      <c r="EPZ10" s="3447"/>
      <c r="EQA10" s="3447"/>
      <c r="EQB10" s="3447"/>
      <c r="EQC10" s="3447"/>
      <c r="EQD10" s="3447"/>
      <c r="EQE10" s="3447"/>
      <c r="EQF10" s="3447"/>
      <c r="EQG10" s="3447"/>
      <c r="EQH10" s="3447"/>
      <c r="EQI10" s="3447"/>
      <c r="EQJ10" s="3447"/>
      <c r="EQK10" s="3447"/>
      <c r="EQL10" s="3447"/>
      <c r="EQM10" s="3447"/>
      <c r="EQN10" s="3447"/>
      <c r="EQO10" s="3447"/>
      <c r="EQP10" s="3447"/>
      <c r="EQQ10" s="3447"/>
      <c r="EQR10" s="3447"/>
      <c r="EQS10" s="3447"/>
      <c r="EQT10" s="3447"/>
      <c r="EQU10" s="3447"/>
      <c r="EQV10" s="3447"/>
      <c r="EQW10" s="3447"/>
      <c r="EQX10" s="3447"/>
      <c r="EQY10" s="3447"/>
      <c r="EQZ10" s="3447"/>
      <c r="ERA10" s="3447"/>
      <c r="ERB10" s="3447"/>
      <c r="ERC10" s="3447"/>
      <c r="ERD10" s="3447"/>
      <c r="ERE10" s="3447"/>
      <c r="ERF10" s="3447"/>
      <c r="ERG10" s="3447"/>
      <c r="ERH10" s="3447"/>
      <c r="ERI10" s="3447"/>
      <c r="ERJ10" s="3447"/>
      <c r="ERK10" s="3447"/>
      <c r="ERL10" s="3447"/>
      <c r="ERM10" s="3447"/>
      <c r="ERN10" s="3447"/>
      <c r="ERO10" s="3447"/>
      <c r="ERP10" s="3447"/>
      <c r="ERQ10" s="3447"/>
      <c r="ERR10" s="3447"/>
      <c r="ERS10" s="3447"/>
      <c r="ERT10" s="3447"/>
      <c r="ERU10" s="3447"/>
      <c r="ERV10" s="3447"/>
      <c r="ERW10" s="3447"/>
      <c r="ERX10" s="3447"/>
      <c r="ERY10" s="3447"/>
      <c r="ERZ10" s="3447"/>
      <c r="ESA10" s="3447"/>
      <c r="ESB10" s="3447"/>
      <c r="ESC10" s="3447"/>
      <c r="ESD10" s="3447"/>
      <c r="ESE10" s="3447"/>
      <c r="ESF10" s="3447"/>
      <c r="ESG10" s="3447"/>
      <c r="ESH10" s="3447"/>
      <c r="ESI10" s="3447"/>
      <c r="ESJ10" s="3447"/>
      <c r="ESK10" s="3447"/>
      <c r="ESL10" s="3447"/>
      <c r="ESM10" s="3447"/>
      <c r="ESN10" s="3447"/>
      <c r="ESO10" s="3447"/>
      <c r="ESP10" s="3447"/>
      <c r="ESQ10" s="3447"/>
      <c r="ESR10" s="3447"/>
      <c r="ESS10" s="3447"/>
      <c r="EST10" s="3447"/>
      <c r="ESU10" s="3447"/>
      <c r="ESV10" s="3447"/>
      <c r="ESW10" s="3447"/>
      <c r="ESX10" s="3447"/>
      <c r="ESY10" s="3447"/>
      <c r="ESZ10" s="3447"/>
      <c r="ETA10" s="3447"/>
      <c r="ETB10" s="3447"/>
      <c r="ETC10" s="3447"/>
      <c r="ETD10" s="3447"/>
      <c r="ETE10" s="3447"/>
      <c r="ETF10" s="3447"/>
      <c r="ETG10" s="3447"/>
      <c r="ETH10" s="3447"/>
      <c r="ETI10" s="3447"/>
      <c r="ETJ10" s="3447"/>
      <c r="ETK10" s="3447"/>
      <c r="ETL10" s="3447"/>
      <c r="ETM10" s="3447"/>
      <c r="ETN10" s="3447"/>
      <c r="ETO10" s="3447"/>
      <c r="ETP10" s="3447"/>
      <c r="ETQ10" s="3447"/>
      <c r="ETR10" s="3447"/>
      <c r="ETS10" s="3447"/>
      <c r="ETT10" s="3447"/>
      <c r="ETU10" s="3447"/>
      <c r="ETV10" s="3447"/>
      <c r="ETW10" s="3447"/>
      <c r="ETX10" s="3447"/>
      <c r="ETY10" s="3447"/>
      <c r="ETZ10" s="3447"/>
      <c r="EUA10" s="3447"/>
      <c r="EUB10" s="3447"/>
      <c r="EUC10" s="3447"/>
      <c r="EUD10" s="3447"/>
      <c r="EUE10" s="3447"/>
      <c r="EUF10" s="3447"/>
      <c r="EUG10" s="3447"/>
      <c r="EUH10" s="3447"/>
      <c r="EUI10" s="3447"/>
      <c r="EUJ10" s="3447"/>
      <c r="EUK10" s="3447"/>
      <c r="EUL10" s="3447"/>
      <c r="EUM10" s="3447"/>
      <c r="EUN10" s="3447"/>
      <c r="EUO10" s="3447"/>
      <c r="EUP10" s="3447"/>
      <c r="EUQ10" s="3447"/>
      <c r="EUR10" s="3447"/>
      <c r="EUS10" s="3447"/>
      <c r="EUT10" s="3447"/>
      <c r="EUU10" s="3447"/>
      <c r="EUV10" s="3447"/>
      <c r="EUW10" s="3447"/>
      <c r="EUX10" s="3447"/>
      <c r="EUY10" s="3447"/>
      <c r="EUZ10" s="3447"/>
      <c r="EVA10" s="3447"/>
      <c r="EVB10" s="3447"/>
      <c r="EVC10" s="3447"/>
      <c r="EVD10" s="3447"/>
      <c r="EVE10" s="3447"/>
      <c r="EVF10" s="3447"/>
      <c r="EVG10" s="3447"/>
      <c r="EVH10" s="3447"/>
      <c r="EVI10" s="3447"/>
      <c r="EVJ10" s="3447"/>
      <c r="EVK10" s="3447"/>
      <c r="EVL10" s="3447"/>
      <c r="EVM10" s="3447"/>
      <c r="EVN10" s="3447"/>
      <c r="EVO10" s="3447"/>
      <c r="EVP10" s="3447"/>
      <c r="EVQ10" s="3447"/>
      <c r="EVR10" s="3447"/>
      <c r="EVS10" s="3447"/>
      <c r="EVT10" s="3447"/>
      <c r="EVU10" s="3447"/>
      <c r="EVV10" s="3447"/>
      <c r="EVW10" s="3447"/>
      <c r="EVX10" s="3447"/>
      <c r="EVY10" s="3447"/>
      <c r="EVZ10" s="3447"/>
      <c r="EWA10" s="3447"/>
      <c r="EWB10" s="3447"/>
      <c r="EWC10" s="3447"/>
      <c r="EWD10" s="3447"/>
      <c r="EWE10" s="3447"/>
      <c r="EWF10" s="3447"/>
      <c r="EWG10" s="3447"/>
      <c r="EWH10" s="3447"/>
      <c r="EWI10" s="3447"/>
      <c r="EWJ10" s="3447"/>
      <c r="EWK10" s="3447"/>
      <c r="EWL10" s="3447"/>
      <c r="EWM10" s="3447"/>
      <c r="EWN10" s="3447"/>
      <c r="EWO10" s="3447"/>
      <c r="EWP10" s="3447"/>
      <c r="EWQ10" s="3447"/>
      <c r="EWR10" s="3447"/>
      <c r="EWS10" s="3447"/>
      <c r="EWT10" s="3447"/>
      <c r="EWU10" s="3447"/>
      <c r="EWV10" s="3447"/>
      <c r="EWW10" s="3447"/>
      <c r="EWX10" s="3447"/>
      <c r="EWY10" s="3447"/>
      <c r="EWZ10" s="3447"/>
      <c r="EXA10" s="3447"/>
      <c r="EXB10" s="3447"/>
      <c r="EXC10" s="3447"/>
      <c r="EXD10" s="3447"/>
      <c r="EXE10" s="3447"/>
      <c r="EXF10" s="3447"/>
      <c r="EXG10" s="3447"/>
      <c r="EXH10" s="3447"/>
      <c r="EXI10" s="3447"/>
      <c r="EXJ10" s="3447"/>
      <c r="EXK10" s="3447"/>
      <c r="EXL10" s="3447"/>
      <c r="EXM10" s="3447"/>
      <c r="EXN10" s="3447"/>
      <c r="EXO10" s="3447"/>
      <c r="EXP10" s="3447"/>
      <c r="EXQ10" s="3447"/>
      <c r="EXR10" s="3447"/>
      <c r="EXS10" s="3447"/>
      <c r="EXT10" s="3447"/>
      <c r="EXU10" s="3447"/>
      <c r="EXV10" s="3447"/>
      <c r="EXW10" s="3447"/>
      <c r="EXX10" s="3447"/>
      <c r="EXY10" s="3447"/>
      <c r="EXZ10" s="3447"/>
      <c r="EYA10" s="3447"/>
      <c r="EYB10" s="3447"/>
      <c r="EYC10" s="3447"/>
      <c r="EYD10" s="3447"/>
      <c r="EYE10" s="3447"/>
      <c r="EYF10" s="3447"/>
      <c r="EYG10" s="3447"/>
      <c r="EYH10" s="3447"/>
      <c r="EYI10" s="3447"/>
      <c r="EYJ10" s="3447"/>
      <c r="EYK10" s="3447"/>
      <c r="EYL10" s="3447"/>
      <c r="EYM10" s="3447"/>
      <c r="EYN10" s="3447"/>
      <c r="EYO10" s="3447"/>
      <c r="EYP10" s="3447"/>
      <c r="EYQ10" s="3447"/>
      <c r="EYR10" s="3447"/>
      <c r="EYS10" s="3447"/>
      <c r="EYT10" s="3447"/>
      <c r="EYU10" s="3447"/>
      <c r="EYV10" s="3447"/>
      <c r="EYW10" s="3447"/>
      <c r="EYX10" s="3447"/>
      <c r="EYY10" s="3447"/>
      <c r="EYZ10" s="3447"/>
      <c r="EZA10" s="3447"/>
      <c r="EZB10" s="3447"/>
      <c r="EZC10" s="3447"/>
      <c r="EZD10" s="3447"/>
      <c r="EZE10" s="3447"/>
      <c r="EZF10" s="3447"/>
      <c r="EZG10" s="3447"/>
      <c r="EZH10" s="3447"/>
      <c r="EZI10" s="3447"/>
      <c r="EZJ10" s="3447"/>
      <c r="EZK10" s="3447"/>
      <c r="EZL10" s="3447"/>
      <c r="EZM10" s="3447"/>
      <c r="EZN10" s="3447"/>
      <c r="EZO10" s="3447"/>
      <c r="EZP10" s="3447"/>
      <c r="EZQ10" s="3447"/>
      <c r="EZR10" s="3447"/>
      <c r="EZS10" s="3447"/>
      <c r="EZT10" s="3447"/>
      <c r="EZU10" s="3447"/>
      <c r="EZV10" s="3447"/>
      <c r="EZW10" s="3447"/>
      <c r="EZX10" s="3447"/>
      <c r="EZY10" s="3447"/>
      <c r="EZZ10" s="3447"/>
      <c r="FAA10" s="3447"/>
      <c r="FAB10" s="3447"/>
      <c r="FAC10" s="3447"/>
      <c r="FAD10" s="3447"/>
      <c r="FAE10" s="3447"/>
      <c r="FAF10" s="3447"/>
      <c r="FAG10" s="3447"/>
      <c r="FAH10" s="3447"/>
      <c r="FAI10" s="3447"/>
      <c r="FAJ10" s="3447"/>
      <c r="FAK10" s="3447"/>
      <c r="FAL10" s="3447"/>
      <c r="FAM10" s="3447"/>
      <c r="FAN10" s="3447"/>
      <c r="FAO10" s="3447"/>
      <c r="FAP10" s="3447"/>
      <c r="FAQ10" s="3447"/>
      <c r="FAR10" s="3447"/>
      <c r="FAS10" s="3447"/>
      <c r="FAT10" s="3447"/>
      <c r="FAU10" s="3447"/>
      <c r="FAV10" s="3447"/>
      <c r="FAW10" s="3447"/>
      <c r="FAX10" s="3447"/>
      <c r="FAY10" s="3447"/>
      <c r="FAZ10" s="3447"/>
      <c r="FBA10" s="3447"/>
      <c r="FBB10" s="3447"/>
      <c r="FBC10" s="3447"/>
      <c r="FBD10" s="3447"/>
      <c r="FBE10" s="3447"/>
      <c r="FBF10" s="3447"/>
      <c r="FBG10" s="3447"/>
      <c r="FBH10" s="3447"/>
      <c r="FBI10" s="3447"/>
      <c r="FBJ10" s="3447"/>
      <c r="FBK10" s="3447"/>
      <c r="FBL10" s="3447"/>
      <c r="FBM10" s="3447"/>
      <c r="FBN10" s="3447"/>
      <c r="FBO10" s="3447"/>
      <c r="FBP10" s="3447"/>
      <c r="FBQ10" s="3447"/>
      <c r="FBR10" s="3447"/>
      <c r="FBS10" s="3447"/>
      <c r="FBT10" s="3447"/>
      <c r="FBU10" s="3447"/>
      <c r="FBV10" s="3447"/>
      <c r="FBW10" s="3447"/>
      <c r="FBX10" s="3447"/>
      <c r="FBY10" s="3447"/>
      <c r="FBZ10" s="3447"/>
      <c r="FCA10" s="3447"/>
      <c r="FCB10" s="3447"/>
      <c r="FCC10" s="3447"/>
      <c r="FCD10" s="3447"/>
      <c r="FCE10" s="3447"/>
      <c r="FCF10" s="3447"/>
      <c r="FCG10" s="3447"/>
      <c r="FCH10" s="3447"/>
      <c r="FCI10" s="3447"/>
      <c r="FCJ10" s="3447"/>
      <c r="FCK10" s="3447"/>
      <c r="FCL10" s="3447"/>
      <c r="FCM10" s="3447"/>
      <c r="FCN10" s="3447"/>
      <c r="FCO10" s="3447"/>
      <c r="FCP10" s="3447"/>
      <c r="FCQ10" s="3447"/>
      <c r="FCR10" s="3447"/>
      <c r="FCS10" s="3447"/>
      <c r="FCT10" s="3447"/>
      <c r="FCU10" s="3447"/>
      <c r="FCV10" s="3447"/>
      <c r="FCW10" s="3447"/>
      <c r="FCX10" s="3447"/>
      <c r="FCY10" s="3447"/>
      <c r="FCZ10" s="3447"/>
      <c r="FDA10" s="3447"/>
      <c r="FDB10" s="3447"/>
      <c r="FDC10" s="3447"/>
      <c r="FDD10" s="3447"/>
      <c r="FDE10" s="3447"/>
      <c r="FDF10" s="3447"/>
      <c r="FDG10" s="3447"/>
      <c r="FDH10" s="3447"/>
      <c r="FDI10" s="3447"/>
      <c r="FDJ10" s="3447"/>
      <c r="FDK10" s="3447"/>
      <c r="FDL10" s="3447"/>
      <c r="FDM10" s="3447"/>
      <c r="FDN10" s="3447"/>
      <c r="FDO10" s="3447"/>
      <c r="FDP10" s="3447"/>
      <c r="FDQ10" s="3447"/>
      <c r="FDR10" s="3447"/>
      <c r="FDS10" s="3447"/>
      <c r="FDT10" s="3447"/>
      <c r="FDU10" s="3447"/>
      <c r="FDV10" s="3447"/>
      <c r="FDW10" s="3447"/>
      <c r="FDX10" s="3447"/>
      <c r="FDY10" s="3447"/>
      <c r="FDZ10" s="3447"/>
      <c r="FEA10" s="3447"/>
      <c r="FEB10" s="3447"/>
      <c r="FEC10" s="3447"/>
      <c r="FED10" s="3447"/>
      <c r="FEE10" s="3447"/>
      <c r="FEF10" s="3447"/>
      <c r="FEG10" s="3447"/>
      <c r="FEH10" s="3447"/>
      <c r="FEI10" s="3447"/>
      <c r="FEJ10" s="3447"/>
      <c r="FEK10" s="3447"/>
      <c r="FEL10" s="3447"/>
      <c r="FEM10" s="3447"/>
      <c r="FEN10" s="3447"/>
      <c r="FEO10" s="3447"/>
      <c r="FEP10" s="3447"/>
      <c r="FEQ10" s="3447"/>
      <c r="FER10" s="3447"/>
      <c r="FES10" s="3447"/>
      <c r="FET10" s="3447"/>
      <c r="FEU10" s="3447"/>
      <c r="FEV10" s="3447"/>
      <c r="FEW10" s="3447"/>
      <c r="FEX10" s="3447"/>
      <c r="FEY10" s="3447"/>
      <c r="FEZ10" s="3447"/>
      <c r="FFA10" s="3447"/>
      <c r="FFB10" s="3447"/>
      <c r="FFC10" s="3447"/>
      <c r="FFD10" s="3447"/>
      <c r="FFE10" s="3447"/>
      <c r="FFF10" s="3447"/>
      <c r="FFG10" s="3447"/>
      <c r="FFH10" s="3447"/>
      <c r="FFI10" s="3447"/>
      <c r="FFJ10" s="3447"/>
      <c r="FFK10" s="3447"/>
      <c r="FFL10" s="3447"/>
      <c r="FFM10" s="3447"/>
      <c r="FFN10" s="3447"/>
      <c r="FFO10" s="3447"/>
      <c r="FFP10" s="3447"/>
      <c r="FFQ10" s="3447"/>
      <c r="FFR10" s="3447"/>
      <c r="FFS10" s="3447"/>
      <c r="FFT10" s="3447"/>
      <c r="FFU10" s="3447"/>
      <c r="FFV10" s="3447"/>
      <c r="FFW10" s="3447"/>
      <c r="FFX10" s="3447"/>
      <c r="FFY10" s="3447"/>
      <c r="FFZ10" s="3447"/>
      <c r="FGA10" s="3447"/>
      <c r="FGB10" s="3447"/>
      <c r="FGC10" s="3447"/>
      <c r="FGD10" s="3447"/>
      <c r="FGE10" s="3447"/>
      <c r="FGF10" s="3447"/>
      <c r="FGG10" s="3447"/>
      <c r="FGH10" s="3447"/>
      <c r="FGI10" s="3447"/>
      <c r="FGJ10" s="3447"/>
      <c r="FGK10" s="3447"/>
      <c r="FGL10" s="3447"/>
      <c r="FGM10" s="3447"/>
      <c r="FGN10" s="3447"/>
      <c r="FGO10" s="3447"/>
      <c r="FGP10" s="3447"/>
      <c r="FGQ10" s="3447"/>
      <c r="FGR10" s="3447"/>
      <c r="FGS10" s="3447"/>
      <c r="FGT10" s="3447"/>
      <c r="FGU10" s="3447"/>
      <c r="FGV10" s="3447"/>
      <c r="FGW10" s="3447"/>
      <c r="FGX10" s="3447"/>
      <c r="FGY10" s="3447"/>
      <c r="FGZ10" s="3447"/>
      <c r="FHA10" s="3447"/>
      <c r="FHB10" s="3447"/>
      <c r="FHC10" s="3447"/>
      <c r="FHD10" s="3447"/>
      <c r="FHE10" s="3447"/>
      <c r="FHF10" s="3447"/>
      <c r="FHG10" s="3447"/>
      <c r="FHH10" s="3447"/>
      <c r="FHI10" s="3447"/>
      <c r="FHJ10" s="3447"/>
      <c r="FHK10" s="3447"/>
      <c r="FHL10" s="3447"/>
      <c r="FHM10" s="3447"/>
      <c r="FHN10" s="3447"/>
      <c r="FHO10" s="3447"/>
      <c r="FHP10" s="3447"/>
      <c r="FHQ10" s="3447"/>
      <c r="FHR10" s="3447"/>
      <c r="FHS10" s="3447"/>
      <c r="FHT10" s="3447"/>
      <c r="FHU10" s="3447"/>
      <c r="FHV10" s="3447"/>
      <c r="FHW10" s="3447"/>
      <c r="FHX10" s="3447"/>
      <c r="FHY10" s="3447"/>
      <c r="FHZ10" s="3447"/>
      <c r="FIA10" s="3447"/>
      <c r="FIB10" s="3447"/>
      <c r="FIC10" s="3447"/>
      <c r="FID10" s="3447"/>
      <c r="FIE10" s="3447"/>
      <c r="FIF10" s="3447"/>
      <c r="FIG10" s="3447"/>
      <c r="FIH10" s="3447"/>
      <c r="FII10" s="3447"/>
      <c r="FIJ10" s="3447"/>
      <c r="FIK10" s="3447"/>
      <c r="FIL10" s="3447"/>
      <c r="FIM10" s="3447"/>
      <c r="FIN10" s="3447"/>
      <c r="FIO10" s="3447"/>
      <c r="FIP10" s="3447"/>
      <c r="FIQ10" s="3447"/>
      <c r="FIR10" s="3447"/>
      <c r="FIS10" s="3447"/>
      <c r="FIT10" s="3447"/>
      <c r="FIU10" s="3447"/>
      <c r="FIV10" s="3447"/>
      <c r="FIW10" s="3447"/>
      <c r="FIX10" s="3447"/>
      <c r="FIY10" s="3447"/>
      <c r="FIZ10" s="3447"/>
      <c r="FJA10" s="3447"/>
      <c r="FJB10" s="3447"/>
      <c r="FJC10" s="3447"/>
      <c r="FJD10" s="3447"/>
      <c r="FJE10" s="3447"/>
      <c r="FJF10" s="3447"/>
      <c r="FJG10" s="3447"/>
      <c r="FJH10" s="3447"/>
      <c r="FJI10" s="3447"/>
      <c r="FJJ10" s="3447"/>
      <c r="FJK10" s="3447"/>
      <c r="FJL10" s="3447"/>
      <c r="FJM10" s="3447"/>
      <c r="FJN10" s="3447"/>
      <c r="FJO10" s="3447"/>
      <c r="FJP10" s="3447"/>
      <c r="FJQ10" s="3447"/>
      <c r="FJR10" s="3447"/>
      <c r="FJS10" s="3447"/>
      <c r="FJT10" s="3447"/>
      <c r="FJU10" s="3447"/>
      <c r="FJV10" s="3447"/>
      <c r="FJW10" s="3447"/>
      <c r="FJX10" s="3447"/>
      <c r="FJY10" s="3447"/>
      <c r="FJZ10" s="3447"/>
      <c r="FKA10" s="3447"/>
      <c r="FKB10" s="3447"/>
      <c r="FKC10" s="3447"/>
      <c r="FKD10" s="3447"/>
      <c r="FKE10" s="3447"/>
      <c r="FKF10" s="3447"/>
      <c r="FKG10" s="3447"/>
      <c r="FKH10" s="3447"/>
      <c r="FKI10" s="3447"/>
      <c r="FKJ10" s="3447"/>
      <c r="FKK10" s="3447"/>
      <c r="FKL10" s="3447"/>
      <c r="FKM10" s="3447"/>
      <c r="FKN10" s="3447"/>
      <c r="FKO10" s="3447"/>
      <c r="FKP10" s="3447"/>
      <c r="FKQ10" s="3447"/>
      <c r="FKR10" s="3447"/>
      <c r="FKS10" s="3447"/>
      <c r="FKT10" s="3447"/>
      <c r="FKU10" s="3447"/>
      <c r="FKV10" s="3447"/>
      <c r="FKW10" s="3447"/>
      <c r="FKX10" s="3447"/>
      <c r="FKY10" s="3447"/>
      <c r="FKZ10" s="3447"/>
      <c r="FLA10" s="3447"/>
      <c r="FLB10" s="3447"/>
      <c r="FLC10" s="3447"/>
      <c r="FLD10" s="3447"/>
      <c r="FLE10" s="3447"/>
      <c r="FLF10" s="3447"/>
      <c r="FLG10" s="3447"/>
      <c r="FLH10" s="3447"/>
      <c r="FLI10" s="3447"/>
      <c r="FLJ10" s="3447"/>
      <c r="FLK10" s="3447"/>
      <c r="FLL10" s="3447"/>
      <c r="FLM10" s="3447"/>
      <c r="FLN10" s="3447"/>
      <c r="FLO10" s="3447"/>
      <c r="FLP10" s="3447"/>
      <c r="FLQ10" s="3447"/>
      <c r="FLR10" s="3447"/>
      <c r="FLS10" s="3447"/>
      <c r="FLT10" s="3447"/>
      <c r="FLU10" s="3447"/>
      <c r="FLV10" s="3447"/>
      <c r="FLW10" s="3447"/>
      <c r="FLX10" s="3447"/>
      <c r="FLY10" s="3447"/>
      <c r="FLZ10" s="3447"/>
      <c r="FMA10" s="3447"/>
      <c r="FMB10" s="3447"/>
      <c r="FMC10" s="3447"/>
      <c r="FMD10" s="3447"/>
      <c r="FME10" s="3447"/>
      <c r="FMF10" s="3447"/>
      <c r="FMG10" s="3447"/>
      <c r="FMH10" s="3447"/>
      <c r="FMI10" s="3447"/>
      <c r="FMJ10" s="3447"/>
      <c r="FMK10" s="3447"/>
      <c r="FML10" s="3447"/>
      <c r="FMM10" s="3447"/>
      <c r="FMN10" s="3447"/>
      <c r="FMO10" s="3447"/>
      <c r="FMP10" s="3447"/>
      <c r="FMQ10" s="3447"/>
      <c r="FMR10" s="3447"/>
      <c r="FMS10" s="3447"/>
      <c r="FMT10" s="3447"/>
      <c r="FMU10" s="3447"/>
      <c r="FMV10" s="3447"/>
      <c r="FMW10" s="3447"/>
      <c r="FMX10" s="3447"/>
      <c r="FMY10" s="3447"/>
      <c r="FMZ10" s="3447"/>
      <c r="FNA10" s="3447"/>
      <c r="FNB10" s="3447"/>
      <c r="FNC10" s="3447"/>
      <c r="FND10" s="3447"/>
      <c r="FNE10" s="3447"/>
      <c r="FNF10" s="3447"/>
      <c r="FNG10" s="3447"/>
      <c r="FNH10" s="3447"/>
      <c r="FNI10" s="3447"/>
      <c r="FNJ10" s="3447"/>
      <c r="FNK10" s="3447"/>
      <c r="FNL10" s="3447"/>
      <c r="FNM10" s="3447"/>
      <c r="FNN10" s="3447"/>
      <c r="FNO10" s="3447"/>
      <c r="FNP10" s="3447"/>
      <c r="FNQ10" s="3447"/>
      <c r="FNR10" s="3447"/>
      <c r="FNS10" s="3447"/>
      <c r="FNT10" s="3447"/>
      <c r="FNU10" s="3447"/>
      <c r="FNV10" s="3447"/>
      <c r="FNW10" s="3447"/>
      <c r="FNX10" s="3447"/>
      <c r="FNY10" s="3447"/>
      <c r="FNZ10" s="3447"/>
      <c r="FOA10" s="3447"/>
      <c r="FOB10" s="3447"/>
      <c r="FOC10" s="3447"/>
      <c r="FOD10" s="3447"/>
      <c r="FOE10" s="3447"/>
      <c r="FOF10" s="3447"/>
      <c r="FOG10" s="3447"/>
      <c r="FOH10" s="3447"/>
      <c r="FOI10" s="3447"/>
      <c r="FOJ10" s="3447"/>
      <c r="FOK10" s="3447"/>
      <c r="FOL10" s="3447"/>
      <c r="FOM10" s="3447"/>
      <c r="FON10" s="3447"/>
      <c r="FOO10" s="3447"/>
      <c r="FOP10" s="3447"/>
      <c r="FOQ10" s="3447"/>
      <c r="FOR10" s="3447"/>
      <c r="FOS10" s="3447"/>
      <c r="FOT10" s="3447"/>
      <c r="FOU10" s="3447"/>
      <c r="FOV10" s="3447"/>
      <c r="FOW10" s="3447"/>
      <c r="FOX10" s="3447"/>
      <c r="FOY10" s="3447"/>
      <c r="FOZ10" s="3447"/>
      <c r="FPA10" s="3447"/>
      <c r="FPB10" s="3447"/>
      <c r="FPC10" s="3447"/>
      <c r="FPD10" s="3447"/>
      <c r="FPE10" s="3447"/>
      <c r="FPF10" s="3447"/>
      <c r="FPG10" s="3447"/>
      <c r="FPH10" s="3447"/>
      <c r="FPI10" s="3447"/>
      <c r="FPJ10" s="3447"/>
      <c r="FPK10" s="3447"/>
      <c r="FPL10" s="3447"/>
      <c r="FPM10" s="3447"/>
      <c r="FPN10" s="3447"/>
      <c r="FPO10" s="3447"/>
      <c r="FPP10" s="3447"/>
      <c r="FPQ10" s="3447"/>
      <c r="FPR10" s="3447"/>
      <c r="FPS10" s="3447"/>
      <c r="FPT10" s="3447"/>
      <c r="FPU10" s="3447"/>
      <c r="FPV10" s="3447"/>
      <c r="FPW10" s="3447"/>
      <c r="FPX10" s="3447"/>
      <c r="FPY10" s="3447"/>
      <c r="FPZ10" s="3447"/>
      <c r="FQA10" s="3447"/>
      <c r="FQB10" s="3447"/>
      <c r="FQC10" s="3447"/>
      <c r="FQD10" s="3447"/>
      <c r="FQE10" s="3447"/>
      <c r="FQF10" s="3447"/>
      <c r="FQG10" s="3447"/>
      <c r="FQH10" s="3447"/>
      <c r="FQI10" s="3447"/>
      <c r="FQJ10" s="3447"/>
      <c r="FQK10" s="3447"/>
      <c r="FQL10" s="3447"/>
      <c r="FQM10" s="3447"/>
      <c r="FQN10" s="3447"/>
      <c r="FQO10" s="3447"/>
      <c r="FQP10" s="3447"/>
      <c r="FQQ10" s="3447"/>
      <c r="FQR10" s="3447"/>
      <c r="FQS10" s="3447"/>
      <c r="FQT10" s="3447"/>
      <c r="FQU10" s="3447"/>
      <c r="FQV10" s="3447"/>
      <c r="FQW10" s="3447"/>
      <c r="FQX10" s="3447"/>
      <c r="FQY10" s="3447"/>
      <c r="FQZ10" s="3447"/>
      <c r="FRA10" s="3447"/>
      <c r="FRB10" s="3447"/>
      <c r="FRC10" s="3447"/>
      <c r="FRD10" s="3447"/>
      <c r="FRE10" s="3447"/>
      <c r="FRF10" s="3447"/>
      <c r="FRG10" s="3447"/>
      <c r="FRH10" s="3447"/>
      <c r="FRI10" s="3447"/>
      <c r="FRJ10" s="3447"/>
      <c r="FRK10" s="3447"/>
      <c r="FRL10" s="3447"/>
      <c r="FRM10" s="3447"/>
      <c r="FRN10" s="3447"/>
      <c r="FRO10" s="3447"/>
      <c r="FRP10" s="3447"/>
      <c r="FRQ10" s="3447"/>
      <c r="FRR10" s="3447"/>
      <c r="FRS10" s="3447"/>
      <c r="FRT10" s="3447"/>
      <c r="FRU10" s="3447"/>
      <c r="FRV10" s="3447"/>
      <c r="FRW10" s="3447"/>
      <c r="FRX10" s="3447"/>
      <c r="FRY10" s="3447"/>
      <c r="FRZ10" s="3447"/>
      <c r="FSA10" s="3447"/>
      <c r="FSB10" s="3447"/>
      <c r="FSC10" s="3447"/>
      <c r="FSD10" s="3447"/>
      <c r="FSE10" s="3447"/>
      <c r="FSF10" s="3447"/>
      <c r="FSG10" s="3447"/>
      <c r="FSH10" s="3447"/>
      <c r="FSI10" s="3447"/>
      <c r="FSJ10" s="3447"/>
      <c r="FSK10" s="3447"/>
      <c r="FSL10" s="3447"/>
      <c r="FSM10" s="3447"/>
      <c r="FSN10" s="3447"/>
      <c r="FSO10" s="3447"/>
      <c r="FSP10" s="3447"/>
      <c r="FSQ10" s="3447"/>
      <c r="FSR10" s="3447"/>
      <c r="FSS10" s="3447"/>
      <c r="FST10" s="3447"/>
      <c r="FSU10" s="3447"/>
      <c r="FSV10" s="3447"/>
      <c r="FSW10" s="3447"/>
      <c r="FSX10" s="3447"/>
      <c r="FSY10" s="3447"/>
      <c r="FSZ10" s="3447"/>
      <c r="FTA10" s="3447"/>
      <c r="FTB10" s="3447"/>
      <c r="FTC10" s="3447"/>
      <c r="FTD10" s="3447"/>
      <c r="FTE10" s="3447"/>
      <c r="FTF10" s="3447"/>
      <c r="FTG10" s="3447"/>
      <c r="FTH10" s="3447"/>
      <c r="FTI10" s="3447"/>
      <c r="FTJ10" s="3447"/>
      <c r="FTK10" s="3447"/>
      <c r="FTL10" s="3447"/>
      <c r="FTM10" s="3447"/>
      <c r="FTN10" s="3447"/>
      <c r="FTO10" s="3447"/>
      <c r="FTP10" s="3447"/>
      <c r="FTQ10" s="3447"/>
      <c r="FTR10" s="3447"/>
      <c r="FTS10" s="3447"/>
      <c r="FTT10" s="3447"/>
      <c r="FTU10" s="3447"/>
      <c r="FTV10" s="3447"/>
      <c r="FTW10" s="3447"/>
      <c r="FTX10" s="3447"/>
      <c r="FTY10" s="3447"/>
      <c r="FTZ10" s="3447"/>
      <c r="FUA10" s="3447"/>
      <c r="FUB10" s="3447"/>
      <c r="FUC10" s="3447"/>
      <c r="FUD10" s="3447"/>
      <c r="FUE10" s="3447"/>
      <c r="FUF10" s="3447"/>
      <c r="FUG10" s="3447"/>
      <c r="FUH10" s="3447"/>
      <c r="FUI10" s="3447"/>
      <c r="FUJ10" s="3447"/>
      <c r="FUK10" s="3447"/>
      <c r="FUL10" s="3447"/>
      <c r="FUM10" s="3447"/>
      <c r="FUN10" s="3447"/>
      <c r="FUO10" s="3447"/>
      <c r="FUP10" s="3447"/>
      <c r="FUQ10" s="3447"/>
      <c r="FUR10" s="3447"/>
      <c r="FUS10" s="3447"/>
      <c r="FUT10" s="3447"/>
      <c r="FUU10" s="3447"/>
      <c r="FUV10" s="3447"/>
      <c r="FUW10" s="3447"/>
      <c r="FUX10" s="3447"/>
      <c r="FUY10" s="3447"/>
      <c r="FUZ10" s="3447"/>
      <c r="FVA10" s="3447"/>
      <c r="FVB10" s="3447"/>
      <c r="FVC10" s="3447"/>
      <c r="FVD10" s="3447"/>
      <c r="FVE10" s="3447"/>
      <c r="FVF10" s="3447"/>
      <c r="FVG10" s="3447"/>
      <c r="FVH10" s="3447"/>
      <c r="FVI10" s="3447"/>
      <c r="FVJ10" s="3447"/>
      <c r="FVK10" s="3447"/>
      <c r="FVL10" s="3447"/>
      <c r="FVM10" s="3447"/>
      <c r="FVN10" s="3447"/>
      <c r="FVO10" s="3447"/>
      <c r="FVP10" s="3447"/>
      <c r="FVQ10" s="3447"/>
      <c r="FVR10" s="3447"/>
      <c r="FVS10" s="3447"/>
      <c r="FVT10" s="3447"/>
      <c r="FVU10" s="3447"/>
      <c r="FVV10" s="3447"/>
      <c r="FVW10" s="3447"/>
      <c r="FVX10" s="3447"/>
      <c r="FVY10" s="3447"/>
      <c r="FVZ10" s="3447"/>
      <c r="FWA10" s="3447"/>
      <c r="FWB10" s="3447"/>
      <c r="FWC10" s="3447"/>
      <c r="FWD10" s="3447"/>
      <c r="FWE10" s="3447"/>
      <c r="FWF10" s="3447"/>
      <c r="FWG10" s="3447"/>
      <c r="FWH10" s="3447"/>
      <c r="FWI10" s="3447"/>
      <c r="FWJ10" s="3447"/>
      <c r="FWK10" s="3447"/>
      <c r="FWL10" s="3447"/>
      <c r="FWM10" s="3447"/>
      <c r="FWN10" s="3447"/>
      <c r="FWO10" s="3447"/>
      <c r="FWP10" s="3447"/>
      <c r="FWQ10" s="3447"/>
      <c r="FWR10" s="3447"/>
      <c r="FWS10" s="3447"/>
      <c r="FWT10" s="3447"/>
      <c r="FWU10" s="3447"/>
      <c r="FWV10" s="3447"/>
      <c r="FWW10" s="3447"/>
      <c r="FWX10" s="3447"/>
      <c r="FWY10" s="3447"/>
      <c r="FWZ10" s="3447"/>
      <c r="FXA10" s="3447"/>
      <c r="FXB10" s="3447"/>
      <c r="FXC10" s="3447"/>
      <c r="FXD10" s="3447"/>
      <c r="FXE10" s="3447"/>
      <c r="FXF10" s="3447"/>
      <c r="FXG10" s="3447"/>
      <c r="FXH10" s="3447"/>
      <c r="FXI10" s="3447"/>
      <c r="FXJ10" s="3447"/>
      <c r="FXK10" s="3447"/>
      <c r="FXL10" s="3447"/>
      <c r="FXM10" s="3447"/>
      <c r="FXN10" s="3447"/>
      <c r="FXO10" s="3447"/>
      <c r="FXP10" s="3447"/>
      <c r="FXQ10" s="3447"/>
      <c r="FXR10" s="3447"/>
      <c r="FXS10" s="3447"/>
      <c r="FXT10" s="3447"/>
      <c r="FXU10" s="3447"/>
      <c r="FXV10" s="3447"/>
      <c r="FXW10" s="3447"/>
      <c r="FXX10" s="3447"/>
      <c r="FXY10" s="3447"/>
      <c r="FXZ10" s="3447"/>
      <c r="FYA10" s="3447"/>
      <c r="FYB10" s="3447"/>
      <c r="FYC10" s="3447"/>
      <c r="FYD10" s="3447"/>
      <c r="FYE10" s="3447"/>
      <c r="FYF10" s="3447"/>
      <c r="FYG10" s="3447"/>
      <c r="FYH10" s="3447"/>
      <c r="FYI10" s="3447"/>
      <c r="FYJ10" s="3447"/>
      <c r="FYK10" s="3447"/>
      <c r="FYL10" s="3447"/>
      <c r="FYM10" s="3447"/>
      <c r="FYN10" s="3447"/>
      <c r="FYO10" s="3447"/>
      <c r="FYP10" s="3447"/>
      <c r="FYQ10" s="3447"/>
      <c r="FYR10" s="3447"/>
      <c r="FYS10" s="3447"/>
      <c r="FYT10" s="3447"/>
      <c r="FYU10" s="3447"/>
      <c r="FYV10" s="3447"/>
      <c r="FYW10" s="3447"/>
      <c r="FYX10" s="3447"/>
      <c r="FYY10" s="3447"/>
      <c r="FYZ10" s="3447"/>
      <c r="FZA10" s="3447"/>
      <c r="FZB10" s="3447"/>
      <c r="FZC10" s="3447"/>
      <c r="FZD10" s="3447"/>
      <c r="FZE10" s="3447"/>
      <c r="FZF10" s="3447"/>
      <c r="FZG10" s="3447"/>
      <c r="FZH10" s="3447"/>
      <c r="FZI10" s="3447"/>
      <c r="FZJ10" s="3447"/>
      <c r="FZK10" s="3447"/>
      <c r="FZL10" s="3447"/>
      <c r="FZM10" s="3447"/>
      <c r="FZN10" s="3447"/>
      <c r="FZO10" s="3447"/>
      <c r="FZP10" s="3447"/>
      <c r="FZQ10" s="3447"/>
      <c r="FZR10" s="3447"/>
      <c r="FZS10" s="3447"/>
      <c r="FZT10" s="3447"/>
      <c r="FZU10" s="3447"/>
      <c r="FZV10" s="3447"/>
      <c r="FZW10" s="3447"/>
      <c r="FZX10" s="3447"/>
      <c r="FZY10" s="3447"/>
      <c r="FZZ10" s="3447"/>
      <c r="GAA10" s="3447"/>
      <c r="GAB10" s="3447"/>
      <c r="GAC10" s="3447"/>
      <c r="GAD10" s="3447"/>
      <c r="GAE10" s="3447"/>
      <c r="GAF10" s="3447"/>
      <c r="GAG10" s="3447"/>
      <c r="GAH10" s="3447"/>
      <c r="GAI10" s="3447"/>
      <c r="GAJ10" s="3447"/>
      <c r="GAK10" s="3447"/>
      <c r="GAL10" s="3447"/>
      <c r="GAM10" s="3447"/>
      <c r="GAN10" s="3447"/>
      <c r="GAO10" s="3447"/>
      <c r="GAP10" s="3447"/>
      <c r="GAQ10" s="3447"/>
      <c r="GAR10" s="3447"/>
      <c r="GAS10" s="3447"/>
      <c r="GAT10" s="3447"/>
      <c r="GAU10" s="3447"/>
      <c r="GAV10" s="3447"/>
      <c r="GAW10" s="3447"/>
      <c r="GAX10" s="3447"/>
      <c r="GAY10" s="3447"/>
      <c r="GAZ10" s="3447"/>
      <c r="GBA10" s="3447"/>
      <c r="GBB10" s="3447"/>
      <c r="GBC10" s="3447"/>
      <c r="GBD10" s="3447"/>
      <c r="GBE10" s="3447"/>
      <c r="GBF10" s="3447"/>
      <c r="GBG10" s="3447"/>
      <c r="GBH10" s="3447"/>
      <c r="GBI10" s="3447"/>
      <c r="GBJ10" s="3447"/>
      <c r="GBK10" s="3447"/>
      <c r="GBL10" s="3447"/>
      <c r="GBM10" s="3447"/>
      <c r="GBN10" s="3447"/>
      <c r="GBO10" s="3447"/>
      <c r="GBP10" s="3447"/>
      <c r="GBQ10" s="3447"/>
      <c r="GBR10" s="3447"/>
      <c r="GBS10" s="3447"/>
      <c r="GBT10" s="3447"/>
      <c r="GBU10" s="3447"/>
      <c r="GBV10" s="3447"/>
      <c r="GBW10" s="3447"/>
      <c r="GBX10" s="3447"/>
      <c r="GBY10" s="3447"/>
      <c r="GBZ10" s="3447"/>
      <c r="GCA10" s="3447"/>
      <c r="GCB10" s="3447"/>
      <c r="GCC10" s="3447"/>
      <c r="GCD10" s="3447"/>
      <c r="GCE10" s="3447"/>
      <c r="GCF10" s="3447"/>
      <c r="GCG10" s="3447"/>
      <c r="GCH10" s="3447"/>
      <c r="GCI10" s="3447"/>
      <c r="GCJ10" s="3447"/>
      <c r="GCK10" s="3447"/>
      <c r="GCL10" s="3447"/>
      <c r="GCM10" s="3447"/>
      <c r="GCN10" s="3447"/>
      <c r="GCO10" s="3447"/>
      <c r="GCP10" s="3447"/>
      <c r="GCQ10" s="3447"/>
      <c r="GCR10" s="3447"/>
      <c r="GCS10" s="3447"/>
      <c r="GCT10" s="3447"/>
      <c r="GCU10" s="3447"/>
      <c r="GCV10" s="3447"/>
      <c r="GCW10" s="3447"/>
      <c r="GCX10" s="3447"/>
      <c r="GCY10" s="3447"/>
      <c r="GCZ10" s="3447"/>
      <c r="GDA10" s="3447"/>
      <c r="GDB10" s="3447"/>
      <c r="GDC10" s="3447"/>
      <c r="GDD10" s="3447"/>
      <c r="GDE10" s="3447"/>
      <c r="GDF10" s="3447"/>
      <c r="GDG10" s="3447"/>
      <c r="GDH10" s="3447"/>
      <c r="GDI10" s="3447"/>
      <c r="GDJ10" s="3447"/>
      <c r="GDK10" s="3447"/>
      <c r="GDL10" s="3447"/>
      <c r="GDM10" s="3447"/>
      <c r="GDN10" s="3447"/>
      <c r="GDO10" s="3447"/>
      <c r="GDP10" s="3447"/>
      <c r="GDQ10" s="3447"/>
      <c r="GDR10" s="3447"/>
      <c r="GDS10" s="3447"/>
      <c r="GDT10" s="3447"/>
      <c r="GDU10" s="3447"/>
      <c r="GDV10" s="3447"/>
      <c r="GDW10" s="3447"/>
      <c r="GDX10" s="3447"/>
      <c r="GDY10" s="3447"/>
      <c r="GDZ10" s="3447"/>
      <c r="GEA10" s="3447"/>
      <c r="GEB10" s="3447"/>
      <c r="GEC10" s="3447"/>
      <c r="GED10" s="3447"/>
      <c r="GEE10" s="3447"/>
      <c r="GEF10" s="3447"/>
      <c r="GEG10" s="3447"/>
      <c r="GEH10" s="3447"/>
      <c r="GEI10" s="3447"/>
      <c r="GEJ10" s="3447"/>
      <c r="GEK10" s="3447"/>
      <c r="GEL10" s="3447"/>
      <c r="GEM10" s="3447"/>
      <c r="GEN10" s="3447"/>
      <c r="GEO10" s="3447"/>
      <c r="GEP10" s="3447"/>
      <c r="GEQ10" s="3447"/>
      <c r="GER10" s="3447"/>
      <c r="GES10" s="3447"/>
      <c r="GET10" s="3447"/>
      <c r="GEU10" s="3447"/>
      <c r="GEV10" s="3447"/>
      <c r="GEW10" s="3447"/>
      <c r="GEX10" s="3447"/>
      <c r="GEY10" s="3447"/>
      <c r="GEZ10" s="3447"/>
      <c r="GFA10" s="3447"/>
      <c r="GFB10" s="3447"/>
      <c r="GFC10" s="3447"/>
      <c r="GFD10" s="3447"/>
      <c r="GFE10" s="3447"/>
      <c r="GFF10" s="3447"/>
      <c r="GFG10" s="3447"/>
      <c r="GFH10" s="3447"/>
      <c r="GFI10" s="3447"/>
      <c r="GFJ10" s="3447"/>
      <c r="GFK10" s="3447"/>
      <c r="GFL10" s="3447"/>
      <c r="GFM10" s="3447"/>
      <c r="GFN10" s="3447"/>
      <c r="GFO10" s="3447"/>
      <c r="GFP10" s="3447"/>
      <c r="GFQ10" s="3447"/>
      <c r="GFR10" s="3447"/>
      <c r="GFS10" s="3447"/>
      <c r="GFT10" s="3447"/>
      <c r="GFU10" s="3447"/>
      <c r="GFV10" s="3447"/>
      <c r="GFW10" s="3447"/>
      <c r="GFX10" s="3447"/>
      <c r="GFY10" s="3447"/>
      <c r="GFZ10" s="3447"/>
      <c r="GGA10" s="3447"/>
      <c r="GGB10" s="3447"/>
      <c r="GGC10" s="3447"/>
      <c r="GGD10" s="3447"/>
      <c r="GGE10" s="3447"/>
      <c r="GGF10" s="3447"/>
      <c r="GGG10" s="3447"/>
      <c r="GGH10" s="3447"/>
      <c r="GGI10" s="3447"/>
      <c r="GGJ10" s="3447"/>
      <c r="GGK10" s="3447"/>
      <c r="GGL10" s="3447"/>
      <c r="GGM10" s="3447"/>
      <c r="GGN10" s="3447"/>
      <c r="GGO10" s="3447"/>
      <c r="GGP10" s="3447"/>
      <c r="GGQ10" s="3447"/>
      <c r="GGR10" s="3447"/>
      <c r="GGS10" s="3447"/>
      <c r="GGT10" s="3447"/>
      <c r="GGU10" s="3447"/>
      <c r="GGV10" s="3447"/>
      <c r="GGW10" s="3447"/>
      <c r="GGX10" s="3447"/>
      <c r="GGY10" s="3447"/>
      <c r="GGZ10" s="3447"/>
      <c r="GHA10" s="3447"/>
      <c r="GHB10" s="3447"/>
      <c r="GHC10" s="3447"/>
      <c r="GHD10" s="3447"/>
      <c r="GHE10" s="3447"/>
      <c r="GHF10" s="3447"/>
      <c r="GHG10" s="3447"/>
      <c r="GHH10" s="3447"/>
      <c r="GHI10" s="3447"/>
      <c r="GHJ10" s="3447"/>
      <c r="GHK10" s="3447"/>
      <c r="GHL10" s="3447"/>
      <c r="GHM10" s="3447"/>
      <c r="GHN10" s="3447"/>
      <c r="GHO10" s="3447"/>
      <c r="GHP10" s="3447"/>
      <c r="GHQ10" s="3447"/>
      <c r="GHR10" s="3447"/>
      <c r="GHS10" s="3447"/>
      <c r="GHT10" s="3447"/>
      <c r="GHU10" s="3447"/>
      <c r="GHV10" s="3447"/>
      <c r="GHW10" s="3447"/>
      <c r="GHX10" s="3447"/>
      <c r="GHY10" s="3447"/>
      <c r="GHZ10" s="3447"/>
      <c r="GIA10" s="3447"/>
      <c r="GIB10" s="3447"/>
      <c r="GIC10" s="3447"/>
      <c r="GID10" s="3447"/>
      <c r="GIE10" s="3447"/>
      <c r="GIF10" s="3447"/>
      <c r="GIG10" s="3447"/>
      <c r="GIH10" s="3447"/>
      <c r="GII10" s="3447"/>
      <c r="GIJ10" s="3447"/>
      <c r="GIK10" s="3447"/>
      <c r="GIL10" s="3447"/>
      <c r="GIM10" s="3447"/>
      <c r="GIN10" s="3447"/>
      <c r="GIO10" s="3447"/>
      <c r="GIP10" s="3447"/>
      <c r="GIQ10" s="3447"/>
      <c r="GIR10" s="3447"/>
      <c r="GIS10" s="3447"/>
      <c r="GIT10" s="3447"/>
      <c r="GIU10" s="3447"/>
      <c r="GIV10" s="3447"/>
      <c r="GIW10" s="3447"/>
      <c r="GIX10" s="3447"/>
      <c r="GIY10" s="3447"/>
      <c r="GIZ10" s="3447"/>
      <c r="GJA10" s="3447"/>
      <c r="GJB10" s="3447"/>
      <c r="GJC10" s="3447"/>
      <c r="GJD10" s="3447"/>
      <c r="GJE10" s="3447"/>
      <c r="GJF10" s="3447"/>
      <c r="GJG10" s="3447"/>
      <c r="GJH10" s="3447"/>
      <c r="GJI10" s="3447"/>
      <c r="GJJ10" s="3447"/>
      <c r="GJK10" s="3447"/>
      <c r="GJL10" s="3447"/>
      <c r="GJM10" s="3447"/>
      <c r="GJN10" s="3447"/>
      <c r="GJO10" s="3447"/>
      <c r="GJP10" s="3447"/>
      <c r="GJQ10" s="3447"/>
      <c r="GJR10" s="3447"/>
      <c r="GJS10" s="3447"/>
      <c r="GJT10" s="3447"/>
      <c r="GJU10" s="3447"/>
      <c r="GJV10" s="3447"/>
      <c r="GJW10" s="3447"/>
      <c r="GJX10" s="3447"/>
      <c r="GJY10" s="3447"/>
      <c r="GJZ10" s="3447"/>
      <c r="GKA10" s="3447"/>
      <c r="GKB10" s="3447"/>
      <c r="GKC10" s="3447"/>
      <c r="GKD10" s="3447"/>
      <c r="GKE10" s="3447"/>
      <c r="GKF10" s="3447"/>
      <c r="GKG10" s="3447"/>
      <c r="GKH10" s="3447"/>
      <c r="GKI10" s="3447"/>
      <c r="GKJ10" s="3447"/>
      <c r="GKK10" s="3447"/>
      <c r="GKL10" s="3447"/>
      <c r="GKM10" s="3447"/>
      <c r="GKN10" s="3447"/>
      <c r="GKO10" s="3447"/>
      <c r="GKP10" s="3447"/>
      <c r="GKQ10" s="3447"/>
      <c r="GKR10" s="3447"/>
      <c r="GKS10" s="3447"/>
      <c r="GKT10" s="3447"/>
      <c r="GKU10" s="3447"/>
      <c r="GKV10" s="3447"/>
      <c r="GKW10" s="3447"/>
      <c r="GKX10" s="3447"/>
      <c r="GKY10" s="3447"/>
      <c r="GKZ10" s="3447"/>
      <c r="GLA10" s="3447"/>
      <c r="GLB10" s="3447"/>
      <c r="GLC10" s="3447"/>
      <c r="GLD10" s="3447"/>
      <c r="GLE10" s="3447"/>
      <c r="GLF10" s="3447"/>
      <c r="GLG10" s="3447"/>
      <c r="GLH10" s="3447"/>
      <c r="GLI10" s="3447"/>
      <c r="GLJ10" s="3447"/>
      <c r="GLK10" s="3447"/>
      <c r="GLL10" s="3447"/>
      <c r="GLM10" s="3447"/>
      <c r="GLN10" s="3447"/>
      <c r="GLO10" s="3447"/>
      <c r="GLP10" s="3447"/>
      <c r="GLQ10" s="3447"/>
      <c r="GLR10" s="3447"/>
      <c r="GLS10" s="3447"/>
      <c r="GLT10" s="3447"/>
      <c r="GLU10" s="3447"/>
      <c r="GLV10" s="3447"/>
      <c r="GLW10" s="3447"/>
      <c r="GLX10" s="3447"/>
      <c r="GLY10" s="3447"/>
      <c r="GLZ10" s="3447"/>
      <c r="GMA10" s="3447"/>
      <c r="GMB10" s="3447"/>
      <c r="GMC10" s="3447"/>
      <c r="GMD10" s="3447"/>
      <c r="GME10" s="3447"/>
      <c r="GMF10" s="3447"/>
      <c r="GMG10" s="3447"/>
      <c r="GMH10" s="3447"/>
      <c r="GMI10" s="3447"/>
      <c r="GMJ10" s="3447"/>
      <c r="GMK10" s="3447"/>
      <c r="GML10" s="3447"/>
      <c r="GMM10" s="3447"/>
      <c r="GMN10" s="3447"/>
      <c r="GMO10" s="3447"/>
      <c r="GMP10" s="3447"/>
      <c r="GMQ10" s="3447"/>
      <c r="GMR10" s="3447"/>
      <c r="GMS10" s="3447"/>
      <c r="GMT10" s="3447"/>
      <c r="GMU10" s="3447"/>
      <c r="GMV10" s="3447"/>
      <c r="GMW10" s="3447"/>
      <c r="GMX10" s="3447"/>
      <c r="GMY10" s="3447"/>
      <c r="GMZ10" s="3447"/>
      <c r="GNA10" s="3447"/>
      <c r="GNB10" s="3447"/>
      <c r="GNC10" s="3447"/>
      <c r="GND10" s="3447"/>
      <c r="GNE10" s="3447"/>
      <c r="GNF10" s="3447"/>
      <c r="GNG10" s="3447"/>
      <c r="GNH10" s="3447"/>
      <c r="GNI10" s="3447"/>
      <c r="GNJ10" s="3447"/>
      <c r="GNK10" s="3447"/>
      <c r="GNL10" s="3447"/>
      <c r="GNM10" s="3447"/>
      <c r="GNN10" s="3447"/>
      <c r="GNO10" s="3447"/>
      <c r="GNP10" s="3447"/>
      <c r="GNQ10" s="3447"/>
      <c r="GNR10" s="3447"/>
      <c r="GNS10" s="3447"/>
      <c r="GNT10" s="3447"/>
      <c r="GNU10" s="3447"/>
      <c r="GNV10" s="3447"/>
      <c r="GNW10" s="3447"/>
      <c r="GNX10" s="3447"/>
      <c r="GNY10" s="3447"/>
      <c r="GNZ10" s="3447"/>
      <c r="GOA10" s="3447"/>
      <c r="GOB10" s="3447"/>
      <c r="GOC10" s="3447"/>
      <c r="GOD10" s="3447"/>
      <c r="GOE10" s="3447"/>
      <c r="GOF10" s="3447"/>
      <c r="GOG10" s="3447"/>
      <c r="GOH10" s="3447"/>
      <c r="GOI10" s="3447"/>
      <c r="GOJ10" s="3447"/>
      <c r="GOK10" s="3447"/>
      <c r="GOL10" s="3447"/>
      <c r="GOM10" s="3447"/>
      <c r="GON10" s="3447"/>
      <c r="GOO10" s="3447"/>
      <c r="GOP10" s="3447"/>
      <c r="GOQ10" s="3447"/>
      <c r="GOR10" s="3447"/>
      <c r="GOS10" s="3447"/>
      <c r="GOT10" s="3447"/>
      <c r="GOU10" s="3447"/>
      <c r="GOV10" s="3447"/>
      <c r="GOW10" s="3447"/>
      <c r="GOX10" s="3447"/>
      <c r="GOY10" s="3447"/>
      <c r="GOZ10" s="3447"/>
      <c r="GPA10" s="3447"/>
      <c r="GPB10" s="3447"/>
      <c r="GPC10" s="3447"/>
      <c r="GPD10" s="3447"/>
      <c r="GPE10" s="3447"/>
      <c r="GPF10" s="3447"/>
      <c r="GPG10" s="3447"/>
      <c r="GPH10" s="3447"/>
      <c r="GPI10" s="3447"/>
      <c r="GPJ10" s="3447"/>
      <c r="GPK10" s="3447"/>
      <c r="GPL10" s="3447"/>
      <c r="GPM10" s="3447"/>
      <c r="GPN10" s="3447"/>
      <c r="GPO10" s="3447"/>
      <c r="GPP10" s="3447"/>
      <c r="GPQ10" s="3447"/>
      <c r="GPR10" s="3447"/>
      <c r="GPS10" s="3447"/>
      <c r="GPT10" s="3447"/>
      <c r="GPU10" s="3447"/>
      <c r="GPV10" s="3447"/>
      <c r="GPW10" s="3447"/>
      <c r="GPX10" s="3447"/>
      <c r="GPY10" s="3447"/>
      <c r="GPZ10" s="3447"/>
      <c r="GQA10" s="3447"/>
      <c r="GQB10" s="3447"/>
      <c r="GQC10" s="3447"/>
      <c r="GQD10" s="3447"/>
      <c r="GQE10" s="3447"/>
      <c r="GQF10" s="3447"/>
      <c r="GQG10" s="3447"/>
      <c r="GQH10" s="3447"/>
      <c r="GQI10" s="3447"/>
      <c r="GQJ10" s="3447"/>
      <c r="GQK10" s="3447"/>
      <c r="GQL10" s="3447"/>
      <c r="GQM10" s="3447"/>
      <c r="GQN10" s="3447"/>
      <c r="GQO10" s="3447"/>
      <c r="GQP10" s="3447"/>
      <c r="GQQ10" s="3447"/>
      <c r="GQR10" s="3447"/>
      <c r="GQS10" s="3447"/>
      <c r="GQT10" s="3447"/>
      <c r="GQU10" s="3447"/>
      <c r="GQV10" s="3447"/>
      <c r="GQW10" s="3447"/>
      <c r="GQX10" s="3447"/>
      <c r="GQY10" s="3447"/>
      <c r="GQZ10" s="3447"/>
      <c r="GRA10" s="3447"/>
      <c r="GRB10" s="3447"/>
      <c r="GRC10" s="3447"/>
      <c r="GRD10" s="3447"/>
      <c r="GRE10" s="3447"/>
      <c r="GRF10" s="3447"/>
      <c r="GRG10" s="3447"/>
      <c r="GRH10" s="3447"/>
      <c r="GRI10" s="3447"/>
      <c r="GRJ10" s="3447"/>
      <c r="GRK10" s="3447"/>
      <c r="GRL10" s="3447"/>
      <c r="GRM10" s="3447"/>
      <c r="GRN10" s="3447"/>
      <c r="GRO10" s="3447"/>
      <c r="GRP10" s="3447"/>
      <c r="GRQ10" s="3447"/>
      <c r="GRR10" s="3447"/>
      <c r="GRS10" s="3447"/>
      <c r="GRT10" s="3447"/>
      <c r="GRU10" s="3447"/>
      <c r="GRV10" s="3447"/>
      <c r="GRW10" s="3447"/>
      <c r="GRX10" s="3447"/>
      <c r="GRY10" s="3447"/>
      <c r="GRZ10" s="3447"/>
      <c r="GSA10" s="3447"/>
      <c r="GSB10" s="3447"/>
      <c r="GSC10" s="3447"/>
      <c r="GSD10" s="3447"/>
      <c r="GSE10" s="3447"/>
      <c r="GSF10" s="3447"/>
      <c r="GSG10" s="3447"/>
      <c r="GSH10" s="3447"/>
      <c r="GSI10" s="3447"/>
      <c r="GSJ10" s="3447"/>
      <c r="GSK10" s="3447"/>
      <c r="GSL10" s="3447"/>
      <c r="GSM10" s="3447"/>
      <c r="GSN10" s="3447"/>
      <c r="GSO10" s="3447"/>
      <c r="GSP10" s="3447"/>
      <c r="GSQ10" s="3447"/>
      <c r="GSR10" s="3447"/>
      <c r="GSS10" s="3447"/>
      <c r="GST10" s="3447"/>
      <c r="GSU10" s="3447"/>
      <c r="GSV10" s="3447"/>
      <c r="GSW10" s="3447"/>
      <c r="GSX10" s="3447"/>
      <c r="GSY10" s="3447"/>
      <c r="GSZ10" s="3447"/>
      <c r="GTA10" s="3447"/>
      <c r="GTB10" s="3447"/>
      <c r="GTC10" s="3447"/>
      <c r="GTD10" s="3447"/>
      <c r="GTE10" s="3447"/>
      <c r="GTF10" s="3447"/>
      <c r="GTG10" s="3447"/>
      <c r="GTH10" s="3447"/>
      <c r="GTI10" s="3447"/>
      <c r="GTJ10" s="3447"/>
      <c r="GTK10" s="3447"/>
      <c r="GTL10" s="3447"/>
      <c r="GTM10" s="3447"/>
      <c r="GTN10" s="3447"/>
      <c r="GTO10" s="3447"/>
      <c r="GTP10" s="3447"/>
      <c r="GTQ10" s="3447"/>
      <c r="GTR10" s="3447"/>
      <c r="GTS10" s="3447"/>
      <c r="GTT10" s="3447"/>
      <c r="GTU10" s="3447"/>
      <c r="GTV10" s="3447"/>
      <c r="GTW10" s="3447"/>
      <c r="GTX10" s="3447"/>
      <c r="GTY10" s="3447"/>
      <c r="GTZ10" s="3447"/>
      <c r="GUA10" s="3447"/>
      <c r="GUB10" s="3447"/>
      <c r="GUC10" s="3447"/>
      <c r="GUD10" s="3447"/>
      <c r="GUE10" s="3447"/>
      <c r="GUF10" s="3447"/>
      <c r="GUG10" s="3447"/>
      <c r="GUH10" s="3447"/>
      <c r="GUI10" s="3447"/>
      <c r="GUJ10" s="3447"/>
      <c r="GUK10" s="3447"/>
      <c r="GUL10" s="3447"/>
      <c r="GUM10" s="3447"/>
      <c r="GUN10" s="3447"/>
      <c r="GUO10" s="3447"/>
      <c r="GUP10" s="3447"/>
      <c r="GUQ10" s="3447"/>
      <c r="GUR10" s="3447"/>
      <c r="GUS10" s="3447"/>
      <c r="GUT10" s="3447"/>
      <c r="GUU10" s="3447"/>
      <c r="GUV10" s="3447"/>
      <c r="GUW10" s="3447"/>
      <c r="GUX10" s="3447"/>
      <c r="GUY10" s="3447"/>
      <c r="GUZ10" s="3447"/>
      <c r="GVA10" s="3447"/>
      <c r="GVB10" s="3447"/>
      <c r="GVC10" s="3447"/>
      <c r="GVD10" s="3447"/>
      <c r="GVE10" s="3447"/>
      <c r="GVF10" s="3447"/>
      <c r="GVG10" s="3447"/>
      <c r="GVH10" s="3447"/>
      <c r="GVI10" s="3447"/>
      <c r="GVJ10" s="3447"/>
      <c r="GVK10" s="3447"/>
      <c r="GVL10" s="3447"/>
      <c r="GVM10" s="3447"/>
      <c r="GVN10" s="3447"/>
      <c r="GVO10" s="3447"/>
      <c r="GVP10" s="3447"/>
      <c r="GVQ10" s="3447"/>
      <c r="GVR10" s="3447"/>
      <c r="GVS10" s="3447"/>
      <c r="GVT10" s="3447"/>
      <c r="GVU10" s="3447"/>
      <c r="GVV10" s="3447"/>
      <c r="GVW10" s="3447"/>
      <c r="GVX10" s="3447"/>
      <c r="GVY10" s="3447"/>
      <c r="GVZ10" s="3447"/>
      <c r="GWA10" s="3447"/>
      <c r="GWB10" s="3447"/>
      <c r="GWC10" s="3447"/>
      <c r="GWD10" s="3447"/>
      <c r="GWE10" s="3447"/>
      <c r="GWF10" s="3447"/>
      <c r="GWG10" s="3447"/>
      <c r="GWH10" s="3447"/>
      <c r="GWI10" s="3447"/>
      <c r="GWJ10" s="3447"/>
      <c r="GWK10" s="3447"/>
      <c r="GWL10" s="3447"/>
      <c r="GWM10" s="3447"/>
      <c r="GWN10" s="3447"/>
      <c r="GWO10" s="3447"/>
      <c r="GWP10" s="3447"/>
      <c r="GWQ10" s="3447"/>
      <c r="GWR10" s="3447"/>
      <c r="GWS10" s="3447"/>
      <c r="GWT10" s="3447"/>
      <c r="GWU10" s="3447"/>
      <c r="GWV10" s="3447"/>
      <c r="GWW10" s="3447"/>
      <c r="GWX10" s="3447"/>
      <c r="GWY10" s="3447"/>
      <c r="GWZ10" s="3447"/>
      <c r="GXA10" s="3447"/>
      <c r="GXB10" s="3447"/>
      <c r="GXC10" s="3447"/>
      <c r="GXD10" s="3447"/>
      <c r="GXE10" s="3447"/>
      <c r="GXF10" s="3447"/>
      <c r="GXG10" s="3447"/>
      <c r="GXH10" s="3447"/>
      <c r="GXI10" s="3447"/>
      <c r="GXJ10" s="3447"/>
      <c r="GXK10" s="3447"/>
      <c r="GXL10" s="3447"/>
      <c r="GXM10" s="3447"/>
      <c r="GXN10" s="3447"/>
      <c r="GXO10" s="3447"/>
      <c r="GXP10" s="3447"/>
      <c r="GXQ10" s="3447"/>
      <c r="GXR10" s="3447"/>
      <c r="GXS10" s="3447"/>
      <c r="GXT10" s="3447"/>
      <c r="GXU10" s="3447"/>
      <c r="GXV10" s="3447"/>
      <c r="GXW10" s="3447"/>
      <c r="GXX10" s="3447"/>
      <c r="GXY10" s="3447"/>
      <c r="GXZ10" s="3447"/>
      <c r="GYA10" s="3447"/>
      <c r="GYB10" s="3447"/>
      <c r="GYC10" s="3447"/>
      <c r="GYD10" s="3447"/>
      <c r="GYE10" s="3447"/>
      <c r="GYF10" s="3447"/>
      <c r="GYG10" s="3447"/>
      <c r="GYH10" s="3447"/>
      <c r="GYI10" s="3447"/>
      <c r="GYJ10" s="3447"/>
      <c r="GYK10" s="3447"/>
      <c r="GYL10" s="3447"/>
      <c r="GYM10" s="3447"/>
      <c r="GYN10" s="3447"/>
      <c r="GYO10" s="3447"/>
      <c r="GYP10" s="3447"/>
      <c r="GYQ10" s="3447"/>
      <c r="GYR10" s="3447"/>
      <c r="GYS10" s="3447"/>
      <c r="GYT10" s="3447"/>
      <c r="GYU10" s="3447"/>
      <c r="GYV10" s="3447"/>
      <c r="GYW10" s="3447"/>
      <c r="GYX10" s="3447"/>
      <c r="GYY10" s="3447"/>
      <c r="GYZ10" s="3447"/>
      <c r="GZA10" s="3447"/>
      <c r="GZB10" s="3447"/>
      <c r="GZC10" s="3447"/>
      <c r="GZD10" s="3447"/>
      <c r="GZE10" s="3447"/>
      <c r="GZF10" s="3447"/>
      <c r="GZG10" s="3447"/>
      <c r="GZH10" s="3447"/>
      <c r="GZI10" s="3447"/>
      <c r="GZJ10" s="3447"/>
      <c r="GZK10" s="3447"/>
      <c r="GZL10" s="3447"/>
      <c r="GZM10" s="3447"/>
      <c r="GZN10" s="3447"/>
      <c r="GZO10" s="3447"/>
      <c r="GZP10" s="3447"/>
      <c r="GZQ10" s="3447"/>
      <c r="GZR10" s="3447"/>
      <c r="GZS10" s="3447"/>
      <c r="GZT10" s="3447"/>
      <c r="GZU10" s="3447"/>
      <c r="GZV10" s="3447"/>
      <c r="GZW10" s="3447"/>
      <c r="GZX10" s="3447"/>
      <c r="GZY10" s="3447"/>
      <c r="GZZ10" s="3447"/>
      <c r="HAA10" s="3447"/>
      <c r="HAB10" s="3447"/>
      <c r="HAC10" s="3447"/>
      <c r="HAD10" s="3447"/>
      <c r="HAE10" s="3447"/>
      <c r="HAF10" s="3447"/>
      <c r="HAG10" s="3447"/>
      <c r="HAH10" s="3447"/>
      <c r="HAI10" s="3447"/>
      <c r="HAJ10" s="3447"/>
      <c r="HAK10" s="3447"/>
      <c r="HAL10" s="3447"/>
      <c r="HAM10" s="3447"/>
      <c r="HAN10" s="3447"/>
      <c r="HAO10" s="3447"/>
      <c r="HAP10" s="3447"/>
      <c r="HAQ10" s="3447"/>
      <c r="HAR10" s="3447"/>
      <c r="HAS10" s="3447"/>
      <c r="HAT10" s="3447"/>
      <c r="HAU10" s="3447"/>
      <c r="HAV10" s="3447"/>
      <c r="HAW10" s="3447"/>
      <c r="HAX10" s="3447"/>
      <c r="HAY10" s="3447"/>
      <c r="HAZ10" s="3447"/>
      <c r="HBA10" s="3447"/>
      <c r="HBB10" s="3447"/>
      <c r="HBC10" s="3447"/>
      <c r="HBD10" s="3447"/>
      <c r="HBE10" s="3447"/>
      <c r="HBF10" s="3447"/>
      <c r="HBG10" s="3447"/>
      <c r="HBH10" s="3447"/>
      <c r="HBI10" s="3447"/>
      <c r="HBJ10" s="3447"/>
      <c r="HBK10" s="3447"/>
      <c r="HBL10" s="3447"/>
      <c r="HBM10" s="3447"/>
      <c r="HBN10" s="3447"/>
      <c r="HBO10" s="3447"/>
      <c r="HBP10" s="3447"/>
      <c r="HBQ10" s="3447"/>
      <c r="HBR10" s="3447"/>
      <c r="HBS10" s="3447"/>
      <c r="HBT10" s="3447"/>
      <c r="HBU10" s="3447"/>
      <c r="HBV10" s="3447"/>
      <c r="HBW10" s="3447"/>
      <c r="HBX10" s="3447"/>
      <c r="HBY10" s="3447"/>
      <c r="HBZ10" s="3447"/>
      <c r="HCA10" s="3447"/>
      <c r="HCB10" s="3447"/>
      <c r="HCC10" s="3447"/>
      <c r="HCD10" s="3447"/>
      <c r="HCE10" s="3447"/>
      <c r="HCF10" s="3447"/>
      <c r="HCG10" s="3447"/>
      <c r="HCH10" s="3447"/>
      <c r="HCI10" s="3447"/>
      <c r="HCJ10" s="3447"/>
      <c r="HCK10" s="3447"/>
      <c r="HCL10" s="3447"/>
      <c r="HCM10" s="3447"/>
      <c r="HCN10" s="3447"/>
      <c r="HCO10" s="3447"/>
      <c r="HCP10" s="3447"/>
      <c r="HCQ10" s="3447"/>
      <c r="HCR10" s="3447"/>
      <c r="HCS10" s="3447"/>
      <c r="HCT10" s="3447"/>
      <c r="HCU10" s="3447"/>
      <c r="HCV10" s="3447"/>
      <c r="HCW10" s="3447"/>
      <c r="HCX10" s="3447"/>
      <c r="HCY10" s="3447"/>
      <c r="HCZ10" s="3447"/>
      <c r="HDA10" s="3447"/>
      <c r="HDB10" s="3447"/>
      <c r="HDC10" s="3447"/>
      <c r="HDD10" s="3447"/>
      <c r="HDE10" s="3447"/>
      <c r="HDF10" s="3447"/>
      <c r="HDG10" s="3447"/>
      <c r="HDH10" s="3447"/>
      <c r="HDI10" s="3447"/>
      <c r="HDJ10" s="3447"/>
      <c r="HDK10" s="3447"/>
      <c r="HDL10" s="3447"/>
      <c r="HDM10" s="3447"/>
      <c r="HDN10" s="3447"/>
      <c r="HDO10" s="3447"/>
      <c r="HDP10" s="3447"/>
      <c r="HDQ10" s="3447"/>
      <c r="HDR10" s="3447"/>
      <c r="HDS10" s="3447"/>
      <c r="HDT10" s="3447"/>
      <c r="HDU10" s="3447"/>
      <c r="HDV10" s="3447"/>
      <c r="HDW10" s="3447"/>
      <c r="HDX10" s="3447"/>
      <c r="HDY10" s="3447"/>
      <c r="HDZ10" s="3447"/>
      <c r="HEA10" s="3447"/>
      <c r="HEB10" s="3447"/>
      <c r="HEC10" s="3447"/>
      <c r="HED10" s="3447"/>
      <c r="HEE10" s="3447"/>
      <c r="HEF10" s="3447"/>
      <c r="HEG10" s="3447"/>
      <c r="HEH10" s="3447"/>
      <c r="HEI10" s="3447"/>
      <c r="HEJ10" s="3447"/>
      <c r="HEK10" s="3447"/>
      <c r="HEL10" s="3447"/>
      <c r="HEM10" s="3447"/>
      <c r="HEN10" s="3447"/>
      <c r="HEO10" s="3447"/>
      <c r="HEP10" s="3447"/>
      <c r="HEQ10" s="3447"/>
      <c r="HER10" s="3447"/>
      <c r="HES10" s="3447"/>
      <c r="HET10" s="3447"/>
      <c r="HEU10" s="3447"/>
      <c r="HEV10" s="3447"/>
      <c r="HEW10" s="3447"/>
      <c r="HEX10" s="3447"/>
      <c r="HEY10" s="3447"/>
      <c r="HEZ10" s="3447"/>
      <c r="HFA10" s="3447"/>
      <c r="HFB10" s="3447"/>
      <c r="HFC10" s="3447"/>
      <c r="HFD10" s="3447"/>
      <c r="HFE10" s="3447"/>
      <c r="HFF10" s="3447"/>
      <c r="HFG10" s="3447"/>
      <c r="HFH10" s="3447"/>
      <c r="HFI10" s="3447"/>
      <c r="HFJ10" s="3447"/>
      <c r="HFK10" s="3447"/>
      <c r="HFL10" s="3447"/>
      <c r="HFM10" s="3447"/>
      <c r="HFN10" s="3447"/>
      <c r="HFO10" s="3447"/>
      <c r="HFP10" s="3447"/>
      <c r="HFQ10" s="3447"/>
      <c r="HFR10" s="3447"/>
      <c r="HFS10" s="3447"/>
      <c r="HFT10" s="3447"/>
      <c r="HFU10" s="3447"/>
      <c r="HFV10" s="3447"/>
      <c r="HFW10" s="3447"/>
      <c r="HFX10" s="3447"/>
      <c r="HFY10" s="3447"/>
      <c r="HFZ10" s="3447"/>
      <c r="HGA10" s="3447"/>
      <c r="HGB10" s="3447"/>
      <c r="HGC10" s="3447"/>
      <c r="HGD10" s="3447"/>
      <c r="HGE10" s="3447"/>
      <c r="HGF10" s="3447"/>
      <c r="HGG10" s="3447"/>
      <c r="HGH10" s="3447"/>
      <c r="HGI10" s="3447"/>
      <c r="HGJ10" s="3447"/>
      <c r="HGK10" s="3447"/>
      <c r="HGL10" s="3447"/>
      <c r="HGM10" s="3447"/>
      <c r="HGN10" s="3447"/>
      <c r="HGO10" s="3447"/>
      <c r="HGP10" s="3447"/>
      <c r="HGQ10" s="3447"/>
      <c r="HGR10" s="3447"/>
      <c r="HGS10" s="3447"/>
      <c r="HGT10" s="3447"/>
      <c r="HGU10" s="3447"/>
      <c r="HGV10" s="3447"/>
      <c r="HGW10" s="3447"/>
      <c r="HGX10" s="3447"/>
      <c r="HGY10" s="3447"/>
      <c r="HGZ10" s="3447"/>
      <c r="HHA10" s="3447"/>
      <c r="HHB10" s="3447"/>
      <c r="HHC10" s="3447"/>
      <c r="HHD10" s="3447"/>
      <c r="HHE10" s="3447"/>
      <c r="HHF10" s="3447"/>
      <c r="HHG10" s="3447"/>
      <c r="HHH10" s="3447"/>
      <c r="HHI10" s="3447"/>
      <c r="HHJ10" s="3447"/>
      <c r="HHK10" s="3447"/>
      <c r="HHL10" s="3447"/>
      <c r="HHM10" s="3447"/>
      <c r="HHN10" s="3447"/>
      <c r="HHO10" s="3447"/>
      <c r="HHP10" s="3447"/>
      <c r="HHQ10" s="3447"/>
      <c r="HHR10" s="3447"/>
      <c r="HHS10" s="3447"/>
      <c r="HHT10" s="3447"/>
      <c r="HHU10" s="3447"/>
      <c r="HHV10" s="3447"/>
      <c r="HHW10" s="3447"/>
      <c r="HHX10" s="3447"/>
      <c r="HHY10" s="3447"/>
      <c r="HHZ10" s="3447"/>
      <c r="HIA10" s="3447"/>
      <c r="HIB10" s="3447"/>
      <c r="HIC10" s="3447"/>
      <c r="HID10" s="3447"/>
      <c r="HIE10" s="3447"/>
      <c r="HIF10" s="3447"/>
      <c r="HIG10" s="3447"/>
      <c r="HIH10" s="3447"/>
      <c r="HII10" s="3447"/>
      <c r="HIJ10" s="3447"/>
      <c r="HIK10" s="3447"/>
      <c r="HIL10" s="3447"/>
      <c r="HIM10" s="3447"/>
      <c r="HIN10" s="3447"/>
      <c r="HIO10" s="3447"/>
      <c r="HIP10" s="3447"/>
      <c r="HIQ10" s="3447"/>
      <c r="HIR10" s="3447"/>
      <c r="HIS10" s="3447"/>
      <c r="HIT10" s="3447"/>
      <c r="HIU10" s="3447"/>
      <c r="HIV10" s="3447"/>
      <c r="HIW10" s="3447"/>
      <c r="HIX10" s="3447"/>
      <c r="HIY10" s="3447"/>
      <c r="HIZ10" s="3447"/>
      <c r="HJA10" s="3447"/>
      <c r="HJB10" s="3447"/>
      <c r="HJC10" s="3447"/>
      <c r="HJD10" s="3447"/>
      <c r="HJE10" s="3447"/>
      <c r="HJF10" s="3447"/>
      <c r="HJG10" s="3447"/>
      <c r="HJH10" s="3447"/>
      <c r="HJI10" s="3447"/>
      <c r="HJJ10" s="3447"/>
      <c r="HJK10" s="3447"/>
      <c r="HJL10" s="3447"/>
      <c r="HJM10" s="3447"/>
      <c r="HJN10" s="3447"/>
      <c r="HJO10" s="3447"/>
      <c r="HJP10" s="3447"/>
      <c r="HJQ10" s="3447"/>
      <c r="HJR10" s="3447"/>
      <c r="HJS10" s="3447"/>
      <c r="HJT10" s="3447"/>
      <c r="HJU10" s="3447"/>
      <c r="HJV10" s="3447"/>
      <c r="HJW10" s="3447"/>
      <c r="HJX10" s="3447"/>
      <c r="HJY10" s="3447"/>
      <c r="HJZ10" s="3447"/>
      <c r="HKA10" s="3447"/>
      <c r="HKB10" s="3447"/>
      <c r="HKC10" s="3447"/>
      <c r="HKD10" s="3447"/>
      <c r="HKE10" s="3447"/>
      <c r="HKF10" s="3447"/>
      <c r="HKG10" s="3447"/>
      <c r="HKH10" s="3447"/>
      <c r="HKI10" s="3447"/>
      <c r="HKJ10" s="3447"/>
      <c r="HKK10" s="3447"/>
      <c r="HKL10" s="3447"/>
      <c r="HKM10" s="3447"/>
      <c r="HKN10" s="3447"/>
      <c r="HKO10" s="3447"/>
      <c r="HKP10" s="3447"/>
      <c r="HKQ10" s="3447"/>
      <c r="HKR10" s="3447"/>
      <c r="HKS10" s="3447"/>
      <c r="HKT10" s="3447"/>
      <c r="HKU10" s="3447"/>
      <c r="HKV10" s="3447"/>
      <c r="HKW10" s="3447"/>
      <c r="HKX10" s="3447"/>
      <c r="HKY10" s="3447"/>
      <c r="HKZ10" s="3447"/>
      <c r="HLA10" s="3447"/>
      <c r="HLB10" s="3447"/>
      <c r="HLC10" s="3447"/>
      <c r="HLD10" s="3447"/>
      <c r="HLE10" s="3447"/>
      <c r="HLF10" s="3447"/>
      <c r="HLG10" s="3447"/>
      <c r="HLH10" s="3447"/>
      <c r="HLI10" s="3447"/>
      <c r="HLJ10" s="3447"/>
      <c r="HLK10" s="3447"/>
      <c r="HLL10" s="3447"/>
      <c r="HLM10" s="3447"/>
      <c r="HLN10" s="3447"/>
      <c r="HLO10" s="3447"/>
      <c r="HLP10" s="3447"/>
      <c r="HLQ10" s="3447"/>
      <c r="HLR10" s="3447"/>
      <c r="HLS10" s="3447"/>
      <c r="HLT10" s="3447"/>
      <c r="HLU10" s="3447"/>
      <c r="HLV10" s="3447"/>
      <c r="HLW10" s="3447"/>
      <c r="HLX10" s="3447"/>
      <c r="HLY10" s="3447"/>
      <c r="HLZ10" s="3447"/>
      <c r="HMA10" s="3447"/>
      <c r="HMB10" s="3447"/>
      <c r="HMC10" s="3447"/>
      <c r="HMD10" s="3447"/>
      <c r="HME10" s="3447"/>
      <c r="HMF10" s="3447"/>
      <c r="HMG10" s="3447"/>
      <c r="HMH10" s="3447"/>
      <c r="HMI10" s="3447"/>
      <c r="HMJ10" s="3447"/>
      <c r="HMK10" s="3447"/>
      <c r="HML10" s="3447"/>
      <c r="HMM10" s="3447"/>
      <c r="HMN10" s="3447"/>
      <c r="HMO10" s="3447"/>
      <c r="HMP10" s="3447"/>
      <c r="HMQ10" s="3447"/>
      <c r="HMR10" s="3447"/>
      <c r="HMS10" s="3447"/>
      <c r="HMT10" s="3447"/>
      <c r="HMU10" s="3447"/>
      <c r="HMV10" s="3447"/>
      <c r="HMW10" s="3447"/>
      <c r="HMX10" s="3447"/>
      <c r="HMY10" s="3447"/>
      <c r="HMZ10" s="3447"/>
      <c r="HNA10" s="3447"/>
      <c r="HNB10" s="3447"/>
      <c r="HNC10" s="3447"/>
      <c r="HND10" s="3447"/>
      <c r="HNE10" s="3447"/>
      <c r="HNF10" s="3447"/>
      <c r="HNG10" s="3447"/>
      <c r="HNH10" s="3447"/>
      <c r="HNI10" s="3447"/>
      <c r="HNJ10" s="3447"/>
      <c r="HNK10" s="3447"/>
      <c r="HNL10" s="3447"/>
      <c r="HNM10" s="3447"/>
      <c r="HNN10" s="3447"/>
      <c r="HNO10" s="3447"/>
      <c r="HNP10" s="3447"/>
      <c r="HNQ10" s="3447"/>
      <c r="HNR10" s="3447"/>
      <c r="HNS10" s="3447"/>
      <c r="HNT10" s="3447"/>
      <c r="HNU10" s="3447"/>
      <c r="HNV10" s="3447"/>
      <c r="HNW10" s="3447"/>
      <c r="HNX10" s="3447"/>
      <c r="HNY10" s="3447"/>
      <c r="HNZ10" s="3447"/>
      <c r="HOA10" s="3447"/>
      <c r="HOB10" s="3447"/>
      <c r="HOC10" s="3447"/>
      <c r="HOD10" s="3447"/>
      <c r="HOE10" s="3447"/>
      <c r="HOF10" s="3447"/>
      <c r="HOG10" s="3447"/>
      <c r="HOH10" s="3447"/>
      <c r="HOI10" s="3447"/>
      <c r="HOJ10" s="3447"/>
      <c r="HOK10" s="3447"/>
      <c r="HOL10" s="3447"/>
      <c r="HOM10" s="3447"/>
      <c r="HON10" s="3447"/>
      <c r="HOO10" s="3447"/>
      <c r="HOP10" s="3447"/>
      <c r="HOQ10" s="3447"/>
      <c r="HOR10" s="3447"/>
      <c r="HOS10" s="3447"/>
      <c r="HOT10" s="3447"/>
      <c r="HOU10" s="3447"/>
      <c r="HOV10" s="3447"/>
      <c r="HOW10" s="3447"/>
      <c r="HOX10" s="3447"/>
      <c r="HOY10" s="3447"/>
      <c r="HOZ10" s="3447"/>
      <c r="HPA10" s="3447"/>
      <c r="HPB10" s="3447"/>
      <c r="HPC10" s="3447"/>
      <c r="HPD10" s="3447"/>
      <c r="HPE10" s="3447"/>
      <c r="HPF10" s="3447"/>
      <c r="HPG10" s="3447"/>
      <c r="HPH10" s="3447"/>
      <c r="HPI10" s="3447"/>
      <c r="HPJ10" s="3447"/>
      <c r="HPK10" s="3447"/>
      <c r="HPL10" s="3447"/>
      <c r="HPM10" s="3447"/>
      <c r="HPN10" s="3447"/>
      <c r="HPO10" s="3447"/>
      <c r="HPP10" s="3447"/>
      <c r="HPQ10" s="3447"/>
      <c r="HPR10" s="3447"/>
      <c r="HPS10" s="3447"/>
      <c r="HPT10" s="3447"/>
      <c r="HPU10" s="3447"/>
      <c r="HPV10" s="3447"/>
      <c r="HPW10" s="3447"/>
      <c r="HPX10" s="3447"/>
      <c r="HPY10" s="3447"/>
      <c r="HPZ10" s="3447"/>
      <c r="HQA10" s="3447"/>
      <c r="HQB10" s="3447"/>
      <c r="HQC10" s="3447"/>
      <c r="HQD10" s="3447"/>
      <c r="HQE10" s="3447"/>
      <c r="HQF10" s="3447"/>
      <c r="HQG10" s="3447"/>
      <c r="HQH10" s="3447"/>
      <c r="HQI10" s="3447"/>
      <c r="HQJ10" s="3447"/>
      <c r="HQK10" s="3447"/>
      <c r="HQL10" s="3447"/>
      <c r="HQM10" s="3447"/>
      <c r="HQN10" s="3447"/>
      <c r="HQO10" s="3447"/>
      <c r="HQP10" s="3447"/>
      <c r="HQQ10" s="3447"/>
      <c r="HQR10" s="3447"/>
      <c r="HQS10" s="3447"/>
      <c r="HQT10" s="3447"/>
      <c r="HQU10" s="3447"/>
      <c r="HQV10" s="3447"/>
      <c r="HQW10" s="3447"/>
      <c r="HQX10" s="3447"/>
      <c r="HQY10" s="3447"/>
      <c r="HQZ10" s="3447"/>
      <c r="HRA10" s="3447"/>
      <c r="HRB10" s="3447"/>
      <c r="HRC10" s="3447"/>
      <c r="HRD10" s="3447"/>
      <c r="HRE10" s="3447"/>
      <c r="HRF10" s="3447"/>
      <c r="HRG10" s="3447"/>
      <c r="HRH10" s="3447"/>
      <c r="HRI10" s="3447"/>
      <c r="HRJ10" s="3447"/>
      <c r="HRK10" s="3447"/>
      <c r="HRL10" s="3447"/>
      <c r="HRM10" s="3447"/>
      <c r="HRN10" s="3447"/>
      <c r="HRO10" s="3447"/>
      <c r="HRP10" s="3447"/>
      <c r="HRQ10" s="3447"/>
      <c r="HRR10" s="3447"/>
      <c r="HRS10" s="3447"/>
      <c r="HRT10" s="3447"/>
      <c r="HRU10" s="3447"/>
      <c r="HRV10" s="3447"/>
      <c r="HRW10" s="3447"/>
      <c r="HRX10" s="3447"/>
      <c r="HRY10" s="3447"/>
      <c r="HRZ10" s="3447"/>
      <c r="HSA10" s="3447"/>
      <c r="HSB10" s="3447"/>
      <c r="HSC10" s="3447"/>
      <c r="HSD10" s="3447"/>
      <c r="HSE10" s="3447"/>
      <c r="HSF10" s="3447"/>
      <c r="HSG10" s="3447"/>
      <c r="HSH10" s="3447"/>
      <c r="HSI10" s="3447"/>
      <c r="HSJ10" s="3447"/>
      <c r="HSK10" s="3447"/>
      <c r="HSL10" s="3447"/>
      <c r="HSM10" s="3447"/>
      <c r="HSN10" s="3447"/>
      <c r="HSO10" s="3447"/>
      <c r="HSP10" s="3447"/>
      <c r="HSQ10" s="3447"/>
      <c r="HSR10" s="3447"/>
      <c r="HSS10" s="3447"/>
      <c r="HST10" s="3447"/>
      <c r="HSU10" s="3447"/>
      <c r="HSV10" s="3447"/>
      <c r="HSW10" s="3447"/>
      <c r="HSX10" s="3447"/>
      <c r="HSY10" s="3447"/>
      <c r="HSZ10" s="3447"/>
      <c r="HTA10" s="3447"/>
      <c r="HTB10" s="3447"/>
      <c r="HTC10" s="3447"/>
      <c r="HTD10" s="3447"/>
      <c r="HTE10" s="3447"/>
      <c r="HTF10" s="3447"/>
      <c r="HTG10" s="3447"/>
      <c r="HTH10" s="3447"/>
      <c r="HTI10" s="3447"/>
      <c r="HTJ10" s="3447"/>
      <c r="HTK10" s="3447"/>
      <c r="HTL10" s="3447"/>
      <c r="HTM10" s="3447"/>
      <c r="HTN10" s="3447"/>
      <c r="HTO10" s="3447"/>
      <c r="HTP10" s="3447"/>
      <c r="HTQ10" s="3447"/>
      <c r="HTR10" s="3447"/>
      <c r="HTS10" s="3447"/>
      <c r="HTT10" s="3447"/>
      <c r="HTU10" s="3447"/>
      <c r="HTV10" s="3447"/>
      <c r="HTW10" s="3447"/>
      <c r="HTX10" s="3447"/>
      <c r="HTY10" s="3447"/>
      <c r="HTZ10" s="3447"/>
      <c r="HUA10" s="3447"/>
      <c r="HUB10" s="3447"/>
      <c r="HUC10" s="3447"/>
      <c r="HUD10" s="3447"/>
      <c r="HUE10" s="3447"/>
      <c r="HUF10" s="3447"/>
      <c r="HUG10" s="3447"/>
      <c r="HUH10" s="3447"/>
      <c r="HUI10" s="3447"/>
      <c r="HUJ10" s="3447"/>
      <c r="HUK10" s="3447"/>
      <c r="HUL10" s="3447"/>
      <c r="HUM10" s="3447"/>
      <c r="HUN10" s="3447"/>
      <c r="HUO10" s="3447"/>
      <c r="HUP10" s="3447"/>
      <c r="HUQ10" s="3447"/>
      <c r="HUR10" s="3447"/>
      <c r="HUS10" s="3447"/>
      <c r="HUT10" s="3447"/>
      <c r="HUU10" s="3447"/>
      <c r="HUV10" s="3447"/>
      <c r="HUW10" s="3447"/>
      <c r="HUX10" s="3447"/>
      <c r="HUY10" s="3447"/>
      <c r="HUZ10" s="3447"/>
      <c r="HVA10" s="3447"/>
      <c r="HVB10" s="3447"/>
      <c r="HVC10" s="3447"/>
      <c r="HVD10" s="3447"/>
      <c r="HVE10" s="3447"/>
      <c r="HVF10" s="3447"/>
      <c r="HVG10" s="3447"/>
      <c r="HVH10" s="3447"/>
      <c r="HVI10" s="3447"/>
      <c r="HVJ10" s="3447"/>
      <c r="HVK10" s="3447"/>
      <c r="HVL10" s="3447"/>
      <c r="HVM10" s="3447"/>
      <c r="HVN10" s="3447"/>
      <c r="HVO10" s="3447"/>
      <c r="HVP10" s="3447"/>
      <c r="HVQ10" s="3447"/>
      <c r="HVR10" s="3447"/>
      <c r="HVS10" s="3447"/>
      <c r="HVT10" s="3447"/>
      <c r="HVU10" s="3447"/>
      <c r="HVV10" s="3447"/>
      <c r="HVW10" s="3447"/>
      <c r="HVX10" s="3447"/>
      <c r="HVY10" s="3447"/>
      <c r="HVZ10" s="3447"/>
      <c r="HWA10" s="3447"/>
      <c r="HWB10" s="3447"/>
      <c r="HWC10" s="3447"/>
      <c r="HWD10" s="3447"/>
      <c r="HWE10" s="3447"/>
      <c r="HWF10" s="3447"/>
      <c r="HWG10" s="3447"/>
      <c r="HWH10" s="3447"/>
      <c r="HWI10" s="3447"/>
      <c r="HWJ10" s="3447"/>
      <c r="HWK10" s="3447"/>
      <c r="HWL10" s="3447"/>
      <c r="HWM10" s="3447"/>
      <c r="HWN10" s="3447"/>
      <c r="HWO10" s="3447"/>
      <c r="HWP10" s="3447"/>
      <c r="HWQ10" s="3447"/>
      <c r="HWR10" s="3447"/>
      <c r="HWS10" s="3447"/>
      <c r="HWT10" s="3447"/>
      <c r="HWU10" s="3447"/>
      <c r="HWV10" s="3447"/>
      <c r="HWW10" s="3447"/>
      <c r="HWX10" s="3447"/>
      <c r="HWY10" s="3447"/>
      <c r="HWZ10" s="3447"/>
      <c r="HXA10" s="3447"/>
      <c r="HXB10" s="3447"/>
      <c r="HXC10" s="3447"/>
      <c r="HXD10" s="3447"/>
      <c r="HXE10" s="3447"/>
      <c r="HXF10" s="3447"/>
      <c r="HXG10" s="3447"/>
      <c r="HXH10" s="3447"/>
      <c r="HXI10" s="3447"/>
      <c r="HXJ10" s="3447"/>
      <c r="HXK10" s="3447"/>
      <c r="HXL10" s="3447"/>
      <c r="HXM10" s="3447"/>
      <c r="HXN10" s="3447"/>
      <c r="HXO10" s="3447"/>
      <c r="HXP10" s="3447"/>
      <c r="HXQ10" s="3447"/>
      <c r="HXR10" s="3447"/>
      <c r="HXS10" s="3447"/>
      <c r="HXT10" s="3447"/>
      <c r="HXU10" s="3447"/>
      <c r="HXV10" s="3447"/>
      <c r="HXW10" s="3447"/>
      <c r="HXX10" s="3447"/>
      <c r="HXY10" s="3447"/>
      <c r="HXZ10" s="3447"/>
      <c r="HYA10" s="3447"/>
      <c r="HYB10" s="3447"/>
      <c r="HYC10" s="3447"/>
      <c r="HYD10" s="3447"/>
      <c r="HYE10" s="3447"/>
      <c r="HYF10" s="3447"/>
      <c r="HYG10" s="3447"/>
      <c r="HYH10" s="3447"/>
      <c r="HYI10" s="3447"/>
      <c r="HYJ10" s="3447"/>
      <c r="HYK10" s="3447"/>
      <c r="HYL10" s="3447"/>
      <c r="HYM10" s="3447"/>
      <c r="HYN10" s="3447"/>
      <c r="HYO10" s="3447"/>
      <c r="HYP10" s="3447"/>
      <c r="HYQ10" s="3447"/>
      <c r="HYR10" s="3447"/>
      <c r="HYS10" s="3447"/>
      <c r="HYT10" s="3447"/>
      <c r="HYU10" s="3447"/>
      <c r="HYV10" s="3447"/>
      <c r="HYW10" s="3447"/>
      <c r="HYX10" s="3447"/>
      <c r="HYY10" s="3447"/>
      <c r="HYZ10" s="3447"/>
      <c r="HZA10" s="3447"/>
      <c r="HZB10" s="3447"/>
      <c r="HZC10" s="3447"/>
      <c r="HZD10" s="3447"/>
      <c r="HZE10" s="3447"/>
      <c r="HZF10" s="3447"/>
      <c r="HZG10" s="3447"/>
      <c r="HZH10" s="3447"/>
      <c r="HZI10" s="3447"/>
      <c r="HZJ10" s="3447"/>
      <c r="HZK10" s="3447"/>
      <c r="HZL10" s="3447"/>
      <c r="HZM10" s="3447"/>
      <c r="HZN10" s="3447"/>
      <c r="HZO10" s="3447"/>
      <c r="HZP10" s="3447"/>
      <c r="HZQ10" s="3447"/>
      <c r="HZR10" s="3447"/>
      <c r="HZS10" s="3447"/>
      <c r="HZT10" s="3447"/>
      <c r="HZU10" s="3447"/>
      <c r="HZV10" s="3447"/>
      <c r="HZW10" s="3447"/>
      <c r="HZX10" s="3447"/>
      <c r="HZY10" s="3447"/>
      <c r="HZZ10" s="3447"/>
      <c r="IAA10" s="3447"/>
      <c r="IAB10" s="3447"/>
      <c r="IAC10" s="3447"/>
      <c r="IAD10" s="3447"/>
      <c r="IAE10" s="3447"/>
      <c r="IAF10" s="3447"/>
      <c r="IAG10" s="3447"/>
      <c r="IAH10" s="3447"/>
      <c r="IAI10" s="3447"/>
      <c r="IAJ10" s="3447"/>
      <c r="IAK10" s="3447"/>
      <c r="IAL10" s="3447"/>
      <c r="IAM10" s="3447"/>
      <c r="IAN10" s="3447"/>
      <c r="IAO10" s="3447"/>
      <c r="IAP10" s="3447"/>
      <c r="IAQ10" s="3447"/>
      <c r="IAR10" s="3447"/>
      <c r="IAS10" s="3447"/>
      <c r="IAT10" s="3447"/>
      <c r="IAU10" s="3447"/>
      <c r="IAV10" s="3447"/>
      <c r="IAW10" s="3447"/>
      <c r="IAX10" s="3447"/>
      <c r="IAY10" s="3447"/>
      <c r="IAZ10" s="3447"/>
      <c r="IBA10" s="3447"/>
      <c r="IBB10" s="3447"/>
      <c r="IBC10" s="3447"/>
      <c r="IBD10" s="3447"/>
      <c r="IBE10" s="3447"/>
      <c r="IBF10" s="3447"/>
      <c r="IBG10" s="3447"/>
      <c r="IBH10" s="3447"/>
      <c r="IBI10" s="3447"/>
      <c r="IBJ10" s="3447"/>
      <c r="IBK10" s="3447"/>
      <c r="IBL10" s="3447"/>
      <c r="IBM10" s="3447"/>
      <c r="IBN10" s="3447"/>
      <c r="IBO10" s="3447"/>
      <c r="IBP10" s="3447"/>
      <c r="IBQ10" s="3447"/>
      <c r="IBR10" s="3447"/>
      <c r="IBS10" s="3447"/>
      <c r="IBT10" s="3447"/>
      <c r="IBU10" s="3447"/>
      <c r="IBV10" s="3447"/>
      <c r="IBW10" s="3447"/>
      <c r="IBX10" s="3447"/>
      <c r="IBY10" s="3447"/>
      <c r="IBZ10" s="3447"/>
      <c r="ICA10" s="3447"/>
      <c r="ICB10" s="3447"/>
      <c r="ICC10" s="3447"/>
      <c r="ICD10" s="3447"/>
      <c r="ICE10" s="3447"/>
      <c r="ICF10" s="3447"/>
      <c r="ICG10" s="3447"/>
      <c r="ICH10" s="3447"/>
      <c r="ICI10" s="3447"/>
      <c r="ICJ10" s="3447"/>
      <c r="ICK10" s="3447"/>
      <c r="ICL10" s="3447"/>
      <c r="ICM10" s="3447"/>
      <c r="ICN10" s="3447"/>
      <c r="ICO10" s="3447"/>
      <c r="ICP10" s="3447"/>
      <c r="ICQ10" s="3447"/>
      <c r="ICR10" s="3447"/>
      <c r="ICS10" s="3447"/>
      <c r="ICT10" s="3447"/>
      <c r="ICU10" s="3447"/>
      <c r="ICV10" s="3447"/>
      <c r="ICW10" s="3447"/>
      <c r="ICX10" s="3447"/>
      <c r="ICY10" s="3447"/>
      <c r="ICZ10" s="3447"/>
      <c r="IDA10" s="3447"/>
      <c r="IDB10" s="3447"/>
      <c r="IDC10" s="3447"/>
      <c r="IDD10" s="3447"/>
      <c r="IDE10" s="3447"/>
      <c r="IDF10" s="3447"/>
      <c r="IDG10" s="3447"/>
      <c r="IDH10" s="3447"/>
      <c r="IDI10" s="3447"/>
      <c r="IDJ10" s="3447"/>
      <c r="IDK10" s="3447"/>
      <c r="IDL10" s="3447"/>
      <c r="IDM10" s="3447"/>
      <c r="IDN10" s="3447"/>
      <c r="IDO10" s="3447"/>
      <c r="IDP10" s="3447"/>
      <c r="IDQ10" s="3447"/>
      <c r="IDR10" s="3447"/>
      <c r="IDS10" s="3447"/>
      <c r="IDT10" s="3447"/>
      <c r="IDU10" s="3447"/>
      <c r="IDV10" s="3447"/>
      <c r="IDW10" s="3447"/>
      <c r="IDX10" s="3447"/>
      <c r="IDY10" s="3447"/>
      <c r="IDZ10" s="3447"/>
      <c r="IEA10" s="3447"/>
      <c r="IEB10" s="3447"/>
      <c r="IEC10" s="3447"/>
      <c r="IED10" s="3447"/>
      <c r="IEE10" s="3447"/>
      <c r="IEF10" s="3447"/>
      <c r="IEG10" s="3447"/>
      <c r="IEH10" s="3447"/>
      <c r="IEI10" s="3447"/>
      <c r="IEJ10" s="3447"/>
      <c r="IEK10" s="3447"/>
      <c r="IEL10" s="3447"/>
      <c r="IEM10" s="3447"/>
      <c r="IEN10" s="3447"/>
      <c r="IEO10" s="3447"/>
      <c r="IEP10" s="3447"/>
      <c r="IEQ10" s="3447"/>
      <c r="IER10" s="3447"/>
      <c r="IES10" s="3447"/>
      <c r="IET10" s="3447"/>
      <c r="IEU10" s="3447"/>
      <c r="IEV10" s="3447"/>
      <c r="IEW10" s="3447"/>
      <c r="IEX10" s="3447"/>
      <c r="IEY10" s="3447"/>
      <c r="IEZ10" s="3447"/>
      <c r="IFA10" s="3447"/>
      <c r="IFB10" s="3447"/>
      <c r="IFC10" s="3447"/>
      <c r="IFD10" s="3447"/>
      <c r="IFE10" s="3447"/>
      <c r="IFF10" s="3447"/>
      <c r="IFG10" s="3447"/>
      <c r="IFH10" s="3447"/>
      <c r="IFI10" s="3447"/>
      <c r="IFJ10" s="3447"/>
      <c r="IFK10" s="3447"/>
      <c r="IFL10" s="3447"/>
      <c r="IFM10" s="3447"/>
      <c r="IFN10" s="3447"/>
      <c r="IFO10" s="3447"/>
      <c r="IFP10" s="3447"/>
      <c r="IFQ10" s="3447"/>
      <c r="IFR10" s="3447"/>
      <c r="IFS10" s="3447"/>
      <c r="IFT10" s="3447"/>
      <c r="IFU10" s="3447"/>
      <c r="IFV10" s="3447"/>
      <c r="IFW10" s="3447"/>
      <c r="IFX10" s="3447"/>
      <c r="IFY10" s="3447"/>
      <c r="IFZ10" s="3447"/>
      <c r="IGA10" s="3447"/>
      <c r="IGB10" s="3447"/>
      <c r="IGC10" s="3447"/>
      <c r="IGD10" s="3447"/>
      <c r="IGE10" s="3447"/>
      <c r="IGF10" s="3447"/>
      <c r="IGG10" s="3447"/>
      <c r="IGH10" s="3447"/>
      <c r="IGI10" s="3447"/>
      <c r="IGJ10" s="3447"/>
      <c r="IGK10" s="3447"/>
      <c r="IGL10" s="3447"/>
      <c r="IGM10" s="3447"/>
      <c r="IGN10" s="3447"/>
      <c r="IGO10" s="3447"/>
      <c r="IGP10" s="3447"/>
      <c r="IGQ10" s="3447"/>
      <c r="IGR10" s="3447"/>
      <c r="IGS10" s="3447"/>
      <c r="IGT10" s="3447"/>
      <c r="IGU10" s="3447"/>
      <c r="IGV10" s="3447"/>
      <c r="IGW10" s="3447"/>
      <c r="IGX10" s="3447"/>
      <c r="IGY10" s="3447"/>
      <c r="IGZ10" s="3447"/>
      <c r="IHA10" s="3447"/>
      <c r="IHB10" s="3447"/>
      <c r="IHC10" s="3447"/>
      <c r="IHD10" s="3447"/>
      <c r="IHE10" s="3447"/>
      <c r="IHF10" s="3447"/>
      <c r="IHG10" s="3447"/>
      <c r="IHH10" s="3447"/>
      <c r="IHI10" s="3447"/>
      <c r="IHJ10" s="3447"/>
      <c r="IHK10" s="3447"/>
      <c r="IHL10" s="3447"/>
      <c r="IHM10" s="3447"/>
      <c r="IHN10" s="3447"/>
      <c r="IHO10" s="3447"/>
      <c r="IHP10" s="3447"/>
      <c r="IHQ10" s="3447"/>
      <c r="IHR10" s="3447"/>
      <c r="IHS10" s="3447"/>
      <c r="IHT10" s="3447"/>
      <c r="IHU10" s="3447"/>
      <c r="IHV10" s="3447"/>
      <c r="IHW10" s="3447"/>
      <c r="IHX10" s="3447"/>
      <c r="IHY10" s="3447"/>
      <c r="IHZ10" s="3447"/>
      <c r="IIA10" s="3447"/>
      <c r="IIB10" s="3447"/>
      <c r="IIC10" s="3447"/>
      <c r="IID10" s="3447"/>
      <c r="IIE10" s="3447"/>
      <c r="IIF10" s="3447"/>
      <c r="IIG10" s="3447"/>
      <c r="IIH10" s="3447"/>
      <c r="III10" s="3447"/>
      <c r="IIJ10" s="3447"/>
      <c r="IIK10" s="3447"/>
      <c r="IIL10" s="3447"/>
      <c r="IIM10" s="3447"/>
      <c r="IIN10" s="3447"/>
      <c r="IIO10" s="3447"/>
      <c r="IIP10" s="3447"/>
      <c r="IIQ10" s="3447"/>
      <c r="IIR10" s="3447"/>
      <c r="IIS10" s="3447"/>
      <c r="IIT10" s="3447"/>
      <c r="IIU10" s="3447"/>
      <c r="IIV10" s="3447"/>
      <c r="IIW10" s="3447"/>
      <c r="IIX10" s="3447"/>
      <c r="IIY10" s="3447"/>
      <c r="IIZ10" s="3447"/>
      <c r="IJA10" s="3447"/>
      <c r="IJB10" s="3447"/>
      <c r="IJC10" s="3447"/>
      <c r="IJD10" s="3447"/>
      <c r="IJE10" s="3447"/>
      <c r="IJF10" s="3447"/>
      <c r="IJG10" s="3447"/>
      <c r="IJH10" s="3447"/>
      <c r="IJI10" s="3447"/>
      <c r="IJJ10" s="3447"/>
      <c r="IJK10" s="3447"/>
      <c r="IJL10" s="3447"/>
      <c r="IJM10" s="3447"/>
      <c r="IJN10" s="3447"/>
      <c r="IJO10" s="3447"/>
      <c r="IJP10" s="3447"/>
      <c r="IJQ10" s="3447"/>
      <c r="IJR10" s="3447"/>
      <c r="IJS10" s="3447"/>
      <c r="IJT10" s="3447"/>
      <c r="IJU10" s="3447"/>
      <c r="IJV10" s="3447"/>
      <c r="IJW10" s="3447"/>
      <c r="IJX10" s="3447"/>
      <c r="IJY10" s="3447"/>
      <c r="IJZ10" s="3447"/>
      <c r="IKA10" s="3447"/>
      <c r="IKB10" s="3447"/>
      <c r="IKC10" s="3447"/>
      <c r="IKD10" s="3447"/>
      <c r="IKE10" s="3447"/>
      <c r="IKF10" s="3447"/>
      <c r="IKG10" s="3447"/>
      <c r="IKH10" s="3447"/>
      <c r="IKI10" s="3447"/>
      <c r="IKJ10" s="3447"/>
      <c r="IKK10" s="3447"/>
      <c r="IKL10" s="3447"/>
      <c r="IKM10" s="3447"/>
      <c r="IKN10" s="3447"/>
      <c r="IKO10" s="3447"/>
      <c r="IKP10" s="3447"/>
      <c r="IKQ10" s="3447"/>
      <c r="IKR10" s="3447"/>
      <c r="IKS10" s="3447"/>
      <c r="IKT10" s="3447"/>
      <c r="IKU10" s="3447"/>
      <c r="IKV10" s="3447"/>
      <c r="IKW10" s="3447"/>
      <c r="IKX10" s="3447"/>
      <c r="IKY10" s="3447"/>
      <c r="IKZ10" s="3447"/>
      <c r="ILA10" s="3447"/>
      <c r="ILB10" s="3447"/>
      <c r="ILC10" s="3447"/>
      <c r="ILD10" s="3447"/>
      <c r="ILE10" s="3447"/>
      <c r="ILF10" s="3447"/>
      <c r="ILG10" s="3447"/>
      <c r="ILH10" s="3447"/>
      <c r="ILI10" s="3447"/>
      <c r="ILJ10" s="3447"/>
      <c r="ILK10" s="3447"/>
      <c r="ILL10" s="3447"/>
      <c r="ILM10" s="3447"/>
      <c r="ILN10" s="3447"/>
      <c r="ILO10" s="3447"/>
      <c r="ILP10" s="3447"/>
      <c r="ILQ10" s="3447"/>
      <c r="ILR10" s="3447"/>
      <c r="ILS10" s="3447"/>
      <c r="ILT10" s="3447"/>
      <c r="ILU10" s="3447"/>
      <c r="ILV10" s="3447"/>
      <c r="ILW10" s="3447"/>
      <c r="ILX10" s="3447"/>
      <c r="ILY10" s="3447"/>
      <c r="ILZ10" s="3447"/>
      <c r="IMA10" s="3447"/>
      <c r="IMB10" s="3447"/>
      <c r="IMC10" s="3447"/>
      <c r="IMD10" s="3447"/>
      <c r="IME10" s="3447"/>
      <c r="IMF10" s="3447"/>
      <c r="IMG10" s="3447"/>
      <c r="IMH10" s="3447"/>
      <c r="IMI10" s="3447"/>
      <c r="IMJ10" s="3447"/>
      <c r="IMK10" s="3447"/>
      <c r="IML10" s="3447"/>
      <c r="IMM10" s="3447"/>
      <c r="IMN10" s="3447"/>
      <c r="IMO10" s="3447"/>
      <c r="IMP10" s="3447"/>
      <c r="IMQ10" s="3447"/>
      <c r="IMR10" s="3447"/>
      <c r="IMS10" s="3447"/>
      <c r="IMT10" s="3447"/>
      <c r="IMU10" s="3447"/>
      <c r="IMV10" s="3447"/>
      <c r="IMW10" s="3447"/>
      <c r="IMX10" s="3447"/>
      <c r="IMY10" s="3447"/>
      <c r="IMZ10" s="3447"/>
      <c r="INA10" s="3447"/>
      <c r="INB10" s="3447"/>
      <c r="INC10" s="3447"/>
      <c r="IND10" s="3447"/>
      <c r="INE10" s="3447"/>
      <c r="INF10" s="3447"/>
      <c r="ING10" s="3447"/>
      <c r="INH10" s="3447"/>
      <c r="INI10" s="3447"/>
      <c r="INJ10" s="3447"/>
      <c r="INK10" s="3447"/>
      <c r="INL10" s="3447"/>
      <c r="INM10" s="3447"/>
      <c r="INN10" s="3447"/>
      <c r="INO10" s="3447"/>
      <c r="INP10" s="3447"/>
      <c r="INQ10" s="3447"/>
      <c r="INR10" s="3447"/>
      <c r="INS10" s="3447"/>
      <c r="INT10" s="3447"/>
      <c r="INU10" s="3447"/>
      <c r="INV10" s="3447"/>
      <c r="INW10" s="3447"/>
      <c r="INX10" s="3447"/>
      <c r="INY10" s="3447"/>
      <c r="INZ10" s="3447"/>
      <c r="IOA10" s="3447"/>
      <c r="IOB10" s="3447"/>
      <c r="IOC10" s="3447"/>
      <c r="IOD10" s="3447"/>
      <c r="IOE10" s="3447"/>
      <c r="IOF10" s="3447"/>
      <c r="IOG10" s="3447"/>
      <c r="IOH10" s="3447"/>
      <c r="IOI10" s="3447"/>
      <c r="IOJ10" s="3447"/>
      <c r="IOK10" s="3447"/>
      <c r="IOL10" s="3447"/>
      <c r="IOM10" s="3447"/>
      <c r="ION10" s="3447"/>
      <c r="IOO10" s="3447"/>
      <c r="IOP10" s="3447"/>
      <c r="IOQ10" s="3447"/>
      <c r="IOR10" s="3447"/>
      <c r="IOS10" s="3447"/>
      <c r="IOT10" s="3447"/>
      <c r="IOU10" s="3447"/>
      <c r="IOV10" s="3447"/>
      <c r="IOW10" s="3447"/>
      <c r="IOX10" s="3447"/>
      <c r="IOY10" s="3447"/>
      <c r="IOZ10" s="3447"/>
      <c r="IPA10" s="3447"/>
      <c r="IPB10" s="3447"/>
      <c r="IPC10" s="3447"/>
      <c r="IPD10" s="3447"/>
      <c r="IPE10" s="3447"/>
      <c r="IPF10" s="3447"/>
      <c r="IPG10" s="3447"/>
      <c r="IPH10" s="3447"/>
      <c r="IPI10" s="3447"/>
      <c r="IPJ10" s="3447"/>
      <c r="IPK10" s="3447"/>
      <c r="IPL10" s="3447"/>
      <c r="IPM10" s="3447"/>
      <c r="IPN10" s="3447"/>
      <c r="IPO10" s="3447"/>
      <c r="IPP10" s="3447"/>
      <c r="IPQ10" s="3447"/>
      <c r="IPR10" s="3447"/>
      <c r="IPS10" s="3447"/>
      <c r="IPT10" s="3447"/>
      <c r="IPU10" s="3447"/>
      <c r="IPV10" s="3447"/>
      <c r="IPW10" s="3447"/>
      <c r="IPX10" s="3447"/>
      <c r="IPY10" s="3447"/>
      <c r="IPZ10" s="3447"/>
      <c r="IQA10" s="3447"/>
      <c r="IQB10" s="3447"/>
      <c r="IQC10" s="3447"/>
      <c r="IQD10" s="3447"/>
      <c r="IQE10" s="3447"/>
      <c r="IQF10" s="3447"/>
      <c r="IQG10" s="3447"/>
      <c r="IQH10" s="3447"/>
      <c r="IQI10" s="3447"/>
      <c r="IQJ10" s="3447"/>
      <c r="IQK10" s="3447"/>
      <c r="IQL10" s="3447"/>
      <c r="IQM10" s="3447"/>
      <c r="IQN10" s="3447"/>
      <c r="IQO10" s="3447"/>
      <c r="IQP10" s="3447"/>
      <c r="IQQ10" s="3447"/>
      <c r="IQR10" s="3447"/>
      <c r="IQS10" s="3447"/>
      <c r="IQT10" s="3447"/>
      <c r="IQU10" s="3447"/>
      <c r="IQV10" s="3447"/>
      <c r="IQW10" s="3447"/>
      <c r="IQX10" s="3447"/>
      <c r="IQY10" s="3447"/>
      <c r="IQZ10" s="3447"/>
      <c r="IRA10" s="3447"/>
      <c r="IRB10" s="3447"/>
      <c r="IRC10" s="3447"/>
      <c r="IRD10" s="3447"/>
      <c r="IRE10" s="3447"/>
      <c r="IRF10" s="3447"/>
      <c r="IRG10" s="3447"/>
      <c r="IRH10" s="3447"/>
      <c r="IRI10" s="3447"/>
      <c r="IRJ10" s="3447"/>
      <c r="IRK10" s="3447"/>
      <c r="IRL10" s="3447"/>
      <c r="IRM10" s="3447"/>
      <c r="IRN10" s="3447"/>
      <c r="IRO10" s="3447"/>
      <c r="IRP10" s="3447"/>
      <c r="IRQ10" s="3447"/>
      <c r="IRR10" s="3447"/>
      <c r="IRS10" s="3447"/>
      <c r="IRT10" s="3447"/>
      <c r="IRU10" s="3447"/>
      <c r="IRV10" s="3447"/>
      <c r="IRW10" s="3447"/>
      <c r="IRX10" s="3447"/>
      <c r="IRY10" s="3447"/>
      <c r="IRZ10" s="3447"/>
      <c r="ISA10" s="3447"/>
      <c r="ISB10" s="3447"/>
      <c r="ISC10" s="3447"/>
      <c r="ISD10" s="3447"/>
      <c r="ISE10" s="3447"/>
      <c r="ISF10" s="3447"/>
      <c r="ISG10" s="3447"/>
      <c r="ISH10" s="3447"/>
      <c r="ISI10" s="3447"/>
      <c r="ISJ10" s="3447"/>
      <c r="ISK10" s="3447"/>
      <c r="ISL10" s="3447"/>
      <c r="ISM10" s="3447"/>
      <c r="ISN10" s="3447"/>
      <c r="ISO10" s="3447"/>
      <c r="ISP10" s="3447"/>
      <c r="ISQ10" s="3447"/>
      <c r="ISR10" s="3447"/>
      <c r="ISS10" s="3447"/>
      <c r="IST10" s="3447"/>
      <c r="ISU10" s="3447"/>
      <c r="ISV10" s="3447"/>
      <c r="ISW10" s="3447"/>
      <c r="ISX10" s="3447"/>
      <c r="ISY10" s="3447"/>
      <c r="ISZ10" s="3447"/>
      <c r="ITA10" s="3447"/>
      <c r="ITB10" s="3447"/>
      <c r="ITC10" s="3447"/>
      <c r="ITD10" s="3447"/>
      <c r="ITE10" s="3447"/>
      <c r="ITF10" s="3447"/>
      <c r="ITG10" s="3447"/>
      <c r="ITH10" s="3447"/>
      <c r="ITI10" s="3447"/>
      <c r="ITJ10" s="3447"/>
      <c r="ITK10" s="3447"/>
      <c r="ITL10" s="3447"/>
      <c r="ITM10" s="3447"/>
      <c r="ITN10" s="3447"/>
      <c r="ITO10" s="3447"/>
      <c r="ITP10" s="3447"/>
      <c r="ITQ10" s="3447"/>
      <c r="ITR10" s="3447"/>
      <c r="ITS10" s="3447"/>
      <c r="ITT10" s="3447"/>
      <c r="ITU10" s="3447"/>
      <c r="ITV10" s="3447"/>
      <c r="ITW10" s="3447"/>
      <c r="ITX10" s="3447"/>
      <c r="ITY10" s="3447"/>
      <c r="ITZ10" s="3447"/>
      <c r="IUA10" s="3447"/>
      <c r="IUB10" s="3447"/>
      <c r="IUC10" s="3447"/>
      <c r="IUD10" s="3447"/>
      <c r="IUE10" s="3447"/>
      <c r="IUF10" s="3447"/>
      <c r="IUG10" s="3447"/>
      <c r="IUH10" s="3447"/>
      <c r="IUI10" s="3447"/>
      <c r="IUJ10" s="3447"/>
      <c r="IUK10" s="3447"/>
      <c r="IUL10" s="3447"/>
      <c r="IUM10" s="3447"/>
      <c r="IUN10" s="3447"/>
      <c r="IUO10" s="3447"/>
      <c r="IUP10" s="3447"/>
      <c r="IUQ10" s="3447"/>
      <c r="IUR10" s="3447"/>
      <c r="IUS10" s="3447"/>
      <c r="IUT10" s="3447"/>
      <c r="IUU10" s="3447"/>
      <c r="IUV10" s="3447"/>
      <c r="IUW10" s="3447"/>
      <c r="IUX10" s="3447"/>
      <c r="IUY10" s="3447"/>
      <c r="IUZ10" s="3447"/>
      <c r="IVA10" s="3447"/>
      <c r="IVB10" s="3447"/>
      <c r="IVC10" s="3447"/>
      <c r="IVD10" s="3447"/>
      <c r="IVE10" s="3447"/>
      <c r="IVF10" s="3447"/>
      <c r="IVG10" s="3447"/>
      <c r="IVH10" s="3447"/>
      <c r="IVI10" s="3447"/>
      <c r="IVJ10" s="3447"/>
      <c r="IVK10" s="3447"/>
      <c r="IVL10" s="3447"/>
      <c r="IVM10" s="3447"/>
      <c r="IVN10" s="3447"/>
      <c r="IVO10" s="3447"/>
      <c r="IVP10" s="3447"/>
      <c r="IVQ10" s="3447"/>
      <c r="IVR10" s="3447"/>
      <c r="IVS10" s="3447"/>
      <c r="IVT10" s="3447"/>
      <c r="IVU10" s="3447"/>
      <c r="IVV10" s="3447"/>
      <c r="IVW10" s="3447"/>
      <c r="IVX10" s="3447"/>
      <c r="IVY10" s="3447"/>
      <c r="IVZ10" s="3447"/>
      <c r="IWA10" s="3447"/>
      <c r="IWB10" s="3447"/>
      <c r="IWC10" s="3447"/>
      <c r="IWD10" s="3447"/>
      <c r="IWE10" s="3447"/>
      <c r="IWF10" s="3447"/>
      <c r="IWG10" s="3447"/>
      <c r="IWH10" s="3447"/>
      <c r="IWI10" s="3447"/>
      <c r="IWJ10" s="3447"/>
      <c r="IWK10" s="3447"/>
      <c r="IWL10" s="3447"/>
      <c r="IWM10" s="3447"/>
      <c r="IWN10" s="3447"/>
      <c r="IWO10" s="3447"/>
      <c r="IWP10" s="3447"/>
      <c r="IWQ10" s="3447"/>
      <c r="IWR10" s="3447"/>
      <c r="IWS10" s="3447"/>
      <c r="IWT10" s="3447"/>
      <c r="IWU10" s="3447"/>
      <c r="IWV10" s="3447"/>
      <c r="IWW10" s="3447"/>
      <c r="IWX10" s="3447"/>
      <c r="IWY10" s="3447"/>
      <c r="IWZ10" s="3447"/>
      <c r="IXA10" s="3447"/>
      <c r="IXB10" s="3447"/>
      <c r="IXC10" s="3447"/>
      <c r="IXD10" s="3447"/>
      <c r="IXE10" s="3447"/>
      <c r="IXF10" s="3447"/>
      <c r="IXG10" s="3447"/>
      <c r="IXH10" s="3447"/>
      <c r="IXI10" s="3447"/>
      <c r="IXJ10" s="3447"/>
      <c r="IXK10" s="3447"/>
      <c r="IXL10" s="3447"/>
      <c r="IXM10" s="3447"/>
      <c r="IXN10" s="3447"/>
      <c r="IXO10" s="3447"/>
      <c r="IXP10" s="3447"/>
      <c r="IXQ10" s="3447"/>
      <c r="IXR10" s="3447"/>
      <c r="IXS10" s="3447"/>
      <c r="IXT10" s="3447"/>
      <c r="IXU10" s="3447"/>
      <c r="IXV10" s="3447"/>
      <c r="IXW10" s="3447"/>
      <c r="IXX10" s="3447"/>
      <c r="IXY10" s="3447"/>
      <c r="IXZ10" s="3447"/>
      <c r="IYA10" s="3447"/>
      <c r="IYB10" s="3447"/>
      <c r="IYC10" s="3447"/>
      <c r="IYD10" s="3447"/>
      <c r="IYE10" s="3447"/>
      <c r="IYF10" s="3447"/>
      <c r="IYG10" s="3447"/>
      <c r="IYH10" s="3447"/>
      <c r="IYI10" s="3447"/>
      <c r="IYJ10" s="3447"/>
      <c r="IYK10" s="3447"/>
      <c r="IYL10" s="3447"/>
      <c r="IYM10" s="3447"/>
      <c r="IYN10" s="3447"/>
      <c r="IYO10" s="3447"/>
      <c r="IYP10" s="3447"/>
      <c r="IYQ10" s="3447"/>
      <c r="IYR10" s="3447"/>
      <c r="IYS10" s="3447"/>
      <c r="IYT10" s="3447"/>
      <c r="IYU10" s="3447"/>
      <c r="IYV10" s="3447"/>
      <c r="IYW10" s="3447"/>
      <c r="IYX10" s="3447"/>
      <c r="IYY10" s="3447"/>
      <c r="IYZ10" s="3447"/>
      <c r="IZA10" s="3447"/>
      <c r="IZB10" s="3447"/>
      <c r="IZC10" s="3447"/>
      <c r="IZD10" s="3447"/>
      <c r="IZE10" s="3447"/>
      <c r="IZF10" s="3447"/>
      <c r="IZG10" s="3447"/>
      <c r="IZH10" s="3447"/>
      <c r="IZI10" s="3447"/>
      <c r="IZJ10" s="3447"/>
      <c r="IZK10" s="3447"/>
      <c r="IZL10" s="3447"/>
      <c r="IZM10" s="3447"/>
      <c r="IZN10" s="3447"/>
      <c r="IZO10" s="3447"/>
      <c r="IZP10" s="3447"/>
      <c r="IZQ10" s="3447"/>
      <c r="IZR10" s="3447"/>
      <c r="IZS10" s="3447"/>
      <c r="IZT10" s="3447"/>
      <c r="IZU10" s="3447"/>
      <c r="IZV10" s="3447"/>
      <c r="IZW10" s="3447"/>
      <c r="IZX10" s="3447"/>
      <c r="IZY10" s="3447"/>
      <c r="IZZ10" s="3447"/>
      <c r="JAA10" s="3447"/>
      <c r="JAB10" s="3447"/>
      <c r="JAC10" s="3447"/>
      <c r="JAD10" s="3447"/>
      <c r="JAE10" s="3447"/>
      <c r="JAF10" s="3447"/>
      <c r="JAG10" s="3447"/>
      <c r="JAH10" s="3447"/>
      <c r="JAI10" s="3447"/>
      <c r="JAJ10" s="3447"/>
      <c r="JAK10" s="3447"/>
      <c r="JAL10" s="3447"/>
      <c r="JAM10" s="3447"/>
      <c r="JAN10" s="3447"/>
      <c r="JAO10" s="3447"/>
      <c r="JAP10" s="3447"/>
      <c r="JAQ10" s="3447"/>
      <c r="JAR10" s="3447"/>
      <c r="JAS10" s="3447"/>
      <c r="JAT10" s="3447"/>
      <c r="JAU10" s="3447"/>
      <c r="JAV10" s="3447"/>
      <c r="JAW10" s="3447"/>
      <c r="JAX10" s="3447"/>
      <c r="JAY10" s="3447"/>
      <c r="JAZ10" s="3447"/>
      <c r="JBA10" s="3447"/>
      <c r="JBB10" s="3447"/>
      <c r="JBC10" s="3447"/>
      <c r="JBD10" s="3447"/>
      <c r="JBE10" s="3447"/>
      <c r="JBF10" s="3447"/>
      <c r="JBG10" s="3447"/>
      <c r="JBH10" s="3447"/>
      <c r="JBI10" s="3447"/>
      <c r="JBJ10" s="3447"/>
      <c r="JBK10" s="3447"/>
      <c r="JBL10" s="3447"/>
      <c r="JBM10" s="3447"/>
      <c r="JBN10" s="3447"/>
      <c r="JBO10" s="3447"/>
      <c r="JBP10" s="3447"/>
      <c r="JBQ10" s="3447"/>
      <c r="JBR10" s="3447"/>
      <c r="JBS10" s="3447"/>
      <c r="JBT10" s="3447"/>
      <c r="JBU10" s="3447"/>
      <c r="JBV10" s="3447"/>
      <c r="JBW10" s="3447"/>
      <c r="JBX10" s="3447"/>
      <c r="JBY10" s="3447"/>
      <c r="JBZ10" s="3447"/>
      <c r="JCA10" s="3447"/>
      <c r="JCB10" s="3447"/>
      <c r="JCC10" s="3447"/>
      <c r="JCD10" s="3447"/>
      <c r="JCE10" s="3447"/>
      <c r="JCF10" s="3447"/>
      <c r="JCG10" s="3447"/>
      <c r="JCH10" s="3447"/>
      <c r="JCI10" s="3447"/>
      <c r="JCJ10" s="3447"/>
      <c r="JCK10" s="3447"/>
      <c r="JCL10" s="3447"/>
      <c r="JCM10" s="3447"/>
      <c r="JCN10" s="3447"/>
      <c r="JCO10" s="3447"/>
      <c r="JCP10" s="3447"/>
      <c r="JCQ10" s="3447"/>
      <c r="JCR10" s="3447"/>
      <c r="JCS10" s="3447"/>
      <c r="JCT10" s="3447"/>
      <c r="JCU10" s="3447"/>
      <c r="JCV10" s="3447"/>
      <c r="JCW10" s="3447"/>
      <c r="JCX10" s="3447"/>
      <c r="JCY10" s="3447"/>
      <c r="JCZ10" s="3447"/>
      <c r="JDA10" s="3447"/>
      <c r="JDB10" s="3447"/>
      <c r="JDC10" s="3447"/>
      <c r="JDD10" s="3447"/>
      <c r="JDE10" s="3447"/>
      <c r="JDF10" s="3447"/>
      <c r="JDG10" s="3447"/>
      <c r="JDH10" s="3447"/>
      <c r="JDI10" s="3447"/>
      <c r="JDJ10" s="3447"/>
      <c r="JDK10" s="3447"/>
      <c r="JDL10" s="3447"/>
      <c r="JDM10" s="3447"/>
      <c r="JDN10" s="3447"/>
      <c r="JDO10" s="3447"/>
      <c r="JDP10" s="3447"/>
      <c r="JDQ10" s="3447"/>
      <c r="JDR10" s="3447"/>
      <c r="JDS10" s="3447"/>
      <c r="JDT10" s="3447"/>
      <c r="JDU10" s="3447"/>
      <c r="JDV10" s="3447"/>
      <c r="JDW10" s="3447"/>
      <c r="JDX10" s="3447"/>
      <c r="JDY10" s="3447"/>
      <c r="JDZ10" s="3447"/>
      <c r="JEA10" s="3447"/>
      <c r="JEB10" s="3447"/>
      <c r="JEC10" s="3447"/>
      <c r="JED10" s="3447"/>
      <c r="JEE10" s="3447"/>
      <c r="JEF10" s="3447"/>
      <c r="JEG10" s="3447"/>
      <c r="JEH10" s="3447"/>
      <c r="JEI10" s="3447"/>
      <c r="JEJ10" s="3447"/>
      <c r="JEK10" s="3447"/>
      <c r="JEL10" s="3447"/>
      <c r="JEM10" s="3447"/>
      <c r="JEN10" s="3447"/>
      <c r="JEO10" s="3447"/>
      <c r="JEP10" s="3447"/>
      <c r="JEQ10" s="3447"/>
      <c r="JER10" s="3447"/>
      <c r="JES10" s="3447"/>
      <c r="JET10" s="3447"/>
      <c r="JEU10" s="3447"/>
      <c r="JEV10" s="3447"/>
      <c r="JEW10" s="3447"/>
      <c r="JEX10" s="3447"/>
      <c r="JEY10" s="3447"/>
      <c r="JEZ10" s="3447"/>
      <c r="JFA10" s="3447"/>
      <c r="JFB10" s="3447"/>
      <c r="JFC10" s="3447"/>
      <c r="JFD10" s="3447"/>
      <c r="JFE10" s="3447"/>
      <c r="JFF10" s="3447"/>
      <c r="JFG10" s="3447"/>
      <c r="JFH10" s="3447"/>
      <c r="JFI10" s="3447"/>
      <c r="JFJ10" s="3447"/>
      <c r="JFK10" s="3447"/>
      <c r="JFL10" s="3447"/>
      <c r="JFM10" s="3447"/>
      <c r="JFN10" s="3447"/>
      <c r="JFO10" s="3447"/>
      <c r="JFP10" s="3447"/>
      <c r="JFQ10" s="3447"/>
      <c r="JFR10" s="3447"/>
      <c r="JFS10" s="3447"/>
      <c r="JFT10" s="3447"/>
      <c r="JFU10" s="3447"/>
      <c r="JFV10" s="3447"/>
      <c r="JFW10" s="3447"/>
      <c r="JFX10" s="3447"/>
      <c r="JFY10" s="3447"/>
      <c r="JFZ10" s="3447"/>
      <c r="JGA10" s="3447"/>
      <c r="JGB10" s="3447"/>
      <c r="JGC10" s="3447"/>
      <c r="JGD10" s="3447"/>
      <c r="JGE10" s="3447"/>
      <c r="JGF10" s="3447"/>
      <c r="JGG10" s="3447"/>
      <c r="JGH10" s="3447"/>
      <c r="JGI10" s="3447"/>
      <c r="JGJ10" s="3447"/>
      <c r="JGK10" s="3447"/>
      <c r="JGL10" s="3447"/>
      <c r="JGM10" s="3447"/>
      <c r="JGN10" s="3447"/>
      <c r="JGO10" s="3447"/>
      <c r="JGP10" s="3447"/>
      <c r="JGQ10" s="3447"/>
      <c r="JGR10" s="3447"/>
      <c r="JGS10" s="3447"/>
      <c r="JGT10" s="3447"/>
      <c r="JGU10" s="3447"/>
      <c r="JGV10" s="3447"/>
      <c r="JGW10" s="3447"/>
      <c r="JGX10" s="3447"/>
      <c r="JGY10" s="3447"/>
      <c r="JGZ10" s="3447"/>
      <c r="JHA10" s="3447"/>
      <c r="JHB10" s="3447"/>
      <c r="JHC10" s="3447"/>
      <c r="JHD10" s="3447"/>
      <c r="JHE10" s="3447"/>
      <c r="JHF10" s="3447"/>
      <c r="JHG10" s="3447"/>
      <c r="JHH10" s="3447"/>
      <c r="JHI10" s="3447"/>
      <c r="JHJ10" s="3447"/>
      <c r="JHK10" s="3447"/>
      <c r="JHL10" s="3447"/>
      <c r="JHM10" s="3447"/>
      <c r="JHN10" s="3447"/>
      <c r="JHO10" s="3447"/>
      <c r="JHP10" s="3447"/>
      <c r="JHQ10" s="3447"/>
      <c r="JHR10" s="3447"/>
      <c r="JHS10" s="3447"/>
      <c r="JHT10" s="3447"/>
      <c r="JHU10" s="3447"/>
      <c r="JHV10" s="3447"/>
      <c r="JHW10" s="3447"/>
      <c r="JHX10" s="3447"/>
      <c r="JHY10" s="3447"/>
      <c r="JHZ10" s="3447"/>
      <c r="JIA10" s="3447"/>
      <c r="JIB10" s="3447"/>
      <c r="JIC10" s="3447"/>
      <c r="JID10" s="3447"/>
      <c r="JIE10" s="3447"/>
      <c r="JIF10" s="3447"/>
      <c r="JIG10" s="3447"/>
      <c r="JIH10" s="3447"/>
      <c r="JII10" s="3447"/>
      <c r="JIJ10" s="3447"/>
      <c r="JIK10" s="3447"/>
      <c r="JIL10" s="3447"/>
      <c r="JIM10" s="3447"/>
      <c r="JIN10" s="3447"/>
      <c r="JIO10" s="3447"/>
      <c r="JIP10" s="3447"/>
      <c r="JIQ10" s="3447"/>
      <c r="JIR10" s="3447"/>
      <c r="JIS10" s="3447"/>
      <c r="JIT10" s="3447"/>
      <c r="JIU10" s="3447"/>
      <c r="JIV10" s="3447"/>
      <c r="JIW10" s="3447"/>
      <c r="JIX10" s="3447"/>
      <c r="JIY10" s="3447"/>
      <c r="JIZ10" s="3447"/>
      <c r="JJA10" s="3447"/>
      <c r="JJB10" s="3447"/>
      <c r="JJC10" s="3447"/>
      <c r="JJD10" s="3447"/>
      <c r="JJE10" s="3447"/>
      <c r="JJF10" s="3447"/>
      <c r="JJG10" s="3447"/>
      <c r="JJH10" s="3447"/>
      <c r="JJI10" s="3447"/>
      <c r="JJJ10" s="3447"/>
      <c r="JJK10" s="3447"/>
      <c r="JJL10" s="3447"/>
      <c r="JJM10" s="3447"/>
      <c r="JJN10" s="3447"/>
      <c r="JJO10" s="3447"/>
      <c r="JJP10" s="3447"/>
      <c r="JJQ10" s="3447"/>
      <c r="JJR10" s="3447"/>
      <c r="JJS10" s="3447"/>
      <c r="JJT10" s="3447"/>
      <c r="JJU10" s="3447"/>
      <c r="JJV10" s="3447"/>
      <c r="JJW10" s="3447"/>
      <c r="JJX10" s="3447"/>
      <c r="JJY10" s="3447"/>
      <c r="JJZ10" s="3447"/>
      <c r="JKA10" s="3447"/>
      <c r="JKB10" s="3447"/>
      <c r="JKC10" s="3447"/>
      <c r="JKD10" s="3447"/>
      <c r="JKE10" s="3447"/>
      <c r="JKF10" s="3447"/>
      <c r="JKG10" s="3447"/>
      <c r="JKH10" s="3447"/>
      <c r="JKI10" s="3447"/>
      <c r="JKJ10" s="3447"/>
      <c r="JKK10" s="3447"/>
      <c r="JKL10" s="3447"/>
      <c r="JKM10" s="3447"/>
      <c r="JKN10" s="3447"/>
      <c r="JKO10" s="3447"/>
      <c r="JKP10" s="3447"/>
      <c r="JKQ10" s="3447"/>
      <c r="JKR10" s="3447"/>
      <c r="JKS10" s="3447"/>
      <c r="JKT10" s="3447"/>
      <c r="JKU10" s="3447"/>
      <c r="JKV10" s="3447"/>
      <c r="JKW10" s="3447"/>
      <c r="JKX10" s="3447"/>
      <c r="JKY10" s="3447"/>
      <c r="JKZ10" s="3447"/>
      <c r="JLA10" s="3447"/>
      <c r="JLB10" s="3447"/>
      <c r="JLC10" s="3447"/>
      <c r="JLD10" s="3447"/>
      <c r="JLE10" s="3447"/>
      <c r="JLF10" s="3447"/>
      <c r="JLG10" s="3447"/>
      <c r="JLH10" s="3447"/>
      <c r="JLI10" s="3447"/>
      <c r="JLJ10" s="3447"/>
      <c r="JLK10" s="3447"/>
      <c r="JLL10" s="3447"/>
      <c r="JLM10" s="3447"/>
      <c r="JLN10" s="3447"/>
      <c r="JLO10" s="3447"/>
      <c r="JLP10" s="3447"/>
      <c r="JLQ10" s="3447"/>
      <c r="JLR10" s="3447"/>
      <c r="JLS10" s="3447"/>
      <c r="JLT10" s="3447"/>
      <c r="JLU10" s="3447"/>
      <c r="JLV10" s="3447"/>
      <c r="JLW10" s="3447"/>
      <c r="JLX10" s="3447"/>
      <c r="JLY10" s="3447"/>
      <c r="JLZ10" s="3447"/>
      <c r="JMA10" s="3447"/>
      <c r="JMB10" s="3447"/>
      <c r="JMC10" s="3447"/>
      <c r="JMD10" s="3447"/>
      <c r="JME10" s="3447"/>
      <c r="JMF10" s="3447"/>
      <c r="JMG10" s="3447"/>
      <c r="JMH10" s="3447"/>
      <c r="JMI10" s="3447"/>
      <c r="JMJ10" s="3447"/>
      <c r="JMK10" s="3447"/>
      <c r="JML10" s="3447"/>
      <c r="JMM10" s="3447"/>
      <c r="JMN10" s="3447"/>
      <c r="JMO10" s="3447"/>
      <c r="JMP10" s="3447"/>
      <c r="JMQ10" s="3447"/>
      <c r="JMR10" s="3447"/>
      <c r="JMS10" s="3447"/>
      <c r="JMT10" s="3447"/>
      <c r="JMU10" s="3447"/>
      <c r="JMV10" s="3447"/>
      <c r="JMW10" s="3447"/>
      <c r="JMX10" s="3447"/>
      <c r="JMY10" s="3447"/>
      <c r="JMZ10" s="3447"/>
      <c r="JNA10" s="3447"/>
      <c r="JNB10" s="3447"/>
      <c r="JNC10" s="3447"/>
      <c r="JND10" s="3447"/>
      <c r="JNE10" s="3447"/>
      <c r="JNF10" s="3447"/>
      <c r="JNG10" s="3447"/>
      <c r="JNH10" s="3447"/>
      <c r="JNI10" s="3447"/>
      <c r="JNJ10" s="3447"/>
      <c r="JNK10" s="3447"/>
      <c r="JNL10" s="3447"/>
      <c r="JNM10" s="3447"/>
      <c r="JNN10" s="3447"/>
      <c r="JNO10" s="3447"/>
      <c r="JNP10" s="3447"/>
      <c r="JNQ10" s="3447"/>
      <c r="JNR10" s="3447"/>
      <c r="JNS10" s="3447"/>
      <c r="JNT10" s="3447"/>
      <c r="JNU10" s="3447"/>
      <c r="JNV10" s="3447"/>
      <c r="JNW10" s="3447"/>
      <c r="JNX10" s="3447"/>
      <c r="JNY10" s="3447"/>
      <c r="JNZ10" s="3447"/>
      <c r="JOA10" s="3447"/>
      <c r="JOB10" s="3447"/>
      <c r="JOC10" s="3447"/>
      <c r="JOD10" s="3447"/>
      <c r="JOE10" s="3447"/>
      <c r="JOF10" s="3447"/>
      <c r="JOG10" s="3447"/>
      <c r="JOH10" s="3447"/>
      <c r="JOI10" s="3447"/>
      <c r="JOJ10" s="3447"/>
      <c r="JOK10" s="3447"/>
      <c r="JOL10" s="3447"/>
      <c r="JOM10" s="3447"/>
      <c r="JON10" s="3447"/>
      <c r="JOO10" s="3447"/>
      <c r="JOP10" s="3447"/>
      <c r="JOQ10" s="3447"/>
      <c r="JOR10" s="3447"/>
      <c r="JOS10" s="3447"/>
      <c r="JOT10" s="3447"/>
      <c r="JOU10" s="3447"/>
      <c r="JOV10" s="3447"/>
      <c r="JOW10" s="3447"/>
      <c r="JOX10" s="3447"/>
      <c r="JOY10" s="3447"/>
      <c r="JOZ10" s="3447"/>
      <c r="JPA10" s="3447"/>
      <c r="JPB10" s="3447"/>
      <c r="JPC10" s="3447"/>
      <c r="JPD10" s="3447"/>
      <c r="JPE10" s="3447"/>
      <c r="JPF10" s="3447"/>
      <c r="JPG10" s="3447"/>
      <c r="JPH10" s="3447"/>
      <c r="JPI10" s="3447"/>
      <c r="JPJ10" s="3447"/>
      <c r="JPK10" s="3447"/>
      <c r="JPL10" s="3447"/>
      <c r="JPM10" s="3447"/>
      <c r="JPN10" s="3447"/>
      <c r="JPO10" s="3447"/>
      <c r="JPP10" s="3447"/>
      <c r="JPQ10" s="3447"/>
      <c r="JPR10" s="3447"/>
      <c r="JPS10" s="3447"/>
      <c r="JPT10" s="3447"/>
      <c r="JPU10" s="3447"/>
      <c r="JPV10" s="3447"/>
      <c r="JPW10" s="3447"/>
      <c r="JPX10" s="3447"/>
      <c r="JPY10" s="3447"/>
      <c r="JPZ10" s="3447"/>
      <c r="JQA10" s="3447"/>
      <c r="JQB10" s="3447"/>
      <c r="JQC10" s="3447"/>
      <c r="JQD10" s="3447"/>
      <c r="JQE10" s="3447"/>
      <c r="JQF10" s="3447"/>
      <c r="JQG10" s="3447"/>
      <c r="JQH10" s="3447"/>
      <c r="JQI10" s="3447"/>
      <c r="JQJ10" s="3447"/>
      <c r="JQK10" s="3447"/>
      <c r="JQL10" s="3447"/>
      <c r="JQM10" s="3447"/>
      <c r="JQN10" s="3447"/>
      <c r="JQO10" s="3447"/>
      <c r="JQP10" s="3447"/>
      <c r="JQQ10" s="3447"/>
      <c r="JQR10" s="3447"/>
      <c r="JQS10" s="3447"/>
      <c r="JQT10" s="3447"/>
      <c r="JQU10" s="3447"/>
      <c r="JQV10" s="3447"/>
      <c r="JQW10" s="3447"/>
      <c r="JQX10" s="3447"/>
      <c r="JQY10" s="3447"/>
      <c r="JQZ10" s="3447"/>
      <c r="JRA10" s="3447"/>
      <c r="JRB10" s="3447"/>
      <c r="JRC10" s="3447"/>
      <c r="JRD10" s="3447"/>
      <c r="JRE10" s="3447"/>
      <c r="JRF10" s="3447"/>
      <c r="JRG10" s="3447"/>
      <c r="JRH10" s="3447"/>
      <c r="JRI10" s="3447"/>
      <c r="JRJ10" s="3447"/>
      <c r="JRK10" s="3447"/>
      <c r="JRL10" s="3447"/>
      <c r="JRM10" s="3447"/>
      <c r="JRN10" s="3447"/>
      <c r="JRO10" s="3447"/>
      <c r="JRP10" s="3447"/>
      <c r="JRQ10" s="3447"/>
      <c r="JRR10" s="3447"/>
      <c r="JRS10" s="3447"/>
      <c r="JRT10" s="3447"/>
      <c r="JRU10" s="3447"/>
      <c r="JRV10" s="3447"/>
      <c r="JRW10" s="3447"/>
      <c r="JRX10" s="3447"/>
      <c r="JRY10" s="3447"/>
      <c r="JRZ10" s="3447"/>
      <c r="JSA10" s="3447"/>
      <c r="JSB10" s="3447"/>
      <c r="JSC10" s="3447"/>
      <c r="JSD10" s="3447"/>
      <c r="JSE10" s="3447"/>
      <c r="JSF10" s="3447"/>
      <c r="JSG10" s="3447"/>
      <c r="JSH10" s="3447"/>
      <c r="JSI10" s="3447"/>
      <c r="JSJ10" s="3447"/>
      <c r="JSK10" s="3447"/>
      <c r="JSL10" s="3447"/>
      <c r="JSM10" s="3447"/>
      <c r="JSN10" s="3447"/>
      <c r="JSO10" s="3447"/>
      <c r="JSP10" s="3447"/>
      <c r="JSQ10" s="3447"/>
      <c r="JSR10" s="3447"/>
      <c r="JSS10" s="3447"/>
      <c r="JST10" s="3447"/>
      <c r="JSU10" s="3447"/>
      <c r="JSV10" s="3447"/>
      <c r="JSW10" s="3447"/>
      <c r="JSX10" s="3447"/>
      <c r="JSY10" s="3447"/>
      <c r="JSZ10" s="3447"/>
      <c r="JTA10" s="3447"/>
      <c r="JTB10" s="3447"/>
      <c r="JTC10" s="3447"/>
      <c r="JTD10" s="3447"/>
      <c r="JTE10" s="3447"/>
      <c r="JTF10" s="3447"/>
      <c r="JTG10" s="3447"/>
      <c r="JTH10" s="3447"/>
      <c r="JTI10" s="3447"/>
      <c r="JTJ10" s="3447"/>
      <c r="JTK10" s="3447"/>
      <c r="JTL10" s="3447"/>
      <c r="JTM10" s="3447"/>
      <c r="JTN10" s="3447"/>
      <c r="JTO10" s="3447"/>
      <c r="JTP10" s="3447"/>
      <c r="JTQ10" s="3447"/>
      <c r="JTR10" s="3447"/>
      <c r="JTS10" s="3447"/>
      <c r="JTT10" s="3447"/>
      <c r="JTU10" s="3447"/>
      <c r="JTV10" s="3447"/>
      <c r="JTW10" s="3447"/>
      <c r="JTX10" s="3447"/>
      <c r="JTY10" s="3447"/>
      <c r="JTZ10" s="3447"/>
      <c r="JUA10" s="3447"/>
      <c r="JUB10" s="3447"/>
      <c r="JUC10" s="3447"/>
      <c r="JUD10" s="3447"/>
      <c r="JUE10" s="3447"/>
      <c r="JUF10" s="3447"/>
      <c r="JUG10" s="3447"/>
      <c r="JUH10" s="3447"/>
      <c r="JUI10" s="3447"/>
      <c r="JUJ10" s="3447"/>
      <c r="JUK10" s="3447"/>
      <c r="JUL10" s="3447"/>
      <c r="JUM10" s="3447"/>
      <c r="JUN10" s="3447"/>
      <c r="JUO10" s="3447"/>
      <c r="JUP10" s="3447"/>
      <c r="JUQ10" s="3447"/>
      <c r="JUR10" s="3447"/>
      <c r="JUS10" s="3447"/>
      <c r="JUT10" s="3447"/>
      <c r="JUU10" s="3447"/>
      <c r="JUV10" s="3447"/>
      <c r="JUW10" s="3447"/>
      <c r="JUX10" s="3447"/>
      <c r="JUY10" s="3447"/>
      <c r="JUZ10" s="3447"/>
      <c r="JVA10" s="3447"/>
      <c r="JVB10" s="3447"/>
      <c r="JVC10" s="3447"/>
      <c r="JVD10" s="3447"/>
      <c r="JVE10" s="3447"/>
      <c r="JVF10" s="3447"/>
      <c r="JVG10" s="3447"/>
      <c r="JVH10" s="3447"/>
      <c r="JVI10" s="3447"/>
      <c r="JVJ10" s="3447"/>
      <c r="JVK10" s="3447"/>
      <c r="JVL10" s="3447"/>
      <c r="JVM10" s="3447"/>
      <c r="JVN10" s="3447"/>
      <c r="JVO10" s="3447"/>
      <c r="JVP10" s="3447"/>
      <c r="JVQ10" s="3447"/>
      <c r="JVR10" s="3447"/>
      <c r="JVS10" s="3447"/>
      <c r="JVT10" s="3447"/>
      <c r="JVU10" s="3447"/>
      <c r="JVV10" s="3447"/>
      <c r="JVW10" s="3447"/>
      <c r="JVX10" s="3447"/>
      <c r="JVY10" s="3447"/>
      <c r="JVZ10" s="3447"/>
      <c r="JWA10" s="3447"/>
      <c r="JWB10" s="3447"/>
      <c r="JWC10" s="3447"/>
      <c r="JWD10" s="3447"/>
      <c r="JWE10" s="3447"/>
      <c r="JWF10" s="3447"/>
      <c r="JWG10" s="3447"/>
      <c r="JWH10" s="3447"/>
      <c r="JWI10" s="3447"/>
      <c r="JWJ10" s="3447"/>
      <c r="JWK10" s="3447"/>
      <c r="JWL10" s="3447"/>
      <c r="JWM10" s="3447"/>
      <c r="JWN10" s="3447"/>
      <c r="JWO10" s="3447"/>
      <c r="JWP10" s="3447"/>
      <c r="JWQ10" s="3447"/>
      <c r="JWR10" s="3447"/>
      <c r="JWS10" s="3447"/>
      <c r="JWT10" s="3447"/>
      <c r="JWU10" s="3447"/>
      <c r="JWV10" s="3447"/>
      <c r="JWW10" s="3447"/>
      <c r="JWX10" s="3447"/>
      <c r="JWY10" s="3447"/>
      <c r="JWZ10" s="3447"/>
      <c r="JXA10" s="3447"/>
      <c r="JXB10" s="3447"/>
      <c r="JXC10" s="3447"/>
      <c r="JXD10" s="3447"/>
      <c r="JXE10" s="3447"/>
      <c r="JXF10" s="3447"/>
      <c r="JXG10" s="3447"/>
      <c r="JXH10" s="3447"/>
      <c r="JXI10" s="3447"/>
      <c r="JXJ10" s="3447"/>
      <c r="JXK10" s="3447"/>
      <c r="JXL10" s="3447"/>
      <c r="JXM10" s="3447"/>
      <c r="JXN10" s="3447"/>
      <c r="JXO10" s="3447"/>
      <c r="JXP10" s="3447"/>
      <c r="JXQ10" s="3447"/>
      <c r="JXR10" s="3447"/>
      <c r="JXS10" s="3447"/>
      <c r="JXT10" s="3447"/>
      <c r="JXU10" s="3447"/>
      <c r="JXV10" s="3447"/>
      <c r="JXW10" s="3447"/>
      <c r="JXX10" s="3447"/>
      <c r="JXY10" s="3447"/>
      <c r="JXZ10" s="3447"/>
      <c r="JYA10" s="3447"/>
      <c r="JYB10" s="3447"/>
      <c r="JYC10" s="3447"/>
      <c r="JYD10" s="3447"/>
      <c r="JYE10" s="3447"/>
      <c r="JYF10" s="3447"/>
      <c r="JYG10" s="3447"/>
      <c r="JYH10" s="3447"/>
      <c r="JYI10" s="3447"/>
      <c r="JYJ10" s="3447"/>
      <c r="JYK10" s="3447"/>
      <c r="JYL10" s="3447"/>
      <c r="JYM10" s="3447"/>
      <c r="JYN10" s="3447"/>
      <c r="JYO10" s="3447"/>
      <c r="JYP10" s="3447"/>
      <c r="JYQ10" s="3447"/>
      <c r="JYR10" s="3447"/>
      <c r="JYS10" s="3447"/>
      <c r="JYT10" s="3447"/>
      <c r="JYU10" s="3447"/>
      <c r="JYV10" s="3447"/>
      <c r="JYW10" s="3447"/>
      <c r="JYX10" s="3447"/>
      <c r="JYY10" s="3447"/>
      <c r="JYZ10" s="3447"/>
      <c r="JZA10" s="3447"/>
      <c r="JZB10" s="3447"/>
      <c r="JZC10" s="3447"/>
      <c r="JZD10" s="3447"/>
      <c r="JZE10" s="3447"/>
      <c r="JZF10" s="3447"/>
      <c r="JZG10" s="3447"/>
      <c r="JZH10" s="3447"/>
      <c r="JZI10" s="3447"/>
      <c r="JZJ10" s="3447"/>
      <c r="JZK10" s="3447"/>
      <c r="JZL10" s="3447"/>
      <c r="JZM10" s="3447"/>
      <c r="JZN10" s="3447"/>
      <c r="JZO10" s="3447"/>
      <c r="JZP10" s="3447"/>
      <c r="JZQ10" s="3447"/>
      <c r="JZR10" s="3447"/>
      <c r="JZS10" s="3447"/>
      <c r="JZT10" s="3447"/>
      <c r="JZU10" s="3447"/>
      <c r="JZV10" s="3447"/>
      <c r="JZW10" s="3447"/>
      <c r="JZX10" s="3447"/>
      <c r="JZY10" s="3447"/>
      <c r="JZZ10" s="3447"/>
      <c r="KAA10" s="3447"/>
      <c r="KAB10" s="3447"/>
      <c r="KAC10" s="3447"/>
      <c r="KAD10" s="3447"/>
      <c r="KAE10" s="3447"/>
      <c r="KAF10" s="3447"/>
      <c r="KAG10" s="3447"/>
      <c r="KAH10" s="3447"/>
      <c r="KAI10" s="3447"/>
      <c r="KAJ10" s="3447"/>
      <c r="KAK10" s="3447"/>
      <c r="KAL10" s="3447"/>
      <c r="KAM10" s="3447"/>
      <c r="KAN10" s="3447"/>
      <c r="KAO10" s="3447"/>
      <c r="KAP10" s="3447"/>
      <c r="KAQ10" s="3447"/>
      <c r="KAR10" s="3447"/>
      <c r="KAS10" s="3447"/>
      <c r="KAT10" s="3447"/>
      <c r="KAU10" s="3447"/>
      <c r="KAV10" s="3447"/>
      <c r="KAW10" s="3447"/>
      <c r="KAX10" s="3447"/>
      <c r="KAY10" s="3447"/>
      <c r="KAZ10" s="3447"/>
      <c r="KBA10" s="3447"/>
      <c r="KBB10" s="3447"/>
      <c r="KBC10" s="3447"/>
      <c r="KBD10" s="3447"/>
      <c r="KBE10" s="3447"/>
      <c r="KBF10" s="3447"/>
      <c r="KBG10" s="3447"/>
      <c r="KBH10" s="3447"/>
      <c r="KBI10" s="3447"/>
      <c r="KBJ10" s="3447"/>
      <c r="KBK10" s="3447"/>
      <c r="KBL10" s="3447"/>
      <c r="KBM10" s="3447"/>
      <c r="KBN10" s="3447"/>
      <c r="KBO10" s="3447"/>
      <c r="KBP10" s="3447"/>
      <c r="KBQ10" s="3447"/>
      <c r="KBR10" s="3447"/>
      <c r="KBS10" s="3447"/>
      <c r="KBT10" s="3447"/>
      <c r="KBU10" s="3447"/>
      <c r="KBV10" s="3447"/>
      <c r="KBW10" s="3447"/>
      <c r="KBX10" s="3447"/>
      <c r="KBY10" s="3447"/>
      <c r="KBZ10" s="3447"/>
      <c r="KCA10" s="3447"/>
      <c r="KCB10" s="3447"/>
      <c r="KCC10" s="3447"/>
      <c r="KCD10" s="3447"/>
      <c r="KCE10" s="3447"/>
      <c r="KCF10" s="3447"/>
      <c r="KCG10" s="3447"/>
      <c r="KCH10" s="3447"/>
      <c r="KCI10" s="3447"/>
      <c r="KCJ10" s="3447"/>
      <c r="KCK10" s="3447"/>
      <c r="KCL10" s="3447"/>
      <c r="KCM10" s="3447"/>
      <c r="KCN10" s="3447"/>
      <c r="KCO10" s="3447"/>
      <c r="KCP10" s="3447"/>
      <c r="KCQ10" s="3447"/>
      <c r="KCR10" s="3447"/>
      <c r="KCS10" s="3447"/>
      <c r="KCT10" s="3447"/>
      <c r="KCU10" s="3447"/>
      <c r="KCV10" s="3447"/>
      <c r="KCW10" s="3447"/>
      <c r="KCX10" s="3447"/>
      <c r="KCY10" s="3447"/>
      <c r="KCZ10" s="3447"/>
      <c r="KDA10" s="3447"/>
      <c r="KDB10" s="3447"/>
      <c r="KDC10" s="3447"/>
      <c r="KDD10" s="3447"/>
      <c r="KDE10" s="3447"/>
      <c r="KDF10" s="3447"/>
      <c r="KDG10" s="3447"/>
      <c r="KDH10" s="3447"/>
      <c r="KDI10" s="3447"/>
      <c r="KDJ10" s="3447"/>
      <c r="KDK10" s="3447"/>
      <c r="KDL10" s="3447"/>
      <c r="KDM10" s="3447"/>
      <c r="KDN10" s="3447"/>
      <c r="KDO10" s="3447"/>
      <c r="KDP10" s="3447"/>
      <c r="KDQ10" s="3447"/>
      <c r="KDR10" s="3447"/>
      <c r="KDS10" s="3447"/>
      <c r="KDT10" s="3447"/>
      <c r="KDU10" s="3447"/>
      <c r="KDV10" s="3447"/>
      <c r="KDW10" s="3447"/>
      <c r="KDX10" s="3447"/>
      <c r="KDY10" s="3447"/>
      <c r="KDZ10" s="3447"/>
      <c r="KEA10" s="3447"/>
      <c r="KEB10" s="3447"/>
      <c r="KEC10" s="3447"/>
      <c r="KED10" s="3447"/>
      <c r="KEE10" s="3447"/>
      <c r="KEF10" s="3447"/>
      <c r="KEG10" s="3447"/>
      <c r="KEH10" s="3447"/>
      <c r="KEI10" s="3447"/>
      <c r="KEJ10" s="3447"/>
      <c r="KEK10" s="3447"/>
      <c r="KEL10" s="3447"/>
      <c r="KEM10" s="3447"/>
      <c r="KEN10" s="3447"/>
      <c r="KEO10" s="3447"/>
      <c r="KEP10" s="3447"/>
      <c r="KEQ10" s="3447"/>
      <c r="KER10" s="3447"/>
      <c r="KES10" s="3447"/>
      <c r="KET10" s="3447"/>
      <c r="KEU10" s="3447"/>
      <c r="KEV10" s="3447"/>
      <c r="KEW10" s="3447"/>
      <c r="KEX10" s="3447"/>
      <c r="KEY10" s="3447"/>
      <c r="KEZ10" s="3447"/>
      <c r="KFA10" s="3447"/>
      <c r="KFB10" s="3447"/>
      <c r="KFC10" s="3447"/>
      <c r="KFD10" s="3447"/>
      <c r="KFE10" s="3447"/>
      <c r="KFF10" s="3447"/>
      <c r="KFG10" s="3447"/>
      <c r="KFH10" s="3447"/>
      <c r="KFI10" s="3447"/>
      <c r="KFJ10" s="3447"/>
      <c r="KFK10" s="3447"/>
      <c r="KFL10" s="3447"/>
      <c r="KFM10" s="3447"/>
      <c r="KFN10" s="3447"/>
      <c r="KFO10" s="3447"/>
      <c r="KFP10" s="3447"/>
      <c r="KFQ10" s="3447"/>
      <c r="KFR10" s="3447"/>
      <c r="KFS10" s="3447"/>
      <c r="KFT10" s="3447"/>
      <c r="KFU10" s="3447"/>
      <c r="KFV10" s="3447"/>
      <c r="KFW10" s="3447"/>
      <c r="KFX10" s="3447"/>
      <c r="KFY10" s="3447"/>
      <c r="KFZ10" s="3447"/>
      <c r="KGA10" s="3447"/>
      <c r="KGB10" s="3447"/>
      <c r="KGC10" s="3447"/>
      <c r="KGD10" s="3447"/>
      <c r="KGE10" s="3447"/>
      <c r="KGF10" s="3447"/>
      <c r="KGG10" s="3447"/>
      <c r="KGH10" s="3447"/>
      <c r="KGI10" s="3447"/>
      <c r="KGJ10" s="3447"/>
      <c r="KGK10" s="3447"/>
      <c r="KGL10" s="3447"/>
      <c r="KGM10" s="3447"/>
      <c r="KGN10" s="3447"/>
      <c r="KGO10" s="3447"/>
      <c r="KGP10" s="3447"/>
      <c r="KGQ10" s="3447"/>
      <c r="KGR10" s="3447"/>
      <c r="KGS10" s="3447"/>
      <c r="KGT10" s="3447"/>
      <c r="KGU10" s="3447"/>
      <c r="KGV10" s="3447"/>
      <c r="KGW10" s="3447"/>
      <c r="KGX10" s="3447"/>
      <c r="KGY10" s="3447"/>
      <c r="KGZ10" s="3447"/>
      <c r="KHA10" s="3447"/>
      <c r="KHB10" s="3447"/>
      <c r="KHC10" s="3447"/>
      <c r="KHD10" s="3447"/>
      <c r="KHE10" s="3447"/>
      <c r="KHF10" s="3447"/>
      <c r="KHG10" s="3447"/>
      <c r="KHH10" s="3447"/>
      <c r="KHI10" s="3447"/>
      <c r="KHJ10" s="3447"/>
      <c r="KHK10" s="3447"/>
      <c r="KHL10" s="3447"/>
      <c r="KHM10" s="3447"/>
      <c r="KHN10" s="3447"/>
      <c r="KHO10" s="3447"/>
      <c r="KHP10" s="3447"/>
      <c r="KHQ10" s="3447"/>
      <c r="KHR10" s="3447"/>
      <c r="KHS10" s="3447"/>
      <c r="KHT10" s="3447"/>
      <c r="KHU10" s="3447"/>
      <c r="KHV10" s="3447"/>
      <c r="KHW10" s="3447"/>
      <c r="KHX10" s="3447"/>
      <c r="KHY10" s="3447"/>
      <c r="KHZ10" s="3447"/>
      <c r="KIA10" s="3447"/>
      <c r="KIB10" s="3447"/>
      <c r="KIC10" s="3447"/>
      <c r="KID10" s="3447"/>
      <c r="KIE10" s="3447"/>
      <c r="KIF10" s="3447"/>
      <c r="KIG10" s="3447"/>
      <c r="KIH10" s="3447"/>
      <c r="KII10" s="3447"/>
      <c r="KIJ10" s="3447"/>
      <c r="KIK10" s="3447"/>
      <c r="KIL10" s="3447"/>
      <c r="KIM10" s="3447"/>
      <c r="KIN10" s="3447"/>
      <c r="KIO10" s="3447"/>
      <c r="KIP10" s="3447"/>
      <c r="KIQ10" s="3447"/>
      <c r="KIR10" s="3447"/>
      <c r="KIS10" s="3447"/>
      <c r="KIT10" s="3447"/>
      <c r="KIU10" s="3447"/>
      <c r="KIV10" s="3447"/>
      <c r="KIW10" s="3447"/>
      <c r="KIX10" s="3447"/>
      <c r="KIY10" s="3447"/>
      <c r="KIZ10" s="3447"/>
      <c r="KJA10" s="3447"/>
      <c r="KJB10" s="3447"/>
      <c r="KJC10" s="3447"/>
      <c r="KJD10" s="3447"/>
      <c r="KJE10" s="3447"/>
      <c r="KJF10" s="3447"/>
      <c r="KJG10" s="3447"/>
      <c r="KJH10" s="3447"/>
      <c r="KJI10" s="3447"/>
      <c r="KJJ10" s="3447"/>
      <c r="KJK10" s="3447"/>
      <c r="KJL10" s="3447"/>
      <c r="KJM10" s="3447"/>
      <c r="KJN10" s="3447"/>
      <c r="KJO10" s="3447"/>
      <c r="KJP10" s="3447"/>
      <c r="KJQ10" s="3447"/>
      <c r="KJR10" s="3447"/>
      <c r="KJS10" s="3447"/>
      <c r="KJT10" s="3447"/>
      <c r="KJU10" s="3447"/>
      <c r="KJV10" s="3447"/>
      <c r="KJW10" s="3447"/>
      <c r="KJX10" s="3447"/>
      <c r="KJY10" s="3447"/>
      <c r="KJZ10" s="3447"/>
      <c r="KKA10" s="3447"/>
      <c r="KKB10" s="3447"/>
      <c r="KKC10" s="3447"/>
      <c r="KKD10" s="3447"/>
      <c r="KKE10" s="3447"/>
      <c r="KKF10" s="3447"/>
      <c r="KKG10" s="3447"/>
      <c r="KKH10" s="3447"/>
      <c r="KKI10" s="3447"/>
      <c r="KKJ10" s="3447"/>
      <c r="KKK10" s="3447"/>
      <c r="KKL10" s="3447"/>
      <c r="KKM10" s="3447"/>
      <c r="KKN10" s="3447"/>
      <c r="KKO10" s="3447"/>
      <c r="KKP10" s="3447"/>
      <c r="KKQ10" s="3447"/>
      <c r="KKR10" s="3447"/>
      <c r="KKS10" s="3447"/>
      <c r="KKT10" s="3447"/>
      <c r="KKU10" s="3447"/>
      <c r="KKV10" s="3447"/>
      <c r="KKW10" s="3447"/>
      <c r="KKX10" s="3447"/>
      <c r="KKY10" s="3447"/>
      <c r="KKZ10" s="3447"/>
      <c r="KLA10" s="3447"/>
      <c r="KLB10" s="3447"/>
      <c r="KLC10" s="3447"/>
      <c r="KLD10" s="3447"/>
      <c r="KLE10" s="3447"/>
      <c r="KLF10" s="3447"/>
      <c r="KLG10" s="3447"/>
      <c r="KLH10" s="3447"/>
      <c r="KLI10" s="3447"/>
      <c r="KLJ10" s="3447"/>
      <c r="KLK10" s="3447"/>
      <c r="KLL10" s="3447"/>
      <c r="KLM10" s="3447"/>
      <c r="KLN10" s="3447"/>
      <c r="KLO10" s="3447"/>
      <c r="KLP10" s="3447"/>
      <c r="KLQ10" s="3447"/>
      <c r="KLR10" s="3447"/>
      <c r="KLS10" s="3447"/>
      <c r="KLT10" s="3447"/>
      <c r="KLU10" s="3447"/>
      <c r="KLV10" s="3447"/>
      <c r="KLW10" s="3447"/>
      <c r="KLX10" s="3447"/>
      <c r="KLY10" s="3447"/>
      <c r="KLZ10" s="3447"/>
      <c r="KMA10" s="3447"/>
      <c r="KMB10" s="3447"/>
      <c r="KMC10" s="3447"/>
      <c r="KMD10" s="3447"/>
      <c r="KME10" s="3447"/>
      <c r="KMF10" s="3447"/>
      <c r="KMG10" s="3447"/>
      <c r="KMH10" s="3447"/>
      <c r="KMI10" s="3447"/>
      <c r="KMJ10" s="3447"/>
      <c r="KMK10" s="3447"/>
      <c r="KML10" s="3447"/>
      <c r="KMM10" s="3447"/>
      <c r="KMN10" s="3447"/>
      <c r="KMO10" s="3447"/>
      <c r="KMP10" s="3447"/>
      <c r="KMQ10" s="3447"/>
      <c r="KMR10" s="3447"/>
      <c r="KMS10" s="3447"/>
      <c r="KMT10" s="3447"/>
      <c r="KMU10" s="3447"/>
      <c r="KMV10" s="3447"/>
      <c r="KMW10" s="3447"/>
      <c r="KMX10" s="3447"/>
      <c r="KMY10" s="3447"/>
      <c r="KMZ10" s="3447"/>
      <c r="KNA10" s="3447"/>
      <c r="KNB10" s="3447"/>
      <c r="KNC10" s="3447"/>
      <c r="KND10" s="3447"/>
      <c r="KNE10" s="3447"/>
      <c r="KNF10" s="3447"/>
      <c r="KNG10" s="3447"/>
      <c r="KNH10" s="3447"/>
      <c r="KNI10" s="3447"/>
      <c r="KNJ10" s="3447"/>
      <c r="KNK10" s="3447"/>
      <c r="KNL10" s="3447"/>
      <c r="KNM10" s="3447"/>
      <c r="KNN10" s="3447"/>
      <c r="KNO10" s="3447"/>
      <c r="KNP10" s="3447"/>
      <c r="KNQ10" s="3447"/>
      <c r="KNR10" s="3447"/>
      <c r="KNS10" s="3447"/>
      <c r="KNT10" s="3447"/>
      <c r="KNU10" s="3447"/>
      <c r="KNV10" s="3447"/>
      <c r="KNW10" s="3447"/>
      <c r="KNX10" s="3447"/>
      <c r="KNY10" s="3447"/>
      <c r="KNZ10" s="3447"/>
      <c r="KOA10" s="3447"/>
      <c r="KOB10" s="3447"/>
      <c r="KOC10" s="3447"/>
      <c r="KOD10" s="3447"/>
      <c r="KOE10" s="3447"/>
      <c r="KOF10" s="3447"/>
      <c r="KOG10" s="3447"/>
      <c r="KOH10" s="3447"/>
      <c r="KOI10" s="3447"/>
      <c r="KOJ10" s="3447"/>
      <c r="KOK10" s="3447"/>
      <c r="KOL10" s="3447"/>
      <c r="KOM10" s="3447"/>
      <c r="KON10" s="3447"/>
      <c r="KOO10" s="3447"/>
      <c r="KOP10" s="3447"/>
      <c r="KOQ10" s="3447"/>
      <c r="KOR10" s="3447"/>
      <c r="KOS10" s="3447"/>
      <c r="KOT10" s="3447"/>
      <c r="KOU10" s="3447"/>
      <c r="KOV10" s="3447"/>
      <c r="KOW10" s="3447"/>
      <c r="KOX10" s="3447"/>
      <c r="KOY10" s="3447"/>
      <c r="KOZ10" s="3447"/>
      <c r="KPA10" s="3447"/>
      <c r="KPB10" s="3447"/>
      <c r="KPC10" s="3447"/>
      <c r="KPD10" s="3447"/>
      <c r="KPE10" s="3447"/>
      <c r="KPF10" s="3447"/>
      <c r="KPG10" s="3447"/>
      <c r="KPH10" s="3447"/>
      <c r="KPI10" s="3447"/>
      <c r="KPJ10" s="3447"/>
      <c r="KPK10" s="3447"/>
      <c r="KPL10" s="3447"/>
      <c r="KPM10" s="3447"/>
      <c r="KPN10" s="3447"/>
      <c r="KPO10" s="3447"/>
      <c r="KPP10" s="3447"/>
      <c r="KPQ10" s="3447"/>
      <c r="KPR10" s="3447"/>
      <c r="KPS10" s="3447"/>
      <c r="KPT10" s="3447"/>
      <c r="KPU10" s="3447"/>
      <c r="KPV10" s="3447"/>
      <c r="KPW10" s="3447"/>
      <c r="KPX10" s="3447"/>
      <c r="KPY10" s="3447"/>
      <c r="KPZ10" s="3447"/>
      <c r="KQA10" s="3447"/>
      <c r="KQB10" s="3447"/>
      <c r="KQC10" s="3447"/>
      <c r="KQD10" s="3447"/>
      <c r="KQE10" s="3447"/>
      <c r="KQF10" s="3447"/>
      <c r="KQG10" s="3447"/>
      <c r="KQH10" s="3447"/>
      <c r="KQI10" s="3447"/>
      <c r="KQJ10" s="3447"/>
      <c r="KQK10" s="3447"/>
      <c r="KQL10" s="3447"/>
      <c r="KQM10" s="3447"/>
      <c r="KQN10" s="3447"/>
      <c r="KQO10" s="3447"/>
      <c r="KQP10" s="3447"/>
      <c r="KQQ10" s="3447"/>
      <c r="KQR10" s="3447"/>
      <c r="KQS10" s="3447"/>
      <c r="KQT10" s="3447"/>
      <c r="KQU10" s="3447"/>
      <c r="KQV10" s="3447"/>
      <c r="KQW10" s="3447"/>
      <c r="KQX10" s="3447"/>
      <c r="KQY10" s="3447"/>
      <c r="KQZ10" s="3447"/>
      <c r="KRA10" s="3447"/>
      <c r="KRB10" s="3447"/>
      <c r="KRC10" s="3447"/>
      <c r="KRD10" s="3447"/>
      <c r="KRE10" s="3447"/>
      <c r="KRF10" s="3447"/>
      <c r="KRG10" s="3447"/>
      <c r="KRH10" s="3447"/>
      <c r="KRI10" s="3447"/>
      <c r="KRJ10" s="3447"/>
      <c r="KRK10" s="3447"/>
      <c r="KRL10" s="3447"/>
      <c r="KRM10" s="3447"/>
      <c r="KRN10" s="3447"/>
      <c r="KRO10" s="3447"/>
      <c r="KRP10" s="3447"/>
      <c r="KRQ10" s="3447"/>
      <c r="KRR10" s="3447"/>
      <c r="KRS10" s="3447"/>
      <c r="KRT10" s="3447"/>
      <c r="KRU10" s="3447"/>
      <c r="KRV10" s="3447"/>
      <c r="KRW10" s="3447"/>
      <c r="KRX10" s="3447"/>
      <c r="KRY10" s="3447"/>
      <c r="KRZ10" s="3447"/>
      <c r="KSA10" s="3447"/>
      <c r="KSB10" s="3447"/>
      <c r="KSC10" s="3447"/>
      <c r="KSD10" s="3447"/>
      <c r="KSE10" s="3447"/>
      <c r="KSF10" s="3447"/>
      <c r="KSG10" s="3447"/>
      <c r="KSH10" s="3447"/>
      <c r="KSI10" s="3447"/>
      <c r="KSJ10" s="3447"/>
      <c r="KSK10" s="3447"/>
      <c r="KSL10" s="3447"/>
      <c r="KSM10" s="3447"/>
      <c r="KSN10" s="3447"/>
      <c r="KSO10" s="3447"/>
      <c r="KSP10" s="3447"/>
      <c r="KSQ10" s="3447"/>
      <c r="KSR10" s="3447"/>
      <c r="KSS10" s="3447"/>
      <c r="KST10" s="3447"/>
      <c r="KSU10" s="3447"/>
      <c r="KSV10" s="3447"/>
      <c r="KSW10" s="3447"/>
      <c r="KSX10" s="3447"/>
      <c r="KSY10" s="3447"/>
      <c r="KSZ10" s="3447"/>
      <c r="KTA10" s="3447"/>
      <c r="KTB10" s="3447"/>
      <c r="KTC10" s="3447"/>
      <c r="KTD10" s="3447"/>
      <c r="KTE10" s="3447"/>
      <c r="KTF10" s="3447"/>
      <c r="KTG10" s="3447"/>
      <c r="KTH10" s="3447"/>
      <c r="KTI10" s="3447"/>
      <c r="KTJ10" s="3447"/>
      <c r="KTK10" s="3447"/>
      <c r="KTL10" s="3447"/>
      <c r="KTM10" s="3447"/>
      <c r="KTN10" s="3447"/>
      <c r="KTO10" s="3447"/>
      <c r="KTP10" s="3447"/>
      <c r="KTQ10" s="3447"/>
      <c r="KTR10" s="3447"/>
      <c r="KTS10" s="3447"/>
      <c r="KTT10" s="3447"/>
      <c r="KTU10" s="3447"/>
      <c r="KTV10" s="3447"/>
      <c r="KTW10" s="3447"/>
      <c r="KTX10" s="3447"/>
      <c r="KTY10" s="3447"/>
      <c r="KTZ10" s="3447"/>
      <c r="KUA10" s="3447"/>
      <c r="KUB10" s="3447"/>
      <c r="KUC10" s="3447"/>
      <c r="KUD10" s="3447"/>
      <c r="KUE10" s="3447"/>
      <c r="KUF10" s="3447"/>
      <c r="KUG10" s="3447"/>
      <c r="KUH10" s="3447"/>
      <c r="KUI10" s="3447"/>
      <c r="KUJ10" s="3447"/>
      <c r="KUK10" s="3447"/>
      <c r="KUL10" s="3447"/>
      <c r="KUM10" s="3447"/>
      <c r="KUN10" s="3447"/>
      <c r="KUO10" s="3447"/>
      <c r="KUP10" s="3447"/>
      <c r="KUQ10" s="3447"/>
      <c r="KUR10" s="3447"/>
      <c r="KUS10" s="3447"/>
      <c r="KUT10" s="3447"/>
      <c r="KUU10" s="3447"/>
      <c r="KUV10" s="3447"/>
      <c r="KUW10" s="3447"/>
      <c r="KUX10" s="3447"/>
      <c r="KUY10" s="3447"/>
      <c r="KUZ10" s="3447"/>
      <c r="KVA10" s="3447"/>
      <c r="KVB10" s="3447"/>
      <c r="KVC10" s="3447"/>
      <c r="KVD10" s="3447"/>
      <c r="KVE10" s="3447"/>
      <c r="KVF10" s="3447"/>
      <c r="KVG10" s="3447"/>
      <c r="KVH10" s="3447"/>
      <c r="KVI10" s="3447"/>
      <c r="KVJ10" s="3447"/>
      <c r="KVK10" s="3447"/>
      <c r="KVL10" s="3447"/>
      <c r="KVM10" s="3447"/>
      <c r="KVN10" s="3447"/>
      <c r="KVO10" s="3447"/>
      <c r="KVP10" s="3447"/>
      <c r="KVQ10" s="3447"/>
      <c r="KVR10" s="3447"/>
      <c r="KVS10" s="3447"/>
      <c r="KVT10" s="3447"/>
      <c r="KVU10" s="3447"/>
      <c r="KVV10" s="3447"/>
      <c r="KVW10" s="3447"/>
      <c r="KVX10" s="3447"/>
      <c r="KVY10" s="3447"/>
      <c r="KVZ10" s="3447"/>
      <c r="KWA10" s="3447"/>
      <c r="KWB10" s="3447"/>
      <c r="KWC10" s="3447"/>
      <c r="KWD10" s="3447"/>
      <c r="KWE10" s="3447"/>
      <c r="KWF10" s="3447"/>
      <c r="KWG10" s="3447"/>
      <c r="KWH10" s="3447"/>
      <c r="KWI10" s="3447"/>
      <c r="KWJ10" s="3447"/>
      <c r="KWK10" s="3447"/>
      <c r="KWL10" s="3447"/>
      <c r="KWM10" s="3447"/>
      <c r="KWN10" s="3447"/>
      <c r="KWO10" s="3447"/>
      <c r="KWP10" s="3447"/>
      <c r="KWQ10" s="3447"/>
      <c r="KWR10" s="3447"/>
      <c r="KWS10" s="3447"/>
      <c r="KWT10" s="3447"/>
      <c r="KWU10" s="3447"/>
      <c r="KWV10" s="3447"/>
      <c r="KWW10" s="3447"/>
      <c r="KWX10" s="3447"/>
      <c r="KWY10" s="3447"/>
      <c r="KWZ10" s="3447"/>
      <c r="KXA10" s="3447"/>
      <c r="KXB10" s="3447"/>
      <c r="KXC10" s="3447"/>
      <c r="KXD10" s="3447"/>
      <c r="KXE10" s="3447"/>
      <c r="KXF10" s="3447"/>
      <c r="KXG10" s="3447"/>
      <c r="KXH10" s="3447"/>
      <c r="KXI10" s="3447"/>
      <c r="KXJ10" s="3447"/>
      <c r="KXK10" s="3447"/>
      <c r="KXL10" s="3447"/>
      <c r="KXM10" s="3447"/>
      <c r="KXN10" s="3447"/>
      <c r="KXO10" s="3447"/>
      <c r="KXP10" s="3447"/>
      <c r="KXQ10" s="3447"/>
      <c r="KXR10" s="3447"/>
      <c r="KXS10" s="3447"/>
      <c r="KXT10" s="3447"/>
      <c r="KXU10" s="3447"/>
      <c r="KXV10" s="3447"/>
      <c r="KXW10" s="3447"/>
      <c r="KXX10" s="3447"/>
      <c r="KXY10" s="3447"/>
      <c r="KXZ10" s="3447"/>
      <c r="KYA10" s="3447"/>
      <c r="KYB10" s="3447"/>
      <c r="KYC10" s="3447"/>
      <c r="KYD10" s="3447"/>
      <c r="KYE10" s="3447"/>
      <c r="KYF10" s="3447"/>
      <c r="KYG10" s="3447"/>
      <c r="KYH10" s="3447"/>
      <c r="KYI10" s="3447"/>
      <c r="KYJ10" s="3447"/>
      <c r="KYK10" s="3447"/>
      <c r="KYL10" s="3447"/>
      <c r="KYM10" s="3447"/>
      <c r="KYN10" s="3447"/>
      <c r="KYO10" s="3447"/>
      <c r="KYP10" s="3447"/>
      <c r="KYQ10" s="3447"/>
      <c r="KYR10" s="3447"/>
      <c r="KYS10" s="3447"/>
      <c r="KYT10" s="3447"/>
      <c r="KYU10" s="3447"/>
      <c r="KYV10" s="3447"/>
      <c r="KYW10" s="3447"/>
      <c r="KYX10" s="3447"/>
      <c r="KYY10" s="3447"/>
      <c r="KYZ10" s="3447"/>
      <c r="KZA10" s="3447"/>
      <c r="KZB10" s="3447"/>
      <c r="KZC10" s="3447"/>
      <c r="KZD10" s="3447"/>
      <c r="KZE10" s="3447"/>
      <c r="KZF10" s="3447"/>
      <c r="KZG10" s="3447"/>
      <c r="KZH10" s="3447"/>
      <c r="KZI10" s="3447"/>
      <c r="KZJ10" s="3447"/>
      <c r="KZK10" s="3447"/>
      <c r="KZL10" s="3447"/>
      <c r="KZM10" s="3447"/>
      <c r="KZN10" s="3447"/>
      <c r="KZO10" s="3447"/>
      <c r="KZP10" s="3447"/>
      <c r="KZQ10" s="3447"/>
      <c r="KZR10" s="3447"/>
      <c r="KZS10" s="3447"/>
      <c r="KZT10" s="3447"/>
      <c r="KZU10" s="3447"/>
      <c r="KZV10" s="3447"/>
      <c r="KZW10" s="3447"/>
      <c r="KZX10" s="3447"/>
      <c r="KZY10" s="3447"/>
      <c r="KZZ10" s="3447"/>
      <c r="LAA10" s="3447"/>
      <c r="LAB10" s="3447"/>
      <c r="LAC10" s="3447"/>
      <c r="LAD10" s="3447"/>
      <c r="LAE10" s="3447"/>
      <c r="LAF10" s="3447"/>
      <c r="LAG10" s="3447"/>
      <c r="LAH10" s="3447"/>
      <c r="LAI10" s="3447"/>
      <c r="LAJ10" s="3447"/>
      <c r="LAK10" s="3447"/>
      <c r="LAL10" s="3447"/>
      <c r="LAM10" s="3447"/>
      <c r="LAN10" s="3447"/>
      <c r="LAO10" s="3447"/>
      <c r="LAP10" s="3447"/>
      <c r="LAQ10" s="3447"/>
      <c r="LAR10" s="3447"/>
      <c r="LAS10" s="3447"/>
      <c r="LAT10" s="3447"/>
      <c r="LAU10" s="3447"/>
      <c r="LAV10" s="3447"/>
      <c r="LAW10" s="3447"/>
      <c r="LAX10" s="3447"/>
      <c r="LAY10" s="3447"/>
      <c r="LAZ10" s="3447"/>
      <c r="LBA10" s="3447"/>
      <c r="LBB10" s="3447"/>
      <c r="LBC10" s="3447"/>
      <c r="LBD10" s="3447"/>
      <c r="LBE10" s="3447"/>
      <c r="LBF10" s="3447"/>
      <c r="LBG10" s="3447"/>
      <c r="LBH10" s="3447"/>
      <c r="LBI10" s="3447"/>
      <c r="LBJ10" s="3447"/>
      <c r="LBK10" s="3447"/>
      <c r="LBL10" s="3447"/>
      <c r="LBM10" s="3447"/>
      <c r="LBN10" s="3447"/>
      <c r="LBO10" s="3447"/>
      <c r="LBP10" s="3447"/>
      <c r="LBQ10" s="3447"/>
      <c r="LBR10" s="3447"/>
      <c r="LBS10" s="3447"/>
      <c r="LBT10" s="3447"/>
      <c r="LBU10" s="3447"/>
      <c r="LBV10" s="3447"/>
      <c r="LBW10" s="3447"/>
      <c r="LBX10" s="3447"/>
      <c r="LBY10" s="3447"/>
      <c r="LBZ10" s="3447"/>
      <c r="LCA10" s="3447"/>
      <c r="LCB10" s="3447"/>
      <c r="LCC10" s="3447"/>
      <c r="LCD10" s="3447"/>
      <c r="LCE10" s="3447"/>
      <c r="LCF10" s="3447"/>
      <c r="LCG10" s="3447"/>
      <c r="LCH10" s="3447"/>
      <c r="LCI10" s="3447"/>
      <c r="LCJ10" s="3447"/>
      <c r="LCK10" s="3447"/>
      <c r="LCL10" s="3447"/>
      <c r="LCM10" s="3447"/>
      <c r="LCN10" s="3447"/>
      <c r="LCO10" s="3447"/>
      <c r="LCP10" s="3447"/>
      <c r="LCQ10" s="3447"/>
      <c r="LCR10" s="3447"/>
      <c r="LCS10" s="3447"/>
      <c r="LCT10" s="3447"/>
      <c r="LCU10" s="3447"/>
      <c r="LCV10" s="3447"/>
      <c r="LCW10" s="3447"/>
      <c r="LCX10" s="3447"/>
      <c r="LCY10" s="3447"/>
      <c r="LCZ10" s="3447"/>
      <c r="LDA10" s="3447"/>
      <c r="LDB10" s="3447"/>
      <c r="LDC10" s="3447"/>
      <c r="LDD10" s="3447"/>
      <c r="LDE10" s="3447"/>
      <c r="LDF10" s="3447"/>
      <c r="LDG10" s="3447"/>
      <c r="LDH10" s="3447"/>
      <c r="LDI10" s="3447"/>
      <c r="LDJ10" s="3447"/>
      <c r="LDK10" s="3447"/>
      <c r="LDL10" s="3447"/>
      <c r="LDM10" s="3447"/>
      <c r="LDN10" s="3447"/>
      <c r="LDO10" s="3447"/>
      <c r="LDP10" s="3447"/>
      <c r="LDQ10" s="3447"/>
      <c r="LDR10" s="3447"/>
      <c r="LDS10" s="3447"/>
      <c r="LDT10" s="3447"/>
      <c r="LDU10" s="3447"/>
      <c r="LDV10" s="3447"/>
      <c r="LDW10" s="3447"/>
      <c r="LDX10" s="3447"/>
      <c r="LDY10" s="3447"/>
      <c r="LDZ10" s="3447"/>
      <c r="LEA10" s="3447"/>
      <c r="LEB10" s="3447"/>
      <c r="LEC10" s="3447"/>
      <c r="LED10" s="3447"/>
      <c r="LEE10" s="3447"/>
      <c r="LEF10" s="3447"/>
      <c r="LEG10" s="3447"/>
      <c r="LEH10" s="3447"/>
      <c r="LEI10" s="3447"/>
      <c r="LEJ10" s="3447"/>
      <c r="LEK10" s="3447"/>
      <c r="LEL10" s="3447"/>
      <c r="LEM10" s="3447"/>
      <c r="LEN10" s="3447"/>
      <c r="LEO10" s="3447"/>
      <c r="LEP10" s="3447"/>
      <c r="LEQ10" s="3447"/>
      <c r="LER10" s="3447"/>
      <c r="LES10" s="3447"/>
      <c r="LET10" s="3447"/>
      <c r="LEU10" s="3447"/>
      <c r="LEV10" s="3447"/>
      <c r="LEW10" s="3447"/>
      <c r="LEX10" s="3447"/>
      <c r="LEY10" s="3447"/>
      <c r="LEZ10" s="3447"/>
      <c r="LFA10" s="3447"/>
      <c r="LFB10" s="3447"/>
      <c r="LFC10" s="3447"/>
      <c r="LFD10" s="3447"/>
      <c r="LFE10" s="3447"/>
      <c r="LFF10" s="3447"/>
      <c r="LFG10" s="3447"/>
      <c r="LFH10" s="3447"/>
      <c r="LFI10" s="3447"/>
      <c r="LFJ10" s="3447"/>
      <c r="LFK10" s="3447"/>
      <c r="LFL10" s="3447"/>
      <c r="LFM10" s="3447"/>
      <c r="LFN10" s="3447"/>
      <c r="LFO10" s="3447"/>
      <c r="LFP10" s="3447"/>
      <c r="LFQ10" s="3447"/>
      <c r="LFR10" s="3447"/>
      <c r="LFS10" s="3447"/>
      <c r="LFT10" s="3447"/>
      <c r="LFU10" s="3447"/>
      <c r="LFV10" s="3447"/>
      <c r="LFW10" s="3447"/>
      <c r="LFX10" s="3447"/>
      <c r="LFY10" s="3447"/>
      <c r="LFZ10" s="3447"/>
      <c r="LGA10" s="3447"/>
      <c r="LGB10" s="3447"/>
      <c r="LGC10" s="3447"/>
      <c r="LGD10" s="3447"/>
      <c r="LGE10" s="3447"/>
      <c r="LGF10" s="3447"/>
      <c r="LGG10" s="3447"/>
      <c r="LGH10" s="3447"/>
      <c r="LGI10" s="3447"/>
      <c r="LGJ10" s="3447"/>
      <c r="LGK10" s="3447"/>
      <c r="LGL10" s="3447"/>
      <c r="LGM10" s="3447"/>
      <c r="LGN10" s="3447"/>
      <c r="LGO10" s="3447"/>
      <c r="LGP10" s="3447"/>
      <c r="LGQ10" s="3447"/>
      <c r="LGR10" s="3447"/>
      <c r="LGS10" s="3447"/>
      <c r="LGT10" s="3447"/>
      <c r="LGU10" s="3447"/>
      <c r="LGV10" s="3447"/>
      <c r="LGW10" s="3447"/>
      <c r="LGX10" s="3447"/>
      <c r="LGY10" s="3447"/>
      <c r="LGZ10" s="3447"/>
      <c r="LHA10" s="3447"/>
      <c r="LHB10" s="3447"/>
      <c r="LHC10" s="3447"/>
      <c r="LHD10" s="3447"/>
      <c r="LHE10" s="3447"/>
      <c r="LHF10" s="3447"/>
      <c r="LHG10" s="3447"/>
      <c r="LHH10" s="3447"/>
      <c r="LHI10" s="3447"/>
      <c r="LHJ10" s="3447"/>
      <c r="LHK10" s="3447"/>
      <c r="LHL10" s="3447"/>
      <c r="LHM10" s="3447"/>
      <c r="LHN10" s="3447"/>
      <c r="LHO10" s="3447"/>
      <c r="LHP10" s="3447"/>
      <c r="LHQ10" s="3447"/>
      <c r="LHR10" s="3447"/>
      <c r="LHS10" s="3447"/>
      <c r="LHT10" s="3447"/>
      <c r="LHU10" s="3447"/>
      <c r="LHV10" s="3447"/>
      <c r="LHW10" s="3447"/>
      <c r="LHX10" s="3447"/>
      <c r="LHY10" s="3447"/>
      <c r="LHZ10" s="3447"/>
      <c r="LIA10" s="3447"/>
      <c r="LIB10" s="3447"/>
      <c r="LIC10" s="3447"/>
      <c r="LID10" s="3447"/>
      <c r="LIE10" s="3447"/>
      <c r="LIF10" s="3447"/>
      <c r="LIG10" s="3447"/>
      <c r="LIH10" s="3447"/>
      <c r="LII10" s="3447"/>
      <c r="LIJ10" s="3447"/>
      <c r="LIK10" s="3447"/>
      <c r="LIL10" s="3447"/>
      <c r="LIM10" s="3447"/>
      <c r="LIN10" s="3447"/>
      <c r="LIO10" s="3447"/>
      <c r="LIP10" s="3447"/>
      <c r="LIQ10" s="3447"/>
      <c r="LIR10" s="3447"/>
      <c r="LIS10" s="3447"/>
      <c r="LIT10" s="3447"/>
      <c r="LIU10" s="3447"/>
      <c r="LIV10" s="3447"/>
      <c r="LIW10" s="3447"/>
      <c r="LIX10" s="3447"/>
      <c r="LIY10" s="3447"/>
      <c r="LIZ10" s="3447"/>
      <c r="LJA10" s="3447"/>
      <c r="LJB10" s="3447"/>
      <c r="LJC10" s="3447"/>
      <c r="LJD10" s="3447"/>
      <c r="LJE10" s="3447"/>
      <c r="LJF10" s="3447"/>
      <c r="LJG10" s="3447"/>
      <c r="LJH10" s="3447"/>
      <c r="LJI10" s="3447"/>
      <c r="LJJ10" s="3447"/>
      <c r="LJK10" s="3447"/>
      <c r="LJL10" s="3447"/>
      <c r="LJM10" s="3447"/>
      <c r="LJN10" s="3447"/>
      <c r="LJO10" s="3447"/>
      <c r="LJP10" s="3447"/>
      <c r="LJQ10" s="3447"/>
      <c r="LJR10" s="3447"/>
      <c r="LJS10" s="3447"/>
      <c r="LJT10" s="3447"/>
      <c r="LJU10" s="3447"/>
      <c r="LJV10" s="3447"/>
      <c r="LJW10" s="3447"/>
      <c r="LJX10" s="3447"/>
      <c r="LJY10" s="3447"/>
      <c r="LJZ10" s="3447"/>
      <c r="LKA10" s="3447"/>
      <c r="LKB10" s="3447"/>
      <c r="LKC10" s="3447"/>
      <c r="LKD10" s="3447"/>
      <c r="LKE10" s="3447"/>
      <c r="LKF10" s="3447"/>
      <c r="LKG10" s="3447"/>
      <c r="LKH10" s="3447"/>
      <c r="LKI10" s="3447"/>
      <c r="LKJ10" s="3447"/>
      <c r="LKK10" s="3447"/>
      <c r="LKL10" s="3447"/>
      <c r="LKM10" s="3447"/>
      <c r="LKN10" s="3447"/>
      <c r="LKO10" s="3447"/>
      <c r="LKP10" s="3447"/>
      <c r="LKQ10" s="3447"/>
      <c r="LKR10" s="3447"/>
      <c r="LKS10" s="3447"/>
      <c r="LKT10" s="3447"/>
      <c r="LKU10" s="3447"/>
      <c r="LKV10" s="3447"/>
      <c r="LKW10" s="3447"/>
      <c r="LKX10" s="3447"/>
      <c r="LKY10" s="3447"/>
      <c r="LKZ10" s="3447"/>
      <c r="LLA10" s="3447"/>
      <c r="LLB10" s="3447"/>
      <c r="LLC10" s="3447"/>
      <c r="LLD10" s="3447"/>
      <c r="LLE10" s="3447"/>
      <c r="LLF10" s="3447"/>
      <c r="LLG10" s="3447"/>
      <c r="LLH10" s="3447"/>
      <c r="LLI10" s="3447"/>
      <c r="LLJ10" s="3447"/>
      <c r="LLK10" s="3447"/>
      <c r="LLL10" s="3447"/>
      <c r="LLM10" s="3447"/>
      <c r="LLN10" s="3447"/>
      <c r="LLO10" s="3447"/>
      <c r="LLP10" s="3447"/>
      <c r="LLQ10" s="3447"/>
      <c r="LLR10" s="3447"/>
      <c r="LLS10" s="3447"/>
      <c r="LLT10" s="3447"/>
      <c r="LLU10" s="3447"/>
      <c r="LLV10" s="3447"/>
      <c r="LLW10" s="3447"/>
      <c r="LLX10" s="3447"/>
      <c r="LLY10" s="3447"/>
      <c r="LLZ10" s="3447"/>
      <c r="LMA10" s="3447"/>
      <c r="LMB10" s="3447"/>
      <c r="LMC10" s="3447"/>
      <c r="LMD10" s="3447"/>
      <c r="LME10" s="3447"/>
      <c r="LMF10" s="3447"/>
      <c r="LMG10" s="3447"/>
      <c r="LMH10" s="3447"/>
      <c r="LMI10" s="3447"/>
      <c r="LMJ10" s="3447"/>
      <c r="LMK10" s="3447"/>
      <c r="LML10" s="3447"/>
      <c r="LMM10" s="3447"/>
      <c r="LMN10" s="3447"/>
      <c r="LMO10" s="3447"/>
      <c r="LMP10" s="3447"/>
      <c r="LMQ10" s="3447"/>
      <c r="LMR10" s="3447"/>
      <c r="LMS10" s="3447"/>
      <c r="LMT10" s="3447"/>
      <c r="LMU10" s="3447"/>
      <c r="LMV10" s="3447"/>
      <c r="LMW10" s="3447"/>
      <c r="LMX10" s="3447"/>
      <c r="LMY10" s="3447"/>
      <c r="LMZ10" s="3447"/>
      <c r="LNA10" s="3447"/>
      <c r="LNB10" s="3447"/>
      <c r="LNC10" s="3447"/>
      <c r="LND10" s="3447"/>
      <c r="LNE10" s="3447"/>
      <c r="LNF10" s="3447"/>
      <c r="LNG10" s="3447"/>
      <c r="LNH10" s="3447"/>
      <c r="LNI10" s="3447"/>
      <c r="LNJ10" s="3447"/>
      <c r="LNK10" s="3447"/>
      <c r="LNL10" s="3447"/>
      <c r="LNM10" s="3447"/>
      <c r="LNN10" s="3447"/>
      <c r="LNO10" s="3447"/>
      <c r="LNP10" s="3447"/>
      <c r="LNQ10" s="3447"/>
      <c r="LNR10" s="3447"/>
      <c r="LNS10" s="3447"/>
      <c r="LNT10" s="3447"/>
      <c r="LNU10" s="3447"/>
      <c r="LNV10" s="3447"/>
      <c r="LNW10" s="3447"/>
      <c r="LNX10" s="3447"/>
      <c r="LNY10" s="3447"/>
      <c r="LNZ10" s="3447"/>
      <c r="LOA10" s="3447"/>
      <c r="LOB10" s="3447"/>
      <c r="LOC10" s="3447"/>
      <c r="LOD10" s="3447"/>
      <c r="LOE10" s="3447"/>
      <c r="LOF10" s="3447"/>
      <c r="LOG10" s="3447"/>
      <c r="LOH10" s="3447"/>
      <c r="LOI10" s="3447"/>
      <c r="LOJ10" s="3447"/>
      <c r="LOK10" s="3447"/>
      <c r="LOL10" s="3447"/>
      <c r="LOM10" s="3447"/>
      <c r="LON10" s="3447"/>
      <c r="LOO10" s="3447"/>
      <c r="LOP10" s="3447"/>
      <c r="LOQ10" s="3447"/>
      <c r="LOR10" s="3447"/>
      <c r="LOS10" s="3447"/>
      <c r="LOT10" s="3447"/>
      <c r="LOU10" s="3447"/>
      <c r="LOV10" s="3447"/>
      <c r="LOW10" s="3447"/>
      <c r="LOX10" s="3447"/>
      <c r="LOY10" s="3447"/>
      <c r="LOZ10" s="3447"/>
      <c r="LPA10" s="3447"/>
      <c r="LPB10" s="3447"/>
      <c r="LPC10" s="3447"/>
      <c r="LPD10" s="3447"/>
      <c r="LPE10" s="3447"/>
      <c r="LPF10" s="3447"/>
      <c r="LPG10" s="3447"/>
      <c r="LPH10" s="3447"/>
      <c r="LPI10" s="3447"/>
      <c r="LPJ10" s="3447"/>
      <c r="LPK10" s="3447"/>
      <c r="LPL10" s="3447"/>
      <c r="LPM10" s="3447"/>
      <c r="LPN10" s="3447"/>
      <c r="LPO10" s="3447"/>
      <c r="LPP10" s="3447"/>
      <c r="LPQ10" s="3447"/>
      <c r="LPR10" s="3447"/>
      <c r="LPS10" s="3447"/>
      <c r="LPT10" s="3447"/>
      <c r="LPU10" s="3447"/>
      <c r="LPV10" s="3447"/>
      <c r="LPW10" s="3447"/>
      <c r="LPX10" s="3447"/>
      <c r="LPY10" s="3447"/>
      <c r="LPZ10" s="3447"/>
      <c r="LQA10" s="3447"/>
      <c r="LQB10" s="3447"/>
      <c r="LQC10" s="3447"/>
      <c r="LQD10" s="3447"/>
      <c r="LQE10" s="3447"/>
      <c r="LQF10" s="3447"/>
      <c r="LQG10" s="3447"/>
      <c r="LQH10" s="3447"/>
      <c r="LQI10" s="3447"/>
      <c r="LQJ10" s="3447"/>
      <c r="LQK10" s="3447"/>
      <c r="LQL10" s="3447"/>
      <c r="LQM10" s="3447"/>
      <c r="LQN10" s="3447"/>
      <c r="LQO10" s="3447"/>
      <c r="LQP10" s="3447"/>
      <c r="LQQ10" s="3447"/>
      <c r="LQR10" s="3447"/>
      <c r="LQS10" s="3447"/>
      <c r="LQT10" s="3447"/>
      <c r="LQU10" s="3447"/>
      <c r="LQV10" s="3447"/>
      <c r="LQW10" s="3447"/>
      <c r="LQX10" s="3447"/>
      <c r="LQY10" s="3447"/>
      <c r="LQZ10" s="3447"/>
      <c r="LRA10" s="3447"/>
      <c r="LRB10" s="3447"/>
      <c r="LRC10" s="3447"/>
      <c r="LRD10" s="3447"/>
      <c r="LRE10" s="3447"/>
      <c r="LRF10" s="3447"/>
      <c r="LRG10" s="3447"/>
      <c r="LRH10" s="3447"/>
      <c r="LRI10" s="3447"/>
      <c r="LRJ10" s="3447"/>
      <c r="LRK10" s="3447"/>
      <c r="LRL10" s="3447"/>
      <c r="LRM10" s="3447"/>
      <c r="LRN10" s="3447"/>
      <c r="LRO10" s="3447"/>
      <c r="LRP10" s="3447"/>
      <c r="LRQ10" s="3447"/>
      <c r="LRR10" s="3447"/>
      <c r="LRS10" s="3447"/>
      <c r="LRT10" s="3447"/>
      <c r="LRU10" s="3447"/>
      <c r="LRV10" s="3447"/>
      <c r="LRW10" s="3447"/>
      <c r="LRX10" s="3447"/>
      <c r="LRY10" s="3447"/>
      <c r="LRZ10" s="3447"/>
      <c r="LSA10" s="3447"/>
      <c r="LSB10" s="3447"/>
      <c r="LSC10" s="3447"/>
      <c r="LSD10" s="3447"/>
      <c r="LSE10" s="3447"/>
      <c r="LSF10" s="3447"/>
      <c r="LSG10" s="3447"/>
      <c r="LSH10" s="3447"/>
      <c r="LSI10" s="3447"/>
      <c r="LSJ10" s="3447"/>
      <c r="LSK10" s="3447"/>
      <c r="LSL10" s="3447"/>
      <c r="LSM10" s="3447"/>
      <c r="LSN10" s="3447"/>
      <c r="LSO10" s="3447"/>
      <c r="LSP10" s="3447"/>
      <c r="LSQ10" s="3447"/>
      <c r="LSR10" s="3447"/>
      <c r="LSS10" s="3447"/>
      <c r="LST10" s="3447"/>
      <c r="LSU10" s="3447"/>
      <c r="LSV10" s="3447"/>
      <c r="LSW10" s="3447"/>
      <c r="LSX10" s="3447"/>
      <c r="LSY10" s="3447"/>
      <c r="LSZ10" s="3447"/>
      <c r="LTA10" s="3447"/>
      <c r="LTB10" s="3447"/>
      <c r="LTC10" s="3447"/>
      <c r="LTD10" s="3447"/>
      <c r="LTE10" s="3447"/>
      <c r="LTF10" s="3447"/>
      <c r="LTG10" s="3447"/>
      <c r="LTH10" s="3447"/>
      <c r="LTI10" s="3447"/>
      <c r="LTJ10" s="3447"/>
      <c r="LTK10" s="3447"/>
      <c r="LTL10" s="3447"/>
      <c r="LTM10" s="3447"/>
      <c r="LTN10" s="3447"/>
      <c r="LTO10" s="3447"/>
      <c r="LTP10" s="3447"/>
      <c r="LTQ10" s="3447"/>
      <c r="LTR10" s="3447"/>
      <c r="LTS10" s="3447"/>
      <c r="LTT10" s="3447"/>
      <c r="LTU10" s="3447"/>
      <c r="LTV10" s="3447"/>
      <c r="LTW10" s="3447"/>
      <c r="LTX10" s="3447"/>
      <c r="LTY10" s="3447"/>
      <c r="LTZ10" s="3447"/>
      <c r="LUA10" s="3447"/>
      <c r="LUB10" s="3447"/>
      <c r="LUC10" s="3447"/>
      <c r="LUD10" s="3447"/>
      <c r="LUE10" s="3447"/>
      <c r="LUF10" s="3447"/>
      <c r="LUG10" s="3447"/>
      <c r="LUH10" s="3447"/>
      <c r="LUI10" s="3447"/>
      <c r="LUJ10" s="3447"/>
      <c r="LUK10" s="3447"/>
      <c r="LUL10" s="3447"/>
      <c r="LUM10" s="3447"/>
      <c r="LUN10" s="3447"/>
      <c r="LUO10" s="3447"/>
      <c r="LUP10" s="3447"/>
      <c r="LUQ10" s="3447"/>
      <c r="LUR10" s="3447"/>
      <c r="LUS10" s="3447"/>
      <c r="LUT10" s="3447"/>
      <c r="LUU10" s="3447"/>
      <c r="LUV10" s="3447"/>
      <c r="LUW10" s="3447"/>
      <c r="LUX10" s="3447"/>
      <c r="LUY10" s="3447"/>
      <c r="LUZ10" s="3447"/>
      <c r="LVA10" s="3447"/>
      <c r="LVB10" s="3447"/>
      <c r="LVC10" s="3447"/>
      <c r="LVD10" s="3447"/>
      <c r="LVE10" s="3447"/>
      <c r="LVF10" s="3447"/>
      <c r="LVG10" s="3447"/>
      <c r="LVH10" s="3447"/>
      <c r="LVI10" s="3447"/>
      <c r="LVJ10" s="3447"/>
      <c r="LVK10" s="3447"/>
      <c r="LVL10" s="3447"/>
      <c r="LVM10" s="3447"/>
      <c r="LVN10" s="3447"/>
      <c r="LVO10" s="3447"/>
      <c r="LVP10" s="3447"/>
      <c r="LVQ10" s="3447"/>
      <c r="LVR10" s="3447"/>
      <c r="LVS10" s="3447"/>
      <c r="LVT10" s="3447"/>
      <c r="LVU10" s="3447"/>
      <c r="LVV10" s="3447"/>
      <c r="LVW10" s="3447"/>
      <c r="LVX10" s="3447"/>
      <c r="LVY10" s="3447"/>
      <c r="LVZ10" s="3447"/>
      <c r="LWA10" s="3447"/>
      <c r="LWB10" s="3447"/>
      <c r="LWC10" s="3447"/>
      <c r="LWD10" s="3447"/>
      <c r="LWE10" s="3447"/>
      <c r="LWF10" s="3447"/>
      <c r="LWG10" s="3447"/>
      <c r="LWH10" s="3447"/>
      <c r="LWI10" s="3447"/>
      <c r="LWJ10" s="3447"/>
      <c r="LWK10" s="3447"/>
      <c r="LWL10" s="3447"/>
      <c r="LWM10" s="3447"/>
      <c r="LWN10" s="3447"/>
      <c r="LWO10" s="3447"/>
      <c r="LWP10" s="3447"/>
      <c r="LWQ10" s="3447"/>
      <c r="LWR10" s="3447"/>
      <c r="LWS10" s="3447"/>
      <c r="LWT10" s="3447"/>
      <c r="LWU10" s="3447"/>
      <c r="LWV10" s="3447"/>
      <c r="LWW10" s="3447"/>
      <c r="LWX10" s="3447"/>
      <c r="LWY10" s="3447"/>
      <c r="LWZ10" s="3447"/>
      <c r="LXA10" s="3447"/>
      <c r="LXB10" s="3447"/>
      <c r="LXC10" s="3447"/>
      <c r="LXD10" s="3447"/>
      <c r="LXE10" s="3447"/>
      <c r="LXF10" s="3447"/>
      <c r="LXG10" s="3447"/>
      <c r="LXH10" s="3447"/>
      <c r="LXI10" s="3447"/>
      <c r="LXJ10" s="3447"/>
      <c r="LXK10" s="3447"/>
      <c r="LXL10" s="3447"/>
      <c r="LXM10" s="3447"/>
      <c r="LXN10" s="3447"/>
      <c r="LXO10" s="3447"/>
      <c r="LXP10" s="3447"/>
      <c r="LXQ10" s="3447"/>
      <c r="LXR10" s="3447"/>
      <c r="LXS10" s="3447"/>
      <c r="LXT10" s="3447"/>
      <c r="LXU10" s="3447"/>
      <c r="LXV10" s="3447"/>
      <c r="LXW10" s="3447"/>
      <c r="LXX10" s="3447"/>
      <c r="LXY10" s="3447"/>
      <c r="LXZ10" s="3447"/>
      <c r="LYA10" s="3447"/>
      <c r="LYB10" s="3447"/>
      <c r="LYC10" s="3447"/>
      <c r="LYD10" s="3447"/>
      <c r="LYE10" s="3447"/>
      <c r="LYF10" s="3447"/>
      <c r="LYG10" s="3447"/>
      <c r="LYH10" s="3447"/>
      <c r="LYI10" s="3447"/>
      <c r="LYJ10" s="3447"/>
      <c r="LYK10" s="3447"/>
      <c r="LYL10" s="3447"/>
      <c r="LYM10" s="3447"/>
      <c r="LYN10" s="3447"/>
      <c r="LYO10" s="3447"/>
      <c r="LYP10" s="3447"/>
      <c r="LYQ10" s="3447"/>
      <c r="LYR10" s="3447"/>
      <c r="LYS10" s="3447"/>
      <c r="LYT10" s="3447"/>
      <c r="LYU10" s="3447"/>
      <c r="LYV10" s="3447"/>
      <c r="LYW10" s="3447"/>
      <c r="LYX10" s="3447"/>
      <c r="LYY10" s="3447"/>
      <c r="LYZ10" s="3447"/>
      <c r="LZA10" s="3447"/>
      <c r="LZB10" s="3447"/>
      <c r="LZC10" s="3447"/>
      <c r="LZD10" s="3447"/>
      <c r="LZE10" s="3447"/>
      <c r="LZF10" s="3447"/>
      <c r="LZG10" s="3447"/>
      <c r="LZH10" s="3447"/>
      <c r="LZI10" s="3447"/>
      <c r="LZJ10" s="3447"/>
      <c r="LZK10" s="3447"/>
      <c r="LZL10" s="3447"/>
      <c r="LZM10" s="3447"/>
      <c r="LZN10" s="3447"/>
      <c r="LZO10" s="3447"/>
      <c r="LZP10" s="3447"/>
      <c r="LZQ10" s="3447"/>
      <c r="LZR10" s="3447"/>
      <c r="LZS10" s="3447"/>
      <c r="LZT10" s="3447"/>
      <c r="LZU10" s="3447"/>
      <c r="LZV10" s="3447"/>
      <c r="LZW10" s="3447"/>
      <c r="LZX10" s="3447"/>
      <c r="LZY10" s="3447"/>
      <c r="LZZ10" s="3447"/>
      <c r="MAA10" s="3447"/>
      <c r="MAB10" s="3447"/>
      <c r="MAC10" s="3447"/>
      <c r="MAD10" s="3447"/>
      <c r="MAE10" s="3447"/>
      <c r="MAF10" s="3447"/>
      <c r="MAG10" s="3447"/>
      <c r="MAH10" s="3447"/>
      <c r="MAI10" s="3447"/>
      <c r="MAJ10" s="3447"/>
      <c r="MAK10" s="3447"/>
      <c r="MAL10" s="3447"/>
      <c r="MAM10" s="3447"/>
      <c r="MAN10" s="3447"/>
      <c r="MAO10" s="3447"/>
      <c r="MAP10" s="3447"/>
      <c r="MAQ10" s="3447"/>
      <c r="MAR10" s="3447"/>
      <c r="MAS10" s="3447"/>
      <c r="MAT10" s="3447"/>
      <c r="MAU10" s="3447"/>
      <c r="MAV10" s="3447"/>
      <c r="MAW10" s="3447"/>
      <c r="MAX10" s="3447"/>
      <c r="MAY10" s="3447"/>
      <c r="MAZ10" s="3447"/>
      <c r="MBA10" s="3447"/>
      <c r="MBB10" s="3447"/>
      <c r="MBC10" s="3447"/>
      <c r="MBD10" s="3447"/>
      <c r="MBE10" s="3447"/>
      <c r="MBF10" s="3447"/>
      <c r="MBG10" s="3447"/>
      <c r="MBH10" s="3447"/>
      <c r="MBI10" s="3447"/>
      <c r="MBJ10" s="3447"/>
      <c r="MBK10" s="3447"/>
      <c r="MBL10" s="3447"/>
      <c r="MBM10" s="3447"/>
      <c r="MBN10" s="3447"/>
      <c r="MBO10" s="3447"/>
      <c r="MBP10" s="3447"/>
      <c r="MBQ10" s="3447"/>
      <c r="MBR10" s="3447"/>
      <c r="MBS10" s="3447"/>
      <c r="MBT10" s="3447"/>
      <c r="MBU10" s="3447"/>
      <c r="MBV10" s="3447"/>
      <c r="MBW10" s="3447"/>
      <c r="MBX10" s="3447"/>
      <c r="MBY10" s="3447"/>
      <c r="MBZ10" s="3447"/>
      <c r="MCA10" s="3447"/>
      <c r="MCB10" s="3447"/>
      <c r="MCC10" s="3447"/>
      <c r="MCD10" s="3447"/>
      <c r="MCE10" s="3447"/>
      <c r="MCF10" s="3447"/>
      <c r="MCG10" s="3447"/>
      <c r="MCH10" s="3447"/>
      <c r="MCI10" s="3447"/>
      <c r="MCJ10" s="3447"/>
      <c r="MCK10" s="3447"/>
      <c r="MCL10" s="3447"/>
      <c r="MCM10" s="3447"/>
      <c r="MCN10" s="3447"/>
      <c r="MCO10" s="3447"/>
      <c r="MCP10" s="3447"/>
      <c r="MCQ10" s="3447"/>
      <c r="MCR10" s="3447"/>
      <c r="MCS10" s="3447"/>
      <c r="MCT10" s="3447"/>
      <c r="MCU10" s="3447"/>
      <c r="MCV10" s="3447"/>
      <c r="MCW10" s="3447"/>
      <c r="MCX10" s="3447"/>
      <c r="MCY10" s="3447"/>
      <c r="MCZ10" s="3447"/>
      <c r="MDA10" s="3447"/>
      <c r="MDB10" s="3447"/>
      <c r="MDC10" s="3447"/>
      <c r="MDD10" s="3447"/>
      <c r="MDE10" s="3447"/>
      <c r="MDF10" s="3447"/>
      <c r="MDG10" s="3447"/>
      <c r="MDH10" s="3447"/>
      <c r="MDI10" s="3447"/>
      <c r="MDJ10" s="3447"/>
      <c r="MDK10" s="3447"/>
      <c r="MDL10" s="3447"/>
      <c r="MDM10" s="3447"/>
      <c r="MDN10" s="3447"/>
      <c r="MDO10" s="3447"/>
      <c r="MDP10" s="3447"/>
      <c r="MDQ10" s="3447"/>
      <c r="MDR10" s="3447"/>
      <c r="MDS10" s="3447"/>
      <c r="MDT10" s="3447"/>
      <c r="MDU10" s="3447"/>
      <c r="MDV10" s="3447"/>
      <c r="MDW10" s="3447"/>
      <c r="MDX10" s="3447"/>
      <c r="MDY10" s="3447"/>
      <c r="MDZ10" s="3447"/>
      <c r="MEA10" s="3447"/>
      <c r="MEB10" s="3447"/>
      <c r="MEC10" s="3447"/>
      <c r="MED10" s="3447"/>
      <c r="MEE10" s="3447"/>
      <c r="MEF10" s="3447"/>
      <c r="MEG10" s="3447"/>
      <c r="MEH10" s="3447"/>
      <c r="MEI10" s="3447"/>
      <c r="MEJ10" s="3447"/>
      <c r="MEK10" s="3447"/>
      <c r="MEL10" s="3447"/>
      <c r="MEM10" s="3447"/>
      <c r="MEN10" s="3447"/>
      <c r="MEO10" s="3447"/>
      <c r="MEP10" s="3447"/>
      <c r="MEQ10" s="3447"/>
      <c r="MER10" s="3447"/>
      <c r="MES10" s="3447"/>
      <c r="MET10" s="3447"/>
      <c r="MEU10" s="3447"/>
      <c r="MEV10" s="3447"/>
      <c r="MEW10" s="3447"/>
      <c r="MEX10" s="3447"/>
      <c r="MEY10" s="3447"/>
      <c r="MEZ10" s="3447"/>
      <c r="MFA10" s="3447"/>
      <c r="MFB10" s="3447"/>
      <c r="MFC10" s="3447"/>
      <c r="MFD10" s="3447"/>
      <c r="MFE10" s="3447"/>
      <c r="MFF10" s="3447"/>
      <c r="MFG10" s="3447"/>
      <c r="MFH10" s="3447"/>
      <c r="MFI10" s="3447"/>
      <c r="MFJ10" s="3447"/>
      <c r="MFK10" s="3447"/>
      <c r="MFL10" s="3447"/>
      <c r="MFM10" s="3447"/>
      <c r="MFN10" s="3447"/>
      <c r="MFO10" s="3447"/>
      <c r="MFP10" s="3447"/>
      <c r="MFQ10" s="3447"/>
      <c r="MFR10" s="3447"/>
      <c r="MFS10" s="3447"/>
      <c r="MFT10" s="3447"/>
      <c r="MFU10" s="3447"/>
      <c r="MFV10" s="3447"/>
      <c r="MFW10" s="3447"/>
      <c r="MFX10" s="3447"/>
      <c r="MFY10" s="3447"/>
      <c r="MFZ10" s="3447"/>
      <c r="MGA10" s="3447"/>
      <c r="MGB10" s="3447"/>
      <c r="MGC10" s="3447"/>
      <c r="MGD10" s="3447"/>
      <c r="MGE10" s="3447"/>
      <c r="MGF10" s="3447"/>
      <c r="MGG10" s="3447"/>
      <c r="MGH10" s="3447"/>
      <c r="MGI10" s="3447"/>
      <c r="MGJ10" s="3447"/>
      <c r="MGK10" s="3447"/>
      <c r="MGL10" s="3447"/>
      <c r="MGM10" s="3447"/>
      <c r="MGN10" s="3447"/>
      <c r="MGO10" s="3447"/>
      <c r="MGP10" s="3447"/>
      <c r="MGQ10" s="3447"/>
      <c r="MGR10" s="3447"/>
      <c r="MGS10" s="3447"/>
      <c r="MGT10" s="3447"/>
      <c r="MGU10" s="3447"/>
      <c r="MGV10" s="3447"/>
      <c r="MGW10" s="3447"/>
      <c r="MGX10" s="3447"/>
      <c r="MGY10" s="3447"/>
      <c r="MGZ10" s="3447"/>
      <c r="MHA10" s="3447"/>
      <c r="MHB10" s="3447"/>
      <c r="MHC10" s="3447"/>
      <c r="MHD10" s="3447"/>
      <c r="MHE10" s="3447"/>
      <c r="MHF10" s="3447"/>
      <c r="MHG10" s="3447"/>
      <c r="MHH10" s="3447"/>
      <c r="MHI10" s="3447"/>
      <c r="MHJ10" s="3447"/>
      <c r="MHK10" s="3447"/>
      <c r="MHL10" s="3447"/>
      <c r="MHM10" s="3447"/>
      <c r="MHN10" s="3447"/>
      <c r="MHO10" s="3447"/>
      <c r="MHP10" s="3447"/>
      <c r="MHQ10" s="3447"/>
      <c r="MHR10" s="3447"/>
      <c r="MHS10" s="3447"/>
      <c r="MHT10" s="3447"/>
      <c r="MHU10" s="3447"/>
      <c r="MHV10" s="3447"/>
      <c r="MHW10" s="3447"/>
      <c r="MHX10" s="3447"/>
      <c r="MHY10" s="3447"/>
      <c r="MHZ10" s="3447"/>
      <c r="MIA10" s="3447"/>
      <c r="MIB10" s="3447"/>
      <c r="MIC10" s="3447"/>
      <c r="MID10" s="3447"/>
      <c r="MIE10" s="3447"/>
      <c r="MIF10" s="3447"/>
      <c r="MIG10" s="3447"/>
      <c r="MIH10" s="3447"/>
      <c r="MII10" s="3447"/>
      <c r="MIJ10" s="3447"/>
      <c r="MIK10" s="3447"/>
      <c r="MIL10" s="3447"/>
      <c r="MIM10" s="3447"/>
      <c r="MIN10" s="3447"/>
      <c r="MIO10" s="3447"/>
      <c r="MIP10" s="3447"/>
      <c r="MIQ10" s="3447"/>
      <c r="MIR10" s="3447"/>
      <c r="MIS10" s="3447"/>
      <c r="MIT10" s="3447"/>
      <c r="MIU10" s="3447"/>
      <c r="MIV10" s="3447"/>
      <c r="MIW10" s="3447"/>
      <c r="MIX10" s="3447"/>
      <c r="MIY10" s="3447"/>
      <c r="MIZ10" s="3447"/>
      <c r="MJA10" s="3447"/>
      <c r="MJB10" s="3447"/>
      <c r="MJC10" s="3447"/>
      <c r="MJD10" s="3447"/>
      <c r="MJE10" s="3447"/>
      <c r="MJF10" s="3447"/>
      <c r="MJG10" s="3447"/>
      <c r="MJH10" s="3447"/>
      <c r="MJI10" s="3447"/>
      <c r="MJJ10" s="3447"/>
      <c r="MJK10" s="3447"/>
      <c r="MJL10" s="3447"/>
      <c r="MJM10" s="3447"/>
      <c r="MJN10" s="3447"/>
      <c r="MJO10" s="3447"/>
      <c r="MJP10" s="3447"/>
      <c r="MJQ10" s="3447"/>
      <c r="MJR10" s="3447"/>
      <c r="MJS10" s="3447"/>
      <c r="MJT10" s="3447"/>
      <c r="MJU10" s="3447"/>
      <c r="MJV10" s="3447"/>
      <c r="MJW10" s="3447"/>
      <c r="MJX10" s="3447"/>
      <c r="MJY10" s="3447"/>
      <c r="MJZ10" s="3447"/>
      <c r="MKA10" s="3447"/>
      <c r="MKB10" s="3447"/>
      <c r="MKC10" s="3447"/>
      <c r="MKD10" s="3447"/>
      <c r="MKE10" s="3447"/>
      <c r="MKF10" s="3447"/>
      <c r="MKG10" s="3447"/>
      <c r="MKH10" s="3447"/>
      <c r="MKI10" s="3447"/>
      <c r="MKJ10" s="3447"/>
      <c r="MKK10" s="3447"/>
      <c r="MKL10" s="3447"/>
      <c r="MKM10" s="3447"/>
      <c r="MKN10" s="3447"/>
      <c r="MKO10" s="3447"/>
      <c r="MKP10" s="3447"/>
      <c r="MKQ10" s="3447"/>
      <c r="MKR10" s="3447"/>
      <c r="MKS10" s="3447"/>
      <c r="MKT10" s="3447"/>
      <c r="MKU10" s="3447"/>
      <c r="MKV10" s="3447"/>
      <c r="MKW10" s="3447"/>
      <c r="MKX10" s="3447"/>
      <c r="MKY10" s="3447"/>
      <c r="MKZ10" s="3447"/>
      <c r="MLA10" s="3447"/>
      <c r="MLB10" s="3447"/>
      <c r="MLC10" s="3447"/>
      <c r="MLD10" s="3447"/>
      <c r="MLE10" s="3447"/>
      <c r="MLF10" s="3447"/>
      <c r="MLG10" s="3447"/>
      <c r="MLH10" s="3447"/>
      <c r="MLI10" s="3447"/>
      <c r="MLJ10" s="3447"/>
      <c r="MLK10" s="3447"/>
      <c r="MLL10" s="3447"/>
      <c r="MLM10" s="3447"/>
      <c r="MLN10" s="3447"/>
      <c r="MLO10" s="3447"/>
      <c r="MLP10" s="3447"/>
      <c r="MLQ10" s="3447"/>
      <c r="MLR10" s="3447"/>
      <c r="MLS10" s="3447"/>
      <c r="MLT10" s="3447"/>
      <c r="MLU10" s="3447"/>
      <c r="MLV10" s="3447"/>
      <c r="MLW10" s="3447"/>
      <c r="MLX10" s="3447"/>
      <c r="MLY10" s="3447"/>
      <c r="MLZ10" s="3447"/>
      <c r="MMA10" s="3447"/>
      <c r="MMB10" s="3447"/>
      <c r="MMC10" s="3447"/>
      <c r="MMD10" s="3447"/>
      <c r="MME10" s="3447"/>
      <c r="MMF10" s="3447"/>
      <c r="MMG10" s="3447"/>
      <c r="MMH10" s="3447"/>
      <c r="MMI10" s="3447"/>
      <c r="MMJ10" s="3447"/>
      <c r="MMK10" s="3447"/>
      <c r="MML10" s="3447"/>
      <c r="MMM10" s="3447"/>
      <c r="MMN10" s="3447"/>
      <c r="MMO10" s="3447"/>
      <c r="MMP10" s="3447"/>
      <c r="MMQ10" s="3447"/>
      <c r="MMR10" s="3447"/>
      <c r="MMS10" s="3447"/>
      <c r="MMT10" s="3447"/>
      <c r="MMU10" s="3447"/>
      <c r="MMV10" s="3447"/>
      <c r="MMW10" s="3447"/>
      <c r="MMX10" s="3447"/>
      <c r="MMY10" s="3447"/>
      <c r="MMZ10" s="3447"/>
      <c r="MNA10" s="3447"/>
      <c r="MNB10" s="3447"/>
      <c r="MNC10" s="3447"/>
      <c r="MND10" s="3447"/>
      <c r="MNE10" s="3447"/>
      <c r="MNF10" s="3447"/>
      <c r="MNG10" s="3447"/>
      <c r="MNH10" s="3447"/>
      <c r="MNI10" s="3447"/>
      <c r="MNJ10" s="3447"/>
      <c r="MNK10" s="3447"/>
      <c r="MNL10" s="3447"/>
      <c r="MNM10" s="3447"/>
      <c r="MNN10" s="3447"/>
      <c r="MNO10" s="3447"/>
      <c r="MNP10" s="3447"/>
      <c r="MNQ10" s="3447"/>
      <c r="MNR10" s="3447"/>
      <c r="MNS10" s="3447"/>
      <c r="MNT10" s="3447"/>
      <c r="MNU10" s="3447"/>
      <c r="MNV10" s="3447"/>
      <c r="MNW10" s="3447"/>
      <c r="MNX10" s="3447"/>
      <c r="MNY10" s="3447"/>
      <c r="MNZ10" s="3447"/>
      <c r="MOA10" s="3447"/>
      <c r="MOB10" s="3447"/>
      <c r="MOC10" s="3447"/>
      <c r="MOD10" s="3447"/>
      <c r="MOE10" s="3447"/>
      <c r="MOF10" s="3447"/>
      <c r="MOG10" s="3447"/>
      <c r="MOH10" s="3447"/>
      <c r="MOI10" s="3447"/>
      <c r="MOJ10" s="3447"/>
      <c r="MOK10" s="3447"/>
      <c r="MOL10" s="3447"/>
      <c r="MOM10" s="3447"/>
      <c r="MON10" s="3447"/>
      <c r="MOO10" s="3447"/>
      <c r="MOP10" s="3447"/>
      <c r="MOQ10" s="3447"/>
      <c r="MOR10" s="3447"/>
      <c r="MOS10" s="3447"/>
      <c r="MOT10" s="3447"/>
      <c r="MOU10" s="3447"/>
      <c r="MOV10" s="3447"/>
      <c r="MOW10" s="3447"/>
      <c r="MOX10" s="3447"/>
      <c r="MOY10" s="3447"/>
      <c r="MOZ10" s="3447"/>
      <c r="MPA10" s="3447"/>
      <c r="MPB10" s="3447"/>
      <c r="MPC10" s="3447"/>
      <c r="MPD10" s="3447"/>
      <c r="MPE10" s="3447"/>
      <c r="MPF10" s="3447"/>
      <c r="MPG10" s="3447"/>
      <c r="MPH10" s="3447"/>
      <c r="MPI10" s="3447"/>
      <c r="MPJ10" s="3447"/>
      <c r="MPK10" s="3447"/>
      <c r="MPL10" s="3447"/>
      <c r="MPM10" s="3447"/>
      <c r="MPN10" s="3447"/>
      <c r="MPO10" s="3447"/>
      <c r="MPP10" s="3447"/>
      <c r="MPQ10" s="3447"/>
      <c r="MPR10" s="3447"/>
      <c r="MPS10" s="3447"/>
      <c r="MPT10" s="3447"/>
      <c r="MPU10" s="3447"/>
      <c r="MPV10" s="3447"/>
      <c r="MPW10" s="3447"/>
      <c r="MPX10" s="3447"/>
      <c r="MPY10" s="3447"/>
      <c r="MPZ10" s="3447"/>
      <c r="MQA10" s="3447"/>
      <c r="MQB10" s="3447"/>
      <c r="MQC10" s="3447"/>
      <c r="MQD10" s="3447"/>
      <c r="MQE10" s="3447"/>
      <c r="MQF10" s="3447"/>
      <c r="MQG10" s="3447"/>
      <c r="MQH10" s="3447"/>
      <c r="MQI10" s="3447"/>
      <c r="MQJ10" s="3447"/>
      <c r="MQK10" s="3447"/>
      <c r="MQL10" s="3447"/>
      <c r="MQM10" s="3447"/>
      <c r="MQN10" s="3447"/>
      <c r="MQO10" s="3447"/>
      <c r="MQP10" s="3447"/>
      <c r="MQQ10" s="3447"/>
      <c r="MQR10" s="3447"/>
      <c r="MQS10" s="3447"/>
      <c r="MQT10" s="3447"/>
      <c r="MQU10" s="3447"/>
      <c r="MQV10" s="3447"/>
      <c r="MQW10" s="3447"/>
      <c r="MQX10" s="3447"/>
      <c r="MQY10" s="3447"/>
      <c r="MQZ10" s="3447"/>
      <c r="MRA10" s="3447"/>
      <c r="MRB10" s="3447"/>
      <c r="MRC10" s="3447"/>
      <c r="MRD10" s="3447"/>
      <c r="MRE10" s="3447"/>
      <c r="MRF10" s="3447"/>
      <c r="MRG10" s="3447"/>
      <c r="MRH10" s="3447"/>
      <c r="MRI10" s="3447"/>
      <c r="MRJ10" s="3447"/>
      <c r="MRK10" s="3447"/>
      <c r="MRL10" s="3447"/>
      <c r="MRM10" s="3447"/>
      <c r="MRN10" s="3447"/>
      <c r="MRO10" s="3447"/>
      <c r="MRP10" s="3447"/>
      <c r="MRQ10" s="3447"/>
      <c r="MRR10" s="3447"/>
      <c r="MRS10" s="3447"/>
      <c r="MRT10" s="3447"/>
      <c r="MRU10" s="3447"/>
      <c r="MRV10" s="3447"/>
      <c r="MRW10" s="3447"/>
      <c r="MRX10" s="3447"/>
      <c r="MRY10" s="3447"/>
      <c r="MRZ10" s="3447"/>
      <c r="MSA10" s="3447"/>
      <c r="MSB10" s="3447"/>
      <c r="MSC10" s="3447"/>
      <c r="MSD10" s="3447"/>
      <c r="MSE10" s="3447"/>
      <c r="MSF10" s="3447"/>
      <c r="MSG10" s="3447"/>
      <c r="MSH10" s="3447"/>
      <c r="MSI10" s="3447"/>
      <c r="MSJ10" s="3447"/>
      <c r="MSK10" s="3447"/>
      <c r="MSL10" s="3447"/>
      <c r="MSM10" s="3447"/>
      <c r="MSN10" s="3447"/>
      <c r="MSO10" s="3447"/>
      <c r="MSP10" s="3447"/>
      <c r="MSQ10" s="3447"/>
      <c r="MSR10" s="3447"/>
      <c r="MSS10" s="3447"/>
      <c r="MST10" s="3447"/>
      <c r="MSU10" s="3447"/>
      <c r="MSV10" s="3447"/>
      <c r="MSW10" s="3447"/>
      <c r="MSX10" s="3447"/>
      <c r="MSY10" s="3447"/>
      <c r="MSZ10" s="3447"/>
      <c r="MTA10" s="3447"/>
      <c r="MTB10" s="3447"/>
      <c r="MTC10" s="3447"/>
      <c r="MTD10" s="3447"/>
      <c r="MTE10" s="3447"/>
      <c r="MTF10" s="3447"/>
      <c r="MTG10" s="3447"/>
      <c r="MTH10" s="3447"/>
      <c r="MTI10" s="3447"/>
      <c r="MTJ10" s="3447"/>
      <c r="MTK10" s="3447"/>
      <c r="MTL10" s="3447"/>
      <c r="MTM10" s="3447"/>
      <c r="MTN10" s="3447"/>
      <c r="MTO10" s="3447"/>
      <c r="MTP10" s="3447"/>
      <c r="MTQ10" s="3447"/>
      <c r="MTR10" s="3447"/>
      <c r="MTS10" s="3447"/>
      <c r="MTT10" s="3447"/>
      <c r="MTU10" s="3447"/>
      <c r="MTV10" s="3447"/>
      <c r="MTW10" s="3447"/>
      <c r="MTX10" s="3447"/>
      <c r="MTY10" s="3447"/>
      <c r="MTZ10" s="3447"/>
      <c r="MUA10" s="3447"/>
      <c r="MUB10" s="3447"/>
      <c r="MUC10" s="3447"/>
      <c r="MUD10" s="3447"/>
      <c r="MUE10" s="3447"/>
      <c r="MUF10" s="3447"/>
      <c r="MUG10" s="3447"/>
      <c r="MUH10" s="3447"/>
      <c r="MUI10" s="3447"/>
      <c r="MUJ10" s="3447"/>
      <c r="MUK10" s="3447"/>
      <c r="MUL10" s="3447"/>
      <c r="MUM10" s="3447"/>
      <c r="MUN10" s="3447"/>
      <c r="MUO10" s="3447"/>
      <c r="MUP10" s="3447"/>
      <c r="MUQ10" s="3447"/>
      <c r="MUR10" s="3447"/>
      <c r="MUS10" s="3447"/>
      <c r="MUT10" s="3447"/>
      <c r="MUU10" s="3447"/>
      <c r="MUV10" s="3447"/>
      <c r="MUW10" s="3447"/>
      <c r="MUX10" s="3447"/>
      <c r="MUY10" s="3447"/>
      <c r="MUZ10" s="3447"/>
      <c r="MVA10" s="3447"/>
      <c r="MVB10" s="3447"/>
      <c r="MVC10" s="3447"/>
      <c r="MVD10" s="3447"/>
      <c r="MVE10" s="3447"/>
      <c r="MVF10" s="3447"/>
      <c r="MVG10" s="3447"/>
      <c r="MVH10" s="3447"/>
      <c r="MVI10" s="3447"/>
      <c r="MVJ10" s="3447"/>
      <c r="MVK10" s="3447"/>
      <c r="MVL10" s="3447"/>
      <c r="MVM10" s="3447"/>
      <c r="MVN10" s="3447"/>
      <c r="MVO10" s="3447"/>
      <c r="MVP10" s="3447"/>
      <c r="MVQ10" s="3447"/>
      <c r="MVR10" s="3447"/>
      <c r="MVS10" s="3447"/>
      <c r="MVT10" s="3447"/>
      <c r="MVU10" s="3447"/>
      <c r="MVV10" s="3447"/>
      <c r="MVW10" s="3447"/>
      <c r="MVX10" s="3447"/>
      <c r="MVY10" s="3447"/>
      <c r="MVZ10" s="3447"/>
      <c r="MWA10" s="3447"/>
      <c r="MWB10" s="3447"/>
      <c r="MWC10" s="3447"/>
      <c r="MWD10" s="3447"/>
      <c r="MWE10" s="3447"/>
      <c r="MWF10" s="3447"/>
      <c r="MWG10" s="3447"/>
      <c r="MWH10" s="3447"/>
      <c r="MWI10" s="3447"/>
      <c r="MWJ10" s="3447"/>
      <c r="MWK10" s="3447"/>
      <c r="MWL10" s="3447"/>
      <c r="MWM10" s="3447"/>
      <c r="MWN10" s="3447"/>
      <c r="MWO10" s="3447"/>
      <c r="MWP10" s="3447"/>
      <c r="MWQ10" s="3447"/>
      <c r="MWR10" s="3447"/>
      <c r="MWS10" s="3447"/>
      <c r="MWT10" s="3447"/>
      <c r="MWU10" s="3447"/>
      <c r="MWV10" s="3447"/>
      <c r="MWW10" s="3447"/>
      <c r="MWX10" s="3447"/>
      <c r="MWY10" s="3447"/>
      <c r="MWZ10" s="3447"/>
      <c r="MXA10" s="3447"/>
      <c r="MXB10" s="3447"/>
      <c r="MXC10" s="3447"/>
      <c r="MXD10" s="3447"/>
      <c r="MXE10" s="3447"/>
      <c r="MXF10" s="3447"/>
      <c r="MXG10" s="3447"/>
      <c r="MXH10" s="3447"/>
      <c r="MXI10" s="3447"/>
      <c r="MXJ10" s="3447"/>
      <c r="MXK10" s="3447"/>
      <c r="MXL10" s="3447"/>
      <c r="MXM10" s="3447"/>
      <c r="MXN10" s="3447"/>
      <c r="MXO10" s="3447"/>
      <c r="MXP10" s="3447"/>
      <c r="MXQ10" s="3447"/>
      <c r="MXR10" s="3447"/>
      <c r="MXS10" s="3447"/>
      <c r="MXT10" s="3447"/>
      <c r="MXU10" s="3447"/>
      <c r="MXV10" s="3447"/>
      <c r="MXW10" s="3447"/>
      <c r="MXX10" s="3447"/>
      <c r="MXY10" s="3447"/>
      <c r="MXZ10" s="3447"/>
      <c r="MYA10" s="3447"/>
      <c r="MYB10" s="3447"/>
      <c r="MYC10" s="3447"/>
      <c r="MYD10" s="3447"/>
      <c r="MYE10" s="3447"/>
      <c r="MYF10" s="3447"/>
      <c r="MYG10" s="3447"/>
      <c r="MYH10" s="3447"/>
      <c r="MYI10" s="3447"/>
      <c r="MYJ10" s="3447"/>
      <c r="MYK10" s="3447"/>
      <c r="MYL10" s="3447"/>
      <c r="MYM10" s="3447"/>
      <c r="MYN10" s="3447"/>
      <c r="MYO10" s="3447"/>
      <c r="MYP10" s="3447"/>
      <c r="MYQ10" s="3447"/>
      <c r="MYR10" s="3447"/>
      <c r="MYS10" s="3447"/>
      <c r="MYT10" s="3447"/>
      <c r="MYU10" s="3447"/>
      <c r="MYV10" s="3447"/>
      <c r="MYW10" s="3447"/>
      <c r="MYX10" s="3447"/>
      <c r="MYY10" s="3447"/>
      <c r="MYZ10" s="3447"/>
      <c r="MZA10" s="3447"/>
      <c r="MZB10" s="3447"/>
      <c r="MZC10" s="3447"/>
      <c r="MZD10" s="3447"/>
      <c r="MZE10" s="3447"/>
      <c r="MZF10" s="3447"/>
      <c r="MZG10" s="3447"/>
      <c r="MZH10" s="3447"/>
      <c r="MZI10" s="3447"/>
      <c r="MZJ10" s="3447"/>
      <c r="MZK10" s="3447"/>
      <c r="MZL10" s="3447"/>
      <c r="MZM10" s="3447"/>
      <c r="MZN10" s="3447"/>
      <c r="MZO10" s="3447"/>
      <c r="MZP10" s="3447"/>
      <c r="MZQ10" s="3447"/>
      <c r="MZR10" s="3447"/>
      <c r="MZS10" s="3447"/>
      <c r="MZT10" s="3447"/>
      <c r="MZU10" s="3447"/>
      <c r="MZV10" s="3447"/>
      <c r="MZW10" s="3447"/>
      <c r="MZX10" s="3447"/>
      <c r="MZY10" s="3447"/>
      <c r="MZZ10" s="3447"/>
      <c r="NAA10" s="3447"/>
      <c r="NAB10" s="3447"/>
      <c r="NAC10" s="3447"/>
      <c r="NAD10" s="3447"/>
      <c r="NAE10" s="3447"/>
      <c r="NAF10" s="3447"/>
      <c r="NAG10" s="3447"/>
      <c r="NAH10" s="3447"/>
      <c r="NAI10" s="3447"/>
      <c r="NAJ10" s="3447"/>
      <c r="NAK10" s="3447"/>
      <c r="NAL10" s="3447"/>
      <c r="NAM10" s="3447"/>
      <c r="NAN10" s="3447"/>
      <c r="NAO10" s="3447"/>
      <c r="NAP10" s="3447"/>
      <c r="NAQ10" s="3447"/>
      <c r="NAR10" s="3447"/>
      <c r="NAS10" s="3447"/>
      <c r="NAT10" s="3447"/>
      <c r="NAU10" s="3447"/>
      <c r="NAV10" s="3447"/>
      <c r="NAW10" s="3447"/>
      <c r="NAX10" s="3447"/>
      <c r="NAY10" s="3447"/>
      <c r="NAZ10" s="3447"/>
      <c r="NBA10" s="3447"/>
      <c r="NBB10" s="3447"/>
      <c r="NBC10" s="3447"/>
      <c r="NBD10" s="3447"/>
      <c r="NBE10" s="3447"/>
      <c r="NBF10" s="3447"/>
      <c r="NBG10" s="3447"/>
      <c r="NBH10" s="3447"/>
      <c r="NBI10" s="3447"/>
      <c r="NBJ10" s="3447"/>
      <c r="NBK10" s="3447"/>
      <c r="NBL10" s="3447"/>
      <c r="NBM10" s="3447"/>
      <c r="NBN10" s="3447"/>
      <c r="NBO10" s="3447"/>
      <c r="NBP10" s="3447"/>
      <c r="NBQ10" s="3447"/>
      <c r="NBR10" s="3447"/>
      <c r="NBS10" s="3447"/>
      <c r="NBT10" s="3447"/>
      <c r="NBU10" s="3447"/>
      <c r="NBV10" s="3447"/>
      <c r="NBW10" s="3447"/>
      <c r="NBX10" s="3447"/>
      <c r="NBY10" s="3447"/>
      <c r="NBZ10" s="3447"/>
      <c r="NCA10" s="3447"/>
      <c r="NCB10" s="3447"/>
      <c r="NCC10" s="3447"/>
      <c r="NCD10" s="3447"/>
      <c r="NCE10" s="3447"/>
      <c r="NCF10" s="3447"/>
      <c r="NCG10" s="3447"/>
      <c r="NCH10" s="3447"/>
      <c r="NCI10" s="3447"/>
      <c r="NCJ10" s="3447"/>
      <c r="NCK10" s="3447"/>
      <c r="NCL10" s="3447"/>
      <c r="NCM10" s="3447"/>
      <c r="NCN10" s="3447"/>
      <c r="NCO10" s="3447"/>
      <c r="NCP10" s="3447"/>
      <c r="NCQ10" s="3447"/>
      <c r="NCR10" s="3447"/>
      <c r="NCS10" s="3447"/>
      <c r="NCT10" s="3447"/>
      <c r="NCU10" s="3447"/>
      <c r="NCV10" s="3447"/>
      <c r="NCW10" s="3447"/>
      <c r="NCX10" s="3447"/>
      <c r="NCY10" s="3447"/>
      <c r="NCZ10" s="3447"/>
      <c r="NDA10" s="3447"/>
      <c r="NDB10" s="3447"/>
      <c r="NDC10" s="3447"/>
      <c r="NDD10" s="3447"/>
      <c r="NDE10" s="3447"/>
      <c r="NDF10" s="3447"/>
      <c r="NDG10" s="3447"/>
      <c r="NDH10" s="3447"/>
      <c r="NDI10" s="3447"/>
      <c r="NDJ10" s="3447"/>
      <c r="NDK10" s="3447"/>
      <c r="NDL10" s="3447"/>
      <c r="NDM10" s="3447"/>
      <c r="NDN10" s="3447"/>
      <c r="NDO10" s="3447"/>
      <c r="NDP10" s="3447"/>
      <c r="NDQ10" s="3447"/>
      <c r="NDR10" s="3447"/>
      <c r="NDS10" s="3447"/>
      <c r="NDT10" s="3447"/>
      <c r="NDU10" s="3447"/>
      <c r="NDV10" s="3447"/>
      <c r="NDW10" s="3447"/>
      <c r="NDX10" s="3447"/>
      <c r="NDY10" s="3447"/>
      <c r="NDZ10" s="3447"/>
      <c r="NEA10" s="3447"/>
      <c r="NEB10" s="3447"/>
      <c r="NEC10" s="3447"/>
      <c r="NED10" s="3447"/>
      <c r="NEE10" s="3447"/>
      <c r="NEF10" s="3447"/>
      <c r="NEG10" s="3447"/>
      <c r="NEH10" s="3447"/>
      <c r="NEI10" s="3447"/>
      <c r="NEJ10" s="3447"/>
      <c r="NEK10" s="3447"/>
      <c r="NEL10" s="3447"/>
      <c r="NEM10" s="3447"/>
      <c r="NEN10" s="3447"/>
      <c r="NEO10" s="3447"/>
      <c r="NEP10" s="3447"/>
      <c r="NEQ10" s="3447"/>
      <c r="NER10" s="3447"/>
      <c r="NES10" s="3447"/>
      <c r="NET10" s="3447"/>
      <c r="NEU10" s="3447"/>
      <c r="NEV10" s="3447"/>
      <c r="NEW10" s="3447"/>
      <c r="NEX10" s="3447"/>
      <c r="NEY10" s="3447"/>
      <c r="NEZ10" s="3447"/>
      <c r="NFA10" s="3447"/>
      <c r="NFB10" s="3447"/>
      <c r="NFC10" s="3447"/>
      <c r="NFD10" s="3447"/>
      <c r="NFE10" s="3447"/>
      <c r="NFF10" s="3447"/>
      <c r="NFG10" s="3447"/>
      <c r="NFH10" s="3447"/>
      <c r="NFI10" s="3447"/>
      <c r="NFJ10" s="3447"/>
      <c r="NFK10" s="3447"/>
      <c r="NFL10" s="3447"/>
      <c r="NFM10" s="3447"/>
      <c r="NFN10" s="3447"/>
      <c r="NFO10" s="3447"/>
      <c r="NFP10" s="3447"/>
      <c r="NFQ10" s="3447"/>
      <c r="NFR10" s="3447"/>
      <c r="NFS10" s="3447"/>
      <c r="NFT10" s="3447"/>
      <c r="NFU10" s="3447"/>
      <c r="NFV10" s="3447"/>
      <c r="NFW10" s="3447"/>
      <c r="NFX10" s="3447"/>
      <c r="NFY10" s="3447"/>
      <c r="NFZ10" s="3447"/>
      <c r="NGA10" s="3447"/>
      <c r="NGB10" s="3447"/>
      <c r="NGC10" s="3447"/>
      <c r="NGD10" s="3447"/>
      <c r="NGE10" s="3447"/>
      <c r="NGF10" s="3447"/>
      <c r="NGG10" s="3447"/>
      <c r="NGH10" s="3447"/>
      <c r="NGI10" s="3447"/>
      <c r="NGJ10" s="3447"/>
      <c r="NGK10" s="3447"/>
      <c r="NGL10" s="3447"/>
      <c r="NGM10" s="3447"/>
      <c r="NGN10" s="3447"/>
      <c r="NGO10" s="3447"/>
      <c r="NGP10" s="3447"/>
      <c r="NGQ10" s="3447"/>
      <c r="NGR10" s="3447"/>
      <c r="NGS10" s="3447"/>
      <c r="NGT10" s="3447"/>
      <c r="NGU10" s="3447"/>
      <c r="NGV10" s="3447"/>
      <c r="NGW10" s="3447"/>
      <c r="NGX10" s="3447"/>
      <c r="NGY10" s="3447"/>
      <c r="NGZ10" s="3447"/>
      <c r="NHA10" s="3447"/>
      <c r="NHB10" s="3447"/>
      <c r="NHC10" s="3447"/>
      <c r="NHD10" s="3447"/>
      <c r="NHE10" s="3447"/>
      <c r="NHF10" s="3447"/>
      <c r="NHG10" s="3447"/>
      <c r="NHH10" s="3447"/>
      <c r="NHI10" s="3447"/>
      <c r="NHJ10" s="3447"/>
      <c r="NHK10" s="3447"/>
      <c r="NHL10" s="3447"/>
      <c r="NHM10" s="3447"/>
      <c r="NHN10" s="3447"/>
      <c r="NHO10" s="3447"/>
      <c r="NHP10" s="3447"/>
      <c r="NHQ10" s="3447"/>
      <c r="NHR10" s="3447"/>
      <c r="NHS10" s="3447"/>
      <c r="NHT10" s="3447"/>
      <c r="NHU10" s="3447"/>
      <c r="NHV10" s="3447"/>
      <c r="NHW10" s="3447"/>
      <c r="NHX10" s="3447"/>
      <c r="NHY10" s="3447"/>
      <c r="NHZ10" s="3447"/>
      <c r="NIA10" s="3447"/>
      <c r="NIB10" s="3447"/>
      <c r="NIC10" s="3447"/>
      <c r="NID10" s="3447"/>
      <c r="NIE10" s="3447"/>
      <c r="NIF10" s="3447"/>
      <c r="NIG10" s="3447"/>
      <c r="NIH10" s="3447"/>
      <c r="NII10" s="3447"/>
      <c r="NIJ10" s="3447"/>
      <c r="NIK10" s="3447"/>
      <c r="NIL10" s="3447"/>
      <c r="NIM10" s="3447"/>
      <c r="NIN10" s="3447"/>
      <c r="NIO10" s="3447"/>
      <c r="NIP10" s="3447"/>
      <c r="NIQ10" s="3447"/>
      <c r="NIR10" s="3447"/>
      <c r="NIS10" s="3447"/>
      <c r="NIT10" s="3447"/>
      <c r="NIU10" s="3447"/>
      <c r="NIV10" s="3447"/>
      <c r="NIW10" s="3447"/>
      <c r="NIX10" s="3447"/>
      <c r="NIY10" s="3447"/>
      <c r="NIZ10" s="3447"/>
      <c r="NJA10" s="3447"/>
      <c r="NJB10" s="3447"/>
      <c r="NJC10" s="3447"/>
      <c r="NJD10" s="3447"/>
      <c r="NJE10" s="3447"/>
      <c r="NJF10" s="3447"/>
      <c r="NJG10" s="3447"/>
      <c r="NJH10" s="3447"/>
      <c r="NJI10" s="3447"/>
      <c r="NJJ10" s="3447"/>
      <c r="NJK10" s="3447"/>
      <c r="NJL10" s="3447"/>
      <c r="NJM10" s="3447"/>
      <c r="NJN10" s="3447"/>
      <c r="NJO10" s="3447"/>
      <c r="NJP10" s="3447"/>
      <c r="NJQ10" s="3447"/>
      <c r="NJR10" s="3447"/>
      <c r="NJS10" s="3447"/>
      <c r="NJT10" s="3447"/>
      <c r="NJU10" s="3447"/>
      <c r="NJV10" s="3447"/>
      <c r="NJW10" s="3447"/>
      <c r="NJX10" s="3447"/>
      <c r="NJY10" s="3447"/>
      <c r="NJZ10" s="3447"/>
      <c r="NKA10" s="3447"/>
      <c r="NKB10" s="3447"/>
      <c r="NKC10" s="3447"/>
      <c r="NKD10" s="3447"/>
      <c r="NKE10" s="3447"/>
      <c r="NKF10" s="3447"/>
      <c r="NKG10" s="3447"/>
      <c r="NKH10" s="3447"/>
      <c r="NKI10" s="3447"/>
      <c r="NKJ10" s="3447"/>
      <c r="NKK10" s="3447"/>
      <c r="NKL10" s="3447"/>
      <c r="NKM10" s="3447"/>
      <c r="NKN10" s="3447"/>
      <c r="NKO10" s="3447"/>
      <c r="NKP10" s="3447"/>
      <c r="NKQ10" s="3447"/>
      <c r="NKR10" s="3447"/>
      <c r="NKS10" s="3447"/>
      <c r="NKT10" s="3447"/>
      <c r="NKU10" s="3447"/>
      <c r="NKV10" s="3447"/>
      <c r="NKW10" s="3447"/>
      <c r="NKX10" s="3447"/>
      <c r="NKY10" s="3447"/>
      <c r="NKZ10" s="3447"/>
      <c r="NLA10" s="3447"/>
      <c r="NLB10" s="3447"/>
      <c r="NLC10" s="3447"/>
      <c r="NLD10" s="3447"/>
      <c r="NLE10" s="3447"/>
      <c r="NLF10" s="3447"/>
      <c r="NLG10" s="3447"/>
      <c r="NLH10" s="3447"/>
      <c r="NLI10" s="3447"/>
      <c r="NLJ10" s="3447"/>
      <c r="NLK10" s="3447"/>
      <c r="NLL10" s="3447"/>
      <c r="NLM10" s="3447"/>
      <c r="NLN10" s="3447"/>
      <c r="NLO10" s="3447"/>
      <c r="NLP10" s="3447"/>
      <c r="NLQ10" s="3447"/>
      <c r="NLR10" s="3447"/>
      <c r="NLS10" s="3447"/>
      <c r="NLT10" s="3447"/>
      <c r="NLU10" s="3447"/>
      <c r="NLV10" s="3447"/>
      <c r="NLW10" s="3447"/>
      <c r="NLX10" s="3447"/>
      <c r="NLY10" s="3447"/>
      <c r="NLZ10" s="3447"/>
      <c r="NMA10" s="3447"/>
      <c r="NMB10" s="3447"/>
      <c r="NMC10" s="3447"/>
      <c r="NMD10" s="3447"/>
      <c r="NME10" s="3447"/>
      <c r="NMF10" s="3447"/>
      <c r="NMG10" s="3447"/>
      <c r="NMH10" s="3447"/>
      <c r="NMI10" s="3447"/>
      <c r="NMJ10" s="3447"/>
      <c r="NMK10" s="3447"/>
      <c r="NML10" s="3447"/>
      <c r="NMM10" s="3447"/>
      <c r="NMN10" s="3447"/>
      <c r="NMO10" s="3447"/>
      <c r="NMP10" s="3447"/>
      <c r="NMQ10" s="3447"/>
      <c r="NMR10" s="3447"/>
      <c r="NMS10" s="3447"/>
      <c r="NMT10" s="3447"/>
      <c r="NMU10" s="3447"/>
      <c r="NMV10" s="3447"/>
      <c r="NMW10" s="3447"/>
      <c r="NMX10" s="3447"/>
      <c r="NMY10" s="3447"/>
      <c r="NMZ10" s="3447"/>
      <c r="NNA10" s="3447"/>
      <c r="NNB10" s="3447"/>
      <c r="NNC10" s="3447"/>
      <c r="NND10" s="3447"/>
      <c r="NNE10" s="3447"/>
      <c r="NNF10" s="3447"/>
      <c r="NNG10" s="3447"/>
      <c r="NNH10" s="3447"/>
      <c r="NNI10" s="3447"/>
      <c r="NNJ10" s="3447"/>
      <c r="NNK10" s="3447"/>
      <c r="NNL10" s="3447"/>
      <c r="NNM10" s="3447"/>
      <c r="NNN10" s="3447"/>
      <c r="NNO10" s="3447"/>
      <c r="NNP10" s="3447"/>
      <c r="NNQ10" s="3447"/>
      <c r="NNR10" s="3447"/>
      <c r="NNS10" s="3447"/>
      <c r="NNT10" s="3447"/>
      <c r="NNU10" s="3447"/>
      <c r="NNV10" s="3447"/>
      <c r="NNW10" s="3447"/>
      <c r="NNX10" s="3447"/>
      <c r="NNY10" s="3447"/>
      <c r="NNZ10" s="3447"/>
      <c r="NOA10" s="3447"/>
      <c r="NOB10" s="3447"/>
      <c r="NOC10" s="3447"/>
      <c r="NOD10" s="3447"/>
      <c r="NOE10" s="3447"/>
      <c r="NOF10" s="3447"/>
      <c r="NOG10" s="3447"/>
      <c r="NOH10" s="3447"/>
      <c r="NOI10" s="3447"/>
      <c r="NOJ10" s="3447"/>
      <c r="NOK10" s="3447"/>
      <c r="NOL10" s="3447"/>
      <c r="NOM10" s="3447"/>
      <c r="NON10" s="3447"/>
      <c r="NOO10" s="3447"/>
      <c r="NOP10" s="3447"/>
      <c r="NOQ10" s="3447"/>
      <c r="NOR10" s="3447"/>
      <c r="NOS10" s="3447"/>
      <c r="NOT10" s="3447"/>
      <c r="NOU10" s="3447"/>
      <c r="NOV10" s="3447"/>
      <c r="NOW10" s="3447"/>
      <c r="NOX10" s="3447"/>
      <c r="NOY10" s="3447"/>
      <c r="NOZ10" s="3447"/>
      <c r="NPA10" s="3447"/>
      <c r="NPB10" s="3447"/>
      <c r="NPC10" s="3447"/>
      <c r="NPD10" s="3447"/>
      <c r="NPE10" s="3447"/>
      <c r="NPF10" s="3447"/>
      <c r="NPG10" s="3447"/>
      <c r="NPH10" s="3447"/>
      <c r="NPI10" s="3447"/>
      <c r="NPJ10" s="3447"/>
      <c r="NPK10" s="3447"/>
      <c r="NPL10" s="3447"/>
      <c r="NPM10" s="3447"/>
      <c r="NPN10" s="3447"/>
      <c r="NPO10" s="3447"/>
      <c r="NPP10" s="3447"/>
      <c r="NPQ10" s="3447"/>
      <c r="NPR10" s="3447"/>
      <c r="NPS10" s="3447"/>
      <c r="NPT10" s="3447"/>
      <c r="NPU10" s="3447"/>
      <c r="NPV10" s="3447"/>
      <c r="NPW10" s="3447"/>
      <c r="NPX10" s="3447"/>
      <c r="NPY10" s="3447"/>
      <c r="NPZ10" s="3447"/>
      <c r="NQA10" s="3447"/>
      <c r="NQB10" s="3447"/>
      <c r="NQC10" s="3447"/>
      <c r="NQD10" s="3447"/>
      <c r="NQE10" s="3447"/>
      <c r="NQF10" s="3447"/>
      <c r="NQG10" s="3447"/>
      <c r="NQH10" s="3447"/>
      <c r="NQI10" s="3447"/>
      <c r="NQJ10" s="3447"/>
      <c r="NQK10" s="3447"/>
      <c r="NQL10" s="3447"/>
      <c r="NQM10" s="3447"/>
      <c r="NQN10" s="3447"/>
      <c r="NQO10" s="3447"/>
      <c r="NQP10" s="3447"/>
      <c r="NQQ10" s="3447"/>
      <c r="NQR10" s="3447"/>
      <c r="NQS10" s="3447"/>
      <c r="NQT10" s="3447"/>
      <c r="NQU10" s="3447"/>
      <c r="NQV10" s="3447"/>
      <c r="NQW10" s="3447"/>
      <c r="NQX10" s="3447"/>
      <c r="NQY10" s="3447"/>
      <c r="NQZ10" s="3447"/>
      <c r="NRA10" s="3447"/>
      <c r="NRB10" s="3447"/>
      <c r="NRC10" s="3447"/>
      <c r="NRD10" s="3447"/>
      <c r="NRE10" s="3447"/>
      <c r="NRF10" s="3447"/>
      <c r="NRG10" s="3447"/>
      <c r="NRH10" s="3447"/>
      <c r="NRI10" s="3447"/>
      <c r="NRJ10" s="3447"/>
      <c r="NRK10" s="3447"/>
      <c r="NRL10" s="3447"/>
      <c r="NRM10" s="3447"/>
      <c r="NRN10" s="3447"/>
      <c r="NRO10" s="3447"/>
      <c r="NRP10" s="3447"/>
      <c r="NRQ10" s="3447"/>
      <c r="NRR10" s="3447"/>
      <c r="NRS10" s="3447"/>
      <c r="NRT10" s="3447"/>
      <c r="NRU10" s="3447"/>
      <c r="NRV10" s="3447"/>
      <c r="NRW10" s="3447"/>
      <c r="NRX10" s="3447"/>
      <c r="NRY10" s="3447"/>
      <c r="NRZ10" s="3447"/>
      <c r="NSA10" s="3447"/>
      <c r="NSB10" s="3447"/>
      <c r="NSC10" s="3447"/>
      <c r="NSD10" s="3447"/>
      <c r="NSE10" s="3447"/>
      <c r="NSF10" s="3447"/>
      <c r="NSG10" s="3447"/>
      <c r="NSH10" s="3447"/>
      <c r="NSI10" s="3447"/>
      <c r="NSJ10" s="3447"/>
      <c r="NSK10" s="3447"/>
      <c r="NSL10" s="3447"/>
      <c r="NSM10" s="3447"/>
      <c r="NSN10" s="3447"/>
      <c r="NSO10" s="3447"/>
      <c r="NSP10" s="3447"/>
      <c r="NSQ10" s="3447"/>
      <c r="NSR10" s="3447"/>
      <c r="NSS10" s="3447"/>
      <c r="NST10" s="3447"/>
      <c r="NSU10" s="3447"/>
      <c r="NSV10" s="3447"/>
      <c r="NSW10" s="3447"/>
      <c r="NSX10" s="3447"/>
      <c r="NSY10" s="3447"/>
      <c r="NSZ10" s="3447"/>
      <c r="NTA10" s="3447"/>
      <c r="NTB10" s="3447"/>
      <c r="NTC10" s="3447"/>
      <c r="NTD10" s="3447"/>
      <c r="NTE10" s="3447"/>
      <c r="NTF10" s="3447"/>
      <c r="NTG10" s="3447"/>
      <c r="NTH10" s="3447"/>
      <c r="NTI10" s="3447"/>
      <c r="NTJ10" s="3447"/>
      <c r="NTK10" s="3447"/>
      <c r="NTL10" s="3447"/>
      <c r="NTM10" s="3447"/>
      <c r="NTN10" s="3447"/>
      <c r="NTO10" s="3447"/>
      <c r="NTP10" s="3447"/>
      <c r="NTQ10" s="3447"/>
      <c r="NTR10" s="3447"/>
      <c r="NTS10" s="3447"/>
      <c r="NTT10" s="3447"/>
      <c r="NTU10" s="3447"/>
      <c r="NTV10" s="3447"/>
      <c r="NTW10" s="3447"/>
      <c r="NTX10" s="3447"/>
      <c r="NTY10" s="3447"/>
      <c r="NTZ10" s="3447"/>
      <c r="NUA10" s="3447"/>
      <c r="NUB10" s="3447"/>
      <c r="NUC10" s="3447"/>
      <c r="NUD10" s="3447"/>
      <c r="NUE10" s="3447"/>
      <c r="NUF10" s="3447"/>
      <c r="NUG10" s="3447"/>
      <c r="NUH10" s="3447"/>
      <c r="NUI10" s="3447"/>
      <c r="NUJ10" s="3447"/>
      <c r="NUK10" s="3447"/>
      <c r="NUL10" s="3447"/>
      <c r="NUM10" s="3447"/>
      <c r="NUN10" s="3447"/>
      <c r="NUO10" s="3447"/>
      <c r="NUP10" s="3447"/>
      <c r="NUQ10" s="3447"/>
      <c r="NUR10" s="3447"/>
      <c r="NUS10" s="3447"/>
      <c r="NUT10" s="3447"/>
      <c r="NUU10" s="3447"/>
      <c r="NUV10" s="3447"/>
      <c r="NUW10" s="3447"/>
      <c r="NUX10" s="3447"/>
      <c r="NUY10" s="3447"/>
      <c r="NUZ10" s="3447"/>
      <c r="NVA10" s="3447"/>
      <c r="NVB10" s="3447"/>
      <c r="NVC10" s="3447"/>
      <c r="NVD10" s="3447"/>
      <c r="NVE10" s="3447"/>
      <c r="NVF10" s="3447"/>
      <c r="NVG10" s="3447"/>
      <c r="NVH10" s="3447"/>
      <c r="NVI10" s="3447"/>
      <c r="NVJ10" s="3447"/>
      <c r="NVK10" s="3447"/>
      <c r="NVL10" s="3447"/>
      <c r="NVM10" s="3447"/>
      <c r="NVN10" s="3447"/>
      <c r="NVO10" s="3447"/>
      <c r="NVP10" s="3447"/>
      <c r="NVQ10" s="3447"/>
      <c r="NVR10" s="3447"/>
      <c r="NVS10" s="3447"/>
      <c r="NVT10" s="3447"/>
      <c r="NVU10" s="3447"/>
      <c r="NVV10" s="3447"/>
      <c r="NVW10" s="3447"/>
      <c r="NVX10" s="3447"/>
      <c r="NVY10" s="3447"/>
      <c r="NVZ10" s="3447"/>
      <c r="NWA10" s="3447"/>
      <c r="NWB10" s="3447"/>
      <c r="NWC10" s="3447"/>
      <c r="NWD10" s="3447"/>
      <c r="NWE10" s="3447"/>
      <c r="NWF10" s="3447"/>
      <c r="NWG10" s="3447"/>
      <c r="NWH10" s="3447"/>
      <c r="NWI10" s="3447"/>
      <c r="NWJ10" s="3447"/>
      <c r="NWK10" s="3447"/>
      <c r="NWL10" s="3447"/>
      <c r="NWM10" s="3447"/>
      <c r="NWN10" s="3447"/>
      <c r="NWO10" s="3447"/>
      <c r="NWP10" s="3447"/>
      <c r="NWQ10" s="3447"/>
      <c r="NWR10" s="3447"/>
      <c r="NWS10" s="3447"/>
      <c r="NWT10" s="3447"/>
      <c r="NWU10" s="3447"/>
      <c r="NWV10" s="3447"/>
      <c r="NWW10" s="3447"/>
      <c r="NWX10" s="3447"/>
      <c r="NWY10" s="3447"/>
      <c r="NWZ10" s="3447"/>
      <c r="NXA10" s="3447"/>
      <c r="NXB10" s="3447"/>
      <c r="NXC10" s="3447"/>
      <c r="NXD10" s="3447"/>
      <c r="NXE10" s="3447"/>
      <c r="NXF10" s="3447"/>
      <c r="NXG10" s="3447"/>
      <c r="NXH10" s="3447"/>
      <c r="NXI10" s="3447"/>
      <c r="NXJ10" s="3447"/>
      <c r="NXK10" s="3447"/>
      <c r="NXL10" s="3447"/>
      <c r="NXM10" s="3447"/>
      <c r="NXN10" s="3447"/>
      <c r="NXO10" s="3447"/>
      <c r="NXP10" s="3447"/>
      <c r="NXQ10" s="3447"/>
      <c r="NXR10" s="3447"/>
      <c r="NXS10" s="3447"/>
      <c r="NXT10" s="3447"/>
      <c r="NXU10" s="3447"/>
      <c r="NXV10" s="3447"/>
      <c r="NXW10" s="3447"/>
      <c r="NXX10" s="3447"/>
      <c r="NXY10" s="3447"/>
      <c r="NXZ10" s="3447"/>
      <c r="NYA10" s="3447"/>
      <c r="NYB10" s="3447"/>
      <c r="NYC10" s="3447"/>
      <c r="NYD10" s="3447"/>
      <c r="NYE10" s="3447"/>
      <c r="NYF10" s="3447"/>
      <c r="NYG10" s="3447"/>
      <c r="NYH10" s="3447"/>
      <c r="NYI10" s="3447"/>
      <c r="NYJ10" s="3447"/>
      <c r="NYK10" s="3447"/>
      <c r="NYL10" s="3447"/>
      <c r="NYM10" s="3447"/>
      <c r="NYN10" s="3447"/>
      <c r="NYO10" s="3447"/>
      <c r="NYP10" s="3447"/>
      <c r="NYQ10" s="3447"/>
      <c r="NYR10" s="3447"/>
      <c r="NYS10" s="3447"/>
      <c r="NYT10" s="3447"/>
      <c r="NYU10" s="3447"/>
      <c r="NYV10" s="3447"/>
      <c r="NYW10" s="3447"/>
      <c r="NYX10" s="3447"/>
      <c r="NYY10" s="3447"/>
      <c r="NYZ10" s="3447"/>
      <c r="NZA10" s="3447"/>
      <c r="NZB10" s="3447"/>
      <c r="NZC10" s="3447"/>
      <c r="NZD10" s="3447"/>
      <c r="NZE10" s="3447"/>
      <c r="NZF10" s="3447"/>
      <c r="NZG10" s="3447"/>
      <c r="NZH10" s="3447"/>
      <c r="NZI10" s="3447"/>
      <c r="NZJ10" s="3447"/>
      <c r="NZK10" s="3447"/>
      <c r="NZL10" s="3447"/>
      <c r="NZM10" s="3447"/>
      <c r="NZN10" s="3447"/>
      <c r="NZO10" s="3447"/>
      <c r="NZP10" s="3447"/>
      <c r="NZQ10" s="3447"/>
      <c r="NZR10" s="3447"/>
      <c r="NZS10" s="3447"/>
      <c r="NZT10" s="3447"/>
      <c r="NZU10" s="3447"/>
      <c r="NZV10" s="3447"/>
      <c r="NZW10" s="3447"/>
      <c r="NZX10" s="3447"/>
      <c r="NZY10" s="3447"/>
      <c r="NZZ10" s="3447"/>
      <c r="OAA10" s="3447"/>
      <c r="OAB10" s="3447"/>
      <c r="OAC10" s="3447"/>
      <c r="OAD10" s="3447"/>
      <c r="OAE10" s="3447"/>
      <c r="OAF10" s="3447"/>
      <c r="OAG10" s="3447"/>
      <c r="OAH10" s="3447"/>
      <c r="OAI10" s="3447"/>
      <c r="OAJ10" s="3447"/>
      <c r="OAK10" s="3447"/>
      <c r="OAL10" s="3447"/>
      <c r="OAM10" s="3447"/>
      <c r="OAN10" s="3447"/>
      <c r="OAO10" s="3447"/>
      <c r="OAP10" s="3447"/>
      <c r="OAQ10" s="3447"/>
      <c r="OAR10" s="3447"/>
      <c r="OAS10" s="3447"/>
      <c r="OAT10" s="3447"/>
      <c r="OAU10" s="3447"/>
      <c r="OAV10" s="3447"/>
      <c r="OAW10" s="3447"/>
      <c r="OAX10" s="3447"/>
      <c r="OAY10" s="3447"/>
      <c r="OAZ10" s="3447"/>
      <c r="OBA10" s="3447"/>
      <c r="OBB10" s="3447"/>
      <c r="OBC10" s="3447"/>
      <c r="OBD10" s="3447"/>
      <c r="OBE10" s="3447"/>
      <c r="OBF10" s="3447"/>
      <c r="OBG10" s="3447"/>
      <c r="OBH10" s="3447"/>
      <c r="OBI10" s="3447"/>
      <c r="OBJ10" s="3447"/>
      <c r="OBK10" s="3447"/>
      <c r="OBL10" s="3447"/>
      <c r="OBM10" s="3447"/>
      <c r="OBN10" s="3447"/>
      <c r="OBO10" s="3447"/>
      <c r="OBP10" s="3447"/>
      <c r="OBQ10" s="3447"/>
      <c r="OBR10" s="3447"/>
      <c r="OBS10" s="3447"/>
      <c r="OBT10" s="3447"/>
      <c r="OBU10" s="3447"/>
      <c r="OBV10" s="3447"/>
      <c r="OBW10" s="3447"/>
      <c r="OBX10" s="3447"/>
      <c r="OBY10" s="3447"/>
      <c r="OBZ10" s="3447"/>
      <c r="OCA10" s="3447"/>
      <c r="OCB10" s="3447"/>
      <c r="OCC10" s="3447"/>
      <c r="OCD10" s="3447"/>
      <c r="OCE10" s="3447"/>
      <c r="OCF10" s="3447"/>
      <c r="OCG10" s="3447"/>
      <c r="OCH10" s="3447"/>
      <c r="OCI10" s="3447"/>
      <c r="OCJ10" s="3447"/>
      <c r="OCK10" s="3447"/>
      <c r="OCL10" s="3447"/>
      <c r="OCM10" s="3447"/>
      <c r="OCN10" s="3447"/>
      <c r="OCO10" s="3447"/>
      <c r="OCP10" s="3447"/>
      <c r="OCQ10" s="3447"/>
      <c r="OCR10" s="3447"/>
      <c r="OCS10" s="3447"/>
      <c r="OCT10" s="3447"/>
      <c r="OCU10" s="3447"/>
      <c r="OCV10" s="3447"/>
      <c r="OCW10" s="3447"/>
      <c r="OCX10" s="3447"/>
      <c r="OCY10" s="3447"/>
      <c r="OCZ10" s="3447"/>
      <c r="ODA10" s="3447"/>
      <c r="ODB10" s="3447"/>
      <c r="ODC10" s="3447"/>
      <c r="ODD10" s="3447"/>
      <c r="ODE10" s="3447"/>
      <c r="ODF10" s="3447"/>
      <c r="ODG10" s="3447"/>
      <c r="ODH10" s="3447"/>
      <c r="ODI10" s="3447"/>
      <c r="ODJ10" s="3447"/>
      <c r="ODK10" s="3447"/>
      <c r="ODL10" s="3447"/>
      <c r="ODM10" s="3447"/>
      <c r="ODN10" s="3447"/>
      <c r="ODO10" s="3447"/>
      <c r="ODP10" s="3447"/>
      <c r="ODQ10" s="3447"/>
      <c r="ODR10" s="3447"/>
      <c r="ODS10" s="3447"/>
      <c r="ODT10" s="3447"/>
      <c r="ODU10" s="3447"/>
      <c r="ODV10" s="3447"/>
      <c r="ODW10" s="3447"/>
      <c r="ODX10" s="3447"/>
      <c r="ODY10" s="3447"/>
      <c r="ODZ10" s="3447"/>
      <c r="OEA10" s="3447"/>
      <c r="OEB10" s="3447"/>
      <c r="OEC10" s="3447"/>
      <c r="OED10" s="3447"/>
      <c r="OEE10" s="3447"/>
      <c r="OEF10" s="3447"/>
      <c r="OEG10" s="3447"/>
      <c r="OEH10" s="3447"/>
      <c r="OEI10" s="3447"/>
      <c r="OEJ10" s="3447"/>
      <c r="OEK10" s="3447"/>
      <c r="OEL10" s="3447"/>
      <c r="OEM10" s="3447"/>
      <c r="OEN10" s="3447"/>
      <c r="OEO10" s="3447"/>
      <c r="OEP10" s="3447"/>
      <c r="OEQ10" s="3447"/>
      <c r="OER10" s="3447"/>
      <c r="OES10" s="3447"/>
      <c r="OET10" s="3447"/>
      <c r="OEU10" s="3447"/>
      <c r="OEV10" s="3447"/>
      <c r="OEW10" s="3447"/>
      <c r="OEX10" s="3447"/>
      <c r="OEY10" s="3447"/>
      <c r="OEZ10" s="3447"/>
      <c r="OFA10" s="3447"/>
      <c r="OFB10" s="3447"/>
      <c r="OFC10" s="3447"/>
      <c r="OFD10" s="3447"/>
      <c r="OFE10" s="3447"/>
      <c r="OFF10" s="3447"/>
      <c r="OFG10" s="3447"/>
      <c r="OFH10" s="3447"/>
      <c r="OFI10" s="3447"/>
      <c r="OFJ10" s="3447"/>
      <c r="OFK10" s="3447"/>
      <c r="OFL10" s="3447"/>
      <c r="OFM10" s="3447"/>
      <c r="OFN10" s="3447"/>
      <c r="OFO10" s="3447"/>
      <c r="OFP10" s="3447"/>
      <c r="OFQ10" s="3447"/>
      <c r="OFR10" s="3447"/>
      <c r="OFS10" s="3447"/>
      <c r="OFT10" s="3447"/>
      <c r="OFU10" s="3447"/>
      <c r="OFV10" s="3447"/>
      <c r="OFW10" s="3447"/>
      <c r="OFX10" s="3447"/>
      <c r="OFY10" s="3447"/>
      <c r="OFZ10" s="3447"/>
      <c r="OGA10" s="3447"/>
      <c r="OGB10" s="3447"/>
      <c r="OGC10" s="3447"/>
      <c r="OGD10" s="3447"/>
      <c r="OGE10" s="3447"/>
      <c r="OGF10" s="3447"/>
      <c r="OGG10" s="3447"/>
      <c r="OGH10" s="3447"/>
      <c r="OGI10" s="3447"/>
      <c r="OGJ10" s="3447"/>
      <c r="OGK10" s="3447"/>
      <c r="OGL10" s="3447"/>
      <c r="OGM10" s="3447"/>
      <c r="OGN10" s="3447"/>
      <c r="OGO10" s="3447"/>
      <c r="OGP10" s="3447"/>
      <c r="OGQ10" s="3447"/>
      <c r="OGR10" s="3447"/>
      <c r="OGS10" s="3447"/>
      <c r="OGT10" s="3447"/>
      <c r="OGU10" s="3447"/>
      <c r="OGV10" s="3447"/>
      <c r="OGW10" s="3447"/>
      <c r="OGX10" s="3447"/>
      <c r="OGY10" s="3447"/>
      <c r="OGZ10" s="3447"/>
      <c r="OHA10" s="3447"/>
      <c r="OHB10" s="3447"/>
      <c r="OHC10" s="3447"/>
      <c r="OHD10" s="3447"/>
      <c r="OHE10" s="3447"/>
      <c r="OHF10" s="3447"/>
      <c r="OHG10" s="3447"/>
      <c r="OHH10" s="3447"/>
      <c r="OHI10" s="3447"/>
      <c r="OHJ10" s="3447"/>
      <c r="OHK10" s="3447"/>
      <c r="OHL10" s="3447"/>
      <c r="OHM10" s="3447"/>
      <c r="OHN10" s="3447"/>
      <c r="OHO10" s="3447"/>
      <c r="OHP10" s="3447"/>
      <c r="OHQ10" s="3447"/>
      <c r="OHR10" s="3447"/>
      <c r="OHS10" s="3447"/>
      <c r="OHT10" s="3447"/>
      <c r="OHU10" s="3447"/>
      <c r="OHV10" s="3447"/>
      <c r="OHW10" s="3447"/>
      <c r="OHX10" s="3447"/>
      <c r="OHY10" s="3447"/>
      <c r="OHZ10" s="3447"/>
      <c r="OIA10" s="3447"/>
      <c r="OIB10" s="3447"/>
      <c r="OIC10" s="3447"/>
      <c r="OID10" s="3447"/>
      <c r="OIE10" s="3447"/>
      <c r="OIF10" s="3447"/>
      <c r="OIG10" s="3447"/>
      <c r="OIH10" s="3447"/>
      <c r="OII10" s="3447"/>
      <c r="OIJ10" s="3447"/>
      <c r="OIK10" s="3447"/>
      <c r="OIL10" s="3447"/>
      <c r="OIM10" s="3447"/>
      <c r="OIN10" s="3447"/>
      <c r="OIO10" s="3447"/>
      <c r="OIP10" s="3447"/>
      <c r="OIQ10" s="3447"/>
      <c r="OIR10" s="3447"/>
      <c r="OIS10" s="3447"/>
      <c r="OIT10" s="3447"/>
      <c r="OIU10" s="3447"/>
      <c r="OIV10" s="3447"/>
      <c r="OIW10" s="3447"/>
      <c r="OIX10" s="3447"/>
      <c r="OIY10" s="3447"/>
      <c r="OIZ10" s="3447"/>
      <c r="OJA10" s="3447"/>
      <c r="OJB10" s="3447"/>
      <c r="OJC10" s="3447"/>
      <c r="OJD10" s="3447"/>
      <c r="OJE10" s="3447"/>
      <c r="OJF10" s="3447"/>
      <c r="OJG10" s="3447"/>
      <c r="OJH10" s="3447"/>
      <c r="OJI10" s="3447"/>
      <c r="OJJ10" s="3447"/>
      <c r="OJK10" s="3447"/>
      <c r="OJL10" s="3447"/>
      <c r="OJM10" s="3447"/>
      <c r="OJN10" s="3447"/>
      <c r="OJO10" s="3447"/>
      <c r="OJP10" s="3447"/>
      <c r="OJQ10" s="3447"/>
      <c r="OJR10" s="3447"/>
      <c r="OJS10" s="3447"/>
      <c r="OJT10" s="3447"/>
      <c r="OJU10" s="3447"/>
      <c r="OJV10" s="3447"/>
      <c r="OJW10" s="3447"/>
      <c r="OJX10" s="3447"/>
      <c r="OJY10" s="3447"/>
      <c r="OJZ10" s="3447"/>
      <c r="OKA10" s="3447"/>
      <c r="OKB10" s="3447"/>
      <c r="OKC10" s="3447"/>
      <c r="OKD10" s="3447"/>
      <c r="OKE10" s="3447"/>
      <c r="OKF10" s="3447"/>
      <c r="OKG10" s="3447"/>
      <c r="OKH10" s="3447"/>
      <c r="OKI10" s="3447"/>
      <c r="OKJ10" s="3447"/>
      <c r="OKK10" s="3447"/>
      <c r="OKL10" s="3447"/>
      <c r="OKM10" s="3447"/>
      <c r="OKN10" s="3447"/>
      <c r="OKO10" s="3447"/>
      <c r="OKP10" s="3447"/>
      <c r="OKQ10" s="3447"/>
      <c r="OKR10" s="3447"/>
      <c r="OKS10" s="3447"/>
      <c r="OKT10" s="3447"/>
      <c r="OKU10" s="3447"/>
      <c r="OKV10" s="3447"/>
      <c r="OKW10" s="3447"/>
      <c r="OKX10" s="3447"/>
      <c r="OKY10" s="3447"/>
      <c r="OKZ10" s="3447"/>
      <c r="OLA10" s="3447"/>
      <c r="OLB10" s="3447"/>
      <c r="OLC10" s="3447"/>
      <c r="OLD10" s="3447"/>
      <c r="OLE10" s="3447"/>
      <c r="OLF10" s="3447"/>
      <c r="OLG10" s="3447"/>
      <c r="OLH10" s="3447"/>
      <c r="OLI10" s="3447"/>
      <c r="OLJ10" s="3447"/>
      <c r="OLK10" s="3447"/>
      <c r="OLL10" s="3447"/>
      <c r="OLM10" s="3447"/>
      <c r="OLN10" s="3447"/>
      <c r="OLO10" s="3447"/>
      <c r="OLP10" s="3447"/>
      <c r="OLQ10" s="3447"/>
      <c r="OLR10" s="3447"/>
      <c r="OLS10" s="3447"/>
      <c r="OLT10" s="3447"/>
      <c r="OLU10" s="3447"/>
      <c r="OLV10" s="3447"/>
      <c r="OLW10" s="3447"/>
      <c r="OLX10" s="3447"/>
      <c r="OLY10" s="3447"/>
      <c r="OLZ10" s="3447"/>
      <c r="OMA10" s="3447"/>
      <c r="OMB10" s="3447"/>
      <c r="OMC10" s="3447"/>
      <c r="OMD10" s="3447"/>
      <c r="OME10" s="3447"/>
      <c r="OMF10" s="3447"/>
      <c r="OMG10" s="3447"/>
      <c r="OMH10" s="3447"/>
      <c r="OMI10" s="3447"/>
      <c r="OMJ10" s="3447"/>
      <c r="OMK10" s="3447"/>
      <c r="OML10" s="3447"/>
      <c r="OMM10" s="3447"/>
      <c r="OMN10" s="3447"/>
      <c r="OMO10" s="3447"/>
      <c r="OMP10" s="3447"/>
      <c r="OMQ10" s="3447"/>
      <c r="OMR10" s="3447"/>
      <c r="OMS10" s="3447"/>
      <c r="OMT10" s="3447"/>
      <c r="OMU10" s="3447"/>
      <c r="OMV10" s="3447"/>
      <c r="OMW10" s="3447"/>
      <c r="OMX10" s="3447"/>
      <c r="OMY10" s="3447"/>
      <c r="OMZ10" s="3447"/>
      <c r="ONA10" s="3447"/>
      <c r="ONB10" s="3447"/>
      <c r="ONC10" s="3447"/>
      <c r="OND10" s="3447"/>
      <c r="ONE10" s="3447"/>
      <c r="ONF10" s="3447"/>
      <c r="ONG10" s="3447"/>
      <c r="ONH10" s="3447"/>
      <c r="ONI10" s="3447"/>
      <c r="ONJ10" s="3447"/>
      <c r="ONK10" s="3447"/>
      <c r="ONL10" s="3447"/>
      <c r="ONM10" s="3447"/>
      <c r="ONN10" s="3447"/>
      <c r="ONO10" s="3447"/>
      <c r="ONP10" s="3447"/>
      <c r="ONQ10" s="3447"/>
      <c r="ONR10" s="3447"/>
      <c r="ONS10" s="3447"/>
      <c r="ONT10" s="3447"/>
      <c r="ONU10" s="3447"/>
      <c r="ONV10" s="3447"/>
      <c r="ONW10" s="3447"/>
      <c r="ONX10" s="3447"/>
      <c r="ONY10" s="3447"/>
      <c r="ONZ10" s="3447"/>
      <c r="OOA10" s="3447"/>
      <c r="OOB10" s="3447"/>
      <c r="OOC10" s="3447"/>
      <c r="OOD10" s="3447"/>
      <c r="OOE10" s="3447"/>
      <c r="OOF10" s="3447"/>
      <c r="OOG10" s="3447"/>
      <c r="OOH10" s="3447"/>
      <c r="OOI10" s="3447"/>
      <c r="OOJ10" s="3447"/>
      <c r="OOK10" s="3447"/>
      <c r="OOL10" s="3447"/>
      <c r="OOM10" s="3447"/>
      <c r="OON10" s="3447"/>
      <c r="OOO10" s="3447"/>
      <c r="OOP10" s="3447"/>
      <c r="OOQ10" s="3447"/>
      <c r="OOR10" s="3447"/>
      <c r="OOS10" s="3447"/>
      <c r="OOT10" s="3447"/>
      <c r="OOU10" s="3447"/>
      <c r="OOV10" s="3447"/>
      <c r="OOW10" s="3447"/>
      <c r="OOX10" s="3447"/>
      <c r="OOY10" s="3447"/>
      <c r="OOZ10" s="3447"/>
      <c r="OPA10" s="3447"/>
      <c r="OPB10" s="3447"/>
      <c r="OPC10" s="3447"/>
      <c r="OPD10" s="3447"/>
      <c r="OPE10" s="3447"/>
      <c r="OPF10" s="3447"/>
      <c r="OPG10" s="3447"/>
      <c r="OPH10" s="3447"/>
      <c r="OPI10" s="3447"/>
      <c r="OPJ10" s="3447"/>
      <c r="OPK10" s="3447"/>
      <c r="OPL10" s="3447"/>
      <c r="OPM10" s="3447"/>
      <c r="OPN10" s="3447"/>
      <c r="OPO10" s="3447"/>
      <c r="OPP10" s="3447"/>
      <c r="OPQ10" s="3447"/>
      <c r="OPR10" s="3447"/>
      <c r="OPS10" s="3447"/>
      <c r="OPT10" s="3447"/>
      <c r="OPU10" s="3447"/>
      <c r="OPV10" s="3447"/>
      <c r="OPW10" s="3447"/>
      <c r="OPX10" s="3447"/>
      <c r="OPY10" s="3447"/>
      <c r="OPZ10" s="3447"/>
      <c r="OQA10" s="3447"/>
      <c r="OQB10" s="3447"/>
      <c r="OQC10" s="3447"/>
      <c r="OQD10" s="3447"/>
      <c r="OQE10" s="3447"/>
      <c r="OQF10" s="3447"/>
      <c r="OQG10" s="3447"/>
      <c r="OQH10" s="3447"/>
      <c r="OQI10" s="3447"/>
      <c r="OQJ10" s="3447"/>
      <c r="OQK10" s="3447"/>
      <c r="OQL10" s="3447"/>
      <c r="OQM10" s="3447"/>
      <c r="OQN10" s="3447"/>
      <c r="OQO10" s="3447"/>
      <c r="OQP10" s="3447"/>
      <c r="OQQ10" s="3447"/>
      <c r="OQR10" s="3447"/>
      <c r="OQS10" s="3447"/>
      <c r="OQT10" s="3447"/>
      <c r="OQU10" s="3447"/>
      <c r="OQV10" s="3447"/>
      <c r="OQW10" s="3447"/>
      <c r="OQX10" s="3447"/>
      <c r="OQY10" s="3447"/>
      <c r="OQZ10" s="3447"/>
      <c r="ORA10" s="3447"/>
      <c r="ORB10" s="3447"/>
      <c r="ORC10" s="3447"/>
      <c r="ORD10" s="3447"/>
      <c r="ORE10" s="3447"/>
      <c r="ORF10" s="3447"/>
      <c r="ORG10" s="3447"/>
      <c r="ORH10" s="3447"/>
      <c r="ORI10" s="3447"/>
      <c r="ORJ10" s="3447"/>
      <c r="ORK10" s="3447"/>
      <c r="ORL10" s="3447"/>
      <c r="ORM10" s="3447"/>
      <c r="ORN10" s="3447"/>
      <c r="ORO10" s="3447"/>
      <c r="ORP10" s="3447"/>
      <c r="ORQ10" s="3447"/>
      <c r="ORR10" s="3447"/>
      <c r="ORS10" s="3447"/>
      <c r="ORT10" s="3447"/>
      <c r="ORU10" s="3447"/>
      <c r="ORV10" s="3447"/>
      <c r="ORW10" s="3447"/>
      <c r="ORX10" s="3447"/>
      <c r="ORY10" s="3447"/>
      <c r="ORZ10" s="3447"/>
      <c r="OSA10" s="3447"/>
      <c r="OSB10" s="3447"/>
      <c r="OSC10" s="3447"/>
      <c r="OSD10" s="3447"/>
      <c r="OSE10" s="3447"/>
      <c r="OSF10" s="3447"/>
      <c r="OSG10" s="3447"/>
      <c r="OSH10" s="3447"/>
      <c r="OSI10" s="3447"/>
      <c r="OSJ10" s="3447"/>
      <c r="OSK10" s="3447"/>
      <c r="OSL10" s="3447"/>
      <c r="OSM10" s="3447"/>
      <c r="OSN10" s="3447"/>
      <c r="OSO10" s="3447"/>
      <c r="OSP10" s="3447"/>
      <c r="OSQ10" s="3447"/>
      <c r="OSR10" s="3447"/>
      <c r="OSS10" s="3447"/>
      <c r="OST10" s="3447"/>
      <c r="OSU10" s="3447"/>
      <c r="OSV10" s="3447"/>
      <c r="OSW10" s="3447"/>
      <c r="OSX10" s="3447"/>
      <c r="OSY10" s="3447"/>
      <c r="OSZ10" s="3447"/>
      <c r="OTA10" s="3447"/>
      <c r="OTB10" s="3447"/>
      <c r="OTC10" s="3447"/>
      <c r="OTD10" s="3447"/>
      <c r="OTE10" s="3447"/>
      <c r="OTF10" s="3447"/>
      <c r="OTG10" s="3447"/>
      <c r="OTH10" s="3447"/>
      <c r="OTI10" s="3447"/>
      <c r="OTJ10" s="3447"/>
      <c r="OTK10" s="3447"/>
      <c r="OTL10" s="3447"/>
      <c r="OTM10" s="3447"/>
      <c r="OTN10" s="3447"/>
      <c r="OTO10" s="3447"/>
      <c r="OTP10" s="3447"/>
      <c r="OTQ10" s="3447"/>
      <c r="OTR10" s="3447"/>
      <c r="OTS10" s="3447"/>
      <c r="OTT10" s="3447"/>
      <c r="OTU10" s="3447"/>
      <c r="OTV10" s="3447"/>
      <c r="OTW10" s="3447"/>
      <c r="OTX10" s="3447"/>
      <c r="OTY10" s="3447"/>
      <c r="OTZ10" s="3447"/>
      <c r="OUA10" s="3447"/>
      <c r="OUB10" s="3447"/>
      <c r="OUC10" s="3447"/>
      <c r="OUD10" s="3447"/>
      <c r="OUE10" s="3447"/>
      <c r="OUF10" s="3447"/>
      <c r="OUG10" s="3447"/>
      <c r="OUH10" s="3447"/>
      <c r="OUI10" s="3447"/>
      <c r="OUJ10" s="3447"/>
      <c r="OUK10" s="3447"/>
      <c r="OUL10" s="3447"/>
      <c r="OUM10" s="3447"/>
      <c r="OUN10" s="3447"/>
      <c r="OUO10" s="3447"/>
      <c r="OUP10" s="3447"/>
      <c r="OUQ10" s="3447"/>
      <c r="OUR10" s="3447"/>
      <c r="OUS10" s="3447"/>
      <c r="OUT10" s="3447"/>
      <c r="OUU10" s="3447"/>
      <c r="OUV10" s="3447"/>
      <c r="OUW10" s="3447"/>
      <c r="OUX10" s="3447"/>
      <c r="OUY10" s="3447"/>
      <c r="OUZ10" s="3447"/>
      <c r="OVA10" s="3447"/>
      <c r="OVB10" s="3447"/>
      <c r="OVC10" s="3447"/>
      <c r="OVD10" s="3447"/>
      <c r="OVE10" s="3447"/>
      <c r="OVF10" s="3447"/>
      <c r="OVG10" s="3447"/>
      <c r="OVH10" s="3447"/>
      <c r="OVI10" s="3447"/>
      <c r="OVJ10" s="3447"/>
      <c r="OVK10" s="3447"/>
      <c r="OVL10" s="3447"/>
      <c r="OVM10" s="3447"/>
      <c r="OVN10" s="3447"/>
      <c r="OVO10" s="3447"/>
      <c r="OVP10" s="3447"/>
      <c r="OVQ10" s="3447"/>
      <c r="OVR10" s="3447"/>
      <c r="OVS10" s="3447"/>
      <c r="OVT10" s="3447"/>
      <c r="OVU10" s="3447"/>
      <c r="OVV10" s="3447"/>
      <c r="OVW10" s="3447"/>
      <c r="OVX10" s="3447"/>
      <c r="OVY10" s="3447"/>
      <c r="OVZ10" s="3447"/>
      <c r="OWA10" s="3447"/>
      <c r="OWB10" s="3447"/>
      <c r="OWC10" s="3447"/>
      <c r="OWD10" s="3447"/>
      <c r="OWE10" s="3447"/>
      <c r="OWF10" s="3447"/>
      <c r="OWG10" s="3447"/>
      <c r="OWH10" s="3447"/>
      <c r="OWI10" s="3447"/>
      <c r="OWJ10" s="3447"/>
      <c r="OWK10" s="3447"/>
      <c r="OWL10" s="3447"/>
      <c r="OWM10" s="3447"/>
      <c r="OWN10" s="3447"/>
      <c r="OWO10" s="3447"/>
      <c r="OWP10" s="3447"/>
      <c r="OWQ10" s="3447"/>
      <c r="OWR10" s="3447"/>
      <c r="OWS10" s="3447"/>
      <c r="OWT10" s="3447"/>
      <c r="OWU10" s="3447"/>
      <c r="OWV10" s="3447"/>
      <c r="OWW10" s="3447"/>
      <c r="OWX10" s="3447"/>
      <c r="OWY10" s="3447"/>
      <c r="OWZ10" s="3447"/>
      <c r="OXA10" s="3447"/>
      <c r="OXB10" s="3447"/>
      <c r="OXC10" s="3447"/>
      <c r="OXD10" s="3447"/>
      <c r="OXE10" s="3447"/>
      <c r="OXF10" s="3447"/>
      <c r="OXG10" s="3447"/>
      <c r="OXH10" s="3447"/>
      <c r="OXI10" s="3447"/>
      <c r="OXJ10" s="3447"/>
      <c r="OXK10" s="3447"/>
      <c r="OXL10" s="3447"/>
      <c r="OXM10" s="3447"/>
      <c r="OXN10" s="3447"/>
      <c r="OXO10" s="3447"/>
      <c r="OXP10" s="3447"/>
      <c r="OXQ10" s="3447"/>
      <c r="OXR10" s="3447"/>
      <c r="OXS10" s="3447"/>
      <c r="OXT10" s="3447"/>
      <c r="OXU10" s="3447"/>
      <c r="OXV10" s="3447"/>
      <c r="OXW10" s="3447"/>
      <c r="OXX10" s="3447"/>
      <c r="OXY10" s="3447"/>
      <c r="OXZ10" s="3447"/>
      <c r="OYA10" s="3447"/>
      <c r="OYB10" s="3447"/>
      <c r="OYC10" s="3447"/>
      <c r="OYD10" s="3447"/>
      <c r="OYE10" s="3447"/>
      <c r="OYF10" s="3447"/>
      <c r="OYG10" s="3447"/>
      <c r="OYH10" s="3447"/>
      <c r="OYI10" s="3447"/>
      <c r="OYJ10" s="3447"/>
      <c r="OYK10" s="3447"/>
      <c r="OYL10" s="3447"/>
      <c r="OYM10" s="3447"/>
      <c r="OYN10" s="3447"/>
      <c r="OYO10" s="3447"/>
      <c r="OYP10" s="3447"/>
      <c r="OYQ10" s="3447"/>
      <c r="OYR10" s="3447"/>
      <c r="OYS10" s="3447"/>
      <c r="OYT10" s="3447"/>
      <c r="OYU10" s="3447"/>
      <c r="OYV10" s="3447"/>
      <c r="OYW10" s="3447"/>
      <c r="OYX10" s="3447"/>
      <c r="OYY10" s="3447"/>
      <c r="OYZ10" s="3447"/>
      <c r="OZA10" s="3447"/>
      <c r="OZB10" s="3447"/>
      <c r="OZC10" s="3447"/>
      <c r="OZD10" s="3447"/>
      <c r="OZE10" s="3447"/>
      <c r="OZF10" s="3447"/>
      <c r="OZG10" s="3447"/>
      <c r="OZH10" s="3447"/>
      <c r="OZI10" s="3447"/>
      <c r="OZJ10" s="3447"/>
      <c r="OZK10" s="3447"/>
      <c r="OZL10" s="3447"/>
      <c r="OZM10" s="3447"/>
      <c r="OZN10" s="3447"/>
      <c r="OZO10" s="3447"/>
      <c r="OZP10" s="3447"/>
      <c r="OZQ10" s="3447"/>
      <c r="OZR10" s="3447"/>
      <c r="OZS10" s="3447"/>
      <c r="OZT10" s="3447"/>
      <c r="OZU10" s="3447"/>
      <c r="OZV10" s="3447"/>
      <c r="OZW10" s="3447"/>
      <c r="OZX10" s="3447"/>
      <c r="OZY10" s="3447"/>
      <c r="OZZ10" s="3447"/>
      <c r="PAA10" s="3447"/>
      <c r="PAB10" s="3447"/>
      <c r="PAC10" s="3447"/>
      <c r="PAD10" s="3447"/>
      <c r="PAE10" s="3447"/>
      <c r="PAF10" s="3447"/>
      <c r="PAG10" s="3447"/>
      <c r="PAH10" s="3447"/>
      <c r="PAI10" s="3447"/>
      <c r="PAJ10" s="3447"/>
      <c r="PAK10" s="3447"/>
      <c r="PAL10" s="3447"/>
      <c r="PAM10" s="3447"/>
      <c r="PAN10" s="3447"/>
      <c r="PAO10" s="3447"/>
      <c r="PAP10" s="3447"/>
      <c r="PAQ10" s="3447"/>
      <c r="PAR10" s="3447"/>
      <c r="PAS10" s="3447"/>
      <c r="PAT10" s="3447"/>
      <c r="PAU10" s="3447"/>
      <c r="PAV10" s="3447"/>
      <c r="PAW10" s="3447"/>
      <c r="PAX10" s="3447"/>
      <c r="PAY10" s="3447"/>
      <c r="PAZ10" s="3447"/>
      <c r="PBA10" s="3447"/>
      <c r="PBB10" s="3447"/>
      <c r="PBC10" s="3447"/>
      <c r="PBD10" s="3447"/>
      <c r="PBE10" s="3447"/>
      <c r="PBF10" s="3447"/>
      <c r="PBG10" s="3447"/>
      <c r="PBH10" s="3447"/>
      <c r="PBI10" s="3447"/>
      <c r="PBJ10" s="3447"/>
      <c r="PBK10" s="3447"/>
      <c r="PBL10" s="3447"/>
      <c r="PBM10" s="3447"/>
      <c r="PBN10" s="3447"/>
      <c r="PBO10" s="3447"/>
      <c r="PBP10" s="3447"/>
      <c r="PBQ10" s="3447"/>
      <c r="PBR10" s="3447"/>
      <c r="PBS10" s="3447"/>
      <c r="PBT10" s="3447"/>
      <c r="PBU10" s="3447"/>
      <c r="PBV10" s="3447"/>
      <c r="PBW10" s="3447"/>
      <c r="PBX10" s="3447"/>
      <c r="PBY10" s="3447"/>
      <c r="PBZ10" s="3447"/>
      <c r="PCA10" s="3447"/>
      <c r="PCB10" s="3447"/>
      <c r="PCC10" s="3447"/>
      <c r="PCD10" s="3447"/>
      <c r="PCE10" s="3447"/>
      <c r="PCF10" s="3447"/>
      <c r="PCG10" s="3447"/>
      <c r="PCH10" s="3447"/>
      <c r="PCI10" s="3447"/>
      <c r="PCJ10" s="3447"/>
      <c r="PCK10" s="3447"/>
      <c r="PCL10" s="3447"/>
      <c r="PCM10" s="3447"/>
      <c r="PCN10" s="3447"/>
      <c r="PCO10" s="3447"/>
      <c r="PCP10" s="3447"/>
      <c r="PCQ10" s="3447"/>
      <c r="PCR10" s="3447"/>
      <c r="PCS10" s="3447"/>
      <c r="PCT10" s="3447"/>
      <c r="PCU10" s="3447"/>
      <c r="PCV10" s="3447"/>
      <c r="PCW10" s="3447"/>
      <c r="PCX10" s="3447"/>
      <c r="PCY10" s="3447"/>
      <c r="PCZ10" s="3447"/>
      <c r="PDA10" s="3447"/>
      <c r="PDB10" s="3447"/>
      <c r="PDC10" s="3447"/>
      <c r="PDD10" s="3447"/>
      <c r="PDE10" s="3447"/>
      <c r="PDF10" s="3447"/>
      <c r="PDG10" s="3447"/>
      <c r="PDH10" s="3447"/>
      <c r="PDI10" s="3447"/>
      <c r="PDJ10" s="3447"/>
      <c r="PDK10" s="3447"/>
      <c r="PDL10" s="3447"/>
      <c r="PDM10" s="3447"/>
      <c r="PDN10" s="3447"/>
      <c r="PDO10" s="3447"/>
      <c r="PDP10" s="3447"/>
      <c r="PDQ10" s="3447"/>
      <c r="PDR10" s="3447"/>
      <c r="PDS10" s="3447"/>
      <c r="PDT10" s="3447"/>
      <c r="PDU10" s="3447"/>
      <c r="PDV10" s="3447"/>
      <c r="PDW10" s="3447"/>
      <c r="PDX10" s="3447"/>
      <c r="PDY10" s="3447"/>
      <c r="PDZ10" s="3447"/>
      <c r="PEA10" s="3447"/>
      <c r="PEB10" s="3447"/>
      <c r="PEC10" s="3447"/>
      <c r="PED10" s="3447"/>
      <c r="PEE10" s="3447"/>
      <c r="PEF10" s="3447"/>
      <c r="PEG10" s="3447"/>
      <c r="PEH10" s="3447"/>
      <c r="PEI10" s="3447"/>
      <c r="PEJ10" s="3447"/>
      <c r="PEK10" s="3447"/>
      <c r="PEL10" s="3447"/>
      <c r="PEM10" s="3447"/>
      <c r="PEN10" s="3447"/>
      <c r="PEO10" s="3447"/>
      <c r="PEP10" s="3447"/>
      <c r="PEQ10" s="3447"/>
      <c r="PER10" s="3447"/>
      <c r="PES10" s="3447"/>
      <c r="PET10" s="3447"/>
      <c r="PEU10" s="3447"/>
      <c r="PEV10" s="3447"/>
      <c r="PEW10" s="3447"/>
      <c r="PEX10" s="3447"/>
      <c r="PEY10" s="3447"/>
      <c r="PEZ10" s="3447"/>
      <c r="PFA10" s="3447"/>
      <c r="PFB10" s="3447"/>
      <c r="PFC10" s="3447"/>
      <c r="PFD10" s="3447"/>
      <c r="PFE10" s="3447"/>
      <c r="PFF10" s="3447"/>
      <c r="PFG10" s="3447"/>
      <c r="PFH10" s="3447"/>
      <c r="PFI10" s="3447"/>
      <c r="PFJ10" s="3447"/>
      <c r="PFK10" s="3447"/>
      <c r="PFL10" s="3447"/>
      <c r="PFM10" s="3447"/>
      <c r="PFN10" s="3447"/>
      <c r="PFO10" s="3447"/>
      <c r="PFP10" s="3447"/>
      <c r="PFQ10" s="3447"/>
      <c r="PFR10" s="3447"/>
      <c r="PFS10" s="3447"/>
      <c r="PFT10" s="3447"/>
      <c r="PFU10" s="3447"/>
      <c r="PFV10" s="3447"/>
      <c r="PFW10" s="3447"/>
      <c r="PFX10" s="3447"/>
      <c r="PFY10" s="3447"/>
      <c r="PFZ10" s="3447"/>
      <c r="PGA10" s="3447"/>
      <c r="PGB10" s="3447"/>
      <c r="PGC10" s="3447"/>
      <c r="PGD10" s="3447"/>
      <c r="PGE10" s="3447"/>
      <c r="PGF10" s="3447"/>
      <c r="PGG10" s="3447"/>
      <c r="PGH10" s="3447"/>
      <c r="PGI10" s="3447"/>
      <c r="PGJ10" s="3447"/>
      <c r="PGK10" s="3447"/>
      <c r="PGL10" s="3447"/>
      <c r="PGM10" s="3447"/>
      <c r="PGN10" s="3447"/>
      <c r="PGO10" s="3447"/>
      <c r="PGP10" s="3447"/>
      <c r="PGQ10" s="3447"/>
      <c r="PGR10" s="3447"/>
      <c r="PGS10" s="3447"/>
      <c r="PGT10" s="3447"/>
      <c r="PGU10" s="3447"/>
      <c r="PGV10" s="3447"/>
      <c r="PGW10" s="3447"/>
      <c r="PGX10" s="3447"/>
      <c r="PGY10" s="3447"/>
      <c r="PGZ10" s="3447"/>
      <c r="PHA10" s="3447"/>
      <c r="PHB10" s="3447"/>
      <c r="PHC10" s="3447"/>
      <c r="PHD10" s="3447"/>
      <c r="PHE10" s="3447"/>
      <c r="PHF10" s="3447"/>
      <c r="PHG10" s="3447"/>
      <c r="PHH10" s="3447"/>
      <c r="PHI10" s="3447"/>
      <c r="PHJ10" s="3447"/>
      <c r="PHK10" s="3447"/>
      <c r="PHL10" s="3447"/>
      <c r="PHM10" s="3447"/>
      <c r="PHN10" s="3447"/>
      <c r="PHO10" s="3447"/>
      <c r="PHP10" s="3447"/>
      <c r="PHQ10" s="3447"/>
      <c r="PHR10" s="3447"/>
      <c r="PHS10" s="3447"/>
      <c r="PHT10" s="3447"/>
      <c r="PHU10" s="3447"/>
      <c r="PHV10" s="3447"/>
      <c r="PHW10" s="3447"/>
      <c r="PHX10" s="3447"/>
      <c r="PHY10" s="3447"/>
      <c r="PHZ10" s="3447"/>
      <c r="PIA10" s="3447"/>
      <c r="PIB10" s="3447"/>
      <c r="PIC10" s="3447"/>
      <c r="PID10" s="3447"/>
      <c r="PIE10" s="3447"/>
      <c r="PIF10" s="3447"/>
      <c r="PIG10" s="3447"/>
      <c r="PIH10" s="3447"/>
      <c r="PII10" s="3447"/>
      <c r="PIJ10" s="3447"/>
      <c r="PIK10" s="3447"/>
      <c r="PIL10" s="3447"/>
      <c r="PIM10" s="3447"/>
      <c r="PIN10" s="3447"/>
      <c r="PIO10" s="3447"/>
      <c r="PIP10" s="3447"/>
      <c r="PIQ10" s="3447"/>
      <c r="PIR10" s="3447"/>
      <c r="PIS10" s="3447"/>
      <c r="PIT10" s="3447"/>
      <c r="PIU10" s="3447"/>
      <c r="PIV10" s="3447"/>
      <c r="PIW10" s="3447"/>
      <c r="PIX10" s="3447"/>
      <c r="PIY10" s="3447"/>
      <c r="PIZ10" s="3447"/>
      <c r="PJA10" s="3447"/>
      <c r="PJB10" s="3447"/>
      <c r="PJC10" s="3447"/>
      <c r="PJD10" s="3447"/>
      <c r="PJE10" s="3447"/>
      <c r="PJF10" s="3447"/>
      <c r="PJG10" s="3447"/>
      <c r="PJH10" s="3447"/>
      <c r="PJI10" s="3447"/>
      <c r="PJJ10" s="3447"/>
      <c r="PJK10" s="3447"/>
      <c r="PJL10" s="3447"/>
      <c r="PJM10" s="3447"/>
      <c r="PJN10" s="3447"/>
      <c r="PJO10" s="3447"/>
      <c r="PJP10" s="3447"/>
      <c r="PJQ10" s="3447"/>
      <c r="PJR10" s="3447"/>
      <c r="PJS10" s="3447"/>
      <c r="PJT10" s="3447"/>
      <c r="PJU10" s="3447"/>
      <c r="PJV10" s="3447"/>
      <c r="PJW10" s="3447"/>
      <c r="PJX10" s="3447"/>
      <c r="PJY10" s="3447"/>
      <c r="PJZ10" s="3447"/>
      <c r="PKA10" s="3447"/>
      <c r="PKB10" s="3447"/>
      <c r="PKC10" s="3447"/>
      <c r="PKD10" s="3447"/>
      <c r="PKE10" s="3447"/>
      <c r="PKF10" s="3447"/>
      <c r="PKG10" s="3447"/>
      <c r="PKH10" s="3447"/>
      <c r="PKI10" s="3447"/>
      <c r="PKJ10" s="3447"/>
      <c r="PKK10" s="3447"/>
      <c r="PKL10" s="3447"/>
      <c r="PKM10" s="3447"/>
      <c r="PKN10" s="3447"/>
      <c r="PKO10" s="3447"/>
      <c r="PKP10" s="3447"/>
      <c r="PKQ10" s="3447"/>
      <c r="PKR10" s="3447"/>
      <c r="PKS10" s="3447"/>
      <c r="PKT10" s="3447"/>
      <c r="PKU10" s="3447"/>
      <c r="PKV10" s="3447"/>
      <c r="PKW10" s="3447"/>
      <c r="PKX10" s="3447"/>
      <c r="PKY10" s="3447"/>
      <c r="PKZ10" s="3447"/>
      <c r="PLA10" s="3447"/>
      <c r="PLB10" s="3447"/>
      <c r="PLC10" s="3447"/>
      <c r="PLD10" s="3447"/>
      <c r="PLE10" s="3447"/>
      <c r="PLF10" s="3447"/>
      <c r="PLG10" s="3447"/>
      <c r="PLH10" s="3447"/>
      <c r="PLI10" s="3447"/>
      <c r="PLJ10" s="3447"/>
      <c r="PLK10" s="3447"/>
      <c r="PLL10" s="3447"/>
      <c r="PLM10" s="3447"/>
      <c r="PLN10" s="3447"/>
      <c r="PLO10" s="3447"/>
      <c r="PLP10" s="3447"/>
      <c r="PLQ10" s="3447"/>
      <c r="PLR10" s="3447"/>
      <c r="PLS10" s="3447"/>
      <c r="PLT10" s="3447"/>
      <c r="PLU10" s="3447"/>
      <c r="PLV10" s="3447"/>
      <c r="PLW10" s="3447"/>
      <c r="PLX10" s="3447"/>
      <c r="PLY10" s="3447"/>
      <c r="PLZ10" s="3447"/>
      <c r="PMA10" s="3447"/>
      <c r="PMB10" s="3447"/>
      <c r="PMC10" s="3447"/>
      <c r="PMD10" s="3447"/>
      <c r="PME10" s="3447"/>
      <c r="PMF10" s="3447"/>
      <c r="PMG10" s="3447"/>
      <c r="PMH10" s="3447"/>
      <c r="PMI10" s="3447"/>
      <c r="PMJ10" s="3447"/>
      <c r="PMK10" s="3447"/>
      <c r="PML10" s="3447"/>
      <c r="PMM10" s="3447"/>
      <c r="PMN10" s="3447"/>
      <c r="PMO10" s="3447"/>
      <c r="PMP10" s="3447"/>
      <c r="PMQ10" s="3447"/>
      <c r="PMR10" s="3447"/>
      <c r="PMS10" s="3447"/>
      <c r="PMT10" s="3447"/>
      <c r="PMU10" s="3447"/>
      <c r="PMV10" s="3447"/>
      <c r="PMW10" s="3447"/>
      <c r="PMX10" s="3447"/>
      <c r="PMY10" s="3447"/>
      <c r="PMZ10" s="3447"/>
      <c r="PNA10" s="3447"/>
      <c r="PNB10" s="3447"/>
      <c r="PNC10" s="3447"/>
      <c r="PND10" s="3447"/>
      <c r="PNE10" s="3447"/>
      <c r="PNF10" s="3447"/>
      <c r="PNG10" s="3447"/>
      <c r="PNH10" s="3447"/>
      <c r="PNI10" s="3447"/>
      <c r="PNJ10" s="3447"/>
      <c r="PNK10" s="3447"/>
      <c r="PNL10" s="3447"/>
      <c r="PNM10" s="3447"/>
      <c r="PNN10" s="3447"/>
      <c r="PNO10" s="3447"/>
      <c r="PNP10" s="3447"/>
      <c r="PNQ10" s="3447"/>
      <c r="PNR10" s="3447"/>
      <c r="PNS10" s="3447"/>
      <c r="PNT10" s="3447"/>
      <c r="PNU10" s="3447"/>
      <c r="PNV10" s="3447"/>
      <c r="PNW10" s="3447"/>
      <c r="PNX10" s="3447"/>
      <c r="PNY10" s="3447"/>
      <c r="PNZ10" s="3447"/>
      <c r="POA10" s="3447"/>
      <c r="POB10" s="3447"/>
      <c r="POC10" s="3447"/>
      <c r="POD10" s="3447"/>
      <c r="POE10" s="3447"/>
      <c r="POF10" s="3447"/>
      <c r="POG10" s="3447"/>
      <c r="POH10" s="3447"/>
      <c r="POI10" s="3447"/>
      <c r="POJ10" s="3447"/>
      <c r="POK10" s="3447"/>
      <c r="POL10" s="3447"/>
      <c r="POM10" s="3447"/>
      <c r="PON10" s="3447"/>
      <c r="POO10" s="3447"/>
      <c r="POP10" s="3447"/>
      <c r="POQ10" s="3447"/>
      <c r="POR10" s="3447"/>
      <c r="POS10" s="3447"/>
      <c r="POT10" s="3447"/>
      <c r="POU10" s="3447"/>
      <c r="POV10" s="3447"/>
      <c r="POW10" s="3447"/>
      <c r="POX10" s="3447"/>
      <c r="POY10" s="3447"/>
      <c r="POZ10" s="3447"/>
      <c r="PPA10" s="3447"/>
      <c r="PPB10" s="3447"/>
      <c r="PPC10" s="3447"/>
      <c r="PPD10" s="3447"/>
      <c r="PPE10" s="3447"/>
      <c r="PPF10" s="3447"/>
      <c r="PPG10" s="3447"/>
      <c r="PPH10" s="3447"/>
      <c r="PPI10" s="3447"/>
      <c r="PPJ10" s="3447"/>
      <c r="PPK10" s="3447"/>
      <c r="PPL10" s="3447"/>
      <c r="PPM10" s="3447"/>
      <c r="PPN10" s="3447"/>
      <c r="PPO10" s="3447"/>
      <c r="PPP10" s="3447"/>
      <c r="PPQ10" s="3447"/>
      <c r="PPR10" s="3447"/>
      <c r="PPS10" s="3447"/>
      <c r="PPT10" s="3447"/>
      <c r="PPU10" s="3447"/>
      <c r="PPV10" s="3447"/>
      <c r="PPW10" s="3447"/>
      <c r="PPX10" s="3447"/>
      <c r="PPY10" s="3447"/>
      <c r="PPZ10" s="3447"/>
      <c r="PQA10" s="3447"/>
      <c r="PQB10" s="3447"/>
      <c r="PQC10" s="3447"/>
      <c r="PQD10" s="3447"/>
      <c r="PQE10" s="3447"/>
      <c r="PQF10" s="3447"/>
      <c r="PQG10" s="3447"/>
      <c r="PQH10" s="3447"/>
      <c r="PQI10" s="3447"/>
      <c r="PQJ10" s="3447"/>
      <c r="PQK10" s="3447"/>
      <c r="PQL10" s="3447"/>
      <c r="PQM10" s="3447"/>
      <c r="PQN10" s="3447"/>
      <c r="PQO10" s="3447"/>
      <c r="PQP10" s="3447"/>
      <c r="PQQ10" s="3447"/>
      <c r="PQR10" s="3447"/>
      <c r="PQS10" s="3447"/>
      <c r="PQT10" s="3447"/>
      <c r="PQU10" s="3447"/>
      <c r="PQV10" s="3447"/>
      <c r="PQW10" s="3447"/>
      <c r="PQX10" s="3447"/>
      <c r="PQY10" s="3447"/>
      <c r="PQZ10" s="3447"/>
      <c r="PRA10" s="3447"/>
      <c r="PRB10" s="3447"/>
      <c r="PRC10" s="3447"/>
      <c r="PRD10" s="3447"/>
      <c r="PRE10" s="3447"/>
      <c r="PRF10" s="3447"/>
      <c r="PRG10" s="3447"/>
      <c r="PRH10" s="3447"/>
      <c r="PRI10" s="3447"/>
      <c r="PRJ10" s="3447"/>
      <c r="PRK10" s="3447"/>
      <c r="PRL10" s="3447"/>
      <c r="PRM10" s="3447"/>
      <c r="PRN10" s="3447"/>
      <c r="PRO10" s="3447"/>
      <c r="PRP10" s="3447"/>
      <c r="PRQ10" s="3447"/>
      <c r="PRR10" s="3447"/>
      <c r="PRS10" s="3447"/>
      <c r="PRT10" s="3447"/>
      <c r="PRU10" s="3447"/>
      <c r="PRV10" s="3447"/>
      <c r="PRW10" s="3447"/>
      <c r="PRX10" s="3447"/>
      <c r="PRY10" s="3447"/>
      <c r="PRZ10" s="3447"/>
      <c r="PSA10" s="3447"/>
      <c r="PSB10" s="3447"/>
      <c r="PSC10" s="3447"/>
      <c r="PSD10" s="3447"/>
      <c r="PSE10" s="3447"/>
      <c r="PSF10" s="3447"/>
      <c r="PSG10" s="3447"/>
      <c r="PSH10" s="3447"/>
      <c r="PSI10" s="3447"/>
      <c r="PSJ10" s="3447"/>
      <c r="PSK10" s="3447"/>
      <c r="PSL10" s="3447"/>
      <c r="PSM10" s="3447"/>
      <c r="PSN10" s="3447"/>
      <c r="PSO10" s="3447"/>
      <c r="PSP10" s="3447"/>
      <c r="PSQ10" s="3447"/>
      <c r="PSR10" s="3447"/>
      <c r="PSS10" s="3447"/>
      <c r="PST10" s="3447"/>
      <c r="PSU10" s="3447"/>
      <c r="PSV10" s="3447"/>
      <c r="PSW10" s="3447"/>
      <c r="PSX10" s="3447"/>
      <c r="PSY10" s="3447"/>
      <c r="PSZ10" s="3447"/>
      <c r="PTA10" s="3447"/>
      <c r="PTB10" s="3447"/>
      <c r="PTC10" s="3447"/>
      <c r="PTD10" s="3447"/>
      <c r="PTE10" s="3447"/>
      <c r="PTF10" s="3447"/>
      <c r="PTG10" s="3447"/>
      <c r="PTH10" s="3447"/>
      <c r="PTI10" s="3447"/>
      <c r="PTJ10" s="3447"/>
      <c r="PTK10" s="3447"/>
      <c r="PTL10" s="3447"/>
      <c r="PTM10" s="3447"/>
      <c r="PTN10" s="3447"/>
      <c r="PTO10" s="3447"/>
      <c r="PTP10" s="3447"/>
      <c r="PTQ10" s="3447"/>
      <c r="PTR10" s="3447"/>
      <c r="PTS10" s="3447"/>
      <c r="PTT10" s="3447"/>
      <c r="PTU10" s="3447"/>
      <c r="PTV10" s="3447"/>
      <c r="PTW10" s="3447"/>
      <c r="PTX10" s="3447"/>
      <c r="PTY10" s="3447"/>
      <c r="PTZ10" s="3447"/>
      <c r="PUA10" s="3447"/>
      <c r="PUB10" s="3447"/>
      <c r="PUC10" s="3447"/>
      <c r="PUD10" s="3447"/>
      <c r="PUE10" s="3447"/>
      <c r="PUF10" s="3447"/>
      <c r="PUG10" s="3447"/>
      <c r="PUH10" s="3447"/>
      <c r="PUI10" s="3447"/>
      <c r="PUJ10" s="3447"/>
      <c r="PUK10" s="3447"/>
      <c r="PUL10" s="3447"/>
      <c r="PUM10" s="3447"/>
      <c r="PUN10" s="3447"/>
      <c r="PUO10" s="3447"/>
      <c r="PUP10" s="3447"/>
      <c r="PUQ10" s="3447"/>
      <c r="PUR10" s="3447"/>
      <c r="PUS10" s="3447"/>
      <c r="PUT10" s="3447"/>
      <c r="PUU10" s="3447"/>
      <c r="PUV10" s="3447"/>
      <c r="PUW10" s="3447"/>
      <c r="PUX10" s="3447"/>
      <c r="PUY10" s="3447"/>
      <c r="PUZ10" s="3447"/>
      <c r="PVA10" s="3447"/>
      <c r="PVB10" s="3447"/>
      <c r="PVC10" s="3447"/>
      <c r="PVD10" s="3447"/>
      <c r="PVE10" s="3447"/>
      <c r="PVF10" s="3447"/>
      <c r="PVG10" s="3447"/>
      <c r="PVH10" s="3447"/>
      <c r="PVI10" s="3447"/>
      <c r="PVJ10" s="3447"/>
      <c r="PVK10" s="3447"/>
      <c r="PVL10" s="3447"/>
      <c r="PVM10" s="3447"/>
      <c r="PVN10" s="3447"/>
      <c r="PVO10" s="3447"/>
      <c r="PVP10" s="3447"/>
      <c r="PVQ10" s="3447"/>
      <c r="PVR10" s="3447"/>
      <c r="PVS10" s="3447"/>
      <c r="PVT10" s="3447"/>
      <c r="PVU10" s="3447"/>
      <c r="PVV10" s="3447"/>
      <c r="PVW10" s="3447"/>
      <c r="PVX10" s="3447"/>
      <c r="PVY10" s="3447"/>
      <c r="PVZ10" s="3447"/>
      <c r="PWA10" s="3447"/>
      <c r="PWB10" s="3447"/>
      <c r="PWC10" s="3447"/>
      <c r="PWD10" s="3447"/>
      <c r="PWE10" s="3447"/>
      <c r="PWF10" s="3447"/>
      <c r="PWG10" s="3447"/>
      <c r="PWH10" s="3447"/>
      <c r="PWI10" s="3447"/>
      <c r="PWJ10" s="3447"/>
      <c r="PWK10" s="3447"/>
      <c r="PWL10" s="3447"/>
      <c r="PWM10" s="3447"/>
      <c r="PWN10" s="3447"/>
      <c r="PWO10" s="3447"/>
      <c r="PWP10" s="3447"/>
      <c r="PWQ10" s="3447"/>
      <c r="PWR10" s="3447"/>
      <c r="PWS10" s="3447"/>
      <c r="PWT10" s="3447"/>
      <c r="PWU10" s="3447"/>
      <c r="PWV10" s="3447"/>
      <c r="PWW10" s="3447"/>
      <c r="PWX10" s="3447"/>
      <c r="PWY10" s="3447"/>
      <c r="PWZ10" s="3447"/>
      <c r="PXA10" s="3447"/>
      <c r="PXB10" s="3447"/>
      <c r="PXC10" s="3447"/>
      <c r="PXD10" s="3447"/>
      <c r="PXE10" s="3447"/>
      <c r="PXF10" s="3447"/>
      <c r="PXG10" s="3447"/>
      <c r="PXH10" s="3447"/>
      <c r="PXI10" s="3447"/>
      <c r="PXJ10" s="3447"/>
      <c r="PXK10" s="3447"/>
      <c r="PXL10" s="3447"/>
      <c r="PXM10" s="3447"/>
      <c r="PXN10" s="3447"/>
      <c r="PXO10" s="3447"/>
      <c r="PXP10" s="3447"/>
      <c r="PXQ10" s="3447"/>
      <c r="PXR10" s="3447"/>
      <c r="PXS10" s="3447"/>
      <c r="PXT10" s="3447"/>
      <c r="PXU10" s="3447"/>
      <c r="PXV10" s="3447"/>
      <c r="PXW10" s="3447"/>
      <c r="PXX10" s="3447"/>
      <c r="PXY10" s="3447"/>
      <c r="PXZ10" s="3447"/>
      <c r="PYA10" s="3447"/>
      <c r="PYB10" s="3447"/>
      <c r="PYC10" s="3447"/>
      <c r="PYD10" s="3447"/>
      <c r="PYE10" s="3447"/>
      <c r="PYF10" s="3447"/>
      <c r="PYG10" s="3447"/>
      <c r="PYH10" s="3447"/>
      <c r="PYI10" s="3447"/>
      <c r="PYJ10" s="3447"/>
      <c r="PYK10" s="3447"/>
      <c r="PYL10" s="3447"/>
      <c r="PYM10" s="3447"/>
      <c r="PYN10" s="3447"/>
      <c r="PYO10" s="3447"/>
      <c r="PYP10" s="3447"/>
      <c r="PYQ10" s="3447"/>
      <c r="PYR10" s="3447"/>
      <c r="PYS10" s="3447"/>
      <c r="PYT10" s="3447"/>
      <c r="PYU10" s="3447"/>
      <c r="PYV10" s="3447"/>
      <c r="PYW10" s="3447"/>
      <c r="PYX10" s="3447"/>
      <c r="PYY10" s="3447"/>
      <c r="PYZ10" s="3447"/>
      <c r="PZA10" s="3447"/>
      <c r="PZB10" s="3447"/>
      <c r="PZC10" s="3447"/>
      <c r="PZD10" s="3447"/>
      <c r="PZE10" s="3447"/>
      <c r="PZF10" s="3447"/>
      <c r="PZG10" s="3447"/>
      <c r="PZH10" s="3447"/>
      <c r="PZI10" s="3447"/>
      <c r="PZJ10" s="3447"/>
      <c r="PZK10" s="3447"/>
      <c r="PZL10" s="3447"/>
      <c r="PZM10" s="3447"/>
      <c r="PZN10" s="3447"/>
      <c r="PZO10" s="3447"/>
      <c r="PZP10" s="3447"/>
      <c r="PZQ10" s="3447"/>
      <c r="PZR10" s="3447"/>
      <c r="PZS10" s="3447"/>
      <c r="PZT10" s="3447"/>
      <c r="PZU10" s="3447"/>
      <c r="PZV10" s="3447"/>
      <c r="PZW10" s="3447"/>
      <c r="PZX10" s="3447"/>
      <c r="PZY10" s="3447"/>
      <c r="PZZ10" s="3447"/>
      <c r="QAA10" s="3447"/>
      <c r="QAB10" s="3447"/>
      <c r="QAC10" s="3447"/>
      <c r="QAD10" s="3447"/>
      <c r="QAE10" s="3447"/>
      <c r="QAF10" s="3447"/>
      <c r="QAG10" s="3447"/>
      <c r="QAH10" s="3447"/>
      <c r="QAI10" s="3447"/>
      <c r="QAJ10" s="3447"/>
      <c r="QAK10" s="3447"/>
      <c r="QAL10" s="3447"/>
      <c r="QAM10" s="3447"/>
      <c r="QAN10" s="3447"/>
      <c r="QAO10" s="3447"/>
      <c r="QAP10" s="3447"/>
      <c r="QAQ10" s="3447"/>
      <c r="QAR10" s="3447"/>
      <c r="QAS10" s="3447"/>
      <c r="QAT10" s="3447"/>
      <c r="QAU10" s="3447"/>
      <c r="QAV10" s="3447"/>
      <c r="QAW10" s="3447"/>
      <c r="QAX10" s="3447"/>
      <c r="QAY10" s="3447"/>
      <c r="QAZ10" s="3447"/>
      <c r="QBA10" s="3447"/>
      <c r="QBB10" s="3447"/>
      <c r="QBC10" s="3447"/>
      <c r="QBD10" s="3447"/>
      <c r="QBE10" s="3447"/>
      <c r="QBF10" s="3447"/>
      <c r="QBG10" s="3447"/>
      <c r="QBH10" s="3447"/>
      <c r="QBI10" s="3447"/>
      <c r="QBJ10" s="3447"/>
      <c r="QBK10" s="3447"/>
      <c r="QBL10" s="3447"/>
      <c r="QBM10" s="3447"/>
      <c r="QBN10" s="3447"/>
      <c r="QBO10" s="3447"/>
      <c r="QBP10" s="3447"/>
      <c r="QBQ10" s="3447"/>
      <c r="QBR10" s="3447"/>
      <c r="QBS10" s="3447"/>
      <c r="QBT10" s="3447"/>
      <c r="QBU10" s="3447"/>
      <c r="QBV10" s="3447"/>
      <c r="QBW10" s="3447"/>
      <c r="QBX10" s="3447"/>
      <c r="QBY10" s="3447"/>
      <c r="QBZ10" s="3447"/>
      <c r="QCA10" s="3447"/>
      <c r="QCB10" s="3447"/>
      <c r="QCC10" s="3447"/>
      <c r="QCD10" s="3447"/>
      <c r="QCE10" s="3447"/>
      <c r="QCF10" s="3447"/>
      <c r="QCG10" s="3447"/>
      <c r="QCH10" s="3447"/>
      <c r="QCI10" s="3447"/>
      <c r="QCJ10" s="3447"/>
      <c r="QCK10" s="3447"/>
      <c r="QCL10" s="3447"/>
      <c r="QCM10" s="3447"/>
      <c r="QCN10" s="3447"/>
      <c r="QCO10" s="3447"/>
      <c r="QCP10" s="3447"/>
      <c r="QCQ10" s="3447"/>
      <c r="QCR10" s="3447"/>
      <c r="QCS10" s="3447"/>
      <c r="QCT10" s="3447"/>
      <c r="QCU10" s="3447"/>
      <c r="QCV10" s="3447"/>
      <c r="QCW10" s="3447"/>
      <c r="QCX10" s="3447"/>
      <c r="QCY10" s="3447"/>
      <c r="QCZ10" s="3447"/>
      <c r="QDA10" s="3447"/>
      <c r="QDB10" s="3447"/>
      <c r="QDC10" s="3447"/>
      <c r="QDD10" s="3447"/>
      <c r="QDE10" s="3447"/>
      <c r="QDF10" s="3447"/>
      <c r="QDG10" s="3447"/>
      <c r="QDH10" s="3447"/>
      <c r="QDI10" s="3447"/>
      <c r="QDJ10" s="3447"/>
      <c r="QDK10" s="3447"/>
      <c r="QDL10" s="3447"/>
      <c r="QDM10" s="3447"/>
      <c r="QDN10" s="3447"/>
      <c r="QDO10" s="3447"/>
      <c r="QDP10" s="3447"/>
      <c r="QDQ10" s="3447"/>
      <c r="QDR10" s="3447"/>
      <c r="QDS10" s="3447"/>
      <c r="QDT10" s="3447"/>
      <c r="QDU10" s="3447"/>
      <c r="QDV10" s="3447"/>
      <c r="QDW10" s="3447"/>
      <c r="QDX10" s="3447"/>
      <c r="QDY10" s="3447"/>
      <c r="QDZ10" s="3447"/>
      <c r="QEA10" s="3447"/>
      <c r="QEB10" s="3447"/>
      <c r="QEC10" s="3447"/>
      <c r="QED10" s="3447"/>
      <c r="QEE10" s="3447"/>
      <c r="QEF10" s="3447"/>
      <c r="QEG10" s="3447"/>
      <c r="QEH10" s="3447"/>
      <c r="QEI10" s="3447"/>
      <c r="QEJ10" s="3447"/>
      <c r="QEK10" s="3447"/>
      <c r="QEL10" s="3447"/>
      <c r="QEM10" s="3447"/>
      <c r="QEN10" s="3447"/>
      <c r="QEO10" s="3447"/>
      <c r="QEP10" s="3447"/>
      <c r="QEQ10" s="3447"/>
      <c r="QER10" s="3447"/>
      <c r="QES10" s="3447"/>
      <c r="QET10" s="3447"/>
      <c r="QEU10" s="3447"/>
      <c r="QEV10" s="3447"/>
      <c r="QEW10" s="3447"/>
      <c r="QEX10" s="3447"/>
      <c r="QEY10" s="3447"/>
      <c r="QEZ10" s="3447"/>
      <c r="QFA10" s="3447"/>
      <c r="QFB10" s="3447"/>
      <c r="QFC10" s="3447"/>
      <c r="QFD10" s="3447"/>
      <c r="QFE10" s="3447"/>
      <c r="QFF10" s="3447"/>
      <c r="QFG10" s="3447"/>
      <c r="QFH10" s="3447"/>
      <c r="QFI10" s="3447"/>
      <c r="QFJ10" s="3447"/>
      <c r="QFK10" s="3447"/>
      <c r="QFL10" s="3447"/>
      <c r="QFM10" s="3447"/>
      <c r="QFN10" s="3447"/>
      <c r="QFO10" s="3447"/>
      <c r="QFP10" s="3447"/>
      <c r="QFQ10" s="3447"/>
      <c r="QFR10" s="3447"/>
      <c r="QFS10" s="3447"/>
      <c r="QFT10" s="3447"/>
      <c r="QFU10" s="3447"/>
      <c r="QFV10" s="3447"/>
      <c r="QFW10" s="3447"/>
      <c r="QFX10" s="3447"/>
      <c r="QFY10" s="3447"/>
      <c r="QFZ10" s="3447"/>
      <c r="QGA10" s="3447"/>
      <c r="QGB10" s="3447"/>
      <c r="QGC10" s="3447"/>
      <c r="QGD10" s="3447"/>
      <c r="QGE10" s="3447"/>
      <c r="QGF10" s="3447"/>
      <c r="QGG10" s="3447"/>
      <c r="QGH10" s="3447"/>
      <c r="QGI10" s="3447"/>
      <c r="QGJ10" s="3447"/>
      <c r="QGK10" s="3447"/>
      <c r="QGL10" s="3447"/>
      <c r="QGM10" s="3447"/>
      <c r="QGN10" s="3447"/>
      <c r="QGO10" s="3447"/>
      <c r="QGP10" s="3447"/>
      <c r="QGQ10" s="3447"/>
      <c r="QGR10" s="3447"/>
      <c r="QGS10" s="3447"/>
      <c r="QGT10" s="3447"/>
      <c r="QGU10" s="3447"/>
      <c r="QGV10" s="3447"/>
      <c r="QGW10" s="3447"/>
      <c r="QGX10" s="3447"/>
      <c r="QGY10" s="3447"/>
      <c r="QGZ10" s="3447"/>
      <c r="QHA10" s="3447"/>
      <c r="QHB10" s="3447"/>
      <c r="QHC10" s="3447"/>
      <c r="QHD10" s="3447"/>
      <c r="QHE10" s="3447"/>
      <c r="QHF10" s="3447"/>
      <c r="QHG10" s="3447"/>
      <c r="QHH10" s="3447"/>
      <c r="QHI10" s="3447"/>
      <c r="QHJ10" s="3447"/>
      <c r="QHK10" s="3447"/>
      <c r="QHL10" s="3447"/>
      <c r="QHM10" s="3447"/>
      <c r="QHN10" s="3447"/>
      <c r="QHO10" s="3447"/>
      <c r="QHP10" s="3447"/>
      <c r="QHQ10" s="3447"/>
      <c r="QHR10" s="3447"/>
      <c r="QHS10" s="3447"/>
      <c r="QHT10" s="3447"/>
      <c r="QHU10" s="3447"/>
      <c r="QHV10" s="3447"/>
      <c r="QHW10" s="3447"/>
      <c r="QHX10" s="3447"/>
      <c r="QHY10" s="3447"/>
      <c r="QHZ10" s="3447"/>
      <c r="QIA10" s="3447"/>
      <c r="QIB10" s="3447"/>
      <c r="QIC10" s="3447"/>
      <c r="QID10" s="3447"/>
      <c r="QIE10" s="3447"/>
      <c r="QIF10" s="3447"/>
      <c r="QIG10" s="3447"/>
      <c r="QIH10" s="3447"/>
      <c r="QII10" s="3447"/>
      <c r="QIJ10" s="3447"/>
      <c r="QIK10" s="3447"/>
      <c r="QIL10" s="3447"/>
      <c r="QIM10" s="3447"/>
      <c r="QIN10" s="3447"/>
      <c r="QIO10" s="3447"/>
      <c r="QIP10" s="3447"/>
      <c r="QIQ10" s="3447"/>
      <c r="QIR10" s="3447"/>
      <c r="QIS10" s="3447"/>
      <c r="QIT10" s="3447"/>
      <c r="QIU10" s="3447"/>
      <c r="QIV10" s="3447"/>
      <c r="QIW10" s="3447"/>
      <c r="QIX10" s="3447"/>
      <c r="QIY10" s="3447"/>
      <c r="QIZ10" s="3447"/>
      <c r="QJA10" s="3447"/>
      <c r="QJB10" s="3447"/>
      <c r="QJC10" s="3447"/>
      <c r="QJD10" s="3447"/>
      <c r="QJE10" s="3447"/>
      <c r="QJF10" s="3447"/>
      <c r="QJG10" s="3447"/>
      <c r="QJH10" s="3447"/>
      <c r="QJI10" s="3447"/>
      <c r="QJJ10" s="3447"/>
      <c r="QJK10" s="3447"/>
      <c r="QJL10" s="3447"/>
      <c r="QJM10" s="3447"/>
      <c r="QJN10" s="3447"/>
      <c r="QJO10" s="3447"/>
      <c r="QJP10" s="3447"/>
      <c r="QJQ10" s="3447"/>
      <c r="QJR10" s="3447"/>
      <c r="QJS10" s="3447"/>
      <c r="QJT10" s="3447"/>
      <c r="QJU10" s="3447"/>
      <c r="QJV10" s="3447"/>
      <c r="QJW10" s="3447"/>
      <c r="QJX10" s="3447"/>
      <c r="QJY10" s="3447"/>
      <c r="QJZ10" s="3447"/>
      <c r="QKA10" s="3447"/>
      <c r="QKB10" s="3447"/>
      <c r="QKC10" s="3447"/>
      <c r="QKD10" s="3447"/>
      <c r="QKE10" s="3447"/>
      <c r="QKF10" s="3447"/>
      <c r="QKG10" s="3447"/>
      <c r="QKH10" s="3447"/>
      <c r="QKI10" s="3447"/>
      <c r="QKJ10" s="3447"/>
      <c r="QKK10" s="3447"/>
      <c r="QKL10" s="3447"/>
      <c r="QKM10" s="3447"/>
      <c r="QKN10" s="3447"/>
      <c r="QKO10" s="3447"/>
      <c r="QKP10" s="3447"/>
      <c r="QKQ10" s="3447"/>
      <c r="QKR10" s="3447"/>
      <c r="QKS10" s="3447"/>
      <c r="QKT10" s="3447"/>
      <c r="QKU10" s="3447"/>
      <c r="QKV10" s="3447"/>
      <c r="QKW10" s="3447"/>
      <c r="QKX10" s="3447"/>
      <c r="QKY10" s="3447"/>
      <c r="QKZ10" s="3447"/>
      <c r="QLA10" s="3447"/>
      <c r="QLB10" s="3447"/>
      <c r="QLC10" s="3447"/>
      <c r="QLD10" s="3447"/>
      <c r="QLE10" s="3447"/>
      <c r="QLF10" s="3447"/>
      <c r="QLG10" s="3447"/>
      <c r="QLH10" s="3447"/>
      <c r="QLI10" s="3447"/>
      <c r="QLJ10" s="3447"/>
      <c r="QLK10" s="3447"/>
      <c r="QLL10" s="3447"/>
      <c r="QLM10" s="3447"/>
      <c r="QLN10" s="3447"/>
      <c r="QLO10" s="3447"/>
      <c r="QLP10" s="3447"/>
      <c r="QLQ10" s="3447"/>
      <c r="QLR10" s="3447"/>
      <c r="QLS10" s="3447"/>
      <c r="QLT10" s="3447"/>
      <c r="QLU10" s="3447"/>
      <c r="QLV10" s="3447"/>
      <c r="QLW10" s="3447"/>
      <c r="QLX10" s="3447"/>
      <c r="QLY10" s="3447"/>
      <c r="QLZ10" s="3447"/>
      <c r="QMA10" s="3447"/>
      <c r="QMB10" s="3447"/>
      <c r="QMC10" s="3447"/>
      <c r="QMD10" s="3447"/>
      <c r="QME10" s="3447"/>
      <c r="QMF10" s="3447"/>
      <c r="QMG10" s="3447"/>
      <c r="QMH10" s="3447"/>
      <c r="QMI10" s="3447"/>
      <c r="QMJ10" s="3447"/>
      <c r="QMK10" s="3447"/>
      <c r="QML10" s="3447"/>
      <c r="QMM10" s="3447"/>
      <c r="QMN10" s="3447"/>
      <c r="QMO10" s="3447"/>
      <c r="QMP10" s="3447"/>
      <c r="QMQ10" s="3447"/>
      <c r="QMR10" s="3447"/>
      <c r="QMS10" s="3447"/>
      <c r="QMT10" s="3447"/>
      <c r="QMU10" s="3447"/>
      <c r="QMV10" s="3447"/>
      <c r="QMW10" s="3447"/>
      <c r="QMX10" s="3447"/>
      <c r="QMY10" s="3447"/>
      <c r="QMZ10" s="3447"/>
      <c r="QNA10" s="3447"/>
      <c r="QNB10" s="3447"/>
      <c r="QNC10" s="3447"/>
      <c r="QND10" s="3447"/>
      <c r="QNE10" s="3447"/>
      <c r="QNF10" s="3447"/>
      <c r="QNG10" s="3447"/>
      <c r="QNH10" s="3447"/>
      <c r="QNI10" s="3447"/>
      <c r="QNJ10" s="3447"/>
      <c r="QNK10" s="3447"/>
      <c r="QNL10" s="3447"/>
      <c r="QNM10" s="3447"/>
      <c r="QNN10" s="3447"/>
      <c r="QNO10" s="3447"/>
      <c r="QNP10" s="3447"/>
      <c r="QNQ10" s="3447"/>
      <c r="QNR10" s="3447"/>
      <c r="QNS10" s="3447"/>
      <c r="QNT10" s="3447"/>
      <c r="QNU10" s="3447"/>
      <c r="QNV10" s="3447"/>
      <c r="QNW10" s="3447"/>
      <c r="QNX10" s="3447"/>
      <c r="QNY10" s="3447"/>
      <c r="QNZ10" s="3447"/>
      <c r="QOA10" s="3447"/>
      <c r="QOB10" s="3447"/>
      <c r="QOC10" s="3447"/>
      <c r="QOD10" s="3447"/>
      <c r="QOE10" s="3447"/>
      <c r="QOF10" s="3447"/>
      <c r="QOG10" s="3447"/>
      <c r="QOH10" s="3447"/>
      <c r="QOI10" s="3447"/>
      <c r="QOJ10" s="3447"/>
      <c r="QOK10" s="3447"/>
      <c r="QOL10" s="3447"/>
      <c r="QOM10" s="3447"/>
      <c r="QON10" s="3447"/>
      <c r="QOO10" s="3447"/>
      <c r="QOP10" s="3447"/>
      <c r="QOQ10" s="3447"/>
      <c r="QOR10" s="3447"/>
      <c r="QOS10" s="3447"/>
      <c r="QOT10" s="3447"/>
      <c r="QOU10" s="3447"/>
      <c r="QOV10" s="3447"/>
      <c r="QOW10" s="3447"/>
      <c r="QOX10" s="3447"/>
      <c r="QOY10" s="3447"/>
      <c r="QOZ10" s="3447"/>
      <c r="QPA10" s="3447"/>
      <c r="QPB10" s="3447"/>
      <c r="QPC10" s="3447"/>
      <c r="QPD10" s="3447"/>
      <c r="QPE10" s="3447"/>
      <c r="QPF10" s="3447"/>
      <c r="QPG10" s="3447"/>
      <c r="QPH10" s="3447"/>
      <c r="QPI10" s="3447"/>
      <c r="QPJ10" s="3447"/>
      <c r="QPK10" s="3447"/>
      <c r="QPL10" s="3447"/>
      <c r="QPM10" s="3447"/>
      <c r="QPN10" s="3447"/>
      <c r="QPO10" s="3447"/>
      <c r="QPP10" s="3447"/>
      <c r="QPQ10" s="3447"/>
      <c r="QPR10" s="3447"/>
      <c r="QPS10" s="3447"/>
      <c r="QPT10" s="3447"/>
      <c r="QPU10" s="3447"/>
      <c r="QPV10" s="3447"/>
      <c r="QPW10" s="3447"/>
      <c r="QPX10" s="3447"/>
      <c r="QPY10" s="3447"/>
      <c r="QPZ10" s="3447"/>
      <c r="QQA10" s="3447"/>
      <c r="QQB10" s="3447"/>
      <c r="QQC10" s="3447"/>
      <c r="QQD10" s="3447"/>
      <c r="QQE10" s="3447"/>
      <c r="QQF10" s="3447"/>
      <c r="QQG10" s="3447"/>
      <c r="QQH10" s="3447"/>
      <c r="QQI10" s="3447"/>
      <c r="QQJ10" s="3447"/>
      <c r="QQK10" s="3447"/>
      <c r="QQL10" s="3447"/>
      <c r="QQM10" s="3447"/>
      <c r="QQN10" s="3447"/>
      <c r="QQO10" s="3447"/>
      <c r="QQP10" s="3447"/>
      <c r="QQQ10" s="3447"/>
      <c r="QQR10" s="3447"/>
      <c r="QQS10" s="3447"/>
      <c r="QQT10" s="3447"/>
      <c r="QQU10" s="3447"/>
      <c r="QQV10" s="3447"/>
      <c r="QQW10" s="3447"/>
      <c r="QQX10" s="3447"/>
      <c r="QQY10" s="3447"/>
      <c r="QQZ10" s="3447"/>
      <c r="QRA10" s="3447"/>
      <c r="QRB10" s="3447"/>
      <c r="QRC10" s="3447"/>
      <c r="QRD10" s="3447"/>
      <c r="QRE10" s="3447"/>
      <c r="QRF10" s="3447"/>
      <c r="QRG10" s="3447"/>
      <c r="QRH10" s="3447"/>
      <c r="QRI10" s="3447"/>
      <c r="QRJ10" s="3447"/>
      <c r="QRK10" s="3447"/>
      <c r="QRL10" s="3447"/>
      <c r="QRM10" s="3447"/>
      <c r="QRN10" s="3447"/>
      <c r="QRO10" s="3447"/>
      <c r="QRP10" s="3447"/>
      <c r="QRQ10" s="3447"/>
      <c r="QRR10" s="3447"/>
      <c r="QRS10" s="3447"/>
      <c r="QRT10" s="3447"/>
      <c r="QRU10" s="3447"/>
      <c r="QRV10" s="3447"/>
      <c r="QRW10" s="3447"/>
      <c r="QRX10" s="3447"/>
      <c r="QRY10" s="3447"/>
      <c r="QRZ10" s="3447"/>
      <c r="QSA10" s="3447"/>
      <c r="QSB10" s="3447"/>
      <c r="QSC10" s="3447"/>
      <c r="QSD10" s="3447"/>
      <c r="QSE10" s="3447"/>
      <c r="QSF10" s="3447"/>
      <c r="QSG10" s="3447"/>
      <c r="QSH10" s="3447"/>
      <c r="QSI10" s="3447"/>
      <c r="QSJ10" s="3447"/>
      <c r="QSK10" s="3447"/>
      <c r="QSL10" s="3447"/>
      <c r="QSM10" s="3447"/>
      <c r="QSN10" s="3447"/>
      <c r="QSO10" s="3447"/>
      <c r="QSP10" s="3447"/>
      <c r="QSQ10" s="3447"/>
      <c r="QSR10" s="3447"/>
      <c r="QSS10" s="3447"/>
      <c r="QST10" s="3447"/>
      <c r="QSU10" s="3447"/>
      <c r="QSV10" s="3447"/>
      <c r="QSW10" s="3447"/>
      <c r="QSX10" s="3447"/>
      <c r="QSY10" s="3447"/>
      <c r="QSZ10" s="3447"/>
      <c r="QTA10" s="3447"/>
      <c r="QTB10" s="3447"/>
      <c r="QTC10" s="3447"/>
      <c r="QTD10" s="3447"/>
      <c r="QTE10" s="3447"/>
      <c r="QTF10" s="3447"/>
      <c r="QTG10" s="3447"/>
      <c r="QTH10" s="3447"/>
      <c r="QTI10" s="3447"/>
      <c r="QTJ10" s="3447"/>
      <c r="QTK10" s="3447"/>
      <c r="QTL10" s="3447"/>
      <c r="QTM10" s="3447"/>
      <c r="QTN10" s="3447"/>
      <c r="QTO10" s="3447"/>
      <c r="QTP10" s="3447"/>
      <c r="QTQ10" s="3447"/>
      <c r="QTR10" s="3447"/>
      <c r="QTS10" s="3447"/>
      <c r="QTT10" s="3447"/>
      <c r="QTU10" s="3447"/>
      <c r="QTV10" s="3447"/>
      <c r="QTW10" s="3447"/>
      <c r="QTX10" s="3447"/>
      <c r="QTY10" s="3447"/>
      <c r="QTZ10" s="3447"/>
      <c r="QUA10" s="3447"/>
      <c r="QUB10" s="3447"/>
      <c r="QUC10" s="3447"/>
      <c r="QUD10" s="3447"/>
      <c r="QUE10" s="3447"/>
      <c r="QUF10" s="3447"/>
      <c r="QUG10" s="3447"/>
      <c r="QUH10" s="3447"/>
      <c r="QUI10" s="3447"/>
      <c r="QUJ10" s="3447"/>
      <c r="QUK10" s="3447"/>
      <c r="QUL10" s="3447"/>
      <c r="QUM10" s="3447"/>
      <c r="QUN10" s="3447"/>
      <c r="QUO10" s="3447"/>
      <c r="QUP10" s="3447"/>
      <c r="QUQ10" s="3447"/>
      <c r="QUR10" s="3447"/>
      <c r="QUS10" s="3447"/>
      <c r="QUT10" s="3447"/>
      <c r="QUU10" s="3447"/>
      <c r="QUV10" s="3447"/>
      <c r="QUW10" s="3447"/>
      <c r="QUX10" s="3447"/>
      <c r="QUY10" s="3447"/>
      <c r="QUZ10" s="3447"/>
      <c r="QVA10" s="3447"/>
      <c r="QVB10" s="3447"/>
      <c r="QVC10" s="3447"/>
      <c r="QVD10" s="3447"/>
      <c r="QVE10" s="3447"/>
      <c r="QVF10" s="3447"/>
      <c r="QVG10" s="3447"/>
      <c r="QVH10" s="3447"/>
      <c r="QVI10" s="3447"/>
      <c r="QVJ10" s="3447"/>
      <c r="QVK10" s="3447"/>
      <c r="QVL10" s="3447"/>
      <c r="QVM10" s="3447"/>
      <c r="QVN10" s="3447"/>
      <c r="QVO10" s="3447"/>
      <c r="QVP10" s="3447"/>
      <c r="QVQ10" s="3447"/>
      <c r="QVR10" s="3447"/>
      <c r="QVS10" s="3447"/>
      <c r="QVT10" s="3447"/>
      <c r="QVU10" s="3447"/>
      <c r="QVV10" s="3447"/>
      <c r="QVW10" s="3447"/>
      <c r="QVX10" s="3447"/>
      <c r="QVY10" s="3447"/>
      <c r="QVZ10" s="3447"/>
      <c r="QWA10" s="3447"/>
      <c r="QWB10" s="3447"/>
      <c r="QWC10" s="3447"/>
      <c r="QWD10" s="3447"/>
      <c r="QWE10" s="3447"/>
      <c r="QWF10" s="3447"/>
      <c r="QWG10" s="3447"/>
      <c r="QWH10" s="3447"/>
      <c r="QWI10" s="3447"/>
      <c r="QWJ10" s="3447"/>
      <c r="QWK10" s="3447"/>
      <c r="QWL10" s="3447"/>
      <c r="QWM10" s="3447"/>
      <c r="QWN10" s="3447"/>
      <c r="QWO10" s="3447"/>
      <c r="QWP10" s="3447"/>
      <c r="QWQ10" s="3447"/>
      <c r="QWR10" s="3447"/>
      <c r="QWS10" s="3447"/>
      <c r="QWT10" s="3447"/>
      <c r="QWU10" s="3447"/>
      <c r="QWV10" s="3447"/>
      <c r="QWW10" s="3447"/>
      <c r="QWX10" s="3447"/>
      <c r="QWY10" s="3447"/>
      <c r="QWZ10" s="3447"/>
      <c r="QXA10" s="3447"/>
      <c r="QXB10" s="3447"/>
      <c r="QXC10" s="3447"/>
      <c r="QXD10" s="3447"/>
      <c r="QXE10" s="3447"/>
      <c r="QXF10" s="3447"/>
      <c r="QXG10" s="3447"/>
      <c r="QXH10" s="3447"/>
      <c r="QXI10" s="3447"/>
      <c r="QXJ10" s="3447"/>
      <c r="QXK10" s="3447"/>
      <c r="QXL10" s="3447"/>
      <c r="QXM10" s="3447"/>
      <c r="QXN10" s="3447"/>
      <c r="QXO10" s="3447"/>
      <c r="QXP10" s="3447"/>
      <c r="QXQ10" s="3447"/>
      <c r="QXR10" s="3447"/>
      <c r="QXS10" s="3447"/>
      <c r="QXT10" s="3447"/>
      <c r="QXU10" s="3447"/>
      <c r="QXV10" s="3447"/>
      <c r="QXW10" s="3447"/>
      <c r="QXX10" s="3447"/>
      <c r="QXY10" s="3447"/>
      <c r="QXZ10" s="3447"/>
      <c r="QYA10" s="3447"/>
      <c r="QYB10" s="3447"/>
      <c r="QYC10" s="3447"/>
      <c r="QYD10" s="3447"/>
      <c r="QYE10" s="3447"/>
      <c r="QYF10" s="3447"/>
      <c r="QYG10" s="3447"/>
      <c r="QYH10" s="3447"/>
      <c r="QYI10" s="3447"/>
      <c r="QYJ10" s="3447"/>
      <c r="QYK10" s="3447"/>
      <c r="QYL10" s="3447"/>
      <c r="QYM10" s="3447"/>
      <c r="QYN10" s="3447"/>
      <c r="QYO10" s="3447"/>
      <c r="QYP10" s="3447"/>
      <c r="QYQ10" s="3447"/>
      <c r="QYR10" s="3447"/>
      <c r="QYS10" s="3447"/>
      <c r="QYT10" s="3447"/>
      <c r="QYU10" s="3447"/>
      <c r="QYV10" s="3447"/>
      <c r="QYW10" s="3447"/>
      <c r="QYX10" s="3447"/>
      <c r="QYY10" s="3447"/>
      <c r="QYZ10" s="3447"/>
      <c r="QZA10" s="3447"/>
      <c r="QZB10" s="3447"/>
      <c r="QZC10" s="3447"/>
      <c r="QZD10" s="3447"/>
      <c r="QZE10" s="3447"/>
      <c r="QZF10" s="3447"/>
      <c r="QZG10" s="3447"/>
      <c r="QZH10" s="3447"/>
      <c r="QZI10" s="3447"/>
      <c r="QZJ10" s="3447"/>
      <c r="QZK10" s="3447"/>
      <c r="QZL10" s="3447"/>
      <c r="QZM10" s="3447"/>
      <c r="QZN10" s="3447"/>
      <c r="QZO10" s="3447"/>
      <c r="QZP10" s="3447"/>
      <c r="QZQ10" s="3447"/>
      <c r="QZR10" s="3447"/>
      <c r="QZS10" s="3447"/>
      <c r="QZT10" s="3447"/>
      <c r="QZU10" s="3447"/>
      <c r="QZV10" s="3447"/>
      <c r="QZW10" s="3447"/>
      <c r="QZX10" s="3447"/>
      <c r="QZY10" s="3447"/>
      <c r="QZZ10" s="3447"/>
      <c r="RAA10" s="3447"/>
      <c r="RAB10" s="3447"/>
      <c r="RAC10" s="3447"/>
      <c r="RAD10" s="3447"/>
      <c r="RAE10" s="3447"/>
      <c r="RAF10" s="3447"/>
      <c r="RAG10" s="3447"/>
      <c r="RAH10" s="3447"/>
      <c r="RAI10" s="3447"/>
      <c r="RAJ10" s="3447"/>
      <c r="RAK10" s="3447"/>
      <c r="RAL10" s="3447"/>
      <c r="RAM10" s="3447"/>
      <c r="RAN10" s="3447"/>
      <c r="RAO10" s="3447"/>
      <c r="RAP10" s="3447"/>
      <c r="RAQ10" s="3447"/>
      <c r="RAR10" s="3447"/>
      <c r="RAS10" s="3447"/>
      <c r="RAT10" s="3447"/>
      <c r="RAU10" s="3447"/>
      <c r="RAV10" s="3447"/>
      <c r="RAW10" s="3447"/>
      <c r="RAX10" s="3447"/>
      <c r="RAY10" s="3447"/>
      <c r="RAZ10" s="3447"/>
      <c r="RBA10" s="3447"/>
      <c r="RBB10" s="3447"/>
      <c r="RBC10" s="3447"/>
      <c r="RBD10" s="3447"/>
      <c r="RBE10" s="3447"/>
      <c r="RBF10" s="3447"/>
      <c r="RBG10" s="3447"/>
      <c r="RBH10" s="3447"/>
      <c r="RBI10" s="3447"/>
      <c r="RBJ10" s="3447"/>
      <c r="RBK10" s="3447"/>
      <c r="RBL10" s="3447"/>
      <c r="RBM10" s="3447"/>
      <c r="RBN10" s="3447"/>
      <c r="RBO10" s="3447"/>
      <c r="RBP10" s="3447"/>
      <c r="RBQ10" s="3447"/>
      <c r="RBR10" s="3447"/>
      <c r="RBS10" s="3447"/>
      <c r="RBT10" s="3447"/>
      <c r="RBU10" s="3447"/>
      <c r="RBV10" s="3447"/>
      <c r="RBW10" s="3447"/>
      <c r="RBX10" s="3447"/>
      <c r="RBY10" s="3447"/>
      <c r="RBZ10" s="3447"/>
      <c r="RCA10" s="3447"/>
      <c r="RCB10" s="3447"/>
      <c r="RCC10" s="3447"/>
      <c r="RCD10" s="3447"/>
      <c r="RCE10" s="3447"/>
      <c r="RCF10" s="3447"/>
      <c r="RCG10" s="3447"/>
      <c r="RCH10" s="3447"/>
      <c r="RCI10" s="3447"/>
      <c r="RCJ10" s="3447"/>
      <c r="RCK10" s="3447"/>
      <c r="RCL10" s="3447"/>
      <c r="RCM10" s="3447"/>
      <c r="RCN10" s="3447"/>
      <c r="RCO10" s="3447"/>
      <c r="RCP10" s="3447"/>
      <c r="RCQ10" s="3447"/>
      <c r="RCR10" s="3447"/>
      <c r="RCS10" s="3447"/>
      <c r="RCT10" s="3447"/>
      <c r="RCU10" s="3447"/>
      <c r="RCV10" s="3447"/>
      <c r="RCW10" s="3447"/>
      <c r="RCX10" s="3447"/>
      <c r="RCY10" s="3447"/>
      <c r="RCZ10" s="3447"/>
      <c r="RDA10" s="3447"/>
      <c r="RDB10" s="3447"/>
      <c r="RDC10" s="3447"/>
      <c r="RDD10" s="3447"/>
      <c r="RDE10" s="3447"/>
      <c r="RDF10" s="3447"/>
      <c r="RDG10" s="3447"/>
      <c r="RDH10" s="3447"/>
      <c r="RDI10" s="3447"/>
      <c r="RDJ10" s="3447"/>
      <c r="RDK10" s="3447"/>
      <c r="RDL10" s="3447"/>
      <c r="RDM10" s="3447"/>
      <c r="RDN10" s="3447"/>
      <c r="RDO10" s="3447"/>
      <c r="RDP10" s="3447"/>
      <c r="RDQ10" s="3447"/>
      <c r="RDR10" s="3447"/>
      <c r="RDS10" s="3447"/>
      <c r="RDT10" s="3447"/>
      <c r="RDU10" s="3447"/>
      <c r="RDV10" s="3447"/>
      <c r="RDW10" s="3447"/>
      <c r="RDX10" s="3447"/>
      <c r="RDY10" s="3447"/>
      <c r="RDZ10" s="3447"/>
      <c r="REA10" s="3447"/>
      <c r="REB10" s="3447"/>
      <c r="REC10" s="3447"/>
      <c r="RED10" s="3447"/>
      <c r="REE10" s="3447"/>
      <c r="REF10" s="3447"/>
      <c r="REG10" s="3447"/>
      <c r="REH10" s="3447"/>
      <c r="REI10" s="3447"/>
      <c r="REJ10" s="3447"/>
      <c r="REK10" s="3447"/>
      <c r="REL10" s="3447"/>
      <c r="REM10" s="3447"/>
      <c r="REN10" s="3447"/>
      <c r="REO10" s="3447"/>
      <c r="REP10" s="3447"/>
      <c r="REQ10" s="3447"/>
      <c r="RER10" s="3447"/>
      <c r="RES10" s="3447"/>
      <c r="RET10" s="3447"/>
      <c r="REU10" s="3447"/>
      <c r="REV10" s="3447"/>
      <c r="REW10" s="3447"/>
      <c r="REX10" s="3447"/>
      <c r="REY10" s="3447"/>
      <c r="REZ10" s="3447"/>
      <c r="RFA10" s="3447"/>
      <c r="RFB10" s="3447"/>
      <c r="RFC10" s="3447"/>
      <c r="RFD10" s="3447"/>
      <c r="RFE10" s="3447"/>
      <c r="RFF10" s="3447"/>
      <c r="RFG10" s="3447"/>
      <c r="RFH10" s="3447"/>
      <c r="RFI10" s="3447"/>
      <c r="RFJ10" s="3447"/>
      <c r="RFK10" s="3447"/>
      <c r="RFL10" s="3447"/>
      <c r="RFM10" s="3447"/>
      <c r="RFN10" s="3447"/>
      <c r="RFO10" s="3447"/>
      <c r="RFP10" s="3447"/>
      <c r="RFQ10" s="3447"/>
      <c r="RFR10" s="3447"/>
      <c r="RFS10" s="3447"/>
      <c r="RFT10" s="3447"/>
      <c r="RFU10" s="3447"/>
      <c r="RFV10" s="3447"/>
      <c r="RFW10" s="3447"/>
      <c r="RFX10" s="3447"/>
      <c r="RFY10" s="3447"/>
      <c r="RFZ10" s="3447"/>
      <c r="RGA10" s="3447"/>
      <c r="RGB10" s="3447"/>
      <c r="RGC10" s="3447"/>
      <c r="RGD10" s="3447"/>
      <c r="RGE10" s="3447"/>
      <c r="RGF10" s="3447"/>
      <c r="RGG10" s="3447"/>
      <c r="RGH10" s="3447"/>
      <c r="RGI10" s="3447"/>
      <c r="RGJ10" s="3447"/>
      <c r="RGK10" s="3447"/>
      <c r="RGL10" s="3447"/>
      <c r="RGM10" s="3447"/>
      <c r="RGN10" s="3447"/>
      <c r="RGO10" s="3447"/>
      <c r="RGP10" s="3447"/>
      <c r="RGQ10" s="3447"/>
      <c r="RGR10" s="3447"/>
      <c r="RGS10" s="3447"/>
      <c r="RGT10" s="3447"/>
      <c r="RGU10" s="3447"/>
      <c r="RGV10" s="3447"/>
      <c r="RGW10" s="3447"/>
      <c r="RGX10" s="3447"/>
      <c r="RGY10" s="3447"/>
      <c r="RGZ10" s="3447"/>
      <c r="RHA10" s="3447"/>
      <c r="RHB10" s="3447"/>
      <c r="RHC10" s="3447"/>
      <c r="RHD10" s="3447"/>
      <c r="RHE10" s="3447"/>
      <c r="RHF10" s="3447"/>
      <c r="RHG10" s="3447"/>
      <c r="RHH10" s="3447"/>
      <c r="RHI10" s="3447"/>
      <c r="RHJ10" s="3447"/>
      <c r="RHK10" s="3447"/>
      <c r="RHL10" s="3447"/>
      <c r="RHM10" s="3447"/>
      <c r="RHN10" s="3447"/>
      <c r="RHO10" s="3447"/>
      <c r="RHP10" s="3447"/>
      <c r="RHQ10" s="3447"/>
      <c r="RHR10" s="3447"/>
      <c r="RHS10" s="3447"/>
      <c r="RHT10" s="3447"/>
      <c r="RHU10" s="3447"/>
      <c r="RHV10" s="3447"/>
      <c r="RHW10" s="3447"/>
      <c r="RHX10" s="3447"/>
      <c r="RHY10" s="3447"/>
      <c r="RHZ10" s="3447"/>
      <c r="RIA10" s="3447"/>
      <c r="RIB10" s="3447"/>
      <c r="RIC10" s="3447"/>
      <c r="RID10" s="3447"/>
      <c r="RIE10" s="3447"/>
      <c r="RIF10" s="3447"/>
      <c r="RIG10" s="3447"/>
      <c r="RIH10" s="3447"/>
      <c r="RII10" s="3447"/>
      <c r="RIJ10" s="3447"/>
      <c r="RIK10" s="3447"/>
      <c r="RIL10" s="3447"/>
      <c r="RIM10" s="3447"/>
      <c r="RIN10" s="3447"/>
      <c r="RIO10" s="3447"/>
      <c r="RIP10" s="3447"/>
      <c r="RIQ10" s="3447"/>
      <c r="RIR10" s="3447"/>
      <c r="RIS10" s="3447"/>
      <c r="RIT10" s="3447"/>
      <c r="RIU10" s="3447"/>
      <c r="RIV10" s="3447"/>
      <c r="RIW10" s="3447"/>
      <c r="RIX10" s="3447"/>
      <c r="RIY10" s="3447"/>
      <c r="RIZ10" s="3447"/>
      <c r="RJA10" s="3447"/>
      <c r="RJB10" s="3447"/>
      <c r="RJC10" s="3447"/>
      <c r="RJD10" s="3447"/>
      <c r="RJE10" s="3447"/>
      <c r="RJF10" s="3447"/>
      <c r="RJG10" s="3447"/>
      <c r="RJH10" s="3447"/>
      <c r="RJI10" s="3447"/>
      <c r="RJJ10" s="3447"/>
      <c r="RJK10" s="3447"/>
      <c r="RJL10" s="3447"/>
      <c r="RJM10" s="3447"/>
      <c r="RJN10" s="3447"/>
      <c r="RJO10" s="3447"/>
      <c r="RJP10" s="3447"/>
      <c r="RJQ10" s="3447"/>
      <c r="RJR10" s="3447"/>
      <c r="RJS10" s="3447"/>
      <c r="RJT10" s="3447"/>
      <c r="RJU10" s="3447"/>
      <c r="RJV10" s="3447"/>
      <c r="RJW10" s="3447"/>
      <c r="RJX10" s="3447"/>
      <c r="RJY10" s="3447"/>
      <c r="RJZ10" s="3447"/>
      <c r="RKA10" s="3447"/>
      <c r="RKB10" s="3447"/>
      <c r="RKC10" s="3447"/>
      <c r="RKD10" s="3447"/>
      <c r="RKE10" s="3447"/>
      <c r="RKF10" s="3447"/>
      <c r="RKG10" s="3447"/>
      <c r="RKH10" s="3447"/>
      <c r="RKI10" s="3447"/>
      <c r="RKJ10" s="3447"/>
      <c r="RKK10" s="3447"/>
      <c r="RKL10" s="3447"/>
      <c r="RKM10" s="3447"/>
      <c r="RKN10" s="3447"/>
      <c r="RKO10" s="3447"/>
      <c r="RKP10" s="3447"/>
      <c r="RKQ10" s="3447"/>
      <c r="RKR10" s="3447"/>
      <c r="RKS10" s="3447"/>
      <c r="RKT10" s="3447"/>
      <c r="RKU10" s="3447"/>
      <c r="RKV10" s="3447"/>
      <c r="RKW10" s="3447"/>
      <c r="RKX10" s="3447"/>
      <c r="RKY10" s="3447"/>
      <c r="RKZ10" s="3447"/>
      <c r="RLA10" s="3447"/>
      <c r="RLB10" s="3447"/>
      <c r="RLC10" s="3447"/>
      <c r="RLD10" s="3447"/>
      <c r="RLE10" s="3447"/>
      <c r="RLF10" s="3447"/>
      <c r="RLG10" s="3447"/>
      <c r="RLH10" s="3447"/>
      <c r="RLI10" s="3447"/>
      <c r="RLJ10" s="3447"/>
      <c r="RLK10" s="3447"/>
      <c r="RLL10" s="3447"/>
      <c r="RLM10" s="3447"/>
      <c r="RLN10" s="3447"/>
      <c r="RLO10" s="3447"/>
      <c r="RLP10" s="3447"/>
      <c r="RLQ10" s="3447"/>
      <c r="RLR10" s="3447"/>
      <c r="RLS10" s="3447"/>
      <c r="RLT10" s="3447"/>
      <c r="RLU10" s="3447"/>
      <c r="RLV10" s="3447"/>
      <c r="RLW10" s="3447"/>
      <c r="RLX10" s="3447"/>
      <c r="RLY10" s="3447"/>
      <c r="RLZ10" s="3447"/>
      <c r="RMA10" s="3447"/>
      <c r="RMB10" s="3447"/>
      <c r="RMC10" s="3447"/>
      <c r="RMD10" s="3447"/>
      <c r="RME10" s="3447"/>
      <c r="RMF10" s="3447"/>
      <c r="RMG10" s="3447"/>
      <c r="RMH10" s="3447"/>
      <c r="RMI10" s="3447"/>
      <c r="RMJ10" s="3447"/>
      <c r="RMK10" s="3447"/>
      <c r="RML10" s="3447"/>
      <c r="RMM10" s="3447"/>
      <c r="RMN10" s="3447"/>
      <c r="RMO10" s="3447"/>
      <c r="RMP10" s="3447"/>
      <c r="RMQ10" s="3447"/>
      <c r="RMR10" s="3447"/>
      <c r="RMS10" s="3447"/>
      <c r="RMT10" s="3447"/>
      <c r="RMU10" s="3447"/>
      <c r="RMV10" s="3447"/>
      <c r="RMW10" s="3447"/>
      <c r="RMX10" s="3447"/>
      <c r="RMY10" s="3447"/>
      <c r="RMZ10" s="3447"/>
      <c r="RNA10" s="3447"/>
      <c r="RNB10" s="3447"/>
      <c r="RNC10" s="3447"/>
      <c r="RND10" s="3447"/>
      <c r="RNE10" s="3447"/>
      <c r="RNF10" s="3447"/>
      <c r="RNG10" s="3447"/>
      <c r="RNH10" s="3447"/>
      <c r="RNI10" s="3447"/>
      <c r="RNJ10" s="3447"/>
      <c r="RNK10" s="3447"/>
      <c r="RNL10" s="3447"/>
      <c r="RNM10" s="3447"/>
      <c r="RNN10" s="3447"/>
      <c r="RNO10" s="3447"/>
      <c r="RNP10" s="3447"/>
      <c r="RNQ10" s="3447"/>
      <c r="RNR10" s="3447"/>
      <c r="RNS10" s="3447"/>
      <c r="RNT10" s="3447"/>
      <c r="RNU10" s="3447"/>
      <c r="RNV10" s="3447"/>
      <c r="RNW10" s="3447"/>
      <c r="RNX10" s="3447"/>
      <c r="RNY10" s="3447"/>
      <c r="RNZ10" s="3447"/>
      <c r="ROA10" s="3447"/>
      <c r="ROB10" s="3447"/>
      <c r="ROC10" s="3447"/>
      <c r="ROD10" s="3447"/>
      <c r="ROE10" s="3447"/>
      <c r="ROF10" s="3447"/>
      <c r="ROG10" s="3447"/>
      <c r="ROH10" s="3447"/>
      <c r="ROI10" s="3447"/>
      <c r="ROJ10" s="3447"/>
      <c r="ROK10" s="3447"/>
      <c r="ROL10" s="3447"/>
      <c r="ROM10" s="3447"/>
      <c r="RON10" s="3447"/>
      <c r="ROO10" s="3447"/>
      <c r="ROP10" s="3447"/>
      <c r="ROQ10" s="3447"/>
      <c r="ROR10" s="3447"/>
      <c r="ROS10" s="3447"/>
      <c r="ROT10" s="3447"/>
      <c r="ROU10" s="3447"/>
      <c r="ROV10" s="3447"/>
      <c r="ROW10" s="3447"/>
      <c r="ROX10" s="3447"/>
      <c r="ROY10" s="3447"/>
      <c r="ROZ10" s="3447"/>
      <c r="RPA10" s="3447"/>
      <c r="RPB10" s="3447"/>
      <c r="RPC10" s="3447"/>
      <c r="RPD10" s="3447"/>
      <c r="RPE10" s="3447"/>
      <c r="RPF10" s="3447"/>
      <c r="RPG10" s="3447"/>
      <c r="RPH10" s="3447"/>
      <c r="RPI10" s="3447"/>
      <c r="RPJ10" s="3447"/>
      <c r="RPK10" s="3447"/>
      <c r="RPL10" s="3447"/>
      <c r="RPM10" s="3447"/>
      <c r="RPN10" s="3447"/>
      <c r="RPO10" s="3447"/>
      <c r="RPP10" s="3447"/>
      <c r="RPQ10" s="3447"/>
      <c r="RPR10" s="3447"/>
      <c r="RPS10" s="3447"/>
      <c r="RPT10" s="3447"/>
      <c r="RPU10" s="3447"/>
      <c r="RPV10" s="3447"/>
      <c r="RPW10" s="3447"/>
      <c r="RPX10" s="3447"/>
      <c r="RPY10" s="3447"/>
      <c r="RPZ10" s="3447"/>
      <c r="RQA10" s="3447"/>
      <c r="RQB10" s="3447"/>
      <c r="RQC10" s="3447"/>
      <c r="RQD10" s="3447"/>
      <c r="RQE10" s="3447"/>
      <c r="RQF10" s="3447"/>
      <c r="RQG10" s="3447"/>
      <c r="RQH10" s="3447"/>
      <c r="RQI10" s="3447"/>
      <c r="RQJ10" s="3447"/>
      <c r="RQK10" s="3447"/>
      <c r="RQL10" s="3447"/>
      <c r="RQM10" s="3447"/>
      <c r="RQN10" s="3447"/>
      <c r="RQO10" s="3447"/>
      <c r="RQP10" s="3447"/>
      <c r="RQQ10" s="3447"/>
      <c r="RQR10" s="3447"/>
      <c r="RQS10" s="3447"/>
      <c r="RQT10" s="3447"/>
      <c r="RQU10" s="3447"/>
      <c r="RQV10" s="3447"/>
      <c r="RQW10" s="3447"/>
      <c r="RQX10" s="3447"/>
      <c r="RQY10" s="3447"/>
      <c r="RQZ10" s="3447"/>
      <c r="RRA10" s="3447"/>
      <c r="RRB10" s="3447"/>
      <c r="RRC10" s="3447"/>
      <c r="RRD10" s="3447"/>
      <c r="RRE10" s="3447"/>
      <c r="RRF10" s="3447"/>
      <c r="RRG10" s="3447"/>
      <c r="RRH10" s="3447"/>
      <c r="RRI10" s="3447"/>
      <c r="RRJ10" s="3447"/>
      <c r="RRK10" s="3447"/>
      <c r="RRL10" s="3447"/>
      <c r="RRM10" s="3447"/>
      <c r="RRN10" s="3447"/>
      <c r="RRO10" s="3447"/>
      <c r="RRP10" s="3447"/>
      <c r="RRQ10" s="3447"/>
      <c r="RRR10" s="3447"/>
      <c r="RRS10" s="3447"/>
      <c r="RRT10" s="3447"/>
      <c r="RRU10" s="3447"/>
      <c r="RRV10" s="3447"/>
      <c r="RRW10" s="3447"/>
      <c r="RRX10" s="3447"/>
      <c r="RRY10" s="3447"/>
      <c r="RRZ10" s="3447"/>
      <c r="RSA10" s="3447"/>
      <c r="RSB10" s="3447"/>
      <c r="RSC10" s="3447"/>
      <c r="RSD10" s="3447"/>
      <c r="RSE10" s="3447"/>
      <c r="RSF10" s="3447"/>
      <c r="RSG10" s="3447"/>
      <c r="RSH10" s="3447"/>
      <c r="RSI10" s="3447"/>
      <c r="RSJ10" s="3447"/>
      <c r="RSK10" s="3447"/>
      <c r="RSL10" s="3447"/>
      <c r="RSM10" s="3447"/>
      <c r="RSN10" s="3447"/>
      <c r="RSO10" s="3447"/>
      <c r="RSP10" s="3447"/>
      <c r="RSQ10" s="3447"/>
      <c r="RSR10" s="3447"/>
      <c r="RSS10" s="3447"/>
      <c r="RST10" s="3447"/>
      <c r="RSU10" s="3447"/>
      <c r="RSV10" s="3447"/>
      <c r="RSW10" s="3447"/>
      <c r="RSX10" s="3447"/>
      <c r="RSY10" s="3447"/>
      <c r="RSZ10" s="3447"/>
      <c r="RTA10" s="3447"/>
      <c r="RTB10" s="3447"/>
      <c r="RTC10" s="3447"/>
      <c r="RTD10" s="3447"/>
      <c r="RTE10" s="3447"/>
      <c r="RTF10" s="3447"/>
      <c r="RTG10" s="3447"/>
      <c r="RTH10" s="3447"/>
      <c r="RTI10" s="3447"/>
      <c r="RTJ10" s="3447"/>
      <c r="RTK10" s="3447"/>
      <c r="RTL10" s="3447"/>
      <c r="RTM10" s="3447"/>
      <c r="RTN10" s="3447"/>
      <c r="RTO10" s="3447"/>
      <c r="RTP10" s="3447"/>
      <c r="RTQ10" s="3447"/>
      <c r="RTR10" s="3447"/>
      <c r="RTS10" s="3447"/>
      <c r="RTT10" s="3447"/>
      <c r="RTU10" s="3447"/>
      <c r="RTV10" s="3447"/>
      <c r="RTW10" s="3447"/>
      <c r="RTX10" s="3447"/>
      <c r="RTY10" s="3447"/>
      <c r="RTZ10" s="3447"/>
      <c r="RUA10" s="3447"/>
      <c r="RUB10" s="3447"/>
      <c r="RUC10" s="3447"/>
      <c r="RUD10" s="3447"/>
      <c r="RUE10" s="3447"/>
      <c r="RUF10" s="3447"/>
      <c r="RUG10" s="3447"/>
      <c r="RUH10" s="3447"/>
      <c r="RUI10" s="3447"/>
      <c r="RUJ10" s="3447"/>
      <c r="RUK10" s="3447"/>
      <c r="RUL10" s="3447"/>
      <c r="RUM10" s="3447"/>
      <c r="RUN10" s="3447"/>
      <c r="RUO10" s="3447"/>
      <c r="RUP10" s="3447"/>
      <c r="RUQ10" s="3447"/>
      <c r="RUR10" s="3447"/>
      <c r="RUS10" s="3447"/>
      <c r="RUT10" s="3447"/>
      <c r="RUU10" s="3447"/>
      <c r="RUV10" s="3447"/>
      <c r="RUW10" s="3447"/>
      <c r="RUX10" s="3447"/>
      <c r="RUY10" s="3447"/>
      <c r="RUZ10" s="3447"/>
      <c r="RVA10" s="3447"/>
      <c r="RVB10" s="3447"/>
      <c r="RVC10" s="3447"/>
      <c r="RVD10" s="3447"/>
      <c r="RVE10" s="3447"/>
      <c r="RVF10" s="3447"/>
      <c r="RVG10" s="3447"/>
      <c r="RVH10" s="3447"/>
      <c r="RVI10" s="3447"/>
      <c r="RVJ10" s="3447"/>
      <c r="RVK10" s="3447"/>
      <c r="RVL10" s="3447"/>
      <c r="RVM10" s="3447"/>
      <c r="RVN10" s="3447"/>
      <c r="RVO10" s="3447"/>
      <c r="RVP10" s="3447"/>
      <c r="RVQ10" s="3447"/>
      <c r="RVR10" s="3447"/>
      <c r="RVS10" s="3447"/>
      <c r="RVT10" s="3447"/>
      <c r="RVU10" s="3447"/>
      <c r="RVV10" s="3447"/>
      <c r="RVW10" s="3447"/>
      <c r="RVX10" s="3447"/>
      <c r="RVY10" s="3447"/>
      <c r="RVZ10" s="3447"/>
      <c r="RWA10" s="3447"/>
      <c r="RWB10" s="3447"/>
      <c r="RWC10" s="3447"/>
      <c r="RWD10" s="3447"/>
      <c r="RWE10" s="3447"/>
      <c r="RWF10" s="3447"/>
      <c r="RWG10" s="3447"/>
      <c r="RWH10" s="3447"/>
      <c r="RWI10" s="3447"/>
      <c r="RWJ10" s="3447"/>
      <c r="RWK10" s="3447"/>
      <c r="RWL10" s="3447"/>
      <c r="RWM10" s="3447"/>
      <c r="RWN10" s="3447"/>
      <c r="RWO10" s="3447"/>
      <c r="RWP10" s="3447"/>
      <c r="RWQ10" s="3447"/>
      <c r="RWR10" s="3447"/>
      <c r="RWS10" s="3447"/>
      <c r="RWT10" s="3447"/>
      <c r="RWU10" s="3447"/>
      <c r="RWV10" s="3447"/>
      <c r="RWW10" s="3447"/>
      <c r="RWX10" s="3447"/>
      <c r="RWY10" s="3447"/>
      <c r="RWZ10" s="3447"/>
      <c r="RXA10" s="3447"/>
      <c r="RXB10" s="3447"/>
      <c r="RXC10" s="3447"/>
      <c r="RXD10" s="3447"/>
      <c r="RXE10" s="3447"/>
      <c r="RXF10" s="3447"/>
      <c r="RXG10" s="3447"/>
      <c r="RXH10" s="3447"/>
      <c r="RXI10" s="3447"/>
      <c r="RXJ10" s="3447"/>
      <c r="RXK10" s="3447"/>
      <c r="RXL10" s="3447"/>
      <c r="RXM10" s="3447"/>
      <c r="RXN10" s="3447"/>
      <c r="RXO10" s="3447"/>
      <c r="RXP10" s="3447"/>
      <c r="RXQ10" s="3447"/>
      <c r="RXR10" s="3447"/>
      <c r="RXS10" s="3447"/>
      <c r="RXT10" s="3447"/>
      <c r="RXU10" s="3447"/>
      <c r="RXV10" s="3447"/>
      <c r="RXW10" s="3447"/>
      <c r="RXX10" s="3447"/>
      <c r="RXY10" s="3447"/>
      <c r="RXZ10" s="3447"/>
      <c r="RYA10" s="3447"/>
      <c r="RYB10" s="3447"/>
      <c r="RYC10" s="3447"/>
      <c r="RYD10" s="3447"/>
      <c r="RYE10" s="3447"/>
      <c r="RYF10" s="3447"/>
      <c r="RYG10" s="3447"/>
      <c r="RYH10" s="3447"/>
      <c r="RYI10" s="3447"/>
      <c r="RYJ10" s="3447"/>
      <c r="RYK10" s="3447"/>
      <c r="RYL10" s="3447"/>
      <c r="RYM10" s="3447"/>
      <c r="RYN10" s="3447"/>
      <c r="RYO10" s="3447"/>
      <c r="RYP10" s="3447"/>
      <c r="RYQ10" s="3447"/>
      <c r="RYR10" s="3447"/>
      <c r="RYS10" s="3447"/>
      <c r="RYT10" s="3447"/>
      <c r="RYU10" s="3447"/>
      <c r="RYV10" s="3447"/>
      <c r="RYW10" s="3447"/>
      <c r="RYX10" s="3447"/>
      <c r="RYY10" s="3447"/>
      <c r="RYZ10" s="3447"/>
      <c r="RZA10" s="3447"/>
      <c r="RZB10" s="3447"/>
      <c r="RZC10" s="3447"/>
      <c r="RZD10" s="3447"/>
      <c r="RZE10" s="3447"/>
      <c r="RZF10" s="3447"/>
      <c r="RZG10" s="3447"/>
      <c r="RZH10" s="3447"/>
      <c r="RZI10" s="3447"/>
      <c r="RZJ10" s="3447"/>
      <c r="RZK10" s="3447"/>
      <c r="RZL10" s="3447"/>
      <c r="RZM10" s="3447"/>
      <c r="RZN10" s="3447"/>
      <c r="RZO10" s="3447"/>
      <c r="RZP10" s="3447"/>
      <c r="RZQ10" s="3447"/>
      <c r="RZR10" s="3447"/>
      <c r="RZS10" s="3447"/>
      <c r="RZT10" s="3447"/>
      <c r="RZU10" s="3447"/>
      <c r="RZV10" s="3447"/>
      <c r="RZW10" s="3447"/>
      <c r="RZX10" s="3447"/>
      <c r="RZY10" s="3447"/>
      <c r="RZZ10" s="3447"/>
      <c r="SAA10" s="3447"/>
      <c r="SAB10" s="3447"/>
      <c r="SAC10" s="3447"/>
      <c r="SAD10" s="3447"/>
      <c r="SAE10" s="3447"/>
      <c r="SAF10" s="3447"/>
      <c r="SAG10" s="3447"/>
      <c r="SAH10" s="3447"/>
      <c r="SAI10" s="3447"/>
      <c r="SAJ10" s="3447"/>
      <c r="SAK10" s="3447"/>
      <c r="SAL10" s="3447"/>
      <c r="SAM10" s="3447"/>
      <c r="SAN10" s="3447"/>
      <c r="SAO10" s="3447"/>
      <c r="SAP10" s="3447"/>
      <c r="SAQ10" s="3447"/>
      <c r="SAR10" s="3447"/>
      <c r="SAS10" s="3447"/>
      <c r="SAT10" s="3447"/>
      <c r="SAU10" s="3447"/>
      <c r="SAV10" s="3447"/>
      <c r="SAW10" s="3447"/>
      <c r="SAX10" s="3447"/>
      <c r="SAY10" s="3447"/>
      <c r="SAZ10" s="3447"/>
      <c r="SBA10" s="3447"/>
      <c r="SBB10" s="3447"/>
      <c r="SBC10" s="3447"/>
      <c r="SBD10" s="3447"/>
      <c r="SBE10" s="3447"/>
      <c r="SBF10" s="3447"/>
      <c r="SBG10" s="3447"/>
      <c r="SBH10" s="3447"/>
      <c r="SBI10" s="3447"/>
      <c r="SBJ10" s="3447"/>
      <c r="SBK10" s="3447"/>
      <c r="SBL10" s="3447"/>
      <c r="SBM10" s="3447"/>
      <c r="SBN10" s="3447"/>
      <c r="SBO10" s="3447"/>
      <c r="SBP10" s="3447"/>
      <c r="SBQ10" s="3447"/>
      <c r="SBR10" s="3447"/>
      <c r="SBS10" s="3447"/>
      <c r="SBT10" s="3447"/>
      <c r="SBU10" s="3447"/>
      <c r="SBV10" s="3447"/>
      <c r="SBW10" s="3447"/>
      <c r="SBX10" s="3447"/>
      <c r="SBY10" s="3447"/>
      <c r="SBZ10" s="3447"/>
      <c r="SCA10" s="3447"/>
      <c r="SCB10" s="3447"/>
      <c r="SCC10" s="3447"/>
      <c r="SCD10" s="3447"/>
      <c r="SCE10" s="3447"/>
      <c r="SCF10" s="3447"/>
      <c r="SCG10" s="3447"/>
      <c r="SCH10" s="3447"/>
      <c r="SCI10" s="3447"/>
      <c r="SCJ10" s="3447"/>
      <c r="SCK10" s="3447"/>
      <c r="SCL10" s="3447"/>
      <c r="SCM10" s="3447"/>
      <c r="SCN10" s="3447"/>
      <c r="SCO10" s="3447"/>
      <c r="SCP10" s="3447"/>
      <c r="SCQ10" s="3447"/>
      <c r="SCR10" s="3447"/>
      <c r="SCS10" s="3447"/>
      <c r="SCT10" s="3447"/>
      <c r="SCU10" s="3447"/>
      <c r="SCV10" s="3447"/>
      <c r="SCW10" s="3447"/>
      <c r="SCX10" s="3447"/>
      <c r="SCY10" s="3447"/>
      <c r="SCZ10" s="3447"/>
      <c r="SDA10" s="3447"/>
      <c r="SDB10" s="3447"/>
      <c r="SDC10" s="3447"/>
      <c r="SDD10" s="3447"/>
      <c r="SDE10" s="3447"/>
      <c r="SDF10" s="3447"/>
      <c r="SDG10" s="3447"/>
      <c r="SDH10" s="3447"/>
      <c r="SDI10" s="3447"/>
      <c r="SDJ10" s="3447"/>
      <c r="SDK10" s="3447"/>
      <c r="SDL10" s="3447"/>
      <c r="SDM10" s="3447"/>
      <c r="SDN10" s="3447"/>
      <c r="SDO10" s="3447"/>
      <c r="SDP10" s="3447"/>
      <c r="SDQ10" s="3447"/>
      <c r="SDR10" s="3447"/>
      <c r="SDS10" s="3447"/>
      <c r="SDT10" s="3447"/>
      <c r="SDU10" s="3447"/>
      <c r="SDV10" s="3447"/>
      <c r="SDW10" s="3447"/>
      <c r="SDX10" s="3447"/>
      <c r="SDY10" s="3447"/>
      <c r="SDZ10" s="3447"/>
      <c r="SEA10" s="3447"/>
      <c r="SEB10" s="3447"/>
      <c r="SEC10" s="3447"/>
      <c r="SED10" s="3447"/>
      <c r="SEE10" s="3447"/>
      <c r="SEF10" s="3447"/>
      <c r="SEG10" s="3447"/>
      <c r="SEH10" s="3447"/>
      <c r="SEI10" s="3447"/>
      <c r="SEJ10" s="3447"/>
      <c r="SEK10" s="3447"/>
      <c r="SEL10" s="3447"/>
      <c r="SEM10" s="3447"/>
      <c r="SEN10" s="3447"/>
      <c r="SEO10" s="3447"/>
      <c r="SEP10" s="3447"/>
      <c r="SEQ10" s="3447"/>
      <c r="SER10" s="3447"/>
      <c r="SES10" s="3447"/>
      <c r="SET10" s="3447"/>
      <c r="SEU10" s="3447"/>
      <c r="SEV10" s="3447"/>
      <c r="SEW10" s="3447"/>
      <c r="SEX10" s="3447"/>
      <c r="SEY10" s="3447"/>
      <c r="SEZ10" s="3447"/>
      <c r="SFA10" s="3447"/>
      <c r="SFB10" s="3447"/>
      <c r="SFC10" s="3447"/>
      <c r="SFD10" s="3447"/>
      <c r="SFE10" s="3447"/>
      <c r="SFF10" s="3447"/>
      <c r="SFG10" s="3447"/>
      <c r="SFH10" s="3447"/>
      <c r="SFI10" s="3447"/>
      <c r="SFJ10" s="3447"/>
      <c r="SFK10" s="3447"/>
      <c r="SFL10" s="3447"/>
      <c r="SFM10" s="3447"/>
      <c r="SFN10" s="3447"/>
      <c r="SFO10" s="3447"/>
      <c r="SFP10" s="3447"/>
      <c r="SFQ10" s="3447"/>
      <c r="SFR10" s="3447"/>
      <c r="SFS10" s="3447"/>
      <c r="SFT10" s="3447"/>
      <c r="SFU10" s="3447"/>
      <c r="SFV10" s="3447"/>
      <c r="SFW10" s="3447"/>
      <c r="SFX10" s="3447"/>
      <c r="SFY10" s="3447"/>
      <c r="SFZ10" s="3447"/>
      <c r="SGA10" s="3447"/>
      <c r="SGB10" s="3447"/>
      <c r="SGC10" s="3447"/>
      <c r="SGD10" s="3447"/>
      <c r="SGE10" s="3447"/>
      <c r="SGF10" s="3447"/>
      <c r="SGG10" s="3447"/>
      <c r="SGH10" s="3447"/>
      <c r="SGI10" s="3447"/>
      <c r="SGJ10" s="3447"/>
      <c r="SGK10" s="3447"/>
      <c r="SGL10" s="3447"/>
      <c r="SGM10" s="3447"/>
      <c r="SGN10" s="3447"/>
      <c r="SGO10" s="3447"/>
      <c r="SGP10" s="3447"/>
      <c r="SGQ10" s="3447"/>
      <c r="SGR10" s="3447"/>
      <c r="SGS10" s="3447"/>
      <c r="SGT10" s="3447"/>
      <c r="SGU10" s="3447"/>
      <c r="SGV10" s="3447"/>
      <c r="SGW10" s="3447"/>
      <c r="SGX10" s="3447"/>
      <c r="SGY10" s="3447"/>
      <c r="SGZ10" s="3447"/>
      <c r="SHA10" s="3447"/>
      <c r="SHB10" s="3447"/>
      <c r="SHC10" s="3447"/>
      <c r="SHD10" s="3447"/>
      <c r="SHE10" s="3447"/>
      <c r="SHF10" s="3447"/>
      <c r="SHG10" s="3447"/>
      <c r="SHH10" s="3447"/>
      <c r="SHI10" s="3447"/>
      <c r="SHJ10" s="3447"/>
      <c r="SHK10" s="3447"/>
      <c r="SHL10" s="3447"/>
      <c r="SHM10" s="3447"/>
      <c r="SHN10" s="3447"/>
      <c r="SHO10" s="3447"/>
      <c r="SHP10" s="3447"/>
      <c r="SHQ10" s="3447"/>
      <c r="SHR10" s="3447"/>
      <c r="SHS10" s="3447"/>
      <c r="SHT10" s="3447"/>
      <c r="SHU10" s="3447"/>
      <c r="SHV10" s="3447"/>
      <c r="SHW10" s="3447"/>
      <c r="SHX10" s="3447"/>
      <c r="SHY10" s="3447"/>
      <c r="SHZ10" s="3447"/>
      <c r="SIA10" s="3447"/>
      <c r="SIB10" s="3447"/>
      <c r="SIC10" s="3447"/>
      <c r="SID10" s="3447"/>
      <c r="SIE10" s="3447"/>
      <c r="SIF10" s="3447"/>
      <c r="SIG10" s="3447"/>
      <c r="SIH10" s="3447"/>
      <c r="SII10" s="3447"/>
      <c r="SIJ10" s="3447"/>
      <c r="SIK10" s="3447"/>
      <c r="SIL10" s="3447"/>
      <c r="SIM10" s="3447"/>
      <c r="SIN10" s="3447"/>
      <c r="SIO10" s="3447"/>
      <c r="SIP10" s="3447"/>
      <c r="SIQ10" s="3447"/>
      <c r="SIR10" s="3447"/>
      <c r="SIS10" s="3447"/>
      <c r="SIT10" s="3447"/>
      <c r="SIU10" s="3447"/>
      <c r="SIV10" s="3447"/>
      <c r="SIW10" s="3447"/>
      <c r="SIX10" s="3447"/>
      <c r="SIY10" s="3447"/>
      <c r="SIZ10" s="3447"/>
      <c r="SJA10" s="3447"/>
      <c r="SJB10" s="3447"/>
      <c r="SJC10" s="3447"/>
      <c r="SJD10" s="3447"/>
      <c r="SJE10" s="3447"/>
      <c r="SJF10" s="3447"/>
      <c r="SJG10" s="3447"/>
      <c r="SJH10" s="3447"/>
      <c r="SJI10" s="3447"/>
      <c r="SJJ10" s="3447"/>
      <c r="SJK10" s="3447"/>
      <c r="SJL10" s="3447"/>
      <c r="SJM10" s="3447"/>
      <c r="SJN10" s="3447"/>
      <c r="SJO10" s="3447"/>
      <c r="SJP10" s="3447"/>
      <c r="SJQ10" s="3447"/>
      <c r="SJR10" s="3447"/>
      <c r="SJS10" s="3447"/>
      <c r="SJT10" s="3447"/>
      <c r="SJU10" s="3447"/>
      <c r="SJV10" s="3447"/>
      <c r="SJW10" s="3447"/>
      <c r="SJX10" s="3447"/>
      <c r="SJY10" s="3447"/>
      <c r="SJZ10" s="3447"/>
      <c r="SKA10" s="3447"/>
      <c r="SKB10" s="3447"/>
      <c r="SKC10" s="3447"/>
      <c r="SKD10" s="3447"/>
      <c r="SKE10" s="3447"/>
      <c r="SKF10" s="3447"/>
      <c r="SKG10" s="3447"/>
      <c r="SKH10" s="3447"/>
      <c r="SKI10" s="3447"/>
      <c r="SKJ10" s="3447"/>
      <c r="SKK10" s="3447"/>
      <c r="SKL10" s="3447"/>
      <c r="SKM10" s="3447"/>
      <c r="SKN10" s="3447"/>
      <c r="SKO10" s="3447"/>
      <c r="SKP10" s="3447"/>
      <c r="SKQ10" s="3447"/>
      <c r="SKR10" s="3447"/>
      <c r="SKS10" s="3447"/>
      <c r="SKT10" s="3447"/>
      <c r="SKU10" s="3447"/>
      <c r="SKV10" s="3447"/>
      <c r="SKW10" s="3447"/>
      <c r="SKX10" s="3447"/>
      <c r="SKY10" s="3447"/>
      <c r="SKZ10" s="3447"/>
      <c r="SLA10" s="3447"/>
      <c r="SLB10" s="3447"/>
      <c r="SLC10" s="3447"/>
      <c r="SLD10" s="3447"/>
      <c r="SLE10" s="3447"/>
      <c r="SLF10" s="3447"/>
      <c r="SLG10" s="3447"/>
      <c r="SLH10" s="3447"/>
      <c r="SLI10" s="3447"/>
      <c r="SLJ10" s="3447"/>
      <c r="SLK10" s="3447"/>
      <c r="SLL10" s="3447"/>
      <c r="SLM10" s="3447"/>
      <c r="SLN10" s="3447"/>
      <c r="SLO10" s="3447"/>
      <c r="SLP10" s="3447"/>
      <c r="SLQ10" s="3447"/>
      <c r="SLR10" s="3447"/>
      <c r="SLS10" s="3447"/>
      <c r="SLT10" s="3447"/>
      <c r="SLU10" s="3447"/>
      <c r="SLV10" s="3447"/>
      <c r="SLW10" s="3447"/>
      <c r="SLX10" s="3447"/>
      <c r="SLY10" s="3447"/>
      <c r="SLZ10" s="3447"/>
      <c r="SMA10" s="3447"/>
      <c r="SMB10" s="3447"/>
      <c r="SMC10" s="3447"/>
      <c r="SMD10" s="3447"/>
      <c r="SME10" s="3447"/>
      <c r="SMF10" s="3447"/>
      <c r="SMG10" s="3447"/>
      <c r="SMH10" s="3447"/>
      <c r="SMI10" s="3447"/>
      <c r="SMJ10" s="3447"/>
      <c r="SMK10" s="3447"/>
      <c r="SML10" s="3447"/>
      <c r="SMM10" s="3447"/>
      <c r="SMN10" s="3447"/>
      <c r="SMO10" s="3447"/>
      <c r="SMP10" s="3447"/>
      <c r="SMQ10" s="3447"/>
      <c r="SMR10" s="3447"/>
      <c r="SMS10" s="3447"/>
      <c r="SMT10" s="3447"/>
      <c r="SMU10" s="3447"/>
      <c r="SMV10" s="3447"/>
      <c r="SMW10" s="3447"/>
      <c r="SMX10" s="3447"/>
      <c r="SMY10" s="3447"/>
      <c r="SMZ10" s="3447"/>
      <c r="SNA10" s="3447"/>
      <c r="SNB10" s="3447"/>
      <c r="SNC10" s="3447"/>
      <c r="SND10" s="3447"/>
      <c r="SNE10" s="3447"/>
      <c r="SNF10" s="3447"/>
      <c r="SNG10" s="3447"/>
      <c r="SNH10" s="3447"/>
      <c r="SNI10" s="3447"/>
      <c r="SNJ10" s="3447"/>
      <c r="SNK10" s="3447"/>
      <c r="SNL10" s="3447"/>
      <c r="SNM10" s="3447"/>
      <c r="SNN10" s="3447"/>
      <c r="SNO10" s="3447"/>
      <c r="SNP10" s="3447"/>
      <c r="SNQ10" s="3447"/>
      <c r="SNR10" s="3447"/>
      <c r="SNS10" s="3447"/>
      <c r="SNT10" s="3447"/>
      <c r="SNU10" s="3447"/>
      <c r="SNV10" s="3447"/>
      <c r="SNW10" s="3447"/>
      <c r="SNX10" s="3447"/>
      <c r="SNY10" s="3447"/>
      <c r="SNZ10" s="3447"/>
      <c r="SOA10" s="3447"/>
      <c r="SOB10" s="3447"/>
      <c r="SOC10" s="3447"/>
      <c r="SOD10" s="3447"/>
      <c r="SOE10" s="3447"/>
      <c r="SOF10" s="3447"/>
      <c r="SOG10" s="3447"/>
      <c r="SOH10" s="3447"/>
      <c r="SOI10" s="3447"/>
      <c r="SOJ10" s="3447"/>
      <c r="SOK10" s="3447"/>
      <c r="SOL10" s="3447"/>
      <c r="SOM10" s="3447"/>
      <c r="SON10" s="3447"/>
      <c r="SOO10" s="3447"/>
      <c r="SOP10" s="3447"/>
      <c r="SOQ10" s="3447"/>
      <c r="SOR10" s="3447"/>
      <c r="SOS10" s="3447"/>
      <c r="SOT10" s="3447"/>
      <c r="SOU10" s="3447"/>
      <c r="SOV10" s="3447"/>
      <c r="SOW10" s="3447"/>
      <c r="SOX10" s="3447"/>
      <c r="SOY10" s="3447"/>
      <c r="SOZ10" s="3447"/>
      <c r="SPA10" s="3447"/>
      <c r="SPB10" s="3447"/>
      <c r="SPC10" s="3447"/>
      <c r="SPD10" s="3447"/>
      <c r="SPE10" s="3447"/>
      <c r="SPF10" s="3447"/>
      <c r="SPG10" s="3447"/>
      <c r="SPH10" s="3447"/>
      <c r="SPI10" s="3447"/>
      <c r="SPJ10" s="3447"/>
      <c r="SPK10" s="3447"/>
      <c r="SPL10" s="3447"/>
      <c r="SPM10" s="3447"/>
      <c r="SPN10" s="3447"/>
      <c r="SPO10" s="3447"/>
      <c r="SPP10" s="3447"/>
      <c r="SPQ10" s="3447"/>
      <c r="SPR10" s="3447"/>
      <c r="SPS10" s="3447"/>
      <c r="SPT10" s="3447"/>
      <c r="SPU10" s="3447"/>
      <c r="SPV10" s="3447"/>
      <c r="SPW10" s="3447"/>
      <c r="SPX10" s="3447"/>
      <c r="SPY10" s="3447"/>
      <c r="SPZ10" s="3447"/>
      <c r="SQA10" s="3447"/>
      <c r="SQB10" s="3447"/>
      <c r="SQC10" s="3447"/>
      <c r="SQD10" s="3447"/>
      <c r="SQE10" s="3447"/>
      <c r="SQF10" s="3447"/>
      <c r="SQG10" s="3447"/>
      <c r="SQH10" s="3447"/>
      <c r="SQI10" s="3447"/>
      <c r="SQJ10" s="3447"/>
      <c r="SQK10" s="3447"/>
      <c r="SQL10" s="3447"/>
      <c r="SQM10" s="3447"/>
      <c r="SQN10" s="3447"/>
      <c r="SQO10" s="3447"/>
      <c r="SQP10" s="3447"/>
      <c r="SQQ10" s="3447"/>
      <c r="SQR10" s="3447"/>
      <c r="SQS10" s="3447"/>
      <c r="SQT10" s="3447"/>
      <c r="SQU10" s="3447"/>
      <c r="SQV10" s="3447"/>
      <c r="SQW10" s="3447"/>
      <c r="SQX10" s="3447"/>
      <c r="SQY10" s="3447"/>
      <c r="SQZ10" s="3447"/>
      <c r="SRA10" s="3447"/>
      <c r="SRB10" s="3447"/>
      <c r="SRC10" s="3447"/>
      <c r="SRD10" s="3447"/>
      <c r="SRE10" s="3447"/>
      <c r="SRF10" s="3447"/>
      <c r="SRG10" s="3447"/>
      <c r="SRH10" s="3447"/>
      <c r="SRI10" s="3447"/>
      <c r="SRJ10" s="3447"/>
      <c r="SRK10" s="3447"/>
      <c r="SRL10" s="3447"/>
      <c r="SRM10" s="3447"/>
      <c r="SRN10" s="3447"/>
      <c r="SRO10" s="3447"/>
      <c r="SRP10" s="3447"/>
      <c r="SRQ10" s="3447"/>
      <c r="SRR10" s="3447"/>
      <c r="SRS10" s="3447"/>
      <c r="SRT10" s="3447"/>
      <c r="SRU10" s="3447"/>
      <c r="SRV10" s="3447"/>
      <c r="SRW10" s="3447"/>
      <c r="SRX10" s="3447"/>
      <c r="SRY10" s="3447"/>
      <c r="SRZ10" s="3447"/>
      <c r="SSA10" s="3447"/>
      <c r="SSB10" s="3447"/>
      <c r="SSC10" s="3447"/>
      <c r="SSD10" s="3447"/>
      <c r="SSE10" s="3447"/>
      <c r="SSF10" s="3447"/>
      <c r="SSG10" s="3447"/>
      <c r="SSH10" s="3447"/>
      <c r="SSI10" s="3447"/>
      <c r="SSJ10" s="3447"/>
      <c r="SSK10" s="3447"/>
      <c r="SSL10" s="3447"/>
      <c r="SSM10" s="3447"/>
      <c r="SSN10" s="3447"/>
      <c r="SSO10" s="3447"/>
      <c r="SSP10" s="3447"/>
      <c r="SSQ10" s="3447"/>
      <c r="SSR10" s="3447"/>
      <c r="SSS10" s="3447"/>
      <c r="SST10" s="3447"/>
      <c r="SSU10" s="3447"/>
      <c r="SSV10" s="3447"/>
      <c r="SSW10" s="3447"/>
      <c r="SSX10" s="3447"/>
      <c r="SSY10" s="3447"/>
      <c r="SSZ10" s="3447"/>
      <c r="STA10" s="3447"/>
      <c r="STB10" s="3447"/>
      <c r="STC10" s="3447"/>
      <c r="STD10" s="3447"/>
      <c r="STE10" s="3447"/>
      <c r="STF10" s="3447"/>
      <c r="STG10" s="3447"/>
      <c r="STH10" s="3447"/>
      <c r="STI10" s="3447"/>
      <c r="STJ10" s="3447"/>
      <c r="STK10" s="3447"/>
      <c r="STL10" s="3447"/>
      <c r="STM10" s="3447"/>
      <c r="STN10" s="3447"/>
      <c r="STO10" s="3447"/>
      <c r="STP10" s="3447"/>
      <c r="STQ10" s="3447"/>
      <c r="STR10" s="3447"/>
      <c r="STS10" s="3447"/>
      <c r="STT10" s="3447"/>
      <c r="STU10" s="3447"/>
      <c r="STV10" s="3447"/>
      <c r="STW10" s="3447"/>
      <c r="STX10" s="3447"/>
      <c r="STY10" s="3447"/>
      <c r="STZ10" s="3447"/>
      <c r="SUA10" s="3447"/>
      <c r="SUB10" s="3447"/>
      <c r="SUC10" s="3447"/>
      <c r="SUD10" s="3447"/>
      <c r="SUE10" s="3447"/>
      <c r="SUF10" s="3447"/>
      <c r="SUG10" s="3447"/>
      <c r="SUH10" s="3447"/>
      <c r="SUI10" s="3447"/>
      <c r="SUJ10" s="3447"/>
      <c r="SUK10" s="3447"/>
      <c r="SUL10" s="3447"/>
      <c r="SUM10" s="3447"/>
      <c r="SUN10" s="3447"/>
      <c r="SUO10" s="3447"/>
      <c r="SUP10" s="3447"/>
      <c r="SUQ10" s="3447"/>
      <c r="SUR10" s="3447"/>
      <c r="SUS10" s="3447"/>
      <c r="SUT10" s="3447"/>
      <c r="SUU10" s="3447"/>
      <c r="SUV10" s="3447"/>
      <c r="SUW10" s="3447"/>
      <c r="SUX10" s="3447"/>
      <c r="SUY10" s="3447"/>
      <c r="SUZ10" s="3447"/>
      <c r="SVA10" s="3447"/>
      <c r="SVB10" s="3447"/>
      <c r="SVC10" s="3447"/>
      <c r="SVD10" s="3447"/>
      <c r="SVE10" s="3447"/>
      <c r="SVF10" s="3447"/>
      <c r="SVG10" s="3447"/>
      <c r="SVH10" s="3447"/>
      <c r="SVI10" s="3447"/>
      <c r="SVJ10" s="3447"/>
      <c r="SVK10" s="3447"/>
      <c r="SVL10" s="3447"/>
      <c r="SVM10" s="3447"/>
      <c r="SVN10" s="3447"/>
      <c r="SVO10" s="3447"/>
      <c r="SVP10" s="3447"/>
      <c r="SVQ10" s="3447"/>
      <c r="SVR10" s="3447"/>
      <c r="SVS10" s="3447"/>
      <c r="SVT10" s="3447"/>
      <c r="SVU10" s="3447"/>
      <c r="SVV10" s="3447"/>
      <c r="SVW10" s="3447"/>
      <c r="SVX10" s="3447"/>
      <c r="SVY10" s="3447"/>
      <c r="SVZ10" s="3447"/>
      <c r="SWA10" s="3447"/>
      <c r="SWB10" s="3447"/>
      <c r="SWC10" s="3447"/>
      <c r="SWD10" s="3447"/>
      <c r="SWE10" s="3447"/>
      <c r="SWF10" s="3447"/>
      <c r="SWG10" s="3447"/>
      <c r="SWH10" s="3447"/>
      <c r="SWI10" s="3447"/>
      <c r="SWJ10" s="3447"/>
      <c r="SWK10" s="3447"/>
      <c r="SWL10" s="3447"/>
      <c r="SWM10" s="3447"/>
      <c r="SWN10" s="3447"/>
      <c r="SWO10" s="3447"/>
      <c r="SWP10" s="3447"/>
      <c r="SWQ10" s="3447"/>
      <c r="SWR10" s="3447"/>
      <c r="SWS10" s="3447"/>
      <c r="SWT10" s="3447"/>
      <c r="SWU10" s="3447"/>
      <c r="SWV10" s="3447"/>
      <c r="SWW10" s="3447"/>
      <c r="SWX10" s="3447"/>
      <c r="SWY10" s="3447"/>
      <c r="SWZ10" s="3447"/>
      <c r="SXA10" s="3447"/>
      <c r="SXB10" s="3447"/>
      <c r="SXC10" s="3447"/>
      <c r="SXD10" s="3447"/>
      <c r="SXE10" s="3447"/>
      <c r="SXF10" s="3447"/>
      <c r="SXG10" s="3447"/>
      <c r="SXH10" s="3447"/>
      <c r="SXI10" s="3447"/>
      <c r="SXJ10" s="3447"/>
      <c r="SXK10" s="3447"/>
      <c r="SXL10" s="3447"/>
      <c r="SXM10" s="3447"/>
      <c r="SXN10" s="3447"/>
      <c r="SXO10" s="3447"/>
      <c r="SXP10" s="3447"/>
      <c r="SXQ10" s="3447"/>
      <c r="SXR10" s="3447"/>
      <c r="SXS10" s="3447"/>
      <c r="SXT10" s="3447"/>
      <c r="SXU10" s="3447"/>
      <c r="SXV10" s="3447"/>
      <c r="SXW10" s="3447"/>
      <c r="SXX10" s="3447"/>
      <c r="SXY10" s="3447"/>
      <c r="SXZ10" s="3447"/>
      <c r="SYA10" s="3447"/>
      <c r="SYB10" s="3447"/>
      <c r="SYC10" s="3447"/>
      <c r="SYD10" s="3447"/>
      <c r="SYE10" s="3447"/>
      <c r="SYF10" s="3447"/>
      <c r="SYG10" s="3447"/>
      <c r="SYH10" s="3447"/>
      <c r="SYI10" s="3447"/>
      <c r="SYJ10" s="3447"/>
      <c r="SYK10" s="3447"/>
      <c r="SYL10" s="3447"/>
      <c r="SYM10" s="3447"/>
      <c r="SYN10" s="3447"/>
      <c r="SYO10" s="3447"/>
      <c r="SYP10" s="3447"/>
      <c r="SYQ10" s="3447"/>
      <c r="SYR10" s="3447"/>
      <c r="SYS10" s="3447"/>
      <c r="SYT10" s="3447"/>
      <c r="SYU10" s="3447"/>
      <c r="SYV10" s="3447"/>
      <c r="SYW10" s="3447"/>
      <c r="SYX10" s="3447"/>
      <c r="SYY10" s="3447"/>
      <c r="SYZ10" s="3447"/>
      <c r="SZA10" s="3447"/>
      <c r="SZB10" s="3447"/>
      <c r="SZC10" s="3447"/>
      <c r="SZD10" s="3447"/>
      <c r="SZE10" s="3447"/>
      <c r="SZF10" s="3447"/>
      <c r="SZG10" s="3447"/>
      <c r="SZH10" s="3447"/>
      <c r="SZI10" s="3447"/>
      <c r="SZJ10" s="3447"/>
      <c r="SZK10" s="3447"/>
      <c r="SZL10" s="3447"/>
      <c r="SZM10" s="3447"/>
      <c r="SZN10" s="3447"/>
      <c r="SZO10" s="3447"/>
      <c r="SZP10" s="3447"/>
      <c r="SZQ10" s="3447"/>
      <c r="SZR10" s="3447"/>
      <c r="SZS10" s="3447"/>
      <c r="SZT10" s="3447"/>
      <c r="SZU10" s="3447"/>
      <c r="SZV10" s="3447"/>
      <c r="SZW10" s="3447"/>
      <c r="SZX10" s="3447"/>
      <c r="SZY10" s="3447"/>
      <c r="SZZ10" s="3447"/>
      <c r="TAA10" s="3447"/>
      <c r="TAB10" s="3447"/>
      <c r="TAC10" s="3447"/>
      <c r="TAD10" s="3447"/>
      <c r="TAE10" s="3447"/>
      <c r="TAF10" s="3447"/>
      <c r="TAG10" s="3447"/>
      <c r="TAH10" s="3447"/>
      <c r="TAI10" s="3447"/>
      <c r="TAJ10" s="3447"/>
      <c r="TAK10" s="3447"/>
      <c r="TAL10" s="3447"/>
      <c r="TAM10" s="3447"/>
      <c r="TAN10" s="3447"/>
      <c r="TAO10" s="3447"/>
      <c r="TAP10" s="3447"/>
      <c r="TAQ10" s="3447"/>
      <c r="TAR10" s="3447"/>
      <c r="TAS10" s="3447"/>
      <c r="TAT10" s="3447"/>
      <c r="TAU10" s="3447"/>
      <c r="TAV10" s="3447"/>
      <c r="TAW10" s="3447"/>
      <c r="TAX10" s="3447"/>
      <c r="TAY10" s="3447"/>
      <c r="TAZ10" s="3447"/>
      <c r="TBA10" s="3447"/>
      <c r="TBB10" s="3447"/>
      <c r="TBC10" s="3447"/>
      <c r="TBD10" s="3447"/>
      <c r="TBE10" s="3447"/>
      <c r="TBF10" s="3447"/>
      <c r="TBG10" s="3447"/>
      <c r="TBH10" s="3447"/>
      <c r="TBI10" s="3447"/>
      <c r="TBJ10" s="3447"/>
      <c r="TBK10" s="3447"/>
      <c r="TBL10" s="3447"/>
      <c r="TBM10" s="3447"/>
      <c r="TBN10" s="3447"/>
      <c r="TBO10" s="3447"/>
      <c r="TBP10" s="3447"/>
      <c r="TBQ10" s="3447"/>
      <c r="TBR10" s="3447"/>
      <c r="TBS10" s="3447"/>
      <c r="TBT10" s="3447"/>
      <c r="TBU10" s="3447"/>
      <c r="TBV10" s="3447"/>
      <c r="TBW10" s="3447"/>
      <c r="TBX10" s="3447"/>
      <c r="TBY10" s="3447"/>
      <c r="TBZ10" s="3447"/>
      <c r="TCA10" s="3447"/>
      <c r="TCB10" s="3447"/>
      <c r="TCC10" s="3447"/>
      <c r="TCD10" s="3447"/>
      <c r="TCE10" s="3447"/>
      <c r="TCF10" s="3447"/>
      <c r="TCG10" s="3447"/>
      <c r="TCH10" s="3447"/>
      <c r="TCI10" s="3447"/>
      <c r="TCJ10" s="3447"/>
      <c r="TCK10" s="3447"/>
      <c r="TCL10" s="3447"/>
      <c r="TCM10" s="3447"/>
      <c r="TCN10" s="3447"/>
      <c r="TCO10" s="3447"/>
      <c r="TCP10" s="3447"/>
      <c r="TCQ10" s="3447"/>
      <c r="TCR10" s="3447"/>
      <c r="TCS10" s="3447"/>
      <c r="TCT10" s="3447"/>
      <c r="TCU10" s="3447"/>
      <c r="TCV10" s="3447"/>
      <c r="TCW10" s="3447"/>
      <c r="TCX10" s="3447"/>
      <c r="TCY10" s="3447"/>
      <c r="TCZ10" s="3447"/>
      <c r="TDA10" s="3447"/>
      <c r="TDB10" s="3447"/>
      <c r="TDC10" s="3447"/>
      <c r="TDD10" s="3447"/>
      <c r="TDE10" s="3447"/>
      <c r="TDF10" s="3447"/>
      <c r="TDG10" s="3447"/>
      <c r="TDH10" s="3447"/>
      <c r="TDI10" s="3447"/>
      <c r="TDJ10" s="3447"/>
      <c r="TDK10" s="3447"/>
      <c r="TDL10" s="3447"/>
      <c r="TDM10" s="3447"/>
      <c r="TDN10" s="3447"/>
      <c r="TDO10" s="3447"/>
      <c r="TDP10" s="3447"/>
      <c r="TDQ10" s="3447"/>
      <c r="TDR10" s="3447"/>
      <c r="TDS10" s="3447"/>
      <c r="TDT10" s="3447"/>
      <c r="TDU10" s="3447"/>
      <c r="TDV10" s="3447"/>
      <c r="TDW10" s="3447"/>
      <c r="TDX10" s="3447"/>
      <c r="TDY10" s="3447"/>
      <c r="TDZ10" s="3447"/>
      <c r="TEA10" s="3447"/>
      <c r="TEB10" s="3447"/>
      <c r="TEC10" s="3447"/>
      <c r="TED10" s="3447"/>
      <c r="TEE10" s="3447"/>
      <c r="TEF10" s="3447"/>
      <c r="TEG10" s="3447"/>
      <c r="TEH10" s="3447"/>
      <c r="TEI10" s="3447"/>
      <c r="TEJ10" s="3447"/>
      <c r="TEK10" s="3447"/>
      <c r="TEL10" s="3447"/>
      <c r="TEM10" s="3447"/>
      <c r="TEN10" s="3447"/>
      <c r="TEO10" s="3447"/>
      <c r="TEP10" s="3447"/>
      <c r="TEQ10" s="3447"/>
      <c r="TER10" s="3447"/>
      <c r="TES10" s="3447"/>
      <c r="TET10" s="3447"/>
      <c r="TEU10" s="3447"/>
      <c r="TEV10" s="3447"/>
      <c r="TEW10" s="3447"/>
      <c r="TEX10" s="3447"/>
      <c r="TEY10" s="3447"/>
      <c r="TEZ10" s="3447"/>
      <c r="TFA10" s="3447"/>
      <c r="TFB10" s="3447"/>
      <c r="TFC10" s="3447"/>
      <c r="TFD10" s="3447"/>
      <c r="TFE10" s="3447"/>
      <c r="TFF10" s="3447"/>
      <c r="TFG10" s="3447"/>
      <c r="TFH10" s="3447"/>
      <c r="TFI10" s="3447"/>
      <c r="TFJ10" s="3447"/>
      <c r="TFK10" s="3447"/>
      <c r="TFL10" s="3447"/>
      <c r="TFM10" s="3447"/>
      <c r="TFN10" s="3447"/>
      <c r="TFO10" s="3447"/>
      <c r="TFP10" s="3447"/>
      <c r="TFQ10" s="3447"/>
      <c r="TFR10" s="3447"/>
      <c r="TFS10" s="3447"/>
      <c r="TFT10" s="3447"/>
      <c r="TFU10" s="3447"/>
      <c r="TFV10" s="3447"/>
      <c r="TFW10" s="3447"/>
      <c r="TFX10" s="3447"/>
      <c r="TFY10" s="3447"/>
      <c r="TFZ10" s="3447"/>
      <c r="TGA10" s="3447"/>
      <c r="TGB10" s="3447"/>
      <c r="TGC10" s="3447"/>
      <c r="TGD10" s="3447"/>
      <c r="TGE10" s="3447"/>
      <c r="TGF10" s="3447"/>
      <c r="TGG10" s="3447"/>
      <c r="TGH10" s="3447"/>
      <c r="TGI10" s="3447"/>
      <c r="TGJ10" s="3447"/>
      <c r="TGK10" s="3447"/>
      <c r="TGL10" s="3447"/>
      <c r="TGM10" s="3447"/>
      <c r="TGN10" s="3447"/>
      <c r="TGO10" s="3447"/>
      <c r="TGP10" s="3447"/>
      <c r="TGQ10" s="3447"/>
      <c r="TGR10" s="3447"/>
      <c r="TGS10" s="3447"/>
      <c r="TGT10" s="3447"/>
      <c r="TGU10" s="3447"/>
      <c r="TGV10" s="3447"/>
      <c r="TGW10" s="3447"/>
      <c r="TGX10" s="3447"/>
      <c r="TGY10" s="3447"/>
      <c r="TGZ10" s="3447"/>
      <c r="THA10" s="3447"/>
      <c r="THB10" s="3447"/>
      <c r="THC10" s="3447"/>
      <c r="THD10" s="3447"/>
      <c r="THE10" s="3447"/>
      <c r="THF10" s="3447"/>
      <c r="THG10" s="3447"/>
      <c r="THH10" s="3447"/>
      <c r="THI10" s="3447"/>
      <c r="THJ10" s="3447"/>
      <c r="THK10" s="3447"/>
      <c r="THL10" s="3447"/>
      <c r="THM10" s="3447"/>
      <c r="THN10" s="3447"/>
      <c r="THO10" s="3447"/>
      <c r="THP10" s="3447"/>
      <c r="THQ10" s="3447"/>
      <c r="THR10" s="3447"/>
      <c r="THS10" s="3447"/>
      <c r="THT10" s="3447"/>
      <c r="THU10" s="3447"/>
      <c r="THV10" s="3447"/>
      <c r="THW10" s="3447"/>
      <c r="THX10" s="3447"/>
      <c r="THY10" s="3447"/>
      <c r="THZ10" s="3447"/>
      <c r="TIA10" s="3447"/>
      <c r="TIB10" s="3447"/>
      <c r="TIC10" s="3447"/>
      <c r="TID10" s="3447"/>
      <c r="TIE10" s="3447"/>
      <c r="TIF10" s="3447"/>
      <c r="TIG10" s="3447"/>
      <c r="TIH10" s="3447"/>
      <c r="TII10" s="3447"/>
      <c r="TIJ10" s="3447"/>
      <c r="TIK10" s="3447"/>
      <c r="TIL10" s="3447"/>
      <c r="TIM10" s="3447"/>
      <c r="TIN10" s="3447"/>
      <c r="TIO10" s="3447"/>
      <c r="TIP10" s="3447"/>
      <c r="TIQ10" s="3447"/>
      <c r="TIR10" s="3447"/>
      <c r="TIS10" s="3447"/>
      <c r="TIT10" s="3447"/>
      <c r="TIU10" s="3447"/>
      <c r="TIV10" s="3447"/>
      <c r="TIW10" s="3447"/>
      <c r="TIX10" s="3447"/>
      <c r="TIY10" s="3447"/>
      <c r="TIZ10" s="3447"/>
      <c r="TJA10" s="3447"/>
      <c r="TJB10" s="3447"/>
      <c r="TJC10" s="3447"/>
      <c r="TJD10" s="3447"/>
      <c r="TJE10" s="3447"/>
      <c r="TJF10" s="3447"/>
      <c r="TJG10" s="3447"/>
      <c r="TJH10" s="3447"/>
      <c r="TJI10" s="3447"/>
      <c r="TJJ10" s="3447"/>
      <c r="TJK10" s="3447"/>
      <c r="TJL10" s="3447"/>
      <c r="TJM10" s="3447"/>
      <c r="TJN10" s="3447"/>
      <c r="TJO10" s="3447"/>
      <c r="TJP10" s="3447"/>
      <c r="TJQ10" s="3447"/>
      <c r="TJR10" s="3447"/>
      <c r="TJS10" s="3447"/>
      <c r="TJT10" s="3447"/>
      <c r="TJU10" s="3447"/>
      <c r="TJV10" s="3447"/>
      <c r="TJW10" s="3447"/>
      <c r="TJX10" s="3447"/>
      <c r="TJY10" s="3447"/>
      <c r="TJZ10" s="3447"/>
      <c r="TKA10" s="3447"/>
      <c r="TKB10" s="3447"/>
      <c r="TKC10" s="3447"/>
      <c r="TKD10" s="3447"/>
      <c r="TKE10" s="3447"/>
      <c r="TKF10" s="3447"/>
      <c r="TKG10" s="3447"/>
      <c r="TKH10" s="3447"/>
      <c r="TKI10" s="3447"/>
      <c r="TKJ10" s="3447"/>
      <c r="TKK10" s="3447"/>
      <c r="TKL10" s="3447"/>
      <c r="TKM10" s="3447"/>
      <c r="TKN10" s="3447"/>
      <c r="TKO10" s="3447"/>
      <c r="TKP10" s="3447"/>
      <c r="TKQ10" s="3447"/>
      <c r="TKR10" s="3447"/>
      <c r="TKS10" s="3447"/>
      <c r="TKT10" s="3447"/>
      <c r="TKU10" s="3447"/>
      <c r="TKV10" s="3447"/>
      <c r="TKW10" s="3447"/>
      <c r="TKX10" s="3447"/>
      <c r="TKY10" s="3447"/>
      <c r="TKZ10" s="3447"/>
      <c r="TLA10" s="3447"/>
      <c r="TLB10" s="3447"/>
      <c r="TLC10" s="3447"/>
      <c r="TLD10" s="3447"/>
      <c r="TLE10" s="3447"/>
      <c r="TLF10" s="3447"/>
      <c r="TLG10" s="3447"/>
      <c r="TLH10" s="3447"/>
      <c r="TLI10" s="3447"/>
      <c r="TLJ10" s="3447"/>
      <c r="TLK10" s="3447"/>
      <c r="TLL10" s="3447"/>
      <c r="TLM10" s="3447"/>
      <c r="TLN10" s="3447"/>
      <c r="TLO10" s="3447"/>
      <c r="TLP10" s="3447"/>
      <c r="TLQ10" s="3447"/>
      <c r="TLR10" s="3447"/>
      <c r="TLS10" s="3447"/>
      <c r="TLT10" s="3447"/>
      <c r="TLU10" s="3447"/>
      <c r="TLV10" s="3447"/>
      <c r="TLW10" s="3447"/>
      <c r="TLX10" s="3447"/>
      <c r="TLY10" s="3447"/>
      <c r="TLZ10" s="3447"/>
      <c r="TMA10" s="3447"/>
      <c r="TMB10" s="3447"/>
      <c r="TMC10" s="3447"/>
      <c r="TMD10" s="3447"/>
      <c r="TME10" s="3447"/>
      <c r="TMF10" s="3447"/>
      <c r="TMG10" s="3447"/>
      <c r="TMH10" s="3447"/>
      <c r="TMI10" s="3447"/>
      <c r="TMJ10" s="3447"/>
      <c r="TMK10" s="3447"/>
      <c r="TML10" s="3447"/>
      <c r="TMM10" s="3447"/>
      <c r="TMN10" s="3447"/>
      <c r="TMO10" s="3447"/>
      <c r="TMP10" s="3447"/>
      <c r="TMQ10" s="3447"/>
      <c r="TMR10" s="3447"/>
      <c r="TMS10" s="3447"/>
      <c r="TMT10" s="3447"/>
      <c r="TMU10" s="3447"/>
      <c r="TMV10" s="3447"/>
      <c r="TMW10" s="3447"/>
      <c r="TMX10" s="3447"/>
      <c r="TMY10" s="3447"/>
      <c r="TMZ10" s="3447"/>
      <c r="TNA10" s="3447"/>
      <c r="TNB10" s="3447"/>
      <c r="TNC10" s="3447"/>
      <c r="TND10" s="3447"/>
      <c r="TNE10" s="3447"/>
      <c r="TNF10" s="3447"/>
      <c r="TNG10" s="3447"/>
      <c r="TNH10" s="3447"/>
      <c r="TNI10" s="3447"/>
      <c r="TNJ10" s="3447"/>
      <c r="TNK10" s="3447"/>
      <c r="TNL10" s="3447"/>
      <c r="TNM10" s="3447"/>
      <c r="TNN10" s="3447"/>
      <c r="TNO10" s="3447"/>
      <c r="TNP10" s="3447"/>
      <c r="TNQ10" s="3447"/>
      <c r="TNR10" s="3447"/>
      <c r="TNS10" s="3447"/>
      <c r="TNT10" s="3447"/>
      <c r="TNU10" s="3447"/>
      <c r="TNV10" s="3447"/>
      <c r="TNW10" s="3447"/>
      <c r="TNX10" s="3447"/>
      <c r="TNY10" s="3447"/>
      <c r="TNZ10" s="3447"/>
      <c r="TOA10" s="3447"/>
      <c r="TOB10" s="3447"/>
      <c r="TOC10" s="3447"/>
      <c r="TOD10" s="3447"/>
      <c r="TOE10" s="3447"/>
      <c r="TOF10" s="3447"/>
      <c r="TOG10" s="3447"/>
      <c r="TOH10" s="3447"/>
      <c r="TOI10" s="3447"/>
      <c r="TOJ10" s="3447"/>
      <c r="TOK10" s="3447"/>
      <c r="TOL10" s="3447"/>
      <c r="TOM10" s="3447"/>
      <c r="TON10" s="3447"/>
      <c r="TOO10" s="3447"/>
      <c r="TOP10" s="3447"/>
      <c r="TOQ10" s="3447"/>
      <c r="TOR10" s="3447"/>
      <c r="TOS10" s="3447"/>
      <c r="TOT10" s="3447"/>
      <c r="TOU10" s="3447"/>
      <c r="TOV10" s="3447"/>
      <c r="TOW10" s="3447"/>
      <c r="TOX10" s="3447"/>
      <c r="TOY10" s="3447"/>
      <c r="TOZ10" s="3447"/>
      <c r="TPA10" s="3447"/>
      <c r="TPB10" s="3447"/>
      <c r="TPC10" s="3447"/>
      <c r="TPD10" s="3447"/>
      <c r="TPE10" s="3447"/>
      <c r="TPF10" s="3447"/>
      <c r="TPG10" s="3447"/>
      <c r="TPH10" s="3447"/>
      <c r="TPI10" s="3447"/>
      <c r="TPJ10" s="3447"/>
      <c r="TPK10" s="3447"/>
      <c r="TPL10" s="3447"/>
      <c r="TPM10" s="3447"/>
      <c r="TPN10" s="3447"/>
      <c r="TPO10" s="3447"/>
      <c r="TPP10" s="3447"/>
      <c r="TPQ10" s="3447"/>
      <c r="TPR10" s="3447"/>
      <c r="TPS10" s="3447"/>
      <c r="TPT10" s="3447"/>
      <c r="TPU10" s="3447"/>
      <c r="TPV10" s="3447"/>
      <c r="TPW10" s="3447"/>
      <c r="TPX10" s="3447"/>
      <c r="TPY10" s="3447"/>
      <c r="TPZ10" s="3447"/>
      <c r="TQA10" s="3447"/>
      <c r="TQB10" s="3447"/>
      <c r="TQC10" s="3447"/>
      <c r="TQD10" s="3447"/>
      <c r="TQE10" s="3447"/>
      <c r="TQF10" s="3447"/>
      <c r="TQG10" s="3447"/>
      <c r="TQH10" s="3447"/>
      <c r="TQI10" s="3447"/>
      <c r="TQJ10" s="3447"/>
      <c r="TQK10" s="3447"/>
      <c r="TQL10" s="3447"/>
      <c r="TQM10" s="3447"/>
      <c r="TQN10" s="3447"/>
      <c r="TQO10" s="3447"/>
      <c r="TQP10" s="3447"/>
      <c r="TQQ10" s="3447"/>
      <c r="TQR10" s="3447"/>
      <c r="TQS10" s="3447"/>
      <c r="TQT10" s="3447"/>
      <c r="TQU10" s="3447"/>
      <c r="TQV10" s="3447"/>
      <c r="TQW10" s="3447"/>
      <c r="TQX10" s="3447"/>
      <c r="TQY10" s="3447"/>
      <c r="TQZ10" s="3447"/>
      <c r="TRA10" s="3447"/>
      <c r="TRB10" s="3447"/>
      <c r="TRC10" s="3447"/>
      <c r="TRD10" s="3447"/>
      <c r="TRE10" s="3447"/>
      <c r="TRF10" s="3447"/>
      <c r="TRG10" s="3447"/>
      <c r="TRH10" s="3447"/>
      <c r="TRI10" s="3447"/>
      <c r="TRJ10" s="3447"/>
      <c r="TRK10" s="3447"/>
      <c r="TRL10" s="3447"/>
      <c r="TRM10" s="3447"/>
      <c r="TRN10" s="3447"/>
      <c r="TRO10" s="3447"/>
      <c r="TRP10" s="3447"/>
      <c r="TRQ10" s="3447"/>
      <c r="TRR10" s="3447"/>
      <c r="TRS10" s="3447"/>
      <c r="TRT10" s="3447"/>
      <c r="TRU10" s="3447"/>
      <c r="TRV10" s="3447"/>
      <c r="TRW10" s="3447"/>
      <c r="TRX10" s="3447"/>
      <c r="TRY10" s="3447"/>
      <c r="TRZ10" s="3447"/>
      <c r="TSA10" s="3447"/>
      <c r="TSB10" s="3447"/>
      <c r="TSC10" s="3447"/>
      <c r="TSD10" s="3447"/>
      <c r="TSE10" s="3447"/>
      <c r="TSF10" s="3447"/>
      <c r="TSG10" s="3447"/>
      <c r="TSH10" s="3447"/>
      <c r="TSI10" s="3447"/>
      <c r="TSJ10" s="3447"/>
      <c r="TSK10" s="3447"/>
      <c r="TSL10" s="3447"/>
      <c r="TSM10" s="3447"/>
      <c r="TSN10" s="3447"/>
      <c r="TSO10" s="3447"/>
      <c r="TSP10" s="3447"/>
      <c r="TSQ10" s="3447"/>
      <c r="TSR10" s="3447"/>
      <c r="TSS10" s="3447"/>
      <c r="TST10" s="3447"/>
      <c r="TSU10" s="3447"/>
      <c r="TSV10" s="3447"/>
      <c r="TSW10" s="3447"/>
      <c r="TSX10" s="3447"/>
      <c r="TSY10" s="3447"/>
      <c r="TSZ10" s="3447"/>
      <c r="TTA10" s="3447"/>
      <c r="TTB10" s="3447"/>
      <c r="TTC10" s="3447"/>
      <c r="TTD10" s="3447"/>
      <c r="TTE10" s="3447"/>
      <c r="TTF10" s="3447"/>
      <c r="TTG10" s="3447"/>
      <c r="TTH10" s="3447"/>
      <c r="TTI10" s="3447"/>
      <c r="TTJ10" s="3447"/>
      <c r="TTK10" s="3447"/>
      <c r="TTL10" s="3447"/>
      <c r="TTM10" s="3447"/>
      <c r="TTN10" s="3447"/>
      <c r="TTO10" s="3447"/>
      <c r="TTP10" s="3447"/>
      <c r="TTQ10" s="3447"/>
      <c r="TTR10" s="3447"/>
      <c r="TTS10" s="3447"/>
      <c r="TTT10" s="3447"/>
      <c r="TTU10" s="3447"/>
      <c r="TTV10" s="3447"/>
      <c r="TTW10" s="3447"/>
      <c r="TTX10" s="3447"/>
      <c r="TTY10" s="3447"/>
      <c r="TTZ10" s="3447"/>
      <c r="TUA10" s="3447"/>
      <c r="TUB10" s="3447"/>
      <c r="TUC10" s="3447"/>
      <c r="TUD10" s="3447"/>
      <c r="TUE10" s="3447"/>
      <c r="TUF10" s="3447"/>
      <c r="TUG10" s="3447"/>
      <c r="TUH10" s="3447"/>
      <c r="TUI10" s="3447"/>
      <c r="TUJ10" s="3447"/>
      <c r="TUK10" s="3447"/>
      <c r="TUL10" s="3447"/>
      <c r="TUM10" s="3447"/>
      <c r="TUN10" s="3447"/>
      <c r="TUO10" s="3447"/>
      <c r="TUP10" s="3447"/>
      <c r="TUQ10" s="3447"/>
      <c r="TUR10" s="3447"/>
      <c r="TUS10" s="3447"/>
      <c r="TUT10" s="3447"/>
      <c r="TUU10" s="3447"/>
      <c r="TUV10" s="3447"/>
      <c r="TUW10" s="3447"/>
      <c r="TUX10" s="3447"/>
      <c r="TUY10" s="3447"/>
      <c r="TUZ10" s="3447"/>
      <c r="TVA10" s="3447"/>
      <c r="TVB10" s="3447"/>
      <c r="TVC10" s="3447"/>
      <c r="TVD10" s="3447"/>
      <c r="TVE10" s="3447"/>
      <c r="TVF10" s="3447"/>
      <c r="TVG10" s="3447"/>
      <c r="TVH10" s="3447"/>
      <c r="TVI10" s="3447"/>
      <c r="TVJ10" s="3447"/>
      <c r="TVK10" s="3447"/>
      <c r="TVL10" s="3447"/>
      <c r="TVM10" s="3447"/>
      <c r="TVN10" s="3447"/>
      <c r="TVO10" s="3447"/>
      <c r="TVP10" s="3447"/>
      <c r="TVQ10" s="3447"/>
      <c r="TVR10" s="3447"/>
      <c r="TVS10" s="3447"/>
      <c r="TVT10" s="3447"/>
      <c r="TVU10" s="3447"/>
      <c r="TVV10" s="3447"/>
      <c r="TVW10" s="3447"/>
      <c r="TVX10" s="3447"/>
      <c r="TVY10" s="3447"/>
      <c r="TVZ10" s="3447"/>
      <c r="TWA10" s="3447"/>
      <c r="TWB10" s="3447"/>
      <c r="TWC10" s="3447"/>
      <c r="TWD10" s="3447"/>
      <c r="TWE10" s="3447"/>
      <c r="TWF10" s="3447"/>
      <c r="TWG10" s="3447"/>
      <c r="TWH10" s="3447"/>
      <c r="TWI10" s="3447"/>
      <c r="TWJ10" s="3447"/>
      <c r="TWK10" s="3447"/>
      <c r="TWL10" s="3447"/>
      <c r="TWM10" s="3447"/>
      <c r="TWN10" s="3447"/>
      <c r="TWO10" s="3447"/>
      <c r="TWP10" s="3447"/>
      <c r="TWQ10" s="3447"/>
      <c r="TWR10" s="3447"/>
      <c r="TWS10" s="3447"/>
      <c r="TWT10" s="3447"/>
      <c r="TWU10" s="3447"/>
      <c r="TWV10" s="3447"/>
      <c r="TWW10" s="3447"/>
      <c r="TWX10" s="3447"/>
      <c r="TWY10" s="3447"/>
      <c r="TWZ10" s="3447"/>
      <c r="TXA10" s="3447"/>
      <c r="TXB10" s="3447"/>
      <c r="TXC10" s="3447"/>
      <c r="TXD10" s="3447"/>
      <c r="TXE10" s="3447"/>
      <c r="TXF10" s="3447"/>
      <c r="TXG10" s="3447"/>
      <c r="TXH10" s="3447"/>
      <c r="TXI10" s="3447"/>
      <c r="TXJ10" s="3447"/>
      <c r="TXK10" s="3447"/>
      <c r="TXL10" s="3447"/>
      <c r="TXM10" s="3447"/>
      <c r="TXN10" s="3447"/>
      <c r="TXO10" s="3447"/>
      <c r="TXP10" s="3447"/>
      <c r="TXQ10" s="3447"/>
      <c r="TXR10" s="3447"/>
      <c r="TXS10" s="3447"/>
      <c r="TXT10" s="3447"/>
      <c r="TXU10" s="3447"/>
      <c r="TXV10" s="3447"/>
      <c r="TXW10" s="3447"/>
      <c r="TXX10" s="3447"/>
      <c r="TXY10" s="3447"/>
      <c r="TXZ10" s="3447"/>
      <c r="TYA10" s="3447"/>
      <c r="TYB10" s="3447"/>
      <c r="TYC10" s="3447"/>
      <c r="TYD10" s="3447"/>
      <c r="TYE10" s="3447"/>
      <c r="TYF10" s="3447"/>
      <c r="TYG10" s="3447"/>
      <c r="TYH10" s="3447"/>
      <c r="TYI10" s="3447"/>
      <c r="TYJ10" s="3447"/>
      <c r="TYK10" s="3447"/>
      <c r="TYL10" s="3447"/>
      <c r="TYM10" s="3447"/>
      <c r="TYN10" s="3447"/>
      <c r="TYO10" s="3447"/>
      <c r="TYP10" s="3447"/>
      <c r="TYQ10" s="3447"/>
      <c r="TYR10" s="3447"/>
      <c r="TYS10" s="3447"/>
      <c r="TYT10" s="3447"/>
      <c r="TYU10" s="3447"/>
      <c r="TYV10" s="3447"/>
      <c r="TYW10" s="3447"/>
      <c r="TYX10" s="3447"/>
      <c r="TYY10" s="3447"/>
      <c r="TYZ10" s="3447"/>
      <c r="TZA10" s="3447"/>
      <c r="TZB10" s="3447"/>
      <c r="TZC10" s="3447"/>
      <c r="TZD10" s="3447"/>
      <c r="TZE10" s="3447"/>
      <c r="TZF10" s="3447"/>
      <c r="TZG10" s="3447"/>
      <c r="TZH10" s="3447"/>
      <c r="TZI10" s="3447"/>
      <c r="TZJ10" s="3447"/>
      <c r="TZK10" s="3447"/>
      <c r="TZL10" s="3447"/>
      <c r="TZM10" s="3447"/>
      <c r="TZN10" s="3447"/>
      <c r="TZO10" s="3447"/>
      <c r="TZP10" s="3447"/>
      <c r="TZQ10" s="3447"/>
      <c r="TZR10" s="3447"/>
      <c r="TZS10" s="3447"/>
      <c r="TZT10" s="3447"/>
      <c r="TZU10" s="3447"/>
      <c r="TZV10" s="3447"/>
      <c r="TZW10" s="3447"/>
      <c r="TZX10" s="3447"/>
      <c r="TZY10" s="3447"/>
      <c r="TZZ10" s="3447"/>
      <c r="UAA10" s="3447"/>
      <c r="UAB10" s="3447"/>
      <c r="UAC10" s="3447"/>
      <c r="UAD10" s="3447"/>
      <c r="UAE10" s="3447"/>
      <c r="UAF10" s="3447"/>
      <c r="UAG10" s="3447"/>
      <c r="UAH10" s="3447"/>
      <c r="UAI10" s="3447"/>
      <c r="UAJ10" s="3447"/>
      <c r="UAK10" s="3447"/>
      <c r="UAL10" s="3447"/>
      <c r="UAM10" s="3447"/>
      <c r="UAN10" s="3447"/>
      <c r="UAO10" s="3447"/>
      <c r="UAP10" s="3447"/>
      <c r="UAQ10" s="3447"/>
      <c r="UAR10" s="3447"/>
      <c r="UAS10" s="3447"/>
      <c r="UAT10" s="3447"/>
      <c r="UAU10" s="3447"/>
      <c r="UAV10" s="3447"/>
      <c r="UAW10" s="3447"/>
      <c r="UAX10" s="3447"/>
      <c r="UAY10" s="3447"/>
      <c r="UAZ10" s="3447"/>
      <c r="UBA10" s="3447"/>
      <c r="UBB10" s="3447"/>
      <c r="UBC10" s="3447"/>
      <c r="UBD10" s="3447"/>
      <c r="UBE10" s="3447"/>
      <c r="UBF10" s="3447"/>
      <c r="UBG10" s="3447"/>
      <c r="UBH10" s="3447"/>
      <c r="UBI10" s="3447"/>
      <c r="UBJ10" s="3447"/>
      <c r="UBK10" s="3447"/>
      <c r="UBL10" s="3447"/>
      <c r="UBM10" s="3447"/>
      <c r="UBN10" s="3447"/>
      <c r="UBO10" s="3447"/>
      <c r="UBP10" s="3447"/>
      <c r="UBQ10" s="3447"/>
      <c r="UBR10" s="3447"/>
      <c r="UBS10" s="3447"/>
      <c r="UBT10" s="3447"/>
      <c r="UBU10" s="3447"/>
      <c r="UBV10" s="3447"/>
      <c r="UBW10" s="3447"/>
      <c r="UBX10" s="3447"/>
      <c r="UBY10" s="3447"/>
      <c r="UBZ10" s="3447"/>
      <c r="UCA10" s="3447"/>
      <c r="UCB10" s="3447"/>
      <c r="UCC10" s="3447"/>
      <c r="UCD10" s="3447"/>
      <c r="UCE10" s="3447"/>
      <c r="UCF10" s="3447"/>
      <c r="UCG10" s="3447"/>
      <c r="UCH10" s="3447"/>
      <c r="UCI10" s="3447"/>
      <c r="UCJ10" s="3447"/>
      <c r="UCK10" s="3447"/>
      <c r="UCL10" s="3447"/>
      <c r="UCM10" s="3447"/>
      <c r="UCN10" s="3447"/>
      <c r="UCO10" s="3447"/>
      <c r="UCP10" s="3447"/>
      <c r="UCQ10" s="3447"/>
      <c r="UCR10" s="3447"/>
      <c r="UCS10" s="3447"/>
      <c r="UCT10" s="3447"/>
      <c r="UCU10" s="3447"/>
      <c r="UCV10" s="3447"/>
      <c r="UCW10" s="3447"/>
      <c r="UCX10" s="3447"/>
      <c r="UCY10" s="3447"/>
      <c r="UCZ10" s="3447"/>
      <c r="UDA10" s="3447"/>
      <c r="UDB10" s="3447"/>
      <c r="UDC10" s="3447"/>
      <c r="UDD10" s="3447"/>
      <c r="UDE10" s="3447"/>
      <c r="UDF10" s="3447"/>
      <c r="UDG10" s="3447"/>
      <c r="UDH10" s="3447"/>
      <c r="UDI10" s="3447"/>
      <c r="UDJ10" s="3447"/>
      <c r="UDK10" s="3447"/>
      <c r="UDL10" s="3447"/>
      <c r="UDM10" s="3447"/>
      <c r="UDN10" s="3447"/>
      <c r="UDO10" s="3447"/>
      <c r="UDP10" s="3447"/>
      <c r="UDQ10" s="3447"/>
      <c r="UDR10" s="3447"/>
      <c r="UDS10" s="3447"/>
      <c r="UDT10" s="3447"/>
      <c r="UDU10" s="3447"/>
      <c r="UDV10" s="3447"/>
      <c r="UDW10" s="3447"/>
      <c r="UDX10" s="3447"/>
      <c r="UDY10" s="3447"/>
      <c r="UDZ10" s="3447"/>
      <c r="UEA10" s="3447"/>
      <c r="UEB10" s="3447"/>
      <c r="UEC10" s="3447"/>
      <c r="UED10" s="3447"/>
      <c r="UEE10" s="3447"/>
      <c r="UEF10" s="3447"/>
      <c r="UEG10" s="3447"/>
      <c r="UEH10" s="3447"/>
      <c r="UEI10" s="3447"/>
      <c r="UEJ10" s="3447"/>
      <c r="UEK10" s="3447"/>
      <c r="UEL10" s="3447"/>
      <c r="UEM10" s="3447"/>
      <c r="UEN10" s="3447"/>
      <c r="UEO10" s="3447"/>
      <c r="UEP10" s="3447"/>
      <c r="UEQ10" s="3447"/>
      <c r="UER10" s="3447"/>
      <c r="UES10" s="3447"/>
      <c r="UET10" s="3447"/>
      <c r="UEU10" s="3447"/>
      <c r="UEV10" s="3447"/>
      <c r="UEW10" s="3447"/>
      <c r="UEX10" s="3447"/>
      <c r="UEY10" s="3447"/>
      <c r="UEZ10" s="3447"/>
      <c r="UFA10" s="3447"/>
      <c r="UFB10" s="3447"/>
      <c r="UFC10" s="3447"/>
      <c r="UFD10" s="3447"/>
      <c r="UFE10" s="3447"/>
      <c r="UFF10" s="3447"/>
      <c r="UFG10" s="3447"/>
      <c r="UFH10" s="3447"/>
      <c r="UFI10" s="3447"/>
      <c r="UFJ10" s="3447"/>
      <c r="UFK10" s="3447"/>
      <c r="UFL10" s="3447"/>
      <c r="UFM10" s="3447"/>
      <c r="UFN10" s="3447"/>
      <c r="UFO10" s="3447"/>
      <c r="UFP10" s="3447"/>
      <c r="UFQ10" s="3447"/>
      <c r="UFR10" s="3447"/>
      <c r="UFS10" s="3447"/>
      <c r="UFT10" s="3447"/>
      <c r="UFU10" s="3447"/>
      <c r="UFV10" s="3447"/>
      <c r="UFW10" s="3447"/>
      <c r="UFX10" s="3447"/>
      <c r="UFY10" s="3447"/>
      <c r="UFZ10" s="3447"/>
      <c r="UGA10" s="3447"/>
      <c r="UGB10" s="3447"/>
      <c r="UGC10" s="3447"/>
      <c r="UGD10" s="3447"/>
      <c r="UGE10" s="3447"/>
      <c r="UGF10" s="3447"/>
      <c r="UGG10" s="3447"/>
      <c r="UGH10" s="3447"/>
      <c r="UGI10" s="3447"/>
      <c r="UGJ10" s="3447"/>
      <c r="UGK10" s="3447"/>
      <c r="UGL10" s="3447"/>
      <c r="UGM10" s="3447"/>
      <c r="UGN10" s="3447"/>
      <c r="UGO10" s="3447"/>
      <c r="UGP10" s="3447"/>
      <c r="UGQ10" s="3447"/>
      <c r="UGR10" s="3447"/>
      <c r="UGS10" s="3447"/>
      <c r="UGT10" s="3447"/>
      <c r="UGU10" s="3447"/>
      <c r="UGV10" s="3447"/>
      <c r="UGW10" s="3447"/>
      <c r="UGX10" s="3447"/>
      <c r="UGY10" s="3447"/>
      <c r="UGZ10" s="3447"/>
      <c r="UHA10" s="3447"/>
      <c r="UHB10" s="3447"/>
      <c r="UHC10" s="3447"/>
      <c r="UHD10" s="3447"/>
      <c r="UHE10" s="3447"/>
      <c r="UHF10" s="3447"/>
      <c r="UHG10" s="3447"/>
      <c r="UHH10" s="3447"/>
      <c r="UHI10" s="3447"/>
      <c r="UHJ10" s="3447"/>
      <c r="UHK10" s="3447"/>
      <c r="UHL10" s="3447"/>
      <c r="UHM10" s="3447"/>
      <c r="UHN10" s="3447"/>
      <c r="UHO10" s="3447"/>
      <c r="UHP10" s="3447"/>
      <c r="UHQ10" s="3447"/>
      <c r="UHR10" s="3447"/>
      <c r="UHS10" s="3447"/>
      <c r="UHT10" s="3447"/>
      <c r="UHU10" s="3447"/>
      <c r="UHV10" s="3447"/>
      <c r="UHW10" s="3447"/>
      <c r="UHX10" s="3447"/>
      <c r="UHY10" s="3447"/>
      <c r="UHZ10" s="3447"/>
      <c r="UIA10" s="3447"/>
      <c r="UIB10" s="3447"/>
      <c r="UIC10" s="3447"/>
      <c r="UID10" s="3447"/>
      <c r="UIE10" s="3447"/>
      <c r="UIF10" s="3447"/>
      <c r="UIG10" s="3447"/>
      <c r="UIH10" s="3447"/>
      <c r="UII10" s="3447"/>
      <c r="UIJ10" s="3447"/>
      <c r="UIK10" s="3447"/>
      <c r="UIL10" s="3447"/>
      <c r="UIM10" s="3447"/>
      <c r="UIN10" s="3447"/>
      <c r="UIO10" s="3447"/>
      <c r="UIP10" s="3447"/>
      <c r="UIQ10" s="3447"/>
      <c r="UIR10" s="3447"/>
      <c r="UIS10" s="3447"/>
      <c r="UIT10" s="3447"/>
      <c r="UIU10" s="3447"/>
      <c r="UIV10" s="3447"/>
      <c r="UIW10" s="3447"/>
      <c r="UIX10" s="3447"/>
      <c r="UIY10" s="3447"/>
      <c r="UIZ10" s="3447"/>
      <c r="UJA10" s="3447"/>
      <c r="UJB10" s="3447"/>
      <c r="UJC10" s="3447"/>
      <c r="UJD10" s="3447"/>
      <c r="UJE10" s="3447"/>
      <c r="UJF10" s="3447"/>
      <c r="UJG10" s="3447"/>
      <c r="UJH10" s="3447"/>
      <c r="UJI10" s="3447"/>
      <c r="UJJ10" s="3447"/>
      <c r="UJK10" s="3447"/>
      <c r="UJL10" s="3447"/>
      <c r="UJM10" s="3447"/>
      <c r="UJN10" s="3447"/>
      <c r="UJO10" s="3447"/>
      <c r="UJP10" s="3447"/>
      <c r="UJQ10" s="3447"/>
      <c r="UJR10" s="3447"/>
      <c r="UJS10" s="3447"/>
      <c r="UJT10" s="3447"/>
      <c r="UJU10" s="3447"/>
      <c r="UJV10" s="3447"/>
      <c r="UJW10" s="3447"/>
      <c r="UJX10" s="3447"/>
      <c r="UJY10" s="3447"/>
      <c r="UJZ10" s="3447"/>
      <c r="UKA10" s="3447"/>
      <c r="UKB10" s="3447"/>
      <c r="UKC10" s="3447"/>
      <c r="UKD10" s="3447"/>
      <c r="UKE10" s="3447"/>
      <c r="UKF10" s="3447"/>
      <c r="UKG10" s="3447"/>
      <c r="UKH10" s="3447"/>
      <c r="UKI10" s="3447"/>
      <c r="UKJ10" s="3447"/>
      <c r="UKK10" s="3447"/>
      <c r="UKL10" s="3447"/>
      <c r="UKM10" s="3447"/>
      <c r="UKN10" s="3447"/>
      <c r="UKO10" s="3447"/>
      <c r="UKP10" s="3447"/>
      <c r="UKQ10" s="3447"/>
      <c r="UKR10" s="3447"/>
      <c r="UKS10" s="3447"/>
      <c r="UKT10" s="3447"/>
      <c r="UKU10" s="3447"/>
      <c r="UKV10" s="3447"/>
      <c r="UKW10" s="3447"/>
      <c r="UKX10" s="3447"/>
      <c r="UKY10" s="3447"/>
      <c r="UKZ10" s="3447"/>
      <c r="ULA10" s="3447"/>
      <c r="ULB10" s="3447"/>
      <c r="ULC10" s="3447"/>
      <c r="ULD10" s="3447"/>
      <c r="ULE10" s="3447"/>
      <c r="ULF10" s="3447"/>
      <c r="ULG10" s="3447"/>
      <c r="ULH10" s="3447"/>
      <c r="ULI10" s="3447"/>
      <c r="ULJ10" s="3447"/>
      <c r="ULK10" s="3447"/>
      <c r="ULL10" s="3447"/>
      <c r="ULM10" s="3447"/>
      <c r="ULN10" s="3447"/>
      <c r="ULO10" s="3447"/>
      <c r="ULP10" s="3447"/>
      <c r="ULQ10" s="3447"/>
      <c r="ULR10" s="3447"/>
      <c r="ULS10" s="3447"/>
      <c r="ULT10" s="3447"/>
      <c r="ULU10" s="3447"/>
      <c r="ULV10" s="3447"/>
      <c r="ULW10" s="3447"/>
      <c r="ULX10" s="3447"/>
      <c r="ULY10" s="3447"/>
      <c r="ULZ10" s="3447"/>
      <c r="UMA10" s="3447"/>
      <c r="UMB10" s="3447"/>
      <c r="UMC10" s="3447"/>
      <c r="UMD10" s="3447"/>
      <c r="UME10" s="3447"/>
      <c r="UMF10" s="3447"/>
      <c r="UMG10" s="3447"/>
      <c r="UMH10" s="3447"/>
      <c r="UMI10" s="3447"/>
      <c r="UMJ10" s="3447"/>
      <c r="UMK10" s="3447"/>
      <c r="UML10" s="3447"/>
      <c r="UMM10" s="3447"/>
      <c r="UMN10" s="3447"/>
      <c r="UMO10" s="3447"/>
      <c r="UMP10" s="3447"/>
      <c r="UMQ10" s="3447"/>
      <c r="UMR10" s="3447"/>
      <c r="UMS10" s="3447"/>
      <c r="UMT10" s="3447"/>
      <c r="UMU10" s="3447"/>
      <c r="UMV10" s="3447"/>
      <c r="UMW10" s="3447"/>
      <c r="UMX10" s="3447"/>
      <c r="UMY10" s="3447"/>
      <c r="UMZ10" s="3447"/>
      <c r="UNA10" s="3447"/>
      <c r="UNB10" s="3447"/>
      <c r="UNC10" s="3447"/>
      <c r="UND10" s="3447"/>
      <c r="UNE10" s="3447"/>
      <c r="UNF10" s="3447"/>
      <c r="UNG10" s="3447"/>
      <c r="UNH10" s="3447"/>
      <c r="UNI10" s="3447"/>
      <c r="UNJ10" s="3447"/>
      <c r="UNK10" s="3447"/>
      <c r="UNL10" s="3447"/>
      <c r="UNM10" s="3447"/>
      <c r="UNN10" s="3447"/>
      <c r="UNO10" s="3447"/>
      <c r="UNP10" s="3447"/>
      <c r="UNQ10" s="3447"/>
      <c r="UNR10" s="3447"/>
      <c r="UNS10" s="3447"/>
      <c r="UNT10" s="3447"/>
      <c r="UNU10" s="3447"/>
      <c r="UNV10" s="3447"/>
      <c r="UNW10" s="3447"/>
      <c r="UNX10" s="3447"/>
      <c r="UNY10" s="3447"/>
      <c r="UNZ10" s="3447"/>
      <c r="UOA10" s="3447"/>
      <c r="UOB10" s="3447"/>
      <c r="UOC10" s="3447"/>
      <c r="UOD10" s="3447"/>
      <c r="UOE10" s="3447"/>
      <c r="UOF10" s="3447"/>
      <c r="UOG10" s="3447"/>
      <c r="UOH10" s="3447"/>
      <c r="UOI10" s="3447"/>
      <c r="UOJ10" s="3447"/>
      <c r="UOK10" s="3447"/>
      <c r="UOL10" s="3447"/>
      <c r="UOM10" s="3447"/>
      <c r="UON10" s="3447"/>
      <c r="UOO10" s="3447"/>
      <c r="UOP10" s="3447"/>
      <c r="UOQ10" s="3447"/>
      <c r="UOR10" s="3447"/>
      <c r="UOS10" s="3447"/>
      <c r="UOT10" s="3447"/>
      <c r="UOU10" s="3447"/>
      <c r="UOV10" s="3447"/>
      <c r="UOW10" s="3447"/>
      <c r="UOX10" s="3447"/>
      <c r="UOY10" s="3447"/>
      <c r="UOZ10" s="3447"/>
      <c r="UPA10" s="3447"/>
      <c r="UPB10" s="3447"/>
      <c r="UPC10" s="3447"/>
      <c r="UPD10" s="3447"/>
      <c r="UPE10" s="3447"/>
      <c r="UPF10" s="3447"/>
      <c r="UPG10" s="3447"/>
      <c r="UPH10" s="3447"/>
      <c r="UPI10" s="3447"/>
      <c r="UPJ10" s="3447"/>
      <c r="UPK10" s="3447"/>
      <c r="UPL10" s="3447"/>
      <c r="UPM10" s="3447"/>
      <c r="UPN10" s="3447"/>
      <c r="UPO10" s="3447"/>
      <c r="UPP10" s="3447"/>
      <c r="UPQ10" s="3447"/>
      <c r="UPR10" s="3447"/>
      <c r="UPS10" s="3447"/>
      <c r="UPT10" s="3447"/>
      <c r="UPU10" s="3447"/>
      <c r="UPV10" s="3447"/>
      <c r="UPW10" s="3447"/>
      <c r="UPX10" s="3447"/>
      <c r="UPY10" s="3447"/>
      <c r="UPZ10" s="3447"/>
      <c r="UQA10" s="3447"/>
      <c r="UQB10" s="3447"/>
      <c r="UQC10" s="3447"/>
      <c r="UQD10" s="3447"/>
      <c r="UQE10" s="3447"/>
      <c r="UQF10" s="3447"/>
      <c r="UQG10" s="3447"/>
      <c r="UQH10" s="3447"/>
      <c r="UQI10" s="3447"/>
      <c r="UQJ10" s="3447"/>
      <c r="UQK10" s="3447"/>
      <c r="UQL10" s="3447"/>
      <c r="UQM10" s="3447"/>
      <c r="UQN10" s="3447"/>
      <c r="UQO10" s="3447"/>
      <c r="UQP10" s="3447"/>
      <c r="UQQ10" s="3447"/>
      <c r="UQR10" s="3447"/>
      <c r="UQS10" s="3447"/>
      <c r="UQT10" s="3447"/>
      <c r="UQU10" s="3447"/>
      <c r="UQV10" s="3447"/>
      <c r="UQW10" s="3447"/>
      <c r="UQX10" s="3447"/>
      <c r="UQY10" s="3447"/>
      <c r="UQZ10" s="3447"/>
      <c r="URA10" s="3447"/>
      <c r="URB10" s="3447"/>
      <c r="URC10" s="3447"/>
      <c r="URD10" s="3447"/>
      <c r="URE10" s="3447"/>
      <c r="URF10" s="3447"/>
      <c r="URG10" s="3447"/>
      <c r="URH10" s="3447"/>
      <c r="URI10" s="3447"/>
      <c r="URJ10" s="3447"/>
      <c r="URK10" s="3447"/>
      <c r="URL10" s="3447"/>
      <c r="URM10" s="3447"/>
      <c r="URN10" s="3447"/>
      <c r="URO10" s="3447"/>
      <c r="URP10" s="3447"/>
      <c r="URQ10" s="3447"/>
      <c r="URR10" s="3447"/>
      <c r="URS10" s="3447"/>
      <c r="URT10" s="3447"/>
      <c r="URU10" s="3447"/>
      <c r="URV10" s="3447"/>
      <c r="URW10" s="3447"/>
      <c r="URX10" s="3447"/>
      <c r="URY10" s="3447"/>
      <c r="URZ10" s="3447"/>
      <c r="USA10" s="3447"/>
      <c r="USB10" s="3447"/>
      <c r="USC10" s="3447"/>
      <c r="USD10" s="3447"/>
      <c r="USE10" s="3447"/>
      <c r="USF10" s="3447"/>
      <c r="USG10" s="3447"/>
      <c r="USH10" s="3447"/>
      <c r="USI10" s="3447"/>
      <c r="USJ10" s="3447"/>
      <c r="USK10" s="3447"/>
      <c r="USL10" s="3447"/>
      <c r="USM10" s="3447"/>
      <c r="USN10" s="3447"/>
      <c r="USO10" s="3447"/>
      <c r="USP10" s="3447"/>
      <c r="USQ10" s="3447"/>
      <c r="USR10" s="3447"/>
      <c r="USS10" s="3447"/>
      <c r="UST10" s="3447"/>
      <c r="USU10" s="3447"/>
      <c r="USV10" s="3447"/>
      <c r="USW10" s="3447"/>
      <c r="USX10" s="3447"/>
      <c r="USY10" s="3447"/>
      <c r="USZ10" s="3447"/>
      <c r="UTA10" s="3447"/>
      <c r="UTB10" s="3447"/>
      <c r="UTC10" s="3447"/>
      <c r="UTD10" s="3447"/>
      <c r="UTE10" s="3447"/>
      <c r="UTF10" s="3447"/>
      <c r="UTG10" s="3447"/>
      <c r="UTH10" s="3447"/>
      <c r="UTI10" s="3447"/>
      <c r="UTJ10" s="3447"/>
      <c r="UTK10" s="3447"/>
      <c r="UTL10" s="3447"/>
      <c r="UTM10" s="3447"/>
      <c r="UTN10" s="3447"/>
      <c r="UTO10" s="3447"/>
      <c r="UTP10" s="3447"/>
      <c r="UTQ10" s="3447"/>
      <c r="UTR10" s="3447"/>
      <c r="UTS10" s="3447"/>
      <c r="UTT10" s="3447"/>
      <c r="UTU10" s="3447"/>
      <c r="UTV10" s="3447"/>
      <c r="UTW10" s="3447"/>
      <c r="UTX10" s="3447"/>
      <c r="UTY10" s="3447"/>
      <c r="UTZ10" s="3447"/>
      <c r="UUA10" s="3447"/>
      <c r="UUB10" s="3447"/>
      <c r="UUC10" s="3447"/>
      <c r="UUD10" s="3447"/>
      <c r="UUE10" s="3447"/>
      <c r="UUF10" s="3447"/>
      <c r="UUG10" s="3447"/>
      <c r="UUH10" s="3447"/>
      <c r="UUI10" s="3447"/>
      <c r="UUJ10" s="3447"/>
      <c r="UUK10" s="3447"/>
      <c r="UUL10" s="3447"/>
      <c r="UUM10" s="3447"/>
      <c r="UUN10" s="3447"/>
      <c r="UUO10" s="3447"/>
      <c r="UUP10" s="3447"/>
      <c r="UUQ10" s="3447"/>
      <c r="UUR10" s="3447"/>
      <c r="UUS10" s="3447"/>
      <c r="UUT10" s="3447"/>
      <c r="UUU10" s="3447"/>
      <c r="UUV10" s="3447"/>
      <c r="UUW10" s="3447"/>
      <c r="UUX10" s="3447"/>
      <c r="UUY10" s="3447"/>
      <c r="UUZ10" s="3447"/>
      <c r="UVA10" s="3447"/>
      <c r="UVB10" s="3447"/>
      <c r="UVC10" s="3447"/>
      <c r="UVD10" s="3447"/>
      <c r="UVE10" s="3447"/>
      <c r="UVF10" s="3447"/>
      <c r="UVG10" s="3447"/>
      <c r="UVH10" s="3447"/>
      <c r="UVI10" s="3447"/>
      <c r="UVJ10" s="3447"/>
      <c r="UVK10" s="3447"/>
      <c r="UVL10" s="3447"/>
      <c r="UVM10" s="3447"/>
      <c r="UVN10" s="3447"/>
      <c r="UVO10" s="3447"/>
      <c r="UVP10" s="3447"/>
      <c r="UVQ10" s="3447"/>
      <c r="UVR10" s="3447"/>
      <c r="UVS10" s="3447"/>
      <c r="UVT10" s="3447"/>
      <c r="UVU10" s="3447"/>
      <c r="UVV10" s="3447"/>
      <c r="UVW10" s="3447"/>
      <c r="UVX10" s="3447"/>
      <c r="UVY10" s="3447"/>
      <c r="UVZ10" s="3447"/>
      <c r="UWA10" s="3447"/>
      <c r="UWB10" s="3447"/>
      <c r="UWC10" s="3447"/>
      <c r="UWD10" s="3447"/>
      <c r="UWE10" s="3447"/>
      <c r="UWF10" s="3447"/>
      <c r="UWG10" s="3447"/>
      <c r="UWH10" s="3447"/>
      <c r="UWI10" s="3447"/>
      <c r="UWJ10" s="3447"/>
      <c r="UWK10" s="3447"/>
      <c r="UWL10" s="3447"/>
      <c r="UWM10" s="3447"/>
      <c r="UWN10" s="3447"/>
      <c r="UWO10" s="3447"/>
      <c r="UWP10" s="3447"/>
      <c r="UWQ10" s="3447"/>
      <c r="UWR10" s="3447"/>
      <c r="UWS10" s="3447"/>
      <c r="UWT10" s="3447"/>
      <c r="UWU10" s="3447"/>
      <c r="UWV10" s="3447"/>
      <c r="UWW10" s="3447"/>
      <c r="UWX10" s="3447"/>
      <c r="UWY10" s="3447"/>
      <c r="UWZ10" s="3447"/>
      <c r="UXA10" s="3447"/>
      <c r="UXB10" s="3447"/>
      <c r="UXC10" s="3447"/>
      <c r="UXD10" s="3447"/>
      <c r="UXE10" s="3447"/>
      <c r="UXF10" s="3447"/>
      <c r="UXG10" s="3447"/>
      <c r="UXH10" s="3447"/>
      <c r="UXI10" s="3447"/>
      <c r="UXJ10" s="3447"/>
      <c r="UXK10" s="3447"/>
      <c r="UXL10" s="3447"/>
      <c r="UXM10" s="3447"/>
      <c r="UXN10" s="3447"/>
      <c r="UXO10" s="3447"/>
      <c r="UXP10" s="3447"/>
      <c r="UXQ10" s="3447"/>
      <c r="UXR10" s="3447"/>
      <c r="UXS10" s="3447"/>
      <c r="UXT10" s="3447"/>
      <c r="UXU10" s="3447"/>
      <c r="UXV10" s="3447"/>
      <c r="UXW10" s="3447"/>
      <c r="UXX10" s="3447"/>
      <c r="UXY10" s="3447"/>
      <c r="UXZ10" s="3447"/>
      <c r="UYA10" s="3447"/>
      <c r="UYB10" s="3447"/>
      <c r="UYC10" s="3447"/>
      <c r="UYD10" s="3447"/>
      <c r="UYE10" s="3447"/>
      <c r="UYF10" s="3447"/>
      <c r="UYG10" s="3447"/>
      <c r="UYH10" s="3447"/>
      <c r="UYI10" s="3447"/>
      <c r="UYJ10" s="3447"/>
      <c r="UYK10" s="3447"/>
      <c r="UYL10" s="3447"/>
      <c r="UYM10" s="3447"/>
      <c r="UYN10" s="3447"/>
      <c r="UYO10" s="3447"/>
      <c r="UYP10" s="3447"/>
      <c r="UYQ10" s="3447"/>
      <c r="UYR10" s="3447"/>
      <c r="UYS10" s="3447"/>
      <c r="UYT10" s="3447"/>
      <c r="UYU10" s="3447"/>
      <c r="UYV10" s="3447"/>
      <c r="UYW10" s="3447"/>
      <c r="UYX10" s="3447"/>
      <c r="UYY10" s="3447"/>
      <c r="UYZ10" s="3447"/>
      <c r="UZA10" s="3447"/>
      <c r="UZB10" s="3447"/>
      <c r="UZC10" s="3447"/>
      <c r="UZD10" s="3447"/>
      <c r="UZE10" s="3447"/>
      <c r="UZF10" s="3447"/>
      <c r="UZG10" s="3447"/>
      <c r="UZH10" s="3447"/>
      <c r="UZI10" s="3447"/>
      <c r="UZJ10" s="3447"/>
      <c r="UZK10" s="3447"/>
      <c r="UZL10" s="3447"/>
      <c r="UZM10" s="3447"/>
      <c r="UZN10" s="3447"/>
      <c r="UZO10" s="3447"/>
      <c r="UZP10" s="3447"/>
      <c r="UZQ10" s="3447"/>
      <c r="UZR10" s="3447"/>
      <c r="UZS10" s="3447"/>
      <c r="UZT10" s="3447"/>
      <c r="UZU10" s="3447"/>
      <c r="UZV10" s="3447"/>
      <c r="UZW10" s="3447"/>
      <c r="UZX10" s="3447"/>
      <c r="UZY10" s="3447"/>
      <c r="UZZ10" s="3447"/>
      <c r="VAA10" s="3447"/>
      <c r="VAB10" s="3447"/>
      <c r="VAC10" s="3447"/>
      <c r="VAD10" s="3447"/>
      <c r="VAE10" s="3447"/>
      <c r="VAF10" s="3447"/>
      <c r="VAG10" s="3447"/>
      <c r="VAH10" s="3447"/>
      <c r="VAI10" s="3447"/>
      <c r="VAJ10" s="3447"/>
      <c r="VAK10" s="3447"/>
      <c r="VAL10" s="3447"/>
      <c r="VAM10" s="3447"/>
      <c r="VAN10" s="3447"/>
      <c r="VAO10" s="3447"/>
      <c r="VAP10" s="3447"/>
      <c r="VAQ10" s="3447"/>
      <c r="VAR10" s="3447"/>
      <c r="VAS10" s="3447"/>
      <c r="VAT10" s="3447"/>
      <c r="VAU10" s="3447"/>
      <c r="VAV10" s="3447"/>
      <c r="VAW10" s="3447"/>
      <c r="VAX10" s="3447"/>
      <c r="VAY10" s="3447"/>
      <c r="VAZ10" s="3447"/>
      <c r="VBA10" s="3447"/>
      <c r="VBB10" s="3447"/>
      <c r="VBC10" s="3447"/>
      <c r="VBD10" s="3447"/>
      <c r="VBE10" s="3447"/>
      <c r="VBF10" s="3447"/>
      <c r="VBG10" s="3447"/>
      <c r="VBH10" s="3447"/>
      <c r="VBI10" s="3447"/>
      <c r="VBJ10" s="3447"/>
      <c r="VBK10" s="3447"/>
      <c r="VBL10" s="3447"/>
      <c r="VBM10" s="3447"/>
      <c r="VBN10" s="3447"/>
      <c r="VBO10" s="3447"/>
      <c r="VBP10" s="3447"/>
      <c r="VBQ10" s="3447"/>
      <c r="VBR10" s="3447"/>
      <c r="VBS10" s="3447"/>
      <c r="VBT10" s="3447"/>
      <c r="VBU10" s="3447"/>
      <c r="VBV10" s="3447"/>
      <c r="VBW10" s="3447"/>
      <c r="VBX10" s="3447"/>
      <c r="VBY10" s="3447"/>
      <c r="VBZ10" s="3447"/>
      <c r="VCA10" s="3447"/>
      <c r="VCB10" s="3447"/>
      <c r="VCC10" s="3447"/>
      <c r="VCD10" s="3447"/>
      <c r="VCE10" s="3447"/>
      <c r="VCF10" s="3447"/>
      <c r="VCG10" s="3447"/>
      <c r="VCH10" s="3447"/>
      <c r="VCI10" s="3447"/>
      <c r="VCJ10" s="3447"/>
      <c r="VCK10" s="3447"/>
      <c r="VCL10" s="3447"/>
      <c r="VCM10" s="3447"/>
      <c r="VCN10" s="3447"/>
      <c r="VCO10" s="3447"/>
      <c r="VCP10" s="3447"/>
      <c r="VCQ10" s="3447"/>
      <c r="VCR10" s="3447"/>
      <c r="VCS10" s="3447"/>
      <c r="VCT10" s="3447"/>
      <c r="VCU10" s="3447"/>
      <c r="VCV10" s="3447"/>
      <c r="VCW10" s="3447"/>
      <c r="VCX10" s="3447"/>
      <c r="VCY10" s="3447"/>
      <c r="VCZ10" s="3447"/>
      <c r="VDA10" s="3447"/>
      <c r="VDB10" s="3447"/>
      <c r="VDC10" s="3447"/>
      <c r="VDD10" s="3447"/>
      <c r="VDE10" s="3447"/>
      <c r="VDF10" s="3447"/>
      <c r="VDG10" s="3447"/>
      <c r="VDH10" s="3447"/>
      <c r="VDI10" s="3447"/>
      <c r="VDJ10" s="3447"/>
      <c r="VDK10" s="3447"/>
      <c r="VDL10" s="3447"/>
      <c r="VDM10" s="3447"/>
      <c r="VDN10" s="3447"/>
      <c r="VDO10" s="3447"/>
      <c r="VDP10" s="3447"/>
      <c r="VDQ10" s="3447"/>
      <c r="VDR10" s="3447"/>
      <c r="VDS10" s="3447"/>
      <c r="VDT10" s="3447"/>
      <c r="VDU10" s="3447"/>
      <c r="VDV10" s="3447"/>
      <c r="VDW10" s="3447"/>
      <c r="VDX10" s="3447"/>
      <c r="VDY10" s="3447"/>
      <c r="VDZ10" s="3447"/>
      <c r="VEA10" s="3447"/>
      <c r="VEB10" s="3447"/>
      <c r="VEC10" s="3447"/>
      <c r="VED10" s="3447"/>
      <c r="VEE10" s="3447"/>
      <c r="VEF10" s="3447"/>
      <c r="VEG10" s="3447"/>
      <c r="VEH10" s="3447"/>
      <c r="VEI10" s="3447"/>
      <c r="VEJ10" s="3447"/>
      <c r="VEK10" s="3447"/>
      <c r="VEL10" s="3447"/>
      <c r="VEM10" s="3447"/>
      <c r="VEN10" s="3447"/>
      <c r="VEO10" s="3447"/>
      <c r="VEP10" s="3447"/>
      <c r="VEQ10" s="3447"/>
      <c r="VER10" s="3447"/>
      <c r="VES10" s="3447"/>
      <c r="VET10" s="3447"/>
      <c r="VEU10" s="3447"/>
      <c r="VEV10" s="3447"/>
      <c r="VEW10" s="3447"/>
      <c r="VEX10" s="3447"/>
      <c r="VEY10" s="3447"/>
      <c r="VEZ10" s="3447"/>
      <c r="VFA10" s="3447"/>
      <c r="VFB10" s="3447"/>
      <c r="VFC10" s="3447"/>
      <c r="VFD10" s="3447"/>
      <c r="VFE10" s="3447"/>
      <c r="VFF10" s="3447"/>
      <c r="VFG10" s="3447"/>
      <c r="VFH10" s="3447"/>
      <c r="VFI10" s="3447"/>
      <c r="VFJ10" s="3447"/>
      <c r="VFK10" s="3447"/>
      <c r="VFL10" s="3447"/>
      <c r="VFM10" s="3447"/>
      <c r="VFN10" s="3447"/>
      <c r="VFO10" s="3447"/>
      <c r="VFP10" s="3447"/>
      <c r="VFQ10" s="3447"/>
      <c r="VFR10" s="3447"/>
      <c r="VFS10" s="3447"/>
      <c r="VFT10" s="3447"/>
      <c r="VFU10" s="3447"/>
      <c r="VFV10" s="3447"/>
      <c r="VFW10" s="3447"/>
      <c r="VFX10" s="3447"/>
      <c r="VFY10" s="3447"/>
      <c r="VFZ10" s="3447"/>
      <c r="VGA10" s="3447"/>
      <c r="VGB10" s="3447"/>
      <c r="VGC10" s="3447"/>
      <c r="VGD10" s="3447"/>
      <c r="VGE10" s="3447"/>
      <c r="VGF10" s="3447"/>
      <c r="VGG10" s="3447"/>
      <c r="VGH10" s="3447"/>
      <c r="VGI10" s="3447"/>
      <c r="VGJ10" s="3447"/>
      <c r="VGK10" s="3447"/>
      <c r="VGL10" s="3447"/>
      <c r="VGM10" s="3447"/>
      <c r="VGN10" s="3447"/>
      <c r="VGO10" s="3447"/>
      <c r="VGP10" s="3447"/>
      <c r="VGQ10" s="3447"/>
      <c r="VGR10" s="3447"/>
      <c r="VGS10" s="3447"/>
      <c r="VGT10" s="3447"/>
      <c r="VGU10" s="3447"/>
      <c r="VGV10" s="3447"/>
      <c r="VGW10" s="3447"/>
      <c r="VGX10" s="3447"/>
      <c r="VGY10" s="3447"/>
      <c r="VGZ10" s="3447"/>
      <c r="VHA10" s="3447"/>
      <c r="VHB10" s="3447"/>
      <c r="VHC10" s="3447"/>
      <c r="VHD10" s="3447"/>
      <c r="VHE10" s="3447"/>
      <c r="VHF10" s="3447"/>
      <c r="VHG10" s="3447"/>
      <c r="VHH10" s="3447"/>
      <c r="VHI10" s="3447"/>
      <c r="VHJ10" s="3447"/>
      <c r="VHK10" s="3447"/>
      <c r="VHL10" s="3447"/>
      <c r="VHM10" s="3447"/>
      <c r="VHN10" s="3447"/>
      <c r="VHO10" s="3447"/>
      <c r="VHP10" s="3447"/>
      <c r="VHQ10" s="3447"/>
      <c r="VHR10" s="3447"/>
      <c r="VHS10" s="3447"/>
      <c r="VHT10" s="3447"/>
      <c r="VHU10" s="3447"/>
      <c r="VHV10" s="3447"/>
      <c r="VHW10" s="3447"/>
      <c r="VHX10" s="3447"/>
      <c r="VHY10" s="3447"/>
      <c r="VHZ10" s="3447"/>
      <c r="VIA10" s="3447"/>
      <c r="VIB10" s="3447"/>
      <c r="VIC10" s="3447"/>
      <c r="VID10" s="3447"/>
      <c r="VIE10" s="3447"/>
      <c r="VIF10" s="3447"/>
      <c r="VIG10" s="3447"/>
      <c r="VIH10" s="3447"/>
      <c r="VII10" s="3447"/>
      <c r="VIJ10" s="3447"/>
      <c r="VIK10" s="3447"/>
      <c r="VIL10" s="3447"/>
      <c r="VIM10" s="3447"/>
      <c r="VIN10" s="3447"/>
      <c r="VIO10" s="3447"/>
      <c r="VIP10" s="3447"/>
      <c r="VIQ10" s="3447"/>
      <c r="VIR10" s="3447"/>
      <c r="VIS10" s="3447"/>
      <c r="VIT10" s="3447"/>
      <c r="VIU10" s="3447"/>
      <c r="VIV10" s="3447"/>
      <c r="VIW10" s="3447"/>
      <c r="VIX10" s="3447"/>
      <c r="VIY10" s="3447"/>
      <c r="VIZ10" s="3447"/>
      <c r="VJA10" s="3447"/>
      <c r="VJB10" s="3447"/>
      <c r="VJC10" s="3447"/>
      <c r="VJD10" s="3447"/>
      <c r="VJE10" s="3447"/>
      <c r="VJF10" s="3447"/>
      <c r="VJG10" s="3447"/>
      <c r="VJH10" s="3447"/>
      <c r="VJI10" s="3447"/>
      <c r="VJJ10" s="3447"/>
      <c r="VJK10" s="3447"/>
      <c r="VJL10" s="3447"/>
      <c r="VJM10" s="3447"/>
      <c r="VJN10" s="3447"/>
      <c r="VJO10" s="3447"/>
      <c r="VJP10" s="3447"/>
      <c r="VJQ10" s="3447"/>
      <c r="VJR10" s="3447"/>
      <c r="VJS10" s="3447"/>
      <c r="VJT10" s="3447"/>
      <c r="VJU10" s="3447"/>
      <c r="VJV10" s="3447"/>
      <c r="VJW10" s="3447"/>
      <c r="VJX10" s="3447"/>
      <c r="VJY10" s="3447"/>
      <c r="VJZ10" s="3447"/>
      <c r="VKA10" s="3447"/>
      <c r="VKB10" s="3447"/>
      <c r="VKC10" s="3447"/>
      <c r="VKD10" s="3447"/>
      <c r="VKE10" s="3447"/>
      <c r="VKF10" s="3447"/>
      <c r="VKG10" s="3447"/>
      <c r="VKH10" s="3447"/>
      <c r="VKI10" s="3447"/>
      <c r="VKJ10" s="3447"/>
      <c r="VKK10" s="3447"/>
      <c r="VKL10" s="3447"/>
      <c r="VKM10" s="3447"/>
      <c r="VKN10" s="3447"/>
      <c r="VKO10" s="3447"/>
      <c r="VKP10" s="3447"/>
      <c r="VKQ10" s="3447"/>
      <c r="VKR10" s="3447"/>
      <c r="VKS10" s="3447"/>
      <c r="VKT10" s="3447"/>
      <c r="VKU10" s="3447"/>
      <c r="VKV10" s="3447"/>
      <c r="VKW10" s="3447"/>
      <c r="VKX10" s="3447"/>
      <c r="VKY10" s="3447"/>
      <c r="VKZ10" s="3447"/>
      <c r="VLA10" s="3447"/>
      <c r="VLB10" s="3447"/>
      <c r="VLC10" s="3447"/>
      <c r="VLD10" s="3447"/>
      <c r="VLE10" s="3447"/>
      <c r="VLF10" s="3447"/>
      <c r="VLG10" s="3447"/>
      <c r="VLH10" s="3447"/>
      <c r="VLI10" s="3447"/>
      <c r="VLJ10" s="3447"/>
      <c r="VLK10" s="3447"/>
      <c r="VLL10" s="3447"/>
      <c r="VLM10" s="3447"/>
      <c r="VLN10" s="3447"/>
      <c r="VLO10" s="3447"/>
      <c r="VLP10" s="3447"/>
      <c r="VLQ10" s="3447"/>
      <c r="VLR10" s="3447"/>
      <c r="VLS10" s="3447"/>
      <c r="VLT10" s="3447"/>
      <c r="VLU10" s="3447"/>
      <c r="VLV10" s="3447"/>
      <c r="VLW10" s="3447"/>
      <c r="VLX10" s="3447"/>
      <c r="VLY10" s="3447"/>
      <c r="VLZ10" s="3447"/>
      <c r="VMA10" s="3447"/>
      <c r="VMB10" s="3447"/>
      <c r="VMC10" s="3447"/>
      <c r="VMD10" s="3447"/>
      <c r="VME10" s="3447"/>
      <c r="VMF10" s="3447"/>
      <c r="VMG10" s="3447"/>
      <c r="VMH10" s="3447"/>
      <c r="VMI10" s="3447"/>
      <c r="VMJ10" s="3447"/>
      <c r="VMK10" s="3447"/>
      <c r="VML10" s="3447"/>
      <c r="VMM10" s="3447"/>
      <c r="VMN10" s="3447"/>
      <c r="VMO10" s="3447"/>
      <c r="VMP10" s="3447"/>
      <c r="VMQ10" s="3447"/>
      <c r="VMR10" s="3447"/>
      <c r="VMS10" s="3447"/>
      <c r="VMT10" s="3447"/>
      <c r="VMU10" s="3447"/>
      <c r="VMV10" s="3447"/>
      <c r="VMW10" s="3447"/>
      <c r="VMX10" s="3447"/>
      <c r="VMY10" s="3447"/>
      <c r="VMZ10" s="3447"/>
      <c r="VNA10" s="3447"/>
      <c r="VNB10" s="3447"/>
      <c r="VNC10" s="3447"/>
      <c r="VND10" s="3447"/>
      <c r="VNE10" s="3447"/>
      <c r="VNF10" s="3447"/>
      <c r="VNG10" s="3447"/>
      <c r="VNH10" s="3447"/>
      <c r="VNI10" s="3447"/>
      <c r="VNJ10" s="3447"/>
      <c r="VNK10" s="3447"/>
      <c r="VNL10" s="3447"/>
      <c r="VNM10" s="3447"/>
      <c r="VNN10" s="3447"/>
      <c r="VNO10" s="3447"/>
      <c r="VNP10" s="3447"/>
      <c r="VNQ10" s="3447"/>
      <c r="VNR10" s="3447"/>
      <c r="VNS10" s="3447"/>
      <c r="VNT10" s="3447"/>
      <c r="VNU10" s="3447"/>
      <c r="VNV10" s="3447"/>
      <c r="VNW10" s="3447"/>
      <c r="VNX10" s="3447"/>
      <c r="VNY10" s="3447"/>
      <c r="VNZ10" s="3447"/>
      <c r="VOA10" s="3447"/>
      <c r="VOB10" s="3447"/>
      <c r="VOC10" s="3447"/>
      <c r="VOD10" s="3447"/>
      <c r="VOE10" s="3447"/>
      <c r="VOF10" s="3447"/>
      <c r="VOG10" s="3447"/>
      <c r="VOH10" s="3447"/>
      <c r="VOI10" s="3447"/>
      <c r="VOJ10" s="3447"/>
      <c r="VOK10" s="3447"/>
      <c r="VOL10" s="3447"/>
      <c r="VOM10" s="3447"/>
      <c r="VON10" s="3447"/>
      <c r="VOO10" s="3447"/>
      <c r="VOP10" s="3447"/>
      <c r="VOQ10" s="3447"/>
      <c r="VOR10" s="3447"/>
      <c r="VOS10" s="3447"/>
      <c r="VOT10" s="3447"/>
      <c r="VOU10" s="3447"/>
      <c r="VOV10" s="3447"/>
      <c r="VOW10" s="3447"/>
      <c r="VOX10" s="3447"/>
      <c r="VOY10" s="3447"/>
      <c r="VOZ10" s="3447"/>
      <c r="VPA10" s="3447"/>
      <c r="VPB10" s="3447"/>
      <c r="VPC10" s="3447"/>
      <c r="VPD10" s="3447"/>
      <c r="VPE10" s="3447"/>
      <c r="VPF10" s="3447"/>
      <c r="VPG10" s="3447"/>
      <c r="VPH10" s="3447"/>
      <c r="VPI10" s="3447"/>
      <c r="VPJ10" s="3447"/>
      <c r="VPK10" s="3447"/>
      <c r="VPL10" s="3447"/>
      <c r="VPM10" s="3447"/>
      <c r="VPN10" s="3447"/>
      <c r="VPO10" s="3447"/>
      <c r="VPP10" s="3447"/>
      <c r="VPQ10" s="3447"/>
      <c r="VPR10" s="3447"/>
      <c r="VPS10" s="3447"/>
      <c r="VPT10" s="3447"/>
      <c r="VPU10" s="3447"/>
      <c r="VPV10" s="3447"/>
      <c r="VPW10" s="3447"/>
      <c r="VPX10" s="3447"/>
      <c r="VPY10" s="3447"/>
      <c r="VPZ10" s="3447"/>
      <c r="VQA10" s="3447"/>
      <c r="VQB10" s="3447"/>
      <c r="VQC10" s="3447"/>
      <c r="VQD10" s="3447"/>
      <c r="VQE10" s="3447"/>
      <c r="VQF10" s="3447"/>
      <c r="VQG10" s="3447"/>
      <c r="VQH10" s="3447"/>
      <c r="VQI10" s="3447"/>
      <c r="VQJ10" s="3447"/>
      <c r="VQK10" s="3447"/>
      <c r="VQL10" s="3447"/>
      <c r="VQM10" s="3447"/>
      <c r="VQN10" s="3447"/>
      <c r="VQO10" s="3447"/>
      <c r="VQP10" s="3447"/>
      <c r="VQQ10" s="3447"/>
      <c r="VQR10" s="3447"/>
      <c r="VQS10" s="3447"/>
      <c r="VQT10" s="3447"/>
      <c r="VQU10" s="3447"/>
      <c r="VQV10" s="3447"/>
      <c r="VQW10" s="3447"/>
      <c r="VQX10" s="3447"/>
      <c r="VQY10" s="3447"/>
      <c r="VQZ10" s="3447"/>
      <c r="VRA10" s="3447"/>
      <c r="VRB10" s="3447"/>
      <c r="VRC10" s="3447"/>
      <c r="VRD10" s="3447"/>
      <c r="VRE10" s="3447"/>
      <c r="VRF10" s="3447"/>
      <c r="VRG10" s="3447"/>
      <c r="VRH10" s="3447"/>
      <c r="VRI10" s="3447"/>
      <c r="VRJ10" s="3447"/>
      <c r="VRK10" s="3447"/>
      <c r="VRL10" s="3447"/>
      <c r="VRM10" s="3447"/>
      <c r="VRN10" s="3447"/>
      <c r="VRO10" s="3447"/>
      <c r="VRP10" s="3447"/>
      <c r="VRQ10" s="3447"/>
      <c r="VRR10" s="3447"/>
      <c r="VRS10" s="3447"/>
      <c r="VRT10" s="3447"/>
      <c r="VRU10" s="3447"/>
      <c r="VRV10" s="3447"/>
      <c r="VRW10" s="3447"/>
      <c r="VRX10" s="3447"/>
      <c r="VRY10" s="3447"/>
      <c r="VRZ10" s="3447"/>
      <c r="VSA10" s="3447"/>
      <c r="VSB10" s="3447"/>
      <c r="VSC10" s="3447"/>
      <c r="VSD10" s="3447"/>
      <c r="VSE10" s="3447"/>
      <c r="VSF10" s="3447"/>
      <c r="VSG10" s="3447"/>
      <c r="VSH10" s="3447"/>
      <c r="VSI10" s="3447"/>
      <c r="VSJ10" s="3447"/>
      <c r="VSK10" s="3447"/>
      <c r="VSL10" s="3447"/>
      <c r="VSM10" s="3447"/>
      <c r="VSN10" s="3447"/>
      <c r="VSO10" s="3447"/>
      <c r="VSP10" s="3447"/>
      <c r="VSQ10" s="3447"/>
      <c r="VSR10" s="3447"/>
      <c r="VSS10" s="3447"/>
      <c r="VST10" s="3447"/>
      <c r="VSU10" s="3447"/>
      <c r="VSV10" s="3447"/>
      <c r="VSW10" s="3447"/>
      <c r="VSX10" s="3447"/>
      <c r="VSY10" s="3447"/>
      <c r="VSZ10" s="3447"/>
      <c r="VTA10" s="3447"/>
      <c r="VTB10" s="3447"/>
      <c r="VTC10" s="3447"/>
      <c r="VTD10" s="3447"/>
      <c r="VTE10" s="3447"/>
      <c r="VTF10" s="3447"/>
      <c r="VTG10" s="3447"/>
      <c r="VTH10" s="3447"/>
      <c r="VTI10" s="3447"/>
      <c r="VTJ10" s="3447"/>
      <c r="VTK10" s="3447"/>
      <c r="VTL10" s="3447"/>
      <c r="VTM10" s="3447"/>
      <c r="VTN10" s="3447"/>
      <c r="VTO10" s="3447"/>
      <c r="VTP10" s="3447"/>
      <c r="VTQ10" s="3447"/>
      <c r="VTR10" s="3447"/>
      <c r="VTS10" s="3447"/>
      <c r="VTT10" s="3447"/>
      <c r="VTU10" s="3447"/>
      <c r="VTV10" s="3447"/>
      <c r="VTW10" s="3447"/>
      <c r="VTX10" s="3447"/>
      <c r="VTY10" s="3447"/>
      <c r="VTZ10" s="3447"/>
      <c r="VUA10" s="3447"/>
      <c r="VUB10" s="3447"/>
      <c r="VUC10" s="3447"/>
      <c r="VUD10" s="3447"/>
      <c r="VUE10" s="3447"/>
      <c r="VUF10" s="3447"/>
      <c r="VUG10" s="3447"/>
      <c r="VUH10" s="3447"/>
      <c r="VUI10" s="3447"/>
      <c r="VUJ10" s="3447"/>
      <c r="VUK10" s="3447"/>
      <c r="VUL10" s="3447"/>
      <c r="VUM10" s="3447"/>
      <c r="VUN10" s="3447"/>
      <c r="VUO10" s="3447"/>
      <c r="VUP10" s="3447"/>
      <c r="VUQ10" s="3447"/>
      <c r="VUR10" s="3447"/>
      <c r="VUS10" s="3447"/>
      <c r="VUT10" s="3447"/>
      <c r="VUU10" s="3447"/>
      <c r="VUV10" s="3447"/>
      <c r="VUW10" s="3447"/>
      <c r="VUX10" s="3447"/>
      <c r="VUY10" s="3447"/>
      <c r="VUZ10" s="3447"/>
      <c r="VVA10" s="3447"/>
      <c r="VVB10" s="3447"/>
      <c r="VVC10" s="3447"/>
      <c r="VVD10" s="3447"/>
      <c r="VVE10" s="3447"/>
      <c r="VVF10" s="3447"/>
      <c r="VVG10" s="3447"/>
      <c r="VVH10" s="3447"/>
      <c r="VVI10" s="3447"/>
      <c r="VVJ10" s="3447"/>
      <c r="VVK10" s="3447"/>
      <c r="VVL10" s="3447"/>
      <c r="VVM10" s="3447"/>
      <c r="VVN10" s="3447"/>
      <c r="VVO10" s="3447"/>
      <c r="VVP10" s="3447"/>
      <c r="VVQ10" s="3447"/>
      <c r="VVR10" s="3447"/>
      <c r="VVS10" s="3447"/>
      <c r="VVT10" s="3447"/>
      <c r="VVU10" s="3447"/>
      <c r="VVV10" s="3447"/>
      <c r="VVW10" s="3447"/>
      <c r="VVX10" s="3447"/>
      <c r="VVY10" s="3447"/>
      <c r="VVZ10" s="3447"/>
      <c r="VWA10" s="3447"/>
      <c r="VWB10" s="3447"/>
      <c r="VWC10" s="3447"/>
      <c r="VWD10" s="3447"/>
      <c r="VWE10" s="3447"/>
      <c r="VWF10" s="3447"/>
      <c r="VWG10" s="3447"/>
      <c r="VWH10" s="3447"/>
      <c r="VWI10" s="3447"/>
      <c r="VWJ10" s="3447"/>
      <c r="VWK10" s="3447"/>
      <c r="VWL10" s="3447"/>
      <c r="VWM10" s="3447"/>
      <c r="VWN10" s="3447"/>
      <c r="VWO10" s="3447"/>
      <c r="VWP10" s="3447"/>
      <c r="VWQ10" s="3447"/>
      <c r="VWR10" s="3447"/>
      <c r="VWS10" s="3447"/>
      <c r="VWT10" s="3447"/>
      <c r="VWU10" s="3447"/>
      <c r="VWV10" s="3447"/>
      <c r="VWW10" s="3447"/>
      <c r="VWX10" s="3447"/>
      <c r="VWY10" s="3447"/>
      <c r="VWZ10" s="3447"/>
      <c r="VXA10" s="3447"/>
      <c r="VXB10" s="3447"/>
      <c r="VXC10" s="3447"/>
      <c r="VXD10" s="3447"/>
      <c r="VXE10" s="3447"/>
      <c r="VXF10" s="3447"/>
      <c r="VXG10" s="3447"/>
      <c r="VXH10" s="3447"/>
      <c r="VXI10" s="3447"/>
      <c r="VXJ10" s="3447"/>
      <c r="VXK10" s="3447"/>
      <c r="VXL10" s="3447"/>
      <c r="VXM10" s="3447"/>
      <c r="VXN10" s="3447"/>
      <c r="VXO10" s="3447"/>
      <c r="VXP10" s="3447"/>
      <c r="VXQ10" s="3447"/>
      <c r="VXR10" s="3447"/>
      <c r="VXS10" s="3447"/>
      <c r="VXT10" s="3447"/>
      <c r="VXU10" s="3447"/>
      <c r="VXV10" s="3447"/>
      <c r="VXW10" s="3447"/>
      <c r="VXX10" s="3447"/>
      <c r="VXY10" s="3447"/>
      <c r="VXZ10" s="3447"/>
      <c r="VYA10" s="3447"/>
      <c r="VYB10" s="3447"/>
      <c r="VYC10" s="3447"/>
      <c r="VYD10" s="3447"/>
      <c r="VYE10" s="3447"/>
      <c r="VYF10" s="3447"/>
      <c r="VYG10" s="3447"/>
      <c r="VYH10" s="3447"/>
      <c r="VYI10" s="3447"/>
      <c r="VYJ10" s="3447"/>
      <c r="VYK10" s="3447"/>
      <c r="VYL10" s="3447"/>
      <c r="VYM10" s="3447"/>
      <c r="VYN10" s="3447"/>
      <c r="VYO10" s="3447"/>
      <c r="VYP10" s="3447"/>
      <c r="VYQ10" s="3447"/>
      <c r="VYR10" s="3447"/>
      <c r="VYS10" s="3447"/>
      <c r="VYT10" s="3447"/>
      <c r="VYU10" s="3447"/>
      <c r="VYV10" s="3447"/>
      <c r="VYW10" s="3447"/>
      <c r="VYX10" s="3447"/>
      <c r="VYY10" s="3447"/>
      <c r="VYZ10" s="3447"/>
      <c r="VZA10" s="3447"/>
      <c r="VZB10" s="3447"/>
      <c r="VZC10" s="3447"/>
      <c r="VZD10" s="3447"/>
      <c r="VZE10" s="3447"/>
      <c r="VZF10" s="3447"/>
      <c r="VZG10" s="3447"/>
      <c r="VZH10" s="3447"/>
      <c r="VZI10" s="3447"/>
      <c r="VZJ10" s="3447"/>
      <c r="VZK10" s="3447"/>
      <c r="VZL10" s="3447"/>
      <c r="VZM10" s="3447"/>
      <c r="VZN10" s="3447"/>
      <c r="VZO10" s="3447"/>
      <c r="VZP10" s="3447"/>
      <c r="VZQ10" s="3447"/>
      <c r="VZR10" s="3447"/>
      <c r="VZS10" s="3447"/>
      <c r="VZT10" s="3447"/>
      <c r="VZU10" s="3447"/>
      <c r="VZV10" s="3447"/>
      <c r="VZW10" s="3447"/>
      <c r="VZX10" s="3447"/>
      <c r="VZY10" s="3447"/>
      <c r="VZZ10" s="3447"/>
      <c r="WAA10" s="3447"/>
      <c r="WAB10" s="3447"/>
      <c r="WAC10" s="3447"/>
      <c r="WAD10" s="3447"/>
      <c r="WAE10" s="3447"/>
      <c r="WAF10" s="3447"/>
      <c r="WAG10" s="3447"/>
      <c r="WAH10" s="3447"/>
      <c r="WAI10" s="3447"/>
      <c r="WAJ10" s="3447"/>
      <c r="WAK10" s="3447"/>
      <c r="WAL10" s="3447"/>
      <c r="WAM10" s="3447"/>
      <c r="WAN10" s="3447"/>
      <c r="WAO10" s="3447"/>
      <c r="WAP10" s="3447"/>
      <c r="WAQ10" s="3447"/>
      <c r="WAR10" s="3447"/>
      <c r="WAS10" s="3447"/>
      <c r="WAT10" s="3447"/>
      <c r="WAU10" s="3447"/>
      <c r="WAV10" s="3447"/>
      <c r="WAW10" s="3447"/>
      <c r="WAX10" s="3447"/>
      <c r="WAY10" s="3447"/>
      <c r="WAZ10" s="3447"/>
      <c r="WBA10" s="3447"/>
      <c r="WBB10" s="3447"/>
      <c r="WBC10" s="3447"/>
      <c r="WBD10" s="3447"/>
      <c r="WBE10" s="3447"/>
      <c r="WBF10" s="3447"/>
      <c r="WBG10" s="3447"/>
      <c r="WBH10" s="3447"/>
      <c r="WBI10" s="3447"/>
      <c r="WBJ10" s="3447"/>
      <c r="WBK10" s="3447"/>
      <c r="WBL10" s="3447"/>
      <c r="WBM10" s="3447"/>
      <c r="WBN10" s="3447"/>
      <c r="WBO10" s="3447"/>
      <c r="WBP10" s="3447"/>
      <c r="WBQ10" s="3447"/>
      <c r="WBR10" s="3447"/>
      <c r="WBS10" s="3447"/>
      <c r="WBT10" s="3447"/>
      <c r="WBU10" s="3447"/>
      <c r="WBV10" s="3447"/>
      <c r="WBW10" s="3447"/>
      <c r="WBX10" s="3447"/>
      <c r="WBY10" s="3447"/>
      <c r="WBZ10" s="3447"/>
      <c r="WCA10" s="3447"/>
      <c r="WCB10" s="3447"/>
      <c r="WCC10" s="3447"/>
      <c r="WCD10" s="3447"/>
      <c r="WCE10" s="3447"/>
      <c r="WCF10" s="3447"/>
      <c r="WCG10" s="3447"/>
      <c r="WCH10" s="3447"/>
      <c r="WCI10" s="3447"/>
      <c r="WCJ10" s="3447"/>
      <c r="WCK10" s="3447"/>
      <c r="WCL10" s="3447"/>
      <c r="WCM10" s="3447"/>
      <c r="WCN10" s="3447"/>
      <c r="WCO10" s="3447"/>
      <c r="WCP10" s="3447"/>
      <c r="WCQ10" s="3447"/>
      <c r="WCR10" s="3447"/>
      <c r="WCS10" s="3447"/>
      <c r="WCT10" s="3447"/>
      <c r="WCU10" s="3447"/>
      <c r="WCV10" s="3447"/>
      <c r="WCW10" s="3447"/>
      <c r="WCX10" s="3447"/>
      <c r="WCY10" s="3447"/>
      <c r="WCZ10" s="3447"/>
      <c r="WDA10" s="3447"/>
      <c r="WDB10" s="3447"/>
      <c r="WDC10" s="3447"/>
      <c r="WDD10" s="3447"/>
      <c r="WDE10" s="3447"/>
      <c r="WDF10" s="3447"/>
      <c r="WDG10" s="3447"/>
      <c r="WDH10" s="3447"/>
      <c r="WDI10" s="3447"/>
      <c r="WDJ10" s="3447"/>
      <c r="WDK10" s="3447"/>
      <c r="WDL10" s="3447"/>
      <c r="WDM10" s="3447"/>
      <c r="WDN10" s="3447"/>
      <c r="WDO10" s="3447"/>
      <c r="WDP10" s="3447"/>
      <c r="WDQ10" s="3447"/>
      <c r="WDR10" s="3447"/>
      <c r="WDS10" s="3447"/>
      <c r="WDT10" s="3447"/>
      <c r="WDU10" s="3447"/>
      <c r="WDV10" s="3447"/>
      <c r="WDW10" s="3447"/>
      <c r="WDX10" s="3447"/>
      <c r="WDY10" s="3447"/>
      <c r="WDZ10" s="3447"/>
      <c r="WEA10" s="3447"/>
      <c r="WEB10" s="3447"/>
      <c r="WEC10" s="3447"/>
      <c r="WED10" s="3447"/>
      <c r="WEE10" s="3447"/>
      <c r="WEF10" s="3447"/>
      <c r="WEG10" s="3447"/>
      <c r="WEH10" s="3447"/>
      <c r="WEI10" s="3447"/>
      <c r="WEJ10" s="3447"/>
      <c r="WEK10" s="3447"/>
      <c r="WEL10" s="3447"/>
      <c r="WEM10" s="3447"/>
      <c r="WEN10" s="3447"/>
      <c r="WEO10" s="3447"/>
      <c r="WEP10" s="3447"/>
      <c r="WEQ10" s="3447"/>
      <c r="WER10" s="3447"/>
      <c r="WES10" s="3447"/>
      <c r="WET10" s="3447"/>
      <c r="WEU10" s="3447"/>
      <c r="WEV10" s="3447"/>
      <c r="WEW10" s="3447"/>
      <c r="WEX10" s="3447"/>
      <c r="WEY10" s="3447"/>
      <c r="WEZ10" s="3447"/>
      <c r="WFA10" s="3447"/>
      <c r="WFB10" s="3447"/>
      <c r="WFC10" s="3447"/>
      <c r="WFD10" s="3447"/>
      <c r="WFE10" s="3447"/>
      <c r="WFF10" s="3447"/>
      <c r="WFG10" s="3447"/>
      <c r="WFH10" s="3447"/>
      <c r="WFI10" s="3447"/>
      <c r="WFJ10" s="3447"/>
      <c r="WFK10" s="3447"/>
      <c r="WFL10" s="3447"/>
      <c r="WFM10" s="3447"/>
      <c r="WFN10" s="3447"/>
      <c r="WFO10" s="3447"/>
      <c r="WFP10" s="3447"/>
      <c r="WFQ10" s="3447"/>
      <c r="WFR10" s="3447"/>
      <c r="WFS10" s="3447"/>
      <c r="WFT10" s="3447"/>
      <c r="WFU10" s="3447"/>
      <c r="WFV10" s="3447"/>
      <c r="WFW10" s="3447"/>
      <c r="WFX10" s="3447"/>
      <c r="WFY10" s="3447"/>
      <c r="WFZ10" s="3447"/>
      <c r="WGA10" s="3447"/>
      <c r="WGB10" s="3447"/>
      <c r="WGC10" s="3447"/>
      <c r="WGD10" s="3447"/>
      <c r="WGE10" s="3447"/>
      <c r="WGF10" s="3447"/>
      <c r="WGG10" s="3447"/>
      <c r="WGH10" s="3447"/>
      <c r="WGI10" s="3447"/>
      <c r="WGJ10" s="3447"/>
      <c r="WGK10" s="3447"/>
      <c r="WGL10" s="3447"/>
      <c r="WGM10" s="3447"/>
      <c r="WGN10" s="3447"/>
      <c r="WGO10" s="3447"/>
      <c r="WGP10" s="3447"/>
      <c r="WGQ10" s="3447"/>
      <c r="WGR10" s="3447"/>
      <c r="WGS10" s="3447"/>
      <c r="WGT10" s="3447"/>
      <c r="WGU10" s="3447"/>
      <c r="WGV10" s="3447"/>
      <c r="WGW10" s="3447"/>
      <c r="WGX10" s="3447"/>
      <c r="WGY10" s="3447"/>
      <c r="WGZ10" s="3447"/>
      <c r="WHA10" s="3447"/>
      <c r="WHB10" s="3447"/>
      <c r="WHC10" s="3447"/>
      <c r="WHD10" s="3447"/>
      <c r="WHE10" s="3447"/>
      <c r="WHF10" s="3447"/>
      <c r="WHG10" s="3447"/>
      <c r="WHH10" s="3447"/>
      <c r="WHI10" s="3447"/>
      <c r="WHJ10" s="3447"/>
      <c r="WHK10" s="3447"/>
      <c r="WHL10" s="3447"/>
      <c r="WHM10" s="3447"/>
      <c r="WHN10" s="3447"/>
      <c r="WHO10" s="3447"/>
      <c r="WHP10" s="3447"/>
      <c r="WHQ10" s="3447"/>
      <c r="WHR10" s="3447"/>
      <c r="WHS10" s="3447"/>
      <c r="WHT10" s="3447"/>
      <c r="WHU10" s="3447"/>
      <c r="WHV10" s="3447"/>
      <c r="WHW10" s="3447"/>
      <c r="WHX10" s="3447"/>
      <c r="WHY10" s="3447"/>
      <c r="WHZ10" s="3447"/>
      <c r="WIA10" s="3447"/>
      <c r="WIB10" s="3447"/>
      <c r="WIC10" s="3447"/>
      <c r="WID10" s="3447"/>
      <c r="WIE10" s="3447"/>
      <c r="WIF10" s="3447"/>
      <c r="WIG10" s="3447"/>
      <c r="WIH10" s="3447"/>
      <c r="WII10" s="3447"/>
      <c r="WIJ10" s="3447"/>
      <c r="WIK10" s="3447"/>
      <c r="WIL10" s="3447"/>
      <c r="WIM10" s="3447"/>
      <c r="WIN10" s="3447"/>
      <c r="WIO10" s="3447"/>
      <c r="WIP10" s="3447"/>
      <c r="WIQ10" s="3447"/>
      <c r="WIR10" s="3447"/>
      <c r="WIS10" s="3447"/>
      <c r="WIT10" s="3447"/>
      <c r="WIU10" s="3447"/>
      <c r="WIV10" s="3447"/>
      <c r="WIW10" s="3447"/>
      <c r="WIX10" s="3447"/>
      <c r="WIY10" s="3447"/>
      <c r="WIZ10" s="3447"/>
      <c r="WJA10" s="3447"/>
      <c r="WJB10" s="3447"/>
      <c r="WJC10" s="3447"/>
      <c r="WJD10" s="3447"/>
      <c r="WJE10" s="3447"/>
      <c r="WJF10" s="3447"/>
      <c r="WJG10" s="3447"/>
      <c r="WJH10" s="3447"/>
      <c r="WJI10" s="3447"/>
      <c r="WJJ10" s="3447"/>
      <c r="WJK10" s="3447"/>
      <c r="WJL10" s="3447"/>
      <c r="WJM10" s="3447"/>
      <c r="WJN10" s="3447"/>
      <c r="WJO10" s="3447"/>
      <c r="WJP10" s="3447"/>
      <c r="WJQ10" s="3447"/>
      <c r="WJR10" s="3447"/>
      <c r="WJS10" s="3447"/>
      <c r="WJT10" s="3447"/>
      <c r="WJU10" s="3447"/>
      <c r="WJV10" s="3447"/>
      <c r="WJW10" s="3447"/>
      <c r="WJX10" s="3447"/>
      <c r="WJY10" s="3447"/>
      <c r="WJZ10" s="3447"/>
      <c r="WKA10" s="3447"/>
      <c r="WKB10" s="3447"/>
      <c r="WKC10" s="3447"/>
      <c r="WKD10" s="3447"/>
      <c r="WKE10" s="3447"/>
      <c r="WKF10" s="3447"/>
      <c r="WKG10" s="3447"/>
      <c r="WKH10" s="3447"/>
      <c r="WKI10" s="3447"/>
      <c r="WKJ10" s="3447"/>
      <c r="WKK10" s="3447"/>
      <c r="WKL10" s="3447"/>
      <c r="WKM10" s="3447"/>
      <c r="WKN10" s="3447"/>
      <c r="WKO10" s="3447"/>
      <c r="WKP10" s="3447"/>
      <c r="WKQ10" s="3447"/>
      <c r="WKR10" s="3447"/>
      <c r="WKS10" s="3447"/>
      <c r="WKT10" s="3447"/>
      <c r="WKU10" s="3447"/>
      <c r="WKV10" s="3447"/>
      <c r="WKW10" s="3447"/>
      <c r="WKX10" s="3447"/>
      <c r="WKY10" s="3447"/>
      <c r="WKZ10" s="3447"/>
      <c r="WLA10" s="3447"/>
      <c r="WLB10" s="3447"/>
      <c r="WLC10" s="3447"/>
      <c r="WLD10" s="3447"/>
      <c r="WLE10" s="3447"/>
      <c r="WLF10" s="3447"/>
      <c r="WLG10" s="3447"/>
      <c r="WLH10" s="3447"/>
      <c r="WLI10" s="3447"/>
      <c r="WLJ10" s="3447"/>
      <c r="WLK10" s="3447"/>
      <c r="WLL10" s="3447"/>
      <c r="WLM10" s="3447"/>
      <c r="WLN10" s="3447"/>
      <c r="WLO10" s="3447"/>
      <c r="WLP10" s="3447"/>
      <c r="WLQ10" s="3447"/>
      <c r="WLR10" s="3447"/>
      <c r="WLS10" s="3447"/>
      <c r="WLT10" s="3447"/>
      <c r="WLU10" s="3447"/>
      <c r="WLV10" s="3447"/>
      <c r="WLW10" s="3447"/>
      <c r="WLX10" s="3447"/>
      <c r="WLY10" s="3447"/>
      <c r="WLZ10" s="3447"/>
      <c r="WMA10" s="3447"/>
      <c r="WMB10" s="3447"/>
      <c r="WMC10" s="3447"/>
      <c r="WMD10" s="3447"/>
      <c r="WME10" s="3447"/>
      <c r="WMF10" s="3447"/>
      <c r="WMG10" s="3447"/>
      <c r="WMH10" s="3447"/>
      <c r="WMI10" s="3447"/>
      <c r="WMJ10" s="3447"/>
      <c r="WMK10" s="3447"/>
      <c r="WML10" s="3447"/>
      <c r="WMM10" s="3447"/>
      <c r="WMN10" s="3447"/>
      <c r="WMO10" s="3447"/>
      <c r="WMP10" s="3447"/>
      <c r="WMQ10" s="3447"/>
      <c r="WMR10" s="3447"/>
      <c r="WMS10" s="3447"/>
      <c r="WMT10" s="3447"/>
      <c r="WMU10" s="3447"/>
      <c r="WMV10" s="3447"/>
      <c r="WMW10" s="3447"/>
      <c r="WMX10" s="3447"/>
      <c r="WMY10" s="3447"/>
      <c r="WMZ10" s="3447"/>
      <c r="WNA10" s="3447"/>
      <c r="WNB10" s="3447"/>
      <c r="WNC10" s="3447"/>
      <c r="WND10" s="3447"/>
      <c r="WNE10" s="3447"/>
      <c r="WNF10" s="3447"/>
      <c r="WNG10" s="3447"/>
      <c r="WNH10" s="3447"/>
      <c r="WNI10" s="3447"/>
      <c r="WNJ10" s="3447"/>
      <c r="WNK10" s="3447"/>
      <c r="WNL10" s="3447"/>
      <c r="WNM10" s="3447"/>
      <c r="WNN10" s="3447"/>
      <c r="WNO10" s="3447"/>
      <c r="WNP10" s="3447"/>
      <c r="WNQ10" s="3447"/>
      <c r="WNR10" s="3447"/>
      <c r="WNS10" s="3447"/>
      <c r="WNT10" s="3447"/>
      <c r="WNU10" s="3447"/>
      <c r="WNV10" s="3447"/>
      <c r="WNW10" s="3447"/>
      <c r="WNX10" s="3447"/>
      <c r="WNY10" s="3447"/>
      <c r="WNZ10" s="3447"/>
      <c r="WOA10" s="3447"/>
      <c r="WOB10" s="3447"/>
      <c r="WOC10" s="3447"/>
      <c r="WOD10" s="3447"/>
      <c r="WOE10" s="3447"/>
      <c r="WOF10" s="3447"/>
      <c r="WOG10" s="3447"/>
      <c r="WOH10" s="3447"/>
      <c r="WOI10" s="3447"/>
      <c r="WOJ10" s="3447"/>
      <c r="WOK10" s="3447"/>
      <c r="WOL10" s="3447"/>
      <c r="WOM10" s="3447"/>
      <c r="WON10" s="3447"/>
      <c r="WOO10" s="3447"/>
      <c r="WOP10" s="3447"/>
      <c r="WOQ10" s="3447"/>
      <c r="WOR10" s="3447"/>
      <c r="WOS10" s="3447"/>
      <c r="WOT10" s="3447"/>
      <c r="WOU10" s="3447"/>
      <c r="WOV10" s="3447"/>
      <c r="WOW10" s="3447"/>
      <c r="WOX10" s="3447"/>
      <c r="WOY10" s="3447"/>
      <c r="WOZ10" s="3447"/>
      <c r="WPA10" s="3447"/>
      <c r="WPB10" s="3447"/>
      <c r="WPC10" s="3447"/>
      <c r="WPD10" s="3447"/>
      <c r="WPE10" s="3447"/>
      <c r="WPF10" s="3447"/>
      <c r="WPG10" s="3447"/>
      <c r="WPH10" s="3447"/>
      <c r="WPI10" s="3447"/>
      <c r="WPJ10" s="3447"/>
      <c r="WPK10" s="3447"/>
      <c r="WPL10" s="3447"/>
      <c r="WPM10" s="3447"/>
      <c r="WPN10" s="3447"/>
      <c r="WPO10" s="3447"/>
      <c r="WPP10" s="3447"/>
      <c r="WPQ10" s="3447"/>
      <c r="WPR10" s="3447"/>
      <c r="WPS10" s="3447"/>
      <c r="WPT10" s="3447"/>
      <c r="WPU10" s="3447"/>
      <c r="WPV10" s="3447"/>
      <c r="WPW10" s="3447"/>
      <c r="WPX10" s="3447"/>
      <c r="WPY10" s="3447"/>
      <c r="WPZ10" s="3447"/>
      <c r="WQA10" s="3447"/>
      <c r="WQB10" s="3447"/>
      <c r="WQC10" s="3447"/>
      <c r="WQD10" s="3447"/>
      <c r="WQE10" s="3447"/>
      <c r="WQF10" s="3447"/>
      <c r="WQG10" s="3447"/>
      <c r="WQH10" s="3447"/>
      <c r="WQI10" s="3447"/>
      <c r="WQJ10" s="3447"/>
      <c r="WQK10" s="3447"/>
      <c r="WQL10" s="3447"/>
      <c r="WQM10" s="3447"/>
      <c r="WQN10" s="3447"/>
      <c r="WQO10" s="3447"/>
      <c r="WQP10" s="3447"/>
      <c r="WQQ10" s="3447"/>
      <c r="WQR10" s="3447"/>
      <c r="WQS10" s="3447"/>
      <c r="WQT10" s="3447"/>
      <c r="WQU10" s="3447"/>
      <c r="WQV10" s="3447"/>
      <c r="WQW10" s="3447"/>
      <c r="WQX10" s="3447"/>
      <c r="WQY10" s="3447"/>
      <c r="WQZ10" s="3447"/>
      <c r="WRA10" s="3447"/>
      <c r="WRB10" s="3447"/>
      <c r="WRC10" s="3447"/>
      <c r="WRD10" s="3447"/>
      <c r="WRE10" s="3447"/>
      <c r="WRF10" s="3447"/>
      <c r="WRG10" s="3447"/>
      <c r="WRH10" s="3447"/>
      <c r="WRI10" s="3447"/>
      <c r="WRJ10" s="3447"/>
      <c r="WRK10" s="3447"/>
      <c r="WRL10" s="3447"/>
      <c r="WRM10" s="3447"/>
      <c r="WRN10" s="3447"/>
      <c r="WRO10" s="3447"/>
      <c r="WRP10" s="3447"/>
      <c r="WRQ10" s="3447"/>
      <c r="WRR10" s="3447"/>
      <c r="WRS10" s="3447"/>
      <c r="WRT10" s="3447"/>
      <c r="WRU10" s="3447"/>
      <c r="WRV10" s="3447"/>
      <c r="WRW10" s="3447"/>
      <c r="WRX10" s="3447"/>
      <c r="WRY10" s="3447"/>
      <c r="WRZ10" s="3447"/>
      <c r="WSA10" s="3447"/>
      <c r="WSB10" s="3447"/>
      <c r="WSC10" s="3447"/>
      <c r="WSD10" s="3447"/>
      <c r="WSE10" s="3447"/>
      <c r="WSF10" s="3447"/>
      <c r="WSG10" s="3447"/>
      <c r="WSH10" s="3447"/>
      <c r="WSI10" s="3447"/>
      <c r="WSJ10" s="3447"/>
      <c r="WSK10" s="3447"/>
      <c r="WSL10" s="3447"/>
      <c r="WSM10" s="3447"/>
      <c r="WSN10" s="3447"/>
      <c r="WSO10" s="3447"/>
      <c r="WSP10" s="3447"/>
      <c r="WSQ10" s="3447"/>
      <c r="WSR10" s="3447"/>
      <c r="WSS10" s="3447"/>
      <c r="WST10" s="3447"/>
      <c r="WSU10" s="3447"/>
      <c r="WSV10" s="3447"/>
      <c r="WSW10" s="3447"/>
      <c r="WSX10" s="3447"/>
      <c r="WSY10" s="3447"/>
      <c r="WSZ10" s="3447"/>
      <c r="WTA10" s="3447"/>
      <c r="WTB10" s="3447"/>
      <c r="WTC10" s="3447"/>
      <c r="WTD10" s="3447"/>
      <c r="WTE10" s="3447"/>
      <c r="WTF10" s="3447"/>
      <c r="WTG10" s="3447"/>
      <c r="WTH10" s="3447"/>
      <c r="WTI10" s="3447"/>
      <c r="WTJ10" s="3447"/>
      <c r="WTK10" s="3447"/>
      <c r="WTL10" s="3447"/>
      <c r="WTM10" s="3447"/>
      <c r="WTN10" s="3447"/>
      <c r="WTO10" s="3447"/>
      <c r="WTP10" s="3447"/>
      <c r="WTQ10" s="3447"/>
      <c r="WTR10" s="3447"/>
      <c r="WTS10" s="3447"/>
      <c r="WTT10" s="3447"/>
      <c r="WTU10" s="3447"/>
      <c r="WTV10" s="3447"/>
      <c r="WTW10" s="3447"/>
      <c r="WTX10" s="3447"/>
      <c r="WTY10" s="3447"/>
      <c r="WTZ10" s="3447"/>
      <c r="WUA10" s="3447"/>
      <c r="WUB10" s="3447"/>
      <c r="WUC10" s="3447"/>
      <c r="WUD10" s="3447"/>
      <c r="WUE10" s="3447"/>
      <c r="WUF10" s="3447"/>
      <c r="WUG10" s="3447"/>
      <c r="WUH10" s="3447"/>
      <c r="WUI10" s="3447"/>
      <c r="WUJ10" s="3447"/>
      <c r="WUK10" s="3447"/>
      <c r="WUL10" s="3447"/>
      <c r="WUM10" s="3447"/>
      <c r="WUN10" s="3447"/>
      <c r="WUO10" s="3447"/>
      <c r="WUP10" s="3447"/>
      <c r="WUQ10" s="3447"/>
      <c r="WUR10" s="3447"/>
      <c r="WUS10" s="3447"/>
      <c r="WUT10" s="3447"/>
      <c r="WUU10" s="3447"/>
      <c r="WUV10" s="3447"/>
      <c r="WUW10" s="3447"/>
      <c r="WUX10" s="3447"/>
      <c r="WUY10" s="3447"/>
      <c r="WUZ10" s="3447"/>
      <c r="WVA10" s="3447"/>
      <c r="WVB10" s="3447"/>
      <c r="WVC10" s="3447"/>
      <c r="WVD10" s="3447"/>
      <c r="WVE10" s="3447"/>
      <c r="WVF10" s="3447"/>
      <c r="WVG10" s="3447"/>
      <c r="WVH10" s="3447"/>
      <c r="WVI10" s="3447"/>
      <c r="WVJ10" s="3447"/>
      <c r="WVK10" s="3447"/>
      <c r="WVL10" s="3447"/>
      <c r="WVM10" s="3447"/>
      <c r="WVN10" s="3447"/>
      <c r="WVO10" s="3447"/>
      <c r="WVP10" s="3447"/>
      <c r="WVQ10" s="3447"/>
      <c r="WVR10" s="3447"/>
      <c r="WVS10" s="3447"/>
      <c r="WVT10" s="3447"/>
      <c r="WVU10" s="3447"/>
      <c r="WVV10" s="3447"/>
      <c r="WVW10" s="3447"/>
      <c r="WVX10" s="3447"/>
      <c r="WVY10" s="3447"/>
      <c r="WVZ10" s="3447"/>
      <c r="WWA10" s="3447"/>
      <c r="WWB10" s="3447"/>
      <c r="WWC10" s="3447"/>
      <c r="WWD10" s="3447"/>
      <c r="WWE10" s="3447"/>
      <c r="WWF10" s="3447"/>
      <c r="WWG10" s="3447"/>
      <c r="WWH10" s="3447"/>
      <c r="WWI10" s="3447"/>
      <c r="WWJ10" s="3447"/>
      <c r="WWK10" s="3447"/>
      <c r="WWL10" s="3447"/>
      <c r="WWM10" s="3447"/>
      <c r="WWN10" s="3447"/>
      <c r="WWO10" s="3447"/>
      <c r="WWP10" s="3447"/>
      <c r="WWQ10" s="3447"/>
      <c r="WWR10" s="3447"/>
      <c r="WWS10" s="3447"/>
      <c r="WWT10" s="3447"/>
      <c r="WWU10" s="3447"/>
      <c r="WWV10" s="3447"/>
      <c r="WWW10" s="3447"/>
      <c r="WWX10" s="3447"/>
      <c r="WWY10" s="3447"/>
      <c r="WWZ10" s="3447"/>
      <c r="WXA10" s="3447"/>
      <c r="WXB10" s="3447"/>
      <c r="WXC10" s="3447"/>
      <c r="WXD10" s="3447"/>
      <c r="WXE10" s="3447"/>
      <c r="WXF10" s="3447"/>
      <c r="WXG10" s="3447"/>
      <c r="WXH10" s="3447"/>
      <c r="WXI10" s="3447"/>
      <c r="WXJ10" s="3447"/>
      <c r="WXK10" s="3447"/>
      <c r="WXL10" s="3447"/>
      <c r="WXM10" s="3447"/>
      <c r="WXN10" s="3447"/>
      <c r="WXO10" s="3447"/>
      <c r="WXP10" s="3447"/>
      <c r="WXQ10" s="3447"/>
      <c r="WXR10" s="3447"/>
      <c r="WXS10" s="3447"/>
      <c r="WXT10" s="3447"/>
      <c r="WXU10" s="3447"/>
      <c r="WXV10" s="3447"/>
      <c r="WXW10" s="3447"/>
      <c r="WXX10" s="3447"/>
      <c r="WXY10" s="3447"/>
      <c r="WXZ10" s="3447"/>
      <c r="WYA10" s="3447"/>
      <c r="WYB10" s="3447"/>
      <c r="WYC10" s="3447"/>
      <c r="WYD10" s="3447"/>
      <c r="WYE10" s="3447"/>
      <c r="WYF10" s="3447"/>
      <c r="WYG10" s="3447"/>
      <c r="WYH10" s="3447"/>
      <c r="WYI10" s="3447"/>
      <c r="WYJ10" s="3447"/>
      <c r="WYK10" s="3447"/>
      <c r="WYL10" s="3447"/>
      <c r="WYM10" s="3447"/>
      <c r="WYN10" s="3447"/>
      <c r="WYO10" s="3447"/>
      <c r="WYP10" s="3447"/>
      <c r="WYQ10" s="3447"/>
      <c r="WYR10" s="3447"/>
      <c r="WYS10" s="3447"/>
      <c r="WYT10" s="3447"/>
      <c r="WYU10" s="3447"/>
      <c r="WYV10" s="3447"/>
      <c r="WYW10" s="3447"/>
      <c r="WYX10" s="3447"/>
      <c r="WYY10" s="3447"/>
      <c r="WYZ10" s="3447"/>
      <c r="WZA10" s="3447"/>
      <c r="WZB10" s="3447"/>
      <c r="WZC10" s="3447"/>
      <c r="WZD10" s="3447"/>
      <c r="WZE10" s="3447"/>
      <c r="WZF10" s="3447"/>
      <c r="WZG10" s="3447"/>
      <c r="WZH10" s="3447"/>
      <c r="WZI10" s="3447"/>
      <c r="WZJ10" s="3447"/>
      <c r="WZK10" s="3447"/>
      <c r="WZL10" s="3447"/>
      <c r="WZM10" s="3447"/>
      <c r="WZN10" s="3447"/>
      <c r="WZO10" s="3447"/>
      <c r="WZP10" s="3447"/>
      <c r="WZQ10" s="3447"/>
      <c r="WZR10" s="3447"/>
      <c r="WZS10" s="3447"/>
      <c r="WZT10" s="3447"/>
      <c r="WZU10" s="3447"/>
      <c r="WZV10" s="3447"/>
      <c r="WZW10" s="3447"/>
      <c r="WZX10" s="3447"/>
      <c r="WZY10" s="3447"/>
      <c r="WZZ10" s="3447"/>
      <c r="XAA10" s="3447"/>
      <c r="XAB10" s="3447"/>
      <c r="XAC10" s="3447"/>
      <c r="XAD10" s="3447"/>
      <c r="XAE10" s="3447"/>
      <c r="XAF10" s="3447"/>
      <c r="XAG10" s="3447"/>
      <c r="XAH10" s="3447"/>
      <c r="XAI10" s="3447"/>
      <c r="XAJ10" s="3447"/>
      <c r="XAK10" s="3447"/>
      <c r="XAL10" s="3447"/>
      <c r="XAM10" s="3447"/>
      <c r="XAN10" s="3447"/>
      <c r="XAO10" s="3447"/>
      <c r="XAP10" s="3447"/>
      <c r="XAQ10" s="3447"/>
      <c r="XAR10" s="3447"/>
      <c r="XAS10" s="3447"/>
      <c r="XAT10" s="3447"/>
      <c r="XAU10" s="3447"/>
      <c r="XAV10" s="3447"/>
      <c r="XAW10" s="3447"/>
      <c r="XAX10" s="3447"/>
      <c r="XAY10" s="3447"/>
      <c r="XAZ10" s="3447"/>
      <c r="XBA10" s="3447"/>
      <c r="XBB10" s="3447"/>
      <c r="XBC10" s="3447"/>
      <c r="XBD10" s="3447"/>
      <c r="XBE10" s="3447"/>
      <c r="XBF10" s="3447"/>
      <c r="XBG10" s="3447"/>
      <c r="XBH10" s="3447"/>
      <c r="XBI10" s="3447"/>
      <c r="XBJ10" s="3447"/>
      <c r="XBK10" s="3447"/>
      <c r="XBL10" s="3447"/>
      <c r="XBM10" s="3447"/>
      <c r="XBN10" s="3447"/>
      <c r="XBO10" s="3447"/>
      <c r="XBP10" s="3447"/>
      <c r="XBQ10" s="3447"/>
      <c r="XBR10" s="3447"/>
      <c r="XBS10" s="3447"/>
      <c r="XBT10" s="3447"/>
      <c r="XBU10" s="3447"/>
      <c r="XBV10" s="3447"/>
      <c r="XBW10" s="3447"/>
      <c r="XBX10" s="3447"/>
      <c r="XBY10" s="3447"/>
      <c r="XBZ10" s="3447"/>
      <c r="XCA10" s="3447"/>
      <c r="XCB10" s="3447"/>
      <c r="XCC10" s="3447"/>
      <c r="XCD10" s="3447"/>
      <c r="XCE10" s="3447"/>
      <c r="XCF10" s="3447"/>
      <c r="XCG10" s="3447"/>
      <c r="XCH10" s="3447"/>
      <c r="XCI10" s="3447"/>
      <c r="XCJ10" s="3447"/>
      <c r="XCK10" s="3447"/>
      <c r="XCL10" s="3447"/>
      <c r="XCM10" s="3447"/>
      <c r="XCN10" s="3447"/>
      <c r="XCO10" s="3447"/>
      <c r="XCP10" s="3447"/>
      <c r="XCQ10" s="3447"/>
      <c r="XCR10" s="3447"/>
      <c r="XCS10" s="3447"/>
      <c r="XCT10" s="3447"/>
      <c r="XCU10" s="3447"/>
      <c r="XCV10" s="3447"/>
      <c r="XCW10" s="3447"/>
      <c r="XCX10" s="3447"/>
      <c r="XCY10" s="3447"/>
      <c r="XCZ10" s="3447"/>
      <c r="XDA10" s="3447"/>
      <c r="XDB10" s="3447"/>
      <c r="XDC10" s="3447"/>
      <c r="XDD10" s="3447"/>
      <c r="XDE10" s="3447"/>
      <c r="XDF10" s="3447"/>
      <c r="XDG10" s="3447"/>
      <c r="XDH10" s="3447"/>
      <c r="XDI10" s="3447"/>
      <c r="XDJ10" s="3447"/>
      <c r="XDK10" s="3447"/>
      <c r="XDL10" s="3447"/>
      <c r="XDM10" s="3447"/>
      <c r="XDN10" s="3447"/>
      <c r="XDO10" s="3447"/>
      <c r="XDP10" s="3447"/>
      <c r="XDQ10" s="3447"/>
      <c r="XDR10" s="3447"/>
      <c r="XDS10" s="3447"/>
      <c r="XDT10" s="3447"/>
      <c r="XDU10" s="3447"/>
      <c r="XDV10" s="3447"/>
      <c r="XDW10" s="3447"/>
      <c r="XDX10" s="3447"/>
      <c r="XDY10" s="3447"/>
      <c r="XDZ10" s="3447"/>
      <c r="XEA10" s="3447"/>
      <c r="XEB10" s="3447"/>
      <c r="XEC10" s="3447"/>
      <c r="XED10" s="3447"/>
      <c r="XEE10" s="3447"/>
      <c r="XEF10" s="3447"/>
      <c r="XEG10" s="3447"/>
      <c r="XEH10" s="3447"/>
      <c r="XEI10" s="3447"/>
      <c r="XEJ10" s="3447"/>
      <c r="XEK10" s="3447"/>
      <c r="XEL10" s="3447"/>
      <c r="XEM10" s="3447"/>
      <c r="XEN10" s="3447"/>
      <c r="XEO10" s="3447"/>
      <c r="XEP10" s="3447"/>
      <c r="XEQ10" s="3447"/>
      <c r="XER10" s="3447"/>
      <c r="XES10" s="3447"/>
      <c r="XET10" s="3447"/>
      <c r="XEU10" s="3447"/>
      <c r="XEV10" s="3447"/>
      <c r="XEW10" s="3447"/>
      <c r="XEX10" s="3447"/>
      <c r="XEY10" s="3447"/>
      <c r="XEZ10" s="3447"/>
      <c r="XFA10" s="3447"/>
      <c r="XFB10" s="3447"/>
    </row>
    <row r="11" spans="1:16382" s="3462" customFormat="1" ht="15" customHeight="1">
      <c r="A11" s="3434"/>
      <c r="B11" s="3435"/>
      <c r="C11" s="3449" t="s">
        <v>4502</v>
      </c>
      <c r="D11" s="3450"/>
      <c r="E11" s="3451"/>
      <c r="F11" s="3452"/>
      <c r="G11" s="3453"/>
      <c r="H11" s="3454" t="s">
        <v>4503</v>
      </c>
      <c r="I11" s="3455">
        <f ca="1">SUM(P11:BA11)</f>
        <v>41757.852008995716</v>
      </c>
      <c r="J11" s="3456">
        <f t="shared" ref="J11:BA11" si="4">J12*J7</f>
        <v>0</v>
      </c>
      <c r="K11" s="3456">
        <f t="shared" si="4"/>
        <v>0</v>
      </c>
      <c r="L11" s="3456">
        <f t="shared" si="4"/>
        <v>0</v>
      </c>
      <c r="M11" s="3456">
        <f t="shared" si="4"/>
        <v>0</v>
      </c>
      <c r="N11" s="3457">
        <f t="shared" si="4"/>
        <v>0</v>
      </c>
      <c r="O11" s="3458">
        <f>O12*O7</f>
        <v>0</v>
      </c>
      <c r="P11" s="3458">
        <f t="shared" ca="1" si="4"/>
        <v>1412.99</v>
      </c>
      <c r="Q11" s="3458">
        <f t="shared" ca="1" si="4"/>
        <v>0</v>
      </c>
      <c r="R11" s="3458">
        <f t="shared" ca="1" si="4"/>
        <v>0</v>
      </c>
      <c r="S11" s="3458">
        <f t="shared" ca="1" si="4"/>
        <v>312.18120299999998</v>
      </c>
      <c r="T11" s="3458">
        <f t="shared" ca="1" si="4"/>
        <v>0</v>
      </c>
      <c r="U11" s="3458">
        <f t="shared" ca="1" si="4"/>
        <v>668.75769487862999</v>
      </c>
      <c r="V11" s="3458">
        <f t="shared" ca="1" si="4"/>
        <v>42.885414084280391</v>
      </c>
      <c r="W11" s="3458">
        <f t="shared" ca="1" si="4"/>
        <v>0</v>
      </c>
      <c r="X11" s="3459">
        <f t="shared" ca="1" si="4"/>
        <v>0</v>
      </c>
      <c r="Y11" s="3458">
        <f t="shared" ca="1" si="4"/>
        <v>2496.4460034293224</v>
      </c>
      <c r="Z11" s="3458">
        <f t="shared" ca="1" si="4"/>
        <v>167.35025199979748</v>
      </c>
      <c r="AA11" s="3458">
        <f t="shared" ca="1" si="4"/>
        <v>0</v>
      </c>
      <c r="AB11" s="3458">
        <f t="shared" ca="1" si="4"/>
        <v>0</v>
      </c>
      <c r="AC11" s="3458">
        <f t="shared" ca="1" si="4"/>
        <v>0</v>
      </c>
      <c r="AD11" s="3458">
        <f t="shared" ca="1" si="4"/>
        <v>92.877516429599893</v>
      </c>
      <c r="AE11" s="3458">
        <f t="shared" ca="1" si="4"/>
        <v>175.88679673855478</v>
      </c>
      <c r="AF11" s="3458">
        <f t="shared" ca="1" si="4"/>
        <v>5968.8943341195954</v>
      </c>
      <c r="AG11" s="3458">
        <f t="shared" ca="1" si="4"/>
        <v>10358.637139446519</v>
      </c>
      <c r="AH11" s="3459">
        <f t="shared" ca="1" si="4"/>
        <v>3865.9486414193011</v>
      </c>
      <c r="AI11" s="3458">
        <f t="shared" ca="1" si="4"/>
        <v>0</v>
      </c>
      <c r="AJ11" s="3458">
        <f t="shared" ca="1" si="4"/>
        <v>1170.7723433300744</v>
      </c>
      <c r="AK11" s="3458">
        <f t="shared" ca="1" si="4"/>
        <v>970.87837060571871</v>
      </c>
      <c r="AL11" s="3458">
        <f t="shared" ca="1" si="4"/>
        <v>0</v>
      </c>
      <c r="AM11" s="3458">
        <f t="shared" ca="1" si="4"/>
        <v>0</v>
      </c>
      <c r="AN11" s="3458">
        <f t="shared" ca="1" si="4"/>
        <v>769.4591970103404</v>
      </c>
      <c r="AO11" s="3458">
        <f t="shared" ca="1" si="4"/>
        <v>841.91660472881415</v>
      </c>
      <c r="AP11" s="3458">
        <f t="shared" ca="1" si="4"/>
        <v>1585.5491602779014</v>
      </c>
      <c r="AQ11" s="3458">
        <f t="shared" ca="1" si="4"/>
        <v>0</v>
      </c>
      <c r="AR11" s="3459">
        <f t="shared" ca="1" si="4"/>
        <v>0</v>
      </c>
      <c r="AS11" s="3458">
        <f t="shared" ca="1" si="4"/>
        <v>754.79539258642751</v>
      </c>
      <c r="AT11" s="3458">
        <f t="shared" ca="1" si="4"/>
        <v>204.19911067293529</v>
      </c>
      <c r="AU11" s="3458">
        <f t="shared" ca="1" si="4"/>
        <v>0</v>
      </c>
      <c r="AV11" s="3458">
        <f t="shared" ca="1" si="4"/>
        <v>2166.3565330935976</v>
      </c>
      <c r="AW11" s="3458">
        <f t="shared" ca="1" si="4"/>
        <v>0</v>
      </c>
      <c r="AX11" s="3458">
        <f t="shared" ca="1" si="4"/>
        <v>113.32822048250149</v>
      </c>
      <c r="AY11" s="3458">
        <f t="shared" ca="1" si="4"/>
        <v>214.61531753873717</v>
      </c>
      <c r="AZ11" s="3458">
        <f t="shared" ca="1" si="4"/>
        <v>1127.1596477134476</v>
      </c>
      <c r="BA11" s="3460">
        <f t="shared" ca="1" si="4"/>
        <v>6275.9671154096204</v>
      </c>
      <c r="BB11" s="3461"/>
      <c r="BC11" s="3461"/>
      <c r="BD11" s="3461"/>
      <c r="BE11" s="3461"/>
      <c r="BF11" s="3461"/>
      <c r="BG11" s="3461"/>
      <c r="BH11" s="3461"/>
      <c r="BI11" s="3461"/>
      <c r="BJ11" s="3461"/>
      <c r="BK11" s="3461"/>
      <c r="BL11" s="3461"/>
      <c r="BM11" s="3461"/>
      <c r="BN11" s="3461"/>
      <c r="BO11" s="3461"/>
      <c r="BP11" s="3461"/>
      <c r="BQ11" s="3461"/>
      <c r="BR11" s="3461"/>
      <c r="BS11" s="3461"/>
      <c r="BT11" s="3461"/>
      <c r="BU11" s="3461"/>
      <c r="BV11" s="3461"/>
      <c r="BW11" s="3461"/>
      <c r="BX11" s="3461"/>
      <c r="BY11" s="3461"/>
      <c r="BZ11" s="3461"/>
      <c r="CA11" s="3461"/>
      <c r="CB11" s="3461"/>
      <c r="CC11" s="3461"/>
      <c r="CD11" s="3461"/>
      <c r="CE11" s="3461"/>
      <c r="CF11" s="3461"/>
      <c r="CG11" s="3461"/>
      <c r="CH11" s="3461"/>
      <c r="CI11" s="3461"/>
      <c r="CJ11" s="3461"/>
      <c r="CK11" s="3461"/>
      <c r="CL11" s="3461"/>
      <c r="CM11" s="3461"/>
      <c r="CN11" s="3461"/>
      <c r="CO11" s="3461"/>
      <c r="CP11" s="3461"/>
      <c r="CQ11" s="3461"/>
      <c r="CR11" s="3461"/>
      <c r="CS11" s="3461"/>
      <c r="CT11" s="3461"/>
      <c r="CU11" s="3461"/>
      <c r="CV11" s="3461"/>
      <c r="CW11" s="3461"/>
      <c r="CX11" s="3461"/>
      <c r="CY11" s="3461"/>
      <c r="CZ11" s="3461"/>
      <c r="DA11" s="3461"/>
      <c r="DB11" s="3461"/>
      <c r="DC11" s="3461"/>
      <c r="DD11" s="3461"/>
      <c r="DE11" s="3461"/>
      <c r="DF11" s="3461"/>
      <c r="DG11" s="3461"/>
      <c r="DH11" s="3461"/>
      <c r="DI11" s="3461"/>
      <c r="DJ11" s="3461"/>
      <c r="DK11" s="3461"/>
      <c r="DL11" s="3461"/>
      <c r="DM11" s="3461"/>
      <c r="DN11" s="3461"/>
      <c r="DO11" s="3461"/>
      <c r="DP11" s="3461"/>
      <c r="DQ11" s="3461"/>
      <c r="DR11" s="3461"/>
      <c r="DS11" s="3461"/>
      <c r="DT11" s="3461"/>
      <c r="DU11" s="3461"/>
      <c r="DV11" s="3461"/>
      <c r="DW11" s="3461"/>
      <c r="DX11" s="3461"/>
      <c r="DY11" s="3461"/>
      <c r="DZ11" s="3461"/>
      <c r="EA11" s="3461"/>
      <c r="EB11" s="3461"/>
      <c r="EC11" s="3461"/>
      <c r="ED11" s="3461"/>
      <c r="EE11" s="3461"/>
      <c r="EF11" s="3461"/>
      <c r="EG11" s="3461"/>
      <c r="EH11" s="3461"/>
      <c r="EI11" s="3461"/>
      <c r="EJ11" s="3461"/>
      <c r="EK11" s="3461"/>
      <c r="EL11" s="3461"/>
      <c r="EM11" s="3461"/>
      <c r="EN11" s="3461"/>
      <c r="EO11" s="3461"/>
      <c r="EP11" s="3461"/>
      <c r="EQ11" s="3461"/>
      <c r="ER11" s="3461"/>
      <c r="ES11" s="3461"/>
      <c r="ET11" s="3461"/>
      <c r="EU11" s="3461"/>
      <c r="EV11" s="3461"/>
      <c r="EW11" s="3461"/>
      <c r="EX11" s="3461"/>
      <c r="EY11" s="3461"/>
      <c r="EZ11" s="3461"/>
      <c r="FA11" s="3461"/>
      <c r="FB11" s="3461"/>
      <c r="FC11" s="3461"/>
      <c r="FD11" s="3461"/>
      <c r="FE11" s="3461"/>
      <c r="FF11" s="3461"/>
      <c r="FG11" s="3461"/>
      <c r="FH11" s="3461"/>
      <c r="FI11" s="3461"/>
      <c r="FJ11" s="3461"/>
      <c r="FK11" s="3461"/>
      <c r="FL11" s="3461"/>
      <c r="FM11" s="3461"/>
      <c r="FN11" s="3461"/>
      <c r="FO11" s="3461"/>
      <c r="FP11" s="3461"/>
      <c r="FQ11" s="3461"/>
      <c r="FR11" s="3461"/>
      <c r="FS11" s="3461"/>
      <c r="FT11" s="3461"/>
      <c r="FU11" s="3461"/>
      <c r="FV11" s="3461"/>
      <c r="FW11" s="3461"/>
      <c r="FX11" s="3461"/>
      <c r="FY11" s="3461"/>
      <c r="FZ11" s="3461"/>
      <c r="GA11" s="3461"/>
      <c r="GB11" s="3461"/>
      <c r="GC11" s="3461"/>
      <c r="GD11" s="3461"/>
      <c r="GE11" s="3461"/>
      <c r="GF11" s="3461"/>
      <c r="GG11" s="3461"/>
      <c r="GH11" s="3461"/>
      <c r="GI11" s="3461"/>
      <c r="GJ11" s="3461"/>
      <c r="GK11" s="3461"/>
      <c r="GL11" s="3461"/>
      <c r="GM11" s="3461"/>
      <c r="GN11" s="3461"/>
      <c r="GO11" s="3461"/>
      <c r="GP11" s="3461"/>
      <c r="GQ11" s="3461"/>
      <c r="GR11" s="3461"/>
      <c r="GS11" s="3461"/>
      <c r="GT11" s="3461"/>
      <c r="GU11" s="3461"/>
      <c r="GV11" s="3461"/>
      <c r="GW11" s="3461"/>
      <c r="GX11" s="3461"/>
      <c r="GY11" s="3461"/>
      <c r="GZ11" s="3461"/>
      <c r="HA11" s="3461"/>
      <c r="HB11" s="3461"/>
      <c r="HC11" s="3461"/>
      <c r="HD11" s="3461"/>
      <c r="HE11" s="3461"/>
      <c r="HF11" s="3461"/>
      <c r="HG11" s="3461"/>
      <c r="HH11" s="3461"/>
      <c r="HI11" s="3461"/>
      <c r="HJ11" s="3461"/>
      <c r="HK11" s="3461"/>
      <c r="HL11" s="3461"/>
      <c r="HM11" s="3461"/>
      <c r="HN11" s="3461"/>
      <c r="HO11" s="3461"/>
      <c r="HP11" s="3461"/>
      <c r="HQ11" s="3461"/>
      <c r="HR11" s="3461"/>
      <c r="HS11" s="3461"/>
      <c r="HT11" s="3461"/>
      <c r="HU11" s="3461"/>
      <c r="HV11" s="3461"/>
      <c r="HW11" s="3461"/>
      <c r="HX11" s="3461"/>
      <c r="HY11" s="3461"/>
      <c r="HZ11" s="3461"/>
      <c r="IA11" s="3461"/>
      <c r="IB11" s="3461"/>
      <c r="IC11" s="3461"/>
      <c r="ID11" s="3461"/>
      <c r="IE11" s="3461"/>
      <c r="IF11" s="3461"/>
      <c r="IG11" s="3461"/>
      <c r="IH11" s="3461"/>
      <c r="II11" s="3461"/>
      <c r="IJ11" s="3461"/>
      <c r="IK11" s="3461"/>
      <c r="IL11" s="3461"/>
      <c r="IM11" s="3461"/>
      <c r="IN11" s="3461"/>
      <c r="IO11" s="3461"/>
      <c r="IP11" s="3461"/>
      <c r="IQ11" s="3461"/>
      <c r="IR11" s="3461"/>
      <c r="IS11" s="3461"/>
      <c r="IT11" s="3461"/>
      <c r="IU11" s="3461"/>
      <c r="IV11" s="3461"/>
      <c r="IW11" s="3461"/>
      <c r="IX11" s="3461"/>
      <c r="IY11" s="3461"/>
      <c r="IZ11" s="3461"/>
      <c r="JA11" s="3461"/>
      <c r="JB11" s="3461"/>
      <c r="JC11" s="3461"/>
      <c r="JD11" s="3461"/>
      <c r="JE11" s="3461"/>
      <c r="JF11" s="3461"/>
      <c r="JG11" s="3461"/>
      <c r="JH11" s="3461"/>
      <c r="JI11" s="3461"/>
      <c r="JJ11" s="3461"/>
      <c r="JK11" s="3461"/>
      <c r="JL11" s="3461"/>
      <c r="JM11" s="3461"/>
      <c r="JN11" s="3461"/>
      <c r="JO11" s="3461"/>
      <c r="JP11" s="3461"/>
      <c r="JQ11" s="3461"/>
      <c r="JR11" s="3461"/>
      <c r="JS11" s="3461"/>
      <c r="JT11" s="3461"/>
      <c r="JU11" s="3461"/>
      <c r="JV11" s="3461"/>
      <c r="JW11" s="3461"/>
      <c r="JX11" s="3461"/>
      <c r="JY11" s="3461"/>
      <c r="JZ11" s="3461"/>
      <c r="KA11" s="3461"/>
      <c r="KB11" s="3461"/>
      <c r="KC11" s="3461"/>
      <c r="KD11" s="3461"/>
      <c r="KE11" s="3461"/>
      <c r="KF11" s="3461"/>
      <c r="KG11" s="3461"/>
      <c r="KH11" s="3461"/>
      <c r="KI11" s="3461"/>
      <c r="KJ11" s="3461"/>
      <c r="KK11" s="3461"/>
      <c r="KL11" s="3461"/>
      <c r="KM11" s="3461"/>
      <c r="KN11" s="3461"/>
      <c r="KO11" s="3461"/>
      <c r="KP11" s="3461"/>
      <c r="KQ11" s="3461"/>
      <c r="KR11" s="3461"/>
      <c r="KS11" s="3461"/>
      <c r="KT11" s="3461"/>
      <c r="KU11" s="3461"/>
      <c r="KV11" s="3461"/>
      <c r="KW11" s="3461"/>
      <c r="KX11" s="3461"/>
      <c r="KY11" s="3461"/>
      <c r="KZ11" s="3461"/>
      <c r="LA11" s="3461"/>
      <c r="LB11" s="3461"/>
      <c r="LC11" s="3461"/>
      <c r="LD11" s="3461"/>
      <c r="LE11" s="3461"/>
      <c r="LF11" s="3461"/>
      <c r="LG11" s="3461"/>
      <c r="LH11" s="3461"/>
      <c r="LI11" s="3461"/>
      <c r="LJ11" s="3461"/>
      <c r="LK11" s="3461"/>
      <c r="LL11" s="3461"/>
      <c r="LM11" s="3461"/>
      <c r="LN11" s="3461"/>
      <c r="LO11" s="3461"/>
      <c r="LP11" s="3461"/>
      <c r="LQ11" s="3461"/>
      <c r="LR11" s="3461"/>
      <c r="LS11" s="3461"/>
      <c r="LT11" s="3461"/>
      <c r="LU11" s="3461"/>
      <c r="LV11" s="3461"/>
      <c r="LW11" s="3461"/>
      <c r="LX11" s="3461"/>
      <c r="LY11" s="3461"/>
      <c r="LZ11" s="3461"/>
      <c r="MA11" s="3461"/>
      <c r="MB11" s="3461"/>
      <c r="MC11" s="3461"/>
      <c r="MD11" s="3461"/>
      <c r="ME11" s="3461"/>
      <c r="MF11" s="3461"/>
      <c r="MG11" s="3461"/>
      <c r="MH11" s="3461"/>
      <c r="MI11" s="3461"/>
      <c r="MJ11" s="3461"/>
      <c r="MK11" s="3461"/>
      <c r="ML11" s="3461"/>
      <c r="MM11" s="3461"/>
      <c r="MN11" s="3461"/>
      <c r="MO11" s="3461"/>
      <c r="MP11" s="3461"/>
      <c r="MQ11" s="3461"/>
      <c r="MR11" s="3461"/>
      <c r="MS11" s="3461"/>
      <c r="MT11" s="3461"/>
      <c r="MU11" s="3461"/>
      <c r="MV11" s="3461"/>
      <c r="MW11" s="3461"/>
      <c r="MX11" s="3461"/>
      <c r="MY11" s="3461"/>
      <c r="MZ11" s="3461"/>
      <c r="NA11" s="3461"/>
      <c r="NB11" s="3461"/>
      <c r="NC11" s="3461"/>
      <c r="ND11" s="3461"/>
      <c r="NE11" s="3461"/>
      <c r="NF11" s="3461"/>
      <c r="NG11" s="3461"/>
      <c r="NH11" s="3461"/>
      <c r="NI11" s="3461"/>
      <c r="NJ11" s="3461"/>
      <c r="NK11" s="3461"/>
      <c r="NL11" s="3461"/>
      <c r="NM11" s="3461"/>
      <c r="NN11" s="3461"/>
      <c r="NO11" s="3461"/>
      <c r="NP11" s="3461"/>
      <c r="NQ11" s="3461"/>
      <c r="NR11" s="3461"/>
      <c r="NS11" s="3461"/>
      <c r="NT11" s="3461"/>
      <c r="NU11" s="3461"/>
      <c r="NV11" s="3461"/>
      <c r="NW11" s="3461"/>
      <c r="NX11" s="3461"/>
      <c r="NY11" s="3461"/>
      <c r="NZ11" s="3461"/>
      <c r="OA11" s="3461"/>
      <c r="OB11" s="3461"/>
      <c r="OC11" s="3461"/>
      <c r="OD11" s="3461"/>
      <c r="OE11" s="3461"/>
      <c r="OF11" s="3461"/>
      <c r="OG11" s="3461"/>
      <c r="OH11" s="3461"/>
      <c r="OI11" s="3461"/>
      <c r="OJ11" s="3461"/>
      <c r="OK11" s="3461"/>
      <c r="OL11" s="3461"/>
      <c r="OM11" s="3461"/>
      <c r="ON11" s="3461"/>
      <c r="OO11" s="3461"/>
      <c r="OP11" s="3461"/>
      <c r="OQ11" s="3461"/>
      <c r="OR11" s="3461"/>
      <c r="OS11" s="3461"/>
      <c r="OT11" s="3461"/>
      <c r="OU11" s="3461"/>
      <c r="OV11" s="3461"/>
      <c r="OW11" s="3461"/>
      <c r="OX11" s="3461"/>
      <c r="OY11" s="3461"/>
      <c r="OZ11" s="3461"/>
      <c r="PA11" s="3461"/>
      <c r="PB11" s="3461"/>
      <c r="PC11" s="3461"/>
      <c r="PD11" s="3461"/>
      <c r="PE11" s="3461"/>
      <c r="PF11" s="3461"/>
      <c r="PG11" s="3461"/>
      <c r="PH11" s="3461"/>
      <c r="PI11" s="3461"/>
      <c r="PJ11" s="3461"/>
      <c r="PK11" s="3461"/>
      <c r="PL11" s="3461"/>
      <c r="PM11" s="3461"/>
      <c r="PN11" s="3461"/>
      <c r="PO11" s="3461"/>
      <c r="PP11" s="3461"/>
      <c r="PQ11" s="3461"/>
      <c r="PR11" s="3461"/>
      <c r="PS11" s="3461"/>
      <c r="PT11" s="3461"/>
      <c r="PU11" s="3461"/>
      <c r="PV11" s="3461"/>
      <c r="PW11" s="3461"/>
      <c r="PX11" s="3461"/>
      <c r="PY11" s="3461"/>
      <c r="PZ11" s="3461"/>
      <c r="QA11" s="3461"/>
      <c r="QB11" s="3461"/>
      <c r="QC11" s="3461"/>
      <c r="QD11" s="3461"/>
      <c r="QE11" s="3461"/>
      <c r="QF11" s="3461"/>
      <c r="QG11" s="3461"/>
      <c r="QH11" s="3461"/>
      <c r="QI11" s="3461"/>
      <c r="QJ11" s="3461"/>
      <c r="QK11" s="3461"/>
      <c r="QL11" s="3461"/>
      <c r="QM11" s="3461"/>
      <c r="QN11" s="3461"/>
      <c r="QO11" s="3461"/>
      <c r="QP11" s="3461"/>
      <c r="QQ11" s="3461"/>
      <c r="QR11" s="3461"/>
      <c r="QS11" s="3461"/>
      <c r="QT11" s="3461"/>
      <c r="QU11" s="3461"/>
      <c r="QV11" s="3461"/>
      <c r="QW11" s="3461"/>
      <c r="QX11" s="3461"/>
      <c r="QY11" s="3461"/>
      <c r="QZ11" s="3461"/>
      <c r="RA11" s="3461"/>
      <c r="RB11" s="3461"/>
      <c r="RC11" s="3461"/>
      <c r="RD11" s="3461"/>
      <c r="RE11" s="3461"/>
      <c r="RF11" s="3461"/>
      <c r="RG11" s="3461"/>
      <c r="RH11" s="3461"/>
      <c r="RI11" s="3461"/>
      <c r="RJ11" s="3461"/>
      <c r="RK11" s="3461"/>
      <c r="RL11" s="3461"/>
      <c r="RM11" s="3461"/>
      <c r="RN11" s="3461"/>
      <c r="RO11" s="3461"/>
      <c r="RP11" s="3461"/>
      <c r="RQ11" s="3461"/>
      <c r="RR11" s="3461"/>
      <c r="RS11" s="3461"/>
      <c r="RT11" s="3461"/>
      <c r="RU11" s="3461"/>
      <c r="RV11" s="3461"/>
      <c r="RW11" s="3461"/>
      <c r="RX11" s="3461"/>
      <c r="RY11" s="3461"/>
      <c r="RZ11" s="3461"/>
      <c r="SA11" s="3461"/>
      <c r="SB11" s="3461"/>
      <c r="SC11" s="3461"/>
      <c r="SD11" s="3461"/>
      <c r="SE11" s="3461"/>
      <c r="SF11" s="3461"/>
      <c r="SG11" s="3461"/>
      <c r="SH11" s="3461"/>
      <c r="SI11" s="3461"/>
      <c r="SJ11" s="3461"/>
      <c r="SK11" s="3461"/>
      <c r="SL11" s="3461"/>
      <c r="SM11" s="3461"/>
      <c r="SN11" s="3461"/>
      <c r="SO11" s="3461"/>
      <c r="SP11" s="3461"/>
      <c r="SQ11" s="3461"/>
      <c r="SR11" s="3461"/>
      <c r="SS11" s="3461"/>
      <c r="ST11" s="3461"/>
      <c r="SU11" s="3461"/>
      <c r="SV11" s="3461"/>
      <c r="SW11" s="3461"/>
      <c r="SX11" s="3461"/>
      <c r="SY11" s="3461"/>
      <c r="SZ11" s="3461"/>
      <c r="TA11" s="3461"/>
      <c r="TB11" s="3461"/>
      <c r="TC11" s="3461"/>
      <c r="TD11" s="3461"/>
      <c r="TE11" s="3461"/>
      <c r="TF11" s="3461"/>
      <c r="TG11" s="3461"/>
      <c r="TH11" s="3461"/>
      <c r="TI11" s="3461"/>
      <c r="TJ11" s="3461"/>
      <c r="TK11" s="3461"/>
      <c r="TL11" s="3461"/>
      <c r="TM11" s="3461"/>
      <c r="TN11" s="3461"/>
      <c r="TO11" s="3461"/>
      <c r="TP11" s="3461"/>
      <c r="TQ11" s="3461"/>
      <c r="TR11" s="3461"/>
      <c r="TS11" s="3461"/>
      <c r="TT11" s="3461"/>
      <c r="TU11" s="3461"/>
      <c r="TV11" s="3461"/>
      <c r="TW11" s="3461"/>
      <c r="TX11" s="3461"/>
      <c r="TY11" s="3461"/>
      <c r="TZ11" s="3461"/>
      <c r="UA11" s="3461"/>
      <c r="UB11" s="3461"/>
      <c r="UC11" s="3461"/>
      <c r="UD11" s="3461"/>
      <c r="UE11" s="3461"/>
      <c r="UF11" s="3461"/>
      <c r="UG11" s="3461"/>
      <c r="UH11" s="3461"/>
      <c r="UI11" s="3461"/>
      <c r="UJ11" s="3461"/>
      <c r="UK11" s="3461"/>
      <c r="UL11" s="3461"/>
      <c r="UM11" s="3461"/>
      <c r="UN11" s="3461"/>
      <c r="UO11" s="3461"/>
      <c r="UP11" s="3461"/>
      <c r="UQ11" s="3461"/>
      <c r="UR11" s="3461"/>
      <c r="US11" s="3461"/>
      <c r="UT11" s="3461"/>
      <c r="UU11" s="3461"/>
      <c r="UV11" s="3461"/>
      <c r="UW11" s="3461"/>
      <c r="UX11" s="3461"/>
      <c r="UY11" s="3461"/>
      <c r="UZ11" s="3461"/>
      <c r="VA11" s="3461"/>
      <c r="VB11" s="3461"/>
      <c r="VC11" s="3461"/>
      <c r="VD11" s="3461"/>
      <c r="VE11" s="3461"/>
      <c r="VF11" s="3461"/>
      <c r="VG11" s="3461"/>
      <c r="VH11" s="3461"/>
      <c r="VI11" s="3461"/>
      <c r="VJ11" s="3461"/>
      <c r="VK11" s="3461"/>
      <c r="VL11" s="3461"/>
      <c r="VM11" s="3461"/>
      <c r="VN11" s="3461"/>
      <c r="VO11" s="3461"/>
      <c r="VP11" s="3461"/>
      <c r="VQ11" s="3461"/>
      <c r="VR11" s="3461"/>
      <c r="VS11" s="3461"/>
      <c r="VT11" s="3461"/>
      <c r="VU11" s="3461"/>
      <c r="VV11" s="3461"/>
      <c r="VW11" s="3461"/>
      <c r="VX11" s="3461"/>
      <c r="VY11" s="3461"/>
      <c r="VZ11" s="3461"/>
      <c r="WA11" s="3461"/>
      <c r="WB11" s="3461"/>
      <c r="WC11" s="3461"/>
      <c r="WD11" s="3461"/>
      <c r="WE11" s="3461"/>
      <c r="WF11" s="3461"/>
      <c r="WG11" s="3461"/>
      <c r="WH11" s="3461"/>
      <c r="WI11" s="3461"/>
      <c r="WJ11" s="3461"/>
      <c r="WK11" s="3461"/>
      <c r="WL11" s="3461"/>
      <c r="WM11" s="3461"/>
      <c r="WN11" s="3461"/>
      <c r="WO11" s="3461"/>
      <c r="WP11" s="3461"/>
      <c r="WQ11" s="3461"/>
      <c r="WR11" s="3461"/>
      <c r="WS11" s="3461"/>
      <c r="WT11" s="3461"/>
      <c r="WU11" s="3461"/>
      <c r="WV11" s="3461"/>
      <c r="WW11" s="3461"/>
      <c r="WX11" s="3461"/>
      <c r="WY11" s="3461"/>
      <c r="WZ11" s="3461"/>
      <c r="XA11" s="3461"/>
      <c r="XB11" s="3461"/>
      <c r="XC11" s="3461"/>
      <c r="XD11" s="3461"/>
      <c r="XE11" s="3461"/>
      <c r="XF11" s="3461"/>
      <c r="XG11" s="3461"/>
      <c r="XH11" s="3461"/>
      <c r="XI11" s="3461"/>
      <c r="XJ11" s="3461"/>
      <c r="XK11" s="3461"/>
      <c r="XL11" s="3461"/>
      <c r="XM11" s="3461"/>
      <c r="XN11" s="3461"/>
      <c r="XO11" s="3461"/>
      <c r="XP11" s="3461"/>
      <c r="XQ11" s="3461"/>
      <c r="XR11" s="3461"/>
      <c r="XS11" s="3461"/>
      <c r="XT11" s="3461"/>
      <c r="XU11" s="3461"/>
      <c r="XV11" s="3461"/>
      <c r="XW11" s="3461"/>
      <c r="XX11" s="3461"/>
      <c r="XY11" s="3461"/>
      <c r="XZ11" s="3461"/>
      <c r="YA11" s="3461"/>
      <c r="YB11" s="3461"/>
      <c r="YC11" s="3461"/>
      <c r="YD11" s="3461"/>
      <c r="YE11" s="3461"/>
      <c r="YF11" s="3461"/>
      <c r="YG11" s="3461"/>
      <c r="YH11" s="3461"/>
      <c r="YI11" s="3461"/>
      <c r="YJ11" s="3461"/>
      <c r="YK11" s="3461"/>
      <c r="YL11" s="3461"/>
      <c r="YM11" s="3461"/>
      <c r="YN11" s="3461"/>
      <c r="YO11" s="3461"/>
      <c r="YP11" s="3461"/>
      <c r="YQ11" s="3461"/>
      <c r="YR11" s="3461"/>
      <c r="YS11" s="3461"/>
      <c r="YT11" s="3461"/>
      <c r="YU11" s="3461"/>
      <c r="YV11" s="3461"/>
      <c r="YW11" s="3461"/>
      <c r="YX11" s="3461"/>
      <c r="YY11" s="3461"/>
      <c r="YZ11" s="3461"/>
      <c r="ZA11" s="3461"/>
      <c r="ZB11" s="3461"/>
      <c r="ZC11" s="3461"/>
      <c r="ZD11" s="3461"/>
      <c r="ZE11" s="3461"/>
      <c r="ZF11" s="3461"/>
      <c r="ZG11" s="3461"/>
      <c r="ZH11" s="3461"/>
      <c r="ZI11" s="3461"/>
      <c r="ZJ11" s="3461"/>
      <c r="ZK11" s="3461"/>
      <c r="ZL11" s="3461"/>
      <c r="ZM11" s="3461"/>
      <c r="ZN11" s="3461"/>
      <c r="ZO11" s="3461"/>
      <c r="ZP11" s="3461"/>
      <c r="ZQ11" s="3461"/>
      <c r="ZR11" s="3461"/>
      <c r="ZS11" s="3461"/>
      <c r="ZT11" s="3461"/>
      <c r="ZU11" s="3461"/>
      <c r="ZV11" s="3461"/>
      <c r="ZW11" s="3461"/>
      <c r="ZX11" s="3461"/>
      <c r="ZY11" s="3461"/>
      <c r="ZZ11" s="3461"/>
      <c r="AAA11" s="3461"/>
      <c r="AAB11" s="3461"/>
      <c r="AAC11" s="3461"/>
      <c r="AAD11" s="3461"/>
      <c r="AAE11" s="3461"/>
      <c r="AAF11" s="3461"/>
      <c r="AAG11" s="3461"/>
      <c r="AAH11" s="3461"/>
      <c r="AAI11" s="3461"/>
      <c r="AAJ11" s="3461"/>
      <c r="AAK11" s="3461"/>
      <c r="AAL11" s="3461"/>
      <c r="AAM11" s="3461"/>
      <c r="AAN11" s="3461"/>
      <c r="AAO11" s="3461"/>
      <c r="AAP11" s="3461"/>
      <c r="AAQ11" s="3461"/>
      <c r="AAR11" s="3461"/>
      <c r="AAS11" s="3461"/>
      <c r="AAT11" s="3461"/>
      <c r="AAU11" s="3461"/>
      <c r="AAV11" s="3461"/>
      <c r="AAW11" s="3461"/>
      <c r="AAX11" s="3461"/>
      <c r="AAY11" s="3461"/>
      <c r="AAZ11" s="3461"/>
      <c r="ABA11" s="3461"/>
      <c r="ABB11" s="3461"/>
      <c r="ABC11" s="3461"/>
      <c r="ABD11" s="3461"/>
      <c r="ABE11" s="3461"/>
      <c r="ABF11" s="3461"/>
      <c r="ABG11" s="3461"/>
      <c r="ABH11" s="3461"/>
      <c r="ABI11" s="3461"/>
      <c r="ABJ11" s="3461"/>
      <c r="ABK11" s="3461"/>
      <c r="ABL11" s="3461"/>
      <c r="ABM11" s="3461"/>
      <c r="ABN11" s="3461"/>
      <c r="ABO11" s="3461"/>
      <c r="ABP11" s="3461"/>
      <c r="ABQ11" s="3461"/>
      <c r="ABR11" s="3461"/>
      <c r="ABS11" s="3461"/>
      <c r="ABT11" s="3461"/>
      <c r="ABU11" s="3461"/>
      <c r="ABV11" s="3461"/>
      <c r="ABW11" s="3461"/>
      <c r="ABX11" s="3461"/>
      <c r="ABY11" s="3461"/>
      <c r="ABZ11" s="3461"/>
      <c r="ACA11" s="3461"/>
      <c r="ACB11" s="3461"/>
      <c r="ACC11" s="3461"/>
      <c r="ACD11" s="3461"/>
      <c r="ACE11" s="3461"/>
      <c r="ACF11" s="3461"/>
      <c r="ACG11" s="3461"/>
      <c r="ACH11" s="3461"/>
      <c r="ACI11" s="3461"/>
      <c r="ACJ11" s="3461"/>
      <c r="ACK11" s="3461"/>
      <c r="ACL11" s="3461"/>
      <c r="ACM11" s="3461"/>
      <c r="ACN11" s="3461"/>
      <c r="ACO11" s="3461"/>
      <c r="ACP11" s="3461"/>
      <c r="ACQ11" s="3461"/>
      <c r="ACR11" s="3461"/>
      <c r="ACS11" s="3461"/>
      <c r="ACT11" s="3461"/>
      <c r="ACU11" s="3461"/>
      <c r="ACV11" s="3461"/>
      <c r="ACW11" s="3461"/>
      <c r="ACX11" s="3461"/>
      <c r="ACY11" s="3461"/>
      <c r="ACZ11" s="3461"/>
      <c r="ADA11" s="3461"/>
      <c r="ADB11" s="3461"/>
      <c r="ADC11" s="3461"/>
      <c r="ADD11" s="3461"/>
      <c r="ADE11" s="3461"/>
      <c r="ADF11" s="3461"/>
      <c r="ADG11" s="3461"/>
      <c r="ADH11" s="3461"/>
      <c r="ADI11" s="3461"/>
      <c r="ADJ11" s="3461"/>
      <c r="ADK11" s="3461"/>
      <c r="ADL11" s="3461"/>
      <c r="ADM11" s="3461"/>
      <c r="ADN11" s="3461"/>
      <c r="ADO11" s="3461"/>
      <c r="ADP11" s="3461"/>
      <c r="ADQ11" s="3461"/>
      <c r="ADR11" s="3461"/>
      <c r="ADS11" s="3461"/>
      <c r="ADT11" s="3461"/>
      <c r="ADU11" s="3461"/>
      <c r="ADV11" s="3461"/>
      <c r="ADW11" s="3461"/>
      <c r="ADX11" s="3461"/>
      <c r="ADY11" s="3461"/>
      <c r="ADZ11" s="3461"/>
      <c r="AEA11" s="3461"/>
      <c r="AEB11" s="3461"/>
      <c r="AEC11" s="3461"/>
      <c r="AED11" s="3461"/>
      <c r="AEE11" s="3461"/>
      <c r="AEF11" s="3461"/>
      <c r="AEG11" s="3461"/>
      <c r="AEH11" s="3461"/>
      <c r="AEI11" s="3461"/>
      <c r="AEJ11" s="3461"/>
      <c r="AEK11" s="3461"/>
      <c r="AEL11" s="3461"/>
      <c r="AEM11" s="3461"/>
      <c r="AEN11" s="3461"/>
      <c r="AEO11" s="3461"/>
      <c r="AEP11" s="3461"/>
      <c r="AEQ11" s="3461"/>
      <c r="AER11" s="3461"/>
      <c r="AES11" s="3461"/>
      <c r="AET11" s="3461"/>
      <c r="AEU11" s="3461"/>
      <c r="AEV11" s="3461"/>
      <c r="AEW11" s="3461"/>
      <c r="AEX11" s="3461"/>
      <c r="AEY11" s="3461"/>
      <c r="AEZ11" s="3461"/>
      <c r="AFA11" s="3461"/>
      <c r="AFB11" s="3461"/>
      <c r="AFC11" s="3461"/>
      <c r="AFD11" s="3461"/>
      <c r="AFE11" s="3461"/>
      <c r="AFF11" s="3461"/>
      <c r="AFG11" s="3461"/>
      <c r="AFH11" s="3461"/>
      <c r="AFI11" s="3461"/>
      <c r="AFJ11" s="3461"/>
      <c r="AFK11" s="3461"/>
      <c r="AFL11" s="3461"/>
      <c r="AFM11" s="3461"/>
      <c r="AFN11" s="3461"/>
      <c r="AFO11" s="3461"/>
      <c r="AFP11" s="3461"/>
      <c r="AFQ11" s="3461"/>
      <c r="AFR11" s="3461"/>
      <c r="AFS11" s="3461"/>
      <c r="AFT11" s="3461"/>
      <c r="AFU11" s="3461"/>
      <c r="AFV11" s="3461"/>
      <c r="AFW11" s="3461"/>
      <c r="AFX11" s="3461"/>
      <c r="AFY11" s="3461"/>
      <c r="AFZ11" s="3461"/>
      <c r="AGA11" s="3461"/>
      <c r="AGB11" s="3461"/>
      <c r="AGC11" s="3461"/>
      <c r="AGD11" s="3461"/>
      <c r="AGE11" s="3461"/>
      <c r="AGF11" s="3461"/>
      <c r="AGG11" s="3461"/>
      <c r="AGH11" s="3461"/>
      <c r="AGI11" s="3461"/>
      <c r="AGJ11" s="3461"/>
      <c r="AGK11" s="3461"/>
      <c r="AGL11" s="3461"/>
      <c r="AGM11" s="3461"/>
      <c r="AGN11" s="3461"/>
      <c r="AGO11" s="3461"/>
      <c r="AGP11" s="3461"/>
      <c r="AGQ11" s="3461"/>
      <c r="AGR11" s="3461"/>
      <c r="AGS11" s="3461"/>
      <c r="AGT11" s="3461"/>
      <c r="AGU11" s="3461"/>
      <c r="AGV11" s="3461"/>
      <c r="AGW11" s="3461"/>
      <c r="AGX11" s="3461"/>
      <c r="AGY11" s="3461"/>
      <c r="AGZ11" s="3461"/>
      <c r="AHA11" s="3461"/>
      <c r="AHB11" s="3461"/>
      <c r="AHC11" s="3461"/>
      <c r="AHD11" s="3461"/>
      <c r="AHE11" s="3461"/>
      <c r="AHF11" s="3461"/>
      <c r="AHG11" s="3461"/>
      <c r="AHH11" s="3461"/>
      <c r="AHI11" s="3461"/>
      <c r="AHJ11" s="3461"/>
      <c r="AHK11" s="3461"/>
      <c r="AHL11" s="3461"/>
      <c r="AHM11" s="3461"/>
      <c r="AHN11" s="3461"/>
      <c r="AHO11" s="3461"/>
      <c r="AHP11" s="3461"/>
      <c r="AHQ11" s="3461"/>
      <c r="AHR11" s="3461"/>
      <c r="AHS11" s="3461"/>
      <c r="AHT11" s="3461"/>
      <c r="AHU11" s="3461"/>
      <c r="AHV11" s="3461"/>
      <c r="AHW11" s="3461"/>
      <c r="AHX11" s="3461"/>
      <c r="AHY11" s="3461"/>
      <c r="AHZ11" s="3461"/>
      <c r="AIA11" s="3461"/>
      <c r="AIB11" s="3461"/>
      <c r="AIC11" s="3461"/>
      <c r="AID11" s="3461"/>
      <c r="AIE11" s="3461"/>
      <c r="AIF11" s="3461"/>
      <c r="AIG11" s="3461"/>
      <c r="AIH11" s="3461"/>
      <c r="AII11" s="3461"/>
      <c r="AIJ11" s="3461"/>
      <c r="AIK11" s="3461"/>
      <c r="AIL11" s="3461"/>
      <c r="AIM11" s="3461"/>
      <c r="AIN11" s="3461"/>
      <c r="AIO11" s="3461"/>
      <c r="AIP11" s="3461"/>
      <c r="AIQ11" s="3461"/>
      <c r="AIR11" s="3461"/>
      <c r="AIS11" s="3461"/>
      <c r="AIT11" s="3461"/>
      <c r="AIU11" s="3461"/>
      <c r="AIV11" s="3461"/>
      <c r="AIW11" s="3461"/>
      <c r="AIX11" s="3461"/>
      <c r="AIY11" s="3461"/>
      <c r="AIZ11" s="3461"/>
      <c r="AJA11" s="3461"/>
      <c r="AJB11" s="3461"/>
      <c r="AJC11" s="3461"/>
      <c r="AJD11" s="3461"/>
      <c r="AJE11" s="3461"/>
      <c r="AJF11" s="3461"/>
      <c r="AJG11" s="3461"/>
      <c r="AJH11" s="3461"/>
      <c r="AJI11" s="3461"/>
      <c r="AJJ11" s="3461"/>
      <c r="AJK11" s="3461"/>
      <c r="AJL11" s="3461"/>
      <c r="AJM11" s="3461"/>
      <c r="AJN11" s="3461"/>
      <c r="AJO11" s="3461"/>
      <c r="AJP11" s="3461"/>
      <c r="AJQ11" s="3461"/>
      <c r="AJR11" s="3461"/>
      <c r="AJS11" s="3461"/>
      <c r="AJT11" s="3461"/>
      <c r="AJU11" s="3461"/>
      <c r="AJV11" s="3461"/>
      <c r="AJW11" s="3461"/>
      <c r="AJX11" s="3461"/>
      <c r="AJY11" s="3461"/>
      <c r="AJZ11" s="3461"/>
      <c r="AKA11" s="3461"/>
      <c r="AKB11" s="3461"/>
      <c r="AKC11" s="3461"/>
      <c r="AKD11" s="3461"/>
      <c r="AKE11" s="3461"/>
      <c r="AKF11" s="3461"/>
      <c r="AKG11" s="3461"/>
      <c r="AKH11" s="3461"/>
      <c r="AKI11" s="3461"/>
      <c r="AKJ11" s="3461"/>
      <c r="AKK11" s="3461"/>
      <c r="AKL11" s="3461"/>
      <c r="AKM11" s="3461"/>
      <c r="AKN11" s="3461"/>
      <c r="AKO11" s="3461"/>
      <c r="AKP11" s="3461"/>
      <c r="AKQ11" s="3461"/>
      <c r="AKR11" s="3461"/>
      <c r="AKS11" s="3461"/>
      <c r="AKT11" s="3461"/>
      <c r="AKU11" s="3461"/>
      <c r="AKV11" s="3461"/>
      <c r="AKW11" s="3461"/>
      <c r="AKX11" s="3461"/>
      <c r="AKY11" s="3461"/>
      <c r="AKZ11" s="3461"/>
      <c r="ALA11" s="3461"/>
      <c r="ALB11" s="3461"/>
      <c r="ALC11" s="3461"/>
      <c r="ALD11" s="3461"/>
      <c r="ALE11" s="3461"/>
      <c r="ALF11" s="3461"/>
      <c r="ALG11" s="3461"/>
      <c r="ALH11" s="3461"/>
      <c r="ALI11" s="3461"/>
      <c r="ALJ11" s="3461"/>
      <c r="ALK11" s="3461"/>
      <c r="ALL11" s="3461"/>
      <c r="ALM11" s="3461"/>
      <c r="ALN11" s="3461"/>
      <c r="ALO11" s="3461"/>
      <c r="ALP11" s="3461"/>
      <c r="ALQ11" s="3461"/>
      <c r="ALR11" s="3461"/>
      <c r="ALS11" s="3461"/>
      <c r="ALT11" s="3461"/>
      <c r="ALU11" s="3461"/>
      <c r="ALV11" s="3461"/>
      <c r="ALW11" s="3461"/>
      <c r="ALX11" s="3461"/>
      <c r="ALY11" s="3461"/>
      <c r="ALZ11" s="3461"/>
      <c r="AMA11" s="3461"/>
      <c r="AMB11" s="3461"/>
      <c r="AMC11" s="3461"/>
      <c r="AMD11" s="3461"/>
      <c r="AME11" s="3461"/>
      <c r="AMF11" s="3461"/>
      <c r="AMG11" s="3461"/>
      <c r="AMH11" s="3461"/>
      <c r="AMI11" s="3461"/>
      <c r="AMJ11" s="3461"/>
      <c r="AMK11" s="3461"/>
      <c r="AML11" s="3461"/>
      <c r="AMM11" s="3461"/>
      <c r="AMN11" s="3461"/>
      <c r="AMO11" s="3461"/>
      <c r="AMP11" s="3461"/>
      <c r="AMQ11" s="3461"/>
      <c r="AMR11" s="3461"/>
      <c r="AMS11" s="3461"/>
      <c r="AMT11" s="3461"/>
      <c r="AMU11" s="3461"/>
      <c r="AMV11" s="3461"/>
      <c r="AMW11" s="3461"/>
      <c r="AMX11" s="3461"/>
      <c r="AMY11" s="3461"/>
      <c r="AMZ11" s="3461"/>
      <c r="ANA11" s="3461"/>
      <c r="ANB11" s="3461"/>
      <c r="ANC11" s="3461"/>
      <c r="AND11" s="3461"/>
      <c r="ANE11" s="3461"/>
      <c r="ANF11" s="3461"/>
      <c r="ANG11" s="3461"/>
      <c r="ANH11" s="3461"/>
      <c r="ANI11" s="3461"/>
      <c r="ANJ11" s="3461"/>
      <c r="ANK11" s="3461"/>
      <c r="ANL11" s="3461"/>
      <c r="ANM11" s="3461"/>
      <c r="ANN11" s="3461"/>
      <c r="ANO11" s="3461"/>
      <c r="ANP11" s="3461"/>
      <c r="ANQ11" s="3461"/>
      <c r="ANR11" s="3461"/>
      <c r="ANS11" s="3461"/>
      <c r="ANT11" s="3461"/>
      <c r="ANU11" s="3461"/>
      <c r="ANV11" s="3461"/>
      <c r="ANW11" s="3461"/>
      <c r="ANX11" s="3461"/>
      <c r="ANY11" s="3461"/>
      <c r="ANZ11" s="3461"/>
      <c r="AOA11" s="3461"/>
      <c r="AOB11" s="3461"/>
      <c r="AOC11" s="3461"/>
      <c r="AOD11" s="3461"/>
      <c r="AOE11" s="3461"/>
      <c r="AOF11" s="3461"/>
      <c r="AOG11" s="3461"/>
      <c r="AOH11" s="3461"/>
      <c r="AOI11" s="3461"/>
      <c r="AOJ11" s="3461"/>
      <c r="AOK11" s="3461"/>
      <c r="AOL11" s="3461"/>
      <c r="AOM11" s="3461"/>
      <c r="AON11" s="3461"/>
      <c r="AOO11" s="3461"/>
      <c r="AOP11" s="3461"/>
      <c r="AOQ11" s="3461"/>
      <c r="AOR11" s="3461"/>
      <c r="AOS11" s="3461"/>
      <c r="AOT11" s="3461"/>
      <c r="AOU11" s="3461"/>
      <c r="AOV11" s="3461"/>
      <c r="AOW11" s="3461"/>
      <c r="AOX11" s="3461"/>
      <c r="AOY11" s="3461"/>
      <c r="AOZ11" s="3461"/>
      <c r="APA11" s="3461"/>
      <c r="APB11" s="3461"/>
      <c r="APC11" s="3461"/>
      <c r="APD11" s="3461"/>
      <c r="APE11" s="3461"/>
      <c r="APF11" s="3461"/>
      <c r="APG11" s="3461"/>
      <c r="APH11" s="3461"/>
      <c r="API11" s="3461"/>
      <c r="APJ11" s="3461"/>
      <c r="APK11" s="3461"/>
      <c r="APL11" s="3461"/>
      <c r="APM11" s="3461"/>
      <c r="APN11" s="3461"/>
      <c r="APO11" s="3461"/>
      <c r="APP11" s="3461"/>
      <c r="APQ11" s="3461"/>
      <c r="APR11" s="3461"/>
      <c r="APS11" s="3461"/>
      <c r="APT11" s="3461"/>
      <c r="APU11" s="3461"/>
      <c r="APV11" s="3461"/>
      <c r="APW11" s="3461"/>
      <c r="APX11" s="3461"/>
      <c r="APY11" s="3461"/>
      <c r="APZ11" s="3461"/>
      <c r="AQA11" s="3461"/>
      <c r="AQB11" s="3461"/>
      <c r="AQC11" s="3461"/>
      <c r="AQD11" s="3461"/>
      <c r="AQE11" s="3461"/>
      <c r="AQF11" s="3461"/>
      <c r="AQG11" s="3461"/>
      <c r="AQH11" s="3461"/>
      <c r="AQI11" s="3461"/>
      <c r="AQJ11" s="3461"/>
      <c r="AQK11" s="3461"/>
      <c r="AQL11" s="3461"/>
      <c r="AQM11" s="3461"/>
      <c r="AQN11" s="3461"/>
      <c r="AQO11" s="3461"/>
      <c r="AQP11" s="3461"/>
      <c r="AQQ11" s="3461"/>
      <c r="AQR11" s="3461"/>
      <c r="AQS11" s="3461"/>
      <c r="AQT11" s="3461"/>
      <c r="AQU11" s="3461"/>
      <c r="AQV11" s="3461"/>
      <c r="AQW11" s="3461"/>
      <c r="AQX11" s="3461"/>
      <c r="AQY11" s="3461"/>
      <c r="AQZ11" s="3461"/>
      <c r="ARA11" s="3461"/>
      <c r="ARB11" s="3461"/>
      <c r="ARC11" s="3461"/>
      <c r="ARD11" s="3461"/>
      <c r="ARE11" s="3461"/>
      <c r="ARF11" s="3461"/>
      <c r="ARG11" s="3461"/>
      <c r="ARH11" s="3461"/>
      <c r="ARI11" s="3461"/>
      <c r="ARJ11" s="3461"/>
      <c r="ARK11" s="3461"/>
      <c r="ARL11" s="3461"/>
      <c r="ARM11" s="3461"/>
      <c r="ARN11" s="3461"/>
      <c r="ARO11" s="3461"/>
      <c r="ARP11" s="3461"/>
      <c r="ARQ11" s="3461"/>
      <c r="ARR11" s="3461"/>
      <c r="ARS11" s="3461"/>
      <c r="ART11" s="3461"/>
      <c r="ARU11" s="3461"/>
      <c r="ARV11" s="3461"/>
      <c r="ARW11" s="3461"/>
      <c r="ARX11" s="3461"/>
      <c r="ARY11" s="3461"/>
      <c r="ARZ11" s="3461"/>
      <c r="ASA11" s="3461"/>
      <c r="ASB11" s="3461"/>
      <c r="ASC11" s="3461"/>
      <c r="ASD11" s="3461"/>
      <c r="ASE11" s="3461"/>
      <c r="ASF11" s="3461"/>
      <c r="ASG11" s="3461"/>
      <c r="ASH11" s="3461"/>
      <c r="ASI11" s="3461"/>
      <c r="ASJ11" s="3461"/>
      <c r="ASK11" s="3461"/>
      <c r="ASL11" s="3461"/>
      <c r="ASM11" s="3461"/>
      <c r="ASN11" s="3461"/>
      <c r="ASO11" s="3461"/>
      <c r="ASP11" s="3461"/>
      <c r="ASQ11" s="3461"/>
      <c r="ASR11" s="3461"/>
      <c r="ASS11" s="3461"/>
      <c r="AST11" s="3461"/>
      <c r="ASU11" s="3461"/>
      <c r="ASV11" s="3461"/>
      <c r="ASW11" s="3461"/>
      <c r="ASX11" s="3461"/>
      <c r="ASY11" s="3461"/>
      <c r="ASZ11" s="3461"/>
      <c r="ATA11" s="3461"/>
      <c r="ATB11" s="3461"/>
      <c r="ATC11" s="3461"/>
      <c r="ATD11" s="3461"/>
      <c r="ATE11" s="3461"/>
      <c r="ATF11" s="3461"/>
      <c r="ATG11" s="3461"/>
      <c r="ATH11" s="3461"/>
      <c r="ATI11" s="3461"/>
      <c r="ATJ11" s="3461"/>
      <c r="ATK11" s="3461"/>
      <c r="ATL11" s="3461"/>
      <c r="ATM11" s="3461"/>
      <c r="ATN11" s="3461"/>
      <c r="ATO11" s="3461"/>
      <c r="ATP11" s="3461"/>
      <c r="ATQ11" s="3461"/>
      <c r="ATR11" s="3461"/>
      <c r="ATS11" s="3461"/>
      <c r="ATT11" s="3461"/>
      <c r="ATU11" s="3461"/>
      <c r="ATV11" s="3461"/>
      <c r="ATW11" s="3461"/>
      <c r="ATX11" s="3461"/>
      <c r="ATY11" s="3461"/>
      <c r="ATZ11" s="3461"/>
      <c r="AUA11" s="3461"/>
      <c r="AUB11" s="3461"/>
      <c r="AUC11" s="3461"/>
      <c r="AUD11" s="3461"/>
      <c r="AUE11" s="3461"/>
      <c r="AUF11" s="3461"/>
      <c r="AUG11" s="3461"/>
      <c r="AUH11" s="3461"/>
      <c r="AUI11" s="3461"/>
      <c r="AUJ11" s="3461"/>
      <c r="AUK11" s="3461"/>
      <c r="AUL11" s="3461"/>
      <c r="AUM11" s="3461"/>
      <c r="AUN11" s="3461"/>
      <c r="AUO11" s="3461"/>
      <c r="AUP11" s="3461"/>
      <c r="AUQ11" s="3461"/>
      <c r="AUR11" s="3461"/>
      <c r="AUS11" s="3461"/>
      <c r="AUT11" s="3461"/>
      <c r="AUU11" s="3461"/>
      <c r="AUV11" s="3461"/>
      <c r="AUW11" s="3461"/>
      <c r="AUX11" s="3461"/>
      <c r="AUY11" s="3461"/>
      <c r="AUZ11" s="3461"/>
      <c r="AVA11" s="3461"/>
      <c r="AVB11" s="3461"/>
      <c r="AVC11" s="3461"/>
      <c r="AVD11" s="3461"/>
      <c r="AVE11" s="3461"/>
      <c r="AVF11" s="3461"/>
      <c r="AVG11" s="3461"/>
      <c r="AVH11" s="3461"/>
      <c r="AVI11" s="3461"/>
      <c r="AVJ11" s="3461"/>
      <c r="AVK11" s="3461"/>
      <c r="AVL11" s="3461"/>
      <c r="AVM11" s="3461"/>
      <c r="AVN11" s="3461"/>
      <c r="AVO11" s="3461"/>
      <c r="AVP11" s="3461"/>
      <c r="AVQ11" s="3461"/>
      <c r="AVR11" s="3461"/>
      <c r="AVS11" s="3461"/>
      <c r="AVT11" s="3461"/>
      <c r="AVU11" s="3461"/>
      <c r="AVV11" s="3461"/>
      <c r="AVW11" s="3461"/>
      <c r="AVX11" s="3461"/>
      <c r="AVY11" s="3461"/>
      <c r="AVZ11" s="3461"/>
      <c r="AWA11" s="3461"/>
      <c r="AWB11" s="3461"/>
      <c r="AWC11" s="3461"/>
      <c r="AWD11" s="3461"/>
      <c r="AWE11" s="3461"/>
      <c r="AWF11" s="3461"/>
      <c r="AWG11" s="3461"/>
      <c r="AWH11" s="3461"/>
      <c r="AWI11" s="3461"/>
      <c r="AWJ11" s="3461"/>
      <c r="AWK11" s="3461"/>
      <c r="AWL11" s="3461"/>
      <c r="AWM11" s="3461"/>
      <c r="AWN11" s="3461"/>
      <c r="AWO11" s="3461"/>
      <c r="AWP11" s="3461"/>
      <c r="AWQ11" s="3461"/>
      <c r="AWR11" s="3461"/>
      <c r="AWS11" s="3461"/>
      <c r="AWT11" s="3461"/>
      <c r="AWU11" s="3461"/>
      <c r="AWV11" s="3461"/>
      <c r="AWW11" s="3461"/>
      <c r="AWX11" s="3461"/>
      <c r="AWY11" s="3461"/>
      <c r="AWZ11" s="3461"/>
      <c r="AXA11" s="3461"/>
      <c r="AXB11" s="3461"/>
      <c r="AXC11" s="3461"/>
      <c r="AXD11" s="3461"/>
      <c r="AXE11" s="3461"/>
      <c r="AXF11" s="3461"/>
      <c r="AXG11" s="3461"/>
      <c r="AXH11" s="3461"/>
      <c r="AXI11" s="3461"/>
      <c r="AXJ11" s="3461"/>
      <c r="AXK11" s="3461"/>
      <c r="AXL11" s="3461"/>
      <c r="AXM11" s="3461"/>
      <c r="AXN11" s="3461"/>
      <c r="AXO11" s="3461"/>
      <c r="AXP11" s="3461"/>
      <c r="AXQ11" s="3461"/>
      <c r="AXR11" s="3461"/>
      <c r="AXS11" s="3461"/>
      <c r="AXT11" s="3461"/>
      <c r="AXU11" s="3461"/>
      <c r="AXV11" s="3461"/>
      <c r="AXW11" s="3461"/>
      <c r="AXX11" s="3461"/>
      <c r="AXY11" s="3461"/>
      <c r="AXZ11" s="3461"/>
      <c r="AYA11" s="3461"/>
      <c r="AYB11" s="3461"/>
      <c r="AYC11" s="3461"/>
      <c r="AYD11" s="3461"/>
      <c r="AYE11" s="3461"/>
      <c r="AYF11" s="3461"/>
      <c r="AYG11" s="3461"/>
      <c r="AYH11" s="3461"/>
      <c r="AYI11" s="3461"/>
      <c r="AYJ11" s="3461"/>
      <c r="AYK11" s="3461"/>
      <c r="AYL11" s="3461"/>
      <c r="AYM11" s="3461"/>
      <c r="AYN11" s="3461"/>
      <c r="AYO11" s="3461"/>
      <c r="AYP11" s="3461"/>
      <c r="AYQ11" s="3461"/>
      <c r="AYR11" s="3461"/>
      <c r="AYS11" s="3461"/>
      <c r="AYT11" s="3461"/>
      <c r="AYU11" s="3461"/>
      <c r="AYV11" s="3461"/>
      <c r="AYW11" s="3461"/>
      <c r="AYX11" s="3461"/>
      <c r="AYY11" s="3461"/>
      <c r="AYZ11" s="3461"/>
      <c r="AZA11" s="3461"/>
      <c r="AZB11" s="3461"/>
      <c r="AZC11" s="3461"/>
      <c r="AZD11" s="3461"/>
      <c r="AZE11" s="3461"/>
      <c r="AZF11" s="3461"/>
      <c r="AZG11" s="3461"/>
      <c r="AZH11" s="3461"/>
      <c r="AZI11" s="3461"/>
      <c r="AZJ11" s="3461"/>
      <c r="AZK11" s="3461"/>
      <c r="AZL11" s="3461"/>
      <c r="AZM11" s="3461"/>
      <c r="AZN11" s="3461"/>
      <c r="AZO11" s="3461"/>
      <c r="AZP11" s="3461"/>
      <c r="AZQ11" s="3461"/>
      <c r="AZR11" s="3461"/>
      <c r="AZS11" s="3461"/>
      <c r="AZT11" s="3461"/>
      <c r="AZU11" s="3461"/>
      <c r="AZV11" s="3461"/>
      <c r="AZW11" s="3461"/>
      <c r="AZX11" s="3461"/>
      <c r="AZY11" s="3461"/>
      <c r="AZZ11" s="3461"/>
      <c r="BAA11" s="3461"/>
      <c r="BAB11" s="3461"/>
      <c r="BAC11" s="3461"/>
      <c r="BAD11" s="3461"/>
      <c r="BAE11" s="3461"/>
      <c r="BAF11" s="3461"/>
      <c r="BAG11" s="3461"/>
      <c r="BAH11" s="3461"/>
      <c r="BAI11" s="3461"/>
      <c r="BAJ11" s="3461"/>
      <c r="BAK11" s="3461"/>
      <c r="BAL11" s="3461"/>
      <c r="BAM11" s="3461"/>
      <c r="BAN11" s="3461"/>
      <c r="BAO11" s="3461"/>
      <c r="BAP11" s="3461"/>
      <c r="BAQ11" s="3461"/>
      <c r="BAR11" s="3461"/>
      <c r="BAS11" s="3461"/>
      <c r="BAT11" s="3461"/>
      <c r="BAU11" s="3461"/>
      <c r="BAV11" s="3461"/>
      <c r="BAW11" s="3461"/>
      <c r="BAX11" s="3461"/>
      <c r="BAY11" s="3461"/>
      <c r="BAZ11" s="3461"/>
      <c r="BBA11" s="3461"/>
      <c r="BBB11" s="3461"/>
      <c r="BBC11" s="3461"/>
      <c r="BBD11" s="3461"/>
      <c r="BBE11" s="3461"/>
      <c r="BBF11" s="3461"/>
      <c r="BBG11" s="3461"/>
      <c r="BBH11" s="3461"/>
      <c r="BBI11" s="3461"/>
      <c r="BBJ11" s="3461"/>
      <c r="BBK11" s="3461"/>
      <c r="BBL11" s="3461"/>
      <c r="BBM11" s="3461"/>
      <c r="BBN11" s="3461"/>
      <c r="BBO11" s="3461"/>
      <c r="BBP11" s="3461"/>
      <c r="BBQ11" s="3461"/>
      <c r="BBR11" s="3461"/>
      <c r="BBS11" s="3461"/>
      <c r="BBT11" s="3461"/>
      <c r="BBU11" s="3461"/>
      <c r="BBV11" s="3461"/>
      <c r="BBW11" s="3461"/>
      <c r="BBX11" s="3461"/>
      <c r="BBY11" s="3461"/>
      <c r="BBZ11" s="3461"/>
      <c r="BCA11" s="3461"/>
      <c r="BCB11" s="3461"/>
      <c r="BCC11" s="3461"/>
      <c r="BCD11" s="3461"/>
      <c r="BCE11" s="3461"/>
      <c r="BCF11" s="3461"/>
      <c r="BCG11" s="3461"/>
      <c r="BCH11" s="3461"/>
      <c r="BCI11" s="3461"/>
      <c r="BCJ11" s="3461"/>
      <c r="BCK11" s="3461"/>
      <c r="BCL11" s="3461"/>
      <c r="BCM11" s="3461"/>
      <c r="BCN11" s="3461"/>
      <c r="BCO11" s="3461"/>
      <c r="BCP11" s="3461"/>
      <c r="BCQ11" s="3461"/>
      <c r="BCR11" s="3461"/>
      <c r="BCS11" s="3461"/>
      <c r="BCT11" s="3461"/>
      <c r="BCU11" s="3461"/>
      <c r="BCV11" s="3461"/>
      <c r="BCW11" s="3461"/>
      <c r="BCX11" s="3461"/>
      <c r="BCY11" s="3461"/>
      <c r="BCZ11" s="3461"/>
      <c r="BDA11" s="3461"/>
      <c r="BDB11" s="3461"/>
      <c r="BDC11" s="3461"/>
      <c r="BDD11" s="3461"/>
      <c r="BDE11" s="3461"/>
      <c r="BDF11" s="3461"/>
      <c r="BDG11" s="3461"/>
      <c r="BDH11" s="3461"/>
      <c r="BDI11" s="3461"/>
      <c r="BDJ11" s="3461"/>
      <c r="BDK11" s="3461"/>
      <c r="BDL11" s="3461"/>
      <c r="BDM11" s="3461"/>
      <c r="BDN11" s="3461"/>
      <c r="BDO11" s="3461"/>
      <c r="BDP11" s="3461"/>
      <c r="BDQ11" s="3461"/>
      <c r="BDR11" s="3461"/>
      <c r="BDS11" s="3461"/>
      <c r="BDT11" s="3461"/>
      <c r="BDU11" s="3461"/>
      <c r="BDV11" s="3461"/>
      <c r="BDW11" s="3461"/>
      <c r="BDX11" s="3461"/>
      <c r="BDY11" s="3461"/>
      <c r="BDZ11" s="3461"/>
      <c r="BEA11" s="3461"/>
      <c r="BEB11" s="3461"/>
      <c r="BEC11" s="3461"/>
      <c r="BED11" s="3461"/>
      <c r="BEE11" s="3461"/>
      <c r="BEF11" s="3461"/>
      <c r="BEG11" s="3461"/>
      <c r="BEH11" s="3461"/>
      <c r="BEI11" s="3461"/>
      <c r="BEJ11" s="3461"/>
      <c r="BEK11" s="3461"/>
      <c r="BEL11" s="3461"/>
      <c r="BEM11" s="3461"/>
      <c r="BEN11" s="3461"/>
      <c r="BEO11" s="3461"/>
      <c r="BEP11" s="3461"/>
      <c r="BEQ11" s="3461"/>
      <c r="BER11" s="3461"/>
      <c r="BES11" s="3461"/>
      <c r="BET11" s="3461"/>
      <c r="BEU11" s="3461"/>
      <c r="BEV11" s="3461"/>
      <c r="BEW11" s="3461"/>
      <c r="BEX11" s="3461"/>
      <c r="BEY11" s="3461"/>
      <c r="BEZ11" s="3461"/>
      <c r="BFA11" s="3461"/>
      <c r="BFB11" s="3461"/>
      <c r="BFC11" s="3461"/>
      <c r="BFD11" s="3461"/>
      <c r="BFE11" s="3461"/>
      <c r="BFF11" s="3461"/>
      <c r="BFG11" s="3461"/>
      <c r="BFH11" s="3461"/>
      <c r="BFI11" s="3461"/>
      <c r="BFJ11" s="3461"/>
      <c r="BFK11" s="3461"/>
      <c r="BFL11" s="3461"/>
      <c r="BFM11" s="3461"/>
      <c r="BFN11" s="3461"/>
      <c r="BFO11" s="3461"/>
      <c r="BFP11" s="3461"/>
      <c r="BFQ11" s="3461"/>
      <c r="BFR11" s="3461"/>
      <c r="BFS11" s="3461"/>
      <c r="BFT11" s="3461"/>
      <c r="BFU11" s="3461"/>
      <c r="BFV11" s="3461"/>
      <c r="BFW11" s="3461"/>
      <c r="BFX11" s="3461"/>
      <c r="BFY11" s="3461"/>
      <c r="BFZ11" s="3461"/>
      <c r="BGA11" s="3461"/>
      <c r="BGB11" s="3461"/>
      <c r="BGC11" s="3461"/>
      <c r="BGD11" s="3461"/>
      <c r="BGE11" s="3461"/>
      <c r="BGF11" s="3461"/>
      <c r="BGG11" s="3461"/>
      <c r="BGH11" s="3461"/>
      <c r="BGI11" s="3461"/>
      <c r="BGJ11" s="3461"/>
      <c r="BGK11" s="3461"/>
      <c r="BGL11" s="3461"/>
      <c r="BGM11" s="3461"/>
      <c r="BGN11" s="3461"/>
      <c r="BGO11" s="3461"/>
      <c r="BGP11" s="3461"/>
      <c r="BGQ11" s="3461"/>
      <c r="BGR11" s="3461"/>
      <c r="BGS11" s="3461"/>
      <c r="BGT11" s="3461"/>
      <c r="BGU11" s="3461"/>
      <c r="BGV11" s="3461"/>
      <c r="BGW11" s="3461"/>
      <c r="BGX11" s="3461"/>
      <c r="BGY11" s="3461"/>
      <c r="BGZ11" s="3461"/>
      <c r="BHA11" s="3461"/>
      <c r="BHB11" s="3461"/>
      <c r="BHC11" s="3461"/>
      <c r="BHD11" s="3461"/>
      <c r="BHE11" s="3461"/>
      <c r="BHF11" s="3461"/>
      <c r="BHG11" s="3461"/>
      <c r="BHH11" s="3461"/>
      <c r="BHI11" s="3461"/>
      <c r="BHJ11" s="3461"/>
      <c r="BHK11" s="3461"/>
      <c r="BHL11" s="3461"/>
      <c r="BHM11" s="3461"/>
      <c r="BHN11" s="3461"/>
      <c r="BHO11" s="3461"/>
      <c r="BHP11" s="3461"/>
      <c r="BHQ11" s="3461"/>
      <c r="BHR11" s="3461"/>
      <c r="BHS11" s="3461"/>
      <c r="BHT11" s="3461"/>
      <c r="BHU11" s="3461"/>
      <c r="BHV11" s="3461"/>
      <c r="BHW11" s="3461"/>
      <c r="BHX11" s="3461"/>
      <c r="BHY11" s="3461"/>
      <c r="BHZ11" s="3461"/>
      <c r="BIA11" s="3461"/>
      <c r="BIB11" s="3461"/>
      <c r="BIC11" s="3461"/>
      <c r="BID11" s="3461"/>
      <c r="BIE11" s="3461"/>
      <c r="BIF11" s="3461"/>
      <c r="BIG11" s="3461"/>
      <c r="BIH11" s="3461"/>
      <c r="BII11" s="3461"/>
      <c r="BIJ11" s="3461"/>
      <c r="BIK11" s="3461"/>
      <c r="BIL11" s="3461"/>
      <c r="BIM11" s="3461"/>
      <c r="BIN11" s="3461"/>
      <c r="BIO11" s="3461"/>
      <c r="BIP11" s="3461"/>
      <c r="BIQ11" s="3461"/>
      <c r="BIR11" s="3461"/>
      <c r="BIS11" s="3461"/>
      <c r="BIT11" s="3461"/>
      <c r="BIU11" s="3461"/>
      <c r="BIV11" s="3461"/>
      <c r="BIW11" s="3461"/>
      <c r="BIX11" s="3461"/>
      <c r="BIY11" s="3461"/>
      <c r="BIZ11" s="3461"/>
      <c r="BJA11" s="3461"/>
      <c r="BJB11" s="3461"/>
      <c r="BJC11" s="3461"/>
      <c r="BJD11" s="3461"/>
      <c r="BJE11" s="3461"/>
      <c r="BJF11" s="3461"/>
      <c r="BJG11" s="3461"/>
      <c r="BJH11" s="3461"/>
      <c r="BJI11" s="3461"/>
      <c r="BJJ11" s="3461"/>
      <c r="BJK11" s="3461"/>
      <c r="BJL11" s="3461"/>
      <c r="BJM11" s="3461"/>
      <c r="BJN11" s="3461"/>
      <c r="BJO11" s="3461"/>
      <c r="BJP11" s="3461"/>
      <c r="BJQ11" s="3461"/>
      <c r="BJR11" s="3461"/>
      <c r="BJS11" s="3461"/>
      <c r="BJT11" s="3461"/>
      <c r="BJU11" s="3461"/>
      <c r="BJV11" s="3461"/>
      <c r="BJW11" s="3461"/>
      <c r="BJX11" s="3461"/>
      <c r="BJY11" s="3461"/>
      <c r="BJZ11" s="3461"/>
      <c r="BKA11" s="3461"/>
      <c r="BKB11" s="3461"/>
      <c r="BKC11" s="3461"/>
      <c r="BKD11" s="3461"/>
      <c r="BKE11" s="3461"/>
      <c r="BKF11" s="3461"/>
      <c r="BKG11" s="3461"/>
      <c r="BKH11" s="3461"/>
      <c r="BKI11" s="3461"/>
      <c r="BKJ11" s="3461"/>
      <c r="BKK11" s="3461"/>
      <c r="BKL11" s="3461"/>
      <c r="BKM11" s="3461"/>
      <c r="BKN11" s="3461"/>
      <c r="BKO11" s="3461"/>
      <c r="BKP11" s="3461"/>
      <c r="BKQ11" s="3461"/>
      <c r="BKR11" s="3461"/>
      <c r="BKS11" s="3461"/>
      <c r="BKT11" s="3461"/>
      <c r="BKU11" s="3461"/>
      <c r="BKV11" s="3461"/>
      <c r="BKW11" s="3461"/>
      <c r="BKX11" s="3461"/>
      <c r="BKY11" s="3461"/>
      <c r="BKZ11" s="3461"/>
      <c r="BLA11" s="3461"/>
      <c r="BLB11" s="3461"/>
      <c r="BLC11" s="3461"/>
      <c r="BLD11" s="3461"/>
      <c r="BLE11" s="3461"/>
      <c r="BLF11" s="3461"/>
      <c r="BLG11" s="3461"/>
      <c r="BLH11" s="3461"/>
      <c r="BLI11" s="3461"/>
      <c r="BLJ11" s="3461"/>
      <c r="BLK11" s="3461"/>
      <c r="BLL11" s="3461"/>
      <c r="BLM11" s="3461"/>
      <c r="BLN11" s="3461"/>
      <c r="BLO11" s="3461"/>
      <c r="BLP11" s="3461"/>
      <c r="BLQ11" s="3461"/>
      <c r="BLR11" s="3461"/>
      <c r="BLS11" s="3461"/>
      <c r="BLT11" s="3461"/>
      <c r="BLU11" s="3461"/>
      <c r="BLV11" s="3461"/>
      <c r="BLW11" s="3461"/>
      <c r="BLX11" s="3461"/>
      <c r="BLY11" s="3461"/>
      <c r="BLZ11" s="3461"/>
      <c r="BMA11" s="3461"/>
      <c r="BMB11" s="3461"/>
      <c r="BMC11" s="3461"/>
      <c r="BMD11" s="3461"/>
      <c r="BME11" s="3461"/>
      <c r="BMF11" s="3461"/>
      <c r="BMG11" s="3461"/>
      <c r="BMH11" s="3461"/>
      <c r="BMI11" s="3461"/>
      <c r="BMJ11" s="3461"/>
      <c r="BMK11" s="3461"/>
      <c r="BML11" s="3461"/>
      <c r="BMM11" s="3461"/>
      <c r="BMN11" s="3461"/>
      <c r="BMO11" s="3461"/>
      <c r="BMP11" s="3461"/>
      <c r="BMQ11" s="3461"/>
      <c r="BMR11" s="3461"/>
      <c r="BMS11" s="3461"/>
      <c r="BMT11" s="3461"/>
      <c r="BMU11" s="3461"/>
      <c r="BMV11" s="3461"/>
      <c r="BMW11" s="3461"/>
      <c r="BMX11" s="3461"/>
      <c r="BMY11" s="3461"/>
      <c r="BMZ11" s="3461"/>
      <c r="BNA11" s="3461"/>
      <c r="BNB11" s="3461"/>
      <c r="BNC11" s="3461"/>
      <c r="BND11" s="3461"/>
      <c r="BNE11" s="3461"/>
      <c r="BNF11" s="3461"/>
      <c r="BNG11" s="3461"/>
      <c r="BNH11" s="3461"/>
      <c r="BNI11" s="3461"/>
      <c r="BNJ11" s="3461"/>
      <c r="BNK11" s="3461"/>
      <c r="BNL11" s="3461"/>
      <c r="BNM11" s="3461"/>
      <c r="BNN11" s="3461"/>
      <c r="BNO11" s="3461"/>
      <c r="BNP11" s="3461"/>
      <c r="BNQ11" s="3461"/>
      <c r="BNR11" s="3461"/>
      <c r="BNS11" s="3461"/>
      <c r="BNT11" s="3461"/>
      <c r="BNU11" s="3461"/>
      <c r="BNV11" s="3461"/>
      <c r="BNW11" s="3461"/>
      <c r="BNX11" s="3461"/>
      <c r="BNY11" s="3461"/>
      <c r="BNZ11" s="3461"/>
      <c r="BOA11" s="3461"/>
      <c r="BOB11" s="3461"/>
      <c r="BOC11" s="3461"/>
      <c r="BOD11" s="3461"/>
      <c r="BOE11" s="3461"/>
      <c r="BOF11" s="3461"/>
      <c r="BOG11" s="3461"/>
      <c r="BOH11" s="3461"/>
      <c r="BOI11" s="3461"/>
      <c r="BOJ11" s="3461"/>
      <c r="BOK11" s="3461"/>
      <c r="BOL11" s="3461"/>
      <c r="BOM11" s="3461"/>
      <c r="BON11" s="3461"/>
      <c r="BOO11" s="3461"/>
      <c r="BOP11" s="3461"/>
      <c r="BOQ11" s="3461"/>
      <c r="BOR11" s="3461"/>
      <c r="BOS11" s="3461"/>
      <c r="BOT11" s="3461"/>
      <c r="BOU11" s="3461"/>
      <c r="BOV11" s="3461"/>
      <c r="BOW11" s="3461"/>
      <c r="BOX11" s="3461"/>
      <c r="BOY11" s="3461"/>
      <c r="BOZ11" s="3461"/>
      <c r="BPA11" s="3461"/>
      <c r="BPB11" s="3461"/>
      <c r="BPC11" s="3461"/>
      <c r="BPD11" s="3461"/>
      <c r="BPE11" s="3461"/>
      <c r="BPF11" s="3461"/>
      <c r="BPG11" s="3461"/>
      <c r="BPH11" s="3461"/>
      <c r="BPI11" s="3461"/>
      <c r="BPJ11" s="3461"/>
      <c r="BPK11" s="3461"/>
      <c r="BPL11" s="3461"/>
      <c r="BPM11" s="3461"/>
      <c r="BPN11" s="3461"/>
      <c r="BPO11" s="3461"/>
      <c r="BPP11" s="3461"/>
      <c r="BPQ11" s="3461"/>
      <c r="BPR11" s="3461"/>
      <c r="BPS11" s="3461"/>
      <c r="BPT11" s="3461"/>
      <c r="BPU11" s="3461"/>
      <c r="BPV11" s="3461"/>
      <c r="BPW11" s="3461"/>
      <c r="BPX11" s="3461"/>
      <c r="BPY11" s="3461"/>
      <c r="BPZ11" s="3461"/>
      <c r="BQA11" s="3461"/>
      <c r="BQB11" s="3461"/>
      <c r="BQC11" s="3461"/>
      <c r="BQD11" s="3461"/>
      <c r="BQE11" s="3461"/>
      <c r="BQF11" s="3461"/>
      <c r="BQG11" s="3461"/>
      <c r="BQH11" s="3461"/>
      <c r="BQI11" s="3461"/>
      <c r="BQJ11" s="3461"/>
      <c r="BQK11" s="3461"/>
      <c r="BQL11" s="3461"/>
      <c r="BQM11" s="3461"/>
      <c r="BQN11" s="3461"/>
      <c r="BQO11" s="3461"/>
      <c r="BQP11" s="3461"/>
      <c r="BQQ11" s="3461"/>
      <c r="BQR11" s="3461"/>
      <c r="BQS11" s="3461"/>
      <c r="BQT11" s="3461"/>
      <c r="BQU11" s="3461"/>
      <c r="BQV11" s="3461"/>
      <c r="BQW11" s="3461"/>
      <c r="BQX11" s="3461"/>
      <c r="BQY11" s="3461"/>
      <c r="BQZ11" s="3461"/>
      <c r="BRA11" s="3461"/>
      <c r="BRB11" s="3461"/>
      <c r="BRC11" s="3461"/>
      <c r="BRD11" s="3461"/>
      <c r="BRE11" s="3461"/>
      <c r="BRF11" s="3461"/>
      <c r="BRG11" s="3461"/>
      <c r="BRH11" s="3461"/>
      <c r="BRI11" s="3461"/>
      <c r="BRJ11" s="3461"/>
      <c r="BRK11" s="3461"/>
      <c r="BRL11" s="3461"/>
      <c r="BRM11" s="3461"/>
      <c r="BRN11" s="3461"/>
      <c r="BRO11" s="3461"/>
      <c r="BRP11" s="3461"/>
      <c r="BRQ11" s="3461"/>
      <c r="BRR11" s="3461"/>
      <c r="BRS11" s="3461"/>
      <c r="BRT11" s="3461"/>
      <c r="BRU11" s="3461"/>
      <c r="BRV11" s="3461"/>
      <c r="BRW11" s="3461"/>
      <c r="BRX11" s="3461"/>
      <c r="BRY11" s="3461"/>
      <c r="BRZ11" s="3461"/>
      <c r="BSA11" s="3461"/>
      <c r="BSB11" s="3461"/>
      <c r="BSC11" s="3461"/>
      <c r="BSD11" s="3461"/>
      <c r="BSE11" s="3461"/>
      <c r="BSF11" s="3461"/>
      <c r="BSG11" s="3461"/>
      <c r="BSH11" s="3461"/>
      <c r="BSI11" s="3461"/>
      <c r="BSJ11" s="3461"/>
      <c r="BSK11" s="3461"/>
      <c r="BSL11" s="3461"/>
      <c r="BSM11" s="3461"/>
      <c r="BSN11" s="3461"/>
      <c r="BSO11" s="3461"/>
      <c r="BSP11" s="3461"/>
      <c r="BSQ11" s="3461"/>
      <c r="BSR11" s="3461"/>
      <c r="BSS11" s="3461"/>
      <c r="BST11" s="3461"/>
      <c r="BSU11" s="3461"/>
      <c r="BSV11" s="3461"/>
      <c r="BSW11" s="3461"/>
      <c r="BSX11" s="3461"/>
      <c r="BSY11" s="3461"/>
      <c r="BSZ11" s="3461"/>
      <c r="BTA11" s="3461"/>
      <c r="BTB11" s="3461"/>
      <c r="BTC11" s="3461"/>
      <c r="BTD11" s="3461"/>
      <c r="BTE11" s="3461"/>
      <c r="BTF11" s="3461"/>
      <c r="BTG11" s="3461"/>
      <c r="BTH11" s="3461"/>
      <c r="BTI11" s="3461"/>
      <c r="BTJ11" s="3461"/>
      <c r="BTK11" s="3461"/>
      <c r="BTL11" s="3461"/>
      <c r="BTM11" s="3461"/>
      <c r="BTN11" s="3461"/>
      <c r="BTO11" s="3461"/>
      <c r="BTP11" s="3461"/>
      <c r="BTQ11" s="3461"/>
      <c r="BTR11" s="3461"/>
      <c r="BTS11" s="3461"/>
      <c r="BTT11" s="3461"/>
      <c r="BTU11" s="3461"/>
      <c r="BTV11" s="3461"/>
      <c r="BTW11" s="3461"/>
      <c r="BTX11" s="3461"/>
      <c r="BTY11" s="3461"/>
      <c r="BTZ11" s="3461"/>
      <c r="BUA11" s="3461"/>
      <c r="BUB11" s="3461"/>
      <c r="BUC11" s="3461"/>
      <c r="BUD11" s="3461"/>
      <c r="BUE11" s="3461"/>
      <c r="BUF11" s="3461"/>
      <c r="BUG11" s="3461"/>
      <c r="BUH11" s="3461"/>
      <c r="BUI11" s="3461"/>
      <c r="BUJ11" s="3461"/>
      <c r="BUK11" s="3461"/>
      <c r="BUL11" s="3461"/>
      <c r="BUM11" s="3461"/>
      <c r="BUN11" s="3461"/>
      <c r="BUO11" s="3461"/>
      <c r="BUP11" s="3461"/>
      <c r="BUQ11" s="3461"/>
      <c r="BUR11" s="3461"/>
      <c r="BUS11" s="3461"/>
      <c r="BUT11" s="3461"/>
      <c r="BUU11" s="3461"/>
      <c r="BUV11" s="3461"/>
      <c r="BUW11" s="3461"/>
      <c r="BUX11" s="3461"/>
      <c r="BUY11" s="3461"/>
      <c r="BUZ11" s="3461"/>
      <c r="BVA11" s="3461"/>
      <c r="BVB11" s="3461"/>
      <c r="BVC11" s="3461"/>
      <c r="BVD11" s="3461"/>
      <c r="BVE11" s="3461"/>
      <c r="BVF11" s="3461"/>
      <c r="BVG11" s="3461"/>
      <c r="BVH11" s="3461"/>
      <c r="BVI11" s="3461"/>
      <c r="BVJ11" s="3461"/>
      <c r="BVK11" s="3461"/>
      <c r="BVL11" s="3461"/>
      <c r="BVM11" s="3461"/>
      <c r="BVN11" s="3461"/>
      <c r="BVO11" s="3461"/>
      <c r="BVP11" s="3461"/>
      <c r="BVQ11" s="3461"/>
      <c r="BVR11" s="3461"/>
      <c r="BVS11" s="3461"/>
      <c r="BVT11" s="3461"/>
      <c r="BVU11" s="3461"/>
      <c r="BVV11" s="3461"/>
      <c r="BVW11" s="3461"/>
      <c r="BVX11" s="3461"/>
      <c r="BVY11" s="3461"/>
      <c r="BVZ11" s="3461"/>
      <c r="BWA11" s="3461"/>
      <c r="BWB11" s="3461"/>
      <c r="BWC11" s="3461"/>
      <c r="BWD11" s="3461"/>
      <c r="BWE11" s="3461"/>
      <c r="BWF11" s="3461"/>
      <c r="BWG11" s="3461"/>
      <c r="BWH11" s="3461"/>
      <c r="BWI11" s="3461"/>
      <c r="BWJ11" s="3461"/>
      <c r="BWK11" s="3461"/>
      <c r="BWL11" s="3461"/>
      <c r="BWM11" s="3461"/>
      <c r="BWN11" s="3461"/>
      <c r="BWO11" s="3461"/>
      <c r="BWP11" s="3461"/>
      <c r="BWQ11" s="3461"/>
      <c r="BWR11" s="3461"/>
      <c r="BWS11" s="3461"/>
      <c r="BWT11" s="3461"/>
      <c r="BWU11" s="3461"/>
      <c r="BWV11" s="3461"/>
      <c r="BWW11" s="3461"/>
      <c r="BWX11" s="3461"/>
      <c r="BWY11" s="3461"/>
      <c r="BWZ11" s="3461"/>
      <c r="BXA11" s="3461"/>
      <c r="BXB11" s="3461"/>
      <c r="BXC11" s="3461"/>
      <c r="BXD11" s="3461"/>
      <c r="BXE11" s="3461"/>
      <c r="BXF11" s="3461"/>
      <c r="BXG11" s="3461"/>
      <c r="BXH11" s="3461"/>
      <c r="BXI11" s="3461"/>
      <c r="BXJ11" s="3461"/>
      <c r="BXK11" s="3461"/>
      <c r="BXL11" s="3461"/>
      <c r="BXM11" s="3461"/>
      <c r="BXN11" s="3461"/>
      <c r="BXO11" s="3461"/>
      <c r="BXP11" s="3461"/>
      <c r="BXQ11" s="3461"/>
      <c r="BXR11" s="3461"/>
      <c r="BXS11" s="3461"/>
      <c r="BXT11" s="3461"/>
      <c r="BXU11" s="3461"/>
      <c r="BXV11" s="3461"/>
      <c r="BXW11" s="3461"/>
      <c r="BXX11" s="3461"/>
      <c r="BXY11" s="3461"/>
      <c r="BXZ11" s="3461"/>
      <c r="BYA11" s="3461"/>
      <c r="BYB11" s="3461"/>
      <c r="BYC11" s="3461"/>
      <c r="BYD11" s="3461"/>
      <c r="BYE11" s="3461"/>
      <c r="BYF11" s="3461"/>
      <c r="BYG11" s="3461"/>
      <c r="BYH11" s="3461"/>
      <c r="BYI11" s="3461"/>
      <c r="BYJ11" s="3461"/>
      <c r="BYK11" s="3461"/>
      <c r="BYL11" s="3461"/>
      <c r="BYM11" s="3461"/>
      <c r="BYN11" s="3461"/>
      <c r="BYO11" s="3461"/>
      <c r="BYP11" s="3461"/>
      <c r="BYQ11" s="3461"/>
      <c r="BYR11" s="3461"/>
      <c r="BYS11" s="3461"/>
      <c r="BYT11" s="3461"/>
      <c r="BYU11" s="3461"/>
      <c r="BYV11" s="3461"/>
      <c r="BYW11" s="3461"/>
      <c r="BYX11" s="3461"/>
      <c r="BYY11" s="3461"/>
      <c r="BYZ11" s="3461"/>
      <c r="BZA11" s="3461"/>
      <c r="BZB11" s="3461"/>
      <c r="BZC11" s="3461"/>
      <c r="BZD11" s="3461"/>
      <c r="BZE11" s="3461"/>
      <c r="BZF11" s="3461"/>
      <c r="BZG11" s="3461"/>
      <c r="BZH11" s="3461"/>
      <c r="BZI11" s="3461"/>
      <c r="BZJ11" s="3461"/>
      <c r="BZK11" s="3461"/>
      <c r="BZL11" s="3461"/>
      <c r="BZM11" s="3461"/>
      <c r="BZN11" s="3461"/>
      <c r="BZO11" s="3461"/>
      <c r="BZP11" s="3461"/>
      <c r="BZQ11" s="3461"/>
      <c r="BZR11" s="3461"/>
      <c r="BZS11" s="3461"/>
      <c r="BZT11" s="3461"/>
      <c r="BZU11" s="3461"/>
      <c r="BZV11" s="3461"/>
      <c r="BZW11" s="3461"/>
      <c r="BZX11" s="3461"/>
      <c r="BZY11" s="3461"/>
      <c r="BZZ11" s="3461"/>
      <c r="CAA11" s="3461"/>
      <c r="CAB11" s="3461"/>
      <c r="CAC11" s="3461"/>
      <c r="CAD11" s="3461"/>
      <c r="CAE11" s="3461"/>
      <c r="CAF11" s="3461"/>
      <c r="CAG11" s="3461"/>
      <c r="CAH11" s="3461"/>
      <c r="CAI11" s="3461"/>
      <c r="CAJ11" s="3461"/>
      <c r="CAK11" s="3461"/>
      <c r="CAL11" s="3461"/>
      <c r="CAM11" s="3461"/>
      <c r="CAN11" s="3461"/>
      <c r="CAO11" s="3461"/>
      <c r="CAP11" s="3461"/>
      <c r="CAQ11" s="3461"/>
      <c r="CAR11" s="3461"/>
      <c r="CAS11" s="3461"/>
      <c r="CAT11" s="3461"/>
      <c r="CAU11" s="3461"/>
      <c r="CAV11" s="3461"/>
      <c r="CAW11" s="3461"/>
      <c r="CAX11" s="3461"/>
      <c r="CAY11" s="3461"/>
      <c r="CAZ11" s="3461"/>
      <c r="CBA11" s="3461"/>
      <c r="CBB11" s="3461"/>
      <c r="CBC11" s="3461"/>
      <c r="CBD11" s="3461"/>
      <c r="CBE11" s="3461"/>
      <c r="CBF11" s="3461"/>
      <c r="CBG11" s="3461"/>
      <c r="CBH11" s="3461"/>
      <c r="CBI11" s="3461"/>
      <c r="CBJ11" s="3461"/>
      <c r="CBK11" s="3461"/>
      <c r="CBL11" s="3461"/>
      <c r="CBM11" s="3461"/>
      <c r="CBN11" s="3461"/>
      <c r="CBO11" s="3461"/>
      <c r="CBP11" s="3461"/>
      <c r="CBQ11" s="3461"/>
      <c r="CBR11" s="3461"/>
      <c r="CBS11" s="3461"/>
      <c r="CBT11" s="3461"/>
      <c r="CBU11" s="3461"/>
      <c r="CBV11" s="3461"/>
      <c r="CBW11" s="3461"/>
      <c r="CBX11" s="3461"/>
      <c r="CBY11" s="3461"/>
      <c r="CBZ11" s="3461"/>
      <c r="CCA11" s="3461"/>
      <c r="CCB11" s="3461"/>
      <c r="CCC11" s="3461"/>
      <c r="CCD11" s="3461"/>
      <c r="CCE11" s="3461"/>
      <c r="CCF11" s="3461"/>
      <c r="CCG11" s="3461"/>
      <c r="CCH11" s="3461"/>
      <c r="CCI11" s="3461"/>
      <c r="CCJ11" s="3461"/>
      <c r="CCK11" s="3461"/>
      <c r="CCL11" s="3461"/>
      <c r="CCM11" s="3461"/>
      <c r="CCN11" s="3461"/>
      <c r="CCO11" s="3461"/>
      <c r="CCP11" s="3461"/>
      <c r="CCQ11" s="3461"/>
      <c r="CCR11" s="3461"/>
      <c r="CCS11" s="3461"/>
      <c r="CCT11" s="3461"/>
      <c r="CCU11" s="3461"/>
      <c r="CCV11" s="3461"/>
      <c r="CCW11" s="3461"/>
      <c r="CCX11" s="3461"/>
      <c r="CCY11" s="3461"/>
      <c r="CCZ11" s="3461"/>
      <c r="CDA11" s="3461"/>
      <c r="CDB11" s="3461"/>
      <c r="CDC11" s="3461"/>
      <c r="CDD11" s="3461"/>
      <c r="CDE11" s="3461"/>
      <c r="CDF11" s="3461"/>
      <c r="CDG11" s="3461"/>
      <c r="CDH11" s="3461"/>
      <c r="CDI11" s="3461"/>
      <c r="CDJ11" s="3461"/>
      <c r="CDK11" s="3461"/>
      <c r="CDL11" s="3461"/>
      <c r="CDM11" s="3461"/>
      <c r="CDN11" s="3461"/>
      <c r="CDO11" s="3461"/>
      <c r="CDP11" s="3461"/>
      <c r="CDQ11" s="3461"/>
      <c r="CDR11" s="3461"/>
      <c r="CDS11" s="3461"/>
      <c r="CDT11" s="3461"/>
      <c r="CDU11" s="3461"/>
      <c r="CDV11" s="3461"/>
      <c r="CDW11" s="3461"/>
      <c r="CDX11" s="3461"/>
      <c r="CDY11" s="3461"/>
      <c r="CDZ11" s="3461"/>
      <c r="CEA11" s="3461"/>
      <c r="CEB11" s="3461"/>
      <c r="CEC11" s="3461"/>
      <c r="CED11" s="3461"/>
      <c r="CEE11" s="3461"/>
      <c r="CEF11" s="3461"/>
      <c r="CEG11" s="3461"/>
      <c r="CEH11" s="3461"/>
      <c r="CEI11" s="3461"/>
      <c r="CEJ11" s="3461"/>
      <c r="CEK11" s="3461"/>
      <c r="CEL11" s="3461"/>
      <c r="CEM11" s="3461"/>
      <c r="CEN11" s="3461"/>
      <c r="CEO11" s="3461"/>
      <c r="CEP11" s="3461"/>
      <c r="CEQ11" s="3461"/>
      <c r="CER11" s="3461"/>
      <c r="CES11" s="3461"/>
      <c r="CET11" s="3461"/>
      <c r="CEU11" s="3461"/>
      <c r="CEV11" s="3461"/>
      <c r="CEW11" s="3461"/>
      <c r="CEX11" s="3461"/>
      <c r="CEY11" s="3461"/>
      <c r="CEZ11" s="3461"/>
      <c r="CFA11" s="3461"/>
      <c r="CFB11" s="3461"/>
      <c r="CFC11" s="3461"/>
      <c r="CFD11" s="3461"/>
      <c r="CFE11" s="3461"/>
      <c r="CFF11" s="3461"/>
      <c r="CFG11" s="3461"/>
      <c r="CFH11" s="3461"/>
      <c r="CFI11" s="3461"/>
      <c r="CFJ11" s="3461"/>
      <c r="CFK11" s="3461"/>
      <c r="CFL11" s="3461"/>
      <c r="CFM11" s="3461"/>
      <c r="CFN11" s="3461"/>
      <c r="CFO11" s="3461"/>
      <c r="CFP11" s="3461"/>
      <c r="CFQ11" s="3461"/>
      <c r="CFR11" s="3461"/>
      <c r="CFS11" s="3461"/>
      <c r="CFT11" s="3461"/>
      <c r="CFU11" s="3461"/>
      <c r="CFV11" s="3461"/>
      <c r="CFW11" s="3461"/>
      <c r="CFX11" s="3461"/>
      <c r="CFY11" s="3461"/>
      <c r="CFZ11" s="3461"/>
      <c r="CGA11" s="3461"/>
      <c r="CGB11" s="3461"/>
      <c r="CGC11" s="3461"/>
      <c r="CGD11" s="3461"/>
      <c r="CGE11" s="3461"/>
      <c r="CGF11" s="3461"/>
      <c r="CGG11" s="3461"/>
      <c r="CGH11" s="3461"/>
      <c r="CGI11" s="3461"/>
      <c r="CGJ11" s="3461"/>
      <c r="CGK11" s="3461"/>
      <c r="CGL11" s="3461"/>
      <c r="CGM11" s="3461"/>
      <c r="CGN11" s="3461"/>
      <c r="CGO11" s="3461"/>
      <c r="CGP11" s="3461"/>
      <c r="CGQ11" s="3461"/>
      <c r="CGR11" s="3461"/>
      <c r="CGS11" s="3461"/>
      <c r="CGT11" s="3461"/>
      <c r="CGU11" s="3461"/>
      <c r="CGV11" s="3461"/>
      <c r="CGW11" s="3461"/>
      <c r="CGX11" s="3461"/>
      <c r="CGY11" s="3461"/>
      <c r="CGZ11" s="3461"/>
      <c r="CHA11" s="3461"/>
      <c r="CHB11" s="3461"/>
      <c r="CHC11" s="3461"/>
      <c r="CHD11" s="3461"/>
      <c r="CHE11" s="3461"/>
      <c r="CHF11" s="3461"/>
      <c r="CHG11" s="3461"/>
      <c r="CHH11" s="3461"/>
      <c r="CHI11" s="3461"/>
      <c r="CHJ11" s="3461"/>
      <c r="CHK11" s="3461"/>
      <c r="CHL11" s="3461"/>
      <c r="CHM11" s="3461"/>
      <c r="CHN11" s="3461"/>
      <c r="CHO11" s="3461"/>
      <c r="CHP11" s="3461"/>
      <c r="CHQ11" s="3461"/>
      <c r="CHR11" s="3461"/>
      <c r="CHS11" s="3461"/>
      <c r="CHT11" s="3461"/>
      <c r="CHU11" s="3461"/>
      <c r="CHV11" s="3461"/>
      <c r="CHW11" s="3461"/>
      <c r="CHX11" s="3461"/>
      <c r="CHY11" s="3461"/>
      <c r="CHZ11" s="3461"/>
      <c r="CIA11" s="3461"/>
      <c r="CIB11" s="3461"/>
      <c r="CIC11" s="3461"/>
      <c r="CID11" s="3461"/>
      <c r="CIE11" s="3461"/>
      <c r="CIF11" s="3461"/>
      <c r="CIG11" s="3461"/>
      <c r="CIH11" s="3461"/>
      <c r="CII11" s="3461"/>
      <c r="CIJ11" s="3461"/>
      <c r="CIK11" s="3461"/>
      <c r="CIL11" s="3461"/>
      <c r="CIM11" s="3461"/>
      <c r="CIN11" s="3461"/>
      <c r="CIO11" s="3461"/>
      <c r="CIP11" s="3461"/>
      <c r="CIQ11" s="3461"/>
      <c r="CIR11" s="3461"/>
      <c r="CIS11" s="3461"/>
      <c r="CIT11" s="3461"/>
      <c r="CIU11" s="3461"/>
      <c r="CIV11" s="3461"/>
      <c r="CIW11" s="3461"/>
      <c r="CIX11" s="3461"/>
      <c r="CIY11" s="3461"/>
      <c r="CIZ11" s="3461"/>
      <c r="CJA11" s="3461"/>
      <c r="CJB11" s="3461"/>
      <c r="CJC11" s="3461"/>
      <c r="CJD11" s="3461"/>
      <c r="CJE11" s="3461"/>
      <c r="CJF11" s="3461"/>
      <c r="CJG11" s="3461"/>
      <c r="CJH11" s="3461"/>
      <c r="CJI11" s="3461"/>
      <c r="CJJ11" s="3461"/>
      <c r="CJK11" s="3461"/>
      <c r="CJL11" s="3461"/>
      <c r="CJM11" s="3461"/>
      <c r="CJN11" s="3461"/>
      <c r="CJO11" s="3461"/>
      <c r="CJP11" s="3461"/>
      <c r="CJQ11" s="3461"/>
      <c r="CJR11" s="3461"/>
      <c r="CJS11" s="3461"/>
      <c r="CJT11" s="3461"/>
      <c r="CJU11" s="3461"/>
      <c r="CJV11" s="3461"/>
      <c r="CJW11" s="3461"/>
      <c r="CJX11" s="3461"/>
      <c r="CJY11" s="3461"/>
      <c r="CJZ11" s="3461"/>
      <c r="CKA11" s="3461"/>
      <c r="CKB11" s="3461"/>
      <c r="CKC11" s="3461"/>
      <c r="CKD11" s="3461"/>
      <c r="CKE11" s="3461"/>
      <c r="CKF11" s="3461"/>
      <c r="CKG11" s="3461"/>
      <c r="CKH11" s="3461"/>
      <c r="CKI11" s="3461"/>
      <c r="CKJ11" s="3461"/>
      <c r="CKK11" s="3461"/>
      <c r="CKL11" s="3461"/>
      <c r="CKM11" s="3461"/>
      <c r="CKN11" s="3461"/>
      <c r="CKO11" s="3461"/>
      <c r="CKP11" s="3461"/>
      <c r="CKQ11" s="3461"/>
      <c r="CKR11" s="3461"/>
      <c r="CKS11" s="3461"/>
      <c r="CKT11" s="3461"/>
      <c r="CKU11" s="3461"/>
      <c r="CKV11" s="3461"/>
      <c r="CKW11" s="3461"/>
      <c r="CKX11" s="3461"/>
      <c r="CKY11" s="3461"/>
      <c r="CKZ11" s="3461"/>
      <c r="CLA11" s="3461"/>
      <c r="CLB11" s="3461"/>
      <c r="CLC11" s="3461"/>
      <c r="CLD11" s="3461"/>
      <c r="CLE11" s="3461"/>
      <c r="CLF11" s="3461"/>
      <c r="CLG11" s="3461"/>
      <c r="CLH11" s="3461"/>
      <c r="CLI11" s="3461"/>
      <c r="CLJ11" s="3461"/>
      <c r="CLK11" s="3461"/>
      <c r="CLL11" s="3461"/>
      <c r="CLM11" s="3461"/>
      <c r="CLN11" s="3461"/>
      <c r="CLO11" s="3461"/>
      <c r="CLP11" s="3461"/>
      <c r="CLQ11" s="3461"/>
      <c r="CLR11" s="3461"/>
      <c r="CLS11" s="3461"/>
      <c r="CLT11" s="3461"/>
      <c r="CLU11" s="3461"/>
      <c r="CLV11" s="3461"/>
      <c r="CLW11" s="3461"/>
      <c r="CLX11" s="3461"/>
      <c r="CLY11" s="3461"/>
      <c r="CLZ11" s="3461"/>
      <c r="CMA11" s="3461"/>
      <c r="CMB11" s="3461"/>
      <c r="CMC11" s="3461"/>
      <c r="CMD11" s="3461"/>
      <c r="CME11" s="3461"/>
      <c r="CMF11" s="3461"/>
      <c r="CMG11" s="3461"/>
      <c r="CMH11" s="3461"/>
      <c r="CMI11" s="3461"/>
      <c r="CMJ11" s="3461"/>
      <c r="CMK11" s="3461"/>
      <c r="CML11" s="3461"/>
      <c r="CMM11" s="3461"/>
      <c r="CMN11" s="3461"/>
      <c r="CMO11" s="3461"/>
      <c r="CMP11" s="3461"/>
      <c r="CMQ11" s="3461"/>
      <c r="CMR11" s="3461"/>
      <c r="CMS11" s="3461"/>
      <c r="CMT11" s="3461"/>
      <c r="CMU11" s="3461"/>
      <c r="CMV11" s="3461"/>
      <c r="CMW11" s="3461"/>
      <c r="CMX11" s="3461"/>
      <c r="CMY11" s="3461"/>
      <c r="CMZ11" s="3461"/>
      <c r="CNA11" s="3461"/>
      <c r="CNB11" s="3461"/>
      <c r="CNC11" s="3461"/>
      <c r="CND11" s="3461"/>
      <c r="CNE11" s="3461"/>
      <c r="CNF11" s="3461"/>
      <c r="CNG11" s="3461"/>
      <c r="CNH11" s="3461"/>
      <c r="CNI11" s="3461"/>
      <c r="CNJ11" s="3461"/>
      <c r="CNK11" s="3461"/>
      <c r="CNL11" s="3461"/>
      <c r="CNM11" s="3461"/>
      <c r="CNN11" s="3461"/>
      <c r="CNO11" s="3461"/>
      <c r="CNP11" s="3461"/>
      <c r="CNQ11" s="3461"/>
      <c r="CNR11" s="3461"/>
      <c r="CNS11" s="3461"/>
      <c r="CNT11" s="3461"/>
      <c r="CNU11" s="3461"/>
      <c r="CNV11" s="3461"/>
      <c r="CNW11" s="3461"/>
      <c r="CNX11" s="3461"/>
      <c r="CNY11" s="3461"/>
      <c r="CNZ11" s="3461"/>
      <c r="COA11" s="3461"/>
      <c r="COB11" s="3461"/>
      <c r="COC11" s="3461"/>
      <c r="COD11" s="3461"/>
      <c r="COE11" s="3461"/>
      <c r="COF11" s="3461"/>
      <c r="COG11" s="3461"/>
      <c r="COH11" s="3461"/>
      <c r="COI11" s="3461"/>
      <c r="COJ11" s="3461"/>
      <c r="COK11" s="3461"/>
      <c r="COL11" s="3461"/>
      <c r="COM11" s="3461"/>
      <c r="CON11" s="3461"/>
      <c r="COO11" s="3461"/>
      <c r="COP11" s="3461"/>
      <c r="COQ11" s="3461"/>
      <c r="COR11" s="3461"/>
      <c r="COS11" s="3461"/>
      <c r="COT11" s="3461"/>
      <c r="COU11" s="3461"/>
      <c r="COV11" s="3461"/>
      <c r="COW11" s="3461"/>
      <c r="COX11" s="3461"/>
      <c r="COY11" s="3461"/>
      <c r="COZ11" s="3461"/>
      <c r="CPA11" s="3461"/>
      <c r="CPB11" s="3461"/>
      <c r="CPC11" s="3461"/>
      <c r="CPD11" s="3461"/>
      <c r="CPE11" s="3461"/>
      <c r="CPF11" s="3461"/>
      <c r="CPG11" s="3461"/>
      <c r="CPH11" s="3461"/>
      <c r="CPI11" s="3461"/>
      <c r="CPJ11" s="3461"/>
      <c r="CPK11" s="3461"/>
      <c r="CPL11" s="3461"/>
      <c r="CPM11" s="3461"/>
      <c r="CPN11" s="3461"/>
      <c r="CPO11" s="3461"/>
      <c r="CPP11" s="3461"/>
      <c r="CPQ11" s="3461"/>
      <c r="CPR11" s="3461"/>
      <c r="CPS11" s="3461"/>
      <c r="CPT11" s="3461"/>
      <c r="CPU11" s="3461"/>
      <c r="CPV11" s="3461"/>
      <c r="CPW11" s="3461"/>
      <c r="CPX11" s="3461"/>
      <c r="CPY11" s="3461"/>
      <c r="CPZ11" s="3461"/>
      <c r="CQA11" s="3461"/>
      <c r="CQB11" s="3461"/>
      <c r="CQC11" s="3461"/>
      <c r="CQD11" s="3461"/>
      <c r="CQE11" s="3461"/>
      <c r="CQF11" s="3461"/>
      <c r="CQG11" s="3461"/>
      <c r="CQH11" s="3461"/>
      <c r="CQI11" s="3461"/>
      <c r="CQJ11" s="3461"/>
      <c r="CQK11" s="3461"/>
      <c r="CQL11" s="3461"/>
      <c r="CQM11" s="3461"/>
      <c r="CQN11" s="3461"/>
      <c r="CQO11" s="3461"/>
      <c r="CQP11" s="3461"/>
      <c r="CQQ11" s="3461"/>
      <c r="CQR11" s="3461"/>
      <c r="CQS11" s="3461"/>
      <c r="CQT11" s="3461"/>
      <c r="CQU11" s="3461"/>
      <c r="CQV11" s="3461"/>
      <c r="CQW11" s="3461"/>
      <c r="CQX11" s="3461"/>
      <c r="CQY11" s="3461"/>
      <c r="CQZ11" s="3461"/>
      <c r="CRA11" s="3461"/>
      <c r="CRB11" s="3461"/>
      <c r="CRC11" s="3461"/>
      <c r="CRD11" s="3461"/>
      <c r="CRE11" s="3461"/>
      <c r="CRF11" s="3461"/>
      <c r="CRG11" s="3461"/>
      <c r="CRH11" s="3461"/>
      <c r="CRI11" s="3461"/>
      <c r="CRJ11" s="3461"/>
      <c r="CRK11" s="3461"/>
      <c r="CRL11" s="3461"/>
      <c r="CRM11" s="3461"/>
      <c r="CRN11" s="3461"/>
      <c r="CRO11" s="3461"/>
      <c r="CRP11" s="3461"/>
      <c r="CRQ11" s="3461"/>
      <c r="CRR11" s="3461"/>
      <c r="CRS11" s="3461"/>
      <c r="CRT11" s="3461"/>
      <c r="CRU11" s="3461"/>
      <c r="CRV11" s="3461"/>
      <c r="CRW11" s="3461"/>
      <c r="CRX11" s="3461"/>
      <c r="CRY11" s="3461"/>
      <c r="CRZ11" s="3461"/>
      <c r="CSA11" s="3461"/>
      <c r="CSB11" s="3461"/>
      <c r="CSC11" s="3461"/>
      <c r="CSD11" s="3461"/>
      <c r="CSE11" s="3461"/>
      <c r="CSF11" s="3461"/>
      <c r="CSG11" s="3461"/>
      <c r="CSH11" s="3461"/>
      <c r="CSI11" s="3461"/>
      <c r="CSJ11" s="3461"/>
      <c r="CSK11" s="3461"/>
      <c r="CSL11" s="3461"/>
      <c r="CSM11" s="3461"/>
      <c r="CSN11" s="3461"/>
      <c r="CSO11" s="3461"/>
      <c r="CSP11" s="3461"/>
      <c r="CSQ11" s="3461"/>
      <c r="CSR11" s="3461"/>
      <c r="CSS11" s="3461"/>
      <c r="CST11" s="3461"/>
      <c r="CSU11" s="3461"/>
      <c r="CSV11" s="3461"/>
      <c r="CSW11" s="3461"/>
      <c r="CSX11" s="3461"/>
      <c r="CSY11" s="3461"/>
      <c r="CSZ11" s="3461"/>
      <c r="CTA11" s="3461"/>
      <c r="CTB11" s="3461"/>
      <c r="CTC11" s="3461"/>
      <c r="CTD11" s="3461"/>
      <c r="CTE11" s="3461"/>
      <c r="CTF11" s="3461"/>
      <c r="CTG11" s="3461"/>
      <c r="CTH11" s="3461"/>
      <c r="CTI11" s="3461"/>
      <c r="CTJ11" s="3461"/>
      <c r="CTK11" s="3461"/>
      <c r="CTL11" s="3461"/>
      <c r="CTM11" s="3461"/>
      <c r="CTN11" s="3461"/>
      <c r="CTO11" s="3461"/>
      <c r="CTP11" s="3461"/>
      <c r="CTQ11" s="3461"/>
      <c r="CTR11" s="3461"/>
      <c r="CTS11" s="3461"/>
      <c r="CTT11" s="3461"/>
      <c r="CTU11" s="3461"/>
      <c r="CTV11" s="3461"/>
      <c r="CTW11" s="3461"/>
      <c r="CTX11" s="3461"/>
      <c r="CTY11" s="3461"/>
      <c r="CTZ11" s="3461"/>
      <c r="CUA11" s="3461"/>
      <c r="CUB11" s="3461"/>
      <c r="CUC11" s="3461"/>
      <c r="CUD11" s="3461"/>
      <c r="CUE11" s="3461"/>
      <c r="CUF11" s="3461"/>
      <c r="CUG11" s="3461"/>
      <c r="CUH11" s="3461"/>
      <c r="CUI11" s="3461"/>
      <c r="CUJ11" s="3461"/>
      <c r="CUK11" s="3461"/>
      <c r="CUL11" s="3461"/>
      <c r="CUM11" s="3461"/>
      <c r="CUN11" s="3461"/>
      <c r="CUO11" s="3461"/>
      <c r="CUP11" s="3461"/>
      <c r="CUQ11" s="3461"/>
      <c r="CUR11" s="3461"/>
      <c r="CUS11" s="3461"/>
      <c r="CUT11" s="3461"/>
      <c r="CUU11" s="3461"/>
      <c r="CUV11" s="3461"/>
      <c r="CUW11" s="3461"/>
      <c r="CUX11" s="3461"/>
      <c r="CUY11" s="3461"/>
      <c r="CUZ11" s="3461"/>
      <c r="CVA11" s="3461"/>
      <c r="CVB11" s="3461"/>
      <c r="CVC11" s="3461"/>
      <c r="CVD11" s="3461"/>
      <c r="CVE11" s="3461"/>
      <c r="CVF11" s="3461"/>
      <c r="CVG11" s="3461"/>
      <c r="CVH11" s="3461"/>
      <c r="CVI11" s="3461"/>
      <c r="CVJ11" s="3461"/>
      <c r="CVK11" s="3461"/>
      <c r="CVL11" s="3461"/>
      <c r="CVM11" s="3461"/>
      <c r="CVN11" s="3461"/>
      <c r="CVO11" s="3461"/>
      <c r="CVP11" s="3461"/>
      <c r="CVQ11" s="3461"/>
      <c r="CVR11" s="3461"/>
      <c r="CVS11" s="3461"/>
      <c r="CVT11" s="3461"/>
      <c r="CVU11" s="3461"/>
      <c r="CVV11" s="3461"/>
      <c r="CVW11" s="3461"/>
      <c r="CVX11" s="3461"/>
      <c r="CVY11" s="3461"/>
      <c r="CVZ11" s="3461"/>
      <c r="CWA11" s="3461"/>
      <c r="CWB11" s="3461"/>
      <c r="CWC11" s="3461"/>
      <c r="CWD11" s="3461"/>
      <c r="CWE11" s="3461"/>
      <c r="CWF11" s="3461"/>
      <c r="CWG11" s="3461"/>
      <c r="CWH11" s="3461"/>
      <c r="CWI11" s="3461"/>
      <c r="CWJ11" s="3461"/>
      <c r="CWK11" s="3461"/>
      <c r="CWL11" s="3461"/>
      <c r="CWM11" s="3461"/>
      <c r="CWN11" s="3461"/>
      <c r="CWO11" s="3461"/>
      <c r="CWP11" s="3461"/>
      <c r="CWQ11" s="3461"/>
      <c r="CWR11" s="3461"/>
      <c r="CWS11" s="3461"/>
      <c r="CWT11" s="3461"/>
      <c r="CWU11" s="3461"/>
      <c r="CWV11" s="3461"/>
      <c r="CWW11" s="3461"/>
      <c r="CWX11" s="3461"/>
      <c r="CWY11" s="3461"/>
      <c r="CWZ11" s="3461"/>
      <c r="CXA11" s="3461"/>
      <c r="CXB11" s="3461"/>
      <c r="CXC11" s="3461"/>
      <c r="CXD11" s="3461"/>
      <c r="CXE11" s="3461"/>
      <c r="CXF11" s="3461"/>
      <c r="CXG11" s="3461"/>
      <c r="CXH11" s="3461"/>
      <c r="CXI11" s="3461"/>
      <c r="CXJ11" s="3461"/>
      <c r="CXK11" s="3461"/>
      <c r="CXL11" s="3461"/>
      <c r="CXM11" s="3461"/>
      <c r="CXN11" s="3461"/>
      <c r="CXO11" s="3461"/>
      <c r="CXP11" s="3461"/>
      <c r="CXQ11" s="3461"/>
      <c r="CXR11" s="3461"/>
      <c r="CXS11" s="3461"/>
      <c r="CXT11" s="3461"/>
      <c r="CXU11" s="3461"/>
      <c r="CXV11" s="3461"/>
      <c r="CXW11" s="3461"/>
      <c r="CXX11" s="3461"/>
      <c r="CXY11" s="3461"/>
      <c r="CXZ11" s="3461"/>
      <c r="CYA11" s="3461"/>
      <c r="CYB11" s="3461"/>
      <c r="CYC11" s="3461"/>
      <c r="CYD11" s="3461"/>
      <c r="CYE11" s="3461"/>
      <c r="CYF11" s="3461"/>
      <c r="CYG11" s="3461"/>
      <c r="CYH11" s="3461"/>
      <c r="CYI11" s="3461"/>
      <c r="CYJ11" s="3461"/>
      <c r="CYK11" s="3461"/>
      <c r="CYL11" s="3461"/>
      <c r="CYM11" s="3461"/>
      <c r="CYN11" s="3461"/>
      <c r="CYO11" s="3461"/>
      <c r="CYP11" s="3461"/>
      <c r="CYQ11" s="3461"/>
      <c r="CYR11" s="3461"/>
      <c r="CYS11" s="3461"/>
      <c r="CYT11" s="3461"/>
      <c r="CYU11" s="3461"/>
      <c r="CYV11" s="3461"/>
      <c r="CYW11" s="3461"/>
      <c r="CYX11" s="3461"/>
      <c r="CYY11" s="3461"/>
      <c r="CYZ11" s="3461"/>
      <c r="CZA11" s="3461"/>
      <c r="CZB11" s="3461"/>
      <c r="CZC11" s="3461"/>
      <c r="CZD11" s="3461"/>
      <c r="CZE11" s="3461"/>
      <c r="CZF11" s="3461"/>
      <c r="CZG11" s="3461"/>
      <c r="CZH11" s="3461"/>
      <c r="CZI11" s="3461"/>
      <c r="CZJ11" s="3461"/>
      <c r="CZK11" s="3461"/>
      <c r="CZL11" s="3461"/>
      <c r="CZM11" s="3461"/>
      <c r="CZN11" s="3461"/>
      <c r="CZO11" s="3461"/>
      <c r="CZP11" s="3461"/>
      <c r="CZQ11" s="3461"/>
      <c r="CZR11" s="3461"/>
      <c r="CZS11" s="3461"/>
      <c r="CZT11" s="3461"/>
      <c r="CZU11" s="3461"/>
      <c r="CZV11" s="3461"/>
      <c r="CZW11" s="3461"/>
      <c r="CZX11" s="3461"/>
      <c r="CZY11" s="3461"/>
      <c r="CZZ11" s="3461"/>
      <c r="DAA11" s="3461"/>
      <c r="DAB11" s="3461"/>
      <c r="DAC11" s="3461"/>
      <c r="DAD11" s="3461"/>
      <c r="DAE11" s="3461"/>
      <c r="DAF11" s="3461"/>
      <c r="DAG11" s="3461"/>
      <c r="DAH11" s="3461"/>
      <c r="DAI11" s="3461"/>
      <c r="DAJ11" s="3461"/>
      <c r="DAK11" s="3461"/>
      <c r="DAL11" s="3461"/>
      <c r="DAM11" s="3461"/>
      <c r="DAN11" s="3461"/>
      <c r="DAO11" s="3461"/>
      <c r="DAP11" s="3461"/>
      <c r="DAQ11" s="3461"/>
      <c r="DAR11" s="3461"/>
      <c r="DAS11" s="3461"/>
      <c r="DAT11" s="3461"/>
      <c r="DAU11" s="3461"/>
      <c r="DAV11" s="3461"/>
      <c r="DAW11" s="3461"/>
      <c r="DAX11" s="3461"/>
      <c r="DAY11" s="3461"/>
      <c r="DAZ11" s="3461"/>
      <c r="DBA11" s="3461"/>
      <c r="DBB11" s="3461"/>
      <c r="DBC11" s="3461"/>
      <c r="DBD11" s="3461"/>
      <c r="DBE11" s="3461"/>
      <c r="DBF11" s="3461"/>
      <c r="DBG11" s="3461"/>
      <c r="DBH11" s="3461"/>
      <c r="DBI11" s="3461"/>
      <c r="DBJ11" s="3461"/>
      <c r="DBK11" s="3461"/>
      <c r="DBL11" s="3461"/>
      <c r="DBM11" s="3461"/>
      <c r="DBN11" s="3461"/>
      <c r="DBO11" s="3461"/>
      <c r="DBP11" s="3461"/>
      <c r="DBQ11" s="3461"/>
      <c r="DBR11" s="3461"/>
      <c r="DBS11" s="3461"/>
      <c r="DBT11" s="3461"/>
      <c r="DBU11" s="3461"/>
      <c r="DBV11" s="3461"/>
      <c r="DBW11" s="3461"/>
      <c r="DBX11" s="3461"/>
      <c r="DBY11" s="3461"/>
      <c r="DBZ11" s="3461"/>
      <c r="DCA11" s="3461"/>
      <c r="DCB11" s="3461"/>
      <c r="DCC11" s="3461"/>
      <c r="DCD11" s="3461"/>
      <c r="DCE11" s="3461"/>
      <c r="DCF11" s="3461"/>
      <c r="DCG11" s="3461"/>
      <c r="DCH11" s="3461"/>
      <c r="DCI11" s="3461"/>
      <c r="DCJ11" s="3461"/>
      <c r="DCK11" s="3461"/>
      <c r="DCL11" s="3461"/>
      <c r="DCM11" s="3461"/>
      <c r="DCN11" s="3461"/>
      <c r="DCO11" s="3461"/>
      <c r="DCP11" s="3461"/>
      <c r="DCQ11" s="3461"/>
      <c r="DCR11" s="3461"/>
      <c r="DCS11" s="3461"/>
      <c r="DCT11" s="3461"/>
      <c r="DCU11" s="3461"/>
      <c r="DCV11" s="3461"/>
      <c r="DCW11" s="3461"/>
      <c r="DCX11" s="3461"/>
      <c r="DCY11" s="3461"/>
      <c r="DCZ11" s="3461"/>
      <c r="DDA11" s="3461"/>
      <c r="DDB11" s="3461"/>
      <c r="DDC11" s="3461"/>
      <c r="DDD11" s="3461"/>
      <c r="DDE11" s="3461"/>
      <c r="DDF11" s="3461"/>
      <c r="DDG11" s="3461"/>
      <c r="DDH11" s="3461"/>
      <c r="DDI11" s="3461"/>
      <c r="DDJ11" s="3461"/>
      <c r="DDK11" s="3461"/>
      <c r="DDL11" s="3461"/>
      <c r="DDM11" s="3461"/>
      <c r="DDN11" s="3461"/>
      <c r="DDO11" s="3461"/>
      <c r="DDP11" s="3461"/>
      <c r="DDQ11" s="3461"/>
      <c r="DDR11" s="3461"/>
      <c r="DDS11" s="3461"/>
      <c r="DDT11" s="3461"/>
      <c r="DDU11" s="3461"/>
      <c r="DDV11" s="3461"/>
      <c r="DDW11" s="3461"/>
      <c r="DDX11" s="3461"/>
      <c r="DDY11" s="3461"/>
      <c r="DDZ11" s="3461"/>
      <c r="DEA11" s="3461"/>
      <c r="DEB11" s="3461"/>
      <c r="DEC11" s="3461"/>
      <c r="DED11" s="3461"/>
      <c r="DEE11" s="3461"/>
      <c r="DEF11" s="3461"/>
      <c r="DEG11" s="3461"/>
      <c r="DEH11" s="3461"/>
      <c r="DEI11" s="3461"/>
      <c r="DEJ11" s="3461"/>
      <c r="DEK11" s="3461"/>
      <c r="DEL11" s="3461"/>
      <c r="DEM11" s="3461"/>
      <c r="DEN11" s="3461"/>
      <c r="DEO11" s="3461"/>
      <c r="DEP11" s="3461"/>
      <c r="DEQ11" s="3461"/>
      <c r="DER11" s="3461"/>
      <c r="DES11" s="3461"/>
      <c r="DET11" s="3461"/>
      <c r="DEU11" s="3461"/>
      <c r="DEV11" s="3461"/>
      <c r="DEW11" s="3461"/>
      <c r="DEX11" s="3461"/>
      <c r="DEY11" s="3461"/>
      <c r="DEZ11" s="3461"/>
      <c r="DFA11" s="3461"/>
      <c r="DFB11" s="3461"/>
      <c r="DFC11" s="3461"/>
      <c r="DFD11" s="3461"/>
      <c r="DFE11" s="3461"/>
      <c r="DFF11" s="3461"/>
      <c r="DFG11" s="3461"/>
      <c r="DFH11" s="3461"/>
      <c r="DFI11" s="3461"/>
      <c r="DFJ11" s="3461"/>
      <c r="DFK11" s="3461"/>
      <c r="DFL11" s="3461"/>
      <c r="DFM11" s="3461"/>
      <c r="DFN11" s="3461"/>
      <c r="DFO11" s="3461"/>
      <c r="DFP11" s="3461"/>
      <c r="DFQ11" s="3461"/>
      <c r="DFR11" s="3461"/>
      <c r="DFS11" s="3461"/>
      <c r="DFT11" s="3461"/>
      <c r="DFU11" s="3461"/>
      <c r="DFV11" s="3461"/>
      <c r="DFW11" s="3461"/>
      <c r="DFX11" s="3461"/>
      <c r="DFY11" s="3461"/>
      <c r="DFZ11" s="3461"/>
      <c r="DGA11" s="3461"/>
      <c r="DGB11" s="3461"/>
      <c r="DGC11" s="3461"/>
      <c r="DGD11" s="3461"/>
      <c r="DGE11" s="3461"/>
      <c r="DGF11" s="3461"/>
      <c r="DGG11" s="3461"/>
      <c r="DGH11" s="3461"/>
      <c r="DGI11" s="3461"/>
      <c r="DGJ11" s="3461"/>
      <c r="DGK11" s="3461"/>
      <c r="DGL11" s="3461"/>
      <c r="DGM11" s="3461"/>
      <c r="DGN11" s="3461"/>
      <c r="DGO11" s="3461"/>
      <c r="DGP11" s="3461"/>
      <c r="DGQ11" s="3461"/>
      <c r="DGR11" s="3461"/>
      <c r="DGS11" s="3461"/>
      <c r="DGT11" s="3461"/>
      <c r="DGU11" s="3461"/>
      <c r="DGV11" s="3461"/>
      <c r="DGW11" s="3461"/>
      <c r="DGX11" s="3461"/>
      <c r="DGY11" s="3461"/>
      <c r="DGZ11" s="3461"/>
      <c r="DHA11" s="3461"/>
      <c r="DHB11" s="3461"/>
      <c r="DHC11" s="3461"/>
      <c r="DHD11" s="3461"/>
      <c r="DHE11" s="3461"/>
      <c r="DHF11" s="3461"/>
      <c r="DHG11" s="3461"/>
      <c r="DHH11" s="3461"/>
      <c r="DHI11" s="3461"/>
      <c r="DHJ11" s="3461"/>
      <c r="DHK11" s="3461"/>
      <c r="DHL11" s="3461"/>
      <c r="DHM11" s="3461"/>
      <c r="DHN11" s="3461"/>
      <c r="DHO11" s="3461"/>
      <c r="DHP11" s="3461"/>
      <c r="DHQ11" s="3461"/>
      <c r="DHR11" s="3461"/>
      <c r="DHS11" s="3461"/>
      <c r="DHT11" s="3461"/>
      <c r="DHU11" s="3461"/>
      <c r="DHV11" s="3461"/>
      <c r="DHW11" s="3461"/>
      <c r="DHX11" s="3461"/>
      <c r="DHY11" s="3461"/>
      <c r="DHZ11" s="3461"/>
      <c r="DIA11" s="3461"/>
      <c r="DIB11" s="3461"/>
      <c r="DIC11" s="3461"/>
      <c r="DID11" s="3461"/>
      <c r="DIE11" s="3461"/>
      <c r="DIF11" s="3461"/>
      <c r="DIG11" s="3461"/>
      <c r="DIH11" s="3461"/>
      <c r="DII11" s="3461"/>
      <c r="DIJ11" s="3461"/>
      <c r="DIK11" s="3461"/>
      <c r="DIL11" s="3461"/>
      <c r="DIM11" s="3461"/>
      <c r="DIN11" s="3461"/>
      <c r="DIO11" s="3461"/>
      <c r="DIP11" s="3461"/>
      <c r="DIQ11" s="3461"/>
      <c r="DIR11" s="3461"/>
      <c r="DIS11" s="3461"/>
      <c r="DIT11" s="3461"/>
      <c r="DIU11" s="3461"/>
      <c r="DIV11" s="3461"/>
      <c r="DIW11" s="3461"/>
      <c r="DIX11" s="3461"/>
      <c r="DIY11" s="3461"/>
      <c r="DIZ11" s="3461"/>
      <c r="DJA11" s="3461"/>
      <c r="DJB11" s="3461"/>
      <c r="DJC11" s="3461"/>
      <c r="DJD11" s="3461"/>
      <c r="DJE11" s="3461"/>
      <c r="DJF11" s="3461"/>
      <c r="DJG11" s="3461"/>
      <c r="DJH11" s="3461"/>
      <c r="DJI11" s="3461"/>
      <c r="DJJ11" s="3461"/>
      <c r="DJK11" s="3461"/>
      <c r="DJL11" s="3461"/>
      <c r="DJM11" s="3461"/>
      <c r="DJN11" s="3461"/>
      <c r="DJO11" s="3461"/>
      <c r="DJP11" s="3461"/>
      <c r="DJQ11" s="3461"/>
      <c r="DJR11" s="3461"/>
      <c r="DJS11" s="3461"/>
      <c r="DJT11" s="3461"/>
      <c r="DJU11" s="3461"/>
      <c r="DJV11" s="3461"/>
      <c r="DJW11" s="3461"/>
      <c r="DJX11" s="3461"/>
      <c r="DJY11" s="3461"/>
      <c r="DJZ11" s="3461"/>
      <c r="DKA11" s="3461"/>
      <c r="DKB11" s="3461"/>
      <c r="DKC11" s="3461"/>
      <c r="DKD11" s="3461"/>
      <c r="DKE11" s="3461"/>
      <c r="DKF11" s="3461"/>
      <c r="DKG11" s="3461"/>
      <c r="DKH11" s="3461"/>
      <c r="DKI11" s="3461"/>
      <c r="DKJ11" s="3461"/>
      <c r="DKK11" s="3461"/>
      <c r="DKL11" s="3461"/>
      <c r="DKM11" s="3461"/>
      <c r="DKN11" s="3461"/>
      <c r="DKO11" s="3461"/>
      <c r="DKP11" s="3461"/>
      <c r="DKQ11" s="3461"/>
      <c r="DKR11" s="3461"/>
      <c r="DKS11" s="3461"/>
      <c r="DKT11" s="3461"/>
      <c r="DKU11" s="3461"/>
      <c r="DKV11" s="3461"/>
      <c r="DKW11" s="3461"/>
      <c r="DKX11" s="3461"/>
      <c r="DKY11" s="3461"/>
      <c r="DKZ11" s="3461"/>
      <c r="DLA11" s="3461"/>
      <c r="DLB11" s="3461"/>
      <c r="DLC11" s="3461"/>
      <c r="DLD11" s="3461"/>
      <c r="DLE11" s="3461"/>
      <c r="DLF11" s="3461"/>
      <c r="DLG11" s="3461"/>
      <c r="DLH11" s="3461"/>
      <c r="DLI11" s="3461"/>
      <c r="DLJ11" s="3461"/>
      <c r="DLK11" s="3461"/>
      <c r="DLL11" s="3461"/>
      <c r="DLM11" s="3461"/>
      <c r="DLN11" s="3461"/>
      <c r="DLO11" s="3461"/>
      <c r="DLP11" s="3461"/>
      <c r="DLQ11" s="3461"/>
      <c r="DLR11" s="3461"/>
      <c r="DLS11" s="3461"/>
      <c r="DLT11" s="3461"/>
      <c r="DLU11" s="3461"/>
      <c r="DLV11" s="3461"/>
      <c r="DLW11" s="3461"/>
      <c r="DLX11" s="3461"/>
      <c r="DLY11" s="3461"/>
      <c r="DLZ11" s="3461"/>
      <c r="DMA11" s="3461"/>
      <c r="DMB11" s="3461"/>
      <c r="DMC11" s="3461"/>
      <c r="DMD11" s="3461"/>
      <c r="DME11" s="3461"/>
      <c r="DMF11" s="3461"/>
      <c r="DMG11" s="3461"/>
      <c r="DMH11" s="3461"/>
      <c r="DMI11" s="3461"/>
      <c r="DMJ11" s="3461"/>
      <c r="DMK11" s="3461"/>
      <c r="DML11" s="3461"/>
      <c r="DMM11" s="3461"/>
      <c r="DMN11" s="3461"/>
      <c r="DMO11" s="3461"/>
      <c r="DMP11" s="3461"/>
      <c r="DMQ11" s="3461"/>
      <c r="DMR11" s="3461"/>
      <c r="DMS11" s="3461"/>
      <c r="DMT11" s="3461"/>
      <c r="DMU11" s="3461"/>
      <c r="DMV11" s="3461"/>
      <c r="DMW11" s="3461"/>
      <c r="DMX11" s="3461"/>
      <c r="DMY11" s="3461"/>
      <c r="DMZ11" s="3461"/>
      <c r="DNA11" s="3461"/>
      <c r="DNB11" s="3461"/>
      <c r="DNC11" s="3461"/>
      <c r="DND11" s="3461"/>
      <c r="DNE11" s="3461"/>
      <c r="DNF11" s="3461"/>
      <c r="DNG11" s="3461"/>
      <c r="DNH11" s="3461"/>
      <c r="DNI11" s="3461"/>
      <c r="DNJ11" s="3461"/>
      <c r="DNK11" s="3461"/>
      <c r="DNL11" s="3461"/>
      <c r="DNM11" s="3461"/>
      <c r="DNN11" s="3461"/>
      <c r="DNO11" s="3461"/>
      <c r="DNP11" s="3461"/>
      <c r="DNQ11" s="3461"/>
      <c r="DNR11" s="3461"/>
      <c r="DNS11" s="3461"/>
      <c r="DNT11" s="3461"/>
      <c r="DNU11" s="3461"/>
      <c r="DNV11" s="3461"/>
      <c r="DNW11" s="3461"/>
      <c r="DNX11" s="3461"/>
      <c r="DNY11" s="3461"/>
      <c r="DNZ11" s="3461"/>
      <c r="DOA11" s="3461"/>
      <c r="DOB11" s="3461"/>
      <c r="DOC11" s="3461"/>
      <c r="DOD11" s="3461"/>
      <c r="DOE11" s="3461"/>
      <c r="DOF11" s="3461"/>
      <c r="DOG11" s="3461"/>
      <c r="DOH11" s="3461"/>
      <c r="DOI11" s="3461"/>
      <c r="DOJ11" s="3461"/>
      <c r="DOK11" s="3461"/>
      <c r="DOL11" s="3461"/>
      <c r="DOM11" s="3461"/>
      <c r="DON11" s="3461"/>
      <c r="DOO11" s="3461"/>
      <c r="DOP11" s="3461"/>
      <c r="DOQ11" s="3461"/>
      <c r="DOR11" s="3461"/>
      <c r="DOS11" s="3461"/>
      <c r="DOT11" s="3461"/>
      <c r="DOU11" s="3461"/>
      <c r="DOV11" s="3461"/>
      <c r="DOW11" s="3461"/>
      <c r="DOX11" s="3461"/>
      <c r="DOY11" s="3461"/>
      <c r="DOZ11" s="3461"/>
      <c r="DPA11" s="3461"/>
      <c r="DPB11" s="3461"/>
      <c r="DPC11" s="3461"/>
      <c r="DPD11" s="3461"/>
      <c r="DPE11" s="3461"/>
      <c r="DPF11" s="3461"/>
      <c r="DPG11" s="3461"/>
      <c r="DPH11" s="3461"/>
      <c r="DPI11" s="3461"/>
      <c r="DPJ11" s="3461"/>
      <c r="DPK11" s="3461"/>
      <c r="DPL11" s="3461"/>
      <c r="DPM11" s="3461"/>
      <c r="DPN11" s="3461"/>
      <c r="DPO11" s="3461"/>
      <c r="DPP11" s="3461"/>
      <c r="DPQ11" s="3461"/>
      <c r="DPR11" s="3461"/>
      <c r="DPS11" s="3461"/>
      <c r="DPT11" s="3461"/>
      <c r="DPU11" s="3461"/>
      <c r="DPV11" s="3461"/>
      <c r="DPW11" s="3461"/>
      <c r="DPX11" s="3461"/>
      <c r="DPY11" s="3461"/>
      <c r="DPZ11" s="3461"/>
      <c r="DQA11" s="3461"/>
      <c r="DQB11" s="3461"/>
      <c r="DQC11" s="3461"/>
      <c r="DQD11" s="3461"/>
      <c r="DQE11" s="3461"/>
      <c r="DQF11" s="3461"/>
      <c r="DQG11" s="3461"/>
      <c r="DQH11" s="3461"/>
      <c r="DQI11" s="3461"/>
      <c r="DQJ11" s="3461"/>
      <c r="DQK11" s="3461"/>
      <c r="DQL11" s="3461"/>
      <c r="DQM11" s="3461"/>
      <c r="DQN11" s="3461"/>
      <c r="DQO11" s="3461"/>
      <c r="DQP11" s="3461"/>
      <c r="DQQ11" s="3461"/>
      <c r="DQR11" s="3461"/>
      <c r="DQS11" s="3461"/>
      <c r="DQT11" s="3461"/>
      <c r="DQU11" s="3461"/>
      <c r="DQV11" s="3461"/>
      <c r="DQW11" s="3461"/>
      <c r="DQX11" s="3461"/>
      <c r="DQY11" s="3461"/>
      <c r="DQZ11" s="3461"/>
      <c r="DRA11" s="3461"/>
      <c r="DRB11" s="3461"/>
      <c r="DRC11" s="3461"/>
      <c r="DRD11" s="3461"/>
      <c r="DRE11" s="3461"/>
      <c r="DRF11" s="3461"/>
      <c r="DRG11" s="3461"/>
      <c r="DRH11" s="3461"/>
      <c r="DRI11" s="3461"/>
      <c r="DRJ11" s="3461"/>
      <c r="DRK11" s="3461"/>
      <c r="DRL11" s="3461"/>
      <c r="DRM11" s="3461"/>
      <c r="DRN11" s="3461"/>
      <c r="DRO11" s="3461"/>
      <c r="DRP11" s="3461"/>
      <c r="DRQ11" s="3461"/>
      <c r="DRR11" s="3461"/>
      <c r="DRS11" s="3461"/>
      <c r="DRT11" s="3461"/>
      <c r="DRU11" s="3461"/>
      <c r="DRV11" s="3461"/>
      <c r="DRW11" s="3461"/>
      <c r="DRX11" s="3461"/>
      <c r="DRY11" s="3461"/>
      <c r="DRZ11" s="3461"/>
      <c r="DSA11" s="3461"/>
      <c r="DSB11" s="3461"/>
      <c r="DSC11" s="3461"/>
      <c r="DSD11" s="3461"/>
      <c r="DSE11" s="3461"/>
      <c r="DSF11" s="3461"/>
      <c r="DSG11" s="3461"/>
      <c r="DSH11" s="3461"/>
      <c r="DSI11" s="3461"/>
      <c r="DSJ11" s="3461"/>
      <c r="DSK11" s="3461"/>
      <c r="DSL11" s="3461"/>
      <c r="DSM11" s="3461"/>
      <c r="DSN11" s="3461"/>
      <c r="DSO11" s="3461"/>
      <c r="DSP11" s="3461"/>
      <c r="DSQ11" s="3461"/>
      <c r="DSR11" s="3461"/>
      <c r="DSS11" s="3461"/>
      <c r="DST11" s="3461"/>
      <c r="DSU11" s="3461"/>
      <c r="DSV11" s="3461"/>
      <c r="DSW11" s="3461"/>
      <c r="DSX11" s="3461"/>
      <c r="DSY11" s="3461"/>
      <c r="DSZ11" s="3461"/>
      <c r="DTA11" s="3461"/>
      <c r="DTB11" s="3461"/>
      <c r="DTC11" s="3461"/>
      <c r="DTD11" s="3461"/>
      <c r="DTE11" s="3461"/>
      <c r="DTF11" s="3461"/>
      <c r="DTG11" s="3461"/>
      <c r="DTH11" s="3461"/>
      <c r="DTI11" s="3461"/>
      <c r="DTJ11" s="3461"/>
      <c r="DTK11" s="3461"/>
      <c r="DTL11" s="3461"/>
      <c r="DTM11" s="3461"/>
      <c r="DTN11" s="3461"/>
      <c r="DTO11" s="3461"/>
      <c r="DTP11" s="3461"/>
      <c r="DTQ11" s="3461"/>
      <c r="DTR11" s="3461"/>
      <c r="DTS11" s="3461"/>
      <c r="DTT11" s="3461"/>
      <c r="DTU11" s="3461"/>
      <c r="DTV11" s="3461"/>
      <c r="DTW11" s="3461"/>
      <c r="DTX11" s="3461"/>
      <c r="DTY11" s="3461"/>
      <c r="DTZ11" s="3461"/>
      <c r="DUA11" s="3461"/>
      <c r="DUB11" s="3461"/>
      <c r="DUC11" s="3461"/>
      <c r="DUD11" s="3461"/>
      <c r="DUE11" s="3461"/>
      <c r="DUF11" s="3461"/>
      <c r="DUG11" s="3461"/>
      <c r="DUH11" s="3461"/>
      <c r="DUI11" s="3461"/>
      <c r="DUJ11" s="3461"/>
      <c r="DUK11" s="3461"/>
      <c r="DUL11" s="3461"/>
      <c r="DUM11" s="3461"/>
      <c r="DUN11" s="3461"/>
      <c r="DUO11" s="3461"/>
      <c r="DUP11" s="3461"/>
      <c r="DUQ11" s="3461"/>
      <c r="DUR11" s="3461"/>
      <c r="DUS11" s="3461"/>
      <c r="DUT11" s="3461"/>
      <c r="DUU11" s="3461"/>
      <c r="DUV11" s="3461"/>
      <c r="DUW11" s="3461"/>
      <c r="DUX11" s="3461"/>
      <c r="DUY11" s="3461"/>
      <c r="DUZ11" s="3461"/>
      <c r="DVA11" s="3461"/>
      <c r="DVB11" s="3461"/>
      <c r="DVC11" s="3461"/>
      <c r="DVD11" s="3461"/>
      <c r="DVE11" s="3461"/>
      <c r="DVF11" s="3461"/>
      <c r="DVG11" s="3461"/>
      <c r="DVH11" s="3461"/>
      <c r="DVI11" s="3461"/>
      <c r="DVJ11" s="3461"/>
      <c r="DVK11" s="3461"/>
      <c r="DVL11" s="3461"/>
      <c r="DVM11" s="3461"/>
      <c r="DVN11" s="3461"/>
      <c r="DVO11" s="3461"/>
      <c r="DVP11" s="3461"/>
      <c r="DVQ11" s="3461"/>
      <c r="DVR11" s="3461"/>
      <c r="DVS11" s="3461"/>
      <c r="DVT11" s="3461"/>
      <c r="DVU11" s="3461"/>
      <c r="DVV11" s="3461"/>
      <c r="DVW11" s="3461"/>
      <c r="DVX11" s="3461"/>
      <c r="DVY11" s="3461"/>
      <c r="DVZ11" s="3461"/>
      <c r="DWA11" s="3461"/>
      <c r="DWB11" s="3461"/>
      <c r="DWC11" s="3461"/>
      <c r="DWD11" s="3461"/>
      <c r="DWE11" s="3461"/>
      <c r="DWF11" s="3461"/>
      <c r="DWG11" s="3461"/>
      <c r="DWH11" s="3461"/>
      <c r="DWI11" s="3461"/>
      <c r="DWJ11" s="3461"/>
      <c r="DWK11" s="3461"/>
      <c r="DWL11" s="3461"/>
      <c r="DWM11" s="3461"/>
      <c r="DWN11" s="3461"/>
      <c r="DWO11" s="3461"/>
      <c r="DWP11" s="3461"/>
      <c r="DWQ11" s="3461"/>
      <c r="DWR11" s="3461"/>
      <c r="DWS11" s="3461"/>
      <c r="DWT11" s="3461"/>
      <c r="DWU11" s="3461"/>
      <c r="DWV11" s="3461"/>
      <c r="DWW11" s="3461"/>
      <c r="DWX11" s="3461"/>
      <c r="DWY11" s="3461"/>
      <c r="DWZ11" s="3461"/>
      <c r="DXA11" s="3461"/>
      <c r="DXB11" s="3461"/>
      <c r="DXC11" s="3461"/>
      <c r="DXD11" s="3461"/>
      <c r="DXE11" s="3461"/>
      <c r="DXF11" s="3461"/>
      <c r="DXG11" s="3461"/>
      <c r="DXH11" s="3461"/>
      <c r="DXI11" s="3461"/>
      <c r="DXJ11" s="3461"/>
      <c r="DXK11" s="3461"/>
      <c r="DXL11" s="3461"/>
      <c r="DXM11" s="3461"/>
      <c r="DXN11" s="3461"/>
      <c r="DXO11" s="3461"/>
      <c r="DXP11" s="3461"/>
      <c r="DXQ11" s="3461"/>
      <c r="DXR11" s="3461"/>
      <c r="DXS11" s="3461"/>
      <c r="DXT11" s="3461"/>
      <c r="DXU11" s="3461"/>
      <c r="DXV11" s="3461"/>
      <c r="DXW11" s="3461"/>
      <c r="DXX11" s="3461"/>
      <c r="DXY11" s="3461"/>
      <c r="DXZ11" s="3461"/>
      <c r="DYA11" s="3461"/>
      <c r="DYB11" s="3461"/>
      <c r="DYC11" s="3461"/>
      <c r="DYD11" s="3461"/>
      <c r="DYE11" s="3461"/>
      <c r="DYF11" s="3461"/>
      <c r="DYG11" s="3461"/>
      <c r="DYH11" s="3461"/>
      <c r="DYI11" s="3461"/>
      <c r="DYJ11" s="3461"/>
      <c r="DYK11" s="3461"/>
      <c r="DYL11" s="3461"/>
      <c r="DYM11" s="3461"/>
      <c r="DYN11" s="3461"/>
      <c r="DYO11" s="3461"/>
      <c r="DYP11" s="3461"/>
      <c r="DYQ11" s="3461"/>
      <c r="DYR11" s="3461"/>
      <c r="DYS11" s="3461"/>
      <c r="DYT11" s="3461"/>
      <c r="DYU11" s="3461"/>
      <c r="DYV11" s="3461"/>
      <c r="DYW11" s="3461"/>
      <c r="DYX11" s="3461"/>
      <c r="DYY11" s="3461"/>
      <c r="DYZ11" s="3461"/>
      <c r="DZA11" s="3461"/>
      <c r="DZB11" s="3461"/>
      <c r="DZC11" s="3461"/>
      <c r="DZD11" s="3461"/>
      <c r="DZE11" s="3461"/>
      <c r="DZF11" s="3461"/>
      <c r="DZG11" s="3461"/>
      <c r="DZH11" s="3461"/>
      <c r="DZI11" s="3461"/>
      <c r="DZJ11" s="3461"/>
      <c r="DZK11" s="3461"/>
      <c r="DZL11" s="3461"/>
      <c r="DZM11" s="3461"/>
      <c r="DZN11" s="3461"/>
      <c r="DZO11" s="3461"/>
      <c r="DZP11" s="3461"/>
      <c r="DZQ11" s="3461"/>
      <c r="DZR11" s="3461"/>
      <c r="DZS11" s="3461"/>
      <c r="DZT11" s="3461"/>
      <c r="DZU11" s="3461"/>
      <c r="DZV11" s="3461"/>
      <c r="DZW11" s="3461"/>
      <c r="DZX11" s="3461"/>
      <c r="DZY11" s="3461"/>
      <c r="DZZ11" s="3461"/>
      <c r="EAA11" s="3461"/>
      <c r="EAB11" s="3461"/>
      <c r="EAC11" s="3461"/>
      <c r="EAD11" s="3461"/>
      <c r="EAE11" s="3461"/>
      <c r="EAF11" s="3461"/>
      <c r="EAG11" s="3461"/>
      <c r="EAH11" s="3461"/>
      <c r="EAI11" s="3461"/>
      <c r="EAJ11" s="3461"/>
      <c r="EAK11" s="3461"/>
      <c r="EAL11" s="3461"/>
      <c r="EAM11" s="3461"/>
      <c r="EAN11" s="3461"/>
      <c r="EAO11" s="3461"/>
      <c r="EAP11" s="3461"/>
      <c r="EAQ11" s="3461"/>
      <c r="EAR11" s="3461"/>
      <c r="EAS11" s="3461"/>
      <c r="EAT11" s="3461"/>
      <c r="EAU11" s="3461"/>
      <c r="EAV11" s="3461"/>
      <c r="EAW11" s="3461"/>
      <c r="EAX11" s="3461"/>
      <c r="EAY11" s="3461"/>
      <c r="EAZ11" s="3461"/>
      <c r="EBA11" s="3461"/>
      <c r="EBB11" s="3461"/>
      <c r="EBC11" s="3461"/>
      <c r="EBD11" s="3461"/>
      <c r="EBE11" s="3461"/>
      <c r="EBF11" s="3461"/>
      <c r="EBG11" s="3461"/>
      <c r="EBH11" s="3461"/>
      <c r="EBI11" s="3461"/>
      <c r="EBJ11" s="3461"/>
      <c r="EBK11" s="3461"/>
      <c r="EBL11" s="3461"/>
      <c r="EBM11" s="3461"/>
      <c r="EBN11" s="3461"/>
      <c r="EBO11" s="3461"/>
      <c r="EBP11" s="3461"/>
      <c r="EBQ11" s="3461"/>
      <c r="EBR11" s="3461"/>
      <c r="EBS11" s="3461"/>
      <c r="EBT11" s="3461"/>
      <c r="EBU11" s="3461"/>
      <c r="EBV11" s="3461"/>
      <c r="EBW11" s="3461"/>
      <c r="EBX11" s="3461"/>
      <c r="EBY11" s="3461"/>
      <c r="EBZ11" s="3461"/>
      <c r="ECA11" s="3461"/>
      <c r="ECB11" s="3461"/>
      <c r="ECC11" s="3461"/>
      <c r="ECD11" s="3461"/>
      <c r="ECE11" s="3461"/>
      <c r="ECF11" s="3461"/>
      <c r="ECG11" s="3461"/>
      <c r="ECH11" s="3461"/>
      <c r="ECI11" s="3461"/>
      <c r="ECJ11" s="3461"/>
      <c r="ECK11" s="3461"/>
      <c r="ECL11" s="3461"/>
      <c r="ECM11" s="3461"/>
      <c r="ECN11" s="3461"/>
      <c r="ECO11" s="3461"/>
      <c r="ECP11" s="3461"/>
      <c r="ECQ11" s="3461"/>
      <c r="ECR11" s="3461"/>
      <c r="ECS11" s="3461"/>
      <c r="ECT11" s="3461"/>
      <c r="ECU11" s="3461"/>
      <c r="ECV11" s="3461"/>
      <c r="ECW11" s="3461"/>
      <c r="ECX11" s="3461"/>
      <c r="ECY11" s="3461"/>
      <c r="ECZ11" s="3461"/>
      <c r="EDA11" s="3461"/>
      <c r="EDB11" s="3461"/>
      <c r="EDC11" s="3461"/>
      <c r="EDD11" s="3461"/>
      <c r="EDE11" s="3461"/>
      <c r="EDF11" s="3461"/>
      <c r="EDG11" s="3461"/>
      <c r="EDH11" s="3461"/>
      <c r="EDI11" s="3461"/>
      <c r="EDJ11" s="3461"/>
      <c r="EDK11" s="3461"/>
      <c r="EDL11" s="3461"/>
      <c r="EDM11" s="3461"/>
      <c r="EDN11" s="3461"/>
      <c r="EDO11" s="3461"/>
      <c r="EDP11" s="3461"/>
      <c r="EDQ11" s="3461"/>
      <c r="EDR11" s="3461"/>
      <c r="EDS11" s="3461"/>
      <c r="EDT11" s="3461"/>
      <c r="EDU11" s="3461"/>
      <c r="EDV11" s="3461"/>
      <c r="EDW11" s="3461"/>
      <c r="EDX11" s="3461"/>
      <c r="EDY11" s="3461"/>
      <c r="EDZ11" s="3461"/>
      <c r="EEA11" s="3461"/>
      <c r="EEB11" s="3461"/>
      <c r="EEC11" s="3461"/>
      <c r="EED11" s="3461"/>
      <c r="EEE11" s="3461"/>
      <c r="EEF11" s="3461"/>
      <c r="EEG11" s="3461"/>
      <c r="EEH11" s="3461"/>
      <c r="EEI11" s="3461"/>
      <c r="EEJ11" s="3461"/>
      <c r="EEK11" s="3461"/>
      <c r="EEL11" s="3461"/>
      <c r="EEM11" s="3461"/>
      <c r="EEN11" s="3461"/>
      <c r="EEO11" s="3461"/>
      <c r="EEP11" s="3461"/>
      <c r="EEQ11" s="3461"/>
      <c r="EER11" s="3461"/>
      <c r="EES11" s="3461"/>
      <c r="EET11" s="3461"/>
      <c r="EEU11" s="3461"/>
      <c r="EEV11" s="3461"/>
      <c r="EEW11" s="3461"/>
      <c r="EEX11" s="3461"/>
      <c r="EEY11" s="3461"/>
      <c r="EEZ11" s="3461"/>
      <c r="EFA11" s="3461"/>
      <c r="EFB11" s="3461"/>
      <c r="EFC11" s="3461"/>
      <c r="EFD11" s="3461"/>
      <c r="EFE11" s="3461"/>
      <c r="EFF11" s="3461"/>
      <c r="EFG11" s="3461"/>
      <c r="EFH11" s="3461"/>
      <c r="EFI11" s="3461"/>
      <c r="EFJ11" s="3461"/>
      <c r="EFK11" s="3461"/>
      <c r="EFL11" s="3461"/>
      <c r="EFM11" s="3461"/>
      <c r="EFN11" s="3461"/>
      <c r="EFO11" s="3461"/>
      <c r="EFP11" s="3461"/>
      <c r="EFQ11" s="3461"/>
      <c r="EFR11" s="3461"/>
      <c r="EFS11" s="3461"/>
      <c r="EFT11" s="3461"/>
      <c r="EFU11" s="3461"/>
      <c r="EFV11" s="3461"/>
      <c r="EFW11" s="3461"/>
      <c r="EFX11" s="3461"/>
      <c r="EFY11" s="3461"/>
      <c r="EFZ11" s="3461"/>
      <c r="EGA11" s="3461"/>
      <c r="EGB11" s="3461"/>
      <c r="EGC11" s="3461"/>
      <c r="EGD11" s="3461"/>
      <c r="EGE11" s="3461"/>
      <c r="EGF11" s="3461"/>
      <c r="EGG11" s="3461"/>
      <c r="EGH11" s="3461"/>
      <c r="EGI11" s="3461"/>
      <c r="EGJ11" s="3461"/>
      <c r="EGK11" s="3461"/>
      <c r="EGL11" s="3461"/>
      <c r="EGM11" s="3461"/>
      <c r="EGN11" s="3461"/>
      <c r="EGO11" s="3461"/>
      <c r="EGP11" s="3461"/>
      <c r="EGQ11" s="3461"/>
      <c r="EGR11" s="3461"/>
      <c r="EGS11" s="3461"/>
      <c r="EGT11" s="3461"/>
      <c r="EGU11" s="3461"/>
      <c r="EGV11" s="3461"/>
      <c r="EGW11" s="3461"/>
      <c r="EGX11" s="3461"/>
      <c r="EGY11" s="3461"/>
      <c r="EGZ11" s="3461"/>
      <c r="EHA11" s="3461"/>
      <c r="EHB11" s="3461"/>
      <c r="EHC11" s="3461"/>
      <c r="EHD11" s="3461"/>
      <c r="EHE11" s="3461"/>
      <c r="EHF11" s="3461"/>
      <c r="EHG11" s="3461"/>
      <c r="EHH11" s="3461"/>
      <c r="EHI11" s="3461"/>
      <c r="EHJ11" s="3461"/>
      <c r="EHK11" s="3461"/>
      <c r="EHL11" s="3461"/>
      <c r="EHM11" s="3461"/>
      <c r="EHN11" s="3461"/>
      <c r="EHO11" s="3461"/>
      <c r="EHP11" s="3461"/>
      <c r="EHQ11" s="3461"/>
      <c r="EHR11" s="3461"/>
      <c r="EHS11" s="3461"/>
      <c r="EHT11" s="3461"/>
      <c r="EHU11" s="3461"/>
      <c r="EHV11" s="3461"/>
      <c r="EHW11" s="3461"/>
      <c r="EHX11" s="3461"/>
      <c r="EHY11" s="3461"/>
      <c r="EHZ11" s="3461"/>
      <c r="EIA11" s="3461"/>
      <c r="EIB11" s="3461"/>
      <c r="EIC11" s="3461"/>
      <c r="EID11" s="3461"/>
      <c r="EIE11" s="3461"/>
      <c r="EIF11" s="3461"/>
      <c r="EIG11" s="3461"/>
      <c r="EIH11" s="3461"/>
      <c r="EII11" s="3461"/>
      <c r="EIJ11" s="3461"/>
      <c r="EIK11" s="3461"/>
      <c r="EIL11" s="3461"/>
      <c r="EIM11" s="3461"/>
      <c r="EIN11" s="3461"/>
      <c r="EIO11" s="3461"/>
      <c r="EIP11" s="3461"/>
      <c r="EIQ11" s="3461"/>
      <c r="EIR11" s="3461"/>
      <c r="EIS11" s="3461"/>
      <c r="EIT11" s="3461"/>
      <c r="EIU11" s="3461"/>
      <c r="EIV11" s="3461"/>
      <c r="EIW11" s="3461"/>
      <c r="EIX11" s="3461"/>
      <c r="EIY11" s="3461"/>
      <c r="EIZ11" s="3461"/>
      <c r="EJA11" s="3461"/>
      <c r="EJB11" s="3461"/>
      <c r="EJC11" s="3461"/>
      <c r="EJD11" s="3461"/>
      <c r="EJE11" s="3461"/>
      <c r="EJF11" s="3461"/>
      <c r="EJG11" s="3461"/>
      <c r="EJH11" s="3461"/>
      <c r="EJI11" s="3461"/>
      <c r="EJJ11" s="3461"/>
      <c r="EJK11" s="3461"/>
      <c r="EJL11" s="3461"/>
      <c r="EJM11" s="3461"/>
      <c r="EJN11" s="3461"/>
      <c r="EJO11" s="3461"/>
      <c r="EJP11" s="3461"/>
      <c r="EJQ11" s="3461"/>
      <c r="EJR11" s="3461"/>
      <c r="EJS11" s="3461"/>
      <c r="EJT11" s="3461"/>
      <c r="EJU11" s="3461"/>
      <c r="EJV11" s="3461"/>
      <c r="EJW11" s="3461"/>
      <c r="EJX11" s="3461"/>
      <c r="EJY11" s="3461"/>
      <c r="EJZ11" s="3461"/>
      <c r="EKA11" s="3461"/>
      <c r="EKB11" s="3461"/>
      <c r="EKC11" s="3461"/>
      <c r="EKD11" s="3461"/>
      <c r="EKE11" s="3461"/>
      <c r="EKF11" s="3461"/>
      <c r="EKG11" s="3461"/>
      <c r="EKH11" s="3461"/>
      <c r="EKI11" s="3461"/>
      <c r="EKJ11" s="3461"/>
      <c r="EKK11" s="3461"/>
      <c r="EKL11" s="3461"/>
      <c r="EKM11" s="3461"/>
      <c r="EKN11" s="3461"/>
      <c r="EKO11" s="3461"/>
      <c r="EKP11" s="3461"/>
      <c r="EKQ11" s="3461"/>
      <c r="EKR11" s="3461"/>
      <c r="EKS11" s="3461"/>
      <c r="EKT11" s="3461"/>
      <c r="EKU11" s="3461"/>
      <c r="EKV11" s="3461"/>
      <c r="EKW11" s="3461"/>
      <c r="EKX11" s="3461"/>
      <c r="EKY11" s="3461"/>
      <c r="EKZ11" s="3461"/>
      <c r="ELA11" s="3461"/>
      <c r="ELB11" s="3461"/>
      <c r="ELC11" s="3461"/>
      <c r="ELD11" s="3461"/>
      <c r="ELE11" s="3461"/>
      <c r="ELF11" s="3461"/>
      <c r="ELG11" s="3461"/>
      <c r="ELH11" s="3461"/>
      <c r="ELI11" s="3461"/>
      <c r="ELJ11" s="3461"/>
      <c r="ELK11" s="3461"/>
      <c r="ELL11" s="3461"/>
      <c r="ELM11" s="3461"/>
      <c r="ELN11" s="3461"/>
      <c r="ELO11" s="3461"/>
      <c r="ELP11" s="3461"/>
      <c r="ELQ11" s="3461"/>
      <c r="ELR11" s="3461"/>
      <c r="ELS11" s="3461"/>
      <c r="ELT11" s="3461"/>
      <c r="ELU11" s="3461"/>
      <c r="ELV11" s="3461"/>
      <c r="ELW11" s="3461"/>
      <c r="ELX11" s="3461"/>
      <c r="ELY11" s="3461"/>
      <c r="ELZ11" s="3461"/>
      <c r="EMA11" s="3461"/>
      <c r="EMB11" s="3461"/>
      <c r="EMC11" s="3461"/>
      <c r="EMD11" s="3461"/>
      <c r="EME11" s="3461"/>
      <c r="EMF11" s="3461"/>
      <c r="EMG11" s="3461"/>
      <c r="EMH11" s="3461"/>
      <c r="EMI11" s="3461"/>
      <c r="EMJ11" s="3461"/>
      <c r="EMK11" s="3461"/>
      <c r="EML11" s="3461"/>
      <c r="EMM11" s="3461"/>
      <c r="EMN11" s="3461"/>
      <c r="EMO11" s="3461"/>
      <c r="EMP11" s="3461"/>
      <c r="EMQ11" s="3461"/>
      <c r="EMR11" s="3461"/>
      <c r="EMS11" s="3461"/>
      <c r="EMT11" s="3461"/>
      <c r="EMU11" s="3461"/>
      <c r="EMV11" s="3461"/>
      <c r="EMW11" s="3461"/>
      <c r="EMX11" s="3461"/>
      <c r="EMY11" s="3461"/>
      <c r="EMZ11" s="3461"/>
      <c r="ENA11" s="3461"/>
      <c r="ENB11" s="3461"/>
      <c r="ENC11" s="3461"/>
      <c r="END11" s="3461"/>
      <c r="ENE11" s="3461"/>
      <c r="ENF11" s="3461"/>
      <c r="ENG11" s="3461"/>
      <c r="ENH11" s="3461"/>
      <c r="ENI11" s="3461"/>
      <c r="ENJ11" s="3461"/>
      <c r="ENK11" s="3461"/>
      <c r="ENL11" s="3461"/>
      <c r="ENM11" s="3461"/>
      <c r="ENN11" s="3461"/>
      <c r="ENO11" s="3461"/>
      <c r="ENP11" s="3461"/>
      <c r="ENQ11" s="3461"/>
      <c r="ENR11" s="3461"/>
      <c r="ENS11" s="3461"/>
      <c r="ENT11" s="3461"/>
      <c r="ENU11" s="3461"/>
      <c r="ENV11" s="3461"/>
      <c r="ENW11" s="3461"/>
      <c r="ENX11" s="3461"/>
      <c r="ENY11" s="3461"/>
      <c r="ENZ11" s="3461"/>
      <c r="EOA11" s="3461"/>
      <c r="EOB11" s="3461"/>
      <c r="EOC11" s="3461"/>
      <c r="EOD11" s="3461"/>
      <c r="EOE11" s="3461"/>
      <c r="EOF11" s="3461"/>
      <c r="EOG11" s="3461"/>
      <c r="EOH11" s="3461"/>
      <c r="EOI11" s="3461"/>
      <c r="EOJ11" s="3461"/>
      <c r="EOK11" s="3461"/>
      <c r="EOL11" s="3461"/>
      <c r="EOM11" s="3461"/>
      <c r="EON11" s="3461"/>
      <c r="EOO11" s="3461"/>
      <c r="EOP11" s="3461"/>
      <c r="EOQ11" s="3461"/>
      <c r="EOR11" s="3461"/>
      <c r="EOS11" s="3461"/>
      <c r="EOT11" s="3461"/>
      <c r="EOU11" s="3461"/>
      <c r="EOV11" s="3461"/>
      <c r="EOW11" s="3461"/>
      <c r="EOX11" s="3461"/>
      <c r="EOY11" s="3461"/>
      <c r="EOZ11" s="3461"/>
      <c r="EPA11" s="3461"/>
      <c r="EPB11" s="3461"/>
      <c r="EPC11" s="3461"/>
      <c r="EPD11" s="3461"/>
      <c r="EPE11" s="3461"/>
      <c r="EPF11" s="3461"/>
      <c r="EPG11" s="3461"/>
      <c r="EPH11" s="3461"/>
      <c r="EPI11" s="3461"/>
      <c r="EPJ11" s="3461"/>
      <c r="EPK11" s="3461"/>
      <c r="EPL11" s="3461"/>
      <c r="EPM11" s="3461"/>
      <c r="EPN11" s="3461"/>
      <c r="EPO11" s="3461"/>
      <c r="EPP11" s="3461"/>
      <c r="EPQ11" s="3461"/>
      <c r="EPR11" s="3461"/>
      <c r="EPS11" s="3461"/>
      <c r="EPT11" s="3461"/>
      <c r="EPU11" s="3461"/>
      <c r="EPV11" s="3461"/>
      <c r="EPW11" s="3461"/>
      <c r="EPX11" s="3461"/>
      <c r="EPY11" s="3461"/>
      <c r="EPZ11" s="3461"/>
      <c r="EQA11" s="3461"/>
      <c r="EQB11" s="3461"/>
      <c r="EQC11" s="3461"/>
      <c r="EQD11" s="3461"/>
      <c r="EQE11" s="3461"/>
      <c r="EQF11" s="3461"/>
      <c r="EQG11" s="3461"/>
      <c r="EQH11" s="3461"/>
      <c r="EQI11" s="3461"/>
      <c r="EQJ11" s="3461"/>
      <c r="EQK11" s="3461"/>
      <c r="EQL11" s="3461"/>
      <c r="EQM11" s="3461"/>
      <c r="EQN11" s="3461"/>
      <c r="EQO11" s="3461"/>
      <c r="EQP11" s="3461"/>
      <c r="EQQ11" s="3461"/>
      <c r="EQR11" s="3461"/>
      <c r="EQS11" s="3461"/>
      <c r="EQT11" s="3461"/>
      <c r="EQU11" s="3461"/>
      <c r="EQV11" s="3461"/>
      <c r="EQW11" s="3461"/>
      <c r="EQX11" s="3461"/>
      <c r="EQY11" s="3461"/>
      <c r="EQZ11" s="3461"/>
      <c r="ERA11" s="3461"/>
      <c r="ERB11" s="3461"/>
      <c r="ERC11" s="3461"/>
      <c r="ERD11" s="3461"/>
      <c r="ERE11" s="3461"/>
      <c r="ERF11" s="3461"/>
      <c r="ERG11" s="3461"/>
      <c r="ERH11" s="3461"/>
      <c r="ERI11" s="3461"/>
      <c r="ERJ11" s="3461"/>
      <c r="ERK11" s="3461"/>
      <c r="ERL11" s="3461"/>
      <c r="ERM11" s="3461"/>
      <c r="ERN11" s="3461"/>
      <c r="ERO11" s="3461"/>
      <c r="ERP11" s="3461"/>
      <c r="ERQ11" s="3461"/>
      <c r="ERR11" s="3461"/>
      <c r="ERS11" s="3461"/>
      <c r="ERT11" s="3461"/>
      <c r="ERU11" s="3461"/>
      <c r="ERV11" s="3461"/>
      <c r="ERW11" s="3461"/>
      <c r="ERX11" s="3461"/>
      <c r="ERY11" s="3461"/>
      <c r="ERZ11" s="3461"/>
      <c r="ESA11" s="3461"/>
      <c r="ESB11" s="3461"/>
      <c r="ESC11" s="3461"/>
      <c r="ESD11" s="3461"/>
      <c r="ESE11" s="3461"/>
      <c r="ESF11" s="3461"/>
      <c r="ESG11" s="3461"/>
      <c r="ESH11" s="3461"/>
      <c r="ESI11" s="3461"/>
      <c r="ESJ11" s="3461"/>
      <c r="ESK11" s="3461"/>
      <c r="ESL11" s="3461"/>
      <c r="ESM11" s="3461"/>
      <c r="ESN11" s="3461"/>
      <c r="ESO11" s="3461"/>
      <c r="ESP11" s="3461"/>
      <c r="ESQ11" s="3461"/>
      <c r="ESR11" s="3461"/>
      <c r="ESS11" s="3461"/>
      <c r="EST11" s="3461"/>
      <c r="ESU11" s="3461"/>
      <c r="ESV11" s="3461"/>
      <c r="ESW11" s="3461"/>
      <c r="ESX11" s="3461"/>
      <c r="ESY11" s="3461"/>
      <c r="ESZ11" s="3461"/>
      <c r="ETA11" s="3461"/>
      <c r="ETB11" s="3461"/>
      <c r="ETC11" s="3461"/>
      <c r="ETD11" s="3461"/>
      <c r="ETE11" s="3461"/>
      <c r="ETF11" s="3461"/>
      <c r="ETG11" s="3461"/>
      <c r="ETH11" s="3461"/>
      <c r="ETI11" s="3461"/>
      <c r="ETJ11" s="3461"/>
      <c r="ETK11" s="3461"/>
      <c r="ETL11" s="3461"/>
      <c r="ETM11" s="3461"/>
      <c r="ETN11" s="3461"/>
      <c r="ETO11" s="3461"/>
      <c r="ETP11" s="3461"/>
      <c r="ETQ11" s="3461"/>
      <c r="ETR11" s="3461"/>
      <c r="ETS11" s="3461"/>
      <c r="ETT11" s="3461"/>
      <c r="ETU11" s="3461"/>
      <c r="ETV11" s="3461"/>
      <c r="ETW11" s="3461"/>
      <c r="ETX11" s="3461"/>
      <c r="ETY11" s="3461"/>
      <c r="ETZ11" s="3461"/>
      <c r="EUA11" s="3461"/>
      <c r="EUB11" s="3461"/>
      <c r="EUC11" s="3461"/>
      <c r="EUD11" s="3461"/>
      <c r="EUE11" s="3461"/>
      <c r="EUF11" s="3461"/>
      <c r="EUG11" s="3461"/>
      <c r="EUH11" s="3461"/>
      <c r="EUI11" s="3461"/>
      <c r="EUJ11" s="3461"/>
      <c r="EUK11" s="3461"/>
      <c r="EUL11" s="3461"/>
      <c r="EUM11" s="3461"/>
      <c r="EUN11" s="3461"/>
      <c r="EUO11" s="3461"/>
      <c r="EUP11" s="3461"/>
      <c r="EUQ11" s="3461"/>
      <c r="EUR11" s="3461"/>
      <c r="EUS11" s="3461"/>
      <c r="EUT11" s="3461"/>
      <c r="EUU11" s="3461"/>
      <c r="EUV11" s="3461"/>
      <c r="EUW11" s="3461"/>
      <c r="EUX11" s="3461"/>
      <c r="EUY11" s="3461"/>
      <c r="EUZ11" s="3461"/>
      <c r="EVA11" s="3461"/>
      <c r="EVB11" s="3461"/>
      <c r="EVC11" s="3461"/>
      <c r="EVD11" s="3461"/>
      <c r="EVE11" s="3461"/>
      <c r="EVF11" s="3461"/>
      <c r="EVG11" s="3461"/>
      <c r="EVH11" s="3461"/>
      <c r="EVI11" s="3461"/>
      <c r="EVJ11" s="3461"/>
      <c r="EVK11" s="3461"/>
      <c r="EVL11" s="3461"/>
      <c r="EVM11" s="3461"/>
      <c r="EVN11" s="3461"/>
      <c r="EVO11" s="3461"/>
      <c r="EVP11" s="3461"/>
      <c r="EVQ11" s="3461"/>
      <c r="EVR11" s="3461"/>
      <c r="EVS11" s="3461"/>
      <c r="EVT11" s="3461"/>
      <c r="EVU11" s="3461"/>
      <c r="EVV11" s="3461"/>
      <c r="EVW11" s="3461"/>
      <c r="EVX11" s="3461"/>
      <c r="EVY11" s="3461"/>
      <c r="EVZ11" s="3461"/>
      <c r="EWA11" s="3461"/>
      <c r="EWB11" s="3461"/>
      <c r="EWC11" s="3461"/>
      <c r="EWD11" s="3461"/>
      <c r="EWE11" s="3461"/>
      <c r="EWF11" s="3461"/>
      <c r="EWG11" s="3461"/>
      <c r="EWH11" s="3461"/>
      <c r="EWI11" s="3461"/>
      <c r="EWJ11" s="3461"/>
      <c r="EWK11" s="3461"/>
      <c r="EWL11" s="3461"/>
      <c r="EWM11" s="3461"/>
      <c r="EWN11" s="3461"/>
      <c r="EWO11" s="3461"/>
      <c r="EWP11" s="3461"/>
      <c r="EWQ11" s="3461"/>
      <c r="EWR11" s="3461"/>
      <c r="EWS11" s="3461"/>
      <c r="EWT11" s="3461"/>
      <c r="EWU11" s="3461"/>
      <c r="EWV11" s="3461"/>
      <c r="EWW11" s="3461"/>
      <c r="EWX11" s="3461"/>
      <c r="EWY11" s="3461"/>
      <c r="EWZ11" s="3461"/>
      <c r="EXA11" s="3461"/>
      <c r="EXB11" s="3461"/>
      <c r="EXC11" s="3461"/>
      <c r="EXD11" s="3461"/>
      <c r="EXE11" s="3461"/>
      <c r="EXF11" s="3461"/>
      <c r="EXG11" s="3461"/>
      <c r="EXH11" s="3461"/>
      <c r="EXI11" s="3461"/>
      <c r="EXJ11" s="3461"/>
      <c r="EXK11" s="3461"/>
      <c r="EXL11" s="3461"/>
      <c r="EXM11" s="3461"/>
      <c r="EXN11" s="3461"/>
      <c r="EXO11" s="3461"/>
      <c r="EXP11" s="3461"/>
      <c r="EXQ11" s="3461"/>
      <c r="EXR11" s="3461"/>
      <c r="EXS11" s="3461"/>
      <c r="EXT11" s="3461"/>
      <c r="EXU11" s="3461"/>
      <c r="EXV11" s="3461"/>
      <c r="EXW11" s="3461"/>
      <c r="EXX11" s="3461"/>
      <c r="EXY11" s="3461"/>
      <c r="EXZ11" s="3461"/>
      <c r="EYA11" s="3461"/>
      <c r="EYB11" s="3461"/>
      <c r="EYC11" s="3461"/>
      <c r="EYD11" s="3461"/>
      <c r="EYE11" s="3461"/>
      <c r="EYF11" s="3461"/>
      <c r="EYG11" s="3461"/>
      <c r="EYH11" s="3461"/>
      <c r="EYI11" s="3461"/>
      <c r="EYJ11" s="3461"/>
      <c r="EYK11" s="3461"/>
      <c r="EYL11" s="3461"/>
      <c r="EYM11" s="3461"/>
      <c r="EYN11" s="3461"/>
      <c r="EYO11" s="3461"/>
      <c r="EYP11" s="3461"/>
      <c r="EYQ11" s="3461"/>
      <c r="EYR11" s="3461"/>
      <c r="EYS11" s="3461"/>
      <c r="EYT11" s="3461"/>
      <c r="EYU11" s="3461"/>
      <c r="EYV11" s="3461"/>
      <c r="EYW11" s="3461"/>
      <c r="EYX11" s="3461"/>
      <c r="EYY11" s="3461"/>
      <c r="EYZ11" s="3461"/>
      <c r="EZA11" s="3461"/>
      <c r="EZB11" s="3461"/>
      <c r="EZC11" s="3461"/>
      <c r="EZD11" s="3461"/>
      <c r="EZE11" s="3461"/>
      <c r="EZF11" s="3461"/>
      <c r="EZG11" s="3461"/>
      <c r="EZH11" s="3461"/>
      <c r="EZI11" s="3461"/>
      <c r="EZJ11" s="3461"/>
      <c r="EZK11" s="3461"/>
      <c r="EZL11" s="3461"/>
      <c r="EZM11" s="3461"/>
      <c r="EZN11" s="3461"/>
      <c r="EZO11" s="3461"/>
      <c r="EZP11" s="3461"/>
      <c r="EZQ11" s="3461"/>
      <c r="EZR11" s="3461"/>
      <c r="EZS11" s="3461"/>
      <c r="EZT11" s="3461"/>
      <c r="EZU11" s="3461"/>
      <c r="EZV11" s="3461"/>
      <c r="EZW11" s="3461"/>
      <c r="EZX11" s="3461"/>
      <c r="EZY11" s="3461"/>
      <c r="EZZ11" s="3461"/>
      <c r="FAA11" s="3461"/>
      <c r="FAB11" s="3461"/>
      <c r="FAC11" s="3461"/>
      <c r="FAD11" s="3461"/>
      <c r="FAE11" s="3461"/>
      <c r="FAF11" s="3461"/>
      <c r="FAG11" s="3461"/>
      <c r="FAH11" s="3461"/>
      <c r="FAI11" s="3461"/>
      <c r="FAJ11" s="3461"/>
      <c r="FAK11" s="3461"/>
      <c r="FAL11" s="3461"/>
      <c r="FAM11" s="3461"/>
      <c r="FAN11" s="3461"/>
      <c r="FAO11" s="3461"/>
      <c r="FAP11" s="3461"/>
      <c r="FAQ11" s="3461"/>
      <c r="FAR11" s="3461"/>
      <c r="FAS11" s="3461"/>
      <c r="FAT11" s="3461"/>
      <c r="FAU11" s="3461"/>
      <c r="FAV11" s="3461"/>
      <c r="FAW11" s="3461"/>
      <c r="FAX11" s="3461"/>
      <c r="FAY11" s="3461"/>
      <c r="FAZ11" s="3461"/>
      <c r="FBA11" s="3461"/>
      <c r="FBB11" s="3461"/>
      <c r="FBC11" s="3461"/>
      <c r="FBD11" s="3461"/>
      <c r="FBE11" s="3461"/>
      <c r="FBF11" s="3461"/>
      <c r="FBG11" s="3461"/>
      <c r="FBH11" s="3461"/>
      <c r="FBI11" s="3461"/>
      <c r="FBJ11" s="3461"/>
      <c r="FBK11" s="3461"/>
      <c r="FBL11" s="3461"/>
      <c r="FBM11" s="3461"/>
      <c r="FBN11" s="3461"/>
      <c r="FBO11" s="3461"/>
      <c r="FBP11" s="3461"/>
      <c r="FBQ11" s="3461"/>
      <c r="FBR11" s="3461"/>
      <c r="FBS11" s="3461"/>
      <c r="FBT11" s="3461"/>
      <c r="FBU11" s="3461"/>
      <c r="FBV11" s="3461"/>
      <c r="FBW11" s="3461"/>
      <c r="FBX11" s="3461"/>
      <c r="FBY11" s="3461"/>
      <c r="FBZ11" s="3461"/>
      <c r="FCA11" s="3461"/>
      <c r="FCB11" s="3461"/>
      <c r="FCC11" s="3461"/>
      <c r="FCD11" s="3461"/>
      <c r="FCE11" s="3461"/>
      <c r="FCF11" s="3461"/>
      <c r="FCG11" s="3461"/>
      <c r="FCH11" s="3461"/>
      <c r="FCI11" s="3461"/>
      <c r="FCJ11" s="3461"/>
      <c r="FCK11" s="3461"/>
      <c r="FCL11" s="3461"/>
      <c r="FCM11" s="3461"/>
      <c r="FCN11" s="3461"/>
      <c r="FCO11" s="3461"/>
      <c r="FCP11" s="3461"/>
      <c r="FCQ11" s="3461"/>
      <c r="FCR11" s="3461"/>
      <c r="FCS11" s="3461"/>
      <c r="FCT11" s="3461"/>
      <c r="FCU11" s="3461"/>
      <c r="FCV11" s="3461"/>
      <c r="FCW11" s="3461"/>
      <c r="FCX11" s="3461"/>
      <c r="FCY11" s="3461"/>
      <c r="FCZ11" s="3461"/>
      <c r="FDA11" s="3461"/>
      <c r="FDB11" s="3461"/>
      <c r="FDC11" s="3461"/>
      <c r="FDD11" s="3461"/>
      <c r="FDE11" s="3461"/>
      <c r="FDF11" s="3461"/>
      <c r="FDG11" s="3461"/>
      <c r="FDH11" s="3461"/>
      <c r="FDI11" s="3461"/>
      <c r="FDJ11" s="3461"/>
      <c r="FDK11" s="3461"/>
      <c r="FDL11" s="3461"/>
      <c r="FDM11" s="3461"/>
      <c r="FDN11" s="3461"/>
      <c r="FDO11" s="3461"/>
      <c r="FDP11" s="3461"/>
      <c r="FDQ11" s="3461"/>
      <c r="FDR11" s="3461"/>
      <c r="FDS11" s="3461"/>
      <c r="FDT11" s="3461"/>
      <c r="FDU11" s="3461"/>
      <c r="FDV11" s="3461"/>
      <c r="FDW11" s="3461"/>
      <c r="FDX11" s="3461"/>
      <c r="FDY11" s="3461"/>
      <c r="FDZ11" s="3461"/>
      <c r="FEA11" s="3461"/>
      <c r="FEB11" s="3461"/>
      <c r="FEC11" s="3461"/>
      <c r="FED11" s="3461"/>
      <c r="FEE11" s="3461"/>
      <c r="FEF11" s="3461"/>
      <c r="FEG11" s="3461"/>
      <c r="FEH11" s="3461"/>
      <c r="FEI11" s="3461"/>
      <c r="FEJ11" s="3461"/>
      <c r="FEK11" s="3461"/>
      <c r="FEL11" s="3461"/>
      <c r="FEM11" s="3461"/>
      <c r="FEN11" s="3461"/>
      <c r="FEO11" s="3461"/>
      <c r="FEP11" s="3461"/>
      <c r="FEQ11" s="3461"/>
      <c r="FER11" s="3461"/>
      <c r="FES11" s="3461"/>
      <c r="FET11" s="3461"/>
      <c r="FEU11" s="3461"/>
      <c r="FEV11" s="3461"/>
      <c r="FEW11" s="3461"/>
      <c r="FEX11" s="3461"/>
      <c r="FEY11" s="3461"/>
      <c r="FEZ11" s="3461"/>
      <c r="FFA11" s="3461"/>
      <c r="FFB11" s="3461"/>
      <c r="FFC11" s="3461"/>
      <c r="FFD11" s="3461"/>
      <c r="FFE11" s="3461"/>
      <c r="FFF11" s="3461"/>
      <c r="FFG11" s="3461"/>
      <c r="FFH11" s="3461"/>
      <c r="FFI11" s="3461"/>
      <c r="FFJ11" s="3461"/>
      <c r="FFK11" s="3461"/>
      <c r="FFL11" s="3461"/>
      <c r="FFM11" s="3461"/>
      <c r="FFN11" s="3461"/>
      <c r="FFO11" s="3461"/>
      <c r="FFP11" s="3461"/>
      <c r="FFQ11" s="3461"/>
      <c r="FFR11" s="3461"/>
      <c r="FFS11" s="3461"/>
      <c r="FFT11" s="3461"/>
      <c r="FFU11" s="3461"/>
      <c r="FFV11" s="3461"/>
      <c r="FFW11" s="3461"/>
      <c r="FFX11" s="3461"/>
      <c r="FFY11" s="3461"/>
      <c r="FFZ11" s="3461"/>
      <c r="FGA11" s="3461"/>
      <c r="FGB11" s="3461"/>
      <c r="FGC11" s="3461"/>
      <c r="FGD11" s="3461"/>
      <c r="FGE11" s="3461"/>
      <c r="FGF11" s="3461"/>
      <c r="FGG11" s="3461"/>
      <c r="FGH11" s="3461"/>
      <c r="FGI11" s="3461"/>
      <c r="FGJ11" s="3461"/>
      <c r="FGK11" s="3461"/>
      <c r="FGL11" s="3461"/>
      <c r="FGM11" s="3461"/>
      <c r="FGN11" s="3461"/>
      <c r="FGO11" s="3461"/>
      <c r="FGP11" s="3461"/>
      <c r="FGQ11" s="3461"/>
      <c r="FGR11" s="3461"/>
      <c r="FGS11" s="3461"/>
      <c r="FGT11" s="3461"/>
      <c r="FGU11" s="3461"/>
      <c r="FGV11" s="3461"/>
      <c r="FGW11" s="3461"/>
      <c r="FGX11" s="3461"/>
      <c r="FGY11" s="3461"/>
      <c r="FGZ11" s="3461"/>
      <c r="FHA11" s="3461"/>
      <c r="FHB11" s="3461"/>
      <c r="FHC11" s="3461"/>
      <c r="FHD11" s="3461"/>
      <c r="FHE11" s="3461"/>
      <c r="FHF11" s="3461"/>
      <c r="FHG11" s="3461"/>
      <c r="FHH11" s="3461"/>
      <c r="FHI11" s="3461"/>
      <c r="FHJ11" s="3461"/>
      <c r="FHK11" s="3461"/>
      <c r="FHL11" s="3461"/>
      <c r="FHM11" s="3461"/>
      <c r="FHN11" s="3461"/>
      <c r="FHO11" s="3461"/>
      <c r="FHP11" s="3461"/>
      <c r="FHQ11" s="3461"/>
      <c r="FHR11" s="3461"/>
      <c r="FHS11" s="3461"/>
      <c r="FHT11" s="3461"/>
      <c r="FHU11" s="3461"/>
      <c r="FHV11" s="3461"/>
      <c r="FHW11" s="3461"/>
      <c r="FHX11" s="3461"/>
      <c r="FHY11" s="3461"/>
      <c r="FHZ11" s="3461"/>
      <c r="FIA11" s="3461"/>
      <c r="FIB11" s="3461"/>
      <c r="FIC11" s="3461"/>
      <c r="FID11" s="3461"/>
      <c r="FIE11" s="3461"/>
      <c r="FIF11" s="3461"/>
      <c r="FIG11" s="3461"/>
      <c r="FIH11" s="3461"/>
      <c r="FII11" s="3461"/>
      <c r="FIJ11" s="3461"/>
      <c r="FIK11" s="3461"/>
      <c r="FIL11" s="3461"/>
      <c r="FIM11" s="3461"/>
      <c r="FIN11" s="3461"/>
      <c r="FIO11" s="3461"/>
      <c r="FIP11" s="3461"/>
      <c r="FIQ11" s="3461"/>
      <c r="FIR11" s="3461"/>
      <c r="FIS11" s="3461"/>
      <c r="FIT11" s="3461"/>
      <c r="FIU11" s="3461"/>
      <c r="FIV11" s="3461"/>
      <c r="FIW11" s="3461"/>
      <c r="FIX11" s="3461"/>
      <c r="FIY11" s="3461"/>
      <c r="FIZ11" s="3461"/>
      <c r="FJA11" s="3461"/>
      <c r="FJB11" s="3461"/>
      <c r="FJC11" s="3461"/>
      <c r="FJD11" s="3461"/>
      <c r="FJE11" s="3461"/>
      <c r="FJF11" s="3461"/>
      <c r="FJG11" s="3461"/>
      <c r="FJH11" s="3461"/>
      <c r="FJI11" s="3461"/>
      <c r="FJJ11" s="3461"/>
      <c r="FJK11" s="3461"/>
      <c r="FJL11" s="3461"/>
      <c r="FJM11" s="3461"/>
      <c r="FJN11" s="3461"/>
      <c r="FJO11" s="3461"/>
      <c r="FJP11" s="3461"/>
      <c r="FJQ11" s="3461"/>
      <c r="FJR11" s="3461"/>
      <c r="FJS11" s="3461"/>
      <c r="FJT11" s="3461"/>
      <c r="FJU11" s="3461"/>
      <c r="FJV11" s="3461"/>
      <c r="FJW11" s="3461"/>
      <c r="FJX11" s="3461"/>
      <c r="FJY11" s="3461"/>
      <c r="FJZ11" s="3461"/>
      <c r="FKA11" s="3461"/>
      <c r="FKB11" s="3461"/>
      <c r="FKC11" s="3461"/>
      <c r="FKD11" s="3461"/>
      <c r="FKE11" s="3461"/>
      <c r="FKF11" s="3461"/>
      <c r="FKG11" s="3461"/>
      <c r="FKH11" s="3461"/>
      <c r="FKI11" s="3461"/>
      <c r="FKJ11" s="3461"/>
      <c r="FKK11" s="3461"/>
      <c r="FKL11" s="3461"/>
      <c r="FKM11" s="3461"/>
      <c r="FKN11" s="3461"/>
      <c r="FKO11" s="3461"/>
      <c r="FKP11" s="3461"/>
      <c r="FKQ11" s="3461"/>
      <c r="FKR11" s="3461"/>
      <c r="FKS11" s="3461"/>
      <c r="FKT11" s="3461"/>
      <c r="FKU11" s="3461"/>
      <c r="FKV11" s="3461"/>
      <c r="FKW11" s="3461"/>
      <c r="FKX11" s="3461"/>
      <c r="FKY11" s="3461"/>
      <c r="FKZ11" s="3461"/>
      <c r="FLA11" s="3461"/>
      <c r="FLB11" s="3461"/>
      <c r="FLC11" s="3461"/>
      <c r="FLD11" s="3461"/>
      <c r="FLE11" s="3461"/>
      <c r="FLF11" s="3461"/>
      <c r="FLG11" s="3461"/>
      <c r="FLH11" s="3461"/>
      <c r="FLI11" s="3461"/>
      <c r="FLJ11" s="3461"/>
      <c r="FLK11" s="3461"/>
      <c r="FLL11" s="3461"/>
      <c r="FLM11" s="3461"/>
      <c r="FLN11" s="3461"/>
      <c r="FLO11" s="3461"/>
      <c r="FLP11" s="3461"/>
      <c r="FLQ11" s="3461"/>
      <c r="FLR11" s="3461"/>
      <c r="FLS11" s="3461"/>
      <c r="FLT11" s="3461"/>
      <c r="FLU11" s="3461"/>
      <c r="FLV11" s="3461"/>
      <c r="FLW11" s="3461"/>
      <c r="FLX11" s="3461"/>
      <c r="FLY11" s="3461"/>
      <c r="FLZ11" s="3461"/>
      <c r="FMA11" s="3461"/>
      <c r="FMB11" s="3461"/>
      <c r="FMC11" s="3461"/>
      <c r="FMD11" s="3461"/>
      <c r="FME11" s="3461"/>
      <c r="FMF11" s="3461"/>
      <c r="FMG11" s="3461"/>
      <c r="FMH11" s="3461"/>
      <c r="FMI11" s="3461"/>
      <c r="FMJ11" s="3461"/>
      <c r="FMK11" s="3461"/>
      <c r="FML11" s="3461"/>
      <c r="FMM11" s="3461"/>
      <c r="FMN11" s="3461"/>
      <c r="FMO11" s="3461"/>
      <c r="FMP11" s="3461"/>
      <c r="FMQ11" s="3461"/>
      <c r="FMR11" s="3461"/>
      <c r="FMS11" s="3461"/>
      <c r="FMT11" s="3461"/>
      <c r="FMU11" s="3461"/>
      <c r="FMV11" s="3461"/>
      <c r="FMW11" s="3461"/>
      <c r="FMX11" s="3461"/>
      <c r="FMY11" s="3461"/>
      <c r="FMZ11" s="3461"/>
      <c r="FNA11" s="3461"/>
      <c r="FNB11" s="3461"/>
      <c r="FNC11" s="3461"/>
      <c r="FND11" s="3461"/>
      <c r="FNE11" s="3461"/>
      <c r="FNF11" s="3461"/>
      <c r="FNG11" s="3461"/>
      <c r="FNH11" s="3461"/>
      <c r="FNI11" s="3461"/>
      <c r="FNJ11" s="3461"/>
      <c r="FNK11" s="3461"/>
      <c r="FNL11" s="3461"/>
      <c r="FNM11" s="3461"/>
      <c r="FNN11" s="3461"/>
      <c r="FNO11" s="3461"/>
      <c r="FNP11" s="3461"/>
      <c r="FNQ11" s="3461"/>
      <c r="FNR11" s="3461"/>
      <c r="FNS11" s="3461"/>
      <c r="FNT11" s="3461"/>
      <c r="FNU11" s="3461"/>
      <c r="FNV11" s="3461"/>
      <c r="FNW11" s="3461"/>
      <c r="FNX11" s="3461"/>
      <c r="FNY11" s="3461"/>
      <c r="FNZ11" s="3461"/>
      <c r="FOA11" s="3461"/>
      <c r="FOB11" s="3461"/>
      <c r="FOC11" s="3461"/>
      <c r="FOD11" s="3461"/>
      <c r="FOE11" s="3461"/>
      <c r="FOF11" s="3461"/>
      <c r="FOG11" s="3461"/>
      <c r="FOH11" s="3461"/>
      <c r="FOI11" s="3461"/>
      <c r="FOJ11" s="3461"/>
      <c r="FOK11" s="3461"/>
      <c r="FOL11" s="3461"/>
      <c r="FOM11" s="3461"/>
      <c r="FON11" s="3461"/>
      <c r="FOO11" s="3461"/>
      <c r="FOP11" s="3461"/>
      <c r="FOQ11" s="3461"/>
      <c r="FOR11" s="3461"/>
      <c r="FOS11" s="3461"/>
      <c r="FOT11" s="3461"/>
      <c r="FOU11" s="3461"/>
      <c r="FOV11" s="3461"/>
      <c r="FOW11" s="3461"/>
      <c r="FOX11" s="3461"/>
      <c r="FOY11" s="3461"/>
      <c r="FOZ11" s="3461"/>
      <c r="FPA11" s="3461"/>
      <c r="FPB11" s="3461"/>
      <c r="FPC11" s="3461"/>
      <c r="FPD11" s="3461"/>
      <c r="FPE11" s="3461"/>
      <c r="FPF11" s="3461"/>
      <c r="FPG11" s="3461"/>
      <c r="FPH11" s="3461"/>
      <c r="FPI11" s="3461"/>
      <c r="FPJ11" s="3461"/>
      <c r="FPK11" s="3461"/>
      <c r="FPL11" s="3461"/>
      <c r="FPM11" s="3461"/>
      <c r="FPN11" s="3461"/>
      <c r="FPO11" s="3461"/>
      <c r="FPP11" s="3461"/>
      <c r="FPQ11" s="3461"/>
      <c r="FPR11" s="3461"/>
      <c r="FPS11" s="3461"/>
      <c r="FPT11" s="3461"/>
      <c r="FPU11" s="3461"/>
      <c r="FPV11" s="3461"/>
      <c r="FPW11" s="3461"/>
      <c r="FPX11" s="3461"/>
      <c r="FPY11" s="3461"/>
      <c r="FPZ11" s="3461"/>
      <c r="FQA11" s="3461"/>
      <c r="FQB11" s="3461"/>
      <c r="FQC11" s="3461"/>
      <c r="FQD11" s="3461"/>
      <c r="FQE11" s="3461"/>
      <c r="FQF11" s="3461"/>
      <c r="FQG11" s="3461"/>
      <c r="FQH11" s="3461"/>
      <c r="FQI11" s="3461"/>
      <c r="FQJ11" s="3461"/>
      <c r="FQK11" s="3461"/>
      <c r="FQL11" s="3461"/>
      <c r="FQM11" s="3461"/>
      <c r="FQN11" s="3461"/>
      <c r="FQO11" s="3461"/>
      <c r="FQP11" s="3461"/>
      <c r="FQQ11" s="3461"/>
      <c r="FQR11" s="3461"/>
      <c r="FQS11" s="3461"/>
      <c r="FQT11" s="3461"/>
      <c r="FQU11" s="3461"/>
      <c r="FQV11" s="3461"/>
      <c r="FQW11" s="3461"/>
      <c r="FQX11" s="3461"/>
      <c r="FQY11" s="3461"/>
      <c r="FQZ11" s="3461"/>
      <c r="FRA11" s="3461"/>
      <c r="FRB11" s="3461"/>
      <c r="FRC11" s="3461"/>
      <c r="FRD11" s="3461"/>
      <c r="FRE11" s="3461"/>
      <c r="FRF11" s="3461"/>
      <c r="FRG11" s="3461"/>
      <c r="FRH11" s="3461"/>
      <c r="FRI11" s="3461"/>
      <c r="FRJ11" s="3461"/>
      <c r="FRK11" s="3461"/>
      <c r="FRL11" s="3461"/>
      <c r="FRM11" s="3461"/>
      <c r="FRN11" s="3461"/>
      <c r="FRO11" s="3461"/>
      <c r="FRP11" s="3461"/>
      <c r="FRQ11" s="3461"/>
      <c r="FRR11" s="3461"/>
      <c r="FRS11" s="3461"/>
      <c r="FRT11" s="3461"/>
      <c r="FRU11" s="3461"/>
      <c r="FRV11" s="3461"/>
      <c r="FRW11" s="3461"/>
      <c r="FRX11" s="3461"/>
      <c r="FRY11" s="3461"/>
      <c r="FRZ11" s="3461"/>
      <c r="FSA11" s="3461"/>
      <c r="FSB11" s="3461"/>
      <c r="FSC11" s="3461"/>
      <c r="FSD11" s="3461"/>
      <c r="FSE11" s="3461"/>
      <c r="FSF11" s="3461"/>
      <c r="FSG11" s="3461"/>
      <c r="FSH11" s="3461"/>
      <c r="FSI11" s="3461"/>
      <c r="FSJ11" s="3461"/>
      <c r="FSK11" s="3461"/>
      <c r="FSL11" s="3461"/>
      <c r="FSM11" s="3461"/>
      <c r="FSN11" s="3461"/>
      <c r="FSO11" s="3461"/>
      <c r="FSP11" s="3461"/>
      <c r="FSQ11" s="3461"/>
      <c r="FSR11" s="3461"/>
      <c r="FSS11" s="3461"/>
      <c r="FST11" s="3461"/>
      <c r="FSU11" s="3461"/>
      <c r="FSV11" s="3461"/>
      <c r="FSW11" s="3461"/>
      <c r="FSX11" s="3461"/>
      <c r="FSY11" s="3461"/>
      <c r="FSZ11" s="3461"/>
      <c r="FTA11" s="3461"/>
      <c r="FTB11" s="3461"/>
      <c r="FTC11" s="3461"/>
      <c r="FTD11" s="3461"/>
      <c r="FTE11" s="3461"/>
      <c r="FTF11" s="3461"/>
      <c r="FTG11" s="3461"/>
      <c r="FTH11" s="3461"/>
      <c r="FTI11" s="3461"/>
      <c r="FTJ11" s="3461"/>
      <c r="FTK11" s="3461"/>
      <c r="FTL11" s="3461"/>
      <c r="FTM11" s="3461"/>
      <c r="FTN11" s="3461"/>
      <c r="FTO11" s="3461"/>
      <c r="FTP11" s="3461"/>
      <c r="FTQ11" s="3461"/>
      <c r="FTR11" s="3461"/>
      <c r="FTS11" s="3461"/>
      <c r="FTT11" s="3461"/>
      <c r="FTU11" s="3461"/>
      <c r="FTV11" s="3461"/>
      <c r="FTW11" s="3461"/>
      <c r="FTX11" s="3461"/>
      <c r="FTY11" s="3461"/>
      <c r="FTZ11" s="3461"/>
      <c r="FUA11" s="3461"/>
      <c r="FUB11" s="3461"/>
      <c r="FUC11" s="3461"/>
      <c r="FUD11" s="3461"/>
      <c r="FUE11" s="3461"/>
      <c r="FUF11" s="3461"/>
      <c r="FUG11" s="3461"/>
      <c r="FUH11" s="3461"/>
      <c r="FUI11" s="3461"/>
      <c r="FUJ11" s="3461"/>
      <c r="FUK11" s="3461"/>
      <c r="FUL11" s="3461"/>
      <c r="FUM11" s="3461"/>
      <c r="FUN11" s="3461"/>
      <c r="FUO11" s="3461"/>
      <c r="FUP11" s="3461"/>
      <c r="FUQ11" s="3461"/>
      <c r="FUR11" s="3461"/>
      <c r="FUS11" s="3461"/>
      <c r="FUT11" s="3461"/>
      <c r="FUU11" s="3461"/>
      <c r="FUV11" s="3461"/>
      <c r="FUW11" s="3461"/>
      <c r="FUX11" s="3461"/>
      <c r="FUY11" s="3461"/>
      <c r="FUZ11" s="3461"/>
      <c r="FVA11" s="3461"/>
      <c r="FVB11" s="3461"/>
      <c r="FVC11" s="3461"/>
      <c r="FVD11" s="3461"/>
      <c r="FVE11" s="3461"/>
      <c r="FVF11" s="3461"/>
      <c r="FVG11" s="3461"/>
      <c r="FVH11" s="3461"/>
      <c r="FVI11" s="3461"/>
      <c r="FVJ11" s="3461"/>
      <c r="FVK11" s="3461"/>
      <c r="FVL11" s="3461"/>
      <c r="FVM11" s="3461"/>
      <c r="FVN11" s="3461"/>
      <c r="FVO11" s="3461"/>
      <c r="FVP11" s="3461"/>
      <c r="FVQ11" s="3461"/>
      <c r="FVR11" s="3461"/>
      <c r="FVS11" s="3461"/>
      <c r="FVT11" s="3461"/>
      <c r="FVU11" s="3461"/>
      <c r="FVV11" s="3461"/>
      <c r="FVW11" s="3461"/>
      <c r="FVX11" s="3461"/>
      <c r="FVY11" s="3461"/>
      <c r="FVZ11" s="3461"/>
      <c r="FWA11" s="3461"/>
      <c r="FWB11" s="3461"/>
      <c r="FWC11" s="3461"/>
      <c r="FWD11" s="3461"/>
      <c r="FWE11" s="3461"/>
      <c r="FWF11" s="3461"/>
      <c r="FWG11" s="3461"/>
      <c r="FWH11" s="3461"/>
      <c r="FWI11" s="3461"/>
      <c r="FWJ11" s="3461"/>
      <c r="FWK11" s="3461"/>
      <c r="FWL11" s="3461"/>
      <c r="FWM11" s="3461"/>
      <c r="FWN11" s="3461"/>
      <c r="FWO11" s="3461"/>
      <c r="FWP11" s="3461"/>
      <c r="FWQ11" s="3461"/>
      <c r="FWR11" s="3461"/>
      <c r="FWS11" s="3461"/>
      <c r="FWT11" s="3461"/>
      <c r="FWU11" s="3461"/>
      <c r="FWV11" s="3461"/>
      <c r="FWW11" s="3461"/>
      <c r="FWX11" s="3461"/>
      <c r="FWY11" s="3461"/>
      <c r="FWZ11" s="3461"/>
      <c r="FXA11" s="3461"/>
      <c r="FXB11" s="3461"/>
      <c r="FXC11" s="3461"/>
      <c r="FXD11" s="3461"/>
      <c r="FXE11" s="3461"/>
      <c r="FXF11" s="3461"/>
      <c r="FXG11" s="3461"/>
      <c r="FXH11" s="3461"/>
      <c r="FXI11" s="3461"/>
      <c r="FXJ11" s="3461"/>
      <c r="FXK11" s="3461"/>
      <c r="FXL11" s="3461"/>
      <c r="FXM11" s="3461"/>
      <c r="FXN11" s="3461"/>
      <c r="FXO11" s="3461"/>
      <c r="FXP11" s="3461"/>
      <c r="FXQ11" s="3461"/>
      <c r="FXR11" s="3461"/>
      <c r="FXS11" s="3461"/>
      <c r="FXT11" s="3461"/>
      <c r="FXU11" s="3461"/>
      <c r="FXV11" s="3461"/>
      <c r="FXW11" s="3461"/>
      <c r="FXX11" s="3461"/>
      <c r="FXY11" s="3461"/>
      <c r="FXZ11" s="3461"/>
      <c r="FYA11" s="3461"/>
      <c r="FYB11" s="3461"/>
      <c r="FYC11" s="3461"/>
      <c r="FYD11" s="3461"/>
      <c r="FYE11" s="3461"/>
      <c r="FYF11" s="3461"/>
      <c r="FYG11" s="3461"/>
      <c r="FYH11" s="3461"/>
      <c r="FYI11" s="3461"/>
      <c r="FYJ11" s="3461"/>
      <c r="FYK11" s="3461"/>
      <c r="FYL11" s="3461"/>
      <c r="FYM11" s="3461"/>
      <c r="FYN11" s="3461"/>
      <c r="FYO11" s="3461"/>
      <c r="FYP11" s="3461"/>
      <c r="FYQ11" s="3461"/>
      <c r="FYR11" s="3461"/>
      <c r="FYS11" s="3461"/>
      <c r="FYT11" s="3461"/>
      <c r="FYU11" s="3461"/>
      <c r="FYV11" s="3461"/>
      <c r="FYW11" s="3461"/>
      <c r="FYX11" s="3461"/>
      <c r="FYY11" s="3461"/>
      <c r="FYZ11" s="3461"/>
      <c r="FZA11" s="3461"/>
      <c r="FZB11" s="3461"/>
      <c r="FZC11" s="3461"/>
      <c r="FZD11" s="3461"/>
      <c r="FZE11" s="3461"/>
      <c r="FZF11" s="3461"/>
      <c r="FZG11" s="3461"/>
      <c r="FZH11" s="3461"/>
      <c r="FZI11" s="3461"/>
      <c r="FZJ11" s="3461"/>
      <c r="FZK11" s="3461"/>
      <c r="FZL11" s="3461"/>
      <c r="FZM11" s="3461"/>
      <c r="FZN11" s="3461"/>
      <c r="FZO11" s="3461"/>
      <c r="FZP11" s="3461"/>
      <c r="FZQ11" s="3461"/>
      <c r="FZR11" s="3461"/>
      <c r="FZS11" s="3461"/>
      <c r="FZT11" s="3461"/>
      <c r="FZU11" s="3461"/>
      <c r="FZV11" s="3461"/>
      <c r="FZW11" s="3461"/>
      <c r="FZX11" s="3461"/>
      <c r="FZY11" s="3461"/>
      <c r="FZZ11" s="3461"/>
      <c r="GAA11" s="3461"/>
      <c r="GAB11" s="3461"/>
      <c r="GAC11" s="3461"/>
      <c r="GAD11" s="3461"/>
      <c r="GAE11" s="3461"/>
      <c r="GAF11" s="3461"/>
      <c r="GAG11" s="3461"/>
      <c r="GAH11" s="3461"/>
      <c r="GAI11" s="3461"/>
      <c r="GAJ11" s="3461"/>
      <c r="GAK11" s="3461"/>
      <c r="GAL11" s="3461"/>
      <c r="GAM11" s="3461"/>
      <c r="GAN11" s="3461"/>
      <c r="GAO11" s="3461"/>
      <c r="GAP11" s="3461"/>
      <c r="GAQ11" s="3461"/>
      <c r="GAR11" s="3461"/>
      <c r="GAS11" s="3461"/>
      <c r="GAT11" s="3461"/>
      <c r="GAU11" s="3461"/>
      <c r="GAV11" s="3461"/>
      <c r="GAW11" s="3461"/>
      <c r="GAX11" s="3461"/>
      <c r="GAY11" s="3461"/>
      <c r="GAZ11" s="3461"/>
      <c r="GBA11" s="3461"/>
      <c r="GBB11" s="3461"/>
      <c r="GBC11" s="3461"/>
      <c r="GBD11" s="3461"/>
      <c r="GBE11" s="3461"/>
      <c r="GBF11" s="3461"/>
      <c r="GBG11" s="3461"/>
      <c r="GBH11" s="3461"/>
      <c r="GBI11" s="3461"/>
      <c r="GBJ11" s="3461"/>
      <c r="GBK11" s="3461"/>
      <c r="GBL11" s="3461"/>
      <c r="GBM11" s="3461"/>
      <c r="GBN11" s="3461"/>
      <c r="GBO11" s="3461"/>
      <c r="GBP11" s="3461"/>
      <c r="GBQ11" s="3461"/>
      <c r="GBR11" s="3461"/>
      <c r="GBS11" s="3461"/>
      <c r="GBT11" s="3461"/>
      <c r="GBU11" s="3461"/>
      <c r="GBV11" s="3461"/>
      <c r="GBW11" s="3461"/>
      <c r="GBX11" s="3461"/>
      <c r="GBY11" s="3461"/>
      <c r="GBZ11" s="3461"/>
      <c r="GCA11" s="3461"/>
      <c r="GCB11" s="3461"/>
      <c r="GCC11" s="3461"/>
      <c r="GCD11" s="3461"/>
      <c r="GCE11" s="3461"/>
      <c r="GCF11" s="3461"/>
      <c r="GCG11" s="3461"/>
      <c r="GCH11" s="3461"/>
      <c r="GCI11" s="3461"/>
      <c r="GCJ11" s="3461"/>
      <c r="GCK11" s="3461"/>
      <c r="GCL11" s="3461"/>
      <c r="GCM11" s="3461"/>
      <c r="GCN11" s="3461"/>
      <c r="GCO11" s="3461"/>
      <c r="GCP11" s="3461"/>
      <c r="GCQ11" s="3461"/>
      <c r="GCR11" s="3461"/>
      <c r="GCS11" s="3461"/>
      <c r="GCT11" s="3461"/>
      <c r="GCU11" s="3461"/>
      <c r="GCV11" s="3461"/>
      <c r="GCW11" s="3461"/>
      <c r="GCX11" s="3461"/>
      <c r="GCY11" s="3461"/>
      <c r="GCZ11" s="3461"/>
      <c r="GDA11" s="3461"/>
      <c r="GDB11" s="3461"/>
      <c r="GDC11" s="3461"/>
      <c r="GDD11" s="3461"/>
      <c r="GDE11" s="3461"/>
      <c r="GDF11" s="3461"/>
      <c r="GDG11" s="3461"/>
      <c r="GDH11" s="3461"/>
      <c r="GDI11" s="3461"/>
      <c r="GDJ11" s="3461"/>
      <c r="GDK11" s="3461"/>
      <c r="GDL11" s="3461"/>
      <c r="GDM11" s="3461"/>
      <c r="GDN11" s="3461"/>
      <c r="GDO11" s="3461"/>
      <c r="GDP11" s="3461"/>
      <c r="GDQ11" s="3461"/>
      <c r="GDR11" s="3461"/>
      <c r="GDS11" s="3461"/>
      <c r="GDT11" s="3461"/>
      <c r="GDU11" s="3461"/>
      <c r="GDV11" s="3461"/>
      <c r="GDW11" s="3461"/>
      <c r="GDX11" s="3461"/>
      <c r="GDY11" s="3461"/>
      <c r="GDZ11" s="3461"/>
      <c r="GEA11" s="3461"/>
      <c r="GEB11" s="3461"/>
      <c r="GEC11" s="3461"/>
      <c r="GED11" s="3461"/>
      <c r="GEE11" s="3461"/>
      <c r="GEF11" s="3461"/>
      <c r="GEG11" s="3461"/>
      <c r="GEH11" s="3461"/>
      <c r="GEI11" s="3461"/>
      <c r="GEJ11" s="3461"/>
      <c r="GEK11" s="3461"/>
      <c r="GEL11" s="3461"/>
      <c r="GEM11" s="3461"/>
      <c r="GEN11" s="3461"/>
      <c r="GEO11" s="3461"/>
      <c r="GEP11" s="3461"/>
      <c r="GEQ11" s="3461"/>
      <c r="GER11" s="3461"/>
      <c r="GES11" s="3461"/>
      <c r="GET11" s="3461"/>
      <c r="GEU11" s="3461"/>
      <c r="GEV11" s="3461"/>
      <c r="GEW11" s="3461"/>
      <c r="GEX11" s="3461"/>
      <c r="GEY11" s="3461"/>
      <c r="GEZ11" s="3461"/>
      <c r="GFA11" s="3461"/>
      <c r="GFB11" s="3461"/>
      <c r="GFC11" s="3461"/>
      <c r="GFD11" s="3461"/>
      <c r="GFE11" s="3461"/>
      <c r="GFF11" s="3461"/>
      <c r="GFG11" s="3461"/>
      <c r="GFH11" s="3461"/>
      <c r="GFI11" s="3461"/>
      <c r="GFJ11" s="3461"/>
      <c r="GFK11" s="3461"/>
      <c r="GFL11" s="3461"/>
      <c r="GFM11" s="3461"/>
      <c r="GFN11" s="3461"/>
      <c r="GFO11" s="3461"/>
      <c r="GFP11" s="3461"/>
      <c r="GFQ11" s="3461"/>
      <c r="GFR11" s="3461"/>
      <c r="GFS11" s="3461"/>
      <c r="GFT11" s="3461"/>
      <c r="GFU11" s="3461"/>
      <c r="GFV11" s="3461"/>
      <c r="GFW11" s="3461"/>
      <c r="GFX11" s="3461"/>
      <c r="GFY11" s="3461"/>
      <c r="GFZ11" s="3461"/>
      <c r="GGA11" s="3461"/>
      <c r="GGB11" s="3461"/>
      <c r="GGC11" s="3461"/>
      <c r="GGD11" s="3461"/>
      <c r="GGE11" s="3461"/>
      <c r="GGF11" s="3461"/>
      <c r="GGG11" s="3461"/>
      <c r="GGH11" s="3461"/>
      <c r="GGI11" s="3461"/>
      <c r="GGJ11" s="3461"/>
      <c r="GGK11" s="3461"/>
      <c r="GGL11" s="3461"/>
      <c r="GGM11" s="3461"/>
      <c r="GGN11" s="3461"/>
      <c r="GGO11" s="3461"/>
      <c r="GGP11" s="3461"/>
      <c r="GGQ11" s="3461"/>
      <c r="GGR11" s="3461"/>
      <c r="GGS11" s="3461"/>
      <c r="GGT11" s="3461"/>
      <c r="GGU11" s="3461"/>
      <c r="GGV11" s="3461"/>
      <c r="GGW11" s="3461"/>
      <c r="GGX11" s="3461"/>
      <c r="GGY11" s="3461"/>
      <c r="GGZ11" s="3461"/>
      <c r="GHA11" s="3461"/>
      <c r="GHB11" s="3461"/>
      <c r="GHC11" s="3461"/>
      <c r="GHD11" s="3461"/>
      <c r="GHE11" s="3461"/>
      <c r="GHF11" s="3461"/>
      <c r="GHG11" s="3461"/>
      <c r="GHH11" s="3461"/>
      <c r="GHI11" s="3461"/>
      <c r="GHJ11" s="3461"/>
      <c r="GHK11" s="3461"/>
      <c r="GHL11" s="3461"/>
      <c r="GHM11" s="3461"/>
      <c r="GHN11" s="3461"/>
      <c r="GHO11" s="3461"/>
      <c r="GHP11" s="3461"/>
      <c r="GHQ11" s="3461"/>
      <c r="GHR11" s="3461"/>
      <c r="GHS11" s="3461"/>
      <c r="GHT11" s="3461"/>
      <c r="GHU11" s="3461"/>
      <c r="GHV11" s="3461"/>
      <c r="GHW11" s="3461"/>
      <c r="GHX11" s="3461"/>
      <c r="GHY11" s="3461"/>
      <c r="GHZ11" s="3461"/>
      <c r="GIA11" s="3461"/>
      <c r="GIB11" s="3461"/>
      <c r="GIC11" s="3461"/>
      <c r="GID11" s="3461"/>
      <c r="GIE11" s="3461"/>
      <c r="GIF11" s="3461"/>
      <c r="GIG11" s="3461"/>
      <c r="GIH11" s="3461"/>
      <c r="GII11" s="3461"/>
      <c r="GIJ11" s="3461"/>
      <c r="GIK11" s="3461"/>
      <c r="GIL11" s="3461"/>
      <c r="GIM11" s="3461"/>
      <c r="GIN11" s="3461"/>
      <c r="GIO11" s="3461"/>
      <c r="GIP11" s="3461"/>
      <c r="GIQ11" s="3461"/>
      <c r="GIR11" s="3461"/>
      <c r="GIS11" s="3461"/>
      <c r="GIT11" s="3461"/>
      <c r="GIU11" s="3461"/>
      <c r="GIV11" s="3461"/>
      <c r="GIW11" s="3461"/>
      <c r="GIX11" s="3461"/>
      <c r="GIY11" s="3461"/>
      <c r="GIZ11" s="3461"/>
      <c r="GJA11" s="3461"/>
      <c r="GJB11" s="3461"/>
      <c r="GJC11" s="3461"/>
      <c r="GJD11" s="3461"/>
      <c r="GJE11" s="3461"/>
      <c r="GJF11" s="3461"/>
      <c r="GJG11" s="3461"/>
      <c r="GJH11" s="3461"/>
      <c r="GJI11" s="3461"/>
      <c r="GJJ11" s="3461"/>
      <c r="GJK11" s="3461"/>
      <c r="GJL11" s="3461"/>
      <c r="GJM11" s="3461"/>
      <c r="GJN11" s="3461"/>
      <c r="GJO11" s="3461"/>
      <c r="GJP11" s="3461"/>
      <c r="GJQ11" s="3461"/>
      <c r="GJR11" s="3461"/>
      <c r="GJS11" s="3461"/>
      <c r="GJT11" s="3461"/>
      <c r="GJU11" s="3461"/>
      <c r="GJV11" s="3461"/>
      <c r="GJW11" s="3461"/>
      <c r="GJX11" s="3461"/>
      <c r="GJY11" s="3461"/>
      <c r="GJZ11" s="3461"/>
      <c r="GKA11" s="3461"/>
      <c r="GKB11" s="3461"/>
      <c r="GKC11" s="3461"/>
      <c r="GKD11" s="3461"/>
      <c r="GKE11" s="3461"/>
      <c r="GKF11" s="3461"/>
      <c r="GKG11" s="3461"/>
      <c r="GKH11" s="3461"/>
      <c r="GKI11" s="3461"/>
      <c r="GKJ11" s="3461"/>
      <c r="GKK11" s="3461"/>
      <c r="GKL11" s="3461"/>
      <c r="GKM11" s="3461"/>
      <c r="GKN11" s="3461"/>
      <c r="GKO11" s="3461"/>
      <c r="GKP11" s="3461"/>
      <c r="GKQ11" s="3461"/>
      <c r="GKR11" s="3461"/>
      <c r="GKS11" s="3461"/>
      <c r="GKT11" s="3461"/>
      <c r="GKU11" s="3461"/>
      <c r="GKV11" s="3461"/>
      <c r="GKW11" s="3461"/>
      <c r="GKX11" s="3461"/>
      <c r="GKY11" s="3461"/>
      <c r="GKZ11" s="3461"/>
      <c r="GLA11" s="3461"/>
      <c r="GLB11" s="3461"/>
      <c r="GLC11" s="3461"/>
      <c r="GLD11" s="3461"/>
      <c r="GLE11" s="3461"/>
      <c r="GLF11" s="3461"/>
      <c r="GLG11" s="3461"/>
      <c r="GLH11" s="3461"/>
      <c r="GLI11" s="3461"/>
      <c r="GLJ11" s="3461"/>
      <c r="GLK11" s="3461"/>
      <c r="GLL11" s="3461"/>
      <c r="GLM11" s="3461"/>
      <c r="GLN11" s="3461"/>
      <c r="GLO11" s="3461"/>
      <c r="GLP11" s="3461"/>
      <c r="GLQ11" s="3461"/>
      <c r="GLR11" s="3461"/>
      <c r="GLS11" s="3461"/>
      <c r="GLT11" s="3461"/>
      <c r="GLU11" s="3461"/>
      <c r="GLV11" s="3461"/>
      <c r="GLW11" s="3461"/>
      <c r="GLX11" s="3461"/>
      <c r="GLY11" s="3461"/>
      <c r="GLZ11" s="3461"/>
      <c r="GMA11" s="3461"/>
      <c r="GMB11" s="3461"/>
      <c r="GMC11" s="3461"/>
      <c r="GMD11" s="3461"/>
      <c r="GME11" s="3461"/>
      <c r="GMF11" s="3461"/>
      <c r="GMG11" s="3461"/>
      <c r="GMH11" s="3461"/>
      <c r="GMI11" s="3461"/>
      <c r="GMJ11" s="3461"/>
      <c r="GMK11" s="3461"/>
      <c r="GML11" s="3461"/>
      <c r="GMM11" s="3461"/>
      <c r="GMN11" s="3461"/>
      <c r="GMO11" s="3461"/>
      <c r="GMP11" s="3461"/>
      <c r="GMQ11" s="3461"/>
      <c r="GMR11" s="3461"/>
      <c r="GMS11" s="3461"/>
      <c r="GMT11" s="3461"/>
      <c r="GMU11" s="3461"/>
      <c r="GMV11" s="3461"/>
      <c r="GMW11" s="3461"/>
      <c r="GMX11" s="3461"/>
      <c r="GMY11" s="3461"/>
      <c r="GMZ11" s="3461"/>
      <c r="GNA11" s="3461"/>
      <c r="GNB11" s="3461"/>
      <c r="GNC11" s="3461"/>
      <c r="GND11" s="3461"/>
      <c r="GNE11" s="3461"/>
      <c r="GNF11" s="3461"/>
      <c r="GNG11" s="3461"/>
      <c r="GNH11" s="3461"/>
      <c r="GNI11" s="3461"/>
      <c r="GNJ11" s="3461"/>
      <c r="GNK11" s="3461"/>
      <c r="GNL11" s="3461"/>
      <c r="GNM11" s="3461"/>
      <c r="GNN11" s="3461"/>
      <c r="GNO11" s="3461"/>
      <c r="GNP11" s="3461"/>
      <c r="GNQ11" s="3461"/>
      <c r="GNR11" s="3461"/>
      <c r="GNS11" s="3461"/>
      <c r="GNT11" s="3461"/>
      <c r="GNU11" s="3461"/>
      <c r="GNV11" s="3461"/>
      <c r="GNW11" s="3461"/>
      <c r="GNX11" s="3461"/>
      <c r="GNY11" s="3461"/>
      <c r="GNZ11" s="3461"/>
      <c r="GOA11" s="3461"/>
      <c r="GOB11" s="3461"/>
      <c r="GOC11" s="3461"/>
      <c r="GOD11" s="3461"/>
      <c r="GOE11" s="3461"/>
      <c r="GOF11" s="3461"/>
      <c r="GOG11" s="3461"/>
      <c r="GOH11" s="3461"/>
      <c r="GOI11" s="3461"/>
      <c r="GOJ11" s="3461"/>
      <c r="GOK11" s="3461"/>
      <c r="GOL11" s="3461"/>
      <c r="GOM11" s="3461"/>
      <c r="GON11" s="3461"/>
      <c r="GOO11" s="3461"/>
      <c r="GOP11" s="3461"/>
      <c r="GOQ11" s="3461"/>
      <c r="GOR11" s="3461"/>
      <c r="GOS11" s="3461"/>
      <c r="GOT11" s="3461"/>
      <c r="GOU11" s="3461"/>
      <c r="GOV11" s="3461"/>
      <c r="GOW11" s="3461"/>
      <c r="GOX11" s="3461"/>
      <c r="GOY11" s="3461"/>
      <c r="GOZ11" s="3461"/>
      <c r="GPA11" s="3461"/>
      <c r="GPB11" s="3461"/>
      <c r="GPC11" s="3461"/>
      <c r="GPD11" s="3461"/>
      <c r="GPE11" s="3461"/>
      <c r="GPF11" s="3461"/>
      <c r="GPG11" s="3461"/>
      <c r="GPH11" s="3461"/>
      <c r="GPI11" s="3461"/>
      <c r="GPJ11" s="3461"/>
      <c r="GPK11" s="3461"/>
      <c r="GPL11" s="3461"/>
      <c r="GPM11" s="3461"/>
      <c r="GPN11" s="3461"/>
      <c r="GPO11" s="3461"/>
      <c r="GPP11" s="3461"/>
      <c r="GPQ11" s="3461"/>
      <c r="GPR11" s="3461"/>
      <c r="GPS11" s="3461"/>
      <c r="GPT11" s="3461"/>
      <c r="GPU11" s="3461"/>
      <c r="GPV11" s="3461"/>
      <c r="GPW11" s="3461"/>
      <c r="GPX11" s="3461"/>
      <c r="GPY11" s="3461"/>
      <c r="GPZ11" s="3461"/>
      <c r="GQA11" s="3461"/>
      <c r="GQB11" s="3461"/>
      <c r="GQC11" s="3461"/>
      <c r="GQD11" s="3461"/>
      <c r="GQE11" s="3461"/>
      <c r="GQF11" s="3461"/>
      <c r="GQG11" s="3461"/>
      <c r="GQH11" s="3461"/>
      <c r="GQI11" s="3461"/>
      <c r="GQJ11" s="3461"/>
      <c r="GQK11" s="3461"/>
      <c r="GQL11" s="3461"/>
      <c r="GQM11" s="3461"/>
      <c r="GQN11" s="3461"/>
      <c r="GQO11" s="3461"/>
      <c r="GQP11" s="3461"/>
      <c r="GQQ11" s="3461"/>
      <c r="GQR11" s="3461"/>
      <c r="GQS11" s="3461"/>
      <c r="GQT11" s="3461"/>
      <c r="GQU11" s="3461"/>
      <c r="GQV11" s="3461"/>
      <c r="GQW11" s="3461"/>
      <c r="GQX11" s="3461"/>
      <c r="GQY11" s="3461"/>
      <c r="GQZ11" s="3461"/>
      <c r="GRA11" s="3461"/>
      <c r="GRB11" s="3461"/>
      <c r="GRC11" s="3461"/>
      <c r="GRD11" s="3461"/>
      <c r="GRE11" s="3461"/>
      <c r="GRF11" s="3461"/>
      <c r="GRG11" s="3461"/>
      <c r="GRH11" s="3461"/>
      <c r="GRI11" s="3461"/>
      <c r="GRJ11" s="3461"/>
      <c r="GRK11" s="3461"/>
      <c r="GRL11" s="3461"/>
      <c r="GRM11" s="3461"/>
      <c r="GRN11" s="3461"/>
      <c r="GRO11" s="3461"/>
      <c r="GRP11" s="3461"/>
      <c r="GRQ11" s="3461"/>
      <c r="GRR11" s="3461"/>
      <c r="GRS11" s="3461"/>
      <c r="GRT11" s="3461"/>
      <c r="GRU11" s="3461"/>
      <c r="GRV11" s="3461"/>
      <c r="GRW11" s="3461"/>
      <c r="GRX11" s="3461"/>
      <c r="GRY11" s="3461"/>
      <c r="GRZ11" s="3461"/>
      <c r="GSA11" s="3461"/>
      <c r="GSB11" s="3461"/>
      <c r="GSC11" s="3461"/>
      <c r="GSD11" s="3461"/>
      <c r="GSE11" s="3461"/>
      <c r="GSF11" s="3461"/>
      <c r="GSG11" s="3461"/>
      <c r="GSH11" s="3461"/>
      <c r="GSI11" s="3461"/>
      <c r="GSJ11" s="3461"/>
      <c r="GSK11" s="3461"/>
      <c r="GSL11" s="3461"/>
      <c r="GSM11" s="3461"/>
      <c r="GSN11" s="3461"/>
      <c r="GSO11" s="3461"/>
      <c r="GSP11" s="3461"/>
      <c r="GSQ11" s="3461"/>
      <c r="GSR11" s="3461"/>
      <c r="GSS11" s="3461"/>
      <c r="GST11" s="3461"/>
      <c r="GSU11" s="3461"/>
      <c r="GSV11" s="3461"/>
      <c r="GSW11" s="3461"/>
      <c r="GSX11" s="3461"/>
      <c r="GSY11" s="3461"/>
      <c r="GSZ11" s="3461"/>
      <c r="GTA11" s="3461"/>
      <c r="GTB11" s="3461"/>
      <c r="GTC11" s="3461"/>
      <c r="GTD11" s="3461"/>
      <c r="GTE11" s="3461"/>
      <c r="GTF11" s="3461"/>
      <c r="GTG11" s="3461"/>
      <c r="GTH11" s="3461"/>
      <c r="GTI11" s="3461"/>
      <c r="GTJ11" s="3461"/>
      <c r="GTK11" s="3461"/>
      <c r="GTL11" s="3461"/>
      <c r="GTM11" s="3461"/>
      <c r="GTN11" s="3461"/>
      <c r="GTO11" s="3461"/>
      <c r="GTP11" s="3461"/>
      <c r="GTQ11" s="3461"/>
      <c r="GTR11" s="3461"/>
      <c r="GTS11" s="3461"/>
      <c r="GTT11" s="3461"/>
      <c r="GTU11" s="3461"/>
      <c r="GTV11" s="3461"/>
      <c r="GTW11" s="3461"/>
      <c r="GTX11" s="3461"/>
      <c r="GTY11" s="3461"/>
      <c r="GTZ11" s="3461"/>
      <c r="GUA11" s="3461"/>
      <c r="GUB11" s="3461"/>
      <c r="GUC11" s="3461"/>
      <c r="GUD11" s="3461"/>
      <c r="GUE11" s="3461"/>
      <c r="GUF11" s="3461"/>
      <c r="GUG11" s="3461"/>
      <c r="GUH11" s="3461"/>
      <c r="GUI11" s="3461"/>
      <c r="GUJ11" s="3461"/>
      <c r="GUK11" s="3461"/>
      <c r="GUL11" s="3461"/>
      <c r="GUM11" s="3461"/>
      <c r="GUN11" s="3461"/>
      <c r="GUO11" s="3461"/>
      <c r="GUP11" s="3461"/>
      <c r="GUQ11" s="3461"/>
      <c r="GUR11" s="3461"/>
      <c r="GUS11" s="3461"/>
      <c r="GUT11" s="3461"/>
      <c r="GUU11" s="3461"/>
      <c r="GUV11" s="3461"/>
      <c r="GUW11" s="3461"/>
      <c r="GUX11" s="3461"/>
      <c r="GUY11" s="3461"/>
      <c r="GUZ11" s="3461"/>
      <c r="GVA11" s="3461"/>
      <c r="GVB11" s="3461"/>
      <c r="GVC11" s="3461"/>
      <c r="GVD11" s="3461"/>
      <c r="GVE11" s="3461"/>
      <c r="GVF11" s="3461"/>
      <c r="GVG11" s="3461"/>
      <c r="GVH11" s="3461"/>
      <c r="GVI11" s="3461"/>
      <c r="GVJ11" s="3461"/>
      <c r="GVK11" s="3461"/>
      <c r="GVL11" s="3461"/>
      <c r="GVM11" s="3461"/>
      <c r="GVN11" s="3461"/>
      <c r="GVO11" s="3461"/>
      <c r="GVP11" s="3461"/>
      <c r="GVQ11" s="3461"/>
      <c r="GVR11" s="3461"/>
      <c r="GVS11" s="3461"/>
      <c r="GVT11" s="3461"/>
      <c r="GVU11" s="3461"/>
      <c r="GVV11" s="3461"/>
      <c r="GVW11" s="3461"/>
      <c r="GVX11" s="3461"/>
      <c r="GVY11" s="3461"/>
      <c r="GVZ11" s="3461"/>
      <c r="GWA11" s="3461"/>
      <c r="GWB11" s="3461"/>
      <c r="GWC11" s="3461"/>
      <c r="GWD11" s="3461"/>
      <c r="GWE11" s="3461"/>
      <c r="GWF11" s="3461"/>
      <c r="GWG11" s="3461"/>
      <c r="GWH11" s="3461"/>
      <c r="GWI11" s="3461"/>
      <c r="GWJ11" s="3461"/>
      <c r="GWK11" s="3461"/>
      <c r="GWL11" s="3461"/>
      <c r="GWM11" s="3461"/>
      <c r="GWN11" s="3461"/>
      <c r="GWO11" s="3461"/>
      <c r="GWP11" s="3461"/>
      <c r="GWQ11" s="3461"/>
      <c r="GWR11" s="3461"/>
      <c r="GWS11" s="3461"/>
      <c r="GWT11" s="3461"/>
      <c r="GWU11" s="3461"/>
      <c r="GWV11" s="3461"/>
      <c r="GWW11" s="3461"/>
      <c r="GWX11" s="3461"/>
      <c r="GWY11" s="3461"/>
      <c r="GWZ11" s="3461"/>
      <c r="GXA11" s="3461"/>
      <c r="GXB11" s="3461"/>
      <c r="GXC11" s="3461"/>
      <c r="GXD11" s="3461"/>
      <c r="GXE11" s="3461"/>
      <c r="GXF11" s="3461"/>
      <c r="GXG11" s="3461"/>
      <c r="GXH11" s="3461"/>
      <c r="GXI11" s="3461"/>
      <c r="GXJ11" s="3461"/>
      <c r="GXK11" s="3461"/>
      <c r="GXL11" s="3461"/>
      <c r="GXM11" s="3461"/>
      <c r="GXN11" s="3461"/>
      <c r="GXO11" s="3461"/>
      <c r="GXP11" s="3461"/>
      <c r="GXQ11" s="3461"/>
      <c r="GXR11" s="3461"/>
      <c r="GXS11" s="3461"/>
      <c r="GXT11" s="3461"/>
      <c r="GXU11" s="3461"/>
      <c r="GXV11" s="3461"/>
      <c r="GXW11" s="3461"/>
      <c r="GXX11" s="3461"/>
      <c r="GXY11" s="3461"/>
      <c r="GXZ11" s="3461"/>
      <c r="GYA11" s="3461"/>
      <c r="GYB11" s="3461"/>
      <c r="GYC11" s="3461"/>
      <c r="GYD11" s="3461"/>
      <c r="GYE11" s="3461"/>
      <c r="GYF11" s="3461"/>
      <c r="GYG11" s="3461"/>
      <c r="GYH11" s="3461"/>
      <c r="GYI11" s="3461"/>
      <c r="GYJ11" s="3461"/>
      <c r="GYK11" s="3461"/>
      <c r="GYL11" s="3461"/>
      <c r="GYM11" s="3461"/>
      <c r="GYN11" s="3461"/>
      <c r="GYO11" s="3461"/>
      <c r="GYP11" s="3461"/>
      <c r="GYQ11" s="3461"/>
      <c r="GYR11" s="3461"/>
      <c r="GYS11" s="3461"/>
      <c r="GYT11" s="3461"/>
      <c r="GYU11" s="3461"/>
      <c r="GYV11" s="3461"/>
      <c r="GYW11" s="3461"/>
      <c r="GYX11" s="3461"/>
      <c r="GYY11" s="3461"/>
      <c r="GYZ11" s="3461"/>
      <c r="GZA11" s="3461"/>
      <c r="GZB11" s="3461"/>
      <c r="GZC11" s="3461"/>
      <c r="GZD11" s="3461"/>
      <c r="GZE11" s="3461"/>
      <c r="GZF11" s="3461"/>
      <c r="GZG11" s="3461"/>
      <c r="GZH11" s="3461"/>
      <c r="GZI11" s="3461"/>
      <c r="GZJ11" s="3461"/>
      <c r="GZK11" s="3461"/>
      <c r="GZL11" s="3461"/>
      <c r="GZM11" s="3461"/>
      <c r="GZN11" s="3461"/>
      <c r="GZO11" s="3461"/>
      <c r="GZP11" s="3461"/>
      <c r="GZQ11" s="3461"/>
      <c r="GZR11" s="3461"/>
      <c r="GZS11" s="3461"/>
      <c r="GZT11" s="3461"/>
      <c r="GZU11" s="3461"/>
      <c r="GZV11" s="3461"/>
      <c r="GZW11" s="3461"/>
      <c r="GZX11" s="3461"/>
      <c r="GZY11" s="3461"/>
      <c r="GZZ11" s="3461"/>
      <c r="HAA11" s="3461"/>
      <c r="HAB11" s="3461"/>
      <c r="HAC11" s="3461"/>
      <c r="HAD11" s="3461"/>
      <c r="HAE11" s="3461"/>
      <c r="HAF11" s="3461"/>
      <c r="HAG11" s="3461"/>
      <c r="HAH11" s="3461"/>
      <c r="HAI11" s="3461"/>
      <c r="HAJ11" s="3461"/>
      <c r="HAK11" s="3461"/>
      <c r="HAL11" s="3461"/>
      <c r="HAM11" s="3461"/>
      <c r="HAN11" s="3461"/>
      <c r="HAO11" s="3461"/>
      <c r="HAP11" s="3461"/>
      <c r="HAQ11" s="3461"/>
      <c r="HAR11" s="3461"/>
      <c r="HAS11" s="3461"/>
      <c r="HAT11" s="3461"/>
      <c r="HAU11" s="3461"/>
      <c r="HAV11" s="3461"/>
      <c r="HAW11" s="3461"/>
      <c r="HAX11" s="3461"/>
      <c r="HAY11" s="3461"/>
      <c r="HAZ11" s="3461"/>
      <c r="HBA11" s="3461"/>
      <c r="HBB11" s="3461"/>
      <c r="HBC11" s="3461"/>
      <c r="HBD11" s="3461"/>
      <c r="HBE11" s="3461"/>
      <c r="HBF11" s="3461"/>
      <c r="HBG11" s="3461"/>
      <c r="HBH11" s="3461"/>
      <c r="HBI11" s="3461"/>
      <c r="HBJ11" s="3461"/>
      <c r="HBK11" s="3461"/>
      <c r="HBL11" s="3461"/>
      <c r="HBM11" s="3461"/>
      <c r="HBN11" s="3461"/>
      <c r="HBO11" s="3461"/>
      <c r="HBP11" s="3461"/>
      <c r="HBQ11" s="3461"/>
      <c r="HBR11" s="3461"/>
      <c r="HBS11" s="3461"/>
      <c r="HBT11" s="3461"/>
      <c r="HBU11" s="3461"/>
      <c r="HBV11" s="3461"/>
      <c r="HBW11" s="3461"/>
      <c r="HBX11" s="3461"/>
      <c r="HBY11" s="3461"/>
      <c r="HBZ11" s="3461"/>
      <c r="HCA11" s="3461"/>
      <c r="HCB11" s="3461"/>
      <c r="HCC11" s="3461"/>
      <c r="HCD11" s="3461"/>
      <c r="HCE11" s="3461"/>
      <c r="HCF11" s="3461"/>
      <c r="HCG11" s="3461"/>
      <c r="HCH11" s="3461"/>
      <c r="HCI11" s="3461"/>
      <c r="HCJ11" s="3461"/>
      <c r="HCK11" s="3461"/>
      <c r="HCL11" s="3461"/>
      <c r="HCM11" s="3461"/>
      <c r="HCN11" s="3461"/>
      <c r="HCO11" s="3461"/>
      <c r="HCP11" s="3461"/>
      <c r="HCQ11" s="3461"/>
      <c r="HCR11" s="3461"/>
      <c r="HCS11" s="3461"/>
      <c r="HCT11" s="3461"/>
      <c r="HCU11" s="3461"/>
      <c r="HCV11" s="3461"/>
      <c r="HCW11" s="3461"/>
      <c r="HCX11" s="3461"/>
      <c r="HCY11" s="3461"/>
      <c r="HCZ11" s="3461"/>
      <c r="HDA11" s="3461"/>
      <c r="HDB11" s="3461"/>
      <c r="HDC11" s="3461"/>
      <c r="HDD11" s="3461"/>
      <c r="HDE11" s="3461"/>
      <c r="HDF11" s="3461"/>
      <c r="HDG11" s="3461"/>
      <c r="HDH11" s="3461"/>
      <c r="HDI11" s="3461"/>
      <c r="HDJ11" s="3461"/>
      <c r="HDK11" s="3461"/>
      <c r="HDL11" s="3461"/>
      <c r="HDM11" s="3461"/>
      <c r="HDN11" s="3461"/>
      <c r="HDO11" s="3461"/>
      <c r="HDP11" s="3461"/>
      <c r="HDQ11" s="3461"/>
      <c r="HDR11" s="3461"/>
      <c r="HDS11" s="3461"/>
      <c r="HDT11" s="3461"/>
      <c r="HDU11" s="3461"/>
      <c r="HDV11" s="3461"/>
      <c r="HDW11" s="3461"/>
      <c r="HDX11" s="3461"/>
      <c r="HDY11" s="3461"/>
      <c r="HDZ11" s="3461"/>
      <c r="HEA11" s="3461"/>
      <c r="HEB11" s="3461"/>
      <c r="HEC11" s="3461"/>
      <c r="HED11" s="3461"/>
      <c r="HEE11" s="3461"/>
      <c r="HEF11" s="3461"/>
      <c r="HEG11" s="3461"/>
      <c r="HEH11" s="3461"/>
      <c r="HEI11" s="3461"/>
      <c r="HEJ11" s="3461"/>
      <c r="HEK11" s="3461"/>
      <c r="HEL11" s="3461"/>
      <c r="HEM11" s="3461"/>
      <c r="HEN11" s="3461"/>
      <c r="HEO11" s="3461"/>
      <c r="HEP11" s="3461"/>
      <c r="HEQ11" s="3461"/>
      <c r="HER11" s="3461"/>
      <c r="HES11" s="3461"/>
      <c r="HET11" s="3461"/>
      <c r="HEU11" s="3461"/>
      <c r="HEV11" s="3461"/>
      <c r="HEW11" s="3461"/>
      <c r="HEX11" s="3461"/>
      <c r="HEY11" s="3461"/>
      <c r="HEZ11" s="3461"/>
      <c r="HFA11" s="3461"/>
      <c r="HFB11" s="3461"/>
      <c r="HFC11" s="3461"/>
      <c r="HFD11" s="3461"/>
      <c r="HFE11" s="3461"/>
      <c r="HFF11" s="3461"/>
      <c r="HFG11" s="3461"/>
      <c r="HFH11" s="3461"/>
      <c r="HFI11" s="3461"/>
      <c r="HFJ11" s="3461"/>
      <c r="HFK11" s="3461"/>
      <c r="HFL11" s="3461"/>
      <c r="HFM11" s="3461"/>
      <c r="HFN11" s="3461"/>
      <c r="HFO11" s="3461"/>
      <c r="HFP11" s="3461"/>
      <c r="HFQ11" s="3461"/>
      <c r="HFR11" s="3461"/>
      <c r="HFS11" s="3461"/>
      <c r="HFT11" s="3461"/>
      <c r="HFU11" s="3461"/>
      <c r="HFV11" s="3461"/>
      <c r="HFW11" s="3461"/>
      <c r="HFX11" s="3461"/>
      <c r="HFY11" s="3461"/>
      <c r="HFZ11" s="3461"/>
      <c r="HGA11" s="3461"/>
      <c r="HGB11" s="3461"/>
      <c r="HGC11" s="3461"/>
      <c r="HGD11" s="3461"/>
      <c r="HGE11" s="3461"/>
      <c r="HGF11" s="3461"/>
      <c r="HGG11" s="3461"/>
      <c r="HGH11" s="3461"/>
      <c r="HGI11" s="3461"/>
      <c r="HGJ11" s="3461"/>
      <c r="HGK11" s="3461"/>
      <c r="HGL11" s="3461"/>
      <c r="HGM11" s="3461"/>
      <c r="HGN11" s="3461"/>
      <c r="HGO11" s="3461"/>
      <c r="HGP11" s="3461"/>
      <c r="HGQ11" s="3461"/>
      <c r="HGR11" s="3461"/>
      <c r="HGS11" s="3461"/>
      <c r="HGT11" s="3461"/>
      <c r="HGU11" s="3461"/>
      <c r="HGV11" s="3461"/>
      <c r="HGW11" s="3461"/>
      <c r="HGX11" s="3461"/>
      <c r="HGY11" s="3461"/>
      <c r="HGZ11" s="3461"/>
      <c r="HHA11" s="3461"/>
      <c r="HHB11" s="3461"/>
      <c r="HHC11" s="3461"/>
      <c r="HHD11" s="3461"/>
      <c r="HHE11" s="3461"/>
      <c r="HHF11" s="3461"/>
      <c r="HHG11" s="3461"/>
      <c r="HHH11" s="3461"/>
      <c r="HHI11" s="3461"/>
      <c r="HHJ11" s="3461"/>
      <c r="HHK11" s="3461"/>
      <c r="HHL11" s="3461"/>
      <c r="HHM11" s="3461"/>
      <c r="HHN11" s="3461"/>
      <c r="HHO11" s="3461"/>
      <c r="HHP11" s="3461"/>
      <c r="HHQ11" s="3461"/>
      <c r="HHR11" s="3461"/>
      <c r="HHS11" s="3461"/>
      <c r="HHT11" s="3461"/>
      <c r="HHU11" s="3461"/>
      <c r="HHV11" s="3461"/>
      <c r="HHW11" s="3461"/>
      <c r="HHX11" s="3461"/>
      <c r="HHY11" s="3461"/>
      <c r="HHZ11" s="3461"/>
      <c r="HIA11" s="3461"/>
      <c r="HIB11" s="3461"/>
      <c r="HIC11" s="3461"/>
      <c r="HID11" s="3461"/>
      <c r="HIE11" s="3461"/>
      <c r="HIF11" s="3461"/>
      <c r="HIG11" s="3461"/>
      <c r="HIH11" s="3461"/>
      <c r="HII11" s="3461"/>
      <c r="HIJ11" s="3461"/>
      <c r="HIK11" s="3461"/>
      <c r="HIL11" s="3461"/>
      <c r="HIM11" s="3461"/>
      <c r="HIN11" s="3461"/>
      <c r="HIO11" s="3461"/>
      <c r="HIP11" s="3461"/>
      <c r="HIQ11" s="3461"/>
      <c r="HIR11" s="3461"/>
      <c r="HIS11" s="3461"/>
      <c r="HIT11" s="3461"/>
      <c r="HIU11" s="3461"/>
      <c r="HIV11" s="3461"/>
      <c r="HIW11" s="3461"/>
      <c r="HIX11" s="3461"/>
      <c r="HIY11" s="3461"/>
      <c r="HIZ11" s="3461"/>
      <c r="HJA11" s="3461"/>
      <c r="HJB11" s="3461"/>
      <c r="HJC11" s="3461"/>
      <c r="HJD11" s="3461"/>
      <c r="HJE11" s="3461"/>
      <c r="HJF11" s="3461"/>
      <c r="HJG11" s="3461"/>
      <c r="HJH11" s="3461"/>
      <c r="HJI11" s="3461"/>
      <c r="HJJ11" s="3461"/>
      <c r="HJK11" s="3461"/>
      <c r="HJL11" s="3461"/>
      <c r="HJM11" s="3461"/>
      <c r="HJN11" s="3461"/>
      <c r="HJO11" s="3461"/>
      <c r="HJP11" s="3461"/>
      <c r="HJQ11" s="3461"/>
      <c r="HJR11" s="3461"/>
      <c r="HJS11" s="3461"/>
      <c r="HJT11" s="3461"/>
      <c r="HJU11" s="3461"/>
      <c r="HJV11" s="3461"/>
      <c r="HJW11" s="3461"/>
      <c r="HJX11" s="3461"/>
      <c r="HJY11" s="3461"/>
      <c r="HJZ11" s="3461"/>
      <c r="HKA11" s="3461"/>
      <c r="HKB11" s="3461"/>
      <c r="HKC11" s="3461"/>
      <c r="HKD11" s="3461"/>
      <c r="HKE11" s="3461"/>
      <c r="HKF11" s="3461"/>
      <c r="HKG11" s="3461"/>
      <c r="HKH11" s="3461"/>
      <c r="HKI11" s="3461"/>
      <c r="HKJ11" s="3461"/>
      <c r="HKK11" s="3461"/>
      <c r="HKL11" s="3461"/>
      <c r="HKM11" s="3461"/>
      <c r="HKN11" s="3461"/>
      <c r="HKO11" s="3461"/>
      <c r="HKP11" s="3461"/>
      <c r="HKQ11" s="3461"/>
      <c r="HKR11" s="3461"/>
      <c r="HKS11" s="3461"/>
      <c r="HKT11" s="3461"/>
      <c r="HKU11" s="3461"/>
      <c r="HKV11" s="3461"/>
      <c r="HKW11" s="3461"/>
      <c r="HKX11" s="3461"/>
      <c r="HKY11" s="3461"/>
      <c r="HKZ11" s="3461"/>
      <c r="HLA11" s="3461"/>
      <c r="HLB11" s="3461"/>
      <c r="HLC11" s="3461"/>
      <c r="HLD11" s="3461"/>
      <c r="HLE11" s="3461"/>
      <c r="HLF11" s="3461"/>
      <c r="HLG11" s="3461"/>
      <c r="HLH11" s="3461"/>
      <c r="HLI11" s="3461"/>
      <c r="HLJ11" s="3461"/>
      <c r="HLK11" s="3461"/>
      <c r="HLL11" s="3461"/>
      <c r="HLM11" s="3461"/>
      <c r="HLN11" s="3461"/>
      <c r="HLO11" s="3461"/>
      <c r="HLP11" s="3461"/>
      <c r="HLQ11" s="3461"/>
      <c r="HLR11" s="3461"/>
      <c r="HLS11" s="3461"/>
      <c r="HLT11" s="3461"/>
      <c r="HLU11" s="3461"/>
      <c r="HLV11" s="3461"/>
      <c r="HLW11" s="3461"/>
      <c r="HLX11" s="3461"/>
      <c r="HLY11" s="3461"/>
      <c r="HLZ11" s="3461"/>
      <c r="HMA11" s="3461"/>
      <c r="HMB11" s="3461"/>
      <c r="HMC11" s="3461"/>
      <c r="HMD11" s="3461"/>
      <c r="HME11" s="3461"/>
      <c r="HMF11" s="3461"/>
      <c r="HMG11" s="3461"/>
      <c r="HMH11" s="3461"/>
      <c r="HMI11" s="3461"/>
      <c r="HMJ11" s="3461"/>
      <c r="HMK11" s="3461"/>
      <c r="HML11" s="3461"/>
      <c r="HMM11" s="3461"/>
      <c r="HMN11" s="3461"/>
      <c r="HMO11" s="3461"/>
      <c r="HMP11" s="3461"/>
      <c r="HMQ11" s="3461"/>
      <c r="HMR11" s="3461"/>
      <c r="HMS11" s="3461"/>
      <c r="HMT11" s="3461"/>
      <c r="HMU11" s="3461"/>
      <c r="HMV11" s="3461"/>
      <c r="HMW11" s="3461"/>
      <c r="HMX11" s="3461"/>
      <c r="HMY11" s="3461"/>
      <c r="HMZ11" s="3461"/>
      <c r="HNA11" s="3461"/>
      <c r="HNB11" s="3461"/>
      <c r="HNC11" s="3461"/>
      <c r="HND11" s="3461"/>
      <c r="HNE11" s="3461"/>
      <c r="HNF11" s="3461"/>
      <c r="HNG11" s="3461"/>
      <c r="HNH11" s="3461"/>
      <c r="HNI11" s="3461"/>
      <c r="HNJ11" s="3461"/>
      <c r="HNK11" s="3461"/>
      <c r="HNL11" s="3461"/>
      <c r="HNM11" s="3461"/>
      <c r="HNN11" s="3461"/>
      <c r="HNO11" s="3461"/>
      <c r="HNP11" s="3461"/>
      <c r="HNQ11" s="3461"/>
      <c r="HNR11" s="3461"/>
      <c r="HNS11" s="3461"/>
      <c r="HNT11" s="3461"/>
      <c r="HNU11" s="3461"/>
      <c r="HNV11" s="3461"/>
      <c r="HNW11" s="3461"/>
      <c r="HNX11" s="3461"/>
      <c r="HNY11" s="3461"/>
      <c r="HNZ11" s="3461"/>
      <c r="HOA11" s="3461"/>
      <c r="HOB11" s="3461"/>
      <c r="HOC11" s="3461"/>
      <c r="HOD11" s="3461"/>
      <c r="HOE11" s="3461"/>
      <c r="HOF11" s="3461"/>
      <c r="HOG11" s="3461"/>
      <c r="HOH11" s="3461"/>
      <c r="HOI11" s="3461"/>
      <c r="HOJ11" s="3461"/>
      <c r="HOK11" s="3461"/>
      <c r="HOL11" s="3461"/>
      <c r="HOM11" s="3461"/>
      <c r="HON11" s="3461"/>
      <c r="HOO11" s="3461"/>
      <c r="HOP11" s="3461"/>
      <c r="HOQ11" s="3461"/>
      <c r="HOR11" s="3461"/>
      <c r="HOS11" s="3461"/>
      <c r="HOT11" s="3461"/>
      <c r="HOU11" s="3461"/>
      <c r="HOV11" s="3461"/>
      <c r="HOW11" s="3461"/>
      <c r="HOX11" s="3461"/>
      <c r="HOY11" s="3461"/>
      <c r="HOZ11" s="3461"/>
      <c r="HPA11" s="3461"/>
      <c r="HPB11" s="3461"/>
      <c r="HPC11" s="3461"/>
      <c r="HPD11" s="3461"/>
      <c r="HPE11" s="3461"/>
      <c r="HPF11" s="3461"/>
      <c r="HPG11" s="3461"/>
      <c r="HPH11" s="3461"/>
      <c r="HPI11" s="3461"/>
      <c r="HPJ11" s="3461"/>
      <c r="HPK11" s="3461"/>
      <c r="HPL11" s="3461"/>
      <c r="HPM11" s="3461"/>
      <c r="HPN11" s="3461"/>
      <c r="HPO11" s="3461"/>
      <c r="HPP11" s="3461"/>
      <c r="HPQ11" s="3461"/>
      <c r="HPR11" s="3461"/>
      <c r="HPS11" s="3461"/>
      <c r="HPT11" s="3461"/>
      <c r="HPU11" s="3461"/>
      <c r="HPV11" s="3461"/>
      <c r="HPW11" s="3461"/>
      <c r="HPX11" s="3461"/>
      <c r="HPY11" s="3461"/>
      <c r="HPZ11" s="3461"/>
      <c r="HQA11" s="3461"/>
      <c r="HQB11" s="3461"/>
      <c r="HQC11" s="3461"/>
      <c r="HQD11" s="3461"/>
      <c r="HQE11" s="3461"/>
      <c r="HQF11" s="3461"/>
      <c r="HQG11" s="3461"/>
      <c r="HQH11" s="3461"/>
      <c r="HQI11" s="3461"/>
      <c r="HQJ11" s="3461"/>
      <c r="HQK11" s="3461"/>
      <c r="HQL11" s="3461"/>
      <c r="HQM11" s="3461"/>
      <c r="HQN11" s="3461"/>
      <c r="HQO11" s="3461"/>
      <c r="HQP11" s="3461"/>
      <c r="HQQ11" s="3461"/>
      <c r="HQR11" s="3461"/>
      <c r="HQS11" s="3461"/>
      <c r="HQT11" s="3461"/>
      <c r="HQU11" s="3461"/>
      <c r="HQV11" s="3461"/>
      <c r="HQW11" s="3461"/>
      <c r="HQX11" s="3461"/>
      <c r="HQY11" s="3461"/>
      <c r="HQZ11" s="3461"/>
      <c r="HRA11" s="3461"/>
      <c r="HRB11" s="3461"/>
      <c r="HRC11" s="3461"/>
      <c r="HRD11" s="3461"/>
      <c r="HRE11" s="3461"/>
      <c r="HRF11" s="3461"/>
      <c r="HRG11" s="3461"/>
      <c r="HRH11" s="3461"/>
      <c r="HRI11" s="3461"/>
      <c r="HRJ11" s="3461"/>
      <c r="HRK11" s="3461"/>
      <c r="HRL11" s="3461"/>
      <c r="HRM11" s="3461"/>
      <c r="HRN11" s="3461"/>
      <c r="HRO11" s="3461"/>
      <c r="HRP11" s="3461"/>
      <c r="HRQ11" s="3461"/>
      <c r="HRR11" s="3461"/>
      <c r="HRS11" s="3461"/>
      <c r="HRT11" s="3461"/>
      <c r="HRU11" s="3461"/>
      <c r="HRV11" s="3461"/>
      <c r="HRW11" s="3461"/>
      <c r="HRX11" s="3461"/>
      <c r="HRY11" s="3461"/>
      <c r="HRZ11" s="3461"/>
      <c r="HSA11" s="3461"/>
      <c r="HSB11" s="3461"/>
      <c r="HSC11" s="3461"/>
      <c r="HSD11" s="3461"/>
      <c r="HSE11" s="3461"/>
      <c r="HSF11" s="3461"/>
      <c r="HSG11" s="3461"/>
      <c r="HSH11" s="3461"/>
      <c r="HSI11" s="3461"/>
      <c r="HSJ11" s="3461"/>
      <c r="HSK11" s="3461"/>
      <c r="HSL11" s="3461"/>
      <c r="HSM11" s="3461"/>
      <c r="HSN11" s="3461"/>
      <c r="HSO11" s="3461"/>
      <c r="HSP11" s="3461"/>
      <c r="HSQ11" s="3461"/>
      <c r="HSR11" s="3461"/>
      <c r="HSS11" s="3461"/>
      <c r="HST11" s="3461"/>
      <c r="HSU11" s="3461"/>
      <c r="HSV11" s="3461"/>
      <c r="HSW11" s="3461"/>
      <c r="HSX11" s="3461"/>
      <c r="HSY11" s="3461"/>
      <c r="HSZ11" s="3461"/>
      <c r="HTA11" s="3461"/>
      <c r="HTB11" s="3461"/>
      <c r="HTC11" s="3461"/>
      <c r="HTD11" s="3461"/>
      <c r="HTE11" s="3461"/>
      <c r="HTF11" s="3461"/>
      <c r="HTG11" s="3461"/>
      <c r="HTH11" s="3461"/>
      <c r="HTI11" s="3461"/>
      <c r="HTJ11" s="3461"/>
      <c r="HTK11" s="3461"/>
      <c r="HTL11" s="3461"/>
      <c r="HTM11" s="3461"/>
      <c r="HTN11" s="3461"/>
      <c r="HTO11" s="3461"/>
      <c r="HTP11" s="3461"/>
      <c r="HTQ11" s="3461"/>
      <c r="HTR11" s="3461"/>
      <c r="HTS11" s="3461"/>
      <c r="HTT11" s="3461"/>
      <c r="HTU11" s="3461"/>
      <c r="HTV11" s="3461"/>
      <c r="HTW11" s="3461"/>
      <c r="HTX11" s="3461"/>
      <c r="HTY11" s="3461"/>
      <c r="HTZ11" s="3461"/>
      <c r="HUA11" s="3461"/>
      <c r="HUB11" s="3461"/>
      <c r="HUC11" s="3461"/>
      <c r="HUD11" s="3461"/>
      <c r="HUE11" s="3461"/>
      <c r="HUF11" s="3461"/>
      <c r="HUG11" s="3461"/>
      <c r="HUH11" s="3461"/>
      <c r="HUI11" s="3461"/>
      <c r="HUJ11" s="3461"/>
      <c r="HUK11" s="3461"/>
      <c r="HUL11" s="3461"/>
      <c r="HUM11" s="3461"/>
      <c r="HUN11" s="3461"/>
      <c r="HUO11" s="3461"/>
      <c r="HUP11" s="3461"/>
      <c r="HUQ11" s="3461"/>
      <c r="HUR11" s="3461"/>
      <c r="HUS11" s="3461"/>
      <c r="HUT11" s="3461"/>
      <c r="HUU11" s="3461"/>
      <c r="HUV11" s="3461"/>
      <c r="HUW11" s="3461"/>
      <c r="HUX11" s="3461"/>
      <c r="HUY11" s="3461"/>
      <c r="HUZ11" s="3461"/>
      <c r="HVA11" s="3461"/>
      <c r="HVB11" s="3461"/>
      <c r="HVC11" s="3461"/>
      <c r="HVD11" s="3461"/>
      <c r="HVE11" s="3461"/>
      <c r="HVF11" s="3461"/>
      <c r="HVG11" s="3461"/>
      <c r="HVH11" s="3461"/>
      <c r="HVI11" s="3461"/>
      <c r="HVJ11" s="3461"/>
      <c r="HVK11" s="3461"/>
      <c r="HVL11" s="3461"/>
      <c r="HVM11" s="3461"/>
      <c r="HVN11" s="3461"/>
      <c r="HVO11" s="3461"/>
      <c r="HVP11" s="3461"/>
      <c r="HVQ11" s="3461"/>
      <c r="HVR11" s="3461"/>
      <c r="HVS11" s="3461"/>
      <c r="HVT11" s="3461"/>
      <c r="HVU11" s="3461"/>
      <c r="HVV11" s="3461"/>
      <c r="HVW11" s="3461"/>
      <c r="HVX11" s="3461"/>
      <c r="HVY11" s="3461"/>
      <c r="HVZ11" s="3461"/>
      <c r="HWA11" s="3461"/>
      <c r="HWB11" s="3461"/>
      <c r="HWC11" s="3461"/>
      <c r="HWD11" s="3461"/>
      <c r="HWE11" s="3461"/>
      <c r="HWF11" s="3461"/>
      <c r="HWG11" s="3461"/>
      <c r="HWH11" s="3461"/>
      <c r="HWI11" s="3461"/>
      <c r="HWJ11" s="3461"/>
      <c r="HWK11" s="3461"/>
      <c r="HWL11" s="3461"/>
      <c r="HWM11" s="3461"/>
      <c r="HWN11" s="3461"/>
      <c r="HWO11" s="3461"/>
      <c r="HWP11" s="3461"/>
      <c r="HWQ11" s="3461"/>
      <c r="HWR11" s="3461"/>
      <c r="HWS11" s="3461"/>
      <c r="HWT11" s="3461"/>
      <c r="HWU11" s="3461"/>
      <c r="HWV11" s="3461"/>
      <c r="HWW11" s="3461"/>
      <c r="HWX11" s="3461"/>
      <c r="HWY11" s="3461"/>
      <c r="HWZ11" s="3461"/>
      <c r="HXA11" s="3461"/>
      <c r="HXB11" s="3461"/>
      <c r="HXC11" s="3461"/>
      <c r="HXD11" s="3461"/>
      <c r="HXE11" s="3461"/>
      <c r="HXF11" s="3461"/>
      <c r="HXG11" s="3461"/>
      <c r="HXH11" s="3461"/>
      <c r="HXI11" s="3461"/>
      <c r="HXJ11" s="3461"/>
      <c r="HXK11" s="3461"/>
      <c r="HXL11" s="3461"/>
      <c r="HXM11" s="3461"/>
      <c r="HXN11" s="3461"/>
      <c r="HXO11" s="3461"/>
      <c r="HXP11" s="3461"/>
      <c r="HXQ11" s="3461"/>
      <c r="HXR11" s="3461"/>
      <c r="HXS11" s="3461"/>
      <c r="HXT11" s="3461"/>
      <c r="HXU11" s="3461"/>
      <c r="HXV11" s="3461"/>
      <c r="HXW11" s="3461"/>
      <c r="HXX11" s="3461"/>
      <c r="HXY11" s="3461"/>
      <c r="HXZ11" s="3461"/>
      <c r="HYA11" s="3461"/>
      <c r="HYB11" s="3461"/>
      <c r="HYC11" s="3461"/>
      <c r="HYD11" s="3461"/>
      <c r="HYE11" s="3461"/>
      <c r="HYF11" s="3461"/>
      <c r="HYG11" s="3461"/>
      <c r="HYH11" s="3461"/>
      <c r="HYI11" s="3461"/>
      <c r="HYJ11" s="3461"/>
      <c r="HYK11" s="3461"/>
      <c r="HYL11" s="3461"/>
      <c r="HYM11" s="3461"/>
      <c r="HYN11" s="3461"/>
      <c r="HYO11" s="3461"/>
      <c r="HYP11" s="3461"/>
      <c r="HYQ11" s="3461"/>
      <c r="HYR11" s="3461"/>
      <c r="HYS11" s="3461"/>
      <c r="HYT11" s="3461"/>
      <c r="HYU11" s="3461"/>
      <c r="HYV11" s="3461"/>
      <c r="HYW11" s="3461"/>
      <c r="HYX11" s="3461"/>
      <c r="HYY11" s="3461"/>
      <c r="HYZ11" s="3461"/>
      <c r="HZA11" s="3461"/>
      <c r="HZB11" s="3461"/>
      <c r="HZC11" s="3461"/>
      <c r="HZD11" s="3461"/>
      <c r="HZE11" s="3461"/>
      <c r="HZF11" s="3461"/>
      <c r="HZG11" s="3461"/>
      <c r="HZH11" s="3461"/>
      <c r="HZI11" s="3461"/>
      <c r="HZJ11" s="3461"/>
      <c r="HZK11" s="3461"/>
      <c r="HZL11" s="3461"/>
      <c r="HZM11" s="3461"/>
      <c r="HZN11" s="3461"/>
      <c r="HZO11" s="3461"/>
      <c r="HZP11" s="3461"/>
      <c r="HZQ11" s="3461"/>
      <c r="HZR11" s="3461"/>
      <c r="HZS11" s="3461"/>
      <c r="HZT11" s="3461"/>
      <c r="HZU11" s="3461"/>
      <c r="HZV11" s="3461"/>
      <c r="HZW11" s="3461"/>
      <c r="HZX11" s="3461"/>
      <c r="HZY11" s="3461"/>
      <c r="HZZ11" s="3461"/>
      <c r="IAA11" s="3461"/>
      <c r="IAB11" s="3461"/>
      <c r="IAC11" s="3461"/>
      <c r="IAD11" s="3461"/>
      <c r="IAE11" s="3461"/>
      <c r="IAF11" s="3461"/>
      <c r="IAG11" s="3461"/>
      <c r="IAH11" s="3461"/>
      <c r="IAI11" s="3461"/>
      <c r="IAJ11" s="3461"/>
      <c r="IAK11" s="3461"/>
      <c r="IAL11" s="3461"/>
      <c r="IAM11" s="3461"/>
      <c r="IAN11" s="3461"/>
      <c r="IAO11" s="3461"/>
      <c r="IAP11" s="3461"/>
      <c r="IAQ11" s="3461"/>
      <c r="IAR11" s="3461"/>
      <c r="IAS11" s="3461"/>
      <c r="IAT11" s="3461"/>
      <c r="IAU11" s="3461"/>
      <c r="IAV11" s="3461"/>
      <c r="IAW11" s="3461"/>
      <c r="IAX11" s="3461"/>
      <c r="IAY11" s="3461"/>
      <c r="IAZ11" s="3461"/>
      <c r="IBA11" s="3461"/>
      <c r="IBB11" s="3461"/>
      <c r="IBC11" s="3461"/>
      <c r="IBD11" s="3461"/>
      <c r="IBE11" s="3461"/>
      <c r="IBF11" s="3461"/>
      <c r="IBG11" s="3461"/>
      <c r="IBH11" s="3461"/>
      <c r="IBI11" s="3461"/>
      <c r="IBJ11" s="3461"/>
      <c r="IBK11" s="3461"/>
      <c r="IBL11" s="3461"/>
      <c r="IBM11" s="3461"/>
      <c r="IBN11" s="3461"/>
      <c r="IBO11" s="3461"/>
      <c r="IBP11" s="3461"/>
      <c r="IBQ11" s="3461"/>
      <c r="IBR11" s="3461"/>
      <c r="IBS11" s="3461"/>
      <c r="IBT11" s="3461"/>
      <c r="IBU11" s="3461"/>
      <c r="IBV11" s="3461"/>
      <c r="IBW11" s="3461"/>
      <c r="IBX11" s="3461"/>
      <c r="IBY11" s="3461"/>
      <c r="IBZ11" s="3461"/>
      <c r="ICA11" s="3461"/>
      <c r="ICB11" s="3461"/>
      <c r="ICC11" s="3461"/>
      <c r="ICD11" s="3461"/>
      <c r="ICE11" s="3461"/>
      <c r="ICF11" s="3461"/>
      <c r="ICG11" s="3461"/>
      <c r="ICH11" s="3461"/>
      <c r="ICI11" s="3461"/>
      <c r="ICJ11" s="3461"/>
      <c r="ICK11" s="3461"/>
      <c r="ICL11" s="3461"/>
      <c r="ICM11" s="3461"/>
      <c r="ICN11" s="3461"/>
      <c r="ICO11" s="3461"/>
      <c r="ICP11" s="3461"/>
      <c r="ICQ11" s="3461"/>
      <c r="ICR11" s="3461"/>
      <c r="ICS11" s="3461"/>
      <c r="ICT11" s="3461"/>
      <c r="ICU11" s="3461"/>
      <c r="ICV11" s="3461"/>
      <c r="ICW11" s="3461"/>
      <c r="ICX11" s="3461"/>
      <c r="ICY11" s="3461"/>
      <c r="ICZ11" s="3461"/>
      <c r="IDA11" s="3461"/>
      <c r="IDB11" s="3461"/>
      <c r="IDC11" s="3461"/>
      <c r="IDD11" s="3461"/>
      <c r="IDE11" s="3461"/>
      <c r="IDF11" s="3461"/>
      <c r="IDG11" s="3461"/>
      <c r="IDH11" s="3461"/>
      <c r="IDI11" s="3461"/>
      <c r="IDJ11" s="3461"/>
      <c r="IDK11" s="3461"/>
      <c r="IDL11" s="3461"/>
      <c r="IDM11" s="3461"/>
      <c r="IDN11" s="3461"/>
      <c r="IDO11" s="3461"/>
      <c r="IDP11" s="3461"/>
      <c r="IDQ11" s="3461"/>
      <c r="IDR11" s="3461"/>
      <c r="IDS11" s="3461"/>
      <c r="IDT11" s="3461"/>
      <c r="IDU11" s="3461"/>
      <c r="IDV11" s="3461"/>
      <c r="IDW11" s="3461"/>
      <c r="IDX11" s="3461"/>
      <c r="IDY11" s="3461"/>
      <c r="IDZ11" s="3461"/>
      <c r="IEA11" s="3461"/>
      <c r="IEB11" s="3461"/>
      <c r="IEC11" s="3461"/>
      <c r="IED11" s="3461"/>
      <c r="IEE11" s="3461"/>
      <c r="IEF11" s="3461"/>
      <c r="IEG11" s="3461"/>
      <c r="IEH11" s="3461"/>
      <c r="IEI11" s="3461"/>
      <c r="IEJ11" s="3461"/>
      <c r="IEK11" s="3461"/>
      <c r="IEL11" s="3461"/>
      <c r="IEM11" s="3461"/>
      <c r="IEN11" s="3461"/>
      <c r="IEO11" s="3461"/>
      <c r="IEP11" s="3461"/>
      <c r="IEQ11" s="3461"/>
      <c r="IER11" s="3461"/>
      <c r="IES11" s="3461"/>
      <c r="IET11" s="3461"/>
      <c r="IEU11" s="3461"/>
      <c r="IEV11" s="3461"/>
      <c r="IEW11" s="3461"/>
      <c r="IEX11" s="3461"/>
      <c r="IEY11" s="3461"/>
      <c r="IEZ11" s="3461"/>
      <c r="IFA11" s="3461"/>
      <c r="IFB11" s="3461"/>
      <c r="IFC11" s="3461"/>
      <c r="IFD11" s="3461"/>
      <c r="IFE11" s="3461"/>
      <c r="IFF11" s="3461"/>
      <c r="IFG11" s="3461"/>
      <c r="IFH11" s="3461"/>
      <c r="IFI11" s="3461"/>
      <c r="IFJ11" s="3461"/>
      <c r="IFK11" s="3461"/>
      <c r="IFL11" s="3461"/>
      <c r="IFM11" s="3461"/>
      <c r="IFN11" s="3461"/>
      <c r="IFO11" s="3461"/>
      <c r="IFP11" s="3461"/>
      <c r="IFQ11" s="3461"/>
      <c r="IFR11" s="3461"/>
      <c r="IFS11" s="3461"/>
      <c r="IFT11" s="3461"/>
      <c r="IFU11" s="3461"/>
      <c r="IFV11" s="3461"/>
      <c r="IFW11" s="3461"/>
      <c r="IFX11" s="3461"/>
      <c r="IFY11" s="3461"/>
      <c r="IFZ11" s="3461"/>
      <c r="IGA11" s="3461"/>
      <c r="IGB11" s="3461"/>
      <c r="IGC11" s="3461"/>
      <c r="IGD11" s="3461"/>
      <c r="IGE11" s="3461"/>
      <c r="IGF11" s="3461"/>
      <c r="IGG11" s="3461"/>
      <c r="IGH11" s="3461"/>
      <c r="IGI11" s="3461"/>
      <c r="IGJ11" s="3461"/>
      <c r="IGK11" s="3461"/>
      <c r="IGL11" s="3461"/>
      <c r="IGM11" s="3461"/>
      <c r="IGN11" s="3461"/>
      <c r="IGO11" s="3461"/>
      <c r="IGP11" s="3461"/>
      <c r="IGQ11" s="3461"/>
      <c r="IGR11" s="3461"/>
      <c r="IGS11" s="3461"/>
      <c r="IGT11" s="3461"/>
      <c r="IGU11" s="3461"/>
      <c r="IGV11" s="3461"/>
      <c r="IGW11" s="3461"/>
      <c r="IGX11" s="3461"/>
      <c r="IGY11" s="3461"/>
      <c r="IGZ11" s="3461"/>
      <c r="IHA11" s="3461"/>
      <c r="IHB11" s="3461"/>
      <c r="IHC11" s="3461"/>
      <c r="IHD11" s="3461"/>
      <c r="IHE11" s="3461"/>
      <c r="IHF11" s="3461"/>
      <c r="IHG11" s="3461"/>
      <c r="IHH11" s="3461"/>
      <c r="IHI11" s="3461"/>
      <c r="IHJ11" s="3461"/>
      <c r="IHK11" s="3461"/>
      <c r="IHL11" s="3461"/>
      <c r="IHM11" s="3461"/>
      <c r="IHN11" s="3461"/>
      <c r="IHO11" s="3461"/>
      <c r="IHP11" s="3461"/>
      <c r="IHQ11" s="3461"/>
      <c r="IHR11" s="3461"/>
      <c r="IHS11" s="3461"/>
      <c r="IHT11" s="3461"/>
      <c r="IHU11" s="3461"/>
      <c r="IHV11" s="3461"/>
      <c r="IHW11" s="3461"/>
      <c r="IHX11" s="3461"/>
      <c r="IHY11" s="3461"/>
      <c r="IHZ11" s="3461"/>
      <c r="IIA11" s="3461"/>
      <c r="IIB11" s="3461"/>
      <c r="IIC11" s="3461"/>
      <c r="IID11" s="3461"/>
      <c r="IIE11" s="3461"/>
      <c r="IIF11" s="3461"/>
      <c r="IIG11" s="3461"/>
      <c r="IIH11" s="3461"/>
      <c r="III11" s="3461"/>
      <c r="IIJ11" s="3461"/>
      <c r="IIK11" s="3461"/>
      <c r="IIL11" s="3461"/>
      <c r="IIM11" s="3461"/>
      <c r="IIN11" s="3461"/>
      <c r="IIO11" s="3461"/>
      <c r="IIP11" s="3461"/>
      <c r="IIQ11" s="3461"/>
      <c r="IIR11" s="3461"/>
      <c r="IIS11" s="3461"/>
      <c r="IIT11" s="3461"/>
      <c r="IIU11" s="3461"/>
      <c r="IIV11" s="3461"/>
      <c r="IIW11" s="3461"/>
      <c r="IIX11" s="3461"/>
      <c r="IIY11" s="3461"/>
      <c r="IIZ11" s="3461"/>
      <c r="IJA11" s="3461"/>
      <c r="IJB11" s="3461"/>
      <c r="IJC11" s="3461"/>
      <c r="IJD11" s="3461"/>
      <c r="IJE11" s="3461"/>
      <c r="IJF11" s="3461"/>
      <c r="IJG11" s="3461"/>
      <c r="IJH11" s="3461"/>
      <c r="IJI11" s="3461"/>
      <c r="IJJ11" s="3461"/>
      <c r="IJK11" s="3461"/>
      <c r="IJL11" s="3461"/>
      <c r="IJM11" s="3461"/>
      <c r="IJN11" s="3461"/>
      <c r="IJO11" s="3461"/>
      <c r="IJP11" s="3461"/>
      <c r="IJQ11" s="3461"/>
      <c r="IJR11" s="3461"/>
      <c r="IJS11" s="3461"/>
      <c r="IJT11" s="3461"/>
      <c r="IJU11" s="3461"/>
      <c r="IJV11" s="3461"/>
      <c r="IJW11" s="3461"/>
      <c r="IJX11" s="3461"/>
      <c r="IJY11" s="3461"/>
      <c r="IJZ11" s="3461"/>
      <c r="IKA11" s="3461"/>
      <c r="IKB11" s="3461"/>
      <c r="IKC11" s="3461"/>
      <c r="IKD11" s="3461"/>
      <c r="IKE11" s="3461"/>
      <c r="IKF11" s="3461"/>
      <c r="IKG11" s="3461"/>
      <c r="IKH11" s="3461"/>
      <c r="IKI11" s="3461"/>
      <c r="IKJ11" s="3461"/>
      <c r="IKK11" s="3461"/>
      <c r="IKL11" s="3461"/>
      <c r="IKM11" s="3461"/>
      <c r="IKN11" s="3461"/>
      <c r="IKO11" s="3461"/>
      <c r="IKP11" s="3461"/>
      <c r="IKQ11" s="3461"/>
      <c r="IKR11" s="3461"/>
      <c r="IKS11" s="3461"/>
      <c r="IKT11" s="3461"/>
      <c r="IKU11" s="3461"/>
      <c r="IKV11" s="3461"/>
      <c r="IKW11" s="3461"/>
      <c r="IKX11" s="3461"/>
      <c r="IKY11" s="3461"/>
      <c r="IKZ11" s="3461"/>
      <c r="ILA11" s="3461"/>
      <c r="ILB11" s="3461"/>
      <c r="ILC11" s="3461"/>
      <c r="ILD11" s="3461"/>
      <c r="ILE11" s="3461"/>
      <c r="ILF11" s="3461"/>
      <c r="ILG11" s="3461"/>
      <c r="ILH11" s="3461"/>
      <c r="ILI11" s="3461"/>
      <c r="ILJ11" s="3461"/>
      <c r="ILK11" s="3461"/>
      <c r="ILL11" s="3461"/>
      <c r="ILM11" s="3461"/>
      <c r="ILN11" s="3461"/>
      <c r="ILO11" s="3461"/>
      <c r="ILP11" s="3461"/>
      <c r="ILQ11" s="3461"/>
      <c r="ILR11" s="3461"/>
      <c r="ILS11" s="3461"/>
      <c r="ILT11" s="3461"/>
      <c r="ILU11" s="3461"/>
      <c r="ILV11" s="3461"/>
      <c r="ILW11" s="3461"/>
      <c r="ILX11" s="3461"/>
      <c r="ILY11" s="3461"/>
      <c r="ILZ11" s="3461"/>
      <c r="IMA11" s="3461"/>
      <c r="IMB11" s="3461"/>
      <c r="IMC11" s="3461"/>
      <c r="IMD11" s="3461"/>
      <c r="IME11" s="3461"/>
      <c r="IMF11" s="3461"/>
      <c r="IMG11" s="3461"/>
      <c r="IMH11" s="3461"/>
      <c r="IMI11" s="3461"/>
      <c r="IMJ11" s="3461"/>
      <c r="IMK11" s="3461"/>
      <c r="IML11" s="3461"/>
      <c r="IMM11" s="3461"/>
      <c r="IMN11" s="3461"/>
      <c r="IMO11" s="3461"/>
      <c r="IMP11" s="3461"/>
      <c r="IMQ11" s="3461"/>
      <c r="IMR11" s="3461"/>
      <c r="IMS11" s="3461"/>
      <c r="IMT11" s="3461"/>
      <c r="IMU11" s="3461"/>
      <c r="IMV11" s="3461"/>
      <c r="IMW11" s="3461"/>
      <c r="IMX11" s="3461"/>
      <c r="IMY11" s="3461"/>
      <c r="IMZ11" s="3461"/>
      <c r="INA11" s="3461"/>
      <c r="INB11" s="3461"/>
      <c r="INC11" s="3461"/>
      <c r="IND11" s="3461"/>
      <c r="INE11" s="3461"/>
      <c r="INF11" s="3461"/>
      <c r="ING11" s="3461"/>
      <c r="INH11" s="3461"/>
      <c r="INI11" s="3461"/>
      <c r="INJ11" s="3461"/>
      <c r="INK11" s="3461"/>
      <c r="INL11" s="3461"/>
      <c r="INM11" s="3461"/>
      <c r="INN11" s="3461"/>
      <c r="INO11" s="3461"/>
      <c r="INP11" s="3461"/>
      <c r="INQ11" s="3461"/>
      <c r="INR11" s="3461"/>
      <c r="INS11" s="3461"/>
      <c r="INT11" s="3461"/>
      <c r="INU11" s="3461"/>
      <c r="INV11" s="3461"/>
      <c r="INW11" s="3461"/>
      <c r="INX11" s="3461"/>
      <c r="INY11" s="3461"/>
      <c r="INZ11" s="3461"/>
      <c r="IOA11" s="3461"/>
      <c r="IOB11" s="3461"/>
      <c r="IOC11" s="3461"/>
      <c r="IOD11" s="3461"/>
      <c r="IOE11" s="3461"/>
      <c r="IOF11" s="3461"/>
      <c r="IOG11" s="3461"/>
      <c r="IOH11" s="3461"/>
      <c r="IOI11" s="3461"/>
      <c r="IOJ11" s="3461"/>
      <c r="IOK11" s="3461"/>
      <c r="IOL11" s="3461"/>
      <c r="IOM11" s="3461"/>
      <c r="ION11" s="3461"/>
      <c r="IOO11" s="3461"/>
      <c r="IOP11" s="3461"/>
      <c r="IOQ11" s="3461"/>
      <c r="IOR11" s="3461"/>
      <c r="IOS11" s="3461"/>
      <c r="IOT11" s="3461"/>
      <c r="IOU11" s="3461"/>
      <c r="IOV11" s="3461"/>
      <c r="IOW11" s="3461"/>
      <c r="IOX11" s="3461"/>
      <c r="IOY11" s="3461"/>
      <c r="IOZ11" s="3461"/>
      <c r="IPA11" s="3461"/>
      <c r="IPB11" s="3461"/>
      <c r="IPC11" s="3461"/>
      <c r="IPD11" s="3461"/>
      <c r="IPE11" s="3461"/>
      <c r="IPF11" s="3461"/>
      <c r="IPG11" s="3461"/>
      <c r="IPH11" s="3461"/>
      <c r="IPI11" s="3461"/>
      <c r="IPJ11" s="3461"/>
      <c r="IPK11" s="3461"/>
      <c r="IPL11" s="3461"/>
      <c r="IPM11" s="3461"/>
      <c r="IPN11" s="3461"/>
      <c r="IPO11" s="3461"/>
      <c r="IPP11" s="3461"/>
      <c r="IPQ11" s="3461"/>
      <c r="IPR11" s="3461"/>
      <c r="IPS11" s="3461"/>
      <c r="IPT11" s="3461"/>
      <c r="IPU11" s="3461"/>
      <c r="IPV11" s="3461"/>
      <c r="IPW11" s="3461"/>
      <c r="IPX11" s="3461"/>
      <c r="IPY11" s="3461"/>
      <c r="IPZ11" s="3461"/>
      <c r="IQA11" s="3461"/>
      <c r="IQB11" s="3461"/>
      <c r="IQC11" s="3461"/>
      <c r="IQD11" s="3461"/>
      <c r="IQE11" s="3461"/>
      <c r="IQF11" s="3461"/>
      <c r="IQG11" s="3461"/>
      <c r="IQH11" s="3461"/>
      <c r="IQI11" s="3461"/>
      <c r="IQJ11" s="3461"/>
      <c r="IQK11" s="3461"/>
      <c r="IQL11" s="3461"/>
      <c r="IQM11" s="3461"/>
      <c r="IQN11" s="3461"/>
      <c r="IQO11" s="3461"/>
      <c r="IQP11" s="3461"/>
      <c r="IQQ11" s="3461"/>
      <c r="IQR11" s="3461"/>
      <c r="IQS11" s="3461"/>
      <c r="IQT11" s="3461"/>
      <c r="IQU11" s="3461"/>
      <c r="IQV11" s="3461"/>
      <c r="IQW11" s="3461"/>
      <c r="IQX11" s="3461"/>
      <c r="IQY11" s="3461"/>
      <c r="IQZ11" s="3461"/>
      <c r="IRA11" s="3461"/>
      <c r="IRB11" s="3461"/>
      <c r="IRC11" s="3461"/>
      <c r="IRD11" s="3461"/>
      <c r="IRE11" s="3461"/>
      <c r="IRF11" s="3461"/>
      <c r="IRG11" s="3461"/>
      <c r="IRH11" s="3461"/>
      <c r="IRI11" s="3461"/>
      <c r="IRJ11" s="3461"/>
      <c r="IRK11" s="3461"/>
      <c r="IRL11" s="3461"/>
      <c r="IRM11" s="3461"/>
      <c r="IRN11" s="3461"/>
      <c r="IRO11" s="3461"/>
      <c r="IRP11" s="3461"/>
      <c r="IRQ11" s="3461"/>
      <c r="IRR11" s="3461"/>
      <c r="IRS11" s="3461"/>
      <c r="IRT11" s="3461"/>
      <c r="IRU11" s="3461"/>
      <c r="IRV11" s="3461"/>
      <c r="IRW11" s="3461"/>
      <c r="IRX11" s="3461"/>
      <c r="IRY11" s="3461"/>
      <c r="IRZ11" s="3461"/>
      <c r="ISA11" s="3461"/>
      <c r="ISB11" s="3461"/>
      <c r="ISC11" s="3461"/>
      <c r="ISD11" s="3461"/>
      <c r="ISE11" s="3461"/>
      <c r="ISF11" s="3461"/>
      <c r="ISG11" s="3461"/>
      <c r="ISH11" s="3461"/>
      <c r="ISI11" s="3461"/>
      <c r="ISJ11" s="3461"/>
      <c r="ISK11" s="3461"/>
      <c r="ISL11" s="3461"/>
      <c r="ISM11" s="3461"/>
      <c r="ISN11" s="3461"/>
      <c r="ISO11" s="3461"/>
      <c r="ISP11" s="3461"/>
      <c r="ISQ11" s="3461"/>
      <c r="ISR11" s="3461"/>
      <c r="ISS11" s="3461"/>
      <c r="IST11" s="3461"/>
      <c r="ISU11" s="3461"/>
      <c r="ISV11" s="3461"/>
      <c r="ISW11" s="3461"/>
      <c r="ISX11" s="3461"/>
      <c r="ISY11" s="3461"/>
      <c r="ISZ11" s="3461"/>
      <c r="ITA11" s="3461"/>
      <c r="ITB11" s="3461"/>
      <c r="ITC11" s="3461"/>
      <c r="ITD11" s="3461"/>
      <c r="ITE11" s="3461"/>
      <c r="ITF11" s="3461"/>
      <c r="ITG11" s="3461"/>
      <c r="ITH11" s="3461"/>
      <c r="ITI11" s="3461"/>
      <c r="ITJ11" s="3461"/>
      <c r="ITK11" s="3461"/>
      <c r="ITL11" s="3461"/>
      <c r="ITM11" s="3461"/>
      <c r="ITN11" s="3461"/>
      <c r="ITO11" s="3461"/>
      <c r="ITP11" s="3461"/>
      <c r="ITQ11" s="3461"/>
      <c r="ITR11" s="3461"/>
      <c r="ITS11" s="3461"/>
      <c r="ITT11" s="3461"/>
      <c r="ITU11" s="3461"/>
      <c r="ITV11" s="3461"/>
      <c r="ITW11" s="3461"/>
      <c r="ITX11" s="3461"/>
      <c r="ITY11" s="3461"/>
      <c r="ITZ11" s="3461"/>
      <c r="IUA11" s="3461"/>
      <c r="IUB11" s="3461"/>
      <c r="IUC11" s="3461"/>
      <c r="IUD11" s="3461"/>
      <c r="IUE11" s="3461"/>
      <c r="IUF11" s="3461"/>
      <c r="IUG11" s="3461"/>
      <c r="IUH11" s="3461"/>
      <c r="IUI11" s="3461"/>
      <c r="IUJ11" s="3461"/>
      <c r="IUK11" s="3461"/>
      <c r="IUL11" s="3461"/>
      <c r="IUM11" s="3461"/>
      <c r="IUN11" s="3461"/>
      <c r="IUO11" s="3461"/>
      <c r="IUP11" s="3461"/>
      <c r="IUQ11" s="3461"/>
      <c r="IUR11" s="3461"/>
      <c r="IUS11" s="3461"/>
      <c r="IUT11" s="3461"/>
      <c r="IUU11" s="3461"/>
      <c r="IUV11" s="3461"/>
      <c r="IUW11" s="3461"/>
      <c r="IUX11" s="3461"/>
      <c r="IUY11" s="3461"/>
      <c r="IUZ11" s="3461"/>
      <c r="IVA11" s="3461"/>
      <c r="IVB11" s="3461"/>
      <c r="IVC11" s="3461"/>
      <c r="IVD11" s="3461"/>
      <c r="IVE11" s="3461"/>
      <c r="IVF11" s="3461"/>
      <c r="IVG11" s="3461"/>
      <c r="IVH11" s="3461"/>
      <c r="IVI11" s="3461"/>
      <c r="IVJ11" s="3461"/>
      <c r="IVK11" s="3461"/>
      <c r="IVL11" s="3461"/>
      <c r="IVM11" s="3461"/>
      <c r="IVN11" s="3461"/>
      <c r="IVO11" s="3461"/>
      <c r="IVP11" s="3461"/>
      <c r="IVQ11" s="3461"/>
      <c r="IVR11" s="3461"/>
      <c r="IVS11" s="3461"/>
      <c r="IVT11" s="3461"/>
      <c r="IVU11" s="3461"/>
      <c r="IVV11" s="3461"/>
      <c r="IVW11" s="3461"/>
      <c r="IVX11" s="3461"/>
      <c r="IVY11" s="3461"/>
      <c r="IVZ11" s="3461"/>
      <c r="IWA11" s="3461"/>
      <c r="IWB11" s="3461"/>
      <c r="IWC11" s="3461"/>
      <c r="IWD11" s="3461"/>
      <c r="IWE11" s="3461"/>
      <c r="IWF11" s="3461"/>
      <c r="IWG11" s="3461"/>
      <c r="IWH11" s="3461"/>
      <c r="IWI11" s="3461"/>
      <c r="IWJ11" s="3461"/>
      <c r="IWK11" s="3461"/>
      <c r="IWL11" s="3461"/>
      <c r="IWM11" s="3461"/>
      <c r="IWN11" s="3461"/>
      <c r="IWO11" s="3461"/>
      <c r="IWP11" s="3461"/>
      <c r="IWQ11" s="3461"/>
      <c r="IWR11" s="3461"/>
      <c r="IWS11" s="3461"/>
      <c r="IWT11" s="3461"/>
      <c r="IWU11" s="3461"/>
      <c r="IWV11" s="3461"/>
      <c r="IWW11" s="3461"/>
      <c r="IWX11" s="3461"/>
      <c r="IWY11" s="3461"/>
      <c r="IWZ11" s="3461"/>
      <c r="IXA11" s="3461"/>
      <c r="IXB11" s="3461"/>
      <c r="IXC11" s="3461"/>
      <c r="IXD11" s="3461"/>
      <c r="IXE11" s="3461"/>
      <c r="IXF11" s="3461"/>
      <c r="IXG11" s="3461"/>
      <c r="IXH11" s="3461"/>
      <c r="IXI11" s="3461"/>
      <c r="IXJ11" s="3461"/>
      <c r="IXK11" s="3461"/>
      <c r="IXL11" s="3461"/>
      <c r="IXM11" s="3461"/>
      <c r="IXN11" s="3461"/>
      <c r="IXO11" s="3461"/>
      <c r="IXP11" s="3461"/>
      <c r="IXQ11" s="3461"/>
      <c r="IXR11" s="3461"/>
      <c r="IXS11" s="3461"/>
      <c r="IXT11" s="3461"/>
      <c r="IXU11" s="3461"/>
      <c r="IXV11" s="3461"/>
      <c r="IXW11" s="3461"/>
      <c r="IXX11" s="3461"/>
      <c r="IXY11" s="3461"/>
      <c r="IXZ11" s="3461"/>
      <c r="IYA11" s="3461"/>
      <c r="IYB11" s="3461"/>
      <c r="IYC11" s="3461"/>
      <c r="IYD11" s="3461"/>
      <c r="IYE11" s="3461"/>
      <c r="IYF11" s="3461"/>
      <c r="IYG11" s="3461"/>
      <c r="IYH11" s="3461"/>
      <c r="IYI11" s="3461"/>
      <c r="IYJ11" s="3461"/>
      <c r="IYK11" s="3461"/>
      <c r="IYL11" s="3461"/>
      <c r="IYM11" s="3461"/>
      <c r="IYN11" s="3461"/>
      <c r="IYO11" s="3461"/>
      <c r="IYP11" s="3461"/>
      <c r="IYQ11" s="3461"/>
      <c r="IYR11" s="3461"/>
      <c r="IYS11" s="3461"/>
      <c r="IYT11" s="3461"/>
      <c r="IYU11" s="3461"/>
      <c r="IYV11" s="3461"/>
      <c r="IYW11" s="3461"/>
      <c r="IYX11" s="3461"/>
      <c r="IYY11" s="3461"/>
      <c r="IYZ11" s="3461"/>
      <c r="IZA11" s="3461"/>
      <c r="IZB11" s="3461"/>
      <c r="IZC11" s="3461"/>
      <c r="IZD11" s="3461"/>
      <c r="IZE11" s="3461"/>
      <c r="IZF11" s="3461"/>
      <c r="IZG11" s="3461"/>
      <c r="IZH11" s="3461"/>
      <c r="IZI11" s="3461"/>
      <c r="IZJ11" s="3461"/>
      <c r="IZK11" s="3461"/>
      <c r="IZL11" s="3461"/>
      <c r="IZM11" s="3461"/>
      <c r="IZN11" s="3461"/>
      <c r="IZO11" s="3461"/>
      <c r="IZP11" s="3461"/>
      <c r="IZQ11" s="3461"/>
      <c r="IZR11" s="3461"/>
      <c r="IZS11" s="3461"/>
      <c r="IZT11" s="3461"/>
      <c r="IZU11" s="3461"/>
      <c r="IZV11" s="3461"/>
      <c r="IZW11" s="3461"/>
      <c r="IZX11" s="3461"/>
      <c r="IZY11" s="3461"/>
      <c r="IZZ11" s="3461"/>
      <c r="JAA11" s="3461"/>
      <c r="JAB11" s="3461"/>
      <c r="JAC11" s="3461"/>
      <c r="JAD11" s="3461"/>
      <c r="JAE11" s="3461"/>
      <c r="JAF11" s="3461"/>
      <c r="JAG11" s="3461"/>
      <c r="JAH11" s="3461"/>
      <c r="JAI11" s="3461"/>
      <c r="JAJ11" s="3461"/>
      <c r="JAK11" s="3461"/>
      <c r="JAL11" s="3461"/>
      <c r="JAM11" s="3461"/>
      <c r="JAN11" s="3461"/>
      <c r="JAO11" s="3461"/>
      <c r="JAP11" s="3461"/>
      <c r="JAQ11" s="3461"/>
      <c r="JAR11" s="3461"/>
      <c r="JAS11" s="3461"/>
      <c r="JAT11" s="3461"/>
      <c r="JAU11" s="3461"/>
      <c r="JAV11" s="3461"/>
      <c r="JAW11" s="3461"/>
      <c r="JAX11" s="3461"/>
      <c r="JAY11" s="3461"/>
      <c r="JAZ11" s="3461"/>
      <c r="JBA11" s="3461"/>
      <c r="JBB11" s="3461"/>
      <c r="JBC11" s="3461"/>
      <c r="JBD11" s="3461"/>
      <c r="JBE11" s="3461"/>
      <c r="JBF11" s="3461"/>
      <c r="JBG11" s="3461"/>
      <c r="JBH11" s="3461"/>
      <c r="JBI11" s="3461"/>
      <c r="JBJ11" s="3461"/>
      <c r="JBK11" s="3461"/>
      <c r="JBL11" s="3461"/>
      <c r="JBM11" s="3461"/>
      <c r="JBN11" s="3461"/>
      <c r="JBO11" s="3461"/>
      <c r="JBP11" s="3461"/>
      <c r="JBQ11" s="3461"/>
      <c r="JBR11" s="3461"/>
      <c r="JBS11" s="3461"/>
      <c r="JBT11" s="3461"/>
      <c r="JBU11" s="3461"/>
      <c r="JBV11" s="3461"/>
      <c r="JBW11" s="3461"/>
      <c r="JBX11" s="3461"/>
      <c r="JBY11" s="3461"/>
      <c r="JBZ11" s="3461"/>
      <c r="JCA11" s="3461"/>
      <c r="JCB11" s="3461"/>
      <c r="JCC11" s="3461"/>
      <c r="JCD11" s="3461"/>
      <c r="JCE11" s="3461"/>
      <c r="JCF11" s="3461"/>
      <c r="JCG11" s="3461"/>
      <c r="JCH11" s="3461"/>
      <c r="JCI11" s="3461"/>
      <c r="JCJ11" s="3461"/>
      <c r="JCK11" s="3461"/>
      <c r="JCL11" s="3461"/>
      <c r="JCM11" s="3461"/>
      <c r="JCN11" s="3461"/>
      <c r="JCO11" s="3461"/>
      <c r="JCP11" s="3461"/>
      <c r="JCQ11" s="3461"/>
      <c r="JCR11" s="3461"/>
      <c r="JCS11" s="3461"/>
      <c r="JCT11" s="3461"/>
      <c r="JCU11" s="3461"/>
      <c r="JCV11" s="3461"/>
      <c r="JCW11" s="3461"/>
      <c r="JCX11" s="3461"/>
      <c r="JCY11" s="3461"/>
      <c r="JCZ11" s="3461"/>
      <c r="JDA11" s="3461"/>
      <c r="JDB11" s="3461"/>
      <c r="JDC11" s="3461"/>
      <c r="JDD11" s="3461"/>
      <c r="JDE11" s="3461"/>
      <c r="JDF11" s="3461"/>
      <c r="JDG11" s="3461"/>
      <c r="JDH11" s="3461"/>
      <c r="JDI11" s="3461"/>
      <c r="JDJ11" s="3461"/>
      <c r="JDK11" s="3461"/>
      <c r="JDL11" s="3461"/>
      <c r="JDM11" s="3461"/>
      <c r="JDN11" s="3461"/>
      <c r="JDO11" s="3461"/>
      <c r="JDP11" s="3461"/>
      <c r="JDQ11" s="3461"/>
      <c r="JDR11" s="3461"/>
      <c r="JDS11" s="3461"/>
      <c r="JDT11" s="3461"/>
      <c r="JDU11" s="3461"/>
      <c r="JDV11" s="3461"/>
      <c r="JDW11" s="3461"/>
      <c r="JDX11" s="3461"/>
      <c r="JDY11" s="3461"/>
      <c r="JDZ11" s="3461"/>
      <c r="JEA11" s="3461"/>
      <c r="JEB11" s="3461"/>
      <c r="JEC11" s="3461"/>
      <c r="JED11" s="3461"/>
      <c r="JEE11" s="3461"/>
      <c r="JEF11" s="3461"/>
      <c r="JEG11" s="3461"/>
      <c r="JEH11" s="3461"/>
      <c r="JEI11" s="3461"/>
      <c r="JEJ11" s="3461"/>
      <c r="JEK11" s="3461"/>
      <c r="JEL11" s="3461"/>
      <c r="JEM11" s="3461"/>
      <c r="JEN11" s="3461"/>
      <c r="JEO11" s="3461"/>
      <c r="JEP11" s="3461"/>
      <c r="JEQ11" s="3461"/>
      <c r="JER11" s="3461"/>
      <c r="JES11" s="3461"/>
      <c r="JET11" s="3461"/>
      <c r="JEU11" s="3461"/>
      <c r="JEV11" s="3461"/>
      <c r="JEW11" s="3461"/>
      <c r="JEX11" s="3461"/>
      <c r="JEY11" s="3461"/>
      <c r="JEZ11" s="3461"/>
      <c r="JFA11" s="3461"/>
      <c r="JFB11" s="3461"/>
      <c r="JFC11" s="3461"/>
      <c r="JFD11" s="3461"/>
      <c r="JFE11" s="3461"/>
      <c r="JFF11" s="3461"/>
      <c r="JFG11" s="3461"/>
      <c r="JFH11" s="3461"/>
      <c r="JFI11" s="3461"/>
      <c r="JFJ11" s="3461"/>
      <c r="JFK11" s="3461"/>
      <c r="JFL11" s="3461"/>
      <c r="JFM11" s="3461"/>
      <c r="JFN11" s="3461"/>
      <c r="JFO11" s="3461"/>
      <c r="JFP11" s="3461"/>
      <c r="JFQ11" s="3461"/>
      <c r="JFR11" s="3461"/>
      <c r="JFS11" s="3461"/>
      <c r="JFT11" s="3461"/>
      <c r="JFU11" s="3461"/>
      <c r="JFV11" s="3461"/>
      <c r="JFW11" s="3461"/>
      <c r="JFX11" s="3461"/>
      <c r="JFY11" s="3461"/>
      <c r="JFZ11" s="3461"/>
      <c r="JGA11" s="3461"/>
      <c r="JGB11" s="3461"/>
      <c r="JGC11" s="3461"/>
      <c r="JGD11" s="3461"/>
      <c r="JGE11" s="3461"/>
      <c r="JGF11" s="3461"/>
      <c r="JGG11" s="3461"/>
      <c r="JGH11" s="3461"/>
      <c r="JGI11" s="3461"/>
      <c r="JGJ11" s="3461"/>
      <c r="JGK11" s="3461"/>
      <c r="JGL11" s="3461"/>
      <c r="JGM11" s="3461"/>
      <c r="JGN11" s="3461"/>
      <c r="JGO11" s="3461"/>
      <c r="JGP11" s="3461"/>
      <c r="JGQ11" s="3461"/>
      <c r="JGR11" s="3461"/>
      <c r="JGS11" s="3461"/>
      <c r="JGT11" s="3461"/>
      <c r="JGU11" s="3461"/>
      <c r="JGV11" s="3461"/>
      <c r="JGW11" s="3461"/>
      <c r="JGX11" s="3461"/>
      <c r="JGY11" s="3461"/>
      <c r="JGZ11" s="3461"/>
      <c r="JHA11" s="3461"/>
      <c r="JHB11" s="3461"/>
      <c r="JHC11" s="3461"/>
      <c r="JHD11" s="3461"/>
      <c r="JHE11" s="3461"/>
      <c r="JHF11" s="3461"/>
      <c r="JHG11" s="3461"/>
      <c r="JHH11" s="3461"/>
      <c r="JHI11" s="3461"/>
      <c r="JHJ11" s="3461"/>
      <c r="JHK11" s="3461"/>
      <c r="JHL11" s="3461"/>
      <c r="JHM11" s="3461"/>
      <c r="JHN11" s="3461"/>
      <c r="JHO11" s="3461"/>
      <c r="JHP11" s="3461"/>
      <c r="JHQ11" s="3461"/>
      <c r="JHR11" s="3461"/>
      <c r="JHS11" s="3461"/>
      <c r="JHT11" s="3461"/>
      <c r="JHU11" s="3461"/>
      <c r="JHV11" s="3461"/>
      <c r="JHW11" s="3461"/>
      <c r="JHX11" s="3461"/>
      <c r="JHY11" s="3461"/>
      <c r="JHZ11" s="3461"/>
      <c r="JIA11" s="3461"/>
      <c r="JIB11" s="3461"/>
      <c r="JIC11" s="3461"/>
      <c r="JID11" s="3461"/>
      <c r="JIE11" s="3461"/>
      <c r="JIF11" s="3461"/>
      <c r="JIG11" s="3461"/>
      <c r="JIH11" s="3461"/>
      <c r="JII11" s="3461"/>
      <c r="JIJ11" s="3461"/>
      <c r="JIK11" s="3461"/>
      <c r="JIL11" s="3461"/>
      <c r="JIM11" s="3461"/>
      <c r="JIN11" s="3461"/>
      <c r="JIO11" s="3461"/>
      <c r="JIP11" s="3461"/>
      <c r="JIQ11" s="3461"/>
      <c r="JIR11" s="3461"/>
      <c r="JIS11" s="3461"/>
      <c r="JIT11" s="3461"/>
      <c r="JIU11" s="3461"/>
      <c r="JIV11" s="3461"/>
      <c r="JIW11" s="3461"/>
      <c r="JIX11" s="3461"/>
      <c r="JIY11" s="3461"/>
      <c r="JIZ11" s="3461"/>
      <c r="JJA11" s="3461"/>
      <c r="JJB11" s="3461"/>
      <c r="JJC11" s="3461"/>
      <c r="JJD11" s="3461"/>
      <c r="JJE11" s="3461"/>
      <c r="JJF11" s="3461"/>
      <c r="JJG11" s="3461"/>
      <c r="JJH11" s="3461"/>
      <c r="JJI11" s="3461"/>
      <c r="JJJ11" s="3461"/>
      <c r="JJK11" s="3461"/>
      <c r="JJL11" s="3461"/>
      <c r="JJM11" s="3461"/>
      <c r="JJN11" s="3461"/>
      <c r="JJO11" s="3461"/>
      <c r="JJP11" s="3461"/>
      <c r="JJQ11" s="3461"/>
      <c r="JJR11" s="3461"/>
      <c r="JJS11" s="3461"/>
      <c r="JJT11" s="3461"/>
      <c r="JJU11" s="3461"/>
      <c r="JJV11" s="3461"/>
      <c r="JJW11" s="3461"/>
      <c r="JJX11" s="3461"/>
      <c r="JJY11" s="3461"/>
      <c r="JJZ11" s="3461"/>
      <c r="JKA11" s="3461"/>
      <c r="JKB11" s="3461"/>
      <c r="JKC11" s="3461"/>
      <c r="JKD11" s="3461"/>
      <c r="JKE11" s="3461"/>
      <c r="JKF11" s="3461"/>
      <c r="JKG11" s="3461"/>
      <c r="JKH11" s="3461"/>
      <c r="JKI11" s="3461"/>
      <c r="JKJ11" s="3461"/>
      <c r="JKK11" s="3461"/>
      <c r="JKL11" s="3461"/>
      <c r="JKM11" s="3461"/>
      <c r="JKN11" s="3461"/>
      <c r="JKO11" s="3461"/>
      <c r="JKP11" s="3461"/>
      <c r="JKQ11" s="3461"/>
      <c r="JKR11" s="3461"/>
      <c r="JKS11" s="3461"/>
      <c r="JKT11" s="3461"/>
      <c r="JKU11" s="3461"/>
      <c r="JKV11" s="3461"/>
      <c r="JKW11" s="3461"/>
      <c r="JKX11" s="3461"/>
      <c r="JKY11" s="3461"/>
      <c r="JKZ11" s="3461"/>
      <c r="JLA11" s="3461"/>
      <c r="JLB11" s="3461"/>
      <c r="JLC11" s="3461"/>
      <c r="JLD11" s="3461"/>
      <c r="JLE11" s="3461"/>
      <c r="JLF11" s="3461"/>
      <c r="JLG11" s="3461"/>
      <c r="JLH11" s="3461"/>
      <c r="JLI11" s="3461"/>
      <c r="JLJ11" s="3461"/>
      <c r="JLK11" s="3461"/>
      <c r="JLL11" s="3461"/>
      <c r="JLM11" s="3461"/>
      <c r="JLN11" s="3461"/>
      <c r="JLO11" s="3461"/>
      <c r="JLP11" s="3461"/>
      <c r="JLQ11" s="3461"/>
      <c r="JLR11" s="3461"/>
      <c r="JLS11" s="3461"/>
      <c r="JLT11" s="3461"/>
      <c r="JLU11" s="3461"/>
      <c r="JLV11" s="3461"/>
      <c r="JLW11" s="3461"/>
      <c r="JLX11" s="3461"/>
      <c r="JLY11" s="3461"/>
      <c r="JLZ11" s="3461"/>
      <c r="JMA11" s="3461"/>
      <c r="JMB11" s="3461"/>
      <c r="JMC11" s="3461"/>
      <c r="JMD11" s="3461"/>
      <c r="JME11" s="3461"/>
      <c r="JMF11" s="3461"/>
      <c r="JMG11" s="3461"/>
      <c r="JMH11" s="3461"/>
      <c r="JMI11" s="3461"/>
      <c r="JMJ11" s="3461"/>
      <c r="JMK11" s="3461"/>
      <c r="JML11" s="3461"/>
      <c r="JMM11" s="3461"/>
      <c r="JMN11" s="3461"/>
      <c r="JMO11" s="3461"/>
      <c r="JMP11" s="3461"/>
      <c r="JMQ11" s="3461"/>
      <c r="JMR11" s="3461"/>
      <c r="JMS11" s="3461"/>
      <c r="JMT11" s="3461"/>
      <c r="JMU11" s="3461"/>
      <c r="JMV11" s="3461"/>
      <c r="JMW11" s="3461"/>
      <c r="JMX11" s="3461"/>
      <c r="JMY11" s="3461"/>
      <c r="JMZ11" s="3461"/>
      <c r="JNA11" s="3461"/>
      <c r="JNB11" s="3461"/>
      <c r="JNC11" s="3461"/>
      <c r="JND11" s="3461"/>
      <c r="JNE11" s="3461"/>
      <c r="JNF11" s="3461"/>
      <c r="JNG11" s="3461"/>
      <c r="JNH11" s="3461"/>
      <c r="JNI11" s="3461"/>
      <c r="JNJ11" s="3461"/>
      <c r="JNK11" s="3461"/>
      <c r="JNL11" s="3461"/>
      <c r="JNM11" s="3461"/>
      <c r="JNN11" s="3461"/>
      <c r="JNO11" s="3461"/>
      <c r="JNP11" s="3461"/>
      <c r="JNQ11" s="3461"/>
      <c r="JNR11" s="3461"/>
      <c r="JNS11" s="3461"/>
      <c r="JNT11" s="3461"/>
      <c r="JNU11" s="3461"/>
      <c r="JNV11" s="3461"/>
      <c r="JNW11" s="3461"/>
      <c r="JNX11" s="3461"/>
      <c r="JNY11" s="3461"/>
      <c r="JNZ11" s="3461"/>
      <c r="JOA11" s="3461"/>
      <c r="JOB11" s="3461"/>
      <c r="JOC11" s="3461"/>
      <c r="JOD11" s="3461"/>
      <c r="JOE11" s="3461"/>
      <c r="JOF11" s="3461"/>
      <c r="JOG11" s="3461"/>
      <c r="JOH11" s="3461"/>
      <c r="JOI11" s="3461"/>
      <c r="JOJ11" s="3461"/>
      <c r="JOK11" s="3461"/>
      <c r="JOL11" s="3461"/>
      <c r="JOM11" s="3461"/>
      <c r="JON11" s="3461"/>
      <c r="JOO11" s="3461"/>
      <c r="JOP11" s="3461"/>
      <c r="JOQ11" s="3461"/>
      <c r="JOR11" s="3461"/>
      <c r="JOS11" s="3461"/>
      <c r="JOT11" s="3461"/>
      <c r="JOU11" s="3461"/>
      <c r="JOV11" s="3461"/>
      <c r="JOW11" s="3461"/>
      <c r="JOX11" s="3461"/>
      <c r="JOY11" s="3461"/>
      <c r="JOZ11" s="3461"/>
      <c r="JPA11" s="3461"/>
      <c r="JPB11" s="3461"/>
      <c r="JPC11" s="3461"/>
      <c r="JPD11" s="3461"/>
      <c r="JPE11" s="3461"/>
      <c r="JPF11" s="3461"/>
      <c r="JPG11" s="3461"/>
      <c r="JPH11" s="3461"/>
      <c r="JPI11" s="3461"/>
      <c r="JPJ11" s="3461"/>
      <c r="JPK11" s="3461"/>
      <c r="JPL11" s="3461"/>
      <c r="JPM11" s="3461"/>
      <c r="JPN11" s="3461"/>
      <c r="JPO11" s="3461"/>
      <c r="JPP11" s="3461"/>
      <c r="JPQ11" s="3461"/>
      <c r="JPR11" s="3461"/>
      <c r="JPS11" s="3461"/>
      <c r="JPT11" s="3461"/>
      <c r="JPU11" s="3461"/>
      <c r="JPV11" s="3461"/>
      <c r="JPW11" s="3461"/>
      <c r="JPX11" s="3461"/>
      <c r="JPY11" s="3461"/>
      <c r="JPZ11" s="3461"/>
      <c r="JQA11" s="3461"/>
      <c r="JQB11" s="3461"/>
      <c r="JQC11" s="3461"/>
      <c r="JQD11" s="3461"/>
      <c r="JQE11" s="3461"/>
      <c r="JQF11" s="3461"/>
      <c r="JQG11" s="3461"/>
      <c r="JQH11" s="3461"/>
      <c r="JQI11" s="3461"/>
      <c r="JQJ11" s="3461"/>
      <c r="JQK11" s="3461"/>
      <c r="JQL11" s="3461"/>
      <c r="JQM11" s="3461"/>
      <c r="JQN11" s="3461"/>
      <c r="JQO11" s="3461"/>
      <c r="JQP11" s="3461"/>
      <c r="JQQ11" s="3461"/>
      <c r="JQR11" s="3461"/>
      <c r="JQS11" s="3461"/>
      <c r="JQT11" s="3461"/>
      <c r="JQU11" s="3461"/>
      <c r="JQV11" s="3461"/>
      <c r="JQW11" s="3461"/>
      <c r="JQX11" s="3461"/>
      <c r="JQY11" s="3461"/>
      <c r="JQZ11" s="3461"/>
      <c r="JRA11" s="3461"/>
      <c r="JRB11" s="3461"/>
      <c r="JRC11" s="3461"/>
      <c r="JRD11" s="3461"/>
      <c r="JRE11" s="3461"/>
      <c r="JRF11" s="3461"/>
      <c r="JRG11" s="3461"/>
      <c r="JRH11" s="3461"/>
      <c r="JRI11" s="3461"/>
      <c r="JRJ11" s="3461"/>
      <c r="JRK11" s="3461"/>
      <c r="JRL11" s="3461"/>
      <c r="JRM11" s="3461"/>
      <c r="JRN11" s="3461"/>
      <c r="JRO11" s="3461"/>
      <c r="JRP11" s="3461"/>
      <c r="JRQ11" s="3461"/>
      <c r="JRR11" s="3461"/>
      <c r="JRS11" s="3461"/>
      <c r="JRT11" s="3461"/>
      <c r="JRU11" s="3461"/>
      <c r="JRV11" s="3461"/>
      <c r="JRW11" s="3461"/>
      <c r="JRX11" s="3461"/>
      <c r="JRY11" s="3461"/>
      <c r="JRZ11" s="3461"/>
      <c r="JSA11" s="3461"/>
      <c r="JSB11" s="3461"/>
      <c r="JSC11" s="3461"/>
      <c r="JSD11" s="3461"/>
      <c r="JSE11" s="3461"/>
      <c r="JSF11" s="3461"/>
      <c r="JSG11" s="3461"/>
      <c r="JSH11" s="3461"/>
      <c r="JSI11" s="3461"/>
      <c r="JSJ11" s="3461"/>
      <c r="JSK11" s="3461"/>
      <c r="JSL11" s="3461"/>
      <c r="JSM11" s="3461"/>
      <c r="JSN11" s="3461"/>
      <c r="JSO11" s="3461"/>
      <c r="JSP11" s="3461"/>
      <c r="JSQ11" s="3461"/>
      <c r="JSR11" s="3461"/>
      <c r="JSS11" s="3461"/>
      <c r="JST11" s="3461"/>
      <c r="JSU11" s="3461"/>
      <c r="JSV11" s="3461"/>
      <c r="JSW11" s="3461"/>
      <c r="JSX11" s="3461"/>
      <c r="JSY11" s="3461"/>
      <c r="JSZ11" s="3461"/>
      <c r="JTA11" s="3461"/>
      <c r="JTB11" s="3461"/>
      <c r="JTC11" s="3461"/>
      <c r="JTD11" s="3461"/>
      <c r="JTE11" s="3461"/>
      <c r="JTF11" s="3461"/>
      <c r="JTG11" s="3461"/>
      <c r="JTH11" s="3461"/>
      <c r="JTI11" s="3461"/>
      <c r="JTJ11" s="3461"/>
      <c r="JTK11" s="3461"/>
      <c r="JTL11" s="3461"/>
      <c r="JTM11" s="3461"/>
      <c r="JTN11" s="3461"/>
      <c r="JTO11" s="3461"/>
      <c r="JTP11" s="3461"/>
      <c r="JTQ11" s="3461"/>
      <c r="JTR11" s="3461"/>
      <c r="JTS11" s="3461"/>
      <c r="JTT11" s="3461"/>
      <c r="JTU11" s="3461"/>
      <c r="JTV11" s="3461"/>
      <c r="JTW11" s="3461"/>
      <c r="JTX11" s="3461"/>
      <c r="JTY11" s="3461"/>
      <c r="JTZ11" s="3461"/>
      <c r="JUA11" s="3461"/>
      <c r="JUB11" s="3461"/>
      <c r="JUC11" s="3461"/>
      <c r="JUD11" s="3461"/>
      <c r="JUE11" s="3461"/>
      <c r="JUF11" s="3461"/>
      <c r="JUG11" s="3461"/>
      <c r="JUH11" s="3461"/>
      <c r="JUI11" s="3461"/>
      <c r="JUJ11" s="3461"/>
      <c r="JUK11" s="3461"/>
      <c r="JUL11" s="3461"/>
      <c r="JUM11" s="3461"/>
      <c r="JUN11" s="3461"/>
      <c r="JUO11" s="3461"/>
      <c r="JUP11" s="3461"/>
      <c r="JUQ11" s="3461"/>
      <c r="JUR11" s="3461"/>
      <c r="JUS11" s="3461"/>
      <c r="JUT11" s="3461"/>
      <c r="JUU11" s="3461"/>
      <c r="JUV11" s="3461"/>
      <c r="JUW11" s="3461"/>
      <c r="JUX11" s="3461"/>
      <c r="JUY11" s="3461"/>
      <c r="JUZ11" s="3461"/>
      <c r="JVA11" s="3461"/>
      <c r="JVB11" s="3461"/>
      <c r="JVC11" s="3461"/>
      <c r="JVD11" s="3461"/>
      <c r="JVE11" s="3461"/>
      <c r="JVF11" s="3461"/>
      <c r="JVG11" s="3461"/>
      <c r="JVH11" s="3461"/>
      <c r="JVI11" s="3461"/>
      <c r="JVJ11" s="3461"/>
      <c r="JVK11" s="3461"/>
      <c r="JVL11" s="3461"/>
      <c r="JVM11" s="3461"/>
      <c r="JVN11" s="3461"/>
      <c r="JVO11" s="3461"/>
      <c r="JVP11" s="3461"/>
      <c r="JVQ11" s="3461"/>
      <c r="JVR11" s="3461"/>
      <c r="JVS11" s="3461"/>
      <c r="JVT11" s="3461"/>
      <c r="JVU11" s="3461"/>
      <c r="JVV11" s="3461"/>
      <c r="JVW11" s="3461"/>
      <c r="JVX11" s="3461"/>
      <c r="JVY11" s="3461"/>
      <c r="JVZ11" s="3461"/>
      <c r="JWA11" s="3461"/>
      <c r="JWB11" s="3461"/>
      <c r="JWC11" s="3461"/>
      <c r="JWD11" s="3461"/>
      <c r="JWE11" s="3461"/>
      <c r="JWF11" s="3461"/>
      <c r="JWG11" s="3461"/>
      <c r="JWH11" s="3461"/>
      <c r="JWI11" s="3461"/>
      <c r="JWJ11" s="3461"/>
      <c r="JWK11" s="3461"/>
      <c r="JWL11" s="3461"/>
      <c r="JWM11" s="3461"/>
      <c r="JWN11" s="3461"/>
      <c r="JWO11" s="3461"/>
      <c r="JWP11" s="3461"/>
      <c r="JWQ11" s="3461"/>
      <c r="JWR11" s="3461"/>
      <c r="JWS11" s="3461"/>
      <c r="JWT11" s="3461"/>
      <c r="JWU11" s="3461"/>
      <c r="JWV11" s="3461"/>
      <c r="JWW11" s="3461"/>
      <c r="JWX11" s="3461"/>
      <c r="JWY11" s="3461"/>
      <c r="JWZ11" s="3461"/>
      <c r="JXA11" s="3461"/>
      <c r="JXB11" s="3461"/>
      <c r="JXC11" s="3461"/>
      <c r="JXD11" s="3461"/>
      <c r="JXE11" s="3461"/>
      <c r="JXF11" s="3461"/>
      <c r="JXG11" s="3461"/>
      <c r="JXH11" s="3461"/>
      <c r="JXI11" s="3461"/>
      <c r="JXJ11" s="3461"/>
      <c r="JXK11" s="3461"/>
      <c r="JXL11" s="3461"/>
      <c r="JXM11" s="3461"/>
      <c r="JXN11" s="3461"/>
      <c r="JXO11" s="3461"/>
      <c r="JXP11" s="3461"/>
      <c r="JXQ11" s="3461"/>
      <c r="JXR11" s="3461"/>
      <c r="JXS11" s="3461"/>
      <c r="JXT11" s="3461"/>
      <c r="JXU11" s="3461"/>
      <c r="JXV11" s="3461"/>
      <c r="JXW11" s="3461"/>
      <c r="JXX11" s="3461"/>
      <c r="JXY11" s="3461"/>
      <c r="JXZ11" s="3461"/>
      <c r="JYA11" s="3461"/>
      <c r="JYB11" s="3461"/>
      <c r="JYC11" s="3461"/>
      <c r="JYD11" s="3461"/>
      <c r="JYE11" s="3461"/>
      <c r="JYF11" s="3461"/>
      <c r="JYG11" s="3461"/>
      <c r="JYH11" s="3461"/>
      <c r="JYI11" s="3461"/>
      <c r="JYJ11" s="3461"/>
      <c r="JYK11" s="3461"/>
      <c r="JYL11" s="3461"/>
      <c r="JYM11" s="3461"/>
      <c r="JYN11" s="3461"/>
      <c r="JYO11" s="3461"/>
      <c r="JYP11" s="3461"/>
      <c r="JYQ11" s="3461"/>
      <c r="JYR11" s="3461"/>
      <c r="JYS11" s="3461"/>
      <c r="JYT11" s="3461"/>
      <c r="JYU11" s="3461"/>
      <c r="JYV11" s="3461"/>
      <c r="JYW11" s="3461"/>
      <c r="JYX11" s="3461"/>
      <c r="JYY11" s="3461"/>
      <c r="JYZ11" s="3461"/>
      <c r="JZA11" s="3461"/>
      <c r="JZB11" s="3461"/>
      <c r="JZC11" s="3461"/>
      <c r="JZD11" s="3461"/>
      <c r="JZE11" s="3461"/>
      <c r="JZF11" s="3461"/>
      <c r="JZG11" s="3461"/>
      <c r="JZH11" s="3461"/>
      <c r="JZI11" s="3461"/>
      <c r="JZJ11" s="3461"/>
      <c r="JZK11" s="3461"/>
      <c r="JZL11" s="3461"/>
      <c r="JZM11" s="3461"/>
      <c r="JZN11" s="3461"/>
      <c r="JZO11" s="3461"/>
      <c r="JZP11" s="3461"/>
      <c r="JZQ11" s="3461"/>
      <c r="JZR11" s="3461"/>
      <c r="JZS11" s="3461"/>
      <c r="JZT11" s="3461"/>
      <c r="JZU11" s="3461"/>
      <c r="JZV11" s="3461"/>
      <c r="JZW11" s="3461"/>
      <c r="JZX11" s="3461"/>
      <c r="JZY11" s="3461"/>
      <c r="JZZ11" s="3461"/>
      <c r="KAA11" s="3461"/>
      <c r="KAB11" s="3461"/>
      <c r="KAC11" s="3461"/>
      <c r="KAD11" s="3461"/>
      <c r="KAE11" s="3461"/>
      <c r="KAF11" s="3461"/>
      <c r="KAG11" s="3461"/>
      <c r="KAH11" s="3461"/>
      <c r="KAI11" s="3461"/>
      <c r="KAJ11" s="3461"/>
      <c r="KAK11" s="3461"/>
      <c r="KAL11" s="3461"/>
      <c r="KAM11" s="3461"/>
      <c r="KAN11" s="3461"/>
      <c r="KAO11" s="3461"/>
      <c r="KAP11" s="3461"/>
      <c r="KAQ11" s="3461"/>
      <c r="KAR11" s="3461"/>
      <c r="KAS11" s="3461"/>
      <c r="KAT11" s="3461"/>
      <c r="KAU11" s="3461"/>
      <c r="KAV11" s="3461"/>
      <c r="KAW11" s="3461"/>
      <c r="KAX11" s="3461"/>
      <c r="KAY11" s="3461"/>
      <c r="KAZ11" s="3461"/>
      <c r="KBA11" s="3461"/>
      <c r="KBB11" s="3461"/>
      <c r="KBC11" s="3461"/>
      <c r="KBD11" s="3461"/>
      <c r="KBE11" s="3461"/>
      <c r="KBF11" s="3461"/>
      <c r="KBG11" s="3461"/>
      <c r="KBH11" s="3461"/>
      <c r="KBI11" s="3461"/>
      <c r="KBJ11" s="3461"/>
      <c r="KBK11" s="3461"/>
      <c r="KBL11" s="3461"/>
      <c r="KBM11" s="3461"/>
      <c r="KBN11" s="3461"/>
      <c r="KBO11" s="3461"/>
      <c r="KBP11" s="3461"/>
      <c r="KBQ11" s="3461"/>
      <c r="KBR11" s="3461"/>
      <c r="KBS11" s="3461"/>
      <c r="KBT11" s="3461"/>
      <c r="KBU11" s="3461"/>
      <c r="KBV11" s="3461"/>
      <c r="KBW11" s="3461"/>
      <c r="KBX11" s="3461"/>
      <c r="KBY11" s="3461"/>
      <c r="KBZ11" s="3461"/>
      <c r="KCA11" s="3461"/>
      <c r="KCB11" s="3461"/>
      <c r="KCC11" s="3461"/>
      <c r="KCD11" s="3461"/>
      <c r="KCE11" s="3461"/>
      <c r="KCF11" s="3461"/>
      <c r="KCG11" s="3461"/>
      <c r="KCH11" s="3461"/>
      <c r="KCI11" s="3461"/>
      <c r="KCJ11" s="3461"/>
      <c r="KCK11" s="3461"/>
      <c r="KCL11" s="3461"/>
      <c r="KCM11" s="3461"/>
      <c r="KCN11" s="3461"/>
      <c r="KCO11" s="3461"/>
      <c r="KCP11" s="3461"/>
      <c r="KCQ11" s="3461"/>
      <c r="KCR11" s="3461"/>
      <c r="KCS11" s="3461"/>
      <c r="KCT11" s="3461"/>
      <c r="KCU11" s="3461"/>
      <c r="KCV11" s="3461"/>
      <c r="KCW11" s="3461"/>
      <c r="KCX11" s="3461"/>
      <c r="KCY11" s="3461"/>
      <c r="KCZ11" s="3461"/>
      <c r="KDA11" s="3461"/>
      <c r="KDB11" s="3461"/>
      <c r="KDC11" s="3461"/>
      <c r="KDD11" s="3461"/>
      <c r="KDE11" s="3461"/>
      <c r="KDF11" s="3461"/>
      <c r="KDG11" s="3461"/>
      <c r="KDH11" s="3461"/>
      <c r="KDI11" s="3461"/>
      <c r="KDJ11" s="3461"/>
      <c r="KDK11" s="3461"/>
      <c r="KDL11" s="3461"/>
      <c r="KDM11" s="3461"/>
      <c r="KDN11" s="3461"/>
      <c r="KDO11" s="3461"/>
      <c r="KDP11" s="3461"/>
      <c r="KDQ11" s="3461"/>
      <c r="KDR11" s="3461"/>
      <c r="KDS11" s="3461"/>
      <c r="KDT11" s="3461"/>
      <c r="KDU11" s="3461"/>
      <c r="KDV11" s="3461"/>
      <c r="KDW11" s="3461"/>
      <c r="KDX11" s="3461"/>
      <c r="KDY11" s="3461"/>
      <c r="KDZ11" s="3461"/>
      <c r="KEA11" s="3461"/>
      <c r="KEB11" s="3461"/>
      <c r="KEC11" s="3461"/>
      <c r="KED11" s="3461"/>
      <c r="KEE11" s="3461"/>
      <c r="KEF11" s="3461"/>
      <c r="KEG11" s="3461"/>
      <c r="KEH11" s="3461"/>
      <c r="KEI11" s="3461"/>
      <c r="KEJ11" s="3461"/>
      <c r="KEK11" s="3461"/>
      <c r="KEL11" s="3461"/>
      <c r="KEM11" s="3461"/>
      <c r="KEN11" s="3461"/>
      <c r="KEO11" s="3461"/>
      <c r="KEP11" s="3461"/>
      <c r="KEQ11" s="3461"/>
      <c r="KER11" s="3461"/>
      <c r="KES11" s="3461"/>
      <c r="KET11" s="3461"/>
      <c r="KEU11" s="3461"/>
      <c r="KEV11" s="3461"/>
      <c r="KEW11" s="3461"/>
      <c r="KEX11" s="3461"/>
      <c r="KEY11" s="3461"/>
      <c r="KEZ11" s="3461"/>
      <c r="KFA11" s="3461"/>
      <c r="KFB11" s="3461"/>
      <c r="KFC11" s="3461"/>
      <c r="KFD11" s="3461"/>
      <c r="KFE11" s="3461"/>
      <c r="KFF11" s="3461"/>
      <c r="KFG11" s="3461"/>
      <c r="KFH11" s="3461"/>
      <c r="KFI11" s="3461"/>
      <c r="KFJ11" s="3461"/>
      <c r="KFK11" s="3461"/>
      <c r="KFL11" s="3461"/>
      <c r="KFM11" s="3461"/>
      <c r="KFN11" s="3461"/>
      <c r="KFO11" s="3461"/>
      <c r="KFP11" s="3461"/>
      <c r="KFQ11" s="3461"/>
      <c r="KFR11" s="3461"/>
      <c r="KFS11" s="3461"/>
      <c r="KFT11" s="3461"/>
      <c r="KFU11" s="3461"/>
      <c r="KFV11" s="3461"/>
      <c r="KFW11" s="3461"/>
      <c r="KFX11" s="3461"/>
      <c r="KFY11" s="3461"/>
      <c r="KFZ11" s="3461"/>
      <c r="KGA11" s="3461"/>
      <c r="KGB11" s="3461"/>
      <c r="KGC11" s="3461"/>
      <c r="KGD11" s="3461"/>
      <c r="KGE11" s="3461"/>
      <c r="KGF11" s="3461"/>
      <c r="KGG11" s="3461"/>
      <c r="KGH11" s="3461"/>
      <c r="KGI11" s="3461"/>
      <c r="KGJ11" s="3461"/>
      <c r="KGK11" s="3461"/>
      <c r="KGL11" s="3461"/>
      <c r="KGM11" s="3461"/>
      <c r="KGN11" s="3461"/>
      <c r="KGO11" s="3461"/>
      <c r="KGP11" s="3461"/>
      <c r="KGQ11" s="3461"/>
      <c r="KGR11" s="3461"/>
      <c r="KGS11" s="3461"/>
      <c r="KGT11" s="3461"/>
      <c r="KGU11" s="3461"/>
      <c r="KGV11" s="3461"/>
      <c r="KGW11" s="3461"/>
      <c r="KGX11" s="3461"/>
      <c r="KGY11" s="3461"/>
      <c r="KGZ11" s="3461"/>
      <c r="KHA11" s="3461"/>
      <c r="KHB11" s="3461"/>
      <c r="KHC11" s="3461"/>
      <c r="KHD11" s="3461"/>
      <c r="KHE11" s="3461"/>
      <c r="KHF11" s="3461"/>
      <c r="KHG11" s="3461"/>
      <c r="KHH11" s="3461"/>
      <c r="KHI11" s="3461"/>
      <c r="KHJ11" s="3461"/>
      <c r="KHK11" s="3461"/>
      <c r="KHL11" s="3461"/>
      <c r="KHM11" s="3461"/>
      <c r="KHN11" s="3461"/>
      <c r="KHO11" s="3461"/>
      <c r="KHP11" s="3461"/>
      <c r="KHQ11" s="3461"/>
      <c r="KHR11" s="3461"/>
      <c r="KHS11" s="3461"/>
      <c r="KHT11" s="3461"/>
      <c r="KHU11" s="3461"/>
      <c r="KHV11" s="3461"/>
      <c r="KHW11" s="3461"/>
      <c r="KHX11" s="3461"/>
      <c r="KHY11" s="3461"/>
      <c r="KHZ11" s="3461"/>
      <c r="KIA11" s="3461"/>
      <c r="KIB11" s="3461"/>
      <c r="KIC11" s="3461"/>
      <c r="KID11" s="3461"/>
      <c r="KIE11" s="3461"/>
      <c r="KIF11" s="3461"/>
      <c r="KIG11" s="3461"/>
      <c r="KIH11" s="3461"/>
      <c r="KII11" s="3461"/>
      <c r="KIJ11" s="3461"/>
      <c r="KIK11" s="3461"/>
      <c r="KIL11" s="3461"/>
      <c r="KIM11" s="3461"/>
      <c r="KIN11" s="3461"/>
      <c r="KIO11" s="3461"/>
      <c r="KIP11" s="3461"/>
      <c r="KIQ11" s="3461"/>
      <c r="KIR11" s="3461"/>
      <c r="KIS11" s="3461"/>
      <c r="KIT11" s="3461"/>
      <c r="KIU11" s="3461"/>
      <c r="KIV11" s="3461"/>
      <c r="KIW11" s="3461"/>
      <c r="KIX11" s="3461"/>
      <c r="KIY11" s="3461"/>
      <c r="KIZ11" s="3461"/>
      <c r="KJA11" s="3461"/>
      <c r="KJB11" s="3461"/>
      <c r="KJC11" s="3461"/>
      <c r="KJD11" s="3461"/>
      <c r="KJE11" s="3461"/>
      <c r="KJF11" s="3461"/>
      <c r="KJG11" s="3461"/>
      <c r="KJH11" s="3461"/>
      <c r="KJI11" s="3461"/>
      <c r="KJJ11" s="3461"/>
      <c r="KJK11" s="3461"/>
      <c r="KJL11" s="3461"/>
      <c r="KJM11" s="3461"/>
      <c r="KJN11" s="3461"/>
      <c r="KJO11" s="3461"/>
      <c r="KJP11" s="3461"/>
      <c r="KJQ11" s="3461"/>
      <c r="KJR11" s="3461"/>
      <c r="KJS11" s="3461"/>
      <c r="KJT11" s="3461"/>
      <c r="KJU11" s="3461"/>
      <c r="KJV11" s="3461"/>
      <c r="KJW11" s="3461"/>
      <c r="KJX11" s="3461"/>
      <c r="KJY11" s="3461"/>
      <c r="KJZ11" s="3461"/>
      <c r="KKA11" s="3461"/>
      <c r="KKB11" s="3461"/>
      <c r="KKC11" s="3461"/>
      <c r="KKD11" s="3461"/>
      <c r="KKE11" s="3461"/>
      <c r="KKF11" s="3461"/>
      <c r="KKG11" s="3461"/>
      <c r="KKH11" s="3461"/>
      <c r="KKI11" s="3461"/>
      <c r="KKJ11" s="3461"/>
      <c r="KKK11" s="3461"/>
      <c r="KKL11" s="3461"/>
      <c r="KKM11" s="3461"/>
      <c r="KKN11" s="3461"/>
      <c r="KKO11" s="3461"/>
      <c r="KKP11" s="3461"/>
      <c r="KKQ11" s="3461"/>
      <c r="KKR11" s="3461"/>
      <c r="KKS11" s="3461"/>
      <c r="KKT11" s="3461"/>
      <c r="KKU11" s="3461"/>
      <c r="KKV11" s="3461"/>
      <c r="KKW11" s="3461"/>
      <c r="KKX11" s="3461"/>
      <c r="KKY11" s="3461"/>
      <c r="KKZ11" s="3461"/>
      <c r="KLA11" s="3461"/>
      <c r="KLB11" s="3461"/>
      <c r="KLC11" s="3461"/>
      <c r="KLD11" s="3461"/>
      <c r="KLE11" s="3461"/>
      <c r="KLF11" s="3461"/>
      <c r="KLG11" s="3461"/>
      <c r="KLH11" s="3461"/>
      <c r="KLI11" s="3461"/>
      <c r="KLJ11" s="3461"/>
      <c r="KLK11" s="3461"/>
      <c r="KLL11" s="3461"/>
      <c r="KLM11" s="3461"/>
      <c r="KLN11" s="3461"/>
      <c r="KLO11" s="3461"/>
      <c r="KLP11" s="3461"/>
      <c r="KLQ11" s="3461"/>
      <c r="KLR11" s="3461"/>
      <c r="KLS11" s="3461"/>
      <c r="KLT11" s="3461"/>
      <c r="KLU11" s="3461"/>
      <c r="KLV11" s="3461"/>
      <c r="KLW11" s="3461"/>
      <c r="KLX11" s="3461"/>
      <c r="KLY11" s="3461"/>
      <c r="KLZ11" s="3461"/>
      <c r="KMA11" s="3461"/>
      <c r="KMB11" s="3461"/>
      <c r="KMC11" s="3461"/>
      <c r="KMD11" s="3461"/>
      <c r="KME11" s="3461"/>
      <c r="KMF11" s="3461"/>
      <c r="KMG11" s="3461"/>
      <c r="KMH11" s="3461"/>
      <c r="KMI11" s="3461"/>
      <c r="KMJ11" s="3461"/>
      <c r="KMK11" s="3461"/>
      <c r="KML11" s="3461"/>
      <c r="KMM11" s="3461"/>
      <c r="KMN11" s="3461"/>
      <c r="KMO11" s="3461"/>
      <c r="KMP11" s="3461"/>
      <c r="KMQ11" s="3461"/>
      <c r="KMR11" s="3461"/>
      <c r="KMS11" s="3461"/>
      <c r="KMT11" s="3461"/>
      <c r="KMU11" s="3461"/>
      <c r="KMV11" s="3461"/>
      <c r="KMW11" s="3461"/>
      <c r="KMX11" s="3461"/>
      <c r="KMY11" s="3461"/>
      <c r="KMZ11" s="3461"/>
      <c r="KNA11" s="3461"/>
      <c r="KNB11" s="3461"/>
      <c r="KNC11" s="3461"/>
      <c r="KND11" s="3461"/>
      <c r="KNE11" s="3461"/>
      <c r="KNF11" s="3461"/>
      <c r="KNG11" s="3461"/>
      <c r="KNH11" s="3461"/>
      <c r="KNI11" s="3461"/>
      <c r="KNJ11" s="3461"/>
      <c r="KNK11" s="3461"/>
      <c r="KNL11" s="3461"/>
      <c r="KNM11" s="3461"/>
      <c r="KNN11" s="3461"/>
      <c r="KNO11" s="3461"/>
      <c r="KNP11" s="3461"/>
      <c r="KNQ11" s="3461"/>
      <c r="KNR11" s="3461"/>
      <c r="KNS11" s="3461"/>
      <c r="KNT11" s="3461"/>
      <c r="KNU11" s="3461"/>
      <c r="KNV11" s="3461"/>
      <c r="KNW11" s="3461"/>
      <c r="KNX11" s="3461"/>
      <c r="KNY11" s="3461"/>
      <c r="KNZ11" s="3461"/>
      <c r="KOA11" s="3461"/>
      <c r="KOB11" s="3461"/>
      <c r="KOC11" s="3461"/>
      <c r="KOD11" s="3461"/>
      <c r="KOE11" s="3461"/>
      <c r="KOF11" s="3461"/>
      <c r="KOG11" s="3461"/>
      <c r="KOH11" s="3461"/>
      <c r="KOI11" s="3461"/>
      <c r="KOJ11" s="3461"/>
      <c r="KOK11" s="3461"/>
      <c r="KOL11" s="3461"/>
      <c r="KOM11" s="3461"/>
      <c r="KON11" s="3461"/>
      <c r="KOO11" s="3461"/>
      <c r="KOP11" s="3461"/>
      <c r="KOQ11" s="3461"/>
      <c r="KOR11" s="3461"/>
      <c r="KOS11" s="3461"/>
      <c r="KOT11" s="3461"/>
      <c r="KOU11" s="3461"/>
      <c r="KOV11" s="3461"/>
      <c r="KOW11" s="3461"/>
      <c r="KOX11" s="3461"/>
      <c r="KOY11" s="3461"/>
      <c r="KOZ11" s="3461"/>
      <c r="KPA11" s="3461"/>
      <c r="KPB11" s="3461"/>
      <c r="KPC11" s="3461"/>
      <c r="KPD11" s="3461"/>
      <c r="KPE11" s="3461"/>
      <c r="KPF11" s="3461"/>
      <c r="KPG11" s="3461"/>
      <c r="KPH11" s="3461"/>
      <c r="KPI11" s="3461"/>
      <c r="KPJ11" s="3461"/>
      <c r="KPK11" s="3461"/>
      <c r="KPL11" s="3461"/>
      <c r="KPM11" s="3461"/>
      <c r="KPN11" s="3461"/>
      <c r="KPO11" s="3461"/>
      <c r="KPP11" s="3461"/>
      <c r="KPQ11" s="3461"/>
      <c r="KPR11" s="3461"/>
      <c r="KPS11" s="3461"/>
      <c r="KPT11" s="3461"/>
      <c r="KPU11" s="3461"/>
      <c r="KPV11" s="3461"/>
      <c r="KPW11" s="3461"/>
      <c r="KPX11" s="3461"/>
      <c r="KPY11" s="3461"/>
      <c r="KPZ11" s="3461"/>
      <c r="KQA11" s="3461"/>
      <c r="KQB11" s="3461"/>
      <c r="KQC11" s="3461"/>
      <c r="KQD11" s="3461"/>
      <c r="KQE11" s="3461"/>
      <c r="KQF11" s="3461"/>
      <c r="KQG11" s="3461"/>
      <c r="KQH11" s="3461"/>
      <c r="KQI11" s="3461"/>
      <c r="KQJ11" s="3461"/>
      <c r="KQK11" s="3461"/>
      <c r="KQL11" s="3461"/>
      <c r="KQM11" s="3461"/>
      <c r="KQN11" s="3461"/>
      <c r="KQO11" s="3461"/>
      <c r="KQP11" s="3461"/>
      <c r="KQQ11" s="3461"/>
      <c r="KQR11" s="3461"/>
      <c r="KQS11" s="3461"/>
      <c r="KQT11" s="3461"/>
      <c r="KQU11" s="3461"/>
      <c r="KQV11" s="3461"/>
      <c r="KQW11" s="3461"/>
      <c r="KQX11" s="3461"/>
      <c r="KQY11" s="3461"/>
      <c r="KQZ11" s="3461"/>
      <c r="KRA11" s="3461"/>
      <c r="KRB11" s="3461"/>
      <c r="KRC11" s="3461"/>
      <c r="KRD11" s="3461"/>
      <c r="KRE11" s="3461"/>
      <c r="KRF11" s="3461"/>
      <c r="KRG11" s="3461"/>
      <c r="KRH11" s="3461"/>
      <c r="KRI11" s="3461"/>
      <c r="KRJ11" s="3461"/>
      <c r="KRK11" s="3461"/>
      <c r="KRL11" s="3461"/>
      <c r="KRM11" s="3461"/>
      <c r="KRN11" s="3461"/>
      <c r="KRO11" s="3461"/>
      <c r="KRP11" s="3461"/>
      <c r="KRQ11" s="3461"/>
      <c r="KRR11" s="3461"/>
      <c r="KRS11" s="3461"/>
      <c r="KRT11" s="3461"/>
      <c r="KRU11" s="3461"/>
      <c r="KRV11" s="3461"/>
      <c r="KRW11" s="3461"/>
      <c r="KRX11" s="3461"/>
      <c r="KRY11" s="3461"/>
      <c r="KRZ11" s="3461"/>
      <c r="KSA11" s="3461"/>
      <c r="KSB11" s="3461"/>
      <c r="KSC11" s="3461"/>
      <c r="KSD11" s="3461"/>
      <c r="KSE11" s="3461"/>
      <c r="KSF11" s="3461"/>
      <c r="KSG11" s="3461"/>
      <c r="KSH11" s="3461"/>
      <c r="KSI11" s="3461"/>
      <c r="KSJ11" s="3461"/>
      <c r="KSK11" s="3461"/>
      <c r="KSL11" s="3461"/>
      <c r="KSM11" s="3461"/>
      <c r="KSN11" s="3461"/>
      <c r="KSO11" s="3461"/>
      <c r="KSP11" s="3461"/>
      <c r="KSQ11" s="3461"/>
      <c r="KSR11" s="3461"/>
      <c r="KSS11" s="3461"/>
      <c r="KST11" s="3461"/>
      <c r="KSU11" s="3461"/>
      <c r="KSV11" s="3461"/>
      <c r="KSW11" s="3461"/>
      <c r="KSX11" s="3461"/>
      <c r="KSY11" s="3461"/>
      <c r="KSZ11" s="3461"/>
      <c r="KTA11" s="3461"/>
      <c r="KTB11" s="3461"/>
      <c r="KTC11" s="3461"/>
      <c r="KTD11" s="3461"/>
      <c r="KTE11" s="3461"/>
      <c r="KTF11" s="3461"/>
      <c r="KTG11" s="3461"/>
      <c r="KTH11" s="3461"/>
      <c r="KTI11" s="3461"/>
      <c r="KTJ11" s="3461"/>
      <c r="KTK11" s="3461"/>
      <c r="KTL11" s="3461"/>
      <c r="KTM11" s="3461"/>
      <c r="KTN11" s="3461"/>
      <c r="KTO11" s="3461"/>
      <c r="KTP11" s="3461"/>
      <c r="KTQ11" s="3461"/>
      <c r="KTR11" s="3461"/>
      <c r="KTS11" s="3461"/>
      <c r="KTT11" s="3461"/>
      <c r="KTU11" s="3461"/>
      <c r="KTV11" s="3461"/>
      <c r="KTW11" s="3461"/>
      <c r="KTX11" s="3461"/>
      <c r="KTY11" s="3461"/>
      <c r="KTZ11" s="3461"/>
      <c r="KUA11" s="3461"/>
      <c r="KUB11" s="3461"/>
      <c r="KUC11" s="3461"/>
      <c r="KUD11" s="3461"/>
      <c r="KUE11" s="3461"/>
      <c r="KUF11" s="3461"/>
      <c r="KUG11" s="3461"/>
      <c r="KUH11" s="3461"/>
      <c r="KUI11" s="3461"/>
      <c r="KUJ11" s="3461"/>
      <c r="KUK11" s="3461"/>
      <c r="KUL11" s="3461"/>
      <c r="KUM11" s="3461"/>
      <c r="KUN11" s="3461"/>
      <c r="KUO11" s="3461"/>
      <c r="KUP11" s="3461"/>
      <c r="KUQ11" s="3461"/>
      <c r="KUR11" s="3461"/>
      <c r="KUS11" s="3461"/>
      <c r="KUT11" s="3461"/>
      <c r="KUU11" s="3461"/>
      <c r="KUV11" s="3461"/>
      <c r="KUW11" s="3461"/>
      <c r="KUX11" s="3461"/>
      <c r="KUY11" s="3461"/>
      <c r="KUZ11" s="3461"/>
      <c r="KVA11" s="3461"/>
      <c r="KVB11" s="3461"/>
      <c r="KVC11" s="3461"/>
      <c r="KVD11" s="3461"/>
      <c r="KVE11" s="3461"/>
      <c r="KVF11" s="3461"/>
      <c r="KVG11" s="3461"/>
      <c r="KVH11" s="3461"/>
      <c r="KVI11" s="3461"/>
      <c r="KVJ11" s="3461"/>
      <c r="KVK11" s="3461"/>
      <c r="KVL11" s="3461"/>
      <c r="KVM11" s="3461"/>
      <c r="KVN11" s="3461"/>
      <c r="KVO11" s="3461"/>
      <c r="KVP11" s="3461"/>
      <c r="KVQ11" s="3461"/>
      <c r="KVR11" s="3461"/>
      <c r="KVS11" s="3461"/>
      <c r="KVT11" s="3461"/>
      <c r="KVU11" s="3461"/>
      <c r="KVV11" s="3461"/>
      <c r="KVW11" s="3461"/>
      <c r="KVX11" s="3461"/>
      <c r="KVY11" s="3461"/>
      <c r="KVZ11" s="3461"/>
      <c r="KWA11" s="3461"/>
      <c r="KWB11" s="3461"/>
      <c r="KWC11" s="3461"/>
      <c r="KWD11" s="3461"/>
      <c r="KWE11" s="3461"/>
      <c r="KWF11" s="3461"/>
      <c r="KWG11" s="3461"/>
      <c r="KWH11" s="3461"/>
      <c r="KWI11" s="3461"/>
      <c r="KWJ11" s="3461"/>
      <c r="KWK11" s="3461"/>
      <c r="KWL11" s="3461"/>
      <c r="KWM11" s="3461"/>
      <c r="KWN11" s="3461"/>
      <c r="KWO11" s="3461"/>
      <c r="KWP11" s="3461"/>
      <c r="KWQ11" s="3461"/>
      <c r="KWR11" s="3461"/>
      <c r="KWS11" s="3461"/>
      <c r="KWT11" s="3461"/>
      <c r="KWU11" s="3461"/>
      <c r="KWV11" s="3461"/>
      <c r="KWW11" s="3461"/>
      <c r="KWX11" s="3461"/>
      <c r="KWY11" s="3461"/>
      <c r="KWZ11" s="3461"/>
      <c r="KXA11" s="3461"/>
      <c r="KXB11" s="3461"/>
      <c r="KXC11" s="3461"/>
      <c r="KXD11" s="3461"/>
      <c r="KXE11" s="3461"/>
      <c r="KXF11" s="3461"/>
      <c r="KXG11" s="3461"/>
      <c r="KXH11" s="3461"/>
      <c r="KXI11" s="3461"/>
      <c r="KXJ11" s="3461"/>
      <c r="KXK11" s="3461"/>
      <c r="KXL11" s="3461"/>
      <c r="KXM11" s="3461"/>
      <c r="KXN11" s="3461"/>
      <c r="KXO11" s="3461"/>
      <c r="KXP11" s="3461"/>
      <c r="KXQ11" s="3461"/>
      <c r="KXR11" s="3461"/>
      <c r="KXS11" s="3461"/>
      <c r="KXT11" s="3461"/>
      <c r="KXU11" s="3461"/>
      <c r="KXV11" s="3461"/>
      <c r="KXW11" s="3461"/>
      <c r="KXX11" s="3461"/>
      <c r="KXY11" s="3461"/>
      <c r="KXZ11" s="3461"/>
      <c r="KYA11" s="3461"/>
      <c r="KYB11" s="3461"/>
      <c r="KYC11" s="3461"/>
      <c r="KYD11" s="3461"/>
      <c r="KYE11" s="3461"/>
      <c r="KYF11" s="3461"/>
      <c r="KYG11" s="3461"/>
      <c r="KYH11" s="3461"/>
      <c r="KYI11" s="3461"/>
      <c r="KYJ11" s="3461"/>
      <c r="KYK11" s="3461"/>
      <c r="KYL11" s="3461"/>
      <c r="KYM11" s="3461"/>
      <c r="KYN11" s="3461"/>
      <c r="KYO11" s="3461"/>
      <c r="KYP11" s="3461"/>
      <c r="KYQ11" s="3461"/>
      <c r="KYR11" s="3461"/>
      <c r="KYS11" s="3461"/>
      <c r="KYT11" s="3461"/>
      <c r="KYU11" s="3461"/>
      <c r="KYV11" s="3461"/>
      <c r="KYW11" s="3461"/>
      <c r="KYX11" s="3461"/>
      <c r="KYY11" s="3461"/>
      <c r="KYZ11" s="3461"/>
      <c r="KZA11" s="3461"/>
      <c r="KZB11" s="3461"/>
      <c r="KZC11" s="3461"/>
      <c r="KZD11" s="3461"/>
      <c r="KZE11" s="3461"/>
      <c r="KZF11" s="3461"/>
      <c r="KZG11" s="3461"/>
      <c r="KZH11" s="3461"/>
      <c r="KZI11" s="3461"/>
      <c r="KZJ11" s="3461"/>
      <c r="KZK11" s="3461"/>
      <c r="KZL11" s="3461"/>
      <c r="KZM11" s="3461"/>
      <c r="KZN11" s="3461"/>
      <c r="KZO11" s="3461"/>
      <c r="KZP11" s="3461"/>
      <c r="KZQ11" s="3461"/>
      <c r="KZR11" s="3461"/>
      <c r="KZS11" s="3461"/>
      <c r="KZT11" s="3461"/>
      <c r="KZU11" s="3461"/>
      <c r="KZV11" s="3461"/>
      <c r="KZW11" s="3461"/>
      <c r="KZX11" s="3461"/>
      <c r="KZY11" s="3461"/>
      <c r="KZZ11" s="3461"/>
      <c r="LAA11" s="3461"/>
      <c r="LAB11" s="3461"/>
      <c r="LAC11" s="3461"/>
      <c r="LAD11" s="3461"/>
      <c r="LAE11" s="3461"/>
      <c r="LAF11" s="3461"/>
      <c r="LAG11" s="3461"/>
      <c r="LAH11" s="3461"/>
      <c r="LAI11" s="3461"/>
      <c r="LAJ11" s="3461"/>
      <c r="LAK11" s="3461"/>
      <c r="LAL11" s="3461"/>
      <c r="LAM11" s="3461"/>
      <c r="LAN11" s="3461"/>
      <c r="LAO11" s="3461"/>
      <c r="LAP11" s="3461"/>
      <c r="LAQ11" s="3461"/>
      <c r="LAR11" s="3461"/>
      <c r="LAS11" s="3461"/>
      <c r="LAT11" s="3461"/>
      <c r="LAU11" s="3461"/>
      <c r="LAV11" s="3461"/>
      <c r="LAW11" s="3461"/>
      <c r="LAX11" s="3461"/>
      <c r="LAY11" s="3461"/>
      <c r="LAZ11" s="3461"/>
      <c r="LBA11" s="3461"/>
      <c r="LBB11" s="3461"/>
      <c r="LBC11" s="3461"/>
      <c r="LBD11" s="3461"/>
      <c r="LBE11" s="3461"/>
      <c r="LBF11" s="3461"/>
      <c r="LBG11" s="3461"/>
      <c r="LBH11" s="3461"/>
      <c r="LBI11" s="3461"/>
      <c r="LBJ11" s="3461"/>
      <c r="LBK11" s="3461"/>
      <c r="LBL11" s="3461"/>
      <c r="LBM11" s="3461"/>
      <c r="LBN11" s="3461"/>
      <c r="LBO11" s="3461"/>
      <c r="LBP11" s="3461"/>
      <c r="LBQ11" s="3461"/>
      <c r="LBR11" s="3461"/>
      <c r="LBS11" s="3461"/>
      <c r="LBT11" s="3461"/>
      <c r="LBU11" s="3461"/>
      <c r="LBV11" s="3461"/>
      <c r="LBW11" s="3461"/>
      <c r="LBX11" s="3461"/>
      <c r="LBY11" s="3461"/>
      <c r="LBZ11" s="3461"/>
      <c r="LCA11" s="3461"/>
      <c r="LCB11" s="3461"/>
      <c r="LCC11" s="3461"/>
      <c r="LCD11" s="3461"/>
      <c r="LCE11" s="3461"/>
      <c r="LCF11" s="3461"/>
      <c r="LCG11" s="3461"/>
      <c r="LCH11" s="3461"/>
      <c r="LCI11" s="3461"/>
      <c r="LCJ11" s="3461"/>
      <c r="LCK11" s="3461"/>
      <c r="LCL11" s="3461"/>
      <c r="LCM11" s="3461"/>
      <c r="LCN11" s="3461"/>
      <c r="LCO11" s="3461"/>
      <c r="LCP11" s="3461"/>
      <c r="LCQ11" s="3461"/>
      <c r="LCR11" s="3461"/>
      <c r="LCS11" s="3461"/>
      <c r="LCT11" s="3461"/>
      <c r="LCU11" s="3461"/>
      <c r="LCV11" s="3461"/>
      <c r="LCW11" s="3461"/>
      <c r="LCX11" s="3461"/>
      <c r="LCY11" s="3461"/>
      <c r="LCZ11" s="3461"/>
      <c r="LDA11" s="3461"/>
      <c r="LDB11" s="3461"/>
      <c r="LDC11" s="3461"/>
      <c r="LDD11" s="3461"/>
      <c r="LDE11" s="3461"/>
      <c r="LDF11" s="3461"/>
      <c r="LDG11" s="3461"/>
      <c r="LDH11" s="3461"/>
      <c r="LDI11" s="3461"/>
      <c r="LDJ11" s="3461"/>
      <c r="LDK11" s="3461"/>
      <c r="LDL11" s="3461"/>
      <c r="LDM11" s="3461"/>
      <c r="LDN11" s="3461"/>
      <c r="LDO11" s="3461"/>
      <c r="LDP11" s="3461"/>
      <c r="LDQ11" s="3461"/>
      <c r="LDR11" s="3461"/>
      <c r="LDS11" s="3461"/>
      <c r="LDT11" s="3461"/>
      <c r="LDU11" s="3461"/>
      <c r="LDV11" s="3461"/>
      <c r="LDW11" s="3461"/>
      <c r="LDX11" s="3461"/>
      <c r="LDY11" s="3461"/>
      <c r="LDZ11" s="3461"/>
      <c r="LEA11" s="3461"/>
      <c r="LEB11" s="3461"/>
      <c r="LEC11" s="3461"/>
      <c r="LED11" s="3461"/>
      <c r="LEE11" s="3461"/>
      <c r="LEF11" s="3461"/>
      <c r="LEG11" s="3461"/>
      <c r="LEH11" s="3461"/>
      <c r="LEI11" s="3461"/>
      <c r="LEJ11" s="3461"/>
      <c r="LEK11" s="3461"/>
      <c r="LEL11" s="3461"/>
      <c r="LEM11" s="3461"/>
      <c r="LEN11" s="3461"/>
      <c r="LEO11" s="3461"/>
      <c r="LEP11" s="3461"/>
      <c r="LEQ11" s="3461"/>
      <c r="LER11" s="3461"/>
      <c r="LES11" s="3461"/>
      <c r="LET11" s="3461"/>
      <c r="LEU11" s="3461"/>
      <c r="LEV11" s="3461"/>
      <c r="LEW11" s="3461"/>
      <c r="LEX11" s="3461"/>
      <c r="LEY11" s="3461"/>
      <c r="LEZ11" s="3461"/>
      <c r="LFA11" s="3461"/>
      <c r="LFB11" s="3461"/>
      <c r="LFC11" s="3461"/>
      <c r="LFD11" s="3461"/>
      <c r="LFE11" s="3461"/>
      <c r="LFF11" s="3461"/>
      <c r="LFG11" s="3461"/>
      <c r="LFH11" s="3461"/>
      <c r="LFI11" s="3461"/>
      <c r="LFJ11" s="3461"/>
      <c r="LFK11" s="3461"/>
      <c r="LFL11" s="3461"/>
      <c r="LFM11" s="3461"/>
      <c r="LFN11" s="3461"/>
      <c r="LFO11" s="3461"/>
      <c r="LFP11" s="3461"/>
      <c r="LFQ11" s="3461"/>
      <c r="LFR11" s="3461"/>
      <c r="LFS11" s="3461"/>
      <c r="LFT11" s="3461"/>
      <c r="LFU11" s="3461"/>
      <c r="LFV11" s="3461"/>
      <c r="LFW11" s="3461"/>
      <c r="LFX11" s="3461"/>
      <c r="LFY11" s="3461"/>
      <c r="LFZ11" s="3461"/>
      <c r="LGA11" s="3461"/>
      <c r="LGB11" s="3461"/>
      <c r="LGC11" s="3461"/>
      <c r="LGD11" s="3461"/>
      <c r="LGE11" s="3461"/>
      <c r="LGF11" s="3461"/>
      <c r="LGG11" s="3461"/>
      <c r="LGH11" s="3461"/>
      <c r="LGI11" s="3461"/>
      <c r="LGJ11" s="3461"/>
      <c r="LGK11" s="3461"/>
      <c r="LGL11" s="3461"/>
      <c r="LGM11" s="3461"/>
      <c r="LGN11" s="3461"/>
      <c r="LGO11" s="3461"/>
      <c r="LGP11" s="3461"/>
      <c r="LGQ11" s="3461"/>
      <c r="LGR11" s="3461"/>
      <c r="LGS11" s="3461"/>
      <c r="LGT11" s="3461"/>
      <c r="LGU11" s="3461"/>
      <c r="LGV11" s="3461"/>
      <c r="LGW11" s="3461"/>
      <c r="LGX11" s="3461"/>
      <c r="LGY11" s="3461"/>
      <c r="LGZ11" s="3461"/>
      <c r="LHA11" s="3461"/>
      <c r="LHB11" s="3461"/>
      <c r="LHC11" s="3461"/>
      <c r="LHD11" s="3461"/>
      <c r="LHE11" s="3461"/>
      <c r="LHF11" s="3461"/>
      <c r="LHG11" s="3461"/>
      <c r="LHH11" s="3461"/>
      <c r="LHI11" s="3461"/>
      <c r="LHJ11" s="3461"/>
      <c r="LHK11" s="3461"/>
      <c r="LHL11" s="3461"/>
      <c r="LHM11" s="3461"/>
      <c r="LHN11" s="3461"/>
      <c r="LHO11" s="3461"/>
      <c r="LHP11" s="3461"/>
      <c r="LHQ11" s="3461"/>
      <c r="LHR11" s="3461"/>
      <c r="LHS11" s="3461"/>
      <c r="LHT11" s="3461"/>
      <c r="LHU11" s="3461"/>
      <c r="LHV11" s="3461"/>
      <c r="LHW11" s="3461"/>
      <c r="LHX11" s="3461"/>
      <c r="LHY11" s="3461"/>
      <c r="LHZ11" s="3461"/>
      <c r="LIA11" s="3461"/>
      <c r="LIB11" s="3461"/>
      <c r="LIC11" s="3461"/>
      <c r="LID11" s="3461"/>
      <c r="LIE11" s="3461"/>
      <c r="LIF11" s="3461"/>
      <c r="LIG11" s="3461"/>
      <c r="LIH11" s="3461"/>
      <c r="LII11" s="3461"/>
      <c r="LIJ11" s="3461"/>
      <c r="LIK11" s="3461"/>
      <c r="LIL11" s="3461"/>
      <c r="LIM11" s="3461"/>
      <c r="LIN11" s="3461"/>
      <c r="LIO11" s="3461"/>
      <c r="LIP11" s="3461"/>
      <c r="LIQ11" s="3461"/>
      <c r="LIR11" s="3461"/>
      <c r="LIS11" s="3461"/>
      <c r="LIT11" s="3461"/>
      <c r="LIU11" s="3461"/>
      <c r="LIV11" s="3461"/>
      <c r="LIW11" s="3461"/>
      <c r="LIX11" s="3461"/>
      <c r="LIY11" s="3461"/>
      <c r="LIZ11" s="3461"/>
      <c r="LJA11" s="3461"/>
      <c r="LJB11" s="3461"/>
      <c r="LJC11" s="3461"/>
      <c r="LJD11" s="3461"/>
      <c r="LJE11" s="3461"/>
      <c r="LJF11" s="3461"/>
      <c r="LJG11" s="3461"/>
      <c r="LJH11" s="3461"/>
      <c r="LJI11" s="3461"/>
      <c r="LJJ11" s="3461"/>
      <c r="LJK11" s="3461"/>
      <c r="LJL11" s="3461"/>
      <c r="LJM11" s="3461"/>
      <c r="LJN11" s="3461"/>
      <c r="LJO11" s="3461"/>
      <c r="LJP11" s="3461"/>
      <c r="LJQ11" s="3461"/>
      <c r="LJR11" s="3461"/>
      <c r="LJS11" s="3461"/>
      <c r="LJT11" s="3461"/>
      <c r="LJU11" s="3461"/>
      <c r="LJV11" s="3461"/>
      <c r="LJW11" s="3461"/>
      <c r="LJX11" s="3461"/>
      <c r="LJY11" s="3461"/>
      <c r="LJZ11" s="3461"/>
      <c r="LKA11" s="3461"/>
      <c r="LKB11" s="3461"/>
      <c r="LKC11" s="3461"/>
      <c r="LKD11" s="3461"/>
      <c r="LKE11" s="3461"/>
      <c r="LKF11" s="3461"/>
      <c r="LKG11" s="3461"/>
      <c r="LKH11" s="3461"/>
      <c r="LKI11" s="3461"/>
      <c r="LKJ11" s="3461"/>
      <c r="LKK11" s="3461"/>
      <c r="LKL11" s="3461"/>
      <c r="LKM11" s="3461"/>
      <c r="LKN11" s="3461"/>
      <c r="LKO11" s="3461"/>
      <c r="LKP11" s="3461"/>
      <c r="LKQ11" s="3461"/>
      <c r="LKR11" s="3461"/>
      <c r="LKS11" s="3461"/>
      <c r="LKT11" s="3461"/>
      <c r="LKU11" s="3461"/>
      <c r="LKV11" s="3461"/>
      <c r="LKW11" s="3461"/>
      <c r="LKX11" s="3461"/>
      <c r="LKY11" s="3461"/>
      <c r="LKZ11" s="3461"/>
      <c r="LLA11" s="3461"/>
      <c r="LLB11" s="3461"/>
      <c r="LLC11" s="3461"/>
      <c r="LLD11" s="3461"/>
      <c r="LLE11" s="3461"/>
      <c r="LLF11" s="3461"/>
      <c r="LLG11" s="3461"/>
      <c r="LLH11" s="3461"/>
      <c r="LLI11" s="3461"/>
      <c r="LLJ11" s="3461"/>
      <c r="LLK11" s="3461"/>
      <c r="LLL11" s="3461"/>
      <c r="LLM11" s="3461"/>
      <c r="LLN11" s="3461"/>
      <c r="LLO11" s="3461"/>
      <c r="LLP11" s="3461"/>
      <c r="LLQ11" s="3461"/>
      <c r="LLR11" s="3461"/>
      <c r="LLS11" s="3461"/>
      <c r="LLT11" s="3461"/>
      <c r="LLU11" s="3461"/>
      <c r="LLV11" s="3461"/>
      <c r="LLW11" s="3461"/>
      <c r="LLX11" s="3461"/>
      <c r="LLY11" s="3461"/>
      <c r="LLZ11" s="3461"/>
      <c r="LMA11" s="3461"/>
      <c r="LMB11" s="3461"/>
      <c r="LMC11" s="3461"/>
      <c r="LMD11" s="3461"/>
      <c r="LME11" s="3461"/>
      <c r="LMF11" s="3461"/>
      <c r="LMG11" s="3461"/>
      <c r="LMH11" s="3461"/>
      <c r="LMI11" s="3461"/>
      <c r="LMJ11" s="3461"/>
      <c r="LMK11" s="3461"/>
      <c r="LML11" s="3461"/>
      <c r="LMM11" s="3461"/>
      <c r="LMN11" s="3461"/>
      <c r="LMO11" s="3461"/>
      <c r="LMP11" s="3461"/>
      <c r="LMQ11" s="3461"/>
      <c r="LMR11" s="3461"/>
      <c r="LMS11" s="3461"/>
      <c r="LMT11" s="3461"/>
      <c r="LMU11" s="3461"/>
      <c r="LMV11" s="3461"/>
      <c r="LMW11" s="3461"/>
      <c r="LMX11" s="3461"/>
      <c r="LMY11" s="3461"/>
      <c r="LMZ11" s="3461"/>
      <c r="LNA11" s="3461"/>
      <c r="LNB11" s="3461"/>
      <c r="LNC11" s="3461"/>
      <c r="LND11" s="3461"/>
      <c r="LNE11" s="3461"/>
      <c r="LNF11" s="3461"/>
      <c r="LNG11" s="3461"/>
      <c r="LNH11" s="3461"/>
      <c r="LNI11" s="3461"/>
      <c r="LNJ11" s="3461"/>
      <c r="LNK11" s="3461"/>
      <c r="LNL11" s="3461"/>
      <c r="LNM11" s="3461"/>
      <c r="LNN11" s="3461"/>
      <c r="LNO11" s="3461"/>
      <c r="LNP11" s="3461"/>
      <c r="LNQ11" s="3461"/>
      <c r="LNR11" s="3461"/>
      <c r="LNS11" s="3461"/>
      <c r="LNT11" s="3461"/>
      <c r="LNU11" s="3461"/>
      <c r="LNV11" s="3461"/>
      <c r="LNW11" s="3461"/>
      <c r="LNX11" s="3461"/>
      <c r="LNY11" s="3461"/>
      <c r="LNZ11" s="3461"/>
      <c r="LOA11" s="3461"/>
      <c r="LOB11" s="3461"/>
      <c r="LOC11" s="3461"/>
      <c r="LOD11" s="3461"/>
      <c r="LOE11" s="3461"/>
      <c r="LOF11" s="3461"/>
      <c r="LOG11" s="3461"/>
      <c r="LOH11" s="3461"/>
      <c r="LOI11" s="3461"/>
      <c r="LOJ11" s="3461"/>
      <c r="LOK11" s="3461"/>
      <c r="LOL11" s="3461"/>
      <c r="LOM11" s="3461"/>
      <c r="LON11" s="3461"/>
      <c r="LOO11" s="3461"/>
      <c r="LOP11" s="3461"/>
      <c r="LOQ11" s="3461"/>
      <c r="LOR11" s="3461"/>
      <c r="LOS11" s="3461"/>
      <c r="LOT11" s="3461"/>
      <c r="LOU11" s="3461"/>
      <c r="LOV11" s="3461"/>
      <c r="LOW11" s="3461"/>
      <c r="LOX11" s="3461"/>
      <c r="LOY11" s="3461"/>
      <c r="LOZ11" s="3461"/>
      <c r="LPA11" s="3461"/>
      <c r="LPB11" s="3461"/>
      <c r="LPC11" s="3461"/>
      <c r="LPD11" s="3461"/>
      <c r="LPE11" s="3461"/>
      <c r="LPF11" s="3461"/>
      <c r="LPG11" s="3461"/>
      <c r="LPH11" s="3461"/>
      <c r="LPI11" s="3461"/>
      <c r="LPJ11" s="3461"/>
      <c r="LPK11" s="3461"/>
      <c r="LPL11" s="3461"/>
      <c r="LPM11" s="3461"/>
      <c r="LPN11" s="3461"/>
      <c r="LPO11" s="3461"/>
      <c r="LPP11" s="3461"/>
      <c r="LPQ11" s="3461"/>
      <c r="LPR11" s="3461"/>
      <c r="LPS11" s="3461"/>
      <c r="LPT11" s="3461"/>
      <c r="LPU11" s="3461"/>
      <c r="LPV11" s="3461"/>
      <c r="LPW11" s="3461"/>
      <c r="LPX11" s="3461"/>
      <c r="LPY11" s="3461"/>
      <c r="LPZ11" s="3461"/>
      <c r="LQA11" s="3461"/>
      <c r="LQB11" s="3461"/>
      <c r="LQC11" s="3461"/>
      <c r="LQD11" s="3461"/>
      <c r="LQE11" s="3461"/>
      <c r="LQF11" s="3461"/>
      <c r="LQG11" s="3461"/>
      <c r="LQH11" s="3461"/>
      <c r="LQI11" s="3461"/>
      <c r="LQJ11" s="3461"/>
      <c r="LQK11" s="3461"/>
      <c r="LQL11" s="3461"/>
      <c r="LQM11" s="3461"/>
      <c r="LQN11" s="3461"/>
      <c r="LQO11" s="3461"/>
      <c r="LQP11" s="3461"/>
      <c r="LQQ11" s="3461"/>
      <c r="LQR11" s="3461"/>
      <c r="LQS11" s="3461"/>
      <c r="LQT11" s="3461"/>
      <c r="LQU11" s="3461"/>
      <c r="LQV11" s="3461"/>
      <c r="LQW11" s="3461"/>
      <c r="LQX11" s="3461"/>
      <c r="LQY11" s="3461"/>
      <c r="LQZ11" s="3461"/>
      <c r="LRA11" s="3461"/>
      <c r="LRB11" s="3461"/>
      <c r="LRC11" s="3461"/>
      <c r="LRD11" s="3461"/>
      <c r="LRE11" s="3461"/>
      <c r="LRF11" s="3461"/>
      <c r="LRG11" s="3461"/>
      <c r="LRH11" s="3461"/>
      <c r="LRI11" s="3461"/>
      <c r="LRJ11" s="3461"/>
      <c r="LRK11" s="3461"/>
      <c r="LRL11" s="3461"/>
      <c r="LRM11" s="3461"/>
      <c r="LRN11" s="3461"/>
      <c r="LRO11" s="3461"/>
      <c r="LRP11" s="3461"/>
      <c r="LRQ11" s="3461"/>
      <c r="LRR11" s="3461"/>
      <c r="LRS11" s="3461"/>
      <c r="LRT11" s="3461"/>
      <c r="LRU11" s="3461"/>
      <c r="LRV11" s="3461"/>
      <c r="LRW11" s="3461"/>
      <c r="LRX11" s="3461"/>
      <c r="LRY11" s="3461"/>
      <c r="LRZ11" s="3461"/>
      <c r="LSA11" s="3461"/>
      <c r="LSB11" s="3461"/>
      <c r="LSC11" s="3461"/>
      <c r="LSD11" s="3461"/>
      <c r="LSE11" s="3461"/>
      <c r="LSF11" s="3461"/>
      <c r="LSG11" s="3461"/>
      <c r="LSH11" s="3461"/>
      <c r="LSI11" s="3461"/>
      <c r="LSJ11" s="3461"/>
      <c r="LSK11" s="3461"/>
      <c r="LSL11" s="3461"/>
      <c r="LSM11" s="3461"/>
      <c r="LSN11" s="3461"/>
      <c r="LSO11" s="3461"/>
      <c r="LSP11" s="3461"/>
      <c r="LSQ11" s="3461"/>
      <c r="LSR11" s="3461"/>
      <c r="LSS11" s="3461"/>
      <c r="LST11" s="3461"/>
      <c r="LSU11" s="3461"/>
      <c r="LSV11" s="3461"/>
      <c r="LSW11" s="3461"/>
      <c r="LSX11" s="3461"/>
      <c r="LSY11" s="3461"/>
      <c r="LSZ11" s="3461"/>
      <c r="LTA11" s="3461"/>
      <c r="LTB11" s="3461"/>
      <c r="LTC11" s="3461"/>
      <c r="LTD11" s="3461"/>
      <c r="LTE11" s="3461"/>
      <c r="LTF11" s="3461"/>
      <c r="LTG11" s="3461"/>
      <c r="LTH11" s="3461"/>
      <c r="LTI11" s="3461"/>
      <c r="LTJ11" s="3461"/>
      <c r="LTK11" s="3461"/>
      <c r="LTL11" s="3461"/>
      <c r="LTM11" s="3461"/>
      <c r="LTN11" s="3461"/>
      <c r="LTO11" s="3461"/>
      <c r="LTP11" s="3461"/>
      <c r="LTQ11" s="3461"/>
      <c r="LTR11" s="3461"/>
      <c r="LTS11" s="3461"/>
      <c r="LTT11" s="3461"/>
      <c r="LTU11" s="3461"/>
      <c r="LTV11" s="3461"/>
      <c r="LTW11" s="3461"/>
      <c r="LTX11" s="3461"/>
      <c r="LTY11" s="3461"/>
      <c r="LTZ11" s="3461"/>
      <c r="LUA11" s="3461"/>
      <c r="LUB11" s="3461"/>
      <c r="LUC11" s="3461"/>
      <c r="LUD11" s="3461"/>
      <c r="LUE11" s="3461"/>
      <c r="LUF11" s="3461"/>
      <c r="LUG11" s="3461"/>
      <c r="LUH11" s="3461"/>
      <c r="LUI11" s="3461"/>
      <c r="LUJ11" s="3461"/>
      <c r="LUK11" s="3461"/>
      <c r="LUL11" s="3461"/>
      <c r="LUM11" s="3461"/>
      <c r="LUN11" s="3461"/>
      <c r="LUO11" s="3461"/>
      <c r="LUP11" s="3461"/>
      <c r="LUQ11" s="3461"/>
      <c r="LUR11" s="3461"/>
      <c r="LUS11" s="3461"/>
      <c r="LUT11" s="3461"/>
      <c r="LUU11" s="3461"/>
      <c r="LUV11" s="3461"/>
      <c r="LUW11" s="3461"/>
      <c r="LUX11" s="3461"/>
      <c r="LUY11" s="3461"/>
      <c r="LUZ11" s="3461"/>
      <c r="LVA11" s="3461"/>
      <c r="LVB11" s="3461"/>
      <c r="LVC11" s="3461"/>
      <c r="LVD11" s="3461"/>
      <c r="LVE11" s="3461"/>
      <c r="LVF11" s="3461"/>
      <c r="LVG11" s="3461"/>
      <c r="LVH11" s="3461"/>
      <c r="LVI11" s="3461"/>
      <c r="LVJ11" s="3461"/>
      <c r="LVK11" s="3461"/>
      <c r="LVL11" s="3461"/>
      <c r="LVM11" s="3461"/>
      <c r="LVN11" s="3461"/>
      <c r="LVO11" s="3461"/>
      <c r="LVP11" s="3461"/>
      <c r="LVQ11" s="3461"/>
      <c r="LVR11" s="3461"/>
      <c r="LVS11" s="3461"/>
      <c r="LVT11" s="3461"/>
      <c r="LVU11" s="3461"/>
      <c r="LVV11" s="3461"/>
      <c r="LVW11" s="3461"/>
      <c r="LVX11" s="3461"/>
      <c r="LVY11" s="3461"/>
      <c r="LVZ11" s="3461"/>
      <c r="LWA11" s="3461"/>
      <c r="LWB11" s="3461"/>
      <c r="LWC11" s="3461"/>
      <c r="LWD11" s="3461"/>
      <c r="LWE11" s="3461"/>
      <c r="LWF11" s="3461"/>
      <c r="LWG11" s="3461"/>
      <c r="LWH11" s="3461"/>
      <c r="LWI11" s="3461"/>
      <c r="LWJ11" s="3461"/>
      <c r="LWK11" s="3461"/>
      <c r="LWL11" s="3461"/>
      <c r="LWM11" s="3461"/>
      <c r="LWN11" s="3461"/>
      <c r="LWO11" s="3461"/>
      <c r="LWP11" s="3461"/>
      <c r="LWQ11" s="3461"/>
      <c r="LWR11" s="3461"/>
      <c r="LWS11" s="3461"/>
      <c r="LWT11" s="3461"/>
      <c r="LWU11" s="3461"/>
      <c r="LWV11" s="3461"/>
      <c r="LWW11" s="3461"/>
      <c r="LWX11" s="3461"/>
      <c r="LWY11" s="3461"/>
      <c r="LWZ11" s="3461"/>
      <c r="LXA11" s="3461"/>
      <c r="LXB11" s="3461"/>
      <c r="LXC11" s="3461"/>
      <c r="LXD11" s="3461"/>
      <c r="LXE11" s="3461"/>
      <c r="LXF11" s="3461"/>
      <c r="LXG11" s="3461"/>
      <c r="LXH11" s="3461"/>
      <c r="LXI11" s="3461"/>
      <c r="LXJ11" s="3461"/>
      <c r="LXK11" s="3461"/>
      <c r="LXL11" s="3461"/>
      <c r="LXM11" s="3461"/>
      <c r="LXN11" s="3461"/>
      <c r="LXO11" s="3461"/>
      <c r="LXP11" s="3461"/>
      <c r="LXQ11" s="3461"/>
      <c r="LXR11" s="3461"/>
      <c r="LXS11" s="3461"/>
      <c r="LXT11" s="3461"/>
      <c r="LXU11" s="3461"/>
      <c r="LXV11" s="3461"/>
      <c r="LXW11" s="3461"/>
      <c r="LXX11" s="3461"/>
      <c r="LXY11" s="3461"/>
      <c r="LXZ11" s="3461"/>
      <c r="LYA11" s="3461"/>
      <c r="LYB11" s="3461"/>
      <c r="LYC11" s="3461"/>
      <c r="LYD11" s="3461"/>
      <c r="LYE11" s="3461"/>
      <c r="LYF11" s="3461"/>
      <c r="LYG11" s="3461"/>
      <c r="LYH11" s="3461"/>
      <c r="LYI11" s="3461"/>
      <c r="LYJ11" s="3461"/>
      <c r="LYK11" s="3461"/>
      <c r="LYL11" s="3461"/>
      <c r="LYM11" s="3461"/>
      <c r="LYN11" s="3461"/>
      <c r="LYO11" s="3461"/>
      <c r="LYP11" s="3461"/>
      <c r="LYQ11" s="3461"/>
      <c r="LYR11" s="3461"/>
      <c r="LYS11" s="3461"/>
      <c r="LYT11" s="3461"/>
      <c r="LYU11" s="3461"/>
      <c r="LYV11" s="3461"/>
      <c r="LYW11" s="3461"/>
      <c r="LYX11" s="3461"/>
      <c r="LYY11" s="3461"/>
      <c r="LYZ11" s="3461"/>
      <c r="LZA11" s="3461"/>
      <c r="LZB11" s="3461"/>
      <c r="LZC11" s="3461"/>
      <c r="LZD11" s="3461"/>
      <c r="LZE11" s="3461"/>
      <c r="LZF11" s="3461"/>
      <c r="LZG11" s="3461"/>
      <c r="LZH11" s="3461"/>
      <c r="LZI11" s="3461"/>
      <c r="LZJ11" s="3461"/>
      <c r="LZK11" s="3461"/>
      <c r="LZL11" s="3461"/>
      <c r="LZM11" s="3461"/>
      <c r="LZN11" s="3461"/>
      <c r="LZO11" s="3461"/>
      <c r="LZP11" s="3461"/>
      <c r="LZQ11" s="3461"/>
      <c r="LZR11" s="3461"/>
      <c r="LZS11" s="3461"/>
      <c r="LZT11" s="3461"/>
      <c r="LZU11" s="3461"/>
      <c r="LZV11" s="3461"/>
      <c r="LZW11" s="3461"/>
      <c r="LZX11" s="3461"/>
      <c r="LZY11" s="3461"/>
      <c r="LZZ11" s="3461"/>
      <c r="MAA11" s="3461"/>
      <c r="MAB11" s="3461"/>
      <c r="MAC11" s="3461"/>
      <c r="MAD11" s="3461"/>
      <c r="MAE11" s="3461"/>
      <c r="MAF11" s="3461"/>
      <c r="MAG11" s="3461"/>
      <c r="MAH11" s="3461"/>
      <c r="MAI11" s="3461"/>
      <c r="MAJ11" s="3461"/>
      <c r="MAK11" s="3461"/>
      <c r="MAL11" s="3461"/>
      <c r="MAM11" s="3461"/>
      <c r="MAN11" s="3461"/>
      <c r="MAO11" s="3461"/>
      <c r="MAP11" s="3461"/>
      <c r="MAQ11" s="3461"/>
      <c r="MAR11" s="3461"/>
      <c r="MAS11" s="3461"/>
      <c r="MAT11" s="3461"/>
      <c r="MAU11" s="3461"/>
      <c r="MAV11" s="3461"/>
      <c r="MAW11" s="3461"/>
      <c r="MAX11" s="3461"/>
      <c r="MAY11" s="3461"/>
      <c r="MAZ11" s="3461"/>
      <c r="MBA11" s="3461"/>
      <c r="MBB11" s="3461"/>
      <c r="MBC11" s="3461"/>
      <c r="MBD11" s="3461"/>
      <c r="MBE11" s="3461"/>
      <c r="MBF11" s="3461"/>
      <c r="MBG11" s="3461"/>
      <c r="MBH11" s="3461"/>
      <c r="MBI11" s="3461"/>
      <c r="MBJ11" s="3461"/>
      <c r="MBK11" s="3461"/>
      <c r="MBL11" s="3461"/>
      <c r="MBM11" s="3461"/>
      <c r="MBN11" s="3461"/>
      <c r="MBO11" s="3461"/>
      <c r="MBP11" s="3461"/>
      <c r="MBQ11" s="3461"/>
      <c r="MBR11" s="3461"/>
      <c r="MBS11" s="3461"/>
      <c r="MBT11" s="3461"/>
      <c r="MBU11" s="3461"/>
      <c r="MBV11" s="3461"/>
      <c r="MBW11" s="3461"/>
      <c r="MBX11" s="3461"/>
      <c r="MBY11" s="3461"/>
      <c r="MBZ11" s="3461"/>
      <c r="MCA11" s="3461"/>
      <c r="MCB11" s="3461"/>
      <c r="MCC11" s="3461"/>
      <c r="MCD11" s="3461"/>
      <c r="MCE11" s="3461"/>
      <c r="MCF11" s="3461"/>
      <c r="MCG11" s="3461"/>
      <c r="MCH11" s="3461"/>
      <c r="MCI11" s="3461"/>
      <c r="MCJ11" s="3461"/>
      <c r="MCK11" s="3461"/>
      <c r="MCL11" s="3461"/>
      <c r="MCM11" s="3461"/>
      <c r="MCN11" s="3461"/>
      <c r="MCO11" s="3461"/>
      <c r="MCP11" s="3461"/>
      <c r="MCQ11" s="3461"/>
      <c r="MCR11" s="3461"/>
      <c r="MCS11" s="3461"/>
      <c r="MCT11" s="3461"/>
      <c r="MCU11" s="3461"/>
      <c r="MCV11" s="3461"/>
      <c r="MCW11" s="3461"/>
      <c r="MCX11" s="3461"/>
      <c r="MCY11" s="3461"/>
      <c r="MCZ11" s="3461"/>
      <c r="MDA11" s="3461"/>
      <c r="MDB11" s="3461"/>
      <c r="MDC11" s="3461"/>
      <c r="MDD11" s="3461"/>
      <c r="MDE11" s="3461"/>
      <c r="MDF11" s="3461"/>
      <c r="MDG11" s="3461"/>
      <c r="MDH11" s="3461"/>
      <c r="MDI11" s="3461"/>
      <c r="MDJ11" s="3461"/>
      <c r="MDK11" s="3461"/>
      <c r="MDL11" s="3461"/>
      <c r="MDM11" s="3461"/>
      <c r="MDN11" s="3461"/>
      <c r="MDO11" s="3461"/>
      <c r="MDP11" s="3461"/>
      <c r="MDQ11" s="3461"/>
      <c r="MDR11" s="3461"/>
      <c r="MDS11" s="3461"/>
      <c r="MDT11" s="3461"/>
      <c r="MDU11" s="3461"/>
      <c r="MDV11" s="3461"/>
      <c r="MDW11" s="3461"/>
      <c r="MDX11" s="3461"/>
      <c r="MDY11" s="3461"/>
      <c r="MDZ11" s="3461"/>
      <c r="MEA11" s="3461"/>
      <c r="MEB11" s="3461"/>
      <c r="MEC11" s="3461"/>
      <c r="MED11" s="3461"/>
      <c r="MEE11" s="3461"/>
      <c r="MEF11" s="3461"/>
      <c r="MEG11" s="3461"/>
      <c r="MEH11" s="3461"/>
      <c r="MEI11" s="3461"/>
      <c r="MEJ11" s="3461"/>
      <c r="MEK11" s="3461"/>
      <c r="MEL11" s="3461"/>
      <c r="MEM11" s="3461"/>
      <c r="MEN11" s="3461"/>
      <c r="MEO11" s="3461"/>
      <c r="MEP11" s="3461"/>
      <c r="MEQ11" s="3461"/>
      <c r="MER11" s="3461"/>
      <c r="MES11" s="3461"/>
      <c r="MET11" s="3461"/>
      <c r="MEU11" s="3461"/>
      <c r="MEV11" s="3461"/>
      <c r="MEW11" s="3461"/>
      <c r="MEX11" s="3461"/>
      <c r="MEY11" s="3461"/>
      <c r="MEZ11" s="3461"/>
      <c r="MFA11" s="3461"/>
      <c r="MFB11" s="3461"/>
      <c r="MFC11" s="3461"/>
      <c r="MFD11" s="3461"/>
      <c r="MFE11" s="3461"/>
      <c r="MFF11" s="3461"/>
      <c r="MFG11" s="3461"/>
      <c r="MFH11" s="3461"/>
      <c r="MFI11" s="3461"/>
      <c r="MFJ11" s="3461"/>
      <c r="MFK11" s="3461"/>
      <c r="MFL11" s="3461"/>
      <c r="MFM11" s="3461"/>
      <c r="MFN11" s="3461"/>
      <c r="MFO11" s="3461"/>
      <c r="MFP11" s="3461"/>
      <c r="MFQ11" s="3461"/>
      <c r="MFR11" s="3461"/>
      <c r="MFS11" s="3461"/>
      <c r="MFT11" s="3461"/>
      <c r="MFU11" s="3461"/>
      <c r="MFV11" s="3461"/>
      <c r="MFW11" s="3461"/>
      <c r="MFX11" s="3461"/>
      <c r="MFY11" s="3461"/>
      <c r="MFZ11" s="3461"/>
      <c r="MGA11" s="3461"/>
      <c r="MGB11" s="3461"/>
      <c r="MGC11" s="3461"/>
      <c r="MGD11" s="3461"/>
      <c r="MGE11" s="3461"/>
      <c r="MGF11" s="3461"/>
      <c r="MGG11" s="3461"/>
      <c r="MGH11" s="3461"/>
      <c r="MGI11" s="3461"/>
      <c r="MGJ11" s="3461"/>
      <c r="MGK11" s="3461"/>
      <c r="MGL11" s="3461"/>
      <c r="MGM11" s="3461"/>
      <c r="MGN11" s="3461"/>
      <c r="MGO11" s="3461"/>
      <c r="MGP11" s="3461"/>
      <c r="MGQ11" s="3461"/>
      <c r="MGR11" s="3461"/>
      <c r="MGS11" s="3461"/>
      <c r="MGT11" s="3461"/>
      <c r="MGU11" s="3461"/>
      <c r="MGV11" s="3461"/>
      <c r="MGW11" s="3461"/>
      <c r="MGX11" s="3461"/>
      <c r="MGY11" s="3461"/>
      <c r="MGZ11" s="3461"/>
      <c r="MHA11" s="3461"/>
      <c r="MHB11" s="3461"/>
      <c r="MHC11" s="3461"/>
      <c r="MHD11" s="3461"/>
      <c r="MHE11" s="3461"/>
      <c r="MHF11" s="3461"/>
      <c r="MHG11" s="3461"/>
      <c r="MHH11" s="3461"/>
      <c r="MHI11" s="3461"/>
      <c r="MHJ11" s="3461"/>
      <c r="MHK11" s="3461"/>
      <c r="MHL11" s="3461"/>
      <c r="MHM11" s="3461"/>
      <c r="MHN11" s="3461"/>
      <c r="MHO11" s="3461"/>
      <c r="MHP11" s="3461"/>
      <c r="MHQ11" s="3461"/>
      <c r="MHR11" s="3461"/>
      <c r="MHS11" s="3461"/>
      <c r="MHT11" s="3461"/>
      <c r="MHU11" s="3461"/>
      <c r="MHV11" s="3461"/>
      <c r="MHW11" s="3461"/>
      <c r="MHX11" s="3461"/>
      <c r="MHY11" s="3461"/>
      <c r="MHZ11" s="3461"/>
      <c r="MIA11" s="3461"/>
      <c r="MIB11" s="3461"/>
      <c r="MIC11" s="3461"/>
      <c r="MID11" s="3461"/>
      <c r="MIE11" s="3461"/>
      <c r="MIF11" s="3461"/>
      <c r="MIG11" s="3461"/>
      <c r="MIH11" s="3461"/>
      <c r="MII11" s="3461"/>
      <c r="MIJ11" s="3461"/>
      <c r="MIK11" s="3461"/>
      <c r="MIL11" s="3461"/>
      <c r="MIM11" s="3461"/>
      <c r="MIN11" s="3461"/>
      <c r="MIO11" s="3461"/>
      <c r="MIP11" s="3461"/>
      <c r="MIQ11" s="3461"/>
      <c r="MIR11" s="3461"/>
      <c r="MIS11" s="3461"/>
      <c r="MIT11" s="3461"/>
      <c r="MIU11" s="3461"/>
      <c r="MIV11" s="3461"/>
      <c r="MIW11" s="3461"/>
      <c r="MIX11" s="3461"/>
      <c r="MIY11" s="3461"/>
      <c r="MIZ11" s="3461"/>
      <c r="MJA11" s="3461"/>
      <c r="MJB11" s="3461"/>
      <c r="MJC11" s="3461"/>
      <c r="MJD11" s="3461"/>
      <c r="MJE11" s="3461"/>
      <c r="MJF11" s="3461"/>
      <c r="MJG11" s="3461"/>
      <c r="MJH11" s="3461"/>
      <c r="MJI11" s="3461"/>
      <c r="MJJ11" s="3461"/>
      <c r="MJK11" s="3461"/>
      <c r="MJL11" s="3461"/>
      <c r="MJM11" s="3461"/>
      <c r="MJN11" s="3461"/>
      <c r="MJO11" s="3461"/>
      <c r="MJP11" s="3461"/>
      <c r="MJQ11" s="3461"/>
      <c r="MJR11" s="3461"/>
      <c r="MJS11" s="3461"/>
      <c r="MJT11" s="3461"/>
      <c r="MJU11" s="3461"/>
      <c r="MJV11" s="3461"/>
      <c r="MJW11" s="3461"/>
      <c r="MJX11" s="3461"/>
      <c r="MJY11" s="3461"/>
      <c r="MJZ11" s="3461"/>
      <c r="MKA11" s="3461"/>
      <c r="MKB11" s="3461"/>
      <c r="MKC11" s="3461"/>
      <c r="MKD11" s="3461"/>
      <c r="MKE11" s="3461"/>
      <c r="MKF11" s="3461"/>
      <c r="MKG11" s="3461"/>
      <c r="MKH11" s="3461"/>
      <c r="MKI11" s="3461"/>
      <c r="MKJ11" s="3461"/>
      <c r="MKK11" s="3461"/>
      <c r="MKL11" s="3461"/>
      <c r="MKM11" s="3461"/>
      <c r="MKN11" s="3461"/>
      <c r="MKO11" s="3461"/>
      <c r="MKP11" s="3461"/>
      <c r="MKQ11" s="3461"/>
      <c r="MKR11" s="3461"/>
      <c r="MKS11" s="3461"/>
      <c r="MKT11" s="3461"/>
      <c r="MKU11" s="3461"/>
      <c r="MKV11" s="3461"/>
      <c r="MKW11" s="3461"/>
      <c r="MKX11" s="3461"/>
      <c r="MKY11" s="3461"/>
      <c r="MKZ11" s="3461"/>
      <c r="MLA11" s="3461"/>
      <c r="MLB11" s="3461"/>
      <c r="MLC11" s="3461"/>
      <c r="MLD11" s="3461"/>
      <c r="MLE11" s="3461"/>
      <c r="MLF11" s="3461"/>
      <c r="MLG11" s="3461"/>
      <c r="MLH11" s="3461"/>
      <c r="MLI11" s="3461"/>
      <c r="MLJ11" s="3461"/>
      <c r="MLK11" s="3461"/>
      <c r="MLL11" s="3461"/>
      <c r="MLM11" s="3461"/>
      <c r="MLN11" s="3461"/>
      <c r="MLO11" s="3461"/>
      <c r="MLP11" s="3461"/>
      <c r="MLQ11" s="3461"/>
      <c r="MLR11" s="3461"/>
      <c r="MLS11" s="3461"/>
      <c r="MLT11" s="3461"/>
      <c r="MLU11" s="3461"/>
      <c r="MLV11" s="3461"/>
      <c r="MLW11" s="3461"/>
      <c r="MLX11" s="3461"/>
      <c r="MLY11" s="3461"/>
      <c r="MLZ11" s="3461"/>
      <c r="MMA11" s="3461"/>
      <c r="MMB11" s="3461"/>
      <c r="MMC11" s="3461"/>
      <c r="MMD11" s="3461"/>
      <c r="MME11" s="3461"/>
      <c r="MMF11" s="3461"/>
      <c r="MMG11" s="3461"/>
      <c r="MMH11" s="3461"/>
      <c r="MMI11" s="3461"/>
      <c r="MMJ11" s="3461"/>
      <c r="MMK11" s="3461"/>
      <c r="MML11" s="3461"/>
      <c r="MMM11" s="3461"/>
      <c r="MMN11" s="3461"/>
      <c r="MMO11" s="3461"/>
      <c r="MMP11" s="3461"/>
      <c r="MMQ11" s="3461"/>
      <c r="MMR11" s="3461"/>
      <c r="MMS11" s="3461"/>
      <c r="MMT11" s="3461"/>
      <c r="MMU11" s="3461"/>
      <c r="MMV11" s="3461"/>
      <c r="MMW11" s="3461"/>
      <c r="MMX11" s="3461"/>
      <c r="MMY11" s="3461"/>
      <c r="MMZ11" s="3461"/>
      <c r="MNA11" s="3461"/>
      <c r="MNB11" s="3461"/>
      <c r="MNC11" s="3461"/>
      <c r="MND11" s="3461"/>
      <c r="MNE11" s="3461"/>
      <c r="MNF11" s="3461"/>
      <c r="MNG11" s="3461"/>
      <c r="MNH11" s="3461"/>
      <c r="MNI11" s="3461"/>
      <c r="MNJ11" s="3461"/>
      <c r="MNK11" s="3461"/>
      <c r="MNL11" s="3461"/>
      <c r="MNM11" s="3461"/>
      <c r="MNN11" s="3461"/>
      <c r="MNO11" s="3461"/>
      <c r="MNP11" s="3461"/>
      <c r="MNQ11" s="3461"/>
      <c r="MNR11" s="3461"/>
      <c r="MNS11" s="3461"/>
      <c r="MNT11" s="3461"/>
      <c r="MNU11" s="3461"/>
      <c r="MNV11" s="3461"/>
      <c r="MNW11" s="3461"/>
      <c r="MNX11" s="3461"/>
      <c r="MNY11" s="3461"/>
      <c r="MNZ11" s="3461"/>
      <c r="MOA11" s="3461"/>
      <c r="MOB11" s="3461"/>
      <c r="MOC11" s="3461"/>
      <c r="MOD11" s="3461"/>
      <c r="MOE11" s="3461"/>
      <c r="MOF11" s="3461"/>
      <c r="MOG11" s="3461"/>
      <c r="MOH11" s="3461"/>
      <c r="MOI11" s="3461"/>
      <c r="MOJ11" s="3461"/>
      <c r="MOK11" s="3461"/>
      <c r="MOL11" s="3461"/>
      <c r="MOM11" s="3461"/>
      <c r="MON11" s="3461"/>
      <c r="MOO11" s="3461"/>
      <c r="MOP11" s="3461"/>
      <c r="MOQ11" s="3461"/>
      <c r="MOR11" s="3461"/>
      <c r="MOS11" s="3461"/>
      <c r="MOT11" s="3461"/>
      <c r="MOU11" s="3461"/>
      <c r="MOV11" s="3461"/>
      <c r="MOW11" s="3461"/>
      <c r="MOX11" s="3461"/>
      <c r="MOY11" s="3461"/>
      <c r="MOZ11" s="3461"/>
      <c r="MPA11" s="3461"/>
      <c r="MPB11" s="3461"/>
      <c r="MPC11" s="3461"/>
      <c r="MPD11" s="3461"/>
      <c r="MPE11" s="3461"/>
      <c r="MPF11" s="3461"/>
      <c r="MPG11" s="3461"/>
      <c r="MPH11" s="3461"/>
      <c r="MPI11" s="3461"/>
      <c r="MPJ11" s="3461"/>
      <c r="MPK11" s="3461"/>
      <c r="MPL11" s="3461"/>
      <c r="MPM11" s="3461"/>
      <c r="MPN11" s="3461"/>
      <c r="MPO11" s="3461"/>
      <c r="MPP11" s="3461"/>
      <c r="MPQ11" s="3461"/>
      <c r="MPR11" s="3461"/>
      <c r="MPS11" s="3461"/>
      <c r="MPT11" s="3461"/>
      <c r="MPU11" s="3461"/>
      <c r="MPV11" s="3461"/>
      <c r="MPW11" s="3461"/>
      <c r="MPX11" s="3461"/>
      <c r="MPY11" s="3461"/>
      <c r="MPZ11" s="3461"/>
      <c r="MQA11" s="3461"/>
      <c r="MQB11" s="3461"/>
      <c r="MQC11" s="3461"/>
      <c r="MQD11" s="3461"/>
      <c r="MQE11" s="3461"/>
      <c r="MQF11" s="3461"/>
      <c r="MQG11" s="3461"/>
      <c r="MQH11" s="3461"/>
      <c r="MQI11" s="3461"/>
      <c r="MQJ11" s="3461"/>
      <c r="MQK11" s="3461"/>
      <c r="MQL11" s="3461"/>
      <c r="MQM11" s="3461"/>
      <c r="MQN11" s="3461"/>
      <c r="MQO11" s="3461"/>
      <c r="MQP11" s="3461"/>
      <c r="MQQ11" s="3461"/>
      <c r="MQR11" s="3461"/>
      <c r="MQS11" s="3461"/>
      <c r="MQT11" s="3461"/>
      <c r="MQU11" s="3461"/>
      <c r="MQV11" s="3461"/>
      <c r="MQW11" s="3461"/>
      <c r="MQX11" s="3461"/>
      <c r="MQY11" s="3461"/>
      <c r="MQZ11" s="3461"/>
      <c r="MRA11" s="3461"/>
      <c r="MRB11" s="3461"/>
      <c r="MRC11" s="3461"/>
      <c r="MRD11" s="3461"/>
      <c r="MRE11" s="3461"/>
      <c r="MRF11" s="3461"/>
      <c r="MRG11" s="3461"/>
      <c r="MRH11" s="3461"/>
      <c r="MRI11" s="3461"/>
      <c r="MRJ11" s="3461"/>
      <c r="MRK11" s="3461"/>
      <c r="MRL11" s="3461"/>
      <c r="MRM11" s="3461"/>
      <c r="MRN11" s="3461"/>
      <c r="MRO11" s="3461"/>
      <c r="MRP11" s="3461"/>
      <c r="MRQ11" s="3461"/>
      <c r="MRR11" s="3461"/>
      <c r="MRS11" s="3461"/>
      <c r="MRT11" s="3461"/>
      <c r="MRU11" s="3461"/>
      <c r="MRV11" s="3461"/>
      <c r="MRW11" s="3461"/>
      <c r="MRX11" s="3461"/>
      <c r="MRY11" s="3461"/>
      <c r="MRZ11" s="3461"/>
      <c r="MSA11" s="3461"/>
      <c r="MSB11" s="3461"/>
      <c r="MSC11" s="3461"/>
      <c r="MSD11" s="3461"/>
      <c r="MSE11" s="3461"/>
      <c r="MSF11" s="3461"/>
      <c r="MSG11" s="3461"/>
      <c r="MSH11" s="3461"/>
      <c r="MSI11" s="3461"/>
      <c r="MSJ11" s="3461"/>
      <c r="MSK11" s="3461"/>
      <c r="MSL11" s="3461"/>
      <c r="MSM11" s="3461"/>
      <c r="MSN11" s="3461"/>
      <c r="MSO11" s="3461"/>
      <c r="MSP11" s="3461"/>
      <c r="MSQ11" s="3461"/>
      <c r="MSR11" s="3461"/>
      <c r="MSS11" s="3461"/>
      <c r="MST11" s="3461"/>
      <c r="MSU11" s="3461"/>
      <c r="MSV11" s="3461"/>
      <c r="MSW11" s="3461"/>
      <c r="MSX11" s="3461"/>
      <c r="MSY11" s="3461"/>
      <c r="MSZ11" s="3461"/>
      <c r="MTA11" s="3461"/>
      <c r="MTB11" s="3461"/>
      <c r="MTC11" s="3461"/>
      <c r="MTD11" s="3461"/>
      <c r="MTE11" s="3461"/>
      <c r="MTF11" s="3461"/>
      <c r="MTG11" s="3461"/>
      <c r="MTH11" s="3461"/>
      <c r="MTI11" s="3461"/>
      <c r="MTJ11" s="3461"/>
      <c r="MTK11" s="3461"/>
      <c r="MTL11" s="3461"/>
      <c r="MTM11" s="3461"/>
      <c r="MTN11" s="3461"/>
      <c r="MTO11" s="3461"/>
      <c r="MTP11" s="3461"/>
      <c r="MTQ11" s="3461"/>
      <c r="MTR11" s="3461"/>
      <c r="MTS11" s="3461"/>
      <c r="MTT11" s="3461"/>
      <c r="MTU11" s="3461"/>
      <c r="MTV11" s="3461"/>
      <c r="MTW11" s="3461"/>
      <c r="MTX11" s="3461"/>
      <c r="MTY11" s="3461"/>
      <c r="MTZ11" s="3461"/>
      <c r="MUA11" s="3461"/>
      <c r="MUB11" s="3461"/>
      <c r="MUC11" s="3461"/>
      <c r="MUD11" s="3461"/>
      <c r="MUE11" s="3461"/>
      <c r="MUF11" s="3461"/>
      <c r="MUG11" s="3461"/>
      <c r="MUH11" s="3461"/>
      <c r="MUI11" s="3461"/>
      <c r="MUJ11" s="3461"/>
      <c r="MUK11" s="3461"/>
      <c r="MUL11" s="3461"/>
      <c r="MUM11" s="3461"/>
      <c r="MUN11" s="3461"/>
      <c r="MUO11" s="3461"/>
      <c r="MUP11" s="3461"/>
      <c r="MUQ11" s="3461"/>
      <c r="MUR11" s="3461"/>
      <c r="MUS11" s="3461"/>
      <c r="MUT11" s="3461"/>
      <c r="MUU11" s="3461"/>
      <c r="MUV11" s="3461"/>
      <c r="MUW11" s="3461"/>
      <c r="MUX11" s="3461"/>
      <c r="MUY11" s="3461"/>
      <c r="MUZ11" s="3461"/>
      <c r="MVA11" s="3461"/>
      <c r="MVB11" s="3461"/>
      <c r="MVC11" s="3461"/>
      <c r="MVD11" s="3461"/>
      <c r="MVE11" s="3461"/>
      <c r="MVF11" s="3461"/>
      <c r="MVG11" s="3461"/>
      <c r="MVH11" s="3461"/>
      <c r="MVI11" s="3461"/>
      <c r="MVJ11" s="3461"/>
      <c r="MVK11" s="3461"/>
      <c r="MVL11" s="3461"/>
      <c r="MVM11" s="3461"/>
      <c r="MVN11" s="3461"/>
      <c r="MVO11" s="3461"/>
      <c r="MVP11" s="3461"/>
      <c r="MVQ11" s="3461"/>
      <c r="MVR11" s="3461"/>
      <c r="MVS11" s="3461"/>
      <c r="MVT11" s="3461"/>
      <c r="MVU11" s="3461"/>
      <c r="MVV11" s="3461"/>
      <c r="MVW11" s="3461"/>
      <c r="MVX11" s="3461"/>
      <c r="MVY11" s="3461"/>
      <c r="MVZ11" s="3461"/>
      <c r="MWA11" s="3461"/>
      <c r="MWB11" s="3461"/>
      <c r="MWC11" s="3461"/>
      <c r="MWD11" s="3461"/>
      <c r="MWE11" s="3461"/>
      <c r="MWF11" s="3461"/>
      <c r="MWG11" s="3461"/>
      <c r="MWH11" s="3461"/>
      <c r="MWI11" s="3461"/>
      <c r="MWJ11" s="3461"/>
      <c r="MWK11" s="3461"/>
      <c r="MWL11" s="3461"/>
      <c r="MWM11" s="3461"/>
      <c r="MWN11" s="3461"/>
      <c r="MWO11" s="3461"/>
      <c r="MWP11" s="3461"/>
      <c r="MWQ11" s="3461"/>
      <c r="MWR11" s="3461"/>
      <c r="MWS11" s="3461"/>
      <c r="MWT11" s="3461"/>
      <c r="MWU11" s="3461"/>
      <c r="MWV11" s="3461"/>
      <c r="MWW11" s="3461"/>
      <c r="MWX11" s="3461"/>
      <c r="MWY11" s="3461"/>
      <c r="MWZ11" s="3461"/>
      <c r="MXA11" s="3461"/>
      <c r="MXB11" s="3461"/>
      <c r="MXC11" s="3461"/>
      <c r="MXD11" s="3461"/>
      <c r="MXE11" s="3461"/>
      <c r="MXF11" s="3461"/>
      <c r="MXG11" s="3461"/>
      <c r="MXH11" s="3461"/>
      <c r="MXI11" s="3461"/>
      <c r="MXJ11" s="3461"/>
      <c r="MXK11" s="3461"/>
      <c r="MXL11" s="3461"/>
      <c r="MXM11" s="3461"/>
      <c r="MXN11" s="3461"/>
      <c r="MXO11" s="3461"/>
      <c r="MXP11" s="3461"/>
      <c r="MXQ11" s="3461"/>
      <c r="MXR11" s="3461"/>
      <c r="MXS11" s="3461"/>
      <c r="MXT11" s="3461"/>
      <c r="MXU11" s="3461"/>
      <c r="MXV11" s="3461"/>
      <c r="MXW11" s="3461"/>
      <c r="MXX11" s="3461"/>
      <c r="MXY11" s="3461"/>
      <c r="MXZ11" s="3461"/>
      <c r="MYA11" s="3461"/>
      <c r="MYB11" s="3461"/>
      <c r="MYC11" s="3461"/>
      <c r="MYD11" s="3461"/>
      <c r="MYE11" s="3461"/>
      <c r="MYF11" s="3461"/>
      <c r="MYG11" s="3461"/>
      <c r="MYH11" s="3461"/>
      <c r="MYI11" s="3461"/>
      <c r="MYJ11" s="3461"/>
      <c r="MYK11" s="3461"/>
      <c r="MYL11" s="3461"/>
      <c r="MYM11" s="3461"/>
      <c r="MYN11" s="3461"/>
      <c r="MYO11" s="3461"/>
      <c r="MYP11" s="3461"/>
      <c r="MYQ11" s="3461"/>
      <c r="MYR11" s="3461"/>
      <c r="MYS11" s="3461"/>
      <c r="MYT11" s="3461"/>
      <c r="MYU11" s="3461"/>
      <c r="MYV11" s="3461"/>
      <c r="MYW11" s="3461"/>
      <c r="MYX11" s="3461"/>
      <c r="MYY11" s="3461"/>
      <c r="MYZ11" s="3461"/>
      <c r="MZA11" s="3461"/>
      <c r="MZB11" s="3461"/>
      <c r="MZC11" s="3461"/>
      <c r="MZD11" s="3461"/>
      <c r="MZE11" s="3461"/>
      <c r="MZF11" s="3461"/>
      <c r="MZG11" s="3461"/>
      <c r="MZH11" s="3461"/>
      <c r="MZI11" s="3461"/>
      <c r="MZJ11" s="3461"/>
      <c r="MZK11" s="3461"/>
      <c r="MZL11" s="3461"/>
      <c r="MZM11" s="3461"/>
      <c r="MZN11" s="3461"/>
      <c r="MZO11" s="3461"/>
      <c r="MZP11" s="3461"/>
      <c r="MZQ11" s="3461"/>
      <c r="MZR11" s="3461"/>
      <c r="MZS11" s="3461"/>
      <c r="MZT11" s="3461"/>
      <c r="MZU11" s="3461"/>
      <c r="MZV11" s="3461"/>
      <c r="MZW11" s="3461"/>
      <c r="MZX11" s="3461"/>
      <c r="MZY11" s="3461"/>
      <c r="MZZ11" s="3461"/>
      <c r="NAA11" s="3461"/>
      <c r="NAB11" s="3461"/>
      <c r="NAC11" s="3461"/>
      <c r="NAD11" s="3461"/>
      <c r="NAE11" s="3461"/>
      <c r="NAF11" s="3461"/>
      <c r="NAG11" s="3461"/>
      <c r="NAH11" s="3461"/>
      <c r="NAI11" s="3461"/>
      <c r="NAJ11" s="3461"/>
      <c r="NAK11" s="3461"/>
      <c r="NAL11" s="3461"/>
      <c r="NAM11" s="3461"/>
      <c r="NAN11" s="3461"/>
      <c r="NAO11" s="3461"/>
      <c r="NAP11" s="3461"/>
      <c r="NAQ11" s="3461"/>
      <c r="NAR11" s="3461"/>
      <c r="NAS11" s="3461"/>
      <c r="NAT11" s="3461"/>
      <c r="NAU11" s="3461"/>
      <c r="NAV11" s="3461"/>
      <c r="NAW11" s="3461"/>
      <c r="NAX11" s="3461"/>
      <c r="NAY11" s="3461"/>
      <c r="NAZ11" s="3461"/>
      <c r="NBA11" s="3461"/>
      <c r="NBB11" s="3461"/>
      <c r="NBC11" s="3461"/>
      <c r="NBD11" s="3461"/>
      <c r="NBE11" s="3461"/>
      <c r="NBF11" s="3461"/>
      <c r="NBG11" s="3461"/>
      <c r="NBH11" s="3461"/>
      <c r="NBI11" s="3461"/>
      <c r="NBJ11" s="3461"/>
      <c r="NBK11" s="3461"/>
      <c r="NBL11" s="3461"/>
      <c r="NBM11" s="3461"/>
      <c r="NBN11" s="3461"/>
      <c r="NBO11" s="3461"/>
      <c r="NBP11" s="3461"/>
      <c r="NBQ11" s="3461"/>
      <c r="NBR11" s="3461"/>
      <c r="NBS11" s="3461"/>
      <c r="NBT11" s="3461"/>
      <c r="NBU11" s="3461"/>
      <c r="NBV11" s="3461"/>
      <c r="NBW11" s="3461"/>
      <c r="NBX11" s="3461"/>
      <c r="NBY11" s="3461"/>
      <c r="NBZ11" s="3461"/>
      <c r="NCA11" s="3461"/>
      <c r="NCB11" s="3461"/>
      <c r="NCC11" s="3461"/>
      <c r="NCD11" s="3461"/>
      <c r="NCE11" s="3461"/>
      <c r="NCF11" s="3461"/>
      <c r="NCG11" s="3461"/>
      <c r="NCH11" s="3461"/>
      <c r="NCI11" s="3461"/>
      <c r="NCJ11" s="3461"/>
      <c r="NCK11" s="3461"/>
      <c r="NCL11" s="3461"/>
      <c r="NCM11" s="3461"/>
      <c r="NCN11" s="3461"/>
      <c r="NCO11" s="3461"/>
      <c r="NCP11" s="3461"/>
      <c r="NCQ11" s="3461"/>
      <c r="NCR11" s="3461"/>
      <c r="NCS11" s="3461"/>
      <c r="NCT11" s="3461"/>
      <c r="NCU11" s="3461"/>
      <c r="NCV11" s="3461"/>
      <c r="NCW11" s="3461"/>
      <c r="NCX11" s="3461"/>
      <c r="NCY11" s="3461"/>
      <c r="NCZ11" s="3461"/>
      <c r="NDA11" s="3461"/>
      <c r="NDB11" s="3461"/>
      <c r="NDC11" s="3461"/>
      <c r="NDD11" s="3461"/>
      <c r="NDE11" s="3461"/>
      <c r="NDF11" s="3461"/>
      <c r="NDG11" s="3461"/>
      <c r="NDH11" s="3461"/>
      <c r="NDI11" s="3461"/>
      <c r="NDJ11" s="3461"/>
      <c r="NDK11" s="3461"/>
      <c r="NDL11" s="3461"/>
      <c r="NDM11" s="3461"/>
      <c r="NDN11" s="3461"/>
      <c r="NDO11" s="3461"/>
      <c r="NDP11" s="3461"/>
      <c r="NDQ11" s="3461"/>
      <c r="NDR11" s="3461"/>
      <c r="NDS11" s="3461"/>
      <c r="NDT11" s="3461"/>
      <c r="NDU11" s="3461"/>
      <c r="NDV11" s="3461"/>
      <c r="NDW11" s="3461"/>
      <c r="NDX11" s="3461"/>
      <c r="NDY11" s="3461"/>
      <c r="NDZ11" s="3461"/>
      <c r="NEA11" s="3461"/>
      <c r="NEB11" s="3461"/>
      <c r="NEC11" s="3461"/>
      <c r="NED11" s="3461"/>
      <c r="NEE11" s="3461"/>
      <c r="NEF11" s="3461"/>
      <c r="NEG11" s="3461"/>
      <c r="NEH11" s="3461"/>
      <c r="NEI11" s="3461"/>
      <c r="NEJ11" s="3461"/>
      <c r="NEK11" s="3461"/>
      <c r="NEL11" s="3461"/>
      <c r="NEM11" s="3461"/>
      <c r="NEN11" s="3461"/>
      <c r="NEO11" s="3461"/>
      <c r="NEP11" s="3461"/>
      <c r="NEQ11" s="3461"/>
      <c r="NER11" s="3461"/>
      <c r="NES11" s="3461"/>
      <c r="NET11" s="3461"/>
      <c r="NEU11" s="3461"/>
      <c r="NEV11" s="3461"/>
      <c r="NEW11" s="3461"/>
      <c r="NEX11" s="3461"/>
      <c r="NEY11" s="3461"/>
      <c r="NEZ11" s="3461"/>
      <c r="NFA11" s="3461"/>
      <c r="NFB11" s="3461"/>
      <c r="NFC11" s="3461"/>
      <c r="NFD11" s="3461"/>
      <c r="NFE11" s="3461"/>
      <c r="NFF11" s="3461"/>
      <c r="NFG11" s="3461"/>
      <c r="NFH11" s="3461"/>
      <c r="NFI11" s="3461"/>
      <c r="NFJ11" s="3461"/>
      <c r="NFK11" s="3461"/>
      <c r="NFL11" s="3461"/>
      <c r="NFM11" s="3461"/>
      <c r="NFN11" s="3461"/>
      <c r="NFO11" s="3461"/>
      <c r="NFP11" s="3461"/>
      <c r="NFQ11" s="3461"/>
      <c r="NFR11" s="3461"/>
      <c r="NFS11" s="3461"/>
      <c r="NFT11" s="3461"/>
      <c r="NFU11" s="3461"/>
      <c r="NFV11" s="3461"/>
      <c r="NFW11" s="3461"/>
      <c r="NFX11" s="3461"/>
      <c r="NFY11" s="3461"/>
      <c r="NFZ11" s="3461"/>
      <c r="NGA11" s="3461"/>
      <c r="NGB11" s="3461"/>
      <c r="NGC11" s="3461"/>
      <c r="NGD11" s="3461"/>
      <c r="NGE11" s="3461"/>
      <c r="NGF11" s="3461"/>
      <c r="NGG11" s="3461"/>
      <c r="NGH11" s="3461"/>
      <c r="NGI11" s="3461"/>
      <c r="NGJ11" s="3461"/>
      <c r="NGK11" s="3461"/>
      <c r="NGL11" s="3461"/>
      <c r="NGM11" s="3461"/>
      <c r="NGN11" s="3461"/>
      <c r="NGO11" s="3461"/>
      <c r="NGP11" s="3461"/>
      <c r="NGQ11" s="3461"/>
      <c r="NGR11" s="3461"/>
      <c r="NGS11" s="3461"/>
      <c r="NGT11" s="3461"/>
      <c r="NGU11" s="3461"/>
      <c r="NGV11" s="3461"/>
      <c r="NGW11" s="3461"/>
      <c r="NGX11" s="3461"/>
      <c r="NGY11" s="3461"/>
      <c r="NGZ11" s="3461"/>
      <c r="NHA11" s="3461"/>
      <c r="NHB11" s="3461"/>
      <c r="NHC11" s="3461"/>
      <c r="NHD11" s="3461"/>
      <c r="NHE11" s="3461"/>
      <c r="NHF11" s="3461"/>
      <c r="NHG11" s="3461"/>
      <c r="NHH11" s="3461"/>
      <c r="NHI11" s="3461"/>
      <c r="NHJ11" s="3461"/>
      <c r="NHK11" s="3461"/>
      <c r="NHL11" s="3461"/>
      <c r="NHM11" s="3461"/>
      <c r="NHN11" s="3461"/>
      <c r="NHO11" s="3461"/>
      <c r="NHP11" s="3461"/>
      <c r="NHQ11" s="3461"/>
      <c r="NHR11" s="3461"/>
      <c r="NHS11" s="3461"/>
      <c r="NHT11" s="3461"/>
      <c r="NHU11" s="3461"/>
      <c r="NHV11" s="3461"/>
      <c r="NHW11" s="3461"/>
      <c r="NHX11" s="3461"/>
      <c r="NHY11" s="3461"/>
      <c r="NHZ11" s="3461"/>
      <c r="NIA11" s="3461"/>
      <c r="NIB11" s="3461"/>
      <c r="NIC11" s="3461"/>
      <c r="NID11" s="3461"/>
      <c r="NIE11" s="3461"/>
      <c r="NIF11" s="3461"/>
      <c r="NIG11" s="3461"/>
      <c r="NIH11" s="3461"/>
      <c r="NII11" s="3461"/>
      <c r="NIJ11" s="3461"/>
      <c r="NIK11" s="3461"/>
      <c r="NIL11" s="3461"/>
      <c r="NIM11" s="3461"/>
      <c r="NIN11" s="3461"/>
      <c r="NIO11" s="3461"/>
      <c r="NIP11" s="3461"/>
      <c r="NIQ11" s="3461"/>
      <c r="NIR11" s="3461"/>
      <c r="NIS11" s="3461"/>
      <c r="NIT11" s="3461"/>
      <c r="NIU11" s="3461"/>
      <c r="NIV11" s="3461"/>
      <c r="NIW11" s="3461"/>
      <c r="NIX11" s="3461"/>
      <c r="NIY11" s="3461"/>
      <c r="NIZ11" s="3461"/>
      <c r="NJA11" s="3461"/>
      <c r="NJB11" s="3461"/>
      <c r="NJC11" s="3461"/>
      <c r="NJD11" s="3461"/>
      <c r="NJE11" s="3461"/>
      <c r="NJF11" s="3461"/>
      <c r="NJG11" s="3461"/>
      <c r="NJH11" s="3461"/>
      <c r="NJI11" s="3461"/>
      <c r="NJJ11" s="3461"/>
      <c r="NJK11" s="3461"/>
      <c r="NJL11" s="3461"/>
      <c r="NJM11" s="3461"/>
      <c r="NJN11" s="3461"/>
      <c r="NJO11" s="3461"/>
      <c r="NJP11" s="3461"/>
      <c r="NJQ11" s="3461"/>
      <c r="NJR11" s="3461"/>
      <c r="NJS11" s="3461"/>
      <c r="NJT11" s="3461"/>
      <c r="NJU11" s="3461"/>
      <c r="NJV11" s="3461"/>
      <c r="NJW11" s="3461"/>
      <c r="NJX11" s="3461"/>
      <c r="NJY11" s="3461"/>
      <c r="NJZ11" s="3461"/>
      <c r="NKA11" s="3461"/>
      <c r="NKB11" s="3461"/>
      <c r="NKC11" s="3461"/>
      <c r="NKD11" s="3461"/>
      <c r="NKE11" s="3461"/>
      <c r="NKF11" s="3461"/>
      <c r="NKG11" s="3461"/>
      <c r="NKH11" s="3461"/>
      <c r="NKI11" s="3461"/>
      <c r="NKJ11" s="3461"/>
      <c r="NKK11" s="3461"/>
      <c r="NKL11" s="3461"/>
      <c r="NKM11" s="3461"/>
      <c r="NKN11" s="3461"/>
      <c r="NKO11" s="3461"/>
      <c r="NKP11" s="3461"/>
      <c r="NKQ11" s="3461"/>
      <c r="NKR11" s="3461"/>
      <c r="NKS11" s="3461"/>
      <c r="NKT11" s="3461"/>
      <c r="NKU11" s="3461"/>
      <c r="NKV11" s="3461"/>
      <c r="NKW11" s="3461"/>
      <c r="NKX11" s="3461"/>
      <c r="NKY11" s="3461"/>
      <c r="NKZ11" s="3461"/>
      <c r="NLA11" s="3461"/>
      <c r="NLB11" s="3461"/>
      <c r="NLC11" s="3461"/>
      <c r="NLD11" s="3461"/>
      <c r="NLE11" s="3461"/>
      <c r="NLF11" s="3461"/>
      <c r="NLG11" s="3461"/>
      <c r="NLH11" s="3461"/>
      <c r="NLI11" s="3461"/>
      <c r="NLJ11" s="3461"/>
      <c r="NLK11" s="3461"/>
      <c r="NLL11" s="3461"/>
      <c r="NLM11" s="3461"/>
      <c r="NLN11" s="3461"/>
      <c r="NLO11" s="3461"/>
      <c r="NLP11" s="3461"/>
      <c r="NLQ11" s="3461"/>
      <c r="NLR11" s="3461"/>
      <c r="NLS11" s="3461"/>
      <c r="NLT11" s="3461"/>
      <c r="NLU11" s="3461"/>
      <c r="NLV11" s="3461"/>
      <c r="NLW11" s="3461"/>
      <c r="NLX11" s="3461"/>
      <c r="NLY11" s="3461"/>
      <c r="NLZ11" s="3461"/>
      <c r="NMA11" s="3461"/>
      <c r="NMB11" s="3461"/>
      <c r="NMC11" s="3461"/>
      <c r="NMD11" s="3461"/>
      <c r="NME11" s="3461"/>
      <c r="NMF11" s="3461"/>
      <c r="NMG11" s="3461"/>
      <c r="NMH11" s="3461"/>
      <c r="NMI11" s="3461"/>
      <c r="NMJ11" s="3461"/>
      <c r="NMK11" s="3461"/>
      <c r="NML11" s="3461"/>
      <c r="NMM11" s="3461"/>
      <c r="NMN11" s="3461"/>
      <c r="NMO11" s="3461"/>
      <c r="NMP11" s="3461"/>
      <c r="NMQ11" s="3461"/>
      <c r="NMR11" s="3461"/>
      <c r="NMS11" s="3461"/>
      <c r="NMT11" s="3461"/>
      <c r="NMU11" s="3461"/>
      <c r="NMV11" s="3461"/>
      <c r="NMW11" s="3461"/>
      <c r="NMX11" s="3461"/>
      <c r="NMY11" s="3461"/>
      <c r="NMZ11" s="3461"/>
      <c r="NNA11" s="3461"/>
      <c r="NNB11" s="3461"/>
      <c r="NNC11" s="3461"/>
      <c r="NND11" s="3461"/>
      <c r="NNE11" s="3461"/>
      <c r="NNF11" s="3461"/>
      <c r="NNG11" s="3461"/>
      <c r="NNH11" s="3461"/>
      <c r="NNI11" s="3461"/>
      <c r="NNJ11" s="3461"/>
      <c r="NNK11" s="3461"/>
      <c r="NNL11" s="3461"/>
      <c r="NNM11" s="3461"/>
      <c r="NNN11" s="3461"/>
      <c r="NNO11" s="3461"/>
      <c r="NNP11" s="3461"/>
      <c r="NNQ11" s="3461"/>
      <c r="NNR11" s="3461"/>
      <c r="NNS11" s="3461"/>
      <c r="NNT11" s="3461"/>
      <c r="NNU11" s="3461"/>
      <c r="NNV11" s="3461"/>
      <c r="NNW11" s="3461"/>
      <c r="NNX11" s="3461"/>
      <c r="NNY11" s="3461"/>
      <c r="NNZ11" s="3461"/>
      <c r="NOA11" s="3461"/>
      <c r="NOB11" s="3461"/>
      <c r="NOC11" s="3461"/>
      <c r="NOD11" s="3461"/>
      <c r="NOE11" s="3461"/>
      <c r="NOF11" s="3461"/>
      <c r="NOG11" s="3461"/>
      <c r="NOH11" s="3461"/>
      <c r="NOI11" s="3461"/>
      <c r="NOJ11" s="3461"/>
      <c r="NOK11" s="3461"/>
      <c r="NOL11" s="3461"/>
      <c r="NOM11" s="3461"/>
      <c r="NON11" s="3461"/>
      <c r="NOO11" s="3461"/>
      <c r="NOP11" s="3461"/>
      <c r="NOQ11" s="3461"/>
      <c r="NOR11" s="3461"/>
      <c r="NOS11" s="3461"/>
      <c r="NOT11" s="3461"/>
      <c r="NOU11" s="3461"/>
      <c r="NOV11" s="3461"/>
      <c r="NOW11" s="3461"/>
      <c r="NOX11" s="3461"/>
      <c r="NOY11" s="3461"/>
      <c r="NOZ11" s="3461"/>
      <c r="NPA11" s="3461"/>
      <c r="NPB11" s="3461"/>
      <c r="NPC11" s="3461"/>
      <c r="NPD11" s="3461"/>
      <c r="NPE11" s="3461"/>
      <c r="NPF11" s="3461"/>
      <c r="NPG11" s="3461"/>
      <c r="NPH11" s="3461"/>
      <c r="NPI11" s="3461"/>
      <c r="NPJ11" s="3461"/>
      <c r="NPK11" s="3461"/>
      <c r="NPL11" s="3461"/>
      <c r="NPM11" s="3461"/>
      <c r="NPN11" s="3461"/>
      <c r="NPO11" s="3461"/>
      <c r="NPP11" s="3461"/>
      <c r="NPQ11" s="3461"/>
      <c r="NPR11" s="3461"/>
      <c r="NPS11" s="3461"/>
      <c r="NPT11" s="3461"/>
      <c r="NPU11" s="3461"/>
      <c r="NPV11" s="3461"/>
      <c r="NPW11" s="3461"/>
      <c r="NPX11" s="3461"/>
      <c r="NPY11" s="3461"/>
      <c r="NPZ11" s="3461"/>
      <c r="NQA11" s="3461"/>
      <c r="NQB11" s="3461"/>
      <c r="NQC11" s="3461"/>
      <c r="NQD11" s="3461"/>
      <c r="NQE11" s="3461"/>
      <c r="NQF11" s="3461"/>
      <c r="NQG11" s="3461"/>
      <c r="NQH11" s="3461"/>
      <c r="NQI11" s="3461"/>
      <c r="NQJ11" s="3461"/>
      <c r="NQK11" s="3461"/>
      <c r="NQL11" s="3461"/>
      <c r="NQM11" s="3461"/>
      <c r="NQN11" s="3461"/>
      <c r="NQO11" s="3461"/>
      <c r="NQP11" s="3461"/>
      <c r="NQQ11" s="3461"/>
      <c r="NQR11" s="3461"/>
      <c r="NQS11" s="3461"/>
      <c r="NQT11" s="3461"/>
      <c r="NQU11" s="3461"/>
      <c r="NQV11" s="3461"/>
      <c r="NQW11" s="3461"/>
      <c r="NQX11" s="3461"/>
      <c r="NQY11" s="3461"/>
      <c r="NQZ11" s="3461"/>
      <c r="NRA11" s="3461"/>
      <c r="NRB11" s="3461"/>
      <c r="NRC11" s="3461"/>
      <c r="NRD11" s="3461"/>
      <c r="NRE11" s="3461"/>
      <c r="NRF11" s="3461"/>
      <c r="NRG11" s="3461"/>
      <c r="NRH11" s="3461"/>
      <c r="NRI11" s="3461"/>
      <c r="NRJ11" s="3461"/>
      <c r="NRK11" s="3461"/>
      <c r="NRL11" s="3461"/>
      <c r="NRM11" s="3461"/>
      <c r="NRN11" s="3461"/>
      <c r="NRO11" s="3461"/>
      <c r="NRP11" s="3461"/>
      <c r="NRQ11" s="3461"/>
      <c r="NRR11" s="3461"/>
      <c r="NRS11" s="3461"/>
      <c r="NRT11" s="3461"/>
      <c r="NRU11" s="3461"/>
      <c r="NRV11" s="3461"/>
      <c r="NRW11" s="3461"/>
      <c r="NRX11" s="3461"/>
      <c r="NRY11" s="3461"/>
      <c r="NRZ11" s="3461"/>
      <c r="NSA11" s="3461"/>
      <c r="NSB11" s="3461"/>
      <c r="NSC11" s="3461"/>
      <c r="NSD11" s="3461"/>
      <c r="NSE11" s="3461"/>
      <c r="NSF11" s="3461"/>
      <c r="NSG11" s="3461"/>
      <c r="NSH11" s="3461"/>
      <c r="NSI11" s="3461"/>
      <c r="NSJ11" s="3461"/>
      <c r="NSK11" s="3461"/>
      <c r="NSL11" s="3461"/>
      <c r="NSM11" s="3461"/>
      <c r="NSN11" s="3461"/>
      <c r="NSO11" s="3461"/>
      <c r="NSP11" s="3461"/>
      <c r="NSQ11" s="3461"/>
      <c r="NSR11" s="3461"/>
      <c r="NSS11" s="3461"/>
      <c r="NST11" s="3461"/>
      <c r="NSU11" s="3461"/>
      <c r="NSV11" s="3461"/>
      <c r="NSW11" s="3461"/>
      <c r="NSX11" s="3461"/>
      <c r="NSY11" s="3461"/>
      <c r="NSZ11" s="3461"/>
      <c r="NTA11" s="3461"/>
      <c r="NTB11" s="3461"/>
      <c r="NTC11" s="3461"/>
      <c r="NTD11" s="3461"/>
      <c r="NTE11" s="3461"/>
      <c r="NTF11" s="3461"/>
      <c r="NTG11" s="3461"/>
      <c r="NTH11" s="3461"/>
      <c r="NTI11" s="3461"/>
      <c r="NTJ11" s="3461"/>
      <c r="NTK11" s="3461"/>
      <c r="NTL11" s="3461"/>
      <c r="NTM11" s="3461"/>
      <c r="NTN11" s="3461"/>
      <c r="NTO11" s="3461"/>
      <c r="NTP11" s="3461"/>
      <c r="NTQ11" s="3461"/>
      <c r="NTR11" s="3461"/>
      <c r="NTS11" s="3461"/>
      <c r="NTT11" s="3461"/>
      <c r="NTU11" s="3461"/>
      <c r="NTV11" s="3461"/>
      <c r="NTW11" s="3461"/>
      <c r="NTX11" s="3461"/>
      <c r="NTY11" s="3461"/>
      <c r="NTZ11" s="3461"/>
      <c r="NUA11" s="3461"/>
      <c r="NUB11" s="3461"/>
      <c r="NUC11" s="3461"/>
      <c r="NUD11" s="3461"/>
      <c r="NUE11" s="3461"/>
      <c r="NUF11" s="3461"/>
      <c r="NUG11" s="3461"/>
      <c r="NUH11" s="3461"/>
      <c r="NUI11" s="3461"/>
      <c r="NUJ11" s="3461"/>
      <c r="NUK11" s="3461"/>
      <c r="NUL11" s="3461"/>
      <c r="NUM11" s="3461"/>
      <c r="NUN11" s="3461"/>
      <c r="NUO11" s="3461"/>
      <c r="NUP11" s="3461"/>
      <c r="NUQ11" s="3461"/>
      <c r="NUR11" s="3461"/>
      <c r="NUS11" s="3461"/>
      <c r="NUT11" s="3461"/>
      <c r="NUU11" s="3461"/>
      <c r="NUV11" s="3461"/>
      <c r="NUW11" s="3461"/>
      <c r="NUX11" s="3461"/>
      <c r="NUY11" s="3461"/>
      <c r="NUZ11" s="3461"/>
      <c r="NVA11" s="3461"/>
      <c r="NVB11" s="3461"/>
      <c r="NVC11" s="3461"/>
      <c r="NVD11" s="3461"/>
      <c r="NVE11" s="3461"/>
      <c r="NVF11" s="3461"/>
      <c r="NVG11" s="3461"/>
      <c r="NVH11" s="3461"/>
      <c r="NVI11" s="3461"/>
      <c r="NVJ11" s="3461"/>
      <c r="NVK11" s="3461"/>
      <c r="NVL11" s="3461"/>
      <c r="NVM11" s="3461"/>
      <c r="NVN11" s="3461"/>
      <c r="NVO11" s="3461"/>
      <c r="NVP11" s="3461"/>
      <c r="NVQ11" s="3461"/>
      <c r="NVR11" s="3461"/>
      <c r="NVS11" s="3461"/>
      <c r="NVT11" s="3461"/>
      <c r="NVU11" s="3461"/>
      <c r="NVV11" s="3461"/>
      <c r="NVW11" s="3461"/>
      <c r="NVX11" s="3461"/>
      <c r="NVY11" s="3461"/>
      <c r="NVZ11" s="3461"/>
      <c r="NWA11" s="3461"/>
      <c r="NWB11" s="3461"/>
      <c r="NWC11" s="3461"/>
      <c r="NWD11" s="3461"/>
      <c r="NWE11" s="3461"/>
      <c r="NWF11" s="3461"/>
      <c r="NWG11" s="3461"/>
      <c r="NWH11" s="3461"/>
      <c r="NWI11" s="3461"/>
      <c r="NWJ11" s="3461"/>
      <c r="NWK11" s="3461"/>
      <c r="NWL11" s="3461"/>
      <c r="NWM11" s="3461"/>
      <c r="NWN11" s="3461"/>
      <c r="NWO11" s="3461"/>
      <c r="NWP11" s="3461"/>
      <c r="NWQ11" s="3461"/>
      <c r="NWR11" s="3461"/>
      <c r="NWS11" s="3461"/>
      <c r="NWT11" s="3461"/>
      <c r="NWU11" s="3461"/>
      <c r="NWV11" s="3461"/>
      <c r="NWW11" s="3461"/>
      <c r="NWX11" s="3461"/>
      <c r="NWY11" s="3461"/>
      <c r="NWZ11" s="3461"/>
      <c r="NXA11" s="3461"/>
      <c r="NXB11" s="3461"/>
      <c r="NXC11" s="3461"/>
      <c r="NXD11" s="3461"/>
      <c r="NXE11" s="3461"/>
      <c r="NXF11" s="3461"/>
      <c r="NXG11" s="3461"/>
      <c r="NXH11" s="3461"/>
      <c r="NXI11" s="3461"/>
      <c r="NXJ11" s="3461"/>
      <c r="NXK11" s="3461"/>
      <c r="NXL11" s="3461"/>
      <c r="NXM11" s="3461"/>
      <c r="NXN11" s="3461"/>
      <c r="NXO11" s="3461"/>
      <c r="NXP11" s="3461"/>
      <c r="NXQ11" s="3461"/>
      <c r="NXR11" s="3461"/>
      <c r="NXS11" s="3461"/>
      <c r="NXT11" s="3461"/>
      <c r="NXU11" s="3461"/>
      <c r="NXV11" s="3461"/>
      <c r="NXW11" s="3461"/>
      <c r="NXX11" s="3461"/>
      <c r="NXY11" s="3461"/>
      <c r="NXZ11" s="3461"/>
      <c r="NYA11" s="3461"/>
      <c r="NYB11" s="3461"/>
      <c r="NYC11" s="3461"/>
      <c r="NYD11" s="3461"/>
      <c r="NYE11" s="3461"/>
      <c r="NYF11" s="3461"/>
      <c r="NYG11" s="3461"/>
      <c r="NYH11" s="3461"/>
      <c r="NYI11" s="3461"/>
      <c r="NYJ11" s="3461"/>
      <c r="NYK11" s="3461"/>
      <c r="NYL11" s="3461"/>
      <c r="NYM11" s="3461"/>
      <c r="NYN11" s="3461"/>
      <c r="NYO11" s="3461"/>
      <c r="NYP11" s="3461"/>
      <c r="NYQ11" s="3461"/>
      <c r="NYR11" s="3461"/>
      <c r="NYS11" s="3461"/>
      <c r="NYT11" s="3461"/>
      <c r="NYU11" s="3461"/>
      <c r="NYV11" s="3461"/>
      <c r="NYW11" s="3461"/>
      <c r="NYX11" s="3461"/>
      <c r="NYY11" s="3461"/>
      <c r="NYZ11" s="3461"/>
      <c r="NZA11" s="3461"/>
      <c r="NZB11" s="3461"/>
      <c r="NZC11" s="3461"/>
      <c r="NZD11" s="3461"/>
      <c r="NZE11" s="3461"/>
      <c r="NZF11" s="3461"/>
      <c r="NZG11" s="3461"/>
      <c r="NZH11" s="3461"/>
      <c r="NZI11" s="3461"/>
      <c r="NZJ11" s="3461"/>
      <c r="NZK11" s="3461"/>
      <c r="NZL11" s="3461"/>
      <c r="NZM11" s="3461"/>
      <c r="NZN11" s="3461"/>
      <c r="NZO11" s="3461"/>
      <c r="NZP11" s="3461"/>
      <c r="NZQ11" s="3461"/>
      <c r="NZR11" s="3461"/>
      <c r="NZS11" s="3461"/>
      <c r="NZT11" s="3461"/>
      <c r="NZU11" s="3461"/>
      <c r="NZV11" s="3461"/>
      <c r="NZW11" s="3461"/>
      <c r="NZX11" s="3461"/>
      <c r="NZY11" s="3461"/>
      <c r="NZZ11" s="3461"/>
      <c r="OAA11" s="3461"/>
      <c r="OAB11" s="3461"/>
      <c r="OAC11" s="3461"/>
      <c r="OAD11" s="3461"/>
      <c r="OAE11" s="3461"/>
      <c r="OAF11" s="3461"/>
      <c r="OAG11" s="3461"/>
      <c r="OAH11" s="3461"/>
      <c r="OAI11" s="3461"/>
      <c r="OAJ11" s="3461"/>
      <c r="OAK11" s="3461"/>
      <c r="OAL11" s="3461"/>
      <c r="OAM11" s="3461"/>
      <c r="OAN11" s="3461"/>
      <c r="OAO11" s="3461"/>
      <c r="OAP11" s="3461"/>
      <c r="OAQ11" s="3461"/>
      <c r="OAR11" s="3461"/>
      <c r="OAS11" s="3461"/>
      <c r="OAT11" s="3461"/>
      <c r="OAU11" s="3461"/>
      <c r="OAV11" s="3461"/>
      <c r="OAW11" s="3461"/>
      <c r="OAX11" s="3461"/>
      <c r="OAY11" s="3461"/>
      <c r="OAZ11" s="3461"/>
      <c r="OBA11" s="3461"/>
      <c r="OBB11" s="3461"/>
      <c r="OBC11" s="3461"/>
      <c r="OBD11" s="3461"/>
      <c r="OBE11" s="3461"/>
      <c r="OBF11" s="3461"/>
      <c r="OBG11" s="3461"/>
      <c r="OBH11" s="3461"/>
      <c r="OBI11" s="3461"/>
      <c r="OBJ11" s="3461"/>
      <c r="OBK11" s="3461"/>
      <c r="OBL11" s="3461"/>
      <c r="OBM11" s="3461"/>
      <c r="OBN11" s="3461"/>
      <c r="OBO11" s="3461"/>
      <c r="OBP11" s="3461"/>
      <c r="OBQ11" s="3461"/>
      <c r="OBR11" s="3461"/>
      <c r="OBS11" s="3461"/>
      <c r="OBT11" s="3461"/>
      <c r="OBU11" s="3461"/>
      <c r="OBV11" s="3461"/>
      <c r="OBW11" s="3461"/>
      <c r="OBX11" s="3461"/>
      <c r="OBY11" s="3461"/>
      <c r="OBZ11" s="3461"/>
      <c r="OCA11" s="3461"/>
      <c r="OCB11" s="3461"/>
      <c r="OCC11" s="3461"/>
      <c r="OCD11" s="3461"/>
      <c r="OCE11" s="3461"/>
      <c r="OCF11" s="3461"/>
      <c r="OCG11" s="3461"/>
      <c r="OCH11" s="3461"/>
      <c r="OCI11" s="3461"/>
      <c r="OCJ11" s="3461"/>
      <c r="OCK11" s="3461"/>
      <c r="OCL11" s="3461"/>
      <c r="OCM11" s="3461"/>
      <c r="OCN11" s="3461"/>
      <c r="OCO11" s="3461"/>
      <c r="OCP11" s="3461"/>
      <c r="OCQ11" s="3461"/>
      <c r="OCR11" s="3461"/>
      <c r="OCS11" s="3461"/>
      <c r="OCT11" s="3461"/>
      <c r="OCU11" s="3461"/>
      <c r="OCV11" s="3461"/>
      <c r="OCW11" s="3461"/>
      <c r="OCX11" s="3461"/>
      <c r="OCY11" s="3461"/>
      <c r="OCZ11" s="3461"/>
      <c r="ODA11" s="3461"/>
      <c r="ODB11" s="3461"/>
      <c r="ODC11" s="3461"/>
      <c r="ODD11" s="3461"/>
      <c r="ODE11" s="3461"/>
      <c r="ODF11" s="3461"/>
      <c r="ODG11" s="3461"/>
      <c r="ODH11" s="3461"/>
      <c r="ODI11" s="3461"/>
      <c r="ODJ11" s="3461"/>
      <c r="ODK11" s="3461"/>
      <c r="ODL11" s="3461"/>
      <c r="ODM11" s="3461"/>
      <c r="ODN11" s="3461"/>
      <c r="ODO11" s="3461"/>
      <c r="ODP11" s="3461"/>
      <c r="ODQ11" s="3461"/>
      <c r="ODR11" s="3461"/>
      <c r="ODS11" s="3461"/>
      <c r="ODT11" s="3461"/>
      <c r="ODU11" s="3461"/>
      <c r="ODV11" s="3461"/>
      <c r="ODW11" s="3461"/>
      <c r="ODX11" s="3461"/>
      <c r="ODY11" s="3461"/>
      <c r="ODZ11" s="3461"/>
      <c r="OEA11" s="3461"/>
      <c r="OEB11" s="3461"/>
      <c r="OEC11" s="3461"/>
      <c r="OED11" s="3461"/>
      <c r="OEE11" s="3461"/>
      <c r="OEF11" s="3461"/>
      <c r="OEG11" s="3461"/>
      <c r="OEH11" s="3461"/>
      <c r="OEI11" s="3461"/>
      <c r="OEJ11" s="3461"/>
      <c r="OEK11" s="3461"/>
      <c r="OEL11" s="3461"/>
      <c r="OEM11" s="3461"/>
      <c r="OEN11" s="3461"/>
      <c r="OEO11" s="3461"/>
      <c r="OEP11" s="3461"/>
      <c r="OEQ11" s="3461"/>
      <c r="OER11" s="3461"/>
      <c r="OES11" s="3461"/>
      <c r="OET11" s="3461"/>
      <c r="OEU11" s="3461"/>
      <c r="OEV11" s="3461"/>
      <c r="OEW11" s="3461"/>
      <c r="OEX11" s="3461"/>
      <c r="OEY11" s="3461"/>
      <c r="OEZ11" s="3461"/>
      <c r="OFA11" s="3461"/>
      <c r="OFB11" s="3461"/>
      <c r="OFC11" s="3461"/>
      <c r="OFD11" s="3461"/>
      <c r="OFE11" s="3461"/>
      <c r="OFF11" s="3461"/>
      <c r="OFG11" s="3461"/>
      <c r="OFH11" s="3461"/>
      <c r="OFI11" s="3461"/>
      <c r="OFJ11" s="3461"/>
      <c r="OFK11" s="3461"/>
      <c r="OFL11" s="3461"/>
      <c r="OFM11" s="3461"/>
      <c r="OFN11" s="3461"/>
      <c r="OFO11" s="3461"/>
      <c r="OFP11" s="3461"/>
      <c r="OFQ11" s="3461"/>
      <c r="OFR11" s="3461"/>
      <c r="OFS11" s="3461"/>
      <c r="OFT11" s="3461"/>
      <c r="OFU11" s="3461"/>
      <c r="OFV11" s="3461"/>
      <c r="OFW11" s="3461"/>
      <c r="OFX11" s="3461"/>
      <c r="OFY11" s="3461"/>
      <c r="OFZ11" s="3461"/>
      <c r="OGA11" s="3461"/>
      <c r="OGB11" s="3461"/>
      <c r="OGC11" s="3461"/>
      <c r="OGD11" s="3461"/>
      <c r="OGE11" s="3461"/>
      <c r="OGF11" s="3461"/>
      <c r="OGG11" s="3461"/>
      <c r="OGH11" s="3461"/>
      <c r="OGI11" s="3461"/>
      <c r="OGJ11" s="3461"/>
      <c r="OGK11" s="3461"/>
      <c r="OGL11" s="3461"/>
      <c r="OGM11" s="3461"/>
      <c r="OGN11" s="3461"/>
      <c r="OGO11" s="3461"/>
      <c r="OGP11" s="3461"/>
      <c r="OGQ11" s="3461"/>
      <c r="OGR11" s="3461"/>
      <c r="OGS11" s="3461"/>
      <c r="OGT11" s="3461"/>
      <c r="OGU11" s="3461"/>
      <c r="OGV11" s="3461"/>
      <c r="OGW11" s="3461"/>
      <c r="OGX11" s="3461"/>
      <c r="OGY11" s="3461"/>
      <c r="OGZ11" s="3461"/>
      <c r="OHA11" s="3461"/>
      <c r="OHB11" s="3461"/>
      <c r="OHC11" s="3461"/>
      <c r="OHD11" s="3461"/>
      <c r="OHE11" s="3461"/>
      <c r="OHF11" s="3461"/>
      <c r="OHG11" s="3461"/>
      <c r="OHH11" s="3461"/>
      <c r="OHI11" s="3461"/>
      <c r="OHJ11" s="3461"/>
      <c r="OHK11" s="3461"/>
      <c r="OHL11" s="3461"/>
      <c r="OHM11" s="3461"/>
      <c r="OHN11" s="3461"/>
      <c r="OHO11" s="3461"/>
      <c r="OHP11" s="3461"/>
      <c r="OHQ11" s="3461"/>
      <c r="OHR11" s="3461"/>
      <c r="OHS11" s="3461"/>
      <c r="OHT11" s="3461"/>
      <c r="OHU11" s="3461"/>
      <c r="OHV11" s="3461"/>
      <c r="OHW11" s="3461"/>
      <c r="OHX11" s="3461"/>
      <c r="OHY11" s="3461"/>
      <c r="OHZ11" s="3461"/>
      <c r="OIA11" s="3461"/>
      <c r="OIB11" s="3461"/>
      <c r="OIC11" s="3461"/>
      <c r="OID11" s="3461"/>
      <c r="OIE11" s="3461"/>
      <c r="OIF11" s="3461"/>
      <c r="OIG11" s="3461"/>
      <c r="OIH11" s="3461"/>
      <c r="OII11" s="3461"/>
      <c r="OIJ11" s="3461"/>
      <c r="OIK11" s="3461"/>
      <c r="OIL11" s="3461"/>
      <c r="OIM11" s="3461"/>
      <c r="OIN11" s="3461"/>
      <c r="OIO11" s="3461"/>
      <c r="OIP11" s="3461"/>
      <c r="OIQ11" s="3461"/>
      <c r="OIR11" s="3461"/>
      <c r="OIS11" s="3461"/>
      <c r="OIT11" s="3461"/>
      <c r="OIU11" s="3461"/>
      <c r="OIV11" s="3461"/>
      <c r="OIW11" s="3461"/>
      <c r="OIX11" s="3461"/>
      <c r="OIY11" s="3461"/>
      <c r="OIZ11" s="3461"/>
      <c r="OJA11" s="3461"/>
      <c r="OJB11" s="3461"/>
      <c r="OJC11" s="3461"/>
      <c r="OJD11" s="3461"/>
      <c r="OJE11" s="3461"/>
      <c r="OJF11" s="3461"/>
      <c r="OJG11" s="3461"/>
      <c r="OJH11" s="3461"/>
      <c r="OJI11" s="3461"/>
      <c r="OJJ11" s="3461"/>
      <c r="OJK11" s="3461"/>
      <c r="OJL11" s="3461"/>
      <c r="OJM11" s="3461"/>
      <c r="OJN11" s="3461"/>
      <c r="OJO11" s="3461"/>
      <c r="OJP11" s="3461"/>
      <c r="OJQ11" s="3461"/>
      <c r="OJR11" s="3461"/>
      <c r="OJS11" s="3461"/>
      <c r="OJT11" s="3461"/>
      <c r="OJU11" s="3461"/>
      <c r="OJV11" s="3461"/>
      <c r="OJW11" s="3461"/>
      <c r="OJX11" s="3461"/>
      <c r="OJY11" s="3461"/>
      <c r="OJZ11" s="3461"/>
      <c r="OKA11" s="3461"/>
      <c r="OKB11" s="3461"/>
      <c r="OKC11" s="3461"/>
      <c r="OKD11" s="3461"/>
      <c r="OKE11" s="3461"/>
      <c r="OKF11" s="3461"/>
      <c r="OKG11" s="3461"/>
      <c r="OKH11" s="3461"/>
      <c r="OKI11" s="3461"/>
      <c r="OKJ11" s="3461"/>
      <c r="OKK11" s="3461"/>
      <c r="OKL11" s="3461"/>
      <c r="OKM11" s="3461"/>
      <c r="OKN11" s="3461"/>
      <c r="OKO11" s="3461"/>
      <c r="OKP11" s="3461"/>
      <c r="OKQ11" s="3461"/>
      <c r="OKR11" s="3461"/>
      <c r="OKS11" s="3461"/>
      <c r="OKT11" s="3461"/>
      <c r="OKU11" s="3461"/>
      <c r="OKV11" s="3461"/>
      <c r="OKW11" s="3461"/>
      <c r="OKX11" s="3461"/>
      <c r="OKY11" s="3461"/>
      <c r="OKZ11" s="3461"/>
      <c r="OLA11" s="3461"/>
      <c r="OLB11" s="3461"/>
      <c r="OLC11" s="3461"/>
      <c r="OLD11" s="3461"/>
      <c r="OLE11" s="3461"/>
      <c r="OLF11" s="3461"/>
      <c r="OLG11" s="3461"/>
      <c r="OLH11" s="3461"/>
      <c r="OLI11" s="3461"/>
      <c r="OLJ11" s="3461"/>
      <c r="OLK11" s="3461"/>
      <c r="OLL11" s="3461"/>
      <c r="OLM11" s="3461"/>
      <c r="OLN11" s="3461"/>
      <c r="OLO11" s="3461"/>
      <c r="OLP11" s="3461"/>
      <c r="OLQ11" s="3461"/>
      <c r="OLR11" s="3461"/>
      <c r="OLS11" s="3461"/>
      <c r="OLT11" s="3461"/>
      <c r="OLU11" s="3461"/>
      <c r="OLV11" s="3461"/>
      <c r="OLW11" s="3461"/>
      <c r="OLX11" s="3461"/>
      <c r="OLY11" s="3461"/>
      <c r="OLZ11" s="3461"/>
      <c r="OMA11" s="3461"/>
      <c r="OMB11" s="3461"/>
      <c r="OMC11" s="3461"/>
      <c r="OMD11" s="3461"/>
      <c r="OME11" s="3461"/>
      <c r="OMF11" s="3461"/>
      <c r="OMG11" s="3461"/>
      <c r="OMH11" s="3461"/>
      <c r="OMI11" s="3461"/>
      <c r="OMJ11" s="3461"/>
      <c r="OMK11" s="3461"/>
      <c r="OML11" s="3461"/>
      <c r="OMM11" s="3461"/>
      <c r="OMN11" s="3461"/>
      <c r="OMO11" s="3461"/>
      <c r="OMP11" s="3461"/>
      <c r="OMQ11" s="3461"/>
      <c r="OMR11" s="3461"/>
      <c r="OMS11" s="3461"/>
      <c r="OMT11" s="3461"/>
      <c r="OMU11" s="3461"/>
      <c r="OMV11" s="3461"/>
      <c r="OMW11" s="3461"/>
      <c r="OMX11" s="3461"/>
      <c r="OMY11" s="3461"/>
      <c r="OMZ11" s="3461"/>
      <c r="ONA11" s="3461"/>
      <c r="ONB11" s="3461"/>
      <c r="ONC11" s="3461"/>
      <c r="OND11" s="3461"/>
      <c r="ONE11" s="3461"/>
      <c r="ONF11" s="3461"/>
      <c r="ONG11" s="3461"/>
      <c r="ONH11" s="3461"/>
      <c r="ONI11" s="3461"/>
      <c r="ONJ11" s="3461"/>
      <c r="ONK11" s="3461"/>
      <c r="ONL11" s="3461"/>
      <c r="ONM11" s="3461"/>
      <c r="ONN11" s="3461"/>
      <c r="ONO11" s="3461"/>
      <c r="ONP11" s="3461"/>
      <c r="ONQ11" s="3461"/>
      <c r="ONR11" s="3461"/>
      <c r="ONS11" s="3461"/>
      <c r="ONT11" s="3461"/>
      <c r="ONU11" s="3461"/>
      <c r="ONV11" s="3461"/>
      <c r="ONW11" s="3461"/>
      <c r="ONX11" s="3461"/>
      <c r="ONY11" s="3461"/>
      <c r="ONZ11" s="3461"/>
      <c r="OOA11" s="3461"/>
      <c r="OOB11" s="3461"/>
      <c r="OOC11" s="3461"/>
      <c r="OOD11" s="3461"/>
      <c r="OOE11" s="3461"/>
      <c r="OOF11" s="3461"/>
      <c r="OOG11" s="3461"/>
      <c r="OOH11" s="3461"/>
      <c r="OOI11" s="3461"/>
      <c r="OOJ11" s="3461"/>
      <c r="OOK11" s="3461"/>
      <c r="OOL11" s="3461"/>
      <c r="OOM11" s="3461"/>
      <c r="OON11" s="3461"/>
      <c r="OOO11" s="3461"/>
      <c r="OOP11" s="3461"/>
      <c r="OOQ11" s="3461"/>
      <c r="OOR11" s="3461"/>
      <c r="OOS11" s="3461"/>
      <c r="OOT11" s="3461"/>
      <c r="OOU11" s="3461"/>
      <c r="OOV11" s="3461"/>
      <c r="OOW11" s="3461"/>
      <c r="OOX11" s="3461"/>
      <c r="OOY11" s="3461"/>
      <c r="OOZ11" s="3461"/>
      <c r="OPA11" s="3461"/>
      <c r="OPB11" s="3461"/>
      <c r="OPC11" s="3461"/>
      <c r="OPD11" s="3461"/>
      <c r="OPE11" s="3461"/>
      <c r="OPF11" s="3461"/>
      <c r="OPG11" s="3461"/>
      <c r="OPH11" s="3461"/>
      <c r="OPI11" s="3461"/>
      <c r="OPJ11" s="3461"/>
      <c r="OPK11" s="3461"/>
      <c r="OPL11" s="3461"/>
      <c r="OPM11" s="3461"/>
      <c r="OPN11" s="3461"/>
      <c r="OPO11" s="3461"/>
      <c r="OPP11" s="3461"/>
      <c r="OPQ11" s="3461"/>
      <c r="OPR11" s="3461"/>
      <c r="OPS11" s="3461"/>
      <c r="OPT11" s="3461"/>
      <c r="OPU11" s="3461"/>
      <c r="OPV11" s="3461"/>
      <c r="OPW11" s="3461"/>
      <c r="OPX11" s="3461"/>
      <c r="OPY11" s="3461"/>
      <c r="OPZ11" s="3461"/>
      <c r="OQA11" s="3461"/>
      <c r="OQB11" s="3461"/>
      <c r="OQC11" s="3461"/>
      <c r="OQD11" s="3461"/>
      <c r="OQE11" s="3461"/>
      <c r="OQF11" s="3461"/>
      <c r="OQG11" s="3461"/>
      <c r="OQH11" s="3461"/>
      <c r="OQI11" s="3461"/>
      <c r="OQJ11" s="3461"/>
      <c r="OQK11" s="3461"/>
      <c r="OQL11" s="3461"/>
      <c r="OQM11" s="3461"/>
      <c r="OQN11" s="3461"/>
      <c r="OQO11" s="3461"/>
      <c r="OQP11" s="3461"/>
      <c r="OQQ11" s="3461"/>
      <c r="OQR11" s="3461"/>
      <c r="OQS11" s="3461"/>
      <c r="OQT11" s="3461"/>
      <c r="OQU11" s="3461"/>
      <c r="OQV11" s="3461"/>
      <c r="OQW11" s="3461"/>
      <c r="OQX11" s="3461"/>
      <c r="OQY11" s="3461"/>
      <c r="OQZ11" s="3461"/>
      <c r="ORA11" s="3461"/>
      <c r="ORB11" s="3461"/>
      <c r="ORC11" s="3461"/>
      <c r="ORD11" s="3461"/>
      <c r="ORE11" s="3461"/>
      <c r="ORF11" s="3461"/>
      <c r="ORG11" s="3461"/>
      <c r="ORH11" s="3461"/>
      <c r="ORI11" s="3461"/>
      <c r="ORJ11" s="3461"/>
      <c r="ORK11" s="3461"/>
      <c r="ORL11" s="3461"/>
      <c r="ORM11" s="3461"/>
      <c r="ORN11" s="3461"/>
      <c r="ORO11" s="3461"/>
      <c r="ORP11" s="3461"/>
      <c r="ORQ11" s="3461"/>
      <c r="ORR11" s="3461"/>
      <c r="ORS11" s="3461"/>
      <c r="ORT11" s="3461"/>
      <c r="ORU11" s="3461"/>
      <c r="ORV11" s="3461"/>
      <c r="ORW11" s="3461"/>
      <c r="ORX11" s="3461"/>
      <c r="ORY11" s="3461"/>
      <c r="ORZ11" s="3461"/>
      <c r="OSA11" s="3461"/>
      <c r="OSB11" s="3461"/>
      <c r="OSC11" s="3461"/>
      <c r="OSD11" s="3461"/>
      <c r="OSE11" s="3461"/>
      <c r="OSF11" s="3461"/>
      <c r="OSG11" s="3461"/>
      <c r="OSH11" s="3461"/>
      <c r="OSI11" s="3461"/>
      <c r="OSJ11" s="3461"/>
      <c r="OSK11" s="3461"/>
      <c r="OSL11" s="3461"/>
      <c r="OSM11" s="3461"/>
      <c r="OSN11" s="3461"/>
      <c r="OSO11" s="3461"/>
      <c r="OSP11" s="3461"/>
      <c r="OSQ11" s="3461"/>
      <c r="OSR11" s="3461"/>
      <c r="OSS11" s="3461"/>
      <c r="OST11" s="3461"/>
      <c r="OSU11" s="3461"/>
      <c r="OSV11" s="3461"/>
      <c r="OSW11" s="3461"/>
      <c r="OSX11" s="3461"/>
      <c r="OSY11" s="3461"/>
      <c r="OSZ11" s="3461"/>
      <c r="OTA11" s="3461"/>
      <c r="OTB11" s="3461"/>
      <c r="OTC11" s="3461"/>
      <c r="OTD11" s="3461"/>
      <c r="OTE11" s="3461"/>
      <c r="OTF11" s="3461"/>
      <c r="OTG11" s="3461"/>
      <c r="OTH11" s="3461"/>
      <c r="OTI11" s="3461"/>
      <c r="OTJ11" s="3461"/>
      <c r="OTK11" s="3461"/>
      <c r="OTL11" s="3461"/>
      <c r="OTM11" s="3461"/>
      <c r="OTN11" s="3461"/>
      <c r="OTO11" s="3461"/>
      <c r="OTP11" s="3461"/>
      <c r="OTQ11" s="3461"/>
      <c r="OTR11" s="3461"/>
      <c r="OTS11" s="3461"/>
      <c r="OTT11" s="3461"/>
      <c r="OTU11" s="3461"/>
      <c r="OTV11" s="3461"/>
      <c r="OTW11" s="3461"/>
      <c r="OTX11" s="3461"/>
      <c r="OTY11" s="3461"/>
      <c r="OTZ11" s="3461"/>
      <c r="OUA11" s="3461"/>
      <c r="OUB11" s="3461"/>
      <c r="OUC11" s="3461"/>
      <c r="OUD11" s="3461"/>
      <c r="OUE11" s="3461"/>
      <c r="OUF11" s="3461"/>
      <c r="OUG11" s="3461"/>
      <c r="OUH11" s="3461"/>
      <c r="OUI11" s="3461"/>
      <c r="OUJ11" s="3461"/>
      <c r="OUK11" s="3461"/>
      <c r="OUL11" s="3461"/>
      <c r="OUM11" s="3461"/>
      <c r="OUN11" s="3461"/>
      <c r="OUO11" s="3461"/>
      <c r="OUP11" s="3461"/>
      <c r="OUQ11" s="3461"/>
      <c r="OUR11" s="3461"/>
      <c r="OUS11" s="3461"/>
      <c r="OUT11" s="3461"/>
      <c r="OUU11" s="3461"/>
      <c r="OUV11" s="3461"/>
      <c r="OUW11" s="3461"/>
      <c r="OUX11" s="3461"/>
      <c r="OUY11" s="3461"/>
      <c r="OUZ11" s="3461"/>
      <c r="OVA11" s="3461"/>
      <c r="OVB11" s="3461"/>
      <c r="OVC11" s="3461"/>
      <c r="OVD11" s="3461"/>
      <c r="OVE11" s="3461"/>
      <c r="OVF11" s="3461"/>
      <c r="OVG11" s="3461"/>
      <c r="OVH11" s="3461"/>
      <c r="OVI11" s="3461"/>
      <c r="OVJ11" s="3461"/>
      <c r="OVK11" s="3461"/>
      <c r="OVL11" s="3461"/>
      <c r="OVM11" s="3461"/>
      <c r="OVN11" s="3461"/>
      <c r="OVO11" s="3461"/>
      <c r="OVP11" s="3461"/>
      <c r="OVQ11" s="3461"/>
      <c r="OVR11" s="3461"/>
      <c r="OVS11" s="3461"/>
      <c r="OVT11" s="3461"/>
      <c r="OVU11" s="3461"/>
      <c r="OVV11" s="3461"/>
      <c r="OVW11" s="3461"/>
      <c r="OVX11" s="3461"/>
      <c r="OVY11" s="3461"/>
      <c r="OVZ11" s="3461"/>
      <c r="OWA11" s="3461"/>
      <c r="OWB11" s="3461"/>
      <c r="OWC11" s="3461"/>
      <c r="OWD11" s="3461"/>
      <c r="OWE11" s="3461"/>
      <c r="OWF11" s="3461"/>
      <c r="OWG11" s="3461"/>
      <c r="OWH11" s="3461"/>
      <c r="OWI11" s="3461"/>
      <c r="OWJ11" s="3461"/>
      <c r="OWK11" s="3461"/>
      <c r="OWL11" s="3461"/>
      <c r="OWM11" s="3461"/>
      <c r="OWN11" s="3461"/>
      <c r="OWO11" s="3461"/>
      <c r="OWP11" s="3461"/>
      <c r="OWQ11" s="3461"/>
      <c r="OWR11" s="3461"/>
      <c r="OWS11" s="3461"/>
      <c r="OWT11" s="3461"/>
      <c r="OWU11" s="3461"/>
      <c r="OWV11" s="3461"/>
      <c r="OWW11" s="3461"/>
      <c r="OWX11" s="3461"/>
      <c r="OWY11" s="3461"/>
      <c r="OWZ11" s="3461"/>
      <c r="OXA11" s="3461"/>
      <c r="OXB11" s="3461"/>
      <c r="OXC11" s="3461"/>
      <c r="OXD11" s="3461"/>
      <c r="OXE11" s="3461"/>
      <c r="OXF11" s="3461"/>
      <c r="OXG11" s="3461"/>
      <c r="OXH11" s="3461"/>
      <c r="OXI11" s="3461"/>
      <c r="OXJ11" s="3461"/>
      <c r="OXK11" s="3461"/>
      <c r="OXL11" s="3461"/>
      <c r="OXM11" s="3461"/>
      <c r="OXN11" s="3461"/>
      <c r="OXO11" s="3461"/>
      <c r="OXP11" s="3461"/>
      <c r="OXQ11" s="3461"/>
      <c r="OXR11" s="3461"/>
      <c r="OXS11" s="3461"/>
      <c r="OXT11" s="3461"/>
      <c r="OXU11" s="3461"/>
      <c r="OXV11" s="3461"/>
      <c r="OXW11" s="3461"/>
      <c r="OXX11" s="3461"/>
      <c r="OXY11" s="3461"/>
      <c r="OXZ11" s="3461"/>
      <c r="OYA11" s="3461"/>
      <c r="OYB11" s="3461"/>
      <c r="OYC11" s="3461"/>
      <c r="OYD11" s="3461"/>
      <c r="OYE11" s="3461"/>
      <c r="OYF11" s="3461"/>
      <c r="OYG11" s="3461"/>
      <c r="OYH11" s="3461"/>
      <c r="OYI11" s="3461"/>
      <c r="OYJ11" s="3461"/>
      <c r="OYK11" s="3461"/>
      <c r="OYL11" s="3461"/>
      <c r="OYM11" s="3461"/>
      <c r="OYN11" s="3461"/>
      <c r="OYO11" s="3461"/>
      <c r="OYP11" s="3461"/>
      <c r="OYQ11" s="3461"/>
      <c r="OYR11" s="3461"/>
      <c r="OYS11" s="3461"/>
      <c r="OYT11" s="3461"/>
      <c r="OYU11" s="3461"/>
      <c r="OYV11" s="3461"/>
      <c r="OYW11" s="3461"/>
      <c r="OYX11" s="3461"/>
      <c r="OYY11" s="3461"/>
      <c r="OYZ11" s="3461"/>
      <c r="OZA11" s="3461"/>
      <c r="OZB11" s="3461"/>
      <c r="OZC11" s="3461"/>
      <c r="OZD11" s="3461"/>
      <c r="OZE11" s="3461"/>
      <c r="OZF11" s="3461"/>
      <c r="OZG11" s="3461"/>
      <c r="OZH11" s="3461"/>
      <c r="OZI11" s="3461"/>
      <c r="OZJ11" s="3461"/>
      <c r="OZK11" s="3461"/>
      <c r="OZL11" s="3461"/>
      <c r="OZM11" s="3461"/>
      <c r="OZN11" s="3461"/>
      <c r="OZO11" s="3461"/>
      <c r="OZP11" s="3461"/>
      <c r="OZQ11" s="3461"/>
      <c r="OZR11" s="3461"/>
      <c r="OZS11" s="3461"/>
      <c r="OZT11" s="3461"/>
      <c r="OZU11" s="3461"/>
      <c r="OZV11" s="3461"/>
      <c r="OZW11" s="3461"/>
      <c r="OZX11" s="3461"/>
      <c r="OZY11" s="3461"/>
      <c r="OZZ11" s="3461"/>
      <c r="PAA11" s="3461"/>
      <c r="PAB11" s="3461"/>
      <c r="PAC11" s="3461"/>
      <c r="PAD11" s="3461"/>
      <c r="PAE11" s="3461"/>
      <c r="PAF11" s="3461"/>
      <c r="PAG11" s="3461"/>
      <c r="PAH11" s="3461"/>
      <c r="PAI11" s="3461"/>
      <c r="PAJ11" s="3461"/>
      <c r="PAK11" s="3461"/>
      <c r="PAL11" s="3461"/>
      <c r="PAM11" s="3461"/>
      <c r="PAN11" s="3461"/>
      <c r="PAO11" s="3461"/>
      <c r="PAP11" s="3461"/>
      <c r="PAQ11" s="3461"/>
      <c r="PAR11" s="3461"/>
      <c r="PAS11" s="3461"/>
      <c r="PAT11" s="3461"/>
      <c r="PAU11" s="3461"/>
      <c r="PAV11" s="3461"/>
      <c r="PAW11" s="3461"/>
      <c r="PAX11" s="3461"/>
      <c r="PAY11" s="3461"/>
      <c r="PAZ11" s="3461"/>
      <c r="PBA11" s="3461"/>
      <c r="PBB11" s="3461"/>
      <c r="PBC11" s="3461"/>
      <c r="PBD11" s="3461"/>
      <c r="PBE11" s="3461"/>
      <c r="PBF11" s="3461"/>
      <c r="PBG11" s="3461"/>
      <c r="PBH11" s="3461"/>
      <c r="PBI11" s="3461"/>
      <c r="PBJ11" s="3461"/>
      <c r="PBK11" s="3461"/>
      <c r="PBL11" s="3461"/>
      <c r="PBM11" s="3461"/>
      <c r="PBN11" s="3461"/>
      <c r="PBO11" s="3461"/>
      <c r="PBP11" s="3461"/>
      <c r="PBQ11" s="3461"/>
      <c r="PBR11" s="3461"/>
      <c r="PBS11" s="3461"/>
      <c r="PBT11" s="3461"/>
      <c r="PBU11" s="3461"/>
      <c r="PBV11" s="3461"/>
      <c r="PBW11" s="3461"/>
      <c r="PBX11" s="3461"/>
      <c r="PBY11" s="3461"/>
      <c r="PBZ11" s="3461"/>
      <c r="PCA11" s="3461"/>
      <c r="PCB11" s="3461"/>
      <c r="PCC11" s="3461"/>
      <c r="PCD11" s="3461"/>
      <c r="PCE11" s="3461"/>
      <c r="PCF11" s="3461"/>
      <c r="PCG11" s="3461"/>
      <c r="PCH11" s="3461"/>
      <c r="PCI11" s="3461"/>
      <c r="PCJ11" s="3461"/>
      <c r="PCK11" s="3461"/>
      <c r="PCL11" s="3461"/>
      <c r="PCM11" s="3461"/>
      <c r="PCN11" s="3461"/>
      <c r="PCO11" s="3461"/>
      <c r="PCP11" s="3461"/>
      <c r="PCQ11" s="3461"/>
      <c r="PCR11" s="3461"/>
      <c r="PCS11" s="3461"/>
      <c r="PCT11" s="3461"/>
      <c r="PCU11" s="3461"/>
      <c r="PCV11" s="3461"/>
      <c r="PCW11" s="3461"/>
      <c r="PCX11" s="3461"/>
      <c r="PCY11" s="3461"/>
      <c r="PCZ11" s="3461"/>
      <c r="PDA11" s="3461"/>
      <c r="PDB11" s="3461"/>
      <c r="PDC11" s="3461"/>
      <c r="PDD11" s="3461"/>
      <c r="PDE11" s="3461"/>
      <c r="PDF11" s="3461"/>
      <c r="PDG11" s="3461"/>
      <c r="PDH11" s="3461"/>
      <c r="PDI11" s="3461"/>
      <c r="PDJ11" s="3461"/>
      <c r="PDK11" s="3461"/>
      <c r="PDL11" s="3461"/>
      <c r="PDM11" s="3461"/>
      <c r="PDN11" s="3461"/>
      <c r="PDO11" s="3461"/>
      <c r="PDP11" s="3461"/>
      <c r="PDQ11" s="3461"/>
      <c r="PDR11" s="3461"/>
      <c r="PDS11" s="3461"/>
      <c r="PDT11" s="3461"/>
      <c r="PDU11" s="3461"/>
      <c r="PDV11" s="3461"/>
      <c r="PDW11" s="3461"/>
      <c r="PDX11" s="3461"/>
      <c r="PDY11" s="3461"/>
      <c r="PDZ11" s="3461"/>
      <c r="PEA11" s="3461"/>
      <c r="PEB11" s="3461"/>
      <c r="PEC11" s="3461"/>
      <c r="PED11" s="3461"/>
      <c r="PEE11" s="3461"/>
      <c r="PEF11" s="3461"/>
      <c r="PEG11" s="3461"/>
      <c r="PEH11" s="3461"/>
      <c r="PEI11" s="3461"/>
      <c r="PEJ11" s="3461"/>
      <c r="PEK11" s="3461"/>
      <c r="PEL11" s="3461"/>
      <c r="PEM11" s="3461"/>
      <c r="PEN11" s="3461"/>
      <c r="PEO11" s="3461"/>
      <c r="PEP11" s="3461"/>
      <c r="PEQ11" s="3461"/>
      <c r="PER11" s="3461"/>
      <c r="PES11" s="3461"/>
      <c r="PET11" s="3461"/>
      <c r="PEU11" s="3461"/>
      <c r="PEV11" s="3461"/>
      <c r="PEW11" s="3461"/>
      <c r="PEX11" s="3461"/>
      <c r="PEY11" s="3461"/>
      <c r="PEZ11" s="3461"/>
      <c r="PFA11" s="3461"/>
      <c r="PFB11" s="3461"/>
      <c r="PFC11" s="3461"/>
      <c r="PFD11" s="3461"/>
      <c r="PFE11" s="3461"/>
      <c r="PFF11" s="3461"/>
      <c r="PFG11" s="3461"/>
      <c r="PFH11" s="3461"/>
      <c r="PFI11" s="3461"/>
      <c r="PFJ11" s="3461"/>
      <c r="PFK11" s="3461"/>
      <c r="PFL11" s="3461"/>
      <c r="PFM11" s="3461"/>
      <c r="PFN11" s="3461"/>
      <c r="PFO11" s="3461"/>
      <c r="PFP11" s="3461"/>
      <c r="PFQ11" s="3461"/>
      <c r="PFR11" s="3461"/>
      <c r="PFS11" s="3461"/>
      <c r="PFT11" s="3461"/>
      <c r="PFU11" s="3461"/>
      <c r="PFV11" s="3461"/>
      <c r="PFW11" s="3461"/>
      <c r="PFX11" s="3461"/>
      <c r="PFY11" s="3461"/>
      <c r="PFZ11" s="3461"/>
      <c r="PGA11" s="3461"/>
      <c r="PGB11" s="3461"/>
      <c r="PGC11" s="3461"/>
      <c r="PGD11" s="3461"/>
      <c r="PGE11" s="3461"/>
      <c r="PGF11" s="3461"/>
      <c r="PGG11" s="3461"/>
      <c r="PGH11" s="3461"/>
      <c r="PGI11" s="3461"/>
      <c r="PGJ11" s="3461"/>
      <c r="PGK11" s="3461"/>
      <c r="PGL11" s="3461"/>
      <c r="PGM11" s="3461"/>
      <c r="PGN11" s="3461"/>
      <c r="PGO11" s="3461"/>
      <c r="PGP11" s="3461"/>
      <c r="PGQ11" s="3461"/>
      <c r="PGR11" s="3461"/>
      <c r="PGS11" s="3461"/>
      <c r="PGT11" s="3461"/>
      <c r="PGU11" s="3461"/>
      <c r="PGV11" s="3461"/>
      <c r="PGW11" s="3461"/>
      <c r="PGX11" s="3461"/>
      <c r="PGY11" s="3461"/>
      <c r="PGZ11" s="3461"/>
      <c r="PHA11" s="3461"/>
      <c r="PHB11" s="3461"/>
      <c r="PHC11" s="3461"/>
      <c r="PHD11" s="3461"/>
      <c r="PHE11" s="3461"/>
      <c r="PHF11" s="3461"/>
      <c r="PHG11" s="3461"/>
      <c r="PHH11" s="3461"/>
      <c r="PHI11" s="3461"/>
      <c r="PHJ11" s="3461"/>
      <c r="PHK11" s="3461"/>
      <c r="PHL11" s="3461"/>
      <c r="PHM11" s="3461"/>
      <c r="PHN11" s="3461"/>
      <c r="PHO11" s="3461"/>
      <c r="PHP11" s="3461"/>
      <c r="PHQ11" s="3461"/>
      <c r="PHR11" s="3461"/>
      <c r="PHS11" s="3461"/>
      <c r="PHT11" s="3461"/>
      <c r="PHU11" s="3461"/>
      <c r="PHV11" s="3461"/>
      <c r="PHW11" s="3461"/>
      <c r="PHX11" s="3461"/>
      <c r="PHY11" s="3461"/>
      <c r="PHZ11" s="3461"/>
      <c r="PIA11" s="3461"/>
      <c r="PIB11" s="3461"/>
      <c r="PIC11" s="3461"/>
      <c r="PID11" s="3461"/>
      <c r="PIE11" s="3461"/>
      <c r="PIF11" s="3461"/>
      <c r="PIG11" s="3461"/>
      <c r="PIH11" s="3461"/>
      <c r="PII11" s="3461"/>
      <c r="PIJ11" s="3461"/>
      <c r="PIK11" s="3461"/>
      <c r="PIL11" s="3461"/>
      <c r="PIM11" s="3461"/>
      <c r="PIN11" s="3461"/>
      <c r="PIO11" s="3461"/>
      <c r="PIP11" s="3461"/>
      <c r="PIQ11" s="3461"/>
      <c r="PIR11" s="3461"/>
      <c r="PIS11" s="3461"/>
      <c r="PIT11" s="3461"/>
      <c r="PIU11" s="3461"/>
      <c r="PIV11" s="3461"/>
      <c r="PIW11" s="3461"/>
      <c r="PIX11" s="3461"/>
      <c r="PIY11" s="3461"/>
      <c r="PIZ11" s="3461"/>
      <c r="PJA11" s="3461"/>
      <c r="PJB11" s="3461"/>
      <c r="PJC11" s="3461"/>
      <c r="PJD11" s="3461"/>
      <c r="PJE11" s="3461"/>
      <c r="PJF11" s="3461"/>
      <c r="PJG11" s="3461"/>
      <c r="PJH11" s="3461"/>
      <c r="PJI11" s="3461"/>
      <c r="PJJ11" s="3461"/>
      <c r="PJK11" s="3461"/>
      <c r="PJL11" s="3461"/>
      <c r="PJM11" s="3461"/>
      <c r="PJN11" s="3461"/>
      <c r="PJO11" s="3461"/>
      <c r="PJP11" s="3461"/>
      <c r="PJQ11" s="3461"/>
      <c r="PJR11" s="3461"/>
      <c r="PJS11" s="3461"/>
      <c r="PJT11" s="3461"/>
      <c r="PJU11" s="3461"/>
      <c r="PJV11" s="3461"/>
      <c r="PJW11" s="3461"/>
      <c r="PJX11" s="3461"/>
      <c r="PJY11" s="3461"/>
      <c r="PJZ11" s="3461"/>
      <c r="PKA11" s="3461"/>
      <c r="PKB11" s="3461"/>
      <c r="PKC11" s="3461"/>
      <c r="PKD11" s="3461"/>
      <c r="PKE11" s="3461"/>
      <c r="PKF11" s="3461"/>
      <c r="PKG11" s="3461"/>
      <c r="PKH11" s="3461"/>
      <c r="PKI11" s="3461"/>
      <c r="PKJ11" s="3461"/>
      <c r="PKK11" s="3461"/>
      <c r="PKL11" s="3461"/>
      <c r="PKM11" s="3461"/>
      <c r="PKN11" s="3461"/>
      <c r="PKO11" s="3461"/>
      <c r="PKP11" s="3461"/>
      <c r="PKQ11" s="3461"/>
      <c r="PKR11" s="3461"/>
      <c r="PKS11" s="3461"/>
      <c r="PKT11" s="3461"/>
      <c r="PKU11" s="3461"/>
      <c r="PKV11" s="3461"/>
      <c r="PKW11" s="3461"/>
      <c r="PKX11" s="3461"/>
      <c r="PKY11" s="3461"/>
      <c r="PKZ11" s="3461"/>
      <c r="PLA11" s="3461"/>
      <c r="PLB11" s="3461"/>
      <c r="PLC11" s="3461"/>
      <c r="PLD11" s="3461"/>
      <c r="PLE11" s="3461"/>
      <c r="PLF11" s="3461"/>
      <c r="PLG11" s="3461"/>
      <c r="PLH11" s="3461"/>
      <c r="PLI11" s="3461"/>
      <c r="PLJ11" s="3461"/>
      <c r="PLK11" s="3461"/>
      <c r="PLL11" s="3461"/>
      <c r="PLM11" s="3461"/>
      <c r="PLN11" s="3461"/>
      <c r="PLO11" s="3461"/>
      <c r="PLP11" s="3461"/>
      <c r="PLQ11" s="3461"/>
      <c r="PLR11" s="3461"/>
      <c r="PLS11" s="3461"/>
      <c r="PLT11" s="3461"/>
      <c r="PLU11" s="3461"/>
      <c r="PLV11" s="3461"/>
      <c r="PLW11" s="3461"/>
      <c r="PLX11" s="3461"/>
      <c r="PLY11" s="3461"/>
      <c r="PLZ11" s="3461"/>
      <c r="PMA11" s="3461"/>
      <c r="PMB11" s="3461"/>
      <c r="PMC11" s="3461"/>
      <c r="PMD11" s="3461"/>
      <c r="PME11" s="3461"/>
      <c r="PMF11" s="3461"/>
      <c r="PMG11" s="3461"/>
      <c r="PMH11" s="3461"/>
      <c r="PMI11" s="3461"/>
      <c r="PMJ11" s="3461"/>
      <c r="PMK11" s="3461"/>
      <c r="PML11" s="3461"/>
      <c r="PMM11" s="3461"/>
      <c r="PMN11" s="3461"/>
      <c r="PMO11" s="3461"/>
      <c r="PMP11" s="3461"/>
      <c r="PMQ11" s="3461"/>
      <c r="PMR11" s="3461"/>
      <c r="PMS11" s="3461"/>
      <c r="PMT11" s="3461"/>
      <c r="PMU11" s="3461"/>
      <c r="PMV11" s="3461"/>
      <c r="PMW11" s="3461"/>
      <c r="PMX11" s="3461"/>
      <c r="PMY11" s="3461"/>
      <c r="PMZ11" s="3461"/>
      <c r="PNA11" s="3461"/>
      <c r="PNB11" s="3461"/>
      <c r="PNC11" s="3461"/>
      <c r="PND11" s="3461"/>
      <c r="PNE11" s="3461"/>
      <c r="PNF11" s="3461"/>
      <c r="PNG11" s="3461"/>
      <c r="PNH11" s="3461"/>
      <c r="PNI11" s="3461"/>
      <c r="PNJ11" s="3461"/>
      <c r="PNK11" s="3461"/>
      <c r="PNL11" s="3461"/>
      <c r="PNM11" s="3461"/>
      <c r="PNN11" s="3461"/>
      <c r="PNO11" s="3461"/>
      <c r="PNP11" s="3461"/>
      <c r="PNQ11" s="3461"/>
      <c r="PNR11" s="3461"/>
      <c r="PNS11" s="3461"/>
      <c r="PNT11" s="3461"/>
      <c r="PNU11" s="3461"/>
      <c r="PNV11" s="3461"/>
      <c r="PNW11" s="3461"/>
      <c r="PNX11" s="3461"/>
      <c r="PNY11" s="3461"/>
      <c r="PNZ11" s="3461"/>
      <c r="POA11" s="3461"/>
      <c r="POB11" s="3461"/>
      <c r="POC11" s="3461"/>
      <c r="POD11" s="3461"/>
      <c r="POE11" s="3461"/>
      <c r="POF11" s="3461"/>
      <c r="POG11" s="3461"/>
      <c r="POH11" s="3461"/>
      <c r="POI11" s="3461"/>
      <c r="POJ11" s="3461"/>
      <c r="POK11" s="3461"/>
      <c r="POL11" s="3461"/>
      <c r="POM11" s="3461"/>
      <c r="PON11" s="3461"/>
      <c r="POO11" s="3461"/>
      <c r="POP11" s="3461"/>
      <c r="POQ11" s="3461"/>
      <c r="POR11" s="3461"/>
      <c r="POS11" s="3461"/>
      <c r="POT11" s="3461"/>
      <c r="POU11" s="3461"/>
      <c r="POV11" s="3461"/>
      <c r="POW11" s="3461"/>
      <c r="POX11" s="3461"/>
      <c r="POY11" s="3461"/>
      <c r="POZ11" s="3461"/>
      <c r="PPA11" s="3461"/>
      <c r="PPB11" s="3461"/>
      <c r="PPC11" s="3461"/>
      <c r="PPD11" s="3461"/>
      <c r="PPE11" s="3461"/>
      <c r="PPF11" s="3461"/>
      <c r="PPG11" s="3461"/>
      <c r="PPH11" s="3461"/>
      <c r="PPI11" s="3461"/>
      <c r="PPJ11" s="3461"/>
      <c r="PPK11" s="3461"/>
      <c r="PPL11" s="3461"/>
      <c r="PPM11" s="3461"/>
      <c r="PPN11" s="3461"/>
      <c r="PPO11" s="3461"/>
      <c r="PPP11" s="3461"/>
      <c r="PPQ11" s="3461"/>
      <c r="PPR11" s="3461"/>
      <c r="PPS11" s="3461"/>
      <c r="PPT11" s="3461"/>
      <c r="PPU11" s="3461"/>
      <c r="PPV11" s="3461"/>
      <c r="PPW11" s="3461"/>
      <c r="PPX11" s="3461"/>
      <c r="PPY11" s="3461"/>
      <c r="PPZ11" s="3461"/>
      <c r="PQA11" s="3461"/>
      <c r="PQB11" s="3461"/>
      <c r="PQC11" s="3461"/>
      <c r="PQD11" s="3461"/>
      <c r="PQE11" s="3461"/>
      <c r="PQF11" s="3461"/>
      <c r="PQG11" s="3461"/>
      <c r="PQH11" s="3461"/>
      <c r="PQI11" s="3461"/>
      <c r="PQJ11" s="3461"/>
      <c r="PQK11" s="3461"/>
      <c r="PQL11" s="3461"/>
      <c r="PQM11" s="3461"/>
      <c r="PQN11" s="3461"/>
      <c r="PQO11" s="3461"/>
      <c r="PQP11" s="3461"/>
      <c r="PQQ11" s="3461"/>
      <c r="PQR11" s="3461"/>
      <c r="PQS11" s="3461"/>
      <c r="PQT11" s="3461"/>
      <c r="PQU11" s="3461"/>
      <c r="PQV11" s="3461"/>
      <c r="PQW11" s="3461"/>
      <c r="PQX11" s="3461"/>
      <c r="PQY11" s="3461"/>
      <c r="PQZ11" s="3461"/>
      <c r="PRA11" s="3461"/>
      <c r="PRB11" s="3461"/>
      <c r="PRC11" s="3461"/>
      <c r="PRD11" s="3461"/>
      <c r="PRE11" s="3461"/>
      <c r="PRF11" s="3461"/>
      <c r="PRG11" s="3461"/>
      <c r="PRH11" s="3461"/>
      <c r="PRI11" s="3461"/>
      <c r="PRJ11" s="3461"/>
      <c r="PRK11" s="3461"/>
      <c r="PRL11" s="3461"/>
      <c r="PRM11" s="3461"/>
      <c r="PRN11" s="3461"/>
      <c r="PRO11" s="3461"/>
      <c r="PRP11" s="3461"/>
      <c r="PRQ11" s="3461"/>
      <c r="PRR11" s="3461"/>
      <c r="PRS11" s="3461"/>
      <c r="PRT11" s="3461"/>
      <c r="PRU11" s="3461"/>
      <c r="PRV11" s="3461"/>
      <c r="PRW11" s="3461"/>
      <c r="PRX11" s="3461"/>
      <c r="PRY11" s="3461"/>
      <c r="PRZ11" s="3461"/>
      <c r="PSA11" s="3461"/>
      <c r="PSB11" s="3461"/>
      <c r="PSC11" s="3461"/>
      <c r="PSD11" s="3461"/>
      <c r="PSE11" s="3461"/>
      <c r="PSF11" s="3461"/>
      <c r="PSG11" s="3461"/>
      <c r="PSH11" s="3461"/>
      <c r="PSI11" s="3461"/>
      <c r="PSJ11" s="3461"/>
      <c r="PSK11" s="3461"/>
      <c r="PSL11" s="3461"/>
      <c r="PSM11" s="3461"/>
      <c r="PSN11" s="3461"/>
      <c r="PSO11" s="3461"/>
      <c r="PSP11" s="3461"/>
      <c r="PSQ11" s="3461"/>
      <c r="PSR11" s="3461"/>
      <c r="PSS11" s="3461"/>
      <c r="PST11" s="3461"/>
      <c r="PSU11" s="3461"/>
      <c r="PSV11" s="3461"/>
      <c r="PSW11" s="3461"/>
      <c r="PSX11" s="3461"/>
      <c r="PSY11" s="3461"/>
      <c r="PSZ11" s="3461"/>
      <c r="PTA11" s="3461"/>
      <c r="PTB11" s="3461"/>
      <c r="PTC11" s="3461"/>
      <c r="PTD11" s="3461"/>
      <c r="PTE11" s="3461"/>
      <c r="PTF11" s="3461"/>
      <c r="PTG11" s="3461"/>
      <c r="PTH11" s="3461"/>
      <c r="PTI11" s="3461"/>
      <c r="PTJ11" s="3461"/>
      <c r="PTK11" s="3461"/>
      <c r="PTL11" s="3461"/>
      <c r="PTM11" s="3461"/>
      <c r="PTN11" s="3461"/>
      <c r="PTO11" s="3461"/>
      <c r="PTP11" s="3461"/>
      <c r="PTQ11" s="3461"/>
      <c r="PTR11" s="3461"/>
      <c r="PTS11" s="3461"/>
      <c r="PTT11" s="3461"/>
      <c r="PTU11" s="3461"/>
      <c r="PTV11" s="3461"/>
      <c r="PTW11" s="3461"/>
      <c r="PTX11" s="3461"/>
      <c r="PTY11" s="3461"/>
      <c r="PTZ11" s="3461"/>
      <c r="PUA11" s="3461"/>
      <c r="PUB11" s="3461"/>
      <c r="PUC11" s="3461"/>
      <c r="PUD11" s="3461"/>
      <c r="PUE11" s="3461"/>
      <c r="PUF11" s="3461"/>
      <c r="PUG11" s="3461"/>
      <c r="PUH11" s="3461"/>
      <c r="PUI11" s="3461"/>
      <c r="PUJ11" s="3461"/>
      <c r="PUK11" s="3461"/>
      <c r="PUL11" s="3461"/>
      <c r="PUM11" s="3461"/>
      <c r="PUN11" s="3461"/>
      <c r="PUO11" s="3461"/>
      <c r="PUP11" s="3461"/>
      <c r="PUQ11" s="3461"/>
      <c r="PUR11" s="3461"/>
      <c r="PUS11" s="3461"/>
      <c r="PUT11" s="3461"/>
      <c r="PUU11" s="3461"/>
      <c r="PUV11" s="3461"/>
      <c r="PUW11" s="3461"/>
      <c r="PUX11" s="3461"/>
      <c r="PUY11" s="3461"/>
      <c r="PUZ11" s="3461"/>
      <c r="PVA11" s="3461"/>
      <c r="PVB11" s="3461"/>
      <c r="PVC11" s="3461"/>
      <c r="PVD11" s="3461"/>
      <c r="PVE11" s="3461"/>
      <c r="PVF11" s="3461"/>
      <c r="PVG11" s="3461"/>
      <c r="PVH11" s="3461"/>
      <c r="PVI11" s="3461"/>
      <c r="PVJ11" s="3461"/>
      <c r="PVK11" s="3461"/>
      <c r="PVL11" s="3461"/>
      <c r="PVM11" s="3461"/>
      <c r="PVN11" s="3461"/>
      <c r="PVO11" s="3461"/>
      <c r="PVP11" s="3461"/>
      <c r="PVQ11" s="3461"/>
      <c r="PVR11" s="3461"/>
      <c r="PVS11" s="3461"/>
      <c r="PVT11" s="3461"/>
      <c r="PVU11" s="3461"/>
      <c r="PVV11" s="3461"/>
      <c r="PVW11" s="3461"/>
      <c r="PVX11" s="3461"/>
      <c r="PVY11" s="3461"/>
      <c r="PVZ11" s="3461"/>
      <c r="PWA11" s="3461"/>
      <c r="PWB11" s="3461"/>
      <c r="PWC11" s="3461"/>
      <c r="PWD11" s="3461"/>
      <c r="PWE11" s="3461"/>
      <c r="PWF11" s="3461"/>
      <c r="PWG11" s="3461"/>
      <c r="PWH11" s="3461"/>
      <c r="PWI11" s="3461"/>
      <c r="PWJ11" s="3461"/>
      <c r="PWK11" s="3461"/>
      <c r="PWL11" s="3461"/>
      <c r="PWM11" s="3461"/>
      <c r="PWN11" s="3461"/>
      <c r="PWO11" s="3461"/>
      <c r="PWP11" s="3461"/>
      <c r="PWQ11" s="3461"/>
      <c r="PWR11" s="3461"/>
      <c r="PWS11" s="3461"/>
      <c r="PWT11" s="3461"/>
      <c r="PWU11" s="3461"/>
      <c r="PWV11" s="3461"/>
      <c r="PWW11" s="3461"/>
      <c r="PWX11" s="3461"/>
      <c r="PWY11" s="3461"/>
      <c r="PWZ11" s="3461"/>
      <c r="PXA11" s="3461"/>
      <c r="PXB11" s="3461"/>
      <c r="PXC11" s="3461"/>
      <c r="PXD11" s="3461"/>
      <c r="PXE11" s="3461"/>
      <c r="PXF11" s="3461"/>
      <c r="PXG11" s="3461"/>
      <c r="PXH11" s="3461"/>
      <c r="PXI11" s="3461"/>
      <c r="PXJ11" s="3461"/>
      <c r="PXK11" s="3461"/>
      <c r="PXL11" s="3461"/>
      <c r="PXM11" s="3461"/>
      <c r="PXN11" s="3461"/>
      <c r="PXO11" s="3461"/>
      <c r="PXP11" s="3461"/>
      <c r="PXQ11" s="3461"/>
      <c r="PXR11" s="3461"/>
      <c r="PXS11" s="3461"/>
      <c r="PXT11" s="3461"/>
      <c r="PXU11" s="3461"/>
      <c r="PXV11" s="3461"/>
      <c r="PXW11" s="3461"/>
      <c r="PXX11" s="3461"/>
      <c r="PXY11" s="3461"/>
      <c r="PXZ11" s="3461"/>
      <c r="PYA11" s="3461"/>
      <c r="PYB11" s="3461"/>
      <c r="PYC11" s="3461"/>
      <c r="PYD11" s="3461"/>
      <c r="PYE11" s="3461"/>
      <c r="PYF11" s="3461"/>
      <c r="PYG11" s="3461"/>
      <c r="PYH11" s="3461"/>
      <c r="PYI11" s="3461"/>
      <c r="PYJ11" s="3461"/>
      <c r="PYK11" s="3461"/>
      <c r="PYL11" s="3461"/>
      <c r="PYM11" s="3461"/>
      <c r="PYN11" s="3461"/>
      <c r="PYO11" s="3461"/>
      <c r="PYP11" s="3461"/>
      <c r="PYQ11" s="3461"/>
      <c r="PYR11" s="3461"/>
      <c r="PYS11" s="3461"/>
      <c r="PYT11" s="3461"/>
      <c r="PYU11" s="3461"/>
      <c r="PYV11" s="3461"/>
      <c r="PYW11" s="3461"/>
      <c r="PYX11" s="3461"/>
      <c r="PYY11" s="3461"/>
      <c r="PYZ11" s="3461"/>
      <c r="PZA11" s="3461"/>
      <c r="PZB11" s="3461"/>
      <c r="PZC11" s="3461"/>
      <c r="PZD11" s="3461"/>
      <c r="PZE11" s="3461"/>
      <c r="PZF11" s="3461"/>
      <c r="PZG11" s="3461"/>
      <c r="PZH11" s="3461"/>
      <c r="PZI11" s="3461"/>
      <c r="PZJ11" s="3461"/>
      <c r="PZK11" s="3461"/>
      <c r="PZL11" s="3461"/>
      <c r="PZM11" s="3461"/>
      <c r="PZN11" s="3461"/>
      <c r="PZO11" s="3461"/>
      <c r="PZP11" s="3461"/>
      <c r="PZQ11" s="3461"/>
      <c r="PZR11" s="3461"/>
      <c r="PZS11" s="3461"/>
      <c r="PZT11" s="3461"/>
      <c r="PZU11" s="3461"/>
      <c r="PZV11" s="3461"/>
      <c r="PZW11" s="3461"/>
      <c r="PZX11" s="3461"/>
      <c r="PZY11" s="3461"/>
      <c r="PZZ11" s="3461"/>
      <c r="QAA11" s="3461"/>
      <c r="QAB11" s="3461"/>
      <c r="QAC11" s="3461"/>
      <c r="QAD11" s="3461"/>
      <c r="QAE11" s="3461"/>
      <c r="QAF11" s="3461"/>
      <c r="QAG11" s="3461"/>
      <c r="QAH11" s="3461"/>
      <c r="QAI11" s="3461"/>
      <c r="QAJ11" s="3461"/>
      <c r="QAK11" s="3461"/>
      <c r="QAL11" s="3461"/>
      <c r="QAM11" s="3461"/>
      <c r="QAN11" s="3461"/>
      <c r="QAO11" s="3461"/>
      <c r="QAP11" s="3461"/>
      <c r="QAQ11" s="3461"/>
      <c r="QAR11" s="3461"/>
      <c r="QAS11" s="3461"/>
      <c r="QAT11" s="3461"/>
      <c r="QAU11" s="3461"/>
      <c r="QAV11" s="3461"/>
      <c r="QAW11" s="3461"/>
      <c r="QAX11" s="3461"/>
      <c r="QAY11" s="3461"/>
      <c r="QAZ11" s="3461"/>
      <c r="QBA11" s="3461"/>
      <c r="QBB11" s="3461"/>
      <c r="QBC11" s="3461"/>
      <c r="QBD11" s="3461"/>
      <c r="QBE11" s="3461"/>
      <c r="QBF11" s="3461"/>
      <c r="QBG11" s="3461"/>
      <c r="QBH11" s="3461"/>
      <c r="QBI11" s="3461"/>
      <c r="QBJ11" s="3461"/>
      <c r="QBK11" s="3461"/>
      <c r="QBL11" s="3461"/>
      <c r="QBM11" s="3461"/>
      <c r="QBN11" s="3461"/>
      <c r="QBO11" s="3461"/>
      <c r="QBP11" s="3461"/>
      <c r="QBQ11" s="3461"/>
      <c r="QBR11" s="3461"/>
      <c r="QBS11" s="3461"/>
      <c r="QBT11" s="3461"/>
      <c r="QBU11" s="3461"/>
      <c r="QBV11" s="3461"/>
      <c r="QBW11" s="3461"/>
      <c r="QBX11" s="3461"/>
      <c r="QBY11" s="3461"/>
      <c r="QBZ11" s="3461"/>
      <c r="QCA11" s="3461"/>
      <c r="QCB11" s="3461"/>
      <c r="QCC11" s="3461"/>
      <c r="QCD11" s="3461"/>
      <c r="QCE11" s="3461"/>
      <c r="QCF11" s="3461"/>
      <c r="QCG11" s="3461"/>
      <c r="QCH11" s="3461"/>
      <c r="QCI11" s="3461"/>
      <c r="QCJ11" s="3461"/>
      <c r="QCK11" s="3461"/>
      <c r="QCL11" s="3461"/>
      <c r="QCM11" s="3461"/>
      <c r="QCN11" s="3461"/>
      <c r="QCO11" s="3461"/>
      <c r="QCP11" s="3461"/>
      <c r="QCQ11" s="3461"/>
      <c r="QCR11" s="3461"/>
      <c r="QCS11" s="3461"/>
      <c r="QCT11" s="3461"/>
      <c r="QCU11" s="3461"/>
      <c r="QCV11" s="3461"/>
      <c r="QCW11" s="3461"/>
      <c r="QCX11" s="3461"/>
      <c r="QCY11" s="3461"/>
      <c r="QCZ11" s="3461"/>
      <c r="QDA11" s="3461"/>
      <c r="QDB11" s="3461"/>
      <c r="QDC11" s="3461"/>
      <c r="QDD11" s="3461"/>
      <c r="QDE11" s="3461"/>
      <c r="QDF11" s="3461"/>
      <c r="QDG11" s="3461"/>
      <c r="QDH11" s="3461"/>
      <c r="QDI11" s="3461"/>
      <c r="QDJ11" s="3461"/>
      <c r="QDK11" s="3461"/>
      <c r="QDL11" s="3461"/>
      <c r="QDM11" s="3461"/>
      <c r="QDN11" s="3461"/>
      <c r="QDO11" s="3461"/>
      <c r="QDP11" s="3461"/>
      <c r="QDQ11" s="3461"/>
      <c r="QDR11" s="3461"/>
      <c r="QDS11" s="3461"/>
      <c r="QDT11" s="3461"/>
      <c r="QDU11" s="3461"/>
      <c r="QDV11" s="3461"/>
      <c r="QDW11" s="3461"/>
      <c r="QDX11" s="3461"/>
      <c r="QDY11" s="3461"/>
      <c r="QDZ11" s="3461"/>
      <c r="QEA11" s="3461"/>
      <c r="QEB11" s="3461"/>
      <c r="QEC11" s="3461"/>
      <c r="QED11" s="3461"/>
      <c r="QEE11" s="3461"/>
      <c r="QEF11" s="3461"/>
      <c r="QEG11" s="3461"/>
      <c r="QEH11" s="3461"/>
      <c r="QEI11" s="3461"/>
      <c r="QEJ11" s="3461"/>
      <c r="QEK11" s="3461"/>
      <c r="QEL11" s="3461"/>
      <c r="QEM11" s="3461"/>
      <c r="QEN11" s="3461"/>
      <c r="QEO11" s="3461"/>
      <c r="QEP11" s="3461"/>
      <c r="QEQ11" s="3461"/>
      <c r="QER11" s="3461"/>
      <c r="QES11" s="3461"/>
      <c r="QET11" s="3461"/>
      <c r="QEU11" s="3461"/>
      <c r="QEV11" s="3461"/>
      <c r="QEW11" s="3461"/>
      <c r="QEX11" s="3461"/>
      <c r="QEY11" s="3461"/>
      <c r="QEZ11" s="3461"/>
      <c r="QFA11" s="3461"/>
      <c r="QFB11" s="3461"/>
      <c r="QFC11" s="3461"/>
      <c r="QFD11" s="3461"/>
      <c r="QFE11" s="3461"/>
      <c r="QFF11" s="3461"/>
      <c r="QFG11" s="3461"/>
      <c r="QFH11" s="3461"/>
      <c r="QFI11" s="3461"/>
      <c r="QFJ11" s="3461"/>
      <c r="QFK11" s="3461"/>
      <c r="QFL11" s="3461"/>
      <c r="QFM11" s="3461"/>
      <c r="QFN11" s="3461"/>
      <c r="QFO11" s="3461"/>
      <c r="QFP11" s="3461"/>
      <c r="QFQ11" s="3461"/>
      <c r="QFR11" s="3461"/>
      <c r="QFS11" s="3461"/>
      <c r="QFT11" s="3461"/>
      <c r="QFU11" s="3461"/>
      <c r="QFV11" s="3461"/>
      <c r="QFW11" s="3461"/>
      <c r="QFX11" s="3461"/>
      <c r="QFY11" s="3461"/>
      <c r="QFZ11" s="3461"/>
      <c r="QGA11" s="3461"/>
      <c r="QGB11" s="3461"/>
      <c r="QGC11" s="3461"/>
      <c r="QGD11" s="3461"/>
      <c r="QGE11" s="3461"/>
      <c r="QGF11" s="3461"/>
      <c r="QGG11" s="3461"/>
      <c r="QGH11" s="3461"/>
      <c r="QGI11" s="3461"/>
      <c r="QGJ11" s="3461"/>
      <c r="QGK11" s="3461"/>
      <c r="QGL11" s="3461"/>
      <c r="QGM11" s="3461"/>
      <c r="QGN11" s="3461"/>
      <c r="QGO11" s="3461"/>
      <c r="QGP11" s="3461"/>
      <c r="QGQ11" s="3461"/>
      <c r="QGR11" s="3461"/>
      <c r="QGS11" s="3461"/>
      <c r="QGT11" s="3461"/>
      <c r="QGU11" s="3461"/>
      <c r="QGV11" s="3461"/>
      <c r="QGW11" s="3461"/>
      <c r="QGX11" s="3461"/>
      <c r="QGY11" s="3461"/>
      <c r="QGZ11" s="3461"/>
      <c r="QHA11" s="3461"/>
      <c r="QHB11" s="3461"/>
      <c r="QHC11" s="3461"/>
      <c r="QHD11" s="3461"/>
      <c r="QHE11" s="3461"/>
      <c r="QHF11" s="3461"/>
      <c r="QHG11" s="3461"/>
      <c r="QHH11" s="3461"/>
      <c r="QHI11" s="3461"/>
      <c r="QHJ11" s="3461"/>
      <c r="QHK11" s="3461"/>
      <c r="QHL11" s="3461"/>
      <c r="QHM11" s="3461"/>
      <c r="QHN11" s="3461"/>
      <c r="QHO11" s="3461"/>
      <c r="QHP11" s="3461"/>
      <c r="QHQ11" s="3461"/>
      <c r="QHR11" s="3461"/>
      <c r="QHS11" s="3461"/>
      <c r="QHT11" s="3461"/>
      <c r="QHU11" s="3461"/>
      <c r="QHV11" s="3461"/>
      <c r="QHW11" s="3461"/>
      <c r="QHX11" s="3461"/>
      <c r="QHY11" s="3461"/>
      <c r="QHZ11" s="3461"/>
      <c r="QIA11" s="3461"/>
      <c r="QIB11" s="3461"/>
      <c r="QIC11" s="3461"/>
      <c r="QID11" s="3461"/>
      <c r="QIE11" s="3461"/>
      <c r="QIF11" s="3461"/>
      <c r="QIG11" s="3461"/>
      <c r="QIH11" s="3461"/>
      <c r="QII11" s="3461"/>
      <c r="QIJ11" s="3461"/>
      <c r="QIK11" s="3461"/>
      <c r="QIL11" s="3461"/>
      <c r="QIM11" s="3461"/>
      <c r="QIN11" s="3461"/>
      <c r="QIO11" s="3461"/>
      <c r="QIP11" s="3461"/>
      <c r="QIQ11" s="3461"/>
      <c r="QIR11" s="3461"/>
      <c r="QIS11" s="3461"/>
      <c r="QIT11" s="3461"/>
      <c r="QIU11" s="3461"/>
      <c r="QIV11" s="3461"/>
      <c r="QIW11" s="3461"/>
      <c r="QIX11" s="3461"/>
      <c r="QIY11" s="3461"/>
      <c r="QIZ11" s="3461"/>
      <c r="QJA11" s="3461"/>
      <c r="QJB11" s="3461"/>
      <c r="QJC11" s="3461"/>
      <c r="QJD11" s="3461"/>
      <c r="QJE11" s="3461"/>
      <c r="QJF11" s="3461"/>
      <c r="QJG11" s="3461"/>
      <c r="QJH11" s="3461"/>
      <c r="QJI11" s="3461"/>
      <c r="QJJ11" s="3461"/>
      <c r="QJK11" s="3461"/>
      <c r="QJL11" s="3461"/>
      <c r="QJM11" s="3461"/>
      <c r="QJN11" s="3461"/>
      <c r="QJO11" s="3461"/>
      <c r="QJP11" s="3461"/>
      <c r="QJQ11" s="3461"/>
      <c r="QJR11" s="3461"/>
      <c r="QJS11" s="3461"/>
      <c r="QJT11" s="3461"/>
      <c r="QJU11" s="3461"/>
      <c r="QJV11" s="3461"/>
      <c r="QJW11" s="3461"/>
      <c r="QJX11" s="3461"/>
      <c r="QJY11" s="3461"/>
      <c r="QJZ11" s="3461"/>
      <c r="QKA11" s="3461"/>
      <c r="QKB11" s="3461"/>
      <c r="QKC11" s="3461"/>
      <c r="QKD11" s="3461"/>
      <c r="QKE11" s="3461"/>
      <c r="QKF11" s="3461"/>
      <c r="QKG11" s="3461"/>
      <c r="QKH11" s="3461"/>
      <c r="QKI11" s="3461"/>
      <c r="QKJ11" s="3461"/>
      <c r="QKK11" s="3461"/>
      <c r="QKL11" s="3461"/>
      <c r="QKM11" s="3461"/>
      <c r="QKN11" s="3461"/>
      <c r="QKO11" s="3461"/>
      <c r="QKP11" s="3461"/>
      <c r="QKQ11" s="3461"/>
      <c r="QKR11" s="3461"/>
      <c r="QKS11" s="3461"/>
      <c r="QKT11" s="3461"/>
      <c r="QKU11" s="3461"/>
      <c r="QKV11" s="3461"/>
      <c r="QKW11" s="3461"/>
      <c r="QKX11" s="3461"/>
      <c r="QKY11" s="3461"/>
      <c r="QKZ11" s="3461"/>
      <c r="QLA11" s="3461"/>
      <c r="QLB11" s="3461"/>
      <c r="QLC11" s="3461"/>
      <c r="QLD11" s="3461"/>
      <c r="QLE11" s="3461"/>
      <c r="QLF11" s="3461"/>
      <c r="QLG11" s="3461"/>
      <c r="QLH11" s="3461"/>
      <c r="QLI11" s="3461"/>
      <c r="QLJ11" s="3461"/>
      <c r="QLK11" s="3461"/>
      <c r="QLL11" s="3461"/>
      <c r="QLM11" s="3461"/>
      <c r="QLN11" s="3461"/>
      <c r="QLO11" s="3461"/>
      <c r="QLP11" s="3461"/>
      <c r="QLQ11" s="3461"/>
      <c r="QLR11" s="3461"/>
      <c r="QLS11" s="3461"/>
      <c r="QLT11" s="3461"/>
      <c r="QLU11" s="3461"/>
      <c r="QLV11" s="3461"/>
      <c r="QLW11" s="3461"/>
      <c r="QLX11" s="3461"/>
      <c r="QLY11" s="3461"/>
      <c r="QLZ11" s="3461"/>
      <c r="QMA11" s="3461"/>
      <c r="QMB11" s="3461"/>
      <c r="QMC11" s="3461"/>
      <c r="QMD11" s="3461"/>
      <c r="QME11" s="3461"/>
      <c r="QMF11" s="3461"/>
      <c r="QMG11" s="3461"/>
      <c r="QMH11" s="3461"/>
      <c r="QMI11" s="3461"/>
      <c r="QMJ11" s="3461"/>
      <c r="QMK11" s="3461"/>
      <c r="QML11" s="3461"/>
      <c r="QMM11" s="3461"/>
      <c r="QMN11" s="3461"/>
      <c r="QMO11" s="3461"/>
      <c r="QMP11" s="3461"/>
      <c r="QMQ11" s="3461"/>
      <c r="QMR11" s="3461"/>
      <c r="QMS11" s="3461"/>
      <c r="QMT11" s="3461"/>
      <c r="QMU11" s="3461"/>
      <c r="QMV11" s="3461"/>
      <c r="QMW11" s="3461"/>
      <c r="QMX11" s="3461"/>
      <c r="QMY11" s="3461"/>
      <c r="QMZ11" s="3461"/>
      <c r="QNA11" s="3461"/>
      <c r="QNB11" s="3461"/>
      <c r="QNC11" s="3461"/>
      <c r="QND11" s="3461"/>
      <c r="QNE11" s="3461"/>
      <c r="QNF11" s="3461"/>
      <c r="QNG11" s="3461"/>
      <c r="QNH11" s="3461"/>
      <c r="QNI11" s="3461"/>
      <c r="QNJ11" s="3461"/>
      <c r="QNK11" s="3461"/>
      <c r="QNL11" s="3461"/>
      <c r="QNM11" s="3461"/>
      <c r="QNN11" s="3461"/>
      <c r="QNO11" s="3461"/>
      <c r="QNP11" s="3461"/>
      <c r="QNQ11" s="3461"/>
      <c r="QNR11" s="3461"/>
      <c r="QNS11" s="3461"/>
      <c r="QNT11" s="3461"/>
      <c r="QNU11" s="3461"/>
      <c r="QNV11" s="3461"/>
      <c r="QNW11" s="3461"/>
      <c r="QNX11" s="3461"/>
      <c r="QNY11" s="3461"/>
      <c r="QNZ11" s="3461"/>
      <c r="QOA11" s="3461"/>
      <c r="QOB11" s="3461"/>
      <c r="QOC11" s="3461"/>
      <c r="QOD11" s="3461"/>
      <c r="QOE11" s="3461"/>
      <c r="QOF11" s="3461"/>
      <c r="QOG11" s="3461"/>
      <c r="QOH11" s="3461"/>
      <c r="QOI11" s="3461"/>
      <c r="QOJ11" s="3461"/>
      <c r="QOK11" s="3461"/>
      <c r="QOL11" s="3461"/>
      <c r="QOM11" s="3461"/>
      <c r="QON11" s="3461"/>
      <c r="QOO11" s="3461"/>
      <c r="QOP11" s="3461"/>
      <c r="QOQ11" s="3461"/>
      <c r="QOR11" s="3461"/>
      <c r="QOS11" s="3461"/>
      <c r="QOT11" s="3461"/>
      <c r="QOU11" s="3461"/>
      <c r="QOV11" s="3461"/>
      <c r="QOW11" s="3461"/>
      <c r="QOX11" s="3461"/>
      <c r="QOY11" s="3461"/>
      <c r="QOZ11" s="3461"/>
      <c r="QPA11" s="3461"/>
      <c r="QPB11" s="3461"/>
      <c r="QPC11" s="3461"/>
      <c r="QPD11" s="3461"/>
      <c r="QPE11" s="3461"/>
      <c r="QPF11" s="3461"/>
      <c r="QPG11" s="3461"/>
      <c r="QPH11" s="3461"/>
      <c r="QPI11" s="3461"/>
      <c r="QPJ11" s="3461"/>
      <c r="QPK11" s="3461"/>
      <c r="QPL11" s="3461"/>
      <c r="QPM11" s="3461"/>
      <c r="QPN11" s="3461"/>
      <c r="QPO11" s="3461"/>
      <c r="QPP11" s="3461"/>
      <c r="QPQ11" s="3461"/>
      <c r="QPR11" s="3461"/>
      <c r="QPS11" s="3461"/>
      <c r="QPT11" s="3461"/>
      <c r="QPU11" s="3461"/>
      <c r="QPV11" s="3461"/>
      <c r="QPW11" s="3461"/>
      <c r="QPX11" s="3461"/>
      <c r="QPY11" s="3461"/>
      <c r="QPZ11" s="3461"/>
      <c r="QQA11" s="3461"/>
      <c r="QQB11" s="3461"/>
      <c r="QQC11" s="3461"/>
      <c r="QQD11" s="3461"/>
      <c r="QQE11" s="3461"/>
      <c r="QQF11" s="3461"/>
      <c r="QQG11" s="3461"/>
      <c r="QQH11" s="3461"/>
      <c r="QQI11" s="3461"/>
      <c r="QQJ11" s="3461"/>
      <c r="QQK11" s="3461"/>
      <c r="QQL11" s="3461"/>
      <c r="QQM11" s="3461"/>
      <c r="QQN11" s="3461"/>
      <c r="QQO11" s="3461"/>
      <c r="QQP11" s="3461"/>
      <c r="QQQ11" s="3461"/>
      <c r="QQR11" s="3461"/>
      <c r="QQS11" s="3461"/>
      <c r="QQT11" s="3461"/>
      <c r="QQU11" s="3461"/>
      <c r="QQV11" s="3461"/>
      <c r="QQW11" s="3461"/>
      <c r="QQX11" s="3461"/>
      <c r="QQY11" s="3461"/>
      <c r="QQZ11" s="3461"/>
      <c r="QRA11" s="3461"/>
      <c r="QRB11" s="3461"/>
      <c r="QRC11" s="3461"/>
      <c r="QRD11" s="3461"/>
      <c r="QRE11" s="3461"/>
      <c r="QRF11" s="3461"/>
      <c r="QRG11" s="3461"/>
      <c r="QRH11" s="3461"/>
      <c r="QRI11" s="3461"/>
      <c r="QRJ11" s="3461"/>
      <c r="QRK11" s="3461"/>
      <c r="QRL11" s="3461"/>
      <c r="QRM11" s="3461"/>
      <c r="QRN11" s="3461"/>
      <c r="QRO11" s="3461"/>
      <c r="QRP11" s="3461"/>
      <c r="QRQ11" s="3461"/>
      <c r="QRR11" s="3461"/>
      <c r="QRS11" s="3461"/>
      <c r="QRT11" s="3461"/>
      <c r="QRU11" s="3461"/>
      <c r="QRV11" s="3461"/>
      <c r="QRW11" s="3461"/>
      <c r="QRX11" s="3461"/>
      <c r="QRY11" s="3461"/>
      <c r="QRZ11" s="3461"/>
      <c r="QSA11" s="3461"/>
      <c r="QSB11" s="3461"/>
      <c r="QSC11" s="3461"/>
      <c r="QSD11" s="3461"/>
      <c r="QSE11" s="3461"/>
      <c r="QSF11" s="3461"/>
      <c r="QSG11" s="3461"/>
      <c r="QSH11" s="3461"/>
      <c r="QSI11" s="3461"/>
      <c r="QSJ11" s="3461"/>
      <c r="QSK11" s="3461"/>
      <c r="QSL11" s="3461"/>
      <c r="QSM11" s="3461"/>
      <c r="QSN11" s="3461"/>
      <c r="QSO11" s="3461"/>
      <c r="QSP11" s="3461"/>
      <c r="QSQ11" s="3461"/>
      <c r="QSR11" s="3461"/>
      <c r="QSS11" s="3461"/>
      <c r="QST11" s="3461"/>
      <c r="QSU11" s="3461"/>
      <c r="QSV11" s="3461"/>
      <c r="QSW11" s="3461"/>
      <c r="QSX11" s="3461"/>
      <c r="QSY11" s="3461"/>
      <c r="QSZ11" s="3461"/>
      <c r="QTA11" s="3461"/>
      <c r="QTB11" s="3461"/>
      <c r="QTC11" s="3461"/>
      <c r="QTD11" s="3461"/>
      <c r="QTE11" s="3461"/>
      <c r="QTF11" s="3461"/>
      <c r="QTG11" s="3461"/>
      <c r="QTH11" s="3461"/>
      <c r="QTI11" s="3461"/>
      <c r="QTJ11" s="3461"/>
      <c r="QTK11" s="3461"/>
      <c r="QTL11" s="3461"/>
      <c r="QTM11" s="3461"/>
      <c r="QTN11" s="3461"/>
      <c r="QTO11" s="3461"/>
      <c r="QTP11" s="3461"/>
      <c r="QTQ11" s="3461"/>
      <c r="QTR11" s="3461"/>
      <c r="QTS11" s="3461"/>
      <c r="QTT11" s="3461"/>
      <c r="QTU11" s="3461"/>
      <c r="QTV11" s="3461"/>
      <c r="QTW11" s="3461"/>
      <c r="QTX11" s="3461"/>
      <c r="QTY11" s="3461"/>
      <c r="QTZ11" s="3461"/>
      <c r="QUA11" s="3461"/>
      <c r="QUB11" s="3461"/>
      <c r="QUC11" s="3461"/>
      <c r="QUD11" s="3461"/>
      <c r="QUE11" s="3461"/>
      <c r="QUF11" s="3461"/>
      <c r="QUG11" s="3461"/>
      <c r="QUH11" s="3461"/>
      <c r="QUI11" s="3461"/>
      <c r="QUJ11" s="3461"/>
      <c r="QUK11" s="3461"/>
      <c r="QUL11" s="3461"/>
      <c r="QUM11" s="3461"/>
      <c r="QUN11" s="3461"/>
      <c r="QUO11" s="3461"/>
      <c r="QUP11" s="3461"/>
      <c r="QUQ11" s="3461"/>
      <c r="QUR11" s="3461"/>
      <c r="QUS11" s="3461"/>
      <c r="QUT11" s="3461"/>
      <c r="QUU11" s="3461"/>
      <c r="QUV11" s="3461"/>
      <c r="QUW11" s="3461"/>
      <c r="QUX11" s="3461"/>
      <c r="QUY11" s="3461"/>
      <c r="QUZ11" s="3461"/>
      <c r="QVA11" s="3461"/>
      <c r="QVB11" s="3461"/>
      <c r="QVC11" s="3461"/>
      <c r="QVD11" s="3461"/>
      <c r="QVE11" s="3461"/>
      <c r="QVF11" s="3461"/>
      <c r="QVG11" s="3461"/>
      <c r="QVH11" s="3461"/>
      <c r="QVI11" s="3461"/>
      <c r="QVJ11" s="3461"/>
      <c r="QVK11" s="3461"/>
      <c r="QVL11" s="3461"/>
      <c r="QVM11" s="3461"/>
      <c r="QVN11" s="3461"/>
      <c r="QVO11" s="3461"/>
      <c r="QVP11" s="3461"/>
      <c r="QVQ11" s="3461"/>
      <c r="QVR11" s="3461"/>
      <c r="QVS11" s="3461"/>
      <c r="QVT11" s="3461"/>
      <c r="QVU11" s="3461"/>
      <c r="QVV11" s="3461"/>
      <c r="QVW11" s="3461"/>
      <c r="QVX11" s="3461"/>
      <c r="QVY11" s="3461"/>
      <c r="QVZ11" s="3461"/>
      <c r="QWA11" s="3461"/>
      <c r="QWB11" s="3461"/>
      <c r="QWC11" s="3461"/>
      <c r="QWD11" s="3461"/>
      <c r="QWE11" s="3461"/>
      <c r="QWF11" s="3461"/>
      <c r="QWG11" s="3461"/>
      <c r="QWH11" s="3461"/>
      <c r="QWI11" s="3461"/>
      <c r="QWJ11" s="3461"/>
      <c r="QWK11" s="3461"/>
      <c r="QWL11" s="3461"/>
      <c r="QWM11" s="3461"/>
      <c r="QWN11" s="3461"/>
      <c r="QWO11" s="3461"/>
      <c r="QWP11" s="3461"/>
      <c r="QWQ11" s="3461"/>
      <c r="QWR11" s="3461"/>
      <c r="QWS11" s="3461"/>
      <c r="QWT11" s="3461"/>
      <c r="QWU11" s="3461"/>
      <c r="QWV11" s="3461"/>
      <c r="QWW11" s="3461"/>
      <c r="QWX11" s="3461"/>
      <c r="QWY11" s="3461"/>
      <c r="QWZ11" s="3461"/>
      <c r="QXA11" s="3461"/>
      <c r="QXB11" s="3461"/>
      <c r="QXC11" s="3461"/>
      <c r="QXD11" s="3461"/>
      <c r="QXE11" s="3461"/>
      <c r="QXF11" s="3461"/>
      <c r="QXG11" s="3461"/>
      <c r="QXH11" s="3461"/>
      <c r="QXI11" s="3461"/>
      <c r="QXJ11" s="3461"/>
      <c r="QXK11" s="3461"/>
      <c r="QXL11" s="3461"/>
      <c r="QXM11" s="3461"/>
      <c r="QXN11" s="3461"/>
      <c r="QXO11" s="3461"/>
      <c r="QXP11" s="3461"/>
      <c r="QXQ11" s="3461"/>
      <c r="QXR11" s="3461"/>
      <c r="QXS11" s="3461"/>
      <c r="QXT11" s="3461"/>
      <c r="QXU11" s="3461"/>
      <c r="QXV11" s="3461"/>
      <c r="QXW11" s="3461"/>
      <c r="QXX11" s="3461"/>
      <c r="QXY11" s="3461"/>
      <c r="QXZ11" s="3461"/>
      <c r="QYA11" s="3461"/>
      <c r="QYB11" s="3461"/>
      <c r="QYC11" s="3461"/>
      <c r="QYD11" s="3461"/>
      <c r="QYE11" s="3461"/>
      <c r="QYF11" s="3461"/>
      <c r="QYG11" s="3461"/>
      <c r="QYH11" s="3461"/>
      <c r="QYI11" s="3461"/>
      <c r="QYJ11" s="3461"/>
      <c r="QYK11" s="3461"/>
      <c r="QYL11" s="3461"/>
      <c r="QYM11" s="3461"/>
      <c r="QYN11" s="3461"/>
      <c r="QYO11" s="3461"/>
      <c r="QYP11" s="3461"/>
      <c r="QYQ11" s="3461"/>
      <c r="QYR11" s="3461"/>
      <c r="QYS11" s="3461"/>
      <c r="QYT11" s="3461"/>
      <c r="QYU11" s="3461"/>
      <c r="QYV11" s="3461"/>
      <c r="QYW11" s="3461"/>
      <c r="QYX11" s="3461"/>
      <c r="QYY11" s="3461"/>
      <c r="QYZ11" s="3461"/>
      <c r="QZA11" s="3461"/>
      <c r="QZB11" s="3461"/>
      <c r="QZC11" s="3461"/>
      <c r="QZD11" s="3461"/>
      <c r="QZE11" s="3461"/>
      <c r="QZF11" s="3461"/>
      <c r="QZG11" s="3461"/>
      <c r="QZH11" s="3461"/>
      <c r="QZI11" s="3461"/>
      <c r="QZJ11" s="3461"/>
      <c r="QZK11" s="3461"/>
      <c r="QZL11" s="3461"/>
      <c r="QZM11" s="3461"/>
      <c r="QZN11" s="3461"/>
      <c r="QZO11" s="3461"/>
      <c r="QZP11" s="3461"/>
      <c r="QZQ11" s="3461"/>
      <c r="QZR11" s="3461"/>
      <c r="QZS11" s="3461"/>
      <c r="QZT11" s="3461"/>
      <c r="QZU11" s="3461"/>
      <c r="QZV11" s="3461"/>
      <c r="QZW11" s="3461"/>
      <c r="QZX11" s="3461"/>
      <c r="QZY11" s="3461"/>
      <c r="QZZ11" s="3461"/>
      <c r="RAA11" s="3461"/>
      <c r="RAB11" s="3461"/>
      <c r="RAC11" s="3461"/>
      <c r="RAD11" s="3461"/>
      <c r="RAE11" s="3461"/>
      <c r="RAF11" s="3461"/>
      <c r="RAG11" s="3461"/>
      <c r="RAH11" s="3461"/>
      <c r="RAI11" s="3461"/>
      <c r="RAJ11" s="3461"/>
      <c r="RAK11" s="3461"/>
      <c r="RAL11" s="3461"/>
      <c r="RAM11" s="3461"/>
      <c r="RAN11" s="3461"/>
      <c r="RAO11" s="3461"/>
      <c r="RAP11" s="3461"/>
      <c r="RAQ11" s="3461"/>
      <c r="RAR11" s="3461"/>
      <c r="RAS11" s="3461"/>
      <c r="RAT11" s="3461"/>
      <c r="RAU11" s="3461"/>
      <c r="RAV11" s="3461"/>
      <c r="RAW11" s="3461"/>
      <c r="RAX11" s="3461"/>
      <c r="RAY11" s="3461"/>
      <c r="RAZ11" s="3461"/>
      <c r="RBA11" s="3461"/>
      <c r="RBB11" s="3461"/>
      <c r="RBC11" s="3461"/>
      <c r="RBD11" s="3461"/>
      <c r="RBE11" s="3461"/>
      <c r="RBF11" s="3461"/>
      <c r="RBG11" s="3461"/>
      <c r="RBH11" s="3461"/>
      <c r="RBI11" s="3461"/>
      <c r="RBJ11" s="3461"/>
      <c r="RBK11" s="3461"/>
      <c r="RBL11" s="3461"/>
      <c r="RBM11" s="3461"/>
      <c r="RBN11" s="3461"/>
      <c r="RBO11" s="3461"/>
      <c r="RBP11" s="3461"/>
      <c r="RBQ11" s="3461"/>
      <c r="RBR11" s="3461"/>
      <c r="RBS11" s="3461"/>
      <c r="RBT11" s="3461"/>
      <c r="RBU11" s="3461"/>
      <c r="RBV11" s="3461"/>
      <c r="RBW11" s="3461"/>
      <c r="RBX11" s="3461"/>
      <c r="RBY11" s="3461"/>
      <c r="RBZ11" s="3461"/>
      <c r="RCA11" s="3461"/>
      <c r="RCB11" s="3461"/>
      <c r="RCC11" s="3461"/>
      <c r="RCD11" s="3461"/>
      <c r="RCE11" s="3461"/>
      <c r="RCF11" s="3461"/>
      <c r="RCG11" s="3461"/>
      <c r="RCH11" s="3461"/>
      <c r="RCI11" s="3461"/>
      <c r="RCJ11" s="3461"/>
      <c r="RCK11" s="3461"/>
      <c r="RCL11" s="3461"/>
      <c r="RCM11" s="3461"/>
      <c r="RCN11" s="3461"/>
      <c r="RCO11" s="3461"/>
      <c r="RCP11" s="3461"/>
      <c r="RCQ11" s="3461"/>
      <c r="RCR11" s="3461"/>
      <c r="RCS11" s="3461"/>
      <c r="RCT11" s="3461"/>
      <c r="RCU11" s="3461"/>
      <c r="RCV11" s="3461"/>
      <c r="RCW11" s="3461"/>
      <c r="RCX11" s="3461"/>
      <c r="RCY11" s="3461"/>
      <c r="RCZ11" s="3461"/>
      <c r="RDA11" s="3461"/>
      <c r="RDB11" s="3461"/>
      <c r="RDC11" s="3461"/>
      <c r="RDD11" s="3461"/>
      <c r="RDE11" s="3461"/>
      <c r="RDF11" s="3461"/>
      <c r="RDG11" s="3461"/>
      <c r="RDH11" s="3461"/>
      <c r="RDI11" s="3461"/>
      <c r="RDJ11" s="3461"/>
      <c r="RDK11" s="3461"/>
      <c r="RDL11" s="3461"/>
      <c r="RDM11" s="3461"/>
      <c r="RDN11" s="3461"/>
      <c r="RDO11" s="3461"/>
      <c r="RDP11" s="3461"/>
      <c r="RDQ11" s="3461"/>
      <c r="RDR11" s="3461"/>
      <c r="RDS11" s="3461"/>
      <c r="RDT11" s="3461"/>
      <c r="RDU11" s="3461"/>
      <c r="RDV11" s="3461"/>
      <c r="RDW11" s="3461"/>
      <c r="RDX11" s="3461"/>
      <c r="RDY11" s="3461"/>
      <c r="RDZ11" s="3461"/>
      <c r="REA11" s="3461"/>
      <c r="REB11" s="3461"/>
      <c r="REC11" s="3461"/>
      <c r="RED11" s="3461"/>
      <c r="REE11" s="3461"/>
      <c r="REF11" s="3461"/>
      <c r="REG11" s="3461"/>
      <c r="REH11" s="3461"/>
      <c r="REI11" s="3461"/>
      <c r="REJ11" s="3461"/>
      <c r="REK11" s="3461"/>
      <c r="REL11" s="3461"/>
      <c r="REM11" s="3461"/>
      <c r="REN11" s="3461"/>
      <c r="REO11" s="3461"/>
      <c r="REP11" s="3461"/>
      <c r="REQ11" s="3461"/>
      <c r="RER11" s="3461"/>
      <c r="RES11" s="3461"/>
      <c r="RET11" s="3461"/>
      <c r="REU11" s="3461"/>
      <c r="REV11" s="3461"/>
      <c r="REW11" s="3461"/>
      <c r="REX11" s="3461"/>
      <c r="REY11" s="3461"/>
      <c r="REZ11" s="3461"/>
      <c r="RFA11" s="3461"/>
      <c r="RFB11" s="3461"/>
      <c r="RFC11" s="3461"/>
      <c r="RFD11" s="3461"/>
      <c r="RFE11" s="3461"/>
      <c r="RFF11" s="3461"/>
      <c r="RFG11" s="3461"/>
      <c r="RFH11" s="3461"/>
      <c r="RFI11" s="3461"/>
      <c r="RFJ11" s="3461"/>
      <c r="RFK11" s="3461"/>
      <c r="RFL11" s="3461"/>
      <c r="RFM11" s="3461"/>
      <c r="RFN11" s="3461"/>
      <c r="RFO11" s="3461"/>
      <c r="RFP11" s="3461"/>
      <c r="RFQ11" s="3461"/>
      <c r="RFR11" s="3461"/>
      <c r="RFS11" s="3461"/>
      <c r="RFT11" s="3461"/>
      <c r="RFU11" s="3461"/>
      <c r="RFV11" s="3461"/>
      <c r="RFW11" s="3461"/>
      <c r="RFX11" s="3461"/>
      <c r="RFY11" s="3461"/>
      <c r="RFZ11" s="3461"/>
      <c r="RGA11" s="3461"/>
      <c r="RGB11" s="3461"/>
      <c r="RGC11" s="3461"/>
      <c r="RGD11" s="3461"/>
      <c r="RGE11" s="3461"/>
      <c r="RGF11" s="3461"/>
      <c r="RGG11" s="3461"/>
      <c r="RGH11" s="3461"/>
      <c r="RGI11" s="3461"/>
      <c r="RGJ11" s="3461"/>
      <c r="RGK11" s="3461"/>
      <c r="RGL11" s="3461"/>
      <c r="RGM11" s="3461"/>
      <c r="RGN11" s="3461"/>
      <c r="RGO11" s="3461"/>
      <c r="RGP11" s="3461"/>
      <c r="RGQ11" s="3461"/>
      <c r="RGR11" s="3461"/>
      <c r="RGS11" s="3461"/>
      <c r="RGT11" s="3461"/>
      <c r="RGU11" s="3461"/>
      <c r="RGV11" s="3461"/>
      <c r="RGW11" s="3461"/>
      <c r="RGX11" s="3461"/>
      <c r="RGY11" s="3461"/>
      <c r="RGZ11" s="3461"/>
      <c r="RHA11" s="3461"/>
      <c r="RHB11" s="3461"/>
      <c r="RHC11" s="3461"/>
      <c r="RHD11" s="3461"/>
      <c r="RHE11" s="3461"/>
      <c r="RHF11" s="3461"/>
      <c r="RHG11" s="3461"/>
      <c r="RHH11" s="3461"/>
      <c r="RHI11" s="3461"/>
      <c r="RHJ11" s="3461"/>
      <c r="RHK11" s="3461"/>
      <c r="RHL11" s="3461"/>
      <c r="RHM11" s="3461"/>
      <c r="RHN11" s="3461"/>
      <c r="RHO11" s="3461"/>
      <c r="RHP11" s="3461"/>
      <c r="RHQ11" s="3461"/>
      <c r="RHR11" s="3461"/>
      <c r="RHS11" s="3461"/>
      <c r="RHT11" s="3461"/>
      <c r="RHU11" s="3461"/>
      <c r="RHV11" s="3461"/>
      <c r="RHW11" s="3461"/>
      <c r="RHX11" s="3461"/>
      <c r="RHY11" s="3461"/>
      <c r="RHZ11" s="3461"/>
      <c r="RIA11" s="3461"/>
      <c r="RIB11" s="3461"/>
      <c r="RIC11" s="3461"/>
      <c r="RID11" s="3461"/>
      <c r="RIE11" s="3461"/>
      <c r="RIF11" s="3461"/>
      <c r="RIG11" s="3461"/>
      <c r="RIH11" s="3461"/>
      <c r="RII11" s="3461"/>
      <c r="RIJ11" s="3461"/>
      <c r="RIK11" s="3461"/>
      <c r="RIL11" s="3461"/>
      <c r="RIM11" s="3461"/>
      <c r="RIN11" s="3461"/>
      <c r="RIO11" s="3461"/>
      <c r="RIP11" s="3461"/>
      <c r="RIQ11" s="3461"/>
      <c r="RIR11" s="3461"/>
      <c r="RIS11" s="3461"/>
      <c r="RIT11" s="3461"/>
      <c r="RIU11" s="3461"/>
      <c r="RIV11" s="3461"/>
      <c r="RIW11" s="3461"/>
      <c r="RIX11" s="3461"/>
      <c r="RIY11" s="3461"/>
      <c r="RIZ11" s="3461"/>
      <c r="RJA11" s="3461"/>
      <c r="RJB11" s="3461"/>
      <c r="RJC11" s="3461"/>
      <c r="RJD11" s="3461"/>
      <c r="RJE11" s="3461"/>
      <c r="RJF11" s="3461"/>
      <c r="RJG11" s="3461"/>
      <c r="RJH11" s="3461"/>
      <c r="RJI11" s="3461"/>
      <c r="RJJ11" s="3461"/>
      <c r="RJK11" s="3461"/>
      <c r="RJL11" s="3461"/>
      <c r="RJM11" s="3461"/>
      <c r="RJN11" s="3461"/>
      <c r="RJO11" s="3461"/>
      <c r="RJP11" s="3461"/>
      <c r="RJQ11" s="3461"/>
      <c r="RJR11" s="3461"/>
      <c r="RJS11" s="3461"/>
      <c r="RJT11" s="3461"/>
      <c r="RJU11" s="3461"/>
      <c r="RJV11" s="3461"/>
      <c r="RJW11" s="3461"/>
      <c r="RJX11" s="3461"/>
      <c r="RJY11" s="3461"/>
      <c r="RJZ11" s="3461"/>
      <c r="RKA11" s="3461"/>
      <c r="RKB11" s="3461"/>
      <c r="RKC11" s="3461"/>
      <c r="RKD11" s="3461"/>
      <c r="RKE11" s="3461"/>
      <c r="RKF11" s="3461"/>
      <c r="RKG11" s="3461"/>
      <c r="RKH11" s="3461"/>
      <c r="RKI11" s="3461"/>
      <c r="RKJ11" s="3461"/>
      <c r="RKK11" s="3461"/>
      <c r="RKL11" s="3461"/>
      <c r="RKM11" s="3461"/>
      <c r="RKN11" s="3461"/>
      <c r="RKO11" s="3461"/>
      <c r="RKP11" s="3461"/>
      <c r="RKQ11" s="3461"/>
      <c r="RKR11" s="3461"/>
      <c r="RKS11" s="3461"/>
      <c r="RKT11" s="3461"/>
      <c r="RKU11" s="3461"/>
      <c r="RKV11" s="3461"/>
      <c r="RKW11" s="3461"/>
      <c r="RKX11" s="3461"/>
      <c r="RKY11" s="3461"/>
      <c r="RKZ11" s="3461"/>
      <c r="RLA11" s="3461"/>
      <c r="RLB11" s="3461"/>
      <c r="RLC11" s="3461"/>
      <c r="RLD11" s="3461"/>
      <c r="RLE11" s="3461"/>
      <c r="RLF11" s="3461"/>
      <c r="RLG11" s="3461"/>
      <c r="RLH11" s="3461"/>
      <c r="RLI11" s="3461"/>
      <c r="RLJ11" s="3461"/>
      <c r="RLK11" s="3461"/>
      <c r="RLL11" s="3461"/>
      <c r="RLM11" s="3461"/>
      <c r="RLN11" s="3461"/>
      <c r="RLO11" s="3461"/>
      <c r="RLP11" s="3461"/>
      <c r="RLQ11" s="3461"/>
      <c r="RLR11" s="3461"/>
      <c r="RLS11" s="3461"/>
      <c r="RLT11" s="3461"/>
      <c r="RLU11" s="3461"/>
      <c r="RLV11" s="3461"/>
      <c r="RLW11" s="3461"/>
      <c r="RLX11" s="3461"/>
      <c r="RLY11" s="3461"/>
      <c r="RLZ11" s="3461"/>
      <c r="RMA11" s="3461"/>
      <c r="RMB11" s="3461"/>
      <c r="RMC11" s="3461"/>
      <c r="RMD11" s="3461"/>
      <c r="RME11" s="3461"/>
      <c r="RMF11" s="3461"/>
      <c r="RMG11" s="3461"/>
      <c r="RMH11" s="3461"/>
      <c r="RMI11" s="3461"/>
      <c r="RMJ11" s="3461"/>
      <c r="RMK11" s="3461"/>
      <c r="RML11" s="3461"/>
      <c r="RMM11" s="3461"/>
      <c r="RMN11" s="3461"/>
      <c r="RMO11" s="3461"/>
      <c r="RMP11" s="3461"/>
      <c r="RMQ11" s="3461"/>
      <c r="RMR11" s="3461"/>
      <c r="RMS11" s="3461"/>
      <c r="RMT11" s="3461"/>
      <c r="RMU11" s="3461"/>
      <c r="RMV11" s="3461"/>
      <c r="RMW11" s="3461"/>
      <c r="RMX11" s="3461"/>
      <c r="RMY11" s="3461"/>
      <c r="RMZ11" s="3461"/>
      <c r="RNA11" s="3461"/>
      <c r="RNB11" s="3461"/>
      <c r="RNC11" s="3461"/>
      <c r="RND11" s="3461"/>
      <c r="RNE11" s="3461"/>
      <c r="RNF11" s="3461"/>
      <c r="RNG11" s="3461"/>
      <c r="RNH11" s="3461"/>
      <c r="RNI11" s="3461"/>
      <c r="RNJ11" s="3461"/>
      <c r="RNK11" s="3461"/>
      <c r="RNL11" s="3461"/>
      <c r="RNM11" s="3461"/>
      <c r="RNN11" s="3461"/>
      <c r="RNO11" s="3461"/>
      <c r="RNP11" s="3461"/>
      <c r="RNQ11" s="3461"/>
      <c r="RNR11" s="3461"/>
      <c r="RNS11" s="3461"/>
      <c r="RNT11" s="3461"/>
      <c r="RNU11" s="3461"/>
      <c r="RNV11" s="3461"/>
      <c r="RNW11" s="3461"/>
      <c r="RNX11" s="3461"/>
      <c r="RNY11" s="3461"/>
      <c r="RNZ11" s="3461"/>
      <c r="ROA11" s="3461"/>
      <c r="ROB11" s="3461"/>
      <c r="ROC11" s="3461"/>
      <c r="ROD11" s="3461"/>
      <c r="ROE11" s="3461"/>
      <c r="ROF11" s="3461"/>
      <c r="ROG11" s="3461"/>
      <c r="ROH11" s="3461"/>
      <c r="ROI11" s="3461"/>
      <c r="ROJ11" s="3461"/>
      <c r="ROK11" s="3461"/>
      <c r="ROL11" s="3461"/>
      <c r="ROM11" s="3461"/>
      <c r="RON11" s="3461"/>
      <c r="ROO11" s="3461"/>
      <c r="ROP11" s="3461"/>
      <c r="ROQ11" s="3461"/>
      <c r="ROR11" s="3461"/>
      <c r="ROS11" s="3461"/>
      <c r="ROT11" s="3461"/>
      <c r="ROU11" s="3461"/>
      <c r="ROV11" s="3461"/>
      <c r="ROW11" s="3461"/>
      <c r="ROX11" s="3461"/>
      <c r="ROY11" s="3461"/>
      <c r="ROZ11" s="3461"/>
      <c r="RPA11" s="3461"/>
      <c r="RPB11" s="3461"/>
      <c r="RPC11" s="3461"/>
      <c r="RPD11" s="3461"/>
      <c r="RPE11" s="3461"/>
      <c r="RPF11" s="3461"/>
      <c r="RPG11" s="3461"/>
      <c r="RPH11" s="3461"/>
      <c r="RPI11" s="3461"/>
      <c r="RPJ11" s="3461"/>
      <c r="RPK11" s="3461"/>
      <c r="RPL11" s="3461"/>
      <c r="RPM11" s="3461"/>
      <c r="RPN11" s="3461"/>
      <c r="RPO11" s="3461"/>
      <c r="RPP11" s="3461"/>
      <c r="RPQ11" s="3461"/>
      <c r="RPR11" s="3461"/>
      <c r="RPS11" s="3461"/>
      <c r="RPT11" s="3461"/>
      <c r="RPU11" s="3461"/>
      <c r="RPV11" s="3461"/>
      <c r="RPW11" s="3461"/>
      <c r="RPX11" s="3461"/>
      <c r="RPY11" s="3461"/>
      <c r="RPZ11" s="3461"/>
      <c r="RQA11" s="3461"/>
      <c r="RQB11" s="3461"/>
      <c r="RQC11" s="3461"/>
      <c r="RQD11" s="3461"/>
      <c r="RQE11" s="3461"/>
      <c r="RQF11" s="3461"/>
      <c r="RQG11" s="3461"/>
      <c r="RQH11" s="3461"/>
      <c r="RQI11" s="3461"/>
      <c r="RQJ11" s="3461"/>
      <c r="RQK11" s="3461"/>
      <c r="RQL11" s="3461"/>
      <c r="RQM11" s="3461"/>
      <c r="RQN11" s="3461"/>
      <c r="RQO11" s="3461"/>
      <c r="RQP11" s="3461"/>
      <c r="RQQ11" s="3461"/>
      <c r="RQR11" s="3461"/>
      <c r="RQS11" s="3461"/>
      <c r="RQT11" s="3461"/>
      <c r="RQU11" s="3461"/>
      <c r="RQV11" s="3461"/>
      <c r="RQW11" s="3461"/>
      <c r="RQX11" s="3461"/>
      <c r="RQY11" s="3461"/>
      <c r="RQZ11" s="3461"/>
      <c r="RRA11" s="3461"/>
      <c r="RRB11" s="3461"/>
      <c r="RRC11" s="3461"/>
      <c r="RRD11" s="3461"/>
      <c r="RRE11" s="3461"/>
      <c r="RRF11" s="3461"/>
      <c r="RRG11" s="3461"/>
      <c r="RRH11" s="3461"/>
      <c r="RRI11" s="3461"/>
      <c r="RRJ11" s="3461"/>
      <c r="RRK11" s="3461"/>
      <c r="RRL11" s="3461"/>
      <c r="RRM11" s="3461"/>
      <c r="RRN11" s="3461"/>
      <c r="RRO11" s="3461"/>
      <c r="RRP11" s="3461"/>
      <c r="RRQ11" s="3461"/>
      <c r="RRR11" s="3461"/>
      <c r="RRS11" s="3461"/>
      <c r="RRT11" s="3461"/>
      <c r="RRU11" s="3461"/>
      <c r="RRV11" s="3461"/>
      <c r="RRW11" s="3461"/>
      <c r="RRX11" s="3461"/>
      <c r="RRY11" s="3461"/>
      <c r="RRZ11" s="3461"/>
      <c r="RSA11" s="3461"/>
      <c r="RSB11" s="3461"/>
      <c r="RSC11" s="3461"/>
      <c r="RSD11" s="3461"/>
      <c r="RSE11" s="3461"/>
      <c r="RSF11" s="3461"/>
      <c r="RSG11" s="3461"/>
      <c r="RSH11" s="3461"/>
      <c r="RSI11" s="3461"/>
      <c r="RSJ11" s="3461"/>
      <c r="RSK11" s="3461"/>
      <c r="RSL11" s="3461"/>
      <c r="RSM11" s="3461"/>
      <c r="RSN11" s="3461"/>
      <c r="RSO11" s="3461"/>
      <c r="RSP11" s="3461"/>
      <c r="RSQ11" s="3461"/>
      <c r="RSR11" s="3461"/>
      <c r="RSS11" s="3461"/>
      <c r="RST11" s="3461"/>
      <c r="RSU11" s="3461"/>
      <c r="RSV11" s="3461"/>
      <c r="RSW11" s="3461"/>
      <c r="RSX11" s="3461"/>
      <c r="RSY11" s="3461"/>
      <c r="RSZ11" s="3461"/>
      <c r="RTA11" s="3461"/>
      <c r="RTB11" s="3461"/>
      <c r="RTC11" s="3461"/>
      <c r="RTD11" s="3461"/>
      <c r="RTE11" s="3461"/>
      <c r="RTF11" s="3461"/>
      <c r="RTG11" s="3461"/>
      <c r="RTH11" s="3461"/>
      <c r="RTI11" s="3461"/>
      <c r="RTJ11" s="3461"/>
      <c r="RTK11" s="3461"/>
      <c r="RTL11" s="3461"/>
      <c r="RTM11" s="3461"/>
      <c r="RTN11" s="3461"/>
      <c r="RTO11" s="3461"/>
      <c r="RTP11" s="3461"/>
      <c r="RTQ11" s="3461"/>
      <c r="RTR11" s="3461"/>
      <c r="RTS11" s="3461"/>
      <c r="RTT11" s="3461"/>
      <c r="RTU11" s="3461"/>
      <c r="RTV11" s="3461"/>
      <c r="RTW11" s="3461"/>
      <c r="RTX11" s="3461"/>
      <c r="RTY11" s="3461"/>
      <c r="RTZ11" s="3461"/>
      <c r="RUA11" s="3461"/>
      <c r="RUB11" s="3461"/>
      <c r="RUC11" s="3461"/>
      <c r="RUD11" s="3461"/>
      <c r="RUE11" s="3461"/>
      <c r="RUF11" s="3461"/>
      <c r="RUG11" s="3461"/>
      <c r="RUH11" s="3461"/>
      <c r="RUI11" s="3461"/>
      <c r="RUJ11" s="3461"/>
      <c r="RUK11" s="3461"/>
      <c r="RUL11" s="3461"/>
      <c r="RUM11" s="3461"/>
      <c r="RUN11" s="3461"/>
      <c r="RUO11" s="3461"/>
      <c r="RUP11" s="3461"/>
      <c r="RUQ11" s="3461"/>
      <c r="RUR11" s="3461"/>
      <c r="RUS11" s="3461"/>
      <c r="RUT11" s="3461"/>
      <c r="RUU11" s="3461"/>
      <c r="RUV11" s="3461"/>
      <c r="RUW11" s="3461"/>
      <c r="RUX11" s="3461"/>
      <c r="RUY11" s="3461"/>
      <c r="RUZ11" s="3461"/>
      <c r="RVA11" s="3461"/>
      <c r="RVB11" s="3461"/>
      <c r="RVC11" s="3461"/>
      <c r="RVD11" s="3461"/>
      <c r="RVE11" s="3461"/>
      <c r="RVF11" s="3461"/>
      <c r="RVG11" s="3461"/>
      <c r="RVH11" s="3461"/>
      <c r="RVI11" s="3461"/>
      <c r="RVJ11" s="3461"/>
      <c r="RVK11" s="3461"/>
      <c r="RVL11" s="3461"/>
      <c r="RVM11" s="3461"/>
      <c r="RVN11" s="3461"/>
      <c r="RVO11" s="3461"/>
      <c r="RVP11" s="3461"/>
      <c r="RVQ11" s="3461"/>
      <c r="RVR11" s="3461"/>
      <c r="RVS11" s="3461"/>
      <c r="RVT11" s="3461"/>
      <c r="RVU11" s="3461"/>
      <c r="RVV11" s="3461"/>
      <c r="RVW11" s="3461"/>
      <c r="RVX11" s="3461"/>
      <c r="RVY11" s="3461"/>
      <c r="RVZ11" s="3461"/>
      <c r="RWA11" s="3461"/>
      <c r="RWB11" s="3461"/>
      <c r="RWC11" s="3461"/>
      <c r="RWD11" s="3461"/>
      <c r="RWE11" s="3461"/>
      <c r="RWF11" s="3461"/>
      <c r="RWG11" s="3461"/>
      <c r="RWH11" s="3461"/>
      <c r="RWI11" s="3461"/>
      <c r="RWJ11" s="3461"/>
      <c r="RWK11" s="3461"/>
      <c r="RWL11" s="3461"/>
      <c r="RWM11" s="3461"/>
      <c r="RWN11" s="3461"/>
      <c r="RWO11" s="3461"/>
      <c r="RWP11" s="3461"/>
      <c r="RWQ11" s="3461"/>
      <c r="RWR11" s="3461"/>
      <c r="RWS11" s="3461"/>
      <c r="RWT11" s="3461"/>
      <c r="RWU11" s="3461"/>
      <c r="RWV11" s="3461"/>
      <c r="RWW11" s="3461"/>
      <c r="RWX11" s="3461"/>
      <c r="RWY11" s="3461"/>
      <c r="RWZ11" s="3461"/>
      <c r="RXA11" s="3461"/>
      <c r="RXB11" s="3461"/>
      <c r="RXC11" s="3461"/>
      <c r="RXD11" s="3461"/>
      <c r="RXE11" s="3461"/>
      <c r="RXF11" s="3461"/>
      <c r="RXG11" s="3461"/>
      <c r="RXH11" s="3461"/>
      <c r="RXI11" s="3461"/>
      <c r="RXJ11" s="3461"/>
      <c r="RXK11" s="3461"/>
      <c r="RXL11" s="3461"/>
      <c r="RXM11" s="3461"/>
      <c r="RXN11" s="3461"/>
      <c r="RXO11" s="3461"/>
      <c r="RXP11" s="3461"/>
      <c r="RXQ11" s="3461"/>
      <c r="RXR11" s="3461"/>
      <c r="RXS11" s="3461"/>
      <c r="RXT11" s="3461"/>
      <c r="RXU11" s="3461"/>
      <c r="RXV11" s="3461"/>
      <c r="RXW11" s="3461"/>
      <c r="RXX11" s="3461"/>
      <c r="RXY11" s="3461"/>
      <c r="RXZ11" s="3461"/>
      <c r="RYA11" s="3461"/>
      <c r="RYB11" s="3461"/>
      <c r="RYC11" s="3461"/>
      <c r="RYD11" s="3461"/>
      <c r="RYE11" s="3461"/>
      <c r="RYF11" s="3461"/>
      <c r="RYG11" s="3461"/>
      <c r="RYH11" s="3461"/>
      <c r="RYI11" s="3461"/>
      <c r="RYJ11" s="3461"/>
      <c r="RYK11" s="3461"/>
      <c r="RYL11" s="3461"/>
      <c r="RYM11" s="3461"/>
      <c r="RYN11" s="3461"/>
      <c r="RYO11" s="3461"/>
      <c r="RYP11" s="3461"/>
      <c r="RYQ11" s="3461"/>
      <c r="RYR11" s="3461"/>
      <c r="RYS11" s="3461"/>
      <c r="RYT11" s="3461"/>
      <c r="RYU11" s="3461"/>
      <c r="RYV11" s="3461"/>
      <c r="RYW11" s="3461"/>
      <c r="RYX11" s="3461"/>
      <c r="RYY11" s="3461"/>
      <c r="RYZ11" s="3461"/>
      <c r="RZA11" s="3461"/>
      <c r="RZB11" s="3461"/>
      <c r="RZC11" s="3461"/>
      <c r="RZD11" s="3461"/>
      <c r="RZE11" s="3461"/>
      <c r="RZF11" s="3461"/>
      <c r="RZG11" s="3461"/>
      <c r="RZH11" s="3461"/>
      <c r="RZI11" s="3461"/>
      <c r="RZJ11" s="3461"/>
      <c r="RZK11" s="3461"/>
      <c r="RZL11" s="3461"/>
      <c r="RZM11" s="3461"/>
      <c r="RZN11" s="3461"/>
      <c r="RZO11" s="3461"/>
      <c r="RZP11" s="3461"/>
      <c r="RZQ11" s="3461"/>
      <c r="RZR11" s="3461"/>
      <c r="RZS11" s="3461"/>
      <c r="RZT11" s="3461"/>
      <c r="RZU11" s="3461"/>
      <c r="RZV11" s="3461"/>
      <c r="RZW11" s="3461"/>
      <c r="RZX11" s="3461"/>
      <c r="RZY11" s="3461"/>
      <c r="RZZ11" s="3461"/>
      <c r="SAA11" s="3461"/>
      <c r="SAB11" s="3461"/>
      <c r="SAC11" s="3461"/>
      <c r="SAD11" s="3461"/>
      <c r="SAE11" s="3461"/>
      <c r="SAF11" s="3461"/>
      <c r="SAG11" s="3461"/>
      <c r="SAH11" s="3461"/>
      <c r="SAI11" s="3461"/>
      <c r="SAJ11" s="3461"/>
      <c r="SAK11" s="3461"/>
      <c r="SAL11" s="3461"/>
      <c r="SAM11" s="3461"/>
      <c r="SAN11" s="3461"/>
      <c r="SAO11" s="3461"/>
      <c r="SAP11" s="3461"/>
      <c r="SAQ11" s="3461"/>
      <c r="SAR11" s="3461"/>
      <c r="SAS11" s="3461"/>
      <c r="SAT11" s="3461"/>
      <c r="SAU11" s="3461"/>
      <c r="SAV11" s="3461"/>
      <c r="SAW11" s="3461"/>
      <c r="SAX11" s="3461"/>
      <c r="SAY11" s="3461"/>
      <c r="SAZ11" s="3461"/>
      <c r="SBA11" s="3461"/>
      <c r="SBB11" s="3461"/>
      <c r="SBC11" s="3461"/>
      <c r="SBD11" s="3461"/>
      <c r="SBE11" s="3461"/>
      <c r="SBF11" s="3461"/>
      <c r="SBG11" s="3461"/>
      <c r="SBH11" s="3461"/>
      <c r="SBI11" s="3461"/>
      <c r="SBJ11" s="3461"/>
      <c r="SBK11" s="3461"/>
      <c r="SBL11" s="3461"/>
      <c r="SBM11" s="3461"/>
      <c r="SBN11" s="3461"/>
      <c r="SBO11" s="3461"/>
      <c r="SBP11" s="3461"/>
      <c r="SBQ11" s="3461"/>
      <c r="SBR11" s="3461"/>
      <c r="SBS11" s="3461"/>
      <c r="SBT11" s="3461"/>
      <c r="SBU11" s="3461"/>
      <c r="SBV11" s="3461"/>
      <c r="SBW11" s="3461"/>
      <c r="SBX11" s="3461"/>
      <c r="SBY11" s="3461"/>
      <c r="SBZ11" s="3461"/>
      <c r="SCA11" s="3461"/>
      <c r="SCB11" s="3461"/>
      <c r="SCC11" s="3461"/>
      <c r="SCD11" s="3461"/>
      <c r="SCE11" s="3461"/>
      <c r="SCF11" s="3461"/>
      <c r="SCG11" s="3461"/>
      <c r="SCH11" s="3461"/>
      <c r="SCI11" s="3461"/>
      <c r="SCJ11" s="3461"/>
      <c r="SCK11" s="3461"/>
      <c r="SCL11" s="3461"/>
      <c r="SCM11" s="3461"/>
      <c r="SCN11" s="3461"/>
      <c r="SCO11" s="3461"/>
      <c r="SCP11" s="3461"/>
      <c r="SCQ11" s="3461"/>
      <c r="SCR11" s="3461"/>
      <c r="SCS11" s="3461"/>
      <c r="SCT11" s="3461"/>
      <c r="SCU11" s="3461"/>
      <c r="SCV11" s="3461"/>
      <c r="SCW11" s="3461"/>
      <c r="SCX11" s="3461"/>
      <c r="SCY11" s="3461"/>
      <c r="SCZ11" s="3461"/>
      <c r="SDA11" s="3461"/>
      <c r="SDB11" s="3461"/>
      <c r="SDC11" s="3461"/>
      <c r="SDD11" s="3461"/>
      <c r="SDE11" s="3461"/>
      <c r="SDF11" s="3461"/>
      <c r="SDG11" s="3461"/>
      <c r="SDH11" s="3461"/>
      <c r="SDI11" s="3461"/>
      <c r="SDJ11" s="3461"/>
      <c r="SDK11" s="3461"/>
      <c r="SDL11" s="3461"/>
      <c r="SDM11" s="3461"/>
      <c r="SDN11" s="3461"/>
      <c r="SDO11" s="3461"/>
      <c r="SDP11" s="3461"/>
      <c r="SDQ11" s="3461"/>
      <c r="SDR11" s="3461"/>
      <c r="SDS11" s="3461"/>
      <c r="SDT11" s="3461"/>
      <c r="SDU11" s="3461"/>
      <c r="SDV11" s="3461"/>
      <c r="SDW11" s="3461"/>
      <c r="SDX11" s="3461"/>
      <c r="SDY11" s="3461"/>
      <c r="SDZ11" s="3461"/>
      <c r="SEA11" s="3461"/>
      <c r="SEB11" s="3461"/>
      <c r="SEC11" s="3461"/>
      <c r="SED11" s="3461"/>
      <c r="SEE11" s="3461"/>
      <c r="SEF11" s="3461"/>
      <c r="SEG11" s="3461"/>
      <c r="SEH11" s="3461"/>
      <c r="SEI11" s="3461"/>
      <c r="SEJ11" s="3461"/>
      <c r="SEK11" s="3461"/>
      <c r="SEL11" s="3461"/>
      <c r="SEM11" s="3461"/>
      <c r="SEN11" s="3461"/>
      <c r="SEO11" s="3461"/>
      <c r="SEP11" s="3461"/>
      <c r="SEQ11" s="3461"/>
      <c r="SER11" s="3461"/>
      <c r="SES11" s="3461"/>
      <c r="SET11" s="3461"/>
      <c r="SEU11" s="3461"/>
      <c r="SEV11" s="3461"/>
      <c r="SEW11" s="3461"/>
      <c r="SEX11" s="3461"/>
      <c r="SEY11" s="3461"/>
      <c r="SEZ11" s="3461"/>
      <c r="SFA11" s="3461"/>
      <c r="SFB11" s="3461"/>
      <c r="SFC11" s="3461"/>
      <c r="SFD11" s="3461"/>
      <c r="SFE11" s="3461"/>
      <c r="SFF11" s="3461"/>
      <c r="SFG11" s="3461"/>
      <c r="SFH11" s="3461"/>
      <c r="SFI11" s="3461"/>
      <c r="SFJ11" s="3461"/>
      <c r="SFK11" s="3461"/>
      <c r="SFL11" s="3461"/>
      <c r="SFM11" s="3461"/>
      <c r="SFN11" s="3461"/>
      <c r="SFO11" s="3461"/>
      <c r="SFP11" s="3461"/>
      <c r="SFQ11" s="3461"/>
      <c r="SFR11" s="3461"/>
      <c r="SFS11" s="3461"/>
      <c r="SFT11" s="3461"/>
      <c r="SFU11" s="3461"/>
      <c r="SFV11" s="3461"/>
      <c r="SFW11" s="3461"/>
      <c r="SFX11" s="3461"/>
      <c r="SFY11" s="3461"/>
      <c r="SFZ11" s="3461"/>
      <c r="SGA11" s="3461"/>
      <c r="SGB11" s="3461"/>
      <c r="SGC11" s="3461"/>
      <c r="SGD11" s="3461"/>
      <c r="SGE11" s="3461"/>
      <c r="SGF11" s="3461"/>
      <c r="SGG11" s="3461"/>
      <c r="SGH11" s="3461"/>
      <c r="SGI11" s="3461"/>
      <c r="SGJ11" s="3461"/>
      <c r="SGK11" s="3461"/>
      <c r="SGL11" s="3461"/>
      <c r="SGM11" s="3461"/>
      <c r="SGN11" s="3461"/>
      <c r="SGO11" s="3461"/>
      <c r="SGP11" s="3461"/>
      <c r="SGQ11" s="3461"/>
      <c r="SGR11" s="3461"/>
      <c r="SGS11" s="3461"/>
      <c r="SGT11" s="3461"/>
      <c r="SGU11" s="3461"/>
      <c r="SGV11" s="3461"/>
      <c r="SGW11" s="3461"/>
      <c r="SGX11" s="3461"/>
      <c r="SGY11" s="3461"/>
      <c r="SGZ11" s="3461"/>
      <c r="SHA11" s="3461"/>
      <c r="SHB11" s="3461"/>
      <c r="SHC11" s="3461"/>
      <c r="SHD11" s="3461"/>
      <c r="SHE11" s="3461"/>
      <c r="SHF11" s="3461"/>
      <c r="SHG11" s="3461"/>
      <c r="SHH11" s="3461"/>
      <c r="SHI11" s="3461"/>
      <c r="SHJ11" s="3461"/>
      <c r="SHK11" s="3461"/>
      <c r="SHL11" s="3461"/>
      <c r="SHM11" s="3461"/>
      <c r="SHN11" s="3461"/>
      <c r="SHO11" s="3461"/>
      <c r="SHP11" s="3461"/>
      <c r="SHQ11" s="3461"/>
      <c r="SHR11" s="3461"/>
      <c r="SHS11" s="3461"/>
      <c r="SHT11" s="3461"/>
      <c r="SHU11" s="3461"/>
      <c r="SHV11" s="3461"/>
      <c r="SHW11" s="3461"/>
      <c r="SHX11" s="3461"/>
      <c r="SHY11" s="3461"/>
      <c r="SHZ11" s="3461"/>
      <c r="SIA11" s="3461"/>
      <c r="SIB11" s="3461"/>
      <c r="SIC11" s="3461"/>
      <c r="SID11" s="3461"/>
      <c r="SIE11" s="3461"/>
      <c r="SIF11" s="3461"/>
      <c r="SIG11" s="3461"/>
      <c r="SIH11" s="3461"/>
      <c r="SII11" s="3461"/>
      <c r="SIJ11" s="3461"/>
      <c r="SIK11" s="3461"/>
      <c r="SIL11" s="3461"/>
      <c r="SIM11" s="3461"/>
      <c r="SIN11" s="3461"/>
      <c r="SIO11" s="3461"/>
      <c r="SIP11" s="3461"/>
      <c r="SIQ11" s="3461"/>
      <c r="SIR11" s="3461"/>
      <c r="SIS11" s="3461"/>
      <c r="SIT11" s="3461"/>
      <c r="SIU11" s="3461"/>
      <c r="SIV11" s="3461"/>
      <c r="SIW11" s="3461"/>
      <c r="SIX11" s="3461"/>
      <c r="SIY11" s="3461"/>
      <c r="SIZ11" s="3461"/>
      <c r="SJA11" s="3461"/>
      <c r="SJB11" s="3461"/>
      <c r="SJC11" s="3461"/>
      <c r="SJD11" s="3461"/>
      <c r="SJE11" s="3461"/>
      <c r="SJF11" s="3461"/>
      <c r="SJG11" s="3461"/>
      <c r="SJH11" s="3461"/>
      <c r="SJI11" s="3461"/>
      <c r="SJJ11" s="3461"/>
      <c r="SJK11" s="3461"/>
      <c r="SJL11" s="3461"/>
      <c r="SJM11" s="3461"/>
      <c r="SJN11" s="3461"/>
      <c r="SJO11" s="3461"/>
      <c r="SJP11" s="3461"/>
      <c r="SJQ11" s="3461"/>
      <c r="SJR11" s="3461"/>
      <c r="SJS11" s="3461"/>
      <c r="SJT11" s="3461"/>
      <c r="SJU11" s="3461"/>
      <c r="SJV11" s="3461"/>
      <c r="SJW11" s="3461"/>
      <c r="SJX11" s="3461"/>
      <c r="SJY11" s="3461"/>
      <c r="SJZ11" s="3461"/>
      <c r="SKA11" s="3461"/>
      <c r="SKB11" s="3461"/>
      <c r="SKC11" s="3461"/>
      <c r="SKD11" s="3461"/>
      <c r="SKE11" s="3461"/>
      <c r="SKF11" s="3461"/>
      <c r="SKG11" s="3461"/>
      <c r="SKH11" s="3461"/>
      <c r="SKI11" s="3461"/>
      <c r="SKJ11" s="3461"/>
      <c r="SKK11" s="3461"/>
      <c r="SKL11" s="3461"/>
      <c r="SKM11" s="3461"/>
      <c r="SKN11" s="3461"/>
      <c r="SKO11" s="3461"/>
      <c r="SKP11" s="3461"/>
      <c r="SKQ11" s="3461"/>
      <c r="SKR11" s="3461"/>
      <c r="SKS11" s="3461"/>
      <c r="SKT11" s="3461"/>
      <c r="SKU11" s="3461"/>
      <c r="SKV11" s="3461"/>
      <c r="SKW11" s="3461"/>
      <c r="SKX11" s="3461"/>
      <c r="SKY11" s="3461"/>
      <c r="SKZ11" s="3461"/>
      <c r="SLA11" s="3461"/>
      <c r="SLB11" s="3461"/>
      <c r="SLC11" s="3461"/>
      <c r="SLD11" s="3461"/>
      <c r="SLE11" s="3461"/>
      <c r="SLF11" s="3461"/>
      <c r="SLG11" s="3461"/>
      <c r="SLH11" s="3461"/>
      <c r="SLI11" s="3461"/>
      <c r="SLJ11" s="3461"/>
      <c r="SLK11" s="3461"/>
      <c r="SLL11" s="3461"/>
      <c r="SLM11" s="3461"/>
      <c r="SLN11" s="3461"/>
      <c r="SLO11" s="3461"/>
      <c r="SLP11" s="3461"/>
      <c r="SLQ11" s="3461"/>
      <c r="SLR11" s="3461"/>
      <c r="SLS11" s="3461"/>
      <c r="SLT11" s="3461"/>
      <c r="SLU11" s="3461"/>
      <c r="SLV11" s="3461"/>
      <c r="SLW11" s="3461"/>
      <c r="SLX11" s="3461"/>
      <c r="SLY11" s="3461"/>
      <c r="SLZ11" s="3461"/>
      <c r="SMA11" s="3461"/>
      <c r="SMB11" s="3461"/>
      <c r="SMC11" s="3461"/>
      <c r="SMD11" s="3461"/>
      <c r="SME11" s="3461"/>
      <c r="SMF11" s="3461"/>
      <c r="SMG11" s="3461"/>
      <c r="SMH11" s="3461"/>
      <c r="SMI11" s="3461"/>
      <c r="SMJ11" s="3461"/>
      <c r="SMK11" s="3461"/>
      <c r="SML11" s="3461"/>
      <c r="SMM11" s="3461"/>
      <c r="SMN11" s="3461"/>
      <c r="SMO11" s="3461"/>
      <c r="SMP11" s="3461"/>
      <c r="SMQ11" s="3461"/>
      <c r="SMR11" s="3461"/>
      <c r="SMS11" s="3461"/>
      <c r="SMT11" s="3461"/>
      <c r="SMU11" s="3461"/>
      <c r="SMV11" s="3461"/>
      <c r="SMW11" s="3461"/>
      <c r="SMX11" s="3461"/>
      <c r="SMY11" s="3461"/>
      <c r="SMZ11" s="3461"/>
      <c r="SNA11" s="3461"/>
      <c r="SNB11" s="3461"/>
      <c r="SNC11" s="3461"/>
      <c r="SND11" s="3461"/>
      <c r="SNE11" s="3461"/>
      <c r="SNF11" s="3461"/>
      <c r="SNG11" s="3461"/>
      <c r="SNH11" s="3461"/>
      <c r="SNI11" s="3461"/>
      <c r="SNJ11" s="3461"/>
      <c r="SNK11" s="3461"/>
      <c r="SNL11" s="3461"/>
      <c r="SNM11" s="3461"/>
      <c r="SNN11" s="3461"/>
      <c r="SNO11" s="3461"/>
      <c r="SNP11" s="3461"/>
      <c r="SNQ11" s="3461"/>
      <c r="SNR11" s="3461"/>
      <c r="SNS11" s="3461"/>
      <c r="SNT11" s="3461"/>
      <c r="SNU11" s="3461"/>
      <c r="SNV11" s="3461"/>
      <c r="SNW11" s="3461"/>
      <c r="SNX11" s="3461"/>
      <c r="SNY11" s="3461"/>
      <c r="SNZ11" s="3461"/>
      <c r="SOA11" s="3461"/>
      <c r="SOB11" s="3461"/>
      <c r="SOC11" s="3461"/>
      <c r="SOD11" s="3461"/>
      <c r="SOE11" s="3461"/>
      <c r="SOF11" s="3461"/>
      <c r="SOG11" s="3461"/>
      <c r="SOH11" s="3461"/>
      <c r="SOI11" s="3461"/>
      <c r="SOJ11" s="3461"/>
      <c r="SOK11" s="3461"/>
      <c r="SOL11" s="3461"/>
      <c r="SOM11" s="3461"/>
      <c r="SON11" s="3461"/>
      <c r="SOO11" s="3461"/>
      <c r="SOP11" s="3461"/>
      <c r="SOQ11" s="3461"/>
      <c r="SOR11" s="3461"/>
      <c r="SOS11" s="3461"/>
      <c r="SOT11" s="3461"/>
      <c r="SOU11" s="3461"/>
      <c r="SOV11" s="3461"/>
      <c r="SOW11" s="3461"/>
      <c r="SOX11" s="3461"/>
      <c r="SOY11" s="3461"/>
      <c r="SOZ11" s="3461"/>
      <c r="SPA11" s="3461"/>
      <c r="SPB11" s="3461"/>
      <c r="SPC11" s="3461"/>
      <c r="SPD11" s="3461"/>
      <c r="SPE11" s="3461"/>
      <c r="SPF11" s="3461"/>
      <c r="SPG11" s="3461"/>
      <c r="SPH11" s="3461"/>
      <c r="SPI11" s="3461"/>
      <c r="SPJ11" s="3461"/>
      <c r="SPK11" s="3461"/>
      <c r="SPL11" s="3461"/>
      <c r="SPM11" s="3461"/>
      <c r="SPN11" s="3461"/>
      <c r="SPO11" s="3461"/>
      <c r="SPP11" s="3461"/>
      <c r="SPQ11" s="3461"/>
      <c r="SPR11" s="3461"/>
      <c r="SPS11" s="3461"/>
      <c r="SPT11" s="3461"/>
      <c r="SPU11" s="3461"/>
      <c r="SPV11" s="3461"/>
      <c r="SPW11" s="3461"/>
      <c r="SPX11" s="3461"/>
      <c r="SPY11" s="3461"/>
      <c r="SPZ11" s="3461"/>
      <c r="SQA11" s="3461"/>
      <c r="SQB11" s="3461"/>
      <c r="SQC11" s="3461"/>
      <c r="SQD11" s="3461"/>
      <c r="SQE11" s="3461"/>
      <c r="SQF11" s="3461"/>
      <c r="SQG11" s="3461"/>
      <c r="SQH11" s="3461"/>
      <c r="SQI11" s="3461"/>
      <c r="SQJ11" s="3461"/>
      <c r="SQK11" s="3461"/>
      <c r="SQL11" s="3461"/>
      <c r="SQM11" s="3461"/>
      <c r="SQN11" s="3461"/>
      <c r="SQO11" s="3461"/>
      <c r="SQP11" s="3461"/>
      <c r="SQQ11" s="3461"/>
      <c r="SQR11" s="3461"/>
      <c r="SQS11" s="3461"/>
      <c r="SQT11" s="3461"/>
      <c r="SQU11" s="3461"/>
      <c r="SQV11" s="3461"/>
      <c r="SQW11" s="3461"/>
      <c r="SQX11" s="3461"/>
      <c r="SQY11" s="3461"/>
      <c r="SQZ11" s="3461"/>
      <c r="SRA11" s="3461"/>
      <c r="SRB11" s="3461"/>
      <c r="SRC11" s="3461"/>
      <c r="SRD11" s="3461"/>
      <c r="SRE11" s="3461"/>
      <c r="SRF11" s="3461"/>
      <c r="SRG11" s="3461"/>
      <c r="SRH11" s="3461"/>
      <c r="SRI11" s="3461"/>
      <c r="SRJ11" s="3461"/>
      <c r="SRK11" s="3461"/>
      <c r="SRL11" s="3461"/>
      <c r="SRM11" s="3461"/>
      <c r="SRN11" s="3461"/>
      <c r="SRO11" s="3461"/>
      <c r="SRP11" s="3461"/>
      <c r="SRQ11" s="3461"/>
      <c r="SRR11" s="3461"/>
      <c r="SRS11" s="3461"/>
      <c r="SRT11" s="3461"/>
      <c r="SRU11" s="3461"/>
      <c r="SRV11" s="3461"/>
      <c r="SRW11" s="3461"/>
      <c r="SRX11" s="3461"/>
      <c r="SRY11" s="3461"/>
      <c r="SRZ11" s="3461"/>
      <c r="SSA11" s="3461"/>
      <c r="SSB11" s="3461"/>
      <c r="SSC11" s="3461"/>
      <c r="SSD11" s="3461"/>
      <c r="SSE11" s="3461"/>
      <c r="SSF11" s="3461"/>
      <c r="SSG11" s="3461"/>
      <c r="SSH11" s="3461"/>
      <c r="SSI11" s="3461"/>
      <c r="SSJ11" s="3461"/>
      <c r="SSK11" s="3461"/>
      <c r="SSL11" s="3461"/>
      <c r="SSM11" s="3461"/>
      <c r="SSN11" s="3461"/>
      <c r="SSO11" s="3461"/>
      <c r="SSP11" s="3461"/>
      <c r="SSQ11" s="3461"/>
      <c r="SSR11" s="3461"/>
      <c r="SSS11" s="3461"/>
      <c r="SST11" s="3461"/>
      <c r="SSU11" s="3461"/>
      <c r="SSV11" s="3461"/>
      <c r="SSW11" s="3461"/>
      <c r="SSX11" s="3461"/>
      <c r="SSY11" s="3461"/>
      <c r="SSZ11" s="3461"/>
      <c r="STA11" s="3461"/>
      <c r="STB11" s="3461"/>
      <c r="STC11" s="3461"/>
      <c r="STD11" s="3461"/>
      <c r="STE11" s="3461"/>
      <c r="STF11" s="3461"/>
      <c r="STG11" s="3461"/>
      <c r="STH11" s="3461"/>
      <c r="STI11" s="3461"/>
      <c r="STJ11" s="3461"/>
      <c r="STK11" s="3461"/>
      <c r="STL11" s="3461"/>
      <c r="STM11" s="3461"/>
      <c r="STN11" s="3461"/>
      <c r="STO11" s="3461"/>
      <c r="STP11" s="3461"/>
      <c r="STQ11" s="3461"/>
      <c r="STR11" s="3461"/>
      <c r="STS11" s="3461"/>
      <c r="STT11" s="3461"/>
      <c r="STU11" s="3461"/>
      <c r="STV11" s="3461"/>
      <c r="STW11" s="3461"/>
      <c r="STX11" s="3461"/>
      <c r="STY11" s="3461"/>
      <c r="STZ11" s="3461"/>
      <c r="SUA11" s="3461"/>
      <c r="SUB11" s="3461"/>
      <c r="SUC11" s="3461"/>
      <c r="SUD11" s="3461"/>
      <c r="SUE11" s="3461"/>
      <c r="SUF11" s="3461"/>
      <c r="SUG11" s="3461"/>
      <c r="SUH11" s="3461"/>
      <c r="SUI11" s="3461"/>
      <c r="SUJ11" s="3461"/>
      <c r="SUK11" s="3461"/>
      <c r="SUL11" s="3461"/>
      <c r="SUM11" s="3461"/>
      <c r="SUN11" s="3461"/>
      <c r="SUO11" s="3461"/>
      <c r="SUP11" s="3461"/>
      <c r="SUQ11" s="3461"/>
      <c r="SUR11" s="3461"/>
      <c r="SUS11" s="3461"/>
      <c r="SUT11" s="3461"/>
      <c r="SUU11" s="3461"/>
      <c r="SUV11" s="3461"/>
      <c r="SUW11" s="3461"/>
      <c r="SUX11" s="3461"/>
      <c r="SUY11" s="3461"/>
      <c r="SUZ11" s="3461"/>
      <c r="SVA11" s="3461"/>
      <c r="SVB11" s="3461"/>
      <c r="SVC11" s="3461"/>
      <c r="SVD11" s="3461"/>
      <c r="SVE11" s="3461"/>
      <c r="SVF11" s="3461"/>
      <c r="SVG11" s="3461"/>
      <c r="SVH11" s="3461"/>
      <c r="SVI11" s="3461"/>
      <c r="SVJ11" s="3461"/>
      <c r="SVK11" s="3461"/>
      <c r="SVL11" s="3461"/>
      <c r="SVM11" s="3461"/>
      <c r="SVN11" s="3461"/>
      <c r="SVO11" s="3461"/>
      <c r="SVP11" s="3461"/>
      <c r="SVQ11" s="3461"/>
      <c r="SVR11" s="3461"/>
      <c r="SVS11" s="3461"/>
      <c r="SVT11" s="3461"/>
      <c r="SVU11" s="3461"/>
      <c r="SVV11" s="3461"/>
      <c r="SVW11" s="3461"/>
      <c r="SVX11" s="3461"/>
      <c r="SVY11" s="3461"/>
      <c r="SVZ11" s="3461"/>
      <c r="SWA11" s="3461"/>
      <c r="SWB11" s="3461"/>
      <c r="SWC11" s="3461"/>
      <c r="SWD11" s="3461"/>
      <c r="SWE11" s="3461"/>
      <c r="SWF11" s="3461"/>
      <c r="SWG11" s="3461"/>
      <c r="SWH11" s="3461"/>
      <c r="SWI11" s="3461"/>
      <c r="SWJ11" s="3461"/>
      <c r="SWK11" s="3461"/>
      <c r="SWL11" s="3461"/>
      <c r="SWM11" s="3461"/>
      <c r="SWN11" s="3461"/>
      <c r="SWO11" s="3461"/>
      <c r="SWP11" s="3461"/>
      <c r="SWQ11" s="3461"/>
      <c r="SWR11" s="3461"/>
      <c r="SWS11" s="3461"/>
      <c r="SWT11" s="3461"/>
      <c r="SWU11" s="3461"/>
      <c r="SWV11" s="3461"/>
      <c r="SWW11" s="3461"/>
      <c r="SWX11" s="3461"/>
      <c r="SWY11" s="3461"/>
      <c r="SWZ11" s="3461"/>
      <c r="SXA11" s="3461"/>
      <c r="SXB11" s="3461"/>
      <c r="SXC11" s="3461"/>
      <c r="SXD11" s="3461"/>
      <c r="SXE11" s="3461"/>
      <c r="SXF11" s="3461"/>
      <c r="SXG11" s="3461"/>
      <c r="SXH11" s="3461"/>
      <c r="SXI11" s="3461"/>
      <c r="SXJ11" s="3461"/>
      <c r="SXK11" s="3461"/>
      <c r="SXL11" s="3461"/>
      <c r="SXM11" s="3461"/>
      <c r="SXN11" s="3461"/>
      <c r="SXO11" s="3461"/>
      <c r="SXP11" s="3461"/>
      <c r="SXQ11" s="3461"/>
      <c r="SXR11" s="3461"/>
      <c r="SXS11" s="3461"/>
      <c r="SXT11" s="3461"/>
      <c r="SXU11" s="3461"/>
      <c r="SXV11" s="3461"/>
      <c r="SXW11" s="3461"/>
      <c r="SXX11" s="3461"/>
      <c r="SXY11" s="3461"/>
      <c r="SXZ11" s="3461"/>
      <c r="SYA11" s="3461"/>
      <c r="SYB11" s="3461"/>
      <c r="SYC11" s="3461"/>
      <c r="SYD11" s="3461"/>
      <c r="SYE11" s="3461"/>
      <c r="SYF11" s="3461"/>
      <c r="SYG11" s="3461"/>
      <c r="SYH11" s="3461"/>
      <c r="SYI11" s="3461"/>
      <c r="SYJ11" s="3461"/>
      <c r="SYK11" s="3461"/>
      <c r="SYL11" s="3461"/>
      <c r="SYM11" s="3461"/>
      <c r="SYN11" s="3461"/>
      <c r="SYO11" s="3461"/>
      <c r="SYP11" s="3461"/>
      <c r="SYQ11" s="3461"/>
      <c r="SYR11" s="3461"/>
      <c r="SYS11" s="3461"/>
      <c r="SYT11" s="3461"/>
      <c r="SYU11" s="3461"/>
      <c r="SYV11" s="3461"/>
      <c r="SYW11" s="3461"/>
      <c r="SYX11" s="3461"/>
      <c r="SYY11" s="3461"/>
      <c r="SYZ11" s="3461"/>
      <c r="SZA11" s="3461"/>
      <c r="SZB11" s="3461"/>
      <c r="SZC11" s="3461"/>
      <c r="SZD11" s="3461"/>
      <c r="SZE11" s="3461"/>
      <c r="SZF11" s="3461"/>
      <c r="SZG11" s="3461"/>
      <c r="SZH11" s="3461"/>
      <c r="SZI11" s="3461"/>
      <c r="SZJ11" s="3461"/>
      <c r="SZK11" s="3461"/>
      <c r="SZL11" s="3461"/>
      <c r="SZM11" s="3461"/>
      <c r="SZN11" s="3461"/>
      <c r="SZO11" s="3461"/>
      <c r="SZP11" s="3461"/>
      <c r="SZQ11" s="3461"/>
      <c r="SZR11" s="3461"/>
      <c r="SZS11" s="3461"/>
      <c r="SZT11" s="3461"/>
      <c r="SZU11" s="3461"/>
      <c r="SZV11" s="3461"/>
      <c r="SZW11" s="3461"/>
      <c r="SZX11" s="3461"/>
      <c r="SZY11" s="3461"/>
      <c r="SZZ11" s="3461"/>
      <c r="TAA11" s="3461"/>
      <c r="TAB11" s="3461"/>
      <c r="TAC11" s="3461"/>
      <c r="TAD11" s="3461"/>
      <c r="TAE11" s="3461"/>
      <c r="TAF11" s="3461"/>
      <c r="TAG11" s="3461"/>
      <c r="TAH11" s="3461"/>
      <c r="TAI11" s="3461"/>
      <c r="TAJ11" s="3461"/>
      <c r="TAK11" s="3461"/>
      <c r="TAL11" s="3461"/>
      <c r="TAM11" s="3461"/>
      <c r="TAN11" s="3461"/>
      <c r="TAO11" s="3461"/>
      <c r="TAP11" s="3461"/>
      <c r="TAQ11" s="3461"/>
      <c r="TAR11" s="3461"/>
      <c r="TAS11" s="3461"/>
      <c r="TAT11" s="3461"/>
      <c r="TAU11" s="3461"/>
      <c r="TAV11" s="3461"/>
      <c r="TAW11" s="3461"/>
      <c r="TAX11" s="3461"/>
      <c r="TAY11" s="3461"/>
      <c r="TAZ11" s="3461"/>
      <c r="TBA11" s="3461"/>
      <c r="TBB11" s="3461"/>
      <c r="TBC11" s="3461"/>
      <c r="TBD11" s="3461"/>
      <c r="TBE11" s="3461"/>
      <c r="TBF11" s="3461"/>
      <c r="TBG11" s="3461"/>
      <c r="TBH11" s="3461"/>
      <c r="TBI11" s="3461"/>
      <c r="TBJ11" s="3461"/>
      <c r="TBK11" s="3461"/>
      <c r="TBL11" s="3461"/>
      <c r="TBM11" s="3461"/>
      <c r="TBN11" s="3461"/>
      <c r="TBO11" s="3461"/>
      <c r="TBP11" s="3461"/>
      <c r="TBQ11" s="3461"/>
      <c r="TBR11" s="3461"/>
      <c r="TBS11" s="3461"/>
      <c r="TBT11" s="3461"/>
      <c r="TBU11" s="3461"/>
      <c r="TBV11" s="3461"/>
      <c r="TBW11" s="3461"/>
      <c r="TBX11" s="3461"/>
      <c r="TBY11" s="3461"/>
      <c r="TBZ11" s="3461"/>
      <c r="TCA11" s="3461"/>
      <c r="TCB11" s="3461"/>
      <c r="TCC11" s="3461"/>
      <c r="TCD11" s="3461"/>
      <c r="TCE11" s="3461"/>
      <c r="TCF11" s="3461"/>
      <c r="TCG11" s="3461"/>
      <c r="TCH11" s="3461"/>
      <c r="TCI11" s="3461"/>
      <c r="TCJ11" s="3461"/>
      <c r="TCK11" s="3461"/>
      <c r="TCL11" s="3461"/>
      <c r="TCM11" s="3461"/>
      <c r="TCN11" s="3461"/>
      <c r="TCO11" s="3461"/>
      <c r="TCP11" s="3461"/>
      <c r="TCQ11" s="3461"/>
      <c r="TCR11" s="3461"/>
      <c r="TCS11" s="3461"/>
      <c r="TCT11" s="3461"/>
      <c r="TCU11" s="3461"/>
      <c r="TCV11" s="3461"/>
      <c r="TCW11" s="3461"/>
      <c r="TCX11" s="3461"/>
      <c r="TCY11" s="3461"/>
      <c r="TCZ11" s="3461"/>
      <c r="TDA11" s="3461"/>
      <c r="TDB11" s="3461"/>
      <c r="TDC11" s="3461"/>
      <c r="TDD11" s="3461"/>
      <c r="TDE11" s="3461"/>
      <c r="TDF11" s="3461"/>
      <c r="TDG11" s="3461"/>
      <c r="TDH11" s="3461"/>
      <c r="TDI11" s="3461"/>
      <c r="TDJ11" s="3461"/>
      <c r="TDK11" s="3461"/>
      <c r="TDL11" s="3461"/>
      <c r="TDM11" s="3461"/>
      <c r="TDN11" s="3461"/>
      <c r="TDO11" s="3461"/>
      <c r="TDP11" s="3461"/>
      <c r="TDQ11" s="3461"/>
      <c r="TDR11" s="3461"/>
      <c r="TDS11" s="3461"/>
      <c r="TDT11" s="3461"/>
      <c r="TDU11" s="3461"/>
      <c r="TDV11" s="3461"/>
      <c r="TDW11" s="3461"/>
      <c r="TDX11" s="3461"/>
      <c r="TDY11" s="3461"/>
      <c r="TDZ11" s="3461"/>
      <c r="TEA11" s="3461"/>
      <c r="TEB11" s="3461"/>
      <c r="TEC11" s="3461"/>
      <c r="TED11" s="3461"/>
      <c r="TEE11" s="3461"/>
      <c r="TEF11" s="3461"/>
      <c r="TEG11" s="3461"/>
      <c r="TEH11" s="3461"/>
      <c r="TEI11" s="3461"/>
      <c r="TEJ11" s="3461"/>
      <c r="TEK11" s="3461"/>
      <c r="TEL11" s="3461"/>
      <c r="TEM11" s="3461"/>
      <c r="TEN11" s="3461"/>
      <c r="TEO11" s="3461"/>
      <c r="TEP11" s="3461"/>
      <c r="TEQ11" s="3461"/>
      <c r="TER11" s="3461"/>
      <c r="TES11" s="3461"/>
      <c r="TET11" s="3461"/>
      <c r="TEU11" s="3461"/>
      <c r="TEV11" s="3461"/>
      <c r="TEW11" s="3461"/>
      <c r="TEX11" s="3461"/>
      <c r="TEY11" s="3461"/>
      <c r="TEZ11" s="3461"/>
      <c r="TFA11" s="3461"/>
      <c r="TFB11" s="3461"/>
      <c r="TFC11" s="3461"/>
      <c r="TFD11" s="3461"/>
      <c r="TFE11" s="3461"/>
      <c r="TFF11" s="3461"/>
      <c r="TFG11" s="3461"/>
      <c r="TFH11" s="3461"/>
      <c r="TFI11" s="3461"/>
      <c r="TFJ11" s="3461"/>
      <c r="TFK11" s="3461"/>
      <c r="TFL11" s="3461"/>
      <c r="TFM11" s="3461"/>
      <c r="TFN11" s="3461"/>
      <c r="TFO11" s="3461"/>
      <c r="TFP11" s="3461"/>
      <c r="TFQ11" s="3461"/>
      <c r="TFR11" s="3461"/>
      <c r="TFS11" s="3461"/>
      <c r="TFT11" s="3461"/>
      <c r="TFU11" s="3461"/>
      <c r="TFV11" s="3461"/>
      <c r="TFW11" s="3461"/>
      <c r="TFX11" s="3461"/>
      <c r="TFY11" s="3461"/>
      <c r="TFZ11" s="3461"/>
      <c r="TGA11" s="3461"/>
      <c r="TGB11" s="3461"/>
      <c r="TGC11" s="3461"/>
      <c r="TGD11" s="3461"/>
      <c r="TGE11" s="3461"/>
      <c r="TGF11" s="3461"/>
      <c r="TGG11" s="3461"/>
      <c r="TGH11" s="3461"/>
      <c r="TGI11" s="3461"/>
      <c r="TGJ11" s="3461"/>
      <c r="TGK11" s="3461"/>
      <c r="TGL11" s="3461"/>
      <c r="TGM11" s="3461"/>
      <c r="TGN11" s="3461"/>
      <c r="TGO11" s="3461"/>
      <c r="TGP11" s="3461"/>
      <c r="TGQ11" s="3461"/>
      <c r="TGR11" s="3461"/>
      <c r="TGS11" s="3461"/>
      <c r="TGT11" s="3461"/>
      <c r="TGU11" s="3461"/>
      <c r="TGV11" s="3461"/>
      <c r="TGW11" s="3461"/>
      <c r="TGX11" s="3461"/>
      <c r="TGY11" s="3461"/>
      <c r="TGZ11" s="3461"/>
      <c r="THA11" s="3461"/>
      <c r="THB11" s="3461"/>
      <c r="THC11" s="3461"/>
      <c r="THD11" s="3461"/>
      <c r="THE11" s="3461"/>
      <c r="THF11" s="3461"/>
      <c r="THG11" s="3461"/>
      <c r="THH11" s="3461"/>
      <c r="THI11" s="3461"/>
      <c r="THJ11" s="3461"/>
      <c r="THK11" s="3461"/>
      <c r="THL11" s="3461"/>
      <c r="THM11" s="3461"/>
      <c r="THN11" s="3461"/>
      <c r="THO11" s="3461"/>
      <c r="THP11" s="3461"/>
      <c r="THQ11" s="3461"/>
      <c r="THR11" s="3461"/>
      <c r="THS11" s="3461"/>
      <c r="THT11" s="3461"/>
      <c r="THU11" s="3461"/>
      <c r="THV11" s="3461"/>
      <c r="THW11" s="3461"/>
      <c r="THX11" s="3461"/>
      <c r="THY11" s="3461"/>
      <c r="THZ11" s="3461"/>
      <c r="TIA11" s="3461"/>
      <c r="TIB11" s="3461"/>
      <c r="TIC11" s="3461"/>
      <c r="TID11" s="3461"/>
      <c r="TIE11" s="3461"/>
      <c r="TIF11" s="3461"/>
      <c r="TIG11" s="3461"/>
      <c r="TIH11" s="3461"/>
      <c r="TII11" s="3461"/>
      <c r="TIJ11" s="3461"/>
      <c r="TIK11" s="3461"/>
      <c r="TIL11" s="3461"/>
      <c r="TIM11" s="3461"/>
      <c r="TIN11" s="3461"/>
      <c r="TIO11" s="3461"/>
      <c r="TIP11" s="3461"/>
      <c r="TIQ11" s="3461"/>
      <c r="TIR11" s="3461"/>
      <c r="TIS11" s="3461"/>
      <c r="TIT11" s="3461"/>
      <c r="TIU11" s="3461"/>
      <c r="TIV11" s="3461"/>
      <c r="TIW11" s="3461"/>
      <c r="TIX11" s="3461"/>
      <c r="TIY11" s="3461"/>
      <c r="TIZ11" s="3461"/>
      <c r="TJA11" s="3461"/>
      <c r="TJB11" s="3461"/>
      <c r="TJC11" s="3461"/>
      <c r="TJD11" s="3461"/>
      <c r="TJE11" s="3461"/>
      <c r="TJF11" s="3461"/>
      <c r="TJG11" s="3461"/>
      <c r="TJH11" s="3461"/>
      <c r="TJI11" s="3461"/>
      <c r="TJJ11" s="3461"/>
      <c r="TJK11" s="3461"/>
      <c r="TJL11" s="3461"/>
      <c r="TJM11" s="3461"/>
      <c r="TJN11" s="3461"/>
      <c r="TJO11" s="3461"/>
      <c r="TJP11" s="3461"/>
      <c r="TJQ11" s="3461"/>
      <c r="TJR11" s="3461"/>
      <c r="TJS11" s="3461"/>
      <c r="TJT11" s="3461"/>
      <c r="TJU11" s="3461"/>
      <c r="TJV11" s="3461"/>
      <c r="TJW11" s="3461"/>
      <c r="TJX11" s="3461"/>
      <c r="TJY11" s="3461"/>
      <c r="TJZ11" s="3461"/>
      <c r="TKA11" s="3461"/>
      <c r="TKB11" s="3461"/>
      <c r="TKC11" s="3461"/>
      <c r="TKD11" s="3461"/>
      <c r="TKE11" s="3461"/>
      <c r="TKF11" s="3461"/>
      <c r="TKG11" s="3461"/>
      <c r="TKH11" s="3461"/>
      <c r="TKI11" s="3461"/>
      <c r="TKJ11" s="3461"/>
      <c r="TKK11" s="3461"/>
      <c r="TKL11" s="3461"/>
      <c r="TKM11" s="3461"/>
      <c r="TKN11" s="3461"/>
      <c r="TKO11" s="3461"/>
      <c r="TKP11" s="3461"/>
      <c r="TKQ11" s="3461"/>
      <c r="TKR11" s="3461"/>
      <c r="TKS11" s="3461"/>
      <c r="TKT11" s="3461"/>
      <c r="TKU11" s="3461"/>
      <c r="TKV11" s="3461"/>
      <c r="TKW11" s="3461"/>
      <c r="TKX11" s="3461"/>
      <c r="TKY11" s="3461"/>
      <c r="TKZ11" s="3461"/>
      <c r="TLA11" s="3461"/>
      <c r="TLB11" s="3461"/>
      <c r="TLC11" s="3461"/>
      <c r="TLD11" s="3461"/>
      <c r="TLE11" s="3461"/>
      <c r="TLF11" s="3461"/>
      <c r="TLG11" s="3461"/>
      <c r="TLH11" s="3461"/>
      <c r="TLI11" s="3461"/>
      <c r="TLJ11" s="3461"/>
      <c r="TLK11" s="3461"/>
      <c r="TLL11" s="3461"/>
      <c r="TLM11" s="3461"/>
      <c r="TLN11" s="3461"/>
      <c r="TLO11" s="3461"/>
      <c r="TLP11" s="3461"/>
      <c r="TLQ11" s="3461"/>
      <c r="TLR11" s="3461"/>
      <c r="TLS11" s="3461"/>
      <c r="TLT11" s="3461"/>
      <c r="TLU11" s="3461"/>
      <c r="TLV11" s="3461"/>
      <c r="TLW11" s="3461"/>
      <c r="TLX11" s="3461"/>
      <c r="TLY11" s="3461"/>
      <c r="TLZ11" s="3461"/>
      <c r="TMA11" s="3461"/>
      <c r="TMB11" s="3461"/>
      <c r="TMC11" s="3461"/>
      <c r="TMD11" s="3461"/>
      <c r="TME11" s="3461"/>
      <c r="TMF11" s="3461"/>
      <c r="TMG11" s="3461"/>
      <c r="TMH11" s="3461"/>
      <c r="TMI11" s="3461"/>
      <c r="TMJ11" s="3461"/>
      <c r="TMK11" s="3461"/>
      <c r="TML11" s="3461"/>
      <c r="TMM11" s="3461"/>
      <c r="TMN11" s="3461"/>
      <c r="TMO11" s="3461"/>
      <c r="TMP11" s="3461"/>
      <c r="TMQ11" s="3461"/>
      <c r="TMR11" s="3461"/>
      <c r="TMS11" s="3461"/>
      <c r="TMT11" s="3461"/>
      <c r="TMU11" s="3461"/>
      <c r="TMV11" s="3461"/>
      <c r="TMW11" s="3461"/>
      <c r="TMX11" s="3461"/>
      <c r="TMY11" s="3461"/>
      <c r="TMZ11" s="3461"/>
      <c r="TNA11" s="3461"/>
      <c r="TNB11" s="3461"/>
      <c r="TNC11" s="3461"/>
      <c r="TND11" s="3461"/>
      <c r="TNE11" s="3461"/>
      <c r="TNF11" s="3461"/>
      <c r="TNG11" s="3461"/>
      <c r="TNH11" s="3461"/>
      <c r="TNI11" s="3461"/>
      <c r="TNJ11" s="3461"/>
      <c r="TNK11" s="3461"/>
      <c r="TNL11" s="3461"/>
      <c r="TNM11" s="3461"/>
      <c r="TNN11" s="3461"/>
      <c r="TNO11" s="3461"/>
      <c r="TNP11" s="3461"/>
      <c r="TNQ11" s="3461"/>
      <c r="TNR11" s="3461"/>
      <c r="TNS11" s="3461"/>
      <c r="TNT11" s="3461"/>
      <c r="TNU11" s="3461"/>
      <c r="TNV11" s="3461"/>
      <c r="TNW11" s="3461"/>
      <c r="TNX11" s="3461"/>
      <c r="TNY11" s="3461"/>
      <c r="TNZ11" s="3461"/>
      <c r="TOA11" s="3461"/>
      <c r="TOB11" s="3461"/>
      <c r="TOC11" s="3461"/>
      <c r="TOD11" s="3461"/>
      <c r="TOE11" s="3461"/>
      <c r="TOF11" s="3461"/>
      <c r="TOG11" s="3461"/>
      <c r="TOH11" s="3461"/>
      <c r="TOI11" s="3461"/>
      <c r="TOJ11" s="3461"/>
      <c r="TOK11" s="3461"/>
      <c r="TOL11" s="3461"/>
      <c r="TOM11" s="3461"/>
      <c r="TON11" s="3461"/>
      <c r="TOO11" s="3461"/>
      <c r="TOP11" s="3461"/>
      <c r="TOQ11" s="3461"/>
      <c r="TOR11" s="3461"/>
      <c r="TOS11" s="3461"/>
      <c r="TOT11" s="3461"/>
      <c r="TOU11" s="3461"/>
      <c r="TOV11" s="3461"/>
      <c r="TOW11" s="3461"/>
      <c r="TOX11" s="3461"/>
      <c r="TOY11" s="3461"/>
      <c r="TOZ11" s="3461"/>
      <c r="TPA11" s="3461"/>
      <c r="TPB11" s="3461"/>
      <c r="TPC11" s="3461"/>
      <c r="TPD11" s="3461"/>
      <c r="TPE11" s="3461"/>
      <c r="TPF11" s="3461"/>
      <c r="TPG11" s="3461"/>
      <c r="TPH11" s="3461"/>
      <c r="TPI11" s="3461"/>
      <c r="TPJ11" s="3461"/>
      <c r="TPK11" s="3461"/>
      <c r="TPL11" s="3461"/>
      <c r="TPM11" s="3461"/>
      <c r="TPN11" s="3461"/>
      <c r="TPO11" s="3461"/>
      <c r="TPP11" s="3461"/>
      <c r="TPQ11" s="3461"/>
      <c r="TPR11" s="3461"/>
      <c r="TPS11" s="3461"/>
      <c r="TPT11" s="3461"/>
      <c r="TPU11" s="3461"/>
      <c r="TPV11" s="3461"/>
      <c r="TPW11" s="3461"/>
      <c r="TPX11" s="3461"/>
      <c r="TPY11" s="3461"/>
      <c r="TPZ11" s="3461"/>
      <c r="TQA11" s="3461"/>
      <c r="TQB11" s="3461"/>
      <c r="TQC11" s="3461"/>
      <c r="TQD11" s="3461"/>
      <c r="TQE11" s="3461"/>
      <c r="TQF11" s="3461"/>
      <c r="TQG11" s="3461"/>
      <c r="TQH11" s="3461"/>
      <c r="TQI11" s="3461"/>
      <c r="TQJ11" s="3461"/>
      <c r="TQK11" s="3461"/>
      <c r="TQL11" s="3461"/>
      <c r="TQM11" s="3461"/>
      <c r="TQN11" s="3461"/>
      <c r="TQO11" s="3461"/>
      <c r="TQP11" s="3461"/>
      <c r="TQQ11" s="3461"/>
      <c r="TQR11" s="3461"/>
      <c r="TQS11" s="3461"/>
      <c r="TQT11" s="3461"/>
      <c r="TQU11" s="3461"/>
      <c r="TQV11" s="3461"/>
      <c r="TQW11" s="3461"/>
      <c r="TQX11" s="3461"/>
      <c r="TQY11" s="3461"/>
      <c r="TQZ11" s="3461"/>
      <c r="TRA11" s="3461"/>
      <c r="TRB11" s="3461"/>
      <c r="TRC11" s="3461"/>
      <c r="TRD11" s="3461"/>
      <c r="TRE11" s="3461"/>
      <c r="TRF11" s="3461"/>
      <c r="TRG11" s="3461"/>
      <c r="TRH11" s="3461"/>
      <c r="TRI11" s="3461"/>
      <c r="TRJ11" s="3461"/>
      <c r="TRK11" s="3461"/>
      <c r="TRL11" s="3461"/>
      <c r="TRM11" s="3461"/>
      <c r="TRN11" s="3461"/>
      <c r="TRO11" s="3461"/>
      <c r="TRP11" s="3461"/>
      <c r="TRQ11" s="3461"/>
      <c r="TRR11" s="3461"/>
      <c r="TRS11" s="3461"/>
      <c r="TRT11" s="3461"/>
      <c r="TRU11" s="3461"/>
      <c r="TRV11" s="3461"/>
      <c r="TRW11" s="3461"/>
      <c r="TRX11" s="3461"/>
      <c r="TRY11" s="3461"/>
      <c r="TRZ11" s="3461"/>
      <c r="TSA11" s="3461"/>
      <c r="TSB11" s="3461"/>
      <c r="TSC11" s="3461"/>
      <c r="TSD11" s="3461"/>
      <c r="TSE11" s="3461"/>
      <c r="TSF11" s="3461"/>
      <c r="TSG11" s="3461"/>
      <c r="TSH11" s="3461"/>
      <c r="TSI11" s="3461"/>
      <c r="TSJ11" s="3461"/>
      <c r="TSK11" s="3461"/>
      <c r="TSL11" s="3461"/>
      <c r="TSM11" s="3461"/>
      <c r="TSN11" s="3461"/>
      <c r="TSO11" s="3461"/>
      <c r="TSP11" s="3461"/>
      <c r="TSQ11" s="3461"/>
      <c r="TSR11" s="3461"/>
      <c r="TSS11" s="3461"/>
      <c r="TST11" s="3461"/>
      <c r="TSU11" s="3461"/>
      <c r="TSV11" s="3461"/>
      <c r="TSW11" s="3461"/>
      <c r="TSX11" s="3461"/>
      <c r="TSY11" s="3461"/>
      <c r="TSZ11" s="3461"/>
      <c r="TTA11" s="3461"/>
      <c r="TTB11" s="3461"/>
      <c r="TTC11" s="3461"/>
      <c r="TTD11" s="3461"/>
      <c r="TTE11" s="3461"/>
      <c r="TTF11" s="3461"/>
      <c r="TTG11" s="3461"/>
      <c r="TTH11" s="3461"/>
      <c r="TTI11" s="3461"/>
      <c r="TTJ11" s="3461"/>
      <c r="TTK11" s="3461"/>
      <c r="TTL11" s="3461"/>
      <c r="TTM11" s="3461"/>
      <c r="TTN11" s="3461"/>
      <c r="TTO11" s="3461"/>
      <c r="TTP11" s="3461"/>
      <c r="TTQ11" s="3461"/>
      <c r="TTR11" s="3461"/>
      <c r="TTS11" s="3461"/>
      <c r="TTT11" s="3461"/>
      <c r="TTU11" s="3461"/>
      <c r="TTV11" s="3461"/>
      <c r="TTW11" s="3461"/>
      <c r="TTX11" s="3461"/>
      <c r="TTY11" s="3461"/>
      <c r="TTZ11" s="3461"/>
      <c r="TUA11" s="3461"/>
      <c r="TUB11" s="3461"/>
      <c r="TUC11" s="3461"/>
      <c r="TUD11" s="3461"/>
      <c r="TUE11" s="3461"/>
      <c r="TUF11" s="3461"/>
      <c r="TUG11" s="3461"/>
      <c r="TUH11" s="3461"/>
      <c r="TUI11" s="3461"/>
      <c r="TUJ11" s="3461"/>
      <c r="TUK11" s="3461"/>
      <c r="TUL11" s="3461"/>
      <c r="TUM11" s="3461"/>
      <c r="TUN11" s="3461"/>
      <c r="TUO11" s="3461"/>
      <c r="TUP11" s="3461"/>
      <c r="TUQ11" s="3461"/>
      <c r="TUR11" s="3461"/>
      <c r="TUS11" s="3461"/>
      <c r="TUT11" s="3461"/>
      <c r="TUU11" s="3461"/>
      <c r="TUV11" s="3461"/>
      <c r="TUW11" s="3461"/>
      <c r="TUX11" s="3461"/>
      <c r="TUY11" s="3461"/>
      <c r="TUZ11" s="3461"/>
      <c r="TVA11" s="3461"/>
      <c r="TVB11" s="3461"/>
      <c r="TVC11" s="3461"/>
      <c r="TVD11" s="3461"/>
      <c r="TVE11" s="3461"/>
      <c r="TVF11" s="3461"/>
      <c r="TVG11" s="3461"/>
      <c r="TVH11" s="3461"/>
      <c r="TVI11" s="3461"/>
      <c r="TVJ11" s="3461"/>
      <c r="TVK11" s="3461"/>
      <c r="TVL11" s="3461"/>
      <c r="TVM11" s="3461"/>
      <c r="TVN11" s="3461"/>
      <c r="TVO11" s="3461"/>
      <c r="TVP11" s="3461"/>
      <c r="TVQ11" s="3461"/>
      <c r="TVR11" s="3461"/>
      <c r="TVS11" s="3461"/>
      <c r="TVT11" s="3461"/>
      <c r="TVU11" s="3461"/>
      <c r="TVV11" s="3461"/>
      <c r="TVW11" s="3461"/>
      <c r="TVX11" s="3461"/>
      <c r="TVY11" s="3461"/>
      <c r="TVZ11" s="3461"/>
      <c r="TWA11" s="3461"/>
      <c r="TWB11" s="3461"/>
      <c r="TWC11" s="3461"/>
      <c r="TWD11" s="3461"/>
      <c r="TWE11" s="3461"/>
      <c r="TWF11" s="3461"/>
      <c r="TWG11" s="3461"/>
      <c r="TWH11" s="3461"/>
      <c r="TWI11" s="3461"/>
      <c r="TWJ11" s="3461"/>
      <c r="TWK11" s="3461"/>
      <c r="TWL11" s="3461"/>
      <c r="TWM11" s="3461"/>
      <c r="TWN11" s="3461"/>
      <c r="TWO11" s="3461"/>
      <c r="TWP11" s="3461"/>
      <c r="TWQ11" s="3461"/>
      <c r="TWR11" s="3461"/>
      <c r="TWS11" s="3461"/>
      <c r="TWT11" s="3461"/>
      <c r="TWU11" s="3461"/>
      <c r="TWV11" s="3461"/>
      <c r="TWW11" s="3461"/>
      <c r="TWX11" s="3461"/>
      <c r="TWY11" s="3461"/>
      <c r="TWZ11" s="3461"/>
      <c r="TXA11" s="3461"/>
      <c r="TXB11" s="3461"/>
      <c r="TXC11" s="3461"/>
      <c r="TXD11" s="3461"/>
      <c r="TXE11" s="3461"/>
      <c r="TXF11" s="3461"/>
      <c r="TXG11" s="3461"/>
      <c r="TXH11" s="3461"/>
      <c r="TXI11" s="3461"/>
      <c r="TXJ11" s="3461"/>
      <c r="TXK11" s="3461"/>
      <c r="TXL11" s="3461"/>
      <c r="TXM11" s="3461"/>
      <c r="TXN11" s="3461"/>
      <c r="TXO11" s="3461"/>
      <c r="TXP11" s="3461"/>
      <c r="TXQ11" s="3461"/>
      <c r="TXR11" s="3461"/>
      <c r="TXS11" s="3461"/>
      <c r="TXT11" s="3461"/>
      <c r="TXU11" s="3461"/>
      <c r="TXV11" s="3461"/>
      <c r="TXW11" s="3461"/>
      <c r="TXX11" s="3461"/>
      <c r="TXY11" s="3461"/>
      <c r="TXZ11" s="3461"/>
      <c r="TYA11" s="3461"/>
      <c r="TYB11" s="3461"/>
      <c r="TYC11" s="3461"/>
      <c r="TYD11" s="3461"/>
      <c r="TYE11" s="3461"/>
      <c r="TYF11" s="3461"/>
      <c r="TYG11" s="3461"/>
      <c r="TYH11" s="3461"/>
      <c r="TYI11" s="3461"/>
      <c r="TYJ11" s="3461"/>
      <c r="TYK11" s="3461"/>
      <c r="TYL11" s="3461"/>
      <c r="TYM11" s="3461"/>
      <c r="TYN11" s="3461"/>
      <c r="TYO11" s="3461"/>
      <c r="TYP11" s="3461"/>
      <c r="TYQ11" s="3461"/>
      <c r="TYR11" s="3461"/>
      <c r="TYS11" s="3461"/>
      <c r="TYT11" s="3461"/>
      <c r="TYU11" s="3461"/>
      <c r="TYV11" s="3461"/>
      <c r="TYW11" s="3461"/>
      <c r="TYX11" s="3461"/>
      <c r="TYY11" s="3461"/>
      <c r="TYZ11" s="3461"/>
      <c r="TZA11" s="3461"/>
      <c r="TZB11" s="3461"/>
      <c r="TZC11" s="3461"/>
      <c r="TZD11" s="3461"/>
      <c r="TZE11" s="3461"/>
      <c r="TZF11" s="3461"/>
      <c r="TZG11" s="3461"/>
      <c r="TZH11" s="3461"/>
      <c r="TZI11" s="3461"/>
      <c r="TZJ11" s="3461"/>
      <c r="TZK11" s="3461"/>
      <c r="TZL11" s="3461"/>
      <c r="TZM11" s="3461"/>
      <c r="TZN11" s="3461"/>
      <c r="TZO11" s="3461"/>
      <c r="TZP11" s="3461"/>
      <c r="TZQ11" s="3461"/>
      <c r="TZR11" s="3461"/>
      <c r="TZS11" s="3461"/>
      <c r="TZT11" s="3461"/>
      <c r="TZU11" s="3461"/>
      <c r="TZV11" s="3461"/>
      <c r="TZW11" s="3461"/>
      <c r="TZX11" s="3461"/>
      <c r="TZY11" s="3461"/>
      <c r="TZZ11" s="3461"/>
      <c r="UAA11" s="3461"/>
      <c r="UAB11" s="3461"/>
      <c r="UAC11" s="3461"/>
      <c r="UAD11" s="3461"/>
      <c r="UAE11" s="3461"/>
      <c r="UAF11" s="3461"/>
      <c r="UAG11" s="3461"/>
      <c r="UAH11" s="3461"/>
      <c r="UAI11" s="3461"/>
      <c r="UAJ11" s="3461"/>
      <c r="UAK11" s="3461"/>
      <c r="UAL11" s="3461"/>
      <c r="UAM11" s="3461"/>
      <c r="UAN11" s="3461"/>
      <c r="UAO11" s="3461"/>
      <c r="UAP11" s="3461"/>
      <c r="UAQ11" s="3461"/>
      <c r="UAR11" s="3461"/>
      <c r="UAS11" s="3461"/>
      <c r="UAT11" s="3461"/>
      <c r="UAU11" s="3461"/>
      <c r="UAV11" s="3461"/>
      <c r="UAW11" s="3461"/>
      <c r="UAX11" s="3461"/>
      <c r="UAY11" s="3461"/>
      <c r="UAZ11" s="3461"/>
      <c r="UBA11" s="3461"/>
      <c r="UBB11" s="3461"/>
      <c r="UBC11" s="3461"/>
      <c r="UBD11" s="3461"/>
      <c r="UBE11" s="3461"/>
      <c r="UBF11" s="3461"/>
      <c r="UBG11" s="3461"/>
      <c r="UBH11" s="3461"/>
      <c r="UBI11" s="3461"/>
      <c r="UBJ11" s="3461"/>
      <c r="UBK11" s="3461"/>
      <c r="UBL11" s="3461"/>
      <c r="UBM11" s="3461"/>
      <c r="UBN11" s="3461"/>
      <c r="UBO11" s="3461"/>
      <c r="UBP11" s="3461"/>
      <c r="UBQ11" s="3461"/>
      <c r="UBR11" s="3461"/>
      <c r="UBS11" s="3461"/>
      <c r="UBT11" s="3461"/>
      <c r="UBU11" s="3461"/>
      <c r="UBV11" s="3461"/>
      <c r="UBW11" s="3461"/>
      <c r="UBX11" s="3461"/>
      <c r="UBY11" s="3461"/>
      <c r="UBZ11" s="3461"/>
      <c r="UCA11" s="3461"/>
      <c r="UCB11" s="3461"/>
      <c r="UCC11" s="3461"/>
      <c r="UCD11" s="3461"/>
      <c r="UCE11" s="3461"/>
      <c r="UCF11" s="3461"/>
      <c r="UCG11" s="3461"/>
      <c r="UCH11" s="3461"/>
      <c r="UCI11" s="3461"/>
      <c r="UCJ11" s="3461"/>
      <c r="UCK11" s="3461"/>
      <c r="UCL11" s="3461"/>
      <c r="UCM11" s="3461"/>
      <c r="UCN11" s="3461"/>
      <c r="UCO11" s="3461"/>
      <c r="UCP11" s="3461"/>
      <c r="UCQ11" s="3461"/>
      <c r="UCR11" s="3461"/>
      <c r="UCS11" s="3461"/>
      <c r="UCT11" s="3461"/>
      <c r="UCU11" s="3461"/>
      <c r="UCV11" s="3461"/>
      <c r="UCW11" s="3461"/>
      <c r="UCX11" s="3461"/>
      <c r="UCY11" s="3461"/>
      <c r="UCZ11" s="3461"/>
      <c r="UDA11" s="3461"/>
      <c r="UDB11" s="3461"/>
      <c r="UDC11" s="3461"/>
      <c r="UDD11" s="3461"/>
      <c r="UDE11" s="3461"/>
      <c r="UDF11" s="3461"/>
      <c r="UDG11" s="3461"/>
      <c r="UDH11" s="3461"/>
      <c r="UDI11" s="3461"/>
      <c r="UDJ11" s="3461"/>
      <c r="UDK11" s="3461"/>
      <c r="UDL11" s="3461"/>
      <c r="UDM11" s="3461"/>
      <c r="UDN11" s="3461"/>
      <c r="UDO11" s="3461"/>
      <c r="UDP11" s="3461"/>
      <c r="UDQ11" s="3461"/>
      <c r="UDR11" s="3461"/>
      <c r="UDS11" s="3461"/>
      <c r="UDT11" s="3461"/>
      <c r="UDU11" s="3461"/>
      <c r="UDV11" s="3461"/>
      <c r="UDW11" s="3461"/>
      <c r="UDX11" s="3461"/>
      <c r="UDY11" s="3461"/>
      <c r="UDZ11" s="3461"/>
      <c r="UEA11" s="3461"/>
      <c r="UEB11" s="3461"/>
      <c r="UEC11" s="3461"/>
      <c r="UED11" s="3461"/>
      <c r="UEE11" s="3461"/>
      <c r="UEF11" s="3461"/>
      <c r="UEG11" s="3461"/>
      <c r="UEH11" s="3461"/>
      <c r="UEI11" s="3461"/>
      <c r="UEJ11" s="3461"/>
      <c r="UEK11" s="3461"/>
      <c r="UEL11" s="3461"/>
      <c r="UEM11" s="3461"/>
      <c r="UEN11" s="3461"/>
      <c r="UEO11" s="3461"/>
      <c r="UEP11" s="3461"/>
      <c r="UEQ11" s="3461"/>
      <c r="UER11" s="3461"/>
      <c r="UES11" s="3461"/>
      <c r="UET11" s="3461"/>
      <c r="UEU11" s="3461"/>
      <c r="UEV11" s="3461"/>
      <c r="UEW11" s="3461"/>
      <c r="UEX11" s="3461"/>
      <c r="UEY11" s="3461"/>
      <c r="UEZ11" s="3461"/>
      <c r="UFA11" s="3461"/>
      <c r="UFB11" s="3461"/>
      <c r="UFC11" s="3461"/>
      <c r="UFD11" s="3461"/>
      <c r="UFE11" s="3461"/>
      <c r="UFF11" s="3461"/>
      <c r="UFG11" s="3461"/>
      <c r="UFH11" s="3461"/>
      <c r="UFI11" s="3461"/>
      <c r="UFJ11" s="3461"/>
      <c r="UFK11" s="3461"/>
      <c r="UFL11" s="3461"/>
      <c r="UFM11" s="3461"/>
      <c r="UFN11" s="3461"/>
      <c r="UFO11" s="3461"/>
      <c r="UFP11" s="3461"/>
      <c r="UFQ11" s="3461"/>
      <c r="UFR11" s="3461"/>
      <c r="UFS11" s="3461"/>
      <c r="UFT11" s="3461"/>
      <c r="UFU11" s="3461"/>
      <c r="UFV11" s="3461"/>
      <c r="UFW11" s="3461"/>
      <c r="UFX11" s="3461"/>
      <c r="UFY11" s="3461"/>
      <c r="UFZ11" s="3461"/>
      <c r="UGA11" s="3461"/>
      <c r="UGB11" s="3461"/>
      <c r="UGC11" s="3461"/>
      <c r="UGD11" s="3461"/>
      <c r="UGE11" s="3461"/>
      <c r="UGF11" s="3461"/>
      <c r="UGG11" s="3461"/>
      <c r="UGH11" s="3461"/>
      <c r="UGI11" s="3461"/>
      <c r="UGJ11" s="3461"/>
      <c r="UGK11" s="3461"/>
      <c r="UGL11" s="3461"/>
      <c r="UGM11" s="3461"/>
      <c r="UGN11" s="3461"/>
      <c r="UGO11" s="3461"/>
      <c r="UGP11" s="3461"/>
      <c r="UGQ11" s="3461"/>
      <c r="UGR11" s="3461"/>
      <c r="UGS11" s="3461"/>
      <c r="UGT11" s="3461"/>
      <c r="UGU11" s="3461"/>
      <c r="UGV11" s="3461"/>
      <c r="UGW11" s="3461"/>
      <c r="UGX11" s="3461"/>
      <c r="UGY11" s="3461"/>
      <c r="UGZ11" s="3461"/>
      <c r="UHA11" s="3461"/>
      <c r="UHB11" s="3461"/>
      <c r="UHC11" s="3461"/>
      <c r="UHD11" s="3461"/>
      <c r="UHE11" s="3461"/>
      <c r="UHF11" s="3461"/>
      <c r="UHG11" s="3461"/>
      <c r="UHH11" s="3461"/>
      <c r="UHI11" s="3461"/>
      <c r="UHJ11" s="3461"/>
      <c r="UHK11" s="3461"/>
      <c r="UHL11" s="3461"/>
      <c r="UHM11" s="3461"/>
      <c r="UHN11" s="3461"/>
      <c r="UHO11" s="3461"/>
      <c r="UHP11" s="3461"/>
      <c r="UHQ11" s="3461"/>
      <c r="UHR11" s="3461"/>
      <c r="UHS11" s="3461"/>
      <c r="UHT11" s="3461"/>
      <c r="UHU11" s="3461"/>
      <c r="UHV11" s="3461"/>
      <c r="UHW11" s="3461"/>
      <c r="UHX11" s="3461"/>
      <c r="UHY11" s="3461"/>
      <c r="UHZ11" s="3461"/>
      <c r="UIA11" s="3461"/>
      <c r="UIB11" s="3461"/>
      <c r="UIC11" s="3461"/>
      <c r="UID11" s="3461"/>
      <c r="UIE11" s="3461"/>
      <c r="UIF11" s="3461"/>
      <c r="UIG11" s="3461"/>
      <c r="UIH11" s="3461"/>
      <c r="UII11" s="3461"/>
      <c r="UIJ11" s="3461"/>
      <c r="UIK11" s="3461"/>
      <c r="UIL11" s="3461"/>
      <c r="UIM11" s="3461"/>
      <c r="UIN11" s="3461"/>
      <c r="UIO11" s="3461"/>
      <c r="UIP11" s="3461"/>
      <c r="UIQ11" s="3461"/>
      <c r="UIR11" s="3461"/>
      <c r="UIS11" s="3461"/>
      <c r="UIT11" s="3461"/>
      <c r="UIU11" s="3461"/>
      <c r="UIV11" s="3461"/>
      <c r="UIW11" s="3461"/>
      <c r="UIX11" s="3461"/>
      <c r="UIY11" s="3461"/>
      <c r="UIZ11" s="3461"/>
      <c r="UJA11" s="3461"/>
      <c r="UJB11" s="3461"/>
      <c r="UJC11" s="3461"/>
      <c r="UJD11" s="3461"/>
      <c r="UJE11" s="3461"/>
      <c r="UJF11" s="3461"/>
      <c r="UJG11" s="3461"/>
      <c r="UJH11" s="3461"/>
      <c r="UJI11" s="3461"/>
      <c r="UJJ11" s="3461"/>
      <c r="UJK11" s="3461"/>
      <c r="UJL11" s="3461"/>
      <c r="UJM11" s="3461"/>
      <c r="UJN11" s="3461"/>
      <c r="UJO11" s="3461"/>
      <c r="UJP11" s="3461"/>
      <c r="UJQ11" s="3461"/>
      <c r="UJR11" s="3461"/>
      <c r="UJS11" s="3461"/>
      <c r="UJT11" s="3461"/>
      <c r="UJU11" s="3461"/>
      <c r="UJV11" s="3461"/>
      <c r="UJW11" s="3461"/>
      <c r="UJX11" s="3461"/>
      <c r="UJY11" s="3461"/>
      <c r="UJZ11" s="3461"/>
      <c r="UKA11" s="3461"/>
      <c r="UKB11" s="3461"/>
      <c r="UKC11" s="3461"/>
      <c r="UKD11" s="3461"/>
      <c r="UKE11" s="3461"/>
      <c r="UKF11" s="3461"/>
      <c r="UKG11" s="3461"/>
      <c r="UKH11" s="3461"/>
      <c r="UKI11" s="3461"/>
      <c r="UKJ11" s="3461"/>
      <c r="UKK11" s="3461"/>
      <c r="UKL11" s="3461"/>
      <c r="UKM11" s="3461"/>
      <c r="UKN11" s="3461"/>
      <c r="UKO11" s="3461"/>
      <c r="UKP11" s="3461"/>
      <c r="UKQ11" s="3461"/>
      <c r="UKR11" s="3461"/>
      <c r="UKS11" s="3461"/>
      <c r="UKT11" s="3461"/>
      <c r="UKU11" s="3461"/>
      <c r="UKV11" s="3461"/>
      <c r="UKW11" s="3461"/>
      <c r="UKX11" s="3461"/>
      <c r="UKY11" s="3461"/>
      <c r="UKZ11" s="3461"/>
      <c r="ULA11" s="3461"/>
      <c r="ULB11" s="3461"/>
      <c r="ULC11" s="3461"/>
      <c r="ULD11" s="3461"/>
      <c r="ULE11" s="3461"/>
      <c r="ULF11" s="3461"/>
      <c r="ULG11" s="3461"/>
      <c r="ULH11" s="3461"/>
      <c r="ULI11" s="3461"/>
      <c r="ULJ11" s="3461"/>
      <c r="ULK11" s="3461"/>
      <c r="ULL11" s="3461"/>
      <c r="ULM11" s="3461"/>
      <c r="ULN11" s="3461"/>
      <c r="ULO11" s="3461"/>
      <c r="ULP11" s="3461"/>
      <c r="ULQ11" s="3461"/>
      <c r="ULR11" s="3461"/>
      <c r="ULS11" s="3461"/>
      <c r="ULT11" s="3461"/>
      <c r="ULU11" s="3461"/>
      <c r="ULV11" s="3461"/>
      <c r="ULW11" s="3461"/>
      <c r="ULX11" s="3461"/>
      <c r="ULY11" s="3461"/>
      <c r="ULZ11" s="3461"/>
      <c r="UMA11" s="3461"/>
      <c r="UMB11" s="3461"/>
      <c r="UMC11" s="3461"/>
      <c r="UMD11" s="3461"/>
      <c r="UME11" s="3461"/>
      <c r="UMF11" s="3461"/>
      <c r="UMG11" s="3461"/>
      <c r="UMH11" s="3461"/>
      <c r="UMI11" s="3461"/>
      <c r="UMJ11" s="3461"/>
      <c r="UMK11" s="3461"/>
      <c r="UML11" s="3461"/>
      <c r="UMM11" s="3461"/>
      <c r="UMN11" s="3461"/>
      <c r="UMO11" s="3461"/>
      <c r="UMP11" s="3461"/>
      <c r="UMQ11" s="3461"/>
      <c r="UMR11" s="3461"/>
      <c r="UMS11" s="3461"/>
      <c r="UMT11" s="3461"/>
      <c r="UMU11" s="3461"/>
      <c r="UMV11" s="3461"/>
      <c r="UMW11" s="3461"/>
      <c r="UMX11" s="3461"/>
      <c r="UMY11" s="3461"/>
      <c r="UMZ11" s="3461"/>
      <c r="UNA11" s="3461"/>
      <c r="UNB11" s="3461"/>
      <c r="UNC11" s="3461"/>
      <c r="UND11" s="3461"/>
      <c r="UNE11" s="3461"/>
      <c r="UNF11" s="3461"/>
      <c r="UNG11" s="3461"/>
      <c r="UNH11" s="3461"/>
      <c r="UNI11" s="3461"/>
      <c r="UNJ11" s="3461"/>
      <c r="UNK11" s="3461"/>
      <c r="UNL11" s="3461"/>
      <c r="UNM11" s="3461"/>
      <c r="UNN11" s="3461"/>
      <c r="UNO11" s="3461"/>
      <c r="UNP11" s="3461"/>
      <c r="UNQ11" s="3461"/>
      <c r="UNR11" s="3461"/>
      <c r="UNS11" s="3461"/>
      <c r="UNT11" s="3461"/>
      <c r="UNU11" s="3461"/>
      <c r="UNV11" s="3461"/>
      <c r="UNW11" s="3461"/>
      <c r="UNX11" s="3461"/>
      <c r="UNY11" s="3461"/>
      <c r="UNZ11" s="3461"/>
      <c r="UOA11" s="3461"/>
      <c r="UOB11" s="3461"/>
      <c r="UOC11" s="3461"/>
      <c r="UOD11" s="3461"/>
      <c r="UOE11" s="3461"/>
      <c r="UOF11" s="3461"/>
      <c r="UOG11" s="3461"/>
      <c r="UOH11" s="3461"/>
      <c r="UOI11" s="3461"/>
      <c r="UOJ11" s="3461"/>
      <c r="UOK11" s="3461"/>
      <c r="UOL11" s="3461"/>
      <c r="UOM11" s="3461"/>
      <c r="UON11" s="3461"/>
      <c r="UOO11" s="3461"/>
      <c r="UOP11" s="3461"/>
      <c r="UOQ11" s="3461"/>
      <c r="UOR11" s="3461"/>
      <c r="UOS11" s="3461"/>
      <c r="UOT11" s="3461"/>
      <c r="UOU11" s="3461"/>
      <c r="UOV11" s="3461"/>
      <c r="UOW11" s="3461"/>
      <c r="UOX11" s="3461"/>
      <c r="UOY11" s="3461"/>
      <c r="UOZ11" s="3461"/>
      <c r="UPA11" s="3461"/>
      <c r="UPB11" s="3461"/>
      <c r="UPC11" s="3461"/>
      <c r="UPD11" s="3461"/>
      <c r="UPE11" s="3461"/>
      <c r="UPF11" s="3461"/>
      <c r="UPG11" s="3461"/>
      <c r="UPH11" s="3461"/>
      <c r="UPI11" s="3461"/>
      <c r="UPJ11" s="3461"/>
      <c r="UPK11" s="3461"/>
      <c r="UPL11" s="3461"/>
      <c r="UPM11" s="3461"/>
      <c r="UPN11" s="3461"/>
      <c r="UPO11" s="3461"/>
      <c r="UPP11" s="3461"/>
      <c r="UPQ11" s="3461"/>
      <c r="UPR11" s="3461"/>
      <c r="UPS11" s="3461"/>
      <c r="UPT11" s="3461"/>
      <c r="UPU11" s="3461"/>
      <c r="UPV11" s="3461"/>
      <c r="UPW11" s="3461"/>
      <c r="UPX11" s="3461"/>
      <c r="UPY11" s="3461"/>
      <c r="UPZ11" s="3461"/>
      <c r="UQA11" s="3461"/>
      <c r="UQB11" s="3461"/>
      <c r="UQC11" s="3461"/>
      <c r="UQD11" s="3461"/>
      <c r="UQE11" s="3461"/>
      <c r="UQF11" s="3461"/>
      <c r="UQG11" s="3461"/>
      <c r="UQH11" s="3461"/>
      <c r="UQI11" s="3461"/>
      <c r="UQJ11" s="3461"/>
      <c r="UQK11" s="3461"/>
      <c r="UQL11" s="3461"/>
      <c r="UQM11" s="3461"/>
      <c r="UQN11" s="3461"/>
      <c r="UQO11" s="3461"/>
      <c r="UQP11" s="3461"/>
      <c r="UQQ11" s="3461"/>
      <c r="UQR11" s="3461"/>
      <c r="UQS11" s="3461"/>
      <c r="UQT11" s="3461"/>
      <c r="UQU11" s="3461"/>
      <c r="UQV11" s="3461"/>
      <c r="UQW11" s="3461"/>
      <c r="UQX11" s="3461"/>
      <c r="UQY11" s="3461"/>
      <c r="UQZ11" s="3461"/>
      <c r="URA11" s="3461"/>
      <c r="URB11" s="3461"/>
      <c r="URC11" s="3461"/>
      <c r="URD11" s="3461"/>
      <c r="URE11" s="3461"/>
      <c r="URF11" s="3461"/>
      <c r="URG11" s="3461"/>
      <c r="URH11" s="3461"/>
      <c r="URI11" s="3461"/>
      <c r="URJ11" s="3461"/>
      <c r="URK11" s="3461"/>
      <c r="URL11" s="3461"/>
      <c r="URM11" s="3461"/>
      <c r="URN11" s="3461"/>
      <c r="URO11" s="3461"/>
      <c r="URP11" s="3461"/>
      <c r="URQ11" s="3461"/>
      <c r="URR11" s="3461"/>
      <c r="URS11" s="3461"/>
      <c r="URT11" s="3461"/>
      <c r="URU11" s="3461"/>
      <c r="URV11" s="3461"/>
      <c r="URW11" s="3461"/>
      <c r="URX11" s="3461"/>
      <c r="URY11" s="3461"/>
      <c r="URZ11" s="3461"/>
      <c r="USA11" s="3461"/>
      <c r="USB11" s="3461"/>
      <c r="USC11" s="3461"/>
      <c r="USD11" s="3461"/>
      <c r="USE11" s="3461"/>
      <c r="USF11" s="3461"/>
      <c r="USG11" s="3461"/>
      <c r="USH11" s="3461"/>
      <c r="USI11" s="3461"/>
      <c r="USJ11" s="3461"/>
      <c r="USK11" s="3461"/>
      <c r="USL11" s="3461"/>
      <c r="USM11" s="3461"/>
      <c r="USN11" s="3461"/>
      <c r="USO11" s="3461"/>
      <c r="USP11" s="3461"/>
      <c r="USQ11" s="3461"/>
      <c r="USR11" s="3461"/>
      <c r="USS11" s="3461"/>
      <c r="UST11" s="3461"/>
      <c r="USU11" s="3461"/>
      <c r="USV11" s="3461"/>
      <c r="USW11" s="3461"/>
      <c r="USX11" s="3461"/>
      <c r="USY11" s="3461"/>
      <c r="USZ11" s="3461"/>
      <c r="UTA11" s="3461"/>
      <c r="UTB11" s="3461"/>
      <c r="UTC11" s="3461"/>
      <c r="UTD11" s="3461"/>
      <c r="UTE11" s="3461"/>
      <c r="UTF11" s="3461"/>
      <c r="UTG11" s="3461"/>
      <c r="UTH11" s="3461"/>
      <c r="UTI11" s="3461"/>
      <c r="UTJ11" s="3461"/>
      <c r="UTK11" s="3461"/>
      <c r="UTL11" s="3461"/>
      <c r="UTM11" s="3461"/>
      <c r="UTN11" s="3461"/>
      <c r="UTO11" s="3461"/>
      <c r="UTP11" s="3461"/>
      <c r="UTQ11" s="3461"/>
      <c r="UTR11" s="3461"/>
      <c r="UTS11" s="3461"/>
      <c r="UTT11" s="3461"/>
      <c r="UTU11" s="3461"/>
      <c r="UTV11" s="3461"/>
      <c r="UTW11" s="3461"/>
      <c r="UTX11" s="3461"/>
      <c r="UTY11" s="3461"/>
      <c r="UTZ11" s="3461"/>
      <c r="UUA11" s="3461"/>
      <c r="UUB11" s="3461"/>
      <c r="UUC11" s="3461"/>
      <c r="UUD11" s="3461"/>
      <c r="UUE11" s="3461"/>
      <c r="UUF11" s="3461"/>
      <c r="UUG11" s="3461"/>
      <c r="UUH11" s="3461"/>
      <c r="UUI11" s="3461"/>
      <c r="UUJ11" s="3461"/>
      <c r="UUK11" s="3461"/>
      <c r="UUL11" s="3461"/>
      <c r="UUM11" s="3461"/>
      <c r="UUN11" s="3461"/>
      <c r="UUO11" s="3461"/>
      <c r="UUP11" s="3461"/>
      <c r="UUQ11" s="3461"/>
      <c r="UUR11" s="3461"/>
      <c r="UUS11" s="3461"/>
      <c r="UUT11" s="3461"/>
      <c r="UUU11" s="3461"/>
      <c r="UUV11" s="3461"/>
      <c r="UUW11" s="3461"/>
      <c r="UUX11" s="3461"/>
      <c r="UUY11" s="3461"/>
      <c r="UUZ11" s="3461"/>
      <c r="UVA11" s="3461"/>
      <c r="UVB11" s="3461"/>
      <c r="UVC11" s="3461"/>
      <c r="UVD11" s="3461"/>
      <c r="UVE11" s="3461"/>
      <c r="UVF11" s="3461"/>
      <c r="UVG11" s="3461"/>
      <c r="UVH11" s="3461"/>
      <c r="UVI11" s="3461"/>
      <c r="UVJ11" s="3461"/>
      <c r="UVK11" s="3461"/>
      <c r="UVL11" s="3461"/>
      <c r="UVM11" s="3461"/>
      <c r="UVN11" s="3461"/>
      <c r="UVO11" s="3461"/>
      <c r="UVP11" s="3461"/>
      <c r="UVQ11" s="3461"/>
      <c r="UVR11" s="3461"/>
      <c r="UVS11" s="3461"/>
      <c r="UVT11" s="3461"/>
      <c r="UVU11" s="3461"/>
      <c r="UVV11" s="3461"/>
      <c r="UVW11" s="3461"/>
      <c r="UVX11" s="3461"/>
      <c r="UVY11" s="3461"/>
      <c r="UVZ11" s="3461"/>
      <c r="UWA11" s="3461"/>
      <c r="UWB11" s="3461"/>
      <c r="UWC11" s="3461"/>
      <c r="UWD11" s="3461"/>
      <c r="UWE11" s="3461"/>
      <c r="UWF11" s="3461"/>
      <c r="UWG11" s="3461"/>
      <c r="UWH11" s="3461"/>
      <c r="UWI11" s="3461"/>
      <c r="UWJ11" s="3461"/>
      <c r="UWK11" s="3461"/>
      <c r="UWL11" s="3461"/>
      <c r="UWM11" s="3461"/>
      <c r="UWN11" s="3461"/>
      <c r="UWO11" s="3461"/>
      <c r="UWP11" s="3461"/>
      <c r="UWQ11" s="3461"/>
      <c r="UWR11" s="3461"/>
      <c r="UWS11" s="3461"/>
      <c r="UWT11" s="3461"/>
      <c r="UWU11" s="3461"/>
      <c r="UWV11" s="3461"/>
      <c r="UWW11" s="3461"/>
      <c r="UWX11" s="3461"/>
      <c r="UWY11" s="3461"/>
      <c r="UWZ11" s="3461"/>
      <c r="UXA11" s="3461"/>
      <c r="UXB11" s="3461"/>
      <c r="UXC11" s="3461"/>
      <c r="UXD11" s="3461"/>
      <c r="UXE11" s="3461"/>
      <c r="UXF11" s="3461"/>
      <c r="UXG11" s="3461"/>
      <c r="UXH11" s="3461"/>
      <c r="UXI11" s="3461"/>
      <c r="UXJ11" s="3461"/>
      <c r="UXK11" s="3461"/>
      <c r="UXL11" s="3461"/>
      <c r="UXM11" s="3461"/>
      <c r="UXN11" s="3461"/>
      <c r="UXO11" s="3461"/>
      <c r="UXP11" s="3461"/>
      <c r="UXQ11" s="3461"/>
      <c r="UXR11" s="3461"/>
      <c r="UXS11" s="3461"/>
      <c r="UXT11" s="3461"/>
      <c r="UXU11" s="3461"/>
      <c r="UXV11" s="3461"/>
      <c r="UXW11" s="3461"/>
      <c r="UXX11" s="3461"/>
      <c r="UXY11" s="3461"/>
      <c r="UXZ11" s="3461"/>
      <c r="UYA11" s="3461"/>
      <c r="UYB11" s="3461"/>
      <c r="UYC11" s="3461"/>
      <c r="UYD11" s="3461"/>
      <c r="UYE11" s="3461"/>
      <c r="UYF11" s="3461"/>
      <c r="UYG11" s="3461"/>
      <c r="UYH11" s="3461"/>
      <c r="UYI11" s="3461"/>
      <c r="UYJ11" s="3461"/>
      <c r="UYK11" s="3461"/>
      <c r="UYL11" s="3461"/>
      <c r="UYM11" s="3461"/>
      <c r="UYN11" s="3461"/>
      <c r="UYO11" s="3461"/>
      <c r="UYP11" s="3461"/>
      <c r="UYQ11" s="3461"/>
      <c r="UYR11" s="3461"/>
      <c r="UYS11" s="3461"/>
      <c r="UYT11" s="3461"/>
      <c r="UYU11" s="3461"/>
      <c r="UYV11" s="3461"/>
      <c r="UYW11" s="3461"/>
      <c r="UYX11" s="3461"/>
      <c r="UYY11" s="3461"/>
      <c r="UYZ11" s="3461"/>
      <c r="UZA11" s="3461"/>
      <c r="UZB11" s="3461"/>
      <c r="UZC11" s="3461"/>
      <c r="UZD11" s="3461"/>
      <c r="UZE11" s="3461"/>
      <c r="UZF11" s="3461"/>
      <c r="UZG11" s="3461"/>
      <c r="UZH11" s="3461"/>
      <c r="UZI11" s="3461"/>
      <c r="UZJ11" s="3461"/>
      <c r="UZK11" s="3461"/>
      <c r="UZL11" s="3461"/>
      <c r="UZM11" s="3461"/>
      <c r="UZN11" s="3461"/>
      <c r="UZO11" s="3461"/>
      <c r="UZP11" s="3461"/>
      <c r="UZQ11" s="3461"/>
      <c r="UZR11" s="3461"/>
      <c r="UZS11" s="3461"/>
      <c r="UZT11" s="3461"/>
      <c r="UZU11" s="3461"/>
      <c r="UZV11" s="3461"/>
      <c r="UZW11" s="3461"/>
      <c r="UZX11" s="3461"/>
      <c r="UZY11" s="3461"/>
      <c r="UZZ11" s="3461"/>
      <c r="VAA11" s="3461"/>
      <c r="VAB11" s="3461"/>
      <c r="VAC11" s="3461"/>
      <c r="VAD11" s="3461"/>
      <c r="VAE11" s="3461"/>
      <c r="VAF11" s="3461"/>
      <c r="VAG11" s="3461"/>
      <c r="VAH11" s="3461"/>
      <c r="VAI11" s="3461"/>
      <c r="VAJ11" s="3461"/>
      <c r="VAK11" s="3461"/>
      <c r="VAL11" s="3461"/>
      <c r="VAM11" s="3461"/>
      <c r="VAN11" s="3461"/>
      <c r="VAO11" s="3461"/>
      <c r="VAP11" s="3461"/>
      <c r="VAQ11" s="3461"/>
      <c r="VAR11" s="3461"/>
      <c r="VAS11" s="3461"/>
      <c r="VAT11" s="3461"/>
      <c r="VAU11" s="3461"/>
      <c r="VAV11" s="3461"/>
      <c r="VAW11" s="3461"/>
      <c r="VAX11" s="3461"/>
      <c r="VAY11" s="3461"/>
      <c r="VAZ11" s="3461"/>
      <c r="VBA11" s="3461"/>
      <c r="VBB11" s="3461"/>
      <c r="VBC11" s="3461"/>
      <c r="VBD11" s="3461"/>
      <c r="VBE11" s="3461"/>
      <c r="VBF11" s="3461"/>
      <c r="VBG11" s="3461"/>
      <c r="VBH11" s="3461"/>
      <c r="VBI11" s="3461"/>
      <c r="VBJ11" s="3461"/>
      <c r="VBK11" s="3461"/>
      <c r="VBL11" s="3461"/>
      <c r="VBM11" s="3461"/>
      <c r="VBN11" s="3461"/>
      <c r="VBO11" s="3461"/>
      <c r="VBP11" s="3461"/>
      <c r="VBQ11" s="3461"/>
      <c r="VBR11" s="3461"/>
      <c r="VBS11" s="3461"/>
      <c r="VBT11" s="3461"/>
      <c r="VBU11" s="3461"/>
      <c r="VBV11" s="3461"/>
      <c r="VBW11" s="3461"/>
      <c r="VBX11" s="3461"/>
      <c r="VBY11" s="3461"/>
      <c r="VBZ11" s="3461"/>
      <c r="VCA11" s="3461"/>
      <c r="VCB11" s="3461"/>
      <c r="VCC11" s="3461"/>
      <c r="VCD11" s="3461"/>
      <c r="VCE11" s="3461"/>
      <c r="VCF11" s="3461"/>
      <c r="VCG11" s="3461"/>
      <c r="VCH11" s="3461"/>
      <c r="VCI11" s="3461"/>
      <c r="VCJ11" s="3461"/>
      <c r="VCK11" s="3461"/>
      <c r="VCL11" s="3461"/>
      <c r="VCM11" s="3461"/>
      <c r="VCN11" s="3461"/>
      <c r="VCO11" s="3461"/>
      <c r="VCP11" s="3461"/>
      <c r="VCQ11" s="3461"/>
      <c r="VCR11" s="3461"/>
      <c r="VCS11" s="3461"/>
      <c r="VCT11" s="3461"/>
      <c r="VCU11" s="3461"/>
      <c r="VCV11" s="3461"/>
      <c r="VCW11" s="3461"/>
      <c r="VCX11" s="3461"/>
      <c r="VCY11" s="3461"/>
      <c r="VCZ11" s="3461"/>
      <c r="VDA11" s="3461"/>
      <c r="VDB11" s="3461"/>
      <c r="VDC11" s="3461"/>
      <c r="VDD11" s="3461"/>
      <c r="VDE11" s="3461"/>
      <c r="VDF11" s="3461"/>
      <c r="VDG11" s="3461"/>
      <c r="VDH11" s="3461"/>
      <c r="VDI11" s="3461"/>
      <c r="VDJ11" s="3461"/>
      <c r="VDK11" s="3461"/>
      <c r="VDL11" s="3461"/>
      <c r="VDM11" s="3461"/>
      <c r="VDN11" s="3461"/>
      <c r="VDO11" s="3461"/>
      <c r="VDP11" s="3461"/>
      <c r="VDQ11" s="3461"/>
      <c r="VDR11" s="3461"/>
      <c r="VDS11" s="3461"/>
      <c r="VDT11" s="3461"/>
      <c r="VDU11" s="3461"/>
      <c r="VDV11" s="3461"/>
      <c r="VDW11" s="3461"/>
      <c r="VDX11" s="3461"/>
      <c r="VDY11" s="3461"/>
      <c r="VDZ11" s="3461"/>
      <c r="VEA11" s="3461"/>
      <c r="VEB11" s="3461"/>
      <c r="VEC11" s="3461"/>
      <c r="VED11" s="3461"/>
      <c r="VEE11" s="3461"/>
      <c r="VEF11" s="3461"/>
      <c r="VEG11" s="3461"/>
      <c r="VEH11" s="3461"/>
      <c r="VEI11" s="3461"/>
      <c r="VEJ11" s="3461"/>
      <c r="VEK11" s="3461"/>
      <c r="VEL11" s="3461"/>
      <c r="VEM11" s="3461"/>
      <c r="VEN11" s="3461"/>
      <c r="VEO11" s="3461"/>
      <c r="VEP11" s="3461"/>
      <c r="VEQ11" s="3461"/>
      <c r="VER11" s="3461"/>
      <c r="VES11" s="3461"/>
      <c r="VET11" s="3461"/>
      <c r="VEU11" s="3461"/>
      <c r="VEV11" s="3461"/>
      <c r="VEW11" s="3461"/>
      <c r="VEX11" s="3461"/>
      <c r="VEY11" s="3461"/>
      <c r="VEZ11" s="3461"/>
      <c r="VFA11" s="3461"/>
      <c r="VFB11" s="3461"/>
      <c r="VFC11" s="3461"/>
      <c r="VFD11" s="3461"/>
      <c r="VFE11" s="3461"/>
      <c r="VFF11" s="3461"/>
      <c r="VFG11" s="3461"/>
      <c r="VFH11" s="3461"/>
      <c r="VFI11" s="3461"/>
      <c r="VFJ11" s="3461"/>
      <c r="VFK11" s="3461"/>
      <c r="VFL11" s="3461"/>
      <c r="VFM11" s="3461"/>
      <c r="VFN11" s="3461"/>
      <c r="VFO11" s="3461"/>
      <c r="VFP11" s="3461"/>
      <c r="VFQ11" s="3461"/>
      <c r="VFR11" s="3461"/>
      <c r="VFS11" s="3461"/>
      <c r="VFT11" s="3461"/>
      <c r="VFU11" s="3461"/>
      <c r="VFV11" s="3461"/>
      <c r="VFW11" s="3461"/>
      <c r="VFX11" s="3461"/>
      <c r="VFY11" s="3461"/>
      <c r="VFZ11" s="3461"/>
      <c r="VGA11" s="3461"/>
      <c r="VGB11" s="3461"/>
      <c r="VGC11" s="3461"/>
      <c r="VGD11" s="3461"/>
      <c r="VGE11" s="3461"/>
      <c r="VGF11" s="3461"/>
      <c r="VGG11" s="3461"/>
      <c r="VGH11" s="3461"/>
      <c r="VGI11" s="3461"/>
      <c r="VGJ11" s="3461"/>
      <c r="VGK11" s="3461"/>
      <c r="VGL11" s="3461"/>
      <c r="VGM11" s="3461"/>
      <c r="VGN11" s="3461"/>
      <c r="VGO11" s="3461"/>
      <c r="VGP11" s="3461"/>
      <c r="VGQ11" s="3461"/>
      <c r="VGR11" s="3461"/>
      <c r="VGS11" s="3461"/>
      <c r="VGT11" s="3461"/>
      <c r="VGU11" s="3461"/>
      <c r="VGV11" s="3461"/>
      <c r="VGW11" s="3461"/>
      <c r="VGX11" s="3461"/>
      <c r="VGY11" s="3461"/>
      <c r="VGZ11" s="3461"/>
      <c r="VHA11" s="3461"/>
      <c r="VHB11" s="3461"/>
      <c r="VHC11" s="3461"/>
      <c r="VHD11" s="3461"/>
      <c r="VHE11" s="3461"/>
      <c r="VHF11" s="3461"/>
      <c r="VHG11" s="3461"/>
      <c r="VHH11" s="3461"/>
      <c r="VHI11" s="3461"/>
      <c r="VHJ11" s="3461"/>
      <c r="VHK11" s="3461"/>
      <c r="VHL11" s="3461"/>
      <c r="VHM11" s="3461"/>
      <c r="VHN11" s="3461"/>
      <c r="VHO11" s="3461"/>
      <c r="VHP11" s="3461"/>
      <c r="VHQ11" s="3461"/>
      <c r="VHR11" s="3461"/>
      <c r="VHS11" s="3461"/>
      <c r="VHT11" s="3461"/>
      <c r="VHU11" s="3461"/>
      <c r="VHV11" s="3461"/>
      <c r="VHW11" s="3461"/>
      <c r="VHX11" s="3461"/>
      <c r="VHY11" s="3461"/>
      <c r="VHZ11" s="3461"/>
      <c r="VIA11" s="3461"/>
      <c r="VIB11" s="3461"/>
      <c r="VIC11" s="3461"/>
      <c r="VID11" s="3461"/>
      <c r="VIE11" s="3461"/>
      <c r="VIF11" s="3461"/>
      <c r="VIG11" s="3461"/>
      <c r="VIH11" s="3461"/>
      <c r="VII11" s="3461"/>
      <c r="VIJ11" s="3461"/>
      <c r="VIK11" s="3461"/>
      <c r="VIL11" s="3461"/>
      <c r="VIM11" s="3461"/>
      <c r="VIN11" s="3461"/>
      <c r="VIO11" s="3461"/>
      <c r="VIP11" s="3461"/>
      <c r="VIQ11" s="3461"/>
      <c r="VIR11" s="3461"/>
      <c r="VIS11" s="3461"/>
      <c r="VIT11" s="3461"/>
      <c r="VIU11" s="3461"/>
      <c r="VIV11" s="3461"/>
      <c r="VIW11" s="3461"/>
      <c r="VIX11" s="3461"/>
      <c r="VIY11" s="3461"/>
      <c r="VIZ11" s="3461"/>
      <c r="VJA11" s="3461"/>
      <c r="VJB11" s="3461"/>
      <c r="VJC11" s="3461"/>
      <c r="VJD11" s="3461"/>
      <c r="VJE11" s="3461"/>
      <c r="VJF11" s="3461"/>
      <c r="VJG11" s="3461"/>
      <c r="VJH11" s="3461"/>
      <c r="VJI11" s="3461"/>
      <c r="VJJ11" s="3461"/>
      <c r="VJK11" s="3461"/>
      <c r="VJL11" s="3461"/>
      <c r="VJM11" s="3461"/>
      <c r="VJN11" s="3461"/>
      <c r="VJO11" s="3461"/>
      <c r="VJP11" s="3461"/>
      <c r="VJQ11" s="3461"/>
      <c r="VJR11" s="3461"/>
      <c r="VJS11" s="3461"/>
      <c r="VJT11" s="3461"/>
      <c r="VJU11" s="3461"/>
      <c r="VJV11" s="3461"/>
      <c r="VJW11" s="3461"/>
      <c r="VJX11" s="3461"/>
      <c r="VJY11" s="3461"/>
      <c r="VJZ11" s="3461"/>
      <c r="VKA11" s="3461"/>
      <c r="VKB11" s="3461"/>
      <c r="VKC11" s="3461"/>
      <c r="VKD11" s="3461"/>
      <c r="VKE11" s="3461"/>
      <c r="VKF11" s="3461"/>
      <c r="VKG11" s="3461"/>
      <c r="VKH11" s="3461"/>
      <c r="VKI11" s="3461"/>
      <c r="VKJ11" s="3461"/>
      <c r="VKK11" s="3461"/>
      <c r="VKL11" s="3461"/>
      <c r="VKM11" s="3461"/>
      <c r="VKN11" s="3461"/>
      <c r="VKO11" s="3461"/>
      <c r="VKP11" s="3461"/>
      <c r="VKQ11" s="3461"/>
      <c r="VKR11" s="3461"/>
      <c r="VKS11" s="3461"/>
      <c r="VKT11" s="3461"/>
      <c r="VKU11" s="3461"/>
      <c r="VKV11" s="3461"/>
      <c r="VKW11" s="3461"/>
      <c r="VKX11" s="3461"/>
      <c r="VKY11" s="3461"/>
      <c r="VKZ11" s="3461"/>
      <c r="VLA11" s="3461"/>
      <c r="VLB11" s="3461"/>
      <c r="VLC11" s="3461"/>
      <c r="VLD11" s="3461"/>
      <c r="VLE11" s="3461"/>
      <c r="VLF11" s="3461"/>
      <c r="VLG11" s="3461"/>
      <c r="VLH11" s="3461"/>
      <c r="VLI11" s="3461"/>
      <c r="VLJ11" s="3461"/>
      <c r="VLK11" s="3461"/>
      <c r="VLL11" s="3461"/>
      <c r="VLM11" s="3461"/>
      <c r="VLN11" s="3461"/>
      <c r="VLO11" s="3461"/>
      <c r="VLP11" s="3461"/>
      <c r="VLQ11" s="3461"/>
      <c r="VLR11" s="3461"/>
      <c r="VLS11" s="3461"/>
      <c r="VLT11" s="3461"/>
      <c r="VLU11" s="3461"/>
      <c r="VLV11" s="3461"/>
      <c r="VLW11" s="3461"/>
      <c r="VLX11" s="3461"/>
      <c r="VLY11" s="3461"/>
      <c r="VLZ11" s="3461"/>
      <c r="VMA11" s="3461"/>
      <c r="VMB11" s="3461"/>
      <c r="VMC11" s="3461"/>
      <c r="VMD11" s="3461"/>
      <c r="VME11" s="3461"/>
      <c r="VMF11" s="3461"/>
      <c r="VMG11" s="3461"/>
      <c r="VMH11" s="3461"/>
      <c r="VMI11" s="3461"/>
      <c r="VMJ11" s="3461"/>
      <c r="VMK11" s="3461"/>
      <c r="VML11" s="3461"/>
      <c r="VMM11" s="3461"/>
      <c r="VMN11" s="3461"/>
      <c r="VMO11" s="3461"/>
      <c r="VMP11" s="3461"/>
      <c r="VMQ11" s="3461"/>
      <c r="VMR11" s="3461"/>
      <c r="VMS11" s="3461"/>
      <c r="VMT11" s="3461"/>
      <c r="VMU11" s="3461"/>
      <c r="VMV11" s="3461"/>
      <c r="VMW11" s="3461"/>
      <c r="VMX11" s="3461"/>
      <c r="VMY11" s="3461"/>
      <c r="VMZ11" s="3461"/>
      <c r="VNA11" s="3461"/>
      <c r="VNB11" s="3461"/>
      <c r="VNC11" s="3461"/>
      <c r="VND11" s="3461"/>
      <c r="VNE11" s="3461"/>
      <c r="VNF11" s="3461"/>
      <c r="VNG11" s="3461"/>
      <c r="VNH11" s="3461"/>
      <c r="VNI11" s="3461"/>
      <c r="VNJ11" s="3461"/>
      <c r="VNK11" s="3461"/>
      <c r="VNL11" s="3461"/>
      <c r="VNM11" s="3461"/>
      <c r="VNN11" s="3461"/>
      <c r="VNO11" s="3461"/>
      <c r="VNP11" s="3461"/>
      <c r="VNQ11" s="3461"/>
      <c r="VNR11" s="3461"/>
      <c r="VNS11" s="3461"/>
      <c r="VNT11" s="3461"/>
      <c r="VNU11" s="3461"/>
      <c r="VNV11" s="3461"/>
      <c r="VNW11" s="3461"/>
      <c r="VNX11" s="3461"/>
      <c r="VNY11" s="3461"/>
      <c r="VNZ11" s="3461"/>
      <c r="VOA11" s="3461"/>
      <c r="VOB11" s="3461"/>
      <c r="VOC11" s="3461"/>
      <c r="VOD11" s="3461"/>
      <c r="VOE11" s="3461"/>
      <c r="VOF11" s="3461"/>
      <c r="VOG11" s="3461"/>
      <c r="VOH11" s="3461"/>
      <c r="VOI11" s="3461"/>
      <c r="VOJ11" s="3461"/>
      <c r="VOK11" s="3461"/>
      <c r="VOL11" s="3461"/>
      <c r="VOM11" s="3461"/>
      <c r="VON11" s="3461"/>
      <c r="VOO11" s="3461"/>
      <c r="VOP11" s="3461"/>
      <c r="VOQ11" s="3461"/>
      <c r="VOR11" s="3461"/>
      <c r="VOS11" s="3461"/>
      <c r="VOT11" s="3461"/>
      <c r="VOU11" s="3461"/>
      <c r="VOV11" s="3461"/>
      <c r="VOW11" s="3461"/>
      <c r="VOX11" s="3461"/>
      <c r="VOY11" s="3461"/>
      <c r="VOZ11" s="3461"/>
      <c r="VPA11" s="3461"/>
      <c r="VPB11" s="3461"/>
      <c r="VPC11" s="3461"/>
      <c r="VPD11" s="3461"/>
      <c r="VPE11" s="3461"/>
      <c r="VPF11" s="3461"/>
      <c r="VPG11" s="3461"/>
      <c r="VPH11" s="3461"/>
      <c r="VPI11" s="3461"/>
      <c r="VPJ11" s="3461"/>
      <c r="VPK11" s="3461"/>
      <c r="VPL11" s="3461"/>
      <c r="VPM11" s="3461"/>
      <c r="VPN11" s="3461"/>
      <c r="VPO11" s="3461"/>
      <c r="VPP11" s="3461"/>
      <c r="VPQ11" s="3461"/>
      <c r="VPR11" s="3461"/>
      <c r="VPS11" s="3461"/>
      <c r="VPT11" s="3461"/>
      <c r="VPU11" s="3461"/>
      <c r="VPV11" s="3461"/>
      <c r="VPW11" s="3461"/>
      <c r="VPX11" s="3461"/>
      <c r="VPY11" s="3461"/>
      <c r="VPZ11" s="3461"/>
      <c r="VQA11" s="3461"/>
      <c r="VQB11" s="3461"/>
      <c r="VQC11" s="3461"/>
      <c r="VQD11" s="3461"/>
      <c r="VQE11" s="3461"/>
      <c r="VQF11" s="3461"/>
      <c r="VQG11" s="3461"/>
      <c r="VQH11" s="3461"/>
      <c r="VQI11" s="3461"/>
      <c r="VQJ11" s="3461"/>
      <c r="VQK11" s="3461"/>
      <c r="VQL11" s="3461"/>
      <c r="VQM11" s="3461"/>
      <c r="VQN11" s="3461"/>
      <c r="VQO11" s="3461"/>
      <c r="VQP11" s="3461"/>
      <c r="VQQ11" s="3461"/>
      <c r="VQR11" s="3461"/>
      <c r="VQS11" s="3461"/>
      <c r="VQT11" s="3461"/>
      <c r="VQU11" s="3461"/>
      <c r="VQV11" s="3461"/>
      <c r="VQW11" s="3461"/>
      <c r="VQX11" s="3461"/>
      <c r="VQY11" s="3461"/>
      <c r="VQZ11" s="3461"/>
      <c r="VRA11" s="3461"/>
      <c r="VRB11" s="3461"/>
      <c r="VRC11" s="3461"/>
      <c r="VRD11" s="3461"/>
      <c r="VRE11" s="3461"/>
      <c r="VRF11" s="3461"/>
      <c r="VRG11" s="3461"/>
      <c r="VRH11" s="3461"/>
      <c r="VRI11" s="3461"/>
      <c r="VRJ11" s="3461"/>
      <c r="VRK11" s="3461"/>
      <c r="VRL11" s="3461"/>
      <c r="VRM11" s="3461"/>
      <c r="VRN11" s="3461"/>
      <c r="VRO11" s="3461"/>
      <c r="VRP11" s="3461"/>
      <c r="VRQ11" s="3461"/>
      <c r="VRR11" s="3461"/>
      <c r="VRS11" s="3461"/>
      <c r="VRT11" s="3461"/>
      <c r="VRU11" s="3461"/>
      <c r="VRV11" s="3461"/>
      <c r="VRW11" s="3461"/>
      <c r="VRX11" s="3461"/>
      <c r="VRY11" s="3461"/>
      <c r="VRZ11" s="3461"/>
      <c r="VSA11" s="3461"/>
      <c r="VSB11" s="3461"/>
      <c r="VSC11" s="3461"/>
      <c r="VSD11" s="3461"/>
      <c r="VSE11" s="3461"/>
      <c r="VSF11" s="3461"/>
      <c r="VSG11" s="3461"/>
      <c r="VSH11" s="3461"/>
      <c r="VSI11" s="3461"/>
      <c r="VSJ11" s="3461"/>
      <c r="VSK11" s="3461"/>
      <c r="VSL11" s="3461"/>
      <c r="VSM11" s="3461"/>
      <c r="VSN11" s="3461"/>
      <c r="VSO11" s="3461"/>
      <c r="VSP11" s="3461"/>
      <c r="VSQ11" s="3461"/>
      <c r="VSR11" s="3461"/>
      <c r="VSS11" s="3461"/>
      <c r="VST11" s="3461"/>
      <c r="VSU11" s="3461"/>
      <c r="VSV11" s="3461"/>
      <c r="VSW11" s="3461"/>
      <c r="VSX11" s="3461"/>
      <c r="VSY11" s="3461"/>
      <c r="VSZ11" s="3461"/>
      <c r="VTA11" s="3461"/>
      <c r="VTB11" s="3461"/>
      <c r="VTC11" s="3461"/>
      <c r="VTD11" s="3461"/>
      <c r="VTE11" s="3461"/>
      <c r="VTF11" s="3461"/>
      <c r="VTG11" s="3461"/>
      <c r="VTH11" s="3461"/>
      <c r="VTI11" s="3461"/>
      <c r="VTJ11" s="3461"/>
      <c r="VTK11" s="3461"/>
      <c r="VTL11" s="3461"/>
      <c r="VTM11" s="3461"/>
      <c r="VTN11" s="3461"/>
      <c r="VTO11" s="3461"/>
      <c r="VTP11" s="3461"/>
      <c r="VTQ11" s="3461"/>
      <c r="VTR11" s="3461"/>
      <c r="VTS11" s="3461"/>
      <c r="VTT11" s="3461"/>
      <c r="VTU11" s="3461"/>
      <c r="VTV11" s="3461"/>
      <c r="VTW11" s="3461"/>
      <c r="VTX11" s="3461"/>
      <c r="VTY11" s="3461"/>
      <c r="VTZ11" s="3461"/>
      <c r="VUA11" s="3461"/>
      <c r="VUB11" s="3461"/>
      <c r="VUC11" s="3461"/>
      <c r="VUD11" s="3461"/>
      <c r="VUE11" s="3461"/>
      <c r="VUF11" s="3461"/>
      <c r="VUG11" s="3461"/>
      <c r="VUH11" s="3461"/>
      <c r="VUI11" s="3461"/>
      <c r="VUJ11" s="3461"/>
      <c r="VUK11" s="3461"/>
      <c r="VUL11" s="3461"/>
      <c r="VUM11" s="3461"/>
      <c r="VUN11" s="3461"/>
      <c r="VUO11" s="3461"/>
      <c r="VUP11" s="3461"/>
      <c r="VUQ11" s="3461"/>
      <c r="VUR11" s="3461"/>
      <c r="VUS11" s="3461"/>
      <c r="VUT11" s="3461"/>
      <c r="VUU11" s="3461"/>
      <c r="VUV11" s="3461"/>
      <c r="VUW11" s="3461"/>
      <c r="VUX11" s="3461"/>
      <c r="VUY11" s="3461"/>
      <c r="VUZ11" s="3461"/>
      <c r="VVA11" s="3461"/>
      <c r="VVB11" s="3461"/>
      <c r="VVC11" s="3461"/>
      <c r="VVD11" s="3461"/>
      <c r="VVE11" s="3461"/>
      <c r="VVF11" s="3461"/>
      <c r="VVG11" s="3461"/>
      <c r="VVH11" s="3461"/>
      <c r="VVI11" s="3461"/>
      <c r="VVJ11" s="3461"/>
      <c r="VVK11" s="3461"/>
      <c r="VVL11" s="3461"/>
      <c r="VVM11" s="3461"/>
      <c r="VVN11" s="3461"/>
      <c r="VVO11" s="3461"/>
      <c r="VVP11" s="3461"/>
      <c r="VVQ11" s="3461"/>
      <c r="VVR11" s="3461"/>
      <c r="VVS11" s="3461"/>
      <c r="VVT11" s="3461"/>
      <c r="VVU11" s="3461"/>
      <c r="VVV11" s="3461"/>
      <c r="VVW11" s="3461"/>
      <c r="VVX11" s="3461"/>
      <c r="VVY11" s="3461"/>
      <c r="VVZ11" s="3461"/>
      <c r="VWA11" s="3461"/>
      <c r="VWB11" s="3461"/>
      <c r="VWC11" s="3461"/>
      <c r="VWD11" s="3461"/>
      <c r="VWE11" s="3461"/>
      <c r="VWF11" s="3461"/>
      <c r="VWG11" s="3461"/>
      <c r="VWH11" s="3461"/>
      <c r="VWI11" s="3461"/>
      <c r="VWJ11" s="3461"/>
      <c r="VWK11" s="3461"/>
      <c r="VWL11" s="3461"/>
      <c r="VWM11" s="3461"/>
      <c r="VWN11" s="3461"/>
      <c r="VWO11" s="3461"/>
      <c r="VWP11" s="3461"/>
      <c r="VWQ11" s="3461"/>
      <c r="VWR11" s="3461"/>
      <c r="VWS11" s="3461"/>
      <c r="VWT11" s="3461"/>
      <c r="VWU11" s="3461"/>
      <c r="VWV11" s="3461"/>
      <c r="VWW11" s="3461"/>
      <c r="VWX11" s="3461"/>
      <c r="VWY11" s="3461"/>
      <c r="VWZ11" s="3461"/>
      <c r="VXA11" s="3461"/>
      <c r="VXB11" s="3461"/>
      <c r="VXC11" s="3461"/>
      <c r="VXD11" s="3461"/>
      <c r="VXE11" s="3461"/>
      <c r="VXF11" s="3461"/>
      <c r="VXG11" s="3461"/>
      <c r="VXH11" s="3461"/>
      <c r="VXI11" s="3461"/>
      <c r="VXJ11" s="3461"/>
      <c r="VXK11" s="3461"/>
      <c r="VXL11" s="3461"/>
      <c r="VXM11" s="3461"/>
      <c r="VXN11" s="3461"/>
      <c r="VXO11" s="3461"/>
      <c r="VXP11" s="3461"/>
      <c r="VXQ11" s="3461"/>
      <c r="VXR11" s="3461"/>
      <c r="VXS11" s="3461"/>
      <c r="VXT11" s="3461"/>
      <c r="VXU11" s="3461"/>
      <c r="VXV11" s="3461"/>
      <c r="VXW11" s="3461"/>
      <c r="VXX11" s="3461"/>
      <c r="VXY11" s="3461"/>
      <c r="VXZ11" s="3461"/>
      <c r="VYA11" s="3461"/>
      <c r="VYB11" s="3461"/>
      <c r="VYC11" s="3461"/>
      <c r="VYD11" s="3461"/>
      <c r="VYE11" s="3461"/>
      <c r="VYF11" s="3461"/>
      <c r="VYG11" s="3461"/>
      <c r="VYH11" s="3461"/>
      <c r="VYI11" s="3461"/>
      <c r="VYJ11" s="3461"/>
      <c r="VYK11" s="3461"/>
      <c r="VYL11" s="3461"/>
      <c r="VYM11" s="3461"/>
      <c r="VYN11" s="3461"/>
      <c r="VYO11" s="3461"/>
      <c r="VYP11" s="3461"/>
      <c r="VYQ11" s="3461"/>
      <c r="VYR11" s="3461"/>
      <c r="VYS11" s="3461"/>
      <c r="VYT11" s="3461"/>
      <c r="VYU11" s="3461"/>
      <c r="VYV11" s="3461"/>
      <c r="VYW11" s="3461"/>
      <c r="VYX11" s="3461"/>
      <c r="VYY11" s="3461"/>
      <c r="VYZ11" s="3461"/>
      <c r="VZA11" s="3461"/>
      <c r="VZB11" s="3461"/>
      <c r="VZC11" s="3461"/>
      <c r="VZD11" s="3461"/>
      <c r="VZE11" s="3461"/>
      <c r="VZF11" s="3461"/>
      <c r="VZG11" s="3461"/>
      <c r="VZH11" s="3461"/>
      <c r="VZI11" s="3461"/>
      <c r="VZJ11" s="3461"/>
      <c r="VZK11" s="3461"/>
      <c r="VZL11" s="3461"/>
      <c r="VZM11" s="3461"/>
      <c r="VZN11" s="3461"/>
      <c r="VZO11" s="3461"/>
      <c r="VZP11" s="3461"/>
      <c r="VZQ11" s="3461"/>
      <c r="VZR11" s="3461"/>
      <c r="VZS11" s="3461"/>
      <c r="VZT11" s="3461"/>
      <c r="VZU11" s="3461"/>
      <c r="VZV11" s="3461"/>
      <c r="VZW11" s="3461"/>
      <c r="VZX11" s="3461"/>
      <c r="VZY11" s="3461"/>
      <c r="VZZ11" s="3461"/>
      <c r="WAA11" s="3461"/>
      <c r="WAB11" s="3461"/>
      <c r="WAC11" s="3461"/>
      <c r="WAD11" s="3461"/>
      <c r="WAE11" s="3461"/>
      <c r="WAF11" s="3461"/>
      <c r="WAG11" s="3461"/>
      <c r="WAH11" s="3461"/>
      <c r="WAI11" s="3461"/>
      <c r="WAJ11" s="3461"/>
      <c r="WAK11" s="3461"/>
      <c r="WAL11" s="3461"/>
      <c r="WAM11" s="3461"/>
      <c r="WAN11" s="3461"/>
      <c r="WAO11" s="3461"/>
      <c r="WAP11" s="3461"/>
      <c r="WAQ11" s="3461"/>
      <c r="WAR11" s="3461"/>
      <c r="WAS11" s="3461"/>
      <c r="WAT11" s="3461"/>
      <c r="WAU11" s="3461"/>
      <c r="WAV11" s="3461"/>
      <c r="WAW11" s="3461"/>
      <c r="WAX11" s="3461"/>
      <c r="WAY11" s="3461"/>
      <c r="WAZ11" s="3461"/>
      <c r="WBA11" s="3461"/>
      <c r="WBB11" s="3461"/>
      <c r="WBC11" s="3461"/>
      <c r="WBD11" s="3461"/>
      <c r="WBE11" s="3461"/>
      <c r="WBF11" s="3461"/>
      <c r="WBG11" s="3461"/>
      <c r="WBH11" s="3461"/>
      <c r="WBI11" s="3461"/>
      <c r="WBJ11" s="3461"/>
      <c r="WBK11" s="3461"/>
      <c r="WBL11" s="3461"/>
      <c r="WBM11" s="3461"/>
      <c r="WBN11" s="3461"/>
      <c r="WBO11" s="3461"/>
      <c r="WBP11" s="3461"/>
      <c r="WBQ11" s="3461"/>
      <c r="WBR11" s="3461"/>
      <c r="WBS11" s="3461"/>
      <c r="WBT11" s="3461"/>
      <c r="WBU11" s="3461"/>
      <c r="WBV11" s="3461"/>
      <c r="WBW11" s="3461"/>
      <c r="WBX11" s="3461"/>
      <c r="WBY11" s="3461"/>
      <c r="WBZ11" s="3461"/>
      <c r="WCA11" s="3461"/>
      <c r="WCB11" s="3461"/>
      <c r="WCC11" s="3461"/>
      <c r="WCD11" s="3461"/>
      <c r="WCE11" s="3461"/>
      <c r="WCF11" s="3461"/>
      <c r="WCG11" s="3461"/>
      <c r="WCH11" s="3461"/>
      <c r="WCI11" s="3461"/>
      <c r="WCJ11" s="3461"/>
      <c r="WCK11" s="3461"/>
      <c r="WCL11" s="3461"/>
      <c r="WCM11" s="3461"/>
      <c r="WCN11" s="3461"/>
      <c r="WCO11" s="3461"/>
      <c r="WCP11" s="3461"/>
      <c r="WCQ11" s="3461"/>
      <c r="WCR11" s="3461"/>
      <c r="WCS11" s="3461"/>
      <c r="WCT11" s="3461"/>
      <c r="WCU11" s="3461"/>
      <c r="WCV11" s="3461"/>
      <c r="WCW11" s="3461"/>
      <c r="WCX11" s="3461"/>
      <c r="WCY11" s="3461"/>
      <c r="WCZ11" s="3461"/>
      <c r="WDA11" s="3461"/>
      <c r="WDB11" s="3461"/>
      <c r="WDC11" s="3461"/>
      <c r="WDD11" s="3461"/>
      <c r="WDE11" s="3461"/>
      <c r="WDF11" s="3461"/>
      <c r="WDG11" s="3461"/>
      <c r="WDH11" s="3461"/>
      <c r="WDI11" s="3461"/>
      <c r="WDJ11" s="3461"/>
      <c r="WDK11" s="3461"/>
      <c r="WDL11" s="3461"/>
      <c r="WDM11" s="3461"/>
      <c r="WDN11" s="3461"/>
      <c r="WDO11" s="3461"/>
      <c r="WDP11" s="3461"/>
      <c r="WDQ11" s="3461"/>
      <c r="WDR11" s="3461"/>
      <c r="WDS11" s="3461"/>
      <c r="WDT11" s="3461"/>
      <c r="WDU11" s="3461"/>
      <c r="WDV11" s="3461"/>
      <c r="WDW11" s="3461"/>
      <c r="WDX11" s="3461"/>
      <c r="WDY11" s="3461"/>
      <c r="WDZ11" s="3461"/>
      <c r="WEA11" s="3461"/>
      <c r="WEB11" s="3461"/>
      <c r="WEC11" s="3461"/>
      <c r="WED11" s="3461"/>
      <c r="WEE11" s="3461"/>
      <c r="WEF11" s="3461"/>
      <c r="WEG11" s="3461"/>
      <c r="WEH11" s="3461"/>
      <c r="WEI11" s="3461"/>
      <c r="WEJ11" s="3461"/>
      <c r="WEK11" s="3461"/>
      <c r="WEL11" s="3461"/>
      <c r="WEM11" s="3461"/>
      <c r="WEN11" s="3461"/>
      <c r="WEO11" s="3461"/>
      <c r="WEP11" s="3461"/>
      <c r="WEQ11" s="3461"/>
      <c r="WER11" s="3461"/>
      <c r="WES11" s="3461"/>
      <c r="WET11" s="3461"/>
      <c r="WEU11" s="3461"/>
      <c r="WEV11" s="3461"/>
      <c r="WEW11" s="3461"/>
      <c r="WEX11" s="3461"/>
      <c r="WEY11" s="3461"/>
      <c r="WEZ11" s="3461"/>
      <c r="WFA11" s="3461"/>
      <c r="WFB11" s="3461"/>
      <c r="WFC11" s="3461"/>
      <c r="WFD11" s="3461"/>
      <c r="WFE11" s="3461"/>
      <c r="WFF11" s="3461"/>
      <c r="WFG11" s="3461"/>
      <c r="WFH11" s="3461"/>
      <c r="WFI11" s="3461"/>
      <c r="WFJ11" s="3461"/>
      <c r="WFK11" s="3461"/>
      <c r="WFL11" s="3461"/>
      <c r="WFM11" s="3461"/>
      <c r="WFN11" s="3461"/>
      <c r="WFO11" s="3461"/>
      <c r="WFP11" s="3461"/>
      <c r="WFQ11" s="3461"/>
      <c r="WFR11" s="3461"/>
      <c r="WFS11" s="3461"/>
      <c r="WFT11" s="3461"/>
      <c r="WFU11" s="3461"/>
      <c r="WFV11" s="3461"/>
      <c r="WFW11" s="3461"/>
      <c r="WFX11" s="3461"/>
      <c r="WFY11" s="3461"/>
      <c r="WFZ11" s="3461"/>
      <c r="WGA11" s="3461"/>
      <c r="WGB11" s="3461"/>
      <c r="WGC11" s="3461"/>
      <c r="WGD11" s="3461"/>
      <c r="WGE11" s="3461"/>
      <c r="WGF11" s="3461"/>
      <c r="WGG11" s="3461"/>
      <c r="WGH11" s="3461"/>
      <c r="WGI11" s="3461"/>
      <c r="WGJ11" s="3461"/>
      <c r="WGK11" s="3461"/>
      <c r="WGL11" s="3461"/>
      <c r="WGM11" s="3461"/>
      <c r="WGN11" s="3461"/>
      <c r="WGO11" s="3461"/>
      <c r="WGP11" s="3461"/>
      <c r="WGQ11" s="3461"/>
      <c r="WGR11" s="3461"/>
      <c r="WGS11" s="3461"/>
      <c r="WGT11" s="3461"/>
      <c r="WGU11" s="3461"/>
      <c r="WGV11" s="3461"/>
      <c r="WGW11" s="3461"/>
      <c r="WGX11" s="3461"/>
      <c r="WGY11" s="3461"/>
      <c r="WGZ11" s="3461"/>
      <c r="WHA11" s="3461"/>
      <c r="WHB11" s="3461"/>
      <c r="WHC11" s="3461"/>
      <c r="WHD11" s="3461"/>
      <c r="WHE11" s="3461"/>
      <c r="WHF11" s="3461"/>
      <c r="WHG11" s="3461"/>
      <c r="WHH11" s="3461"/>
      <c r="WHI11" s="3461"/>
      <c r="WHJ11" s="3461"/>
      <c r="WHK11" s="3461"/>
      <c r="WHL11" s="3461"/>
      <c r="WHM11" s="3461"/>
      <c r="WHN11" s="3461"/>
      <c r="WHO11" s="3461"/>
      <c r="WHP11" s="3461"/>
      <c r="WHQ11" s="3461"/>
      <c r="WHR11" s="3461"/>
      <c r="WHS11" s="3461"/>
      <c r="WHT11" s="3461"/>
      <c r="WHU11" s="3461"/>
      <c r="WHV11" s="3461"/>
      <c r="WHW11" s="3461"/>
      <c r="WHX11" s="3461"/>
      <c r="WHY11" s="3461"/>
      <c r="WHZ11" s="3461"/>
      <c r="WIA11" s="3461"/>
      <c r="WIB11" s="3461"/>
      <c r="WIC11" s="3461"/>
      <c r="WID11" s="3461"/>
      <c r="WIE11" s="3461"/>
      <c r="WIF11" s="3461"/>
      <c r="WIG11" s="3461"/>
      <c r="WIH11" s="3461"/>
      <c r="WII11" s="3461"/>
      <c r="WIJ11" s="3461"/>
      <c r="WIK11" s="3461"/>
      <c r="WIL11" s="3461"/>
      <c r="WIM11" s="3461"/>
      <c r="WIN11" s="3461"/>
      <c r="WIO11" s="3461"/>
      <c r="WIP11" s="3461"/>
      <c r="WIQ11" s="3461"/>
      <c r="WIR11" s="3461"/>
      <c r="WIS11" s="3461"/>
      <c r="WIT11" s="3461"/>
      <c r="WIU11" s="3461"/>
      <c r="WIV11" s="3461"/>
      <c r="WIW11" s="3461"/>
      <c r="WIX11" s="3461"/>
      <c r="WIY11" s="3461"/>
      <c r="WIZ11" s="3461"/>
      <c r="WJA11" s="3461"/>
      <c r="WJB11" s="3461"/>
      <c r="WJC11" s="3461"/>
      <c r="WJD11" s="3461"/>
      <c r="WJE11" s="3461"/>
      <c r="WJF11" s="3461"/>
      <c r="WJG11" s="3461"/>
      <c r="WJH11" s="3461"/>
      <c r="WJI11" s="3461"/>
      <c r="WJJ11" s="3461"/>
      <c r="WJK11" s="3461"/>
      <c r="WJL11" s="3461"/>
      <c r="WJM11" s="3461"/>
      <c r="WJN11" s="3461"/>
      <c r="WJO11" s="3461"/>
      <c r="WJP11" s="3461"/>
      <c r="WJQ11" s="3461"/>
      <c r="WJR11" s="3461"/>
      <c r="WJS11" s="3461"/>
      <c r="WJT11" s="3461"/>
      <c r="WJU11" s="3461"/>
      <c r="WJV11" s="3461"/>
      <c r="WJW11" s="3461"/>
      <c r="WJX11" s="3461"/>
      <c r="WJY11" s="3461"/>
      <c r="WJZ11" s="3461"/>
      <c r="WKA11" s="3461"/>
      <c r="WKB11" s="3461"/>
      <c r="WKC11" s="3461"/>
      <c r="WKD11" s="3461"/>
      <c r="WKE11" s="3461"/>
      <c r="WKF11" s="3461"/>
      <c r="WKG11" s="3461"/>
      <c r="WKH11" s="3461"/>
      <c r="WKI11" s="3461"/>
      <c r="WKJ11" s="3461"/>
      <c r="WKK11" s="3461"/>
      <c r="WKL11" s="3461"/>
      <c r="WKM11" s="3461"/>
      <c r="WKN11" s="3461"/>
      <c r="WKO11" s="3461"/>
      <c r="WKP11" s="3461"/>
      <c r="WKQ11" s="3461"/>
      <c r="WKR11" s="3461"/>
      <c r="WKS11" s="3461"/>
      <c r="WKT11" s="3461"/>
      <c r="WKU11" s="3461"/>
      <c r="WKV11" s="3461"/>
      <c r="WKW11" s="3461"/>
      <c r="WKX11" s="3461"/>
      <c r="WKY11" s="3461"/>
      <c r="WKZ11" s="3461"/>
      <c r="WLA11" s="3461"/>
      <c r="WLB11" s="3461"/>
      <c r="WLC11" s="3461"/>
      <c r="WLD11" s="3461"/>
      <c r="WLE11" s="3461"/>
      <c r="WLF11" s="3461"/>
      <c r="WLG11" s="3461"/>
      <c r="WLH11" s="3461"/>
      <c r="WLI11" s="3461"/>
      <c r="WLJ11" s="3461"/>
      <c r="WLK11" s="3461"/>
      <c r="WLL11" s="3461"/>
      <c r="WLM11" s="3461"/>
      <c r="WLN11" s="3461"/>
      <c r="WLO11" s="3461"/>
      <c r="WLP11" s="3461"/>
      <c r="WLQ11" s="3461"/>
      <c r="WLR11" s="3461"/>
      <c r="WLS11" s="3461"/>
      <c r="WLT11" s="3461"/>
      <c r="WLU11" s="3461"/>
      <c r="WLV11" s="3461"/>
      <c r="WLW11" s="3461"/>
      <c r="WLX11" s="3461"/>
      <c r="WLY11" s="3461"/>
      <c r="WLZ11" s="3461"/>
      <c r="WMA11" s="3461"/>
      <c r="WMB11" s="3461"/>
      <c r="WMC11" s="3461"/>
      <c r="WMD11" s="3461"/>
      <c r="WME11" s="3461"/>
      <c r="WMF11" s="3461"/>
      <c r="WMG11" s="3461"/>
      <c r="WMH11" s="3461"/>
      <c r="WMI11" s="3461"/>
      <c r="WMJ11" s="3461"/>
      <c r="WMK11" s="3461"/>
      <c r="WML11" s="3461"/>
      <c r="WMM11" s="3461"/>
      <c r="WMN11" s="3461"/>
      <c r="WMO11" s="3461"/>
      <c r="WMP11" s="3461"/>
      <c r="WMQ11" s="3461"/>
      <c r="WMR11" s="3461"/>
      <c r="WMS11" s="3461"/>
      <c r="WMT11" s="3461"/>
      <c r="WMU11" s="3461"/>
      <c r="WMV11" s="3461"/>
      <c r="WMW11" s="3461"/>
      <c r="WMX11" s="3461"/>
      <c r="WMY11" s="3461"/>
      <c r="WMZ11" s="3461"/>
      <c r="WNA11" s="3461"/>
      <c r="WNB11" s="3461"/>
      <c r="WNC11" s="3461"/>
      <c r="WND11" s="3461"/>
      <c r="WNE11" s="3461"/>
      <c r="WNF11" s="3461"/>
      <c r="WNG11" s="3461"/>
      <c r="WNH11" s="3461"/>
      <c r="WNI11" s="3461"/>
      <c r="WNJ11" s="3461"/>
      <c r="WNK11" s="3461"/>
      <c r="WNL11" s="3461"/>
      <c r="WNM11" s="3461"/>
      <c r="WNN11" s="3461"/>
      <c r="WNO11" s="3461"/>
      <c r="WNP11" s="3461"/>
      <c r="WNQ11" s="3461"/>
      <c r="WNR11" s="3461"/>
      <c r="WNS11" s="3461"/>
      <c r="WNT11" s="3461"/>
      <c r="WNU11" s="3461"/>
      <c r="WNV11" s="3461"/>
      <c r="WNW11" s="3461"/>
      <c r="WNX11" s="3461"/>
      <c r="WNY11" s="3461"/>
      <c r="WNZ11" s="3461"/>
      <c r="WOA11" s="3461"/>
      <c r="WOB11" s="3461"/>
      <c r="WOC11" s="3461"/>
      <c r="WOD11" s="3461"/>
      <c r="WOE11" s="3461"/>
      <c r="WOF11" s="3461"/>
      <c r="WOG11" s="3461"/>
      <c r="WOH11" s="3461"/>
      <c r="WOI11" s="3461"/>
      <c r="WOJ11" s="3461"/>
      <c r="WOK11" s="3461"/>
      <c r="WOL11" s="3461"/>
      <c r="WOM11" s="3461"/>
      <c r="WON11" s="3461"/>
      <c r="WOO11" s="3461"/>
      <c r="WOP11" s="3461"/>
      <c r="WOQ11" s="3461"/>
      <c r="WOR11" s="3461"/>
      <c r="WOS11" s="3461"/>
      <c r="WOT11" s="3461"/>
      <c r="WOU11" s="3461"/>
      <c r="WOV11" s="3461"/>
      <c r="WOW11" s="3461"/>
      <c r="WOX11" s="3461"/>
      <c r="WOY11" s="3461"/>
      <c r="WOZ11" s="3461"/>
      <c r="WPA11" s="3461"/>
      <c r="WPB11" s="3461"/>
      <c r="WPC11" s="3461"/>
      <c r="WPD11" s="3461"/>
      <c r="WPE11" s="3461"/>
      <c r="WPF11" s="3461"/>
      <c r="WPG11" s="3461"/>
      <c r="WPH11" s="3461"/>
      <c r="WPI11" s="3461"/>
      <c r="WPJ11" s="3461"/>
      <c r="WPK11" s="3461"/>
      <c r="WPL11" s="3461"/>
      <c r="WPM11" s="3461"/>
      <c r="WPN11" s="3461"/>
      <c r="WPO11" s="3461"/>
      <c r="WPP11" s="3461"/>
      <c r="WPQ11" s="3461"/>
      <c r="WPR11" s="3461"/>
      <c r="WPS11" s="3461"/>
      <c r="WPT11" s="3461"/>
      <c r="WPU11" s="3461"/>
      <c r="WPV11" s="3461"/>
      <c r="WPW11" s="3461"/>
      <c r="WPX11" s="3461"/>
      <c r="WPY11" s="3461"/>
      <c r="WPZ11" s="3461"/>
      <c r="WQA11" s="3461"/>
      <c r="WQB11" s="3461"/>
      <c r="WQC11" s="3461"/>
      <c r="WQD11" s="3461"/>
      <c r="WQE11" s="3461"/>
      <c r="WQF11" s="3461"/>
      <c r="WQG11" s="3461"/>
      <c r="WQH11" s="3461"/>
      <c r="WQI11" s="3461"/>
      <c r="WQJ11" s="3461"/>
      <c r="WQK11" s="3461"/>
      <c r="WQL11" s="3461"/>
      <c r="WQM11" s="3461"/>
      <c r="WQN11" s="3461"/>
      <c r="WQO11" s="3461"/>
      <c r="WQP11" s="3461"/>
      <c r="WQQ11" s="3461"/>
      <c r="WQR11" s="3461"/>
      <c r="WQS11" s="3461"/>
      <c r="WQT11" s="3461"/>
      <c r="WQU11" s="3461"/>
      <c r="WQV11" s="3461"/>
      <c r="WQW11" s="3461"/>
      <c r="WQX11" s="3461"/>
      <c r="WQY11" s="3461"/>
      <c r="WQZ11" s="3461"/>
      <c r="WRA11" s="3461"/>
      <c r="WRB11" s="3461"/>
      <c r="WRC11" s="3461"/>
      <c r="WRD11" s="3461"/>
      <c r="WRE11" s="3461"/>
      <c r="WRF11" s="3461"/>
      <c r="WRG11" s="3461"/>
      <c r="WRH11" s="3461"/>
      <c r="WRI11" s="3461"/>
      <c r="WRJ11" s="3461"/>
      <c r="WRK11" s="3461"/>
      <c r="WRL11" s="3461"/>
      <c r="WRM11" s="3461"/>
      <c r="WRN11" s="3461"/>
      <c r="WRO11" s="3461"/>
      <c r="WRP11" s="3461"/>
      <c r="WRQ11" s="3461"/>
      <c r="WRR11" s="3461"/>
      <c r="WRS11" s="3461"/>
      <c r="WRT11" s="3461"/>
      <c r="WRU11" s="3461"/>
      <c r="WRV11" s="3461"/>
      <c r="WRW11" s="3461"/>
      <c r="WRX11" s="3461"/>
      <c r="WRY11" s="3461"/>
      <c r="WRZ11" s="3461"/>
      <c r="WSA11" s="3461"/>
      <c r="WSB11" s="3461"/>
      <c r="WSC11" s="3461"/>
      <c r="WSD11" s="3461"/>
      <c r="WSE11" s="3461"/>
      <c r="WSF11" s="3461"/>
      <c r="WSG11" s="3461"/>
      <c r="WSH11" s="3461"/>
      <c r="WSI11" s="3461"/>
      <c r="WSJ11" s="3461"/>
      <c r="WSK11" s="3461"/>
      <c r="WSL11" s="3461"/>
      <c r="WSM11" s="3461"/>
      <c r="WSN11" s="3461"/>
      <c r="WSO11" s="3461"/>
      <c r="WSP11" s="3461"/>
      <c r="WSQ11" s="3461"/>
      <c r="WSR11" s="3461"/>
      <c r="WSS11" s="3461"/>
      <c r="WST11" s="3461"/>
      <c r="WSU11" s="3461"/>
      <c r="WSV11" s="3461"/>
      <c r="WSW11" s="3461"/>
      <c r="WSX11" s="3461"/>
      <c r="WSY11" s="3461"/>
      <c r="WSZ11" s="3461"/>
      <c r="WTA11" s="3461"/>
      <c r="WTB11" s="3461"/>
      <c r="WTC11" s="3461"/>
      <c r="WTD11" s="3461"/>
      <c r="WTE11" s="3461"/>
      <c r="WTF11" s="3461"/>
      <c r="WTG11" s="3461"/>
      <c r="WTH11" s="3461"/>
      <c r="WTI11" s="3461"/>
      <c r="WTJ11" s="3461"/>
      <c r="WTK11" s="3461"/>
      <c r="WTL11" s="3461"/>
      <c r="WTM11" s="3461"/>
      <c r="WTN11" s="3461"/>
      <c r="WTO11" s="3461"/>
      <c r="WTP11" s="3461"/>
      <c r="WTQ11" s="3461"/>
      <c r="WTR11" s="3461"/>
      <c r="WTS11" s="3461"/>
      <c r="WTT11" s="3461"/>
      <c r="WTU11" s="3461"/>
      <c r="WTV11" s="3461"/>
      <c r="WTW11" s="3461"/>
      <c r="WTX11" s="3461"/>
      <c r="WTY11" s="3461"/>
      <c r="WTZ11" s="3461"/>
      <c r="WUA11" s="3461"/>
      <c r="WUB11" s="3461"/>
      <c r="WUC11" s="3461"/>
      <c r="WUD11" s="3461"/>
      <c r="WUE11" s="3461"/>
      <c r="WUF11" s="3461"/>
      <c r="WUG11" s="3461"/>
      <c r="WUH11" s="3461"/>
      <c r="WUI11" s="3461"/>
      <c r="WUJ11" s="3461"/>
      <c r="WUK11" s="3461"/>
      <c r="WUL11" s="3461"/>
      <c r="WUM11" s="3461"/>
      <c r="WUN11" s="3461"/>
      <c r="WUO11" s="3461"/>
      <c r="WUP11" s="3461"/>
      <c r="WUQ11" s="3461"/>
      <c r="WUR11" s="3461"/>
      <c r="WUS11" s="3461"/>
      <c r="WUT11" s="3461"/>
      <c r="WUU11" s="3461"/>
      <c r="WUV11" s="3461"/>
      <c r="WUW11" s="3461"/>
      <c r="WUX11" s="3461"/>
      <c r="WUY11" s="3461"/>
      <c r="WUZ11" s="3461"/>
      <c r="WVA11" s="3461"/>
      <c r="WVB11" s="3461"/>
      <c r="WVC11" s="3461"/>
      <c r="WVD11" s="3461"/>
      <c r="WVE11" s="3461"/>
      <c r="WVF11" s="3461"/>
      <c r="WVG11" s="3461"/>
      <c r="WVH11" s="3461"/>
      <c r="WVI11" s="3461"/>
      <c r="WVJ11" s="3461"/>
      <c r="WVK11" s="3461"/>
      <c r="WVL11" s="3461"/>
      <c r="WVM11" s="3461"/>
      <c r="WVN11" s="3461"/>
      <c r="WVO11" s="3461"/>
      <c r="WVP11" s="3461"/>
      <c r="WVQ11" s="3461"/>
      <c r="WVR11" s="3461"/>
      <c r="WVS11" s="3461"/>
      <c r="WVT11" s="3461"/>
      <c r="WVU11" s="3461"/>
      <c r="WVV11" s="3461"/>
      <c r="WVW11" s="3461"/>
      <c r="WVX11" s="3461"/>
      <c r="WVY11" s="3461"/>
      <c r="WVZ11" s="3461"/>
      <c r="WWA11" s="3461"/>
      <c r="WWB11" s="3461"/>
      <c r="WWC11" s="3461"/>
      <c r="WWD11" s="3461"/>
      <c r="WWE11" s="3461"/>
      <c r="WWF11" s="3461"/>
      <c r="WWG11" s="3461"/>
      <c r="WWH11" s="3461"/>
      <c r="WWI11" s="3461"/>
      <c r="WWJ11" s="3461"/>
      <c r="WWK11" s="3461"/>
      <c r="WWL11" s="3461"/>
      <c r="WWM11" s="3461"/>
      <c r="WWN11" s="3461"/>
      <c r="WWO11" s="3461"/>
      <c r="WWP11" s="3461"/>
      <c r="WWQ11" s="3461"/>
      <c r="WWR11" s="3461"/>
      <c r="WWS11" s="3461"/>
      <c r="WWT11" s="3461"/>
      <c r="WWU11" s="3461"/>
      <c r="WWV11" s="3461"/>
      <c r="WWW11" s="3461"/>
      <c r="WWX11" s="3461"/>
      <c r="WWY11" s="3461"/>
      <c r="WWZ11" s="3461"/>
      <c r="WXA11" s="3461"/>
      <c r="WXB11" s="3461"/>
      <c r="WXC11" s="3461"/>
      <c r="WXD11" s="3461"/>
      <c r="WXE11" s="3461"/>
      <c r="WXF11" s="3461"/>
      <c r="WXG11" s="3461"/>
      <c r="WXH11" s="3461"/>
      <c r="WXI11" s="3461"/>
      <c r="WXJ11" s="3461"/>
      <c r="WXK11" s="3461"/>
      <c r="WXL11" s="3461"/>
      <c r="WXM11" s="3461"/>
      <c r="WXN11" s="3461"/>
      <c r="WXO11" s="3461"/>
      <c r="WXP11" s="3461"/>
      <c r="WXQ11" s="3461"/>
      <c r="WXR11" s="3461"/>
      <c r="WXS11" s="3461"/>
      <c r="WXT11" s="3461"/>
      <c r="WXU11" s="3461"/>
      <c r="WXV11" s="3461"/>
      <c r="WXW11" s="3461"/>
      <c r="WXX11" s="3461"/>
      <c r="WXY11" s="3461"/>
      <c r="WXZ11" s="3461"/>
      <c r="WYA11" s="3461"/>
      <c r="WYB11" s="3461"/>
      <c r="WYC11" s="3461"/>
      <c r="WYD11" s="3461"/>
      <c r="WYE11" s="3461"/>
      <c r="WYF11" s="3461"/>
      <c r="WYG11" s="3461"/>
      <c r="WYH11" s="3461"/>
      <c r="WYI11" s="3461"/>
      <c r="WYJ11" s="3461"/>
      <c r="WYK11" s="3461"/>
      <c r="WYL11" s="3461"/>
      <c r="WYM11" s="3461"/>
      <c r="WYN11" s="3461"/>
      <c r="WYO11" s="3461"/>
      <c r="WYP11" s="3461"/>
      <c r="WYQ11" s="3461"/>
      <c r="WYR11" s="3461"/>
      <c r="WYS11" s="3461"/>
      <c r="WYT11" s="3461"/>
      <c r="WYU11" s="3461"/>
      <c r="WYV11" s="3461"/>
      <c r="WYW11" s="3461"/>
      <c r="WYX11" s="3461"/>
      <c r="WYY11" s="3461"/>
      <c r="WYZ11" s="3461"/>
      <c r="WZA11" s="3461"/>
      <c r="WZB11" s="3461"/>
      <c r="WZC11" s="3461"/>
      <c r="WZD11" s="3461"/>
      <c r="WZE11" s="3461"/>
      <c r="WZF11" s="3461"/>
      <c r="WZG11" s="3461"/>
      <c r="WZH11" s="3461"/>
      <c r="WZI11" s="3461"/>
      <c r="WZJ11" s="3461"/>
      <c r="WZK11" s="3461"/>
      <c r="WZL11" s="3461"/>
      <c r="WZM11" s="3461"/>
      <c r="WZN11" s="3461"/>
      <c r="WZO11" s="3461"/>
      <c r="WZP11" s="3461"/>
      <c r="WZQ11" s="3461"/>
      <c r="WZR11" s="3461"/>
      <c r="WZS11" s="3461"/>
      <c r="WZT11" s="3461"/>
      <c r="WZU11" s="3461"/>
      <c r="WZV11" s="3461"/>
      <c r="WZW11" s="3461"/>
      <c r="WZX11" s="3461"/>
      <c r="WZY11" s="3461"/>
      <c r="WZZ11" s="3461"/>
      <c r="XAA11" s="3461"/>
      <c r="XAB11" s="3461"/>
      <c r="XAC11" s="3461"/>
      <c r="XAD11" s="3461"/>
      <c r="XAE11" s="3461"/>
      <c r="XAF11" s="3461"/>
      <c r="XAG11" s="3461"/>
      <c r="XAH11" s="3461"/>
      <c r="XAI11" s="3461"/>
      <c r="XAJ11" s="3461"/>
      <c r="XAK11" s="3461"/>
      <c r="XAL11" s="3461"/>
      <c r="XAM11" s="3461"/>
      <c r="XAN11" s="3461"/>
      <c r="XAO11" s="3461"/>
      <c r="XAP11" s="3461"/>
      <c r="XAQ11" s="3461"/>
      <c r="XAR11" s="3461"/>
      <c r="XAS11" s="3461"/>
      <c r="XAT11" s="3461"/>
      <c r="XAU11" s="3461"/>
      <c r="XAV11" s="3461"/>
      <c r="XAW11" s="3461"/>
      <c r="XAX11" s="3461"/>
      <c r="XAY11" s="3461"/>
      <c r="XAZ11" s="3461"/>
      <c r="XBA11" s="3461"/>
      <c r="XBB11" s="3461"/>
      <c r="XBC11" s="3461"/>
      <c r="XBD11" s="3461"/>
      <c r="XBE11" s="3461"/>
      <c r="XBF11" s="3461"/>
      <c r="XBG11" s="3461"/>
      <c r="XBH11" s="3461"/>
      <c r="XBI11" s="3461"/>
      <c r="XBJ11" s="3461"/>
      <c r="XBK11" s="3461"/>
      <c r="XBL11" s="3461"/>
      <c r="XBM11" s="3461"/>
      <c r="XBN11" s="3461"/>
      <c r="XBO11" s="3461"/>
      <c r="XBP11" s="3461"/>
      <c r="XBQ11" s="3461"/>
      <c r="XBR11" s="3461"/>
      <c r="XBS11" s="3461"/>
      <c r="XBT11" s="3461"/>
      <c r="XBU11" s="3461"/>
      <c r="XBV11" s="3461"/>
      <c r="XBW11" s="3461"/>
      <c r="XBX11" s="3461"/>
      <c r="XBY11" s="3461"/>
      <c r="XBZ11" s="3461"/>
      <c r="XCA11" s="3461"/>
      <c r="XCB11" s="3461"/>
      <c r="XCC11" s="3461"/>
      <c r="XCD11" s="3461"/>
      <c r="XCE11" s="3461"/>
      <c r="XCF11" s="3461"/>
      <c r="XCG11" s="3461"/>
      <c r="XCH11" s="3461"/>
      <c r="XCI11" s="3461"/>
      <c r="XCJ11" s="3461"/>
      <c r="XCK11" s="3461"/>
      <c r="XCL11" s="3461"/>
      <c r="XCM11" s="3461"/>
      <c r="XCN11" s="3461"/>
      <c r="XCO11" s="3461"/>
      <c r="XCP11" s="3461"/>
      <c r="XCQ11" s="3461"/>
      <c r="XCR11" s="3461"/>
      <c r="XCS11" s="3461"/>
      <c r="XCT11" s="3461"/>
      <c r="XCU11" s="3461"/>
      <c r="XCV11" s="3461"/>
      <c r="XCW11" s="3461"/>
      <c r="XCX11" s="3461"/>
      <c r="XCY11" s="3461"/>
      <c r="XCZ11" s="3461"/>
      <c r="XDA11" s="3461"/>
      <c r="XDB11" s="3461"/>
      <c r="XDC11" s="3461"/>
      <c r="XDD11" s="3461"/>
      <c r="XDE11" s="3461"/>
      <c r="XDF11" s="3461"/>
      <c r="XDG11" s="3461"/>
      <c r="XDH11" s="3461"/>
      <c r="XDI11" s="3461"/>
      <c r="XDJ11" s="3461"/>
      <c r="XDK11" s="3461"/>
      <c r="XDL11" s="3461"/>
      <c r="XDM11" s="3461"/>
      <c r="XDN11" s="3461"/>
      <c r="XDO11" s="3461"/>
      <c r="XDP11" s="3461"/>
      <c r="XDQ11" s="3461"/>
      <c r="XDR11" s="3461"/>
      <c r="XDS11" s="3461"/>
      <c r="XDT11" s="3461"/>
      <c r="XDU11" s="3461"/>
      <c r="XDV11" s="3461"/>
      <c r="XDW11" s="3461"/>
      <c r="XDX11" s="3461"/>
      <c r="XDY11" s="3461"/>
      <c r="XDZ11" s="3461"/>
      <c r="XEA11" s="3461"/>
      <c r="XEB11" s="3461"/>
      <c r="XEC11" s="3461"/>
      <c r="XED11" s="3461"/>
      <c r="XEE11" s="3461"/>
      <c r="XEF11" s="3461"/>
      <c r="XEG11" s="3461"/>
      <c r="XEH11" s="3461"/>
      <c r="XEI11" s="3461"/>
      <c r="XEJ11" s="3461"/>
      <c r="XEK11" s="3461"/>
      <c r="XEL11" s="3461"/>
      <c r="XEM11" s="3461"/>
      <c r="XEN11" s="3461"/>
      <c r="XEO11" s="3461"/>
      <c r="XEP11" s="3461"/>
      <c r="XEQ11" s="3461"/>
      <c r="XER11" s="3461"/>
      <c r="XES11" s="3461"/>
      <c r="XET11" s="3461"/>
      <c r="XEU11" s="3461"/>
      <c r="XEV11" s="3461"/>
      <c r="XEW11" s="3461"/>
      <c r="XEX11" s="3461"/>
      <c r="XEY11" s="3461"/>
      <c r="XEZ11" s="3461"/>
      <c r="XFA11" s="3461"/>
      <c r="XFB11" s="3461"/>
    </row>
    <row r="12" spans="1:16382" s="3473" customFormat="1" ht="15" customHeight="1">
      <c r="A12" s="414"/>
      <c r="B12" s="3463"/>
      <c r="C12" s="3464"/>
      <c r="D12" s="3453"/>
      <c r="E12" s="3453"/>
      <c r="F12" s="3465"/>
      <c r="G12" s="3454"/>
      <c r="H12" s="3466" t="s">
        <v>4504</v>
      </c>
      <c r="I12" s="3467">
        <f>SUM(M12:BA12)</f>
        <v>33681</v>
      </c>
      <c r="J12" s="3468">
        <f>SUM(J13,J22,J30,J35,J39,J43,J47,J51)</f>
        <v>0</v>
      </c>
      <c r="K12" s="3468">
        <f>SUM(K13,K22,K30,K35,K39,K43,K47,K51)</f>
        <v>0</v>
      </c>
      <c r="L12" s="3468">
        <f t="shared" ref="L12:BA12" si="5">SUM(L13,L24,L35,L40,L44,L48,L52,L56,)</f>
        <v>0</v>
      </c>
      <c r="M12" s="3468">
        <f t="shared" si="5"/>
        <v>0</v>
      </c>
      <c r="N12" s="3469">
        <f t="shared" si="5"/>
        <v>0</v>
      </c>
      <c r="O12" s="3470">
        <f t="shared" si="5"/>
        <v>0</v>
      </c>
      <c r="P12" s="3470">
        <f t="shared" si="5"/>
        <v>1399</v>
      </c>
      <c r="Q12" s="3470">
        <f t="shared" si="5"/>
        <v>0</v>
      </c>
      <c r="R12" s="3470">
        <f t="shared" si="5"/>
        <v>0</v>
      </c>
      <c r="S12" s="3470">
        <f t="shared" si="5"/>
        <v>300</v>
      </c>
      <c r="T12" s="3470">
        <f t="shared" si="5"/>
        <v>0</v>
      </c>
      <c r="U12" s="3470">
        <f t="shared" si="5"/>
        <v>630</v>
      </c>
      <c r="V12" s="3470">
        <f t="shared" si="5"/>
        <v>40</v>
      </c>
      <c r="W12" s="3470">
        <f t="shared" si="5"/>
        <v>0</v>
      </c>
      <c r="X12" s="3471">
        <f t="shared" si="5"/>
        <v>0</v>
      </c>
      <c r="Y12" s="3470">
        <f t="shared" si="5"/>
        <v>2260</v>
      </c>
      <c r="Z12" s="3470">
        <f t="shared" si="5"/>
        <v>150</v>
      </c>
      <c r="AA12" s="3470">
        <f t="shared" si="5"/>
        <v>0</v>
      </c>
      <c r="AB12" s="3470">
        <f t="shared" si="5"/>
        <v>0</v>
      </c>
      <c r="AC12" s="3470">
        <f t="shared" si="5"/>
        <v>0</v>
      </c>
      <c r="AD12" s="3470">
        <f t="shared" si="5"/>
        <v>80</v>
      </c>
      <c r="AE12" s="3470">
        <f t="shared" si="5"/>
        <v>150</v>
      </c>
      <c r="AF12" s="3470">
        <f t="shared" si="5"/>
        <v>5040</v>
      </c>
      <c r="AG12" s="3470">
        <f t="shared" si="5"/>
        <v>8660</v>
      </c>
      <c r="AH12" s="3471">
        <f t="shared" si="5"/>
        <v>3200</v>
      </c>
      <c r="AI12" s="3470">
        <f t="shared" si="5"/>
        <v>0</v>
      </c>
      <c r="AJ12" s="3470">
        <f t="shared" si="5"/>
        <v>950</v>
      </c>
      <c r="AK12" s="3470">
        <f t="shared" si="5"/>
        <v>780</v>
      </c>
      <c r="AL12" s="3470">
        <f t="shared" si="5"/>
        <v>0</v>
      </c>
      <c r="AM12" s="3470">
        <f t="shared" si="5"/>
        <v>0</v>
      </c>
      <c r="AN12" s="3470">
        <f t="shared" si="5"/>
        <v>600</v>
      </c>
      <c r="AO12" s="3470">
        <f t="shared" si="5"/>
        <v>650</v>
      </c>
      <c r="AP12" s="3470">
        <f t="shared" si="5"/>
        <v>1212</v>
      </c>
      <c r="AQ12" s="3470">
        <f t="shared" si="5"/>
        <v>0</v>
      </c>
      <c r="AR12" s="3471">
        <f t="shared" si="5"/>
        <v>0</v>
      </c>
      <c r="AS12" s="3470">
        <f t="shared" si="5"/>
        <v>560</v>
      </c>
      <c r="AT12" s="3470">
        <f t="shared" si="5"/>
        <v>150</v>
      </c>
      <c r="AU12" s="3470">
        <f t="shared" si="5"/>
        <v>0</v>
      </c>
      <c r="AV12" s="3470">
        <f t="shared" si="5"/>
        <v>1560</v>
      </c>
      <c r="AW12" s="3470">
        <f t="shared" si="5"/>
        <v>0</v>
      </c>
      <c r="AX12" s="3470">
        <f t="shared" si="5"/>
        <v>80</v>
      </c>
      <c r="AY12" s="3470">
        <f t="shared" si="5"/>
        <v>150</v>
      </c>
      <c r="AZ12" s="3470">
        <f t="shared" si="5"/>
        <v>780</v>
      </c>
      <c r="BA12" s="3472">
        <f t="shared" si="5"/>
        <v>4300</v>
      </c>
    </row>
    <row r="13" spans="1:16382" ht="12" customHeight="1">
      <c r="A13" s="302"/>
      <c r="B13" s="3474"/>
      <c r="C13" s="3475" t="s">
        <v>4505</v>
      </c>
      <c r="D13" s="3476"/>
      <c r="E13" s="3405"/>
      <c r="G13" s="3477"/>
      <c r="H13" s="3478"/>
      <c r="I13" s="3479">
        <f>SUM(M13:BA13)</f>
        <v>14500</v>
      </c>
      <c r="J13" s="1597">
        <f t="shared" ref="J13:BA13" si="6">SUM(J14:J20)</f>
        <v>0</v>
      </c>
      <c r="K13" s="3480">
        <f t="shared" si="6"/>
        <v>0</v>
      </c>
      <c r="L13" s="1597">
        <f t="shared" si="6"/>
        <v>0</v>
      </c>
      <c r="M13" s="1597">
        <f t="shared" si="6"/>
        <v>0</v>
      </c>
      <c r="N13" s="3481">
        <f t="shared" si="6"/>
        <v>0</v>
      </c>
      <c r="O13" s="3482">
        <f t="shared" si="6"/>
        <v>0</v>
      </c>
      <c r="P13" s="3482">
        <f t="shared" si="6"/>
        <v>0</v>
      </c>
      <c r="Q13" s="3482">
        <f t="shared" si="6"/>
        <v>0</v>
      </c>
      <c r="R13" s="3482">
        <f t="shared" si="6"/>
        <v>0</v>
      </c>
      <c r="S13" s="3482">
        <f t="shared" si="6"/>
        <v>0</v>
      </c>
      <c r="T13" s="3482">
        <f t="shared" si="6"/>
        <v>0</v>
      </c>
      <c r="U13" s="3482">
        <f t="shared" si="6"/>
        <v>0</v>
      </c>
      <c r="V13" s="3482">
        <f t="shared" si="6"/>
        <v>0</v>
      </c>
      <c r="W13" s="3482">
        <f t="shared" si="6"/>
        <v>0</v>
      </c>
      <c r="X13" s="3483">
        <f t="shared" si="6"/>
        <v>0</v>
      </c>
      <c r="Y13" s="3482">
        <f t="shared" si="6"/>
        <v>500</v>
      </c>
      <c r="Z13" s="3482">
        <f t="shared" si="6"/>
        <v>0</v>
      </c>
      <c r="AA13" s="3482">
        <f t="shared" si="6"/>
        <v>0</v>
      </c>
      <c r="AB13" s="898">
        <f t="shared" si="6"/>
        <v>0</v>
      </c>
      <c r="AC13" s="3482">
        <f t="shared" si="6"/>
        <v>0</v>
      </c>
      <c r="AD13" s="3482">
        <f t="shared" si="6"/>
        <v>0</v>
      </c>
      <c r="AE13" s="3482">
        <f t="shared" si="6"/>
        <v>0</v>
      </c>
      <c r="AF13" s="3482">
        <f t="shared" si="6"/>
        <v>5000</v>
      </c>
      <c r="AG13" s="3482">
        <f t="shared" si="6"/>
        <v>5000</v>
      </c>
      <c r="AH13" s="3483">
        <f t="shared" si="6"/>
        <v>2000</v>
      </c>
      <c r="AI13" s="3482">
        <f t="shared" si="6"/>
        <v>0</v>
      </c>
      <c r="AJ13" s="3482">
        <f t="shared" si="6"/>
        <v>0</v>
      </c>
      <c r="AK13" s="898">
        <f t="shared" si="6"/>
        <v>0</v>
      </c>
      <c r="AL13" s="3482">
        <f t="shared" si="6"/>
        <v>0</v>
      </c>
      <c r="AM13" s="3482">
        <f t="shared" si="6"/>
        <v>0</v>
      </c>
      <c r="AN13" s="3482">
        <f t="shared" si="6"/>
        <v>0</v>
      </c>
      <c r="AO13" s="3482">
        <f t="shared" si="6"/>
        <v>500</v>
      </c>
      <c r="AP13" s="3482">
        <f t="shared" si="6"/>
        <v>0</v>
      </c>
      <c r="AQ13" s="3482">
        <f t="shared" si="6"/>
        <v>0</v>
      </c>
      <c r="AR13" s="3483">
        <f t="shared" si="6"/>
        <v>0</v>
      </c>
      <c r="AS13" s="3482">
        <f t="shared" si="6"/>
        <v>0</v>
      </c>
      <c r="AT13" s="3482">
        <f t="shared" si="6"/>
        <v>0</v>
      </c>
      <c r="AU13" s="3482">
        <f t="shared" si="6"/>
        <v>0</v>
      </c>
      <c r="AV13" s="3482">
        <f t="shared" si="6"/>
        <v>0</v>
      </c>
      <c r="AW13" s="3482">
        <f t="shared" si="6"/>
        <v>0</v>
      </c>
      <c r="AX13" s="3482">
        <f t="shared" si="6"/>
        <v>0</v>
      </c>
      <c r="AY13" s="3482">
        <f t="shared" si="6"/>
        <v>0</v>
      </c>
      <c r="AZ13" s="3482">
        <f t="shared" si="6"/>
        <v>0</v>
      </c>
      <c r="BA13" s="3484">
        <f t="shared" si="6"/>
        <v>1500</v>
      </c>
    </row>
    <row r="14" spans="1:16382" ht="12" customHeight="1">
      <c r="A14" s="302"/>
      <c r="B14" s="3474"/>
      <c r="C14" s="3485">
        <f ca="1">민감도!E81</f>
        <v>1</v>
      </c>
      <c r="D14" s="3486" t="s">
        <v>4506</v>
      </c>
      <c r="E14" s="3405"/>
      <c r="F14" s="3477">
        <v>2</v>
      </c>
      <c r="G14" s="3477">
        <v>25</v>
      </c>
      <c r="H14" s="3478">
        <v>9000</v>
      </c>
      <c r="I14" s="3487"/>
      <c r="J14" s="1597"/>
      <c r="K14" s="3480"/>
      <c r="L14" s="1597"/>
      <c r="M14" s="3480"/>
      <c r="N14" s="3481"/>
      <c r="O14" s="3488"/>
      <c r="P14" s="3488"/>
      <c r="Q14" s="3488"/>
      <c r="R14" s="3489"/>
      <c r="S14" s="3489"/>
      <c r="T14" s="3488"/>
      <c r="U14" s="3488"/>
      <c r="V14" s="3488"/>
      <c r="W14" s="3488"/>
      <c r="X14" s="3490"/>
      <c r="Y14" s="3488"/>
      <c r="Z14" s="3488"/>
      <c r="AA14" s="3488"/>
      <c r="AB14" s="3489"/>
      <c r="AC14" s="3488"/>
      <c r="AD14" s="3488"/>
      <c r="AE14" s="3488"/>
      <c r="AF14" s="3482">
        <v>5000</v>
      </c>
      <c r="AG14" s="3482">
        <v>5000</v>
      </c>
      <c r="AH14" s="3483">
        <v>0</v>
      </c>
      <c r="AI14" s="3482">
        <v>0</v>
      </c>
      <c r="AJ14" s="3488"/>
      <c r="AK14" s="3488"/>
      <c r="AL14" s="3488"/>
      <c r="AM14" s="3488"/>
      <c r="AN14" s="3488"/>
      <c r="AO14" s="3488"/>
      <c r="AP14" s="3488"/>
      <c r="AQ14" s="3488"/>
      <c r="AR14" s="3490"/>
      <c r="AS14" s="3488"/>
      <c r="AT14" s="3488"/>
      <c r="AU14" s="3488"/>
      <c r="AV14" s="3488"/>
      <c r="AW14" s="3488"/>
      <c r="AX14" s="3488"/>
      <c r="AY14" s="3488"/>
      <c r="AZ14" s="3488"/>
      <c r="BA14" s="3491"/>
    </row>
    <row r="15" spans="1:16382" ht="12" customHeight="1">
      <c r="A15" s="302"/>
      <c r="B15" s="3474"/>
      <c r="C15" s="307"/>
      <c r="D15" s="3486" t="s">
        <v>4507</v>
      </c>
      <c r="E15" s="3405"/>
      <c r="F15" s="3477"/>
      <c r="G15" s="3477"/>
      <c r="H15" s="3478">
        <v>2000</v>
      </c>
      <c r="I15" s="3487"/>
      <c r="J15" s="1597"/>
      <c r="K15" s="3480"/>
      <c r="L15" s="1597"/>
      <c r="M15" s="3480"/>
      <c r="N15" s="3481"/>
      <c r="O15" s="3488"/>
      <c r="P15" s="3488"/>
      <c r="Q15" s="3488"/>
      <c r="R15" s="3489"/>
      <c r="S15" s="3489"/>
      <c r="T15" s="3488"/>
      <c r="U15" s="3488"/>
      <c r="V15" s="3488"/>
      <c r="W15" s="3488"/>
      <c r="X15" s="3490"/>
      <c r="Y15" s="3488"/>
      <c r="Z15" s="3488"/>
      <c r="AA15" s="3488"/>
      <c r="AB15" s="3489"/>
      <c r="AC15" s="3488"/>
      <c r="AD15" s="3488"/>
      <c r="AE15" s="3488"/>
      <c r="AF15" s="3488"/>
      <c r="AG15" s="3488"/>
      <c r="AH15" s="3483"/>
      <c r="AI15" s="3482"/>
      <c r="AJ15" s="3488"/>
      <c r="AK15" s="3488"/>
      <c r="AL15" s="3488"/>
      <c r="AM15" s="3488"/>
      <c r="AN15" s="3488"/>
      <c r="AO15" s="3488"/>
      <c r="AP15" s="3488"/>
      <c r="AQ15" s="3488"/>
      <c r="AR15" s="3490"/>
      <c r="AS15" s="3488"/>
      <c r="AT15" s="3488"/>
      <c r="AU15" s="3488"/>
      <c r="AV15" s="3488"/>
      <c r="AW15" s="3488"/>
      <c r="AX15" s="3488"/>
      <c r="AY15" s="3488"/>
      <c r="AZ15" s="3488"/>
      <c r="BA15" s="3491"/>
    </row>
    <row r="16" spans="1:16382" ht="12" customHeight="1">
      <c r="A16" s="302"/>
      <c r="B16" s="3474"/>
      <c r="C16" s="307"/>
      <c r="D16" s="3486" t="s">
        <v>4508</v>
      </c>
      <c r="E16" s="3405"/>
      <c r="F16" s="3477">
        <v>1</v>
      </c>
      <c r="G16" s="3477">
        <v>25</v>
      </c>
      <c r="H16" s="3478">
        <v>9000</v>
      </c>
      <c r="I16" s="3487"/>
      <c r="J16" s="1597"/>
      <c r="K16" s="3480"/>
      <c r="L16" s="1597"/>
      <c r="M16" s="1597"/>
      <c r="N16" s="3481"/>
      <c r="O16" s="3488"/>
      <c r="P16" s="3488"/>
      <c r="Q16" s="3488"/>
      <c r="R16" s="3488"/>
      <c r="S16" s="3488"/>
      <c r="T16" s="3488"/>
      <c r="U16" s="3488"/>
      <c r="V16" s="3488"/>
      <c r="W16" s="3488"/>
      <c r="X16" s="3490"/>
      <c r="Y16" s="3488"/>
      <c r="Z16" s="3488"/>
      <c r="AA16" s="3488"/>
      <c r="AB16" s="3488"/>
      <c r="AC16" s="3488"/>
      <c r="AD16" s="3488"/>
      <c r="AE16" s="3488"/>
      <c r="AF16" s="3488"/>
      <c r="AG16" s="3488"/>
      <c r="AH16" s="3483"/>
      <c r="AI16" s="3482"/>
      <c r="AJ16" s="3488"/>
      <c r="AK16" s="3488"/>
      <c r="AL16" s="3488"/>
      <c r="AM16" s="3488"/>
      <c r="AN16" s="3488"/>
      <c r="AO16" s="3488"/>
      <c r="AP16" s="3488"/>
      <c r="AQ16" s="3488"/>
      <c r="AR16" s="3490"/>
      <c r="AS16" s="3488"/>
      <c r="AT16" s="3488"/>
      <c r="AU16" s="3488"/>
      <c r="AV16" s="3488"/>
      <c r="AW16" s="3488"/>
      <c r="AX16" s="3488"/>
      <c r="AY16" s="3488"/>
      <c r="AZ16" s="3488"/>
      <c r="BA16" s="3491"/>
    </row>
    <row r="17" spans="1:53" ht="12" customHeight="1">
      <c r="A17" s="302"/>
      <c r="B17" s="3474"/>
      <c r="C17" s="307"/>
      <c r="D17" s="3486" t="s">
        <v>4509</v>
      </c>
      <c r="E17" s="3405"/>
      <c r="F17" s="3477">
        <v>1</v>
      </c>
      <c r="G17" s="3477">
        <v>25</v>
      </c>
      <c r="H17" s="3478">
        <v>9000</v>
      </c>
      <c r="I17" s="3487"/>
      <c r="J17" s="1597"/>
      <c r="K17" s="3480"/>
      <c r="L17" s="1597"/>
      <c r="M17" s="1597"/>
      <c r="N17" s="3481"/>
      <c r="O17" s="3488"/>
      <c r="P17" s="3488"/>
      <c r="Q17" s="3488"/>
      <c r="R17" s="3488"/>
      <c r="S17" s="3488"/>
      <c r="T17" s="3488"/>
      <c r="U17" s="3488"/>
      <c r="V17" s="3488"/>
      <c r="W17" s="3488"/>
      <c r="X17" s="3490"/>
      <c r="Y17" s="3488"/>
      <c r="Z17" s="3488"/>
      <c r="AA17" s="3488"/>
      <c r="AB17" s="3488"/>
      <c r="AC17" s="3488"/>
      <c r="AD17" s="3488"/>
      <c r="AE17" s="3488"/>
      <c r="AF17" s="3488"/>
      <c r="AH17" s="3492"/>
      <c r="AI17" s="898"/>
      <c r="AJ17" s="3488"/>
      <c r="AK17" s="3488"/>
      <c r="AL17" s="3488"/>
      <c r="AM17" s="3488"/>
      <c r="AN17" s="3488"/>
      <c r="AO17" s="3488"/>
      <c r="AP17" s="3488"/>
      <c r="AQ17" s="3488"/>
      <c r="AR17" s="3490"/>
      <c r="AS17" s="3488"/>
      <c r="AT17" s="3488"/>
      <c r="AU17" s="3488"/>
      <c r="AV17" s="3488"/>
      <c r="AW17" s="3488"/>
      <c r="AX17" s="3488"/>
      <c r="AY17" s="3488"/>
      <c r="AZ17" s="3488"/>
      <c r="BA17" s="3491"/>
    </row>
    <row r="18" spans="1:53" ht="12" customHeight="1">
      <c r="A18" s="302"/>
      <c r="B18" s="3474"/>
      <c r="C18" s="307"/>
      <c r="D18" s="3486" t="s">
        <v>4510</v>
      </c>
      <c r="E18" s="3405"/>
      <c r="F18" s="3477">
        <v>1</v>
      </c>
      <c r="G18" s="3477">
        <v>25</v>
      </c>
      <c r="H18" s="3478">
        <v>9000</v>
      </c>
      <c r="I18" s="3487"/>
      <c r="J18" s="1597"/>
      <c r="K18" s="3480"/>
      <c r="L18" s="1597"/>
      <c r="M18" s="1597"/>
      <c r="N18" s="3481"/>
      <c r="O18" s="3488"/>
      <c r="P18" s="3488"/>
      <c r="Q18" s="3488"/>
      <c r="R18" s="3488"/>
      <c r="S18" s="3488"/>
      <c r="T18" s="3488"/>
      <c r="U18" s="3488"/>
      <c r="V18" s="3488"/>
      <c r="W18" s="3488"/>
      <c r="X18" s="3490"/>
      <c r="Y18" s="3488"/>
      <c r="Z18" s="3488"/>
      <c r="AA18" s="3488"/>
      <c r="AB18" s="3489"/>
      <c r="AC18" s="3488"/>
      <c r="AD18" s="3488"/>
      <c r="AE18" s="3488"/>
      <c r="AF18" s="3488"/>
      <c r="AG18" s="3488"/>
      <c r="AH18" s="3483"/>
      <c r="AI18" s="3482"/>
      <c r="AJ18" s="3488"/>
      <c r="AK18" s="3488"/>
      <c r="AL18" s="3488"/>
      <c r="AM18" s="3488"/>
      <c r="AN18" s="3488"/>
      <c r="AO18" s="3488"/>
      <c r="AP18" s="3488"/>
      <c r="AQ18" s="3488"/>
      <c r="AR18" s="3490"/>
      <c r="AS18" s="3488"/>
      <c r="AT18" s="3488"/>
      <c r="AU18" s="3488"/>
      <c r="AV18" s="3488"/>
      <c r="AW18" s="3488"/>
      <c r="AX18" s="3488"/>
      <c r="AY18" s="3488"/>
      <c r="AZ18" s="3488"/>
      <c r="BA18" s="3491"/>
    </row>
    <row r="19" spans="1:53" ht="12" customHeight="1">
      <c r="A19" s="302"/>
      <c r="B19" s="3474"/>
      <c r="C19" s="3493">
        <v>0</v>
      </c>
      <c r="D19" s="3486" t="s">
        <v>4511</v>
      </c>
      <c r="E19" s="3405"/>
      <c r="F19" s="3477"/>
      <c r="G19" s="3477"/>
      <c r="H19" s="3494">
        <f>IF($C$19=2,4000,IF(C19=1,8000,0))</f>
        <v>0</v>
      </c>
      <c r="I19" s="3487"/>
      <c r="J19" s="1597"/>
      <c r="K19" s="1597"/>
      <c r="L19" s="1597"/>
      <c r="M19" s="1597"/>
      <c r="N19" s="3481"/>
      <c r="O19" s="485"/>
      <c r="P19" s="485"/>
      <c r="Q19" s="3488"/>
      <c r="R19" s="3489"/>
      <c r="S19" s="3488"/>
      <c r="T19" s="3488"/>
      <c r="U19" s="3488"/>
      <c r="V19" s="3488"/>
      <c r="W19" s="3488"/>
      <c r="X19" s="3490"/>
      <c r="Y19" s="3489"/>
      <c r="Z19" s="3488"/>
      <c r="AA19" s="3489"/>
      <c r="AB19" s="3488"/>
      <c r="AC19" s="3488"/>
      <c r="AD19" s="3488"/>
      <c r="AE19" s="3488"/>
      <c r="AF19" s="3488"/>
      <c r="AG19" s="3488"/>
      <c r="AH19" s="3483"/>
      <c r="AI19" s="898"/>
      <c r="AJ19" s="3488"/>
      <c r="AK19" s="3488"/>
      <c r="AL19" s="3488"/>
      <c r="AM19" s="3488"/>
      <c r="AN19" s="3488"/>
      <c r="AO19" s="3488"/>
      <c r="AP19" s="3488"/>
      <c r="AQ19" s="3488"/>
      <c r="AR19" s="3490"/>
      <c r="AS19" s="3488"/>
      <c r="AT19" s="3488"/>
      <c r="AU19" s="3488"/>
      <c r="AV19" s="3488"/>
      <c r="AW19" s="3488"/>
      <c r="AX19" s="3488"/>
      <c r="AY19" s="3488"/>
      <c r="AZ19" s="3488"/>
      <c r="BA19" s="3491"/>
    </row>
    <row r="20" spans="1:53" ht="12" customHeight="1">
      <c r="A20" s="302"/>
      <c r="B20" s="3474"/>
      <c r="C20" s="307"/>
      <c r="D20" s="3486" t="s">
        <v>4512</v>
      </c>
      <c r="E20" s="3405"/>
      <c r="F20" s="3477"/>
      <c r="G20" s="3477">
        <v>16</v>
      </c>
      <c r="H20" s="3494">
        <v>500</v>
      </c>
      <c r="I20" s="3487"/>
      <c r="J20" s="1597"/>
      <c r="K20" s="1597"/>
      <c r="L20" s="1597"/>
      <c r="M20" s="1597"/>
      <c r="N20" s="3481"/>
      <c r="O20" s="485"/>
      <c r="P20" s="485">
        <f t="shared" ref="P20:BA20" si="7">SUM(P21:P22)</f>
        <v>0</v>
      </c>
      <c r="Q20" s="485">
        <f t="shared" si="7"/>
        <v>0</v>
      </c>
      <c r="R20" s="485">
        <f t="shared" si="7"/>
        <v>0</v>
      </c>
      <c r="S20" s="485">
        <f t="shared" si="7"/>
        <v>0</v>
      </c>
      <c r="T20" s="485">
        <f t="shared" si="7"/>
        <v>0</v>
      </c>
      <c r="U20" s="485">
        <f t="shared" si="7"/>
        <v>0</v>
      </c>
      <c r="V20" s="485">
        <f t="shared" si="7"/>
        <v>0</v>
      </c>
      <c r="W20" s="485">
        <f t="shared" si="7"/>
        <v>0</v>
      </c>
      <c r="X20" s="3481">
        <f t="shared" si="7"/>
        <v>0</v>
      </c>
      <c r="Y20" s="1597">
        <f t="shared" si="7"/>
        <v>500</v>
      </c>
      <c r="Z20" s="1597">
        <f t="shared" si="7"/>
        <v>0</v>
      </c>
      <c r="AA20" s="1597">
        <f t="shared" si="7"/>
        <v>0</v>
      </c>
      <c r="AB20" s="1597">
        <f t="shared" si="7"/>
        <v>0</v>
      </c>
      <c r="AC20" s="1597">
        <f t="shared" si="7"/>
        <v>0</v>
      </c>
      <c r="AD20" s="1597">
        <f t="shared" si="7"/>
        <v>0</v>
      </c>
      <c r="AE20" s="1597">
        <f t="shared" si="7"/>
        <v>0</v>
      </c>
      <c r="AF20" s="1597">
        <f t="shared" si="7"/>
        <v>0</v>
      </c>
      <c r="AG20" s="1597">
        <f t="shared" si="7"/>
        <v>0</v>
      </c>
      <c r="AH20" s="3481">
        <f t="shared" si="7"/>
        <v>2000</v>
      </c>
      <c r="AI20" s="1597">
        <f t="shared" si="7"/>
        <v>0</v>
      </c>
      <c r="AJ20" s="1597">
        <f t="shared" si="7"/>
        <v>0</v>
      </c>
      <c r="AK20" s="1597">
        <f t="shared" si="7"/>
        <v>0</v>
      </c>
      <c r="AL20" s="1597">
        <f t="shared" si="7"/>
        <v>0</v>
      </c>
      <c r="AM20" s="1597">
        <f t="shared" si="7"/>
        <v>0</v>
      </c>
      <c r="AN20" s="1597">
        <f t="shared" si="7"/>
        <v>0</v>
      </c>
      <c r="AO20" s="1597">
        <f t="shared" si="7"/>
        <v>500</v>
      </c>
      <c r="AP20" s="1597">
        <f t="shared" si="7"/>
        <v>0</v>
      </c>
      <c r="AQ20" s="1597">
        <f t="shared" si="7"/>
        <v>0</v>
      </c>
      <c r="AR20" s="3481">
        <f t="shared" si="7"/>
        <v>0</v>
      </c>
      <c r="AS20" s="1597">
        <f t="shared" si="7"/>
        <v>0</v>
      </c>
      <c r="AT20" s="1597">
        <f t="shared" si="7"/>
        <v>0</v>
      </c>
      <c r="AU20" s="1597">
        <f t="shared" si="7"/>
        <v>0</v>
      </c>
      <c r="AV20" s="1597">
        <f t="shared" si="7"/>
        <v>0</v>
      </c>
      <c r="AW20" s="1597">
        <f t="shared" si="7"/>
        <v>0</v>
      </c>
      <c r="AX20" s="1597">
        <f t="shared" si="7"/>
        <v>0</v>
      </c>
      <c r="AY20" s="1597">
        <f t="shared" si="7"/>
        <v>0</v>
      </c>
      <c r="AZ20" s="1597">
        <f t="shared" si="7"/>
        <v>0</v>
      </c>
      <c r="BA20" s="3495">
        <f t="shared" si="7"/>
        <v>1500</v>
      </c>
    </row>
    <row r="21" spans="1:53" ht="12" customHeight="1">
      <c r="A21" s="302"/>
      <c r="B21" s="3474"/>
      <c r="C21" s="307"/>
      <c r="D21" s="3476" t="s">
        <v>4513</v>
      </c>
      <c r="E21" s="3405"/>
      <c r="F21" s="3477"/>
      <c r="G21" s="3477"/>
      <c r="H21" s="3494"/>
      <c r="I21" s="3487"/>
      <c r="J21" s="1597"/>
      <c r="K21" s="1597"/>
      <c r="L21" s="1597"/>
      <c r="M21" s="1597"/>
      <c r="N21" s="3481"/>
      <c r="O21" s="3488"/>
      <c r="P21" s="3488"/>
      <c r="Q21" s="3488"/>
      <c r="R21" s="485"/>
      <c r="S21" s="485"/>
      <c r="T21" s="485"/>
      <c r="U21" s="485"/>
      <c r="V21" s="485"/>
      <c r="W21" s="485"/>
      <c r="X21" s="3490"/>
      <c r="Y21" s="485"/>
      <c r="Z21" s="3488"/>
      <c r="AA21" s="3488"/>
      <c r="AB21" s="3488"/>
      <c r="AC21" s="3488"/>
      <c r="AD21" s="3488"/>
      <c r="AE21" s="3488"/>
      <c r="AF21" s="3488"/>
      <c r="AG21" s="3488"/>
      <c r="AH21" s="3483">
        <v>2000</v>
      </c>
      <c r="AI21" s="3482"/>
      <c r="AJ21" s="3488"/>
      <c r="AK21" s="3488"/>
      <c r="AL21" s="3488"/>
      <c r="AM21" s="3488"/>
      <c r="AN21" s="3488"/>
      <c r="AO21" s="3488"/>
      <c r="AP21" s="3488"/>
      <c r="AQ21" s="3488"/>
      <c r="AR21" s="3490"/>
      <c r="AS21" s="3488"/>
      <c r="AT21" s="3488"/>
      <c r="AU21" s="3488"/>
      <c r="AV21" s="3488"/>
      <c r="AW21" s="3488"/>
      <c r="AX21" s="3488"/>
      <c r="AY21" s="3488"/>
      <c r="AZ21" s="3488"/>
      <c r="BA21" s="3496">
        <v>1000</v>
      </c>
    </row>
    <row r="22" spans="1:53" ht="12" customHeight="1">
      <c r="A22" s="302"/>
      <c r="B22" s="3474"/>
      <c r="C22" s="307"/>
      <c r="D22" s="3476" t="s">
        <v>4514</v>
      </c>
      <c r="E22" s="3405"/>
      <c r="F22" s="3477"/>
      <c r="G22" s="3477"/>
      <c r="H22" s="3494"/>
      <c r="I22" s="3487"/>
      <c r="J22" s="1597"/>
      <c r="K22" s="1597"/>
      <c r="L22" s="1597"/>
      <c r="M22" s="1597"/>
      <c r="N22" s="3481"/>
      <c r="O22" s="3488"/>
      <c r="P22" s="3488"/>
      <c r="Q22" s="3488"/>
      <c r="R22" s="3488"/>
      <c r="S22" s="485"/>
      <c r="T22" s="485"/>
      <c r="U22" s="485"/>
      <c r="V22" s="485"/>
      <c r="W22" s="485"/>
      <c r="X22" s="3490"/>
      <c r="Y22" s="485">
        <v>500</v>
      </c>
      <c r="Z22" s="3488"/>
      <c r="AA22" s="3488"/>
      <c r="AB22" s="3488"/>
      <c r="AC22" s="3488"/>
      <c r="AD22" s="3488"/>
      <c r="AE22" s="3488"/>
      <c r="AF22" s="3488"/>
      <c r="AG22" s="3488"/>
      <c r="AH22" s="3490"/>
      <c r="AI22" s="3488"/>
      <c r="AJ22" s="3488"/>
      <c r="AK22" s="3488"/>
      <c r="AL22" s="3488"/>
      <c r="AM22" s="3488"/>
      <c r="AN22" s="3488"/>
      <c r="AO22" s="3488">
        <v>500</v>
      </c>
      <c r="AP22" s="3488"/>
      <c r="AQ22" s="3488"/>
      <c r="AR22" s="3490"/>
      <c r="AS22" s="3488"/>
      <c r="AT22" s="3488"/>
      <c r="AU22" s="3488"/>
      <c r="AV22" s="3488"/>
      <c r="AW22" s="3488"/>
      <c r="AX22" s="3488"/>
      <c r="AY22" s="3488"/>
      <c r="AZ22" s="3488"/>
      <c r="BA22" s="3496">
        <v>500</v>
      </c>
    </row>
    <row r="23" spans="1:53" ht="12" customHeight="1">
      <c r="A23" s="302"/>
      <c r="B23" s="3474"/>
      <c r="C23" s="307"/>
      <c r="D23" s="3476"/>
      <c r="E23" s="3405"/>
      <c r="F23" s="3477"/>
      <c r="G23" s="3477"/>
      <c r="H23" s="1882"/>
      <c r="I23" s="3487"/>
      <c r="J23" s="1597"/>
      <c r="K23" s="1597"/>
      <c r="L23" s="1597"/>
      <c r="M23" s="1597"/>
      <c r="N23" s="3481"/>
      <c r="O23" s="3482"/>
      <c r="P23" s="3482"/>
      <c r="Q23" s="3482"/>
      <c r="R23" s="3482"/>
      <c r="S23" s="3482"/>
      <c r="T23" s="3482"/>
      <c r="U23" s="3482"/>
      <c r="V23" s="3482"/>
      <c r="W23" s="3482"/>
      <c r="X23" s="3483"/>
      <c r="Y23" s="3482"/>
      <c r="Z23" s="3482"/>
      <c r="AA23" s="3482"/>
      <c r="AB23" s="3482"/>
      <c r="AC23" s="3482"/>
      <c r="AD23" s="3482"/>
      <c r="AE23" s="3482"/>
      <c r="AF23" s="3482"/>
      <c r="AG23" s="3482"/>
      <c r="AH23" s="3483"/>
      <c r="AI23" s="3482"/>
      <c r="AJ23" s="3482"/>
      <c r="AK23" s="3482"/>
      <c r="AL23" s="3482"/>
      <c r="AM23" s="3482"/>
      <c r="AN23" s="3482"/>
      <c r="AO23" s="3482"/>
      <c r="AP23" s="3482"/>
      <c r="AQ23" s="3482"/>
      <c r="AR23" s="3483"/>
      <c r="AS23" s="3482"/>
      <c r="AT23" s="3482"/>
      <c r="AU23" s="3482"/>
      <c r="AV23" s="3482"/>
      <c r="AW23" s="3482"/>
      <c r="AX23" s="3482"/>
      <c r="AY23" s="3482"/>
      <c r="AZ23" s="3482"/>
      <c r="BA23" s="3484"/>
    </row>
    <row r="24" spans="1:53" s="837" customFormat="1" ht="15" customHeight="1">
      <c r="A24" s="302"/>
      <c r="B24" s="3474"/>
      <c r="C24" s="3497" t="s">
        <v>4515</v>
      </c>
      <c r="E24" s="3498"/>
      <c r="F24" s="3499"/>
      <c r="G24" s="3499"/>
      <c r="H24" s="3500" t="s">
        <v>4436</v>
      </c>
      <c r="I24" s="3479">
        <f>SUM(M24:BA24)</f>
        <v>8829</v>
      </c>
      <c r="J24" s="3501">
        <f>SUM(J26:J30)</f>
        <v>0</v>
      </c>
      <c r="K24" s="3501">
        <f t="shared" ref="K24:BA24" si="8">SUM(K26:K30)</f>
        <v>0</v>
      </c>
      <c r="L24" s="3501">
        <f t="shared" si="8"/>
        <v>0</v>
      </c>
      <c r="M24" s="3501">
        <f t="shared" si="8"/>
        <v>0</v>
      </c>
      <c r="N24" s="3502">
        <f t="shared" si="8"/>
        <v>0</v>
      </c>
      <c r="O24" s="3503">
        <f t="shared" si="8"/>
        <v>0</v>
      </c>
      <c r="P24" s="3503">
        <f t="shared" si="8"/>
        <v>1399</v>
      </c>
      <c r="Q24" s="3503">
        <f t="shared" si="8"/>
        <v>0</v>
      </c>
      <c r="R24" s="3503">
        <f t="shared" si="8"/>
        <v>0</v>
      </c>
      <c r="S24" s="3503">
        <f t="shared" si="8"/>
        <v>0</v>
      </c>
      <c r="T24" s="3503">
        <f t="shared" si="8"/>
        <v>0</v>
      </c>
      <c r="U24" s="3503">
        <f t="shared" si="8"/>
        <v>530</v>
      </c>
      <c r="V24" s="3503">
        <f t="shared" si="8"/>
        <v>0</v>
      </c>
      <c r="W24" s="3503">
        <f t="shared" si="8"/>
        <v>0</v>
      </c>
      <c r="X24" s="3504">
        <f t="shared" si="8"/>
        <v>0</v>
      </c>
      <c r="Y24" s="3503">
        <f t="shared" si="8"/>
        <v>600</v>
      </c>
      <c r="Z24" s="3503">
        <f t="shared" si="8"/>
        <v>0</v>
      </c>
      <c r="AA24" s="3503">
        <f t="shared" si="8"/>
        <v>0</v>
      </c>
      <c r="AB24" s="3505">
        <f t="shared" si="8"/>
        <v>0</v>
      </c>
      <c r="AC24" s="3503">
        <f t="shared" si="8"/>
        <v>0</v>
      </c>
      <c r="AD24" s="3503">
        <f t="shared" si="8"/>
        <v>0</v>
      </c>
      <c r="AE24" s="3503">
        <f t="shared" si="8"/>
        <v>0</v>
      </c>
      <c r="AF24" s="3503">
        <f t="shared" si="8"/>
        <v>0</v>
      </c>
      <c r="AG24" s="3503">
        <f t="shared" si="8"/>
        <v>2100</v>
      </c>
      <c r="AH24" s="3504">
        <f t="shared" si="8"/>
        <v>0</v>
      </c>
      <c r="AI24" s="3503">
        <f t="shared" si="8"/>
        <v>0</v>
      </c>
      <c r="AJ24" s="3503">
        <f t="shared" si="8"/>
        <v>800</v>
      </c>
      <c r="AK24" s="3503">
        <f t="shared" si="8"/>
        <v>0</v>
      </c>
      <c r="AL24" s="3503">
        <f t="shared" si="8"/>
        <v>0</v>
      </c>
      <c r="AM24" s="3503">
        <f t="shared" si="8"/>
        <v>0</v>
      </c>
      <c r="AN24" s="3503">
        <f t="shared" si="8"/>
        <v>600</v>
      </c>
      <c r="AO24" s="3503">
        <f t="shared" si="8"/>
        <v>0</v>
      </c>
      <c r="AP24" s="3503">
        <f t="shared" si="8"/>
        <v>0</v>
      </c>
      <c r="AQ24" s="3503">
        <f t="shared" si="8"/>
        <v>0</v>
      </c>
      <c r="AR24" s="3504">
        <f t="shared" si="8"/>
        <v>0</v>
      </c>
      <c r="AS24" s="3503">
        <f t="shared" si="8"/>
        <v>0</v>
      </c>
      <c r="AT24" s="3503">
        <f t="shared" si="8"/>
        <v>0</v>
      </c>
      <c r="AU24" s="3503">
        <f t="shared" si="8"/>
        <v>0</v>
      </c>
      <c r="AV24" s="3503">
        <f t="shared" si="8"/>
        <v>0</v>
      </c>
      <c r="AW24" s="3503">
        <f t="shared" si="8"/>
        <v>0</v>
      </c>
      <c r="AX24" s="3503">
        <f t="shared" si="8"/>
        <v>0</v>
      </c>
      <c r="AY24" s="3503">
        <f t="shared" si="8"/>
        <v>0</v>
      </c>
      <c r="AZ24" s="3503">
        <f t="shared" si="8"/>
        <v>0</v>
      </c>
      <c r="BA24" s="3506">
        <f t="shared" si="8"/>
        <v>2800</v>
      </c>
    </row>
    <row r="25" spans="1:53" ht="15" customHeight="1">
      <c r="A25" s="302"/>
      <c r="B25" s="3474"/>
      <c r="C25" s="3475"/>
      <c r="E25" s="3405"/>
      <c r="F25" s="3477"/>
      <c r="G25" s="3477"/>
      <c r="H25" s="3507">
        <v>1</v>
      </c>
      <c r="I25" s="3508"/>
      <c r="J25" s="1597"/>
      <c r="K25" s="1597"/>
      <c r="L25" s="1597"/>
      <c r="M25" s="1597"/>
      <c r="N25" s="3481"/>
      <c r="O25" s="3482"/>
      <c r="P25" s="3482"/>
      <c r="Q25" s="3482"/>
      <c r="R25" s="3482"/>
      <c r="S25" s="3482"/>
      <c r="T25" s="3482"/>
      <c r="U25" s="3482"/>
      <c r="V25" s="3482"/>
      <c r="W25" s="3482"/>
      <c r="X25" s="3483"/>
      <c r="Y25" s="3482"/>
      <c r="Z25" s="3482"/>
      <c r="AA25" s="3482"/>
      <c r="AB25" s="3509"/>
      <c r="AC25" s="3482"/>
      <c r="AD25" s="3482"/>
      <c r="AE25" s="3482"/>
      <c r="AF25" s="3482"/>
      <c r="AG25" s="3482"/>
      <c r="AH25" s="3483"/>
      <c r="AI25" s="3482"/>
      <c r="AJ25" s="3482"/>
      <c r="AK25" s="3482"/>
      <c r="AL25" s="3482"/>
      <c r="AM25" s="3482"/>
      <c r="AN25" s="3482"/>
      <c r="AO25" s="3482"/>
      <c r="AP25" s="3482"/>
      <c r="AQ25" s="3482"/>
      <c r="AR25" s="3483"/>
      <c r="AS25" s="3482"/>
      <c r="AT25" s="3482"/>
      <c r="AU25" s="3482"/>
      <c r="AV25" s="3482"/>
      <c r="AW25" s="3482"/>
      <c r="AX25" s="3482"/>
      <c r="AY25" s="3482"/>
      <c r="AZ25" s="3482"/>
      <c r="BA25" s="3484"/>
    </row>
    <row r="26" spans="1:53" ht="15" customHeight="1">
      <c r="A26" s="302"/>
      <c r="B26" s="3474"/>
      <c r="C26" s="3475"/>
      <c r="D26" s="3486" t="s">
        <v>4516</v>
      </c>
      <c r="E26" s="3405"/>
      <c r="F26" s="3477">
        <v>11</v>
      </c>
      <c r="G26" s="3477"/>
      <c r="H26" s="475">
        <v>880</v>
      </c>
      <c r="I26" s="3487"/>
      <c r="J26" s="1597"/>
      <c r="K26" s="1597"/>
      <c r="L26" s="1597"/>
      <c r="M26" s="1597"/>
      <c r="N26" s="3481"/>
      <c r="O26" s="3488"/>
      <c r="P26" s="3488">
        <v>1399</v>
      </c>
      <c r="Q26" s="3488"/>
      <c r="R26" s="3488"/>
      <c r="S26" s="3488"/>
      <c r="T26" s="3488"/>
      <c r="U26" s="3488"/>
      <c r="V26" s="3488"/>
      <c r="W26" s="3488"/>
      <c r="X26" s="3490"/>
      <c r="Y26" s="3488"/>
      <c r="Z26" s="3488"/>
      <c r="AA26" s="3488"/>
      <c r="AB26" s="3510"/>
      <c r="AC26" s="3488"/>
      <c r="AD26" s="3488"/>
      <c r="AE26" s="3488"/>
      <c r="AF26" s="3488"/>
      <c r="AG26" s="3488"/>
      <c r="AH26" s="3490"/>
      <c r="AI26" s="3488"/>
      <c r="AJ26" s="3488"/>
      <c r="AK26" s="3488"/>
      <c r="AL26" s="3488"/>
      <c r="AM26" s="3488"/>
      <c r="AN26" s="3488"/>
      <c r="AO26" s="3488"/>
      <c r="AP26" s="3488"/>
      <c r="AQ26" s="3488"/>
      <c r="AR26" s="3490"/>
      <c r="AS26" s="3488"/>
      <c r="AT26" s="3488"/>
      <c r="AU26" s="3488"/>
      <c r="AV26" s="3488"/>
      <c r="AW26" s="3488"/>
      <c r="AX26" s="3488"/>
      <c r="AY26" s="3488"/>
      <c r="AZ26" s="3488"/>
      <c r="BA26" s="3491"/>
    </row>
    <row r="27" spans="1:53" ht="15" customHeight="1">
      <c r="A27" s="302"/>
      <c r="B27" s="3474"/>
      <c r="C27" s="3475"/>
      <c r="D27" s="3486" t="s">
        <v>4517</v>
      </c>
      <c r="E27" s="3405"/>
      <c r="F27" s="3477">
        <v>17</v>
      </c>
      <c r="G27" s="3477">
        <v>20</v>
      </c>
      <c r="H27" s="3478">
        <v>2000</v>
      </c>
      <c r="I27" s="3487"/>
      <c r="J27" s="1597"/>
      <c r="K27" s="1597"/>
      <c r="L27" s="1597"/>
      <c r="M27" s="1597"/>
      <c r="N27" s="3481"/>
      <c r="O27" s="3488"/>
      <c r="P27" s="3488"/>
      <c r="Q27" s="3488"/>
      <c r="R27" s="3488"/>
      <c r="S27" s="3488"/>
      <c r="T27" s="3488"/>
      <c r="U27" s="3488"/>
      <c r="V27" s="3488"/>
      <c r="X27" s="846"/>
      <c r="Y27" s="3488"/>
      <c r="Z27" s="3488"/>
      <c r="AA27" s="3488"/>
      <c r="AB27" s="3488"/>
      <c r="AC27" s="3488"/>
      <c r="AD27" s="3488"/>
      <c r="AE27" s="3488"/>
      <c r="AF27" s="3488"/>
      <c r="AG27" s="3488"/>
      <c r="AH27" s="3490"/>
      <c r="AI27" s="3488"/>
      <c r="AJ27" s="3488"/>
      <c r="AK27" s="3488"/>
      <c r="AL27" s="3488"/>
      <c r="AM27" s="3488"/>
      <c r="AN27" s="3488"/>
      <c r="AO27" s="3488"/>
      <c r="AP27" s="3488"/>
      <c r="AQ27" s="3488"/>
      <c r="AR27" s="3490"/>
      <c r="AS27" s="3488"/>
      <c r="AT27" s="3488"/>
      <c r="AU27" s="3488"/>
      <c r="AV27" s="3488"/>
      <c r="AW27" s="3488"/>
      <c r="AX27" s="3488"/>
      <c r="AY27" s="3488"/>
      <c r="AZ27" s="3488"/>
      <c r="BA27" s="3491"/>
    </row>
    <row r="28" spans="1:53">
      <c r="A28" s="302"/>
      <c r="B28" s="3474"/>
      <c r="C28" s="3475"/>
      <c r="D28" s="3486" t="s">
        <v>4518</v>
      </c>
      <c r="E28" s="3405"/>
      <c r="F28" s="3477">
        <v>14</v>
      </c>
      <c r="G28" s="3477">
        <v>20</v>
      </c>
      <c r="H28" s="3478">
        <v>6995</v>
      </c>
      <c r="I28" s="3487"/>
      <c r="J28" s="1597"/>
      <c r="K28" s="1597"/>
      <c r="L28" s="1597"/>
      <c r="M28" s="1597"/>
      <c r="N28" s="3481"/>
      <c r="O28" s="485"/>
      <c r="P28" s="3482"/>
      <c r="Q28" s="3482"/>
      <c r="R28" s="3482"/>
      <c r="S28" s="3488"/>
      <c r="T28" s="3488"/>
      <c r="U28" s="3488"/>
      <c r="V28" s="3488"/>
      <c r="W28" s="3488"/>
      <c r="X28" s="3490"/>
      <c r="Y28" s="3488"/>
      <c r="Z28" s="3488"/>
      <c r="AA28" s="3488"/>
      <c r="AB28" s="3488"/>
      <c r="AC28" s="3488"/>
      <c r="AD28" s="3488"/>
      <c r="AE28" s="3488"/>
      <c r="AF28" s="3488"/>
      <c r="AG28" s="3488"/>
      <c r="AH28" s="3490"/>
      <c r="AI28" s="3488"/>
      <c r="AJ28" s="3488"/>
      <c r="AK28" s="3488"/>
      <c r="AL28" s="3488"/>
      <c r="AM28" s="3488"/>
      <c r="AN28" s="3488"/>
      <c r="AO28" s="3488"/>
      <c r="AP28" s="3488"/>
      <c r="AQ28" s="3488"/>
      <c r="AR28" s="3490"/>
      <c r="AS28" s="3488"/>
      <c r="AT28" s="3488"/>
      <c r="AU28" s="3488"/>
      <c r="AV28" s="3488"/>
      <c r="AW28" s="3488"/>
      <c r="AX28" s="3488"/>
      <c r="AY28" s="3488"/>
      <c r="AZ28" s="3488"/>
      <c r="BA28" s="3491"/>
    </row>
    <row r="29" spans="1:53">
      <c r="A29" s="302"/>
      <c r="B29" s="3474"/>
      <c r="C29" s="3475"/>
      <c r="D29" s="3486" t="s">
        <v>4519</v>
      </c>
      <c r="E29" s="3405"/>
      <c r="F29" s="3477">
        <v>3</v>
      </c>
      <c r="G29" s="3477">
        <v>25</v>
      </c>
      <c r="H29" s="3478">
        <v>1800</v>
      </c>
      <c r="I29" s="3487"/>
      <c r="J29" s="1597"/>
      <c r="K29" s="1597"/>
      <c r="L29" s="1597"/>
      <c r="M29" s="1597"/>
      <c r="N29" s="3481"/>
      <c r="O29" s="3488"/>
      <c r="P29" s="3488"/>
      <c r="Q29" s="3488"/>
      <c r="R29" s="3488"/>
      <c r="S29" s="3488"/>
      <c r="T29" s="3488"/>
      <c r="U29" s="3488"/>
      <c r="V29" s="3488"/>
      <c r="W29" s="3488"/>
      <c r="X29" s="3490"/>
      <c r="Y29" s="3488"/>
      <c r="Z29" s="3488"/>
      <c r="AA29" s="3488"/>
      <c r="AB29" s="3488"/>
      <c r="AC29" s="3488"/>
      <c r="AD29" s="3488"/>
      <c r="AE29" s="3488"/>
      <c r="AF29" s="3488"/>
      <c r="AG29" s="3488"/>
      <c r="AH29" s="3490"/>
      <c r="AI29" s="3488"/>
      <c r="AJ29" s="3488"/>
      <c r="AK29" s="3488"/>
      <c r="AL29" s="3488"/>
      <c r="AM29" s="3488"/>
      <c r="AN29" s="3488"/>
      <c r="AO29" s="3488"/>
      <c r="AP29" s="3488"/>
      <c r="AQ29" s="3488"/>
      <c r="AR29" s="3490"/>
      <c r="AS29" s="3488"/>
      <c r="AT29" s="3488"/>
      <c r="AU29" s="3488"/>
      <c r="AV29" s="3488"/>
      <c r="AW29" s="3488"/>
      <c r="AX29" s="3488"/>
      <c r="AY29" s="3488"/>
      <c r="AZ29" s="3488"/>
      <c r="BA29" s="3491"/>
    </row>
    <row r="30" spans="1:53">
      <c r="A30" s="302"/>
      <c r="B30" s="3474"/>
      <c r="C30" s="3475"/>
      <c r="D30" s="3486" t="s">
        <v>4512</v>
      </c>
      <c r="E30" s="3405"/>
      <c r="F30" s="3477">
        <v>7</v>
      </c>
      <c r="G30" s="3477">
        <v>10</v>
      </c>
      <c r="H30" s="3478">
        <v>500</v>
      </c>
      <c r="I30" s="3487"/>
      <c r="J30" s="1597"/>
      <c r="K30" s="1597"/>
      <c r="L30" s="1597"/>
      <c r="M30" s="1597"/>
      <c r="N30" s="3481"/>
      <c r="O30" s="3482"/>
      <c r="P30" s="3482">
        <f>SUM(P31:P33)</f>
        <v>0</v>
      </c>
      <c r="Q30" s="3482">
        <f>SUM(Q31:Q33)</f>
        <v>0</v>
      </c>
      <c r="R30" s="3482">
        <f>SUM(R31:R33)</f>
        <v>0</v>
      </c>
      <c r="S30" s="3482">
        <f t="shared" ref="S30:BA30" si="9">SUM(S31:S33)</f>
        <v>0</v>
      </c>
      <c r="T30" s="3482">
        <f t="shared" si="9"/>
        <v>0</v>
      </c>
      <c r="U30" s="898">
        <f t="shared" si="9"/>
        <v>530</v>
      </c>
      <c r="V30" s="898">
        <f t="shared" si="9"/>
        <v>0</v>
      </c>
      <c r="W30" s="3482">
        <f t="shared" si="9"/>
        <v>0</v>
      </c>
      <c r="X30" s="3511">
        <f t="shared" si="9"/>
        <v>0</v>
      </c>
      <c r="Y30" s="485">
        <f t="shared" si="9"/>
        <v>600</v>
      </c>
      <c r="Z30" s="485">
        <f t="shared" si="9"/>
        <v>0</v>
      </c>
      <c r="AA30" s="3512">
        <f t="shared" si="9"/>
        <v>0</v>
      </c>
      <c r="AB30" s="3488">
        <f t="shared" si="9"/>
        <v>0</v>
      </c>
      <c r="AC30" s="3488">
        <f t="shared" si="9"/>
        <v>0</v>
      </c>
      <c r="AD30" s="3488">
        <f t="shared" si="9"/>
        <v>0</v>
      </c>
      <c r="AE30" s="3488">
        <f t="shared" si="9"/>
        <v>0</v>
      </c>
      <c r="AF30" s="3488">
        <f t="shared" si="9"/>
        <v>0</v>
      </c>
      <c r="AG30" s="3488">
        <f t="shared" si="9"/>
        <v>2100</v>
      </c>
      <c r="AH30" s="3490">
        <f t="shared" si="9"/>
        <v>0</v>
      </c>
      <c r="AI30" s="3488">
        <f t="shared" si="9"/>
        <v>0</v>
      </c>
      <c r="AJ30" s="3488">
        <f t="shared" si="9"/>
        <v>800</v>
      </c>
      <c r="AK30" s="793">
        <f t="shared" si="9"/>
        <v>0</v>
      </c>
      <c r="AL30" s="793">
        <f t="shared" si="9"/>
        <v>0</v>
      </c>
      <c r="AM30" s="3488">
        <f t="shared" si="9"/>
        <v>0</v>
      </c>
      <c r="AN30" s="3488">
        <f t="shared" si="9"/>
        <v>600</v>
      </c>
      <c r="AO30" s="3488">
        <f t="shared" si="9"/>
        <v>0</v>
      </c>
      <c r="AP30" s="3488">
        <f t="shared" si="9"/>
        <v>0</v>
      </c>
      <c r="AQ30" s="3488">
        <f t="shared" si="9"/>
        <v>0</v>
      </c>
      <c r="AR30" s="3490">
        <f t="shared" si="9"/>
        <v>0</v>
      </c>
      <c r="AS30" s="3488">
        <f t="shared" si="9"/>
        <v>0</v>
      </c>
      <c r="AT30" s="3488">
        <f t="shared" si="9"/>
        <v>0</v>
      </c>
      <c r="AU30" s="3488">
        <f t="shared" si="9"/>
        <v>0</v>
      </c>
      <c r="AV30" s="3488">
        <f t="shared" si="9"/>
        <v>0</v>
      </c>
      <c r="AW30" s="3488">
        <f t="shared" si="9"/>
        <v>0</v>
      </c>
      <c r="AX30" s="3488">
        <f t="shared" si="9"/>
        <v>0</v>
      </c>
      <c r="AY30" s="3488">
        <f t="shared" si="9"/>
        <v>0</v>
      </c>
      <c r="AZ30" s="3488">
        <f t="shared" si="9"/>
        <v>0</v>
      </c>
      <c r="BA30" s="3496">
        <f t="shared" si="9"/>
        <v>2800</v>
      </c>
    </row>
    <row r="31" spans="1:53">
      <c r="A31" s="302"/>
      <c r="B31" s="3474"/>
      <c r="C31" s="3475"/>
      <c r="D31" s="3476" t="s">
        <v>4520</v>
      </c>
      <c r="E31" s="3405"/>
      <c r="F31" s="3477"/>
      <c r="G31" s="3477"/>
      <c r="H31" s="3478"/>
      <c r="I31" s="3487"/>
      <c r="J31" s="1597"/>
      <c r="K31" s="1597"/>
      <c r="L31" s="1597"/>
      <c r="M31" s="1597"/>
      <c r="N31" s="3481"/>
      <c r="O31" s="3488"/>
      <c r="P31" s="3488"/>
      <c r="Q31" s="3488"/>
      <c r="S31" s="3488"/>
      <c r="T31" s="3488"/>
      <c r="W31" s="3488"/>
      <c r="X31" s="3511"/>
      <c r="Y31" s="485"/>
      <c r="Z31" s="485"/>
      <c r="AA31" s="3512"/>
      <c r="AB31" s="3488"/>
      <c r="AC31" s="3488"/>
      <c r="AD31" s="3488"/>
      <c r="AE31" s="3488"/>
      <c r="AF31" s="3488"/>
      <c r="AG31" s="793">
        <v>2100</v>
      </c>
      <c r="AH31" s="3490"/>
      <c r="AI31" s="3488"/>
      <c r="AL31" s="3488"/>
      <c r="AM31" s="485"/>
      <c r="AN31" s="485"/>
      <c r="AO31" s="3488"/>
      <c r="AP31" s="3488"/>
      <c r="AQ31" s="3488"/>
      <c r="AR31" s="3490"/>
      <c r="AS31" s="3488"/>
      <c r="AT31" s="3488"/>
      <c r="AU31" s="3488"/>
      <c r="AV31" s="3488"/>
      <c r="AW31" s="3488"/>
      <c r="AX31" s="3488"/>
      <c r="AY31" s="3488"/>
      <c r="AZ31" s="3488"/>
      <c r="BA31" s="3496">
        <v>1400</v>
      </c>
    </row>
    <row r="32" spans="1:53">
      <c r="A32" s="302"/>
      <c r="B32" s="3474"/>
      <c r="C32" s="3475"/>
      <c r="D32" s="3476" t="s">
        <v>4521</v>
      </c>
      <c r="E32" s="3405"/>
      <c r="F32" s="3477"/>
      <c r="G32" s="3477"/>
      <c r="H32" s="3478"/>
      <c r="I32" s="3487"/>
      <c r="J32" s="1597"/>
      <c r="K32" s="1597"/>
      <c r="L32" s="1597"/>
      <c r="M32" s="1597"/>
      <c r="N32" s="3481"/>
      <c r="O32" s="3488"/>
      <c r="P32" s="3488"/>
      <c r="Q32" s="3488"/>
      <c r="R32" s="485"/>
      <c r="S32" s="3488"/>
      <c r="T32" s="3488"/>
      <c r="U32" s="5194">
        <v>530</v>
      </c>
      <c r="W32" s="3488"/>
      <c r="X32" s="3511"/>
      <c r="Y32" s="485"/>
      <c r="Z32" s="485"/>
      <c r="AA32" s="3512"/>
      <c r="AB32" s="3488"/>
      <c r="AC32" s="3488"/>
      <c r="AD32" s="3488"/>
      <c r="AE32" s="3488"/>
      <c r="AF32" s="3488"/>
      <c r="AG32" s="485"/>
      <c r="AH32" s="3490"/>
      <c r="AI32" s="3488"/>
      <c r="AJ32" s="793">
        <v>800</v>
      </c>
      <c r="AL32" s="3488"/>
      <c r="AM32" s="485"/>
      <c r="AN32" s="485"/>
      <c r="AO32" s="3488"/>
      <c r="AP32" s="3488"/>
      <c r="AQ32" s="3488"/>
      <c r="AR32" s="3490"/>
      <c r="AS32" s="3488"/>
      <c r="AT32" s="3488"/>
      <c r="AU32" s="3488"/>
      <c r="AV32" s="3488"/>
      <c r="AW32" s="3488"/>
      <c r="AX32" s="3488"/>
      <c r="AY32" s="3488"/>
      <c r="AZ32" s="3488"/>
      <c r="BA32" s="3496">
        <v>800</v>
      </c>
    </row>
    <row r="33" spans="1:53">
      <c r="A33" s="302"/>
      <c r="B33" s="3474"/>
      <c r="C33" s="3475"/>
      <c r="D33" s="3476" t="s">
        <v>4522</v>
      </c>
      <c r="E33" s="3405"/>
      <c r="F33" s="3477"/>
      <c r="G33" s="3477"/>
      <c r="H33" s="3478"/>
      <c r="I33" s="3487"/>
      <c r="J33" s="1597"/>
      <c r="K33" s="1597"/>
      <c r="L33" s="1597"/>
      <c r="M33" s="1597"/>
      <c r="N33" s="3481"/>
      <c r="O33" s="3488"/>
      <c r="P33" s="3488"/>
      <c r="Q33" s="3488"/>
      <c r="R33" s="485"/>
      <c r="S33" s="3488"/>
      <c r="T33" s="3488"/>
      <c r="W33" s="3488"/>
      <c r="X33" s="3511"/>
      <c r="Y33" s="793">
        <v>600</v>
      </c>
      <c r="Z33" s="485"/>
      <c r="AA33" s="3512"/>
      <c r="AB33" s="3488"/>
      <c r="AC33" s="3488"/>
      <c r="AD33" s="3488"/>
      <c r="AE33" s="3488"/>
      <c r="AF33" s="3488"/>
      <c r="AG33" s="485"/>
      <c r="AH33" s="3490"/>
      <c r="AI33" s="3488"/>
      <c r="AL33" s="3488"/>
      <c r="AM33" s="485"/>
      <c r="AN33" s="793">
        <v>600</v>
      </c>
      <c r="AO33" s="3488"/>
      <c r="AP33" s="3488"/>
      <c r="AQ33" s="3488"/>
      <c r="AR33" s="3490"/>
      <c r="AS33" s="3488"/>
      <c r="AT33" s="3488"/>
      <c r="AU33" s="3488"/>
      <c r="AV33" s="3488"/>
      <c r="AW33" s="3488"/>
      <c r="AX33" s="3488"/>
      <c r="AY33" s="3488"/>
      <c r="AZ33" s="3488"/>
      <c r="BA33" s="3496">
        <v>600</v>
      </c>
    </row>
    <row r="34" spans="1:53">
      <c r="A34" s="302"/>
      <c r="B34" s="3474"/>
      <c r="C34" s="3475"/>
      <c r="D34" s="885"/>
      <c r="E34" s="3405"/>
      <c r="F34" s="3405"/>
      <c r="G34" s="3477"/>
      <c r="H34" s="3478"/>
      <c r="I34" s="3487"/>
      <c r="J34" s="1597"/>
      <c r="K34" s="1597"/>
      <c r="L34" s="1597"/>
      <c r="M34" s="1597"/>
      <c r="N34" s="3481"/>
      <c r="O34" s="3482"/>
      <c r="P34" s="3482"/>
      <c r="Q34" s="3482"/>
      <c r="R34" s="3482"/>
      <c r="S34" s="3482"/>
      <c r="T34" s="3482"/>
      <c r="U34" s="3482"/>
      <c r="V34" s="3482"/>
      <c r="W34" s="3482"/>
      <c r="X34" s="3483"/>
      <c r="Y34" s="3482"/>
      <c r="Z34" s="3482"/>
      <c r="AA34" s="3482"/>
      <c r="AB34" s="3482"/>
      <c r="AC34" s="3482"/>
      <c r="AD34" s="3482"/>
      <c r="AE34" s="3482"/>
      <c r="AF34" s="3482"/>
      <c r="AG34" s="3482"/>
      <c r="AH34" s="3513"/>
      <c r="AI34" s="3514"/>
      <c r="AJ34" s="3514"/>
      <c r="AK34" s="3514"/>
      <c r="AL34" s="3514"/>
      <c r="AM34" s="3482"/>
      <c r="AN34" s="3482"/>
      <c r="AO34" s="3482"/>
      <c r="AP34" s="3482"/>
      <c r="AQ34" s="3482"/>
      <c r="AR34" s="3513"/>
      <c r="AS34" s="3482"/>
      <c r="AT34" s="3488"/>
      <c r="AV34" s="3488"/>
      <c r="AW34" s="3482"/>
      <c r="AX34" s="3482"/>
      <c r="AY34" s="3482"/>
      <c r="AZ34" s="3482"/>
      <c r="BA34" s="3496"/>
    </row>
    <row r="35" spans="1:53" s="837" customFormat="1">
      <c r="A35" s="302"/>
      <c r="B35" s="3474"/>
      <c r="C35" s="3497" t="s">
        <v>4523</v>
      </c>
      <c r="E35" s="3498"/>
      <c r="F35" s="3498"/>
      <c r="G35" s="3499"/>
      <c r="H35" s="3515"/>
      <c r="I35" s="3479">
        <f>SUM(M35:BA35)</f>
        <v>4680</v>
      </c>
      <c r="J35" s="3501">
        <f t="shared" ref="J35:AZ35" si="10">SUM(J36:J38)</f>
        <v>0</v>
      </c>
      <c r="K35" s="3501">
        <f t="shared" si="10"/>
        <v>0</v>
      </c>
      <c r="L35" s="3501">
        <f t="shared" si="10"/>
        <v>0</v>
      </c>
      <c r="M35" s="3501">
        <f t="shared" si="10"/>
        <v>0</v>
      </c>
      <c r="N35" s="3502">
        <f t="shared" si="10"/>
        <v>0</v>
      </c>
      <c r="O35" s="3503">
        <f t="shared" si="10"/>
        <v>0</v>
      </c>
      <c r="P35" s="3503">
        <f t="shared" si="10"/>
        <v>0</v>
      </c>
      <c r="Q35" s="3503">
        <f t="shared" si="10"/>
        <v>0</v>
      </c>
      <c r="R35" s="3516">
        <f t="shared" si="10"/>
        <v>0</v>
      </c>
      <c r="S35" s="3503">
        <f t="shared" si="10"/>
        <v>0</v>
      </c>
      <c r="T35" s="3503">
        <f t="shared" si="10"/>
        <v>0</v>
      </c>
      <c r="U35" s="3516">
        <f t="shared" si="10"/>
        <v>0</v>
      </c>
      <c r="V35" s="3503">
        <f t="shared" si="10"/>
        <v>0</v>
      </c>
      <c r="W35" s="3503">
        <f t="shared" si="10"/>
        <v>0</v>
      </c>
      <c r="X35" s="3504">
        <f t="shared" si="10"/>
        <v>0</v>
      </c>
      <c r="Y35" s="3516">
        <f t="shared" si="10"/>
        <v>0</v>
      </c>
      <c r="Z35" s="3503">
        <f t="shared" si="10"/>
        <v>0</v>
      </c>
      <c r="AA35" s="3503">
        <f t="shared" si="10"/>
        <v>0</v>
      </c>
      <c r="AB35" s="3503">
        <f t="shared" si="10"/>
        <v>0</v>
      </c>
      <c r="AC35" s="3503">
        <f t="shared" si="10"/>
        <v>0</v>
      </c>
      <c r="AD35" s="3503">
        <f t="shared" si="10"/>
        <v>0</v>
      </c>
      <c r="AE35" s="3503">
        <f t="shared" si="10"/>
        <v>0</v>
      </c>
      <c r="AF35" s="3503">
        <f t="shared" si="10"/>
        <v>0</v>
      </c>
      <c r="AG35" s="3516">
        <f t="shared" si="10"/>
        <v>1560</v>
      </c>
      <c r="AH35" s="3504">
        <f t="shared" si="10"/>
        <v>0</v>
      </c>
      <c r="AI35" s="3503">
        <f t="shared" si="10"/>
        <v>0</v>
      </c>
      <c r="AJ35" s="3516">
        <f t="shared" si="10"/>
        <v>0</v>
      </c>
      <c r="AK35" s="3503">
        <f t="shared" si="10"/>
        <v>780</v>
      </c>
      <c r="AL35" s="3503">
        <f t="shared" si="10"/>
        <v>0</v>
      </c>
      <c r="AM35" s="3503">
        <f t="shared" si="10"/>
        <v>0</v>
      </c>
      <c r="AN35" s="3516">
        <f t="shared" si="10"/>
        <v>0</v>
      </c>
      <c r="AO35" s="3503">
        <f t="shared" si="10"/>
        <v>0</v>
      </c>
      <c r="AP35" s="3503">
        <f t="shared" si="10"/>
        <v>0</v>
      </c>
      <c r="AQ35" s="3503">
        <f t="shared" si="10"/>
        <v>0</v>
      </c>
      <c r="AR35" s="3504">
        <f t="shared" si="10"/>
        <v>0</v>
      </c>
      <c r="AS35" s="3503">
        <f t="shared" si="10"/>
        <v>0</v>
      </c>
      <c r="AT35" s="3503">
        <f t="shared" si="10"/>
        <v>0</v>
      </c>
      <c r="AU35" s="3503">
        <f t="shared" si="10"/>
        <v>0</v>
      </c>
      <c r="AV35" s="3516">
        <f t="shared" si="10"/>
        <v>1560</v>
      </c>
      <c r="AW35" s="3503">
        <f t="shared" si="10"/>
        <v>0</v>
      </c>
      <c r="AX35" s="3503">
        <f t="shared" si="10"/>
        <v>0</v>
      </c>
      <c r="AY35" s="3516">
        <f t="shared" si="10"/>
        <v>0</v>
      </c>
      <c r="AZ35" s="3503">
        <f t="shared" si="10"/>
        <v>780</v>
      </c>
      <c r="BA35" s="3506">
        <f>SUM(BA36:BA38)</f>
        <v>0</v>
      </c>
    </row>
    <row r="36" spans="1:53">
      <c r="A36" s="302"/>
      <c r="B36" s="3474"/>
      <c r="C36" s="307"/>
      <c r="D36" s="793" t="s">
        <v>4524</v>
      </c>
      <c r="E36" s="3405"/>
      <c r="F36" s="3477">
        <v>14</v>
      </c>
      <c r="G36" s="3477">
        <v>15</v>
      </c>
      <c r="H36" s="3478">
        <v>130</v>
      </c>
      <c r="I36" s="3487"/>
      <c r="J36" s="1597"/>
      <c r="K36" s="1597"/>
      <c r="L36" s="1597"/>
      <c r="M36" s="1597"/>
      <c r="N36" s="3481"/>
      <c r="O36" s="485"/>
      <c r="P36" s="485"/>
      <c r="Q36" s="485"/>
      <c r="R36" s="5195">
        <v>0</v>
      </c>
      <c r="S36" s="485"/>
      <c r="T36" s="485"/>
      <c r="U36" s="485"/>
      <c r="V36" s="485"/>
      <c r="W36" s="485"/>
      <c r="X36" s="3490"/>
      <c r="Y36" s="3488"/>
      <c r="Z36" s="3488"/>
      <c r="AA36" s="3488"/>
      <c r="AB36" s="3488"/>
      <c r="AC36" s="3488"/>
      <c r="AD36" s="3488"/>
      <c r="AE36" s="3488"/>
      <c r="AF36" s="3488"/>
      <c r="AG36" s="3512">
        <v>1560</v>
      </c>
      <c r="AH36" s="3511"/>
      <c r="AI36" s="485"/>
      <c r="AJ36" s="485"/>
      <c r="AK36" s="485"/>
      <c r="AL36" s="3488"/>
      <c r="AM36" s="3488"/>
      <c r="AN36" s="3488"/>
      <c r="AO36" s="3488"/>
      <c r="AP36" s="3488"/>
      <c r="AQ36" s="3488"/>
      <c r="AR36" s="3490"/>
      <c r="AS36" s="3488"/>
      <c r="AT36" s="3488"/>
      <c r="AU36" s="3488"/>
      <c r="AV36" s="3488">
        <v>1560</v>
      </c>
      <c r="AW36" s="3488"/>
      <c r="AX36" s="3488"/>
      <c r="AY36" s="3488"/>
      <c r="AZ36" s="3488"/>
      <c r="BA36" s="3491"/>
    </row>
    <row r="37" spans="1:53">
      <c r="A37" s="302"/>
      <c r="B37" s="3474"/>
      <c r="C37" s="307"/>
      <c r="D37" s="793" t="s">
        <v>4525</v>
      </c>
      <c r="E37" s="3405"/>
      <c r="F37" s="3477">
        <v>8</v>
      </c>
      <c r="G37" s="3477">
        <v>15</v>
      </c>
      <c r="H37" s="3478">
        <v>130</v>
      </c>
      <c r="I37" s="3487"/>
      <c r="J37" s="1597"/>
      <c r="K37" s="1597"/>
      <c r="L37" s="1597"/>
      <c r="M37" s="1597"/>
      <c r="N37" s="3481"/>
      <c r="O37" s="485"/>
      <c r="P37" s="485"/>
      <c r="Q37" s="485"/>
      <c r="R37" s="485"/>
      <c r="S37" s="485"/>
      <c r="T37" s="485"/>
      <c r="U37" s="485"/>
      <c r="V37" s="5195">
        <v>0</v>
      </c>
      <c r="W37" s="485"/>
      <c r="X37" s="3490"/>
      <c r="Y37" s="3488"/>
      <c r="Z37" s="3488"/>
      <c r="AA37" s="3488"/>
      <c r="AB37" s="3488"/>
      <c r="AC37" s="3488"/>
      <c r="AD37" s="3488"/>
      <c r="AE37" s="3488"/>
      <c r="AF37" s="3488"/>
      <c r="AG37" s="485"/>
      <c r="AH37" s="3511"/>
      <c r="AI37" s="485"/>
      <c r="AJ37" s="485"/>
      <c r="AK37" s="485">
        <v>780</v>
      </c>
      <c r="AL37" s="3488"/>
      <c r="AM37" s="3488"/>
      <c r="AN37" s="3488"/>
      <c r="AO37" s="3488"/>
      <c r="AP37" s="3488"/>
      <c r="AQ37" s="3488"/>
      <c r="AR37" s="3490"/>
      <c r="AS37" s="3488"/>
      <c r="AT37" s="3488"/>
      <c r="AU37" s="3488"/>
      <c r="AV37" s="3488"/>
      <c r="AW37" s="3488"/>
      <c r="AX37" s="3488"/>
      <c r="AY37" s="3488"/>
      <c r="AZ37" s="3488">
        <v>780</v>
      </c>
      <c r="BA37" s="3491"/>
    </row>
    <row r="38" spans="1:53">
      <c r="A38" s="302"/>
      <c r="B38" s="3474"/>
      <c r="C38" s="307"/>
      <c r="D38" s="3486" t="s">
        <v>4526</v>
      </c>
      <c r="E38" s="3405"/>
      <c r="F38" s="3477">
        <v>13</v>
      </c>
      <c r="G38" s="3477">
        <v>15</v>
      </c>
      <c r="H38" s="3478">
        <v>120</v>
      </c>
      <c r="I38" s="3487"/>
      <c r="J38" s="1597"/>
      <c r="K38" s="1597"/>
      <c r="L38" s="1597"/>
      <c r="M38" s="1597"/>
      <c r="N38" s="3481"/>
      <c r="O38" s="485"/>
      <c r="P38" s="485"/>
      <c r="Q38" s="485"/>
      <c r="R38" s="485"/>
      <c r="S38" s="485"/>
      <c r="T38" s="485"/>
      <c r="U38" s="485"/>
      <c r="V38" s="485"/>
      <c r="W38" s="485"/>
      <c r="X38" s="3490"/>
      <c r="Y38" s="3488"/>
      <c r="Z38" s="3488"/>
      <c r="AA38" s="3488"/>
      <c r="AB38" s="3488"/>
      <c r="AC38" s="3488"/>
      <c r="AD38" s="3488"/>
      <c r="AE38" s="3488"/>
      <c r="AF38" s="3488"/>
      <c r="AG38" s="485"/>
      <c r="AH38" s="3511"/>
      <c r="AI38" s="485"/>
      <c r="AJ38" s="485"/>
      <c r="AK38" s="485"/>
      <c r="AL38" s="3488"/>
      <c r="AM38" s="3488"/>
      <c r="AN38" s="3488"/>
      <c r="AO38" s="3488"/>
      <c r="AP38" s="3488"/>
      <c r="AQ38" s="3488"/>
      <c r="AR38" s="3490"/>
      <c r="AS38" s="3488"/>
      <c r="AT38" s="3488"/>
      <c r="AU38" s="3488"/>
      <c r="AV38" s="3488"/>
      <c r="AW38" s="3488"/>
      <c r="AX38" s="3488"/>
      <c r="AY38" s="3488"/>
      <c r="AZ38" s="3488"/>
      <c r="BA38" s="3491"/>
    </row>
    <row r="39" spans="1:53" s="3527" customFormat="1">
      <c r="A39" s="302"/>
      <c r="B39" s="3474"/>
      <c r="C39" s="952"/>
      <c r="D39" s="3517"/>
      <c r="E39" s="3518"/>
      <c r="F39" s="3519"/>
      <c r="G39" s="3519"/>
      <c r="H39" s="3520"/>
      <c r="I39" s="3521"/>
      <c r="J39" s="3522"/>
      <c r="K39" s="3522"/>
      <c r="L39" s="3522"/>
      <c r="M39" s="3522"/>
      <c r="N39" s="3523"/>
      <c r="O39" s="3524"/>
      <c r="P39" s="3524"/>
      <c r="Q39" s="3524"/>
      <c r="R39" s="3524"/>
      <c r="S39" s="3524"/>
      <c r="T39" s="3524"/>
      <c r="U39" s="3524"/>
      <c r="V39" s="3524"/>
      <c r="W39" s="3524"/>
      <c r="X39" s="3513"/>
      <c r="Y39" s="3514"/>
      <c r="Z39" s="3514"/>
      <c r="AA39" s="3514"/>
      <c r="AB39" s="3514"/>
      <c r="AC39" s="3514"/>
      <c r="AD39" s="3514"/>
      <c r="AE39" s="3514"/>
      <c r="AF39" s="3514"/>
      <c r="AG39" s="3524"/>
      <c r="AH39" s="3525"/>
      <c r="AI39" s="3524"/>
      <c r="AJ39" s="3524"/>
      <c r="AK39" s="3524"/>
      <c r="AL39" s="3514"/>
      <c r="AM39" s="3514"/>
      <c r="AN39" s="3514"/>
      <c r="AO39" s="3514"/>
      <c r="AP39" s="3514"/>
      <c r="AQ39" s="3514"/>
      <c r="AR39" s="3513"/>
      <c r="AS39" s="3514"/>
      <c r="AT39" s="3514"/>
      <c r="AU39" s="3514"/>
      <c r="AV39" s="3514"/>
      <c r="AW39" s="3514"/>
      <c r="AX39" s="3514"/>
      <c r="AY39" s="3514"/>
      <c r="AZ39" s="3514"/>
      <c r="BA39" s="3526"/>
    </row>
    <row r="40" spans="1:53">
      <c r="A40" s="302"/>
      <c r="B40" s="3474"/>
      <c r="C40" s="3475" t="s">
        <v>4527</v>
      </c>
      <c r="E40" s="3405"/>
      <c r="F40" s="3405"/>
      <c r="G40" s="3477"/>
      <c r="H40" s="3478"/>
      <c r="I40" s="3479">
        <f>SUM(M40:BA40)</f>
        <v>672</v>
      </c>
      <c r="J40" s="1597">
        <f>SUM(J41:J42)</f>
        <v>0</v>
      </c>
      <c r="K40" s="1597">
        <f t="shared" ref="K40:BA40" si="11">SUM(K41:K42)</f>
        <v>0</v>
      </c>
      <c r="L40" s="1597">
        <f t="shared" si="11"/>
        <v>0</v>
      </c>
      <c r="M40" s="1597">
        <f t="shared" si="11"/>
        <v>0</v>
      </c>
      <c r="N40" s="3481">
        <f t="shared" si="11"/>
        <v>0</v>
      </c>
      <c r="O40" s="3482">
        <f t="shared" si="11"/>
        <v>0</v>
      </c>
      <c r="P40" s="3482">
        <f t="shared" si="11"/>
        <v>0</v>
      </c>
      <c r="Q40" s="3482">
        <f t="shared" si="11"/>
        <v>0</v>
      </c>
      <c r="R40" s="898">
        <f t="shared" si="11"/>
        <v>0</v>
      </c>
      <c r="S40" s="3482">
        <f t="shared" si="11"/>
        <v>0</v>
      </c>
      <c r="T40" s="3482">
        <f t="shared" si="11"/>
        <v>0</v>
      </c>
      <c r="U40" s="898">
        <f t="shared" si="11"/>
        <v>0</v>
      </c>
      <c r="V40" s="3482">
        <f t="shared" si="11"/>
        <v>0</v>
      </c>
      <c r="W40" s="3482">
        <f t="shared" si="11"/>
        <v>0</v>
      </c>
      <c r="X40" s="3483">
        <f t="shared" si="11"/>
        <v>0</v>
      </c>
      <c r="Y40" s="3482">
        <f t="shared" si="11"/>
        <v>0</v>
      </c>
      <c r="Z40" s="3482">
        <f t="shared" si="11"/>
        <v>0</v>
      </c>
      <c r="AA40" s="3482">
        <f t="shared" si="11"/>
        <v>0</v>
      </c>
      <c r="AB40" s="3482">
        <f t="shared" si="11"/>
        <v>0</v>
      </c>
      <c r="AC40" s="3482">
        <f t="shared" si="11"/>
        <v>0</v>
      </c>
      <c r="AD40" s="3482">
        <f t="shared" si="11"/>
        <v>0</v>
      </c>
      <c r="AE40" s="3482">
        <f t="shared" si="11"/>
        <v>0</v>
      </c>
      <c r="AF40" s="3482">
        <f t="shared" si="11"/>
        <v>0</v>
      </c>
      <c r="AG40" s="898">
        <f t="shared" si="11"/>
        <v>0</v>
      </c>
      <c r="AH40" s="3483">
        <f t="shared" si="11"/>
        <v>0</v>
      </c>
      <c r="AI40" s="3482">
        <f t="shared" si="11"/>
        <v>0</v>
      </c>
      <c r="AJ40" s="898">
        <f t="shared" si="11"/>
        <v>0</v>
      </c>
      <c r="AK40" s="3482">
        <f t="shared" si="11"/>
        <v>0</v>
      </c>
      <c r="AL40" s="3482">
        <f t="shared" si="11"/>
        <v>0</v>
      </c>
      <c r="AM40" s="3482">
        <f t="shared" si="11"/>
        <v>0</v>
      </c>
      <c r="AN40" s="3482">
        <f t="shared" si="11"/>
        <v>0</v>
      </c>
      <c r="AO40" s="3482">
        <f t="shared" si="11"/>
        <v>0</v>
      </c>
      <c r="AP40" s="3482">
        <f t="shared" si="11"/>
        <v>672</v>
      </c>
      <c r="AQ40" s="3482">
        <f t="shared" si="11"/>
        <v>0</v>
      </c>
      <c r="AR40" s="3483">
        <f t="shared" si="11"/>
        <v>0</v>
      </c>
      <c r="AS40" s="3482">
        <f t="shared" si="11"/>
        <v>0</v>
      </c>
      <c r="AT40" s="3482">
        <f t="shared" si="11"/>
        <v>0</v>
      </c>
      <c r="AU40" s="3482">
        <f t="shared" si="11"/>
        <v>0</v>
      </c>
      <c r="AV40" s="3482">
        <f t="shared" si="11"/>
        <v>0</v>
      </c>
      <c r="AW40" s="3482">
        <f t="shared" si="11"/>
        <v>0</v>
      </c>
      <c r="AX40" s="3482">
        <f t="shared" si="11"/>
        <v>0</v>
      </c>
      <c r="AY40" s="3482">
        <f t="shared" si="11"/>
        <v>0</v>
      </c>
      <c r="AZ40" s="3482">
        <f t="shared" si="11"/>
        <v>0</v>
      </c>
      <c r="BA40" s="3484">
        <f t="shared" si="11"/>
        <v>0</v>
      </c>
    </row>
    <row r="41" spans="1:53">
      <c r="A41" s="302"/>
      <c r="B41" s="3474"/>
      <c r="C41" s="3475"/>
      <c r="D41" s="793" t="s">
        <v>4528</v>
      </c>
      <c r="E41" s="3405"/>
      <c r="F41" s="3477">
        <v>24</v>
      </c>
      <c r="G41" s="3477">
        <v>20</v>
      </c>
      <c r="H41" s="3478">
        <v>28</v>
      </c>
      <c r="I41" s="3487"/>
      <c r="J41" s="1597"/>
      <c r="K41" s="1597"/>
      <c r="L41" s="1597"/>
      <c r="M41" s="1597"/>
      <c r="N41" s="3481"/>
      <c r="O41" s="3488"/>
      <c r="P41" s="3488"/>
      <c r="Q41" s="3488"/>
      <c r="R41" s="3488"/>
      <c r="S41" s="3488"/>
      <c r="T41" s="3488"/>
      <c r="U41" s="3488"/>
      <c r="V41" s="5195">
        <v>0</v>
      </c>
      <c r="W41" s="3488"/>
      <c r="X41" s="3490"/>
      <c r="Y41" s="3488"/>
      <c r="Z41" s="3488"/>
      <c r="AA41" s="3488"/>
      <c r="AB41" s="3488"/>
      <c r="AC41" s="3488"/>
      <c r="AD41" s="3488"/>
      <c r="AE41" s="3488"/>
      <c r="AF41" s="3488"/>
      <c r="AG41" s="3488"/>
      <c r="AH41" s="3490"/>
      <c r="AI41" s="3488"/>
      <c r="AJ41" s="3488"/>
      <c r="AK41" s="3488"/>
      <c r="AL41" s="3488"/>
      <c r="AM41" s="3488"/>
      <c r="AN41" s="3488"/>
      <c r="AO41" s="3488"/>
      <c r="AP41" s="3488">
        <v>672</v>
      </c>
      <c r="AQ41" s="3488"/>
      <c r="AR41" s="3490"/>
      <c r="AS41" s="3488"/>
      <c r="AT41" s="3489"/>
      <c r="AU41" s="3488"/>
      <c r="AV41" s="3488"/>
      <c r="AW41" s="3488"/>
      <c r="AX41" s="3488"/>
      <c r="AY41" s="3488"/>
      <c r="AZ41" s="3488"/>
      <c r="BA41" s="3491"/>
    </row>
    <row r="42" spans="1:53">
      <c r="A42" s="302"/>
      <c r="B42" s="3474"/>
      <c r="C42" s="3475"/>
      <c r="D42" s="793" t="s">
        <v>4529</v>
      </c>
      <c r="E42" s="3405"/>
      <c r="F42" s="3477">
        <v>12</v>
      </c>
      <c r="G42" s="3477">
        <v>20</v>
      </c>
      <c r="H42" s="3478">
        <f>H41</f>
        <v>28</v>
      </c>
      <c r="I42" s="3487"/>
      <c r="J42" s="1597"/>
      <c r="K42" s="1597"/>
      <c r="L42" s="1597"/>
      <c r="M42" s="1597"/>
      <c r="N42" s="3481"/>
      <c r="O42" s="3488"/>
      <c r="P42" s="3488"/>
      <c r="Q42" s="3488"/>
      <c r="R42" s="3488"/>
      <c r="S42" s="3488"/>
      <c r="T42" s="3488"/>
      <c r="U42" s="3488"/>
      <c r="V42" s="3488"/>
      <c r="W42" s="3488"/>
      <c r="X42" s="3490"/>
      <c r="Y42" s="3488"/>
      <c r="Z42" s="3488"/>
      <c r="AA42" s="3488"/>
      <c r="AB42" s="3488"/>
      <c r="AC42" s="3488"/>
      <c r="AD42" s="3488"/>
      <c r="AE42" s="3488"/>
      <c r="AF42" s="3488"/>
      <c r="AG42" s="3488"/>
      <c r="AH42" s="3490"/>
      <c r="AI42" s="3488"/>
      <c r="AJ42" s="3488"/>
      <c r="AK42" s="3488"/>
      <c r="AL42" s="3488"/>
      <c r="AM42" s="3488"/>
      <c r="AN42" s="3488"/>
      <c r="AO42" s="3488"/>
      <c r="AP42" s="3488"/>
      <c r="AQ42" s="3488"/>
      <c r="AR42" s="3490"/>
      <c r="AS42" s="3488"/>
      <c r="AT42" s="3488"/>
      <c r="AU42" s="3488"/>
      <c r="AV42" s="3488"/>
      <c r="AW42" s="3488"/>
      <c r="AX42" s="3488"/>
      <c r="AY42" s="3488"/>
      <c r="AZ42" s="3488"/>
      <c r="BA42" s="3491"/>
    </row>
    <row r="43" spans="1:53">
      <c r="A43" s="302"/>
      <c r="B43" s="3474"/>
      <c r="C43" s="3475"/>
      <c r="E43" s="3405"/>
      <c r="F43" s="3477"/>
      <c r="G43" s="3477"/>
      <c r="H43" s="3478"/>
      <c r="I43" s="3487"/>
      <c r="J43" s="1597"/>
      <c r="K43" s="1597"/>
      <c r="L43" s="1597"/>
      <c r="M43" s="1597"/>
      <c r="N43" s="3481"/>
      <c r="O43" s="3482"/>
      <c r="P43" s="3482"/>
      <c r="Q43" s="3482"/>
      <c r="R43" s="3482"/>
      <c r="S43" s="3482"/>
      <c r="T43" s="3482"/>
      <c r="U43" s="3482"/>
      <c r="V43" s="3482"/>
      <c r="W43" s="3482"/>
      <c r="X43" s="3483"/>
      <c r="Y43" s="3482"/>
      <c r="Z43" s="3482"/>
      <c r="AA43" s="3482"/>
      <c r="AB43" s="3482"/>
      <c r="AC43" s="3482"/>
      <c r="AD43" s="3482"/>
      <c r="AE43" s="3482"/>
      <c r="AF43" s="3482"/>
      <c r="AG43" s="3482"/>
      <c r="AH43" s="3483"/>
      <c r="AI43" s="3482"/>
      <c r="AJ43" s="3482"/>
      <c r="AK43" s="3482"/>
      <c r="AL43" s="3482"/>
      <c r="AM43" s="3482"/>
      <c r="AN43" s="3482"/>
      <c r="AO43" s="3482"/>
      <c r="AP43" s="3482"/>
      <c r="AQ43" s="3482"/>
      <c r="AR43" s="3483"/>
      <c r="AS43" s="3482"/>
      <c r="AT43" s="3482"/>
      <c r="AU43" s="3482"/>
      <c r="AV43" s="3482"/>
      <c r="AW43" s="3482"/>
      <c r="AX43" s="3482"/>
      <c r="AY43" s="3482"/>
      <c r="AZ43" s="3482"/>
      <c r="BA43" s="3484"/>
    </row>
    <row r="44" spans="1:53" s="837" customFormat="1">
      <c r="A44" s="302"/>
      <c r="B44" s="3474"/>
      <c r="C44" s="3497" t="s">
        <v>4530</v>
      </c>
      <c r="E44" s="3498"/>
      <c r="F44" s="3498"/>
      <c r="G44" s="3499"/>
      <c r="H44" s="3515"/>
      <c r="I44" s="3479">
        <f>SUM(M44:BA44)</f>
        <v>1500</v>
      </c>
      <c r="J44" s="3501">
        <f t="shared" ref="J44:AZ44" si="12">SUM(J45:J46)</f>
        <v>0</v>
      </c>
      <c r="K44" s="3501">
        <f t="shared" si="12"/>
        <v>0</v>
      </c>
      <c r="L44" s="3501">
        <f t="shared" si="12"/>
        <v>0</v>
      </c>
      <c r="M44" s="3501">
        <f t="shared" si="12"/>
        <v>0</v>
      </c>
      <c r="N44" s="3502">
        <f t="shared" si="12"/>
        <v>0</v>
      </c>
      <c r="O44" s="3503">
        <f t="shared" si="12"/>
        <v>0</v>
      </c>
      <c r="P44" s="3503">
        <f t="shared" si="12"/>
        <v>0</v>
      </c>
      <c r="Q44" s="3503">
        <f t="shared" si="12"/>
        <v>0</v>
      </c>
      <c r="R44" s="3503">
        <f t="shared" si="12"/>
        <v>0</v>
      </c>
      <c r="S44" s="3503">
        <f t="shared" si="12"/>
        <v>0</v>
      </c>
      <c r="T44" s="3503">
        <f t="shared" si="12"/>
        <v>0</v>
      </c>
      <c r="U44" s="3503">
        <f t="shared" si="12"/>
        <v>0</v>
      </c>
      <c r="V44" s="3503">
        <f t="shared" si="12"/>
        <v>0</v>
      </c>
      <c r="W44" s="3503">
        <f t="shared" si="12"/>
        <v>0</v>
      </c>
      <c r="X44" s="3504">
        <f t="shared" si="12"/>
        <v>0</v>
      </c>
      <c r="Y44" s="3503">
        <f t="shared" si="12"/>
        <v>500</v>
      </c>
      <c r="Z44" s="3503">
        <f t="shared" si="12"/>
        <v>0</v>
      </c>
      <c r="AA44" s="3503">
        <f t="shared" si="12"/>
        <v>0</v>
      </c>
      <c r="AB44" s="3503">
        <f t="shared" si="12"/>
        <v>0</v>
      </c>
      <c r="AC44" s="3503">
        <f t="shared" si="12"/>
        <v>0</v>
      </c>
      <c r="AD44" s="3503">
        <f t="shared" si="12"/>
        <v>0</v>
      </c>
      <c r="AE44" s="3503">
        <f t="shared" si="12"/>
        <v>0</v>
      </c>
      <c r="AF44" s="3503">
        <f t="shared" si="12"/>
        <v>0</v>
      </c>
      <c r="AG44" s="3503">
        <f t="shared" si="12"/>
        <v>0</v>
      </c>
      <c r="AH44" s="3504">
        <f t="shared" si="12"/>
        <v>0</v>
      </c>
      <c r="AI44" s="3503">
        <f t="shared" si="12"/>
        <v>0</v>
      </c>
      <c r="AJ44" s="3503">
        <f t="shared" si="12"/>
        <v>0</v>
      </c>
      <c r="AK44" s="3503">
        <f t="shared" si="12"/>
        <v>0</v>
      </c>
      <c r="AL44" s="3503">
        <f t="shared" si="12"/>
        <v>0</v>
      </c>
      <c r="AM44" s="3503">
        <f t="shared" si="12"/>
        <v>0</v>
      </c>
      <c r="AN44" s="3503">
        <f t="shared" si="12"/>
        <v>0</v>
      </c>
      <c r="AO44" s="3503">
        <f t="shared" si="12"/>
        <v>0</v>
      </c>
      <c r="AP44" s="3503">
        <f t="shared" si="12"/>
        <v>500</v>
      </c>
      <c r="AQ44" s="3503">
        <f t="shared" si="12"/>
        <v>0</v>
      </c>
      <c r="AR44" s="3504">
        <f t="shared" si="12"/>
        <v>0</v>
      </c>
      <c r="AS44" s="3503">
        <f t="shared" si="12"/>
        <v>500</v>
      </c>
      <c r="AT44" s="3503">
        <f t="shared" si="12"/>
        <v>0</v>
      </c>
      <c r="AU44" s="3503">
        <f t="shared" si="12"/>
        <v>0</v>
      </c>
      <c r="AV44" s="3503">
        <f t="shared" si="12"/>
        <v>0</v>
      </c>
      <c r="AW44" s="3503">
        <f t="shared" si="12"/>
        <v>0</v>
      </c>
      <c r="AX44" s="3503">
        <f t="shared" si="12"/>
        <v>0</v>
      </c>
      <c r="AY44" s="3503">
        <f t="shared" si="12"/>
        <v>0</v>
      </c>
      <c r="AZ44" s="3503">
        <f t="shared" si="12"/>
        <v>0</v>
      </c>
      <c r="BA44" s="3506">
        <f>SUM(BA45:BA46)</f>
        <v>0</v>
      </c>
    </row>
    <row r="45" spans="1:53">
      <c r="A45" s="302"/>
      <c r="B45" s="3474"/>
      <c r="C45" s="3475"/>
      <c r="D45" s="793" t="s">
        <v>4531</v>
      </c>
      <c r="E45" s="3405"/>
      <c r="F45" s="3477">
        <v>1</v>
      </c>
      <c r="G45" s="3477">
        <v>15</v>
      </c>
      <c r="H45" s="3478">
        <v>500</v>
      </c>
      <c r="I45" s="3487"/>
      <c r="J45" s="1597"/>
      <c r="K45" s="1597"/>
      <c r="L45" s="1597"/>
      <c r="M45" s="1597"/>
      <c r="N45" s="3481"/>
      <c r="O45" s="3482"/>
      <c r="P45" s="3482"/>
      <c r="Q45" s="3482"/>
      <c r="R45" s="3482"/>
      <c r="S45" s="3482"/>
      <c r="T45" s="3482"/>
      <c r="U45" s="3482"/>
      <c r="V45" s="5196">
        <v>0</v>
      </c>
      <c r="W45" s="3482"/>
      <c r="X45" s="3483"/>
      <c r="Y45" s="3482"/>
      <c r="Z45" s="3482"/>
      <c r="AA45" s="3482"/>
      <c r="AB45" s="3482"/>
      <c r="AC45" s="3482"/>
      <c r="AD45" s="3482"/>
      <c r="AE45" s="3482"/>
      <c r="AF45" s="3482"/>
      <c r="AG45" s="3482"/>
      <c r="AH45" s="3483"/>
      <c r="AI45" s="3482"/>
      <c r="AJ45" s="3482"/>
      <c r="AK45" s="3482"/>
      <c r="AL45" s="3482"/>
      <c r="AM45" s="3482"/>
      <c r="AN45" s="3482"/>
      <c r="AO45" s="3482"/>
      <c r="AP45" s="3482">
        <v>500</v>
      </c>
      <c r="AQ45" s="3482"/>
      <c r="AR45" s="3483"/>
      <c r="AT45" s="3482"/>
      <c r="AU45" s="3482"/>
      <c r="AV45" s="3482"/>
      <c r="AW45" s="3482"/>
      <c r="AX45" s="3482"/>
      <c r="AY45" s="3482"/>
      <c r="AZ45" s="3482"/>
      <c r="BA45" s="3484"/>
    </row>
    <row r="46" spans="1:53">
      <c r="A46" s="302"/>
      <c r="B46" s="3474"/>
      <c r="C46" s="3475"/>
      <c r="D46" s="793" t="s">
        <v>4532</v>
      </c>
      <c r="E46" s="3405"/>
      <c r="F46" s="3477">
        <v>1</v>
      </c>
      <c r="G46" s="3477">
        <v>15</v>
      </c>
      <c r="H46" s="3478">
        <v>500</v>
      </c>
      <c r="I46" s="3487"/>
      <c r="J46" s="1597"/>
      <c r="K46" s="1597"/>
      <c r="L46" s="1597"/>
      <c r="M46" s="1597"/>
      <c r="N46" s="3481"/>
      <c r="O46" s="3482"/>
      <c r="P46" s="3482"/>
      <c r="Q46" s="3482"/>
      <c r="R46" s="3482"/>
      <c r="S46" s="3482"/>
      <c r="T46" s="3482"/>
      <c r="U46" s="3482"/>
      <c r="V46" s="3482"/>
      <c r="W46" s="3482"/>
      <c r="X46" s="3483"/>
      <c r="Y46" s="3482">
        <v>500</v>
      </c>
      <c r="Z46" s="3482"/>
      <c r="AA46" s="3482"/>
      <c r="AB46" s="3482"/>
      <c r="AC46" s="3482"/>
      <c r="AD46" s="3482"/>
      <c r="AE46" s="3482"/>
      <c r="AF46" s="3482"/>
      <c r="AG46" s="3482"/>
      <c r="AH46" s="3483"/>
      <c r="AI46" s="3482"/>
      <c r="AJ46" s="3482"/>
      <c r="AK46" s="3482"/>
      <c r="AL46" s="3482"/>
      <c r="AM46" s="3482"/>
      <c r="AN46" s="3482"/>
      <c r="AO46" s="3482"/>
      <c r="AP46" s="3482"/>
      <c r="AQ46" s="3482"/>
      <c r="AR46" s="3483"/>
      <c r="AS46" s="3482">
        <v>500</v>
      </c>
      <c r="AT46" s="3482"/>
      <c r="AU46" s="3482"/>
      <c r="AV46" s="3482"/>
      <c r="AW46" s="3482"/>
      <c r="AX46" s="3482"/>
      <c r="AY46" s="3482"/>
      <c r="AZ46" s="3482"/>
      <c r="BA46" s="3484"/>
    </row>
    <row r="47" spans="1:53" s="3527" customFormat="1" ht="15" customHeight="1">
      <c r="A47" s="302"/>
      <c r="B47" s="3474"/>
      <c r="C47" s="3528"/>
      <c r="E47" s="3518"/>
      <c r="F47" s="3519"/>
      <c r="G47" s="3519"/>
      <c r="H47" s="3520"/>
      <c r="I47" s="3521"/>
      <c r="J47" s="3522"/>
      <c r="K47" s="3522"/>
      <c r="L47" s="3522"/>
      <c r="M47" s="3522"/>
      <c r="N47" s="3523"/>
      <c r="O47" s="3514"/>
      <c r="P47" s="3514"/>
      <c r="Q47" s="3514"/>
      <c r="R47" s="3514"/>
      <c r="S47" s="3514"/>
      <c r="T47" s="3514"/>
      <c r="U47" s="3514"/>
      <c r="V47" s="3514"/>
      <c r="W47" s="3514"/>
      <c r="X47" s="3513"/>
      <c r="Y47" s="3514"/>
      <c r="Z47" s="3514"/>
      <c r="AA47" s="3514"/>
      <c r="AB47" s="3514"/>
      <c r="AC47" s="3514"/>
      <c r="AD47" s="3514"/>
      <c r="AE47" s="3514"/>
      <c r="AF47" s="3514"/>
      <c r="AG47" s="3514"/>
      <c r="AH47" s="3513"/>
      <c r="AI47" s="3514"/>
      <c r="AJ47" s="3514"/>
      <c r="AK47" s="3514"/>
      <c r="AL47" s="3514"/>
      <c r="AM47" s="3514"/>
      <c r="AN47" s="3514"/>
      <c r="AO47" s="3514"/>
      <c r="AP47" s="3514"/>
      <c r="AQ47" s="3514"/>
      <c r="AR47" s="3513"/>
      <c r="AS47" s="3514"/>
      <c r="AT47" s="3514"/>
      <c r="AU47" s="3514"/>
      <c r="AV47" s="3514"/>
      <c r="AW47" s="3514"/>
      <c r="AX47" s="3514"/>
      <c r="AY47" s="3514"/>
      <c r="AZ47" s="3514"/>
      <c r="BA47" s="3526"/>
    </row>
    <row r="48" spans="1:53" ht="15" customHeight="1">
      <c r="A48" s="302"/>
      <c r="B48" s="3474"/>
      <c r="C48" s="3475" t="s">
        <v>4533</v>
      </c>
      <c r="E48" s="3405"/>
      <c r="F48" s="3405"/>
      <c r="G48" s="3477">
        <v>8</v>
      </c>
      <c r="H48" s="3478"/>
      <c r="I48" s="3479">
        <f>SUM(M48:BA48)</f>
        <v>2100</v>
      </c>
      <c r="J48" s="1597">
        <f>SUM(J49:J51)</f>
        <v>0</v>
      </c>
      <c r="K48" s="1597">
        <f t="shared" ref="K48:BA48" si="13">SUM(K49:K51)</f>
        <v>0</v>
      </c>
      <c r="L48" s="1597">
        <f t="shared" si="13"/>
        <v>0</v>
      </c>
      <c r="M48" s="1597">
        <f t="shared" si="13"/>
        <v>0</v>
      </c>
      <c r="N48" s="3481">
        <f t="shared" si="13"/>
        <v>0</v>
      </c>
      <c r="O48" s="3482">
        <f t="shared" si="13"/>
        <v>0</v>
      </c>
      <c r="P48" s="3482">
        <f t="shared" si="13"/>
        <v>0</v>
      </c>
      <c r="Q48" s="3482">
        <f t="shared" si="13"/>
        <v>0</v>
      </c>
      <c r="R48" s="3482">
        <f t="shared" si="13"/>
        <v>0</v>
      </c>
      <c r="S48" s="3482">
        <f t="shared" si="13"/>
        <v>300</v>
      </c>
      <c r="T48" s="3482">
        <f t="shared" si="13"/>
        <v>0</v>
      </c>
      <c r="U48" s="3482">
        <f t="shared" si="13"/>
        <v>0</v>
      </c>
      <c r="V48" s="3482">
        <f t="shared" si="13"/>
        <v>0</v>
      </c>
      <c r="W48" s="3482">
        <f t="shared" si="13"/>
        <v>0</v>
      </c>
      <c r="X48" s="3483">
        <f t="shared" si="13"/>
        <v>0</v>
      </c>
      <c r="Y48" s="3482">
        <f t="shared" si="13"/>
        <v>600</v>
      </c>
      <c r="Z48" s="3482">
        <f t="shared" si="13"/>
        <v>0</v>
      </c>
      <c r="AA48" s="3482">
        <f t="shared" si="13"/>
        <v>0</v>
      </c>
      <c r="AB48" s="3482">
        <f t="shared" si="13"/>
        <v>0</v>
      </c>
      <c r="AC48" s="3482">
        <f t="shared" si="13"/>
        <v>0</v>
      </c>
      <c r="AD48" s="3482">
        <f t="shared" si="13"/>
        <v>0</v>
      </c>
      <c r="AE48" s="3482">
        <f t="shared" si="13"/>
        <v>0</v>
      </c>
      <c r="AF48" s="3482">
        <f t="shared" si="13"/>
        <v>0</v>
      </c>
      <c r="AG48" s="3482">
        <f t="shared" si="13"/>
        <v>0</v>
      </c>
      <c r="AH48" s="3483">
        <f t="shared" si="13"/>
        <v>1200</v>
      </c>
      <c r="AI48" s="3482">
        <f t="shared" si="13"/>
        <v>0</v>
      </c>
      <c r="AJ48" s="3482">
        <f t="shared" si="13"/>
        <v>0</v>
      </c>
      <c r="AK48" s="3482">
        <f t="shared" si="13"/>
        <v>0</v>
      </c>
      <c r="AL48" s="3482">
        <f t="shared" si="13"/>
        <v>0</v>
      </c>
      <c r="AM48" s="3482">
        <f t="shared" si="13"/>
        <v>0</v>
      </c>
      <c r="AN48" s="3482">
        <f t="shared" si="13"/>
        <v>0</v>
      </c>
      <c r="AO48" s="3482">
        <f t="shared" si="13"/>
        <v>0</v>
      </c>
      <c r="AP48" s="3482">
        <f t="shared" si="13"/>
        <v>0</v>
      </c>
      <c r="AQ48" s="3482">
        <f t="shared" si="13"/>
        <v>0</v>
      </c>
      <c r="AR48" s="3483">
        <f t="shared" si="13"/>
        <v>0</v>
      </c>
      <c r="AS48" s="3482">
        <f t="shared" si="13"/>
        <v>0</v>
      </c>
      <c r="AT48" s="3482">
        <f t="shared" si="13"/>
        <v>0</v>
      </c>
      <c r="AU48" s="3482">
        <f t="shared" si="13"/>
        <v>0</v>
      </c>
      <c r="AV48" s="3482">
        <f t="shared" si="13"/>
        <v>0</v>
      </c>
      <c r="AW48" s="3482">
        <f t="shared" si="13"/>
        <v>0</v>
      </c>
      <c r="AX48" s="3482">
        <f t="shared" si="13"/>
        <v>0</v>
      </c>
      <c r="AY48" s="3482">
        <f t="shared" si="13"/>
        <v>0</v>
      </c>
      <c r="AZ48" s="3482">
        <f t="shared" si="13"/>
        <v>0</v>
      </c>
      <c r="BA48" s="3484">
        <f t="shared" si="13"/>
        <v>0</v>
      </c>
    </row>
    <row r="49" spans="1:16382" ht="15" customHeight="1">
      <c r="A49" s="302"/>
      <c r="B49" s="3474"/>
      <c r="C49" s="3475"/>
      <c r="D49" s="793" t="s">
        <v>4531</v>
      </c>
      <c r="E49" s="3405"/>
      <c r="F49" s="3477">
        <v>1</v>
      </c>
      <c r="G49" s="3477">
        <v>15</v>
      </c>
      <c r="H49" s="3478">
        <v>300</v>
      </c>
      <c r="I49" s="3487"/>
      <c r="J49" s="1597"/>
      <c r="K49" s="1597"/>
      <c r="L49" s="1597"/>
      <c r="M49" s="1597"/>
      <c r="N49" s="3481"/>
      <c r="O49" s="3482"/>
      <c r="P49" s="3482"/>
      <c r="Q49" s="3482"/>
      <c r="R49" s="3482"/>
      <c r="S49" s="5196">
        <v>0</v>
      </c>
      <c r="T49" s="3482"/>
      <c r="U49" s="3482"/>
      <c r="V49" s="3482"/>
      <c r="W49" s="3482"/>
      <c r="X49" s="3483"/>
      <c r="Y49" s="3482">
        <v>300</v>
      </c>
      <c r="Z49" s="3482"/>
      <c r="AA49" s="3482"/>
      <c r="AB49" s="3482"/>
      <c r="AC49" s="3482"/>
      <c r="AD49" s="3482"/>
      <c r="AG49" s="3482"/>
      <c r="AH49" s="3483">
        <v>600</v>
      </c>
      <c r="AI49" s="3482"/>
      <c r="AJ49" s="3482"/>
      <c r="AK49" s="3482"/>
      <c r="AL49" s="3482"/>
      <c r="AM49" s="3482"/>
      <c r="AN49" s="3482"/>
      <c r="AO49" s="3482"/>
      <c r="AQ49" s="3482"/>
      <c r="AR49" s="3483"/>
      <c r="AS49" s="3482"/>
      <c r="AT49" s="3482"/>
      <c r="AU49" s="3482"/>
      <c r="AV49" s="3482"/>
      <c r="AW49" s="3482"/>
      <c r="AX49" s="3482"/>
      <c r="AY49" s="3482"/>
      <c r="AZ49" s="3482"/>
      <c r="BA49" s="3484"/>
    </row>
    <row r="50" spans="1:16382" ht="15" customHeight="1">
      <c r="A50" s="302"/>
      <c r="B50" s="3474"/>
      <c r="C50" s="3475"/>
      <c r="D50" s="793" t="s">
        <v>4532</v>
      </c>
      <c r="E50" s="3405"/>
      <c r="F50" s="3477">
        <v>1</v>
      </c>
      <c r="G50" s="3477">
        <f>G49</f>
        <v>15</v>
      </c>
      <c r="H50" s="3478">
        <v>300</v>
      </c>
      <c r="I50" s="3487"/>
      <c r="J50" s="1597"/>
      <c r="K50" s="1597"/>
      <c r="L50" s="1597"/>
      <c r="M50" s="1597"/>
      <c r="N50" s="3481"/>
      <c r="O50" s="3482"/>
      <c r="P50" s="3482"/>
      <c r="Q50" s="3482"/>
      <c r="R50" s="3482"/>
      <c r="S50" s="3482">
        <v>300</v>
      </c>
      <c r="T50" s="3482"/>
      <c r="U50" s="3482"/>
      <c r="V50" s="3482"/>
      <c r="W50" s="3482"/>
      <c r="X50" s="3483"/>
      <c r="Y50" s="3482">
        <v>300</v>
      </c>
      <c r="Z50" s="3482"/>
      <c r="AA50" s="3482"/>
      <c r="AB50" s="3482"/>
      <c r="AC50" s="3482"/>
      <c r="AD50" s="3482"/>
      <c r="AE50" s="1842"/>
      <c r="AF50" s="3482"/>
      <c r="AG50" s="3482"/>
      <c r="AH50" s="3483">
        <v>600</v>
      </c>
      <c r="AI50" s="3482"/>
      <c r="AJ50" s="3482"/>
      <c r="AK50" s="3482"/>
      <c r="AL50" s="3482"/>
      <c r="AM50" s="3482"/>
      <c r="AN50" s="3482"/>
      <c r="AO50" s="3482"/>
      <c r="AP50" s="3482"/>
      <c r="AQ50" s="3482"/>
      <c r="AR50" s="3483"/>
      <c r="AS50" s="3482"/>
      <c r="AT50" s="3482"/>
      <c r="AU50" s="3482"/>
      <c r="AV50" s="3482"/>
      <c r="AW50" s="3482"/>
      <c r="AX50" s="3482"/>
      <c r="AY50" s="3482"/>
      <c r="AZ50" s="3482"/>
      <c r="BA50" s="3484"/>
    </row>
    <row r="51" spans="1:16382" ht="15" customHeight="1">
      <c r="A51" s="302"/>
      <c r="B51" s="3474"/>
      <c r="C51" s="3475"/>
      <c r="E51" s="3405"/>
      <c r="F51" s="3477"/>
      <c r="G51" s="3477"/>
      <c r="H51" s="3478"/>
      <c r="I51" s="3487"/>
      <c r="J51" s="1597"/>
      <c r="K51" s="1597"/>
      <c r="L51" s="1597"/>
      <c r="M51" s="1597"/>
      <c r="N51" s="3481"/>
      <c r="O51" s="3482"/>
      <c r="P51" s="3482"/>
      <c r="Q51" s="3482"/>
      <c r="R51" s="3482"/>
      <c r="S51" s="3482"/>
      <c r="T51" s="3482"/>
      <c r="U51" s="3482"/>
      <c r="V51" s="3482"/>
      <c r="W51" s="3482"/>
      <c r="X51" s="3483"/>
      <c r="Y51" s="3482"/>
      <c r="Z51" s="3482"/>
      <c r="AA51" s="3482"/>
      <c r="AB51" s="3482"/>
      <c r="AC51" s="3482"/>
      <c r="AD51" s="3482"/>
      <c r="AE51" s="3482"/>
      <c r="AF51" s="3482"/>
      <c r="AG51" s="3482"/>
      <c r="AH51" s="3483"/>
      <c r="AI51" s="3482"/>
      <c r="AJ51" s="3482"/>
      <c r="AK51" s="3482"/>
      <c r="AL51" s="3482"/>
      <c r="AM51" s="3482"/>
      <c r="AN51" s="3482"/>
      <c r="AO51" s="3482"/>
      <c r="AP51" s="3482"/>
      <c r="AQ51" s="3482"/>
      <c r="AR51" s="3483"/>
      <c r="AS51" s="3482"/>
      <c r="AT51" s="3482"/>
      <c r="AU51" s="3482"/>
      <c r="AV51" s="3482"/>
      <c r="AW51" s="3482"/>
      <c r="AX51" s="3482"/>
      <c r="AY51" s="3482"/>
      <c r="AZ51" s="3482"/>
      <c r="BA51" s="3484"/>
    </row>
    <row r="52" spans="1:16382" s="837" customFormat="1" ht="15" customHeight="1">
      <c r="A52" s="302"/>
      <c r="B52" s="3474"/>
      <c r="C52" s="3497" t="s">
        <v>4534</v>
      </c>
      <c r="E52" s="3498"/>
      <c r="F52" s="3499"/>
      <c r="G52" s="3499"/>
      <c r="H52" s="3515"/>
      <c r="I52" s="3479">
        <f>SUM(M52:BA52)</f>
        <v>280</v>
      </c>
      <c r="J52" s="3501">
        <f>SUM(J53:J55)</f>
        <v>0</v>
      </c>
      <c r="K52" s="3501">
        <f t="shared" ref="K52:BA52" si="14">SUM(K53:K55)</f>
        <v>0</v>
      </c>
      <c r="L52" s="3501">
        <f t="shared" si="14"/>
        <v>0</v>
      </c>
      <c r="M52" s="3501">
        <f t="shared" si="14"/>
        <v>0</v>
      </c>
      <c r="N52" s="3502">
        <f t="shared" si="14"/>
        <v>0</v>
      </c>
      <c r="O52" s="3503">
        <f t="shared" si="14"/>
        <v>0</v>
      </c>
      <c r="P52" s="3503">
        <f t="shared" si="14"/>
        <v>0</v>
      </c>
      <c r="Q52" s="3503">
        <f t="shared" si="14"/>
        <v>0</v>
      </c>
      <c r="R52" s="3503">
        <f t="shared" si="14"/>
        <v>0</v>
      </c>
      <c r="S52" s="3503">
        <f t="shared" si="14"/>
        <v>0</v>
      </c>
      <c r="T52" s="3503">
        <f t="shared" si="14"/>
        <v>0</v>
      </c>
      <c r="U52" s="3503">
        <f t="shared" si="14"/>
        <v>0</v>
      </c>
      <c r="V52" s="3503">
        <f t="shared" si="14"/>
        <v>0</v>
      </c>
      <c r="W52" s="3503">
        <f t="shared" si="14"/>
        <v>0</v>
      </c>
      <c r="X52" s="3504">
        <f t="shared" si="14"/>
        <v>0</v>
      </c>
      <c r="Y52" s="3503">
        <f t="shared" si="14"/>
        <v>60</v>
      </c>
      <c r="Z52" s="3503">
        <f t="shared" si="14"/>
        <v>0</v>
      </c>
      <c r="AA52" s="3503">
        <f t="shared" si="14"/>
        <v>0</v>
      </c>
      <c r="AB52" s="3503">
        <f t="shared" si="14"/>
        <v>0</v>
      </c>
      <c r="AC52" s="3503">
        <f t="shared" si="14"/>
        <v>0</v>
      </c>
      <c r="AD52" s="3503">
        <f t="shared" si="14"/>
        <v>80</v>
      </c>
      <c r="AE52" s="3503">
        <f t="shared" si="14"/>
        <v>0</v>
      </c>
      <c r="AF52" s="3503">
        <f t="shared" si="14"/>
        <v>0</v>
      </c>
      <c r="AG52" s="3503">
        <f t="shared" si="14"/>
        <v>0</v>
      </c>
      <c r="AH52" s="3504">
        <f t="shared" si="14"/>
        <v>0</v>
      </c>
      <c r="AI52" s="3503">
        <f t="shared" si="14"/>
        <v>0</v>
      </c>
      <c r="AJ52" s="3503">
        <f t="shared" si="14"/>
        <v>0</v>
      </c>
      <c r="AK52" s="3503">
        <f t="shared" si="14"/>
        <v>0</v>
      </c>
      <c r="AL52" s="3503">
        <f t="shared" si="14"/>
        <v>0</v>
      </c>
      <c r="AM52" s="3503">
        <f t="shared" si="14"/>
        <v>0</v>
      </c>
      <c r="AN52" s="3503">
        <f t="shared" si="14"/>
        <v>0</v>
      </c>
      <c r="AO52" s="3503">
        <f t="shared" si="14"/>
        <v>0</v>
      </c>
      <c r="AP52" s="3503">
        <f t="shared" si="14"/>
        <v>0</v>
      </c>
      <c r="AQ52" s="3503">
        <f t="shared" si="14"/>
        <v>0</v>
      </c>
      <c r="AR52" s="3504">
        <f t="shared" si="14"/>
        <v>0</v>
      </c>
      <c r="AS52" s="3503">
        <f t="shared" si="14"/>
        <v>60</v>
      </c>
      <c r="AT52" s="3503">
        <f t="shared" si="14"/>
        <v>0</v>
      </c>
      <c r="AU52" s="3503">
        <f t="shared" si="14"/>
        <v>0</v>
      </c>
      <c r="AV52" s="3503">
        <f t="shared" si="14"/>
        <v>0</v>
      </c>
      <c r="AW52" s="3503">
        <f t="shared" si="14"/>
        <v>0</v>
      </c>
      <c r="AX52" s="3503">
        <f t="shared" si="14"/>
        <v>80</v>
      </c>
      <c r="AY52" s="3503">
        <f t="shared" si="14"/>
        <v>0</v>
      </c>
      <c r="AZ52" s="3503">
        <f t="shared" si="14"/>
        <v>0</v>
      </c>
      <c r="BA52" s="3506">
        <f t="shared" si="14"/>
        <v>0</v>
      </c>
    </row>
    <row r="53" spans="1:16382" ht="15" customHeight="1">
      <c r="A53" s="302"/>
      <c r="B53" s="3474"/>
      <c r="C53" s="3475"/>
      <c r="D53" s="793" t="s">
        <v>4535</v>
      </c>
      <c r="E53" s="3405"/>
      <c r="F53" s="3477">
        <v>2</v>
      </c>
      <c r="G53" s="3477"/>
      <c r="H53" s="3478">
        <v>30</v>
      </c>
      <c r="I53" s="3487"/>
      <c r="J53" s="1597"/>
      <c r="K53" s="1597"/>
      <c r="L53" s="1597"/>
      <c r="M53" s="1597"/>
      <c r="N53" s="3481"/>
      <c r="O53" s="3482"/>
      <c r="P53" s="3482"/>
      <c r="Q53" s="3482"/>
      <c r="R53" s="3482"/>
      <c r="S53" s="3482"/>
      <c r="T53" s="3482"/>
      <c r="U53" s="3482"/>
      <c r="V53" s="3482"/>
      <c r="W53" s="3482"/>
      <c r="X53" s="3483"/>
      <c r="Y53" s="3482"/>
      <c r="Z53" s="3482"/>
      <c r="AA53" s="3482"/>
      <c r="AB53" s="3482"/>
      <c r="AC53" s="3482"/>
      <c r="AD53" s="3482"/>
      <c r="AE53" s="3482"/>
      <c r="AF53" s="3482"/>
      <c r="AG53" s="3482"/>
      <c r="AH53" s="3483"/>
      <c r="AI53" s="3482"/>
      <c r="AJ53" s="3482"/>
      <c r="AK53" s="3482"/>
      <c r="AL53" s="3482"/>
      <c r="AM53" s="3482"/>
      <c r="AN53" s="3482"/>
      <c r="AO53" s="3482"/>
      <c r="AP53" s="3482"/>
      <c r="AQ53" s="3482"/>
      <c r="AR53" s="3483"/>
      <c r="AS53" s="3482"/>
      <c r="AT53" s="3482"/>
      <c r="AU53" s="3482"/>
      <c r="AV53" s="3482"/>
      <c r="AW53" s="3482"/>
      <c r="AX53" s="3482"/>
      <c r="AY53" s="3482"/>
      <c r="AZ53" s="3482"/>
      <c r="BA53" s="3484"/>
    </row>
    <row r="54" spans="1:16382" ht="15" customHeight="1">
      <c r="A54" s="302"/>
      <c r="B54" s="3474"/>
      <c r="C54" s="3475"/>
      <c r="D54" s="793" t="s">
        <v>4536</v>
      </c>
      <c r="E54" s="3405"/>
      <c r="F54" s="3477">
        <v>2</v>
      </c>
      <c r="G54" s="3477">
        <v>15</v>
      </c>
      <c r="H54" s="3478">
        <v>30</v>
      </c>
      <c r="I54" s="3487"/>
      <c r="J54" s="1597"/>
      <c r="K54" s="1597"/>
      <c r="L54" s="1597"/>
      <c r="M54" s="1597"/>
      <c r="N54" s="3481"/>
      <c r="O54" s="3482"/>
      <c r="P54" s="3482"/>
      <c r="Q54" s="3482"/>
      <c r="R54" s="3482"/>
      <c r="S54" s="3482"/>
      <c r="T54" s="3482"/>
      <c r="U54" s="3482"/>
      <c r="V54" s="3482"/>
      <c r="W54" s="3482"/>
      <c r="X54" s="3483"/>
      <c r="Y54" s="3482">
        <v>60</v>
      </c>
      <c r="Z54" s="3482"/>
      <c r="AA54" s="3482"/>
      <c r="AB54" s="3482"/>
      <c r="AC54" s="3482"/>
      <c r="AD54" s="3482"/>
      <c r="AE54" s="3482"/>
      <c r="AF54" s="3482"/>
      <c r="AG54" s="3482"/>
      <c r="AH54" s="3483"/>
      <c r="AI54" s="3482"/>
      <c r="AJ54" s="3482"/>
      <c r="AK54" s="3482"/>
      <c r="AL54" s="3482"/>
      <c r="AM54" s="3482"/>
      <c r="AN54" s="3482"/>
      <c r="AO54" s="3482"/>
      <c r="AP54" s="3482"/>
      <c r="AQ54" s="3482"/>
      <c r="AR54" s="3483"/>
      <c r="AS54" s="3482">
        <v>60</v>
      </c>
      <c r="AT54" s="3482"/>
      <c r="AU54" s="3482"/>
      <c r="AV54" s="3482"/>
      <c r="AW54" s="3482"/>
      <c r="AX54" s="3482"/>
      <c r="AY54" s="3482"/>
      <c r="AZ54" s="3482"/>
      <c r="BA54" s="3484"/>
    </row>
    <row r="55" spans="1:16382" ht="15" customHeight="1">
      <c r="A55" s="302"/>
      <c r="B55" s="3474"/>
      <c r="C55" s="3475"/>
      <c r="D55" s="793" t="s">
        <v>4537</v>
      </c>
      <c r="E55" s="3405"/>
      <c r="F55" s="3477">
        <v>1</v>
      </c>
      <c r="G55" s="3477">
        <f>G54</f>
        <v>15</v>
      </c>
      <c r="H55" s="3478">
        <v>80</v>
      </c>
      <c r="I55" s="3487"/>
      <c r="J55" s="1597"/>
      <c r="K55" s="1597"/>
      <c r="L55" s="1597"/>
      <c r="M55" s="1597"/>
      <c r="N55" s="3481"/>
      <c r="O55" s="3482"/>
      <c r="P55" s="3482"/>
      <c r="Q55" s="3482"/>
      <c r="R55" s="3482"/>
      <c r="S55" s="3482"/>
      <c r="T55" s="3482"/>
      <c r="U55" s="3482"/>
      <c r="V55" s="3482"/>
      <c r="W55" s="3482"/>
      <c r="X55" s="3483"/>
      <c r="Y55" s="3482"/>
      <c r="Z55" s="3482"/>
      <c r="AA55" s="3482"/>
      <c r="AB55" s="3482"/>
      <c r="AC55" s="3482"/>
      <c r="AD55" s="3482">
        <v>80</v>
      </c>
      <c r="AE55" s="3482"/>
      <c r="AF55" s="3482"/>
      <c r="AG55" s="3482"/>
      <c r="AH55" s="3483"/>
      <c r="AI55" s="3482"/>
      <c r="AJ55" s="3482"/>
      <c r="AK55" s="3482"/>
      <c r="AL55" s="3482"/>
      <c r="AM55" s="3482"/>
      <c r="AO55" s="3482"/>
      <c r="AP55" s="3482"/>
      <c r="AQ55" s="3482"/>
      <c r="AR55" s="3483"/>
      <c r="AS55" s="3482"/>
      <c r="AT55" s="3482"/>
      <c r="AU55" s="3482"/>
      <c r="AV55" s="3482"/>
      <c r="AW55" s="3482"/>
      <c r="AX55" s="3482">
        <v>80</v>
      </c>
      <c r="AY55" s="3482"/>
      <c r="AZ55" s="3482"/>
      <c r="BA55" s="3484"/>
    </row>
    <row r="56" spans="1:16382" s="837" customFormat="1" ht="15" customHeight="1">
      <c r="A56" s="315"/>
      <c r="B56" s="3474"/>
      <c r="C56" s="3497"/>
      <c r="E56" s="3498"/>
      <c r="F56" s="3499"/>
      <c r="G56" s="3499"/>
      <c r="H56" s="3515"/>
      <c r="I56" s="3479">
        <f>SUM(M56:BA56)</f>
        <v>1120</v>
      </c>
      <c r="J56" s="3501">
        <f t="shared" ref="J56:AZ56" si="15">SUM(J57:J60)</f>
        <v>0</v>
      </c>
      <c r="K56" s="3501">
        <f t="shared" si="15"/>
        <v>0</v>
      </c>
      <c r="L56" s="3501">
        <f t="shared" si="15"/>
        <v>0</v>
      </c>
      <c r="M56" s="3501">
        <f t="shared" si="15"/>
        <v>0</v>
      </c>
      <c r="N56" s="3502">
        <f t="shared" si="15"/>
        <v>0</v>
      </c>
      <c r="O56" s="3503">
        <f t="shared" si="15"/>
        <v>0</v>
      </c>
      <c r="P56" s="3503">
        <f t="shared" si="15"/>
        <v>0</v>
      </c>
      <c r="Q56" s="3503">
        <f t="shared" si="15"/>
        <v>0</v>
      </c>
      <c r="R56" s="3503">
        <f t="shared" si="15"/>
        <v>0</v>
      </c>
      <c r="S56" s="3503">
        <f t="shared" si="15"/>
        <v>0</v>
      </c>
      <c r="T56" s="3503">
        <f t="shared" si="15"/>
        <v>0</v>
      </c>
      <c r="U56" s="3503">
        <f t="shared" si="15"/>
        <v>100</v>
      </c>
      <c r="V56" s="3503">
        <f t="shared" si="15"/>
        <v>40</v>
      </c>
      <c r="W56" s="3503">
        <f t="shared" si="15"/>
        <v>0</v>
      </c>
      <c r="X56" s="3504">
        <f t="shared" si="15"/>
        <v>0</v>
      </c>
      <c r="Y56" s="3503">
        <f t="shared" si="15"/>
        <v>0</v>
      </c>
      <c r="Z56" s="3503">
        <f t="shared" si="15"/>
        <v>150</v>
      </c>
      <c r="AA56" s="3503">
        <f t="shared" si="15"/>
        <v>0</v>
      </c>
      <c r="AB56" s="3503">
        <f t="shared" si="15"/>
        <v>0</v>
      </c>
      <c r="AC56" s="3503">
        <f t="shared" si="15"/>
        <v>0</v>
      </c>
      <c r="AD56" s="3503">
        <f t="shared" si="15"/>
        <v>0</v>
      </c>
      <c r="AE56" s="3503">
        <f t="shared" si="15"/>
        <v>150</v>
      </c>
      <c r="AF56" s="3503">
        <f t="shared" si="15"/>
        <v>40</v>
      </c>
      <c r="AG56" s="3503">
        <f t="shared" si="15"/>
        <v>0</v>
      </c>
      <c r="AH56" s="3504">
        <f t="shared" si="15"/>
        <v>0</v>
      </c>
      <c r="AI56" s="3503">
        <f t="shared" si="15"/>
        <v>0</v>
      </c>
      <c r="AJ56" s="3503">
        <f t="shared" si="15"/>
        <v>150</v>
      </c>
      <c r="AK56" s="3503">
        <f t="shared" si="15"/>
        <v>0</v>
      </c>
      <c r="AL56" s="3503">
        <f t="shared" si="15"/>
        <v>0</v>
      </c>
      <c r="AM56" s="3503">
        <f t="shared" si="15"/>
        <v>0</v>
      </c>
      <c r="AN56" s="3503">
        <f t="shared" si="15"/>
        <v>0</v>
      </c>
      <c r="AO56" s="3503">
        <f t="shared" si="15"/>
        <v>150</v>
      </c>
      <c r="AP56" s="3503">
        <f t="shared" si="15"/>
        <v>40</v>
      </c>
      <c r="AQ56" s="3503">
        <f t="shared" si="15"/>
        <v>0</v>
      </c>
      <c r="AR56" s="3504">
        <f t="shared" si="15"/>
        <v>0</v>
      </c>
      <c r="AS56" s="3503">
        <f t="shared" si="15"/>
        <v>0</v>
      </c>
      <c r="AT56" s="3503">
        <f t="shared" si="15"/>
        <v>150</v>
      </c>
      <c r="AU56" s="3503">
        <f t="shared" si="15"/>
        <v>0</v>
      </c>
      <c r="AV56" s="3503">
        <f t="shared" si="15"/>
        <v>0</v>
      </c>
      <c r="AW56" s="3503">
        <f t="shared" si="15"/>
        <v>0</v>
      </c>
      <c r="AX56" s="3503">
        <f t="shared" si="15"/>
        <v>0</v>
      </c>
      <c r="AY56" s="3503">
        <f t="shared" si="15"/>
        <v>150</v>
      </c>
      <c r="AZ56" s="3503">
        <f t="shared" si="15"/>
        <v>0</v>
      </c>
      <c r="BA56" s="3506">
        <f>SUM(BA57:BA60)</f>
        <v>0</v>
      </c>
    </row>
    <row r="57" spans="1:16382" ht="15" customHeight="1">
      <c r="A57" s="302"/>
      <c r="B57" s="3474"/>
      <c r="C57" s="3475" t="s">
        <v>4538</v>
      </c>
      <c r="E57" s="3405"/>
      <c r="F57" s="3477"/>
      <c r="G57" s="3477">
        <v>7</v>
      </c>
      <c r="H57" s="3478">
        <v>20</v>
      </c>
      <c r="I57" s="3487"/>
      <c r="J57" s="1597"/>
      <c r="K57" s="1597"/>
      <c r="L57" s="1597"/>
      <c r="M57" s="1597"/>
      <c r="N57" s="3481"/>
      <c r="O57" s="3488"/>
      <c r="P57" s="3482"/>
      <c r="Q57" s="3482"/>
      <c r="R57" s="898"/>
      <c r="S57" s="3482"/>
      <c r="T57" s="3482"/>
      <c r="U57" s="3482"/>
      <c r="V57" s="3482">
        <v>40</v>
      </c>
      <c r="W57" s="3482"/>
      <c r="X57" s="3490"/>
      <c r="Y57" s="3488"/>
      <c r="Z57" s="3488"/>
      <c r="AA57" s="3488"/>
      <c r="AB57" s="3488"/>
      <c r="AC57" s="3488"/>
      <c r="AD57" s="3488"/>
      <c r="AE57" s="3488"/>
      <c r="AF57" s="3488">
        <v>40</v>
      </c>
      <c r="AG57" s="3488"/>
      <c r="AH57" s="3490"/>
      <c r="AI57" s="3488"/>
      <c r="AJ57" s="3488"/>
      <c r="AK57" s="3488"/>
      <c r="AL57" s="3488"/>
      <c r="AM57" s="3488"/>
      <c r="AN57" s="3488"/>
      <c r="AO57" s="3488"/>
      <c r="AP57" s="3488">
        <v>40</v>
      </c>
      <c r="AQ57" s="3488"/>
      <c r="AR57" s="3490"/>
      <c r="AS57" s="3488"/>
      <c r="AT57" s="3488"/>
      <c r="AU57" s="3488"/>
      <c r="AV57" s="3488"/>
      <c r="AW57" s="3488"/>
      <c r="AX57" s="3488"/>
      <c r="AY57" s="3488"/>
      <c r="AZ57" s="3488"/>
      <c r="BA57" s="3491"/>
    </row>
    <row r="58" spans="1:16382" ht="15" customHeight="1">
      <c r="A58" s="302"/>
      <c r="B58" s="3474"/>
      <c r="C58" s="3475" t="s">
        <v>4539</v>
      </c>
      <c r="E58" s="3405"/>
      <c r="F58" s="3477"/>
      <c r="G58" s="3477">
        <v>5</v>
      </c>
      <c r="H58" s="3478">
        <f>70+30*2+20</f>
        <v>150</v>
      </c>
      <c r="I58" s="3487"/>
      <c r="J58" s="1597"/>
      <c r="K58" s="1597"/>
      <c r="L58" s="1597"/>
      <c r="M58" s="1597"/>
      <c r="N58" s="3481"/>
      <c r="O58" s="3488"/>
      <c r="P58" s="3482"/>
      <c r="Q58" s="3482"/>
      <c r="R58" s="3482"/>
      <c r="S58" s="3482"/>
      <c r="T58" s="3482"/>
      <c r="U58" s="5196">
        <v>100</v>
      </c>
      <c r="V58" s="3482"/>
      <c r="W58" s="3482"/>
      <c r="X58" s="3490"/>
      <c r="Y58" s="3488"/>
      <c r="Z58" s="3488">
        <v>150</v>
      </c>
      <c r="AA58" s="3488"/>
      <c r="AB58" s="3488"/>
      <c r="AC58" s="3488"/>
      <c r="AD58" s="3488"/>
      <c r="AE58" s="3488">
        <v>150</v>
      </c>
      <c r="AF58" s="3488"/>
      <c r="AG58" s="3488"/>
      <c r="AH58" s="3490"/>
      <c r="AI58" s="3488"/>
      <c r="AJ58" s="3488">
        <v>150</v>
      </c>
      <c r="AK58" s="3488"/>
      <c r="AL58" s="3488"/>
      <c r="AM58" s="3488"/>
      <c r="AN58" s="3488"/>
      <c r="AO58" s="3488">
        <v>150</v>
      </c>
      <c r="AP58" s="3488"/>
      <c r="AQ58" s="3488"/>
      <c r="AR58" s="3488"/>
      <c r="AS58" s="3488"/>
      <c r="AT58" s="3488">
        <v>150</v>
      </c>
      <c r="AU58" s="3488"/>
      <c r="AV58" s="3488"/>
      <c r="AW58" s="3488"/>
      <c r="AX58" s="3488"/>
      <c r="AY58" s="3488">
        <v>150</v>
      </c>
      <c r="AZ58" s="3488"/>
      <c r="BA58" s="3491"/>
    </row>
    <row r="59" spans="1:16382" ht="15" customHeight="1">
      <c r="A59" s="302"/>
      <c r="B59" s="3474"/>
      <c r="C59" s="3475" t="s">
        <v>4540</v>
      </c>
      <c r="E59" s="3405"/>
      <c r="F59" s="3477"/>
      <c r="G59" s="3477">
        <v>5</v>
      </c>
      <c r="H59" s="3478">
        <v>100</v>
      </c>
      <c r="I59" s="3487"/>
      <c r="J59" s="1597"/>
      <c r="K59" s="1597"/>
      <c r="L59" s="1597"/>
      <c r="M59" s="1597"/>
      <c r="N59" s="3481"/>
      <c r="O59" s="3488"/>
      <c r="P59" s="3488"/>
      <c r="Q59" s="3488"/>
      <c r="S59" s="3488"/>
      <c r="T59" s="3488"/>
      <c r="U59" s="3488"/>
      <c r="V59" s="3488"/>
      <c r="W59" s="3488"/>
      <c r="X59" s="3490"/>
      <c r="Y59" s="3488"/>
      <c r="Z59" s="3488"/>
      <c r="AA59" s="3488"/>
      <c r="AB59" s="3488"/>
      <c r="AC59" s="3488"/>
      <c r="AD59" s="3488"/>
      <c r="AE59" s="3488"/>
      <c r="AF59" s="3488"/>
      <c r="AG59" s="3488"/>
      <c r="AH59" s="3490"/>
      <c r="AI59" s="3488"/>
      <c r="AJ59" s="3488"/>
      <c r="AK59" s="3488"/>
      <c r="AL59" s="3488"/>
      <c r="AM59" s="3488"/>
      <c r="AN59" s="3488"/>
      <c r="AO59" s="3488"/>
      <c r="AP59" s="3488"/>
      <c r="AQ59" s="3488"/>
      <c r="AR59" s="3490"/>
      <c r="AS59" s="3488"/>
      <c r="AT59" s="3488"/>
      <c r="AU59" s="3488"/>
      <c r="AV59" s="3488"/>
      <c r="AW59" s="3488"/>
      <c r="AX59" s="3488"/>
      <c r="AY59" s="3488"/>
      <c r="AZ59" s="3488"/>
      <c r="BA59" s="3491"/>
    </row>
    <row r="60" spans="1:16382" s="3527" customFormat="1" ht="15" customHeight="1">
      <c r="A60" s="302"/>
      <c r="B60" s="3474"/>
      <c r="C60" s="952"/>
      <c r="D60" s="3529"/>
      <c r="E60" s="3518"/>
      <c r="F60" s="3519"/>
      <c r="G60" s="3518"/>
      <c r="H60" s="3530"/>
      <c r="I60" s="3531"/>
      <c r="J60" s="3532"/>
      <c r="K60" s="3532"/>
      <c r="L60" s="3532"/>
      <c r="M60" s="3532"/>
      <c r="N60" s="3533"/>
      <c r="O60" s="3534"/>
      <c r="P60" s="3534"/>
      <c r="Q60" s="3534"/>
      <c r="R60" s="3534"/>
      <c r="S60" s="3535"/>
      <c r="T60" s="3534"/>
      <c r="U60" s="3534"/>
      <c r="V60" s="3534"/>
      <c r="W60" s="3534"/>
      <c r="X60" s="3536"/>
      <c r="Y60" s="3534"/>
      <c r="Z60" s="3534"/>
      <c r="AA60" s="3534"/>
      <c r="AB60" s="3534"/>
      <c r="AC60" s="3534"/>
      <c r="AD60" s="3534"/>
      <c r="AE60" s="3534"/>
      <c r="AF60" s="3534"/>
      <c r="AG60" s="3534"/>
      <c r="AH60" s="3536"/>
      <c r="AI60" s="3534"/>
      <c r="AJ60" s="3534"/>
      <c r="AK60" s="3534"/>
      <c r="AL60" s="3534"/>
      <c r="AM60" s="3534"/>
      <c r="AN60" s="3534"/>
      <c r="AO60" s="3534"/>
      <c r="AP60" s="3534"/>
      <c r="AQ60" s="3534"/>
      <c r="AR60" s="3536"/>
      <c r="AS60" s="3534"/>
      <c r="AT60" s="3534"/>
      <c r="AU60" s="3534"/>
      <c r="AV60" s="3534"/>
      <c r="AW60" s="3534"/>
      <c r="AX60" s="3534"/>
      <c r="AY60" s="3534"/>
      <c r="AZ60" s="3534"/>
      <c r="BA60" s="3537"/>
    </row>
    <row r="61" spans="1:16382" ht="15" customHeight="1">
      <c r="C61" s="837"/>
      <c r="D61" s="3538"/>
      <c r="E61" s="3539"/>
      <c r="F61" s="3539"/>
      <c r="G61" s="3540"/>
      <c r="H61" s="3539"/>
      <c r="I61" s="3539"/>
      <c r="J61" s="3541"/>
      <c r="K61" s="3541"/>
      <c r="L61" s="3541"/>
      <c r="M61" s="3541"/>
      <c r="N61" s="3541"/>
      <c r="O61" s="3539"/>
      <c r="P61" s="3539"/>
      <c r="Q61" s="3539"/>
      <c r="R61" s="3539"/>
      <c r="S61" s="3539"/>
      <c r="T61" s="3539"/>
      <c r="U61" s="3539"/>
      <c r="V61" s="3539"/>
      <c r="W61" s="3539"/>
      <c r="X61" s="3539"/>
      <c r="Y61" s="3539"/>
      <c r="Z61" s="3539"/>
      <c r="AA61" s="3539"/>
      <c r="AB61" s="3539"/>
      <c r="AC61" s="3539"/>
      <c r="AD61" s="3539"/>
      <c r="AE61" s="3539"/>
      <c r="AF61" s="3539"/>
      <c r="AG61" s="3539"/>
      <c r="AH61" s="3539"/>
      <c r="AI61" s="3539"/>
      <c r="AJ61" s="3539"/>
      <c r="AK61" s="3539"/>
      <c r="AL61" s="3539"/>
      <c r="AM61" s="3539"/>
      <c r="AN61" s="3539"/>
      <c r="AO61" s="3539"/>
      <c r="AP61" s="3539"/>
      <c r="AQ61" s="3539"/>
      <c r="AR61" s="3539"/>
      <c r="AS61" s="3539"/>
      <c r="AT61" s="3539"/>
      <c r="AU61" s="3539"/>
      <c r="AV61" s="3539"/>
      <c r="AW61" s="3539"/>
      <c r="AX61" s="3539"/>
      <c r="AY61" s="3539"/>
      <c r="AZ61" s="3539"/>
      <c r="BA61" s="3542"/>
    </row>
    <row r="62" spans="1:16382" s="3462" customFormat="1" ht="15" customHeight="1">
      <c r="A62" s="3434"/>
      <c r="B62" s="3543"/>
      <c r="C62" s="3449" t="s">
        <v>4541</v>
      </c>
      <c r="D62" s="3450"/>
      <c r="E62" s="3451"/>
      <c r="F62" s="3452"/>
      <c r="G62" s="3453"/>
      <c r="H62" s="3544" t="s">
        <v>4542</v>
      </c>
      <c r="I62" s="3455">
        <f ca="1">SUM(M62:BA62)</f>
        <v>4197.4856775968592</v>
      </c>
      <c r="J62" s="3456">
        <f>J64*J7</f>
        <v>0</v>
      </c>
      <c r="K62" s="3456">
        <f>K64*K7</f>
        <v>0</v>
      </c>
      <c r="L62" s="3456">
        <f>L64*L7</f>
        <v>0</v>
      </c>
      <c r="M62" s="3456">
        <f t="shared" ref="M62:BA62" si="16">(M64*M7)-M63</f>
        <v>0</v>
      </c>
      <c r="N62" s="3457">
        <f t="shared" si="16"/>
        <v>0</v>
      </c>
      <c r="O62" s="3458">
        <f t="shared" si="16"/>
        <v>0</v>
      </c>
      <c r="P62" s="3458">
        <f t="shared" ca="1" si="16"/>
        <v>0</v>
      </c>
      <c r="Q62" s="3458">
        <f t="shared" ca="1" si="16"/>
        <v>0</v>
      </c>
      <c r="R62" s="3458">
        <f t="shared" ca="1" si="16"/>
        <v>0</v>
      </c>
      <c r="S62" s="3458">
        <f t="shared" ca="1" si="16"/>
        <v>0</v>
      </c>
      <c r="T62" s="3458">
        <f t="shared" ca="1" si="16"/>
        <v>0</v>
      </c>
      <c r="U62" s="3458">
        <f t="shared" ca="1" si="16"/>
        <v>212.3040301202</v>
      </c>
      <c r="V62" s="3458">
        <f t="shared" ca="1" si="16"/>
        <v>0</v>
      </c>
      <c r="W62" s="3458">
        <f t="shared" ca="1" si="16"/>
        <v>493.78265776640433</v>
      </c>
      <c r="X62" s="3459">
        <f t="shared" ca="1" si="16"/>
        <v>0</v>
      </c>
      <c r="Y62" s="3458">
        <f t="shared" ca="1" si="16"/>
        <v>265.10931009868909</v>
      </c>
      <c r="Z62" s="3458">
        <f t="shared" ca="1" si="16"/>
        <v>0</v>
      </c>
      <c r="AA62" s="3458">
        <f t="shared" ca="1" si="16"/>
        <v>0</v>
      </c>
      <c r="AB62" s="3458">
        <f t="shared" ca="1" si="16"/>
        <v>0</v>
      </c>
      <c r="AC62" s="3458">
        <f t="shared" ca="1" si="16"/>
        <v>344.84226397128714</v>
      </c>
      <c r="AD62" s="3458">
        <f t="shared" ca="1" si="16"/>
        <v>0</v>
      </c>
      <c r="AE62" s="3458">
        <f t="shared" ca="1" si="16"/>
        <v>0</v>
      </c>
      <c r="AF62" s="3458">
        <f t="shared" ca="1" si="16"/>
        <v>284.23306352950453</v>
      </c>
      <c r="AG62" s="3458">
        <f t="shared" ca="1" si="16"/>
        <v>545.44324891311908</v>
      </c>
      <c r="AH62" s="3458">
        <f t="shared" ca="1" si="16"/>
        <v>0</v>
      </c>
      <c r="AI62" s="3458">
        <f t="shared" ca="1" si="16"/>
        <v>0</v>
      </c>
      <c r="AJ62" s="3458">
        <f t="shared" ca="1" si="16"/>
        <v>0</v>
      </c>
      <c r="AK62" s="3458">
        <f t="shared" ca="1" si="16"/>
        <v>0</v>
      </c>
      <c r="AL62" s="3458">
        <f t="shared" ca="1" si="16"/>
        <v>0</v>
      </c>
      <c r="AM62" s="3458">
        <f t="shared" ca="1" si="16"/>
        <v>304.73631564765958</v>
      </c>
      <c r="AN62" s="3458">
        <f t="shared" ca="1" si="16"/>
        <v>0</v>
      </c>
      <c r="AO62" s="3458">
        <f t="shared" ca="1" si="16"/>
        <v>388.57689449022195</v>
      </c>
      <c r="AP62" s="3458">
        <f t="shared" ca="1" si="16"/>
        <v>0</v>
      </c>
      <c r="AQ62" s="3458">
        <f t="shared" ca="1" si="16"/>
        <v>602.50868090560289</v>
      </c>
      <c r="AR62" s="3459">
        <f t="shared" ca="1" si="16"/>
        <v>0</v>
      </c>
      <c r="AS62" s="3458">
        <f t="shared" ca="1" si="16"/>
        <v>0</v>
      </c>
      <c r="AT62" s="3458">
        <f t="shared" ca="1" si="16"/>
        <v>326.71857707669653</v>
      </c>
      <c r="AU62" s="3458">
        <f t="shared" ca="1" si="16"/>
        <v>0</v>
      </c>
      <c r="AV62" s="3458">
        <f t="shared" ca="1" si="16"/>
        <v>0</v>
      </c>
      <c r="AW62" s="3458">
        <f t="shared" ca="1" si="16"/>
        <v>0</v>
      </c>
      <c r="AX62" s="3458">
        <f t="shared" ca="1" si="16"/>
        <v>0</v>
      </c>
      <c r="AY62" s="3458">
        <f t="shared" ca="1" si="16"/>
        <v>429.23063507747435</v>
      </c>
      <c r="AZ62" s="3458">
        <f t="shared" ca="1" si="16"/>
        <v>0</v>
      </c>
      <c r="BA62" s="3460">
        <f t="shared" ca="1" si="16"/>
        <v>0</v>
      </c>
      <c r="BB62" s="3461"/>
      <c r="BC62" s="3461"/>
      <c r="BD62" s="3461"/>
      <c r="BE62" s="3461"/>
      <c r="BF62" s="3461"/>
      <c r="BG62" s="3461"/>
      <c r="BH62" s="3461"/>
      <c r="BI62" s="3461"/>
      <c r="BJ62" s="3461"/>
      <c r="BK62" s="3461"/>
      <c r="BL62" s="3461"/>
      <c r="BM62" s="3461"/>
      <c r="BN62" s="3461"/>
      <c r="BO62" s="3461"/>
      <c r="BP62" s="3461"/>
      <c r="BQ62" s="3461"/>
      <c r="BR62" s="3461"/>
      <c r="BS62" s="3461"/>
      <c r="BT62" s="3461"/>
      <c r="BU62" s="3461"/>
      <c r="BV62" s="3461"/>
      <c r="BW62" s="3461"/>
      <c r="BX62" s="3461"/>
      <c r="BY62" s="3461"/>
      <c r="BZ62" s="3461"/>
      <c r="CA62" s="3461"/>
      <c r="CB62" s="3461"/>
      <c r="CC62" s="3461"/>
      <c r="CD62" s="3461"/>
      <c r="CE62" s="3461"/>
      <c r="CF62" s="3461"/>
      <c r="CG62" s="3461"/>
      <c r="CH62" s="3461"/>
      <c r="CI62" s="3461"/>
      <c r="CJ62" s="3461"/>
      <c r="CK62" s="3461"/>
      <c r="CL62" s="3461"/>
      <c r="CM62" s="3461"/>
      <c r="CN62" s="3461"/>
      <c r="CO62" s="3461"/>
      <c r="CP62" s="3461"/>
      <c r="CQ62" s="3461"/>
      <c r="CR62" s="3461"/>
      <c r="CS62" s="3461"/>
      <c r="CT62" s="3461"/>
      <c r="CU62" s="3461"/>
      <c r="CV62" s="3461"/>
      <c r="CW62" s="3461"/>
      <c r="CX62" s="3461"/>
      <c r="CY62" s="3461"/>
      <c r="CZ62" s="3461"/>
      <c r="DA62" s="3461"/>
      <c r="DB62" s="3461"/>
      <c r="DC62" s="3461"/>
      <c r="DD62" s="3461"/>
      <c r="DE62" s="3461"/>
      <c r="DF62" s="3461"/>
      <c r="DG62" s="3461"/>
      <c r="DH62" s="3461"/>
      <c r="DI62" s="3461"/>
      <c r="DJ62" s="3461"/>
      <c r="DK62" s="3461"/>
      <c r="DL62" s="3461"/>
      <c r="DM62" s="3461"/>
      <c r="DN62" s="3461"/>
      <c r="DO62" s="3461"/>
      <c r="DP62" s="3461"/>
      <c r="DQ62" s="3461"/>
      <c r="DR62" s="3461"/>
      <c r="DS62" s="3461"/>
      <c r="DT62" s="3461"/>
      <c r="DU62" s="3461"/>
      <c r="DV62" s="3461"/>
      <c r="DW62" s="3461"/>
      <c r="DX62" s="3461"/>
      <c r="DY62" s="3461"/>
      <c r="DZ62" s="3461"/>
      <c r="EA62" s="3461"/>
      <c r="EB62" s="3461"/>
      <c r="EC62" s="3461"/>
      <c r="ED62" s="3461"/>
      <c r="EE62" s="3461"/>
      <c r="EF62" s="3461"/>
      <c r="EG62" s="3461"/>
      <c r="EH62" s="3461"/>
      <c r="EI62" s="3461"/>
      <c r="EJ62" s="3461"/>
      <c r="EK62" s="3461"/>
      <c r="EL62" s="3461"/>
      <c r="EM62" s="3461"/>
      <c r="EN62" s="3461"/>
      <c r="EO62" s="3461"/>
      <c r="EP62" s="3461"/>
      <c r="EQ62" s="3461"/>
      <c r="ER62" s="3461"/>
      <c r="ES62" s="3461"/>
      <c r="ET62" s="3461"/>
      <c r="EU62" s="3461"/>
      <c r="EV62" s="3461"/>
      <c r="EW62" s="3461"/>
      <c r="EX62" s="3461"/>
      <c r="EY62" s="3461"/>
      <c r="EZ62" s="3461"/>
      <c r="FA62" s="3461"/>
      <c r="FB62" s="3461"/>
      <c r="FC62" s="3461"/>
      <c r="FD62" s="3461"/>
      <c r="FE62" s="3461"/>
      <c r="FF62" s="3461"/>
      <c r="FG62" s="3461"/>
      <c r="FH62" s="3461"/>
      <c r="FI62" s="3461"/>
      <c r="FJ62" s="3461"/>
      <c r="FK62" s="3461"/>
      <c r="FL62" s="3461"/>
      <c r="FM62" s="3461"/>
      <c r="FN62" s="3461"/>
      <c r="FO62" s="3461"/>
      <c r="FP62" s="3461"/>
      <c r="FQ62" s="3461"/>
      <c r="FR62" s="3461"/>
      <c r="FS62" s="3461"/>
      <c r="FT62" s="3461"/>
      <c r="FU62" s="3461"/>
      <c r="FV62" s="3461"/>
      <c r="FW62" s="3461"/>
      <c r="FX62" s="3461"/>
      <c r="FY62" s="3461"/>
      <c r="FZ62" s="3461"/>
      <c r="GA62" s="3461"/>
      <c r="GB62" s="3461"/>
      <c r="GC62" s="3461"/>
      <c r="GD62" s="3461"/>
      <c r="GE62" s="3461"/>
      <c r="GF62" s="3461"/>
      <c r="GG62" s="3461"/>
      <c r="GH62" s="3461"/>
      <c r="GI62" s="3461"/>
      <c r="GJ62" s="3461"/>
      <c r="GK62" s="3461"/>
      <c r="GL62" s="3461"/>
      <c r="GM62" s="3461"/>
      <c r="GN62" s="3461"/>
      <c r="GO62" s="3461"/>
      <c r="GP62" s="3461"/>
      <c r="GQ62" s="3461"/>
      <c r="GR62" s="3461"/>
      <c r="GS62" s="3461"/>
      <c r="GT62" s="3461"/>
      <c r="GU62" s="3461"/>
      <c r="GV62" s="3461"/>
      <c r="GW62" s="3461"/>
      <c r="GX62" s="3461"/>
      <c r="GY62" s="3461"/>
      <c r="GZ62" s="3461"/>
      <c r="HA62" s="3461"/>
      <c r="HB62" s="3461"/>
      <c r="HC62" s="3461"/>
      <c r="HD62" s="3461"/>
      <c r="HE62" s="3461"/>
      <c r="HF62" s="3461"/>
      <c r="HG62" s="3461"/>
      <c r="HH62" s="3461"/>
      <c r="HI62" s="3461"/>
      <c r="HJ62" s="3461"/>
      <c r="HK62" s="3461"/>
      <c r="HL62" s="3461"/>
      <c r="HM62" s="3461"/>
      <c r="HN62" s="3461"/>
      <c r="HO62" s="3461"/>
      <c r="HP62" s="3461"/>
      <c r="HQ62" s="3461"/>
      <c r="HR62" s="3461"/>
      <c r="HS62" s="3461"/>
      <c r="HT62" s="3461"/>
      <c r="HU62" s="3461"/>
      <c r="HV62" s="3461"/>
      <c r="HW62" s="3461"/>
      <c r="HX62" s="3461"/>
      <c r="HY62" s="3461"/>
      <c r="HZ62" s="3461"/>
      <c r="IA62" s="3461"/>
      <c r="IB62" s="3461"/>
      <c r="IC62" s="3461"/>
      <c r="ID62" s="3461"/>
      <c r="IE62" s="3461"/>
      <c r="IF62" s="3461"/>
      <c r="IG62" s="3461"/>
      <c r="IH62" s="3461"/>
      <c r="II62" s="3461"/>
      <c r="IJ62" s="3461"/>
      <c r="IK62" s="3461"/>
      <c r="IL62" s="3461"/>
      <c r="IM62" s="3461"/>
      <c r="IN62" s="3461"/>
      <c r="IO62" s="3461"/>
      <c r="IP62" s="3461"/>
      <c r="IQ62" s="3461"/>
      <c r="IR62" s="3461"/>
      <c r="IS62" s="3461"/>
      <c r="IT62" s="3461"/>
      <c r="IU62" s="3461"/>
      <c r="IV62" s="3461"/>
      <c r="IW62" s="3461"/>
      <c r="IX62" s="3461"/>
      <c r="IY62" s="3461"/>
      <c r="IZ62" s="3461"/>
      <c r="JA62" s="3461"/>
      <c r="JB62" s="3461"/>
      <c r="JC62" s="3461"/>
      <c r="JD62" s="3461"/>
      <c r="JE62" s="3461"/>
      <c r="JF62" s="3461"/>
      <c r="JG62" s="3461"/>
      <c r="JH62" s="3461"/>
      <c r="JI62" s="3461"/>
      <c r="JJ62" s="3461"/>
      <c r="JK62" s="3461"/>
      <c r="JL62" s="3461"/>
      <c r="JM62" s="3461"/>
      <c r="JN62" s="3461"/>
      <c r="JO62" s="3461"/>
      <c r="JP62" s="3461"/>
      <c r="JQ62" s="3461"/>
      <c r="JR62" s="3461"/>
      <c r="JS62" s="3461"/>
      <c r="JT62" s="3461"/>
      <c r="JU62" s="3461"/>
      <c r="JV62" s="3461"/>
      <c r="JW62" s="3461"/>
      <c r="JX62" s="3461"/>
      <c r="JY62" s="3461"/>
      <c r="JZ62" s="3461"/>
      <c r="KA62" s="3461"/>
      <c r="KB62" s="3461"/>
      <c r="KC62" s="3461"/>
      <c r="KD62" s="3461"/>
      <c r="KE62" s="3461"/>
      <c r="KF62" s="3461"/>
      <c r="KG62" s="3461"/>
      <c r="KH62" s="3461"/>
      <c r="KI62" s="3461"/>
      <c r="KJ62" s="3461"/>
      <c r="KK62" s="3461"/>
      <c r="KL62" s="3461"/>
      <c r="KM62" s="3461"/>
      <c r="KN62" s="3461"/>
      <c r="KO62" s="3461"/>
      <c r="KP62" s="3461"/>
      <c r="KQ62" s="3461"/>
      <c r="KR62" s="3461"/>
      <c r="KS62" s="3461"/>
      <c r="KT62" s="3461"/>
      <c r="KU62" s="3461"/>
      <c r="KV62" s="3461"/>
      <c r="KW62" s="3461"/>
      <c r="KX62" s="3461"/>
      <c r="KY62" s="3461"/>
      <c r="KZ62" s="3461"/>
      <c r="LA62" s="3461"/>
      <c r="LB62" s="3461"/>
      <c r="LC62" s="3461"/>
      <c r="LD62" s="3461"/>
      <c r="LE62" s="3461"/>
      <c r="LF62" s="3461"/>
      <c r="LG62" s="3461"/>
      <c r="LH62" s="3461"/>
      <c r="LI62" s="3461"/>
      <c r="LJ62" s="3461"/>
      <c r="LK62" s="3461"/>
      <c r="LL62" s="3461"/>
      <c r="LM62" s="3461"/>
      <c r="LN62" s="3461"/>
      <c r="LO62" s="3461"/>
      <c r="LP62" s="3461"/>
      <c r="LQ62" s="3461"/>
      <c r="LR62" s="3461"/>
      <c r="LS62" s="3461"/>
      <c r="LT62" s="3461"/>
      <c r="LU62" s="3461"/>
      <c r="LV62" s="3461"/>
      <c r="LW62" s="3461"/>
      <c r="LX62" s="3461"/>
      <c r="LY62" s="3461"/>
      <c r="LZ62" s="3461"/>
      <c r="MA62" s="3461"/>
      <c r="MB62" s="3461"/>
      <c r="MC62" s="3461"/>
      <c r="MD62" s="3461"/>
      <c r="ME62" s="3461"/>
      <c r="MF62" s="3461"/>
      <c r="MG62" s="3461"/>
      <c r="MH62" s="3461"/>
      <c r="MI62" s="3461"/>
      <c r="MJ62" s="3461"/>
      <c r="MK62" s="3461"/>
      <c r="ML62" s="3461"/>
      <c r="MM62" s="3461"/>
      <c r="MN62" s="3461"/>
      <c r="MO62" s="3461"/>
      <c r="MP62" s="3461"/>
      <c r="MQ62" s="3461"/>
      <c r="MR62" s="3461"/>
      <c r="MS62" s="3461"/>
      <c r="MT62" s="3461"/>
      <c r="MU62" s="3461"/>
      <c r="MV62" s="3461"/>
      <c r="MW62" s="3461"/>
      <c r="MX62" s="3461"/>
      <c r="MY62" s="3461"/>
      <c r="MZ62" s="3461"/>
      <c r="NA62" s="3461"/>
      <c r="NB62" s="3461"/>
      <c r="NC62" s="3461"/>
      <c r="ND62" s="3461"/>
      <c r="NE62" s="3461"/>
      <c r="NF62" s="3461"/>
      <c r="NG62" s="3461"/>
      <c r="NH62" s="3461"/>
      <c r="NI62" s="3461"/>
      <c r="NJ62" s="3461"/>
      <c r="NK62" s="3461"/>
      <c r="NL62" s="3461"/>
      <c r="NM62" s="3461"/>
      <c r="NN62" s="3461"/>
      <c r="NO62" s="3461"/>
      <c r="NP62" s="3461"/>
      <c r="NQ62" s="3461"/>
      <c r="NR62" s="3461"/>
      <c r="NS62" s="3461"/>
      <c r="NT62" s="3461"/>
      <c r="NU62" s="3461"/>
      <c r="NV62" s="3461"/>
      <c r="NW62" s="3461"/>
      <c r="NX62" s="3461"/>
      <c r="NY62" s="3461"/>
      <c r="NZ62" s="3461"/>
      <c r="OA62" s="3461"/>
      <c r="OB62" s="3461"/>
      <c r="OC62" s="3461"/>
      <c r="OD62" s="3461"/>
      <c r="OE62" s="3461"/>
      <c r="OF62" s="3461"/>
      <c r="OG62" s="3461"/>
      <c r="OH62" s="3461"/>
      <c r="OI62" s="3461"/>
      <c r="OJ62" s="3461"/>
      <c r="OK62" s="3461"/>
      <c r="OL62" s="3461"/>
      <c r="OM62" s="3461"/>
      <c r="ON62" s="3461"/>
      <c r="OO62" s="3461"/>
      <c r="OP62" s="3461"/>
      <c r="OQ62" s="3461"/>
      <c r="OR62" s="3461"/>
      <c r="OS62" s="3461"/>
      <c r="OT62" s="3461"/>
      <c r="OU62" s="3461"/>
      <c r="OV62" s="3461"/>
      <c r="OW62" s="3461"/>
      <c r="OX62" s="3461"/>
      <c r="OY62" s="3461"/>
      <c r="OZ62" s="3461"/>
      <c r="PA62" s="3461"/>
      <c r="PB62" s="3461"/>
      <c r="PC62" s="3461"/>
      <c r="PD62" s="3461"/>
      <c r="PE62" s="3461"/>
      <c r="PF62" s="3461"/>
      <c r="PG62" s="3461"/>
      <c r="PH62" s="3461"/>
      <c r="PI62" s="3461"/>
      <c r="PJ62" s="3461"/>
      <c r="PK62" s="3461"/>
      <c r="PL62" s="3461"/>
      <c r="PM62" s="3461"/>
      <c r="PN62" s="3461"/>
      <c r="PO62" s="3461"/>
      <c r="PP62" s="3461"/>
      <c r="PQ62" s="3461"/>
      <c r="PR62" s="3461"/>
      <c r="PS62" s="3461"/>
      <c r="PT62" s="3461"/>
      <c r="PU62" s="3461"/>
      <c r="PV62" s="3461"/>
      <c r="PW62" s="3461"/>
      <c r="PX62" s="3461"/>
      <c r="PY62" s="3461"/>
      <c r="PZ62" s="3461"/>
      <c r="QA62" s="3461"/>
      <c r="QB62" s="3461"/>
      <c r="QC62" s="3461"/>
      <c r="QD62" s="3461"/>
      <c r="QE62" s="3461"/>
      <c r="QF62" s="3461"/>
      <c r="QG62" s="3461"/>
      <c r="QH62" s="3461"/>
      <c r="QI62" s="3461"/>
      <c r="QJ62" s="3461"/>
      <c r="QK62" s="3461"/>
      <c r="QL62" s="3461"/>
      <c r="QM62" s="3461"/>
      <c r="QN62" s="3461"/>
      <c r="QO62" s="3461"/>
      <c r="QP62" s="3461"/>
      <c r="QQ62" s="3461"/>
      <c r="QR62" s="3461"/>
      <c r="QS62" s="3461"/>
      <c r="QT62" s="3461"/>
      <c r="QU62" s="3461"/>
      <c r="QV62" s="3461"/>
      <c r="QW62" s="3461"/>
      <c r="QX62" s="3461"/>
      <c r="QY62" s="3461"/>
      <c r="QZ62" s="3461"/>
      <c r="RA62" s="3461"/>
      <c r="RB62" s="3461"/>
      <c r="RC62" s="3461"/>
      <c r="RD62" s="3461"/>
      <c r="RE62" s="3461"/>
      <c r="RF62" s="3461"/>
      <c r="RG62" s="3461"/>
      <c r="RH62" s="3461"/>
      <c r="RI62" s="3461"/>
      <c r="RJ62" s="3461"/>
      <c r="RK62" s="3461"/>
      <c r="RL62" s="3461"/>
      <c r="RM62" s="3461"/>
      <c r="RN62" s="3461"/>
      <c r="RO62" s="3461"/>
      <c r="RP62" s="3461"/>
      <c r="RQ62" s="3461"/>
      <c r="RR62" s="3461"/>
      <c r="RS62" s="3461"/>
      <c r="RT62" s="3461"/>
      <c r="RU62" s="3461"/>
      <c r="RV62" s="3461"/>
      <c r="RW62" s="3461"/>
      <c r="RX62" s="3461"/>
      <c r="RY62" s="3461"/>
      <c r="RZ62" s="3461"/>
      <c r="SA62" s="3461"/>
      <c r="SB62" s="3461"/>
      <c r="SC62" s="3461"/>
      <c r="SD62" s="3461"/>
      <c r="SE62" s="3461"/>
      <c r="SF62" s="3461"/>
      <c r="SG62" s="3461"/>
      <c r="SH62" s="3461"/>
      <c r="SI62" s="3461"/>
      <c r="SJ62" s="3461"/>
      <c r="SK62" s="3461"/>
      <c r="SL62" s="3461"/>
      <c r="SM62" s="3461"/>
      <c r="SN62" s="3461"/>
      <c r="SO62" s="3461"/>
      <c r="SP62" s="3461"/>
      <c r="SQ62" s="3461"/>
      <c r="SR62" s="3461"/>
      <c r="SS62" s="3461"/>
      <c r="ST62" s="3461"/>
      <c r="SU62" s="3461"/>
      <c r="SV62" s="3461"/>
      <c r="SW62" s="3461"/>
      <c r="SX62" s="3461"/>
      <c r="SY62" s="3461"/>
      <c r="SZ62" s="3461"/>
      <c r="TA62" s="3461"/>
      <c r="TB62" s="3461"/>
      <c r="TC62" s="3461"/>
      <c r="TD62" s="3461"/>
      <c r="TE62" s="3461"/>
      <c r="TF62" s="3461"/>
      <c r="TG62" s="3461"/>
      <c r="TH62" s="3461"/>
      <c r="TI62" s="3461"/>
      <c r="TJ62" s="3461"/>
      <c r="TK62" s="3461"/>
      <c r="TL62" s="3461"/>
      <c r="TM62" s="3461"/>
      <c r="TN62" s="3461"/>
      <c r="TO62" s="3461"/>
      <c r="TP62" s="3461"/>
      <c r="TQ62" s="3461"/>
      <c r="TR62" s="3461"/>
      <c r="TS62" s="3461"/>
      <c r="TT62" s="3461"/>
      <c r="TU62" s="3461"/>
      <c r="TV62" s="3461"/>
      <c r="TW62" s="3461"/>
      <c r="TX62" s="3461"/>
      <c r="TY62" s="3461"/>
      <c r="TZ62" s="3461"/>
      <c r="UA62" s="3461"/>
      <c r="UB62" s="3461"/>
      <c r="UC62" s="3461"/>
      <c r="UD62" s="3461"/>
      <c r="UE62" s="3461"/>
      <c r="UF62" s="3461"/>
      <c r="UG62" s="3461"/>
      <c r="UH62" s="3461"/>
      <c r="UI62" s="3461"/>
      <c r="UJ62" s="3461"/>
      <c r="UK62" s="3461"/>
      <c r="UL62" s="3461"/>
      <c r="UM62" s="3461"/>
      <c r="UN62" s="3461"/>
      <c r="UO62" s="3461"/>
      <c r="UP62" s="3461"/>
      <c r="UQ62" s="3461"/>
      <c r="UR62" s="3461"/>
      <c r="US62" s="3461"/>
      <c r="UT62" s="3461"/>
      <c r="UU62" s="3461"/>
      <c r="UV62" s="3461"/>
      <c r="UW62" s="3461"/>
      <c r="UX62" s="3461"/>
      <c r="UY62" s="3461"/>
      <c r="UZ62" s="3461"/>
      <c r="VA62" s="3461"/>
      <c r="VB62" s="3461"/>
      <c r="VC62" s="3461"/>
      <c r="VD62" s="3461"/>
      <c r="VE62" s="3461"/>
      <c r="VF62" s="3461"/>
      <c r="VG62" s="3461"/>
      <c r="VH62" s="3461"/>
      <c r="VI62" s="3461"/>
      <c r="VJ62" s="3461"/>
      <c r="VK62" s="3461"/>
      <c r="VL62" s="3461"/>
      <c r="VM62" s="3461"/>
      <c r="VN62" s="3461"/>
      <c r="VO62" s="3461"/>
      <c r="VP62" s="3461"/>
      <c r="VQ62" s="3461"/>
      <c r="VR62" s="3461"/>
      <c r="VS62" s="3461"/>
      <c r="VT62" s="3461"/>
      <c r="VU62" s="3461"/>
      <c r="VV62" s="3461"/>
      <c r="VW62" s="3461"/>
      <c r="VX62" s="3461"/>
      <c r="VY62" s="3461"/>
      <c r="VZ62" s="3461"/>
      <c r="WA62" s="3461"/>
      <c r="WB62" s="3461"/>
      <c r="WC62" s="3461"/>
      <c r="WD62" s="3461"/>
      <c r="WE62" s="3461"/>
      <c r="WF62" s="3461"/>
      <c r="WG62" s="3461"/>
      <c r="WH62" s="3461"/>
      <c r="WI62" s="3461"/>
      <c r="WJ62" s="3461"/>
      <c r="WK62" s="3461"/>
      <c r="WL62" s="3461"/>
      <c r="WM62" s="3461"/>
      <c r="WN62" s="3461"/>
      <c r="WO62" s="3461"/>
      <c r="WP62" s="3461"/>
      <c r="WQ62" s="3461"/>
      <c r="WR62" s="3461"/>
      <c r="WS62" s="3461"/>
      <c r="WT62" s="3461"/>
      <c r="WU62" s="3461"/>
      <c r="WV62" s="3461"/>
      <c r="WW62" s="3461"/>
      <c r="WX62" s="3461"/>
      <c r="WY62" s="3461"/>
      <c r="WZ62" s="3461"/>
      <c r="XA62" s="3461"/>
      <c r="XB62" s="3461"/>
      <c r="XC62" s="3461"/>
      <c r="XD62" s="3461"/>
      <c r="XE62" s="3461"/>
      <c r="XF62" s="3461"/>
      <c r="XG62" s="3461"/>
      <c r="XH62" s="3461"/>
      <c r="XI62" s="3461"/>
      <c r="XJ62" s="3461"/>
      <c r="XK62" s="3461"/>
      <c r="XL62" s="3461"/>
      <c r="XM62" s="3461"/>
      <c r="XN62" s="3461"/>
      <c r="XO62" s="3461"/>
      <c r="XP62" s="3461"/>
      <c r="XQ62" s="3461"/>
      <c r="XR62" s="3461"/>
      <c r="XS62" s="3461"/>
      <c r="XT62" s="3461"/>
      <c r="XU62" s="3461"/>
      <c r="XV62" s="3461"/>
      <c r="XW62" s="3461"/>
      <c r="XX62" s="3461"/>
      <c r="XY62" s="3461"/>
      <c r="XZ62" s="3461"/>
      <c r="YA62" s="3461"/>
      <c r="YB62" s="3461"/>
      <c r="YC62" s="3461"/>
      <c r="YD62" s="3461"/>
      <c r="YE62" s="3461"/>
      <c r="YF62" s="3461"/>
      <c r="YG62" s="3461"/>
      <c r="YH62" s="3461"/>
      <c r="YI62" s="3461"/>
      <c r="YJ62" s="3461"/>
      <c r="YK62" s="3461"/>
      <c r="YL62" s="3461"/>
      <c r="YM62" s="3461"/>
      <c r="YN62" s="3461"/>
      <c r="YO62" s="3461"/>
      <c r="YP62" s="3461"/>
      <c r="YQ62" s="3461"/>
      <c r="YR62" s="3461"/>
      <c r="YS62" s="3461"/>
      <c r="YT62" s="3461"/>
      <c r="YU62" s="3461"/>
      <c r="YV62" s="3461"/>
      <c r="YW62" s="3461"/>
      <c r="YX62" s="3461"/>
      <c r="YY62" s="3461"/>
      <c r="YZ62" s="3461"/>
      <c r="ZA62" s="3461"/>
      <c r="ZB62" s="3461"/>
      <c r="ZC62" s="3461"/>
      <c r="ZD62" s="3461"/>
      <c r="ZE62" s="3461"/>
      <c r="ZF62" s="3461"/>
      <c r="ZG62" s="3461"/>
      <c r="ZH62" s="3461"/>
      <c r="ZI62" s="3461"/>
      <c r="ZJ62" s="3461"/>
      <c r="ZK62" s="3461"/>
      <c r="ZL62" s="3461"/>
      <c r="ZM62" s="3461"/>
      <c r="ZN62" s="3461"/>
      <c r="ZO62" s="3461"/>
      <c r="ZP62" s="3461"/>
      <c r="ZQ62" s="3461"/>
      <c r="ZR62" s="3461"/>
      <c r="ZS62" s="3461"/>
      <c r="ZT62" s="3461"/>
      <c r="ZU62" s="3461"/>
      <c r="ZV62" s="3461"/>
      <c r="ZW62" s="3461"/>
      <c r="ZX62" s="3461"/>
      <c r="ZY62" s="3461"/>
      <c r="ZZ62" s="3461"/>
      <c r="AAA62" s="3461"/>
      <c r="AAB62" s="3461"/>
      <c r="AAC62" s="3461"/>
      <c r="AAD62" s="3461"/>
      <c r="AAE62" s="3461"/>
      <c r="AAF62" s="3461"/>
      <c r="AAG62" s="3461"/>
      <c r="AAH62" s="3461"/>
      <c r="AAI62" s="3461"/>
      <c r="AAJ62" s="3461"/>
      <c r="AAK62" s="3461"/>
      <c r="AAL62" s="3461"/>
      <c r="AAM62" s="3461"/>
      <c r="AAN62" s="3461"/>
      <c r="AAO62" s="3461"/>
      <c r="AAP62" s="3461"/>
      <c r="AAQ62" s="3461"/>
      <c r="AAR62" s="3461"/>
      <c r="AAS62" s="3461"/>
      <c r="AAT62" s="3461"/>
      <c r="AAU62" s="3461"/>
      <c r="AAV62" s="3461"/>
      <c r="AAW62" s="3461"/>
      <c r="AAX62" s="3461"/>
      <c r="AAY62" s="3461"/>
      <c r="AAZ62" s="3461"/>
      <c r="ABA62" s="3461"/>
      <c r="ABB62" s="3461"/>
      <c r="ABC62" s="3461"/>
      <c r="ABD62" s="3461"/>
      <c r="ABE62" s="3461"/>
      <c r="ABF62" s="3461"/>
      <c r="ABG62" s="3461"/>
      <c r="ABH62" s="3461"/>
      <c r="ABI62" s="3461"/>
      <c r="ABJ62" s="3461"/>
      <c r="ABK62" s="3461"/>
      <c r="ABL62" s="3461"/>
      <c r="ABM62" s="3461"/>
      <c r="ABN62" s="3461"/>
      <c r="ABO62" s="3461"/>
      <c r="ABP62" s="3461"/>
      <c r="ABQ62" s="3461"/>
      <c r="ABR62" s="3461"/>
      <c r="ABS62" s="3461"/>
      <c r="ABT62" s="3461"/>
      <c r="ABU62" s="3461"/>
      <c r="ABV62" s="3461"/>
      <c r="ABW62" s="3461"/>
      <c r="ABX62" s="3461"/>
      <c r="ABY62" s="3461"/>
      <c r="ABZ62" s="3461"/>
      <c r="ACA62" s="3461"/>
      <c r="ACB62" s="3461"/>
      <c r="ACC62" s="3461"/>
      <c r="ACD62" s="3461"/>
      <c r="ACE62" s="3461"/>
      <c r="ACF62" s="3461"/>
      <c r="ACG62" s="3461"/>
      <c r="ACH62" s="3461"/>
      <c r="ACI62" s="3461"/>
      <c r="ACJ62" s="3461"/>
      <c r="ACK62" s="3461"/>
      <c r="ACL62" s="3461"/>
      <c r="ACM62" s="3461"/>
      <c r="ACN62" s="3461"/>
      <c r="ACO62" s="3461"/>
      <c r="ACP62" s="3461"/>
      <c r="ACQ62" s="3461"/>
      <c r="ACR62" s="3461"/>
      <c r="ACS62" s="3461"/>
      <c r="ACT62" s="3461"/>
      <c r="ACU62" s="3461"/>
      <c r="ACV62" s="3461"/>
      <c r="ACW62" s="3461"/>
      <c r="ACX62" s="3461"/>
      <c r="ACY62" s="3461"/>
      <c r="ACZ62" s="3461"/>
      <c r="ADA62" s="3461"/>
      <c r="ADB62" s="3461"/>
      <c r="ADC62" s="3461"/>
      <c r="ADD62" s="3461"/>
      <c r="ADE62" s="3461"/>
      <c r="ADF62" s="3461"/>
      <c r="ADG62" s="3461"/>
      <c r="ADH62" s="3461"/>
      <c r="ADI62" s="3461"/>
      <c r="ADJ62" s="3461"/>
      <c r="ADK62" s="3461"/>
      <c r="ADL62" s="3461"/>
      <c r="ADM62" s="3461"/>
      <c r="ADN62" s="3461"/>
      <c r="ADO62" s="3461"/>
      <c r="ADP62" s="3461"/>
      <c r="ADQ62" s="3461"/>
      <c r="ADR62" s="3461"/>
      <c r="ADS62" s="3461"/>
      <c r="ADT62" s="3461"/>
      <c r="ADU62" s="3461"/>
      <c r="ADV62" s="3461"/>
      <c r="ADW62" s="3461"/>
      <c r="ADX62" s="3461"/>
      <c r="ADY62" s="3461"/>
      <c r="ADZ62" s="3461"/>
      <c r="AEA62" s="3461"/>
      <c r="AEB62" s="3461"/>
      <c r="AEC62" s="3461"/>
      <c r="AED62" s="3461"/>
      <c r="AEE62" s="3461"/>
      <c r="AEF62" s="3461"/>
      <c r="AEG62" s="3461"/>
      <c r="AEH62" s="3461"/>
      <c r="AEI62" s="3461"/>
      <c r="AEJ62" s="3461"/>
      <c r="AEK62" s="3461"/>
      <c r="AEL62" s="3461"/>
      <c r="AEM62" s="3461"/>
      <c r="AEN62" s="3461"/>
      <c r="AEO62" s="3461"/>
      <c r="AEP62" s="3461"/>
      <c r="AEQ62" s="3461"/>
      <c r="AER62" s="3461"/>
      <c r="AES62" s="3461"/>
      <c r="AET62" s="3461"/>
      <c r="AEU62" s="3461"/>
      <c r="AEV62" s="3461"/>
      <c r="AEW62" s="3461"/>
      <c r="AEX62" s="3461"/>
      <c r="AEY62" s="3461"/>
      <c r="AEZ62" s="3461"/>
      <c r="AFA62" s="3461"/>
      <c r="AFB62" s="3461"/>
      <c r="AFC62" s="3461"/>
      <c r="AFD62" s="3461"/>
      <c r="AFE62" s="3461"/>
      <c r="AFF62" s="3461"/>
      <c r="AFG62" s="3461"/>
      <c r="AFH62" s="3461"/>
      <c r="AFI62" s="3461"/>
      <c r="AFJ62" s="3461"/>
      <c r="AFK62" s="3461"/>
      <c r="AFL62" s="3461"/>
      <c r="AFM62" s="3461"/>
      <c r="AFN62" s="3461"/>
      <c r="AFO62" s="3461"/>
      <c r="AFP62" s="3461"/>
      <c r="AFQ62" s="3461"/>
      <c r="AFR62" s="3461"/>
      <c r="AFS62" s="3461"/>
      <c r="AFT62" s="3461"/>
      <c r="AFU62" s="3461"/>
      <c r="AFV62" s="3461"/>
      <c r="AFW62" s="3461"/>
      <c r="AFX62" s="3461"/>
      <c r="AFY62" s="3461"/>
      <c r="AFZ62" s="3461"/>
      <c r="AGA62" s="3461"/>
      <c r="AGB62" s="3461"/>
      <c r="AGC62" s="3461"/>
      <c r="AGD62" s="3461"/>
      <c r="AGE62" s="3461"/>
      <c r="AGF62" s="3461"/>
      <c r="AGG62" s="3461"/>
      <c r="AGH62" s="3461"/>
      <c r="AGI62" s="3461"/>
      <c r="AGJ62" s="3461"/>
      <c r="AGK62" s="3461"/>
      <c r="AGL62" s="3461"/>
      <c r="AGM62" s="3461"/>
      <c r="AGN62" s="3461"/>
      <c r="AGO62" s="3461"/>
      <c r="AGP62" s="3461"/>
      <c r="AGQ62" s="3461"/>
      <c r="AGR62" s="3461"/>
      <c r="AGS62" s="3461"/>
      <c r="AGT62" s="3461"/>
      <c r="AGU62" s="3461"/>
      <c r="AGV62" s="3461"/>
      <c r="AGW62" s="3461"/>
      <c r="AGX62" s="3461"/>
      <c r="AGY62" s="3461"/>
      <c r="AGZ62" s="3461"/>
      <c r="AHA62" s="3461"/>
      <c r="AHB62" s="3461"/>
      <c r="AHC62" s="3461"/>
      <c r="AHD62" s="3461"/>
      <c r="AHE62" s="3461"/>
      <c r="AHF62" s="3461"/>
      <c r="AHG62" s="3461"/>
      <c r="AHH62" s="3461"/>
      <c r="AHI62" s="3461"/>
      <c r="AHJ62" s="3461"/>
      <c r="AHK62" s="3461"/>
      <c r="AHL62" s="3461"/>
      <c r="AHM62" s="3461"/>
      <c r="AHN62" s="3461"/>
      <c r="AHO62" s="3461"/>
      <c r="AHP62" s="3461"/>
      <c r="AHQ62" s="3461"/>
      <c r="AHR62" s="3461"/>
      <c r="AHS62" s="3461"/>
      <c r="AHT62" s="3461"/>
      <c r="AHU62" s="3461"/>
      <c r="AHV62" s="3461"/>
      <c r="AHW62" s="3461"/>
      <c r="AHX62" s="3461"/>
      <c r="AHY62" s="3461"/>
      <c r="AHZ62" s="3461"/>
      <c r="AIA62" s="3461"/>
      <c r="AIB62" s="3461"/>
      <c r="AIC62" s="3461"/>
      <c r="AID62" s="3461"/>
      <c r="AIE62" s="3461"/>
      <c r="AIF62" s="3461"/>
      <c r="AIG62" s="3461"/>
      <c r="AIH62" s="3461"/>
      <c r="AII62" s="3461"/>
      <c r="AIJ62" s="3461"/>
      <c r="AIK62" s="3461"/>
      <c r="AIL62" s="3461"/>
      <c r="AIM62" s="3461"/>
      <c r="AIN62" s="3461"/>
      <c r="AIO62" s="3461"/>
      <c r="AIP62" s="3461"/>
      <c r="AIQ62" s="3461"/>
      <c r="AIR62" s="3461"/>
      <c r="AIS62" s="3461"/>
      <c r="AIT62" s="3461"/>
      <c r="AIU62" s="3461"/>
      <c r="AIV62" s="3461"/>
      <c r="AIW62" s="3461"/>
      <c r="AIX62" s="3461"/>
      <c r="AIY62" s="3461"/>
      <c r="AIZ62" s="3461"/>
      <c r="AJA62" s="3461"/>
      <c r="AJB62" s="3461"/>
      <c r="AJC62" s="3461"/>
      <c r="AJD62" s="3461"/>
      <c r="AJE62" s="3461"/>
      <c r="AJF62" s="3461"/>
      <c r="AJG62" s="3461"/>
      <c r="AJH62" s="3461"/>
      <c r="AJI62" s="3461"/>
      <c r="AJJ62" s="3461"/>
      <c r="AJK62" s="3461"/>
      <c r="AJL62" s="3461"/>
      <c r="AJM62" s="3461"/>
      <c r="AJN62" s="3461"/>
      <c r="AJO62" s="3461"/>
      <c r="AJP62" s="3461"/>
      <c r="AJQ62" s="3461"/>
      <c r="AJR62" s="3461"/>
      <c r="AJS62" s="3461"/>
      <c r="AJT62" s="3461"/>
      <c r="AJU62" s="3461"/>
      <c r="AJV62" s="3461"/>
      <c r="AJW62" s="3461"/>
      <c r="AJX62" s="3461"/>
      <c r="AJY62" s="3461"/>
      <c r="AJZ62" s="3461"/>
      <c r="AKA62" s="3461"/>
      <c r="AKB62" s="3461"/>
      <c r="AKC62" s="3461"/>
      <c r="AKD62" s="3461"/>
      <c r="AKE62" s="3461"/>
      <c r="AKF62" s="3461"/>
      <c r="AKG62" s="3461"/>
      <c r="AKH62" s="3461"/>
      <c r="AKI62" s="3461"/>
      <c r="AKJ62" s="3461"/>
      <c r="AKK62" s="3461"/>
      <c r="AKL62" s="3461"/>
      <c r="AKM62" s="3461"/>
      <c r="AKN62" s="3461"/>
      <c r="AKO62" s="3461"/>
      <c r="AKP62" s="3461"/>
      <c r="AKQ62" s="3461"/>
      <c r="AKR62" s="3461"/>
      <c r="AKS62" s="3461"/>
      <c r="AKT62" s="3461"/>
      <c r="AKU62" s="3461"/>
      <c r="AKV62" s="3461"/>
      <c r="AKW62" s="3461"/>
      <c r="AKX62" s="3461"/>
      <c r="AKY62" s="3461"/>
      <c r="AKZ62" s="3461"/>
      <c r="ALA62" s="3461"/>
      <c r="ALB62" s="3461"/>
      <c r="ALC62" s="3461"/>
      <c r="ALD62" s="3461"/>
      <c r="ALE62" s="3461"/>
      <c r="ALF62" s="3461"/>
      <c r="ALG62" s="3461"/>
      <c r="ALH62" s="3461"/>
      <c r="ALI62" s="3461"/>
      <c r="ALJ62" s="3461"/>
      <c r="ALK62" s="3461"/>
      <c r="ALL62" s="3461"/>
      <c r="ALM62" s="3461"/>
      <c r="ALN62" s="3461"/>
      <c r="ALO62" s="3461"/>
      <c r="ALP62" s="3461"/>
      <c r="ALQ62" s="3461"/>
      <c r="ALR62" s="3461"/>
      <c r="ALS62" s="3461"/>
      <c r="ALT62" s="3461"/>
      <c r="ALU62" s="3461"/>
      <c r="ALV62" s="3461"/>
      <c r="ALW62" s="3461"/>
      <c r="ALX62" s="3461"/>
      <c r="ALY62" s="3461"/>
      <c r="ALZ62" s="3461"/>
      <c r="AMA62" s="3461"/>
      <c r="AMB62" s="3461"/>
      <c r="AMC62" s="3461"/>
      <c r="AMD62" s="3461"/>
      <c r="AME62" s="3461"/>
      <c r="AMF62" s="3461"/>
      <c r="AMG62" s="3461"/>
      <c r="AMH62" s="3461"/>
      <c r="AMI62" s="3461"/>
      <c r="AMJ62" s="3461"/>
      <c r="AMK62" s="3461"/>
      <c r="AML62" s="3461"/>
      <c r="AMM62" s="3461"/>
      <c r="AMN62" s="3461"/>
      <c r="AMO62" s="3461"/>
      <c r="AMP62" s="3461"/>
      <c r="AMQ62" s="3461"/>
      <c r="AMR62" s="3461"/>
      <c r="AMS62" s="3461"/>
      <c r="AMT62" s="3461"/>
      <c r="AMU62" s="3461"/>
      <c r="AMV62" s="3461"/>
      <c r="AMW62" s="3461"/>
      <c r="AMX62" s="3461"/>
      <c r="AMY62" s="3461"/>
      <c r="AMZ62" s="3461"/>
      <c r="ANA62" s="3461"/>
      <c r="ANB62" s="3461"/>
      <c r="ANC62" s="3461"/>
      <c r="AND62" s="3461"/>
      <c r="ANE62" s="3461"/>
      <c r="ANF62" s="3461"/>
      <c r="ANG62" s="3461"/>
      <c r="ANH62" s="3461"/>
      <c r="ANI62" s="3461"/>
      <c r="ANJ62" s="3461"/>
      <c r="ANK62" s="3461"/>
      <c r="ANL62" s="3461"/>
      <c r="ANM62" s="3461"/>
      <c r="ANN62" s="3461"/>
      <c r="ANO62" s="3461"/>
      <c r="ANP62" s="3461"/>
      <c r="ANQ62" s="3461"/>
      <c r="ANR62" s="3461"/>
      <c r="ANS62" s="3461"/>
      <c r="ANT62" s="3461"/>
      <c r="ANU62" s="3461"/>
      <c r="ANV62" s="3461"/>
      <c r="ANW62" s="3461"/>
      <c r="ANX62" s="3461"/>
      <c r="ANY62" s="3461"/>
      <c r="ANZ62" s="3461"/>
      <c r="AOA62" s="3461"/>
      <c r="AOB62" s="3461"/>
      <c r="AOC62" s="3461"/>
      <c r="AOD62" s="3461"/>
      <c r="AOE62" s="3461"/>
      <c r="AOF62" s="3461"/>
      <c r="AOG62" s="3461"/>
      <c r="AOH62" s="3461"/>
      <c r="AOI62" s="3461"/>
      <c r="AOJ62" s="3461"/>
      <c r="AOK62" s="3461"/>
      <c r="AOL62" s="3461"/>
      <c r="AOM62" s="3461"/>
      <c r="AON62" s="3461"/>
      <c r="AOO62" s="3461"/>
      <c r="AOP62" s="3461"/>
      <c r="AOQ62" s="3461"/>
      <c r="AOR62" s="3461"/>
      <c r="AOS62" s="3461"/>
      <c r="AOT62" s="3461"/>
      <c r="AOU62" s="3461"/>
      <c r="AOV62" s="3461"/>
      <c r="AOW62" s="3461"/>
      <c r="AOX62" s="3461"/>
      <c r="AOY62" s="3461"/>
      <c r="AOZ62" s="3461"/>
      <c r="APA62" s="3461"/>
      <c r="APB62" s="3461"/>
      <c r="APC62" s="3461"/>
      <c r="APD62" s="3461"/>
      <c r="APE62" s="3461"/>
      <c r="APF62" s="3461"/>
      <c r="APG62" s="3461"/>
      <c r="APH62" s="3461"/>
      <c r="API62" s="3461"/>
      <c r="APJ62" s="3461"/>
      <c r="APK62" s="3461"/>
      <c r="APL62" s="3461"/>
      <c r="APM62" s="3461"/>
      <c r="APN62" s="3461"/>
      <c r="APO62" s="3461"/>
      <c r="APP62" s="3461"/>
      <c r="APQ62" s="3461"/>
      <c r="APR62" s="3461"/>
      <c r="APS62" s="3461"/>
      <c r="APT62" s="3461"/>
      <c r="APU62" s="3461"/>
      <c r="APV62" s="3461"/>
      <c r="APW62" s="3461"/>
      <c r="APX62" s="3461"/>
      <c r="APY62" s="3461"/>
      <c r="APZ62" s="3461"/>
      <c r="AQA62" s="3461"/>
      <c r="AQB62" s="3461"/>
      <c r="AQC62" s="3461"/>
      <c r="AQD62" s="3461"/>
      <c r="AQE62" s="3461"/>
      <c r="AQF62" s="3461"/>
      <c r="AQG62" s="3461"/>
      <c r="AQH62" s="3461"/>
      <c r="AQI62" s="3461"/>
      <c r="AQJ62" s="3461"/>
      <c r="AQK62" s="3461"/>
      <c r="AQL62" s="3461"/>
      <c r="AQM62" s="3461"/>
      <c r="AQN62" s="3461"/>
      <c r="AQO62" s="3461"/>
      <c r="AQP62" s="3461"/>
      <c r="AQQ62" s="3461"/>
      <c r="AQR62" s="3461"/>
      <c r="AQS62" s="3461"/>
      <c r="AQT62" s="3461"/>
      <c r="AQU62" s="3461"/>
      <c r="AQV62" s="3461"/>
      <c r="AQW62" s="3461"/>
      <c r="AQX62" s="3461"/>
      <c r="AQY62" s="3461"/>
      <c r="AQZ62" s="3461"/>
      <c r="ARA62" s="3461"/>
      <c r="ARB62" s="3461"/>
      <c r="ARC62" s="3461"/>
      <c r="ARD62" s="3461"/>
      <c r="ARE62" s="3461"/>
      <c r="ARF62" s="3461"/>
      <c r="ARG62" s="3461"/>
      <c r="ARH62" s="3461"/>
      <c r="ARI62" s="3461"/>
      <c r="ARJ62" s="3461"/>
      <c r="ARK62" s="3461"/>
      <c r="ARL62" s="3461"/>
      <c r="ARM62" s="3461"/>
      <c r="ARN62" s="3461"/>
      <c r="ARO62" s="3461"/>
      <c r="ARP62" s="3461"/>
      <c r="ARQ62" s="3461"/>
      <c r="ARR62" s="3461"/>
      <c r="ARS62" s="3461"/>
      <c r="ART62" s="3461"/>
      <c r="ARU62" s="3461"/>
      <c r="ARV62" s="3461"/>
      <c r="ARW62" s="3461"/>
      <c r="ARX62" s="3461"/>
      <c r="ARY62" s="3461"/>
      <c r="ARZ62" s="3461"/>
      <c r="ASA62" s="3461"/>
      <c r="ASB62" s="3461"/>
      <c r="ASC62" s="3461"/>
      <c r="ASD62" s="3461"/>
      <c r="ASE62" s="3461"/>
      <c r="ASF62" s="3461"/>
      <c r="ASG62" s="3461"/>
      <c r="ASH62" s="3461"/>
      <c r="ASI62" s="3461"/>
      <c r="ASJ62" s="3461"/>
      <c r="ASK62" s="3461"/>
      <c r="ASL62" s="3461"/>
      <c r="ASM62" s="3461"/>
      <c r="ASN62" s="3461"/>
      <c r="ASO62" s="3461"/>
      <c r="ASP62" s="3461"/>
      <c r="ASQ62" s="3461"/>
      <c r="ASR62" s="3461"/>
      <c r="ASS62" s="3461"/>
      <c r="AST62" s="3461"/>
      <c r="ASU62" s="3461"/>
      <c r="ASV62" s="3461"/>
      <c r="ASW62" s="3461"/>
      <c r="ASX62" s="3461"/>
      <c r="ASY62" s="3461"/>
      <c r="ASZ62" s="3461"/>
      <c r="ATA62" s="3461"/>
      <c r="ATB62" s="3461"/>
      <c r="ATC62" s="3461"/>
      <c r="ATD62" s="3461"/>
      <c r="ATE62" s="3461"/>
      <c r="ATF62" s="3461"/>
      <c r="ATG62" s="3461"/>
      <c r="ATH62" s="3461"/>
      <c r="ATI62" s="3461"/>
      <c r="ATJ62" s="3461"/>
      <c r="ATK62" s="3461"/>
      <c r="ATL62" s="3461"/>
      <c r="ATM62" s="3461"/>
      <c r="ATN62" s="3461"/>
      <c r="ATO62" s="3461"/>
      <c r="ATP62" s="3461"/>
      <c r="ATQ62" s="3461"/>
      <c r="ATR62" s="3461"/>
      <c r="ATS62" s="3461"/>
      <c r="ATT62" s="3461"/>
      <c r="ATU62" s="3461"/>
      <c r="ATV62" s="3461"/>
      <c r="ATW62" s="3461"/>
      <c r="ATX62" s="3461"/>
      <c r="ATY62" s="3461"/>
      <c r="ATZ62" s="3461"/>
      <c r="AUA62" s="3461"/>
      <c r="AUB62" s="3461"/>
      <c r="AUC62" s="3461"/>
      <c r="AUD62" s="3461"/>
      <c r="AUE62" s="3461"/>
      <c r="AUF62" s="3461"/>
      <c r="AUG62" s="3461"/>
      <c r="AUH62" s="3461"/>
      <c r="AUI62" s="3461"/>
      <c r="AUJ62" s="3461"/>
      <c r="AUK62" s="3461"/>
      <c r="AUL62" s="3461"/>
      <c r="AUM62" s="3461"/>
      <c r="AUN62" s="3461"/>
      <c r="AUO62" s="3461"/>
      <c r="AUP62" s="3461"/>
      <c r="AUQ62" s="3461"/>
      <c r="AUR62" s="3461"/>
      <c r="AUS62" s="3461"/>
      <c r="AUT62" s="3461"/>
      <c r="AUU62" s="3461"/>
      <c r="AUV62" s="3461"/>
      <c r="AUW62" s="3461"/>
      <c r="AUX62" s="3461"/>
      <c r="AUY62" s="3461"/>
      <c r="AUZ62" s="3461"/>
      <c r="AVA62" s="3461"/>
      <c r="AVB62" s="3461"/>
      <c r="AVC62" s="3461"/>
      <c r="AVD62" s="3461"/>
      <c r="AVE62" s="3461"/>
      <c r="AVF62" s="3461"/>
      <c r="AVG62" s="3461"/>
      <c r="AVH62" s="3461"/>
      <c r="AVI62" s="3461"/>
      <c r="AVJ62" s="3461"/>
      <c r="AVK62" s="3461"/>
      <c r="AVL62" s="3461"/>
      <c r="AVM62" s="3461"/>
      <c r="AVN62" s="3461"/>
      <c r="AVO62" s="3461"/>
      <c r="AVP62" s="3461"/>
      <c r="AVQ62" s="3461"/>
      <c r="AVR62" s="3461"/>
      <c r="AVS62" s="3461"/>
      <c r="AVT62" s="3461"/>
      <c r="AVU62" s="3461"/>
      <c r="AVV62" s="3461"/>
      <c r="AVW62" s="3461"/>
      <c r="AVX62" s="3461"/>
      <c r="AVY62" s="3461"/>
      <c r="AVZ62" s="3461"/>
      <c r="AWA62" s="3461"/>
      <c r="AWB62" s="3461"/>
      <c r="AWC62" s="3461"/>
      <c r="AWD62" s="3461"/>
      <c r="AWE62" s="3461"/>
      <c r="AWF62" s="3461"/>
      <c r="AWG62" s="3461"/>
      <c r="AWH62" s="3461"/>
      <c r="AWI62" s="3461"/>
      <c r="AWJ62" s="3461"/>
      <c r="AWK62" s="3461"/>
      <c r="AWL62" s="3461"/>
      <c r="AWM62" s="3461"/>
      <c r="AWN62" s="3461"/>
      <c r="AWO62" s="3461"/>
      <c r="AWP62" s="3461"/>
      <c r="AWQ62" s="3461"/>
      <c r="AWR62" s="3461"/>
      <c r="AWS62" s="3461"/>
      <c r="AWT62" s="3461"/>
      <c r="AWU62" s="3461"/>
      <c r="AWV62" s="3461"/>
      <c r="AWW62" s="3461"/>
      <c r="AWX62" s="3461"/>
      <c r="AWY62" s="3461"/>
      <c r="AWZ62" s="3461"/>
      <c r="AXA62" s="3461"/>
      <c r="AXB62" s="3461"/>
      <c r="AXC62" s="3461"/>
      <c r="AXD62" s="3461"/>
      <c r="AXE62" s="3461"/>
      <c r="AXF62" s="3461"/>
      <c r="AXG62" s="3461"/>
      <c r="AXH62" s="3461"/>
      <c r="AXI62" s="3461"/>
      <c r="AXJ62" s="3461"/>
      <c r="AXK62" s="3461"/>
      <c r="AXL62" s="3461"/>
      <c r="AXM62" s="3461"/>
      <c r="AXN62" s="3461"/>
      <c r="AXO62" s="3461"/>
      <c r="AXP62" s="3461"/>
      <c r="AXQ62" s="3461"/>
      <c r="AXR62" s="3461"/>
      <c r="AXS62" s="3461"/>
      <c r="AXT62" s="3461"/>
      <c r="AXU62" s="3461"/>
      <c r="AXV62" s="3461"/>
      <c r="AXW62" s="3461"/>
      <c r="AXX62" s="3461"/>
      <c r="AXY62" s="3461"/>
      <c r="AXZ62" s="3461"/>
      <c r="AYA62" s="3461"/>
      <c r="AYB62" s="3461"/>
      <c r="AYC62" s="3461"/>
      <c r="AYD62" s="3461"/>
      <c r="AYE62" s="3461"/>
      <c r="AYF62" s="3461"/>
      <c r="AYG62" s="3461"/>
      <c r="AYH62" s="3461"/>
      <c r="AYI62" s="3461"/>
      <c r="AYJ62" s="3461"/>
      <c r="AYK62" s="3461"/>
      <c r="AYL62" s="3461"/>
      <c r="AYM62" s="3461"/>
      <c r="AYN62" s="3461"/>
      <c r="AYO62" s="3461"/>
      <c r="AYP62" s="3461"/>
      <c r="AYQ62" s="3461"/>
      <c r="AYR62" s="3461"/>
      <c r="AYS62" s="3461"/>
      <c r="AYT62" s="3461"/>
      <c r="AYU62" s="3461"/>
      <c r="AYV62" s="3461"/>
      <c r="AYW62" s="3461"/>
      <c r="AYX62" s="3461"/>
      <c r="AYY62" s="3461"/>
      <c r="AYZ62" s="3461"/>
      <c r="AZA62" s="3461"/>
      <c r="AZB62" s="3461"/>
      <c r="AZC62" s="3461"/>
      <c r="AZD62" s="3461"/>
      <c r="AZE62" s="3461"/>
      <c r="AZF62" s="3461"/>
      <c r="AZG62" s="3461"/>
      <c r="AZH62" s="3461"/>
      <c r="AZI62" s="3461"/>
      <c r="AZJ62" s="3461"/>
      <c r="AZK62" s="3461"/>
      <c r="AZL62" s="3461"/>
      <c r="AZM62" s="3461"/>
      <c r="AZN62" s="3461"/>
      <c r="AZO62" s="3461"/>
      <c r="AZP62" s="3461"/>
      <c r="AZQ62" s="3461"/>
      <c r="AZR62" s="3461"/>
      <c r="AZS62" s="3461"/>
      <c r="AZT62" s="3461"/>
      <c r="AZU62" s="3461"/>
      <c r="AZV62" s="3461"/>
      <c r="AZW62" s="3461"/>
      <c r="AZX62" s="3461"/>
      <c r="AZY62" s="3461"/>
      <c r="AZZ62" s="3461"/>
      <c r="BAA62" s="3461"/>
      <c r="BAB62" s="3461"/>
      <c r="BAC62" s="3461"/>
      <c r="BAD62" s="3461"/>
      <c r="BAE62" s="3461"/>
      <c r="BAF62" s="3461"/>
      <c r="BAG62" s="3461"/>
      <c r="BAH62" s="3461"/>
      <c r="BAI62" s="3461"/>
      <c r="BAJ62" s="3461"/>
      <c r="BAK62" s="3461"/>
      <c r="BAL62" s="3461"/>
      <c r="BAM62" s="3461"/>
      <c r="BAN62" s="3461"/>
      <c r="BAO62" s="3461"/>
      <c r="BAP62" s="3461"/>
      <c r="BAQ62" s="3461"/>
      <c r="BAR62" s="3461"/>
      <c r="BAS62" s="3461"/>
      <c r="BAT62" s="3461"/>
      <c r="BAU62" s="3461"/>
      <c r="BAV62" s="3461"/>
      <c r="BAW62" s="3461"/>
      <c r="BAX62" s="3461"/>
      <c r="BAY62" s="3461"/>
      <c r="BAZ62" s="3461"/>
      <c r="BBA62" s="3461"/>
      <c r="BBB62" s="3461"/>
      <c r="BBC62" s="3461"/>
      <c r="BBD62" s="3461"/>
      <c r="BBE62" s="3461"/>
      <c r="BBF62" s="3461"/>
      <c r="BBG62" s="3461"/>
      <c r="BBH62" s="3461"/>
      <c r="BBI62" s="3461"/>
      <c r="BBJ62" s="3461"/>
      <c r="BBK62" s="3461"/>
      <c r="BBL62" s="3461"/>
      <c r="BBM62" s="3461"/>
      <c r="BBN62" s="3461"/>
      <c r="BBO62" s="3461"/>
      <c r="BBP62" s="3461"/>
      <c r="BBQ62" s="3461"/>
      <c r="BBR62" s="3461"/>
      <c r="BBS62" s="3461"/>
      <c r="BBT62" s="3461"/>
      <c r="BBU62" s="3461"/>
      <c r="BBV62" s="3461"/>
      <c r="BBW62" s="3461"/>
      <c r="BBX62" s="3461"/>
      <c r="BBY62" s="3461"/>
      <c r="BBZ62" s="3461"/>
      <c r="BCA62" s="3461"/>
      <c r="BCB62" s="3461"/>
      <c r="BCC62" s="3461"/>
      <c r="BCD62" s="3461"/>
      <c r="BCE62" s="3461"/>
      <c r="BCF62" s="3461"/>
      <c r="BCG62" s="3461"/>
      <c r="BCH62" s="3461"/>
      <c r="BCI62" s="3461"/>
      <c r="BCJ62" s="3461"/>
      <c r="BCK62" s="3461"/>
      <c r="BCL62" s="3461"/>
      <c r="BCM62" s="3461"/>
      <c r="BCN62" s="3461"/>
      <c r="BCO62" s="3461"/>
      <c r="BCP62" s="3461"/>
      <c r="BCQ62" s="3461"/>
      <c r="BCR62" s="3461"/>
      <c r="BCS62" s="3461"/>
      <c r="BCT62" s="3461"/>
      <c r="BCU62" s="3461"/>
      <c r="BCV62" s="3461"/>
      <c r="BCW62" s="3461"/>
      <c r="BCX62" s="3461"/>
      <c r="BCY62" s="3461"/>
      <c r="BCZ62" s="3461"/>
      <c r="BDA62" s="3461"/>
      <c r="BDB62" s="3461"/>
      <c r="BDC62" s="3461"/>
      <c r="BDD62" s="3461"/>
      <c r="BDE62" s="3461"/>
      <c r="BDF62" s="3461"/>
      <c r="BDG62" s="3461"/>
      <c r="BDH62" s="3461"/>
      <c r="BDI62" s="3461"/>
      <c r="BDJ62" s="3461"/>
      <c r="BDK62" s="3461"/>
      <c r="BDL62" s="3461"/>
      <c r="BDM62" s="3461"/>
      <c r="BDN62" s="3461"/>
      <c r="BDO62" s="3461"/>
      <c r="BDP62" s="3461"/>
      <c r="BDQ62" s="3461"/>
      <c r="BDR62" s="3461"/>
      <c r="BDS62" s="3461"/>
      <c r="BDT62" s="3461"/>
      <c r="BDU62" s="3461"/>
      <c r="BDV62" s="3461"/>
      <c r="BDW62" s="3461"/>
      <c r="BDX62" s="3461"/>
      <c r="BDY62" s="3461"/>
      <c r="BDZ62" s="3461"/>
      <c r="BEA62" s="3461"/>
      <c r="BEB62" s="3461"/>
      <c r="BEC62" s="3461"/>
      <c r="BED62" s="3461"/>
      <c r="BEE62" s="3461"/>
      <c r="BEF62" s="3461"/>
      <c r="BEG62" s="3461"/>
      <c r="BEH62" s="3461"/>
      <c r="BEI62" s="3461"/>
      <c r="BEJ62" s="3461"/>
      <c r="BEK62" s="3461"/>
      <c r="BEL62" s="3461"/>
      <c r="BEM62" s="3461"/>
      <c r="BEN62" s="3461"/>
      <c r="BEO62" s="3461"/>
      <c r="BEP62" s="3461"/>
      <c r="BEQ62" s="3461"/>
      <c r="BER62" s="3461"/>
      <c r="BES62" s="3461"/>
      <c r="BET62" s="3461"/>
      <c r="BEU62" s="3461"/>
      <c r="BEV62" s="3461"/>
      <c r="BEW62" s="3461"/>
      <c r="BEX62" s="3461"/>
      <c r="BEY62" s="3461"/>
      <c r="BEZ62" s="3461"/>
      <c r="BFA62" s="3461"/>
      <c r="BFB62" s="3461"/>
      <c r="BFC62" s="3461"/>
      <c r="BFD62" s="3461"/>
      <c r="BFE62" s="3461"/>
      <c r="BFF62" s="3461"/>
      <c r="BFG62" s="3461"/>
      <c r="BFH62" s="3461"/>
      <c r="BFI62" s="3461"/>
      <c r="BFJ62" s="3461"/>
      <c r="BFK62" s="3461"/>
      <c r="BFL62" s="3461"/>
      <c r="BFM62" s="3461"/>
      <c r="BFN62" s="3461"/>
      <c r="BFO62" s="3461"/>
      <c r="BFP62" s="3461"/>
      <c r="BFQ62" s="3461"/>
      <c r="BFR62" s="3461"/>
      <c r="BFS62" s="3461"/>
      <c r="BFT62" s="3461"/>
      <c r="BFU62" s="3461"/>
      <c r="BFV62" s="3461"/>
      <c r="BFW62" s="3461"/>
      <c r="BFX62" s="3461"/>
      <c r="BFY62" s="3461"/>
      <c r="BFZ62" s="3461"/>
      <c r="BGA62" s="3461"/>
      <c r="BGB62" s="3461"/>
      <c r="BGC62" s="3461"/>
      <c r="BGD62" s="3461"/>
      <c r="BGE62" s="3461"/>
      <c r="BGF62" s="3461"/>
      <c r="BGG62" s="3461"/>
      <c r="BGH62" s="3461"/>
      <c r="BGI62" s="3461"/>
      <c r="BGJ62" s="3461"/>
      <c r="BGK62" s="3461"/>
      <c r="BGL62" s="3461"/>
      <c r="BGM62" s="3461"/>
      <c r="BGN62" s="3461"/>
      <c r="BGO62" s="3461"/>
      <c r="BGP62" s="3461"/>
      <c r="BGQ62" s="3461"/>
      <c r="BGR62" s="3461"/>
      <c r="BGS62" s="3461"/>
      <c r="BGT62" s="3461"/>
      <c r="BGU62" s="3461"/>
      <c r="BGV62" s="3461"/>
      <c r="BGW62" s="3461"/>
      <c r="BGX62" s="3461"/>
      <c r="BGY62" s="3461"/>
      <c r="BGZ62" s="3461"/>
      <c r="BHA62" s="3461"/>
      <c r="BHB62" s="3461"/>
      <c r="BHC62" s="3461"/>
      <c r="BHD62" s="3461"/>
      <c r="BHE62" s="3461"/>
      <c r="BHF62" s="3461"/>
      <c r="BHG62" s="3461"/>
      <c r="BHH62" s="3461"/>
      <c r="BHI62" s="3461"/>
      <c r="BHJ62" s="3461"/>
      <c r="BHK62" s="3461"/>
      <c r="BHL62" s="3461"/>
      <c r="BHM62" s="3461"/>
      <c r="BHN62" s="3461"/>
      <c r="BHO62" s="3461"/>
      <c r="BHP62" s="3461"/>
      <c r="BHQ62" s="3461"/>
      <c r="BHR62" s="3461"/>
      <c r="BHS62" s="3461"/>
      <c r="BHT62" s="3461"/>
      <c r="BHU62" s="3461"/>
      <c r="BHV62" s="3461"/>
      <c r="BHW62" s="3461"/>
      <c r="BHX62" s="3461"/>
      <c r="BHY62" s="3461"/>
      <c r="BHZ62" s="3461"/>
      <c r="BIA62" s="3461"/>
      <c r="BIB62" s="3461"/>
      <c r="BIC62" s="3461"/>
      <c r="BID62" s="3461"/>
      <c r="BIE62" s="3461"/>
      <c r="BIF62" s="3461"/>
      <c r="BIG62" s="3461"/>
      <c r="BIH62" s="3461"/>
      <c r="BII62" s="3461"/>
      <c r="BIJ62" s="3461"/>
      <c r="BIK62" s="3461"/>
      <c r="BIL62" s="3461"/>
      <c r="BIM62" s="3461"/>
      <c r="BIN62" s="3461"/>
      <c r="BIO62" s="3461"/>
      <c r="BIP62" s="3461"/>
      <c r="BIQ62" s="3461"/>
      <c r="BIR62" s="3461"/>
      <c r="BIS62" s="3461"/>
      <c r="BIT62" s="3461"/>
      <c r="BIU62" s="3461"/>
      <c r="BIV62" s="3461"/>
      <c r="BIW62" s="3461"/>
      <c r="BIX62" s="3461"/>
      <c r="BIY62" s="3461"/>
      <c r="BIZ62" s="3461"/>
      <c r="BJA62" s="3461"/>
      <c r="BJB62" s="3461"/>
      <c r="BJC62" s="3461"/>
      <c r="BJD62" s="3461"/>
      <c r="BJE62" s="3461"/>
      <c r="BJF62" s="3461"/>
      <c r="BJG62" s="3461"/>
      <c r="BJH62" s="3461"/>
      <c r="BJI62" s="3461"/>
      <c r="BJJ62" s="3461"/>
      <c r="BJK62" s="3461"/>
      <c r="BJL62" s="3461"/>
      <c r="BJM62" s="3461"/>
      <c r="BJN62" s="3461"/>
      <c r="BJO62" s="3461"/>
      <c r="BJP62" s="3461"/>
      <c r="BJQ62" s="3461"/>
      <c r="BJR62" s="3461"/>
      <c r="BJS62" s="3461"/>
      <c r="BJT62" s="3461"/>
      <c r="BJU62" s="3461"/>
      <c r="BJV62" s="3461"/>
      <c r="BJW62" s="3461"/>
      <c r="BJX62" s="3461"/>
      <c r="BJY62" s="3461"/>
      <c r="BJZ62" s="3461"/>
      <c r="BKA62" s="3461"/>
      <c r="BKB62" s="3461"/>
      <c r="BKC62" s="3461"/>
      <c r="BKD62" s="3461"/>
      <c r="BKE62" s="3461"/>
      <c r="BKF62" s="3461"/>
      <c r="BKG62" s="3461"/>
      <c r="BKH62" s="3461"/>
      <c r="BKI62" s="3461"/>
      <c r="BKJ62" s="3461"/>
      <c r="BKK62" s="3461"/>
      <c r="BKL62" s="3461"/>
      <c r="BKM62" s="3461"/>
      <c r="BKN62" s="3461"/>
      <c r="BKO62" s="3461"/>
      <c r="BKP62" s="3461"/>
      <c r="BKQ62" s="3461"/>
      <c r="BKR62" s="3461"/>
      <c r="BKS62" s="3461"/>
      <c r="BKT62" s="3461"/>
      <c r="BKU62" s="3461"/>
      <c r="BKV62" s="3461"/>
      <c r="BKW62" s="3461"/>
      <c r="BKX62" s="3461"/>
      <c r="BKY62" s="3461"/>
      <c r="BKZ62" s="3461"/>
      <c r="BLA62" s="3461"/>
      <c r="BLB62" s="3461"/>
      <c r="BLC62" s="3461"/>
      <c r="BLD62" s="3461"/>
      <c r="BLE62" s="3461"/>
      <c r="BLF62" s="3461"/>
      <c r="BLG62" s="3461"/>
      <c r="BLH62" s="3461"/>
      <c r="BLI62" s="3461"/>
      <c r="BLJ62" s="3461"/>
      <c r="BLK62" s="3461"/>
      <c r="BLL62" s="3461"/>
      <c r="BLM62" s="3461"/>
      <c r="BLN62" s="3461"/>
      <c r="BLO62" s="3461"/>
      <c r="BLP62" s="3461"/>
      <c r="BLQ62" s="3461"/>
      <c r="BLR62" s="3461"/>
      <c r="BLS62" s="3461"/>
      <c r="BLT62" s="3461"/>
      <c r="BLU62" s="3461"/>
      <c r="BLV62" s="3461"/>
      <c r="BLW62" s="3461"/>
      <c r="BLX62" s="3461"/>
      <c r="BLY62" s="3461"/>
      <c r="BLZ62" s="3461"/>
      <c r="BMA62" s="3461"/>
      <c r="BMB62" s="3461"/>
      <c r="BMC62" s="3461"/>
      <c r="BMD62" s="3461"/>
      <c r="BME62" s="3461"/>
      <c r="BMF62" s="3461"/>
      <c r="BMG62" s="3461"/>
      <c r="BMH62" s="3461"/>
      <c r="BMI62" s="3461"/>
      <c r="BMJ62" s="3461"/>
      <c r="BMK62" s="3461"/>
      <c r="BML62" s="3461"/>
      <c r="BMM62" s="3461"/>
      <c r="BMN62" s="3461"/>
      <c r="BMO62" s="3461"/>
      <c r="BMP62" s="3461"/>
      <c r="BMQ62" s="3461"/>
      <c r="BMR62" s="3461"/>
      <c r="BMS62" s="3461"/>
      <c r="BMT62" s="3461"/>
      <c r="BMU62" s="3461"/>
      <c r="BMV62" s="3461"/>
      <c r="BMW62" s="3461"/>
      <c r="BMX62" s="3461"/>
      <c r="BMY62" s="3461"/>
      <c r="BMZ62" s="3461"/>
      <c r="BNA62" s="3461"/>
      <c r="BNB62" s="3461"/>
      <c r="BNC62" s="3461"/>
      <c r="BND62" s="3461"/>
      <c r="BNE62" s="3461"/>
      <c r="BNF62" s="3461"/>
      <c r="BNG62" s="3461"/>
      <c r="BNH62" s="3461"/>
      <c r="BNI62" s="3461"/>
      <c r="BNJ62" s="3461"/>
      <c r="BNK62" s="3461"/>
      <c r="BNL62" s="3461"/>
      <c r="BNM62" s="3461"/>
      <c r="BNN62" s="3461"/>
      <c r="BNO62" s="3461"/>
      <c r="BNP62" s="3461"/>
      <c r="BNQ62" s="3461"/>
      <c r="BNR62" s="3461"/>
      <c r="BNS62" s="3461"/>
      <c r="BNT62" s="3461"/>
      <c r="BNU62" s="3461"/>
      <c r="BNV62" s="3461"/>
      <c r="BNW62" s="3461"/>
      <c r="BNX62" s="3461"/>
      <c r="BNY62" s="3461"/>
      <c r="BNZ62" s="3461"/>
      <c r="BOA62" s="3461"/>
      <c r="BOB62" s="3461"/>
      <c r="BOC62" s="3461"/>
      <c r="BOD62" s="3461"/>
      <c r="BOE62" s="3461"/>
      <c r="BOF62" s="3461"/>
      <c r="BOG62" s="3461"/>
      <c r="BOH62" s="3461"/>
      <c r="BOI62" s="3461"/>
      <c r="BOJ62" s="3461"/>
      <c r="BOK62" s="3461"/>
      <c r="BOL62" s="3461"/>
      <c r="BOM62" s="3461"/>
      <c r="BON62" s="3461"/>
      <c r="BOO62" s="3461"/>
      <c r="BOP62" s="3461"/>
      <c r="BOQ62" s="3461"/>
      <c r="BOR62" s="3461"/>
      <c r="BOS62" s="3461"/>
      <c r="BOT62" s="3461"/>
      <c r="BOU62" s="3461"/>
      <c r="BOV62" s="3461"/>
      <c r="BOW62" s="3461"/>
      <c r="BOX62" s="3461"/>
      <c r="BOY62" s="3461"/>
      <c r="BOZ62" s="3461"/>
      <c r="BPA62" s="3461"/>
      <c r="BPB62" s="3461"/>
      <c r="BPC62" s="3461"/>
      <c r="BPD62" s="3461"/>
      <c r="BPE62" s="3461"/>
      <c r="BPF62" s="3461"/>
      <c r="BPG62" s="3461"/>
      <c r="BPH62" s="3461"/>
      <c r="BPI62" s="3461"/>
      <c r="BPJ62" s="3461"/>
      <c r="BPK62" s="3461"/>
      <c r="BPL62" s="3461"/>
      <c r="BPM62" s="3461"/>
      <c r="BPN62" s="3461"/>
      <c r="BPO62" s="3461"/>
      <c r="BPP62" s="3461"/>
      <c r="BPQ62" s="3461"/>
      <c r="BPR62" s="3461"/>
      <c r="BPS62" s="3461"/>
      <c r="BPT62" s="3461"/>
      <c r="BPU62" s="3461"/>
      <c r="BPV62" s="3461"/>
      <c r="BPW62" s="3461"/>
      <c r="BPX62" s="3461"/>
      <c r="BPY62" s="3461"/>
      <c r="BPZ62" s="3461"/>
      <c r="BQA62" s="3461"/>
      <c r="BQB62" s="3461"/>
      <c r="BQC62" s="3461"/>
      <c r="BQD62" s="3461"/>
      <c r="BQE62" s="3461"/>
      <c r="BQF62" s="3461"/>
      <c r="BQG62" s="3461"/>
      <c r="BQH62" s="3461"/>
      <c r="BQI62" s="3461"/>
      <c r="BQJ62" s="3461"/>
      <c r="BQK62" s="3461"/>
      <c r="BQL62" s="3461"/>
      <c r="BQM62" s="3461"/>
      <c r="BQN62" s="3461"/>
      <c r="BQO62" s="3461"/>
      <c r="BQP62" s="3461"/>
      <c r="BQQ62" s="3461"/>
      <c r="BQR62" s="3461"/>
      <c r="BQS62" s="3461"/>
      <c r="BQT62" s="3461"/>
      <c r="BQU62" s="3461"/>
      <c r="BQV62" s="3461"/>
      <c r="BQW62" s="3461"/>
      <c r="BQX62" s="3461"/>
      <c r="BQY62" s="3461"/>
      <c r="BQZ62" s="3461"/>
      <c r="BRA62" s="3461"/>
      <c r="BRB62" s="3461"/>
      <c r="BRC62" s="3461"/>
      <c r="BRD62" s="3461"/>
      <c r="BRE62" s="3461"/>
      <c r="BRF62" s="3461"/>
      <c r="BRG62" s="3461"/>
      <c r="BRH62" s="3461"/>
      <c r="BRI62" s="3461"/>
      <c r="BRJ62" s="3461"/>
      <c r="BRK62" s="3461"/>
      <c r="BRL62" s="3461"/>
      <c r="BRM62" s="3461"/>
      <c r="BRN62" s="3461"/>
      <c r="BRO62" s="3461"/>
      <c r="BRP62" s="3461"/>
      <c r="BRQ62" s="3461"/>
      <c r="BRR62" s="3461"/>
      <c r="BRS62" s="3461"/>
      <c r="BRT62" s="3461"/>
      <c r="BRU62" s="3461"/>
      <c r="BRV62" s="3461"/>
      <c r="BRW62" s="3461"/>
      <c r="BRX62" s="3461"/>
      <c r="BRY62" s="3461"/>
      <c r="BRZ62" s="3461"/>
      <c r="BSA62" s="3461"/>
      <c r="BSB62" s="3461"/>
      <c r="BSC62" s="3461"/>
      <c r="BSD62" s="3461"/>
      <c r="BSE62" s="3461"/>
      <c r="BSF62" s="3461"/>
      <c r="BSG62" s="3461"/>
      <c r="BSH62" s="3461"/>
      <c r="BSI62" s="3461"/>
      <c r="BSJ62" s="3461"/>
      <c r="BSK62" s="3461"/>
      <c r="BSL62" s="3461"/>
      <c r="BSM62" s="3461"/>
      <c r="BSN62" s="3461"/>
      <c r="BSO62" s="3461"/>
      <c r="BSP62" s="3461"/>
      <c r="BSQ62" s="3461"/>
      <c r="BSR62" s="3461"/>
      <c r="BSS62" s="3461"/>
      <c r="BST62" s="3461"/>
      <c r="BSU62" s="3461"/>
      <c r="BSV62" s="3461"/>
      <c r="BSW62" s="3461"/>
      <c r="BSX62" s="3461"/>
      <c r="BSY62" s="3461"/>
      <c r="BSZ62" s="3461"/>
      <c r="BTA62" s="3461"/>
      <c r="BTB62" s="3461"/>
      <c r="BTC62" s="3461"/>
      <c r="BTD62" s="3461"/>
      <c r="BTE62" s="3461"/>
      <c r="BTF62" s="3461"/>
      <c r="BTG62" s="3461"/>
      <c r="BTH62" s="3461"/>
      <c r="BTI62" s="3461"/>
      <c r="BTJ62" s="3461"/>
      <c r="BTK62" s="3461"/>
      <c r="BTL62" s="3461"/>
      <c r="BTM62" s="3461"/>
      <c r="BTN62" s="3461"/>
      <c r="BTO62" s="3461"/>
      <c r="BTP62" s="3461"/>
      <c r="BTQ62" s="3461"/>
      <c r="BTR62" s="3461"/>
      <c r="BTS62" s="3461"/>
      <c r="BTT62" s="3461"/>
      <c r="BTU62" s="3461"/>
      <c r="BTV62" s="3461"/>
      <c r="BTW62" s="3461"/>
      <c r="BTX62" s="3461"/>
      <c r="BTY62" s="3461"/>
      <c r="BTZ62" s="3461"/>
      <c r="BUA62" s="3461"/>
      <c r="BUB62" s="3461"/>
      <c r="BUC62" s="3461"/>
      <c r="BUD62" s="3461"/>
      <c r="BUE62" s="3461"/>
      <c r="BUF62" s="3461"/>
      <c r="BUG62" s="3461"/>
      <c r="BUH62" s="3461"/>
      <c r="BUI62" s="3461"/>
      <c r="BUJ62" s="3461"/>
      <c r="BUK62" s="3461"/>
      <c r="BUL62" s="3461"/>
      <c r="BUM62" s="3461"/>
      <c r="BUN62" s="3461"/>
      <c r="BUO62" s="3461"/>
      <c r="BUP62" s="3461"/>
      <c r="BUQ62" s="3461"/>
      <c r="BUR62" s="3461"/>
      <c r="BUS62" s="3461"/>
      <c r="BUT62" s="3461"/>
      <c r="BUU62" s="3461"/>
      <c r="BUV62" s="3461"/>
      <c r="BUW62" s="3461"/>
      <c r="BUX62" s="3461"/>
      <c r="BUY62" s="3461"/>
      <c r="BUZ62" s="3461"/>
      <c r="BVA62" s="3461"/>
      <c r="BVB62" s="3461"/>
      <c r="BVC62" s="3461"/>
      <c r="BVD62" s="3461"/>
      <c r="BVE62" s="3461"/>
      <c r="BVF62" s="3461"/>
      <c r="BVG62" s="3461"/>
      <c r="BVH62" s="3461"/>
      <c r="BVI62" s="3461"/>
      <c r="BVJ62" s="3461"/>
      <c r="BVK62" s="3461"/>
      <c r="BVL62" s="3461"/>
      <c r="BVM62" s="3461"/>
      <c r="BVN62" s="3461"/>
      <c r="BVO62" s="3461"/>
      <c r="BVP62" s="3461"/>
      <c r="BVQ62" s="3461"/>
      <c r="BVR62" s="3461"/>
      <c r="BVS62" s="3461"/>
      <c r="BVT62" s="3461"/>
      <c r="BVU62" s="3461"/>
      <c r="BVV62" s="3461"/>
      <c r="BVW62" s="3461"/>
      <c r="BVX62" s="3461"/>
      <c r="BVY62" s="3461"/>
      <c r="BVZ62" s="3461"/>
      <c r="BWA62" s="3461"/>
      <c r="BWB62" s="3461"/>
      <c r="BWC62" s="3461"/>
      <c r="BWD62" s="3461"/>
      <c r="BWE62" s="3461"/>
      <c r="BWF62" s="3461"/>
      <c r="BWG62" s="3461"/>
      <c r="BWH62" s="3461"/>
      <c r="BWI62" s="3461"/>
      <c r="BWJ62" s="3461"/>
      <c r="BWK62" s="3461"/>
      <c r="BWL62" s="3461"/>
      <c r="BWM62" s="3461"/>
      <c r="BWN62" s="3461"/>
      <c r="BWO62" s="3461"/>
      <c r="BWP62" s="3461"/>
      <c r="BWQ62" s="3461"/>
      <c r="BWR62" s="3461"/>
      <c r="BWS62" s="3461"/>
      <c r="BWT62" s="3461"/>
      <c r="BWU62" s="3461"/>
      <c r="BWV62" s="3461"/>
      <c r="BWW62" s="3461"/>
      <c r="BWX62" s="3461"/>
      <c r="BWY62" s="3461"/>
      <c r="BWZ62" s="3461"/>
      <c r="BXA62" s="3461"/>
      <c r="BXB62" s="3461"/>
      <c r="BXC62" s="3461"/>
      <c r="BXD62" s="3461"/>
      <c r="BXE62" s="3461"/>
      <c r="BXF62" s="3461"/>
      <c r="BXG62" s="3461"/>
      <c r="BXH62" s="3461"/>
      <c r="BXI62" s="3461"/>
      <c r="BXJ62" s="3461"/>
      <c r="BXK62" s="3461"/>
      <c r="BXL62" s="3461"/>
      <c r="BXM62" s="3461"/>
      <c r="BXN62" s="3461"/>
      <c r="BXO62" s="3461"/>
      <c r="BXP62" s="3461"/>
      <c r="BXQ62" s="3461"/>
      <c r="BXR62" s="3461"/>
      <c r="BXS62" s="3461"/>
      <c r="BXT62" s="3461"/>
      <c r="BXU62" s="3461"/>
      <c r="BXV62" s="3461"/>
      <c r="BXW62" s="3461"/>
      <c r="BXX62" s="3461"/>
      <c r="BXY62" s="3461"/>
      <c r="BXZ62" s="3461"/>
      <c r="BYA62" s="3461"/>
      <c r="BYB62" s="3461"/>
      <c r="BYC62" s="3461"/>
      <c r="BYD62" s="3461"/>
      <c r="BYE62" s="3461"/>
      <c r="BYF62" s="3461"/>
      <c r="BYG62" s="3461"/>
      <c r="BYH62" s="3461"/>
      <c r="BYI62" s="3461"/>
      <c r="BYJ62" s="3461"/>
      <c r="BYK62" s="3461"/>
      <c r="BYL62" s="3461"/>
      <c r="BYM62" s="3461"/>
      <c r="BYN62" s="3461"/>
      <c r="BYO62" s="3461"/>
      <c r="BYP62" s="3461"/>
      <c r="BYQ62" s="3461"/>
      <c r="BYR62" s="3461"/>
      <c r="BYS62" s="3461"/>
      <c r="BYT62" s="3461"/>
      <c r="BYU62" s="3461"/>
      <c r="BYV62" s="3461"/>
      <c r="BYW62" s="3461"/>
      <c r="BYX62" s="3461"/>
      <c r="BYY62" s="3461"/>
      <c r="BYZ62" s="3461"/>
      <c r="BZA62" s="3461"/>
      <c r="BZB62" s="3461"/>
      <c r="BZC62" s="3461"/>
      <c r="BZD62" s="3461"/>
      <c r="BZE62" s="3461"/>
      <c r="BZF62" s="3461"/>
      <c r="BZG62" s="3461"/>
      <c r="BZH62" s="3461"/>
      <c r="BZI62" s="3461"/>
      <c r="BZJ62" s="3461"/>
      <c r="BZK62" s="3461"/>
      <c r="BZL62" s="3461"/>
      <c r="BZM62" s="3461"/>
      <c r="BZN62" s="3461"/>
      <c r="BZO62" s="3461"/>
      <c r="BZP62" s="3461"/>
      <c r="BZQ62" s="3461"/>
      <c r="BZR62" s="3461"/>
      <c r="BZS62" s="3461"/>
      <c r="BZT62" s="3461"/>
      <c r="BZU62" s="3461"/>
      <c r="BZV62" s="3461"/>
      <c r="BZW62" s="3461"/>
      <c r="BZX62" s="3461"/>
      <c r="BZY62" s="3461"/>
      <c r="BZZ62" s="3461"/>
      <c r="CAA62" s="3461"/>
      <c r="CAB62" s="3461"/>
      <c r="CAC62" s="3461"/>
      <c r="CAD62" s="3461"/>
      <c r="CAE62" s="3461"/>
      <c r="CAF62" s="3461"/>
      <c r="CAG62" s="3461"/>
      <c r="CAH62" s="3461"/>
      <c r="CAI62" s="3461"/>
      <c r="CAJ62" s="3461"/>
      <c r="CAK62" s="3461"/>
      <c r="CAL62" s="3461"/>
      <c r="CAM62" s="3461"/>
      <c r="CAN62" s="3461"/>
      <c r="CAO62" s="3461"/>
      <c r="CAP62" s="3461"/>
      <c r="CAQ62" s="3461"/>
      <c r="CAR62" s="3461"/>
      <c r="CAS62" s="3461"/>
      <c r="CAT62" s="3461"/>
      <c r="CAU62" s="3461"/>
      <c r="CAV62" s="3461"/>
      <c r="CAW62" s="3461"/>
      <c r="CAX62" s="3461"/>
      <c r="CAY62" s="3461"/>
      <c r="CAZ62" s="3461"/>
      <c r="CBA62" s="3461"/>
      <c r="CBB62" s="3461"/>
      <c r="CBC62" s="3461"/>
      <c r="CBD62" s="3461"/>
      <c r="CBE62" s="3461"/>
      <c r="CBF62" s="3461"/>
      <c r="CBG62" s="3461"/>
      <c r="CBH62" s="3461"/>
      <c r="CBI62" s="3461"/>
      <c r="CBJ62" s="3461"/>
      <c r="CBK62" s="3461"/>
      <c r="CBL62" s="3461"/>
      <c r="CBM62" s="3461"/>
      <c r="CBN62" s="3461"/>
      <c r="CBO62" s="3461"/>
      <c r="CBP62" s="3461"/>
      <c r="CBQ62" s="3461"/>
      <c r="CBR62" s="3461"/>
      <c r="CBS62" s="3461"/>
      <c r="CBT62" s="3461"/>
      <c r="CBU62" s="3461"/>
      <c r="CBV62" s="3461"/>
      <c r="CBW62" s="3461"/>
      <c r="CBX62" s="3461"/>
      <c r="CBY62" s="3461"/>
      <c r="CBZ62" s="3461"/>
      <c r="CCA62" s="3461"/>
      <c r="CCB62" s="3461"/>
      <c r="CCC62" s="3461"/>
      <c r="CCD62" s="3461"/>
      <c r="CCE62" s="3461"/>
      <c r="CCF62" s="3461"/>
      <c r="CCG62" s="3461"/>
      <c r="CCH62" s="3461"/>
      <c r="CCI62" s="3461"/>
      <c r="CCJ62" s="3461"/>
      <c r="CCK62" s="3461"/>
      <c r="CCL62" s="3461"/>
      <c r="CCM62" s="3461"/>
      <c r="CCN62" s="3461"/>
      <c r="CCO62" s="3461"/>
      <c r="CCP62" s="3461"/>
      <c r="CCQ62" s="3461"/>
      <c r="CCR62" s="3461"/>
      <c r="CCS62" s="3461"/>
      <c r="CCT62" s="3461"/>
      <c r="CCU62" s="3461"/>
      <c r="CCV62" s="3461"/>
      <c r="CCW62" s="3461"/>
      <c r="CCX62" s="3461"/>
      <c r="CCY62" s="3461"/>
      <c r="CCZ62" s="3461"/>
      <c r="CDA62" s="3461"/>
      <c r="CDB62" s="3461"/>
      <c r="CDC62" s="3461"/>
      <c r="CDD62" s="3461"/>
      <c r="CDE62" s="3461"/>
      <c r="CDF62" s="3461"/>
      <c r="CDG62" s="3461"/>
      <c r="CDH62" s="3461"/>
      <c r="CDI62" s="3461"/>
      <c r="CDJ62" s="3461"/>
      <c r="CDK62" s="3461"/>
      <c r="CDL62" s="3461"/>
      <c r="CDM62" s="3461"/>
      <c r="CDN62" s="3461"/>
      <c r="CDO62" s="3461"/>
      <c r="CDP62" s="3461"/>
      <c r="CDQ62" s="3461"/>
      <c r="CDR62" s="3461"/>
      <c r="CDS62" s="3461"/>
      <c r="CDT62" s="3461"/>
      <c r="CDU62" s="3461"/>
      <c r="CDV62" s="3461"/>
      <c r="CDW62" s="3461"/>
      <c r="CDX62" s="3461"/>
      <c r="CDY62" s="3461"/>
      <c r="CDZ62" s="3461"/>
      <c r="CEA62" s="3461"/>
      <c r="CEB62" s="3461"/>
      <c r="CEC62" s="3461"/>
      <c r="CED62" s="3461"/>
      <c r="CEE62" s="3461"/>
      <c r="CEF62" s="3461"/>
      <c r="CEG62" s="3461"/>
      <c r="CEH62" s="3461"/>
      <c r="CEI62" s="3461"/>
      <c r="CEJ62" s="3461"/>
      <c r="CEK62" s="3461"/>
      <c r="CEL62" s="3461"/>
      <c r="CEM62" s="3461"/>
      <c r="CEN62" s="3461"/>
      <c r="CEO62" s="3461"/>
      <c r="CEP62" s="3461"/>
      <c r="CEQ62" s="3461"/>
      <c r="CER62" s="3461"/>
      <c r="CES62" s="3461"/>
      <c r="CET62" s="3461"/>
      <c r="CEU62" s="3461"/>
      <c r="CEV62" s="3461"/>
      <c r="CEW62" s="3461"/>
      <c r="CEX62" s="3461"/>
      <c r="CEY62" s="3461"/>
      <c r="CEZ62" s="3461"/>
      <c r="CFA62" s="3461"/>
      <c r="CFB62" s="3461"/>
      <c r="CFC62" s="3461"/>
      <c r="CFD62" s="3461"/>
      <c r="CFE62" s="3461"/>
      <c r="CFF62" s="3461"/>
      <c r="CFG62" s="3461"/>
      <c r="CFH62" s="3461"/>
      <c r="CFI62" s="3461"/>
      <c r="CFJ62" s="3461"/>
      <c r="CFK62" s="3461"/>
      <c r="CFL62" s="3461"/>
      <c r="CFM62" s="3461"/>
      <c r="CFN62" s="3461"/>
      <c r="CFO62" s="3461"/>
      <c r="CFP62" s="3461"/>
      <c r="CFQ62" s="3461"/>
      <c r="CFR62" s="3461"/>
      <c r="CFS62" s="3461"/>
      <c r="CFT62" s="3461"/>
      <c r="CFU62" s="3461"/>
      <c r="CFV62" s="3461"/>
      <c r="CFW62" s="3461"/>
      <c r="CFX62" s="3461"/>
      <c r="CFY62" s="3461"/>
      <c r="CFZ62" s="3461"/>
      <c r="CGA62" s="3461"/>
      <c r="CGB62" s="3461"/>
      <c r="CGC62" s="3461"/>
      <c r="CGD62" s="3461"/>
      <c r="CGE62" s="3461"/>
      <c r="CGF62" s="3461"/>
      <c r="CGG62" s="3461"/>
      <c r="CGH62" s="3461"/>
      <c r="CGI62" s="3461"/>
      <c r="CGJ62" s="3461"/>
      <c r="CGK62" s="3461"/>
      <c r="CGL62" s="3461"/>
      <c r="CGM62" s="3461"/>
      <c r="CGN62" s="3461"/>
      <c r="CGO62" s="3461"/>
      <c r="CGP62" s="3461"/>
      <c r="CGQ62" s="3461"/>
      <c r="CGR62" s="3461"/>
      <c r="CGS62" s="3461"/>
      <c r="CGT62" s="3461"/>
      <c r="CGU62" s="3461"/>
      <c r="CGV62" s="3461"/>
      <c r="CGW62" s="3461"/>
      <c r="CGX62" s="3461"/>
      <c r="CGY62" s="3461"/>
      <c r="CGZ62" s="3461"/>
      <c r="CHA62" s="3461"/>
      <c r="CHB62" s="3461"/>
      <c r="CHC62" s="3461"/>
      <c r="CHD62" s="3461"/>
      <c r="CHE62" s="3461"/>
      <c r="CHF62" s="3461"/>
      <c r="CHG62" s="3461"/>
      <c r="CHH62" s="3461"/>
      <c r="CHI62" s="3461"/>
      <c r="CHJ62" s="3461"/>
      <c r="CHK62" s="3461"/>
      <c r="CHL62" s="3461"/>
      <c r="CHM62" s="3461"/>
      <c r="CHN62" s="3461"/>
      <c r="CHO62" s="3461"/>
      <c r="CHP62" s="3461"/>
      <c r="CHQ62" s="3461"/>
      <c r="CHR62" s="3461"/>
      <c r="CHS62" s="3461"/>
      <c r="CHT62" s="3461"/>
      <c r="CHU62" s="3461"/>
      <c r="CHV62" s="3461"/>
      <c r="CHW62" s="3461"/>
      <c r="CHX62" s="3461"/>
      <c r="CHY62" s="3461"/>
      <c r="CHZ62" s="3461"/>
      <c r="CIA62" s="3461"/>
      <c r="CIB62" s="3461"/>
      <c r="CIC62" s="3461"/>
      <c r="CID62" s="3461"/>
      <c r="CIE62" s="3461"/>
      <c r="CIF62" s="3461"/>
      <c r="CIG62" s="3461"/>
      <c r="CIH62" s="3461"/>
      <c r="CII62" s="3461"/>
      <c r="CIJ62" s="3461"/>
      <c r="CIK62" s="3461"/>
      <c r="CIL62" s="3461"/>
      <c r="CIM62" s="3461"/>
      <c r="CIN62" s="3461"/>
      <c r="CIO62" s="3461"/>
      <c r="CIP62" s="3461"/>
      <c r="CIQ62" s="3461"/>
      <c r="CIR62" s="3461"/>
      <c r="CIS62" s="3461"/>
      <c r="CIT62" s="3461"/>
      <c r="CIU62" s="3461"/>
      <c r="CIV62" s="3461"/>
      <c r="CIW62" s="3461"/>
      <c r="CIX62" s="3461"/>
      <c r="CIY62" s="3461"/>
      <c r="CIZ62" s="3461"/>
      <c r="CJA62" s="3461"/>
      <c r="CJB62" s="3461"/>
      <c r="CJC62" s="3461"/>
      <c r="CJD62" s="3461"/>
      <c r="CJE62" s="3461"/>
      <c r="CJF62" s="3461"/>
      <c r="CJG62" s="3461"/>
      <c r="CJH62" s="3461"/>
      <c r="CJI62" s="3461"/>
      <c r="CJJ62" s="3461"/>
      <c r="CJK62" s="3461"/>
      <c r="CJL62" s="3461"/>
      <c r="CJM62" s="3461"/>
      <c r="CJN62" s="3461"/>
      <c r="CJO62" s="3461"/>
      <c r="CJP62" s="3461"/>
      <c r="CJQ62" s="3461"/>
      <c r="CJR62" s="3461"/>
      <c r="CJS62" s="3461"/>
      <c r="CJT62" s="3461"/>
      <c r="CJU62" s="3461"/>
      <c r="CJV62" s="3461"/>
      <c r="CJW62" s="3461"/>
      <c r="CJX62" s="3461"/>
      <c r="CJY62" s="3461"/>
      <c r="CJZ62" s="3461"/>
      <c r="CKA62" s="3461"/>
      <c r="CKB62" s="3461"/>
      <c r="CKC62" s="3461"/>
      <c r="CKD62" s="3461"/>
      <c r="CKE62" s="3461"/>
      <c r="CKF62" s="3461"/>
      <c r="CKG62" s="3461"/>
      <c r="CKH62" s="3461"/>
      <c r="CKI62" s="3461"/>
      <c r="CKJ62" s="3461"/>
      <c r="CKK62" s="3461"/>
      <c r="CKL62" s="3461"/>
      <c r="CKM62" s="3461"/>
      <c r="CKN62" s="3461"/>
      <c r="CKO62" s="3461"/>
      <c r="CKP62" s="3461"/>
      <c r="CKQ62" s="3461"/>
      <c r="CKR62" s="3461"/>
      <c r="CKS62" s="3461"/>
      <c r="CKT62" s="3461"/>
      <c r="CKU62" s="3461"/>
      <c r="CKV62" s="3461"/>
      <c r="CKW62" s="3461"/>
      <c r="CKX62" s="3461"/>
      <c r="CKY62" s="3461"/>
      <c r="CKZ62" s="3461"/>
      <c r="CLA62" s="3461"/>
      <c r="CLB62" s="3461"/>
      <c r="CLC62" s="3461"/>
      <c r="CLD62" s="3461"/>
      <c r="CLE62" s="3461"/>
      <c r="CLF62" s="3461"/>
      <c r="CLG62" s="3461"/>
      <c r="CLH62" s="3461"/>
      <c r="CLI62" s="3461"/>
      <c r="CLJ62" s="3461"/>
      <c r="CLK62" s="3461"/>
      <c r="CLL62" s="3461"/>
      <c r="CLM62" s="3461"/>
      <c r="CLN62" s="3461"/>
      <c r="CLO62" s="3461"/>
      <c r="CLP62" s="3461"/>
      <c r="CLQ62" s="3461"/>
      <c r="CLR62" s="3461"/>
      <c r="CLS62" s="3461"/>
      <c r="CLT62" s="3461"/>
      <c r="CLU62" s="3461"/>
      <c r="CLV62" s="3461"/>
      <c r="CLW62" s="3461"/>
      <c r="CLX62" s="3461"/>
      <c r="CLY62" s="3461"/>
      <c r="CLZ62" s="3461"/>
      <c r="CMA62" s="3461"/>
      <c r="CMB62" s="3461"/>
      <c r="CMC62" s="3461"/>
      <c r="CMD62" s="3461"/>
      <c r="CME62" s="3461"/>
      <c r="CMF62" s="3461"/>
      <c r="CMG62" s="3461"/>
      <c r="CMH62" s="3461"/>
      <c r="CMI62" s="3461"/>
      <c r="CMJ62" s="3461"/>
      <c r="CMK62" s="3461"/>
      <c r="CML62" s="3461"/>
      <c r="CMM62" s="3461"/>
      <c r="CMN62" s="3461"/>
      <c r="CMO62" s="3461"/>
      <c r="CMP62" s="3461"/>
      <c r="CMQ62" s="3461"/>
      <c r="CMR62" s="3461"/>
      <c r="CMS62" s="3461"/>
      <c r="CMT62" s="3461"/>
      <c r="CMU62" s="3461"/>
      <c r="CMV62" s="3461"/>
      <c r="CMW62" s="3461"/>
      <c r="CMX62" s="3461"/>
      <c r="CMY62" s="3461"/>
      <c r="CMZ62" s="3461"/>
      <c r="CNA62" s="3461"/>
      <c r="CNB62" s="3461"/>
      <c r="CNC62" s="3461"/>
      <c r="CND62" s="3461"/>
      <c r="CNE62" s="3461"/>
      <c r="CNF62" s="3461"/>
      <c r="CNG62" s="3461"/>
      <c r="CNH62" s="3461"/>
      <c r="CNI62" s="3461"/>
      <c r="CNJ62" s="3461"/>
      <c r="CNK62" s="3461"/>
      <c r="CNL62" s="3461"/>
      <c r="CNM62" s="3461"/>
      <c r="CNN62" s="3461"/>
      <c r="CNO62" s="3461"/>
      <c r="CNP62" s="3461"/>
      <c r="CNQ62" s="3461"/>
      <c r="CNR62" s="3461"/>
      <c r="CNS62" s="3461"/>
      <c r="CNT62" s="3461"/>
      <c r="CNU62" s="3461"/>
      <c r="CNV62" s="3461"/>
      <c r="CNW62" s="3461"/>
      <c r="CNX62" s="3461"/>
      <c r="CNY62" s="3461"/>
      <c r="CNZ62" s="3461"/>
      <c r="COA62" s="3461"/>
      <c r="COB62" s="3461"/>
      <c r="COC62" s="3461"/>
      <c r="COD62" s="3461"/>
      <c r="COE62" s="3461"/>
      <c r="COF62" s="3461"/>
      <c r="COG62" s="3461"/>
      <c r="COH62" s="3461"/>
      <c r="COI62" s="3461"/>
      <c r="COJ62" s="3461"/>
      <c r="COK62" s="3461"/>
      <c r="COL62" s="3461"/>
      <c r="COM62" s="3461"/>
      <c r="CON62" s="3461"/>
      <c r="COO62" s="3461"/>
      <c r="COP62" s="3461"/>
      <c r="COQ62" s="3461"/>
      <c r="COR62" s="3461"/>
      <c r="COS62" s="3461"/>
      <c r="COT62" s="3461"/>
      <c r="COU62" s="3461"/>
      <c r="COV62" s="3461"/>
      <c r="COW62" s="3461"/>
      <c r="COX62" s="3461"/>
      <c r="COY62" s="3461"/>
      <c r="COZ62" s="3461"/>
      <c r="CPA62" s="3461"/>
      <c r="CPB62" s="3461"/>
      <c r="CPC62" s="3461"/>
      <c r="CPD62" s="3461"/>
      <c r="CPE62" s="3461"/>
      <c r="CPF62" s="3461"/>
      <c r="CPG62" s="3461"/>
      <c r="CPH62" s="3461"/>
      <c r="CPI62" s="3461"/>
      <c r="CPJ62" s="3461"/>
      <c r="CPK62" s="3461"/>
      <c r="CPL62" s="3461"/>
      <c r="CPM62" s="3461"/>
      <c r="CPN62" s="3461"/>
      <c r="CPO62" s="3461"/>
      <c r="CPP62" s="3461"/>
      <c r="CPQ62" s="3461"/>
      <c r="CPR62" s="3461"/>
      <c r="CPS62" s="3461"/>
      <c r="CPT62" s="3461"/>
      <c r="CPU62" s="3461"/>
      <c r="CPV62" s="3461"/>
      <c r="CPW62" s="3461"/>
      <c r="CPX62" s="3461"/>
      <c r="CPY62" s="3461"/>
      <c r="CPZ62" s="3461"/>
      <c r="CQA62" s="3461"/>
      <c r="CQB62" s="3461"/>
      <c r="CQC62" s="3461"/>
      <c r="CQD62" s="3461"/>
      <c r="CQE62" s="3461"/>
      <c r="CQF62" s="3461"/>
      <c r="CQG62" s="3461"/>
      <c r="CQH62" s="3461"/>
      <c r="CQI62" s="3461"/>
      <c r="CQJ62" s="3461"/>
      <c r="CQK62" s="3461"/>
      <c r="CQL62" s="3461"/>
      <c r="CQM62" s="3461"/>
      <c r="CQN62" s="3461"/>
      <c r="CQO62" s="3461"/>
      <c r="CQP62" s="3461"/>
      <c r="CQQ62" s="3461"/>
      <c r="CQR62" s="3461"/>
      <c r="CQS62" s="3461"/>
      <c r="CQT62" s="3461"/>
      <c r="CQU62" s="3461"/>
      <c r="CQV62" s="3461"/>
      <c r="CQW62" s="3461"/>
      <c r="CQX62" s="3461"/>
      <c r="CQY62" s="3461"/>
      <c r="CQZ62" s="3461"/>
      <c r="CRA62" s="3461"/>
      <c r="CRB62" s="3461"/>
      <c r="CRC62" s="3461"/>
      <c r="CRD62" s="3461"/>
      <c r="CRE62" s="3461"/>
      <c r="CRF62" s="3461"/>
      <c r="CRG62" s="3461"/>
      <c r="CRH62" s="3461"/>
      <c r="CRI62" s="3461"/>
      <c r="CRJ62" s="3461"/>
      <c r="CRK62" s="3461"/>
      <c r="CRL62" s="3461"/>
      <c r="CRM62" s="3461"/>
      <c r="CRN62" s="3461"/>
      <c r="CRO62" s="3461"/>
      <c r="CRP62" s="3461"/>
      <c r="CRQ62" s="3461"/>
      <c r="CRR62" s="3461"/>
      <c r="CRS62" s="3461"/>
      <c r="CRT62" s="3461"/>
      <c r="CRU62" s="3461"/>
      <c r="CRV62" s="3461"/>
      <c r="CRW62" s="3461"/>
      <c r="CRX62" s="3461"/>
      <c r="CRY62" s="3461"/>
      <c r="CRZ62" s="3461"/>
      <c r="CSA62" s="3461"/>
      <c r="CSB62" s="3461"/>
      <c r="CSC62" s="3461"/>
      <c r="CSD62" s="3461"/>
      <c r="CSE62" s="3461"/>
      <c r="CSF62" s="3461"/>
      <c r="CSG62" s="3461"/>
      <c r="CSH62" s="3461"/>
      <c r="CSI62" s="3461"/>
      <c r="CSJ62" s="3461"/>
      <c r="CSK62" s="3461"/>
      <c r="CSL62" s="3461"/>
      <c r="CSM62" s="3461"/>
      <c r="CSN62" s="3461"/>
      <c r="CSO62" s="3461"/>
      <c r="CSP62" s="3461"/>
      <c r="CSQ62" s="3461"/>
      <c r="CSR62" s="3461"/>
      <c r="CSS62" s="3461"/>
      <c r="CST62" s="3461"/>
      <c r="CSU62" s="3461"/>
      <c r="CSV62" s="3461"/>
      <c r="CSW62" s="3461"/>
      <c r="CSX62" s="3461"/>
      <c r="CSY62" s="3461"/>
      <c r="CSZ62" s="3461"/>
      <c r="CTA62" s="3461"/>
      <c r="CTB62" s="3461"/>
      <c r="CTC62" s="3461"/>
      <c r="CTD62" s="3461"/>
      <c r="CTE62" s="3461"/>
      <c r="CTF62" s="3461"/>
      <c r="CTG62" s="3461"/>
      <c r="CTH62" s="3461"/>
      <c r="CTI62" s="3461"/>
      <c r="CTJ62" s="3461"/>
      <c r="CTK62" s="3461"/>
      <c r="CTL62" s="3461"/>
      <c r="CTM62" s="3461"/>
      <c r="CTN62" s="3461"/>
      <c r="CTO62" s="3461"/>
      <c r="CTP62" s="3461"/>
      <c r="CTQ62" s="3461"/>
      <c r="CTR62" s="3461"/>
      <c r="CTS62" s="3461"/>
      <c r="CTT62" s="3461"/>
      <c r="CTU62" s="3461"/>
      <c r="CTV62" s="3461"/>
      <c r="CTW62" s="3461"/>
      <c r="CTX62" s="3461"/>
      <c r="CTY62" s="3461"/>
      <c r="CTZ62" s="3461"/>
      <c r="CUA62" s="3461"/>
      <c r="CUB62" s="3461"/>
      <c r="CUC62" s="3461"/>
      <c r="CUD62" s="3461"/>
      <c r="CUE62" s="3461"/>
      <c r="CUF62" s="3461"/>
      <c r="CUG62" s="3461"/>
      <c r="CUH62" s="3461"/>
      <c r="CUI62" s="3461"/>
      <c r="CUJ62" s="3461"/>
      <c r="CUK62" s="3461"/>
      <c r="CUL62" s="3461"/>
      <c r="CUM62" s="3461"/>
      <c r="CUN62" s="3461"/>
      <c r="CUO62" s="3461"/>
      <c r="CUP62" s="3461"/>
      <c r="CUQ62" s="3461"/>
      <c r="CUR62" s="3461"/>
      <c r="CUS62" s="3461"/>
      <c r="CUT62" s="3461"/>
      <c r="CUU62" s="3461"/>
      <c r="CUV62" s="3461"/>
      <c r="CUW62" s="3461"/>
      <c r="CUX62" s="3461"/>
      <c r="CUY62" s="3461"/>
      <c r="CUZ62" s="3461"/>
      <c r="CVA62" s="3461"/>
      <c r="CVB62" s="3461"/>
      <c r="CVC62" s="3461"/>
      <c r="CVD62" s="3461"/>
      <c r="CVE62" s="3461"/>
      <c r="CVF62" s="3461"/>
      <c r="CVG62" s="3461"/>
      <c r="CVH62" s="3461"/>
      <c r="CVI62" s="3461"/>
      <c r="CVJ62" s="3461"/>
      <c r="CVK62" s="3461"/>
      <c r="CVL62" s="3461"/>
      <c r="CVM62" s="3461"/>
      <c r="CVN62" s="3461"/>
      <c r="CVO62" s="3461"/>
      <c r="CVP62" s="3461"/>
      <c r="CVQ62" s="3461"/>
      <c r="CVR62" s="3461"/>
      <c r="CVS62" s="3461"/>
      <c r="CVT62" s="3461"/>
      <c r="CVU62" s="3461"/>
      <c r="CVV62" s="3461"/>
      <c r="CVW62" s="3461"/>
      <c r="CVX62" s="3461"/>
      <c r="CVY62" s="3461"/>
      <c r="CVZ62" s="3461"/>
      <c r="CWA62" s="3461"/>
      <c r="CWB62" s="3461"/>
      <c r="CWC62" s="3461"/>
      <c r="CWD62" s="3461"/>
      <c r="CWE62" s="3461"/>
      <c r="CWF62" s="3461"/>
      <c r="CWG62" s="3461"/>
      <c r="CWH62" s="3461"/>
      <c r="CWI62" s="3461"/>
      <c r="CWJ62" s="3461"/>
      <c r="CWK62" s="3461"/>
      <c r="CWL62" s="3461"/>
      <c r="CWM62" s="3461"/>
      <c r="CWN62" s="3461"/>
      <c r="CWO62" s="3461"/>
      <c r="CWP62" s="3461"/>
      <c r="CWQ62" s="3461"/>
      <c r="CWR62" s="3461"/>
      <c r="CWS62" s="3461"/>
      <c r="CWT62" s="3461"/>
      <c r="CWU62" s="3461"/>
      <c r="CWV62" s="3461"/>
      <c r="CWW62" s="3461"/>
      <c r="CWX62" s="3461"/>
      <c r="CWY62" s="3461"/>
      <c r="CWZ62" s="3461"/>
      <c r="CXA62" s="3461"/>
      <c r="CXB62" s="3461"/>
      <c r="CXC62" s="3461"/>
      <c r="CXD62" s="3461"/>
      <c r="CXE62" s="3461"/>
      <c r="CXF62" s="3461"/>
      <c r="CXG62" s="3461"/>
      <c r="CXH62" s="3461"/>
      <c r="CXI62" s="3461"/>
      <c r="CXJ62" s="3461"/>
      <c r="CXK62" s="3461"/>
      <c r="CXL62" s="3461"/>
      <c r="CXM62" s="3461"/>
      <c r="CXN62" s="3461"/>
      <c r="CXO62" s="3461"/>
      <c r="CXP62" s="3461"/>
      <c r="CXQ62" s="3461"/>
      <c r="CXR62" s="3461"/>
      <c r="CXS62" s="3461"/>
      <c r="CXT62" s="3461"/>
      <c r="CXU62" s="3461"/>
      <c r="CXV62" s="3461"/>
      <c r="CXW62" s="3461"/>
      <c r="CXX62" s="3461"/>
      <c r="CXY62" s="3461"/>
      <c r="CXZ62" s="3461"/>
      <c r="CYA62" s="3461"/>
      <c r="CYB62" s="3461"/>
      <c r="CYC62" s="3461"/>
      <c r="CYD62" s="3461"/>
      <c r="CYE62" s="3461"/>
      <c r="CYF62" s="3461"/>
      <c r="CYG62" s="3461"/>
      <c r="CYH62" s="3461"/>
      <c r="CYI62" s="3461"/>
      <c r="CYJ62" s="3461"/>
      <c r="CYK62" s="3461"/>
      <c r="CYL62" s="3461"/>
      <c r="CYM62" s="3461"/>
      <c r="CYN62" s="3461"/>
      <c r="CYO62" s="3461"/>
      <c r="CYP62" s="3461"/>
      <c r="CYQ62" s="3461"/>
      <c r="CYR62" s="3461"/>
      <c r="CYS62" s="3461"/>
      <c r="CYT62" s="3461"/>
      <c r="CYU62" s="3461"/>
      <c r="CYV62" s="3461"/>
      <c r="CYW62" s="3461"/>
      <c r="CYX62" s="3461"/>
      <c r="CYY62" s="3461"/>
      <c r="CYZ62" s="3461"/>
      <c r="CZA62" s="3461"/>
      <c r="CZB62" s="3461"/>
      <c r="CZC62" s="3461"/>
      <c r="CZD62" s="3461"/>
      <c r="CZE62" s="3461"/>
      <c r="CZF62" s="3461"/>
      <c r="CZG62" s="3461"/>
      <c r="CZH62" s="3461"/>
      <c r="CZI62" s="3461"/>
      <c r="CZJ62" s="3461"/>
      <c r="CZK62" s="3461"/>
      <c r="CZL62" s="3461"/>
      <c r="CZM62" s="3461"/>
      <c r="CZN62" s="3461"/>
      <c r="CZO62" s="3461"/>
      <c r="CZP62" s="3461"/>
      <c r="CZQ62" s="3461"/>
      <c r="CZR62" s="3461"/>
      <c r="CZS62" s="3461"/>
      <c r="CZT62" s="3461"/>
      <c r="CZU62" s="3461"/>
      <c r="CZV62" s="3461"/>
      <c r="CZW62" s="3461"/>
      <c r="CZX62" s="3461"/>
      <c r="CZY62" s="3461"/>
      <c r="CZZ62" s="3461"/>
      <c r="DAA62" s="3461"/>
      <c r="DAB62" s="3461"/>
      <c r="DAC62" s="3461"/>
      <c r="DAD62" s="3461"/>
      <c r="DAE62" s="3461"/>
      <c r="DAF62" s="3461"/>
      <c r="DAG62" s="3461"/>
      <c r="DAH62" s="3461"/>
      <c r="DAI62" s="3461"/>
      <c r="DAJ62" s="3461"/>
      <c r="DAK62" s="3461"/>
      <c r="DAL62" s="3461"/>
      <c r="DAM62" s="3461"/>
      <c r="DAN62" s="3461"/>
      <c r="DAO62" s="3461"/>
      <c r="DAP62" s="3461"/>
      <c r="DAQ62" s="3461"/>
      <c r="DAR62" s="3461"/>
      <c r="DAS62" s="3461"/>
      <c r="DAT62" s="3461"/>
      <c r="DAU62" s="3461"/>
      <c r="DAV62" s="3461"/>
      <c r="DAW62" s="3461"/>
      <c r="DAX62" s="3461"/>
      <c r="DAY62" s="3461"/>
      <c r="DAZ62" s="3461"/>
      <c r="DBA62" s="3461"/>
      <c r="DBB62" s="3461"/>
      <c r="DBC62" s="3461"/>
      <c r="DBD62" s="3461"/>
      <c r="DBE62" s="3461"/>
      <c r="DBF62" s="3461"/>
      <c r="DBG62" s="3461"/>
      <c r="DBH62" s="3461"/>
      <c r="DBI62" s="3461"/>
      <c r="DBJ62" s="3461"/>
      <c r="DBK62" s="3461"/>
      <c r="DBL62" s="3461"/>
      <c r="DBM62" s="3461"/>
      <c r="DBN62" s="3461"/>
      <c r="DBO62" s="3461"/>
      <c r="DBP62" s="3461"/>
      <c r="DBQ62" s="3461"/>
      <c r="DBR62" s="3461"/>
      <c r="DBS62" s="3461"/>
      <c r="DBT62" s="3461"/>
      <c r="DBU62" s="3461"/>
      <c r="DBV62" s="3461"/>
      <c r="DBW62" s="3461"/>
      <c r="DBX62" s="3461"/>
      <c r="DBY62" s="3461"/>
      <c r="DBZ62" s="3461"/>
      <c r="DCA62" s="3461"/>
      <c r="DCB62" s="3461"/>
      <c r="DCC62" s="3461"/>
      <c r="DCD62" s="3461"/>
      <c r="DCE62" s="3461"/>
      <c r="DCF62" s="3461"/>
      <c r="DCG62" s="3461"/>
      <c r="DCH62" s="3461"/>
      <c r="DCI62" s="3461"/>
      <c r="DCJ62" s="3461"/>
      <c r="DCK62" s="3461"/>
      <c r="DCL62" s="3461"/>
      <c r="DCM62" s="3461"/>
      <c r="DCN62" s="3461"/>
      <c r="DCO62" s="3461"/>
      <c r="DCP62" s="3461"/>
      <c r="DCQ62" s="3461"/>
      <c r="DCR62" s="3461"/>
      <c r="DCS62" s="3461"/>
      <c r="DCT62" s="3461"/>
      <c r="DCU62" s="3461"/>
      <c r="DCV62" s="3461"/>
      <c r="DCW62" s="3461"/>
      <c r="DCX62" s="3461"/>
      <c r="DCY62" s="3461"/>
      <c r="DCZ62" s="3461"/>
      <c r="DDA62" s="3461"/>
      <c r="DDB62" s="3461"/>
      <c r="DDC62" s="3461"/>
      <c r="DDD62" s="3461"/>
      <c r="DDE62" s="3461"/>
      <c r="DDF62" s="3461"/>
      <c r="DDG62" s="3461"/>
      <c r="DDH62" s="3461"/>
      <c r="DDI62" s="3461"/>
      <c r="DDJ62" s="3461"/>
      <c r="DDK62" s="3461"/>
      <c r="DDL62" s="3461"/>
      <c r="DDM62" s="3461"/>
      <c r="DDN62" s="3461"/>
      <c r="DDO62" s="3461"/>
      <c r="DDP62" s="3461"/>
      <c r="DDQ62" s="3461"/>
      <c r="DDR62" s="3461"/>
      <c r="DDS62" s="3461"/>
      <c r="DDT62" s="3461"/>
      <c r="DDU62" s="3461"/>
      <c r="DDV62" s="3461"/>
      <c r="DDW62" s="3461"/>
      <c r="DDX62" s="3461"/>
      <c r="DDY62" s="3461"/>
      <c r="DDZ62" s="3461"/>
      <c r="DEA62" s="3461"/>
      <c r="DEB62" s="3461"/>
      <c r="DEC62" s="3461"/>
      <c r="DED62" s="3461"/>
      <c r="DEE62" s="3461"/>
      <c r="DEF62" s="3461"/>
      <c r="DEG62" s="3461"/>
      <c r="DEH62" s="3461"/>
      <c r="DEI62" s="3461"/>
      <c r="DEJ62" s="3461"/>
      <c r="DEK62" s="3461"/>
      <c r="DEL62" s="3461"/>
      <c r="DEM62" s="3461"/>
      <c r="DEN62" s="3461"/>
      <c r="DEO62" s="3461"/>
      <c r="DEP62" s="3461"/>
      <c r="DEQ62" s="3461"/>
      <c r="DER62" s="3461"/>
      <c r="DES62" s="3461"/>
      <c r="DET62" s="3461"/>
      <c r="DEU62" s="3461"/>
      <c r="DEV62" s="3461"/>
      <c r="DEW62" s="3461"/>
      <c r="DEX62" s="3461"/>
      <c r="DEY62" s="3461"/>
      <c r="DEZ62" s="3461"/>
      <c r="DFA62" s="3461"/>
      <c r="DFB62" s="3461"/>
      <c r="DFC62" s="3461"/>
      <c r="DFD62" s="3461"/>
      <c r="DFE62" s="3461"/>
      <c r="DFF62" s="3461"/>
      <c r="DFG62" s="3461"/>
      <c r="DFH62" s="3461"/>
      <c r="DFI62" s="3461"/>
      <c r="DFJ62" s="3461"/>
      <c r="DFK62" s="3461"/>
      <c r="DFL62" s="3461"/>
      <c r="DFM62" s="3461"/>
      <c r="DFN62" s="3461"/>
      <c r="DFO62" s="3461"/>
      <c r="DFP62" s="3461"/>
      <c r="DFQ62" s="3461"/>
      <c r="DFR62" s="3461"/>
      <c r="DFS62" s="3461"/>
      <c r="DFT62" s="3461"/>
      <c r="DFU62" s="3461"/>
      <c r="DFV62" s="3461"/>
      <c r="DFW62" s="3461"/>
      <c r="DFX62" s="3461"/>
      <c r="DFY62" s="3461"/>
      <c r="DFZ62" s="3461"/>
      <c r="DGA62" s="3461"/>
      <c r="DGB62" s="3461"/>
      <c r="DGC62" s="3461"/>
      <c r="DGD62" s="3461"/>
      <c r="DGE62" s="3461"/>
      <c r="DGF62" s="3461"/>
      <c r="DGG62" s="3461"/>
      <c r="DGH62" s="3461"/>
      <c r="DGI62" s="3461"/>
      <c r="DGJ62" s="3461"/>
      <c r="DGK62" s="3461"/>
      <c r="DGL62" s="3461"/>
      <c r="DGM62" s="3461"/>
      <c r="DGN62" s="3461"/>
      <c r="DGO62" s="3461"/>
      <c r="DGP62" s="3461"/>
      <c r="DGQ62" s="3461"/>
      <c r="DGR62" s="3461"/>
      <c r="DGS62" s="3461"/>
      <c r="DGT62" s="3461"/>
      <c r="DGU62" s="3461"/>
      <c r="DGV62" s="3461"/>
      <c r="DGW62" s="3461"/>
      <c r="DGX62" s="3461"/>
      <c r="DGY62" s="3461"/>
      <c r="DGZ62" s="3461"/>
      <c r="DHA62" s="3461"/>
      <c r="DHB62" s="3461"/>
      <c r="DHC62" s="3461"/>
      <c r="DHD62" s="3461"/>
      <c r="DHE62" s="3461"/>
      <c r="DHF62" s="3461"/>
      <c r="DHG62" s="3461"/>
      <c r="DHH62" s="3461"/>
      <c r="DHI62" s="3461"/>
      <c r="DHJ62" s="3461"/>
      <c r="DHK62" s="3461"/>
      <c r="DHL62" s="3461"/>
      <c r="DHM62" s="3461"/>
      <c r="DHN62" s="3461"/>
      <c r="DHO62" s="3461"/>
      <c r="DHP62" s="3461"/>
      <c r="DHQ62" s="3461"/>
      <c r="DHR62" s="3461"/>
      <c r="DHS62" s="3461"/>
      <c r="DHT62" s="3461"/>
      <c r="DHU62" s="3461"/>
      <c r="DHV62" s="3461"/>
      <c r="DHW62" s="3461"/>
      <c r="DHX62" s="3461"/>
      <c r="DHY62" s="3461"/>
      <c r="DHZ62" s="3461"/>
      <c r="DIA62" s="3461"/>
      <c r="DIB62" s="3461"/>
      <c r="DIC62" s="3461"/>
      <c r="DID62" s="3461"/>
      <c r="DIE62" s="3461"/>
      <c r="DIF62" s="3461"/>
      <c r="DIG62" s="3461"/>
      <c r="DIH62" s="3461"/>
      <c r="DII62" s="3461"/>
      <c r="DIJ62" s="3461"/>
      <c r="DIK62" s="3461"/>
      <c r="DIL62" s="3461"/>
      <c r="DIM62" s="3461"/>
      <c r="DIN62" s="3461"/>
      <c r="DIO62" s="3461"/>
      <c r="DIP62" s="3461"/>
      <c r="DIQ62" s="3461"/>
      <c r="DIR62" s="3461"/>
      <c r="DIS62" s="3461"/>
      <c r="DIT62" s="3461"/>
      <c r="DIU62" s="3461"/>
      <c r="DIV62" s="3461"/>
      <c r="DIW62" s="3461"/>
      <c r="DIX62" s="3461"/>
      <c r="DIY62" s="3461"/>
      <c r="DIZ62" s="3461"/>
      <c r="DJA62" s="3461"/>
      <c r="DJB62" s="3461"/>
      <c r="DJC62" s="3461"/>
      <c r="DJD62" s="3461"/>
      <c r="DJE62" s="3461"/>
      <c r="DJF62" s="3461"/>
      <c r="DJG62" s="3461"/>
      <c r="DJH62" s="3461"/>
      <c r="DJI62" s="3461"/>
      <c r="DJJ62" s="3461"/>
      <c r="DJK62" s="3461"/>
      <c r="DJL62" s="3461"/>
      <c r="DJM62" s="3461"/>
      <c r="DJN62" s="3461"/>
      <c r="DJO62" s="3461"/>
      <c r="DJP62" s="3461"/>
      <c r="DJQ62" s="3461"/>
      <c r="DJR62" s="3461"/>
      <c r="DJS62" s="3461"/>
      <c r="DJT62" s="3461"/>
      <c r="DJU62" s="3461"/>
      <c r="DJV62" s="3461"/>
      <c r="DJW62" s="3461"/>
      <c r="DJX62" s="3461"/>
      <c r="DJY62" s="3461"/>
      <c r="DJZ62" s="3461"/>
      <c r="DKA62" s="3461"/>
      <c r="DKB62" s="3461"/>
      <c r="DKC62" s="3461"/>
      <c r="DKD62" s="3461"/>
      <c r="DKE62" s="3461"/>
      <c r="DKF62" s="3461"/>
      <c r="DKG62" s="3461"/>
      <c r="DKH62" s="3461"/>
      <c r="DKI62" s="3461"/>
      <c r="DKJ62" s="3461"/>
      <c r="DKK62" s="3461"/>
      <c r="DKL62" s="3461"/>
      <c r="DKM62" s="3461"/>
      <c r="DKN62" s="3461"/>
      <c r="DKO62" s="3461"/>
      <c r="DKP62" s="3461"/>
      <c r="DKQ62" s="3461"/>
      <c r="DKR62" s="3461"/>
      <c r="DKS62" s="3461"/>
      <c r="DKT62" s="3461"/>
      <c r="DKU62" s="3461"/>
      <c r="DKV62" s="3461"/>
      <c r="DKW62" s="3461"/>
      <c r="DKX62" s="3461"/>
      <c r="DKY62" s="3461"/>
      <c r="DKZ62" s="3461"/>
      <c r="DLA62" s="3461"/>
      <c r="DLB62" s="3461"/>
      <c r="DLC62" s="3461"/>
      <c r="DLD62" s="3461"/>
      <c r="DLE62" s="3461"/>
      <c r="DLF62" s="3461"/>
      <c r="DLG62" s="3461"/>
      <c r="DLH62" s="3461"/>
      <c r="DLI62" s="3461"/>
      <c r="DLJ62" s="3461"/>
      <c r="DLK62" s="3461"/>
      <c r="DLL62" s="3461"/>
      <c r="DLM62" s="3461"/>
      <c r="DLN62" s="3461"/>
      <c r="DLO62" s="3461"/>
      <c r="DLP62" s="3461"/>
      <c r="DLQ62" s="3461"/>
      <c r="DLR62" s="3461"/>
      <c r="DLS62" s="3461"/>
      <c r="DLT62" s="3461"/>
      <c r="DLU62" s="3461"/>
      <c r="DLV62" s="3461"/>
      <c r="DLW62" s="3461"/>
      <c r="DLX62" s="3461"/>
      <c r="DLY62" s="3461"/>
      <c r="DLZ62" s="3461"/>
      <c r="DMA62" s="3461"/>
      <c r="DMB62" s="3461"/>
      <c r="DMC62" s="3461"/>
      <c r="DMD62" s="3461"/>
      <c r="DME62" s="3461"/>
      <c r="DMF62" s="3461"/>
      <c r="DMG62" s="3461"/>
      <c r="DMH62" s="3461"/>
      <c r="DMI62" s="3461"/>
      <c r="DMJ62" s="3461"/>
      <c r="DMK62" s="3461"/>
      <c r="DML62" s="3461"/>
      <c r="DMM62" s="3461"/>
      <c r="DMN62" s="3461"/>
      <c r="DMO62" s="3461"/>
      <c r="DMP62" s="3461"/>
      <c r="DMQ62" s="3461"/>
      <c r="DMR62" s="3461"/>
      <c r="DMS62" s="3461"/>
      <c r="DMT62" s="3461"/>
      <c r="DMU62" s="3461"/>
      <c r="DMV62" s="3461"/>
      <c r="DMW62" s="3461"/>
      <c r="DMX62" s="3461"/>
      <c r="DMY62" s="3461"/>
      <c r="DMZ62" s="3461"/>
      <c r="DNA62" s="3461"/>
      <c r="DNB62" s="3461"/>
      <c r="DNC62" s="3461"/>
      <c r="DND62" s="3461"/>
      <c r="DNE62" s="3461"/>
      <c r="DNF62" s="3461"/>
      <c r="DNG62" s="3461"/>
      <c r="DNH62" s="3461"/>
      <c r="DNI62" s="3461"/>
      <c r="DNJ62" s="3461"/>
      <c r="DNK62" s="3461"/>
      <c r="DNL62" s="3461"/>
      <c r="DNM62" s="3461"/>
      <c r="DNN62" s="3461"/>
      <c r="DNO62" s="3461"/>
      <c r="DNP62" s="3461"/>
      <c r="DNQ62" s="3461"/>
      <c r="DNR62" s="3461"/>
      <c r="DNS62" s="3461"/>
      <c r="DNT62" s="3461"/>
      <c r="DNU62" s="3461"/>
      <c r="DNV62" s="3461"/>
      <c r="DNW62" s="3461"/>
      <c r="DNX62" s="3461"/>
      <c r="DNY62" s="3461"/>
      <c r="DNZ62" s="3461"/>
      <c r="DOA62" s="3461"/>
      <c r="DOB62" s="3461"/>
      <c r="DOC62" s="3461"/>
      <c r="DOD62" s="3461"/>
      <c r="DOE62" s="3461"/>
      <c r="DOF62" s="3461"/>
      <c r="DOG62" s="3461"/>
      <c r="DOH62" s="3461"/>
      <c r="DOI62" s="3461"/>
      <c r="DOJ62" s="3461"/>
      <c r="DOK62" s="3461"/>
      <c r="DOL62" s="3461"/>
      <c r="DOM62" s="3461"/>
      <c r="DON62" s="3461"/>
      <c r="DOO62" s="3461"/>
      <c r="DOP62" s="3461"/>
      <c r="DOQ62" s="3461"/>
      <c r="DOR62" s="3461"/>
      <c r="DOS62" s="3461"/>
      <c r="DOT62" s="3461"/>
      <c r="DOU62" s="3461"/>
      <c r="DOV62" s="3461"/>
      <c r="DOW62" s="3461"/>
      <c r="DOX62" s="3461"/>
      <c r="DOY62" s="3461"/>
      <c r="DOZ62" s="3461"/>
      <c r="DPA62" s="3461"/>
      <c r="DPB62" s="3461"/>
      <c r="DPC62" s="3461"/>
      <c r="DPD62" s="3461"/>
      <c r="DPE62" s="3461"/>
      <c r="DPF62" s="3461"/>
      <c r="DPG62" s="3461"/>
      <c r="DPH62" s="3461"/>
      <c r="DPI62" s="3461"/>
      <c r="DPJ62" s="3461"/>
      <c r="DPK62" s="3461"/>
      <c r="DPL62" s="3461"/>
      <c r="DPM62" s="3461"/>
      <c r="DPN62" s="3461"/>
      <c r="DPO62" s="3461"/>
      <c r="DPP62" s="3461"/>
      <c r="DPQ62" s="3461"/>
      <c r="DPR62" s="3461"/>
      <c r="DPS62" s="3461"/>
      <c r="DPT62" s="3461"/>
      <c r="DPU62" s="3461"/>
      <c r="DPV62" s="3461"/>
      <c r="DPW62" s="3461"/>
      <c r="DPX62" s="3461"/>
      <c r="DPY62" s="3461"/>
      <c r="DPZ62" s="3461"/>
      <c r="DQA62" s="3461"/>
      <c r="DQB62" s="3461"/>
      <c r="DQC62" s="3461"/>
      <c r="DQD62" s="3461"/>
      <c r="DQE62" s="3461"/>
      <c r="DQF62" s="3461"/>
      <c r="DQG62" s="3461"/>
      <c r="DQH62" s="3461"/>
      <c r="DQI62" s="3461"/>
      <c r="DQJ62" s="3461"/>
      <c r="DQK62" s="3461"/>
      <c r="DQL62" s="3461"/>
      <c r="DQM62" s="3461"/>
      <c r="DQN62" s="3461"/>
      <c r="DQO62" s="3461"/>
      <c r="DQP62" s="3461"/>
      <c r="DQQ62" s="3461"/>
      <c r="DQR62" s="3461"/>
      <c r="DQS62" s="3461"/>
      <c r="DQT62" s="3461"/>
      <c r="DQU62" s="3461"/>
      <c r="DQV62" s="3461"/>
      <c r="DQW62" s="3461"/>
      <c r="DQX62" s="3461"/>
      <c r="DQY62" s="3461"/>
      <c r="DQZ62" s="3461"/>
      <c r="DRA62" s="3461"/>
      <c r="DRB62" s="3461"/>
      <c r="DRC62" s="3461"/>
      <c r="DRD62" s="3461"/>
      <c r="DRE62" s="3461"/>
      <c r="DRF62" s="3461"/>
      <c r="DRG62" s="3461"/>
      <c r="DRH62" s="3461"/>
      <c r="DRI62" s="3461"/>
      <c r="DRJ62" s="3461"/>
      <c r="DRK62" s="3461"/>
      <c r="DRL62" s="3461"/>
      <c r="DRM62" s="3461"/>
      <c r="DRN62" s="3461"/>
      <c r="DRO62" s="3461"/>
      <c r="DRP62" s="3461"/>
      <c r="DRQ62" s="3461"/>
      <c r="DRR62" s="3461"/>
      <c r="DRS62" s="3461"/>
      <c r="DRT62" s="3461"/>
      <c r="DRU62" s="3461"/>
      <c r="DRV62" s="3461"/>
      <c r="DRW62" s="3461"/>
      <c r="DRX62" s="3461"/>
      <c r="DRY62" s="3461"/>
      <c r="DRZ62" s="3461"/>
      <c r="DSA62" s="3461"/>
      <c r="DSB62" s="3461"/>
      <c r="DSC62" s="3461"/>
      <c r="DSD62" s="3461"/>
      <c r="DSE62" s="3461"/>
      <c r="DSF62" s="3461"/>
      <c r="DSG62" s="3461"/>
      <c r="DSH62" s="3461"/>
      <c r="DSI62" s="3461"/>
      <c r="DSJ62" s="3461"/>
      <c r="DSK62" s="3461"/>
      <c r="DSL62" s="3461"/>
      <c r="DSM62" s="3461"/>
      <c r="DSN62" s="3461"/>
      <c r="DSO62" s="3461"/>
      <c r="DSP62" s="3461"/>
      <c r="DSQ62" s="3461"/>
      <c r="DSR62" s="3461"/>
      <c r="DSS62" s="3461"/>
      <c r="DST62" s="3461"/>
      <c r="DSU62" s="3461"/>
      <c r="DSV62" s="3461"/>
      <c r="DSW62" s="3461"/>
      <c r="DSX62" s="3461"/>
      <c r="DSY62" s="3461"/>
      <c r="DSZ62" s="3461"/>
      <c r="DTA62" s="3461"/>
      <c r="DTB62" s="3461"/>
      <c r="DTC62" s="3461"/>
      <c r="DTD62" s="3461"/>
      <c r="DTE62" s="3461"/>
      <c r="DTF62" s="3461"/>
      <c r="DTG62" s="3461"/>
      <c r="DTH62" s="3461"/>
      <c r="DTI62" s="3461"/>
      <c r="DTJ62" s="3461"/>
      <c r="DTK62" s="3461"/>
      <c r="DTL62" s="3461"/>
      <c r="DTM62" s="3461"/>
      <c r="DTN62" s="3461"/>
      <c r="DTO62" s="3461"/>
      <c r="DTP62" s="3461"/>
      <c r="DTQ62" s="3461"/>
      <c r="DTR62" s="3461"/>
      <c r="DTS62" s="3461"/>
      <c r="DTT62" s="3461"/>
      <c r="DTU62" s="3461"/>
      <c r="DTV62" s="3461"/>
      <c r="DTW62" s="3461"/>
      <c r="DTX62" s="3461"/>
      <c r="DTY62" s="3461"/>
      <c r="DTZ62" s="3461"/>
      <c r="DUA62" s="3461"/>
      <c r="DUB62" s="3461"/>
      <c r="DUC62" s="3461"/>
      <c r="DUD62" s="3461"/>
      <c r="DUE62" s="3461"/>
      <c r="DUF62" s="3461"/>
      <c r="DUG62" s="3461"/>
      <c r="DUH62" s="3461"/>
      <c r="DUI62" s="3461"/>
      <c r="DUJ62" s="3461"/>
      <c r="DUK62" s="3461"/>
      <c r="DUL62" s="3461"/>
      <c r="DUM62" s="3461"/>
      <c r="DUN62" s="3461"/>
      <c r="DUO62" s="3461"/>
      <c r="DUP62" s="3461"/>
      <c r="DUQ62" s="3461"/>
      <c r="DUR62" s="3461"/>
      <c r="DUS62" s="3461"/>
      <c r="DUT62" s="3461"/>
      <c r="DUU62" s="3461"/>
      <c r="DUV62" s="3461"/>
      <c r="DUW62" s="3461"/>
      <c r="DUX62" s="3461"/>
      <c r="DUY62" s="3461"/>
      <c r="DUZ62" s="3461"/>
      <c r="DVA62" s="3461"/>
      <c r="DVB62" s="3461"/>
      <c r="DVC62" s="3461"/>
      <c r="DVD62" s="3461"/>
      <c r="DVE62" s="3461"/>
      <c r="DVF62" s="3461"/>
      <c r="DVG62" s="3461"/>
      <c r="DVH62" s="3461"/>
      <c r="DVI62" s="3461"/>
      <c r="DVJ62" s="3461"/>
      <c r="DVK62" s="3461"/>
      <c r="DVL62" s="3461"/>
      <c r="DVM62" s="3461"/>
      <c r="DVN62" s="3461"/>
      <c r="DVO62" s="3461"/>
      <c r="DVP62" s="3461"/>
      <c r="DVQ62" s="3461"/>
      <c r="DVR62" s="3461"/>
      <c r="DVS62" s="3461"/>
      <c r="DVT62" s="3461"/>
      <c r="DVU62" s="3461"/>
      <c r="DVV62" s="3461"/>
      <c r="DVW62" s="3461"/>
      <c r="DVX62" s="3461"/>
      <c r="DVY62" s="3461"/>
      <c r="DVZ62" s="3461"/>
      <c r="DWA62" s="3461"/>
      <c r="DWB62" s="3461"/>
      <c r="DWC62" s="3461"/>
      <c r="DWD62" s="3461"/>
      <c r="DWE62" s="3461"/>
      <c r="DWF62" s="3461"/>
      <c r="DWG62" s="3461"/>
      <c r="DWH62" s="3461"/>
      <c r="DWI62" s="3461"/>
      <c r="DWJ62" s="3461"/>
      <c r="DWK62" s="3461"/>
      <c r="DWL62" s="3461"/>
      <c r="DWM62" s="3461"/>
      <c r="DWN62" s="3461"/>
      <c r="DWO62" s="3461"/>
      <c r="DWP62" s="3461"/>
      <c r="DWQ62" s="3461"/>
      <c r="DWR62" s="3461"/>
      <c r="DWS62" s="3461"/>
      <c r="DWT62" s="3461"/>
      <c r="DWU62" s="3461"/>
      <c r="DWV62" s="3461"/>
      <c r="DWW62" s="3461"/>
      <c r="DWX62" s="3461"/>
      <c r="DWY62" s="3461"/>
      <c r="DWZ62" s="3461"/>
      <c r="DXA62" s="3461"/>
      <c r="DXB62" s="3461"/>
      <c r="DXC62" s="3461"/>
      <c r="DXD62" s="3461"/>
      <c r="DXE62" s="3461"/>
      <c r="DXF62" s="3461"/>
      <c r="DXG62" s="3461"/>
      <c r="DXH62" s="3461"/>
      <c r="DXI62" s="3461"/>
      <c r="DXJ62" s="3461"/>
      <c r="DXK62" s="3461"/>
      <c r="DXL62" s="3461"/>
      <c r="DXM62" s="3461"/>
      <c r="DXN62" s="3461"/>
      <c r="DXO62" s="3461"/>
      <c r="DXP62" s="3461"/>
      <c r="DXQ62" s="3461"/>
      <c r="DXR62" s="3461"/>
      <c r="DXS62" s="3461"/>
      <c r="DXT62" s="3461"/>
      <c r="DXU62" s="3461"/>
      <c r="DXV62" s="3461"/>
      <c r="DXW62" s="3461"/>
      <c r="DXX62" s="3461"/>
      <c r="DXY62" s="3461"/>
      <c r="DXZ62" s="3461"/>
      <c r="DYA62" s="3461"/>
      <c r="DYB62" s="3461"/>
      <c r="DYC62" s="3461"/>
      <c r="DYD62" s="3461"/>
      <c r="DYE62" s="3461"/>
      <c r="DYF62" s="3461"/>
      <c r="DYG62" s="3461"/>
      <c r="DYH62" s="3461"/>
      <c r="DYI62" s="3461"/>
      <c r="DYJ62" s="3461"/>
      <c r="DYK62" s="3461"/>
      <c r="DYL62" s="3461"/>
      <c r="DYM62" s="3461"/>
      <c r="DYN62" s="3461"/>
      <c r="DYO62" s="3461"/>
      <c r="DYP62" s="3461"/>
      <c r="DYQ62" s="3461"/>
      <c r="DYR62" s="3461"/>
      <c r="DYS62" s="3461"/>
      <c r="DYT62" s="3461"/>
      <c r="DYU62" s="3461"/>
      <c r="DYV62" s="3461"/>
      <c r="DYW62" s="3461"/>
      <c r="DYX62" s="3461"/>
      <c r="DYY62" s="3461"/>
      <c r="DYZ62" s="3461"/>
      <c r="DZA62" s="3461"/>
      <c r="DZB62" s="3461"/>
      <c r="DZC62" s="3461"/>
      <c r="DZD62" s="3461"/>
      <c r="DZE62" s="3461"/>
      <c r="DZF62" s="3461"/>
      <c r="DZG62" s="3461"/>
      <c r="DZH62" s="3461"/>
      <c r="DZI62" s="3461"/>
      <c r="DZJ62" s="3461"/>
      <c r="DZK62" s="3461"/>
      <c r="DZL62" s="3461"/>
      <c r="DZM62" s="3461"/>
      <c r="DZN62" s="3461"/>
      <c r="DZO62" s="3461"/>
      <c r="DZP62" s="3461"/>
      <c r="DZQ62" s="3461"/>
      <c r="DZR62" s="3461"/>
      <c r="DZS62" s="3461"/>
      <c r="DZT62" s="3461"/>
      <c r="DZU62" s="3461"/>
      <c r="DZV62" s="3461"/>
      <c r="DZW62" s="3461"/>
      <c r="DZX62" s="3461"/>
      <c r="DZY62" s="3461"/>
      <c r="DZZ62" s="3461"/>
      <c r="EAA62" s="3461"/>
      <c r="EAB62" s="3461"/>
      <c r="EAC62" s="3461"/>
      <c r="EAD62" s="3461"/>
      <c r="EAE62" s="3461"/>
      <c r="EAF62" s="3461"/>
      <c r="EAG62" s="3461"/>
      <c r="EAH62" s="3461"/>
      <c r="EAI62" s="3461"/>
      <c r="EAJ62" s="3461"/>
      <c r="EAK62" s="3461"/>
      <c r="EAL62" s="3461"/>
      <c r="EAM62" s="3461"/>
      <c r="EAN62" s="3461"/>
      <c r="EAO62" s="3461"/>
      <c r="EAP62" s="3461"/>
      <c r="EAQ62" s="3461"/>
      <c r="EAR62" s="3461"/>
      <c r="EAS62" s="3461"/>
      <c r="EAT62" s="3461"/>
      <c r="EAU62" s="3461"/>
      <c r="EAV62" s="3461"/>
      <c r="EAW62" s="3461"/>
      <c r="EAX62" s="3461"/>
      <c r="EAY62" s="3461"/>
      <c r="EAZ62" s="3461"/>
      <c r="EBA62" s="3461"/>
      <c r="EBB62" s="3461"/>
      <c r="EBC62" s="3461"/>
      <c r="EBD62" s="3461"/>
      <c r="EBE62" s="3461"/>
      <c r="EBF62" s="3461"/>
      <c r="EBG62" s="3461"/>
      <c r="EBH62" s="3461"/>
      <c r="EBI62" s="3461"/>
      <c r="EBJ62" s="3461"/>
      <c r="EBK62" s="3461"/>
      <c r="EBL62" s="3461"/>
      <c r="EBM62" s="3461"/>
      <c r="EBN62" s="3461"/>
      <c r="EBO62" s="3461"/>
      <c r="EBP62" s="3461"/>
      <c r="EBQ62" s="3461"/>
      <c r="EBR62" s="3461"/>
      <c r="EBS62" s="3461"/>
      <c r="EBT62" s="3461"/>
      <c r="EBU62" s="3461"/>
      <c r="EBV62" s="3461"/>
      <c r="EBW62" s="3461"/>
      <c r="EBX62" s="3461"/>
      <c r="EBY62" s="3461"/>
      <c r="EBZ62" s="3461"/>
      <c r="ECA62" s="3461"/>
      <c r="ECB62" s="3461"/>
      <c r="ECC62" s="3461"/>
      <c r="ECD62" s="3461"/>
      <c r="ECE62" s="3461"/>
      <c r="ECF62" s="3461"/>
      <c r="ECG62" s="3461"/>
      <c r="ECH62" s="3461"/>
      <c r="ECI62" s="3461"/>
      <c r="ECJ62" s="3461"/>
      <c r="ECK62" s="3461"/>
      <c r="ECL62" s="3461"/>
      <c r="ECM62" s="3461"/>
      <c r="ECN62" s="3461"/>
      <c r="ECO62" s="3461"/>
      <c r="ECP62" s="3461"/>
      <c r="ECQ62" s="3461"/>
      <c r="ECR62" s="3461"/>
      <c r="ECS62" s="3461"/>
      <c r="ECT62" s="3461"/>
      <c r="ECU62" s="3461"/>
      <c r="ECV62" s="3461"/>
      <c r="ECW62" s="3461"/>
      <c r="ECX62" s="3461"/>
      <c r="ECY62" s="3461"/>
      <c r="ECZ62" s="3461"/>
      <c r="EDA62" s="3461"/>
      <c r="EDB62" s="3461"/>
      <c r="EDC62" s="3461"/>
      <c r="EDD62" s="3461"/>
      <c r="EDE62" s="3461"/>
      <c r="EDF62" s="3461"/>
      <c r="EDG62" s="3461"/>
      <c r="EDH62" s="3461"/>
      <c r="EDI62" s="3461"/>
      <c r="EDJ62" s="3461"/>
      <c r="EDK62" s="3461"/>
      <c r="EDL62" s="3461"/>
      <c r="EDM62" s="3461"/>
      <c r="EDN62" s="3461"/>
      <c r="EDO62" s="3461"/>
      <c r="EDP62" s="3461"/>
      <c r="EDQ62" s="3461"/>
      <c r="EDR62" s="3461"/>
      <c r="EDS62" s="3461"/>
      <c r="EDT62" s="3461"/>
      <c r="EDU62" s="3461"/>
      <c r="EDV62" s="3461"/>
      <c r="EDW62" s="3461"/>
      <c r="EDX62" s="3461"/>
      <c r="EDY62" s="3461"/>
      <c r="EDZ62" s="3461"/>
      <c r="EEA62" s="3461"/>
      <c r="EEB62" s="3461"/>
      <c r="EEC62" s="3461"/>
      <c r="EED62" s="3461"/>
      <c r="EEE62" s="3461"/>
      <c r="EEF62" s="3461"/>
      <c r="EEG62" s="3461"/>
      <c r="EEH62" s="3461"/>
      <c r="EEI62" s="3461"/>
      <c r="EEJ62" s="3461"/>
      <c r="EEK62" s="3461"/>
      <c r="EEL62" s="3461"/>
      <c r="EEM62" s="3461"/>
      <c r="EEN62" s="3461"/>
      <c r="EEO62" s="3461"/>
      <c r="EEP62" s="3461"/>
      <c r="EEQ62" s="3461"/>
      <c r="EER62" s="3461"/>
      <c r="EES62" s="3461"/>
      <c r="EET62" s="3461"/>
      <c r="EEU62" s="3461"/>
      <c r="EEV62" s="3461"/>
      <c r="EEW62" s="3461"/>
      <c r="EEX62" s="3461"/>
      <c r="EEY62" s="3461"/>
      <c r="EEZ62" s="3461"/>
      <c r="EFA62" s="3461"/>
      <c r="EFB62" s="3461"/>
      <c r="EFC62" s="3461"/>
      <c r="EFD62" s="3461"/>
      <c r="EFE62" s="3461"/>
      <c r="EFF62" s="3461"/>
      <c r="EFG62" s="3461"/>
      <c r="EFH62" s="3461"/>
      <c r="EFI62" s="3461"/>
      <c r="EFJ62" s="3461"/>
      <c r="EFK62" s="3461"/>
      <c r="EFL62" s="3461"/>
      <c r="EFM62" s="3461"/>
      <c r="EFN62" s="3461"/>
      <c r="EFO62" s="3461"/>
      <c r="EFP62" s="3461"/>
      <c r="EFQ62" s="3461"/>
      <c r="EFR62" s="3461"/>
      <c r="EFS62" s="3461"/>
      <c r="EFT62" s="3461"/>
      <c r="EFU62" s="3461"/>
      <c r="EFV62" s="3461"/>
      <c r="EFW62" s="3461"/>
      <c r="EFX62" s="3461"/>
      <c r="EFY62" s="3461"/>
      <c r="EFZ62" s="3461"/>
      <c r="EGA62" s="3461"/>
      <c r="EGB62" s="3461"/>
      <c r="EGC62" s="3461"/>
      <c r="EGD62" s="3461"/>
      <c r="EGE62" s="3461"/>
      <c r="EGF62" s="3461"/>
      <c r="EGG62" s="3461"/>
      <c r="EGH62" s="3461"/>
      <c r="EGI62" s="3461"/>
      <c r="EGJ62" s="3461"/>
      <c r="EGK62" s="3461"/>
      <c r="EGL62" s="3461"/>
      <c r="EGM62" s="3461"/>
      <c r="EGN62" s="3461"/>
      <c r="EGO62" s="3461"/>
      <c r="EGP62" s="3461"/>
      <c r="EGQ62" s="3461"/>
      <c r="EGR62" s="3461"/>
      <c r="EGS62" s="3461"/>
      <c r="EGT62" s="3461"/>
      <c r="EGU62" s="3461"/>
      <c r="EGV62" s="3461"/>
      <c r="EGW62" s="3461"/>
      <c r="EGX62" s="3461"/>
      <c r="EGY62" s="3461"/>
      <c r="EGZ62" s="3461"/>
      <c r="EHA62" s="3461"/>
      <c r="EHB62" s="3461"/>
      <c r="EHC62" s="3461"/>
      <c r="EHD62" s="3461"/>
      <c r="EHE62" s="3461"/>
      <c r="EHF62" s="3461"/>
      <c r="EHG62" s="3461"/>
      <c r="EHH62" s="3461"/>
      <c r="EHI62" s="3461"/>
      <c r="EHJ62" s="3461"/>
      <c r="EHK62" s="3461"/>
      <c r="EHL62" s="3461"/>
      <c r="EHM62" s="3461"/>
      <c r="EHN62" s="3461"/>
      <c r="EHO62" s="3461"/>
      <c r="EHP62" s="3461"/>
      <c r="EHQ62" s="3461"/>
      <c r="EHR62" s="3461"/>
      <c r="EHS62" s="3461"/>
      <c r="EHT62" s="3461"/>
      <c r="EHU62" s="3461"/>
      <c r="EHV62" s="3461"/>
      <c r="EHW62" s="3461"/>
      <c r="EHX62" s="3461"/>
      <c r="EHY62" s="3461"/>
      <c r="EHZ62" s="3461"/>
      <c r="EIA62" s="3461"/>
      <c r="EIB62" s="3461"/>
      <c r="EIC62" s="3461"/>
      <c r="EID62" s="3461"/>
      <c r="EIE62" s="3461"/>
      <c r="EIF62" s="3461"/>
      <c r="EIG62" s="3461"/>
      <c r="EIH62" s="3461"/>
      <c r="EII62" s="3461"/>
      <c r="EIJ62" s="3461"/>
      <c r="EIK62" s="3461"/>
      <c r="EIL62" s="3461"/>
      <c r="EIM62" s="3461"/>
      <c r="EIN62" s="3461"/>
      <c r="EIO62" s="3461"/>
      <c r="EIP62" s="3461"/>
      <c r="EIQ62" s="3461"/>
      <c r="EIR62" s="3461"/>
      <c r="EIS62" s="3461"/>
      <c r="EIT62" s="3461"/>
      <c r="EIU62" s="3461"/>
      <c r="EIV62" s="3461"/>
      <c r="EIW62" s="3461"/>
      <c r="EIX62" s="3461"/>
      <c r="EIY62" s="3461"/>
      <c r="EIZ62" s="3461"/>
      <c r="EJA62" s="3461"/>
      <c r="EJB62" s="3461"/>
      <c r="EJC62" s="3461"/>
      <c r="EJD62" s="3461"/>
      <c r="EJE62" s="3461"/>
      <c r="EJF62" s="3461"/>
      <c r="EJG62" s="3461"/>
      <c r="EJH62" s="3461"/>
      <c r="EJI62" s="3461"/>
      <c r="EJJ62" s="3461"/>
      <c r="EJK62" s="3461"/>
      <c r="EJL62" s="3461"/>
      <c r="EJM62" s="3461"/>
      <c r="EJN62" s="3461"/>
      <c r="EJO62" s="3461"/>
      <c r="EJP62" s="3461"/>
      <c r="EJQ62" s="3461"/>
      <c r="EJR62" s="3461"/>
      <c r="EJS62" s="3461"/>
      <c r="EJT62" s="3461"/>
      <c r="EJU62" s="3461"/>
      <c r="EJV62" s="3461"/>
      <c r="EJW62" s="3461"/>
      <c r="EJX62" s="3461"/>
      <c r="EJY62" s="3461"/>
      <c r="EJZ62" s="3461"/>
      <c r="EKA62" s="3461"/>
      <c r="EKB62" s="3461"/>
      <c r="EKC62" s="3461"/>
      <c r="EKD62" s="3461"/>
      <c r="EKE62" s="3461"/>
      <c r="EKF62" s="3461"/>
      <c r="EKG62" s="3461"/>
      <c r="EKH62" s="3461"/>
      <c r="EKI62" s="3461"/>
      <c r="EKJ62" s="3461"/>
      <c r="EKK62" s="3461"/>
      <c r="EKL62" s="3461"/>
      <c r="EKM62" s="3461"/>
      <c r="EKN62" s="3461"/>
      <c r="EKO62" s="3461"/>
      <c r="EKP62" s="3461"/>
      <c r="EKQ62" s="3461"/>
      <c r="EKR62" s="3461"/>
      <c r="EKS62" s="3461"/>
      <c r="EKT62" s="3461"/>
      <c r="EKU62" s="3461"/>
      <c r="EKV62" s="3461"/>
      <c r="EKW62" s="3461"/>
      <c r="EKX62" s="3461"/>
      <c r="EKY62" s="3461"/>
      <c r="EKZ62" s="3461"/>
      <c r="ELA62" s="3461"/>
      <c r="ELB62" s="3461"/>
      <c r="ELC62" s="3461"/>
      <c r="ELD62" s="3461"/>
      <c r="ELE62" s="3461"/>
      <c r="ELF62" s="3461"/>
      <c r="ELG62" s="3461"/>
      <c r="ELH62" s="3461"/>
      <c r="ELI62" s="3461"/>
      <c r="ELJ62" s="3461"/>
      <c r="ELK62" s="3461"/>
      <c r="ELL62" s="3461"/>
      <c r="ELM62" s="3461"/>
      <c r="ELN62" s="3461"/>
      <c r="ELO62" s="3461"/>
      <c r="ELP62" s="3461"/>
      <c r="ELQ62" s="3461"/>
      <c r="ELR62" s="3461"/>
      <c r="ELS62" s="3461"/>
      <c r="ELT62" s="3461"/>
      <c r="ELU62" s="3461"/>
      <c r="ELV62" s="3461"/>
      <c r="ELW62" s="3461"/>
      <c r="ELX62" s="3461"/>
      <c r="ELY62" s="3461"/>
      <c r="ELZ62" s="3461"/>
      <c r="EMA62" s="3461"/>
      <c r="EMB62" s="3461"/>
      <c r="EMC62" s="3461"/>
      <c r="EMD62" s="3461"/>
      <c r="EME62" s="3461"/>
      <c r="EMF62" s="3461"/>
      <c r="EMG62" s="3461"/>
      <c r="EMH62" s="3461"/>
      <c r="EMI62" s="3461"/>
      <c r="EMJ62" s="3461"/>
      <c r="EMK62" s="3461"/>
      <c r="EML62" s="3461"/>
      <c r="EMM62" s="3461"/>
      <c r="EMN62" s="3461"/>
      <c r="EMO62" s="3461"/>
      <c r="EMP62" s="3461"/>
      <c r="EMQ62" s="3461"/>
      <c r="EMR62" s="3461"/>
      <c r="EMS62" s="3461"/>
      <c r="EMT62" s="3461"/>
      <c r="EMU62" s="3461"/>
      <c r="EMV62" s="3461"/>
      <c r="EMW62" s="3461"/>
      <c r="EMX62" s="3461"/>
      <c r="EMY62" s="3461"/>
      <c r="EMZ62" s="3461"/>
      <c r="ENA62" s="3461"/>
      <c r="ENB62" s="3461"/>
      <c r="ENC62" s="3461"/>
      <c r="END62" s="3461"/>
      <c r="ENE62" s="3461"/>
      <c r="ENF62" s="3461"/>
      <c r="ENG62" s="3461"/>
      <c r="ENH62" s="3461"/>
      <c r="ENI62" s="3461"/>
      <c r="ENJ62" s="3461"/>
      <c r="ENK62" s="3461"/>
      <c r="ENL62" s="3461"/>
      <c r="ENM62" s="3461"/>
      <c r="ENN62" s="3461"/>
      <c r="ENO62" s="3461"/>
      <c r="ENP62" s="3461"/>
      <c r="ENQ62" s="3461"/>
      <c r="ENR62" s="3461"/>
      <c r="ENS62" s="3461"/>
      <c r="ENT62" s="3461"/>
      <c r="ENU62" s="3461"/>
      <c r="ENV62" s="3461"/>
      <c r="ENW62" s="3461"/>
      <c r="ENX62" s="3461"/>
      <c r="ENY62" s="3461"/>
      <c r="ENZ62" s="3461"/>
      <c r="EOA62" s="3461"/>
      <c r="EOB62" s="3461"/>
      <c r="EOC62" s="3461"/>
      <c r="EOD62" s="3461"/>
      <c r="EOE62" s="3461"/>
      <c r="EOF62" s="3461"/>
      <c r="EOG62" s="3461"/>
      <c r="EOH62" s="3461"/>
      <c r="EOI62" s="3461"/>
      <c r="EOJ62" s="3461"/>
      <c r="EOK62" s="3461"/>
      <c r="EOL62" s="3461"/>
      <c r="EOM62" s="3461"/>
      <c r="EON62" s="3461"/>
      <c r="EOO62" s="3461"/>
      <c r="EOP62" s="3461"/>
      <c r="EOQ62" s="3461"/>
      <c r="EOR62" s="3461"/>
      <c r="EOS62" s="3461"/>
      <c r="EOT62" s="3461"/>
      <c r="EOU62" s="3461"/>
      <c r="EOV62" s="3461"/>
      <c r="EOW62" s="3461"/>
      <c r="EOX62" s="3461"/>
      <c r="EOY62" s="3461"/>
      <c r="EOZ62" s="3461"/>
      <c r="EPA62" s="3461"/>
      <c r="EPB62" s="3461"/>
      <c r="EPC62" s="3461"/>
      <c r="EPD62" s="3461"/>
      <c r="EPE62" s="3461"/>
      <c r="EPF62" s="3461"/>
      <c r="EPG62" s="3461"/>
      <c r="EPH62" s="3461"/>
      <c r="EPI62" s="3461"/>
      <c r="EPJ62" s="3461"/>
      <c r="EPK62" s="3461"/>
      <c r="EPL62" s="3461"/>
      <c r="EPM62" s="3461"/>
      <c r="EPN62" s="3461"/>
      <c r="EPO62" s="3461"/>
      <c r="EPP62" s="3461"/>
      <c r="EPQ62" s="3461"/>
      <c r="EPR62" s="3461"/>
      <c r="EPS62" s="3461"/>
      <c r="EPT62" s="3461"/>
      <c r="EPU62" s="3461"/>
      <c r="EPV62" s="3461"/>
      <c r="EPW62" s="3461"/>
      <c r="EPX62" s="3461"/>
      <c r="EPY62" s="3461"/>
      <c r="EPZ62" s="3461"/>
      <c r="EQA62" s="3461"/>
      <c r="EQB62" s="3461"/>
      <c r="EQC62" s="3461"/>
      <c r="EQD62" s="3461"/>
      <c r="EQE62" s="3461"/>
      <c r="EQF62" s="3461"/>
      <c r="EQG62" s="3461"/>
      <c r="EQH62" s="3461"/>
      <c r="EQI62" s="3461"/>
      <c r="EQJ62" s="3461"/>
      <c r="EQK62" s="3461"/>
      <c r="EQL62" s="3461"/>
      <c r="EQM62" s="3461"/>
      <c r="EQN62" s="3461"/>
      <c r="EQO62" s="3461"/>
      <c r="EQP62" s="3461"/>
      <c r="EQQ62" s="3461"/>
      <c r="EQR62" s="3461"/>
      <c r="EQS62" s="3461"/>
      <c r="EQT62" s="3461"/>
      <c r="EQU62" s="3461"/>
      <c r="EQV62" s="3461"/>
      <c r="EQW62" s="3461"/>
      <c r="EQX62" s="3461"/>
      <c r="EQY62" s="3461"/>
      <c r="EQZ62" s="3461"/>
      <c r="ERA62" s="3461"/>
      <c r="ERB62" s="3461"/>
      <c r="ERC62" s="3461"/>
      <c r="ERD62" s="3461"/>
      <c r="ERE62" s="3461"/>
      <c r="ERF62" s="3461"/>
      <c r="ERG62" s="3461"/>
      <c r="ERH62" s="3461"/>
      <c r="ERI62" s="3461"/>
      <c r="ERJ62" s="3461"/>
      <c r="ERK62" s="3461"/>
      <c r="ERL62" s="3461"/>
      <c r="ERM62" s="3461"/>
      <c r="ERN62" s="3461"/>
      <c r="ERO62" s="3461"/>
      <c r="ERP62" s="3461"/>
      <c r="ERQ62" s="3461"/>
      <c r="ERR62" s="3461"/>
      <c r="ERS62" s="3461"/>
      <c r="ERT62" s="3461"/>
      <c r="ERU62" s="3461"/>
      <c r="ERV62" s="3461"/>
      <c r="ERW62" s="3461"/>
      <c r="ERX62" s="3461"/>
      <c r="ERY62" s="3461"/>
      <c r="ERZ62" s="3461"/>
      <c r="ESA62" s="3461"/>
      <c r="ESB62" s="3461"/>
      <c r="ESC62" s="3461"/>
      <c r="ESD62" s="3461"/>
      <c r="ESE62" s="3461"/>
      <c r="ESF62" s="3461"/>
      <c r="ESG62" s="3461"/>
      <c r="ESH62" s="3461"/>
      <c r="ESI62" s="3461"/>
      <c r="ESJ62" s="3461"/>
      <c r="ESK62" s="3461"/>
      <c r="ESL62" s="3461"/>
      <c r="ESM62" s="3461"/>
      <c r="ESN62" s="3461"/>
      <c r="ESO62" s="3461"/>
      <c r="ESP62" s="3461"/>
      <c r="ESQ62" s="3461"/>
      <c r="ESR62" s="3461"/>
      <c r="ESS62" s="3461"/>
      <c r="EST62" s="3461"/>
      <c r="ESU62" s="3461"/>
      <c r="ESV62" s="3461"/>
      <c r="ESW62" s="3461"/>
      <c r="ESX62" s="3461"/>
      <c r="ESY62" s="3461"/>
      <c r="ESZ62" s="3461"/>
      <c r="ETA62" s="3461"/>
      <c r="ETB62" s="3461"/>
      <c r="ETC62" s="3461"/>
      <c r="ETD62" s="3461"/>
      <c r="ETE62" s="3461"/>
      <c r="ETF62" s="3461"/>
      <c r="ETG62" s="3461"/>
      <c r="ETH62" s="3461"/>
      <c r="ETI62" s="3461"/>
      <c r="ETJ62" s="3461"/>
      <c r="ETK62" s="3461"/>
      <c r="ETL62" s="3461"/>
      <c r="ETM62" s="3461"/>
      <c r="ETN62" s="3461"/>
      <c r="ETO62" s="3461"/>
      <c r="ETP62" s="3461"/>
      <c r="ETQ62" s="3461"/>
      <c r="ETR62" s="3461"/>
      <c r="ETS62" s="3461"/>
      <c r="ETT62" s="3461"/>
      <c r="ETU62" s="3461"/>
      <c r="ETV62" s="3461"/>
      <c r="ETW62" s="3461"/>
      <c r="ETX62" s="3461"/>
      <c r="ETY62" s="3461"/>
      <c r="ETZ62" s="3461"/>
      <c r="EUA62" s="3461"/>
      <c r="EUB62" s="3461"/>
      <c r="EUC62" s="3461"/>
      <c r="EUD62" s="3461"/>
      <c r="EUE62" s="3461"/>
      <c r="EUF62" s="3461"/>
      <c r="EUG62" s="3461"/>
      <c r="EUH62" s="3461"/>
      <c r="EUI62" s="3461"/>
      <c r="EUJ62" s="3461"/>
      <c r="EUK62" s="3461"/>
      <c r="EUL62" s="3461"/>
      <c r="EUM62" s="3461"/>
      <c r="EUN62" s="3461"/>
      <c r="EUO62" s="3461"/>
      <c r="EUP62" s="3461"/>
      <c r="EUQ62" s="3461"/>
      <c r="EUR62" s="3461"/>
      <c r="EUS62" s="3461"/>
      <c r="EUT62" s="3461"/>
      <c r="EUU62" s="3461"/>
      <c r="EUV62" s="3461"/>
      <c r="EUW62" s="3461"/>
      <c r="EUX62" s="3461"/>
      <c r="EUY62" s="3461"/>
      <c r="EUZ62" s="3461"/>
      <c r="EVA62" s="3461"/>
      <c r="EVB62" s="3461"/>
      <c r="EVC62" s="3461"/>
      <c r="EVD62" s="3461"/>
      <c r="EVE62" s="3461"/>
      <c r="EVF62" s="3461"/>
      <c r="EVG62" s="3461"/>
      <c r="EVH62" s="3461"/>
      <c r="EVI62" s="3461"/>
      <c r="EVJ62" s="3461"/>
      <c r="EVK62" s="3461"/>
      <c r="EVL62" s="3461"/>
      <c r="EVM62" s="3461"/>
      <c r="EVN62" s="3461"/>
      <c r="EVO62" s="3461"/>
      <c r="EVP62" s="3461"/>
      <c r="EVQ62" s="3461"/>
      <c r="EVR62" s="3461"/>
      <c r="EVS62" s="3461"/>
      <c r="EVT62" s="3461"/>
      <c r="EVU62" s="3461"/>
      <c r="EVV62" s="3461"/>
      <c r="EVW62" s="3461"/>
      <c r="EVX62" s="3461"/>
      <c r="EVY62" s="3461"/>
      <c r="EVZ62" s="3461"/>
      <c r="EWA62" s="3461"/>
      <c r="EWB62" s="3461"/>
      <c r="EWC62" s="3461"/>
      <c r="EWD62" s="3461"/>
      <c r="EWE62" s="3461"/>
      <c r="EWF62" s="3461"/>
      <c r="EWG62" s="3461"/>
      <c r="EWH62" s="3461"/>
      <c r="EWI62" s="3461"/>
      <c r="EWJ62" s="3461"/>
      <c r="EWK62" s="3461"/>
      <c r="EWL62" s="3461"/>
      <c r="EWM62" s="3461"/>
      <c r="EWN62" s="3461"/>
      <c r="EWO62" s="3461"/>
      <c r="EWP62" s="3461"/>
      <c r="EWQ62" s="3461"/>
      <c r="EWR62" s="3461"/>
      <c r="EWS62" s="3461"/>
      <c r="EWT62" s="3461"/>
      <c r="EWU62" s="3461"/>
      <c r="EWV62" s="3461"/>
      <c r="EWW62" s="3461"/>
      <c r="EWX62" s="3461"/>
      <c r="EWY62" s="3461"/>
      <c r="EWZ62" s="3461"/>
      <c r="EXA62" s="3461"/>
      <c r="EXB62" s="3461"/>
      <c r="EXC62" s="3461"/>
      <c r="EXD62" s="3461"/>
      <c r="EXE62" s="3461"/>
      <c r="EXF62" s="3461"/>
      <c r="EXG62" s="3461"/>
      <c r="EXH62" s="3461"/>
      <c r="EXI62" s="3461"/>
      <c r="EXJ62" s="3461"/>
      <c r="EXK62" s="3461"/>
      <c r="EXL62" s="3461"/>
      <c r="EXM62" s="3461"/>
      <c r="EXN62" s="3461"/>
      <c r="EXO62" s="3461"/>
      <c r="EXP62" s="3461"/>
      <c r="EXQ62" s="3461"/>
      <c r="EXR62" s="3461"/>
      <c r="EXS62" s="3461"/>
      <c r="EXT62" s="3461"/>
      <c r="EXU62" s="3461"/>
      <c r="EXV62" s="3461"/>
      <c r="EXW62" s="3461"/>
      <c r="EXX62" s="3461"/>
      <c r="EXY62" s="3461"/>
      <c r="EXZ62" s="3461"/>
      <c r="EYA62" s="3461"/>
      <c r="EYB62" s="3461"/>
      <c r="EYC62" s="3461"/>
      <c r="EYD62" s="3461"/>
      <c r="EYE62" s="3461"/>
      <c r="EYF62" s="3461"/>
      <c r="EYG62" s="3461"/>
      <c r="EYH62" s="3461"/>
      <c r="EYI62" s="3461"/>
      <c r="EYJ62" s="3461"/>
      <c r="EYK62" s="3461"/>
      <c r="EYL62" s="3461"/>
      <c r="EYM62" s="3461"/>
      <c r="EYN62" s="3461"/>
      <c r="EYO62" s="3461"/>
      <c r="EYP62" s="3461"/>
      <c r="EYQ62" s="3461"/>
      <c r="EYR62" s="3461"/>
      <c r="EYS62" s="3461"/>
      <c r="EYT62" s="3461"/>
      <c r="EYU62" s="3461"/>
      <c r="EYV62" s="3461"/>
      <c r="EYW62" s="3461"/>
      <c r="EYX62" s="3461"/>
      <c r="EYY62" s="3461"/>
      <c r="EYZ62" s="3461"/>
      <c r="EZA62" s="3461"/>
      <c r="EZB62" s="3461"/>
      <c r="EZC62" s="3461"/>
      <c r="EZD62" s="3461"/>
      <c r="EZE62" s="3461"/>
      <c r="EZF62" s="3461"/>
      <c r="EZG62" s="3461"/>
      <c r="EZH62" s="3461"/>
      <c r="EZI62" s="3461"/>
      <c r="EZJ62" s="3461"/>
      <c r="EZK62" s="3461"/>
      <c r="EZL62" s="3461"/>
      <c r="EZM62" s="3461"/>
      <c r="EZN62" s="3461"/>
      <c r="EZO62" s="3461"/>
      <c r="EZP62" s="3461"/>
      <c r="EZQ62" s="3461"/>
      <c r="EZR62" s="3461"/>
      <c r="EZS62" s="3461"/>
      <c r="EZT62" s="3461"/>
      <c r="EZU62" s="3461"/>
      <c r="EZV62" s="3461"/>
      <c r="EZW62" s="3461"/>
      <c r="EZX62" s="3461"/>
      <c r="EZY62" s="3461"/>
      <c r="EZZ62" s="3461"/>
      <c r="FAA62" s="3461"/>
      <c r="FAB62" s="3461"/>
      <c r="FAC62" s="3461"/>
      <c r="FAD62" s="3461"/>
      <c r="FAE62" s="3461"/>
      <c r="FAF62" s="3461"/>
      <c r="FAG62" s="3461"/>
      <c r="FAH62" s="3461"/>
      <c r="FAI62" s="3461"/>
      <c r="FAJ62" s="3461"/>
      <c r="FAK62" s="3461"/>
      <c r="FAL62" s="3461"/>
      <c r="FAM62" s="3461"/>
      <c r="FAN62" s="3461"/>
      <c r="FAO62" s="3461"/>
      <c r="FAP62" s="3461"/>
      <c r="FAQ62" s="3461"/>
      <c r="FAR62" s="3461"/>
      <c r="FAS62" s="3461"/>
      <c r="FAT62" s="3461"/>
      <c r="FAU62" s="3461"/>
      <c r="FAV62" s="3461"/>
      <c r="FAW62" s="3461"/>
      <c r="FAX62" s="3461"/>
      <c r="FAY62" s="3461"/>
      <c r="FAZ62" s="3461"/>
      <c r="FBA62" s="3461"/>
      <c r="FBB62" s="3461"/>
      <c r="FBC62" s="3461"/>
      <c r="FBD62" s="3461"/>
      <c r="FBE62" s="3461"/>
      <c r="FBF62" s="3461"/>
      <c r="FBG62" s="3461"/>
      <c r="FBH62" s="3461"/>
      <c r="FBI62" s="3461"/>
      <c r="FBJ62" s="3461"/>
      <c r="FBK62" s="3461"/>
      <c r="FBL62" s="3461"/>
      <c r="FBM62" s="3461"/>
      <c r="FBN62" s="3461"/>
      <c r="FBO62" s="3461"/>
      <c r="FBP62" s="3461"/>
      <c r="FBQ62" s="3461"/>
      <c r="FBR62" s="3461"/>
      <c r="FBS62" s="3461"/>
      <c r="FBT62" s="3461"/>
      <c r="FBU62" s="3461"/>
      <c r="FBV62" s="3461"/>
      <c r="FBW62" s="3461"/>
      <c r="FBX62" s="3461"/>
      <c r="FBY62" s="3461"/>
      <c r="FBZ62" s="3461"/>
      <c r="FCA62" s="3461"/>
      <c r="FCB62" s="3461"/>
      <c r="FCC62" s="3461"/>
      <c r="FCD62" s="3461"/>
      <c r="FCE62" s="3461"/>
      <c r="FCF62" s="3461"/>
      <c r="FCG62" s="3461"/>
      <c r="FCH62" s="3461"/>
      <c r="FCI62" s="3461"/>
      <c r="FCJ62" s="3461"/>
      <c r="FCK62" s="3461"/>
      <c r="FCL62" s="3461"/>
      <c r="FCM62" s="3461"/>
      <c r="FCN62" s="3461"/>
      <c r="FCO62" s="3461"/>
      <c r="FCP62" s="3461"/>
      <c r="FCQ62" s="3461"/>
      <c r="FCR62" s="3461"/>
      <c r="FCS62" s="3461"/>
      <c r="FCT62" s="3461"/>
      <c r="FCU62" s="3461"/>
      <c r="FCV62" s="3461"/>
      <c r="FCW62" s="3461"/>
      <c r="FCX62" s="3461"/>
      <c r="FCY62" s="3461"/>
      <c r="FCZ62" s="3461"/>
      <c r="FDA62" s="3461"/>
      <c r="FDB62" s="3461"/>
      <c r="FDC62" s="3461"/>
      <c r="FDD62" s="3461"/>
      <c r="FDE62" s="3461"/>
      <c r="FDF62" s="3461"/>
      <c r="FDG62" s="3461"/>
      <c r="FDH62" s="3461"/>
      <c r="FDI62" s="3461"/>
      <c r="FDJ62" s="3461"/>
      <c r="FDK62" s="3461"/>
      <c r="FDL62" s="3461"/>
      <c r="FDM62" s="3461"/>
      <c r="FDN62" s="3461"/>
      <c r="FDO62" s="3461"/>
      <c r="FDP62" s="3461"/>
      <c r="FDQ62" s="3461"/>
      <c r="FDR62" s="3461"/>
      <c r="FDS62" s="3461"/>
      <c r="FDT62" s="3461"/>
      <c r="FDU62" s="3461"/>
      <c r="FDV62" s="3461"/>
      <c r="FDW62" s="3461"/>
      <c r="FDX62" s="3461"/>
      <c r="FDY62" s="3461"/>
      <c r="FDZ62" s="3461"/>
      <c r="FEA62" s="3461"/>
      <c r="FEB62" s="3461"/>
      <c r="FEC62" s="3461"/>
      <c r="FED62" s="3461"/>
      <c r="FEE62" s="3461"/>
      <c r="FEF62" s="3461"/>
      <c r="FEG62" s="3461"/>
      <c r="FEH62" s="3461"/>
      <c r="FEI62" s="3461"/>
      <c r="FEJ62" s="3461"/>
      <c r="FEK62" s="3461"/>
      <c r="FEL62" s="3461"/>
      <c r="FEM62" s="3461"/>
      <c r="FEN62" s="3461"/>
      <c r="FEO62" s="3461"/>
      <c r="FEP62" s="3461"/>
      <c r="FEQ62" s="3461"/>
      <c r="FER62" s="3461"/>
      <c r="FES62" s="3461"/>
      <c r="FET62" s="3461"/>
      <c r="FEU62" s="3461"/>
      <c r="FEV62" s="3461"/>
      <c r="FEW62" s="3461"/>
      <c r="FEX62" s="3461"/>
      <c r="FEY62" s="3461"/>
      <c r="FEZ62" s="3461"/>
      <c r="FFA62" s="3461"/>
      <c r="FFB62" s="3461"/>
      <c r="FFC62" s="3461"/>
      <c r="FFD62" s="3461"/>
      <c r="FFE62" s="3461"/>
      <c r="FFF62" s="3461"/>
      <c r="FFG62" s="3461"/>
      <c r="FFH62" s="3461"/>
      <c r="FFI62" s="3461"/>
      <c r="FFJ62" s="3461"/>
      <c r="FFK62" s="3461"/>
      <c r="FFL62" s="3461"/>
      <c r="FFM62" s="3461"/>
      <c r="FFN62" s="3461"/>
      <c r="FFO62" s="3461"/>
      <c r="FFP62" s="3461"/>
      <c r="FFQ62" s="3461"/>
      <c r="FFR62" s="3461"/>
      <c r="FFS62" s="3461"/>
      <c r="FFT62" s="3461"/>
      <c r="FFU62" s="3461"/>
      <c r="FFV62" s="3461"/>
      <c r="FFW62" s="3461"/>
      <c r="FFX62" s="3461"/>
      <c r="FFY62" s="3461"/>
      <c r="FFZ62" s="3461"/>
      <c r="FGA62" s="3461"/>
      <c r="FGB62" s="3461"/>
      <c r="FGC62" s="3461"/>
      <c r="FGD62" s="3461"/>
      <c r="FGE62" s="3461"/>
      <c r="FGF62" s="3461"/>
      <c r="FGG62" s="3461"/>
      <c r="FGH62" s="3461"/>
      <c r="FGI62" s="3461"/>
      <c r="FGJ62" s="3461"/>
      <c r="FGK62" s="3461"/>
      <c r="FGL62" s="3461"/>
      <c r="FGM62" s="3461"/>
      <c r="FGN62" s="3461"/>
      <c r="FGO62" s="3461"/>
      <c r="FGP62" s="3461"/>
      <c r="FGQ62" s="3461"/>
      <c r="FGR62" s="3461"/>
      <c r="FGS62" s="3461"/>
      <c r="FGT62" s="3461"/>
      <c r="FGU62" s="3461"/>
      <c r="FGV62" s="3461"/>
      <c r="FGW62" s="3461"/>
      <c r="FGX62" s="3461"/>
      <c r="FGY62" s="3461"/>
      <c r="FGZ62" s="3461"/>
      <c r="FHA62" s="3461"/>
      <c r="FHB62" s="3461"/>
      <c r="FHC62" s="3461"/>
      <c r="FHD62" s="3461"/>
      <c r="FHE62" s="3461"/>
      <c r="FHF62" s="3461"/>
      <c r="FHG62" s="3461"/>
      <c r="FHH62" s="3461"/>
      <c r="FHI62" s="3461"/>
      <c r="FHJ62" s="3461"/>
      <c r="FHK62" s="3461"/>
      <c r="FHL62" s="3461"/>
      <c r="FHM62" s="3461"/>
      <c r="FHN62" s="3461"/>
      <c r="FHO62" s="3461"/>
      <c r="FHP62" s="3461"/>
      <c r="FHQ62" s="3461"/>
      <c r="FHR62" s="3461"/>
      <c r="FHS62" s="3461"/>
      <c r="FHT62" s="3461"/>
      <c r="FHU62" s="3461"/>
      <c r="FHV62" s="3461"/>
      <c r="FHW62" s="3461"/>
      <c r="FHX62" s="3461"/>
      <c r="FHY62" s="3461"/>
      <c r="FHZ62" s="3461"/>
      <c r="FIA62" s="3461"/>
      <c r="FIB62" s="3461"/>
      <c r="FIC62" s="3461"/>
      <c r="FID62" s="3461"/>
      <c r="FIE62" s="3461"/>
      <c r="FIF62" s="3461"/>
      <c r="FIG62" s="3461"/>
      <c r="FIH62" s="3461"/>
      <c r="FII62" s="3461"/>
      <c r="FIJ62" s="3461"/>
      <c r="FIK62" s="3461"/>
      <c r="FIL62" s="3461"/>
      <c r="FIM62" s="3461"/>
      <c r="FIN62" s="3461"/>
      <c r="FIO62" s="3461"/>
      <c r="FIP62" s="3461"/>
      <c r="FIQ62" s="3461"/>
      <c r="FIR62" s="3461"/>
      <c r="FIS62" s="3461"/>
      <c r="FIT62" s="3461"/>
      <c r="FIU62" s="3461"/>
      <c r="FIV62" s="3461"/>
      <c r="FIW62" s="3461"/>
      <c r="FIX62" s="3461"/>
      <c r="FIY62" s="3461"/>
      <c r="FIZ62" s="3461"/>
      <c r="FJA62" s="3461"/>
      <c r="FJB62" s="3461"/>
      <c r="FJC62" s="3461"/>
      <c r="FJD62" s="3461"/>
      <c r="FJE62" s="3461"/>
      <c r="FJF62" s="3461"/>
      <c r="FJG62" s="3461"/>
      <c r="FJH62" s="3461"/>
      <c r="FJI62" s="3461"/>
      <c r="FJJ62" s="3461"/>
      <c r="FJK62" s="3461"/>
      <c r="FJL62" s="3461"/>
      <c r="FJM62" s="3461"/>
      <c r="FJN62" s="3461"/>
      <c r="FJO62" s="3461"/>
      <c r="FJP62" s="3461"/>
      <c r="FJQ62" s="3461"/>
      <c r="FJR62" s="3461"/>
      <c r="FJS62" s="3461"/>
      <c r="FJT62" s="3461"/>
      <c r="FJU62" s="3461"/>
      <c r="FJV62" s="3461"/>
      <c r="FJW62" s="3461"/>
      <c r="FJX62" s="3461"/>
      <c r="FJY62" s="3461"/>
      <c r="FJZ62" s="3461"/>
      <c r="FKA62" s="3461"/>
      <c r="FKB62" s="3461"/>
      <c r="FKC62" s="3461"/>
      <c r="FKD62" s="3461"/>
      <c r="FKE62" s="3461"/>
      <c r="FKF62" s="3461"/>
      <c r="FKG62" s="3461"/>
      <c r="FKH62" s="3461"/>
      <c r="FKI62" s="3461"/>
      <c r="FKJ62" s="3461"/>
      <c r="FKK62" s="3461"/>
      <c r="FKL62" s="3461"/>
      <c r="FKM62" s="3461"/>
      <c r="FKN62" s="3461"/>
      <c r="FKO62" s="3461"/>
      <c r="FKP62" s="3461"/>
      <c r="FKQ62" s="3461"/>
      <c r="FKR62" s="3461"/>
      <c r="FKS62" s="3461"/>
      <c r="FKT62" s="3461"/>
      <c r="FKU62" s="3461"/>
      <c r="FKV62" s="3461"/>
      <c r="FKW62" s="3461"/>
      <c r="FKX62" s="3461"/>
      <c r="FKY62" s="3461"/>
      <c r="FKZ62" s="3461"/>
      <c r="FLA62" s="3461"/>
      <c r="FLB62" s="3461"/>
      <c r="FLC62" s="3461"/>
      <c r="FLD62" s="3461"/>
      <c r="FLE62" s="3461"/>
      <c r="FLF62" s="3461"/>
      <c r="FLG62" s="3461"/>
      <c r="FLH62" s="3461"/>
      <c r="FLI62" s="3461"/>
      <c r="FLJ62" s="3461"/>
      <c r="FLK62" s="3461"/>
      <c r="FLL62" s="3461"/>
      <c r="FLM62" s="3461"/>
      <c r="FLN62" s="3461"/>
      <c r="FLO62" s="3461"/>
      <c r="FLP62" s="3461"/>
      <c r="FLQ62" s="3461"/>
      <c r="FLR62" s="3461"/>
      <c r="FLS62" s="3461"/>
      <c r="FLT62" s="3461"/>
      <c r="FLU62" s="3461"/>
      <c r="FLV62" s="3461"/>
      <c r="FLW62" s="3461"/>
      <c r="FLX62" s="3461"/>
      <c r="FLY62" s="3461"/>
      <c r="FLZ62" s="3461"/>
      <c r="FMA62" s="3461"/>
      <c r="FMB62" s="3461"/>
      <c r="FMC62" s="3461"/>
      <c r="FMD62" s="3461"/>
      <c r="FME62" s="3461"/>
      <c r="FMF62" s="3461"/>
      <c r="FMG62" s="3461"/>
      <c r="FMH62" s="3461"/>
      <c r="FMI62" s="3461"/>
      <c r="FMJ62" s="3461"/>
      <c r="FMK62" s="3461"/>
      <c r="FML62" s="3461"/>
      <c r="FMM62" s="3461"/>
      <c r="FMN62" s="3461"/>
      <c r="FMO62" s="3461"/>
      <c r="FMP62" s="3461"/>
      <c r="FMQ62" s="3461"/>
      <c r="FMR62" s="3461"/>
      <c r="FMS62" s="3461"/>
      <c r="FMT62" s="3461"/>
      <c r="FMU62" s="3461"/>
      <c r="FMV62" s="3461"/>
      <c r="FMW62" s="3461"/>
      <c r="FMX62" s="3461"/>
      <c r="FMY62" s="3461"/>
      <c r="FMZ62" s="3461"/>
      <c r="FNA62" s="3461"/>
      <c r="FNB62" s="3461"/>
      <c r="FNC62" s="3461"/>
      <c r="FND62" s="3461"/>
      <c r="FNE62" s="3461"/>
      <c r="FNF62" s="3461"/>
      <c r="FNG62" s="3461"/>
      <c r="FNH62" s="3461"/>
      <c r="FNI62" s="3461"/>
      <c r="FNJ62" s="3461"/>
      <c r="FNK62" s="3461"/>
      <c r="FNL62" s="3461"/>
      <c r="FNM62" s="3461"/>
      <c r="FNN62" s="3461"/>
      <c r="FNO62" s="3461"/>
      <c r="FNP62" s="3461"/>
      <c r="FNQ62" s="3461"/>
      <c r="FNR62" s="3461"/>
      <c r="FNS62" s="3461"/>
      <c r="FNT62" s="3461"/>
      <c r="FNU62" s="3461"/>
      <c r="FNV62" s="3461"/>
      <c r="FNW62" s="3461"/>
      <c r="FNX62" s="3461"/>
      <c r="FNY62" s="3461"/>
      <c r="FNZ62" s="3461"/>
      <c r="FOA62" s="3461"/>
      <c r="FOB62" s="3461"/>
      <c r="FOC62" s="3461"/>
      <c r="FOD62" s="3461"/>
      <c r="FOE62" s="3461"/>
      <c r="FOF62" s="3461"/>
      <c r="FOG62" s="3461"/>
      <c r="FOH62" s="3461"/>
      <c r="FOI62" s="3461"/>
      <c r="FOJ62" s="3461"/>
      <c r="FOK62" s="3461"/>
      <c r="FOL62" s="3461"/>
      <c r="FOM62" s="3461"/>
      <c r="FON62" s="3461"/>
      <c r="FOO62" s="3461"/>
      <c r="FOP62" s="3461"/>
      <c r="FOQ62" s="3461"/>
      <c r="FOR62" s="3461"/>
      <c r="FOS62" s="3461"/>
      <c r="FOT62" s="3461"/>
      <c r="FOU62" s="3461"/>
      <c r="FOV62" s="3461"/>
      <c r="FOW62" s="3461"/>
      <c r="FOX62" s="3461"/>
      <c r="FOY62" s="3461"/>
      <c r="FOZ62" s="3461"/>
      <c r="FPA62" s="3461"/>
      <c r="FPB62" s="3461"/>
      <c r="FPC62" s="3461"/>
      <c r="FPD62" s="3461"/>
      <c r="FPE62" s="3461"/>
      <c r="FPF62" s="3461"/>
      <c r="FPG62" s="3461"/>
      <c r="FPH62" s="3461"/>
      <c r="FPI62" s="3461"/>
      <c r="FPJ62" s="3461"/>
      <c r="FPK62" s="3461"/>
      <c r="FPL62" s="3461"/>
      <c r="FPM62" s="3461"/>
      <c r="FPN62" s="3461"/>
      <c r="FPO62" s="3461"/>
      <c r="FPP62" s="3461"/>
      <c r="FPQ62" s="3461"/>
      <c r="FPR62" s="3461"/>
      <c r="FPS62" s="3461"/>
      <c r="FPT62" s="3461"/>
      <c r="FPU62" s="3461"/>
      <c r="FPV62" s="3461"/>
      <c r="FPW62" s="3461"/>
      <c r="FPX62" s="3461"/>
      <c r="FPY62" s="3461"/>
      <c r="FPZ62" s="3461"/>
      <c r="FQA62" s="3461"/>
      <c r="FQB62" s="3461"/>
      <c r="FQC62" s="3461"/>
      <c r="FQD62" s="3461"/>
      <c r="FQE62" s="3461"/>
      <c r="FQF62" s="3461"/>
      <c r="FQG62" s="3461"/>
      <c r="FQH62" s="3461"/>
      <c r="FQI62" s="3461"/>
      <c r="FQJ62" s="3461"/>
      <c r="FQK62" s="3461"/>
      <c r="FQL62" s="3461"/>
      <c r="FQM62" s="3461"/>
      <c r="FQN62" s="3461"/>
      <c r="FQO62" s="3461"/>
      <c r="FQP62" s="3461"/>
      <c r="FQQ62" s="3461"/>
      <c r="FQR62" s="3461"/>
      <c r="FQS62" s="3461"/>
      <c r="FQT62" s="3461"/>
      <c r="FQU62" s="3461"/>
      <c r="FQV62" s="3461"/>
      <c r="FQW62" s="3461"/>
      <c r="FQX62" s="3461"/>
      <c r="FQY62" s="3461"/>
      <c r="FQZ62" s="3461"/>
      <c r="FRA62" s="3461"/>
      <c r="FRB62" s="3461"/>
      <c r="FRC62" s="3461"/>
      <c r="FRD62" s="3461"/>
      <c r="FRE62" s="3461"/>
      <c r="FRF62" s="3461"/>
      <c r="FRG62" s="3461"/>
      <c r="FRH62" s="3461"/>
      <c r="FRI62" s="3461"/>
      <c r="FRJ62" s="3461"/>
      <c r="FRK62" s="3461"/>
      <c r="FRL62" s="3461"/>
      <c r="FRM62" s="3461"/>
      <c r="FRN62" s="3461"/>
      <c r="FRO62" s="3461"/>
      <c r="FRP62" s="3461"/>
      <c r="FRQ62" s="3461"/>
      <c r="FRR62" s="3461"/>
      <c r="FRS62" s="3461"/>
      <c r="FRT62" s="3461"/>
      <c r="FRU62" s="3461"/>
      <c r="FRV62" s="3461"/>
      <c r="FRW62" s="3461"/>
      <c r="FRX62" s="3461"/>
      <c r="FRY62" s="3461"/>
      <c r="FRZ62" s="3461"/>
      <c r="FSA62" s="3461"/>
      <c r="FSB62" s="3461"/>
      <c r="FSC62" s="3461"/>
      <c r="FSD62" s="3461"/>
      <c r="FSE62" s="3461"/>
      <c r="FSF62" s="3461"/>
      <c r="FSG62" s="3461"/>
      <c r="FSH62" s="3461"/>
      <c r="FSI62" s="3461"/>
      <c r="FSJ62" s="3461"/>
      <c r="FSK62" s="3461"/>
      <c r="FSL62" s="3461"/>
      <c r="FSM62" s="3461"/>
      <c r="FSN62" s="3461"/>
      <c r="FSO62" s="3461"/>
      <c r="FSP62" s="3461"/>
      <c r="FSQ62" s="3461"/>
      <c r="FSR62" s="3461"/>
      <c r="FSS62" s="3461"/>
      <c r="FST62" s="3461"/>
      <c r="FSU62" s="3461"/>
      <c r="FSV62" s="3461"/>
      <c r="FSW62" s="3461"/>
      <c r="FSX62" s="3461"/>
      <c r="FSY62" s="3461"/>
      <c r="FSZ62" s="3461"/>
      <c r="FTA62" s="3461"/>
      <c r="FTB62" s="3461"/>
      <c r="FTC62" s="3461"/>
      <c r="FTD62" s="3461"/>
      <c r="FTE62" s="3461"/>
      <c r="FTF62" s="3461"/>
      <c r="FTG62" s="3461"/>
      <c r="FTH62" s="3461"/>
      <c r="FTI62" s="3461"/>
      <c r="FTJ62" s="3461"/>
      <c r="FTK62" s="3461"/>
      <c r="FTL62" s="3461"/>
      <c r="FTM62" s="3461"/>
      <c r="FTN62" s="3461"/>
      <c r="FTO62" s="3461"/>
      <c r="FTP62" s="3461"/>
      <c r="FTQ62" s="3461"/>
      <c r="FTR62" s="3461"/>
      <c r="FTS62" s="3461"/>
      <c r="FTT62" s="3461"/>
      <c r="FTU62" s="3461"/>
      <c r="FTV62" s="3461"/>
      <c r="FTW62" s="3461"/>
      <c r="FTX62" s="3461"/>
      <c r="FTY62" s="3461"/>
      <c r="FTZ62" s="3461"/>
      <c r="FUA62" s="3461"/>
      <c r="FUB62" s="3461"/>
      <c r="FUC62" s="3461"/>
      <c r="FUD62" s="3461"/>
      <c r="FUE62" s="3461"/>
      <c r="FUF62" s="3461"/>
      <c r="FUG62" s="3461"/>
      <c r="FUH62" s="3461"/>
      <c r="FUI62" s="3461"/>
      <c r="FUJ62" s="3461"/>
      <c r="FUK62" s="3461"/>
      <c r="FUL62" s="3461"/>
      <c r="FUM62" s="3461"/>
      <c r="FUN62" s="3461"/>
      <c r="FUO62" s="3461"/>
      <c r="FUP62" s="3461"/>
      <c r="FUQ62" s="3461"/>
      <c r="FUR62" s="3461"/>
      <c r="FUS62" s="3461"/>
      <c r="FUT62" s="3461"/>
      <c r="FUU62" s="3461"/>
      <c r="FUV62" s="3461"/>
      <c r="FUW62" s="3461"/>
      <c r="FUX62" s="3461"/>
      <c r="FUY62" s="3461"/>
      <c r="FUZ62" s="3461"/>
      <c r="FVA62" s="3461"/>
      <c r="FVB62" s="3461"/>
      <c r="FVC62" s="3461"/>
      <c r="FVD62" s="3461"/>
      <c r="FVE62" s="3461"/>
      <c r="FVF62" s="3461"/>
      <c r="FVG62" s="3461"/>
      <c r="FVH62" s="3461"/>
      <c r="FVI62" s="3461"/>
      <c r="FVJ62" s="3461"/>
      <c r="FVK62" s="3461"/>
      <c r="FVL62" s="3461"/>
      <c r="FVM62" s="3461"/>
      <c r="FVN62" s="3461"/>
      <c r="FVO62" s="3461"/>
      <c r="FVP62" s="3461"/>
      <c r="FVQ62" s="3461"/>
      <c r="FVR62" s="3461"/>
      <c r="FVS62" s="3461"/>
      <c r="FVT62" s="3461"/>
      <c r="FVU62" s="3461"/>
      <c r="FVV62" s="3461"/>
      <c r="FVW62" s="3461"/>
      <c r="FVX62" s="3461"/>
      <c r="FVY62" s="3461"/>
      <c r="FVZ62" s="3461"/>
      <c r="FWA62" s="3461"/>
      <c r="FWB62" s="3461"/>
      <c r="FWC62" s="3461"/>
      <c r="FWD62" s="3461"/>
      <c r="FWE62" s="3461"/>
      <c r="FWF62" s="3461"/>
      <c r="FWG62" s="3461"/>
      <c r="FWH62" s="3461"/>
      <c r="FWI62" s="3461"/>
      <c r="FWJ62" s="3461"/>
      <c r="FWK62" s="3461"/>
      <c r="FWL62" s="3461"/>
      <c r="FWM62" s="3461"/>
      <c r="FWN62" s="3461"/>
      <c r="FWO62" s="3461"/>
      <c r="FWP62" s="3461"/>
      <c r="FWQ62" s="3461"/>
      <c r="FWR62" s="3461"/>
      <c r="FWS62" s="3461"/>
      <c r="FWT62" s="3461"/>
      <c r="FWU62" s="3461"/>
      <c r="FWV62" s="3461"/>
      <c r="FWW62" s="3461"/>
      <c r="FWX62" s="3461"/>
      <c r="FWY62" s="3461"/>
      <c r="FWZ62" s="3461"/>
      <c r="FXA62" s="3461"/>
      <c r="FXB62" s="3461"/>
      <c r="FXC62" s="3461"/>
      <c r="FXD62" s="3461"/>
      <c r="FXE62" s="3461"/>
      <c r="FXF62" s="3461"/>
      <c r="FXG62" s="3461"/>
      <c r="FXH62" s="3461"/>
      <c r="FXI62" s="3461"/>
      <c r="FXJ62" s="3461"/>
      <c r="FXK62" s="3461"/>
      <c r="FXL62" s="3461"/>
      <c r="FXM62" s="3461"/>
      <c r="FXN62" s="3461"/>
      <c r="FXO62" s="3461"/>
      <c r="FXP62" s="3461"/>
      <c r="FXQ62" s="3461"/>
      <c r="FXR62" s="3461"/>
      <c r="FXS62" s="3461"/>
      <c r="FXT62" s="3461"/>
      <c r="FXU62" s="3461"/>
      <c r="FXV62" s="3461"/>
      <c r="FXW62" s="3461"/>
      <c r="FXX62" s="3461"/>
      <c r="FXY62" s="3461"/>
      <c r="FXZ62" s="3461"/>
      <c r="FYA62" s="3461"/>
      <c r="FYB62" s="3461"/>
      <c r="FYC62" s="3461"/>
      <c r="FYD62" s="3461"/>
      <c r="FYE62" s="3461"/>
      <c r="FYF62" s="3461"/>
      <c r="FYG62" s="3461"/>
      <c r="FYH62" s="3461"/>
      <c r="FYI62" s="3461"/>
      <c r="FYJ62" s="3461"/>
      <c r="FYK62" s="3461"/>
      <c r="FYL62" s="3461"/>
      <c r="FYM62" s="3461"/>
      <c r="FYN62" s="3461"/>
      <c r="FYO62" s="3461"/>
      <c r="FYP62" s="3461"/>
      <c r="FYQ62" s="3461"/>
      <c r="FYR62" s="3461"/>
      <c r="FYS62" s="3461"/>
      <c r="FYT62" s="3461"/>
      <c r="FYU62" s="3461"/>
      <c r="FYV62" s="3461"/>
      <c r="FYW62" s="3461"/>
      <c r="FYX62" s="3461"/>
      <c r="FYY62" s="3461"/>
      <c r="FYZ62" s="3461"/>
      <c r="FZA62" s="3461"/>
      <c r="FZB62" s="3461"/>
      <c r="FZC62" s="3461"/>
      <c r="FZD62" s="3461"/>
      <c r="FZE62" s="3461"/>
      <c r="FZF62" s="3461"/>
      <c r="FZG62" s="3461"/>
      <c r="FZH62" s="3461"/>
      <c r="FZI62" s="3461"/>
      <c r="FZJ62" s="3461"/>
      <c r="FZK62" s="3461"/>
      <c r="FZL62" s="3461"/>
      <c r="FZM62" s="3461"/>
      <c r="FZN62" s="3461"/>
      <c r="FZO62" s="3461"/>
      <c r="FZP62" s="3461"/>
      <c r="FZQ62" s="3461"/>
      <c r="FZR62" s="3461"/>
      <c r="FZS62" s="3461"/>
      <c r="FZT62" s="3461"/>
      <c r="FZU62" s="3461"/>
      <c r="FZV62" s="3461"/>
      <c r="FZW62" s="3461"/>
      <c r="FZX62" s="3461"/>
      <c r="FZY62" s="3461"/>
      <c r="FZZ62" s="3461"/>
      <c r="GAA62" s="3461"/>
      <c r="GAB62" s="3461"/>
      <c r="GAC62" s="3461"/>
      <c r="GAD62" s="3461"/>
      <c r="GAE62" s="3461"/>
      <c r="GAF62" s="3461"/>
      <c r="GAG62" s="3461"/>
      <c r="GAH62" s="3461"/>
      <c r="GAI62" s="3461"/>
      <c r="GAJ62" s="3461"/>
      <c r="GAK62" s="3461"/>
      <c r="GAL62" s="3461"/>
      <c r="GAM62" s="3461"/>
      <c r="GAN62" s="3461"/>
      <c r="GAO62" s="3461"/>
      <c r="GAP62" s="3461"/>
      <c r="GAQ62" s="3461"/>
      <c r="GAR62" s="3461"/>
      <c r="GAS62" s="3461"/>
      <c r="GAT62" s="3461"/>
      <c r="GAU62" s="3461"/>
      <c r="GAV62" s="3461"/>
      <c r="GAW62" s="3461"/>
      <c r="GAX62" s="3461"/>
      <c r="GAY62" s="3461"/>
      <c r="GAZ62" s="3461"/>
      <c r="GBA62" s="3461"/>
      <c r="GBB62" s="3461"/>
      <c r="GBC62" s="3461"/>
      <c r="GBD62" s="3461"/>
      <c r="GBE62" s="3461"/>
      <c r="GBF62" s="3461"/>
      <c r="GBG62" s="3461"/>
      <c r="GBH62" s="3461"/>
      <c r="GBI62" s="3461"/>
      <c r="GBJ62" s="3461"/>
      <c r="GBK62" s="3461"/>
      <c r="GBL62" s="3461"/>
      <c r="GBM62" s="3461"/>
      <c r="GBN62" s="3461"/>
      <c r="GBO62" s="3461"/>
      <c r="GBP62" s="3461"/>
      <c r="GBQ62" s="3461"/>
      <c r="GBR62" s="3461"/>
      <c r="GBS62" s="3461"/>
      <c r="GBT62" s="3461"/>
      <c r="GBU62" s="3461"/>
      <c r="GBV62" s="3461"/>
      <c r="GBW62" s="3461"/>
      <c r="GBX62" s="3461"/>
      <c r="GBY62" s="3461"/>
      <c r="GBZ62" s="3461"/>
      <c r="GCA62" s="3461"/>
      <c r="GCB62" s="3461"/>
      <c r="GCC62" s="3461"/>
      <c r="GCD62" s="3461"/>
      <c r="GCE62" s="3461"/>
      <c r="GCF62" s="3461"/>
      <c r="GCG62" s="3461"/>
      <c r="GCH62" s="3461"/>
      <c r="GCI62" s="3461"/>
      <c r="GCJ62" s="3461"/>
      <c r="GCK62" s="3461"/>
      <c r="GCL62" s="3461"/>
      <c r="GCM62" s="3461"/>
      <c r="GCN62" s="3461"/>
      <c r="GCO62" s="3461"/>
      <c r="GCP62" s="3461"/>
      <c r="GCQ62" s="3461"/>
      <c r="GCR62" s="3461"/>
      <c r="GCS62" s="3461"/>
      <c r="GCT62" s="3461"/>
      <c r="GCU62" s="3461"/>
      <c r="GCV62" s="3461"/>
      <c r="GCW62" s="3461"/>
      <c r="GCX62" s="3461"/>
      <c r="GCY62" s="3461"/>
      <c r="GCZ62" s="3461"/>
      <c r="GDA62" s="3461"/>
      <c r="GDB62" s="3461"/>
      <c r="GDC62" s="3461"/>
      <c r="GDD62" s="3461"/>
      <c r="GDE62" s="3461"/>
      <c r="GDF62" s="3461"/>
      <c r="GDG62" s="3461"/>
      <c r="GDH62" s="3461"/>
      <c r="GDI62" s="3461"/>
      <c r="GDJ62" s="3461"/>
      <c r="GDK62" s="3461"/>
      <c r="GDL62" s="3461"/>
      <c r="GDM62" s="3461"/>
      <c r="GDN62" s="3461"/>
      <c r="GDO62" s="3461"/>
      <c r="GDP62" s="3461"/>
      <c r="GDQ62" s="3461"/>
      <c r="GDR62" s="3461"/>
      <c r="GDS62" s="3461"/>
      <c r="GDT62" s="3461"/>
      <c r="GDU62" s="3461"/>
      <c r="GDV62" s="3461"/>
      <c r="GDW62" s="3461"/>
      <c r="GDX62" s="3461"/>
      <c r="GDY62" s="3461"/>
      <c r="GDZ62" s="3461"/>
      <c r="GEA62" s="3461"/>
      <c r="GEB62" s="3461"/>
      <c r="GEC62" s="3461"/>
      <c r="GED62" s="3461"/>
      <c r="GEE62" s="3461"/>
      <c r="GEF62" s="3461"/>
      <c r="GEG62" s="3461"/>
      <c r="GEH62" s="3461"/>
      <c r="GEI62" s="3461"/>
      <c r="GEJ62" s="3461"/>
      <c r="GEK62" s="3461"/>
      <c r="GEL62" s="3461"/>
      <c r="GEM62" s="3461"/>
      <c r="GEN62" s="3461"/>
      <c r="GEO62" s="3461"/>
      <c r="GEP62" s="3461"/>
      <c r="GEQ62" s="3461"/>
      <c r="GER62" s="3461"/>
      <c r="GES62" s="3461"/>
      <c r="GET62" s="3461"/>
      <c r="GEU62" s="3461"/>
      <c r="GEV62" s="3461"/>
      <c r="GEW62" s="3461"/>
      <c r="GEX62" s="3461"/>
      <c r="GEY62" s="3461"/>
      <c r="GEZ62" s="3461"/>
      <c r="GFA62" s="3461"/>
      <c r="GFB62" s="3461"/>
      <c r="GFC62" s="3461"/>
      <c r="GFD62" s="3461"/>
      <c r="GFE62" s="3461"/>
      <c r="GFF62" s="3461"/>
      <c r="GFG62" s="3461"/>
      <c r="GFH62" s="3461"/>
      <c r="GFI62" s="3461"/>
      <c r="GFJ62" s="3461"/>
      <c r="GFK62" s="3461"/>
      <c r="GFL62" s="3461"/>
      <c r="GFM62" s="3461"/>
      <c r="GFN62" s="3461"/>
      <c r="GFO62" s="3461"/>
      <c r="GFP62" s="3461"/>
      <c r="GFQ62" s="3461"/>
      <c r="GFR62" s="3461"/>
      <c r="GFS62" s="3461"/>
      <c r="GFT62" s="3461"/>
      <c r="GFU62" s="3461"/>
      <c r="GFV62" s="3461"/>
      <c r="GFW62" s="3461"/>
      <c r="GFX62" s="3461"/>
      <c r="GFY62" s="3461"/>
      <c r="GFZ62" s="3461"/>
      <c r="GGA62" s="3461"/>
      <c r="GGB62" s="3461"/>
      <c r="GGC62" s="3461"/>
      <c r="GGD62" s="3461"/>
      <c r="GGE62" s="3461"/>
      <c r="GGF62" s="3461"/>
      <c r="GGG62" s="3461"/>
      <c r="GGH62" s="3461"/>
      <c r="GGI62" s="3461"/>
      <c r="GGJ62" s="3461"/>
      <c r="GGK62" s="3461"/>
      <c r="GGL62" s="3461"/>
      <c r="GGM62" s="3461"/>
      <c r="GGN62" s="3461"/>
      <c r="GGO62" s="3461"/>
      <c r="GGP62" s="3461"/>
      <c r="GGQ62" s="3461"/>
      <c r="GGR62" s="3461"/>
      <c r="GGS62" s="3461"/>
      <c r="GGT62" s="3461"/>
      <c r="GGU62" s="3461"/>
      <c r="GGV62" s="3461"/>
      <c r="GGW62" s="3461"/>
      <c r="GGX62" s="3461"/>
      <c r="GGY62" s="3461"/>
      <c r="GGZ62" s="3461"/>
      <c r="GHA62" s="3461"/>
      <c r="GHB62" s="3461"/>
      <c r="GHC62" s="3461"/>
      <c r="GHD62" s="3461"/>
      <c r="GHE62" s="3461"/>
      <c r="GHF62" s="3461"/>
      <c r="GHG62" s="3461"/>
      <c r="GHH62" s="3461"/>
      <c r="GHI62" s="3461"/>
      <c r="GHJ62" s="3461"/>
      <c r="GHK62" s="3461"/>
      <c r="GHL62" s="3461"/>
      <c r="GHM62" s="3461"/>
      <c r="GHN62" s="3461"/>
      <c r="GHO62" s="3461"/>
      <c r="GHP62" s="3461"/>
      <c r="GHQ62" s="3461"/>
      <c r="GHR62" s="3461"/>
      <c r="GHS62" s="3461"/>
      <c r="GHT62" s="3461"/>
      <c r="GHU62" s="3461"/>
      <c r="GHV62" s="3461"/>
      <c r="GHW62" s="3461"/>
      <c r="GHX62" s="3461"/>
      <c r="GHY62" s="3461"/>
      <c r="GHZ62" s="3461"/>
      <c r="GIA62" s="3461"/>
      <c r="GIB62" s="3461"/>
      <c r="GIC62" s="3461"/>
      <c r="GID62" s="3461"/>
      <c r="GIE62" s="3461"/>
      <c r="GIF62" s="3461"/>
      <c r="GIG62" s="3461"/>
      <c r="GIH62" s="3461"/>
      <c r="GII62" s="3461"/>
      <c r="GIJ62" s="3461"/>
      <c r="GIK62" s="3461"/>
      <c r="GIL62" s="3461"/>
      <c r="GIM62" s="3461"/>
      <c r="GIN62" s="3461"/>
      <c r="GIO62" s="3461"/>
      <c r="GIP62" s="3461"/>
      <c r="GIQ62" s="3461"/>
      <c r="GIR62" s="3461"/>
      <c r="GIS62" s="3461"/>
      <c r="GIT62" s="3461"/>
      <c r="GIU62" s="3461"/>
      <c r="GIV62" s="3461"/>
      <c r="GIW62" s="3461"/>
      <c r="GIX62" s="3461"/>
      <c r="GIY62" s="3461"/>
      <c r="GIZ62" s="3461"/>
      <c r="GJA62" s="3461"/>
      <c r="GJB62" s="3461"/>
      <c r="GJC62" s="3461"/>
      <c r="GJD62" s="3461"/>
      <c r="GJE62" s="3461"/>
      <c r="GJF62" s="3461"/>
      <c r="GJG62" s="3461"/>
      <c r="GJH62" s="3461"/>
      <c r="GJI62" s="3461"/>
      <c r="GJJ62" s="3461"/>
      <c r="GJK62" s="3461"/>
      <c r="GJL62" s="3461"/>
      <c r="GJM62" s="3461"/>
      <c r="GJN62" s="3461"/>
      <c r="GJO62" s="3461"/>
      <c r="GJP62" s="3461"/>
      <c r="GJQ62" s="3461"/>
      <c r="GJR62" s="3461"/>
      <c r="GJS62" s="3461"/>
      <c r="GJT62" s="3461"/>
      <c r="GJU62" s="3461"/>
      <c r="GJV62" s="3461"/>
      <c r="GJW62" s="3461"/>
      <c r="GJX62" s="3461"/>
      <c r="GJY62" s="3461"/>
      <c r="GJZ62" s="3461"/>
      <c r="GKA62" s="3461"/>
      <c r="GKB62" s="3461"/>
      <c r="GKC62" s="3461"/>
      <c r="GKD62" s="3461"/>
      <c r="GKE62" s="3461"/>
      <c r="GKF62" s="3461"/>
      <c r="GKG62" s="3461"/>
      <c r="GKH62" s="3461"/>
      <c r="GKI62" s="3461"/>
      <c r="GKJ62" s="3461"/>
      <c r="GKK62" s="3461"/>
      <c r="GKL62" s="3461"/>
      <c r="GKM62" s="3461"/>
      <c r="GKN62" s="3461"/>
      <c r="GKO62" s="3461"/>
      <c r="GKP62" s="3461"/>
      <c r="GKQ62" s="3461"/>
      <c r="GKR62" s="3461"/>
      <c r="GKS62" s="3461"/>
      <c r="GKT62" s="3461"/>
      <c r="GKU62" s="3461"/>
      <c r="GKV62" s="3461"/>
      <c r="GKW62" s="3461"/>
      <c r="GKX62" s="3461"/>
      <c r="GKY62" s="3461"/>
      <c r="GKZ62" s="3461"/>
      <c r="GLA62" s="3461"/>
      <c r="GLB62" s="3461"/>
      <c r="GLC62" s="3461"/>
      <c r="GLD62" s="3461"/>
      <c r="GLE62" s="3461"/>
      <c r="GLF62" s="3461"/>
      <c r="GLG62" s="3461"/>
      <c r="GLH62" s="3461"/>
      <c r="GLI62" s="3461"/>
      <c r="GLJ62" s="3461"/>
      <c r="GLK62" s="3461"/>
      <c r="GLL62" s="3461"/>
      <c r="GLM62" s="3461"/>
      <c r="GLN62" s="3461"/>
      <c r="GLO62" s="3461"/>
      <c r="GLP62" s="3461"/>
      <c r="GLQ62" s="3461"/>
      <c r="GLR62" s="3461"/>
      <c r="GLS62" s="3461"/>
      <c r="GLT62" s="3461"/>
      <c r="GLU62" s="3461"/>
      <c r="GLV62" s="3461"/>
      <c r="GLW62" s="3461"/>
      <c r="GLX62" s="3461"/>
      <c r="GLY62" s="3461"/>
      <c r="GLZ62" s="3461"/>
      <c r="GMA62" s="3461"/>
      <c r="GMB62" s="3461"/>
      <c r="GMC62" s="3461"/>
      <c r="GMD62" s="3461"/>
      <c r="GME62" s="3461"/>
      <c r="GMF62" s="3461"/>
      <c r="GMG62" s="3461"/>
      <c r="GMH62" s="3461"/>
      <c r="GMI62" s="3461"/>
      <c r="GMJ62" s="3461"/>
      <c r="GMK62" s="3461"/>
      <c r="GML62" s="3461"/>
      <c r="GMM62" s="3461"/>
      <c r="GMN62" s="3461"/>
      <c r="GMO62" s="3461"/>
      <c r="GMP62" s="3461"/>
      <c r="GMQ62" s="3461"/>
      <c r="GMR62" s="3461"/>
      <c r="GMS62" s="3461"/>
      <c r="GMT62" s="3461"/>
      <c r="GMU62" s="3461"/>
      <c r="GMV62" s="3461"/>
      <c r="GMW62" s="3461"/>
      <c r="GMX62" s="3461"/>
      <c r="GMY62" s="3461"/>
      <c r="GMZ62" s="3461"/>
      <c r="GNA62" s="3461"/>
      <c r="GNB62" s="3461"/>
      <c r="GNC62" s="3461"/>
      <c r="GND62" s="3461"/>
      <c r="GNE62" s="3461"/>
      <c r="GNF62" s="3461"/>
      <c r="GNG62" s="3461"/>
      <c r="GNH62" s="3461"/>
      <c r="GNI62" s="3461"/>
      <c r="GNJ62" s="3461"/>
      <c r="GNK62" s="3461"/>
      <c r="GNL62" s="3461"/>
      <c r="GNM62" s="3461"/>
      <c r="GNN62" s="3461"/>
      <c r="GNO62" s="3461"/>
      <c r="GNP62" s="3461"/>
      <c r="GNQ62" s="3461"/>
      <c r="GNR62" s="3461"/>
      <c r="GNS62" s="3461"/>
      <c r="GNT62" s="3461"/>
      <c r="GNU62" s="3461"/>
      <c r="GNV62" s="3461"/>
      <c r="GNW62" s="3461"/>
      <c r="GNX62" s="3461"/>
      <c r="GNY62" s="3461"/>
      <c r="GNZ62" s="3461"/>
      <c r="GOA62" s="3461"/>
      <c r="GOB62" s="3461"/>
      <c r="GOC62" s="3461"/>
      <c r="GOD62" s="3461"/>
      <c r="GOE62" s="3461"/>
      <c r="GOF62" s="3461"/>
      <c r="GOG62" s="3461"/>
      <c r="GOH62" s="3461"/>
      <c r="GOI62" s="3461"/>
      <c r="GOJ62" s="3461"/>
      <c r="GOK62" s="3461"/>
      <c r="GOL62" s="3461"/>
      <c r="GOM62" s="3461"/>
      <c r="GON62" s="3461"/>
      <c r="GOO62" s="3461"/>
      <c r="GOP62" s="3461"/>
      <c r="GOQ62" s="3461"/>
      <c r="GOR62" s="3461"/>
      <c r="GOS62" s="3461"/>
      <c r="GOT62" s="3461"/>
      <c r="GOU62" s="3461"/>
      <c r="GOV62" s="3461"/>
      <c r="GOW62" s="3461"/>
      <c r="GOX62" s="3461"/>
      <c r="GOY62" s="3461"/>
      <c r="GOZ62" s="3461"/>
      <c r="GPA62" s="3461"/>
      <c r="GPB62" s="3461"/>
      <c r="GPC62" s="3461"/>
      <c r="GPD62" s="3461"/>
      <c r="GPE62" s="3461"/>
      <c r="GPF62" s="3461"/>
      <c r="GPG62" s="3461"/>
      <c r="GPH62" s="3461"/>
      <c r="GPI62" s="3461"/>
      <c r="GPJ62" s="3461"/>
      <c r="GPK62" s="3461"/>
      <c r="GPL62" s="3461"/>
      <c r="GPM62" s="3461"/>
      <c r="GPN62" s="3461"/>
      <c r="GPO62" s="3461"/>
      <c r="GPP62" s="3461"/>
      <c r="GPQ62" s="3461"/>
      <c r="GPR62" s="3461"/>
      <c r="GPS62" s="3461"/>
      <c r="GPT62" s="3461"/>
      <c r="GPU62" s="3461"/>
      <c r="GPV62" s="3461"/>
      <c r="GPW62" s="3461"/>
      <c r="GPX62" s="3461"/>
      <c r="GPY62" s="3461"/>
      <c r="GPZ62" s="3461"/>
      <c r="GQA62" s="3461"/>
      <c r="GQB62" s="3461"/>
      <c r="GQC62" s="3461"/>
      <c r="GQD62" s="3461"/>
      <c r="GQE62" s="3461"/>
      <c r="GQF62" s="3461"/>
      <c r="GQG62" s="3461"/>
      <c r="GQH62" s="3461"/>
      <c r="GQI62" s="3461"/>
      <c r="GQJ62" s="3461"/>
      <c r="GQK62" s="3461"/>
      <c r="GQL62" s="3461"/>
      <c r="GQM62" s="3461"/>
      <c r="GQN62" s="3461"/>
      <c r="GQO62" s="3461"/>
      <c r="GQP62" s="3461"/>
      <c r="GQQ62" s="3461"/>
      <c r="GQR62" s="3461"/>
      <c r="GQS62" s="3461"/>
      <c r="GQT62" s="3461"/>
      <c r="GQU62" s="3461"/>
      <c r="GQV62" s="3461"/>
      <c r="GQW62" s="3461"/>
      <c r="GQX62" s="3461"/>
      <c r="GQY62" s="3461"/>
      <c r="GQZ62" s="3461"/>
      <c r="GRA62" s="3461"/>
      <c r="GRB62" s="3461"/>
      <c r="GRC62" s="3461"/>
      <c r="GRD62" s="3461"/>
      <c r="GRE62" s="3461"/>
      <c r="GRF62" s="3461"/>
      <c r="GRG62" s="3461"/>
      <c r="GRH62" s="3461"/>
      <c r="GRI62" s="3461"/>
      <c r="GRJ62" s="3461"/>
      <c r="GRK62" s="3461"/>
      <c r="GRL62" s="3461"/>
      <c r="GRM62" s="3461"/>
      <c r="GRN62" s="3461"/>
      <c r="GRO62" s="3461"/>
      <c r="GRP62" s="3461"/>
      <c r="GRQ62" s="3461"/>
      <c r="GRR62" s="3461"/>
      <c r="GRS62" s="3461"/>
      <c r="GRT62" s="3461"/>
      <c r="GRU62" s="3461"/>
      <c r="GRV62" s="3461"/>
      <c r="GRW62" s="3461"/>
      <c r="GRX62" s="3461"/>
      <c r="GRY62" s="3461"/>
      <c r="GRZ62" s="3461"/>
      <c r="GSA62" s="3461"/>
      <c r="GSB62" s="3461"/>
      <c r="GSC62" s="3461"/>
      <c r="GSD62" s="3461"/>
      <c r="GSE62" s="3461"/>
      <c r="GSF62" s="3461"/>
      <c r="GSG62" s="3461"/>
      <c r="GSH62" s="3461"/>
      <c r="GSI62" s="3461"/>
      <c r="GSJ62" s="3461"/>
      <c r="GSK62" s="3461"/>
      <c r="GSL62" s="3461"/>
      <c r="GSM62" s="3461"/>
      <c r="GSN62" s="3461"/>
      <c r="GSO62" s="3461"/>
      <c r="GSP62" s="3461"/>
      <c r="GSQ62" s="3461"/>
      <c r="GSR62" s="3461"/>
      <c r="GSS62" s="3461"/>
      <c r="GST62" s="3461"/>
      <c r="GSU62" s="3461"/>
      <c r="GSV62" s="3461"/>
      <c r="GSW62" s="3461"/>
      <c r="GSX62" s="3461"/>
      <c r="GSY62" s="3461"/>
      <c r="GSZ62" s="3461"/>
      <c r="GTA62" s="3461"/>
      <c r="GTB62" s="3461"/>
      <c r="GTC62" s="3461"/>
      <c r="GTD62" s="3461"/>
      <c r="GTE62" s="3461"/>
      <c r="GTF62" s="3461"/>
      <c r="GTG62" s="3461"/>
      <c r="GTH62" s="3461"/>
      <c r="GTI62" s="3461"/>
      <c r="GTJ62" s="3461"/>
      <c r="GTK62" s="3461"/>
      <c r="GTL62" s="3461"/>
      <c r="GTM62" s="3461"/>
      <c r="GTN62" s="3461"/>
      <c r="GTO62" s="3461"/>
      <c r="GTP62" s="3461"/>
      <c r="GTQ62" s="3461"/>
      <c r="GTR62" s="3461"/>
      <c r="GTS62" s="3461"/>
      <c r="GTT62" s="3461"/>
      <c r="GTU62" s="3461"/>
      <c r="GTV62" s="3461"/>
      <c r="GTW62" s="3461"/>
      <c r="GTX62" s="3461"/>
      <c r="GTY62" s="3461"/>
      <c r="GTZ62" s="3461"/>
      <c r="GUA62" s="3461"/>
      <c r="GUB62" s="3461"/>
      <c r="GUC62" s="3461"/>
      <c r="GUD62" s="3461"/>
      <c r="GUE62" s="3461"/>
      <c r="GUF62" s="3461"/>
      <c r="GUG62" s="3461"/>
      <c r="GUH62" s="3461"/>
      <c r="GUI62" s="3461"/>
      <c r="GUJ62" s="3461"/>
      <c r="GUK62" s="3461"/>
      <c r="GUL62" s="3461"/>
      <c r="GUM62" s="3461"/>
      <c r="GUN62" s="3461"/>
      <c r="GUO62" s="3461"/>
      <c r="GUP62" s="3461"/>
      <c r="GUQ62" s="3461"/>
      <c r="GUR62" s="3461"/>
      <c r="GUS62" s="3461"/>
      <c r="GUT62" s="3461"/>
      <c r="GUU62" s="3461"/>
      <c r="GUV62" s="3461"/>
      <c r="GUW62" s="3461"/>
      <c r="GUX62" s="3461"/>
      <c r="GUY62" s="3461"/>
      <c r="GUZ62" s="3461"/>
      <c r="GVA62" s="3461"/>
      <c r="GVB62" s="3461"/>
      <c r="GVC62" s="3461"/>
      <c r="GVD62" s="3461"/>
      <c r="GVE62" s="3461"/>
      <c r="GVF62" s="3461"/>
      <c r="GVG62" s="3461"/>
      <c r="GVH62" s="3461"/>
      <c r="GVI62" s="3461"/>
      <c r="GVJ62" s="3461"/>
      <c r="GVK62" s="3461"/>
      <c r="GVL62" s="3461"/>
      <c r="GVM62" s="3461"/>
      <c r="GVN62" s="3461"/>
      <c r="GVO62" s="3461"/>
      <c r="GVP62" s="3461"/>
      <c r="GVQ62" s="3461"/>
      <c r="GVR62" s="3461"/>
      <c r="GVS62" s="3461"/>
      <c r="GVT62" s="3461"/>
      <c r="GVU62" s="3461"/>
      <c r="GVV62" s="3461"/>
      <c r="GVW62" s="3461"/>
      <c r="GVX62" s="3461"/>
      <c r="GVY62" s="3461"/>
      <c r="GVZ62" s="3461"/>
      <c r="GWA62" s="3461"/>
      <c r="GWB62" s="3461"/>
      <c r="GWC62" s="3461"/>
      <c r="GWD62" s="3461"/>
      <c r="GWE62" s="3461"/>
      <c r="GWF62" s="3461"/>
      <c r="GWG62" s="3461"/>
      <c r="GWH62" s="3461"/>
      <c r="GWI62" s="3461"/>
      <c r="GWJ62" s="3461"/>
      <c r="GWK62" s="3461"/>
      <c r="GWL62" s="3461"/>
      <c r="GWM62" s="3461"/>
      <c r="GWN62" s="3461"/>
      <c r="GWO62" s="3461"/>
      <c r="GWP62" s="3461"/>
      <c r="GWQ62" s="3461"/>
      <c r="GWR62" s="3461"/>
      <c r="GWS62" s="3461"/>
      <c r="GWT62" s="3461"/>
      <c r="GWU62" s="3461"/>
      <c r="GWV62" s="3461"/>
      <c r="GWW62" s="3461"/>
      <c r="GWX62" s="3461"/>
      <c r="GWY62" s="3461"/>
      <c r="GWZ62" s="3461"/>
      <c r="GXA62" s="3461"/>
      <c r="GXB62" s="3461"/>
      <c r="GXC62" s="3461"/>
      <c r="GXD62" s="3461"/>
      <c r="GXE62" s="3461"/>
      <c r="GXF62" s="3461"/>
      <c r="GXG62" s="3461"/>
      <c r="GXH62" s="3461"/>
      <c r="GXI62" s="3461"/>
      <c r="GXJ62" s="3461"/>
      <c r="GXK62" s="3461"/>
      <c r="GXL62" s="3461"/>
      <c r="GXM62" s="3461"/>
      <c r="GXN62" s="3461"/>
      <c r="GXO62" s="3461"/>
      <c r="GXP62" s="3461"/>
      <c r="GXQ62" s="3461"/>
      <c r="GXR62" s="3461"/>
      <c r="GXS62" s="3461"/>
      <c r="GXT62" s="3461"/>
      <c r="GXU62" s="3461"/>
      <c r="GXV62" s="3461"/>
      <c r="GXW62" s="3461"/>
      <c r="GXX62" s="3461"/>
      <c r="GXY62" s="3461"/>
      <c r="GXZ62" s="3461"/>
      <c r="GYA62" s="3461"/>
      <c r="GYB62" s="3461"/>
      <c r="GYC62" s="3461"/>
      <c r="GYD62" s="3461"/>
      <c r="GYE62" s="3461"/>
      <c r="GYF62" s="3461"/>
      <c r="GYG62" s="3461"/>
      <c r="GYH62" s="3461"/>
      <c r="GYI62" s="3461"/>
      <c r="GYJ62" s="3461"/>
      <c r="GYK62" s="3461"/>
      <c r="GYL62" s="3461"/>
      <c r="GYM62" s="3461"/>
      <c r="GYN62" s="3461"/>
      <c r="GYO62" s="3461"/>
      <c r="GYP62" s="3461"/>
      <c r="GYQ62" s="3461"/>
      <c r="GYR62" s="3461"/>
      <c r="GYS62" s="3461"/>
      <c r="GYT62" s="3461"/>
      <c r="GYU62" s="3461"/>
      <c r="GYV62" s="3461"/>
      <c r="GYW62" s="3461"/>
      <c r="GYX62" s="3461"/>
      <c r="GYY62" s="3461"/>
      <c r="GYZ62" s="3461"/>
      <c r="GZA62" s="3461"/>
      <c r="GZB62" s="3461"/>
      <c r="GZC62" s="3461"/>
      <c r="GZD62" s="3461"/>
      <c r="GZE62" s="3461"/>
      <c r="GZF62" s="3461"/>
      <c r="GZG62" s="3461"/>
      <c r="GZH62" s="3461"/>
      <c r="GZI62" s="3461"/>
      <c r="GZJ62" s="3461"/>
      <c r="GZK62" s="3461"/>
      <c r="GZL62" s="3461"/>
      <c r="GZM62" s="3461"/>
      <c r="GZN62" s="3461"/>
      <c r="GZO62" s="3461"/>
      <c r="GZP62" s="3461"/>
      <c r="GZQ62" s="3461"/>
      <c r="GZR62" s="3461"/>
      <c r="GZS62" s="3461"/>
      <c r="GZT62" s="3461"/>
      <c r="GZU62" s="3461"/>
      <c r="GZV62" s="3461"/>
      <c r="GZW62" s="3461"/>
      <c r="GZX62" s="3461"/>
      <c r="GZY62" s="3461"/>
      <c r="GZZ62" s="3461"/>
      <c r="HAA62" s="3461"/>
      <c r="HAB62" s="3461"/>
      <c r="HAC62" s="3461"/>
      <c r="HAD62" s="3461"/>
      <c r="HAE62" s="3461"/>
      <c r="HAF62" s="3461"/>
      <c r="HAG62" s="3461"/>
      <c r="HAH62" s="3461"/>
      <c r="HAI62" s="3461"/>
      <c r="HAJ62" s="3461"/>
      <c r="HAK62" s="3461"/>
      <c r="HAL62" s="3461"/>
      <c r="HAM62" s="3461"/>
      <c r="HAN62" s="3461"/>
      <c r="HAO62" s="3461"/>
      <c r="HAP62" s="3461"/>
      <c r="HAQ62" s="3461"/>
      <c r="HAR62" s="3461"/>
      <c r="HAS62" s="3461"/>
      <c r="HAT62" s="3461"/>
      <c r="HAU62" s="3461"/>
      <c r="HAV62" s="3461"/>
      <c r="HAW62" s="3461"/>
      <c r="HAX62" s="3461"/>
      <c r="HAY62" s="3461"/>
      <c r="HAZ62" s="3461"/>
      <c r="HBA62" s="3461"/>
      <c r="HBB62" s="3461"/>
      <c r="HBC62" s="3461"/>
      <c r="HBD62" s="3461"/>
      <c r="HBE62" s="3461"/>
      <c r="HBF62" s="3461"/>
      <c r="HBG62" s="3461"/>
      <c r="HBH62" s="3461"/>
      <c r="HBI62" s="3461"/>
      <c r="HBJ62" s="3461"/>
      <c r="HBK62" s="3461"/>
      <c r="HBL62" s="3461"/>
      <c r="HBM62" s="3461"/>
      <c r="HBN62" s="3461"/>
      <c r="HBO62" s="3461"/>
      <c r="HBP62" s="3461"/>
      <c r="HBQ62" s="3461"/>
      <c r="HBR62" s="3461"/>
      <c r="HBS62" s="3461"/>
      <c r="HBT62" s="3461"/>
      <c r="HBU62" s="3461"/>
      <c r="HBV62" s="3461"/>
      <c r="HBW62" s="3461"/>
      <c r="HBX62" s="3461"/>
      <c r="HBY62" s="3461"/>
      <c r="HBZ62" s="3461"/>
      <c r="HCA62" s="3461"/>
      <c r="HCB62" s="3461"/>
      <c r="HCC62" s="3461"/>
      <c r="HCD62" s="3461"/>
      <c r="HCE62" s="3461"/>
      <c r="HCF62" s="3461"/>
      <c r="HCG62" s="3461"/>
      <c r="HCH62" s="3461"/>
      <c r="HCI62" s="3461"/>
      <c r="HCJ62" s="3461"/>
      <c r="HCK62" s="3461"/>
      <c r="HCL62" s="3461"/>
      <c r="HCM62" s="3461"/>
      <c r="HCN62" s="3461"/>
      <c r="HCO62" s="3461"/>
      <c r="HCP62" s="3461"/>
      <c r="HCQ62" s="3461"/>
      <c r="HCR62" s="3461"/>
      <c r="HCS62" s="3461"/>
      <c r="HCT62" s="3461"/>
      <c r="HCU62" s="3461"/>
      <c r="HCV62" s="3461"/>
      <c r="HCW62" s="3461"/>
      <c r="HCX62" s="3461"/>
      <c r="HCY62" s="3461"/>
      <c r="HCZ62" s="3461"/>
      <c r="HDA62" s="3461"/>
      <c r="HDB62" s="3461"/>
      <c r="HDC62" s="3461"/>
      <c r="HDD62" s="3461"/>
      <c r="HDE62" s="3461"/>
      <c r="HDF62" s="3461"/>
      <c r="HDG62" s="3461"/>
      <c r="HDH62" s="3461"/>
      <c r="HDI62" s="3461"/>
      <c r="HDJ62" s="3461"/>
      <c r="HDK62" s="3461"/>
      <c r="HDL62" s="3461"/>
      <c r="HDM62" s="3461"/>
      <c r="HDN62" s="3461"/>
      <c r="HDO62" s="3461"/>
      <c r="HDP62" s="3461"/>
      <c r="HDQ62" s="3461"/>
      <c r="HDR62" s="3461"/>
      <c r="HDS62" s="3461"/>
      <c r="HDT62" s="3461"/>
      <c r="HDU62" s="3461"/>
      <c r="HDV62" s="3461"/>
      <c r="HDW62" s="3461"/>
      <c r="HDX62" s="3461"/>
      <c r="HDY62" s="3461"/>
      <c r="HDZ62" s="3461"/>
      <c r="HEA62" s="3461"/>
      <c r="HEB62" s="3461"/>
      <c r="HEC62" s="3461"/>
      <c r="HED62" s="3461"/>
      <c r="HEE62" s="3461"/>
      <c r="HEF62" s="3461"/>
      <c r="HEG62" s="3461"/>
      <c r="HEH62" s="3461"/>
      <c r="HEI62" s="3461"/>
      <c r="HEJ62" s="3461"/>
      <c r="HEK62" s="3461"/>
      <c r="HEL62" s="3461"/>
      <c r="HEM62" s="3461"/>
      <c r="HEN62" s="3461"/>
      <c r="HEO62" s="3461"/>
      <c r="HEP62" s="3461"/>
      <c r="HEQ62" s="3461"/>
      <c r="HER62" s="3461"/>
      <c r="HES62" s="3461"/>
      <c r="HET62" s="3461"/>
      <c r="HEU62" s="3461"/>
      <c r="HEV62" s="3461"/>
      <c r="HEW62" s="3461"/>
      <c r="HEX62" s="3461"/>
      <c r="HEY62" s="3461"/>
      <c r="HEZ62" s="3461"/>
      <c r="HFA62" s="3461"/>
      <c r="HFB62" s="3461"/>
      <c r="HFC62" s="3461"/>
      <c r="HFD62" s="3461"/>
      <c r="HFE62" s="3461"/>
      <c r="HFF62" s="3461"/>
      <c r="HFG62" s="3461"/>
      <c r="HFH62" s="3461"/>
      <c r="HFI62" s="3461"/>
      <c r="HFJ62" s="3461"/>
      <c r="HFK62" s="3461"/>
      <c r="HFL62" s="3461"/>
      <c r="HFM62" s="3461"/>
      <c r="HFN62" s="3461"/>
      <c r="HFO62" s="3461"/>
      <c r="HFP62" s="3461"/>
      <c r="HFQ62" s="3461"/>
      <c r="HFR62" s="3461"/>
      <c r="HFS62" s="3461"/>
      <c r="HFT62" s="3461"/>
      <c r="HFU62" s="3461"/>
      <c r="HFV62" s="3461"/>
      <c r="HFW62" s="3461"/>
      <c r="HFX62" s="3461"/>
      <c r="HFY62" s="3461"/>
      <c r="HFZ62" s="3461"/>
      <c r="HGA62" s="3461"/>
      <c r="HGB62" s="3461"/>
      <c r="HGC62" s="3461"/>
      <c r="HGD62" s="3461"/>
      <c r="HGE62" s="3461"/>
      <c r="HGF62" s="3461"/>
      <c r="HGG62" s="3461"/>
      <c r="HGH62" s="3461"/>
      <c r="HGI62" s="3461"/>
      <c r="HGJ62" s="3461"/>
      <c r="HGK62" s="3461"/>
      <c r="HGL62" s="3461"/>
      <c r="HGM62" s="3461"/>
      <c r="HGN62" s="3461"/>
      <c r="HGO62" s="3461"/>
      <c r="HGP62" s="3461"/>
      <c r="HGQ62" s="3461"/>
      <c r="HGR62" s="3461"/>
      <c r="HGS62" s="3461"/>
      <c r="HGT62" s="3461"/>
      <c r="HGU62" s="3461"/>
      <c r="HGV62" s="3461"/>
      <c r="HGW62" s="3461"/>
      <c r="HGX62" s="3461"/>
      <c r="HGY62" s="3461"/>
      <c r="HGZ62" s="3461"/>
      <c r="HHA62" s="3461"/>
      <c r="HHB62" s="3461"/>
      <c r="HHC62" s="3461"/>
      <c r="HHD62" s="3461"/>
      <c r="HHE62" s="3461"/>
      <c r="HHF62" s="3461"/>
      <c r="HHG62" s="3461"/>
      <c r="HHH62" s="3461"/>
      <c r="HHI62" s="3461"/>
      <c r="HHJ62" s="3461"/>
      <c r="HHK62" s="3461"/>
      <c r="HHL62" s="3461"/>
      <c r="HHM62" s="3461"/>
      <c r="HHN62" s="3461"/>
      <c r="HHO62" s="3461"/>
      <c r="HHP62" s="3461"/>
      <c r="HHQ62" s="3461"/>
      <c r="HHR62" s="3461"/>
      <c r="HHS62" s="3461"/>
      <c r="HHT62" s="3461"/>
      <c r="HHU62" s="3461"/>
      <c r="HHV62" s="3461"/>
      <c r="HHW62" s="3461"/>
      <c r="HHX62" s="3461"/>
      <c r="HHY62" s="3461"/>
      <c r="HHZ62" s="3461"/>
      <c r="HIA62" s="3461"/>
      <c r="HIB62" s="3461"/>
      <c r="HIC62" s="3461"/>
      <c r="HID62" s="3461"/>
      <c r="HIE62" s="3461"/>
      <c r="HIF62" s="3461"/>
      <c r="HIG62" s="3461"/>
      <c r="HIH62" s="3461"/>
      <c r="HII62" s="3461"/>
      <c r="HIJ62" s="3461"/>
      <c r="HIK62" s="3461"/>
      <c r="HIL62" s="3461"/>
      <c r="HIM62" s="3461"/>
      <c r="HIN62" s="3461"/>
      <c r="HIO62" s="3461"/>
      <c r="HIP62" s="3461"/>
      <c r="HIQ62" s="3461"/>
      <c r="HIR62" s="3461"/>
      <c r="HIS62" s="3461"/>
      <c r="HIT62" s="3461"/>
      <c r="HIU62" s="3461"/>
      <c r="HIV62" s="3461"/>
      <c r="HIW62" s="3461"/>
      <c r="HIX62" s="3461"/>
      <c r="HIY62" s="3461"/>
      <c r="HIZ62" s="3461"/>
      <c r="HJA62" s="3461"/>
      <c r="HJB62" s="3461"/>
      <c r="HJC62" s="3461"/>
      <c r="HJD62" s="3461"/>
      <c r="HJE62" s="3461"/>
      <c r="HJF62" s="3461"/>
      <c r="HJG62" s="3461"/>
      <c r="HJH62" s="3461"/>
      <c r="HJI62" s="3461"/>
      <c r="HJJ62" s="3461"/>
      <c r="HJK62" s="3461"/>
      <c r="HJL62" s="3461"/>
      <c r="HJM62" s="3461"/>
      <c r="HJN62" s="3461"/>
      <c r="HJO62" s="3461"/>
      <c r="HJP62" s="3461"/>
      <c r="HJQ62" s="3461"/>
      <c r="HJR62" s="3461"/>
      <c r="HJS62" s="3461"/>
      <c r="HJT62" s="3461"/>
      <c r="HJU62" s="3461"/>
      <c r="HJV62" s="3461"/>
      <c r="HJW62" s="3461"/>
      <c r="HJX62" s="3461"/>
      <c r="HJY62" s="3461"/>
      <c r="HJZ62" s="3461"/>
      <c r="HKA62" s="3461"/>
      <c r="HKB62" s="3461"/>
      <c r="HKC62" s="3461"/>
      <c r="HKD62" s="3461"/>
      <c r="HKE62" s="3461"/>
      <c r="HKF62" s="3461"/>
      <c r="HKG62" s="3461"/>
      <c r="HKH62" s="3461"/>
      <c r="HKI62" s="3461"/>
      <c r="HKJ62" s="3461"/>
      <c r="HKK62" s="3461"/>
      <c r="HKL62" s="3461"/>
      <c r="HKM62" s="3461"/>
      <c r="HKN62" s="3461"/>
      <c r="HKO62" s="3461"/>
      <c r="HKP62" s="3461"/>
      <c r="HKQ62" s="3461"/>
      <c r="HKR62" s="3461"/>
      <c r="HKS62" s="3461"/>
      <c r="HKT62" s="3461"/>
      <c r="HKU62" s="3461"/>
      <c r="HKV62" s="3461"/>
      <c r="HKW62" s="3461"/>
      <c r="HKX62" s="3461"/>
      <c r="HKY62" s="3461"/>
      <c r="HKZ62" s="3461"/>
      <c r="HLA62" s="3461"/>
      <c r="HLB62" s="3461"/>
      <c r="HLC62" s="3461"/>
      <c r="HLD62" s="3461"/>
      <c r="HLE62" s="3461"/>
      <c r="HLF62" s="3461"/>
      <c r="HLG62" s="3461"/>
      <c r="HLH62" s="3461"/>
      <c r="HLI62" s="3461"/>
      <c r="HLJ62" s="3461"/>
      <c r="HLK62" s="3461"/>
      <c r="HLL62" s="3461"/>
      <c r="HLM62" s="3461"/>
      <c r="HLN62" s="3461"/>
      <c r="HLO62" s="3461"/>
      <c r="HLP62" s="3461"/>
      <c r="HLQ62" s="3461"/>
      <c r="HLR62" s="3461"/>
      <c r="HLS62" s="3461"/>
      <c r="HLT62" s="3461"/>
      <c r="HLU62" s="3461"/>
      <c r="HLV62" s="3461"/>
      <c r="HLW62" s="3461"/>
      <c r="HLX62" s="3461"/>
      <c r="HLY62" s="3461"/>
      <c r="HLZ62" s="3461"/>
      <c r="HMA62" s="3461"/>
      <c r="HMB62" s="3461"/>
      <c r="HMC62" s="3461"/>
      <c r="HMD62" s="3461"/>
      <c r="HME62" s="3461"/>
      <c r="HMF62" s="3461"/>
      <c r="HMG62" s="3461"/>
      <c r="HMH62" s="3461"/>
      <c r="HMI62" s="3461"/>
      <c r="HMJ62" s="3461"/>
      <c r="HMK62" s="3461"/>
      <c r="HML62" s="3461"/>
      <c r="HMM62" s="3461"/>
      <c r="HMN62" s="3461"/>
      <c r="HMO62" s="3461"/>
      <c r="HMP62" s="3461"/>
      <c r="HMQ62" s="3461"/>
      <c r="HMR62" s="3461"/>
      <c r="HMS62" s="3461"/>
      <c r="HMT62" s="3461"/>
      <c r="HMU62" s="3461"/>
      <c r="HMV62" s="3461"/>
      <c r="HMW62" s="3461"/>
      <c r="HMX62" s="3461"/>
      <c r="HMY62" s="3461"/>
      <c r="HMZ62" s="3461"/>
      <c r="HNA62" s="3461"/>
      <c r="HNB62" s="3461"/>
      <c r="HNC62" s="3461"/>
      <c r="HND62" s="3461"/>
      <c r="HNE62" s="3461"/>
      <c r="HNF62" s="3461"/>
      <c r="HNG62" s="3461"/>
      <c r="HNH62" s="3461"/>
      <c r="HNI62" s="3461"/>
      <c r="HNJ62" s="3461"/>
      <c r="HNK62" s="3461"/>
      <c r="HNL62" s="3461"/>
      <c r="HNM62" s="3461"/>
      <c r="HNN62" s="3461"/>
      <c r="HNO62" s="3461"/>
      <c r="HNP62" s="3461"/>
      <c r="HNQ62" s="3461"/>
      <c r="HNR62" s="3461"/>
      <c r="HNS62" s="3461"/>
      <c r="HNT62" s="3461"/>
      <c r="HNU62" s="3461"/>
      <c r="HNV62" s="3461"/>
      <c r="HNW62" s="3461"/>
      <c r="HNX62" s="3461"/>
      <c r="HNY62" s="3461"/>
      <c r="HNZ62" s="3461"/>
      <c r="HOA62" s="3461"/>
      <c r="HOB62" s="3461"/>
      <c r="HOC62" s="3461"/>
      <c r="HOD62" s="3461"/>
      <c r="HOE62" s="3461"/>
      <c r="HOF62" s="3461"/>
      <c r="HOG62" s="3461"/>
      <c r="HOH62" s="3461"/>
      <c r="HOI62" s="3461"/>
      <c r="HOJ62" s="3461"/>
      <c r="HOK62" s="3461"/>
      <c r="HOL62" s="3461"/>
      <c r="HOM62" s="3461"/>
      <c r="HON62" s="3461"/>
      <c r="HOO62" s="3461"/>
      <c r="HOP62" s="3461"/>
      <c r="HOQ62" s="3461"/>
      <c r="HOR62" s="3461"/>
      <c r="HOS62" s="3461"/>
      <c r="HOT62" s="3461"/>
      <c r="HOU62" s="3461"/>
      <c r="HOV62" s="3461"/>
      <c r="HOW62" s="3461"/>
      <c r="HOX62" s="3461"/>
      <c r="HOY62" s="3461"/>
      <c r="HOZ62" s="3461"/>
      <c r="HPA62" s="3461"/>
      <c r="HPB62" s="3461"/>
      <c r="HPC62" s="3461"/>
      <c r="HPD62" s="3461"/>
      <c r="HPE62" s="3461"/>
      <c r="HPF62" s="3461"/>
      <c r="HPG62" s="3461"/>
      <c r="HPH62" s="3461"/>
      <c r="HPI62" s="3461"/>
      <c r="HPJ62" s="3461"/>
      <c r="HPK62" s="3461"/>
      <c r="HPL62" s="3461"/>
      <c r="HPM62" s="3461"/>
      <c r="HPN62" s="3461"/>
      <c r="HPO62" s="3461"/>
      <c r="HPP62" s="3461"/>
      <c r="HPQ62" s="3461"/>
      <c r="HPR62" s="3461"/>
      <c r="HPS62" s="3461"/>
      <c r="HPT62" s="3461"/>
      <c r="HPU62" s="3461"/>
      <c r="HPV62" s="3461"/>
      <c r="HPW62" s="3461"/>
      <c r="HPX62" s="3461"/>
      <c r="HPY62" s="3461"/>
      <c r="HPZ62" s="3461"/>
      <c r="HQA62" s="3461"/>
      <c r="HQB62" s="3461"/>
      <c r="HQC62" s="3461"/>
      <c r="HQD62" s="3461"/>
      <c r="HQE62" s="3461"/>
      <c r="HQF62" s="3461"/>
      <c r="HQG62" s="3461"/>
      <c r="HQH62" s="3461"/>
      <c r="HQI62" s="3461"/>
      <c r="HQJ62" s="3461"/>
      <c r="HQK62" s="3461"/>
      <c r="HQL62" s="3461"/>
      <c r="HQM62" s="3461"/>
      <c r="HQN62" s="3461"/>
      <c r="HQO62" s="3461"/>
      <c r="HQP62" s="3461"/>
      <c r="HQQ62" s="3461"/>
      <c r="HQR62" s="3461"/>
      <c r="HQS62" s="3461"/>
      <c r="HQT62" s="3461"/>
      <c r="HQU62" s="3461"/>
      <c r="HQV62" s="3461"/>
      <c r="HQW62" s="3461"/>
      <c r="HQX62" s="3461"/>
      <c r="HQY62" s="3461"/>
      <c r="HQZ62" s="3461"/>
      <c r="HRA62" s="3461"/>
      <c r="HRB62" s="3461"/>
      <c r="HRC62" s="3461"/>
      <c r="HRD62" s="3461"/>
      <c r="HRE62" s="3461"/>
      <c r="HRF62" s="3461"/>
      <c r="HRG62" s="3461"/>
      <c r="HRH62" s="3461"/>
      <c r="HRI62" s="3461"/>
      <c r="HRJ62" s="3461"/>
      <c r="HRK62" s="3461"/>
      <c r="HRL62" s="3461"/>
      <c r="HRM62" s="3461"/>
      <c r="HRN62" s="3461"/>
      <c r="HRO62" s="3461"/>
      <c r="HRP62" s="3461"/>
      <c r="HRQ62" s="3461"/>
      <c r="HRR62" s="3461"/>
      <c r="HRS62" s="3461"/>
      <c r="HRT62" s="3461"/>
      <c r="HRU62" s="3461"/>
      <c r="HRV62" s="3461"/>
      <c r="HRW62" s="3461"/>
      <c r="HRX62" s="3461"/>
      <c r="HRY62" s="3461"/>
      <c r="HRZ62" s="3461"/>
      <c r="HSA62" s="3461"/>
      <c r="HSB62" s="3461"/>
      <c r="HSC62" s="3461"/>
      <c r="HSD62" s="3461"/>
      <c r="HSE62" s="3461"/>
      <c r="HSF62" s="3461"/>
      <c r="HSG62" s="3461"/>
      <c r="HSH62" s="3461"/>
      <c r="HSI62" s="3461"/>
      <c r="HSJ62" s="3461"/>
      <c r="HSK62" s="3461"/>
      <c r="HSL62" s="3461"/>
      <c r="HSM62" s="3461"/>
      <c r="HSN62" s="3461"/>
      <c r="HSO62" s="3461"/>
      <c r="HSP62" s="3461"/>
      <c r="HSQ62" s="3461"/>
      <c r="HSR62" s="3461"/>
      <c r="HSS62" s="3461"/>
      <c r="HST62" s="3461"/>
      <c r="HSU62" s="3461"/>
      <c r="HSV62" s="3461"/>
      <c r="HSW62" s="3461"/>
      <c r="HSX62" s="3461"/>
      <c r="HSY62" s="3461"/>
      <c r="HSZ62" s="3461"/>
      <c r="HTA62" s="3461"/>
      <c r="HTB62" s="3461"/>
      <c r="HTC62" s="3461"/>
      <c r="HTD62" s="3461"/>
      <c r="HTE62" s="3461"/>
      <c r="HTF62" s="3461"/>
      <c r="HTG62" s="3461"/>
      <c r="HTH62" s="3461"/>
      <c r="HTI62" s="3461"/>
      <c r="HTJ62" s="3461"/>
      <c r="HTK62" s="3461"/>
      <c r="HTL62" s="3461"/>
      <c r="HTM62" s="3461"/>
      <c r="HTN62" s="3461"/>
      <c r="HTO62" s="3461"/>
      <c r="HTP62" s="3461"/>
      <c r="HTQ62" s="3461"/>
      <c r="HTR62" s="3461"/>
      <c r="HTS62" s="3461"/>
      <c r="HTT62" s="3461"/>
      <c r="HTU62" s="3461"/>
      <c r="HTV62" s="3461"/>
      <c r="HTW62" s="3461"/>
      <c r="HTX62" s="3461"/>
      <c r="HTY62" s="3461"/>
      <c r="HTZ62" s="3461"/>
      <c r="HUA62" s="3461"/>
      <c r="HUB62" s="3461"/>
      <c r="HUC62" s="3461"/>
      <c r="HUD62" s="3461"/>
      <c r="HUE62" s="3461"/>
      <c r="HUF62" s="3461"/>
      <c r="HUG62" s="3461"/>
      <c r="HUH62" s="3461"/>
      <c r="HUI62" s="3461"/>
      <c r="HUJ62" s="3461"/>
      <c r="HUK62" s="3461"/>
      <c r="HUL62" s="3461"/>
      <c r="HUM62" s="3461"/>
      <c r="HUN62" s="3461"/>
      <c r="HUO62" s="3461"/>
      <c r="HUP62" s="3461"/>
      <c r="HUQ62" s="3461"/>
      <c r="HUR62" s="3461"/>
      <c r="HUS62" s="3461"/>
      <c r="HUT62" s="3461"/>
      <c r="HUU62" s="3461"/>
      <c r="HUV62" s="3461"/>
      <c r="HUW62" s="3461"/>
      <c r="HUX62" s="3461"/>
      <c r="HUY62" s="3461"/>
      <c r="HUZ62" s="3461"/>
      <c r="HVA62" s="3461"/>
      <c r="HVB62" s="3461"/>
      <c r="HVC62" s="3461"/>
      <c r="HVD62" s="3461"/>
      <c r="HVE62" s="3461"/>
      <c r="HVF62" s="3461"/>
      <c r="HVG62" s="3461"/>
      <c r="HVH62" s="3461"/>
      <c r="HVI62" s="3461"/>
      <c r="HVJ62" s="3461"/>
      <c r="HVK62" s="3461"/>
      <c r="HVL62" s="3461"/>
      <c r="HVM62" s="3461"/>
      <c r="HVN62" s="3461"/>
      <c r="HVO62" s="3461"/>
      <c r="HVP62" s="3461"/>
      <c r="HVQ62" s="3461"/>
      <c r="HVR62" s="3461"/>
      <c r="HVS62" s="3461"/>
      <c r="HVT62" s="3461"/>
      <c r="HVU62" s="3461"/>
      <c r="HVV62" s="3461"/>
      <c r="HVW62" s="3461"/>
      <c r="HVX62" s="3461"/>
      <c r="HVY62" s="3461"/>
      <c r="HVZ62" s="3461"/>
      <c r="HWA62" s="3461"/>
      <c r="HWB62" s="3461"/>
      <c r="HWC62" s="3461"/>
      <c r="HWD62" s="3461"/>
      <c r="HWE62" s="3461"/>
      <c r="HWF62" s="3461"/>
      <c r="HWG62" s="3461"/>
      <c r="HWH62" s="3461"/>
      <c r="HWI62" s="3461"/>
      <c r="HWJ62" s="3461"/>
      <c r="HWK62" s="3461"/>
      <c r="HWL62" s="3461"/>
      <c r="HWM62" s="3461"/>
      <c r="HWN62" s="3461"/>
      <c r="HWO62" s="3461"/>
      <c r="HWP62" s="3461"/>
      <c r="HWQ62" s="3461"/>
      <c r="HWR62" s="3461"/>
      <c r="HWS62" s="3461"/>
      <c r="HWT62" s="3461"/>
      <c r="HWU62" s="3461"/>
      <c r="HWV62" s="3461"/>
      <c r="HWW62" s="3461"/>
      <c r="HWX62" s="3461"/>
      <c r="HWY62" s="3461"/>
      <c r="HWZ62" s="3461"/>
      <c r="HXA62" s="3461"/>
      <c r="HXB62" s="3461"/>
      <c r="HXC62" s="3461"/>
      <c r="HXD62" s="3461"/>
      <c r="HXE62" s="3461"/>
      <c r="HXF62" s="3461"/>
      <c r="HXG62" s="3461"/>
      <c r="HXH62" s="3461"/>
      <c r="HXI62" s="3461"/>
      <c r="HXJ62" s="3461"/>
      <c r="HXK62" s="3461"/>
      <c r="HXL62" s="3461"/>
      <c r="HXM62" s="3461"/>
      <c r="HXN62" s="3461"/>
      <c r="HXO62" s="3461"/>
      <c r="HXP62" s="3461"/>
      <c r="HXQ62" s="3461"/>
      <c r="HXR62" s="3461"/>
      <c r="HXS62" s="3461"/>
      <c r="HXT62" s="3461"/>
      <c r="HXU62" s="3461"/>
      <c r="HXV62" s="3461"/>
      <c r="HXW62" s="3461"/>
      <c r="HXX62" s="3461"/>
      <c r="HXY62" s="3461"/>
      <c r="HXZ62" s="3461"/>
      <c r="HYA62" s="3461"/>
      <c r="HYB62" s="3461"/>
      <c r="HYC62" s="3461"/>
      <c r="HYD62" s="3461"/>
      <c r="HYE62" s="3461"/>
      <c r="HYF62" s="3461"/>
      <c r="HYG62" s="3461"/>
      <c r="HYH62" s="3461"/>
      <c r="HYI62" s="3461"/>
      <c r="HYJ62" s="3461"/>
      <c r="HYK62" s="3461"/>
      <c r="HYL62" s="3461"/>
      <c r="HYM62" s="3461"/>
      <c r="HYN62" s="3461"/>
      <c r="HYO62" s="3461"/>
      <c r="HYP62" s="3461"/>
      <c r="HYQ62" s="3461"/>
      <c r="HYR62" s="3461"/>
      <c r="HYS62" s="3461"/>
      <c r="HYT62" s="3461"/>
      <c r="HYU62" s="3461"/>
      <c r="HYV62" s="3461"/>
      <c r="HYW62" s="3461"/>
      <c r="HYX62" s="3461"/>
      <c r="HYY62" s="3461"/>
      <c r="HYZ62" s="3461"/>
      <c r="HZA62" s="3461"/>
      <c r="HZB62" s="3461"/>
      <c r="HZC62" s="3461"/>
      <c r="HZD62" s="3461"/>
      <c r="HZE62" s="3461"/>
      <c r="HZF62" s="3461"/>
      <c r="HZG62" s="3461"/>
      <c r="HZH62" s="3461"/>
      <c r="HZI62" s="3461"/>
      <c r="HZJ62" s="3461"/>
      <c r="HZK62" s="3461"/>
      <c r="HZL62" s="3461"/>
      <c r="HZM62" s="3461"/>
      <c r="HZN62" s="3461"/>
      <c r="HZO62" s="3461"/>
      <c r="HZP62" s="3461"/>
      <c r="HZQ62" s="3461"/>
      <c r="HZR62" s="3461"/>
      <c r="HZS62" s="3461"/>
      <c r="HZT62" s="3461"/>
      <c r="HZU62" s="3461"/>
      <c r="HZV62" s="3461"/>
      <c r="HZW62" s="3461"/>
      <c r="HZX62" s="3461"/>
      <c r="HZY62" s="3461"/>
      <c r="HZZ62" s="3461"/>
      <c r="IAA62" s="3461"/>
      <c r="IAB62" s="3461"/>
      <c r="IAC62" s="3461"/>
      <c r="IAD62" s="3461"/>
      <c r="IAE62" s="3461"/>
      <c r="IAF62" s="3461"/>
      <c r="IAG62" s="3461"/>
      <c r="IAH62" s="3461"/>
      <c r="IAI62" s="3461"/>
      <c r="IAJ62" s="3461"/>
      <c r="IAK62" s="3461"/>
      <c r="IAL62" s="3461"/>
      <c r="IAM62" s="3461"/>
      <c r="IAN62" s="3461"/>
      <c r="IAO62" s="3461"/>
      <c r="IAP62" s="3461"/>
      <c r="IAQ62" s="3461"/>
      <c r="IAR62" s="3461"/>
      <c r="IAS62" s="3461"/>
      <c r="IAT62" s="3461"/>
      <c r="IAU62" s="3461"/>
      <c r="IAV62" s="3461"/>
      <c r="IAW62" s="3461"/>
      <c r="IAX62" s="3461"/>
      <c r="IAY62" s="3461"/>
      <c r="IAZ62" s="3461"/>
      <c r="IBA62" s="3461"/>
      <c r="IBB62" s="3461"/>
      <c r="IBC62" s="3461"/>
      <c r="IBD62" s="3461"/>
      <c r="IBE62" s="3461"/>
      <c r="IBF62" s="3461"/>
      <c r="IBG62" s="3461"/>
      <c r="IBH62" s="3461"/>
      <c r="IBI62" s="3461"/>
      <c r="IBJ62" s="3461"/>
      <c r="IBK62" s="3461"/>
      <c r="IBL62" s="3461"/>
      <c r="IBM62" s="3461"/>
      <c r="IBN62" s="3461"/>
      <c r="IBO62" s="3461"/>
      <c r="IBP62" s="3461"/>
      <c r="IBQ62" s="3461"/>
      <c r="IBR62" s="3461"/>
      <c r="IBS62" s="3461"/>
      <c r="IBT62" s="3461"/>
      <c r="IBU62" s="3461"/>
      <c r="IBV62" s="3461"/>
      <c r="IBW62" s="3461"/>
      <c r="IBX62" s="3461"/>
      <c r="IBY62" s="3461"/>
      <c r="IBZ62" s="3461"/>
      <c r="ICA62" s="3461"/>
      <c r="ICB62" s="3461"/>
      <c r="ICC62" s="3461"/>
      <c r="ICD62" s="3461"/>
      <c r="ICE62" s="3461"/>
      <c r="ICF62" s="3461"/>
      <c r="ICG62" s="3461"/>
      <c r="ICH62" s="3461"/>
      <c r="ICI62" s="3461"/>
      <c r="ICJ62" s="3461"/>
      <c r="ICK62" s="3461"/>
      <c r="ICL62" s="3461"/>
      <c r="ICM62" s="3461"/>
      <c r="ICN62" s="3461"/>
      <c r="ICO62" s="3461"/>
      <c r="ICP62" s="3461"/>
      <c r="ICQ62" s="3461"/>
      <c r="ICR62" s="3461"/>
      <c r="ICS62" s="3461"/>
      <c r="ICT62" s="3461"/>
      <c r="ICU62" s="3461"/>
      <c r="ICV62" s="3461"/>
      <c r="ICW62" s="3461"/>
      <c r="ICX62" s="3461"/>
      <c r="ICY62" s="3461"/>
      <c r="ICZ62" s="3461"/>
      <c r="IDA62" s="3461"/>
      <c r="IDB62" s="3461"/>
      <c r="IDC62" s="3461"/>
      <c r="IDD62" s="3461"/>
      <c r="IDE62" s="3461"/>
      <c r="IDF62" s="3461"/>
      <c r="IDG62" s="3461"/>
      <c r="IDH62" s="3461"/>
      <c r="IDI62" s="3461"/>
      <c r="IDJ62" s="3461"/>
      <c r="IDK62" s="3461"/>
      <c r="IDL62" s="3461"/>
      <c r="IDM62" s="3461"/>
      <c r="IDN62" s="3461"/>
      <c r="IDO62" s="3461"/>
      <c r="IDP62" s="3461"/>
      <c r="IDQ62" s="3461"/>
      <c r="IDR62" s="3461"/>
      <c r="IDS62" s="3461"/>
      <c r="IDT62" s="3461"/>
      <c r="IDU62" s="3461"/>
      <c r="IDV62" s="3461"/>
      <c r="IDW62" s="3461"/>
      <c r="IDX62" s="3461"/>
      <c r="IDY62" s="3461"/>
      <c r="IDZ62" s="3461"/>
      <c r="IEA62" s="3461"/>
      <c r="IEB62" s="3461"/>
      <c r="IEC62" s="3461"/>
      <c r="IED62" s="3461"/>
      <c r="IEE62" s="3461"/>
      <c r="IEF62" s="3461"/>
      <c r="IEG62" s="3461"/>
      <c r="IEH62" s="3461"/>
      <c r="IEI62" s="3461"/>
      <c r="IEJ62" s="3461"/>
      <c r="IEK62" s="3461"/>
      <c r="IEL62" s="3461"/>
      <c r="IEM62" s="3461"/>
      <c r="IEN62" s="3461"/>
      <c r="IEO62" s="3461"/>
      <c r="IEP62" s="3461"/>
      <c r="IEQ62" s="3461"/>
      <c r="IER62" s="3461"/>
      <c r="IES62" s="3461"/>
      <c r="IET62" s="3461"/>
      <c r="IEU62" s="3461"/>
      <c r="IEV62" s="3461"/>
      <c r="IEW62" s="3461"/>
      <c r="IEX62" s="3461"/>
      <c r="IEY62" s="3461"/>
      <c r="IEZ62" s="3461"/>
      <c r="IFA62" s="3461"/>
      <c r="IFB62" s="3461"/>
      <c r="IFC62" s="3461"/>
      <c r="IFD62" s="3461"/>
      <c r="IFE62" s="3461"/>
      <c r="IFF62" s="3461"/>
      <c r="IFG62" s="3461"/>
      <c r="IFH62" s="3461"/>
      <c r="IFI62" s="3461"/>
      <c r="IFJ62" s="3461"/>
      <c r="IFK62" s="3461"/>
      <c r="IFL62" s="3461"/>
      <c r="IFM62" s="3461"/>
      <c r="IFN62" s="3461"/>
      <c r="IFO62" s="3461"/>
      <c r="IFP62" s="3461"/>
      <c r="IFQ62" s="3461"/>
      <c r="IFR62" s="3461"/>
      <c r="IFS62" s="3461"/>
      <c r="IFT62" s="3461"/>
      <c r="IFU62" s="3461"/>
      <c r="IFV62" s="3461"/>
      <c r="IFW62" s="3461"/>
      <c r="IFX62" s="3461"/>
      <c r="IFY62" s="3461"/>
      <c r="IFZ62" s="3461"/>
      <c r="IGA62" s="3461"/>
      <c r="IGB62" s="3461"/>
      <c r="IGC62" s="3461"/>
      <c r="IGD62" s="3461"/>
      <c r="IGE62" s="3461"/>
      <c r="IGF62" s="3461"/>
      <c r="IGG62" s="3461"/>
      <c r="IGH62" s="3461"/>
      <c r="IGI62" s="3461"/>
      <c r="IGJ62" s="3461"/>
      <c r="IGK62" s="3461"/>
      <c r="IGL62" s="3461"/>
      <c r="IGM62" s="3461"/>
      <c r="IGN62" s="3461"/>
      <c r="IGO62" s="3461"/>
      <c r="IGP62" s="3461"/>
      <c r="IGQ62" s="3461"/>
      <c r="IGR62" s="3461"/>
      <c r="IGS62" s="3461"/>
      <c r="IGT62" s="3461"/>
      <c r="IGU62" s="3461"/>
      <c r="IGV62" s="3461"/>
      <c r="IGW62" s="3461"/>
      <c r="IGX62" s="3461"/>
      <c r="IGY62" s="3461"/>
      <c r="IGZ62" s="3461"/>
      <c r="IHA62" s="3461"/>
      <c r="IHB62" s="3461"/>
      <c r="IHC62" s="3461"/>
      <c r="IHD62" s="3461"/>
      <c r="IHE62" s="3461"/>
      <c r="IHF62" s="3461"/>
      <c r="IHG62" s="3461"/>
      <c r="IHH62" s="3461"/>
      <c r="IHI62" s="3461"/>
      <c r="IHJ62" s="3461"/>
      <c r="IHK62" s="3461"/>
      <c r="IHL62" s="3461"/>
      <c r="IHM62" s="3461"/>
      <c r="IHN62" s="3461"/>
      <c r="IHO62" s="3461"/>
      <c r="IHP62" s="3461"/>
      <c r="IHQ62" s="3461"/>
      <c r="IHR62" s="3461"/>
      <c r="IHS62" s="3461"/>
      <c r="IHT62" s="3461"/>
      <c r="IHU62" s="3461"/>
      <c r="IHV62" s="3461"/>
      <c r="IHW62" s="3461"/>
      <c r="IHX62" s="3461"/>
      <c r="IHY62" s="3461"/>
      <c r="IHZ62" s="3461"/>
      <c r="IIA62" s="3461"/>
      <c r="IIB62" s="3461"/>
      <c r="IIC62" s="3461"/>
      <c r="IID62" s="3461"/>
      <c r="IIE62" s="3461"/>
      <c r="IIF62" s="3461"/>
      <c r="IIG62" s="3461"/>
      <c r="IIH62" s="3461"/>
      <c r="III62" s="3461"/>
      <c r="IIJ62" s="3461"/>
      <c r="IIK62" s="3461"/>
      <c r="IIL62" s="3461"/>
      <c r="IIM62" s="3461"/>
      <c r="IIN62" s="3461"/>
      <c r="IIO62" s="3461"/>
      <c r="IIP62" s="3461"/>
      <c r="IIQ62" s="3461"/>
      <c r="IIR62" s="3461"/>
      <c r="IIS62" s="3461"/>
      <c r="IIT62" s="3461"/>
      <c r="IIU62" s="3461"/>
      <c r="IIV62" s="3461"/>
      <c r="IIW62" s="3461"/>
      <c r="IIX62" s="3461"/>
      <c r="IIY62" s="3461"/>
      <c r="IIZ62" s="3461"/>
      <c r="IJA62" s="3461"/>
      <c r="IJB62" s="3461"/>
      <c r="IJC62" s="3461"/>
      <c r="IJD62" s="3461"/>
      <c r="IJE62" s="3461"/>
      <c r="IJF62" s="3461"/>
      <c r="IJG62" s="3461"/>
      <c r="IJH62" s="3461"/>
      <c r="IJI62" s="3461"/>
      <c r="IJJ62" s="3461"/>
      <c r="IJK62" s="3461"/>
      <c r="IJL62" s="3461"/>
      <c r="IJM62" s="3461"/>
      <c r="IJN62" s="3461"/>
      <c r="IJO62" s="3461"/>
      <c r="IJP62" s="3461"/>
      <c r="IJQ62" s="3461"/>
      <c r="IJR62" s="3461"/>
      <c r="IJS62" s="3461"/>
      <c r="IJT62" s="3461"/>
      <c r="IJU62" s="3461"/>
      <c r="IJV62" s="3461"/>
      <c r="IJW62" s="3461"/>
      <c r="IJX62" s="3461"/>
      <c r="IJY62" s="3461"/>
      <c r="IJZ62" s="3461"/>
      <c r="IKA62" s="3461"/>
      <c r="IKB62" s="3461"/>
      <c r="IKC62" s="3461"/>
      <c r="IKD62" s="3461"/>
      <c r="IKE62" s="3461"/>
      <c r="IKF62" s="3461"/>
      <c r="IKG62" s="3461"/>
      <c r="IKH62" s="3461"/>
      <c r="IKI62" s="3461"/>
      <c r="IKJ62" s="3461"/>
      <c r="IKK62" s="3461"/>
      <c r="IKL62" s="3461"/>
      <c r="IKM62" s="3461"/>
      <c r="IKN62" s="3461"/>
      <c r="IKO62" s="3461"/>
      <c r="IKP62" s="3461"/>
      <c r="IKQ62" s="3461"/>
      <c r="IKR62" s="3461"/>
      <c r="IKS62" s="3461"/>
      <c r="IKT62" s="3461"/>
      <c r="IKU62" s="3461"/>
      <c r="IKV62" s="3461"/>
      <c r="IKW62" s="3461"/>
      <c r="IKX62" s="3461"/>
      <c r="IKY62" s="3461"/>
      <c r="IKZ62" s="3461"/>
      <c r="ILA62" s="3461"/>
      <c r="ILB62" s="3461"/>
      <c r="ILC62" s="3461"/>
      <c r="ILD62" s="3461"/>
      <c r="ILE62" s="3461"/>
      <c r="ILF62" s="3461"/>
      <c r="ILG62" s="3461"/>
      <c r="ILH62" s="3461"/>
      <c r="ILI62" s="3461"/>
      <c r="ILJ62" s="3461"/>
      <c r="ILK62" s="3461"/>
      <c r="ILL62" s="3461"/>
      <c r="ILM62" s="3461"/>
      <c r="ILN62" s="3461"/>
      <c r="ILO62" s="3461"/>
      <c r="ILP62" s="3461"/>
      <c r="ILQ62" s="3461"/>
      <c r="ILR62" s="3461"/>
      <c r="ILS62" s="3461"/>
      <c r="ILT62" s="3461"/>
      <c r="ILU62" s="3461"/>
      <c r="ILV62" s="3461"/>
      <c r="ILW62" s="3461"/>
      <c r="ILX62" s="3461"/>
      <c r="ILY62" s="3461"/>
      <c r="ILZ62" s="3461"/>
      <c r="IMA62" s="3461"/>
      <c r="IMB62" s="3461"/>
      <c r="IMC62" s="3461"/>
      <c r="IMD62" s="3461"/>
      <c r="IME62" s="3461"/>
      <c r="IMF62" s="3461"/>
      <c r="IMG62" s="3461"/>
      <c r="IMH62" s="3461"/>
      <c r="IMI62" s="3461"/>
      <c r="IMJ62" s="3461"/>
      <c r="IMK62" s="3461"/>
      <c r="IML62" s="3461"/>
      <c r="IMM62" s="3461"/>
      <c r="IMN62" s="3461"/>
      <c r="IMO62" s="3461"/>
      <c r="IMP62" s="3461"/>
      <c r="IMQ62" s="3461"/>
      <c r="IMR62" s="3461"/>
      <c r="IMS62" s="3461"/>
      <c r="IMT62" s="3461"/>
      <c r="IMU62" s="3461"/>
      <c r="IMV62" s="3461"/>
      <c r="IMW62" s="3461"/>
      <c r="IMX62" s="3461"/>
      <c r="IMY62" s="3461"/>
      <c r="IMZ62" s="3461"/>
      <c r="INA62" s="3461"/>
      <c r="INB62" s="3461"/>
      <c r="INC62" s="3461"/>
      <c r="IND62" s="3461"/>
      <c r="INE62" s="3461"/>
      <c r="INF62" s="3461"/>
      <c r="ING62" s="3461"/>
      <c r="INH62" s="3461"/>
      <c r="INI62" s="3461"/>
      <c r="INJ62" s="3461"/>
      <c r="INK62" s="3461"/>
      <c r="INL62" s="3461"/>
      <c r="INM62" s="3461"/>
      <c r="INN62" s="3461"/>
      <c r="INO62" s="3461"/>
      <c r="INP62" s="3461"/>
      <c r="INQ62" s="3461"/>
      <c r="INR62" s="3461"/>
      <c r="INS62" s="3461"/>
      <c r="INT62" s="3461"/>
      <c r="INU62" s="3461"/>
      <c r="INV62" s="3461"/>
      <c r="INW62" s="3461"/>
      <c r="INX62" s="3461"/>
      <c r="INY62" s="3461"/>
      <c r="INZ62" s="3461"/>
      <c r="IOA62" s="3461"/>
      <c r="IOB62" s="3461"/>
      <c r="IOC62" s="3461"/>
      <c r="IOD62" s="3461"/>
      <c r="IOE62" s="3461"/>
      <c r="IOF62" s="3461"/>
      <c r="IOG62" s="3461"/>
      <c r="IOH62" s="3461"/>
      <c r="IOI62" s="3461"/>
      <c r="IOJ62" s="3461"/>
      <c r="IOK62" s="3461"/>
      <c r="IOL62" s="3461"/>
      <c r="IOM62" s="3461"/>
      <c r="ION62" s="3461"/>
      <c r="IOO62" s="3461"/>
      <c r="IOP62" s="3461"/>
      <c r="IOQ62" s="3461"/>
      <c r="IOR62" s="3461"/>
      <c r="IOS62" s="3461"/>
      <c r="IOT62" s="3461"/>
      <c r="IOU62" s="3461"/>
      <c r="IOV62" s="3461"/>
      <c r="IOW62" s="3461"/>
      <c r="IOX62" s="3461"/>
      <c r="IOY62" s="3461"/>
      <c r="IOZ62" s="3461"/>
      <c r="IPA62" s="3461"/>
      <c r="IPB62" s="3461"/>
      <c r="IPC62" s="3461"/>
      <c r="IPD62" s="3461"/>
      <c r="IPE62" s="3461"/>
      <c r="IPF62" s="3461"/>
      <c r="IPG62" s="3461"/>
      <c r="IPH62" s="3461"/>
      <c r="IPI62" s="3461"/>
      <c r="IPJ62" s="3461"/>
      <c r="IPK62" s="3461"/>
      <c r="IPL62" s="3461"/>
      <c r="IPM62" s="3461"/>
      <c r="IPN62" s="3461"/>
      <c r="IPO62" s="3461"/>
      <c r="IPP62" s="3461"/>
      <c r="IPQ62" s="3461"/>
      <c r="IPR62" s="3461"/>
      <c r="IPS62" s="3461"/>
      <c r="IPT62" s="3461"/>
      <c r="IPU62" s="3461"/>
      <c r="IPV62" s="3461"/>
      <c r="IPW62" s="3461"/>
      <c r="IPX62" s="3461"/>
      <c r="IPY62" s="3461"/>
      <c r="IPZ62" s="3461"/>
      <c r="IQA62" s="3461"/>
      <c r="IQB62" s="3461"/>
      <c r="IQC62" s="3461"/>
      <c r="IQD62" s="3461"/>
      <c r="IQE62" s="3461"/>
      <c r="IQF62" s="3461"/>
      <c r="IQG62" s="3461"/>
      <c r="IQH62" s="3461"/>
      <c r="IQI62" s="3461"/>
      <c r="IQJ62" s="3461"/>
      <c r="IQK62" s="3461"/>
      <c r="IQL62" s="3461"/>
      <c r="IQM62" s="3461"/>
      <c r="IQN62" s="3461"/>
      <c r="IQO62" s="3461"/>
      <c r="IQP62" s="3461"/>
      <c r="IQQ62" s="3461"/>
      <c r="IQR62" s="3461"/>
      <c r="IQS62" s="3461"/>
      <c r="IQT62" s="3461"/>
      <c r="IQU62" s="3461"/>
      <c r="IQV62" s="3461"/>
      <c r="IQW62" s="3461"/>
      <c r="IQX62" s="3461"/>
      <c r="IQY62" s="3461"/>
      <c r="IQZ62" s="3461"/>
      <c r="IRA62" s="3461"/>
      <c r="IRB62" s="3461"/>
      <c r="IRC62" s="3461"/>
      <c r="IRD62" s="3461"/>
      <c r="IRE62" s="3461"/>
      <c r="IRF62" s="3461"/>
      <c r="IRG62" s="3461"/>
      <c r="IRH62" s="3461"/>
      <c r="IRI62" s="3461"/>
      <c r="IRJ62" s="3461"/>
      <c r="IRK62" s="3461"/>
      <c r="IRL62" s="3461"/>
      <c r="IRM62" s="3461"/>
      <c r="IRN62" s="3461"/>
      <c r="IRO62" s="3461"/>
      <c r="IRP62" s="3461"/>
      <c r="IRQ62" s="3461"/>
      <c r="IRR62" s="3461"/>
      <c r="IRS62" s="3461"/>
      <c r="IRT62" s="3461"/>
      <c r="IRU62" s="3461"/>
      <c r="IRV62" s="3461"/>
      <c r="IRW62" s="3461"/>
      <c r="IRX62" s="3461"/>
      <c r="IRY62" s="3461"/>
      <c r="IRZ62" s="3461"/>
      <c r="ISA62" s="3461"/>
      <c r="ISB62" s="3461"/>
      <c r="ISC62" s="3461"/>
      <c r="ISD62" s="3461"/>
      <c r="ISE62" s="3461"/>
      <c r="ISF62" s="3461"/>
      <c r="ISG62" s="3461"/>
      <c r="ISH62" s="3461"/>
      <c r="ISI62" s="3461"/>
      <c r="ISJ62" s="3461"/>
      <c r="ISK62" s="3461"/>
      <c r="ISL62" s="3461"/>
      <c r="ISM62" s="3461"/>
      <c r="ISN62" s="3461"/>
      <c r="ISO62" s="3461"/>
      <c r="ISP62" s="3461"/>
      <c r="ISQ62" s="3461"/>
      <c r="ISR62" s="3461"/>
      <c r="ISS62" s="3461"/>
      <c r="IST62" s="3461"/>
      <c r="ISU62" s="3461"/>
      <c r="ISV62" s="3461"/>
      <c r="ISW62" s="3461"/>
      <c r="ISX62" s="3461"/>
      <c r="ISY62" s="3461"/>
      <c r="ISZ62" s="3461"/>
      <c r="ITA62" s="3461"/>
      <c r="ITB62" s="3461"/>
      <c r="ITC62" s="3461"/>
      <c r="ITD62" s="3461"/>
      <c r="ITE62" s="3461"/>
      <c r="ITF62" s="3461"/>
      <c r="ITG62" s="3461"/>
      <c r="ITH62" s="3461"/>
      <c r="ITI62" s="3461"/>
      <c r="ITJ62" s="3461"/>
      <c r="ITK62" s="3461"/>
      <c r="ITL62" s="3461"/>
      <c r="ITM62" s="3461"/>
      <c r="ITN62" s="3461"/>
      <c r="ITO62" s="3461"/>
      <c r="ITP62" s="3461"/>
      <c r="ITQ62" s="3461"/>
      <c r="ITR62" s="3461"/>
      <c r="ITS62" s="3461"/>
      <c r="ITT62" s="3461"/>
      <c r="ITU62" s="3461"/>
      <c r="ITV62" s="3461"/>
      <c r="ITW62" s="3461"/>
      <c r="ITX62" s="3461"/>
      <c r="ITY62" s="3461"/>
      <c r="ITZ62" s="3461"/>
      <c r="IUA62" s="3461"/>
      <c r="IUB62" s="3461"/>
      <c r="IUC62" s="3461"/>
      <c r="IUD62" s="3461"/>
      <c r="IUE62" s="3461"/>
      <c r="IUF62" s="3461"/>
      <c r="IUG62" s="3461"/>
      <c r="IUH62" s="3461"/>
      <c r="IUI62" s="3461"/>
      <c r="IUJ62" s="3461"/>
      <c r="IUK62" s="3461"/>
      <c r="IUL62" s="3461"/>
      <c r="IUM62" s="3461"/>
      <c r="IUN62" s="3461"/>
      <c r="IUO62" s="3461"/>
      <c r="IUP62" s="3461"/>
      <c r="IUQ62" s="3461"/>
      <c r="IUR62" s="3461"/>
      <c r="IUS62" s="3461"/>
      <c r="IUT62" s="3461"/>
      <c r="IUU62" s="3461"/>
      <c r="IUV62" s="3461"/>
      <c r="IUW62" s="3461"/>
      <c r="IUX62" s="3461"/>
      <c r="IUY62" s="3461"/>
      <c r="IUZ62" s="3461"/>
      <c r="IVA62" s="3461"/>
      <c r="IVB62" s="3461"/>
      <c r="IVC62" s="3461"/>
      <c r="IVD62" s="3461"/>
      <c r="IVE62" s="3461"/>
      <c r="IVF62" s="3461"/>
      <c r="IVG62" s="3461"/>
      <c r="IVH62" s="3461"/>
      <c r="IVI62" s="3461"/>
      <c r="IVJ62" s="3461"/>
      <c r="IVK62" s="3461"/>
      <c r="IVL62" s="3461"/>
      <c r="IVM62" s="3461"/>
      <c r="IVN62" s="3461"/>
      <c r="IVO62" s="3461"/>
      <c r="IVP62" s="3461"/>
      <c r="IVQ62" s="3461"/>
      <c r="IVR62" s="3461"/>
      <c r="IVS62" s="3461"/>
      <c r="IVT62" s="3461"/>
      <c r="IVU62" s="3461"/>
      <c r="IVV62" s="3461"/>
      <c r="IVW62" s="3461"/>
      <c r="IVX62" s="3461"/>
      <c r="IVY62" s="3461"/>
      <c r="IVZ62" s="3461"/>
      <c r="IWA62" s="3461"/>
      <c r="IWB62" s="3461"/>
      <c r="IWC62" s="3461"/>
      <c r="IWD62" s="3461"/>
      <c r="IWE62" s="3461"/>
      <c r="IWF62" s="3461"/>
      <c r="IWG62" s="3461"/>
      <c r="IWH62" s="3461"/>
      <c r="IWI62" s="3461"/>
      <c r="IWJ62" s="3461"/>
      <c r="IWK62" s="3461"/>
      <c r="IWL62" s="3461"/>
      <c r="IWM62" s="3461"/>
      <c r="IWN62" s="3461"/>
      <c r="IWO62" s="3461"/>
      <c r="IWP62" s="3461"/>
      <c r="IWQ62" s="3461"/>
      <c r="IWR62" s="3461"/>
      <c r="IWS62" s="3461"/>
      <c r="IWT62" s="3461"/>
      <c r="IWU62" s="3461"/>
      <c r="IWV62" s="3461"/>
      <c r="IWW62" s="3461"/>
      <c r="IWX62" s="3461"/>
      <c r="IWY62" s="3461"/>
      <c r="IWZ62" s="3461"/>
      <c r="IXA62" s="3461"/>
      <c r="IXB62" s="3461"/>
      <c r="IXC62" s="3461"/>
      <c r="IXD62" s="3461"/>
      <c r="IXE62" s="3461"/>
      <c r="IXF62" s="3461"/>
      <c r="IXG62" s="3461"/>
      <c r="IXH62" s="3461"/>
      <c r="IXI62" s="3461"/>
      <c r="IXJ62" s="3461"/>
      <c r="IXK62" s="3461"/>
      <c r="IXL62" s="3461"/>
      <c r="IXM62" s="3461"/>
      <c r="IXN62" s="3461"/>
      <c r="IXO62" s="3461"/>
      <c r="IXP62" s="3461"/>
      <c r="IXQ62" s="3461"/>
      <c r="IXR62" s="3461"/>
      <c r="IXS62" s="3461"/>
      <c r="IXT62" s="3461"/>
      <c r="IXU62" s="3461"/>
      <c r="IXV62" s="3461"/>
      <c r="IXW62" s="3461"/>
      <c r="IXX62" s="3461"/>
      <c r="IXY62" s="3461"/>
      <c r="IXZ62" s="3461"/>
      <c r="IYA62" s="3461"/>
      <c r="IYB62" s="3461"/>
      <c r="IYC62" s="3461"/>
      <c r="IYD62" s="3461"/>
      <c r="IYE62" s="3461"/>
      <c r="IYF62" s="3461"/>
      <c r="IYG62" s="3461"/>
      <c r="IYH62" s="3461"/>
      <c r="IYI62" s="3461"/>
      <c r="IYJ62" s="3461"/>
      <c r="IYK62" s="3461"/>
      <c r="IYL62" s="3461"/>
      <c r="IYM62" s="3461"/>
      <c r="IYN62" s="3461"/>
      <c r="IYO62" s="3461"/>
      <c r="IYP62" s="3461"/>
      <c r="IYQ62" s="3461"/>
      <c r="IYR62" s="3461"/>
      <c r="IYS62" s="3461"/>
      <c r="IYT62" s="3461"/>
      <c r="IYU62" s="3461"/>
      <c r="IYV62" s="3461"/>
      <c r="IYW62" s="3461"/>
      <c r="IYX62" s="3461"/>
      <c r="IYY62" s="3461"/>
      <c r="IYZ62" s="3461"/>
      <c r="IZA62" s="3461"/>
      <c r="IZB62" s="3461"/>
      <c r="IZC62" s="3461"/>
      <c r="IZD62" s="3461"/>
      <c r="IZE62" s="3461"/>
      <c r="IZF62" s="3461"/>
      <c r="IZG62" s="3461"/>
      <c r="IZH62" s="3461"/>
      <c r="IZI62" s="3461"/>
      <c r="IZJ62" s="3461"/>
      <c r="IZK62" s="3461"/>
      <c r="IZL62" s="3461"/>
      <c r="IZM62" s="3461"/>
      <c r="IZN62" s="3461"/>
      <c r="IZO62" s="3461"/>
      <c r="IZP62" s="3461"/>
      <c r="IZQ62" s="3461"/>
      <c r="IZR62" s="3461"/>
      <c r="IZS62" s="3461"/>
      <c r="IZT62" s="3461"/>
      <c r="IZU62" s="3461"/>
      <c r="IZV62" s="3461"/>
      <c r="IZW62" s="3461"/>
      <c r="IZX62" s="3461"/>
      <c r="IZY62" s="3461"/>
      <c r="IZZ62" s="3461"/>
      <c r="JAA62" s="3461"/>
      <c r="JAB62" s="3461"/>
      <c r="JAC62" s="3461"/>
      <c r="JAD62" s="3461"/>
      <c r="JAE62" s="3461"/>
      <c r="JAF62" s="3461"/>
      <c r="JAG62" s="3461"/>
      <c r="JAH62" s="3461"/>
      <c r="JAI62" s="3461"/>
      <c r="JAJ62" s="3461"/>
      <c r="JAK62" s="3461"/>
      <c r="JAL62" s="3461"/>
      <c r="JAM62" s="3461"/>
      <c r="JAN62" s="3461"/>
      <c r="JAO62" s="3461"/>
      <c r="JAP62" s="3461"/>
      <c r="JAQ62" s="3461"/>
      <c r="JAR62" s="3461"/>
      <c r="JAS62" s="3461"/>
      <c r="JAT62" s="3461"/>
      <c r="JAU62" s="3461"/>
      <c r="JAV62" s="3461"/>
      <c r="JAW62" s="3461"/>
      <c r="JAX62" s="3461"/>
      <c r="JAY62" s="3461"/>
      <c r="JAZ62" s="3461"/>
      <c r="JBA62" s="3461"/>
      <c r="JBB62" s="3461"/>
      <c r="JBC62" s="3461"/>
      <c r="JBD62" s="3461"/>
      <c r="JBE62" s="3461"/>
      <c r="JBF62" s="3461"/>
      <c r="JBG62" s="3461"/>
      <c r="JBH62" s="3461"/>
      <c r="JBI62" s="3461"/>
      <c r="JBJ62" s="3461"/>
      <c r="JBK62" s="3461"/>
      <c r="JBL62" s="3461"/>
      <c r="JBM62" s="3461"/>
      <c r="JBN62" s="3461"/>
      <c r="JBO62" s="3461"/>
      <c r="JBP62" s="3461"/>
      <c r="JBQ62" s="3461"/>
      <c r="JBR62" s="3461"/>
      <c r="JBS62" s="3461"/>
      <c r="JBT62" s="3461"/>
      <c r="JBU62" s="3461"/>
      <c r="JBV62" s="3461"/>
      <c r="JBW62" s="3461"/>
      <c r="JBX62" s="3461"/>
      <c r="JBY62" s="3461"/>
      <c r="JBZ62" s="3461"/>
      <c r="JCA62" s="3461"/>
      <c r="JCB62" s="3461"/>
      <c r="JCC62" s="3461"/>
      <c r="JCD62" s="3461"/>
      <c r="JCE62" s="3461"/>
      <c r="JCF62" s="3461"/>
      <c r="JCG62" s="3461"/>
      <c r="JCH62" s="3461"/>
      <c r="JCI62" s="3461"/>
      <c r="JCJ62" s="3461"/>
      <c r="JCK62" s="3461"/>
      <c r="JCL62" s="3461"/>
      <c r="JCM62" s="3461"/>
      <c r="JCN62" s="3461"/>
      <c r="JCO62" s="3461"/>
      <c r="JCP62" s="3461"/>
      <c r="JCQ62" s="3461"/>
      <c r="JCR62" s="3461"/>
      <c r="JCS62" s="3461"/>
      <c r="JCT62" s="3461"/>
      <c r="JCU62" s="3461"/>
      <c r="JCV62" s="3461"/>
      <c r="JCW62" s="3461"/>
      <c r="JCX62" s="3461"/>
      <c r="JCY62" s="3461"/>
      <c r="JCZ62" s="3461"/>
      <c r="JDA62" s="3461"/>
      <c r="JDB62" s="3461"/>
      <c r="JDC62" s="3461"/>
      <c r="JDD62" s="3461"/>
      <c r="JDE62" s="3461"/>
      <c r="JDF62" s="3461"/>
      <c r="JDG62" s="3461"/>
      <c r="JDH62" s="3461"/>
      <c r="JDI62" s="3461"/>
      <c r="JDJ62" s="3461"/>
      <c r="JDK62" s="3461"/>
      <c r="JDL62" s="3461"/>
      <c r="JDM62" s="3461"/>
      <c r="JDN62" s="3461"/>
      <c r="JDO62" s="3461"/>
      <c r="JDP62" s="3461"/>
      <c r="JDQ62" s="3461"/>
      <c r="JDR62" s="3461"/>
      <c r="JDS62" s="3461"/>
      <c r="JDT62" s="3461"/>
      <c r="JDU62" s="3461"/>
      <c r="JDV62" s="3461"/>
      <c r="JDW62" s="3461"/>
      <c r="JDX62" s="3461"/>
      <c r="JDY62" s="3461"/>
      <c r="JDZ62" s="3461"/>
      <c r="JEA62" s="3461"/>
      <c r="JEB62" s="3461"/>
      <c r="JEC62" s="3461"/>
      <c r="JED62" s="3461"/>
      <c r="JEE62" s="3461"/>
      <c r="JEF62" s="3461"/>
      <c r="JEG62" s="3461"/>
      <c r="JEH62" s="3461"/>
      <c r="JEI62" s="3461"/>
      <c r="JEJ62" s="3461"/>
      <c r="JEK62" s="3461"/>
      <c r="JEL62" s="3461"/>
      <c r="JEM62" s="3461"/>
      <c r="JEN62" s="3461"/>
      <c r="JEO62" s="3461"/>
      <c r="JEP62" s="3461"/>
      <c r="JEQ62" s="3461"/>
      <c r="JER62" s="3461"/>
      <c r="JES62" s="3461"/>
      <c r="JET62" s="3461"/>
      <c r="JEU62" s="3461"/>
      <c r="JEV62" s="3461"/>
      <c r="JEW62" s="3461"/>
      <c r="JEX62" s="3461"/>
      <c r="JEY62" s="3461"/>
      <c r="JEZ62" s="3461"/>
      <c r="JFA62" s="3461"/>
      <c r="JFB62" s="3461"/>
      <c r="JFC62" s="3461"/>
      <c r="JFD62" s="3461"/>
      <c r="JFE62" s="3461"/>
      <c r="JFF62" s="3461"/>
      <c r="JFG62" s="3461"/>
      <c r="JFH62" s="3461"/>
      <c r="JFI62" s="3461"/>
      <c r="JFJ62" s="3461"/>
      <c r="JFK62" s="3461"/>
      <c r="JFL62" s="3461"/>
      <c r="JFM62" s="3461"/>
      <c r="JFN62" s="3461"/>
      <c r="JFO62" s="3461"/>
      <c r="JFP62" s="3461"/>
      <c r="JFQ62" s="3461"/>
      <c r="JFR62" s="3461"/>
      <c r="JFS62" s="3461"/>
      <c r="JFT62" s="3461"/>
      <c r="JFU62" s="3461"/>
      <c r="JFV62" s="3461"/>
      <c r="JFW62" s="3461"/>
      <c r="JFX62" s="3461"/>
      <c r="JFY62" s="3461"/>
      <c r="JFZ62" s="3461"/>
      <c r="JGA62" s="3461"/>
      <c r="JGB62" s="3461"/>
      <c r="JGC62" s="3461"/>
      <c r="JGD62" s="3461"/>
      <c r="JGE62" s="3461"/>
      <c r="JGF62" s="3461"/>
      <c r="JGG62" s="3461"/>
      <c r="JGH62" s="3461"/>
      <c r="JGI62" s="3461"/>
      <c r="JGJ62" s="3461"/>
      <c r="JGK62" s="3461"/>
      <c r="JGL62" s="3461"/>
      <c r="JGM62" s="3461"/>
      <c r="JGN62" s="3461"/>
      <c r="JGO62" s="3461"/>
      <c r="JGP62" s="3461"/>
      <c r="JGQ62" s="3461"/>
      <c r="JGR62" s="3461"/>
      <c r="JGS62" s="3461"/>
      <c r="JGT62" s="3461"/>
      <c r="JGU62" s="3461"/>
      <c r="JGV62" s="3461"/>
      <c r="JGW62" s="3461"/>
      <c r="JGX62" s="3461"/>
      <c r="JGY62" s="3461"/>
      <c r="JGZ62" s="3461"/>
      <c r="JHA62" s="3461"/>
      <c r="JHB62" s="3461"/>
      <c r="JHC62" s="3461"/>
      <c r="JHD62" s="3461"/>
      <c r="JHE62" s="3461"/>
      <c r="JHF62" s="3461"/>
      <c r="JHG62" s="3461"/>
      <c r="JHH62" s="3461"/>
      <c r="JHI62" s="3461"/>
      <c r="JHJ62" s="3461"/>
      <c r="JHK62" s="3461"/>
      <c r="JHL62" s="3461"/>
      <c r="JHM62" s="3461"/>
      <c r="JHN62" s="3461"/>
      <c r="JHO62" s="3461"/>
      <c r="JHP62" s="3461"/>
      <c r="JHQ62" s="3461"/>
      <c r="JHR62" s="3461"/>
      <c r="JHS62" s="3461"/>
      <c r="JHT62" s="3461"/>
      <c r="JHU62" s="3461"/>
      <c r="JHV62" s="3461"/>
      <c r="JHW62" s="3461"/>
      <c r="JHX62" s="3461"/>
      <c r="JHY62" s="3461"/>
      <c r="JHZ62" s="3461"/>
      <c r="JIA62" s="3461"/>
      <c r="JIB62" s="3461"/>
      <c r="JIC62" s="3461"/>
      <c r="JID62" s="3461"/>
      <c r="JIE62" s="3461"/>
      <c r="JIF62" s="3461"/>
      <c r="JIG62" s="3461"/>
      <c r="JIH62" s="3461"/>
      <c r="JII62" s="3461"/>
      <c r="JIJ62" s="3461"/>
      <c r="JIK62" s="3461"/>
      <c r="JIL62" s="3461"/>
      <c r="JIM62" s="3461"/>
      <c r="JIN62" s="3461"/>
      <c r="JIO62" s="3461"/>
      <c r="JIP62" s="3461"/>
      <c r="JIQ62" s="3461"/>
      <c r="JIR62" s="3461"/>
      <c r="JIS62" s="3461"/>
      <c r="JIT62" s="3461"/>
      <c r="JIU62" s="3461"/>
      <c r="JIV62" s="3461"/>
      <c r="JIW62" s="3461"/>
      <c r="JIX62" s="3461"/>
      <c r="JIY62" s="3461"/>
      <c r="JIZ62" s="3461"/>
      <c r="JJA62" s="3461"/>
      <c r="JJB62" s="3461"/>
      <c r="JJC62" s="3461"/>
      <c r="JJD62" s="3461"/>
      <c r="JJE62" s="3461"/>
      <c r="JJF62" s="3461"/>
      <c r="JJG62" s="3461"/>
      <c r="JJH62" s="3461"/>
      <c r="JJI62" s="3461"/>
      <c r="JJJ62" s="3461"/>
      <c r="JJK62" s="3461"/>
      <c r="JJL62" s="3461"/>
      <c r="JJM62" s="3461"/>
      <c r="JJN62" s="3461"/>
      <c r="JJO62" s="3461"/>
      <c r="JJP62" s="3461"/>
      <c r="JJQ62" s="3461"/>
      <c r="JJR62" s="3461"/>
      <c r="JJS62" s="3461"/>
      <c r="JJT62" s="3461"/>
      <c r="JJU62" s="3461"/>
      <c r="JJV62" s="3461"/>
      <c r="JJW62" s="3461"/>
      <c r="JJX62" s="3461"/>
      <c r="JJY62" s="3461"/>
      <c r="JJZ62" s="3461"/>
      <c r="JKA62" s="3461"/>
      <c r="JKB62" s="3461"/>
      <c r="JKC62" s="3461"/>
      <c r="JKD62" s="3461"/>
      <c r="JKE62" s="3461"/>
      <c r="JKF62" s="3461"/>
      <c r="JKG62" s="3461"/>
      <c r="JKH62" s="3461"/>
      <c r="JKI62" s="3461"/>
      <c r="JKJ62" s="3461"/>
      <c r="JKK62" s="3461"/>
      <c r="JKL62" s="3461"/>
      <c r="JKM62" s="3461"/>
      <c r="JKN62" s="3461"/>
      <c r="JKO62" s="3461"/>
      <c r="JKP62" s="3461"/>
      <c r="JKQ62" s="3461"/>
      <c r="JKR62" s="3461"/>
      <c r="JKS62" s="3461"/>
      <c r="JKT62" s="3461"/>
      <c r="JKU62" s="3461"/>
      <c r="JKV62" s="3461"/>
      <c r="JKW62" s="3461"/>
      <c r="JKX62" s="3461"/>
      <c r="JKY62" s="3461"/>
      <c r="JKZ62" s="3461"/>
      <c r="JLA62" s="3461"/>
      <c r="JLB62" s="3461"/>
      <c r="JLC62" s="3461"/>
      <c r="JLD62" s="3461"/>
      <c r="JLE62" s="3461"/>
      <c r="JLF62" s="3461"/>
      <c r="JLG62" s="3461"/>
      <c r="JLH62" s="3461"/>
      <c r="JLI62" s="3461"/>
      <c r="JLJ62" s="3461"/>
      <c r="JLK62" s="3461"/>
      <c r="JLL62" s="3461"/>
      <c r="JLM62" s="3461"/>
      <c r="JLN62" s="3461"/>
      <c r="JLO62" s="3461"/>
      <c r="JLP62" s="3461"/>
      <c r="JLQ62" s="3461"/>
      <c r="JLR62" s="3461"/>
      <c r="JLS62" s="3461"/>
      <c r="JLT62" s="3461"/>
      <c r="JLU62" s="3461"/>
      <c r="JLV62" s="3461"/>
      <c r="JLW62" s="3461"/>
      <c r="JLX62" s="3461"/>
      <c r="JLY62" s="3461"/>
      <c r="JLZ62" s="3461"/>
      <c r="JMA62" s="3461"/>
      <c r="JMB62" s="3461"/>
      <c r="JMC62" s="3461"/>
      <c r="JMD62" s="3461"/>
      <c r="JME62" s="3461"/>
      <c r="JMF62" s="3461"/>
      <c r="JMG62" s="3461"/>
      <c r="JMH62" s="3461"/>
      <c r="JMI62" s="3461"/>
      <c r="JMJ62" s="3461"/>
      <c r="JMK62" s="3461"/>
      <c r="JML62" s="3461"/>
      <c r="JMM62" s="3461"/>
      <c r="JMN62" s="3461"/>
      <c r="JMO62" s="3461"/>
      <c r="JMP62" s="3461"/>
      <c r="JMQ62" s="3461"/>
      <c r="JMR62" s="3461"/>
      <c r="JMS62" s="3461"/>
      <c r="JMT62" s="3461"/>
      <c r="JMU62" s="3461"/>
      <c r="JMV62" s="3461"/>
      <c r="JMW62" s="3461"/>
      <c r="JMX62" s="3461"/>
      <c r="JMY62" s="3461"/>
      <c r="JMZ62" s="3461"/>
      <c r="JNA62" s="3461"/>
      <c r="JNB62" s="3461"/>
      <c r="JNC62" s="3461"/>
      <c r="JND62" s="3461"/>
      <c r="JNE62" s="3461"/>
      <c r="JNF62" s="3461"/>
      <c r="JNG62" s="3461"/>
      <c r="JNH62" s="3461"/>
      <c r="JNI62" s="3461"/>
      <c r="JNJ62" s="3461"/>
      <c r="JNK62" s="3461"/>
      <c r="JNL62" s="3461"/>
      <c r="JNM62" s="3461"/>
      <c r="JNN62" s="3461"/>
      <c r="JNO62" s="3461"/>
      <c r="JNP62" s="3461"/>
      <c r="JNQ62" s="3461"/>
      <c r="JNR62" s="3461"/>
      <c r="JNS62" s="3461"/>
      <c r="JNT62" s="3461"/>
      <c r="JNU62" s="3461"/>
      <c r="JNV62" s="3461"/>
      <c r="JNW62" s="3461"/>
      <c r="JNX62" s="3461"/>
      <c r="JNY62" s="3461"/>
      <c r="JNZ62" s="3461"/>
      <c r="JOA62" s="3461"/>
      <c r="JOB62" s="3461"/>
      <c r="JOC62" s="3461"/>
      <c r="JOD62" s="3461"/>
      <c r="JOE62" s="3461"/>
      <c r="JOF62" s="3461"/>
      <c r="JOG62" s="3461"/>
      <c r="JOH62" s="3461"/>
      <c r="JOI62" s="3461"/>
      <c r="JOJ62" s="3461"/>
      <c r="JOK62" s="3461"/>
      <c r="JOL62" s="3461"/>
      <c r="JOM62" s="3461"/>
      <c r="JON62" s="3461"/>
      <c r="JOO62" s="3461"/>
      <c r="JOP62" s="3461"/>
      <c r="JOQ62" s="3461"/>
      <c r="JOR62" s="3461"/>
      <c r="JOS62" s="3461"/>
      <c r="JOT62" s="3461"/>
      <c r="JOU62" s="3461"/>
      <c r="JOV62" s="3461"/>
      <c r="JOW62" s="3461"/>
      <c r="JOX62" s="3461"/>
      <c r="JOY62" s="3461"/>
      <c r="JOZ62" s="3461"/>
      <c r="JPA62" s="3461"/>
      <c r="JPB62" s="3461"/>
      <c r="JPC62" s="3461"/>
      <c r="JPD62" s="3461"/>
      <c r="JPE62" s="3461"/>
      <c r="JPF62" s="3461"/>
      <c r="JPG62" s="3461"/>
      <c r="JPH62" s="3461"/>
      <c r="JPI62" s="3461"/>
      <c r="JPJ62" s="3461"/>
      <c r="JPK62" s="3461"/>
      <c r="JPL62" s="3461"/>
      <c r="JPM62" s="3461"/>
      <c r="JPN62" s="3461"/>
      <c r="JPO62" s="3461"/>
      <c r="JPP62" s="3461"/>
      <c r="JPQ62" s="3461"/>
      <c r="JPR62" s="3461"/>
      <c r="JPS62" s="3461"/>
      <c r="JPT62" s="3461"/>
      <c r="JPU62" s="3461"/>
      <c r="JPV62" s="3461"/>
      <c r="JPW62" s="3461"/>
      <c r="JPX62" s="3461"/>
      <c r="JPY62" s="3461"/>
      <c r="JPZ62" s="3461"/>
      <c r="JQA62" s="3461"/>
      <c r="JQB62" s="3461"/>
      <c r="JQC62" s="3461"/>
      <c r="JQD62" s="3461"/>
      <c r="JQE62" s="3461"/>
      <c r="JQF62" s="3461"/>
      <c r="JQG62" s="3461"/>
      <c r="JQH62" s="3461"/>
      <c r="JQI62" s="3461"/>
      <c r="JQJ62" s="3461"/>
      <c r="JQK62" s="3461"/>
      <c r="JQL62" s="3461"/>
      <c r="JQM62" s="3461"/>
      <c r="JQN62" s="3461"/>
      <c r="JQO62" s="3461"/>
      <c r="JQP62" s="3461"/>
      <c r="JQQ62" s="3461"/>
      <c r="JQR62" s="3461"/>
      <c r="JQS62" s="3461"/>
      <c r="JQT62" s="3461"/>
      <c r="JQU62" s="3461"/>
      <c r="JQV62" s="3461"/>
      <c r="JQW62" s="3461"/>
      <c r="JQX62" s="3461"/>
      <c r="JQY62" s="3461"/>
      <c r="JQZ62" s="3461"/>
      <c r="JRA62" s="3461"/>
      <c r="JRB62" s="3461"/>
      <c r="JRC62" s="3461"/>
      <c r="JRD62" s="3461"/>
      <c r="JRE62" s="3461"/>
      <c r="JRF62" s="3461"/>
      <c r="JRG62" s="3461"/>
      <c r="JRH62" s="3461"/>
      <c r="JRI62" s="3461"/>
      <c r="JRJ62" s="3461"/>
      <c r="JRK62" s="3461"/>
      <c r="JRL62" s="3461"/>
      <c r="JRM62" s="3461"/>
      <c r="JRN62" s="3461"/>
      <c r="JRO62" s="3461"/>
      <c r="JRP62" s="3461"/>
      <c r="JRQ62" s="3461"/>
      <c r="JRR62" s="3461"/>
      <c r="JRS62" s="3461"/>
      <c r="JRT62" s="3461"/>
      <c r="JRU62" s="3461"/>
      <c r="JRV62" s="3461"/>
      <c r="JRW62" s="3461"/>
      <c r="JRX62" s="3461"/>
      <c r="JRY62" s="3461"/>
      <c r="JRZ62" s="3461"/>
      <c r="JSA62" s="3461"/>
      <c r="JSB62" s="3461"/>
      <c r="JSC62" s="3461"/>
      <c r="JSD62" s="3461"/>
      <c r="JSE62" s="3461"/>
      <c r="JSF62" s="3461"/>
      <c r="JSG62" s="3461"/>
      <c r="JSH62" s="3461"/>
      <c r="JSI62" s="3461"/>
      <c r="JSJ62" s="3461"/>
      <c r="JSK62" s="3461"/>
      <c r="JSL62" s="3461"/>
      <c r="JSM62" s="3461"/>
      <c r="JSN62" s="3461"/>
      <c r="JSO62" s="3461"/>
      <c r="JSP62" s="3461"/>
      <c r="JSQ62" s="3461"/>
      <c r="JSR62" s="3461"/>
      <c r="JSS62" s="3461"/>
      <c r="JST62" s="3461"/>
      <c r="JSU62" s="3461"/>
      <c r="JSV62" s="3461"/>
      <c r="JSW62" s="3461"/>
      <c r="JSX62" s="3461"/>
      <c r="JSY62" s="3461"/>
      <c r="JSZ62" s="3461"/>
      <c r="JTA62" s="3461"/>
      <c r="JTB62" s="3461"/>
      <c r="JTC62" s="3461"/>
      <c r="JTD62" s="3461"/>
      <c r="JTE62" s="3461"/>
      <c r="JTF62" s="3461"/>
      <c r="JTG62" s="3461"/>
      <c r="JTH62" s="3461"/>
      <c r="JTI62" s="3461"/>
      <c r="JTJ62" s="3461"/>
      <c r="JTK62" s="3461"/>
      <c r="JTL62" s="3461"/>
      <c r="JTM62" s="3461"/>
      <c r="JTN62" s="3461"/>
      <c r="JTO62" s="3461"/>
      <c r="JTP62" s="3461"/>
      <c r="JTQ62" s="3461"/>
      <c r="JTR62" s="3461"/>
      <c r="JTS62" s="3461"/>
      <c r="JTT62" s="3461"/>
      <c r="JTU62" s="3461"/>
      <c r="JTV62" s="3461"/>
      <c r="JTW62" s="3461"/>
      <c r="JTX62" s="3461"/>
      <c r="JTY62" s="3461"/>
      <c r="JTZ62" s="3461"/>
      <c r="JUA62" s="3461"/>
      <c r="JUB62" s="3461"/>
      <c r="JUC62" s="3461"/>
      <c r="JUD62" s="3461"/>
      <c r="JUE62" s="3461"/>
      <c r="JUF62" s="3461"/>
      <c r="JUG62" s="3461"/>
      <c r="JUH62" s="3461"/>
      <c r="JUI62" s="3461"/>
      <c r="JUJ62" s="3461"/>
      <c r="JUK62" s="3461"/>
      <c r="JUL62" s="3461"/>
      <c r="JUM62" s="3461"/>
      <c r="JUN62" s="3461"/>
      <c r="JUO62" s="3461"/>
      <c r="JUP62" s="3461"/>
      <c r="JUQ62" s="3461"/>
      <c r="JUR62" s="3461"/>
      <c r="JUS62" s="3461"/>
      <c r="JUT62" s="3461"/>
      <c r="JUU62" s="3461"/>
      <c r="JUV62" s="3461"/>
      <c r="JUW62" s="3461"/>
      <c r="JUX62" s="3461"/>
      <c r="JUY62" s="3461"/>
      <c r="JUZ62" s="3461"/>
      <c r="JVA62" s="3461"/>
      <c r="JVB62" s="3461"/>
      <c r="JVC62" s="3461"/>
      <c r="JVD62" s="3461"/>
      <c r="JVE62" s="3461"/>
      <c r="JVF62" s="3461"/>
      <c r="JVG62" s="3461"/>
      <c r="JVH62" s="3461"/>
      <c r="JVI62" s="3461"/>
      <c r="JVJ62" s="3461"/>
      <c r="JVK62" s="3461"/>
      <c r="JVL62" s="3461"/>
      <c r="JVM62" s="3461"/>
      <c r="JVN62" s="3461"/>
      <c r="JVO62" s="3461"/>
      <c r="JVP62" s="3461"/>
      <c r="JVQ62" s="3461"/>
      <c r="JVR62" s="3461"/>
      <c r="JVS62" s="3461"/>
      <c r="JVT62" s="3461"/>
      <c r="JVU62" s="3461"/>
      <c r="JVV62" s="3461"/>
      <c r="JVW62" s="3461"/>
      <c r="JVX62" s="3461"/>
      <c r="JVY62" s="3461"/>
      <c r="JVZ62" s="3461"/>
      <c r="JWA62" s="3461"/>
      <c r="JWB62" s="3461"/>
      <c r="JWC62" s="3461"/>
      <c r="JWD62" s="3461"/>
      <c r="JWE62" s="3461"/>
      <c r="JWF62" s="3461"/>
      <c r="JWG62" s="3461"/>
      <c r="JWH62" s="3461"/>
      <c r="JWI62" s="3461"/>
      <c r="JWJ62" s="3461"/>
      <c r="JWK62" s="3461"/>
      <c r="JWL62" s="3461"/>
      <c r="JWM62" s="3461"/>
      <c r="JWN62" s="3461"/>
      <c r="JWO62" s="3461"/>
      <c r="JWP62" s="3461"/>
      <c r="JWQ62" s="3461"/>
      <c r="JWR62" s="3461"/>
      <c r="JWS62" s="3461"/>
      <c r="JWT62" s="3461"/>
      <c r="JWU62" s="3461"/>
      <c r="JWV62" s="3461"/>
      <c r="JWW62" s="3461"/>
      <c r="JWX62" s="3461"/>
      <c r="JWY62" s="3461"/>
      <c r="JWZ62" s="3461"/>
      <c r="JXA62" s="3461"/>
      <c r="JXB62" s="3461"/>
      <c r="JXC62" s="3461"/>
      <c r="JXD62" s="3461"/>
      <c r="JXE62" s="3461"/>
      <c r="JXF62" s="3461"/>
      <c r="JXG62" s="3461"/>
      <c r="JXH62" s="3461"/>
      <c r="JXI62" s="3461"/>
      <c r="JXJ62" s="3461"/>
      <c r="JXK62" s="3461"/>
      <c r="JXL62" s="3461"/>
      <c r="JXM62" s="3461"/>
      <c r="JXN62" s="3461"/>
      <c r="JXO62" s="3461"/>
      <c r="JXP62" s="3461"/>
      <c r="JXQ62" s="3461"/>
      <c r="JXR62" s="3461"/>
      <c r="JXS62" s="3461"/>
      <c r="JXT62" s="3461"/>
      <c r="JXU62" s="3461"/>
      <c r="JXV62" s="3461"/>
      <c r="JXW62" s="3461"/>
      <c r="JXX62" s="3461"/>
      <c r="JXY62" s="3461"/>
      <c r="JXZ62" s="3461"/>
      <c r="JYA62" s="3461"/>
      <c r="JYB62" s="3461"/>
      <c r="JYC62" s="3461"/>
      <c r="JYD62" s="3461"/>
      <c r="JYE62" s="3461"/>
      <c r="JYF62" s="3461"/>
      <c r="JYG62" s="3461"/>
      <c r="JYH62" s="3461"/>
      <c r="JYI62" s="3461"/>
      <c r="JYJ62" s="3461"/>
      <c r="JYK62" s="3461"/>
      <c r="JYL62" s="3461"/>
      <c r="JYM62" s="3461"/>
      <c r="JYN62" s="3461"/>
      <c r="JYO62" s="3461"/>
      <c r="JYP62" s="3461"/>
      <c r="JYQ62" s="3461"/>
      <c r="JYR62" s="3461"/>
      <c r="JYS62" s="3461"/>
      <c r="JYT62" s="3461"/>
      <c r="JYU62" s="3461"/>
      <c r="JYV62" s="3461"/>
      <c r="JYW62" s="3461"/>
      <c r="JYX62" s="3461"/>
      <c r="JYY62" s="3461"/>
      <c r="JYZ62" s="3461"/>
      <c r="JZA62" s="3461"/>
      <c r="JZB62" s="3461"/>
      <c r="JZC62" s="3461"/>
      <c r="JZD62" s="3461"/>
      <c r="JZE62" s="3461"/>
      <c r="JZF62" s="3461"/>
      <c r="JZG62" s="3461"/>
      <c r="JZH62" s="3461"/>
      <c r="JZI62" s="3461"/>
      <c r="JZJ62" s="3461"/>
      <c r="JZK62" s="3461"/>
      <c r="JZL62" s="3461"/>
      <c r="JZM62" s="3461"/>
      <c r="JZN62" s="3461"/>
      <c r="JZO62" s="3461"/>
      <c r="JZP62" s="3461"/>
      <c r="JZQ62" s="3461"/>
      <c r="JZR62" s="3461"/>
      <c r="JZS62" s="3461"/>
      <c r="JZT62" s="3461"/>
      <c r="JZU62" s="3461"/>
      <c r="JZV62" s="3461"/>
      <c r="JZW62" s="3461"/>
      <c r="JZX62" s="3461"/>
      <c r="JZY62" s="3461"/>
      <c r="JZZ62" s="3461"/>
      <c r="KAA62" s="3461"/>
      <c r="KAB62" s="3461"/>
      <c r="KAC62" s="3461"/>
      <c r="KAD62" s="3461"/>
      <c r="KAE62" s="3461"/>
      <c r="KAF62" s="3461"/>
      <c r="KAG62" s="3461"/>
      <c r="KAH62" s="3461"/>
      <c r="KAI62" s="3461"/>
      <c r="KAJ62" s="3461"/>
      <c r="KAK62" s="3461"/>
      <c r="KAL62" s="3461"/>
      <c r="KAM62" s="3461"/>
      <c r="KAN62" s="3461"/>
      <c r="KAO62" s="3461"/>
      <c r="KAP62" s="3461"/>
      <c r="KAQ62" s="3461"/>
      <c r="KAR62" s="3461"/>
      <c r="KAS62" s="3461"/>
      <c r="KAT62" s="3461"/>
      <c r="KAU62" s="3461"/>
      <c r="KAV62" s="3461"/>
      <c r="KAW62" s="3461"/>
      <c r="KAX62" s="3461"/>
      <c r="KAY62" s="3461"/>
      <c r="KAZ62" s="3461"/>
      <c r="KBA62" s="3461"/>
      <c r="KBB62" s="3461"/>
      <c r="KBC62" s="3461"/>
      <c r="KBD62" s="3461"/>
      <c r="KBE62" s="3461"/>
      <c r="KBF62" s="3461"/>
      <c r="KBG62" s="3461"/>
      <c r="KBH62" s="3461"/>
      <c r="KBI62" s="3461"/>
      <c r="KBJ62" s="3461"/>
      <c r="KBK62" s="3461"/>
      <c r="KBL62" s="3461"/>
      <c r="KBM62" s="3461"/>
      <c r="KBN62" s="3461"/>
      <c r="KBO62" s="3461"/>
      <c r="KBP62" s="3461"/>
      <c r="KBQ62" s="3461"/>
      <c r="KBR62" s="3461"/>
      <c r="KBS62" s="3461"/>
      <c r="KBT62" s="3461"/>
      <c r="KBU62" s="3461"/>
      <c r="KBV62" s="3461"/>
      <c r="KBW62" s="3461"/>
      <c r="KBX62" s="3461"/>
      <c r="KBY62" s="3461"/>
      <c r="KBZ62" s="3461"/>
      <c r="KCA62" s="3461"/>
      <c r="KCB62" s="3461"/>
      <c r="KCC62" s="3461"/>
      <c r="KCD62" s="3461"/>
      <c r="KCE62" s="3461"/>
      <c r="KCF62" s="3461"/>
      <c r="KCG62" s="3461"/>
      <c r="KCH62" s="3461"/>
      <c r="KCI62" s="3461"/>
      <c r="KCJ62" s="3461"/>
      <c r="KCK62" s="3461"/>
      <c r="KCL62" s="3461"/>
      <c r="KCM62" s="3461"/>
      <c r="KCN62" s="3461"/>
      <c r="KCO62" s="3461"/>
      <c r="KCP62" s="3461"/>
      <c r="KCQ62" s="3461"/>
      <c r="KCR62" s="3461"/>
      <c r="KCS62" s="3461"/>
      <c r="KCT62" s="3461"/>
      <c r="KCU62" s="3461"/>
      <c r="KCV62" s="3461"/>
      <c r="KCW62" s="3461"/>
      <c r="KCX62" s="3461"/>
      <c r="KCY62" s="3461"/>
      <c r="KCZ62" s="3461"/>
      <c r="KDA62" s="3461"/>
      <c r="KDB62" s="3461"/>
      <c r="KDC62" s="3461"/>
      <c r="KDD62" s="3461"/>
      <c r="KDE62" s="3461"/>
      <c r="KDF62" s="3461"/>
      <c r="KDG62" s="3461"/>
      <c r="KDH62" s="3461"/>
      <c r="KDI62" s="3461"/>
      <c r="KDJ62" s="3461"/>
      <c r="KDK62" s="3461"/>
      <c r="KDL62" s="3461"/>
      <c r="KDM62" s="3461"/>
      <c r="KDN62" s="3461"/>
      <c r="KDO62" s="3461"/>
      <c r="KDP62" s="3461"/>
      <c r="KDQ62" s="3461"/>
      <c r="KDR62" s="3461"/>
      <c r="KDS62" s="3461"/>
      <c r="KDT62" s="3461"/>
      <c r="KDU62" s="3461"/>
      <c r="KDV62" s="3461"/>
      <c r="KDW62" s="3461"/>
      <c r="KDX62" s="3461"/>
      <c r="KDY62" s="3461"/>
      <c r="KDZ62" s="3461"/>
      <c r="KEA62" s="3461"/>
      <c r="KEB62" s="3461"/>
      <c r="KEC62" s="3461"/>
      <c r="KED62" s="3461"/>
      <c r="KEE62" s="3461"/>
      <c r="KEF62" s="3461"/>
      <c r="KEG62" s="3461"/>
      <c r="KEH62" s="3461"/>
      <c r="KEI62" s="3461"/>
      <c r="KEJ62" s="3461"/>
      <c r="KEK62" s="3461"/>
      <c r="KEL62" s="3461"/>
      <c r="KEM62" s="3461"/>
      <c r="KEN62" s="3461"/>
      <c r="KEO62" s="3461"/>
      <c r="KEP62" s="3461"/>
      <c r="KEQ62" s="3461"/>
      <c r="KER62" s="3461"/>
      <c r="KES62" s="3461"/>
      <c r="KET62" s="3461"/>
      <c r="KEU62" s="3461"/>
      <c r="KEV62" s="3461"/>
      <c r="KEW62" s="3461"/>
      <c r="KEX62" s="3461"/>
      <c r="KEY62" s="3461"/>
      <c r="KEZ62" s="3461"/>
      <c r="KFA62" s="3461"/>
      <c r="KFB62" s="3461"/>
      <c r="KFC62" s="3461"/>
      <c r="KFD62" s="3461"/>
      <c r="KFE62" s="3461"/>
      <c r="KFF62" s="3461"/>
      <c r="KFG62" s="3461"/>
      <c r="KFH62" s="3461"/>
      <c r="KFI62" s="3461"/>
      <c r="KFJ62" s="3461"/>
      <c r="KFK62" s="3461"/>
      <c r="KFL62" s="3461"/>
      <c r="KFM62" s="3461"/>
      <c r="KFN62" s="3461"/>
      <c r="KFO62" s="3461"/>
      <c r="KFP62" s="3461"/>
      <c r="KFQ62" s="3461"/>
      <c r="KFR62" s="3461"/>
      <c r="KFS62" s="3461"/>
      <c r="KFT62" s="3461"/>
      <c r="KFU62" s="3461"/>
      <c r="KFV62" s="3461"/>
      <c r="KFW62" s="3461"/>
      <c r="KFX62" s="3461"/>
      <c r="KFY62" s="3461"/>
      <c r="KFZ62" s="3461"/>
      <c r="KGA62" s="3461"/>
      <c r="KGB62" s="3461"/>
      <c r="KGC62" s="3461"/>
      <c r="KGD62" s="3461"/>
      <c r="KGE62" s="3461"/>
      <c r="KGF62" s="3461"/>
      <c r="KGG62" s="3461"/>
      <c r="KGH62" s="3461"/>
      <c r="KGI62" s="3461"/>
      <c r="KGJ62" s="3461"/>
      <c r="KGK62" s="3461"/>
      <c r="KGL62" s="3461"/>
      <c r="KGM62" s="3461"/>
      <c r="KGN62" s="3461"/>
      <c r="KGO62" s="3461"/>
      <c r="KGP62" s="3461"/>
      <c r="KGQ62" s="3461"/>
      <c r="KGR62" s="3461"/>
      <c r="KGS62" s="3461"/>
      <c r="KGT62" s="3461"/>
      <c r="KGU62" s="3461"/>
      <c r="KGV62" s="3461"/>
      <c r="KGW62" s="3461"/>
      <c r="KGX62" s="3461"/>
      <c r="KGY62" s="3461"/>
      <c r="KGZ62" s="3461"/>
      <c r="KHA62" s="3461"/>
      <c r="KHB62" s="3461"/>
      <c r="KHC62" s="3461"/>
      <c r="KHD62" s="3461"/>
      <c r="KHE62" s="3461"/>
      <c r="KHF62" s="3461"/>
      <c r="KHG62" s="3461"/>
      <c r="KHH62" s="3461"/>
      <c r="KHI62" s="3461"/>
      <c r="KHJ62" s="3461"/>
      <c r="KHK62" s="3461"/>
      <c r="KHL62" s="3461"/>
      <c r="KHM62" s="3461"/>
      <c r="KHN62" s="3461"/>
      <c r="KHO62" s="3461"/>
      <c r="KHP62" s="3461"/>
      <c r="KHQ62" s="3461"/>
      <c r="KHR62" s="3461"/>
      <c r="KHS62" s="3461"/>
      <c r="KHT62" s="3461"/>
      <c r="KHU62" s="3461"/>
      <c r="KHV62" s="3461"/>
      <c r="KHW62" s="3461"/>
      <c r="KHX62" s="3461"/>
      <c r="KHY62" s="3461"/>
      <c r="KHZ62" s="3461"/>
      <c r="KIA62" s="3461"/>
      <c r="KIB62" s="3461"/>
      <c r="KIC62" s="3461"/>
      <c r="KID62" s="3461"/>
      <c r="KIE62" s="3461"/>
      <c r="KIF62" s="3461"/>
      <c r="KIG62" s="3461"/>
      <c r="KIH62" s="3461"/>
      <c r="KII62" s="3461"/>
      <c r="KIJ62" s="3461"/>
      <c r="KIK62" s="3461"/>
      <c r="KIL62" s="3461"/>
      <c r="KIM62" s="3461"/>
      <c r="KIN62" s="3461"/>
      <c r="KIO62" s="3461"/>
      <c r="KIP62" s="3461"/>
      <c r="KIQ62" s="3461"/>
      <c r="KIR62" s="3461"/>
      <c r="KIS62" s="3461"/>
      <c r="KIT62" s="3461"/>
      <c r="KIU62" s="3461"/>
      <c r="KIV62" s="3461"/>
      <c r="KIW62" s="3461"/>
      <c r="KIX62" s="3461"/>
      <c r="KIY62" s="3461"/>
      <c r="KIZ62" s="3461"/>
      <c r="KJA62" s="3461"/>
      <c r="KJB62" s="3461"/>
      <c r="KJC62" s="3461"/>
      <c r="KJD62" s="3461"/>
      <c r="KJE62" s="3461"/>
      <c r="KJF62" s="3461"/>
      <c r="KJG62" s="3461"/>
      <c r="KJH62" s="3461"/>
      <c r="KJI62" s="3461"/>
      <c r="KJJ62" s="3461"/>
      <c r="KJK62" s="3461"/>
      <c r="KJL62" s="3461"/>
      <c r="KJM62" s="3461"/>
      <c r="KJN62" s="3461"/>
      <c r="KJO62" s="3461"/>
      <c r="KJP62" s="3461"/>
      <c r="KJQ62" s="3461"/>
      <c r="KJR62" s="3461"/>
      <c r="KJS62" s="3461"/>
      <c r="KJT62" s="3461"/>
      <c r="KJU62" s="3461"/>
      <c r="KJV62" s="3461"/>
      <c r="KJW62" s="3461"/>
      <c r="KJX62" s="3461"/>
      <c r="KJY62" s="3461"/>
      <c r="KJZ62" s="3461"/>
      <c r="KKA62" s="3461"/>
      <c r="KKB62" s="3461"/>
      <c r="KKC62" s="3461"/>
      <c r="KKD62" s="3461"/>
      <c r="KKE62" s="3461"/>
      <c r="KKF62" s="3461"/>
      <c r="KKG62" s="3461"/>
      <c r="KKH62" s="3461"/>
      <c r="KKI62" s="3461"/>
      <c r="KKJ62" s="3461"/>
      <c r="KKK62" s="3461"/>
      <c r="KKL62" s="3461"/>
      <c r="KKM62" s="3461"/>
      <c r="KKN62" s="3461"/>
      <c r="KKO62" s="3461"/>
      <c r="KKP62" s="3461"/>
      <c r="KKQ62" s="3461"/>
      <c r="KKR62" s="3461"/>
      <c r="KKS62" s="3461"/>
      <c r="KKT62" s="3461"/>
      <c r="KKU62" s="3461"/>
      <c r="KKV62" s="3461"/>
      <c r="KKW62" s="3461"/>
      <c r="KKX62" s="3461"/>
      <c r="KKY62" s="3461"/>
      <c r="KKZ62" s="3461"/>
      <c r="KLA62" s="3461"/>
      <c r="KLB62" s="3461"/>
      <c r="KLC62" s="3461"/>
      <c r="KLD62" s="3461"/>
      <c r="KLE62" s="3461"/>
      <c r="KLF62" s="3461"/>
      <c r="KLG62" s="3461"/>
      <c r="KLH62" s="3461"/>
      <c r="KLI62" s="3461"/>
      <c r="KLJ62" s="3461"/>
      <c r="KLK62" s="3461"/>
      <c r="KLL62" s="3461"/>
      <c r="KLM62" s="3461"/>
      <c r="KLN62" s="3461"/>
      <c r="KLO62" s="3461"/>
      <c r="KLP62" s="3461"/>
      <c r="KLQ62" s="3461"/>
      <c r="KLR62" s="3461"/>
      <c r="KLS62" s="3461"/>
      <c r="KLT62" s="3461"/>
      <c r="KLU62" s="3461"/>
      <c r="KLV62" s="3461"/>
      <c r="KLW62" s="3461"/>
      <c r="KLX62" s="3461"/>
      <c r="KLY62" s="3461"/>
      <c r="KLZ62" s="3461"/>
      <c r="KMA62" s="3461"/>
      <c r="KMB62" s="3461"/>
      <c r="KMC62" s="3461"/>
      <c r="KMD62" s="3461"/>
      <c r="KME62" s="3461"/>
      <c r="KMF62" s="3461"/>
      <c r="KMG62" s="3461"/>
      <c r="KMH62" s="3461"/>
      <c r="KMI62" s="3461"/>
      <c r="KMJ62" s="3461"/>
      <c r="KMK62" s="3461"/>
      <c r="KML62" s="3461"/>
      <c r="KMM62" s="3461"/>
      <c r="KMN62" s="3461"/>
      <c r="KMO62" s="3461"/>
      <c r="KMP62" s="3461"/>
      <c r="KMQ62" s="3461"/>
      <c r="KMR62" s="3461"/>
      <c r="KMS62" s="3461"/>
      <c r="KMT62" s="3461"/>
      <c r="KMU62" s="3461"/>
      <c r="KMV62" s="3461"/>
      <c r="KMW62" s="3461"/>
      <c r="KMX62" s="3461"/>
      <c r="KMY62" s="3461"/>
      <c r="KMZ62" s="3461"/>
      <c r="KNA62" s="3461"/>
      <c r="KNB62" s="3461"/>
      <c r="KNC62" s="3461"/>
      <c r="KND62" s="3461"/>
      <c r="KNE62" s="3461"/>
      <c r="KNF62" s="3461"/>
      <c r="KNG62" s="3461"/>
      <c r="KNH62" s="3461"/>
      <c r="KNI62" s="3461"/>
      <c r="KNJ62" s="3461"/>
      <c r="KNK62" s="3461"/>
      <c r="KNL62" s="3461"/>
      <c r="KNM62" s="3461"/>
      <c r="KNN62" s="3461"/>
      <c r="KNO62" s="3461"/>
      <c r="KNP62" s="3461"/>
      <c r="KNQ62" s="3461"/>
      <c r="KNR62" s="3461"/>
      <c r="KNS62" s="3461"/>
      <c r="KNT62" s="3461"/>
      <c r="KNU62" s="3461"/>
      <c r="KNV62" s="3461"/>
      <c r="KNW62" s="3461"/>
      <c r="KNX62" s="3461"/>
      <c r="KNY62" s="3461"/>
      <c r="KNZ62" s="3461"/>
      <c r="KOA62" s="3461"/>
      <c r="KOB62" s="3461"/>
      <c r="KOC62" s="3461"/>
      <c r="KOD62" s="3461"/>
      <c r="KOE62" s="3461"/>
      <c r="KOF62" s="3461"/>
      <c r="KOG62" s="3461"/>
      <c r="KOH62" s="3461"/>
      <c r="KOI62" s="3461"/>
      <c r="KOJ62" s="3461"/>
      <c r="KOK62" s="3461"/>
      <c r="KOL62" s="3461"/>
      <c r="KOM62" s="3461"/>
      <c r="KON62" s="3461"/>
      <c r="KOO62" s="3461"/>
      <c r="KOP62" s="3461"/>
      <c r="KOQ62" s="3461"/>
      <c r="KOR62" s="3461"/>
      <c r="KOS62" s="3461"/>
      <c r="KOT62" s="3461"/>
      <c r="KOU62" s="3461"/>
      <c r="KOV62" s="3461"/>
      <c r="KOW62" s="3461"/>
      <c r="KOX62" s="3461"/>
      <c r="KOY62" s="3461"/>
      <c r="KOZ62" s="3461"/>
      <c r="KPA62" s="3461"/>
      <c r="KPB62" s="3461"/>
      <c r="KPC62" s="3461"/>
      <c r="KPD62" s="3461"/>
      <c r="KPE62" s="3461"/>
      <c r="KPF62" s="3461"/>
      <c r="KPG62" s="3461"/>
      <c r="KPH62" s="3461"/>
      <c r="KPI62" s="3461"/>
      <c r="KPJ62" s="3461"/>
      <c r="KPK62" s="3461"/>
      <c r="KPL62" s="3461"/>
      <c r="KPM62" s="3461"/>
      <c r="KPN62" s="3461"/>
      <c r="KPO62" s="3461"/>
      <c r="KPP62" s="3461"/>
      <c r="KPQ62" s="3461"/>
      <c r="KPR62" s="3461"/>
      <c r="KPS62" s="3461"/>
      <c r="KPT62" s="3461"/>
      <c r="KPU62" s="3461"/>
      <c r="KPV62" s="3461"/>
      <c r="KPW62" s="3461"/>
      <c r="KPX62" s="3461"/>
      <c r="KPY62" s="3461"/>
      <c r="KPZ62" s="3461"/>
      <c r="KQA62" s="3461"/>
      <c r="KQB62" s="3461"/>
      <c r="KQC62" s="3461"/>
      <c r="KQD62" s="3461"/>
      <c r="KQE62" s="3461"/>
      <c r="KQF62" s="3461"/>
      <c r="KQG62" s="3461"/>
      <c r="KQH62" s="3461"/>
      <c r="KQI62" s="3461"/>
      <c r="KQJ62" s="3461"/>
      <c r="KQK62" s="3461"/>
      <c r="KQL62" s="3461"/>
      <c r="KQM62" s="3461"/>
      <c r="KQN62" s="3461"/>
      <c r="KQO62" s="3461"/>
      <c r="KQP62" s="3461"/>
      <c r="KQQ62" s="3461"/>
      <c r="KQR62" s="3461"/>
      <c r="KQS62" s="3461"/>
      <c r="KQT62" s="3461"/>
      <c r="KQU62" s="3461"/>
      <c r="KQV62" s="3461"/>
      <c r="KQW62" s="3461"/>
      <c r="KQX62" s="3461"/>
      <c r="KQY62" s="3461"/>
      <c r="KQZ62" s="3461"/>
      <c r="KRA62" s="3461"/>
      <c r="KRB62" s="3461"/>
      <c r="KRC62" s="3461"/>
      <c r="KRD62" s="3461"/>
      <c r="KRE62" s="3461"/>
      <c r="KRF62" s="3461"/>
      <c r="KRG62" s="3461"/>
      <c r="KRH62" s="3461"/>
      <c r="KRI62" s="3461"/>
      <c r="KRJ62" s="3461"/>
      <c r="KRK62" s="3461"/>
      <c r="KRL62" s="3461"/>
      <c r="KRM62" s="3461"/>
      <c r="KRN62" s="3461"/>
      <c r="KRO62" s="3461"/>
      <c r="KRP62" s="3461"/>
      <c r="KRQ62" s="3461"/>
      <c r="KRR62" s="3461"/>
      <c r="KRS62" s="3461"/>
      <c r="KRT62" s="3461"/>
      <c r="KRU62" s="3461"/>
      <c r="KRV62" s="3461"/>
      <c r="KRW62" s="3461"/>
      <c r="KRX62" s="3461"/>
      <c r="KRY62" s="3461"/>
      <c r="KRZ62" s="3461"/>
      <c r="KSA62" s="3461"/>
      <c r="KSB62" s="3461"/>
      <c r="KSC62" s="3461"/>
      <c r="KSD62" s="3461"/>
      <c r="KSE62" s="3461"/>
      <c r="KSF62" s="3461"/>
      <c r="KSG62" s="3461"/>
      <c r="KSH62" s="3461"/>
      <c r="KSI62" s="3461"/>
      <c r="KSJ62" s="3461"/>
      <c r="KSK62" s="3461"/>
      <c r="KSL62" s="3461"/>
      <c r="KSM62" s="3461"/>
      <c r="KSN62" s="3461"/>
      <c r="KSO62" s="3461"/>
      <c r="KSP62" s="3461"/>
      <c r="KSQ62" s="3461"/>
      <c r="KSR62" s="3461"/>
      <c r="KSS62" s="3461"/>
      <c r="KST62" s="3461"/>
      <c r="KSU62" s="3461"/>
      <c r="KSV62" s="3461"/>
      <c r="KSW62" s="3461"/>
      <c r="KSX62" s="3461"/>
      <c r="KSY62" s="3461"/>
      <c r="KSZ62" s="3461"/>
      <c r="KTA62" s="3461"/>
      <c r="KTB62" s="3461"/>
      <c r="KTC62" s="3461"/>
      <c r="KTD62" s="3461"/>
      <c r="KTE62" s="3461"/>
      <c r="KTF62" s="3461"/>
      <c r="KTG62" s="3461"/>
      <c r="KTH62" s="3461"/>
      <c r="KTI62" s="3461"/>
      <c r="KTJ62" s="3461"/>
      <c r="KTK62" s="3461"/>
      <c r="KTL62" s="3461"/>
      <c r="KTM62" s="3461"/>
      <c r="KTN62" s="3461"/>
      <c r="KTO62" s="3461"/>
      <c r="KTP62" s="3461"/>
      <c r="KTQ62" s="3461"/>
      <c r="KTR62" s="3461"/>
      <c r="KTS62" s="3461"/>
      <c r="KTT62" s="3461"/>
      <c r="KTU62" s="3461"/>
      <c r="KTV62" s="3461"/>
      <c r="KTW62" s="3461"/>
      <c r="KTX62" s="3461"/>
      <c r="KTY62" s="3461"/>
      <c r="KTZ62" s="3461"/>
      <c r="KUA62" s="3461"/>
      <c r="KUB62" s="3461"/>
      <c r="KUC62" s="3461"/>
      <c r="KUD62" s="3461"/>
      <c r="KUE62" s="3461"/>
      <c r="KUF62" s="3461"/>
      <c r="KUG62" s="3461"/>
      <c r="KUH62" s="3461"/>
      <c r="KUI62" s="3461"/>
      <c r="KUJ62" s="3461"/>
      <c r="KUK62" s="3461"/>
      <c r="KUL62" s="3461"/>
      <c r="KUM62" s="3461"/>
      <c r="KUN62" s="3461"/>
      <c r="KUO62" s="3461"/>
      <c r="KUP62" s="3461"/>
      <c r="KUQ62" s="3461"/>
      <c r="KUR62" s="3461"/>
      <c r="KUS62" s="3461"/>
      <c r="KUT62" s="3461"/>
      <c r="KUU62" s="3461"/>
      <c r="KUV62" s="3461"/>
      <c r="KUW62" s="3461"/>
      <c r="KUX62" s="3461"/>
      <c r="KUY62" s="3461"/>
      <c r="KUZ62" s="3461"/>
      <c r="KVA62" s="3461"/>
      <c r="KVB62" s="3461"/>
      <c r="KVC62" s="3461"/>
      <c r="KVD62" s="3461"/>
      <c r="KVE62" s="3461"/>
      <c r="KVF62" s="3461"/>
      <c r="KVG62" s="3461"/>
      <c r="KVH62" s="3461"/>
      <c r="KVI62" s="3461"/>
      <c r="KVJ62" s="3461"/>
      <c r="KVK62" s="3461"/>
      <c r="KVL62" s="3461"/>
      <c r="KVM62" s="3461"/>
      <c r="KVN62" s="3461"/>
      <c r="KVO62" s="3461"/>
      <c r="KVP62" s="3461"/>
      <c r="KVQ62" s="3461"/>
      <c r="KVR62" s="3461"/>
      <c r="KVS62" s="3461"/>
      <c r="KVT62" s="3461"/>
      <c r="KVU62" s="3461"/>
      <c r="KVV62" s="3461"/>
      <c r="KVW62" s="3461"/>
      <c r="KVX62" s="3461"/>
      <c r="KVY62" s="3461"/>
      <c r="KVZ62" s="3461"/>
      <c r="KWA62" s="3461"/>
      <c r="KWB62" s="3461"/>
      <c r="KWC62" s="3461"/>
      <c r="KWD62" s="3461"/>
      <c r="KWE62" s="3461"/>
      <c r="KWF62" s="3461"/>
      <c r="KWG62" s="3461"/>
      <c r="KWH62" s="3461"/>
      <c r="KWI62" s="3461"/>
      <c r="KWJ62" s="3461"/>
      <c r="KWK62" s="3461"/>
      <c r="KWL62" s="3461"/>
      <c r="KWM62" s="3461"/>
      <c r="KWN62" s="3461"/>
      <c r="KWO62" s="3461"/>
      <c r="KWP62" s="3461"/>
      <c r="KWQ62" s="3461"/>
      <c r="KWR62" s="3461"/>
      <c r="KWS62" s="3461"/>
      <c r="KWT62" s="3461"/>
      <c r="KWU62" s="3461"/>
      <c r="KWV62" s="3461"/>
      <c r="KWW62" s="3461"/>
      <c r="KWX62" s="3461"/>
      <c r="KWY62" s="3461"/>
      <c r="KWZ62" s="3461"/>
      <c r="KXA62" s="3461"/>
      <c r="KXB62" s="3461"/>
      <c r="KXC62" s="3461"/>
      <c r="KXD62" s="3461"/>
      <c r="KXE62" s="3461"/>
      <c r="KXF62" s="3461"/>
      <c r="KXG62" s="3461"/>
      <c r="KXH62" s="3461"/>
      <c r="KXI62" s="3461"/>
      <c r="KXJ62" s="3461"/>
      <c r="KXK62" s="3461"/>
      <c r="KXL62" s="3461"/>
      <c r="KXM62" s="3461"/>
      <c r="KXN62" s="3461"/>
      <c r="KXO62" s="3461"/>
      <c r="KXP62" s="3461"/>
      <c r="KXQ62" s="3461"/>
      <c r="KXR62" s="3461"/>
      <c r="KXS62" s="3461"/>
      <c r="KXT62" s="3461"/>
      <c r="KXU62" s="3461"/>
      <c r="KXV62" s="3461"/>
      <c r="KXW62" s="3461"/>
      <c r="KXX62" s="3461"/>
      <c r="KXY62" s="3461"/>
      <c r="KXZ62" s="3461"/>
      <c r="KYA62" s="3461"/>
      <c r="KYB62" s="3461"/>
      <c r="KYC62" s="3461"/>
      <c r="KYD62" s="3461"/>
      <c r="KYE62" s="3461"/>
      <c r="KYF62" s="3461"/>
      <c r="KYG62" s="3461"/>
      <c r="KYH62" s="3461"/>
      <c r="KYI62" s="3461"/>
      <c r="KYJ62" s="3461"/>
      <c r="KYK62" s="3461"/>
      <c r="KYL62" s="3461"/>
      <c r="KYM62" s="3461"/>
      <c r="KYN62" s="3461"/>
      <c r="KYO62" s="3461"/>
      <c r="KYP62" s="3461"/>
      <c r="KYQ62" s="3461"/>
      <c r="KYR62" s="3461"/>
      <c r="KYS62" s="3461"/>
      <c r="KYT62" s="3461"/>
      <c r="KYU62" s="3461"/>
      <c r="KYV62" s="3461"/>
      <c r="KYW62" s="3461"/>
      <c r="KYX62" s="3461"/>
      <c r="KYY62" s="3461"/>
      <c r="KYZ62" s="3461"/>
      <c r="KZA62" s="3461"/>
      <c r="KZB62" s="3461"/>
      <c r="KZC62" s="3461"/>
      <c r="KZD62" s="3461"/>
      <c r="KZE62" s="3461"/>
      <c r="KZF62" s="3461"/>
      <c r="KZG62" s="3461"/>
      <c r="KZH62" s="3461"/>
      <c r="KZI62" s="3461"/>
      <c r="KZJ62" s="3461"/>
      <c r="KZK62" s="3461"/>
      <c r="KZL62" s="3461"/>
      <c r="KZM62" s="3461"/>
      <c r="KZN62" s="3461"/>
      <c r="KZO62" s="3461"/>
      <c r="KZP62" s="3461"/>
      <c r="KZQ62" s="3461"/>
      <c r="KZR62" s="3461"/>
      <c r="KZS62" s="3461"/>
      <c r="KZT62" s="3461"/>
      <c r="KZU62" s="3461"/>
      <c r="KZV62" s="3461"/>
      <c r="KZW62" s="3461"/>
      <c r="KZX62" s="3461"/>
      <c r="KZY62" s="3461"/>
      <c r="KZZ62" s="3461"/>
      <c r="LAA62" s="3461"/>
      <c r="LAB62" s="3461"/>
      <c r="LAC62" s="3461"/>
      <c r="LAD62" s="3461"/>
      <c r="LAE62" s="3461"/>
      <c r="LAF62" s="3461"/>
      <c r="LAG62" s="3461"/>
      <c r="LAH62" s="3461"/>
      <c r="LAI62" s="3461"/>
      <c r="LAJ62" s="3461"/>
      <c r="LAK62" s="3461"/>
      <c r="LAL62" s="3461"/>
      <c r="LAM62" s="3461"/>
      <c r="LAN62" s="3461"/>
      <c r="LAO62" s="3461"/>
      <c r="LAP62" s="3461"/>
      <c r="LAQ62" s="3461"/>
      <c r="LAR62" s="3461"/>
      <c r="LAS62" s="3461"/>
      <c r="LAT62" s="3461"/>
      <c r="LAU62" s="3461"/>
      <c r="LAV62" s="3461"/>
      <c r="LAW62" s="3461"/>
      <c r="LAX62" s="3461"/>
      <c r="LAY62" s="3461"/>
      <c r="LAZ62" s="3461"/>
      <c r="LBA62" s="3461"/>
      <c r="LBB62" s="3461"/>
      <c r="LBC62" s="3461"/>
      <c r="LBD62" s="3461"/>
      <c r="LBE62" s="3461"/>
      <c r="LBF62" s="3461"/>
      <c r="LBG62" s="3461"/>
      <c r="LBH62" s="3461"/>
      <c r="LBI62" s="3461"/>
      <c r="LBJ62" s="3461"/>
      <c r="LBK62" s="3461"/>
      <c r="LBL62" s="3461"/>
      <c r="LBM62" s="3461"/>
      <c r="LBN62" s="3461"/>
      <c r="LBO62" s="3461"/>
      <c r="LBP62" s="3461"/>
      <c r="LBQ62" s="3461"/>
      <c r="LBR62" s="3461"/>
      <c r="LBS62" s="3461"/>
      <c r="LBT62" s="3461"/>
      <c r="LBU62" s="3461"/>
      <c r="LBV62" s="3461"/>
      <c r="LBW62" s="3461"/>
      <c r="LBX62" s="3461"/>
      <c r="LBY62" s="3461"/>
      <c r="LBZ62" s="3461"/>
      <c r="LCA62" s="3461"/>
      <c r="LCB62" s="3461"/>
      <c r="LCC62" s="3461"/>
      <c r="LCD62" s="3461"/>
      <c r="LCE62" s="3461"/>
      <c r="LCF62" s="3461"/>
      <c r="LCG62" s="3461"/>
      <c r="LCH62" s="3461"/>
      <c r="LCI62" s="3461"/>
      <c r="LCJ62" s="3461"/>
      <c r="LCK62" s="3461"/>
      <c r="LCL62" s="3461"/>
      <c r="LCM62" s="3461"/>
      <c r="LCN62" s="3461"/>
      <c r="LCO62" s="3461"/>
      <c r="LCP62" s="3461"/>
      <c r="LCQ62" s="3461"/>
      <c r="LCR62" s="3461"/>
      <c r="LCS62" s="3461"/>
      <c r="LCT62" s="3461"/>
      <c r="LCU62" s="3461"/>
      <c r="LCV62" s="3461"/>
      <c r="LCW62" s="3461"/>
      <c r="LCX62" s="3461"/>
      <c r="LCY62" s="3461"/>
      <c r="LCZ62" s="3461"/>
      <c r="LDA62" s="3461"/>
      <c r="LDB62" s="3461"/>
      <c r="LDC62" s="3461"/>
      <c r="LDD62" s="3461"/>
      <c r="LDE62" s="3461"/>
      <c r="LDF62" s="3461"/>
      <c r="LDG62" s="3461"/>
      <c r="LDH62" s="3461"/>
      <c r="LDI62" s="3461"/>
      <c r="LDJ62" s="3461"/>
      <c r="LDK62" s="3461"/>
      <c r="LDL62" s="3461"/>
      <c r="LDM62" s="3461"/>
      <c r="LDN62" s="3461"/>
      <c r="LDO62" s="3461"/>
      <c r="LDP62" s="3461"/>
      <c r="LDQ62" s="3461"/>
      <c r="LDR62" s="3461"/>
      <c r="LDS62" s="3461"/>
      <c r="LDT62" s="3461"/>
      <c r="LDU62" s="3461"/>
      <c r="LDV62" s="3461"/>
      <c r="LDW62" s="3461"/>
      <c r="LDX62" s="3461"/>
      <c r="LDY62" s="3461"/>
      <c r="LDZ62" s="3461"/>
      <c r="LEA62" s="3461"/>
      <c r="LEB62" s="3461"/>
      <c r="LEC62" s="3461"/>
      <c r="LED62" s="3461"/>
      <c r="LEE62" s="3461"/>
      <c r="LEF62" s="3461"/>
      <c r="LEG62" s="3461"/>
      <c r="LEH62" s="3461"/>
      <c r="LEI62" s="3461"/>
      <c r="LEJ62" s="3461"/>
      <c r="LEK62" s="3461"/>
      <c r="LEL62" s="3461"/>
      <c r="LEM62" s="3461"/>
      <c r="LEN62" s="3461"/>
      <c r="LEO62" s="3461"/>
      <c r="LEP62" s="3461"/>
      <c r="LEQ62" s="3461"/>
      <c r="LER62" s="3461"/>
      <c r="LES62" s="3461"/>
      <c r="LET62" s="3461"/>
      <c r="LEU62" s="3461"/>
      <c r="LEV62" s="3461"/>
      <c r="LEW62" s="3461"/>
      <c r="LEX62" s="3461"/>
      <c r="LEY62" s="3461"/>
      <c r="LEZ62" s="3461"/>
      <c r="LFA62" s="3461"/>
      <c r="LFB62" s="3461"/>
      <c r="LFC62" s="3461"/>
      <c r="LFD62" s="3461"/>
      <c r="LFE62" s="3461"/>
      <c r="LFF62" s="3461"/>
      <c r="LFG62" s="3461"/>
      <c r="LFH62" s="3461"/>
      <c r="LFI62" s="3461"/>
      <c r="LFJ62" s="3461"/>
      <c r="LFK62" s="3461"/>
      <c r="LFL62" s="3461"/>
      <c r="LFM62" s="3461"/>
      <c r="LFN62" s="3461"/>
      <c r="LFO62" s="3461"/>
      <c r="LFP62" s="3461"/>
      <c r="LFQ62" s="3461"/>
      <c r="LFR62" s="3461"/>
      <c r="LFS62" s="3461"/>
      <c r="LFT62" s="3461"/>
      <c r="LFU62" s="3461"/>
      <c r="LFV62" s="3461"/>
      <c r="LFW62" s="3461"/>
      <c r="LFX62" s="3461"/>
      <c r="LFY62" s="3461"/>
      <c r="LFZ62" s="3461"/>
      <c r="LGA62" s="3461"/>
      <c r="LGB62" s="3461"/>
      <c r="LGC62" s="3461"/>
      <c r="LGD62" s="3461"/>
      <c r="LGE62" s="3461"/>
      <c r="LGF62" s="3461"/>
      <c r="LGG62" s="3461"/>
      <c r="LGH62" s="3461"/>
      <c r="LGI62" s="3461"/>
      <c r="LGJ62" s="3461"/>
      <c r="LGK62" s="3461"/>
      <c r="LGL62" s="3461"/>
      <c r="LGM62" s="3461"/>
      <c r="LGN62" s="3461"/>
      <c r="LGO62" s="3461"/>
      <c r="LGP62" s="3461"/>
      <c r="LGQ62" s="3461"/>
      <c r="LGR62" s="3461"/>
      <c r="LGS62" s="3461"/>
      <c r="LGT62" s="3461"/>
      <c r="LGU62" s="3461"/>
      <c r="LGV62" s="3461"/>
      <c r="LGW62" s="3461"/>
      <c r="LGX62" s="3461"/>
      <c r="LGY62" s="3461"/>
      <c r="LGZ62" s="3461"/>
      <c r="LHA62" s="3461"/>
      <c r="LHB62" s="3461"/>
      <c r="LHC62" s="3461"/>
      <c r="LHD62" s="3461"/>
      <c r="LHE62" s="3461"/>
      <c r="LHF62" s="3461"/>
      <c r="LHG62" s="3461"/>
      <c r="LHH62" s="3461"/>
      <c r="LHI62" s="3461"/>
      <c r="LHJ62" s="3461"/>
      <c r="LHK62" s="3461"/>
      <c r="LHL62" s="3461"/>
      <c r="LHM62" s="3461"/>
      <c r="LHN62" s="3461"/>
      <c r="LHO62" s="3461"/>
      <c r="LHP62" s="3461"/>
      <c r="LHQ62" s="3461"/>
      <c r="LHR62" s="3461"/>
      <c r="LHS62" s="3461"/>
      <c r="LHT62" s="3461"/>
      <c r="LHU62" s="3461"/>
      <c r="LHV62" s="3461"/>
      <c r="LHW62" s="3461"/>
      <c r="LHX62" s="3461"/>
      <c r="LHY62" s="3461"/>
      <c r="LHZ62" s="3461"/>
      <c r="LIA62" s="3461"/>
      <c r="LIB62" s="3461"/>
      <c r="LIC62" s="3461"/>
      <c r="LID62" s="3461"/>
      <c r="LIE62" s="3461"/>
      <c r="LIF62" s="3461"/>
      <c r="LIG62" s="3461"/>
      <c r="LIH62" s="3461"/>
      <c r="LII62" s="3461"/>
      <c r="LIJ62" s="3461"/>
      <c r="LIK62" s="3461"/>
      <c r="LIL62" s="3461"/>
      <c r="LIM62" s="3461"/>
      <c r="LIN62" s="3461"/>
      <c r="LIO62" s="3461"/>
      <c r="LIP62" s="3461"/>
      <c r="LIQ62" s="3461"/>
      <c r="LIR62" s="3461"/>
      <c r="LIS62" s="3461"/>
      <c r="LIT62" s="3461"/>
      <c r="LIU62" s="3461"/>
      <c r="LIV62" s="3461"/>
      <c r="LIW62" s="3461"/>
      <c r="LIX62" s="3461"/>
      <c r="LIY62" s="3461"/>
      <c r="LIZ62" s="3461"/>
      <c r="LJA62" s="3461"/>
      <c r="LJB62" s="3461"/>
      <c r="LJC62" s="3461"/>
      <c r="LJD62" s="3461"/>
      <c r="LJE62" s="3461"/>
      <c r="LJF62" s="3461"/>
      <c r="LJG62" s="3461"/>
      <c r="LJH62" s="3461"/>
      <c r="LJI62" s="3461"/>
      <c r="LJJ62" s="3461"/>
      <c r="LJK62" s="3461"/>
      <c r="LJL62" s="3461"/>
      <c r="LJM62" s="3461"/>
      <c r="LJN62" s="3461"/>
      <c r="LJO62" s="3461"/>
      <c r="LJP62" s="3461"/>
      <c r="LJQ62" s="3461"/>
      <c r="LJR62" s="3461"/>
      <c r="LJS62" s="3461"/>
      <c r="LJT62" s="3461"/>
      <c r="LJU62" s="3461"/>
      <c r="LJV62" s="3461"/>
      <c r="LJW62" s="3461"/>
      <c r="LJX62" s="3461"/>
      <c r="LJY62" s="3461"/>
      <c r="LJZ62" s="3461"/>
      <c r="LKA62" s="3461"/>
      <c r="LKB62" s="3461"/>
      <c r="LKC62" s="3461"/>
      <c r="LKD62" s="3461"/>
      <c r="LKE62" s="3461"/>
      <c r="LKF62" s="3461"/>
      <c r="LKG62" s="3461"/>
      <c r="LKH62" s="3461"/>
      <c r="LKI62" s="3461"/>
      <c r="LKJ62" s="3461"/>
      <c r="LKK62" s="3461"/>
      <c r="LKL62" s="3461"/>
      <c r="LKM62" s="3461"/>
      <c r="LKN62" s="3461"/>
      <c r="LKO62" s="3461"/>
      <c r="LKP62" s="3461"/>
      <c r="LKQ62" s="3461"/>
      <c r="LKR62" s="3461"/>
      <c r="LKS62" s="3461"/>
      <c r="LKT62" s="3461"/>
      <c r="LKU62" s="3461"/>
      <c r="LKV62" s="3461"/>
      <c r="LKW62" s="3461"/>
      <c r="LKX62" s="3461"/>
      <c r="LKY62" s="3461"/>
      <c r="LKZ62" s="3461"/>
      <c r="LLA62" s="3461"/>
      <c r="LLB62" s="3461"/>
      <c r="LLC62" s="3461"/>
      <c r="LLD62" s="3461"/>
      <c r="LLE62" s="3461"/>
      <c r="LLF62" s="3461"/>
      <c r="LLG62" s="3461"/>
      <c r="LLH62" s="3461"/>
      <c r="LLI62" s="3461"/>
      <c r="LLJ62" s="3461"/>
      <c r="LLK62" s="3461"/>
      <c r="LLL62" s="3461"/>
      <c r="LLM62" s="3461"/>
      <c r="LLN62" s="3461"/>
      <c r="LLO62" s="3461"/>
      <c r="LLP62" s="3461"/>
      <c r="LLQ62" s="3461"/>
      <c r="LLR62" s="3461"/>
      <c r="LLS62" s="3461"/>
      <c r="LLT62" s="3461"/>
      <c r="LLU62" s="3461"/>
      <c r="LLV62" s="3461"/>
      <c r="LLW62" s="3461"/>
      <c r="LLX62" s="3461"/>
      <c r="LLY62" s="3461"/>
      <c r="LLZ62" s="3461"/>
      <c r="LMA62" s="3461"/>
      <c r="LMB62" s="3461"/>
      <c r="LMC62" s="3461"/>
      <c r="LMD62" s="3461"/>
      <c r="LME62" s="3461"/>
      <c r="LMF62" s="3461"/>
      <c r="LMG62" s="3461"/>
      <c r="LMH62" s="3461"/>
      <c r="LMI62" s="3461"/>
      <c r="LMJ62" s="3461"/>
      <c r="LMK62" s="3461"/>
      <c r="LML62" s="3461"/>
      <c r="LMM62" s="3461"/>
      <c r="LMN62" s="3461"/>
      <c r="LMO62" s="3461"/>
      <c r="LMP62" s="3461"/>
      <c r="LMQ62" s="3461"/>
      <c r="LMR62" s="3461"/>
      <c r="LMS62" s="3461"/>
      <c r="LMT62" s="3461"/>
      <c r="LMU62" s="3461"/>
      <c r="LMV62" s="3461"/>
      <c r="LMW62" s="3461"/>
      <c r="LMX62" s="3461"/>
      <c r="LMY62" s="3461"/>
      <c r="LMZ62" s="3461"/>
      <c r="LNA62" s="3461"/>
      <c r="LNB62" s="3461"/>
      <c r="LNC62" s="3461"/>
      <c r="LND62" s="3461"/>
      <c r="LNE62" s="3461"/>
      <c r="LNF62" s="3461"/>
      <c r="LNG62" s="3461"/>
      <c r="LNH62" s="3461"/>
      <c r="LNI62" s="3461"/>
      <c r="LNJ62" s="3461"/>
      <c r="LNK62" s="3461"/>
      <c r="LNL62" s="3461"/>
      <c r="LNM62" s="3461"/>
      <c r="LNN62" s="3461"/>
      <c r="LNO62" s="3461"/>
      <c r="LNP62" s="3461"/>
      <c r="LNQ62" s="3461"/>
      <c r="LNR62" s="3461"/>
      <c r="LNS62" s="3461"/>
      <c r="LNT62" s="3461"/>
      <c r="LNU62" s="3461"/>
      <c r="LNV62" s="3461"/>
      <c r="LNW62" s="3461"/>
      <c r="LNX62" s="3461"/>
      <c r="LNY62" s="3461"/>
      <c r="LNZ62" s="3461"/>
      <c r="LOA62" s="3461"/>
      <c r="LOB62" s="3461"/>
      <c r="LOC62" s="3461"/>
      <c r="LOD62" s="3461"/>
      <c r="LOE62" s="3461"/>
      <c r="LOF62" s="3461"/>
      <c r="LOG62" s="3461"/>
      <c r="LOH62" s="3461"/>
      <c r="LOI62" s="3461"/>
      <c r="LOJ62" s="3461"/>
      <c r="LOK62" s="3461"/>
      <c r="LOL62" s="3461"/>
      <c r="LOM62" s="3461"/>
      <c r="LON62" s="3461"/>
      <c r="LOO62" s="3461"/>
      <c r="LOP62" s="3461"/>
      <c r="LOQ62" s="3461"/>
      <c r="LOR62" s="3461"/>
      <c r="LOS62" s="3461"/>
      <c r="LOT62" s="3461"/>
      <c r="LOU62" s="3461"/>
      <c r="LOV62" s="3461"/>
      <c r="LOW62" s="3461"/>
      <c r="LOX62" s="3461"/>
      <c r="LOY62" s="3461"/>
      <c r="LOZ62" s="3461"/>
      <c r="LPA62" s="3461"/>
      <c r="LPB62" s="3461"/>
      <c r="LPC62" s="3461"/>
      <c r="LPD62" s="3461"/>
      <c r="LPE62" s="3461"/>
      <c r="LPF62" s="3461"/>
      <c r="LPG62" s="3461"/>
      <c r="LPH62" s="3461"/>
      <c r="LPI62" s="3461"/>
      <c r="LPJ62" s="3461"/>
      <c r="LPK62" s="3461"/>
      <c r="LPL62" s="3461"/>
      <c r="LPM62" s="3461"/>
      <c r="LPN62" s="3461"/>
      <c r="LPO62" s="3461"/>
      <c r="LPP62" s="3461"/>
      <c r="LPQ62" s="3461"/>
      <c r="LPR62" s="3461"/>
      <c r="LPS62" s="3461"/>
      <c r="LPT62" s="3461"/>
      <c r="LPU62" s="3461"/>
      <c r="LPV62" s="3461"/>
      <c r="LPW62" s="3461"/>
      <c r="LPX62" s="3461"/>
      <c r="LPY62" s="3461"/>
      <c r="LPZ62" s="3461"/>
      <c r="LQA62" s="3461"/>
      <c r="LQB62" s="3461"/>
      <c r="LQC62" s="3461"/>
      <c r="LQD62" s="3461"/>
      <c r="LQE62" s="3461"/>
      <c r="LQF62" s="3461"/>
      <c r="LQG62" s="3461"/>
      <c r="LQH62" s="3461"/>
      <c r="LQI62" s="3461"/>
      <c r="LQJ62" s="3461"/>
      <c r="LQK62" s="3461"/>
      <c r="LQL62" s="3461"/>
      <c r="LQM62" s="3461"/>
      <c r="LQN62" s="3461"/>
      <c r="LQO62" s="3461"/>
      <c r="LQP62" s="3461"/>
      <c r="LQQ62" s="3461"/>
      <c r="LQR62" s="3461"/>
      <c r="LQS62" s="3461"/>
      <c r="LQT62" s="3461"/>
      <c r="LQU62" s="3461"/>
      <c r="LQV62" s="3461"/>
      <c r="LQW62" s="3461"/>
      <c r="LQX62" s="3461"/>
      <c r="LQY62" s="3461"/>
      <c r="LQZ62" s="3461"/>
      <c r="LRA62" s="3461"/>
      <c r="LRB62" s="3461"/>
      <c r="LRC62" s="3461"/>
      <c r="LRD62" s="3461"/>
      <c r="LRE62" s="3461"/>
      <c r="LRF62" s="3461"/>
      <c r="LRG62" s="3461"/>
      <c r="LRH62" s="3461"/>
      <c r="LRI62" s="3461"/>
      <c r="LRJ62" s="3461"/>
      <c r="LRK62" s="3461"/>
      <c r="LRL62" s="3461"/>
      <c r="LRM62" s="3461"/>
      <c r="LRN62" s="3461"/>
      <c r="LRO62" s="3461"/>
      <c r="LRP62" s="3461"/>
      <c r="LRQ62" s="3461"/>
      <c r="LRR62" s="3461"/>
      <c r="LRS62" s="3461"/>
      <c r="LRT62" s="3461"/>
      <c r="LRU62" s="3461"/>
      <c r="LRV62" s="3461"/>
      <c r="LRW62" s="3461"/>
      <c r="LRX62" s="3461"/>
      <c r="LRY62" s="3461"/>
      <c r="LRZ62" s="3461"/>
      <c r="LSA62" s="3461"/>
      <c r="LSB62" s="3461"/>
      <c r="LSC62" s="3461"/>
      <c r="LSD62" s="3461"/>
      <c r="LSE62" s="3461"/>
      <c r="LSF62" s="3461"/>
      <c r="LSG62" s="3461"/>
      <c r="LSH62" s="3461"/>
      <c r="LSI62" s="3461"/>
      <c r="LSJ62" s="3461"/>
      <c r="LSK62" s="3461"/>
      <c r="LSL62" s="3461"/>
      <c r="LSM62" s="3461"/>
      <c r="LSN62" s="3461"/>
      <c r="LSO62" s="3461"/>
      <c r="LSP62" s="3461"/>
      <c r="LSQ62" s="3461"/>
      <c r="LSR62" s="3461"/>
      <c r="LSS62" s="3461"/>
      <c r="LST62" s="3461"/>
      <c r="LSU62" s="3461"/>
      <c r="LSV62" s="3461"/>
      <c r="LSW62" s="3461"/>
      <c r="LSX62" s="3461"/>
      <c r="LSY62" s="3461"/>
      <c r="LSZ62" s="3461"/>
      <c r="LTA62" s="3461"/>
      <c r="LTB62" s="3461"/>
      <c r="LTC62" s="3461"/>
      <c r="LTD62" s="3461"/>
      <c r="LTE62" s="3461"/>
      <c r="LTF62" s="3461"/>
      <c r="LTG62" s="3461"/>
      <c r="LTH62" s="3461"/>
      <c r="LTI62" s="3461"/>
      <c r="LTJ62" s="3461"/>
      <c r="LTK62" s="3461"/>
      <c r="LTL62" s="3461"/>
      <c r="LTM62" s="3461"/>
      <c r="LTN62" s="3461"/>
      <c r="LTO62" s="3461"/>
      <c r="LTP62" s="3461"/>
      <c r="LTQ62" s="3461"/>
      <c r="LTR62" s="3461"/>
      <c r="LTS62" s="3461"/>
      <c r="LTT62" s="3461"/>
      <c r="LTU62" s="3461"/>
      <c r="LTV62" s="3461"/>
      <c r="LTW62" s="3461"/>
      <c r="LTX62" s="3461"/>
      <c r="LTY62" s="3461"/>
      <c r="LTZ62" s="3461"/>
      <c r="LUA62" s="3461"/>
      <c r="LUB62" s="3461"/>
      <c r="LUC62" s="3461"/>
      <c r="LUD62" s="3461"/>
      <c r="LUE62" s="3461"/>
      <c r="LUF62" s="3461"/>
      <c r="LUG62" s="3461"/>
      <c r="LUH62" s="3461"/>
      <c r="LUI62" s="3461"/>
      <c r="LUJ62" s="3461"/>
      <c r="LUK62" s="3461"/>
      <c r="LUL62" s="3461"/>
      <c r="LUM62" s="3461"/>
      <c r="LUN62" s="3461"/>
      <c r="LUO62" s="3461"/>
      <c r="LUP62" s="3461"/>
      <c r="LUQ62" s="3461"/>
      <c r="LUR62" s="3461"/>
      <c r="LUS62" s="3461"/>
      <c r="LUT62" s="3461"/>
      <c r="LUU62" s="3461"/>
      <c r="LUV62" s="3461"/>
      <c r="LUW62" s="3461"/>
      <c r="LUX62" s="3461"/>
      <c r="LUY62" s="3461"/>
      <c r="LUZ62" s="3461"/>
      <c r="LVA62" s="3461"/>
      <c r="LVB62" s="3461"/>
      <c r="LVC62" s="3461"/>
      <c r="LVD62" s="3461"/>
      <c r="LVE62" s="3461"/>
      <c r="LVF62" s="3461"/>
      <c r="LVG62" s="3461"/>
      <c r="LVH62" s="3461"/>
      <c r="LVI62" s="3461"/>
      <c r="LVJ62" s="3461"/>
      <c r="LVK62" s="3461"/>
      <c r="LVL62" s="3461"/>
      <c r="LVM62" s="3461"/>
      <c r="LVN62" s="3461"/>
      <c r="LVO62" s="3461"/>
      <c r="LVP62" s="3461"/>
      <c r="LVQ62" s="3461"/>
      <c r="LVR62" s="3461"/>
      <c r="LVS62" s="3461"/>
      <c r="LVT62" s="3461"/>
      <c r="LVU62" s="3461"/>
      <c r="LVV62" s="3461"/>
      <c r="LVW62" s="3461"/>
      <c r="LVX62" s="3461"/>
      <c r="LVY62" s="3461"/>
      <c r="LVZ62" s="3461"/>
      <c r="LWA62" s="3461"/>
      <c r="LWB62" s="3461"/>
      <c r="LWC62" s="3461"/>
      <c r="LWD62" s="3461"/>
      <c r="LWE62" s="3461"/>
      <c r="LWF62" s="3461"/>
      <c r="LWG62" s="3461"/>
      <c r="LWH62" s="3461"/>
      <c r="LWI62" s="3461"/>
      <c r="LWJ62" s="3461"/>
      <c r="LWK62" s="3461"/>
      <c r="LWL62" s="3461"/>
      <c r="LWM62" s="3461"/>
      <c r="LWN62" s="3461"/>
      <c r="LWO62" s="3461"/>
      <c r="LWP62" s="3461"/>
      <c r="LWQ62" s="3461"/>
      <c r="LWR62" s="3461"/>
      <c r="LWS62" s="3461"/>
      <c r="LWT62" s="3461"/>
      <c r="LWU62" s="3461"/>
      <c r="LWV62" s="3461"/>
      <c r="LWW62" s="3461"/>
      <c r="LWX62" s="3461"/>
      <c r="LWY62" s="3461"/>
      <c r="LWZ62" s="3461"/>
      <c r="LXA62" s="3461"/>
      <c r="LXB62" s="3461"/>
      <c r="LXC62" s="3461"/>
      <c r="LXD62" s="3461"/>
      <c r="LXE62" s="3461"/>
      <c r="LXF62" s="3461"/>
      <c r="LXG62" s="3461"/>
      <c r="LXH62" s="3461"/>
      <c r="LXI62" s="3461"/>
      <c r="LXJ62" s="3461"/>
      <c r="LXK62" s="3461"/>
      <c r="LXL62" s="3461"/>
      <c r="LXM62" s="3461"/>
      <c r="LXN62" s="3461"/>
      <c r="LXO62" s="3461"/>
      <c r="LXP62" s="3461"/>
      <c r="LXQ62" s="3461"/>
      <c r="LXR62" s="3461"/>
      <c r="LXS62" s="3461"/>
      <c r="LXT62" s="3461"/>
      <c r="LXU62" s="3461"/>
      <c r="LXV62" s="3461"/>
      <c r="LXW62" s="3461"/>
      <c r="LXX62" s="3461"/>
      <c r="LXY62" s="3461"/>
      <c r="LXZ62" s="3461"/>
      <c r="LYA62" s="3461"/>
      <c r="LYB62" s="3461"/>
      <c r="LYC62" s="3461"/>
      <c r="LYD62" s="3461"/>
      <c r="LYE62" s="3461"/>
      <c r="LYF62" s="3461"/>
      <c r="LYG62" s="3461"/>
      <c r="LYH62" s="3461"/>
      <c r="LYI62" s="3461"/>
      <c r="LYJ62" s="3461"/>
      <c r="LYK62" s="3461"/>
      <c r="LYL62" s="3461"/>
      <c r="LYM62" s="3461"/>
      <c r="LYN62" s="3461"/>
      <c r="LYO62" s="3461"/>
      <c r="LYP62" s="3461"/>
      <c r="LYQ62" s="3461"/>
      <c r="LYR62" s="3461"/>
      <c r="LYS62" s="3461"/>
      <c r="LYT62" s="3461"/>
      <c r="LYU62" s="3461"/>
      <c r="LYV62" s="3461"/>
      <c r="LYW62" s="3461"/>
      <c r="LYX62" s="3461"/>
      <c r="LYY62" s="3461"/>
      <c r="LYZ62" s="3461"/>
      <c r="LZA62" s="3461"/>
      <c r="LZB62" s="3461"/>
      <c r="LZC62" s="3461"/>
      <c r="LZD62" s="3461"/>
      <c r="LZE62" s="3461"/>
      <c r="LZF62" s="3461"/>
      <c r="LZG62" s="3461"/>
      <c r="LZH62" s="3461"/>
      <c r="LZI62" s="3461"/>
      <c r="LZJ62" s="3461"/>
      <c r="LZK62" s="3461"/>
      <c r="LZL62" s="3461"/>
      <c r="LZM62" s="3461"/>
      <c r="LZN62" s="3461"/>
      <c r="LZO62" s="3461"/>
      <c r="LZP62" s="3461"/>
      <c r="LZQ62" s="3461"/>
      <c r="LZR62" s="3461"/>
      <c r="LZS62" s="3461"/>
      <c r="LZT62" s="3461"/>
      <c r="LZU62" s="3461"/>
      <c r="LZV62" s="3461"/>
      <c r="LZW62" s="3461"/>
      <c r="LZX62" s="3461"/>
      <c r="LZY62" s="3461"/>
      <c r="LZZ62" s="3461"/>
      <c r="MAA62" s="3461"/>
      <c r="MAB62" s="3461"/>
      <c r="MAC62" s="3461"/>
      <c r="MAD62" s="3461"/>
      <c r="MAE62" s="3461"/>
      <c r="MAF62" s="3461"/>
      <c r="MAG62" s="3461"/>
      <c r="MAH62" s="3461"/>
      <c r="MAI62" s="3461"/>
      <c r="MAJ62" s="3461"/>
      <c r="MAK62" s="3461"/>
      <c r="MAL62" s="3461"/>
      <c r="MAM62" s="3461"/>
      <c r="MAN62" s="3461"/>
      <c r="MAO62" s="3461"/>
      <c r="MAP62" s="3461"/>
      <c r="MAQ62" s="3461"/>
      <c r="MAR62" s="3461"/>
      <c r="MAS62" s="3461"/>
      <c r="MAT62" s="3461"/>
      <c r="MAU62" s="3461"/>
      <c r="MAV62" s="3461"/>
      <c r="MAW62" s="3461"/>
      <c r="MAX62" s="3461"/>
      <c r="MAY62" s="3461"/>
      <c r="MAZ62" s="3461"/>
      <c r="MBA62" s="3461"/>
      <c r="MBB62" s="3461"/>
      <c r="MBC62" s="3461"/>
      <c r="MBD62" s="3461"/>
      <c r="MBE62" s="3461"/>
      <c r="MBF62" s="3461"/>
      <c r="MBG62" s="3461"/>
      <c r="MBH62" s="3461"/>
      <c r="MBI62" s="3461"/>
      <c r="MBJ62" s="3461"/>
      <c r="MBK62" s="3461"/>
      <c r="MBL62" s="3461"/>
      <c r="MBM62" s="3461"/>
      <c r="MBN62" s="3461"/>
      <c r="MBO62" s="3461"/>
      <c r="MBP62" s="3461"/>
      <c r="MBQ62" s="3461"/>
      <c r="MBR62" s="3461"/>
      <c r="MBS62" s="3461"/>
      <c r="MBT62" s="3461"/>
      <c r="MBU62" s="3461"/>
      <c r="MBV62" s="3461"/>
      <c r="MBW62" s="3461"/>
      <c r="MBX62" s="3461"/>
      <c r="MBY62" s="3461"/>
      <c r="MBZ62" s="3461"/>
      <c r="MCA62" s="3461"/>
      <c r="MCB62" s="3461"/>
      <c r="MCC62" s="3461"/>
      <c r="MCD62" s="3461"/>
      <c r="MCE62" s="3461"/>
      <c r="MCF62" s="3461"/>
      <c r="MCG62" s="3461"/>
      <c r="MCH62" s="3461"/>
      <c r="MCI62" s="3461"/>
      <c r="MCJ62" s="3461"/>
      <c r="MCK62" s="3461"/>
      <c r="MCL62" s="3461"/>
      <c r="MCM62" s="3461"/>
      <c r="MCN62" s="3461"/>
      <c r="MCO62" s="3461"/>
      <c r="MCP62" s="3461"/>
      <c r="MCQ62" s="3461"/>
      <c r="MCR62" s="3461"/>
      <c r="MCS62" s="3461"/>
      <c r="MCT62" s="3461"/>
      <c r="MCU62" s="3461"/>
      <c r="MCV62" s="3461"/>
      <c r="MCW62" s="3461"/>
      <c r="MCX62" s="3461"/>
      <c r="MCY62" s="3461"/>
      <c r="MCZ62" s="3461"/>
      <c r="MDA62" s="3461"/>
      <c r="MDB62" s="3461"/>
      <c r="MDC62" s="3461"/>
      <c r="MDD62" s="3461"/>
      <c r="MDE62" s="3461"/>
      <c r="MDF62" s="3461"/>
      <c r="MDG62" s="3461"/>
      <c r="MDH62" s="3461"/>
      <c r="MDI62" s="3461"/>
      <c r="MDJ62" s="3461"/>
      <c r="MDK62" s="3461"/>
      <c r="MDL62" s="3461"/>
      <c r="MDM62" s="3461"/>
      <c r="MDN62" s="3461"/>
      <c r="MDO62" s="3461"/>
      <c r="MDP62" s="3461"/>
      <c r="MDQ62" s="3461"/>
      <c r="MDR62" s="3461"/>
      <c r="MDS62" s="3461"/>
      <c r="MDT62" s="3461"/>
      <c r="MDU62" s="3461"/>
      <c r="MDV62" s="3461"/>
      <c r="MDW62" s="3461"/>
      <c r="MDX62" s="3461"/>
      <c r="MDY62" s="3461"/>
      <c r="MDZ62" s="3461"/>
      <c r="MEA62" s="3461"/>
      <c r="MEB62" s="3461"/>
      <c r="MEC62" s="3461"/>
      <c r="MED62" s="3461"/>
      <c r="MEE62" s="3461"/>
      <c r="MEF62" s="3461"/>
      <c r="MEG62" s="3461"/>
      <c r="MEH62" s="3461"/>
      <c r="MEI62" s="3461"/>
      <c r="MEJ62" s="3461"/>
      <c r="MEK62" s="3461"/>
      <c r="MEL62" s="3461"/>
      <c r="MEM62" s="3461"/>
      <c r="MEN62" s="3461"/>
      <c r="MEO62" s="3461"/>
      <c r="MEP62" s="3461"/>
      <c r="MEQ62" s="3461"/>
      <c r="MER62" s="3461"/>
      <c r="MES62" s="3461"/>
      <c r="MET62" s="3461"/>
      <c r="MEU62" s="3461"/>
      <c r="MEV62" s="3461"/>
      <c r="MEW62" s="3461"/>
      <c r="MEX62" s="3461"/>
      <c r="MEY62" s="3461"/>
      <c r="MEZ62" s="3461"/>
      <c r="MFA62" s="3461"/>
      <c r="MFB62" s="3461"/>
      <c r="MFC62" s="3461"/>
      <c r="MFD62" s="3461"/>
      <c r="MFE62" s="3461"/>
      <c r="MFF62" s="3461"/>
      <c r="MFG62" s="3461"/>
      <c r="MFH62" s="3461"/>
      <c r="MFI62" s="3461"/>
      <c r="MFJ62" s="3461"/>
      <c r="MFK62" s="3461"/>
      <c r="MFL62" s="3461"/>
      <c r="MFM62" s="3461"/>
      <c r="MFN62" s="3461"/>
      <c r="MFO62" s="3461"/>
      <c r="MFP62" s="3461"/>
      <c r="MFQ62" s="3461"/>
      <c r="MFR62" s="3461"/>
      <c r="MFS62" s="3461"/>
      <c r="MFT62" s="3461"/>
      <c r="MFU62" s="3461"/>
      <c r="MFV62" s="3461"/>
      <c r="MFW62" s="3461"/>
      <c r="MFX62" s="3461"/>
      <c r="MFY62" s="3461"/>
      <c r="MFZ62" s="3461"/>
      <c r="MGA62" s="3461"/>
      <c r="MGB62" s="3461"/>
      <c r="MGC62" s="3461"/>
      <c r="MGD62" s="3461"/>
      <c r="MGE62" s="3461"/>
      <c r="MGF62" s="3461"/>
      <c r="MGG62" s="3461"/>
      <c r="MGH62" s="3461"/>
      <c r="MGI62" s="3461"/>
      <c r="MGJ62" s="3461"/>
      <c r="MGK62" s="3461"/>
      <c r="MGL62" s="3461"/>
      <c r="MGM62" s="3461"/>
      <c r="MGN62" s="3461"/>
      <c r="MGO62" s="3461"/>
      <c r="MGP62" s="3461"/>
      <c r="MGQ62" s="3461"/>
      <c r="MGR62" s="3461"/>
      <c r="MGS62" s="3461"/>
      <c r="MGT62" s="3461"/>
      <c r="MGU62" s="3461"/>
      <c r="MGV62" s="3461"/>
      <c r="MGW62" s="3461"/>
      <c r="MGX62" s="3461"/>
      <c r="MGY62" s="3461"/>
      <c r="MGZ62" s="3461"/>
      <c r="MHA62" s="3461"/>
      <c r="MHB62" s="3461"/>
      <c r="MHC62" s="3461"/>
      <c r="MHD62" s="3461"/>
      <c r="MHE62" s="3461"/>
      <c r="MHF62" s="3461"/>
      <c r="MHG62" s="3461"/>
      <c r="MHH62" s="3461"/>
      <c r="MHI62" s="3461"/>
      <c r="MHJ62" s="3461"/>
      <c r="MHK62" s="3461"/>
      <c r="MHL62" s="3461"/>
      <c r="MHM62" s="3461"/>
      <c r="MHN62" s="3461"/>
      <c r="MHO62" s="3461"/>
      <c r="MHP62" s="3461"/>
      <c r="MHQ62" s="3461"/>
      <c r="MHR62" s="3461"/>
      <c r="MHS62" s="3461"/>
      <c r="MHT62" s="3461"/>
      <c r="MHU62" s="3461"/>
      <c r="MHV62" s="3461"/>
      <c r="MHW62" s="3461"/>
      <c r="MHX62" s="3461"/>
      <c r="MHY62" s="3461"/>
      <c r="MHZ62" s="3461"/>
      <c r="MIA62" s="3461"/>
      <c r="MIB62" s="3461"/>
      <c r="MIC62" s="3461"/>
      <c r="MID62" s="3461"/>
      <c r="MIE62" s="3461"/>
      <c r="MIF62" s="3461"/>
      <c r="MIG62" s="3461"/>
      <c r="MIH62" s="3461"/>
      <c r="MII62" s="3461"/>
      <c r="MIJ62" s="3461"/>
      <c r="MIK62" s="3461"/>
      <c r="MIL62" s="3461"/>
      <c r="MIM62" s="3461"/>
      <c r="MIN62" s="3461"/>
      <c r="MIO62" s="3461"/>
      <c r="MIP62" s="3461"/>
      <c r="MIQ62" s="3461"/>
      <c r="MIR62" s="3461"/>
      <c r="MIS62" s="3461"/>
      <c r="MIT62" s="3461"/>
      <c r="MIU62" s="3461"/>
      <c r="MIV62" s="3461"/>
      <c r="MIW62" s="3461"/>
      <c r="MIX62" s="3461"/>
      <c r="MIY62" s="3461"/>
      <c r="MIZ62" s="3461"/>
      <c r="MJA62" s="3461"/>
      <c r="MJB62" s="3461"/>
      <c r="MJC62" s="3461"/>
      <c r="MJD62" s="3461"/>
      <c r="MJE62" s="3461"/>
      <c r="MJF62" s="3461"/>
      <c r="MJG62" s="3461"/>
      <c r="MJH62" s="3461"/>
      <c r="MJI62" s="3461"/>
      <c r="MJJ62" s="3461"/>
      <c r="MJK62" s="3461"/>
      <c r="MJL62" s="3461"/>
      <c r="MJM62" s="3461"/>
      <c r="MJN62" s="3461"/>
      <c r="MJO62" s="3461"/>
      <c r="MJP62" s="3461"/>
      <c r="MJQ62" s="3461"/>
      <c r="MJR62" s="3461"/>
      <c r="MJS62" s="3461"/>
      <c r="MJT62" s="3461"/>
      <c r="MJU62" s="3461"/>
      <c r="MJV62" s="3461"/>
      <c r="MJW62" s="3461"/>
      <c r="MJX62" s="3461"/>
      <c r="MJY62" s="3461"/>
      <c r="MJZ62" s="3461"/>
      <c r="MKA62" s="3461"/>
      <c r="MKB62" s="3461"/>
      <c r="MKC62" s="3461"/>
      <c r="MKD62" s="3461"/>
      <c r="MKE62" s="3461"/>
      <c r="MKF62" s="3461"/>
      <c r="MKG62" s="3461"/>
      <c r="MKH62" s="3461"/>
      <c r="MKI62" s="3461"/>
      <c r="MKJ62" s="3461"/>
      <c r="MKK62" s="3461"/>
      <c r="MKL62" s="3461"/>
      <c r="MKM62" s="3461"/>
      <c r="MKN62" s="3461"/>
      <c r="MKO62" s="3461"/>
      <c r="MKP62" s="3461"/>
      <c r="MKQ62" s="3461"/>
      <c r="MKR62" s="3461"/>
      <c r="MKS62" s="3461"/>
      <c r="MKT62" s="3461"/>
      <c r="MKU62" s="3461"/>
      <c r="MKV62" s="3461"/>
      <c r="MKW62" s="3461"/>
      <c r="MKX62" s="3461"/>
      <c r="MKY62" s="3461"/>
      <c r="MKZ62" s="3461"/>
      <c r="MLA62" s="3461"/>
      <c r="MLB62" s="3461"/>
      <c r="MLC62" s="3461"/>
      <c r="MLD62" s="3461"/>
      <c r="MLE62" s="3461"/>
      <c r="MLF62" s="3461"/>
      <c r="MLG62" s="3461"/>
      <c r="MLH62" s="3461"/>
      <c r="MLI62" s="3461"/>
      <c r="MLJ62" s="3461"/>
      <c r="MLK62" s="3461"/>
      <c r="MLL62" s="3461"/>
      <c r="MLM62" s="3461"/>
      <c r="MLN62" s="3461"/>
      <c r="MLO62" s="3461"/>
      <c r="MLP62" s="3461"/>
      <c r="MLQ62" s="3461"/>
      <c r="MLR62" s="3461"/>
      <c r="MLS62" s="3461"/>
      <c r="MLT62" s="3461"/>
      <c r="MLU62" s="3461"/>
      <c r="MLV62" s="3461"/>
      <c r="MLW62" s="3461"/>
      <c r="MLX62" s="3461"/>
      <c r="MLY62" s="3461"/>
      <c r="MLZ62" s="3461"/>
      <c r="MMA62" s="3461"/>
      <c r="MMB62" s="3461"/>
      <c r="MMC62" s="3461"/>
      <c r="MMD62" s="3461"/>
      <c r="MME62" s="3461"/>
      <c r="MMF62" s="3461"/>
      <c r="MMG62" s="3461"/>
      <c r="MMH62" s="3461"/>
      <c r="MMI62" s="3461"/>
      <c r="MMJ62" s="3461"/>
      <c r="MMK62" s="3461"/>
      <c r="MML62" s="3461"/>
      <c r="MMM62" s="3461"/>
      <c r="MMN62" s="3461"/>
      <c r="MMO62" s="3461"/>
      <c r="MMP62" s="3461"/>
      <c r="MMQ62" s="3461"/>
      <c r="MMR62" s="3461"/>
      <c r="MMS62" s="3461"/>
      <c r="MMT62" s="3461"/>
      <c r="MMU62" s="3461"/>
      <c r="MMV62" s="3461"/>
      <c r="MMW62" s="3461"/>
      <c r="MMX62" s="3461"/>
      <c r="MMY62" s="3461"/>
      <c r="MMZ62" s="3461"/>
      <c r="MNA62" s="3461"/>
      <c r="MNB62" s="3461"/>
      <c r="MNC62" s="3461"/>
      <c r="MND62" s="3461"/>
      <c r="MNE62" s="3461"/>
      <c r="MNF62" s="3461"/>
      <c r="MNG62" s="3461"/>
      <c r="MNH62" s="3461"/>
      <c r="MNI62" s="3461"/>
      <c r="MNJ62" s="3461"/>
      <c r="MNK62" s="3461"/>
      <c r="MNL62" s="3461"/>
      <c r="MNM62" s="3461"/>
      <c r="MNN62" s="3461"/>
      <c r="MNO62" s="3461"/>
      <c r="MNP62" s="3461"/>
      <c r="MNQ62" s="3461"/>
      <c r="MNR62" s="3461"/>
      <c r="MNS62" s="3461"/>
      <c r="MNT62" s="3461"/>
      <c r="MNU62" s="3461"/>
      <c r="MNV62" s="3461"/>
      <c r="MNW62" s="3461"/>
      <c r="MNX62" s="3461"/>
      <c r="MNY62" s="3461"/>
      <c r="MNZ62" s="3461"/>
      <c r="MOA62" s="3461"/>
      <c r="MOB62" s="3461"/>
      <c r="MOC62" s="3461"/>
      <c r="MOD62" s="3461"/>
      <c r="MOE62" s="3461"/>
      <c r="MOF62" s="3461"/>
      <c r="MOG62" s="3461"/>
      <c r="MOH62" s="3461"/>
      <c r="MOI62" s="3461"/>
      <c r="MOJ62" s="3461"/>
      <c r="MOK62" s="3461"/>
      <c r="MOL62" s="3461"/>
      <c r="MOM62" s="3461"/>
      <c r="MON62" s="3461"/>
      <c r="MOO62" s="3461"/>
      <c r="MOP62" s="3461"/>
      <c r="MOQ62" s="3461"/>
      <c r="MOR62" s="3461"/>
      <c r="MOS62" s="3461"/>
      <c r="MOT62" s="3461"/>
      <c r="MOU62" s="3461"/>
      <c r="MOV62" s="3461"/>
      <c r="MOW62" s="3461"/>
      <c r="MOX62" s="3461"/>
      <c r="MOY62" s="3461"/>
      <c r="MOZ62" s="3461"/>
      <c r="MPA62" s="3461"/>
      <c r="MPB62" s="3461"/>
      <c r="MPC62" s="3461"/>
      <c r="MPD62" s="3461"/>
      <c r="MPE62" s="3461"/>
      <c r="MPF62" s="3461"/>
      <c r="MPG62" s="3461"/>
      <c r="MPH62" s="3461"/>
      <c r="MPI62" s="3461"/>
      <c r="MPJ62" s="3461"/>
      <c r="MPK62" s="3461"/>
      <c r="MPL62" s="3461"/>
      <c r="MPM62" s="3461"/>
      <c r="MPN62" s="3461"/>
      <c r="MPO62" s="3461"/>
      <c r="MPP62" s="3461"/>
      <c r="MPQ62" s="3461"/>
      <c r="MPR62" s="3461"/>
      <c r="MPS62" s="3461"/>
      <c r="MPT62" s="3461"/>
      <c r="MPU62" s="3461"/>
      <c r="MPV62" s="3461"/>
      <c r="MPW62" s="3461"/>
      <c r="MPX62" s="3461"/>
      <c r="MPY62" s="3461"/>
      <c r="MPZ62" s="3461"/>
      <c r="MQA62" s="3461"/>
      <c r="MQB62" s="3461"/>
      <c r="MQC62" s="3461"/>
      <c r="MQD62" s="3461"/>
      <c r="MQE62" s="3461"/>
      <c r="MQF62" s="3461"/>
      <c r="MQG62" s="3461"/>
      <c r="MQH62" s="3461"/>
      <c r="MQI62" s="3461"/>
      <c r="MQJ62" s="3461"/>
      <c r="MQK62" s="3461"/>
      <c r="MQL62" s="3461"/>
      <c r="MQM62" s="3461"/>
      <c r="MQN62" s="3461"/>
      <c r="MQO62" s="3461"/>
      <c r="MQP62" s="3461"/>
      <c r="MQQ62" s="3461"/>
      <c r="MQR62" s="3461"/>
      <c r="MQS62" s="3461"/>
      <c r="MQT62" s="3461"/>
      <c r="MQU62" s="3461"/>
      <c r="MQV62" s="3461"/>
      <c r="MQW62" s="3461"/>
      <c r="MQX62" s="3461"/>
      <c r="MQY62" s="3461"/>
      <c r="MQZ62" s="3461"/>
      <c r="MRA62" s="3461"/>
      <c r="MRB62" s="3461"/>
      <c r="MRC62" s="3461"/>
      <c r="MRD62" s="3461"/>
      <c r="MRE62" s="3461"/>
      <c r="MRF62" s="3461"/>
      <c r="MRG62" s="3461"/>
      <c r="MRH62" s="3461"/>
      <c r="MRI62" s="3461"/>
      <c r="MRJ62" s="3461"/>
      <c r="MRK62" s="3461"/>
      <c r="MRL62" s="3461"/>
      <c r="MRM62" s="3461"/>
      <c r="MRN62" s="3461"/>
      <c r="MRO62" s="3461"/>
      <c r="MRP62" s="3461"/>
      <c r="MRQ62" s="3461"/>
      <c r="MRR62" s="3461"/>
      <c r="MRS62" s="3461"/>
      <c r="MRT62" s="3461"/>
      <c r="MRU62" s="3461"/>
      <c r="MRV62" s="3461"/>
      <c r="MRW62" s="3461"/>
      <c r="MRX62" s="3461"/>
      <c r="MRY62" s="3461"/>
      <c r="MRZ62" s="3461"/>
      <c r="MSA62" s="3461"/>
      <c r="MSB62" s="3461"/>
      <c r="MSC62" s="3461"/>
      <c r="MSD62" s="3461"/>
      <c r="MSE62" s="3461"/>
      <c r="MSF62" s="3461"/>
      <c r="MSG62" s="3461"/>
      <c r="MSH62" s="3461"/>
      <c r="MSI62" s="3461"/>
      <c r="MSJ62" s="3461"/>
      <c r="MSK62" s="3461"/>
      <c r="MSL62" s="3461"/>
      <c r="MSM62" s="3461"/>
      <c r="MSN62" s="3461"/>
      <c r="MSO62" s="3461"/>
      <c r="MSP62" s="3461"/>
      <c r="MSQ62" s="3461"/>
      <c r="MSR62" s="3461"/>
      <c r="MSS62" s="3461"/>
      <c r="MST62" s="3461"/>
      <c r="MSU62" s="3461"/>
      <c r="MSV62" s="3461"/>
      <c r="MSW62" s="3461"/>
      <c r="MSX62" s="3461"/>
      <c r="MSY62" s="3461"/>
      <c r="MSZ62" s="3461"/>
      <c r="MTA62" s="3461"/>
      <c r="MTB62" s="3461"/>
      <c r="MTC62" s="3461"/>
      <c r="MTD62" s="3461"/>
      <c r="MTE62" s="3461"/>
      <c r="MTF62" s="3461"/>
      <c r="MTG62" s="3461"/>
      <c r="MTH62" s="3461"/>
      <c r="MTI62" s="3461"/>
      <c r="MTJ62" s="3461"/>
      <c r="MTK62" s="3461"/>
      <c r="MTL62" s="3461"/>
      <c r="MTM62" s="3461"/>
      <c r="MTN62" s="3461"/>
      <c r="MTO62" s="3461"/>
      <c r="MTP62" s="3461"/>
      <c r="MTQ62" s="3461"/>
      <c r="MTR62" s="3461"/>
      <c r="MTS62" s="3461"/>
      <c r="MTT62" s="3461"/>
      <c r="MTU62" s="3461"/>
      <c r="MTV62" s="3461"/>
      <c r="MTW62" s="3461"/>
      <c r="MTX62" s="3461"/>
      <c r="MTY62" s="3461"/>
      <c r="MTZ62" s="3461"/>
      <c r="MUA62" s="3461"/>
      <c r="MUB62" s="3461"/>
      <c r="MUC62" s="3461"/>
      <c r="MUD62" s="3461"/>
      <c r="MUE62" s="3461"/>
      <c r="MUF62" s="3461"/>
      <c r="MUG62" s="3461"/>
      <c r="MUH62" s="3461"/>
      <c r="MUI62" s="3461"/>
      <c r="MUJ62" s="3461"/>
      <c r="MUK62" s="3461"/>
      <c r="MUL62" s="3461"/>
      <c r="MUM62" s="3461"/>
      <c r="MUN62" s="3461"/>
      <c r="MUO62" s="3461"/>
      <c r="MUP62" s="3461"/>
      <c r="MUQ62" s="3461"/>
      <c r="MUR62" s="3461"/>
      <c r="MUS62" s="3461"/>
      <c r="MUT62" s="3461"/>
      <c r="MUU62" s="3461"/>
      <c r="MUV62" s="3461"/>
      <c r="MUW62" s="3461"/>
      <c r="MUX62" s="3461"/>
      <c r="MUY62" s="3461"/>
      <c r="MUZ62" s="3461"/>
      <c r="MVA62" s="3461"/>
      <c r="MVB62" s="3461"/>
      <c r="MVC62" s="3461"/>
      <c r="MVD62" s="3461"/>
      <c r="MVE62" s="3461"/>
      <c r="MVF62" s="3461"/>
      <c r="MVG62" s="3461"/>
      <c r="MVH62" s="3461"/>
      <c r="MVI62" s="3461"/>
      <c r="MVJ62" s="3461"/>
      <c r="MVK62" s="3461"/>
      <c r="MVL62" s="3461"/>
      <c r="MVM62" s="3461"/>
      <c r="MVN62" s="3461"/>
      <c r="MVO62" s="3461"/>
      <c r="MVP62" s="3461"/>
      <c r="MVQ62" s="3461"/>
      <c r="MVR62" s="3461"/>
      <c r="MVS62" s="3461"/>
      <c r="MVT62" s="3461"/>
      <c r="MVU62" s="3461"/>
      <c r="MVV62" s="3461"/>
      <c r="MVW62" s="3461"/>
      <c r="MVX62" s="3461"/>
      <c r="MVY62" s="3461"/>
      <c r="MVZ62" s="3461"/>
      <c r="MWA62" s="3461"/>
      <c r="MWB62" s="3461"/>
      <c r="MWC62" s="3461"/>
      <c r="MWD62" s="3461"/>
      <c r="MWE62" s="3461"/>
      <c r="MWF62" s="3461"/>
      <c r="MWG62" s="3461"/>
      <c r="MWH62" s="3461"/>
      <c r="MWI62" s="3461"/>
      <c r="MWJ62" s="3461"/>
      <c r="MWK62" s="3461"/>
      <c r="MWL62" s="3461"/>
      <c r="MWM62" s="3461"/>
      <c r="MWN62" s="3461"/>
      <c r="MWO62" s="3461"/>
      <c r="MWP62" s="3461"/>
      <c r="MWQ62" s="3461"/>
      <c r="MWR62" s="3461"/>
      <c r="MWS62" s="3461"/>
      <c r="MWT62" s="3461"/>
      <c r="MWU62" s="3461"/>
      <c r="MWV62" s="3461"/>
      <c r="MWW62" s="3461"/>
      <c r="MWX62" s="3461"/>
      <c r="MWY62" s="3461"/>
      <c r="MWZ62" s="3461"/>
      <c r="MXA62" s="3461"/>
      <c r="MXB62" s="3461"/>
      <c r="MXC62" s="3461"/>
      <c r="MXD62" s="3461"/>
      <c r="MXE62" s="3461"/>
      <c r="MXF62" s="3461"/>
      <c r="MXG62" s="3461"/>
      <c r="MXH62" s="3461"/>
      <c r="MXI62" s="3461"/>
      <c r="MXJ62" s="3461"/>
      <c r="MXK62" s="3461"/>
      <c r="MXL62" s="3461"/>
      <c r="MXM62" s="3461"/>
      <c r="MXN62" s="3461"/>
      <c r="MXO62" s="3461"/>
      <c r="MXP62" s="3461"/>
      <c r="MXQ62" s="3461"/>
      <c r="MXR62" s="3461"/>
      <c r="MXS62" s="3461"/>
      <c r="MXT62" s="3461"/>
      <c r="MXU62" s="3461"/>
      <c r="MXV62" s="3461"/>
      <c r="MXW62" s="3461"/>
      <c r="MXX62" s="3461"/>
      <c r="MXY62" s="3461"/>
      <c r="MXZ62" s="3461"/>
      <c r="MYA62" s="3461"/>
      <c r="MYB62" s="3461"/>
      <c r="MYC62" s="3461"/>
      <c r="MYD62" s="3461"/>
      <c r="MYE62" s="3461"/>
      <c r="MYF62" s="3461"/>
      <c r="MYG62" s="3461"/>
      <c r="MYH62" s="3461"/>
      <c r="MYI62" s="3461"/>
      <c r="MYJ62" s="3461"/>
      <c r="MYK62" s="3461"/>
      <c r="MYL62" s="3461"/>
      <c r="MYM62" s="3461"/>
      <c r="MYN62" s="3461"/>
      <c r="MYO62" s="3461"/>
      <c r="MYP62" s="3461"/>
      <c r="MYQ62" s="3461"/>
      <c r="MYR62" s="3461"/>
      <c r="MYS62" s="3461"/>
      <c r="MYT62" s="3461"/>
      <c r="MYU62" s="3461"/>
      <c r="MYV62" s="3461"/>
      <c r="MYW62" s="3461"/>
      <c r="MYX62" s="3461"/>
      <c r="MYY62" s="3461"/>
      <c r="MYZ62" s="3461"/>
      <c r="MZA62" s="3461"/>
      <c r="MZB62" s="3461"/>
      <c r="MZC62" s="3461"/>
      <c r="MZD62" s="3461"/>
      <c r="MZE62" s="3461"/>
      <c r="MZF62" s="3461"/>
      <c r="MZG62" s="3461"/>
      <c r="MZH62" s="3461"/>
      <c r="MZI62" s="3461"/>
      <c r="MZJ62" s="3461"/>
      <c r="MZK62" s="3461"/>
      <c r="MZL62" s="3461"/>
      <c r="MZM62" s="3461"/>
      <c r="MZN62" s="3461"/>
      <c r="MZO62" s="3461"/>
      <c r="MZP62" s="3461"/>
      <c r="MZQ62" s="3461"/>
      <c r="MZR62" s="3461"/>
      <c r="MZS62" s="3461"/>
      <c r="MZT62" s="3461"/>
      <c r="MZU62" s="3461"/>
      <c r="MZV62" s="3461"/>
      <c r="MZW62" s="3461"/>
      <c r="MZX62" s="3461"/>
      <c r="MZY62" s="3461"/>
      <c r="MZZ62" s="3461"/>
      <c r="NAA62" s="3461"/>
      <c r="NAB62" s="3461"/>
      <c r="NAC62" s="3461"/>
      <c r="NAD62" s="3461"/>
      <c r="NAE62" s="3461"/>
      <c r="NAF62" s="3461"/>
      <c r="NAG62" s="3461"/>
      <c r="NAH62" s="3461"/>
      <c r="NAI62" s="3461"/>
      <c r="NAJ62" s="3461"/>
      <c r="NAK62" s="3461"/>
      <c r="NAL62" s="3461"/>
      <c r="NAM62" s="3461"/>
      <c r="NAN62" s="3461"/>
      <c r="NAO62" s="3461"/>
      <c r="NAP62" s="3461"/>
      <c r="NAQ62" s="3461"/>
      <c r="NAR62" s="3461"/>
      <c r="NAS62" s="3461"/>
      <c r="NAT62" s="3461"/>
      <c r="NAU62" s="3461"/>
      <c r="NAV62" s="3461"/>
      <c r="NAW62" s="3461"/>
      <c r="NAX62" s="3461"/>
      <c r="NAY62" s="3461"/>
      <c r="NAZ62" s="3461"/>
      <c r="NBA62" s="3461"/>
      <c r="NBB62" s="3461"/>
      <c r="NBC62" s="3461"/>
      <c r="NBD62" s="3461"/>
      <c r="NBE62" s="3461"/>
      <c r="NBF62" s="3461"/>
      <c r="NBG62" s="3461"/>
      <c r="NBH62" s="3461"/>
      <c r="NBI62" s="3461"/>
      <c r="NBJ62" s="3461"/>
      <c r="NBK62" s="3461"/>
      <c r="NBL62" s="3461"/>
      <c r="NBM62" s="3461"/>
      <c r="NBN62" s="3461"/>
      <c r="NBO62" s="3461"/>
      <c r="NBP62" s="3461"/>
      <c r="NBQ62" s="3461"/>
      <c r="NBR62" s="3461"/>
      <c r="NBS62" s="3461"/>
      <c r="NBT62" s="3461"/>
      <c r="NBU62" s="3461"/>
      <c r="NBV62" s="3461"/>
      <c r="NBW62" s="3461"/>
      <c r="NBX62" s="3461"/>
      <c r="NBY62" s="3461"/>
      <c r="NBZ62" s="3461"/>
      <c r="NCA62" s="3461"/>
      <c r="NCB62" s="3461"/>
      <c r="NCC62" s="3461"/>
      <c r="NCD62" s="3461"/>
      <c r="NCE62" s="3461"/>
      <c r="NCF62" s="3461"/>
      <c r="NCG62" s="3461"/>
      <c r="NCH62" s="3461"/>
      <c r="NCI62" s="3461"/>
      <c r="NCJ62" s="3461"/>
      <c r="NCK62" s="3461"/>
      <c r="NCL62" s="3461"/>
      <c r="NCM62" s="3461"/>
      <c r="NCN62" s="3461"/>
      <c r="NCO62" s="3461"/>
      <c r="NCP62" s="3461"/>
      <c r="NCQ62" s="3461"/>
      <c r="NCR62" s="3461"/>
      <c r="NCS62" s="3461"/>
      <c r="NCT62" s="3461"/>
      <c r="NCU62" s="3461"/>
      <c r="NCV62" s="3461"/>
      <c r="NCW62" s="3461"/>
      <c r="NCX62" s="3461"/>
      <c r="NCY62" s="3461"/>
      <c r="NCZ62" s="3461"/>
      <c r="NDA62" s="3461"/>
      <c r="NDB62" s="3461"/>
      <c r="NDC62" s="3461"/>
      <c r="NDD62" s="3461"/>
      <c r="NDE62" s="3461"/>
      <c r="NDF62" s="3461"/>
      <c r="NDG62" s="3461"/>
      <c r="NDH62" s="3461"/>
      <c r="NDI62" s="3461"/>
      <c r="NDJ62" s="3461"/>
      <c r="NDK62" s="3461"/>
      <c r="NDL62" s="3461"/>
      <c r="NDM62" s="3461"/>
      <c r="NDN62" s="3461"/>
      <c r="NDO62" s="3461"/>
      <c r="NDP62" s="3461"/>
      <c r="NDQ62" s="3461"/>
      <c r="NDR62" s="3461"/>
      <c r="NDS62" s="3461"/>
      <c r="NDT62" s="3461"/>
      <c r="NDU62" s="3461"/>
      <c r="NDV62" s="3461"/>
      <c r="NDW62" s="3461"/>
      <c r="NDX62" s="3461"/>
      <c r="NDY62" s="3461"/>
      <c r="NDZ62" s="3461"/>
      <c r="NEA62" s="3461"/>
      <c r="NEB62" s="3461"/>
      <c r="NEC62" s="3461"/>
      <c r="NED62" s="3461"/>
      <c r="NEE62" s="3461"/>
      <c r="NEF62" s="3461"/>
      <c r="NEG62" s="3461"/>
      <c r="NEH62" s="3461"/>
      <c r="NEI62" s="3461"/>
      <c r="NEJ62" s="3461"/>
      <c r="NEK62" s="3461"/>
      <c r="NEL62" s="3461"/>
      <c r="NEM62" s="3461"/>
      <c r="NEN62" s="3461"/>
      <c r="NEO62" s="3461"/>
      <c r="NEP62" s="3461"/>
      <c r="NEQ62" s="3461"/>
      <c r="NER62" s="3461"/>
      <c r="NES62" s="3461"/>
      <c r="NET62" s="3461"/>
      <c r="NEU62" s="3461"/>
      <c r="NEV62" s="3461"/>
      <c r="NEW62" s="3461"/>
      <c r="NEX62" s="3461"/>
      <c r="NEY62" s="3461"/>
      <c r="NEZ62" s="3461"/>
      <c r="NFA62" s="3461"/>
      <c r="NFB62" s="3461"/>
      <c r="NFC62" s="3461"/>
      <c r="NFD62" s="3461"/>
      <c r="NFE62" s="3461"/>
      <c r="NFF62" s="3461"/>
      <c r="NFG62" s="3461"/>
      <c r="NFH62" s="3461"/>
      <c r="NFI62" s="3461"/>
      <c r="NFJ62" s="3461"/>
      <c r="NFK62" s="3461"/>
      <c r="NFL62" s="3461"/>
      <c r="NFM62" s="3461"/>
      <c r="NFN62" s="3461"/>
      <c r="NFO62" s="3461"/>
      <c r="NFP62" s="3461"/>
      <c r="NFQ62" s="3461"/>
      <c r="NFR62" s="3461"/>
      <c r="NFS62" s="3461"/>
      <c r="NFT62" s="3461"/>
      <c r="NFU62" s="3461"/>
      <c r="NFV62" s="3461"/>
      <c r="NFW62" s="3461"/>
      <c r="NFX62" s="3461"/>
      <c r="NFY62" s="3461"/>
      <c r="NFZ62" s="3461"/>
      <c r="NGA62" s="3461"/>
      <c r="NGB62" s="3461"/>
      <c r="NGC62" s="3461"/>
      <c r="NGD62" s="3461"/>
      <c r="NGE62" s="3461"/>
      <c r="NGF62" s="3461"/>
      <c r="NGG62" s="3461"/>
      <c r="NGH62" s="3461"/>
      <c r="NGI62" s="3461"/>
      <c r="NGJ62" s="3461"/>
      <c r="NGK62" s="3461"/>
      <c r="NGL62" s="3461"/>
      <c r="NGM62" s="3461"/>
      <c r="NGN62" s="3461"/>
      <c r="NGO62" s="3461"/>
      <c r="NGP62" s="3461"/>
      <c r="NGQ62" s="3461"/>
      <c r="NGR62" s="3461"/>
      <c r="NGS62" s="3461"/>
      <c r="NGT62" s="3461"/>
      <c r="NGU62" s="3461"/>
      <c r="NGV62" s="3461"/>
      <c r="NGW62" s="3461"/>
      <c r="NGX62" s="3461"/>
      <c r="NGY62" s="3461"/>
      <c r="NGZ62" s="3461"/>
      <c r="NHA62" s="3461"/>
      <c r="NHB62" s="3461"/>
      <c r="NHC62" s="3461"/>
      <c r="NHD62" s="3461"/>
      <c r="NHE62" s="3461"/>
      <c r="NHF62" s="3461"/>
      <c r="NHG62" s="3461"/>
      <c r="NHH62" s="3461"/>
      <c r="NHI62" s="3461"/>
      <c r="NHJ62" s="3461"/>
      <c r="NHK62" s="3461"/>
      <c r="NHL62" s="3461"/>
      <c r="NHM62" s="3461"/>
      <c r="NHN62" s="3461"/>
      <c r="NHO62" s="3461"/>
      <c r="NHP62" s="3461"/>
      <c r="NHQ62" s="3461"/>
      <c r="NHR62" s="3461"/>
      <c r="NHS62" s="3461"/>
      <c r="NHT62" s="3461"/>
      <c r="NHU62" s="3461"/>
      <c r="NHV62" s="3461"/>
      <c r="NHW62" s="3461"/>
      <c r="NHX62" s="3461"/>
      <c r="NHY62" s="3461"/>
      <c r="NHZ62" s="3461"/>
      <c r="NIA62" s="3461"/>
      <c r="NIB62" s="3461"/>
      <c r="NIC62" s="3461"/>
      <c r="NID62" s="3461"/>
      <c r="NIE62" s="3461"/>
      <c r="NIF62" s="3461"/>
      <c r="NIG62" s="3461"/>
      <c r="NIH62" s="3461"/>
      <c r="NII62" s="3461"/>
      <c r="NIJ62" s="3461"/>
      <c r="NIK62" s="3461"/>
      <c r="NIL62" s="3461"/>
      <c r="NIM62" s="3461"/>
      <c r="NIN62" s="3461"/>
      <c r="NIO62" s="3461"/>
      <c r="NIP62" s="3461"/>
      <c r="NIQ62" s="3461"/>
      <c r="NIR62" s="3461"/>
      <c r="NIS62" s="3461"/>
      <c r="NIT62" s="3461"/>
      <c r="NIU62" s="3461"/>
      <c r="NIV62" s="3461"/>
      <c r="NIW62" s="3461"/>
      <c r="NIX62" s="3461"/>
      <c r="NIY62" s="3461"/>
      <c r="NIZ62" s="3461"/>
      <c r="NJA62" s="3461"/>
      <c r="NJB62" s="3461"/>
      <c r="NJC62" s="3461"/>
      <c r="NJD62" s="3461"/>
      <c r="NJE62" s="3461"/>
      <c r="NJF62" s="3461"/>
      <c r="NJG62" s="3461"/>
      <c r="NJH62" s="3461"/>
      <c r="NJI62" s="3461"/>
      <c r="NJJ62" s="3461"/>
      <c r="NJK62" s="3461"/>
      <c r="NJL62" s="3461"/>
      <c r="NJM62" s="3461"/>
      <c r="NJN62" s="3461"/>
      <c r="NJO62" s="3461"/>
      <c r="NJP62" s="3461"/>
      <c r="NJQ62" s="3461"/>
      <c r="NJR62" s="3461"/>
      <c r="NJS62" s="3461"/>
      <c r="NJT62" s="3461"/>
      <c r="NJU62" s="3461"/>
      <c r="NJV62" s="3461"/>
      <c r="NJW62" s="3461"/>
      <c r="NJX62" s="3461"/>
      <c r="NJY62" s="3461"/>
      <c r="NJZ62" s="3461"/>
      <c r="NKA62" s="3461"/>
      <c r="NKB62" s="3461"/>
      <c r="NKC62" s="3461"/>
      <c r="NKD62" s="3461"/>
      <c r="NKE62" s="3461"/>
      <c r="NKF62" s="3461"/>
      <c r="NKG62" s="3461"/>
      <c r="NKH62" s="3461"/>
      <c r="NKI62" s="3461"/>
      <c r="NKJ62" s="3461"/>
      <c r="NKK62" s="3461"/>
      <c r="NKL62" s="3461"/>
      <c r="NKM62" s="3461"/>
      <c r="NKN62" s="3461"/>
      <c r="NKO62" s="3461"/>
      <c r="NKP62" s="3461"/>
      <c r="NKQ62" s="3461"/>
      <c r="NKR62" s="3461"/>
      <c r="NKS62" s="3461"/>
      <c r="NKT62" s="3461"/>
      <c r="NKU62" s="3461"/>
      <c r="NKV62" s="3461"/>
      <c r="NKW62" s="3461"/>
      <c r="NKX62" s="3461"/>
      <c r="NKY62" s="3461"/>
      <c r="NKZ62" s="3461"/>
      <c r="NLA62" s="3461"/>
      <c r="NLB62" s="3461"/>
      <c r="NLC62" s="3461"/>
      <c r="NLD62" s="3461"/>
      <c r="NLE62" s="3461"/>
      <c r="NLF62" s="3461"/>
      <c r="NLG62" s="3461"/>
      <c r="NLH62" s="3461"/>
      <c r="NLI62" s="3461"/>
      <c r="NLJ62" s="3461"/>
      <c r="NLK62" s="3461"/>
      <c r="NLL62" s="3461"/>
      <c r="NLM62" s="3461"/>
      <c r="NLN62" s="3461"/>
      <c r="NLO62" s="3461"/>
      <c r="NLP62" s="3461"/>
      <c r="NLQ62" s="3461"/>
      <c r="NLR62" s="3461"/>
      <c r="NLS62" s="3461"/>
      <c r="NLT62" s="3461"/>
      <c r="NLU62" s="3461"/>
      <c r="NLV62" s="3461"/>
      <c r="NLW62" s="3461"/>
      <c r="NLX62" s="3461"/>
      <c r="NLY62" s="3461"/>
      <c r="NLZ62" s="3461"/>
      <c r="NMA62" s="3461"/>
      <c r="NMB62" s="3461"/>
      <c r="NMC62" s="3461"/>
      <c r="NMD62" s="3461"/>
      <c r="NME62" s="3461"/>
      <c r="NMF62" s="3461"/>
      <c r="NMG62" s="3461"/>
      <c r="NMH62" s="3461"/>
      <c r="NMI62" s="3461"/>
      <c r="NMJ62" s="3461"/>
      <c r="NMK62" s="3461"/>
      <c r="NML62" s="3461"/>
      <c r="NMM62" s="3461"/>
      <c r="NMN62" s="3461"/>
      <c r="NMO62" s="3461"/>
      <c r="NMP62" s="3461"/>
      <c r="NMQ62" s="3461"/>
      <c r="NMR62" s="3461"/>
      <c r="NMS62" s="3461"/>
      <c r="NMT62" s="3461"/>
      <c r="NMU62" s="3461"/>
      <c r="NMV62" s="3461"/>
      <c r="NMW62" s="3461"/>
      <c r="NMX62" s="3461"/>
      <c r="NMY62" s="3461"/>
      <c r="NMZ62" s="3461"/>
      <c r="NNA62" s="3461"/>
      <c r="NNB62" s="3461"/>
      <c r="NNC62" s="3461"/>
      <c r="NND62" s="3461"/>
      <c r="NNE62" s="3461"/>
      <c r="NNF62" s="3461"/>
      <c r="NNG62" s="3461"/>
      <c r="NNH62" s="3461"/>
      <c r="NNI62" s="3461"/>
      <c r="NNJ62" s="3461"/>
      <c r="NNK62" s="3461"/>
      <c r="NNL62" s="3461"/>
      <c r="NNM62" s="3461"/>
      <c r="NNN62" s="3461"/>
      <c r="NNO62" s="3461"/>
      <c r="NNP62" s="3461"/>
      <c r="NNQ62" s="3461"/>
      <c r="NNR62" s="3461"/>
      <c r="NNS62" s="3461"/>
      <c r="NNT62" s="3461"/>
      <c r="NNU62" s="3461"/>
      <c r="NNV62" s="3461"/>
      <c r="NNW62" s="3461"/>
      <c r="NNX62" s="3461"/>
      <c r="NNY62" s="3461"/>
      <c r="NNZ62" s="3461"/>
      <c r="NOA62" s="3461"/>
      <c r="NOB62" s="3461"/>
      <c r="NOC62" s="3461"/>
      <c r="NOD62" s="3461"/>
      <c r="NOE62" s="3461"/>
      <c r="NOF62" s="3461"/>
      <c r="NOG62" s="3461"/>
      <c r="NOH62" s="3461"/>
      <c r="NOI62" s="3461"/>
      <c r="NOJ62" s="3461"/>
      <c r="NOK62" s="3461"/>
      <c r="NOL62" s="3461"/>
      <c r="NOM62" s="3461"/>
      <c r="NON62" s="3461"/>
      <c r="NOO62" s="3461"/>
      <c r="NOP62" s="3461"/>
      <c r="NOQ62" s="3461"/>
      <c r="NOR62" s="3461"/>
      <c r="NOS62" s="3461"/>
      <c r="NOT62" s="3461"/>
      <c r="NOU62" s="3461"/>
      <c r="NOV62" s="3461"/>
      <c r="NOW62" s="3461"/>
      <c r="NOX62" s="3461"/>
      <c r="NOY62" s="3461"/>
      <c r="NOZ62" s="3461"/>
      <c r="NPA62" s="3461"/>
      <c r="NPB62" s="3461"/>
      <c r="NPC62" s="3461"/>
      <c r="NPD62" s="3461"/>
      <c r="NPE62" s="3461"/>
      <c r="NPF62" s="3461"/>
      <c r="NPG62" s="3461"/>
      <c r="NPH62" s="3461"/>
      <c r="NPI62" s="3461"/>
      <c r="NPJ62" s="3461"/>
      <c r="NPK62" s="3461"/>
      <c r="NPL62" s="3461"/>
      <c r="NPM62" s="3461"/>
      <c r="NPN62" s="3461"/>
      <c r="NPO62" s="3461"/>
      <c r="NPP62" s="3461"/>
      <c r="NPQ62" s="3461"/>
      <c r="NPR62" s="3461"/>
      <c r="NPS62" s="3461"/>
      <c r="NPT62" s="3461"/>
      <c r="NPU62" s="3461"/>
      <c r="NPV62" s="3461"/>
      <c r="NPW62" s="3461"/>
      <c r="NPX62" s="3461"/>
      <c r="NPY62" s="3461"/>
      <c r="NPZ62" s="3461"/>
      <c r="NQA62" s="3461"/>
      <c r="NQB62" s="3461"/>
      <c r="NQC62" s="3461"/>
      <c r="NQD62" s="3461"/>
      <c r="NQE62" s="3461"/>
      <c r="NQF62" s="3461"/>
      <c r="NQG62" s="3461"/>
      <c r="NQH62" s="3461"/>
      <c r="NQI62" s="3461"/>
      <c r="NQJ62" s="3461"/>
      <c r="NQK62" s="3461"/>
      <c r="NQL62" s="3461"/>
      <c r="NQM62" s="3461"/>
      <c r="NQN62" s="3461"/>
      <c r="NQO62" s="3461"/>
      <c r="NQP62" s="3461"/>
      <c r="NQQ62" s="3461"/>
      <c r="NQR62" s="3461"/>
      <c r="NQS62" s="3461"/>
      <c r="NQT62" s="3461"/>
      <c r="NQU62" s="3461"/>
      <c r="NQV62" s="3461"/>
      <c r="NQW62" s="3461"/>
      <c r="NQX62" s="3461"/>
      <c r="NQY62" s="3461"/>
      <c r="NQZ62" s="3461"/>
      <c r="NRA62" s="3461"/>
      <c r="NRB62" s="3461"/>
      <c r="NRC62" s="3461"/>
      <c r="NRD62" s="3461"/>
      <c r="NRE62" s="3461"/>
      <c r="NRF62" s="3461"/>
      <c r="NRG62" s="3461"/>
      <c r="NRH62" s="3461"/>
      <c r="NRI62" s="3461"/>
      <c r="NRJ62" s="3461"/>
      <c r="NRK62" s="3461"/>
      <c r="NRL62" s="3461"/>
      <c r="NRM62" s="3461"/>
      <c r="NRN62" s="3461"/>
      <c r="NRO62" s="3461"/>
      <c r="NRP62" s="3461"/>
      <c r="NRQ62" s="3461"/>
      <c r="NRR62" s="3461"/>
      <c r="NRS62" s="3461"/>
      <c r="NRT62" s="3461"/>
      <c r="NRU62" s="3461"/>
      <c r="NRV62" s="3461"/>
      <c r="NRW62" s="3461"/>
      <c r="NRX62" s="3461"/>
      <c r="NRY62" s="3461"/>
      <c r="NRZ62" s="3461"/>
      <c r="NSA62" s="3461"/>
      <c r="NSB62" s="3461"/>
      <c r="NSC62" s="3461"/>
      <c r="NSD62" s="3461"/>
      <c r="NSE62" s="3461"/>
      <c r="NSF62" s="3461"/>
      <c r="NSG62" s="3461"/>
      <c r="NSH62" s="3461"/>
      <c r="NSI62" s="3461"/>
      <c r="NSJ62" s="3461"/>
      <c r="NSK62" s="3461"/>
      <c r="NSL62" s="3461"/>
      <c r="NSM62" s="3461"/>
      <c r="NSN62" s="3461"/>
      <c r="NSO62" s="3461"/>
      <c r="NSP62" s="3461"/>
      <c r="NSQ62" s="3461"/>
      <c r="NSR62" s="3461"/>
      <c r="NSS62" s="3461"/>
      <c r="NST62" s="3461"/>
      <c r="NSU62" s="3461"/>
      <c r="NSV62" s="3461"/>
      <c r="NSW62" s="3461"/>
      <c r="NSX62" s="3461"/>
      <c r="NSY62" s="3461"/>
      <c r="NSZ62" s="3461"/>
      <c r="NTA62" s="3461"/>
      <c r="NTB62" s="3461"/>
      <c r="NTC62" s="3461"/>
      <c r="NTD62" s="3461"/>
      <c r="NTE62" s="3461"/>
      <c r="NTF62" s="3461"/>
      <c r="NTG62" s="3461"/>
      <c r="NTH62" s="3461"/>
      <c r="NTI62" s="3461"/>
      <c r="NTJ62" s="3461"/>
      <c r="NTK62" s="3461"/>
      <c r="NTL62" s="3461"/>
      <c r="NTM62" s="3461"/>
      <c r="NTN62" s="3461"/>
      <c r="NTO62" s="3461"/>
      <c r="NTP62" s="3461"/>
      <c r="NTQ62" s="3461"/>
      <c r="NTR62" s="3461"/>
      <c r="NTS62" s="3461"/>
      <c r="NTT62" s="3461"/>
      <c r="NTU62" s="3461"/>
      <c r="NTV62" s="3461"/>
      <c r="NTW62" s="3461"/>
      <c r="NTX62" s="3461"/>
      <c r="NTY62" s="3461"/>
      <c r="NTZ62" s="3461"/>
      <c r="NUA62" s="3461"/>
      <c r="NUB62" s="3461"/>
      <c r="NUC62" s="3461"/>
      <c r="NUD62" s="3461"/>
      <c r="NUE62" s="3461"/>
      <c r="NUF62" s="3461"/>
      <c r="NUG62" s="3461"/>
      <c r="NUH62" s="3461"/>
      <c r="NUI62" s="3461"/>
      <c r="NUJ62" s="3461"/>
      <c r="NUK62" s="3461"/>
      <c r="NUL62" s="3461"/>
      <c r="NUM62" s="3461"/>
      <c r="NUN62" s="3461"/>
      <c r="NUO62" s="3461"/>
      <c r="NUP62" s="3461"/>
      <c r="NUQ62" s="3461"/>
      <c r="NUR62" s="3461"/>
      <c r="NUS62" s="3461"/>
      <c r="NUT62" s="3461"/>
      <c r="NUU62" s="3461"/>
      <c r="NUV62" s="3461"/>
      <c r="NUW62" s="3461"/>
      <c r="NUX62" s="3461"/>
      <c r="NUY62" s="3461"/>
      <c r="NUZ62" s="3461"/>
      <c r="NVA62" s="3461"/>
      <c r="NVB62" s="3461"/>
      <c r="NVC62" s="3461"/>
      <c r="NVD62" s="3461"/>
      <c r="NVE62" s="3461"/>
      <c r="NVF62" s="3461"/>
      <c r="NVG62" s="3461"/>
      <c r="NVH62" s="3461"/>
      <c r="NVI62" s="3461"/>
      <c r="NVJ62" s="3461"/>
      <c r="NVK62" s="3461"/>
      <c r="NVL62" s="3461"/>
      <c r="NVM62" s="3461"/>
      <c r="NVN62" s="3461"/>
      <c r="NVO62" s="3461"/>
      <c r="NVP62" s="3461"/>
      <c r="NVQ62" s="3461"/>
      <c r="NVR62" s="3461"/>
      <c r="NVS62" s="3461"/>
      <c r="NVT62" s="3461"/>
      <c r="NVU62" s="3461"/>
      <c r="NVV62" s="3461"/>
      <c r="NVW62" s="3461"/>
      <c r="NVX62" s="3461"/>
      <c r="NVY62" s="3461"/>
      <c r="NVZ62" s="3461"/>
      <c r="NWA62" s="3461"/>
      <c r="NWB62" s="3461"/>
      <c r="NWC62" s="3461"/>
      <c r="NWD62" s="3461"/>
      <c r="NWE62" s="3461"/>
      <c r="NWF62" s="3461"/>
      <c r="NWG62" s="3461"/>
      <c r="NWH62" s="3461"/>
      <c r="NWI62" s="3461"/>
      <c r="NWJ62" s="3461"/>
      <c r="NWK62" s="3461"/>
      <c r="NWL62" s="3461"/>
      <c r="NWM62" s="3461"/>
      <c r="NWN62" s="3461"/>
      <c r="NWO62" s="3461"/>
      <c r="NWP62" s="3461"/>
      <c r="NWQ62" s="3461"/>
      <c r="NWR62" s="3461"/>
      <c r="NWS62" s="3461"/>
      <c r="NWT62" s="3461"/>
      <c r="NWU62" s="3461"/>
      <c r="NWV62" s="3461"/>
      <c r="NWW62" s="3461"/>
      <c r="NWX62" s="3461"/>
      <c r="NWY62" s="3461"/>
      <c r="NWZ62" s="3461"/>
      <c r="NXA62" s="3461"/>
      <c r="NXB62" s="3461"/>
      <c r="NXC62" s="3461"/>
      <c r="NXD62" s="3461"/>
      <c r="NXE62" s="3461"/>
      <c r="NXF62" s="3461"/>
      <c r="NXG62" s="3461"/>
      <c r="NXH62" s="3461"/>
      <c r="NXI62" s="3461"/>
      <c r="NXJ62" s="3461"/>
      <c r="NXK62" s="3461"/>
      <c r="NXL62" s="3461"/>
      <c r="NXM62" s="3461"/>
      <c r="NXN62" s="3461"/>
      <c r="NXO62" s="3461"/>
      <c r="NXP62" s="3461"/>
      <c r="NXQ62" s="3461"/>
      <c r="NXR62" s="3461"/>
      <c r="NXS62" s="3461"/>
      <c r="NXT62" s="3461"/>
      <c r="NXU62" s="3461"/>
      <c r="NXV62" s="3461"/>
      <c r="NXW62" s="3461"/>
      <c r="NXX62" s="3461"/>
      <c r="NXY62" s="3461"/>
      <c r="NXZ62" s="3461"/>
      <c r="NYA62" s="3461"/>
      <c r="NYB62" s="3461"/>
      <c r="NYC62" s="3461"/>
      <c r="NYD62" s="3461"/>
      <c r="NYE62" s="3461"/>
      <c r="NYF62" s="3461"/>
      <c r="NYG62" s="3461"/>
      <c r="NYH62" s="3461"/>
      <c r="NYI62" s="3461"/>
      <c r="NYJ62" s="3461"/>
      <c r="NYK62" s="3461"/>
      <c r="NYL62" s="3461"/>
      <c r="NYM62" s="3461"/>
      <c r="NYN62" s="3461"/>
      <c r="NYO62" s="3461"/>
      <c r="NYP62" s="3461"/>
      <c r="NYQ62" s="3461"/>
      <c r="NYR62" s="3461"/>
      <c r="NYS62" s="3461"/>
      <c r="NYT62" s="3461"/>
      <c r="NYU62" s="3461"/>
      <c r="NYV62" s="3461"/>
      <c r="NYW62" s="3461"/>
      <c r="NYX62" s="3461"/>
      <c r="NYY62" s="3461"/>
      <c r="NYZ62" s="3461"/>
      <c r="NZA62" s="3461"/>
      <c r="NZB62" s="3461"/>
      <c r="NZC62" s="3461"/>
      <c r="NZD62" s="3461"/>
      <c r="NZE62" s="3461"/>
      <c r="NZF62" s="3461"/>
      <c r="NZG62" s="3461"/>
      <c r="NZH62" s="3461"/>
      <c r="NZI62" s="3461"/>
      <c r="NZJ62" s="3461"/>
      <c r="NZK62" s="3461"/>
      <c r="NZL62" s="3461"/>
      <c r="NZM62" s="3461"/>
      <c r="NZN62" s="3461"/>
      <c r="NZO62" s="3461"/>
      <c r="NZP62" s="3461"/>
      <c r="NZQ62" s="3461"/>
      <c r="NZR62" s="3461"/>
      <c r="NZS62" s="3461"/>
      <c r="NZT62" s="3461"/>
      <c r="NZU62" s="3461"/>
      <c r="NZV62" s="3461"/>
      <c r="NZW62" s="3461"/>
      <c r="NZX62" s="3461"/>
      <c r="NZY62" s="3461"/>
      <c r="NZZ62" s="3461"/>
      <c r="OAA62" s="3461"/>
      <c r="OAB62" s="3461"/>
      <c r="OAC62" s="3461"/>
      <c r="OAD62" s="3461"/>
      <c r="OAE62" s="3461"/>
      <c r="OAF62" s="3461"/>
      <c r="OAG62" s="3461"/>
      <c r="OAH62" s="3461"/>
      <c r="OAI62" s="3461"/>
      <c r="OAJ62" s="3461"/>
      <c r="OAK62" s="3461"/>
      <c r="OAL62" s="3461"/>
      <c r="OAM62" s="3461"/>
      <c r="OAN62" s="3461"/>
      <c r="OAO62" s="3461"/>
      <c r="OAP62" s="3461"/>
      <c r="OAQ62" s="3461"/>
      <c r="OAR62" s="3461"/>
      <c r="OAS62" s="3461"/>
      <c r="OAT62" s="3461"/>
      <c r="OAU62" s="3461"/>
      <c r="OAV62" s="3461"/>
      <c r="OAW62" s="3461"/>
      <c r="OAX62" s="3461"/>
      <c r="OAY62" s="3461"/>
      <c r="OAZ62" s="3461"/>
      <c r="OBA62" s="3461"/>
      <c r="OBB62" s="3461"/>
      <c r="OBC62" s="3461"/>
      <c r="OBD62" s="3461"/>
      <c r="OBE62" s="3461"/>
      <c r="OBF62" s="3461"/>
      <c r="OBG62" s="3461"/>
      <c r="OBH62" s="3461"/>
      <c r="OBI62" s="3461"/>
      <c r="OBJ62" s="3461"/>
      <c r="OBK62" s="3461"/>
      <c r="OBL62" s="3461"/>
      <c r="OBM62" s="3461"/>
      <c r="OBN62" s="3461"/>
      <c r="OBO62" s="3461"/>
      <c r="OBP62" s="3461"/>
      <c r="OBQ62" s="3461"/>
      <c r="OBR62" s="3461"/>
      <c r="OBS62" s="3461"/>
      <c r="OBT62" s="3461"/>
      <c r="OBU62" s="3461"/>
      <c r="OBV62" s="3461"/>
      <c r="OBW62" s="3461"/>
      <c r="OBX62" s="3461"/>
      <c r="OBY62" s="3461"/>
      <c r="OBZ62" s="3461"/>
      <c r="OCA62" s="3461"/>
      <c r="OCB62" s="3461"/>
      <c r="OCC62" s="3461"/>
      <c r="OCD62" s="3461"/>
      <c r="OCE62" s="3461"/>
      <c r="OCF62" s="3461"/>
      <c r="OCG62" s="3461"/>
      <c r="OCH62" s="3461"/>
      <c r="OCI62" s="3461"/>
      <c r="OCJ62" s="3461"/>
      <c r="OCK62" s="3461"/>
      <c r="OCL62" s="3461"/>
      <c r="OCM62" s="3461"/>
      <c r="OCN62" s="3461"/>
      <c r="OCO62" s="3461"/>
      <c r="OCP62" s="3461"/>
      <c r="OCQ62" s="3461"/>
      <c r="OCR62" s="3461"/>
      <c r="OCS62" s="3461"/>
      <c r="OCT62" s="3461"/>
      <c r="OCU62" s="3461"/>
      <c r="OCV62" s="3461"/>
      <c r="OCW62" s="3461"/>
      <c r="OCX62" s="3461"/>
      <c r="OCY62" s="3461"/>
      <c r="OCZ62" s="3461"/>
      <c r="ODA62" s="3461"/>
      <c r="ODB62" s="3461"/>
      <c r="ODC62" s="3461"/>
      <c r="ODD62" s="3461"/>
      <c r="ODE62" s="3461"/>
      <c r="ODF62" s="3461"/>
      <c r="ODG62" s="3461"/>
      <c r="ODH62" s="3461"/>
      <c r="ODI62" s="3461"/>
      <c r="ODJ62" s="3461"/>
      <c r="ODK62" s="3461"/>
      <c r="ODL62" s="3461"/>
      <c r="ODM62" s="3461"/>
      <c r="ODN62" s="3461"/>
      <c r="ODO62" s="3461"/>
      <c r="ODP62" s="3461"/>
      <c r="ODQ62" s="3461"/>
      <c r="ODR62" s="3461"/>
      <c r="ODS62" s="3461"/>
      <c r="ODT62" s="3461"/>
      <c r="ODU62" s="3461"/>
      <c r="ODV62" s="3461"/>
      <c r="ODW62" s="3461"/>
      <c r="ODX62" s="3461"/>
      <c r="ODY62" s="3461"/>
      <c r="ODZ62" s="3461"/>
      <c r="OEA62" s="3461"/>
      <c r="OEB62" s="3461"/>
      <c r="OEC62" s="3461"/>
      <c r="OED62" s="3461"/>
      <c r="OEE62" s="3461"/>
      <c r="OEF62" s="3461"/>
      <c r="OEG62" s="3461"/>
      <c r="OEH62" s="3461"/>
      <c r="OEI62" s="3461"/>
      <c r="OEJ62" s="3461"/>
      <c r="OEK62" s="3461"/>
      <c r="OEL62" s="3461"/>
      <c r="OEM62" s="3461"/>
      <c r="OEN62" s="3461"/>
      <c r="OEO62" s="3461"/>
      <c r="OEP62" s="3461"/>
      <c r="OEQ62" s="3461"/>
      <c r="OER62" s="3461"/>
      <c r="OES62" s="3461"/>
      <c r="OET62" s="3461"/>
      <c r="OEU62" s="3461"/>
      <c r="OEV62" s="3461"/>
      <c r="OEW62" s="3461"/>
      <c r="OEX62" s="3461"/>
      <c r="OEY62" s="3461"/>
      <c r="OEZ62" s="3461"/>
      <c r="OFA62" s="3461"/>
      <c r="OFB62" s="3461"/>
      <c r="OFC62" s="3461"/>
      <c r="OFD62" s="3461"/>
      <c r="OFE62" s="3461"/>
      <c r="OFF62" s="3461"/>
      <c r="OFG62" s="3461"/>
      <c r="OFH62" s="3461"/>
      <c r="OFI62" s="3461"/>
      <c r="OFJ62" s="3461"/>
      <c r="OFK62" s="3461"/>
      <c r="OFL62" s="3461"/>
      <c r="OFM62" s="3461"/>
      <c r="OFN62" s="3461"/>
      <c r="OFO62" s="3461"/>
      <c r="OFP62" s="3461"/>
      <c r="OFQ62" s="3461"/>
      <c r="OFR62" s="3461"/>
      <c r="OFS62" s="3461"/>
      <c r="OFT62" s="3461"/>
      <c r="OFU62" s="3461"/>
      <c r="OFV62" s="3461"/>
      <c r="OFW62" s="3461"/>
      <c r="OFX62" s="3461"/>
      <c r="OFY62" s="3461"/>
      <c r="OFZ62" s="3461"/>
      <c r="OGA62" s="3461"/>
      <c r="OGB62" s="3461"/>
      <c r="OGC62" s="3461"/>
      <c r="OGD62" s="3461"/>
      <c r="OGE62" s="3461"/>
      <c r="OGF62" s="3461"/>
      <c r="OGG62" s="3461"/>
      <c r="OGH62" s="3461"/>
      <c r="OGI62" s="3461"/>
      <c r="OGJ62" s="3461"/>
      <c r="OGK62" s="3461"/>
      <c r="OGL62" s="3461"/>
      <c r="OGM62" s="3461"/>
      <c r="OGN62" s="3461"/>
      <c r="OGO62" s="3461"/>
      <c r="OGP62" s="3461"/>
      <c r="OGQ62" s="3461"/>
      <c r="OGR62" s="3461"/>
      <c r="OGS62" s="3461"/>
      <c r="OGT62" s="3461"/>
      <c r="OGU62" s="3461"/>
      <c r="OGV62" s="3461"/>
      <c r="OGW62" s="3461"/>
      <c r="OGX62" s="3461"/>
      <c r="OGY62" s="3461"/>
      <c r="OGZ62" s="3461"/>
      <c r="OHA62" s="3461"/>
      <c r="OHB62" s="3461"/>
      <c r="OHC62" s="3461"/>
      <c r="OHD62" s="3461"/>
      <c r="OHE62" s="3461"/>
      <c r="OHF62" s="3461"/>
      <c r="OHG62" s="3461"/>
      <c r="OHH62" s="3461"/>
      <c r="OHI62" s="3461"/>
      <c r="OHJ62" s="3461"/>
      <c r="OHK62" s="3461"/>
      <c r="OHL62" s="3461"/>
      <c r="OHM62" s="3461"/>
      <c r="OHN62" s="3461"/>
      <c r="OHO62" s="3461"/>
      <c r="OHP62" s="3461"/>
      <c r="OHQ62" s="3461"/>
      <c r="OHR62" s="3461"/>
      <c r="OHS62" s="3461"/>
      <c r="OHT62" s="3461"/>
      <c r="OHU62" s="3461"/>
      <c r="OHV62" s="3461"/>
      <c r="OHW62" s="3461"/>
      <c r="OHX62" s="3461"/>
      <c r="OHY62" s="3461"/>
      <c r="OHZ62" s="3461"/>
      <c r="OIA62" s="3461"/>
      <c r="OIB62" s="3461"/>
      <c r="OIC62" s="3461"/>
      <c r="OID62" s="3461"/>
      <c r="OIE62" s="3461"/>
      <c r="OIF62" s="3461"/>
      <c r="OIG62" s="3461"/>
      <c r="OIH62" s="3461"/>
      <c r="OII62" s="3461"/>
      <c r="OIJ62" s="3461"/>
      <c r="OIK62" s="3461"/>
      <c r="OIL62" s="3461"/>
      <c r="OIM62" s="3461"/>
      <c r="OIN62" s="3461"/>
      <c r="OIO62" s="3461"/>
      <c r="OIP62" s="3461"/>
      <c r="OIQ62" s="3461"/>
      <c r="OIR62" s="3461"/>
      <c r="OIS62" s="3461"/>
      <c r="OIT62" s="3461"/>
      <c r="OIU62" s="3461"/>
      <c r="OIV62" s="3461"/>
      <c r="OIW62" s="3461"/>
      <c r="OIX62" s="3461"/>
      <c r="OIY62" s="3461"/>
      <c r="OIZ62" s="3461"/>
      <c r="OJA62" s="3461"/>
      <c r="OJB62" s="3461"/>
      <c r="OJC62" s="3461"/>
      <c r="OJD62" s="3461"/>
      <c r="OJE62" s="3461"/>
      <c r="OJF62" s="3461"/>
      <c r="OJG62" s="3461"/>
      <c r="OJH62" s="3461"/>
      <c r="OJI62" s="3461"/>
      <c r="OJJ62" s="3461"/>
      <c r="OJK62" s="3461"/>
      <c r="OJL62" s="3461"/>
      <c r="OJM62" s="3461"/>
      <c r="OJN62" s="3461"/>
      <c r="OJO62" s="3461"/>
      <c r="OJP62" s="3461"/>
      <c r="OJQ62" s="3461"/>
      <c r="OJR62" s="3461"/>
      <c r="OJS62" s="3461"/>
      <c r="OJT62" s="3461"/>
      <c r="OJU62" s="3461"/>
      <c r="OJV62" s="3461"/>
      <c r="OJW62" s="3461"/>
      <c r="OJX62" s="3461"/>
      <c r="OJY62" s="3461"/>
      <c r="OJZ62" s="3461"/>
      <c r="OKA62" s="3461"/>
      <c r="OKB62" s="3461"/>
      <c r="OKC62" s="3461"/>
      <c r="OKD62" s="3461"/>
      <c r="OKE62" s="3461"/>
      <c r="OKF62" s="3461"/>
      <c r="OKG62" s="3461"/>
      <c r="OKH62" s="3461"/>
      <c r="OKI62" s="3461"/>
      <c r="OKJ62" s="3461"/>
      <c r="OKK62" s="3461"/>
      <c r="OKL62" s="3461"/>
      <c r="OKM62" s="3461"/>
      <c r="OKN62" s="3461"/>
      <c r="OKO62" s="3461"/>
      <c r="OKP62" s="3461"/>
      <c r="OKQ62" s="3461"/>
      <c r="OKR62" s="3461"/>
      <c r="OKS62" s="3461"/>
      <c r="OKT62" s="3461"/>
      <c r="OKU62" s="3461"/>
      <c r="OKV62" s="3461"/>
      <c r="OKW62" s="3461"/>
      <c r="OKX62" s="3461"/>
      <c r="OKY62" s="3461"/>
      <c r="OKZ62" s="3461"/>
      <c r="OLA62" s="3461"/>
      <c r="OLB62" s="3461"/>
      <c r="OLC62" s="3461"/>
      <c r="OLD62" s="3461"/>
      <c r="OLE62" s="3461"/>
      <c r="OLF62" s="3461"/>
      <c r="OLG62" s="3461"/>
      <c r="OLH62" s="3461"/>
      <c r="OLI62" s="3461"/>
      <c r="OLJ62" s="3461"/>
      <c r="OLK62" s="3461"/>
      <c r="OLL62" s="3461"/>
      <c r="OLM62" s="3461"/>
      <c r="OLN62" s="3461"/>
      <c r="OLO62" s="3461"/>
      <c r="OLP62" s="3461"/>
      <c r="OLQ62" s="3461"/>
      <c r="OLR62" s="3461"/>
      <c r="OLS62" s="3461"/>
      <c r="OLT62" s="3461"/>
      <c r="OLU62" s="3461"/>
      <c r="OLV62" s="3461"/>
      <c r="OLW62" s="3461"/>
      <c r="OLX62" s="3461"/>
      <c r="OLY62" s="3461"/>
      <c r="OLZ62" s="3461"/>
      <c r="OMA62" s="3461"/>
      <c r="OMB62" s="3461"/>
      <c r="OMC62" s="3461"/>
      <c r="OMD62" s="3461"/>
      <c r="OME62" s="3461"/>
      <c r="OMF62" s="3461"/>
      <c r="OMG62" s="3461"/>
      <c r="OMH62" s="3461"/>
      <c r="OMI62" s="3461"/>
      <c r="OMJ62" s="3461"/>
      <c r="OMK62" s="3461"/>
      <c r="OML62" s="3461"/>
      <c r="OMM62" s="3461"/>
      <c r="OMN62" s="3461"/>
      <c r="OMO62" s="3461"/>
      <c r="OMP62" s="3461"/>
      <c r="OMQ62" s="3461"/>
      <c r="OMR62" s="3461"/>
      <c r="OMS62" s="3461"/>
      <c r="OMT62" s="3461"/>
      <c r="OMU62" s="3461"/>
      <c r="OMV62" s="3461"/>
      <c r="OMW62" s="3461"/>
      <c r="OMX62" s="3461"/>
      <c r="OMY62" s="3461"/>
      <c r="OMZ62" s="3461"/>
      <c r="ONA62" s="3461"/>
      <c r="ONB62" s="3461"/>
      <c r="ONC62" s="3461"/>
      <c r="OND62" s="3461"/>
      <c r="ONE62" s="3461"/>
      <c r="ONF62" s="3461"/>
      <c r="ONG62" s="3461"/>
      <c r="ONH62" s="3461"/>
      <c r="ONI62" s="3461"/>
      <c r="ONJ62" s="3461"/>
      <c r="ONK62" s="3461"/>
      <c r="ONL62" s="3461"/>
      <c r="ONM62" s="3461"/>
      <c r="ONN62" s="3461"/>
      <c r="ONO62" s="3461"/>
      <c r="ONP62" s="3461"/>
      <c r="ONQ62" s="3461"/>
      <c r="ONR62" s="3461"/>
      <c r="ONS62" s="3461"/>
      <c r="ONT62" s="3461"/>
      <c r="ONU62" s="3461"/>
      <c r="ONV62" s="3461"/>
      <c r="ONW62" s="3461"/>
      <c r="ONX62" s="3461"/>
      <c r="ONY62" s="3461"/>
      <c r="ONZ62" s="3461"/>
      <c r="OOA62" s="3461"/>
      <c r="OOB62" s="3461"/>
      <c r="OOC62" s="3461"/>
      <c r="OOD62" s="3461"/>
      <c r="OOE62" s="3461"/>
      <c r="OOF62" s="3461"/>
      <c r="OOG62" s="3461"/>
      <c r="OOH62" s="3461"/>
      <c r="OOI62" s="3461"/>
      <c r="OOJ62" s="3461"/>
      <c r="OOK62" s="3461"/>
      <c r="OOL62" s="3461"/>
      <c r="OOM62" s="3461"/>
      <c r="OON62" s="3461"/>
      <c r="OOO62" s="3461"/>
      <c r="OOP62" s="3461"/>
      <c r="OOQ62" s="3461"/>
      <c r="OOR62" s="3461"/>
      <c r="OOS62" s="3461"/>
      <c r="OOT62" s="3461"/>
      <c r="OOU62" s="3461"/>
      <c r="OOV62" s="3461"/>
      <c r="OOW62" s="3461"/>
      <c r="OOX62" s="3461"/>
      <c r="OOY62" s="3461"/>
      <c r="OOZ62" s="3461"/>
      <c r="OPA62" s="3461"/>
      <c r="OPB62" s="3461"/>
      <c r="OPC62" s="3461"/>
      <c r="OPD62" s="3461"/>
      <c r="OPE62" s="3461"/>
      <c r="OPF62" s="3461"/>
      <c r="OPG62" s="3461"/>
      <c r="OPH62" s="3461"/>
      <c r="OPI62" s="3461"/>
      <c r="OPJ62" s="3461"/>
      <c r="OPK62" s="3461"/>
      <c r="OPL62" s="3461"/>
      <c r="OPM62" s="3461"/>
      <c r="OPN62" s="3461"/>
      <c r="OPO62" s="3461"/>
      <c r="OPP62" s="3461"/>
      <c r="OPQ62" s="3461"/>
      <c r="OPR62" s="3461"/>
      <c r="OPS62" s="3461"/>
      <c r="OPT62" s="3461"/>
      <c r="OPU62" s="3461"/>
      <c r="OPV62" s="3461"/>
      <c r="OPW62" s="3461"/>
      <c r="OPX62" s="3461"/>
      <c r="OPY62" s="3461"/>
      <c r="OPZ62" s="3461"/>
      <c r="OQA62" s="3461"/>
      <c r="OQB62" s="3461"/>
      <c r="OQC62" s="3461"/>
      <c r="OQD62" s="3461"/>
      <c r="OQE62" s="3461"/>
      <c r="OQF62" s="3461"/>
      <c r="OQG62" s="3461"/>
      <c r="OQH62" s="3461"/>
      <c r="OQI62" s="3461"/>
      <c r="OQJ62" s="3461"/>
      <c r="OQK62" s="3461"/>
      <c r="OQL62" s="3461"/>
      <c r="OQM62" s="3461"/>
      <c r="OQN62" s="3461"/>
      <c r="OQO62" s="3461"/>
      <c r="OQP62" s="3461"/>
      <c r="OQQ62" s="3461"/>
      <c r="OQR62" s="3461"/>
      <c r="OQS62" s="3461"/>
      <c r="OQT62" s="3461"/>
      <c r="OQU62" s="3461"/>
      <c r="OQV62" s="3461"/>
      <c r="OQW62" s="3461"/>
      <c r="OQX62" s="3461"/>
      <c r="OQY62" s="3461"/>
      <c r="OQZ62" s="3461"/>
      <c r="ORA62" s="3461"/>
      <c r="ORB62" s="3461"/>
      <c r="ORC62" s="3461"/>
      <c r="ORD62" s="3461"/>
      <c r="ORE62" s="3461"/>
      <c r="ORF62" s="3461"/>
      <c r="ORG62" s="3461"/>
      <c r="ORH62" s="3461"/>
      <c r="ORI62" s="3461"/>
      <c r="ORJ62" s="3461"/>
      <c r="ORK62" s="3461"/>
      <c r="ORL62" s="3461"/>
      <c r="ORM62" s="3461"/>
      <c r="ORN62" s="3461"/>
      <c r="ORO62" s="3461"/>
      <c r="ORP62" s="3461"/>
      <c r="ORQ62" s="3461"/>
      <c r="ORR62" s="3461"/>
      <c r="ORS62" s="3461"/>
      <c r="ORT62" s="3461"/>
      <c r="ORU62" s="3461"/>
      <c r="ORV62" s="3461"/>
      <c r="ORW62" s="3461"/>
      <c r="ORX62" s="3461"/>
      <c r="ORY62" s="3461"/>
      <c r="ORZ62" s="3461"/>
      <c r="OSA62" s="3461"/>
      <c r="OSB62" s="3461"/>
      <c r="OSC62" s="3461"/>
      <c r="OSD62" s="3461"/>
      <c r="OSE62" s="3461"/>
      <c r="OSF62" s="3461"/>
      <c r="OSG62" s="3461"/>
      <c r="OSH62" s="3461"/>
      <c r="OSI62" s="3461"/>
      <c r="OSJ62" s="3461"/>
      <c r="OSK62" s="3461"/>
      <c r="OSL62" s="3461"/>
      <c r="OSM62" s="3461"/>
      <c r="OSN62" s="3461"/>
      <c r="OSO62" s="3461"/>
      <c r="OSP62" s="3461"/>
      <c r="OSQ62" s="3461"/>
      <c r="OSR62" s="3461"/>
      <c r="OSS62" s="3461"/>
      <c r="OST62" s="3461"/>
      <c r="OSU62" s="3461"/>
      <c r="OSV62" s="3461"/>
      <c r="OSW62" s="3461"/>
      <c r="OSX62" s="3461"/>
      <c r="OSY62" s="3461"/>
      <c r="OSZ62" s="3461"/>
      <c r="OTA62" s="3461"/>
      <c r="OTB62" s="3461"/>
      <c r="OTC62" s="3461"/>
      <c r="OTD62" s="3461"/>
      <c r="OTE62" s="3461"/>
      <c r="OTF62" s="3461"/>
      <c r="OTG62" s="3461"/>
      <c r="OTH62" s="3461"/>
      <c r="OTI62" s="3461"/>
      <c r="OTJ62" s="3461"/>
      <c r="OTK62" s="3461"/>
      <c r="OTL62" s="3461"/>
      <c r="OTM62" s="3461"/>
      <c r="OTN62" s="3461"/>
      <c r="OTO62" s="3461"/>
      <c r="OTP62" s="3461"/>
      <c r="OTQ62" s="3461"/>
      <c r="OTR62" s="3461"/>
      <c r="OTS62" s="3461"/>
      <c r="OTT62" s="3461"/>
      <c r="OTU62" s="3461"/>
      <c r="OTV62" s="3461"/>
      <c r="OTW62" s="3461"/>
      <c r="OTX62" s="3461"/>
      <c r="OTY62" s="3461"/>
      <c r="OTZ62" s="3461"/>
      <c r="OUA62" s="3461"/>
      <c r="OUB62" s="3461"/>
      <c r="OUC62" s="3461"/>
      <c r="OUD62" s="3461"/>
      <c r="OUE62" s="3461"/>
      <c r="OUF62" s="3461"/>
      <c r="OUG62" s="3461"/>
      <c r="OUH62" s="3461"/>
      <c r="OUI62" s="3461"/>
      <c r="OUJ62" s="3461"/>
      <c r="OUK62" s="3461"/>
      <c r="OUL62" s="3461"/>
      <c r="OUM62" s="3461"/>
      <c r="OUN62" s="3461"/>
      <c r="OUO62" s="3461"/>
      <c r="OUP62" s="3461"/>
      <c r="OUQ62" s="3461"/>
      <c r="OUR62" s="3461"/>
      <c r="OUS62" s="3461"/>
      <c r="OUT62" s="3461"/>
      <c r="OUU62" s="3461"/>
      <c r="OUV62" s="3461"/>
      <c r="OUW62" s="3461"/>
      <c r="OUX62" s="3461"/>
      <c r="OUY62" s="3461"/>
      <c r="OUZ62" s="3461"/>
      <c r="OVA62" s="3461"/>
      <c r="OVB62" s="3461"/>
      <c r="OVC62" s="3461"/>
      <c r="OVD62" s="3461"/>
      <c r="OVE62" s="3461"/>
      <c r="OVF62" s="3461"/>
      <c r="OVG62" s="3461"/>
      <c r="OVH62" s="3461"/>
      <c r="OVI62" s="3461"/>
      <c r="OVJ62" s="3461"/>
      <c r="OVK62" s="3461"/>
      <c r="OVL62" s="3461"/>
      <c r="OVM62" s="3461"/>
      <c r="OVN62" s="3461"/>
      <c r="OVO62" s="3461"/>
      <c r="OVP62" s="3461"/>
      <c r="OVQ62" s="3461"/>
      <c r="OVR62" s="3461"/>
      <c r="OVS62" s="3461"/>
      <c r="OVT62" s="3461"/>
      <c r="OVU62" s="3461"/>
      <c r="OVV62" s="3461"/>
      <c r="OVW62" s="3461"/>
      <c r="OVX62" s="3461"/>
      <c r="OVY62" s="3461"/>
      <c r="OVZ62" s="3461"/>
      <c r="OWA62" s="3461"/>
      <c r="OWB62" s="3461"/>
      <c r="OWC62" s="3461"/>
      <c r="OWD62" s="3461"/>
      <c r="OWE62" s="3461"/>
      <c r="OWF62" s="3461"/>
      <c r="OWG62" s="3461"/>
      <c r="OWH62" s="3461"/>
      <c r="OWI62" s="3461"/>
      <c r="OWJ62" s="3461"/>
      <c r="OWK62" s="3461"/>
      <c r="OWL62" s="3461"/>
      <c r="OWM62" s="3461"/>
      <c r="OWN62" s="3461"/>
      <c r="OWO62" s="3461"/>
      <c r="OWP62" s="3461"/>
      <c r="OWQ62" s="3461"/>
      <c r="OWR62" s="3461"/>
      <c r="OWS62" s="3461"/>
      <c r="OWT62" s="3461"/>
      <c r="OWU62" s="3461"/>
      <c r="OWV62" s="3461"/>
      <c r="OWW62" s="3461"/>
      <c r="OWX62" s="3461"/>
      <c r="OWY62" s="3461"/>
      <c r="OWZ62" s="3461"/>
      <c r="OXA62" s="3461"/>
      <c r="OXB62" s="3461"/>
      <c r="OXC62" s="3461"/>
      <c r="OXD62" s="3461"/>
      <c r="OXE62" s="3461"/>
      <c r="OXF62" s="3461"/>
      <c r="OXG62" s="3461"/>
      <c r="OXH62" s="3461"/>
      <c r="OXI62" s="3461"/>
      <c r="OXJ62" s="3461"/>
      <c r="OXK62" s="3461"/>
      <c r="OXL62" s="3461"/>
      <c r="OXM62" s="3461"/>
      <c r="OXN62" s="3461"/>
      <c r="OXO62" s="3461"/>
      <c r="OXP62" s="3461"/>
      <c r="OXQ62" s="3461"/>
      <c r="OXR62" s="3461"/>
      <c r="OXS62" s="3461"/>
      <c r="OXT62" s="3461"/>
      <c r="OXU62" s="3461"/>
      <c r="OXV62" s="3461"/>
      <c r="OXW62" s="3461"/>
      <c r="OXX62" s="3461"/>
      <c r="OXY62" s="3461"/>
      <c r="OXZ62" s="3461"/>
      <c r="OYA62" s="3461"/>
      <c r="OYB62" s="3461"/>
      <c r="OYC62" s="3461"/>
      <c r="OYD62" s="3461"/>
      <c r="OYE62" s="3461"/>
      <c r="OYF62" s="3461"/>
      <c r="OYG62" s="3461"/>
      <c r="OYH62" s="3461"/>
      <c r="OYI62" s="3461"/>
      <c r="OYJ62" s="3461"/>
      <c r="OYK62" s="3461"/>
      <c r="OYL62" s="3461"/>
      <c r="OYM62" s="3461"/>
      <c r="OYN62" s="3461"/>
      <c r="OYO62" s="3461"/>
      <c r="OYP62" s="3461"/>
      <c r="OYQ62" s="3461"/>
      <c r="OYR62" s="3461"/>
      <c r="OYS62" s="3461"/>
      <c r="OYT62" s="3461"/>
      <c r="OYU62" s="3461"/>
      <c r="OYV62" s="3461"/>
      <c r="OYW62" s="3461"/>
      <c r="OYX62" s="3461"/>
      <c r="OYY62" s="3461"/>
      <c r="OYZ62" s="3461"/>
      <c r="OZA62" s="3461"/>
      <c r="OZB62" s="3461"/>
      <c r="OZC62" s="3461"/>
      <c r="OZD62" s="3461"/>
      <c r="OZE62" s="3461"/>
      <c r="OZF62" s="3461"/>
      <c r="OZG62" s="3461"/>
      <c r="OZH62" s="3461"/>
      <c r="OZI62" s="3461"/>
      <c r="OZJ62" s="3461"/>
      <c r="OZK62" s="3461"/>
      <c r="OZL62" s="3461"/>
      <c r="OZM62" s="3461"/>
      <c r="OZN62" s="3461"/>
      <c r="OZO62" s="3461"/>
      <c r="OZP62" s="3461"/>
      <c r="OZQ62" s="3461"/>
      <c r="OZR62" s="3461"/>
      <c r="OZS62" s="3461"/>
      <c r="OZT62" s="3461"/>
      <c r="OZU62" s="3461"/>
      <c r="OZV62" s="3461"/>
      <c r="OZW62" s="3461"/>
      <c r="OZX62" s="3461"/>
      <c r="OZY62" s="3461"/>
      <c r="OZZ62" s="3461"/>
      <c r="PAA62" s="3461"/>
      <c r="PAB62" s="3461"/>
      <c r="PAC62" s="3461"/>
      <c r="PAD62" s="3461"/>
      <c r="PAE62" s="3461"/>
      <c r="PAF62" s="3461"/>
      <c r="PAG62" s="3461"/>
      <c r="PAH62" s="3461"/>
      <c r="PAI62" s="3461"/>
      <c r="PAJ62" s="3461"/>
      <c r="PAK62" s="3461"/>
      <c r="PAL62" s="3461"/>
      <c r="PAM62" s="3461"/>
      <c r="PAN62" s="3461"/>
      <c r="PAO62" s="3461"/>
      <c r="PAP62" s="3461"/>
      <c r="PAQ62" s="3461"/>
      <c r="PAR62" s="3461"/>
      <c r="PAS62" s="3461"/>
      <c r="PAT62" s="3461"/>
      <c r="PAU62" s="3461"/>
      <c r="PAV62" s="3461"/>
      <c r="PAW62" s="3461"/>
      <c r="PAX62" s="3461"/>
      <c r="PAY62" s="3461"/>
      <c r="PAZ62" s="3461"/>
      <c r="PBA62" s="3461"/>
      <c r="PBB62" s="3461"/>
      <c r="PBC62" s="3461"/>
      <c r="PBD62" s="3461"/>
      <c r="PBE62" s="3461"/>
      <c r="PBF62" s="3461"/>
      <c r="PBG62" s="3461"/>
      <c r="PBH62" s="3461"/>
      <c r="PBI62" s="3461"/>
      <c r="PBJ62" s="3461"/>
      <c r="PBK62" s="3461"/>
      <c r="PBL62" s="3461"/>
      <c r="PBM62" s="3461"/>
      <c r="PBN62" s="3461"/>
      <c r="PBO62" s="3461"/>
      <c r="PBP62" s="3461"/>
      <c r="PBQ62" s="3461"/>
      <c r="PBR62" s="3461"/>
      <c r="PBS62" s="3461"/>
      <c r="PBT62" s="3461"/>
      <c r="PBU62" s="3461"/>
      <c r="PBV62" s="3461"/>
      <c r="PBW62" s="3461"/>
      <c r="PBX62" s="3461"/>
      <c r="PBY62" s="3461"/>
      <c r="PBZ62" s="3461"/>
      <c r="PCA62" s="3461"/>
      <c r="PCB62" s="3461"/>
      <c r="PCC62" s="3461"/>
      <c r="PCD62" s="3461"/>
      <c r="PCE62" s="3461"/>
      <c r="PCF62" s="3461"/>
      <c r="PCG62" s="3461"/>
      <c r="PCH62" s="3461"/>
      <c r="PCI62" s="3461"/>
      <c r="PCJ62" s="3461"/>
      <c r="PCK62" s="3461"/>
      <c r="PCL62" s="3461"/>
      <c r="PCM62" s="3461"/>
      <c r="PCN62" s="3461"/>
      <c r="PCO62" s="3461"/>
      <c r="PCP62" s="3461"/>
      <c r="PCQ62" s="3461"/>
      <c r="PCR62" s="3461"/>
      <c r="PCS62" s="3461"/>
      <c r="PCT62" s="3461"/>
      <c r="PCU62" s="3461"/>
      <c r="PCV62" s="3461"/>
      <c r="PCW62" s="3461"/>
      <c r="PCX62" s="3461"/>
      <c r="PCY62" s="3461"/>
      <c r="PCZ62" s="3461"/>
      <c r="PDA62" s="3461"/>
      <c r="PDB62" s="3461"/>
      <c r="PDC62" s="3461"/>
      <c r="PDD62" s="3461"/>
      <c r="PDE62" s="3461"/>
      <c r="PDF62" s="3461"/>
      <c r="PDG62" s="3461"/>
      <c r="PDH62" s="3461"/>
      <c r="PDI62" s="3461"/>
      <c r="PDJ62" s="3461"/>
      <c r="PDK62" s="3461"/>
      <c r="PDL62" s="3461"/>
      <c r="PDM62" s="3461"/>
      <c r="PDN62" s="3461"/>
      <c r="PDO62" s="3461"/>
      <c r="PDP62" s="3461"/>
      <c r="PDQ62" s="3461"/>
      <c r="PDR62" s="3461"/>
      <c r="PDS62" s="3461"/>
      <c r="PDT62" s="3461"/>
      <c r="PDU62" s="3461"/>
      <c r="PDV62" s="3461"/>
      <c r="PDW62" s="3461"/>
      <c r="PDX62" s="3461"/>
      <c r="PDY62" s="3461"/>
      <c r="PDZ62" s="3461"/>
      <c r="PEA62" s="3461"/>
      <c r="PEB62" s="3461"/>
      <c r="PEC62" s="3461"/>
      <c r="PED62" s="3461"/>
      <c r="PEE62" s="3461"/>
      <c r="PEF62" s="3461"/>
      <c r="PEG62" s="3461"/>
      <c r="PEH62" s="3461"/>
      <c r="PEI62" s="3461"/>
      <c r="PEJ62" s="3461"/>
      <c r="PEK62" s="3461"/>
      <c r="PEL62" s="3461"/>
      <c r="PEM62" s="3461"/>
      <c r="PEN62" s="3461"/>
      <c r="PEO62" s="3461"/>
      <c r="PEP62" s="3461"/>
      <c r="PEQ62" s="3461"/>
      <c r="PER62" s="3461"/>
      <c r="PES62" s="3461"/>
      <c r="PET62" s="3461"/>
      <c r="PEU62" s="3461"/>
      <c r="PEV62" s="3461"/>
      <c r="PEW62" s="3461"/>
      <c r="PEX62" s="3461"/>
      <c r="PEY62" s="3461"/>
      <c r="PEZ62" s="3461"/>
      <c r="PFA62" s="3461"/>
      <c r="PFB62" s="3461"/>
      <c r="PFC62" s="3461"/>
      <c r="PFD62" s="3461"/>
      <c r="PFE62" s="3461"/>
      <c r="PFF62" s="3461"/>
      <c r="PFG62" s="3461"/>
      <c r="PFH62" s="3461"/>
      <c r="PFI62" s="3461"/>
      <c r="PFJ62" s="3461"/>
      <c r="PFK62" s="3461"/>
      <c r="PFL62" s="3461"/>
      <c r="PFM62" s="3461"/>
      <c r="PFN62" s="3461"/>
      <c r="PFO62" s="3461"/>
      <c r="PFP62" s="3461"/>
      <c r="PFQ62" s="3461"/>
      <c r="PFR62" s="3461"/>
      <c r="PFS62" s="3461"/>
      <c r="PFT62" s="3461"/>
      <c r="PFU62" s="3461"/>
      <c r="PFV62" s="3461"/>
      <c r="PFW62" s="3461"/>
      <c r="PFX62" s="3461"/>
      <c r="PFY62" s="3461"/>
      <c r="PFZ62" s="3461"/>
      <c r="PGA62" s="3461"/>
      <c r="PGB62" s="3461"/>
      <c r="PGC62" s="3461"/>
      <c r="PGD62" s="3461"/>
      <c r="PGE62" s="3461"/>
      <c r="PGF62" s="3461"/>
      <c r="PGG62" s="3461"/>
      <c r="PGH62" s="3461"/>
      <c r="PGI62" s="3461"/>
      <c r="PGJ62" s="3461"/>
      <c r="PGK62" s="3461"/>
      <c r="PGL62" s="3461"/>
      <c r="PGM62" s="3461"/>
      <c r="PGN62" s="3461"/>
      <c r="PGO62" s="3461"/>
      <c r="PGP62" s="3461"/>
      <c r="PGQ62" s="3461"/>
      <c r="PGR62" s="3461"/>
      <c r="PGS62" s="3461"/>
      <c r="PGT62" s="3461"/>
      <c r="PGU62" s="3461"/>
      <c r="PGV62" s="3461"/>
      <c r="PGW62" s="3461"/>
      <c r="PGX62" s="3461"/>
      <c r="PGY62" s="3461"/>
      <c r="PGZ62" s="3461"/>
      <c r="PHA62" s="3461"/>
      <c r="PHB62" s="3461"/>
      <c r="PHC62" s="3461"/>
      <c r="PHD62" s="3461"/>
      <c r="PHE62" s="3461"/>
      <c r="PHF62" s="3461"/>
      <c r="PHG62" s="3461"/>
      <c r="PHH62" s="3461"/>
      <c r="PHI62" s="3461"/>
      <c r="PHJ62" s="3461"/>
      <c r="PHK62" s="3461"/>
      <c r="PHL62" s="3461"/>
      <c r="PHM62" s="3461"/>
      <c r="PHN62" s="3461"/>
      <c r="PHO62" s="3461"/>
      <c r="PHP62" s="3461"/>
      <c r="PHQ62" s="3461"/>
      <c r="PHR62" s="3461"/>
      <c r="PHS62" s="3461"/>
      <c r="PHT62" s="3461"/>
      <c r="PHU62" s="3461"/>
      <c r="PHV62" s="3461"/>
      <c r="PHW62" s="3461"/>
      <c r="PHX62" s="3461"/>
      <c r="PHY62" s="3461"/>
      <c r="PHZ62" s="3461"/>
      <c r="PIA62" s="3461"/>
      <c r="PIB62" s="3461"/>
      <c r="PIC62" s="3461"/>
      <c r="PID62" s="3461"/>
      <c r="PIE62" s="3461"/>
      <c r="PIF62" s="3461"/>
      <c r="PIG62" s="3461"/>
      <c r="PIH62" s="3461"/>
      <c r="PII62" s="3461"/>
      <c r="PIJ62" s="3461"/>
      <c r="PIK62" s="3461"/>
      <c r="PIL62" s="3461"/>
      <c r="PIM62" s="3461"/>
      <c r="PIN62" s="3461"/>
      <c r="PIO62" s="3461"/>
      <c r="PIP62" s="3461"/>
      <c r="PIQ62" s="3461"/>
      <c r="PIR62" s="3461"/>
      <c r="PIS62" s="3461"/>
      <c r="PIT62" s="3461"/>
      <c r="PIU62" s="3461"/>
      <c r="PIV62" s="3461"/>
      <c r="PIW62" s="3461"/>
      <c r="PIX62" s="3461"/>
      <c r="PIY62" s="3461"/>
      <c r="PIZ62" s="3461"/>
      <c r="PJA62" s="3461"/>
      <c r="PJB62" s="3461"/>
      <c r="PJC62" s="3461"/>
      <c r="PJD62" s="3461"/>
      <c r="PJE62" s="3461"/>
      <c r="PJF62" s="3461"/>
      <c r="PJG62" s="3461"/>
      <c r="PJH62" s="3461"/>
      <c r="PJI62" s="3461"/>
      <c r="PJJ62" s="3461"/>
      <c r="PJK62" s="3461"/>
      <c r="PJL62" s="3461"/>
      <c r="PJM62" s="3461"/>
      <c r="PJN62" s="3461"/>
      <c r="PJO62" s="3461"/>
      <c r="PJP62" s="3461"/>
      <c r="PJQ62" s="3461"/>
      <c r="PJR62" s="3461"/>
      <c r="PJS62" s="3461"/>
      <c r="PJT62" s="3461"/>
      <c r="PJU62" s="3461"/>
      <c r="PJV62" s="3461"/>
      <c r="PJW62" s="3461"/>
      <c r="PJX62" s="3461"/>
      <c r="PJY62" s="3461"/>
      <c r="PJZ62" s="3461"/>
      <c r="PKA62" s="3461"/>
      <c r="PKB62" s="3461"/>
      <c r="PKC62" s="3461"/>
      <c r="PKD62" s="3461"/>
      <c r="PKE62" s="3461"/>
      <c r="PKF62" s="3461"/>
      <c r="PKG62" s="3461"/>
      <c r="PKH62" s="3461"/>
      <c r="PKI62" s="3461"/>
      <c r="PKJ62" s="3461"/>
      <c r="PKK62" s="3461"/>
      <c r="PKL62" s="3461"/>
      <c r="PKM62" s="3461"/>
      <c r="PKN62" s="3461"/>
      <c r="PKO62" s="3461"/>
      <c r="PKP62" s="3461"/>
      <c r="PKQ62" s="3461"/>
      <c r="PKR62" s="3461"/>
      <c r="PKS62" s="3461"/>
      <c r="PKT62" s="3461"/>
      <c r="PKU62" s="3461"/>
      <c r="PKV62" s="3461"/>
      <c r="PKW62" s="3461"/>
      <c r="PKX62" s="3461"/>
      <c r="PKY62" s="3461"/>
      <c r="PKZ62" s="3461"/>
      <c r="PLA62" s="3461"/>
      <c r="PLB62" s="3461"/>
      <c r="PLC62" s="3461"/>
      <c r="PLD62" s="3461"/>
      <c r="PLE62" s="3461"/>
      <c r="PLF62" s="3461"/>
      <c r="PLG62" s="3461"/>
      <c r="PLH62" s="3461"/>
      <c r="PLI62" s="3461"/>
      <c r="PLJ62" s="3461"/>
      <c r="PLK62" s="3461"/>
      <c r="PLL62" s="3461"/>
      <c r="PLM62" s="3461"/>
      <c r="PLN62" s="3461"/>
      <c r="PLO62" s="3461"/>
      <c r="PLP62" s="3461"/>
      <c r="PLQ62" s="3461"/>
      <c r="PLR62" s="3461"/>
      <c r="PLS62" s="3461"/>
      <c r="PLT62" s="3461"/>
      <c r="PLU62" s="3461"/>
      <c r="PLV62" s="3461"/>
      <c r="PLW62" s="3461"/>
      <c r="PLX62" s="3461"/>
      <c r="PLY62" s="3461"/>
      <c r="PLZ62" s="3461"/>
      <c r="PMA62" s="3461"/>
      <c r="PMB62" s="3461"/>
      <c r="PMC62" s="3461"/>
      <c r="PMD62" s="3461"/>
      <c r="PME62" s="3461"/>
      <c r="PMF62" s="3461"/>
      <c r="PMG62" s="3461"/>
      <c r="PMH62" s="3461"/>
      <c r="PMI62" s="3461"/>
      <c r="PMJ62" s="3461"/>
      <c r="PMK62" s="3461"/>
      <c r="PML62" s="3461"/>
      <c r="PMM62" s="3461"/>
      <c r="PMN62" s="3461"/>
      <c r="PMO62" s="3461"/>
      <c r="PMP62" s="3461"/>
      <c r="PMQ62" s="3461"/>
      <c r="PMR62" s="3461"/>
      <c r="PMS62" s="3461"/>
      <c r="PMT62" s="3461"/>
      <c r="PMU62" s="3461"/>
      <c r="PMV62" s="3461"/>
      <c r="PMW62" s="3461"/>
      <c r="PMX62" s="3461"/>
      <c r="PMY62" s="3461"/>
      <c r="PMZ62" s="3461"/>
      <c r="PNA62" s="3461"/>
      <c r="PNB62" s="3461"/>
      <c r="PNC62" s="3461"/>
      <c r="PND62" s="3461"/>
      <c r="PNE62" s="3461"/>
      <c r="PNF62" s="3461"/>
      <c r="PNG62" s="3461"/>
      <c r="PNH62" s="3461"/>
      <c r="PNI62" s="3461"/>
      <c r="PNJ62" s="3461"/>
      <c r="PNK62" s="3461"/>
      <c r="PNL62" s="3461"/>
      <c r="PNM62" s="3461"/>
      <c r="PNN62" s="3461"/>
      <c r="PNO62" s="3461"/>
      <c r="PNP62" s="3461"/>
      <c r="PNQ62" s="3461"/>
      <c r="PNR62" s="3461"/>
      <c r="PNS62" s="3461"/>
      <c r="PNT62" s="3461"/>
      <c r="PNU62" s="3461"/>
      <c r="PNV62" s="3461"/>
      <c r="PNW62" s="3461"/>
      <c r="PNX62" s="3461"/>
      <c r="PNY62" s="3461"/>
      <c r="PNZ62" s="3461"/>
      <c r="POA62" s="3461"/>
      <c r="POB62" s="3461"/>
      <c r="POC62" s="3461"/>
      <c r="POD62" s="3461"/>
      <c r="POE62" s="3461"/>
      <c r="POF62" s="3461"/>
      <c r="POG62" s="3461"/>
      <c r="POH62" s="3461"/>
      <c r="POI62" s="3461"/>
      <c r="POJ62" s="3461"/>
      <c r="POK62" s="3461"/>
      <c r="POL62" s="3461"/>
      <c r="POM62" s="3461"/>
      <c r="PON62" s="3461"/>
      <c r="POO62" s="3461"/>
      <c r="POP62" s="3461"/>
      <c r="POQ62" s="3461"/>
      <c r="POR62" s="3461"/>
      <c r="POS62" s="3461"/>
      <c r="POT62" s="3461"/>
      <c r="POU62" s="3461"/>
      <c r="POV62" s="3461"/>
      <c r="POW62" s="3461"/>
      <c r="POX62" s="3461"/>
      <c r="POY62" s="3461"/>
      <c r="POZ62" s="3461"/>
      <c r="PPA62" s="3461"/>
      <c r="PPB62" s="3461"/>
      <c r="PPC62" s="3461"/>
      <c r="PPD62" s="3461"/>
      <c r="PPE62" s="3461"/>
      <c r="PPF62" s="3461"/>
      <c r="PPG62" s="3461"/>
      <c r="PPH62" s="3461"/>
      <c r="PPI62" s="3461"/>
      <c r="PPJ62" s="3461"/>
      <c r="PPK62" s="3461"/>
      <c r="PPL62" s="3461"/>
      <c r="PPM62" s="3461"/>
      <c r="PPN62" s="3461"/>
      <c r="PPO62" s="3461"/>
      <c r="PPP62" s="3461"/>
      <c r="PPQ62" s="3461"/>
      <c r="PPR62" s="3461"/>
      <c r="PPS62" s="3461"/>
      <c r="PPT62" s="3461"/>
      <c r="PPU62" s="3461"/>
      <c r="PPV62" s="3461"/>
      <c r="PPW62" s="3461"/>
      <c r="PPX62" s="3461"/>
      <c r="PPY62" s="3461"/>
      <c r="PPZ62" s="3461"/>
      <c r="PQA62" s="3461"/>
      <c r="PQB62" s="3461"/>
      <c r="PQC62" s="3461"/>
      <c r="PQD62" s="3461"/>
      <c r="PQE62" s="3461"/>
      <c r="PQF62" s="3461"/>
      <c r="PQG62" s="3461"/>
      <c r="PQH62" s="3461"/>
      <c r="PQI62" s="3461"/>
      <c r="PQJ62" s="3461"/>
      <c r="PQK62" s="3461"/>
      <c r="PQL62" s="3461"/>
      <c r="PQM62" s="3461"/>
      <c r="PQN62" s="3461"/>
      <c r="PQO62" s="3461"/>
      <c r="PQP62" s="3461"/>
      <c r="PQQ62" s="3461"/>
      <c r="PQR62" s="3461"/>
      <c r="PQS62" s="3461"/>
      <c r="PQT62" s="3461"/>
      <c r="PQU62" s="3461"/>
      <c r="PQV62" s="3461"/>
      <c r="PQW62" s="3461"/>
      <c r="PQX62" s="3461"/>
      <c r="PQY62" s="3461"/>
      <c r="PQZ62" s="3461"/>
      <c r="PRA62" s="3461"/>
      <c r="PRB62" s="3461"/>
      <c r="PRC62" s="3461"/>
      <c r="PRD62" s="3461"/>
      <c r="PRE62" s="3461"/>
      <c r="PRF62" s="3461"/>
      <c r="PRG62" s="3461"/>
      <c r="PRH62" s="3461"/>
      <c r="PRI62" s="3461"/>
      <c r="PRJ62" s="3461"/>
      <c r="PRK62" s="3461"/>
      <c r="PRL62" s="3461"/>
      <c r="PRM62" s="3461"/>
      <c r="PRN62" s="3461"/>
      <c r="PRO62" s="3461"/>
      <c r="PRP62" s="3461"/>
      <c r="PRQ62" s="3461"/>
      <c r="PRR62" s="3461"/>
      <c r="PRS62" s="3461"/>
      <c r="PRT62" s="3461"/>
      <c r="PRU62" s="3461"/>
      <c r="PRV62" s="3461"/>
      <c r="PRW62" s="3461"/>
      <c r="PRX62" s="3461"/>
      <c r="PRY62" s="3461"/>
      <c r="PRZ62" s="3461"/>
      <c r="PSA62" s="3461"/>
      <c r="PSB62" s="3461"/>
      <c r="PSC62" s="3461"/>
      <c r="PSD62" s="3461"/>
      <c r="PSE62" s="3461"/>
      <c r="PSF62" s="3461"/>
      <c r="PSG62" s="3461"/>
      <c r="PSH62" s="3461"/>
      <c r="PSI62" s="3461"/>
      <c r="PSJ62" s="3461"/>
      <c r="PSK62" s="3461"/>
      <c r="PSL62" s="3461"/>
      <c r="PSM62" s="3461"/>
      <c r="PSN62" s="3461"/>
      <c r="PSO62" s="3461"/>
      <c r="PSP62" s="3461"/>
      <c r="PSQ62" s="3461"/>
      <c r="PSR62" s="3461"/>
      <c r="PSS62" s="3461"/>
      <c r="PST62" s="3461"/>
      <c r="PSU62" s="3461"/>
      <c r="PSV62" s="3461"/>
      <c r="PSW62" s="3461"/>
      <c r="PSX62" s="3461"/>
      <c r="PSY62" s="3461"/>
      <c r="PSZ62" s="3461"/>
      <c r="PTA62" s="3461"/>
      <c r="PTB62" s="3461"/>
      <c r="PTC62" s="3461"/>
      <c r="PTD62" s="3461"/>
      <c r="PTE62" s="3461"/>
      <c r="PTF62" s="3461"/>
      <c r="PTG62" s="3461"/>
      <c r="PTH62" s="3461"/>
      <c r="PTI62" s="3461"/>
      <c r="PTJ62" s="3461"/>
      <c r="PTK62" s="3461"/>
      <c r="PTL62" s="3461"/>
      <c r="PTM62" s="3461"/>
      <c r="PTN62" s="3461"/>
      <c r="PTO62" s="3461"/>
      <c r="PTP62" s="3461"/>
      <c r="PTQ62" s="3461"/>
      <c r="PTR62" s="3461"/>
      <c r="PTS62" s="3461"/>
      <c r="PTT62" s="3461"/>
      <c r="PTU62" s="3461"/>
      <c r="PTV62" s="3461"/>
      <c r="PTW62" s="3461"/>
      <c r="PTX62" s="3461"/>
      <c r="PTY62" s="3461"/>
      <c r="PTZ62" s="3461"/>
      <c r="PUA62" s="3461"/>
      <c r="PUB62" s="3461"/>
      <c r="PUC62" s="3461"/>
      <c r="PUD62" s="3461"/>
      <c r="PUE62" s="3461"/>
      <c r="PUF62" s="3461"/>
      <c r="PUG62" s="3461"/>
      <c r="PUH62" s="3461"/>
      <c r="PUI62" s="3461"/>
      <c r="PUJ62" s="3461"/>
      <c r="PUK62" s="3461"/>
      <c r="PUL62" s="3461"/>
      <c r="PUM62" s="3461"/>
      <c r="PUN62" s="3461"/>
      <c r="PUO62" s="3461"/>
      <c r="PUP62" s="3461"/>
      <c r="PUQ62" s="3461"/>
      <c r="PUR62" s="3461"/>
      <c r="PUS62" s="3461"/>
      <c r="PUT62" s="3461"/>
      <c r="PUU62" s="3461"/>
      <c r="PUV62" s="3461"/>
      <c r="PUW62" s="3461"/>
      <c r="PUX62" s="3461"/>
      <c r="PUY62" s="3461"/>
      <c r="PUZ62" s="3461"/>
      <c r="PVA62" s="3461"/>
      <c r="PVB62" s="3461"/>
      <c r="PVC62" s="3461"/>
      <c r="PVD62" s="3461"/>
      <c r="PVE62" s="3461"/>
      <c r="PVF62" s="3461"/>
      <c r="PVG62" s="3461"/>
      <c r="PVH62" s="3461"/>
      <c r="PVI62" s="3461"/>
      <c r="PVJ62" s="3461"/>
      <c r="PVK62" s="3461"/>
      <c r="PVL62" s="3461"/>
      <c r="PVM62" s="3461"/>
      <c r="PVN62" s="3461"/>
      <c r="PVO62" s="3461"/>
      <c r="PVP62" s="3461"/>
      <c r="PVQ62" s="3461"/>
      <c r="PVR62" s="3461"/>
      <c r="PVS62" s="3461"/>
      <c r="PVT62" s="3461"/>
      <c r="PVU62" s="3461"/>
      <c r="PVV62" s="3461"/>
      <c r="PVW62" s="3461"/>
      <c r="PVX62" s="3461"/>
      <c r="PVY62" s="3461"/>
      <c r="PVZ62" s="3461"/>
      <c r="PWA62" s="3461"/>
      <c r="PWB62" s="3461"/>
      <c r="PWC62" s="3461"/>
      <c r="PWD62" s="3461"/>
      <c r="PWE62" s="3461"/>
      <c r="PWF62" s="3461"/>
      <c r="PWG62" s="3461"/>
      <c r="PWH62" s="3461"/>
      <c r="PWI62" s="3461"/>
      <c r="PWJ62" s="3461"/>
      <c r="PWK62" s="3461"/>
      <c r="PWL62" s="3461"/>
      <c r="PWM62" s="3461"/>
      <c r="PWN62" s="3461"/>
      <c r="PWO62" s="3461"/>
      <c r="PWP62" s="3461"/>
      <c r="PWQ62" s="3461"/>
      <c r="PWR62" s="3461"/>
      <c r="PWS62" s="3461"/>
      <c r="PWT62" s="3461"/>
      <c r="PWU62" s="3461"/>
      <c r="PWV62" s="3461"/>
      <c r="PWW62" s="3461"/>
      <c r="PWX62" s="3461"/>
      <c r="PWY62" s="3461"/>
      <c r="PWZ62" s="3461"/>
      <c r="PXA62" s="3461"/>
      <c r="PXB62" s="3461"/>
      <c r="PXC62" s="3461"/>
      <c r="PXD62" s="3461"/>
      <c r="PXE62" s="3461"/>
      <c r="PXF62" s="3461"/>
      <c r="PXG62" s="3461"/>
      <c r="PXH62" s="3461"/>
      <c r="PXI62" s="3461"/>
      <c r="PXJ62" s="3461"/>
      <c r="PXK62" s="3461"/>
      <c r="PXL62" s="3461"/>
      <c r="PXM62" s="3461"/>
      <c r="PXN62" s="3461"/>
      <c r="PXO62" s="3461"/>
      <c r="PXP62" s="3461"/>
      <c r="PXQ62" s="3461"/>
      <c r="PXR62" s="3461"/>
      <c r="PXS62" s="3461"/>
      <c r="PXT62" s="3461"/>
      <c r="PXU62" s="3461"/>
      <c r="PXV62" s="3461"/>
      <c r="PXW62" s="3461"/>
      <c r="PXX62" s="3461"/>
      <c r="PXY62" s="3461"/>
      <c r="PXZ62" s="3461"/>
      <c r="PYA62" s="3461"/>
      <c r="PYB62" s="3461"/>
      <c r="PYC62" s="3461"/>
      <c r="PYD62" s="3461"/>
      <c r="PYE62" s="3461"/>
      <c r="PYF62" s="3461"/>
      <c r="PYG62" s="3461"/>
      <c r="PYH62" s="3461"/>
      <c r="PYI62" s="3461"/>
      <c r="PYJ62" s="3461"/>
      <c r="PYK62" s="3461"/>
      <c r="PYL62" s="3461"/>
      <c r="PYM62" s="3461"/>
      <c r="PYN62" s="3461"/>
      <c r="PYO62" s="3461"/>
      <c r="PYP62" s="3461"/>
      <c r="PYQ62" s="3461"/>
      <c r="PYR62" s="3461"/>
      <c r="PYS62" s="3461"/>
      <c r="PYT62" s="3461"/>
      <c r="PYU62" s="3461"/>
      <c r="PYV62" s="3461"/>
      <c r="PYW62" s="3461"/>
      <c r="PYX62" s="3461"/>
      <c r="PYY62" s="3461"/>
      <c r="PYZ62" s="3461"/>
      <c r="PZA62" s="3461"/>
      <c r="PZB62" s="3461"/>
      <c r="PZC62" s="3461"/>
      <c r="PZD62" s="3461"/>
      <c r="PZE62" s="3461"/>
      <c r="PZF62" s="3461"/>
      <c r="PZG62" s="3461"/>
      <c r="PZH62" s="3461"/>
      <c r="PZI62" s="3461"/>
      <c r="PZJ62" s="3461"/>
      <c r="PZK62" s="3461"/>
      <c r="PZL62" s="3461"/>
      <c r="PZM62" s="3461"/>
      <c r="PZN62" s="3461"/>
      <c r="PZO62" s="3461"/>
      <c r="PZP62" s="3461"/>
      <c r="PZQ62" s="3461"/>
      <c r="PZR62" s="3461"/>
      <c r="PZS62" s="3461"/>
      <c r="PZT62" s="3461"/>
      <c r="PZU62" s="3461"/>
      <c r="PZV62" s="3461"/>
      <c r="PZW62" s="3461"/>
      <c r="PZX62" s="3461"/>
      <c r="PZY62" s="3461"/>
      <c r="PZZ62" s="3461"/>
      <c r="QAA62" s="3461"/>
      <c r="QAB62" s="3461"/>
      <c r="QAC62" s="3461"/>
      <c r="QAD62" s="3461"/>
      <c r="QAE62" s="3461"/>
      <c r="QAF62" s="3461"/>
      <c r="QAG62" s="3461"/>
      <c r="QAH62" s="3461"/>
      <c r="QAI62" s="3461"/>
      <c r="QAJ62" s="3461"/>
      <c r="QAK62" s="3461"/>
      <c r="QAL62" s="3461"/>
      <c r="QAM62" s="3461"/>
      <c r="QAN62" s="3461"/>
      <c r="QAO62" s="3461"/>
      <c r="QAP62" s="3461"/>
      <c r="QAQ62" s="3461"/>
      <c r="QAR62" s="3461"/>
      <c r="QAS62" s="3461"/>
      <c r="QAT62" s="3461"/>
      <c r="QAU62" s="3461"/>
      <c r="QAV62" s="3461"/>
      <c r="QAW62" s="3461"/>
      <c r="QAX62" s="3461"/>
      <c r="QAY62" s="3461"/>
      <c r="QAZ62" s="3461"/>
      <c r="QBA62" s="3461"/>
      <c r="QBB62" s="3461"/>
      <c r="QBC62" s="3461"/>
      <c r="QBD62" s="3461"/>
      <c r="QBE62" s="3461"/>
      <c r="QBF62" s="3461"/>
      <c r="QBG62" s="3461"/>
      <c r="QBH62" s="3461"/>
      <c r="QBI62" s="3461"/>
      <c r="QBJ62" s="3461"/>
      <c r="QBK62" s="3461"/>
      <c r="QBL62" s="3461"/>
      <c r="QBM62" s="3461"/>
      <c r="QBN62" s="3461"/>
      <c r="QBO62" s="3461"/>
      <c r="QBP62" s="3461"/>
      <c r="QBQ62" s="3461"/>
      <c r="QBR62" s="3461"/>
      <c r="QBS62" s="3461"/>
      <c r="QBT62" s="3461"/>
      <c r="QBU62" s="3461"/>
      <c r="QBV62" s="3461"/>
      <c r="QBW62" s="3461"/>
      <c r="QBX62" s="3461"/>
      <c r="QBY62" s="3461"/>
      <c r="QBZ62" s="3461"/>
      <c r="QCA62" s="3461"/>
      <c r="QCB62" s="3461"/>
      <c r="QCC62" s="3461"/>
      <c r="QCD62" s="3461"/>
      <c r="QCE62" s="3461"/>
      <c r="QCF62" s="3461"/>
      <c r="QCG62" s="3461"/>
      <c r="QCH62" s="3461"/>
      <c r="QCI62" s="3461"/>
      <c r="QCJ62" s="3461"/>
      <c r="QCK62" s="3461"/>
      <c r="QCL62" s="3461"/>
      <c r="QCM62" s="3461"/>
      <c r="QCN62" s="3461"/>
      <c r="QCO62" s="3461"/>
      <c r="QCP62" s="3461"/>
      <c r="QCQ62" s="3461"/>
      <c r="QCR62" s="3461"/>
      <c r="QCS62" s="3461"/>
      <c r="QCT62" s="3461"/>
      <c r="QCU62" s="3461"/>
      <c r="QCV62" s="3461"/>
      <c r="QCW62" s="3461"/>
      <c r="QCX62" s="3461"/>
      <c r="QCY62" s="3461"/>
      <c r="QCZ62" s="3461"/>
      <c r="QDA62" s="3461"/>
      <c r="QDB62" s="3461"/>
      <c r="QDC62" s="3461"/>
      <c r="QDD62" s="3461"/>
      <c r="QDE62" s="3461"/>
      <c r="QDF62" s="3461"/>
      <c r="QDG62" s="3461"/>
      <c r="QDH62" s="3461"/>
      <c r="QDI62" s="3461"/>
      <c r="QDJ62" s="3461"/>
      <c r="QDK62" s="3461"/>
      <c r="QDL62" s="3461"/>
      <c r="QDM62" s="3461"/>
      <c r="QDN62" s="3461"/>
      <c r="QDO62" s="3461"/>
      <c r="QDP62" s="3461"/>
      <c r="QDQ62" s="3461"/>
      <c r="QDR62" s="3461"/>
      <c r="QDS62" s="3461"/>
      <c r="QDT62" s="3461"/>
      <c r="QDU62" s="3461"/>
      <c r="QDV62" s="3461"/>
      <c r="QDW62" s="3461"/>
      <c r="QDX62" s="3461"/>
      <c r="QDY62" s="3461"/>
      <c r="QDZ62" s="3461"/>
      <c r="QEA62" s="3461"/>
      <c r="QEB62" s="3461"/>
      <c r="QEC62" s="3461"/>
      <c r="QED62" s="3461"/>
      <c r="QEE62" s="3461"/>
      <c r="QEF62" s="3461"/>
      <c r="QEG62" s="3461"/>
      <c r="QEH62" s="3461"/>
      <c r="QEI62" s="3461"/>
      <c r="QEJ62" s="3461"/>
      <c r="QEK62" s="3461"/>
      <c r="QEL62" s="3461"/>
      <c r="QEM62" s="3461"/>
      <c r="QEN62" s="3461"/>
      <c r="QEO62" s="3461"/>
      <c r="QEP62" s="3461"/>
      <c r="QEQ62" s="3461"/>
      <c r="QER62" s="3461"/>
      <c r="QES62" s="3461"/>
      <c r="QET62" s="3461"/>
      <c r="QEU62" s="3461"/>
      <c r="QEV62" s="3461"/>
      <c r="QEW62" s="3461"/>
      <c r="QEX62" s="3461"/>
      <c r="QEY62" s="3461"/>
      <c r="QEZ62" s="3461"/>
      <c r="QFA62" s="3461"/>
      <c r="QFB62" s="3461"/>
      <c r="QFC62" s="3461"/>
      <c r="QFD62" s="3461"/>
      <c r="QFE62" s="3461"/>
      <c r="QFF62" s="3461"/>
      <c r="QFG62" s="3461"/>
      <c r="QFH62" s="3461"/>
      <c r="QFI62" s="3461"/>
      <c r="QFJ62" s="3461"/>
      <c r="QFK62" s="3461"/>
      <c r="QFL62" s="3461"/>
      <c r="QFM62" s="3461"/>
      <c r="QFN62" s="3461"/>
      <c r="QFO62" s="3461"/>
      <c r="QFP62" s="3461"/>
      <c r="QFQ62" s="3461"/>
      <c r="QFR62" s="3461"/>
      <c r="QFS62" s="3461"/>
      <c r="QFT62" s="3461"/>
      <c r="QFU62" s="3461"/>
      <c r="QFV62" s="3461"/>
      <c r="QFW62" s="3461"/>
      <c r="QFX62" s="3461"/>
      <c r="QFY62" s="3461"/>
      <c r="QFZ62" s="3461"/>
      <c r="QGA62" s="3461"/>
      <c r="QGB62" s="3461"/>
      <c r="QGC62" s="3461"/>
      <c r="QGD62" s="3461"/>
      <c r="QGE62" s="3461"/>
      <c r="QGF62" s="3461"/>
      <c r="QGG62" s="3461"/>
      <c r="QGH62" s="3461"/>
      <c r="QGI62" s="3461"/>
      <c r="QGJ62" s="3461"/>
      <c r="QGK62" s="3461"/>
      <c r="QGL62" s="3461"/>
      <c r="QGM62" s="3461"/>
      <c r="QGN62" s="3461"/>
      <c r="QGO62" s="3461"/>
      <c r="QGP62" s="3461"/>
      <c r="QGQ62" s="3461"/>
      <c r="QGR62" s="3461"/>
      <c r="QGS62" s="3461"/>
      <c r="QGT62" s="3461"/>
      <c r="QGU62" s="3461"/>
      <c r="QGV62" s="3461"/>
      <c r="QGW62" s="3461"/>
      <c r="QGX62" s="3461"/>
      <c r="QGY62" s="3461"/>
      <c r="QGZ62" s="3461"/>
      <c r="QHA62" s="3461"/>
      <c r="QHB62" s="3461"/>
      <c r="QHC62" s="3461"/>
      <c r="QHD62" s="3461"/>
      <c r="QHE62" s="3461"/>
      <c r="QHF62" s="3461"/>
      <c r="QHG62" s="3461"/>
      <c r="QHH62" s="3461"/>
      <c r="QHI62" s="3461"/>
      <c r="QHJ62" s="3461"/>
      <c r="QHK62" s="3461"/>
      <c r="QHL62" s="3461"/>
      <c r="QHM62" s="3461"/>
      <c r="QHN62" s="3461"/>
      <c r="QHO62" s="3461"/>
      <c r="QHP62" s="3461"/>
      <c r="QHQ62" s="3461"/>
      <c r="QHR62" s="3461"/>
      <c r="QHS62" s="3461"/>
      <c r="QHT62" s="3461"/>
      <c r="QHU62" s="3461"/>
      <c r="QHV62" s="3461"/>
      <c r="QHW62" s="3461"/>
      <c r="QHX62" s="3461"/>
      <c r="QHY62" s="3461"/>
      <c r="QHZ62" s="3461"/>
      <c r="QIA62" s="3461"/>
      <c r="QIB62" s="3461"/>
      <c r="QIC62" s="3461"/>
      <c r="QID62" s="3461"/>
      <c r="QIE62" s="3461"/>
      <c r="QIF62" s="3461"/>
      <c r="QIG62" s="3461"/>
      <c r="QIH62" s="3461"/>
      <c r="QII62" s="3461"/>
      <c r="QIJ62" s="3461"/>
      <c r="QIK62" s="3461"/>
      <c r="QIL62" s="3461"/>
      <c r="QIM62" s="3461"/>
      <c r="QIN62" s="3461"/>
      <c r="QIO62" s="3461"/>
      <c r="QIP62" s="3461"/>
      <c r="QIQ62" s="3461"/>
      <c r="QIR62" s="3461"/>
      <c r="QIS62" s="3461"/>
      <c r="QIT62" s="3461"/>
      <c r="QIU62" s="3461"/>
      <c r="QIV62" s="3461"/>
      <c r="QIW62" s="3461"/>
      <c r="QIX62" s="3461"/>
      <c r="QIY62" s="3461"/>
      <c r="QIZ62" s="3461"/>
      <c r="QJA62" s="3461"/>
      <c r="QJB62" s="3461"/>
      <c r="QJC62" s="3461"/>
      <c r="QJD62" s="3461"/>
      <c r="QJE62" s="3461"/>
      <c r="QJF62" s="3461"/>
      <c r="QJG62" s="3461"/>
      <c r="QJH62" s="3461"/>
      <c r="QJI62" s="3461"/>
      <c r="QJJ62" s="3461"/>
      <c r="QJK62" s="3461"/>
      <c r="QJL62" s="3461"/>
      <c r="QJM62" s="3461"/>
      <c r="QJN62" s="3461"/>
      <c r="QJO62" s="3461"/>
      <c r="QJP62" s="3461"/>
      <c r="QJQ62" s="3461"/>
      <c r="QJR62" s="3461"/>
      <c r="QJS62" s="3461"/>
      <c r="QJT62" s="3461"/>
      <c r="QJU62" s="3461"/>
      <c r="QJV62" s="3461"/>
      <c r="QJW62" s="3461"/>
      <c r="QJX62" s="3461"/>
      <c r="QJY62" s="3461"/>
      <c r="QJZ62" s="3461"/>
      <c r="QKA62" s="3461"/>
      <c r="QKB62" s="3461"/>
      <c r="QKC62" s="3461"/>
      <c r="QKD62" s="3461"/>
      <c r="QKE62" s="3461"/>
      <c r="QKF62" s="3461"/>
      <c r="QKG62" s="3461"/>
      <c r="QKH62" s="3461"/>
      <c r="QKI62" s="3461"/>
      <c r="QKJ62" s="3461"/>
      <c r="QKK62" s="3461"/>
      <c r="QKL62" s="3461"/>
      <c r="QKM62" s="3461"/>
      <c r="QKN62" s="3461"/>
      <c r="QKO62" s="3461"/>
      <c r="QKP62" s="3461"/>
      <c r="QKQ62" s="3461"/>
      <c r="QKR62" s="3461"/>
      <c r="QKS62" s="3461"/>
      <c r="QKT62" s="3461"/>
      <c r="QKU62" s="3461"/>
      <c r="QKV62" s="3461"/>
      <c r="QKW62" s="3461"/>
      <c r="QKX62" s="3461"/>
      <c r="QKY62" s="3461"/>
      <c r="QKZ62" s="3461"/>
      <c r="QLA62" s="3461"/>
      <c r="QLB62" s="3461"/>
      <c r="QLC62" s="3461"/>
      <c r="QLD62" s="3461"/>
      <c r="QLE62" s="3461"/>
      <c r="QLF62" s="3461"/>
      <c r="QLG62" s="3461"/>
      <c r="QLH62" s="3461"/>
      <c r="QLI62" s="3461"/>
      <c r="QLJ62" s="3461"/>
      <c r="QLK62" s="3461"/>
      <c r="QLL62" s="3461"/>
      <c r="QLM62" s="3461"/>
      <c r="QLN62" s="3461"/>
      <c r="QLO62" s="3461"/>
      <c r="QLP62" s="3461"/>
      <c r="QLQ62" s="3461"/>
      <c r="QLR62" s="3461"/>
      <c r="QLS62" s="3461"/>
      <c r="QLT62" s="3461"/>
      <c r="QLU62" s="3461"/>
      <c r="QLV62" s="3461"/>
      <c r="QLW62" s="3461"/>
      <c r="QLX62" s="3461"/>
      <c r="QLY62" s="3461"/>
      <c r="QLZ62" s="3461"/>
      <c r="QMA62" s="3461"/>
      <c r="QMB62" s="3461"/>
      <c r="QMC62" s="3461"/>
      <c r="QMD62" s="3461"/>
      <c r="QME62" s="3461"/>
      <c r="QMF62" s="3461"/>
      <c r="QMG62" s="3461"/>
      <c r="QMH62" s="3461"/>
      <c r="QMI62" s="3461"/>
      <c r="QMJ62" s="3461"/>
      <c r="QMK62" s="3461"/>
      <c r="QML62" s="3461"/>
      <c r="QMM62" s="3461"/>
      <c r="QMN62" s="3461"/>
      <c r="QMO62" s="3461"/>
      <c r="QMP62" s="3461"/>
      <c r="QMQ62" s="3461"/>
      <c r="QMR62" s="3461"/>
      <c r="QMS62" s="3461"/>
      <c r="QMT62" s="3461"/>
      <c r="QMU62" s="3461"/>
      <c r="QMV62" s="3461"/>
      <c r="QMW62" s="3461"/>
      <c r="QMX62" s="3461"/>
      <c r="QMY62" s="3461"/>
      <c r="QMZ62" s="3461"/>
      <c r="QNA62" s="3461"/>
      <c r="QNB62" s="3461"/>
      <c r="QNC62" s="3461"/>
      <c r="QND62" s="3461"/>
      <c r="QNE62" s="3461"/>
      <c r="QNF62" s="3461"/>
      <c r="QNG62" s="3461"/>
      <c r="QNH62" s="3461"/>
      <c r="QNI62" s="3461"/>
      <c r="QNJ62" s="3461"/>
      <c r="QNK62" s="3461"/>
      <c r="QNL62" s="3461"/>
      <c r="QNM62" s="3461"/>
      <c r="QNN62" s="3461"/>
      <c r="QNO62" s="3461"/>
      <c r="QNP62" s="3461"/>
      <c r="QNQ62" s="3461"/>
      <c r="QNR62" s="3461"/>
      <c r="QNS62" s="3461"/>
      <c r="QNT62" s="3461"/>
      <c r="QNU62" s="3461"/>
      <c r="QNV62" s="3461"/>
      <c r="QNW62" s="3461"/>
      <c r="QNX62" s="3461"/>
      <c r="QNY62" s="3461"/>
      <c r="QNZ62" s="3461"/>
      <c r="QOA62" s="3461"/>
      <c r="QOB62" s="3461"/>
      <c r="QOC62" s="3461"/>
      <c r="QOD62" s="3461"/>
      <c r="QOE62" s="3461"/>
      <c r="QOF62" s="3461"/>
      <c r="QOG62" s="3461"/>
      <c r="QOH62" s="3461"/>
      <c r="QOI62" s="3461"/>
      <c r="QOJ62" s="3461"/>
      <c r="QOK62" s="3461"/>
      <c r="QOL62" s="3461"/>
      <c r="QOM62" s="3461"/>
      <c r="QON62" s="3461"/>
      <c r="QOO62" s="3461"/>
      <c r="QOP62" s="3461"/>
      <c r="QOQ62" s="3461"/>
      <c r="QOR62" s="3461"/>
      <c r="QOS62" s="3461"/>
      <c r="QOT62" s="3461"/>
      <c r="QOU62" s="3461"/>
      <c r="QOV62" s="3461"/>
      <c r="QOW62" s="3461"/>
      <c r="QOX62" s="3461"/>
      <c r="QOY62" s="3461"/>
      <c r="QOZ62" s="3461"/>
      <c r="QPA62" s="3461"/>
      <c r="QPB62" s="3461"/>
      <c r="QPC62" s="3461"/>
      <c r="QPD62" s="3461"/>
      <c r="QPE62" s="3461"/>
      <c r="QPF62" s="3461"/>
      <c r="QPG62" s="3461"/>
      <c r="QPH62" s="3461"/>
      <c r="QPI62" s="3461"/>
      <c r="QPJ62" s="3461"/>
      <c r="QPK62" s="3461"/>
      <c r="QPL62" s="3461"/>
      <c r="QPM62" s="3461"/>
      <c r="QPN62" s="3461"/>
      <c r="QPO62" s="3461"/>
      <c r="QPP62" s="3461"/>
      <c r="QPQ62" s="3461"/>
      <c r="QPR62" s="3461"/>
      <c r="QPS62" s="3461"/>
      <c r="QPT62" s="3461"/>
      <c r="QPU62" s="3461"/>
      <c r="QPV62" s="3461"/>
      <c r="QPW62" s="3461"/>
      <c r="QPX62" s="3461"/>
      <c r="QPY62" s="3461"/>
      <c r="QPZ62" s="3461"/>
      <c r="QQA62" s="3461"/>
      <c r="QQB62" s="3461"/>
      <c r="QQC62" s="3461"/>
      <c r="QQD62" s="3461"/>
      <c r="QQE62" s="3461"/>
      <c r="QQF62" s="3461"/>
      <c r="QQG62" s="3461"/>
      <c r="QQH62" s="3461"/>
      <c r="QQI62" s="3461"/>
      <c r="QQJ62" s="3461"/>
      <c r="QQK62" s="3461"/>
      <c r="QQL62" s="3461"/>
      <c r="QQM62" s="3461"/>
      <c r="QQN62" s="3461"/>
      <c r="QQO62" s="3461"/>
      <c r="QQP62" s="3461"/>
      <c r="QQQ62" s="3461"/>
      <c r="QQR62" s="3461"/>
      <c r="QQS62" s="3461"/>
      <c r="QQT62" s="3461"/>
      <c r="QQU62" s="3461"/>
      <c r="QQV62" s="3461"/>
      <c r="QQW62" s="3461"/>
      <c r="QQX62" s="3461"/>
      <c r="QQY62" s="3461"/>
      <c r="QQZ62" s="3461"/>
      <c r="QRA62" s="3461"/>
      <c r="QRB62" s="3461"/>
      <c r="QRC62" s="3461"/>
      <c r="QRD62" s="3461"/>
      <c r="QRE62" s="3461"/>
      <c r="QRF62" s="3461"/>
      <c r="QRG62" s="3461"/>
      <c r="QRH62" s="3461"/>
      <c r="QRI62" s="3461"/>
      <c r="QRJ62" s="3461"/>
      <c r="QRK62" s="3461"/>
      <c r="QRL62" s="3461"/>
      <c r="QRM62" s="3461"/>
      <c r="QRN62" s="3461"/>
      <c r="QRO62" s="3461"/>
      <c r="QRP62" s="3461"/>
      <c r="QRQ62" s="3461"/>
      <c r="QRR62" s="3461"/>
      <c r="QRS62" s="3461"/>
      <c r="QRT62" s="3461"/>
      <c r="QRU62" s="3461"/>
      <c r="QRV62" s="3461"/>
      <c r="QRW62" s="3461"/>
      <c r="QRX62" s="3461"/>
      <c r="QRY62" s="3461"/>
      <c r="QRZ62" s="3461"/>
      <c r="QSA62" s="3461"/>
      <c r="QSB62" s="3461"/>
      <c r="QSC62" s="3461"/>
      <c r="QSD62" s="3461"/>
      <c r="QSE62" s="3461"/>
      <c r="QSF62" s="3461"/>
      <c r="QSG62" s="3461"/>
      <c r="QSH62" s="3461"/>
      <c r="QSI62" s="3461"/>
      <c r="QSJ62" s="3461"/>
      <c r="QSK62" s="3461"/>
      <c r="QSL62" s="3461"/>
      <c r="QSM62" s="3461"/>
      <c r="QSN62" s="3461"/>
      <c r="QSO62" s="3461"/>
      <c r="QSP62" s="3461"/>
      <c r="QSQ62" s="3461"/>
      <c r="QSR62" s="3461"/>
      <c r="QSS62" s="3461"/>
      <c r="QST62" s="3461"/>
      <c r="QSU62" s="3461"/>
      <c r="QSV62" s="3461"/>
      <c r="QSW62" s="3461"/>
      <c r="QSX62" s="3461"/>
      <c r="QSY62" s="3461"/>
      <c r="QSZ62" s="3461"/>
      <c r="QTA62" s="3461"/>
      <c r="QTB62" s="3461"/>
      <c r="QTC62" s="3461"/>
      <c r="QTD62" s="3461"/>
      <c r="QTE62" s="3461"/>
      <c r="QTF62" s="3461"/>
      <c r="QTG62" s="3461"/>
      <c r="QTH62" s="3461"/>
      <c r="QTI62" s="3461"/>
      <c r="QTJ62" s="3461"/>
      <c r="QTK62" s="3461"/>
      <c r="QTL62" s="3461"/>
      <c r="QTM62" s="3461"/>
      <c r="QTN62" s="3461"/>
      <c r="QTO62" s="3461"/>
      <c r="QTP62" s="3461"/>
      <c r="QTQ62" s="3461"/>
      <c r="QTR62" s="3461"/>
      <c r="QTS62" s="3461"/>
      <c r="QTT62" s="3461"/>
      <c r="QTU62" s="3461"/>
      <c r="QTV62" s="3461"/>
      <c r="QTW62" s="3461"/>
      <c r="QTX62" s="3461"/>
      <c r="QTY62" s="3461"/>
      <c r="QTZ62" s="3461"/>
      <c r="QUA62" s="3461"/>
      <c r="QUB62" s="3461"/>
      <c r="QUC62" s="3461"/>
      <c r="QUD62" s="3461"/>
      <c r="QUE62" s="3461"/>
      <c r="QUF62" s="3461"/>
      <c r="QUG62" s="3461"/>
      <c r="QUH62" s="3461"/>
      <c r="QUI62" s="3461"/>
      <c r="QUJ62" s="3461"/>
      <c r="QUK62" s="3461"/>
      <c r="QUL62" s="3461"/>
      <c r="QUM62" s="3461"/>
      <c r="QUN62" s="3461"/>
      <c r="QUO62" s="3461"/>
      <c r="QUP62" s="3461"/>
      <c r="QUQ62" s="3461"/>
      <c r="QUR62" s="3461"/>
      <c r="QUS62" s="3461"/>
      <c r="QUT62" s="3461"/>
      <c r="QUU62" s="3461"/>
      <c r="QUV62" s="3461"/>
      <c r="QUW62" s="3461"/>
      <c r="QUX62" s="3461"/>
      <c r="QUY62" s="3461"/>
      <c r="QUZ62" s="3461"/>
      <c r="QVA62" s="3461"/>
      <c r="QVB62" s="3461"/>
      <c r="QVC62" s="3461"/>
      <c r="QVD62" s="3461"/>
      <c r="QVE62" s="3461"/>
      <c r="QVF62" s="3461"/>
      <c r="QVG62" s="3461"/>
      <c r="QVH62" s="3461"/>
      <c r="QVI62" s="3461"/>
      <c r="QVJ62" s="3461"/>
      <c r="QVK62" s="3461"/>
      <c r="QVL62" s="3461"/>
      <c r="QVM62" s="3461"/>
      <c r="QVN62" s="3461"/>
      <c r="QVO62" s="3461"/>
      <c r="QVP62" s="3461"/>
      <c r="QVQ62" s="3461"/>
      <c r="QVR62" s="3461"/>
      <c r="QVS62" s="3461"/>
      <c r="QVT62" s="3461"/>
      <c r="QVU62" s="3461"/>
      <c r="QVV62" s="3461"/>
      <c r="QVW62" s="3461"/>
      <c r="QVX62" s="3461"/>
      <c r="QVY62" s="3461"/>
      <c r="QVZ62" s="3461"/>
      <c r="QWA62" s="3461"/>
      <c r="QWB62" s="3461"/>
      <c r="QWC62" s="3461"/>
      <c r="QWD62" s="3461"/>
      <c r="QWE62" s="3461"/>
      <c r="QWF62" s="3461"/>
      <c r="QWG62" s="3461"/>
      <c r="QWH62" s="3461"/>
      <c r="QWI62" s="3461"/>
      <c r="QWJ62" s="3461"/>
      <c r="QWK62" s="3461"/>
      <c r="QWL62" s="3461"/>
      <c r="QWM62" s="3461"/>
      <c r="QWN62" s="3461"/>
      <c r="QWO62" s="3461"/>
      <c r="QWP62" s="3461"/>
      <c r="QWQ62" s="3461"/>
      <c r="QWR62" s="3461"/>
      <c r="QWS62" s="3461"/>
      <c r="QWT62" s="3461"/>
      <c r="QWU62" s="3461"/>
      <c r="QWV62" s="3461"/>
      <c r="QWW62" s="3461"/>
      <c r="QWX62" s="3461"/>
      <c r="QWY62" s="3461"/>
      <c r="QWZ62" s="3461"/>
      <c r="QXA62" s="3461"/>
      <c r="QXB62" s="3461"/>
      <c r="QXC62" s="3461"/>
      <c r="QXD62" s="3461"/>
      <c r="QXE62" s="3461"/>
      <c r="QXF62" s="3461"/>
      <c r="QXG62" s="3461"/>
      <c r="QXH62" s="3461"/>
      <c r="QXI62" s="3461"/>
      <c r="QXJ62" s="3461"/>
      <c r="QXK62" s="3461"/>
      <c r="QXL62" s="3461"/>
      <c r="QXM62" s="3461"/>
      <c r="QXN62" s="3461"/>
      <c r="QXO62" s="3461"/>
      <c r="QXP62" s="3461"/>
      <c r="QXQ62" s="3461"/>
      <c r="QXR62" s="3461"/>
      <c r="QXS62" s="3461"/>
      <c r="QXT62" s="3461"/>
      <c r="QXU62" s="3461"/>
      <c r="QXV62" s="3461"/>
      <c r="QXW62" s="3461"/>
      <c r="QXX62" s="3461"/>
      <c r="QXY62" s="3461"/>
      <c r="QXZ62" s="3461"/>
      <c r="QYA62" s="3461"/>
      <c r="QYB62" s="3461"/>
      <c r="QYC62" s="3461"/>
      <c r="QYD62" s="3461"/>
      <c r="QYE62" s="3461"/>
      <c r="QYF62" s="3461"/>
      <c r="QYG62" s="3461"/>
      <c r="QYH62" s="3461"/>
      <c r="QYI62" s="3461"/>
      <c r="QYJ62" s="3461"/>
      <c r="QYK62" s="3461"/>
      <c r="QYL62" s="3461"/>
      <c r="QYM62" s="3461"/>
      <c r="QYN62" s="3461"/>
      <c r="QYO62" s="3461"/>
      <c r="QYP62" s="3461"/>
      <c r="QYQ62" s="3461"/>
      <c r="QYR62" s="3461"/>
      <c r="QYS62" s="3461"/>
      <c r="QYT62" s="3461"/>
      <c r="QYU62" s="3461"/>
      <c r="QYV62" s="3461"/>
      <c r="QYW62" s="3461"/>
      <c r="QYX62" s="3461"/>
      <c r="QYY62" s="3461"/>
      <c r="QYZ62" s="3461"/>
      <c r="QZA62" s="3461"/>
      <c r="QZB62" s="3461"/>
      <c r="QZC62" s="3461"/>
      <c r="QZD62" s="3461"/>
      <c r="QZE62" s="3461"/>
      <c r="QZF62" s="3461"/>
      <c r="QZG62" s="3461"/>
      <c r="QZH62" s="3461"/>
      <c r="QZI62" s="3461"/>
      <c r="QZJ62" s="3461"/>
      <c r="QZK62" s="3461"/>
      <c r="QZL62" s="3461"/>
      <c r="QZM62" s="3461"/>
      <c r="QZN62" s="3461"/>
      <c r="QZO62" s="3461"/>
      <c r="QZP62" s="3461"/>
      <c r="QZQ62" s="3461"/>
      <c r="QZR62" s="3461"/>
      <c r="QZS62" s="3461"/>
      <c r="QZT62" s="3461"/>
      <c r="QZU62" s="3461"/>
      <c r="QZV62" s="3461"/>
      <c r="QZW62" s="3461"/>
      <c r="QZX62" s="3461"/>
      <c r="QZY62" s="3461"/>
      <c r="QZZ62" s="3461"/>
      <c r="RAA62" s="3461"/>
      <c r="RAB62" s="3461"/>
      <c r="RAC62" s="3461"/>
      <c r="RAD62" s="3461"/>
      <c r="RAE62" s="3461"/>
      <c r="RAF62" s="3461"/>
      <c r="RAG62" s="3461"/>
      <c r="RAH62" s="3461"/>
      <c r="RAI62" s="3461"/>
      <c r="RAJ62" s="3461"/>
      <c r="RAK62" s="3461"/>
      <c r="RAL62" s="3461"/>
      <c r="RAM62" s="3461"/>
      <c r="RAN62" s="3461"/>
      <c r="RAO62" s="3461"/>
      <c r="RAP62" s="3461"/>
      <c r="RAQ62" s="3461"/>
      <c r="RAR62" s="3461"/>
      <c r="RAS62" s="3461"/>
      <c r="RAT62" s="3461"/>
      <c r="RAU62" s="3461"/>
      <c r="RAV62" s="3461"/>
      <c r="RAW62" s="3461"/>
      <c r="RAX62" s="3461"/>
      <c r="RAY62" s="3461"/>
      <c r="RAZ62" s="3461"/>
      <c r="RBA62" s="3461"/>
      <c r="RBB62" s="3461"/>
      <c r="RBC62" s="3461"/>
      <c r="RBD62" s="3461"/>
      <c r="RBE62" s="3461"/>
      <c r="RBF62" s="3461"/>
      <c r="RBG62" s="3461"/>
      <c r="RBH62" s="3461"/>
      <c r="RBI62" s="3461"/>
      <c r="RBJ62" s="3461"/>
      <c r="RBK62" s="3461"/>
      <c r="RBL62" s="3461"/>
      <c r="RBM62" s="3461"/>
      <c r="RBN62" s="3461"/>
      <c r="RBO62" s="3461"/>
      <c r="RBP62" s="3461"/>
      <c r="RBQ62" s="3461"/>
      <c r="RBR62" s="3461"/>
      <c r="RBS62" s="3461"/>
      <c r="RBT62" s="3461"/>
      <c r="RBU62" s="3461"/>
      <c r="RBV62" s="3461"/>
      <c r="RBW62" s="3461"/>
      <c r="RBX62" s="3461"/>
      <c r="RBY62" s="3461"/>
      <c r="RBZ62" s="3461"/>
      <c r="RCA62" s="3461"/>
      <c r="RCB62" s="3461"/>
      <c r="RCC62" s="3461"/>
      <c r="RCD62" s="3461"/>
      <c r="RCE62" s="3461"/>
      <c r="RCF62" s="3461"/>
      <c r="RCG62" s="3461"/>
      <c r="RCH62" s="3461"/>
      <c r="RCI62" s="3461"/>
      <c r="RCJ62" s="3461"/>
      <c r="RCK62" s="3461"/>
      <c r="RCL62" s="3461"/>
      <c r="RCM62" s="3461"/>
      <c r="RCN62" s="3461"/>
      <c r="RCO62" s="3461"/>
      <c r="RCP62" s="3461"/>
      <c r="RCQ62" s="3461"/>
      <c r="RCR62" s="3461"/>
      <c r="RCS62" s="3461"/>
      <c r="RCT62" s="3461"/>
      <c r="RCU62" s="3461"/>
      <c r="RCV62" s="3461"/>
      <c r="RCW62" s="3461"/>
      <c r="RCX62" s="3461"/>
      <c r="RCY62" s="3461"/>
      <c r="RCZ62" s="3461"/>
      <c r="RDA62" s="3461"/>
      <c r="RDB62" s="3461"/>
      <c r="RDC62" s="3461"/>
      <c r="RDD62" s="3461"/>
      <c r="RDE62" s="3461"/>
      <c r="RDF62" s="3461"/>
      <c r="RDG62" s="3461"/>
      <c r="RDH62" s="3461"/>
      <c r="RDI62" s="3461"/>
      <c r="RDJ62" s="3461"/>
      <c r="RDK62" s="3461"/>
      <c r="RDL62" s="3461"/>
      <c r="RDM62" s="3461"/>
      <c r="RDN62" s="3461"/>
      <c r="RDO62" s="3461"/>
      <c r="RDP62" s="3461"/>
      <c r="RDQ62" s="3461"/>
      <c r="RDR62" s="3461"/>
      <c r="RDS62" s="3461"/>
      <c r="RDT62" s="3461"/>
      <c r="RDU62" s="3461"/>
      <c r="RDV62" s="3461"/>
      <c r="RDW62" s="3461"/>
      <c r="RDX62" s="3461"/>
      <c r="RDY62" s="3461"/>
      <c r="RDZ62" s="3461"/>
      <c r="REA62" s="3461"/>
      <c r="REB62" s="3461"/>
      <c r="REC62" s="3461"/>
      <c r="RED62" s="3461"/>
      <c r="REE62" s="3461"/>
      <c r="REF62" s="3461"/>
      <c r="REG62" s="3461"/>
      <c r="REH62" s="3461"/>
      <c r="REI62" s="3461"/>
      <c r="REJ62" s="3461"/>
      <c r="REK62" s="3461"/>
      <c r="REL62" s="3461"/>
      <c r="REM62" s="3461"/>
      <c r="REN62" s="3461"/>
      <c r="REO62" s="3461"/>
      <c r="REP62" s="3461"/>
      <c r="REQ62" s="3461"/>
      <c r="RER62" s="3461"/>
      <c r="RES62" s="3461"/>
      <c r="RET62" s="3461"/>
      <c r="REU62" s="3461"/>
      <c r="REV62" s="3461"/>
      <c r="REW62" s="3461"/>
      <c r="REX62" s="3461"/>
      <c r="REY62" s="3461"/>
      <c r="REZ62" s="3461"/>
      <c r="RFA62" s="3461"/>
      <c r="RFB62" s="3461"/>
      <c r="RFC62" s="3461"/>
      <c r="RFD62" s="3461"/>
      <c r="RFE62" s="3461"/>
      <c r="RFF62" s="3461"/>
      <c r="RFG62" s="3461"/>
      <c r="RFH62" s="3461"/>
      <c r="RFI62" s="3461"/>
      <c r="RFJ62" s="3461"/>
      <c r="RFK62" s="3461"/>
      <c r="RFL62" s="3461"/>
      <c r="RFM62" s="3461"/>
      <c r="RFN62" s="3461"/>
      <c r="RFO62" s="3461"/>
      <c r="RFP62" s="3461"/>
      <c r="RFQ62" s="3461"/>
      <c r="RFR62" s="3461"/>
      <c r="RFS62" s="3461"/>
      <c r="RFT62" s="3461"/>
      <c r="RFU62" s="3461"/>
      <c r="RFV62" s="3461"/>
      <c r="RFW62" s="3461"/>
      <c r="RFX62" s="3461"/>
      <c r="RFY62" s="3461"/>
      <c r="RFZ62" s="3461"/>
      <c r="RGA62" s="3461"/>
      <c r="RGB62" s="3461"/>
      <c r="RGC62" s="3461"/>
      <c r="RGD62" s="3461"/>
      <c r="RGE62" s="3461"/>
      <c r="RGF62" s="3461"/>
      <c r="RGG62" s="3461"/>
      <c r="RGH62" s="3461"/>
      <c r="RGI62" s="3461"/>
      <c r="RGJ62" s="3461"/>
      <c r="RGK62" s="3461"/>
      <c r="RGL62" s="3461"/>
      <c r="RGM62" s="3461"/>
      <c r="RGN62" s="3461"/>
      <c r="RGO62" s="3461"/>
      <c r="RGP62" s="3461"/>
      <c r="RGQ62" s="3461"/>
      <c r="RGR62" s="3461"/>
      <c r="RGS62" s="3461"/>
      <c r="RGT62" s="3461"/>
      <c r="RGU62" s="3461"/>
      <c r="RGV62" s="3461"/>
      <c r="RGW62" s="3461"/>
      <c r="RGX62" s="3461"/>
      <c r="RGY62" s="3461"/>
      <c r="RGZ62" s="3461"/>
      <c r="RHA62" s="3461"/>
      <c r="RHB62" s="3461"/>
      <c r="RHC62" s="3461"/>
      <c r="RHD62" s="3461"/>
      <c r="RHE62" s="3461"/>
      <c r="RHF62" s="3461"/>
      <c r="RHG62" s="3461"/>
      <c r="RHH62" s="3461"/>
      <c r="RHI62" s="3461"/>
      <c r="RHJ62" s="3461"/>
      <c r="RHK62" s="3461"/>
      <c r="RHL62" s="3461"/>
      <c r="RHM62" s="3461"/>
      <c r="RHN62" s="3461"/>
      <c r="RHO62" s="3461"/>
      <c r="RHP62" s="3461"/>
      <c r="RHQ62" s="3461"/>
      <c r="RHR62" s="3461"/>
      <c r="RHS62" s="3461"/>
      <c r="RHT62" s="3461"/>
      <c r="RHU62" s="3461"/>
      <c r="RHV62" s="3461"/>
      <c r="RHW62" s="3461"/>
      <c r="RHX62" s="3461"/>
      <c r="RHY62" s="3461"/>
      <c r="RHZ62" s="3461"/>
      <c r="RIA62" s="3461"/>
      <c r="RIB62" s="3461"/>
      <c r="RIC62" s="3461"/>
      <c r="RID62" s="3461"/>
      <c r="RIE62" s="3461"/>
      <c r="RIF62" s="3461"/>
      <c r="RIG62" s="3461"/>
      <c r="RIH62" s="3461"/>
      <c r="RII62" s="3461"/>
      <c r="RIJ62" s="3461"/>
      <c r="RIK62" s="3461"/>
      <c r="RIL62" s="3461"/>
      <c r="RIM62" s="3461"/>
      <c r="RIN62" s="3461"/>
      <c r="RIO62" s="3461"/>
      <c r="RIP62" s="3461"/>
      <c r="RIQ62" s="3461"/>
      <c r="RIR62" s="3461"/>
      <c r="RIS62" s="3461"/>
      <c r="RIT62" s="3461"/>
      <c r="RIU62" s="3461"/>
      <c r="RIV62" s="3461"/>
      <c r="RIW62" s="3461"/>
      <c r="RIX62" s="3461"/>
      <c r="RIY62" s="3461"/>
      <c r="RIZ62" s="3461"/>
      <c r="RJA62" s="3461"/>
      <c r="RJB62" s="3461"/>
      <c r="RJC62" s="3461"/>
      <c r="RJD62" s="3461"/>
      <c r="RJE62" s="3461"/>
      <c r="RJF62" s="3461"/>
      <c r="RJG62" s="3461"/>
      <c r="RJH62" s="3461"/>
      <c r="RJI62" s="3461"/>
      <c r="RJJ62" s="3461"/>
      <c r="RJK62" s="3461"/>
      <c r="RJL62" s="3461"/>
      <c r="RJM62" s="3461"/>
      <c r="RJN62" s="3461"/>
      <c r="RJO62" s="3461"/>
      <c r="RJP62" s="3461"/>
      <c r="RJQ62" s="3461"/>
      <c r="RJR62" s="3461"/>
      <c r="RJS62" s="3461"/>
      <c r="RJT62" s="3461"/>
      <c r="RJU62" s="3461"/>
      <c r="RJV62" s="3461"/>
      <c r="RJW62" s="3461"/>
      <c r="RJX62" s="3461"/>
      <c r="RJY62" s="3461"/>
      <c r="RJZ62" s="3461"/>
      <c r="RKA62" s="3461"/>
      <c r="RKB62" s="3461"/>
      <c r="RKC62" s="3461"/>
      <c r="RKD62" s="3461"/>
      <c r="RKE62" s="3461"/>
      <c r="RKF62" s="3461"/>
      <c r="RKG62" s="3461"/>
      <c r="RKH62" s="3461"/>
      <c r="RKI62" s="3461"/>
      <c r="RKJ62" s="3461"/>
      <c r="RKK62" s="3461"/>
      <c r="RKL62" s="3461"/>
      <c r="RKM62" s="3461"/>
      <c r="RKN62" s="3461"/>
      <c r="RKO62" s="3461"/>
      <c r="RKP62" s="3461"/>
      <c r="RKQ62" s="3461"/>
      <c r="RKR62" s="3461"/>
      <c r="RKS62" s="3461"/>
      <c r="RKT62" s="3461"/>
      <c r="RKU62" s="3461"/>
      <c r="RKV62" s="3461"/>
      <c r="RKW62" s="3461"/>
      <c r="RKX62" s="3461"/>
      <c r="RKY62" s="3461"/>
      <c r="RKZ62" s="3461"/>
      <c r="RLA62" s="3461"/>
      <c r="RLB62" s="3461"/>
      <c r="RLC62" s="3461"/>
      <c r="RLD62" s="3461"/>
      <c r="RLE62" s="3461"/>
      <c r="RLF62" s="3461"/>
      <c r="RLG62" s="3461"/>
      <c r="RLH62" s="3461"/>
      <c r="RLI62" s="3461"/>
      <c r="RLJ62" s="3461"/>
      <c r="RLK62" s="3461"/>
      <c r="RLL62" s="3461"/>
      <c r="RLM62" s="3461"/>
      <c r="RLN62" s="3461"/>
      <c r="RLO62" s="3461"/>
      <c r="RLP62" s="3461"/>
      <c r="RLQ62" s="3461"/>
      <c r="RLR62" s="3461"/>
      <c r="RLS62" s="3461"/>
      <c r="RLT62" s="3461"/>
      <c r="RLU62" s="3461"/>
      <c r="RLV62" s="3461"/>
      <c r="RLW62" s="3461"/>
      <c r="RLX62" s="3461"/>
      <c r="RLY62" s="3461"/>
      <c r="RLZ62" s="3461"/>
      <c r="RMA62" s="3461"/>
      <c r="RMB62" s="3461"/>
      <c r="RMC62" s="3461"/>
      <c r="RMD62" s="3461"/>
      <c r="RME62" s="3461"/>
      <c r="RMF62" s="3461"/>
      <c r="RMG62" s="3461"/>
      <c r="RMH62" s="3461"/>
      <c r="RMI62" s="3461"/>
      <c r="RMJ62" s="3461"/>
      <c r="RMK62" s="3461"/>
      <c r="RML62" s="3461"/>
      <c r="RMM62" s="3461"/>
      <c r="RMN62" s="3461"/>
      <c r="RMO62" s="3461"/>
      <c r="RMP62" s="3461"/>
      <c r="RMQ62" s="3461"/>
      <c r="RMR62" s="3461"/>
      <c r="RMS62" s="3461"/>
      <c r="RMT62" s="3461"/>
      <c r="RMU62" s="3461"/>
      <c r="RMV62" s="3461"/>
      <c r="RMW62" s="3461"/>
      <c r="RMX62" s="3461"/>
      <c r="RMY62" s="3461"/>
      <c r="RMZ62" s="3461"/>
      <c r="RNA62" s="3461"/>
      <c r="RNB62" s="3461"/>
      <c r="RNC62" s="3461"/>
      <c r="RND62" s="3461"/>
      <c r="RNE62" s="3461"/>
      <c r="RNF62" s="3461"/>
      <c r="RNG62" s="3461"/>
      <c r="RNH62" s="3461"/>
      <c r="RNI62" s="3461"/>
      <c r="RNJ62" s="3461"/>
      <c r="RNK62" s="3461"/>
      <c r="RNL62" s="3461"/>
      <c r="RNM62" s="3461"/>
      <c r="RNN62" s="3461"/>
      <c r="RNO62" s="3461"/>
      <c r="RNP62" s="3461"/>
      <c r="RNQ62" s="3461"/>
      <c r="RNR62" s="3461"/>
      <c r="RNS62" s="3461"/>
      <c r="RNT62" s="3461"/>
      <c r="RNU62" s="3461"/>
      <c r="RNV62" s="3461"/>
      <c r="RNW62" s="3461"/>
      <c r="RNX62" s="3461"/>
      <c r="RNY62" s="3461"/>
      <c r="RNZ62" s="3461"/>
      <c r="ROA62" s="3461"/>
      <c r="ROB62" s="3461"/>
      <c r="ROC62" s="3461"/>
      <c r="ROD62" s="3461"/>
      <c r="ROE62" s="3461"/>
      <c r="ROF62" s="3461"/>
      <c r="ROG62" s="3461"/>
      <c r="ROH62" s="3461"/>
      <c r="ROI62" s="3461"/>
      <c r="ROJ62" s="3461"/>
      <c r="ROK62" s="3461"/>
      <c r="ROL62" s="3461"/>
      <c r="ROM62" s="3461"/>
      <c r="RON62" s="3461"/>
      <c r="ROO62" s="3461"/>
      <c r="ROP62" s="3461"/>
      <c r="ROQ62" s="3461"/>
      <c r="ROR62" s="3461"/>
      <c r="ROS62" s="3461"/>
      <c r="ROT62" s="3461"/>
      <c r="ROU62" s="3461"/>
      <c r="ROV62" s="3461"/>
      <c r="ROW62" s="3461"/>
      <c r="ROX62" s="3461"/>
      <c r="ROY62" s="3461"/>
      <c r="ROZ62" s="3461"/>
      <c r="RPA62" s="3461"/>
      <c r="RPB62" s="3461"/>
      <c r="RPC62" s="3461"/>
      <c r="RPD62" s="3461"/>
      <c r="RPE62" s="3461"/>
      <c r="RPF62" s="3461"/>
      <c r="RPG62" s="3461"/>
      <c r="RPH62" s="3461"/>
      <c r="RPI62" s="3461"/>
      <c r="RPJ62" s="3461"/>
      <c r="RPK62" s="3461"/>
      <c r="RPL62" s="3461"/>
      <c r="RPM62" s="3461"/>
      <c r="RPN62" s="3461"/>
      <c r="RPO62" s="3461"/>
      <c r="RPP62" s="3461"/>
      <c r="RPQ62" s="3461"/>
      <c r="RPR62" s="3461"/>
      <c r="RPS62" s="3461"/>
      <c r="RPT62" s="3461"/>
      <c r="RPU62" s="3461"/>
      <c r="RPV62" s="3461"/>
      <c r="RPW62" s="3461"/>
      <c r="RPX62" s="3461"/>
      <c r="RPY62" s="3461"/>
      <c r="RPZ62" s="3461"/>
      <c r="RQA62" s="3461"/>
      <c r="RQB62" s="3461"/>
      <c r="RQC62" s="3461"/>
      <c r="RQD62" s="3461"/>
      <c r="RQE62" s="3461"/>
      <c r="RQF62" s="3461"/>
      <c r="RQG62" s="3461"/>
      <c r="RQH62" s="3461"/>
      <c r="RQI62" s="3461"/>
      <c r="RQJ62" s="3461"/>
      <c r="RQK62" s="3461"/>
      <c r="RQL62" s="3461"/>
      <c r="RQM62" s="3461"/>
      <c r="RQN62" s="3461"/>
      <c r="RQO62" s="3461"/>
      <c r="RQP62" s="3461"/>
      <c r="RQQ62" s="3461"/>
      <c r="RQR62" s="3461"/>
      <c r="RQS62" s="3461"/>
      <c r="RQT62" s="3461"/>
      <c r="RQU62" s="3461"/>
      <c r="RQV62" s="3461"/>
      <c r="RQW62" s="3461"/>
      <c r="RQX62" s="3461"/>
      <c r="RQY62" s="3461"/>
      <c r="RQZ62" s="3461"/>
      <c r="RRA62" s="3461"/>
      <c r="RRB62" s="3461"/>
      <c r="RRC62" s="3461"/>
      <c r="RRD62" s="3461"/>
      <c r="RRE62" s="3461"/>
      <c r="RRF62" s="3461"/>
      <c r="RRG62" s="3461"/>
      <c r="RRH62" s="3461"/>
      <c r="RRI62" s="3461"/>
      <c r="RRJ62" s="3461"/>
      <c r="RRK62" s="3461"/>
      <c r="RRL62" s="3461"/>
      <c r="RRM62" s="3461"/>
      <c r="RRN62" s="3461"/>
      <c r="RRO62" s="3461"/>
      <c r="RRP62" s="3461"/>
      <c r="RRQ62" s="3461"/>
      <c r="RRR62" s="3461"/>
      <c r="RRS62" s="3461"/>
      <c r="RRT62" s="3461"/>
      <c r="RRU62" s="3461"/>
      <c r="RRV62" s="3461"/>
      <c r="RRW62" s="3461"/>
      <c r="RRX62" s="3461"/>
      <c r="RRY62" s="3461"/>
      <c r="RRZ62" s="3461"/>
      <c r="RSA62" s="3461"/>
      <c r="RSB62" s="3461"/>
      <c r="RSC62" s="3461"/>
      <c r="RSD62" s="3461"/>
      <c r="RSE62" s="3461"/>
      <c r="RSF62" s="3461"/>
      <c r="RSG62" s="3461"/>
      <c r="RSH62" s="3461"/>
      <c r="RSI62" s="3461"/>
      <c r="RSJ62" s="3461"/>
      <c r="RSK62" s="3461"/>
      <c r="RSL62" s="3461"/>
      <c r="RSM62" s="3461"/>
      <c r="RSN62" s="3461"/>
      <c r="RSO62" s="3461"/>
      <c r="RSP62" s="3461"/>
      <c r="RSQ62" s="3461"/>
      <c r="RSR62" s="3461"/>
      <c r="RSS62" s="3461"/>
      <c r="RST62" s="3461"/>
      <c r="RSU62" s="3461"/>
      <c r="RSV62" s="3461"/>
      <c r="RSW62" s="3461"/>
      <c r="RSX62" s="3461"/>
      <c r="RSY62" s="3461"/>
      <c r="RSZ62" s="3461"/>
      <c r="RTA62" s="3461"/>
      <c r="RTB62" s="3461"/>
      <c r="RTC62" s="3461"/>
      <c r="RTD62" s="3461"/>
      <c r="RTE62" s="3461"/>
      <c r="RTF62" s="3461"/>
      <c r="RTG62" s="3461"/>
      <c r="RTH62" s="3461"/>
      <c r="RTI62" s="3461"/>
      <c r="RTJ62" s="3461"/>
      <c r="RTK62" s="3461"/>
      <c r="RTL62" s="3461"/>
      <c r="RTM62" s="3461"/>
      <c r="RTN62" s="3461"/>
      <c r="RTO62" s="3461"/>
      <c r="RTP62" s="3461"/>
      <c r="RTQ62" s="3461"/>
      <c r="RTR62" s="3461"/>
      <c r="RTS62" s="3461"/>
      <c r="RTT62" s="3461"/>
      <c r="RTU62" s="3461"/>
      <c r="RTV62" s="3461"/>
      <c r="RTW62" s="3461"/>
      <c r="RTX62" s="3461"/>
      <c r="RTY62" s="3461"/>
      <c r="RTZ62" s="3461"/>
      <c r="RUA62" s="3461"/>
      <c r="RUB62" s="3461"/>
      <c r="RUC62" s="3461"/>
      <c r="RUD62" s="3461"/>
      <c r="RUE62" s="3461"/>
      <c r="RUF62" s="3461"/>
      <c r="RUG62" s="3461"/>
      <c r="RUH62" s="3461"/>
      <c r="RUI62" s="3461"/>
      <c r="RUJ62" s="3461"/>
      <c r="RUK62" s="3461"/>
      <c r="RUL62" s="3461"/>
      <c r="RUM62" s="3461"/>
      <c r="RUN62" s="3461"/>
      <c r="RUO62" s="3461"/>
      <c r="RUP62" s="3461"/>
      <c r="RUQ62" s="3461"/>
      <c r="RUR62" s="3461"/>
      <c r="RUS62" s="3461"/>
      <c r="RUT62" s="3461"/>
      <c r="RUU62" s="3461"/>
      <c r="RUV62" s="3461"/>
      <c r="RUW62" s="3461"/>
      <c r="RUX62" s="3461"/>
      <c r="RUY62" s="3461"/>
      <c r="RUZ62" s="3461"/>
      <c r="RVA62" s="3461"/>
      <c r="RVB62" s="3461"/>
      <c r="RVC62" s="3461"/>
      <c r="RVD62" s="3461"/>
      <c r="RVE62" s="3461"/>
      <c r="RVF62" s="3461"/>
      <c r="RVG62" s="3461"/>
      <c r="RVH62" s="3461"/>
      <c r="RVI62" s="3461"/>
      <c r="RVJ62" s="3461"/>
      <c r="RVK62" s="3461"/>
      <c r="RVL62" s="3461"/>
      <c r="RVM62" s="3461"/>
      <c r="RVN62" s="3461"/>
      <c r="RVO62" s="3461"/>
      <c r="RVP62" s="3461"/>
      <c r="RVQ62" s="3461"/>
      <c r="RVR62" s="3461"/>
      <c r="RVS62" s="3461"/>
      <c r="RVT62" s="3461"/>
      <c r="RVU62" s="3461"/>
      <c r="RVV62" s="3461"/>
      <c r="RVW62" s="3461"/>
      <c r="RVX62" s="3461"/>
      <c r="RVY62" s="3461"/>
      <c r="RVZ62" s="3461"/>
      <c r="RWA62" s="3461"/>
      <c r="RWB62" s="3461"/>
      <c r="RWC62" s="3461"/>
      <c r="RWD62" s="3461"/>
      <c r="RWE62" s="3461"/>
      <c r="RWF62" s="3461"/>
      <c r="RWG62" s="3461"/>
      <c r="RWH62" s="3461"/>
      <c r="RWI62" s="3461"/>
      <c r="RWJ62" s="3461"/>
      <c r="RWK62" s="3461"/>
      <c r="RWL62" s="3461"/>
      <c r="RWM62" s="3461"/>
      <c r="RWN62" s="3461"/>
      <c r="RWO62" s="3461"/>
      <c r="RWP62" s="3461"/>
      <c r="RWQ62" s="3461"/>
      <c r="RWR62" s="3461"/>
      <c r="RWS62" s="3461"/>
      <c r="RWT62" s="3461"/>
      <c r="RWU62" s="3461"/>
      <c r="RWV62" s="3461"/>
      <c r="RWW62" s="3461"/>
      <c r="RWX62" s="3461"/>
      <c r="RWY62" s="3461"/>
      <c r="RWZ62" s="3461"/>
      <c r="RXA62" s="3461"/>
      <c r="RXB62" s="3461"/>
      <c r="RXC62" s="3461"/>
      <c r="RXD62" s="3461"/>
      <c r="RXE62" s="3461"/>
      <c r="RXF62" s="3461"/>
      <c r="RXG62" s="3461"/>
      <c r="RXH62" s="3461"/>
      <c r="RXI62" s="3461"/>
      <c r="RXJ62" s="3461"/>
      <c r="RXK62" s="3461"/>
      <c r="RXL62" s="3461"/>
      <c r="RXM62" s="3461"/>
      <c r="RXN62" s="3461"/>
      <c r="RXO62" s="3461"/>
      <c r="RXP62" s="3461"/>
      <c r="RXQ62" s="3461"/>
      <c r="RXR62" s="3461"/>
      <c r="RXS62" s="3461"/>
      <c r="RXT62" s="3461"/>
      <c r="RXU62" s="3461"/>
      <c r="RXV62" s="3461"/>
      <c r="RXW62" s="3461"/>
      <c r="RXX62" s="3461"/>
      <c r="RXY62" s="3461"/>
      <c r="RXZ62" s="3461"/>
      <c r="RYA62" s="3461"/>
      <c r="RYB62" s="3461"/>
      <c r="RYC62" s="3461"/>
      <c r="RYD62" s="3461"/>
      <c r="RYE62" s="3461"/>
      <c r="RYF62" s="3461"/>
      <c r="RYG62" s="3461"/>
      <c r="RYH62" s="3461"/>
      <c r="RYI62" s="3461"/>
      <c r="RYJ62" s="3461"/>
      <c r="RYK62" s="3461"/>
      <c r="RYL62" s="3461"/>
      <c r="RYM62" s="3461"/>
      <c r="RYN62" s="3461"/>
      <c r="RYO62" s="3461"/>
      <c r="RYP62" s="3461"/>
      <c r="RYQ62" s="3461"/>
      <c r="RYR62" s="3461"/>
      <c r="RYS62" s="3461"/>
      <c r="RYT62" s="3461"/>
      <c r="RYU62" s="3461"/>
      <c r="RYV62" s="3461"/>
      <c r="RYW62" s="3461"/>
      <c r="RYX62" s="3461"/>
      <c r="RYY62" s="3461"/>
      <c r="RYZ62" s="3461"/>
      <c r="RZA62" s="3461"/>
      <c r="RZB62" s="3461"/>
      <c r="RZC62" s="3461"/>
      <c r="RZD62" s="3461"/>
      <c r="RZE62" s="3461"/>
      <c r="RZF62" s="3461"/>
      <c r="RZG62" s="3461"/>
      <c r="RZH62" s="3461"/>
      <c r="RZI62" s="3461"/>
      <c r="RZJ62" s="3461"/>
      <c r="RZK62" s="3461"/>
      <c r="RZL62" s="3461"/>
      <c r="RZM62" s="3461"/>
      <c r="RZN62" s="3461"/>
      <c r="RZO62" s="3461"/>
      <c r="RZP62" s="3461"/>
      <c r="RZQ62" s="3461"/>
      <c r="RZR62" s="3461"/>
      <c r="RZS62" s="3461"/>
      <c r="RZT62" s="3461"/>
      <c r="RZU62" s="3461"/>
      <c r="RZV62" s="3461"/>
      <c r="RZW62" s="3461"/>
      <c r="RZX62" s="3461"/>
      <c r="RZY62" s="3461"/>
      <c r="RZZ62" s="3461"/>
      <c r="SAA62" s="3461"/>
      <c r="SAB62" s="3461"/>
      <c r="SAC62" s="3461"/>
      <c r="SAD62" s="3461"/>
      <c r="SAE62" s="3461"/>
      <c r="SAF62" s="3461"/>
      <c r="SAG62" s="3461"/>
      <c r="SAH62" s="3461"/>
      <c r="SAI62" s="3461"/>
      <c r="SAJ62" s="3461"/>
      <c r="SAK62" s="3461"/>
      <c r="SAL62" s="3461"/>
      <c r="SAM62" s="3461"/>
      <c r="SAN62" s="3461"/>
      <c r="SAO62" s="3461"/>
      <c r="SAP62" s="3461"/>
      <c r="SAQ62" s="3461"/>
      <c r="SAR62" s="3461"/>
      <c r="SAS62" s="3461"/>
      <c r="SAT62" s="3461"/>
      <c r="SAU62" s="3461"/>
      <c r="SAV62" s="3461"/>
      <c r="SAW62" s="3461"/>
      <c r="SAX62" s="3461"/>
      <c r="SAY62" s="3461"/>
      <c r="SAZ62" s="3461"/>
      <c r="SBA62" s="3461"/>
      <c r="SBB62" s="3461"/>
      <c r="SBC62" s="3461"/>
      <c r="SBD62" s="3461"/>
      <c r="SBE62" s="3461"/>
      <c r="SBF62" s="3461"/>
      <c r="SBG62" s="3461"/>
      <c r="SBH62" s="3461"/>
      <c r="SBI62" s="3461"/>
      <c r="SBJ62" s="3461"/>
      <c r="SBK62" s="3461"/>
      <c r="SBL62" s="3461"/>
      <c r="SBM62" s="3461"/>
      <c r="SBN62" s="3461"/>
      <c r="SBO62" s="3461"/>
      <c r="SBP62" s="3461"/>
      <c r="SBQ62" s="3461"/>
      <c r="SBR62" s="3461"/>
      <c r="SBS62" s="3461"/>
      <c r="SBT62" s="3461"/>
      <c r="SBU62" s="3461"/>
      <c r="SBV62" s="3461"/>
      <c r="SBW62" s="3461"/>
      <c r="SBX62" s="3461"/>
      <c r="SBY62" s="3461"/>
      <c r="SBZ62" s="3461"/>
      <c r="SCA62" s="3461"/>
      <c r="SCB62" s="3461"/>
      <c r="SCC62" s="3461"/>
      <c r="SCD62" s="3461"/>
      <c r="SCE62" s="3461"/>
      <c r="SCF62" s="3461"/>
      <c r="SCG62" s="3461"/>
      <c r="SCH62" s="3461"/>
      <c r="SCI62" s="3461"/>
      <c r="SCJ62" s="3461"/>
      <c r="SCK62" s="3461"/>
      <c r="SCL62" s="3461"/>
      <c r="SCM62" s="3461"/>
      <c r="SCN62" s="3461"/>
      <c r="SCO62" s="3461"/>
      <c r="SCP62" s="3461"/>
      <c r="SCQ62" s="3461"/>
      <c r="SCR62" s="3461"/>
      <c r="SCS62" s="3461"/>
      <c r="SCT62" s="3461"/>
      <c r="SCU62" s="3461"/>
      <c r="SCV62" s="3461"/>
      <c r="SCW62" s="3461"/>
      <c r="SCX62" s="3461"/>
      <c r="SCY62" s="3461"/>
      <c r="SCZ62" s="3461"/>
      <c r="SDA62" s="3461"/>
      <c r="SDB62" s="3461"/>
      <c r="SDC62" s="3461"/>
      <c r="SDD62" s="3461"/>
      <c r="SDE62" s="3461"/>
      <c r="SDF62" s="3461"/>
      <c r="SDG62" s="3461"/>
      <c r="SDH62" s="3461"/>
      <c r="SDI62" s="3461"/>
      <c r="SDJ62" s="3461"/>
      <c r="SDK62" s="3461"/>
      <c r="SDL62" s="3461"/>
      <c r="SDM62" s="3461"/>
      <c r="SDN62" s="3461"/>
      <c r="SDO62" s="3461"/>
      <c r="SDP62" s="3461"/>
      <c r="SDQ62" s="3461"/>
      <c r="SDR62" s="3461"/>
      <c r="SDS62" s="3461"/>
      <c r="SDT62" s="3461"/>
      <c r="SDU62" s="3461"/>
      <c r="SDV62" s="3461"/>
      <c r="SDW62" s="3461"/>
      <c r="SDX62" s="3461"/>
      <c r="SDY62" s="3461"/>
      <c r="SDZ62" s="3461"/>
      <c r="SEA62" s="3461"/>
      <c r="SEB62" s="3461"/>
      <c r="SEC62" s="3461"/>
      <c r="SED62" s="3461"/>
      <c r="SEE62" s="3461"/>
      <c r="SEF62" s="3461"/>
      <c r="SEG62" s="3461"/>
      <c r="SEH62" s="3461"/>
      <c r="SEI62" s="3461"/>
      <c r="SEJ62" s="3461"/>
      <c r="SEK62" s="3461"/>
      <c r="SEL62" s="3461"/>
      <c r="SEM62" s="3461"/>
      <c r="SEN62" s="3461"/>
      <c r="SEO62" s="3461"/>
      <c r="SEP62" s="3461"/>
      <c r="SEQ62" s="3461"/>
      <c r="SER62" s="3461"/>
      <c r="SES62" s="3461"/>
      <c r="SET62" s="3461"/>
      <c r="SEU62" s="3461"/>
      <c r="SEV62" s="3461"/>
      <c r="SEW62" s="3461"/>
      <c r="SEX62" s="3461"/>
      <c r="SEY62" s="3461"/>
      <c r="SEZ62" s="3461"/>
      <c r="SFA62" s="3461"/>
      <c r="SFB62" s="3461"/>
      <c r="SFC62" s="3461"/>
      <c r="SFD62" s="3461"/>
      <c r="SFE62" s="3461"/>
      <c r="SFF62" s="3461"/>
      <c r="SFG62" s="3461"/>
      <c r="SFH62" s="3461"/>
      <c r="SFI62" s="3461"/>
      <c r="SFJ62" s="3461"/>
      <c r="SFK62" s="3461"/>
      <c r="SFL62" s="3461"/>
      <c r="SFM62" s="3461"/>
      <c r="SFN62" s="3461"/>
      <c r="SFO62" s="3461"/>
      <c r="SFP62" s="3461"/>
      <c r="SFQ62" s="3461"/>
      <c r="SFR62" s="3461"/>
      <c r="SFS62" s="3461"/>
      <c r="SFT62" s="3461"/>
      <c r="SFU62" s="3461"/>
      <c r="SFV62" s="3461"/>
      <c r="SFW62" s="3461"/>
      <c r="SFX62" s="3461"/>
      <c r="SFY62" s="3461"/>
      <c r="SFZ62" s="3461"/>
      <c r="SGA62" s="3461"/>
      <c r="SGB62" s="3461"/>
      <c r="SGC62" s="3461"/>
      <c r="SGD62" s="3461"/>
      <c r="SGE62" s="3461"/>
      <c r="SGF62" s="3461"/>
      <c r="SGG62" s="3461"/>
      <c r="SGH62" s="3461"/>
      <c r="SGI62" s="3461"/>
      <c r="SGJ62" s="3461"/>
      <c r="SGK62" s="3461"/>
      <c r="SGL62" s="3461"/>
      <c r="SGM62" s="3461"/>
      <c r="SGN62" s="3461"/>
      <c r="SGO62" s="3461"/>
      <c r="SGP62" s="3461"/>
      <c r="SGQ62" s="3461"/>
      <c r="SGR62" s="3461"/>
      <c r="SGS62" s="3461"/>
      <c r="SGT62" s="3461"/>
      <c r="SGU62" s="3461"/>
      <c r="SGV62" s="3461"/>
      <c r="SGW62" s="3461"/>
      <c r="SGX62" s="3461"/>
      <c r="SGY62" s="3461"/>
      <c r="SGZ62" s="3461"/>
      <c r="SHA62" s="3461"/>
      <c r="SHB62" s="3461"/>
      <c r="SHC62" s="3461"/>
      <c r="SHD62" s="3461"/>
      <c r="SHE62" s="3461"/>
      <c r="SHF62" s="3461"/>
      <c r="SHG62" s="3461"/>
      <c r="SHH62" s="3461"/>
      <c r="SHI62" s="3461"/>
      <c r="SHJ62" s="3461"/>
      <c r="SHK62" s="3461"/>
      <c r="SHL62" s="3461"/>
      <c r="SHM62" s="3461"/>
      <c r="SHN62" s="3461"/>
      <c r="SHO62" s="3461"/>
      <c r="SHP62" s="3461"/>
      <c r="SHQ62" s="3461"/>
      <c r="SHR62" s="3461"/>
      <c r="SHS62" s="3461"/>
      <c r="SHT62" s="3461"/>
      <c r="SHU62" s="3461"/>
      <c r="SHV62" s="3461"/>
      <c r="SHW62" s="3461"/>
      <c r="SHX62" s="3461"/>
      <c r="SHY62" s="3461"/>
      <c r="SHZ62" s="3461"/>
      <c r="SIA62" s="3461"/>
      <c r="SIB62" s="3461"/>
      <c r="SIC62" s="3461"/>
      <c r="SID62" s="3461"/>
      <c r="SIE62" s="3461"/>
      <c r="SIF62" s="3461"/>
      <c r="SIG62" s="3461"/>
      <c r="SIH62" s="3461"/>
      <c r="SII62" s="3461"/>
      <c r="SIJ62" s="3461"/>
      <c r="SIK62" s="3461"/>
      <c r="SIL62" s="3461"/>
      <c r="SIM62" s="3461"/>
      <c r="SIN62" s="3461"/>
      <c r="SIO62" s="3461"/>
      <c r="SIP62" s="3461"/>
      <c r="SIQ62" s="3461"/>
      <c r="SIR62" s="3461"/>
      <c r="SIS62" s="3461"/>
      <c r="SIT62" s="3461"/>
      <c r="SIU62" s="3461"/>
      <c r="SIV62" s="3461"/>
      <c r="SIW62" s="3461"/>
      <c r="SIX62" s="3461"/>
      <c r="SIY62" s="3461"/>
      <c r="SIZ62" s="3461"/>
      <c r="SJA62" s="3461"/>
      <c r="SJB62" s="3461"/>
      <c r="SJC62" s="3461"/>
      <c r="SJD62" s="3461"/>
      <c r="SJE62" s="3461"/>
      <c r="SJF62" s="3461"/>
      <c r="SJG62" s="3461"/>
      <c r="SJH62" s="3461"/>
      <c r="SJI62" s="3461"/>
      <c r="SJJ62" s="3461"/>
      <c r="SJK62" s="3461"/>
      <c r="SJL62" s="3461"/>
      <c r="SJM62" s="3461"/>
      <c r="SJN62" s="3461"/>
      <c r="SJO62" s="3461"/>
      <c r="SJP62" s="3461"/>
      <c r="SJQ62" s="3461"/>
      <c r="SJR62" s="3461"/>
      <c r="SJS62" s="3461"/>
      <c r="SJT62" s="3461"/>
      <c r="SJU62" s="3461"/>
      <c r="SJV62" s="3461"/>
      <c r="SJW62" s="3461"/>
      <c r="SJX62" s="3461"/>
      <c r="SJY62" s="3461"/>
      <c r="SJZ62" s="3461"/>
      <c r="SKA62" s="3461"/>
      <c r="SKB62" s="3461"/>
      <c r="SKC62" s="3461"/>
      <c r="SKD62" s="3461"/>
      <c r="SKE62" s="3461"/>
      <c r="SKF62" s="3461"/>
      <c r="SKG62" s="3461"/>
      <c r="SKH62" s="3461"/>
      <c r="SKI62" s="3461"/>
      <c r="SKJ62" s="3461"/>
      <c r="SKK62" s="3461"/>
      <c r="SKL62" s="3461"/>
      <c r="SKM62" s="3461"/>
      <c r="SKN62" s="3461"/>
      <c r="SKO62" s="3461"/>
      <c r="SKP62" s="3461"/>
      <c r="SKQ62" s="3461"/>
      <c r="SKR62" s="3461"/>
      <c r="SKS62" s="3461"/>
      <c r="SKT62" s="3461"/>
      <c r="SKU62" s="3461"/>
      <c r="SKV62" s="3461"/>
      <c r="SKW62" s="3461"/>
      <c r="SKX62" s="3461"/>
      <c r="SKY62" s="3461"/>
      <c r="SKZ62" s="3461"/>
      <c r="SLA62" s="3461"/>
      <c r="SLB62" s="3461"/>
      <c r="SLC62" s="3461"/>
      <c r="SLD62" s="3461"/>
      <c r="SLE62" s="3461"/>
      <c r="SLF62" s="3461"/>
      <c r="SLG62" s="3461"/>
      <c r="SLH62" s="3461"/>
      <c r="SLI62" s="3461"/>
      <c r="SLJ62" s="3461"/>
      <c r="SLK62" s="3461"/>
      <c r="SLL62" s="3461"/>
      <c r="SLM62" s="3461"/>
      <c r="SLN62" s="3461"/>
      <c r="SLO62" s="3461"/>
      <c r="SLP62" s="3461"/>
      <c r="SLQ62" s="3461"/>
      <c r="SLR62" s="3461"/>
      <c r="SLS62" s="3461"/>
      <c r="SLT62" s="3461"/>
      <c r="SLU62" s="3461"/>
      <c r="SLV62" s="3461"/>
      <c r="SLW62" s="3461"/>
      <c r="SLX62" s="3461"/>
      <c r="SLY62" s="3461"/>
      <c r="SLZ62" s="3461"/>
      <c r="SMA62" s="3461"/>
      <c r="SMB62" s="3461"/>
      <c r="SMC62" s="3461"/>
      <c r="SMD62" s="3461"/>
      <c r="SME62" s="3461"/>
      <c r="SMF62" s="3461"/>
      <c r="SMG62" s="3461"/>
      <c r="SMH62" s="3461"/>
      <c r="SMI62" s="3461"/>
      <c r="SMJ62" s="3461"/>
      <c r="SMK62" s="3461"/>
      <c r="SML62" s="3461"/>
      <c r="SMM62" s="3461"/>
      <c r="SMN62" s="3461"/>
      <c r="SMO62" s="3461"/>
      <c r="SMP62" s="3461"/>
      <c r="SMQ62" s="3461"/>
      <c r="SMR62" s="3461"/>
      <c r="SMS62" s="3461"/>
      <c r="SMT62" s="3461"/>
      <c r="SMU62" s="3461"/>
      <c r="SMV62" s="3461"/>
      <c r="SMW62" s="3461"/>
      <c r="SMX62" s="3461"/>
      <c r="SMY62" s="3461"/>
      <c r="SMZ62" s="3461"/>
      <c r="SNA62" s="3461"/>
      <c r="SNB62" s="3461"/>
      <c r="SNC62" s="3461"/>
      <c r="SND62" s="3461"/>
      <c r="SNE62" s="3461"/>
      <c r="SNF62" s="3461"/>
      <c r="SNG62" s="3461"/>
      <c r="SNH62" s="3461"/>
      <c r="SNI62" s="3461"/>
      <c r="SNJ62" s="3461"/>
      <c r="SNK62" s="3461"/>
      <c r="SNL62" s="3461"/>
      <c r="SNM62" s="3461"/>
      <c r="SNN62" s="3461"/>
      <c r="SNO62" s="3461"/>
      <c r="SNP62" s="3461"/>
      <c r="SNQ62" s="3461"/>
      <c r="SNR62" s="3461"/>
      <c r="SNS62" s="3461"/>
      <c r="SNT62" s="3461"/>
      <c r="SNU62" s="3461"/>
      <c r="SNV62" s="3461"/>
      <c r="SNW62" s="3461"/>
      <c r="SNX62" s="3461"/>
      <c r="SNY62" s="3461"/>
      <c r="SNZ62" s="3461"/>
      <c r="SOA62" s="3461"/>
      <c r="SOB62" s="3461"/>
      <c r="SOC62" s="3461"/>
      <c r="SOD62" s="3461"/>
      <c r="SOE62" s="3461"/>
      <c r="SOF62" s="3461"/>
      <c r="SOG62" s="3461"/>
      <c r="SOH62" s="3461"/>
      <c r="SOI62" s="3461"/>
      <c r="SOJ62" s="3461"/>
      <c r="SOK62" s="3461"/>
      <c r="SOL62" s="3461"/>
      <c r="SOM62" s="3461"/>
      <c r="SON62" s="3461"/>
      <c r="SOO62" s="3461"/>
      <c r="SOP62" s="3461"/>
      <c r="SOQ62" s="3461"/>
      <c r="SOR62" s="3461"/>
      <c r="SOS62" s="3461"/>
      <c r="SOT62" s="3461"/>
      <c r="SOU62" s="3461"/>
      <c r="SOV62" s="3461"/>
      <c r="SOW62" s="3461"/>
      <c r="SOX62" s="3461"/>
      <c r="SOY62" s="3461"/>
      <c r="SOZ62" s="3461"/>
      <c r="SPA62" s="3461"/>
      <c r="SPB62" s="3461"/>
      <c r="SPC62" s="3461"/>
      <c r="SPD62" s="3461"/>
      <c r="SPE62" s="3461"/>
      <c r="SPF62" s="3461"/>
      <c r="SPG62" s="3461"/>
      <c r="SPH62" s="3461"/>
      <c r="SPI62" s="3461"/>
      <c r="SPJ62" s="3461"/>
      <c r="SPK62" s="3461"/>
      <c r="SPL62" s="3461"/>
      <c r="SPM62" s="3461"/>
      <c r="SPN62" s="3461"/>
      <c r="SPO62" s="3461"/>
      <c r="SPP62" s="3461"/>
      <c r="SPQ62" s="3461"/>
      <c r="SPR62" s="3461"/>
      <c r="SPS62" s="3461"/>
      <c r="SPT62" s="3461"/>
      <c r="SPU62" s="3461"/>
      <c r="SPV62" s="3461"/>
      <c r="SPW62" s="3461"/>
      <c r="SPX62" s="3461"/>
      <c r="SPY62" s="3461"/>
      <c r="SPZ62" s="3461"/>
      <c r="SQA62" s="3461"/>
      <c r="SQB62" s="3461"/>
      <c r="SQC62" s="3461"/>
      <c r="SQD62" s="3461"/>
      <c r="SQE62" s="3461"/>
      <c r="SQF62" s="3461"/>
      <c r="SQG62" s="3461"/>
      <c r="SQH62" s="3461"/>
      <c r="SQI62" s="3461"/>
      <c r="SQJ62" s="3461"/>
      <c r="SQK62" s="3461"/>
      <c r="SQL62" s="3461"/>
      <c r="SQM62" s="3461"/>
      <c r="SQN62" s="3461"/>
      <c r="SQO62" s="3461"/>
      <c r="SQP62" s="3461"/>
      <c r="SQQ62" s="3461"/>
      <c r="SQR62" s="3461"/>
      <c r="SQS62" s="3461"/>
      <c r="SQT62" s="3461"/>
      <c r="SQU62" s="3461"/>
      <c r="SQV62" s="3461"/>
      <c r="SQW62" s="3461"/>
      <c r="SQX62" s="3461"/>
      <c r="SQY62" s="3461"/>
      <c r="SQZ62" s="3461"/>
      <c r="SRA62" s="3461"/>
      <c r="SRB62" s="3461"/>
      <c r="SRC62" s="3461"/>
      <c r="SRD62" s="3461"/>
      <c r="SRE62" s="3461"/>
      <c r="SRF62" s="3461"/>
      <c r="SRG62" s="3461"/>
      <c r="SRH62" s="3461"/>
      <c r="SRI62" s="3461"/>
      <c r="SRJ62" s="3461"/>
      <c r="SRK62" s="3461"/>
      <c r="SRL62" s="3461"/>
      <c r="SRM62" s="3461"/>
      <c r="SRN62" s="3461"/>
      <c r="SRO62" s="3461"/>
      <c r="SRP62" s="3461"/>
      <c r="SRQ62" s="3461"/>
      <c r="SRR62" s="3461"/>
      <c r="SRS62" s="3461"/>
      <c r="SRT62" s="3461"/>
      <c r="SRU62" s="3461"/>
      <c r="SRV62" s="3461"/>
      <c r="SRW62" s="3461"/>
      <c r="SRX62" s="3461"/>
      <c r="SRY62" s="3461"/>
      <c r="SRZ62" s="3461"/>
      <c r="SSA62" s="3461"/>
      <c r="SSB62" s="3461"/>
      <c r="SSC62" s="3461"/>
      <c r="SSD62" s="3461"/>
      <c r="SSE62" s="3461"/>
      <c r="SSF62" s="3461"/>
      <c r="SSG62" s="3461"/>
      <c r="SSH62" s="3461"/>
      <c r="SSI62" s="3461"/>
      <c r="SSJ62" s="3461"/>
      <c r="SSK62" s="3461"/>
      <c r="SSL62" s="3461"/>
      <c r="SSM62" s="3461"/>
      <c r="SSN62" s="3461"/>
      <c r="SSO62" s="3461"/>
      <c r="SSP62" s="3461"/>
      <c r="SSQ62" s="3461"/>
      <c r="SSR62" s="3461"/>
      <c r="SSS62" s="3461"/>
      <c r="SST62" s="3461"/>
      <c r="SSU62" s="3461"/>
      <c r="SSV62" s="3461"/>
      <c r="SSW62" s="3461"/>
      <c r="SSX62" s="3461"/>
      <c r="SSY62" s="3461"/>
      <c r="SSZ62" s="3461"/>
      <c r="STA62" s="3461"/>
      <c r="STB62" s="3461"/>
      <c r="STC62" s="3461"/>
      <c r="STD62" s="3461"/>
      <c r="STE62" s="3461"/>
      <c r="STF62" s="3461"/>
      <c r="STG62" s="3461"/>
      <c r="STH62" s="3461"/>
      <c r="STI62" s="3461"/>
      <c r="STJ62" s="3461"/>
      <c r="STK62" s="3461"/>
      <c r="STL62" s="3461"/>
      <c r="STM62" s="3461"/>
      <c r="STN62" s="3461"/>
      <c r="STO62" s="3461"/>
      <c r="STP62" s="3461"/>
      <c r="STQ62" s="3461"/>
      <c r="STR62" s="3461"/>
      <c r="STS62" s="3461"/>
      <c r="STT62" s="3461"/>
      <c r="STU62" s="3461"/>
      <c r="STV62" s="3461"/>
      <c r="STW62" s="3461"/>
      <c r="STX62" s="3461"/>
      <c r="STY62" s="3461"/>
      <c r="STZ62" s="3461"/>
      <c r="SUA62" s="3461"/>
      <c r="SUB62" s="3461"/>
      <c r="SUC62" s="3461"/>
      <c r="SUD62" s="3461"/>
      <c r="SUE62" s="3461"/>
      <c r="SUF62" s="3461"/>
      <c r="SUG62" s="3461"/>
      <c r="SUH62" s="3461"/>
      <c r="SUI62" s="3461"/>
      <c r="SUJ62" s="3461"/>
      <c r="SUK62" s="3461"/>
      <c r="SUL62" s="3461"/>
      <c r="SUM62" s="3461"/>
      <c r="SUN62" s="3461"/>
      <c r="SUO62" s="3461"/>
      <c r="SUP62" s="3461"/>
      <c r="SUQ62" s="3461"/>
      <c r="SUR62" s="3461"/>
      <c r="SUS62" s="3461"/>
      <c r="SUT62" s="3461"/>
      <c r="SUU62" s="3461"/>
      <c r="SUV62" s="3461"/>
      <c r="SUW62" s="3461"/>
      <c r="SUX62" s="3461"/>
      <c r="SUY62" s="3461"/>
      <c r="SUZ62" s="3461"/>
      <c r="SVA62" s="3461"/>
      <c r="SVB62" s="3461"/>
      <c r="SVC62" s="3461"/>
      <c r="SVD62" s="3461"/>
      <c r="SVE62" s="3461"/>
      <c r="SVF62" s="3461"/>
      <c r="SVG62" s="3461"/>
      <c r="SVH62" s="3461"/>
      <c r="SVI62" s="3461"/>
      <c r="SVJ62" s="3461"/>
      <c r="SVK62" s="3461"/>
      <c r="SVL62" s="3461"/>
      <c r="SVM62" s="3461"/>
      <c r="SVN62" s="3461"/>
      <c r="SVO62" s="3461"/>
      <c r="SVP62" s="3461"/>
      <c r="SVQ62" s="3461"/>
      <c r="SVR62" s="3461"/>
      <c r="SVS62" s="3461"/>
      <c r="SVT62" s="3461"/>
      <c r="SVU62" s="3461"/>
      <c r="SVV62" s="3461"/>
      <c r="SVW62" s="3461"/>
      <c r="SVX62" s="3461"/>
      <c r="SVY62" s="3461"/>
      <c r="SVZ62" s="3461"/>
      <c r="SWA62" s="3461"/>
      <c r="SWB62" s="3461"/>
      <c r="SWC62" s="3461"/>
      <c r="SWD62" s="3461"/>
      <c r="SWE62" s="3461"/>
      <c r="SWF62" s="3461"/>
      <c r="SWG62" s="3461"/>
      <c r="SWH62" s="3461"/>
      <c r="SWI62" s="3461"/>
      <c r="SWJ62" s="3461"/>
      <c r="SWK62" s="3461"/>
      <c r="SWL62" s="3461"/>
      <c r="SWM62" s="3461"/>
      <c r="SWN62" s="3461"/>
      <c r="SWO62" s="3461"/>
      <c r="SWP62" s="3461"/>
      <c r="SWQ62" s="3461"/>
      <c r="SWR62" s="3461"/>
      <c r="SWS62" s="3461"/>
      <c r="SWT62" s="3461"/>
      <c r="SWU62" s="3461"/>
      <c r="SWV62" s="3461"/>
      <c r="SWW62" s="3461"/>
      <c r="SWX62" s="3461"/>
      <c r="SWY62" s="3461"/>
      <c r="SWZ62" s="3461"/>
      <c r="SXA62" s="3461"/>
      <c r="SXB62" s="3461"/>
      <c r="SXC62" s="3461"/>
      <c r="SXD62" s="3461"/>
      <c r="SXE62" s="3461"/>
      <c r="SXF62" s="3461"/>
      <c r="SXG62" s="3461"/>
      <c r="SXH62" s="3461"/>
      <c r="SXI62" s="3461"/>
      <c r="SXJ62" s="3461"/>
      <c r="SXK62" s="3461"/>
      <c r="SXL62" s="3461"/>
      <c r="SXM62" s="3461"/>
      <c r="SXN62" s="3461"/>
      <c r="SXO62" s="3461"/>
      <c r="SXP62" s="3461"/>
      <c r="SXQ62" s="3461"/>
      <c r="SXR62" s="3461"/>
      <c r="SXS62" s="3461"/>
      <c r="SXT62" s="3461"/>
      <c r="SXU62" s="3461"/>
      <c r="SXV62" s="3461"/>
      <c r="SXW62" s="3461"/>
      <c r="SXX62" s="3461"/>
      <c r="SXY62" s="3461"/>
      <c r="SXZ62" s="3461"/>
      <c r="SYA62" s="3461"/>
      <c r="SYB62" s="3461"/>
      <c r="SYC62" s="3461"/>
      <c r="SYD62" s="3461"/>
      <c r="SYE62" s="3461"/>
      <c r="SYF62" s="3461"/>
      <c r="SYG62" s="3461"/>
      <c r="SYH62" s="3461"/>
      <c r="SYI62" s="3461"/>
      <c r="SYJ62" s="3461"/>
      <c r="SYK62" s="3461"/>
      <c r="SYL62" s="3461"/>
      <c r="SYM62" s="3461"/>
      <c r="SYN62" s="3461"/>
      <c r="SYO62" s="3461"/>
      <c r="SYP62" s="3461"/>
      <c r="SYQ62" s="3461"/>
      <c r="SYR62" s="3461"/>
      <c r="SYS62" s="3461"/>
      <c r="SYT62" s="3461"/>
      <c r="SYU62" s="3461"/>
      <c r="SYV62" s="3461"/>
      <c r="SYW62" s="3461"/>
      <c r="SYX62" s="3461"/>
      <c r="SYY62" s="3461"/>
      <c r="SYZ62" s="3461"/>
      <c r="SZA62" s="3461"/>
      <c r="SZB62" s="3461"/>
      <c r="SZC62" s="3461"/>
      <c r="SZD62" s="3461"/>
      <c r="SZE62" s="3461"/>
      <c r="SZF62" s="3461"/>
      <c r="SZG62" s="3461"/>
      <c r="SZH62" s="3461"/>
      <c r="SZI62" s="3461"/>
      <c r="SZJ62" s="3461"/>
      <c r="SZK62" s="3461"/>
      <c r="SZL62" s="3461"/>
      <c r="SZM62" s="3461"/>
      <c r="SZN62" s="3461"/>
      <c r="SZO62" s="3461"/>
      <c r="SZP62" s="3461"/>
      <c r="SZQ62" s="3461"/>
      <c r="SZR62" s="3461"/>
      <c r="SZS62" s="3461"/>
      <c r="SZT62" s="3461"/>
      <c r="SZU62" s="3461"/>
      <c r="SZV62" s="3461"/>
      <c r="SZW62" s="3461"/>
      <c r="SZX62" s="3461"/>
      <c r="SZY62" s="3461"/>
      <c r="SZZ62" s="3461"/>
      <c r="TAA62" s="3461"/>
      <c r="TAB62" s="3461"/>
      <c r="TAC62" s="3461"/>
      <c r="TAD62" s="3461"/>
      <c r="TAE62" s="3461"/>
      <c r="TAF62" s="3461"/>
      <c r="TAG62" s="3461"/>
      <c r="TAH62" s="3461"/>
      <c r="TAI62" s="3461"/>
      <c r="TAJ62" s="3461"/>
      <c r="TAK62" s="3461"/>
      <c r="TAL62" s="3461"/>
      <c r="TAM62" s="3461"/>
      <c r="TAN62" s="3461"/>
      <c r="TAO62" s="3461"/>
      <c r="TAP62" s="3461"/>
      <c r="TAQ62" s="3461"/>
      <c r="TAR62" s="3461"/>
      <c r="TAS62" s="3461"/>
      <c r="TAT62" s="3461"/>
      <c r="TAU62" s="3461"/>
      <c r="TAV62" s="3461"/>
      <c r="TAW62" s="3461"/>
      <c r="TAX62" s="3461"/>
      <c r="TAY62" s="3461"/>
      <c r="TAZ62" s="3461"/>
      <c r="TBA62" s="3461"/>
      <c r="TBB62" s="3461"/>
      <c r="TBC62" s="3461"/>
      <c r="TBD62" s="3461"/>
      <c r="TBE62" s="3461"/>
      <c r="TBF62" s="3461"/>
      <c r="TBG62" s="3461"/>
      <c r="TBH62" s="3461"/>
      <c r="TBI62" s="3461"/>
      <c r="TBJ62" s="3461"/>
      <c r="TBK62" s="3461"/>
      <c r="TBL62" s="3461"/>
      <c r="TBM62" s="3461"/>
      <c r="TBN62" s="3461"/>
      <c r="TBO62" s="3461"/>
      <c r="TBP62" s="3461"/>
      <c r="TBQ62" s="3461"/>
      <c r="TBR62" s="3461"/>
      <c r="TBS62" s="3461"/>
      <c r="TBT62" s="3461"/>
      <c r="TBU62" s="3461"/>
      <c r="TBV62" s="3461"/>
      <c r="TBW62" s="3461"/>
      <c r="TBX62" s="3461"/>
      <c r="TBY62" s="3461"/>
      <c r="TBZ62" s="3461"/>
      <c r="TCA62" s="3461"/>
      <c r="TCB62" s="3461"/>
      <c r="TCC62" s="3461"/>
      <c r="TCD62" s="3461"/>
      <c r="TCE62" s="3461"/>
      <c r="TCF62" s="3461"/>
      <c r="TCG62" s="3461"/>
      <c r="TCH62" s="3461"/>
      <c r="TCI62" s="3461"/>
      <c r="TCJ62" s="3461"/>
      <c r="TCK62" s="3461"/>
      <c r="TCL62" s="3461"/>
      <c r="TCM62" s="3461"/>
      <c r="TCN62" s="3461"/>
      <c r="TCO62" s="3461"/>
      <c r="TCP62" s="3461"/>
      <c r="TCQ62" s="3461"/>
      <c r="TCR62" s="3461"/>
      <c r="TCS62" s="3461"/>
      <c r="TCT62" s="3461"/>
      <c r="TCU62" s="3461"/>
      <c r="TCV62" s="3461"/>
      <c r="TCW62" s="3461"/>
      <c r="TCX62" s="3461"/>
      <c r="TCY62" s="3461"/>
      <c r="TCZ62" s="3461"/>
      <c r="TDA62" s="3461"/>
      <c r="TDB62" s="3461"/>
      <c r="TDC62" s="3461"/>
      <c r="TDD62" s="3461"/>
      <c r="TDE62" s="3461"/>
      <c r="TDF62" s="3461"/>
      <c r="TDG62" s="3461"/>
      <c r="TDH62" s="3461"/>
      <c r="TDI62" s="3461"/>
      <c r="TDJ62" s="3461"/>
      <c r="TDK62" s="3461"/>
      <c r="TDL62" s="3461"/>
      <c r="TDM62" s="3461"/>
      <c r="TDN62" s="3461"/>
      <c r="TDO62" s="3461"/>
      <c r="TDP62" s="3461"/>
      <c r="TDQ62" s="3461"/>
      <c r="TDR62" s="3461"/>
      <c r="TDS62" s="3461"/>
      <c r="TDT62" s="3461"/>
      <c r="TDU62" s="3461"/>
      <c r="TDV62" s="3461"/>
      <c r="TDW62" s="3461"/>
      <c r="TDX62" s="3461"/>
      <c r="TDY62" s="3461"/>
      <c r="TDZ62" s="3461"/>
      <c r="TEA62" s="3461"/>
      <c r="TEB62" s="3461"/>
      <c r="TEC62" s="3461"/>
      <c r="TED62" s="3461"/>
      <c r="TEE62" s="3461"/>
      <c r="TEF62" s="3461"/>
      <c r="TEG62" s="3461"/>
      <c r="TEH62" s="3461"/>
      <c r="TEI62" s="3461"/>
      <c r="TEJ62" s="3461"/>
      <c r="TEK62" s="3461"/>
      <c r="TEL62" s="3461"/>
      <c r="TEM62" s="3461"/>
      <c r="TEN62" s="3461"/>
      <c r="TEO62" s="3461"/>
      <c r="TEP62" s="3461"/>
      <c r="TEQ62" s="3461"/>
      <c r="TER62" s="3461"/>
      <c r="TES62" s="3461"/>
      <c r="TET62" s="3461"/>
      <c r="TEU62" s="3461"/>
      <c r="TEV62" s="3461"/>
      <c r="TEW62" s="3461"/>
      <c r="TEX62" s="3461"/>
      <c r="TEY62" s="3461"/>
      <c r="TEZ62" s="3461"/>
      <c r="TFA62" s="3461"/>
      <c r="TFB62" s="3461"/>
      <c r="TFC62" s="3461"/>
      <c r="TFD62" s="3461"/>
      <c r="TFE62" s="3461"/>
      <c r="TFF62" s="3461"/>
      <c r="TFG62" s="3461"/>
      <c r="TFH62" s="3461"/>
      <c r="TFI62" s="3461"/>
      <c r="TFJ62" s="3461"/>
      <c r="TFK62" s="3461"/>
      <c r="TFL62" s="3461"/>
      <c r="TFM62" s="3461"/>
      <c r="TFN62" s="3461"/>
      <c r="TFO62" s="3461"/>
      <c r="TFP62" s="3461"/>
      <c r="TFQ62" s="3461"/>
      <c r="TFR62" s="3461"/>
      <c r="TFS62" s="3461"/>
      <c r="TFT62" s="3461"/>
      <c r="TFU62" s="3461"/>
      <c r="TFV62" s="3461"/>
      <c r="TFW62" s="3461"/>
      <c r="TFX62" s="3461"/>
      <c r="TFY62" s="3461"/>
      <c r="TFZ62" s="3461"/>
      <c r="TGA62" s="3461"/>
      <c r="TGB62" s="3461"/>
      <c r="TGC62" s="3461"/>
      <c r="TGD62" s="3461"/>
      <c r="TGE62" s="3461"/>
      <c r="TGF62" s="3461"/>
      <c r="TGG62" s="3461"/>
      <c r="TGH62" s="3461"/>
      <c r="TGI62" s="3461"/>
      <c r="TGJ62" s="3461"/>
      <c r="TGK62" s="3461"/>
      <c r="TGL62" s="3461"/>
      <c r="TGM62" s="3461"/>
      <c r="TGN62" s="3461"/>
      <c r="TGO62" s="3461"/>
      <c r="TGP62" s="3461"/>
      <c r="TGQ62" s="3461"/>
      <c r="TGR62" s="3461"/>
      <c r="TGS62" s="3461"/>
      <c r="TGT62" s="3461"/>
      <c r="TGU62" s="3461"/>
      <c r="TGV62" s="3461"/>
      <c r="TGW62" s="3461"/>
      <c r="TGX62" s="3461"/>
      <c r="TGY62" s="3461"/>
      <c r="TGZ62" s="3461"/>
      <c r="THA62" s="3461"/>
      <c r="THB62" s="3461"/>
      <c r="THC62" s="3461"/>
      <c r="THD62" s="3461"/>
      <c r="THE62" s="3461"/>
      <c r="THF62" s="3461"/>
      <c r="THG62" s="3461"/>
      <c r="THH62" s="3461"/>
      <c r="THI62" s="3461"/>
      <c r="THJ62" s="3461"/>
      <c r="THK62" s="3461"/>
      <c r="THL62" s="3461"/>
      <c r="THM62" s="3461"/>
      <c r="THN62" s="3461"/>
      <c r="THO62" s="3461"/>
      <c r="THP62" s="3461"/>
      <c r="THQ62" s="3461"/>
      <c r="THR62" s="3461"/>
      <c r="THS62" s="3461"/>
      <c r="THT62" s="3461"/>
      <c r="THU62" s="3461"/>
      <c r="THV62" s="3461"/>
      <c r="THW62" s="3461"/>
      <c r="THX62" s="3461"/>
      <c r="THY62" s="3461"/>
      <c r="THZ62" s="3461"/>
      <c r="TIA62" s="3461"/>
      <c r="TIB62" s="3461"/>
      <c r="TIC62" s="3461"/>
      <c r="TID62" s="3461"/>
      <c r="TIE62" s="3461"/>
      <c r="TIF62" s="3461"/>
      <c r="TIG62" s="3461"/>
      <c r="TIH62" s="3461"/>
      <c r="TII62" s="3461"/>
      <c r="TIJ62" s="3461"/>
      <c r="TIK62" s="3461"/>
      <c r="TIL62" s="3461"/>
      <c r="TIM62" s="3461"/>
      <c r="TIN62" s="3461"/>
      <c r="TIO62" s="3461"/>
      <c r="TIP62" s="3461"/>
      <c r="TIQ62" s="3461"/>
      <c r="TIR62" s="3461"/>
      <c r="TIS62" s="3461"/>
      <c r="TIT62" s="3461"/>
      <c r="TIU62" s="3461"/>
      <c r="TIV62" s="3461"/>
      <c r="TIW62" s="3461"/>
      <c r="TIX62" s="3461"/>
      <c r="TIY62" s="3461"/>
      <c r="TIZ62" s="3461"/>
      <c r="TJA62" s="3461"/>
      <c r="TJB62" s="3461"/>
      <c r="TJC62" s="3461"/>
      <c r="TJD62" s="3461"/>
      <c r="TJE62" s="3461"/>
      <c r="TJF62" s="3461"/>
      <c r="TJG62" s="3461"/>
      <c r="TJH62" s="3461"/>
      <c r="TJI62" s="3461"/>
      <c r="TJJ62" s="3461"/>
      <c r="TJK62" s="3461"/>
      <c r="TJL62" s="3461"/>
      <c r="TJM62" s="3461"/>
      <c r="TJN62" s="3461"/>
      <c r="TJO62" s="3461"/>
      <c r="TJP62" s="3461"/>
      <c r="TJQ62" s="3461"/>
      <c r="TJR62" s="3461"/>
      <c r="TJS62" s="3461"/>
      <c r="TJT62" s="3461"/>
      <c r="TJU62" s="3461"/>
      <c r="TJV62" s="3461"/>
      <c r="TJW62" s="3461"/>
      <c r="TJX62" s="3461"/>
      <c r="TJY62" s="3461"/>
      <c r="TJZ62" s="3461"/>
      <c r="TKA62" s="3461"/>
      <c r="TKB62" s="3461"/>
      <c r="TKC62" s="3461"/>
      <c r="TKD62" s="3461"/>
      <c r="TKE62" s="3461"/>
      <c r="TKF62" s="3461"/>
      <c r="TKG62" s="3461"/>
      <c r="TKH62" s="3461"/>
      <c r="TKI62" s="3461"/>
      <c r="TKJ62" s="3461"/>
      <c r="TKK62" s="3461"/>
      <c r="TKL62" s="3461"/>
      <c r="TKM62" s="3461"/>
      <c r="TKN62" s="3461"/>
      <c r="TKO62" s="3461"/>
      <c r="TKP62" s="3461"/>
      <c r="TKQ62" s="3461"/>
      <c r="TKR62" s="3461"/>
      <c r="TKS62" s="3461"/>
      <c r="TKT62" s="3461"/>
      <c r="TKU62" s="3461"/>
      <c r="TKV62" s="3461"/>
      <c r="TKW62" s="3461"/>
      <c r="TKX62" s="3461"/>
      <c r="TKY62" s="3461"/>
      <c r="TKZ62" s="3461"/>
      <c r="TLA62" s="3461"/>
      <c r="TLB62" s="3461"/>
      <c r="TLC62" s="3461"/>
      <c r="TLD62" s="3461"/>
      <c r="TLE62" s="3461"/>
      <c r="TLF62" s="3461"/>
      <c r="TLG62" s="3461"/>
      <c r="TLH62" s="3461"/>
      <c r="TLI62" s="3461"/>
      <c r="TLJ62" s="3461"/>
      <c r="TLK62" s="3461"/>
      <c r="TLL62" s="3461"/>
      <c r="TLM62" s="3461"/>
      <c r="TLN62" s="3461"/>
      <c r="TLO62" s="3461"/>
      <c r="TLP62" s="3461"/>
      <c r="TLQ62" s="3461"/>
      <c r="TLR62" s="3461"/>
      <c r="TLS62" s="3461"/>
      <c r="TLT62" s="3461"/>
      <c r="TLU62" s="3461"/>
      <c r="TLV62" s="3461"/>
      <c r="TLW62" s="3461"/>
      <c r="TLX62" s="3461"/>
      <c r="TLY62" s="3461"/>
      <c r="TLZ62" s="3461"/>
      <c r="TMA62" s="3461"/>
      <c r="TMB62" s="3461"/>
      <c r="TMC62" s="3461"/>
      <c r="TMD62" s="3461"/>
      <c r="TME62" s="3461"/>
      <c r="TMF62" s="3461"/>
      <c r="TMG62" s="3461"/>
      <c r="TMH62" s="3461"/>
      <c r="TMI62" s="3461"/>
      <c r="TMJ62" s="3461"/>
      <c r="TMK62" s="3461"/>
      <c r="TML62" s="3461"/>
      <c r="TMM62" s="3461"/>
      <c r="TMN62" s="3461"/>
      <c r="TMO62" s="3461"/>
      <c r="TMP62" s="3461"/>
      <c r="TMQ62" s="3461"/>
      <c r="TMR62" s="3461"/>
      <c r="TMS62" s="3461"/>
      <c r="TMT62" s="3461"/>
      <c r="TMU62" s="3461"/>
      <c r="TMV62" s="3461"/>
      <c r="TMW62" s="3461"/>
      <c r="TMX62" s="3461"/>
      <c r="TMY62" s="3461"/>
      <c r="TMZ62" s="3461"/>
      <c r="TNA62" s="3461"/>
      <c r="TNB62" s="3461"/>
      <c r="TNC62" s="3461"/>
      <c r="TND62" s="3461"/>
      <c r="TNE62" s="3461"/>
      <c r="TNF62" s="3461"/>
      <c r="TNG62" s="3461"/>
      <c r="TNH62" s="3461"/>
      <c r="TNI62" s="3461"/>
      <c r="TNJ62" s="3461"/>
      <c r="TNK62" s="3461"/>
      <c r="TNL62" s="3461"/>
      <c r="TNM62" s="3461"/>
      <c r="TNN62" s="3461"/>
      <c r="TNO62" s="3461"/>
      <c r="TNP62" s="3461"/>
      <c r="TNQ62" s="3461"/>
      <c r="TNR62" s="3461"/>
      <c r="TNS62" s="3461"/>
      <c r="TNT62" s="3461"/>
      <c r="TNU62" s="3461"/>
      <c r="TNV62" s="3461"/>
      <c r="TNW62" s="3461"/>
      <c r="TNX62" s="3461"/>
      <c r="TNY62" s="3461"/>
      <c r="TNZ62" s="3461"/>
      <c r="TOA62" s="3461"/>
      <c r="TOB62" s="3461"/>
      <c r="TOC62" s="3461"/>
      <c r="TOD62" s="3461"/>
      <c r="TOE62" s="3461"/>
      <c r="TOF62" s="3461"/>
      <c r="TOG62" s="3461"/>
      <c r="TOH62" s="3461"/>
      <c r="TOI62" s="3461"/>
      <c r="TOJ62" s="3461"/>
      <c r="TOK62" s="3461"/>
      <c r="TOL62" s="3461"/>
      <c r="TOM62" s="3461"/>
      <c r="TON62" s="3461"/>
      <c r="TOO62" s="3461"/>
      <c r="TOP62" s="3461"/>
      <c r="TOQ62" s="3461"/>
      <c r="TOR62" s="3461"/>
      <c r="TOS62" s="3461"/>
      <c r="TOT62" s="3461"/>
      <c r="TOU62" s="3461"/>
      <c r="TOV62" s="3461"/>
      <c r="TOW62" s="3461"/>
      <c r="TOX62" s="3461"/>
      <c r="TOY62" s="3461"/>
      <c r="TOZ62" s="3461"/>
      <c r="TPA62" s="3461"/>
      <c r="TPB62" s="3461"/>
      <c r="TPC62" s="3461"/>
      <c r="TPD62" s="3461"/>
      <c r="TPE62" s="3461"/>
      <c r="TPF62" s="3461"/>
      <c r="TPG62" s="3461"/>
      <c r="TPH62" s="3461"/>
      <c r="TPI62" s="3461"/>
      <c r="TPJ62" s="3461"/>
      <c r="TPK62" s="3461"/>
      <c r="TPL62" s="3461"/>
      <c r="TPM62" s="3461"/>
      <c r="TPN62" s="3461"/>
      <c r="TPO62" s="3461"/>
      <c r="TPP62" s="3461"/>
      <c r="TPQ62" s="3461"/>
      <c r="TPR62" s="3461"/>
      <c r="TPS62" s="3461"/>
      <c r="TPT62" s="3461"/>
      <c r="TPU62" s="3461"/>
      <c r="TPV62" s="3461"/>
      <c r="TPW62" s="3461"/>
      <c r="TPX62" s="3461"/>
      <c r="TPY62" s="3461"/>
      <c r="TPZ62" s="3461"/>
      <c r="TQA62" s="3461"/>
      <c r="TQB62" s="3461"/>
      <c r="TQC62" s="3461"/>
      <c r="TQD62" s="3461"/>
      <c r="TQE62" s="3461"/>
      <c r="TQF62" s="3461"/>
      <c r="TQG62" s="3461"/>
      <c r="TQH62" s="3461"/>
      <c r="TQI62" s="3461"/>
      <c r="TQJ62" s="3461"/>
      <c r="TQK62" s="3461"/>
      <c r="TQL62" s="3461"/>
      <c r="TQM62" s="3461"/>
      <c r="TQN62" s="3461"/>
      <c r="TQO62" s="3461"/>
      <c r="TQP62" s="3461"/>
      <c r="TQQ62" s="3461"/>
      <c r="TQR62" s="3461"/>
      <c r="TQS62" s="3461"/>
      <c r="TQT62" s="3461"/>
      <c r="TQU62" s="3461"/>
      <c r="TQV62" s="3461"/>
      <c r="TQW62" s="3461"/>
      <c r="TQX62" s="3461"/>
      <c r="TQY62" s="3461"/>
      <c r="TQZ62" s="3461"/>
      <c r="TRA62" s="3461"/>
      <c r="TRB62" s="3461"/>
      <c r="TRC62" s="3461"/>
      <c r="TRD62" s="3461"/>
      <c r="TRE62" s="3461"/>
      <c r="TRF62" s="3461"/>
      <c r="TRG62" s="3461"/>
      <c r="TRH62" s="3461"/>
      <c r="TRI62" s="3461"/>
      <c r="TRJ62" s="3461"/>
      <c r="TRK62" s="3461"/>
      <c r="TRL62" s="3461"/>
      <c r="TRM62" s="3461"/>
      <c r="TRN62" s="3461"/>
      <c r="TRO62" s="3461"/>
      <c r="TRP62" s="3461"/>
      <c r="TRQ62" s="3461"/>
      <c r="TRR62" s="3461"/>
      <c r="TRS62" s="3461"/>
      <c r="TRT62" s="3461"/>
      <c r="TRU62" s="3461"/>
      <c r="TRV62" s="3461"/>
      <c r="TRW62" s="3461"/>
      <c r="TRX62" s="3461"/>
      <c r="TRY62" s="3461"/>
      <c r="TRZ62" s="3461"/>
      <c r="TSA62" s="3461"/>
      <c r="TSB62" s="3461"/>
      <c r="TSC62" s="3461"/>
      <c r="TSD62" s="3461"/>
      <c r="TSE62" s="3461"/>
      <c r="TSF62" s="3461"/>
      <c r="TSG62" s="3461"/>
      <c r="TSH62" s="3461"/>
      <c r="TSI62" s="3461"/>
      <c r="TSJ62" s="3461"/>
      <c r="TSK62" s="3461"/>
      <c r="TSL62" s="3461"/>
      <c r="TSM62" s="3461"/>
      <c r="TSN62" s="3461"/>
      <c r="TSO62" s="3461"/>
      <c r="TSP62" s="3461"/>
      <c r="TSQ62" s="3461"/>
      <c r="TSR62" s="3461"/>
      <c r="TSS62" s="3461"/>
      <c r="TST62" s="3461"/>
      <c r="TSU62" s="3461"/>
      <c r="TSV62" s="3461"/>
      <c r="TSW62" s="3461"/>
      <c r="TSX62" s="3461"/>
      <c r="TSY62" s="3461"/>
      <c r="TSZ62" s="3461"/>
      <c r="TTA62" s="3461"/>
      <c r="TTB62" s="3461"/>
      <c r="TTC62" s="3461"/>
      <c r="TTD62" s="3461"/>
      <c r="TTE62" s="3461"/>
      <c r="TTF62" s="3461"/>
      <c r="TTG62" s="3461"/>
      <c r="TTH62" s="3461"/>
      <c r="TTI62" s="3461"/>
      <c r="TTJ62" s="3461"/>
      <c r="TTK62" s="3461"/>
      <c r="TTL62" s="3461"/>
      <c r="TTM62" s="3461"/>
      <c r="TTN62" s="3461"/>
      <c r="TTO62" s="3461"/>
      <c r="TTP62" s="3461"/>
      <c r="TTQ62" s="3461"/>
      <c r="TTR62" s="3461"/>
      <c r="TTS62" s="3461"/>
      <c r="TTT62" s="3461"/>
      <c r="TTU62" s="3461"/>
      <c r="TTV62" s="3461"/>
      <c r="TTW62" s="3461"/>
      <c r="TTX62" s="3461"/>
      <c r="TTY62" s="3461"/>
      <c r="TTZ62" s="3461"/>
      <c r="TUA62" s="3461"/>
      <c r="TUB62" s="3461"/>
      <c r="TUC62" s="3461"/>
      <c r="TUD62" s="3461"/>
      <c r="TUE62" s="3461"/>
      <c r="TUF62" s="3461"/>
      <c r="TUG62" s="3461"/>
      <c r="TUH62" s="3461"/>
      <c r="TUI62" s="3461"/>
      <c r="TUJ62" s="3461"/>
      <c r="TUK62" s="3461"/>
      <c r="TUL62" s="3461"/>
      <c r="TUM62" s="3461"/>
      <c r="TUN62" s="3461"/>
      <c r="TUO62" s="3461"/>
      <c r="TUP62" s="3461"/>
      <c r="TUQ62" s="3461"/>
      <c r="TUR62" s="3461"/>
      <c r="TUS62" s="3461"/>
      <c r="TUT62" s="3461"/>
      <c r="TUU62" s="3461"/>
      <c r="TUV62" s="3461"/>
      <c r="TUW62" s="3461"/>
      <c r="TUX62" s="3461"/>
      <c r="TUY62" s="3461"/>
      <c r="TUZ62" s="3461"/>
      <c r="TVA62" s="3461"/>
      <c r="TVB62" s="3461"/>
      <c r="TVC62" s="3461"/>
      <c r="TVD62" s="3461"/>
      <c r="TVE62" s="3461"/>
      <c r="TVF62" s="3461"/>
      <c r="TVG62" s="3461"/>
      <c r="TVH62" s="3461"/>
      <c r="TVI62" s="3461"/>
      <c r="TVJ62" s="3461"/>
      <c r="TVK62" s="3461"/>
      <c r="TVL62" s="3461"/>
      <c r="TVM62" s="3461"/>
      <c r="TVN62" s="3461"/>
      <c r="TVO62" s="3461"/>
      <c r="TVP62" s="3461"/>
      <c r="TVQ62" s="3461"/>
      <c r="TVR62" s="3461"/>
      <c r="TVS62" s="3461"/>
      <c r="TVT62" s="3461"/>
      <c r="TVU62" s="3461"/>
      <c r="TVV62" s="3461"/>
      <c r="TVW62" s="3461"/>
      <c r="TVX62" s="3461"/>
      <c r="TVY62" s="3461"/>
      <c r="TVZ62" s="3461"/>
      <c r="TWA62" s="3461"/>
      <c r="TWB62" s="3461"/>
      <c r="TWC62" s="3461"/>
      <c r="TWD62" s="3461"/>
      <c r="TWE62" s="3461"/>
      <c r="TWF62" s="3461"/>
      <c r="TWG62" s="3461"/>
      <c r="TWH62" s="3461"/>
      <c r="TWI62" s="3461"/>
      <c r="TWJ62" s="3461"/>
      <c r="TWK62" s="3461"/>
      <c r="TWL62" s="3461"/>
      <c r="TWM62" s="3461"/>
      <c r="TWN62" s="3461"/>
      <c r="TWO62" s="3461"/>
      <c r="TWP62" s="3461"/>
      <c r="TWQ62" s="3461"/>
      <c r="TWR62" s="3461"/>
      <c r="TWS62" s="3461"/>
      <c r="TWT62" s="3461"/>
      <c r="TWU62" s="3461"/>
      <c r="TWV62" s="3461"/>
      <c r="TWW62" s="3461"/>
      <c r="TWX62" s="3461"/>
      <c r="TWY62" s="3461"/>
      <c r="TWZ62" s="3461"/>
      <c r="TXA62" s="3461"/>
      <c r="TXB62" s="3461"/>
      <c r="TXC62" s="3461"/>
      <c r="TXD62" s="3461"/>
      <c r="TXE62" s="3461"/>
      <c r="TXF62" s="3461"/>
      <c r="TXG62" s="3461"/>
      <c r="TXH62" s="3461"/>
      <c r="TXI62" s="3461"/>
      <c r="TXJ62" s="3461"/>
      <c r="TXK62" s="3461"/>
      <c r="TXL62" s="3461"/>
      <c r="TXM62" s="3461"/>
      <c r="TXN62" s="3461"/>
      <c r="TXO62" s="3461"/>
      <c r="TXP62" s="3461"/>
      <c r="TXQ62" s="3461"/>
      <c r="TXR62" s="3461"/>
      <c r="TXS62" s="3461"/>
      <c r="TXT62" s="3461"/>
      <c r="TXU62" s="3461"/>
      <c r="TXV62" s="3461"/>
      <c r="TXW62" s="3461"/>
      <c r="TXX62" s="3461"/>
      <c r="TXY62" s="3461"/>
      <c r="TXZ62" s="3461"/>
      <c r="TYA62" s="3461"/>
      <c r="TYB62" s="3461"/>
      <c r="TYC62" s="3461"/>
      <c r="TYD62" s="3461"/>
      <c r="TYE62" s="3461"/>
      <c r="TYF62" s="3461"/>
      <c r="TYG62" s="3461"/>
      <c r="TYH62" s="3461"/>
      <c r="TYI62" s="3461"/>
      <c r="TYJ62" s="3461"/>
      <c r="TYK62" s="3461"/>
      <c r="TYL62" s="3461"/>
      <c r="TYM62" s="3461"/>
      <c r="TYN62" s="3461"/>
      <c r="TYO62" s="3461"/>
      <c r="TYP62" s="3461"/>
      <c r="TYQ62" s="3461"/>
      <c r="TYR62" s="3461"/>
      <c r="TYS62" s="3461"/>
      <c r="TYT62" s="3461"/>
      <c r="TYU62" s="3461"/>
      <c r="TYV62" s="3461"/>
      <c r="TYW62" s="3461"/>
      <c r="TYX62" s="3461"/>
      <c r="TYY62" s="3461"/>
      <c r="TYZ62" s="3461"/>
      <c r="TZA62" s="3461"/>
      <c r="TZB62" s="3461"/>
      <c r="TZC62" s="3461"/>
      <c r="TZD62" s="3461"/>
      <c r="TZE62" s="3461"/>
      <c r="TZF62" s="3461"/>
      <c r="TZG62" s="3461"/>
      <c r="TZH62" s="3461"/>
      <c r="TZI62" s="3461"/>
      <c r="TZJ62" s="3461"/>
      <c r="TZK62" s="3461"/>
      <c r="TZL62" s="3461"/>
      <c r="TZM62" s="3461"/>
      <c r="TZN62" s="3461"/>
      <c r="TZO62" s="3461"/>
      <c r="TZP62" s="3461"/>
      <c r="TZQ62" s="3461"/>
      <c r="TZR62" s="3461"/>
      <c r="TZS62" s="3461"/>
      <c r="TZT62" s="3461"/>
      <c r="TZU62" s="3461"/>
      <c r="TZV62" s="3461"/>
      <c r="TZW62" s="3461"/>
      <c r="TZX62" s="3461"/>
      <c r="TZY62" s="3461"/>
      <c r="TZZ62" s="3461"/>
      <c r="UAA62" s="3461"/>
      <c r="UAB62" s="3461"/>
      <c r="UAC62" s="3461"/>
      <c r="UAD62" s="3461"/>
      <c r="UAE62" s="3461"/>
      <c r="UAF62" s="3461"/>
      <c r="UAG62" s="3461"/>
      <c r="UAH62" s="3461"/>
      <c r="UAI62" s="3461"/>
      <c r="UAJ62" s="3461"/>
      <c r="UAK62" s="3461"/>
      <c r="UAL62" s="3461"/>
      <c r="UAM62" s="3461"/>
      <c r="UAN62" s="3461"/>
      <c r="UAO62" s="3461"/>
      <c r="UAP62" s="3461"/>
      <c r="UAQ62" s="3461"/>
      <c r="UAR62" s="3461"/>
      <c r="UAS62" s="3461"/>
      <c r="UAT62" s="3461"/>
      <c r="UAU62" s="3461"/>
      <c r="UAV62" s="3461"/>
      <c r="UAW62" s="3461"/>
      <c r="UAX62" s="3461"/>
      <c r="UAY62" s="3461"/>
      <c r="UAZ62" s="3461"/>
      <c r="UBA62" s="3461"/>
      <c r="UBB62" s="3461"/>
      <c r="UBC62" s="3461"/>
      <c r="UBD62" s="3461"/>
      <c r="UBE62" s="3461"/>
      <c r="UBF62" s="3461"/>
      <c r="UBG62" s="3461"/>
      <c r="UBH62" s="3461"/>
      <c r="UBI62" s="3461"/>
      <c r="UBJ62" s="3461"/>
      <c r="UBK62" s="3461"/>
      <c r="UBL62" s="3461"/>
      <c r="UBM62" s="3461"/>
      <c r="UBN62" s="3461"/>
      <c r="UBO62" s="3461"/>
      <c r="UBP62" s="3461"/>
      <c r="UBQ62" s="3461"/>
      <c r="UBR62" s="3461"/>
      <c r="UBS62" s="3461"/>
      <c r="UBT62" s="3461"/>
      <c r="UBU62" s="3461"/>
      <c r="UBV62" s="3461"/>
      <c r="UBW62" s="3461"/>
      <c r="UBX62" s="3461"/>
      <c r="UBY62" s="3461"/>
      <c r="UBZ62" s="3461"/>
      <c r="UCA62" s="3461"/>
      <c r="UCB62" s="3461"/>
      <c r="UCC62" s="3461"/>
      <c r="UCD62" s="3461"/>
      <c r="UCE62" s="3461"/>
      <c r="UCF62" s="3461"/>
      <c r="UCG62" s="3461"/>
      <c r="UCH62" s="3461"/>
      <c r="UCI62" s="3461"/>
      <c r="UCJ62" s="3461"/>
      <c r="UCK62" s="3461"/>
      <c r="UCL62" s="3461"/>
      <c r="UCM62" s="3461"/>
      <c r="UCN62" s="3461"/>
      <c r="UCO62" s="3461"/>
      <c r="UCP62" s="3461"/>
      <c r="UCQ62" s="3461"/>
      <c r="UCR62" s="3461"/>
      <c r="UCS62" s="3461"/>
      <c r="UCT62" s="3461"/>
      <c r="UCU62" s="3461"/>
      <c r="UCV62" s="3461"/>
      <c r="UCW62" s="3461"/>
      <c r="UCX62" s="3461"/>
      <c r="UCY62" s="3461"/>
      <c r="UCZ62" s="3461"/>
      <c r="UDA62" s="3461"/>
      <c r="UDB62" s="3461"/>
      <c r="UDC62" s="3461"/>
      <c r="UDD62" s="3461"/>
      <c r="UDE62" s="3461"/>
      <c r="UDF62" s="3461"/>
      <c r="UDG62" s="3461"/>
      <c r="UDH62" s="3461"/>
      <c r="UDI62" s="3461"/>
      <c r="UDJ62" s="3461"/>
      <c r="UDK62" s="3461"/>
      <c r="UDL62" s="3461"/>
      <c r="UDM62" s="3461"/>
      <c r="UDN62" s="3461"/>
      <c r="UDO62" s="3461"/>
      <c r="UDP62" s="3461"/>
      <c r="UDQ62" s="3461"/>
      <c r="UDR62" s="3461"/>
      <c r="UDS62" s="3461"/>
      <c r="UDT62" s="3461"/>
      <c r="UDU62" s="3461"/>
      <c r="UDV62" s="3461"/>
      <c r="UDW62" s="3461"/>
      <c r="UDX62" s="3461"/>
      <c r="UDY62" s="3461"/>
      <c r="UDZ62" s="3461"/>
      <c r="UEA62" s="3461"/>
      <c r="UEB62" s="3461"/>
      <c r="UEC62" s="3461"/>
      <c r="UED62" s="3461"/>
      <c r="UEE62" s="3461"/>
      <c r="UEF62" s="3461"/>
      <c r="UEG62" s="3461"/>
      <c r="UEH62" s="3461"/>
      <c r="UEI62" s="3461"/>
      <c r="UEJ62" s="3461"/>
      <c r="UEK62" s="3461"/>
      <c r="UEL62" s="3461"/>
      <c r="UEM62" s="3461"/>
      <c r="UEN62" s="3461"/>
      <c r="UEO62" s="3461"/>
      <c r="UEP62" s="3461"/>
      <c r="UEQ62" s="3461"/>
      <c r="UER62" s="3461"/>
      <c r="UES62" s="3461"/>
      <c r="UET62" s="3461"/>
      <c r="UEU62" s="3461"/>
      <c r="UEV62" s="3461"/>
      <c r="UEW62" s="3461"/>
      <c r="UEX62" s="3461"/>
      <c r="UEY62" s="3461"/>
      <c r="UEZ62" s="3461"/>
      <c r="UFA62" s="3461"/>
      <c r="UFB62" s="3461"/>
      <c r="UFC62" s="3461"/>
      <c r="UFD62" s="3461"/>
      <c r="UFE62" s="3461"/>
      <c r="UFF62" s="3461"/>
      <c r="UFG62" s="3461"/>
      <c r="UFH62" s="3461"/>
      <c r="UFI62" s="3461"/>
      <c r="UFJ62" s="3461"/>
      <c r="UFK62" s="3461"/>
      <c r="UFL62" s="3461"/>
      <c r="UFM62" s="3461"/>
      <c r="UFN62" s="3461"/>
      <c r="UFO62" s="3461"/>
      <c r="UFP62" s="3461"/>
      <c r="UFQ62" s="3461"/>
      <c r="UFR62" s="3461"/>
      <c r="UFS62" s="3461"/>
      <c r="UFT62" s="3461"/>
      <c r="UFU62" s="3461"/>
      <c r="UFV62" s="3461"/>
      <c r="UFW62" s="3461"/>
      <c r="UFX62" s="3461"/>
      <c r="UFY62" s="3461"/>
      <c r="UFZ62" s="3461"/>
      <c r="UGA62" s="3461"/>
      <c r="UGB62" s="3461"/>
      <c r="UGC62" s="3461"/>
      <c r="UGD62" s="3461"/>
      <c r="UGE62" s="3461"/>
      <c r="UGF62" s="3461"/>
      <c r="UGG62" s="3461"/>
      <c r="UGH62" s="3461"/>
      <c r="UGI62" s="3461"/>
      <c r="UGJ62" s="3461"/>
      <c r="UGK62" s="3461"/>
      <c r="UGL62" s="3461"/>
      <c r="UGM62" s="3461"/>
      <c r="UGN62" s="3461"/>
      <c r="UGO62" s="3461"/>
      <c r="UGP62" s="3461"/>
      <c r="UGQ62" s="3461"/>
      <c r="UGR62" s="3461"/>
      <c r="UGS62" s="3461"/>
      <c r="UGT62" s="3461"/>
      <c r="UGU62" s="3461"/>
      <c r="UGV62" s="3461"/>
      <c r="UGW62" s="3461"/>
      <c r="UGX62" s="3461"/>
      <c r="UGY62" s="3461"/>
      <c r="UGZ62" s="3461"/>
      <c r="UHA62" s="3461"/>
      <c r="UHB62" s="3461"/>
      <c r="UHC62" s="3461"/>
      <c r="UHD62" s="3461"/>
      <c r="UHE62" s="3461"/>
      <c r="UHF62" s="3461"/>
      <c r="UHG62" s="3461"/>
      <c r="UHH62" s="3461"/>
      <c r="UHI62" s="3461"/>
      <c r="UHJ62" s="3461"/>
      <c r="UHK62" s="3461"/>
      <c r="UHL62" s="3461"/>
      <c r="UHM62" s="3461"/>
      <c r="UHN62" s="3461"/>
      <c r="UHO62" s="3461"/>
      <c r="UHP62" s="3461"/>
      <c r="UHQ62" s="3461"/>
      <c r="UHR62" s="3461"/>
      <c r="UHS62" s="3461"/>
      <c r="UHT62" s="3461"/>
      <c r="UHU62" s="3461"/>
      <c r="UHV62" s="3461"/>
      <c r="UHW62" s="3461"/>
      <c r="UHX62" s="3461"/>
      <c r="UHY62" s="3461"/>
      <c r="UHZ62" s="3461"/>
      <c r="UIA62" s="3461"/>
      <c r="UIB62" s="3461"/>
      <c r="UIC62" s="3461"/>
      <c r="UID62" s="3461"/>
      <c r="UIE62" s="3461"/>
      <c r="UIF62" s="3461"/>
      <c r="UIG62" s="3461"/>
      <c r="UIH62" s="3461"/>
      <c r="UII62" s="3461"/>
      <c r="UIJ62" s="3461"/>
      <c r="UIK62" s="3461"/>
      <c r="UIL62" s="3461"/>
      <c r="UIM62" s="3461"/>
      <c r="UIN62" s="3461"/>
      <c r="UIO62" s="3461"/>
      <c r="UIP62" s="3461"/>
      <c r="UIQ62" s="3461"/>
      <c r="UIR62" s="3461"/>
      <c r="UIS62" s="3461"/>
      <c r="UIT62" s="3461"/>
      <c r="UIU62" s="3461"/>
      <c r="UIV62" s="3461"/>
      <c r="UIW62" s="3461"/>
      <c r="UIX62" s="3461"/>
      <c r="UIY62" s="3461"/>
      <c r="UIZ62" s="3461"/>
      <c r="UJA62" s="3461"/>
      <c r="UJB62" s="3461"/>
      <c r="UJC62" s="3461"/>
      <c r="UJD62" s="3461"/>
      <c r="UJE62" s="3461"/>
      <c r="UJF62" s="3461"/>
      <c r="UJG62" s="3461"/>
      <c r="UJH62" s="3461"/>
      <c r="UJI62" s="3461"/>
      <c r="UJJ62" s="3461"/>
      <c r="UJK62" s="3461"/>
      <c r="UJL62" s="3461"/>
      <c r="UJM62" s="3461"/>
      <c r="UJN62" s="3461"/>
      <c r="UJO62" s="3461"/>
      <c r="UJP62" s="3461"/>
      <c r="UJQ62" s="3461"/>
      <c r="UJR62" s="3461"/>
      <c r="UJS62" s="3461"/>
      <c r="UJT62" s="3461"/>
      <c r="UJU62" s="3461"/>
      <c r="UJV62" s="3461"/>
      <c r="UJW62" s="3461"/>
      <c r="UJX62" s="3461"/>
      <c r="UJY62" s="3461"/>
      <c r="UJZ62" s="3461"/>
      <c r="UKA62" s="3461"/>
      <c r="UKB62" s="3461"/>
      <c r="UKC62" s="3461"/>
      <c r="UKD62" s="3461"/>
      <c r="UKE62" s="3461"/>
      <c r="UKF62" s="3461"/>
      <c r="UKG62" s="3461"/>
      <c r="UKH62" s="3461"/>
      <c r="UKI62" s="3461"/>
      <c r="UKJ62" s="3461"/>
      <c r="UKK62" s="3461"/>
      <c r="UKL62" s="3461"/>
      <c r="UKM62" s="3461"/>
      <c r="UKN62" s="3461"/>
      <c r="UKO62" s="3461"/>
      <c r="UKP62" s="3461"/>
      <c r="UKQ62" s="3461"/>
      <c r="UKR62" s="3461"/>
      <c r="UKS62" s="3461"/>
      <c r="UKT62" s="3461"/>
      <c r="UKU62" s="3461"/>
      <c r="UKV62" s="3461"/>
      <c r="UKW62" s="3461"/>
      <c r="UKX62" s="3461"/>
      <c r="UKY62" s="3461"/>
      <c r="UKZ62" s="3461"/>
      <c r="ULA62" s="3461"/>
      <c r="ULB62" s="3461"/>
      <c r="ULC62" s="3461"/>
      <c r="ULD62" s="3461"/>
      <c r="ULE62" s="3461"/>
      <c r="ULF62" s="3461"/>
      <c r="ULG62" s="3461"/>
      <c r="ULH62" s="3461"/>
      <c r="ULI62" s="3461"/>
      <c r="ULJ62" s="3461"/>
      <c r="ULK62" s="3461"/>
      <c r="ULL62" s="3461"/>
      <c r="ULM62" s="3461"/>
      <c r="ULN62" s="3461"/>
      <c r="ULO62" s="3461"/>
      <c r="ULP62" s="3461"/>
      <c r="ULQ62" s="3461"/>
      <c r="ULR62" s="3461"/>
      <c r="ULS62" s="3461"/>
      <c r="ULT62" s="3461"/>
      <c r="ULU62" s="3461"/>
      <c r="ULV62" s="3461"/>
      <c r="ULW62" s="3461"/>
      <c r="ULX62" s="3461"/>
      <c r="ULY62" s="3461"/>
      <c r="ULZ62" s="3461"/>
      <c r="UMA62" s="3461"/>
      <c r="UMB62" s="3461"/>
      <c r="UMC62" s="3461"/>
      <c r="UMD62" s="3461"/>
      <c r="UME62" s="3461"/>
      <c r="UMF62" s="3461"/>
      <c r="UMG62" s="3461"/>
      <c r="UMH62" s="3461"/>
      <c r="UMI62" s="3461"/>
      <c r="UMJ62" s="3461"/>
      <c r="UMK62" s="3461"/>
      <c r="UML62" s="3461"/>
      <c r="UMM62" s="3461"/>
      <c r="UMN62" s="3461"/>
      <c r="UMO62" s="3461"/>
      <c r="UMP62" s="3461"/>
      <c r="UMQ62" s="3461"/>
      <c r="UMR62" s="3461"/>
      <c r="UMS62" s="3461"/>
      <c r="UMT62" s="3461"/>
      <c r="UMU62" s="3461"/>
      <c r="UMV62" s="3461"/>
      <c r="UMW62" s="3461"/>
      <c r="UMX62" s="3461"/>
      <c r="UMY62" s="3461"/>
      <c r="UMZ62" s="3461"/>
      <c r="UNA62" s="3461"/>
      <c r="UNB62" s="3461"/>
      <c r="UNC62" s="3461"/>
      <c r="UND62" s="3461"/>
      <c r="UNE62" s="3461"/>
      <c r="UNF62" s="3461"/>
      <c r="UNG62" s="3461"/>
      <c r="UNH62" s="3461"/>
      <c r="UNI62" s="3461"/>
      <c r="UNJ62" s="3461"/>
      <c r="UNK62" s="3461"/>
      <c r="UNL62" s="3461"/>
      <c r="UNM62" s="3461"/>
      <c r="UNN62" s="3461"/>
      <c r="UNO62" s="3461"/>
      <c r="UNP62" s="3461"/>
      <c r="UNQ62" s="3461"/>
      <c r="UNR62" s="3461"/>
      <c r="UNS62" s="3461"/>
      <c r="UNT62" s="3461"/>
      <c r="UNU62" s="3461"/>
      <c r="UNV62" s="3461"/>
      <c r="UNW62" s="3461"/>
      <c r="UNX62" s="3461"/>
      <c r="UNY62" s="3461"/>
      <c r="UNZ62" s="3461"/>
      <c r="UOA62" s="3461"/>
      <c r="UOB62" s="3461"/>
      <c r="UOC62" s="3461"/>
      <c r="UOD62" s="3461"/>
      <c r="UOE62" s="3461"/>
      <c r="UOF62" s="3461"/>
      <c r="UOG62" s="3461"/>
      <c r="UOH62" s="3461"/>
      <c r="UOI62" s="3461"/>
      <c r="UOJ62" s="3461"/>
      <c r="UOK62" s="3461"/>
      <c r="UOL62" s="3461"/>
      <c r="UOM62" s="3461"/>
      <c r="UON62" s="3461"/>
      <c r="UOO62" s="3461"/>
      <c r="UOP62" s="3461"/>
      <c r="UOQ62" s="3461"/>
      <c r="UOR62" s="3461"/>
      <c r="UOS62" s="3461"/>
      <c r="UOT62" s="3461"/>
      <c r="UOU62" s="3461"/>
      <c r="UOV62" s="3461"/>
      <c r="UOW62" s="3461"/>
      <c r="UOX62" s="3461"/>
      <c r="UOY62" s="3461"/>
      <c r="UOZ62" s="3461"/>
      <c r="UPA62" s="3461"/>
      <c r="UPB62" s="3461"/>
      <c r="UPC62" s="3461"/>
      <c r="UPD62" s="3461"/>
      <c r="UPE62" s="3461"/>
      <c r="UPF62" s="3461"/>
      <c r="UPG62" s="3461"/>
      <c r="UPH62" s="3461"/>
      <c r="UPI62" s="3461"/>
      <c r="UPJ62" s="3461"/>
      <c r="UPK62" s="3461"/>
      <c r="UPL62" s="3461"/>
      <c r="UPM62" s="3461"/>
      <c r="UPN62" s="3461"/>
      <c r="UPO62" s="3461"/>
      <c r="UPP62" s="3461"/>
      <c r="UPQ62" s="3461"/>
      <c r="UPR62" s="3461"/>
      <c r="UPS62" s="3461"/>
      <c r="UPT62" s="3461"/>
      <c r="UPU62" s="3461"/>
      <c r="UPV62" s="3461"/>
      <c r="UPW62" s="3461"/>
      <c r="UPX62" s="3461"/>
      <c r="UPY62" s="3461"/>
      <c r="UPZ62" s="3461"/>
      <c r="UQA62" s="3461"/>
      <c r="UQB62" s="3461"/>
      <c r="UQC62" s="3461"/>
      <c r="UQD62" s="3461"/>
      <c r="UQE62" s="3461"/>
      <c r="UQF62" s="3461"/>
      <c r="UQG62" s="3461"/>
      <c r="UQH62" s="3461"/>
      <c r="UQI62" s="3461"/>
      <c r="UQJ62" s="3461"/>
      <c r="UQK62" s="3461"/>
      <c r="UQL62" s="3461"/>
      <c r="UQM62" s="3461"/>
      <c r="UQN62" s="3461"/>
      <c r="UQO62" s="3461"/>
      <c r="UQP62" s="3461"/>
      <c r="UQQ62" s="3461"/>
      <c r="UQR62" s="3461"/>
      <c r="UQS62" s="3461"/>
      <c r="UQT62" s="3461"/>
      <c r="UQU62" s="3461"/>
      <c r="UQV62" s="3461"/>
      <c r="UQW62" s="3461"/>
      <c r="UQX62" s="3461"/>
      <c r="UQY62" s="3461"/>
      <c r="UQZ62" s="3461"/>
      <c r="URA62" s="3461"/>
      <c r="URB62" s="3461"/>
      <c r="URC62" s="3461"/>
      <c r="URD62" s="3461"/>
      <c r="URE62" s="3461"/>
      <c r="URF62" s="3461"/>
      <c r="URG62" s="3461"/>
      <c r="URH62" s="3461"/>
      <c r="URI62" s="3461"/>
      <c r="URJ62" s="3461"/>
      <c r="URK62" s="3461"/>
      <c r="URL62" s="3461"/>
      <c r="URM62" s="3461"/>
      <c r="URN62" s="3461"/>
      <c r="URO62" s="3461"/>
      <c r="URP62" s="3461"/>
      <c r="URQ62" s="3461"/>
      <c r="URR62" s="3461"/>
      <c r="URS62" s="3461"/>
      <c r="URT62" s="3461"/>
      <c r="URU62" s="3461"/>
      <c r="URV62" s="3461"/>
      <c r="URW62" s="3461"/>
      <c r="URX62" s="3461"/>
      <c r="URY62" s="3461"/>
      <c r="URZ62" s="3461"/>
      <c r="USA62" s="3461"/>
      <c r="USB62" s="3461"/>
      <c r="USC62" s="3461"/>
      <c r="USD62" s="3461"/>
      <c r="USE62" s="3461"/>
      <c r="USF62" s="3461"/>
      <c r="USG62" s="3461"/>
      <c r="USH62" s="3461"/>
      <c r="USI62" s="3461"/>
      <c r="USJ62" s="3461"/>
      <c r="USK62" s="3461"/>
      <c r="USL62" s="3461"/>
      <c r="USM62" s="3461"/>
      <c r="USN62" s="3461"/>
      <c r="USO62" s="3461"/>
      <c r="USP62" s="3461"/>
      <c r="USQ62" s="3461"/>
      <c r="USR62" s="3461"/>
      <c r="USS62" s="3461"/>
      <c r="UST62" s="3461"/>
      <c r="USU62" s="3461"/>
      <c r="USV62" s="3461"/>
      <c r="USW62" s="3461"/>
      <c r="USX62" s="3461"/>
      <c r="USY62" s="3461"/>
      <c r="USZ62" s="3461"/>
      <c r="UTA62" s="3461"/>
      <c r="UTB62" s="3461"/>
      <c r="UTC62" s="3461"/>
      <c r="UTD62" s="3461"/>
      <c r="UTE62" s="3461"/>
      <c r="UTF62" s="3461"/>
      <c r="UTG62" s="3461"/>
      <c r="UTH62" s="3461"/>
      <c r="UTI62" s="3461"/>
      <c r="UTJ62" s="3461"/>
      <c r="UTK62" s="3461"/>
      <c r="UTL62" s="3461"/>
      <c r="UTM62" s="3461"/>
      <c r="UTN62" s="3461"/>
      <c r="UTO62" s="3461"/>
      <c r="UTP62" s="3461"/>
      <c r="UTQ62" s="3461"/>
      <c r="UTR62" s="3461"/>
      <c r="UTS62" s="3461"/>
      <c r="UTT62" s="3461"/>
      <c r="UTU62" s="3461"/>
      <c r="UTV62" s="3461"/>
      <c r="UTW62" s="3461"/>
      <c r="UTX62" s="3461"/>
      <c r="UTY62" s="3461"/>
      <c r="UTZ62" s="3461"/>
      <c r="UUA62" s="3461"/>
      <c r="UUB62" s="3461"/>
      <c r="UUC62" s="3461"/>
      <c r="UUD62" s="3461"/>
      <c r="UUE62" s="3461"/>
      <c r="UUF62" s="3461"/>
      <c r="UUG62" s="3461"/>
      <c r="UUH62" s="3461"/>
      <c r="UUI62" s="3461"/>
      <c r="UUJ62" s="3461"/>
      <c r="UUK62" s="3461"/>
      <c r="UUL62" s="3461"/>
      <c r="UUM62" s="3461"/>
      <c r="UUN62" s="3461"/>
      <c r="UUO62" s="3461"/>
      <c r="UUP62" s="3461"/>
      <c r="UUQ62" s="3461"/>
      <c r="UUR62" s="3461"/>
      <c r="UUS62" s="3461"/>
      <c r="UUT62" s="3461"/>
      <c r="UUU62" s="3461"/>
      <c r="UUV62" s="3461"/>
      <c r="UUW62" s="3461"/>
      <c r="UUX62" s="3461"/>
      <c r="UUY62" s="3461"/>
      <c r="UUZ62" s="3461"/>
      <c r="UVA62" s="3461"/>
      <c r="UVB62" s="3461"/>
      <c r="UVC62" s="3461"/>
      <c r="UVD62" s="3461"/>
      <c r="UVE62" s="3461"/>
      <c r="UVF62" s="3461"/>
      <c r="UVG62" s="3461"/>
      <c r="UVH62" s="3461"/>
      <c r="UVI62" s="3461"/>
      <c r="UVJ62" s="3461"/>
      <c r="UVK62" s="3461"/>
      <c r="UVL62" s="3461"/>
      <c r="UVM62" s="3461"/>
      <c r="UVN62" s="3461"/>
      <c r="UVO62" s="3461"/>
      <c r="UVP62" s="3461"/>
      <c r="UVQ62" s="3461"/>
      <c r="UVR62" s="3461"/>
      <c r="UVS62" s="3461"/>
      <c r="UVT62" s="3461"/>
      <c r="UVU62" s="3461"/>
      <c r="UVV62" s="3461"/>
      <c r="UVW62" s="3461"/>
      <c r="UVX62" s="3461"/>
      <c r="UVY62" s="3461"/>
      <c r="UVZ62" s="3461"/>
      <c r="UWA62" s="3461"/>
      <c r="UWB62" s="3461"/>
      <c r="UWC62" s="3461"/>
      <c r="UWD62" s="3461"/>
      <c r="UWE62" s="3461"/>
      <c r="UWF62" s="3461"/>
      <c r="UWG62" s="3461"/>
      <c r="UWH62" s="3461"/>
      <c r="UWI62" s="3461"/>
      <c r="UWJ62" s="3461"/>
      <c r="UWK62" s="3461"/>
      <c r="UWL62" s="3461"/>
      <c r="UWM62" s="3461"/>
      <c r="UWN62" s="3461"/>
      <c r="UWO62" s="3461"/>
      <c r="UWP62" s="3461"/>
      <c r="UWQ62" s="3461"/>
      <c r="UWR62" s="3461"/>
      <c r="UWS62" s="3461"/>
      <c r="UWT62" s="3461"/>
      <c r="UWU62" s="3461"/>
      <c r="UWV62" s="3461"/>
      <c r="UWW62" s="3461"/>
      <c r="UWX62" s="3461"/>
      <c r="UWY62" s="3461"/>
      <c r="UWZ62" s="3461"/>
      <c r="UXA62" s="3461"/>
      <c r="UXB62" s="3461"/>
      <c r="UXC62" s="3461"/>
      <c r="UXD62" s="3461"/>
      <c r="UXE62" s="3461"/>
      <c r="UXF62" s="3461"/>
      <c r="UXG62" s="3461"/>
      <c r="UXH62" s="3461"/>
      <c r="UXI62" s="3461"/>
      <c r="UXJ62" s="3461"/>
      <c r="UXK62" s="3461"/>
      <c r="UXL62" s="3461"/>
      <c r="UXM62" s="3461"/>
      <c r="UXN62" s="3461"/>
      <c r="UXO62" s="3461"/>
      <c r="UXP62" s="3461"/>
      <c r="UXQ62" s="3461"/>
      <c r="UXR62" s="3461"/>
      <c r="UXS62" s="3461"/>
      <c r="UXT62" s="3461"/>
      <c r="UXU62" s="3461"/>
      <c r="UXV62" s="3461"/>
      <c r="UXW62" s="3461"/>
      <c r="UXX62" s="3461"/>
      <c r="UXY62" s="3461"/>
      <c r="UXZ62" s="3461"/>
      <c r="UYA62" s="3461"/>
      <c r="UYB62" s="3461"/>
      <c r="UYC62" s="3461"/>
      <c r="UYD62" s="3461"/>
      <c r="UYE62" s="3461"/>
      <c r="UYF62" s="3461"/>
      <c r="UYG62" s="3461"/>
      <c r="UYH62" s="3461"/>
      <c r="UYI62" s="3461"/>
      <c r="UYJ62" s="3461"/>
      <c r="UYK62" s="3461"/>
      <c r="UYL62" s="3461"/>
      <c r="UYM62" s="3461"/>
      <c r="UYN62" s="3461"/>
      <c r="UYO62" s="3461"/>
      <c r="UYP62" s="3461"/>
      <c r="UYQ62" s="3461"/>
      <c r="UYR62" s="3461"/>
      <c r="UYS62" s="3461"/>
      <c r="UYT62" s="3461"/>
      <c r="UYU62" s="3461"/>
      <c r="UYV62" s="3461"/>
      <c r="UYW62" s="3461"/>
      <c r="UYX62" s="3461"/>
      <c r="UYY62" s="3461"/>
      <c r="UYZ62" s="3461"/>
      <c r="UZA62" s="3461"/>
      <c r="UZB62" s="3461"/>
      <c r="UZC62" s="3461"/>
      <c r="UZD62" s="3461"/>
      <c r="UZE62" s="3461"/>
      <c r="UZF62" s="3461"/>
      <c r="UZG62" s="3461"/>
      <c r="UZH62" s="3461"/>
      <c r="UZI62" s="3461"/>
      <c r="UZJ62" s="3461"/>
      <c r="UZK62" s="3461"/>
      <c r="UZL62" s="3461"/>
      <c r="UZM62" s="3461"/>
      <c r="UZN62" s="3461"/>
      <c r="UZO62" s="3461"/>
      <c r="UZP62" s="3461"/>
      <c r="UZQ62" s="3461"/>
      <c r="UZR62" s="3461"/>
      <c r="UZS62" s="3461"/>
      <c r="UZT62" s="3461"/>
      <c r="UZU62" s="3461"/>
      <c r="UZV62" s="3461"/>
      <c r="UZW62" s="3461"/>
      <c r="UZX62" s="3461"/>
      <c r="UZY62" s="3461"/>
      <c r="UZZ62" s="3461"/>
      <c r="VAA62" s="3461"/>
      <c r="VAB62" s="3461"/>
      <c r="VAC62" s="3461"/>
      <c r="VAD62" s="3461"/>
      <c r="VAE62" s="3461"/>
      <c r="VAF62" s="3461"/>
      <c r="VAG62" s="3461"/>
      <c r="VAH62" s="3461"/>
      <c r="VAI62" s="3461"/>
      <c r="VAJ62" s="3461"/>
      <c r="VAK62" s="3461"/>
      <c r="VAL62" s="3461"/>
      <c r="VAM62" s="3461"/>
      <c r="VAN62" s="3461"/>
      <c r="VAO62" s="3461"/>
      <c r="VAP62" s="3461"/>
      <c r="VAQ62" s="3461"/>
      <c r="VAR62" s="3461"/>
      <c r="VAS62" s="3461"/>
      <c r="VAT62" s="3461"/>
      <c r="VAU62" s="3461"/>
      <c r="VAV62" s="3461"/>
      <c r="VAW62" s="3461"/>
      <c r="VAX62" s="3461"/>
      <c r="VAY62" s="3461"/>
      <c r="VAZ62" s="3461"/>
      <c r="VBA62" s="3461"/>
      <c r="VBB62" s="3461"/>
      <c r="VBC62" s="3461"/>
      <c r="VBD62" s="3461"/>
      <c r="VBE62" s="3461"/>
      <c r="VBF62" s="3461"/>
      <c r="VBG62" s="3461"/>
      <c r="VBH62" s="3461"/>
      <c r="VBI62" s="3461"/>
      <c r="VBJ62" s="3461"/>
      <c r="VBK62" s="3461"/>
      <c r="VBL62" s="3461"/>
      <c r="VBM62" s="3461"/>
      <c r="VBN62" s="3461"/>
      <c r="VBO62" s="3461"/>
      <c r="VBP62" s="3461"/>
      <c r="VBQ62" s="3461"/>
      <c r="VBR62" s="3461"/>
      <c r="VBS62" s="3461"/>
      <c r="VBT62" s="3461"/>
      <c r="VBU62" s="3461"/>
      <c r="VBV62" s="3461"/>
      <c r="VBW62" s="3461"/>
      <c r="VBX62" s="3461"/>
      <c r="VBY62" s="3461"/>
      <c r="VBZ62" s="3461"/>
      <c r="VCA62" s="3461"/>
      <c r="VCB62" s="3461"/>
      <c r="VCC62" s="3461"/>
      <c r="VCD62" s="3461"/>
      <c r="VCE62" s="3461"/>
      <c r="VCF62" s="3461"/>
      <c r="VCG62" s="3461"/>
      <c r="VCH62" s="3461"/>
      <c r="VCI62" s="3461"/>
      <c r="VCJ62" s="3461"/>
      <c r="VCK62" s="3461"/>
      <c r="VCL62" s="3461"/>
      <c r="VCM62" s="3461"/>
      <c r="VCN62" s="3461"/>
      <c r="VCO62" s="3461"/>
      <c r="VCP62" s="3461"/>
      <c r="VCQ62" s="3461"/>
      <c r="VCR62" s="3461"/>
      <c r="VCS62" s="3461"/>
      <c r="VCT62" s="3461"/>
      <c r="VCU62" s="3461"/>
      <c r="VCV62" s="3461"/>
      <c r="VCW62" s="3461"/>
      <c r="VCX62" s="3461"/>
      <c r="VCY62" s="3461"/>
      <c r="VCZ62" s="3461"/>
      <c r="VDA62" s="3461"/>
      <c r="VDB62" s="3461"/>
      <c r="VDC62" s="3461"/>
      <c r="VDD62" s="3461"/>
      <c r="VDE62" s="3461"/>
      <c r="VDF62" s="3461"/>
      <c r="VDG62" s="3461"/>
      <c r="VDH62" s="3461"/>
      <c r="VDI62" s="3461"/>
      <c r="VDJ62" s="3461"/>
      <c r="VDK62" s="3461"/>
      <c r="VDL62" s="3461"/>
      <c r="VDM62" s="3461"/>
      <c r="VDN62" s="3461"/>
      <c r="VDO62" s="3461"/>
      <c r="VDP62" s="3461"/>
      <c r="VDQ62" s="3461"/>
      <c r="VDR62" s="3461"/>
      <c r="VDS62" s="3461"/>
      <c r="VDT62" s="3461"/>
      <c r="VDU62" s="3461"/>
      <c r="VDV62" s="3461"/>
      <c r="VDW62" s="3461"/>
      <c r="VDX62" s="3461"/>
      <c r="VDY62" s="3461"/>
      <c r="VDZ62" s="3461"/>
      <c r="VEA62" s="3461"/>
      <c r="VEB62" s="3461"/>
      <c r="VEC62" s="3461"/>
      <c r="VED62" s="3461"/>
      <c r="VEE62" s="3461"/>
      <c r="VEF62" s="3461"/>
      <c r="VEG62" s="3461"/>
      <c r="VEH62" s="3461"/>
      <c r="VEI62" s="3461"/>
      <c r="VEJ62" s="3461"/>
      <c r="VEK62" s="3461"/>
      <c r="VEL62" s="3461"/>
      <c r="VEM62" s="3461"/>
      <c r="VEN62" s="3461"/>
      <c r="VEO62" s="3461"/>
      <c r="VEP62" s="3461"/>
      <c r="VEQ62" s="3461"/>
      <c r="VER62" s="3461"/>
      <c r="VES62" s="3461"/>
      <c r="VET62" s="3461"/>
      <c r="VEU62" s="3461"/>
      <c r="VEV62" s="3461"/>
      <c r="VEW62" s="3461"/>
      <c r="VEX62" s="3461"/>
      <c r="VEY62" s="3461"/>
      <c r="VEZ62" s="3461"/>
      <c r="VFA62" s="3461"/>
      <c r="VFB62" s="3461"/>
      <c r="VFC62" s="3461"/>
      <c r="VFD62" s="3461"/>
      <c r="VFE62" s="3461"/>
      <c r="VFF62" s="3461"/>
      <c r="VFG62" s="3461"/>
      <c r="VFH62" s="3461"/>
      <c r="VFI62" s="3461"/>
      <c r="VFJ62" s="3461"/>
      <c r="VFK62" s="3461"/>
      <c r="VFL62" s="3461"/>
      <c r="VFM62" s="3461"/>
      <c r="VFN62" s="3461"/>
      <c r="VFO62" s="3461"/>
      <c r="VFP62" s="3461"/>
      <c r="VFQ62" s="3461"/>
      <c r="VFR62" s="3461"/>
      <c r="VFS62" s="3461"/>
      <c r="VFT62" s="3461"/>
      <c r="VFU62" s="3461"/>
      <c r="VFV62" s="3461"/>
      <c r="VFW62" s="3461"/>
      <c r="VFX62" s="3461"/>
      <c r="VFY62" s="3461"/>
      <c r="VFZ62" s="3461"/>
      <c r="VGA62" s="3461"/>
      <c r="VGB62" s="3461"/>
      <c r="VGC62" s="3461"/>
      <c r="VGD62" s="3461"/>
      <c r="VGE62" s="3461"/>
      <c r="VGF62" s="3461"/>
      <c r="VGG62" s="3461"/>
      <c r="VGH62" s="3461"/>
      <c r="VGI62" s="3461"/>
      <c r="VGJ62" s="3461"/>
      <c r="VGK62" s="3461"/>
      <c r="VGL62" s="3461"/>
      <c r="VGM62" s="3461"/>
      <c r="VGN62" s="3461"/>
      <c r="VGO62" s="3461"/>
      <c r="VGP62" s="3461"/>
      <c r="VGQ62" s="3461"/>
      <c r="VGR62" s="3461"/>
      <c r="VGS62" s="3461"/>
      <c r="VGT62" s="3461"/>
      <c r="VGU62" s="3461"/>
      <c r="VGV62" s="3461"/>
      <c r="VGW62" s="3461"/>
      <c r="VGX62" s="3461"/>
      <c r="VGY62" s="3461"/>
      <c r="VGZ62" s="3461"/>
      <c r="VHA62" s="3461"/>
      <c r="VHB62" s="3461"/>
      <c r="VHC62" s="3461"/>
      <c r="VHD62" s="3461"/>
      <c r="VHE62" s="3461"/>
      <c r="VHF62" s="3461"/>
      <c r="VHG62" s="3461"/>
      <c r="VHH62" s="3461"/>
      <c r="VHI62" s="3461"/>
      <c r="VHJ62" s="3461"/>
      <c r="VHK62" s="3461"/>
      <c r="VHL62" s="3461"/>
      <c r="VHM62" s="3461"/>
      <c r="VHN62" s="3461"/>
      <c r="VHO62" s="3461"/>
      <c r="VHP62" s="3461"/>
      <c r="VHQ62" s="3461"/>
      <c r="VHR62" s="3461"/>
      <c r="VHS62" s="3461"/>
      <c r="VHT62" s="3461"/>
      <c r="VHU62" s="3461"/>
      <c r="VHV62" s="3461"/>
      <c r="VHW62" s="3461"/>
      <c r="VHX62" s="3461"/>
      <c r="VHY62" s="3461"/>
      <c r="VHZ62" s="3461"/>
      <c r="VIA62" s="3461"/>
      <c r="VIB62" s="3461"/>
      <c r="VIC62" s="3461"/>
      <c r="VID62" s="3461"/>
      <c r="VIE62" s="3461"/>
      <c r="VIF62" s="3461"/>
      <c r="VIG62" s="3461"/>
      <c r="VIH62" s="3461"/>
      <c r="VII62" s="3461"/>
      <c r="VIJ62" s="3461"/>
      <c r="VIK62" s="3461"/>
      <c r="VIL62" s="3461"/>
      <c r="VIM62" s="3461"/>
      <c r="VIN62" s="3461"/>
      <c r="VIO62" s="3461"/>
      <c r="VIP62" s="3461"/>
      <c r="VIQ62" s="3461"/>
      <c r="VIR62" s="3461"/>
      <c r="VIS62" s="3461"/>
      <c r="VIT62" s="3461"/>
      <c r="VIU62" s="3461"/>
      <c r="VIV62" s="3461"/>
      <c r="VIW62" s="3461"/>
      <c r="VIX62" s="3461"/>
      <c r="VIY62" s="3461"/>
      <c r="VIZ62" s="3461"/>
      <c r="VJA62" s="3461"/>
      <c r="VJB62" s="3461"/>
      <c r="VJC62" s="3461"/>
      <c r="VJD62" s="3461"/>
      <c r="VJE62" s="3461"/>
      <c r="VJF62" s="3461"/>
      <c r="VJG62" s="3461"/>
      <c r="VJH62" s="3461"/>
      <c r="VJI62" s="3461"/>
      <c r="VJJ62" s="3461"/>
      <c r="VJK62" s="3461"/>
      <c r="VJL62" s="3461"/>
      <c r="VJM62" s="3461"/>
      <c r="VJN62" s="3461"/>
      <c r="VJO62" s="3461"/>
      <c r="VJP62" s="3461"/>
      <c r="VJQ62" s="3461"/>
      <c r="VJR62" s="3461"/>
      <c r="VJS62" s="3461"/>
      <c r="VJT62" s="3461"/>
      <c r="VJU62" s="3461"/>
      <c r="VJV62" s="3461"/>
      <c r="VJW62" s="3461"/>
      <c r="VJX62" s="3461"/>
      <c r="VJY62" s="3461"/>
      <c r="VJZ62" s="3461"/>
      <c r="VKA62" s="3461"/>
      <c r="VKB62" s="3461"/>
      <c r="VKC62" s="3461"/>
      <c r="VKD62" s="3461"/>
      <c r="VKE62" s="3461"/>
      <c r="VKF62" s="3461"/>
      <c r="VKG62" s="3461"/>
      <c r="VKH62" s="3461"/>
      <c r="VKI62" s="3461"/>
      <c r="VKJ62" s="3461"/>
      <c r="VKK62" s="3461"/>
      <c r="VKL62" s="3461"/>
      <c r="VKM62" s="3461"/>
      <c r="VKN62" s="3461"/>
      <c r="VKO62" s="3461"/>
      <c r="VKP62" s="3461"/>
      <c r="VKQ62" s="3461"/>
      <c r="VKR62" s="3461"/>
      <c r="VKS62" s="3461"/>
      <c r="VKT62" s="3461"/>
      <c r="VKU62" s="3461"/>
      <c r="VKV62" s="3461"/>
      <c r="VKW62" s="3461"/>
      <c r="VKX62" s="3461"/>
      <c r="VKY62" s="3461"/>
      <c r="VKZ62" s="3461"/>
      <c r="VLA62" s="3461"/>
      <c r="VLB62" s="3461"/>
      <c r="VLC62" s="3461"/>
      <c r="VLD62" s="3461"/>
      <c r="VLE62" s="3461"/>
      <c r="VLF62" s="3461"/>
      <c r="VLG62" s="3461"/>
      <c r="VLH62" s="3461"/>
      <c r="VLI62" s="3461"/>
      <c r="VLJ62" s="3461"/>
      <c r="VLK62" s="3461"/>
      <c r="VLL62" s="3461"/>
      <c r="VLM62" s="3461"/>
      <c r="VLN62" s="3461"/>
      <c r="VLO62" s="3461"/>
      <c r="VLP62" s="3461"/>
      <c r="VLQ62" s="3461"/>
      <c r="VLR62" s="3461"/>
      <c r="VLS62" s="3461"/>
      <c r="VLT62" s="3461"/>
      <c r="VLU62" s="3461"/>
      <c r="VLV62" s="3461"/>
      <c r="VLW62" s="3461"/>
      <c r="VLX62" s="3461"/>
      <c r="VLY62" s="3461"/>
      <c r="VLZ62" s="3461"/>
      <c r="VMA62" s="3461"/>
      <c r="VMB62" s="3461"/>
      <c r="VMC62" s="3461"/>
      <c r="VMD62" s="3461"/>
      <c r="VME62" s="3461"/>
      <c r="VMF62" s="3461"/>
      <c r="VMG62" s="3461"/>
      <c r="VMH62" s="3461"/>
      <c r="VMI62" s="3461"/>
      <c r="VMJ62" s="3461"/>
      <c r="VMK62" s="3461"/>
      <c r="VML62" s="3461"/>
      <c r="VMM62" s="3461"/>
      <c r="VMN62" s="3461"/>
      <c r="VMO62" s="3461"/>
      <c r="VMP62" s="3461"/>
      <c r="VMQ62" s="3461"/>
      <c r="VMR62" s="3461"/>
      <c r="VMS62" s="3461"/>
      <c r="VMT62" s="3461"/>
      <c r="VMU62" s="3461"/>
      <c r="VMV62" s="3461"/>
      <c r="VMW62" s="3461"/>
      <c r="VMX62" s="3461"/>
      <c r="VMY62" s="3461"/>
      <c r="VMZ62" s="3461"/>
      <c r="VNA62" s="3461"/>
      <c r="VNB62" s="3461"/>
      <c r="VNC62" s="3461"/>
      <c r="VND62" s="3461"/>
      <c r="VNE62" s="3461"/>
      <c r="VNF62" s="3461"/>
      <c r="VNG62" s="3461"/>
      <c r="VNH62" s="3461"/>
      <c r="VNI62" s="3461"/>
      <c r="VNJ62" s="3461"/>
      <c r="VNK62" s="3461"/>
      <c r="VNL62" s="3461"/>
      <c r="VNM62" s="3461"/>
      <c r="VNN62" s="3461"/>
      <c r="VNO62" s="3461"/>
      <c r="VNP62" s="3461"/>
      <c r="VNQ62" s="3461"/>
      <c r="VNR62" s="3461"/>
      <c r="VNS62" s="3461"/>
      <c r="VNT62" s="3461"/>
      <c r="VNU62" s="3461"/>
      <c r="VNV62" s="3461"/>
      <c r="VNW62" s="3461"/>
      <c r="VNX62" s="3461"/>
      <c r="VNY62" s="3461"/>
      <c r="VNZ62" s="3461"/>
      <c r="VOA62" s="3461"/>
      <c r="VOB62" s="3461"/>
      <c r="VOC62" s="3461"/>
      <c r="VOD62" s="3461"/>
      <c r="VOE62" s="3461"/>
      <c r="VOF62" s="3461"/>
      <c r="VOG62" s="3461"/>
      <c r="VOH62" s="3461"/>
      <c r="VOI62" s="3461"/>
      <c r="VOJ62" s="3461"/>
      <c r="VOK62" s="3461"/>
      <c r="VOL62" s="3461"/>
      <c r="VOM62" s="3461"/>
      <c r="VON62" s="3461"/>
      <c r="VOO62" s="3461"/>
      <c r="VOP62" s="3461"/>
      <c r="VOQ62" s="3461"/>
      <c r="VOR62" s="3461"/>
      <c r="VOS62" s="3461"/>
      <c r="VOT62" s="3461"/>
      <c r="VOU62" s="3461"/>
      <c r="VOV62" s="3461"/>
      <c r="VOW62" s="3461"/>
      <c r="VOX62" s="3461"/>
      <c r="VOY62" s="3461"/>
      <c r="VOZ62" s="3461"/>
      <c r="VPA62" s="3461"/>
      <c r="VPB62" s="3461"/>
      <c r="VPC62" s="3461"/>
      <c r="VPD62" s="3461"/>
      <c r="VPE62" s="3461"/>
      <c r="VPF62" s="3461"/>
      <c r="VPG62" s="3461"/>
      <c r="VPH62" s="3461"/>
      <c r="VPI62" s="3461"/>
      <c r="VPJ62" s="3461"/>
      <c r="VPK62" s="3461"/>
      <c r="VPL62" s="3461"/>
      <c r="VPM62" s="3461"/>
      <c r="VPN62" s="3461"/>
      <c r="VPO62" s="3461"/>
      <c r="VPP62" s="3461"/>
      <c r="VPQ62" s="3461"/>
      <c r="VPR62" s="3461"/>
      <c r="VPS62" s="3461"/>
      <c r="VPT62" s="3461"/>
      <c r="VPU62" s="3461"/>
      <c r="VPV62" s="3461"/>
      <c r="VPW62" s="3461"/>
      <c r="VPX62" s="3461"/>
      <c r="VPY62" s="3461"/>
      <c r="VPZ62" s="3461"/>
      <c r="VQA62" s="3461"/>
      <c r="VQB62" s="3461"/>
      <c r="VQC62" s="3461"/>
      <c r="VQD62" s="3461"/>
      <c r="VQE62" s="3461"/>
      <c r="VQF62" s="3461"/>
      <c r="VQG62" s="3461"/>
      <c r="VQH62" s="3461"/>
      <c r="VQI62" s="3461"/>
      <c r="VQJ62" s="3461"/>
      <c r="VQK62" s="3461"/>
      <c r="VQL62" s="3461"/>
      <c r="VQM62" s="3461"/>
      <c r="VQN62" s="3461"/>
      <c r="VQO62" s="3461"/>
      <c r="VQP62" s="3461"/>
      <c r="VQQ62" s="3461"/>
      <c r="VQR62" s="3461"/>
      <c r="VQS62" s="3461"/>
      <c r="VQT62" s="3461"/>
      <c r="VQU62" s="3461"/>
      <c r="VQV62" s="3461"/>
      <c r="VQW62" s="3461"/>
      <c r="VQX62" s="3461"/>
      <c r="VQY62" s="3461"/>
      <c r="VQZ62" s="3461"/>
      <c r="VRA62" s="3461"/>
      <c r="VRB62" s="3461"/>
      <c r="VRC62" s="3461"/>
      <c r="VRD62" s="3461"/>
      <c r="VRE62" s="3461"/>
      <c r="VRF62" s="3461"/>
      <c r="VRG62" s="3461"/>
      <c r="VRH62" s="3461"/>
      <c r="VRI62" s="3461"/>
      <c r="VRJ62" s="3461"/>
      <c r="VRK62" s="3461"/>
      <c r="VRL62" s="3461"/>
      <c r="VRM62" s="3461"/>
      <c r="VRN62" s="3461"/>
      <c r="VRO62" s="3461"/>
      <c r="VRP62" s="3461"/>
      <c r="VRQ62" s="3461"/>
      <c r="VRR62" s="3461"/>
      <c r="VRS62" s="3461"/>
      <c r="VRT62" s="3461"/>
      <c r="VRU62" s="3461"/>
      <c r="VRV62" s="3461"/>
      <c r="VRW62" s="3461"/>
      <c r="VRX62" s="3461"/>
      <c r="VRY62" s="3461"/>
      <c r="VRZ62" s="3461"/>
      <c r="VSA62" s="3461"/>
      <c r="VSB62" s="3461"/>
      <c r="VSC62" s="3461"/>
      <c r="VSD62" s="3461"/>
      <c r="VSE62" s="3461"/>
      <c r="VSF62" s="3461"/>
      <c r="VSG62" s="3461"/>
      <c r="VSH62" s="3461"/>
      <c r="VSI62" s="3461"/>
      <c r="VSJ62" s="3461"/>
      <c r="VSK62" s="3461"/>
      <c r="VSL62" s="3461"/>
      <c r="VSM62" s="3461"/>
      <c r="VSN62" s="3461"/>
      <c r="VSO62" s="3461"/>
      <c r="VSP62" s="3461"/>
      <c r="VSQ62" s="3461"/>
      <c r="VSR62" s="3461"/>
      <c r="VSS62" s="3461"/>
      <c r="VST62" s="3461"/>
      <c r="VSU62" s="3461"/>
      <c r="VSV62" s="3461"/>
      <c r="VSW62" s="3461"/>
      <c r="VSX62" s="3461"/>
      <c r="VSY62" s="3461"/>
      <c r="VSZ62" s="3461"/>
      <c r="VTA62" s="3461"/>
      <c r="VTB62" s="3461"/>
      <c r="VTC62" s="3461"/>
      <c r="VTD62" s="3461"/>
      <c r="VTE62" s="3461"/>
      <c r="VTF62" s="3461"/>
      <c r="VTG62" s="3461"/>
      <c r="VTH62" s="3461"/>
      <c r="VTI62" s="3461"/>
      <c r="VTJ62" s="3461"/>
      <c r="VTK62" s="3461"/>
      <c r="VTL62" s="3461"/>
      <c r="VTM62" s="3461"/>
      <c r="VTN62" s="3461"/>
      <c r="VTO62" s="3461"/>
      <c r="VTP62" s="3461"/>
      <c r="VTQ62" s="3461"/>
      <c r="VTR62" s="3461"/>
      <c r="VTS62" s="3461"/>
      <c r="VTT62" s="3461"/>
      <c r="VTU62" s="3461"/>
      <c r="VTV62" s="3461"/>
      <c r="VTW62" s="3461"/>
      <c r="VTX62" s="3461"/>
      <c r="VTY62" s="3461"/>
      <c r="VTZ62" s="3461"/>
      <c r="VUA62" s="3461"/>
      <c r="VUB62" s="3461"/>
      <c r="VUC62" s="3461"/>
      <c r="VUD62" s="3461"/>
      <c r="VUE62" s="3461"/>
      <c r="VUF62" s="3461"/>
      <c r="VUG62" s="3461"/>
      <c r="VUH62" s="3461"/>
      <c r="VUI62" s="3461"/>
      <c r="VUJ62" s="3461"/>
      <c r="VUK62" s="3461"/>
      <c r="VUL62" s="3461"/>
      <c r="VUM62" s="3461"/>
      <c r="VUN62" s="3461"/>
      <c r="VUO62" s="3461"/>
      <c r="VUP62" s="3461"/>
      <c r="VUQ62" s="3461"/>
      <c r="VUR62" s="3461"/>
      <c r="VUS62" s="3461"/>
      <c r="VUT62" s="3461"/>
      <c r="VUU62" s="3461"/>
      <c r="VUV62" s="3461"/>
      <c r="VUW62" s="3461"/>
      <c r="VUX62" s="3461"/>
      <c r="VUY62" s="3461"/>
      <c r="VUZ62" s="3461"/>
      <c r="VVA62" s="3461"/>
      <c r="VVB62" s="3461"/>
      <c r="VVC62" s="3461"/>
      <c r="VVD62" s="3461"/>
      <c r="VVE62" s="3461"/>
      <c r="VVF62" s="3461"/>
      <c r="VVG62" s="3461"/>
      <c r="VVH62" s="3461"/>
      <c r="VVI62" s="3461"/>
      <c r="VVJ62" s="3461"/>
      <c r="VVK62" s="3461"/>
      <c r="VVL62" s="3461"/>
      <c r="VVM62" s="3461"/>
      <c r="VVN62" s="3461"/>
      <c r="VVO62" s="3461"/>
      <c r="VVP62" s="3461"/>
      <c r="VVQ62" s="3461"/>
      <c r="VVR62" s="3461"/>
      <c r="VVS62" s="3461"/>
      <c r="VVT62" s="3461"/>
      <c r="VVU62" s="3461"/>
      <c r="VVV62" s="3461"/>
      <c r="VVW62" s="3461"/>
      <c r="VVX62" s="3461"/>
      <c r="VVY62" s="3461"/>
      <c r="VVZ62" s="3461"/>
      <c r="VWA62" s="3461"/>
      <c r="VWB62" s="3461"/>
      <c r="VWC62" s="3461"/>
      <c r="VWD62" s="3461"/>
      <c r="VWE62" s="3461"/>
      <c r="VWF62" s="3461"/>
      <c r="VWG62" s="3461"/>
      <c r="VWH62" s="3461"/>
      <c r="VWI62" s="3461"/>
      <c r="VWJ62" s="3461"/>
      <c r="VWK62" s="3461"/>
      <c r="VWL62" s="3461"/>
      <c r="VWM62" s="3461"/>
      <c r="VWN62" s="3461"/>
      <c r="VWO62" s="3461"/>
      <c r="VWP62" s="3461"/>
      <c r="VWQ62" s="3461"/>
      <c r="VWR62" s="3461"/>
      <c r="VWS62" s="3461"/>
      <c r="VWT62" s="3461"/>
      <c r="VWU62" s="3461"/>
      <c r="VWV62" s="3461"/>
      <c r="VWW62" s="3461"/>
      <c r="VWX62" s="3461"/>
      <c r="VWY62" s="3461"/>
      <c r="VWZ62" s="3461"/>
      <c r="VXA62" s="3461"/>
      <c r="VXB62" s="3461"/>
      <c r="VXC62" s="3461"/>
      <c r="VXD62" s="3461"/>
      <c r="VXE62" s="3461"/>
      <c r="VXF62" s="3461"/>
      <c r="VXG62" s="3461"/>
      <c r="VXH62" s="3461"/>
      <c r="VXI62" s="3461"/>
      <c r="VXJ62" s="3461"/>
      <c r="VXK62" s="3461"/>
      <c r="VXL62" s="3461"/>
      <c r="VXM62" s="3461"/>
      <c r="VXN62" s="3461"/>
      <c r="VXO62" s="3461"/>
      <c r="VXP62" s="3461"/>
      <c r="VXQ62" s="3461"/>
      <c r="VXR62" s="3461"/>
      <c r="VXS62" s="3461"/>
      <c r="VXT62" s="3461"/>
      <c r="VXU62" s="3461"/>
      <c r="VXV62" s="3461"/>
      <c r="VXW62" s="3461"/>
      <c r="VXX62" s="3461"/>
      <c r="VXY62" s="3461"/>
      <c r="VXZ62" s="3461"/>
      <c r="VYA62" s="3461"/>
      <c r="VYB62" s="3461"/>
      <c r="VYC62" s="3461"/>
      <c r="VYD62" s="3461"/>
      <c r="VYE62" s="3461"/>
      <c r="VYF62" s="3461"/>
      <c r="VYG62" s="3461"/>
      <c r="VYH62" s="3461"/>
      <c r="VYI62" s="3461"/>
      <c r="VYJ62" s="3461"/>
      <c r="VYK62" s="3461"/>
      <c r="VYL62" s="3461"/>
      <c r="VYM62" s="3461"/>
      <c r="VYN62" s="3461"/>
      <c r="VYO62" s="3461"/>
      <c r="VYP62" s="3461"/>
      <c r="VYQ62" s="3461"/>
      <c r="VYR62" s="3461"/>
      <c r="VYS62" s="3461"/>
      <c r="VYT62" s="3461"/>
      <c r="VYU62" s="3461"/>
      <c r="VYV62" s="3461"/>
      <c r="VYW62" s="3461"/>
      <c r="VYX62" s="3461"/>
      <c r="VYY62" s="3461"/>
      <c r="VYZ62" s="3461"/>
      <c r="VZA62" s="3461"/>
      <c r="VZB62" s="3461"/>
      <c r="VZC62" s="3461"/>
      <c r="VZD62" s="3461"/>
      <c r="VZE62" s="3461"/>
      <c r="VZF62" s="3461"/>
      <c r="VZG62" s="3461"/>
      <c r="VZH62" s="3461"/>
      <c r="VZI62" s="3461"/>
      <c r="VZJ62" s="3461"/>
      <c r="VZK62" s="3461"/>
      <c r="VZL62" s="3461"/>
      <c r="VZM62" s="3461"/>
      <c r="VZN62" s="3461"/>
      <c r="VZO62" s="3461"/>
      <c r="VZP62" s="3461"/>
      <c r="VZQ62" s="3461"/>
      <c r="VZR62" s="3461"/>
      <c r="VZS62" s="3461"/>
      <c r="VZT62" s="3461"/>
      <c r="VZU62" s="3461"/>
      <c r="VZV62" s="3461"/>
      <c r="VZW62" s="3461"/>
      <c r="VZX62" s="3461"/>
      <c r="VZY62" s="3461"/>
      <c r="VZZ62" s="3461"/>
      <c r="WAA62" s="3461"/>
      <c r="WAB62" s="3461"/>
      <c r="WAC62" s="3461"/>
      <c r="WAD62" s="3461"/>
      <c r="WAE62" s="3461"/>
      <c r="WAF62" s="3461"/>
      <c r="WAG62" s="3461"/>
      <c r="WAH62" s="3461"/>
      <c r="WAI62" s="3461"/>
      <c r="WAJ62" s="3461"/>
      <c r="WAK62" s="3461"/>
      <c r="WAL62" s="3461"/>
      <c r="WAM62" s="3461"/>
      <c r="WAN62" s="3461"/>
      <c r="WAO62" s="3461"/>
      <c r="WAP62" s="3461"/>
      <c r="WAQ62" s="3461"/>
      <c r="WAR62" s="3461"/>
      <c r="WAS62" s="3461"/>
      <c r="WAT62" s="3461"/>
      <c r="WAU62" s="3461"/>
      <c r="WAV62" s="3461"/>
      <c r="WAW62" s="3461"/>
      <c r="WAX62" s="3461"/>
      <c r="WAY62" s="3461"/>
      <c r="WAZ62" s="3461"/>
      <c r="WBA62" s="3461"/>
      <c r="WBB62" s="3461"/>
      <c r="WBC62" s="3461"/>
      <c r="WBD62" s="3461"/>
      <c r="WBE62" s="3461"/>
      <c r="WBF62" s="3461"/>
      <c r="WBG62" s="3461"/>
      <c r="WBH62" s="3461"/>
      <c r="WBI62" s="3461"/>
      <c r="WBJ62" s="3461"/>
      <c r="WBK62" s="3461"/>
      <c r="WBL62" s="3461"/>
      <c r="WBM62" s="3461"/>
      <c r="WBN62" s="3461"/>
      <c r="WBO62" s="3461"/>
      <c r="WBP62" s="3461"/>
      <c r="WBQ62" s="3461"/>
      <c r="WBR62" s="3461"/>
      <c r="WBS62" s="3461"/>
      <c r="WBT62" s="3461"/>
      <c r="WBU62" s="3461"/>
      <c r="WBV62" s="3461"/>
      <c r="WBW62" s="3461"/>
      <c r="WBX62" s="3461"/>
      <c r="WBY62" s="3461"/>
      <c r="WBZ62" s="3461"/>
      <c r="WCA62" s="3461"/>
      <c r="WCB62" s="3461"/>
      <c r="WCC62" s="3461"/>
      <c r="WCD62" s="3461"/>
      <c r="WCE62" s="3461"/>
      <c r="WCF62" s="3461"/>
      <c r="WCG62" s="3461"/>
      <c r="WCH62" s="3461"/>
      <c r="WCI62" s="3461"/>
      <c r="WCJ62" s="3461"/>
      <c r="WCK62" s="3461"/>
      <c r="WCL62" s="3461"/>
      <c r="WCM62" s="3461"/>
      <c r="WCN62" s="3461"/>
      <c r="WCO62" s="3461"/>
      <c r="WCP62" s="3461"/>
      <c r="WCQ62" s="3461"/>
      <c r="WCR62" s="3461"/>
      <c r="WCS62" s="3461"/>
      <c r="WCT62" s="3461"/>
      <c r="WCU62" s="3461"/>
      <c r="WCV62" s="3461"/>
      <c r="WCW62" s="3461"/>
      <c r="WCX62" s="3461"/>
      <c r="WCY62" s="3461"/>
      <c r="WCZ62" s="3461"/>
      <c r="WDA62" s="3461"/>
      <c r="WDB62" s="3461"/>
      <c r="WDC62" s="3461"/>
      <c r="WDD62" s="3461"/>
      <c r="WDE62" s="3461"/>
      <c r="WDF62" s="3461"/>
      <c r="WDG62" s="3461"/>
      <c r="WDH62" s="3461"/>
      <c r="WDI62" s="3461"/>
      <c r="WDJ62" s="3461"/>
      <c r="WDK62" s="3461"/>
      <c r="WDL62" s="3461"/>
      <c r="WDM62" s="3461"/>
      <c r="WDN62" s="3461"/>
      <c r="WDO62" s="3461"/>
      <c r="WDP62" s="3461"/>
      <c r="WDQ62" s="3461"/>
      <c r="WDR62" s="3461"/>
      <c r="WDS62" s="3461"/>
      <c r="WDT62" s="3461"/>
      <c r="WDU62" s="3461"/>
      <c r="WDV62" s="3461"/>
      <c r="WDW62" s="3461"/>
      <c r="WDX62" s="3461"/>
      <c r="WDY62" s="3461"/>
      <c r="WDZ62" s="3461"/>
      <c r="WEA62" s="3461"/>
      <c r="WEB62" s="3461"/>
      <c r="WEC62" s="3461"/>
      <c r="WED62" s="3461"/>
      <c r="WEE62" s="3461"/>
      <c r="WEF62" s="3461"/>
      <c r="WEG62" s="3461"/>
      <c r="WEH62" s="3461"/>
      <c r="WEI62" s="3461"/>
      <c r="WEJ62" s="3461"/>
      <c r="WEK62" s="3461"/>
      <c r="WEL62" s="3461"/>
      <c r="WEM62" s="3461"/>
      <c r="WEN62" s="3461"/>
      <c r="WEO62" s="3461"/>
      <c r="WEP62" s="3461"/>
      <c r="WEQ62" s="3461"/>
      <c r="WER62" s="3461"/>
      <c r="WES62" s="3461"/>
      <c r="WET62" s="3461"/>
      <c r="WEU62" s="3461"/>
      <c r="WEV62" s="3461"/>
      <c r="WEW62" s="3461"/>
      <c r="WEX62" s="3461"/>
      <c r="WEY62" s="3461"/>
      <c r="WEZ62" s="3461"/>
      <c r="WFA62" s="3461"/>
      <c r="WFB62" s="3461"/>
      <c r="WFC62" s="3461"/>
      <c r="WFD62" s="3461"/>
      <c r="WFE62" s="3461"/>
      <c r="WFF62" s="3461"/>
      <c r="WFG62" s="3461"/>
      <c r="WFH62" s="3461"/>
      <c r="WFI62" s="3461"/>
      <c r="WFJ62" s="3461"/>
      <c r="WFK62" s="3461"/>
      <c r="WFL62" s="3461"/>
      <c r="WFM62" s="3461"/>
      <c r="WFN62" s="3461"/>
      <c r="WFO62" s="3461"/>
      <c r="WFP62" s="3461"/>
      <c r="WFQ62" s="3461"/>
      <c r="WFR62" s="3461"/>
      <c r="WFS62" s="3461"/>
      <c r="WFT62" s="3461"/>
      <c r="WFU62" s="3461"/>
      <c r="WFV62" s="3461"/>
      <c r="WFW62" s="3461"/>
      <c r="WFX62" s="3461"/>
      <c r="WFY62" s="3461"/>
      <c r="WFZ62" s="3461"/>
      <c r="WGA62" s="3461"/>
      <c r="WGB62" s="3461"/>
      <c r="WGC62" s="3461"/>
      <c r="WGD62" s="3461"/>
      <c r="WGE62" s="3461"/>
      <c r="WGF62" s="3461"/>
      <c r="WGG62" s="3461"/>
      <c r="WGH62" s="3461"/>
      <c r="WGI62" s="3461"/>
      <c r="WGJ62" s="3461"/>
      <c r="WGK62" s="3461"/>
      <c r="WGL62" s="3461"/>
      <c r="WGM62" s="3461"/>
      <c r="WGN62" s="3461"/>
      <c r="WGO62" s="3461"/>
      <c r="WGP62" s="3461"/>
      <c r="WGQ62" s="3461"/>
      <c r="WGR62" s="3461"/>
      <c r="WGS62" s="3461"/>
      <c r="WGT62" s="3461"/>
      <c r="WGU62" s="3461"/>
      <c r="WGV62" s="3461"/>
      <c r="WGW62" s="3461"/>
      <c r="WGX62" s="3461"/>
      <c r="WGY62" s="3461"/>
      <c r="WGZ62" s="3461"/>
      <c r="WHA62" s="3461"/>
      <c r="WHB62" s="3461"/>
      <c r="WHC62" s="3461"/>
      <c r="WHD62" s="3461"/>
      <c r="WHE62" s="3461"/>
      <c r="WHF62" s="3461"/>
      <c r="WHG62" s="3461"/>
      <c r="WHH62" s="3461"/>
      <c r="WHI62" s="3461"/>
      <c r="WHJ62" s="3461"/>
      <c r="WHK62" s="3461"/>
      <c r="WHL62" s="3461"/>
      <c r="WHM62" s="3461"/>
      <c r="WHN62" s="3461"/>
      <c r="WHO62" s="3461"/>
      <c r="WHP62" s="3461"/>
      <c r="WHQ62" s="3461"/>
      <c r="WHR62" s="3461"/>
      <c r="WHS62" s="3461"/>
      <c r="WHT62" s="3461"/>
      <c r="WHU62" s="3461"/>
      <c r="WHV62" s="3461"/>
      <c r="WHW62" s="3461"/>
      <c r="WHX62" s="3461"/>
      <c r="WHY62" s="3461"/>
      <c r="WHZ62" s="3461"/>
      <c r="WIA62" s="3461"/>
      <c r="WIB62" s="3461"/>
      <c r="WIC62" s="3461"/>
      <c r="WID62" s="3461"/>
      <c r="WIE62" s="3461"/>
      <c r="WIF62" s="3461"/>
      <c r="WIG62" s="3461"/>
      <c r="WIH62" s="3461"/>
      <c r="WII62" s="3461"/>
      <c r="WIJ62" s="3461"/>
      <c r="WIK62" s="3461"/>
      <c r="WIL62" s="3461"/>
      <c r="WIM62" s="3461"/>
      <c r="WIN62" s="3461"/>
      <c r="WIO62" s="3461"/>
      <c r="WIP62" s="3461"/>
      <c r="WIQ62" s="3461"/>
      <c r="WIR62" s="3461"/>
      <c r="WIS62" s="3461"/>
      <c r="WIT62" s="3461"/>
      <c r="WIU62" s="3461"/>
      <c r="WIV62" s="3461"/>
      <c r="WIW62" s="3461"/>
      <c r="WIX62" s="3461"/>
      <c r="WIY62" s="3461"/>
      <c r="WIZ62" s="3461"/>
      <c r="WJA62" s="3461"/>
      <c r="WJB62" s="3461"/>
      <c r="WJC62" s="3461"/>
      <c r="WJD62" s="3461"/>
      <c r="WJE62" s="3461"/>
      <c r="WJF62" s="3461"/>
      <c r="WJG62" s="3461"/>
      <c r="WJH62" s="3461"/>
      <c r="WJI62" s="3461"/>
      <c r="WJJ62" s="3461"/>
      <c r="WJK62" s="3461"/>
      <c r="WJL62" s="3461"/>
      <c r="WJM62" s="3461"/>
      <c r="WJN62" s="3461"/>
      <c r="WJO62" s="3461"/>
      <c r="WJP62" s="3461"/>
      <c r="WJQ62" s="3461"/>
      <c r="WJR62" s="3461"/>
      <c r="WJS62" s="3461"/>
      <c r="WJT62" s="3461"/>
      <c r="WJU62" s="3461"/>
      <c r="WJV62" s="3461"/>
      <c r="WJW62" s="3461"/>
      <c r="WJX62" s="3461"/>
      <c r="WJY62" s="3461"/>
      <c r="WJZ62" s="3461"/>
      <c r="WKA62" s="3461"/>
      <c r="WKB62" s="3461"/>
      <c r="WKC62" s="3461"/>
      <c r="WKD62" s="3461"/>
      <c r="WKE62" s="3461"/>
      <c r="WKF62" s="3461"/>
      <c r="WKG62" s="3461"/>
      <c r="WKH62" s="3461"/>
      <c r="WKI62" s="3461"/>
      <c r="WKJ62" s="3461"/>
      <c r="WKK62" s="3461"/>
      <c r="WKL62" s="3461"/>
      <c r="WKM62" s="3461"/>
      <c r="WKN62" s="3461"/>
      <c r="WKO62" s="3461"/>
      <c r="WKP62" s="3461"/>
      <c r="WKQ62" s="3461"/>
      <c r="WKR62" s="3461"/>
      <c r="WKS62" s="3461"/>
      <c r="WKT62" s="3461"/>
      <c r="WKU62" s="3461"/>
      <c r="WKV62" s="3461"/>
      <c r="WKW62" s="3461"/>
      <c r="WKX62" s="3461"/>
      <c r="WKY62" s="3461"/>
      <c r="WKZ62" s="3461"/>
      <c r="WLA62" s="3461"/>
      <c r="WLB62" s="3461"/>
      <c r="WLC62" s="3461"/>
      <c r="WLD62" s="3461"/>
      <c r="WLE62" s="3461"/>
      <c r="WLF62" s="3461"/>
      <c r="WLG62" s="3461"/>
      <c r="WLH62" s="3461"/>
      <c r="WLI62" s="3461"/>
      <c r="WLJ62" s="3461"/>
      <c r="WLK62" s="3461"/>
      <c r="WLL62" s="3461"/>
      <c r="WLM62" s="3461"/>
      <c r="WLN62" s="3461"/>
      <c r="WLO62" s="3461"/>
      <c r="WLP62" s="3461"/>
      <c r="WLQ62" s="3461"/>
      <c r="WLR62" s="3461"/>
      <c r="WLS62" s="3461"/>
      <c r="WLT62" s="3461"/>
      <c r="WLU62" s="3461"/>
      <c r="WLV62" s="3461"/>
      <c r="WLW62" s="3461"/>
      <c r="WLX62" s="3461"/>
      <c r="WLY62" s="3461"/>
      <c r="WLZ62" s="3461"/>
      <c r="WMA62" s="3461"/>
      <c r="WMB62" s="3461"/>
      <c r="WMC62" s="3461"/>
      <c r="WMD62" s="3461"/>
      <c r="WME62" s="3461"/>
      <c r="WMF62" s="3461"/>
      <c r="WMG62" s="3461"/>
      <c r="WMH62" s="3461"/>
      <c r="WMI62" s="3461"/>
      <c r="WMJ62" s="3461"/>
      <c r="WMK62" s="3461"/>
      <c r="WML62" s="3461"/>
      <c r="WMM62" s="3461"/>
      <c r="WMN62" s="3461"/>
      <c r="WMO62" s="3461"/>
      <c r="WMP62" s="3461"/>
      <c r="WMQ62" s="3461"/>
      <c r="WMR62" s="3461"/>
      <c r="WMS62" s="3461"/>
      <c r="WMT62" s="3461"/>
      <c r="WMU62" s="3461"/>
      <c r="WMV62" s="3461"/>
      <c r="WMW62" s="3461"/>
      <c r="WMX62" s="3461"/>
      <c r="WMY62" s="3461"/>
      <c r="WMZ62" s="3461"/>
      <c r="WNA62" s="3461"/>
      <c r="WNB62" s="3461"/>
      <c r="WNC62" s="3461"/>
      <c r="WND62" s="3461"/>
      <c r="WNE62" s="3461"/>
      <c r="WNF62" s="3461"/>
      <c r="WNG62" s="3461"/>
      <c r="WNH62" s="3461"/>
      <c r="WNI62" s="3461"/>
      <c r="WNJ62" s="3461"/>
      <c r="WNK62" s="3461"/>
      <c r="WNL62" s="3461"/>
      <c r="WNM62" s="3461"/>
      <c r="WNN62" s="3461"/>
      <c r="WNO62" s="3461"/>
      <c r="WNP62" s="3461"/>
      <c r="WNQ62" s="3461"/>
      <c r="WNR62" s="3461"/>
      <c r="WNS62" s="3461"/>
      <c r="WNT62" s="3461"/>
      <c r="WNU62" s="3461"/>
      <c r="WNV62" s="3461"/>
      <c r="WNW62" s="3461"/>
      <c r="WNX62" s="3461"/>
      <c r="WNY62" s="3461"/>
      <c r="WNZ62" s="3461"/>
      <c r="WOA62" s="3461"/>
      <c r="WOB62" s="3461"/>
      <c r="WOC62" s="3461"/>
      <c r="WOD62" s="3461"/>
      <c r="WOE62" s="3461"/>
      <c r="WOF62" s="3461"/>
      <c r="WOG62" s="3461"/>
      <c r="WOH62" s="3461"/>
      <c r="WOI62" s="3461"/>
      <c r="WOJ62" s="3461"/>
      <c r="WOK62" s="3461"/>
      <c r="WOL62" s="3461"/>
      <c r="WOM62" s="3461"/>
      <c r="WON62" s="3461"/>
      <c r="WOO62" s="3461"/>
      <c r="WOP62" s="3461"/>
      <c r="WOQ62" s="3461"/>
      <c r="WOR62" s="3461"/>
      <c r="WOS62" s="3461"/>
      <c r="WOT62" s="3461"/>
      <c r="WOU62" s="3461"/>
      <c r="WOV62" s="3461"/>
      <c r="WOW62" s="3461"/>
      <c r="WOX62" s="3461"/>
      <c r="WOY62" s="3461"/>
      <c r="WOZ62" s="3461"/>
      <c r="WPA62" s="3461"/>
      <c r="WPB62" s="3461"/>
      <c r="WPC62" s="3461"/>
      <c r="WPD62" s="3461"/>
      <c r="WPE62" s="3461"/>
      <c r="WPF62" s="3461"/>
      <c r="WPG62" s="3461"/>
      <c r="WPH62" s="3461"/>
      <c r="WPI62" s="3461"/>
      <c r="WPJ62" s="3461"/>
      <c r="WPK62" s="3461"/>
      <c r="WPL62" s="3461"/>
      <c r="WPM62" s="3461"/>
      <c r="WPN62" s="3461"/>
      <c r="WPO62" s="3461"/>
      <c r="WPP62" s="3461"/>
      <c r="WPQ62" s="3461"/>
      <c r="WPR62" s="3461"/>
      <c r="WPS62" s="3461"/>
      <c r="WPT62" s="3461"/>
      <c r="WPU62" s="3461"/>
      <c r="WPV62" s="3461"/>
      <c r="WPW62" s="3461"/>
      <c r="WPX62" s="3461"/>
      <c r="WPY62" s="3461"/>
      <c r="WPZ62" s="3461"/>
      <c r="WQA62" s="3461"/>
      <c r="WQB62" s="3461"/>
      <c r="WQC62" s="3461"/>
      <c r="WQD62" s="3461"/>
      <c r="WQE62" s="3461"/>
      <c r="WQF62" s="3461"/>
      <c r="WQG62" s="3461"/>
      <c r="WQH62" s="3461"/>
      <c r="WQI62" s="3461"/>
      <c r="WQJ62" s="3461"/>
      <c r="WQK62" s="3461"/>
      <c r="WQL62" s="3461"/>
      <c r="WQM62" s="3461"/>
      <c r="WQN62" s="3461"/>
      <c r="WQO62" s="3461"/>
      <c r="WQP62" s="3461"/>
      <c r="WQQ62" s="3461"/>
      <c r="WQR62" s="3461"/>
      <c r="WQS62" s="3461"/>
      <c r="WQT62" s="3461"/>
      <c r="WQU62" s="3461"/>
      <c r="WQV62" s="3461"/>
      <c r="WQW62" s="3461"/>
      <c r="WQX62" s="3461"/>
      <c r="WQY62" s="3461"/>
      <c r="WQZ62" s="3461"/>
      <c r="WRA62" s="3461"/>
      <c r="WRB62" s="3461"/>
      <c r="WRC62" s="3461"/>
      <c r="WRD62" s="3461"/>
      <c r="WRE62" s="3461"/>
      <c r="WRF62" s="3461"/>
      <c r="WRG62" s="3461"/>
      <c r="WRH62" s="3461"/>
      <c r="WRI62" s="3461"/>
      <c r="WRJ62" s="3461"/>
      <c r="WRK62" s="3461"/>
      <c r="WRL62" s="3461"/>
      <c r="WRM62" s="3461"/>
      <c r="WRN62" s="3461"/>
      <c r="WRO62" s="3461"/>
      <c r="WRP62" s="3461"/>
      <c r="WRQ62" s="3461"/>
      <c r="WRR62" s="3461"/>
      <c r="WRS62" s="3461"/>
      <c r="WRT62" s="3461"/>
      <c r="WRU62" s="3461"/>
      <c r="WRV62" s="3461"/>
      <c r="WRW62" s="3461"/>
      <c r="WRX62" s="3461"/>
      <c r="WRY62" s="3461"/>
      <c r="WRZ62" s="3461"/>
      <c r="WSA62" s="3461"/>
      <c r="WSB62" s="3461"/>
      <c r="WSC62" s="3461"/>
      <c r="WSD62" s="3461"/>
      <c r="WSE62" s="3461"/>
      <c r="WSF62" s="3461"/>
      <c r="WSG62" s="3461"/>
      <c r="WSH62" s="3461"/>
      <c r="WSI62" s="3461"/>
      <c r="WSJ62" s="3461"/>
      <c r="WSK62" s="3461"/>
      <c r="WSL62" s="3461"/>
      <c r="WSM62" s="3461"/>
      <c r="WSN62" s="3461"/>
      <c r="WSO62" s="3461"/>
      <c r="WSP62" s="3461"/>
      <c r="WSQ62" s="3461"/>
      <c r="WSR62" s="3461"/>
      <c r="WSS62" s="3461"/>
      <c r="WST62" s="3461"/>
      <c r="WSU62" s="3461"/>
      <c r="WSV62" s="3461"/>
      <c r="WSW62" s="3461"/>
      <c r="WSX62" s="3461"/>
      <c r="WSY62" s="3461"/>
      <c r="WSZ62" s="3461"/>
      <c r="WTA62" s="3461"/>
      <c r="WTB62" s="3461"/>
      <c r="WTC62" s="3461"/>
      <c r="WTD62" s="3461"/>
      <c r="WTE62" s="3461"/>
      <c r="WTF62" s="3461"/>
      <c r="WTG62" s="3461"/>
      <c r="WTH62" s="3461"/>
      <c r="WTI62" s="3461"/>
      <c r="WTJ62" s="3461"/>
      <c r="WTK62" s="3461"/>
      <c r="WTL62" s="3461"/>
      <c r="WTM62" s="3461"/>
      <c r="WTN62" s="3461"/>
      <c r="WTO62" s="3461"/>
      <c r="WTP62" s="3461"/>
      <c r="WTQ62" s="3461"/>
      <c r="WTR62" s="3461"/>
      <c r="WTS62" s="3461"/>
      <c r="WTT62" s="3461"/>
      <c r="WTU62" s="3461"/>
      <c r="WTV62" s="3461"/>
      <c r="WTW62" s="3461"/>
      <c r="WTX62" s="3461"/>
      <c r="WTY62" s="3461"/>
      <c r="WTZ62" s="3461"/>
      <c r="WUA62" s="3461"/>
      <c r="WUB62" s="3461"/>
      <c r="WUC62" s="3461"/>
      <c r="WUD62" s="3461"/>
      <c r="WUE62" s="3461"/>
      <c r="WUF62" s="3461"/>
      <c r="WUG62" s="3461"/>
      <c r="WUH62" s="3461"/>
      <c r="WUI62" s="3461"/>
      <c r="WUJ62" s="3461"/>
      <c r="WUK62" s="3461"/>
      <c r="WUL62" s="3461"/>
      <c r="WUM62" s="3461"/>
      <c r="WUN62" s="3461"/>
      <c r="WUO62" s="3461"/>
      <c r="WUP62" s="3461"/>
      <c r="WUQ62" s="3461"/>
      <c r="WUR62" s="3461"/>
      <c r="WUS62" s="3461"/>
      <c r="WUT62" s="3461"/>
      <c r="WUU62" s="3461"/>
      <c r="WUV62" s="3461"/>
      <c r="WUW62" s="3461"/>
      <c r="WUX62" s="3461"/>
      <c r="WUY62" s="3461"/>
      <c r="WUZ62" s="3461"/>
      <c r="WVA62" s="3461"/>
      <c r="WVB62" s="3461"/>
      <c r="WVC62" s="3461"/>
      <c r="WVD62" s="3461"/>
      <c r="WVE62" s="3461"/>
      <c r="WVF62" s="3461"/>
      <c r="WVG62" s="3461"/>
      <c r="WVH62" s="3461"/>
      <c r="WVI62" s="3461"/>
      <c r="WVJ62" s="3461"/>
      <c r="WVK62" s="3461"/>
      <c r="WVL62" s="3461"/>
      <c r="WVM62" s="3461"/>
      <c r="WVN62" s="3461"/>
      <c r="WVO62" s="3461"/>
      <c r="WVP62" s="3461"/>
      <c r="WVQ62" s="3461"/>
      <c r="WVR62" s="3461"/>
      <c r="WVS62" s="3461"/>
      <c r="WVT62" s="3461"/>
      <c r="WVU62" s="3461"/>
      <c r="WVV62" s="3461"/>
      <c r="WVW62" s="3461"/>
      <c r="WVX62" s="3461"/>
      <c r="WVY62" s="3461"/>
      <c r="WVZ62" s="3461"/>
      <c r="WWA62" s="3461"/>
      <c r="WWB62" s="3461"/>
      <c r="WWC62" s="3461"/>
      <c r="WWD62" s="3461"/>
      <c r="WWE62" s="3461"/>
      <c r="WWF62" s="3461"/>
      <c r="WWG62" s="3461"/>
      <c r="WWH62" s="3461"/>
      <c r="WWI62" s="3461"/>
      <c r="WWJ62" s="3461"/>
      <c r="WWK62" s="3461"/>
      <c r="WWL62" s="3461"/>
      <c r="WWM62" s="3461"/>
      <c r="WWN62" s="3461"/>
      <c r="WWO62" s="3461"/>
      <c r="WWP62" s="3461"/>
      <c r="WWQ62" s="3461"/>
      <c r="WWR62" s="3461"/>
      <c r="WWS62" s="3461"/>
      <c r="WWT62" s="3461"/>
      <c r="WWU62" s="3461"/>
      <c r="WWV62" s="3461"/>
      <c r="WWW62" s="3461"/>
      <c r="WWX62" s="3461"/>
      <c r="WWY62" s="3461"/>
      <c r="WWZ62" s="3461"/>
      <c r="WXA62" s="3461"/>
      <c r="WXB62" s="3461"/>
      <c r="WXC62" s="3461"/>
      <c r="WXD62" s="3461"/>
      <c r="WXE62" s="3461"/>
      <c r="WXF62" s="3461"/>
      <c r="WXG62" s="3461"/>
      <c r="WXH62" s="3461"/>
      <c r="WXI62" s="3461"/>
      <c r="WXJ62" s="3461"/>
      <c r="WXK62" s="3461"/>
      <c r="WXL62" s="3461"/>
      <c r="WXM62" s="3461"/>
      <c r="WXN62" s="3461"/>
      <c r="WXO62" s="3461"/>
      <c r="WXP62" s="3461"/>
      <c r="WXQ62" s="3461"/>
      <c r="WXR62" s="3461"/>
      <c r="WXS62" s="3461"/>
      <c r="WXT62" s="3461"/>
      <c r="WXU62" s="3461"/>
      <c r="WXV62" s="3461"/>
      <c r="WXW62" s="3461"/>
      <c r="WXX62" s="3461"/>
      <c r="WXY62" s="3461"/>
      <c r="WXZ62" s="3461"/>
      <c r="WYA62" s="3461"/>
      <c r="WYB62" s="3461"/>
      <c r="WYC62" s="3461"/>
      <c r="WYD62" s="3461"/>
      <c r="WYE62" s="3461"/>
      <c r="WYF62" s="3461"/>
      <c r="WYG62" s="3461"/>
      <c r="WYH62" s="3461"/>
      <c r="WYI62" s="3461"/>
      <c r="WYJ62" s="3461"/>
      <c r="WYK62" s="3461"/>
      <c r="WYL62" s="3461"/>
      <c r="WYM62" s="3461"/>
      <c r="WYN62" s="3461"/>
      <c r="WYO62" s="3461"/>
      <c r="WYP62" s="3461"/>
      <c r="WYQ62" s="3461"/>
      <c r="WYR62" s="3461"/>
      <c r="WYS62" s="3461"/>
      <c r="WYT62" s="3461"/>
      <c r="WYU62" s="3461"/>
      <c r="WYV62" s="3461"/>
      <c r="WYW62" s="3461"/>
      <c r="WYX62" s="3461"/>
      <c r="WYY62" s="3461"/>
      <c r="WYZ62" s="3461"/>
      <c r="WZA62" s="3461"/>
      <c r="WZB62" s="3461"/>
      <c r="WZC62" s="3461"/>
      <c r="WZD62" s="3461"/>
      <c r="WZE62" s="3461"/>
      <c r="WZF62" s="3461"/>
      <c r="WZG62" s="3461"/>
      <c r="WZH62" s="3461"/>
      <c r="WZI62" s="3461"/>
      <c r="WZJ62" s="3461"/>
      <c r="WZK62" s="3461"/>
      <c r="WZL62" s="3461"/>
      <c r="WZM62" s="3461"/>
      <c r="WZN62" s="3461"/>
      <c r="WZO62" s="3461"/>
      <c r="WZP62" s="3461"/>
      <c r="WZQ62" s="3461"/>
      <c r="WZR62" s="3461"/>
      <c r="WZS62" s="3461"/>
      <c r="WZT62" s="3461"/>
      <c r="WZU62" s="3461"/>
      <c r="WZV62" s="3461"/>
      <c r="WZW62" s="3461"/>
      <c r="WZX62" s="3461"/>
      <c r="WZY62" s="3461"/>
      <c r="WZZ62" s="3461"/>
      <c r="XAA62" s="3461"/>
      <c r="XAB62" s="3461"/>
      <c r="XAC62" s="3461"/>
      <c r="XAD62" s="3461"/>
      <c r="XAE62" s="3461"/>
      <c r="XAF62" s="3461"/>
      <c r="XAG62" s="3461"/>
      <c r="XAH62" s="3461"/>
      <c r="XAI62" s="3461"/>
      <c r="XAJ62" s="3461"/>
      <c r="XAK62" s="3461"/>
      <c r="XAL62" s="3461"/>
      <c r="XAM62" s="3461"/>
      <c r="XAN62" s="3461"/>
      <c r="XAO62" s="3461"/>
      <c r="XAP62" s="3461"/>
      <c r="XAQ62" s="3461"/>
      <c r="XAR62" s="3461"/>
      <c r="XAS62" s="3461"/>
      <c r="XAT62" s="3461"/>
      <c r="XAU62" s="3461"/>
      <c r="XAV62" s="3461"/>
      <c r="XAW62" s="3461"/>
      <c r="XAX62" s="3461"/>
      <c r="XAY62" s="3461"/>
      <c r="XAZ62" s="3461"/>
      <c r="XBA62" s="3461"/>
      <c r="XBB62" s="3461"/>
      <c r="XBC62" s="3461"/>
      <c r="XBD62" s="3461"/>
      <c r="XBE62" s="3461"/>
      <c r="XBF62" s="3461"/>
      <c r="XBG62" s="3461"/>
      <c r="XBH62" s="3461"/>
      <c r="XBI62" s="3461"/>
      <c r="XBJ62" s="3461"/>
      <c r="XBK62" s="3461"/>
      <c r="XBL62" s="3461"/>
      <c r="XBM62" s="3461"/>
      <c r="XBN62" s="3461"/>
      <c r="XBO62" s="3461"/>
      <c r="XBP62" s="3461"/>
      <c r="XBQ62" s="3461"/>
      <c r="XBR62" s="3461"/>
      <c r="XBS62" s="3461"/>
      <c r="XBT62" s="3461"/>
      <c r="XBU62" s="3461"/>
      <c r="XBV62" s="3461"/>
      <c r="XBW62" s="3461"/>
      <c r="XBX62" s="3461"/>
      <c r="XBY62" s="3461"/>
      <c r="XBZ62" s="3461"/>
      <c r="XCA62" s="3461"/>
      <c r="XCB62" s="3461"/>
      <c r="XCC62" s="3461"/>
      <c r="XCD62" s="3461"/>
      <c r="XCE62" s="3461"/>
      <c r="XCF62" s="3461"/>
      <c r="XCG62" s="3461"/>
      <c r="XCH62" s="3461"/>
      <c r="XCI62" s="3461"/>
      <c r="XCJ62" s="3461"/>
      <c r="XCK62" s="3461"/>
      <c r="XCL62" s="3461"/>
      <c r="XCM62" s="3461"/>
      <c r="XCN62" s="3461"/>
      <c r="XCO62" s="3461"/>
      <c r="XCP62" s="3461"/>
      <c r="XCQ62" s="3461"/>
      <c r="XCR62" s="3461"/>
      <c r="XCS62" s="3461"/>
      <c r="XCT62" s="3461"/>
      <c r="XCU62" s="3461"/>
      <c r="XCV62" s="3461"/>
      <c r="XCW62" s="3461"/>
      <c r="XCX62" s="3461"/>
      <c r="XCY62" s="3461"/>
      <c r="XCZ62" s="3461"/>
      <c r="XDA62" s="3461"/>
      <c r="XDB62" s="3461"/>
      <c r="XDC62" s="3461"/>
      <c r="XDD62" s="3461"/>
      <c r="XDE62" s="3461"/>
      <c r="XDF62" s="3461"/>
      <c r="XDG62" s="3461"/>
      <c r="XDH62" s="3461"/>
      <c r="XDI62" s="3461"/>
      <c r="XDJ62" s="3461"/>
      <c r="XDK62" s="3461"/>
      <c r="XDL62" s="3461"/>
      <c r="XDM62" s="3461"/>
      <c r="XDN62" s="3461"/>
      <c r="XDO62" s="3461"/>
      <c r="XDP62" s="3461"/>
      <c r="XDQ62" s="3461"/>
      <c r="XDR62" s="3461"/>
      <c r="XDS62" s="3461"/>
      <c r="XDT62" s="3461"/>
      <c r="XDU62" s="3461"/>
      <c r="XDV62" s="3461"/>
      <c r="XDW62" s="3461"/>
      <c r="XDX62" s="3461"/>
      <c r="XDY62" s="3461"/>
      <c r="XDZ62" s="3461"/>
      <c r="XEA62" s="3461"/>
      <c r="XEB62" s="3461"/>
      <c r="XEC62" s="3461"/>
      <c r="XED62" s="3461"/>
      <c r="XEE62" s="3461"/>
      <c r="XEF62" s="3461"/>
      <c r="XEG62" s="3461"/>
      <c r="XEH62" s="3461"/>
      <c r="XEI62" s="3461"/>
      <c r="XEJ62" s="3461"/>
      <c r="XEK62" s="3461"/>
      <c r="XEL62" s="3461"/>
      <c r="XEM62" s="3461"/>
      <c r="XEN62" s="3461"/>
      <c r="XEO62" s="3461"/>
      <c r="XEP62" s="3461"/>
      <c r="XEQ62" s="3461"/>
      <c r="XER62" s="3461"/>
      <c r="XES62" s="3461"/>
      <c r="XET62" s="3461"/>
      <c r="XEU62" s="3461"/>
      <c r="XEV62" s="3461"/>
      <c r="XEW62" s="3461"/>
      <c r="XEX62" s="3461"/>
      <c r="XEY62" s="3461"/>
      <c r="XEZ62" s="3461"/>
      <c r="XFA62" s="3461"/>
      <c r="XFB62" s="3461"/>
    </row>
    <row r="63" spans="1:16382" s="3462" customFormat="1" ht="15" customHeight="1">
      <c r="A63" s="3434"/>
      <c r="B63" s="3543"/>
      <c r="C63" s="3545" t="s">
        <v>1227</v>
      </c>
      <c r="D63" s="3546"/>
      <c r="E63" s="3547"/>
      <c r="F63" s="3548"/>
      <c r="G63" s="3549"/>
      <c r="H63" s="3550" t="s">
        <v>4503</v>
      </c>
      <c r="I63" s="3551">
        <f ca="1">SUM(M63:BA63)</f>
        <v>48842.942083394999</v>
      </c>
      <c r="J63" s="3552"/>
      <c r="K63" s="3552"/>
      <c r="L63" s="3552"/>
      <c r="M63" s="3552">
        <f t="shared" ref="M63:BA63" si="17">SUM(M66:M67,M70:M79,M84,M86:M90,M95:M102)*M7</f>
        <v>0</v>
      </c>
      <c r="N63" s="3553">
        <f t="shared" si="17"/>
        <v>0</v>
      </c>
      <c r="O63" s="3554">
        <f t="shared" si="17"/>
        <v>0</v>
      </c>
      <c r="P63" s="3554">
        <f t="shared" ca="1" si="17"/>
        <v>515.1</v>
      </c>
      <c r="Q63" s="3554">
        <f t="shared" ca="1" si="17"/>
        <v>0</v>
      </c>
      <c r="R63" s="3554">
        <f t="shared" ca="1" si="17"/>
        <v>0</v>
      </c>
      <c r="S63" s="3554">
        <f t="shared" ca="1" si="17"/>
        <v>0</v>
      </c>
      <c r="T63" s="3554">
        <f t="shared" ca="1" si="17"/>
        <v>495.02573359709999</v>
      </c>
      <c r="U63" s="3554">
        <f t="shared" ca="1" si="17"/>
        <v>244.14963463822997</v>
      </c>
      <c r="V63" s="3554">
        <f t="shared" ca="1" si="17"/>
        <v>0</v>
      </c>
      <c r="W63" s="3554">
        <f t="shared" ca="1" si="17"/>
        <v>1786.713564286332</v>
      </c>
      <c r="X63" s="3555">
        <f t="shared" ca="1" si="17"/>
        <v>2624.844654442466</v>
      </c>
      <c r="Y63" s="3554">
        <f t="shared" ca="1" si="17"/>
        <v>1735.0962497109035</v>
      </c>
      <c r="Z63" s="3554">
        <f t="shared" ca="1" si="17"/>
        <v>2949.827108583097</v>
      </c>
      <c r="AA63" s="3554">
        <f t="shared" ca="1" si="17"/>
        <v>90.146002410557585</v>
      </c>
      <c r="AB63" s="3554">
        <f t="shared" ca="1" si="17"/>
        <v>3414.2798412998686</v>
      </c>
      <c r="AC63" s="3554">
        <f t="shared" ca="1" si="17"/>
        <v>4368.0020103029647</v>
      </c>
      <c r="AD63" s="3554">
        <f t="shared" ca="1" si="17"/>
        <v>5931.1117604360343</v>
      </c>
      <c r="AE63" s="3554">
        <f t="shared" ca="1" si="17"/>
        <v>2213.828481615943</v>
      </c>
      <c r="AF63" s="3554">
        <f t="shared" ca="1" si="17"/>
        <v>0</v>
      </c>
      <c r="AG63" s="3554">
        <f t="shared" ca="1" si="17"/>
        <v>3583.059763419405</v>
      </c>
      <c r="AH63" s="3554">
        <f t="shared" ca="1" si="17"/>
        <v>1625.5105928217718</v>
      </c>
      <c r="AI63" s="3554">
        <f t="shared" ca="1" si="17"/>
        <v>3014.7967431018392</v>
      </c>
      <c r="AJ63" s="3554">
        <f t="shared" ca="1" si="17"/>
        <v>3093.3037702720917</v>
      </c>
      <c r="AK63" s="3554">
        <f t="shared" ca="1" si="17"/>
        <v>746.82951585055287</v>
      </c>
      <c r="AL63" s="3554">
        <f t="shared" ca="1" si="17"/>
        <v>0</v>
      </c>
      <c r="AM63" s="3554">
        <f t="shared" ca="1" si="17"/>
        <v>101.5787718825532</v>
      </c>
      <c r="AN63" s="3554">
        <f t="shared" ca="1" si="17"/>
        <v>885.8527248781046</v>
      </c>
      <c r="AO63" s="3554">
        <f t="shared" ca="1" si="17"/>
        <v>297.90895244250345</v>
      </c>
      <c r="AP63" s="3554">
        <f t="shared" ca="1" si="17"/>
        <v>0</v>
      </c>
      <c r="AQ63" s="3554">
        <f t="shared" ca="1" si="17"/>
        <v>2840.7755788312402</v>
      </c>
      <c r="AR63" s="3555">
        <f t="shared" ca="1" si="17"/>
        <v>0</v>
      </c>
      <c r="AS63" s="3554">
        <f t="shared" ca="1" si="17"/>
        <v>3977.1786654077268</v>
      </c>
      <c r="AT63" s="3554">
        <f t="shared" ca="1" si="17"/>
        <v>694.27697628798001</v>
      </c>
      <c r="AU63" s="3554">
        <f t="shared" ca="1" si="17"/>
        <v>0</v>
      </c>
      <c r="AV63" s="3554">
        <f t="shared" ca="1" si="17"/>
        <v>0</v>
      </c>
      <c r="AW63" s="3554">
        <f t="shared" ca="1" si="17"/>
        <v>0</v>
      </c>
      <c r="AX63" s="3554">
        <f t="shared" ca="1" si="17"/>
        <v>667.2198980907275</v>
      </c>
      <c r="AY63" s="3554">
        <f t="shared" ca="1" si="17"/>
        <v>0</v>
      </c>
      <c r="AZ63" s="3554">
        <f t="shared" ca="1" si="17"/>
        <v>216.76147071412456</v>
      </c>
      <c r="BA63" s="3556">
        <f t="shared" ca="1" si="17"/>
        <v>729.76361807088608</v>
      </c>
      <c r="BB63" s="3461"/>
      <c r="BC63" s="3461"/>
      <c r="BD63" s="3461"/>
      <c r="BE63" s="3461"/>
      <c r="BF63" s="3461"/>
      <c r="BG63" s="3461"/>
      <c r="BH63" s="3461"/>
      <c r="BI63" s="3461"/>
      <c r="BJ63" s="3461"/>
      <c r="BK63" s="3461"/>
      <c r="BL63" s="3461"/>
      <c r="BM63" s="3461"/>
      <c r="BN63" s="3461"/>
      <c r="BO63" s="3461"/>
      <c r="BP63" s="3461"/>
      <c r="BQ63" s="3461"/>
      <c r="BR63" s="3461"/>
      <c r="BS63" s="3461"/>
      <c r="BT63" s="3461"/>
      <c r="BU63" s="3461"/>
      <c r="BV63" s="3461"/>
      <c r="BW63" s="3461"/>
      <c r="BX63" s="3461"/>
      <c r="BY63" s="3461"/>
      <c r="BZ63" s="3461"/>
      <c r="CA63" s="3461"/>
      <c r="CB63" s="3461"/>
      <c r="CC63" s="3461"/>
      <c r="CD63" s="3461"/>
      <c r="CE63" s="3461"/>
      <c r="CF63" s="3461"/>
      <c r="CG63" s="3461"/>
      <c r="CH63" s="3461"/>
      <c r="CI63" s="3461"/>
      <c r="CJ63" s="3461"/>
      <c r="CK63" s="3461"/>
      <c r="CL63" s="3461"/>
      <c r="CM63" s="3461"/>
      <c r="CN63" s="3461"/>
      <c r="CO63" s="3461"/>
      <c r="CP63" s="3461"/>
      <c r="CQ63" s="3461"/>
      <c r="CR63" s="3461"/>
      <c r="CS63" s="3461"/>
      <c r="CT63" s="3461"/>
      <c r="CU63" s="3461"/>
      <c r="CV63" s="3461"/>
      <c r="CW63" s="3461"/>
      <c r="CX63" s="3461"/>
      <c r="CY63" s="3461"/>
      <c r="CZ63" s="3461"/>
      <c r="DA63" s="3461"/>
      <c r="DB63" s="3461"/>
      <c r="DC63" s="3461"/>
      <c r="DD63" s="3461"/>
      <c r="DE63" s="3461"/>
      <c r="DF63" s="3461"/>
      <c r="DG63" s="3461"/>
      <c r="DH63" s="3461"/>
      <c r="DI63" s="3461"/>
      <c r="DJ63" s="3461"/>
      <c r="DK63" s="3461"/>
      <c r="DL63" s="3461"/>
      <c r="DM63" s="3461"/>
      <c r="DN63" s="3461"/>
      <c r="DO63" s="3461"/>
      <c r="DP63" s="3461"/>
      <c r="DQ63" s="3461"/>
      <c r="DR63" s="3461"/>
      <c r="DS63" s="3461"/>
      <c r="DT63" s="3461"/>
      <c r="DU63" s="3461"/>
      <c r="DV63" s="3461"/>
      <c r="DW63" s="3461"/>
      <c r="DX63" s="3461"/>
      <c r="DY63" s="3461"/>
      <c r="DZ63" s="3461"/>
      <c r="EA63" s="3461"/>
      <c r="EB63" s="3461"/>
      <c r="EC63" s="3461"/>
      <c r="ED63" s="3461"/>
      <c r="EE63" s="3461"/>
      <c r="EF63" s="3461"/>
      <c r="EG63" s="3461"/>
      <c r="EH63" s="3461"/>
      <c r="EI63" s="3461"/>
      <c r="EJ63" s="3461"/>
      <c r="EK63" s="3461"/>
      <c r="EL63" s="3461"/>
      <c r="EM63" s="3461"/>
      <c r="EN63" s="3461"/>
      <c r="EO63" s="3461"/>
      <c r="EP63" s="3461"/>
      <c r="EQ63" s="3461"/>
      <c r="ER63" s="3461"/>
      <c r="ES63" s="3461"/>
      <c r="ET63" s="3461"/>
      <c r="EU63" s="3461"/>
      <c r="EV63" s="3461"/>
      <c r="EW63" s="3461"/>
      <c r="EX63" s="3461"/>
      <c r="EY63" s="3461"/>
      <c r="EZ63" s="3461"/>
      <c r="FA63" s="3461"/>
      <c r="FB63" s="3461"/>
      <c r="FC63" s="3461"/>
      <c r="FD63" s="3461"/>
      <c r="FE63" s="3461"/>
      <c r="FF63" s="3461"/>
      <c r="FG63" s="3461"/>
      <c r="FH63" s="3461"/>
      <c r="FI63" s="3461"/>
      <c r="FJ63" s="3461"/>
      <c r="FK63" s="3461"/>
      <c r="FL63" s="3461"/>
      <c r="FM63" s="3461"/>
      <c r="FN63" s="3461"/>
      <c r="FO63" s="3461"/>
      <c r="FP63" s="3461"/>
      <c r="FQ63" s="3461"/>
      <c r="FR63" s="3461"/>
      <c r="FS63" s="3461"/>
      <c r="FT63" s="3461"/>
      <c r="FU63" s="3461"/>
      <c r="FV63" s="3461"/>
      <c r="FW63" s="3461"/>
      <c r="FX63" s="3461"/>
      <c r="FY63" s="3461"/>
      <c r="FZ63" s="3461"/>
      <c r="GA63" s="3461"/>
      <c r="GB63" s="3461"/>
      <c r="GC63" s="3461"/>
      <c r="GD63" s="3461"/>
      <c r="GE63" s="3461"/>
      <c r="GF63" s="3461"/>
      <c r="GG63" s="3461"/>
      <c r="GH63" s="3461"/>
      <c r="GI63" s="3461"/>
      <c r="GJ63" s="3461"/>
      <c r="GK63" s="3461"/>
      <c r="GL63" s="3461"/>
      <c r="GM63" s="3461"/>
      <c r="GN63" s="3461"/>
      <c r="GO63" s="3461"/>
      <c r="GP63" s="3461"/>
      <c r="GQ63" s="3461"/>
      <c r="GR63" s="3461"/>
      <c r="GS63" s="3461"/>
      <c r="GT63" s="3461"/>
      <c r="GU63" s="3461"/>
      <c r="GV63" s="3461"/>
      <c r="GW63" s="3461"/>
      <c r="GX63" s="3461"/>
      <c r="GY63" s="3461"/>
      <c r="GZ63" s="3461"/>
      <c r="HA63" s="3461"/>
      <c r="HB63" s="3461"/>
      <c r="HC63" s="3461"/>
      <c r="HD63" s="3461"/>
      <c r="HE63" s="3461"/>
      <c r="HF63" s="3461"/>
      <c r="HG63" s="3461"/>
      <c r="HH63" s="3461"/>
      <c r="HI63" s="3461"/>
      <c r="HJ63" s="3461"/>
      <c r="HK63" s="3461"/>
      <c r="HL63" s="3461"/>
      <c r="HM63" s="3461"/>
      <c r="HN63" s="3461"/>
      <c r="HO63" s="3461"/>
      <c r="HP63" s="3461"/>
      <c r="HQ63" s="3461"/>
      <c r="HR63" s="3461"/>
      <c r="HS63" s="3461"/>
      <c r="HT63" s="3461"/>
      <c r="HU63" s="3461"/>
      <c r="HV63" s="3461"/>
      <c r="HW63" s="3461"/>
      <c r="HX63" s="3461"/>
      <c r="HY63" s="3461"/>
      <c r="HZ63" s="3461"/>
      <c r="IA63" s="3461"/>
      <c r="IB63" s="3461"/>
      <c r="IC63" s="3461"/>
      <c r="ID63" s="3461"/>
      <c r="IE63" s="3461"/>
      <c r="IF63" s="3461"/>
      <c r="IG63" s="3461"/>
      <c r="IH63" s="3461"/>
      <c r="II63" s="3461"/>
      <c r="IJ63" s="3461"/>
      <c r="IK63" s="3461"/>
      <c r="IL63" s="3461"/>
      <c r="IM63" s="3461"/>
      <c r="IN63" s="3461"/>
      <c r="IO63" s="3461"/>
      <c r="IP63" s="3461"/>
      <c r="IQ63" s="3461"/>
      <c r="IR63" s="3461"/>
      <c r="IS63" s="3461"/>
      <c r="IT63" s="3461"/>
      <c r="IU63" s="3461"/>
      <c r="IV63" s="3461"/>
      <c r="IW63" s="3461"/>
      <c r="IX63" s="3461"/>
      <c r="IY63" s="3461"/>
      <c r="IZ63" s="3461"/>
      <c r="JA63" s="3461"/>
      <c r="JB63" s="3461"/>
      <c r="JC63" s="3461"/>
      <c r="JD63" s="3461"/>
      <c r="JE63" s="3461"/>
      <c r="JF63" s="3461"/>
      <c r="JG63" s="3461"/>
      <c r="JH63" s="3461"/>
      <c r="JI63" s="3461"/>
      <c r="JJ63" s="3461"/>
      <c r="JK63" s="3461"/>
      <c r="JL63" s="3461"/>
      <c r="JM63" s="3461"/>
      <c r="JN63" s="3461"/>
      <c r="JO63" s="3461"/>
      <c r="JP63" s="3461"/>
      <c r="JQ63" s="3461"/>
      <c r="JR63" s="3461"/>
      <c r="JS63" s="3461"/>
      <c r="JT63" s="3461"/>
      <c r="JU63" s="3461"/>
      <c r="JV63" s="3461"/>
      <c r="JW63" s="3461"/>
      <c r="JX63" s="3461"/>
      <c r="JY63" s="3461"/>
      <c r="JZ63" s="3461"/>
      <c r="KA63" s="3461"/>
      <c r="KB63" s="3461"/>
      <c r="KC63" s="3461"/>
      <c r="KD63" s="3461"/>
      <c r="KE63" s="3461"/>
      <c r="KF63" s="3461"/>
      <c r="KG63" s="3461"/>
      <c r="KH63" s="3461"/>
      <c r="KI63" s="3461"/>
      <c r="KJ63" s="3461"/>
      <c r="KK63" s="3461"/>
      <c r="KL63" s="3461"/>
      <c r="KM63" s="3461"/>
      <c r="KN63" s="3461"/>
      <c r="KO63" s="3461"/>
      <c r="KP63" s="3461"/>
      <c r="KQ63" s="3461"/>
      <c r="KR63" s="3461"/>
      <c r="KS63" s="3461"/>
      <c r="KT63" s="3461"/>
      <c r="KU63" s="3461"/>
      <c r="KV63" s="3461"/>
      <c r="KW63" s="3461"/>
      <c r="KX63" s="3461"/>
      <c r="KY63" s="3461"/>
      <c r="KZ63" s="3461"/>
      <c r="LA63" s="3461"/>
      <c r="LB63" s="3461"/>
      <c r="LC63" s="3461"/>
      <c r="LD63" s="3461"/>
      <c r="LE63" s="3461"/>
      <c r="LF63" s="3461"/>
      <c r="LG63" s="3461"/>
      <c r="LH63" s="3461"/>
      <c r="LI63" s="3461"/>
      <c r="LJ63" s="3461"/>
      <c r="LK63" s="3461"/>
      <c r="LL63" s="3461"/>
      <c r="LM63" s="3461"/>
      <c r="LN63" s="3461"/>
      <c r="LO63" s="3461"/>
      <c r="LP63" s="3461"/>
      <c r="LQ63" s="3461"/>
      <c r="LR63" s="3461"/>
      <c r="LS63" s="3461"/>
      <c r="LT63" s="3461"/>
      <c r="LU63" s="3461"/>
      <c r="LV63" s="3461"/>
      <c r="LW63" s="3461"/>
      <c r="LX63" s="3461"/>
      <c r="LY63" s="3461"/>
      <c r="LZ63" s="3461"/>
      <c r="MA63" s="3461"/>
      <c r="MB63" s="3461"/>
      <c r="MC63" s="3461"/>
      <c r="MD63" s="3461"/>
      <c r="ME63" s="3461"/>
      <c r="MF63" s="3461"/>
      <c r="MG63" s="3461"/>
      <c r="MH63" s="3461"/>
      <c r="MI63" s="3461"/>
      <c r="MJ63" s="3461"/>
      <c r="MK63" s="3461"/>
      <c r="ML63" s="3461"/>
      <c r="MM63" s="3461"/>
      <c r="MN63" s="3461"/>
      <c r="MO63" s="3461"/>
      <c r="MP63" s="3461"/>
      <c r="MQ63" s="3461"/>
      <c r="MR63" s="3461"/>
      <c r="MS63" s="3461"/>
      <c r="MT63" s="3461"/>
      <c r="MU63" s="3461"/>
      <c r="MV63" s="3461"/>
      <c r="MW63" s="3461"/>
      <c r="MX63" s="3461"/>
      <c r="MY63" s="3461"/>
      <c r="MZ63" s="3461"/>
      <c r="NA63" s="3461"/>
      <c r="NB63" s="3461"/>
      <c r="NC63" s="3461"/>
      <c r="ND63" s="3461"/>
      <c r="NE63" s="3461"/>
      <c r="NF63" s="3461"/>
      <c r="NG63" s="3461"/>
      <c r="NH63" s="3461"/>
      <c r="NI63" s="3461"/>
      <c r="NJ63" s="3461"/>
      <c r="NK63" s="3461"/>
      <c r="NL63" s="3461"/>
      <c r="NM63" s="3461"/>
      <c r="NN63" s="3461"/>
      <c r="NO63" s="3461"/>
      <c r="NP63" s="3461"/>
      <c r="NQ63" s="3461"/>
      <c r="NR63" s="3461"/>
      <c r="NS63" s="3461"/>
      <c r="NT63" s="3461"/>
      <c r="NU63" s="3461"/>
      <c r="NV63" s="3461"/>
      <c r="NW63" s="3461"/>
      <c r="NX63" s="3461"/>
      <c r="NY63" s="3461"/>
      <c r="NZ63" s="3461"/>
      <c r="OA63" s="3461"/>
      <c r="OB63" s="3461"/>
      <c r="OC63" s="3461"/>
      <c r="OD63" s="3461"/>
      <c r="OE63" s="3461"/>
      <c r="OF63" s="3461"/>
      <c r="OG63" s="3461"/>
      <c r="OH63" s="3461"/>
      <c r="OI63" s="3461"/>
      <c r="OJ63" s="3461"/>
      <c r="OK63" s="3461"/>
      <c r="OL63" s="3461"/>
      <c r="OM63" s="3461"/>
      <c r="ON63" s="3461"/>
      <c r="OO63" s="3461"/>
      <c r="OP63" s="3461"/>
      <c r="OQ63" s="3461"/>
      <c r="OR63" s="3461"/>
      <c r="OS63" s="3461"/>
      <c r="OT63" s="3461"/>
      <c r="OU63" s="3461"/>
      <c r="OV63" s="3461"/>
      <c r="OW63" s="3461"/>
      <c r="OX63" s="3461"/>
      <c r="OY63" s="3461"/>
      <c r="OZ63" s="3461"/>
      <c r="PA63" s="3461"/>
      <c r="PB63" s="3461"/>
      <c r="PC63" s="3461"/>
      <c r="PD63" s="3461"/>
      <c r="PE63" s="3461"/>
      <c r="PF63" s="3461"/>
      <c r="PG63" s="3461"/>
      <c r="PH63" s="3461"/>
      <c r="PI63" s="3461"/>
      <c r="PJ63" s="3461"/>
      <c r="PK63" s="3461"/>
      <c r="PL63" s="3461"/>
      <c r="PM63" s="3461"/>
      <c r="PN63" s="3461"/>
      <c r="PO63" s="3461"/>
      <c r="PP63" s="3461"/>
      <c r="PQ63" s="3461"/>
      <c r="PR63" s="3461"/>
      <c r="PS63" s="3461"/>
      <c r="PT63" s="3461"/>
      <c r="PU63" s="3461"/>
      <c r="PV63" s="3461"/>
      <c r="PW63" s="3461"/>
      <c r="PX63" s="3461"/>
      <c r="PY63" s="3461"/>
      <c r="PZ63" s="3461"/>
      <c r="QA63" s="3461"/>
      <c r="QB63" s="3461"/>
      <c r="QC63" s="3461"/>
      <c r="QD63" s="3461"/>
      <c r="QE63" s="3461"/>
      <c r="QF63" s="3461"/>
      <c r="QG63" s="3461"/>
      <c r="QH63" s="3461"/>
      <c r="QI63" s="3461"/>
      <c r="QJ63" s="3461"/>
      <c r="QK63" s="3461"/>
      <c r="QL63" s="3461"/>
      <c r="QM63" s="3461"/>
      <c r="QN63" s="3461"/>
      <c r="QO63" s="3461"/>
      <c r="QP63" s="3461"/>
      <c r="QQ63" s="3461"/>
      <c r="QR63" s="3461"/>
      <c r="QS63" s="3461"/>
      <c r="QT63" s="3461"/>
      <c r="QU63" s="3461"/>
      <c r="QV63" s="3461"/>
      <c r="QW63" s="3461"/>
      <c r="QX63" s="3461"/>
      <c r="QY63" s="3461"/>
      <c r="QZ63" s="3461"/>
      <c r="RA63" s="3461"/>
      <c r="RB63" s="3461"/>
      <c r="RC63" s="3461"/>
      <c r="RD63" s="3461"/>
      <c r="RE63" s="3461"/>
      <c r="RF63" s="3461"/>
      <c r="RG63" s="3461"/>
      <c r="RH63" s="3461"/>
      <c r="RI63" s="3461"/>
      <c r="RJ63" s="3461"/>
      <c r="RK63" s="3461"/>
      <c r="RL63" s="3461"/>
      <c r="RM63" s="3461"/>
      <c r="RN63" s="3461"/>
      <c r="RO63" s="3461"/>
      <c r="RP63" s="3461"/>
      <c r="RQ63" s="3461"/>
      <c r="RR63" s="3461"/>
      <c r="RS63" s="3461"/>
      <c r="RT63" s="3461"/>
      <c r="RU63" s="3461"/>
      <c r="RV63" s="3461"/>
      <c r="RW63" s="3461"/>
      <c r="RX63" s="3461"/>
      <c r="RY63" s="3461"/>
      <c r="RZ63" s="3461"/>
      <c r="SA63" s="3461"/>
      <c r="SB63" s="3461"/>
      <c r="SC63" s="3461"/>
      <c r="SD63" s="3461"/>
      <c r="SE63" s="3461"/>
      <c r="SF63" s="3461"/>
      <c r="SG63" s="3461"/>
      <c r="SH63" s="3461"/>
      <c r="SI63" s="3461"/>
      <c r="SJ63" s="3461"/>
      <c r="SK63" s="3461"/>
      <c r="SL63" s="3461"/>
      <c r="SM63" s="3461"/>
      <c r="SN63" s="3461"/>
      <c r="SO63" s="3461"/>
      <c r="SP63" s="3461"/>
      <c r="SQ63" s="3461"/>
      <c r="SR63" s="3461"/>
      <c r="SS63" s="3461"/>
      <c r="ST63" s="3461"/>
      <c r="SU63" s="3461"/>
      <c r="SV63" s="3461"/>
      <c r="SW63" s="3461"/>
      <c r="SX63" s="3461"/>
      <c r="SY63" s="3461"/>
      <c r="SZ63" s="3461"/>
      <c r="TA63" s="3461"/>
      <c r="TB63" s="3461"/>
      <c r="TC63" s="3461"/>
      <c r="TD63" s="3461"/>
      <c r="TE63" s="3461"/>
      <c r="TF63" s="3461"/>
      <c r="TG63" s="3461"/>
      <c r="TH63" s="3461"/>
      <c r="TI63" s="3461"/>
      <c r="TJ63" s="3461"/>
      <c r="TK63" s="3461"/>
      <c r="TL63" s="3461"/>
      <c r="TM63" s="3461"/>
      <c r="TN63" s="3461"/>
      <c r="TO63" s="3461"/>
      <c r="TP63" s="3461"/>
      <c r="TQ63" s="3461"/>
      <c r="TR63" s="3461"/>
      <c r="TS63" s="3461"/>
      <c r="TT63" s="3461"/>
      <c r="TU63" s="3461"/>
      <c r="TV63" s="3461"/>
      <c r="TW63" s="3461"/>
      <c r="TX63" s="3461"/>
      <c r="TY63" s="3461"/>
      <c r="TZ63" s="3461"/>
      <c r="UA63" s="3461"/>
      <c r="UB63" s="3461"/>
      <c r="UC63" s="3461"/>
      <c r="UD63" s="3461"/>
      <c r="UE63" s="3461"/>
      <c r="UF63" s="3461"/>
      <c r="UG63" s="3461"/>
      <c r="UH63" s="3461"/>
      <c r="UI63" s="3461"/>
      <c r="UJ63" s="3461"/>
      <c r="UK63" s="3461"/>
      <c r="UL63" s="3461"/>
      <c r="UM63" s="3461"/>
      <c r="UN63" s="3461"/>
      <c r="UO63" s="3461"/>
      <c r="UP63" s="3461"/>
      <c r="UQ63" s="3461"/>
      <c r="UR63" s="3461"/>
      <c r="US63" s="3461"/>
      <c r="UT63" s="3461"/>
      <c r="UU63" s="3461"/>
      <c r="UV63" s="3461"/>
      <c r="UW63" s="3461"/>
      <c r="UX63" s="3461"/>
      <c r="UY63" s="3461"/>
      <c r="UZ63" s="3461"/>
      <c r="VA63" s="3461"/>
      <c r="VB63" s="3461"/>
      <c r="VC63" s="3461"/>
      <c r="VD63" s="3461"/>
      <c r="VE63" s="3461"/>
      <c r="VF63" s="3461"/>
      <c r="VG63" s="3461"/>
      <c r="VH63" s="3461"/>
      <c r="VI63" s="3461"/>
      <c r="VJ63" s="3461"/>
      <c r="VK63" s="3461"/>
      <c r="VL63" s="3461"/>
      <c r="VM63" s="3461"/>
      <c r="VN63" s="3461"/>
      <c r="VO63" s="3461"/>
      <c r="VP63" s="3461"/>
      <c r="VQ63" s="3461"/>
      <c r="VR63" s="3461"/>
      <c r="VS63" s="3461"/>
      <c r="VT63" s="3461"/>
      <c r="VU63" s="3461"/>
      <c r="VV63" s="3461"/>
      <c r="VW63" s="3461"/>
      <c r="VX63" s="3461"/>
      <c r="VY63" s="3461"/>
      <c r="VZ63" s="3461"/>
      <c r="WA63" s="3461"/>
      <c r="WB63" s="3461"/>
      <c r="WC63" s="3461"/>
      <c r="WD63" s="3461"/>
      <c r="WE63" s="3461"/>
      <c r="WF63" s="3461"/>
      <c r="WG63" s="3461"/>
      <c r="WH63" s="3461"/>
      <c r="WI63" s="3461"/>
      <c r="WJ63" s="3461"/>
      <c r="WK63" s="3461"/>
      <c r="WL63" s="3461"/>
      <c r="WM63" s="3461"/>
      <c r="WN63" s="3461"/>
      <c r="WO63" s="3461"/>
      <c r="WP63" s="3461"/>
      <c r="WQ63" s="3461"/>
      <c r="WR63" s="3461"/>
      <c r="WS63" s="3461"/>
      <c r="WT63" s="3461"/>
      <c r="WU63" s="3461"/>
      <c r="WV63" s="3461"/>
      <c r="WW63" s="3461"/>
      <c r="WX63" s="3461"/>
      <c r="WY63" s="3461"/>
      <c r="WZ63" s="3461"/>
      <c r="XA63" s="3461"/>
      <c r="XB63" s="3461"/>
      <c r="XC63" s="3461"/>
      <c r="XD63" s="3461"/>
      <c r="XE63" s="3461"/>
      <c r="XF63" s="3461"/>
      <c r="XG63" s="3461"/>
      <c r="XH63" s="3461"/>
      <c r="XI63" s="3461"/>
      <c r="XJ63" s="3461"/>
      <c r="XK63" s="3461"/>
      <c r="XL63" s="3461"/>
      <c r="XM63" s="3461"/>
      <c r="XN63" s="3461"/>
      <c r="XO63" s="3461"/>
      <c r="XP63" s="3461"/>
      <c r="XQ63" s="3461"/>
      <c r="XR63" s="3461"/>
      <c r="XS63" s="3461"/>
      <c r="XT63" s="3461"/>
      <c r="XU63" s="3461"/>
      <c r="XV63" s="3461"/>
      <c r="XW63" s="3461"/>
      <c r="XX63" s="3461"/>
      <c r="XY63" s="3461"/>
      <c r="XZ63" s="3461"/>
      <c r="YA63" s="3461"/>
      <c r="YB63" s="3461"/>
      <c r="YC63" s="3461"/>
      <c r="YD63" s="3461"/>
      <c r="YE63" s="3461"/>
      <c r="YF63" s="3461"/>
      <c r="YG63" s="3461"/>
      <c r="YH63" s="3461"/>
      <c r="YI63" s="3461"/>
      <c r="YJ63" s="3461"/>
      <c r="YK63" s="3461"/>
      <c r="YL63" s="3461"/>
      <c r="YM63" s="3461"/>
      <c r="YN63" s="3461"/>
      <c r="YO63" s="3461"/>
      <c r="YP63" s="3461"/>
      <c r="YQ63" s="3461"/>
      <c r="YR63" s="3461"/>
      <c r="YS63" s="3461"/>
      <c r="YT63" s="3461"/>
      <c r="YU63" s="3461"/>
      <c r="YV63" s="3461"/>
      <c r="YW63" s="3461"/>
      <c r="YX63" s="3461"/>
      <c r="YY63" s="3461"/>
      <c r="YZ63" s="3461"/>
      <c r="ZA63" s="3461"/>
      <c r="ZB63" s="3461"/>
      <c r="ZC63" s="3461"/>
      <c r="ZD63" s="3461"/>
      <c r="ZE63" s="3461"/>
      <c r="ZF63" s="3461"/>
      <c r="ZG63" s="3461"/>
      <c r="ZH63" s="3461"/>
      <c r="ZI63" s="3461"/>
      <c r="ZJ63" s="3461"/>
      <c r="ZK63" s="3461"/>
      <c r="ZL63" s="3461"/>
      <c r="ZM63" s="3461"/>
      <c r="ZN63" s="3461"/>
      <c r="ZO63" s="3461"/>
      <c r="ZP63" s="3461"/>
      <c r="ZQ63" s="3461"/>
      <c r="ZR63" s="3461"/>
      <c r="ZS63" s="3461"/>
      <c r="ZT63" s="3461"/>
      <c r="ZU63" s="3461"/>
      <c r="ZV63" s="3461"/>
      <c r="ZW63" s="3461"/>
      <c r="ZX63" s="3461"/>
      <c r="ZY63" s="3461"/>
      <c r="ZZ63" s="3461"/>
      <c r="AAA63" s="3461"/>
      <c r="AAB63" s="3461"/>
      <c r="AAC63" s="3461"/>
      <c r="AAD63" s="3461"/>
      <c r="AAE63" s="3461"/>
      <c r="AAF63" s="3461"/>
      <c r="AAG63" s="3461"/>
      <c r="AAH63" s="3461"/>
      <c r="AAI63" s="3461"/>
      <c r="AAJ63" s="3461"/>
      <c r="AAK63" s="3461"/>
      <c r="AAL63" s="3461"/>
      <c r="AAM63" s="3461"/>
      <c r="AAN63" s="3461"/>
      <c r="AAO63" s="3461"/>
      <c r="AAP63" s="3461"/>
      <c r="AAQ63" s="3461"/>
      <c r="AAR63" s="3461"/>
      <c r="AAS63" s="3461"/>
      <c r="AAT63" s="3461"/>
      <c r="AAU63" s="3461"/>
      <c r="AAV63" s="3461"/>
      <c r="AAW63" s="3461"/>
      <c r="AAX63" s="3461"/>
      <c r="AAY63" s="3461"/>
      <c r="AAZ63" s="3461"/>
      <c r="ABA63" s="3461"/>
      <c r="ABB63" s="3461"/>
      <c r="ABC63" s="3461"/>
      <c r="ABD63" s="3461"/>
      <c r="ABE63" s="3461"/>
      <c r="ABF63" s="3461"/>
      <c r="ABG63" s="3461"/>
      <c r="ABH63" s="3461"/>
      <c r="ABI63" s="3461"/>
      <c r="ABJ63" s="3461"/>
      <c r="ABK63" s="3461"/>
      <c r="ABL63" s="3461"/>
      <c r="ABM63" s="3461"/>
      <c r="ABN63" s="3461"/>
      <c r="ABO63" s="3461"/>
      <c r="ABP63" s="3461"/>
      <c r="ABQ63" s="3461"/>
      <c r="ABR63" s="3461"/>
      <c r="ABS63" s="3461"/>
      <c r="ABT63" s="3461"/>
      <c r="ABU63" s="3461"/>
      <c r="ABV63" s="3461"/>
      <c r="ABW63" s="3461"/>
      <c r="ABX63" s="3461"/>
      <c r="ABY63" s="3461"/>
      <c r="ABZ63" s="3461"/>
      <c r="ACA63" s="3461"/>
      <c r="ACB63" s="3461"/>
      <c r="ACC63" s="3461"/>
      <c r="ACD63" s="3461"/>
      <c r="ACE63" s="3461"/>
      <c r="ACF63" s="3461"/>
      <c r="ACG63" s="3461"/>
      <c r="ACH63" s="3461"/>
      <c r="ACI63" s="3461"/>
      <c r="ACJ63" s="3461"/>
      <c r="ACK63" s="3461"/>
      <c r="ACL63" s="3461"/>
      <c r="ACM63" s="3461"/>
      <c r="ACN63" s="3461"/>
      <c r="ACO63" s="3461"/>
      <c r="ACP63" s="3461"/>
      <c r="ACQ63" s="3461"/>
      <c r="ACR63" s="3461"/>
      <c r="ACS63" s="3461"/>
      <c r="ACT63" s="3461"/>
      <c r="ACU63" s="3461"/>
      <c r="ACV63" s="3461"/>
      <c r="ACW63" s="3461"/>
      <c r="ACX63" s="3461"/>
      <c r="ACY63" s="3461"/>
      <c r="ACZ63" s="3461"/>
      <c r="ADA63" s="3461"/>
      <c r="ADB63" s="3461"/>
      <c r="ADC63" s="3461"/>
      <c r="ADD63" s="3461"/>
      <c r="ADE63" s="3461"/>
      <c r="ADF63" s="3461"/>
      <c r="ADG63" s="3461"/>
      <c r="ADH63" s="3461"/>
      <c r="ADI63" s="3461"/>
      <c r="ADJ63" s="3461"/>
      <c r="ADK63" s="3461"/>
      <c r="ADL63" s="3461"/>
      <c r="ADM63" s="3461"/>
      <c r="ADN63" s="3461"/>
      <c r="ADO63" s="3461"/>
      <c r="ADP63" s="3461"/>
      <c r="ADQ63" s="3461"/>
      <c r="ADR63" s="3461"/>
      <c r="ADS63" s="3461"/>
      <c r="ADT63" s="3461"/>
      <c r="ADU63" s="3461"/>
      <c r="ADV63" s="3461"/>
      <c r="ADW63" s="3461"/>
      <c r="ADX63" s="3461"/>
      <c r="ADY63" s="3461"/>
      <c r="ADZ63" s="3461"/>
      <c r="AEA63" s="3461"/>
      <c r="AEB63" s="3461"/>
      <c r="AEC63" s="3461"/>
      <c r="AED63" s="3461"/>
      <c r="AEE63" s="3461"/>
      <c r="AEF63" s="3461"/>
      <c r="AEG63" s="3461"/>
      <c r="AEH63" s="3461"/>
      <c r="AEI63" s="3461"/>
      <c r="AEJ63" s="3461"/>
      <c r="AEK63" s="3461"/>
      <c r="AEL63" s="3461"/>
      <c r="AEM63" s="3461"/>
      <c r="AEN63" s="3461"/>
      <c r="AEO63" s="3461"/>
      <c r="AEP63" s="3461"/>
      <c r="AEQ63" s="3461"/>
      <c r="AER63" s="3461"/>
      <c r="AES63" s="3461"/>
      <c r="AET63" s="3461"/>
      <c r="AEU63" s="3461"/>
      <c r="AEV63" s="3461"/>
      <c r="AEW63" s="3461"/>
      <c r="AEX63" s="3461"/>
      <c r="AEY63" s="3461"/>
      <c r="AEZ63" s="3461"/>
      <c r="AFA63" s="3461"/>
      <c r="AFB63" s="3461"/>
      <c r="AFC63" s="3461"/>
      <c r="AFD63" s="3461"/>
      <c r="AFE63" s="3461"/>
      <c r="AFF63" s="3461"/>
      <c r="AFG63" s="3461"/>
      <c r="AFH63" s="3461"/>
      <c r="AFI63" s="3461"/>
      <c r="AFJ63" s="3461"/>
      <c r="AFK63" s="3461"/>
      <c r="AFL63" s="3461"/>
      <c r="AFM63" s="3461"/>
      <c r="AFN63" s="3461"/>
      <c r="AFO63" s="3461"/>
      <c r="AFP63" s="3461"/>
      <c r="AFQ63" s="3461"/>
      <c r="AFR63" s="3461"/>
      <c r="AFS63" s="3461"/>
      <c r="AFT63" s="3461"/>
      <c r="AFU63" s="3461"/>
      <c r="AFV63" s="3461"/>
      <c r="AFW63" s="3461"/>
      <c r="AFX63" s="3461"/>
      <c r="AFY63" s="3461"/>
      <c r="AFZ63" s="3461"/>
      <c r="AGA63" s="3461"/>
      <c r="AGB63" s="3461"/>
      <c r="AGC63" s="3461"/>
      <c r="AGD63" s="3461"/>
      <c r="AGE63" s="3461"/>
      <c r="AGF63" s="3461"/>
      <c r="AGG63" s="3461"/>
      <c r="AGH63" s="3461"/>
      <c r="AGI63" s="3461"/>
      <c r="AGJ63" s="3461"/>
      <c r="AGK63" s="3461"/>
      <c r="AGL63" s="3461"/>
      <c r="AGM63" s="3461"/>
      <c r="AGN63" s="3461"/>
      <c r="AGO63" s="3461"/>
      <c r="AGP63" s="3461"/>
      <c r="AGQ63" s="3461"/>
      <c r="AGR63" s="3461"/>
      <c r="AGS63" s="3461"/>
      <c r="AGT63" s="3461"/>
      <c r="AGU63" s="3461"/>
      <c r="AGV63" s="3461"/>
      <c r="AGW63" s="3461"/>
      <c r="AGX63" s="3461"/>
      <c r="AGY63" s="3461"/>
      <c r="AGZ63" s="3461"/>
      <c r="AHA63" s="3461"/>
      <c r="AHB63" s="3461"/>
      <c r="AHC63" s="3461"/>
      <c r="AHD63" s="3461"/>
      <c r="AHE63" s="3461"/>
      <c r="AHF63" s="3461"/>
      <c r="AHG63" s="3461"/>
      <c r="AHH63" s="3461"/>
      <c r="AHI63" s="3461"/>
      <c r="AHJ63" s="3461"/>
      <c r="AHK63" s="3461"/>
      <c r="AHL63" s="3461"/>
      <c r="AHM63" s="3461"/>
      <c r="AHN63" s="3461"/>
      <c r="AHO63" s="3461"/>
      <c r="AHP63" s="3461"/>
      <c r="AHQ63" s="3461"/>
      <c r="AHR63" s="3461"/>
      <c r="AHS63" s="3461"/>
      <c r="AHT63" s="3461"/>
      <c r="AHU63" s="3461"/>
      <c r="AHV63" s="3461"/>
      <c r="AHW63" s="3461"/>
      <c r="AHX63" s="3461"/>
      <c r="AHY63" s="3461"/>
      <c r="AHZ63" s="3461"/>
      <c r="AIA63" s="3461"/>
      <c r="AIB63" s="3461"/>
      <c r="AIC63" s="3461"/>
      <c r="AID63" s="3461"/>
      <c r="AIE63" s="3461"/>
      <c r="AIF63" s="3461"/>
      <c r="AIG63" s="3461"/>
      <c r="AIH63" s="3461"/>
      <c r="AII63" s="3461"/>
      <c r="AIJ63" s="3461"/>
      <c r="AIK63" s="3461"/>
      <c r="AIL63" s="3461"/>
      <c r="AIM63" s="3461"/>
      <c r="AIN63" s="3461"/>
      <c r="AIO63" s="3461"/>
      <c r="AIP63" s="3461"/>
      <c r="AIQ63" s="3461"/>
      <c r="AIR63" s="3461"/>
      <c r="AIS63" s="3461"/>
      <c r="AIT63" s="3461"/>
      <c r="AIU63" s="3461"/>
      <c r="AIV63" s="3461"/>
      <c r="AIW63" s="3461"/>
      <c r="AIX63" s="3461"/>
      <c r="AIY63" s="3461"/>
      <c r="AIZ63" s="3461"/>
      <c r="AJA63" s="3461"/>
      <c r="AJB63" s="3461"/>
      <c r="AJC63" s="3461"/>
      <c r="AJD63" s="3461"/>
      <c r="AJE63" s="3461"/>
      <c r="AJF63" s="3461"/>
      <c r="AJG63" s="3461"/>
      <c r="AJH63" s="3461"/>
      <c r="AJI63" s="3461"/>
      <c r="AJJ63" s="3461"/>
      <c r="AJK63" s="3461"/>
      <c r="AJL63" s="3461"/>
      <c r="AJM63" s="3461"/>
      <c r="AJN63" s="3461"/>
      <c r="AJO63" s="3461"/>
      <c r="AJP63" s="3461"/>
      <c r="AJQ63" s="3461"/>
      <c r="AJR63" s="3461"/>
      <c r="AJS63" s="3461"/>
      <c r="AJT63" s="3461"/>
      <c r="AJU63" s="3461"/>
      <c r="AJV63" s="3461"/>
      <c r="AJW63" s="3461"/>
      <c r="AJX63" s="3461"/>
      <c r="AJY63" s="3461"/>
      <c r="AJZ63" s="3461"/>
      <c r="AKA63" s="3461"/>
      <c r="AKB63" s="3461"/>
      <c r="AKC63" s="3461"/>
      <c r="AKD63" s="3461"/>
      <c r="AKE63" s="3461"/>
      <c r="AKF63" s="3461"/>
      <c r="AKG63" s="3461"/>
      <c r="AKH63" s="3461"/>
      <c r="AKI63" s="3461"/>
      <c r="AKJ63" s="3461"/>
      <c r="AKK63" s="3461"/>
      <c r="AKL63" s="3461"/>
      <c r="AKM63" s="3461"/>
      <c r="AKN63" s="3461"/>
      <c r="AKO63" s="3461"/>
      <c r="AKP63" s="3461"/>
      <c r="AKQ63" s="3461"/>
      <c r="AKR63" s="3461"/>
      <c r="AKS63" s="3461"/>
      <c r="AKT63" s="3461"/>
      <c r="AKU63" s="3461"/>
      <c r="AKV63" s="3461"/>
      <c r="AKW63" s="3461"/>
      <c r="AKX63" s="3461"/>
      <c r="AKY63" s="3461"/>
      <c r="AKZ63" s="3461"/>
      <c r="ALA63" s="3461"/>
      <c r="ALB63" s="3461"/>
      <c r="ALC63" s="3461"/>
      <c r="ALD63" s="3461"/>
      <c r="ALE63" s="3461"/>
      <c r="ALF63" s="3461"/>
      <c r="ALG63" s="3461"/>
      <c r="ALH63" s="3461"/>
      <c r="ALI63" s="3461"/>
      <c r="ALJ63" s="3461"/>
      <c r="ALK63" s="3461"/>
      <c r="ALL63" s="3461"/>
      <c r="ALM63" s="3461"/>
      <c r="ALN63" s="3461"/>
      <c r="ALO63" s="3461"/>
      <c r="ALP63" s="3461"/>
      <c r="ALQ63" s="3461"/>
      <c r="ALR63" s="3461"/>
      <c r="ALS63" s="3461"/>
      <c r="ALT63" s="3461"/>
      <c r="ALU63" s="3461"/>
      <c r="ALV63" s="3461"/>
      <c r="ALW63" s="3461"/>
      <c r="ALX63" s="3461"/>
      <c r="ALY63" s="3461"/>
      <c r="ALZ63" s="3461"/>
      <c r="AMA63" s="3461"/>
      <c r="AMB63" s="3461"/>
      <c r="AMC63" s="3461"/>
      <c r="AMD63" s="3461"/>
      <c r="AME63" s="3461"/>
      <c r="AMF63" s="3461"/>
      <c r="AMG63" s="3461"/>
      <c r="AMH63" s="3461"/>
      <c r="AMI63" s="3461"/>
      <c r="AMJ63" s="3461"/>
      <c r="AMK63" s="3461"/>
      <c r="AML63" s="3461"/>
      <c r="AMM63" s="3461"/>
      <c r="AMN63" s="3461"/>
      <c r="AMO63" s="3461"/>
      <c r="AMP63" s="3461"/>
      <c r="AMQ63" s="3461"/>
      <c r="AMR63" s="3461"/>
      <c r="AMS63" s="3461"/>
      <c r="AMT63" s="3461"/>
      <c r="AMU63" s="3461"/>
      <c r="AMV63" s="3461"/>
      <c r="AMW63" s="3461"/>
      <c r="AMX63" s="3461"/>
      <c r="AMY63" s="3461"/>
      <c r="AMZ63" s="3461"/>
      <c r="ANA63" s="3461"/>
      <c r="ANB63" s="3461"/>
      <c r="ANC63" s="3461"/>
      <c r="AND63" s="3461"/>
      <c r="ANE63" s="3461"/>
      <c r="ANF63" s="3461"/>
      <c r="ANG63" s="3461"/>
      <c r="ANH63" s="3461"/>
      <c r="ANI63" s="3461"/>
      <c r="ANJ63" s="3461"/>
      <c r="ANK63" s="3461"/>
      <c r="ANL63" s="3461"/>
      <c r="ANM63" s="3461"/>
      <c r="ANN63" s="3461"/>
      <c r="ANO63" s="3461"/>
      <c r="ANP63" s="3461"/>
      <c r="ANQ63" s="3461"/>
      <c r="ANR63" s="3461"/>
      <c r="ANS63" s="3461"/>
      <c r="ANT63" s="3461"/>
      <c r="ANU63" s="3461"/>
      <c r="ANV63" s="3461"/>
      <c r="ANW63" s="3461"/>
      <c r="ANX63" s="3461"/>
      <c r="ANY63" s="3461"/>
      <c r="ANZ63" s="3461"/>
      <c r="AOA63" s="3461"/>
      <c r="AOB63" s="3461"/>
      <c r="AOC63" s="3461"/>
      <c r="AOD63" s="3461"/>
      <c r="AOE63" s="3461"/>
      <c r="AOF63" s="3461"/>
      <c r="AOG63" s="3461"/>
      <c r="AOH63" s="3461"/>
      <c r="AOI63" s="3461"/>
      <c r="AOJ63" s="3461"/>
      <c r="AOK63" s="3461"/>
      <c r="AOL63" s="3461"/>
      <c r="AOM63" s="3461"/>
      <c r="AON63" s="3461"/>
      <c r="AOO63" s="3461"/>
      <c r="AOP63" s="3461"/>
      <c r="AOQ63" s="3461"/>
      <c r="AOR63" s="3461"/>
      <c r="AOS63" s="3461"/>
      <c r="AOT63" s="3461"/>
      <c r="AOU63" s="3461"/>
      <c r="AOV63" s="3461"/>
      <c r="AOW63" s="3461"/>
      <c r="AOX63" s="3461"/>
      <c r="AOY63" s="3461"/>
      <c r="AOZ63" s="3461"/>
      <c r="APA63" s="3461"/>
      <c r="APB63" s="3461"/>
      <c r="APC63" s="3461"/>
      <c r="APD63" s="3461"/>
      <c r="APE63" s="3461"/>
      <c r="APF63" s="3461"/>
      <c r="APG63" s="3461"/>
      <c r="APH63" s="3461"/>
      <c r="API63" s="3461"/>
      <c r="APJ63" s="3461"/>
      <c r="APK63" s="3461"/>
      <c r="APL63" s="3461"/>
      <c r="APM63" s="3461"/>
      <c r="APN63" s="3461"/>
      <c r="APO63" s="3461"/>
      <c r="APP63" s="3461"/>
      <c r="APQ63" s="3461"/>
      <c r="APR63" s="3461"/>
      <c r="APS63" s="3461"/>
      <c r="APT63" s="3461"/>
      <c r="APU63" s="3461"/>
      <c r="APV63" s="3461"/>
      <c r="APW63" s="3461"/>
      <c r="APX63" s="3461"/>
      <c r="APY63" s="3461"/>
      <c r="APZ63" s="3461"/>
      <c r="AQA63" s="3461"/>
      <c r="AQB63" s="3461"/>
      <c r="AQC63" s="3461"/>
      <c r="AQD63" s="3461"/>
      <c r="AQE63" s="3461"/>
      <c r="AQF63" s="3461"/>
      <c r="AQG63" s="3461"/>
      <c r="AQH63" s="3461"/>
      <c r="AQI63" s="3461"/>
      <c r="AQJ63" s="3461"/>
      <c r="AQK63" s="3461"/>
      <c r="AQL63" s="3461"/>
      <c r="AQM63" s="3461"/>
      <c r="AQN63" s="3461"/>
      <c r="AQO63" s="3461"/>
      <c r="AQP63" s="3461"/>
      <c r="AQQ63" s="3461"/>
      <c r="AQR63" s="3461"/>
      <c r="AQS63" s="3461"/>
      <c r="AQT63" s="3461"/>
      <c r="AQU63" s="3461"/>
      <c r="AQV63" s="3461"/>
      <c r="AQW63" s="3461"/>
      <c r="AQX63" s="3461"/>
      <c r="AQY63" s="3461"/>
      <c r="AQZ63" s="3461"/>
      <c r="ARA63" s="3461"/>
      <c r="ARB63" s="3461"/>
      <c r="ARC63" s="3461"/>
      <c r="ARD63" s="3461"/>
      <c r="ARE63" s="3461"/>
      <c r="ARF63" s="3461"/>
      <c r="ARG63" s="3461"/>
      <c r="ARH63" s="3461"/>
      <c r="ARI63" s="3461"/>
      <c r="ARJ63" s="3461"/>
      <c r="ARK63" s="3461"/>
      <c r="ARL63" s="3461"/>
      <c r="ARM63" s="3461"/>
      <c r="ARN63" s="3461"/>
      <c r="ARO63" s="3461"/>
      <c r="ARP63" s="3461"/>
      <c r="ARQ63" s="3461"/>
      <c r="ARR63" s="3461"/>
      <c r="ARS63" s="3461"/>
      <c r="ART63" s="3461"/>
      <c r="ARU63" s="3461"/>
      <c r="ARV63" s="3461"/>
      <c r="ARW63" s="3461"/>
      <c r="ARX63" s="3461"/>
      <c r="ARY63" s="3461"/>
      <c r="ARZ63" s="3461"/>
      <c r="ASA63" s="3461"/>
      <c r="ASB63" s="3461"/>
      <c r="ASC63" s="3461"/>
      <c r="ASD63" s="3461"/>
      <c r="ASE63" s="3461"/>
      <c r="ASF63" s="3461"/>
      <c r="ASG63" s="3461"/>
      <c r="ASH63" s="3461"/>
      <c r="ASI63" s="3461"/>
      <c r="ASJ63" s="3461"/>
      <c r="ASK63" s="3461"/>
      <c r="ASL63" s="3461"/>
      <c r="ASM63" s="3461"/>
      <c r="ASN63" s="3461"/>
      <c r="ASO63" s="3461"/>
      <c r="ASP63" s="3461"/>
      <c r="ASQ63" s="3461"/>
      <c r="ASR63" s="3461"/>
      <c r="ASS63" s="3461"/>
      <c r="AST63" s="3461"/>
      <c r="ASU63" s="3461"/>
      <c r="ASV63" s="3461"/>
      <c r="ASW63" s="3461"/>
      <c r="ASX63" s="3461"/>
      <c r="ASY63" s="3461"/>
      <c r="ASZ63" s="3461"/>
      <c r="ATA63" s="3461"/>
      <c r="ATB63" s="3461"/>
      <c r="ATC63" s="3461"/>
      <c r="ATD63" s="3461"/>
      <c r="ATE63" s="3461"/>
      <c r="ATF63" s="3461"/>
      <c r="ATG63" s="3461"/>
      <c r="ATH63" s="3461"/>
      <c r="ATI63" s="3461"/>
      <c r="ATJ63" s="3461"/>
      <c r="ATK63" s="3461"/>
      <c r="ATL63" s="3461"/>
      <c r="ATM63" s="3461"/>
      <c r="ATN63" s="3461"/>
      <c r="ATO63" s="3461"/>
      <c r="ATP63" s="3461"/>
      <c r="ATQ63" s="3461"/>
      <c r="ATR63" s="3461"/>
      <c r="ATS63" s="3461"/>
      <c r="ATT63" s="3461"/>
      <c r="ATU63" s="3461"/>
      <c r="ATV63" s="3461"/>
      <c r="ATW63" s="3461"/>
      <c r="ATX63" s="3461"/>
      <c r="ATY63" s="3461"/>
      <c r="ATZ63" s="3461"/>
      <c r="AUA63" s="3461"/>
      <c r="AUB63" s="3461"/>
      <c r="AUC63" s="3461"/>
      <c r="AUD63" s="3461"/>
      <c r="AUE63" s="3461"/>
      <c r="AUF63" s="3461"/>
      <c r="AUG63" s="3461"/>
      <c r="AUH63" s="3461"/>
      <c r="AUI63" s="3461"/>
      <c r="AUJ63" s="3461"/>
      <c r="AUK63" s="3461"/>
      <c r="AUL63" s="3461"/>
      <c r="AUM63" s="3461"/>
      <c r="AUN63" s="3461"/>
      <c r="AUO63" s="3461"/>
      <c r="AUP63" s="3461"/>
      <c r="AUQ63" s="3461"/>
      <c r="AUR63" s="3461"/>
      <c r="AUS63" s="3461"/>
      <c r="AUT63" s="3461"/>
      <c r="AUU63" s="3461"/>
      <c r="AUV63" s="3461"/>
      <c r="AUW63" s="3461"/>
      <c r="AUX63" s="3461"/>
      <c r="AUY63" s="3461"/>
      <c r="AUZ63" s="3461"/>
      <c r="AVA63" s="3461"/>
      <c r="AVB63" s="3461"/>
      <c r="AVC63" s="3461"/>
      <c r="AVD63" s="3461"/>
      <c r="AVE63" s="3461"/>
      <c r="AVF63" s="3461"/>
      <c r="AVG63" s="3461"/>
      <c r="AVH63" s="3461"/>
      <c r="AVI63" s="3461"/>
      <c r="AVJ63" s="3461"/>
      <c r="AVK63" s="3461"/>
      <c r="AVL63" s="3461"/>
      <c r="AVM63" s="3461"/>
      <c r="AVN63" s="3461"/>
      <c r="AVO63" s="3461"/>
      <c r="AVP63" s="3461"/>
      <c r="AVQ63" s="3461"/>
      <c r="AVR63" s="3461"/>
      <c r="AVS63" s="3461"/>
      <c r="AVT63" s="3461"/>
      <c r="AVU63" s="3461"/>
      <c r="AVV63" s="3461"/>
      <c r="AVW63" s="3461"/>
      <c r="AVX63" s="3461"/>
      <c r="AVY63" s="3461"/>
      <c r="AVZ63" s="3461"/>
      <c r="AWA63" s="3461"/>
      <c r="AWB63" s="3461"/>
      <c r="AWC63" s="3461"/>
      <c r="AWD63" s="3461"/>
      <c r="AWE63" s="3461"/>
      <c r="AWF63" s="3461"/>
      <c r="AWG63" s="3461"/>
      <c r="AWH63" s="3461"/>
      <c r="AWI63" s="3461"/>
      <c r="AWJ63" s="3461"/>
      <c r="AWK63" s="3461"/>
      <c r="AWL63" s="3461"/>
      <c r="AWM63" s="3461"/>
      <c r="AWN63" s="3461"/>
      <c r="AWO63" s="3461"/>
      <c r="AWP63" s="3461"/>
      <c r="AWQ63" s="3461"/>
      <c r="AWR63" s="3461"/>
      <c r="AWS63" s="3461"/>
      <c r="AWT63" s="3461"/>
      <c r="AWU63" s="3461"/>
      <c r="AWV63" s="3461"/>
      <c r="AWW63" s="3461"/>
      <c r="AWX63" s="3461"/>
      <c r="AWY63" s="3461"/>
      <c r="AWZ63" s="3461"/>
      <c r="AXA63" s="3461"/>
      <c r="AXB63" s="3461"/>
      <c r="AXC63" s="3461"/>
      <c r="AXD63" s="3461"/>
      <c r="AXE63" s="3461"/>
      <c r="AXF63" s="3461"/>
      <c r="AXG63" s="3461"/>
      <c r="AXH63" s="3461"/>
      <c r="AXI63" s="3461"/>
      <c r="AXJ63" s="3461"/>
      <c r="AXK63" s="3461"/>
      <c r="AXL63" s="3461"/>
      <c r="AXM63" s="3461"/>
      <c r="AXN63" s="3461"/>
      <c r="AXO63" s="3461"/>
      <c r="AXP63" s="3461"/>
      <c r="AXQ63" s="3461"/>
      <c r="AXR63" s="3461"/>
      <c r="AXS63" s="3461"/>
      <c r="AXT63" s="3461"/>
      <c r="AXU63" s="3461"/>
      <c r="AXV63" s="3461"/>
      <c r="AXW63" s="3461"/>
      <c r="AXX63" s="3461"/>
      <c r="AXY63" s="3461"/>
      <c r="AXZ63" s="3461"/>
      <c r="AYA63" s="3461"/>
      <c r="AYB63" s="3461"/>
      <c r="AYC63" s="3461"/>
      <c r="AYD63" s="3461"/>
      <c r="AYE63" s="3461"/>
      <c r="AYF63" s="3461"/>
      <c r="AYG63" s="3461"/>
      <c r="AYH63" s="3461"/>
      <c r="AYI63" s="3461"/>
      <c r="AYJ63" s="3461"/>
      <c r="AYK63" s="3461"/>
      <c r="AYL63" s="3461"/>
      <c r="AYM63" s="3461"/>
      <c r="AYN63" s="3461"/>
      <c r="AYO63" s="3461"/>
      <c r="AYP63" s="3461"/>
      <c r="AYQ63" s="3461"/>
      <c r="AYR63" s="3461"/>
      <c r="AYS63" s="3461"/>
      <c r="AYT63" s="3461"/>
      <c r="AYU63" s="3461"/>
      <c r="AYV63" s="3461"/>
      <c r="AYW63" s="3461"/>
      <c r="AYX63" s="3461"/>
      <c r="AYY63" s="3461"/>
      <c r="AYZ63" s="3461"/>
      <c r="AZA63" s="3461"/>
      <c r="AZB63" s="3461"/>
      <c r="AZC63" s="3461"/>
      <c r="AZD63" s="3461"/>
      <c r="AZE63" s="3461"/>
      <c r="AZF63" s="3461"/>
      <c r="AZG63" s="3461"/>
      <c r="AZH63" s="3461"/>
      <c r="AZI63" s="3461"/>
      <c r="AZJ63" s="3461"/>
      <c r="AZK63" s="3461"/>
      <c r="AZL63" s="3461"/>
      <c r="AZM63" s="3461"/>
      <c r="AZN63" s="3461"/>
      <c r="AZO63" s="3461"/>
      <c r="AZP63" s="3461"/>
      <c r="AZQ63" s="3461"/>
      <c r="AZR63" s="3461"/>
      <c r="AZS63" s="3461"/>
      <c r="AZT63" s="3461"/>
      <c r="AZU63" s="3461"/>
      <c r="AZV63" s="3461"/>
      <c r="AZW63" s="3461"/>
      <c r="AZX63" s="3461"/>
      <c r="AZY63" s="3461"/>
      <c r="AZZ63" s="3461"/>
      <c r="BAA63" s="3461"/>
      <c r="BAB63" s="3461"/>
      <c r="BAC63" s="3461"/>
      <c r="BAD63" s="3461"/>
      <c r="BAE63" s="3461"/>
      <c r="BAF63" s="3461"/>
      <c r="BAG63" s="3461"/>
      <c r="BAH63" s="3461"/>
      <c r="BAI63" s="3461"/>
      <c r="BAJ63" s="3461"/>
      <c r="BAK63" s="3461"/>
      <c r="BAL63" s="3461"/>
      <c r="BAM63" s="3461"/>
      <c r="BAN63" s="3461"/>
      <c r="BAO63" s="3461"/>
      <c r="BAP63" s="3461"/>
      <c r="BAQ63" s="3461"/>
      <c r="BAR63" s="3461"/>
      <c r="BAS63" s="3461"/>
      <c r="BAT63" s="3461"/>
      <c r="BAU63" s="3461"/>
      <c r="BAV63" s="3461"/>
      <c r="BAW63" s="3461"/>
      <c r="BAX63" s="3461"/>
      <c r="BAY63" s="3461"/>
      <c r="BAZ63" s="3461"/>
      <c r="BBA63" s="3461"/>
      <c r="BBB63" s="3461"/>
      <c r="BBC63" s="3461"/>
      <c r="BBD63" s="3461"/>
      <c r="BBE63" s="3461"/>
      <c r="BBF63" s="3461"/>
      <c r="BBG63" s="3461"/>
      <c r="BBH63" s="3461"/>
      <c r="BBI63" s="3461"/>
      <c r="BBJ63" s="3461"/>
      <c r="BBK63" s="3461"/>
      <c r="BBL63" s="3461"/>
      <c r="BBM63" s="3461"/>
      <c r="BBN63" s="3461"/>
      <c r="BBO63" s="3461"/>
      <c r="BBP63" s="3461"/>
      <c r="BBQ63" s="3461"/>
      <c r="BBR63" s="3461"/>
      <c r="BBS63" s="3461"/>
      <c r="BBT63" s="3461"/>
      <c r="BBU63" s="3461"/>
      <c r="BBV63" s="3461"/>
      <c r="BBW63" s="3461"/>
      <c r="BBX63" s="3461"/>
      <c r="BBY63" s="3461"/>
      <c r="BBZ63" s="3461"/>
      <c r="BCA63" s="3461"/>
      <c r="BCB63" s="3461"/>
      <c r="BCC63" s="3461"/>
      <c r="BCD63" s="3461"/>
      <c r="BCE63" s="3461"/>
      <c r="BCF63" s="3461"/>
      <c r="BCG63" s="3461"/>
      <c r="BCH63" s="3461"/>
      <c r="BCI63" s="3461"/>
      <c r="BCJ63" s="3461"/>
      <c r="BCK63" s="3461"/>
      <c r="BCL63" s="3461"/>
      <c r="BCM63" s="3461"/>
      <c r="BCN63" s="3461"/>
      <c r="BCO63" s="3461"/>
      <c r="BCP63" s="3461"/>
      <c r="BCQ63" s="3461"/>
      <c r="BCR63" s="3461"/>
      <c r="BCS63" s="3461"/>
      <c r="BCT63" s="3461"/>
      <c r="BCU63" s="3461"/>
      <c r="BCV63" s="3461"/>
      <c r="BCW63" s="3461"/>
      <c r="BCX63" s="3461"/>
      <c r="BCY63" s="3461"/>
      <c r="BCZ63" s="3461"/>
      <c r="BDA63" s="3461"/>
      <c r="BDB63" s="3461"/>
      <c r="BDC63" s="3461"/>
      <c r="BDD63" s="3461"/>
      <c r="BDE63" s="3461"/>
      <c r="BDF63" s="3461"/>
      <c r="BDG63" s="3461"/>
      <c r="BDH63" s="3461"/>
      <c r="BDI63" s="3461"/>
      <c r="BDJ63" s="3461"/>
      <c r="BDK63" s="3461"/>
      <c r="BDL63" s="3461"/>
      <c r="BDM63" s="3461"/>
      <c r="BDN63" s="3461"/>
      <c r="BDO63" s="3461"/>
      <c r="BDP63" s="3461"/>
      <c r="BDQ63" s="3461"/>
      <c r="BDR63" s="3461"/>
      <c r="BDS63" s="3461"/>
      <c r="BDT63" s="3461"/>
      <c r="BDU63" s="3461"/>
      <c r="BDV63" s="3461"/>
      <c r="BDW63" s="3461"/>
      <c r="BDX63" s="3461"/>
      <c r="BDY63" s="3461"/>
      <c r="BDZ63" s="3461"/>
      <c r="BEA63" s="3461"/>
      <c r="BEB63" s="3461"/>
      <c r="BEC63" s="3461"/>
      <c r="BED63" s="3461"/>
      <c r="BEE63" s="3461"/>
      <c r="BEF63" s="3461"/>
      <c r="BEG63" s="3461"/>
      <c r="BEH63" s="3461"/>
      <c r="BEI63" s="3461"/>
      <c r="BEJ63" s="3461"/>
      <c r="BEK63" s="3461"/>
      <c r="BEL63" s="3461"/>
      <c r="BEM63" s="3461"/>
      <c r="BEN63" s="3461"/>
      <c r="BEO63" s="3461"/>
      <c r="BEP63" s="3461"/>
      <c r="BEQ63" s="3461"/>
      <c r="BER63" s="3461"/>
      <c r="BES63" s="3461"/>
      <c r="BET63" s="3461"/>
      <c r="BEU63" s="3461"/>
      <c r="BEV63" s="3461"/>
      <c r="BEW63" s="3461"/>
      <c r="BEX63" s="3461"/>
      <c r="BEY63" s="3461"/>
      <c r="BEZ63" s="3461"/>
      <c r="BFA63" s="3461"/>
      <c r="BFB63" s="3461"/>
      <c r="BFC63" s="3461"/>
      <c r="BFD63" s="3461"/>
      <c r="BFE63" s="3461"/>
      <c r="BFF63" s="3461"/>
      <c r="BFG63" s="3461"/>
      <c r="BFH63" s="3461"/>
      <c r="BFI63" s="3461"/>
      <c r="BFJ63" s="3461"/>
      <c r="BFK63" s="3461"/>
      <c r="BFL63" s="3461"/>
      <c r="BFM63" s="3461"/>
      <c r="BFN63" s="3461"/>
      <c r="BFO63" s="3461"/>
      <c r="BFP63" s="3461"/>
      <c r="BFQ63" s="3461"/>
      <c r="BFR63" s="3461"/>
      <c r="BFS63" s="3461"/>
      <c r="BFT63" s="3461"/>
      <c r="BFU63" s="3461"/>
      <c r="BFV63" s="3461"/>
      <c r="BFW63" s="3461"/>
      <c r="BFX63" s="3461"/>
      <c r="BFY63" s="3461"/>
      <c r="BFZ63" s="3461"/>
      <c r="BGA63" s="3461"/>
      <c r="BGB63" s="3461"/>
      <c r="BGC63" s="3461"/>
      <c r="BGD63" s="3461"/>
      <c r="BGE63" s="3461"/>
      <c r="BGF63" s="3461"/>
      <c r="BGG63" s="3461"/>
      <c r="BGH63" s="3461"/>
      <c r="BGI63" s="3461"/>
      <c r="BGJ63" s="3461"/>
      <c r="BGK63" s="3461"/>
      <c r="BGL63" s="3461"/>
      <c r="BGM63" s="3461"/>
      <c r="BGN63" s="3461"/>
      <c r="BGO63" s="3461"/>
      <c r="BGP63" s="3461"/>
      <c r="BGQ63" s="3461"/>
      <c r="BGR63" s="3461"/>
      <c r="BGS63" s="3461"/>
      <c r="BGT63" s="3461"/>
      <c r="BGU63" s="3461"/>
      <c r="BGV63" s="3461"/>
      <c r="BGW63" s="3461"/>
      <c r="BGX63" s="3461"/>
      <c r="BGY63" s="3461"/>
      <c r="BGZ63" s="3461"/>
      <c r="BHA63" s="3461"/>
      <c r="BHB63" s="3461"/>
      <c r="BHC63" s="3461"/>
      <c r="BHD63" s="3461"/>
      <c r="BHE63" s="3461"/>
      <c r="BHF63" s="3461"/>
      <c r="BHG63" s="3461"/>
      <c r="BHH63" s="3461"/>
      <c r="BHI63" s="3461"/>
      <c r="BHJ63" s="3461"/>
      <c r="BHK63" s="3461"/>
      <c r="BHL63" s="3461"/>
      <c r="BHM63" s="3461"/>
      <c r="BHN63" s="3461"/>
      <c r="BHO63" s="3461"/>
      <c r="BHP63" s="3461"/>
      <c r="BHQ63" s="3461"/>
      <c r="BHR63" s="3461"/>
      <c r="BHS63" s="3461"/>
      <c r="BHT63" s="3461"/>
      <c r="BHU63" s="3461"/>
      <c r="BHV63" s="3461"/>
      <c r="BHW63" s="3461"/>
      <c r="BHX63" s="3461"/>
      <c r="BHY63" s="3461"/>
      <c r="BHZ63" s="3461"/>
      <c r="BIA63" s="3461"/>
      <c r="BIB63" s="3461"/>
      <c r="BIC63" s="3461"/>
      <c r="BID63" s="3461"/>
      <c r="BIE63" s="3461"/>
      <c r="BIF63" s="3461"/>
      <c r="BIG63" s="3461"/>
      <c r="BIH63" s="3461"/>
      <c r="BII63" s="3461"/>
      <c r="BIJ63" s="3461"/>
      <c r="BIK63" s="3461"/>
      <c r="BIL63" s="3461"/>
      <c r="BIM63" s="3461"/>
      <c r="BIN63" s="3461"/>
      <c r="BIO63" s="3461"/>
      <c r="BIP63" s="3461"/>
      <c r="BIQ63" s="3461"/>
      <c r="BIR63" s="3461"/>
      <c r="BIS63" s="3461"/>
      <c r="BIT63" s="3461"/>
      <c r="BIU63" s="3461"/>
      <c r="BIV63" s="3461"/>
      <c r="BIW63" s="3461"/>
      <c r="BIX63" s="3461"/>
      <c r="BIY63" s="3461"/>
      <c r="BIZ63" s="3461"/>
      <c r="BJA63" s="3461"/>
      <c r="BJB63" s="3461"/>
      <c r="BJC63" s="3461"/>
      <c r="BJD63" s="3461"/>
      <c r="BJE63" s="3461"/>
      <c r="BJF63" s="3461"/>
      <c r="BJG63" s="3461"/>
      <c r="BJH63" s="3461"/>
      <c r="BJI63" s="3461"/>
      <c r="BJJ63" s="3461"/>
      <c r="BJK63" s="3461"/>
      <c r="BJL63" s="3461"/>
      <c r="BJM63" s="3461"/>
      <c r="BJN63" s="3461"/>
      <c r="BJO63" s="3461"/>
      <c r="BJP63" s="3461"/>
      <c r="BJQ63" s="3461"/>
      <c r="BJR63" s="3461"/>
      <c r="BJS63" s="3461"/>
      <c r="BJT63" s="3461"/>
      <c r="BJU63" s="3461"/>
      <c r="BJV63" s="3461"/>
      <c r="BJW63" s="3461"/>
      <c r="BJX63" s="3461"/>
      <c r="BJY63" s="3461"/>
      <c r="BJZ63" s="3461"/>
      <c r="BKA63" s="3461"/>
      <c r="BKB63" s="3461"/>
      <c r="BKC63" s="3461"/>
      <c r="BKD63" s="3461"/>
      <c r="BKE63" s="3461"/>
      <c r="BKF63" s="3461"/>
      <c r="BKG63" s="3461"/>
      <c r="BKH63" s="3461"/>
      <c r="BKI63" s="3461"/>
      <c r="BKJ63" s="3461"/>
      <c r="BKK63" s="3461"/>
      <c r="BKL63" s="3461"/>
      <c r="BKM63" s="3461"/>
      <c r="BKN63" s="3461"/>
      <c r="BKO63" s="3461"/>
      <c r="BKP63" s="3461"/>
      <c r="BKQ63" s="3461"/>
      <c r="BKR63" s="3461"/>
      <c r="BKS63" s="3461"/>
      <c r="BKT63" s="3461"/>
      <c r="BKU63" s="3461"/>
      <c r="BKV63" s="3461"/>
      <c r="BKW63" s="3461"/>
      <c r="BKX63" s="3461"/>
      <c r="BKY63" s="3461"/>
      <c r="BKZ63" s="3461"/>
      <c r="BLA63" s="3461"/>
      <c r="BLB63" s="3461"/>
      <c r="BLC63" s="3461"/>
      <c r="BLD63" s="3461"/>
      <c r="BLE63" s="3461"/>
      <c r="BLF63" s="3461"/>
      <c r="BLG63" s="3461"/>
      <c r="BLH63" s="3461"/>
      <c r="BLI63" s="3461"/>
      <c r="BLJ63" s="3461"/>
      <c r="BLK63" s="3461"/>
      <c r="BLL63" s="3461"/>
      <c r="BLM63" s="3461"/>
      <c r="BLN63" s="3461"/>
      <c r="BLO63" s="3461"/>
      <c r="BLP63" s="3461"/>
      <c r="BLQ63" s="3461"/>
      <c r="BLR63" s="3461"/>
      <c r="BLS63" s="3461"/>
      <c r="BLT63" s="3461"/>
      <c r="BLU63" s="3461"/>
      <c r="BLV63" s="3461"/>
      <c r="BLW63" s="3461"/>
      <c r="BLX63" s="3461"/>
      <c r="BLY63" s="3461"/>
      <c r="BLZ63" s="3461"/>
      <c r="BMA63" s="3461"/>
      <c r="BMB63" s="3461"/>
      <c r="BMC63" s="3461"/>
      <c r="BMD63" s="3461"/>
      <c r="BME63" s="3461"/>
      <c r="BMF63" s="3461"/>
      <c r="BMG63" s="3461"/>
      <c r="BMH63" s="3461"/>
      <c r="BMI63" s="3461"/>
      <c r="BMJ63" s="3461"/>
      <c r="BMK63" s="3461"/>
      <c r="BML63" s="3461"/>
      <c r="BMM63" s="3461"/>
      <c r="BMN63" s="3461"/>
      <c r="BMO63" s="3461"/>
      <c r="BMP63" s="3461"/>
      <c r="BMQ63" s="3461"/>
      <c r="BMR63" s="3461"/>
      <c r="BMS63" s="3461"/>
      <c r="BMT63" s="3461"/>
      <c r="BMU63" s="3461"/>
      <c r="BMV63" s="3461"/>
      <c r="BMW63" s="3461"/>
      <c r="BMX63" s="3461"/>
      <c r="BMY63" s="3461"/>
      <c r="BMZ63" s="3461"/>
      <c r="BNA63" s="3461"/>
      <c r="BNB63" s="3461"/>
      <c r="BNC63" s="3461"/>
      <c r="BND63" s="3461"/>
      <c r="BNE63" s="3461"/>
      <c r="BNF63" s="3461"/>
      <c r="BNG63" s="3461"/>
      <c r="BNH63" s="3461"/>
      <c r="BNI63" s="3461"/>
      <c r="BNJ63" s="3461"/>
      <c r="BNK63" s="3461"/>
      <c r="BNL63" s="3461"/>
      <c r="BNM63" s="3461"/>
      <c r="BNN63" s="3461"/>
      <c r="BNO63" s="3461"/>
      <c r="BNP63" s="3461"/>
      <c r="BNQ63" s="3461"/>
      <c r="BNR63" s="3461"/>
      <c r="BNS63" s="3461"/>
      <c r="BNT63" s="3461"/>
      <c r="BNU63" s="3461"/>
      <c r="BNV63" s="3461"/>
      <c r="BNW63" s="3461"/>
      <c r="BNX63" s="3461"/>
      <c r="BNY63" s="3461"/>
      <c r="BNZ63" s="3461"/>
      <c r="BOA63" s="3461"/>
      <c r="BOB63" s="3461"/>
      <c r="BOC63" s="3461"/>
      <c r="BOD63" s="3461"/>
      <c r="BOE63" s="3461"/>
      <c r="BOF63" s="3461"/>
      <c r="BOG63" s="3461"/>
      <c r="BOH63" s="3461"/>
      <c r="BOI63" s="3461"/>
      <c r="BOJ63" s="3461"/>
      <c r="BOK63" s="3461"/>
      <c r="BOL63" s="3461"/>
      <c r="BOM63" s="3461"/>
      <c r="BON63" s="3461"/>
      <c r="BOO63" s="3461"/>
      <c r="BOP63" s="3461"/>
      <c r="BOQ63" s="3461"/>
      <c r="BOR63" s="3461"/>
      <c r="BOS63" s="3461"/>
      <c r="BOT63" s="3461"/>
      <c r="BOU63" s="3461"/>
      <c r="BOV63" s="3461"/>
      <c r="BOW63" s="3461"/>
      <c r="BOX63" s="3461"/>
      <c r="BOY63" s="3461"/>
      <c r="BOZ63" s="3461"/>
      <c r="BPA63" s="3461"/>
      <c r="BPB63" s="3461"/>
      <c r="BPC63" s="3461"/>
      <c r="BPD63" s="3461"/>
      <c r="BPE63" s="3461"/>
      <c r="BPF63" s="3461"/>
      <c r="BPG63" s="3461"/>
      <c r="BPH63" s="3461"/>
      <c r="BPI63" s="3461"/>
      <c r="BPJ63" s="3461"/>
      <c r="BPK63" s="3461"/>
      <c r="BPL63" s="3461"/>
      <c r="BPM63" s="3461"/>
      <c r="BPN63" s="3461"/>
      <c r="BPO63" s="3461"/>
      <c r="BPP63" s="3461"/>
      <c r="BPQ63" s="3461"/>
      <c r="BPR63" s="3461"/>
      <c r="BPS63" s="3461"/>
      <c r="BPT63" s="3461"/>
      <c r="BPU63" s="3461"/>
      <c r="BPV63" s="3461"/>
      <c r="BPW63" s="3461"/>
      <c r="BPX63" s="3461"/>
      <c r="BPY63" s="3461"/>
      <c r="BPZ63" s="3461"/>
      <c r="BQA63" s="3461"/>
      <c r="BQB63" s="3461"/>
      <c r="BQC63" s="3461"/>
      <c r="BQD63" s="3461"/>
      <c r="BQE63" s="3461"/>
      <c r="BQF63" s="3461"/>
      <c r="BQG63" s="3461"/>
      <c r="BQH63" s="3461"/>
      <c r="BQI63" s="3461"/>
      <c r="BQJ63" s="3461"/>
      <c r="BQK63" s="3461"/>
      <c r="BQL63" s="3461"/>
      <c r="BQM63" s="3461"/>
      <c r="BQN63" s="3461"/>
      <c r="BQO63" s="3461"/>
      <c r="BQP63" s="3461"/>
      <c r="BQQ63" s="3461"/>
      <c r="BQR63" s="3461"/>
      <c r="BQS63" s="3461"/>
      <c r="BQT63" s="3461"/>
      <c r="BQU63" s="3461"/>
      <c r="BQV63" s="3461"/>
      <c r="BQW63" s="3461"/>
      <c r="BQX63" s="3461"/>
      <c r="BQY63" s="3461"/>
      <c r="BQZ63" s="3461"/>
      <c r="BRA63" s="3461"/>
      <c r="BRB63" s="3461"/>
      <c r="BRC63" s="3461"/>
      <c r="BRD63" s="3461"/>
      <c r="BRE63" s="3461"/>
      <c r="BRF63" s="3461"/>
      <c r="BRG63" s="3461"/>
      <c r="BRH63" s="3461"/>
      <c r="BRI63" s="3461"/>
      <c r="BRJ63" s="3461"/>
      <c r="BRK63" s="3461"/>
      <c r="BRL63" s="3461"/>
      <c r="BRM63" s="3461"/>
      <c r="BRN63" s="3461"/>
      <c r="BRO63" s="3461"/>
      <c r="BRP63" s="3461"/>
      <c r="BRQ63" s="3461"/>
      <c r="BRR63" s="3461"/>
      <c r="BRS63" s="3461"/>
      <c r="BRT63" s="3461"/>
      <c r="BRU63" s="3461"/>
      <c r="BRV63" s="3461"/>
      <c r="BRW63" s="3461"/>
      <c r="BRX63" s="3461"/>
      <c r="BRY63" s="3461"/>
      <c r="BRZ63" s="3461"/>
      <c r="BSA63" s="3461"/>
      <c r="BSB63" s="3461"/>
      <c r="BSC63" s="3461"/>
      <c r="BSD63" s="3461"/>
      <c r="BSE63" s="3461"/>
      <c r="BSF63" s="3461"/>
      <c r="BSG63" s="3461"/>
      <c r="BSH63" s="3461"/>
      <c r="BSI63" s="3461"/>
      <c r="BSJ63" s="3461"/>
      <c r="BSK63" s="3461"/>
      <c r="BSL63" s="3461"/>
      <c r="BSM63" s="3461"/>
      <c r="BSN63" s="3461"/>
      <c r="BSO63" s="3461"/>
      <c r="BSP63" s="3461"/>
      <c r="BSQ63" s="3461"/>
      <c r="BSR63" s="3461"/>
      <c r="BSS63" s="3461"/>
      <c r="BST63" s="3461"/>
      <c r="BSU63" s="3461"/>
      <c r="BSV63" s="3461"/>
      <c r="BSW63" s="3461"/>
      <c r="BSX63" s="3461"/>
      <c r="BSY63" s="3461"/>
      <c r="BSZ63" s="3461"/>
      <c r="BTA63" s="3461"/>
      <c r="BTB63" s="3461"/>
      <c r="BTC63" s="3461"/>
      <c r="BTD63" s="3461"/>
      <c r="BTE63" s="3461"/>
      <c r="BTF63" s="3461"/>
      <c r="BTG63" s="3461"/>
      <c r="BTH63" s="3461"/>
      <c r="BTI63" s="3461"/>
      <c r="BTJ63" s="3461"/>
      <c r="BTK63" s="3461"/>
      <c r="BTL63" s="3461"/>
      <c r="BTM63" s="3461"/>
      <c r="BTN63" s="3461"/>
      <c r="BTO63" s="3461"/>
      <c r="BTP63" s="3461"/>
      <c r="BTQ63" s="3461"/>
      <c r="BTR63" s="3461"/>
      <c r="BTS63" s="3461"/>
      <c r="BTT63" s="3461"/>
      <c r="BTU63" s="3461"/>
      <c r="BTV63" s="3461"/>
      <c r="BTW63" s="3461"/>
      <c r="BTX63" s="3461"/>
      <c r="BTY63" s="3461"/>
      <c r="BTZ63" s="3461"/>
      <c r="BUA63" s="3461"/>
      <c r="BUB63" s="3461"/>
      <c r="BUC63" s="3461"/>
      <c r="BUD63" s="3461"/>
      <c r="BUE63" s="3461"/>
      <c r="BUF63" s="3461"/>
      <c r="BUG63" s="3461"/>
      <c r="BUH63" s="3461"/>
      <c r="BUI63" s="3461"/>
      <c r="BUJ63" s="3461"/>
      <c r="BUK63" s="3461"/>
      <c r="BUL63" s="3461"/>
      <c r="BUM63" s="3461"/>
      <c r="BUN63" s="3461"/>
      <c r="BUO63" s="3461"/>
      <c r="BUP63" s="3461"/>
      <c r="BUQ63" s="3461"/>
      <c r="BUR63" s="3461"/>
      <c r="BUS63" s="3461"/>
      <c r="BUT63" s="3461"/>
      <c r="BUU63" s="3461"/>
      <c r="BUV63" s="3461"/>
      <c r="BUW63" s="3461"/>
      <c r="BUX63" s="3461"/>
      <c r="BUY63" s="3461"/>
      <c r="BUZ63" s="3461"/>
      <c r="BVA63" s="3461"/>
      <c r="BVB63" s="3461"/>
      <c r="BVC63" s="3461"/>
      <c r="BVD63" s="3461"/>
      <c r="BVE63" s="3461"/>
      <c r="BVF63" s="3461"/>
      <c r="BVG63" s="3461"/>
      <c r="BVH63" s="3461"/>
      <c r="BVI63" s="3461"/>
      <c r="BVJ63" s="3461"/>
      <c r="BVK63" s="3461"/>
      <c r="BVL63" s="3461"/>
      <c r="BVM63" s="3461"/>
      <c r="BVN63" s="3461"/>
      <c r="BVO63" s="3461"/>
      <c r="BVP63" s="3461"/>
      <c r="BVQ63" s="3461"/>
      <c r="BVR63" s="3461"/>
      <c r="BVS63" s="3461"/>
      <c r="BVT63" s="3461"/>
      <c r="BVU63" s="3461"/>
      <c r="BVV63" s="3461"/>
      <c r="BVW63" s="3461"/>
      <c r="BVX63" s="3461"/>
      <c r="BVY63" s="3461"/>
      <c r="BVZ63" s="3461"/>
      <c r="BWA63" s="3461"/>
      <c r="BWB63" s="3461"/>
      <c r="BWC63" s="3461"/>
      <c r="BWD63" s="3461"/>
      <c r="BWE63" s="3461"/>
      <c r="BWF63" s="3461"/>
      <c r="BWG63" s="3461"/>
      <c r="BWH63" s="3461"/>
      <c r="BWI63" s="3461"/>
      <c r="BWJ63" s="3461"/>
      <c r="BWK63" s="3461"/>
      <c r="BWL63" s="3461"/>
      <c r="BWM63" s="3461"/>
      <c r="BWN63" s="3461"/>
      <c r="BWO63" s="3461"/>
      <c r="BWP63" s="3461"/>
      <c r="BWQ63" s="3461"/>
      <c r="BWR63" s="3461"/>
      <c r="BWS63" s="3461"/>
      <c r="BWT63" s="3461"/>
      <c r="BWU63" s="3461"/>
      <c r="BWV63" s="3461"/>
      <c r="BWW63" s="3461"/>
      <c r="BWX63" s="3461"/>
      <c r="BWY63" s="3461"/>
      <c r="BWZ63" s="3461"/>
      <c r="BXA63" s="3461"/>
      <c r="BXB63" s="3461"/>
      <c r="BXC63" s="3461"/>
      <c r="BXD63" s="3461"/>
      <c r="BXE63" s="3461"/>
      <c r="BXF63" s="3461"/>
      <c r="BXG63" s="3461"/>
      <c r="BXH63" s="3461"/>
      <c r="BXI63" s="3461"/>
      <c r="BXJ63" s="3461"/>
      <c r="BXK63" s="3461"/>
      <c r="BXL63" s="3461"/>
      <c r="BXM63" s="3461"/>
      <c r="BXN63" s="3461"/>
      <c r="BXO63" s="3461"/>
      <c r="BXP63" s="3461"/>
      <c r="BXQ63" s="3461"/>
      <c r="BXR63" s="3461"/>
      <c r="BXS63" s="3461"/>
      <c r="BXT63" s="3461"/>
      <c r="BXU63" s="3461"/>
      <c r="BXV63" s="3461"/>
      <c r="BXW63" s="3461"/>
      <c r="BXX63" s="3461"/>
      <c r="BXY63" s="3461"/>
      <c r="BXZ63" s="3461"/>
      <c r="BYA63" s="3461"/>
      <c r="BYB63" s="3461"/>
      <c r="BYC63" s="3461"/>
      <c r="BYD63" s="3461"/>
      <c r="BYE63" s="3461"/>
      <c r="BYF63" s="3461"/>
      <c r="BYG63" s="3461"/>
      <c r="BYH63" s="3461"/>
      <c r="BYI63" s="3461"/>
      <c r="BYJ63" s="3461"/>
      <c r="BYK63" s="3461"/>
      <c r="BYL63" s="3461"/>
      <c r="BYM63" s="3461"/>
      <c r="BYN63" s="3461"/>
      <c r="BYO63" s="3461"/>
      <c r="BYP63" s="3461"/>
      <c r="BYQ63" s="3461"/>
      <c r="BYR63" s="3461"/>
      <c r="BYS63" s="3461"/>
      <c r="BYT63" s="3461"/>
      <c r="BYU63" s="3461"/>
      <c r="BYV63" s="3461"/>
      <c r="BYW63" s="3461"/>
      <c r="BYX63" s="3461"/>
      <c r="BYY63" s="3461"/>
      <c r="BYZ63" s="3461"/>
      <c r="BZA63" s="3461"/>
      <c r="BZB63" s="3461"/>
      <c r="BZC63" s="3461"/>
      <c r="BZD63" s="3461"/>
      <c r="BZE63" s="3461"/>
      <c r="BZF63" s="3461"/>
      <c r="BZG63" s="3461"/>
      <c r="BZH63" s="3461"/>
      <c r="BZI63" s="3461"/>
      <c r="BZJ63" s="3461"/>
      <c r="BZK63" s="3461"/>
      <c r="BZL63" s="3461"/>
      <c r="BZM63" s="3461"/>
      <c r="BZN63" s="3461"/>
      <c r="BZO63" s="3461"/>
      <c r="BZP63" s="3461"/>
      <c r="BZQ63" s="3461"/>
      <c r="BZR63" s="3461"/>
      <c r="BZS63" s="3461"/>
      <c r="BZT63" s="3461"/>
      <c r="BZU63" s="3461"/>
      <c r="BZV63" s="3461"/>
      <c r="BZW63" s="3461"/>
      <c r="BZX63" s="3461"/>
      <c r="BZY63" s="3461"/>
      <c r="BZZ63" s="3461"/>
      <c r="CAA63" s="3461"/>
      <c r="CAB63" s="3461"/>
      <c r="CAC63" s="3461"/>
      <c r="CAD63" s="3461"/>
      <c r="CAE63" s="3461"/>
      <c r="CAF63" s="3461"/>
      <c r="CAG63" s="3461"/>
      <c r="CAH63" s="3461"/>
      <c r="CAI63" s="3461"/>
      <c r="CAJ63" s="3461"/>
      <c r="CAK63" s="3461"/>
      <c r="CAL63" s="3461"/>
      <c r="CAM63" s="3461"/>
      <c r="CAN63" s="3461"/>
      <c r="CAO63" s="3461"/>
      <c r="CAP63" s="3461"/>
      <c r="CAQ63" s="3461"/>
      <c r="CAR63" s="3461"/>
      <c r="CAS63" s="3461"/>
      <c r="CAT63" s="3461"/>
      <c r="CAU63" s="3461"/>
      <c r="CAV63" s="3461"/>
      <c r="CAW63" s="3461"/>
      <c r="CAX63" s="3461"/>
      <c r="CAY63" s="3461"/>
      <c r="CAZ63" s="3461"/>
      <c r="CBA63" s="3461"/>
      <c r="CBB63" s="3461"/>
      <c r="CBC63" s="3461"/>
      <c r="CBD63" s="3461"/>
      <c r="CBE63" s="3461"/>
      <c r="CBF63" s="3461"/>
      <c r="CBG63" s="3461"/>
      <c r="CBH63" s="3461"/>
      <c r="CBI63" s="3461"/>
      <c r="CBJ63" s="3461"/>
      <c r="CBK63" s="3461"/>
      <c r="CBL63" s="3461"/>
      <c r="CBM63" s="3461"/>
      <c r="CBN63" s="3461"/>
      <c r="CBO63" s="3461"/>
      <c r="CBP63" s="3461"/>
      <c r="CBQ63" s="3461"/>
      <c r="CBR63" s="3461"/>
      <c r="CBS63" s="3461"/>
      <c r="CBT63" s="3461"/>
      <c r="CBU63" s="3461"/>
      <c r="CBV63" s="3461"/>
      <c r="CBW63" s="3461"/>
      <c r="CBX63" s="3461"/>
      <c r="CBY63" s="3461"/>
      <c r="CBZ63" s="3461"/>
      <c r="CCA63" s="3461"/>
      <c r="CCB63" s="3461"/>
      <c r="CCC63" s="3461"/>
      <c r="CCD63" s="3461"/>
      <c r="CCE63" s="3461"/>
      <c r="CCF63" s="3461"/>
      <c r="CCG63" s="3461"/>
      <c r="CCH63" s="3461"/>
      <c r="CCI63" s="3461"/>
      <c r="CCJ63" s="3461"/>
      <c r="CCK63" s="3461"/>
      <c r="CCL63" s="3461"/>
      <c r="CCM63" s="3461"/>
      <c r="CCN63" s="3461"/>
      <c r="CCO63" s="3461"/>
      <c r="CCP63" s="3461"/>
      <c r="CCQ63" s="3461"/>
      <c r="CCR63" s="3461"/>
      <c r="CCS63" s="3461"/>
      <c r="CCT63" s="3461"/>
      <c r="CCU63" s="3461"/>
      <c r="CCV63" s="3461"/>
      <c r="CCW63" s="3461"/>
      <c r="CCX63" s="3461"/>
      <c r="CCY63" s="3461"/>
      <c r="CCZ63" s="3461"/>
      <c r="CDA63" s="3461"/>
      <c r="CDB63" s="3461"/>
      <c r="CDC63" s="3461"/>
      <c r="CDD63" s="3461"/>
      <c r="CDE63" s="3461"/>
      <c r="CDF63" s="3461"/>
      <c r="CDG63" s="3461"/>
      <c r="CDH63" s="3461"/>
      <c r="CDI63" s="3461"/>
      <c r="CDJ63" s="3461"/>
      <c r="CDK63" s="3461"/>
      <c r="CDL63" s="3461"/>
      <c r="CDM63" s="3461"/>
      <c r="CDN63" s="3461"/>
      <c r="CDO63" s="3461"/>
      <c r="CDP63" s="3461"/>
      <c r="CDQ63" s="3461"/>
      <c r="CDR63" s="3461"/>
      <c r="CDS63" s="3461"/>
      <c r="CDT63" s="3461"/>
      <c r="CDU63" s="3461"/>
      <c r="CDV63" s="3461"/>
      <c r="CDW63" s="3461"/>
      <c r="CDX63" s="3461"/>
      <c r="CDY63" s="3461"/>
      <c r="CDZ63" s="3461"/>
      <c r="CEA63" s="3461"/>
      <c r="CEB63" s="3461"/>
      <c r="CEC63" s="3461"/>
      <c r="CED63" s="3461"/>
      <c r="CEE63" s="3461"/>
      <c r="CEF63" s="3461"/>
      <c r="CEG63" s="3461"/>
      <c r="CEH63" s="3461"/>
      <c r="CEI63" s="3461"/>
      <c r="CEJ63" s="3461"/>
      <c r="CEK63" s="3461"/>
      <c r="CEL63" s="3461"/>
      <c r="CEM63" s="3461"/>
      <c r="CEN63" s="3461"/>
      <c r="CEO63" s="3461"/>
      <c r="CEP63" s="3461"/>
      <c r="CEQ63" s="3461"/>
      <c r="CER63" s="3461"/>
      <c r="CES63" s="3461"/>
      <c r="CET63" s="3461"/>
      <c r="CEU63" s="3461"/>
      <c r="CEV63" s="3461"/>
      <c r="CEW63" s="3461"/>
      <c r="CEX63" s="3461"/>
      <c r="CEY63" s="3461"/>
      <c r="CEZ63" s="3461"/>
      <c r="CFA63" s="3461"/>
      <c r="CFB63" s="3461"/>
      <c r="CFC63" s="3461"/>
      <c r="CFD63" s="3461"/>
      <c r="CFE63" s="3461"/>
      <c r="CFF63" s="3461"/>
      <c r="CFG63" s="3461"/>
      <c r="CFH63" s="3461"/>
      <c r="CFI63" s="3461"/>
      <c r="CFJ63" s="3461"/>
      <c r="CFK63" s="3461"/>
      <c r="CFL63" s="3461"/>
      <c r="CFM63" s="3461"/>
      <c r="CFN63" s="3461"/>
      <c r="CFO63" s="3461"/>
      <c r="CFP63" s="3461"/>
      <c r="CFQ63" s="3461"/>
      <c r="CFR63" s="3461"/>
      <c r="CFS63" s="3461"/>
      <c r="CFT63" s="3461"/>
      <c r="CFU63" s="3461"/>
      <c r="CFV63" s="3461"/>
      <c r="CFW63" s="3461"/>
      <c r="CFX63" s="3461"/>
      <c r="CFY63" s="3461"/>
      <c r="CFZ63" s="3461"/>
      <c r="CGA63" s="3461"/>
      <c r="CGB63" s="3461"/>
      <c r="CGC63" s="3461"/>
      <c r="CGD63" s="3461"/>
      <c r="CGE63" s="3461"/>
      <c r="CGF63" s="3461"/>
      <c r="CGG63" s="3461"/>
      <c r="CGH63" s="3461"/>
      <c r="CGI63" s="3461"/>
      <c r="CGJ63" s="3461"/>
      <c r="CGK63" s="3461"/>
      <c r="CGL63" s="3461"/>
      <c r="CGM63" s="3461"/>
      <c r="CGN63" s="3461"/>
      <c r="CGO63" s="3461"/>
      <c r="CGP63" s="3461"/>
      <c r="CGQ63" s="3461"/>
      <c r="CGR63" s="3461"/>
      <c r="CGS63" s="3461"/>
      <c r="CGT63" s="3461"/>
      <c r="CGU63" s="3461"/>
      <c r="CGV63" s="3461"/>
      <c r="CGW63" s="3461"/>
      <c r="CGX63" s="3461"/>
      <c r="CGY63" s="3461"/>
      <c r="CGZ63" s="3461"/>
      <c r="CHA63" s="3461"/>
      <c r="CHB63" s="3461"/>
      <c r="CHC63" s="3461"/>
      <c r="CHD63" s="3461"/>
      <c r="CHE63" s="3461"/>
      <c r="CHF63" s="3461"/>
      <c r="CHG63" s="3461"/>
      <c r="CHH63" s="3461"/>
      <c r="CHI63" s="3461"/>
      <c r="CHJ63" s="3461"/>
      <c r="CHK63" s="3461"/>
      <c r="CHL63" s="3461"/>
      <c r="CHM63" s="3461"/>
      <c r="CHN63" s="3461"/>
      <c r="CHO63" s="3461"/>
      <c r="CHP63" s="3461"/>
      <c r="CHQ63" s="3461"/>
      <c r="CHR63" s="3461"/>
      <c r="CHS63" s="3461"/>
      <c r="CHT63" s="3461"/>
      <c r="CHU63" s="3461"/>
      <c r="CHV63" s="3461"/>
      <c r="CHW63" s="3461"/>
      <c r="CHX63" s="3461"/>
      <c r="CHY63" s="3461"/>
      <c r="CHZ63" s="3461"/>
      <c r="CIA63" s="3461"/>
      <c r="CIB63" s="3461"/>
      <c r="CIC63" s="3461"/>
      <c r="CID63" s="3461"/>
      <c r="CIE63" s="3461"/>
      <c r="CIF63" s="3461"/>
      <c r="CIG63" s="3461"/>
      <c r="CIH63" s="3461"/>
      <c r="CII63" s="3461"/>
      <c r="CIJ63" s="3461"/>
      <c r="CIK63" s="3461"/>
      <c r="CIL63" s="3461"/>
      <c r="CIM63" s="3461"/>
      <c r="CIN63" s="3461"/>
      <c r="CIO63" s="3461"/>
      <c r="CIP63" s="3461"/>
      <c r="CIQ63" s="3461"/>
      <c r="CIR63" s="3461"/>
      <c r="CIS63" s="3461"/>
      <c r="CIT63" s="3461"/>
      <c r="CIU63" s="3461"/>
      <c r="CIV63" s="3461"/>
      <c r="CIW63" s="3461"/>
      <c r="CIX63" s="3461"/>
      <c r="CIY63" s="3461"/>
      <c r="CIZ63" s="3461"/>
      <c r="CJA63" s="3461"/>
      <c r="CJB63" s="3461"/>
      <c r="CJC63" s="3461"/>
      <c r="CJD63" s="3461"/>
      <c r="CJE63" s="3461"/>
      <c r="CJF63" s="3461"/>
      <c r="CJG63" s="3461"/>
      <c r="CJH63" s="3461"/>
      <c r="CJI63" s="3461"/>
      <c r="CJJ63" s="3461"/>
      <c r="CJK63" s="3461"/>
      <c r="CJL63" s="3461"/>
      <c r="CJM63" s="3461"/>
      <c r="CJN63" s="3461"/>
      <c r="CJO63" s="3461"/>
      <c r="CJP63" s="3461"/>
      <c r="CJQ63" s="3461"/>
      <c r="CJR63" s="3461"/>
      <c r="CJS63" s="3461"/>
      <c r="CJT63" s="3461"/>
      <c r="CJU63" s="3461"/>
      <c r="CJV63" s="3461"/>
      <c r="CJW63" s="3461"/>
      <c r="CJX63" s="3461"/>
      <c r="CJY63" s="3461"/>
      <c r="CJZ63" s="3461"/>
      <c r="CKA63" s="3461"/>
      <c r="CKB63" s="3461"/>
      <c r="CKC63" s="3461"/>
      <c r="CKD63" s="3461"/>
      <c r="CKE63" s="3461"/>
      <c r="CKF63" s="3461"/>
      <c r="CKG63" s="3461"/>
      <c r="CKH63" s="3461"/>
      <c r="CKI63" s="3461"/>
      <c r="CKJ63" s="3461"/>
      <c r="CKK63" s="3461"/>
      <c r="CKL63" s="3461"/>
      <c r="CKM63" s="3461"/>
      <c r="CKN63" s="3461"/>
      <c r="CKO63" s="3461"/>
      <c r="CKP63" s="3461"/>
      <c r="CKQ63" s="3461"/>
      <c r="CKR63" s="3461"/>
      <c r="CKS63" s="3461"/>
      <c r="CKT63" s="3461"/>
      <c r="CKU63" s="3461"/>
      <c r="CKV63" s="3461"/>
      <c r="CKW63" s="3461"/>
      <c r="CKX63" s="3461"/>
      <c r="CKY63" s="3461"/>
      <c r="CKZ63" s="3461"/>
      <c r="CLA63" s="3461"/>
      <c r="CLB63" s="3461"/>
      <c r="CLC63" s="3461"/>
      <c r="CLD63" s="3461"/>
      <c r="CLE63" s="3461"/>
      <c r="CLF63" s="3461"/>
      <c r="CLG63" s="3461"/>
      <c r="CLH63" s="3461"/>
      <c r="CLI63" s="3461"/>
      <c r="CLJ63" s="3461"/>
      <c r="CLK63" s="3461"/>
      <c r="CLL63" s="3461"/>
      <c r="CLM63" s="3461"/>
      <c r="CLN63" s="3461"/>
      <c r="CLO63" s="3461"/>
      <c r="CLP63" s="3461"/>
      <c r="CLQ63" s="3461"/>
      <c r="CLR63" s="3461"/>
      <c r="CLS63" s="3461"/>
      <c r="CLT63" s="3461"/>
      <c r="CLU63" s="3461"/>
      <c r="CLV63" s="3461"/>
      <c r="CLW63" s="3461"/>
      <c r="CLX63" s="3461"/>
      <c r="CLY63" s="3461"/>
      <c r="CLZ63" s="3461"/>
      <c r="CMA63" s="3461"/>
      <c r="CMB63" s="3461"/>
      <c r="CMC63" s="3461"/>
      <c r="CMD63" s="3461"/>
      <c r="CME63" s="3461"/>
      <c r="CMF63" s="3461"/>
      <c r="CMG63" s="3461"/>
      <c r="CMH63" s="3461"/>
      <c r="CMI63" s="3461"/>
      <c r="CMJ63" s="3461"/>
      <c r="CMK63" s="3461"/>
      <c r="CML63" s="3461"/>
      <c r="CMM63" s="3461"/>
      <c r="CMN63" s="3461"/>
      <c r="CMO63" s="3461"/>
      <c r="CMP63" s="3461"/>
      <c r="CMQ63" s="3461"/>
      <c r="CMR63" s="3461"/>
      <c r="CMS63" s="3461"/>
      <c r="CMT63" s="3461"/>
      <c r="CMU63" s="3461"/>
      <c r="CMV63" s="3461"/>
      <c r="CMW63" s="3461"/>
      <c r="CMX63" s="3461"/>
      <c r="CMY63" s="3461"/>
      <c r="CMZ63" s="3461"/>
      <c r="CNA63" s="3461"/>
      <c r="CNB63" s="3461"/>
      <c r="CNC63" s="3461"/>
      <c r="CND63" s="3461"/>
      <c r="CNE63" s="3461"/>
      <c r="CNF63" s="3461"/>
      <c r="CNG63" s="3461"/>
      <c r="CNH63" s="3461"/>
      <c r="CNI63" s="3461"/>
      <c r="CNJ63" s="3461"/>
      <c r="CNK63" s="3461"/>
      <c r="CNL63" s="3461"/>
      <c r="CNM63" s="3461"/>
      <c r="CNN63" s="3461"/>
      <c r="CNO63" s="3461"/>
      <c r="CNP63" s="3461"/>
      <c r="CNQ63" s="3461"/>
      <c r="CNR63" s="3461"/>
      <c r="CNS63" s="3461"/>
      <c r="CNT63" s="3461"/>
      <c r="CNU63" s="3461"/>
      <c r="CNV63" s="3461"/>
      <c r="CNW63" s="3461"/>
      <c r="CNX63" s="3461"/>
      <c r="CNY63" s="3461"/>
      <c r="CNZ63" s="3461"/>
      <c r="COA63" s="3461"/>
      <c r="COB63" s="3461"/>
      <c r="COC63" s="3461"/>
      <c r="COD63" s="3461"/>
      <c r="COE63" s="3461"/>
      <c r="COF63" s="3461"/>
      <c r="COG63" s="3461"/>
      <c r="COH63" s="3461"/>
      <c r="COI63" s="3461"/>
      <c r="COJ63" s="3461"/>
      <c r="COK63" s="3461"/>
      <c r="COL63" s="3461"/>
      <c r="COM63" s="3461"/>
      <c r="CON63" s="3461"/>
      <c r="COO63" s="3461"/>
      <c r="COP63" s="3461"/>
      <c r="COQ63" s="3461"/>
      <c r="COR63" s="3461"/>
      <c r="COS63" s="3461"/>
      <c r="COT63" s="3461"/>
      <c r="COU63" s="3461"/>
      <c r="COV63" s="3461"/>
      <c r="COW63" s="3461"/>
      <c r="COX63" s="3461"/>
      <c r="COY63" s="3461"/>
      <c r="COZ63" s="3461"/>
      <c r="CPA63" s="3461"/>
      <c r="CPB63" s="3461"/>
      <c r="CPC63" s="3461"/>
      <c r="CPD63" s="3461"/>
      <c r="CPE63" s="3461"/>
      <c r="CPF63" s="3461"/>
      <c r="CPG63" s="3461"/>
      <c r="CPH63" s="3461"/>
      <c r="CPI63" s="3461"/>
      <c r="CPJ63" s="3461"/>
      <c r="CPK63" s="3461"/>
      <c r="CPL63" s="3461"/>
      <c r="CPM63" s="3461"/>
      <c r="CPN63" s="3461"/>
      <c r="CPO63" s="3461"/>
      <c r="CPP63" s="3461"/>
      <c r="CPQ63" s="3461"/>
      <c r="CPR63" s="3461"/>
      <c r="CPS63" s="3461"/>
      <c r="CPT63" s="3461"/>
      <c r="CPU63" s="3461"/>
      <c r="CPV63" s="3461"/>
      <c r="CPW63" s="3461"/>
      <c r="CPX63" s="3461"/>
      <c r="CPY63" s="3461"/>
      <c r="CPZ63" s="3461"/>
      <c r="CQA63" s="3461"/>
      <c r="CQB63" s="3461"/>
      <c r="CQC63" s="3461"/>
      <c r="CQD63" s="3461"/>
      <c r="CQE63" s="3461"/>
      <c r="CQF63" s="3461"/>
      <c r="CQG63" s="3461"/>
      <c r="CQH63" s="3461"/>
      <c r="CQI63" s="3461"/>
      <c r="CQJ63" s="3461"/>
      <c r="CQK63" s="3461"/>
      <c r="CQL63" s="3461"/>
      <c r="CQM63" s="3461"/>
      <c r="CQN63" s="3461"/>
      <c r="CQO63" s="3461"/>
      <c r="CQP63" s="3461"/>
      <c r="CQQ63" s="3461"/>
      <c r="CQR63" s="3461"/>
      <c r="CQS63" s="3461"/>
      <c r="CQT63" s="3461"/>
      <c r="CQU63" s="3461"/>
      <c r="CQV63" s="3461"/>
      <c r="CQW63" s="3461"/>
      <c r="CQX63" s="3461"/>
      <c r="CQY63" s="3461"/>
      <c r="CQZ63" s="3461"/>
      <c r="CRA63" s="3461"/>
      <c r="CRB63" s="3461"/>
      <c r="CRC63" s="3461"/>
      <c r="CRD63" s="3461"/>
      <c r="CRE63" s="3461"/>
      <c r="CRF63" s="3461"/>
      <c r="CRG63" s="3461"/>
      <c r="CRH63" s="3461"/>
      <c r="CRI63" s="3461"/>
      <c r="CRJ63" s="3461"/>
      <c r="CRK63" s="3461"/>
      <c r="CRL63" s="3461"/>
      <c r="CRM63" s="3461"/>
      <c r="CRN63" s="3461"/>
      <c r="CRO63" s="3461"/>
      <c r="CRP63" s="3461"/>
      <c r="CRQ63" s="3461"/>
      <c r="CRR63" s="3461"/>
      <c r="CRS63" s="3461"/>
      <c r="CRT63" s="3461"/>
      <c r="CRU63" s="3461"/>
      <c r="CRV63" s="3461"/>
      <c r="CRW63" s="3461"/>
      <c r="CRX63" s="3461"/>
      <c r="CRY63" s="3461"/>
      <c r="CRZ63" s="3461"/>
      <c r="CSA63" s="3461"/>
      <c r="CSB63" s="3461"/>
      <c r="CSC63" s="3461"/>
      <c r="CSD63" s="3461"/>
      <c r="CSE63" s="3461"/>
      <c r="CSF63" s="3461"/>
      <c r="CSG63" s="3461"/>
      <c r="CSH63" s="3461"/>
      <c r="CSI63" s="3461"/>
      <c r="CSJ63" s="3461"/>
      <c r="CSK63" s="3461"/>
      <c r="CSL63" s="3461"/>
      <c r="CSM63" s="3461"/>
      <c r="CSN63" s="3461"/>
      <c r="CSO63" s="3461"/>
      <c r="CSP63" s="3461"/>
      <c r="CSQ63" s="3461"/>
      <c r="CSR63" s="3461"/>
      <c r="CSS63" s="3461"/>
      <c r="CST63" s="3461"/>
      <c r="CSU63" s="3461"/>
      <c r="CSV63" s="3461"/>
      <c r="CSW63" s="3461"/>
      <c r="CSX63" s="3461"/>
      <c r="CSY63" s="3461"/>
      <c r="CSZ63" s="3461"/>
      <c r="CTA63" s="3461"/>
      <c r="CTB63" s="3461"/>
      <c r="CTC63" s="3461"/>
      <c r="CTD63" s="3461"/>
      <c r="CTE63" s="3461"/>
      <c r="CTF63" s="3461"/>
      <c r="CTG63" s="3461"/>
      <c r="CTH63" s="3461"/>
      <c r="CTI63" s="3461"/>
      <c r="CTJ63" s="3461"/>
      <c r="CTK63" s="3461"/>
      <c r="CTL63" s="3461"/>
      <c r="CTM63" s="3461"/>
      <c r="CTN63" s="3461"/>
      <c r="CTO63" s="3461"/>
      <c r="CTP63" s="3461"/>
      <c r="CTQ63" s="3461"/>
      <c r="CTR63" s="3461"/>
      <c r="CTS63" s="3461"/>
      <c r="CTT63" s="3461"/>
      <c r="CTU63" s="3461"/>
      <c r="CTV63" s="3461"/>
      <c r="CTW63" s="3461"/>
      <c r="CTX63" s="3461"/>
      <c r="CTY63" s="3461"/>
      <c r="CTZ63" s="3461"/>
      <c r="CUA63" s="3461"/>
      <c r="CUB63" s="3461"/>
      <c r="CUC63" s="3461"/>
      <c r="CUD63" s="3461"/>
      <c r="CUE63" s="3461"/>
      <c r="CUF63" s="3461"/>
      <c r="CUG63" s="3461"/>
      <c r="CUH63" s="3461"/>
      <c r="CUI63" s="3461"/>
      <c r="CUJ63" s="3461"/>
      <c r="CUK63" s="3461"/>
      <c r="CUL63" s="3461"/>
      <c r="CUM63" s="3461"/>
      <c r="CUN63" s="3461"/>
      <c r="CUO63" s="3461"/>
      <c r="CUP63" s="3461"/>
      <c r="CUQ63" s="3461"/>
      <c r="CUR63" s="3461"/>
      <c r="CUS63" s="3461"/>
      <c r="CUT63" s="3461"/>
      <c r="CUU63" s="3461"/>
      <c r="CUV63" s="3461"/>
      <c r="CUW63" s="3461"/>
      <c r="CUX63" s="3461"/>
      <c r="CUY63" s="3461"/>
      <c r="CUZ63" s="3461"/>
      <c r="CVA63" s="3461"/>
      <c r="CVB63" s="3461"/>
      <c r="CVC63" s="3461"/>
      <c r="CVD63" s="3461"/>
      <c r="CVE63" s="3461"/>
      <c r="CVF63" s="3461"/>
      <c r="CVG63" s="3461"/>
      <c r="CVH63" s="3461"/>
      <c r="CVI63" s="3461"/>
      <c r="CVJ63" s="3461"/>
      <c r="CVK63" s="3461"/>
      <c r="CVL63" s="3461"/>
      <c r="CVM63" s="3461"/>
      <c r="CVN63" s="3461"/>
      <c r="CVO63" s="3461"/>
      <c r="CVP63" s="3461"/>
      <c r="CVQ63" s="3461"/>
      <c r="CVR63" s="3461"/>
      <c r="CVS63" s="3461"/>
      <c r="CVT63" s="3461"/>
      <c r="CVU63" s="3461"/>
      <c r="CVV63" s="3461"/>
      <c r="CVW63" s="3461"/>
      <c r="CVX63" s="3461"/>
      <c r="CVY63" s="3461"/>
      <c r="CVZ63" s="3461"/>
      <c r="CWA63" s="3461"/>
      <c r="CWB63" s="3461"/>
      <c r="CWC63" s="3461"/>
      <c r="CWD63" s="3461"/>
      <c r="CWE63" s="3461"/>
      <c r="CWF63" s="3461"/>
      <c r="CWG63" s="3461"/>
      <c r="CWH63" s="3461"/>
      <c r="CWI63" s="3461"/>
      <c r="CWJ63" s="3461"/>
      <c r="CWK63" s="3461"/>
      <c r="CWL63" s="3461"/>
      <c r="CWM63" s="3461"/>
      <c r="CWN63" s="3461"/>
      <c r="CWO63" s="3461"/>
      <c r="CWP63" s="3461"/>
      <c r="CWQ63" s="3461"/>
      <c r="CWR63" s="3461"/>
      <c r="CWS63" s="3461"/>
      <c r="CWT63" s="3461"/>
      <c r="CWU63" s="3461"/>
      <c r="CWV63" s="3461"/>
      <c r="CWW63" s="3461"/>
      <c r="CWX63" s="3461"/>
      <c r="CWY63" s="3461"/>
      <c r="CWZ63" s="3461"/>
      <c r="CXA63" s="3461"/>
      <c r="CXB63" s="3461"/>
      <c r="CXC63" s="3461"/>
      <c r="CXD63" s="3461"/>
      <c r="CXE63" s="3461"/>
      <c r="CXF63" s="3461"/>
      <c r="CXG63" s="3461"/>
      <c r="CXH63" s="3461"/>
      <c r="CXI63" s="3461"/>
      <c r="CXJ63" s="3461"/>
      <c r="CXK63" s="3461"/>
      <c r="CXL63" s="3461"/>
      <c r="CXM63" s="3461"/>
      <c r="CXN63" s="3461"/>
      <c r="CXO63" s="3461"/>
      <c r="CXP63" s="3461"/>
      <c r="CXQ63" s="3461"/>
      <c r="CXR63" s="3461"/>
      <c r="CXS63" s="3461"/>
      <c r="CXT63" s="3461"/>
      <c r="CXU63" s="3461"/>
      <c r="CXV63" s="3461"/>
      <c r="CXW63" s="3461"/>
      <c r="CXX63" s="3461"/>
      <c r="CXY63" s="3461"/>
      <c r="CXZ63" s="3461"/>
      <c r="CYA63" s="3461"/>
      <c r="CYB63" s="3461"/>
      <c r="CYC63" s="3461"/>
      <c r="CYD63" s="3461"/>
      <c r="CYE63" s="3461"/>
      <c r="CYF63" s="3461"/>
      <c r="CYG63" s="3461"/>
      <c r="CYH63" s="3461"/>
      <c r="CYI63" s="3461"/>
      <c r="CYJ63" s="3461"/>
      <c r="CYK63" s="3461"/>
      <c r="CYL63" s="3461"/>
      <c r="CYM63" s="3461"/>
      <c r="CYN63" s="3461"/>
      <c r="CYO63" s="3461"/>
      <c r="CYP63" s="3461"/>
      <c r="CYQ63" s="3461"/>
      <c r="CYR63" s="3461"/>
      <c r="CYS63" s="3461"/>
      <c r="CYT63" s="3461"/>
      <c r="CYU63" s="3461"/>
      <c r="CYV63" s="3461"/>
      <c r="CYW63" s="3461"/>
      <c r="CYX63" s="3461"/>
      <c r="CYY63" s="3461"/>
      <c r="CYZ63" s="3461"/>
      <c r="CZA63" s="3461"/>
      <c r="CZB63" s="3461"/>
      <c r="CZC63" s="3461"/>
      <c r="CZD63" s="3461"/>
      <c r="CZE63" s="3461"/>
      <c r="CZF63" s="3461"/>
      <c r="CZG63" s="3461"/>
      <c r="CZH63" s="3461"/>
      <c r="CZI63" s="3461"/>
      <c r="CZJ63" s="3461"/>
      <c r="CZK63" s="3461"/>
      <c r="CZL63" s="3461"/>
      <c r="CZM63" s="3461"/>
      <c r="CZN63" s="3461"/>
      <c r="CZO63" s="3461"/>
      <c r="CZP63" s="3461"/>
      <c r="CZQ63" s="3461"/>
      <c r="CZR63" s="3461"/>
      <c r="CZS63" s="3461"/>
      <c r="CZT63" s="3461"/>
      <c r="CZU63" s="3461"/>
      <c r="CZV63" s="3461"/>
      <c r="CZW63" s="3461"/>
      <c r="CZX63" s="3461"/>
      <c r="CZY63" s="3461"/>
      <c r="CZZ63" s="3461"/>
      <c r="DAA63" s="3461"/>
      <c r="DAB63" s="3461"/>
      <c r="DAC63" s="3461"/>
      <c r="DAD63" s="3461"/>
      <c r="DAE63" s="3461"/>
      <c r="DAF63" s="3461"/>
      <c r="DAG63" s="3461"/>
      <c r="DAH63" s="3461"/>
      <c r="DAI63" s="3461"/>
      <c r="DAJ63" s="3461"/>
      <c r="DAK63" s="3461"/>
      <c r="DAL63" s="3461"/>
      <c r="DAM63" s="3461"/>
      <c r="DAN63" s="3461"/>
      <c r="DAO63" s="3461"/>
      <c r="DAP63" s="3461"/>
      <c r="DAQ63" s="3461"/>
      <c r="DAR63" s="3461"/>
      <c r="DAS63" s="3461"/>
      <c r="DAT63" s="3461"/>
      <c r="DAU63" s="3461"/>
      <c r="DAV63" s="3461"/>
      <c r="DAW63" s="3461"/>
      <c r="DAX63" s="3461"/>
      <c r="DAY63" s="3461"/>
      <c r="DAZ63" s="3461"/>
      <c r="DBA63" s="3461"/>
      <c r="DBB63" s="3461"/>
      <c r="DBC63" s="3461"/>
      <c r="DBD63" s="3461"/>
      <c r="DBE63" s="3461"/>
      <c r="DBF63" s="3461"/>
      <c r="DBG63" s="3461"/>
      <c r="DBH63" s="3461"/>
      <c r="DBI63" s="3461"/>
      <c r="DBJ63" s="3461"/>
      <c r="DBK63" s="3461"/>
      <c r="DBL63" s="3461"/>
      <c r="DBM63" s="3461"/>
      <c r="DBN63" s="3461"/>
      <c r="DBO63" s="3461"/>
      <c r="DBP63" s="3461"/>
      <c r="DBQ63" s="3461"/>
      <c r="DBR63" s="3461"/>
      <c r="DBS63" s="3461"/>
      <c r="DBT63" s="3461"/>
      <c r="DBU63" s="3461"/>
      <c r="DBV63" s="3461"/>
      <c r="DBW63" s="3461"/>
      <c r="DBX63" s="3461"/>
      <c r="DBY63" s="3461"/>
      <c r="DBZ63" s="3461"/>
      <c r="DCA63" s="3461"/>
      <c r="DCB63" s="3461"/>
      <c r="DCC63" s="3461"/>
      <c r="DCD63" s="3461"/>
      <c r="DCE63" s="3461"/>
      <c r="DCF63" s="3461"/>
      <c r="DCG63" s="3461"/>
      <c r="DCH63" s="3461"/>
      <c r="DCI63" s="3461"/>
      <c r="DCJ63" s="3461"/>
      <c r="DCK63" s="3461"/>
      <c r="DCL63" s="3461"/>
      <c r="DCM63" s="3461"/>
      <c r="DCN63" s="3461"/>
      <c r="DCO63" s="3461"/>
      <c r="DCP63" s="3461"/>
      <c r="DCQ63" s="3461"/>
      <c r="DCR63" s="3461"/>
      <c r="DCS63" s="3461"/>
      <c r="DCT63" s="3461"/>
      <c r="DCU63" s="3461"/>
      <c r="DCV63" s="3461"/>
      <c r="DCW63" s="3461"/>
      <c r="DCX63" s="3461"/>
      <c r="DCY63" s="3461"/>
      <c r="DCZ63" s="3461"/>
      <c r="DDA63" s="3461"/>
      <c r="DDB63" s="3461"/>
      <c r="DDC63" s="3461"/>
      <c r="DDD63" s="3461"/>
      <c r="DDE63" s="3461"/>
      <c r="DDF63" s="3461"/>
      <c r="DDG63" s="3461"/>
      <c r="DDH63" s="3461"/>
      <c r="DDI63" s="3461"/>
      <c r="DDJ63" s="3461"/>
      <c r="DDK63" s="3461"/>
      <c r="DDL63" s="3461"/>
      <c r="DDM63" s="3461"/>
      <c r="DDN63" s="3461"/>
      <c r="DDO63" s="3461"/>
      <c r="DDP63" s="3461"/>
      <c r="DDQ63" s="3461"/>
      <c r="DDR63" s="3461"/>
      <c r="DDS63" s="3461"/>
      <c r="DDT63" s="3461"/>
      <c r="DDU63" s="3461"/>
      <c r="DDV63" s="3461"/>
      <c r="DDW63" s="3461"/>
      <c r="DDX63" s="3461"/>
      <c r="DDY63" s="3461"/>
      <c r="DDZ63" s="3461"/>
      <c r="DEA63" s="3461"/>
      <c r="DEB63" s="3461"/>
      <c r="DEC63" s="3461"/>
      <c r="DED63" s="3461"/>
      <c r="DEE63" s="3461"/>
      <c r="DEF63" s="3461"/>
      <c r="DEG63" s="3461"/>
      <c r="DEH63" s="3461"/>
      <c r="DEI63" s="3461"/>
      <c r="DEJ63" s="3461"/>
      <c r="DEK63" s="3461"/>
      <c r="DEL63" s="3461"/>
      <c r="DEM63" s="3461"/>
      <c r="DEN63" s="3461"/>
      <c r="DEO63" s="3461"/>
      <c r="DEP63" s="3461"/>
      <c r="DEQ63" s="3461"/>
      <c r="DER63" s="3461"/>
      <c r="DES63" s="3461"/>
      <c r="DET63" s="3461"/>
      <c r="DEU63" s="3461"/>
      <c r="DEV63" s="3461"/>
      <c r="DEW63" s="3461"/>
      <c r="DEX63" s="3461"/>
      <c r="DEY63" s="3461"/>
      <c r="DEZ63" s="3461"/>
      <c r="DFA63" s="3461"/>
      <c r="DFB63" s="3461"/>
      <c r="DFC63" s="3461"/>
      <c r="DFD63" s="3461"/>
      <c r="DFE63" s="3461"/>
      <c r="DFF63" s="3461"/>
      <c r="DFG63" s="3461"/>
      <c r="DFH63" s="3461"/>
      <c r="DFI63" s="3461"/>
      <c r="DFJ63" s="3461"/>
      <c r="DFK63" s="3461"/>
      <c r="DFL63" s="3461"/>
      <c r="DFM63" s="3461"/>
      <c r="DFN63" s="3461"/>
      <c r="DFO63" s="3461"/>
      <c r="DFP63" s="3461"/>
      <c r="DFQ63" s="3461"/>
      <c r="DFR63" s="3461"/>
      <c r="DFS63" s="3461"/>
      <c r="DFT63" s="3461"/>
      <c r="DFU63" s="3461"/>
      <c r="DFV63" s="3461"/>
      <c r="DFW63" s="3461"/>
      <c r="DFX63" s="3461"/>
      <c r="DFY63" s="3461"/>
      <c r="DFZ63" s="3461"/>
      <c r="DGA63" s="3461"/>
      <c r="DGB63" s="3461"/>
      <c r="DGC63" s="3461"/>
      <c r="DGD63" s="3461"/>
      <c r="DGE63" s="3461"/>
      <c r="DGF63" s="3461"/>
      <c r="DGG63" s="3461"/>
      <c r="DGH63" s="3461"/>
      <c r="DGI63" s="3461"/>
      <c r="DGJ63" s="3461"/>
      <c r="DGK63" s="3461"/>
      <c r="DGL63" s="3461"/>
      <c r="DGM63" s="3461"/>
      <c r="DGN63" s="3461"/>
      <c r="DGO63" s="3461"/>
      <c r="DGP63" s="3461"/>
      <c r="DGQ63" s="3461"/>
      <c r="DGR63" s="3461"/>
      <c r="DGS63" s="3461"/>
      <c r="DGT63" s="3461"/>
      <c r="DGU63" s="3461"/>
      <c r="DGV63" s="3461"/>
      <c r="DGW63" s="3461"/>
      <c r="DGX63" s="3461"/>
      <c r="DGY63" s="3461"/>
      <c r="DGZ63" s="3461"/>
      <c r="DHA63" s="3461"/>
      <c r="DHB63" s="3461"/>
      <c r="DHC63" s="3461"/>
      <c r="DHD63" s="3461"/>
      <c r="DHE63" s="3461"/>
      <c r="DHF63" s="3461"/>
      <c r="DHG63" s="3461"/>
      <c r="DHH63" s="3461"/>
      <c r="DHI63" s="3461"/>
      <c r="DHJ63" s="3461"/>
      <c r="DHK63" s="3461"/>
      <c r="DHL63" s="3461"/>
      <c r="DHM63" s="3461"/>
      <c r="DHN63" s="3461"/>
      <c r="DHO63" s="3461"/>
      <c r="DHP63" s="3461"/>
      <c r="DHQ63" s="3461"/>
      <c r="DHR63" s="3461"/>
      <c r="DHS63" s="3461"/>
      <c r="DHT63" s="3461"/>
      <c r="DHU63" s="3461"/>
      <c r="DHV63" s="3461"/>
      <c r="DHW63" s="3461"/>
      <c r="DHX63" s="3461"/>
      <c r="DHY63" s="3461"/>
      <c r="DHZ63" s="3461"/>
      <c r="DIA63" s="3461"/>
      <c r="DIB63" s="3461"/>
      <c r="DIC63" s="3461"/>
      <c r="DID63" s="3461"/>
      <c r="DIE63" s="3461"/>
      <c r="DIF63" s="3461"/>
      <c r="DIG63" s="3461"/>
      <c r="DIH63" s="3461"/>
      <c r="DII63" s="3461"/>
      <c r="DIJ63" s="3461"/>
      <c r="DIK63" s="3461"/>
      <c r="DIL63" s="3461"/>
      <c r="DIM63" s="3461"/>
      <c r="DIN63" s="3461"/>
      <c r="DIO63" s="3461"/>
      <c r="DIP63" s="3461"/>
      <c r="DIQ63" s="3461"/>
      <c r="DIR63" s="3461"/>
      <c r="DIS63" s="3461"/>
      <c r="DIT63" s="3461"/>
      <c r="DIU63" s="3461"/>
      <c r="DIV63" s="3461"/>
      <c r="DIW63" s="3461"/>
      <c r="DIX63" s="3461"/>
      <c r="DIY63" s="3461"/>
      <c r="DIZ63" s="3461"/>
      <c r="DJA63" s="3461"/>
      <c r="DJB63" s="3461"/>
      <c r="DJC63" s="3461"/>
      <c r="DJD63" s="3461"/>
      <c r="DJE63" s="3461"/>
      <c r="DJF63" s="3461"/>
      <c r="DJG63" s="3461"/>
      <c r="DJH63" s="3461"/>
      <c r="DJI63" s="3461"/>
      <c r="DJJ63" s="3461"/>
      <c r="DJK63" s="3461"/>
      <c r="DJL63" s="3461"/>
      <c r="DJM63" s="3461"/>
      <c r="DJN63" s="3461"/>
      <c r="DJO63" s="3461"/>
      <c r="DJP63" s="3461"/>
      <c r="DJQ63" s="3461"/>
      <c r="DJR63" s="3461"/>
      <c r="DJS63" s="3461"/>
      <c r="DJT63" s="3461"/>
      <c r="DJU63" s="3461"/>
      <c r="DJV63" s="3461"/>
      <c r="DJW63" s="3461"/>
      <c r="DJX63" s="3461"/>
      <c r="DJY63" s="3461"/>
      <c r="DJZ63" s="3461"/>
      <c r="DKA63" s="3461"/>
      <c r="DKB63" s="3461"/>
      <c r="DKC63" s="3461"/>
      <c r="DKD63" s="3461"/>
      <c r="DKE63" s="3461"/>
      <c r="DKF63" s="3461"/>
      <c r="DKG63" s="3461"/>
      <c r="DKH63" s="3461"/>
      <c r="DKI63" s="3461"/>
      <c r="DKJ63" s="3461"/>
      <c r="DKK63" s="3461"/>
      <c r="DKL63" s="3461"/>
      <c r="DKM63" s="3461"/>
      <c r="DKN63" s="3461"/>
      <c r="DKO63" s="3461"/>
      <c r="DKP63" s="3461"/>
      <c r="DKQ63" s="3461"/>
      <c r="DKR63" s="3461"/>
      <c r="DKS63" s="3461"/>
      <c r="DKT63" s="3461"/>
      <c r="DKU63" s="3461"/>
      <c r="DKV63" s="3461"/>
      <c r="DKW63" s="3461"/>
      <c r="DKX63" s="3461"/>
      <c r="DKY63" s="3461"/>
      <c r="DKZ63" s="3461"/>
      <c r="DLA63" s="3461"/>
      <c r="DLB63" s="3461"/>
      <c r="DLC63" s="3461"/>
      <c r="DLD63" s="3461"/>
      <c r="DLE63" s="3461"/>
      <c r="DLF63" s="3461"/>
      <c r="DLG63" s="3461"/>
      <c r="DLH63" s="3461"/>
      <c r="DLI63" s="3461"/>
      <c r="DLJ63" s="3461"/>
      <c r="DLK63" s="3461"/>
      <c r="DLL63" s="3461"/>
      <c r="DLM63" s="3461"/>
      <c r="DLN63" s="3461"/>
      <c r="DLO63" s="3461"/>
      <c r="DLP63" s="3461"/>
      <c r="DLQ63" s="3461"/>
      <c r="DLR63" s="3461"/>
      <c r="DLS63" s="3461"/>
      <c r="DLT63" s="3461"/>
      <c r="DLU63" s="3461"/>
      <c r="DLV63" s="3461"/>
      <c r="DLW63" s="3461"/>
      <c r="DLX63" s="3461"/>
      <c r="DLY63" s="3461"/>
      <c r="DLZ63" s="3461"/>
      <c r="DMA63" s="3461"/>
      <c r="DMB63" s="3461"/>
      <c r="DMC63" s="3461"/>
      <c r="DMD63" s="3461"/>
      <c r="DME63" s="3461"/>
      <c r="DMF63" s="3461"/>
      <c r="DMG63" s="3461"/>
      <c r="DMH63" s="3461"/>
      <c r="DMI63" s="3461"/>
      <c r="DMJ63" s="3461"/>
      <c r="DMK63" s="3461"/>
      <c r="DML63" s="3461"/>
      <c r="DMM63" s="3461"/>
      <c r="DMN63" s="3461"/>
      <c r="DMO63" s="3461"/>
      <c r="DMP63" s="3461"/>
      <c r="DMQ63" s="3461"/>
      <c r="DMR63" s="3461"/>
      <c r="DMS63" s="3461"/>
      <c r="DMT63" s="3461"/>
      <c r="DMU63" s="3461"/>
      <c r="DMV63" s="3461"/>
      <c r="DMW63" s="3461"/>
      <c r="DMX63" s="3461"/>
      <c r="DMY63" s="3461"/>
      <c r="DMZ63" s="3461"/>
      <c r="DNA63" s="3461"/>
      <c r="DNB63" s="3461"/>
      <c r="DNC63" s="3461"/>
      <c r="DND63" s="3461"/>
      <c r="DNE63" s="3461"/>
      <c r="DNF63" s="3461"/>
      <c r="DNG63" s="3461"/>
      <c r="DNH63" s="3461"/>
      <c r="DNI63" s="3461"/>
      <c r="DNJ63" s="3461"/>
      <c r="DNK63" s="3461"/>
      <c r="DNL63" s="3461"/>
      <c r="DNM63" s="3461"/>
      <c r="DNN63" s="3461"/>
      <c r="DNO63" s="3461"/>
      <c r="DNP63" s="3461"/>
      <c r="DNQ63" s="3461"/>
      <c r="DNR63" s="3461"/>
      <c r="DNS63" s="3461"/>
      <c r="DNT63" s="3461"/>
      <c r="DNU63" s="3461"/>
      <c r="DNV63" s="3461"/>
      <c r="DNW63" s="3461"/>
      <c r="DNX63" s="3461"/>
      <c r="DNY63" s="3461"/>
      <c r="DNZ63" s="3461"/>
      <c r="DOA63" s="3461"/>
      <c r="DOB63" s="3461"/>
      <c r="DOC63" s="3461"/>
      <c r="DOD63" s="3461"/>
      <c r="DOE63" s="3461"/>
      <c r="DOF63" s="3461"/>
      <c r="DOG63" s="3461"/>
      <c r="DOH63" s="3461"/>
      <c r="DOI63" s="3461"/>
      <c r="DOJ63" s="3461"/>
      <c r="DOK63" s="3461"/>
      <c r="DOL63" s="3461"/>
      <c r="DOM63" s="3461"/>
      <c r="DON63" s="3461"/>
      <c r="DOO63" s="3461"/>
      <c r="DOP63" s="3461"/>
      <c r="DOQ63" s="3461"/>
      <c r="DOR63" s="3461"/>
      <c r="DOS63" s="3461"/>
      <c r="DOT63" s="3461"/>
      <c r="DOU63" s="3461"/>
      <c r="DOV63" s="3461"/>
      <c r="DOW63" s="3461"/>
      <c r="DOX63" s="3461"/>
      <c r="DOY63" s="3461"/>
      <c r="DOZ63" s="3461"/>
      <c r="DPA63" s="3461"/>
      <c r="DPB63" s="3461"/>
      <c r="DPC63" s="3461"/>
      <c r="DPD63" s="3461"/>
      <c r="DPE63" s="3461"/>
      <c r="DPF63" s="3461"/>
      <c r="DPG63" s="3461"/>
      <c r="DPH63" s="3461"/>
      <c r="DPI63" s="3461"/>
      <c r="DPJ63" s="3461"/>
      <c r="DPK63" s="3461"/>
      <c r="DPL63" s="3461"/>
      <c r="DPM63" s="3461"/>
      <c r="DPN63" s="3461"/>
      <c r="DPO63" s="3461"/>
      <c r="DPP63" s="3461"/>
      <c r="DPQ63" s="3461"/>
      <c r="DPR63" s="3461"/>
      <c r="DPS63" s="3461"/>
      <c r="DPT63" s="3461"/>
      <c r="DPU63" s="3461"/>
      <c r="DPV63" s="3461"/>
      <c r="DPW63" s="3461"/>
      <c r="DPX63" s="3461"/>
      <c r="DPY63" s="3461"/>
      <c r="DPZ63" s="3461"/>
      <c r="DQA63" s="3461"/>
      <c r="DQB63" s="3461"/>
      <c r="DQC63" s="3461"/>
      <c r="DQD63" s="3461"/>
      <c r="DQE63" s="3461"/>
      <c r="DQF63" s="3461"/>
      <c r="DQG63" s="3461"/>
      <c r="DQH63" s="3461"/>
      <c r="DQI63" s="3461"/>
      <c r="DQJ63" s="3461"/>
      <c r="DQK63" s="3461"/>
      <c r="DQL63" s="3461"/>
      <c r="DQM63" s="3461"/>
      <c r="DQN63" s="3461"/>
      <c r="DQO63" s="3461"/>
      <c r="DQP63" s="3461"/>
      <c r="DQQ63" s="3461"/>
      <c r="DQR63" s="3461"/>
      <c r="DQS63" s="3461"/>
      <c r="DQT63" s="3461"/>
      <c r="DQU63" s="3461"/>
      <c r="DQV63" s="3461"/>
      <c r="DQW63" s="3461"/>
      <c r="DQX63" s="3461"/>
      <c r="DQY63" s="3461"/>
      <c r="DQZ63" s="3461"/>
      <c r="DRA63" s="3461"/>
      <c r="DRB63" s="3461"/>
      <c r="DRC63" s="3461"/>
      <c r="DRD63" s="3461"/>
      <c r="DRE63" s="3461"/>
      <c r="DRF63" s="3461"/>
      <c r="DRG63" s="3461"/>
      <c r="DRH63" s="3461"/>
      <c r="DRI63" s="3461"/>
      <c r="DRJ63" s="3461"/>
      <c r="DRK63" s="3461"/>
      <c r="DRL63" s="3461"/>
      <c r="DRM63" s="3461"/>
      <c r="DRN63" s="3461"/>
      <c r="DRO63" s="3461"/>
      <c r="DRP63" s="3461"/>
      <c r="DRQ63" s="3461"/>
      <c r="DRR63" s="3461"/>
      <c r="DRS63" s="3461"/>
      <c r="DRT63" s="3461"/>
      <c r="DRU63" s="3461"/>
      <c r="DRV63" s="3461"/>
      <c r="DRW63" s="3461"/>
      <c r="DRX63" s="3461"/>
      <c r="DRY63" s="3461"/>
      <c r="DRZ63" s="3461"/>
      <c r="DSA63" s="3461"/>
      <c r="DSB63" s="3461"/>
      <c r="DSC63" s="3461"/>
      <c r="DSD63" s="3461"/>
      <c r="DSE63" s="3461"/>
      <c r="DSF63" s="3461"/>
      <c r="DSG63" s="3461"/>
      <c r="DSH63" s="3461"/>
      <c r="DSI63" s="3461"/>
      <c r="DSJ63" s="3461"/>
      <c r="DSK63" s="3461"/>
      <c r="DSL63" s="3461"/>
      <c r="DSM63" s="3461"/>
      <c r="DSN63" s="3461"/>
      <c r="DSO63" s="3461"/>
      <c r="DSP63" s="3461"/>
      <c r="DSQ63" s="3461"/>
      <c r="DSR63" s="3461"/>
      <c r="DSS63" s="3461"/>
      <c r="DST63" s="3461"/>
      <c r="DSU63" s="3461"/>
      <c r="DSV63" s="3461"/>
      <c r="DSW63" s="3461"/>
      <c r="DSX63" s="3461"/>
      <c r="DSY63" s="3461"/>
      <c r="DSZ63" s="3461"/>
      <c r="DTA63" s="3461"/>
      <c r="DTB63" s="3461"/>
      <c r="DTC63" s="3461"/>
      <c r="DTD63" s="3461"/>
      <c r="DTE63" s="3461"/>
      <c r="DTF63" s="3461"/>
      <c r="DTG63" s="3461"/>
      <c r="DTH63" s="3461"/>
      <c r="DTI63" s="3461"/>
      <c r="DTJ63" s="3461"/>
      <c r="DTK63" s="3461"/>
      <c r="DTL63" s="3461"/>
      <c r="DTM63" s="3461"/>
      <c r="DTN63" s="3461"/>
      <c r="DTO63" s="3461"/>
      <c r="DTP63" s="3461"/>
      <c r="DTQ63" s="3461"/>
      <c r="DTR63" s="3461"/>
      <c r="DTS63" s="3461"/>
      <c r="DTT63" s="3461"/>
      <c r="DTU63" s="3461"/>
      <c r="DTV63" s="3461"/>
      <c r="DTW63" s="3461"/>
      <c r="DTX63" s="3461"/>
      <c r="DTY63" s="3461"/>
      <c r="DTZ63" s="3461"/>
      <c r="DUA63" s="3461"/>
      <c r="DUB63" s="3461"/>
      <c r="DUC63" s="3461"/>
      <c r="DUD63" s="3461"/>
      <c r="DUE63" s="3461"/>
      <c r="DUF63" s="3461"/>
      <c r="DUG63" s="3461"/>
      <c r="DUH63" s="3461"/>
      <c r="DUI63" s="3461"/>
      <c r="DUJ63" s="3461"/>
      <c r="DUK63" s="3461"/>
      <c r="DUL63" s="3461"/>
      <c r="DUM63" s="3461"/>
      <c r="DUN63" s="3461"/>
      <c r="DUO63" s="3461"/>
      <c r="DUP63" s="3461"/>
      <c r="DUQ63" s="3461"/>
      <c r="DUR63" s="3461"/>
      <c r="DUS63" s="3461"/>
      <c r="DUT63" s="3461"/>
      <c r="DUU63" s="3461"/>
      <c r="DUV63" s="3461"/>
      <c r="DUW63" s="3461"/>
      <c r="DUX63" s="3461"/>
      <c r="DUY63" s="3461"/>
      <c r="DUZ63" s="3461"/>
      <c r="DVA63" s="3461"/>
      <c r="DVB63" s="3461"/>
      <c r="DVC63" s="3461"/>
      <c r="DVD63" s="3461"/>
      <c r="DVE63" s="3461"/>
      <c r="DVF63" s="3461"/>
      <c r="DVG63" s="3461"/>
      <c r="DVH63" s="3461"/>
      <c r="DVI63" s="3461"/>
      <c r="DVJ63" s="3461"/>
      <c r="DVK63" s="3461"/>
      <c r="DVL63" s="3461"/>
      <c r="DVM63" s="3461"/>
      <c r="DVN63" s="3461"/>
      <c r="DVO63" s="3461"/>
      <c r="DVP63" s="3461"/>
      <c r="DVQ63" s="3461"/>
      <c r="DVR63" s="3461"/>
      <c r="DVS63" s="3461"/>
      <c r="DVT63" s="3461"/>
      <c r="DVU63" s="3461"/>
      <c r="DVV63" s="3461"/>
      <c r="DVW63" s="3461"/>
      <c r="DVX63" s="3461"/>
      <c r="DVY63" s="3461"/>
      <c r="DVZ63" s="3461"/>
      <c r="DWA63" s="3461"/>
      <c r="DWB63" s="3461"/>
      <c r="DWC63" s="3461"/>
      <c r="DWD63" s="3461"/>
      <c r="DWE63" s="3461"/>
      <c r="DWF63" s="3461"/>
      <c r="DWG63" s="3461"/>
      <c r="DWH63" s="3461"/>
      <c r="DWI63" s="3461"/>
      <c r="DWJ63" s="3461"/>
      <c r="DWK63" s="3461"/>
      <c r="DWL63" s="3461"/>
      <c r="DWM63" s="3461"/>
      <c r="DWN63" s="3461"/>
      <c r="DWO63" s="3461"/>
      <c r="DWP63" s="3461"/>
      <c r="DWQ63" s="3461"/>
      <c r="DWR63" s="3461"/>
      <c r="DWS63" s="3461"/>
      <c r="DWT63" s="3461"/>
      <c r="DWU63" s="3461"/>
      <c r="DWV63" s="3461"/>
      <c r="DWW63" s="3461"/>
      <c r="DWX63" s="3461"/>
      <c r="DWY63" s="3461"/>
      <c r="DWZ63" s="3461"/>
      <c r="DXA63" s="3461"/>
      <c r="DXB63" s="3461"/>
      <c r="DXC63" s="3461"/>
      <c r="DXD63" s="3461"/>
      <c r="DXE63" s="3461"/>
      <c r="DXF63" s="3461"/>
      <c r="DXG63" s="3461"/>
      <c r="DXH63" s="3461"/>
      <c r="DXI63" s="3461"/>
      <c r="DXJ63" s="3461"/>
      <c r="DXK63" s="3461"/>
      <c r="DXL63" s="3461"/>
      <c r="DXM63" s="3461"/>
      <c r="DXN63" s="3461"/>
      <c r="DXO63" s="3461"/>
      <c r="DXP63" s="3461"/>
      <c r="DXQ63" s="3461"/>
      <c r="DXR63" s="3461"/>
      <c r="DXS63" s="3461"/>
      <c r="DXT63" s="3461"/>
      <c r="DXU63" s="3461"/>
      <c r="DXV63" s="3461"/>
      <c r="DXW63" s="3461"/>
      <c r="DXX63" s="3461"/>
      <c r="DXY63" s="3461"/>
      <c r="DXZ63" s="3461"/>
      <c r="DYA63" s="3461"/>
      <c r="DYB63" s="3461"/>
      <c r="DYC63" s="3461"/>
      <c r="DYD63" s="3461"/>
      <c r="DYE63" s="3461"/>
      <c r="DYF63" s="3461"/>
      <c r="DYG63" s="3461"/>
      <c r="DYH63" s="3461"/>
      <c r="DYI63" s="3461"/>
      <c r="DYJ63" s="3461"/>
      <c r="DYK63" s="3461"/>
      <c r="DYL63" s="3461"/>
      <c r="DYM63" s="3461"/>
      <c r="DYN63" s="3461"/>
      <c r="DYO63" s="3461"/>
      <c r="DYP63" s="3461"/>
      <c r="DYQ63" s="3461"/>
      <c r="DYR63" s="3461"/>
      <c r="DYS63" s="3461"/>
      <c r="DYT63" s="3461"/>
      <c r="DYU63" s="3461"/>
      <c r="DYV63" s="3461"/>
      <c r="DYW63" s="3461"/>
      <c r="DYX63" s="3461"/>
      <c r="DYY63" s="3461"/>
      <c r="DYZ63" s="3461"/>
      <c r="DZA63" s="3461"/>
      <c r="DZB63" s="3461"/>
      <c r="DZC63" s="3461"/>
      <c r="DZD63" s="3461"/>
      <c r="DZE63" s="3461"/>
      <c r="DZF63" s="3461"/>
      <c r="DZG63" s="3461"/>
      <c r="DZH63" s="3461"/>
      <c r="DZI63" s="3461"/>
      <c r="DZJ63" s="3461"/>
      <c r="DZK63" s="3461"/>
      <c r="DZL63" s="3461"/>
      <c r="DZM63" s="3461"/>
      <c r="DZN63" s="3461"/>
      <c r="DZO63" s="3461"/>
      <c r="DZP63" s="3461"/>
      <c r="DZQ63" s="3461"/>
      <c r="DZR63" s="3461"/>
      <c r="DZS63" s="3461"/>
      <c r="DZT63" s="3461"/>
      <c r="DZU63" s="3461"/>
      <c r="DZV63" s="3461"/>
      <c r="DZW63" s="3461"/>
      <c r="DZX63" s="3461"/>
      <c r="DZY63" s="3461"/>
      <c r="DZZ63" s="3461"/>
      <c r="EAA63" s="3461"/>
      <c r="EAB63" s="3461"/>
      <c r="EAC63" s="3461"/>
      <c r="EAD63" s="3461"/>
      <c r="EAE63" s="3461"/>
      <c r="EAF63" s="3461"/>
      <c r="EAG63" s="3461"/>
      <c r="EAH63" s="3461"/>
      <c r="EAI63" s="3461"/>
      <c r="EAJ63" s="3461"/>
      <c r="EAK63" s="3461"/>
      <c r="EAL63" s="3461"/>
      <c r="EAM63" s="3461"/>
      <c r="EAN63" s="3461"/>
      <c r="EAO63" s="3461"/>
      <c r="EAP63" s="3461"/>
      <c r="EAQ63" s="3461"/>
      <c r="EAR63" s="3461"/>
      <c r="EAS63" s="3461"/>
      <c r="EAT63" s="3461"/>
      <c r="EAU63" s="3461"/>
      <c r="EAV63" s="3461"/>
      <c r="EAW63" s="3461"/>
      <c r="EAX63" s="3461"/>
      <c r="EAY63" s="3461"/>
      <c r="EAZ63" s="3461"/>
      <c r="EBA63" s="3461"/>
      <c r="EBB63" s="3461"/>
      <c r="EBC63" s="3461"/>
      <c r="EBD63" s="3461"/>
      <c r="EBE63" s="3461"/>
      <c r="EBF63" s="3461"/>
      <c r="EBG63" s="3461"/>
      <c r="EBH63" s="3461"/>
      <c r="EBI63" s="3461"/>
      <c r="EBJ63" s="3461"/>
      <c r="EBK63" s="3461"/>
      <c r="EBL63" s="3461"/>
      <c r="EBM63" s="3461"/>
      <c r="EBN63" s="3461"/>
      <c r="EBO63" s="3461"/>
      <c r="EBP63" s="3461"/>
      <c r="EBQ63" s="3461"/>
      <c r="EBR63" s="3461"/>
      <c r="EBS63" s="3461"/>
      <c r="EBT63" s="3461"/>
      <c r="EBU63" s="3461"/>
      <c r="EBV63" s="3461"/>
      <c r="EBW63" s="3461"/>
      <c r="EBX63" s="3461"/>
      <c r="EBY63" s="3461"/>
      <c r="EBZ63" s="3461"/>
      <c r="ECA63" s="3461"/>
      <c r="ECB63" s="3461"/>
      <c r="ECC63" s="3461"/>
      <c r="ECD63" s="3461"/>
      <c r="ECE63" s="3461"/>
      <c r="ECF63" s="3461"/>
      <c r="ECG63" s="3461"/>
      <c r="ECH63" s="3461"/>
      <c r="ECI63" s="3461"/>
      <c r="ECJ63" s="3461"/>
      <c r="ECK63" s="3461"/>
      <c r="ECL63" s="3461"/>
      <c r="ECM63" s="3461"/>
      <c r="ECN63" s="3461"/>
      <c r="ECO63" s="3461"/>
      <c r="ECP63" s="3461"/>
      <c r="ECQ63" s="3461"/>
      <c r="ECR63" s="3461"/>
      <c r="ECS63" s="3461"/>
      <c r="ECT63" s="3461"/>
      <c r="ECU63" s="3461"/>
      <c r="ECV63" s="3461"/>
      <c r="ECW63" s="3461"/>
      <c r="ECX63" s="3461"/>
      <c r="ECY63" s="3461"/>
      <c r="ECZ63" s="3461"/>
      <c r="EDA63" s="3461"/>
      <c r="EDB63" s="3461"/>
      <c r="EDC63" s="3461"/>
      <c r="EDD63" s="3461"/>
      <c r="EDE63" s="3461"/>
      <c r="EDF63" s="3461"/>
      <c r="EDG63" s="3461"/>
      <c r="EDH63" s="3461"/>
      <c r="EDI63" s="3461"/>
      <c r="EDJ63" s="3461"/>
      <c r="EDK63" s="3461"/>
      <c r="EDL63" s="3461"/>
      <c r="EDM63" s="3461"/>
      <c r="EDN63" s="3461"/>
      <c r="EDO63" s="3461"/>
      <c r="EDP63" s="3461"/>
      <c r="EDQ63" s="3461"/>
      <c r="EDR63" s="3461"/>
      <c r="EDS63" s="3461"/>
      <c r="EDT63" s="3461"/>
      <c r="EDU63" s="3461"/>
      <c r="EDV63" s="3461"/>
      <c r="EDW63" s="3461"/>
      <c r="EDX63" s="3461"/>
      <c r="EDY63" s="3461"/>
      <c r="EDZ63" s="3461"/>
      <c r="EEA63" s="3461"/>
      <c r="EEB63" s="3461"/>
      <c r="EEC63" s="3461"/>
      <c r="EED63" s="3461"/>
      <c r="EEE63" s="3461"/>
      <c r="EEF63" s="3461"/>
      <c r="EEG63" s="3461"/>
      <c r="EEH63" s="3461"/>
      <c r="EEI63" s="3461"/>
      <c r="EEJ63" s="3461"/>
      <c r="EEK63" s="3461"/>
      <c r="EEL63" s="3461"/>
      <c r="EEM63" s="3461"/>
      <c r="EEN63" s="3461"/>
      <c r="EEO63" s="3461"/>
      <c r="EEP63" s="3461"/>
      <c r="EEQ63" s="3461"/>
      <c r="EER63" s="3461"/>
      <c r="EES63" s="3461"/>
      <c r="EET63" s="3461"/>
      <c r="EEU63" s="3461"/>
      <c r="EEV63" s="3461"/>
      <c r="EEW63" s="3461"/>
      <c r="EEX63" s="3461"/>
      <c r="EEY63" s="3461"/>
      <c r="EEZ63" s="3461"/>
      <c r="EFA63" s="3461"/>
      <c r="EFB63" s="3461"/>
      <c r="EFC63" s="3461"/>
      <c r="EFD63" s="3461"/>
      <c r="EFE63" s="3461"/>
      <c r="EFF63" s="3461"/>
      <c r="EFG63" s="3461"/>
      <c r="EFH63" s="3461"/>
      <c r="EFI63" s="3461"/>
      <c r="EFJ63" s="3461"/>
      <c r="EFK63" s="3461"/>
      <c r="EFL63" s="3461"/>
      <c r="EFM63" s="3461"/>
      <c r="EFN63" s="3461"/>
      <c r="EFO63" s="3461"/>
      <c r="EFP63" s="3461"/>
      <c r="EFQ63" s="3461"/>
      <c r="EFR63" s="3461"/>
      <c r="EFS63" s="3461"/>
      <c r="EFT63" s="3461"/>
      <c r="EFU63" s="3461"/>
      <c r="EFV63" s="3461"/>
      <c r="EFW63" s="3461"/>
      <c r="EFX63" s="3461"/>
      <c r="EFY63" s="3461"/>
      <c r="EFZ63" s="3461"/>
      <c r="EGA63" s="3461"/>
      <c r="EGB63" s="3461"/>
      <c r="EGC63" s="3461"/>
      <c r="EGD63" s="3461"/>
      <c r="EGE63" s="3461"/>
      <c r="EGF63" s="3461"/>
      <c r="EGG63" s="3461"/>
      <c r="EGH63" s="3461"/>
      <c r="EGI63" s="3461"/>
      <c r="EGJ63" s="3461"/>
      <c r="EGK63" s="3461"/>
      <c r="EGL63" s="3461"/>
      <c r="EGM63" s="3461"/>
      <c r="EGN63" s="3461"/>
      <c r="EGO63" s="3461"/>
      <c r="EGP63" s="3461"/>
      <c r="EGQ63" s="3461"/>
      <c r="EGR63" s="3461"/>
      <c r="EGS63" s="3461"/>
      <c r="EGT63" s="3461"/>
      <c r="EGU63" s="3461"/>
      <c r="EGV63" s="3461"/>
      <c r="EGW63" s="3461"/>
      <c r="EGX63" s="3461"/>
      <c r="EGY63" s="3461"/>
      <c r="EGZ63" s="3461"/>
      <c r="EHA63" s="3461"/>
      <c r="EHB63" s="3461"/>
      <c r="EHC63" s="3461"/>
      <c r="EHD63" s="3461"/>
      <c r="EHE63" s="3461"/>
      <c r="EHF63" s="3461"/>
      <c r="EHG63" s="3461"/>
      <c r="EHH63" s="3461"/>
      <c r="EHI63" s="3461"/>
      <c r="EHJ63" s="3461"/>
      <c r="EHK63" s="3461"/>
      <c r="EHL63" s="3461"/>
      <c r="EHM63" s="3461"/>
      <c r="EHN63" s="3461"/>
      <c r="EHO63" s="3461"/>
      <c r="EHP63" s="3461"/>
      <c r="EHQ63" s="3461"/>
      <c r="EHR63" s="3461"/>
      <c r="EHS63" s="3461"/>
      <c r="EHT63" s="3461"/>
      <c r="EHU63" s="3461"/>
      <c r="EHV63" s="3461"/>
      <c r="EHW63" s="3461"/>
      <c r="EHX63" s="3461"/>
      <c r="EHY63" s="3461"/>
      <c r="EHZ63" s="3461"/>
      <c r="EIA63" s="3461"/>
      <c r="EIB63" s="3461"/>
      <c r="EIC63" s="3461"/>
      <c r="EID63" s="3461"/>
      <c r="EIE63" s="3461"/>
      <c r="EIF63" s="3461"/>
      <c r="EIG63" s="3461"/>
      <c r="EIH63" s="3461"/>
      <c r="EII63" s="3461"/>
      <c r="EIJ63" s="3461"/>
      <c r="EIK63" s="3461"/>
      <c r="EIL63" s="3461"/>
      <c r="EIM63" s="3461"/>
      <c r="EIN63" s="3461"/>
      <c r="EIO63" s="3461"/>
      <c r="EIP63" s="3461"/>
      <c r="EIQ63" s="3461"/>
      <c r="EIR63" s="3461"/>
      <c r="EIS63" s="3461"/>
      <c r="EIT63" s="3461"/>
      <c r="EIU63" s="3461"/>
      <c r="EIV63" s="3461"/>
      <c r="EIW63" s="3461"/>
      <c r="EIX63" s="3461"/>
      <c r="EIY63" s="3461"/>
      <c r="EIZ63" s="3461"/>
      <c r="EJA63" s="3461"/>
      <c r="EJB63" s="3461"/>
      <c r="EJC63" s="3461"/>
      <c r="EJD63" s="3461"/>
      <c r="EJE63" s="3461"/>
      <c r="EJF63" s="3461"/>
      <c r="EJG63" s="3461"/>
      <c r="EJH63" s="3461"/>
      <c r="EJI63" s="3461"/>
      <c r="EJJ63" s="3461"/>
      <c r="EJK63" s="3461"/>
      <c r="EJL63" s="3461"/>
      <c r="EJM63" s="3461"/>
      <c r="EJN63" s="3461"/>
      <c r="EJO63" s="3461"/>
      <c r="EJP63" s="3461"/>
      <c r="EJQ63" s="3461"/>
      <c r="EJR63" s="3461"/>
      <c r="EJS63" s="3461"/>
      <c r="EJT63" s="3461"/>
      <c r="EJU63" s="3461"/>
      <c r="EJV63" s="3461"/>
      <c r="EJW63" s="3461"/>
      <c r="EJX63" s="3461"/>
      <c r="EJY63" s="3461"/>
      <c r="EJZ63" s="3461"/>
      <c r="EKA63" s="3461"/>
      <c r="EKB63" s="3461"/>
      <c r="EKC63" s="3461"/>
      <c r="EKD63" s="3461"/>
      <c r="EKE63" s="3461"/>
      <c r="EKF63" s="3461"/>
      <c r="EKG63" s="3461"/>
      <c r="EKH63" s="3461"/>
      <c r="EKI63" s="3461"/>
      <c r="EKJ63" s="3461"/>
      <c r="EKK63" s="3461"/>
      <c r="EKL63" s="3461"/>
      <c r="EKM63" s="3461"/>
      <c r="EKN63" s="3461"/>
      <c r="EKO63" s="3461"/>
      <c r="EKP63" s="3461"/>
      <c r="EKQ63" s="3461"/>
      <c r="EKR63" s="3461"/>
      <c r="EKS63" s="3461"/>
      <c r="EKT63" s="3461"/>
      <c r="EKU63" s="3461"/>
      <c r="EKV63" s="3461"/>
      <c r="EKW63" s="3461"/>
      <c r="EKX63" s="3461"/>
      <c r="EKY63" s="3461"/>
      <c r="EKZ63" s="3461"/>
      <c r="ELA63" s="3461"/>
      <c r="ELB63" s="3461"/>
      <c r="ELC63" s="3461"/>
      <c r="ELD63" s="3461"/>
      <c r="ELE63" s="3461"/>
      <c r="ELF63" s="3461"/>
      <c r="ELG63" s="3461"/>
      <c r="ELH63" s="3461"/>
      <c r="ELI63" s="3461"/>
      <c r="ELJ63" s="3461"/>
      <c r="ELK63" s="3461"/>
      <c r="ELL63" s="3461"/>
      <c r="ELM63" s="3461"/>
      <c r="ELN63" s="3461"/>
      <c r="ELO63" s="3461"/>
      <c r="ELP63" s="3461"/>
      <c r="ELQ63" s="3461"/>
      <c r="ELR63" s="3461"/>
      <c r="ELS63" s="3461"/>
      <c r="ELT63" s="3461"/>
      <c r="ELU63" s="3461"/>
      <c r="ELV63" s="3461"/>
      <c r="ELW63" s="3461"/>
      <c r="ELX63" s="3461"/>
      <c r="ELY63" s="3461"/>
      <c r="ELZ63" s="3461"/>
      <c r="EMA63" s="3461"/>
      <c r="EMB63" s="3461"/>
      <c r="EMC63" s="3461"/>
      <c r="EMD63" s="3461"/>
      <c r="EME63" s="3461"/>
      <c r="EMF63" s="3461"/>
      <c r="EMG63" s="3461"/>
      <c r="EMH63" s="3461"/>
      <c r="EMI63" s="3461"/>
      <c r="EMJ63" s="3461"/>
      <c r="EMK63" s="3461"/>
      <c r="EML63" s="3461"/>
      <c r="EMM63" s="3461"/>
      <c r="EMN63" s="3461"/>
      <c r="EMO63" s="3461"/>
      <c r="EMP63" s="3461"/>
      <c r="EMQ63" s="3461"/>
      <c r="EMR63" s="3461"/>
      <c r="EMS63" s="3461"/>
      <c r="EMT63" s="3461"/>
      <c r="EMU63" s="3461"/>
      <c r="EMV63" s="3461"/>
      <c r="EMW63" s="3461"/>
      <c r="EMX63" s="3461"/>
      <c r="EMY63" s="3461"/>
      <c r="EMZ63" s="3461"/>
      <c r="ENA63" s="3461"/>
      <c r="ENB63" s="3461"/>
      <c r="ENC63" s="3461"/>
      <c r="END63" s="3461"/>
      <c r="ENE63" s="3461"/>
      <c r="ENF63" s="3461"/>
      <c r="ENG63" s="3461"/>
      <c r="ENH63" s="3461"/>
      <c r="ENI63" s="3461"/>
      <c r="ENJ63" s="3461"/>
      <c r="ENK63" s="3461"/>
      <c r="ENL63" s="3461"/>
      <c r="ENM63" s="3461"/>
      <c r="ENN63" s="3461"/>
      <c r="ENO63" s="3461"/>
      <c r="ENP63" s="3461"/>
      <c r="ENQ63" s="3461"/>
      <c r="ENR63" s="3461"/>
      <c r="ENS63" s="3461"/>
      <c r="ENT63" s="3461"/>
      <c r="ENU63" s="3461"/>
      <c r="ENV63" s="3461"/>
      <c r="ENW63" s="3461"/>
      <c r="ENX63" s="3461"/>
      <c r="ENY63" s="3461"/>
      <c r="ENZ63" s="3461"/>
      <c r="EOA63" s="3461"/>
      <c r="EOB63" s="3461"/>
      <c r="EOC63" s="3461"/>
      <c r="EOD63" s="3461"/>
      <c r="EOE63" s="3461"/>
      <c r="EOF63" s="3461"/>
      <c r="EOG63" s="3461"/>
      <c r="EOH63" s="3461"/>
      <c r="EOI63" s="3461"/>
      <c r="EOJ63" s="3461"/>
      <c r="EOK63" s="3461"/>
      <c r="EOL63" s="3461"/>
      <c r="EOM63" s="3461"/>
      <c r="EON63" s="3461"/>
      <c r="EOO63" s="3461"/>
      <c r="EOP63" s="3461"/>
      <c r="EOQ63" s="3461"/>
      <c r="EOR63" s="3461"/>
      <c r="EOS63" s="3461"/>
      <c r="EOT63" s="3461"/>
      <c r="EOU63" s="3461"/>
      <c r="EOV63" s="3461"/>
      <c r="EOW63" s="3461"/>
      <c r="EOX63" s="3461"/>
      <c r="EOY63" s="3461"/>
      <c r="EOZ63" s="3461"/>
      <c r="EPA63" s="3461"/>
      <c r="EPB63" s="3461"/>
      <c r="EPC63" s="3461"/>
      <c r="EPD63" s="3461"/>
      <c r="EPE63" s="3461"/>
      <c r="EPF63" s="3461"/>
      <c r="EPG63" s="3461"/>
      <c r="EPH63" s="3461"/>
      <c r="EPI63" s="3461"/>
      <c r="EPJ63" s="3461"/>
      <c r="EPK63" s="3461"/>
      <c r="EPL63" s="3461"/>
      <c r="EPM63" s="3461"/>
      <c r="EPN63" s="3461"/>
      <c r="EPO63" s="3461"/>
      <c r="EPP63" s="3461"/>
      <c r="EPQ63" s="3461"/>
      <c r="EPR63" s="3461"/>
      <c r="EPS63" s="3461"/>
      <c r="EPT63" s="3461"/>
      <c r="EPU63" s="3461"/>
      <c r="EPV63" s="3461"/>
      <c r="EPW63" s="3461"/>
      <c r="EPX63" s="3461"/>
      <c r="EPY63" s="3461"/>
      <c r="EPZ63" s="3461"/>
      <c r="EQA63" s="3461"/>
      <c r="EQB63" s="3461"/>
      <c r="EQC63" s="3461"/>
      <c r="EQD63" s="3461"/>
      <c r="EQE63" s="3461"/>
      <c r="EQF63" s="3461"/>
      <c r="EQG63" s="3461"/>
      <c r="EQH63" s="3461"/>
      <c r="EQI63" s="3461"/>
      <c r="EQJ63" s="3461"/>
      <c r="EQK63" s="3461"/>
      <c r="EQL63" s="3461"/>
      <c r="EQM63" s="3461"/>
      <c r="EQN63" s="3461"/>
      <c r="EQO63" s="3461"/>
      <c r="EQP63" s="3461"/>
      <c r="EQQ63" s="3461"/>
      <c r="EQR63" s="3461"/>
      <c r="EQS63" s="3461"/>
      <c r="EQT63" s="3461"/>
      <c r="EQU63" s="3461"/>
      <c r="EQV63" s="3461"/>
      <c r="EQW63" s="3461"/>
      <c r="EQX63" s="3461"/>
      <c r="EQY63" s="3461"/>
      <c r="EQZ63" s="3461"/>
      <c r="ERA63" s="3461"/>
      <c r="ERB63" s="3461"/>
      <c r="ERC63" s="3461"/>
      <c r="ERD63" s="3461"/>
      <c r="ERE63" s="3461"/>
      <c r="ERF63" s="3461"/>
      <c r="ERG63" s="3461"/>
      <c r="ERH63" s="3461"/>
      <c r="ERI63" s="3461"/>
      <c r="ERJ63" s="3461"/>
      <c r="ERK63" s="3461"/>
      <c r="ERL63" s="3461"/>
      <c r="ERM63" s="3461"/>
      <c r="ERN63" s="3461"/>
      <c r="ERO63" s="3461"/>
      <c r="ERP63" s="3461"/>
      <c r="ERQ63" s="3461"/>
      <c r="ERR63" s="3461"/>
      <c r="ERS63" s="3461"/>
      <c r="ERT63" s="3461"/>
      <c r="ERU63" s="3461"/>
      <c r="ERV63" s="3461"/>
      <c r="ERW63" s="3461"/>
      <c r="ERX63" s="3461"/>
      <c r="ERY63" s="3461"/>
      <c r="ERZ63" s="3461"/>
      <c r="ESA63" s="3461"/>
      <c r="ESB63" s="3461"/>
      <c r="ESC63" s="3461"/>
      <c r="ESD63" s="3461"/>
      <c r="ESE63" s="3461"/>
      <c r="ESF63" s="3461"/>
      <c r="ESG63" s="3461"/>
      <c r="ESH63" s="3461"/>
      <c r="ESI63" s="3461"/>
      <c r="ESJ63" s="3461"/>
      <c r="ESK63" s="3461"/>
      <c r="ESL63" s="3461"/>
      <c r="ESM63" s="3461"/>
      <c r="ESN63" s="3461"/>
      <c r="ESO63" s="3461"/>
      <c r="ESP63" s="3461"/>
      <c r="ESQ63" s="3461"/>
      <c r="ESR63" s="3461"/>
      <c r="ESS63" s="3461"/>
      <c r="EST63" s="3461"/>
      <c r="ESU63" s="3461"/>
      <c r="ESV63" s="3461"/>
      <c r="ESW63" s="3461"/>
      <c r="ESX63" s="3461"/>
      <c r="ESY63" s="3461"/>
      <c r="ESZ63" s="3461"/>
      <c r="ETA63" s="3461"/>
      <c r="ETB63" s="3461"/>
      <c r="ETC63" s="3461"/>
      <c r="ETD63" s="3461"/>
      <c r="ETE63" s="3461"/>
      <c r="ETF63" s="3461"/>
      <c r="ETG63" s="3461"/>
      <c r="ETH63" s="3461"/>
      <c r="ETI63" s="3461"/>
      <c r="ETJ63" s="3461"/>
      <c r="ETK63" s="3461"/>
      <c r="ETL63" s="3461"/>
      <c r="ETM63" s="3461"/>
      <c r="ETN63" s="3461"/>
      <c r="ETO63" s="3461"/>
      <c r="ETP63" s="3461"/>
      <c r="ETQ63" s="3461"/>
      <c r="ETR63" s="3461"/>
      <c r="ETS63" s="3461"/>
      <c r="ETT63" s="3461"/>
      <c r="ETU63" s="3461"/>
      <c r="ETV63" s="3461"/>
      <c r="ETW63" s="3461"/>
      <c r="ETX63" s="3461"/>
      <c r="ETY63" s="3461"/>
      <c r="ETZ63" s="3461"/>
      <c r="EUA63" s="3461"/>
      <c r="EUB63" s="3461"/>
      <c r="EUC63" s="3461"/>
      <c r="EUD63" s="3461"/>
      <c r="EUE63" s="3461"/>
      <c r="EUF63" s="3461"/>
      <c r="EUG63" s="3461"/>
      <c r="EUH63" s="3461"/>
      <c r="EUI63" s="3461"/>
      <c r="EUJ63" s="3461"/>
      <c r="EUK63" s="3461"/>
      <c r="EUL63" s="3461"/>
      <c r="EUM63" s="3461"/>
      <c r="EUN63" s="3461"/>
      <c r="EUO63" s="3461"/>
      <c r="EUP63" s="3461"/>
      <c r="EUQ63" s="3461"/>
      <c r="EUR63" s="3461"/>
      <c r="EUS63" s="3461"/>
      <c r="EUT63" s="3461"/>
      <c r="EUU63" s="3461"/>
      <c r="EUV63" s="3461"/>
      <c r="EUW63" s="3461"/>
      <c r="EUX63" s="3461"/>
      <c r="EUY63" s="3461"/>
      <c r="EUZ63" s="3461"/>
      <c r="EVA63" s="3461"/>
      <c r="EVB63" s="3461"/>
      <c r="EVC63" s="3461"/>
      <c r="EVD63" s="3461"/>
      <c r="EVE63" s="3461"/>
      <c r="EVF63" s="3461"/>
      <c r="EVG63" s="3461"/>
      <c r="EVH63" s="3461"/>
      <c r="EVI63" s="3461"/>
      <c r="EVJ63" s="3461"/>
      <c r="EVK63" s="3461"/>
      <c r="EVL63" s="3461"/>
      <c r="EVM63" s="3461"/>
      <c r="EVN63" s="3461"/>
      <c r="EVO63" s="3461"/>
      <c r="EVP63" s="3461"/>
      <c r="EVQ63" s="3461"/>
      <c r="EVR63" s="3461"/>
      <c r="EVS63" s="3461"/>
      <c r="EVT63" s="3461"/>
      <c r="EVU63" s="3461"/>
      <c r="EVV63" s="3461"/>
      <c r="EVW63" s="3461"/>
      <c r="EVX63" s="3461"/>
      <c r="EVY63" s="3461"/>
      <c r="EVZ63" s="3461"/>
      <c r="EWA63" s="3461"/>
      <c r="EWB63" s="3461"/>
      <c r="EWC63" s="3461"/>
      <c r="EWD63" s="3461"/>
      <c r="EWE63" s="3461"/>
      <c r="EWF63" s="3461"/>
      <c r="EWG63" s="3461"/>
      <c r="EWH63" s="3461"/>
      <c r="EWI63" s="3461"/>
      <c r="EWJ63" s="3461"/>
      <c r="EWK63" s="3461"/>
      <c r="EWL63" s="3461"/>
      <c r="EWM63" s="3461"/>
      <c r="EWN63" s="3461"/>
      <c r="EWO63" s="3461"/>
      <c r="EWP63" s="3461"/>
      <c r="EWQ63" s="3461"/>
      <c r="EWR63" s="3461"/>
      <c r="EWS63" s="3461"/>
      <c r="EWT63" s="3461"/>
      <c r="EWU63" s="3461"/>
      <c r="EWV63" s="3461"/>
      <c r="EWW63" s="3461"/>
      <c r="EWX63" s="3461"/>
      <c r="EWY63" s="3461"/>
      <c r="EWZ63" s="3461"/>
      <c r="EXA63" s="3461"/>
      <c r="EXB63" s="3461"/>
      <c r="EXC63" s="3461"/>
      <c r="EXD63" s="3461"/>
      <c r="EXE63" s="3461"/>
      <c r="EXF63" s="3461"/>
      <c r="EXG63" s="3461"/>
      <c r="EXH63" s="3461"/>
      <c r="EXI63" s="3461"/>
      <c r="EXJ63" s="3461"/>
      <c r="EXK63" s="3461"/>
      <c r="EXL63" s="3461"/>
      <c r="EXM63" s="3461"/>
      <c r="EXN63" s="3461"/>
      <c r="EXO63" s="3461"/>
      <c r="EXP63" s="3461"/>
      <c r="EXQ63" s="3461"/>
      <c r="EXR63" s="3461"/>
      <c r="EXS63" s="3461"/>
      <c r="EXT63" s="3461"/>
      <c r="EXU63" s="3461"/>
      <c r="EXV63" s="3461"/>
      <c r="EXW63" s="3461"/>
      <c r="EXX63" s="3461"/>
      <c r="EXY63" s="3461"/>
      <c r="EXZ63" s="3461"/>
      <c r="EYA63" s="3461"/>
      <c r="EYB63" s="3461"/>
      <c r="EYC63" s="3461"/>
      <c r="EYD63" s="3461"/>
      <c r="EYE63" s="3461"/>
      <c r="EYF63" s="3461"/>
      <c r="EYG63" s="3461"/>
      <c r="EYH63" s="3461"/>
      <c r="EYI63" s="3461"/>
      <c r="EYJ63" s="3461"/>
      <c r="EYK63" s="3461"/>
      <c r="EYL63" s="3461"/>
      <c r="EYM63" s="3461"/>
      <c r="EYN63" s="3461"/>
      <c r="EYO63" s="3461"/>
      <c r="EYP63" s="3461"/>
      <c r="EYQ63" s="3461"/>
      <c r="EYR63" s="3461"/>
      <c r="EYS63" s="3461"/>
      <c r="EYT63" s="3461"/>
      <c r="EYU63" s="3461"/>
      <c r="EYV63" s="3461"/>
      <c r="EYW63" s="3461"/>
      <c r="EYX63" s="3461"/>
      <c r="EYY63" s="3461"/>
      <c r="EYZ63" s="3461"/>
      <c r="EZA63" s="3461"/>
      <c r="EZB63" s="3461"/>
      <c r="EZC63" s="3461"/>
      <c r="EZD63" s="3461"/>
      <c r="EZE63" s="3461"/>
      <c r="EZF63" s="3461"/>
      <c r="EZG63" s="3461"/>
      <c r="EZH63" s="3461"/>
      <c r="EZI63" s="3461"/>
      <c r="EZJ63" s="3461"/>
      <c r="EZK63" s="3461"/>
      <c r="EZL63" s="3461"/>
      <c r="EZM63" s="3461"/>
      <c r="EZN63" s="3461"/>
      <c r="EZO63" s="3461"/>
      <c r="EZP63" s="3461"/>
      <c r="EZQ63" s="3461"/>
      <c r="EZR63" s="3461"/>
      <c r="EZS63" s="3461"/>
      <c r="EZT63" s="3461"/>
      <c r="EZU63" s="3461"/>
      <c r="EZV63" s="3461"/>
      <c r="EZW63" s="3461"/>
      <c r="EZX63" s="3461"/>
      <c r="EZY63" s="3461"/>
      <c r="EZZ63" s="3461"/>
      <c r="FAA63" s="3461"/>
      <c r="FAB63" s="3461"/>
      <c r="FAC63" s="3461"/>
      <c r="FAD63" s="3461"/>
      <c r="FAE63" s="3461"/>
      <c r="FAF63" s="3461"/>
      <c r="FAG63" s="3461"/>
      <c r="FAH63" s="3461"/>
      <c r="FAI63" s="3461"/>
      <c r="FAJ63" s="3461"/>
      <c r="FAK63" s="3461"/>
      <c r="FAL63" s="3461"/>
      <c r="FAM63" s="3461"/>
      <c r="FAN63" s="3461"/>
      <c r="FAO63" s="3461"/>
      <c r="FAP63" s="3461"/>
      <c r="FAQ63" s="3461"/>
      <c r="FAR63" s="3461"/>
      <c r="FAS63" s="3461"/>
      <c r="FAT63" s="3461"/>
      <c r="FAU63" s="3461"/>
      <c r="FAV63" s="3461"/>
      <c r="FAW63" s="3461"/>
      <c r="FAX63" s="3461"/>
      <c r="FAY63" s="3461"/>
      <c r="FAZ63" s="3461"/>
      <c r="FBA63" s="3461"/>
      <c r="FBB63" s="3461"/>
      <c r="FBC63" s="3461"/>
      <c r="FBD63" s="3461"/>
      <c r="FBE63" s="3461"/>
      <c r="FBF63" s="3461"/>
      <c r="FBG63" s="3461"/>
      <c r="FBH63" s="3461"/>
      <c r="FBI63" s="3461"/>
      <c r="FBJ63" s="3461"/>
      <c r="FBK63" s="3461"/>
      <c r="FBL63" s="3461"/>
      <c r="FBM63" s="3461"/>
      <c r="FBN63" s="3461"/>
      <c r="FBO63" s="3461"/>
      <c r="FBP63" s="3461"/>
      <c r="FBQ63" s="3461"/>
      <c r="FBR63" s="3461"/>
      <c r="FBS63" s="3461"/>
      <c r="FBT63" s="3461"/>
      <c r="FBU63" s="3461"/>
      <c r="FBV63" s="3461"/>
      <c r="FBW63" s="3461"/>
      <c r="FBX63" s="3461"/>
      <c r="FBY63" s="3461"/>
      <c r="FBZ63" s="3461"/>
      <c r="FCA63" s="3461"/>
      <c r="FCB63" s="3461"/>
      <c r="FCC63" s="3461"/>
      <c r="FCD63" s="3461"/>
      <c r="FCE63" s="3461"/>
      <c r="FCF63" s="3461"/>
      <c r="FCG63" s="3461"/>
      <c r="FCH63" s="3461"/>
      <c r="FCI63" s="3461"/>
      <c r="FCJ63" s="3461"/>
      <c r="FCK63" s="3461"/>
      <c r="FCL63" s="3461"/>
      <c r="FCM63" s="3461"/>
      <c r="FCN63" s="3461"/>
      <c r="FCO63" s="3461"/>
      <c r="FCP63" s="3461"/>
      <c r="FCQ63" s="3461"/>
      <c r="FCR63" s="3461"/>
      <c r="FCS63" s="3461"/>
      <c r="FCT63" s="3461"/>
      <c r="FCU63" s="3461"/>
      <c r="FCV63" s="3461"/>
      <c r="FCW63" s="3461"/>
      <c r="FCX63" s="3461"/>
      <c r="FCY63" s="3461"/>
      <c r="FCZ63" s="3461"/>
      <c r="FDA63" s="3461"/>
      <c r="FDB63" s="3461"/>
      <c r="FDC63" s="3461"/>
      <c r="FDD63" s="3461"/>
      <c r="FDE63" s="3461"/>
      <c r="FDF63" s="3461"/>
      <c r="FDG63" s="3461"/>
      <c r="FDH63" s="3461"/>
      <c r="FDI63" s="3461"/>
      <c r="FDJ63" s="3461"/>
      <c r="FDK63" s="3461"/>
      <c r="FDL63" s="3461"/>
      <c r="FDM63" s="3461"/>
      <c r="FDN63" s="3461"/>
      <c r="FDO63" s="3461"/>
      <c r="FDP63" s="3461"/>
      <c r="FDQ63" s="3461"/>
      <c r="FDR63" s="3461"/>
      <c r="FDS63" s="3461"/>
      <c r="FDT63" s="3461"/>
      <c r="FDU63" s="3461"/>
      <c r="FDV63" s="3461"/>
      <c r="FDW63" s="3461"/>
      <c r="FDX63" s="3461"/>
      <c r="FDY63" s="3461"/>
      <c r="FDZ63" s="3461"/>
      <c r="FEA63" s="3461"/>
      <c r="FEB63" s="3461"/>
      <c r="FEC63" s="3461"/>
      <c r="FED63" s="3461"/>
      <c r="FEE63" s="3461"/>
      <c r="FEF63" s="3461"/>
      <c r="FEG63" s="3461"/>
      <c r="FEH63" s="3461"/>
      <c r="FEI63" s="3461"/>
      <c r="FEJ63" s="3461"/>
      <c r="FEK63" s="3461"/>
      <c r="FEL63" s="3461"/>
      <c r="FEM63" s="3461"/>
      <c r="FEN63" s="3461"/>
      <c r="FEO63" s="3461"/>
      <c r="FEP63" s="3461"/>
      <c r="FEQ63" s="3461"/>
      <c r="FER63" s="3461"/>
      <c r="FES63" s="3461"/>
      <c r="FET63" s="3461"/>
      <c r="FEU63" s="3461"/>
      <c r="FEV63" s="3461"/>
      <c r="FEW63" s="3461"/>
      <c r="FEX63" s="3461"/>
      <c r="FEY63" s="3461"/>
      <c r="FEZ63" s="3461"/>
      <c r="FFA63" s="3461"/>
      <c r="FFB63" s="3461"/>
      <c r="FFC63" s="3461"/>
      <c r="FFD63" s="3461"/>
      <c r="FFE63" s="3461"/>
      <c r="FFF63" s="3461"/>
      <c r="FFG63" s="3461"/>
      <c r="FFH63" s="3461"/>
      <c r="FFI63" s="3461"/>
      <c r="FFJ63" s="3461"/>
      <c r="FFK63" s="3461"/>
      <c r="FFL63" s="3461"/>
      <c r="FFM63" s="3461"/>
      <c r="FFN63" s="3461"/>
      <c r="FFO63" s="3461"/>
      <c r="FFP63" s="3461"/>
      <c r="FFQ63" s="3461"/>
      <c r="FFR63" s="3461"/>
      <c r="FFS63" s="3461"/>
      <c r="FFT63" s="3461"/>
      <c r="FFU63" s="3461"/>
      <c r="FFV63" s="3461"/>
      <c r="FFW63" s="3461"/>
      <c r="FFX63" s="3461"/>
      <c r="FFY63" s="3461"/>
      <c r="FFZ63" s="3461"/>
      <c r="FGA63" s="3461"/>
      <c r="FGB63" s="3461"/>
      <c r="FGC63" s="3461"/>
      <c r="FGD63" s="3461"/>
      <c r="FGE63" s="3461"/>
      <c r="FGF63" s="3461"/>
      <c r="FGG63" s="3461"/>
      <c r="FGH63" s="3461"/>
      <c r="FGI63" s="3461"/>
      <c r="FGJ63" s="3461"/>
      <c r="FGK63" s="3461"/>
      <c r="FGL63" s="3461"/>
      <c r="FGM63" s="3461"/>
      <c r="FGN63" s="3461"/>
      <c r="FGO63" s="3461"/>
      <c r="FGP63" s="3461"/>
      <c r="FGQ63" s="3461"/>
      <c r="FGR63" s="3461"/>
      <c r="FGS63" s="3461"/>
      <c r="FGT63" s="3461"/>
      <c r="FGU63" s="3461"/>
      <c r="FGV63" s="3461"/>
      <c r="FGW63" s="3461"/>
      <c r="FGX63" s="3461"/>
      <c r="FGY63" s="3461"/>
      <c r="FGZ63" s="3461"/>
      <c r="FHA63" s="3461"/>
      <c r="FHB63" s="3461"/>
      <c r="FHC63" s="3461"/>
      <c r="FHD63" s="3461"/>
      <c r="FHE63" s="3461"/>
      <c r="FHF63" s="3461"/>
      <c r="FHG63" s="3461"/>
      <c r="FHH63" s="3461"/>
      <c r="FHI63" s="3461"/>
      <c r="FHJ63" s="3461"/>
      <c r="FHK63" s="3461"/>
      <c r="FHL63" s="3461"/>
      <c r="FHM63" s="3461"/>
      <c r="FHN63" s="3461"/>
      <c r="FHO63" s="3461"/>
      <c r="FHP63" s="3461"/>
      <c r="FHQ63" s="3461"/>
      <c r="FHR63" s="3461"/>
      <c r="FHS63" s="3461"/>
      <c r="FHT63" s="3461"/>
      <c r="FHU63" s="3461"/>
      <c r="FHV63" s="3461"/>
      <c r="FHW63" s="3461"/>
      <c r="FHX63" s="3461"/>
      <c r="FHY63" s="3461"/>
      <c r="FHZ63" s="3461"/>
      <c r="FIA63" s="3461"/>
      <c r="FIB63" s="3461"/>
      <c r="FIC63" s="3461"/>
      <c r="FID63" s="3461"/>
      <c r="FIE63" s="3461"/>
      <c r="FIF63" s="3461"/>
      <c r="FIG63" s="3461"/>
      <c r="FIH63" s="3461"/>
      <c r="FII63" s="3461"/>
      <c r="FIJ63" s="3461"/>
      <c r="FIK63" s="3461"/>
      <c r="FIL63" s="3461"/>
      <c r="FIM63" s="3461"/>
      <c r="FIN63" s="3461"/>
      <c r="FIO63" s="3461"/>
      <c r="FIP63" s="3461"/>
      <c r="FIQ63" s="3461"/>
      <c r="FIR63" s="3461"/>
      <c r="FIS63" s="3461"/>
      <c r="FIT63" s="3461"/>
      <c r="FIU63" s="3461"/>
      <c r="FIV63" s="3461"/>
      <c r="FIW63" s="3461"/>
      <c r="FIX63" s="3461"/>
      <c r="FIY63" s="3461"/>
      <c r="FIZ63" s="3461"/>
      <c r="FJA63" s="3461"/>
      <c r="FJB63" s="3461"/>
      <c r="FJC63" s="3461"/>
      <c r="FJD63" s="3461"/>
      <c r="FJE63" s="3461"/>
      <c r="FJF63" s="3461"/>
      <c r="FJG63" s="3461"/>
      <c r="FJH63" s="3461"/>
      <c r="FJI63" s="3461"/>
      <c r="FJJ63" s="3461"/>
      <c r="FJK63" s="3461"/>
      <c r="FJL63" s="3461"/>
      <c r="FJM63" s="3461"/>
      <c r="FJN63" s="3461"/>
      <c r="FJO63" s="3461"/>
      <c r="FJP63" s="3461"/>
      <c r="FJQ63" s="3461"/>
      <c r="FJR63" s="3461"/>
      <c r="FJS63" s="3461"/>
      <c r="FJT63" s="3461"/>
      <c r="FJU63" s="3461"/>
      <c r="FJV63" s="3461"/>
      <c r="FJW63" s="3461"/>
      <c r="FJX63" s="3461"/>
      <c r="FJY63" s="3461"/>
      <c r="FJZ63" s="3461"/>
      <c r="FKA63" s="3461"/>
      <c r="FKB63" s="3461"/>
      <c r="FKC63" s="3461"/>
      <c r="FKD63" s="3461"/>
      <c r="FKE63" s="3461"/>
      <c r="FKF63" s="3461"/>
      <c r="FKG63" s="3461"/>
      <c r="FKH63" s="3461"/>
      <c r="FKI63" s="3461"/>
      <c r="FKJ63" s="3461"/>
      <c r="FKK63" s="3461"/>
      <c r="FKL63" s="3461"/>
      <c r="FKM63" s="3461"/>
      <c r="FKN63" s="3461"/>
      <c r="FKO63" s="3461"/>
      <c r="FKP63" s="3461"/>
      <c r="FKQ63" s="3461"/>
      <c r="FKR63" s="3461"/>
      <c r="FKS63" s="3461"/>
      <c r="FKT63" s="3461"/>
      <c r="FKU63" s="3461"/>
      <c r="FKV63" s="3461"/>
      <c r="FKW63" s="3461"/>
      <c r="FKX63" s="3461"/>
      <c r="FKY63" s="3461"/>
      <c r="FKZ63" s="3461"/>
      <c r="FLA63" s="3461"/>
      <c r="FLB63" s="3461"/>
      <c r="FLC63" s="3461"/>
      <c r="FLD63" s="3461"/>
      <c r="FLE63" s="3461"/>
      <c r="FLF63" s="3461"/>
      <c r="FLG63" s="3461"/>
      <c r="FLH63" s="3461"/>
      <c r="FLI63" s="3461"/>
      <c r="FLJ63" s="3461"/>
      <c r="FLK63" s="3461"/>
      <c r="FLL63" s="3461"/>
      <c r="FLM63" s="3461"/>
      <c r="FLN63" s="3461"/>
      <c r="FLO63" s="3461"/>
      <c r="FLP63" s="3461"/>
      <c r="FLQ63" s="3461"/>
      <c r="FLR63" s="3461"/>
      <c r="FLS63" s="3461"/>
      <c r="FLT63" s="3461"/>
      <c r="FLU63" s="3461"/>
      <c r="FLV63" s="3461"/>
      <c r="FLW63" s="3461"/>
      <c r="FLX63" s="3461"/>
      <c r="FLY63" s="3461"/>
      <c r="FLZ63" s="3461"/>
      <c r="FMA63" s="3461"/>
      <c r="FMB63" s="3461"/>
      <c r="FMC63" s="3461"/>
      <c r="FMD63" s="3461"/>
      <c r="FME63" s="3461"/>
      <c r="FMF63" s="3461"/>
      <c r="FMG63" s="3461"/>
      <c r="FMH63" s="3461"/>
      <c r="FMI63" s="3461"/>
      <c r="FMJ63" s="3461"/>
      <c r="FMK63" s="3461"/>
      <c r="FML63" s="3461"/>
      <c r="FMM63" s="3461"/>
      <c r="FMN63" s="3461"/>
      <c r="FMO63" s="3461"/>
      <c r="FMP63" s="3461"/>
      <c r="FMQ63" s="3461"/>
      <c r="FMR63" s="3461"/>
      <c r="FMS63" s="3461"/>
      <c r="FMT63" s="3461"/>
      <c r="FMU63" s="3461"/>
      <c r="FMV63" s="3461"/>
      <c r="FMW63" s="3461"/>
      <c r="FMX63" s="3461"/>
      <c r="FMY63" s="3461"/>
      <c r="FMZ63" s="3461"/>
      <c r="FNA63" s="3461"/>
      <c r="FNB63" s="3461"/>
      <c r="FNC63" s="3461"/>
      <c r="FND63" s="3461"/>
      <c r="FNE63" s="3461"/>
      <c r="FNF63" s="3461"/>
      <c r="FNG63" s="3461"/>
      <c r="FNH63" s="3461"/>
      <c r="FNI63" s="3461"/>
      <c r="FNJ63" s="3461"/>
      <c r="FNK63" s="3461"/>
      <c r="FNL63" s="3461"/>
      <c r="FNM63" s="3461"/>
      <c r="FNN63" s="3461"/>
      <c r="FNO63" s="3461"/>
      <c r="FNP63" s="3461"/>
      <c r="FNQ63" s="3461"/>
      <c r="FNR63" s="3461"/>
      <c r="FNS63" s="3461"/>
      <c r="FNT63" s="3461"/>
      <c r="FNU63" s="3461"/>
      <c r="FNV63" s="3461"/>
      <c r="FNW63" s="3461"/>
      <c r="FNX63" s="3461"/>
      <c r="FNY63" s="3461"/>
      <c r="FNZ63" s="3461"/>
      <c r="FOA63" s="3461"/>
      <c r="FOB63" s="3461"/>
      <c r="FOC63" s="3461"/>
      <c r="FOD63" s="3461"/>
      <c r="FOE63" s="3461"/>
      <c r="FOF63" s="3461"/>
      <c r="FOG63" s="3461"/>
      <c r="FOH63" s="3461"/>
      <c r="FOI63" s="3461"/>
      <c r="FOJ63" s="3461"/>
      <c r="FOK63" s="3461"/>
      <c r="FOL63" s="3461"/>
      <c r="FOM63" s="3461"/>
      <c r="FON63" s="3461"/>
      <c r="FOO63" s="3461"/>
      <c r="FOP63" s="3461"/>
      <c r="FOQ63" s="3461"/>
      <c r="FOR63" s="3461"/>
      <c r="FOS63" s="3461"/>
      <c r="FOT63" s="3461"/>
      <c r="FOU63" s="3461"/>
      <c r="FOV63" s="3461"/>
      <c r="FOW63" s="3461"/>
      <c r="FOX63" s="3461"/>
      <c r="FOY63" s="3461"/>
      <c r="FOZ63" s="3461"/>
      <c r="FPA63" s="3461"/>
      <c r="FPB63" s="3461"/>
      <c r="FPC63" s="3461"/>
      <c r="FPD63" s="3461"/>
      <c r="FPE63" s="3461"/>
      <c r="FPF63" s="3461"/>
      <c r="FPG63" s="3461"/>
      <c r="FPH63" s="3461"/>
      <c r="FPI63" s="3461"/>
      <c r="FPJ63" s="3461"/>
      <c r="FPK63" s="3461"/>
      <c r="FPL63" s="3461"/>
      <c r="FPM63" s="3461"/>
      <c r="FPN63" s="3461"/>
      <c r="FPO63" s="3461"/>
      <c r="FPP63" s="3461"/>
      <c r="FPQ63" s="3461"/>
      <c r="FPR63" s="3461"/>
      <c r="FPS63" s="3461"/>
      <c r="FPT63" s="3461"/>
      <c r="FPU63" s="3461"/>
      <c r="FPV63" s="3461"/>
      <c r="FPW63" s="3461"/>
      <c r="FPX63" s="3461"/>
      <c r="FPY63" s="3461"/>
      <c r="FPZ63" s="3461"/>
      <c r="FQA63" s="3461"/>
      <c r="FQB63" s="3461"/>
      <c r="FQC63" s="3461"/>
      <c r="FQD63" s="3461"/>
      <c r="FQE63" s="3461"/>
      <c r="FQF63" s="3461"/>
      <c r="FQG63" s="3461"/>
      <c r="FQH63" s="3461"/>
      <c r="FQI63" s="3461"/>
      <c r="FQJ63" s="3461"/>
      <c r="FQK63" s="3461"/>
      <c r="FQL63" s="3461"/>
      <c r="FQM63" s="3461"/>
      <c r="FQN63" s="3461"/>
      <c r="FQO63" s="3461"/>
      <c r="FQP63" s="3461"/>
      <c r="FQQ63" s="3461"/>
      <c r="FQR63" s="3461"/>
      <c r="FQS63" s="3461"/>
      <c r="FQT63" s="3461"/>
      <c r="FQU63" s="3461"/>
      <c r="FQV63" s="3461"/>
      <c r="FQW63" s="3461"/>
      <c r="FQX63" s="3461"/>
      <c r="FQY63" s="3461"/>
      <c r="FQZ63" s="3461"/>
      <c r="FRA63" s="3461"/>
      <c r="FRB63" s="3461"/>
      <c r="FRC63" s="3461"/>
      <c r="FRD63" s="3461"/>
      <c r="FRE63" s="3461"/>
      <c r="FRF63" s="3461"/>
      <c r="FRG63" s="3461"/>
      <c r="FRH63" s="3461"/>
      <c r="FRI63" s="3461"/>
      <c r="FRJ63" s="3461"/>
      <c r="FRK63" s="3461"/>
      <c r="FRL63" s="3461"/>
      <c r="FRM63" s="3461"/>
      <c r="FRN63" s="3461"/>
      <c r="FRO63" s="3461"/>
      <c r="FRP63" s="3461"/>
      <c r="FRQ63" s="3461"/>
      <c r="FRR63" s="3461"/>
      <c r="FRS63" s="3461"/>
      <c r="FRT63" s="3461"/>
      <c r="FRU63" s="3461"/>
      <c r="FRV63" s="3461"/>
      <c r="FRW63" s="3461"/>
      <c r="FRX63" s="3461"/>
      <c r="FRY63" s="3461"/>
      <c r="FRZ63" s="3461"/>
      <c r="FSA63" s="3461"/>
      <c r="FSB63" s="3461"/>
      <c r="FSC63" s="3461"/>
      <c r="FSD63" s="3461"/>
      <c r="FSE63" s="3461"/>
      <c r="FSF63" s="3461"/>
      <c r="FSG63" s="3461"/>
      <c r="FSH63" s="3461"/>
      <c r="FSI63" s="3461"/>
      <c r="FSJ63" s="3461"/>
      <c r="FSK63" s="3461"/>
      <c r="FSL63" s="3461"/>
      <c r="FSM63" s="3461"/>
      <c r="FSN63" s="3461"/>
      <c r="FSO63" s="3461"/>
      <c r="FSP63" s="3461"/>
      <c r="FSQ63" s="3461"/>
      <c r="FSR63" s="3461"/>
      <c r="FSS63" s="3461"/>
      <c r="FST63" s="3461"/>
      <c r="FSU63" s="3461"/>
      <c r="FSV63" s="3461"/>
      <c r="FSW63" s="3461"/>
      <c r="FSX63" s="3461"/>
      <c r="FSY63" s="3461"/>
      <c r="FSZ63" s="3461"/>
      <c r="FTA63" s="3461"/>
      <c r="FTB63" s="3461"/>
      <c r="FTC63" s="3461"/>
      <c r="FTD63" s="3461"/>
      <c r="FTE63" s="3461"/>
      <c r="FTF63" s="3461"/>
      <c r="FTG63" s="3461"/>
      <c r="FTH63" s="3461"/>
      <c r="FTI63" s="3461"/>
      <c r="FTJ63" s="3461"/>
      <c r="FTK63" s="3461"/>
      <c r="FTL63" s="3461"/>
      <c r="FTM63" s="3461"/>
      <c r="FTN63" s="3461"/>
      <c r="FTO63" s="3461"/>
      <c r="FTP63" s="3461"/>
      <c r="FTQ63" s="3461"/>
      <c r="FTR63" s="3461"/>
      <c r="FTS63" s="3461"/>
      <c r="FTT63" s="3461"/>
      <c r="FTU63" s="3461"/>
      <c r="FTV63" s="3461"/>
      <c r="FTW63" s="3461"/>
      <c r="FTX63" s="3461"/>
      <c r="FTY63" s="3461"/>
      <c r="FTZ63" s="3461"/>
      <c r="FUA63" s="3461"/>
      <c r="FUB63" s="3461"/>
      <c r="FUC63" s="3461"/>
      <c r="FUD63" s="3461"/>
      <c r="FUE63" s="3461"/>
      <c r="FUF63" s="3461"/>
      <c r="FUG63" s="3461"/>
      <c r="FUH63" s="3461"/>
      <c r="FUI63" s="3461"/>
      <c r="FUJ63" s="3461"/>
      <c r="FUK63" s="3461"/>
      <c r="FUL63" s="3461"/>
      <c r="FUM63" s="3461"/>
      <c r="FUN63" s="3461"/>
      <c r="FUO63" s="3461"/>
      <c r="FUP63" s="3461"/>
      <c r="FUQ63" s="3461"/>
      <c r="FUR63" s="3461"/>
      <c r="FUS63" s="3461"/>
      <c r="FUT63" s="3461"/>
      <c r="FUU63" s="3461"/>
      <c r="FUV63" s="3461"/>
      <c r="FUW63" s="3461"/>
      <c r="FUX63" s="3461"/>
      <c r="FUY63" s="3461"/>
      <c r="FUZ63" s="3461"/>
      <c r="FVA63" s="3461"/>
      <c r="FVB63" s="3461"/>
      <c r="FVC63" s="3461"/>
      <c r="FVD63" s="3461"/>
      <c r="FVE63" s="3461"/>
      <c r="FVF63" s="3461"/>
      <c r="FVG63" s="3461"/>
      <c r="FVH63" s="3461"/>
      <c r="FVI63" s="3461"/>
      <c r="FVJ63" s="3461"/>
      <c r="FVK63" s="3461"/>
      <c r="FVL63" s="3461"/>
      <c r="FVM63" s="3461"/>
      <c r="FVN63" s="3461"/>
      <c r="FVO63" s="3461"/>
      <c r="FVP63" s="3461"/>
      <c r="FVQ63" s="3461"/>
      <c r="FVR63" s="3461"/>
      <c r="FVS63" s="3461"/>
      <c r="FVT63" s="3461"/>
      <c r="FVU63" s="3461"/>
      <c r="FVV63" s="3461"/>
      <c r="FVW63" s="3461"/>
      <c r="FVX63" s="3461"/>
      <c r="FVY63" s="3461"/>
      <c r="FVZ63" s="3461"/>
      <c r="FWA63" s="3461"/>
      <c r="FWB63" s="3461"/>
      <c r="FWC63" s="3461"/>
      <c r="FWD63" s="3461"/>
      <c r="FWE63" s="3461"/>
      <c r="FWF63" s="3461"/>
      <c r="FWG63" s="3461"/>
      <c r="FWH63" s="3461"/>
      <c r="FWI63" s="3461"/>
      <c r="FWJ63" s="3461"/>
      <c r="FWK63" s="3461"/>
      <c r="FWL63" s="3461"/>
      <c r="FWM63" s="3461"/>
      <c r="FWN63" s="3461"/>
      <c r="FWO63" s="3461"/>
      <c r="FWP63" s="3461"/>
      <c r="FWQ63" s="3461"/>
      <c r="FWR63" s="3461"/>
      <c r="FWS63" s="3461"/>
      <c r="FWT63" s="3461"/>
      <c r="FWU63" s="3461"/>
      <c r="FWV63" s="3461"/>
      <c r="FWW63" s="3461"/>
      <c r="FWX63" s="3461"/>
      <c r="FWY63" s="3461"/>
      <c r="FWZ63" s="3461"/>
      <c r="FXA63" s="3461"/>
      <c r="FXB63" s="3461"/>
      <c r="FXC63" s="3461"/>
      <c r="FXD63" s="3461"/>
      <c r="FXE63" s="3461"/>
      <c r="FXF63" s="3461"/>
      <c r="FXG63" s="3461"/>
      <c r="FXH63" s="3461"/>
      <c r="FXI63" s="3461"/>
      <c r="FXJ63" s="3461"/>
      <c r="FXK63" s="3461"/>
      <c r="FXL63" s="3461"/>
      <c r="FXM63" s="3461"/>
      <c r="FXN63" s="3461"/>
      <c r="FXO63" s="3461"/>
      <c r="FXP63" s="3461"/>
      <c r="FXQ63" s="3461"/>
      <c r="FXR63" s="3461"/>
      <c r="FXS63" s="3461"/>
      <c r="FXT63" s="3461"/>
      <c r="FXU63" s="3461"/>
      <c r="FXV63" s="3461"/>
      <c r="FXW63" s="3461"/>
      <c r="FXX63" s="3461"/>
      <c r="FXY63" s="3461"/>
      <c r="FXZ63" s="3461"/>
      <c r="FYA63" s="3461"/>
      <c r="FYB63" s="3461"/>
      <c r="FYC63" s="3461"/>
      <c r="FYD63" s="3461"/>
      <c r="FYE63" s="3461"/>
      <c r="FYF63" s="3461"/>
      <c r="FYG63" s="3461"/>
      <c r="FYH63" s="3461"/>
      <c r="FYI63" s="3461"/>
      <c r="FYJ63" s="3461"/>
      <c r="FYK63" s="3461"/>
      <c r="FYL63" s="3461"/>
      <c r="FYM63" s="3461"/>
      <c r="FYN63" s="3461"/>
      <c r="FYO63" s="3461"/>
      <c r="FYP63" s="3461"/>
      <c r="FYQ63" s="3461"/>
      <c r="FYR63" s="3461"/>
      <c r="FYS63" s="3461"/>
      <c r="FYT63" s="3461"/>
      <c r="FYU63" s="3461"/>
      <c r="FYV63" s="3461"/>
      <c r="FYW63" s="3461"/>
      <c r="FYX63" s="3461"/>
      <c r="FYY63" s="3461"/>
      <c r="FYZ63" s="3461"/>
      <c r="FZA63" s="3461"/>
      <c r="FZB63" s="3461"/>
      <c r="FZC63" s="3461"/>
      <c r="FZD63" s="3461"/>
      <c r="FZE63" s="3461"/>
      <c r="FZF63" s="3461"/>
      <c r="FZG63" s="3461"/>
      <c r="FZH63" s="3461"/>
      <c r="FZI63" s="3461"/>
      <c r="FZJ63" s="3461"/>
      <c r="FZK63" s="3461"/>
      <c r="FZL63" s="3461"/>
      <c r="FZM63" s="3461"/>
      <c r="FZN63" s="3461"/>
      <c r="FZO63" s="3461"/>
      <c r="FZP63" s="3461"/>
      <c r="FZQ63" s="3461"/>
      <c r="FZR63" s="3461"/>
      <c r="FZS63" s="3461"/>
      <c r="FZT63" s="3461"/>
      <c r="FZU63" s="3461"/>
      <c r="FZV63" s="3461"/>
      <c r="FZW63" s="3461"/>
      <c r="FZX63" s="3461"/>
      <c r="FZY63" s="3461"/>
      <c r="FZZ63" s="3461"/>
      <c r="GAA63" s="3461"/>
      <c r="GAB63" s="3461"/>
      <c r="GAC63" s="3461"/>
      <c r="GAD63" s="3461"/>
      <c r="GAE63" s="3461"/>
      <c r="GAF63" s="3461"/>
      <c r="GAG63" s="3461"/>
      <c r="GAH63" s="3461"/>
      <c r="GAI63" s="3461"/>
      <c r="GAJ63" s="3461"/>
      <c r="GAK63" s="3461"/>
      <c r="GAL63" s="3461"/>
      <c r="GAM63" s="3461"/>
      <c r="GAN63" s="3461"/>
      <c r="GAO63" s="3461"/>
      <c r="GAP63" s="3461"/>
      <c r="GAQ63" s="3461"/>
      <c r="GAR63" s="3461"/>
      <c r="GAS63" s="3461"/>
      <c r="GAT63" s="3461"/>
      <c r="GAU63" s="3461"/>
      <c r="GAV63" s="3461"/>
      <c r="GAW63" s="3461"/>
      <c r="GAX63" s="3461"/>
      <c r="GAY63" s="3461"/>
      <c r="GAZ63" s="3461"/>
      <c r="GBA63" s="3461"/>
      <c r="GBB63" s="3461"/>
      <c r="GBC63" s="3461"/>
      <c r="GBD63" s="3461"/>
      <c r="GBE63" s="3461"/>
      <c r="GBF63" s="3461"/>
      <c r="GBG63" s="3461"/>
      <c r="GBH63" s="3461"/>
      <c r="GBI63" s="3461"/>
      <c r="GBJ63" s="3461"/>
      <c r="GBK63" s="3461"/>
      <c r="GBL63" s="3461"/>
      <c r="GBM63" s="3461"/>
      <c r="GBN63" s="3461"/>
      <c r="GBO63" s="3461"/>
      <c r="GBP63" s="3461"/>
      <c r="GBQ63" s="3461"/>
      <c r="GBR63" s="3461"/>
      <c r="GBS63" s="3461"/>
      <c r="GBT63" s="3461"/>
      <c r="GBU63" s="3461"/>
      <c r="GBV63" s="3461"/>
      <c r="GBW63" s="3461"/>
      <c r="GBX63" s="3461"/>
      <c r="GBY63" s="3461"/>
      <c r="GBZ63" s="3461"/>
      <c r="GCA63" s="3461"/>
      <c r="GCB63" s="3461"/>
      <c r="GCC63" s="3461"/>
      <c r="GCD63" s="3461"/>
      <c r="GCE63" s="3461"/>
      <c r="GCF63" s="3461"/>
      <c r="GCG63" s="3461"/>
      <c r="GCH63" s="3461"/>
      <c r="GCI63" s="3461"/>
      <c r="GCJ63" s="3461"/>
      <c r="GCK63" s="3461"/>
      <c r="GCL63" s="3461"/>
      <c r="GCM63" s="3461"/>
      <c r="GCN63" s="3461"/>
      <c r="GCO63" s="3461"/>
      <c r="GCP63" s="3461"/>
      <c r="GCQ63" s="3461"/>
      <c r="GCR63" s="3461"/>
      <c r="GCS63" s="3461"/>
      <c r="GCT63" s="3461"/>
      <c r="GCU63" s="3461"/>
      <c r="GCV63" s="3461"/>
      <c r="GCW63" s="3461"/>
      <c r="GCX63" s="3461"/>
      <c r="GCY63" s="3461"/>
      <c r="GCZ63" s="3461"/>
      <c r="GDA63" s="3461"/>
      <c r="GDB63" s="3461"/>
      <c r="GDC63" s="3461"/>
      <c r="GDD63" s="3461"/>
      <c r="GDE63" s="3461"/>
      <c r="GDF63" s="3461"/>
      <c r="GDG63" s="3461"/>
      <c r="GDH63" s="3461"/>
      <c r="GDI63" s="3461"/>
      <c r="GDJ63" s="3461"/>
      <c r="GDK63" s="3461"/>
      <c r="GDL63" s="3461"/>
      <c r="GDM63" s="3461"/>
      <c r="GDN63" s="3461"/>
      <c r="GDO63" s="3461"/>
      <c r="GDP63" s="3461"/>
      <c r="GDQ63" s="3461"/>
      <c r="GDR63" s="3461"/>
      <c r="GDS63" s="3461"/>
      <c r="GDT63" s="3461"/>
      <c r="GDU63" s="3461"/>
      <c r="GDV63" s="3461"/>
      <c r="GDW63" s="3461"/>
      <c r="GDX63" s="3461"/>
      <c r="GDY63" s="3461"/>
      <c r="GDZ63" s="3461"/>
      <c r="GEA63" s="3461"/>
      <c r="GEB63" s="3461"/>
      <c r="GEC63" s="3461"/>
      <c r="GED63" s="3461"/>
      <c r="GEE63" s="3461"/>
      <c r="GEF63" s="3461"/>
      <c r="GEG63" s="3461"/>
      <c r="GEH63" s="3461"/>
      <c r="GEI63" s="3461"/>
      <c r="GEJ63" s="3461"/>
      <c r="GEK63" s="3461"/>
      <c r="GEL63" s="3461"/>
      <c r="GEM63" s="3461"/>
      <c r="GEN63" s="3461"/>
      <c r="GEO63" s="3461"/>
      <c r="GEP63" s="3461"/>
      <c r="GEQ63" s="3461"/>
      <c r="GER63" s="3461"/>
      <c r="GES63" s="3461"/>
      <c r="GET63" s="3461"/>
      <c r="GEU63" s="3461"/>
      <c r="GEV63" s="3461"/>
      <c r="GEW63" s="3461"/>
      <c r="GEX63" s="3461"/>
      <c r="GEY63" s="3461"/>
      <c r="GEZ63" s="3461"/>
      <c r="GFA63" s="3461"/>
      <c r="GFB63" s="3461"/>
      <c r="GFC63" s="3461"/>
      <c r="GFD63" s="3461"/>
      <c r="GFE63" s="3461"/>
      <c r="GFF63" s="3461"/>
      <c r="GFG63" s="3461"/>
      <c r="GFH63" s="3461"/>
      <c r="GFI63" s="3461"/>
      <c r="GFJ63" s="3461"/>
      <c r="GFK63" s="3461"/>
      <c r="GFL63" s="3461"/>
      <c r="GFM63" s="3461"/>
      <c r="GFN63" s="3461"/>
      <c r="GFO63" s="3461"/>
      <c r="GFP63" s="3461"/>
      <c r="GFQ63" s="3461"/>
      <c r="GFR63" s="3461"/>
      <c r="GFS63" s="3461"/>
      <c r="GFT63" s="3461"/>
      <c r="GFU63" s="3461"/>
      <c r="GFV63" s="3461"/>
      <c r="GFW63" s="3461"/>
      <c r="GFX63" s="3461"/>
      <c r="GFY63" s="3461"/>
      <c r="GFZ63" s="3461"/>
      <c r="GGA63" s="3461"/>
      <c r="GGB63" s="3461"/>
      <c r="GGC63" s="3461"/>
      <c r="GGD63" s="3461"/>
      <c r="GGE63" s="3461"/>
      <c r="GGF63" s="3461"/>
      <c r="GGG63" s="3461"/>
      <c r="GGH63" s="3461"/>
      <c r="GGI63" s="3461"/>
      <c r="GGJ63" s="3461"/>
      <c r="GGK63" s="3461"/>
      <c r="GGL63" s="3461"/>
      <c r="GGM63" s="3461"/>
      <c r="GGN63" s="3461"/>
      <c r="GGO63" s="3461"/>
      <c r="GGP63" s="3461"/>
      <c r="GGQ63" s="3461"/>
      <c r="GGR63" s="3461"/>
      <c r="GGS63" s="3461"/>
      <c r="GGT63" s="3461"/>
      <c r="GGU63" s="3461"/>
      <c r="GGV63" s="3461"/>
      <c r="GGW63" s="3461"/>
      <c r="GGX63" s="3461"/>
      <c r="GGY63" s="3461"/>
      <c r="GGZ63" s="3461"/>
      <c r="GHA63" s="3461"/>
      <c r="GHB63" s="3461"/>
      <c r="GHC63" s="3461"/>
      <c r="GHD63" s="3461"/>
      <c r="GHE63" s="3461"/>
      <c r="GHF63" s="3461"/>
      <c r="GHG63" s="3461"/>
      <c r="GHH63" s="3461"/>
      <c r="GHI63" s="3461"/>
      <c r="GHJ63" s="3461"/>
      <c r="GHK63" s="3461"/>
      <c r="GHL63" s="3461"/>
      <c r="GHM63" s="3461"/>
      <c r="GHN63" s="3461"/>
      <c r="GHO63" s="3461"/>
      <c r="GHP63" s="3461"/>
      <c r="GHQ63" s="3461"/>
      <c r="GHR63" s="3461"/>
      <c r="GHS63" s="3461"/>
      <c r="GHT63" s="3461"/>
      <c r="GHU63" s="3461"/>
      <c r="GHV63" s="3461"/>
      <c r="GHW63" s="3461"/>
      <c r="GHX63" s="3461"/>
      <c r="GHY63" s="3461"/>
      <c r="GHZ63" s="3461"/>
      <c r="GIA63" s="3461"/>
      <c r="GIB63" s="3461"/>
      <c r="GIC63" s="3461"/>
      <c r="GID63" s="3461"/>
      <c r="GIE63" s="3461"/>
      <c r="GIF63" s="3461"/>
      <c r="GIG63" s="3461"/>
      <c r="GIH63" s="3461"/>
      <c r="GII63" s="3461"/>
      <c r="GIJ63" s="3461"/>
      <c r="GIK63" s="3461"/>
      <c r="GIL63" s="3461"/>
      <c r="GIM63" s="3461"/>
      <c r="GIN63" s="3461"/>
      <c r="GIO63" s="3461"/>
      <c r="GIP63" s="3461"/>
      <c r="GIQ63" s="3461"/>
      <c r="GIR63" s="3461"/>
      <c r="GIS63" s="3461"/>
      <c r="GIT63" s="3461"/>
      <c r="GIU63" s="3461"/>
      <c r="GIV63" s="3461"/>
      <c r="GIW63" s="3461"/>
      <c r="GIX63" s="3461"/>
      <c r="GIY63" s="3461"/>
      <c r="GIZ63" s="3461"/>
      <c r="GJA63" s="3461"/>
      <c r="GJB63" s="3461"/>
      <c r="GJC63" s="3461"/>
      <c r="GJD63" s="3461"/>
      <c r="GJE63" s="3461"/>
      <c r="GJF63" s="3461"/>
      <c r="GJG63" s="3461"/>
      <c r="GJH63" s="3461"/>
      <c r="GJI63" s="3461"/>
      <c r="GJJ63" s="3461"/>
      <c r="GJK63" s="3461"/>
      <c r="GJL63" s="3461"/>
      <c r="GJM63" s="3461"/>
      <c r="GJN63" s="3461"/>
      <c r="GJO63" s="3461"/>
      <c r="GJP63" s="3461"/>
      <c r="GJQ63" s="3461"/>
      <c r="GJR63" s="3461"/>
      <c r="GJS63" s="3461"/>
      <c r="GJT63" s="3461"/>
      <c r="GJU63" s="3461"/>
      <c r="GJV63" s="3461"/>
      <c r="GJW63" s="3461"/>
      <c r="GJX63" s="3461"/>
      <c r="GJY63" s="3461"/>
      <c r="GJZ63" s="3461"/>
      <c r="GKA63" s="3461"/>
      <c r="GKB63" s="3461"/>
      <c r="GKC63" s="3461"/>
      <c r="GKD63" s="3461"/>
      <c r="GKE63" s="3461"/>
      <c r="GKF63" s="3461"/>
      <c r="GKG63" s="3461"/>
      <c r="GKH63" s="3461"/>
      <c r="GKI63" s="3461"/>
      <c r="GKJ63" s="3461"/>
      <c r="GKK63" s="3461"/>
      <c r="GKL63" s="3461"/>
      <c r="GKM63" s="3461"/>
      <c r="GKN63" s="3461"/>
      <c r="GKO63" s="3461"/>
      <c r="GKP63" s="3461"/>
      <c r="GKQ63" s="3461"/>
      <c r="GKR63" s="3461"/>
      <c r="GKS63" s="3461"/>
      <c r="GKT63" s="3461"/>
      <c r="GKU63" s="3461"/>
      <c r="GKV63" s="3461"/>
      <c r="GKW63" s="3461"/>
      <c r="GKX63" s="3461"/>
      <c r="GKY63" s="3461"/>
      <c r="GKZ63" s="3461"/>
      <c r="GLA63" s="3461"/>
      <c r="GLB63" s="3461"/>
      <c r="GLC63" s="3461"/>
      <c r="GLD63" s="3461"/>
      <c r="GLE63" s="3461"/>
      <c r="GLF63" s="3461"/>
      <c r="GLG63" s="3461"/>
      <c r="GLH63" s="3461"/>
      <c r="GLI63" s="3461"/>
      <c r="GLJ63" s="3461"/>
      <c r="GLK63" s="3461"/>
      <c r="GLL63" s="3461"/>
      <c r="GLM63" s="3461"/>
      <c r="GLN63" s="3461"/>
      <c r="GLO63" s="3461"/>
      <c r="GLP63" s="3461"/>
      <c r="GLQ63" s="3461"/>
      <c r="GLR63" s="3461"/>
      <c r="GLS63" s="3461"/>
      <c r="GLT63" s="3461"/>
      <c r="GLU63" s="3461"/>
      <c r="GLV63" s="3461"/>
      <c r="GLW63" s="3461"/>
      <c r="GLX63" s="3461"/>
      <c r="GLY63" s="3461"/>
      <c r="GLZ63" s="3461"/>
      <c r="GMA63" s="3461"/>
      <c r="GMB63" s="3461"/>
      <c r="GMC63" s="3461"/>
      <c r="GMD63" s="3461"/>
      <c r="GME63" s="3461"/>
      <c r="GMF63" s="3461"/>
      <c r="GMG63" s="3461"/>
      <c r="GMH63" s="3461"/>
      <c r="GMI63" s="3461"/>
      <c r="GMJ63" s="3461"/>
      <c r="GMK63" s="3461"/>
      <c r="GML63" s="3461"/>
      <c r="GMM63" s="3461"/>
      <c r="GMN63" s="3461"/>
      <c r="GMO63" s="3461"/>
      <c r="GMP63" s="3461"/>
      <c r="GMQ63" s="3461"/>
      <c r="GMR63" s="3461"/>
      <c r="GMS63" s="3461"/>
      <c r="GMT63" s="3461"/>
      <c r="GMU63" s="3461"/>
      <c r="GMV63" s="3461"/>
      <c r="GMW63" s="3461"/>
      <c r="GMX63" s="3461"/>
      <c r="GMY63" s="3461"/>
      <c r="GMZ63" s="3461"/>
      <c r="GNA63" s="3461"/>
      <c r="GNB63" s="3461"/>
      <c r="GNC63" s="3461"/>
      <c r="GND63" s="3461"/>
      <c r="GNE63" s="3461"/>
      <c r="GNF63" s="3461"/>
      <c r="GNG63" s="3461"/>
      <c r="GNH63" s="3461"/>
      <c r="GNI63" s="3461"/>
      <c r="GNJ63" s="3461"/>
      <c r="GNK63" s="3461"/>
      <c r="GNL63" s="3461"/>
      <c r="GNM63" s="3461"/>
      <c r="GNN63" s="3461"/>
      <c r="GNO63" s="3461"/>
      <c r="GNP63" s="3461"/>
      <c r="GNQ63" s="3461"/>
      <c r="GNR63" s="3461"/>
      <c r="GNS63" s="3461"/>
      <c r="GNT63" s="3461"/>
      <c r="GNU63" s="3461"/>
      <c r="GNV63" s="3461"/>
      <c r="GNW63" s="3461"/>
      <c r="GNX63" s="3461"/>
      <c r="GNY63" s="3461"/>
      <c r="GNZ63" s="3461"/>
      <c r="GOA63" s="3461"/>
      <c r="GOB63" s="3461"/>
      <c r="GOC63" s="3461"/>
      <c r="GOD63" s="3461"/>
      <c r="GOE63" s="3461"/>
      <c r="GOF63" s="3461"/>
      <c r="GOG63" s="3461"/>
      <c r="GOH63" s="3461"/>
      <c r="GOI63" s="3461"/>
      <c r="GOJ63" s="3461"/>
      <c r="GOK63" s="3461"/>
      <c r="GOL63" s="3461"/>
      <c r="GOM63" s="3461"/>
      <c r="GON63" s="3461"/>
      <c r="GOO63" s="3461"/>
      <c r="GOP63" s="3461"/>
      <c r="GOQ63" s="3461"/>
      <c r="GOR63" s="3461"/>
      <c r="GOS63" s="3461"/>
      <c r="GOT63" s="3461"/>
      <c r="GOU63" s="3461"/>
      <c r="GOV63" s="3461"/>
      <c r="GOW63" s="3461"/>
      <c r="GOX63" s="3461"/>
      <c r="GOY63" s="3461"/>
      <c r="GOZ63" s="3461"/>
      <c r="GPA63" s="3461"/>
      <c r="GPB63" s="3461"/>
      <c r="GPC63" s="3461"/>
      <c r="GPD63" s="3461"/>
      <c r="GPE63" s="3461"/>
      <c r="GPF63" s="3461"/>
      <c r="GPG63" s="3461"/>
      <c r="GPH63" s="3461"/>
      <c r="GPI63" s="3461"/>
      <c r="GPJ63" s="3461"/>
      <c r="GPK63" s="3461"/>
      <c r="GPL63" s="3461"/>
      <c r="GPM63" s="3461"/>
      <c r="GPN63" s="3461"/>
      <c r="GPO63" s="3461"/>
      <c r="GPP63" s="3461"/>
      <c r="GPQ63" s="3461"/>
      <c r="GPR63" s="3461"/>
      <c r="GPS63" s="3461"/>
      <c r="GPT63" s="3461"/>
      <c r="GPU63" s="3461"/>
      <c r="GPV63" s="3461"/>
      <c r="GPW63" s="3461"/>
      <c r="GPX63" s="3461"/>
      <c r="GPY63" s="3461"/>
      <c r="GPZ63" s="3461"/>
      <c r="GQA63" s="3461"/>
      <c r="GQB63" s="3461"/>
      <c r="GQC63" s="3461"/>
      <c r="GQD63" s="3461"/>
      <c r="GQE63" s="3461"/>
      <c r="GQF63" s="3461"/>
      <c r="GQG63" s="3461"/>
      <c r="GQH63" s="3461"/>
      <c r="GQI63" s="3461"/>
      <c r="GQJ63" s="3461"/>
      <c r="GQK63" s="3461"/>
      <c r="GQL63" s="3461"/>
      <c r="GQM63" s="3461"/>
      <c r="GQN63" s="3461"/>
      <c r="GQO63" s="3461"/>
      <c r="GQP63" s="3461"/>
      <c r="GQQ63" s="3461"/>
      <c r="GQR63" s="3461"/>
      <c r="GQS63" s="3461"/>
      <c r="GQT63" s="3461"/>
      <c r="GQU63" s="3461"/>
      <c r="GQV63" s="3461"/>
      <c r="GQW63" s="3461"/>
      <c r="GQX63" s="3461"/>
      <c r="GQY63" s="3461"/>
      <c r="GQZ63" s="3461"/>
      <c r="GRA63" s="3461"/>
      <c r="GRB63" s="3461"/>
      <c r="GRC63" s="3461"/>
      <c r="GRD63" s="3461"/>
      <c r="GRE63" s="3461"/>
      <c r="GRF63" s="3461"/>
      <c r="GRG63" s="3461"/>
      <c r="GRH63" s="3461"/>
      <c r="GRI63" s="3461"/>
      <c r="GRJ63" s="3461"/>
      <c r="GRK63" s="3461"/>
      <c r="GRL63" s="3461"/>
      <c r="GRM63" s="3461"/>
      <c r="GRN63" s="3461"/>
      <c r="GRO63" s="3461"/>
      <c r="GRP63" s="3461"/>
      <c r="GRQ63" s="3461"/>
      <c r="GRR63" s="3461"/>
      <c r="GRS63" s="3461"/>
      <c r="GRT63" s="3461"/>
      <c r="GRU63" s="3461"/>
      <c r="GRV63" s="3461"/>
      <c r="GRW63" s="3461"/>
      <c r="GRX63" s="3461"/>
      <c r="GRY63" s="3461"/>
      <c r="GRZ63" s="3461"/>
      <c r="GSA63" s="3461"/>
      <c r="GSB63" s="3461"/>
      <c r="GSC63" s="3461"/>
      <c r="GSD63" s="3461"/>
      <c r="GSE63" s="3461"/>
      <c r="GSF63" s="3461"/>
      <c r="GSG63" s="3461"/>
      <c r="GSH63" s="3461"/>
      <c r="GSI63" s="3461"/>
      <c r="GSJ63" s="3461"/>
      <c r="GSK63" s="3461"/>
      <c r="GSL63" s="3461"/>
      <c r="GSM63" s="3461"/>
      <c r="GSN63" s="3461"/>
      <c r="GSO63" s="3461"/>
      <c r="GSP63" s="3461"/>
      <c r="GSQ63" s="3461"/>
      <c r="GSR63" s="3461"/>
      <c r="GSS63" s="3461"/>
      <c r="GST63" s="3461"/>
      <c r="GSU63" s="3461"/>
      <c r="GSV63" s="3461"/>
      <c r="GSW63" s="3461"/>
      <c r="GSX63" s="3461"/>
      <c r="GSY63" s="3461"/>
      <c r="GSZ63" s="3461"/>
      <c r="GTA63" s="3461"/>
      <c r="GTB63" s="3461"/>
      <c r="GTC63" s="3461"/>
      <c r="GTD63" s="3461"/>
      <c r="GTE63" s="3461"/>
      <c r="GTF63" s="3461"/>
      <c r="GTG63" s="3461"/>
      <c r="GTH63" s="3461"/>
      <c r="GTI63" s="3461"/>
      <c r="GTJ63" s="3461"/>
      <c r="GTK63" s="3461"/>
      <c r="GTL63" s="3461"/>
      <c r="GTM63" s="3461"/>
      <c r="GTN63" s="3461"/>
      <c r="GTO63" s="3461"/>
      <c r="GTP63" s="3461"/>
      <c r="GTQ63" s="3461"/>
      <c r="GTR63" s="3461"/>
      <c r="GTS63" s="3461"/>
      <c r="GTT63" s="3461"/>
      <c r="GTU63" s="3461"/>
      <c r="GTV63" s="3461"/>
      <c r="GTW63" s="3461"/>
      <c r="GTX63" s="3461"/>
      <c r="GTY63" s="3461"/>
      <c r="GTZ63" s="3461"/>
      <c r="GUA63" s="3461"/>
      <c r="GUB63" s="3461"/>
      <c r="GUC63" s="3461"/>
      <c r="GUD63" s="3461"/>
      <c r="GUE63" s="3461"/>
      <c r="GUF63" s="3461"/>
      <c r="GUG63" s="3461"/>
      <c r="GUH63" s="3461"/>
      <c r="GUI63" s="3461"/>
      <c r="GUJ63" s="3461"/>
      <c r="GUK63" s="3461"/>
      <c r="GUL63" s="3461"/>
      <c r="GUM63" s="3461"/>
      <c r="GUN63" s="3461"/>
      <c r="GUO63" s="3461"/>
      <c r="GUP63" s="3461"/>
      <c r="GUQ63" s="3461"/>
      <c r="GUR63" s="3461"/>
      <c r="GUS63" s="3461"/>
      <c r="GUT63" s="3461"/>
      <c r="GUU63" s="3461"/>
      <c r="GUV63" s="3461"/>
      <c r="GUW63" s="3461"/>
      <c r="GUX63" s="3461"/>
      <c r="GUY63" s="3461"/>
      <c r="GUZ63" s="3461"/>
      <c r="GVA63" s="3461"/>
      <c r="GVB63" s="3461"/>
      <c r="GVC63" s="3461"/>
      <c r="GVD63" s="3461"/>
      <c r="GVE63" s="3461"/>
      <c r="GVF63" s="3461"/>
      <c r="GVG63" s="3461"/>
      <c r="GVH63" s="3461"/>
      <c r="GVI63" s="3461"/>
      <c r="GVJ63" s="3461"/>
      <c r="GVK63" s="3461"/>
      <c r="GVL63" s="3461"/>
      <c r="GVM63" s="3461"/>
      <c r="GVN63" s="3461"/>
      <c r="GVO63" s="3461"/>
      <c r="GVP63" s="3461"/>
      <c r="GVQ63" s="3461"/>
      <c r="GVR63" s="3461"/>
      <c r="GVS63" s="3461"/>
      <c r="GVT63" s="3461"/>
      <c r="GVU63" s="3461"/>
      <c r="GVV63" s="3461"/>
      <c r="GVW63" s="3461"/>
      <c r="GVX63" s="3461"/>
      <c r="GVY63" s="3461"/>
      <c r="GVZ63" s="3461"/>
      <c r="GWA63" s="3461"/>
      <c r="GWB63" s="3461"/>
      <c r="GWC63" s="3461"/>
      <c r="GWD63" s="3461"/>
      <c r="GWE63" s="3461"/>
      <c r="GWF63" s="3461"/>
      <c r="GWG63" s="3461"/>
      <c r="GWH63" s="3461"/>
      <c r="GWI63" s="3461"/>
      <c r="GWJ63" s="3461"/>
      <c r="GWK63" s="3461"/>
      <c r="GWL63" s="3461"/>
      <c r="GWM63" s="3461"/>
      <c r="GWN63" s="3461"/>
      <c r="GWO63" s="3461"/>
      <c r="GWP63" s="3461"/>
      <c r="GWQ63" s="3461"/>
      <c r="GWR63" s="3461"/>
      <c r="GWS63" s="3461"/>
      <c r="GWT63" s="3461"/>
      <c r="GWU63" s="3461"/>
      <c r="GWV63" s="3461"/>
      <c r="GWW63" s="3461"/>
      <c r="GWX63" s="3461"/>
      <c r="GWY63" s="3461"/>
      <c r="GWZ63" s="3461"/>
      <c r="GXA63" s="3461"/>
      <c r="GXB63" s="3461"/>
      <c r="GXC63" s="3461"/>
      <c r="GXD63" s="3461"/>
      <c r="GXE63" s="3461"/>
      <c r="GXF63" s="3461"/>
      <c r="GXG63" s="3461"/>
      <c r="GXH63" s="3461"/>
      <c r="GXI63" s="3461"/>
      <c r="GXJ63" s="3461"/>
      <c r="GXK63" s="3461"/>
      <c r="GXL63" s="3461"/>
      <c r="GXM63" s="3461"/>
      <c r="GXN63" s="3461"/>
      <c r="GXO63" s="3461"/>
      <c r="GXP63" s="3461"/>
      <c r="GXQ63" s="3461"/>
      <c r="GXR63" s="3461"/>
      <c r="GXS63" s="3461"/>
      <c r="GXT63" s="3461"/>
      <c r="GXU63" s="3461"/>
      <c r="GXV63" s="3461"/>
      <c r="GXW63" s="3461"/>
      <c r="GXX63" s="3461"/>
      <c r="GXY63" s="3461"/>
      <c r="GXZ63" s="3461"/>
      <c r="GYA63" s="3461"/>
      <c r="GYB63" s="3461"/>
      <c r="GYC63" s="3461"/>
      <c r="GYD63" s="3461"/>
      <c r="GYE63" s="3461"/>
      <c r="GYF63" s="3461"/>
      <c r="GYG63" s="3461"/>
      <c r="GYH63" s="3461"/>
      <c r="GYI63" s="3461"/>
      <c r="GYJ63" s="3461"/>
      <c r="GYK63" s="3461"/>
      <c r="GYL63" s="3461"/>
      <c r="GYM63" s="3461"/>
      <c r="GYN63" s="3461"/>
      <c r="GYO63" s="3461"/>
      <c r="GYP63" s="3461"/>
      <c r="GYQ63" s="3461"/>
      <c r="GYR63" s="3461"/>
      <c r="GYS63" s="3461"/>
      <c r="GYT63" s="3461"/>
      <c r="GYU63" s="3461"/>
      <c r="GYV63" s="3461"/>
      <c r="GYW63" s="3461"/>
      <c r="GYX63" s="3461"/>
      <c r="GYY63" s="3461"/>
      <c r="GYZ63" s="3461"/>
      <c r="GZA63" s="3461"/>
      <c r="GZB63" s="3461"/>
      <c r="GZC63" s="3461"/>
      <c r="GZD63" s="3461"/>
      <c r="GZE63" s="3461"/>
      <c r="GZF63" s="3461"/>
      <c r="GZG63" s="3461"/>
      <c r="GZH63" s="3461"/>
      <c r="GZI63" s="3461"/>
      <c r="GZJ63" s="3461"/>
      <c r="GZK63" s="3461"/>
      <c r="GZL63" s="3461"/>
      <c r="GZM63" s="3461"/>
      <c r="GZN63" s="3461"/>
      <c r="GZO63" s="3461"/>
      <c r="GZP63" s="3461"/>
      <c r="GZQ63" s="3461"/>
      <c r="GZR63" s="3461"/>
      <c r="GZS63" s="3461"/>
      <c r="GZT63" s="3461"/>
      <c r="GZU63" s="3461"/>
      <c r="GZV63" s="3461"/>
      <c r="GZW63" s="3461"/>
      <c r="GZX63" s="3461"/>
      <c r="GZY63" s="3461"/>
      <c r="GZZ63" s="3461"/>
      <c r="HAA63" s="3461"/>
      <c r="HAB63" s="3461"/>
      <c r="HAC63" s="3461"/>
      <c r="HAD63" s="3461"/>
      <c r="HAE63" s="3461"/>
      <c r="HAF63" s="3461"/>
      <c r="HAG63" s="3461"/>
      <c r="HAH63" s="3461"/>
      <c r="HAI63" s="3461"/>
      <c r="HAJ63" s="3461"/>
      <c r="HAK63" s="3461"/>
      <c r="HAL63" s="3461"/>
      <c r="HAM63" s="3461"/>
      <c r="HAN63" s="3461"/>
      <c r="HAO63" s="3461"/>
      <c r="HAP63" s="3461"/>
      <c r="HAQ63" s="3461"/>
      <c r="HAR63" s="3461"/>
      <c r="HAS63" s="3461"/>
      <c r="HAT63" s="3461"/>
      <c r="HAU63" s="3461"/>
      <c r="HAV63" s="3461"/>
      <c r="HAW63" s="3461"/>
      <c r="HAX63" s="3461"/>
      <c r="HAY63" s="3461"/>
      <c r="HAZ63" s="3461"/>
      <c r="HBA63" s="3461"/>
      <c r="HBB63" s="3461"/>
      <c r="HBC63" s="3461"/>
      <c r="HBD63" s="3461"/>
      <c r="HBE63" s="3461"/>
      <c r="HBF63" s="3461"/>
      <c r="HBG63" s="3461"/>
      <c r="HBH63" s="3461"/>
      <c r="HBI63" s="3461"/>
      <c r="HBJ63" s="3461"/>
      <c r="HBK63" s="3461"/>
      <c r="HBL63" s="3461"/>
      <c r="HBM63" s="3461"/>
      <c r="HBN63" s="3461"/>
      <c r="HBO63" s="3461"/>
      <c r="HBP63" s="3461"/>
      <c r="HBQ63" s="3461"/>
      <c r="HBR63" s="3461"/>
      <c r="HBS63" s="3461"/>
      <c r="HBT63" s="3461"/>
      <c r="HBU63" s="3461"/>
      <c r="HBV63" s="3461"/>
      <c r="HBW63" s="3461"/>
      <c r="HBX63" s="3461"/>
      <c r="HBY63" s="3461"/>
      <c r="HBZ63" s="3461"/>
      <c r="HCA63" s="3461"/>
      <c r="HCB63" s="3461"/>
      <c r="HCC63" s="3461"/>
      <c r="HCD63" s="3461"/>
      <c r="HCE63" s="3461"/>
      <c r="HCF63" s="3461"/>
      <c r="HCG63" s="3461"/>
      <c r="HCH63" s="3461"/>
      <c r="HCI63" s="3461"/>
      <c r="HCJ63" s="3461"/>
      <c r="HCK63" s="3461"/>
      <c r="HCL63" s="3461"/>
      <c r="HCM63" s="3461"/>
      <c r="HCN63" s="3461"/>
      <c r="HCO63" s="3461"/>
      <c r="HCP63" s="3461"/>
      <c r="HCQ63" s="3461"/>
      <c r="HCR63" s="3461"/>
      <c r="HCS63" s="3461"/>
      <c r="HCT63" s="3461"/>
      <c r="HCU63" s="3461"/>
      <c r="HCV63" s="3461"/>
      <c r="HCW63" s="3461"/>
      <c r="HCX63" s="3461"/>
      <c r="HCY63" s="3461"/>
      <c r="HCZ63" s="3461"/>
      <c r="HDA63" s="3461"/>
      <c r="HDB63" s="3461"/>
      <c r="HDC63" s="3461"/>
      <c r="HDD63" s="3461"/>
      <c r="HDE63" s="3461"/>
      <c r="HDF63" s="3461"/>
      <c r="HDG63" s="3461"/>
      <c r="HDH63" s="3461"/>
      <c r="HDI63" s="3461"/>
      <c r="HDJ63" s="3461"/>
      <c r="HDK63" s="3461"/>
      <c r="HDL63" s="3461"/>
      <c r="HDM63" s="3461"/>
      <c r="HDN63" s="3461"/>
      <c r="HDO63" s="3461"/>
      <c r="HDP63" s="3461"/>
      <c r="HDQ63" s="3461"/>
      <c r="HDR63" s="3461"/>
      <c r="HDS63" s="3461"/>
      <c r="HDT63" s="3461"/>
      <c r="HDU63" s="3461"/>
      <c r="HDV63" s="3461"/>
      <c r="HDW63" s="3461"/>
      <c r="HDX63" s="3461"/>
      <c r="HDY63" s="3461"/>
      <c r="HDZ63" s="3461"/>
      <c r="HEA63" s="3461"/>
      <c r="HEB63" s="3461"/>
      <c r="HEC63" s="3461"/>
      <c r="HED63" s="3461"/>
      <c r="HEE63" s="3461"/>
      <c r="HEF63" s="3461"/>
      <c r="HEG63" s="3461"/>
      <c r="HEH63" s="3461"/>
      <c r="HEI63" s="3461"/>
      <c r="HEJ63" s="3461"/>
      <c r="HEK63" s="3461"/>
      <c r="HEL63" s="3461"/>
      <c r="HEM63" s="3461"/>
      <c r="HEN63" s="3461"/>
      <c r="HEO63" s="3461"/>
      <c r="HEP63" s="3461"/>
      <c r="HEQ63" s="3461"/>
      <c r="HER63" s="3461"/>
      <c r="HES63" s="3461"/>
      <c r="HET63" s="3461"/>
      <c r="HEU63" s="3461"/>
      <c r="HEV63" s="3461"/>
      <c r="HEW63" s="3461"/>
      <c r="HEX63" s="3461"/>
      <c r="HEY63" s="3461"/>
      <c r="HEZ63" s="3461"/>
      <c r="HFA63" s="3461"/>
      <c r="HFB63" s="3461"/>
      <c r="HFC63" s="3461"/>
      <c r="HFD63" s="3461"/>
      <c r="HFE63" s="3461"/>
      <c r="HFF63" s="3461"/>
      <c r="HFG63" s="3461"/>
      <c r="HFH63" s="3461"/>
      <c r="HFI63" s="3461"/>
      <c r="HFJ63" s="3461"/>
      <c r="HFK63" s="3461"/>
      <c r="HFL63" s="3461"/>
      <c r="HFM63" s="3461"/>
      <c r="HFN63" s="3461"/>
      <c r="HFO63" s="3461"/>
      <c r="HFP63" s="3461"/>
      <c r="HFQ63" s="3461"/>
      <c r="HFR63" s="3461"/>
      <c r="HFS63" s="3461"/>
      <c r="HFT63" s="3461"/>
      <c r="HFU63" s="3461"/>
      <c r="HFV63" s="3461"/>
      <c r="HFW63" s="3461"/>
      <c r="HFX63" s="3461"/>
      <c r="HFY63" s="3461"/>
      <c r="HFZ63" s="3461"/>
      <c r="HGA63" s="3461"/>
      <c r="HGB63" s="3461"/>
      <c r="HGC63" s="3461"/>
      <c r="HGD63" s="3461"/>
      <c r="HGE63" s="3461"/>
      <c r="HGF63" s="3461"/>
      <c r="HGG63" s="3461"/>
      <c r="HGH63" s="3461"/>
      <c r="HGI63" s="3461"/>
      <c r="HGJ63" s="3461"/>
      <c r="HGK63" s="3461"/>
      <c r="HGL63" s="3461"/>
      <c r="HGM63" s="3461"/>
      <c r="HGN63" s="3461"/>
      <c r="HGO63" s="3461"/>
      <c r="HGP63" s="3461"/>
      <c r="HGQ63" s="3461"/>
      <c r="HGR63" s="3461"/>
      <c r="HGS63" s="3461"/>
      <c r="HGT63" s="3461"/>
      <c r="HGU63" s="3461"/>
      <c r="HGV63" s="3461"/>
      <c r="HGW63" s="3461"/>
      <c r="HGX63" s="3461"/>
      <c r="HGY63" s="3461"/>
      <c r="HGZ63" s="3461"/>
      <c r="HHA63" s="3461"/>
      <c r="HHB63" s="3461"/>
      <c r="HHC63" s="3461"/>
      <c r="HHD63" s="3461"/>
      <c r="HHE63" s="3461"/>
      <c r="HHF63" s="3461"/>
      <c r="HHG63" s="3461"/>
      <c r="HHH63" s="3461"/>
      <c r="HHI63" s="3461"/>
      <c r="HHJ63" s="3461"/>
      <c r="HHK63" s="3461"/>
      <c r="HHL63" s="3461"/>
      <c r="HHM63" s="3461"/>
      <c r="HHN63" s="3461"/>
      <c r="HHO63" s="3461"/>
      <c r="HHP63" s="3461"/>
      <c r="HHQ63" s="3461"/>
      <c r="HHR63" s="3461"/>
      <c r="HHS63" s="3461"/>
      <c r="HHT63" s="3461"/>
      <c r="HHU63" s="3461"/>
      <c r="HHV63" s="3461"/>
      <c r="HHW63" s="3461"/>
      <c r="HHX63" s="3461"/>
      <c r="HHY63" s="3461"/>
      <c r="HHZ63" s="3461"/>
      <c r="HIA63" s="3461"/>
      <c r="HIB63" s="3461"/>
      <c r="HIC63" s="3461"/>
      <c r="HID63" s="3461"/>
      <c r="HIE63" s="3461"/>
      <c r="HIF63" s="3461"/>
      <c r="HIG63" s="3461"/>
      <c r="HIH63" s="3461"/>
      <c r="HII63" s="3461"/>
      <c r="HIJ63" s="3461"/>
      <c r="HIK63" s="3461"/>
      <c r="HIL63" s="3461"/>
      <c r="HIM63" s="3461"/>
      <c r="HIN63" s="3461"/>
      <c r="HIO63" s="3461"/>
      <c r="HIP63" s="3461"/>
      <c r="HIQ63" s="3461"/>
      <c r="HIR63" s="3461"/>
      <c r="HIS63" s="3461"/>
      <c r="HIT63" s="3461"/>
      <c r="HIU63" s="3461"/>
      <c r="HIV63" s="3461"/>
      <c r="HIW63" s="3461"/>
      <c r="HIX63" s="3461"/>
      <c r="HIY63" s="3461"/>
      <c r="HIZ63" s="3461"/>
      <c r="HJA63" s="3461"/>
      <c r="HJB63" s="3461"/>
      <c r="HJC63" s="3461"/>
      <c r="HJD63" s="3461"/>
      <c r="HJE63" s="3461"/>
      <c r="HJF63" s="3461"/>
      <c r="HJG63" s="3461"/>
      <c r="HJH63" s="3461"/>
      <c r="HJI63" s="3461"/>
      <c r="HJJ63" s="3461"/>
      <c r="HJK63" s="3461"/>
      <c r="HJL63" s="3461"/>
      <c r="HJM63" s="3461"/>
      <c r="HJN63" s="3461"/>
      <c r="HJO63" s="3461"/>
      <c r="HJP63" s="3461"/>
      <c r="HJQ63" s="3461"/>
      <c r="HJR63" s="3461"/>
      <c r="HJS63" s="3461"/>
      <c r="HJT63" s="3461"/>
      <c r="HJU63" s="3461"/>
      <c r="HJV63" s="3461"/>
      <c r="HJW63" s="3461"/>
      <c r="HJX63" s="3461"/>
      <c r="HJY63" s="3461"/>
      <c r="HJZ63" s="3461"/>
      <c r="HKA63" s="3461"/>
      <c r="HKB63" s="3461"/>
      <c r="HKC63" s="3461"/>
      <c r="HKD63" s="3461"/>
      <c r="HKE63" s="3461"/>
      <c r="HKF63" s="3461"/>
      <c r="HKG63" s="3461"/>
      <c r="HKH63" s="3461"/>
      <c r="HKI63" s="3461"/>
      <c r="HKJ63" s="3461"/>
      <c r="HKK63" s="3461"/>
      <c r="HKL63" s="3461"/>
      <c r="HKM63" s="3461"/>
      <c r="HKN63" s="3461"/>
      <c r="HKO63" s="3461"/>
      <c r="HKP63" s="3461"/>
      <c r="HKQ63" s="3461"/>
      <c r="HKR63" s="3461"/>
      <c r="HKS63" s="3461"/>
      <c r="HKT63" s="3461"/>
      <c r="HKU63" s="3461"/>
      <c r="HKV63" s="3461"/>
      <c r="HKW63" s="3461"/>
      <c r="HKX63" s="3461"/>
      <c r="HKY63" s="3461"/>
      <c r="HKZ63" s="3461"/>
      <c r="HLA63" s="3461"/>
      <c r="HLB63" s="3461"/>
      <c r="HLC63" s="3461"/>
      <c r="HLD63" s="3461"/>
      <c r="HLE63" s="3461"/>
      <c r="HLF63" s="3461"/>
      <c r="HLG63" s="3461"/>
      <c r="HLH63" s="3461"/>
      <c r="HLI63" s="3461"/>
      <c r="HLJ63" s="3461"/>
      <c r="HLK63" s="3461"/>
      <c r="HLL63" s="3461"/>
      <c r="HLM63" s="3461"/>
      <c r="HLN63" s="3461"/>
      <c r="HLO63" s="3461"/>
      <c r="HLP63" s="3461"/>
      <c r="HLQ63" s="3461"/>
      <c r="HLR63" s="3461"/>
      <c r="HLS63" s="3461"/>
      <c r="HLT63" s="3461"/>
      <c r="HLU63" s="3461"/>
      <c r="HLV63" s="3461"/>
      <c r="HLW63" s="3461"/>
      <c r="HLX63" s="3461"/>
      <c r="HLY63" s="3461"/>
      <c r="HLZ63" s="3461"/>
      <c r="HMA63" s="3461"/>
      <c r="HMB63" s="3461"/>
      <c r="HMC63" s="3461"/>
      <c r="HMD63" s="3461"/>
      <c r="HME63" s="3461"/>
      <c r="HMF63" s="3461"/>
      <c r="HMG63" s="3461"/>
      <c r="HMH63" s="3461"/>
      <c r="HMI63" s="3461"/>
      <c r="HMJ63" s="3461"/>
      <c r="HMK63" s="3461"/>
      <c r="HML63" s="3461"/>
      <c r="HMM63" s="3461"/>
      <c r="HMN63" s="3461"/>
      <c r="HMO63" s="3461"/>
      <c r="HMP63" s="3461"/>
      <c r="HMQ63" s="3461"/>
      <c r="HMR63" s="3461"/>
      <c r="HMS63" s="3461"/>
      <c r="HMT63" s="3461"/>
      <c r="HMU63" s="3461"/>
      <c r="HMV63" s="3461"/>
      <c r="HMW63" s="3461"/>
      <c r="HMX63" s="3461"/>
      <c r="HMY63" s="3461"/>
      <c r="HMZ63" s="3461"/>
      <c r="HNA63" s="3461"/>
      <c r="HNB63" s="3461"/>
      <c r="HNC63" s="3461"/>
      <c r="HND63" s="3461"/>
      <c r="HNE63" s="3461"/>
      <c r="HNF63" s="3461"/>
      <c r="HNG63" s="3461"/>
      <c r="HNH63" s="3461"/>
      <c r="HNI63" s="3461"/>
      <c r="HNJ63" s="3461"/>
      <c r="HNK63" s="3461"/>
      <c r="HNL63" s="3461"/>
      <c r="HNM63" s="3461"/>
      <c r="HNN63" s="3461"/>
      <c r="HNO63" s="3461"/>
      <c r="HNP63" s="3461"/>
      <c r="HNQ63" s="3461"/>
      <c r="HNR63" s="3461"/>
      <c r="HNS63" s="3461"/>
      <c r="HNT63" s="3461"/>
      <c r="HNU63" s="3461"/>
      <c r="HNV63" s="3461"/>
      <c r="HNW63" s="3461"/>
      <c r="HNX63" s="3461"/>
      <c r="HNY63" s="3461"/>
      <c r="HNZ63" s="3461"/>
      <c r="HOA63" s="3461"/>
      <c r="HOB63" s="3461"/>
      <c r="HOC63" s="3461"/>
      <c r="HOD63" s="3461"/>
      <c r="HOE63" s="3461"/>
      <c r="HOF63" s="3461"/>
      <c r="HOG63" s="3461"/>
      <c r="HOH63" s="3461"/>
      <c r="HOI63" s="3461"/>
      <c r="HOJ63" s="3461"/>
      <c r="HOK63" s="3461"/>
      <c r="HOL63" s="3461"/>
      <c r="HOM63" s="3461"/>
      <c r="HON63" s="3461"/>
      <c r="HOO63" s="3461"/>
      <c r="HOP63" s="3461"/>
      <c r="HOQ63" s="3461"/>
      <c r="HOR63" s="3461"/>
      <c r="HOS63" s="3461"/>
      <c r="HOT63" s="3461"/>
      <c r="HOU63" s="3461"/>
      <c r="HOV63" s="3461"/>
      <c r="HOW63" s="3461"/>
      <c r="HOX63" s="3461"/>
      <c r="HOY63" s="3461"/>
      <c r="HOZ63" s="3461"/>
      <c r="HPA63" s="3461"/>
      <c r="HPB63" s="3461"/>
      <c r="HPC63" s="3461"/>
      <c r="HPD63" s="3461"/>
      <c r="HPE63" s="3461"/>
      <c r="HPF63" s="3461"/>
      <c r="HPG63" s="3461"/>
      <c r="HPH63" s="3461"/>
      <c r="HPI63" s="3461"/>
      <c r="HPJ63" s="3461"/>
      <c r="HPK63" s="3461"/>
      <c r="HPL63" s="3461"/>
      <c r="HPM63" s="3461"/>
      <c r="HPN63" s="3461"/>
      <c r="HPO63" s="3461"/>
      <c r="HPP63" s="3461"/>
      <c r="HPQ63" s="3461"/>
      <c r="HPR63" s="3461"/>
      <c r="HPS63" s="3461"/>
      <c r="HPT63" s="3461"/>
      <c r="HPU63" s="3461"/>
      <c r="HPV63" s="3461"/>
      <c r="HPW63" s="3461"/>
      <c r="HPX63" s="3461"/>
      <c r="HPY63" s="3461"/>
      <c r="HPZ63" s="3461"/>
      <c r="HQA63" s="3461"/>
      <c r="HQB63" s="3461"/>
      <c r="HQC63" s="3461"/>
      <c r="HQD63" s="3461"/>
      <c r="HQE63" s="3461"/>
      <c r="HQF63" s="3461"/>
      <c r="HQG63" s="3461"/>
      <c r="HQH63" s="3461"/>
      <c r="HQI63" s="3461"/>
      <c r="HQJ63" s="3461"/>
      <c r="HQK63" s="3461"/>
      <c r="HQL63" s="3461"/>
      <c r="HQM63" s="3461"/>
      <c r="HQN63" s="3461"/>
      <c r="HQO63" s="3461"/>
      <c r="HQP63" s="3461"/>
      <c r="HQQ63" s="3461"/>
      <c r="HQR63" s="3461"/>
      <c r="HQS63" s="3461"/>
      <c r="HQT63" s="3461"/>
      <c r="HQU63" s="3461"/>
      <c r="HQV63" s="3461"/>
      <c r="HQW63" s="3461"/>
      <c r="HQX63" s="3461"/>
      <c r="HQY63" s="3461"/>
      <c r="HQZ63" s="3461"/>
      <c r="HRA63" s="3461"/>
      <c r="HRB63" s="3461"/>
      <c r="HRC63" s="3461"/>
      <c r="HRD63" s="3461"/>
      <c r="HRE63" s="3461"/>
      <c r="HRF63" s="3461"/>
      <c r="HRG63" s="3461"/>
      <c r="HRH63" s="3461"/>
      <c r="HRI63" s="3461"/>
      <c r="HRJ63" s="3461"/>
      <c r="HRK63" s="3461"/>
      <c r="HRL63" s="3461"/>
      <c r="HRM63" s="3461"/>
      <c r="HRN63" s="3461"/>
      <c r="HRO63" s="3461"/>
      <c r="HRP63" s="3461"/>
      <c r="HRQ63" s="3461"/>
      <c r="HRR63" s="3461"/>
      <c r="HRS63" s="3461"/>
      <c r="HRT63" s="3461"/>
      <c r="HRU63" s="3461"/>
      <c r="HRV63" s="3461"/>
      <c r="HRW63" s="3461"/>
      <c r="HRX63" s="3461"/>
      <c r="HRY63" s="3461"/>
      <c r="HRZ63" s="3461"/>
      <c r="HSA63" s="3461"/>
      <c r="HSB63" s="3461"/>
      <c r="HSC63" s="3461"/>
      <c r="HSD63" s="3461"/>
      <c r="HSE63" s="3461"/>
      <c r="HSF63" s="3461"/>
      <c r="HSG63" s="3461"/>
      <c r="HSH63" s="3461"/>
      <c r="HSI63" s="3461"/>
      <c r="HSJ63" s="3461"/>
      <c r="HSK63" s="3461"/>
      <c r="HSL63" s="3461"/>
      <c r="HSM63" s="3461"/>
      <c r="HSN63" s="3461"/>
      <c r="HSO63" s="3461"/>
      <c r="HSP63" s="3461"/>
      <c r="HSQ63" s="3461"/>
      <c r="HSR63" s="3461"/>
      <c r="HSS63" s="3461"/>
      <c r="HST63" s="3461"/>
      <c r="HSU63" s="3461"/>
      <c r="HSV63" s="3461"/>
      <c r="HSW63" s="3461"/>
      <c r="HSX63" s="3461"/>
      <c r="HSY63" s="3461"/>
      <c r="HSZ63" s="3461"/>
      <c r="HTA63" s="3461"/>
      <c r="HTB63" s="3461"/>
      <c r="HTC63" s="3461"/>
      <c r="HTD63" s="3461"/>
      <c r="HTE63" s="3461"/>
      <c r="HTF63" s="3461"/>
      <c r="HTG63" s="3461"/>
      <c r="HTH63" s="3461"/>
      <c r="HTI63" s="3461"/>
      <c r="HTJ63" s="3461"/>
      <c r="HTK63" s="3461"/>
      <c r="HTL63" s="3461"/>
      <c r="HTM63" s="3461"/>
      <c r="HTN63" s="3461"/>
      <c r="HTO63" s="3461"/>
      <c r="HTP63" s="3461"/>
      <c r="HTQ63" s="3461"/>
      <c r="HTR63" s="3461"/>
      <c r="HTS63" s="3461"/>
      <c r="HTT63" s="3461"/>
      <c r="HTU63" s="3461"/>
      <c r="HTV63" s="3461"/>
      <c r="HTW63" s="3461"/>
      <c r="HTX63" s="3461"/>
      <c r="HTY63" s="3461"/>
      <c r="HTZ63" s="3461"/>
      <c r="HUA63" s="3461"/>
      <c r="HUB63" s="3461"/>
      <c r="HUC63" s="3461"/>
      <c r="HUD63" s="3461"/>
      <c r="HUE63" s="3461"/>
      <c r="HUF63" s="3461"/>
      <c r="HUG63" s="3461"/>
      <c r="HUH63" s="3461"/>
      <c r="HUI63" s="3461"/>
      <c r="HUJ63" s="3461"/>
      <c r="HUK63" s="3461"/>
      <c r="HUL63" s="3461"/>
      <c r="HUM63" s="3461"/>
      <c r="HUN63" s="3461"/>
      <c r="HUO63" s="3461"/>
      <c r="HUP63" s="3461"/>
      <c r="HUQ63" s="3461"/>
      <c r="HUR63" s="3461"/>
      <c r="HUS63" s="3461"/>
      <c r="HUT63" s="3461"/>
      <c r="HUU63" s="3461"/>
      <c r="HUV63" s="3461"/>
      <c r="HUW63" s="3461"/>
      <c r="HUX63" s="3461"/>
      <c r="HUY63" s="3461"/>
      <c r="HUZ63" s="3461"/>
      <c r="HVA63" s="3461"/>
      <c r="HVB63" s="3461"/>
      <c r="HVC63" s="3461"/>
      <c r="HVD63" s="3461"/>
      <c r="HVE63" s="3461"/>
      <c r="HVF63" s="3461"/>
      <c r="HVG63" s="3461"/>
      <c r="HVH63" s="3461"/>
      <c r="HVI63" s="3461"/>
      <c r="HVJ63" s="3461"/>
      <c r="HVK63" s="3461"/>
      <c r="HVL63" s="3461"/>
      <c r="HVM63" s="3461"/>
      <c r="HVN63" s="3461"/>
      <c r="HVO63" s="3461"/>
      <c r="HVP63" s="3461"/>
      <c r="HVQ63" s="3461"/>
      <c r="HVR63" s="3461"/>
      <c r="HVS63" s="3461"/>
      <c r="HVT63" s="3461"/>
      <c r="HVU63" s="3461"/>
      <c r="HVV63" s="3461"/>
      <c r="HVW63" s="3461"/>
      <c r="HVX63" s="3461"/>
      <c r="HVY63" s="3461"/>
      <c r="HVZ63" s="3461"/>
      <c r="HWA63" s="3461"/>
      <c r="HWB63" s="3461"/>
      <c r="HWC63" s="3461"/>
      <c r="HWD63" s="3461"/>
      <c r="HWE63" s="3461"/>
      <c r="HWF63" s="3461"/>
      <c r="HWG63" s="3461"/>
      <c r="HWH63" s="3461"/>
      <c r="HWI63" s="3461"/>
      <c r="HWJ63" s="3461"/>
      <c r="HWK63" s="3461"/>
      <c r="HWL63" s="3461"/>
      <c r="HWM63" s="3461"/>
      <c r="HWN63" s="3461"/>
      <c r="HWO63" s="3461"/>
      <c r="HWP63" s="3461"/>
      <c r="HWQ63" s="3461"/>
      <c r="HWR63" s="3461"/>
      <c r="HWS63" s="3461"/>
      <c r="HWT63" s="3461"/>
      <c r="HWU63" s="3461"/>
      <c r="HWV63" s="3461"/>
      <c r="HWW63" s="3461"/>
      <c r="HWX63" s="3461"/>
      <c r="HWY63" s="3461"/>
      <c r="HWZ63" s="3461"/>
      <c r="HXA63" s="3461"/>
      <c r="HXB63" s="3461"/>
      <c r="HXC63" s="3461"/>
      <c r="HXD63" s="3461"/>
      <c r="HXE63" s="3461"/>
      <c r="HXF63" s="3461"/>
      <c r="HXG63" s="3461"/>
      <c r="HXH63" s="3461"/>
      <c r="HXI63" s="3461"/>
      <c r="HXJ63" s="3461"/>
      <c r="HXK63" s="3461"/>
      <c r="HXL63" s="3461"/>
      <c r="HXM63" s="3461"/>
      <c r="HXN63" s="3461"/>
      <c r="HXO63" s="3461"/>
      <c r="HXP63" s="3461"/>
      <c r="HXQ63" s="3461"/>
      <c r="HXR63" s="3461"/>
      <c r="HXS63" s="3461"/>
      <c r="HXT63" s="3461"/>
      <c r="HXU63" s="3461"/>
      <c r="HXV63" s="3461"/>
      <c r="HXW63" s="3461"/>
      <c r="HXX63" s="3461"/>
      <c r="HXY63" s="3461"/>
      <c r="HXZ63" s="3461"/>
      <c r="HYA63" s="3461"/>
      <c r="HYB63" s="3461"/>
      <c r="HYC63" s="3461"/>
      <c r="HYD63" s="3461"/>
      <c r="HYE63" s="3461"/>
      <c r="HYF63" s="3461"/>
      <c r="HYG63" s="3461"/>
      <c r="HYH63" s="3461"/>
      <c r="HYI63" s="3461"/>
      <c r="HYJ63" s="3461"/>
      <c r="HYK63" s="3461"/>
      <c r="HYL63" s="3461"/>
      <c r="HYM63" s="3461"/>
      <c r="HYN63" s="3461"/>
      <c r="HYO63" s="3461"/>
      <c r="HYP63" s="3461"/>
      <c r="HYQ63" s="3461"/>
      <c r="HYR63" s="3461"/>
      <c r="HYS63" s="3461"/>
      <c r="HYT63" s="3461"/>
      <c r="HYU63" s="3461"/>
      <c r="HYV63" s="3461"/>
      <c r="HYW63" s="3461"/>
      <c r="HYX63" s="3461"/>
      <c r="HYY63" s="3461"/>
      <c r="HYZ63" s="3461"/>
      <c r="HZA63" s="3461"/>
      <c r="HZB63" s="3461"/>
      <c r="HZC63" s="3461"/>
      <c r="HZD63" s="3461"/>
      <c r="HZE63" s="3461"/>
      <c r="HZF63" s="3461"/>
      <c r="HZG63" s="3461"/>
      <c r="HZH63" s="3461"/>
      <c r="HZI63" s="3461"/>
      <c r="HZJ63" s="3461"/>
      <c r="HZK63" s="3461"/>
      <c r="HZL63" s="3461"/>
      <c r="HZM63" s="3461"/>
      <c r="HZN63" s="3461"/>
      <c r="HZO63" s="3461"/>
      <c r="HZP63" s="3461"/>
      <c r="HZQ63" s="3461"/>
      <c r="HZR63" s="3461"/>
      <c r="HZS63" s="3461"/>
      <c r="HZT63" s="3461"/>
      <c r="HZU63" s="3461"/>
      <c r="HZV63" s="3461"/>
      <c r="HZW63" s="3461"/>
      <c r="HZX63" s="3461"/>
      <c r="HZY63" s="3461"/>
      <c r="HZZ63" s="3461"/>
      <c r="IAA63" s="3461"/>
      <c r="IAB63" s="3461"/>
      <c r="IAC63" s="3461"/>
      <c r="IAD63" s="3461"/>
      <c r="IAE63" s="3461"/>
      <c r="IAF63" s="3461"/>
      <c r="IAG63" s="3461"/>
      <c r="IAH63" s="3461"/>
      <c r="IAI63" s="3461"/>
      <c r="IAJ63" s="3461"/>
      <c r="IAK63" s="3461"/>
      <c r="IAL63" s="3461"/>
      <c r="IAM63" s="3461"/>
      <c r="IAN63" s="3461"/>
      <c r="IAO63" s="3461"/>
      <c r="IAP63" s="3461"/>
      <c r="IAQ63" s="3461"/>
      <c r="IAR63" s="3461"/>
      <c r="IAS63" s="3461"/>
      <c r="IAT63" s="3461"/>
      <c r="IAU63" s="3461"/>
      <c r="IAV63" s="3461"/>
      <c r="IAW63" s="3461"/>
      <c r="IAX63" s="3461"/>
      <c r="IAY63" s="3461"/>
      <c r="IAZ63" s="3461"/>
      <c r="IBA63" s="3461"/>
      <c r="IBB63" s="3461"/>
      <c r="IBC63" s="3461"/>
      <c r="IBD63" s="3461"/>
      <c r="IBE63" s="3461"/>
      <c r="IBF63" s="3461"/>
      <c r="IBG63" s="3461"/>
      <c r="IBH63" s="3461"/>
      <c r="IBI63" s="3461"/>
      <c r="IBJ63" s="3461"/>
      <c r="IBK63" s="3461"/>
      <c r="IBL63" s="3461"/>
      <c r="IBM63" s="3461"/>
      <c r="IBN63" s="3461"/>
      <c r="IBO63" s="3461"/>
      <c r="IBP63" s="3461"/>
      <c r="IBQ63" s="3461"/>
      <c r="IBR63" s="3461"/>
      <c r="IBS63" s="3461"/>
      <c r="IBT63" s="3461"/>
      <c r="IBU63" s="3461"/>
      <c r="IBV63" s="3461"/>
      <c r="IBW63" s="3461"/>
      <c r="IBX63" s="3461"/>
      <c r="IBY63" s="3461"/>
      <c r="IBZ63" s="3461"/>
      <c r="ICA63" s="3461"/>
      <c r="ICB63" s="3461"/>
      <c r="ICC63" s="3461"/>
      <c r="ICD63" s="3461"/>
      <c r="ICE63" s="3461"/>
      <c r="ICF63" s="3461"/>
      <c r="ICG63" s="3461"/>
      <c r="ICH63" s="3461"/>
      <c r="ICI63" s="3461"/>
      <c r="ICJ63" s="3461"/>
      <c r="ICK63" s="3461"/>
      <c r="ICL63" s="3461"/>
      <c r="ICM63" s="3461"/>
      <c r="ICN63" s="3461"/>
      <c r="ICO63" s="3461"/>
      <c r="ICP63" s="3461"/>
      <c r="ICQ63" s="3461"/>
      <c r="ICR63" s="3461"/>
      <c r="ICS63" s="3461"/>
      <c r="ICT63" s="3461"/>
      <c r="ICU63" s="3461"/>
      <c r="ICV63" s="3461"/>
      <c r="ICW63" s="3461"/>
      <c r="ICX63" s="3461"/>
      <c r="ICY63" s="3461"/>
      <c r="ICZ63" s="3461"/>
      <c r="IDA63" s="3461"/>
      <c r="IDB63" s="3461"/>
      <c r="IDC63" s="3461"/>
      <c r="IDD63" s="3461"/>
      <c r="IDE63" s="3461"/>
      <c r="IDF63" s="3461"/>
      <c r="IDG63" s="3461"/>
      <c r="IDH63" s="3461"/>
      <c r="IDI63" s="3461"/>
      <c r="IDJ63" s="3461"/>
      <c r="IDK63" s="3461"/>
      <c r="IDL63" s="3461"/>
      <c r="IDM63" s="3461"/>
      <c r="IDN63" s="3461"/>
      <c r="IDO63" s="3461"/>
      <c r="IDP63" s="3461"/>
      <c r="IDQ63" s="3461"/>
      <c r="IDR63" s="3461"/>
      <c r="IDS63" s="3461"/>
      <c r="IDT63" s="3461"/>
      <c r="IDU63" s="3461"/>
      <c r="IDV63" s="3461"/>
      <c r="IDW63" s="3461"/>
      <c r="IDX63" s="3461"/>
      <c r="IDY63" s="3461"/>
      <c r="IDZ63" s="3461"/>
      <c r="IEA63" s="3461"/>
      <c r="IEB63" s="3461"/>
      <c r="IEC63" s="3461"/>
      <c r="IED63" s="3461"/>
      <c r="IEE63" s="3461"/>
      <c r="IEF63" s="3461"/>
      <c r="IEG63" s="3461"/>
      <c r="IEH63" s="3461"/>
      <c r="IEI63" s="3461"/>
      <c r="IEJ63" s="3461"/>
      <c r="IEK63" s="3461"/>
      <c r="IEL63" s="3461"/>
      <c r="IEM63" s="3461"/>
      <c r="IEN63" s="3461"/>
      <c r="IEO63" s="3461"/>
      <c r="IEP63" s="3461"/>
      <c r="IEQ63" s="3461"/>
      <c r="IER63" s="3461"/>
      <c r="IES63" s="3461"/>
      <c r="IET63" s="3461"/>
      <c r="IEU63" s="3461"/>
      <c r="IEV63" s="3461"/>
      <c r="IEW63" s="3461"/>
      <c r="IEX63" s="3461"/>
      <c r="IEY63" s="3461"/>
      <c r="IEZ63" s="3461"/>
      <c r="IFA63" s="3461"/>
      <c r="IFB63" s="3461"/>
      <c r="IFC63" s="3461"/>
      <c r="IFD63" s="3461"/>
      <c r="IFE63" s="3461"/>
      <c r="IFF63" s="3461"/>
      <c r="IFG63" s="3461"/>
      <c r="IFH63" s="3461"/>
      <c r="IFI63" s="3461"/>
      <c r="IFJ63" s="3461"/>
      <c r="IFK63" s="3461"/>
      <c r="IFL63" s="3461"/>
      <c r="IFM63" s="3461"/>
      <c r="IFN63" s="3461"/>
      <c r="IFO63" s="3461"/>
      <c r="IFP63" s="3461"/>
      <c r="IFQ63" s="3461"/>
      <c r="IFR63" s="3461"/>
      <c r="IFS63" s="3461"/>
      <c r="IFT63" s="3461"/>
      <c r="IFU63" s="3461"/>
      <c r="IFV63" s="3461"/>
      <c r="IFW63" s="3461"/>
      <c r="IFX63" s="3461"/>
      <c r="IFY63" s="3461"/>
      <c r="IFZ63" s="3461"/>
      <c r="IGA63" s="3461"/>
      <c r="IGB63" s="3461"/>
      <c r="IGC63" s="3461"/>
      <c r="IGD63" s="3461"/>
      <c r="IGE63" s="3461"/>
      <c r="IGF63" s="3461"/>
      <c r="IGG63" s="3461"/>
      <c r="IGH63" s="3461"/>
      <c r="IGI63" s="3461"/>
      <c r="IGJ63" s="3461"/>
      <c r="IGK63" s="3461"/>
      <c r="IGL63" s="3461"/>
      <c r="IGM63" s="3461"/>
      <c r="IGN63" s="3461"/>
      <c r="IGO63" s="3461"/>
      <c r="IGP63" s="3461"/>
      <c r="IGQ63" s="3461"/>
      <c r="IGR63" s="3461"/>
      <c r="IGS63" s="3461"/>
      <c r="IGT63" s="3461"/>
      <c r="IGU63" s="3461"/>
      <c r="IGV63" s="3461"/>
      <c r="IGW63" s="3461"/>
      <c r="IGX63" s="3461"/>
      <c r="IGY63" s="3461"/>
      <c r="IGZ63" s="3461"/>
      <c r="IHA63" s="3461"/>
      <c r="IHB63" s="3461"/>
      <c r="IHC63" s="3461"/>
      <c r="IHD63" s="3461"/>
      <c r="IHE63" s="3461"/>
      <c r="IHF63" s="3461"/>
      <c r="IHG63" s="3461"/>
      <c r="IHH63" s="3461"/>
      <c r="IHI63" s="3461"/>
      <c r="IHJ63" s="3461"/>
      <c r="IHK63" s="3461"/>
      <c r="IHL63" s="3461"/>
      <c r="IHM63" s="3461"/>
      <c r="IHN63" s="3461"/>
      <c r="IHO63" s="3461"/>
      <c r="IHP63" s="3461"/>
      <c r="IHQ63" s="3461"/>
      <c r="IHR63" s="3461"/>
      <c r="IHS63" s="3461"/>
      <c r="IHT63" s="3461"/>
      <c r="IHU63" s="3461"/>
      <c r="IHV63" s="3461"/>
      <c r="IHW63" s="3461"/>
      <c r="IHX63" s="3461"/>
      <c r="IHY63" s="3461"/>
      <c r="IHZ63" s="3461"/>
      <c r="IIA63" s="3461"/>
      <c r="IIB63" s="3461"/>
      <c r="IIC63" s="3461"/>
      <c r="IID63" s="3461"/>
      <c r="IIE63" s="3461"/>
      <c r="IIF63" s="3461"/>
      <c r="IIG63" s="3461"/>
      <c r="IIH63" s="3461"/>
      <c r="III63" s="3461"/>
      <c r="IIJ63" s="3461"/>
      <c r="IIK63" s="3461"/>
      <c r="IIL63" s="3461"/>
      <c r="IIM63" s="3461"/>
      <c r="IIN63" s="3461"/>
      <c r="IIO63" s="3461"/>
      <c r="IIP63" s="3461"/>
      <c r="IIQ63" s="3461"/>
      <c r="IIR63" s="3461"/>
      <c r="IIS63" s="3461"/>
      <c r="IIT63" s="3461"/>
      <c r="IIU63" s="3461"/>
      <c r="IIV63" s="3461"/>
      <c r="IIW63" s="3461"/>
      <c r="IIX63" s="3461"/>
      <c r="IIY63" s="3461"/>
      <c r="IIZ63" s="3461"/>
      <c r="IJA63" s="3461"/>
      <c r="IJB63" s="3461"/>
      <c r="IJC63" s="3461"/>
      <c r="IJD63" s="3461"/>
      <c r="IJE63" s="3461"/>
      <c r="IJF63" s="3461"/>
      <c r="IJG63" s="3461"/>
      <c r="IJH63" s="3461"/>
      <c r="IJI63" s="3461"/>
      <c r="IJJ63" s="3461"/>
      <c r="IJK63" s="3461"/>
      <c r="IJL63" s="3461"/>
      <c r="IJM63" s="3461"/>
      <c r="IJN63" s="3461"/>
      <c r="IJO63" s="3461"/>
      <c r="IJP63" s="3461"/>
      <c r="IJQ63" s="3461"/>
      <c r="IJR63" s="3461"/>
      <c r="IJS63" s="3461"/>
      <c r="IJT63" s="3461"/>
      <c r="IJU63" s="3461"/>
      <c r="IJV63" s="3461"/>
      <c r="IJW63" s="3461"/>
      <c r="IJX63" s="3461"/>
      <c r="IJY63" s="3461"/>
      <c r="IJZ63" s="3461"/>
      <c r="IKA63" s="3461"/>
      <c r="IKB63" s="3461"/>
      <c r="IKC63" s="3461"/>
      <c r="IKD63" s="3461"/>
      <c r="IKE63" s="3461"/>
      <c r="IKF63" s="3461"/>
      <c r="IKG63" s="3461"/>
      <c r="IKH63" s="3461"/>
      <c r="IKI63" s="3461"/>
      <c r="IKJ63" s="3461"/>
      <c r="IKK63" s="3461"/>
      <c r="IKL63" s="3461"/>
      <c r="IKM63" s="3461"/>
      <c r="IKN63" s="3461"/>
      <c r="IKO63" s="3461"/>
      <c r="IKP63" s="3461"/>
      <c r="IKQ63" s="3461"/>
      <c r="IKR63" s="3461"/>
      <c r="IKS63" s="3461"/>
      <c r="IKT63" s="3461"/>
      <c r="IKU63" s="3461"/>
      <c r="IKV63" s="3461"/>
      <c r="IKW63" s="3461"/>
      <c r="IKX63" s="3461"/>
      <c r="IKY63" s="3461"/>
      <c r="IKZ63" s="3461"/>
      <c r="ILA63" s="3461"/>
      <c r="ILB63" s="3461"/>
      <c r="ILC63" s="3461"/>
      <c r="ILD63" s="3461"/>
      <c r="ILE63" s="3461"/>
      <c r="ILF63" s="3461"/>
      <c r="ILG63" s="3461"/>
      <c r="ILH63" s="3461"/>
      <c r="ILI63" s="3461"/>
      <c r="ILJ63" s="3461"/>
      <c r="ILK63" s="3461"/>
      <c r="ILL63" s="3461"/>
      <c r="ILM63" s="3461"/>
      <c r="ILN63" s="3461"/>
      <c r="ILO63" s="3461"/>
      <c r="ILP63" s="3461"/>
      <c r="ILQ63" s="3461"/>
      <c r="ILR63" s="3461"/>
      <c r="ILS63" s="3461"/>
      <c r="ILT63" s="3461"/>
      <c r="ILU63" s="3461"/>
      <c r="ILV63" s="3461"/>
      <c r="ILW63" s="3461"/>
      <c r="ILX63" s="3461"/>
      <c r="ILY63" s="3461"/>
      <c r="ILZ63" s="3461"/>
      <c r="IMA63" s="3461"/>
      <c r="IMB63" s="3461"/>
      <c r="IMC63" s="3461"/>
      <c r="IMD63" s="3461"/>
      <c r="IME63" s="3461"/>
      <c r="IMF63" s="3461"/>
      <c r="IMG63" s="3461"/>
      <c r="IMH63" s="3461"/>
      <c r="IMI63" s="3461"/>
      <c r="IMJ63" s="3461"/>
      <c r="IMK63" s="3461"/>
      <c r="IML63" s="3461"/>
      <c r="IMM63" s="3461"/>
      <c r="IMN63" s="3461"/>
      <c r="IMO63" s="3461"/>
      <c r="IMP63" s="3461"/>
      <c r="IMQ63" s="3461"/>
      <c r="IMR63" s="3461"/>
      <c r="IMS63" s="3461"/>
      <c r="IMT63" s="3461"/>
      <c r="IMU63" s="3461"/>
      <c r="IMV63" s="3461"/>
      <c r="IMW63" s="3461"/>
      <c r="IMX63" s="3461"/>
      <c r="IMY63" s="3461"/>
      <c r="IMZ63" s="3461"/>
      <c r="INA63" s="3461"/>
      <c r="INB63" s="3461"/>
      <c r="INC63" s="3461"/>
      <c r="IND63" s="3461"/>
      <c r="INE63" s="3461"/>
      <c r="INF63" s="3461"/>
      <c r="ING63" s="3461"/>
      <c r="INH63" s="3461"/>
      <c r="INI63" s="3461"/>
      <c r="INJ63" s="3461"/>
      <c r="INK63" s="3461"/>
      <c r="INL63" s="3461"/>
      <c r="INM63" s="3461"/>
      <c r="INN63" s="3461"/>
      <c r="INO63" s="3461"/>
      <c r="INP63" s="3461"/>
      <c r="INQ63" s="3461"/>
      <c r="INR63" s="3461"/>
      <c r="INS63" s="3461"/>
      <c r="INT63" s="3461"/>
      <c r="INU63" s="3461"/>
      <c r="INV63" s="3461"/>
      <c r="INW63" s="3461"/>
      <c r="INX63" s="3461"/>
      <c r="INY63" s="3461"/>
      <c r="INZ63" s="3461"/>
      <c r="IOA63" s="3461"/>
      <c r="IOB63" s="3461"/>
      <c r="IOC63" s="3461"/>
      <c r="IOD63" s="3461"/>
      <c r="IOE63" s="3461"/>
      <c r="IOF63" s="3461"/>
      <c r="IOG63" s="3461"/>
      <c r="IOH63" s="3461"/>
      <c r="IOI63" s="3461"/>
      <c r="IOJ63" s="3461"/>
      <c r="IOK63" s="3461"/>
      <c r="IOL63" s="3461"/>
      <c r="IOM63" s="3461"/>
      <c r="ION63" s="3461"/>
      <c r="IOO63" s="3461"/>
      <c r="IOP63" s="3461"/>
      <c r="IOQ63" s="3461"/>
      <c r="IOR63" s="3461"/>
      <c r="IOS63" s="3461"/>
      <c r="IOT63" s="3461"/>
      <c r="IOU63" s="3461"/>
      <c r="IOV63" s="3461"/>
      <c r="IOW63" s="3461"/>
      <c r="IOX63" s="3461"/>
      <c r="IOY63" s="3461"/>
      <c r="IOZ63" s="3461"/>
      <c r="IPA63" s="3461"/>
      <c r="IPB63" s="3461"/>
      <c r="IPC63" s="3461"/>
      <c r="IPD63" s="3461"/>
      <c r="IPE63" s="3461"/>
      <c r="IPF63" s="3461"/>
      <c r="IPG63" s="3461"/>
      <c r="IPH63" s="3461"/>
      <c r="IPI63" s="3461"/>
      <c r="IPJ63" s="3461"/>
      <c r="IPK63" s="3461"/>
      <c r="IPL63" s="3461"/>
      <c r="IPM63" s="3461"/>
      <c r="IPN63" s="3461"/>
      <c r="IPO63" s="3461"/>
      <c r="IPP63" s="3461"/>
      <c r="IPQ63" s="3461"/>
      <c r="IPR63" s="3461"/>
      <c r="IPS63" s="3461"/>
      <c r="IPT63" s="3461"/>
      <c r="IPU63" s="3461"/>
      <c r="IPV63" s="3461"/>
      <c r="IPW63" s="3461"/>
      <c r="IPX63" s="3461"/>
      <c r="IPY63" s="3461"/>
      <c r="IPZ63" s="3461"/>
      <c r="IQA63" s="3461"/>
      <c r="IQB63" s="3461"/>
      <c r="IQC63" s="3461"/>
      <c r="IQD63" s="3461"/>
      <c r="IQE63" s="3461"/>
      <c r="IQF63" s="3461"/>
      <c r="IQG63" s="3461"/>
      <c r="IQH63" s="3461"/>
      <c r="IQI63" s="3461"/>
      <c r="IQJ63" s="3461"/>
      <c r="IQK63" s="3461"/>
      <c r="IQL63" s="3461"/>
      <c r="IQM63" s="3461"/>
      <c r="IQN63" s="3461"/>
      <c r="IQO63" s="3461"/>
      <c r="IQP63" s="3461"/>
      <c r="IQQ63" s="3461"/>
      <c r="IQR63" s="3461"/>
      <c r="IQS63" s="3461"/>
      <c r="IQT63" s="3461"/>
      <c r="IQU63" s="3461"/>
      <c r="IQV63" s="3461"/>
      <c r="IQW63" s="3461"/>
      <c r="IQX63" s="3461"/>
      <c r="IQY63" s="3461"/>
      <c r="IQZ63" s="3461"/>
      <c r="IRA63" s="3461"/>
      <c r="IRB63" s="3461"/>
      <c r="IRC63" s="3461"/>
      <c r="IRD63" s="3461"/>
      <c r="IRE63" s="3461"/>
      <c r="IRF63" s="3461"/>
      <c r="IRG63" s="3461"/>
      <c r="IRH63" s="3461"/>
      <c r="IRI63" s="3461"/>
      <c r="IRJ63" s="3461"/>
      <c r="IRK63" s="3461"/>
      <c r="IRL63" s="3461"/>
      <c r="IRM63" s="3461"/>
      <c r="IRN63" s="3461"/>
      <c r="IRO63" s="3461"/>
      <c r="IRP63" s="3461"/>
      <c r="IRQ63" s="3461"/>
      <c r="IRR63" s="3461"/>
      <c r="IRS63" s="3461"/>
      <c r="IRT63" s="3461"/>
      <c r="IRU63" s="3461"/>
      <c r="IRV63" s="3461"/>
      <c r="IRW63" s="3461"/>
      <c r="IRX63" s="3461"/>
      <c r="IRY63" s="3461"/>
      <c r="IRZ63" s="3461"/>
      <c r="ISA63" s="3461"/>
      <c r="ISB63" s="3461"/>
      <c r="ISC63" s="3461"/>
      <c r="ISD63" s="3461"/>
      <c r="ISE63" s="3461"/>
      <c r="ISF63" s="3461"/>
      <c r="ISG63" s="3461"/>
      <c r="ISH63" s="3461"/>
      <c r="ISI63" s="3461"/>
      <c r="ISJ63" s="3461"/>
      <c r="ISK63" s="3461"/>
      <c r="ISL63" s="3461"/>
      <c r="ISM63" s="3461"/>
      <c r="ISN63" s="3461"/>
      <c r="ISO63" s="3461"/>
      <c r="ISP63" s="3461"/>
      <c r="ISQ63" s="3461"/>
      <c r="ISR63" s="3461"/>
      <c r="ISS63" s="3461"/>
      <c r="IST63" s="3461"/>
      <c r="ISU63" s="3461"/>
      <c r="ISV63" s="3461"/>
      <c r="ISW63" s="3461"/>
      <c r="ISX63" s="3461"/>
      <c r="ISY63" s="3461"/>
      <c r="ISZ63" s="3461"/>
      <c r="ITA63" s="3461"/>
      <c r="ITB63" s="3461"/>
      <c r="ITC63" s="3461"/>
      <c r="ITD63" s="3461"/>
      <c r="ITE63" s="3461"/>
      <c r="ITF63" s="3461"/>
      <c r="ITG63" s="3461"/>
      <c r="ITH63" s="3461"/>
      <c r="ITI63" s="3461"/>
      <c r="ITJ63" s="3461"/>
      <c r="ITK63" s="3461"/>
      <c r="ITL63" s="3461"/>
      <c r="ITM63" s="3461"/>
      <c r="ITN63" s="3461"/>
      <c r="ITO63" s="3461"/>
      <c r="ITP63" s="3461"/>
      <c r="ITQ63" s="3461"/>
      <c r="ITR63" s="3461"/>
      <c r="ITS63" s="3461"/>
      <c r="ITT63" s="3461"/>
      <c r="ITU63" s="3461"/>
      <c r="ITV63" s="3461"/>
      <c r="ITW63" s="3461"/>
      <c r="ITX63" s="3461"/>
      <c r="ITY63" s="3461"/>
      <c r="ITZ63" s="3461"/>
      <c r="IUA63" s="3461"/>
      <c r="IUB63" s="3461"/>
      <c r="IUC63" s="3461"/>
      <c r="IUD63" s="3461"/>
      <c r="IUE63" s="3461"/>
      <c r="IUF63" s="3461"/>
      <c r="IUG63" s="3461"/>
      <c r="IUH63" s="3461"/>
      <c r="IUI63" s="3461"/>
      <c r="IUJ63" s="3461"/>
      <c r="IUK63" s="3461"/>
      <c r="IUL63" s="3461"/>
      <c r="IUM63" s="3461"/>
      <c r="IUN63" s="3461"/>
      <c r="IUO63" s="3461"/>
      <c r="IUP63" s="3461"/>
      <c r="IUQ63" s="3461"/>
      <c r="IUR63" s="3461"/>
      <c r="IUS63" s="3461"/>
      <c r="IUT63" s="3461"/>
      <c r="IUU63" s="3461"/>
      <c r="IUV63" s="3461"/>
      <c r="IUW63" s="3461"/>
      <c r="IUX63" s="3461"/>
      <c r="IUY63" s="3461"/>
      <c r="IUZ63" s="3461"/>
      <c r="IVA63" s="3461"/>
      <c r="IVB63" s="3461"/>
      <c r="IVC63" s="3461"/>
      <c r="IVD63" s="3461"/>
      <c r="IVE63" s="3461"/>
      <c r="IVF63" s="3461"/>
      <c r="IVG63" s="3461"/>
      <c r="IVH63" s="3461"/>
      <c r="IVI63" s="3461"/>
      <c r="IVJ63" s="3461"/>
      <c r="IVK63" s="3461"/>
      <c r="IVL63" s="3461"/>
      <c r="IVM63" s="3461"/>
      <c r="IVN63" s="3461"/>
      <c r="IVO63" s="3461"/>
      <c r="IVP63" s="3461"/>
      <c r="IVQ63" s="3461"/>
      <c r="IVR63" s="3461"/>
      <c r="IVS63" s="3461"/>
      <c r="IVT63" s="3461"/>
      <c r="IVU63" s="3461"/>
      <c r="IVV63" s="3461"/>
      <c r="IVW63" s="3461"/>
      <c r="IVX63" s="3461"/>
      <c r="IVY63" s="3461"/>
      <c r="IVZ63" s="3461"/>
      <c r="IWA63" s="3461"/>
      <c r="IWB63" s="3461"/>
      <c r="IWC63" s="3461"/>
      <c r="IWD63" s="3461"/>
      <c r="IWE63" s="3461"/>
      <c r="IWF63" s="3461"/>
      <c r="IWG63" s="3461"/>
      <c r="IWH63" s="3461"/>
      <c r="IWI63" s="3461"/>
      <c r="IWJ63" s="3461"/>
      <c r="IWK63" s="3461"/>
      <c r="IWL63" s="3461"/>
      <c r="IWM63" s="3461"/>
      <c r="IWN63" s="3461"/>
      <c r="IWO63" s="3461"/>
      <c r="IWP63" s="3461"/>
      <c r="IWQ63" s="3461"/>
      <c r="IWR63" s="3461"/>
      <c r="IWS63" s="3461"/>
      <c r="IWT63" s="3461"/>
      <c r="IWU63" s="3461"/>
      <c r="IWV63" s="3461"/>
      <c r="IWW63" s="3461"/>
      <c r="IWX63" s="3461"/>
      <c r="IWY63" s="3461"/>
      <c r="IWZ63" s="3461"/>
      <c r="IXA63" s="3461"/>
      <c r="IXB63" s="3461"/>
      <c r="IXC63" s="3461"/>
      <c r="IXD63" s="3461"/>
      <c r="IXE63" s="3461"/>
      <c r="IXF63" s="3461"/>
      <c r="IXG63" s="3461"/>
      <c r="IXH63" s="3461"/>
      <c r="IXI63" s="3461"/>
      <c r="IXJ63" s="3461"/>
      <c r="IXK63" s="3461"/>
      <c r="IXL63" s="3461"/>
      <c r="IXM63" s="3461"/>
      <c r="IXN63" s="3461"/>
      <c r="IXO63" s="3461"/>
      <c r="IXP63" s="3461"/>
      <c r="IXQ63" s="3461"/>
      <c r="IXR63" s="3461"/>
      <c r="IXS63" s="3461"/>
      <c r="IXT63" s="3461"/>
      <c r="IXU63" s="3461"/>
      <c r="IXV63" s="3461"/>
      <c r="IXW63" s="3461"/>
      <c r="IXX63" s="3461"/>
      <c r="IXY63" s="3461"/>
      <c r="IXZ63" s="3461"/>
      <c r="IYA63" s="3461"/>
      <c r="IYB63" s="3461"/>
      <c r="IYC63" s="3461"/>
      <c r="IYD63" s="3461"/>
      <c r="IYE63" s="3461"/>
      <c r="IYF63" s="3461"/>
      <c r="IYG63" s="3461"/>
      <c r="IYH63" s="3461"/>
      <c r="IYI63" s="3461"/>
      <c r="IYJ63" s="3461"/>
      <c r="IYK63" s="3461"/>
      <c r="IYL63" s="3461"/>
      <c r="IYM63" s="3461"/>
      <c r="IYN63" s="3461"/>
      <c r="IYO63" s="3461"/>
      <c r="IYP63" s="3461"/>
      <c r="IYQ63" s="3461"/>
      <c r="IYR63" s="3461"/>
      <c r="IYS63" s="3461"/>
      <c r="IYT63" s="3461"/>
      <c r="IYU63" s="3461"/>
      <c r="IYV63" s="3461"/>
      <c r="IYW63" s="3461"/>
      <c r="IYX63" s="3461"/>
      <c r="IYY63" s="3461"/>
      <c r="IYZ63" s="3461"/>
      <c r="IZA63" s="3461"/>
      <c r="IZB63" s="3461"/>
      <c r="IZC63" s="3461"/>
      <c r="IZD63" s="3461"/>
      <c r="IZE63" s="3461"/>
      <c r="IZF63" s="3461"/>
      <c r="IZG63" s="3461"/>
      <c r="IZH63" s="3461"/>
      <c r="IZI63" s="3461"/>
      <c r="IZJ63" s="3461"/>
      <c r="IZK63" s="3461"/>
      <c r="IZL63" s="3461"/>
      <c r="IZM63" s="3461"/>
      <c r="IZN63" s="3461"/>
      <c r="IZO63" s="3461"/>
      <c r="IZP63" s="3461"/>
      <c r="IZQ63" s="3461"/>
      <c r="IZR63" s="3461"/>
      <c r="IZS63" s="3461"/>
      <c r="IZT63" s="3461"/>
      <c r="IZU63" s="3461"/>
      <c r="IZV63" s="3461"/>
      <c r="IZW63" s="3461"/>
      <c r="IZX63" s="3461"/>
      <c r="IZY63" s="3461"/>
      <c r="IZZ63" s="3461"/>
      <c r="JAA63" s="3461"/>
      <c r="JAB63" s="3461"/>
      <c r="JAC63" s="3461"/>
      <c r="JAD63" s="3461"/>
      <c r="JAE63" s="3461"/>
      <c r="JAF63" s="3461"/>
      <c r="JAG63" s="3461"/>
      <c r="JAH63" s="3461"/>
      <c r="JAI63" s="3461"/>
      <c r="JAJ63" s="3461"/>
      <c r="JAK63" s="3461"/>
      <c r="JAL63" s="3461"/>
      <c r="JAM63" s="3461"/>
      <c r="JAN63" s="3461"/>
      <c r="JAO63" s="3461"/>
      <c r="JAP63" s="3461"/>
      <c r="JAQ63" s="3461"/>
      <c r="JAR63" s="3461"/>
      <c r="JAS63" s="3461"/>
      <c r="JAT63" s="3461"/>
      <c r="JAU63" s="3461"/>
      <c r="JAV63" s="3461"/>
      <c r="JAW63" s="3461"/>
      <c r="JAX63" s="3461"/>
      <c r="JAY63" s="3461"/>
      <c r="JAZ63" s="3461"/>
      <c r="JBA63" s="3461"/>
      <c r="JBB63" s="3461"/>
      <c r="JBC63" s="3461"/>
      <c r="JBD63" s="3461"/>
      <c r="JBE63" s="3461"/>
      <c r="JBF63" s="3461"/>
      <c r="JBG63" s="3461"/>
      <c r="JBH63" s="3461"/>
      <c r="JBI63" s="3461"/>
      <c r="JBJ63" s="3461"/>
      <c r="JBK63" s="3461"/>
      <c r="JBL63" s="3461"/>
      <c r="JBM63" s="3461"/>
      <c r="JBN63" s="3461"/>
      <c r="JBO63" s="3461"/>
      <c r="JBP63" s="3461"/>
      <c r="JBQ63" s="3461"/>
      <c r="JBR63" s="3461"/>
      <c r="JBS63" s="3461"/>
      <c r="JBT63" s="3461"/>
      <c r="JBU63" s="3461"/>
      <c r="JBV63" s="3461"/>
      <c r="JBW63" s="3461"/>
      <c r="JBX63" s="3461"/>
      <c r="JBY63" s="3461"/>
      <c r="JBZ63" s="3461"/>
      <c r="JCA63" s="3461"/>
      <c r="JCB63" s="3461"/>
      <c r="JCC63" s="3461"/>
      <c r="JCD63" s="3461"/>
      <c r="JCE63" s="3461"/>
      <c r="JCF63" s="3461"/>
      <c r="JCG63" s="3461"/>
      <c r="JCH63" s="3461"/>
      <c r="JCI63" s="3461"/>
      <c r="JCJ63" s="3461"/>
      <c r="JCK63" s="3461"/>
      <c r="JCL63" s="3461"/>
      <c r="JCM63" s="3461"/>
      <c r="JCN63" s="3461"/>
      <c r="JCO63" s="3461"/>
      <c r="JCP63" s="3461"/>
      <c r="JCQ63" s="3461"/>
      <c r="JCR63" s="3461"/>
      <c r="JCS63" s="3461"/>
      <c r="JCT63" s="3461"/>
      <c r="JCU63" s="3461"/>
      <c r="JCV63" s="3461"/>
      <c r="JCW63" s="3461"/>
      <c r="JCX63" s="3461"/>
      <c r="JCY63" s="3461"/>
      <c r="JCZ63" s="3461"/>
      <c r="JDA63" s="3461"/>
      <c r="JDB63" s="3461"/>
      <c r="JDC63" s="3461"/>
      <c r="JDD63" s="3461"/>
      <c r="JDE63" s="3461"/>
      <c r="JDF63" s="3461"/>
      <c r="JDG63" s="3461"/>
      <c r="JDH63" s="3461"/>
      <c r="JDI63" s="3461"/>
      <c r="JDJ63" s="3461"/>
      <c r="JDK63" s="3461"/>
      <c r="JDL63" s="3461"/>
      <c r="JDM63" s="3461"/>
      <c r="JDN63" s="3461"/>
      <c r="JDO63" s="3461"/>
      <c r="JDP63" s="3461"/>
      <c r="JDQ63" s="3461"/>
      <c r="JDR63" s="3461"/>
      <c r="JDS63" s="3461"/>
      <c r="JDT63" s="3461"/>
      <c r="JDU63" s="3461"/>
      <c r="JDV63" s="3461"/>
      <c r="JDW63" s="3461"/>
      <c r="JDX63" s="3461"/>
      <c r="JDY63" s="3461"/>
      <c r="JDZ63" s="3461"/>
      <c r="JEA63" s="3461"/>
      <c r="JEB63" s="3461"/>
      <c r="JEC63" s="3461"/>
      <c r="JED63" s="3461"/>
      <c r="JEE63" s="3461"/>
      <c r="JEF63" s="3461"/>
      <c r="JEG63" s="3461"/>
      <c r="JEH63" s="3461"/>
      <c r="JEI63" s="3461"/>
      <c r="JEJ63" s="3461"/>
      <c r="JEK63" s="3461"/>
      <c r="JEL63" s="3461"/>
      <c r="JEM63" s="3461"/>
      <c r="JEN63" s="3461"/>
      <c r="JEO63" s="3461"/>
      <c r="JEP63" s="3461"/>
      <c r="JEQ63" s="3461"/>
      <c r="JER63" s="3461"/>
      <c r="JES63" s="3461"/>
      <c r="JET63" s="3461"/>
      <c r="JEU63" s="3461"/>
      <c r="JEV63" s="3461"/>
      <c r="JEW63" s="3461"/>
      <c r="JEX63" s="3461"/>
      <c r="JEY63" s="3461"/>
      <c r="JEZ63" s="3461"/>
      <c r="JFA63" s="3461"/>
      <c r="JFB63" s="3461"/>
      <c r="JFC63" s="3461"/>
      <c r="JFD63" s="3461"/>
      <c r="JFE63" s="3461"/>
      <c r="JFF63" s="3461"/>
      <c r="JFG63" s="3461"/>
      <c r="JFH63" s="3461"/>
      <c r="JFI63" s="3461"/>
      <c r="JFJ63" s="3461"/>
      <c r="JFK63" s="3461"/>
      <c r="JFL63" s="3461"/>
      <c r="JFM63" s="3461"/>
      <c r="JFN63" s="3461"/>
      <c r="JFO63" s="3461"/>
      <c r="JFP63" s="3461"/>
      <c r="JFQ63" s="3461"/>
      <c r="JFR63" s="3461"/>
      <c r="JFS63" s="3461"/>
      <c r="JFT63" s="3461"/>
      <c r="JFU63" s="3461"/>
      <c r="JFV63" s="3461"/>
      <c r="JFW63" s="3461"/>
      <c r="JFX63" s="3461"/>
      <c r="JFY63" s="3461"/>
      <c r="JFZ63" s="3461"/>
      <c r="JGA63" s="3461"/>
      <c r="JGB63" s="3461"/>
      <c r="JGC63" s="3461"/>
      <c r="JGD63" s="3461"/>
      <c r="JGE63" s="3461"/>
      <c r="JGF63" s="3461"/>
      <c r="JGG63" s="3461"/>
      <c r="JGH63" s="3461"/>
      <c r="JGI63" s="3461"/>
      <c r="JGJ63" s="3461"/>
      <c r="JGK63" s="3461"/>
      <c r="JGL63" s="3461"/>
      <c r="JGM63" s="3461"/>
      <c r="JGN63" s="3461"/>
      <c r="JGO63" s="3461"/>
      <c r="JGP63" s="3461"/>
      <c r="JGQ63" s="3461"/>
      <c r="JGR63" s="3461"/>
      <c r="JGS63" s="3461"/>
      <c r="JGT63" s="3461"/>
      <c r="JGU63" s="3461"/>
      <c r="JGV63" s="3461"/>
      <c r="JGW63" s="3461"/>
      <c r="JGX63" s="3461"/>
      <c r="JGY63" s="3461"/>
      <c r="JGZ63" s="3461"/>
      <c r="JHA63" s="3461"/>
      <c r="JHB63" s="3461"/>
      <c r="JHC63" s="3461"/>
      <c r="JHD63" s="3461"/>
      <c r="JHE63" s="3461"/>
      <c r="JHF63" s="3461"/>
      <c r="JHG63" s="3461"/>
      <c r="JHH63" s="3461"/>
      <c r="JHI63" s="3461"/>
      <c r="JHJ63" s="3461"/>
      <c r="JHK63" s="3461"/>
      <c r="JHL63" s="3461"/>
      <c r="JHM63" s="3461"/>
      <c r="JHN63" s="3461"/>
      <c r="JHO63" s="3461"/>
      <c r="JHP63" s="3461"/>
      <c r="JHQ63" s="3461"/>
      <c r="JHR63" s="3461"/>
      <c r="JHS63" s="3461"/>
      <c r="JHT63" s="3461"/>
      <c r="JHU63" s="3461"/>
      <c r="JHV63" s="3461"/>
      <c r="JHW63" s="3461"/>
      <c r="JHX63" s="3461"/>
      <c r="JHY63" s="3461"/>
      <c r="JHZ63" s="3461"/>
      <c r="JIA63" s="3461"/>
      <c r="JIB63" s="3461"/>
      <c r="JIC63" s="3461"/>
      <c r="JID63" s="3461"/>
      <c r="JIE63" s="3461"/>
      <c r="JIF63" s="3461"/>
      <c r="JIG63" s="3461"/>
      <c r="JIH63" s="3461"/>
      <c r="JII63" s="3461"/>
      <c r="JIJ63" s="3461"/>
      <c r="JIK63" s="3461"/>
      <c r="JIL63" s="3461"/>
      <c r="JIM63" s="3461"/>
      <c r="JIN63" s="3461"/>
      <c r="JIO63" s="3461"/>
      <c r="JIP63" s="3461"/>
      <c r="JIQ63" s="3461"/>
      <c r="JIR63" s="3461"/>
      <c r="JIS63" s="3461"/>
      <c r="JIT63" s="3461"/>
      <c r="JIU63" s="3461"/>
      <c r="JIV63" s="3461"/>
      <c r="JIW63" s="3461"/>
      <c r="JIX63" s="3461"/>
      <c r="JIY63" s="3461"/>
      <c r="JIZ63" s="3461"/>
      <c r="JJA63" s="3461"/>
      <c r="JJB63" s="3461"/>
      <c r="JJC63" s="3461"/>
      <c r="JJD63" s="3461"/>
      <c r="JJE63" s="3461"/>
      <c r="JJF63" s="3461"/>
      <c r="JJG63" s="3461"/>
      <c r="JJH63" s="3461"/>
      <c r="JJI63" s="3461"/>
      <c r="JJJ63" s="3461"/>
      <c r="JJK63" s="3461"/>
      <c r="JJL63" s="3461"/>
      <c r="JJM63" s="3461"/>
      <c r="JJN63" s="3461"/>
      <c r="JJO63" s="3461"/>
      <c r="JJP63" s="3461"/>
      <c r="JJQ63" s="3461"/>
      <c r="JJR63" s="3461"/>
      <c r="JJS63" s="3461"/>
      <c r="JJT63" s="3461"/>
      <c r="JJU63" s="3461"/>
      <c r="JJV63" s="3461"/>
      <c r="JJW63" s="3461"/>
      <c r="JJX63" s="3461"/>
      <c r="JJY63" s="3461"/>
      <c r="JJZ63" s="3461"/>
      <c r="JKA63" s="3461"/>
      <c r="JKB63" s="3461"/>
      <c r="JKC63" s="3461"/>
      <c r="JKD63" s="3461"/>
      <c r="JKE63" s="3461"/>
      <c r="JKF63" s="3461"/>
      <c r="JKG63" s="3461"/>
      <c r="JKH63" s="3461"/>
      <c r="JKI63" s="3461"/>
      <c r="JKJ63" s="3461"/>
      <c r="JKK63" s="3461"/>
      <c r="JKL63" s="3461"/>
      <c r="JKM63" s="3461"/>
      <c r="JKN63" s="3461"/>
      <c r="JKO63" s="3461"/>
      <c r="JKP63" s="3461"/>
      <c r="JKQ63" s="3461"/>
      <c r="JKR63" s="3461"/>
      <c r="JKS63" s="3461"/>
      <c r="JKT63" s="3461"/>
      <c r="JKU63" s="3461"/>
      <c r="JKV63" s="3461"/>
      <c r="JKW63" s="3461"/>
      <c r="JKX63" s="3461"/>
      <c r="JKY63" s="3461"/>
      <c r="JKZ63" s="3461"/>
      <c r="JLA63" s="3461"/>
      <c r="JLB63" s="3461"/>
      <c r="JLC63" s="3461"/>
      <c r="JLD63" s="3461"/>
      <c r="JLE63" s="3461"/>
      <c r="JLF63" s="3461"/>
      <c r="JLG63" s="3461"/>
      <c r="JLH63" s="3461"/>
      <c r="JLI63" s="3461"/>
      <c r="JLJ63" s="3461"/>
      <c r="JLK63" s="3461"/>
      <c r="JLL63" s="3461"/>
      <c r="JLM63" s="3461"/>
      <c r="JLN63" s="3461"/>
      <c r="JLO63" s="3461"/>
      <c r="JLP63" s="3461"/>
      <c r="JLQ63" s="3461"/>
      <c r="JLR63" s="3461"/>
      <c r="JLS63" s="3461"/>
      <c r="JLT63" s="3461"/>
      <c r="JLU63" s="3461"/>
      <c r="JLV63" s="3461"/>
      <c r="JLW63" s="3461"/>
      <c r="JLX63" s="3461"/>
      <c r="JLY63" s="3461"/>
      <c r="JLZ63" s="3461"/>
      <c r="JMA63" s="3461"/>
      <c r="JMB63" s="3461"/>
      <c r="JMC63" s="3461"/>
      <c r="JMD63" s="3461"/>
      <c r="JME63" s="3461"/>
      <c r="JMF63" s="3461"/>
      <c r="JMG63" s="3461"/>
      <c r="JMH63" s="3461"/>
      <c r="JMI63" s="3461"/>
      <c r="JMJ63" s="3461"/>
      <c r="JMK63" s="3461"/>
      <c r="JML63" s="3461"/>
      <c r="JMM63" s="3461"/>
      <c r="JMN63" s="3461"/>
      <c r="JMO63" s="3461"/>
      <c r="JMP63" s="3461"/>
      <c r="JMQ63" s="3461"/>
      <c r="JMR63" s="3461"/>
      <c r="JMS63" s="3461"/>
      <c r="JMT63" s="3461"/>
      <c r="JMU63" s="3461"/>
      <c r="JMV63" s="3461"/>
      <c r="JMW63" s="3461"/>
      <c r="JMX63" s="3461"/>
      <c r="JMY63" s="3461"/>
      <c r="JMZ63" s="3461"/>
      <c r="JNA63" s="3461"/>
      <c r="JNB63" s="3461"/>
      <c r="JNC63" s="3461"/>
      <c r="JND63" s="3461"/>
      <c r="JNE63" s="3461"/>
      <c r="JNF63" s="3461"/>
      <c r="JNG63" s="3461"/>
      <c r="JNH63" s="3461"/>
      <c r="JNI63" s="3461"/>
      <c r="JNJ63" s="3461"/>
      <c r="JNK63" s="3461"/>
      <c r="JNL63" s="3461"/>
      <c r="JNM63" s="3461"/>
      <c r="JNN63" s="3461"/>
      <c r="JNO63" s="3461"/>
      <c r="JNP63" s="3461"/>
      <c r="JNQ63" s="3461"/>
      <c r="JNR63" s="3461"/>
      <c r="JNS63" s="3461"/>
      <c r="JNT63" s="3461"/>
      <c r="JNU63" s="3461"/>
      <c r="JNV63" s="3461"/>
      <c r="JNW63" s="3461"/>
      <c r="JNX63" s="3461"/>
      <c r="JNY63" s="3461"/>
      <c r="JNZ63" s="3461"/>
      <c r="JOA63" s="3461"/>
      <c r="JOB63" s="3461"/>
      <c r="JOC63" s="3461"/>
      <c r="JOD63" s="3461"/>
      <c r="JOE63" s="3461"/>
      <c r="JOF63" s="3461"/>
      <c r="JOG63" s="3461"/>
      <c r="JOH63" s="3461"/>
      <c r="JOI63" s="3461"/>
      <c r="JOJ63" s="3461"/>
      <c r="JOK63" s="3461"/>
      <c r="JOL63" s="3461"/>
      <c r="JOM63" s="3461"/>
      <c r="JON63" s="3461"/>
      <c r="JOO63" s="3461"/>
      <c r="JOP63" s="3461"/>
      <c r="JOQ63" s="3461"/>
      <c r="JOR63" s="3461"/>
      <c r="JOS63" s="3461"/>
      <c r="JOT63" s="3461"/>
      <c r="JOU63" s="3461"/>
      <c r="JOV63" s="3461"/>
      <c r="JOW63" s="3461"/>
      <c r="JOX63" s="3461"/>
      <c r="JOY63" s="3461"/>
      <c r="JOZ63" s="3461"/>
      <c r="JPA63" s="3461"/>
      <c r="JPB63" s="3461"/>
      <c r="JPC63" s="3461"/>
      <c r="JPD63" s="3461"/>
      <c r="JPE63" s="3461"/>
      <c r="JPF63" s="3461"/>
      <c r="JPG63" s="3461"/>
      <c r="JPH63" s="3461"/>
      <c r="JPI63" s="3461"/>
      <c r="JPJ63" s="3461"/>
      <c r="JPK63" s="3461"/>
      <c r="JPL63" s="3461"/>
      <c r="JPM63" s="3461"/>
      <c r="JPN63" s="3461"/>
      <c r="JPO63" s="3461"/>
      <c r="JPP63" s="3461"/>
      <c r="JPQ63" s="3461"/>
      <c r="JPR63" s="3461"/>
      <c r="JPS63" s="3461"/>
      <c r="JPT63" s="3461"/>
      <c r="JPU63" s="3461"/>
      <c r="JPV63" s="3461"/>
      <c r="JPW63" s="3461"/>
      <c r="JPX63" s="3461"/>
      <c r="JPY63" s="3461"/>
      <c r="JPZ63" s="3461"/>
      <c r="JQA63" s="3461"/>
      <c r="JQB63" s="3461"/>
      <c r="JQC63" s="3461"/>
      <c r="JQD63" s="3461"/>
      <c r="JQE63" s="3461"/>
      <c r="JQF63" s="3461"/>
      <c r="JQG63" s="3461"/>
      <c r="JQH63" s="3461"/>
      <c r="JQI63" s="3461"/>
      <c r="JQJ63" s="3461"/>
      <c r="JQK63" s="3461"/>
      <c r="JQL63" s="3461"/>
      <c r="JQM63" s="3461"/>
      <c r="JQN63" s="3461"/>
      <c r="JQO63" s="3461"/>
      <c r="JQP63" s="3461"/>
      <c r="JQQ63" s="3461"/>
      <c r="JQR63" s="3461"/>
      <c r="JQS63" s="3461"/>
      <c r="JQT63" s="3461"/>
      <c r="JQU63" s="3461"/>
      <c r="JQV63" s="3461"/>
      <c r="JQW63" s="3461"/>
      <c r="JQX63" s="3461"/>
      <c r="JQY63" s="3461"/>
      <c r="JQZ63" s="3461"/>
      <c r="JRA63" s="3461"/>
      <c r="JRB63" s="3461"/>
      <c r="JRC63" s="3461"/>
      <c r="JRD63" s="3461"/>
      <c r="JRE63" s="3461"/>
      <c r="JRF63" s="3461"/>
      <c r="JRG63" s="3461"/>
      <c r="JRH63" s="3461"/>
      <c r="JRI63" s="3461"/>
      <c r="JRJ63" s="3461"/>
      <c r="JRK63" s="3461"/>
      <c r="JRL63" s="3461"/>
      <c r="JRM63" s="3461"/>
      <c r="JRN63" s="3461"/>
      <c r="JRO63" s="3461"/>
      <c r="JRP63" s="3461"/>
      <c r="JRQ63" s="3461"/>
      <c r="JRR63" s="3461"/>
      <c r="JRS63" s="3461"/>
      <c r="JRT63" s="3461"/>
      <c r="JRU63" s="3461"/>
      <c r="JRV63" s="3461"/>
      <c r="JRW63" s="3461"/>
      <c r="JRX63" s="3461"/>
      <c r="JRY63" s="3461"/>
      <c r="JRZ63" s="3461"/>
      <c r="JSA63" s="3461"/>
      <c r="JSB63" s="3461"/>
      <c r="JSC63" s="3461"/>
      <c r="JSD63" s="3461"/>
      <c r="JSE63" s="3461"/>
      <c r="JSF63" s="3461"/>
      <c r="JSG63" s="3461"/>
      <c r="JSH63" s="3461"/>
      <c r="JSI63" s="3461"/>
      <c r="JSJ63" s="3461"/>
      <c r="JSK63" s="3461"/>
      <c r="JSL63" s="3461"/>
      <c r="JSM63" s="3461"/>
      <c r="JSN63" s="3461"/>
      <c r="JSO63" s="3461"/>
      <c r="JSP63" s="3461"/>
      <c r="JSQ63" s="3461"/>
      <c r="JSR63" s="3461"/>
      <c r="JSS63" s="3461"/>
      <c r="JST63" s="3461"/>
      <c r="JSU63" s="3461"/>
      <c r="JSV63" s="3461"/>
      <c r="JSW63" s="3461"/>
      <c r="JSX63" s="3461"/>
      <c r="JSY63" s="3461"/>
      <c r="JSZ63" s="3461"/>
      <c r="JTA63" s="3461"/>
      <c r="JTB63" s="3461"/>
      <c r="JTC63" s="3461"/>
      <c r="JTD63" s="3461"/>
      <c r="JTE63" s="3461"/>
      <c r="JTF63" s="3461"/>
      <c r="JTG63" s="3461"/>
      <c r="JTH63" s="3461"/>
      <c r="JTI63" s="3461"/>
      <c r="JTJ63" s="3461"/>
      <c r="JTK63" s="3461"/>
      <c r="JTL63" s="3461"/>
      <c r="JTM63" s="3461"/>
      <c r="JTN63" s="3461"/>
      <c r="JTO63" s="3461"/>
      <c r="JTP63" s="3461"/>
      <c r="JTQ63" s="3461"/>
      <c r="JTR63" s="3461"/>
      <c r="JTS63" s="3461"/>
      <c r="JTT63" s="3461"/>
      <c r="JTU63" s="3461"/>
      <c r="JTV63" s="3461"/>
      <c r="JTW63" s="3461"/>
      <c r="JTX63" s="3461"/>
      <c r="JTY63" s="3461"/>
      <c r="JTZ63" s="3461"/>
      <c r="JUA63" s="3461"/>
      <c r="JUB63" s="3461"/>
      <c r="JUC63" s="3461"/>
      <c r="JUD63" s="3461"/>
      <c r="JUE63" s="3461"/>
      <c r="JUF63" s="3461"/>
      <c r="JUG63" s="3461"/>
      <c r="JUH63" s="3461"/>
      <c r="JUI63" s="3461"/>
      <c r="JUJ63" s="3461"/>
      <c r="JUK63" s="3461"/>
      <c r="JUL63" s="3461"/>
      <c r="JUM63" s="3461"/>
      <c r="JUN63" s="3461"/>
      <c r="JUO63" s="3461"/>
      <c r="JUP63" s="3461"/>
      <c r="JUQ63" s="3461"/>
      <c r="JUR63" s="3461"/>
      <c r="JUS63" s="3461"/>
      <c r="JUT63" s="3461"/>
      <c r="JUU63" s="3461"/>
      <c r="JUV63" s="3461"/>
      <c r="JUW63" s="3461"/>
      <c r="JUX63" s="3461"/>
      <c r="JUY63" s="3461"/>
      <c r="JUZ63" s="3461"/>
      <c r="JVA63" s="3461"/>
      <c r="JVB63" s="3461"/>
      <c r="JVC63" s="3461"/>
      <c r="JVD63" s="3461"/>
      <c r="JVE63" s="3461"/>
      <c r="JVF63" s="3461"/>
      <c r="JVG63" s="3461"/>
      <c r="JVH63" s="3461"/>
      <c r="JVI63" s="3461"/>
      <c r="JVJ63" s="3461"/>
      <c r="JVK63" s="3461"/>
      <c r="JVL63" s="3461"/>
      <c r="JVM63" s="3461"/>
      <c r="JVN63" s="3461"/>
      <c r="JVO63" s="3461"/>
      <c r="JVP63" s="3461"/>
      <c r="JVQ63" s="3461"/>
      <c r="JVR63" s="3461"/>
      <c r="JVS63" s="3461"/>
      <c r="JVT63" s="3461"/>
      <c r="JVU63" s="3461"/>
      <c r="JVV63" s="3461"/>
      <c r="JVW63" s="3461"/>
      <c r="JVX63" s="3461"/>
      <c r="JVY63" s="3461"/>
      <c r="JVZ63" s="3461"/>
      <c r="JWA63" s="3461"/>
      <c r="JWB63" s="3461"/>
      <c r="JWC63" s="3461"/>
      <c r="JWD63" s="3461"/>
      <c r="JWE63" s="3461"/>
      <c r="JWF63" s="3461"/>
      <c r="JWG63" s="3461"/>
      <c r="JWH63" s="3461"/>
      <c r="JWI63" s="3461"/>
      <c r="JWJ63" s="3461"/>
      <c r="JWK63" s="3461"/>
      <c r="JWL63" s="3461"/>
      <c r="JWM63" s="3461"/>
      <c r="JWN63" s="3461"/>
      <c r="JWO63" s="3461"/>
      <c r="JWP63" s="3461"/>
      <c r="JWQ63" s="3461"/>
      <c r="JWR63" s="3461"/>
      <c r="JWS63" s="3461"/>
      <c r="JWT63" s="3461"/>
      <c r="JWU63" s="3461"/>
      <c r="JWV63" s="3461"/>
      <c r="JWW63" s="3461"/>
      <c r="JWX63" s="3461"/>
      <c r="JWY63" s="3461"/>
      <c r="JWZ63" s="3461"/>
      <c r="JXA63" s="3461"/>
      <c r="JXB63" s="3461"/>
      <c r="JXC63" s="3461"/>
      <c r="JXD63" s="3461"/>
      <c r="JXE63" s="3461"/>
      <c r="JXF63" s="3461"/>
      <c r="JXG63" s="3461"/>
      <c r="JXH63" s="3461"/>
      <c r="JXI63" s="3461"/>
      <c r="JXJ63" s="3461"/>
      <c r="JXK63" s="3461"/>
      <c r="JXL63" s="3461"/>
      <c r="JXM63" s="3461"/>
      <c r="JXN63" s="3461"/>
      <c r="JXO63" s="3461"/>
      <c r="JXP63" s="3461"/>
      <c r="JXQ63" s="3461"/>
      <c r="JXR63" s="3461"/>
      <c r="JXS63" s="3461"/>
      <c r="JXT63" s="3461"/>
      <c r="JXU63" s="3461"/>
      <c r="JXV63" s="3461"/>
      <c r="JXW63" s="3461"/>
      <c r="JXX63" s="3461"/>
      <c r="JXY63" s="3461"/>
      <c r="JXZ63" s="3461"/>
      <c r="JYA63" s="3461"/>
      <c r="JYB63" s="3461"/>
      <c r="JYC63" s="3461"/>
      <c r="JYD63" s="3461"/>
      <c r="JYE63" s="3461"/>
      <c r="JYF63" s="3461"/>
      <c r="JYG63" s="3461"/>
      <c r="JYH63" s="3461"/>
      <c r="JYI63" s="3461"/>
      <c r="JYJ63" s="3461"/>
      <c r="JYK63" s="3461"/>
      <c r="JYL63" s="3461"/>
      <c r="JYM63" s="3461"/>
      <c r="JYN63" s="3461"/>
      <c r="JYO63" s="3461"/>
      <c r="JYP63" s="3461"/>
      <c r="JYQ63" s="3461"/>
      <c r="JYR63" s="3461"/>
      <c r="JYS63" s="3461"/>
      <c r="JYT63" s="3461"/>
      <c r="JYU63" s="3461"/>
      <c r="JYV63" s="3461"/>
      <c r="JYW63" s="3461"/>
      <c r="JYX63" s="3461"/>
      <c r="JYY63" s="3461"/>
      <c r="JYZ63" s="3461"/>
      <c r="JZA63" s="3461"/>
      <c r="JZB63" s="3461"/>
      <c r="JZC63" s="3461"/>
      <c r="JZD63" s="3461"/>
      <c r="JZE63" s="3461"/>
      <c r="JZF63" s="3461"/>
      <c r="JZG63" s="3461"/>
      <c r="JZH63" s="3461"/>
      <c r="JZI63" s="3461"/>
      <c r="JZJ63" s="3461"/>
      <c r="JZK63" s="3461"/>
      <c r="JZL63" s="3461"/>
      <c r="JZM63" s="3461"/>
      <c r="JZN63" s="3461"/>
      <c r="JZO63" s="3461"/>
      <c r="JZP63" s="3461"/>
      <c r="JZQ63" s="3461"/>
      <c r="JZR63" s="3461"/>
      <c r="JZS63" s="3461"/>
      <c r="JZT63" s="3461"/>
      <c r="JZU63" s="3461"/>
      <c r="JZV63" s="3461"/>
      <c r="JZW63" s="3461"/>
      <c r="JZX63" s="3461"/>
      <c r="JZY63" s="3461"/>
      <c r="JZZ63" s="3461"/>
      <c r="KAA63" s="3461"/>
      <c r="KAB63" s="3461"/>
      <c r="KAC63" s="3461"/>
      <c r="KAD63" s="3461"/>
      <c r="KAE63" s="3461"/>
      <c r="KAF63" s="3461"/>
      <c r="KAG63" s="3461"/>
      <c r="KAH63" s="3461"/>
      <c r="KAI63" s="3461"/>
      <c r="KAJ63" s="3461"/>
      <c r="KAK63" s="3461"/>
      <c r="KAL63" s="3461"/>
      <c r="KAM63" s="3461"/>
      <c r="KAN63" s="3461"/>
      <c r="KAO63" s="3461"/>
      <c r="KAP63" s="3461"/>
      <c r="KAQ63" s="3461"/>
      <c r="KAR63" s="3461"/>
      <c r="KAS63" s="3461"/>
      <c r="KAT63" s="3461"/>
      <c r="KAU63" s="3461"/>
      <c r="KAV63" s="3461"/>
      <c r="KAW63" s="3461"/>
      <c r="KAX63" s="3461"/>
      <c r="KAY63" s="3461"/>
      <c r="KAZ63" s="3461"/>
      <c r="KBA63" s="3461"/>
      <c r="KBB63" s="3461"/>
      <c r="KBC63" s="3461"/>
      <c r="KBD63" s="3461"/>
      <c r="KBE63" s="3461"/>
      <c r="KBF63" s="3461"/>
      <c r="KBG63" s="3461"/>
      <c r="KBH63" s="3461"/>
      <c r="KBI63" s="3461"/>
      <c r="KBJ63" s="3461"/>
      <c r="KBK63" s="3461"/>
      <c r="KBL63" s="3461"/>
      <c r="KBM63" s="3461"/>
      <c r="KBN63" s="3461"/>
      <c r="KBO63" s="3461"/>
      <c r="KBP63" s="3461"/>
      <c r="KBQ63" s="3461"/>
      <c r="KBR63" s="3461"/>
      <c r="KBS63" s="3461"/>
      <c r="KBT63" s="3461"/>
      <c r="KBU63" s="3461"/>
      <c r="KBV63" s="3461"/>
      <c r="KBW63" s="3461"/>
      <c r="KBX63" s="3461"/>
      <c r="KBY63" s="3461"/>
      <c r="KBZ63" s="3461"/>
      <c r="KCA63" s="3461"/>
      <c r="KCB63" s="3461"/>
      <c r="KCC63" s="3461"/>
      <c r="KCD63" s="3461"/>
      <c r="KCE63" s="3461"/>
      <c r="KCF63" s="3461"/>
      <c r="KCG63" s="3461"/>
      <c r="KCH63" s="3461"/>
      <c r="KCI63" s="3461"/>
      <c r="KCJ63" s="3461"/>
      <c r="KCK63" s="3461"/>
      <c r="KCL63" s="3461"/>
      <c r="KCM63" s="3461"/>
      <c r="KCN63" s="3461"/>
      <c r="KCO63" s="3461"/>
      <c r="KCP63" s="3461"/>
      <c r="KCQ63" s="3461"/>
      <c r="KCR63" s="3461"/>
      <c r="KCS63" s="3461"/>
      <c r="KCT63" s="3461"/>
      <c r="KCU63" s="3461"/>
      <c r="KCV63" s="3461"/>
      <c r="KCW63" s="3461"/>
      <c r="KCX63" s="3461"/>
      <c r="KCY63" s="3461"/>
      <c r="KCZ63" s="3461"/>
      <c r="KDA63" s="3461"/>
      <c r="KDB63" s="3461"/>
      <c r="KDC63" s="3461"/>
      <c r="KDD63" s="3461"/>
      <c r="KDE63" s="3461"/>
      <c r="KDF63" s="3461"/>
      <c r="KDG63" s="3461"/>
      <c r="KDH63" s="3461"/>
      <c r="KDI63" s="3461"/>
      <c r="KDJ63" s="3461"/>
      <c r="KDK63" s="3461"/>
      <c r="KDL63" s="3461"/>
      <c r="KDM63" s="3461"/>
      <c r="KDN63" s="3461"/>
      <c r="KDO63" s="3461"/>
      <c r="KDP63" s="3461"/>
      <c r="KDQ63" s="3461"/>
      <c r="KDR63" s="3461"/>
      <c r="KDS63" s="3461"/>
      <c r="KDT63" s="3461"/>
      <c r="KDU63" s="3461"/>
      <c r="KDV63" s="3461"/>
      <c r="KDW63" s="3461"/>
      <c r="KDX63" s="3461"/>
      <c r="KDY63" s="3461"/>
      <c r="KDZ63" s="3461"/>
      <c r="KEA63" s="3461"/>
      <c r="KEB63" s="3461"/>
      <c r="KEC63" s="3461"/>
      <c r="KED63" s="3461"/>
      <c r="KEE63" s="3461"/>
      <c r="KEF63" s="3461"/>
      <c r="KEG63" s="3461"/>
      <c r="KEH63" s="3461"/>
      <c r="KEI63" s="3461"/>
      <c r="KEJ63" s="3461"/>
      <c r="KEK63" s="3461"/>
      <c r="KEL63" s="3461"/>
      <c r="KEM63" s="3461"/>
      <c r="KEN63" s="3461"/>
      <c r="KEO63" s="3461"/>
      <c r="KEP63" s="3461"/>
      <c r="KEQ63" s="3461"/>
      <c r="KER63" s="3461"/>
      <c r="KES63" s="3461"/>
      <c r="KET63" s="3461"/>
      <c r="KEU63" s="3461"/>
      <c r="KEV63" s="3461"/>
      <c r="KEW63" s="3461"/>
      <c r="KEX63" s="3461"/>
      <c r="KEY63" s="3461"/>
      <c r="KEZ63" s="3461"/>
      <c r="KFA63" s="3461"/>
      <c r="KFB63" s="3461"/>
      <c r="KFC63" s="3461"/>
      <c r="KFD63" s="3461"/>
      <c r="KFE63" s="3461"/>
      <c r="KFF63" s="3461"/>
      <c r="KFG63" s="3461"/>
      <c r="KFH63" s="3461"/>
      <c r="KFI63" s="3461"/>
      <c r="KFJ63" s="3461"/>
      <c r="KFK63" s="3461"/>
      <c r="KFL63" s="3461"/>
      <c r="KFM63" s="3461"/>
      <c r="KFN63" s="3461"/>
      <c r="KFO63" s="3461"/>
      <c r="KFP63" s="3461"/>
      <c r="KFQ63" s="3461"/>
      <c r="KFR63" s="3461"/>
      <c r="KFS63" s="3461"/>
      <c r="KFT63" s="3461"/>
      <c r="KFU63" s="3461"/>
      <c r="KFV63" s="3461"/>
      <c r="KFW63" s="3461"/>
      <c r="KFX63" s="3461"/>
      <c r="KFY63" s="3461"/>
      <c r="KFZ63" s="3461"/>
      <c r="KGA63" s="3461"/>
      <c r="KGB63" s="3461"/>
      <c r="KGC63" s="3461"/>
      <c r="KGD63" s="3461"/>
      <c r="KGE63" s="3461"/>
      <c r="KGF63" s="3461"/>
      <c r="KGG63" s="3461"/>
      <c r="KGH63" s="3461"/>
      <c r="KGI63" s="3461"/>
      <c r="KGJ63" s="3461"/>
      <c r="KGK63" s="3461"/>
      <c r="KGL63" s="3461"/>
      <c r="KGM63" s="3461"/>
      <c r="KGN63" s="3461"/>
      <c r="KGO63" s="3461"/>
      <c r="KGP63" s="3461"/>
      <c r="KGQ63" s="3461"/>
      <c r="KGR63" s="3461"/>
      <c r="KGS63" s="3461"/>
      <c r="KGT63" s="3461"/>
      <c r="KGU63" s="3461"/>
      <c r="KGV63" s="3461"/>
      <c r="KGW63" s="3461"/>
      <c r="KGX63" s="3461"/>
      <c r="KGY63" s="3461"/>
      <c r="KGZ63" s="3461"/>
      <c r="KHA63" s="3461"/>
      <c r="KHB63" s="3461"/>
      <c r="KHC63" s="3461"/>
      <c r="KHD63" s="3461"/>
      <c r="KHE63" s="3461"/>
      <c r="KHF63" s="3461"/>
      <c r="KHG63" s="3461"/>
      <c r="KHH63" s="3461"/>
      <c r="KHI63" s="3461"/>
      <c r="KHJ63" s="3461"/>
      <c r="KHK63" s="3461"/>
      <c r="KHL63" s="3461"/>
      <c r="KHM63" s="3461"/>
      <c r="KHN63" s="3461"/>
      <c r="KHO63" s="3461"/>
      <c r="KHP63" s="3461"/>
      <c r="KHQ63" s="3461"/>
      <c r="KHR63" s="3461"/>
      <c r="KHS63" s="3461"/>
      <c r="KHT63" s="3461"/>
      <c r="KHU63" s="3461"/>
      <c r="KHV63" s="3461"/>
      <c r="KHW63" s="3461"/>
      <c r="KHX63" s="3461"/>
      <c r="KHY63" s="3461"/>
      <c r="KHZ63" s="3461"/>
      <c r="KIA63" s="3461"/>
      <c r="KIB63" s="3461"/>
      <c r="KIC63" s="3461"/>
      <c r="KID63" s="3461"/>
      <c r="KIE63" s="3461"/>
      <c r="KIF63" s="3461"/>
      <c r="KIG63" s="3461"/>
      <c r="KIH63" s="3461"/>
      <c r="KII63" s="3461"/>
      <c r="KIJ63" s="3461"/>
      <c r="KIK63" s="3461"/>
      <c r="KIL63" s="3461"/>
      <c r="KIM63" s="3461"/>
      <c r="KIN63" s="3461"/>
      <c r="KIO63" s="3461"/>
      <c r="KIP63" s="3461"/>
      <c r="KIQ63" s="3461"/>
      <c r="KIR63" s="3461"/>
      <c r="KIS63" s="3461"/>
      <c r="KIT63" s="3461"/>
      <c r="KIU63" s="3461"/>
      <c r="KIV63" s="3461"/>
      <c r="KIW63" s="3461"/>
      <c r="KIX63" s="3461"/>
      <c r="KIY63" s="3461"/>
      <c r="KIZ63" s="3461"/>
      <c r="KJA63" s="3461"/>
      <c r="KJB63" s="3461"/>
      <c r="KJC63" s="3461"/>
      <c r="KJD63" s="3461"/>
      <c r="KJE63" s="3461"/>
      <c r="KJF63" s="3461"/>
      <c r="KJG63" s="3461"/>
      <c r="KJH63" s="3461"/>
      <c r="KJI63" s="3461"/>
      <c r="KJJ63" s="3461"/>
      <c r="KJK63" s="3461"/>
      <c r="KJL63" s="3461"/>
      <c r="KJM63" s="3461"/>
      <c r="KJN63" s="3461"/>
      <c r="KJO63" s="3461"/>
      <c r="KJP63" s="3461"/>
      <c r="KJQ63" s="3461"/>
      <c r="KJR63" s="3461"/>
      <c r="KJS63" s="3461"/>
      <c r="KJT63" s="3461"/>
      <c r="KJU63" s="3461"/>
      <c r="KJV63" s="3461"/>
      <c r="KJW63" s="3461"/>
      <c r="KJX63" s="3461"/>
      <c r="KJY63" s="3461"/>
      <c r="KJZ63" s="3461"/>
      <c r="KKA63" s="3461"/>
      <c r="KKB63" s="3461"/>
      <c r="KKC63" s="3461"/>
      <c r="KKD63" s="3461"/>
      <c r="KKE63" s="3461"/>
      <c r="KKF63" s="3461"/>
      <c r="KKG63" s="3461"/>
      <c r="KKH63" s="3461"/>
      <c r="KKI63" s="3461"/>
      <c r="KKJ63" s="3461"/>
      <c r="KKK63" s="3461"/>
      <c r="KKL63" s="3461"/>
      <c r="KKM63" s="3461"/>
      <c r="KKN63" s="3461"/>
      <c r="KKO63" s="3461"/>
      <c r="KKP63" s="3461"/>
      <c r="KKQ63" s="3461"/>
      <c r="KKR63" s="3461"/>
      <c r="KKS63" s="3461"/>
      <c r="KKT63" s="3461"/>
      <c r="KKU63" s="3461"/>
      <c r="KKV63" s="3461"/>
      <c r="KKW63" s="3461"/>
      <c r="KKX63" s="3461"/>
      <c r="KKY63" s="3461"/>
      <c r="KKZ63" s="3461"/>
      <c r="KLA63" s="3461"/>
      <c r="KLB63" s="3461"/>
      <c r="KLC63" s="3461"/>
      <c r="KLD63" s="3461"/>
      <c r="KLE63" s="3461"/>
      <c r="KLF63" s="3461"/>
      <c r="KLG63" s="3461"/>
      <c r="KLH63" s="3461"/>
      <c r="KLI63" s="3461"/>
      <c r="KLJ63" s="3461"/>
      <c r="KLK63" s="3461"/>
      <c r="KLL63" s="3461"/>
      <c r="KLM63" s="3461"/>
      <c r="KLN63" s="3461"/>
      <c r="KLO63" s="3461"/>
      <c r="KLP63" s="3461"/>
      <c r="KLQ63" s="3461"/>
      <c r="KLR63" s="3461"/>
      <c r="KLS63" s="3461"/>
      <c r="KLT63" s="3461"/>
      <c r="KLU63" s="3461"/>
      <c r="KLV63" s="3461"/>
      <c r="KLW63" s="3461"/>
      <c r="KLX63" s="3461"/>
      <c r="KLY63" s="3461"/>
      <c r="KLZ63" s="3461"/>
      <c r="KMA63" s="3461"/>
      <c r="KMB63" s="3461"/>
      <c r="KMC63" s="3461"/>
      <c r="KMD63" s="3461"/>
      <c r="KME63" s="3461"/>
      <c r="KMF63" s="3461"/>
      <c r="KMG63" s="3461"/>
      <c r="KMH63" s="3461"/>
      <c r="KMI63" s="3461"/>
      <c r="KMJ63" s="3461"/>
      <c r="KMK63" s="3461"/>
      <c r="KML63" s="3461"/>
      <c r="KMM63" s="3461"/>
      <c r="KMN63" s="3461"/>
      <c r="KMO63" s="3461"/>
      <c r="KMP63" s="3461"/>
      <c r="KMQ63" s="3461"/>
      <c r="KMR63" s="3461"/>
      <c r="KMS63" s="3461"/>
      <c r="KMT63" s="3461"/>
      <c r="KMU63" s="3461"/>
      <c r="KMV63" s="3461"/>
      <c r="KMW63" s="3461"/>
      <c r="KMX63" s="3461"/>
      <c r="KMY63" s="3461"/>
      <c r="KMZ63" s="3461"/>
      <c r="KNA63" s="3461"/>
      <c r="KNB63" s="3461"/>
      <c r="KNC63" s="3461"/>
      <c r="KND63" s="3461"/>
      <c r="KNE63" s="3461"/>
      <c r="KNF63" s="3461"/>
      <c r="KNG63" s="3461"/>
      <c r="KNH63" s="3461"/>
      <c r="KNI63" s="3461"/>
      <c r="KNJ63" s="3461"/>
      <c r="KNK63" s="3461"/>
      <c r="KNL63" s="3461"/>
      <c r="KNM63" s="3461"/>
      <c r="KNN63" s="3461"/>
      <c r="KNO63" s="3461"/>
      <c r="KNP63" s="3461"/>
      <c r="KNQ63" s="3461"/>
      <c r="KNR63" s="3461"/>
      <c r="KNS63" s="3461"/>
      <c r="KNT63" s="3461"/>
      <c r="KNU63" s="3461"/>
      <c r="KNV63" s="3461"/>
      <c r="KNW63" s="3461"/>
      <c r="KNX63" s="3461"/>
      <c r="KNY63" s="3461"/>
      <c r="KNZ63" s="3461"/>
      <c r="KOA63" s="3461"/>
      <c r="KOB63" s="3461"/>
      <c r="KOC63" s="3461"/>
      <c r="KOD63" s="3461"/>
      <c r="KOE63" s="3461"/>
      <c r="KOF63" s="3461"/>
      <c r="KOG63" s="3461"/>
      <c r="KOH63" s="3461"/>
      <c r="KOI63" s="3461"/>
      <c r="KOJ63" s="3461"/>
      <c r="KOK63" s="3461"/>
      <c r="KOL63" s="3461"/>
      <c r="KOM63" s="3461"/>
      <c r="KON63" s="3461"/>
      <c r="KOO63" s="3461"/>
      <c r="KOP63" s="3461"/>
      <c r="KOQ63" s="3461"/>
      <c r="KOR63" s="3461"/>
      <c r="KOS63" s="3461"/>
      <c r="KOT63" s="3461"/>
      <c r="KOU63" s="3461"/>
      <c r="KOV63" s="3461"/>
      <c r="KOW63" s="3461"/>
      <c r="KOX63" s="3461"/>
      <c r="KOY63" s="3461"/>
      <c r="KOZ63" s="3461"/>
      <c r="KPA63" s="3461"/>
      <c r="KPB63" s="3461"/>
      <c r="KPC63" s="3461"/>
      <c r="KPD63" s="3461"/>
      <c r="KPE63" s="3461"/>
      <c r="KPF63" s="3461"/>
      <c r="KPG63" s="3461"/>
      <c r="KPH63" s="3461"/>
      <c r="KPI63" s="3461"/>
      <c r="KPJ63" s="3461"/>
      <c r="KPK63" s="3461"/>
      <c r="KPL63" s="3461"/>
      <c r="KPM63" s="3461"/>
      <c r="KPN63" s="3461"/>
      <c r="KPO63" s="3461"/>
      <c r="KPP63" s="3461"/>
      <c r="KPQ63" s="3461"/>
      <c r="KPR63" s="3461"/>
      <c r="KPS63" s="3461"/>
      <c r="KPT63" s="3461"/>
      <c r="KPU63" s="3461"/>
      <c r="KPV63" s="3461"/>
      <c r="KPW63" s="3461"/>
      <c r="KPX63" s="3461"/>
      <c r="KPY63" s="3461"/>
      <c r="KPZ63" s="3461"/>
      <c r="KQA63" s="3461"/>
      <c r="KQB63" s="3461"/>
      <c r="KQC63" s="3461"/>
      <c r="KQD63" s="3461"/>
      <c r="KQE63" s="3461"/>
      <c r="KQF63" s="3461"/>
      <c r="KQG63" s="3461"/>
      <c r="KQH63" s="3461"/>
      <c r="KQI63" s="3461"/>
      <c r="KQJ63" s="3461"/>
      <c r="KQK63" s="3461"/>
      <c r="KQL63" s="3461"/>
      <c r="KQM63" s="3461"/>
      <c r="KQN63" s="3461"/>
      <c r="KQO63" s="3461"/>
      <c r="KQP63" s="3461"/>
      <c r="KQQ63" s="3461"/>
      <c r="KQR63" s="3461"/>
      <c r="KQS63" s="3461"/>
      <c r="KQT63" s="3461"/>
      <c r="KQU63" s="3461"/>
      <c r="KQV63" s="3461"/>
      <c r="KQW63" s="3461"/>
      <c r="KQX63" s="3461"/>
      <c r="KQY63" s="3461"/>
      <c r="KQZ63" s="3461"/>
      <c r="KRA63" s="3461"/>
      <c r="KRB63" s="3461"/>
      <c r="KRC63" s="3461"/>
      <c r="KRD63" s="3461"/>
      <c r="KRE63" s="3461"/>
      <c r="KRF63" s="3461"/>
      <c r="KRG63" s="3461"/>
      <c r="KRH63" s="3461"/>
      <c r="KRI63" s="3461"/>
      <c r="KRJ63" s="3461"/>
      <c r="KRK63" s="3461"/>
      <c r="KRL63" s="3461"/>
      <c r="KRM63" s="3461"/>
      <c r="KRN63" s="3461"/>
      <c r="KRO63" s="3461"/>
      <c r="KRP63" s="3461"/>
      <c r="KRQ63" s="3461"/>
      <c r="KRR63" s="3461"/>
      <c r="KRS63" s="3461"/>
      <c r="KRT63" s="3461"/>
      <c r="KRU63" s="3461"/>
      <c r="KRV63" s="3461"/>
      <c r="KRW63" s="3461"/>
      <c r="KRX63" s="3461"/>
      <c r="KRY63" s="3461"/>
      <c r="KRZ63" s="3461"/>
      <c r="KSA63" s="3461"/>
      <c r="KSB63" s="3461"/>
      <c r="KSC63" s="3461"/>
      <c r="KSD63" s="3461"/>
      <c r="KSE63" s="3461"/>
      <c r="KSF63" s="3461"/>
      <c r="KSG63" s="3461"/>
      <c r="KSH63" s="3461"/>
      <c r="KSI63" s="3461"/>
      <c r="KSJ63" s="3461"/>
      <c r="KSK63" s="3461"/>
      <c r="KSL63" s="3461"/>
      <c r="KSM63" s="3461"/>
      <c r="KSN63" s="3461"/>
      <c r="KSO63" s="3461"/>
      <c r="KSP63" s="3461"/>
      <c r="KSQ63" s="3461"/>
      <c r="KSR63" s="3461"/>
      <c r="KSS63" s="3461"/>
      <c r="KST63" s="3461"/>
      <c r="KSU63" s="3461"/>
      <c r="KSV63" s="3461"/>
      <c r="KSW63" s="3461"/>
      <c r="KSX63" s="3461"/>
      <c r="KSY63" s="3461"/>
      <c r="KSZ63" s="3461"/>
      <c r="KTA63" s="3461"/>
      <c r="KTB63" s="3461"/>
      <c r="KTC63" s="3461"/>
      <c r="KTD63" s="3461"/>
      <c r="KTE63" s="3461"/>
      <c r="KTF63" s="3461"/>
      <c r="KTG63" s="3461"/>
      <c r="KTH63" s="3461"/>
      <c r="KTI63" s="3461"/>
      <c r="KTJ63" s="3461"/>
      <c r="KTK63" s="3461"/>
      <c r="KTL63" s="3461"/>
      <c r="KTM63" s="3461"/>
      <c r="KTN63" s="3461"/>
      <c r="KTO63" s="3461"/>
      <c r="KTP63" s="3461"/>
      <c r="KTQ63" s="3461"/>
      <c r="KTR63" s="3461"/>
      <c r="KTS63" s="3461"/>
      <c r="KTT63" s="3461"/>
      <c r="KTU63" s="3461"/>
      <c r="KTV63" s="3461"/>
      <c r="KTW63" s="3461"/>
      <c r="KTX63" s="3461"/>
      <c r="KTY63" s="3461"/>
      <c r="KTZ63" s="3461"/>
      <c r="KUA63" s="3461"/>
      <c r="KUB63" s="3461"/>
      <c r="KUC63" s="3461"/>
      <c r="KUD63" s="3461"/>
      <c r="KUE63" s="3461"/>
      <c r="KUF63" s="3461"/>
      <c r="KUG63" s="3461"/>
      <c r="KUH63" s="3461"/>
      <c r="KUI63" s="3461"/>
      <c r="KUJ63" s="3461"/>
      <c r="KUK63" s="3461"/>
      <c r="KUL63" s="3461"/>
      <c r="KUM63" s="3461"/>
      <c r="KUN63" s="3461"/>
      <c r="KUO63" s="3461"/>
      <c r="KUP63" s="3461"/>
      <c r="KUQ63" s="3461"/>
      <c r="KUR63" s="3461"/>
      <c r="KUS63" s="3461"/>
      <c r="KUT63" s="3461"/>
      <c r="KUU63" s="3461"/>
      <c r="KUV63" s="3461"/>
      <c r="KUW63" s="3461"/>
      <c r="KUX63" s="3461"/>
      <c r="KUY63" s="3461"/>
      <c r="KUZ63" s="3461"/>
      <c r="KVA63" s="3461"/>
      <c r="KVB63" s="3461"/>
      <c r="KVC63" s="3461"/>
      <c r="KVD63" s="3461"/>
      <c r="KVE63" s="3461"/>
      <c r="KVF63" s="3461"/>
      <c r="KVG63" s="3461"/>
      <c r="KVH63" s="3461"/>
      <c r="KVI63" s="3461"/>
      <c r="KVJ63" s="3461"/>
      <c r="KVK63" s="3461"/>
      <c r="KVL63" s="3461"/>
      <c r="KVM63" s="3461"/>
      <c r="KVN63" s="3461"/>
      <c r="KVO63" s="3461"/>
      <c r="KVP63" s="3461"/>
      <c r="KVQ63" s="3461"/>
      <c r="KVR63" s="3461"/>
      <c r="KVS63" s="3461"/>
      <c r="KVT63" s="3461"/>
      <c r="KVU63" s="3461"/>
      <c r="KVV63" s="3461"/>
      <c r="KVW63" s="3461"/>
      <c r="KVX63" s="3461"/>
      <c r="KVY63" s="3461"/>
      <c r="KVZ63" s="3461"/>
      <c r="KWA63" s="3461"/>
      <c r="KWB63" s="3461"/>
      <c r="KWC63" s="3461"/>
      <c r="KWD63" s="3461"/>
      <c r="KWE63" s="3461"/>
      <c r="KWF63" s="3461"/>
      <c r="KWG63" s="3461"/>
      <c r="KWH63" s="3461"/>
      <c r="KWI63" s="3461"/>
      <c r="KWJ63" s="3461"/>
      <c r="KWK63" s="3461"/>
      <c r="KWL63" s="3461"/>
      <c r="KWM63" s="3461"/>
      <c r="KWN63" s="3461"/>
      <c r="KWO63" s="3461"/>
      <c r="KWP63" s="3461"/>
      <c r="KWQ63" s="3461"/>
      <c r="KWR63" s="3461"/>
      <c r="KWS63" s="3461"/>
      <c r="KWT63" s="3461"/>
      <c r="KWU63" s="3461"/>
      <c r="KWV63" s="3461"/>
      <c r="KWW63" s="3461"/>
      <c r="KWX63" s="3461"/>
      <c r="KWY63" s="3461"/>
      <c r="KWZ63" s="3461"/>
      <c r="KXA63" s="3461"/>
      <c r="KXB63" s="3461"/>
      <c r="KXC63" s="3461"/>
      <c r="KXD63" s="3461"/>
      <c r="KXE63" s="3461"/>
      <c r="KXF63" s="3461"/>
      <c r="KXG63" s="3461"/>
      <c r="KXH63" s="3461"/>
      <c r="KXI63" s="3461"/>
      <c r="KXJ63" s="3461"/>
      <c r="KXK63" s="3461"/>
      <c r="KXL63" s="3461"/>
      <c r="KXM63" s="3461"/>
      <c r="KXN63" s="3461"/>
      <c r="KXO63" s="3461"/>
      <c r="KXP63" s="3461"/>
      <c r="KXQ63" s="3461"/>
      <c r="KXR63" s="3461"/>
      <c r="KXS63" s="3461"/>
      <c r="KXT63" s="3461"/>
      <c r="KXU63" s="3461"/>
      <c r="KXV63" s="3461"/>
      <c r="KXW63" s="3461"/>
      <c r="KXX63" s="3461"/>
      <c r="KXY63" s="3461"/>
      <c r="KXZ63" s="3461"/>
      <c r="KYA63" s="3461"/>
      <c r="KYB63" s="3461"/>
      <c r="KYC63" s="3461"/>
      <c r="KYD63" s="3461"/>
      <c r="KYE63" s="3461"/>
      <c r="KYF63" s="3461"/>
      <c r="KYG63" s="3461"/>
      <c r="KYH63" s="3461"/>
      <c r="KYI63" s="3461"/>
      <c r="KYJ63" s="3461"/>
      <c r="KYK63" s="3461"/>
      <c r="KYL63" s="3461"/>
      <c r="KYM63" s="3461"/>
      <c r="KYN63" s="3461"/>
      <c r="KYO63" s="3461"/>
      <c r="KYP63" s="3461"/>
      <c r="KYQ63" s="3461"/>
      <c r="KYR63" s="3461"/>
      <c r="KYS63" s="3461"/>
      <c r="KYT63" s="3461"/>
      <c r="KYU63" s="3461"/>
      <c r="KYV63" s="3461"/>
      <c r="KYW63" s="3461"/>
      <c r="KYX63" s="3461"/>
      <c r="KYY63" s="3461"/>
      <c r="KYZ63" s="3461"/>
      <c r="KZA63" s="3461"/>
      <c r="KZB63" s="3461"/>
      <c r="KZC63" s="3461"/>
      <c r="KZD63" s="3461"/>
      <c r="KZE63" s="3461"/>
      <c r="KZF63" s="3461"/>
      <c r="KZG63" s="3461"/>
      <c r="KZH63" s="3461"/>
      <c r="KZI63" s="3461"/>
      <c r="KZJ63" s="3461"/>
      <c r="KZK63" s="3461"/>
      <c r="KZL63" s="3461"/>
      <c r="KZM63" s="3461"/>
      <c r="KZN63" s="3461"/>
      <c r="KZO63" s="3461"/>
      <c r="KZP63" s="3461"/>
      <c r="KZQ63" s="3461"/>
      <c r="KZR63" s="3461"/>
      <c r="KZS63" s="3461"/>
      <c r="KZT63" s="3461"/>
      <c r="KZU63" s="3461"/>
      <c r="KZV63" s="3461"/>
      <c r="KZW63" s="3461"/>
      <c r="KZX63" s="3461"/>
      <c r="KZY63" s="3461"/>
      <c r="KZZ63" s="3461"/>
      <c r="LAA63" s="3461"/>
      <c r="LAB63" s="3461"/>
      <c r="LAC63" s="3461"/>
      <c r="LAD63" s="3461"/>
      <c r="LAE63" s="3461"/>
      <c r="LAF63" s="3461"/>
      <c r="LAG63" s="3461"/>
      <c r="LAH63" s="3461"/>
      <c r="LAI63" s="3461"/>
      <c r="LAJ63" s="3461"/>
      <c r="LAK63" s="3461"/>
      <c r="LAL63" s="3461"/>
      <c r="LAM63" s="3461"/>
      <c r="LAN63" s="3461"/>
      <c r="LAO63" s="3461"/>
      <c r="LAP63" s="3461"/>
      <c r="LAQ63" s="3461"/>
      <c r="LAR63" s="3461"/>
      <c r="LAS63" s="3461"/>
      <c r="LAT63" s="3461"/>
      <c r="LAU63" s="3461"/>
      <c r="LAV63" s="3461"/>
      <c r="LAW63" s="3461"/>
      <c r="LAX63" s="3461"/>
      <c r="LAY63" s="3461"/>
      <c r="LAZ63" s="3461"/>
      <c r="LBA63" s="3461"/>
      <c r="LBB63" s="3461"/>
      <c r="LBC63" s="3461"/>
      <c r="LBD63" s="3461"/>
      <c r="LBE63" s="3461"/>
      <c r="LBF63" s="3461"/>
      <c r="LBG63" s="3461"/>
      <c r="LBH63" s="3461"/>
      <c r="LBI63" s="3461"/>
      <c r="LBJ63" s="3461"/>
      <c r="LBK63" s="3461"/>
      <c r="LBL63" s="3461"/>
      <c r="LBM63" s="3461"/>
      <c r="LBN63" s="3461"/>
      <c r="LBO63" s="3461"/>
      <c r="LBP63" s="3461"/>
      <c r="LBQ63" s="3461"/>
      <c r="LBR63" s="3461"/>
      <c r="LBS63" s="3461"/>
      <c r="LBT63" s="3461"/>
      <c r="LBU63" s="3461"/>
      <c r="LBV63" s="3461"/>
      <c r="LBW63" s="3461"/>
      <c r="LBX63" s="3461"/>
      <c r="LBY63" s="3461"/>
      <c r="LBZ63" s="3461"/>
      <c r="LCA63" s="3461"/>
      <c r="LCB63" s="3461"/>
      <c r="LCC63" s="3461"/>
      <c r="LCD63" s="3461"/>
      <c r="LCE63" s="3461"/>
      <c r="LCF63" s="3461"/>
      <c r="LCG63" s="3461"/>
      <c r="LCH63" s="3461"/>
      <c r="LCI63" s="3461"/>
      <c r="LCJ63" s="3461"/>
      <c r="LCK63" s="3461"/>
      <c r="LCL63" s="3461"/>
      <c r="LCM63" s="3461"/>
      <c r="LCN63" s="3461"/>
      <c r="LCO63" s="3461"/>
      <c r="LCP63" s="3461"/>
      <c r="LCQ63" s="3461"/>
      <c r="LCR63" s="3461"/>
      <c r="LCS63" s="3461"/>
      <c r="LCT63" s="3461"/>
      <c r="LCU63" s="3461"/>
      <c r="LCV63" s="3461"/>
      <c r="LCW63" s="3461"/>
      <c r="LCX63" s="3461"/>
      <c r="LCY63" s="3461"/>
      <c r="LCZ63" s="3461"/>
      <c r="LDA63" s="3461"/>
      <c r="LDB63" s="3461"/>
      <c r="LDC63" s="3461"/>
      <c r="LDD63" s="3461"/>
      <c r="LDE63" s="3461"/>
      <c r="LDF63" s="3461"/>
      <c r="LDG63" s="3461"/>
      <c r="LDH63" s="3461"/>
      <c r="LDI63" s="3461"/>
      <c r="LDJ63" s="3461"/>
      <c r="LDK63" s="3461"/>
      <c r="LDL63" s="3461"/>
      <c r="LDM63" s="3461"/>
      <c r="LDN63" s="3461"/>
      <c r="LDO63" s="3461"/>
      <c r="LDP63" s="3461"/>
      <c r="LDQ63" s="3461"/>
      <c r="LDR63" s="3461"/>
      <c r="LDS63" s="3461"/>
      <c r="LDT63" s="3461"/>
      <c r="LDU63" s="3461"/>
      <c r="LDV63" s="3461"/>
      <c r="LDW63" s="3461"/>
      <c r="LDX63" s="3461"/>
      <c r="LDY63" s="3461"/>
      <c r="LDZ63" s="3461"/>
      <c r="LEA63" s="3461"/>
      <c r="LEB63" s="3461"/>
      <c r="LEC63" s="3461"/>
      <c r="LED63" s="3461"/>
      <c r="LEE63" s="3461"/>
      <c r="LEF63" s="3461"/>
      <c r="LEG63" s="3461"/>
      <c r="LEH63" s="3461"/>
      <c r="LEI63" s="3461"/>
      <c r="LEJ63" s="3461"/>
      <c r="LEK63" s="3461"/>
      <c r="LEL63" s="3461"/>
      <c r="LEM63" s="3461"/>
      <c r="LEN63" s="3461"/>
      <c r="LEO63" s="3461"/>
      <c r="LEP63" s="3461"/>
      <c r="LEQ63" s="3461"/>
      <c r="LER63" s="3461"/>
      <c r="LES63" s="3461"/>
      <c r="LET63" s="3461"/>
      <c r="LEU63" s="3461"/>
      <c r="LEV63" s="3461"/>
      <c r="LEW63" s="3461"/>
      <c r="LEX63" s="3461"/>
      <c r="LEY63" s="3461"/>
      <c r="LEZ63" s="3461"/>
      <c r="LFA63" s="3461"/>
      <c r="LFB63" s="3461"/>
      <c r="LFC63" s="3461"/>
      <c r="LFD63" s="3461"/>
      <c r="LFE63" s="3461"/>
      <c r="LFF63" s="3461"/>
      <c r="LFG63" s="3461"/>
      <c r="LFH63" s="3461"/>
      <c r="LFI63" s="3461"/>
      <c r="LFJ63" s="3461"/>
      <c r="LFK63" s="3461"/>
      <c r="LFL63" s="3461"/>
      <c r="LFM63" s="3461"/>
      <c r="LFN63" s="3461"/>
      <c r="LFO63" s="3461"/>
      <c r="LFP63" s="3461"/>
      <c r="LFQ63" s="3461"/>
      <c r="LFR63" s="3461"/>
      <c r="LFS63" s="3461"/>
      <c r="LFT63" s="3461"/>
      <c r="LFU63" s="3461"/>
      <c r="LFV63" s="3461"/>
      <c r="LFW63" s="3461"/>
      <c r="LFX63" s="3461"/>
      <c r="LFY63" s="3461"/>
      <c r="LFZ63" s="3461"/>
      <c r="LGA63" s="3461"/>
      <c r="LGB63" s="3461"/>
      <c r="LGC63" s="3461"/>
      <c r="LGD63" s="3461"/>
      <c r="LGE63" s="3461"/>
      <c r="LGF63" s="3461"/>
      <c r="LGG63" s="3461"/>
      <c r="LGH63" s="3461"/>
      <c r="LGI63" s="3461"/>
      <c r="LGJ63" s="3461"/>
      <c r="LGK63" s="3461"/>
      <c r="LGL63" s="3461"/>
      <c r="LGM63" s="3461"/>
      <c r="LGN63" s="3461"/>
      <c r="LGO63" s="3461"/>
      <c r="LGP63" s="3461"/>
      <c r="LGQ63" s="3461"/>
      <c r="LGR63" s="3461"/>
      <c r="LGS63" s="3461"/>
      <c r="LGT63" s="3461"/>
      <c r="LGU63" s="3461"/>
      <c r="LGV63" s="3461"/>
      <c r="LGW63" s="3461"/>
      <c r="LGX63" s="3461"/>
      <c r="LGY63" s="3461"/>
      <c r="LGZ63" s="3461"/>
      <c r="LHA63" s="3461"/>
      <c r="LHB63" s="3461"/>
      <c r="LHC63" s="3461"/>
      <c r="LHD63" s="3461"/>
      <c r="LHE63" s="3461"/>
      <c r="LHF63" s="3461"/>
      <c r="LHG63" s="3461"/>
      <c r="LHH63" s="3461"/>
      <c r="LHI63" s="3461"/>
      <c r="LHJ63" s="3461"/>
      <c r="LHK63" s="3461"/>
      <c r="LHL63" s="3461"/>
      <c r="LHM63" s="3461"/>
      <c r="LHN63" s="3461"/>
      <c r="LHO63" s="3461"/>
      <c r="LHP63" s="3461"/>
      <c r="LHQ63" s="3461"/>
      <c r="LHR63" s="3461"/>
      <c r="LHS63" s="3461"/>
      <c r="LHT63" s="3461"/>
      <c r="LHU63" s="3461"/>
      <c r="LHV63" s="3461"/>
      <c r="LHW63" s="3461"/>
      <c r="LHX63" s="3461"/>
      <c r="LHY63" s="3461"/>
      <c r="LHZ63" s="3461"/>
      <c r="LIA63" s="3461"/>
      <c r="LIB63" s="3461"/>
      <c r="LIC63" s="3461"/>
      <c r="LID63" s="3461"/>
      <c r="LIE63" s="3461"/>
      <c r="LIF63" s="3461"/>
      <c r="LIG63" s="3461"/>
      <c r="LIH63" s="3461"/>
      <c r="LII63" s="3461"/>
      <c r="LIJ63" s="3461"/>
      <c r="LIK63" s="3461"/>
      <c r="LIL63" s="3461"/>
      <c r="LIM63" s="3461"/>
      <c r="LIN63" s="3461"/>
      <c r="LIO63" s="3461"/>
      <c r="LIP63" s="3461"/>
      <c r="LIQ63" s="3461"/>
      <c r="LIR63" s="3461"/>
      <c r="LIS63" s="3461"/>
      <c r="LIT63" s="3461"/>
      <c r="LIU63" s="3461"/>
      <c r="LIV63" s="3461"/>
      <c r="LIW63" s="3461"/>
      <c r="LIX63" s="3461"/>
      <c r="LIY63" s="3461"/>
      <c r="LIZ63" s="3461"/>
      <c r="LJA63" s="3461"/>
      <c r="LJB63" s="3461"/>
      <c r="LJC63" s="3461"/>
      <c r="LJD63" s="3461"/>
      <c r="LJE63" s="3461"/>
      <c r="LJF63" s="3461"/>
      <c r="LJG63" s="3461"/>
      <c r="LJH63" s="3461"/>
      <c r="LJI63" s="3461"/>
      <c r="LJJ63" s="3461"/>
      <c r="LJK63" s="3461"/>
      <c r="LJL63" s="3461"/>
      <c r="LJM63" s="3461"/>
      <c r="LJN63" s="3461"/>
      <c r="LJO63" s="3461"/>
      <c r="LJP63" s="3461"/>
      <c r="LJQ63" s="3461"/>
      <c r="LJR63" s="3461"/>
      <c r="LJS63" s="3461"/>
      <c r="LJT63" s="3461"/>
      <c r="LJU63" s="3461"/>
      <c r="LJV63" s="3461"/>
      <c r="LJW63" s="3461"/>
      <c r="LJX63" s="3461"/>
      <c r="LJY63" s="3461"/>
      <c r="LJZ63" s="3461"/>
      <c r="LKA63" s="3461"/>
      <c r="LKB63" s="3461"/>
      <c r="LKC63" s="3461"/>
      <c r="LKD63" s="3461"/>
      <c r="LKE63" s="3461"/>
      <c r="LKF63" s="3461"/>
      <c r="LKG63" s="3461"/>
      <c r="LKH63" s="3461"/>
      <c r="LKI63" s="3461"/>
      <c r="LKJ63" s="3461"/>
      <c r="LKK63" s="3461"/>
      <c r="LKL63" s="3461"/>
      <c r="LKM63" s="3461"/>
      <c r="LKN63" s="3461"/>
      <c r="LKO63" s="3461"/>
      <c r="LKP63" s="3461"/>
      <c r="LKQ63" s="3461"/>
      <c r="LKR63" s="3461"/>
      <c r="LKS63" s="3461"/>
      <c r="LKT63" s="3461"/>
      <c r="LKU63" s="3461"/>
      <c r="LKV63" s="3461"/>
      <c r="LKW63" s="3461"/>
      <c r="LKX63" s="3461"/>
      <c r="LKY63" s="3461"/>
      <c r="LKZ63" s="3461"/>
      <c r="LLA63" s="3461"/>
      <c r="LLB63" s="3461"/>
      <c r="LLC63" s="3461"/>
      <c r="LLD63" s="3461"/>
      <c r="LLE63" s="3461"/>
      <c r="LLF63" s="3461"/>
      <c r="LLG63" s="3461"/>
      <c r="LLH63" s="3461"/>
      <c r="LLI63" s="3461"/>
      <c r="LLJ63" s="3461"/>
      <c r="LLK63" s="3461"/>
      <c r="LLL63" s="3461"/>
      <c r="LLM63" s="3461"/>
      <c r="LLN63" s="3461"/>
      <c r="LLO63" s="3461"/>
      <c r="LLP63" s="3461"/>
      <c r="LLQ63" s="3461"/>
      <c r="LLR63" s="3461"/>
      <c r="LLS63" s="3461"/>
      <c r="LLT63" s="3461"/>
      <c r="LLU63" s="3461"/>
      <c r="LLV63" s="3461"/>
      <c r="LLW63" s="3461"/>
      <c r="LLX63" s="3461"/>
      <c r="LLY63" s="3461"/>
      <c r="LLZ63" s="3461"/>
      <c r="LMA63" s="3461"/>
      <c r="LMB63" s="3461"/>
      <c r="LMC63" s="3461"/>
      <c r="LMD63" s="3461"/>
      <c r="LME63" s="3461"/>
      <c r="LMF63" s="3461"/>
      <c r="LMG63" s="3461"/>
      <c r="LMH63" s="3461"/>
      <c r="LMI63" s="3461"/>
      <c r="LMJ63" s="3461"/>
      <c r="LMK63" s="3461"/>
      <c r="LML63" s="3461"/>
      <c r="LMM63" s="3461"/>
      <c r="LMN63" s="3461"/>
      <c r="LMO63" s="3461"/>
      <c r="LMP63" s="3461"/>
      <c r="LMQ63" s="3461"/>
      <c r="LMR63" s="3461"/>
      <c r="LMS63" s="3461"/>
      <c r="LMT63" s="3461"/>
      <c r="LMU63" s="3461"/>
      <c r="LMV63" s="3461"/>
      <c r="LMW63" s="3461"/>
      <c r="LMX63" s="3461"/>
      <c r="LMY63" s="3461"/>
      <c r="LMZ63" s="3461"/>
      <c r="LNA63" s="3461"/>
      <c r="LNB63" s="3461"/>
      <c r="LNC63" s="3461"/>
      <c r="LND63" s="3461"/>
      <c r="LNE63" s="3461"/>
      <c r="LNF63" s="3461"/>
      <c r="LNG63" s="3461"/>
      <c r="LNH63" s="3461"/>
      <c r="LNI63" s="3461"/>
      <c r="LNJ63" s="3461"/>
      <c r="LNK63" s="3461"/>
      <c r="LNL63" s="3461"/>
      <c r="LNM63" s="3461"/>
      <c r="LNN63" s="3461"/>
      <c r="LNO63" s="3461"/>
      <c r="LNP63" s="3461"/>
      <c r="LNQ63" s="3461"/>
      <c r="LNR63" s="3461"/>
      <c r="LNS63" s="3461"/>
      <c r="LNT63" s="3461"/>
      <c r="LNU63" s="3461"/>
      <c r="LNV63" s="3461"/>
      <c r="LNW63" s="3461"/>
      <c r="LNX63" s="3461"/>
      <c r="LNY63" s="3461"/>
      <c r="LNZ63" s="3461"/>
      <c r="LOA63" s="3461"/>
      <c r="LOB63" s="3461"/>
      <c r="LOC63" s="3461"/>
      <c r="LOD63" s="3461"/>
      <c r="LOE63" s="3461"/>
      <c r="LOF63" s="3461"/>
      <c r="LOG63" s="3461"/>
      <c r="LOH63" s="3461"/>
      <c r="LOI63" s="3461"/>
      <c r="LOJ63" s="3461"/>
      <c r="LOK63" s="3461"/>
      <c r="LOL63" s="3461"/>
      <c r="LOM63" s="3461"/>
      <c r="LON63" s="3461"/>
      <c r="LOO63" s="3461"/>
      <c r="LOP63" s="3461"/>
      <c r="LOQ63" s="3461"/>
      <c r="LOR63" s="3461"/>
      <c r="LOS63" s="3461"/>
      <c r="LOT63" s="3461"/>
      <c r="LOU63" s="3461"/>
      <c r="LOV63" s="3461"/>
      <c r="LOW63" s="3461"/>
      <c r="LOX63" s="3461"/>
      <c r="LOY63" s="3461"/>
      <c r="LOZ63" s="3461"/>
      <c r="LPA63" s="3461"/>
      <c r="LPB63" s="3461"/>
      <c r="LPC63" s="3461"/>
      <c r="LPD63" s="3461"/>
      <c r="LPE63" s="3461"/>
      <c r="LPF63" s="3461"/>
      <c r="LPG63" s="3461"/>
      <c r="LPH63" s="3461"/>
      <c r="LPI63" s="3461"/>
      <c r="LPJ63" s="3461"/>
      <c r="LPK63" s="3461"/>
      <c r="LPL63" s="3461"/>
      <c r="LPM63" s="3461"/>
      <c r="LPN63" s="3461"/>
      <c r="LPO63" s="3461"/>
      <c r="LPP63" s="3461"/>
      <c r="LPQ63" s="3461"/>
      <c r="LPR63" s="3461"/>
      <c r="LPS63" s="3461"/>
      <c r="LPT63" s="3461"/>
      <c r="LPU63" s="3461"/>
      <c r="LPV63" s="3461"/>
      <c r="LPW63" s="3461"/>
      <c r="LPX63" s="3461"/>
      <c r="LPY63" s="3461"/>
      <c r="LPZ63" s="3461"/>
      <c r="LQA63" s="3461"/>
      <c r="LQB63" s="3461"/>
      <c r="LQC63" s="3461"/>
      <c r="LQD63" s="3461"/>
      <c r="LQE63" s="3461"/>
      <c r="LQF63" s="3461"/>
      <c r="LQG63" s="3461"/>
      <c r="LQH63" s="3461"/>
      <c r="LQI63" s="3461"/>
      <c r="LQJ63" s="3461"/>
      <c r="LQK63" s="3461"/>
      <c r="LQL63" s="3461"/>
      <c r="LQM63" s="3461"/>
      <c r="LQN63" s="3461"/>
      <c r="LQO63" s="3461"/>
      <c r="LQP63" s="3461"/>
      <c r="LQQ63" s="3461"/>
      <c r="LQR63" s="3461"/>
      <c r="LQS63" s="3461"/>
      <c r="LQT63" s="3461"/>
      <c r="LQU63" s="3461"/>
      <c r="LQV63" s="3461"/>
      <c r="LQW63" s="3461"/>
      <c r="LQX63" s="3461"/>
      <c r="LQY63" s="3461"/>
      <c r="LQZ63" s="3461"/>
      <c r="LRA63" s="3461"/>
      <c r="LRB63" s="3461"/>
      <c r="LRC63" s="3461"/>
      <c r="LRD63" s="3461"/>
      <c r="LRE63" s="3461"/>
      <c r="LRF63" s="3461"/>
      <c r="LRG63" s="3461"/>
      <c r="LRH63" s="3461"/>
      <c r="LRI63" s="3461"/>
      <c r="LRJ63" s="3461"/>
      <c r="LRK63" s="3461"/>
      <c r="LRL63" s="3461"/>
      <c r="LRM63" s="3461"/>
      <c r="LRN63" s="3461"/>
      <c r="LRO63" s="3461"/>
      <c r="LRP63" s="3461"/>
      <c r="LRQ63" s="3461"/>
      <c r="LRR63" s="3461"/>
      <c r="LRS63" s="3461"/>
      <c r="LRT63" s="3461"/>
      <c r="LRU63" s="3461"/>
      <c r="LRV63" s="3461"/>
      <c r="LRW63" s="3461"/>
      <c r="LRX63" s="3461"/>
      <c r="LRY63" s="3461"/>
      <c r="LRZ63" s="3461"/>
      <c r="LSA63" s="3461"/>
      <c r="LSB63" s="3461"/>
      <c r="LSC63" s="3461"/>
      <c r="LSD63" s="3461"/>
      <c r="LSE63" s="3461"/>
      <c r="LSF63" s="3461"/>
      <c r="LSG63" s="3461"/>
      <c r="LSH63" s="3461"/>
      <c r="LSI63" s="3461"/>
      <c r="LSJ63" s="3461"/>
      <c r="LSK63" s="3461"/>
      <c r="LSL63" s="3461"/>
      <c r="LSM63" s="3461"/>
      <c r="LSN63" s="3461"/>
      <c r="LSO63" s="3461"/>
      <c r="LSP63" s="3461"/>
      <c r="LSQ63" s="3461"/>
      <c r="LSR63" s="3461"/>
      <c r="LSS63" s="3461"/>
      <c r="LST63" s="3461"/>
      <c r="LSU63" s="3461"/>
      <c r="LSV63" s="3461"/>
      <c r="LSW63" s="3461"/>
      <c r="LSX63" s="3461"/>
      <c r="LSY63" s="3461"/>
      <c r="LSZ63" s="3461"/>
      <c r="LTA63" s="3461"/>
      <c r="LTB63" s="3461"/>
      <c r="LTC63" s="3461"/>
      <c r="LTD63" s="3461"/>
      <c r="LTE63" s="3461"/>
      <c r="LTF63" s="3461"/>
      <c r="LTG63" s="3461"/>
      <c r="LTH63" s="3461"/>
      <c r="LTI63" s="3461"/>
      <c r="LTJ63" s="3461"/>
      <c r="LTK63" s="3461"/>
      <c r="LTL63" s="3461"/>
      <c r="LTM63" s="3461"/>
      <c r="LTN63" s="3461"/>
      <c r="LTO63" s="3461"/>
      <c r="LTP63" s="3461"/>
      <c r="LTQ63" s="3461"/>
      <c r="LTR63" s="3461"/>
      <c r="LTS63" s="3461"/>
      <c r="LTT63" s="3461"/>
      <c r="LTU63" s="3461"/>
      <c r="LTV63" s="3461"/>
      <c r="LTW63" s="3461"/>
      <c r="LTX63" s="3461"/>
      <c r="LTY63" s="3461"/>
      <c r="LTZ63" s="3461"/>
      <c r="LUA63" s="3461"/>
      <c r="LUB63" s="3461"/>
      <c r="LUC63" s="3461"/>
      <c r="LUD63" s="3461"/>
      <c r="LUE63" s="3461"/>
      <c r="LUF63" s="3461"/>
      <c r="LUG63" s="3461"/>
      <c r="LUH63" s="3461"/>
      <c r="LUI63" s="3461"/>
      <c r="LUJ63" s="3461"/>
      <c r="LUK63" s="3461"/>
      <c r="LUL63" s="3461"/>
      <c r="LUM63" s="3461"/>
      <c r="LUN63" s="3461"/>
      <c r="LUO63" s="3461"/>
      <c r="LUP63" s="3461"/>
      <c r="LUQ63" s="3461"/>
      <c r="LUR63" s="3461"/>
      <c r="LUS63" s="3461"/>
      <c r="LUT63" s="3461"/>
      <c r="LUU63" s="3461"/>
      <c r="LUV63" s="3461"/>
      <c r="LUW63" s="3461"/>
      <c r="LUX63" s="3461"/>
      <c r="LUY63" s="3461"/>
      <c r="LUZ63" s="3461"/>
      <c r="LVA63" s="3461"/>
      <c r="LVB63" s="3461"/>
      <c r="LVC63" s="3461"/>
      <c r="LVD63" s="3461"/>
      <c r="LVE63" s="3461"/>
      <c r="LVF63" s="3461"/>
      <c r="LVG63" s="3461"/>
      <c r="LVH63" s="3461"/>
      <c r="LVI63" s="3461"/>
      <c r="LVJ63" s="3461"/>
      <c r="LVK63" s="3461"/>
      <c r="LVL63" s="3461"/>
      <c r="LVM63" s="3461"/>
      <c r="LVN63" s="3461"/>
      <c r="LVO63" s="3461"/>
      <c r="LVP63" s="3461"/>
      <c r="LVQ63" s="3461"/>
      <c r="LVR63" s="3461"/>
      <c r="LVS63" s="3461"/>
      <c r="LVT63" s="3461"/>
      <c r="LVU63" s="3461"/>
      <c r="LVV63" s="3461"/>
      <c r="LVW63" s="3461"/>
      <c r="LVX63" s="3461"/>
      <c r="LVY63" s="3461"/>
      <c r="LVZ63" s="3461"/>
      <c r="LWA63" s="3461"/>
      <c r="LWB63" s="3461"/>
      <c r="LWC63" s="3461"/>
      <c r="LWD63" s="3461"/>
      <c r="LWE63" s="3461"/>
      <c r="LWF63" s="3461"/>
      <c r="LWG63" s="3461"/>
      <c r="LWH63" s="3461"/>
      <c r="LWI63" s="3461"/>
      <c r="LWJ63" s="3461"/>
      <c r="LWK63" s="3461"/>
      <c r="LWL63" s="3461"/>
      <c r="LWM63" s="3461"/>
      <c r="LWN63" s="3461"/>
      <c r="LWO63" s="3461"/>
      <c r="LWP63" s="3461"/>
      <c r="LWQ63" s="3461"/>
      <c r="LWR63" s="3461"/>
      <c r="LWS63" s="3461"/>
      <c r="LWT63" s="3461"/>
      <c r="LWU63" s="3461"/>
      <c r="LWV63" s="3461"/>
      <c r="LWW63" s="3461"/>
      <c r="LWX63" s="3461"/>
      <c r="LWY63" s="3461"/>
      <c r="LWZ63" s="3461"/>
      <c r="LXA63" s="3461"/>
      <c r="LXB63" s="3461"/>
      <c r="LXC63" s="3461"/>
      <c r="LXD63" s="3461"/>
      <c r="LXE63" s="3461"/>
      <c r="LXF63" s="3461"/>
      <c r="LXG63" s="3461"/>
      <c r="LXH63" s="3461"/>
      <c r="LXI63" s="3461"/>
      <c r="LXJ63" s="3461"/>
      <c r="LXK63" s="3461"/>
      <c r="LXL63" s="3461"/>
      <c r="LXM63" s="3461"/>
      <c r="LXN63" s="3461"/>
      <c r="LXO63" s="3461"/>
      <c r="LXP63" s="3461"/>
      <c r="LXQ63" s="3461"/>
      <c r="LXR63" s="3461"/>
      <c r="LXS63" s="3461"/>
      <c r="LXT63" s="3461"/>
      <c r="LXU63" s="3461"/>
      <c r="LXV63" s="3461"/>
      <c r="LXW63" s="3461"/>
      <c r="LXX63" s="3461"/>
      <c r="LXY63" s="3461"/>
      <c r="LXZ63" s="3461"/>
      <c r="LYA63" s="3461"/>
      <c r="LYB63" s="3461"/>
      <c r="LYC63" s="3461"/>
      <c r="LYD63" s="3461"/>
      <c r="LYE63" s="3461"/>
      <c r="LYF63" s="3461"/>
      <c r="LYG63" s="3461"/>
      <c r="LYH63" s="3461"/>
      <c r="LYI63" s="3461"/>
      <c r="LYJ63" s="3461"/>
      <c r="LYK63" s="3461"/>
      <c r="LYL63" s="3461"/>
      <c r="LYM63" s="3461"/>
      <c r="LYN63" s="3461"/>
      <c r="LYO63" s="3461"/>
      <c r="LYP63" s="3461"/>
      <c r="LYQ63" s="3461"/>
      <c r="LYR63" s="3461"/>
      <c r="LYS63" s="3461"/>
      <c r="LYT63" s="3461"/>
      <c r="LYU63" s="3461"/>
      <c r="LYV63" s="3461"/>
      <c r="LYW63" s="3461"/>
      <c r="LYX63" s="3461"/>
      <c r="LYY63" s="3461"/>
      <c r="LYZ63" s="3461"/>
      <c r="LZA63" s="3461"/>
      <c r="LZB63" s="3461"/>
      <c r="LZC63" s="3461"/>
      <c r="LZD63" s="3461"/>
      <c r="LZE63" s="3461"/>
      <c r="LZF63" s="3461"/>
      <c r="LZG63" s="3461"/>
      <c r="LZH63" s="3461"/>
      <c r="LZI63" s="3461"/>
      <c r="LZJ63" s="3461"/>
      <c r="LZK63" s="3461"/>
      <c r="LZL63" s="3461"/>
      <c r="LZM63" s="3461"/>
      <c r="LZN63" s="3461"/>
      <c r="LZO63" s="3461"/>
      <c r="LZP63" s="3461"/>
      <c r="LZQ63" s="3461"/>
      <c r="LZR63" s="3461"/>
      <c r="LZS63" s="3461"/>
      <c r="LZT63" s="3461"/>
      <c r="LZU63" s="3461"/>
      <c r="LZV63" s="3461"/>
      <c r="LZW63" s="3461"/>
      <c r="LZX63" s="3461"/>
      <c r="LZY63" s="3461"/>
      <c r="LZZ63" s="3461"/>
      <c r="MAA63" s="3461"/>
      <c r="MAB63" s="3461"/>
      <c r="MAC63" s="3461"/>
      <c r="MAD63" s="3461"/>
      <c r="MAE63" s="3461"/>
      <c r="MAF63" s="3461"/>
      <c r="MAG63" s="3461"/>
      <c r="MAH63" s="3461"/>
      <c r="MAI63" s="3461"/>
      <c r="MAJ63" s="3461"/>
      <c r="MAK63" s="3461"/>
      <c r="MAL63" s="3461"/>
      <c r="MAM63" s="3461"/>
      <c r="MAN63" s="3461"/>
      <c r="MAO63" s="3461"/>
      <c r="MAP63" s="3461"/>
      <c r="MAQ63" s="3461"/>
      <c r="MAR63" s="3461"/>
      <c r="MAS63" s="3461"/>
      <c r="MAT63" s="3461"/>
      <c r="MAU63" s="3461"/>
      <c r="MAV63" s="3461"/>
      <c r="MAW63" s="3461"/>
      <c r="MAX63" s="3461"/>
      <c r="MAY63" s="3461"/>
      <c r="MAZ63" s="3461"/>
      <c r="MBA63" s="3461"/>
      <c r="MBB63" s="3461"/>
      <c r="MBC63" s="3461"/>
      <c r="MBD63" s="3461"/>
      <c r="MBE63" s="3461"/>
      <c r="MBF63" s="3461"/>
      <c r="MBG63" s="3461"/>
      <c r="MBH63" s="3461"/>
      <c r="MBI63" s="3461"/>
      <c r="MBJ63" s="3461"/>
      <c r="MBK63" s="3461"/>
      <c r="MBL63" s="3461"/>
      <c r="MBM63" s="3461"/>
      <c r="MBN63" s="3461"/>
      <c r="MBO63" s="3461"/>
      <c r="MBP63" s="3461"/>
      <c r="MBQ63" s="3461"/>
      <c r="MBR63" s="3461"/>
      <c r="MBS63" s="3461"/>
      <c r="MBT63" s="3461"/>
      <c r="MBU63" s="3461"/>
      <c r="MBV63" s="3461"/>
      <c r="MBW63" s="3461"/>
      <c r="MBX63" s="3461"/>
      <c r="MBY63" s="3461"/>
      <c r="MBZ63" s="3461"/>
      <c r="MCA63" s="3461"/>
      <c r="MCB63" s="3461"/>
      <c r="MCC63" s="3461"/>
      <c r="MCD63" s="3461"/>
      <c r="MCE63" s="3461"/>
      <c r="MCF63" s="3461"/>
      <c r="MCG63" s="3461"/>
      <c r="MCH63" s="3461"/>
      <c r="MCI63" s="3461"/>
      <c r="MCJ63" s="3461"/>
      <c r="MCK63" s="3461"/>
      <c r="MCL63" s="3461"/>
      <c r="MCM63" s="3461"/>
      <c r="MCN63" s="3461"/>
      <c r="MCO63" s="3461"/>
      <c r="MCP63" s="3461"/>
      <c r="MCQ63" s="3461"/>
      <c r="MCR63" s="3461"/>
      <c r="MCS63" s="3461"/>
      <c r="MCT63" s="3461"/>
      <c r="MCU63" s="3461"/>
      <c r="MCV63" s="3461"/>
      <c r="MCW63" s="3461"/>
      <c r="MCX63" s="3461"/>
      <c r="MCY63" s="3461"/>
      <c r="MCZ63" s="3461"/>
      <c r="MDA63" s="3461"/>
      <c r="MDB63" s="3461"/>
      <c r="MDC63" s="3461"/>
      <c r="MDD63" s="3461"/>
      <c r="MDE63" s="3461"/>
      <c r="MDF63" s="3461"/>
      <c r="MDG63" s="3461"/>
      <c r="MDH63" s="3461"/>
      <c r="MDI63" s="3461"/>
      <c r="MDJ63" s="3461"/>
      <c r="MDK63" s="3461"/>
      <c r="MDL63" s="3461"/>
      <c r="MDM63" s="3461"/>
      <c r="MDN63" s="3461"/>
      <c r="MDO63" s="3461"/>
      <c r="MDP63" s="3461"/>
      <c r="MDQ63" s="3461"/>
      <c r="MDR63" s="3461"/>
      <c r="MDS63" s="3461"/>
      <c r="MDT63" s="3461"/>
      <c r="MDU63" s="3461"/>
      <c r="MDV63" s="3461"/>
      <c r="MDW63" s="3461"/>
      <c r="MDX63" s="3461"/>
      <c r="MDY63" s="3461"/>
      <c r="MDZ63" s="3461"/>
      <c r="MEA63" s="3461"/>
      <c r="MEB63" s="3461"/>
      <c r="MEC63" s="3461"/>
      <c r="MED63" s="3461"/>
      <c r="MEE63" s="3461"/>
      <c r="MEF63" s="3461"/>
      <c r="MEG63" s="3461"/>
      <c r="MEH63" s="3461"/>
      <c r="MEI63" s="3461"/>
      <c r="MEJ63" s="3461"/>
      <c r="MEK63" s="3461"/>
      <c r="MEL63" s="3461"/>
      <c r="MEM63" s="3461"/>
      <c r="MEN63" s="3461"/>
      <c r="MEO63" s="3461"/>
      <c r="MEP63" s="3461"/>
      <c r="MEQ63" s="3461"/>
      <c r="MER63" s="3461"/>
      <c r="MES63" s="3461"/>
      <c r="MET63" s="3461"/>
      <c r="MEU63" s="3461"/>
      <c r="MEV63" s="3461"/>
      <c r="MEW63" s="3461"/>
      <c r="MEX63" s="3461"/>
      <c r="MEY63" s="3461"/>
      <c r="MEZ63" s="3461"/>
      <c r="MFA63" s="3461"/>
      <c r="MFB63" s="3461"/>
      <c r="MFC63" s="3461"/>
      <c r="MFD63" s="3461"/>
      <c r="MFE63" s="3461"/>
      <c r="MFF63" s="3461"/>
      <c r="MFG63" s="3461"/>
      <c r="MFH63" s="3461"/>
      <c r="MFI63" s="3461"/>
      <c r="MFJ63" s="3461"/>
      <c r="MFK63" s="3461"/>
      <c r="MFL63" s="3461"/>
      <c r="MFM63" s="3461"/>
      <c r="MFN63" s="3461"/>
      <c r="MFO63" s="3461"/>
      <c r="MFP63" s="3461"/>
      <c r="MFQ63" s="3461"/>
      <c r="MFR63" s="3461"/>
      <c r="MFS63" s="3461"/>
      <c r="MFT63" s="3461"/>
      <c r="MFU63" s="3461"/>
      <c r="MFV63" s="3461"/>
      <c r="MFW63" s="3461"/>
      <c r="MFX63" s="3461"/>
      <c r="MFY63" s="3461"/>
      <c r="MFZ63" s="3461"/>
      <c r="MGA63" s="3461"/>
      <c r="MGB63" s="3461"/>
      <c r="MGC63" s="3461"/>
      <c r="MGD63" s="3461"/>
      <c r="MGE63" s="3461"/>
      <c r="MGF63" s="3461"/>
      <c r="MGG63" s="3461"/>
      <c r="MGH63" s="3461"/>
      <c r="MGI63" s="3461"/>
      <c r="MGJ63" s="3461"/>
      <c r="MGK63" s="3461"/>
      <c r="MGL63" s="3461"/>
      <c r="MGM63" s="3461"/>
      <c r="MGN63" s="3461"/>
      <c r="MGO63" s="3461"/>
      <c r="MGP63" s="3461"/>
      <c r="MGQ63" s="3461"/>
      <c r="MGR63" s="3461"/>
      <c r="MGS63" s="3461"/>
      <c r="MGT63" s="3461"/>
      <c r="MGU63" s="3461"/>
      <c r="MGV63" s="3461"/>
      <c r="MGW63" s="3461"/>
      <c r="MGX63" s="3461"/>
      <c r="MGY63" s="3461"/>
      <c r="MGZ63" s="3461"/>
      <c r="MHA63" s="3461"/>
      <c r="MHB63" s="3461"/>
      <c r="MHC63" s="3461"/>
      <c r="MHD63" s="3461"/>
      <c r="MHE63" s="3461"/>
      <c r="MHF63" s="3461"/>
      <c r="MHG63" s="3461"/>
      <c r="MHH63" s="3461"/>
      <c r="MHI63" s="3461"/>
      <c r="MHJ63" s="3461"/>
      <c r="MHK63" s="3461"/>
      <c r="MHL63" s="3461"/>
      <c r="MHM63" s="3461"/>
      <c r="MHN63" s="3461"/>
      <c r="MHO63" s="3461"/>
      <c r="MHP63" s="3461"/>
      <c r="MHQ63" s="3461"/>
      <c r="MHR63" s="3461"/>
      <c r="MHS63" s="3461"/>
      <c r="MHT63" s="3461"/>
      <c r="MHU63" s="3461"/>
      <c r="MHV63" s="3461"/>
      <c r="MHW63" s="3461"/>
      <c r="MHX63" s="3461"/>
      <c r="MHY63" s="3461"/>
      <c r="MHZ63" s="3461"/>
      <c r="MIA63" s="3461"/>
      <c r="MIB63" s="3461"/>
      <c r="MIC63" s="3461"/>
      <c r="MID63" s="3461"/>
      <c r="MIE63" s="3461"/>
      <c r="MIF63" s="3461"/>
      <c r="MIG63" s="3461"/>
      <c r="MIH63" s="3461"/>
      <c r="MII63" s="3461"/>
      <c r="MIJ63" s="3461"/>
      <c r="MIK63" s="3461"/>
      <c r="MIL63" s="3461"/>
      <c r="MIM63" s="3461"/>
      <c r="MIN63" s="3461"/>
      <c r="MIO63" s="3461"/>
      <c r="MIP63" s="3461"/>
      <c r="MIQ63" s="3461"/>
      <c r="MIR63" s="3461"/>
      <c r="MIS63" s="3461"/>
      <c r="MIT63" s="3461"/>
      <c r="MIU63" s="3461"/>
      <c r="MIV63" s="3461"/>
      <c r="MIW63" s="3461"/>
      <c r="MIX63" s="3461"/>
      <c r="MIY63" s="3461"/>
      <c r="MIZ63" s="3461"/>
      <c r="MJA63" s="3461"/>
      <c r="MJB63" s="3461"/>
      <c r="MJC63" s="3461"/>
      <c r="MJD63" s="3461"/>
      <c r="MJE63" s="3461"/>
      <c r="MJF63" s="3461"/>
      <c r="MJG63" s="3461"/>
      <c r="MJH63" s="3461"/>
      <c r="MJI63" s="3461"/>
      <c r="MJJ63" s="3461"/>
      <c r="MJK63" s="3461"/>
      <c r="MJL63" s="3461"/>
      <c r="MJM63" s="3461"/>
      <c r="MJN63" s="3461"/>
      <c r="MJO63" s="3461"/>
      <c r="MJP63" s="3461"/>
      <c r="MJQ63" s="3461"/>
      <c r="MJR63" s="3461"/>
      <c r="MJS63" s="3461"/>
      <c r="MJT63" s="3461"/>
      <c r="MJU63" s="3461"/>
      <c r="MJV63" s="3461"/>
      <c r="MJW63" s="3461"/>
      <c r="MJX63" s="3461"/>
      <c r="MJY63" s="3461"/>
      <c r="MJZ63" s="3461"/>
      <c r="MKA63" s="3461"/>
      <c r="MKB63" s="3461"/>
      <c r="MKC63" s="3461"/>
      <c r="MKD63" s="3461"/>
      <c r="MKE63" s="3461"/>
      <c r="MKF63" s="3461"/>
      <c r="MKG63" s="3461"/>
      <c r="MKH63" s="3461"/>
      <c r="MKI63" s="3461"/>
      <c r="MKJ63" s="3461"/>
      <c r="MKK63" s="3461"/>
      <c r="MKL63" s="3461"/>
      <c r="MKM63" s="3461"/>
      <c r="MKN63" s="3461"/>
      <c r="MKO63" s="3461"/>
      <c r="MKP63" s="3461"/>
      <c r="MKQ63" s="3461"/>
      <c r="MKR63" s="3461"/>
      <c r="MKS63" s="3461"/>
      <c r="MKT63" s="3461"/>
      <c r="MKU63" s="3461"/>
      <c r="MKV63" s="3461"/>
      <c r="MKW63" s="3461"/>
      <c r="MKX63" s="3461"/>
      <c r="MKY63" s="3461"/>
      <c r="MKZ63" s="3461"/>
      <c r="MLA63" s="3461"/>
      <c r="MLB63" s="3461"/>
      <c r="MLC63" s="3461"/>
      <c r="MLD63" s="3461"/>
      <c r="MLE63" s="3461"/>
      <c r="MLF63" s="3461"/>
      <c r="MLG63" s="3461"/>
      <c r="MLH63" s="3461"/>
      <c r="MLI63" s="3461"/>
      <c r="MLJ63" s="3461"/>
      <c r="MLK63" s="3461"/>
      <c r="MLL63" s="3461"/>
      <c r="MLM63" s="3461"/>
      <c r="MLN63" s="3461"/>
      <c r="MLO63" s="3461"/>
      <c r="MLP63" s="3461"/>
      <c r="MLQ63" s="3461"/>
      <c r="MLR63" s="3461"/>
      <c r="MLS63" s="3461"/>
      <c r="MLT63" s="3461"/>
      <c r="MLU63" s="3461"/>
      <c r="MLV63" s="3461"/>
      <c r="MLW63" s="3461"/>
      <c r="MLX63" s="3461"/>
      <c r="MLY63" s="3461"/>
      <c r="MLZ63" s="3461"/>
      <c r="MMA63" s="3461"/>
      <c r="MMB63" s="3461"/>
      <c r="MMC63" s="3461"/>
      <c r="MMD63" s="3461"/>
      <c r="MME63" s="3461"/>
      <c r="MMF63" s="3461"/>
      <c r="MMG63" s="3461"/>
      <c r="MMH63" s="3461"/>
      <c r="MMI63" s="3461"/>
      <c r="MMJ63" s="3461"/>
      <c r="MMK63" s="3461"/>
      <c r="MML63" s="3461"/>
      <c r="MMM63" s="3461"/>
      <c r="MMN63" s="3461"/>
      <c r="MMO63" s="3461"/>
      <c r="MMP63" s="3461"/>
      <c r="MMQ63" s="3461"/>
      <c r="MMR63" s="3461"/>
      <c r="MMS63" s="3461"/>
      <c r="MMT63" s="3461"/>
      <c r="MMU63" s="3461"/>
      <c r="MMV63" s="3461"/>
      <c r="MMW63" s="3461"/>
      <c r="MMX63" s="3461"/>
      <c r="MMY63" s="3461"/>
      <c r="MMZ63" s="3461"/>
      <c r="MNA63" s="3461"/>
      <c r="MNB63" s="3461"/>
      <c r="MNC63" s="3461"/>
      <c r="MND63" s="3461"/>
      <c r="MNE63" s="3461"/>
      <c r="MNF63" s="3461"/>
      <c r="MNG63" s="3461"/>
      <c r="MNH63" s="3461"/>
      <c r="MNI63" s="3461"/>
      <c r="MNJ63" s="3461"/>
      <c r="MNK63" s="3461"/>
      <c r="MNL63" s="3461"/>
      <c r="MNM63" s="3461"/>
      <c r="MNN63" s="3461"/>
      <c r="MNO63" s="3461"/>
      <c r="MNP63" s="3461"/>
      <c r="MNQ63" s="3461"/>
      <c r="MNR63" s="3461"/>
      <c r="MNS63" s="3461"/>
      <c r="MNT63" s="3461"/>
      <c r="MNU63" s="3461"/>
      <c r="MNV63" s="3461"/>
      <c r="MNW63" s="3461"/>
      <c r="MNX63" s="3461"/>
      <c r="MNY63" s="3461"/>
      <c r="MNZ63" s="3461"/>
      <c r="MOA63" s="3461"/>
      <c r="MOB63" s="3461"/>
      <c r="MOC63" s="3461"/>
      <c r="MOD63" s="3461"/>
      <c r="MOE63" s="3461"/>
      <c r="MOF63" s="3461"/>
      <c r="MOG63" s="3461"/>
      <c r="MOH63" s="3461"/>
      <c r="MOI63" s="3461"/>
      <c r="MOJ63" s="3461"/>
      <c r="MOK63" s="3461"/>
      <c r="MOL63" s="3461"/>
      <c r="MOM63" s="3461"/>
      <c r="MON63" s="3461"/>
      <c r="MOO63" s="3461"/>
      <c r="MOP63" s="3461"/>
      <c r="MOQ63" s="3461"/>
      <c r="MOR63" s="3461"/>
      <c r="MOS63" s="3461"/>
      <c r="MOT63" s="3461"/>
      <c r="MOU63" s="3461"/>
      <c r="MOV63" s="3461"/>
      <c r="MOW63" s="3461"/>
      <c r="MOX63" s="3461"/>
      <c r="MOY63" s="3461"/>
      <c r="MOZ63" s="3461"/>
      <c r="MPA63" s="3461"/>
      <c r="MPB63" s="3461"/>
      <c r="MPC63" s="3461"/>
      <c r="MPD63" s="3461"/>
      <c r="MPE63" s="3461"/>
      <c r="MPF63" s="3461"/>
      <c r="MPG63" s="3461"/>
      <c r="MPH63" s="3461"/>
      <c r="MPI63" s="3461"/>
      <c r="MPJ63" s="3461"/>
      <c r="MPK63" s="3461"/>
      <c r="MPL63" s="3461"/>
      <c r="MPM63" s="3461"/>
      <c r="MPN63" s="3461"/>
      <c r="MPO63" s="3461"/>
      <c r="MPP63" s="3461"/>
      <c r="MPQ63" s="3461"/>
      <c r="MPR63" s="3461"/>
      <c r="MPS63" s="3461"/>
      <c r="MPT63" s="3461"/>
      <c r="MPU63" s="3461"/>
      <c r="MPV63" s="3461"/>
      <c r="MPW63" s="3461"/>
      <c r="MPX63" s="3461"/>
      <c r="MPY63" s="3461"/>
      <c r="MPZ63" s="3461"/>
      <c r="MQA63" s="3461"/>
      <c r="MQB63" s="3461"/>
      <c r="MQC63" s="3461"/>
      <c r="MQD63" s="3461"/>
      <c r="MQE63" s="3461"/>
      <c r="MQF63" s="3461"/>
      <c r="MQG63" s="3461"/>
      <c r="MQH63" s="3461"/>
      <c r="MQI63" s="3461"/>
      <c r="MQJ63" s="3461"/>
      <c r="MQK63" s="3461"/>
      <c r="MQL63" s="3461"/>
      <c r="MQM63" s="3461"/>
      <c r="MQN63" s="3461"/>
      <c r="MQO63" s="3461"/>
      <c r="MQP63" s="3461"/>
      <c r="MQQ63" s="3461"/>
      <c r="MQR63" s="3461"/>
      <c r="MQS63" s="3461"/>
      <c r="MQT63" s="3461"/>
      <c r="MQU63" s="3461"/>
      <c r="MQV63" s="3461"/>
      <c r="MQW63" s="3461"/>
      <c r="MQX63" s="3461"/>
      <c r="MQY63" s="3461"/>
      <c r="MQZ63" s="3461"/>
      <c r="MRA63" s="3461"/>
      <c r="MRB63" s="3461"/>
      <c r="MRC63" s="3461"/>
      <c r="MRD63" s="3461"/>
      <c r="MRE63" s="3461"/>
      <c r="MRF63" s="3461"/>
      <c r="MRG63" s="3461"/>
      <c r="MRH63" s="3461"/>
      <c r="MRI63" s="3461"/>
      <c r="MRJ63" s="3461"/>
      <c r="MRK63" s="3461"/>
      <c r="MRL63" s="3461"/>
      <c r="MRM63" s="3461"/>
      <c r="MRN63" s="3461"/>
      <c r="MRO63" s="3461"/>
      <c r="MRP63" s="3461"/>
      <c r="MRQ63" s="3461"/>
      <c r="MRR63" s="3461"/>
      <c r="MRS63" s="3461"/>
      <c r="MRT63" s="3461"/>
      <c r="MRU63" s="3461"/>
      <c r="MRV63" s="3461"/>
      <c r="MRW63" s="3461"/>
      <c r="MRX63" s="3461"/>
      <c r="MRY63" s="3461"/>
      <c r="MRZ63" s="3461"/>
      <c r="MSA63" s="3461"/>
      <c r="MSB63" s="3461"/>
      <c r="MSC63" s="3461"/>
      <c r="MSD63" s="3461"/>
      <c r="MSE63" s="3461"/>
      <c r="MSF63" s="3461"/>
      <c r="MSG63" s="3461"/>
      <c r="MSH63" s="3461"/>
      <c r="MSI63" s="3461"/>
      <c r="MSJ63" s="3461"/>
      <c r="MSK63" s="3461"/>
      <c r="MSL63" s="3461"/>
      <c r="MSM63" s="3461"/>
      <c r="MSN63" s="3461"/>
      <c r="MSO63" s="3461"/>
      <c r="MSP63" s="3461"/>
      <c r="MSQ63" s="3461"/>
      <c r="MSR63" s="3461"/>
      <c r="MSS63" s="3461"/>
      <c r="MST63" s="3461"/>
      <c r="MSU63" s="3461"/>
      <c r="MSV63" s="3461"/>
      <c r="MSW63" s="3461"/>
      <c r="MSX63" s="3461"/>
      <c r="MSY63" s="3461"/>
      <c r="MSZ63" s="3461"/>
      <c r="MTA63" s="3461"/>
      <c r="MTB63" s="3461"/>
      <c r="MTC63" s="3461"/>
      <c r="MTD63" s="3461"/>
      <c r="MTE63" s="3461"/>
      <c r="MTF63" s="3461"/>
      <c r="MTG63" s="3461"/>
      <c r="MTH63" s="3461"/>
      <c r="MTI63" s="3461"/>
      <c r="MTJ63" s="3461"/>
      <c r="MTK63" s="3461"/>
      <c r="MTL63" s="3461"/>
      <c r="MTM63" s="3461"/>
      <c r="MTN63" s="3461"/>
      <c r="MTO63" s="3461"/>
      <c r="MTP63" s="3461"/>
      <c r="MTQ63" s="3461"/>
      <c r="MTR63" s="3461"/>
      <c r="MTS63" s="3461"/>
      <c r="MTT63" s="3461"/>
      <c r="MTU63" s="3461"/>
      <c r="MTV63" s="3461"/>
      <c r="MTW63" s="3461"/>
      <c r="MTX63" s="3461"/>
      <c r="MTY63" s="3461"/>
      <c r="MTZ63" s="3461"/>
      <c r="MUA63" s="3461"/>
      <c r="MUB63" s="3461"/>
      <c r="MUC63" s="3461"/>
      <c r="MUD63" s="3461"/>
      <c r="MUE63" s="3461"/>
      <c r="MUF63" s="3461"/>
      <c r="MUG63" s="3461"/>
      <c r="MUH63" s="3461"/>
      <c r="MUI63" s="3461"/>
      <c r="MUJ63" s="3461"/>
      <c r="MUK63" s="3461"/>
      <c r="MUL63" s="3461"/>
      <c r="MUM63" s="3461"/>
      <c r="MUN63" s="3461"/>
      <c r="MUO63" s="3461"/>
      <c r="MUP63" s="3461"/>
      <c r="MUQ63" s="3461"/>
      <c r="MUR63" s="3461"/>
      <c r="MUS63" s="3461"/>
      <c r="MUT63" s="3461"/>
      <c r="MUU63" s="3461"/>
      <c r="MUV63" s="3461"/>
      <c r="MUW63" s="3461"/>
      <c r="MUX63" s="3461"/>
      <c r="MUY63" s="3461"/>
      <c r="MUZ63" s="3461"/>
      <c r="MVA63" s="3461"/>
      <c r="MVB63" s="3461"/>
      <c r="MVC63" s="3461"/>
      <c r="MVD63" s="3461"/>
      <c r="MVE63" s="3461"/>
      <c r="MVF63" s="3461"/>
      <c r="MVG63" s="3461"/>
      <c r="MVH63" s="3461"/>
      <c r="MVI63" s="3461"/>
      <c r="MVJ63" s="3461"/>
      <c r="MVK63" s="3461"/>
      <c r="MVL63" s="3461"/>
      <c r="MVM63" s="3461"/>
      <c r="MVN63" s="3461"/>
      <c r="MVO63" s="3461"/>
      <c r="MVP63" s="3461"/>
      <c r="MVQ63" s="3461"/>
      <c r="MVR63" s="3461"/>
      <c r="MVS63" s="3461"/>
      <c r="MVT63" s="3461"/>
      <c r="MVU63" s="3461"/>
      <c r="MVV63" s="3461"/>
      <c r="MVW63" s="3461"/>
      <c r="MVX63" s="3461"/>
      <c r="MVY63" s="3461"/>
      <c r="MVZ63" s="3461"/>
      <c r="MWA63" s="3461"/>
      <c r="MWB63" s="3461"/>
      <c r="MWC63" s="3461"/>
      <c r="MWD63" s="3461"/>
      <c r="MWE63" s="3461"/>
      <c r="MWF63" s="3461"/>
      <c r="MWG63" s="3461"/>
      <c r="MWH63" s="3461"/>
      <c r="MWI63" s="3461"/>
      <c r="MWJ63" s="3461"/>
      <c r="MWK63" s="3461"/>
      <c r="MWL63" s="3461"/>
      <c r="MWM63" s="3461"/>
      <c r="MWN63" s="3461"/>
      <c r="MWO63" s="3461"/>
      <c r="MWP63" s="3461"/>
      <c r="MWQ63" s="3461"/>
      <c r="MWR63" s="3461"/>
      <c r="MWS63" s="3461"/>
      <c r="MWT63" s="3461"/>
      <c r="MWU63" s="3461"/>
      <c r="MWV63" s="3461"/>
      <c r="MWW63" s="3461"/>
      <c r="MWX63" s="3461"/>
      <c r="MWY63" s="3461"/>
      <c r="MWZ63" s="3461"/>
      <c r="MXA63" s="3461"/>
      <c r="MXB63" s="3461"/>
      <c r="MXC63" s="3461"/>
      <c r="MXD63" s="3461"/>
      <c r="MXE63" s="3461"/>
      <c r="MXF63" s="3461"/>
      <c r="MXG63" s="3461"/>
      <c r="MXH63" s="3461"/>
      <c r="MXI63" s="3461"/>
      <c r="MXJ63" s="3461"/>
      <c r="MXK63" s="3461"/>
      <c r="MXL63" s="3461"/>
      <c r="MXM63" s="3461"/>
      <c r="MXN63" s="3461"/>
      <c r="MXO63" s="3461"/>
      <c r="MXP63" s="3461"/>
      <c r="MXQ63" s="3461"/>
      <c r="MXR63" s="3461"/>
      <c r="MXS63" s="3461"/>
      <c r="MXT63" s="3461"/>
      <c r="MXU63" s="3461"/>
      <c r="MXV63" s="3461"/>
      <c r="MXW63" s="3461"/>
      <c r="MXX63" s="3461"/>
      <c r="MXY63" s="3461"/>
      <c r="MXZ63" s="3461"/>
      <c r="MYA63" s="3461"/>
      <c r="MYB63" s="3461"/>
      <c r="MYC63" s="3461"/>
      <c r="MYD63" s="3461"/>
      <c r="MYE63" s="3461"/>
      <c r="MYF63" s="3461"/>
      <c r="MYG63" s="3461"/>
      <c r="MYH63" s="3461"/>
      <c r="MYI63" s="3461"/>
      <c r="MYJ63" s="3461"/>
      <c r="MYK63" s="3461"/>
      <c r="MYL63" s="3461"/>
      <c r="MYM63" s="3461"/>
      <c r="MYN63" s="3461"/>
      <c r="MYO63" s="3461"/>
      <c r="MYP63" s="3461"/>
      <c r="MYQ63" s="3461"/>
      <c r="MYR63" s="3461"/>
      <c r="MYS63" s="3461"/>
      <c r="MYT63" s="3461"/>
      <c r="MYU63" s="3461"/>
      <c r="MYV63" s="3461"/>
      <c r="MYW63" s="3461"/>
      <c r="MYX63" s="3461"/>
      <c r="MYY63" s="3461"/>
      <c r="MYZ63" s="3461"/>
      <c r="MZA63" s="3461"/>
      <c r="MZB63" s="3461"/>
      <c r="MZC63" s="3461"/>
      <c r="MZD63" s="3461"/>
      <c r="MZE63" s="3461"/>
      <c r="MZF63" s="3461"/>
      <c r="MZG63" s="3461"/>
      <c r="MZH63" s="3461"/>
      <c r="MZI63" s="3461"/>
      <c r="MZJ63" s="3461"/>
      <c r="MZK63" s="3461"/>
      <c r="MZL63" s="3461"/>
      <c r="MZM63" s="3461"/>
      <c r="MZN63" s="3461"/>
      <c r="MZO63" s="3461"/>
      <c r="MZP63" s="3461"/>
      <c r="MZQ63" s="3461"/>
      <c r="MZR63" s="3461"/>
      <c r="MZS63" s="3461"/>
      <c r="MZT63" s="3461"/>
      <c r="MZU63" s="3461"/>
      <c r="MZV63" s="3461"/>
      <c r="MZW63" s="3461"/>
      <c r="MZX63" s="3461"/>
      <c r="MZY63" s="3461"/>
      <c r="MZZ63" s="3461"/>
      <c r="NAA63" s="3461"/>
      <c r="NAB63" s="3461"/>
      <c r="NAC63" s="3461"/>
      <c r="NAD63" s="3461"/>
      <c r="NAE63" s="3461"/>
      <c r="NAF63" s="3461"/>
      <c r="NAG63" s="3461"/>
      <c r="NAH63" s="3461"/>
      <c r="NAI63" s="3461"/>
      <c r="NAJ63" s="3461"/>
      <c r="NAK63" s="3461"/>
      <c r="NAL63" s="3461"/>
      <c r="NAM63" s="3461"/>
      <c r="NAN63" s="3461"/>
      <c r="NAO63" s="3461"/>
      <c r="NAP63" s="3461"/>
      <c r="NAQ63" s="3461"/>
      <c r="NAR63" s="3461"/>
      <c r="NAS63" s="3461"/>
      <c r="NAT63" s="3461"/>
      <c r="NAU63" s="3461"/>
      <c r="NAV63" s="3461"/>
      <c r="NAW63" s="3461"/>
      <c r="NAX63" s="3461"/>
      <c r="NAY63" s="3461"/>
      <c r="NAZ63" s="3461"/>
      <c r="NBA63" s="3461"/>
      <c r="NBB63" s="3461"/>
      <c r="NBC63" s="3461"/>
      <c r="NBD63" s="3461"/>
      <c r="NBE63" s="3461"/>
      <c r="NBF63" s="3461"/>
      <c r="NBG63" s="3461"/>
      <c r="NBH63" s="3461"/>
      <c r="NBI63" s="3461"/>
      <c r="NBJ63" s="3461"/>
      <c r="NBK63" s="3461"/>
      <c r="NBL63" s="3461"/>
      <c r="NBM63" s="3461"/>
      <c r="NBN63" s="3461"/>
      <c r="NBO63" s="3461"/>
      <c r="NBP63" s="3461"/>
      <c r="NBQ63" s="3461"/>
      <c r="NBR63" s="3461"/>
      <c r="NBS63" s="3461"/>
      <c r="NBT63" s="3461"/>
      <c r="NBU63" s="3461"/>
      <c r="NBV63" s="3461"/>
      <c r="NBW63" s="3461"/>
      <c r="NBX63" s="3461"/>
      <c r="NBY63" s="3461"/>
      <c r="NBZ63" s="3461"/>
      <c r="NCA63" s="3461"/>
      <c r="NCB63" s="3461"/>
      <c r="NCC63" s="3461"/>
      <c r="NCD63" s="3461"/>
      <c r="NCE63" s="3461"/>
      <c r="NCF63" s="3461"/>
      <c r="NCG63" s="3461"/>
      <c r="NCH63" s="3461"/>
      <c r="NCI63" s="3461"/>
      <c r="NCJ63" s="3461"/>
      <c r="NCK63" s="3461"/>
      <c r="NCL63" s="3461"/>
      <c r="NCM63" s="3461"/>
      <c r="NCN63" s="3461"/>
      <c r="NCO63" s="3461"/>
      <c r="NCP63" s="3461"/>
      <c r="NCQ63" s="3461"/>
      <c r="NCR63" s="3461"/>
      <c r="NCS63" s="3461"/>
      <c r="NCT63" s="3461"/>
      <c r="NCU63" s="3461"/>
      <c r="NCV63" s="3461"/>
      <c r="NCW63" s="3461"/>
      <c r="NCX63" s="3461"/>
      <c r="NCY63" s="3461"/>
      <c r="NCZ63" s="3461"/>
      <c r="NDA63" s="3461"/>
      <c r="NDB63" s="3461"/>
      <c r="NDC63" s="3461"/>
      <c r="NDD63" s="3461"/>
      <c r="NDE63" s="3461"/>
      <c r="NDF63" s="3461"/>
      <c r="NDG63" s="3461"/>
      <c r="NDH63" s="3461"/>
      <c r="NDI63" s="3461"/>
      <c r="NDJ63" s="3461"/>
      <c r="NDK63" s="3461"/>
      <c r="NDL63" s="3461"/>
      <c r="NDM63" s="3461"/>
      <c r="NDN63" s="3461"/>
      <c r="NDO63" s="3461"/>
      <c r="NDP63" s="3461"/>
      <c r="NDQ63" s="3461"/>
      <c r="NDR63" s="3461"/>
      <c r="NDS63" s="3461"/>
      <c r="NDT63" s="3461"/>
      <c r="NDU63" s="3461"/>
      <c r="NDV63" s="3461"/>
      <c r="NDW63" s="3461"/>
      <c r="NDX63" s="3461"/>
      <c r="NDY63" s="3461"/>
      <c r="NDZ63" s="3461"/>
      <c r="NEA63" s="3461"/>
      <c r="NEB63" s="3461"/>
      <c r="NEC63" s="3461"/>
      <c r="NED63" s="3461"/>
      <c r="NEE63" s="3461"/>
      <c r="NEF63" s="3461"/>
      <c r="NEG63" s="3461"/>
      <c r="NEH63" s="3461"/>
      <c r="NEI63" s="3461"/>
      <c r="NEJ63" s="3461"/>
      <c r="NEK63" s="3461"/>
      <c r="NEL63" s="3461"/>
      <c r="NEM63" s="3461"/>
      <c r="NEN63" s="3461"/>
      <c r="NEO63" s="3461"/>
      <c r="NEP63" s="3461"/>
      <c r="NEQ63" s="3461"/>
      <c r="NER63" s="3461"/>
      <c r="NES63" s="3461"/>
      <c r="NET63" s="3461"/>
      <c r="NEU63" s="3461"/>
      <c r="NEV63" s="3461"/>
      <c r="NEW63" s="3461"/>
      <c r="NEX63" s="3461"/>
      <c r="NEY63" s="3461"/>
      <c r="NEZ63" s="3461"/>
      <c r="NFA63" s="3461"/>
      <c r="NFB63" s="3461"/>
      <c r="NFC63" s="3461"/>
      <c r="NFD63" s="3461"/>
      <c r="NFE63" s="3461"/>
      <c r="NFF63" s="3461"/>
      <c r="NFG63" s="3461"/>
      <c r="NFH63" s="3461"/>
      <c r="NFI63" s="3461"/>
      <c r="NFJ63" s="3461"/>
      <c r="NFK63" s="3461"/>
      <c r="NFL63" s="3461"/>
      <c r="NFM63" s="3461"/>
      <c r="NFN63" s="3461"/>
      <c r="NFO63" s="3461"/>
      <c r="NFP63" s="3461"/>
      <c r="NFQ63" s="3461"/>
      <c r="NFR63" s="3461"/>
      <c r="NFS63" s="3461"/>
      <c r="NFT63" s="3461"/>
      <c r="NFU63" s="3461"/>
      <c r="NFV63" s="3461"/>
      <c r="NFW63" s="3461"/>
      <c r="NFX63" s="3461"/>
      <c r="NFY63" s="3461"/>
      <c r="NFZ63" s="3461"/>
      <c r="NGA63" s="3461"/>
      <c r="NGB63" s="3461"/>
      <c r="NGC63" s="3461"/>
      <c r="NGD63" s="3461"/>
      <c r="NGE63" s="3461"/>
      <c r="NGF63" s="3461"/>
      <c r="NGG63" s="3461"/>
      <c r="NGH63" s="3461"/>
      <c r="NGI63" s="3461"/>
      <c r="NGJ63" s="3461"/>
      <c r="NGK63" s="3461"/>
      <c r="NGL63" s="3461"/>
      <c r="NGM63" s="3461"/>
      <c r="NGN63" s="3461"/>
      <c r="NGO63" s="3461"/>
      <c r="NGP63" s="3461"/>
      <c r="NGQ63" s="3461"/>
      <c r="NGR63" s="3461"/>
      <c r="NGS63" s="3461"/>
      <c r="NGT63" s="3461"/>
      <c r="NGU63" s="3461"/>
      <c r="NGV63" s="3461"/>
      <c r="NGW63" s="3461"/>
      <c r="NGX63" s="3461"/>
      <c r="NGY63" s="3461"/>
      <c r="NGZ63" s="3461"/>
      <c r="NHA63" s="3461"/>
      <c r="NHB63" s="3461"/>
      <c r="NHC63" s="3461"/>
      <c r="NHD63" s="3461"/>
      <c r="NHE63" s="3461"/>
      <c r="NHF63" s="3461"/>
      <c r="NHG63" s="3461"/>
      <c r="NHH63" s="3461"/>
      <c r="NHI63" s="3461"/>
      <c r="NHJ63" s="3461"/>
      <c r="NHK63" s="3461"/>
      <c r="NHL63" s="3461"/>
      <c r="NHM63" s="3461"/>
      <c r="NHN63" s="3461"/>
      <c r="NHO63" s="3461"/>
      <c r="NHP63" s="3461"/>
      <c r="NHQ63" s="3461"/>
      <c r="NHR63" s="3461"/>
      <c r="NHS63" s="3461"/>
      <c r="NHT63" s="3461"/>
      <c r="NHU63" s="3461"/>
      <c r="NHV63" s="3461"/>
      <c r="NHW63" s="3461"/>
      <c r="NHX63" s="3461"/>
      <c r="NHY63" s="3461"/>
      <c r="NHZ63" s="3461"/>
      <c r="NIA63" s="3461"/>
      <c r="NIB63" s="3461"/>
      <c r="NIC63" s="3461"/>
      <c r="NID63" s="3461"/>
      <c r="NIE63" s="3461"/>
      <c r="NIF63" s="3461"/>
      <c r="NIG63" s="3461"/>
      <c r="NIH63" s="3461"/>
      <c r="NII63" s="3461"/>
      <c r="NIJ63" s="3461"/>
      <c r="NIK63" s="3461"/>
      <c r="NIL63" s="3461"/>
      <c r="NIM63" s="3461"/>
      <c r="NIN63" s="3461"/>
      <c r="NIO63" s="3461"/>
      <c r="NIP63" s="3461"/>
      <c r="NIQ63" s="3461"/>
      <c r="NIR63" s="3461"/>
      <c r="NIS63" s="3461"/>
      <c r="NIT63" s="3461"/>
      <c r="NIU63" s="3461"/>
      <c r="NIV63" s="3461"/>
      <c r="NIW63" s="3461"/>
      <c r="NIX63" s="3461"/>
      <c r="NIY63" s="3461"/>
      <c r="NIZ63" s="3461"/>
      <c r="NJA63" s="3461"/>
      <c r="NJB63" s="3461"/>
      <c r="NJC63" s="3461"/>
      <c r="NJD63" s="3461"/>
      <c r="NJE63" s="3461"/>
      <c r="NJF63" s="3461"/>
      <c r="NJG63" s="3461"/>
      <c r="NJH63" s="3461"/>
      <c r="NJI63" s="3461"/>
      <c r="NJJ63" s="3461"/>
      <c r="NJK63" s="3461"/>
      <c r="NJL63" s="3461"/>
      <c r="NJM63" s="3461"/>
      <c r="NJN63" s="3461"/>
      <c r="NJO63" s="3461"/>
      <c r="NJP63" s="3461"/>
      <c r="NJQ63" s="3461"/>
      <c r="NJR63" s="3461"/>
      <c r="NJS63" s="3461"/>
      <c r="NJT63" s="3461"/>
      <c r="NJU63" s="3461"/>
      <c r="NJV63" s="3461"/>
      <c r="NJW63" s="3461"/>
      <c r="NJX63" s="3461"/>
      <c r="NJY63" s="3461"/>
      <c r="NJZ63" s="3461"/>
      <c r="NKA63" s="3461"/>
      <c r="NKB63" s="3461"/>
      <c r="NKC63" s="3461"/>
      <c r="NKD63" s="3461"/>
      <c r="NKE63" s="3461"/>
      <c r="NKF63" s="3461"/>
      <c r="NKG63" s="3461"/>
      <c r="NKH63" s="3461"/>
      <c r="NKI63" s="3461"/>
      <c r="NKJ63" s="3461"/>
      <c r="NKK63" s="3461"/>
      <c r="NKL63" s="3461"/>
      <c r="NKM63" s="3461"/>
      <c r="NKN63" s="3461"/>
      <c r="NKO63" s="3461"/>
      <c r="NKP63" s="3461"/>
      <c r="NKQ63" s="3461"/>
      <c r="NKR63" s="3461"/>
      <c r="NKS63" s="3461"/>
      <c r="NKT63" s="3461"/>
      <c r="NKU63" s="3461"/>
      <c r="NKV63" s="3461"/>
      <c r="NKW63" s="3461"/>
      <c r="NKX63" s="3461"/>
      <c r="NKY63" s="3461"/>
      <c r="NKZ63" s="3461"/>
      <c r="NLA63" s="3461"/>
      <c r="NLB63" s="3461"/>
      <c r="NLC63" s="3461"/>
      <c r="NLD63" s="3461"/>
      <c r="NLE63" s="3461"/>
      <c r="NLF63" s="3461"/>
      <c r="NLG63" s="3461"/>
      <c r="NLH63" s="3461"/>
      <c r="NLI63" s="3461"/>
      <c r="NLJ63" s="3461"/>
      <c r="NLK63" s="3461"/>
      <c r="NLL63" s="3461"/>
      <c r="NLM63" s="3461"/>
      <c r="NLN63" s="3461"/>
      <c r="NLO63" s="3461"/>
      <c r="NLP63" s="3461"/>
      <c r="NLQ63" s="3461"/>
      <c r="NLR63" s="3461"/>
      <c r="NLS63" s="3461"/>
      <c r="NLT63" s="3461"/>
      <c r="NLU63" s="3461"/>
      <c r="NLV63" s="3461"/>
      <c r="NLW63" s="3461"/>
      <c r="NLX63" s="3461"/>
      <c r="NLY63" s="3461"/>
      <c r="NLZ63" s="3461"/>
      <c r="NMA63" s="3461"/>
      <c r="NMB63" s="3461"/>
      <c r="NMC63" s="3461"/>
      <c r="NMD63" s="3461"/>
      <c r="NME63" s="3461"/>
      <c r="NMF63" s="3461"/>
      <c r="NMG63" s="3461"/>
      <c r="NMH63" s="3461"/>
      <c r="NMI63" s="3461"/>
      <c r="NMJ63" s="3461"/>
      <c r="NMK63" s="3461"/>
      <c r="NML63" s="3461"/>
      <c r="NMM63" s="3461"/>
      <c r="NMN63" s="3461"/>
      <c r="NMO63" s="3461"/>
      <c r="NMP63" s="3461"/>
      <c r="NMQ63" s="3461"/>
      <c r="NMR63" s="3461"/>
      <c r="NMS63" s="3461"/>
      <c r="NMT63" s="3461"/>
      <c r="NMU63" s="3461"/>
      <c r="NMV63" s="3461"/>
      <c r="NMW63" s="3461"/>
      <c r="NMX63" s="3461"/>
      <c r="NMY63" s="3461"/>
      <c r="NMZ63" s="3461"/>
      <c r="NNA63" s="3461"/>
      <c r="NNB63" s="3461"/>
      <c r="NNC63" s="3461"/>
      <c r="NND63" s="3461"/>
      <c r="NNE63" s="3461"/>
      <c r="NNF63" s="3461"/>
      <c r="NNG63" s="3461"/>
      <c r="NNH63" s="3461"/>
      <c r="NNI63" s="3461"/>
      <c r="NNJ63" s="3461"/>
      <c r="NNK63" s="3461"/>
      <c r="NNL63" s="3461"/>
      <c r="NNM63" s="3461"/>
      <c r="NNN63" s="3461"/>
      <c r="NNO63" s="3461"/>
      <c r="NNP63" s="3461"/>
      <c r="NNQ63" s="3461"/>
      <c r="NNR63" s="3461"/>
      <c r="NNS63" s="3461"/>
      <c r="NNT63" s="3461"/>
      <c r="NNU63" s="3461"/>
      <c r="NNV63" s="3461"/>
      <c r="NNW63" s="3461"/>
      <c r="NNX63" s="3461"/>
      <c r="NNY63" s="3461"/>
      <c r="NNZ63" s="3461"/>
      <c r="NOA63" s="3461"/>
      <c r="NOB63" s="3461"/>
      <c r="NOC63" s="3461"/>
      <c r="NOD63" s="3461"/>
      <c r="NOE63" s="3461"/>
      <c r="NOF63" s="3461"/>
      <c r="NOG63" s="3461"/>
      <c r="NOH63" s="3461"/>
      <c r="NOI63" s="3461"/>
      <c r="NOJ63" s="3461"/>
      <c r="NOK63" s="3461"/>
      <c r="NOL63" s="3461"/>
      <c r="NOM63" s="3461"/>
      <c r="NON63" s="3461"/>
      <c r="NOO63" s="3461"/>
      <c r="NOP63" s="3461"/>
      <c r="NOQ63" s="3461"/>
      <c r="NOR63" s="3461"/>
      <c r="NOS63" s="3461"/>
      <c r="NOT63" s="3461"/>
      <c r="NOU63" s="3461"/>
      <c r="NOV63" s="3461"/>
      <c r="NOW63" s="3461"/>
      <c r="NOX63" s="3461"/>
      <c r="NOY63" s="3461"/>
      <c r="NOZ63" s="3461"/>
      <c r="NPA63" s="3461"/>
      <c r="NPB63" s="3461"/>
      <c r="NPC63" s="3461"/>
      <c r="NPD63" s="3461"/>
      <c r="NPE63" s="3461"/>
      <c r="NPF63" s="3461"/>
      <c r="NPG63" s="3461"/>
      <c r="NPH63" s="3461"/>
      <c r="NPI63" s="3461"/>
      <c r="NPJ63" s="3461"/>
      <c r="NPK63" s="3461"/>
      <c r="NPL63" s="3461"/>
      <c r="NPM63" s="3461"/>
      <c r="NPN63" s="3461"/>
      <c r="NPO63" s="3461"/>
      <c r="NPP63" s="3461"/>
      <c r="NPQ63" s="3461"/>
      <c r="NPR63" s="3461"/>
      <c r="NPS63" s="3461"/>
      <c r="NPT63" s="3461"/>
      <c r="NPU63" s="3461"/>
      <c r="NPV63" s="3461"/>
      <c r="NPW63" s="3461"/>
      <c r="NPX63" s="3461"/>
      <c r="NPY63" s="3461"/>
      <c r="NPZ63" s="3461"/>
      <c r="NQA63" s="3461"/>
      <c r="NQB63" s="3461"/>
      <c r="NQC63" s="3461"/>
      <c r="NQD63" s="3461"/>
      <c r="NQE63" s="3461"/>
      <c r="NQF63" s="3461"/>
      <c r="NQG63" s="3461"/>
      <c r="NQH63" s="3461"/>
      <c r="NQI63" s="3461"/>
      <c r="NQJ63" s="3461"/>
      <c r="NQK63" s="3461"/>
      <c r="NQL63" s="3461"/>
      <c r="NQM63" s="3461"/>
      <c r="NQN63" s="3461"/>
      <c r="NQO63" s="3461"/>
      <c r="NQP63" s="3461"/>
      <c r="NQQ63" s="3461"/>
      <c r="NQR63" s="3461"/>
      <c r="NQS63" s="3461"/>
      <c r="NQT63" s="3461"/>
      <c r="NQU63" s="3461"/>
      <c r="NQV63" s="3461"/>
      <c r="NQW63" s="3461"/>
      <c r="NQX63" s="3461"/>
      <c r="NQY63" s="3461"/>
      <c r="NQZ63" s="3461"/>
      <c r="NRA63" s="3461"/>
      <c r="NRB63" s="3461"/>
      <c r="NRC63" s="3461"/>
      <c r="NRD63" s="3461"/>
      <c r="NRE63" s="3461"/>
      <c r="NRF63" s="3461"/>
      <c r="NRG63" s="3461"/>
      <c r="NRH63" s="3461"/>
      <c r="NRI63" s="3461"/>
      <c r="NRJ63" s="3461"/>
      <c r="NRK63" s="3461"/>
      <c r="NRL63" s="3461"/>
      <c r="NRM63" s="3461"/>
      <c r="NRN63" s="3461"/>
      <c r="NRO63" s="3461"/>
      <c r="NRP63" s="3461"/>
      <c r="NRQ63" s="3461"/>
      <c r="NRR63" s="3461"/>
      <c r="NRS63" s="3461"/>
      <c r="NRT63" s="3461"/>
      <c r="NRU63" s="3461"/>
      <c r="NRV63" s="3461"/>
      <c r="NRW63" s="3461"/>
      <c r="NRX63" s="3461"/>
      <c r="NRY63" s="3461"/>
      <c r="NRZ63" s="3461"/>
      <c r="NSA63" s="3461"/>
      <c r="NSB63" s="3461"/>
      <c r="NSC63" s="3461"/>
      <c r="NSD63" s="3461"/>
      <c r="NSE63" s="3461"/>
      <c r="NSF63" s="3461"/>
      <c r="NSG63" s="3461"/>
      <c r="NSH63" s="3461"/>
      <c r="NSI63" s="3461"/>
      <c r="NSJ63" s="3461"/>
      <c r="NSK63" s="3461"/>
      <c r="NSL63" s="3461"/>
      <c r="NSM63" s="3461"/>
      <c r="NSN63" s="3461"/>
      <c r="NSO63" s="3461"/>
      <c r="NSP63" s="3461"/>
      <c r="NSQ63" s="3461"/>
      <c r="NSR63" s="3461"/>
      <c r="NSS63" s="3461"/>
      <c r="NST63" s="3461"/>
      <c r="NSU63" s="3461"/>
      <c r="NSV63" s="3461"/>
      <c r="NSW63" s="3461"/>
      <c r="NSX63" s="3461"/>
      <c r="NSY63" s="3461"/>
      <c r="NSZ63" s="3461"/>
      <c r="NTA63" s="3461"/>
      <c r="NTB63" s="3461"/>
      <c r="NTC63" s="3461"/>
      <c r="NTD63" s="3461"/>
      <c r="NTE63" s="3461"/>
      <c r="NTF63" s="3461"/>
      <c r="NTG63" s="3461"/>
      <c r="NTH63" s="3461"/>
      <c r="NTI63" s="3461"/>
      <c r="NTJ63" s="3461"/>
      <c r="NTK63" s="3461"/>
      <c r="NTL63" s="3461"/>
      <c r="NTM63" s="3461"/>
      <c r="NTN63" s="3461"/>
      <c r="NTO63" s="3461"/>
      <c r="NTP63" s="3461"/>
      <c r="NTQ63" s="3461"/>
      <c r="NTR63" s="3461"/>
      <c r="NTS63" s="3461"/>
      <c r="NTT63" s="3461"/>
      <c r="NTU63" s="3461"/>
      <c r="NTV63" s="3461"/>
      <c r="NTW63" s="3461"/>
      <c r="NTX63" s="3461"/>
      <c r="NTY63" s="3461"/>
      <c r="NTZ63" s="3461"/>
      <c r="NUA63" s="3461"/>
      <c r="NUB63" s="3461"/>
      <c r="NUC63" s="3461"/>
      <c r="NUD63" s="3461"/>
      <c r="NUE63" s="3461"/>
      <c r="NUF63" s="3461"/>
      <c r="NUG63" s="3461"/>
      <c r="NUH63" s="3461"/>
      <c r="NUI63" s="3461"/>
      <c r="NUJ63" s="3461"/>
      <c r="NUK63" s="3461"/>
      <c r="NUL63" s="3461"/>
      <c r="NUM63" s="3461"/>
      <c r="NUN63" s="3461"/>
      <c r="NUO63" s="3461"/>
      <c r="NUP63" s="3461"/>
      <c r="NUQ63" s="3461"/>
      <c r="NUR63" s="3461"/>
      <c r="NUS63" s="3461"/>
      <c r="NUT63" s="3461"/>
      <c r="NUU63" s="3461"/>
      <c r="NUV63" s="3461"/>
      <c r="NUW63" s="3461"/>
      <c r="NUX63" s="3461"/>
      <c r="NUY63" s="3461"/>
      <c r="NUZ63" s="3461"/>
      <c r="NVA63" s="3461"/>
      <c r="NVB63" s="3461"/>
      <c r="NVC63" s="3461"/>
      <c r="NVD63" s="3461"/>
      <c r="NVE63" s="3461"/>
      <c r="NVF63" s="3461"/>
      <c r="NVG63" s="3461"/>
      <c r="NVH63" s="3461"/>
      <c r="NVI63" s="3461"/>
      <c r="NVJ63" s="3461"/>
      <c r="NVK63" s="3461"/>
      <c r="NVL63" s="3461"/>
      <c r="NVM63" s="3461"/>
      <c r="NVN63" s="3461"/>
      <c r="NVO63" s="3461"/>
      <c r="NVP63" s="3461"/>
      <c r="NVQ63" s="3461"/>
      <c r="NVR63" s="3461"/>
      <c r="NVS63" s="3461"/>
      <c r="NVT63" s="3461"/>
      <c r="NVU63" s="3461"/>
      <c r="NVV63" s="3461"/>
      <c r="NVW63" s="3461"/>
      <c r="NVX63" s="3461"/>
      <c r="NVY63" s="3461"/>
      <c r="NVZ63" s="3461"/>
      <c r="NWA63" s="3461"/>
      <c r="NWB63" s="3461"/>
      <c r="NWC63" s="3461"/>
      <c r="NWD63" s="3461"/>
      <c r="NWE63" s="3461"/>
      <c r="NWF63" s="3461"/>
      <c r="NWG63" s="3461"/>
      <c r="NWH63" s="3461"/>
      <c r="NWI63" s="3461"/>
      <c r="NWJ63" s="3461"/>
      <c r="NWK63" s="3461"/>
      <c r="NWL63" s="3461"/>
      <c r="NWM63" s="3461"/>
      <c r="NWN63" s="3461"/>
      <c r="NWO63" s="3461"/>
      <c r="NWP63" s="3461"/>
      <c r="NWQ63" s="3461"/>
      <c r="NWR63" s="3461"/>
      <c r="NWS63" s="3461"/>
      <c r="NWT63" s="3461"/>
      <c r="NWU63" s="3461"/>
      <c r="NWV63" s="3461"/>
      <c r="NWW63" s="3461"/>
      <c r="NWX63" s="3461"/>
      <c r="NWY63" s="3461"/>
      <c r="NWZ63" s="3461"/>
      <c r="NXA63" s="3461"/>
      <c r="NXB63" s="3461"/>
      <c r="NXC63" s="3461"/>
      <c r="NXD63" s="3461"/>
      <c r="NXE63" s="3461"/>
      <c r="NXF63" s="3461"/>
      <c r="NXG63" s="3461"/>
      <c r="NXH63" s="3461"/>
      <c r="NXI63" s="3461"/>
      <c r="NXJ63" s="3461"/>
      <c r="NXK63" s="3461"/>
      <c r="NXL63" s="3461"/>
      <c r="NXM63" s="3461"/>
      <c r="NXN63" s="3461"/>
      <c r="NXO63" s="3461"/>
      <c r="NXP63" s="3461"/>
      <c r="NXQ63" s="3461"/>
      <c r="NXR63" s="3461"/>
      <c r="NXS63" s="3461"/>
      <c r="NXT63" s="3461"/>
      <c r="NXU63" s="3461"/>
      <c r="NXV63" s="3461"/>
      <c r="NXW63" s="3461"/>
      <c r="NXX63" s="3461"/>
      <c r="NXY63" s="3461"/>
      <c r="NXZ63" s="3461"/>
      <c r="NYA63" s="3461"/>
      <c r="NYB63" s="3461"/>
      <c r="NYC63" s="3461"/>
      <c r="NYD63" s="3461"/>
      <c r="NYE63" s="3461"/>
      <c r="NYF63" s="3461"/>
      <c r="NYG63" s="3461"/>
      <c r="NYH63" s="3461"/>
      <c r="NYI63" s="3461"/>
      <c r="NYJ63" s="3461"/>
      <c r="NYK63" s="3461"/>
      <c r="NYL63" s="3461"/>
      <c r="NYM63" s="3461"/>
      <c r="NYN63" s="3461"/>
      <c r="NYO63" s="3461"/>
      <c r="NYP63" s="3461"/>
      <c r="NYQ63" s="3461"/>
      <c r="NYR63" s="3461"/>
      <c r="NYS63" s="3461"/>
      <c r="NYT63" s="3461"/>
      <c r="NYU63" s="3461"/>
      <c r="NYV63" s="3461"/>
      <c r="NYW63" s="3461"/>
      <c r="NYX63" s="3461"/>
      <c r="NYY63" s="3461"/>
      <c r="NYZ63" s="3461"/>
      <c r="NZA63" s="3461"/>
      <c r="NZB63" s="3461"/>
      <c r="NZC63" s="3461"/>
      <c r="NZD63" s="3461"/>
      <c r="NZE63" s="3461"/>
      <c r="NZF63" s="3461"/>
      <c r="NZG63" s="3461"/>
      <c r="NZH63" s="3461"/>
      <c r="NZI63" s="3461"/>
      <c r="NZJ63" s="3461"/>
      <c r="NZK63" s="3461"/>
      <c r="NZL63" s="3461"/>
      <c r="NZM63" s="3461"/>
      <c r="NZN63" s="3461"/>
      <c r="NZO63" s="3461"/>
      <c r="NZP63" s="3461"/>
      <c r="NZQ63" s="3461"/>
      <c r="NZR63" s="3461"/>
      <c r="NZS63" s="3461"/>
      <c r="NZT63" s="3461"/>
      <c r="NZU63" s="3461"/>
      <c r="NZV63" s="3461"/>
      <c r="NZW63" s="3461"/>
      <c r="NZX63" s="3461"/>
      <c r="NZY63" s="3461"/>
      <c r="NZZ63" s="3461"/>
      <c r="OAA63" s="3461"/>
      <c r="OAB63" s="3461"/>
      <c r="OAC63" s="3461"/>
      <c r="OAD63" s="3461"/>
      <c r="OAE63" s="3461"/>
      <c r="OAF63" s="3461"/>
      <c r="OAG63" s="3461"/>
      <c r="OAH63" s="3461"/>
      <c r="OAI63" s="3461"/>
      <c r="OAJ63" s="3461"/>
      <c r="OAK63" s="3461"/>
      <c r="OAL63" s="3461"/>
      <c r="OAM63" s="3461"/>
      <c r="OAN63" s="3461"/>
      <c r="OAO63" s="3461"/>
      <c r="OAP63" s="3461"/>
      <c r="OAQ63" s="3461"/>
      <c r="OAR63" s="3461"/>
      <c r="OAS63" s="3461"/>
      <c r="OAT63" s="3461"/>
      <c r="OAU63" s="3461"/>
      <c r="OAV63" s="3461"/>
      <c r="OAW63" s="3461"/>
      <c r="OAX63" s="3461"/>
      <c r="OAY63" s="3461"/>
      <c r="OAZ63" s="3461"/>
      <c r="OBA63" s="3461"/>
      <c r="OBB63" s="3461"/>
      <c r="OBC63" s="3461"/>
      <c r="OBD63" s="3461"/>
      <c r="OBE63" s="3461"/>
      <c r="OBF63" s="3461"/>
      <c r="OBG63" s="3461"/>
      <c r="OBH63" s="3461"/>
      <c r="OBI63" s="3461"/>
      <c r="OBJ63" s="3461"/>
      <c r="OBK63" s="3461"/>
      <c r="OBL63" s="3461"/>
      <c r="OBM63" s="3461"/>
      <c r="OBN63" s="3461"/>
      <c r="OBO63" s="3461"/>
      <c r="OBP63" s="3461"/>
      <c r="OBQ63" s="3461"/>
      <c r="OBR63" s="3461"/>
      <c r="OBS63" s="3461"/>
      <c r="OBT63" s="3461"/>
      <c r="OBU63" s="3461"/>
      <c r="OBV63" s="3461"/>
      <c r="OBW63" s="3461"/>
      <c r="OBX63" s="3461"/>
      <c r="OBY63" s="3461"/>
      <c r="OBZ63" s="3461"/>
      <c r="OCA63" s="3461"/>
      <c r="OCB63" s="3461"/>
      <c r="OCC63" s="3461"/>
      <c r="OCD63" s="3461"/>
      <c r="OCE63" s="3461"/>
      <c r="OCF63" s="3461"/>
      <c r="OCG63" s="3461"/>
      <c r="OCH63" s="3461"/>
      <c r="OCI63" s="3461"/>
      <c r="OCJ63" s="3461"/>
      <c r="OCK63" s="3461"/>
      <c r="OCL63" s="3461"/>
      <c r="OCM63" s="3461"/>
      <c r="OCN63" s="3461"/>
      <c r="OCO63" s="3461"/>
      <c r="OCP63" s="3461"/>
      <c r="OCQ63" s="3461"/>
      <c r="OCR63" s="3461"/>
      <c r="OCS63" s="3461"/>
      <c r="OCT63" s="3461"/>
      <c r="OCU63" s="3461"/>
      <c r="OCV63" s="3461"/>
      <c r="OCW63" s="3461"/>
      <c r="OCX63" s="3461"/>
      <c r="OCY63" s="3461"/>
      <c r="OCZ63" s="3461"/>
      <c r="ODA63" s="3461"/>
      <c r="ODB63" s="3461"/>
      <c r="ODC63" s="3461"/>
      <c r="ODD63" s="3461"/>
      <c r="ODE63" s="3461"/>
      <c r="ODF63" s="3461"/>
      <c r="ODG63" s="3461"/>
      <c r="ODH63" s="3461"/>
      <c r="ODI63" s="3461"/>
      <c r="ODJ63" s="3461"/>
      <c r="ODK63" s="3461"/>
      <c r="ODL63" s="3461"/>
      <c r="ODM63" s="3461"/>
      <c r="ODN63" s="3461"/>
      <c r="ODO63" s="3461"/>
      <c r="ODP63" s="3461"/>
      <c r="ODQ63" s="3461"/>
      <c r="ODR63" s="3461"/>
      <c r="ODS63" s="3461"/>
      <c r="ODT63" s="3461"/>
      <c r="ODU63" s="3461"/>
      <c r="ODV63" s="3461"/>
      <c r="ODW63" s="3461"/>
      <c r="ODX63" s="3461"/>
      <c r="ODY63" s="3461"/>
      <c r="ODZ63" s="3461"/>
      <c r="OEA63" s="3461"/>
      <c r="OEB63" s="3461"/>
      <c r="OEC63" s="3461"/>
      <c r="OED63" s="3461"/>
      <c r="OEE63" s="3461"/>
      <c r="OEF63" s="3461"/>
      <c r="OEG63" s="3461"/>
      <c r="OEH63" s="3461"/>
      <c r="OEI63" s="3461"/>
      <c r="OEJ63" s="3461"/>
      <c r="OEK63" s="3461"/>
      <c r="OEL63" s="3461"/>
      <c r="OEM63" s="3461"/>
      <c r="OEN63" s="3461"/>
      <c r="OEO63" s="3461"/>
      <c r="OEP63" s="3461"/>
      <c r="OEQ63" s="3461"/>
      <c r="OER63" s="3461"/>
      <c r="OES63" s="3461"/>
      <c r="OET63" s="3461"/>
      <c r="OEU63" s="3461"/>
      <c r="OEV63" s="3461"/>
      <c r="OEW63" s="3461"/>
      <c r="OEX63" s="3461"/>
      <c r="OEY63" s="3461"/>
      <c r="OEZ63" s="3461"/>
      <c r="OFA63" s="3461"/>
      <c r="OFB63" s="3461"/>
      <c r="OFC63" s="3461"/>
      <c r="OFD63" s="3461"/>
      <c r="OFE63" s="3461"/>
      <c r="OFF63" s="3461"/>
      <c r="OFG63" s="3461"/>
      <c r="OFH63" s="3461"/>
      <c r="OFI63" s="3461"/>
      <c r="OFJ63" s="3461"/>
      <c r="OFK63" s="3461"/>
      <c r="OFL63" s="3461"/>
      <c r="OFM63" s="3461"/>
      <c r="OFN63" s="3461"/>
      <c r="OFO63" s="3461"/>
      <c r="OFP63" s="3461"/>
      <c r="OFQ63" s="3461"/>
      <c r="OFR63" s="3461"/>
      <c r="OFS63" s="3461"/>
      <c r="OFT63" s="3461"/>
      <c r="OFU63" s="3461"/>
      <c r="OFV63" s="3461"/>
      <c r="OFW63" s="3461"/>
      <c r="OFX63" s="3461"/>
      <c r="OFY63" s="3461"/>
      <c r="OFZ63" s="3461"/>
      <c r="OGA63" s="3461"/>
      <c r="OGB63" s="3461"/>
      <c r="OGC63" s="3461"/>
      <c r="OGD63" s="3461"/>
      <c r="OGE63" s="3461"/>
      <c r="OGF63" s="3461"/>
      <c r="OGG63" s="3461"/>
      <c r="OGH63" s="3461"/>
      <c r="OGI63" s="3461"/>
      <c r="OGJ63" s="3461"/>
      <c r="OGK63" s="3461"/>
      <c r="OGL63" s="3461"/>
      <c r="OGM63" s="3461"/>
      <c r="OGN63" s="3461"/>
      <c r="OGO63" s="3461"/>
      <c r="OGP63" s="3461"/>
      <c r="OGQ63" s="3461"/>
      <c r="OGR63" s="3461"/>
      <c r="OGS63" s="3461"/>
      <c r="OGT63" s="3461"/>
      <c r="OGU63" s="3461"/>
      <c r="OGV63" s="3461"/>
      <c r="OGW63" s="3461"/>
      <c r="OGX63" s="3461"/>
      <c r="OGY63" s="3461"/>
      <c r="OGZ63" s="3461"/>
      <c r="OHA63" s="3461"/>
      <c r="OHB63" s="3461"/>
      <c r="OHC63" s="3461"/>
      <c r="OHD63" s="3461"/>
      <c r="OHE63" s="3461"/>
      <c r="OHF63" s="3461"/>
      <c r="OHG63" s="3461"/>
      <c r="OHH63" s="3461"/>
      <c r="OHI63" s="3461"/>
      <c r="OHJ63" s="3461"/>
      <c r="OHK63" s="3461"/>
      <c r="OHL63" s="3461"/>
      <c r="OHM63" s="3461"/>
      <c r="OHN63" s="3461"/>
      <c r="OHO63" s="3461"/>
      <c r="OHP63" s="3461"/>
      <c r="OHQ63" s="3461"/>
      <c r="OHR63" s="3461"/>
      <c r="OHS63" s="3461"/>
      <c r="OHT63" s="3461"/>
      <c r="OHU63" s="3461"/>
      <c r="OHV63" s="3461"/>
      <c r="OHW63" s="3461"/>
      <c r="OHX63" s="3461"/>
      <c r="OHY63" s="3461"/>
      <c r="OHZ63" s="3461"/>
      <c r="OIA63" s="3461"/>
      <c r="OIB63" s="3461"/>
      <c r="OIC63" s="3461"/>
      <c r="OID63" s="3461"/>
      <c r="OIE63" s="3461"/>
      <c r="OIF63" s="3461"/>
      <c r="OIG63" s="3461"/>
      <c r="OIH63" s="3461"/>
      <c r="OII63" s="3461"/>
      <c r="OIJ63" s="3461"/>
      <c r="OIK63" s="3461"/>
      <c r="OIL63" s="3461"/>
      <c r="OIM63" s="3461"/>
      <c r="OIN63" s="3461"/>
      <c r="OIO63" s="3461"/>
      <c r="OIP63" s="3461"/>
      <c r="OIQ63" s="3461"/>
      <c r="OIR63" s="3461"/>
      <c r="OIS63" s="3461"/>
      <c r="OIT63" s="3461"/>
      <c r="OIU63" s="3461"/>
      <c r="OIV63" s="3461"/>
      <c r="OIW63" s="3461"/>
      <c r="OIX63" s="3461"/>
      <c r="OIY63" s="3461"/>
      <c r="OIZ63" s="3461"/>
      <c r="OJA63" s="3461"/>
      <c r="OJB63" s="3461"/>
      <c r="OJC63" s="3461"/>
      <c r="OJD63" s="3461"/>
      <c r="OJE63" s="3461"/>
      <c r="OJF63" s="3461"/>
      <c r="OJG63" s="3461"/>
      <c r="OJH63" s="3461"/>
      <c r="OJI63" s="3461"/>
      <c r="OJJ63" s="3461"/>
      <c r="OJK63" s="3461"/>
      <c r="OJL63" s="3461"/>
      <c r="OJM63" s="3461"/>
      <c r="OJN63" s="3461"/>
      <c r="OJO63" s="3461"/>
      <c r="OJP63" s="3461"/>
      <c r="OJQ63" s="3461"/>
      <c r="OJR63" s="3461"/>
      <c r="OJS63" s="3461"/>
      <c r="OJT63" s="3461"/>
      <c r="OJU63" s="3461"/>
      <c r="OJV63" s="3461"/>
      <c r="OJW63" s="3461"/>
      <c r="OJX63" s="3461"/>
      <c r="OJY63" s="3461"/>
      <c r="OJZ63" s="3461"/>
      <c r="OKA63" s="3461"/>
      <c r="OKB63" s="3461"/>
      <c r="OKC63" s="3461"/>
      <c r="OKD63" s="3461"/>
      <c r="OKE63" s="3461"/>
      <c r="OKF63" s="3461"/>
      <c r="OKG63" s="3461"/>
      <c r="OKH63" s="3461"/>
      <c r="OKI63" s="3461"/>
      <c r="OKJ63" s="3461"/>
      <c r="OKK63" s="3461"/>
      <c r="OKL63" s="3461"/>
      <c r="OKM63" s="3461"/>
      <c r="OKN63" s="3461"/>
      <c r="OKO63" s="3461"/>
      <c r="OKP63" s="3461"/>
      <c r="OKQ63" s="3461"/>
      <c r="OKR63" s="3461"/>
      <c r="OKS63" s="3461"/>
      <c r="OKT63" s="3461"/>
      <c r="OKU63" s="3461"/>
      <c r="OKV63" s="3461"/>
      <c r="OKW63" s="3461"/>
      <c r="OKX63" s="3461"/>
      <c r="OKY63" s="3461"/>
      <c r="OKZ63" s="3461"/>
      <c r="OLA63" s="3461"/>
      <c r="OLB63" s="3461"/>
      <c r="OLC63" s="3461"/>
      <c r="OLD63" s="3461"/>
      <c r="OLE63" s="3461"/>
      <c r="OLF63" s="3461"/>
      <c r="OLG63" s="3461"/>
      <c r="OLH63" s="3461"/>
      <c r="OLI63" s="3461"/>
      <c r="OLJ63" s="3461"/>
      <c r="OLK63" s="3461"/>
      <c r="OLL63" s="3461"/>
      <c r="OLM63" s="3461"/>
      <c r="OLN63" s="3461"/>
      <c r="OLO63" s="3461"/>
      <c r="OLP63" s="3461"/>
      <c r="OLQ63" s="3461"/>
      <c r="OLR63" s="3461"/>
      <c r="OLS63" s="3461"/>
      <c r="OLT63" s="3461"/>
      <c r="OLU63" s="3461"/>
      <c r="OLV63" s="3461"/>
      <c r="OLW63" s="3461"/>
      <c r="OLX63" s="3461"/>
      <c r="OLY63" s="3461"/>
      <c r="OLZ63" s="3461"/>
      <c r="OMA63" s="3461"/>
      <c r="OMB63" s="3461"/>
      <c r="OMC63" s="3461"/>
      <c r="OMD63" s="3461"/>
      <c r="OME63" s="3461"/>
      <c r="OMF63" s="3461"/>
      <c r="OMG63" s="3461"/>
      <c r="OMH63" s="3461"/>
      <c r="OMI63" s="3461"/>
      <c r="OMJ63" s="3461"/>
      <c r="OMK63" s="3461"/>
      <c r="OML63" s="3461"/>
      <c r="OMM63" s="3461"/>
      <c r="OMN63" s="3461"/>
      <c r="OMO63" s="3461"/>
      <c r="OMP63" s="3461"/>
      <c r="OMQ63" s="3461"/>
      <c r="OMR63" s="3461"/>
      <c r="OMS63" s="3461"/>
      <c r="OMT63" s="3461"/>
      <c r="OMU63" s="3461"/>
      <c r="OMV63" s="3461"/>
      <c r="OMW63" s="3461"/>
      <c r="OMX63" s="3461"/>
      <c r="OMY63" s="3461"/>
      <c r="OMZ63" s="3461"/>
      <c r="ONA63" s="3461"/>
      <c r="ONB63" s="3461"/>
      <c r="ONC63" s="3461"/>
      <c r="OND63" s="3461"/>
      <c r="ONE63" s="3461"/>
      <c r="ONF63" s="3461"/>
      <c r="ONG63" s="3461"/>
      <c r="ONH63" s="3461"/>
      <c r="ONI63" s="3461"/>
      <c r="ONJ63" s="3461"/>
      <c r="ONK63" s="3461"/>
      <c r="ONL63" s="3461"/>
      <c r="ONM63" s="3461"/>
      <c r="ONN63" s="3461"/>
      <c r="ONO63" s="3461"/>
      <c r="ONP63" s="3461"/>
      <c r="ONQ63" s="3461"/>
      <c r="ONR63" s="3461"/>
      <c r="ONS63" s="3461"/>
      <c r="ONT63" s="3461"/>
      <c r="ONU63" s="3461"/>
      <c r="ONV63" s="3461"/>
      <c r="ONW63" s="3461"/>
      <c r="ONX63" s="3461"/>
      <c r="ONY63" s="3461"/>
      <c r="ONZ63" s="3461"/>
      <c r="OOA63" s="3461"/>
      <c r="OOB63" s="3461"/>
      <c r="OOC63" s="3461"/>
      <c r="OOD63" s="3461"/>
      <c r="OOE63" s="3461"/>
      <c r="OOF63" s="3461"/>
      <c r="OOG63" s="3461"/>
      <c r="OOH63" s="3461"/>
      <c r="OOI63" s="3461"/>
      <c r="OOJ63" s="3461"/>
      <c r="OOK63" s="3461"/>
      <c r="OOL63" s="3461"/>
      <c r="OOM63" s="3461"/>
      <c r="OON63" s="3461"/>
      <c r="OOO63" s="3461"/>
      <c r="OOP63" s="3461"/>
      <c r="OOQ63" s="3461"/>
      <c r="OOR63" s="3461"/>
      <c r="OOS63" s="3461"/>
      <c r="OOT63" s="3461"/>
      <c r="OOU63" s="3461"/>
      <c r="OOV63" s="3461"/>
      <c r="OOW63" s="3461"/>
      <c r="OOX63" s="3461"/>
      <c r="OOY63" s="3461"/>
      <c r="OOZ63" s="3461"/>
      <c r="OPA63" s="3461"/>
      <c r="OPB63" s="3461"/>
      <c r="OPC63" s="3461"/>
      <c r="OPD63" s="3461"/>
      <c r="OPE63" s="3461"/>
      <c r="OPF63" s="3461"/>
      <c r="OPG63" s="3461"/>
      <c r="OPH63" s="3461"/>
      <c r="OPI63" s="3461"/>
      <c r="OPJ63" s="3461"/>
      <c r="OPK63" s="3461"/>
      <c r="OPL63" s="3461"/>
      <c r="OPM63" s="3461"/>
      <c r="OPN63" s="3461"/>
      <c r="OPO63" s="3461"/>
      <c r="OPP63" s="3461"/>
      <c r="OPQ63" s="3461"/>
      <c r="OPR63" s="3461"/>
      <c r="OPS63" s="3461"/>
      <c r="OPT63" s="3461"/>
      <c r="OPU63" s="3461"/>
      <c r="OPV63" s="3461"/>
      <c r="OPW63" s="3461"/>
      <c r="OPX63" s="3461"/>
      <c r="OPY63" s="3461"/>
      <c r="OPZ63" s="3461"/>
      <c r="OQA63" s="3461"/>
      <c r="OQB63" s="3461"/>
      <c r="OQC63" s="3461"/>
      <c r="OQD63" s="3461"/>
      <c r="OQE63" s="3461"/>
      <c r="OQF63" s="3461"/>
      <c r="OQG63" s="3461"/>
      <c r="OQH63" s="3461"/>
      <c r="OQI63" s="3461"/>
      <c r="OQJ63" s="3461"/>
      <c r="OQK63" s="3461"/>
      <c r="OQL63" s="3461"/>
      <c r="OQM63" s="3461"/>
      <c r="OQN63" s="3461"/>
      <c r="OQO63" s="3461"/>
      <c r="OQP63" s="3461"/>
      <c r="OQQ63" s="3461"/>
      <c r="OQR63" s="3461"/>
      <c r="OQS63" s="3461"/>
      <c r="OQT63" s="3461"/>
      <c r="OQU63" s="3461"/>
      <c r="OQV63" s="3461"/>
      <c r="OQW63" s="3461"/>
      <c r="OQX63" s="3461"/>
      <c r="OQY63" s="3461"/>
      <c r="OQZ63" s="3461"/>
      <c r="ORA63" s="3461"/>
      <c r="ORB63" s="3461"/>
      <c r="ORC63" s="3461"/>
      <c r="ORD63" s="3461"/>
      <c r="ORE63" s="3461"/>
      <c r="ORF63" s="3461"/>
      <c r="ORG63" s="3461"/>
      <c r="ORH63" s="3461"/>
      <c r="ORI63" s="3461"/>
      <c r="ORJ63" s="3461"/>
      <c r="ORK63" s="3461"/>
      <c r="ORL63" s="3461"/>
      <c r="ORM63" s="3461"/>
      <c r="ORN63" s="3461"/>
      <c r="ORO63" s="3461"/>
      <c r="ORP63" s="3461"/>
      <c r="ORQ63" s="3461"/>
      <c r="ORR63" s="3461"/>
      <c r="ORS63" s="3461"/>
      <c r="ORT63" s="3461"/>
      <c r="ORU63" s="3461"/>
      <c r="ORV63" s="3461"/>
      <c r="ORW63" s="3461"/>
      <c r="ORX63" s="3461"/>
      <c r="ORY63" s="3461"/>
      <c r="ORZ63" s="3461"/>
      <c r="OSA63" s="3461"/>
      <c r="OSB63" s="3461"/>
      <c r="OSC63" s="3461"/>
      <c r="OSD63" s="3461"/>
      <c r="OSE63" s="3461"/>
      <c r="OSF63" s="3461"/>
      <c r="OSG63" s="3461"/>
      <c r="OSH63" s="3461"/>
      <c r="OSI63" s="3461"/>
      <c r="OSJ63" s="3461"/>
      <c r="OSK63" s="3461"/>
      <c r="OSL63" s="3461"/>
      <c r="OSM63" s="3461"/>
      <c r="OSN63" s="3461"/>
      <c r="OSO63" s="3461"/>
      <c r="OSP63" s="3461"/>
      <c r="OSQ63" s="3461"/>
      <c r="OSR63" s="3461"/>
      <c r="OSS63" s="3461"/>
      <c r="OST63" s="3461"/>
      <c r="OSU63" s="3461"/>
      <c r="OSV63" s="3461"/>
      <c r="OSW63" s="3461"/>
      <c r="OSX63" s="3461"/>
      <c r="OSY63" s="3461"/>
      <c r="OSZ63" s="3461"/>
      <c r="OTA63" s="3461"/>
      <c r="OTB63" s="3461"/>
      <c r="OTC63" s="3461"/>
      <c r="OTD63" s="3461"/>
      <c r="OTE63" s="3461"/>
      <c r="OTF63" s="3461"/>
      <c r="OTG63" s="3461"/>
      <c r="OTH63" s="3461"/>
      <c r="OTI63" s="3461"/>
      <c r="OTJ63" s="3461"/>
      <c r="OTK63" s="3461"/>
      <c r="OTL63" s="3461"/>
      <c r="OTM63" s="3461"/>
      <c r="OTN63" s="3461"/>
      <c r="OTO63" s="3461"/>
      <c r="OTP63" s="3461"/>
      <c r="OTQ63" s="3461"/>
      <c r="OTR63" s="3461"/>
      <c r="OTS63" s="3461"/>
      <c r="OTT63" s="3461"/>
      <c r="OTU63" s="3461"/>
      <c r="OTV63" s="3461"/>
      <c r="OTW63" s="3461"/>
      <c r="OTX63" s="3461"/>
      <c r="OTY63" s="3461"/>
      <c r="OTZ63" s="3461"/>
      <c r="OUA63" s="3461"/>
      <c r="OUB63" s="3461"/>
      <c r="OUC63" s="3461"/>
      <c r="OUD63" s="3461"/>
      <c r="OUE63" s="3461"/>
      <c r="OUF63" s="3461"/>
      <c r="OUG63" s="3461"/>
      <c r="OUH63" s="3461"/>
      <c r="OUI63" s="3461"/>
      <c r="OUJ63" s="3461"/>
      <c r="OUK63" s="3461"/>
      <c r="OUL63" s="3461"/>
      <c r="OUM63" s="3461"/>
      <c r="OUN63" s="3461"/>
      <c r="OUO63" s="3461"/>
      <c r="OUP63" s="3461"/>
      <c r="OUQ63" s="3461"/>
      <c r="OUR63" s="3461"/>
      <c r="OUS63" s="3461"/>
      <c r="OUT63" s="3461"/>
      <c r="OUU63" s="3461"/>
      <c r="OUV63" s="3461"/>
      <c r="OUW63" s="3461"/>
      <c r="OUX63" s="3461"/>
      <c r="OUY63" s="3461"/>
      <c r="OUZ63" s="3461"/>
      <c r="OVA63" s="3461"/>
      <c r="OVB63" s="3461"/>
      <c r="OVC63" s="3461"/>
      <c r="OVD63" s="3461"/>
      <c r="OVE63" s="3461"/>
      <c r="OVF63" s="3461"/>
      <c r="OVG63" s="3461"/>
      <c r="OVH63" s="3461"/>
      <c r="OVI63" s="3461"/>
      <c r="OVJ63" s="3461"/>
      <c r="OVK63" s="3461"/>
      <c r="OVL63" s="3461"/>
      <c r="OVM63" s="3461"/>
      <c r="OVN63" s="3461"/>
      <c r="OVO63" s="3461"/>
      <c r="OVP63" s="3461"/>
      <c r="OVQ63" s="3461"/>
      <c r="OVR63" s="3461"/>
      <c r="OVS63" s="3461"/>
      <c r="OVT63" s="3461"/>
      <c r="OVU63" s="3461"/>
      <c r="OVV63" s="3461"/>
      <c r="OVW63" s="3461"/>
      <c r="OVX63" s="3461"/>
      <c r="OVY63" s="3461"/>
      <c r="OVZ63" s="3461"/>
      <c r="OWA63" s="3461"/>
      <c r="OWB63" s="3461"/>
      <c r="OWC63" s="3461"/>
      <c r="OWD63" s="3461"/>
      <c r="OWE63" s="3461"/>
      <c r="OWF63" s="3461"/>
      <c r="OWG63" s="3461"/>
      <c r="OWH63" s="3461"/>
      <c r="OWI63" s="3461"/>
      <c r="OWJ63" s="3461"/>
      <c r="OWK63" s="3461"/>
      <c r="OWL63" s="3461"/>
      <c r="OWM63" s="3461"/>
      <c r="OWN63" s="3461"/>
      <c r="OWO63" s="3461"/>
      <c r="OWP63" s="3461"/>
      <c r="OWQ63" s="3461"/>
      <c r="OWR63" s="3461"/>
      <c r="OWS63" s="3461"/>
      <c r="OWT63" s="3461"/>
      <c r="OWU63" s="3461"/>
      <c r="OWV63" s="3461"/>
      <c r="OWW63" s="3461"/>
      <c r="OWX63" s="3461"/>
      <c r="OWY63" s="3461"/>
      <c r="OWZ63" s="3461"/>
      <c r="OXA63" s="3461"/>
      <c r="OXB63" s="3461"/>
      <c r="OXC63" s="3461"/>
      <c r="OXD63" s="3461"/>
      <c r="OXE63" s="3461"/>
      <c r="OXF63" s="3461"/>
      <c r="OXG63" s="3461"/>
      <c r="OXH63" s="3461"/>
      <c r="OXI63" s="3461"/>
      <c r="OXJ63" s="3461"/>
      <c r="OXK63" s="3461"/>
      <c r="OXL63" s="3461"/>
      <c r="OXM63" s="3461"/>
      <c r="OXN63" s="3461"/>
      <c r="OXO63" s="3461"/>
      <c r="OXP63" s="3461"/>
      <c r="OXQ63" s="3461"/>
      <c r="OXR63" s="3461"/>
      <c r="OXS63" s="3461"/>
      <c r="OXT63" s="3461"/>
      <c r="OXU63" s="3461"/>
      <c r="OXV63" s="3461"/>
      <c r="OXW63" s="3461"/>
      <c r="OXX63" s="3461"/>
      <c r="OXY63" s="3461"/>
      <c r="OXZ63" s="3461"/>
      <c r="OYA63" s="3461"/>
      <c r="OYB63" s="3461"/>
      <c r="OYC63" s="3461"/>
      <c r="OYD63" s="3461"/>
      <c r="OYE63" s="3461"/>
      <c r="OYF63" s="3461"/>
      <c r="OYG63" s="3461"/>
      <c r="OYH63" s="3461"/>
      <c r="OYI63" s="3461"/>
      <c r="OYJ63" s="3461"/>
      <c r="OYK63" s="3461"/>
      <c r="OYL63" s="3461"/>
      <c r="OYM63" s="3461"/>
      <c r="OYN63" s="3461"/>
      <c r="OYO63" s="3461"/>
      <c r="OYP63" s="3461"/>
      <c r="OYQ63" s="3461"/>
      <c r="OYR63" s="3461"/>
      <c r="OYS63" s="3461"/>
      <c r="OYT63" s="3461"/>
      <c r="OYU63" s="3461"/>
      <c r="OYV63" s="3461"/>
      <c r="OYW63" s="3461"/>
      <c r="OYX63" s="3461"/>
      <c r="OYY63" s="3461"/>
      <c r="OYZ63" s="3461"/>
      <c r="OZA63" s="3461"/>
      <c r="OZB63" s="3461"/>
      <c r="OZC63" s="3461"/>
      <c r="OZD63" s="3461"/>
      <c r="OZE63" s="3461"/>
      <c r="OZF63" s="3461"/>
      <c r="OZG63" s="3461"/>
      <c r="OZH63" s="3461"/>
      <c r="OZI63" s="3461"/>
      <c r="OZJ63" s="3461"/>
      <c r="OZK63" s="3461"/>
      <c r="OZL63" s="3461"/>
      <c r="OZM63" s="3461"/>
      <c r="OZN63" s="3461"/>
      <c r="OZO63" s="3461"/>
      <c r="OZP63" s="3461"/>
      <c r="OZQ63" s="3461"/>
      <c r="OZR63" s="3461"/>
      <c r="OZS63" s="3461"/>
      <c r="OZT63" s="3461"/>
      <c r="OZU63" s="3461"/>
      <c r="OZV63" s="3461"/>
      <c r="OZW63" s="3461"/>
      <c r="OZX63" s="3461"/>
      <c r="OZY63" s="3461"/>
      <c r="OZZ63" s="3461"/>
      <c r="PAA63" s="3461"/>
      <c r="PAB63" s="3461"/>
      <c r="PAC63" s="3461"/>
      <c r="PAD63" s="3461"/>
      <c r="PAE63" s="3461"/>
      <c r="PAF63" s="3461"/>
      <c r="PAG63" s="3461"/>
      <c r="PAH63" s="3461"/>
      <c r="PAI63" s="3461"/>
      <c r="PAJ63" s="3461"/>
      <c r="PAK63" s="3461"/>
      <c r="PAL63" s="3461"/>
      <c r="PAM63" s="3461"/>
      <c r="PAN63" s="3461"/>
      <c r="PAO63" s="3461"/>
      <c r="PAP63" s="3461"/>
      <c r="PAQ63" s="3461"/>
      <c r="PAR63" s="3461"/>
      <c r="PAS63" s="3461"/>
      <c r="PAT63" s="3461"/>
      <c r="PAU63" s="3461"/>
      <c r="PAV63" s="3461"/>
      <c r="PAW63" s="3461"/>
      <c r="PAX63" s="3461"/>
      <c r="PAY63" s="3461"/>
      <c r="PAZ63" s="3461"/>
      <c r="PBA63" s="3461"/>
      <c r="PBB63" s="3461"/>
      <c r="PBC63" s="3461"/>
      <c r="PBD63" s="3461"/>
      <c r="PBE63" s="3461"/>
      <c r="PBF63" s="3461"/>
      <c r="PBG63" s="3461"/>
      <c r="PBH63" s="3461"/>
      <c r="PBI63" s="3461"/>
      <c r="PBJ63" s="3461"/>
      <c r="PBK63" s="3461"/>
      <c r="PBL63" s="3461"/>
      <c r="PBM63" s="3461"/>
      <c r="PBN63" s="3461"/>
      <c r="PBO63" s="3461"/>
      <c r="PBP63" s="3461"/>
      <c r="PBQ63" s="3461"/>
      <c r="PBR63" s="3461"/>
      <c r="PBS63" s="3461"/>
      <c r="PBT63" s="3461"/>
      <c r="PBU63" s="3461"/>
      <c r="PBV63" s="3461"/>
      <c r="PBW63" s="3461"/>
      <c r="PBX63" s="3461"/>
      <c r="PBY63" s="3461"/>
      <c r="PBZ63" s="3461"/>
      <c r="PCA63" s="3461"/>
      <c r="PCB63" s="3461"/>
      <c r="PCC63" s="3461"/>
      <c r="PCD63" s="3461"/>
      <c r="PCE63" s="3461"/>
      <c r="PCF63" s="3461"/>
      <c r="PCG63" s="3461"/>
      <c r="PCH63" s="3461"/>
      <c r="PCI63" s="3461"/>
      <c r="PCJ63" s="3461"/>
      <c r="PCK63" s="3461"/>
      <c r="PCL63" s="3461"/>
      <c r="PCM63" s="3461"/>
      <c r="PCN63" s="3461"/>
      <c r="PCO63" s="3461"/>
      <c r="PCP63" s="3461"/>
      <c r="PCQ63" s="3461"/>
      <c r="PCR63" s="3461"/>
      <c r="PCS63" s="3461"/>
      <c r="PCT63" s="3461"/>
      <c r="PCU63" s="3461"/>
      <c r="PCV63" s="3461"/>
      <c r="PCW63" s="3461"/>
      <c r="PCX63" s="3461"/>
      <c r="PCY63" s="3461"/>
      <c r="PCZ63" s="3461"/>
      <c r="PDA63" s="3461"/>
      <c r="PDB63" s="3461"/>
      <c r="PDC63" s="3461"/>
      <c r="PDD63" s="3461"/>
      <c r="PDE63" s="3461"/>
      <c r="PDF63" s="3461"/>
      <c r="PDG63" s="3461"/>
      <c r="PDH63" s="3461"/>
      <c r="PDI63" s="3461"/>
      <c r="PDJ63" s="3461"/>
      <c r="PDK63" s="3461"/>
      <c r="PDL63" s="3461"/>
      <c r="PDM63" s="3461"/>
      <c r="PDN63" s="3461"/>
      <c r="PDO63" s="3461"/>
      <c r="PDP63" s="3461"/>
      <c r="PDQ63" s="3461"/>
      <c r="PDR63" s="3461"/>
      <c r="PDS63" s="3461"/>
      <c r="PDT63" s="3461"/>
      <c r="PDU63" s="3461"/>
      <c r="PDV63" s="3461"/>
      <c r="PDW63" s="3461"/>
      <c r="PDX63" s="3461"/>
      <c r="PDY63" s="3461"/>
      <c r="PDZ63" s="3461"/>
      <c r="PEA63" s="3461"/>
      <c r="PEB63" s="3461"/>
      <c r="PEC63" s="3461"/>
      <c r="PED63" s="3461"/>
      <c r="PEE63" s="3461"/>
      <c r="PEF63" s="3461"/>
      <c r="PEG63" s="3461"/>
      <c r="PEH63" s="3461"/>
      <c r="PEI63" s="3461"/>
      <c r="PEJ63" s="3461"/>
      <c r="PEK63" s="3461"/>
      <c r="PEL63" s="3461"/>
      <c r="PEM63" s="3461"/>
      <c r="PEN63" s="3461"/>
      <c r="PEO63" s="3461"/>
      <c r="PEP63" s="3461"/>
      <c r="PEQ63" s="3461"/>
      <c r="PER63" s="3461"/>
      <c r="PES63" s="3461"/>
      <c r="PET63" s="3461"/>
      <c r="PEU63" s="3461"/>
      <c r="PEV63" s="3461"/>
      <c r="PEW63" s="3461"/>
      <c r="PEX63" s="3461"/>
      <c r="PEY63" s="3461"/>
      <c r="PEZ63" s="3461"/>
      <c r="PFA63" s="3461"/>
      <c r="PFB63" s="3461"/>
      <c r="PFC63" s="3461"/>
      <c r="PFD63" s="3461"/>
      <c r="PFE63" s="3461"/>
      <c r="PFF63" s="3461"/>
      <c r="PFG63" s="3461"/>
      <c r="PFH63" s="3461"/>
      <c r="PFI63" s="3461"/>
      <c r="PFJ63" s="3461"/>
      <c r="PFK63" s="3461"/>
      <c r="PFL63" s="3461"/>
      <c r="PFM63" s="3461"/>
      <c r="PFN63" s="3461"/>
      <c r="PFO63" s="3461"/>
      <c r="PFP63" s="3461"/>
      <c r="PFQ63" s="3461"/>
      <c r="PFR63" s="3461"/>
      <c r="PFS63" s="3461"/>
      <c r="PFT63" s="3461"/>
      <c r="PFU63" s="3461"/>
      <c r="PFV63" s="3461"/>
      <c r="PFW63" s="3461"/>
      <c r="PFX63" s="3461"/>
      <c r="PFY63" s="3461"/>
      <c r="PFZ63" s="3461"/>
      <c r="PGA63" s="3461"/>
      <c r="PGB63" s="3461"/>
      <c r="PGC63" s="3461"/>
      <c r="PGD63" s="3461"/>
      <c r="PGE63" s="3461"/>
      <c r="PGF63" s="3461"/>
      <c r="PGG63" s="3461"/>
      <c r="PGH63" s="3461"/>
      <c r="PGI63" s="3461"/>
      <c r="PGJ63" s="3461"/>
      <c r="PGK63" s="3461"/>
      <c r="PGL63" s="3461"/>
      <c r="PGM63" s="3461"/>
      <c r="PGN63" s="3461"/>
      <c r="PGO63" s="3461"/>
      <c r="PGP63" s="3461"/>
      <c r="PGQ63" s="3461"/>
      <c r="PGR63" s="3461"/>
      <c r="PGS63" s="3461"/>
      <c r="PGT63" s="3461"/>
      <c r="PGU63" s="3461"/>
      <c r="PGV63" s="3461"/>
      <c r="PGW63" s="3461"/>
      <c r="PGX63" s="3461"/>
      <c r="PGY63" s="3461"/>
      <c r="PGZ63" s="3461"/>
      <c r="PHA63" s="3461"/>
      <c r="PHB63" s="3461"/>
      <c r="PHC63" s="3461"/>
      <c r="PHD63" s="3461"/>
      <c r="PHE63" s="3461"/>
      <c r="PHF63" s="3461"/>
      <c r="PHG63" s="3461"/>
      <c r="PHH63" s="3461"/>
      <c r="PHI63" s="3461"/>
      <c r="PHJ63" s="3461"/>
      <c r="PHK63" s="3461"/>
      <c r="PHL63" s="3461"/>
      <c r="PHM63" s="3461"/>
      <c r="PHN63" s="3461"/>
      <c r="PHO63" s="3461"/>
      <c r="PHP63" s="3461"/>
      <c r="PHQ63" s="3461"/>
      <c r="PHR63" s="3461"/>
      <c r="PHS63" s="3461"/>
      <c r="PHT63" s="3461"/>
      <c r="PHU63" s="3461"/>
      <c r="PHV63" s="3461"/>
      <c r="PHW63" s="3461"/>
      <c r="PHX63" s="3461"/>
      <c r="PHY63" s="3461"/>
      <c r="PHZ63" s="3461"/>
      <c r="PIA63" s="3461"/>
      <c r="PIB63" s="3461"/>
      <c r="PIC63" s="3461"/>
      <c r="PID63" s="3461"/>
      <c r="PIE63" s="3461"/>
      <c r="PIF63" s="3461"/>
      <c r="PIG63" s="3461"/>
      <c r="PIH63" s="3461"/>
      <c r="PII63" s="3461"/>
      <c r="PIJ63" s="3461"/>
      <c r="PIK63" s="3461"/>
      <c r="PIL63" s="3461"/>
      <c r="PIM63" s="3461"/>
      <c r="PIN63" s="3461"/>
      <c r="PIO63" s="3461"/>
      <c r="PIP63" s="3461"/>
      <c r="PIQ63" s="3461"/>
      <c r="PIR63" s="3461"/>
      <c r="PIS63" s="3461"/>
      <c r="PIT63" s="3461"/>
      <c r="PIU63" s="3461"/>
      <c r="PIV63" s="3461"/>
      <c r="PIW63" s="3461"/>
      <c r="PIX63" s="3461"/>
      <c r="PIY63" s="3461"/>
      <c r="PIZ63" s="3461"/>
      <c r="PJA63" s="3461"/>
      <c r="PJB63" s="3461"/>
      <c r="PJC63" s="3461"/>
      <c r="PJD63" s="3461"/>
      <c r="PJE63" s="3461"/>
      <c r="PJF63" s="3461"/>
      <c r="PJG63" s="3461"/>
      <c r="PJH63" s="3461"/>
      <c r="PJI63" s="3461"/>
      <c r="PJJ63" s="3461"/>
      <c r="PJK63" s="3461"/>
      <c r="PJL63" s="3461"/>
      <c r="PJM63" s="3461"/>
      <c r="PJN63" s="3461"/>
      <c r="PJO63" s="3461"/>
      <c r="PJP63" s="3461"/>
      <c r="PJQ63" s="3461"/>
      <c r="PJR63" s="3461"/>
      <c r="PJS63" s="3461"/>
      <c r="PJT63" s="3461"/>
      <c r="PJU63" s="3461"/>
      <c r="PJV63" s="3461"/>
      <c r="PJW63" s="3461"/>
      <c r="PJX63" s="3461"/>
      <c r="PJY63" s="3461"/>
      <c r="PJZ63" s="3461"/>
      <c r="PKA63" s="3461"/>
      <c r="PKB63" s="3461"/>
      <c r="PKC63" s="3461"/>
      <c r="PKD63" s="3461"/>
      <c r="PKE63" s="3461"/>
      <c r="PKF63" s="3461"/>
      <c r="PKG63" s="3461"/>
      <c r="PKH63" s="3461"/>
      <c r="PKI63" s="3461"/>
      <c r="PKJ63" s="3461"/>
      <c r="PKK63" s="3461"/>
      <c r="PKL63" s="3461"/>
      <c r="PKM63" s="3461"/>
      <c r="PKN63" s="3461"/>
      <c r="PKO63" s="3461"/>
      <c r="PKP63" s="3461"/>
      <c r="PKQ63" s="3461"/>
      <c r="PKR63" s="3461"/>
      <c r="PKS63" s="3461"/>
      <c r="PKT63" s="3461"/>
      <c r="PKU63" s="3461"/>
      <c r="PKV63" s="3461"/>
      <c r="PKW63" s="3461"/>
      <c r="PKX63" s="3461"/>
      <c r="PKY63" s="3461"/>
      <c r="PKZ63" s="3461"/>
      <c r="PLA63" s="3461"/>
      <c r="PLB63" s="3461"/>
      <c r="PLC63" s="3461"/>
      <c r="PLD63" s="3461"/>
      <c r="PLE63" s="3461"/>
      <c r="PLF63" s="3461"/>
      <c r="PLG63" s="3461"/>
      <c r="PLH63" s="3461"/>
      <c r="PLI63" s="3461"/>
      <c r="PLJ63" s="3461"/>
      <c r="PLK63" s="3461"/>
      <c r="PLL63" s="3461"/>
      <c r="PLM63" s="3461"/>
      <c r="PLN63" s="3461"/>
      <c r="PLO63" s="3461"/>
      <c r="PLP63" s="3461"/>
      <c r="PLQ63" s="3461"/>
      <c r="PLR63" s="3461"/>
      <c r="PLS63" s="3461"/>
      <c r="PLT63" s="3461"/>
      <c r="PLU63" s="3461"/>
      <c r="PLV63" s="3461"/>
      <c r="PLW63" s="3461"/>
      <c r="PLX63" s="3461"/>
      <c r="PLY63" s="3461"/>
      <c r="PLZ63" s="3461"/>
      <c r="PMA63" s="3461"/>
      <c r="PMB63" s="3461"/>
      <c r="PMC63" s="3461"/>
      <c r="PMD63" s="3461"/>
      <c r="PME63" s="3461"/>
      <c r="PMF63" s="3461"/>
      <c r="PMG63" s="3461"/>
      <c r="PMH63" s="3461"/>
      <c r="PMI63" s="3461"/>
      <c r="PMJ63" s="3461"/>
      <c r="PMK63" s="3461"/>
      <c r="PML63" s="3461"/>
      <c r="PMM63" s="3461"/>
      <c r="PMN63" s="3461"/>
      <c r="PMO63" s="3461"/>
      <c r="PMP63" s="3461"/>
      <c r="PMQ63" s="3461"/>
      <c r="PMR63" s="3461"/>
      <c r="PMS63" s="3461"/>
      <c r="PMT63" s="3461"/>
      <c r="PMU63" s="3461"/>
      <c r="PMV63" s="3461"/>
      <c r="PMW63" s="3461"/>
      <c r="PMX63" s="3461"/>
      <c r="PMY63" s="3461"/>
      <c r="PMZ63" s="3461"/>
      <c r="PNA63" s="3461"/>
      <c r="PNB63" s="3461"/>
      <c r="PNC63" s="3461"/>
      <c r="PND63" s="3461"/>
      <c r="PNE63" s="3461"/>
      <c r="PNF63" s="3461"/>
      <c r="PNG63" s="3461"/>
      <c r="PNH63" s="3461"/>
      <c r="PNI63" s="3461"/>
      <c r="PNJ63" s="3461"/>
      <c r="PNK63" s="3461"/>
      <c r="PNL63" s="3461"/>
      <c r="PNM63" s="3461"/>
      <c r="PNN63" s="3461"/>
      <c r="PNO63" s="3461"/>
      <c r="PNP63" s="3461"/>
      <c r="PNQ63" s="3461"/>
      <c r="PNR63" s="3461"/>
      <c r="PNS63" s="3461"/>
      <c r="PNT63" s="3461"/>
      <c r="PNU63" s="3461"/>
      <c r="PNV63" s="3461"/>
      <c r="PNW63" s="3461"/>
      <c r="PNX63" s="3461"/>
      <c r="PNY63" s="3461"/>
      <c r="PNZ63" s="3461"/>
      <c r="POA63" s="3461"/>
      <c r="POB63" s="3461"/>
      <c r="POC63" s="3461"/>
      <c r="POD63" s="3461"/>
      <c r="POE63" s="3461"/>
      <c r="POF63" s="3461"/>
      <c r="POG63" s="3461"/>
      <c r="POH63" s="3461"/>
      <c r="POI63" s="3461"/>
      <c r="POJ63" s="3461"/>
      <c r="POK63" s="3461"/>
      <c r="POL63" s="3461"/>
      <c r="POM63" s="3461"/>
      <c r="PON63" s="3461"/>
      <c r="POO63" s="3461"/>
      <c r="POP63" s="3461"/>
      <c r="POQ63" s="3461"/>
      <c r="POR63" s="3461"/>
      <c r="POS63" s="3461"/>
      <c r="POT63" s="3461"/>
      <c r="POU63" s="3461"/>
      <c r="POV63" s="3461"/>
      <c r="POW63" s="3461"/>
      <c r="POX63" s="3461"/>
      <c r="POY63" s="3461"/>
      <c r="POZ63" s="3461"/>
      <c r="PPA63" s="3461"/>
      <c r="PPB63" s="3461"/>
      <c r="PPC63" s="3461"/>
      <c r="PPD63" s="3461"/>
      <c r="PPE63" s="3461"/>
      <c r="PPF63" s="3461"/>
      <c r="PPG63" s="3461"/>
      <c r="PPH63" s="3461"/>
      <c r="PPI63" s="3461"/>
      <c r="PPJ63" s="3461"/>
      <c r="PPK63" s="3461"/>
      <c r="PPL63" s="3461"/>
      <c r="PPM63" s="3461"/>
      <c r="PPN63" s="3461"/>
      <c r="PPO63" s="3461"/>
      <c r="PPP63" s="3461"/>
      <c r="PPQ63" s="3461"/>
      <c r="PPR63" s="3461"/>
      <c r="PPS63" s="3461"/>
      <c r="PPT63" s="3461"/>
      <c r="PPU63" s="3461"/>
      <c r="PPV63" s="3461"/>
      <c r="PPW63" s="3461"/>
      <c r="PPX63" s="3461"/>
      <c r="PPY63" s="3461"/>
      <c r="PPZ63" s="3461"/>
      <c r="PQA63" s="3461"/>
      <c r="PQB63" s="3461"/>
      <c r="PQC63" s="3461"/>
      <c r="PQD63" s="3461"/>
      <c r="PQE63" s="3461"/>
      <c r="PQF63" s="3461"/>
      <c r="PQG63" s="3461"/>
      <c r="PQH63" s="3461"/>
      <c r="PQI63" s="3461"/>
      <c r="PQJ63" s="3461"/>
      <c r="PQK63" s="3461"/>
      <c r="PQL63" s="3461"/>
      <c r="PQM63" s="3461"/>
      <c r="PQN63" s="3461"/>
      <c r="PQO63" s="3461"/>
      <c r="PQP63" s="3461"/>
      <c r="PQQ63" s="3461"/>
      <c r="PQR63" s="3461"/>
      <c r="PQS63" s="3461"/>
      <c r="PQT63" s="3461"/>
      <c r="PQU63" s="3461"/>
      <c r="PQV63" s="3461"/>
      <c r="PQW63" s="3461"/>
      <c r="PQX63" s="3461"/>
      <c r="PQY63" s="3461"/>
      <c r="PQZ63" s="3461"/>
      <c r="PRA63" s="3461"/>
      <c r="PRB63" s="3461"/>
      <c r="PRC63" s="3461"/>
      <c r="PRD63" s="3461"/>
      <c r="PRE63" s="3461"/>
      <c r="PRF63" s="3461"/>
      <c r="PRG63" s="3461"/>
      <c r="PRH63" s="3461"/>
      <c r="PRI63" s="3461"/>
      <c r="PRJ63" s="3461"/>
      <c r="PRK63" s="3461"/>
      <c r="PRL63" s="3461"/>
      <c r="PRM63" s="3461"/>
      <c r="PRN63" s="3461"/>
      <c r="PRO63" s="3461"/>
      <c r="PRP63" s="3461"/>
      <c r="PRQ63" s="3461"/>
      <c r="PRR63" s="3461"/>
      <c r="PRS63" s="3461"/>
      <c r="PRT63" s="3461"/>
      <c r="PRU63" s="3461"/>
      <c r="PRV63" s="3461"/>
      <c r="PRW63" s="3461"/>
      <c r="PRX63" s="3461"/>
      <c r="PRY63" s="3461"/>
      <c r="PRZ63" s="3461"/>
      <c r="PSA63" s="3461"/>
      <c r="PSB63" s="3461"/>
      <c r="PSC63" s="3461"/>
      <c r="PSD63" s="3461"/>
      <c r="PSE63" s="3461"/>
      <c r="PSF63" s="3461"/>
      <c r="PSG63" s="3461"/>
      <c r="PSH63" s="3461"/>
      <c r="PSI63" s="3461"/>
      <c r="PSJ63" s="3461"/>
      <c r="PSK63" s="3461"/>
      <c r="PSL63" s="3461"/>
      <c r="PSM63" s="3461"/>
      <c r="PSN63" s="3461"/>
      <c r="PSO63" s="3461"/>
      <c r="PSP63" s="3461"/>
      <c r="PSQ63" s="3461"/>
      <c r="PSR63" s="3461"/>
      <c r="PSS63" s="3461"/>
      <c r="PST63" s="3461"/>
      <c r="PSU63" s="3461"/>
      <c r="PSV63" s="3461"/>
      <c r="PSW63" s="3461"/>
      <c r="PSX63" s="3461"/>
      <c r="PSY63" s="3461"/>
      <c r="PSZ63" s="3461"/>
      <c r="PTA63" s="3461"/>
      <c r="PTB63" s="3461"/>
      <c r="PTC63" s="3461"/>
      <c r="PTD63" s="3461"/>
      <c r="PTE63" s="3461"/>
      <c r="PTF63" s="3461"/>
      <c r="PTG63" s="3461"/>
      <c r="PTH63" s="3461"/>
      <c r="PTI63" s="3461"/>
      <c r="PTJ63" s="3461"/>
      <c r="PTK63" s="3461"/>
      <c r="PTL63" s="3461"/>
      <c r="PTM63" s="3461"/>
      <c r="PTN63" s="3461"/>
      <c r="PTO63" s="3461"/>
      <c r="PTP63" s="3461"/>
      <c r="PTQ63" s="3461"/>
      <c r="PTR63" s="3461"/>
      <c r="PTS63" s="3461"/>
      <c r="PTT63" s="3461"/>
      <c r="PTU63" s="3461"/>
      <c r="PTV63" s="3461"/>
      <c r="PTW63" s="3461"/>
      <c r="PTX63" s="3461"/>
      <c r="PTY63" s="3461"/>
      <c r="PTZ63" s="3461"/>
      <c r="PUA63" s="3461"/>
      <c r="PUB63" s="3461"/>
      <c r="PUC63" s="3461"/>
      <c r="PUD63" s="3461"/>
      <c r="PUE63" s="3461"/>
      <c r="PUF63" s="3461"/>
      <c r="PUG63" s="3461"/>
      <c r="PUH63" s="3461"/>
      <c r="PUI63" s="3461"/>
      <c r="PUJ63" s="3461"/>
      <c r="PUK63" s="3461"/>
      <c r="PUL63" s="3461"/>
      <c r="PUM63" s="3461"/>
      <c r="PUN63" s="3461"/>
      <c r="PUO63" s="3461"/>
      <c r="PUP63" s="3461"/>
      <c r="PUQ63" s="3461"/>
      <c r="PUR63" s="3461"/>
      <c r="PUS63" s="3461"/>
      <c r="PUT63" s="3461"/>
      <c r="PUU63" s="3461"/>
      <c r="PUV63" s="3461"/>
      <c r="PUW63" s="3461"/>
      <c r="PUX63" s="3461"/>
      <c r="PUY63" s="3461"/>
      <c r="PUZ63" s="3461"/>
      <c r="PVA63" s="3461"/>
      <c r="PVB63" s="3461"/>
      <c r="PVC63" s="3461"/>
      <c r="PVD63" s="3461"/>
      <c r="PVE63" s="3461"/>
      <c r="PVF63" s="3461"/>
      <c r="PVG63" s="3461"/>
      <c r="PVH63" s="3461"/>
      <c r="PVI63" s="3461"/>
      <c r="PVJ63" s="3461"/>
      <c r="PVK63" s="3461"/>
      <c r="PVL63" s="3461"/>
      <c r="PVM63" s="3461"/>
      <c r="PVN63" s="3461"/>
      <c r="PVO63" s="3461"/>
      <c r="PVP63" s="3461"/>
      <c r="PVQ63" s="3461"/>
      <c r="PVR63" s="3461"/>
      <c r="PVS63" s="3461"/>
      <c r="PVT63" s="3461"/>
      <c r="PVU63" s="3461"/>
      <c r="PVV63" s="3461"/>
      <c r="PVW63" s="3461"/>
      <c r="PVX63" s="3461"/>
      <c r="PVY63" s="3461"/>
      <c r="PVZ63" s="3461"/>
      <c r="PWA63" s="3461"/>
      <c r="PWB63" s="3461"/>
      <c r="PWC63" s="3461"/>
      <c r="PWD63" s="3461"/>
      <c r="PWE63" s="3461"/>
      <c r="PWF63" s="3461"/>
      <c r="PWG63" s="3461"/>
      <c r="PWH63" s="3461"/>
      <c r="PWI63" s="3461"/>
      <c r="PWJ63" s="3461"/>
      <c r="PWK63" s="3461"/>
      <c r="PWL63" s="3461"/>
      <c r="PWM63" s="3461"/>
      <c r="PWN63" s="3461"/>
      <c r="PWO63" s="3461"/>
      <c r="PWP63" s="3461"/>
      <c r="PWQ63" s="3461"/>
      <c r="PWR63" s="3461"/>
      <c r="PWS63" s="3461"/>
      <c r="PWT63" s="3461"/>
      <c r="PWU63" s="3461"/>
      <c r="PWV63" s="3461"/>
      <c r="PWW63" s="3461"/>
      <c r="PWX63" s="3461"/>
      <c r="PWY63" s="3461"/>
      <c r="PWZ63" s="3461"/>
      <c r="PXA63" s="3461"/>
      <c r="PXB63" s="3461"/>
      <c r="PXC63" s="3461"/>
      <c r="PXD63" s="3461"/>
      <c r="PXE63" s="3461"/>
      <c r="PXF63" s="3461"/>
      <c r="PXG63" s="3461"/>
      <c r="PXH63" s="3461"/>
      <c r="PXI63" s="3461"/>
      <c r="PXJ63" s="3461"/>
      <c r="PXK63" s="3461"/>
      <c r="PXL63" s="3461"/>
      <c r="PXM63" s="3461"/>
      <c r="PXN63" s="3461"/>
      <c r="PXO63" s="3461"/>
      <c r="PXP63" s="3461"/>
      <c r="PXQ63" s="3461"/>
      <c r="PXR63" s="3461"/>
      <c r="PXS63" s="3461"/>
      <c r="PXT63" s="3461"/>
      <c r="PXU63" s="3461"/>
      <c r="PXV63" s="3461"/>
      <c r="PXW63" s="3461"/>
      <c r="PXX63" s="3461"/>
      <c r="PXY63" s="3461"/>
      <c r="PXZ63" s="3461"/>
      <c r="PYA63" s="3461"/>
      <c r="PYB63" s="3461"/>
      <c r="PYC63" s="3461"/>
      <c r="PYD63" s="3461"/>
      <c r="PYE63" s="3461"/>
      <c r="PYF63" s="3461"/>
      <c r="PYG63" s="3461"/>
      <c r="PYH63" s="3461"/>
      <c r="PYI63" s="3461"/>
      <c r="PYJ63" s="3461"/>
      <c r="PYK63" s="3461"/>
      <c r="PYL63" s="3461"/>
      <c r="PYM63" s="3461"/>
      <c r="PYN63" s="3461"/>
      <c r="PYO63" s="3461"/>
      <c r="PYP63" s="3461"/>
      <c r="PYQ63" s="3461"/>
      <c r="PYR63" s="3461"/>
      <c r="PYS63" s="3461"/>
      <c r="PYT63" s="3461"/>
      <c r="PYU63" s="3461"/>
      <c r="PYV63" s="3461"/>
      <c r="PYW63" s="3461"/>
      <c r="PYX63" s="3461"/>
      <c r="PYY63" s="3461"/>
      <c r="PYZ63" s="3461"/>
      <c r="PZA63" s="3461"/>
      <c r="PZB63" s="3461"/>
      <c r="PZC63" s="3461"/>
      <c r="PZD63" s="3461"/>
      <c r="PZE63" s="3461"/>
      <c r="PZF63" s="3461"/>
      <c r="PZG63" s="3461"/>
      <c r="PZH63" s="3461"/>
      <c r="PZI63" s="3461"/>
      <c r="PZJ63" s="3461"/>
      <c r="PZK63" s="3461"/>
      <c r="PZL63" s="3461"/>
      <c r="PZM63" s="3461"/>
      <c r="PZN63" s="3461"/>
      <c r="PZO63" s="3461"/>
      <c r="PZP63" s="3461"/>
      <c r="PZQ63" s="3461"/>
      <c r="PZR63" s="3461"/>
      <c r="PZS63" s="3461"/>
      <c r="PZT63" s="3461"/>
      <c r="PZU63" s="3461"/>
      <c r="PZV63" s="3461"/>
      <c r="PZW63" s="3461"/>
      <c r="PZX63" s="3461"/>
      <c r="PZY63" s="3461"/>
      <c r="PZZ63" s="3461"/>
      <c r="QAA63" s="3461"/>
      <c r="QAB63" s="3461"/>
      <c r="QAC63" s="3461"/>
      <c r="QAD63" s="3461"/>
      <c r="QAE63" s="3461"/>
      <c r="QAF63" s="3461"/>
      <c r="QAG63" s="3461"/>
      <c r="QAH63" s="3461"/>
      <c r="QAI63" s="3461"/>
      <c r="QAJ63" s="3461"/>
      <c r="QAK63" s="3461"/>
      <c r="QAL63" s="3461"/>
      <c r="QAM63" s="3461"/>
      <c r="QAN63" s="3461"/>
      <c r="QAO63" s="3461"/>
      <c r="QAP63" s="3461"/>
      <c r="QAQ63" s="3461"/>
      <c r="QAR63" s="3461"/>
      <c r="QAS63" s="3461"/>
      <c r="QAT63" s="3461"/>
      <c r="QAU63" s="3461"/>
      <c r="QAV63" s="3461"/>
      <c r="QAW63" s="3461"/>
      <c r="QAX63" s="3461"/>
      <c r="QAY63" s="3461"/>
      <c r="QAZ63" s="3461"/>
      <c r="QBA63" s="3461"/>
      <c r="QBB63" s="3461"/>
      <c r="QBC63" s="3461"/>
      <c r="QBD63" s="3461"/>
      <c r="QBE63" s="3461"/>
      <c r="QBF63" s="3461"/>
      <c r="QBG63" s="3461"/>
      <c r="QBH63" s="3461"/>
      <c r="QBI63" s="3461"/>
      <c r="QBJ63" s="3461"/>
      <c r="QBK63" s="3461"/>
      <c r="QBL63" s="3461"/>
      <c r="QBM63" s="3461"/>
      <c r="QBN63" s="3461"/>
      <c r="QBO63" s="3461"/>
      <c r="QBP63" s="3461"/>
      <c r="QBQ63" s="3461"/>
      <c r="QBR63" s="3461"/>
      <c r="QBS63" s="3461"/>
      <c r="QBT63" s="3461"/>
      <c r="QBU63" s="3461"/>
      <c r="QBV63" s="3461"/>
      <c r="QBW63" s="3461"/>
      <c r="QBX63" s="3461"/>
      <c r="QBY63" s="3461"/>
      <c r="QBZ63" s="3461"/>
      <c r="QCA63" s="3461"/>
      <c r="QCB63" s="3461"/>
      <c r="QCC63" s="3461"/>
      <c r="QCD63" s="3461"/>
      <c r="QCE63" s="3461"/>
      <c r="QCF63" s="3461"/>
      <c r="QCG63" s="3461"/>
      <c r="QCH63" s="3461"/>
      <c r="QCI63" s="3461"/>
      <c r="QCJ63" s="3461"/>
      <c r="QCK63" s="3461"/>
      <c r="QCL63" s="3461"/>
      <c r="QCM63" s="3461"/>
      <c r="QCN63" s="3461"/>
      <c r="QCO63" s="3461"/>
      <c r="QCP63" s="3461"/>
      <c r="QCQ63" s="3461"/>
      <c r="QCR63" s="3461"/>
      <c r="QCS63" s="3461"/>
      <c r="QCT63" s="3461"/>
      <c r="QCU63" s="3461"/>
      <c r="QCV63" s="3461"/>
      <c r="QCW63" s="3461"/>
      <c r="QCX63" s="3461"/>
      <c r="QCY63" s="3461"/>
      <c r="QCZ63" s="3461"/>
      <c r="QDA63" s="3461"/>
      <c r="QDB63" s="3461"/>
      <c r="QDC63" s="3461"/>
      <c r="QDD63" s="3461"/>
      <c r="QDE63" s="3461"/>
      <c r="QDF63" s="3461"/>
      <c r="QDG63" s="3461"/>
      <c r="QDH63" s="3461"/>
      <c r="QDI63" s="3461"/>
      <c r="QDJ63" s="3461"/>
      <c r="QDK63" s="3461"/>
      <c r="QDL63" s="3461"/>
      <c r="QDM63" s="3461"/>
      <c r="QDN63" s="3461"/>
      <c r="QDO63" s="3461"/>
      <c r="QDP63" s="3461"/>
      <c r="QDQ63" s="3461"/>
      <c r="QDR63" s="3461"/>
      <c r="QDS63" s="3461"/>
      <c r="QDT63" s="3461"/>
      <c r="QDU63" s="3461"/>
      <c r="QDV63" s="3461"/>
      <c r="QDW63" s="3461"/>
      <c r="QDX63" s="3461"/>
      <c r="QDY63" s="3461"/>
      <c r="QDZ63" s="3461"/>
      <c r="QEA63" s="3461"/>
      <c r="QEB63" s="3461"/>
      <c r="QEC63" s="3461"/>
      <c r="QED63" s="3461"/>
      <c r="QEE63" s="3461"/>
      <c r="QEF63" s="3461"/>
      <c r="QEG63" s="3461"/>
      <c r="QEH63" s="3461"/>
      <c r="QEI63" s="3461"/>
      <c r="QEJ63" s="3461"/>
      <c r="QEK63" s="3461"/>
      <c r="QEL63" s="3461"/>
      <c r="QEM63" s="3461"/>
      <c r="QEN63" s="3461"/>
      <c r="QEO63" s="3461"/>
      <c r="QEP63" s="3461"/>
      <c r="QEQ63" s="3461"/>
      <c r="QER63" s="3461"/>
      <c r="QES63" s="3461"/>
      <c r="QET63" s="3461"/>
      <c r="QEU63" s="3461"/>
      <c r="QEV63" s="3461"/>
      <c r="QEW63" s="3461"/>
      <c r="QEX63" s="3461"/>
      <c r="QEY63" s="3461"/>
      <c r="QEZ63" s="3461"/>
      <c r="QFA63" s="3461"/>
      <c r="QFB63" s="3461"/>
      <c r="QFC63" s="3461"/>
      <c r="QFD63" s="3461"/>
      <c r="QFE63" s="3461"/>
      <c r="QFF63" s="3461"/>
      <c r="QFG63" s="3461"/>
      <c r="QFH63" s="3461"/>
      <c r="QFI63" s="3461"/>
      <c r="QFJ63" s="3461"/>
      <c r="QFK63" s="3461"/>
      <c r="QFL63" s="3461"/>
      <c r="QFM63" s="3461"/>
      <c r="QFN63" s="3461"/>
      <c r="QFO63" s="3461"/>
      <c r="QFP63" s="3461"/>
      <c r="QFQ63" s="3461"/>
      <c r="QFR63" s="3461"/>
      <c r="QFS63" s="3461"/>
      <c r="QFT63" s="3461"/>
      <c r="QFU63" s="3461"/>
      <c r="QFV63" s="3461"/>
      <c r="QFW63" s="3461"/>
      <c r="QFX63" s="3461"/>
      <c r="QFY63" s="3461"/>
      <c r="QFZ63" s="3461"/>
      <c r="QGA63" s="3461"/>
      <c r="QGB63" s="3461"/>
      <c r="QGC63" s="3461"/>
      <c r="QGD63" s="3461"/>
      <c r="QGE63" s="3461"/>
      <c r="QGF63" s="3461"/>
      <c r="QGG63" s="3461"/>
      <c r="QGH63" s="3461"/>
      <c r="QGI63" s="3461"/>
      <c r="QGJ63" s="3461"/>
      <c r="QGK63" s="3461"/>
      <c r="QGL63" s="3461"/>
      <c r="QGM63" s="3461"/>
      <c r="QGN63" s="3461"/>
      <c r="QGO63" s="3461"/>
      <c r="QGP63" s="3461"/>
      <c r="QGQ63" s="3461"/>
      <c r="QGR63" s="3461"/>
      <c r="QGS63" s="3461"/>
      <c r="QGT63" s="3461"/>
      <c r="QGU63" s="3461"/>
      <c r="QGV63" s="3461"/>
      <c r="QGW63" s="3461"/>
      <c r="QGX63" s="3461"/>
      <c r="QGY63" s="3461"/>
      <c r="QGZ63" s="3461"/>
      <c r="QHA63" s="3461"/>
      <c r="QHB63" s="3461"/>
      <c r="QHC63" s="3461"/>
      <c r="QHD63" s="3461"/>
      <c r="QHE63" s="3461"/>
      <c r="QHF63" s="3461"/>
      <c r="QHG63" s="3461"/>
      <c r="QHH63" s="3461"/>
      <c r="QHI63" s="3461"/>
      <c r="QHJ63" s="3461"/>
      <c r="QHK63" s="3461"/>
      <c r="QHL63" s="3461"/>
      <c r="QHM63" s="3461"/>
      <c r="QHN63" s="3461"/>
      <c r="QHO63" s="3461"/>
      <c r="QHP63" s="3461"/>
      <c r="QHQ63" s="3461"/>
      <c r="QHR63" s="3461"/>
      <c r="QHS63" s="3461"/>
      <c r="QHT63" s="3461"/>
      <c r="QHU63" s="3461"/>
      <c r="QHV63" s="3461"/>
      <c r="QHW63" s="3461"/>
      <c r="QHX63" s="3461"/>
      <c r="QHY63" s="3461"/>
      <c r="QHZ63" s="3461"/>
      <c r="QIA63" s="3461"/>
      <c r="QIB63" s="3461"/>
      <c r="QIC63" s="3461"/>
      <c r="QID63" s="3461"/>
      <c r="QIE63" s="3461"/>
      <c r="QIF63" s="3461"/>
      <c r="QIG63" s="3461"/>
      <c r="QIH63" s="3461"/>
      <c r="QII63" s="3461"/>
      <c r="QIJ63" s="3461"/>
      <c r="QIK63" s="3461"/>
      <c r="QIL63" s="3461"/>
      <c r="QIM63" s="3461"/>
      <c r="QIN63" s="3461"/>
      <c r="QIO63" s="3461"/>
      <c r="QIP63" s="3461"/>
      <c r="QIQ63" s="3461"/>
      <c r="QIR63" s="3461"/>
      <c r="QIS63" s="3461"/>
      <c r="QIT63" s="3461"/>
      <c r="QIU63" s="3461"/>
      <c r="QIV63" s="3461"/>
      <c r="QIW63" s="3461"/>
      <c r="QIX63" s="3461"/>
      <c r="QIY63" s="3461"/>
      <c r="QIZ63" s="3461"/>
      <c r="QJA63" s="3461"/>
      <c r="QJB63" s="3461"/>
      <c r="QJC63" s="3461"/>
      <c r="QJD63" s="3461"/>
      <c r="QJE63" s="3461"/>
      <c r="QJF63" s="3461"/>
      <c r="QJG63" s="3461"/>
      <c r="QJH63" s="3461"/>
      <c r="QJI63" s="3461"/>
      <c r="QJJ63" s="3461"/>
      <c r="QJK63" s="3461"/>
      <c r="QJL63" s="3461"/>
      <c r="QJM63" s="3461"/>
      <c r="QJN63" s="3461"/>
      <c r="QJO63" s="3461"/>
      <c r="QJP63" s="3461"/>
      <c r="QJQ63" s="3461"/>
      <c r="QJR63" s="3461"/>
      <c r="QJS63" s="3461"/>
      <c r="QJT63" s="3461"/>
      <c r="QJU63" s="3461"/>
      <c r="QJV63" s="3461"/>
      <c r="QJW63" s="3461"/>
      <c r="QJX63" s="3461"/>
      <c r="QJY63" s="3461"/>
      <c r="QJZ63" s="3461"/>
      <c r="QKA63" s="3461"/>
      <c r="QKB63" s="3461"/>
      <c r="QKC63" s="3461"/>
      <c r="QKD63" s="3461"/>
      <c r="QKE63" s="3461"/>
      <c r="QKF63" s="3461"/>
      <c r="QKG63" s="3461"/>
      <c r="QKH63" s="3461"/>
      <c r="QKI63" s="3461"/>
      <c r="QKJ63" s="3461"/>
      <c r="QKK63" s="3461"/>
      <c r="QKL63" s="3461"/>
      <c r="QKM63" s="3461"/>
      <c r="QKN63" s="3461"/>
      <c r="QKO63" s="3461"/>
      <c r="QKP63" s="3461"/>
      <c r="QKQ63" s="3461"/>
      <c r="QKR63" s="3461"/>
      <c r="QKS63" s="3461"/>
      <c r="QKT63" s="3461"/>
      <c r="QKU63" s="3461"/>
      <c r="QKV63" s="3461"/>
      <c r="QKW63" s="3461"/>
      <c r="QKX63" s="3461"/>
      <c r="QKY63" s="3461"/>
      <c r="QKZ63" s="3461"/>
      <c r="QLA63" s="3461"/>
      <c r="QLB63" s="3461"/>
      <c r="QLC63" s="3461"/>
      <c r="QLD63" s="3461"/>
      <c r="QLE63" s="3461"/>
      <c r="QLF63" s="3461"/>
      <c r="QLG63" s="3461"/>
      <c r="QLH63" s="3461"/>
      <c r="QLI63" s="3461"/>
      <c r="QLJ63" s="3461"/>
      <c r="QLK63" s="3461"/>
      <c r="QLL63" s="3461"/>
      <c r="QLM63" s="3461"/>
      <c r="QLN63" s="3461"/>
      <c r="QLO63" s="3461"/>
      <c r="QLP63" s="3461"/>
      <c r="QLQ63" s="3461"/>
      <c r="QLR63" s="3461"/>
      <c r="QLS63" s="3461"/>
      <c r="QLT63" s="3461"/>
      <c r="QLU63" s="3461"/>
      <c r="QLV63" s="3461"/>
      <c r="QLW63" s="3461"/>
      <c r="QLX63" s="3461"/>
      <c r="QLY63" s="3461"/>
      <c r="QLZ63" s="3461"/>
      <c r="QMA63" s="3461"/>
      <c r="QMB63" s="3461"/>
      <c r="QMC63" s="3461"/>
      <c r="QMD63" s="3461"/>
      <c r="QME63" s="3461"/>
      <c r="QMF63" s="3461"/>
      <c r="QMG63" s="3461"/>
      <c r="QMH63" s="3461"/>
      <c r="QMI63" s="3461"/>
      <c r="QMJ63" s="3461"/>
      <c r="QMK63" s="3461"/>
      <c r="QML63" s="3461"/>
      <c r="QMM63" s="3461"/>
      <c r="QMN63" s="3461"/>
      <c r="QMO63" s="3461"/>
      <c r="QMP63" s="3461"/>
      <c r="QMQ63" s="3461"/>
      <c r="QMR63" s="3461"/>
      <c r="QMS63" s="3461"/>
      <c r="QMT63" s="3461"/>
      <c r="QMU63" s="3461"/>
      <c r="QMV63" s="3461"/>
      <c r="QMW63" s="3461"/>
      <c r="QMX63" s="3461"/>
      <c r="QMY63" s="3461"/>
      <c r="QMZ63" s="3461"/>
      <c r="QNA63" s="3461"/>
      <c r="QNB63" s="3461"/>
      <c r="QNC63" s="3461"/>
      <c r="QND63" s="3461"/>
      <c r="QNE63" s="3461"/>
      <c r="QNF63" s="3461"/>
      <c r="QNG63" s="3461"/>
      <c r="QNH63" s="3461"/>
      <c r="QNI63" s="3461"/>
      <c r="QNJ63" s="3461"/>
      <c r="QNK63" s="3461"/>
      <c r="QNL63" s="3461"/>
      <c r="QNM63" s="3461"/>
      <c r="QNN63" s="3461"/>
      <c r="QNO63" s="3461"/>
      <c r="QNP63" s="3461"/>
      <c r="QNQ63" s="3461"/>
      <c r="QNR63" s="3461"/>
      <c r="QNS63" s="3461"/>
      <c r="QNT63" s="3461"/>
      <c r="QNU63" s="3461"/>
      <c r="QNV63" s="3461"/>
      <c r="QNW63" s="3461"/>
      <c r="QNX63" s="3461"/>
      <c r="QNY63" s="3461"/>
      <c r="QNZ63" s="3461"/>
      <c r="QOA63" s="3461"/>
      <c r="QOB63" s="3461"/>
      <c r="QOC63" s="3461"/>
      <c r="QOD63" s="3461"/>
      <c r="QOE63" s="3461"/>
      <c r="QOF63" s="3461"/>
      <c r="QOG63" s="3461"/>
      <c r="QOH63" s="3461"/>
      <c r="QOI63" s="3461"/>
      <c r="QOJ63" s="3461"/>
      <c r="QOK63" s="3461"/>
      <c r="QOL63" s="3461"/>
      <c r="QOM63" s="3461"/>
      <c r="QON63" s="3461"/>
      <c r="QOO63" s="3461"/>
      <c r="QOP63" s="3461"/>
      <c r="QOQ63" s="3461"/>
      <c r="QOR63" s="3461"/>
      <c r="QOS63" s="3461"/>
      <c r="QOT63" s="3461"/>
      <c r="QOU63" s="3461"/>
      <c r="QOV63" s="3461"/>
      <c r="QOW63" s="3461"/>
      <c r="QOX63" s="3461"/>
      <c r="QOY63" s="3461"/>
      <c r="QOZ63" s="3461"/>
      <c r="QPA63" s="3461"/>
      <c r="QPB63" s="3461"/>
      <c r="QPC63" s="3461"/>
      <c r="QPD63" s="3461"/>
      <c r="QPE63" s="3461"/>
      <c r="QPF63" s="3461"/>
      <c r="QPG63" s="3461"/>
      <c r="QPH63" s="3461"/>
      <c r="QPI63" s="3461"/>
      <c r="QPJ63" s="3461"/>
      <c r="QPK63" s="3461"/>
      <c r="QPL63" s="3461"/>
      <c r="QPM63" s="3461"/>
      <c r="QPN63" s="3461"/>
      <c r="QPO63" s="3461"/>
      <c r="QPP63" s="3461"/>
      <c r="QPQ63" s="3461"/>
      <c r="QPR63" s="3461"/>
      <c r="QPS63" s="3461"/>
      <c r="QPT63" s="3461"/>
      <c r="QPU63" s="3461"/>
      <c r="QPV63" s="3461"/>
      <c r="QPW63" s="3461"/>
      <c r="QPX63" s="3461"/>
      <c r="QPY63" s="3461"/>
      <c r="QPZ63" s="3461"/>
      <c r="QQA63" s="3461"/>
      <c r="QQB63" s="3461"/>
      <c r="QQC63" s="3461"/>
      <c r="QQD63" s="3461"/>
      <c r="QQE63" s="3461"/>
      <c r="QQF63" s="3461"/>
      <c r="QQG63" s="3461"/>
      <c r="QQH63" s="3461"/>
      <c r="QQI63" s="3461"/>
      <c r="QQJ63" s="3461"/>
      <c r="QQK63" s="3461"/>
      <c r="QQL63" s="3461"/>
      <c r="QQM63" s="3461"/>
      <c r="QQN63" s="3461"/>
      <c r="QQO63" s="3461"/>
      <c r="QQP63" s="3461"/>
      <c r="QQQ63" s="3461"/>
      <c r="QQR63" s="3461"/>
      <c r="QQS63" s="3461"/>
      <c r="QQT63" s="3461"/>
      <c r="QQU63" s="3461"/>
      <c r="QQV63" s="3461"/>
      <c r="QQW63" s="3461"/>
      <c r="QQX63" s="3461"/>
      <c r="QQY63" s="3461"/>
      <c r="QQZ63" s="3461"/>
      <c r="QRA63" s="3461"/>
      <c r="QRB63" s="3461"/>
      <c r="QRC63" s="3461"/>
      <c r="QRD63" s="3461"/>
      <c r="QRE63" s="3461"/>
      <c r="QRF63" s="3461"/>
      <c r="QRG63" s="3461"/>
      <c r="QRH63" s="3461"/>
      <c r="QRI63" s="3461"/>
      <c r="QRJ63" s="3461"/>
      <c r="QRK63" s="3461"/>
      <c r="QRL63" s="3461"/>
      <c r="QRM63" s="3461"/>
      <c r="QRN63" s="3461"/>
      <c r="QRO63" s="3461"/>
      <c r="QRP63" s="3461"/>
      <c r="QRQ63" s="3461"/>
      <c r="QRR63" s="3461"/>
      <c r="QRS63" s="3461"/>
      <c r="QRT63" s="3461"/>
      <c r="QRU63" s="3461"/>
      <c r="QRV63" s="3461"/>
      <c r="QRW63" s="3461"/>
      <c r="QRX63" s="3461"/>
      <c r="QRY63" s="3461"/>
      <c r="QRZ63" s="3461"/>
      <c r="QSA63" s="3461"/>
      <c r="QSB63" s="3461"/>
      <c r="QSC63" s="3461"/>
      <c r="QSD63" s="3461"/>
      <c r="QSE63" s="3461"/>
      <c r="QSF63" s="3461"/>
      <c r="QSG63" s="3461"/>
      <c r="QSH63" s="3461"/>
      <c r="QSI63" s="3461"/>
      <c r="QSJ63" s="3461"/>
      <c r="QSK63" s="3461"/>
      <c r="QSL63" s="3461"/>
      <c r="QSM63" s="3461"/>
      <c r="QSN63" s="3461"/>
      <c r="QSO63" s="3461"/>
      <c r="QSP63" s="3461"/>
      <c r="QSQ63" s="3461"/>
      <c r="QSR63" s="3461"/>
      <c r="QSS63" s="3461"/>
      <c r="QST63" s="3461"/>
      <c r="QSU63" s="3461"/>
      <c r="QSV63" s="3461"/>
      <c r="QSW63" s="3461"/>
      <c r="QSX63" s="3461"/>
      <c r="QSY63" s="3461"/>
      <c r="QSZ63" s="3461"/>
      <c r="QTA63" s="3461"/>
      <c r="QTB63" s="3461"/>
      <c r="QTC63" s="3461"/>
      <c r="QTD63" s="3461"/>
      <c r="QTE63" s="3461"/>
      <c r="QTF63" s="3461"/>
      <c r="QTG63" s="3461"/>
      <c r="QTH63" s="3461"/>
      <c r="QTI63" s="3461"/>
      <c r="QTJ63" s="3461"/>
      <c r="QTK63" s="3461"/>
      <c r="QTL63" s="3461"/>
      <c r="QTM63" s="3461"/>
      <c r="QTN63" s="3461"/>
      <c r="QTO63" s="3461"/>
      <c r="QTP63" s="3461"/>
      <c r="QTQ63" s="3461"/>
      <c r="QTR63" s="3461"/>
      <c r="QTS63" s="3461"/>
      <c r="QTT63" s="3461"/>
      <c r="QTU63" s="3461"/>
      <c r="QTV63" s="3461"/>
      <c r="QTW63" s="3461"/>
      <c r="QTX63" s="3461"/>
      <c r="QTY63" s="3461"/>
      <c r="QTZ63" s="3461"/>
      <c r="QUA63" s="3461"/>
      <c r="QUB63" s="3461"/>
      <c r="QUC63" s="3461"/>
      <c r="QUD63" s="3461"/>
      <c r="QUE63" s="3461"/>
      <c r="QUF63" s="3461"/>
      <c r="QUG63" s="3461"/>
      <c r="QUH63" s="3461"/>
      <c r="QUI63" s="3461"/>
      <c r="QUJ63" s="3461"/>
      <c r="QUK63" s="3461"/>
      <c r="QUL63" s="3461"/>
      <c r="QUM63" s="3461"/>
      <c r="QUN63" s="3461"/>
      <c r="QUO63" s="3461"/>
      <c r="QUP63" s="3461"/>
      <c r="QUQ63" s="3461"/>
      <c r="QUR63" s="3461"/>
      <c r="QUS63" s="3461"/>
      <c r="QUT63" s="3461"/>
      <c r="QUU63" s="3461"/>
      <c r="QUV63" s="3461"/>
      <c r="QUW63" s="3461"/>
      <c r="QUX63" s="3461"/>
      <c r="QUY63" s="3461"/>
      <c r="QUZ63" s="3461"/>
      <c r="QVA63" s="3461"/>
      <c r="QVB63" s="3461"/>
      <c r="QVC63" s="3461"/>
      <c r="QVD63" s="3461"/>
      <c r="QVE63" s="3461"/>
      <c r="QVF63" s="3461"/>
      <c r="QVG63" s="3461"/>
      <c r="QVH63" s="3461"/>
      <c r="QVI63" s="3461"/>
      <c r="QVJ63" s="3461"/>
      <c r="QVK63" s="3461"/>
      <c r="QVL63" s="3461"/>
      <c r="QVM63" s="3461"/>
      <c r="QVN63" s="3461"/>
      <c r="QVO63" s="3461"/>
      <c r="QVP63" s="3461"/>
      <c r="QVQ63" s="3461"/>
      <c r="QVR63" s="3461"/>
      <c r="QVS63" s="3461"/>
      <c r="QVT63" s="3461"/>
      <c r="QVU63" s="3461"/>
      <c r="QVV63" s="3461"/>
      <c r="QVW63" s="3461"/>
      <c r="QVX63" s="3461"/>
      <c r="QVY63" s="3461"/>
      <c r="QVZ63" s="3461"/>
      <c r="QWA63" s="3461"/>
      <c r="QWB63" s="3461"/>
      <c r="QWC63" s="3461"/>
      <c r="QWD63" s="3461"/>
      <c r="QWE63" s="3461"/>
      <c r="QWF63" s="3461"/>
      <c r="QWG63" s="3461"/>
      <c r="QWH63" s="3461"/>
      <c r="QWI63" s="3461"/>
      <c r="QWJ63" s="3461"/>
      <c r="QWK63" s="3461"/>
      <c r="QWL63" s="3461"/>
      <c r="QWM63" s="3461"/>
      <c r="QWN63" s="3461"/>
      <c r="QWO63" s="3461"/>
      <c r="QWP63" s="3461"/>
      <c r="QWQ63" s="3461"/>
      <c r="QWR63" s="3461"/>
      <c r="QWS63" s="3461"/>
      <c r="QWT63" s="3461"/>
      <c r="QWU63" s="3461"/>
      <c r="QWV63" s="3461"/>
      <c r="QWW63" s="3461"/>
      <c r="QWX63" s="3461"/>
      <c r="QWY63" s="3461"/>
      <c r="QWZ63" s="3461"/>
      <c r="QXA63" s="3461"/>
      <c r="QXB63" s="3461"/>
      <c r="QXC63" s="3461"/>
      <c r="QXD63" s="3461"/>
      <c r="QXE63" s="3461"/>
      <c r="QXF63" s="3461"/>
      <c r="QXG63" s="3461"/>
      <c r="QXH63" s="3461"/>
      <c r="QXI63" s="3461"/>
      <c r="QXJ63" s="3461"/>
      <c r="QXK63" s="3461"/>
      <c r="QXL63" s="3461"/>
      <c r="QXM63" s="3461"/>
      <c r="QXN63" s="3461"/>
      <c r="QXO63" s="3461"/>
      <c r="QXP63" s="3461"/>
      <c r="QXQ63" s="3461"/>
      <c r="QXR63" s="3461"/>
      <c r="QXS63" s="3461"/>
      <c r="QXT63" s="3461"/>
      <c r="QXU63" s="3461"/>
      <c r="QXV63" s="3461"/>
      <c r="QXW63" s="3461"/>
      <c r="QXX63" s="3461"/>
      <c r="QXY63" s="3461"/>
      <c r="QXZ63" s="3461"/>
      <c r="QYA63" s="3461"/>
      <c r="QYB63" s="3461"/>
      <c r="QYC63" s="3461"/>
      <c r="QYD63" s="3461"/>
      <c r="QYE63" s="3461"/>
      <c r="QYF63" s="3461"/>
      <c r="QYG63" s="3461"/>
      <c r="QYH63" s="3461"/>
      <c r="QYI63" s="3461"/>
      <c r="QYJ63" s="3461"/>
      <c r="QYK63" s="3461"/>
      <c r="QYL63" s="3461"/>
      <c r="QYM63" s="3461"/>
      <c r="QYN63" s="3461"/>
      <c r="QYO63" s="3461"/>
      <c r="QYP63" s="3461"/>
      <c r="QYQ63" s="3461"/>
      <c r="QYR63" s="3461"/>
      <c r="QYS63" s="3461"/>
      <c r="QYT63" s="3461"/>
      <c r="QYU63" s="3461"/>
      <c r="QYV63" s="3461"/>
      <c r="QYW63" s="3461"/>
      <c r="QYX63" s="3461"/>
      <c r="QYY63" s="3461"/>
      <c r="QYZ63" s="3461"/>
      <c r="QZA63" s="3461"/>
      <c r="QZB63" s="3461"/>
      <c r="QZC63" s="3461"/>
      <c r="QZD63" s="3461"/>
      <c r="QZE63" s="3461"/>
      <c r="QZF63" s="3461"/>
      <c r="QZG63" s="3461"/>
      <c r="QZH63" s="3461"/>
      <c r="QZI63" s="3461"/>
      <c r="QZJ63" s="3461"/>
      <c r="QZK63" s="3461"/>
      <c r="QZL63" s="3461"/>
      <c r="QZM63" s="3461"/>
      <c r="QZN63" s="3461"/>
      <c r="QZO63" s="3461"/>
      <c r="QZP63" s="3461"/>
      <c r="QZQ63" s="3461"/>
      <c r="QZR63" s="3461"/>
      <c r="QZS63" s="3461"/>
      <c r="QZT63" s="3461"/>
      <c r="QZU63" s="3461"/>
      <c r="QZV63" s="3461"/>
      <c r="QZW63" s="3461"/>
      <c r="QZX63" s="3461"/>
      <c r="QZY63" s="3461"/>
      <c r="QZZ63" s="3461"/>
      <c r="RAA63" s="3461"/>
      <c r="RAB63" s="3461"/>
      <c r="RAC63" s="3461"/>
      <c r="RAD63" s="3461"/>
      <c r="RAE63" s="3461"/>
      <c r="RAF63" s="3461"/>
      <c r="RAG63" s="3461"/>
      <c r="RAH63" s="3461"/>
      <c r="RAI63" s="3461"/>
      <c r="RAJ63" s="3461"/>
      <c r="RAK63" s="3461"/>
      <c r="RAL63" s="3461"/>
      <c r="RAM63" s="3461"/>
      <c r="RAN63" s="3461"/>
      <c r="RAO63" s="3461"/>
      <c r="RAP63" s="3461"/>
      <c r="RAQ63" s="3461"/>
      <c r="RAR63" s="3461"/>
      <c r="RAS63" s="3461"/>
      <c r="RAT63" s="3461"/>
      <c r="RAU63" s="3461"/>
      <c r="RAV63" s="3461"/>
      <c r="RAW63" s="3461"/>
      <c r="RAX63" s="3461"/>
      <c r="RAY63" s="3461"/>
      <c r="RAZ63" s="3461"/>
      <c r="RBA63" s="3461"/>
      <c r="RBB63" s="3461"/>
      <c r="RBC63" s="3461"/>
      <c r="RBD63" s="3461"/>
      <c r="RBE63" s="3461"/>
      <c r="RBF63" s="3461"/>
      <c r="RBG63" s="3461"/>
      <c r="RBH63" s="3461"/>
      <c r="RBI63" s="3461"/>
      <c r="RBJ63" s="3461"/>
      <c r="RBK63" s="3461"/>
      <c r="RBL63" s="3461"/>
      <c r="RBM63" s="3461"/>
      <c r="RBN63" s="3461"/>
      <c r="RBO63" s="3461"/>
      <c r="RBP63" s="3461"/>
      <c r="RBQ63" s="3461"/>
      <c r="RBR63" s="3461"/>
      <c r="RBS63" s="3461"/>
      <c r="RBT63" s="3461"/>
      <c r="RBU63" s="3461"/>
      <c r="RBV63" s="3461"/>
      <c r="RBW63" s="3461"/>
      <c r="RBX63" s="3461"/>
      <c r="RBY63" s="3461"/>
      <c r="RBZ63" s="3461"/>
      <c r="RCA63" s="3461"/>
      <c r="RCB63" s="3461"/>
      <c r="RCC63" s="3461"/>
      <c r="RCD63" s="3461"/>
      <c r="RCE63" s="3461"/>
      <c r="RCF63" s="3461"/>
      <c r="RCG63" s="3461"/>
      <c r="RCH63" s="3461"/>
      <c r="RCI63" s="3461"/>
      <c r="RCJ63" s="3461"/>
      <c r="RCK63" s="3461"/>
      <c r="RCL63" s="3461"/>
      <c r="RCM63" s="3461"/>
      <c r="RCN63" s="3461"/>
      <c r="RCO63" s="3461"/>
      <c r="RCP63" s="3461"/>
      <c r="RCQ63" s="3461"/>
      <c r="RCR63" s="3461"/>
      <c r="RCS63" s="3461"/>
      <c r="RCT63" s="3461"/>
      <c r="RCU63" s="3461"/>
      <c r="RCV63" s="3461"/>
      <c r="RCW63" s="3461"/>
      <c r="RCX63" s="3461"/>
      <c r="RCY63" s="3461"/>
      <c r="RCZ63" s="3461"/>
      <c r="RDA63" s="3461"/>
      <c r="RDB63" s="3461"/>
      <c r="RDC63" s="3461"/>
      <c r="RDD63" s="3461"/>
      <c r="RDE63" s="3461"/>
      <c r="RDF63" s="3461"/>
      <c r="RDG63" s="3461"/>
      <c r="RDH63" s="3461"/>
      <c r="RDI63" s="3461"/>
      <c r="RDJ63" s="3461"/>
      <c r="RDK63" s="3461"/>
      <c r="RDL63" s="3461"/>
      <c r="RDM63" s="3461"/>
      <c r="RDN63" s="3461"/>
      <c r="RDO63" s="3461"/>
      <c r="RDP63" s="3461"/>
      <c r="RDQ63" s="3461"/>
      <c r="RDR63" s="3461"/>
      <c r="RDS63" s="3461"/>
      <c r="RDT63" s="3461"/>
      <c r="RDU63" s="3461"/>
      <c r="RDV63" s="3461"/>
      <c r="RDW63" s="3461"/>
      <c r="RDX63" s="3461"/>
      <c r="RDY63" s="3461"/>
      <c r="RDZ63" s="3461"/>
      <c r="REA63" s="3461"/>
      <c r="REB63" s="3461"/>
      <c r="REC63" s="3461"/>
      <c r="RED63" s="3461"/>
      <c r="REE63" s="3461"/>
      <c r="REF63" s="3461"/>
      <c r="REG63" s="3461"/>
      <c r="REH63" s="3461"/>
      <c r="REI63" s="3461"/>
      <c r="REJ63" s="3461"/>
      <c r="REK63" s="3461"/>
      <c r="REL63" s="3461"/>
      <c r="REM63" s="3461"/>
      <c r="REN63" s="3461"/>
      <c r="REO63" s="3461"/>
      <c r="REP63" s="3461"/>
      <c r="REQ63" s="3461"/>
      <c r="RER63" s="3461"/>
      <c r="RES63" s="3461"/>
      <c r="RET63" s="3461"/>
      <c r="REU63" s="3461"/>
      <c r="REV63" s="3461"/>
      <c r="REW63" s="3461"/>
      <c r="REX63" s="3461"/>
      <c r="REY63" s="3461"/>
      <c r="REZ63" s="3461"/>
      <c r="RFA63" s="3461"/>
      <c r="RFB63" s="3461"/>
      <c r="RFC63" s="3461"/>
      <c r="RFD63" s="3461"/>
      <c r="RFE63" s="3461"/>
      <c r="RFF63" s="3461"/>
      <c r="RFG63" s="3461"/>
      <c r="RFH63" s="3461"/>
      <c r="RFI63" s="3461"/>
      <c r="RFJ63" s="3461"/>
      <c r="RFK63" s="3461"/>
      <c r="RFL63" s="3461"/>
      <c r="RFM63" s="3461"/>
      <c r="RFN63" s="3461"/>
      <c r="RFO63" s="3461"/>
      <c r="RFP63" s="3461"/>
      <c r="RFQ63" s="3461"/>
      <c r="RFR63" s="3461"/>
      <c r="RFS63" s="3461"/>
      <c r="RFT63" s="3461"/>
      <c r="RFU63" s="3461"/>
      <c r="RFV63" s="3461"/>
      <c r="RFW63" s="3461"/>
      <c r="RFX63" s="3461"/>
      <c r="RFY63" s="3461"/>
      <c r="RFZ63" s="3461"/>
      <c r="RGA63" s="3461"/>
      <c r="RGB63" s="3461"/>
      <c r="RGC63" s="3461"/>
      <c r="RGD63" s="3461"/>
      <c r="RGE63" s="3461"/>
      <c r="RGF63" s="3461"/>
      <c r="RGG63" s="3461"/>
      <c r="RGH63" s="3461"/>
      <c r="RGI63" s="3461"/>
      <c r="RGJ63" s="3461"/>
      <c r="RGK63" s="3461"/>
      <c r="RGL63" s="3461"/>
      <c r="RGM63" s="3461"/>
      <c r="RGN63" s="3461"/>
      <c r="RGO63" s="3461"/>
      <c r="RGP63" s="3461"/>
      <c r="RGQ63" s="3461"/>
      <c r="RGR63" s="3461"/>
      <c r="RGS63" s="3461"/>
      <c r="RGT63" s="3461"/>
      <c r="RGU63" s="3461"/>
      <c r="RGV63" s="3461"/>
      <c r="RGW63" s="3461"/>
      <c r="RGX63" s="3461"/>
      <c r="RGY63" s="3461"/>
      <c r="RGZ63" s="3461"/>
      <c r="RHA63" s="3461"/>
      <c r="RHB63" s="3461"/>
      <c r="RHC63" s="3461"/>
      <c r="RHD63" s="3461"/>
      <c r="RHE63" s="3461"/>
      <c r="RHF63" s="3461"/>
      <c r="RHG63" s="3461"/>
      <c r="RHH63" s="3461"/>
      <c r="RHI63" s="3461"/>
      <c r="RHJ63" s="3461"/>
      <c r="RHK63" s="3461"/>
      <c r="RHL63" s="3461"/>
      <c r="RHM63" s="3461"/>
      <c r="RHN63" s="3461"/>
      <c r="RHO63" s="3461"/>
      <c r="RHP63" s="3461"/>
      <c r="RHQ63" s="3461"/>
      <c r="RHR63" s="3461"/>
      <c r="RHS63" s="3461"/>
      <c r="RHT63" s="3461"/>
      <c r="RHU63" s="3461"/>
      <c r="RHV63" s="3461"/>
      <c r="RHW63" s="3461"/>
      <c r="RHX63" s="3461"/>
      <c r="RHY63" s="3461"/>
      <c r="RHZ63" s="3461"/>
      <c r="RIA63" s="3461"/>
      <c r="RIB63" s="3461"/>
      <c r="RIC63" s="3461"/>
      <c r="RID63" s="3461"/>
      <c r="RIE63" s="3461"/>
      <c r="RIF63" s="3461"/>
      <c r="RIG63" s="3461"/>
      <c r="RIH63" s="3461"/>
      <c r="RII63" s="3461"/>
      <c r="RIJ63" s="3461"/>
      <c r="RIK63" s="3461"/>
      <c r="RIL63" s="3461"/>
      <c r="RIM63" s="3461"/>
      <c r="RIN63" s="3461"/>
      <c r="RIO63" s="3461"/>
      <c r="RIP63" s="3461"/>
      <c r="RIQ63" s="3461"/>
      <c r="RIR63" s="3461"/>
      <c r="RIS63" s="3461"/>
      <c r="RIT63" s="3461"/>
      <c r="RIU63" s="3461"/>
      <c r="RIV63" s="3461"/>
      <c r="RIW63" s="3461"/>
      <c r="RIX63" s="3461"/>
      <c r="RIY63" s="3461"/>
      <c r="RIZ63" s="3461"/>
      <c r="RJA63" s="3461"/>
      <c r="RJB63" s="3461"/>
      <c r="RJC63" s="3461"/>
      <c r="RJD63" s="3461"/>
      <c r="RJE63" s="3461"/>
      <c r="RJF63" s="3461"/>
      <c r="RJG63" s="3461"/>
      <c r="RJH63" s="3461"/>
      <c r="RJI63" s="3461"/>
      <c r="RJJ63" s="3461"/>
      <c r="RJK63" s="3461"/>
      <c r="RJL63" s="3461"/>
      <c r="RJM63" s="3461"/>
      <c r="RJN63" s="3461"/>
      <c r="RJO63" s="3461"/>
      <c r="RJP63" s="3461"/>
      <c r="RJQ63" s="3461"/>
      <c r="RJR63" s="3461"/>
      <c r="RJS63" s="3461"/>
      <c r="RJT63" s="3461"/>
      <c r="RJU63" s="3461"/>
      <c r="RJV63" s="3461"/>
      <c r="RJW63" s="3461"/>
      <c r="RJX63" s="3461"/>
      <c r="RJY63" s="3461"/>
      <c r="RJZ63" s="3461"/>
      <c r="RKA63" s="3461"/>
      <c r="RKB63" s="3461"/>
      <c r="RKC63" s="3461"/>
      <c r="RKD63" s="3461"/>
      <c r="RKE63" s="3461"/>
      <c r="RKF63" s="3461"/>
      <c r="RKG63" s="3461"/>
      <c r="RKH63" s="3461"/>
      <c r="RKI63" s="3461"/>
      <c r="RKJ63" s="3461"/>
      <c r="RKK63" s="3461"/>
      <c r="RKL63" s="3461"/>
      <c r="RKM63" s="3461"/>
      <c r="RKN63" s="3461"/>
      <c r="RKO63" s="3461"/>
      <c r="RKP63" s="3461"/>
      <c r="RKQ63" s="3461"/>
      <c r="RKR63" s="3461"/>
      <c r="RKS63" s="3461"/>
      <c r="RKT63" s="3461"/>
      <c r="RKU63" s="3461"/>
      <c r="RKV63" s="3461"/>
      <c r="RKW63" s="3461"/>
      <c r="RKX63" s="3461"/>
      <c r="RKY63" s="3461"/>
      <c r="RKZ63" s="3461"/>
      <c r="RLA63" s="3461"/>
      <c r="RLB63" s="3461"/>
      <c r="RLC63" s="3461"/>
      <c r="RLD63" s="3461"/>
      <c r="RLE63" s="3461"/>
      <c r="RLF63" s="3461"/>
      <c r="RLG63" s="3461"/>
      <c r="RLH63" s="3461"/>
      <c r="RLI63" s="3461"/>
      <c r="RLJ63" s="3461"/>
      <c r="RLK63" s="3461"/>
      <c r="RLL63" s="3461"/>
      <c r="RLM63" s="3461"/>
      <c r="RLN63" s="3461"/>
      <c r="RLO63" s="3461"/>
      <c r="RLP63" s="3461"/>
      <c r="RLQ63" s="3461"/>
      <c r="RLR63" s="3461"/>
      <c r="RLS63" s="3461"/>
      <c r="RLT63" s="3461"/>
      <c r="RLU63" s="3461"/>
      <c r="RLV63" s="3461"/>
      <c r="RLW63" s="3461"/>
      <c r="RLX63" s="3461"/>
      <c r="RLY63" s="3461"/>
      <c r="RLZ63" s="3461"/>
      <c r="RMA63" s="3461"/>
      <c r="RMB63" s="3461"/>
      <c r="RMC63" s="3461"/>
      <c r="RMD63" s="3461"/>
      <c r="RME63" s="3461"/>
      <c r="RMF63" s="3461"/>
      <c r="RMG63" s="3461"/>
      <c r="RMH63" s="3461"/>
      <c r="RMI63" s="3461"/>
      <c r="RMJ63" s="3461"/>
      <c r="RMK63" s="3461"/>
      <c r="RML63" s="3461"/>
      <c r="RMM63" s="3461"/>
      <c r="RMN63" s="3461"/>
      <c r="RMO63" s="3461"/>
      <c r="RMP63" s="3461"/>
      <c r="RMQ63" s="3461"/>
      <c r="RMR63" s="3461"/>
      <c r="RMS63" s="3461"/>
      <c r="RMT63" s="3461"/>
      <c r="RMU63" s="3461"/>
      <c r="RMV63" s="3461"/>
      <c r="RMW63" s="3461"/>
      <c r="RMX63" s="3461"/>
      <c r="RMY63" s="3461"/>
      <c r="RMZ63" s="3461"/>
      <c r="RNA63" s="3461"/>
      <c r="RNB63" s="3461"/>
      <c r="RNC63" s="3461"/>
      <c r="RND63" s="3461"/>
      <c r="RNE63" s="3461"/>
      <c r="RNF63" s="3461"/>
      <c r="RNG63" s="3461"/>
      <c r="RNH63" s="3461"/>
      <c r="RNI63" s="3461"/>
      <c r="RNJ63" s="3461"/>
      <c r="RNK63" s="3461"/>
      <c r="RNL63" s="3461"/>
      <c r="RNM63" s="3461"/>
      <c r="RNN63" s="3461"/>
      <c r="RNO63" s="3461"/>
      <c r="RNP63" s="3461"/>
      <c r="RNQ63" s="3461"/>
      <c r="RNR63" s="3461"/>
      <c r="RNS63" s="3461"/>
      <c r="RNT63" s="3461"/>
      <c r="RNU63" s="3461"/>
      <c r="RNV63" s="3461"/>
      <c r="RNW63" s="3461"/>
      <c r="RNX63" s="3461"/>
      <c r="RNY63" s="3461"/>
      <c r="RNZ63" s="3461"/>
      <c r="ROA63" s="3461"/>
      <c r="ROB63" s="3461"/>
      <c r="ROC63" s="3461"/>
      <c r="ROD63" s="3461"/>
      <c r="ROE63" s="3461"/>
      <c r="ROF63" s="3461"/>
      <c r="ROG63" s="3461"/>
      <c r="ROH63" s="3461"/>
      <c r="ROI63" s="3461"/>
      <c r="ROJ63" s="3461"/>
      <c r="ROK63" s="3461"/>
      <c r="ROL63" s="3461"/>
      <c r="ROM63" s="3461"/>
      <c r="RON63" s="3461"/>
      <c r="ROO63" s="3461"/>
      <c r="ROP63" s="3461"/>
      <c r="ROQ63" s="3461"/>
      <c r="ROR63" s="3461"/>
      <c r="ROS63" s="3461"/>
      <c r="ROT63" s="3461"/>
      <c r="ROU63" s="3461"/>
      <c r="ROV63" s="3461"/>
      <c r="ROW63" s="3461"/>
      <c r="ROX63" s="3461"/>
      <c r="ROY63" s="3461"/>
      <c r="ROZ63" s="3461"/>
      <c r="RPA63" s="3461"/>
      <c r="RPB63" s="3461"/>
      <c r="RPC63" s="3461"/>
      <c r="RPD63" s="3461"/>
      <c r="RPE63" s="3461"/>
      <c r="RPF63" s="3461"/>
      <c r="RPG63" s="3461"/>
      <c r="RPH63" s="3461"/>
      <c r="RPI63" s="3461"/>
      <c r="RPJ63" s="3461"/>
      <c r="RPK63" s="3461"/>
      <c r="RPL63" s="3461"/>
      <c r="RPM63" s="3461"/>
      <c r="RPN63" s="3461"/>
      <c r="RPO63" s="3461"/>
      <c r="RPP63" s="3461"/>
      <c r="RPQ63" s="3461"/>
      <c r="RPR63" s="3461"/>
      <c r="RPS63" s="3461"/>
      <c r="RPT63" s="3461"/>
      <c r="RPU63" s="3461"/>
      <c r="RPV63" s="3461"/>
      <c r="RPW63" s="3461"/>
      <c r="RPX63" s="3461"/>
      <c r="RPY63" s="3461"/>
      <c r="RPZ63" s="3461"/>
      <c r="RQA63" s="3461"/>
      <c r="RQB63" s="3461"/>
      <c r="RQC63" s="3461"/>
      <c r="RQD63" s="3461"/>
      <c r="RQE63" s="3461"/>
      <c r="RQF63" s="3461"/>
      <c r="RQG63" s="3461"/>
      <c r="RQH63" s="3461"/>
      <c r="RQI63" s="3461"/>
      <c r="RQJ63" s="3461"/>
      <c r="RQK63" s="3461"/>
      <c r="RQL63" s="3461"/>
      <c r="RQM63" s="3461"/>
      <c r="RQN63" s="3461"/>
      <c r="RQO63" s="3461"/>
      <c r="RQP63" s="3461"/>
      <c r="RQQ63" s="3461"/>
      <c r="RQR63" s="3461"/>
      <c r="RQS63" s="3461"/>
      <c r="RQT63" s="3461"/>
      <c r="RQU63" s="3461"/>
      <c r="RQV63" s="3461"/>
      <c r="RQW63" s="3461"/>
      <c r="RQX63" s="3461"/>
      <c r="RQY63" s="3461"/>
      <c r="RQZ63" s="3461"/>
      <c r="RRA63" s="3461"/>
      <c r="RRB63" s="3461"/>
      <c r="RRC63" s="3461"/>
      <c r="RRD63" s="3461"/>
      <c r="RRE63" s="3461"/>
      <c r="RRF63" s="3461"/>
      <c r="RRG63" s="3461"/>
      <c r="RRH63" s="3461"/>
      <c r="RRI63" s="3461"/>
      <c r="RRJ63" s="3461"/>
      <c r="RRK63" s="3461"/>
      <c r="RRL63" s="3461"/>
      <c r="RRM63" s="3461"/>
      <c r="RRN63" s="3461"/>
      <c r="RRO63" s="3461"/>
      <c r="RRP63" s="3461"/>
      <c r="RRQ63" s="3461"/>
      <c r="RRR63" s="3461"/>
      <c r="RRS63" s="3461"/>
      <c r="RRT63" s="3461"/>
      <c r="RRU63" s="3461"/>
      <c r="RRV63" s="3461"/>
      <c r="RRW63" s="3461"/>
      <c r="RRX63" s="3461"/>
      <c r="RRY63" s="3461"/>
      <c r="RRZ63" s="3461"/>
      <c r="RSA63" s="3461"/>
      <c r="RSB63" s="3461"/>
      <c r="RSC63" s="3461"/>
      <c r="RSD63" s="3461"/>
      <c r="RSE63" s="3461"/>
      <c r="RSF63" s="3461"/>
      <c r="RSG63" s="3461"/>
      <c r="RSH63" s="3461"/>
      <c r="RSI63" s="3461"/>
      <c r="RSJ63" s="3461"/>
      <c r="RSK63" s="3461"/>
      <c r="RSL63" s="3461"/>
      <c r="RSM63" s="3461"/>
      <c r="RSN63" s="3461"/>
      <c r="RSO63" s="3461"/>
      <c r="RSP63" s="3461"/>
      <c r="RSQ63" s="3461"/>
      <c r="RSR63" s="3461"/>
      <c r="RSS63" s="3461"/>
      <c r="RST63" s="3461"/>
      <c r="RSU63" s="3461"/>
      <c r="RSV63" s="3461"/>
      <c r="RSW63" s="3461"/>
      <c r="RSX63" s="3461"/>
      <c r="RSY63" s="3461"/>
      <c r="RSZ63" s="3461"/>
      <c r="RTA63" s="3461"/>
      <c r="RTB63" s="3461"/>
      <c r="RTC63" s="3461"/>
      <c r="RTD63" s="3461"/>
      <c r="RTE63" s="3461"/>
      <c r="RTF63" s="3461"/>
      <c r="RTG63" s="3461"/>
      <c r="RTH63" s="3461"/>
      <c r="RTI63" s="3461"/>
      <c r="RTJ63" s="3461"/>
      <c r="RTK63" s="3461"/>
      <c r="RTL63" s="3461"/>
      <c r="RTM63" s="3461"/>
      <c r="RTN63" s="3461"/>
      <c r="RTO63" s="3461"/>
      <c r="RTP63" s="3461"/>
      <c r="RTQ63" s="3461"/>
      <c r="RTR63" s="3461"/>
      <c r="RTS63" s="3461"/>
      <c r="RTT63" s="3461"/>
      <c r="RTU63" s="3461"/>
      <c r="RTV63" s="3461"/>
      <c r="RTW63" s="3461"/>
      <c r="RTX63" s="3461"/>
      <c r="RTY63" s="3461"/>
      <c r="RTZ63" s="3461"/>
      <c r="RUA63" s="3461"/>
      <c r="RUB63" s="3461"/>
      <c r="RUC63" s="3461"/>
      <c r="RUD63" s="3461"/>
      <c r="RUE63" s="3461"/>
      <c r="RUF63" s="3461"/>
      <c r="RUG63" s="3461"/>
      <c r="RUH63" s="3461"/>
      <c r="RUI63" s="3461"/>
      <c r="RUJ63" s="3461"/>
      <c r="RUK63" s="3461"/>
      <c r="RUL63" s="3461"/>
      <c r="RUM63" s="3461"/>
      <c r="RUN63" s="3461"/>
      <c r="RUO63" s="3461"/>
      <c r="RUP63" s="3461"/>
      <c r="RUQ63" s="3461"/>
      <c r="RUR63" s="3461"/>
      <c r="RUS63" s="3461"/>
      <c r="RUT63" s="3461"/>
      <c r="RUU63" s="3461"/>
      <c r="RUV63" s="3461"/>
      <c r="RUW63" s="3461"/>
      <c r="RUX63" s="3461"/>
      <c r="RUY63" s="3461"/>
      <c r="RUZ63" s="3461"/>
      <c r="RVA63" s="3461"/>
      <c r="RVB63" s="3461"/>
      <c r="RVC63" s="3461"/>
      <c r="RVD63" s="3461"/>
      <c r="RVE63" s="3461"/>
      <c r="RVF63" s="3461"/>
      <c r="RVG63" s="3461"/>
      <c r="RVH63" s="3461"/>
      <c r="RVI63" s="3461"/>
      <c r="RVJ63" s="3461"/>
      <c r="RVK63" s="3461"/>
      <c r="RVL63" s="3461"/>
      <c r="RVM63" s="3461"/>
      <c r="RVN63" s="3461"/>
      <c r="RVO63" s="3461"/>
      <c r="RVP63" s="3461"/>
      <c r="RVQ63" s="3461"/>
      <c r="RVR63" s="3461"/>
      <c r="RVS63" s="3461"/>
      <c r="RVT63" s="3461"/>
      <c r="RVU63" s="3461"/>
      <c r="RVV63" s="3461"/>
      <c r="RVW63" s="3461"/>
      <c r="RVX63" s="3461"/>
      <c r="RVY63" s="3461"/>
      <c r="RVZ63" s="3461"/>
      <c r="RWA63" s="3461"/>
      <c r="RWB63" s="3461"/>
      <c r="RWC63" s="3461"/>
      <c r="RWD63" s="3461"/>
      <c r="RWE63" s="3461"/>
      <c r="RWF63" s="3461"/>
      <c r="RWG63" s="3461"/>
      <c r="RWH63" s="3461"/>
      <c r="RWI63" s="3461"/>
      <c r="RWJ63" s="3461"/>
      <c r="RWK63" s="3461"/>
      <c r="RWL63" s="3461"/>
      <c r="RWM63" s="3461"/>
      <c r="RWN63" s="3461"/>
      <c r="RWO63" s="3461"/>
      <c r="RWP63" s="3461"/>
      <c r="RWQ63" s="3461"/>
      <c r="RWR63" s="3461"/>
      <c r="RWS63" s="3461"/>
      <c r="RWT63" s="3461"/>
      <c r="RWU63" s="3461"/>
      <c r="RWV63" s="3461"/>
      <c r="RWW63" s="3461"/>
      <c r="RWX63" s="3461"/>
      <c r="RWY63" s="3461"/>
      <c r="RWZ63" s="3461"/>
      <c r="RXA63" s="3461"/>
      <c r="RXB63" s="3461"/>
      <c r="RXC63" s="3461"/>
      <c r="RXD63" s="3461"/>
      <c r="RXE63" s="3461"/>
      <c r="RXF63" s="3461"/>
      <c r="RXG63" s="3461"/>
      <c r="RXH63" s="3461"/>
      <c r="RXI63" s="3461"/>
      <c r="RXJ63" s="3461"/>
      <c r="RXK63" s="3461"/>
      <c r="RXL63" s="3461"/>
      <c r="RXM63" s="3461"/>
      <c r="RXN63" s="3461"/>
      <c r="RXO63" s="3461"/>
      <c r="RXP63" s="3461"/>
      <c r="RXQ63" s="3461"/>
      <c r="RXR63" s="3461"/>
      <c r="RXS63" s="3461"/>
      <c r="RXT63" s="3461"/>
      <c r="RXU63" s="3461"/>
      <c r="RXV63" s="3461"/>
      <c r="RXW63" s="3461"/>
      <c r="RXX63" s="3461"/>
      <c r="RXY63" s="3461"/>
      <c r="RXZ63" s="3461"/>
      <c r="RYA63" s="3461"/>
      <c r="RYB63" s="3461"/>
      <c r="RYC63" s="3461"/>
      <c r="RYD63" s="3461"/>
      <c r="RYE63" s="3461"/>
      <c r="RYF63" s="3461"/>
      <c r="RYG63" s="3461"/>
      <c r="RYH63" s="3461"/>
      <c r="RYI63" s="3461"/>
      <c r="RYJ63" s="3461"/>
      <c r="RYK63" s="3461"/>
      <c r="RYL63" s="3461"/>
      <c r="RYM63" s="3461"/>
      <c r="RYN63" s="3461"/>
      <c r="RYO63" s="3461"/>
      <c r="RYP63" s="3461"/>
      <c r="RYQ63" s="3461"/>
      <c r="RYR63" s="3461"/>
      <c r="RYS63" s="3461"/>
      <c r="RYT63" s="3461"/>
      <c r="RYU63" s="3461"/>
      <c r="RYV63" s="3461"/>
      <c r="RYW63" s="3461"/>
      <c r="RYX63" s="3461"/>
      <c r="RYY63" s="3461"/>
      <c r="RYZ63" s="3461"/>
      <c r="RZA63" s="3461"/>
      <c r="RZB63" s="3461"/>
      <c r="RZC63" s="3461"/>
      <c r="RZD63" s="3461"/>
      <c r="RZE63" s="3461"/>
      <c r="RZF63" s="3461"/>
      <c r="RZG63" s="3461"/>
      <c r="RZH63" s="3461"/>
      <c r="RZI63" s="3461"/>
      <c r="RZJ63" s="3461"/>
      <c r="RZK63" s="3461"/>
      <c r="RZL63" s="3461"/>
      <c r="RZM63" s="3461"/>
      <c r="RZN63" s="3461"/>
      <c r="RZO63" s="3461"/>
      <c r="RZP63" s="3461"/>
      <c r="RZQ63" s="3461"/>
      <c r="RZR63" s="3461"/>
      <c r="RZS63" s="3461"/>
      <c r="RZT63" s="3461"/>
      <c r="RZU63" s="3461"/>
      <c r="RZV63" s="3461"/>
      <c r="RZW63" s="3461"/>
      <c r="RZX63" s="3461"/>
      <c r="RZY63" s="3461"/>
      <c r="RZZ63" s="3461"/>
      <c r="SAA63" s="3461"/>
      <c r="SAB63" s="3461"/>
      <c r="SAC63" s="3461"/>
      <c r="SAD63" s="3461"/>
      <c r="SAE63" s="3461"/>
      <c r="SAF63" s="3461"/>
      <c r="SAG63" s="3461"/>
      <c r="SAH63" s="3461"/>
      <c r="SAI63" s="3461"/>
      <c r="SAJ63" s="3461"/>
      <c r="SAK63" s="3461"/>
      <c r="SAL63" s="3461"/>
      <c r="SAM63" s="3461"/>
      <c r="SAN63" s="3461"/>
      <c r="SAO63" s="3461"/>
      <c r="SAP63" s="3461"/>
      <c r="SAQ63" s="3461"/>
      <c r="SAR63" s="3461"/>
      <c r="SAS63" s="3461"/>
      <c r="SAT63" s="3461"/>
      <c r="SAU63" s="3461"/>
      <c r="SAV63" s="3461"/>
      <c r="SAW63" s="3461"/>
      <c r="SAX63" s="3461"/>
      <c r="SAY63" s="3461"/>
      <c r="SAZ63" s="3461"/>
      <c r="SBA63" s="3461"/>
      <c r="SBB63" s="3461"/>
      <c r="SBC63" s="3461"/>
      <c r="SBD63" s="3461"/>
      <c r="SBE63" s="3461"/>
      <c r="SBF63" s="3461"/>
      <c r="SBG63" s="3461"/>
      <c r="SBH63" s="3461"/>
      <c r="SBI63" s="3461"/>
      <c r="SBJ63" s="3461"/>
      <c r="SBK63" s="3461"/>
      <c r="SBL63" s="3461"/>
      <c r="SBM63" s="3461"/>
      <c r="SBN63" s="3461"/>
      <c r="SBO63" s="3461"/>
      <c r="SBP63" s="3461"/>
      <c r="SBQ63" s="3461"/>
      <c r="SBR63" s="3461"/>
      <c r="SBS63" s="3461"/>
      <c r="SBT63" s="3461"/>
      <c r="SBU63" s="3461"/>
      <c r="SBV63" s="3461"/>
      <c r="SBW63" s="3461"/>
      <c r="SBX63" s="3461"/>
      <c r="SBY63" s="3461"/>
      <c r="SBZ63" s="3461"/>
      <c r="SCA63" s="3461"/>
      <c r="SCB63" s="3461"/>
      <c r="SCC63" s="3461"/>
      <c r="SCD63" s="3461"/>
      <c r="SCE63" s="3461"/>
      <c r="SCF63" s="3461"/>
      <c r="SCG63" s="3461"/>
      <c r="SCH63" s="3461"/>
      <c r="SCI63" s="3461"/>
      <c r="SCJ63" s="3461"/>
      <c r="SCK63" s="3461"/>
      <c r="SCL63" s="3461"/>
      <c r="SCM63" s="3461"/>
      <c r="SCN63" s="3461"/>
      <c r="SCO63" s="3461"/>
      <c r="SCP63" s="3461"/>
      <c r="SCQ63" s="3461"/>
      <c r="SCR63" s="3461"/>
      <c r="SCS63" s="3461"/>
      <c r="SCT63" s="3461"/>
      <c r="SCU63" s="3461"/>
      <c r="SCV63" s="3461"/>
      <c r="SCW63" s="3461"/>
      <c r="SCX63" s="3461"/>
      <c r="SCY63" s="3461"/>
      <c r="SCZ63" s="3461"/>
      <c r="SDA63" s="3461"/>
      <c r="SDB63" s="3461"/>
      <c r="SDC63" s="3461"/>
      <c r="SDD63" s="3461"/>
      <c r="SDE63" s="3461"/>
      <c r="SDF63" s="3461"/>
      <c r="SDG63" s="3461"/>
      <c r="SDH63" s="3461"/>
      <c r="SDI63" s="3461"/>
      <c r="SDJ63" s="3461"/>
      <c r="SDK63" s="3461"/>
      <c r="SDL63" s="3461"/>
      <c r="SDM63" s="3461"/>
      <c r="SDN63" s="3461"/>
      <c r="SDO63" s="3461"/>
      <c r="SDP63" s="3461"/>
      <c r="SDQ63" s="3461"/>
      <c r="SDR63" s="3461"/>
      <c r="SDS63" s="3461"/>
      <c r="SDT63" s="3461"/>
      <c r="SDU63" s="3461"/>
      <c r="SDV63" s="3461"/>
      <c r="SDW63" s="3461"/>
      <c r="SDX63" s="3461"/>
      <c r="SDY63" s="3461"/>
      <c r="SDZ63" s="3461"/>
      <c r="SEA63" s="3461"/>
      <c r="SEB63" s="3461"/>
      <c r="SEC63" s="3461"/>
      <c r="SED63" s="3461"/>
      <c r="SEE63" s="3461"/>
      <c r="SEF63" s="3461"/>
      <c r="SEG63" s="3461"/>
      <c r="SEH63" s="3461"/>
      <c r="SEI63" s="3461"/>
      <c r="SEJ63" s="3461"/>
      <c r="SEK63" s="3461"/>
      <c r="SEL63" s="3461"/>
      <c r="SEM63" s="3461"/>
      <c r="SEN63" s="3461"/>
      <c r="SEO63" s="3461"/>
      <c r="SEP63" s="3461"/>
      <c r="SEQ63" s="3461"/>
      <c r="SER63" s="3461"/>
      <c r="SES63" s="3461"/>
      <c r="SET63" s="3461"/>
      <c r="SEU63" s="3461"/>
      <c r="SEV63" s="3461"/>
      <c r="SEW63" s="3461"/>
      <c r="SEX63" s="3461"/>
      <c r="SEY63" s="3461"/>
      <c r="SEZ63" s="3461"/>
      <c r="SFA63" s="3461"/>
      <c r="SFB63" s="3461"/>
      <c r="SFC63" s="3461"/>
      <c r="SFD63" s="3461"/>
      <c r="SFE63" s="3461"/>
      <c r="SFF63" s="3461"/>
      <c r="SFG63" s="3461"/>
      <c r="SFH63" s="3461"/>
      <c r="SFI63" s="3461"/>
      <c r="SFJ63" s="3461"/>
      <c r="SFK63" s="3461"/>
      <c r="SFL63" s="3461"/>
      <c r="SFM63" s="3461"/>
      <c r="SFN63" s="3461"/>
      <c r="SFO63" s="3461"/>
      <c r="SFP63" s="3461"/>
      <c r="SFQ63" s="3461"/>
      <c r="SFR63" s="3461"/>
      <c r="SFS63" s="3461"/>
      <c r="SFT63" s="3461"/>
      <c r="SFU63" s="3461"/>
      <c r="SFV63" s="3461"/>
      <c r="SFW63" s="3461"/>
      <c r="SFX63" s="3461"/>
      <c r="SFY63" s="3461"/>
      <c r="SFZ63" s="3461"/>
      <c r="SGA63" s="3461"/>
      <c r="SGB63" s="3461"/>
      <c r="SGC63" s="3461"/>
      <c r="SGD63" s="3461"/>
      <c r="SGE63" s="3461"/>
      <c r="SGF63" s="3461"/>
      <c r="SGG63" s="3461"/>
      <c r="SGH63" s="3461"/>
      <c r="SGI63" s="3461"/>
      <c r="SGJ63" s="3461"/>
      <c r="SGK63" s="3461"/>
      <c r="SGL63" s="3461"/>
      <c r="SGM63" s="3461"/>
      <c r="SGN63" s="3461"/>
      <c r="SGO63" s="3461"/>
      <c r="SGP63" s="3461"/>
      <c r="SGQ63" s="3461"/>
      <c r="SGR63" s="3461"/>
      <c r="SGS63" s="3461"/>
      <c r="SGT63" s="3461"/>
      <c r="SGU63" s="3461"/>
      <c r="SGV63" s="3461"/>
      <c r="SGW63" s="3461"/>
      <c r="SGX63" s="3461"/>
      <c r="SGY63" s="3461"/>
      <c r="SGZ63" s="3461"/>
      <c r="SHA63" s="3461"/>
      <c r="SHB63" s="3461"/>
      <c r="SHC63" s="3461"/>
      <c r="SHD63" s="3461"/>
      <c r="SHE63" s="3461"/>
      <c r="SHF63" s="3461"/>
      <c r="SHG63" s="3461"/>
      <c r="SHH63" s="3461"/>
      <c r="SHI63" s="3461"/>
      <c r="SHJ63" s="3461"/>
      <c r="SHK63" s="3461"/>
      <c r="SHL63" s="3461"/>
      <c r="SHM63" s="3461"/>
      <c r="SHN63" s="3461"/>
      <c r="SHO63" s="3461"/>
      <c r="SHP63" s="3461"/>
      <c r="SHQ63" s="3461"/>
      <c r="SHR63" s="3461"/>
      <c r="SHS63" s="3461"/>
      <c r="SHT63" s="3461"/>
      <c r="SHU63" s="3461"/>
      <c r="SHV63" s="3461"/>
      <c r="SHW63" s="3461"/>
      <c r="SHX63" s="3461"/>
      <c r="SHY63" s="3461"/>
      <c r="SHZ63" s="3461"/>
      <c r="SIA63" s="3461"/>
      <c r="SIB63" s="3461"/>
      <c r="SIC63" s="3461"/>
      <c r="SID63" s="3461"/>
      <c r="SIE63" s="3461"/>
      <c r="SIF63" s="3461"/>
      <c r="SIG63" s="3461"/>
      <c r="SIH63" s="3461"/>
      <c r="SII63" s="3461"/>
      <c r="SIJ63" s="3461"/>
      <c r="SIK63" s="3461"/>
      <c r="SIL63" s="3461"/>
      <c r="SIM63" s="3461"/>
      <c r="SIN63" s="3461"/>
      <c r="SIO63" s="3461"/>
      <c r="SIP63" s="3461"/>
      <c r="SIQ63" s="3461"/>
      <c r="SIR63" s="3461"/>
      <c r="SIS63" s="3461"/>
      <c r="SIT63" s="3461"/>
      <c r="SIU63" s="3461"/>
      <c r="SIV63" s="3461"/>
      <c r="SIW63" s="3461"/>
      <c r="SIX63" s="3461"/>
      <c r="SIY63" s="3461"/>
      <c r="SIZ63" s="3461"/>
      <c r="SJA63" s="3461"/>
      <c r="SJB63" s="3461"/>
      <c r="SJC63" s="3461"/>
      <c r="SJD63" s="3461"/>
      <c r="SJE63" s="3461"/>
      <c r="SJF63" s="3461"/>
      <c r="SJG63" s="3461"/>
      <c r="SJH63" s="3461"/>
      <c r="SJI63" s="3461"/>
      <c r="SJJ63" s="3461"/>
      <c r="SJK63" s="3461"/>
      <c r="SJL63" s="3461"/>
      <c r="SJM63" s="3461"/>
      <c r="SJN63" s="3461"/>
      <c r="SJO63" s="3461"/>
      <c r="SJP63" s="3461"/>
      <c r="SJQ63" s="3461"/>
      <c r="SJR63" s="3461"/>
      <c r="SJS63" s="3461"/>
      <c r="SJT63" s="3461"/>
      <c r="SJU63" s="3461"/>
      <c r="SJV63" s="3461"/>
      <c r="SJW63" s="3461"/>
      <c r="SJX63" s="3461"/>
      <c r="SJY63" s="3461"/>
      <c r="SJZ63" s="3461"/>
      <c r="SKA63" s="3461"/>
      <c r="SKB63" s="3461"/>
      <c r="SKC63" s="3461"/>
      <c r="SKD63" s="3461"/>
      <c r="SKE63" s="3461"/>
      <c r="SKF63" s="3461"/>
      <c r="SKG63" s="3461"/>
      <c r="SKH63" s="3461"/>
      <c r="SKI63" s="3461"/>
      <c r="SKJ63" s="3461"/>
      <c r="SKK63" s="3461"/>
      <c r="SKL63" s="3461"/>
      <c r="SKM63" s="3461"/>
      <c r="SKN63" s="3461"/>
      <c r="SKO63" s="3461"/>
      <c r="SKP63" s="3461"/>
      <c r="SKQ63" s="3461"/>
      <c r="SKR63" s="3461"/>
      <c r="SKS63" s="3461"/>
      <c r="SKT63" s="3461"/>
      <c r="SKU63" s="3461"/>
      <c r="SKV63" s="3461"/>
      <c r="SKW63" s="3461"/>
      <c r="SKX63" s="3461"/>
      <c r="SKY63" s="3461"/>
      <c r="SKZ63" s="3461"/>
      <c r="SLA63" s="3461"/>
      <c r="SLB63" s="3461"/>
      <c r="SLC63" s="3461"/>
      <c r="SLD63" s="3461"/>
      <c r="SLE63" s="3461"/>
      <c r="SLF63" s="3461"/>
      <c r="SLG63" s="3461"/>
      <c r="SLH63" s="3461"/>
      <c r="SLI63" s="3461"/>
      <c r="SLJ63" s="3461"/>
      <c r="SLK63" s="3461"/>
      <c r="SLL63" s="3461"/>
      <c r="SLM63" s="3461"/>
      <c r="SLN63" s="3461"/>
      <c r="SLO63" s="3461"/>
      <c r="SLP63" s="3461"/>
      <c r="SLQ63" s="3461"/>
      <c r="SLR63" s="3461"/>
      <c r="SLS63" s="3461"/>
      <c r="SLT63" s="3461"/>
      <c r="SLU63" s="3461"/>
      <c r="SLV63" s="3461"/>
      <c r="SLW63" s="3461"/>
      <c r="SLX63" s="3461"/>
      <c r="SLY63" s="3461"/>
      <c r="SLZ63" s="3461"/>
      <c r="SMA63" s="3461"/>
      <c r="SMB63" s="3461"/>
      <c r="SMC63" s="3461"/>
      <c r="SMD63" s="3461"/>
      <c r="SME63" s="3461"/>
      <c r="SMF63" s="3461"/>
      <c r="SMG63" s="3461"/>
      <c r="SMH63" s="3461"/>
      <c r="SMI63" s="3461"/>
      <c r="SMJ63" s="3461"/>
      <c r="SMK63" s="3461"/>
      <c r="SML63" s="3461"/>
      <c r="SMM63" s="3461"/>
      <c r="SMN63" s="3461"/>
      <c r="SMO63" s="3461"/>
      <c r="SMP63" s="3461"/>
      <c r="SMQ63" s="3461"/>
      <c r="SMR63" s="3461"/>
      <c r="SMS63" s="3461"/>
      <c r="SMT63" s="3461"/>
      <c r="SMU63" s="3461"/>
      <c r="SMV63" s="3461"/>
      <c r="SMW63" s="3461"/>
      <c r="SMX63" s="3461"/>
      <c r="SMY63" s="3461"/>
      <c r="SMZ63" s="3461"/>
      <c r="SNA63" s="3461"/>
      <c r="SNB63" s="3461"/>
      <c r="SNC63" s="3461"/>
      <c r="SND63" s="3461"/>
      <c r="SNE63" s="3461"/>
      <c r="SNF63" s="3461"/>
      <c r="SNG63" s="3461"/>
      <c r="SNH63" s="3461"/>
      <c r="SNI63" s="3461"/>
      <c r="SNJ63" s="3461"/>
      <c r="SNK63" s="3461"/>
      <c r="SNL63" s="3461"/>
      <c r="SNM63" s="3461"/>
      <c r="SNN63" s="3461"/>
      <c r="SNO63" s="3461"/>
      <c r="SNP63" s="3461"/>
      <c r="SNQ63" s="3461"/>
      <c r="SNR63" s="3461"/>
      <c r="SNS63" s="3461"/>
      <c r="SNT63" s="3461"/>
      <c r="SNU63" s="3461"/>
      <c r="SNV63" s="3461"/>
      <c r="SNW63" s="3461"/>
      <c r="SNX63" s="3461"/>
      <c r="SNY63" s="3461"/>
      <c r="SNZ63" s="3461"/>
      <c r="SOA63" s="3461"/>
      <c r="SOB63" s="3461"/>
      <c r="SOC63" s="3461"/>
      <c r="SOD63" s="3461"/>
      <c r="SOE63" s="3461"/>
      <c r="SOF63" s="3461"/>
      <c r="SOG63" s="3461"/>
      <c r="SOH63" s="3461"/>
      <c r="SOI63" s="3461"/>
      <c r="SOJ63" s="3461"/>
      <c r="SOK63" s="3461"/>
      <c r="SOL63" s="3461"/>
      <c r="SOM63" s="3461"/>
      <c r="SON63" s="3461"/>
      <c r="SOO63" s="3461"/>
      <c r="SOP63" s="3461"/>
      <c r="SOQ63" s="3461"/>
      <c r="SOR63" s="3461"/>
      <c r="SOS63" s="3461"/>
      <c r="SOT63" s="3461"/>
      <c r="SOU63" s="3461"/>
      <c r="SOV63" s="3461"/>
      <c r="SOW63" s="3461"/>
      <c r="SOX63" s="3461"/>
      <c r="SOY63" s="3461"/>
      <c r="SOZ63" s="3461"/>
      <c r="SPA63" s="3461"/>
      <c r="SPB63" s="3461"/>
      <c r="SPC63" s="3461"/>
      <c r="SPD63" s="3461"/>
      <c r="SPE63" s="3461"/>
      <c r="SPF63" s="3461"/>
      <c r="SPG63" s="3461"/>
      <c r="SPH63" s="3461"/>
      <c r="SPI63" s="3461"/>
      <c r="SPJ63" s="3461"/>
      <c r="SPK63" s="3461"/>
      <c r="SPL63" s="3461"/>
      <c r="SPM63" s="3461"/>
      <c r="SPN63" s="3461"/>
      <c r="SPO63" s="3461"/>
      <c r="SPP63" s="3461"/>
      <c r="SPQ63" s="3461"/>
      <c r="SPR63" s="3461"/>
      <c r="SPS63" s="3461"/>
      <c r="SPT63" s="3461"/>
      <c r="SPU63" s="3461"/>
      <c r="SPV63" s="3461"/>
      <c r="SPW63" s="3461"/>
      <c r="SPX63" s="3461"/>
      <c r="SPY63" s="3461"/>
      <c r="SPZ63" s="3461"/>
      <c r="SQA63" s="3461"/>
      <c r="SQB63" s="3461"/>
      <c r="SQC63" s="3461"/>
      <c r="SQD63" s="3461"/>
      <c r="SQE63" s="3461"/>
      <c r="SQF63" s="3461"/>
      <c r="SQG63" s="3461"/>
      <c r="SQH63" s="3461"/>
      <c r="SQI63" s="3461"/>
      <c r="SQJ63" s="3461"/>
      <c r="SQK63" s="3461"/>
      <c r="SQL63" s="3461"/>
      <c r="SQM63" s="3461"/>
      <c r="SQN63" s="3461"/>
      <c r="SQO63" s="3461"/>
      <c r="SQP63" s="3461"/>
      <c r="SQQ63" s="3461"/>
      <c r="SQR63" s="3461"/>
      <c r="SQS63" s="3461"/>
      <c r="SQT63" s="3461"/>
      <c r="SQU63" s="3461"/>
      <c r="SQV63" s="3461"/>
      <c r="SQW63" s="3461"/>
      <c r="SQX63" s="3461"/>
      <c r="SQY63" s="3461"/>
      <c r="SQZ63" s="3461"/>
      <c r="SRA63" s="3461"/>
      <c r="SRB63" s="3461"/>
      <c r="SRC63" s="3461"/>
      <c r="SRD63" s="3461"/>
      <c r="SRE63" s="3461"/>
      <c r="SRF63" s="3461"/>
      <c r="SRG63" s="3461"/>
      <c r="SRH63" s="3461"/>
      <c r="SRI63" s="3461"/>
      <c r="SRJ63" s="3461"/>
      <c r="SRK63" s="3461"/>
      <c r="SRL63" s="3461"/>
      <c r="SRM63" s="3461"/>
      <c r="SRN63" s="3461"/>
      <c r="SRO63" s="3461"/>
      <c r="SRP63" s="3461"/>
      <c r="SRQ63" s="3461"/>
      <c r="SRR63" s="3461"/>
      <c r="SRS63" s="3461"/>
      <c r="SRT63" s="3461"/>
      <c r="SRU63" s="3461"/>
      <c r="SRV63" s="3461"/>
      <c r="SRW63" s="3461"/>
      <c r="SRX63" s="3461"/>
      <c r="SRY63" s="3461"/>
      <c r="SRZ63" s="3461"/>
      <c r="SSA63" s="3461"/>
      <c r="SSB63" s="3461"/>
      <c r="SSC63" s="3461"/>
      <c r="SSD63" s="3461"/>
      <c r="SSE63" s="3461"/>
      <c r="SSF63" s="3461"/>
      <c r="SSG63" s="3461"/>
      <c r="SSH63" s="3461"/>
      <c r="SSI63" s="3461"/>
      <c r="SSJ63" s="3461"/>
      <c r="SSK63" s="3461"/>
      <c r="SSL63" s="3461"/>
      <c r="SSM63" s="3461"/>
      <c r="SSN63" s="3461"/>
      <c r="SSO63" s="3461"/>
      <c r="SSP63" s="3461"/>
      <c r="SSQ63" s="3461"/>
      <c r="SSR63" s="3461"/>
      <c r="SSS63" s="3461"/>
      <c r="SST63" s="3461"/>
      <c r="SSU63" s="3461"/>
      <c r="SSV63" s="3461"/>
      <c r="SSW63" s="3461"/>
      <c r="SSX63" s="3461"/>
      <c r="SSY63" s="3461"/>
      <c r="SSZ63" s="3461"/>
      <c r="STA63" s="3461"/>
      <c r="STB63" s="3461"/>
      <c r="STC63" s="3461"/>
      <c r="STD63" s="3461"/>
      <c r="STE63" s="3461"/>
      <c r="STF63" s="3461"/>
      <c r="STG63" s="3461"/>
      <c r="STH63" s="3461"/>
      <c r="STI63" s="3461"/>
      <c r="STJ63" s="3461"/>
      <c r="STK63" s="3461"/>
      <c r="STL63" s="3461"/>
      <c r="STM63" s="3461"/>
      <c r="STN63" s="3461"/>
      <c r="STO63" s="3461"/>
      <c r="STP63" s="3461"/>
      <c r="STQ63" s="3461"/>
      <c r="STR63" s="3461"/>
      <c r="STS63" s="3461"/>
      <c r="STT63" s="3461"/>
      <c r="STU63" s="3461"/>
      <c r="STV63" s="3461"/>
      <c r="STW63" s="3461"/>
      <c r="STX63" s="3461"/>
      <c r="STY63" s="3461"/>
      <c r="STZ63" s="3461"/>
      <c r="SUA63" s="3461"/>
      <c r="SUB63" s="3461"/>
      <c r="SUC63" s="3461"/>
      <c r="SUD63" s="3461"/>
      <c r="SUE63" s="3461"/>
      <c r="SUF63" s="3461"/>
      <c r="SUG63" s="3461"/>
      <c r="SUH63" s="3461"/>
      <c r="SUI63" s="3461"/>
      <c r="SUJ63" s="3461"/>
      <c r="SUK63" s="3461"/>
      <c r="SUL63" s="3461"/>
      <c r="SUM63" s="3461"/>
      <c r="SUN63" s="3461"/>
      <c r="SUO63" s="3461"/>
      <c r="SUP63" s="3461"/>
      <c r="SUQ63" s="3461"/>
      <c r="SUR63" s="3461"/>
      <c r="SUS63" s="3461"/>
      <c r="SUT63" s="3461"/>
      <c r="SUU63" s="3461"/>
      <c r="SUV63" s="3461"/>
      <c r="SUW63" s="3461"/>
      <c r="SUX63" s="3461"/>
      <c r="SUY63" s="3461"/>
      <c r="SUZ63" s="3461"/>
      <c r="SVA63" s="3461"/>
      <c r="SVB63" s="3461"/>
      <c r="SVC63" s="3461"/>
      <c r="SVD63" s="3461"/>
      <c r="SVE63" s="3461"/>
      <c r="SVF63" s="3461"/>
      <c r="SVG63" s="3461"/>
      <c r="SVH63" s="3461"/>
      <c r="SVI63" s="3461"/>
      <c r="SVJ63" s="3461"/>
      <c r="SVK63" s="3461"/>
      <c r="SVL63" s="3461"/>
      <c r="SVM63" s="3461"/>
      <c r="SVN63" s="3461"/>
      <c r="SVO63" s="3461"/>
      <c r="SVP63" s="3461"/>
      <c r="SVQ63" s="3461"/>
      <c r="SVR63" s="3461"/>
      <c r="SVS63" s="3461"/>
      <c r="SVT63" s="3461"/>
      <c r="SVU63" s="3461"/>
      <c r="SVV63" s="3461"/>
      <c r="SVW63" s="3461"/>
      <c r="SVX63" s="3461"/>
      <c r="SVY63" s="3461"/>
      <c r="SVZ63" s="3461"/>
      <c r="SWA63" s="3461"/>
      <c r="SWB63" s="3461"/>
      <c r="SWC63" s="3461"/>
      <c r="SWD63" s="3461"/>
      <c r="SWE63" s="3461"/>
      <c r="SWF63" s="3461"/>
      <c r="SWG63" s="3461"/>
      <c r="SWH63" s="3461"/>
      <c r="SWI63" s="3461"/>
      <c r="SWJ63" s="3461"/>
      <c r="SWK63" s="3461"/>
      <c r="SWL63" s="3461"/>
      <c r="SWM63" s="3461"/>
      <c r="SWN63" s="3461"/>
      <c r="SWO63" s="3461"/>
      <c r="SWP63" s="3461"/>
      <c r="SWQ63" s="3461"/>
      <c r="SWR63" s="3461"/>
      <c r="SWS63" s="3461"/>
      <c r="SWT63" s="3461"/>
      <c r="SWU63" s="3461"/>
      <c r="SWV63" s="3461"/>
      <c r="SWW63" s="3461"/>
      <c r="SWX63" s="3461"/>
      <c r="SWY63" s="3461"/>
      <c r="SWZ63" s="3461"/>
      <c r="SXA63" s="3461"/>
      <c r="SXB63" s="3461"/>
      <c r="SXC63" s="3461"/>
      <c r="SXD63" s="3461"/>
      <c r="SXE63" s="3461"/>
      <c r="SXF63" s="3461"/>
      <c r="SXG63" s="3461"/>
      <c r="SXH63" s="3461"/>
      <c r="SXI63" s="3461"/>
      <c r="SXJ63" s="3461"/>
      <c r="SXK63" s="3461"/>
      <c r="SXL63" s="3461"/>
      <c r="SXM63" s="3461"/>
      <c r="SXN63" s="3461"/>
      <c r="SXO63" s="3461"/>
      <c r="SXP63" s="3461"/>
      <c r="SXQ63" s="3461"/>
      <c r="SXR63" s="3461"/>
      <c r="SXS63" s="3461"/>
      <c r="SXT63" s="3461"/>
      <c r="SXU63" s="3461"/>
      <c r="SXV63" s="3461"/>
      <c r="SXW63" s="3461"/>
      <c r="SXX63" s="3461"/>
      <c r="SXY63" s="3461"/>
      <c r="SXZ63" s="3461"/>
      <c r="SYA63" s="3461"/>
      <c r="SYB63" s="3461"/>
      <c r="SYC63" s="3461"/>
      <c r="SYD63" s="3461"/>
      <c r="SYE63" s="3461"/>
      <c r="SYF63" s="3461"/>
      <c r="SYG63" s="3461"/>
      <c r="SYH63" s="3461"/>
      <c r="SYI63" s="3461"/>
      <c r="SYJ63" s="3461"/>
      <c r="SYK63" s="3461"/>
      <c r="SYL63" s="3461"/>
      <c r="SYM63" s="3461"/>
      <c r="SYN63" s="3461"/>
      <c r="SYO63" s="3461"/>
      <c r="SYP63" s="3461"/>
      <c r="SYQ63" s="3461"/>
      <c r="SYR63" s="3461"/>
      <c r="SYS63" s="3461"/>
      <c r="SYT63" s="3461"/>
      <c r="SYU63" s="3461"/>
      <c r="SYV63" s="3461"/>
      <c r="SYW63" s="3461"/>
      <c r="SYX63" s="3461"/>
      <c r="SYY63" s="3461"/>
      <c r="SYZ63" s="3461"/>
      <c r="SZA63" s="3461"/>
      <c r="SZB63" s="3461"/>
      <c r="SZC63" s="3461"/>
      <c r="SZD63" s="3461"/>
      <c r="SZE63" s="3461"/>
      <c r="SZF63" s="3461"/>
      <c r="SZG63" s="3461"/>
      <c r="SZH63" s="3461"/>
      <c r="SZI63" s="3461"/>
      <c r="SZJ63" s="3461"/>
      <c r="SZK63" s="3461"/>
      <c r="SZL63" s="3461"/>
      <c r="SZM63" s="3461"/>
      <c r="SZN63" s="3461"/>
      <c r="SZO63" s="3461"/>
      <c r="SZP63" s="3461"/>
      <c r="SZQ63" s="3461"/>
      <c r="SZR63" s="3461"/>
      <c r="SZS63" s="3461"/>
      <c r="SZT63" s="3461"/>
      <c r="SZU63" s="3461"/>
      <c r="SZV63" s="3461"/>
      <c r="SZW63" s="3461"/>
      <c r="SZX63" s="3461"/>
      <c r="SZY63" s="3461"/>
      <c r="SZZ63" s="3461"/>
      <c r="TAA63" s="3461"/>
      <c r="TAB63" s="3461"/>
      <c r="TAC63" s="3461"/>
      <c r="TAD63" s="3461"/>
      <c r="TAE63" s="3461"/>
      <c r="TAF63" s="3461"/>
      <c r="TAG63" s="3461"/>
      <c r="TAH63" s="3461"/>
      <c r="TAI63" s="3461"/>
      <c r="TAJ63" s="3461"/>
      <c r="TAK63" s="3461"/>
      <c r="TAL63" s="3461"/>
      <c r="TAM63" s="3461"/>
      <c r="TAN63" s="3461"/>
      <c r="TAO63" s="3461"/>
      <c r="TAP63" s="3461"/>
      <c r="TAQ63" s="3461"/>
      <c r="TAR63" s="3461"/>
      <c r="TAS63" s="3461"/>
      <c r="TAT63" s="3461"/>
      <c r="TAU63" s="3461"/>
      <c r="TAV63" s="3461"/>
      <c r="TAW63" s="3461"/>
      <c r="TAX63" s="3461"/>
      <c r="TAY63" s="3461"/>
      <c r="TAZ63" s="3461"/>
      <c r="TBA63" s="3461"/>
      <c r="TBB63" s="3461"/>
      <c r="TBC63" s="3461"/>
      <c r="TBD63" s="3461"/>
      <c r="TBE63" s="3461"/>
      <c r="TBF63" s="3461"/>
      <c r="TBG63" s="3461"/>
      <c r="TBH63" s="3461"/>
      <c r="TBI63" s="3461"/>
      <c r="TBJ63" s="3461"/>
      <c r="TBK63" s="3461"/>
      <c r="TBL63" s="3461"/>
      <c r="TBM63" s="3461"/>
      <c r="TBN63" s="3461"/>
      <c r="TBO63" s="3461"/>
      <c r="TBP63" s="3461"/>
      <c r="TBQ63" s="3461"/>
      <c r="TBR63" s="3461"/>
      <c r="TBS63" s="3461"/>
      <c r="TBT63" s="3461"/>
      <c r="TBU63" s="3461"/>
      <c r="TBV63" s="3461"/>
      <c r="TBW63" s="3461"/>
      <c r="TBX63" s="3461"/>
      <c r="TBY63" s="3461"/>
      <c r="TBZ63" s="3461"/>
      <c r="TCA63" s="3461"/>
      <c r="TCB63" s="3461"/>
      <c r="TCC63" s="3461"/>
      <c r="TCD63" s="3461"/>
      <c r="TCE63" s="3461"/>
      <c r="TCF63" s="3461"/>
      <c r="TCG63" s="3461"/>
      <c r="TCH63" s="3461"/>
      <c r="TCI63" s="3461"/>
      <c r="TCJ63" s="3461"/>
      <c r="TCK63" s="3461"/>
      <c r="TCL63" s="3461"/>
      <c r="TCM63" s="3461"/>
      <c r="TCN63" s="3461"/>
      <c r="TCO63" s="3461"/>
      <c r="TCP63" s="3461"/>
      <c r="TCQ63" s="3461"/>
      <c r="TCR63" s="3461"/>
      <c r="TCS63" s="3461"/>
      <c r="TCT63" s="3461"/>
      <c r="TCU63" s="3461"/>
      <c r="TCV63" s="3461"/>
      <c r="TCW63" s="3461"/>
      <c r="TCX63" s="3461"/>
      <c r="TCY63" s="3461"/>
      <c r="TCZ63" s="3461"/>
      <c r="TDA63" s="3461"/>
      <c r="TDB63" s="3461"/>
      <c r="TDC63" s="3461"/>
      <c r="TDD63" s="3461"/>
      <c r="TDE63" s="3461"/>
      <c r="TDF63" s="3461"/>
      <c r="TDG63" s="3461"/>
      <c r="TDH63" s="3461"/>
      <c r="TDI63" s="3461"/>
      <c r="TDJ63" s="3461"/>
      <c r="TDK63" s="3461"/>
      <c r="TDL63" s="3461"/>
      <c r="TDM63" s="3461"/>
      <c r="TDN63" s="3461"/>
      <c r="TDO63" s="3461"/>
      <c r="TDP63" s="3461"/>
      <c r="TDQ63" s="3461"/>
      <c r="TDR63" s="3461"/>
      <c r="TDS63" s="3461"/>
      <c r="TDT63" s="3461"/>
      <c r="TDU63" s="3461"/>
      <c r="TDV63" s="3461"/>
      <c r="TDW63" s="3461"/>
      <c r="TDX63" s="3461"/>
      <c r="TDY63" s="3461"/>
      <c r="TDZ63" s="3461"/>
      <c r="TEA63" s="3461"/>
      <c r="TEB63" s="3461"/>
      <c r="TEC63" s="3461"/>
      <c r="TED63" s="3461"/>
      <c r="TEE63" s="3461"/>
      <c r="TEF63" s="3461"/>
      <c r="TEG63" s="3461"/>
      <c r="TEH63" s="3461"/>
      <c r="TEI63" s="3461"/>
      <c r="TEJ63" s="3461"/>
      <c r="TEK63" s="3461"/>
      <c r="TEL63" s="3461"/>
      <c r="TEM63" s="3461"/>
      <c r="TEN63" s="3461"/>
      <c r="TEO63" s="3461"/>
      <c r="TEP63" s="3461"/>
      <c r="TEQ63" s="3461"/>
      <c r="TER63" s="3461"/>
      <c r="TES63" s="3461"/>
      <c r="TET63" s="3461"/>
      <c r="TEU63" s="3461"/>
      <c r="TEV63" s="3461"/>
      <c r="TEW63" s="3461"/>
      <c r="TEX63" s="3461"/>
      <c r="TEY63" s="3461"/>
      <c r="TEZ63" s="3461"/>
      <c r="TFA63" s="3461"/>
      <c r="TFB63" s="3461"/>
      <c r="TFC63" s="3461"/>
      <c r="TFD63" s="3461"/>
      <c r="TFE63" s="3461"/>
      <c r="TFF63" s="3461"/>
      <c r="TFG63" s="3461"/>
      <c r="TFH63" s="3461"/>
      <c r="TFI63" s="3461"/>
      <c r="TFJ63" s="3461"/>
      <c r="TFK63" s="3461"/>
      <c r="TFL63" s="3461"/>
      <c r="TFM63" s="3461"/>
      <c r="TFN63" s="3461"/>
      <c r="TFO63" s="3461"/>
      <c r="TFP63" s="3461"/>
      <c r="TFQ63" s="3461"/>
      <c r="TFR63" s="3461"/>
      <c r="TFS63" s="3461"/>
      <c r="TFT63" s="3461"/>
      <c r="TFU63" s="3461"/>
      <c r="TFV63" s="3461"/>
      <c r="TFW63" s="3461"/>
      <c r="TFX63" s="3461"/>
      <c r="TFY63" s="3461"/>
      <c r="TFZ63" s="3461"/>
      <c r="TGA63" s="3461"/>
      <c r="TGB63" s="3461"/>
      <c r="TGC63" s="3461"/>
      <c r="TGD63" s="3461"/>
      <c r="TGE63" s="3461"/>
      <c r="TGF63" s="3461"/>
      <c r="TGG63" s="3461"/>
      <c r="TGH63" s="3461"/>
      <c r="TGI63" s="3461"/>
      <c r="TGJ63" s="3461"/>
      <c r="TGK63" s="3461"/>
      <c r="TGL63" s="3461"/>
      <c r="TGM63" s="3461"/>
      <c r="TGN63" s="3461"/>
      <c r="TGO63" s="3461"/>
      <c r="TGP63" s="3461"/>
      <c r="TGQ63" s="3461"/>
      <c r="TGR63" s="3461"/>
      <c r="TGS63" s="3461"/>
      <c r="TGT63" s="3461"/>
      <c r="TGU63" s="3461"/>
      <c r="TGV63" s="3461"/>
      <c r="TGW63" s="3461"/>
      <c r="TGX63" s="3461"/>
      <c r="TGY63" s="3461"/>
      <c r="TGZ63" s="3461"/>
      <c r="THA63" s="3461"/>
      <c r="THB63" s="3461"/>
      <c r="THC63" s="3461"/>
      <c r="THD63" s="3461"/>
      <c r="THE63" s="3461"/>
      <c r="THF63" s="3461"/>
      <c r="THG63" s="3461"/>
      <c r="THH63" s="3461"/>
      <c r="THI63" s="3461"/>
      <c r="THJ63" s="3461"/>
      <c r="THK63" s="3461"/>
      <c r="THL63" s="3461"/>
      <c r="THM63" s="3461"/>
      <c r="THN63" s="3461"/>
      <c r="THO63" s="3461"/>
      <c r="THP63" s="3461"/>
      <c r="THQ63" s="3461"/>
      <c r="THR63" s="3461"/>
      <c r="THS63" s="3461"/>
      <c r="THT63" s="3461"/>
      <c r="THU63" s="3461"/>
      <c r="THV63" s="3461"/>
      <c r="THW63" s="3461"/>
      <c r="THX63" s="3461"/>
      <c r="THY63" s="3461"/>
      <c r="THZ63" s="3461"/>
      <c r="TIA63" s="3461"/>
      <c r="TIB63" s="3461"/>
      <c r="TIC63" s="3461"/>
      <c r="TID63" s="3461"/>
      <c r="TIE63" s="3461"/>
      <c r="TIF63" s="3461"/>
      <c r="TIG63" s="3461"/>
      <c r="TIH63" s="3461"/>
      <c r="TII63" s="3461"/>
      <c r="TIJ63" s="3461"/>
      <c r="TIK63" s="3461"/>
      <c r="TIL63" s="3461"/>
      <c r="TIM63" s="3461"/>
      <c r="TIN63" s="3461"/>
      <c r="TIO63" s="3461"/>
      <c r="TIP63" s="3461"/>
      <c r="TIQ63" s="3461"/>
      <c r="TIR63" s="3461"/>
      <c r="TIS63" s="3461"/>
      <c r="TIT63" s="3461"/>
      <c r="TIU63" s="3461"/>
      <c r="TIV63" s="3461"/>
      <c r="TIW63" s="3461"/>
      <c r="TIX63" s="3461"/>
      <c r="TIY63" s="3461"/>
      <c r="TIZ63" s="3461"/>
      <c r="TJA63" s="3461"/>
      <c r="TJB63" s="3461"/>
      <c r="TJC63" s="3461"/>
      <c r="TJD63" s="3461"/>
      <c r="TJE63" s="3461"/>
      <c r="TJF63" s="3461"/>
      <c r="TJG63" s="3461"/>
      <c r="TJH63" s="3461"/>
      <c r="TJI63" s="3461"/>
      <c r="TJJ63" s="3461"/>
      <c r="TJK63" s="3461"/>
      <c r="TJL63" s="3461"/>
      <c r="TJM63" s="3461"/>
      <c r="TJN63" s="3461"/>
      <c r="TJO63" s="3461"/>
      <c r="TJP63" s="3461"/>
      <c r="TJQ63" s="3461"/>
      <c r="TJR63" s="3461"/>
      <c r="TJS63" s="3461"/>
      <c r="TJT63" s="3461"/>
      <c r="TJU63" s="3461"/>
      <c r="TJV63" s="3461"/>
      <c r="TJW63" s="3461"/>
      <c r="TJX63" s="3461"/>
      <c r="TJY63" s="3461"/>
      <c r="TJZ63" s="3461"/>
      <c r="TKA63" s="3461"/>
      <c r="TKB63" s="3461"/>
      <c r="TKC63" s="3461"/>
      <c r="TKD63" s="3461"/>
      <c r="TKE63" s="3461"/>
      <c r="TKF63" s="3461"/>
      <c r="TKG63" s="3461"/>
      <c r="TKH63" s="3461"/>
      <c r="TKI63" s="3461"/>
      <c r="TKJ63" s="3461"/>
      <c r="TKK63" s="3461"/>
      <c r="TKL63" s="3461"/>
      <c r="TKM63" s="3461"/>
      <c r="TKN63" s="3461"/>
      <c r="TKO63" s="3461"/>
      <c r="TKP63" s="3461"/>
      <c r="TKQ63" s="3461"/>
      <c r="TKR63" s="3461"/>
      <c r="TKS63" s="3461"/>
      <c r="TKT63" s="3461"/>
      <c r="TKU63" s="3461"/>
      <c r="TKV63" s="3461"/>
      <c r="TKW63" s="3461"/>
      <c r="TKX63" s="3461"/>
      <c r="TKY63" s="3461"/>
      <c r="TKZ63" s="3461"/>
      <c r="TLA63" s="3461"/>
      <c r="TLB63" s="3461"/>
      <c r="TLC63" s="3461"/>
      <c r="TLD63" s="3461"/>
      <c r="TLE63" s="3461"/>
      <c r="TLF63" s="3461"/>
      <c r="TLG63" s="3461"/>
      <c r="TLH63" s="3461"/>
      <c r="TLI63" s="3461"/>
      <c r="TLJ63" s="3461"/>
      <c r="TLK63" s="3461"/>
      <c r="TLL63" s="3461"/>
      <c r="TLM63" s="3461"/>
      <c r="TLN63" s="3461"/>
      <c r="TLO63" s="3461"/>
      <c r="TLP63" s="3461"/>
      <c r="TLQ63" s="3461"/>
      <c r="TLR63" s="3461"/>
      <c r="TLS63" s="3461"/>
      <c r="TLT63" s="3461"/>
      <c r="TLU63" s="3461"/>
      <c r="TLV63" s="3461"/>
      <c r="TLW63" s="3461"/>
      <c r="TLX63" s="3461"/>
      <c r="TLY63" s="3461"/>
      <c r="TLZ63" s="3461"/>
      <c r="TMA63" s="3461"/>
      <c r="TMB63" s="3461"/>
      <c r="TMC63" s="3461"/>
      <c r="TMD63" s="3461"/>
      <c r="TME63" s="3461"/>
      <c r="TMF63" s="3461"/>
      <c r="TMG63" s="3461"/>
      <c r="TMH63" s="3461"/>
      <c r="TMI63" s="3461"/>
      <c r="TMJ63" s="3461"/>
      <c r="TMK63" s="3461"/>
      <c r="TML63" s="3461"/>
      <c r="TMM63" s="3461"/>
      <c r="TMN63" s="3461"/>
      <c r="TMO63" s="3461"/>
      <c r="TMP63" s="3461"/>
      <c r="TMQ63" s="3461"/>
      <c r="TMR63" s="3461"/>
      <c r="TMS63" s="3461"/>
      <c r="TMT63" s="3461"/>
      <c r="TMU63" s="3461"/>
      <c r="TMV63" s="3461"/>
      <c r="TMW63" s="3461"/>
      <c r="TMX63" s="3461"/>
      <c r="TMY63" s="3461"/>
      <c r="TMZ63" s="3461"/>
      <c r="TNA63" s="3461"/>
      <c r="TNB63" s="3461"/>
      <c r="TNC63" s="3461"/>
      <c r="TND63" s="3461"/>
      <c r="TNE63" s="3461"/>
      <c r="TNF63" s="3461"/>
      <c r="TNG63" s="3461"/>
      <c r="TNH63" s="3461"/>
      <c r="TNI63" s="3461"/>
      <c r="TNJ63" s="3461"/>
      <c r="TNK63" s="3461"/>
      <c r="TNL63" s="3461"/>
      <c r="TNM63" s="3461"/>
      <c r="TNN63" s="3461"/>
      <c r="TNO63" s="3461"/>
      <c r="TNP63" s="3461"/>
      <c r="TNQ63" s="3461"/>
      <c r="TNR63" s="3461"/>
      <c r="TNS63" s="3461"/>
      <c r="TNT63" s="3461"/>
      <c r="TNU63" s="3461"/>
      <c r="TNV63" s="3461"/>
      <c r="TNW63" s="3461"/>
      <c r="TNX63" s="3461"/>
      <c r="TNY63" s="3461"/>
      <c r="TNZ63" s="3461"/>
      <c r="TOA63" s="3461"/>
      <c r="TOB63" s="3461"/>
      <c r="TOC63" s="3461"/>
      <c r="TOD63" s="3461"/>
      <c r="TOE63" s="3461"/>
      <c r="TOF63" s="3461"/>
      <c r="TOG63" s="3461"/>
      <c r="TOH63" s="3461"/>
      <c r="TOI63" s="3461"/>
      <c r="TOJ63" s="3461"/>
      <c r="TOK63" s="3461"/>
      <c r="TOL63" s="3461"/>
      <c r="TOM63" s="3461"/>
      <c r="TON63" s="3461"/>
      <c r="TOO63" s="3461"/>
      <c r="TOP63" s="3461"/>
      <c r="TOQ63" s="3461"/>
      <c r="TOR63" s="3461"/>
      <c r="TOS63" s="3461"/>
      <c r="TOT63" s="3461"/>
      <c r="TOU63" s="3461"/>
      <c r="TOV63" s="3461"/>
      <c r="TOW63" s="3461"/>
      <c r="TOX63" s="3461"/>
      <c r="TOY63" s="3461"/>
      <c r="TOZ63" s="3461"/>
      <c r="TPA63" s="3461"/>
      <c r="TPB63" s="3461"/>
      <c r="TPC63" s="3461"/>
      <c r="TPD63" s="3461"/>
      <c r="TPE63" s="3461"/>
      <c r="TPF63" s="3461"/>
      <c r="TPG63" s="3461"/>
      <c r="TPH63" s="3461"/>
      <c r="TPI63" s="3461"/>
      <c r="TPJ63" s="3461"/>
      <c r="TPK63" s="3461"/>
      <c r="TPL63" s="3461"/>
      <c r="TPM63" s="3461"/>
      <c r="TPN63" s="3461"/>
      <c r="TPO63" s="3461"/>
      <c r="TPP63" s="3461"/>
      <c r="TPQ63" s="3461"/>
      <c r="TPR63" s="3461"/>
      <c r="TPS63" s="3461"/>
      <c r="TPT63" s="3461"/>
      <c r="TPU63" s="3461"/>
      <c r="TPV63" s="3461"/>
      <c r="TPW63" s="3461"/>
      <c r="TPX63" s="3461"/>
      <c r="TPY63" s="3461"/>
      <c r="TPZ63" s="3461"/>
      <c r="TQA63" s="3461"/>
      <c r="TQB63" s="3461"/>
      <c r="TQC63" s="3461"/>
      <c r="TQD63" s="3461"/>
      <c r="TQE63" s="3461"/>
      <c r="TQF63" s="3461"/>
      <c r="TQG63" s="3461"/>
      <c r="TQH63" s="3461"/>
      <c r="TQI63" s="3461"/>
      <c r="TQJ63" s="3461"/>
      <c r="TQK63" s="3461"/>
      <c r="TQL63" s="3461"/>
      <c r="TQM63" s="3461"/>
      <c r="TQN63" s="3461"/>
      <c r="TQO63" s="3461"/>
      <c r="TQP63" s="3461"/>
      <c r="TQQ63" s="3461"/>
      <c r="TQR63" s="3461"/>
      <c r="TQS63" s="3461"/>
      <c r="TQT63" s="3461"/>
      <c r="TQU63" s="3461"/>
      <c r="TQV63" s="3461"/>
      <c r="TQW63" s="3461"/>
      <c r="TQX63" s="3461"/>
      <c r="TQY63" s="3461"/>
      <c r="TQZ63" s="3461"/>
      <c r="TRA63" s="3461"/>
      <c r="TRB63" s="3461"/>
      <c r="TRC63" s="3461"/>
      <c r="TRD63" s="3461"/>
      <c r="TRE63" s="3461"/>
      <c r="TRF63" s="3461"/>
      <c r="TRG63" s="3461"/>
      <c r="TRH63" s="3461"/>
      <c r="TRI63" s="3461"/>
      <c r="TRJ63" s="3461"/>
      <c r="TRK63" s="3461"/>
      <c r="TRL63" s="3461"/>
      <c r="TRM63" s="3461"/>
      <c r="TRN63" s="3461"/>
      <c r="TRO63" s="3461"/>
      <c r="TRP63" s="3461"/>
      <c r="TRQ63" s="3461"/>
      <c r="TRR63" s="3461"/>
      <c r="TRS63" s="3461"/>
      <c r="TRT63" s="3461"/>
      <c r="TRU63" s="3461"/>
      <c r="TRV63" s="3461"/>
      <c r="TRW63" s="3461"/>
      <c r="TRX63" s="3461"/>
      <c r="TRY63" s="3461"/>
      <c r="TRZ63" s="3461"/>
      <c r="TSA63" s="3461"/>
      <c r="TSB63" s="3461"/>
      <c r="TSC63" s="3461"/>
      <c r="TSD63" s="3461"/>
      <c r="TSE63" s="3461"/>
      <c r="TSF63" s="3461"/>
      <c r="TSG63" s="3461"/>
      <c r="TSH63" s="3461"/>
      <c r="TSI63" s="3461"/>
      <c r="TSJ63" s="3461"/>
      <c r="TSK63" s="3461"/>
      <c r="TSL63" s="3461"/>
      <c r="TSM63" s="3461"/>
      <c r="TSN63" s="3461"/>
      <c r="TSO63" s="3461"/>
      <c r="TSP63" s="3461"/>
      <c r="TSQ63" s="3461"/>
      <c r="TSR63" s="3461"/>
      <c r="TSS63" s="3461"/>
      <c r="TST63" s="3461"/>
      <c r="TSU63" s="3461"/>
      <c r="TSV63" s="3461"/>
      <c r="TSW63" s="3461"/>
      <c r="TSX63" s="3461"/>
      <c r="TSY63" s="3461"/>
      <c r="TSZ63" s="3461"/>
      <c r="TTA63" s="3461"/>
      <c r="TTB63" s="3461"/>
      <c r="TTC63" s="3461"/>
      <c r="TTD63" s="3461"/>
      <c r="TTE63" s="3461"/>
      <c r="TTF63" s="3461"/>
      <c r="TTG63" s="3461"/>
      <c r="TTH63" s="3461"/>
      <c r="TTI63" s="3461"/>
      <c r="TTJ63" s="3461"/>
      <c r="TTK63" s="3461"/>
      <c r="TTL63" s="3461"/>
      <c r="TTM63" s="3461"/>
      <c r="TTN63" s="3461"/>
      <c r="TTO63" s="3461"/>
      <c r="TTP63" s="3461"/>
      <c r="TTQ63" s="3461"/>
      <c r="TTR63" s="3461"/>
      <c r="TTS63" s="3461"/>
      <c r="TTT63" s="3461"/>
      <c r="TTU63" s="3461"/>
      <c r="TTV63" s="3461"/>
      <c r="TTW63" s="3461"/>
      <c r="TTX63" s="3461"/>
      <c r="TTY63" s="3461"/>
      <c r="TTZ63" s="3461"/>
      <c r="TUA63" s="3461"/>
      <c r="TUB63" s="3461"/>
      <c r="TUC63" s="3461"/>
      <c r="TUD63" s="3461"/>
      <c r="TUE63" s="3461"/>
      <c r="TUF63" s="3461"/>
      <c r="TUG63" s="3461"/>
      <c r="TUH63" s="3461"/>
      <c r="TUI63" s="3461"/>
      <c r="TUJ63" s="3461"/>
      <c r="TUK63" s="3461"/>
      <c r="TUL63" s="3461"/>
      <c r="TUM63" s="3461"/>
      <c r="TUN63" s="3461"/>
      <c r="TUO63" s="3461"/>
      <c r="TUP63" s="3461"/>
      <c r="TUQ63" s="3461"/>
      <c r="TUR63" s="3461"/>
      <c r="TUS63" s="3461"/>
      <c r="TUT63" s="3461"/>
      <c r="TUU63" s="3461"/>
      <c r="TUV63" s="3461"/>
      <c r="TUW63" s="3461"/>
      <c r="TUX63" s="3461"/>
      <c r="TUY63" s="3461"/>
      <c r="TUZ63" s="3461"/>
      <c r="TVA63" s="3461"/>
      <c r="TVB63" s="3461"/>
      <c r="TVC63" s="3461"/>
      <c r="TVD63" s="3461"/>
      <c r="TVE63" s="3461"/>
      <c r="TVF63" s="3461"/>
      <c r="TVG63" s="3461"/>
      <c r="TVH63" s="3461"/>
      <c r="TVI63" s="3461"/>
      <c r="TVJ63" s="3461"/>
      <c r="TVK63" s="3461"/>
      <c r="TVL63" s="3461"/>
      <c r="TVM63" s="3461"/>
      <c r="TVN63" s="3461"/>
      <c r="TVO63" s="3461"/>
      <c r="TVP63" s="3461"/>
      <c r="TVQ63" s="3461"/>
      <c r="TVR63" s="3461"/>
      <c r="TVS63" s="3461"/>
      <c r="TVT63" s="3461"/>
      <c r="TVU63" s="3461"/>
      <c r="TVV63" s="3461"/>
      <c r="TVW63" s="3461"/>
      <c r="TVX63" s="3461"/>
      <c r="TVY63" s="3461"/>
      <c r="TVZ63" s="3461"/>
      <c r="TWA63" s="3461"/>
      <c r="TWB63" s="3461"/>
      <c r="TWC63" s="3461"/>
      <c r="TWD63" s="3461"/>
      <c r="TWE63" s="3461"/>
      <c r="TWF63" s="3461"/>
      <c r="TWG63" s="3461"/>
      <c r="TWH63" s="3461"/>
      <c r="TWI63" s="3461"/>
      <c r="TWJ63" s="3461"/>
      <c r="TWK63" s="3461"/>
      <c r="TWL63" s="3461"/>
      <c r="TWM63" s="3461"/>
      <c r="TWN63" s="3461"/>
      <c r="TWO63" s="3461"/>
      <c r="TWP63" s="3461"/>
      <c r="TWQ63" s="3461"/>
      <c r="TWR63" s="3461"/>
      <c r="TWS63" s="3461"/>
      <c r="TWT63" s="3461"/>
      <c r="TWU63" s="3461"/>
      <c r="TWV63" s="3461"/>
      <c r="TWW63" s="3461"/>
      <c r="TWX63" s="3461"/>
      <c r="TWY63" s="3461"/>
      <c r="TWZ63" s="3461"/>
      <c r="TXA63" s="3461"/>
      <c r="TXB63" s="3461"/>
      <c r="TXC63" s="3461"/>
      <c r="TXD63" s="3461"/>
      <c r="TXE63" s="3461"/>
      <c r="TXF63" s="3461"/>
      <c r="TXG63" s="3461"/>
      <c r="TXH63" s="3461"/>
      <c r="TXI63" s="3461"/>
      <c r="TXJ63" s="3461"/>
      <c r="TXK63" s="3461"/>
      <c r="TXL63" s="3461"/>
      <c r="TXM63" s="3461"/>
      <c r="TXN63" s="3461"/>
      <c r="TXO63" s="3461"/>
      <c r="TXP63" s="3461"/>
      <c r="TXQ63" s="3461"/>
      <c r="TXR63" s="3461"/>
      <c r="TXS63" s="3461"/>
      <c r="TXT63" s="3461"/>
      <c r="TXU63" s="3461"/>
      <c r="TXV63" s="3461"/>
      <c r="TXW63" s="3461"/>
      <c r="TXX63" s="3461"/>
      <c r="TXY63" s="3461"/>
      <c r="TXZ63" s="3461"/>
      <c r="TYA63" s="3461"/>
      <c r="TYB63" s="3461"/>
      <c r="TYC63" s="3461"/>
      <c r="TYD63" s="3461"/>
      <c r="TYE63" s="3461"/>
      <c r="TYF63" s="3461"/>
      <c r="TYG63" s="3461"/>
      <c r="TYH63" s="3461"/>
      <c r="TYI63" s="3461"/>
      <c r="TYJ63" s="3461"/>
      <c r="TYK63" s="3461"/>
      <c r="TYL63" s="3461"/>
      <c r="TYM63" s="3461"/>
      <c r="TYN63" s="3461"/>
      <c r="TYO63" s="3461"/>
      <c r="TYP63" s="3461"/>
      <c r="TYQ63" s="3461"/>
      <c r="TYR63" s="3461"/>
      <c r="TYS63" s="3461"/>
      <c r="TYT63" s="3461"/>
      <c r="TYU63" s="3461"/>
      <c r="TYV63" s="3461"/>
      <c r="TYW63" s="3461"/>
      <c r="TYX63" s="3461"/>
      <c r="TYY63" s="3461"/>
      <c r="TYZ63" s="3461"/>
      <c r="TZA63" s="3461"/>
      <c r="TZB63" s="3461"/>
      <c r="TZC63" s="3461"/>
      <c r="TZD63" s="3461"/>
      <c r="TZE63" s="3461"/>
      <c r="TZF63" s="3461"/>
      <c r="TZG63" s="3461"/>
      <c r="TZH63" s="3461"/>
      <c r="TZI63" s="3461"/>
      <c r="TZJ63" s="3461"/>
      <c r="TZK63" s="3461"/>
      <c r="TZL63" s="3461"/>
      <c r="TZM63" s="3461"/>
      <c r="TZN63" s="3461"/>
      <c r="TZO63" s="3461"/>
      <c r="TZP63" s="3461"/>
      <c r="TZQ63" s="3461"/>
      <c r="TZR63" s="3461"/>
      <c r="TZS63" s="3461"/>
      <c r="TZT63" s="3461"/>
      <c r="TZU63" s="3461"/>
      <c r="TZV63" s="3461"/>
      <c r="TZW63" s="3461"/>
      <c r="TZX63" s="3461"/>
      <c r="TZY63" s="3461"/>
      <c r="TZZ63" s="3461"/>
      <c r="UAA63" s="3461"/>
      <c r="UAB63" s="3461"/>
      <c r="UAC63" s="3461"/>
      <c r="UAD63" s="3461"/>
      <c r="UAE63" s="3461"/>
      <c r="UAF63" s="3461"/>
      <c r="UAG63" s="3461"/>
      <c r="UAH63" s="3461"/>
      <c r="UAI63" s="3461"/>
      <c r="UAJ63" s="3461"/>
      <c r="UAK63" s="3461"/>
      <c r="UAL63" s="3461"/>
      <c r="UAM63" s="3461"/>
      <c r="UAN63" s="3461"/>
      <c r="UAO63" s="3461"/>
      <c r="UAP63" s="3461"/>
      <c r="UAQ63" s="3461"/>
      <c r="UAR63" s="3461"/>
      <c r="UAS63" s="3461"/>
      <c r="UAT63" s="3461"/>
      <c r="UAU63" s="3461"/>
      <c r="UAV63" s="3461"/>
      <c r="UAW63" s="3461"/>
      <c r="UAX63" s="3461"/>
      <c r="UAY63" s="3461"/>
      <c r="UAZ63" s="3461"/>
      <c r="UBA63" s="3461"/>
      <c r="UBB63" s="3461"/>
      <c r="UBC63" s="3461"/>
      <c r="UBD63" s="3461"/>
      <c r="UBE63" s="3461"/>
      <c r="UBF63" s="3461"/>
      <c r="UBG63" s="3461"/>
      <c r="UBH63" s="3461"/>
      <c r="UBI63" s="3461"/>
      <c r="UBJ63" s="3461"/>
      <c r="UBK63" s="3461"/>
      <c r="UBL63" s="3461"/>
      <c r="UBM63" s="3461"/>
      <c r="UBN63" s="3461"/>
      <c r="UBO63" s="3461"/>
      <c r="UBP63" s="3461"/>
      <c r="UBQ63" s="3461"/>
      <c r="UBR63" s="3461"/>
      <c r="UBS63" s="3461"/>
      <c r="UBT63" s="3461"/>
      <c r="UBU63" s="3461"/>
      <c r="UBV63" s="3461"/>
      <c r="UBW63" s="3461"/>
      <c r="UBX63" s="3461"/>
      <c r="UBY63" s="3461"/>
      <c r="UBZ63" s="3461"/>
      <c r="UCA63" s="3461"/>
      <c r="UCB63" s="3461"/>
      <c r="UCC63" s="3461"/>
      <c r="UCD63" s="3461"/>
      <c r="UCE63" s="3461"/>
      <c r="UCF63" s="3461"/>
      <c r="UCG63" s="3461"/>
      <c r="UCH63" s="3461"/>
      <c r="UCI63" s="3461"/>
      <c r="UCJ63" s="3461"/>
      <c r="UCK63" s="3461"/>
      <c r="UCL63" s="3461"/>
      <c r="UCM63" s="3461"/>
      <c r="UCN63" s="3461"/>
      <c r="UCO63" s="3461"/>
      <c r="UCP63" s="3461"/>
      <c r="UCQ63" s="3461"/>
      <c r="UCR63" s="3461"/>
      <c r="UCS63" s="3461"/>
      <c r="UCT63" s="3461"/>
      <c r="UCU63" s="3461"/>
      <c r="UCV63" s="3461"/>
      <c r="UCW63" s="3461"/>
      <c r="UCX63" s="3461"/>
      <c r="UCY63" s="3461"/>
      <c r="UCZ63" s="3461"/>
      <c r="UDA63" s="3461"/>
      <c r="UDB63" s="3461"/>
      <c r="UDC63" s="3461"/>
      <c r="UDD63" s="3461"/>
      <c r="UDE63" s="3461"/>
      <c r="UDF63" s="3461"/>
      <c r="UDG63" s="3461"/>
      <c r="UDH63" s="3461"/>
      <c r="UDI63" s="3461"/>
      <c r="UDJ63" s="3461"/>
      <c r="UDK63" s="3461"/>
      <c r="UDL63" s="3461"/>
      <c r="UDM63" s="3461"/>
      <c r="UDN63" s="3461"/>
      <c r="UDO63" s="3461"/>
      <c r="UDP63" s="3461"/>
      <c r="UDQ63" s="3461"/>
      <c r="UDR63" s="3461"/>
      <c r="UDS63" s="3461"/>
      <c r="UDT63" s="3461"/>
      <c r="UDU63" s="3461"/>
      <c r="UDV63" s="3461"/>
      <c r="UDW63" s="3461"/>
      <c r="UDX63" s="3461"/>
      <c r="UDY63" s="3461"/>
      <c r="UDZ63" s="3461"/>
      <c r="UEA63" s="3461"/>
      <c r="UEB63" s="3461"/>
      <c r="UEC63" s="3461"/>
      <c r="UED63" s="3461"/>
      <c r="UEE63" s="3461"/>
      <c r="UEF63" s="3461"/>
      <c r="UEG63" s="3461"/>
      <c r="UEH63" s="3461"/>
      <c r="UEI63" s="3461"/>
      <c r="UEJ63" s="3461"/>
      <c r="UEK63" s="3461"/>
      <c r="UEL63" s="3461"/>
      <c r="UEM63" s="3461"/>
      <c r="UEN63" s="3461"/>
      <c r="UEO63" s="3461"/>
      <c r="UEP63" s="3461"/>
      <c r="UEQ63" s="3461"/>
      <c r="UER63" s="3461"/>
      <c r="UES63" s="3461"/>
      <c r="UET63" s="3461"/>
      <c r="UEU63" s="3461"/>
      <c r="UEV63" s="3461"/>
      <c r="UEW63" s="3461"/>
      <c r="UEX63" s="3461"/>
      <c r="UEY63" s="3461"/>
      <c r="UEZ63" s="3461"/>
      <c r="UFA63" s="3461"/>
      <c r="UFB63" s="3461"/>
      <c r="UFC63" s="3461"/>
      <c r="UFD63" s="3461"/>
      <c r="UFE63" s="3461"/>
      <c r="UFF63" s="3461"/>
      <c r="UFG63" s="3461"/>
      <c r="UFH63" s="3461"/>
      <c r="UFI63" s="3461"/>
      <c r="UFJ63" s="3461"/>
      <c r="UFK63" s="3461"/>
      <c r="UFL63" s="3461"/>
      <c r="UFM63" s="3461"/>
      <c r="UFN63" s="3461"/>
      <c r="UFO63" s="3461"/>
      <c r="UFP63" s="3461"/>
      <c r="UFQ63" s="3461"/>
      <c r="UFR63" s="3461"/>
      <c r="UFS63" s="3461"/>
      <c r="UFT63" s="3461"/>
      <c r="UFU63" s="3461"/>
      <c r="UFV63" s="3461"/>
      <c r="UFW63" s="3461"/>
      <c r="UFX63" s="3461"/>
      <c r="UFY63" s="3461"/>
      <c r="UFZ63" s="3461"/>
      <c r="UGA63" s="3461"/>
      <c r="UGB63" s="3461"/>
      <c r="UGC63" s="3461"/>
      <c r="UGD63" s="3461"/>
      <c r="UGE63" s="3461"/>
      <c r="UGF63" s="3461"/>
      <c r="UGG63" s="3461"/>
      <c r="UGH63" s="3461"/>
      <c r="UGI63" s="3461"/>
      <c r="UGJ63" s="3461"/>
      <c r="UGK63" s="3461"/>
      <c r="UGL63" s="3461"/>
      <c r="UGM63" s="3461"/>
      <c r="UGN63" s="3461"/>
      <c r="UGO63" s="3461"/>
      <c r="UGP63" s="3461"/>
      <c r="UGQ63" s="3461"/>
      <c r="UGR63" s="3461"/>
      <c r="UGS63" s="3461"/>
      <c r="UGT63" s="3461"/>
      <c r="UGU63" s="3461"/>
      <c r="UGV63" s="3461"/>
      <c r="UGW63" s="3461"/>
      <c r="UGX63" s="3461"/>
      <c r="UGY63" s="3461"/>
      <c r="UGZ63" s="3461"/>
      <c r="UHA63" s="3461"/>
      <c r="UHB63" s="3461"/>
      <c r="UHC63" s="3461"/>
      <c r="UHD63" s="3461"/>
      <c r="UHE63" s="3461"/>
      <c r="UHF63" s="3461"/>
      <c r="UHG63" s="3461"/>
      <c r="UHH63" s="3461"/>
      <c r="UHI63" s="3461"/>
      <c r="UHJ63" s="3461"/>
      <c r="UHK63" s="3461"/>
      <c r="UHL63" s="3461"/>
      <c r="UHM63" s="3461"/>
      <c r="UHN63" s="3461"/>
      <c r="UHO63" s="3461"/>
      <c r="UHP63" s="3461"/>
      <c r="UHQ63" s="3461"/>
      <c r="UHR63" s="3461"/>
      <c r="UHS63" s="3461"/>
      <c r="UHT63" s="3461"/>
      <c r="UHU63" s="3461"/>
      <c r="UHV63" s="3461"/>
      <c r="UHW63" s="3461"/>
      <c r="UHX63" s="3461"/>
      <c r="UHY63" s="3461"/>
      <c r="UHZ63" s="3461"/>
      <c r="UIA63" s="3461"/>
      <c r="UIB63" s="3461"/>
      <c r="UIC63" s="3461"/>
      <c r="UID63" s="3461"/>
      <c r="UIE63" s="3461"/>
      <c r="UIF63" s="3461"/>
      <c r="UIG63" s="3461"/>
      <c r="UIH63" s="3461"/>
      <c r="UII63" s="3461"/>
      <c r="UIJ63" s="3461"/>
      <c r="UIK63" s="3461"/>
      <c r="UIL63" s="3461"/>
      <c r="UIM63" s="3461"/>
      <c r="UIN63" s="3461"/>
      <c r="UIO63" s="3461"/>
      <c r="UIP63" s="3461"/>
      <c r="UIQ63" s="3461"/>
      <c r="UIR63" s="3461"/>
      <c r="UIS63" s="3461"/>
      <c r="UIT63" s="3461"/>
      <c r="UIU63" s="3461"/>
      <c r="UIV63" s="3461"/>
      <c r="UIW63" s="3461"/>
      <c r="UIX63" s="3461"/>
      <c r="UIY63" s="3461"/>
      <c r="UIZ63" s="3461"/>
      <c r="UJA63" s="3461"/>
      <c r="UJB63" s="3461"/>
      <c r="UJC63" s="3461"/>
      <c r="UJD63" s="3461"/>
      <c r="UJE63" s="3461"/>
      <c r="UJF63" s="3461"/>
      <c r="UJG63" s="3461"/>
      <c r="UJH63" s="3461"/>
      <c r="UJI63" s="3461"/>
      <c r="UJJ63" s="3461"/>
      <c r="UJK63" s="3461"/>
      <c r="UJL63" s="3461"/>
      <c r="UJM63" s="3461"/>
      <c r="UJN63" s="3461"/>
      <c r="UJO63" s="3461"/>
      <c r="UJP63" s="3461"/>
      <c r="UJQ63" s="3461"/>
      <c r="UJR63" s="3461"/>
      <c r="UJS63" s="3461"/>
      <c r="UJT63" s="3461"/>
      <c r="UJU63" s="3461"/>
      <c r="UJV63" s="3461"/>
      <c r="UJW63" s="3461"/>
      <c r="UJX63" s="3461"/>
      <c r="UJY63" s="3461"/>
      <c r="UJZ63" s="3461"/>
      <c r="UKA63" s="3461"/>
      <c r="UKB63" s="3461"/>
      <c r="UKC63" s="3461"/>
      <c r="UKD63" s="3461"/>
      <c r="UKE63" s="3461"/>
      <c r="UKF63" s="3461"/>
      <c r="UKG63" s="3461"/>
      <c r="UKH63" s="3461"/>
      <c r="UKI63" s="3461"/>
      <c r="UKJ63" s="3461"/>
      <c r="UKK63" s="3461"/>
      <c r="UKL63" s="3461"/>
      <c r="UKM63" s="3461"/>
      <c r="UKN63" s="3461"/>
      <c r="UKO63" s="3461"/>
      <c r="UKP63" s="3461"/>
      <c r="UKQ63" s="3461"/>
      <c r="UKR63" s="3461"/>
      <c r="UKS63" s="3461"/>
      <c r="UKT63" s="3461"/>
      <c r="UKU63" s="3461"/>
      <c r="UKV63" s="3461"/>
      <c r="UKW63" s="3461"/>
      <c r="UKX63" s="3461"/>
      <c r="UKY63" s="3461"/>
      <c r="UKZ63" s="3461"/>
      <c r="ULA63" s="3461"/>
      <c r="ULB63" s="3461"/>
      <c r="ULC63" s="3461"/>
      <c r="ULD63" s="3461"/>
      <c r="ULE63" s="3461"/>
      <c r="ULF63" s="3461"/>
      <c r="ULG63" s="3461"/>
      <c r="ULH63" s="3461"/>
      <c r="ULI63" s="3461"/>
      <c r="ULJ63" s="3461"/>
      <c r="ULK63" s="3461"/>
      <c r="ULL63" s="3461"/>
      <c r="ULM63" s="3461"/>
      <c r="ULN63" s="3461"/>
      <c r="ULO63" s="3461"/>
      <c r="ULP63" s="3461"/>
      <c r="ULQ63" s="3461"/>
      <c r="ULR63" s="3461"/>
      <c r="ULS63" s="3461"/>
      <c r="ULT63" s="3461"/>
      <c r="ULU63" s="3461"/>
      <c r="ULV63" s="3461"/>
      <c r="ULW63" s="3461"/>
      <c r="ULX63" s="3461"/>
      <c r="ULY63" s="3461"/>
      <c r="ULZ63" s="3461"/>
      <c r="UMA63" s="3461"/>
      <c r="UMB63" s="3461"/>
      <c r="UMC63" s="3461"/>
      <c r="UMD63" s="3461"/>
      <c r="UME63" s="3461"/>
      <c r="UMF63" s="3461"/>
      <c r="UMG63" s="3461"/>
      <c r="UMH63" s="3461"/>
      <c r="UMI63" s="3461"/>
      <c r="UMJ63" s="3461"/>
      <c r="UMK63" s="3461"/>
      <c r="UML63" s="3461"/>
      <c r="UMM63" s="3461"/>
      <c r="UMN63" s="3461"/>
      <c r="UMO63" s="3461"/>
      <c r="UMP63" s="3461"/>
      <c r="UMQ63" s="3461"/>
      <c r="UMR63" s="3461"/>
      <c r="UMS63" s="3461"/>
      <c r="UMT63" s="3461"/>
      <c r="UMU63" s="3461"/>
      <c r="UMV63" s="3461"/>
      <c r="UMW63" s="3461"/>
      <c r="UMX63" s="3461"/>
      <c r="UMY63" s="3461"/>
      <c r="UMZ63" s="3461"/>
      <c r="UNA63" s="3461"/>
      <c r="UNB63" s="3461"/>
      <c r="UNC63" s="3461"/>
      <c r="UND63" s="3461"/>
      <c r="UNE63" s="3461"/>
      <c r="UNF63" s="3461"/>
      <c r="UNG63" s="3461"/>
      <c r="UNH63" s="3461"/>
      <c r="UNI63" s="3461"/>
      <c r="UNJ63" s="3461"/>
      <c r="UNK63" s="3461"/>
      <c r="UNL63" s="3461"/>
      <c r="UNM63" s="3461"/>
      <c r="UNN63" s="3461"/>
      <c r="UNO63" s="3461"/>
      <c r="UNP63" s="3461"/>
      <c r="UNQ63" s="3461"/>
      <c r="UNR63" s="3461"/>
      <c r="UNS63" s="3461"/>
      <c r="UNT63" s="3461"/>
      <c r="UNU63" s="3461"/>
      <c r="UNV63" s="3461"/>
      <c r="UNW63" s="3461"/>
      <c r="UNX63" s="3461"/>
      <c r="UNY63" s="3461"/>
      <c r="UNZ63" s="3461"/>
      <c r="UOA63" s="3461"/>
      <c r="UOB63" s="3461"/>
      <c r="UOC63" s="3461"/>
      <c r="UOD63" s="3461"/>
      <c r="UOE63" s="3461"/>
      <c r="UOF63" s="3461"/>
      <c r="UOG63" s="3461"/>
      <c r="UOH63" s="3461"/>
      <c r="UOI63" s="3461"/>
      <c r="UOJ63" s="3461"/>
      <c r="UOK63" s="3461"/>
      <c r="UOL63" s="3461"/>
      <c r="UOM63" s="3461"/>
      <c r="UON63" s="3461"/>
      <c r="UOO63" s="3461"/>
      <c r="UOP63" s="3461"/>
      <c r="UOQ63" s="3461"/>
      <c r="UOR63" s="3461"/>
      <c r="UOS63" s="3461"/>
      <c r="UOT63" s="3461"/>
      <c r="UOU63" s="3461"/>
      <c r="UOV63" s="3461"/>
      <c r="UOW63" s="3461"/>
      <c r="UOX63" s="3461"/>
      <c r="UOY63" s="3461"/>
      <c r="UOZ63" s="3461"/>
      <c r="UPA63" s="3461"/>
      <c r="UPB63" s="3461"/>
      <c r="UPC63" s="3461"/>
      <c r="UPD63" s="3461"/>
      <c r="UPE63" s="3461"/>
      <c r="UPF63" s="3461"/>
      <c r="UPG63" s="3461"/>
      <c r="UPH63" s="3461"/>
      <c r="UPI63" s="3461"/>
      <c r="UPJ63" s="3461"/>
      <c r="UPK63" s="3461"/>
      <c r="UPL63" s="3461"/>
      <c r="UPM63" s="3461"/>
      <c r="UPN63" s="3461"/>
      <c r="UPO63" s="3461"/>
      <c r="UPP63" s="3461"/>
      <c r="UPQ63" s="3461"/>
      <c r="UPR63" s="3461"/>
      <c r="UPS63" s="3461"/>
      <c r="UPT63" s="3461"/>
      <c r="UPU63" s="3461"/>
      <c r="UPV63" s="3461"/>
      <c r="UPW63" s="3461"/>
      <c r="UPX63" s="3461"/>
      <c r="UPY63" s="3461"/>
      <c r="UPZ63" s="3461"/>
      <c r="UQA63" s="3461"/>
      <c r="UQB63" s="3461"/>
      <c r="UQC63" s="3461"/>
      <c r="UQD63" s="3461"/>
      <c r="UQE63" s="3461"/>
      <c r="UQF63" s="3461"/>
      <c r="UQG63" s="3461"/>
      <c r="UQH63" s="3461"/>
      <c r="UQI63" s="3461"/>
      <c r="UQJ63" s="3461"/>
      <c r="UQK63" s="3461"/>
      <c r="UQL63" s="3461"/>
      <c r="UQM63" s="3461"/>
      <c r="UQN63" s="3461"/>
      <c r="UQO63" s="3461"/>
      <c r="UQP63" s="3461"/>
      <c r="UQQ63" s="3461"/>
      <c r="UQR63" s="3461"/>
      <c r="UQS63" s="3461"/>
      <c r="UQT63" s="3461"/>
      <c r="UQU63" s="3461"/>
      <c r="UQV63" s="3461"/>
      <c r="UQW63" s="3461"/>
      <c r="UQX63" s="3461"/>
      <c r="UQY63" s="3461"/>
      <c r="UQZ63" s="3461"/>
      <c r="URA63" s="3461"/>
      <c r="URB63" s="3461"/>
      <c r="URC63" s="3461"/>
      <c r="URD63" s="3461"/>
      <c r="URE63" s="3461"/>
      <c r="URF63" s="3461"/>
      <c r="URG63" s="3461"/>
      <c r="URH63" s="3461"/>
      <c r="URI63" s="3461"/>
      <c r="URJ63" s="3461"/>
      <c r="URK63" s="3461"/>
      <c r="URL63" s="3461"/>
      <c r="URM63" s="3461"/>
      <c r="URN63" s="3461"/>
      <c r="URO63" s="3461"/>
      <c r="URP63" s="3461"/>
      <c r="URQ63" s="3461"/>
      <c r="URR63" s="3461"/>
      <c r="URS63" s="3461"/>
      <c r="URT63" s="3461"/>
      <c r="URU63" s="3461"/>
      <c r="URV63" s="3461"/>
      <c r="URW63" s="3461"/>
      <c r="URX63" s="3461"/>
      <c r="URY63" s="3461"/>
      <c r="URZ63" s="3461"/>
      <c r="USA63" s="3461"/>
      <c r="USB63" s="3461"/>
      <c r="USC63" s="3461"/>
      <c r="USD63" s="3461"/>
      <c r="USE63" s="3461"/>
      <c r="USF63" s="3461"/>
      <c r="USG63" s="3461"/>
      <c r="USH63" s="3461"/>
      <c r="USI63" s="3461"/>
      <c r="USJ63" s="3461"/>
      <c r="USK63" s="3461"/>
      <c r="USL63" s="3461"/>
      <c r="USM63" s="3461"/>
      <c r="USN63" s="3461"/>
      <c r="USO63" s="3461"/>
      <c r="USP63" s="3461"/>
      <c r="USQ63" s="3461"/>
      <c r="USR63" s="3461"/>
      <c r="USS63" s="3461"/>
      <c r="UST63" s="3461"/>
      <c r="USU63" s="3461"/>
      <c r="USV63" s="3461"/>
      <c r="USW63" s="3461"/>
      <c r="USX63" s="3461"/>
      <c r="USY63" s="3461"/>
      <c r="USZ63" s="3461"/>
      <c r="UTA63" s="3461"/>
      <c r="UTB63" s="3461"/>
      <c r="UTC63" s="3461"/>
      <c r="UTD63" s="3461"/>
      <c r="UTE63" s="3461"/>
      <c r="UTF63" s="3461"/>
      <c r="UTG63" s="3461"/>
      <c r="UTH63" s="3461"/>
      <c r="UTI63" s="3461"/>
      <c r="UTJ63" s="3461"/>
      <c r="UTK63" s="3461"/>
      <c r="UTL63" s="3461"/>
      <c r="UTM63" s="3461"/>
      <c r="UTN63" s="3461"/>
      <c r="UTO63" s="3461"/>
      <c r="UTP63" s="3461"/>
      <c r="UTQ63" s="3461"/>
      <c r="UTR63" s="3461"/>
      <c r="UTS63" s="3461"/>
      <c r="UTT63" s="3461"/>
      <c r="UTU63" s="3461"/>
      <c r="UTV63" s="3461"/>
      <c r="UTW63" s="3461"/>
      <c r="UTX63" s="3461"/>
      <c r="UTY63" s="3461"/>
      <c r="UTZ63" s="3461"/>
      <c r="UUA63" s="3461"/>
      <c r="UUB63" s="3461"/>
      <c r="UUC63" s="3461"/>
      <c r="UUD63" s="3461"/>
      <c r="UUE63" s="3461"/>
      <c r="UUF63" s="3461"/>
      <c r="UUG63" s="3461"/>
      <c r="UUH63" s="3461"/>
      <c r="UUI63" s="3461"/>
      <c r="UUJ63" s="3461"/>
      <c r="UUK63" s="3461"/>
      <c r="UUL63" s="3461"/>
      <c r="UUM63" s="3461"/>
      <c r="UUN63" s="3461"/>
      <c r="UUO63" s="3461"/>
      <c r="UUP63" s="3461"/>
      <c r="UUQ63" s="3461"/>
      <c r="UUR63" s="3461"/>
      <c r="UUS63" s="3461"/>
      <c r="UUT63" s="3461"/>
      <c r="UUU63" s="3461"/>
      <c r="UUV63" s="3461"/>
      <c r="UUW63" s="3461"/>
      <c r="UUX63" s="3461"/>
      <c r="UUY63" s="3461"/>
      <c r="UUZ63" s="3461"/>
      <c r="UVA63" s="3461"/>
      <c r="UVB63" s="3461"/>
      <c r="UVC63" s="3461"/>
      <c r="UVD63" s="3461"/>
      <c r="UVE63" s="3461"/>
      <c r="UVF63" s="3461"/>
      <c r="UVG63" s="3461"/>
      <c r="UVH63" s="3461"/>
      <c r="UVI63" s="3461"/>
      <c r="UVJ63" s="3461"/>
      <c r="UVK63" s="3461"/>
      <c r="UVL63" s="3461"/>
      <c r="UVM63" s="3461"/>
      <c r="UVN63" s="3461"/>
      <c r="UVO63" s="3461"/>
      <c r="UVP63" s="3461"/>
      <c r="UVQ63" s="3461"/>
      <c r="UVR63" s="3461"/>
      <c r="UVS63" s="3461"/>
      <c r="UVT63" s="3461"/>
      <c r="UVU63" s="3461"/>
      <c r="UVV63" s="3461"/>
      <c r="UVW63" s="3461"/>
      <c r="UVX63" s="3461"/>
      <c r="UVY63" s="3461"/>
      <c r="UVZ63" s="3461"/>
      <c r="UWA63" s="3461"/>
      <c r="UWB63" s="3461"/>
      <c r="UWC63" s="3461"/>
      <c r="UWD63" s="3461"/>
      <c r="UWE63" s="3461"/>
      <c r="UWF63" s="3461"/>
      <c r="UWG63" s="3461"/>
      <c r="UWH63" s="3461"/>
      <c r="UWI63" s="3461"/>
      <c r="UWJ63" s="3461"/>
      <c r="UWK63" s="3461"/>
      <c r="UWL63" s="3461"/>
      <c r="UWM63" s="3461"/>
      <c r="UWN63" s="3461"/>
      <c r="UWO63" s="3461"/>
      <c r="UWP63" s="3461"/>
      <c r="UWQ63" s="3461"/>
      <c r="UWR63" s="3461"/>
      <c r="UWS63" s="3461"/>
      <c r="UWT63" s="3461"/>
      <c r="UWU63" s="3461"/>
      <c r="UWV63" s="3461"/>
      <c r="UWW63" s="3461"/>
      <c r="UWX63" s="3461"/>
      <c r="UWY63" s="3461"/>
      <c r="UWZ63" s="3461"/>
      <c r="UXA63" s="3461"/>
      <c r="UXB63" s="3461"/>
      <c r="UXC63" s="3461"/>
      <c r="UXD63" s="3461"/>
      <c r="UXE63" s="3461"/>
      <c r="UXF63" s="3461"/>
      <c r="UXG63" s="3461"/>
      <c r="UXH63" s="3461"/>
      <c r="UXI63" s="3461"/>
      <c r="UXJ63" s="3461"/>
      <c r="UXK63" s="3461"/>
      <c r="UXL63" s="3461"/>
      <c r="UXM63" s="3461"/>
      <c r="UXN63" s="3461"/>
      <c r="UXO63" s="3461"/>
      <c r="UXP63" s="3461"/>
      <c r="UXQ63" s="3461"/>
      <c r="UXR63" s="3461"/>
      <c r="UXS63" s="3461"/>
      <c r="UXT63" s="3461"/>
      <c r="UXU63" s="3461"/>
      <c r="UXV63" s="3461"/>
      <c r="UXW63" s="3461"/>
      <c r="UXX63" s="3461"/>
      <c r="UXY63" s="3461"/>
      <c r="UXZ63" s="3461"/>
      <c r="UYA63" s="3461"/>
      <c r="UYB63" s="3461"/>
      <c r="UYC63" s="3461"/>
      <c r="UYD63" s="3461"/>
      <c r="UYE63" s="3461"/>
      <c r="UYF63" s="3461"/>
      <c r="UYG63" s="3461"/>
      <c r="UYH63" s="3461"/>
      <c r="UYI63" s="3461"/>
      <c r="UYJ63" s="3461"/>
      <c r="UYK63" s="3461"/>
      <c r="UYL63" s="3461"/>
      <c r="UYM63" s="3461"/>
      <c r="UYN63" s="3461"/>
      <c r="UYO63" s="3461"/>
      <c r="UYP63" s="3461"/>
      <c r="UYQ63" s="3461"/>
      <c r="UYR63" s="3461"/>
      <c r="UYS63" s="3461"/>
      <c r="UYT63" s="3461"/>
      <c r="UYU63" s="3461"/>
      <c r="UYV63" s="3461"/>
      <c r="UYW63" s="3461"/>
      <c r="UYX63" s="3461"/>
      <c r="UYY63" s="3461"/>
      <c r="UYZ63" s="3461"/>
      <c r="UZA63" s="3461"/>
      <c r="UZB63" s="3461"/>
      <c r="UZC63" s="3461"/>
      <c r="UZD63" s="3461"/>
      <c r="UZE63" s="3461"/>
      <c r="UZF63" s="3461"/>
      <c r="UZG63" s="3461"/>
      <c r="UZH63" s="3461"/>
      <c r="UZI63" s="3461"/>
      <c r="UZJ63" s="3461"/>
      <c r="UZK63" s="3461"/>
      <c r="UZL63" s="3461"/>
      <c r="UZM63" s="3461"/>
      <c r="UZN63" s="3461"/>
      <c r="UZO63" s="3461"/>
      <c r="UZP63" s="3461"/>
      <c r="UZQ63" s="3461"/>
      <c r="UZR63" s="3461"/>
      <c r="UZS63" s="3461"/>
      <c r="UZT63" s="3461"/>
      <c r="UZU63" s="3461"/>
      <c r="UZV63" s="3461"/>
      <c r="UZW63" s="3461"/>
      <c r="UZX63" s="3461"/>
      <c r="UZY63" s="3461"/>
      <c r="UZZ63" s="3461"/>
      <c r="VAA63" s="3461"/>
      <c r="VAB63" s="3461"/>
      <c r="VAC63" s="3461"/>
      <c r="VAD63" s="3461"/>
      <c r="VAE63" s="3461"/>
      <c r="VAF63" s="3461"/>
      <c r="VAG63" s="3461"/>
      <c r="VAH63" s="3461"/>
      <c r="VAI63" s="3461"/>
      <c r="VAJ63" s="3461"/>
      <c r="VAK63" s="3461"/>
      <c r="VAL63" s="3461"/>
      <c r="VAM63" s="3461"/>
      <c r="VAN63" s="3461"/>
      <c r="VAO63" s="3461"/>
      <c r="VAP63" s="3461"/>
      <c r="VAQ63" s="3461"/>
      <c r="VAR63" s="3461"/>
      <c r="VAS63" s="3461"/>
      <c r="VAT63" s="3461"/>
      <c r="VAU63" s="3461"/>
      <c r="VAV63" s="3461"/>
      <c r="VAW63" s="3461"/>
      <c r="VAX63" s="3461"/>
      <c r="VAY63" s="3461"/>
      <c r="VAZ63" s="3461"/>
      <c r="VBA63" s="3461"/>
      <c r="VBB63" s="3461"/>
      <c r="VBC63" s="3461"/>
      <c r="VBD63" s="3461"/>
      <c r="VBE63" s="3461"/>
      <c r="VBF63" s="3461"/>
      <c r="VBG63" s="3461"/>
      <c r="VBH63" s="3461"/>
      <c r="VBI63" s="3461"/>
      <c r="VBJ63" s="3461"/>
      <c r="VBK63" s="3461"/>
      <c r="VBL63" s="3461"/>
      <c r="VBM63" s="3461"/>
      <c r="VBN63" s="3461"/>
      <c r="VBO63" s="3461"/>
      <c r="VBP63" s="3461"/>
      <c r="VBQ63" s="3461"/>
      <c r="VBR63" s="3461"/>
      <c r="VBS63" s="3461"/>
      <c r="VBT63" s="3461"/>
      <c r="VBU63" s="3461"/>
      <c r="VBV63" s="3461"/>
      <c r="VBW63" s="3461"/>
      <c r="VBX63" s="3461"/>
      <c r="VBY63" s="3461"/>
      <c r="VBZ63" s="3461"/>
      <c r="VCA63" s="3461"/>
      <c r="VCB63" s="3461"/>
      <c r="VCC63" s="3461"/>
      <c r="VCD63" s="3461"/>
      <c r="VCE63" s="3461"/>
      <c r="VCF63" s="3461"/>
      <c r="VCG63" s="3461"/>
      <c r="VCH63" s="3461"/>
      <c r="VCI63" s="3461"/>
      <c r="VCJ63" s="3461"/>
      <c r="VCK63" s="3461"/>
      <c r="VCL63" s="3461"/>
      <c r="VCM63" s="3461"/>
      <c r="VCN63" s="3461"/>
      <c r="VCO63" s="3461"/>
      <c r="VCP63" s="3461"/>
      <c r="VCQ63" s="3461"/>
      <c r="VCR63" s="3461"/>
      <c r="VCS63" s="3461"/>
      <c r="VCT63" s="3461"/>
      <c r="VCU63" s="3461"/>
      <c r="VCV63" s="3461"/>
      <c r="VCW63" s="3461"/>
      <c r="VCX63" s="3461"/>
      <c r="VCY63" s="3461"/>
      <c r="VCZ63" s="3461"/>
      <c r="VDA63" s="3461"/>
      <c r="VDB63" s="3461"/>
      <c r="VDC63" s="3461"/>
      <c r="VDD63" s="3461"/>
      <c r="VDE63" s="3461"/>
      <c r="VDF63" s="3461"/>
      <c r="VDG63" s="3461"/>
      <c r="VDH63" s="3461"/>
      <c r="VDI63" s="3461"/>
      <c r="VDJ63" s="3461"/>
      <c r="VDK63" s="3461"/>
      <c r="VDL63" s="3461"/>
      <c r="VDM63" s="3461"/>
      <c r="VDN63" s="3461"/>
      <c r="VDO63" s="3461"/>
      <c r="VDP63" s="3461"/>
      <c r="VDQ63" s="3461"/>
      <c r="VDR63" s="3461"/>
      <c r="VDS63" s="3461"/>
      <c r="VDT63" s="3461"/>
      <c r="VDU63" s="3461"/>
      <c r="VDV63" s="3461"/>
      <c r="VDW63" s="3461"/>
      <c r="VDX63" s="3461"/>
      <c r="VDY63" s="3461"/>
      <c r="VDZ63" s="3461"/>
      <c r="VEA63" s="3461"/>
      <c r="VEB63" s="3461"/>
      <c r="VEC63" s="3461"/>
      <c r="VED63" s="3461"/>
      <c r="VEE63" s="3461"/>
      <c r="VEF63" s="3461"/>
      <c r="VEG63" s="3461"/>
      <c r="VEH63" s="3461"/>
      <c r="VEI63" s="3461"/>
      <c r="VEJ63" s="3461"/>
      <c r="VEK63" s="3461"/>
      <c r="VEL63" s="3461"/>
      <c r="VEM63" s="3461"/>
      <c r="VEN63" s="3461"/>
      <c r="VEO63" s="3461"/>
      <c r="VEP63" s="3461"/>
      <c r="VEQ63" s="3461"/>
      <c r="VER63" s="3461"/>
      <c r="VES63" s="3461"/>
      <c r="VET63" s="3461"/>
      <c r="VEU63" s="3461"/>
      <c r="VEV63" s="3461"/>
      <c r="VEW63" s="3461"/>
      <c r="VEX63" s="3461"/>
      <c r="VEY63" s="3461"/>
      <c r="VEZ63" s="3461"/>
      <c r="VFA63" s="3461"/>
      <c r="VFB63" s="3461"/>
      <c r="VFC63" s="3461"/>
      <c r="VFD63" s="3461"/>
      <c r="VFE63" s="3461"/>
      <c r="VFF63" s="3461"/>
      <c r="VFG63" s="3461"/>
      <c r="VFH63" s="3461"/>
      <c r="VFI63" s="3461"/>
      <c r="VFJ63" s="3461"/>
      <c r="VFK63" s="3461"/>
      <c r="VFL63" s="3461"/>
      <c r="VFM63" s="3461"/>
      <c r="VFN63" s="3461"/>
      <c r="VFO63" s="3461"/>
      <c r="VFP63" s="3461"/>
      <c r="VFQ63" s="3461"/>
      <c r="VFR63" s="3461"/>
      <c r="VFS63" s="3461"/>
      <c r="VFT63" s="3461"/>
      <c r="VFU63" s="3461"/>
      <c r="VFV63" s="3461"/>
      <c r="VFW63" s="3461"/>
      <c r="VFX63" s="3461"/>
      <c r="VFY63" s="3461"/>
      <c r="VFZ63" s="3461"/>
      <c r="VGA63" s="3461"/>
      <c r="VGB63" s="3461"/>
      <c r="VGC63" s="3461"/>
      <c r="VGD63" s="3461"/>
      <c r="VGE63" s="3461"/>
      <c r="VGF63" s="3461"/>
      <c r="VGG63" s="3461"/>
      <c r="VGH63" s="3461"/>
      <c r="VGI63" s="3461"/>
      <c r="VGJ63" s="3461"/>
      <c r="VGK63" s="3461"/>
      <c r="VGL63" s="3461"/>
      <c r="VGM63" s="3461"/>
      <c r="VGN63" s="3461"/>
      <c r="VGO63" s="3461"/>
      <c r="VGP63" s="3461"/>
      <c r="VGQ63" s="3461"/>
      <c r="VGR63" s="3461"/>
      <c r="VGS63" s="3461"/>
      <c r="VGT63" s="3461"/>
      <c r="VGU63" s="3461"/>
      <c r="VGV63" s="3461"/>
      <c r="VGW63" s="3461"/>
      <c r="VGX63" s="3461"/>
      <c r="VGY63" s="3461"/>
      <c r="VGZ63" s="3461"/>
      <c r="VHA63" s="3461"/>
      <c r="VHB63" s="3461"/>
      <c r="VHC63" s="3461"/>
      <c r="VHD63" s="3461"/>
      <c r="VHE63" s="3461"/>
      <c r="VHF63" s="3461"/>
      <c r="VHG63" s="3461"/>
      <c r="VHH63" s="3461"/>
      <c r="VHI63" s="3461"/>
      <c r="VHJ63" s="3461"/>
      <c r="VHK63" s="3461"/>
      <c r="VHL63" s="3461"/>
      <c r="VHM63" s="3461"/>
      <c r="VHN63" s="3461"/>
      <c r="VHO63" s="3461"/>
      <c r="VHP63" s="3461"/>
      <c r="VHQ63" s="3461"/>
      <c r="VHR63" s="3461"/>
      <c r="VHS63" s="3461"/>
      <c r="VHT63" s="3461"/>
      <c r="VHU63" s="3461"/>
      <c r="VHV63" s="3461"/>
      <c r="VHW63" s="3461"/>
      <c r="VHX63" s="3461"/>
      <c r="VHY63" s="3461"/>
      <c r="VHZ63" s="3461"/>
      <c r="VIA63" s="3461"/>
      <c r="VIB63" s="3461"/>
      <c r="VIC63" s="3461"/>
      <c r="VID63" s="3461"/>
      <c r="VIE63" s="3461"/>
      <c r="VIF63" s="3461"/>
      <c r="VIG63" s="3461"/>
      <c r="VIH63" s="3461"/>
      <c r="VII63" s="3461"/>
      <c r="VIJ63" s="3461"/>
      <c r="VIK63" s="3461"/>
      <c r="VIL63" s="3461"/>
      <c r="VIM63" s="3461"/>
      <c r="VIN63" s="3461"/>
      <c r="VIO63" s="3461"/>
      <c r="VIP63" s="3461"/>
      <c r="VIQ63" s="3461"/>
      <c r="VIR63" s="3461"/>
      <c r="VIS63" s="3461"/>
      <c r="VIT63" s="3461"/>
      <c r="VIU63" s="3461"/>
      <c r="VIV63" s="3461"/>
      <c r="VIW63" s="3461"/>
      <c r="VIX63" s="3461"/>
      <c r="VIY63" s="3461"/>
      <c r="VIZ63" s="3461"/>
      <c r="VJA63" s="3461"/>
      <c r="VJB63" s="3461"/>
      <c r="VJC63" s="3461"/>
      <c r="VJD63" s="3461"/>
      <c r="VJE63" s="3461"/>
      <c r="VJF63" s="3461"/>
      <c r="VJG63" s="3461"/>
      <c r="VJH63" s="3461"/>
      <c r="VJI63" s="3461"/>
      <c r="VJJ63" s="3461"/>
      <c r="VJK63" s="3461"/>
      <c r="VJL63" s="3461"/>
      <c r="VJM63" s="3461"/>
      <c r="VJN63" s="3461"/>
      <c r="VJO63" s="3461"/>
      <c r="VJP63" s="3461"/>
      <c r="VJQ63" s="3461"/>
      <c r="VJR63" s="3461"/>
      <c r="VJS63" s="3461"/>
      <c r="VJT63" s="3461"/>
      <c r="VJU63" s="3461"/>
      <c r="VJV63" s="3461"/>
      <c r="VJW63" s="3461"/>
      <c r="VJX63" s="3461"/>
      <c r="VJY63" s="3461"/>
      <c r="VJZ63" s="3461"/>
      <c r="VKA63" s="3461"/>
      <c r="VKB63" s="3461"/>
      <c r="VKC63" s="3461"/>
      <c r="VKD63" s="3461"/>
      <c r="VKE63" s="3461"/>
      <c r="VKF63" s="3461"/>
      <c r="VKG63" s="3461"/>
      <c r="VKH63" s="3461"/>
      <c r="VKI63" s="3461"/>
      <c r="VKJ63" s="3461"/>
      <c r="VKK63" s="3461"/>
      <c r="VKL63" s="3461"/>
      <c r="VKM63" s="3461"/>
      <c r="VKN63" s="3461"/>
      <c r="VKO63" s="3461"/>
      <c r="VKP63" s="3461"/>
      <c r="VKQ63" s="3461"/>
      <c r="VKR63" s="3461"/>
      <c r="VKS63" s="3461"/>
      <c r="VKT63" s="3461"/>
      <c r="VKU63" s="3461"/>
      <c r="VKV63" s="3461"/>
      <c r="VKW63" s="3461"/>
      <c r="VKX63" s="3461"/>
      <c r="VKY63" s="3461"/>
      <c r="VKZ63" s="3461"/>
      <c r="VLA63" s="3461"/>
      <c r="VLB63" s="3461"/>
      <c r="VLC63" s="3461"/>
      <c r="VLD63" s="3461"/>
      <c r="VLE63" s="3461"/>
      <c r="VLF63" s="3461"/>
      <c r="VLG63" s="3461"/>
      <c r="VLH63" s="3461"/>
      <c r="VLI63" s="3461"/>
      <c r="VLJ63" s="3461"/>
      <c r="VLK63" s="3461"/>
      <c r="VLL63" s="3461"/>
      <c r="VLM63" s="3461"/>
      <c r="VLN63" s="3461"/>
      <c r="VLO63" s="3461"/>
      <c r="VLP63" s="3461"/>
      <c r="VLQ63" s="3461"/>
      <c r="VLR63" s="3461"/>
      <c r="VLS63" s="3461"/>
      <c r="VLT63" s="3461"/>
      <c r="VLU63" s="3461"/>
      <c r="VLV63" s="3461"/>
      <c r="VLW63" s="3461"/>
      <c r="VLX63" s="3461"/>
      <c r="VLY63" s="3461"/>
      <c r="VLZ63" s="3461"/>
      <c r="VMA63" s="3461"/>
      <c r="VMB63" s="3461"/>
      <c r="VMC63" s="3461"/>
      <c r="VMD63" s="3461"/>
      <c r="VME63" s="3461"/>
      <c r="VMF63" s="3461"/>
      <c r="VMG63" s="3461"/>
      <c r="VMH63" s="3461"/>
      <c r="VMI63" s="3461"/>
      <c r="VMJ63" s="3461"/>
      <c r="VMK63" s="3461"/>
      <c r="VML63" s="3461"/>
      <c r="VMM63" s="3461"/>
      <c r="VMN63" s="3461"/>
      <c r="VMO63" s="3461"/>
      <c r="VMP63" s="3461"/>
      <c r="VMQ63" s="3461"/>
      <c r="VMR63" s="3461"/>
      <c r="VMS63" s="3461"/>
      <c r="VMT63" s="3461"/>
      <c r="VMU63" s="3461"/>
      <c r="VMV63" s="3461"/>
      <c r="VMW63" s="3461"/>
      <c r="VMX63" s="3461"/>
      <c r="VMY63" s="3461"/>
      <c r="VMZ63" s="3461"/>
      <c r="VNA63" s="3461"/>
      <c r="VNB63" s="3461"/>
      <c r="VNC63" s="3461"/>
      <c r="VND63" s="3461"/>
      <c r="VNE63" s="3461"/>
      <c r="VNF63" s="3461"/>
      <c r="VNG63" s="3461"/>
      <c r="VNH63" s="3461"/>
      <c r="VNI63" s="3461"/>
      <c r="VNJ63" s="3461"/>
      <c r="VNK63" s="3461"/>
      <c r="VNL63" s="3461"/>
      <c r="VNM63" s="3461"/>
      <c r="VNN63" s="3461"/>
      <c r="VNO63" s="3461"/>
      <c r="VNP63" s="3461"/>
      <c r="VNQ63" s="3461"/>
      <c r="VNR63" s="3461"/>
      <c r="VNS63" s="3461"/>
      <c r="VNT63" s="3461"/>
      <c r="VNU63" s="3461"/>
      <c r="VNV63" s="3461"/>
      <c r="VNW63" s="3461"/>
      <c r="VNX63" s="3461"/>
      <c r="VNY63" s="3461"/>
      <c r="VNZ63" s="3461"/>
      <c r="VOA63" s="3461"/>
      <c r="VOB63" s="3461"/>
      <c r="VOC63" s="3461"/>
      <c r="VOD63" s="3461"/>
      <c r="VOE63" s="3461"/>
      <c r="VOF63" s="3461"/>
      <c r="VOG63" s="3461"/>
      <c r="VOH63" s="3461"/>
      <c r="VOI63" s="3461"/>
      <c r="VOJ63" s="3461"/>
      <c r="VOK63" s="3461"/>
      <c r="VOL63" s="3461"/>
      <c r="VOM63" s="3461"/>
      <c r="VON63" s="3461"/>
      <c r="VOO63" s="3461"/>
      <c r="VOP63" s="3461"/>
      <c r="VOQ63" s="3461"/>
      <c r="VOR63" s="3461"/>
      <c r="VOS63" s="3461"/>
      <c r="VOT63" s="3461"/>
      <c r="VOU63" s="3461"/>
      <c r="VOV63" s="3461"/>
      <c r="VOW63" s="3461"/>
      <c r="VOX63" s="3461"/>
      <c r="VOY63" s="3461"/>
      <c r="VOZ63" s="3461"/>
      <c r="VPA63" s="3461"/>
      <c r="VPB63" s="3461"/>
      <c r="VPC63" s="3461"/>
      <c r="VPD63" s="3461"/>
      <c r="VPE63" s="3461"/>
      <c r="VPF63" s="3461"/>
      <c r="VPG63" s="3461"/>
      <c r="VPH63" s="3461"/>
      <c r="VPI63" s="3461"/>
      <c r="VPJ63" s="3461"/>
      <c r="VPK63" s="3461"/>
      <c r="VPL63" s="3461"/>
      <c r="VPM63" s="3461"/>
      <c r="VPN63" s="3461"/>
      <c r="VPO63" s="3461"/>
      <c r="VPP63" s="3461"/>
      <c r="VPQ63" s="3461"/>
      <c r="VPR63" s="3461"/>
      <c r="VPS63" s="3461"/>
      <c r="VPT63" s="3461"/>
      <c r="VPU63" s="3461"/>
      <c r="VPV63" s="3461"/>
      <c r="VPW63" s="3461"/>
      <c r="VPX63" s="3461"/>
      <c r="VPY63" s="3461"/>
      <c r="VPZ63" s="3461"/>
      <c r="VQA63" s="3461"/>
      <c r="VQB63" s="3461"/>
      <c r="VQC63" s="3461"/>
      <c r="VQD63" s="3461"/>
      <c r="VQE63" s="3461"/>
      <c r="VQF63" s="3461"/>
      <c r="VQG63" s="3461"/>
      <c r="VQH63" s="3461"/>
      <c r="VQI63" s="3461"/>
      <c r="VQJ63" s="3461"/>
      <c r="VQK63" s="3461"/>
      <c r="VQL63" s="3461"/>
      <c r="VQM63" s="3461"/>
      <c r="VQN63" s="3461"/>
      <c r="VQO63" s="3461"/>
      <c r="VQP63" s="3461"/>
      <c r="VQQ63" s="3461"/>
      <c r="VQR63" s="3461"/>
      <c r="VQS63" s="3461"/>
      <c r="VQT63" s="3461"/>
      <c r="VQU63" s="3461"/>
      <c r="VQV63" s="3461"/>
      <c r="VQW63" s="3461"/>
      <c r="VQX63" s="3461"/>
      <c r="VQY63" s="3461"/>
      <c r="VQZ63" s="3461"/>
      <c r="VRA63" s="3461"/>
      <c r="VRB63" s="3461"/>
      <c r="VRC63" s="3461"/>
      <c r="VRD63" s="3461"/>
      <c r="VRE63" s="3461"/>
      <c r="VRF63" s="3461"/>
      <c r="VRG63" s="3461"/>
      <c r="VRH63" s="3461"/>
      <c r="VRI63" s="3461"/>
      <c r="VRJ63" s="3461"/>
      <c r="VRK63" s="3461"/>
      <c r="VRL63" s="3461"/>
      <c r="VRM63" s="3461"/>
      <c r="VRN63" s="3461"/>
      <c r="VRO63" s="3461"/>
      <c r="VRP63" s="3461"/>
      <c r="VRQ63" s="3461"/>
      <c r="VRR63" s="3461"/>
      <c r="VRS63" s="3461"/>
      <c r="VRT63" s="3461"/>
      <c r="VRU63" s="3461"/>
      <c r="VRV63" s="3461"/>
      <c r="VRW63" s="3461"/>
      <c r="VRX63" s="3461"/>
      <c r="VRY63" s="3461"/>
      <c r="VRZ63" s="3461"/>
      <c r="VSA63" s="3461"/>
      <c r="VSB63" s="3461"/>
      <c r="VSC63" s="3461"/>
      <c r="VSD63" s="3461"/>
      <c r="VSE63" s="3461"/>
      <c r="VSF63" s="3461"/>
      <c r="VSG63" s="3461"/>
      <c r="VSH63" s="3461"/>
      <c r="VSI63" s="3461"/>
      <c r="VSJ63" s="3461"/>
      <c r="VSK63" s="3461"/>
      <c r="VSL63" s="3461"/>
      <c r="VSM63" s="3461"/>
      <c r="VSN63" s="3461"/>
      <c r="VSO63" s="3461"/>
      <c r="VSP63" s="3461"/>
      <c r="VSQ63" s="3461"/>
      <c r="VSR63" s="3461"/>
      <c r="VSS63" s="3461"/>
      <c r="VST63" s="3461"/>
      <c r="VSU63" s="3461"/>
      <c r="VSV63" s="3461"/>
      <c r="VSW63" s="3461"/>
      <c r="VSX63" s="3461"/>
      <c r="VSY63" s="3461"/>
      <c r="VSZ63" s="3461"/>
      <c r="VTA63" s="3461"/>
      <c r="VTB63" s="3461"/>
      <c r="VTC63" s="3461"/>
      <c r="VTD63" s="3461"/>
      <c r="VTE63" s="3461"/>
      <c r="VTF63" s="3461"/>
      <c r="VTG63" s="3461"/>
      <c r="VTH63" s="3461"/>
      <c r="VTI63" s="3461"/>
      <c r="VTJ63" s="3461"/>
      <c r="VTK63" s="3461"/>
      <c r="VTL63" s="3461"/>
      <c r="VTM63" s="3461"/>
      <c r="VTN63" s="3461"/>
      <c r="VTO63" s="3461"/>
      <c r="VTP63" s="3461"/>
      <c r="VTQ63" s="3461"/>
      <c r="VTR63" s="3461"/>
      <c r="VTS63" s="3461"/>
      <c r="VTT63" s="3461"/>
      <c r="VTU63" s="3461"/>
      <c r="VTV63" s="3461"/>
      <c r="VTW63" s="3461"/>
      <c r="VTX63" s="3461"/>
      <c r="VTY63" s="3461"/>
      <c r="VTZ63" s="3461"/>
      <c r="VUA63" s="3461"/>
      <c r="VUB63" s="3461"/>
      <c r="VUC63" s="3461"/>
      <c r="VUD63" s="3461"/>
      <c r="VUE63" s="3461"/>
      <c r="VUF63" s="3461"/>
      <c r="VUG63" s="3461"/>
      <c r="VUH63" s="3461"/>
      <c r="VUI63" s="3461"/>
      <c r="VUJ63" s="3461"/>
      <c r="VUK63" s="3461"/>
      <c r="VUL63" s="3461"/>
      <c r="VUM63" s="3461"/>
      <c r="VUN63" s="3461"/>
      <c r="VUO63" s="3461"/>
      <c r="VUP63" s="3461"/>
      <c r="VUQ63" s="3461"/>
      <c r="VUR63" s="3461"/>
      <c r="VUS63" s="3461"/>
      <c r="VUT63" s="3461"/>
      <c r="VUU63" s="3461"/>
      <c r="VUV63" s="3461"/>
      <c r="VUW63" s="3461"/>
      <c r="VUX63" s="3461"/>
      <c r="VUY63" s="3461"/>
      <c r="VUZ63" s="3461"/>
      <c r="VVA63" s="3461"/>
      <c r="VVB63" s="3461"/>
      <c r="VVC63" s="3461"/>
      <c r="VVD63" s="3461"/>
      <c r="VVE63" s="3461"/>
      <c r="VVF63" s="3461"/>
      <c r="VVG63" s="3461"/>
      <c r="VVH63" s="3461"/>
      <c r="VVI63" s="3461"/>
      <c r="VVJ63" s="3461"/>
      <c r="VVK63" s="3461"/>
      <c r="VVL63" s="3461"/>
      <c r="VVM63" s="3461"/>
      <c r="VVN63" s="3461"/>
      <c r="VVO63" s="3461"/>
      <c r="VVP63" s="3461"/>
      <c r="VVQ63" s="3461"/>
      <c r="VVR63" s="3461"/>
      <c r="VVS63" s="3461"/>
      <c r="VVT63" s="3461"/>
      <c r="VVU63" s="3461"/>
      <c r="VVV63" s="3461"/>
      <c r="VVW63" s="3461"/>
      <c r="VVX63" s="3461"/>
      <c r="VVY63" s="3461"/>
      <c r="VVZ63" s="3461"/>
      <c r="VWA63" s="3461"/>
      <c r="VWB63" s="3461"/>
      <c r="VWC63" s="3461"/>
      <c r="VWD63" s="3461"/>
      <c r="VWE63" s="3461"/>
      <c r="VWF63" s="3461"/>
      <c r="VWG63" s="3461"/>
      <c r="VWH63" s="3461"/>
      <c r="VWI63" s="3461"/>
      <c r="VWJ63" s="3461"/>
      <c r="VWK63" s="3461"/>
      <c r="VWL63" s="3461"/>
      <c r="VWM63" s="3461"/>
      <c r="VWN63" s="3461"/>
      <c r="VWO63" s="3461"/>
      <c r="VWP63" s="3461"/>
      <c r="VWQ63" s="3461"/>
      <c r="VWR63" s="3461"/>
      <c r="VWS63" s="3461"/>
      <c r="VWT63" s="3461"/>
      <c r="VWU63" s="3461"/>
      <c r="VWV63" s="3461"/>
      <c r="VWW63" s="3461"/>
      <c r="VWX63" s="3461"/>
      <c r="VWY63" s="3461"/>
      <c r="VWZ63" s="3461"/>
      <c r="VXA63" s="3461"/>
      <c r="VXB63" s="3461"/>
      <c r="VXC63" s="3461"/>
      <c r="VXD63" s="3461"/>
      <c r="VXE63" s="3461"/>
      <c r="VXF63" s="3461"/>
      <c r="VXG63" s="3461"/>
      <c r="VXH63" s="3461"/>
      <c r="VXI63" s="3461"/>
      <c r="VXJ63" s="3461"/>
      <c r="VXK63" s="3461"/>
      <c r="VXL63" s="3461"/>
      <c r="VXM63" s="3461"/>
      <c r="VXN63" s="3461"/>
      <c r="VXO63" s="3461"/>
      <c r="VXP63" s="3461"/>
      <c r="VXQ63" s="3461"/>
      <c r="VXR63" s="3461"/>
      <c r="VXS63" s="3461"/>
      <c r="VXT63" s="3461"/>
      <c r="VXU63" s="3461"/>
      <c r="VXV63" s="3461"/>
      <c r="VXW63" s="3461"/>
      <c r="VXX63" s="3461"/>
      <c r="VXY63" s="3461"/>
      <c r="VXZ63" s="3461"/>
      <c r="VYA63" s="3461"/>
      <c r="VYB63" s="3461"/>
      <c r="VYC63" s="3461"/>
      <c r="VYD63" s="3461"/>
      <c r="VYE63" s="3461"/>
      <c r="VYF63" s="3461"/>
      <c r="VYG63" s="3461"/>
      <c r="VYH63" s="3461"/>
      <c r="VYI63" s="3461"/>
      <c r="VYJ63" s="3461"/>
      <c r="VYK63" s="3461"/>
      <c r="VYL63" s="3461"/>
      <c r="VYM63" s="3461"/>
      <c r="VYN63" s="3461"/>
      <c r="VYO63" s="3461"/>
      <c r="VYP63" s="3461"/>
      <c r="VYQ63" s="3461"/>
      <c r="VYR63" s="3461"/>
      <c r="VYS63" s="3461"/>
      <c r="VYT63" s="3461"/>
      <c r="VYU63" s="3461"/>
      <c r="VYV63" s="3461"/>
      <c r="VYW63" s="3461"/>
      <c r="VYX63" s="3461"/>
      <c r="VYY63" s="3461"/>
      <c r="VYZ63" s="3461"/>
      <c r="VZA63" s="3461"/>
      <c r="VZB63" s="3461"/>
      <c r="VZC63" s="3461"/>
      <c r="VZD63" s="3461"/>
      <c r="VZE63" s="3461"/>
      <c r="VZF63" s="3461"/>
      <c r="VZG63" s="3461"/>
      <c r="VZH63" s="3461"/>
      <c r="VZI63" s="3461"/>
      <c r="VZJ63" s="3461"/>
      <c r="VZK63" s="3461"/>
      <c r="VZL63" s="3461"/>
      <c r="VZM63" s="3461"/>
      <c r="VZN63" s="3461"/>
      <c r="VZO63" s="3461"/>
      <c r="VZP63" s="3461"/>
      <c r="VZQ63" s="3461"/>
      <c r="VZR63" s="3461"/>
      <c r="VZS63" s="3461"/>
      <c r="VZT63" s="3461"/>
      <c r="VZU63" s="3461"/>
      <c r="VZV63" s="3461"/>
      <c r="VZW63" s="3461"/>
      <c r="VZX63" s="3461"/>
      <c r="VZY63" s="3461"/>
      <c r="VZZ63" s="3461"/>
      <c r="WAA63" s="3461"/>
      <c r="WAB63" s="3461"/>
      <c r="WAC63" s="3461"/>
      <c r="WAD63" s="3461"/>
      <c r="WAE63" s="3461"/>
      <c r="WAF63" s="3461"/>
      <c r="WAG63" s="3461"/>
      <c r="WAH63" s="3461"/>
      <c r="WAI63" s="3461"/>
      <c r="WAJ63" s="3461"/>
      <c r="WAK63" s="3461"/>
      <c r="WAL63" s="3461"/>
      <c r="WAM63" s="3461"/>
      <c r="WAN63" s="3461"/>
      <c r="WAO63" s="3461"/>
      <c r="WAP63" s="3461"/>
      <c r="WAQ63" s="3461"/>
      <c r="WAR63" s="3461"/>
      <c r="WAS63" s="3461"/>
      <c r="WAT63" s="3461"/>
      <c r="WAU63" s="3461"/>
      <c r="WAV63" s="3461"/>
      <c r="WAW63" s="3461"/>
      <c r="WAX63" s="3461"/>
      <c r="WAY63" s="3461"/>
      <c r="WAZ63" s="3461"/>
      <c r="WBA63" s="3461"/>
      <c r="WBB63" s="3461"/>
      <c r="WBC63" s="3461"/>
      <c r="WBD63" s="3461"/>
      <c r="WBE63" s="3461"/>
      <c r="WBF63" s="3461"/>
      <c r="WBG63" s="3461"/>
      <c r="WBH63" s="3461"/>
      <c r="WBI63" s="3461"/>
      <c r="WBJ63" s="3461"/>
      <c r="WBK63" s="3461"/>
      <c r="WBL63" s="3461"/>
      <c r="WBM63" s="3461"/>
      <c r="WBN63" s="3461"/>
      <c r="WBO63" s="3461"/>
      <c r="WBP63" s="3461"/>
      <c r="WBQ63" s="3461"/>
      <c r="WBR63" s="3461"/>
      <c r="WBS63" s="3461"/>
      <c r="WBT63" s="3461"/>
      <c r="WBU63" s="3461"/>
      <c r="WBV63" s="3461"/>
      <c r="WBW63" s="3461"/>
      <c r="WBX63" s="3461"/>
      <c r="WBY63" s="3461"/>
      <c r="WBZ63" s="3461"/>
      <c r="WCA63" s="3461"/>
      <c r="WCB63" s="3461"/>
      <c r="WCC63" s="3461"/>
      <c r="WCD63" s="3461"/>
      <c r="WCE63" s="3461"/>
      <c r="WCF63" s="3461"/>
      <c r="WCG63" s="3461"/>
      <c r="WCH63" s="3461"/>
      <c r="WCI63" s="3461"/>
      <c r="WCJ63" s="3461"/>
      <c r="WCK63" s="3461"/>
      <c r="WCL63" s="3461"/>
      <c r="WCM63" s="3461"/>
      <c r="WCN63" s="3461"/>
      <c r="WCO63" s="3461"/>
      <c r="WCP63" s="3461"/>
      <c r="WCQ63" s="3461"/>
      <c r="WCR63" s="3461"/>
      <c r="WCS63" s="3461"/>
      <c r="WCT63" s="3461"/>
      <c r="WCU63" s="3461"/>
      <c r="WCV63" s="3461"/>
      <c r="WCW63" s="3461"/>
      <c r="WCX63" s="3461"/>
      <c r="WCY63" s="3461"/>
      <c r="WCZ63" s="3461"/>
      <c r="WDA63" s="3461"/>
      <c r="WDB63" s="3461"/>
      <c r="WDC63" s="3461"/>
      <c r="WDD63" s="3461"/>
      <c r="WDE63" s="3461"/>
      <c r="WDF63" s="3461"/>
      <c r="WDG63" s="3461"/>
      <c r="WDH63" s="3461"/>
      <c r="WDI63" s="3461"/>
      <c r="WDJ63" s="3461"/>
      <c r="WDK63" s="3461"/>
      <c r="WDL63" s="3461"/>
      <c r="WDM63" s="3461"/>
      <c r="WDN63" s="3461"/>
      <c r="WDO63" s="3461"/>
      <c r="WDP63" s="3461"/>
      <c r="WDQ63" s="3461"/>
      <c r="WDR63" s="3461"/>
      <c r="WDS63" s="3461"/>
      <c r="WDT63" s="3461"/>
      <c r="WDU63" s="3461"/>
      <c r="WDV63" s="3461"/>
      <c r="WDW63" s="3461"/>
      <c r="WDX63" s="3461"/>
      <c r="WDY63" s="3461"/>
      <c r="WDZ63" s="3461"/>
      <c r="WEA63" s="3461"/>
      <c r="WEB63" s="3461"/>
      <c r="WEC63" s="3461"/>
      <c r="WED63" s="3461"/>
      <c r="WEE63" s="3461"/>
      <c r="WEF63" s="3461"/>
      <c r="WEG63" s="3461"/>
      <c r="WEH63" s="3461"/>
      <c r="WEI63" s="3461"/>
      <c r="WEJ63" s="3461"/>
      <c r="WEK63" s="3461"/>
      <c r="WEL63" s="3461"/>
      <c r="WEM63" s="3461"/>
      <c r="WEN63" s="3461"/>
      <c r="WEO63" s="3461"/>
      <c r="WEP63" s="3461"/>
      <c r="WEQ63" s="3461"/>
      <c r="WER63" s="3461"/>
      <c r="WES63" s="3461"/>
      <c r="WET63" s="3461"/>
      <c r="WEU63" s="3461"/>
      <c r="WEV63" s="3461"/>
      <c r="WEW63" s="3461"/>
      <c r="WEX63" s="3461"/>
      <c r="WEY63" s="3461"/>
      <c r="WEZ63" s="3461"/>
      <c r="WFA63" s="3461"/>
      <c r="WFB63" s="3461"/>
      <c r="WFC63" s="3461"/>
      <c r="WFD63" s="3461"/>
      <c r="WFE63" s="3461"/>
      <c r="WFF63" s="3461"/>
      <c r="WFG63" s="3461"/>
      <c r="WFH63" s="3461"/>
      <c r="WFI63" s="3461"/>
      <c r="WFJ63" s="3461"/>
      <c r="WFK63" s="3461"/>
      <c r="WFL63" s="3461"/>
      <c r="WFM63" s="3461"/>
      <c r="WFN63" s="3461"/>
      <c r="WFO63" s="3461"/>
      <c r="WFP63" s="3461"/>
      <c r="WFQ63" s="3461"/>
      <c r="WFR63" s="3461"/>
      <c r="WFS63" s="3461"/>
      <c r="WFT63" s="3461"/>
      <c r="WFU63" s="3461"/>
      <c r="WFV63" s="3461"/>
      <c r="WFW63" s="3461"/>
      <c r="WFX63" s="3461"/>
      <c r="WFY63" s="3461"/>
      <c r="WFZ63" s="3461"/>
      <c r="WGA63" s="3461"/>
      <c r="WGB63" s="3461"/>
      <c r="WGC63" s="3461"/>
      <c r="WGD63" s="3461"/>
      <c r="WGE63" s="3461"/>
      <c r="WGF63" s="3461"/>
      <c r="WGG63" s="3461"/>
      <c r="WGH63" s="3461"/>
      <c r="WGI63" s="3461"/>
      <c r="WGJ63" s="3461"/>
      <c r="WGK63" s="3461"/>
      <c r="WGL63" s="3461"/>
      <c r="WGM63" s="3461"/>
      <c r="WGN63" s="3461"/>
      <c r="WGO63" s="3461"/>
      <c r="WGP63" s="3461"/>
      <c r="WGQ63" s="3461"/>
      <c r="WGR63" s="3461"/>
      <c r="WGS63" s="3461"/>
      <c r="WGT63" s="3461"/>
      <c r="WGU63" s="3461"/>
      <c r="WGV63" s="3461"/>
      <c r="WGW63" s="3461"/>
      <c r="WGX63" s="3461"/>
      <c r="WGY63" s="3461"/>
      <c r="WGZ63" s="3461"/>
      <c r="WHA63" s="3461"/>
      <c r="WHB63" s="3461"/>
      <c r="WHC63" s="3461"/>
      <c r="WHD63" s="3461"/>
      <c r="WHE63" s="3461"/>
      <c r="WHF63" s="3461"/>
      <c r="WHG63" s="3461"/>
      <c r="WHH63" s="3461"/>
      <c r="WHI63" s="3461"/>
      <c r="WHJ63" s="3461"/>
      <c r="WHK63" s="3461"/>
      <c r="WHL63" s="3461"/>
      <c r="WHM63" s="3461"/>
      <c r="WHN63" s="3461"/>
      <c r="WHO63" s="3461"/>
      <c r="WHP63" s="3461"/>
      <c r="WHQ63" s="3461"/>
      <c r="WHR63" s="3461"/>
      <c r="WHS63" s="3461"/>
      <c r="WHT63" s="3461"/>
      <c r="WHU63" s="3461"/>
      <c r="WHV63" s="3461"/>
      <c r="WHW63" s="3461"/>
      <c r="WHX63" s="3461"/>
      <c r="WHY63" s="3461"/>
      <c r="WHZ63" s="3461"/>
      <c r="WIA63" s="3461"/>
      <c r="WIB63" s="3461"/>
      <c r="WIC63" s="3461"/>
      <c r="WID63" s="3461"/>
      <c r="WIE63" s="3461"/>
      <c r="WIF63" s="3461"/>
      <c r="WIG63" s="3461"/>
      <c r="WIH63" s="3461"/>
      <c r="WII63" s="3461"/>
      <c r="WIJ63" s="3461"/>
      <c r="WIK63" s="3461"/>
      <c r="WIL63" s="3461"/>
      <c r="WIM63" s="3461"/>
      <c r="WIN63" s="3461"/>
      <c r="WIO63" s="3461"/>
      <c r="WIP63" s="3461"/>
      <c r="WIQ63" s="3461"/>
      <c r="WIR63" s="3461"/>
      <c r="WIS63" s="3461"/>
      <c r="WIT63" s="3461"/>
      <c r="WIU63" s="3461"/>
      <c r="WIV63" s="3461"/>
      <c r="WIW63" s="3461"/>
      <c r="WIX63" s="3461"/>
      <c r="WIY63" s="3461"/>
      <c r="WIZ63" s="3461"/>
      <c r="WJA63" s="3461"/>
      <c r="WJB63" s="3461"/>
      <c r="WJC63" s="3461"/>
      <c r="WJD63" s="3461"/>
      <c r="WJE63" s="3461"/>
      <c r="WJF63" s="3461"/>
      <c r="WJG63" s="3461"/>
      <c r="WJH63" s="3461"/>
      <c r="WJI63" s="3461"/>
      <c r="WJJ63" s="3461"/>
      <c r="WJK63" s="3461"/>
      <c r="WJL63" s="3461"/>
      <c r="WJM63" s="3461"/>
      <c r="WJN63" s="3461"/>
      <c r="WJO63" s="3461"/>
      <c r="WJP63" s="3461"/>
      <c r="WJQ63" s="3461"/>
      <c r="WJR63" s="3461"/>
      <c r="WJS63" s="3461"/>
      <c r="WJT63" s="3461"/>
      <c r="WJU63" s="3461"/>
      <c r="WJV63" s="3461"/>
      <c r="WJW63" s="3461"/>
      <c r="WJX63" s="3461"/>
      <c r="WJY63" s="3461"/>
      <c r="WJZ63" s="3461"/>
      <c r="WKA63" s="3461"/>
      <c r="WKB63" s="3461"/>
      <c r="WKC63" s="3461"/>
      <c r="WKD63" s="3461"/>
      <c r="WKE63" s="3461"/>
      <c r="WKF63" s="3461"/>
      <c r="WKG63" s="3461"/>
      <c r="WKH63" s="3461"/>
      <c r="WKI63" s="3461"/>
      <c r="WKJ63" s="3461"/>
      <c r="WKK63" s="3461"/>
      <c r="WKL63" s="3461"/>
      <c r="WKM63" s="3461"/>
      <c r="WKN63" s="3461"/>
      <c r="WKO63" s="3461"/>
      <c r="WKP63" s="3461"/>
      <c r="WKQ63" s="3461"/>
      <c r="WKR63" s="3461"/>
      <c r="WKS63" s="3461"/>
      <c r="WKT63" s="3461"/>
      <c r="WKU63" s="3461"/>
      <c r="WKV63" s="3461"/>
      <c r="WKW63" s="3461"/>
      <c r="WKX63" s="3461"/>
      <c r="WKY63" s="3461"/>
      <c r="WKZ63" s="3461"/>
      <c r="WLA63" s="3461"/>
      <c r="WLB63" s="3461"/>
      <c r="WLC63" s="3461"/>
      <c r="WLD63" s="3461"/>
      <c r="WLE63" s="3461"/>
      <c r="WLF63" s="3461"/>
      <c r="WLG63" s="3461"/>
      <c r="WLH63" s="3461"/>
      <c r="WLI63" s="3461"/>
      <c r="WLJ63" s="3461"/>
      <c r="WLK63" s="3461"/>
      <c r="WLL63" s="3461"/>
      <c r="WLM63" s="3461"/>
      <c r="WLN63" s="3461"/>
      <c r="WLO63" s="3461"/>
      <c r="WLP63" s="3461"/>
      <c r="WLQ63" s="3461"/>
      <c r="WLR63" s="3461"/>
      <c r="WLS63" s="3461"/>
      <c r="WLT63" s="3461"/>
      <c r="WLU63" s="3461"/>
      <c r="WLV63" s="3461"/>
      <c r="WLW63" s="3461"/>
      <c r="WLX63" s="3461"/>
      <c r="WLY63" s="3461"/>
      <c r="WLZ63" s="3461"/>
      <c r="WMA63" s="3461"/>
      <c r="WMB63" s="3461"/>
      <c r="WMC63" s="3461"/>
      <c r="WMD63" s="3461"/>
      <c r="WME63" s="3461"/>
      <c r="WMF63" s="3461"/>
      <c r="WMG63" s="3461"/>
      <c r="WMH63" s="3461"/>
      <c r="WMI63" s="3461"/>
      <c r="WMJ63" s="3461"/>
      <c r="WMK63" s="3461"/>
      <c r="WML63" s="3461"/>
      <c r="WMM63" s="3461"/>
      <c r="WMN63" s="3461"/>
      <c r="WMO63" s="3461"/>
      <c r="WMP63" s="3461"/>
      <c r="WMQ63" s="3461"/>
      <c r="WMR63" s="3461"/>
      <c r="WMS63" s="3461"/>
      <c r="WMT63" s="3461"/>
      <c r="WMU63" s="3461"/>
      <c r="WMV63" s="3461"/>
      <c r="WMW63" s="3461"/>
      <c r="WMX63" s="3461"/>
      <c r="WMY63" s="3461"/>
      <c r="WMZ63" s="3461"/>
      <c r="WNA63" s="3461"/>
      <c r="WNB63" s="3461"/>
      <c r="WNC63" s="3461"/>
      <c r="WND63" s="3461"/>
      <c r="WNE63" s="3461"/>
      <c r="WNF63" s="3461"/>
      <c r="WNG63" s="3461"/>
      <c r="WNH63" s="3461"/>
      <c r="WNI63" s="3461"/>
      <c r="WNJ63" s="3461"/>
      <c r="WNK63" s="3461"/>
      <c r="WNL63" s="3461"/>
      <c r="WNM63" s="3461"/>
      <c r="WNN63" s="3461"/>
      <c r="WNO63" s="3461"/>
      <c r="WNP63" s="3461"/>
      <c r="WNQ63" s="3461"/>
      <c r="WNR63" s="3461"/>
      <c r="WNS63" s="3461"/>
      <c r="WNT63" s="3461"/>
      <c r="WNU63" s="3461"/>
      <c r="WNV63" s="3461"/>
      <c r="WNW63" s="3461"/>
      <c r="WNX63" s="3461"/>
      <c r="WNY63" s="3461"/>
      <c r="WNZ63" s="3461"/>
      <c r="WOA63" s="3461"/>
      <c r="WOB63" s="3461"/>
      <c r="WOC63" s="3461"/>
      <c r="WOD63" s="3461"/>
      <c r="WOE63" s="3461"/>
      <c r="WOF63" s="3461"/>
      <c r="WOG63" s="3461"/>
      <c r="WOH63" s="3461"/>
      <c r="WOI63" s="3461"/>
      <c r="WOJ63" s="3461"/>
      <c r="WOK63" s="3461"/>
      <c r="WOL63" s="3461"/>
      <c r="WOM63" s="3461"/>
      <c r="WON63" s="3461"/>
      <c r="WOO63" s="3461"/>
      <c r="WOP63" s="3461"/>
      <c r="WOQ63" s="3461"/>
      <c r="WOR63" s="3461"/>
      <c r="WOS63" s="3461"/>
      <c r="WOT63" s="3461"/>
      <c r="WOU63" s="3461"/>
      <c r="WOV63" s="3461"/>
      <c r="WOW63" s="3461"/>
      <c r="WOX63" s="3461"/>
      <c r="WOY63" s="3461"/>
      <c r="WOZ63" s="3461"/>
      <c r="WPA63" s="3461"/>
      <c r="WPB63" s="3461"/>
      <c r="WPC63" s="3461"/>
      <c r="WPD63" s="3461"/>
      <c r="WPE63" s="3461"/>
      <c r="WPF63" s="3461"/>
      <c r="WPG63" s="3461"/>
      <c r="WPH63" s="3461"/>
      <c r="WPI63" s="3461"/>
      <c r="WPJ63" s="3461"/>
      <c r="WPK63" s="3461"/>
      <c r="WPL63" s="3461"/>
      <c r="WPM63" s="3461"/>
      <c r="WPN63" s="3461"/>
      <c r="WPO63" s="3461"/>
      <c r="WPP63" s="3461"/>
      <c r="WPQ63" s="3461"/>
      <c r="WPR63" s="3461"/>
      <c r="WPS63" s="3461"/>
      <c r="WPT63" s="3461"/>
      <c r="WPU63" s="3461"/>
      <c r="WPV63" s="3461"/>
      <c r="WPW63" s="3461"/>
      <c r="WPX63" s="3461"/>
      <c r="WPY63" s="3461"/>
      <c r="WPZ63" s="3461"/>
      <c r="WQA63" s="3461"/>
      <c r="WQB63" s="3461"/>
      <c r="WQC63" s="3461"/>
      <c r="WQD63" s="3461"/>
      <c r="WQE63" s="3461"/>
      <c r="WQF63" s="3461"/>
      <c r="WQG63" s="3461"/>
      <c r="WQH63" s="3461"/>
      <c r="WQI63" s="3461"/>
      <c r="WQJ63" s="3461"/>
      <c r="WQK63" s="3461"/>
      <c r="WQL63" s="3461"/>
      <c r="WQM63" s="3461"/>
      <c r="WQN63" s="3461"/>
      <c r="WQO63" s="3461"/>
      <c r="WQP63" s="3461"/>
      <c r="WQQ63" s="3461"/>
      <c r="WQR63" s="3461"/>
      <c r="WQS63" s="3461"/>
      <c r="WQT63" s="3461"/>
      <c r="WQU63" s="3461"/>
      <c r="WQV63" s="3461"/>
      <c r="WQW63" s="3461"/>
      <c r="WQX63" s="3461"/>
      <c r="WQY63" s="3461"/>
      <c r="WQZ63" s="3461"/>
      <c r="WRA63" s="3461"/>
      <c r="WRB63" s="3461"/>
      <c r="WRC63" s="3461"/>
      <c r="WRD63" s="3461"/>
      <c r="WRE63" s="3461"/>
      <c r="WRF63" s="3461"/>
      <c r="WRG63" s="3461"/>
      <c r="WRH63" s="3461"/>
      <c r="WRI63" s="3461"/>
      <c r="WRJ63" s="3461"/>
      <c r="WRK63" s="3461"/>
      <c r="WRL63" s="3461"/>
      <c r="WRM63" s="3461"/>
      <c r="WRN63" s="3461"/>
      <c r="WRO63" s="3461"/>
      <c r="WRP63" s="3461"/>
      <c r="WRQ63" s="3461"/>
      <c r="WRR63" s="3461"/>
      <c r="WRS63" s="3461"/>
      <c r="WRT63" s="3461"/>
      <c r="WRU63" s="3461"/>
      <c r="WRV63" s="3461"/>
      <c r="WRW63" s="3461"/>
      <c r="WRX63" s="3461"/>
      <c r="WRY63" s="3461"/>
      <c r="WRZ63" s="3461"/>
      <c r="WSA63" s="3461"/>
      <c r="WSB63" s="3461"/>
      <c r="WSC63" s="3461"/>
      <c r="WSD63" s="3461"/>
      <c r="WSE63" s="3461"/>
      <c r="WSF63" s="3461"/>
      <c r="WSG63" s="3461"/>
      <c r="WSH63" s="3461"/>
      <c r="WSI63" s="3461"/>
      <c r="WSJ63" s="3461"/>
      <c r="WSK63" s="3461"/>
      <c r="WSL63" s="3461"/>
      <c r="WSM63" s="3461"/>
      <c r="WSN63" s="3461"/>
      <c r="WSO63" s="3461"/>
      <c r="WSP63" s="3461"/>
      <c r="WSQ63" s="3461"/>
      <c r="WSR63" s="3461"/>
      <c r="WSS63" s="3461"/>
      <c r="WST63" s="3461"/>
      <c r="WSU63" s="3461"/>
      <c r="WSV63" s="3461"/>
      <c r="WSW63" s="3461"/>
      <c r="WSX63" s="3461"/>
      <c r="WSY63" s="3461"/>
      <c r="WSZ63" s="3461"/>
      <c r="WTA63" s="3461"/>
      <c r="WTB63" s="3461"/>
      <c r="WTC63" s="3461"/>
      <c r="WTD63" s="3461"/>
      <c r="WTE63" s="3461"/>
      <c r="WTF63" s="3461"/>
      <c r="WTG63" s="3461"/>
      <c r="WTH63" s="3461"/>
      <c r="WTI63" s="3461"/>
      <c r="WTJ63" s="3461"/>
      <c r="WTK63" s="3461"/>
      <c r="WTL63" s="3461"/>
      <c r="WTM63" s="3461"/>
      <c r="WTN63" s="3461"/>
      <c r="WTO63" s="3461"/>
      <c r="WTP63" s="3461"/>
      <c r="WTQ63" s="3461"/>
      <c r="WTR63" s="3461"/>
      <c r="WTS63" s="3461"/>
      <c r="WTT63" s="3461"/>
      <c r="WTU63" s="3461"/>
      <c r="WTV63" s="3461"/>
      <c r="WTW63" s="3461"/>
      <c r="WTX63" s="3461"/>
      <c r="WTY63" s="3461"/>
      <c r="WTZ63" s="3461"/>
      <c r="WUA63" s="3461"/>
      <c r="WUB63" s="3461"/>
      <c r="WUC63" s="3461"/>
      <c r="WUD63" s="3461"/>
      <c r="WUE63" s="3461"/>
      <c r="WUF63" s="3461"/>
      <c r="WUG63" s="3461"/>
      <c r="WUH63" s="3461"/>
      <c r="WUI63" s="3461"/>
      <c r="WUJ63" s="3461"/>
      <c r="WUK63" s="3461"/>
      <c r="WUL63" s="3461"/>
      <c r="WUM63" s="3461"/>
      <c r="WUN63" s="3461"/>
      <c r="WUO63" s="3461"/>
      <c r="WUP63" s="3461"/>
      <c r="WUQ63" s="3461"/>
      <c r="WUR63" s="3461"/>
      <c r="WUS63" s="3461"/>
      <c r="WUT63" s="3461"/>
      <c r="WUU63" s="3461"/>
      <c r="WUV63" s="3461"/>
      <c r="WUW63" s="3461"/>
      <c r="WUX63" s="3461"/>
      <c r="WUY63" s="3461"/>
      <c r="WUZ63" s="3461"/>
      <c r="WVA63" s="3461"/>
      <c r="WVB63" s="3461"/>
      <c r="WVC63" s="3461"/>
      <c r="WVD63" s="3461"/>
      <c r="WVE63" s="3461"/>
      <c r="WVF63" s="3461"/>
      <c r="WVG63" s="3461"/>
      <c r="WVH63" s="3461"/>
      <c r="WVI63" s="3461"/>
      <c r="WVJ63" s="3461"/>
      <c r="WVK63" s="3461"/>
      <c r="WVL63" s="3461"/>
      <c r="WVM63" s="3461"/>
      <c r="WVN63" s="3461"/>
      <c r="WVO63" s="3461"/>
      <c r="WVP63" s="3461"/>
      <c r="WVQ63" s="3461"/>
      <c r="WVR63" s="3461"/>
      <c r="WVS63" s="3461"/>
      <c r="WVT63" s="3461"/>
      <c r="WVU63" s="3461"/>
      <c r="WVV63" s="3461"/>
      <c r="WVW63" s="3461"/>
      <c r="WVX63" s="3461"/>
      <c r="WVY63" s="3461"/>
      <c r="WVZ63" s="3461"/>
      <c r="WWA63" s="3461"/>
      <c r="WWB63" s="3461"/>
      <c r="WWC63" s="3461"/>
      <c r="WWD63" s="3461"/>
      <c r="WWE63" s="3461"/>
      <c r="WWF63" s="3461"/>
      <c r="WWG63" s="3461"/>
      <c r="WWH63" s="3461"/>
      <c r="WWI63" s="3461"/>
      <c r="WWJ63" s="3461"/>
      <c r="WWK63" s="3461"/>
      <c r="WWL63" s="3461"/>
      <c r="WWM63" s="3461"/>
      <c r="WWN63" s="3461"/>
      <c r="WWO63" s="3461"/>
      <c r="WWP63" s="3461"/>
      <c r="WWQ63" s="3461"/>
      <c r="WWR63" s="3461"/>
      <c r="WWS63" s="3461"/>
      <c r="WWT63" s="3461"/>
      <c r="WWU63" s="3461"/>
      <c r="WWV63" s="3461"/>
      <c r="WWW63" s="3461"/>
      <c r="WWX63" s="3461"/>
      <c r="WWY63" s="3461"/>
      <c r="WWZ63" s="3461"/>
      <c r="WXA63" s="3461"/>
      <c r="WXB63" s="3461"/>
      <c r="WXC63" s="3461"/>
      <c r="WXD63" s="3461"/>
      <c r="WXE63" s="3461"/>
      <c r="WXF63" s="3461"/>
      <c r="WXG63" s="3461"/>
      <c r="WXH63" s="3461"/>
      <c r="WXI63" s="3461"/>
      <c r="WXJ63" s="3461"/>
      <c r="WXK63" s="3461"/>
      <c r="WXL63" s="3461"/>
      <c r="WXM63" s="3461"/>
      <c r="WXN63" s="3461"/>
      <c r="WXO63" s="3461"/>
      <c r="WXP63" s="3461"/>
      <c r="WXQ63" s="3461"/>
      <c r="WXR63" s="3461"/>
      <c r="WXS63" s="3461"/>
      <c r="WXT63" s="3461"/>
      <c r="WXU63" s="3461"/>
      <c r="WXV63" s="3461"/>
      <c r="WXW63" s="3461"/>
      <c r="WXX63" s="3461"/>
      <c r="WXY63" s="3461"/>
      <c r="WXZ63" s="3461"/>
      <c r="WYA63" s="3461"/>
      <c r="WYB63" s="3461"/>
      <c r="WYC63" s="3461"/>
      <c r="WYD63" s="3461"/>
      <c r="WYE63" s="3461"/>
      <c r="WYF63" s="3461"/>
      <c r="WYG63" s="3461"/>
      <c r="WYH63" s="3461"/>
      <c r="WYI63" s="3461"/>
      <c r="WYJ63" s="3461"/>
      <c r="WYK63" s="3461"/>
      <c r="WYL63" s="3461"/>
      <c r="WYM63" s="3461"/>
      <c r="WYN63" s="3461"/>
      <c r="WYO63" s="3461"/>
      <c r="WYP63" s="3461"/>
      <c r="WYQ63" s="3461"/>
      <c r="WYR63" s="3461"/>
      <c r="WYS63" s="3461"/>
      <c r="WYT63" s="3461"/>
      <c r="WYU63" s="3461"/>
      <c r="WYV63" s="3461"/>
      <c r="WYW63" s="3461"/>
      <c r="WYX63" s="3461"/>
      <c r="WYY63" s="3461"/>
      <c r="WYZ63" s="3461"/>
      <c r="WZA63" s="3461"/>
      <c r="WZB63" s="3461"/>
      <c r="WZC63" s="3461"/>
      <c r="WZD63" s="3461"/>
      <c r="WZE63" s="3461"/>
      <c r="WZF63" s="3461"/>
      <c r="WZG63" s="3461"/>
      <c r="WZH63" s="3461"/>
      <c r="WZI63" s="3461"/>
      <c r="WZJ63" s="3461"/>
      <c r="WZK63" s="3461"/>
      <c r="WZL63" s="3461"/>
      <c r="WZM63" s="3461"/>
      <c r="WZN63" s="3461"/>
      <c r="WZO63" s="3461"/>
      <c r="WZP63" s="3461"/>
      <c r="WZQ63" s="3461"/>
      <c r="WZR63" s="3461"/>
      <c r="WZS63" s="3461"/>
      <c r="WZT63" s="3461"/>
      <c r="WZU63" s="3461"/>
      <c r="WZV63" s="3461"/>
      <c r="WZW63" s="3461"/>
      <c r="WZX63" s="3461"/>
      <c r="WZY63" s="3461"/>
      <c r="WZZ63" s="3461"/>
      <c r="XAA63" s="3461"/>
      <c r="XAB63" s="3461"/>
      <c r="XAC63" s="3461"/>
      <c r="XAD63" s="3461"/>
      <c r="XAE63" s="3461"/>
      <c r="XAF63" s="3461"/>
      <c r="XAG63" s="3461"/>
      <c r="XAH63" s="3461"/>
      <c r="XAI63" s="3461"/>
      <c r="XAJ63" s="3461"/>
      <c r="XAK63" s="3461"/>
      <c r="XAL63" s="3461"/>
      <c r="XAM63" s="3461"/>
      <c r="XAN63" s="3461"/>
      <c r="XAO63" s="3461"/>
      <c r="XAP63" s="3461"/>
      <c r="XAQ63" s="3461"/>
      <c r="XAR63" s="3461"/>
      <c r="XAS63" s="3461"/>
      <c r="XAT63" s="3461"/>
      <c r="XAU63" s="3461"/>
      <c r="XAV63" s="3461"/>
      <c r="XAW63" s="3461"/>
      <c r="XAX63" s="3461"/>
      <c r="XAY63" s="3461"/>
      <c r="XAZ63" s="3461"/>
      <c r="XBA63" s="3461"/>
      <c r="XBB63" s="3461"/>
      <c r="XBC63" s="3461"/>
      <c r="XBD63" s="3461"/>
      <c r="XBE63" s="3461"/>
      <c r="XBF63" s="3461"/>
      <c r="XBG63" s="3461"/>
      <c r="XBH63" s="3461"/>
      <c r="XBI63" s="3461"/>
      <c r="XBJ63" s="3461"/>
      <c r="XBK63" s="3461"/>
      <c r="XBL63" s="3461"/>
      <c r="XBM63" s="3461"/>
      <c r="XBN63" s="3461"/>
      <c r="XBO63" s="3461"/>
      <c r="XBP63" s="3461"/>
      <c r="XBQ63" s="3461"/>
      <c r="XBR63" s="3461"/>
      <c r="XBS63" s="3461"/>
      <c r="XBT63" s="3461"/>
      <c r="XBU63" s="3461"/>
      <c r="XBV63" s="3461"/>
      <c r="XBW63" s="3461"/>
      <c r="XBX63" s="3461"/>
      <c r="XBY63" s="3461"/>
      <c r="XBZ63" s="3461"/>
      <c r="XCA63" s="3461"/>
      <c r="XCB63" s="3461"/>
      <c r="XCC63" s="3461"/>
      <c r="XCD63" s="3461"/>
      <c r="XCE63" s="3461"/>
      <c r="XCF63" s="3461"/>
      <c r="XCG63" s="3461"/>
      <c r="XCH63" s="3461"/>
      <c r="XCI63" s="3461"/>
      <c r="XCJ63" s="3461"/>
      <c r="XCK63" s="3461"/>
      <c r="XCL63" s="3461"/>
      <c r="XCM63" s="3461"/>
      <c r="XCN63" s="3461"/>
      <c r="XCO63" s="3461"/>
      <c r="XCP63" s="3461"/>
      <c r="XCQ63" s="3461"/>
      <c r="XCR63" s="3461"/>
      <c r="XCS63" s="3461"/>
      <c r="XCT63" s="3461"/>
      <c r="XCU63" s="3461"/>
      <c r="XCV63" s="3461"/>
      <c r="XCW63" s="3461"/>
      <c r="XCX63" s="3461"/>
      <c r="XCY63" s="3461"/>
      <c r="XCZ63" s="3461"/>
      <c r="XDA63" s="3461"/>
      <c r="XDB63" s="3461"/>
      <c r="XDC63" s="3461"/>
      <c r="XDD63" s="3461"/>
      <c r="XDE63" s="3461"/>
      <c r="XDF63" s="3461"/>
      <c r="XDG63" s="3461"/>
      <c r="XDH63" s="3461"/>
      <c r="XDI63" s="3461"/>
      <c r="XDJ63" s="3461"/>
      <c r="XDK63" s="3461"/>
      <c r="XDL63" s="3461"/>
      <c r="XDM63" s="3461"/>
      <c r="XDN63" s="3461"/>
      <c r="XDO63" s="3461"/>
      <c r="XDP63" s="3461"/>
      <c r="XDQ63" s="3461"/>
      <c r="XDR63" s="3461"/>
      <c r="XDS63" s="3461"/>
      <c r="XDT63" s="3461"/>
      <c r="XDU63" s="3461"/>
      <c r="XDV63" s="3461"/>
      <c r="XDW63" s="3461"/>
      <c r="XDX63" s="3461"/>
      <c r="XDY63" s="3461"/>
      <c r="XDZ63" s="3461"/>
      <c r="XEA63" s="3461"/>
      <c r="XEB63" s="3461"/>
      <c r="XEC63" s="3461"/>
      <c r="XED63" s="3461"/>
      <c r="XEE63" s="3461"/>
      <c r="XEF63" s="3461"/>
      <c r="XEG63" s="3461"/>
      <c r="XEH63" s="3461"/>
      <c r="XEI63" s="3461"/>
      <c r="XEJ63" s="3461"/>
      <c r="XEK63" s="3461"/>
      <c r="XEL63" s="3461"/>
      <c r="XEM63" s="3461"/>
      <c r="XEN63" s="3461"/>
      <c r="XEO63" s="3461"/>
      <c r="XEP63" s="3461"/>
      <c r="XEQ63" s="3461"/>
      <c r="XER63" s="3461"/>
      <c r="XES63" s="3461"/>
      <c r="XET63" s="3461"/>
      <c r="XEU63" s="3461"/>
      <c r="XEV63" s="3461"/>
      <c r="XEW63" s="3461"/>
      <c r="XEX63" s="3461"/>
      <c r="XEY63" s="3461"/>
      <c r="XEZ63" s="3461"/>
      <c r="XFA63" s="3461"/>
      <c r="XFB63" s="3461"/>
    </row>
    <row r="64" spans="1:16382" s="3567" customFormat="1" ht="15" customHeight="1">
      <c r="A64" s="302"/>
      <c r="B64" s="3557"/>
      <c r="C64" s="3558"/>
      <c r="D64" s="3559"/>
      <c r="E64" s="3559"/>
      <c r="F64" s="3544"/>
      <c r="G64" s="3560"/>
      <c r="H64" s="3561" t="s">
        <v>249</v>
      </c>
      <c r="I64" s="3467">
        <f>SUM(M64:BA64)</f>
        <v>44434.80000000001</v>
      </c>
      <c r="J64" s="3562">
        <f t="shared" ref="J64:BA64" si="18">SUM(J66:J103)</f>
        <v>0</v>
      </c>
      <c r="K64" s="3562">
        <f t="shared" si="18"/>
        <v>0</v>
      </c>
      <c r="L64" s="3562">
        <f t="shared" si="18"/>
        <v>0</v>
      </c>
      <c r="M64" s="3562">
        <f t="shared" si="18"/>
        <v>0</v>
      </c>
      <c r="N64" s="3563">
        <f t="shared" si="18"/>
        <v>0</v>
      </c>
      <c r="O64" s="3564">
        <f t="shared" si="18"/>
        <v>0</v>
      </c>
      <c r="P64" s="3564">
        <f t="shared" si="18"/>
        <v>510</v>
      </c>
      <c r="Q64" s="3564">
        <f t="shared" si="18"/>
        <v>0</v>
      </c>
      <c r="R64" s="3564">
        <f t="shared" si="18"/>
        <v>0</v>
      </c>
      <c r="S64" s="3564">
        <f t="shared" si="18"/>
        <v>0</v>
      </c>
      <c r="T64" s="3564">
        <f t="shared" si="18"/>
        <v>471</v>
      </c>
      <c r="U64" s="3564">
        <f t="shared" si="18"/>
        <v>430</v>
      </c>
      <c r="V64" s="3564">
        <f t="shared" si="18"/>
        <v>0</v>
      </c>
      <c r="W64" s="3564">
        <f t="shared" si="18"/>
        <v>2106</v>
      </c>
      <c r="X64" s="3565">
        <f t="shared" si="18"/>
        <v>2400</v>
      </c>
      <c r="Y64" s="3564">
        <f t="shared" si="18"/>
        <v>1810.76</v>
      </c>
      <c r="Z64" s="3564">
        <f t="shared" si="18"/>
        <v>2644</v>
      </c>
      <c r="AA64" s="3564">
        <f t="shared" si="18"/>
        <v>80</v>
      </c>
      <c r="AB64" s="3564">
        <f t="shared" si="18"/>
        <v>3000</v>
      </c>
      <c r="AC64" s="3564">
        <f t="shared" si="18"/>
        <v>4100</v>
      </c>
      <c r="AD64" s="3564">
        <f t="shared" si="18"/>
        <v>5108.76</v>
      </c>
      <c r="AE64" s="3564">
        <f t="shared" si="18"/>
        <v>1888</v>
      </c>
      <c r="AF64" s="3564">
        <f t="shared" si="18"/>
        <v>240</v>
      </c>
      <c r="AG64" s="3564">
        <f t="shared" si="18"/>
        <v>3451.5</v>
      </c>
      <c r="AH64" s="3565">
        <f t="shared" si="18"/>
        <v>1345.5</v>
      </c>
      <c r="AI64" s="3564">
        <f t="shared" si="18"/>
        <v>2470.7600000000002</v>
      </c>
      <c r="AJ64" s="3564">
        <f t="shared" si="18"/>
        <v>2510</v>
      </c>
      <c r="AK64" s="3564">
        <f t="shared" si="18"/>
        <v>600</v>
      </c>
      <c r="AL64" s="3564">
        <f t="shared" si="18"/>
        <v>0</v>
      </c>
      <c r="AM64" s="3564">
        <f t="shared" si="18"/>
        <v>320</v>
      </c>
      <c r="AN64" s="3564">
        <f t="shared" si="18"/>
        <v>690.76</v>
      </c>
      <c r="AO64" s="3564">
        <f t="shared" si="18"/>
        <v>530</v>
      </c>
      <c r="AP64" s="3564">
        <f t="shared" si="18"/>
        <v>0</v>
      </c>
      <c r="AQ64" s="3564">
        <f t="shared" si="18"/>
        <v>2606</v>
      </c>
      <c r="AR64" s="3565">
        <f t="shared" si="18"/>
        <v>0</v>
      </c>
      <c r="AS64" s="3564">
        <f t="shared" si="18"/>
        <v>2950.76</v>
      </c>
      <c r="AT64" s="3564">
        <f t="shared" si="18"/>
        <v>750</v>
      </c>
      <c r="AU64" s="3564">
        <f t="shared" si="18"/>
        <v>0</v>
      </c>
      <c r="AV64" s="3564">
        <f t="shared" si="18"/>
        <v>0</v>
      </c>
      <c r="AW64" s="3564">
        <f t="shared" si="18"/>
        <v>0</v>
      </c>
      <c r="AX64" s="3564">
        <f t="shared" si="18"/>
        <v>471</v>
      </c>
      <c r="AY64" s="3564">
        <f t="shared" si="18"/>
        <v>300</v>
      </c>
      <c r="AZ64" s="3564">
        <f t="shared" si="18"/>
        <v>150</v>
      </c>
      <c r="BA64" s="3566">
        <f t="shared" si="18"/>
        <v>500</v>
      </c>
    </row>
    <row r="65" spans="1:53">
      <c r="A65" s="302"/>
      <c r="B65" s="3474"/>
      <c r="C65" s="3568" t="s">
        <v>4543</v>
      </c>
      <c r="D65" s="302"/>
      <c r="E65" s="302"/>
      <c r="F65" s="3424"/>
      <c r="G65" s="477"/>
      <c r="H65" s="3569">
        <v>55880.558639677933</v>
      </c>
      <c r="I65" s="3508"/>
      <c r="J65" s="3480"/>
      <c r="K65" s="3480"/>
      <c r="L65" s="3480"/>
      <c r="M65" s="3480"/>
      <c r="N65" s="3570"/>
      <c r="O65" s="898"/>
      <c r="P65" s="898"/>
      <c r="Q65" s="898"/>
      <c r="R65" s="898"/>
      <c r="S65" s="898"/>
      <c r="T65" s="898"/>
      <c r="U65" s="898"/>
      <c r="V65" s="898"/>
      <c r="W65" s="898"/>
      <c r="X65" s="3492"/>
      <c r="Y65" s="898"/>
      <c r="Z65" s="898"/>
      <c r="AA65" s="898"/>
      <c r="AB65" s="898"/>
      <c r="AC65" s="898"/>
      <c r="AD65" s="898"/>
      <c r="AE65" s="898"/>
      <c r="AF65" s="898"/>
      <c r="AG65" s="898"/>
      <c r="AH65" s="3492"/>
      <c r="AI65" s="898"/>
      <c r="AJ65" s="898"/>
      <c r="AK65" s="898"/>
      <c r="AL65" s="898"/>
      <c r="AM65" s="898"/>
      <c r="AN65" s="898"/>
      <c r="AO65" s="898"/>
      <c r="AP65" s="898"/>
      <c r="AQ65" s="898"/>
      <c r="AR65" s="3492"/>
      <c r="AS65" s="898"/>
      <c r="AT65" s="898"/>
      <c r="AU65" s="898"/>
      <c r="AV65" s="898"/>
      <c r="AW65" s="898"/>
      <c r="AX65" s="898"/>
      <c r="AY65" s="898"/>
      <c r="AZ65" s="898"/>
      <c r="BA65" s="3571"/>
    </row>
    <row r="66" spans="1:53">
      <c r="C66" s="3572" t="s">
        <v>4544</v>
      </c>
      <c r="E66" s="3573">
        <v>1</v>
      </c>
      <c r="F66" s="3573"/>
      <c r="G66" s="3573">
        <v>30</v>
      </c>
      <c r="H66" s="897">
        <v>46423.060000000005</v>
      </c>
      <c r="I66" s="3574">
        <f>SUM(M66:BA66)</f>
        <v>7500</v>
      </c>
      <c r="J66" s="899"/>
      <c r="K66" s="899"/>
      <c r="L66" s="899"/>
      <c r="M66" s="899"/>
      <c r="N66" s="3575"/>
      <c r="O66" s="897"/>
      <c r="P66" s="897"/>
      <c r="Q66" s="897"/>
      <c r="R66" s="897"/>
      <c r="S66" s="897"/>
      <c r="T66" s="897"/>
      <c r="U66" s="897"/>
      <c r="V66" s="897"/>
      <c r="W66" s="897"/>
      <c r="X66" s="3576"/>
      <c r="Y66" s="897"/>
      <c r="Z66" s="897"/>
      <c r="AA66" s="897"/>
      <c r="AB66" s="897">
        <v>2500</v>
      </c>
      <c r="AC66" s="897">
        <v>2500</v>
      </c>
      <c r="AD66" s="897">
        <v>2500</v>
      </c>
      <c r="AE66" s="897"/>
      <c r="AF66" s="897"/>
      <c r="AG66" s="897"/>
      <c r="AH66" s="3576"/>
      <c r="AI66" s="897"/>
      <c r="AJ66" s="897">
        <v>0</v>
      </c>
      <c r="AK66" s="897">
        <v>0</v>
      </c>
      <c r="AL66" s="897"/>
      <c r="AN66" s="3512"/>
      <c r="AO66" s="897"/>
      <c r="AP66" s="897"/>
      <c r="AQ66" s="897"/>
      <c r="AR66" s="3576"/>
      <c r="AS66" s="897"/>
      <c r="AT66" s="897"/>
      <c r="AU66" s="897"/>
      <c r="AV66" s="897"/>
      <c r="AW66" s="897"/>
      <c r="AX66" s="897"/>
      <c r="AY66" s="897"/>
      <c r="AZ66" s="897"/>
      <c r="BA66" s="865"/>
    </row>
    <row r="67" spans="1:53">
      <c r="C67" s="3572" t="s">
        <v>4545</v>
      </c>
      <c r="E67" s="3573">
        <v>1</v>
      </c>
      <c r="F67" s="3573"/>
      <c r="G67" s="3573">
        <v>5</v>
      </c>
      <c r="H67" s="897">
        <f ca="1">H65-I62</f>
        <v>51683.072962081074</v>
      </c>
      <c r="I67" s="3574">
        <f>SUM(M67:BA67)</f>
        <v>500</v>
      </c>
      <c r="J67" s="899"/>
      <c r="K67" s="899"/>
      <c r="L67" s="899"/>
      <c r="M67" s="899"/>
      <c r="N67" s="3575"/>
      <c r="O67" s="897"/>
      <c r="P67" s="897"/>
      <c r="R67" s="897"/>
      <c r="S67" s="897"/>
      <c r="T67" s="897"/>
      <c r="U67" s="897"/>
      <c r="V67" s="897"/>
      <c r="X67" s="897"/>
      <c r="Y67" s="897"/>
      <c r="Z67" s="897"/>
      <c r="AA67" s="897"/>
      <c r="AB67" s="897"/>
      <c r="AC67" s="897"/>
      <c r="AD67" s="897"/>
      <c r="AF67" s="897"/>
      <c r="AG67" s="897"/>
      <c r="AH67" s="3576"/>
      <c r="AI67" s="897"/>
      <c r="AJ67" s="897"/>
      <c r="AK67" s="897"/>
      <c r="AL67" s="897"/>
      <c r="AM67" s="897"/>
      <c r="AN67" s="897"/>
      <c r="AQ67" s="897"/>
      <c r="AR67" s="846"/>
      <c r="AS67" s="897"/>
      <c r="AT67" s="897"/>
      <c r="AV67" s="897"/>
      <c r="AW67" s="897"/>
      <c r="AX67" s="897"/>
      <c r="AY67" s="897"/>
      <c r="AZ67" s="897"/>
      <c r="BA67" s="865">
        <v>500</v>
      </c>
    </row>
    <row r="68" spans="1:53" s="837" customFormat="1">
      <c r="A68" s="793"/>
      <c r="B68" s="3403"/>
      <c r="C68" s="3572"/>
      <c r="D68" s="793"/>
      <c r="E68" s="3573"/>
      <c r="F68" s="3573"/>
      <c r="G68" s="3573"/>
      <c r="H68" s="897">
        <f>H66-I64</f>
        <v>1988.2599999999948</v>
      </c>
      <c r="I68" s="3577"/>
      <c r="J68" s="899"/>
      <c r="K68" s="899"/>
      <c r="L68" s="899"/>
      <c r="M68" s="899"/>
      <c r="N68" s="3575"/>
      <c r="O68" s="897"/>
      <c r="P68" s="897"/>
      <c r="Q68" s="897"/>
      <c r="R68" s="897"/>
      <c r="S68" s="897"/>
      <c r="T68" s="897"/>
      <c r="U68" s="897"/>
      <c r="V68" s="897"/>
      <c r="W68" s="897"/>
      <c r="X68" s="3576"/>
      <c r="Y68" s="897"/>
      <c r="Z68" s="897"/>
      <c r="AA68" s="897"/>
      <c r="AB68" s="897"/>
      <c r="AC68" s="897"/>
      <c r="AD68" s="897"/>
      <c r="AE68" s="897"/>
      <c r="AF68" s="897"/>
      <c r="AG68" s="897"/>
      <c r="AH68" s="3576"/>
      <c r="AI68" s="897"/>
      <c r="AJ68" s="897"/>
      <c r="AK68" s="897"/>
      <c r="AL68" s="897"/>
      <c r="AM68" s="897"/>
      <c r="AN68" s="897"/>
      <c r="AO68" s="897"/>
      <c r="AP68" s="897"/>
      <c r="AQ68" s="897"/>
      <c r="AR68" s="3576"/>
      <c r="AS68" s="897"/>
      <c r="AT68" s="897"/>
      <c r="AU68" s="897"/>
      <c r="AV68" s="897"/>
      <c r="AW68" s="897"/>
      <c r="AX68" s="897"/>
      <c r="AY68" s="897"/>
      <c r="AZ68" s="897"/>
      <c r="BA68" s="865"/>
    </row>
    <row r="69" spans="1:53">
      <c r="C69" s="3578" t="s">
        <v>4546</v>
      </c>
      <c r="D69" s="837"/>
      <c r="E69" s="3579"/>
      <c r="F69" s="3579"/>
      <c r="G69" s="3579"/>
      <c r="H69" s="3580"/>
      <c r="I69" s="3581"/>
      <c r="J69" s="3582"/>
      <c r="K69" s="3582"/>
      <c r="L69" s="3582"/>
      <c r="M69" s="3582"/>
      <c r="N69" s="3583"/>
      <c r="O69" s="3580"/>
      <c r="P69" s="3580"/>
      <c r="Q69" s="3580"/>
      <c r="R69" s="3580"/>
      <c r="S69" s="3580"/>
      <c r="T69" s="3580"/>
      <c r="U69" s="3580"/>
      <c r="V69" s="3580"/>
      <c r="W69" s="3580"/>
      <c r="X69" s="3584"/>
      <c r="Y69" s="3580"/>
      <c r="Z69" s="3580"/>
      <c r="AA69" s="3580"/>
      <c r="AB69" s="3580"/>
      <c r="AC69" s="3580"/>
      <c r="AD69" s="3580"/>
      <c r="AE69" s="3580"/>
      <c r="AF69" s="3580"/>
      <c r="AG69" s="3580"/>
      <c r="AH69" s="3584"/>
      <c r="AI69" s="3580"/>
      <c r="AJ69" s="3580"/>
      <c r="AK69" s="3580"/>
      <c r="AL69" s="3580"/>
      <c r="AM69" s="3580"/>
      <c r="AN69" s="3580"/>
      <c r="AO69" s="3580"/>
      <c r="AP69" s="3580"/>
      <c r="AQ69" s="3580"/>
      <c r="AR69" s="3584"/>
      <c r="AS69" s="3580"/>
      <c r="AT69" s="3580"/>
      <c r="AU69" s="3580"/>
      <c r="AV69" s="3580"/>
      <c r="AW69" s="3580"/>
      <c r="AX69" s="3580"/>
      <c r="AY69" s="3580"/>
      <c r="AZ69" s="3580"/>
      <c r="BA69" s="3585"/>
    </row>
    <row r="70" spans="1:53">
      <c r="C70" s="3572" t="s">
        <v>4547</v>
      </c>
      <c r="H70" s="897"/>
      <c r="I70" s="3574"/>
      <c r="J70" s="899"/>
      <c r="K70" s="899"/>
      <c r="L70" s="899"/>
      <c r="M70" s="899"/>
      <c r="N70" s="3575"/>
      <c r="O70" s="897"/>
      <c r="P70" s="897"/>
      <c r="Q70" s="897"/>
      <c r="R70" s="897"/>
      <c r="S70" s="897"/>
      <c r="T70" s="897"/>
      <c r="U70" s="897"/>
      <c r="V70" s="897"/>
      <c r="W70" s="897"/>
      <c r="X70" s="3576"/>
      <c r="Y70" s="897"/>
      <c r="Z70" s="897"/>
      <c r="AA70" s="897"/>
      <c r="AB70" s="897"/>
      <c r="AC70" s="897"/>
      <c r="AD70" s="897"/>
      <c r="AE70" s="897"/>
      <c r="AF70" s="897"/>
      <c r="AG70" s="897"/>
      <c r="AH70" s="3576"/>
      <c r="AI70" s="897"/>
      <c r="AJ70" s="897"/>
      <c r="AK70" s="897"/>
      <c r="AL70" s="897"/>
      <c r="AM70" s="897"/>
      <c r="AN70" s="897"/>
      <c r="AO70" s="897"/>
      <c r="AP70" s="897"/>
      <c r="AQ70" s="897"/>
      <c r="AR70" s="3576"/>
      <c r="AS70" s="897"/>
      <c r="AT70" s="897"/>
      <c r="AU70" s="897"/>
      <c r="AV70" s="897"/>
      <c r="AW70" s="897"/>
      <c r="AX70" s="897"/>
      <c r="AY70" s="897"/>
      <c r="AZ70" s="897"/>
      <c r="BA70" s="865"/>
    </row>
    <row r="71" spans="1:53">
      <c r="C71" s="3586" t="s">
        <v>4548</v>
      </c>
      <c r="E71" s="3587">
        <v>81740</v>
      </c>
      <c r="F71" s="3587"/>
      <c r="G71" s="3573">
        <v>12</v>
      </c>
      <c r="H71" s="3588"/>
      <c r="I71" s="3574">
        <f t="shared" ref="I71:I79" si="19">SUM(M71:BA71)</f>
        <v>0</v>
      </c>
      <c r="J71" s="899"/>
      <c r="K71" s="899"/>
      <c r="L71" s="899"/>
      <c r="M71" s="899"/>
      <c r="N71" s="3575"/>
      <c r="O71" s="897"/>
      <c r="P71" s="897"/>
      <c r="Q71" s="897"/>
      <c r="R71" s="897"/>
      <c r="S71" s="897"/>
      <c r="T71" s="897"/>
      <c r="U71" s="897"/>
      <c r="V71" s="897"/>
      <c r="W71" s="897"/>
      <c r="X71" s="3576"/>
      <c r="Y71" s="897"/>
      <c r="Z71" s="897"/>
      <c r="AA71" s="897"/>
      <c r="AB71" s="897"/>
      <c r="AC71" s="897"/>
      <c r="AD71" s="897"/>
      <c r="AE71" s="897"/>
      <c r="AF71" s="897"/>
      <c r="AG71" s="897"/>
      <c r="AH71" s="3576"/>
      <c r="AI71" s="897"/>
      <c r="AJ71" s="897"/>
      <c r="AK71" s="897"/>
      <c r="AL71" s="897"/>
      <c r="AN71" s="897"/>
      <c r="AO71" s="897"/>
      <c r="AP71" s="897"/>
      <c r="AQ71" s="897"/>
      <c r="AR71" s="3576"/>
      <c r="AS71" s="897"/>
      <c r="AT71" s="897"/>
      <c r="AU71" s="897"/>
      <c r="AV71" s="897"/>
      <c r="AW71" s="897"/>
      <c r="AX71" s="897"/>
      <c r="AY71" s="897"/>
      <c r="AZ71" s="897"/>
      <c r="BA71" s="865"/>
    </row>
    <row r="72" spans="1:53">
      <c r="C72" s="3586" t="s">
        <v>4549</v>
      </c>
      <c r="E72" s="3589">
        <v>192320</v>
      </c>
      <c r="F72" s="3589"/>
      <c r="G72" s="3573">
        <v>9</v>
      </c>
      <c r="H72" s="3588"/>
      <c r="I72" s="3574">
        <f t="shared" si="19"/>
        <v>0</v>
      </c>
      <c r="J72" s="899"/>
      <c r="K72" s="899"/>
      <c r="L72" s="899"/>
      <c r="M72" s="899"/>
      <c r="N72" s="3575"/>
      <c r="O72" s="897"/>
      <c r="P72" s="897"/>
      <c r="Q72" s="897"/>
      <c r="R72" s="897"/>
      <c r="S72" s="897"/>
      <c r="T72" s="897"/>
      <c r="U72" s="897"/>
      <c r="V72" s="897"/>
      <c r="W72" s="897"/>
      <c r="X72" s="3576"/>
      <c r="Y72" s="897"/>
      <c r="Z72" s="897"/>
      <c r="AA72" s="897"/>
      <c r="AB72" s="897"/>
      <c r="AC72" s="897"/>
      <c r="AD72" s="897"/>
      <c r="AE72" s="897"/>
      <c r="AF72" s="897"/>
      <c r="AG72" s="897"/>
      <c r="AH72" s="3576"/>
      <c r="AI72" s="897"/>
      <c r="AJ72" s="897"/>
      <c r="AK72" s="897"/>
      <c r="AL72" s="897"/>
      <c r="AM72" s="897"/>
      <c r="AN72" s="897"/>
      <c r="AO72" s="897"/>
      <c r="AP72" s="897"/>
      <c r="AQ72" s="897"/>
      <c r="AR72" s="3576"/>
      <c r="AS72" s="897"/>
      <c r="AT72" s="897"/>
      <c r="AU72" s="897"/>
      <c r="AV72" s="897"/>
      <c r="AW72" s="897"/>
      <c r="AX72" s="897"/>
      <c r="AY72" s="897"/>
      <c r="AZ72" s="897"/>
      <c r="BA72" s="865"/>
    </row>
    <row r="73" spans="1:53">
      <c r="C73" s="3586" t="s">
        <v>4550</v>
      </c>
      <c r="E73" s="3589">
        <v>32199</v>
      </c>
      <c r="F73" s="3589"/>
      <c r="G73" s="3573">
        <v>25</v>
      </c>
      <c r="H73" s="3588"/>
      <c r="I73" s="3574">
        <f t="shared" si="19"/>
        <v>4000</v>
      </c>
      <c r="J73" s="899"/>
      <c r="K73" s="899"/>
      <c r="L73" s="899"/>
      <c r="M73" s="899"/>
      <c r="N73" s="3575"/>
      <c r="O73" s="897"/>
      <c r="P73" s="897"/>
      <c r="Q73" s="897"/>
      <c r="R73" s="897"/>
      <c r="S73" s="897"/>
      <c r="T73" s="897"/>
      <c r="U73" s="897"/>
      <c r="V73" s="897"/>
      <c r="W73" s="897"/>
      <c r="X73" s="3576"/>
      <c r="Y73" s="897"/>
      <c r="Z73" s="897"/>
      <c r="AA73" s="897"/>
      <c r="AB73" s="897"/>
      <c r="AC73" s="897"/>
      <c r="AD73" s="897"/>
      <c r="AE73" s="897"/>
      <c r="AF73" s="897"/>
      <c r="AG73" s="897"/>
      <c r="AH73" s="3576"/>
      <c r="AI73" s="897">
        <v>2000</v>
      </c>
      <c r="AJ73" s="897">
        <v>2000</v>
      </c>
      <c r="AK73" s="897"/>
      <c r="AL73" s="897"/>
      <c r="AM73" s="897"/>
      <c r="AN73" s="897"/>
      <c r="AO73" s="897"/>
      <c r="AP73" s="897"/>
      <c r="AQ73" s="897"/>
      <c r="AR73" s="3576"/>
      <c r="AS73" s="897"/>
      <c r="AT73" s="897"/>
      <c r="AU73" s="897"/>
      <c r="AV73" s="897"/>
      <c r="AW73" s="897"/>
      <c r="AX73" s="897"/>
      <c r="AY73" s="897"/>
      <c r="AZ73" s="897"/>
      <c r="BA73" s="865"/>
    </row>
    <row r="74" spans="1:53">
      <c r="C74" s="3586" t="s">
        <v>4551</v>
      </c>
      <c r="E74" s="3590">
        <v>1</v>
      </c>
      <c r="F74" s="3590"/>
      <c r="G74" s="3573">
        <v>7</v>
      </c>
      <c r="H74" s="3588"/>
      <c r="I74" s="3574">
        <f t="shared" si="19"/>
        <v>560</v>
      </c>
      <c r="J74" s="899"/>
      <c r="K74" s="899"/>
      <c r="L74" s="899"/>
      <c r="M74" s="899"/>
      <c r="N74" s="3575"/>
      <c r="O74" s="897"/>
      <c r="P74" s="897"/>
      <c r="Q74" s="897"/>
      <c r="R74" s="897"/>
      <c r="S74" s="897"/>
      <c r="T74" s="897">
        <v>80</v>
      </c>
      <c r="V74" s="897"/>
      <c r="W74" s="897"/>
      <c r="X74" s="3576"/>
      <c r="Y74" s="897">
        <v>80</v>
      </c>
      <c r="AA74" s="897"/>
      <c r="AB74" s="897"/>
      <c r="AC74" s="897"/>
      <c r="AD74" s="897">
        <v>80</v>
      </c>
      <c r="AE74" s="897"/>
      <c r="AF74" s="897"/>
      <c r="AG74" s="897"/>
      <c r="AH74" s="3576"/>
      <c r="AI74" s="897">
        <v>80</v>
      </c>
      <c r="AK74" s="897"/>
      <c r="AL74" s="897"/>
      <c r="AM74" s="897"/>
      <c r="AO74" s="897">
        <v>80</v>
      </c>
      <c r="AP74" s="897"/>
      <c r="AQ74" s="897"/>
      <c r="AR74" s="3576"/>
      <c r="AS74" s="897">
        <v>80</v>
      </c>
      <c r="AT74" s="897"/>
      <c r="AU74" s="897"/>
      <c r="AV74" s="897"/>
      <c r="AW74" s="897"/>
      <c r="AX74" s="897">
        <v>80</v>
      </c>
      <c r="AY74" s="897"/>
      <c r="AZ74" s="897"/>
      <c r="BA74" s="865"/>
    </row>
    <row r="75" spans="1:53">
      <c r="C75" s="3572" t="s">
        <v>4552</v>
      </c>
      <c r="E75" s="3589">
        <v>28520</v>
      </c>
      <c r="F75" s="3589"/>
      <c r="G75" s="3573">
        <v>5</v>
      </c>
      <c r="H75" s="3588"/>
      <c r="I75" s="3574">
        <f t="shared" si="19"/>
        <v>2735.8</v>
      </c>
      <c r="J75" s="899"/>
      <c r="K75" s="899"/>
      <c r="L75" s="899"/>
      <c r="M75" s="899"/>
      <c r="N75" s="3575"/>
      <c r="O75" s="897"/>
      <c r="P75" s="3591"/>
      <c r="Q75" s="897"/>
      <c r="R75" s="897"/>
      <c r="S75" s="897"/>
      <c r="T75" s="897">
        <v>391</v>
      </c>
      <c r="V75" s="897"/>
      <c r="W75" s="897"/>
      <c r="X75" s="3576"/>
      <c r="Y75" s="897">
        <v>390.76</v>
      </c>
      <c r="AA75" s="897"/>
      <c r="AB75" s="897"/>
      <c r="AC75" s="897"/>
      <c r="AD75" s="897">
        <v>390.76</v>
      </c>
      <c r="AE75" s="897"/>
      <c r="AF75" s="897"/>
      <c r="AG75" s="897"/>
      <c r="AH75" s="3576"/>
      <c r="AI75" s="897">
        <v>390.76</v>
      </c>
      <c r="AK75" s="897"/>
      <c r="AL75" s="897"/>
      <c r="AM75" s="897"/>
      <c r="AN75" s="897">
        <v>390.76</v>
      </c>
      <c r="AO75" s="897"/>
      <c r="AP75" s="897"/>
      <c r="AQ75" s="897"/>
      <c r="AR75" s="3576"/>
      <c r="AS75" s="897">
        <v>390.76</v>
      </c>
      <c r="AT75" s="897"/>
      <c r="AU75" s="897"/>
      <c r="AV75" s="897"/>
      <c r="AW75" s="897"/>
      <c r="AX75" s="897">
        <v>391</v>
      </c>
      <c r="AY75" s="897"/>
      <c r="AZ75" s="897"/>
      <c r="BA75" s="865"/>
    </row>
    <row r="76" spans="1:53">
      <c r="C76" s="3572" t="s">
        <v>4553</v>
      </c>
      <c r="E76" s="3587">
        <v>10006</v>
      </c>
      <c r="F76" s="3587"/>
      <c r="G76" s="3573">
        <v>25</v>
      </c>
      <c r="H76" s="897"/>
      <c r="I76" s="3574">
        <f t="shared" si="19"/>
        <v>2400</v>
      </c>
      <c r="J76" s="899"/>
      <c r="K76" s="899"/>
      <c r="L76" s="899"/>
      <c r="M76" s="899"/>
      <c r="N76" s="3575"/>
      <c r="O76" s="897"/>
      <c r="P76" s="897"/>
      <c r="Q76" s="897"/>
      <c r="R76" s="897"/>
      <c r="S76" s="897"/>
      <c r="T76" s="897"/>
      <c r="U76" s="897"/>
      <c r="V76" s="897"/>
      <c r="W76" s="897"/>
      <c r="X76" s="3576"/>
      <c r="Y76" s="897"/>
      <c r="Z76" s="897"/>
      <c r="AA76" s="897"/>
      <c r="AB76" s="897"/>
      <c r="AC76" s="897">
        <v>1200</v>
      </c>
      <c r="AD76" s="897">
        <v>1200</v>
      </c>
      <c r="AE76" s="897"/>
      <c r="AF76" s="897"/>
      <c r="AG76" s="897"/>
      <c r="AH76" s="3576"/>
      <c r="AI76" s="897"/>
      <c r="AJ76" s="897"/>
      <c r="AK76" s="897"/>
      <c r="AL76" s="897"/>
      <c r="AM76" s="897"/>
      <c r="AN76" s="897"/>
      <c r="AO76" s="897"/>
      <c r="AP76" s="897"/>
      <c r="AQ76" s="897"/>
      <c r="AR76" s="3576"/>
      <c r="AS76" s="897"/>
      <c r="AT76" s="897"/>
      <c r="AU76" s="897"/>
      <c r="AV76" s="897"/>
      <c r="AW76" s="897"/>
      <c r="AX76" s="897"/>
      <c r="AY76" s="897"/>
      <c r="AZ76" s="897"/>
      <c r="BA76" s="865"/>
    </row>
    <row r="77" spans="1:53">
      <c r="C77" s="3572" t="s">
        <v>4554</v>
      </c>
      <c r="E77" s="3573"/>
      <c r="F77" s="3573"/>
      <c r="G77" s="3573">
        <v>25</v>
      </c>
      <c r="H77" s="897"/>
      <c r="I77" s="3574">
        <f t="shared" si="19"/>
        <v>1834</v>
      </c>
      <c r="J77" s="899"/>
      <c r="K77" s="899"/>
      <c r="L77" s="899"/>
      <c r="M77" s="899"/>
      <c r="N77" s="3575"/>
      <c r="O77" s="897"/>
      <c r="P77" s="897"/>
      <c r="Q77" s="897"/>
      <c r="R77" s="897"/>
      <c r="S77" s="897"/>
      <c r="T77" s="897"/>
      <c r="U77" s="897"/>
      <c r="V77" s="897"/>
      <c r="W77" s="897"/>
      <c r="X77" s="846"/>
      <c r="Y77" s="897"/>
      <c r="Z77" s="3512">
        <v>1834</v>
      </c>
      <c r="AB77" s="897"/>
      <c r="AC77" s="897"/>
      <c r="AD77" s="897"/>
      <c r="AE77" s="897"/>
      <c r="AF77" s="897"/>
      <c r="AG77" s="897"/>
      <c r="AH77" s="3576"/>
      <c r="AI77" s="897"/>
      <c r="AJ77" s="897"/>
      <c r="AK77" s="897"/>
      <c r="AL77" s="897"/>
      <c r="AM77" s="897"/>
      <c r="AN77" s="897"/>
      <c r="AO77" s="897"/>
      <c r="AP77" s="897"/>
      <c r="AQ77" s="897"/>
      <c r="AR77" s="3576"/>
      <c r="AS77" s="897"/>
      <c r="AT77" s="897"/>
      <c r="AU77" s="897"/>
      <c r="AV77" s="897"/>
      <c r="AW77" s="897"/>
      <c r="AX77" s="897"/>
      <c r="AY77" s="897"/>
      <c r="AZ77" s="897"/>
      <c r="BA77" s="865"/>
    </row>
    <row r="78" spans="1:53">
      <c r="C78" s="3572" t="s">
        <v>4555</v>
      </c>
      <c r="E78" s="3573"/>
      <c r="F78" s="3573"/>
      <c r="G78" s="3573">
        <v>25</v>
      </c>
      <c r="H78" s="897"/>
      <c r="I78" s="3574">
        <f t="shared" si="19"/>
        <v>1100</v>
      </c>
      <c r="J78" s="899"/>
      <c r="K78" s="899"/>
      <c r="L78" s="899"/>
      <c r="M78" s="899"/>
      <c r="N78" s="3575"/>
      <c r="O78" s="897"/>
      <c r="P78" s="897"/>
      <c r="Q78" s="897"/>
      <c r="R78" s="897"/>
      <c r="S78" s="897"/>
      <c r="T78" s="897"/>
      <c r="U78" s="897"/>
      <c r="V78" s="897"/>
      <c r="W78" s="897"/>
      <c r="X78" s="3576"/>
      <c r="Y78" s="897">
        <v>1100</v>
      </c>
      <c r="Z78" s="897"/>
      <c r="AA78" s="897"/>
      <c r="AB78" s="897"/>
      <c r="AC78" s="897"/>
      <c r="AD78" s="897"/>
      <c r="AE78" s="897"/>
      <c r="AF78" s="897"/>
      <c r="AG78" s="897"/>
      <c r="AH78" s="3576"/>
      <c r="AI78" s="897"/>
      <c r="AJ78" s="897"/>
      <c r="AK78" s="897"/>
      <c r="AL78" s="897"/>
      <c r="AM78" s="897"/>
      <c r="AN78" s="897"/>
      <c r="AO78" s="897"/>
      <c r="AP78" s="897"/>
      <c r="AQ78" s="897"/>
      <c r="AR78" s="3576"/>
      <c r="AS78" s="897"/>
      <c r="AT78" s="897"/>
      <c r="AU78" s="897"/>
      <c r="AV78" s="897"/>
      <c r="AW78" s="897"/>
      <c r="AX78" s="897"/>
      <c r="AY78" s="897"/>
      <c r="AZ78" s="897"/>
      <c r="BA78" s="865"/>
    </row>
    <row r="79" spans="1:53" s="3527" customFormat="1">
      <c r="A79" s="793"/>
      <c r="B79" s="3403"/>
      <c r="C79" s="3572" t="s">
        <v>4556</v>
      </c>
      <c r="D79" s="793"/>
      <c r="E79" s="3587">
        <v>9912</v>
      </c>
      <c r="F79" s="3587"/>
      <c r="G79" s="3573">
        <v>25</v>
      </c>
      <c r="H79" s="897"/>
      <c r="I79" s="3574">
        <f t="shared" si="19"/>
        <v>2691</v>
      </c>
      <c r="J79" s="899"/>
      <c r="K79" s="899"/>
      <c r="L79" s="899"/>
      <c r="M79" s="899"/>
      <c r="N79" s="3575"/>
      <c r="O79" s="897"/>
      <c r="P79" s="897"/>
      <c r="Q79" s="897"/>
      <c r="R79" s="897"/>
      <c r="S79" s="897"/>
      <c r="T79" s="897"/>
      <c r="U79" s="897"/>
      <c r="V79" s="897"/>
      <c r="W79" s="897"/>
      <c r="X79" s="3576"/>
      <c r="Y79" s="897"/>
      <c r="Z79" s="897"/>
      <c r="AA79" s="897"/>
      <c r="AB79" s="897"/>
      <c r="AC79" s="897"/>
      <c r="AD79" s="897"/>
      <c r="AE79" s="897"/>
      <c r="AF79" s="897"/>
      <c r="AG79" s="897">
        <v>1345.5</v>
      </c>
      <c r="AH79" s="3576">
        <v>1345.5</v>
      </c>
      <c r="AI79" s="897"/>
      <c r="AJ79" s="897"/>
      <c r="AK79" s="897"/>
      <c r="AL79" s="897"/>
      <c r="AM79" s="897"/>
      <c r="AN79" s="897"/>
      <c r="AO79" s="897"/>
      <c r="AP79" s="897"/>
      <c r="AQ79" s="897"/>
      <c r="AR79" s="3576"/>
      <c r="AS79" s="897"/>
      <c r="AT79" s="897"/>
      <c r="AU79" s="897"/>
      <c r="AV79" s="897"/>
      <c r="AW79" s="897"/>
      <c r="AX79" s="897"/>
      <c r="AY79" s="897"/>
      <c r="AZ79" s="897"/>
      <c r="BA79" s="865"/>
    </row>
    <row r="80" spans="1:53">
      <c r="C80" s="3592"/>
      <c r="D80" s="3527"/>
      <c r="E80" s="3593"/>
      <c r="F80" s="3593"/>
      <c r="G80" s="3593"/>
      <c r="H80" s="3594"/>
      <c r="I80" s="3595"/>
      <c r="J80" s="3596"/>
      <c r="K80" s="3596"/>
      <c r="L80" s="3596"/>
      <c r="M80" s="3596"/>
      <c r="N80" s="3597"/>
      <c r="O80" s="3594"/>
      <c r="P80" s="3594"/>
      <c r="Q80" s="3594"/>
      <c r="R80" s="3594"/>
      <c r="S80" s="3594"/>
      <c r="T80" s="3594"/>
      <c r="U80" s="3594"/>
      <c r="V80" s="3594"/>
      <c r="W80" s="3594"/>
      <c r="X80" s="3598"/>
      <c r="Y80" s="3594"/>
      <c r="Z80" s="3594"/>
      <c r="AA80" s="3594"/>
      <c r="AB80" s="3594"/>
      <c r="AC80" s="3594"/>
      <c r="AD80" s="3594"/>
      <c r="AE80" s="3594"/>
      <c r="AF80" s="3594"/>
      <c r="AG80" s="3594"/>
      <c r="AH80" s="3598"/>
      <c r="AI80" s="3594"/>
      <c r="AJ80" s="3594"/>
      <c r="AK80" s="3594"/>
      <c r="AL80" s="3594"/>
      <c r="AM80" s="3594"/>
      <c r="AN80" s="3594"/>
      <c r="AO80" s="3594"/>
      <c r="AP80" s="3594"/>
      <c r="AQ80" s="3594"/>
      <c r="AR80" s="3598"/>
      <c r="AS80" s="3594"/>
      <c r="AT80" s="3594"/>
      <c r="AU80" s="3594"/>
      <c r="AV80" s="3594"/>
      <c r="AW80" s="3594"/>
      <c r="AX80" s="3594"/>
      <c r="AY80" s="3594"/>
      <c r="AZ80" s="3594"/>
      <c r="BA80" s="3599"/>
    </row>
    <row r="81" spans="1:53">
      <c r="C81" s="3568" t="s">
        <v>4557</v>
      </c>
      <c r="G81" s="3573"/>
      <c r="H81" s="897"/>
      <c r="I81" s="3574"/>
      <c r="J81" s="899"/>
      <c r="K81" s="899"/>
      <c r="L81" s="899"/>
      <c r="M81" s="899"/>
      <c r="N81" s="3575"/>
      <c r="O81" s="897"/>
      <c r="P81" s="897"/>
      <c r="Q81" s="897"/>
      <c r="R81" s="897"/>
      <c r="S81" s="897"/>
      <c r="T81" s="897"/>
      <c r="U81" s="897"/>
      <c r="V81" s="897"/>
      <c r="W81" s="897"/>
      <c r="X81" s="3576"/>
      <c r="Y81" s="897"/>
      <c r="Z81" s="897"/>
      <c r="AA81" s="897"/>
      <c r="AB81" s="897"/>
      <c r="AC81" s="897"/>
      <c r="AD81" s="897"/>
      <c r="AE81" s="897"/>
      <c r="AF81" s="897"/>
      <c r="AG81" s="897"/>
      <c r="AH81" s="3576"/>
      <c r="AI81" s="897"/>
      <c r="AJ81" s="897"/>
      <c r="AK81" s="897"/>
      <c r="AL81" s="897"/>
      <c r="AM81" s="897"/>
      <c r="AN81" s="897"/>
      <c r="AO81" s="897"/>
      <c r="AP81" s="897"/>
      <c r="AQ81" s="897"/>
      <c r="AR81" s="3576"/>
      <c r="AS81" s="897"/>
      <c r="AT81" s="897"/>
      <c r="AU81" s="897"/>
      <c r="AV81" s="897"/>
      <c r="AW81" s="897"/>
      <c r="AX81" s="897"/>
      <c r="AY81" s="897"/>
      <c r="AZ81" s="897"/>
      <c r="BA81" s="865"/>
    </row>
    <row r="82" spans="1:53">
      <c r="C82" s="3572" t="s">
        <v>4558</v>
      </c>
      <c r="E82" s="3573" t="s">
        <v>4559</v>
      </c>
      <c r="F82" s="3573"/>
      <c r="G82" s="3573">
        <v>10</v>
      </c>
      <c r="H82" s="897"/>
      <c r="I82" s="3574">
        <f t="shared" ref="I82:I92" si="20">SUM(M82:BA82)</f>
        <v>1100</v>
      </c>
      <c r="J82" s="899"/>
      <c r="K82" s="899"/>
      <c r="L82" s="899"/>
      <c r="M82" s="899"/>
      <c r="N82" s="3575"/>
      <c r="O82" s="897"/>
      <c r="P82" s="897"/>
      <c r="Q82" s="897"/>
      <c r="R82" s="897"/>
      <c r="S82" s="897"/>
      <c r="T82" s="897"/>
      <c r="U82" s="5197">
        <v>200</v>
      </c>
      <c r="V82" s="897"/>
      <c r="W82" s="897"/>
      <c r="X82" s="3576"/>
      <c r="Y82" s="897"/>
      <c r="Z82" s="897"/>
      <c r="AA82" s="897"/>
      <c r="AB82" s="897"/>
      <c r="AC82" s="897">
        <v>300</v>
      </c>
      <c r="AD82" s="897"/>
      <c r="AF82" s="897"/>
      <c r="AG82" s="897"/>
      <c r="AH82" s="3576"/>
      <c r="AI82" s="897"/>
      <c r="AJ82" s="897"/>
      <c r="AK82" s="897"/>
      <c r="AL82" s="897"/>
      <c r="AM82" s="897"/>
      <c r="AN82" s="897"/>
      <c r="AO82" s="897">
        <v>300</v>
      </c>
      <c r="AP82" s="897"/>
      <c r="AQ82" s="897"/>
      <c r="AR82" s="3576"/>
      <c r="AS82" s="897"/>
      <c r="AT82" s="897"/>
      <c r="AU82" s="897"/>
      <c r="AV82" s="897"/>
      <c r="AW82" s="897"/>
      <c r="AX82" s="897"/>
      <c r="AY82" s="897">
        <v>300</v>
      </c>
      <c r="AZ82" s="897"/>
      <c r="BA82" s="865"/>
    </row>
    <row r="83" spans="1:53">
      <c r="C83" s="3572" t="s">
        <v>4560</v>
      </c>
      <c r="E83" s="3573" t="s">
        <v>4561</v>
      </c>
      <c r="F83" s="3573"/>
      <c r="G83" s="3573">
        <v>10</v>
      </c>
      <c r="H83" s="897"/>
      <c r="I83" s="3574">
        <f t="shared" si="20"/>
        <v>900</v>
      </c>
      <c r="J83" s="899"/>
      <c r="K83" s="899"/>
      <c r="L83" s="899"/>
      <c r="M83" s="899"/>
      <c r="N83" s="3575"/>
      <c r="O83" s="897"/>
      <c r="P83" s="897"/>
      <c r="Q83" s="897"/>
      <c r="R83" s="897"/>
      <c r="S83" s="897"/>
      <c r="T83" s="897"/>
      <c r="U83" s="897"/>
      <c r="V83" s="897"/>
      <c r="W83" s="897">
        <v>300</v>
      </c>
      <c r="X83" s="3576"/>
      <c r="Y83" s="897"/>
      <c r="Z83" s="897"/>
      <c r="AA83" s="897"/>
      <c r="AB83" s="897"/>
      <c r="AC83" s="897"/>
      <c r="AD83" s="897"/>
      <c r="AE83" s="897"/>
      <c r="AF83" s="897"/>
      <c r="AG83" s="897">
        <v>300</v>
      </c>
      <c r="AH83" s="3576"/>
      <c r="AI83" s="897"/>
      <c r="AJ83" s="897"/>
      <c r="AK83" s="897"/>
      <c r="AL83" s="897"/>
      <c r="AM83" s="897"/>
      <c r="AN83" s="897"/>
      <c r="AO83" s="897"/>
      <c r="AP83" s="897"/>
      <c r="AQ83" s="897">
        <v>300</v>
      </c>
      <c r="AR83" s="846"/>
      <c r="AS83" s="897"/>
      <c r="AT83" s="897"/>
      <c r="AU83" s="897"/>
      <c r="AV83" s="897"/>
      <c r="AW83" s="897"/>
      <c r="AX83" s="897"/>
      <c r="AY83" s="897"/>
      <c r="AZ83" s="897"/>
      <c r="BA83" s="865"/>
    </row>
    <row r="84" spans="1:53">
      <c r="C84" s="3572" t="s">
        <v>4562</v>
      </c>
      <c r="E84" s="3573" t="s">
        <v>4561</v>
      </c>
      <c r="F84" s="3573"/>
      <c r="G84" s="3573">
        <v>25</v>
      </c>
      <c r="H84" s="897"/>
      <c r="I84" s="3574">
        <f t="shared" si="20"/>
        <v>1000</v>
      </c>
      <c r="J84" s="899"/>
      <c r="K84" s="899"/>
      <c r="L84" s="899"/>
      <c r="M84" s="899"/>
      <c r="N84" s="3575"/>
      <c r="O84" s="897"/>
      <c r="P84" s="897"/>
      <c r="Q84" s="897"/>
      <c r="R84" s="897"/>
      <c r="S84" s="897"/>
      <c r="T84" s="897"/>
      <c r="U84" s="897"/>
      <c r="V84" s="897"/>
      <c r="W84" s="897"/>
      <c r="X84" s="3576"/>
      <c r="Y84" s="897"/>
      <c r="Z84" s="897"/>
      <c r="AA84" s="897"/>
      <c r="AB84" s="897"/>
      <c r="AC84" s="897"/>
      <c r="AD84" s="897"/>
      <c r="AE84" s="897">
        <v>1000</v>
      </c>
      <c r="AF84" s="897"/>
      <c r="AG84" s="897"/>
      <c r="AH84" s="3576"/>
      <c r="AI84" s="897"/>
      <c r="AJ84" s="897"/>
      <c r="AK84" s="897"/>
      <c r="AL84" s="897"/>
      <c r="AM84" s="897"/>
      <c r="AN84" s="897"/>
      <c r="AO84" s="897"/>
      <c r="AP84" s="897"/>
      <c r="AQ84" s="897"/>
      <c r="AR84" s="3576"/>
      <c r="AS84" s="897"/>
      <c r="AT84" s="897"/>
      <c r="AU84" s="897"/>
      <c r="AV84" s="897"/>
      <c r="AW84" s="897"/>
      <c r="AX84" s="897"/>
      <c r="AY84" s="897"/>
      <c r="AZ84" s="897"/>
      <c r="BA84" s="865"/>
    </row>
    <row r="85" spans="1:53">
      <c r="C85" s="3572" t="s">
        <v>4563</v>
      </c>
      <c r="E85" s="3573" t="s">
        <v>4564</v>
      </c>
      <c r="F85" s="3573"/>
      <c r="G85" s="3573">
        <v>10</v>
      </c>
      <c r="H85" s="897"/>
      <c r="I85" s="3574">
        <f t="shared" si="20"/>
        <v>468</v>
      </c>
      <c r="J85" s="899"/>
      <c r="K85" s="899"/>
      <c r="L85" s="899"/>
      <c r="M85" s="899"/>
      <c r="N85" s="3570"/>
      <c r="O85" s="897"/>
      <c r="P85" s="897"/>
      <c r="Q85" s="897"/>
      <c r="R85" s="897"/>
      <c r="S85" s="897"/>
      <c r="T85" s="897"/>
      <c r="U85" s="897"/>
      <c r="V85" s="897"/>
      <c r="W85" s="865">
        <v>156</v>
      </c>
      <c r="X85" s="846"/>
      <c r="Z85" s="897"/>
      <c r="AA85" s="897"/>
      <c r="AB85" s="897"/>
      <c r="AC85" s="897"/>
      <c r="AD85" s="897"/>
      <c r="AE85" s="897"/>
      <c r="AF85" s="897"/>
      <c r="AG85" s="897">
        <v>156</v>
      </c>
      <c r="AH85" s="3576"/>
      <c r="AI85" s="897"/>
      <c r="AJ85" s="897"/>
      <c r="AK85" s="897"/>
      <c r="AL85" s="897"/>
      <c r="AM85" s="897"/>
      <c r="AN85" s="897"/>
      <c r="AO85" s="897"/>
      <c r="AP85" s="897"/>
      <c r="AQ85" s="793">
        <v>156</v>
      </c>
      <c r="AR85" s="3576"/>
      <c r="AS85" s="897"/>
      <c r="AT85" s="897"/>
      <c r="AU85" s="897"/>
      <c r="AV85" s="897"/>
      <c r="AW85" s="897"/>
      <c r="AX85" s="897"/>
      <c r="AY85" s="897"/>
      <c r="AZ85" s="897"/>
      <c r="BA85" s="865"/>
    </row>
    <row r="86" spans="1:53">
      <c r="C86" s="3572" t="s">
        <v>4565</v>
      </c>
      <c r="E86" s="3590">
        <v>1</v>
      </c>
      <c r="F86" s="3590"/>
      <c r="G86" s="3573">
        <v>12</v>
      </c>
      <c r="H86" s="897"/>
      <c r="I86" s="3574">
        <f t="shared" si="20"/>
        <v>600</v>
      </c>
      <c r="J86" s="899"/>
      <c r="K86" s="899"/>
      <c r="L86" s="899"/>
      <c r="M86" s="899"/>
      <c r="N86" s="3575"/>
      <c r="O86" s="897"/>
      <c r="P86" s="897"/>
      <c r="Q86" s="897"/>
      <c r="R86" s="897"/>
      <c r="S86" s="897"/>
      <c r="T86" s="897"/>
      <c r="U86" s="897"/>
      <c r="V86" s="897"/>
      <c r="W86" s="897"/>
      <c r="X86" s="3576"/>
      <c r="Z86" s="897">
        <v>300</v>
      </c>
      <c r="AA86" s="897"/>
      <c r="AB86" s="897"/>
      <c r="AC86" s="897"/>
      <c r="AD86" s="897"/>
      <c r="AE86" s="897"/>
      <c r="AF86" s="897"/>
      <c r="AG86" s="897"/>
      <c r="AH86" s="3576"/>
      <c r="AI86" s="897"/>
      <c r="AJ86" s="897"/>
      <c r="AK86" s="897"/>
      <c r="AL86" s="897"/>
      <c r="AM86" s="897"/>
      <c r="AN86" s="897">
        <v>300</v>
      </c>
      <c r="AO86" s="897"/>
      <c r="AP86" s="897"/>
      <c r="AQ86" s="897"/>
      <c r="AR86" s="3576"/>
      <c r="AS86" s="897"/>
      <c r="AT86" s="897"/>
      <c r="AU86" s="897"/>
      <c r="AV86" s="897"/>
      <c r="AW86" s="897"/>
      <c r="AX86" s="897"/>
      <c r="AY86" s="897"/>
      <c r="AZ86" s="897"/>
      <c r="BA86" s="865"/>
    </row>
    <row r="87" spans="1:53">
      <c r="C87" s="3572" t="s">
        <v>4566</v>
      </c>
      <c r="E87" s="3590">
        <v>1</v>
      </c>
      <c r="F87" s="3590"/>
      <c r="G87" s="3573">
        <v>17</v>
      </c>
      <c r="H87" s="897"/>
      <c r="I87" s="3574">
        <f t="shared" si="20"/>
        <v>2376</v>
      </c>
      <c r="J87" s="899"/>
      <c r="K87" s="899"/>
      <c r="L87" s="899"/>
      <c r="M87" s="899"/>
      <c r="N87" s="3575"/>
      <c r="O87" s="897"/>
      <c r="P87" s="897"/>
      <c r="Q87" s="897"/>
      <c r="R87" s="897"/>
      <c r="S87" s="897"/>
      <c r="T87" s="897"/>
      <c r="U87" s="897"/>
      <c r="V87" s="897"/>
      <c r="W87" s="897"/>
      <c r="X87" s="3576"/>
      <c r="AA87" s="897"/>
      <c r="AC87" s="897"/>
      <c r="AD87" s="897">
        <v>888</v>
      </c>
      <c r="AE87" s="897">
        <v>888</v>
      </c>
      <c r="AF87" s="897"/>
      <c r="AG87" s="897"/>
      <c r="AH87" s="3576"/>
      <c r="AI87" s="897"/>
      <c r="AJ87" s="897"/>
      <c r="AK87" s="897">
        <v>600</v>
      </c>
      <c r="AL87" s="897"/>
      <c r="AM87" s="897"/>
      <c r="AN87" s="897"/>
      <c r="AO87" s="897"/>
      <c r="AP87" s="897"/>
      <c r="AQ87" s="897"/>
      <c r="AR87" s="3576"/>
      <c r="AS87" s="897"/>
      <c r="AT87" s="897"/>
      <c r="AU87" s="897"/>
      <c r="AV87" s="897"/>
      <c r="AW87" s="897"/>
      <c r="AX87" s="897"/>
      <c r="AY87" s="897"/>
      <c r="AZ87" s="897"/>
      <c r="BA87" s="865"/>
    </row>
    <row r="88" spans="1:53">
      <c r="C88" s="3572" t="s">
        <v>4567</v>
      </c>
      <c r="E88" s="3590">
        <v>1</v>
      </c>
      <c r="F88" s="3590"/>
      <c r="G88" s="3573">
        <v>21</v>
      </c>
      <c r="H88" s="897"/>
      <c r="I88" s="3574">
        <f t="shared" si="20"/>
        <v>4800</v>
      </c>
      <c r="J88" s="899"/>
      <c r="K88" s="899"/>
      <c r="L88" s="899"/>
      <c r="M88" s="899"/>
      <c r="N88" s="3575"/>
      <c r="O88" s="897"/>
      <c r="P88" s="897"/>
      <c r="Q88" s="897"/>
      <c r="R88" s="897"/>
      <c r="S88" s="897"/>
      <c r="T88" s="897"/>
      <c r="U88" s="897"/>
      <c r="V88" s="897"/>
      <c r="W88" s="897"/>
      <c r="X88" s="3576">
        <v>2400</v>
      </c>
      <c r="Y88" s="897"/>
      <c r="AB88" s="897"/>
      <c r="AC88" s="897"/>
      <c r="AD88" s="897"/>
      <c r="AE88" s="897"/>
      <c r="AF88" s="897"/>
      <c r="AG88" s="897"/>
      <c r="AH88" s="3576"/>
      <c r="AI88" s="897"/>
      <c r="AJ88" s="897"/>
      <c r="AK88" s="897"/>
      <c r="AL88" s="897"/>
      <c r="AM88" s="897"/>
      <c r="AN88" s="897"/>
      <c r="AO88" s="897"/>
      <c r="AP88" s="897"/>
      <c r="AQ88" s="897"/>
      <c r="AR88" s="3576"/>
      <c r="AS88" s="897">
        <v>2400</v>
      </c>
      <c r="AT88" s="897"/>
      <c r="AU88" s="897"/>
      <c r="AV88" s="897"/>
      <c r="AW88" s="897"/>
      <c r="AX88" s="897"/>
      <c r="AY88" s="897"/>
      <c r="AZ88" s="897"/>
      <c r="BA88" s="865"/>
    </row>
    <row r="89" spans="1:53">
      <c r="C89" s="3572" t="s">
        <v>4568</v>
      </c>
      <c r="E89" s="3590">
        <v>1</v>
      </c>
      <c r="F89" s="3590"/>
      <c r="G89" s="3573">
        <v>6</v>
      </c>
      <c r="H89" s="897"/>
      <c r="I89" s="3574">
        <f t="shared" si="20"/>
        <v>1200</v>
      </c>
      <c r="J89" s="899"/>
      <c r="K89" s="899"/>
      <c r="L89" s="899"/>
      <c r="M89" s="899"/>
      <c r="N89" s="3570"/>
      <c r="P89" s="897">
        <v>150</v>
      </c>
      <c r="Q89" s="897"/>
      <c r="R89" s="897"/>
      <c r="S89" s="897"/>
      <c r="T89" s="897"/>
      <c r="U89" s="897">
        <v>150</v>
      </c>
      <c r="V89" s="897"/>
      <c r="W89" s="897"/>
      <c r="X89" s="3576"/>
      <c r="Y89" s="897"/>
      <c r="Z89" s="897">
        <v>150</v>
      </c>
      <c r="AB89" s="897"/>
      <c r="AC89" s="793">
        <v>100</v>
      </c>
      <c r="AD89" s="897">
        <v>50</v>
      </c>
      <c r="AF89" s="897"/>
      <c r="AG89" s="897"/>
      <c r="AH89" s="3576"/>
      <c r="AI89" s="897"/>
      <c r="AJ89" s="897">
        <v>150</v>
      </c>
      <c r="AK89" s="897"/>
      <c r="AL89" s="897"/>
      <c r="AN89" s="897"/>
      <c r="AO89" s="897">
        <v>150</v>
      </c>
      <c r="AP89" s="897"/>
      <c r="AQ89" s="897"/>
      <c r="AR89" s="3576"/>
      <c r="AS89" s="897"/>
      <c r="AT89" s="897">
        <v>150</v>
      </c>
      <c r="AU89" s="897"/>
      <c r="AV89" s="897"/>
      <c r="AW89" s="897"/>
      <c r="AX89" s="897"/>
      <c r="AY89" s="897"/>
      <c r="AZ89" s="897">
        <v>150</v>
      </c>
      <c r="BA89" s="865"/>
    </row>
    <row r="90" spans="1:53">
      <c r="C90" s="3572" t="s">
        <v>4569</v>
      </c>
      <c r="E90" s="3587">
        <v>1835</v>
      </c>
      <c r="F90" s="3587"/>
      <c r="G90" s="3573">
        <v>16</v>
      </c>
      <c r="H90" s="3600"/>
      <c r="I90" s="3574">
        <f t="shared" si="20"/>
        <v>1000</v>
      </c>
      <c r="J90" s="899"/>
      <c r="K90" s="899"/>
      <c r="L90" s="899"/>
      <c r="M90" s="899"/>
      <c r="N90" s="3575"/>
      <c r="O90" s="897"/>
      <c r="P90" s="897"/>
      <c r="Q90" s="897"/>
      <c r="R90" s="897"/>
      <c r="S90" s="897"/>
      <c r="T90" s="897"/>
      <c r="U90" s="897"/>
      <c r="V90" s="897"/>
      <c r="W90" s="897"/>
      <c r="X90" s="3576"/>
      <c r="Y90" s="897"/>
      <c r="Z90" s="897"/>
      <c r="AA90" s="897"/>
      <c r="AB90" s="897">
        <v>500</v>
      </c>
      <c r="AC90" s="897"/>
      <c r="AE90" s="897"/>
      <c r="AF90" s="897"/>
      <c r="AG90" s="897"/>
      <c r="AH90" s="3576"/>
      <c r="AI90" s="897"/>
      <c r="AJ90" s="897"/>
      <c r="AK90" s="897"/>
      <c r="AL90" s="897"/>
      <c r="AM90" s="897"/>
      <c r="AN90" s="897"/>
      <c r="AO90" s="897"/>
      <c r="AP90" s="897"/>
      <c r="AQ90" s="897">
        <v>500</v>
      </c>
      <c r="AR90" s="3576"/>
      <c r="AS90" s="897"/>
      <c r="AT90" s="897"/>
      <c r="AU90" s="897"/>
      <c r="AV90" s="897"/>
      <c r="AW90" s="897"/>
      <c r="AX90" s="897"/>
      <c r="AY90" s="897"/>
      <c r="AZ90" s="897"/>
      <c r="BA90" s="865"/>
    </row>
    <row r="91" spans="1:53">
      <c r="C91" s="3572" t="s">
        <v>4570</v>
      </c>
      <c r="E91" s="3590">
        <v>1</v>
      </c>
      <c r="F91" s="3590"/>
      <c r="G91" s="3573">
        <v>10</v>
      </c>
      <c r="H91" s="897"/>
      <c r="I91" s="3574">
        <f t="shared" si="20"/>
        <v>960</v>
      </c>
      <c r="J91" s="899"/>
      <c r="K91" s="899"/>
      <c r="L91" s="899"/>
      <c r="M91" s="899"/>
      <c r="N91" s="3575"/>
      <c r="O91" s="897"/>
      <c r="P91" s="897"/>
      <c r="Q91" s="897"/>
      <c r="S91" s="897"/>
      <c r="T91" s="897"/>
      <c r="U91" s="897"/>
      <c r="V91" s="897"/>
      <c r="W91" s="897"/>
      <c r="X91" s="3576"/>
      <c r="Y91" s="897">
        <v>240</v>
      </c>
      <c r="Z91" s="897"/>
      <c r="AA91" s="897"/>
      <c r="AB91" s="897"/>
      <c r="AC91" s="897"/>
      <c r="AD91" s="897"/>
      <c r="AF91" s="897">
        <v>240</v>
      </c>
      <c r="AG91" s="897"/>
      <c r="AH91" s="3576"/>
      <c r="AI91" s="897"/>
      <c r="AM91" s="897">
        <v>240</v>
      </c>
      <c r="AO91" s="897"/>
      <c r="AP91" s="897"/>
      <c r="AQ91" s="897"/>
      <c r="AR91" s="3576"/>
      <c r="AT91" s="897">
        <v>240</v>
      </c>
      <c r="AU91" s="897"/>
      <c r="AV91" s="897"/>
      <c r="AW91" s="897"/>
      <c r="AX91" s="897"/>
      <c r="AY91" s="897"/>
      <c r="BA91" s="865"/>
    </row>
    <row r="92" spans="1:53">
      <c r="C92" s="3572" t="s">
        <v>4571</v>
      </c>
      <c r="E92" s="3590"/>
      <c r="F92" s="3590"/>
      <c r="G92" s="3573">
        <v>5</v>
      </c>
      <c r="H92" s="897"/>
      <c r="I92" s="3574">
        <f t="shared" si="20"/>
        <v>0</v>
      </c>
      <c r="J92" s="899"/>
      <c r="K92" s="899"/>
      <c r="L92" s="899"/>
      <c r="M92" s="899"/>
      <c r="N92" s="3575"/>
      <c r="O92" s="897"/>
      <c r="P92" s="897"/>
      <c r="Q92" s="897"/>
      <c r="T92" s="897"/>
      <c r="U92" s="897"/>
      <c r="X92" s="3576"/>
      <c r="Y92" s="897"/>
      <c r="Z92" s="897"/>
      <c r="AB92" s="897"/>
      <c r="AD92" s="897"/>
      <c r="AE92" s="897"/>
      <c r="AF92" s="897"/>
      <c r="AG92" s="897"/>
      <c r="AH92" s="3576"/>
      <c r="AI92" s="897"/>
      <c r="AJ92" s="897"/>
      <c r="AK92" s="897"/>
      <c r="AM92" s="897"/>
      <c r="AO92" s="897"/>
      <c r="AP92" s="897"/>
      <c r="AQ92" s="897"/>
      <c r="AR92" s="3576"/>
      <c r="AS92" s="897"/>
      <c r="AT92" s="897"/>
      <c r="AU92" s="897"/>
      <c r="AV92" s="897"/>
      <c r="AW92" s="897"/>
      <c r="AX92" s="897"/>
      <c r="AY92" s="897"/>
      <c r="AZ92" s="897"/>
      <c r="BA92" s="897"/>
    </row>
    <row r="93" spans="1:53" s="837" customFormat="1">
      <c r="A93" s="793"/>
      <c r="B93" s="3403"/>
      <c r="C93" s="846"/>
      <c r="D93" s="793"/>
      <c r="E93" s="3573"/>
      <c r="F93" s="3573"/>
      <c r="G93" s="3573"/>
      <c r="H93" s="897"/>
      <c r="I93" s="3577"/>
      <c r="J93" s="899"/>
      <c r="K93" s="899"/>
      <c r="L93" s="899"/>
      <c r="M93" s="899"/>
      <c r="N93" s="3575"/>
      <c r="O93" s="897"/>
      <c r="P93" s="897"/>
      <c r="Q93" s="897"/>
      <c r="R93" s="897"/>
      <c r="S93" s="897"/>
      <c r="T93" s="897"/>
      <c r="U93" s="897"/>
      <c r="V93" s="897"/>
      <c r="W93" s="897"/>
      <c r="X93" s="3576"/>
      <c r="Y93" s="897"/>
      <c r="Z93" s="897"/>
      <c r="AA93" s="897"/>
      <c r="AB93" s="897"/>
      <c r="AC93" s="897"/>
      <c r="AD93" s="897"/>
      <c r="AE93" s="897"/>
      <c r="AF93" s="897"/>
      <c r="AG93" s="897"/>
      <c r="AH93" s="3576"/>
      <c r="AI93" s="897"/>
      <c r="AJ93" s="897"/>
      <c r="AK93" s="897"/>
      <c r="AL93" s="897"/>
      <c r="AM93" s="897"/>
      <c r="AN93" s="897"/>
      <c r="AO93" s="897"/>
      <c r="AP93" s="897"/>
      <c r="AQ93" s="897"/>
      <c r="AR93" s="3576"/>
      <c r="AS93" s="897"/>
      <c r="AT93" s="897"/>
      <c r="AU93" s="897"/>
      <c r="AV93" s="897"/>
      <c r="AW93" s="897"/>
      <c r="AX93" s="897"/>
      <c r="AY93" s="897"/>
      <c r="AZ93" s="897"/>
      <c r="BA93" s="865"/>
    </row>
    <row r="94" spans="1:53">
      <c r="C94" s="3578" t="s">
        <v>4572</v>
      </c>
      <c r="D94" s="837"/>
      <c r="E94" s="837"/>
      <c r="F94" s="837"/>
      <c r="G94" s="837"/>
      <c r="H94" s="3601"/>
      <c r="I94" s="3581"/>
      <c r="J94" s="3582"/>
      <c r="K94" s="3582"/>
      <c r="L94" s="3582"/>
      <c r="M94" s="3582"/>
      <c r="N94" s="3583"/>
      <c r="O94" s="3580"/>
      <c r="P94" s="3580"/>
      <c r="Q94" s="3580"/>
      <c r="R94" s="3580"/>
      <c r="S94" s="3580"/>
      <c r="T94" s="3580"/>
      <c r="U94" s="3580"/>
      <c r="V94" s="3580"/>
      <c r="W94" s="3580"/>
      <c r="X94" s="3584"/>
      <c r="Y94" s="3580"/>
      <c r="Z94" s="3580"/>
      <c r="AA94" s="3580"/>
      <c r="AB94" s="3580"/>
      <c r="AC94" s="3580"/>
      <c r="AD94" s="3580"/>
      <c r="AE94" s="3580"/>
      <c r="AF94" s="3580"/>
      <c r="AG94" s="3580"/>
      <c r="AH94" s="3584"/>
      <c r="AI94" s="3580"/>
      <c r="AJ94" s="3580"/>
      <c r="AK94" s="3580"/>
      <c r="AL94" s="3580"/>
      <c r="AM94" s="3580"/>
      <c r="AN94" s="3580"/>
      <c r="AO94" s="3580"/>
      <c r="AP94" s="3580"/>
      <c r="AQ94" s="3580"/>
      <c r="AR94" s="3584"/>
      <c r="AS94" s="3580"/>
      <c r="AT94" s="3580"/>
      <c r="AU94" s="3580"/>
      <c r="AV94" s="3580"/>
      <c r="AW94" s="3580"/>
      <c r="AX94" s="3580"/>
      <c r="AY94" s="3580"/>
      <c r="AZ94" s="3580"/>
      <c r="BA94" s="3585"/>
    </row>
    <row r="95" spans="1:53">
      <c r="C95" s="3572" t="s">
        <v>4573</v>
      </c>
      <c r="E95" s="3590">
        <v>1</v>
      </c>
      <c r="F95" s="3590"/>
      <c r="G95" s="3573">
        <v>25</v>
      </c>
      <c r="H95" s="3602">
        <v>1618</v>
      </c>
      <c r="I95" s="3574">
        <f t="shared" ref="I95:I102" si="21">SUM(M95:BA95)</f>
        <v>0</v>
      </c>
      <c r="J95" s="899"/>
      <c r="K95" s="899"/>
      <c r="L95" s="899"/>
      <c r="M95" s="899"/>
      <c r="N95" s="3575"/>
      <c r="O95" s="897"/>
      <c r="P95" s="897"/>
      <c r="Q95" s="897"/>
      <c r="R95" s="897"/>
      <c r="S95" s="897"/>
      <c r="T95" s="897"/>
      <c r="U95" s="897"/>
      <c r="V95" s="897"/>
      <c r="W95" s="897"/>
      <c r="X95" s="3576"/>
      <c r="Y95" s="897"/>
      <c r="Z95" s="897"/>
      <c r="AA95" s="897"/>
      <c r="AB95" s="897"/>
      <c r="AC95" s="897"/>
      <c r="AD95" s="897"/>
      <c r="AE95" s="897"/>
      <c r="AF95" s="897"/>
      <c r="AG95" s="897"/>
      <c r="AH95" s="3576"/>
      <c r="AJ95" s="897"/>
      <c r="AK95" s="897"/>
      <c r="AL95" s="897"/>
      <c r="AM95" s="897"/>
      <c r="AN95" s="897"/>
      <c r="AO95" s="897"/>
      <c r="AP95" s="897"/>
      <c r="AQ95" s="897"/>
      <c r="AR95" s="3576"/>
      <c r="AS95" s="897"/>
      <c r="AT95" s="897"/>
      <c r="AU95" s="897"/>
      <c r="AV95" s="897"/>
      <c r="AW95" s="897"/>
      <c r="AX95" s="897"/>
      <c r="AY95" s="897"/>
      <c r="AZ95" s="897"/>
      <c r="BA95" s="865"/>
    </row>
    <row r="96" spans="1:53">
      <c r="C96" s="3572" t="s">
        <v>4574</v>
      </c>
      <c r="E96" s="3590">
        <v>1</v>
      </c>
      <c r="F96" s="3590"/>
      <c r="G96" s="3573">
        <v>10</v>
      </c>
      <c r="H96" s="897"/>
      <c r="I96" s="3574">
        <f t="shared" si="21"/>
        <v>1200</v>
      </c>
      <c r="J96" s="899"/>
      <c r="K96" s="899"/>
      <c r="L96" s="899"/>
      <c r="M96" s="899"/>
      <c r="N96" s="3575"/>
      <c r="P96" s="897"/>
      <c r="Q96" s="897"/>
      <c r="R96" s="897"/>
      <c r="S96" s="897"/>
      <c r="T96" s="897"/>
      <c r="U96" s="897"/>
      <c r="V96" s="897"/>
      <c r="W96" s="897">
        <v>400</v>
      </c>
      <c r="X96" s="3576"/>
      <c r="Y96" s="897"/>
      <c r="Z96" s="897"/>
      <c r="AA96" s="897"/>
      <c r="AB96" s="897"/>
      <c r="AC96" s="897"/>
      <c r="AD96" s="897"/>
      <c r="AE96" s="897"/>
      <c r="AF96" s="897"/>
      <c r="AG96" s="897">
        <v>400</v>
      </c>
      <c r="AH96" s="3404"/>
      <c r="AJ96" s="897"/>
      <c r="AK96" s="897"/>
      <c r="AL96" s="897"/>
      <c r="AM96" s="897"/>
      <c r="AN96" s="897"/>
      <c r="AO96" s="897"/>
      <c r="AP96" s="897"/>
      <c r="AQ96" s="897">
        <v>400</v>
      </c>
      <c r="AR96" s="3576"/>
      <c r="AS96" s="897"/>
      <c r="AT96" s="897"/>
      <c r="AU96" s="897"/>
      <c r="AV96" s="897"/>
      <c r="AW96" s="897"/>
      <c r="AX96" s="897"/>
      <c r="AY96" s="897"/>
      <c r="AZ96" s="897"/>
      <c r="BA96" s="865"/>
    </row>
    <row r="97" spans="1:53">
      <c r="C97" s="3572" t="s">
        <v>4575</v>
      </c>
      <c r="E97" s="3590">
        <v>1</v>
      </c>
      <c r="F97" s="3590"/>
      <c r="G97" s="3573">
        <v>10</v>
      </c>
      <c r="H97" s="897"/>
      <c r="I97" s="3574">
        <f t="shared" si="21"/>
        <v>1260</v>
      </c>
      <c r="J97" s="899"/>
      <c r="K97" s="899"/>
      <c r="L97" s="899"/>
      <c r="M97" s="899"/>
      <c r="N97" s="3575"/>
      <c r="P97" s="897"/>
      <c r="Q97" s="897"/>
      <c r="R97" s="897"/>
      <c r="S97" s="897"/>
      <c r="T97" s="897"/>
      <c r="U97" s="897"/>
      <c r="V97" s="897"/>
      <c r="W97" s="897">
        <v>420</v>
      </c>
      <c r="X97" s="3576"/>
      <c r="Y97" s="897"/>
      <c r="Z97" s="897"/>
      <c r="AA97" s="897"/>
      <c r="AB97" s="897"/>
      <c r="AC97" s="897"/>
      <c r="AD97" s="897"/>
      <c r="AE97" s="897"/>
      <c r="AF97" s="897"/>
      <c r="AG97" s="897">
        <v>420</v>
      </c>
      <c r="AH97" s="3404"/>
      <c r="AJ97" s="897"/>
      <c r="AK97" s="897"/>
      <c r="AL97" s="897"/>
      <c r="AM97" s="897"/>
      <c r="AN97" s="897"/>
      <c r="AO97" s="897"/>
      <c r="AP97" s="897"/>
      <c r="AQ97" s="897">
        <v>420</v>
      </c>
      <c r="AR97" s="3576"/>
      <c r="AS97" s="897"/>
      <c r="AT97" s="897"/>
      <c r="AU97" s="897"/>
      <c r="AV97" s="897"/>
      <c r="AW97" s="897"/>
      <c r="AX97" s="897"/>
      <c r="AY97" s="897"/>
      <c r="AZ97" s="897"/>
      <c r="BA97" s="865"/>
    </row>
    <row r="98" spans="1:53">
      <c r="C98" s="3572" t="s">
        <v>4576</v>
      </c>
      <c r="E98" s="3590">
        <v>1</v>
      </c>
      <c r="F98" s="3590"/>
      <c r="G98" s="3573">
        <v>10</v>
      </c>
      <c r="H98" s="897"/>
      <c r="I98" s="3574">
        <f t="shared" si="21"/>
        <v>1350</v>
      </c>
      <c r="J98" s="899"/>
      <c r="K98" s="899"/>
      <c r="L98" s="899"/>
      <c r="M98" s="899"/>
      <c r="N98" s="3575"/>
      <c r="P98" s="897"/>
      <c r="Q98" s="897"/>
      <c r="R98" s="897"/>
      <c r="S98" s="897"/>
      <c r="T98" s="897"/>
      <c r="U98" s="897"/>
      <c r="V98" s="897"/>
      <c r="W98" s="897">
        <v>450</v>
      </c>
      <c r="X98" s="3576"/>
      <c r="Y98" s="897"/>
      <c r="Z98" s="897"/>
      <c r="AA98" s="897"/>
      <c r="AB98" s="897"/>
      <c r="AC98" s="897"/>
      <c r="AD98" s="897"/>
      <c r="AE98" s="897"/>
      <c r="AF98" s="897"/>
      <c r="AG98" s="897">
        <v>450</v>
      </c>
      <c r="AH98" s="3404"/>
      <c r="AJ98" s="897"/>
      <c r="AK98" s="897"/>
      <c r="AL98" s="897"/>
      <c r="AM98" s="897"/>
      <c r="AN98" s="897"/>
      <c r="AO98" s="897"/>
      <c r="AP98" s="897"/>
      <c r="AQ98" s="897">
        <v>450</v>
      </c>
      <c r="AR98" s="3576"/>
      <c r="AS98" s="897"/>
      <c r="AT98" s="897"/>
      <c r="AU98" s="897"/>
      <c r="AV98" s="897"/>
      <c r="AW98" s="897"/>
      <c r="AX98" s="897"/>
      <c r="AY98" s="897"/>
      <c r="AZ98" s="897"/>
      <c r="BA98" s="865"/>
    </row>
    <row r="99" spans="1:53">
      <c r="C99" s="3572" t="s">
        <v>4577</v>
      </c>
      <c r="E99" s="3590">
        <v>1</v>
      </c>
      <c r="F99" s="3590"/>
      <c r="G99" s="3573">
        <v>6</v>
      </c>
      <c r="H99" s="897"/>
      <c r="I99" s="3574">
        <f t="shared" si="21"/>
        <v>600</v>
      </c>
      <c r="J99" s="899"/>
      <c r="K99" s="899"/>
      <c r="L99" s="899"/>
      <c r="M99" s="899"/>
      <c r="N99" s="3575"/>
      <c r="Q99" s="897"/>
      <c r="R99" s="897"/>
      <c r="S99" s="897"/>
      <c r="T99" s="897"/>
      <c r="U99" s="897"/>
      <c r="V99" s="897"/>
      <c r="W99" s="897">
        <v>200</v>
      </c>
      <c r="X99" s="3576"/>
      <c r="Y99" s="897"/>
      <c r="Z99" s="897"/>
      <c r="AA99" s="897"/>
      <c r="AB99" s="897"/>
      <c r="AC99" s="897"/>
      <c r="AD99" s="897"/>
      <c r="AE99" s="897"/>
      <c r="AF99" s="897"/>
      <c r="AG99" s="897">
        <v>200</v>
      </c>
      <c r="AH99" s="3404"/>
      <c r="AJ99" s="897"/>
      <c r="AK99" s="897"/>
      <c r="AL99" s="897"/>
      <c r="AM99" s="897"/>
      <c r="AN99" s="897"/>
      <c r="AO99" s="897"/>
      <c r="AP99" s="897"/>
      <c r="AQ99" s="897">
        <v>200</v>
      </c>
      <c r="AR99" s="3576"/>
      <c r="AS99" s="897"/>
      <c r="AT99" s="897"/>
      <c r="AU99" s="897"/>
      <c r="AV99" s="897"/>
      <c r="AW99" s="897"/>
      <c r="AX99" s="897"/>
      <c r="AY99" s="897"/>
      <c r="AZ99" s="897"/>
      <c r="BA99" s="865"/>
    </row>
    <row r="100" spans="1:53" s="3527" customFormat="1">
      <c r="A100" s="793"/>
      <c r="B100" s="3403"/>
      <c r="C100" s="317" t="s">
        <v>4578</v>
      </c>
      <c r="D100" s="793"/>
      <c r="E100" s="3573"/>
      <c r="F100" s="3573"/>
      <c r="G100" s="3573">
        <v>10</v>
      </c>
      <c r="H100" s="897"/>
      <c r="I100" s="3574">
        <f t="shared" si="21"/>
        <v>540</v>
      </c>
      <c r="J100" s="899"/>
      <c r="K100" s="899"/>
      <c r="L100" s="899"/>
      <c r="M100" s="899"/>
      <c r="N100" s="3575"/>
      <c r="O100" s="793"/>
      <c r="P100" s="897"/>
      <c r="Q100" s="897"/>
      <c r="R100" s="897"/>
      <c r="S100" s="897"/>
      <c r="T100" s="897"/>
      <c r="U100" s="897"/>
      <c r="V100" s="897"/>
      <c r="W100" s="897">
        <v>180</v>
      </c>
      <c r="X100" s="3576"/>
      <c r="Y100" s="897"/>
      <c r="Z100" s="897"/>
      <c r="AA100" s="897"/>
      <c r="AB100" s="897"/>
      <c r="AC100" s="897"/>
      <c r="AD100" s="897"/>
      <c r="AE100" s="897"/>
      <c r="AF100" s="897"/>
      <c r="AG100" s="897">
        <v>180</v>
      </c>
      <c r="AH100" s="3404"/>
      <c r="AI100" s="793"/>
      <c r="AJ100" s="897"/>
      <c r="AK100" s="897"/>
      <c r="AL100" s="897"/>
      <c r="AM100" s="897"/>
      <c r="AN100" s="897"/>
      <c r="AO100" s="897"/>
      <c r="AP100" s="897"/>
      <c r="AQ100" s="897">
        <v>180</v>
      </c>
      <c r="AR100" s="3576"/>
      <c r="AS100" s="897"/>
      <c r="AT100" s="897"/>
      <c r="AU100" s="897"/>
      <c r="AV100" s="897"/>
      <c r="AW100" s="897"/>
      <c r="AX100" s="897"/>
      <c r="AY100" s="897"/>
      <c r="AZ100" s="897"/>
      <c r="BA100" s="865"/>
    </row>
    <row r="101" spans="1:53">
      <c r="C101" s="3572" t="s">
        <v>4579</v>
      </c>
      <c r="E101" s="3573">
        <v>5</v>
      </c>
      <c r="F101" s="3573"/>
      <c r="G101" s="3573">
        <v>7</v>
      </c>
      <c r="H101" s="897"/>
      <c r="I101" s="3574">
        <f t="shared" si="21"/>
        <v>1440</v>
      </c>
      <c r="J101" s="899"/>
      <c r="K101" s="899"/>
      <c r="L101" s="899"/>
      <c r="M101" s="3603"/>
      <c r="N101" s="899"/>
      <c r="O101" s="897"/>
      <c r="P101" s="897">
        <v>360</v>
      </c>
      <c r="Q101" s="897"/>
      <c r="S101" s="897"/>
      <c r="T101" s="897"/>
      <c r="U101" s="897"/>
      <c r="V101" s="897"/>
      <c r="W101" s="897"/>
      <c r="X101" s="3576"/>
      <c r="Y101" s="897"/>
      <c r="Z101" s="897">
        <v>360</v>
      </c>
      <c r="AA101" s="897"/>
      <c r="AB101" s="897"/>
      <c r="AC101" s="897"/>
      <c r="AD101" s="897"/>
      <c r="AE101" s="897"/>
      <c r="AF101" s="897"/>
      <c r="AG101" s="897"/>
      <c r="AH101" s="846"/>
      <c r="AJ101" s="897">
        <v>360</v>
      </c>
      <c r="AK101" s="897"/>
      <c r="AL101" s="897"/>
      <c r="AM101" s="897"/>
      <c r="AN101" s="897"/>
      <c r="AO101" s="897"/>
      <c r="AP101" s="897"/>
      <c r="AQ101" s="897"/>
      <c r="AR101" s="3576"/>
      <c r="AS101" s="897"/>
      <c r="AT101" s="897">
        <v>360</v>
      </c>
      <c r="AU101" s="897"/>
      <c r="AV101" s="897"/>
      <c r="AW101" s="897"/>
      <c r="AX101" s="897"/>
      <c r="AY101" s="897"/>
      <c r="AZ101" s="897"/>
      <c r="BA101" s="865"/>
    </row>
    <row r="102" spans="1:53">
      <c r="C102" s="3572" t="s">
        <v>4580</v>
      </c>
      <c r="E102" s="3573">
        <v>40</v>
      </c>
      <c r="F102" s="3573"/>
      <c r="G102" s="3573">
        <v>6</v>
      </c>
      <c r="H102" s="897"/>
      <c r="I102" s="3574">
        <f t="shared" si="21"/>
        <v>320</v>
      </c>
      <c r="J102" s="899"/>
      <c r="K102" s="899"/>
      <c r="L102" s="899"/>
      <c r="M102" s="3603"/>
      <c r="N102" s="899"/>
      <c r="Q102" s="897"/>
      <c r="R102" s="897"/>
      <c r="S102" s="897"/>
      <c r="T102" s="897"/>
      <c r="U102" s="897">
        <v>80</v>
      </c>
      <c r="V102" s="897"/>
      <c r="W102" s="897"/>
      <c r="X102" s="3576"/>
      <c r="Y102" s="897"/>
      <c r="Z102" s="897"/>
      <c r="AA102" s="897">
        <v>80</v>
      </c>
      <c r="AB102" s="897"/>
      <c r="AC102" s="897"/>
      <c r="AD102" s="897"/>
      <c r="AE102" s="897"/>
      <c r="AF102" s="897"/>
      <c r="AG102" s="897"/>
      <c r="AH102" s="846"/>
      <c r="AJ102" s="897"/>
      <c r="AK102" s="897"/>
      <c r="AM102" s="897">
        <v>80</v>
      </c>
      <c r="AO102" s="897"/>
      <c r="AP102" s="897"/>
      <c r="AQ102" s="897"/>
      <c r="AR102" s="3576"/>
      <c r="AS102" s="897">
        <v>80</v>
      </c>
      <c r="AT102" s="897"/>
      <c r="AU102" s="897"/>
      <c r="AV102" s="897"/>
      <c r="AW102" s="897"/>
      <c r="AX102" s="897"/>
      <c r="AY102" s="897"/>
      <c r="AZ102" s="897"/>
      <c r="BA102" s="865"/>
    </row>
    <row r="103" spans="1:53">
      <c r="C103" s="3592"/>
      <c r="D103" s="3527"/>
      <c r="E103" s="3527"/>
      <c r="F103" s="3527"/>
      <c r="G103" s="3527"/>
      <c r="H103" s="3527"/>
      <c r="I103" s="3604"/>
      <c r="J103" s="3605"/>
      <c r="K103" s="3605"/>
      <c r="L103" s="3605"/>
      <c r="M103" s="3605"/>
      <c r="N103" s="3606"/>
      <c r="O103" s="3527"/>
      <c r="P103" s="3527"/>
      <c r="Q103" s="3527"/>
      <c r="R103" s="3527"/>
      <c r="S103" s="3527"/>
      <c r="T103" s="3527"/>
      <c r="U103" s="3527"/>
      <c r="V103" s="3527"/>
      <c r="W103" s="3527"/>
      <c r="X103" s="3592"/>
      <c r="Y103" s="3527"/>
      <c r="Z103" s="3527"/>
      <c r="AA103" s="3527"/>
      <c r="AB103" s="3527"/>
      <c r="AC103" s="3527"/>
      <c r="AD103" s="3527"/>
      <c r="AE103" s="3527"/>
      <c r="AF103" s="3527"/>
      <c r="AG103" s="3527"/>
      <c r="AH103" s="3592"/>
      <c r="AI103" s="3527"/>
      <c r="AJ103" s="3527"/>
      <c r="AK103" s="3527"/>
      <c r="AL103" s="3527"/>
      <c r="AM103" s="3527"/>
      <c r="AN103" s="3527"/>
      <c r="AO103" s="3527"/>
      <c r="AP103" s="3527"/>
      <c r="AQ103" s="3527"/>
      <c r="AR103" s="3592"/>
      <c r="AS103" s="3527"/>
      <c r="AT103" s="3527"/>
      <c r="AU103" s="3527"/>
      <c r="AV103" s="3527"/>
      <c r="AW103" s="3527"/>
      <c r="AX103" s="3527"/>
      <c r="AY103" s="3527"/>
      <c r="AZ103" s="3527"/>
      <c r="BA103" s="3607"/>
    </row>
    <row r="104" spans="1:53">
      <c r="M104" s="1842"/>
    </row>
    <row r="105" spans="1:53">
      <c r="M105" s="3608"/>
    </row>
    <row r="111" spans="1:53">
      <c r="L111" s="898"/>
      <c r="M111" s="898"/>
      <c r="N111" s="898"/>
      <c r="O111" s="898"/>
      <c r="P111" s="898"/>
      <c r="Q111" s="898"/>
      <c r="R111" s="898"/>
      <c r="S111" s="898"/>
      <c r="T111" s="898"/>
      <c r="U111" s="898"/>
      <c r="V111" s="898"/>
      <c r="W111" s="898"/>
      <c r="X111" s="898"/>
      <c r="Y111" s="898"/>
      <c r="Z111" s="898"/>
      <c r="AA111" s="898"/>
      <c r="AB111" s="898"/>
      <c r="AC111" s="898"/>
      <c r="AD111" s="898"/>
      <c r="AE111" s="898"/>
      <c r="AF111" s="898"/>
      <c r="AG111" s="898"/>
      <c r="AH111" s="898"/>
      <c r="AI111" s="898"/>
      <c r="AJ111" s="898"/>
      <c r="AK111" s="898"/>
      <c r="AL111" s="898"/>
      <c r="AM111" s="898"/>
      <c r="AN111" s="898"/>
      <c r="AO111" s="898"/>
      <c r="AP111" s="898"/>
      <c r="AQ111" s="898"/>
      <c r="AR111" s="898"/>
      <c r="AS111" s="898"/>
      <c r="AT111" s="898"/>
      <c r="AU111" s="898"/>
      <c r="AV111" s="898"/>
      <c r="AW111" s="898"/>
      <c r="AX111" s="898"/>
      <c r="AY111" s="898"/>
      <c r="AZ111" s="898"/>
      <c r="BA111" s="898"/>
    </row>
    <row r="112" spans="1:53">
      <c r="L112" s="898"/>
      <c r="M112" s="898"/>
      <c r="N112" s="898"/>
      <c r="O112" s="898"/>
      <c r="P112" s="898"/>
      <c r="Q112" s="898"/>
      <c r="R112" s="898"/>
      <c r="S112" s="898"/>
      <c r="T112" s="898"/>
      <c r="U112" s="898"/>
      <c r="V112" s="898"/>
      <c r="W112" s="898"/>
      <c r="X112" s="898"/>
      <c r="Y112" s="898"/>
      <c r="Z112" s="898"/>
      <c r="AA112" s="898"/>
      <c r="AB112" s="898"/>
      <c r="AC112" s="898"/>
      <c r="AD112" s="898"/>
      <c r="AE112" s="898"/>
      <c r="AF112" s="898"/>
      <c r="AG112" s="898"/>
      <c r="AH112" s="898"/>
      <c r="AI112" s="898"/>
      <c r="AJ112" s="898"/>
      <c r="AK112" s="898"/>
      <c r="AL112" s="898"/>
      <c r="AM112" s="898"/>
      <c r="AN112" s="898"/>
      <c r="AO112" s="898"/>
      <c r="AP112" s="898"/>
      <c r="AQ112" s="898"/>
      <c r="AR112" s="898"/>
      <c r="AS112" s="898"/>
      <c r="AT112" s="898"/>
      <c r="AU112" s="898"/>
      <c r="AV112" s="898"/>
      <c r="AW112" s="898"/>
      <c r="AX112" s="898"/>
      <c r="AY112" s="898"/>
      <c r="AZ112" s="898"/>
      <c r="BA112" s="898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57355-DE44-4584-A9A7-53A48742E005}">
  <sheetPr codeName="Sheet8"/>
  <dimension ref="A1:AY131"/>
  <sheetViews>
    <sheetView showGridLines="0" zoomScaleNormal="100" workbookViewId="0">
      <selection activeCell="C10" sqref="C10"/>
    </sheetView>
  </sheetViews>
  <sheetFormatPr defaultRowHeight="13.5"/>
  <cols>
    <col min="4" max="51" width="17.44140625" customWidth="1"/>
  </cols>
  <sheetData>
    <row r="1" spans="1:51" ht="16.5">
      <c r="A1" s="3609" t="s">
        <v>4581</v>
      </c>
      <c r="B1" s="3610"/>
      <c r="C1" s="3611"/>
      <c r="D1" s="3610"/>
      <c r="E1" s="3610"/>
      <c r="F1" s="3610"/>
      <c r="G1" s="3610"/>
      <c r="H1" s="3610"/>
      <c r="I1" s="3610"/>
      <c r="J1" s="3610"/>
      <c r="K1" s="3610"/>
      <c r="L1" s="3610"/>
      <c r="M1" s="3610"/>
      <c r="N1" s="3610"/>
      <c r="O1" s="3610"/>
      <c r="P1" s="3610"/>
      <c r="Q1" s="3610"/>
      <c r="R1" s="3610"/>
      <c r="S1" s="3610"/>
      <c r="T1" s="3610"/>
      <c r="U1" s="3610"/>
      <c r="V1" s="3610"/>
      <c r="W1" s="3610"/>
      <c r="X1" s="3610"/>
      <c r="Y1" s="3610"/>
      <c r="Z1" s="3610"/>
      <c r="AA1" s="3610"/>
      <c r="AB1" s="3610"/>
      <c r="AC1" s="3610"/>
      <c r="AD1" s="3610"/>
      <c r="AE1" s="3610"/>
      <c r="AF1" s="3610"/>
      <c r="AG1" s="3610"/>
      <c r="AH1" s="3610"/>
      <c r="AI1" s="3610"/>
      <c r="AJ1" s="3610"/>
      <c r="AK1" s="3610"/>
      <c r="AL1" s="3610"/>
      <c r="AM1" s="3610"/>
      <c r="AN1" s="3610"/>
      <c r="AO1" s="3610"/>
      <c r="AP1" s="3610"/>
      <c r="AQ1" s="3610"/>
      <c r="AR1" s="3610"/>
      <c r="AS1" s="3610"/>
      <c r="AT1" s="3610"/>
      <c r="AU1" s="3610"/>
      <c r="AV1" s="3610"/>
      <c r="AW1" s="3610"/>
      <c r="AX1" s="3610"/>
      <c r="AY1" s="3610"/>
    </row>
    <row r="2" spans="1:51" ht="16.5">
      <c r="A2" s="3609"/>
      <c r="B2" s="3610"/>
      <c r="C2" s="3611"/>
      <c r="D2" s="3610"/>
      <c r="E2" s="3610"/>
      <c r="F2" s="3610"/>
      <c r="G2" s="3610"/>
      <c r="H2" s="3610"/>
      <c r="I2" s="3610"/>
      <c r="J2" s="3610"/>
      <c r="K2" s="3610"/>
      <c r="L2" s="3610"/>
      <c r="M2" s="3610"/>
      <c r="N2" s="3610"/>
      <c r="O2" s="3610"/>
      <c r="P2" s="3610"/>
      <c r="Q2" s="3610"/>
      <c r="R2" s="3610"/>
      <c r="S2" s="3610"/>
      <c r="T2" s="3610"/>
      <c r="U2" s="3610"/>
      <c r="V2" s="3610"/>
      <c r="W2" s="3610"/>
      <c r="X2" s="3610"/>
      <c r="Y2" s="3610"/>
      <c r="Z2" s="3610"/>
      <c r="AA2" s="3610"/>
      <c r="AB2" s="3610"/>
      <c r="AC2" s="3610"/>
      <c r="AD2" s="3610"/>
      <c r="AE2" s="3610"/>
      <c r="AF2" s="3610"/>
      <c r="AG2" s="3610"/>
      <c r="AH2" s="3610"/>
      <c r="AI2" s="3610"/>
      <c r="AJ2" s="3610"/>
      <c r="AK2" s="3610"/>
      <c r="AL2" s="3610"/>
      <c r="AM2" s="3610"/>
      <c r="AN2" s="3610"/>
      <c r="AO2" s="3610"/>
      <c r="AP2" s="3610"/>
      <c r="AQ2" s="3610"/>
      <c r="AR2" s="3610"/>
      <c r="AS2" s="3610"/>
      <c r="AT2" s="3610"/>
      <c r="AU2" s="3610"/>
      <c r="AV2" s="3610"/>
      <c r="AW2" s="3610"/>
      <c r="AX2" s="3610"/>
      <c r="AY2" s="3610"/>
    </row>
    <row r="3" spans="1:51" ht="16.5">
      <c r="A3" s="3612"/>
      <c r="B3" s="3613" t="s">
        <v>4582</v>
      </c>
      <c r="C3" s="3614" t="s">
        <v>4583</v>
      </c>
      <c r="D3" s="3615" t="s">
        <v>4584</v>
      </c>
      <c r="E3" s="3616"/>
      <c r="F3" s="3617" t="s">
        <v>4585</v>
      </c>
      <c r="G3" s="3617" t="s">
        <v>3800</v>
      </c>
      <c r="H3" s="3617" t="s">
        <v>3801</v>
      </c>
      <c r="I3" s="3617" t="s">
        <v>3802</v>
      </c>
      <c r="J3" s="3617" t="s">
        <v>3803</v>
      </c>
      <c r="K3" s="3617" t="s">
        <v>3804</v>
      </c>
      <c r="L3" s="3617" t="s">
        <v>4586</v>
      </c>
      <c r="M3" s="3617" t="s">
        <v>3806</v>
      </c>
      <c r="N3" s="3617" t="s">
        <v>4587</v>
      </c>
      <c r="O3" s="3617" t="s">
        <v>4588</v>
      </c>
      <c r="P3" s="3617" t="s">
        <v>3809</v>
      </c>
      <c r="Q3" s="3617" t="s">
        <v>3810</v>
      </c>
      <c r="R3" s="3617" t="s">
        <v>3811</v>
      </c>
      <c r="S3" s="3617" t="s">
        <v>3812</v>
      </c>
      <c r="T3" s="3617" t="s">
        <v>3813</v>
      </c>
      <c r="U3" s="3617" t="s">
        <v>3814</v>
      </c>
      <c r="V3" s="3617" t="s">
        <v>3815</v>
      </c>
      <c r="W3" s="3617" t="s">
        <v>3816</v>
      </c>
      <c r="X3" s="3617" t="s">
        <v>3817</v>
      </c>
      <c r="Y3" s="3617" t="s">
        <v>3818</v>
      </c>
      <c r="Z3" s="3617" t="s">
        <v>3819</v>
      </c>
      <c r="AA3" s="3617" t="s">
        <v>3820</v>
      </c>
      <c r="AB3" s="3617" t="s">
        <v>3821</v>
      </c>
      <c r="AC3" s="3617" t="s">
        <v>3822</v>
      </c>
      <c r="AD3" s="3617" t="s">
        <v>3823</v>
      </c>
      <c r="AE3" s="3617" t="s">
        <v>3824</v>
      </c>
      <c r="AF3" s="3617" t="s">
        <v>3825</v>
      </c>
      <c r="AG3" s="3617" t="s">
        <v>3826</v>
      </c>
      <c r="AH3" s="3617" t="s">
        <v>3827</v>
      </c>
      <c r="AI3" s="3617" t="s">
        <v>3828</v>
      </c>
      <c r="AJ3" s="3617" t="s">
        <v>3829</v>
      </c>
      <c r="AK3" s="3617" t="s">
        <v>3830</v>
      </c>
      <c r="AL3" s="3617" t="s">
        <v>3831</v>
      </c>
      <c r="AM3" s="3617" t="s">
        <v>3832</v>
      </c>
      <c r="AN3" s="3617" t="s">
        <v>3833</v>
      </c>
      <c r="AO3" s="3617" t="s">
        <v>3834</v>
      </c>
      <c r="AP3" s="3617" t="s">
        <v>3835</v>
      </c>
      <c r="AQ3" s="3617" t="s">
        <v>3836</v>
      </c>
      <c r="AR3" s="3617" t="s">
        <v>3837</v>
      </c>
      <c r="AS3" s="3617" t="s">
        <v>3838</v>
      </c>
      <c r="AT3" s="3617" t="s">
        <v>3839</v>
      </c>
      <c r="AU3" s="3618" t="s">
        <v>3840</v>
      </c>
      <c r="AV3" s="3619" t="s">
        <v>4589</v>
      </c>
      <c r="AW3" s="3610"/>
      <c r="AX3" s="3610"/>
      <c r="AY3" s="3610"/>
    </row>
    <row r="4" spans="1:51" ht="16.5">
      <c r="A4" s="3620"/>
      <c r="B4" s="3621" t="s">
        <v>4590</v>
      </c>
      <c r="C4" s="3622"/>
      <c r="D4" s="3621"/>
      <c r="E4" s="3623"/>
      <c r="F4" s="3623">
        <f>매출!Q5/1000</f>
        <v>302.93200000000002</v>
      </c>
      <c r="G4" s="3623">
        <f>매출!R5/1000</f>
        <v>320.34300000000002</v>
      </c>
      <c r="H4" s="3623">
        <f ca="1">매출!S5/1000</f>
        <v>352.19400000000002</v>
      </c>
      <c r="I4" s="3623">
        <f ca="1">매출!T5/1000</f>
        <v>314.43599999999998</v>
      </c>
      <c r="J4" s="3623">
        <f ca="1">매출!U5/1000</f>
        <v>310</v>
      </c>
      <c r="K4" s="3623">
        <f ca="1">매출!V5/1000</f>
        <v>320</v>
      </c>
      <c r="L4" s="3623">
        <f ca="1">매출!W5/1000</f>
        <v>330</v>
      </c>
      <c r="M4" s="3623">
        <f ca="1">매출!X5/1000</f>
        <v>340</v>
      </c>
      <c r="N4" s="3623">
        <f ca="1">매출!Y5/1000</f>
        <v>350</v>
      </c>
      <c r="O4" s="3623">
        <f ca="1">매출!Z5/1000</f>
        <v>360</v>
      </c>
      <c r="P4" s="3623">
        <f ca="1">매출!AA5/1000</f>
        <v>370</v>
      </c>
      <c r="Q4" s="3623">
        <f ca="1">매출!AB5/1000</f>
        <v>380</v>
      </c>
      <c r="R4" s="3623">
        <f ca="1">매출!AC5/1000</f>
        <v>390</v>
      </c>
      <c r="S4" s="3623">
        <f ca="1">매출!AD5/1000</f>
        <v>394</v>
      </c>
      <c r="T4" s="3623">
        <f ca="1">매출!AE5/1000</f>
        <v>398</v>
      </c>
      <c r="U4" s="3623">
        <f ca="1">매출!AF5/1000</f>
        <v>402</v>
      </c>
      <c r="V4" s="3623">
        <f ca="1">매출!AG5/1000</f>
        <v>406</v>
      </c>
      <c r="W4" s="3623">
        <f ca="1">매출!AH5/1000</f>
        <v>410</v>
      </c>
      <c r="X4" s="3623">
        <f ca="1">매출!AI5/1000</f>
        <v>414</v>
      </c>
      <c r="Y4" s="3623">
        <f ca="1">매출!AJ5/1000</f>
        <v>418</v>
      </c>
      <c r="Z4" s="3623">
        <f ca="1">매출!AK5/1000</f>
        <v>422</v>
      </c>
      <c r="AA4" s="3623">
        <f ca="1">매출!AL5/1000</f>
        <v>426</v>
      </c>
      <c r="AB4" s="3623">
        <f ca="1">매출!AM5/1000</f>
        <v>430</v>
      </c>
      <c r="AC4" s="3623">
        <f ca="1">매출!AN5/1000</f>
        <v>434</v>
      </c>
      <c r="AD4" s="3623">
        <f ca="1">매출!AO5/1000</f>
        <v>438</v>
      </c>
      <c r="AE4" s="3623">
        <f ca="1">매출!AP5/1000</f>
        <v>442</v>
      </c>
      <c r="AF4" s="3623">
        <f ca="1">매출!AQ5/1000</f>
        <v>446</v>
      </c>
      <c r="AG4" s="3623">
        <f ca="1">매출!AR5/1000</f>
        <v>450</v>
      </c>
      <c r="AH4" s="3623">
        <f ca="1">매출!AS5/1000</f>
        <v>454</v>
      </c>
      <c r="AI4" s="3623">
        <f ca="1">매출!AT5/1000</f>
        <v>458</v>
      </c>
      <c r="AJ4" s="3623">
        <f ca="1">매출!AU5/1000</f>
        <v>462</v>
      </c>
      <c r="AK4" s="3623">
        <f ca="1">매출!AV5/1000</f>
        <v>466</v>
      </c>
      <c r="AL4" s="3623">
        <f ca="1">매출!AW5/1000</f>
        <v>470</v>
      </c>
      <c r="AM4" s="3623">
        <f ca="1">매출!AX5/1000</f>
        <v>474</v>
      </c>
      <c r="AN4" s="3623">
        <f ca="1">매출!AY5/1000</f>
        <v>478</v>
      </c>
      <c r="AO4" s="3623">
        <f ca="1">매출!AZ5/1000</f>
        <v>482</v>
      </c>
      <c r="AP4" s="3623">
        <f ca="1">매출!BA5/1000</f>
        <v>486</v>
      </c>
      <c r="AQ4" s="3623">
        <f ca="1">매출!BB5/1000</f>
        <v>490</v>
      </c>
      <c r="AR4" s="3623">
        <f ca="1">매출!BC5/1000</f>
        <v>494</v>
      </c>
      <c r="AS4" s="3623">
        <f ca="1">매출!BD5/1000</f>
        <v>498</v>
      </c>
      <c r="AT4" s="3623">
        <f ca="1">매출!BE5/1000</f>
        <v>502</v>
      </c>
      <c r="AU4" s="3624">
        <f ca="1">매출!BF5/1000</f>
        <v>506</v>
      </c>
      <c r="AV4" s="3621"/>
      <c r="AW4" s="3625"/>
      <c r="AX4" s="3625"/>
      <c r="AY4" s="3625"/>
    </row>
    <row r="5" spans="1:51" ht="16.5">
      <c r="A5" s="3626" t="s">
        <v>4591</v>
      </c>
      <c r="B5" s="3627" t="s">
        <v>4592</v>
      </c>
      <c r="C5" s="3628"/>
      <c r="D5" s="3629"/>
      <c r="E5" s="3627"/>
      <c r="F5" s="3627">
        <v>3</v>
      </c>
      <c r="G5" s="3627">
        <f t="shared" ref="G5:AU5" si="0">F5</f>
        <v>3</v>
      </c>
      <c r="H5" s="3627">
        <f t="shared" si="0"/>
        <v>3</v>
      </c>
      <c r="I5" s="3627">
        <f t="shared" si="0"/>
        <v>3</v>
      </c>
      <c r="J5" s="3627">
        <f t="shared" si="0"/>
        <v>3</v>
      </c>
      <c r="K5" s="3627">
        <f t="shared" si="0"/>
        <v>3</v>
      </c>
      <c r="L5" s="3627">
        <f t="shared" si="0"/>
        <v>3</v>
      </c>
      <c r="M5" s="3627">
        <f t="shared" si="0"/>
        <v>3</v>
      </c>
      <c r="N5" s="3627">
        <f t="shared" si="0"/>
        <v>3</v>
      </c>
      <c r="O5" s="3627">
        <f t="shared" si="0"/>
        <v>3</v>
      </c>
      <c r="P5" s="3627">
        <f t="shared" si="0"/>
        <v>3</v>
      </c>
      <c r="Q5" s="3627">
        <f t="shared" si="0"/>
        <v>3</v>
      </c>
      <c r="R5" s="3627">
        <f t="shared" si="0"/>
        <v>3</v>
      </c>
      <c r="S5" s="3627">
        <f t="shared" si="0"/>
        <v>3</v>
      </c>
      <c r="T5" s="3627">
        <f t="shared" si="0"/>
        <v>3</v>
      </c>
      <c r="U5" s="3627">
        <f t="shared" si="0"/>
        <v>3</v>
      </c>
      <c r="V5" s="3627">
        <f t="shared" si="0"/>
        <v>3</v>
      </c>
      <c r="W5" s="3627">
        <f t="shared" si="0"/>
        <v>3</v>
      </c>
      <c r="X5" s="3627">
        <f t="shared" si="0"/>
        <v>3</v>
      </c>
      <c r="Y5" s="3627">
        <f t="shared" si="0"/>
        <v>3</v>
      </c>
      <c r="Z5" s="3627">
        <f t="shared" si="0"/>
        <v>3</v>
      </c>
      <c r="AA5" s="3627">
        <f t="shared" si="0"/>
        <v>3</v>
      </c>
      <c r="AB5" s="3627">
        <f t="shared" si="0"/>
        <v>3</v>
      </c>
      <c r="AC5" s="3627">
        <f t="shared" si="0"/>
        <v>3</v>
      </c>
      <c r="AD5" s="3627">
        <f t="shared" si="0"/>
        <v>3</v>
      </c>
      <c r="AE5" s="3627">
        <f t="shared" si="0"/>
        <v>3</v>
      </c>
      <c r="AF5" s="3627">
        <f t="shared" si="0"/>
        <v>3</v>
      </c>
      <c r="AG5" s="3627">
        <f t="shared" si="0"/>
        <v>3</v>
      </c>
      <c r="AH5" s="3627">
        <f t="shared" si="0"/>
        <v>3</v>
      </c>
      <c r="AI5" s="3627">
        <f t="shared" si="0"/>
        <v>3</v>
      </c>
      <c r="AJ5" s="3627">
        <f t="shared" si="0"/>
        <v>3</v>
      </c>
      <c r="AK5" s="3627">
        <f t="shared" si="0"/>
        <v>3</v>
      </c>
      <c r="AL5" s="3627">
        <f t="shared" si="0"/>
        <v>3</v>
      </c>
      <c r="AM5" s="3627">
        <f t="shared" si="0"/>
        <v>3</v>
      </c>
      <c r="AN5" s="3627">
        <f t="shared" si="0"/>
        <v>3</v>
      </c>
      <c r="AO5" s="3627">
        <f t="shared" si="0"/>
        <v>3</v>
      </c>
      <c r="AP5" s="3627">
        <f t="shared" si="0"/>
        <v>3</v>
      </c>
      <c r="AQ5" s="3627">
        <f t="shared" si="0"/>
        <v>3</v>
      </c>
      <c r="AR5" s="3627">
        <f t="shared" si="0"/>
        <v>3</v>
      </c>
      <c r="AS5" s="3627">
        <f t="shared" si="0"/>
        <v>3</v>
      </c>
      <c r="AT5" s="3627">
        <f t="shared" si="0"/>
        <v>3</v>
      </c>
      <c r="AU5" s="3630">
        <f t="shared" si="0"/>
        <v>3</v>
      </c>
      <c r="AV5" s="3631"/>
      <c r="AW5" s="3610"/>
      <c r="AX5" s="3610"/>
      <c r="AY5" s="3610"/>
    </row>
    <row r="6" spans="1:51" ht="16.5">
      <c r="A6" s="3632"/>
      <c r="B6" s="3633" t="s">
        <v>4593</v>
      </c>
      <c r="C6" s="3634"/>
      <c r="D6" s="3635"/>
      <c r="E6" s="3633"/>
      <c r="F6" s="3633">
        <v>1</v>
      </c>
      <c r="G6" s="3633">
        <v>1</v>
      </c>
      <c r="H6" s="3633">
        <v>1</v>
      </c>
      <c r="I6" s="3633">
        <v>1</v>
      </c>
      <c r="J6" s="3633">
        <v>1</v>
      </c>
      <c r="K6" s="3633">
        <v>1</v>
      </c>
      <c r="L6" s="3633">
        <v>1</v>
      </c>
      <c r="M6" s="3633">
        <v>1</v>
      </c>
      <c r="N6" s="3633">
        <v>1</v>
      </c>
      <c r="O6" s="3633">
        <v>1</v>
      </c>
      <c r="P6" s="3633">
        <v>1</v>
      </c>
      <c r="Q6" s="3633">
        <v>1</v>
      </c>
      <c r="R6" s="3633">
        <v>1</v>
      </c>
      <c r="S6" s="3633">
        <v>1</v>
      </c>
      <c r="T6" s="3633">
        <v>1</v>
      </c>
      <c r="U6" s="3633">
        <v>1</v>
      </c>
      <c r="V6" s="3633">
        <v>1</v>
      </c>
      <c r="W6" s="3633">
        <v>1</v>
      </c>
      <c r="X6" s="3633">
        <v>1</v>
      </c>
      <c r="Y6" s="3633">
        <v>1</v>
      </c>
      <c r="Z6" s="3633">
        <v>1</v>
      </c>
      <c r="AA6" s="3633">
        <v>1</v>
      </c>
      <c r="AB6" s="3633">
        <v>1</v>
      </c>
      <c r="AC6" s="3633">
        <v>1</v>
      </c>
      <c r="AD6" s="3633">
        <v>1</v>
      </c>
      <c r="AE6" s="3633">
        <v>1</v>
      </c>
      <c r="AF6" s="3633">
        <v>1</v>
      </c>
      <c r="AG6" s="3633">
        <v>1</v>
      </c>
      <c r="AH6" s="3633">
        <v>1</v>
      </c>
      <c r="AI6" s="3633">
        <v>1</v>
      </c>
      <c r="AJ6" s="3633">
        <v>1</v>
      </c>
      <c r="AK6" s="3633">
        <v>1</v>
      </c>
      <c r="AL6" s="3633">
        <v>1</v>
      </c>
      <c r="AM6" s="3633">
        <v>1</v>
      </c>
      <c r="AN6" s="3633">
        <v>1</v>
      </c>
      <c r="AO6" s="3633">
        <v>1</v>
      </c>
      <c r="AP6" s="3633">
        <v>1</v>
      </c>
      <c r="AQ6" s="3633">
        <v>1</v>
      </c>
      <c r="AR6" s="3633">
        <v>1</v>
      </c>
      <c r="AS6" s="3633">
        <v>1</v>
      </c>
      <c r="AT6" s="3633">
        <v>1</v>
      </c>
      <c r="AU6" s="3636">
        <v>1</v>
      </c>
      <c r="AV6" s="3637"/>
      <c r="AW6" s="3610"/>
      <c r="AX6" s="3610"/>
      <c r="AY6" s="3610"/>
    </row>
    <row r="7" spans="1:51" ht="16.5">
      <c r="A7" s="3638"/>
      <c r="B7" s="3610" t="s">
        <v>4594</v>
      </c>
      <c r="C7" s="3611"/>
      <c r="D7" s="3639"/>
      <c r="E7" s="3611"/>
      <c r="F7" s="3610">
        <v>1</v>
      </c>
      <c r="G7" s="3610">
        <v>1</v>
      </c>
      <c r="H7" s="3610">
        <v>1</v>
      </c>
      <c r="I7" s="3610">
        <v>1</v>
      </c>
      <c r="J7" s="3610">
        <v>1</v>
      </c>
      <c r="K7" s="3610">
        <v>1</v>
      </c>
      <c r="L7" s="3610">
        <v>1</v>
      </c>
      <c r="M7" s="3610">
        <v>1</v>
      </c>
      <c r="N7" s="3610">
        <v>1</v>
      </c>
      <c r="O7" s="3610">
        <v>1</v>
      </c>
      <c r="P7" s="3610">
        <v>1</v>
      </c>
      <c r="Q7" s="3610">
        <v>1</v>
      </c>
      <c r="R7" s="3610">
        <v>1</v>
      </c>
      <c r="S7" s="3610">
        <v>1</v>
      </c>
      <c r="T7" s="3610">
        <v>1</v>
      </c>
      <c r="U7" s="3610">
        <v>1</v>
      </c>
      <c r="V7" s="3610">
        <v>1</v>
      </c>
      <c r="W7" s="3610">
        <v>1</v>
      </c>
      <c r="X7" s="3610">
        <v>1</v>
      </c>
      <c r="Y7" s="3610">
        <v>1</v>
      </c>
      <c r="Z7" s="3610">
        <v>1</v>
      </c>
      <c r="AA7" s="3610">
        <v>1</v>
      </c>
      <c r="AB7" s="3610">
        <v>1</v>
      </c>
      <c r="AC7" s="3610">
        <v>1</v>
      </c>
      <c r="AD7" s="3610">
        <v>1</v>
      </c>
      <c r="AE7" s="3610">
        <v>1</v>
      </c>
      <c r="AF7" s="3610">
        <v>1</v>
      </c>
      <c r="AG7" s="3610">
        <v>1</v>
      </c>
      <c r="AH7" s="3610">
        <v>1</v>
      </c>
      <c r="AI7" s="3610">
        <v>1</v>
      </c>
      <c r="AJ7" s="3610">
        <v>1</v>
      </c>
      <c r="AK7" s="3610">
        <v>1</v>
      </c>
      <c r="AL7" s="3610">
        <v>1</v>
      </c>
      <c r="AM7" s="3610">
        <v>1</v>
      </c>
      <c r="AN7" s="3610">
        <v>1</v>
      </c>
      <c r="AO7" s="3610">
        <v>1</v>
      </c>
      <c r="AP7" s="3610">
        <v>1</v>
      </c>
      <c r="AQ7" s="3610">
        <v>1</v>
      </c>
      <c r="AR7" s="3610">
        <v>1</v>
      </c>
      <c r="AS7" s="3610">
        <v>1</v>
      </c>
      <c r="AT7" s="3610">
        <v>1</v>
      </c>
      <c r="AU7" s="3640">
        <v>1</v>
      </c>
      <c r="AV7" s="3641"/>
      <c r="AW7" s="3610"/>
      <c r="AX7" s="3610"/>
      <c r="AY7" s="3610"/>
    </row>
    <row r="8" spans="1:51" ht="16.5">
      <c r="A8" s="3638"/>
      <c r="B8" s="3610" t="s">
        <v>4595</v>
      </c>
      <c r="C8" s="3611"/>
      <c r="D8" s="3639"/>
      <c r="E8" s="3611"/>
      <c r="F8" s="3610"/>
      <c r="G8" s="3610"/>
      <c r="H8" s="3610">
        <v>1</v>
      </c>
      <c r="I8" s="3610">
        <v>1</v>
      </c>
      <c r="J8" s="3610">
        <v>1</v>
      </c>
      <c r="K8" s="3610">
        <v>1</v>
      </c>
      <c r="L8" s="3610">
        <v>1</v>
      </c>
      <c r="M8" s="3610">
        <v>1</v>
      </c>
      <c r="N8" s="3610">
        <v>1</v>
      </c>
      <c r="O8" s="3610">
        <v>1</v>
      </c>
      <c r="P8" s="3610">
        <v>1</v>
      </c>
      <c r="Q8" s="3610">
        <v>1</v>
      </c>
      <c r="R8" s="3610">
        <v>1</v>
      </c>
      <c r="S8" s="3642">
        <v>1</v>
      </c>
      <c r="T8" s="3610">
        <v>1</v>
      </c>
      <c r="U8" s="3610">
        <v>1</v>
      </c>
      <c r="V8" s="3610">
        <v>1</v>
      </c>
      <c r="W8" s="3610">
        <v>1</v>
      </c>
      <c r="X8" s="3610">
        <v>1</v>
      </c>
      <c r="Y8" s="3610">
        <v>1</v>
      </c>
      <c r="Z8" s="3610">
        <v>1</v>
      </c>
      <c r="AA8" s="3610">
        <v>1</v>
      </c>
      <c r="AB8" s="3610">
        <v>1</v>
      </c>
      <c r="AC8" s="3610">
        <v>1</v>
      </c>
      <c r="AD8" s="3610">
        <v>1</v>
      </c>
      <c r="AE8" s="3610">
        <v>1</v>
      </c>
      <c r="AF8" s="3610">
        <v>1</v>
      </c>
      <c r="AG8" s="3610">
        <v>1</v>
      </c>
      <c r="AH8" s="3610">
        <v>1</v>
      </c>
      <c r="AI8" s="3610">
        <v>1</v>
      </c>
      <c r="AJ8" s="3610">
        <v>1</v>
      </c>
      <c r="AK8" s="3610">
        <v>1</v>
      </c>
      <c r="AL8" s="3610">
        <v>1</v>
      </c>
      <c r="AM8" s="3610">
        <v>1</v>
      </c>
      <c r="AN8" s="3610">
        <v>1</v>
      </c>
      <c r="AO8" s="3610">
        <v>1</v>
      </c>
      <c r="AP8" s="3610">
        <v>1</v>
      </c>
      <c r="AQ8" s="3610">
        <v>1</v>
      </c>
      <c r="AR8" s="3610">
        <v>1</v>
      </c>
      <c r="AS8" s="3610">
        <v>1</v>
      </c>
      <c r="AT8" s="3610">
        <v>1</v>
      </c>
      <c r="AU8" s="3640">
        <v>1</v>
      </c>
      <c r="AV8" s="3641"/>
      <c r="AW8" s="3610"/>
      <c r="AX8" s="3610"/>
      <c r="AY8" s="3610"/>
    </row>
    <row r="9" spans="1:51" ht="16.5">
      <c r="A9" s="3638"/>
      <c r="B9" s="3643" t="s">
        <v>4596</v>
      </c>
      <c r="C9" s="3644"/>
      <c r="D9" s="3626"/>
      <c r="E9" s="3644"/>
      <c r="F9" s="3643">
        <f>SUM(F10:F14)</f>
        <v>2</v>
      </c>
      <c r="G9" s="3643">
        <f t="shared" ref="G9:AU9" si="1">SUM(G10:G14)</f>
        <v>2</v>
      </c>
      <c r="H9" s="3643">
        <f t="shared" si="1"/>
        <v>2</v>
      </c>
      <c r="I9" s="3643">
        <f t="shared" si="1"/>
        <v>2</v>
      </c>
      <c r="J9" s="3643">
        <f t="shared" si="1"/>
        <v>2</v>
      </c>
      <c r="K9" s="3643">
        <f t="shared" si="1"/>
        <v>2</v>
      </c>
      <c r="L9" s="3643">
        <f t="shared" si="1"/>
        <v>2</v>
      </c>
      <c r="M9" s="3643">
        <f t="shared" si="1"/>
        <v>2</v>
      </c>
      <c r="N9" s="3643">
        <f t="shared" si="1"/>
        <v>2</v>
      </c>
      <c r="O9" s="3643">
        <f t="shared" si="1"/>
        <v>2</v>
      </c>
      <c r="P9" s="3643">
        <f t="shared" si="1"/>
        <v>2</v>
      </c>
      <c r="Q9" s="3643">
        <f t="shared" si="1"/>
        <v>2</v>
      </c>
      <c r="R9" s="3643">
        <f t="shared" si="1"/>
        <v>2</v>
      </c>
      <c r="S9" s="3643">
        <f t="shared" si="1"/>
        <v>3</v>
      </c>
      <c r="T9" s="3643">
        <f t="shared" si="1"/>
        <v>3</v>
      </c>
      <c r="U9" s="3643">
        <f t="shared" si="1"/>
        <v>3</v>
      </c>
      <c r="V9" s="3643">
        <f t="shared" si="1"/>
        <v>3</v>
      </c>
      <c r="W9" s="3643">
        <f t="shared" si="1"/>
        <v>3</v>
      </c>
      <c r="X9" s="3643">
        <f t="shared" si="1"/>
        <v>3</v>
      </c>
      <c r="Y9" s="3643">
        <f t="shared" si="1"/>
        <v>3</v>
      </c>
      <c r="Z9" s="3643">
        <f t="shared" si="1"/>
        <v>3</v>
      </c>
      <c r="AA9" s="3643">
        <f t="shared" si="1"/>
        <v>3</v>
      </c>
      <c r="AB9" s="3643">
        <f t="shared" si="1"/>
        <v>3</v>
      </c>
      <c r="AC9" s="3643">
        <f t="shared" si="1"/>
        <v>3</v>
      </c>
      <c r="AD9" s="3643">
        <f t="shared" si="1"/>
        <v>3</v>
      </c>
      <c r="AE9" s="3643">
        <f t="shared" si="1"/>
        <v>3</v>
      </c>
      <c r="AF9" s="3643">
        <f t="shared" si="1"/>
        <v>3</v>
      </c>
      <c r="AG9" s="3643">
        <f t="shared" si="1"/>
        <v>3</v>
      </c>
      <c r="AH9" s="3643">
        <f t="shared" si="1"/>
        <v>3</v>
      </c>
      <c r="AI9" s="3643">
        <f t="shared" si="1"/>
        <v>3</v>
      </c>
      <c r="AJ9" s="3643">
        <f t="shared" si="1"/>
        <v>3</v>
      </c>
      <c r="AK9" s="3643">
        <f t="shared" si="1"/>
        <v>3</v>
      </c>
      <c r="AL9" s="3643">
        <f t="shared" si="1"/>
        <v>2</v>
      </c>
      <c r="AM9" s="3643">
        <f t="shared" si="1"/>
        <v>2</v>
      </c>
      <c r="AN9" s="3643">
        <f t="shared" si="1"/>
        <v>2</v>
      </c>
      <c r="AO9" s="3643">
        <f t="shared" si="1"/>
        <v>2</v>
      </c>
      <c r="AP9" s="3643">
        <f t="shared" si="1"/>
        <v>2</v>
      </c>
      <c r="AQ9" s="3643">
        <f t="shared" si="1"/>
        <v>2</v>
      </c>
      <c r="AR9" s="3643">
        <f t="shared" si="1"/>
        <v>2</v>
      </c>
      <c r="AS9" s="3643">
        <f t="shared" si="1"/>
        <v>2</v>
      </c>
      <c r="AT9" s="3643">
        <f t="shared" si="1"/>
        <v>2</v>
      </c>
      <c r="AU9" s="3645">
        <f t="shared" si="1"/>
        <v>2</v>
      </c>
      <c r="AV9" s="3646"/>
      <c r="AW9" s="3609"/>
      <c r="AX9" s="3609"/>
      <c r="AY9" s="3609"/>
    </row>
    <row r="10" spans="1:51" ht="16.5">
      <c r="A10" s="3647"/>
      <c r="B10" s="3648"/>
      <c r="C10" s="3649" t="s">
        <v>4597</v>
      </c>
      <c r="D10" s="3647"/>
      <c r="E10" s="3649"/>
      <c r="F10" s="3648"/>
      <c r="G10" s="3648"/>
      <c r="H10" s="3648"/>
      <c r="I10" s="3648"/>
      <c r="J10" s="3648">
        <v>1</v>
      </c>
      <c r="K10" s="3648">
        <v>1</v>
      </c>
      <c r="L10" s="3648">
        <v>1</v>
      </c>
      <c r="M10" s="3648">
        <v>1</v>
      </c>
      <c r="N10" s="3648">
        <v>1</v>
      </c>
      <c r="O10" s="3648">
        <v>1</v>
      </c>
      <c r="P10" s="3648">
        <v>1</v>
      </c>
      <c r="Q10" s="3648">
        <v>1</v>
      </c>
      <c r="R10" s="3648">
        <v>1</v>
      </c>
      <c r="S10" s="3648">
        <v>1</v>
      </c>
      <c r="T10" s="3648">
        <v>2</v>
      </c>
      <c r="U10" s="3648">
        <v>2</v>
      </c>
      <c r="V10" s="3648">
        <v>2</v>
      </c>
      <c r="W10" s="3648">
        <v>1</v>
      </c>
      <c r="X10" s="3648">
        <v>1</v>
      </c>
      <c r="Y10" s="3648">
        <v>1</v>
      </c>
      <c r="Z10" s="3648">
        <v>1</v>
      </c>
      <c r="AA10" s="3648">
        <v>1</v>
      </c>
      <c r="AB10" s="3648">
        <v>1</v>
      </c>
      <c r="AC10" s="3648">
        <v>1</v>
      </c>
      <c r="AD10" s="3648">
        <v>1</v>
      </c>
      <c r="AE10" s="3648"/>
      <c r="AF10" s="3648"/>
      <c r="AG10" s="3648"/>
      <c r="AH10" s="3648"/>
      <c r="AI10" s="3648"/>
      <c r="AJ10" s="3648"/>
      <c r="AK10" s="3648"/>
      <c r="AL10" s="3650">
        <v>1</v>
      </c>
      <c r="AM10" s="3650">
        <v>1</v>
      </c>
      <c r="AN10" s="3650">
        <v>1</v>
      </c>
      <c r="AO10" s="3650">
        <v>1</v>
      </c>
      <c r="AP10" s="3650">
        <v>1</v>
      </c>
      <c r="AQ10" s="3650">
        <v>1</v>
      </c>
      <c r="AR10" s="3650">
        <v>1</v>
      </c>
      <c r="AS10" s="3650">
        <v>1</v>
      </c>
      <c r="AT10" s="3650">
        <v>1</v>
      </c>
      <c r="AU10" s="3650">
        <v>1</v>
      </c>
      <c r="AV10" s="3651"/>
      <c r="AW10" s="3648"/>
      <c r="AX10" s="3648"/>
      <c r="AY10" s="3648"/>
    </row>
    <row r="11" spans="1:51" ht="16.5">
      <c r="A11" s="3638"/>
      <c r="B11" s="3652" t="s">
        <v>4598</v>
      </c>
      <c r="C11" s="3611" t="s">
        <v>4599</v>
      </c>
      <c r="D11" s="3639"/>
      <c r="E11" s="3611">
        <f>1974+60</f>
        <v>2034</v>
      </c>
      <c r="F11" s="3610">
        <v>1</v>
      </c>
      <c r="G11" s="3610">
        <v>1</v>
      </c>
      <c r="H11" s="3610">
        <v>1</v>
      </c>
      <c r="I11" s="3610">
        <v>1</v>
      </c>
      <c r="J11" s="3610"/>
      <c r="K11" s="3610"/>
      <c r="L11" s="3610"/>
      <c r="M11" s="3610"/>
      <c r="N11" s="3610"/>
      <c r="O11" s="3610">
        <v>1</v>
      </c>
      <c r="P11" s="3648">
        <v>1</v>
      </c>
      <c r="Q11" s="3648">
        <v>1</v>
      </c>
      <c r="R11" s="3648">
        <v>1</v>
      </c>
      <c r="S11" s="3648">
        <v>1</v>
      </c>
      <c r="T11" s="3648"/>
      <c r="U11" s="3648"/>
      <c r="V11" s="3648"/>
      <c r="W11" s="3648"/>
      <c r="X11" s="3648"/>
      <c r="Y11" s="3648"/>
      <c r="Z11" s="3648"/>
      <c r="AA11" s="3648"/>
      <c r="AB11" s="3648"/>
      <c r="AC11" s="3648"/>
      <c r="AD11" s="3648"/>
      <c r="AE11" s="3648"/>
      <c r="AF11" s="3648"/>
      <c r="AG11" s="3610">
        <v>2</v>
      </c>
      <c r="AH11" s="3610">
        <v>2</v>
      </c>
      <c r="AI11" s="3610">
        <v>2</v>
      </c>
      <c r="AJ11" s="3610">
        <v>2</v>
      </c>
      <c r="AK11" s="3610">
        <v>2</v>
      </c>
      <c r="AL11" s="3610"/>
      <c r="AM11" s="3610"/>
      <c r="AN11" s="3610"/>
      <c r="AO11" s="3610"/>
      <c r="AP11" s="3610"/>
      <c r="AQ11" s="3610"/>
      <c r="AR11" s="3610">
        <v>1</v>
      </c>
      <c r="AS11" s="3610">
        <v>1</v>
      </c>
      <c r="AT11" s="3610">
        <v>1</v>
      </c>
      <c r="AU11" s="3640">
        <v>1</v>
      </c>
      <c r="AV11" s="3641"/>
      <c r="AW11" s="3610"/>
      <c r="AX11" s="3610"/>
      <c r="AY11" s="3610"/>
    </row>
    <row r="12" spans="1:51" ht="16.5">
      <c r="A12" s="3638"/>
      <c r="B12" s="3652"/>
      <c r="C12" s="3611" t="s">
        <v>4600</v>
      </c>
      <c r="D12" s="3639"/>
      <c r="E12" s="3611"/>
      <c r="F12" s="3610"/>
      <c r="G12" s="3610"/>
      <c r="H12" s="3610"/>
      <c r="I12" s="3610"/>
      <c r="J12" s="3610">
        <v>1</v>
      </c>
      <c r="K12" s="3648">
        <v>1</v>
      </c>
      <c r="L12" s="3648">
        <v>1</v>
      </c>
      <c r="M12" s="3648">
        <v>1</v>
      </c>
      <c r="N12" s="3648">
        <v>1</v>
      </c>
      <c r="O12" s="3648"/>
      <c r="P12" s="3610"/>
      <c r="Q12" s="3610"/>
      <c r="R12" s="3610"/>
      <c r="S12" s="3610"/>
      <c r="T12" s="3610"/>
      <c r="U12" s="3610"/>
      <c r="V12" s="3610"/>
      <c r="W12" s="3610"/>
      <c r="X12" s="3610"/>
      <c r="Y12" s="3610"/>
      <c r="Z12" s="3610"/>
      <c r="AA12" s="3610"/>
      <c r="AB12" s="3610">
        <v>2</v>
      </c>
      <c r="AC12" s="3610">
        <v>2</v>
      </c>
      <c r="AD12" s="3610">
        <v>2</v>
      </c>
      <c r="AE12" s="3610">
        <v>2</v>
      </c>
      <c r="AF12" s="3610">
        <v>2</v>
      </c>
      <c r="AG12" s="3610"/>
      <c r="AH12" s="3610"/>
      <c r="AI12" s="3610"/>
      <c r="AJ12" s="3610"/>
      <c r="AK12" s="3610"/>
      <c r="AL12" s="3610"/>
      <c r="AM12" s="3610">
        <v>1</v>
      </c>
      <c r="AN12" s="3610">
        <v>1</v>
      </c>
      <c r="AO12" s="3610">
        <v>1</v>
      </c>
      <c r="AP12" s="3610">
        <v>1</v>
      </c>
      <c r="AQ12" s="3610">
        <v>1</v>
      </c>
      <c r="AR12" s="3610"/>
      <c r="AS12" s="3610"/>
      <c r="AT12" s="3610"/>
      <c r="AU12" s="3640"/>
      <c r="AV12" s="3641"/>
      <c r="AW12" s="3610"/>
      <c r="AX12" s="3610"/>
      <c r="AY12" s="3610"/>
    </row>
    <row r="13" spans="1:51" ht="16.5">
      <c r="A13" s="3638"/>
      <c r="B13" s="3652"/>
      <c r="C13" s="3611" t="s">
        <v>4601</v>
      </c>
      <c r="D13" s="3639"/>
      <c r="E13" s="3611">
        <f>1982+60</f>
        <v>2042</v>
      </c>
      <c r="F13" s="3610">
        <v>1</v>
      </c>
      <c r="G13" s="3610">
        <v>1</v>
      </c>
      <c r="H13" s="3610">
        <v>1</v>
      </c>
      <c r="I13" s="3610">
        <v>1</v>
      </c>
      <c r="J13" s="3610"/>
      <c r="K13" s="3610"/>
      <c r="L13" s="3610"/>
      <c r="M13" s="3610"/>
      <c r="N13" s="3610"/>
      <c r="O13" s="3610"/>
      <c r="P13" s="3610"/>
      <c r="Q13" s="3610"/>
      <c r="R13" s="3610"/>
      <c r="S13" s="3610"/>
      <c r="T13" s="3610"/>
      <c r="U13" s="3610"/>
      <c r="V13" s="3610"/>
      <c r="W13" s="3610">
        <v>2</v>
      </c>
      <c r="X13" s="3610">
        <v>2</v>
      </c>
      <c r="Y13" s="3610">
        <v>2</v>
      </c>
      <c r="Z13" s="3610">
        <v>2</v>
      </c>
      <c r="AA13" s="3610">
        <v>2</v>
      </c>
      <c r="AB13" s="3610"/>
      <c r="AC13" s="3610"/>
      <c r="AD13" s="3610"/>
      <c r="AE13" s="3610"/>
      <c r="AF13" s="3610"/>
      <c r="AG13" s="3610"/>
      <c r="AH13" s="3610"/>
      <c r="AI13" s="3610">
        <v>1</v>
      </c>
      <c r="AJ13" s="3610">
        <v>1</v>
      </c>
      <c r="AK13" s="3610">
        <v>1</v>
      </c>
      <c r="AL13" s="3610">
        <v>1</v>
      </c>
      <c r="AM13" s="3610"/>
      <c r="AN13" s="3610"/>
      <c r="AO13" s="3610"/>
      <c r="AP13" s="3610"/>
      <c r="AQ13" s="3610"/>
      <c r="AR13" s="3610"/>
      <c r="AS13" s="3610"/>
      <c r="AT13" s="3610"/>
      <c r="AU13" s="3640"/>
      <c r="AV13" s="3641"/>
      <c r="AW13" s="3610"/>
      <c r="AX13" s="3610"/>
      <c r="AY13" s="3610"/>
    </row>
    <row r="14" spans="1:51" ht="16.5">
      <c r="A14" s="3638"/>
      <c r="B14" s="3652"/>
      <c r="C14" s="3611" t="s">
        <v>4602</v>
      </c>
      <c r="D14" s="3639"/>
      <c r="E14" s="3611"/>
      <c r="F14" s="3610"/>
      <c r="G14" s="3610"/>
      <c r="H14" s="3610"/>
      <c r="I14" s="3610"/>
      <c r="J14" s="3610"/>
      <c r="K14" s="3610"/>
      <c r="L14" s="3610"/>
      <c r="M14" s="3610"/>
      <c r="N14" s="3610"/>
      <c r="O14" s="3610"/>
      <c r="P14" s="3610"/>
      <c r="Q14" s="3610"/>
      <c r="R14" s="3610"/>
      <c r="S14" s="3610">
        <v>1</v>
      </c>
      <c r="T14" s="3610">
        <v>1</v>
      </c>
      <c r="U14" s="3610">
        <v>1</v>
      </c>
      <c r="V14" s="3610">
        <v>1</v>
      </c>
      <c r="W14" s="3610"/>
      <c r="X14" s="3610"/>
      <c r="Y14" s="3610"/>
      <c r="Z14" s="3610"/>
      <c r="AA14" s="3610"/>
      <c r="AB14" s="3610"/>
      <c r="AC14" s="3610"/>
      <c r="AD14" s="3610"/>
      <c r="AE14" s="3610">
        <v>1</v>
      </c>
      <c r="AF14" s="3610">
        <v>1</v>
      </c>
      <c r="AG14" s="3610">
        <v>1</v>
      </c>
      <c r="AH14" s="3610">
        <v>1</v>
      </c>
      <c r="AI14" s="3610"/>
      <c r="AJ14" s="3610"/>
      <c r="AK14" s="3610"/>
      <c r="AL14" s="3610"/>
      <c r="AM14" s="3610"/>
      <c r="AN14" s="3610"/>
      <c r="AO14" s="3610"/>
      <c r="AP14" s="3610"/>
      <c r="AQ14" s="3610"/>
      <c r="AR14" s="3610"/>
      <c r="AS14" s="3610"/>
      <c r="AT14" s="3610"/>
      <c r="AU14" s="3640"/>
      <c r="AV14" s="3641"/>
      <c r="AW14" s="3610"/>
      <c r="AX14" s="3610"/>
      <c r="AY14" s="3610"/>
    </row>
    <row r="15" spans="1:51" ht="16.5">
      <c r="A15" s="3638"/>
      <c r="B15" s="3653" t="s">
        <v>4603</v>
      </c>
      <c r="C15" s="3644"/>
      <c r="D15" s="3626"/>
      <c r="E15" s="3644"/>
      <c r="F15" s="3643">
        <f>SUM(F16:F22)</f>
        <v>3</v>
      </c>
      <c r="G15" s="3643">
        <f t="shared" ref="G15:AU15" si="2">SUM(G16:G22)</f>
        <v>4</v>
      </c>
      <c r="H15" s="3643">
        <f t="shared" si="2"/>
        <v>4</v>
      </c>
      <c r="I15" s="3643">
        <f t="shared" si="2"/>
        <v>4</v>
      </c>
      <c r="J15" s="3643">
        <f t="shared" si="2"/>
        <v>4</v>
      </c>
      <c r="K15" s="3643">
        <f t="shared" si="2"/>
        <v>4</v>
      </c>
      <c r="L15" s="3643">
        <f t="shared" si="2"/>
        <v>4</v>
      </c>
      <c r="M15" s="3643">
        <f t="shared" si="2"/>
        <v>4</v>
      </c>
      <c r="N15" s="3643">
        <f t="shared" si="2"/>
        <v>4</v>
      </c>
      <c r="O15" s="3643">
        <f t="shared" si="2"/>
        <v>4</v>
      </c>
      <c r="P15" s="3643">
        <f t="shared" si="2"/>
        <v>4</v>
      </c>
      <c r="Q15" s="3643">
        <f t="shared" si="2"/>
        <v>4</v>
      </c>
      <c r="R15" s="3643">
        <f t="shared" si="2"/>
        <v>4</v>
      </c>
      <c r="S15" s="3643">
        <f t="shared" si="2"/>
        <v>4</v>
      </c>
      <c r="T15" s="3643">
        <f t="shared" si="2"/>
        <v>4</v>
      </c>
      <c r="U15" s="3643">
        <f t="shared" si="2"/>
        <v>4</v>
      </c>
      <c r="V15" s="3643">
        <f t="shared" si="2"/>
        <v>4</v>
      </c>
      <c r="W15" s="3643">
        <f t="shared" si="2"/>
        <v>4</v>
      </c>
      <c r="X15" s="3643">
        <f t="shared" si="2"/>
        <v>4</v>
      </c>
      <c r="Y15" s="3643">
        <f t="shared" si="2"/>
        <v>4</v>
      </c>
      <c r="Z15" s="3643">
        <f t="shared" si="2"/>
        <v>4</v>
      </c>
      <c r="AA15" s="3643">
        <f t="shared" si="2"/>
        <v>4</v>
      </c>
      <c r="AB15" s="3643">
        <f t="shared" si="2"/>
        <v>4</v>
      </c>
      <c r="AC15" s="3643">
        <f t="shared" si="2"/>
        <v>4</v>
      </c>
      <c r="AD15" s="3643">
        <f t="shared" si="2"/>
        <v>4</v>
      </c>
      <c r="AE15" s="3643">
        <f t="shared" si="2"/>
        <v>4</v>
      </c>
      <c r="AF15" s="3643">
        <f t="shared" si="2"/>
        <v>4</v>
      </c>
      <c r="AG15" s="3643">
        <f t="shared" si="2"/>
        <v>4</v>
      </c>
      <c r="AH15" s="3643">
        <f t="shared" si="2"/>
        <v>4</v>
      </c>
      <c r="AI15" s="3643">
        <f t="shared" si="2"/>
        <v>4</v>
      </c>
      <c r="AJ15" s="3643">
        <f t="shared" si="2"/>
        <v>4</v>
      </c>
      <c r="AK15" s="3643">
        <f t="shared" si="2"/>
        <v>4</v>
      </c>
      <c r="AL15" s="3643">
        <f t="shared" si="2"/>
        <v>4</v>
      </c>
      <c r="AM15" s="3643">
        <f t="shared" si="2"/>
        <v>4</v>
      </c>
      <c r="AN15" s="3643">
        <f t="shared" si="2"/>
        <v>4</v>
      </c>
      <c r="AO15" s="3643">
        <f t="shared" si="2"/>
        <v>4</v>
      </c>
      <c r="AP15" s="3643">
        <f t="shared" si="2"/>
        <v>4</v>
      </c>
      <c r="AQ15" s="3643">
        <f t="shared" si="2"/>
        <v>4</v>
      </c>
      <c r="AR15" s="3643">
        <f t="shared" si="2"/>
        <v>4</v>
      </c>
      <c r="AS15" s="3643">
        <f t="shared" si="2"/>
        <v>4</v>
      </c>
      <c r="AT15" s="3643">
        <f t="shared" si="2"/>
        <v>3</v>
      </c>
      <c r="AU15" s="3645">
        <f t="shared" si="2"/>
        <v>3</v>
      </c>
      <c r="AV15" s="3646"/>
      <c r="AW15" s="3609"/>
      <c r="AX15" s="3609"/>
      <c r="AY15" s="3609"/>
    </row>
    <row r="16" spans="1:51" ht="16.5">
      <c r="A16" s="3647"/>
      <c r="B16" s="3648"/>
      <c r="C16" s="3649" t="s">
        <v>4604</v>
      </c>
      <c r="D16" s="3647"/>
      <c r="E16" s="3649"/>
      <c r="F16" s="3648"/>
      <c r="G16" s="3648">
        <v>1</v>
      </c>
      <c r="H16" s="3648">
        <v>1</v>
      </c>
      <c r="I16" s="3648">
        <v>1</v>
      </c>
      <c r="J16" s="3648">
        <v>1</v>
      </c>
      <c r="K16" s="3648">
        <v>2</v>
      </c>
      <c r="L16" s="3648">
        <v>2</v>
      </c>
      <c r="M16" s="3648">
        <v>2</v>
      </c>
      <c r="N16" s="3648">
        <v>2</v>
      </c>
      <c r="O16" s="3648">
        <v>2</v>
      </c>
      <c r="P16" s="3648">
        <v>2</v>
      </c>
      <c r="Q16" s="3648">
        <v>2</v>
      </c>
      <c r="R16" s="3648">
        <v>2</v>
      </c>
      <c r="S16" s="3648">
        <v>2</v>
      </c>
      <c r="T16" s="3648">
        <v>3</v>
      </c>
      <c r="U16" s="3648">
        <v>3</v>
      </c>
      <c r="V16" s="3648">
        <v>3</v>
      </c>
      <c r="W16" s="3648">
        <v>3</v>
      </c>
      <c r="X16" s="3648">
        <v>3</v>
      </c>
      <c r="Y16" s="3648">
        <v>3</v>
      </c>
      <c r="Z16" s="3648">
        <v>3</v>
      </c>
      <c r="AA16" s="3648">
        <v>3</v>
      </c>
      <c r="AB16" s="3648">
        <v>4</v>
      </c>
      <c r="AC16" s="3648">
        <v>4</v>
      </c>
      <c r="AD16" s="3648">
        <v>4</v>
      </c>
      <c r="AE16" s="3648">
        <v>3</v>
      </c>
      <c r="AF16" s="3648">
        <v>3</v>
      </c>
      <c r="AG16" s="3648">
        <v>3</v>
      </c>
      <c r="AH16" s="3648">
        <v>3</v>
      </c>
      <c r="AI16" s="3648">
        <v>3</v>
      </c>
      <c r="AJ16" s="3648">
        <v>2</v>
      </c>
      <c r="AK16" s="3648">
        <v>2</v>
      </c>
      <c r="AL16" s="3648">
        <v>2</v>
      </c>
      <c r="AM16" s="3648">
        <v>2</v>
      </c>
      <c r="AN16" s="3648">
        <v>2</v>
      </c>
      <c r="AO16" s="3648">
        <v>2</v>
      </c>
      <c r="AP16" s="3648">
        <v>2</v>
      </c>
      <c r="AQ16" s="3648">
        <v>2</v>
      </c>
      <c r="AR16" s="3648">
        <v>2</v>
      </c>
      <c r="AS16" s="3648">
        <v>2</v>
      </c>
      <c r="AT16" s="3648">
        <v>1</v>
      </c>
      <c r="AU16" s="3654">
        <v>1</v>
      </c>
      <c r="AV16" s="3651"/>
      <c r="AW16" s="3648"/>
      <c r="AX16" s="3648"/>
      <c r="AY16" s="3648"/>
    </row>
    <row r="17" spans="1:51" ht="16.5">
      <c r="A17" s="3638"/>
      <c r="B17" s="3652" t="s">
        <v>4598</v>
      </c>
      <c r="C17" s="3611" t="s">
        <v>4605</v>
      </c>
      <c r="D17" s="3639"/>
      <c r="E17" s="3611">
        <f>1982+60</f>
        <v>2042</v>
      </c>
      <c r="F17" s="3610">
        <v>1</v>
      </c>
      <c r="G17" s="3610">
        <v>1</v>
      </c>
      <c r="H17" s="3610">
        <v>1</v>
      </c>
      <c r="I17" s="3610">
        <v>1</v>
      </c>
      <c r="J17" s="3610">
        <v>1</v>
      </c>
      <c r="K17" s="3610"/>
      <c r="L17" s="3610"/>
      <c r="M17" s="3610"/>
      <c r="N17" s="3610"/>
      <c r="O17" s="3610">
        <v>1</v>
      </c>
      <c r="P17" s="3610">
        <v>1</v>
      </c>
      <c r="Q17" s="3610">
        <v>1</v>
      </c>
      <c r="R17" s="3610">
        <v>1</v>
      </c>
      <c r="S17" s="3610">
        <v>1</v>
      </c>
      <c r="T17" s="3610"/>
      <c r="U17" s="3610"/>
      <c r="V17" s="3610"/>
      <c r="W17" s="3610">
        <v>1</v>
      </c>
      <c r="X17" s="3610">
        <v>1</v>
      </c>
      <c r="Y17" s="3610">
        <v>1</v>
      </c>
      <c r="Z17" s="3610">
        <v>1</v>
      </c>
      <c r="AA17" s="3610">
        <v>1</v>
      </c>
      <c r="AB17" s="3610"/>
      <c r="AC17" s="3610"/>
      <c r="AD17" s="3610"/>
      <c r="AE17" s="3610"/>
      <c r="AF17" s="3610"/>
      <c r="AG17" s="3610"/>
      <c r="AH17" s="3610"/>
      <c r="AI17" s="3610"/>
      <c r="AJ17" s="3610"/>
      <c r="AK17" s="3610"/>
      <c r="AL17" s="3610"/>
      <c r="AM17" s="3610"/>
      <c r="AN17" s="3610"/>
      <c r="AO17" s="3610"/>
      <c r="AP17" s="3610"/>
      <c r="AQ17" s="3610"/>
      <c r="AR17" s="3610">
        <v>1</v>
      </c>
      <c r="AS17" s="3610">
        <v>1</v>
      </c>
      <c r="AT17" s="3610">
        <v>1</v>
      </c>
      <c r="AU17" s="3640">
        <v>1</v>
      </c>
      <c r="AV17" s="3655"/>
      <c r="AW17" s="3610"/>
      <c r="AX17" s="3610"/>
      <c r="AY17" s="3610"/>
    </row>
    <row r="18" spans="1:51" ht="16.5">
      <c r="A18" s="3638"/>
      <c r="B18" s="3652"/>
      <c r="C18" s="3611" t="s">
        <v>4606</v>
      </c>
      <c r="D18" s="3639"/>
      <c r="E18" s="3611"/>
      <c r="F18" s="3610"/>
      <c r="G18" s="3610"/>
      <c r="H18" s="3610"/>
      <c r="I18" s="3610"/>
      <c r="J18" s="3610">
        <v>1</v>
      </c>
      <c r="K18" s="3610">
        <v>1</v>
      </c>
      <c r="L18" s="3610">
        <v>1</v>
      </c>
      <c r="M18" s="3610">
        <v>1</v>
      </c>
      <c r="N18" s="3610">
        <v>1</v>
      </c>
      <c r="O18" s="3610"/>
      <c r="P18" s="3610"/>
      <c r="Q18" s="3610"/>
      <c r="R18" s="3610">
        <v>1</v>
      </c>
      <c r="S18" s="3610">
        <v>1</v>
      </c>
      <c r="T18" s="3610">
        <v>1</v>
      </c>
      <c r="U18" s="3610">
        <v>1</v>
      </c>
      <c r="V18" s="3610">
        <v>1</v>
      </c>
      <c r="W18" s="3610"/>
      <c r="X18" s="3610"/>
      <c r="Y18" s="3610"/>
      <c r="Z18" s="3610"/>
      <c r="AA18" s="3610"/>
      <c r="AB18" s="3610"/>
      <c r="AC18" s="3610"/>
      <c r="AD18" s="3610"/>
      <c r="AE18" s="3610"/>
      <c r="AF18" s="3610"/>
      <c r="AG18" s="3610"/>
      <c r="AH18" s="3610"/>
      <c r="AI18" s="3610"/>
      <c r="AJ18" s="3610"/>
      <c r="AK18" s="3610"/>
      <c r="AL18" s="3610"/>
      <c r="AM18" s="3610">
        <v>1</v>
      </c>
      <c r="AN18" s="3610">
        <v>1</v>
      </c>
      <c r="AO18" s="3610">
        <v>1</v>
      </c>
      <c r="AP18" s="3610">
        <v>1</v>
      </c>
      <c r="AQ18" s="3610">
        <v>1</v>
      </c>
      <c r="AR18" s="3610"/>
      <c r="AS18" s="3610">
        <v>1</v>
      </c>
      <c r="AT18" s="3610">
        <v>1</v>
      </c>
      <c r="AU18" s="3640">
        <v>1</v>
      </c>
      <c r="AV18" s="3655"/>
      <c r="AW18" s="3610"/>
      <c r="AX18" s="3610"/>
      <c r="AY18" s="3610"/>
    </row>
    <row r="19" spans="1:51" ht="16.5">
      <c r="A19" s="3638"/>
      <c r="B19" s="3652"/>
      <c r="C19" s="3611" t="s">
        <v>4607</v>
      </c>
      <c r="D19" s="3639"/>
      <c r="E19" s="3611">
        <f>1987+60</f>
        <v>2047</v>
      </c>
      <c r="F19" s="3610">
        <v>1</v>
      </c>
      <c r="G19" s="3610">
        <v>1</v>
      </c>
      <c r="H19" s="3610">
        <v>1</v>
      </c>
      <c r="I19" s="3610">
        <v>1</v>
      </c>
      <c r="J19" s="3610"/>
      <c r="K19" s="3610"/>
      <c r="L19" s="3610"/>
      <c r="M19" s="3610">
        <v>1</v>
      </c>
      <c r="N19" s="3610">
        <v>1</v>
      </c>
      <c r="O19" s="3610">
        <v>1</v>
      </c>
      <c r="P19" s="3610">
        <v>1</v>
      </c>
      <c r="Q19" s="3610">
        <v>1</v>
      </c>
      <c r="R19" s="3610"/>
      <c r="S19" s="3610"/>
      <c r="T19" s="3610"/>
      <c r="U19" s="3610"/>
      <c r="V19" s="3610"/>
      <c r="W19" s="3610"/>
      <c r="X19" s="3610"/>
      <c r="Y19" s="3610"/>
      <c r="Z19" s="3610"/>
      <c r="AA19" s="3610"/>
      <c r="AB19" s="3610"/>
      <c r="AC19" s="3610"/>
      <c r="AD19" s="3610"/>
      <c r="AE19" s="3610"/>
      <c r="AF19" s="3610"/>
      <c r="AG19" s="3610"/>
      <c r="AH19" s="3610"/>
      <c r="AI19" s="3610">
        <v>1</v>
      </c>
      <c r="AJ19" s="3610">
        <v>1</v>
      </c>
      <c r="AK19" s="3610">
        <v>1</v>
      </c>
      <c r="AL19" s="3610">
        <v>1</v>
      </c>
      <c r="AM19" s="3610"/>
      <c r="AN19" s="3610">
        <v>1</v>
      </c>
      <c r="AO19" s="3610">
        <v>1</v>
      </c>
      <c r="AP19" s="3610">
        <v>1</v>
      </c>
      <c r="AQ19" s="3610">
        <v>1</v>
      </c>
      <c r="AR19" s="3610">
        <v>1</v>
      </c>
      <c r="AS19" s="3610"/>
      <c r="AT19" s="3610"/>
      <c r="AU19" s="3640"/>
      <c r="AV19" s="3655"/>
      <c r="AW19" s="3610"/>
      <c r="AX19" s="3610"/>
      <c r="AY19" s="3610"/>
    </row>
    <row r="20" spans="1:51" ht="16.5">
      <c r="A20" s="3638"/>
      <c r="B20" s="3652"/>
      <c r="C20" s="3611" t="s">
        <v>4608</v>
      </c>
      <c r="D20" s="3639"/>
      <c r="E20" s="3611"/>
      <c r="F20" s="3610"/>
      <c r="G20" s="3610"/>
      <c r="H20" s="3610"/>
      <c r="I20" s="3610">
        <v>1</v>
      </c>
      <c r="J20" s="3610">
        <v>1</v>
      </c>
      <c r="K20" s="3610">
        <v>1</v>
      </c>
      <c r="L20" s="3610">
        <v>1</v>
      </c>
      <c r="M20" s="3610"/>
      <c r="N20" s="3610"/>
      <c r="O20" s="3610"/>
      <c r="P20" s="3610"/>
      <c r="Q20" s="3610"/>
      <c r="R20" s="3610"/>
      <c r="S20" s="3610"/>
      <c r="T20" s="3610"/>
      <c r="U20" s="3610"/>
      <c r="V20" s="3610"/>
      <c r="W20" s="3610"/>
      <c r="X20" s="3610"/>
      <c r="Y20" s="3610"/>
      <c r="Z20" s="3610"/>
      <c r="AA20" s="3610"/>
      <c r="AB20" s="3610"/>
      <c r="AC20" s="3610"/>
      <c r="AD20" s="3610"/>
      <c r="AE20" s="3610">
        <v>1</v>
      </c>
      <c r="AF20" s="3610">
        <v>1</v>
      </c>
      <c r="AG20" s="3610">
        <v>1</v>
      </c>
      <c r="AH20" s="3610">
        <v>1</v>
      </c>
      <c r="AI20" s="3610"/>
      <c r="AJ20" s="3610">
        <v>1</v>
      </c>
      <c r="AK20" s="3610">
        <v>1</v>
      </c>
      <c r="AL20" s="3610">
        <v>1</v>
      </c>
      <c r="AM20" s="3610">
        <v>1</v>
      </c>
      <c r="AN20" s="3610"/>
      <c r="AO20" s="3610"/>
      <c r="AP20" s="3610"/>
      <c r="AQ20" s="3610"/>
      <c r="AR20" s="3610"/>
      <c r="AS20" s="3610"/>
      <c r="AT20" s="3650"/>
      <c r="AU20" s="3656"/>
      <c r="AV20" s="3655"/>
      <c r="AW20" s="3610"/>
      <c r="AX20" s="3610"/>
      <c r="AY20" s="3610"/>
    </row>
    <row r="21" spans="1:51" ht="16.5">
      <c r="A21" s="3638"/>
      <c r="B21" s="3652"/>
      <c r="C21" s="3611" t="s">
        <v>4609</v>
      </c>
      <c r="D21" s="3639"/>
      <c r="E21" s="3611"/>
      <c r="F21" s="3610"/>
      <c r="G21" s="3610">
        <v>1</v>
      </c>
      <c r="H21" s="3610">
        <v>1</v>
      </c>
      <c r="I21" s="3610"/>
      <c r="J21" s="3610"/>
      <c r="K21" s="3610"/>
      <c r="L21" s="3610"/>
      <c r="M21" s="3610"/>
      <c r="N21" s="3610"/>
      <c r="O21" s="3610"/>
      <c r="P21" s="3610"/>
      <c r="Q21" s="3610"/>
      <c r="R21" s="3610"/>
      <c r="S21" s="3610"/>
      <c r="T21" s="3610"/>
      <c r="U21" s="3610"/>
      <c r="V21" s="3610"/>
      <c r="W21" s="3610"/>
      <c r="X21" s="3610"/>
      <c r="Y21" s="3610"/>
      <c r="Z21" s="3610"/>
      <c r="AA21" s="3610"/>
      <c r="AB21" s="3610"/>
      <c r="AC21" s="3610"/>
      <c r="AD21" s="3610"/>
      <c r="AE21" s="3610"/>
      <c r="AF21" s="3610"/>
      <c r="AG21" s="3610"/>
      <c r="AH21" s="3610"/>
      <c r="AI21" s="3610"/>
      <c r="AJ21" s="3610"/>
      <c r="AK21" s="3610"/>
      <c r="AL21" s="3610"/>
      <c r="AM21" s="3610"/>
      <c r="AN21" s="3610"/>
      <c r="AO21" s="3610"/>
      <c r="AP21" s="3610"/>
      <c r="AQ21" s="3610"/>
      <c r="AR21" s="3610"/>
      <c r="AS21" s="3610"/>
      <c r="AT21" s="3610"/>
      <c r="AU21" s="3640"/>
      <c r="AV21" s="3655"/>
      <c r="AW21" s="3610"/>
      <c r="AX21" s="3610"/>
      <c r="AY21" s="3610"/>
    </row>
    <row r="22" spans="1:51" ht="16.5">
      <c r="A22" s="3638"/>
      <c r="B22" s="3652"/>
      <c r="C22" s="3611" t="s">
        <v>4610</v>
      </c>
      <c r="D22" s="3639"/>
      <c r="E22" s="3611">
        <f>1997+60</f>
        <v>2057</v>
      </c>
      <c r="F22" s="3610">
        <v>1</v>
      </c>
      <c r="G22" s="3610"/>
      <c r="H22" s="3610"/>
      <c r="I22" s="3610"/>
      <c r="J22" s="3610"/>
      <c r="K22" s="3610"/>
      <c r="L22" s="3610"/>
      <c r="M22" s="3610"/>
      <c r="N22" s="3610"/>
      <c r="O22" s="3610"/>
      <c r="P22" s="3610"/>
      <c r="Q22" s="3610"/>
      <c r="R22" s="3610"/>
      <c r="S22" s="3610"/>
      <c r="T22" s="3610"/>
      <c r="U22" s="3610"/>
      <c r="V22" s="3610"/>
      <c r="W22" s="3610"/>
      <c r="X22" s="3610"/>
      <c r="Y22" s="3610"/>
      <c r="Z22" s="3610"/>
      <c r="AA22" s="3610"/>
      <c r="AB22" s="3610"/>
      <c r="AC22" s="3610"/>
      <c r="AD22" s="3610"/>
      <c r="AE22" s="3610"/>
      <c r="AF22" s="3610"/>
      <c r="AG22" s="3610"/>
      <c r="AH22" s="3610"/>
      <c r="AI22" s="3610"/>
      <c r="AJ22" s="3610"/>
      <c r="AK22" s="3610"/>
      <c r="AL22" s="3610"/>
      <c r="AM22" s="3610"/>
      <c r="AN22" s="3610"/>
      <c r="AO22" s="3610"/>
      <c r="AP22" s="3610"/>
      <c r="AQ22" s="3610"/>
      <c r="AR22" s="3610"/>
      <c r="AS22" s="3610"/>
      <c r="AT22" s="3610"/>
      <c r="AU22" s="3640"/>
      <c r="AV22" s="3655"/>
      <c r="AW22" s="3610"/>
      <c r="AX22" s="3610"/>
      <c r="AY22" s="3610"/>
    </row>
    <row r="23" spans="1:51" ht="16.5">
      <c r="A23" s="3638"/>
      <c r="B23" s="3643" t="s">
        <v>4611</v>
      </c>
      <c r="C23" s="3657"/>
      <c r="D23" s="3626"/>
      <c r="E23" s="3644"/>
      <c r="F23" s="3643">
        <f>SUM(F24:F28)</f>
        <v>3</v>
      </c>
      <c r="G23" s="3643">
        <f t="shared" ref="G23:AU23" si="3">SUM(G24:G28)</f>
        <v>3</v>
      </c>
      <c r="H23" s="3643">
        <f t="shared" si="3"/>
        <v>3</v>
      </c>
      <c r="I23" s="3643">
        <f t="shared" si="3"/>
        <v>3</v>
      </c>
      <c r="J23" s="3643">
        <f t="shared" si="3"/>
        <v>3</v>
      </c>
      <c r="K23" s="3643">
        <f t="shared" si="3"/>
        <v>3</v>
      </c>
      <c r="L23" s="3643">
        <f t="shared" si="3"/>
        <v>3</v>
      </c>
      <c r="M23" s="3643">
        <f t="shared" si="3"/>
        <v>3</v>
      </c>
      <c r="N23" s="3643">
        <f t="shared" si="3"/>
        <v>3</v>
      </c>
      <c r="O23" s="3643">
        <f t="shared" si="3"/>
        <v>3</v>
      </c>
      <c r="P23" s="3643">
        <f t="shared" si="3"/>
        <v>3</v>
      </c>
      <c r="Q23" s="3643">
        <f t="shared" si="3"/>
        <v>3</v>
      </c>
      <c r="R23" s="3643">
        <f t="shared" si="3"/>
        <v>3</v>
      </c>
      <c r="S23" s="3643">
        <f t="shared" si="3"/>
        <v>3</v>
      </c>
      <c r="T23" s="3643">
        <f t="shared" si="3"/>
        <v>3</v>
      </c>
      <c r="U23" s="3643">
        <f t="shared" si="3"/>
        <v>3</v>
      </c>
      <c r="V23" s="3643">
        <f t="shared" si="3"/>
        <v>3</v>
      </c>
      <c r="W23" s="3643">
        <f t="shared" si="3"/>
        <v>3</v>
      </c>
      <c r="X23" s="3643">
        <f t="shared" si="3"/>
        <v>3</v>
      </c>
      <c r="Y23" s="3643">
        <f t="shared" si="3"/>
        <v>3</v>
      </c>
      <c r="Z23" s="3643">
        <f t="shared" si="3"/>
        <v>3</v>
      </c>
      <c r="AA23" s="3643">
        <f t="shared" si="3"/>
        <v>3</v>
      </c>
      <c r="AB23" s="3643">
        <f t="shared" si="3"/>
        <v>3</v>
      </c>
      <c r="AC23" s="3643">
        <f t="shared" si="3"/>
        <v>3</v>
      </c>
      <c r="AD23" s="3643">
        <f t="shared" si="3"/>
        <v>3</v>
      </c>
      <c r="AE23" s="3643">
        <f t="shared" si="3"/>
        <v>3</v>
      </c>
      <c r="AF23" s="3643">
        <f t="shared" si="3"/>
        <v>3</v>
      </c>
      <c r="AG23" s="3643">
        <f t="shared" si="3"/>
        <v>3</v>
      </c>
      <c r="AH23" s="3643">
        <f t="shared" si="3"/>
        <v>3</v>
      </c>
      <c r="AI23" s="3643">
        <f t="shared" si="3"/>
        <v>3</v>
      </c>
      <c r="AJ23" s="3643">
        <f t="shared" si="3"/>
        <v>3</v>
      </c>
      <c r="AK23" s="3643">
        <f t="shared" si="3"/>
        <v>2</v>
      </c>
      <c r="AL23" s="3643">
        <f t="shared" si="3"/>
        <v>2</v>
      </c>
      <c r="AM23" s="3643">
        <f t="shared" si="3"/>
        <v>2</v>
      </c>
      <c r="AN23" s="3643">
        <f t="shared" si="3"/>
        <v>2</v>
      </c>
      <c r="AO23" s="3643">
        <f t="shared" si="3"/>
        <v>2</v>
      </c>
      <c r="AP23" s="3643">
        <f t="shared" si="3"/>
        <v>2</v>
      </c>
      <c r="AQ23" s="3643">
        <f t="shared" si="3"/>
        <v>2</v>
      </c>
      <c r="AR23" s="3643">
        <f t="shared" si="3"/>
        <v>2</v>
      </c>
      <c r="AS23" s="3643">
        <f t="shared" si="3"/>
        <v>2</v>
      </c>
      <c r="AT23" s="3643">
        <f t="shared" si="3"/>
        <v>2</v>
      </c>
      <c r="AU23" s="3645">
        <f t="shared" si="3"/>
        <v>2</v>
      </c>
      <c r="AV23" s="3629"/>
      <c r="AW23" s="3609"/>
      <c r="AX23" s="3609"/>
      <c r="AY23" s="3609"/>
    </row>
    <row r="24" spans="1:51" ht="16.5">
      <c r="A24" s="3638"/>
      <c r="B24" s="3652" t="s">
        <v>4598</v>
      </c>
      <c r="C24" s="3611" t="s">
        <v>4604</v>
      </c>
      <c r="D24" s="3639"/>
      <c r="E24" s="3611">
        <f>1970+60</f>
        <v>2030</v>
      </c>
      <c r="F24" s="3610">
        <v>1</v>
      </c>
      <c r="G24" s="3610">
        <v>1</v>
      </c>
      <c r="H24" s="3610">
        <v>1</v>
      </c>
      <c r="I24" s="3610">
        <v>1</v>
      </c>
      <c r="J24" s="3610">
        <v>1</v>
      </c>
      <c r="K24" s="3610">
        <v>2</v>
      </c>
      <c r="L24" s="3610">
        <v>2</v>
      </c>
      <c r="M24" s="3610">
        <v>2</v>
      </c>
      <c r="N24" s="3610">
        <v>2</v>
      </c>
      <c r="O24" s="3610">
        <v>2</v>
      </c>
      <c r="P24" s="3610">
        <v>2</v>
      </c>
      <c r="Q24" s="3610">
        <v>2</v>
      </c>
      <c r="R24" s="3658">
        <v>2</v>
      </c>
      <c r="S24" s="3610">
        <v>1</v>
      </c>
      <c r="T24" s="3610">
        <v>1</v>
      </c>
      <c r="U24" s="3610">
        <v>1</v>
      </c>
      <c r="V24" s="3610">
        <v>2</v>
      </c>
      <c r="W24" s="3610">
        <v>2</v>
      </c>
      <c r="X24" s="3610">
        <v>2</v>
      </c>
      <c r="Y24" s="3610">
        <v>2</v>
      </c>
      <c r="Z24" s="3610">
        <v>1</v>
      </c>
      <c r="AA24" s="3610">
        <v>1</v>
      </c>
      <c r="AB24" s="3610">
        <v>1</v>
      </c>
      <c r="AC24" s="3610">
        <v>1</v>
      </c>
      <c r="AD24" s="3610">
        <v>1</v>
      </c>
      <c r="AE24" s="3610">
        <v>1</v>
      </c>
      <c r="AF24" s="3610">
        <v>1</v>
      </c>
      <c r="AG24" s="3610">
        <v>1</v>
      </c>
      <c r="AH24" s="3650">
        <v>1</v>
      </c>
      <c r="AI24" s="3650">
        <v>1</v>
      </c>
      <c r="AJ24" s="3650">
        <v>1</v>
      </c>
      <c r="AK24" s="3610">
        <v>1</v>
      </c>
      <c r="AL24" s="3610">
        <v>1</v>
      </c>
      <c r="AM24" s="3610">
        <v>1</v>
      </c>
      <c r="AN24" s="3610">
        <v>1</v>
      </c>
      <c r="AO24" s="3610">
        <v>1</v>
      </c>
      <c r="AP24" s="3610">
        <v>1</v>
      </c>
      <c r="AQ24" s="3610">
        <v>1</v>
      </c>
      <c r="AR24" s="3610">
        <v>1</v>
      </c>
      <c r="AS24" s="3610">
        <v>1</v>
      </c>
      <c r="AT24" s="3610">
        <v>1</v>
      </c>
      <c r="AU24" s="3640">
        <v>1</v>
      </c>
      <c r="AV24" s="3632"/>
      <c r="AW24" s="3610"/>
      <c r="AX24" s="3610"/>
      <c r="AY24" s="3610"/>
    </row>
    <row r="25" spans="1:51" ht="16.5">
      <c r="A25" s="3638"/>
      <c r="B25" s="3652"/>
      <c r="C25" s="3611" t="s">
        <v>4605</v>
      </c>
      <c r="D25" s="3639"/>
      <c r="E25" s="3611">
        <f>1977+60</f>
        <v>2037</v>
      </c>
      <c r="F25" s="3610">
        <v>1</v>
      </c>
      <c r="G25" s="3610">
        <v>1</v>
      </c>
      <c r="H25" s="3610">
        <v>1</v>
      </c>
      <c r="I25" s="3610">
        <v>1</v>
      </c>
      <c r="J25" s="3610">
        <v>1</v>
      </c>
      <c r="K25" s="3610"/>
      <c r="L25" s="3610"/>
      <c r="M25" s="3610"/>
      <c r="N25" s="3610"/>
      <c r="O25" s="3610"/>
      <c r="P25" s="3610"/>
      <c r="Q25" s="3610">
        <v>1</v>
      </c>
      <c r="R25" s="3610">
        <v>1</v>
      </c>
      <c r="S25" s="3610">
        <v>1</v>
      </c>
      <c r="T25" s="3610">
        <v>1</v>
      </c>
      <c r="U25" s="3610">
        <v>1</v>
      </c>
      <c r="V25" s="3610"/>
      <c r="W25" s="3610"/>
      <c r="X25" s="3610"/>
      <c r="Y25" s="3610"/>
      <c r="Z25" s="3610"/>
      <c r="AA25" s="3610"/>
      <c r="AB25" s="3610"/>
      <c r="AC25" s="3610"/>
      <c r="AD25" s="3610"/>
      <c r="AE25" s="3610"/>
      <c r="AF25" s="3610">
        <v>1</v>
      </c>
      <c r="AG25" s="3610">
        <v>1</v>
      </c>
      <c r="AH25" s="3610">
        <v>1</v>
      </c>
      <c r="AI25" s="3610">
        <v>1</v>
      </c>
      <c r="AJ25" s="3610">
        <v>1</v>
      </c>
      <c r="AK25" s="3610"/>
      <c r="AL25" s="3610"/>
      <c r="AM25" s="3610">
        <v>1</v>
      </c>
      <c r="AN25" s="3610">
        <v>1</v>
      </c>
      <c r="AO25" s="3610">
        <v>1</v>
      </c>
      <c r="AP25" s="3610">
        <v>1</v>
      </c>
      <c r="AQ25" s="3610">
        <v>1</v>
      </c>
      <c r="AR25" s="3610">
        <v>1</v>
      </c>
      <c r="AS25" s="3610">
        <v>1</v>
      </c>
      <c r="AT25" s="3610">
        <v>1</v>
      </c>
      <c r="AU25" s="3650">
        <v>1</v>
      </c>
      <c r="AV25" s="3655"/>
      <c r="AW25" s="3610"/>
      <c r="AX25" s="3610"/>
      <c r="AY25" s="3610"/>
    </row>
    <row r="26" spans="1:51" ht="16.5">
      <c r="A26" s="3638"/>
      <c r="B26" s="3652"/>
      <c r="C26" s="3611" t="s">
        <v>4606</v>
      </c>
      <c r="D26" s="3639"/>
      <c r="E26" s="3611"/>
      <c r="F26" s="3610"/>
      <c r="G26" s="3610"/>
      <c r="H26" s="3610"/>
      <c r="I26" s="3610"/>
      <c r="J26" s="3610"/>
      <c r="K26" s="3610"/>
      <c r="L26" s="3610">
        <v>1</v>
      </c>
      <c r="M26" s="3610">
        <v>1</v>
      </c>
      <c r="N26" s="3610">
        <v>1</v>
      </c>
      <c r="O26" s="3610">
        <v>1</v>
      </c>
      <c r="P26" s="3610">
        <v>1</v>
      </c>
      <c r="Q26" s="3610"/>
      <c r="R26" s="3610"/>
      <c r="S26" s="3610"/>
      <c r="T26" s="3610"/>
      <c r="U26" s="3610"/>
      <c r="V26" s="3610"/>
      <c r="W26" s="3610"/>
      <c r="X26" s="3610"/>
      <c r="Y26" s="3610"/>
      <c r="Z26" s="3610"/>
      <c r="AA26" s="3610">
        <v>1</v>
      </c>
      <c r="AB26" s="3610">
        <v>1</v>
      </c>
      <c r="AC26" s="3610">
        <v>1</v>
      </c>
      <c r="AD26" s="3610">
        <v>1</v>
      </c>
      <c r="AE26" s="3610">
        <v>1</v>
      </c>
      <c r="AF26" s="3610"/>
      <c r="AG26" s="3610"/>
      <c r="AH26" s="3610">
        <v>1</v>
      </c>
      <c r="AI26" s="3610">
        <v>1</v>
      </c>
      <c r="AJ26" s="3610">
        <v>1</v>
      </c>
      <c r="AK26" s="3610">
        <v>1</v>
      </c>
      <c r="AL26" s="3610">
        <v>1</v>
      </c>
      <c r="AM26" s="3610"/>
      <c r="AN26" s="3610"/>
      <c r="AO26" s="3610"/>
      <c r="AP26" s="3650"/>
      <c r="AQ26" s="3650"/>
      <c r="AR26" s="3650"/>
      <c r="AS26" s="3650"/>
      <c r="AT26" s="3650"/>
      <c r="AU26" s="3640"/>
      <c r="AV26" s="3655"/>
      <c r="AW26" s="3610"/>
      <c r="AX26" s="3610"/>
      <c r="AY26" s="3610"/>
    </row>
    <row r="27" spans="1:51" ht="16.5">
      <c r="A27" s="3638"/>
      <c r="B27" s="3652"/>
      <c r="C27" s="3611" t="s">
        <v>4607</v>
      </c>
      <c r="D27" s="3639"/>
      <c r="E27" s="3611"/>
      <c r="F27" s="3610"/>
      <c r="G27" s="3610"/>
      <c r="H27" s="3610">
        <v>1</v>
      </c>
      <c r="I27" s="3610">
        <v>1</v>
      </c>
      <c r="J27" s="3610">
        <v>1</v>
      </c>
      <c r="K27" s="3610">
        <v>1</v>
      </c>
      <c r="L27" s="3610"/>
      <c r="M27" s="3610"/>
      <c r="N27" s="3610"/>
      <c r="O27" s="3610"/>
      <c r="P27" s="3610"/>
      <c r="Q27" s="3610"/>
      <c r="R27" s="3610"/>
      <c r="S27" s="3610"/>
      <c r="T27" s="3610"/>
      <c r="U27" s="3610"/>
      <c r="V27" s="3610"/>
      <c r="W27" s="3610">
        <v>1</v>
      </c>
      <c r="X27" s="3610">
        <v>1</v>
      </c>
      <c r="Y27" s="3610">
        <v>1</v>
      </c>
      <c r="Z27" s="3610">
        <v>1</v>
      </c>
      <c r="AA27" s="3610"/>
      <c r="AB27" s="3610"/>
      <c r="AC27" s="3610"/>
      <c r="AD27" s="3610">
        <v>1</v>
      </c>
      <c r="AE27" s="3610">
        <v>1</v>
      </c>
      <c r="AF27" s="3610">
        <v>1</v>
      </c>
      <c r="AG27" s="3610">
        <v>1</v>
      </c>
      <c r="AH27" s="3610"/>
      <c r="AI27" s="3610"/>
      <c r="AJ27" s="3610"/>
      <c r="AK27" s="3610"/>
      <c r="AL27" s="3650"/>
      <c r="AM27" s="3650"/>
      <c r="AN27" s="3650"/>
      <c r="AO27" s="3650"/>
      <c r="AP27" s="3610"/>
      <c r="AQ27" s="3610"/>
      <c r="AR27" s="3610"/>
      <c r="AS27" s="3610"/>
      <c r="AT27" s="3610"/>
      <c r="AU27" s="3640"/>
      <c r="AV27" s="3655"/>
      <c r="AW27" s="3610"/>
      <c r="AX27" s="3610"/>
      <c r="AY27" s="3610"/>
    </row>
    <row r="28" spans="1:51" ht="16.5">
      <c r="A28" s="3638"/>
      <c r="B28" s="3659"/>
      <c r="C28" s="3660" t="s">
        <v>4608</v>
      </c>
      <c r="D28" s="3661"/>
      <c r="E28" s="3662">
        <f>1985+60</f>
        <v>2045</v>
      </c>
      <c r="F28" s="3663">
        <v>1</v>
      </c>
      <c r="G28" s="3663">
        <v>1</v>
      </c>
      <c r="H28" s="3663"/>
      <c r="I28" s="3663"/>
      <c r="J28" s="3663"/>
      <c r="K28" s="3663"/>
      <c r="L28" s="3663"/>
      <c r="M28" s="3663"/>
      <c r="N28" s="3663"/>
      <c r="O28" s="3663"/>
      <c r="P28" s="3663"/>
      <c r="Q28" s="3663"/>
      <c r="R28" s="3663"/>
      <c r="S28" s="3663">
        <v>1</v>
      </c>
      <c r="T28" s="3663">
        <v>1</v>
      </c>
      <c r="U28" s="3663">
        <v>1</v>
      </c>
      <c r="V28" s="3663">
        <v>1</v>
      </c>
      <c r="W28" s="3663"/>
      <c r="X28" s="3663"/>
      <c r="Y28" s="3663"/>
      <c r="Z28" s="3663">
        <v>1</v>
      </c>
      <c r="AA28" s="3663">
        <v>1</v>
      </c>
      <c r="AB28" s="3663">
        <v>1</v>
      </c>
      <c r="AC28" s="3663">
        <v>1</v>
      </c>
      <c r="AD28" s="3663"/>
      <c r="AE28" s="3663"/>
      <c r="AF28" s="3663"/>
      <c r="AG28" s="3663"/>
      <c r="AH28" s="3664"/>
      <c r="AI28" s="3664"/>
      <c r="AJ28" s="3664"/>
      <c r="AK28" s="3664"/>
      <c r="AL28" s="3663"/>
      <c r="AM28" s="3663"/>
      <c r="AN28" s="3663"/>
      <c r="AO28" s="3663"/>
      <c r="AP28" s="3663"/>
      <c r="AQ28" s="3663"/>
      <c r="AR28" s="3663"/>
      <c r="AS28" s="3663"/>
      <c r="AT28" s="3663"/>
      <c r="AU28" s="3665"/>
      <c r="AV28" s="3635"/>
      <c r="AW28" s="3609"/>
      <c r="AX28" s="3609"/>
      <c r="AY28" s="3609"/>
    </row>
    <row r="29" spans="1:51" ht="16.5">
      <c r="A29" s="3638"/>
      <c r="B29" s="3609" t="s">
        <v>4612</v>
      </c>
      <c r="C29" s="3666"/>
      <c r="D29" s="3638"/>
      <c r="E29" s="3666"/>
      <c r="F29" s="3609">
        <f>SUM(F30:F34)</f>
        <v>3</v>
      </c>
      <c r="G29" s="3609">
        <f t="shared" ref="G29:AU29" si="4">SUM(G30:G34)</f>
        <v>3</v>
      </c>
      <c r="H29" s="3609">
        <f t="shared" si="4"/>
        <v>3</v>
      </c>
      <c r="I29" s="3609">
        <f t="shared" si="4"/>
        <v>3</v>
      </c>
      <c r="J29" s="3609">
        <f t="shared" si="4"/>
        <v>3</v>
      </c>
      <c r="K29" s="3609">
        <f t="shared" si="4"/>
        <v>3</v>
      </c>
      <c r="L29" s="3609">
        <f t="shared" si="4"/>
        <v>3</v>
      </c>
      <c r="M29" s="3609">
        <f t="shared" si="4"/>
        <v>3</v>
      </c>
      <c r="N29" s="3609">
        <f t="shared" si="4"/>
        <v>3</v>
      </c>
      <c r="O29" s="3609">
        <f t="shared" si="4"/>
        <v>3</v>
      </c>
      <c r="P29" s="3609">
        <f t="shared" si="4"/>
        <v>3</v>
      </c>
      <c r="Q29" s="3609">
        <f t="shared" si="4"/>
        <v>3</v>
      </c>
      <c r="R29" s="3609">
        <f t="shared" si="4"/>
        <v>3</v>
      </c>
      <c r="S29" s="3609">
        <f t="shared" si="4"/>
        <v>3</v>
      </c>
      <c r="T29" s="3609">
        <f t="shared" si="4"/>
        <v>3</v>
      </c>
      <c r="U29" s="3609">
        <f t="shared" si="4"/>
        <v>3</v>
      </c>
      <c r="V29" s="3609">
        <f t="shared" si="4"/>
        <v>3</v>
      </c>
      <c r="W29" s="3609">
        <f t="shared" si="4"/>
        <v>3</v>
      </c>
      <c r="X29" s="3609">
        <f t="shared" si="4"/>
        <v>3</v>
      </c>
      <c r="Y29" s="3609">
        <f t="shared" si="4"/>
        <v>3</v>
      </c>
      <c r="Z29" s="3609">
        <f t="shared" si="4"/>
        <v>3</v>
      </c>
      <c r="AA29" s="3609">
        <f t="shared" si="4"/>
        <v>3</v>
      </c>
      <c r="AB29" s="3609">
        <f t="shared" si="4"/>
        <v>3</v>
      </c>
      <c r="AC29" s="3609">
        <f t="shared" si="4"/>
        <v>3</v>
      </c>
      <c r="AD29" s="3609">
        <f t="shared" si="4"/>
        <v>3</v>
      </c>
      <c r="AE29" s="3609">
        <f t="shared" si="4"/>
        <v>3</v>
      </c>
      <c r="AF29" s="3609">
        <f t="shared" si="4"/>
        <v>3</v>
      </c>
      <c r="AG29" s="3609">
        <f t="shared" si="4"/>
        <v>3</v>
      </c>
      <c r="AH29" s="3609">
        <f t="shared" si="4"/>
        <v>3</v>
      </c>
      <c r="AI29" s="3609">
        <f t="shared" si="4"/>
        <v>3</v>
      </c>
      <c r="AJ29" s="3609">
        <f t="shared" si="4"/>
        <v>3</v>
      </c>
      <c r="AK29" s="3609">
        <f t="shared" si="4"/>
        <v>3</v>
      </c>
      <c r="AL29" s="3609">
        <f t="shared" si="4"/>
        <v>3</v>
      </c>
      <c r="AM29" s="3609">
        <f t="shared" si="4"/>
        <v>3</v>
      </c>
      <c r="AN29" s="3609">
        <f t="shared" si="4"/>
        <v>3</v>
      </c>
      <c r="AO29" s="3609">
        <f t="shared" si="4"/>
        <v>3</v>
      </c>
      <c r="AP29" s="3609">
        <f t="shared" si="4"/>
        <v>3</v>
      </c>
      <c r="AQ29" s="3609">
        <f t="shared" si="4"/>
        <v>3</v>
      </c>
      <c r="AR29" s="3609">
        <f t="shared" si="4"/>
        <v>3</v>
      </c>
      <c r="AS29" s="3609">
        <f t="shared" si="4"/>
        <v>3</v>
      </c>
      <c r="AT29" s="3609">
        <f t="shared" si="4"/>
        <v>3</v>
      </c>
      <c r="AU29" s="3667">
        <f t="shared" si="4"/>
        <v>3</v>
      </c>
      <c r="AV29" s="3632"/>
      <c r="AW29" s="3609"/>
      <c r="AX29" s="3610"/>
      <c r="AY29" s="3610"/>
    </row>
    <row r="30" spans="1:51" ht="16.5">
      <c r="A30" s="3638"/>
      <c r="B30" s="3652" t="s">
        <v>4598</v>
      </c>
      <c r="C30" s="3611" t="s">
        <v>4604</v>
      </c>
      <c r="D30" s="3639"/>
      <c r="E30" s="3611">
        <f>1969+60</f>
        <v>2029</v>
      </c>
      <c r="F30" s="3610">
        <v>1</v>
      </c>
      <c r="G30" s="3610">
        <v>1</v>
      </c>
      <c r="H30" s="3610">
        <v>1</v>
      </c>
      <c r="I30" s="3610">
        <v>1</v>
      </c>
      <c r="J30" s="3610">
        <v>1</v>
      </c>
      <c r="K30" s="3610">
        <v>2</v>
      </c>
      <c r="L30" s="3610">
        <v>2</v>
      </c>
      <c r="M30" s="3610">
        <v>3</v>
      </c>
      <c r="N30" s="3610">
        <v>3</v>
      </c>
      <c r="O30" s="3610">
        <v>3</v>
      </c>
      <c r="P30" s="3610">
        <v>3</v>
      </c>
      <c r="Q30" s="3658">
        <v>3</v>
      </c>
      <c r="R30" s="3610">
        <v>2</v>
      </c>
      <c r="S30" s="3610">
        <v>1</v>
      </c>
      <c r="T30" s="3610">
        <v>1</v>
      </c>
      <c r="U30" s="3610">
        <v>1</v>
      </c>
      <c r="V30" s="3610">
        <v>1</v>
      </c>
      <c r="W30" s="3610">
        <v>1</v>
      </c>
      <c r="X30" s="3610">
        <v>1</v>
      </c>
      <c r="Y30" s="3610">
        <v>1</v>
      </c>
      <c r="Z30" s="3610"/>
      <c r="AA30" s="3610"/>
      <c r="AB30" s="3610"/>
      <c r="AC30" s="3610"/>
      <c r="AD30" s="3610"/>
      <c r="AE30" s="3610"/>
      <c r="AF30" s="3610"/>
      <c r="AG30" s="3610"/>
      <c r="AH30" s="3610"/>
      <c r="AI30" s="3610"/>
      <c r="AJ30" s="3648">
        <v>1</v>
      </c>
      <c r="AK30" s="3648">
        <v>2</v>
      </c>
      <c r="AL30" s="3648">
        <v>2</v>
      </c>
      <c r="AM30" s="3648">
        <v>2</v>
      </c>
      <c r="AN30" s="3648">
        <v>2</v>
      </c>
      <c r="AO30" s="3648">
        <v>2</v>
      </c>
      <c r="AP30" s="3648">
        <v>2</v>
      </c>
      <c r="AQ30" s="3648">
        <v>2</v>
      </c>
      <c r="AR30" s="3648">
        <v>3</v>
      </c>
      <c r="AS30" s="3648">
        <v>3</v>
      </c>
      <c r="AT30" s="3610">
        <v>3</v>
      </c>
      <c r="AU30" s="3640">
        <v>3</v>
      </c>
      <c r="AV30" s="3655"/>
      <c r="AW30" s="3610"/>
      <c r="AX30" s="3610"/>
      <c r="AY30" s="3610"/>
    </row>
    <row r="31" spans="1:51" ht="16.5">
      <c r="A31" s="3638"/>
      <c r="B31" s="3652"/>
      <c r="C31" s="3611" t="s">
        <v>4605</v>
      </c>
      <c r="D31" s="3639"/>
      <c r="E31" s="3611">
        <f>1977+60</f>
        <v>2037</v>
      </c>
      <c r="F31" s="3610">
        <v>1</v>
      </c>
      <c r="G31" s="3610">
        <v>1</v>
      </c>
      <c r="H31" s="3610">
        <v>2</v>
      </c>
      <c r="I31" s="3610">
        <v>2</v>
      </c>
      <c r="J31" s="3610">
        <v>2</v>
      </c>
      <c r="K31" s="3610">
        <v>1</v>
      </c>
      <c r="L31" s="3610">
        <v>1</v>
      </c>
      <c r="M31" s="3610"/>
      <c r="N31" s="3610"/>
      <c r="O31" s="3610"/>
      <c r="P31" s="3610"/>
      <c r="Q31" s="3610"/>
      <c r="R31" s="3610"/>
      <c r="S31" s="3610"/>
      <c r="T31" s="3610"/>
      <c r="U31" s="3610"/>
      <c r="V31" s="3610"/>
      <c r="W31" s="3610"/>
      <c r="X31" s="3610"/>
      <c r="Y31" s="3610"/>
      <c r="Z31" s="3610"/>
      <c r="AA31" s="3610"/>
      <c r="AB31" s="3610"/>
      <c r="AC31" s="3610"/>
      <c r="AD31" s="3610"/>
      <c r="AE31" s="3648">
        <v>1</v>
      </c>
      <c r="AF31" s="3648">
        <v>2</v>
      </c>
      <c r="AG31" s="3648">
        <v>2</v>
      </c>
      <c r="AH31" s="3648">
        <v>2</v>
      </c>
      <c r="AI31" s="3648">
        <v>2</v>
      </c>
      <c r="AJ31" s="3610">
        <v>1</v>
      </c>
      <c r="AK31" s="3610"/>
      <c r="AL31" s="3610"/>
      <c r="AM31" s="3648">
        <v>1</v>
      </c>
      <c r="AN31" s="3648">
        <v>1</v>
      </c>
      <c r="AO31" s="3648">
        <v>1</v>
      </c>
      <c r="AP31" s="3648">
        <v>1</v>
      </c>
      <c r="AQ31" s="3648">
        <v>1</v>
      </c>
      <c r="AR31" s="3610"/>
      <c r="AS31" s="3610"/>
      <c r="AT31" s="3610"/>
      <c r="AU31" s="3640"/>
      <c r="AV31" s="3655"/>
      <c r="AW31" s="3610"/>
      <c r="AX31" s="3610"/>
      <c r="AY31" s="3610"/>
    </row>
    <row r="32" spans="1:51" ht="16.5">
      <c r="A32" s="3638"/>
      <c r="B32" s="3652"/>
      <c r="C32" s="3611" t="s">
        <v>4606</v>
      </c>
      <c r="D32" s="3647"/>
      <c r="E32" s="3649">
        <f>1970+60</f>
        <v>2030</v>
      </c>
      <c r="F32" s="3648">
        <v>1</v>
      </c>
      <c r="G32" s="3648">
        <v>1</v>
      </c>
      <c r="H32" s="3648"/>
      <c r="I32" s="3648"/>
      <c r="J32" s="3648"/>
      <c r="K32" s="3648"/>
      <c r="L32" s="3648"/>
      <c r="M32" s="3648"/>
      <c r="N32" s="3648"/>
      <c r="O32" s="3648"/>
      <c r="P32" s="3648"/>
      <c r="Q32" s="3648"/>
      <c r="R32" s="3648"/>
      <c r="S32" s="3648"/>
      <c r="T32" s="3648"/>
      <c r="U32" s="3648"/>
      <c r="V32" s="3648"/>
      <c r="W32" s="3648"/>
      <c r="X32" s="3648"/>
      <c r="Y32" s="3648"/>
      <c r="Z32" s="3648">
        <v>1</v>
      </c>
      <c r="AA32" s="3648">
        <v>2</v>
      </c>
      <c r="AB32" s="3648">
        <v>2</v>
      </c>
      <c r="AC32" s="3648">
        <v>2</v>
      </c>
      <c r="AD32" s="3648">
        <v>2</v>
      </c>
      <c r="AE32" s="3648">
        <v>1</v>
      </c>
      <c r="AF32" s="3648"/>
      <c r="AG32" s="3648"/>
      <c r="AH32" s="3648">
        <v>1</v>
      </c>
      <c r="AI32" s="3648">
        <v>1</v>
      </c>
      <c r="AJ32" s="3648">
        <v>1</v>
      </c>
      <c r="AK32" s="3648">
        <v>1</v>
      </c>
      <c r="AL32" s="3648">
        <v>1</v>
      </c>
      <c r="AM32" s="3648"/>
      <c r="AN32" s="3648"/>
      <c r="AO32" s="3648"/>
      <c r="AP32" s="3648"/>
      <c r="AQ32" s="3648"/>
      <c r="AR32" s="3648"/>
      <c r="AS32" s="3648"/>
      <c r="AT32" s="3648"/>
      <c r="AU32" s="3654"/>
      <c r="AV32" s="3655"/>
      <c r="AW32" s="3610"/>
      <c r="AX32" s="3609"/>
      <c r="AY32" s="3609"/>
    </row>
    <row r="33" spans="1:51" ht="16.5">
      <c r="A33" s="3638"/>
      <c r="B33" s="3652"/>
      <c r="C33" s="3611" t="s">
        <v>4607</v>
      </c>
      <c r="D33" s="3647"/>
      <c r="E33" s="3649"/>
      <c r="F33" s="3648"/>
      <c r="G33" s="3648"/>
      <c r="H33" s="3648"/>
      <c r="I33" s="3648"/>
      <c r="J33" s="3648"/>
      <c r="K33" s="3648"/>
      <c r="L33" s="3648"/>
      <c r="M33" s="3648"/>
      <c r="N33" s="3648"/>
      <c r="O33" s="3648"/>
      <c r="P33" s="3648"/>
      <c r="Q33" s="3648"/>
      <c r="R33" s="3648"/>
      <c r="S33" s="3648"/>
      <c r="T33" s="3648"/>
      <c r="U33" s="3648"/>
      <c r="V33" s="3648">
        <v>1</v>
      </c>
      <c r="W33" s="3648">
        <v>2</v>
      </c>
      <c r="X33" s="3648">
        <v>2</v>
      </c>
      <c r="Y33" s="3648">
        <v>2</v>
      </c>
      <c r="Z33" s="3648">
        <v>1</v>
      </c>
      <c r="AA33" s="3648"/>
      <c r="AB33" s="3648"/>
      <c r="AC33" s="3648"/>
      <c r="AD33" s="3648">
        <v>1</v>
      </c>
      <c r="AE33" s="3648">
        <v>1</v>
      </c>
      <c r="AF33" s="3648">
        <v>1</v>
      </c>
      <c r="AG33" s="3648">
        <v>1</v>
      </c>
      <c r="AH33" s="3648"/>
      <c r="AI33" s="3648"/>
      <c r="AJ33" s="3648"/>
      <c r="AK33" s="3648"/>
      <c r="AL33" s="3648"/>
      <c r="AM33" s="3648"/>
      <c r="AN33" s="3648"/>
      <c r="AO33" s="3648"/>
      <c r="AP33" s="3648"/>
      <c r="AQ33" s="3648"/>
      <c r="AR33" s="3648"/>
      <c r="AS33" s="3648"/>
      <c r="AT33" s="3648"/>
      <c r="AU33" s="3654"/>
      <c r="AV33" s="3655"/>
      <c r="AW33" s="3610"/>
      <c r="AX33" s="3609"/>
      <c r="AY33" s="3609"/>
    </row>
    <row r="34" spans="1:51" ht="16.5">
      <c r="A34" s="3638"/>
      <c r="B34" s="3652"/>
      <c r="C34" s="3611" t="s">
        <v>4608</v>
      </c>
      <c r="D34" s="3647"/>
      <c r="E34" s="3649"/>
      <c r="F34" s="3648"/>
      <c r="G34" s="3648"/>
      <c r="H34" s="3648"/>
      <c r="I34" s="3648"/>
      <c r="J34" s="3648"/>
      <c r="K34" s="3648"/>
      <c r="L34" s="3648"/>
      <c r="M34" s="3648"/>
      <c r="N34" s="3648"/>
      <c r="O34" s="3648"/>
      <c r="P34" s="3648"/>
      <c r="Q34" s="3648"/>
      <c r="R34" s="3648">
        <v>1</v>
      </c>
      <c r="S34" s="3648">
        <v>2</v>
      </c>
      <c r="T34" s="3648">
        <v>2</v>
      </c>
      <c r="U34" s="3648">
        <v>2</v>
      </c>
      <c r="V34" s="3648">
        <v>1</v>
      </c>
      <c r="W34" s="3648"/>
      <c r="X34" s="3648"/>
      <c r="Y34" s="3648"/>
      <c r="Z34" s="3648">
        <v>1</v>
      </c>
      <c r="AA34" s="3648">
        <v>1</v>
      </c>
      <c r="AB34" s="3648">
        <v>1</v>
      </c>
      <c r="AC34" s="3648">
        <v>1</v>
      </c>
      <c r="AD34" s="3648"/>
      <c r="AE34" s="3648"/>
      <c r="AF34" s="3648"/>
      <c r="AG34" s="3648"/>
      <c r="AH34" s="3648"/>
      <c r="AI34" s="3648"/>
      <c r="AJ34" s="3648"/>
      <c r="AK34" s="3648"/>
      <c r="AL34" s="3648"/>
      <c r="AM34" s="3648"/>
      <c r="AN34" s="3648"/>
      <c r="AO34" s="3648"/>
      <c r="AP34" s="3648"/>
      <c r="AQ34" s="3648"/>
      <c r="AR34" s="3648"/>
      <c r="AS34" s="3648"/>
      <c r="AT34" s="3648"/>
      <c r="AU34" s="3654"/>
      <c r="AV34" s="3655"/>
      <c r="AW34" s="3610"/>
      <c r="AX34" s="3609"/>
      <c r="AY34" s="3609"/>
    </row>
    <row r="35" spans="1:51" ht="16.5">
      <c r="A35" s="3638"/>
      <c r="B35" s="3668" t="s">
        <v>4613</v>
      </c>
      <c r="C35" s="3628"/>
      <c r="D35" s="3669"/>
      <c r="E35" s="3657"/>
      <c r="F35" s="3670">
        <f>SUM(F36:F43)</f>
        <v>11</v>
      </c>
      <c r="G35" s="3670">
        <f t="shared" ref="G35:AU35" si="5">SUM(G36:G43)</f>
        <v>11</v>
      </c>
      <c r="H35" s="3670">
        <f t="shared" si="5"/>
        <v>11</v>
      </c>
      <c r="I35" s="3670">
        <f t="shared" si="5"/>
        <v>11</v>
      </c>
      <c r="J35" s="3670">
        <f t="shared" si="5"/>
        <v>11</v>
      </c>
      <c r="K35" s="3670">
        <f t="shared" si="5"/>
        <v>11</v>
      </c>
      <c r="L35" s="3670">
        <f t="shared" si="5"/>
        <v>11</v>
      </c>
      <c r="M35" s="3670">
        <f t="shared" si="5"/>
        <v>11</v>
      </c>
      <c r="N35" s="3670">
        <f t="shared" si="5"/>
        <v>11</v>
      </c>
      <c r="O35" s="3670">
        <f t="shared" si="5"/>
        <v>11</v>
      </c>
      <c r="P35" s="3670">
        <f t="shared" si="5"/>
        <v>11</v>
      </c>
      <c r="Q35" s="3670">
        <f t="shared" si="5"/>
        <v>11</v>
      </c>
      <c r="R35" s="3670">
        <f t="shared" si="5"/>
        <v>10</v>
      </c>
      <c r="S35" s="3670">
        <f t="shared" si="5"/>
        <v>7</v>
      </c>
      <c r="T35" s="3670">
        <f t="shared" si="5"/>
        <v>7</v>
      </c>
      <c r="U35" s="3670">
        <f t="shared" si="5"/>
        <v>7</v>
      </c>
      <c r="V35" s="3670">
        <f t="shared" si="5"/>
        <v>7</v>
      </c>
      <c r="W35" s="3670">
        <f t="shared" si="5"/>
        <v>6</v>
      </c>
      <c r="X35" s="3670">
        <f t="shared" si="5"/>
        <v>6</v>
      </c>
      <c r="Y35" s="3670">
        <f t="shared" si="5"/>
        <v>6</v>
      </c>
      <c r="Z35" s="3670">
        <f t="shared" si="5"/>
        <v>4</v>
      </c>
      <c r="AA35" s="3670">
        <f t="shared" si="5"/>
        <v>4</v>
      </c>
      <c r="AB35" s="3670">
        <f t="shared" si="5"/>
        <v>4</v>
      </c>
      <c r="AC35" s="3670">
        <f t="shared" si="5"/>
        <v>4</v>
      </c>
      <c r="AD35" s="3670">
        <f t="shared" si="5"/>
        <v>4</v>
      </c>
      <c r="AE35" s="3670">
        <f t="shared" si="5"/>
        <v>3</v>
      </c>
      <c r="AF35" s="3670">
        <f t="shared" si="5"/>
        <v>3</v>
      </c>
      <c r="AG35" s="3670">
        <f t="shared" si="5"/>
        <v>3</v>
      </c>
      <c r="AH35" s="3670">
        <f t="shared" si="5"/>
        <v>2</v>
      </c>
      <c r="AI35" s="3670">
        <f t="shared" si="5"/>
        <v>2</v>
      </c>
      <c r="AJ35" s="3670">
        <f t="shared" si="5"/>
        <v>1</v>
      </c>
      <c r="AK35" s="3670">
        <f t="shared" si="5"/>
        <v>1</v>
      </c>
      <c r="AL35" s="3670">
        <f t="shared" si="5"/>
        <v>1</v>
      </c>
      <c r="AM35" s="3670">
        <f t="shared" si="5"/>
        <v>1</v>
      </c>
      <c r="AN35" s="3670">
        <f t="shared" si="5"/>
        <v>1</v>
      </c>
      <c r="AO35" s="3670">
        <f t="shared" si="5"/>
        <v>1</v>
      </c>
      <c r="AP35" s="3670">
        <f t="shared" si="5"/>
        <v>1</v>
      </c>
      <c r="AQ35" s="3670">
        <f t="shared" si="5"/>
        <v>1</v>
      </c>
      <c r="AR35" s="3670">
        <f t="shared" si="5"/>
        <v>1</v>
      </c>
      <c r="AS35" s="3670">
        <f t="shared" si="5"/>
        <v>1</v>
      </c>
      <c r="AT35" s="3670">
        <f t="shared" si="5"/>
        <v>0</v>
      </c>
      <c r="AU35" s="3670">
        <f t="shared" si="5"/>
        <v>0</v>
      </c>
      <c r="AV35" s="3629"/>
      <c r="AW35" s="3610"/>
      <c r="AX35" s="3609"/>
      <c r="AY35" s="3609"/>
    </row>
    <row r="36" spans="1:51" ht="16.5">
      <c r="A36" s="3638"/>
      <c r="B36" s="3671" t="s">
        <v>4614</v>
      </c>
      <c r="C36" s="3611" t="s">
        <v>4615</v>
      </c>
      <c r="D36" s="3647"/>
      <c r="E36" s="3649"/>
      <c r="F36" s="3672">
        <v>1</v>
      </c>
      <c r="G36" s="3672">
        <f t="shared" ref="G36:R36" si="6">G7</f>
        <v>1</v>
      </c>
      <c r="H36" s="3672">
        <f t="shared" si="6"/>
        <v>1</v>
      </c>
      <c r="I36" s="3672">
        <f t="shared" si="6"/>
        <v>1</v>
      </c>
      <c r="J36" s="3672">
        <f t="shared" si="6"/>
        <v>1</v>
      </c>
      <c r="K36" s="3672">
        <f t="shared" si="6"/>
        <v>1</v>
      </c>
      <c r="L36" s="3672">
        <f t="shared" si="6"/>
        <v>1</v>
      </c>
      <c r="M36" s="3672">
        <f t="shared" si="6"/>
        <v>1</v>
      </c>
      <c r="N36" s="3672">
        <f t="shared" si="6"/>
        <v>1</v>
      </c>
      <c r="O36" s="3672">
        <f t="shared" si="6"/>
        <v>1</v>
      </c>
      <c r="P36" s="3672">
        <f t="shared" si="6"/>
        <v>1</v>
      </c>
      <c r="Q36" s="3672">
        <f t="shared" si="6"/>
        <v>1</v>
      </c>
      <c r="R36" s="3672">
        <f t="shared" si="6"/>
        <v>1</v>
      </c>
      <c r="S36" s="3672"/>
      <c r="T36" s="3672"/>
      <c r="U36" s="3672"/>
      <c r="V36" s="3672"/>
      <c r="W36" s="3672"/>
      <c r="X36" s="3672"/>
      <c r="Y36" s="3672"/>
      <c r="Z36" s="3672"/>
      <c r="AA36" s="3672"/>
      <c r="AB36" s="3672"/>
      <c r="AC36" s="3672"/>
      <c r="AD36" s="3672"/>
      <c r="AE36" s="3672"/>
      <c r="AF36" s="3672"/>
      <c r="AG36" s="3672"/>
      <c r="AH36" s="3672"/>
      <c r="AI36" s="3672"/>
      <c r="AJ36" s="3672"/>
      <c r="AK36" s="3672"/>
      <c r="AL36" s="3672"/>
      <c r="AM36" s="3672"/>
      <c r="AN36" s="3672"/>
      <c r="AO36" s="3672"/>
      <c r="AP36" s="3672"/>
      <c r="AQ36" s="3672"/>
      <c r="AR36" s="3672"/>
      <c r="AS36" s="3672"/>
      <c r="AT36" s="3672"/>
      <c r="AU36" s="3672"/>
      <c r="AV36" s="3655"/>
      <c r="AW36" s="3610"/>
      <c r="AX36" s="3609"/>
      <c r="AY36" s="3609"/>
    </row>
    <row r="37" spans="1:51" ht="16.5">
      <c r="A37" s="3647"/>
      <c r="B37" s="3673"/>
      <c r="C37" s="3649" t="s">
        <v>4597</v>
      </c>
      <c r="D37" s="3647"/>
      <c r="E37" s="3649"/>
      <c r="F37" s="2335">
        <v>2</v>
      </c>
      <c r="G37" s="2335">
        <v>2</v>
      </c>
      <c r="H37" s="2335">
        <v>2</v>
      </c>
      <c r="I37" s="2335">
        <v>2</v>
      </c>
      <c r="J37" s="2335">
        <v>3</v>
      </c>
      <c r="K37" s="2335">
        <v>6</v>
      </c>
      <c r="L37" s="2335">
        <v>6</v>
      </c>
      <c r="M37" s="2335">
        <v>7</v>
      </c>
      <c r="N37" s="2335">
        <v>7</v>
      </c>
      <c r="O37" s="2335">
        <v>7</v>
      </c>
      <c r="P37" s="2335">
        <v>7</v>
      </c>
      <c r="Q37" s="2335">
        <v>7</v>
      </c>
      <c r="R37" s="2335">
        <v>6</v>
      </c>
      <c r="S37" s="3672">
        <v>4</v>
      </c>
      <c r="T37" s="3672">
        <v>5</v>
      </c>
      <c r="U37" s="3672">
        <v>5</v>
      </c>
      <c r="V37" s="3672">
        <v>6</v>
      </c>
      <c r="W37" s="3672">
        <v>5</v>
      </c>
      <c r="X37" s="3672">
        <v>5</v>
      </c>
      <c r="Y37" s="3672">
        <v>5</v>
      </c>
      <c r="Z37" s="3672">
        <v>3</v>
      </c>
      <c r="AA37" s="3672">
        <v>3</v>
      </c>
      <c r="AB37" s="3672">
        <v>4</v>
      </c>
      <c r="AC37" s="3672">
        <v>4</v>
      </c>
      <c r="AD37" s="3672">
        <v>4</v>
      </c>
      <c r="AE37" s="3672">
        <v>3</v>
      </c>
      <c r="AF37" s="3672">
        <v>3</v>
      </c>
      <c r="AG37" s="3672">
        <v>3</v>
      </c>
      <c r="AH37" s="3672">
        <v>2</v>
      </c>
      <c r="AI37" s="3672">
        <v>2</v>
      </c>
      <c r="AJ37" s="3672">
        <v>1</v>
      </c>
      <c r="AK37" s="3672">
        <v>1</v>
      </c>
      <c r="AL37" s="3672">
        <v>1</v>
      </c>
      <c r="AM37" s="3672">
        <v>1</v>
      </c>
      <c r="AN37" s="3672">
        <v>1</v>
      </c>
      <c r="AO37" s="3672">
        <v>1</v>
      </c>
      <c r="AP37" s="3672">
        <v>1</v>
      </c>
      <c r="AQ37" s="3672">
        <v>1</v>
      </c>
      <c r="AR37" s="3672">
        <v>1</v>
      </c>
      <c r="AS37" s="3672">
        <v>1</v>
      </c>
      <c r="AT37" s="3672"/>
      <c r="AU37" s="3674"/>
      <c r="AV37" s="3675"/>
      <c r="AW37" s="3648"/>
      <c r="AX37" s="3648"/>
      <c r="AY37" s="3648"/>
    </row>
    <row r="38" spans="1:51" ht="16.5">
      <c r="A38" s="3647"/>
      <c r="B38" s="3673"/>
      <c r="C38" s="3649" t="s">
        <v>4599</v>
      </c>
      <c r="D38" s="3647"/>
      <c r="E38" s="3649"/>
      <c r="F38" s="2335">
        <v>4</v>
      </c>
      <c r="G38" s="2335">
        <v>4</v>
      </c>
      <c r="H38" s="2335">
        <v>5</v>
      </c>
      <c r="I38" s="2335">
        <v>5</v>
      </c>
      <c r="J38" s="2335">
        <v>4</v>
      </c>
      <c r="K38" s="2335">
        <v>1</v>
      </c>
      <c r="L38" s="3672">
        <v>1</v>
      </c>
      <c r="M38" s="3672"/>
      <c r="N38" s="3672"/>
      <c r="O38" s="3672">
        <v>1</v>
      </c>
      <c r="P38" s="2335">
        <v>1</v>
      </c>
      <c r="Q38" s="2335">
        <v>2</v>
      </c>
      <c r="R38" s="2335">
        <v>2</v>
      </c>
      <c r="S38" s="2335">
        <v>2</v>
      </c>
      <c r="T38" s="2335">
        <v>1</v>
      </c>
      <c r="U38" s="3672">
        <v>1</v>
      </c>
      <c r="V38" s="3672"/>
      <c r="W38" s="3672">
        <v>1</v>
      </c>
      <c r="X38" s="3672">
        <v>1</v>
      </c>
      <c r="Y38" s="3672">
        <v>1</v>
      </c>
      <c r="Z38" s="3672">
        <v>1</v>
      </c>
      <c r="AA38" s="3672">
        <v>1</v>
      </c>
      <c r="AB38" s="3672"/>
      <c r="AC38" s="3672"/>
      <c r="AD38" s="3672"/>
      <c r="AE38" s="3672"/>
      <c r="AF38" s="3672"/>
      <c r="AG38" s="3672"/>
      <c r="AH38" s="3672"/>
      <c r="AI38" s="3672"/>
      <c r="AJ38" s="3672"/>
      <c r="AK38" s="3672"/>
      <c r="AL38" s="3672"/>
      <c r="AM38" s="3672"/>
      <c r="AN38" s="3672"/>
      <c r="AO38" s="3672"/>
      <c r="AP38" s="3672"/>
      <c r="AQ38" s="3672"/>
      <c r="AR38" s="3672"/>
      <c r="AS38" s="3672"/>
      <c r="AT38" s="3672"/>
      <c r="AU38" s="3674"/>
      <c r="AV38" s="3675"/>
      <c r="AW38" s="3648"/>
      <c r="AX38" s="3648"/>
      <c r="AY38" s="3648"/>
    </row>
    <row r="39" spans="1:51" ht="16.5">
      <c r="A39" s="3638"/>
      <c r="B39" s="3652"/>
      <c r="C39" s="3611" t="s">
        <v>4600</v>
      </c>
      <c r="D39" s="3647"/>
      <c r="E39" s="3649"/>
      <c r="F39" s="2335">
        <v>1</v>
      </c>
      <c r="G39" s="2335">
        <v>1</v>
      </c>
      <c r="H39" s="2335"/>
      <c r="I39" s="2335"/>
      <c r="J39" s="2335">
        <v>1</v>
      </c>
      <c r="K39" s="2335">
        <v>1</v>
      </c>
      <c r="L39" s="2335">
        <v>2</v>
      </c>
      <c r="M39" s="2335">
        <v>2</v>
      </c>
      <c r="N39" s="2335">
        <v>2</v>
      </c>
      <c r="O39" s="2335">
        <v>1</v>
      </c>
      <c r="P39" s="3672">
        <v>1</v>
      </c>
      <c r="Q39" s="3672"/>
      <c r="R39" s="3672">
        <v>1</v>
      </c>
      <c r="S39" s="3672">
        <v>1</v>
      </c>
      <c r="T39" s="3672">
        <v>1</v>
      </c>
      <c r="U39" s="3672">
        <v>1</v>
      </c>
      <c r="V39" s="3672">
        <v>1</v>
      </c>
      <c r="W39" s="3672"/>
      <c r="X39" s="3672"/>
      <c r="Y39" s="3672"/>
      <c r="Z39" s="3672"/>
      <c r="AA39" s="3672"/>
      <c r="AB39" s="3672"/>
      <c r="AC39" s="3672"/>
      <c r="AD39" s="3672"/>
      <c r="AE39" s="3672"/>
      <c r="AF39" s="3672"/>
      <c r="AG39" s="3672"/>
      <c r="AH39" s="3672"/>
      <c r="AI39" s="3672"/>
      <c r="AJ39" s="3672"/>
      <c r="AK39" s="3672"/>
      <c r="AL39" s="3672"/>
      <c r="AM39" s="3672"/>
      <c r="AN39" s="3672"/>
      <c r="AO39" s="3672"/>
      <c r="AP39" s="3672"/>
      <c r="AQ39" s="3672"/>
      <c r="AR39" s="3672"/>
      <c r="AS39" s="3672"/>
      <c r="AT39" s="3672"/>
      <c r="AU39" s="3674"/>
      <c r="AV39" s="3655"/>
      <c r="AW39" s="3610"/>
      <c r="AX39" s="3609"/>
      <c r="AY39" s="3609"/>
    </row>
    <row r="40" spans="1:51" ht="16.5">
      <c r="A40" s="3638"/>
      <c r="B40" s="3652"/>
      <c r="C40" s="3611" t="s">
        <v>4601</v>
      </c>
      <c r="D40" s="3647"/>
      <c r="E40" s="3649"/>
      <c r="F40" s="2335">
        <v>1</v>
      </c>
      <c r="G40" s="2335">
        <v>1</v>
      </c>
      <c r="H40" s="2335">
        <v>2</v>
      </c>
      <c r="I40" s="2335">
        <v>2</v>
      </c>
      <c r="J40" s="2335">
        <v>1</v>
      </c>
      <c r="K40" s="2335">
        <v>1</v>
      </c>
      <c r="L40" s="3672"/>
      <c r="M40" s="3672">
        <v>1</v>
      </c>
      <c r="N40" s="3672">
        <v>1</v>
      </c>
      <c r="O40" s="3672">
        <v>1</v>
      </c>
      <c r="P40" s="3672">
        <v>1</v>
      </c>
      <c r="Q40" s="3672">
        <v>1</v>
      </c>
      <c r="R40" s="3672"/>
      <c r="S40" s="3672"/>
      <c r="T40" s="3672"/>
      <c r="U40" s="3672"/>
      <c r="V40" s="3672"/>
      <c r="W40" s="3672"/>
      <c r="X40" s="3672"/>
      <c r="Y40" s="3672"/>
      <c r="Z40" s="3672"/>
      <c r="AA40" s="3672"/>
      <c r="AB40" s="3672"/>
      <c r="AC40" s="3672"/>
      <c r="AD40" s="3672"/>
      <c r="AE40" s="3672"/>
      <c r="AF40" s="3672"/>
      <c r="AG40" s="3672"/>
      <c r="AH40" s="3672"/>
      <c r="AI40" s="3672"/>
      <c r="AJ40" s="3672"/>
      <c r="AK40" s="3672"/>
      <c r="AL40" s="3672"/>
      <c r="AM40" s="3672"/>
      <c r="AN40" s="3672"/>
      <c r="AO40" s="3672"/>
      <c r="AP40" s="3672"/>
      <c r="AQ40" s="3672"/>
      <c r="AR40" s="3672"/>
      <c r="AS40" s="3672"/>
      <c r="AT40" s="3672"/>
      <c r="AU40" s="3674"/>
      <c r="AV40" s="3655"/>
      <c r="AW40" s="3610"/>
      <c r="AX40" s="3609"/>
      <c r="AY40" s="3609"/>
    </row>
    <row r="41" spans="1:51" ht="16.5">
      <c r="A41" s="3638"/>
      <c r="B41" s="3652"/>
      <c r="C41" s="3611" t="s">
        <v>4602</v>
      </c>
      <c r="D41" s="3647"/>
      <c r="E41" s="3649"/>
      <c r="F41" s="2335">
        <v>1</v>
      </c>
      <c r="G41" s="2335">
        <v>1</v>
      </c>
      <c r="H41" s="2335"/>
      <c r="I41" s="2335">
        <v>1</v>
      </c>
      <c r="J41" s="2335">
        <v>1</v>
      </c>
      <c r="K41" s="2335">
        <v>1</v>
      </c>
      <c r="L41" s="3672">
        <v>1</v>
      </c>
      <c r="M41" s="3672"/>
      <c r="N41" s="3672"/>
      <c r="O41" s="3672"/>
      <c r="P41" s="3672"/>
      <c r="Q41" s="3672"/>
      <c r="R41" s="3672"/>
      <c r="S41" s="3672"/>
      <c r="T41" s="3672"/>
      <c r="U41" s="3672"/>
      <c r="V41" s="3672"/>
      <c r="W41" s="3672"/>
      <c r="X41" s="3672"/>
      <c r="Y41" s="3672"/>
      <c r="Z41" s="3672"/>
      <c r="AA41" s="3672"/>
      <c r="AB41" s="3672"/>
      <c r="AC41" s="3672"/>
      <c r="AD41" s="3672"/>
      <c r="AE41" s="3672"/>
      <c r="AF41" s="3672"/>
      <c r="AG41" s="3672"/>
      <c r="AH41" s="3672"/>
      <c r="AI41" s="3672"/>
      <c r="AJ41" s="3672"/>
      <c r="AK41" s="3672"/>
      <c r="AL41" s="3672"/>
      <c r="AM41" s="3672"/>
      <c r="AN41" s="3672"/>
      <c r="AO41" s="3672"/>
      <c r="AP41" s="3672"/>
      <c r="AQ41" s="3672"/>
      <c r="AR41" s="3672"/>
      <c r="AS41" s="3672"/>
      <c r="AT41" s="3672"/>
      <c r="AU41" s="3674"/>
      <c r="AV41" s="3655"/>
      <c r="AW41" s="3610"/>
      <c r="AX41" s="3609"/>
      <c r="AY41" s="3609"/>
    </row>
    <row r="42" spans="1:51" ht="16.5">
      <c r="A42" s="3638"/>
      <c r="B42" s="3652"/>
      <c r="C42" s="3611" t="s">
        <v>4609</v>
      </c>
      <c r="D42" s="3647"/>
      <c r="E42" s="3649"/>
      <c r="F42" s="2335"/>
      <c r="G42" s="2335">
        <v>1</v>
      </c>
      <c r="H42" s="2335">
        <v>1</v>
      </c>
      <c r="I42" s="2335"/>
      <c r="J42" s="2335"/>
      <c r="K42" s="2335"/>
      <c r="L42" s="3672"/>
      <c r="M42" s="3672"/>
      <c r="N42" s="3672"/>
      <c r="O42" s="3672"/>
      <c r="P42" s="3672"/>
      <c r="Q42" s="3672"/>
      <c r="R42" s="3672"/>
      <c r="S42" s="3672"/>
      <c r="T42" s="3672"/>
      <c r="U42" s="3672"/>
      <c r="V42" s="3672"/>
      <c r="W42" s="3672"/>
      <c r="X42" s="3672"/>
      <c r="Y42" s="3672"/>
      <c r="Z42" s="3672"/>
      <c r="AA42" s="3672"/>
      <c r="AB42" s="3672"/>
      <c r="AC42" s="3672"/>
      <c r="AD42" s="3672"/>
      <c r="AE42" s="3672"/>
      <c r="AF42" s="3672"/>
      <c r="AG42" s="3672"/>
      <c r="AH42" s="3672"/>
      <c r="AI42" s="3672"/>
      <c r="AJ42" s="3672"/>
      <c r="AK42" s="3672"/>
      <c r="AL42" s="3672"/>
      <c r="AM42" s="3672"/>
      <c r="AN42" s="3672"/>
      <c r="AO42" s="3672"/>
      <c r="AP42" s="3672"/>
      <c r="AQ42" s="3672"/>
      <c r="AR42" s="3672"/>
      <c r="AS42" s="3672"/>
      <c r="AT42" s="3672"/>
      <c r="AU42" s="3674"/>
      <c r="AV42" s="3655"/>
      <c r="AW42" s="3610"/>
      <c r="AX42" s="3609"/>
      <c r="AY42" s="3609"/>
    </row>
    <row r="43" spans="1:51" ht="16.5">
      <c r="A43" s="3638"/>
      <c r="B43" s="3652"/>
      <c r="C43" s="3611" t="s">
        <v>4610</v>
      </c>
      <c r="D43" s="3647"/>
      <c r="E43" s="3649"/>
      <c r="F43" s="2335">
        <v>1</v>
      </c>
      <c r="G43" s="2335"/>
      <c r="H43" s="2335"/>
      <c r="I43" s="2335"/>
      <c r="J43" s="2335"/>
      <c r="K43" s="2335"/>
      <c r="L43" s="3672"/>
      <c r="M43" s="3672"/>
      <c r="N43" s="3672"/>
      <c r="O43" s="3672"/>
      <c r="P43" s="3672"/>
      <c r="Q43" s="3672"/>
      <c r="R43" s="3672"/>
      <c r="S43" s="3672"/>
      <c r="T43" s="3672"/>
      <c r="U43" s="3672"/>
      <c r="V43" s="3672"/>
      <c r="W43" s="3672"/>
      <c r="X43" s="3672"/>
      <c r="Y43" s="3672"/>
      <c r="Z43" s="3672"/>
      <c r="AA43" s="3672"/>
      <c r="AB43" s="3672"/>
      <c r="AC43" s="3672"/>
      <c r="AD43" s="3672"/>
      <c r="AE43" s="3672"/>
      <c r="AF43" s="3672"/>
      <c r="AG43" s="3672"/>
      <c r="AH43" s="3672"/>
      <c r="AI43" s="3672"/>
      <c r="AJ43" s="3672"/>
      <c r="AK43" s="3672"/>
      <c r="AL43" s="3672"/>
      <c r="AM43" s="3672"/>
      <c r="AN43" s="3672"/>
      <c r="AO43" s="3672"/>
      <c r="AP43" s="3672"/>
      <c r="AQ43" s="3672"/>
      <c r="AR43" s="3672"/>
      <c r="AS43" s="3672"/>
      <c r="AT43" s="3672"/>
      <c r="AU43" s="3674"/>
      <c r="AV43" s="3655"/>
      <c r="AW43" s="3610"/>
      <c r="AX43" s="3609"/>
      <c r="AY43" s="3609"/>
    </row>
    <row r="44" spans="1:51" ht="16.5">
      <c r="A44" s="3638"/>
      <c r="B44" s="3668" t="s">
        <v>4616</v>
      </c>
      <c r="C44" s="3628"/>
      <c r="D44" s="3669"/>
      <c r="E44" s="3657"/>
      <c r="F44" s="3670">
        <f>SUM(F45:F52)</f>
        <v>12</v>
      </c>
      <c r="G44" s="3670">
        <f t="shared" ref="G44:AU44" si="7">SUM(G45:G52)</f>
        <v>13</v>
      </c>
      <c r="H44" s="3670">
        <f t="shared" si="7"/>
        <v>14</v>
      </c>
      <c r="I44" s="3670">
        <f t="shared" si="7"/>
        <v>14</v>
      </c>
      <c r="J44" s="3670">
        <f t="shared" si="7"/>
        <v>14</v>
      </c>
      <c r="K44" s="3670">
        <f t="shared" si="7"/>
        <v>14</v>
      </c>
      <c r="L44" s="3670">
        <f t="shared" si="7"/>
        <v>14</v>
      </c>
      <c r="M44" s="3670">
        <f t="shared" si="7"/>
        <v>14</v>
      </c>
      <c r="N44" s="3670">
        <f t="shared" si="7"/>
        <v>14</v>
      </c>
      <c r="O44" s="3670">
        <f t="shared" si="7"/>
        <v>14</v>
      </c>
      <c r="P44" s="3670">
        <f t="shared" si="7"/>
        <v>14</v>
      </c>
      <c r="Q44" s="3670">
        <f t="shared" si="7"/>
        <v>14</v>
      </c>
      <c r="R44" s="3670">
        <f t="shared" si="7"/>
        <v>14</v>
      </c>
      <c r="S44" s="3670">
        <f t="shared" si="7"/>
        <v>15</v>
      </c>
      <c r="T44" s="3670">
        <f t="shared" si="7"/>
        <v>15</v>
      </c>
      <c r="U44" s="3670">
        <f t="shared" si="7"/>
        <v>15</v>
      </c>
      <c r="V44" s="3670">
        <f t="shared" si="7"/>
        <v>15</v>
      </c>
      <c r="W44" s="3670">
        <f t="shared" si="7"/>
        <v>15</v>
      </c>
      <c r="X44" s="3670">
        <f t="shared" si="7"/>
        <v>15</v>
      </c>
      <c r="Y44" s="3670">
        <f t="shared" si="7"/>
        <v>15</v>
      </c>
      <c r="Z44" s="3670">
        <f t="shared" si="7"/>
        <v>15</v>
      </c>
      <c r="AA44" s="3670">
        <f t="shared" si="7"/>
        <v>15</v>
      </c>
      <c r="AB44" s="3670">
        <f t="shared" si="7"/>
        <v>15</v>
      </c>
      <c r="AC44" s="3670">
        <f t="shared" si="7"/>
        <v>15</v>
      </c>
      <c r="AD44" s="3670">
        <f t="shared" si="7"/>
        <v>15</v>
      </c>
      <c r="AE44" s="3670">
        <f t="shared" si="7"/>
        <v>15</v>
      </c>
      <c r="AF44" s="3670">
        <f t="shared" si="7"/>
        <v>15</v>
      </c>
      <c r="AG44" s="3670">
        <f t="shared" si="7"/>
        <v>15</v>
      </c>
      <c r="AH44" s="3670">
        <f t="shared" si="7"/>
        <v>15</v>
      </c>
      <c r="AI44" s="3670">
        <f t="shared" si="7"/>
        <v>15</v>
      </c>
      <c r="AJ44" s="3670">
        <f t="shared" si="7"/>
        <v>15</v>
      </c>
      <c r="AK44" s="3670">
        <f t="shared" si="7"/>
        <v>14</v>
      </c>
      <c r="AL44" s="3670">
        <f t="shared" si="7"/>
        <v>13</v>
      </c>
      <c r="AM44" s="3670">
        <f t="shared" si="7"/>
        <v>13</v>
      </c>
      <c r="AN44" s="3670">
        <f t="shared" si="7"/>
        <v>13</v>
      </c>
      <c r="AO44" s="3670">
        <f t="shared" si="7"/>
        <v>13</v>
      </c>
      <c r="AP44" s="3670">
        <f t="shared" si="7"/>
        <v>13</v>
      </c>
      <c r="AQ44" s="3670">
        <f t="shared" si="7"/>
        <v>13</v>
      </c>
      <c r="AR44" s="3670">
        <f t="shared" si="7"/>
        <v>13</v>
      </c>
      <c r="AS44" s="3670">
        <f t="shared" si="7"/>
        <v>13</v>
      </c>
      <c r="AT44" s="3670">
        <f t="shared" si="7"/>
        <v>12</v>
      </c>
      <c r="AU44" s="3676">
        <f t="shared" si="7"/>
        <v>12</v>
      </c>
      <c r="AV44" s="3629"/>
      <c r="AW44" s="3610"/>
      <c r="AX44" s="3609"/>
      <c r="AY44" s="3609"/>
    </row>
    <row r="45" spans="1:51" ht="16.5">
      <c r="A45" s="3638"/>
      <c r="B45" s="3671" t="s">
        <v>4617</v>
      </c>
      <c r="C45" s="3611" t="s">
        <v>4615</v>
      </c>
      <c r="D45" s="3647"/>
      <c r="E45" s="3649"/>
      <c r="F45" s="3672">
        <f>SUM(F7:F8)</f>
        <v>1</v>
      </c>
      <c r="G45" s="3672">
        <f t="shared" ref="G45:AU45" si="8">SUM(G7:G8)</f>
        <v>1</v>
      </c>
      <c r="H45" s="3672">
        <f t="shared" si="8"/>
        <v>2</v>
      </c>
      <c r="I45" s="3672">
        <f t="shared" si="8"/>
        <v>2</v>
      </c>
      <c r="J45" s="3672">
        <f t="shared" si="8"/>
        <v>2</v>
      </c>
      <c r="K45" s="3672">
        <f t="shared" si="8"/>
        <v>2</v>
      </c>
      <c r="L45" s="3672">
        <f t="shared" si="8"/>
        <v>2</v>
      </c>
      <c r="M45" s="3672">
        <f t="shared" si="8"/>
        <v>2</v>
      </c>
      <c r="N45" s="3672">
        <f t="shared" si="8"/>
        <v>2</v>
      </c>
      <c r="O45" s="3672">
        <f t="shared" si="8"/>
        <v>2</v>
      </c>
      <c r="P45" s="3672">
        <f t="shared" si="8"/>
        <v>2</v>
      </c>
      <c r="Q45" s="3672">
        <f t="shared" si="8"/>
        <v>2</v>
      </c>
      <c r="R45" s="3672">
        <f t="shared" si="8"/>
        <v>2</v>
      </c>
      <c r="S45" s="3672">
        <f t="shared" si="8"/>
        <v>2</v>
      </c>
      <c r="T45" s="3672">
        <f t="shared" si="8"/>
        <v>2</v>
      </c>
      <c r="U45" s="3672">
        <f t="shared" si="8"/>
        <v>2</v>
      </c>
      <c r="V45" s="3672">
        <f t="shared" si="8"/>
        <v>2</v>
      </c>
      <c r="W45" s="3672">
        <f t="shared" si="8"/>
        <v>2</v>
      </c>
      <c r="X45" s="3672">
        <f t="shared" si="8"/>
        <v>2</v>
      </c>
      <c r="Y45" s="3672">
        <f t="shared" si="8"/>
        <v>2</v>
      </c>
      <c r="Z45" s="3672">
        <f t="shared" si="8"/>
        <v>2</v>
      </c>
      <c r="AA45" s="3672">
        <f t="shared" si="8"/>
        <v>2</v>
      </c>
      <c r="AB45" s="3672">
        <f t="shared" si="8"/>
        <v>2</v>
      </c>
      <c r="AC45" s="3672">
        <f t="shared" si="8"/>
        <v>2</v>
      </c>
      <c r="AD45" s="3672">
        <f t="shared" si="8"/>
        <v>2</v>
      </c>
      <c r="AE45" s="3672">
        <f t="shared" si="8"/>
        <v>2</v>
      </c>
      <c r="AF45" s="3672">
        <f t="shared" si="8"/>
        <v>2</v>
      </c>
      <c r="AG45" s="3672">
        <f t="shared" si="8"/>
        <v>2</v>
      </c>
      <c r="AH45" s="3672">
        <f t="shared" si="8"/>
        <v>2</v>
      </c>
      <c r="AI45" s="3672">
        <f t="shared" si="8"/>
        <v>2</v>
      </c>
      <c r="AJ45" s="3672">
        <f t="shared" si="8"/>
        <v>2</v>
      </c>
      <c r="AK45" s="3672">
        <f t="shared" si="8"/>
        <v>2</v>
      </c>
      <c r="AL45" s="3672">
        <f t="shared" si="8"/>
        <v>2</v>
      </c>
      <c r="AM45" s="3672">
        <f t="shared" si="8"/>
        <v>2</v>
      </c>
      <c r="AN45" s="3672">
        <f t="shared" si="8"/>
        <v>2</v>
      </c>
      <c r="AO45" s="3672">
        <f t="shared" si="8"/>
        <v>2</v>
      </c>
      <c r="AP45" s="3672">
        <f t="shared" si="8"/>
        <v>2</v>
      </c>
      <c r="AQ45" s="3672">
        <f t="shared" si="8"/>
        <v>2</v>
      </c>
      <c r="AR45" s="3672">
        <f t="shared" si="8"/>
        <v>2</v>
      </c>
      <c r="AS45" s="3672">
        <f t="shared" si="8"/>
        <v>2</v>
      </c>
      <c r="AT45" s="3672">
        <f t="shared" si="8"/>
        <v>2</v>
      </c>
      <c r="AU45" s="3674">
        <f t="shared" si="8"/>
        <v>2</v>
      </c>
      <c r="AV45" s="3655"/>
      <c r="AW45" s="3610"/>
      <c r="AX45" s="3609"/>
      <c r="AY45" s="3609"/>
    </row>
    <row r="46" spans="1:51" ht="16.5">
      <c r="A46" s="3638"/>
      <c r="B46" s="3671"/>
      <c r="C46" s="3649" t="s">
        <v>4597</v>
      </c>
      <c r="D46" s="3647"/>
      <c r="E46" s="3649"/>
      <c r="F46" s="3672">
        <f>F10+F16+F24+F30</f>
        <v>2</v>
      </c>
      <c r="G46" s="3672">
        <f t="shared" ref="G46:AU46" si="9">G10+G16+G24+G30</f>
        <v>3</v>
      </c>
      <c r="H46" s="3672">
        <f t="shared" si="9"/>
        <v>3</v>
      </c>
      <c r="I46" s="3672">
        <f t="shared" si="9"/>
        <v>3</v>
      </c>
      <c r="J46" s="3672">
        <f t="shared" si="9"/>
        <v>4</v>
      </c>
      <c r="K46" s="3672">
        <f t="shared" si="9"/>
        <v>7</v>
      </c>
      <c r="L46" s="3672">
        <f t="shared" si="9"/>
        <v>7</v>
      </c>
      <c r="M46" s="3672">
        <f t="shared" si="9"/>
        <v>8</v>
      </c>
      <c r="N46" s="3672">
        <f t="shared" si="9"/>
        <v>8</v>
      </c>
      <c r="O46" s="3672">
        <f t="shared" si="9"/>
        <v>8</v>
      </c>
      <c r="P46" s="3672">
        <f t="shared" si="9"/>
        <v>8</v>
      </c>
      <c r="Q46" s="3672">
        <f t="shared" si="9"/>
        <v>8</v>
      </c>
      <c r="R46" s="3672">
        <f t="shared" si="9"/>
        <v>7</v>
      </c>
      <c r="S46" s="3672">
        <f t="shared" si="9"/>
        <v>5</v>
      </c>
      <c r="T46" s="3672">
        <f t="shared" si="9"/>
        <v>7</v>
      </c>
      <c r="U46" s="3672">
        <f t="shared" si="9"/>
        <v>7</v>
      </c>
      <c r="V46" s="3672">
        <f t="shared" si="9"/>
        <v>8</v>
      </c>
      <c r="W46" s="3672">
        <f t="shared" si="9"/>
        <v>7</v>
      </c>
      <c r="X46" s="3672">
        <f t="shared" si="9"/>
        <v>7</v>
      </c>
      <c r="Y46" s="3672">
        <f t="shared" si="9"/>
        <v>7</v>
      </c>
      <c r="Z46" s="3672">
        <f t="shared" si="9"/>
        <v>5</v>
      </c>
      <c r="AA46" s="3672">
        <f t="shared" si="9"/>
        <v>5</v>
      </c>
      <c r="AB46" s="3672">
        <f t="shared" si="9"/>
        <v>6</v>
      </c>
      <c r="AC46" s="3672">
        <f t="shared" si="9"/>
        <v>6</v>
      </c>
      <c r="AD46" s="3672">
        <f t="shared" si="9"/>
        <v>6</v>
      </c>
      <c r="AE46" s="3672">
        <f t="shared" si="9"/>
        <v>4</v>
      </c>
      <c r="AF46" s="3672">
        <f t="shared" si="9"/>
        <v>4</v>
      </c>
      <c r="AG46" s="3672">
        <f t="shared" si="9"/>
        <v>4</v>
      </c>
      <c r="AH46" s="3672">
        <f t="shared" si="9"/>
        <v>4</v>
      </c>
      <c r="AI46" s="3672">
        <f t="shared" si="9"/>
        <v>4</v>
      </c>
      <c r="AJ46" s="3672">
        <f t="shared" si="9"/>
        <v>4</v>
      </c>
      <c r="AK46" s="3672">
        <f t="shared" si="9"/>
        <v>5</v>
      </c>
      <c r="AL46" s="3672">
        <f t="shared" si="9"/>
        <v>6</v>
      </c>
      <c r="AM46" s="3672">
        <f t="shared" si="9"/>
        <v>6</v>
      </c>
      <c r="AN46" s="3672">
        <f t="shared" si="9"/>
        <v>6</v>
      </c>
      <c r="AO46" s="3672">
        <f t="shared" si="9"/>
        <v>6</v>
      </c>
      <c r="AP46" s="3672">
        <f t="shared" si="9"/>
        <v>6</v>
      </c>
      <c r="AQ46" s="3672">
        <f t="shared" si="9"/>
        <v>6</v>
      </c>
      <c r="AR46" s="3672">
        <f t="shared" si="9"/>
        <v>7</v>
      </c>
      <c r="AS46" s="3672">
        <f t="shared" si="9"/>
        <v>7</v>
      </c>
      <c r="AT46" s="3672">
        <f t="shared" si="9"/>
        <v>6</v>
      </c>
      <c r="AU46" s="3674">
        <f t="shared" si="9"/>
        <v>6</v>
      </c>
      <c r="AV46" s="3655"/>
      <c r="AW46" s="3610"/>
      <c r="AX46" s="3609"/>
      <c r="AY46" s="3609"/>
    </row>
    <row r="47" spans="1:51" ht="16.5">
      <c r="A47" s="3638"/>
      <c r="B47" s="3652"/>
      <c r="C47" s="3611" t="s">
        <v>4599</v>
      </c>
      <c r="D47" s="3647"/>
      <c r="E47" s="3649"/>
      <c r="F47" s="2335">
        <f t="shared" ref="F47:AU49" si="10">F11+F17+F25+F31</f>
        <v>4</v>
      </c>
      <c r="G47" s="2335">
        <f t="shared" si="10"/>
        <v>4</v>
      </c>
      <c r="H47" s="2335">
        <f t="shared" si="10"/>
        <v>5</v>
      </c>
      <c r="I47" s="2335">
        <f t="shared" si="10"/>
        <v>5</v>
      </c>
      <c r="J47" s="2335">
        <f t="shared" si="10"/>
        <v>4</v>
      </c>
      <c r="K47" s="2335">
        <f t="shared" si="10"/>
        <v>1</v>
      </c>
      <c r="L47" s="3672">
        <f t="shared" si="10"/>
        <v>1</v>
      </c>
      <c r="M47" s="3672">
        <f t="shared" si="10"/>
        <v>0</v>
      </c>
      <c r="N47" s="3672">
        <f t="shared" si="10"/>
        <v>0</v>
      </c>
      <c r="O47" s="3672">
        <f t="shared" si="10"/>
        <v>2</v>
      </c>
      <c r="P47" s="3672">
        <f t="shared" si="10"/>
        <v>2</v>
      </c>
      <c r="Q47" s="3672">
        <f t="shared" si="10"/>
        <v>3</v>
      </c>
      <c r="R47" s="3672">
        <f t="shared" si="10"/>
        <v>3</v>
      </c>
      <c r="S47" s="3672">
        <f t="shared" si="10"/>
        <v>3</v>
      </c>
      <c r="T47" s="3672">
        <f t="shared" si="10"/>
        <v>1</v>
      </c>
      <c r="U47" s="3672">
        <f t="shared" si="10"/>
        <v>1</v>
      </c>
      <c r="V47" s="3672">
        <f t="shared" si="10"/>
        <v>0</v>
      </c>
      <c r="W47" s="3672">
        <f t="shared" si="10"/>
        <v>1</v>
      </c>
      <c r="X47" s="3672">
        <f t="shared" si="10"/>
        <v>1</v>
      </c>
      <c r="Y47" s="3672">
        <f t="shared" si="10"/>
        <v>1</v>
      </c>
      <c r="Z47" s="3672">
        <f t="shared" si="10"/>
        <v>1</v>
      </c>
      <c r="AA47" s="3672">
        <f t="shared" si="10"/>
        <v>1</v>
      </c>
      <c r="AB47" s="3672">
        <f t="shared" si="10"/>
        <v>0</v>
      </c>
      <c r="AC47" s="3672">
        <f t="shared" si="10"/>
        <v>0</v>
      </c>
      <c r="AD47" s="3672">
        <f t="shared" si="10"/>
        <v>0</v>
      </c>
      <c r="AE47" s="3672">
        <f t="shared" si="10"/>
        <v>1</v>
      </c>
      <c r="AF47" s="3672">
        <f t="shared" si="10"/>
        <v>3</v>
      </c>
      <c r="AG47" s="3672">
        <f t="shared" si="10"/>
        <v>5</v>
      </c>
      <c r="AH47" s="3672">
        <f t="shared" si="10"/>
        <v>5</v>
      </c>
      <c r="AI47" s="3672">
        <f t="shared" si="10"/>
        <v>5</v>
      </c>
      <c r="AJ47" s="3672">
        <f t="shared" si="10"/>
        <v>4</v>
      </c>
      <c r="AK47" s="3672">
        <f t="shared" si="10"/>
        <v>2</v>
      </c>
      <c r="AL47" s="3672">
        <f t="shared" si="10"/>
        <v>0</v>
      </c>
      <c r="AM47" s="3672">
        <f t="shared" si="10"/>
        <v>2</v>
      </c>
      <c r="AN47" s="3672">
        <f t="shared" si="10"/>
        <v>2</v>
      </c>
      <c r="AO47" s="3672">
        <f t="shared" si="10"/>
        <v>2</v>
      </c>
      <c r="AP47" s="3672">
        <f t="shared" si="10"/>
        <v>2</v>
      </c>
      <c r="AQ47" s="3672">
        <f t="shared" si="10"/>
        <v>2</v>
      </c>
      <c r="AR47" s="3672">
        <f t="shared" si="10"/>
        <v>3</v>
      </c>
      <c r="AS47" s="3672">
        <f t="shared" si="10"/>
        <v>3</v>
      </c>
      <c r="AT47" s="3672">
        <f t="shared" si="10"/>
        <v>3</v>
      </c>
      <c r="AU47" s="3674">
        <f t="shared" si="10"/>
        <v>3</v>
      </c>
      <c r="AV47" s="3655"/>
      <c r="AW47" s="3610"/>
      <c r="AX47" s="3609"/>
      <c r="AY47" s="3609"/>
    </row>
    <row r="48" spans="1:51" ht="16.5">
      <c r="A48" s="3638"/>
      <c r="B48" s="3652"/>
      <c r="C48" s="3611" t="s">
        <v>4600</v>
      </c>
      <c r="D48" s="3647"/>
      <c r="E48" s="3649"/>
      <c r="F48" s="2335">
        <f t="shared" si="10"/>
        <v>1</v>
      </c>
      <c r="G48" s="2335">
        <f t="shared" si="10"/>
        <v>1</v>
      </c>
      <c r="H48" s="2335">
        <f t="shared" si="10"/>
        <v>0</v>
      </c>
      <c r="I48" s="2335">
        <f t="shared" si="10"/>
        <v>0</v>
      </c>
      <c r="J48" s="2335">
        <f t="shared" si="10"/>
        <v>2</v>
      </c>
      <c r="K48" s="2335">
        <f t="shared" si="10"/>
        <v>2</v>
      </c>
      <c r="L48" s="3672">
        <f t="shared" si="10"/>
        <v>3</v>
      </c>
      <c r="M48" s="3672">
        <f t="shared" si="10"/>
        <v>3</v>
      </c>
      <c r="N48" s="3672">
        <f t="shared" si="10"/>
        <v>3</v>
      </c>
      <c r="O48" s="3672">
        <f t="shared" si="10"/>
        <v>1</v>
      </c>
      <c r="P48" s="3672">
        <f t="shared" si="10"/>
        <v>1</v>
      </c>
      <c r="Q48" s="3672">
        <f t="shared" si="10"/>
        <v>0</v>
      </c>
      <c r="R48" s="3672">
        <f t="shared" si="10"/>
        <v>1</v>
      </c>
      <c r="S48" s="3672">
        <f t="shared" si="10"/>
        <v>1</v>
      </c>
      <c r="T48" s="3672">
        <f t="shared" si="10"/>
        <v>1</v>
      </c>
      <c r="U48" s="3672">
        <f t="shared" si="10"/>
        <v>1</v>
      </c>
      <c r="V48" s="3672">
        <f t="shared" si="10"/>
        <v>1</v>
      </c>
      <c r="W48" s="3672">
        <f t="shared" si="10"/>
        <v>0</v>
      </c>
      <c r="X48" s="3672">
        <f t="shared" si="10"/>
        <v>0</v>
      </c>
      <c r="Y48" s="3672">
        <f t="shared" si="10"/>
        <v>0</v>
      </c>
      <c r="Z48" s="3672">
        <f t="shared" si="10"/>
        <v>1</v>
      </c>
      <c r="AA48" s="3672">
        <f t="shared" si="10"/>
        <v>3</v>
      </c>
      <c r="AB48" s="3672">
        <f t="shared" si="10"/>
        <v>5</v>
      </c>
      <c r="AC48" s="3672">
        <f t="shared" si="10"/>
        <v>5</v>
      </c>
      <c r="AD48" s="3672">
        <f t="shared" si="10"/>
        <v>5</v>
      </c>
      <c r="AE48" s="3672">
        <f t="shared" si="10"/>
        <v>4</v>
      </c>
      <c r="AF48" s="3672">
        <f t="shared" si="10"/>
        <v>2</v>
      </c>
      <c r="AG48" s="3672">
        <f t="shared" si="10"/>
        <v>0</v>
      </c>
      <c r="AH48" s="3672">
        <f t="shared" si="10"/>
        <v>2</v>
      </c>
      <c r="AI48" s="3672">
        <f t="shared" si="10"/>
        <v>2</v>
      </c>
      <c r="AJ48" s="3672">
        <f t="shared" si="10"/>
        <v>2</v>
      </c>
      <c r="AK48" s="3672">
        <f t="shared" si="10"/>
        <v>2</v>
      </c>
      <c r="AL48" s="3672">
        <f t="shared" si="10"/>
        <v>2</v>
      </c>
      <c r="AM48" s="3672">
        <f t="shared" si="10"/>
        <v>2</v>
      </c>
      <c r="AN48" s="3672">
        <f t="shared" si="10"/>
        <v>2</v>
      </c>
      <c r="AO48" s="3672">
        <f t="shared" si="10"/>
        <v>2</v>
      </c>
      <c r="AP48" s="3672">
        <f t="shared" si="10"/>
        <v>2</v>
      </c>
      <c r="AQ48" s="3672">
        <f t="shared" si="10"/>
        <v>2</v>
      </c>
      <c r="AR48" s="3672">
        <f t="shared" si="10"/>
        <v>0</v>
      </c>
      <c r="AS48" s="3672">
        <f t="shared" si="10"/>
        <v>1</v>
      </c>
      <c r="AT48" s="3672">
        <f t="shared" si="10"/>
        <v>1</v>
      </c>
      <c r="AU48" s="3674">
        <f t="shared" si="10"/>
        <v>1</v>
      </c>
      <c r="AV48" s="3655"/>
      <c r="AW48" s="3610"/>
      <c r="AX48" s="3609"/>
      <c r="AY48" s="3609"/>
    </row>
    <row r="49" spans="1:51" ht="16.5">
      <c r="A49" s="3638"/>
      <c r="B49" s="3652"/>
      <c r="C49" s="3611" t="s">
        <v>4601</v>
      </c>
      <c r="D49" s="3647"/>
      <c r="E49" s="3649"/>
      <c r="F49" s="2335">
        <f>F13+F19+F27+F33</f>
        <v>2</v>
      </c>
      <c r="G49" s="2335">
        <f t="shared" si="10"/>
        <v>2</v>
      </c>
      <c r="H49" s="2335">
        <f t="shared" si="10"/>
        <v>3</v>
      </c>
      <c r="I49" s="2335">
        <f t="shared" si="10"/>
        <v>3</v>
      </c>
      <c r="J49" s="2335">
        <f t="shared" si="10"/>
        <v>1</v>
      </c>
      <c r="K49" s="2335">
        <f t="shared" si="10"/>
        <v>1</v>
      </c>
      <c r="L49" s="3672">
        <f t="shared" si="10"/>
        <v>0</v>
      </c>
      <c r="M49" s="3672">
        <f t="shared" si="10"/>
        <v>1</v>
      </c>
      <c r="N49" s="3672">
        <f t="shared" si="10"/>
        <v>1</v>
      </c>
      <c r="O49" s="3672">
        <f t="shared" si="10"/>
        <v>1</v>
      </c>
      <c r="P49" s="3672">
        <f t="shared" si="10"/>
        <v>1</v>
      </c>
      <c r="Q49" s="3672">
        <f t="shared" si="10"/>
        <v>1</v>
      </c>
      <c r="R49" s="3672">
        <f t="shared" si="10"/>
        <v>0</v>
      </c>
      <c r="S49" s="3672">
        <f t="shared" si="10"/>
        <v>0</v>
      </c>
      <c r="T49" s="3672">
        <f t="shared" si="10"/>
        <v>0</v>
      </c>
      <c r="U49" s="3672">
        <f t="shared" si="10"/>
        <v>0</v>
      </c>
      <c r="V49" s="3672">
        <f t="shared" si="10"/>
        <v>1</v>
      </c>
      <c r="W49" s="3672">
        <f t="shared" si="10"/>
        <v>5</v>
      </c>
      <c r="X49" s="3672">
        <f t="shared" si="10"/>
        <v>5</v>
      </c>
      <c r="Y49" s="3672">
        <f t="shared" si="10"/>
        <v>5</v>
      </c>
      <c r="Z49" s="3672">
        <f t="shared" si="10"/>
        <v>4</v>
      </c>
      <c r="AA49" s="3672">
        <f t="shared" si="10"/>
        <v>2</v>
      </c>
      <c r="AB49" s="3672">
        <f t="shared" si="10"/>
        <v>0</v>
      </c>
      <c r="AC49" s="3672">
        <f t="shared" si="10"/>
        <v>0</v>
      </c>
      <c r="AD49" s="3672">
        <f t="shared" si="10"/>
        <v>2</v>
      </c>
      <c r="AE49" s="3672">
        <f t="shared" si="10"/>
        <v>2</v>
      </c>
      <c r="AF49" s="3672">
        <f t="shared" si="10"/>
        <v>2</v>
      </c>
      <c r="AG49" s="3672">
        <f t="shared" si="10"/>
        <v>2</v>
      </c>
      <c r="AH49" s="3672">
        <f t="shared" si="10"/>
        <v>0</v>
      </c>
      <c r="AI49" s="3672">
        <f t="shared" si="10"/>
        <v>2</v>
      </c>
      <c r="AJ49" s="3672">
        <f t="shared" si="10"/>
        <v>2</v>
      </c>
      <c r="AK49" s="3672">
        <f t="shared" si="10"/>
        <v>2</v>
      </c>
      <c r="AL49" s="3672">
        <f t="shared" si="10"/>
        <v>2</v>
      </c>
      <c r="AM49" s="3672">
        <f t="shared" si="10"/>
        <v>0</v>
      </c>
      <c r="AN49" s="3672">
        <f t="shared" si="10"/>
        <v>1</v>
      </c>
      <c r="AO49" s="3672">
        <f t="shared" si="10"/>
        <v>1</v>
      </c>
      <c r="AP49" s="3672">
        <f t="shared" si="10"/>
        <v>1</v>
      </c>
      <c r="AQ49" s="3672">
        <f t="shared" si="10"/>
        <v>1</v>
      </c>
      <c r="AR49" s="3672">
        <f t="shared" si="10"/>
        <v>1</v>
      </c>
      <c r="AS49" s="3672">
        <f t="shared" si="10"/>
        <v>0</v>
      </c>
      <c r="AT49" s="3672">
        <f t="shared" si="10"/>
        <v>0</v>
      </c>
      <c r="AU49" s="3674">
        <f t="shared" si="10"/>
        <v>0</v>
      </c>
      <c r="AV49" s="3655"/>
      <c r="AW49" s="3610"/>
      <c r="AX49" s="3609"/>
      <c r="AY49" s="3609"/>
    </row>
    <row r="50" spans="1:51" ht="16.5">
      <c r="A50" s="3638"/>
      <c r="B50" s="3652"/>
      <c r="C50" s="3611" t="s">
        <v>4602</v>
      </c>
      <c r="D50" s="3647"/>
      <c r="E50" s="3649"/>
      <c r="F50" s="2335">
        <f t="shared" ref="F50:AU50" si="11">F14+F20+F28+F34</f>
        <v>1</v>
      </c>
      <c r="G50" s="2335">
        <f t="shared" si="11"/>
        <v>1</v>
      </c>
      <c r="H50" s="2335">
        <f t="shared" si="11"/>
        <v>0</v>
      </c>
      <c r="I50" s="2335">
        <f t="shared" si="11"/>
        <v>1</v>
      </c>
      <c r="J50" s="2335">
        <f t="shared" si="11"/>
        <v>1</v>
      </c>
      <c r="K50" s="2335">
        <f t="shared" si="11"/>
        <v>1</v>
      </c>
      <c r="L50" s="3672">
        <f t="shared" si="11"/>
        <v>1</v>
      </c>
      <c r="M50" s="3672">
        <f t="shared" si="11"/>
        <v>0</v>
      </c>
      <c r="N50" s="3672">
        <f t="shared" si="11"/>
        <v>0</v>
      </c>
      <c r="O50" s="3672">
        <f t="shared" si="11"/>
        <v>0</v>
      </c>
      <c r="P50" s="3672">
        <f t="shared" si="11"/>
        <v>0</v>
      </c>
      <c r="Q50" s="3672">
        <f t="shared" si="11"/>
        <v>0</v>
      </c>
      <c r="R50" s="3672">
        <f t="shared" si="11"/>
        <v>1</v>
      </c>
      <c r="S50" s="3672">
        <f t="shared" si="11"/>
        <v>4</v>
      </c>
      <c r="T50" s="3672">
        <f t="shared" si="11"/>
        <v>4</v>
      </c>
      <c r="U50" s="3672">
        <f t="shared" si="11"/>
        <v>4</v>
      </c>
      <c r="V50" s="3672">
        <f t="shared" si="11"/>
        <v>3</v>
      </c>
      <c r="W50" s="3672">
        <f t="shared" si="11"/>
        <v>0</v>
      </c>
      <c r="X50" s="3672">
        <f t="shared" si="11"/>
        <v>0</v>
      </c>
      <c r="Y50" s="3672">
        <f t="shared" si="11"/>
        <v>0</v>
      </c>
      <c r="Z50" s="3672">
        <f t="shared" si="11"/>
        <v>2</v>
      </c>
      <c r="AA50" s="3672">
        <f t="shared" si="11"/>
        <v>2</v>
      </c>
      <c r="AB50" s="3672">
        <f t="shared" si="11"/>
        <v>2</v>
      </c>
      <c r="AC50" s="3672">
        <f t="shared" si="11"/>
        <v>2</v>
      </c>
      <c r="AD50" s="3672">
        <f t="shared" si="11"/>
        <v>0</v>
      </c>
      <c r="AE50" s="3672">
        <f t="shared" si="11"/>
        <v>2</v>
      </c>
      <c r="AF50" s="3672">
        <f t="shared" si="11"/>
        <v>2</v>
      </c>
      <c r="AG50" s="3672">
        <f t="shared" si="11"/>
        <v>2</v>
      </c>
      <c r="AH50" s="3672">
        <f t="shared" si="11"/>
        <v>2</v>
      </c>
      <c r="AI50" s="3672">
        <f t="shared" si="11"/>
        <v>0</v>
      </c>
      <c r="AJ50" s="3672">
        <f t="shared" si="11"/>
        <v>1</v>
      </c>
      <c r="AK50" s="3672">
        <f t="shared" si="11"/>
        <v>1</v>
      </c>
      <c r="AL50" s="3672">
        <f t="shared" si="11"/>
        <v>1</v>
      </c>
      <c r="AM50" s="3672">
        <f t="shared" si="11"/>
        <v>1</v>
      </c>
      <c r="AN50" s="3672">
        <f t="shared" si="11"/>
        <v>0</v>
      </c>
      <c r="AO50" s="3672">
        <f t="shared" si="11"/>
        <v>0</v>
      </c>
      <c r="AP50" s="3672">
        <f t="shared" si="11"/>
        <v>0</v>
      </c>
      <c r="AQ50" s="3672">
        <f t="shared" si="11"/>
        <v>0</v>
      </c>
      <c r="AR50" s="3672">
        <f t="shared" si="11"/>
        <v>0</v>
      </c>
      <c r="AS50" s="3672">
        <f t="shared" si="11"/>
        <v>0</v>
      </c>
      <c r="AT50" s="3672">
        <f t="shared" si="11"/>
        <v>0</v>
      </c>
      <c r="AU50" s="3674">
        <f t="shared" si="11"/>
        <v>0</v>
      </c>
      <c r="AV50" s="3655"/>
      <c r="AW50" s="3610"/>
      <c r="AX50" s="3609"/>
      <c r="AY50" s="3609"/>
    </row>
    <row r="51" spans="1:51" ht="16.5">
      <c r="A51" s="3638"/>
      <c r="B51" s="3652"/>
      <c r="C51" s="3611" t="s">
        <v>4609</v>
      </c>
      <c r="D51" s="3647"/>
      <c r="E51" s="3649"/>
      <c r="F51" s="2335">
        <f>F21</f>
        <v>0</v>
      </c>
      <c r="G51" s="2335">
        <f t="shared" ref="G51:AU51" si="12">G21</f>
        <v>1</v>
      </c>
      <c r="H51" s="2335">
        <f t="shared" si="12"/>
        <v>1</v>
      </c>
      <c r="I51" s="2335">
        <f t="shared" si="12"/>
        <v>0</v>
      </c>
      <c r="J51" s="2335">
        <f t="shared" si="12"/>
        <v>0</v>
      </c>
      <c r="K51" s="2335">
        <f t="shared" si="12"/>
        <v>0</v>
      </c>
      <c r="L51" s="3672">
        <f t="shared" si="12"/>
        <v>0</v>
      </c>
      <c r="M51" s="3672">
        <f t="shared" si="12"/>
        <v>0</v>
      </c>
      <c r="N51" s="3672">
        <f t="shared" si="12"/>
        <v>0</v>
      </c>
      <c r="O51" s="3672">
        <f t="shared" si="12"/>
        <v>0</v>
      </c>
      <c r="P51" s="3672">
        <f t="shared" si="12"/>
        <v>0</v>
      </c>
      <c r="Q51" s="3672">
        <f t="shared" si="12"/>
        <v>0</v>
      </c>
      <c r="R51" s="3672">
        <f t="shared" si="12"/>
        <v>0</v>
      </c>
      <c r="S51" s="3672">
        <f t="shared" si="12"/>
        <v>0</v>
      </c>
      <c r="T51" s="3672">
        <f t="shared" si="12"/>
        <v>0</v>
      </c>
      <c r="U51" s="3672">
        <f t="shared" si="12"/>
        <v>0</v>
      </c>
      <c r="V51" s="3672">
        <f t="shared" si="12"/>
        <v>0</v>
      </c>
      <c r="W51" s="3672">
        <f t="shared" si="12"/>
        <v>0</v>
      </c>
      <c r="X51" s="3672">
        <f t="shared" si="12"/>
        <v>0</v>
      </c>
      <c r="Y51" s="3672">
        <f t="shared" si="12"/>
        <v>0</v>
      </c>
      <c r="Z51" s="3672">
        <f t="shared" si="12"/>
        <v>0</v>
      </c>
      <c r="AA51" s="3672">
        <f t="shared" si="12"/>
        <v>0</v>
      </c>
      <c r="AB51" s="3672">
        <f t="shared" si="12"/>
        <v>0</v>
      </c>
      <c r="AC51" s="3672">
        <f t="shared" si="12"/>
        <v>0</v>
      </c>
      <c r="AD51" s="3672">
        <f t="shared" si="12"/>
        <v>0</v>
      </c>
      <c r="AE51" s="3672">
        <f t="shared" si="12"/>
        <v>0</v>
      </c>
      <c r="AF51" s="3672">
        <f t="shared" si="12"/>
        <v>0</v>
      </c>
      <c r="AG51" s="3672">
        <f t="shared" si="12"/>
        <v>0</v>
      </c>
      <c r="AH51" s="3672">
        <f t="shared" si="12"/>
        <v>0</v>
      </c>
      <c r="AI51" s="3672">
        <f t="shared" si="12"/>
        <v>0</v>
      </c>
      <c r="AJ51" s="3672">
        <f t="shared" si="12"/>
        <v>0</v>
      </c>
      <c r="AK51" s="3672">
        <f t="shared" si="12"/>
        <v>0</v>
      </c>
      <c r="AL51" s="3672">
        <f t="shared" si="12"/>
        <v>0</v>
      </c>
      <c r="AM51" s="3672">
        <f t="shared" si="12"/>
        <v>0</v>
      </c>
      <c r="AN51" s="3672">
        <f t="shared" si="12"/>
        <v>0</v>
      </c>
      <c r="AO51" s="3672">
        <f t="shared" si="12"/>
        <v>0</v>
      </c>
      <c r="AP51" s="3672">
        <f t="shared" si="12"/>
        <v>0</v>
      </c>
      <c r="AQ51" s="3672">
        <f t="shared" si="12"/>
        <v>0</v>
      </c>
      <c r="AR51" s="3672">
        <f t="shared" si="12"/>
        <v>0</v>
      </c>
      <c r="AS51" s="3672">
        <f t="shared" si="12"/>
        <v>0</v>
      </c>
      <c r="AT51" s="3672">
        <f t="shared" si="12"/>
        <v>0</v>
      </c>
      <c r="AU51" s="3674">
        <f t="shared" si="12"/>
        <v>0</v>
      </c>
      <c r="AV51" s="3655"/>
      <c r="AW51" s="3610"/>
      <c r="AX51" s="3609"/>
      <c r="AY51" s="3609"/>
    </row>
    <row r="52" spans="1:51" ht="16.5">
      <c r="A52" s="3638"/>
      <c r="B52" s="3652"/>
      <c r="C52" s="3611" t="s">
        <v>4610</v>
      </c>
      <c r="D52" s="3647"/>
      <c r="E52" s="3649"/>
      <c r="F52" s="2335">
        <f t="shared" ref="F52:AU52" si="13">F22</f>
        <v>1</v>
      </c>
      <c r="G52" s="2335">
        <f t="shared" si="13"/>
        <v>0</v>
      </c>
      <c r="H52" s="2335">
        <f t="shared" si="13"/>
        <v>0</v>
      </c>
      <c r="I52" s="2335">
        <f t="shared" si="13"/>
        <v>0</v>
      </c>
      <c r="J52" s="2335">
        <f t="shared" si="13"/>
        <v>0</v>
      </c>
      <c r="K52" s="2335">
        <f t="shared" si="13"/>
        <v>0</v>
      </c>
      <c r="L52" s="3672">
        <f t="shared" si="13"/>
        <v>0</v>
      </c>
      <c r="M52" s="3672">
        <f t="shared" si="13"/>
        <v>0</v>
      </c>
      <c r="N52" s="3672">
        <f t="shared" si="13"/>
        <v>0</v>
      </c>
      <c r="O52" s="3672">
        <f t="shared" si="13"/>
        <v>0</v>
      </c>
      <c r="P52" s="3672">
        <f t="shared" si="13"/>
        <v>0</v>
      </c>
      <c r="Q52" s="3672">
        <f t="shared" si="13"/>
        <v>0</v>
      </c>
      <c r="R52" s="3672">
        <f t="shared" si="13"/>
        <v>0</v>
      </c>
      <c r="S52" s="3672">
        <f t="shared" si="13"/>
        <v>0</v>
      </c>
      <c r="T52" s="3672">
        <f t="shared" si="13"/>
        <v>0</v>
      </c>
      <c r="U52" s="3672">
        <f t="shared" si="13"/>
        <v>0</v>
      </c>
      <c r="V52" s="3672">
        <f t="shared" si="13"/>
        <v>0</v>
      </c>
      <c r="W52" s="3672">
        <f t="shared" si="13"/>
        <v>0</v>
      </c>
      <c r="X52" s="3672">
        <f t="shared" si="13"/>
        <v>0</v>
      </c>
      <c r="Y52" s="3672">
        <f t="shared" si="13"/>
        <v>0</v>
      </c>
      <c r="Z52" s="3672">
        <f t="shared" si="13"/>
        <v>0</v>
      </c>
      <c r="AA52" s="3672">
        <f t="shared" si="13"/>
        <v>0</v>
      </c>
      <c r="AB52" s="3672">
        <f t="shared" si="13"/>
        <v>0</v>
      </c>
      <c r="AC52" s="3672">
        <f t="shared" si="13"/>
        <v>0</v>
      </c>
      <c r="AD52" s="3672">
        <f t="shared" si="13"/>
        <v>0</v>
      </c>
      <c r="AE52" s="3672">
        <f t="shared" si="13"/>
        <v>0</v>
      </c>
      <c r="AF52" s="3672">
        <f t="shared" si="13"/>
        <v>0</v>
      </c>
      <c r="AG52" s="3672">
        <f t="shared" si="13"/>
        <v>0</v>
      </c>
      <c r="AH52" s="3672">
        <f t="shared" si="13"/>
        <v>0</v>
      </c>
      <c r="AI52" s="3672">
        <f t="shared" si="13"/>
        <v>0</v>
      </c>
      <c r="AJ52" s="3672">
        <f t="shared" si="13"/>
        <v>0</v>
      </c>
      <c r="AK52" s="3672">
        <f t="shared" si="13"/>
        <v>0</v>
      </c>
      <c r="AL52" s="3672">
        <f t="shared" si="13"/>
        <v>0</v>
      </c>
      <c r="AM52" s="3672">
        <f t="shared" si="13"/>
        <v>0</v>
      </c>
      <c r="AN52" s="3672">
        <f t="shared" si="13"/>
        <v>0</v>
      </c>
      <c r="AO52" s="3672">
        <f t="shared" si="13"/>
        <v>0</v>
      </c>
      <c r="AP52" s="3672">
        <f t="shared" si="13"/>
        <v>0</v>
      </c>
      <c r="AQ52" s="3672">
        <f t="shared" si="13"/>
        <v>0</v>
      </c>
      <c r="AR52" s="3672">
        <f t="shared" si="13"/>
        <v>0</v>
      </c>
      <c r="AS52" s="3672">
        <f t="shared" si="13"/>
        <v>0</v>
      </c>
      <c r="AT52" s="3672">
        <f t="shared" si="13"/>
        <v>0</v>
      </c>
      <c r="AU52" s="3674">
        <f t="shared" si="13"/>
        <v>0</v>
      </c>
      <c r="AV52" s="3655"/>
      <c r="AW52" s="3610"/>
      <c r="AX52" s="3609"/>
      <c r="AY52" s="3609"/>
    </row>
    <row r="53" spans="1:51" ht="16.5">
      <c r="A53" s="3677"/>
      <c r="B53" s="3678" t="s">
        <v>4618</v>
      </c>
      <c r="C53" s="3679" t="s">
        <v>4619</v>
      </c>
      <c r="D53" s="3680"/>
      <c r="E53" s="3678"/>
      <c r="F53" s="3643">
        <f>SUM(F54:F59)</f>
        <v>109</v>
      </c>
      <c r="G53" s="3643">
        <f t="shared" ref="G53:AU53" si="14">SUM(G54:G59)</f>
        <v>111</v>
      </c>
      <c r="H53" s="3643">
        <f t="shared" si="14"/>
        <v>0</v>
      </c>
      <c r="I53" s="3643">
        <f t="shared" si="14"/>
        <v>0</v>
      </c>
      <c r="J53" s="3643">
        <f t="shared" si="14"/>
        <v>0</v>
      </c>
      <c r="K53" s="3643">
        <f t="shared" si="14"/>
        <v>0</v>
      </c>
      <c r="L53" s="3643">
        <f t="shared" si="14"/>
        <v>0</v>
      </c>
      <c r="M53" s="3643">
        <f t="shared" si="14"/>
        <v>0</v>
      </c>
      <c r="N53" s="3643">
        <f t="shared" si="14"/>
        <v>0</v>
      </c>
      <c r="O53" s="3643">
        <f t="shared" si="14"/>
        <v>0</v>
      </c>
      <c r="P53" s="3643">
        <f t="shared" si="14"/>
        <v>0</v>
      </c>
      <c r="Q53" s="3643">
        <f t="shared" si="14"/>
        <v>0</v>
      </c>
      <c r="R53" s="3643">
        <f t="shared" si="14"/>
        <v>0</v>
      </c>
      <c r="S53" s="3643">
        <f t="shared" si="14"/>
        <v>0</v>
      </c>
      <c r="T53" s="3643">
        <f t="shared" si="14"/>
        <v>0</v>
      </c>
      <c r="U53" s="3643">
        <f t="shared" si="14"/>
        <v>0</v>
      </c>
      <c r="V53" s="3643">
        <f t="shared" si="14"/>
        <v>0</v>
      </c>
      <c r="W53" s="3643">
        <f t="shared" si="14"/>
        <v>0</v>
      </c>
      <c r="X53" s="3643">
        <f t="shared" si="14"/>
        <v>0</v>
      </c>
      <c r="Y53" s="3643">
        <f t="shared" si="14"/>
        <v>0</v>
      </c>
      <c r="Z53" s="3643">
        <f t="shared" si="14"/>
        <v>0</v>
      </c>
      <c r="AA53" s="3643">
        <f t="shared" si="14"/>
        <v>0</v>
      </c>
      <c r="AB53" s="3643">
        <f t="shared" si="14"/>
        <v>0</v>
      </c>
      <c r="AC53" s="3643">
        <f t="shared" si="14"/>
        <v>0</v>
      </c>
      <c r="AD53" s="3643">
        <f t="shared" si="14"/>
        <v>0</v>
      </c>
      <c r="AE53" s="3643">
        <f t="shared" si="14"/>
        <v>0</v>
      </c>
      <c r="AF53" s="3643">
        <f t="shared" si="14"/>
        <v>0</v>
      </c>
      <c r="AG53" s="3643">
        <f t="shared" si="14"/>
        <v>0</v>
      </c>
      <c r="AH53" s="3643">
        <f t="shared" si="14"/>
        <v>0</v>
      </c>
      <c r="AI53" s="3643">
        <f t="shared" si="14"/>
        <v>0</v>
      </c>
      <c r="AJ53" s="3643">
        <f t="shared" si="14"/>
        <v>0</v>
      </c>
      <c r="AK53" s="3643">
        <f t="shared" si="14"/>
        <v>0</v>
      </c>
      <c r="AL53" s="3643">
        <f t="shared" si="14"/>
        <v>0</v>
      </c>
      <c r="AM53" s="3643">
        <f t="shared" si="14"/>
        <v>0</v>
      </c>
      <c r="AN53" s="3643">
        <f t="shared" si="14"/>
        <v>0</v>
      </c>
      <c r="AO53" s="3643">
        <f t="shared" si="14"/>
        <v>0</v>
      </c>
      <c r="AP53" s="3643">
        <f t="shared" si="14"/>
        <v>0</v>
      </c>
      <c r="AQ53" s="3643">
        <f t="shared" si="14"/>
        <v>0</v>
      </c>
      <c r="AR53" s="3643">
        <f t="shared" si="14"/>
        <v>0</v>
      </c>
      <c r="AS53" s="3643">
        <f t="shared" si="14"/>
        <v>0</v>
      </c>
      <c r="AT53" s="3643">
        <f t="shared" si="14"/>
        <v>0</v>
      </c>
      <c r="AU53" s="3645">
        <f t="shared" si="14"/>
        <v>0</v>
      </c>
      <c r="AV53" s="3677"/>
      <c r="AW53" s="3609"/>
      <c r="AX53" s="3609"/>
      <c r="AY53" s="3609"/>
    </row>
    <row r="54" spans="1:51" ht="16.5">
      <c r="A54" s="3632"/>
      <c r="B54" s="3652" t="s">
        <v>4620</v>
      </c>
      <c r="C54" s="3611"/>
      <c r="D54" s="3681"/>
      <c r="E54" s="3652"/>
      <c r="F54" s="3610">
        <v>10</v>
      </c>
      <c r="G54" s="3610">
        <v>10</v>
      </c>
      <c r="H54" s="3610"/>
      <c r="I54" s="3610"/>
      <c r="J54" s="3610"/>
      <c r="K54" s="3610"/>
      <c r="L54" s="3610"/>
      <c r="M54" s="3610"/>
      <c r="N54" s="3610"/>
      <c r="O54" s="3610"/>
      <c r="P54" s="3610"/>
      <c r="Q54" s="3610"/>
      <c r="R54" s="3610"/>
      <c r="S54" s="3610"/>
      <c r="T54" s="3610"/>
      <c r="U54" s="3610"/>
      <c r="V54" s="3610"/>
      <c r="W54" s="3610"/>
      <c r="X54" s="3610"/>
      <c r="Y54" s="3610"/>
      <c r="Z54" s="3610"/>
      <c r="AA54" s="3610"/>
      <c r="AB54" s="3610"/>
      <c r="AC54" s="3610"/>
      <c r="AD54" s="3610"/>
      <c r="AE54" s="3610"/>
      <c r="AF54" s="3610"/>
      <c r="AG54" s="3610"/>
      <c r="AH54" s="3610"/>
      <c r="AI54" s="3610"/>
      <c r="AJ54" s="3610"/>
      <c r="AK54" s="3610"/>
      <c r="AL54" s="3610"/>
      <c r="AM54" s="3610"/>
      <c r="AN54" s="3610"/>
      <c r="AO54" s="3610"/>
      <c r="AP54" s="3610"/>
      <c r="AQ54" s="3610"/>
      <c r="AR54" s="3610"/>
      <c r="AS54" s="3610"/>
      <c r="AT54" s="3610"/>
      <c r="AU54" s="3640"/>
      <c r="AV54" s="3655"/>
      <c r="AW54" s="3610"/>
      <c r="AX54" s="3610"/>
      <c r="AY54" s="3610"/>
    </row>
    <row r="55" spans="1:51" ht="16.5">
      <c r="A55" s="3632"/>
      <c r="B55" s="3652" t="s">
        <v>4400</v>
      </c>
      <c r="C55" s="3611"/>
      <c r="D55" s="3681"/>
      <c r="E55" s="3652"/>
      <c r="F55" s="3610">
        <v>7</v>
      </c>
      <c r="G55" s="3682">
        <v>9</v>
      </c>
      <c r="H55" s="3682"/>
      <c r="I55" s="3682"/>
      <c r="J55" s="3682"/>
      <c r="K55" s="3682"/>
      <c r="L55" s="3682"/>
      <c r="M55" s="3682"/>
      <c r="N55" s="3682"/>
      <c r="O55" s="3682"/>
      <c r="P55" s="3682"/>
      <c r="Q55" s="3682"/>
      <c r="R55" s="3682"/>
      <c r="S55" s="3682"/>
      <c r="T55" s="3682"/>
      <c r="U55" s="3682"/>
      <c r="V55" s="3682"/>
      <c r="W55" s="3682"/>
      <c r="X55" s="3682"/>
      <c r="Y55" s="3682"/>
      <c r="Z55" s="3682"/>
      <c r="AA55" s="3682"/>
      <c r="AB55" s="3682"/>
      <c r="AC55" s="3682"/>
      <c r="AD55" s="3682"/>
      <c r="AE55" s="3682"/>
      <c r="AF55" s="3682"/>
      <c r="AG55" s="3682"/>
      <c r="AH55" s="3682"/>
      <c r="AI55" s="3682"/>
      <c r="AJ55" s="3682"/>
      <c r="AK55" s="3682"/>
      <c r="AL55" s="3682"/>
      <c r="AM55" s="3682"/>
      <c r="AN55" s="3682"/>
      <c r="AO55" s="3682"/>
      <c r="AP55" s="3682"/>
      <c r="AQ55" s="3682"/>
      <c r="AR55" s="3682"/>
      <c r="AS55" s="3682"/>
      <c r="AT55" s="3682"/>
      <c r="AU55" s="3683"/>
      <c r="AV55" s="3655"/>
      <c r="AW55" s="3610"/>
      <c r="AX55" s="3610"/>
      <c r="AY55" s="3610"/>
    </row>
    <row r="56" spans="1:51" ht="16.5">
      <c r="A56" s="3632"/>
      <c r="B56" s="3652" t="s">
        <v>4621</v>
      </c>
      <c r="C56" s="3611"/>
      <c r="D56" s="3681"/>
      <c r="E56" s="3652"/>
      <c r="F56" s="3610">
        <v>4</v>
      </c>
      <c r="G56" s="3610">
        <v>4</v>
      </c>
      <c r="H56" s="3610"/>
      <c r="I56" s="3610"/>
      <c r="J56" s="3610"/>
      <c r="K56" s="3610"/>
      <c r="L56" s="3610"/>
      <c r="M56" s="3610"/>
      <c r="N56" s="3610"/>
      <c r="O56" s="3610"/>
      <c r="P56" s="3610"/>
      <c r="Q56" s="3610"/>
      <c r="R56" s="3610"/>
      <c r="S56" s="3610"/>
      <c r="T56" s="3610"/>
      <c r="U56" s="3610"/>
      <c r="V56" s="3610"/>
      <c r="W56" s="3610"/>
      <c r="X56" s="3610"/>
      <c r="Y56" s="3610"/>
      <c r="Z56" s="3610"/>
      <c r="AA56" s="3610"/>
      <c r="AB56" s="3610"/>
      <c r="AC56" s="3610"/>
      <c r="AD56" s="3610"/>
      <c r="AE56" s="3610"/>
      <c r="AF56" s="3610"/>
      <c r="AG56" s="3610"/>
      <c r="AH56" s="3610"/>
      <c r="AI56" s="3610"/>
      <c r="AJ56" s="3610"/>
      <c r="AK56" s="3610"/>
      <c r="AL56" s="3610"/>
      <c r="AM56" s="3610"/>
      <c r="AN56" s="3610"/>
      <c r="AO56" s="3610"/>
      <c r="AP56" s="3610"/>
      <c r="AQ56" s="3610"/>
      <c r="AR56" s="3610"/>
      <c r="AS56" s="3610"/>
      <c r="AT56" s="3610"/>
      <c r="AU56" s="3640"/>
      <c r="AV56" s="3655"/>
      <c r="AW56" s="3610"/>
      <c r="AX56" s="3610"/>
      <c r="AY56" s="3610"/>
    </row>
    <row r="57" spans="1:51" ht="16.5">
      <c r="A57" s="3632"/>
      <c r="B57" s="3652" t="s">
        <v>4622</v>
      </c>
      <c r="C57" s="3611"/>
      <c r="D57" s="3681"/>
      <c r="E57" s="3652"/>
      <c r="F57" s="3610">
        <v>13</v>
      </c>
      <c r="G57" s="3610">
        <v>13</v>
      </c>
      <c r="H57" s="3610"/>
      <c r="I57" s="3610"/>
      <c r="J57" s="3610"/>
      <c r="K57" s="3610"/>
      <c r="L57" s="3610"/>
      <c r="M57" s="3610"/>
      <c r="N57" s="3610"/>
      <c r="O57" s="3610"/>
      <c r="P57" s="3610"/>
      <c r="Q57" s="3610"/>
      <c r="R57" s="3610"/>
      <c r="S57" s="3610"/>
      <c r="T57" s="3610"/>
      <c r="U57" s="3610"/>
      <c r="V57" s="3610"/>
      <c r="W57" s="3610"/>
      <c r="X57" s="3610"/>
      <c r="Y57" s="3610"/>
      <c r="Z57" s="3610"/>
      <c r="AA57" s="3610"/>
      <c r="AB57" s="3610"/>
      <c r="AC57" s="3610"/>
      <c r="AD57" s="3610"/>
      <c r="AE57" s="3610"/>
      <c r="AF57" s="3610"/>
      <c r="AG57" s="3610"/>
      <c r="AH57" s="3610"/>
      <c r="AI57" s="3610"/>
      <c r="AJ57" s="3610"/>
      <c r="AK57" s="3610"/>
      <c r="AL57" s="3610"/>
      <c r="AM57" s="3610"/>
      <c r="AN57" s="3610"/>
      <c r="AO57" s="3610"/>
      <c r="AP57" s="3610"/>
      <c r="AQ57" s="3610"/>
      <c r="AR57" s="3610"/>
      <c r="AS57" s="3610"/>
      <c r="AT57" s="3610"/>
      <c r="AU57" s="3640"/>
      <c r="AV57" s="3655"/>
      <c r="AW57" s="3610"/>
      <c r="AX57" s="3610"/>
      <c r="AY57" s="3610"/>
    </row>
    <row r="58" spans="1:51" ht="16.5">
      <c r="A58" s="3632"/>
      <c r="B58" s="3652" t="s">
        <v>4612</v>
      </c>
      <c r="C58" s="3611"/>
      <c r="D58" s="3681"/>
      <c r="E58" s="3652"/>
      <c r="F58" s="3610">
        <v>66</v>
      </c>
      <c r="G58" s="3610">
        <v>66</v>
      </c>
      <c r="H58" s="3610"/>
      <c r="I58" s="3610"/>
      <c r="J58" s="3610"/>
      <c r="K58" s="3610"/>
      <c r="L58" s="3610"/>
      <c r="M58" s="3610"/>
      <c r="N58" s="3610"/>
      <c r="O58" s="3610"/>
      <c r="P58" s="3610"/>
      <c r="Q58" s="3610"/>
      <c r="R58" s="3610"/>
      <c r="S58" s="3610"/>
      <c r="T58" s="3610"/>
      <c r="U58" s="3610"/>
      <c r="V58" s="3610"/>
      <c r="W58" s="3610"/>
      <c r="X58" s="3610"/>
      <c r="Y58" s="3610"/>
      <c r="Z58" s="3610"/>
      <c r="AA58" s="3610"/>
      <c r="AB58" s="3610"/>
      <c r="AC58" s="3610"/>
      <c r="AD58" s="3610"/>
      <c r="AE58" s="3610"/>
      <c r="AF58" s="3610"/>
      <c r="AG58" s="3610"/>
      <c r="AH58" s="3610"/>
      <c r="AI58" s="3610"/>
      <c r="AJ58" s="3610"/>
      <c r="AK58" s="3610"/>
      <c r="AL58" s="3610"/>
      <c r="AM58" s="3610"/>
      <c r="AN58" s="3610"/>
      <c r="AO58" s="3610"/>
      <c r="AP58" s="3610"/>
      <c r="AQ58" s="3610"/>
      <c r="AR58" s="3610"/>
      <c r="AS58" s="3610"/>
      <c r="AT58" s="3610"/>
      <c r="AU58" s="3640"/>
      <c r="AV58" s="3655"/>
      <c r="AW58" s="3610"/>
      <c r="AX58" s="3610"/>
      <c r="AY58" s="3610"/>
    </row>
    <row r="59" spans="1:51" ht="16.5">
      <c r="A59" s="3684"/>
      <c r="B59" s="3659" t="s">
        <v>4623</v>
      </c>
      <c r="C59" s="3634"/>
      <c r="D59" s="3685"/>
      <c r="E59" s="3659"/>
      <c r="F59" s="3633">
        <v>9</v>
      </c>
      <c r="G59" s="3633">
        <v>9</v>
      </c>
      <c r="H59" s="3633"/>
      <c r="I59" s="3633"/>
      <c r="J59" s="3633"/>
      <c r="K59" s="3633"/>
      <c r="L59" s="3633"/>
      <c r="M59" s="3633"/>
      <c r="N59" s="3633"/>
      <c r="O59" s="3633"/>
      <c r="P59" s="3610"/>
      <c r="Q59" s="3610"/>
      <c r="R59" s="3610"/>
      <c r="S59" s="3610"/>
      <c r="T59" s="3610"/>
      <c r="U59" s="3610"/>
      <c r="V59" s="3610"/>
      <c r="W59" s="3610"/>
      <c r="X59" s="3610"/>
      <c r="Y59" s="3610"/>
      <c r="Z59" s="3610"/>
      <c r="AA59" s="3610"/>
      <c r="AB59" s="3610"/>
      <c r="AC59" s="3610"/>
      <c r="AD59" s="3610"/>
      <c r="AE59" s="3610"/>
      <c r="AF59" s="3610"/>
      <c r="AG59" s="3610"/>
      <c r="AH59" s="3610"/>
      <c r="AI59" s="3610"/>
      <c r="AJ59" s="3610"/>
      <c r="AK59" s="3610"/>
      <c r="AL59" s="3610"/>
      <c r="AM59" s="3610"/>
      <c r="AN59" s="3610"/>
      <c r="AO59" s="3610"/>
      <c r="AP59" s="3610"/>
      <c r="AQ59" s="3610"/>
      <c r="AR59" s="3610"/>
      <c r="AS59" s="3610"/>
      <c r="AT59" s="3610"/>
      <c r="AU59" s="3640"/>
      <c r="AV59" s="3655"/>
      <c r="AW59" s="3610"/>
      <c r="AX59" s="3610"/>
      <c r="AY59" s="3610"/>
    </row>
    <row r="60" spans="1:51" ht="16.5">
      <c r="A60" s="3686"/>
      <c r="B60" s="3687" t="s">
        <v>4624</v>
      </c>
      <c r="C60" s="3688"/>
      <c r="D60" s="3689"/>
      <c r="E60" s="3690"/>
      <c r="F60" s="3691">
        <v>17</v>
      </c>
      <c r="G60" s="3691">
        <v>18</v>
      </c>
      <c r="H60" s="3692">
        <f>G60</f>
        <v>18</v>
      </c>
      <c r="I60" s="3692">
        <f t="shared" ref="I60:AU60" si="15">H60</f>
        <v>18</v>
      </c>
      <c r="J60" s="3692">
        <f t="shared" si="15"/>
        <v>18</v>
      </c>
      <c r="K60" s="3692">
        <f t="shared" si="15"/>
        <v>18</v>
      </c>
      <c r="L60" s="3692">
        <f t="shared" si="15"/>
        <v>18</v>
      </c>
      <c r="M60" s="3692">
        <f t="shared" si="15"/>
        <v>18</v>
      </c>
      <c r="N60" s="3692">
        <f t="shared" si="15"/>
        <v>18</v>
      </c>
      <c r="O60" s="3692">
        <f t="shared" si="15"/>
        <v>18</v>
      </c>
      <c r="P60" s="3693">
        <f t="shared" si="15"/>
        <v>18</v>
      </c>
      <c r="Q60" s="3693">
        <f t="shared" si="15"/>
        <v>18</v>
      </c>
      <c r="R60" s="3693">
        <f t="shared" si="15"/>
        <v>18</v>
      </c>
      <c r="S60" s="3693">
        <f t="shared" si="15"/>
        <v>18</v>
      </c>
      <c r="T60" s="3694">
        <v>19</v>
      </c>
      <c r="U60" s="3693">
        <f t="shared" si="15"/>
        <v>19</v>
      </c>
      <c r="V60" s="3693">
        <f t="shared" si="15"/>
        <v>19</v>
      </c>
      <c r="W60" s="3693">
        <f t="shared" si="15"/>
        <v>19</v>
      </c>
      <c r="X60" s="3693">
        <f t="shared" si="15"/>
        <v>19</v>
      </c>
      <c r="Y60" s="3693">
        <f t="shared" si="15"/>
        <v>19</v>
      </c>
      <c r="Z60" s="3693">
        <f t="shared" si="15"/>
        <v>19</v>
      </c>
      <c r="AA60" s="3693">
        <f t="shared" si="15"/>
        <v>19</v>
      </c>
      <c r="AB60" s="3693">
        <f t="shared" si="15"/>
        <v>19</v>
      </c>
      <c r="AC60" s="3693">
        <f t="shared" si="15"/>
        <v>19</v>
      </c>
      <c r="AD60" s="3693">
        <f t="shared" si="15"/>
        <v>19</v>
      </c>
      <c r="AE60" s="3693">
        <f t="shared" si="15"/>
        <v>19</v>
      </c>
      <c r="AF60" s="3693">
        <f t="shared" si="15"/>
        <v>19</v>
      </c>
      <c r="AG60" s="3693">
        <f t="shared" si="15"/>
        <v>19</v>
      </c>
      <c r="AH60" s="3693">
        <f t="shared" si="15"/>
        <v>19</v>
      </c>
      <c r="AI60" s="3693">
        <f t="shared" si="15"/>
        <v>19</v>
      </c>
      <c r="AJ60" s="3693">
        <f t="shared" si="15"/>
        <v>19</v>
      </c>
      <c r="AK60" s="3693">
        <f t="shared" si="15"/>
        <v>19</v>
      </c>
      <c r="AL60" s="3693">
        <f t="shared" si="15"/>
        <v>19</v>
      </c>
      <c r="AM60" s="3693">
        <f t="shared" si="15"/>
        <v>19</v>
      </c>
      <c r="AN60" s="3693">
        <f t="shared" si="15"/>
        <v>19</v>
      </c>
      <c r="AO60" s="3693">
        <f t="shared" si="15"/>
        <v>19</v>
      </c>
      <c r="AP60" s="3693">
        <f t="shared" si="15"/>
        <v>19</v>
      </c>
      <c r="AQ60" s="3693">
        <f t="shared" si="15"/>
        <v>19</v>
      </c>
      <c r="AR60" s="3693">
        <f t="shared" si="15"/>
        <v>19</v>
      </c>
      <c r="AS60" s="3693">
        <f t="shared" si="15"/>
        <v>19</v>
      </c>
      <c r="AT60" s="3693">
        <f t="shared" si="15"/>
        <v>19</v>
      </c>
      <c r="AU60" s="3695">
        <f t="shared" si="15"/>
        <v>19</v>
      </c>
      <c r="AV60" s="3696"/>
      <c r="AW60" s="3609"/>
      <c r="AX60" s="3609"/>
      <c r="AY60" s="3609"/>
    </row>
    <row r="61" spans="1:51" ht="16.5">
      <c r="A61" s="5622" t="s">
        <v>4625</v>
      </c>
      <c r="B61" s="5623"/>
      <c r="C61" s="3697"/>
      <c r="D61" s="3698"/>
      <c r="E61" s="3699"/>
      <c r="F61" s="3693">
        <f t="shared" ref="F61:AU61" si="16">SUM(F7:F8,F9,F15,F23,F29,F53,F60)</f>
        <v>138</v>
      </c>
      <c r="G61" s="3693">
        <f t="shared" si="16"/>
        <v>142</v>
      </c>
      <c r="H61" s="3693">
        <f t="shared" si="16"/>
        <v>32</v>
      </c>
      <c r="I61" s="3693">
        <f t="shared" si="16"/>
        <v>32</v>
      </c>
      <c r="J61" s="3693">
        <f t="shared" si="16"/>
        <v>32</v>
      </c>
      <c r="K61" s="3693">
        <f t="shared" si="16"/>
        <v>32</v>
      </c>
      <c r="L61" s="3693">
        <f t="shared" si="16"/>
        <v>32</v>
      </c>
      <c r="M61" s="3693">
        <f t="shared" si="16"/>
        <v>32</v>
      </c>
      <c r="N61" s="3693">
        <f t="shared" si="16"/>
        <v>32</v>
      </c>
      <c r="O61" s="3693">
        <f t="shared" si="16"/>
        <v>32</v>
      </c>
      <c r="P61" s="3693">
        <f t="shared" si="16"/>
        <v>32</v>
      </c>
      <c r="Q61" s="3693">
        <f t="shared" si="16"/>
        <v>32</v>
      </c>
      <c r="R61" s="3693">
        <f t="shared" si="16"/>
        <v>32</v>
      </c>
      <c r="S61" s="3693">
        <f t="shared" si="16"/>
        <v>33</v>
      </c>
      <c r="T61" s="3693">
        <f t="shared" si="16"/>
        <v>34</v>
      </c>
      <c r="U61" s="3693">
        <f t="shared" si="16"/>
        <v>34</v>
      </c>
      <c r="V61" s="3693">
        <f t="shared" si="16"/>
        <v>34</v>
      </c>
      <c r="W61" s="3693">
        <f t="shared" si="16"/>
        <v>34</v>
      </c>
      <c r="X61" s="3693">
        <f t="shared" si="16"/>
        <v>34</v>
      </c>
      <c r="Y61" s="3693">
        <f t="shared" si="16"/>
        <v>34</v>
      </c>
      <c r="Z61" s="3693">
        <f t="shared" si="16"/>
        <v>34</v>
      </c>
      <c r="AA61" s="3693">
        <f t="shared" si="16"/>
        <v>34</v>
      </c>
      <c r="AB61" s="3693">
        <f t="shared" si="16"/>
        <v>34</v>
      </c>
      <c r="AC61" s="3693">
        <f t="shared" si="16"/>
        <v>34</v>
      </c>
      <c r="AD61" s="3693">
        <f t="shared" si="16"/>
        <v>34</v>
      </c>
      <c r="AE61" s="3693">
        <f t="shared" si="16"/>
        <v>34</v>
      </c>
      <c r="AF61" s="3693">
        <f t="shared" si="16"/>
        <v>34</v>
      </c>
      <c r="AG61" s="3693">
        <f t="shared" si="16"/>
        <v>34</v>
      </c>
      <c r="AH61" s="3693">
        <f t="shared" si="16"/>
        <v>34</v>
      </c>
      <c r="AI61" s="3693">
        <f t="shared" si="16"/>
        <v>34</v>
      </c>
      <c r="AJ61" s="3693">
        <f t="shared" si="16"/>
        <v>34</v>
      </c>
      <c r="AK61" s="3693">
        <f t="shared" si="16"/>
        <v>33</v>
      </c>
      <c r="AL61" s="3693">
        <f t="shared" si="16"/>
        <v>32</v>
      </c>
      <c r="AM61" s="3693">
        <f t="shared" si="16"/>
        <v>32</v>
      </c>
      <c r="AN61" s="3693">
        <f t="shared" si="16"/>
        <v>32</v>
      </c>
      <c r="AO61" s="3693">
        <f t="shared" si="16"/>
        <v>32</v>
      </c>
      <c r="AP61" s="3693">
        <f t="shared" si="16"/>
        <v>32</v>
      </c>
      <c r="AQ61" s="3693">
        <f t="shared" si="16"/>
        <v>32</v>
      </c>
      <c r="AR61" s="3693">
        <f t="shared" si="16"/>
        <v>32</v>
      </c>
      <c r="AS61" s="3693">
        <f t="shared" si="16"/>
        <v>32</v>
      </c>
      <c r="AT61" s="3693">
        <f t="shared" si="16"/>
        <v>31</v>
      </c>
      <c r="AU61" s="3695">
        <f t="shared" si="16"/>
        <v>31</v>
      </c>
      <c r="AV61" s="3700"/>
      <c r="AW61" s="3609"/>
      <c r="AX61" s="3609"/>
      <c r="AY61" s="3609"/>
    </row>
    <row r="62" spans="1:51" ht="16.5">
      <c r="A62" s="3609"/>
      <c r="B62" s="3610"/>
      <c r="C62" s="3611"/>
      <c r="D62" s="3610"/>
      <c r="E62" s="3610"/>
      <c r="F62" s="3610"/>
      <c r="G62" s="3610"/>
      <c r="H62" s="3610"/>
      <c r="I62" s="3610"/>
      <c r="J62" s="3610"/>
      <c r="K62" s="3610"/>
      <c r="L62" s="3610"/>
      <c r="M62" s="3610"/>
      <c r="N62" s="3610"/>
      <c r="O62" s="3610"/>
      <c r="P62" s="3610"/>
      <c r="Q62" s="3610"/>
      <c r="R62" s="3610"/>
      <c r="S62" s="3610"/>
      <c r="T62" s="3610"/>
      <c r="U62" s="3610"/>
      <c r="V62" s="3610"/>
      <c r="W62" s="3610"/>
      <c r="X62" s="3610"/>
      <c r="Y62" s="3610"/>
      <c r="Z62" s="3610"/>
      <c r="AA62" s="3610"/>
      <c r="AB62" s="3610"/>
      <c r="AC62" s="3610"/>
      <c r="AD62" s="3610"/>
      <c r="AE62" s="3610"/>
      <c r="AF62" s="3610"/>
      <c r="AG62" s="3610"/>
      <c r="AH62" s="3610"/>
      <c r="AI62" s="3610"/>
      <c r="AJ62" s="3610"/>
      <c r="AK62" s="3610"/>
      <c r="AL62" s="3610"/>
      <c r="AM62" s="3610"/>
      <c r="AN62" s="3610"/>
      <c r="AO62" s="3610"/>
      <c r="AP62" s="3610"/>
      <c r="AQ62" s="3610"/>
      <c r="AR62" s="3610"/>
      <c r="AS62" s="3610"/>
      <c r="AT62" s="3610"/>
      <c r="AU62" s="3610"/>
      <c r="AV62" s="3610"/>
      <c r="AW62" s="3610"/>
      <c r="AX62" s="3610"/>
      <c r="AY62" s="3610"/>
    </row>
    <row r="63" spans="1:51" ht="16.5">
      <c r="A63" s="3609" t="s">
        <v>4626</v>
      </c>
      <c r="B63" s="3610" t="s">
        <v>4627</v>
      </c>
      <c r="C63" s="3611"/>
      <c r="D63" s="3610"/>
      <c r="E63" s="3610"/>
      <c r="F63" s="3610"/>
      <c r="G63" s="3610"/>
      <c r="H63" s="3610"/>
      <c r="I63" s="3610"/>
      <c r="J63" s="3610"/>
      <c r="K63" s="3610"/>
      <c r="L63" s="3610"/>
      <c r="M63" s="3610"/>
      <c r="N63" s="3610"/>
      <c r="O63" s="3610"/>
      <c r="P63" s="3610"/>
      <c r="Q63" s="3610"/>
      <c r="R63" s="3610"/>
      <c r="S63" s="3610"/>
      <c r="T63" s="3610"/>
      <c r="U63" s="3610"/>
      <c r="V63" s="3610"/>
      <c r="W63" s="3610"/>
      <c r="X63" s="3610"/>
      <c r="Y63" s="3610"/>
      <c r="Z63" s="3610"/>
      <c r="AA63" s="3610"/>
      <c r="AB63" s="3610"/>
      <c r="AC63" s="3610"/>
      <c r="AD63" s="3610"/>
      <c r="AE63" s="3610"/>
      <c r="AF63" s="3610"/>
      <c r="AG63" s="3610"/>
      <c r="AH63" s="3610"/>
      <c r="AI63" s="3610"/>
      <c r="AJ63" s="3610"/>
      <c r="AK63" s="3610"/>
      <c r="AL63" s="3610"/>
      <c r="AM63" s="3610"/>
      <c r="AN63" s="3610"/>
      <c r="AO63" s="3610"/>
      <c r="AP63" s="3610"/>
      <c r="AQ63" s="3610"/>
      <c r="AR63" s="3610"/>
      <c r="AS63" s="3610"/>
      <c r="AT63" s="3610"/>
      <c r="AU63" s="3610"/>
      <c r="AV63" s="3610"/>
      <c r="AW63" s="3610"/>
      <c r="AX63" s="3610"/>
      <c r="AY63" s="3610"/>
    </row>
    <row r="64" spans="1:51" ht="16.5">
      <c r="A64" s="3612"/>
      <c r="B64" s="3613" t="s">
        <v>4582</v>
      </c>
      <c r="C64" s="3614" t="s">
        <v>4628</v>
      </c>
      <c r="D64" s="3615" t="s">
        <v>4584</v>
      </c>
      <c r="E64" s="3616"/>
      <c r="F64" s="3617" t="s">
        <v>4585</v>
      </c>
      <c r="G64" s="3617" t="s">
        <v>3800</v>
      </c>
      <c r="H64" s="3617" t="s">
        <v>3801</v>
      </c>
      <c r="I64" s="3617" t="s">
        <v>3802</v>
      </c>
      <c r="J64" s="3617" t="s">
        <v>3803</v>
      </c>
      <c r="K64" s="3617" t="s">
        <v>3804</v>
      </c>
      <c r="L64" s="3617" t="str">
        <f>L3</f>
        <v>2024년</v>
      </c>
      <c r="M64" s="3617" t="str">
        <f>M3</f>
        <v>2025년</v>
      </c>
      <c r="N64" s="3617" t="str">
        <f>N3</f>
        <v>2026년</v>
      </c>
      <c r="O64" s="3617" t="str">
        <f>O3</f>
        <v>2027년</v>
      </c>
      <c r="P64" s="3617" t="str">
        <f t="shared" ref="P64:AU64" si="17">P3</f>
        <v>2028년</v>
      </c>
      <c r="Q64" s="3617" t="str">
        <f t="shared" si="17"/>
        <v>2029년</v>
      </c>
      <c r="R64" s="3617" t="str">
        <f t="shared" si="17"/>
        <v>2030년</v>
      </c>
      <c r="S64" s="3617" t="str">
        <f t="shared" si="17"/>
        <v>2031년</v>
      </c>
      <c r="T64" s="3617" t="str">
        <f t="shared" si="17"/>
        <v>2032년</v>
      </c>
      <c r="U64" s="3617" t="str">
        <f t="shared" si="17"/>
        <v>2033년</v>
      </c>
      <c r="V64" s="3617" t="str">
        <f t="shared" si="17"/>
        <v>2034년</v>
      </c>
      <c r="W64" s="3617" t="str">
        <f t="shared" si="17"/>
        <v>2035년</v>
      </c>
      <c r="X64" s="3617" t="str">
        <f t="shared" si="17"/>
        <v>2036년</v>
      </c>
      <c r="Y64" s="3617" t="str">
        <f t="shared" si="17"/>
        <v>2037년</v>
      </c>
      <c r="Z64" s="3617" t="str">
        <f t="shared" si="17"/>
        <v>2038년</v>
      </c>
      <c r="AA64" s="3617" t="str">
        <f t="shared" si="17"/>
        <v>2039년</v>
      </c>
      <c r="AB64" s="3617" t="str">
        <f t="shared" si="17"/>
        <v>2040년</v>
      </c>
      <c r="AC64" s="3617" t="str">
        <f t="shared" si="17"/>
        <v>2041년</v>
      </c>
      <c r="AD64" s="3617" t="str">
        <f t="shared" si="17"/>
        <v>2042년</v>
      </c>
      <c r="AE64" s="3617" t="str">
        <f t="shared" si="17"/>
        <v>2043년</v>
      </c>
      <c r="AF64" s="3617" t="str">
        <f t="shared" si="17"/>
        <v>2044년</v>
      </c>
      <c r="AG64" s="3617" t="str">
        <f t="shared" si="17"/>
        <v>2045년</v>
      </c>
      <c r="AH64" s="3617" t="str">
        <f t="shared" si="17"/>
        <v>2046년</v>
      </c>
      <c r="AI64" s="3617" t="str">
        <f t="shared" si="17"/>
        <v>2047년</v>
      </c>
      <c r="AJ64" s="3617" t="str">
        <f t="shared" si="17"/>
        <v>2048년</v>
      </c>
      <c r="AK64" s="3617" t="str">
        <f t="shared" si="17"/>
        <v>2049년</v>
      </c>
      <c r="AL64" s="3617" t="str">
        <f t="shared" si="17"/>
        <v>2050년</v>
      </c>
      <c r="AM64" s="3617" t="str">
        <f t="shared" si="17"/>
        <v>2051년</v>
      </c>
      <c r="AN64" s="3617" t="str">
        <f t="shared" si="17"/>
        <v>2052년</v>
      </c>
      <c r="AO64" s="3617" t="str">
        <f t="shared" si="17"/>
        <v>2053년</v>
      </c>
      <c r="AP64" s="3617" t="str">
        <f t="shared" si="17"/>
        <v>2054년</v>
      </c>
      <c r="AQ64" s="3617" t="str">
        <f t="shared" si="17"/>
        <v>2055년</v>
      </c>
      <c r="AR64" s="3617" t="str">
        <f t="shared" si="17"/>
        <v>2056년</v>
      </c>
      <c r="AS64" s="3617" t="str">
        <f t="shared" si="17"/>
        <v>2057년</v>
      </c>
      <c r="AT64" s="3617" t="str">
        <f t="shared" si="17"/>
        <v>2058년</v>
      </c>
      <c r="AU64" s="3618" t="str">
        <f t="shared" si="17"/>
        <v>2059년</v>
      </c>
      <c r="AV64" s="3619" t="s">
        <v>4589</v>
      </c>
      <c r="AW64" s="3610"/>
      <c r="AX64" s="3610"/>
      <c r="AY64" s="3610"/>
    </row>
    <row r="65" spans="1:51" ht="16.5">
      <c r="A65" s="3701"/>
      <c r="B65" s="3702" t="s">
        <v>4629</v>
      </c>
      <c r="C65" s="3703"/>
      <c r="D65" s="3704"/>
      <c r="E65" s="3702"/>
      <c r="F65" s="3702"/>
      <c r="G65" s="3705"/>
      <c r="H65" s="3705">
        <v>0.05</v>
      </c>
      <c r="I65" s="3702"/>
      <c r="J65" s="3705"/>
      <c r="K65" s="3705">
        <v>0.05</v>
      </c>
      <c r="L65" s="3702"/>
      <c r="M65" s="3705"/>
      <c r="N65" s="3705">
        <v>0.05</v>
      </c>
      <c r="O65" s="3702"/>
      <c r="P65" s="3705"/>
      <c r="Q65" s="3705">
        <v>0.05</v>
      </c>
      <c r="R65" s="3702"/>
      <c r="S65" s="3705"/>
      <c r="T65" s="3705">
        <v>0.05</v>
      </c>
      <c r="U65" s="3702"/>
      <c r="V65" s="3705"/>
      <c r="W65" s="3705">
        <v>0.05</v>
      </c>
      <c r="X65" s="3702"/>
      <c r="Y65" s="3705"/>
      <c r="Z65" s="3705">
        <v>0.05</v>
      </c>
      <c r="AA65" s="3702"/>
      <c r="AB65" s="3705"/>
      <c r="AC65" s="3705">
        <v>0.05</v>
      </c>
      <c r="AD65" s="3702"/>
      <c r="AE65" s="3705"/>
      <c r="AF65" s="3705">
        <v>0.05</v>
      </c>
      <c r="AG65" s="3702"/>
      <c r="AH65" s="3705"/>
      <c r="AI65" s="3705">
        <v>0.05</v>
      </c>
      <c r="AJ65" s="3702"/>
      <c r="AK65" s="3705"/>
      <c r="AL65" s="3705">
        <v>0.05</v>
      </c>
      <c r="AM65" s="3702"/>
      <c r="AN65" s="3705"/>
      <c r="AO65" s="3705">
        <v>0.05</v>
      </c>
      <c r="AP65" s="3705"/>
      <c r="AQ65" s="3705"/>
      <c r="AR65" s="3705">
        <v>0.05</v>
      </c>
      <c r="AS65" s="3705"/>
      <c r="AT65" s="3705"/>
      <c r="AU65" s="3706">
        <v>0.05</v>
      </c>
      <c r="AV65" s="3620"/>
      <c r="AW65" s="3625"/>
      <c r="AX65" s="3625"/>
      <c r="AY65" s="3625"/>
    </row>
    <row r="66" spans="1:51" ht="16.5">
      <c r="A66" s="3641"/>
      <c r="B66" s="3707" t="s">
        <v>4604</v>
      </c>
      <c r="C66" s="3708"/>
      <c r="D66" s="3646"/>
      <c r="E66" s="3707"/>
      <c r="F66" s="3709">
        <f>E121/10^6</f>
        <v>73.396971230250003</v>
      </c>
      <c r="G66" s="3710">
        <f t="shared" ref="G66:V72" si="18">F66*(1+G$65)</f>
        <v>73.396971230250003</v>
      </c>
      <c r="H66" s="3711">
        <f t="shared" si="18"/>
        <v>77.066819791762512</v>
      </c>
      <c r="I66" s="3711">
        <f t="shared" si="18"/>
        <v>77.066819791762512</v>
      </c>
      <c r="J66" s="3711">
        <f t="shared" si="18"/>
        <v>77.066819791762512</v>
      </c>
      <c r="K66" s="3711">
        <f t="shared" si="18"/>
        <v>80.920160781350646</v>
      </c>
      <c r="L66" s="3711">
        <f t="shared" si="18"/>
        <v>80.920160781350646</v>
      </c>
      <c r="M66" s="3711">
        <f t="shared" si="18"/>
        <v>80.920160781350646</v>
      </c>
      <c r="N66" s="3711">
        <f t="shared" si="18"/>
        <v>84.966168820418176</v>
      </c>
      <c r="O66" s="3711">
        <f t="shared" si="18"/>
        <v>84.966168820418176</v>
      </c>
      <c r="P66" s="3711">
        <f t="shared" si="18"/>
        <v>84.966168820418176</v>
      </c>
      <c r="Q66" s="3711">
        <f t="shared" si="18"/>
        <v>89.214477261439086</v>
      </c>
      <c r="R66" s="3711">
        <f t="shared" si="18"/>
        <v>89.214477261439086</v>
      </c>
      <c r="S66" s="3711">
        <f t="shared" si="18"/>
        <v>89.214477261439086</v>
      </c>
      <c r="T66" s="3711">
        <f t="shared" si="18"/>
        <v>93.675201124511048</v>
      </c>
      <c r="U66" s="3711">
        <f t="shared" si="18"/>
        <v>93.675201124511048</v>
      </c>
      <c r="V66" s="3711">
        <f t="shared" si="18"/>
        <v>93.675201124511048</v>
      </c>
      <c r="W66" s="3711">
        <f t="shared" ref="W66:AL72" si="19">V66*(1+W$65)</f>
        <v>98.3589611807366</v>
      </c>
      <c r="X66" s="3711">
        <f t="shared" si="19"/>
        <v>98.3589611807366</v>
      </c>
      <c r="Y66" s="3711">
        <f t="shared" si="19"/>
        <v>98.3589611807366</v>
      </c>
      <c r="Z66" s="3711">
        <f t="shared" si="19"/>
        <v>103.27690923977343</v>
      </c>
      <c r="AA66" s="3711">
        <f t="shared" si="19"/>
        <v>103.27690923977343</v>
      </c>
      <c r="AB66" s="3711">
        <f t="shared" si="19"/>
        <v>103.27690923977343</v>
      </c>
      <c r="AC66" s="3711">
        <f t="shared" si="19"/>
        <v>108.4407547017621</v>
      </c>
      <c r="AD66" s="3711">
        <f t="shared" si="19"/>
        <v>108.4407547017621</v>
      </c>
      <c r="AE66" s="3711">
        <f t="shared" si="19"/>
        <v>108.4407547017621</v>
      </c>
      <c r="AF66" s="3711">
        <f t="shared" si="19"/>
        <v>113.86279243685021</v>
      </c>
      <c r="AG66" s="3711">
        <f t="shared" si="19"/>
        <v>113.86279243685021</v>
      </c>
      <c r="AH66" s="3711">
        <f t="shared" si="19"/>
        <v>113.86279243685021</v>
      </c>
      <c r="AI66" s="3711">
        <f t="shared" si="19"/>
        <v>119.55593205869273</v>
      </c>
      <c r="AJ66" s="3711">
        <f t="shared" si="19"/>
        <v>119.55593205869273</v>
      </c>
      <c r="AK66" s="3711">
        <f t="shared" si="19"/>
        <v>119.55593205869273</v>
      </c>
      <c r="AL66" s="3711">
        <f t="shared" si="19"/>
        <v>125.53372866162738</v>
      </c>
      <c r="AM66" s="3711">
        <f t="shared" ref="AM66:AU72" si="20">AL66*(1+AM$65)</f>
        <v>125.53372866162738</v>
      </c>
      <c r="AN66" s="3711">
        <f t="shared" si="20"/>
        <v>125.53372866162738</v>
      </c>
      <c r="AO66" s="3711">
        <f t="shared" si="20"/>
        <v>131.81041509470876</v>
      </c>
      <c r="AP66" s="3711">
        <f t="shared" si="20"/>
        <v>131.81041509470876</v>
      </c>
      <c r="AQ66" s="3711">
        <f t="shared" si="20"/>
        <v>131.81041509470876</v>
      </c>
      <c r="AR66" s="3711">
        <f t="shared" si="20"/>
        <v>138.40093584944421</v>
      </c>
      <c r="AS66" s="3711">
        <f t="shared" si="20"/>
        <v>138.40093584944421</v>
      </c>
      <c r="AT66" s="3711">
        <f t="shared" si="20"/>
        <v>138.40093584944421</v>
      </c>
      <c r="AU66" s="3712">
        <f t="shared" si="20"/>
        <v>145.32098264191643</v>
      </c>
      <c r="AV66" s="3641"/>
      <c r="AW66" s="3713"/>
      <c r="AX66" s="3713"/>
      <c r="AY66" s="3713"/>
    </row>
    <row r="67" spans="1:51" ht="16.5">
      <c r="A67" s="3641"/>
      <c r="B67" s="3713" t="s">
        <v>4605</v>
      </c>
      <c r="C67" s="3714"/>
      <c r="D67" s="3641"/>
      <c r="E67" s="3713"/>
      <c r="F67" s="3715">
        <f>G121/10^6</f>
        <v>66.109328696749998</v>
      </c>
      <c r="G67" s="3716">
        <f t="shared" si="18"/>
        <v>66.109328696749998</v>
      </c>
      <c r="H67" s="3716">
        <f t="shared" si="18"/>
        <v>69.414795131587496</v>
      </c>
      <c r="I67" s="3716">
        <f t="shared" si="18"/>
        <v>69.414795131587496</v>
      </c>
      <c r="J67" s="3716">
        <f t="shared" si="18"/>
        <v>69.414795131587496</v>
      </c>
      <c r="K67" s="3716">
        <f t="shared" si="18"/>
        <v>72.885534888166873</v>
      </c>
      <c r="L67" s="3716">
        <f t="shared" si="18"/>
        <v>72.885534888166873</v>
      </c>
      <c r="M67" s="3716">
        <f t="shared" si="18"/>
        <v>72.885534888166873</v>
      </c>
      <c r="N67" s="3716">
        <f t="shared" si="18"/>
        <v>76.529811632575218</v>
      </c>
      <c r="O67" s="3716">
        <f t="shared" si="18"/>
        <v>76.529811632575218</v>
      </c>
      <c r="P67" s="3716">
        <f t="shared" si="18"/>
        <v>76.529811632575218</v>
      </c>
      <c r="Q67" s="3716">
        <f t="shared" si="18"/>
        <v>80.356302214203978</v>
      </c>
      <c r="R67" s="3716">
        <f t="shared" si="18"/>
        <v>80.356302214203978</v>
      </c>
      <c r="S67" s="3716">
        <f t="shared" si="18"/>
        <v>80.356302214203978</v>
      </c>
      <c r="T67" s="3716">
        <f t="shared" si="18"/>
        <v>84.374117324914181</v>
      </c>
      <c r="U67" s="3716">
        <f t="shared" si="18"/>
        <v>84.374117324914181</v>
      </c>
      <c r="V67" s="3716">
        <f t="shared" si="18"/>
        <v>84.374117324914181</v>
      </c>
      <c r="W67" s="3716">
        <f t="shared" si="19"/>
        <v>88.592823191159894</v>
      </c>
      <c r="X67" s="3716">
        <f t="shared" si="19"/>
        <v>88.592823191159894</v>
      </c>
      <c r="Y67" s="3716">
        <f t="shared" si="19"/>
        <v>88.592823191159894</v>
      </c>
      <c r="Z67" s="3716">
        <f t="shared" si="19"/>
        <v>93.022464350717897</v>
      </c>
      <c r="AA67" s="3716">
        <f t="shared" si="19"/>
        <v>93.022464350717897</v>
      </c>
      <c r="AB67" s="3716">
        <f t="shared" si="19"/>
        <v>93.022464350717897</v>
      </c>
      <c r="AC67" s="3716">
        <f t="shared" si="19"/>
        <v>97.673587568253794</v>
      </c>
      <c r="AD67" s="3716">
        <f t="shared" si="19"/>
        <v>97.673587568253794</v>
      </c>
      <c r="AE67" s="3716">
        <f t="shared" si="19"/>
        <v>97.673587568253794</v>
      </c>
      <c r="AF67" s="3716">
        <f t="shared" si="19"/>
        <v>102.55726694666649</v>
      </c>
      <c r="AG67" s="3716">
        <f t="shared" si="19"/>
        <v>102.55726694666649</v>
      </c>
      <c r="AH67" s="3716">
        <f t="shared" si="19"/>
        <v>102.55726694666649</v>
      </c>
      <c r="AI67" s="3716">
        <f t="shared" si="19"/>
        <v>107.68513029399982</v>
      </c>
      <c r="AJ67" s="3716">
        <f t="shared" si="19"/>
        <v>107.68513029399982</v>
      </c>
      <c r="AK67" s="3716">
        <f t="shared" si="19"/>
        <v>107.68513029399982</v>
      </c>
      <c r="AL67" s="3716">
        <f t="shared" si="19"/>
        <v>113.06938680869982</v>
      </c>
      <c r="AM67" s="3716">
        <f t="shared" si="20"/>
        <v>113.06938680869982</v>
      </c>
      <c r="AN67" s="3716">
        <f t="shared" si="20"/>
        <v>113.06938680869982</v>
      </c>
      <c r="AO67" s="3716">
        <f t="shared" si="20"/>
        <v>118.72285614913481</v>
      </c>
      <c r="AP67" s="3716">
        <f t="shared" si="20"/>
        <v>118.72285614913481</v>
      </c>
      <c r="AQ67" s="3716">
        <f t="shared" si="20"/>
        <v>118.72285614913481</v>
      </c>
      <c r="AR67" s="3716">
        <f t="shared" si="20"/>
        <v>124.65899895659156</v>
      </c>
      <c r="AS67" s="3716">
        <f t="shared" si="20"/>
        <v>124.65899895659156</v>
      </c>
      <c r="AT67" s="3716">
        <f t="shared" si="20"/>
        <v>124.65899895659156</v>
      </c>
      <c r="AU67" s="3717">
        <f t="shared" si="20"/>
        <v>130.89194890442116</v>
      </c>
      <c r="AV67" s="3641"/>
      <c r="AW67" s="3713"/>
      <c r="AX67" s="3713"/>
      <c r="AY67" s="3713"/>
    </row>
    <row r="68" spans="1:51" ht="16.5">
      <c r="A68" s="3641"/>
      <c r="B68" s="3713" t="s">
        <v>4606</v>
      </c>
      <c r="C68" s="3714"/>
      <c r="D68" s="3641"/>
      <c r="E68" s="3713"/>
      <c r="F68" s="3715">
        <f>I121/10^6</f>
        <v>58.717576984200001</v>
      </c>
      <c r="G68" s="3716">
        <f t="shared" si="18"/>
        <v>58.717576984200001</v>
      </c>
      <c r="H68" s="3716">
        <f t="shared" si="18"/>
        <v>61.653455833410007</v>
      </c>
      <c r="I68" s="3716">
        <f t="shared" si="18"/>
        <v>61.653455833410007</v>
      </c>
      <c r="J68" s="3716">
        <f t="shared" si="18"/>
        <v>61.653455833410007</v>
      </c>
      <c r="K68" s="3716">
        <f t="shared" si="18"/>
        <v>64.736128625080511</v>
      </c>
      <c r="L68" s="3716">
        <f t="shared" si="18"/>
        <v>64.736128625080511</v>
      </c>
      <c r="M68" s="3716">
        <f t="shared" si="18"/>
        <v>64.736128625080511</v>
      </c>
      <c r="N68" s="3716">
        <f t="shared" si="18"/>
        <v>67.972935056334535</v>
      </c>
      <c r="O68" s="3716">
        <f t="shared" si="18"/>
        <v>67.972935056334535</v>
      </c>
      <c r="P68" s="3716">
        <f t="shared" si="18"/>
        <v>67.972935056334535</v>
      </c>
      <c r="Q68" s="3716">
        <f t="shared" si="18"/>
        <v>71.371581809151266</v>
      </c>
      <c r="R68" s="3716">
        <f t="shared" si="18"/>
        <v>71.371581809151266</v>
      </c>
      <c r="S68" s="3716">
        <f t="shared" si="18"/>
        <v>71.371581809151266</v>
      </c>
      <c r="T68" s="3716">
        <f t="shared" si="18"/>
        <v>74.940160899608827</v>
      </c>
      <c r="U68" s="3716">
        <f t="shared" si="18"/>
        <v>74.940160899608827</v>
      </c>
      <c r="V68" s="3716">
        <f t="shared" si="18"/>
        <v>74.940160899608827</v>
      </c>
      <c r="W68" s="3716">
        <f t="shared" si="19"/>
        <v>78.687168944589274</v>
      </c>
      <c r="X68" s="3716">
        <f t="shared" si="19"/>
        <v>78.687168944589274</v>
      </c>
      <c r="Y68" s="3716">
        <f t="shared" si="19"/>
        <v>78.687168944589274</v>
      </c>
      <c r="Z68" s="3716">
        <f t="shared" si="19"/>
        <v>82.621527391818745</v>
      </c>
      <c r="AA68" s="3716">
        <f t="shared" si="19"/>
        <v>82.621527391818745</v>
      </c>
      <c r="AB68" s="3716">
        <f t="shared" si="19"/>
        <v>82.621527391818745</v>
      </c>
      <c r="AC68" s="3716">
        <f t="shared" si="19"/>
        <v>86.752603761409688</v>
      </c>
      <c r="AD68" s="3716">
        <f t="shared" si="19"/>
        <v>86.752603761409688</v>
      </c>
      <c r="AE68" s="3716">
        <f t="shared" si="19"/>
        <v>86.752603761409688</v>
      </c>
      <c r="AF68" s="3716">
        <f t="shared" si="19"/>
        <v>91.090233949480179</v>
      </c>
      <c r="AG68" s="3716">
        <f t="shared" si="19"/>
        <v>91.090233949480179</v>
      </c>
      <c r="AH68" s="3716">
        <f t="shared" si="19"/>
        <v>91.090233949480179</v>
      </c>
      <c r="AI68" s="3716">
        <f t="shared" si="19"/>
        <v>95.644745646954192</v>
      </c>
      <c r="AJ68" s="3716">
        <f t="shared" si="19"/>
        <v>95.644745646954192</v>
      </c>
      <c r="AK68" s="3716">
        <f t="shared" si="19"/>
        <v>95.644745646954192</v>
      </c>
      <c r="AL68" s="3716">
        <f t="shared" si="19"/>
        <v>100.4269829293019</v>
      </c>
      <c r="AM68" s="3716">
        <f t="shared" si="20"/>
        <v>100.4269829293019</v>
      </c>
      <c r="AN68" s="3716">
        <f t="shared" si="20"/>
        <v>100.4269829293019</v>
      </c>
      <c r="AO68" s="3716">
        <f t="shared" si="20"/>
        <v>105.448332075767</v>
      </c>
      <c r="AP68" s="3716">
        <f t="shared" si="20"/>
        <v>105.448332075767</v>
      </c>
      <c r="AQ68" s="3716">
        <f t="shared" si="20"/>
        <v>105.448332075767</v>
      </c>
      <c r="AR68" s="3716">
        <f t="shared" si="20"/>
        <v>110.72074867955536</v>
      </c>
      <c r="AS68" s="3716">
        <f t="shared" si="20"/>
        <v>110.72074867955536</v>
      </c>
      <c r="AT68" s="3716">
        <f t="shared" si="20"/>
        <v>110.72074867955536</v>
      </c>
      <c r="AU68" s="3717">
        <f t="shared" si="20"/>
        <v>116.25678611353312</v>
      </c>
      <c r="AV68" s="3641"/>
      <c r="AW68" s="3713"/>
      <c r="AX68" s="3713"/>
      <c r="AY68" s="3713"/>
    </row>
    <row r="69" spans="1:51" ht="16.5">
      <c r="A69" s="3641"/>
      <c r="B69" s="3713" t="s">
        <v>4607</v>
      </c>
      <c r="C69" s="3714"/>
      <c r="D69" s="3641"/>
      <c r="E69" s="3713"/>
      <c r="F69" s="3715">
        <f>K121/10^6</f>
        <v>48.723095795399999</v>
      </c>
      <c r="G69" s="3716">
        <f t="shared" si="18"/>
        <v>48.723095795399999</v>
      </c>
      <c r="H69" s="3716">
        <f t="shared" si="18"/>
        <v>51.15925058517</v>
      </c>
      <c r="I69" s="3716">
        <f t="shared" si="18"/>
        <v>51.15925058517</v>
      </c>
      <c r="J69" s="3716">
        <f t="shared" si="18"/>
        <v>51.15925058517</v>
      </c>
      <c r="K69" s="3716">
        <f t="shared" si="18"/>
        <v>53.717213114428503</v>
      </c>
      <c r="L69" s="3716">
        <f t="shared" si="18"/>
        <v>53.717213114428503</v>
      </c>
      <c r="M69" s="3716">
        <f t="shared" si="18"/>
        <v>53.717213114428503</v>
      </c>
      <c r="N69" s="3716">
        <f t="shared" si="18"/>
        <v>56.403073770149931</v>
      </c>
      <c r="O69" s="3716">
        <f t="shared" si="18"/>
        <v>56.403073770149931</v>
      </c>
      <c r="P69" s="3716">
        <f t="shared" si="18"/>
        <v>56.403073770149931</v>
      </c>
      <c r="Q69" s="3716">
        <f t="shared" si="18"/>
        <v>59.223227458657426</v>
      </c>
      <c r="R69" s="3716">
        <f t="shared" si="18"/>
        <v>59.223227458657426</v>
      </c>
      <c r="S69" s="3716">
        <f t="shared" si="18"/>
        <v>59.223227458657426</v>
      </c>
      <c r="T69" s="3716">
        <f t="shared" si="18"/>
        <v>62.184388831590297</v>
      </c>
      <c r="U69" s="3716">
        <f t="shared" si="18"/>
        <v>62.184388831590297</v>
      </c>
      <c r="V69" s="3716">
        <f t="shared" si="18"/>
        <v>62.184388831590297</v>
      </c>
      <c r="W69" s="3716">
        <f t="shared" si="19"/>
        <v>65.293608273169809</v>
      </c>
      <c r="X69" s="3716">
        <f t="shared" si="19"/>
        <v>65.293608273169809</v>
      </c>
      <c r="Y69" s="3716">
        <f t="shared" si="19"/>
        <v>65.293608273169809</v>
      </c>
      <c r="Z69" s="3716">
        <f t="shared" si="19"/>
        <v>68.558288686828305</v>
      </c>
      <c r="AA69" s="3716">
        <f t="shared" si="19"/>
        <v>68.558288686828305</v>
      </c>
      <c r="AB69" s="3716">
        <f t="shared" si="19"/>
        <v>68.558288686828305</v>
      </c>
      <c r="AC69" s="3716">
        <f t="shared" si="19"/>
        <v>71.986203121169723</v>
      </c>
      <c r="AD69" s="3716">
        <f t="shared" si="19"/>
        <v>71.986203121169723</v>
      </c>
      <c r="AE69" s="3716">
        <f t="shared" si="19"/>
        <v>71.986203121169723</v>
      </c>
      <c r="AF69" s="3716">
        <f t="shared" si="19"/>
        <v>75.585513277228216</v>
      </c>
      <c r="AG69" s="3716">
        <f t="shared" si="19"/>
        <v>75.585513277228216</v>
      </c>
      <c r="AH69" s="3716">
        <f t="shared" si="19"/>
        <v>75.585513277228216</v>
      </c>
      <c r="AI69" s="3716">
        <f t="shared" si="19"/>
        <v>79.364788941089628</v>
      </c>
      <c r="AJ69" s="3716">
        <f t="shared" si="19"/>
        <v>79.364788941089628</v>
      </c>
      <c r="AK69" s="3716">
        <f t="shared" si="19"/>
        <v>79.364788941089628</v>
      </c>
      <c r="AL69" s="3716">
        <f t="shared" si="19"/>
        <v>83.333028388144115</v>
      </c>
      <c r="AM69" s="3716">
        <f t="shared" si="20"/>
        <v>83.333028388144115</v>
      </c>
      <c r="AN69" s="3716">
        <f t="shared" si="20"/>
        <v>83.333028388144115</v>
      </c>
      <c r="AO69" s="3716">
        <f t="shared" si="20"/>
        <v>87.499679807551331</v>
      </c>
      <c r="AP69" s="3716">
        <f t="shared" si="20"/>
        <v>87.499679807551331</v>
      </c>
      <c r="AQ69" s="3716">
        <f t="shared" si="20"/>
        <v>87.499679807551331</v>
      </c>
      <c r="AR69" s="3716">
        <f t="shared" si="20"/>
        <v>91.874663797928903</v>
      </c>
      <c r="AS69" s="3716">
        <f t="shared" si="20"/>
        <v>91.874663797928903</v>
      </c>
      <c r="AT69" s="3716">
        <f t="shared" si="20"/>
        <v>91.874663797928903</v>
      </c>
      <c r="AU69" s="3717">
        <f t="shared" si="20"/>
        <v>96.468396987825358</v>
      </c>
      <c r="AV69" s="3641"/>
      <c r="AW69" s="3713"/>
      <c r="AX69" s="3713"/>
      <c r="AY69" s="3713"/>
    </row>
    <row r="70" spans="1:51" ht="16.5">
      <c r="A70" s="3641"/>
      <c r="B70" s="3713" t="s">
        <v>4630</v>
      </c>
      <c r="C70" s="3714"/>
      <c r="D70" s="3641"/>
      <c r="E70" s="3713"/>
      <c r="F70" s="3715">
        <f>M121/10^6</f>
        <v>33.106718937899998</v>
      </c>
      <c r="G70" s="3716">
        <f t="shared" si="18"/>
        <v>33.106718937899998</v>
      </c>
      <c r="H70" s="3716">
        <f t="shared" si="18"/>
        <v>34.762054884794999</v>
      </c>
      <c r="I70" s="3716">
        <f t="shared" si="18"/>
        <v>34.762054884794999</v>
      </c>
      <c r="J70" s="3716">
        <f t="shared" si="18"/>
        <v>34.762054884794999</v>
      </c>
      <c r="K70" s="3716">
        <f t="shared" si="18"/>
        <v>36.500157629034753</v>
      </c>
      <c r="L70" s="3716">
        <f t="shared" si="18"/>
        <v>36.500157629034753</v>
      </c>
      <c r="M70" s="3716">
        <f t="shared" si="18"/>
        <v>36.500157629034753</v>
      </c>
      <c r="N70" s="3716">
        <f t="shared" si="18"/>
        <v>38.325165510486492</v>
      </c>
      <c r="O70" s="3716">
        <f t="shared" si="18"/>
        <v>38.325165510486492</v>
      </c>
      <c r="P70" s="3716">
        <f t="shared" si="18"/>
        <v>38.325165510486492</v>
      </c>
      <c r="Q70" s="3716">
        <f t="shared" si="18"/>
        <v>40.24142378601082</v>
      </c>
      <c r="R70" s="3716">
        <f t="shared" si="18"/>
        <v>40.24142378601082</v>
      </c>
      <c r="S70" s="3716">
        <f t="shared" si="18"/>
        <v>40.24142378601082</v>
      </c>
      <c r="T70" s="3716">
        <f t="shared" si="18"/>
        <v>42.253494975311362</v>
      </c>
      <c r="U70" s="3716">
        <f t="shared" si="18"/>
        <v>42.253494975311362</v>
      </c>
      <c r="V70" s="3716">
        <f t="shared" si="18"/>
        <v>42.253494975311362</v>
      </c>
      <c r="W70" s="3716">
        <f t="shared" si="19"/>
        <v>44.366169724076933</v>
      </c>
      <c r="X70" s="3716">
        <f t="shared" si="19"/>
        <v>44.366169724076933</v>
      </c>
      <c r="Y70" s="3716">
        <f t="shared" si="19"/>
        <v>44.366169724076933</v>
      </c>
      <c r="Z70" s="3716">
        <f t="shared" si="19"/>
        <v>46.584478210280778</v>
      </c>
      <c r="AA70" s="3716">
        <f t="shared" si="19"/>
        <v>46.584478210280778</v>
      </c>
      <c r="AB70" s="3716">
        <f t="shared" si="19"/>
        <v>46.584478210280778</v>
      </c>
      <c r="AC70" s="3716">
        <f t="shared" si="19"/>
        <v>48.913702120794817</v>
      </c>
      <c r="AD70" s="3716">
        <f t="shared" si="19"/>
        <v>48.913702120794817</v>
      </c>
      <c r="AE70" s="3716">
        <f t="shared" si="19"/>
        <v>48.913702120794817</v>
      </c>
      <c r="AF70" s="3716">
        <f t="shared" si="19"/>
        <v>51.359387226834556</v>
      </c>
      <c r="AG70" s="3716">
        <f t="shared" si="19"/>
        <v>51.359387226834556</v>
      </c>
      <c r="AH70" s="3716">
        <f t="shared" si="19"/>
        <v>51.359387226834556</v>
      </c>
      <c r="AI70" s="3716">
        <f t="shared" si="19"/>
        <v>53.927356588176288</v>
      </c>
      <c r="AJ70" s="3716">
        <f t="shared" si="19"/>
        <v>53.927356588176288</v>
      </c>
      <c r="AK70" s="3716">
        <f t="shared" si="19"/>
        <v>53.927356588176288</v>
      </c>
      <c r="AL70" s="3716">
        <f t="shared" si="19"/>
        <v>56.623724417585102</v>
      </c>
      <c r="AM70" s="3716">
        <f t="shared" si="20"/>
        <v>56.623724417585102</v>
      </c>
      <c r="AN70" s="3716">
        <f t="shared" si="20"/>
        <v>56.623724417585102</v>
      </c>
      <c r="AO70" s="3716">
        <f t="shared" si="20"/>
        <v>59.454910638464362</v>
      </c>
      <c r="AP70" s="3716">
        <f t="shared" si="20"/>
        <v>59.454910638464362</v>
      </c>
      <c r="AQ70" s="3716">
        <f t="shared" si="20"/>
        <v>59.454910638464362</v>
      </c>
      <c r="AR70" s="3716">
        <f t="shared" si="20"/>
        <v>62.427656170387586</v>
      </c>
      <c r="AS70" s="3716">
        <f t="shared" si="20"/>
        <v>62.427656170387586</v>
      </c>
      <c r="AT70" s="3716">
        <f t="shared" si="20"/>
        <v>62.427656170387586</v>
      </c>
      <c r="AU70" s="3717">
        <f t="shared" si="20"/>
        <v>65.549038978906964</v>
      </c>
      <c r="AV70" s="3641"/>
      <c r="AW70" s="3713"/>
      <c r="AX70" s="3713"/>
      <c r="AY70" s="3713"/>
    </row>
    <row r="71" spans="1:51" ht="16.5">
      <c r="A71" s="3641"/>
      <c r="B71" s="3713" t="s">
        <v>4631</v>
      </c>
      <c r="C71" s="3714"/>
      <c r="D71" s="3641"/>
      <c r="E71" s="3713"/>
      <c r="F71" s="3715">
        <f>O121/10^6</f>
        <v>29.202624723525002</v>
      </c>
      <c r="G71" s="3716">
        <f t="shared" si="18"/>
        <v>29.202624723525002</v>
      </c>
      <c r="H71" s="3716">
        <f t="shared" si="18"/>
        <v>30.662755959701254</v>
      </c>
      <c r="I71" s="3716">
        <f t="shared" si="18"/>
        <v>30.662755959701254</v>
      </c>
      <c r="J71" s="3716">
        <f t="shared" si="18"/>
        <v>30.662755959701254</v>
      </c>
      <c r="K71" s="3716">
        <f t="shared" si="18"/>
        <v>32.195893757686321</v>
      </c>
      <c r="L71" s="3716">
        <f t="shared" si="18"/>
        <v>32.195893757686321</v>
      </c>
      <c r="M71" s="3716">
        <f t="shared" si="18"/>
        <v>32.195893757686321</v>
      </c>
      <c r="N71" s="3716">
        <f t="shared" si="18"/>
        <v>33.805688445570638</v>
      </c>
      <c r="O71" s="3716">
        <f t="shared" si="18"/>
        <v>33.805688445570638</v>
      </c>
      <c r="P71" s="3716">
        <f t="shared" si="18"/>
        <v>33.805688445570638</v>
      </c>
      <c r="Q71" s="3716">
        <f t="shared" si="18"/>
        <v>35.495972867849169</v>
      </c>
      <c r="R71" s="3716">
        <f t="shared" si="18"/>
        <v>35.495972867849169</v>
      </c>
      <c r="S71" s="3716">
        <f t="shared" si="18"/>
        <v>35.495972867849169</v>
      </c>
      <c r="T71" s="3716">
        <f t="shared" si="18"/>
        <v>37.270771511241627</v>
      </c>
      <c r="U71" s="3716">
        <f t="shared" si="18"/>
        <v>37.270771511241627</v>
      </c>
      <c r="V71" s="3716">
        <f t="shared" si="18"/>
        <v>37.270771511241627</v>
      </c>
      <c r="W71" s="3716">
        <f t="shared" si="19"/>
        <v>39.134310086803708</v>
      </c>
      <c r="X71" s="3716">
        <f t="shared" si="19"/>
        <v>39.134310086803708</v>
      </c>
      <c r="Y71" s="3716">
        <f t="shared" si="19"/>
        <v>39.134310086803708</v>
      </c>
      <c r="Z71" s="3716">
        <f t="shared" si="19"/>
        <v>41.091025591143897</v>
      </c>
      <c r="AA71" s="3716">
        <f t="shared" si="19"/>
        <v>41.091025591143897</v>
      </c>
      <c r="AB71" s="3716">
        <f t="shared" si="19"/>
        <v>41.091025591143897</v>
      </c>
      <c r="AC71" s="3716">
        <f t="shared" si="19"/>
        <v>43.145576870701092</v>
      </c>
      <c r="AD71" s="3716">
        <f t="shared" si="19"/>
        <v>43.145576870701092</v>
      </c>
      <c r="AE71" s="3716">
        <f t="shared" si="19"/>
        <v>43.145576870701092</v>
      </c>
      <c r="AF71" s="3716">
        <f t="shared" si="19"/>
        <v>45.302855714236145</v>
      </c>
      <c r="AG71" s="3716">
        <f t="shared" si="19"/>
        <v>45.302855714236145</v>
      </c>
      <c r="AH71" s="3716">
        <f t="shared" si="19"/>
        <v>45.302855714236145</v>
      </c>
      <c r="AI71" s="3716">
        <f t="shared" si="19"/>
        <v>47.567998499947954</v>
      </c>
      <c r="AJ71" s="3716">
        <f t="shared" si="19"/>
        <v>47.567998499947954</v>
      </c>
      <c r="AK71" s="3716">
        <f t="shared" si="19"/>
        <v>47.567998499947954</v>
      </c>
      <c r="AL71" s="3716">
        <f t="shared" si="19"/>
        <v>49.946398424945357</v>
      </c>
      <c r="AM71" s="3716">
        <f t="shared" si="20"/>
        <v>49.946398424945357</v>
      </c>
      <c r="AN71" s="3716">
        <f t="shared" si="20"/>
        <v>49.946398424945357</v>
      </c>
      <c r="AO71" s="3716">
        <f t="shared" si="20"/>
        <v>52.443718346192625</v>
      </c>
      <c r="AP71" s="3716">
        <f t="shared" si="20"/>
        <v>52.443718346192625</v>
      </c>
      <c r="AQ71" s="3716">
        <f t="shared" si="20"/>
        <v>52.443718346192625</v>
      </c>
      <c r="AR71" s="3716">
        <f t="shared" si="20"/>
        <v>55.065904263502262</v>
      </c>
      <c r="AS71" s="3716">
        <f t="shared" si="20"/>
        <v>55.065904263502262</v>
      </c>
      <c r="AT71" s="3716">
        <f t="shared" si="20"/>
        <v>55.065904263502262</v>
      </c>
      <c r="AU71" s="3717">
        <f t="shared" si="20"/>
        <v>57.819199476677376</v>
      </c>
      <c r="AV71" s="3641"/>
      <c r="AW71" s="3713"/>
      <c r="AX71" s="3713"/>
      <c r="AY71" s="3713"/>
    </row>
    <row r="72" spans="1:51" ht="16.5">
      <c r="A72" s="3641"/>
      <c r="B72" s="3713" t="s">
        <v>4632</v>
      </c>
      <c r="C72" s="3714"/>
      <c r="D72" s="3641"/>
      <c r="E72" s="3713"/>
      <c r="F72" s="3715">
        <f>Q121/10^6</f>
        <v>25.298530509149998</v>
      </c>
      <c r="G72" s="3716">
        <f t="shared" si="18"/>
        <v>25.298530509149998</v>
      </c>
      <c r="H72" s="3716">
        <f t="shared" si="18"/>
        <v>26.563457034607499</v>
      </c>
      <c r="I72" s="3716">
        <f t="shared" si="18"/>
        <v>26.563457034607499</v>
      </c>
      <c r="J72" s="3716">
        <f t="shared" si="18"/>
        <v>26.563457034607499</v>
      </c>
      <c r="K72" s="3716">
        <f t="shared" si="18"/>
        <v>27.891629886337874</v>
      </c>
      <c r="L72" s="3716">
        <f t="shared" si="18"/>
        <v>27.891629886337874</v>
      </c>
      <c r="M72" s="3716">
        <f t="shared" si="18"/>
        <v>27.891629886337874</v>
      </c>
      <c r="N72" s="3716">
        <f t="shared" si="18"/>
        <v>29.28621138065477</v>
      </c>
      <c r="O72" s="3716">
        <f t="shared" si="18"/>
        <v>29.28621138065477</v>
      </c>
      <c r="P72" s="3716">
        <f t="shared" si="18"/>
        <v>29.28621138065477</v>
      </c>
      <c r="Q72" s="3716">
        <f t="shared" si="18"/>
        <v>30.75052194968751</v>
      </c>
      <c r="R72" s="3716">
        <f t="shared" si="18"/>
        <v>30.75052194968751</v>
      </c>
      <c r="S72" s="3716">
        <f t="shared" si="18"/>
        <v>30.75052194968751</v>
      </c>
      <c r="T72" s="3716">
        <f t="shared" si="18"/>
        <v>32.288048047171884</v>
      </c>
      <c r="U72" s="3716">
        <f t="shared" si="18"/>
        <v>32.288048047171884</v>
      </c>
      <c r="V72" s="3716">
        <f t="shared" si="18"/>
        <v>32.288048047171884</v>
      </c>
      <c r="W72" s="3716">
        <f t="shared" si="19"/>
        <v>33.902450449530477</v>
      </c>
      <c r="X72" s="3716">
        <f t="shared" si="19"/>
        <v>33.902450449530477</v>
      </c>
      <c r="Y72" s="3716">
        <f t="shared" si="19"/>
        <v>33.902450449530477</v>
      </c>
      <c r="Z72" s="3716">
        <f t="shared" si="19"/>
        <v>35.597572972007001</v>
      </c>
      <c r="AA72" s="3716">
        <f t="shared" si="19"/>
        <v>35.597572972007001</v>
      </c>
      <c r="AB72" s="3716">
        <f t="shared" si="19"/>
        <v>35.597572972007001</v>
      </c>
      <c r="AC72" s="3716">
        <f t="shared" si="19"/>
        <v>37.377451620607353</v>
      </c>
      <c r="AD72" s="3716">
        <f t="shared" si="19"/>
        <v>37.377451620607353</v>
      </c>
      <c r="AE72" s="3716">
        <f t="shared" si="19"/>
        <v>37.377451620607353</v>
      </c>
      <c r="AF72" s="3716">
        <f t="shared" si="19"/>
        <v>39.246324201637719</v>
      </c>
      <c r="AG72" s="3716">
        <f t="shared" si="19"/>
        <v>39.246324201637719</v>
      </c>
      <c r="AH72" s="3716">
        <f t="shared" si="19"/>
        <v>39.246324201637719</v>
      </c>
      <c r="AI72" s="3716">
        <f t="shared" si="19"/>
        <v>41.208640411719607</v>
      </c>
      <c r="AJ72" s="3716">
        <f t="shared" si="19"/>
        <v>41.208640411719607</v>
      </c>
      <c r="AK72" s="3716">
        <f t="shared" si="19"/>
        <v>41.208640411719607</v>
      </c>
      <c r="AL72" s="3716">
        <f t="shared" si="19"/>
        <v>43.269072432305592</v>
      </c>
      <c r="AM72" s="3716">
        <f t="shared" si="20"/>
        <v>43.269072432305592</v>
      </c>
      <c r="AN72" s="3716">
        <f t="shared" si="20"/>
        <v>43.269072432305592</v>
      </c>
      <c r="AO72" s="3716">
        <f t="shared" si="20"/>
        <v>45.432526053920874</v>
      </c>
      <c r="AP72" s="3716">
        <f t="shared" si="20"/>
        <v>45.432526053920874</v>
      </c>
      <c r="AQ72" s="3716">
        <f t="shared" si="20"/>
        <v>45.432526053920874</v>
      </c>
      <c r="AR72" s="3716">
        <f t="shared" si="20"/>
        <v>47.704152356616923</v>
      </c>
      <c r="AS72" s="3716">
        <f t="shared" si="20"/>
        <v>47.704152356616923</v>
      </c>
      <c r="AT72" s="3716">
        <f t="shared" si="20"/>
        <v>47.704152356616923</v>
      </c>
      <c r="AU72" s="3717">
        <f t="shared" si="20"/>
        <v>50.089359974447774</v>
      </c>
      <c r="AV72" s="3641"/>
      <c r="AW72" s="3713"/>
      <c r="AX72" s="3713"/>
      <c r="AY72" s="3713"/>
    </row>
    <row r="73" spans="1:51" ht="16.5">
      <c r="A73" s="3626" t="s">
        <v>4591</v>
      </c>
      <c r="B73" s="3627" t="s">
        <v>4592</v>
      </c>
      <c r="C73" s="3628"/>
      <c r="D73" s="3629"/>
      <c r="E73" s="3627"/>
      <c r="F73" s="3627"/>
      <c r="G73" s="3627"/>
      <c r="H73" s="3627"/>
      <c r="I73" s="3627"/>
      <c r="J73" s="3627"/>
      <c r="K73" s="3627"/>
      <c r="L73" s="3627"/>
      <c r="M73" s="3627"/>
      <c r="N73" s="3627"/>
      <c r="O73" s="3627"/>
      <c r="P73" s="3627"/>
      <c r="Q73" s="3627"/>
      <c r="R73" s="3627"/>
      <c r="S73" s="3627"/>
      <c r="T73" s="3627"/>
      <c r="U73" s="3627"/>
      <c r="V73" s="3627"/>
      <c r="W73" s="3627"/>
      <c r="X73" s="3627"/>
      <c r="Y73" s="3627"/>
      <c r="Z73" s="3627"/>
      <c r="AA73" s="3627"/>
      <c r="AB73" s="3627"/>
      <c r="AC73" s="3627"/>
      <c r="AD73" s="3627"/>
      <c r="AE73" s="3627"/>
      <c r="AF73" s="3627"/>
      <c r="AG73" s="3627"/>
      <c r="AH73" s="3627"/>
      <c r="AI73" s="3627"/>
      <c r="AJ73" s="3627"/>
      <c r="AK73" s="3627"/>
      <c r="AL73" s="3627"/>
      <c r="AM73" s="3627"/>
      <c r="AN73" s="3627"/>
      <c r="AO73" s="3627"/>
      <c r="AP73" s="3627"/>
      <c r="AQ73" s="3627"/>
      <c r="AR73" s="3627"/>
      <c r="AS73" s="3627"/>
      <c r="AT73" s="3627"/>
      <c r="AU73" s="3630"/>
      <c r="AV73" s="3629"/>
      <c r="AW73" s="3610"/>
      <c r="AX73" s="3610"/>
      <c r="AY73" s="3610"/>
    </row>
    <row r="74" spans="1:51" ht="16.5">
      <c r="A74" s="3632"/>
      <c r="B74" s="3633" t="s">
        <v>4593</v>
      </c>
      <c r="C74" s="3634"/>
      <c r="D74" s="3635"/>
      <c r="E74" s="3633"/>
      <c r="F74" s="3633"/>
      <c r="G74" s="3633"/>
      <c r="H74" s="3633"/>
      <c r="I74" s="3633"/>
      <c r="J74" s="3633"/>
      <c r="K74" s="3633"/>
      <c r="L74" s="3633"/>
      <c r="M74" s="3633"/>
      <c r="N74" s="3633"/>
      <c r="O74" s="3633"/>
      <c r="P74" s="3633"/>
      <c r="Q74" s="3633"/>
      <c r="R74" s="3633"/>
      <c r="S74" s="3633"/>
      <c r="T74" s="3633"/>
      <c r="U74" s="3633"/>
      <c r="V74" s="3633"/>
      <c r="W74" s="3633"/>
      <c r="X74" s="3633"/>
      <c r="Y74" s="3633"/>
      <c r="Z74" s="3633"/>
      <c r="AA74" s="3633"/>
      <c r="AB74" s="3633"/>
      <c r="AC74" s="3633"/>
      <c r="AD74" s="3633"/>
      <c r="AE74" s="3633"/>
      <c r="AF74" s="3633"/>
      <c r="AG74" s="3633"/>
      <c r="AH74" s="3633"/>
      <c r="AI74" s="3633"/>
      <c r="AJ74" s="3633"/>
      <c r="AK74" s="3633"/>
      <c r="AL74" s="3633"/>
      <c r="AM74" s="3633"/>
      <c r="AN74" s="3633"/>
      <c r="AO74" s="3633"/>
      <c r="AP74" s="3633"/>
      <c r="AQ74" s="3633"/>
      <c r="AR74" s="3633"/>
      <c r="AS74" s="3633"/>
      <c r="AT74" s="3633"/>
      <c r="AU74" s="3636"/>
      <c r="AV74" s="3635"/>
      <c r="AW74" s="3610"/>
      <c r="AX74" s="3610"/>
      <c r="AY74" s="3610"/>
    </row>
    <row r="75" spans="1:51" ht="16.5">
      <c r="A75" s="3638"/>
      <c r="B75" s="3610" t="s">
        <v>4594</v>
      </c>
      <c r="C75" s="3611"/>
      <c r="D75" s="3639"/>
      <c r="E75" s="3611"/>
      <c r="F75" s="3718">
        <v>150</v>
      </c>
      <c r="G75" s="3719">
        <f>F75*(1+G$65)</f>
        <v>150</v>
      </c>
      <c r="H75" s="3719">
        <f t="shared" ref="H75:AU76" si="21">G75*(1+H$65)</f>
        <v>157.5</v>
      </c>
      <c r="I75" s="3719">
        <f t="shared" si="21"/>
        <v>157.5</v>
      </c>
      <c r="J75" s="3719">
        <f t="shared" si="21"/>
        <v>157.5</v>
      </c>
      <c r="K75" s="3719">
        <f t="shared" si="21"/>
        <v>165.375</v>
      </c>
      <c r="L75" s="3719">
        <f t="shared" si="21"/>
        <v>165.375</v>
      </c>
      <c r="M75" s="3719">
        <f t="shared" si="21"/>
        <v>165.375</v>
      </c>
      <c r="N75" s="3719">
        <f t="shared" si="21"/>
        <v>173.64375000000001</v>
      </c>
      <c r="O75" s="3719">
        <f t="shared" si="21"/>
        <v>173.64375000000001</v>
      </c>
      <c r="P75" s="3719">
        <f t="shared" si="21"/>
        <v>173.64375000000001</v>
      </c>
      <c r="Q75" s="3719">
        <f t="shared" si="21"/>
        <v>182.32593750000001</v>
      </c>
      <c r="R75" s="3719">
        <f t="shared" si="21"/>
        <v>182.32593750000001</v>
      </c>
      <c r="S75" s="3719">
        <f t="shared" si="21"/>
        <v>182.32593750000001</v>
      </c>
      <c r="T75" s="3719">
        <f t="shared" si="21"/>
        <v>191.44223437500003</v>
      </c>
      <c r="U75" s="3719">
        <f t="shared" si="21"/>
        <v>191.44223437500003</v>
      </c>
      <c r="V75" s="3719">
        <f t="shared" si="21"/>
        <v>191.44223437500003</v>
      </c>
      <c r="W75" s="3719">
        <f t="shared" si="21"/>
        <v>201.01434609375005</v>
      </c>
      <c r="X75" s="3719">
        <f t="shared" si="21"/>
        <v>201.01434609375005</v>
      </c>
      <c r="Y75" s="3719">
        <f t="shared" si="21"/>
        <v>201.01434609375005</v>
      </c>
      <c r="Z75" s="3719">
        <f t="shared" si="21"/>
        <v>211.06506339843756</v>
      </c>
      <c r="AA75" s="3719">
        <f t="shared" si="21"/>
        <v>211.06506339843756</v>
      </c>
      <c r="AB75" s="3719">
        <f t="shared" si="21"/>
        <v>211.06506339843756</v>
      </c>
      <c r="AC75" s="3719">
        <f t="shared" si="21"/>
        <v>221.61831656835943</v>
      </c>
      <c r="AD75" s="3719">
        <f t="shared" si="21"/>
        <v>221.61831656835943</v>
      </c>
      <c r="AE75" s="3719">
        <f t="shared" si="21"/>
        <v>221.61831656835943</v>
      </c>
      <c r="AF75" s="3719">
        <f t="shared" si="21"/>
        <v>232.6992323967774</v>
      </c>
      <c r="AG75" s="3719">
        <f t="shared" si="21"/>
        <v>232.6992323967774</v>
      </c>
      <c r="AH75" s="3719">
        <f t="shared" si="21"/>
        <v>232.6992323967774</v>
      </c>
      <c r="AI75" s="3719">
        <f t="shared" si="21"/>
        <v>244.33419401661629</v>
      </c>
      <c r="AJ75" s="3719">
        <f t="shared" si="21"/>
        <v>244.33419401661629</v>
      </c>
      <c r="AK75" s="3719">
        <f t="shared" si="21"/>
        <v>244.33419401661629</v>
      </c>
      <c r="AL75" s="3719">
        <f t="shared" si="21"/>
        <v>256.55090371744711</v>
      </c>
      <c r="AM75" s="3719">
        <f t="shared" si="21"/>
        <v>256.55090371744711</v>
      </c>
      <c r="AN75" s="3719">
        <f t="shared" si="21"/>
        <v>256.55090371744711</v>
      </c>
      <c r="AO75" s="3719">
        <f t="shared" si="21"/>
        <v>269.37844890331951</v>
      </c>
      <c r="AP75" s="3719">
        <f t="shared" si="21"/>
        <v>269.37844890331951</v>
      </c>
      <c r="AQ75" s="3719">
        <f t="shared" si="21"/>
        <v>269.37844890331951</v>
      </c>
      <c r="AR75" s="3719">
        <f t="shared" si="21"/>
        <v>282.84737134848552</v>
      </c>
      <c r="AS75" s="3719">
        <f t="shared" si="21"/>
        <v>282.84737134848552</v>
      </c>
      <c r="AT75" s="3719">
        <f t="shared" si="21"/>
        <v>282.84737134848552</v>
      </c>
      <c r="AU75" s="3720">
        <f t="shared" si="21"/>
        <v>296.98973991590981</v>
      </c>
      <c r="AV75" s="3655"/>
      <c r="AW75" s="3610"/>
      <c r="AX75" s="3610"/>
      <c r="AY75" s="3610"/>
    </row>
    <row r="76" spans="1:51" ht="16.5">
      <c r="A76" s="3638"/>
      <c r="B76" s="3610" t="s">
        <v>4595</v>
      </c>
      <c r="C76" s="3611"/>
      <c r="D76" s="3639"/>
      <c r="E76" s="3611"/>
      <c r="F76" s="3719"/>
      <c r="G76" s="3719"/>
      <c r="H76" s="3718">
        <v>100</v>
      </c>
      <c r="I76" s="3719">
        <f>H76*(1+I$65)</f>
        <v>100</v>
      </c>
      <c r="J76" s="3719">
        <f t="shared" si="21"/>
        <v>100</v>
      </c>
      <c r="K76" s="3719">
        <f t="shared" si="21"/>
        <v>105</v>
      </c>
      <c r="L76" s="3719">
        <f t="shared" si="21"/>
        <v>105</v>
      </c>
      <c r="M76" s="3719">
        <f t="shared" si="21"/>
        <v>105</v>
      </c>
      <c r="N76" s="3719">
        <f t="shared" si="21"/>
        <v>110.25</v>
      </c>
      <c r="O76" s="3719">
        <f t="shared" si="21"/>
        <v>110.25</v>
      </c>
      <c r="P76" s="3719">
        <f t="shared" si="21"/>
        <v>110.25</v>
      </c>
      <c r="Q76" s="3719">
        <f t="shared" si="21"/>
        <v>115.7625</v>
      </c>
      <c r="R76" s="3719">
        <f t="shared" si="21"/>
        <v>115.7625</v>
      </c>
      <c r="S76" s="3719">
        <f t="shared" si="21"/>
        <v>115.7625</v>
      </c>
      <c r="T76" s="3719">
        <f t="shared" si="21"/>
        <v>121.55062500000001</v>
      </c>
      <c r="U76" s="3719">
        <f t="shared" si="21"/>
        <v>121.55062500000001</v>
      </c>
      <c r="V76" s="3719">
        <f t="shared" si="21"/>
        <v>121.55062500000001</v>
      </c>
      <c r="W76" s="3719">
        <f t="shared" si="21"/>
        <v>127.62815625000002</v>
      </c>
      <c r="X76" s="3719">
        <f t="shared" si="21"/>
        <v>127.62815625000002</v>
      </c>
      <c r="Y76" s="3719">
        <f t="shared" si="21"/>
        <v>127.62815625000002</v>
      </c>
      <c r="Z76" s="3719">
        <f t="shared" si="21"/>
        <v>134.00956406250003</v>
      </c>
      <c r="AA76" s="3719">
        <f t="shared" si="21"/>
        <v>134.00956406250003</v>
      </c>
      <c r="AB76" s="3719">
        <f t="shared" si="21"/>
        <v>134.00956406250003</v>
      </c>
      <c r="AC76" s="3719">
        <f t="shared" si="21"/>
        <v>140.71004226562505</v>
      </c>
      <c r="AD76" s="3719">
        <f t="shared" si="21"/>
        <v>140.71004226562505</v>
      </c>
      <c r="AE76" s="3719">
        <f t="shared" si="21"/>
        <v>140.71004226562505</v>
      </c>
      <c r="AF76" s="3719">
        <f t="shared" si="21"/>
        <v>147.74554437890632</v>
      </c>
      <c r="AG76" s="3719">
        <f t="shared" si="21"/>
        <v>147.74554437890632</v>
      </c>
      <c r="AH76" s="3719">
        <f t="shared" si="21"/>
        <v>147.74554437890632</v>
      </c>
      <c r="AI76" s="3719">
        <f t="shared" si="21"/>
        <v>155.13282159785163</v>
      </c>
      <c r="AJ76" s="3719">
        <f t="shared" si="21"/>
        <v>155.13282159785163</v>
      </c>
      <c r="AK76" s="3719">
        <f t="shared" si="21"/>
        <v>155.13282159785163</v>
      </c>
      <c r="AL76" s="3719">
        <f t="shared" si="21"/>
        <v>162.88946267774421</v>
      </c>
      <c r="AM76" s="3719">
        <f t="shared" si="21"/>
        <v>162.88946267774421</v>
      </c>
      <c r="AN76" s="3719">
        <f t="shared" si="21"/>
        <v>162.88946267774421</v>
      </c>
      <c r="AO76" s="3719">
        <f t="shared" si="21"/>
        <v>171.03393581163144</v>
      </c>
      <c r="AP76" s="3719">
        <f t="shared" si="21"/>
        <v>171.03393581163144</v>
      </c>
      <c r="AQ76" s="3719">
        <f t="shared" si="21"/>
        <v>171.03393581163144</v>
      </c>
      <c r="AR76" s="3719">
        <f t="shared" si="21"/>
        <v>179.58563260221302</v>
      </c>
      <c r="AS76" s="3719">
        <f t="shared" si="21"/>
        <v>179.58563260221302</v>
      </c>
      <c r="AT76" s="3719">
        <f t="shared" si="21"/>
        <v>179.58563260221302</v>
      </c>
      <c r="AU76" s="3720">
        <f t="shared" si="21"/>
        <v>188.56491423232367</v>
      </c>
      <c r="AV76" s="3655"/>
      <c r="AW76" s="3610"/>
      <c r="AX76" s="3610"/>
      <c r="AY76" s="3610"/>
    </row>
    <row r="77" spans="1:51" ht="16.5">
      <c r="A77" s="3638"/>
      <c r="B77" s="3643" t="s">
        <v>4596</v>
      </c>
      <c r="C77" s="3644"/>
      <c r="D77" s="3626"/>
      <c r="E77" s="3644"/>
      <c r="F77" s="3721">
        <f>SUM(F78:F82)</f>
        <v>114.83242449215</v>
      </c>
      <c r="G77" s="3721">
        <f t="shared" ref="G77:AU77" si="22">SUM(G78:G82)</f>
        <v>114.83242449215</v>
      </c>
      <c r="H77" s="3721">
        <f t="shared" si="22"/>
        <v>120.5740457167575</v>
      </c>
      <c r="I77" s="3721">
        <f t="shared" si="22"/>
        <v>120.5740457167575</v>
      </c>
      <c r="J77" s="3721">
        <f t="shared" si="22"/>
        <v>138.72027562517252</v>
      </c>
      <c r="K77" s="3721">
        <f t="shared" si="22"/>
        <v>145.65628940643114</v>
      </c>
      <c r="L77" s="3721">
        <f t="shared" si="22"/>
        <v>145.65628940643114</v>
      </c>
      <c r="M77" s="3721">
        <f t="shared" si="22"/>
        <v>145.65628940643114</v>
      </c>
      <c r="N77" s="3721">
        <f t="shared" si="22"/>
        <v>152.93910387675271</v>
      </c>
      <c r="O77" s="3721">
        <f t="shared" si="22"/>
        <v>161.49598045299339</v>
      </c>
      <c r="P77" s="3721">
        <f t="shared" si="22"/>
        <v>161.49598045299339</v>
      </c>
      <c r="Q77" s="3721">
        <f t="shared" si="22"/>
        <v>169.57077947564306</v>
      </c>
      <c r="R77" s="3721">
        <f t="shared" si="22"/>
        <v>169.57077947564306</v>
      </c>
      <c r="S77" s="3721">
        <f t="shared" si="22"/>
        <v>209.81220326165388</v>
      </c>
      <c r="T77" s="3721">
        <f t="shared" si="22"/>
        <v>229.60389722433345</v>
      </c>
      <c r="U77" s="3721">
        <f t="shared" si="22"/>
        <v>229.60389722433345</v>
      </c>
      <c r="V77" s="3721">
        <f t="shared" si="22"/>
        <v>229.60389722433345</v>
      </c>
      <c r="W77" s="3721">
        <f t="shared" si="22"/>
        <v>228.94617772707622</v>
      </c>
      <c r="X77" s="3721">
        <f t="shared" si="22"/>
        <v>228.94617772707622</v>
      </c>
      <c r="Y77" s="3721">
        <f t="shared" si="22"/>
        <v>228.94617772707622</v>
      </c>
      <c r="Z77" s="3721">
        <f t="shared" si="22"/>
        <v>240.39348661343004</v>
      </c>
      <c r="AA77" s="3721">
        <f t="shared" si="22"/>
        <v>240.39348661343004</v>
      </c>
      <c r="AB77" s="3721">
        <f t="shared" si="22"/>
        <v>268.51996402341092</v>
      </c>
      <c r="AC77" s="3721">
        <f t="shared" si="22"/>
        <v>281.94596222458148</v>
      </c>
      <c r="AD77" s="3721">
        <f t="shared" si="22"/>
        <v>281.94596222458148</v>
      </c>
      <c r="AE77" s="3721">
        <f t="shared" si="22"/>
        <v>222.4189096436142</v>
      </c>
      <c r="AF77" s="3721">
        <f t="shared" si="22"/>
        <v>233.53985512579493</v>
      </c>
      <c r="AG77" s="3721">
        <f t="shared" si="22"/>
        <v>256.47392112016752</v>
      </c>
      <c r="AH77" s="3721">
        <f t="shared" si="22"/>
        <v>256.47392112016752</v>
      </c>
      <c r="AI77" s="3721">
        <f t="shared" si="22"/>
        <v>294.73504952908928</v>
      </c>
      <c r="AJ77" s="3721">
        <f t="shared" si="22"/>
        <v>294.73504952908928</v>
      </c>
      <c r="AK77" s="3721">
        <f t="shared" si="22"/>
        <v>294.73504952908928</v>
      </c>
      <c r="AL77" s="3721">
        <f t="shared" si="22"/>
        <v>208.86675704977148</v>
      </c>
      <c r="AM77" s="3721">
        <f t="shared" si="22"/>
        <v>225.96071159092929</v>
      </c>
      <c r="AN77" s="3721">
        <f t="shared" si="22"/>
        <v>225.96071159092929</v>
      </c>
      <c r="AO77" s="3721">
        <f t="shared" si="22"/>
        <v>237.25874717047577</v>
      </c>
      <c r="AP77" s="3721">
        <f t="shared" si="22"/>
        <v>237.25874717047577</v>
      </c>
      <c r="AQ77" s="3721">
        <f t="shared" si="22"/>
        <v>237.25874717047577</v>
      </c>
      <c r="AR77" s="3721">
        <f t="shared" si="22"/>
        <v>263.05993480603576</v>
      </c>
      <c r="AS77" s="3721">
        <f t="shared" si="22"/>
        <v>263.05993480603576</v>
      </c>
      <c r="AT77" s="3721">
        <f t="shared" si="22"/>
        <v>263.05993480603576</v>
      </c>
      <c r="AU77" s="3722">
        <f t="shared" si="22"/>
        <v>276.21293154633759</v>
      </c>
      <c r="AV77" s="3677"/>
      <c r="AW77" s="3609"/>
      <c r="AX77" s="3609"/>
      <c r="AY77" s="3609"/>
    </row>
    <row r="78" spans="1:51" ht="16.5">
      <c r="A78" s="3647"/>
      <c r="B78" s="3648"/>
      <c r="C78" s="3649" t="s">
        <v>4597</v>
      </c>
      <c r="D78" s="3647"/>
      <c r="E78" s="3649"/>
      <c r="F78" s="3723">
        <f t="shared" ref="F78:AU82" si="23">F10*F66</f>
        <v>0</v>
      </c>
      <c r="G78" s="3723">
        <f t="shared" si="23"/>
        <v>0</v>
      </c>
      <c r="H78" s="3723">
        <f t="shared" si="23"/>
        <v>0</v>
      </c>
      <c r="I78" s="3723">
        <f t="shared" si="23"/>
        <v>0</v>
      </c>
      <c r="J78" s="3723">
        <f t="shared" si="23"/>
        <v>77.066819791762512</v>
      </c>
      <c r="K78" s="3723">
        <f t="shared" si="23"/>
        <v>80.920160781350646</v>
      </c>
      <c r="L78" s="3723">
        <f t="shared" si="23"/>
        <v>80.920160781350646</v>
      </c>
      <c r="M78" s="3723">
        <f t="shared" si="23"/>
        <v>80.920160781350646</v>
      </c>
      <c r="N78" s="3723">
        <f t="shared" si="23"/>
        <v>84.966168820418176</v>
      </c>
      <c r="O78" s="3723">
        <f t="shared" si="23"/>
        <v>84.966168820418176</v>
      </c>
      <c r="P78" s="3723">
        <f t="shared" si="23"/>
        <v>84.966168820418176</v>
      </c>
      <c r="Q78" s="3723">
        <f t="shared" si="23"/>
        <v>89.214477261439086</v>
      </c>
      <c r="R78" s="3723">
        <f t="shared" si="23"/>
        <v>89.214477261439086</v>
      </c>
      <c r="S78" s="3723">
        <f t="shared" si="23"/>
        <v>89.214477261439086</v>
      </c>
      <c r="T78" s="3723">
        <f t="shared" si="23"/>
        <v>187.3504022490221</v>
      </c>
      <c r="U78" s="3723">
        <f t="shared" si="23"/>
        <v>187.3504022490221</v>
      </c>
      <c r="V78" s="3723">
        <f t="shared" si="23"/>
        <v>187.3504022490221</v>
      </c>
      <c r="W78" s="3723">
        <f t="shared" si="23"/>
        <v>98.3589611807366</v>
      </c>
      <c r="X78" s="3723">
        <f t="shared" si="23"/>
        <v>98.3589611807366</v>
      </c>
      <c r="Y78" s="3723">
        <f t="shared" si="23"/>
        <v>98.3589611807366</v>
      </c>
      <c r="Z78" s="3723">
        <f t="shared" si="23"/>
        <v>103.27690923977343</v>
      </c>
      <c r="AA78" s="3723">
        <f t="shared" si="23"/>
        <v>103.27690923977343</v>
      </c>
      <c r="AB78" s="3723">
        <f t="shared" si="23"/>
        <v>103.27690923977343</v>
      </c>
      <c r="AC78" s="3723">
        <f t="shared" si="23"/>
        <v>108.4407547017621</v>
      </c>
      <c r="AD78" s="3723">
        <f t="shared" si="23"/>
        <v>108.4407547017621</v>
      </c>
      <c r="AE78" s="3723">
        <f t="shared" si="23"/>
        <v>0</v>
      </c>
      <c r="AF78" s="3723">
        <f t="shared" si="23"/>
        <v>0</v>
      </c>
      <c r="AG78" s="3723">
        <f t="shared" si="23"/>
        <v>0</v>
      </c>
      <c r="AH78" s="3723">
        <f t="shared" si="23"/>
        <v>0</v>
      </c>
      <c r="AI78" s="3723">
        <f t="shared" si="23"/>
        <v>0</v>
      </c>
      <c r="AJ78" s="3723">
        <f t="shared" si="23"/>
        <v>0</v>
      </c>
      <c r="AK78" s="3723">
        <f t="shared" si="23"/>
        <v>0</v>
      </c>
      <c r="AL78" s="3723">
        <f t="shared" si="23"/>
        <v>125.53372866162738</v>
      </c>
      <c r="AM78" s="3723">
        <f t="shared" si="23"/>
        <v>125.53372866162738</v>
      </c>
      <c r="AN78" s="3723">
        <f t="shared" si="23"/>
        <v>125.53372866162738</v>
      </c>
      <c r="AO78" s="3723">
        <f t="shared" si="23"/>
        <v>131.81041509470876</v>
      </c>
      <c r="AP78" s="3723">
        <f t="shared" si="23"/>
        <v>131.81041509470876</v>
      </c>
      <c r="AQ78" s="3723">
        <f t="shared" si="23"/>
        <v>131.81041509470876</v>
      </c>
      <c r="AR78" s="3723">
        <f t="shared" si="23"/>
        <v>138.40093584944421</v>
      </c>
      <c r="AS78" s="3723">
        <f t="shared" si="23"/>
        <v>138.40093584944421</v>
      </c>
      <c r="AT78" s="3723">
        <f t="shared" si="23"/>
        <v>138.40093584944421</v>
      </c>
      <c r="AU78" s="3724">
        <f t="shared" si="23"/>
        <v>145.32098264191643</v>
      </c>
      <c r="AV78" s="3675"/>
      <c r="AW78" s="3648"/>
      <c r="AX78" s="3648"/>
      <c r="AY78" s="3648"/>
    </row>
    <row r="79" spans="1:51" ht="16.5">
      <c r="A79" s="3638"/>
      <c r="B79" s="3652" t="s">
        <v>4598</v>
      </c>
      <c r="C79" s="3611" t="s">
        <v>4599</v>
      </c>
      <c r="D79" s="3639"/>
      <c r="E79" s="3611"/>
      <c r="F79" s="3723">
        <f t="shared" si="23"/>
        <v>66.109328696749998</v>
      </c>
      <c r="G79" s="3723">
        <f t="shared" si="23"/>
        <v>66.109328696749998</v>
      </c>
      <c r="H79" s="3723">
        <f t="shared" si="23"/>
        <v>69.414795131587496</v>
      </c>
      <c r="I79" s="3723">
        <f t="shared" si="23"/>
        <v>69.414795131587496</v>
      </c>
      <c r="J79" s="3723">
        <f t="shared" si="23"/>
        <v>0</v>
      </c>
      <c r="K79" s="3723">
        <f t="shared" si="23"/>
        <v>0</v>
      </c>
      <c r="L79" s="3723">
        <f t="shared" si="23"/>
        <v>0</v>
      </c>
      <c r="M79" s="3725">
        <f t="shared" si="23"/>
        <v>0</v>
      </c>
      <c r="N79" s="3725">
        <f t="shared" si="23"/>
        <v>0</v>
      </c>
      <c r="O79" s="3725">
        <f t="shared" si="23"/>
        <v>76.529811632575218</v>
      </c>
      <c r="P79" s="3725">
        <f t="shared" si="23"/>
        <v>76.529811632575218</v>
      </c>
      <c r="Q79" s="3725">
        <f t="shared" si="23"/>
        <v>80.356302214203978</v>
      </c>
      <c r="R79" s="3725">
        <f t="shared" si="23"/>
        <v>80.356302214203978</v>
      </c>
      <c r="S79" s="3725">
        <f t="shared" si="23"/>
        <v>80.356302214203978</v>
      </c>
      <c r="T79" s="3725">
        <f t="shared" si="23"/>
        <v>0</v>
      </c>
      <c r="U79" s="3725">
        <f t="shared" si="23"/>
        <v>0</v>
      </c>
      <c r="V79" s="3725">
        <f t="shared" si="23"/>
        <v>0</v>
      </c>
      <c r="W79" s="3725">
        <f t="shared" si="23"/>
        <v>0</v>
      </c>
      <c r="X79" s="3725">
        <f t="shared" si="23"/>
        <v>0</v>
      </c>
      <c r="Y79" s="3725">
        <f t="shared" si="23"/>
        <v>0</v>
      </c>
      <c r="Z79" s="3725">
        <f t="shared" si="23"/>
        <v>0</v>
      </c>
      <c r="AA79" s="3725">
        <f t="shared" si="23"/>
        <v>0</v>
      </c>
      <c r="AB79" s="3725">
        <f t="shared" si="23"/>
        <v>0</v>
      </c>
      <c r="AC79" s="3725">
        <f t="shared" si="23"/>
        <v>0</v>
      </c>
      <c r="AD79" s="3725">
        <f t="shared" si="23"/>
        <v>0</v>
      </c>
      <c r="AE79" s="3725">
        <f t="shared" si="23"/>
        <v>0</v>
      </c>
      <c r="AF79" s="3725">
        <f t="shared" si="23"/>
        <v>0</v>
      </c>
      <c r="AG79" s="3725">
        <f t="shared" si="23"/>
        <v>205.11453389333298</v>
      </c>
      <c r="AH79" s="3725">
        <f t="shared" si="23"/>
        <v>205.11453389333298</v>
      </c>
      <c r="AI79" s="3725">
        <f t="shared" si="23"/>
        <v>215.37026058799964</v>
      </c>
      <c r="AJ79" s="3725">
        <f t="shared" si="23"/>
        <v>215.37026058799964</v>
      </c>
      <c r="AK79" s="3725">
        <f t="shared" si="23"/>
        <v>215.37026058799964</v>
      </c>
      <c r="AL79" s="3725">
        <f t="shared" si="23"/>
        <v>0</v>
      </c>
      <c r="AM79" s="3725">
        <f t="shared" si="23"/>
        <v>0</v>
      </c>
      <c r="AN79" s="3725">
        <f t="shared" si="23"/>
        <v>0</v>
      </c>
      <c r="AO79" s="3725">
        <f t="shared" si="23"/>
        <v>0</v>
      </c>
      <c r="AP79" s="3725">
        <f t="shared" si="23"/>
        <v>0</v>
      </c>
      <c r="AQ79" s="3725">
        <f t="shared" si="23"/>
        <v>0</v>
      </c>
      <c r="AR79" s="3725">
        <f t="shared" si="23"/>
        <v>124.65899895659156</v>
      </c>
      <c r="AS79" s="3725">
        <f t="shared" si="23"/>
        <v>124.65899895659156</v>
      </c>
      <c r="AT79" s="3725">
        <f t="shared" si="23"/>
        <v>124.65899895659156</v>
      </c>
      <c r="AU79" s="3726">
        <f t="shared" si="23"/>
        <v>130.89194890442116</v>
      </c>
      <c r="AV79" s="3655" t="s">
        <v>4633</v>
      </c>
      <c r="AW79" s="3610"/>
      <c r="AX79" s="3610"/>
      <c r="AY79" s="3610"/>
    </row>
    <row r="80" spans="1:51" ht="16.5">
      <c r="A80" s="3638"/>
      <c r="B80" s="3652"/>
      <c r="C80" s="3611" t="s">
        <v>4600</v>
      </c>
      <c r="D80" s="3639"/>
      <c r="E80" s="3611"/>
      <c r="F80" s="3723">
        <f t="shared" si="23"/>
        <v>0</v>
      </c>
      <c r="G80" s="3723">
        <f t="shared" si="23"/>
        <v>0</v>
      </c>
      <c r="H80" s="3723">
        <f t="shared" si="23"/>
        <v>0</v>
      </c>
      <c r="I80" s="3723">
        <f t="shared" si="23"/>
        <v>0</v>
      </c>
      <c r="J80" s="3723">
        <f t="shared" si="23"/>
        <v>61.653455833410007</v>
      </c>
      <c r="K80" s="3723">
        <f t="shared" si="23"/>
        <v>64.736128625080511</v>
      </c>
      <c r="L80" s="3723">
        <f t="shared" si="23"/>
        <v>64.736128625080511</v>
      </c>
      <c r="M80" s="3725">
        <f t="shared" si="23"/>
        <v>64.736128625080511</v>
      </c>
      <c r="N80" s="3725">
        <f t="shared" si="23"/>
        <v>67.972935056334535</v>
      </c>
      <c r="O80" s="3725">
        <f t="shared" si="23"/>
        <v>0</v>
      </c>
      <c r="P80" s="3725">
        <f t="shared" si="23"/>
        <v>0</v>
      </c>
      <c r="Q80" s="3725">
        <f t="shared" si="23"/>
        <v>0</v>
      </c>
      <c r="R80" s="3725">
        <f t="shared" si="23"/>
        <v>0</v>
      </c>
      <c r="S80" s="3725">
        <f t="shared" si="23"/>
        <v>0</v>
      </c>
      <c r="T80" s="3725">
        <f t="shared" si="23"/>
        <v>0</v>
      </c>
      <c r="U80" s="3725">
        <f t="shared" si="23"/>
        <v>0</v>
      </c>
      <c r="V80" s="3725">
        <f t="shared" si="23"/>
        <v>0</v>
      </c>
      <c r="W80" s="3725">
        <f t="shared" si="23"/>
        <v>0</v>
      </c>
      <c r="X80" s="3725">
        <f t="shared" si="23"/>
        <v>0</v>
      </c>
      <c r="Y80" s="3725">
        <f t="shared" si="23"/>
        <v>0</v>
      </c>
      <c r="Z80" s="3725">
        <f t="shared" si="23"/>
        <v>0</v>
      </c>
      <c r="AA80" s="3725">
        <f t="shared" si="23"/>
        <v>0</v>
      </c>
      <c r="AB80" s="3725">
        <f t="shared" si="23"/>
        <v>165.24305478363749</v>
      </c>
      <c r="AC80" s="3725">
        <f t="shared" si="23"/>
        <v>173.50520752281938</v>
      </c>
      <c r="AD80" s="3725">
        <f t="shared" si="23"/>
        <v>173.50520752281938</v>
      </c>
      <c r="AE80" s="3725">
        <f t="shared" si="23"/>
        <v>173.50520752281938</v>
      </c>
      <c r="AF80" s="3725">
        <f t="shared" si="23"/>
        <v>182.18046789896036</v>
      </c>
      <c r="AG80" s="3725">
        <f t="shared" si="23"/>
        <v>0</v>
      </c>
      <c r="AH80" s="3725">
        <f t="shared" si="23"/>
        <v>0</v>
      </c>
      <c r="AI80" s="3725">
        <f t="shared" si="23"/>
        <v>0</v>
      </c>
      <c r="AJ80" s="3725">
        <f t="shared" si="23"/>
        <v>0</v>
      </c>
      <c r="AK80" s="3725">
        <f t="shared" si="23"/>
        <v>0</v>
      </c>
      <c r="AL80" s="3725">
        <f t="shared" si="23"/>
        <v>0</v>
      </c>
      <c r="AM80" s="3725">
        <f t="shared" si="23"/>
        <v>100.4269829293019</v>
      </c>
      <c r="AN80" s="3725">
        <f t="shared" si="23"/>
        <v>100.4269829293019</v>
      </c>
      <c r="AO80" s="3725">
        <f t="shared" si="23"/>
        <v>105.448332075767</v>
      </c>
      <c r="AP80" s="3725">
        <f t="shared" si="23"/>
        <v>105.448332075767</v>
      </c>
      <c r="AQ80" s="3725">
        <f t="shared" si="23"/>
        <v>105.448332075767</v>
      </c>
      <c r="AR80" s="3725">
        <f t="shared" si="23"/>
        <v>0</v>
      </c>
      <c r="AS80" s="3725">
        <f t="shared" si="23"/>
        <v>0</v>
      </c>
      <c r="AT80" s="3725">
        <f t="shared" si="23"/>
        <v>0</v>
      </c>
      <c r="AU80" s="3726">
        <f t="shared" si="23"/>
        <v>0</v>
      </c>
      <c r="AV80" s="3655"/>
      <c r="AW80" s="3610"/>
      <c r="AX80" s="3610"/>
      <c r="AY80" s="3610"/>
    </row>
    <row r="81" spans="1:51" ht="16.5">
      <c r="A81" s="3638"/>
      <c r="B81" s="3652"/>
      <c r="C81" s="3611" t="s">
        <v>4634</v>
      </c>
      <c r="D81" s="3639"/>
      <c r="E81" s="3611"/>
      <c r="F81" s="3723">
        <f t="shared" si="23"/>
        <v>48.723095795399999</v>
      </c>
      <c r="G81" s="3723">
        <f t="shared" si="23"/>
        <v>48.723095795399999</v>
      </c>
      <c r="H81" s="3723">
        <f t="shared" si="23"/>
        <v>51.15925058517</v>
      </c>
      <c r="I81" s="3723">
        <f t="shared" si="23"/>
        <v>51.15925058517</v>
      </c>
      <c r="J81" s="3723">
        <f t="shared" si="23"/>
        <v>0</v>
      </c>
      <c r="K81" s="3723">
        <f t="shared" si="23"/>
        <v>0</v>
      </c>
      <c r="L81" s="3723">
        <f t="shared" si="23"/>
        <v>0</v>
      </c>
      <c r="M81" s="3725">
        <f t="shared" si="23"/>
        <v>0</v>
      </c>
      <c r="N81" s="3725">
        <f t="shared" si="23"/>
        <v>0</v>
      </c>
      <c r="O81" s="3725">
        <f t="shared" si="23"/>
        <v>0</v>
      </c>
      <c r="P81" s="3725">
        <f t="shared" si="23"/>
        <v>0</v>
      </c>
      <c r="Q81" s="3725">
        <f t="shared" si="23"/>
        <v>0</v>
      </c>
      <c r="R81" s="3725">
        <f t="shared" si="23"/>
        <v>0</v>
      </c>
      <c r="S81" s="3725">
        <f t="shared" si="23"/>
        <v>0</v>
      </c>
      <c r="T81" s="3725">
        <f t="shared" si="23"/>
        <v>0</v>
      </c>
      <c r="U81" s="3725">
        <f t="shared" si="23"/>
        <v>0</v>
      </c>
      <c r="V81" s="3725">
        <f t="shared" si="23"/>
        <v>0</v>
      </c>
      <c r="W81" s="3725">
        <f t="shared" si="23"/>
        <v>130.58721654633962</v>
      </c>
      <c r="X81" s="3725">
        <f t="shared" si="23"/>
        <v>130.58721654633962</v>
      </c>
      <c r="Y81" s="3725">
        <f t="shared" si="23"/>
        <v>130.58721654633962</v>
      </c>
      <c r="Z81" s="3725">
        <f t="shared" si="23"/>
        <v>137.11657737365661</v>
      </c>
      <c r="AA81" s="3725">
        <f t="shared" si="23"/>
        <v>137.11657737365661</v>
      </c>
      <c r="AB81" s="3725">
        <f t="shared" si="23"/>
        <v>0</v>
      </c>
      <c r="AC81" s="3725">
        <f t="shared" si="23"/>
        <v>0</v>
      </c>
      <c r="AD81" s="3725">
        <f t="shared" si="23"/>
        <v>0</v>
      </c>
      <c r="AE81" s="3725">
        <f t="shared" si="23"/>
        <v>0</v>
      </c>
      <c r="AF81" s="3725">
        <f t="shared" si="23"/>
        <v>0</v>
      </c>
      <c r="AG81" s="3725">
        <f t="shared" si="23"/>
        <v>0</v>
      </c>
      <c r="AH81" s="3725">
        <f t="shared" si="23"/>
        <v>0</v>
      </c>
      <c r="AI81" s="3725">
        <f t="shared" si="23"/>
        <v>79.364788941089628</v>
      </c>
      <c r="AJ81" s="3725">
        <f t="shared" si="23"/>
        <v>79.364788941089628</v>
      </c>
      <c r="AK81" s="3725">
        <f t="shared" si="23"/>
        <v>79.364788941089628</v>
      </c>
      <c r="AL81" s="3725">
        <f t="shared" si="23"/>
        <v>83.333028388144115</v>
      </c>
      <c r="AM81" s="3725">
        <f t="shared" si="23"/>
        <v>0</v>
      </c>
      <c r="AN81" s="3725">
        <f t="shared" si="23"/>
        <v>0</v>
      </c>
      <c r="AO81" s="3725">
        <f t="shared" si="23"/>
        <v>0</v>
      </c>
      <c r="AP81" s="3725">
        <f t="shared" si="23"/>
        <v>0</v>
      </c>
      <c r="AQ81" s="3725">
        <f t="shared" si="23"/>
        <v>0</v>
      </c>
      <c r="AR81" s="3725">
        <f t="shared" si="23"/>
        <v>0</v>
      </c>
      <c r="AS81" s="3725">
        <f t="shared" si="23"/>
        <v>0</v>
      </c>
      <c r="AT81" s="3725">
        <f t="shared" si="23"/>
        <v>0</v>
      </c>
      <c r="AU81" s="3726">
        <f t="shared" si="23"/>
        <v>0</v>
      </c>
      <c r="AV81" s="3655" t="s">
        <v>4635</v>
      </c>
      <c r="AW81" s="3610"/>
      <c r="AX81" s="3610"/>
      <c r="AY81" s="3610"/>
    </row>
    <row r="82" spans="1:51" ht="16.5">
      <c r="A82" s="3638"/>
      <c r="B82" s="3727"/>
      <c r="C82" s="3634" t="s">
        <v>4636</v>
      </c>
      <c r="D82" s="3728"/>
      <c r="E82" s="3634"/>
      <c r="F82" s="3729">
        <f t="shared" si="23"/>
        <v>0</v>
      </c>
      <c r="G82" s="3729">
        <f t="shared" si="23"/>
        <v>0</v>
      </c>
      <c r="H82" s="3729">
        <f t="shared" si="23"/>
        <v>0</v>
      </c>
      <c r="I82" s="3729">
        <f t="shared" si="23"/>
        <v>0</v>
      </c>
      <c r="J82" s="3729">
        <f t="shared" si="23"/>
        <v>0</v>
      </c>
      <c r="K82" s="3729">
        <f t="shared" si="23"/>
        <v>0</v>
      </c>
      <c r="L82" s="3729">
        <f t="shared" si="23"/>
        <v>0</v>
      </c>
      <c r="M82" s="3730">
        <f t="shared" si="23"/>
        <v>0</v>
      </c>
      <c r="N82" s="3730">
        <f t="shared" si="23"/>
        <v>0</v>
      </c>
      <c r="O82" s="3730">
        <f t="shared" si="23"/>
        <v>0</v>
      </c>
      <c r="P82" s="3730">
        <f t="shared" si="23"/>
        <v>0</v>
      </c>
      <c r="Q82" s="3730">
        <f t="shared" si="23"/>
        <v>0</v>
      </c>
      <c r="R82" s="3730">
        <f t="shared" si="23"/>
        <v>0</v>
      </c>
      <c r="S82" s="3730">
        <f t="shared" si="23"/>
        <v>40.24142378601082</v>
      </c>
      <c r="T82" s="3730">
        <f t="shared" si="23"/>
        <v>42.253494975311362</v>
      </c>
      <c r="U82" s="3730">
        <f t="shared" si="23"/>
        <v>42.253494975311362</v>
      </c>
      <c r="V82" s="3730">
        <f t="shared" si="23"/>
        <v>42.253494975311362</v>
      </c>
      <c r="W82" s="3730">
        <f t="shared" si="23"/>
        <v>0</v>
      </c>
      <c r="X82" s="3730">
        <f t="shared" si="23"/>
        <v>0</v>
      </c>
      <c r="Y82" s="3730">
        <f t="shared" si="23"/>
        <v>0</v>
      </c>
      <c r="Z82" s="3730">
        <f t="shared" si="23"/>
        <v>0</v>
      </c>
      <c r="AA82" s="3730">
        <f t="shared" si="23"/>
        <v>0</v>
      </c>
      <c r="AB82" s="3730">
        <f t="shared" si="23"/>
        <v>0</v>
      </c>
      <c r="AC82" s="3730">
        <f t="shared" si="23"/>
        <v>0</v>
      </c>
      <c r="AD82" s="3730">
        <f t="shared" si="23"/>
        <v>0</v>
      </c>
      <c r="AE82" s="3730">
        <f t="shared" si="23"/>
        <v>48.913702120794817</v>
      </c>
      <c r="AF82" s="3730">
        <f t="shared" si="23"/>
        <v>51.359387226834556</v>
      </c>
      <c r="AG82" s="3730">
        <f t="shared" si="23"/>
        <v>51.359387226834556</v>
      </c>
      <c r="AH82" s="3730">
        <f t="shared" si="23"/>
        <v>51.359387226834556</v>
      </c>
      <c r="AI82" s="3730">
        <f t="shared" si="23"/>
        <v>0</v>
      </c>
      <c r="AJ82" s="3730">
        <f t="shared" si="23"/>
        <v>0</v>
      </c>
      <c r="AK82" s="3730">
        <f t="shared" si="23"/>
        <v>0</v>
      </c>
      <c r="AL82" s="3730">
        <f t="shared" si="23"/>
        <v>0</v>
      </c>
      <c r="AM82" s="3730">
        <f t="shared" si="23"/>
        <v>0</v>
      </c>
      <c r="AN82" s="3730">
        <f t="shared" si="23"/>
        <v>0</v>
      </c>
      <c r="AO82" s="3730">
        <f t="shared" si="23"/>
        <v>0</v>
      </c>
      <c r="AP82" s="3730">
        <f t="shared" si="23"/>
        <v>0</v>
      </c>
      <c r="AQ82" s="3730">
        <f t="shared" si="23"/>
        <v>0</v>
      </c>
      <c r="AR82" s="3730">
        <f t="shared" si="23"/>
        <v>0</v>
      </c>
      <c r="AS82" s="3730">
        <f t="shared" si="23"/>
        <v>0</v>
      </c>
      <c r="AT82" s="3730">
        <f t="shared" si="23"/>
        <v>0</v>
      </c>
      <c r="AU82" s="3731">
        <f t="shared" si="23"/>
        <v>0</v>
      </c>
      <c r="AV82" s="3635"/>
      <c r="AW82" s="3610"/>
      <c r="AX82" s="3610"/>
      <c r="AY82" s="3610"/>
    </row>
    <row r="83" spans="1:51" ht="16.5">
      <c r="A83" s="3638"/>
      <c r="B83" s="3609" t="s">
        <v>4603</v>
      </c>
      <c r="C83" s="3666"/>
      <c r="D83" s="3638"/>
      <c r="E83" s="3666"/>
      <c r="F83" s="3732">
        <f>SUM(F84:F90)</f>
        <v>140.13095500129998</v>
      </c>
      <c r="G83" s="3732">
        <f t="shared" ref="G83:AU83" si="24">SUM(G84:G90)</f>
        <v>217.43202044592499</v>
      </c>
      <c r="H83" s="3732">
        <f t="shared" si="24"/>
        <v>228.30362146822125</v>
      </c>
      <c r="I83" s="3732">
        <f t="shared" si="24"/>
        <v>232.40292039331499</v>
      </c>
      <c r="J83" s="3732">
        <f t="shared" si="24"/>
        <v>242.89712564155499</v>
      </c>
      <c r="K83" s="3732">
        <f t="shared" si="24"/>
        <v>263.07660781681653</v>
      </c>
      <c r="L83" s="3732">
        <f t="shared" si="24"/>
        <v>263.07660781681653</v>
      </c>
      <c r="M83" s="3732">
        <f t="shared" si="24"/>
        <v>280.29366330221029</v>
      </c>
      <c r="N83" s="3732">
        <f t="shared" si="24"/>
        <v>294.3083464673208</v>
      </c>
      <c r="O83" s="3732">
        <f t="shared" si="24"/>
        <v>302.86522304356151</v>
      </c>
      <c r="P83" s="3732">
        <f t="shared" si="24"/>
        <v>302.86522304356151</v>
      </c>
      <c r="Q83" s="3732">
        <f t="shared" si="24"/>
        <v>318.00848419573958</v>
      </c>
      <c r="R83" s="3732">
        <f t="shared" si="24"/>
        <v>330.15683854623342</v>
      </c>
      <c r="S83" s="3732">
        <f t="shared" si="24"/>
        <v>330.15683854623342</v>
      </c>
      <c r="T83" s="3732">
        <f t="shared" si="24"/>
        <v>355.96576427314199</v>
      </c>
      <c r="U83" s="3732">
        <f t="shared" si="24"/>
        <v>355.96576427314199</v>
      </c>
      <c r="V83" s="3732">
        <f t="shared" si="24"/>
        <v>355.96576427314199</v>
      </c>
      <c r="W83" s="3732">
        <f t="shared" si="24"/>
        <v>383.66970673336965</v>
      </c>
      <c r="X83" s="3732">
        <f t="shared" si="24"/>
        <v>383.66970673336965</v>
      </c>
      <c r="Y83" s="3732">
        <f t="shared" si="24"/>
        <v>383.66970673336965</v>
      </c>
      <c r="Z83" s="3732">
        <f t="shared" si="24"/>
        <v>402.85319207003818</v>
      </c>
      <c r="AA83" s="3732">
        <f t="shared" si="24"/>
        <v>402.85319207003818</v>
      </c>
      <c r="AB83" s="3732">
        <f t="shared" si="24"/>
        <v>413.10763695909372</v>
      </c>
      <c r="AC83" s="3732">
        <f t="shared" si="24"/>
        <v>433.76301880704841</v>
      </c>
      <c r="AD83" s="3732">
        <f t="shared" si="24"/>
        <v>433.76301880704841</v>
      </c>
      <c r="AE83" s="3732">
        <f t="shared" si="24"/>
        <v>374.23596622608113</v>
      </c>
      <c r="AF83" s="3732">
        <f t="shared" si="24"/>
        <v>392.94776453738518</v>
      </c>
      <c r="AG83" s="3732">
        <f t="shared" si="24"/>
        <v>392.94776453738518</v>
      </c>
      <c r="AH83" s="3732">
        <f t="shared" si="24"/>
        <v>392.94776453738518</v>
      </c>
      <c r="AI83" s="3732">
        <f t="shared" si="24"/>
        <v>438.0325851171678</v>
      </c>
      <c r="AJ83" s="3732">
        <f t="shared" si="24"/>
        <v>372.40400964665139</v>
      </c>
      <c r="AK83" s="3732">
        <f t="shared" si="24"/>
        <v>372.40400964665139</v>
      </c>
      <c r="AL83" s="3732">
        <f t="shared" si="24"/>
        <v>391.02421012898395</v>
      </c>
      <c r="AM83" s="3732">
        <f t="shared" si="24"/>
        <v>408.11816467014177</v>
      </c>
      <c r="AN83" s="3732">
        <f t="shared" si="24"/>
        <v>434.82746864070077</v>
      </c>
      <c r="AO83" s="3732">
        <f t="shared" si="24"/>
        <v>456.56884207273583</v>
      </c>
      <c r="AP83" s="3732">
        <f t="shared" si="24"/>
        <v>456.56884207273583</v>
      </c>
      <c r="AQ83" s="3732">
        <f t="shared" si="24"/>
        <v>456.56884207273583</v>
      </c>
      <c r="AR83" s="3732">
        <f t="shared" si="24"/>
        <v>493.33553445340891</v>
      </c>
      <c r="AS83" s="3732">
        <f t="shared" si="24"/>
        <v>512.18161933503529</v>
      </c>
      <c r="AT83" s="3732">
        <f t="shared" si="24"/>
        <v>373.78068348559111</v>
      </c>
      <c r="AU83" s="3733">
        <f t="shared" si="24"/>
        <v>392.4697176598707</v>
      </c>
      <c r="AV83" s="3632"/>
      <c r="AW83" s="3609"/>
      <c r="AX83" s="3609"/>
      <c r="AY83" s="3609"/>
    </row>
    <row r="84" spans="1:51" ht="16.5">
      <c r="A84" s="3647"/>
      <c r="B84" s="3648"/>
      <c r="C84" s="3649" t="s">
        <v>4597</v>
      </c>
      <c r="D84" s="3647"/>
      <c r="E84" s="3649"/>
      <c r="F84" s="3734">
        <f t="shared" ref="F84:AU90" si="25">F16*F66</f>
        <v>0</v>
      </c>
      <c r="G84" s="3734">
        <f t="shared" si="25"/>
        <v>73.396971230250003</v>
      </c>
      <c r="H84" s="3734">
        <f t="shared" si="25"/>
        <v>77.066819791762512</v>
      </c>
      <c r="I84" s="3734">
        <f t="shared" si="25"/>
        <v>77.066819791762512</v>
      </c>
      <c r="J84" s="3734">
        <f t="shared" si="25"/>
        <v>77.066819791762512</v>
      </c>
      <c r="K84" s="3734">
        <f t="shared" si="25"/>
        <v>161.84032156270129</v>
      </c>
      <c r="L84" s="3723">
        <f t="shared" si="25"/>
        <v>161.84032156270129</v>
      </c>
      <c r="M84" s="3725">
        <f t="shared" si="25"/>
        <v>161.84032156270129</v>
      </c>
      <c r="N84" s="3725">
        <f t="shared" si="25"/>
        <v>169.93233764083635</v>
      </c>
      <c r="O84" s="3725">
        <f t="shared" si="25"/>
        <v>169.93233764083635</v>
      </c>
      <c r="P84" s="3725">
        <f t="shared" si="25"/>
        <v>169.93233764083635</v>
      </c>
      <c r="Q84" s="3725">
        <f t="shared" si="25"/>
        <v>178.42895452287817</v>
      </c>
      <c r="R84" s="3725">
        <f t="shared" si="25"/>
        <v>178.42895452287817</v>
      </c>
      <c r="S84" s="3725">
        <f t="shared" si="25"/>
        <v>178.42895452287817</v>
      </c>
      <c r="T84" s="3725">
        <f t="shared" si="25"/>
        <v>281.02560337353316</v>
      </c>
      <c r="U84" s="3725">
        <f t="shared" si="25"/>
        <v>281.02560337353316</v>
      </c>
      <c r="V84" s="3725">
        <f t="shared" si="25"/>
        <v>281.02560337353316</v>
      </c>
      <c r="W84" s="3725">
        <f t="shared" si="25"/>
        <v>295.07688354220977</v>
      </c>
      <c r="X84" s="3725">
        <f t="shared" si="25"/>
        <v>295.07688354220977</v>
      </c>
      <c r="Y84" s="3725">
        <f t="shared" si="25"/>
        <v>295.07688354220977</v>
      </c>
      <c r="Z84" s="3725">
        <f t="shared" si="25"/>
        <v>309.83072771932029</v>
      </c>
      <c r="AA84" s="3725">
        <f t="shared" si="25"/>
        <v>309.83072771932029</v>
      </c>
      <c r="AB84" s="3725">
        <f t="shared" si="25"/>
        <v>413.10763695909372</v>
      </c>
      <c r="AC84" s="3725">
        <f t="shared" si="25"/>
        <v>433.76301880704841</v>
      </c>
      <c r="AD84" s="3725">
        <f t="shared" si="25"/>
        <v>433.76301880704841</v>
      </c>
      <c r="AE84" s="3725">
        <f t="shared" si="25"/>
        <v>325.32226410528631</v>
      </c>
      <c r="AF84" s="3725">
        <f t="shared" si="25"/>
        <v>341.58837731055064</v>
      </c>
      <c r="AG84" s="3725">
        <f t="shared" si="25"/>
        <v>341.58837731055064</v>
      </c>
      <c r="AH84" s="3725">
        <f t="shared" si="25"/>
        <v>341.58837731055064</v>
      </c>
      <c r="AI84" s="3725">
        <f t="shared" si="25"/>
        <v>358.66779617607818</v>
      </c>
      <c r="AJ84" s="3725">
        <f t="shared" si="25"/>
        <v>239.11186411738547</v>
      </c>
      <c r="AK84" s="3725">
        <f t="shared" si="25"/>
        <v>239.11186411738547</v>
      </c>
      <c r="AL84" s="3725">
        <f t="shared" si="25"/>
        <v>251.06745732325476</v>
      </c>
      <c r="AM84" s="3725">
        <f t="shared" si="25"/>
        <v>251.06745732325476</v>
      </c>
      <c r="AN84" s="3725">
        <f t="shared" si="25"/>
        <v>251.06745732325476</v>
      </c>
      <c r="AO84" s="3725">
        <f t="shared" si="25"/>
        <v>263.62083018941752</v>
      </c>
      <c r="AP84" s="3725">
        <f t="shared" si="25"/>
        <v>263.62083018941752</v>
      </c>
      <c r="AQ84" s="3725">
        <f t="shared" si="25"/>
        <v>263.62083018941752</v>
      </c>
      <c r="AR84" s="3725">
        <f t="shared" si="25"/>
        <v>276.80187169888842</v>
      </c>
      <c r="AS84" s="3725">
        <f t="shared" si="25"/>
        <v>276.80187169888842</v>
      </c>
      <c r="AT84" s="3725">
        <f t="shared" si="25"/>
        <v>138.40093584944421</v>
      </c>
      <c r="AU84" s="3726">
        <f t="shared" si="25"/>
        <v>145.32098264191643</v>
      </c>
      <c r="AV84" s="3675"/>
      <c r="AW84" s="3648"/>
      <c r="AX84" s="3648"/>
      <c r="AY84" s="3648"/>
    </row>
    <row r="85" spans="1:51" ht="16.5">
      <c r="A85" s="3638"/>
      <c r="B85" s="3652" t="s">
        <v>4598</v>
      </c>
      <c r="C85" s="3611" t="s">
        <v>4599</v>
      </c>
      <c r="D85" s="3639"/>
      <c r="E85" s="3611"/>
      <c r="F85" s="3734">
        <f t="shared" si="25"/>
        <v>66.109328696749998</v>
      </c>
      <c r="G85" s="3734">
        <f t="shared" si="25"/>
        <v>66.109328696749998</v>
      </c>
      <c r="H85" s="3734">
        <f t="shared" si="25"/>
        <v>69.414795131587496</v>
      </c>
      <c r="I85" s="3734">
        <f t="shared" si="25"/>
        <v>69.414795131587496</v>
      </c>
      <c r="J85" s="3734">
        <f t="shared" si="25"/>
        <v>69.414795131587496</v>
      </c>
      <c r="K85" s="3734">
        <f t="shared" si="25"/>
        <v>0</v>
      </c>
      <c r="L85" s="3723">
        <f t="shared" si="25"/>
        <v>0</v>
      </c>
      <c r="M85" s="3725">
        <f t="shared" si="25"/>
        <v>0</v>
      </c>
      <c r="N85" s="3725">
        <f t="shared" si="25"/>
        <v>0</v>
      </c>
      <c r="O85" s="3725">
        <f t="shared" si="25"/>
        <v>76.529811632575218</v>
      </c>
      <c r="P85" s="3725">
        <f t="shared" si="25"/>
        <v>76.529811632575218</v>
      </c>
      <c r="Q85" s="3725">
        <f t="shared" si="25"/>
        <v>80.356302214203978</v>
      </c>
      <c r="R85" s="3725">
        <f t="shared" si="25"/>
        <v>80.356302214203978</v>
      </c>
      <c r="S85" s="3725">
        <f t="shared" si="25"/>
        <v>80.356302214203978</v>
      </c>
      <c r="T85" s="3725">
        <f t="shared" si="25"/>
        <v>0</v>
      </c>
      <c r="U85" s="3725">
        <f t="shared" si="25"/>
        <v>0</v>
      </c>
      <c r="V85" s="3725">
        <f t="shared" si="25"/>
        <v>0</v>
      </c>
      <c r="W85" s="3725">
        <f t="shared" si="25"/>
        <v>88.592823191159894</v>
      </c>
      <c r="X85" s="3725">
        <f t="shared" si="25"/>
        <v>88.592823191159894</v>
      </c>
      <c r="Y85" s="3725">
        <f t="shared" si="25"/>
        <v>88.592823191159894</v>
      </c>
      <c r="Z85" s="3725">
        <f t="shared" si="25"/>
        <v>93.022464350717897</v>
      </c>
      <c r="AA85" s="3725">
        <f t="shared" si="25"/>
        <v>93.022464350717897</v>
      </c>
      <c r="AB85" s="3725">
        <f t="shared" si="25"/>
        <v>0</v>
      </c>
      <c r="AC85" s="3725">
        <f t="shared" si="25"/>
        <v>0</v>
      </c>
      <c r="AD85" s="3725">
        <f t="shared" si="25"/>
        <v>0</v>
      </c>
      <c r="AE85" s="3725">
        <f t="shared" si="25"/>
        <v>0</v>
      </c>
      <c r="AF85" s="3725">
        <f t="shared" si="25"/>
        <v>0</v>
      </c>
      <c r="AG85" s="3725">
        <f t="shared" si="25"/>
        <v>0</v>
      </c>
      <c r="AH85" s="3725">
        <f t="shared" si="25"/>
        <v>0</v>
      </c>
      <c r="AI85" s="3725">
        <f t="shared" si="25"/>
        <v>0</v>
      </c>
      <c r="AJ85" s="3725">
        <f t="shared" si="25"/>
        <v>0</v>
      </c>
      <c r="AK85" s="3725">
        <f t="shared" si="25"/>
        <v>0</v>
      </c>
      <c r="AL85" s="3725">
        <f t="shared" si="25"/>
        <v>0</v>
      </c>
      <c r="AM85" s="3725">
        <f t="shared" si="25"/>
        <v>0</v>
      </c>
      <c r="AN85" s="3725">
        <f t="shared" si="25"/>
        <v>0</v>
      </c>
      <c r="AO85" s="3725">
        <f t="shared" si="25"/>
        <v>0</v>
      </c>
      <c r="AP85" s="3725">
        <f t="shared" si="25"/>
        <v>0</v>
      </c>
      <c r="AQ85" s="3725">
        <f t="shared" si="25"/>
        <v>0</v>
      </c>
      <c r="AR85" s="3725">
        <f t="shared" si="25"/>
        <v>124.65899895659156</v>
      </c>
      <c r="AS85" s="3725">
        <f t="shared" si="25"/>
        <v>124.65899895659156</v>
      </c>
      <c r="AT85" s="3725">
        <f t="shared" si="25"/>
        <v>124.65899895659156</v>
      </c>
      <c r="AU85" s="3726">
        <f t="shared" si="25"/>
        <v>130.89194890442116</v>
      </c>
      <c r="AV85" s="3655" t="s">
        <v>4637</v>
      </c>
      <c r="AW85" s="3610"/>
      <c r="AX85" s="3610"/>
      <c r="AY85" s="3610"/>
    </row>
    <row r="86" spans="1:51" ht="16.5">
      <c r="A86" s="3638"/>
      <c r="B86" s="3652"/>
      <c r="C86" s="3611" t="s">
        <v>4600</v>
      </c>
      <c r="D86" s="3639"/>
      <c r="E86" s="3611"/>
      <c r="F86" s="3734">
        <f t="shared" si="25"/>
        <v>0</v>
      </c>
      <c r="G86" s="3734">
        <f t="shared" si="25"/>
        <v>0</v>
      </c>
      <c r="H86" s="3734">
        <f t="shared" si="25"/>
        <v>0</v>
      </c>
      <c r="I86" s="3734">
        <f t="shared" si="25"/>
        <v>0</v>
      </c>
      <c r="J86" s="3734">
        <f t="shared" si="25"/>
        <v>61.653455833410007</v>
      </c>
      <c r="K86" s="3734">
        <f t="shared" si="25"/>
        <v>64.736128625080511</v>
      </c>
      <c r="L86" s="3723">
        <f t="shared" si="25"/>
        <v>64.736128625080511</v>
      </c>
      <c r="M86" s="3725">
        <f t="shared" si="25"/>
        <v>64.736128625080511</v>
      </c>
      <c r="N86" s="3725">
        <f t="shared" si="25"/>
        <v>67.972935056334535</v>
      </c>
      <c r="O86" s="3725">
        <f t="shared" si="25"/>
        <v>0</v>
      </c>
      <c r="P86" s="3725">
        <f t="shared" si="25"/>
        <v>0</v>
      </c>
      <c r="Q86" s="3725">
        <f t="shared" si="25"/>
        <v>0</v>
      </c>
      <c r="R86" s="3725">
        <f t="shared" si="25"/>
        <v>71.371581809151266</v>
      </c>
      <c r="S86" s="3725">
        <f t="shared" si="25"/>
        <v>71.371581809151266</v>
      </c>
      <c r="T86" s="3725">
        <f t="shared" si="25"/>
        <v>74.940160899608827</v>
      </c>
      <c r="U86" s="3725">
        <f t="shared" si="25"/>
        <v>74.940160899608827</v>
      </c>
      <c r="V86" s="3725">
        <f t="shared" si="25"/>
        <v>74.940160899608827</v>
      </c>
      <c r="W86" s="3725">
        <f t="shared" si="25"/>
        <v>0</v>
      </c>
      <c r="X86" s="3725">
        <f t="shared" si="25"/>
        <v>0</v>
      </c>
      <c r="Y86" s="3725">
        <f t="shared" si="25"/>
        <v>0</v>
      </c>
      <c r="Z86" s="3725">
        <f t="shared" si="25"/>
        <v>0</v>
      </c>
      <c r="AA86" s="3725">
        <f t="shared" si="25"/>
        <v>0</v>
      </c>
      <c r="AB86" s="3725">
        <f t="shared" si="25"/>
        <v>0</v>
      </c>
      <c r="AC86" s="3725">
        <f t="shared" si="25"/>
        <v>0</v>
      </c>
      <c r="AD86" s="3725">
        <f t="shared" si="25"/>
        <v>0</v>
      </c>
      <c r="AE86" s="3725">
        <f t="shared" si="25"/>
        <v>0</v>
      </c>
      <c r="AF86" s="3725">
        <f t="shared" si="25"/>
        <v>0</v>
      </c>
      <c r="AG86" s="3725">
        <f t="shared" si="25"/>
        <v>0</v>
      </c>
      <c r="AH86" s="3725">
        <f t="shared" si="25"/>
        <v>0</v>
      </c>
      <c r="AI86" s="3725">
        <f t="shared" si="25"/>
        <v>0</v>
      </c>
      <c r="AJ86" s="3725">
        <f t="shared" si="25"/>
        <v>0</v>
      </c>
      <c r="AK86" s="3725">
        <f t="shared" si="25"/>
        <v>0</v>
      </c>
      <c r="AL86" s="3725">
        <f t="shared" si="25"/>
        <v>0</v>
      </c>
      <c r="AM86" s="3725">
        <f t="shared" si="25"/>
        <v>100.4269829293019</v>
      </c>
      <c r="AN86" s="3725">
        <f t="shared" si="25"/>
        <v>100.4269829293019</v>
      </c>
      <c r="AO86" s="3725">
        <f t="shared" si="25"/>
        <v>105.448332075767</v>
      </c>
      <c r="AP86" s="3725">
        <f t="shared" si="25"/>
        <v>105.448332075767</v>
      </c>
      <c r="AQ86" s="3725">
        <f t="shared" si="25"/>
        <v>105.448332075767</v>
      </c>
      <c r="AR86" s="3725">
        <f t="shared" si="25"/>
        <v>0</v>
      </c>
      <c r="AS86" s="3725">
        <f t="shared" si="25"/>
        <v>110.72074867955536</v>
      </c>
      <c r="AT86" s="3725">
        <f t="shared" si="25"/>
        <v>110.72074867955536</v>
      </c>
      <c r="AU86" s="3726">
        <f t="shared" si="25"/>
        <v>116.25678611353312</v>
      </c>
      <c r="AV86" s="3655"/>
      <c r="AW86" s="3610"/>
      <c r="AX86" s="3610"/>
      <c r="AY86" s="3610"/>
    </row>
    <row r="87" spans="1:51" ht="16.5">
      <c r="A87" s="3638"/>
      <c r="B87" s="3652"/>
      <c r="C87" s="3611" t="s">
        <v>4634</v>
      </c>
      <c r="D87" s="3639"/>
      <c r="E87" s="3611"/>
      <c r="F87" s="3723">
        <f t="shared" si="25"/>
        <v>48.723095795399999</v>
      </c>
      <c r="G87" s="3723">
        <f t="shared" si="25"/>
        <v>48.723095795399999</v>
      </c>
      <c r="H87" s="3723">
        <f t="shared" si="25"/>
        <v>51.15925058517</v>
      </c>
      <c r="I87" s="3723">
        <f t="shared" si="25"/>
        <v>51.15925058517</v>
      </c>
      <c r="J87" s="3723">
        <f t="shared" si="25"/>
        <v>0</v>
      </c>
      <c r="K87" s="3723">
        <f t="shared" si="25"/>
        <v>0</v>
      </c>
      <c r="L87" s="3723">
        <f t="shared" si="25"/>
        <v>0</v>
      </c>
      <c r="M87" s="3725">
        <f t="shared" si="25"/>
        <v>53.717213114428503</v>
      </c>
      <c r="N87" s="3725">
        <f t="shared" si="25"/>
        <v>56.403073770149931</v>
      </c>
      <c r="O87" s="3725">
        <f t="shared" si="25"/>
        <v>56.403073770149931</v>
      </c>
      <c r="P87" s="3725">
        <f t="shared" si="25"/>
        <v>56.403073770149931</v>
      </c>
      <c r="Q87" s="3725">
        <f t="shared" si="25"/>
        <v>59.223227458657426</v>
      </c>
      <c r="R87" s="3725">
        <f t="shared" si="25"/>
        <v>0</v>
      </c>
      <c r="S87" s="3725">
        <f t="shared" si="25"/>
        <v>0</v>
      </c>
      <c r="T87" s="3725">
        <f t="shared" si="25"/>
        <v>0</v>
      </c>
      <c r="U87" s="3725">
        <f t="shared" si="25"/>
        <v>0</v>
      </c>
      <c r="V87" s="3725">
        <f t="shared" si="25"/>
        <v>0</v>
      </c>
      <c r="W87" s="3725">
        <f t="shared" si="25"/>
        <v>0</v>
      </c>
      <c r="X87" s="3725">
        <f t="shared" si="25"/>
        <v>0</v>
      </c>
      <c r="Y87" s="3725">
        <f t="shared" si="25"/>
        <v>0</v>
      </c>
      <c r="Z87" s="3725">
        <f t="shared" si="25"/>
        <v>0</v>
      </c>
      <c r="AA87" s="3725">
        <f t="shared" si="25"/>
        <v>0</v>
      </c>
      <c r="AB87" s="3725">
        <f t="shared" si="25"/>
        <v>0</v>
      </c>
      <c r="AC87" s="3725">
        <f t="shared" si="25"/>
        <v>0</v>
      </c>
      <c r="AD87" s="3725">
        <f t="shared" si="25"/>
        <v>0</v>
      </c>
      <c r="AE87" s="3725">
        <f t="shared" si="25"/>
        <v>0</v>
      </c>
      <c r="AF87" s="3725">
        <f t="shared" si="25"/>
        <v>0</v>
      </c>
      <c r="AG87" s="3725">
        <f t="shared" si="25"/>
        <v>0</v>
      </c>
      <c r="AH87" s="3725">
        <f t="shared" si="25"/>
        <v>0</v>
      </c>
      <c r="AI87" s="3725">
        <f t="shared" si="25"/>
        <v>79.364788941089628</v>
      </c>
      <c r="AJ87" s="3725">
        <f t="shared" si="25"/>
        <v>79.364788941089628</v>
      </c>
      <c r="AK87" s="3725">
        <f t="shared" si="25"/>
        <v>79.364788941089628</v>
      </c>
      <c r="AL87" s="3725">
        <f t="shared" si="25"/>
        <v>83.333028388144115</v>
      </c>
      <c r="AM87" s="3725">
        <f t="shared" si="25"/>
        <v>0</v>
      </c>
      <c r="AN87" s="3725">
        <f t="shared" si="25"/>
        <v>83.333028388144115</v>
      </c>
      <c r="AO87" s="3725">
        <f t="shared" si="25"/>
        <v>87.499679807551331</v>
      </c>
      <c r="AP87" s="3725">
        <f t="shared" si="25"/>
        <v>87.499679807551331</v>
      </c>
      <c r="AQ87" s="3725">
        <f t="shared" si="25"/>
        <v>87.499679807551331</v>
      </c>
      <c r="AR87" s="3725">
        <f t="shared" si="25"/>
        <v>91.874663797928903</v>
      </c>
      <c r="AS87" s="3725">
        <f t="shared" si="25"/>
        <v>0</v>
      </c>
      <c r="AT87" s="3725">
        <f t="shared" si="25"/>
        <v>0</v>
      </c>
      <c r="AU87" s="3726">
        <f t="shared" si="25"/>
        <v>0</v>
      </c>
      <c r="AV87" s="3655" t="s">
        <v>4638</v>
      </c>
      <c r="AW87" s="3610"/>
      <c r="AX87" s="3610"/>
      <c r="AY87" s="3610"/>
    </row>
    <row r="88" spans="1:51" ht="16.5">
      <c r="A88" s="3638"/>
      <c r="B88" s="3652"/>
      <c r="C88" s="3611" t="s">
        <v>4602</v>
      </c>
      <c r="D88" s="3639"/>
      <c r="E88" s="3611"/>
      <c r="F88" s="3723">
        <f t="shared" si="25"/>
        <v>0</v>
      </c>
      <c r="G88" s="3723">
        <f t="shared" si="25"/>
        <v>0</v>
      </c>
      <c r="H88" s="3723">
        <f t="shared" si="25"/>
        <v>0</v>
      </c>
      <c r="I88" s="3723">
        <f t="shared" si="25"/>
        <v>34.762054884794999</v>
      </c>
      <c r="J88" s="3723">
        <f t="shared" si="25"/>
        <v>34.762054884794999</v>
      </c>
      <c r="K88" s="3723">
        <f t="shared" si="25"/>
        <v>36.500157629034753</v>
      </c>
      <c r="L88" s="3723">
        <f t="shared" si="25"/>
        <v>36.500157629034753</v>
      </c>
      <c r="M88" s="3725">
        <f t="shared" si="25"/>
        <v>0</v>
      </c>
      <c r="N88" s="3725">
        <f t="shared" si="25"/>
        <v>0</v>
      </c>
      <c r="O88" s="3725">
        <f t="shared" si="25"/>
        <v>0</v>
      </c>
      <c r="P88" s="3725">
        <f t="shared" si="25"/>
        <v>0</v>
      </c>
      <c r="Q88" s="3725">
        <f t="shared" si="25"/>
        <v>0</v>
      </c>
      <c r="R88" s="3725">
        <f t="shared" si="25"/>
        <v>0</v>
      </c>
      <c r="S88" s="3725">
        <f t="shared" si="25"/>
        <v>0</v>
      </c>
      <c r="T88" s="3725">
        <f t="shared" si="25"/>
        <v>0</v>
      </c>
      <c r="U88" s="3725">
        <f t="shared" si="25"/>
        <v>0</v>
      </c>
      <c r="V88" s="3725">
        <f t="shared" si="25"/>
        <v>0</v>
      </c>
      <c r="W88" s="3725">
        <f t="shared" si="25"/>
        <v>0</v>
      </c>
      <c r="X88" s="3725">
        <f t="shared" si="25"/>
        <v>0</v>
      </c>
      <c r="Y88" s="3725">
        <f t="shared" si="25"/>
        <v>0</v>
      </c>
      <c r="Z88" s="3725">
        <f t="shared" si="25"/>
        <v>0</v>
      </c>
      <c r="AA88" s="3725">
        <f t="shared" si="25"/>
        <v>0</v>
      </c>
      <c r="AB88" s="3725">
        <f t="shared" si="25"/>
        <v>0</v>
      </c>
      <c r="AC88" s="3725">
        <f t="shared" si="25"/>
        <v>0</v>
      </c>
      <c r="AD88" s="3725">
        <f t="shared" si="25"/>
        <v>0</v>
      </c>
      <c r="AE88" s="3725">
        <f t="shared" si="25"/>
        <v>48.913702120794817</v>
      </c>
      <c r="AF88" s="3725">
        <f t="shared" si="25"/>
        <v>51.359387226834556</v>
      </c>
      <c r="AG88" s="3725">
        <f t="shared" si="25"/>
        <v>51.359387226834556</v>
      </c>
      <c r="AH88" s="3725">
        <f t="shared" si="25"/>
        <v>51.359387226834556</v>
      </c>
      <c r="AI88" s="3725">
        <f t="shared" si="25"/>
        <v>0</v>
      </c>
      <c r="AJ88" s="3725">
        <f t="shared" si="25"/>
        <v>53.927356588176288</v>
      </c>
      <c r="AK88" s="3725">
        <f t="shared" si="25"/>
        <v>53.927356588176288</v>
      </c>
      <c r="AL88" s="3725">
        <f t="shared" si="25"/>
        <v>56.623724417585102</v>
      </c>
      <c r="AM88" s="3725">
        <f t="shared" si="25"/>
        <v>56.623724417585102</v>
      </c>
      <c r="AN88" s="3725">
        <f t="shared" si="25"/>
        <v>0</v>
      </c>
      <c r="AO88" s="3725">
        <f t="shared" si="25"/>
        <v>0</v>
      </c>
      <c r="AP88" s="3725">
        <f t="shared" si="25"/>
        <v>0</v>
      </c>
      <c r="AQ88" s="3725">
        <f t="shared" si="25"/>
        <v>0</v>
      </c>
      <c r="AR88" s="3725">
        <f t="shared" si="25"/>
        <v>0</v>
      </c>
      <c r="AS88" s="3725">
        <f t="shared" si="25"/>
        <v>0</v>
      </c>
      <c r="AT88" s="3725">
        <f t="shared" si="25"/>
        <v>0</v>
      </c>
      <c r="AU88" s="3726">
        <f t="shared" si="25"/>
        <v>0</v>
      </c>
      <c r="AV88" s="3655"/>
      <c r="AW88" s="3610"/>
      <c r="AX88" s="3610"/>
      <c r="AY88" s="3610"/>
    </row>
    <row r="89" spans="1:51" ht="16.5">
      <c r="A89" s="3638"/>
      <c r="B89" s="3652"/>
      <c r="C89" s="3611" t="s">
        <v>4609</v>
      </c>
      <c r="D89" s="3639"/>
      <c r="E89" s="3611"/>
      <c r="F89" s="3723">
        <f t="shared" si="25"/>
        <v>0</v>
      </c>
      <c r="G89" s="3723">
        <f t="shared" si="25"/>
        <v>29.202624723525002</v>
      </c>
      <c r="H89" s="3723">
        <f t="shared" si="25"/>
        <v>30.662755959701254</v>
      </c>
      <c r="I89" s="3723">
        <f t="shared" si="25"/>
        <v>0</v>
      </c>
      <c r="J89" s="3723">
        <f t="shared" si="25"/>
        <v>0</v>
      </c>
      <c r="K89" s="3723">
        <f t="shared" si="25"/>
        <v>0</v>
      </c>
      <c r="L89" s="3723">
        <f t="shared" si="25"/>
        <v>0</v>
      </c>
      <c r="M89" s="3725">
        <f t="shared" si="25"/>
        <v>0</v>
      </c>
      <c r="N89" s="3725">
        <f t="shared" si="25"/>
        <v>0</v>
      </c>
      <c r="O89" s="3725">
        <f t="shared" si="25"/>
        <v>0</v>
      </c>
      <c r="P89" s="3725">
        <f t="shared" si="25"/>
        <v>0</v>
      </c>
      <c r="Q89" s="3725">
        <f t="shared" si="25"/>
        <v>0</v>
      </c>
      <c r="R89" s="3725">
        <f t="shared" si="25"/>
        <v>0</v>
      </c>
      <c r="S89" s="3725">
        <f t="shared" si="25"/>
        <v>0</v>
      </c>
      <c r="T89" s="3725">
        <f t="shared" si="25"/>
        <v>0</v>
      </c>
      <c r="U89" s="3725">
        <f t="shared" si="25"/>
        <v>0</v>
      </c>
      <c r="V89" s="3725">
        <f t="shared" si="25"/>
        <v>0</v>
      </c>
      <c r="W89" s="3725">
        <f t="shared" si="25"/>
        <v>0</v>
      </c>
      <c r="X89" s="3725">
        <f t="shared" si="25"/>
        <v>0</v>
      </c>
      <c r="Y89" s="3725">
        <f t="shared" si="25"/>
        <v>0</v>
      </c>
      <c r="Z89" s="3725">
        <f t="shared" si="25"/>
        <v>0</v>
      </c>
      <c r="AA89" s="3725">
        <f t="shared" si="25"/>
        <v>0</v>
      </c>
      <c r="AB89" s="3725">
        <f t="shared" si="25"/>
        <v>0</v>
      </c>
      <c r="AC89" s="3725">
        <f t="shared" si="25"/>
        <v>0</v>
      </c>
      <c r="AD89" s="3725">
        <f t="shared" si="25"/>
        <v>0</v>
      </c>
      <c r="AE89" s="3725">
        <f t="shared" si="25"/>
        <v>0</v>
      </c>
      <c r="AF89" s="3725">
        <f t="shared" si="25"/>
        <v>0</v>
      </c>
      <c r="AG89" s="3725">
        <f t="shared" si="25"/>
        <v>0</v>
      </c>
      <c r="AH89" s="3725">
        <f t="shared" si="25"/>
        <v>0</v>
      </c>
      <c r="AI89" s="3725">
        <f t="shared" si="25"/>
        <v>0</v>
      </c>
      <c r="AJ89" s="3725">
        <f t="shared" si="25"/>
        <v>0</v>
      </c>
      <c r="AK89" s="3725">
        <f t="shared" si="25"/>
        <v>0</v>
      </c>
      <c r="AL89" s="3725">
        <f t="shared" si="25"/>
        <v>0</v>
      </c>
      <c r="AM89" s="3725">
        <f t="shared" si="25"/>
        <v>0</v>
      </c>
      <c r="AN89" s="3725">
        <f t="shared" si="25"/>
        <v>0</v>
      </c>
      <c r="AO89" s="3725">
        <f t="shared" si="25"/>
        <v>0</v>
      </c>
      <c r="AP89" s="3725">
        <f t="shared" si="25"/>
        <v>0</v>
      </c>
      <c r="AQ89" s="3725">
        <f t="shared" si="25"/>
        <v>0</v>
      </c>
      <c r="AR89" s="3725">
        <f t="shared" si="25"/>
        <v>0</v>
      </c>
      <c r="AS89" s="3725">
        <f t="shared" si="25"/>
        <v>0</v>
      </c>
      <c r="AT89" s="3725">
        <f t="shared" si="25"/>
        <v>0</v>
      </c>
      <c r="AU89" s="3726">
        <f t="shared" si="25"/>
        <v>0</v>
      </c>
      <c r="AV89" s="3655"/>
      <c r="AW89" s="3610"/>
      <c r="AX89" s="3610"/>
      <c r="AY89" s="3610"/>
    </row>
    <row r="90" spans="1:51" ht="16.5">
      <c r="A90" s="3638"/>
      <c r="B90" s="3652"/>
      <c r="C90" s="3611" t="s">
        <v>4639</v>
      </c>
      <c r="D90" s="3639"/>
      <c r="E90" s="3611"/>
      <c r="F90" s="3734">
        <f t="shared" si="25"/>
        <v>25.298530509149998</v>
      </c>
      <c r="G90" s="3734">
        <f t="shared" si="25"/>
        <v>0</v>
      </c>
      <c r="H90" s="3734">
        <f t="shared" si="25"/>
        <v>0</v>
      </c>
      <c r="I90" s="3734">
        <f t="shared" ref="I90:AU90" si="26">I22*I72</f>
        <v>0</v>
      </c>
      <c r="J90" s="3734">
        <f t="shared" si="26"/>
        <v>0</v>
      </c>
      <c r="K90" s="3734">
        <f t="shared" si="26"/>
        <v>0</v>
      </c>
      <c r="L90" s="3723">
        <f t="shared" si="26"/>
        <v>0</v>
      </c>
      <c r="M90" s="3725">
        <f t="shared" si="26"/>
        <v>0</v>
      </c>
      <c r="N90" s="3725">
        <f t="shared" si="26"/>
        <v>0</v>
      </c>
      <c r="O90" s="3725">
        <f t="shared" si="26"/>
        <v>0</v>
      </c>
      <c r="P90" s="3725">
        <f t="shared" si="26"/>
        <v>0</v>
      </c>
      <c r="Q90" s="3725">
        <f t="shared" si="26"/>
        <v>0</v>
      </c>
      <c r="R90" s="3725">
        <f t="shared" si="26"/>
        <v>0</v>
      </c>
      <c r="S90" s="3725">
        <f t="shared" si="26"/>
        <v>0</v>
      </c>
      <c r="T90" s="3725">
        <f t="shared" si="26"/>
        <v>0</v>
      </c>
      <c r="U90" s="3725">
        <f t="shared" si="26"/>
        <v>0</v>
      </c>
      <c r="V90" s="3725">
        <f t="shared" si="26"/>
        <v>0</v>
      </c>
      <c r="W90" s="3725">
        <f t="shared" si="26"/>
        <v>0</v>
      </c>
      <c r="X90" s="3725">
        <f t="shared" si="26"/>
        <v>0</v>
      </c>
      <c r="Y90" s="3725">
        <f t="shared" si="26"/>
        <v>0</v>
      </c>
      <c r="Z90" s="3725">
        <f t="shared" si="26"/>
        <v>0</v>
      </c>
      <c r="AA90" s="3725">
        <f t="shared" si="26"/>
        <v>0</v>
      </c>
      <c r="AB90" s="3725">
        <f t="shared" si="26"/>
        <v>0</v>
      </c>
      <c r="AC90" s="3725">
        <f t="shared" si="26"/>
        <v>0</v>
      </c>
      <c r="AD90" s="3725">
        <f t="shared" si="26"/>
        <v>0</v>
      </c>
      <c r="AE90" s="3725">
        <f t="shared" si="26"/>
        <v>0</v>
      </c>
      <c r="AF90" s="3725">
        <f t="shared" si="26"/>
        <v>0</v>
      </c>
      <c r="AG90" s="3725">
        <f t="shared" si="26"/>
        <v>0</v>
      </c>
      <c r="AH90" s="3725">
        <f t="shared" si="26"/>
        <v>0</v>
      </c>
      <c r="AI90" s="3725">
        <f t="shared" si="26"/>
        <v>0</v>
      </c>
      <c r="AJ90" s="3725">
        <f t="shared" si="26"/>
        <v>0</v>
      </c>
      <c r="AK90" s="3725">
        <f t="shared" si="26"/>
        <v>0</v>
      </c>
      <c r="AL90" s="3725">
        <f t="shared" si="26"/>
        <v>0</v>
      </c>
      <c r="AM90" s="3725">
        <f t="shared" si="26"/>
        <v>0</v>
      </c>
      <c r="AN90" s="3725">
        <f t="shared" si="26"/>
        <v>0</v>
      </c>
      <c r="AO90" s="3725">
        <f t="shared" si="26"/>
        <v>0</v>
      </c>
      <c r="AP90" s="3725">
        <f t="shared" si="26"/>
        <v>0</v>
      </c>
      <c r="AQ90" s="3725">
        <f t="shared" si="26"/>
        <v>0</v>
      </c>
      <c r="AR90" s="3725">
        <f t="shared" si="26"/>
        <v>0</v>
      </c>
      <c r="AS90" s="3725">
        <f t="shared" si="26"/>
        <v>0</v>
      </c>
      <c r="AT90" s="3725">
        <f t="shared" si="26"/>
        <v>0</v>
      </c>
      <c r="AU90" s="3726">
        <f t="shared" si="26"/>
        <v>0</v>
      </c>
      <c r="AV90" s="3655" t="s">
        <v>4640</v>
      </c>
      <c r="AW90" s="3610"/>
      <c r="AX90" s="3610"/>
      <c r="AY90" s="3610"/>
    </row>
    <row r="91" spans="1:51" ht="16.5">
      <c r="A91" s="3638"/>
      <c r="B91" s="3643" t="s">
        <v>4611</v>
      </c>
      <c r="C91" s="3657"/>
      <c r="D91" s="3626"/>
      <c r="E91" s="3644"/>
      <c r="F91" s="3721">
        <f>SUM(F92:F96)</f>
        <v>172.61301886489997</v>
      </c>
      <c r="G91" s="3721">
        <f t="shared" ref="G91:AU91" si="27">SUM(G92:G96)</f>
        <v>172.61301886489997</v>
      </c>
      <c r="H91" s="3721">
        <f t="shared" si="27"/>
        <v>197.64086550851999</v>
      </c>
      <c r="I91" s="3721">
        <f t="shared" si="27"/>
        <v>197.64086550851999</v>
      </c>
      <c r="J91" s="3721">
        <f t="shared" si="27"/>
        <v>197.64086550851999</v>
      </c>
      <c r="K91" s="3721">
        <f t="shared" si="27"/>
        <v>215.55753467712981</v>
      </c>
      <c r="L91" s="3721">
        <f t="shared" si="27"/>
        <v>226.5764501877818</v>
      </c>
      <c r="M91" s="3721">
        <f t="shared" si="27"/>
        <v>226.5764501877818</v>
      </c>
      <c r="N91" s="3721">
        <f t="shared" si="27"/>
        <v>237.90527269717089</v>
      </c>
      <c r="O91" s="3721">
        <f t="shared" si="27"/>
        <v>237.90527269717089</v>
      </c>
      <c r="P91" s="3721">
        <f t="shared" si="27"/>
        <v>237.90527269717089</v>
      </c>
      <c r="Q91" s="3721">
        <f t="shared" si="27"/>
        <v>258.78525673708214</v>
      </c>
      <c r="R91" s="3721">
        <f t="shared" si="27"/>
        <v>258.78525673708214</v>
      </c>
      <c r="S91" s="3721">
        <f t="shared" si="27"/>
        <v>209.81220326165388</v>
      </c>
      <c r="T91" s="3721">
        <f t="shared" si="27"/>
        <v>220.3028134247366</v>
      </c>
      <c r="U91" s="3721">
        <f t="shared" si="27"/>
        <v>220.3028134247366</v>
      </c>
      <c r="V91" s="3721">
        <f t="shared" si="27"/>
        <v>229.60389722433345</v>
      </c>
      <c r="W91" s="3721">
        <f t="shared" si="27"/>
        <v>262.01153063464301</v>
      </c>
      <c r="X91" s="3721">
        <f t="shared" si="27"/>
        <v>262.01153063464301</v>
      </c>
      <c r="Y91" s="3721">
        <f t="shared" si="27"/>
        <v>262.01153063464301</v>
      </c>
      <c r="Z91" s="3721">
        <f t="shared" si="27"/>
        <v>218.41967613688252</v>
      </c>
      <c r="AA91" s="3721">
        <f t="shared" si="27"/>
        <v>232.48291484187297</v>
      </c>
      <c r="AB91" s="3721">
        <f t="shared" si="27"/>
        <v>232.48291484187297</v>
      </c>
      <c r="AC91" s="3721">
        <f t="shared" si="27"/>
        <v>244.10706058396661</v>
      </c>
      <c r="AD91" s="3721">
        <f t="shared" si="27"/>
        <v>267.17956158434151</v>
      </c>
      <c r="AE91" s="3721">
        <f t="shared" si="27"/>
        <v>267.17956158434151</v>
      </c>
      <c r="AF91" s="3721">
        <f t="shared" si="27"/>
        <v>292.00557266074492</v>
      </c>
      <c r="AG91" s="3721">
        <f t="shared" si="27"/>
        <v>292.00557266074492</v>
      </c>
      <c r="AH91" s="3721">
        <f t="shared" si="27"/>
        <v>307.51029333299687</v>
      </c>
      <c r="AI91" s="3721">
        <f t="shared" si="27"/>
        <v>322.88580799964677</v>
      </c>
      <c r="AJ91" s="3721">
        <f t="shared" si="27"/>
        <v>322.88580799964677</v>
      </c>
      <c r="AK91" s="3721">
        <f t="shared" si="27"/>
        <v>215.20067770564691</v>
      </c>
      <c r="AL91" s="3721">
        <f t="shared" si="27"/>
        <v>225.96071159092929</v>
      </c>
      <c r="AM91" s="3721">
        <f t="shared" si="27"/>
        <v>238.6031154703272</v>
      </c>
      <c r="AN91" s="3721">
        <f t="shared" si="27"/>
        <v>238.6031154703272</v>
      </c>
      <c r="AO91" s="3721">
        <f t="shared" si="27"/>
        <v>250.53327124384356</v>
      </c>
      <c r="AP91" s="3721">
        <f t="shared" si="27"/>
        <v>250.53327124384356</v>
      </c>
      <c r="AQ91" s="3721">
        <f t="shared" si="27"/>
        <v>250.53327124384356</v>
      </c>
      <c r="AR91" s="3721">
        <f t="shared" si="27"/>
        <v>263.05993480603576</v>
      </c>
      <c r="AS91" s="3721">
        <f t="shared" si="27"/>
        <v>263.05993480603576</v>
      </c>
      <c r="AT91" s="3721">
        <f t="shared" si="27"/>
        <v>263.05993480603576</v>
      </c>
      <c r="AU91" s="3722">
        <f t="shared" si="27"/>
        <v>276.21293154633759</v>
      </c>
      <c r="AV91" s="3677"/>
      <c r="AW91" s="3609"/>
      <c r="AX91" s="3609"/>
      <c r="AY91" s="3609"/>
    </row>
    <row r="92" spans="1:51" ht="16.5">
      <c r="A92" s="3638"/>
      <c r="B92" s="3652" t="s">
        <v>4598</v>
      </c>
      <c r="C92" s="3611" t="s">
        <v>4641</v>
      </c>
      <c r="D92" s="3639"/>
      <c r="E92" s="3611"/>
      <c r="F92" s="3723">
        <f t="shared" ref="F92:AU96" si="28">F24*F66</f>
        <v>73.396971230250003</v>
      </c>
      <c r="G92" s="3723">
        <f t="shared" si="28"/>
        <v>73.396971230250003</v>
      </c>
      <c r="H92" s="3723">
        <f t="shared" si="28"/>
        <v>77.066819791762512</v>
      </c>
      <c r="I92" s="3723">
        <f t="shared" si="28"/>
        <v>77.066819791762512</v>
      </c>
      <c r="J92" s="3723">
        <f t="shared" si="28"/>
        <v>77.066819791762512</v>
      </c>
      <c r="K92" s="3723">
        <f t="shared" si="28"/>
        <v>161.84032156270129</v>
      </c>
      <c r="L92" s="3723">
        <f t="shared" si="28"/>
        <v>161.84032156270129</v>
      </c>
      <c r="M92" s="3725">
        <f t="shared" si="28"/>
        <v>161.84032156270129</v>
      </c>
      <c r="N92" s="3725">
        <f t="shared" si="28"/>
        <v>169.93233764083635</v>
      </c>
      <c r="O92" s="3725">
        <f t="shared" si="28"/>
        <v>169.93233764083635</v>
      </c>
      <c r="P92" s="3725">
        <f t="shared" si="28"/>
        <v>169.93233764083635</v>
      </c>
      <c r="Q92" s="3725">
        <f t="shared" si="28"/>
        <v>178.42895452287817</v>
      </c>
      <c r="R92" s="3725">
        <f t="shared" si="28"/>
        <v>178.42895452287817</v>
      </c>
      <c r="S92" s="3725">
        <f t="shared" si="28"/>
        <v>89.214477261439086</v>
      </c>
      <c r="T92" s="3725">
        <f t="shared" si="28"/>
        <v>93.675201124511048</v>
      </c>
      <c r="U92" s="3725">
        <f t="shared" si="28"/>
        <v>93.675201124511048</v>
      </c>
      <c r="V92" s="3725">
        <f t="shared" si="28"/>
        <v>187.3504022490221</v>
      </c>
      <c r="W92" s="3725">
        <f t="shared" si="28"/>
        <v>196.7179223614732</v>
      </c>
      <c r="X92" s="3725">
        <f t="shared" si="28"/>
        <v>196.7179223614732</v>
      </c>
      <c r="Y92" s="3725">
        <f t="shared" si="28"/>
        <v>196.7179223614732</v>
      </c>
      <c r="Z92" s="3725">
        <f t="shared" si="28"/>
        <v>103.27690923977343</v>
      </c>
      <c r="AA92" s="3725">
        <f t="shared" si="28"/>
        <v>103.27690923977343</v>
      </c>
      <c r="AB92" s="3725">
        <f t="shared" si="28"/>
        <v>103.27690923977343</v>
      </c>
      <c r="AC92" s="3725">
        <f t="shared" si="28"/>
        <v>108.4407547017621</v>
      </c>
      <c r="AD92" s="3725">
        <f t="shared" si="28"/>
        <v>108.4407547017621</v>
      </c>
      <c r="AE92" s="3725">
        <f t="shared" si="28"/>
        <v>108.4407547017621</v>
      </c>
      <c r="AF92" s="3725">
        <f t="shared" si="28"/>
        <v>113.86279243685021</v>
      </c>
      <c r="AG92" s="3725">
        <f t="shared" si="28"/>
        <v>113.86279243685021</v>
      </c>
      <c r="AH92" s="3725">
        <f t="shared" si="28"/>
        <v>113.86279243685021</v>
      </c>
      <c r="AI92" s="3725">
        <f t="shared" si="28"/>
        <v>119.55593205869273</v>
      </c>
      <c r="AJ92" s="3725">
        <f t="shared" si="28"/>
        <v>119.55593205869273</v>
      </c>
      <c r="AK92" s="3725">
        <f t="shared" si="28"/>
        <v>119.55593205869273</v>
      </c>
      <c r="AL92" s="3725">
        <f t="shared" si="28"/>
        <v>125.53372866162738</v>
      </c>
      <c r="AM92" s="3725">
        <f t="shared" si="28"/>
        <v>125.53372866162738</v>
      </c>
      <c r="AN92" s="3725">
        <f t="shared" si="28"/>
        <v>125.53372866162738</v>
      </c>
      <c r="AO92" s="3725">
        <f t="shared" si="28"/>
        <v>131.81041509470876</v>
      </c>
      <c r="AP92" s="3725">
        <f t="shared" si="28"/>
        <v>131.81041509470876</v>
      </c>
      <c r="AQ92" s="3725">
        <f t="shared" si="28"/>
        <v>131.81041509470876</v>
      </c>
      <c r="AR92" s="3725">
        <f t="shared" si="28"/>
        <v>138.40093584944421</v>
      </c>
      <c r="AS92" s="3725">
        <f t="shared" si="28"/>
        <v>138.40093584944421</v>
      </c>
      <c r="AT92" s="3725">
        <f t="shared" si="28"/>
        <v>138.40093584944421</v>
      </c>
      <c r="AU92" s="3726">
        <f t="shared" si="28"/>
        <v>145.32098264191643</v>
      </c>
      <c r="AV92" s="3655"/>
      <c r="AW92" s="3610"/>
      <c r="AX92" s="3610"/>
      <c r="AY92" s="3610"/>
    </row>
    <row r="93" spans="1:51" ht="16.5">
      <c r="A93" s="3638"/>
      <c r="B93" s="3652"/>
      <c r="C93" s="3611" t="s">
        <v>4599</v>
      </c>
      <c r="D93" s="3639"/>
      <c r="E93" s="3611"/>
      <c r="F93" s="3723">
        <f t="shared" si="28"/>
        <v>66.109328696749998</v>
      </c>
      <c r="G93" s="3723">
        <f t="shared" si="28"/>
        <v>66.109328696749998</v>
      </c>
      <c r="H93" s="3723">
        <f t="shared" si="28"/>
        <v>69.414795131587496</v>
      </c>
      <c r="I93" s="3723">
        <f t="shared" si="28"/>
        <v>69.414795131587496</v>
      </c>
      <c r="J93" s="3723">
        <f t="shared" si="28"/>
        <v>69.414795131587496</v>
      </c>
      <c r="K93" s="3723">
        <f t="shared" si="28"/>
        <v>0</v>
      </c>
      <c r="L93" s="3723">
        <f t="shared" si="28"/>
        <v>0</v>
      </c>
      <c r="M93" s="3725">
        <f t="shared" si="28"/>
        <v>0</v>
      </c>
      <c r="N93" s="3725">
        <f t="shared" si="28"/>
        <v>0</v>
      </c>
      <c r="O93" s="3725">
        <f t="shared" si="28"/>
        <v>0</v>
      </c>
      <c r="P93" s="3725">
        <f t="shared" si="28"/>
        <v>0</v>
      </c>
      <c r="Q93" s="3725">
        <f t="shared" si="28"/>
        <v>80.356302214203978</v>
      </c>
      <c r="R93" s="3725">
        <f t="shared" si="28"/>
        <v>80.356302214203978</v>
      </c>
      <c r="S93" s="3725">
        <f t="shared" si="28"/>
        <v>80.356302214203978</v>
      </c>
      <c r="T93" s="3725">
        <f t="shared" si="28"/>
        <v>84.374117324914181</v>
      </c>
      <c r="U93" s="3725">
        <f t="shared" si="28"/>
        <v>84.374117324914181</v>
      </c>
      <c r="V93" s="3725">
        <f t="shared" si="28"/>
        <v>0</v>
      </c>
      <c r="W93" s="3725">
        <f t="shared" si="28"/>
        <v>0</v>
      </c>
      <c r="X93" s="3725">
        <f t="shared" si="28"/>
        <v>0</v>
      </c>
      <c r="Y93" s="3725">
        <f t="shared" si="28"/>
        <v>0</v>
      </c>
      <c r="Z93" s="3725">
        <f t="shared" si="28"/>
        <v>0</v>
      </c>
      <c r="AA93" s="3725">
        <f t="shared" si="28"/>
        <v>0</v>
      </c>
      <c r="AB93" s="3725">
        <f t="shared" si="28"/>
        <v>0</v>
      </c>
      <c r="AC93" s="3725">
        <f t="shared" si="28"/>
        <v>0</v>
      </c>
      <c r="AD93" s="3725">
        <f t="shared" si="28"/>
        <v>0</v>
      </c>
      <c r="AE93" s="3725">
        <f t="shared" si="28"/>
        <v>0</v>
      </c>
      <c r="AF93" s="3725">
        <f t="shared" si="28"/>
        <v>102.55726694666649</v>
      </c>
      <c r="AG93" s="3725">
        <f t="shared" si="28"/>
        <v>102.55726694666649</v>
      </c>
      <c r="AH93" s="3725">
        <f t="shared" si="28"/>
        <v>102.55726694666649</v>
      </c>
      <c r="AI93" s="3725">
        <f t="shared" si="28"/>
        <v>107.68513029399982</v>
      </c>
      <c r="AJ93" s="3725">
        <f t="shared" si="28"/>
        <v>107.68513029399982</v>
      </c>
      <c r="AK93" s="3725">
        <f t="shared" si="28"/>
        <v>0</v>
      </c>
      <c r="AL93" s="3725">
        <f t="shared" si="28"/>
        <v>0</v>
      </c>
      <c r="AM93" s="3725">
        <f t="shared" si="28"/>
        <v>113.06938680869982</v>
      </c>
      <c r="AN93" s="3725">
        <f t="shared" si="28"/>
        <v>113.06938680869982</v>
      </c>
      <c r="AO93" s="3725">
        <f t="shared" si="28"/>
        <v>118.72285614913481</v>
      </c>
      <c r="AP93" s="3725">
        <f t="shared" si="28"/>
        <v>118.72285614913481</v>
      </c>
      <c r="AQ93" s="3725">
        <f t="shared" si="28"/>
        <v>118.72285614913481</v>
      </c>
      <c r="AR93" s="3725">
        <f t="shared" si="28"/>
        <v>124.65899895659156</v>
      </c>
      <c r="AS93" s="3725">
        <f t="shared" si="28"/>
        <v>124.65899895659156</v>
      </c>
      <c r="AT93" s="3725">
        <f t="shared" si="28"/>
        <v>124.65899895659156</v>
      </c>
      <c r="AU93" s="3726">
        <f t="shared" si="28"/>
        <v>130.89194890442116</v>
      </c>
      <c r="AV93" s="3655" t="s">
        <v>4637</v>
      </c>
      <c r="AW93" s="3610"/>
      <c r="AX93" s="3610"/>
      <c r="AY93" s="3610"/>
    </row>
    <row r="94" spans="1:51" ht="16.5">
      <c r="A94" s="3638"/>
      <c r="B94" s="3652"/>
      <c r="C94" s="3611" t="s">
        <v>4600</v>
      </c>
      <c r="D94" s="3639"/>
      <c r="E94" s="3611"/>
      <c r="F94" s="3723">
        <f t="shared" si="28"/>
        <v>0</v>
      </c>
      <c r="G94" s="3723">
        <f t="shared" si="28"/>
        <v>0</v>
      </c>
      <c r="H94" s="3723">
        <f t="shared" si="28"/>
        <v>0</v>
      </c>
      <c r="I94" s="3723">
        <f t="shared" si="28"/>
        <v>0</v>
      </c>
      <c r="J94" s="3723">
        <f t="shared" si="28"/>
        <v>0</v>
      </c>
      <c r="K94" s="3723">
        <f t="shared" si="28"/>
        <v>0</v>
      </c>
      <c r="L94" s="3723">
        <f t="shared" si="28"/>
        <v>64.736128625080511</v>
      </c>
      <c r="M94" s="3725">
        <f t="shared" si="28"/>
        <v>64.736128625080511</v>
      </c>
      <c r="N94" s="3725">
        <f t="shared" si="28"/>
        <v>67.972935056334535</v>
      </c>
      <c r="O94" s="3725">
        <f t="shared" si="28"/>
        <v>67.972935056334535</v>
      </c>
      <c r="P94" s="3725">
        <f t="shared" si="28"/>
        <v>67.972935056334535</v>
      </c>
      <c r="Q94" s="3725">
        <f t="shared" si="28"/>
        <v>0</v>
      </c>
      <c r="R94" s="3725">
        <f t="shared" si="28"/>
        <v>0</v>
      </c>
      <c r="S94" s="3725">
        <f t="shared" si="28"/>
        <v>0</v>
      </c>
      <c r="T94" s="3725">
        <f t="shared" si="28"/>
        <v>0</v>
      </c>
      <c r="U94" s="3725">
        <f t="shared" si="28"/>
        <v>0</v>
      </c>
      <c r="V94" s="3725">
        <f t="shared" si="28"/>
        <v>0</v>
      </c>
      <c r="W94" s="3725">
        <f t="shared" si="28"/>
        <v>0</v>
      </c>
      <c r="X94" s="3725">
        <f t="shared" si="28"/>
        <v>0</v>
      </c>
      <c r="Y94" s="3725">
        <f t="shared" si="28"/>
        <v>0</v>
      </c>
      <c r="Z94" s="3725">
        <f t="shared" si="28"/>
        <v>0</v>
      </c>
      <c r="AA94" s="3725">
        <f t="shared" si="28"/>
        <v>82.621527391818745</v>
      </c>
      <c r="AB94" s="3725">
        <f t="shared" si="28"/>
        <v>82.621527391818745</v>
      </c>
      <c r="AC94" s="3725">
        <f t="shared" si="28"/>
        <v>86.752603761409688</v>
      </c>
      <c r="AD94" s="3725">
        <f t="shared" si="28"/>
        <v>86.752603761409688</v>
      </c>
      <c r="AE94" s="3725">
        <f t="shared" si="28"/>
        <v>86.752603761409688</v>
      </c>
      <c r="AF94" s="3725">
        <f t="shared" si="28"/>
        <v>0</v>
      </c>
      <c r="AG94" s="3725">
        <f t="shared" si="28"/>
        <v>0</v>
      </c>
      <c r="AH94" s="3725">
        <f t="shared" si="28"/>
        <v>91.090233949480179</v>
      </c>
      <c r="AI94" s="3725">
        <f t="shared" si="28"/>
        <v>95.644745646954192</v>
      </c>
      <c r="AJ94" s="3725">
        <f t="shared" si="28"/>
        <v>95.644745646954192</v>
      </c>
      <c r="AK94" s="3725">
        <f t="shared" si="28"/>
        <v>95.644745646954192</v>
      </c>
      <c r="AL94" s="3725">
        <f t="shared" si="28"/>
        <v>100.4269829293019</v>
      </c>
      <c r="AM94" s="3725">
        <f t="shared" si="28"/>
        <v>0</v>
      </c>
      <c r="AN94" s="3725">
        <f t="shared" si="28"/>
        <v>0</v>
      </c>
      <c r="AO94" s="3725">
        <f t="shared" si="28"/>
        <v>0</v>
      </c>
      <c r="AP94" s="3725">
        <f t="shared" si="28"/>
        <v>0</v>
      </c>
      <c r="AQ94" s="3725">
        <f t="shared" si="28"/>
        <v>0</v>
      </c>
      <c r="AR94" s="3725">
        <f t="shared" si="28"/>
        <v>0</v>
      </c>
      <c r="AS94" s="3725">
        <f t="shared" si="28"/>
        <v>0</v>
      </c>
      <c r="AT94" s="3725">
        <f t="shared" si="28"/>
        <v>0</v>
      </c>
      <c r="AU94" s="3726">
        <f t="shared" si="28"/>
        <v>0</v>
      </c>
      <c r="AV94" s="3655"/>
      <c r="AW94" s="3610"/>
      <c r="AX94" s="3610"/>
      <c r="AY94" s="3610"/>
    </row>
    <row r="95" spans="1:51" ht="16.5">
      <c r="A95" s="3638"/>
      <c r="B95" s="3652"/>
      <c r="C95" s="3611" t="s">
        <v>4601</v>
      </c>
      <c r="D95" s="3639"/>
      <c r="E95" s="3611"/>
      <c r="F95" s="3723">
        <f t="shared" si="28"/>
        <v>0</v>
      </c>
      <c r="G95" s="3723">
        <f t="shared" si="28"/>
        <v>0</v>
      </c>
      <c r="H95" s="3723">
        <f t="shared" si="28"/>
        <v>51.15925058517</v>
      </c>
      <c r="I95" s="3723">
        <f t="shared" si="28"/>
        <v>51.15925058517</v>
      </c>
      <c r="J95" s="3723">
        <f t="shared" si="28"/>
        <v>51.15925058517</v>
      </c>
      <c r="K95" s="3723">
        <f t="shared" si="28"/>
        <v>53.717213114428503</v>
      </c>
      <c r="L95" s="3723">
        <f t="shared" si="28"/>
        <v>0</v>
      </c>
      <c r="M95" s="3725">
        <f t="shared" si="28"/>
        <v>0</v>
      </c>
      <c r="N95" s="3725">
        <f t="shared" si="28"/>
        <v>0</v>
      </c>
      <c r="O95" s="3725">
        <f t="shared" si="28"/>
        <v>0</v>
      </c>
      <c r="P95" s="3725">
        <f t="shared" si="28"/>
        <v>0</v>
      </c>
      <c r="Q95" s="3725">
        <f t="shared" si="28"/>
        <v>0</v>
      </c>
      <c r="R95" s="3725">
        <f t="shared" si="28"/>
        <v>0</v>
      </c>
      <c r="S95" s="3725">
        <f t="shared" si="28"/>
        <v>0</v>
      </c>
      <c r="T95" s="3725">
        <f t="shared" si="28"/>
        <v>0</v>
      </c>
      <c r="U95" s="3725">
        <f t="shared" si="28"/>
        <v>0</v>
      </c>
      <c r="V95" s="3725">
        <f t="shared" si="28"/>
        <v>0</v>
      </c>
      <c r="W95" s="3725">
        <f t="shared" si="28"/>
        <v>65.293608273169809</v>
      </c>
      <c r="X95" s="3725">
        <f t="shared" si="28"/>
        <v>65.293608273169809</v>
      </c>
      <c r="Y95" s="3725">
        <f t="shared" si="28"/>
        <v>65.293608273169809</v>
      </c>
      <c r="Z95" s="3725">
        <f t="shared" si="28"/>
        <v>68.558288686828305</v>
      </c>
      <c r="AA95" s="3725">
        <f t="shared" si="28"/>
        <v>0</v>
      </c>
      <c r="AB95" s="3725">
        <f t="shared" si="28"/>
        <v>0</v>
      </c>
      <c r="AC95" s="3725">
        <f t="shared" si="28"/>
        <v>0</v>
      </c>
      <c r="AD95" s="3725">
        <f t="shared" si="28"/>
        <v>71.986203121169723</v>
      </c>
      <c r="AE95" s="3725">
        <f t="shared" si="28"/>
        <v>71.986203121169723</v>
      </c>
      <c r="AF95" s="3725">
        <f t="shared" si="28"/>
        <v>75.585513277228216</v>
      </c>
      <c r="AG95" s="3725">
        <f t="shared" si="28"/>
        <v>75.585513277228216</v>
      </c>
      <c r="AH95" s="3725">
        <f t="shared" si="28"/>
        <v>0</v>
      </c>
      <c r="AI95" s="3725">
        <f t="shared" si="28"/>
        <v>0</v>
      </c>
      <c r="AJ95" s="3725">
        <f t="shared" si="28"/>
        <v>0</v>
      </c>
      <c r="AK95" s="3725">
        <f t="shared" si="28"/>
        <v>0</v>
      </c>
      <c r="AL95" s="3725">
        <f t="shared" si="28"/>
        <v>0</v>
      </c>
      <c r="AM95" s="3725">
        <f t="shared" si="28"/>
        <v>0</v>
      </c>
      <c r="AN95" s="3725">
        <f t="shared" si="28"/>
        <v>0</v>
      </c>
      <c r="AO95" s="3725">
        <f t="shared" si="28"/>
        <v>0</v>
      </c>
      <c r="AP95" s="3725">
        <f t="shared" si="28"/>
        <v>0</v>
      </c>
      <c r="AQ95" s="3725">
        <f t="shared" si="28"/>
        <v>0</v>
      </c>
      <c r="AR95" s="3725">
        <f t="shared" si="28"/>
        <v>0</v>
      </c>
      <c r="AS95" s="3725">
        <f t="shared" si="28"/>
        <v>0</v>
      </c>
      <c r="AT95" s="3725">
        <f t="shared" si="28"/>
        <v>0</v>
      </c>
      <c r="AU95" s="3726">
        <f t="shared" si="28"/>
        <v>0</v>
      </c>
      <c r="AV95" s="3655"/>
      <c r="AW95" s="3610"/>
      <c r="AX95" s="3610"/>
      <c r="AY95" s="3610"/>
    </row>
    <row r="96" spans="1:51" ht="16.5">
      <c r="A96" s="3638"/>
      <c r="B96" s="3727"/>
      <c r="C96" s="3662" t="s">
        <v>4642</v>
      </c>
      <c r="D96" s="3639"/>
      <c r="E96" s="3611"/>
      <c r="F96" s="3723">
        <f t="shared" si="28"/>
        <v>33.106718937899998</v>
      </c>
      <c r="G96" s="3723">
        <f t="shared" si="28"/>
        <v>33.106718937899998</v>
      </c>
      <c r="H96" s="3723">
        <f t="shared" si="28"/>
        <v>0</v>
      </c>
      <c r="I96" s="3723">
        <f t="shared" si="28"/>
        <v>0</v>
      </c>
      <c r="J96" s="3723">
        <f t="shared" si="28"/>
        <v>0</v>
      </c>
      <c r="K96" s="3723">
        <f t="shared" si="28"/>
        <v>0</v>
      </c>
      <c r="L96" s="3723">
        <f t="shared" si="28"/>
        <v>0</v>
      </c>
      <c r="M96" s="3725">
        <f t="shared" si="28"/>
        <v>0</v>
      </c>
      <c r="N96" s="3725">
        <f t="shared" si="28"/>
        <v>0</v>
      </c>
      <c r="O96" s="3725">
        <f t="shared" si="28"/>
        <v>0</v>
      </c>
      <c r="P96" s="3725">
        <f t="shared" si="28"/>
        <v>0</v>
      </c>
      <c r="Q96" s="3725">
        <f t="shared" si="28"/>
        <v>0</v>
      </c>
      <c r="R96" s="3725">
        <f t="shared" si="28"/>
        <v>0</v>
      </c>
      <c r="S96" s="3725">
        <f t="shared" si="28"/>
        <v>40.24142378601082</v>
      </c>
      <c r="T96" s="3725">
        <f t="shared" si="28"/>
        <v>42.253494975311362</v>
      </c>
      <c r="U96" s="3725">
        <f t="shared" si="28"/>
        <v>42.253494975311362</v>
      </c>
      <c r="V96" s="3725">
        <f t="shared" si="28"/>
        <v>42.253494975311362</v>
      </c>
      <c r="W96" s="3725">
        <f t="shared" si="28"/>
        <v>0</v>
      </c>
      <c r="X96" s="3725">
        <f t="shared" si="28"/>
        <v>0</v>
      </c>
      <c r="Y96" s="3725">
        <f t="shared" si="28"/>
        <v>0</v>
      </c>
      <c r="Z96" s="3725">
        <f t="shared" si="28"/>
        <v>46.584478210280778</v>
      </c>
      <c r="AA96" s="3725">
        <f t="shared" si="28"/>
        <v>46.584478210280778</v>
      </c>
      <c r="AB96" s="3725">
        <f t="shared" si="28"/>
        <v>46.584478210280778</v>
      </c>
      <c r="AC96" s="3725">
        <f t="shared" si="28"/>
        <v>48.913702120794817</v>
      </c>
      <c r="AD96" s="3725">
        <f t="shared" si="28"/>
        <v>0</v>
      </c>
      <c r="AE96" s="3725">
        <f t="shared" si="28"/>
        <v>0</v>
      </c>
      <c r="AF96" s="3725">
        <f t="shared" si="28"/>
        <v>0</v>
      </c>
      <c r="AG96" s="3725">
        <f t="shared" si="28"/>
        <v>0</v>
      </c>
      <c r="AH96" s="3725">
        <f t="shared" si="28"/>
        <v>0</v>
      </c>
      <c r="AI96" s="3725">
        <f t="shared" si="28"/>
        <v>0</v>
      </c>
      <c r="AJ96" s="3725">
        <f t="shared" si="28"/>
        <v>0</v>
      </c>
      <c r="AK96" s="3725">
        <f t="shared" si="28"/>
        <v>0</v>
      </c>
      <c r="AL96" s="3725">
        <f t="shared" si="28"/>
        <v>0</v>
      </c>
      <c r="AM96" s="3725">
        <f t="shared" si="28"/>
        <v>0</v>
      </c>
      <c r="AN96" s="3725">
        <f t="shared" si="28"/>
        <v>0</v>
      </c>
      <c r="AO96" s="3725">
        <f t="shared" si="28"/>
        <v>0</v>
      </c>
      <c r="AP96" s="3725">
        <f t="shared" si="28"/>
        <v>0</v>
      </c>
      <c r="AQ96" s="3725">
        <f t="shared" si="28"/>
        <v>0</v>
      </c>
      <c r="AR96" s="3725">
        <f t="shared" si="28"/>
        <v>0</v>
      </c>
      <c r="AS96" s="3725">
        <f t="shared" si="28"/>
        <v>0</v>
      </c>
      <c r="AT96" s="3725">
        <f t="shared" si="28"/>
        <v>0</v>
      </c>
      <c r="AU96" s="3726">
        <f t="shared" si="28"/>
        <v>0</v>
      </c>
      <c r="AV96" s="3635" t="s">
        <v>4643</v>
      </c>
      <c r="AW96" s="3609"/>
      <c r="AX96" s="3609"/>
      <c r="AY96" s="3609"/>
    </row>
    <row r="97" spans="1:51" ht="16.5">
      <c r="A97" s="3638"/>
      <c r="B97" s="3609" t="s">
        <v>4612</v>
      </c>
      <c r="C97" s="3666"/>
      <c r="D97" s="3626"/>
      <c r="E97" s="3644"/>
      <c r="F97" s="3721">
        <f>SUM(F98:F102)</f>
        <v>198.22387691119999</v>
      </c>
      <c r="G97" s="3721">
        <f t="shared" ref="G97:AU97" si="29">SUM(G98:G102)</f>
        <v>198.22387691119999</v>
      </c>
      <c r="H97" s="3721">
        <f t="shared" si="29"/>
        <v>215.89641005493752</v>
      </c>
      <c r="I97" s="3721">
        <f t="shared" si="29"/>
        <v>215.89641005493752</v>
      </c>
      <c r="J97" s="3721">
        <f t="shared" si="29"/>
        <v>215.89641005493752</v>
      </c>
      <c r="K97" s="3721">
        <f t="shared" si="29"/>
        <v>234.72585645086815</v>
      </c>
      <c r="L97" s="3721">
        <f t="shared" si="29"/>
        <v>234.72585645086815</v>
      </c>
      <c r="M97" s="3721">
        <f t="shared" si="29"/>
        <v>242.76048234405192</v>
      </c>
      <c r="N97" s="3721">
        <f t="shared" si="29"/>
        <v>254.89850646125453</v>
      </c>
      <c r="O97" s="3721">
        <f t="shared" si="29"/>
        <v>254.89850646125453</v>
      </c>
      <c r="P97" s="3721">
        <f t="shared" si="29"/>
        <v>254.89850646125453</v>
      </c>
      <c r="Q97" s="3721">
        <f t="shared" si="29"/>
        <v>267.64343178431727</v>
      </c>
      <c r="R97" s="3721">
        <f t="shared" si="29"/>
        <v>218.67037830888898</v>
      </c>
      <c r="S97" s="3721">
        <f t="shared" si="29"/>
        <v>169.69732483346073</v>
      </c>
      <c r="T97" s="3721">
        <f t="shared" si="29"/>
        <v>178.18219107513377</v>
      </c>
      <c r="U97" s="3721">
        <f t="shared" si="29"/>
        <v>178.18219107513377</v>
      </c>
      <c r="V97" s="3721">
        <f t="shared" si="29"/>
        <v>198.11308493141269</v>
      </c>
      <c r="W97" s="3721">
        <f t="shared" si="29"/>
        <v>228.94617772707622</v>
      </c>
      <c r="X97" s="3721">
        <f t="shared" si="29"/>
        <v>228.94617772707622</v>
      </c>
      <c r="Y97" s="3721">
        <f t="shared" si="29"/>
        <v>228.94617772707622</v>
      </c>
      <c r="Z97" s="3721">
        <f t="shared" si="29"/>
        <v>197.76429428892783</v>
      </c>
      <c r="AA97" s="3721">
        <f t="shared" si="29"/>
        <v>211.82753299391828</v>
      </c>
      <c r="AB97" s="3721">
        <f t="shared" si="29"/>
        <v>211.82753299391828</v>
      </c>
      <c r="AC97" s="3721">
        <f t="shared" si="29"/>
        <v>222.4189096436142</v>
      </c>
      <c r="AD97" s="3721">
        <f t="shared" si="29"/>
        <v>245.4914106439891</v>
      </c>
      <c r="AE97" s="3721">
        <f t="shared" si="29"/>
        <v>256.41239445083318</v>
      </c>
      <c r="AF97" s="3721">
        <f t="shared" si="29"/>
        <v>280.70004717056122</v>
      </c>
      <c r="AG97" s="3721">
        <f t="shared" si="29"/>
        <v>280.70004717056122</v>
      </c>
      <c r="AH97" s="3721">
        <f t="shared" si="29"/>
        <v>296.20476784281317</v>
      </c>
      <c r="AI97" s="3721">
        <f t="shared" si="29"/>
        <v>311.01500623495383</v>
      </c>
      <c r="AJ97" s="3721">
        <f t="shared" si="29"/>
        <v>322.88580799964677</v>
      </c>
      <c r="AK97" s="3721">
        <f t="shared" si="29"/>
        <v>334.75660976433966</v>
      </c>
      <c r="AL97" s="3721">
        <f t="shared" si="29"/>
        <v>351.49444025255667</v>
      </c>
      <c r="AM97" s="3721">
        <f t="shared" si="29"/>
        <v>364.1368441319546</v>
      </c>
      <c r="AN97" s="3721">
        <f t="shared" si="29"/>
        <v>364.1368441319546</v>
      </c>
      <c r="AO97" s="3721">
        <f t="shared" si="29"/>
        <v>382.34368633855235</v>
      </c>
      <c r="AP97" s="3721">
        <f t="shared" si="29"/>
        <v>382.34368633855235</v>
      </c>
      <c r="AQ97" s="3721">
        <f t="shared" si="29"/>
        <v>382.34368633855235</v>
      </c>
      <c r="AR97" s="3721">
        <f t="shared" si="29"/>
        <v>415.20280754833266</v>
      </c>
      <c r="AS97" s="3721">
        <f t="shared" si="29"/>
        <v>415.20280754833266</v>
      </c>
      <c r="AT97" s="3721">
        <f t="shared" si="29"/>
        <v>415.20280754833266</v>
      </c>
      <c r="AU97" s="3722">
        <f t="shared" si="29"/>
        <v>435.96294792574929</v>
      </c>
      <c r="AV97" s="3655"/>
      <c r="AW97" s="3609"/>
      <c r="AX97" s="3610"/>
      <c r="AY97" s="3610"/>
    </row>
    <row r="98" spans="1:51" ht="16.5">
      <c r="A98" s="3638"/>
      <c r="B98" s="3652" t="s">
        <v>4598</v>
      </c>
      <c r="C98" s="3611" t="s">
        <v>4604</v>
      </c>
      <c r="D98" s="3639"/>
      <c r="E98" s="3611"/>
      <c r="F98" s="3723">
        <f t="shared" ref="F98:AU102" si="30">F30*F66</f>
        <v>73.396971230250003</v>
      </c>
      <c r="G98" s="3723">
        <f t="shared" si="30"/>
        <v>73.396971230250003</v>
      </c>
      <c r="H98" s="3723">
        <f t="shared" si="30"/>
        <v>77.066819791762512</v>
      </c>
      <c r="I98" s="3723">
        <f t="shared" si="30"/>
        <v>77.066819791762512</v>
      </c>
      <c r="J98" s="3723">
        <f t="shared" si="30"/>
        <v>77.066819791762512</v>
      </c>
      <c r="K98" s="3723">
        <f t="shared" si="30"/>
        <v>161.84032156270129</v>
      </c>
      <c r="L98" s="3723">
        <f t="shared" si="30"/>
        <v>161.84032156270129</v>
      </c>
      <c r="M98" s="3725">
        <f t="shared" si="30"/>
        <v>242.76048234405192</v>
      </c>
      <c r="N98" s="3725">
        <f t="shared" si="30"/>
        <v>254.89850646125453</v>
      </c>
      <c r="O98" s="3725">
        <f t="shared" si="30"/>
        <v>254.89850646125453</v>
      </c>
      <c r="P98" s="3725">
        <f t="shared" si="30"/>
        <v>254.89850646125453</v>
      </c>
      <c r="Q98" s="3725">
        <f t="shared" si="30"/>
        <v>267.64343178431727</v>
      </c>
      <c r="R98" s="3725">
        <f t="shared" si="30"/>
        <v>178.42895452287817</v>
      </c>
      <c r="S98" s="3725">
        <f t="shared" si="30"/>
        <v>89.214477261439086</v>
      </c>
      <c r="T98" s="3725">
        <f t="shared" si="30"/>
        <v>93.675201124511048</v>
      </c>
      <c r="U98" s="3725">
        <f t="shared" si="30"/>
        <v>93.675201124511048</v>
      </c>
      <c r="V98" s="3725">
        <f t="shared" si="30"/>
        <v>93.675201124511048</v>
      </c>
      <c r="W98" s="3725">
        <f t="shared" si="30"/>
        <v>98.3589611807366</v>
      </c>
      <c r="X98" s="3725">
        <f t="shared" si="30"/>
        <v>98.3589611807366</v>
      </c>
      <c r="Y98" s="3725">
        <f t="shared" si="30"/>
        <v>98.3589611807366</v>
      </c>
      <c r="Z98" s="3725">
        <f t="shared" si="30"/>
        <v>0</v>
      </c>
      <c r="AA98" s="3725">
        <f t="shared" si="30"/>
        <v>0</v>
      </c>
      <c r="AB98" s="3725">
        <f t="shared" si="30"/>
        <v>0</v>
      </c>
      <c r="AC98" s="3725">
        <f t="shared" si="30"/>
        <v>0</v>
      </c>
      <c r="AD98" s="3725">
        <f t="shared" si="30"/>
        <v>0</v>
      </c>
      <c r="AE98" s="3725">
        <f t="shared" si="30"/>
        <v>0</v>
      </c>
      <c r="AF98" s="3725">
        <f t="shared" si="30"/>
        <v>0</v>
      </c>
      <c r="AG98" s="3725">
        <f t="shared" si="30"/>
        <v>0</v>
      </c>
      <c r="AH98" s="3725">
        <f t="shared" si="30"/>
        <v>0</v>
      </c>
      <c r="AI98" s="3725">
        <f t="shared" si="30"/>
        <v>0</v>
      </c>
      <c r="AJ98" s="3725">
        <f t="shared" si="30"/>
        <v>119.55593205869273</v>
      </c>
      <c r="AK98" s="3725">
        <f t="shared" si="30"/>
        <v>239.11186411738547</v>
      </c>
      <c r="AL98" s="3725">
        <f t="shared" si="30"/>
        <v>251.06745732325476</v>
      </c>
      <c r="AM98" s="3725">
        <f t="shared" si="30"/>
        <v>251.06745732325476</v>
      </c>
      <c r="AN98" s="3725">
        <f t="shared" si="30"/>
        <v>251.06745732325476</v>
      </c>
      <c r="AO98" s="3725">
        <f t="shared" si="30"/>
        <v>263.62083018941752</v>
      </c>
      <c r="AP98" s="3725">
        <f t="shared" si="30"/>
        <v>263.62083018941752</v>
      </c>
      <c r="AQ98" s="3725">
        <f t="shared" si="30"/>
        <v>263.62083018941752</v>
      </c>
      <c r="AR98" s="3725">
        <f t="shared" si="30"/>
        <v>415.20280754833266</v>
      </c>
      <c r="AS98" s="3725">
        <f t="shared" si="30"/>
        <v>415.20280754833266</v>
      </c>
      <c r="AT98" s="3725">
        <f t="shared" si="30"/>
        <v>415.20280754833266</v>
      </c>
      <c r="AU98" s="3726">
        <f t="shared" si="30"/>
        <v>435.96294792574929</v>
      </c>
      <c r="AV98" s="3655"/>
      <c r="AW98" s="3610"/>
      <c r="AX98" s="3610"/>
      <c r="AY98" s="3610"/>
    </row>
    <row r="99" spans="1:51" ht="16.5">
      <c r="A99" s="3638"/>
      <c r="B99" s="3652"/>
      <c r="C99" s="3611" t="s">
        <v>4605</v>
      </c>
      <c r="D99" s="3639"/>
      <c r="E99" s="3611"/>
      <c r="F99" s="3723">
        <f t="shared" si="30"/>
        <v>66.109328696749998</v>
      </c>
      <c r="G99" s="3723">
        <f t="shared" si="30"/>
        <v>66.109328696749998</v>
      </c>
      <c r="H99" s="3723">
        <f t="shared" si="30"/>
        <v>138.82959026317499</v>
      </c>
      <c r="I99" s="3723">
        <f t="shared" si="30"/>
        <v>138.82959026317499</v>
      </c>
      <c r="J99" s="3723">
        <f t="shared" si="30"/>
        <v>138.82959026317499</v>
      </c>
      <c r="K99" s="3723">
        <f t="shared" si="30"/>
        <v>72.885534888166873</v>
      </c>
      <c r="L99" s="3723">
        <f t="shared" si="30"/>
        <v>72.885534888166873</v>
      </c>
      <c r="M99" s="3725">
        <f t="shared" si="30"/>
        <v>0</v>
      </c>
      <c r="N99" s="3725">
        <f t="shared" si="30"/>
        <v>0</v>
      </c>
      <c r="O99" s="3725">
        <f t="shared" si="30"/>
        <v>0</v>
      </c>
      <c r="P99" s="3725">
        <f t="shared" si="30"/>
        <v>0</v>
      </c>
      <c r="Q99" s="3725">
        <f t="shared" si="30"/>
        <v>0</v>
      </c>
      <c r="R99" s="3725">
        <f t="shared" si="30"/>
        <v>0</v>
      </c>
      <c r="S99" s="3725">
        <f t="shared" si="30"/>
        <v>0</v>
      </c>
      <c r="T99" s="3725">
        <f t="shared" si="30"/>
        <v>0</v>
      </c>
      <c r="U99" s="3725">
        <f t="shared" si="30"/>
        <v>0</v>
      </c>
      <c r="V99" s="3725">
        <f t="shared" si="30"/>
        <v>0</v>
      </c>
      <c r="W99" s="3725">
        <f t="shared" si="30"/>
        <v>0</v>
      </c>
      <c r="X99" s="3725">
        <f t="shared" si="30"/>
        <v>0</v>
      </c>
      <c r="Y99" s="3725">
        <f t="shared" si="30"/>
        <v>0</v>
      </c>
      <c r="Z99" s="3725">
        <f t="shared" si="30"/>
        <v>0</v>
      </c>
      <c r="AA99" s="3725">
        <f t="shared" si="30"/>
        <v>0</v>
      </c>
      <c r="AB99" s="3725">
        <f t="shared" si="30"/>
        <v>0</v>
      </c>
      <c r="AC99" s="3725">
        <f t="shared" si="30"/>
        <v>0</v>
      </c>
      <c r="AD99" s="3725">
        <f t="shared" si="30"/>
        <v>0</v>
      </c>
      <c r="AE99" s="3725">
        <f t="shared" si="30"/>
        <v>97.673587568253794</v>
      </c>
      <c r="AF99" s="3725">
        <f t="shared" si="30"/>
        <v>205.11453389333298</v>
      </c>
      <c r="AG99" s="3725">
        <f t="shared" si="30"/>
        <v>205.11453389333298</v>
      </c>
      <c r="AH99" s="3725">
        <f t="shared" si="30"/>
        <v>205.11453389333298</v>
      </c>
      <c r="AI99" s="3725">
        <f t="shared" si="30"/>
        <v>215.37026058799964</v>
      </c>
      <c r="AJ99" s="3725">
        <f t="shared" si="30"/>
        <v>107.68513029399982</v>
      </c>
      <c r="AK99" s="3725">
        <f t="shared" si="30"/>
        <v>0</v>
      </c>
      <c r="AL99" s="3725">
        <f t="shared" si="30"/>
        <v>0</v>
      </c>
      <c r="AM99" s="3725">
        <f t="shared" si="30"/>
        <v>113.06938680869982</v>
      </c>
      <c r="AN99" s="3725">
        <f t="shared" si="30"/>
        <v>113.06938680869982</v>
      </c>
      <c r="AO99" s="3725">
        <f t="shared" si="30"/>
        <v>118.72285614913481</v>
      </c>
      <c r="AP99" s="3725">
        <f t="shared" si="30"/>
        <v>118.72285614913481</v>
      </c>
      <c r="AQ99" s="3725">
        <f t="shared" si="30"/>
        <v>118.72285614913481</v>
      </c>
      <c r="AR99" s="3725">
        <f t="shared" si="30"/>
        <v>0</v>
      </c>
      <c r="AS99" s="3725">
        <f t="shared" si="30"/>
        <v>0</v>
      </c>
      <c r="AT99" s="3725">
        <f t="shared" si="30"/>
        <v>0</v>
      </c>
      <c r="AU99" s="3726">
        <f t="shared" si="30"/>
        <v>0</v>
      </c>
      <c r="AV99" s="3655" t="s">
        <v>4637</v>
      </c>
      <c r="AW99" s="3610"/>
      <c r="AX99" s="3610"/>
      <c r="AY99" s="3610"/>
    </row>
    <row r="100" spans="1:51" ht="16.5">
      <c r="A100" s="3638"/>
      <c r="B100" s="3652"/>
      <c r="C100" s="3649" t="s">
        <v>4644</v>
      </c>
      <c r="D100" s="3639"/>
      <c r="E100" s="3611"/>
      <c r="F100" s="3723">
        <f t="shared" si="30"/>
        <v>58.717576984200001</v>
      </c>
      <c r="G100" s="3723">
        <f t="shared" si="30"/>
        <v>58.717576984200001</v>
      </c>
      <c r="H100" s="3723">
        <f t="shared" si="30"/>
        <v>0</v>
      </c>
      <c r="I100" s="3723">
        <f t="shared" si="30"/>
        <v>0</v>
      </c>
      <c r="J100" s="3723">
        <f t="shared" si="30"/>
        <v>0</v>
      </c>
      <c r="K100" s="3723">
        <f t="shared" si="30"/>
        <v>0</v>
      </c>
      <c r="L100" s="3723">
        <f t="shared" si="30"/>
        <v>0</v>
      </c>
      <c r="M100" s="3725">
        <f t="shared" si="30"/>
        <v>0</v>
      </c>
      <c r="N100" s="3725">
        <f t="shared" si="30"/>
        <v>0</v>
      </c>
      <c r="O100" s="3725">
        <f t="shared" si="30"/>
        <v>0</v>
      </c>
      <c r="P100" s="3725">
        <f t="shared" si="30"/>
        <v>0</v>
      </c>
      <c r="Q100" s="3725">
        <f t="shared" si="30"/>
        <v>0</v>
      </c>
      <c r="R100" s="3725">
        <f t="shared" si="30"/>
        <v>0</v>
      </c>
      <c r="S100" s="3725">
        <f t="shared" si="30"/>
        <v>0</v>
      </c>
      <c r="T100" s="3725">
        <f t="shared" si="30"/>
        <v>0</v>
      </c>
      <c r="U100" s="3725">
        <f t="shared" si="30"/>
        <v>0</v>
      </c>
      <c r="V100" s="3725">
        <f t="shared" si="30"/>
        <v>0</v>
      </c>
      <c r="W100" s="3725">
        <f t="shared" si="30"/>
        <v>0</v>
      </c>
      <c r="X100" s="3725">
        <f t="shared" si="30"/>
        <v>0</v>
      </c>
      <c r="Y100" s="3725">
        <f t="shared" si="30"/>
        <v>0</v>
      </c>
      <c r="Z100" s="3725">
        <f t="shared" si="30"/>
        <v>82.621527391818745</v>
      </c>
      <c r="AA100" s="3725">
        <f t="shared" si="30"/>
        <v>165.24305478363749</v>
      </c>
      <c r="AB100" s="3725">
        <f t="shared" si="30"/>
        <v>165.24305478363749</v>
      </c>
      <c r="AC100" s="3725">
        <f t="shared" si="30"/>
        <v>173.50520752281938</v>
      </c>
      <c r="AD100" s="3725">
        <f t="shared" si="30"/>
        <v>173.50520752281938</v>
      </c>
      <c r="AE100" s="3725">
        <f t="shared" si="30"/>
        <v>86.752603761409688</v>
      </c>
      <c r="AF100" s="3725">
        <f t="shared" si="30"/>
        <v>0</v>
      </c>
      <c r="AG100" s="3725">
        <f t="shared" si="30"/>
        <v>0</v>
      </c>
      <c r="AH100" s="3725">
        <f t="shared" si="30"/>
        <v>91.090233949480179</v>
      </c>
      <c r="AI100" s="3725">
        <f t="shared" si="30"/>
        <v>95.644745646954192</v>
      </c>
      <c r="AJ100" s="3725">
        <f t="shared" si="30"/>
        <v>95.644745646954192</v>
      </c>
      <c r="AK100" s="3725">
        <f t="shared" si="30"/>
        <v>95.644745646954192</v>
      </c>
      <c r="AL100" s="3725">
        <f t="shared" si="30"/>
        <v>100.4269829293019</v>
      </c>
      <c r="AM100" s="3725">
        <f t="shared" si="30"/>
        <v>0</v>
      </c>
      <c r="AN100" s="3725">
        <f t="shared" si="30"/>
        <v>0</v>
      </c>
      <c r="AO100" s="3725">
        <f t="shared" si="30"/>
        <v>0</v>
      </c>
      <c r="AP100" s="3725">
        <f t="shared" si="30"/>
        <v>0</v>
      </c>
      <c r="AQ100" s="3725">
        <f t="shared" si="30"/>
        <v>0</v>
      </c>
      <c r="AR100" s="3725">
        <f t="shared" si="30"/>
        <v>0</v>
      </c>
      <c r="AS100" s="3725">
        <f t="shared" si="30"/>
        <v>0</v>
      </c>
      <c r="AT100" s="3725">
        <f t="shared" si="30"/>
        <v>0</v>
      </c>
      <c r="AU100" s="3726">
        <f t="shared" si="30"/>
        <v>0</v>
      </c>
      <c r="AV100" s="3655" t="s">
        <v>4643</v>
      </c>
      <c r="AW100" s="3610"/>
      <c r="AX100" s="3609"/>
      <c r="AY100" s="3609"/>
    </row>
    <row r="101" spans="1:51" ht="16.5">
      <c r="A101" s="3735"/>
      <c r="B101" s="3671"/>
      <c r="C101" s="3649" t="s">
        <v>4601</v>
      </c>
      <c r="D101" s="3639"/>
      <c r="E101" s="3611"/>
      <c r="F101" s="3723">
        <f t="shared" si="30"/>
        <v>0</v>
      </c>
      <c r="G101" s="3723">
        <f t="shared" si="30"/>
        <v>0</v>
      </c>
      <c r="H101" s="3723">
        <f t="shared" si="30"/>
        <v>0</v>
      </c>
      <c r="I101" s="3723">
        <f t="shared" si="30"/>
        <v>0</v>
      </c>
      <c r="J101" s="3723">
        <f t="shared" si="30"/>
        <v>0</v>
      </c>
      <c r="K101" s="3723">
        <f t="shared" si="30"/>
        <v>0</v>
      </c>
      <c r="L101" s="3723">
        <f t="shared" si="30"/>
        <v>0</v>
      </c>
      <c r="M101" s="3725">
        <f t="shared" si="30"/>
        <v>0</v>
      </c>
      <c r="N101" s="3725">
        <f t="shared" si="30"/>
        <v>0</v>
      </c>
      <c r="O101" s="3725">
        <f t="shared" si="30"/>
        <v>0</v>
      </c>
      <c r="P101" s="3725">
        <f t="shared" si="30"/>
        <v>0</v>
      </c>
      <c r="Q101" s="3725">
        <f t="shared" si="30"/>
        <v>0</v>
      </c>
      <c r="R101" s="3725">
        <f t="shared" si="30"/>
        <v>0</v>
      </c>
      <c r="S101" s="3725">
        <f t="shared" si="30"/>
        <v>0</v>
      </c>
      <c r="T101" s="3725">
        <f t="shared" si="30"/>
        <v>0</v>
      </c>
      <c r="U101" s="3725">
        <f t="shared" si="30"/>
        <v>0</v>
      </c>
      <c r="V101" s="3725">
        <f t="shared" si="30"/>
        <v>62.184388831590297</v>
      </c>
      <c r="W101" s="3725">
        <f t="shared" si="30"/>
        <v>130.58721654633962</v>
      </c>
      <c r="X101" s="3725">
        <f t="shared" si="30"/>
        <v>130.58721654633962</v>
      </c>
      <c r="Y101" s="3725">
        <f t="shared" si="30"/>
        <v>130.58721654633962</v>
      </c>
      <c r="Z101" s="3725">
        <f t="shared" si="30"/>
        <v>68.558288686828305</v>
      </c>
      <c r="AA101" s="3725">
        <f t="shared" si="30"/>
        <v>0</v>
      </c>
      <c r="AB101" s="3725">
        <f t="shared" si="30"/>
        <v>0</v>
      </c>
      <c r="AC101" s="3725">
        <f t="shared" si="30"/>
        <v>0</v>
      </c>
      <c r="AD101" s="3725">
        <f t="shared" si="30"/>
        <v>71.986203121169723</v>
      </c>
      <c r="AE101" s="3725">
        <f t="shared" si="30"/>
        <v>71.986203121169723</v>
      </c>
      <c r="AF101" s="3725">
        <f t="shared" si="30"/>
        <v>75.585513277228216</v>
      </c>
      <c r="AG101" s="3725">
        <f t="shared" si="30"/>
        <v>75.585513277228216</v>
      </c>
      <c r="AH101" s="3725">
        <f t="shared" si="30"/>
        <v>0</v>
      </c>
      <c r="AI101" s="3725">
        <f t="shared" si="30"/>
        <v>0</v>
      </c>
      <c r="AJ101" s="3725">
        <f t="shared" si="30"/>
        <v>0</v>
      </c>
      <c r="AK101" s="3725">
        <f t="shared" si="30"/>
        <v>0</v>
      </c>
      <c r="AL101" s="3725">
        <f t="shared" si="30"/>
        <v>0</v>
      </c>
      <c r="AM101" s="3725">
        <f t="shared" si="30"/>
        <v>0</v>
      </c>
      <c r="AN101" s="3725">
        <f t="shared" si="30"/>
        <v>0</v>
      </c>
      <c r="AO101" s="3725">
        <f t="shared" si="30"/>
        <v>0</v>
      </c>
      <c r="AP101" s="3725">
        <f t="shared" si="30"/>
        <v>0</v>
      </c>
      <c r="AQ101" s="3725">
        <f t="shared" si="30"/>
        <v>0</v>
      </c>
      <c r="AR101" s="3725">
        <f t="shared" si="30"/>
        <v>0</v>
      </c>
      <c r="AS101" s="3725">
        <f t="shared" si="30"/>
        <v>0</v>
      </c>
      <c r="AT101" s="3725">
        <f t="shared" si="30"/>
        <v>0</v>
      </c>
      <c r="AU101" s="3726">
        <f t="shared" si="30"/>
        <v>0</v>
      </c>
      <c r="AV101" s="3655"/>
      <c r="AW101" s="3610"/>
      <c r="AX101" s="3609"/>
      <c r="AY101" s="3609"/>
    </row>
    <row r="102" spans="1:51" ht="16.5">
      <c r="A102" s="3736"/>
      <c r="B102" s="3727"/>
      <c r="C102" s="3649" t="s">
        <v>4602</v>
      </c>
      <c r="D102" s="3728"/>
      <c r="E102" s="3634"/>
      <c r="F102" s="3729">
        <f t="shared" si="30"/>
        <v>0</v>
      </c>
      <c r="G102" s="3729">
        <f t="shared" si="30"/>
        <v>0</v>
      </c>
      <c r="H102" s="3729">
        <f t="shared" si="30"/>
        <v>0</v>
      </c>
      <c r="I102" s="3729">
        <f t="shared" si="30"/>
        <v>0</v>
      </c>
      <c r="J102" s="3729">
        <f t="shared" si="30"/>
        <v>0</v>
      </c>
      <c r="K102" s="3729">
        <f t="shared" si="30"/>
        <v>0</v>
      </c>
      <c r="L102" s="3729">
        <f t="shared" si="30"/>
        <v>0</v>
      </c>
      <c r="M102" s="3730">
        <f t="shared" si="30"/>
        <v>0</v>
      </c>
      <c r="N102" s="3730">
        <f t="shared" si="30"/>
        <v>0</v>
      </c>
      <c r="O102" s="3730">
        <f t="shared" si="30"/>
        <v>0</v>
      </c>
      <c r="P102" s="3730">
        <f t="shared" si="30"/>
        <v>0</v>
      </c>
      <c r="Q102" s="3730">
        <f t="shared" si="30"/>
        <v>0</v>
      </c>
      <c r="R102" s="3730">
        <f t="shared" si="30"/>
        <v>40.24142378601082</v>
      </c>
      <c r="S102" s="3730">
        <f t="shared" si="30"/>
        <v>80.48284757202164</v>
      </c>
      <c r="T102" s="3730">
        <f t="shared" si="30"/>
        <v>84.506989950622724</v>
      </c>
      <c r="U102" s="3730">
        <f t="shared" si="30"/>
        <v>84.506989950622724</v>
      </c>
      <c r="V102" s="3730">
        <f t="shared" si="30"/>
        <v>42.253494975311362</v>
      </c>
      <c r="W102" s="3730">
        <f t="shared" si="30"/>
        <v>0</v>
      </c>
      <c r="X102" s="3730">
        <f t="shared" si="30"/>
        <v>0</v>
      </c>
      <c r="Y102" s="3730">
        <f t="shared" si="30"/>
        <v>0</v>
      </c>
      <c r="Z102" s="3730">
        <f t="shared" si="30"/>
        <v>46.584478210280778</v>
      </c>
      <c r="AA102" s="3730">
        <f t="shared" si="30"/>
        <v>46.584478210280778</v>
      </c>
      <c r="AB102" s="3730">
        <f t="shared" si="30"/>
        <v>46.584478210280778</v>
      </c>
      <c r="AC102" s="3730">
        <f t="shared" si="30"/>
        <v>48.913702120794817</v>
      </c>
      <c r="AD102" s="3730">
        <f t="shared" si="30"/>
        <v>0</v>
      </c>
      <c r="AE102" s="3730">
        <f t="shared" si="30"/>
        <v>0</v>
      </c>
      <c r="AF102" s="3730">
        <f t="shared" si="30"/>
        <v>0</v>
      </c>
      <c r="AG102" s="3730">
        <f t="shared" si="30"/>
        <v>0</v>
      </c>
      <c r="AH102" s="3730">
        <f t="shared" si="30"/>
        <v>0</v>
      </c>
      <c r="AI102" s="3730">
        <f t="shared" si="30"/>
        <v>0</v>
      </c>
      <c r="AJ102" s="3730">
        <f t="shared" si="30"/>
        <v>0</v>
      </c>
      <c r="AK102" s="3730">
        <f t="shared" si="30"/>
        <v>0</v>
      </c>
      <c r="AL102" s="3730">
        <f t="shared" si="30"/>
        <v>0</v>
      </c>
      <c r="AM102" s="3730">
        <f t="shared" si="30"/>
        <v>0</v>
      </c>
      <c r="AN102" s="3730">
        <f t="shared" si="30"/>
        <v>0</v>
      </c>
      <c r="AO102" s="3730">
        <f t="shared" si="30"/>
        <v>0</v>
      </c>
      <c r="AP102" s="3730">
        <f t="shared" si="30"/>
        <v>0</v>
      </c>
      <c r="AQ102" s="3730">
        <f t="shared" si="30"/>
        <v>0</v>
      </c>
      <c r="AR102" s="3730">
        <f t="shared" si="30"/>
        <v>0</v>
      </c>
      <c r="AS102" s="3730">
        <f t="shared" si="30"/>
        <v>0</v>
      </c>
      <c r="AT102" s="3730">
        <f t="shared" si="30"/>
        <v>0</v>
      </c>
      <c r="AU102" s="3731">
        <f t="shared" si="30"/>
        <v>0</v>
      </c>
      <c r="AV102" s="3655"/>
      <c r="AW102" s="3610"/>
      <c r="AX102" s="3609"/>
      <c r="AY102" s="3609"/>
    </row>
    <row r="103" spans="1:51" ht="16.5">
      <c r="A103" s="5622" t="s">
        <v>4625</v>
      </c>
      <c r="B103" s="5623"/>
      <c r="C103" s="3697"/>
      <c r="D103" s="3698"/>
      <c r="E103" s="3699"/>
      <c r="F103" s="3737">
        <f>SUM(F75:F76,F77,F83,F91,F97)</f>
        <v>775.80027526954996</v>
      </c>
      <c r="G103" s="3737">
        <f t="shared" ref="G103:AU103" si="31">SUM(G75:G76,G77,G83,G91,G97)</f>
        <v>853.10134071417497</v>
      </c>
      <c r="H103" s="3737">
        <f t="shared" si="31"/>
        <v>1019.9149427484361</v>
      </c>
      <c r="I103" s="3737">
        <f t="shared" si="31"/>
        <v>1024.0142416735298</v>
      </c>
      <c r="J103" s="3737">
        <f t="shared" si="31"/>
        <v>1052.6546768301851</v>
      </c>
      <c r="K103" s="3737">
        <f t="shared" si="31"/>
        <v>1129.3912883512455</v>
      </c>
      <c r="L103" s="3737">
        <f t="shared" si="31"/>
        <v>1140.4102038618976</v>
      </c>
      <c r="M103" s="3737">
        <f t="shared" si="31"/>
        <v>1165.6618852404752</v>
      </c>
      <c r="N103" s="3737">
        <f t="shared" si="31"/>
        <v>1223.9449795024989</v>
      </c>
      <c r="O103" s="3737">
        <f t="shared" si="31"/>
        <v>1241.0587326549803</v>
      </c>
      <c r="P103" s="3737">
        <f t="shared" si="31"/>
        <v>1241.0587326549803</v>
      </c>
      <c r="Q103" s="3737">
        <f t="shared" si="31"/>
        <v>1312.0963896927819</v>
      </c>
      <c r="R103" s="3737">
        <f t="shared" si="31"/>
        <v>1275.2716905678476</v>
      </c>
      <c r="S103" s="3737">
        <f t="shared" si="31"/>
        <v>1217.567007403002</v>
      </c>
      <c r="T103" s="3737">
        <f t="shared" si="31"/>
        <v>1297.0475253723457</v>
      </c>
      <c r="U103" s="3737">
        <f t="shared" si="31"/>
        <v>1297.0475253723457</v>
      </c>
      <c r="V103" s="3737">
        <f t="shared" si="31"/>
        <v>1326.2795030282216</v>
      </c>
      <c r="W103" s="3737">
        <f t="shared" si="31"/>
        <v>1432.2160951659152</v>
      </c>
      <c r="X103" s="3737">
        <f t="shared" si="31"/>
        <v>1432.2160951659152</v>
      </c>
      <c r="Y103" s="3737">
        <f t="shared" si="31"/>
        <v>1432.2160951659152</v>
      </c>
      <c r="Z103" s="3737">
        <f t="shared" si="31"/>
        <v>1404.5052765702162</v>
      </c>
      <c r="AA103" s="3737">
        <f t="shared" si="31"/>
        <v>1432.6317539801971</v>
      </c>
      <c r="AB103" s="3737">
        <f t="shared" si="31"/>
        <v>1471.0126762792336</v>
      </c>
      <c r="AC103" s="3737">
        <f t="shared" si="31"/>
        <v>1544.563310093195</v>
      </c>
      <c r="AD103" s="3737">
        <f t="shared" si="31"/>
        <v>1590.7083120939451</v>
      </c>
      <c r="AE103" s="3737">
        <f t="shared" si="31"/>
        <v>1482.5751907388544</v>
      </c>
      <c r="AF103" s="3737">
        <f t="shared" si="31"/>
        <v>1579.6380162701701</v>
      </c>
      <c r="AG103" s="3737">
        <f t="shared" si="31"/>
        <v>1602.5720822645426</v>
      </c>
      <c r="AH103" s="3737">
        <f t="shared" si="31"/>
        <v>1633.5815236090464</v>
      </c>
      <c r="AI103" s="3737">
        <f t="shared" si="31"/>
        <v>1766.1354644953258</v>
      </c>
      <c r="AJ103" s="3737">
        <f t="shared" si="31"/>
        <v>1712.3776907895021</v>
      </c>
      <c r="AK103" s="3737">
        <f t="shared" si="31"/>
        <v>1616.5633622601952</v>
      </c>
      <c r="AL103" s="3737">
        <f t="shared" si="31"/>
        <v>1596.7864854174327</v>
      </c>
      <c r="AM103" s="3737">
        <f t="shared" si="31"/>
        <v>1656.2592022585441</v>
      </c>
      <c r="AN103" s="3737">
        <f t="shared" si="31"/>
        <v>1682.968506229103</v>
      </c>
      <c r="AO103" s="3737">
        <f t="shared" si="31"/>
        <v>1767.1169315405582</v>
      </c>
      <c r="AP103" s="3737">
        <f t="shared" si="31"/>
        <v>1767.1169315405582</v>
      </c>
      <c r="AQ103" s="3737">
        <f t="shared" si="31"/>
        <v>1767.1169315405582</v>
      </c>
      <c r="AR103" s="3737">
        <f t="shared" si="31"/>
        <v>1897.0912155645115</v>
      </c>
      <c r="AS103" s="3737">
        <f t="shared" si="31"/>
        <v>1915.9373004461379</v>
      </c>
      <c r="AT103" s="3737">
        <f t="shared" si="31"/>
        <v>1777.5363645966938</v>
      </c>
      <c r="AU103" s="3738">
        <f t="shared" si="31"/>
        <v>1866.4131828265286</v>
      </c>
      <c r="AV103" s="3700"/>
      <c r="AW103" s="3609"/>
      <c r="AX103" s="3609"/>
      <c r="AY103" s="3609"/>
    </row>
    <row r="104" spans="1:51" ht="16.5">
      <c r="A104" s="3609"/>
      <c r="B104" s="3610"/>
      <c r="C104" s="3611"/>
      <c r="D104" s="3610"/>
      <c r="E104" s="3610"/>
      <c r="F104" s="3610"/>
      <c r="G104" s="3610"/>
      <c r="H104" s="3610"/>
      <c r="I104" s="3610"/>
      <c r="J104" s="3610"/>
      <c r="K104" s="3610"/>
      <c r="L104" s="3682"/>
      <c r="M104" s="3610"/>
      <c r="N104" s="3610"/>
      <c r="O104" s="3610"/>
      <c r="P104" s="3610"/>
      <c r="Q104" s="3610"/>
      <c r="R104" s="3610"/>
      <c r="S104" s="3610"/>
      <c r="T104" s="3610"/>
      <c r="U104" s="3610"/>
      <c r="V104" s="3610"/>
      <c r="W104" s="3610"/>
      <c r="X104" s="3610"/>
      <c r="Y104" s="3610"/>
      <c r="Z104" s="3610"/>
      <c r="AA104" s="3610"/>
      <c r="AB104" s="3610"/>
      <c r="AC104" s="3610"/>
      <c r="AD104" s="3610"/>
      <c r="AE104" s="3610"/>
      <c r="AF104" s="3610"/>
      <c r="AG104" s="3610"/>
      <c r="AH104" s="3610"/>
      <c r="AI104" s="3610"/>
      <c r="AJ104" s="3610"/>
      <c r="AK104" s="3610"/>
      <c r="AL104" s="3610"/>
      <c r="AM104" s="3610"/>
      <c r="AN104" s="3610"/>
      <c r="AO104" s="3610"/>
      <c r="AP104" s="3610"/>
      <c r="AQ104" s="3610"/>
      <c r="AR104" s="3610"/>
      <c r="AS104" s="3610"/>
      <c r="AT104" s="3610"/>
      <c r="AU104" s="3610"/>
      <c r="AV104" s="3610"/>
      <c r="AW104" s="3610"/>
      <c r="AX104" s="3610"/>
      <c r="AY104" s="3610"/>
    </row>
    <row r="105" spans="1:51" ht="24">
      <c r="A105" s="3610"/>
      <c r="B105" s="5624" t="s">
        <v>4645</v>
      </c>
      <c r="C105" s="5624"/>
      <c r="D105" s="5624"/>
      <c r="E105" s="5624"/>
      <c r="F105" s="5624"/>
      <c r="G105" s="5624"/>
      <c r="H105" s="5624"/>
      <c r="I105" s="5624"/>
      <c r="J105" s="5624"/>
      <c r="K105" s="5624"/>
      <c r="L105" s="5624"/>
      <c r="M105" s="5624"/>
      <c r="N105" s="5624"/>
      <c r="O105" s="5624"/>
      <c r="P105" s="5624"/>
      <c r="Q105" s="3610"/>
      <c r="R105" s="3610"/>
      <c r="S105" s="3610"/>
      <c r="T105" s="3610"/>
      <c r="U105" s="3610"/>
      <c r="V105" s="3610"/>
      <c r="W105" s="3610"/>
      <c r="X105" s="3610"/>
      <c r="Y105" s="3610"/>
      <c r="Z105" s="3610"/>
      <c r="AA105" s="3610"/>
      <c r="AB105" s="3610"/>
      <c r="AC105" s="3610"/>
      <c r="AD105" s="3610"/>
      <c r="AE105" s="3610"/>
      <c r="AF105" s="3610"/>
      <c r="AG105" s="3610"/>
      <c r="AH105" s="3610"/>
      <c r="AI105" s="3610"/>
      <c r="AJ105" s="3610"/>
      <c r="AK105" s="3610"/>
      <c r="AL105" s="3610"/>
      <c r="AM105" s="3610"/>
      <c r="AN105" s="3610"/>
      <c r="AO105" s="3610"/>
      <c r="AP105" s="3610"/>
      <c r="AQ105" s="3610"/>
      <c r="AR105" s="3610"/>
      <c r="AS105" s="3610"/>
      <c r="AT105" s="3610"/>
      <c r="AU105" s="3610"/>
      <c r="AV105" s="3610"/>
      <c r="AW105" s="3610"/>
      <c r="AX105" s="3610"/>
      <c r="AY105" s="3610"/>
    </row>
    <row r="106" spans="1:51" ht="24.75" thickBot="1">
      <c r="A106" s="3610"/>
      <c r="B106" s="3739" t="s">
        <v>4646</v>
      </c>
      <c r="C106" s="3740"/>
      <c r="D106" s="3740"/>
      <c r="E106" s="3741">
        <v>0.03</v>
      </c>
      <c r="F106" s="3740"/>
      <c r="G106" s="3740"/>
      <c r="H106" s="3740"/>
      <c r="I106" s="3740"/>
      <c r="J106" s="3740"/>
      <c r="K106" s="3740"/>
      <c r="L106" s="3740"/>
      <c r="M106" s="3740"/>
      <c r="N106" s="3740"/>
      <c r="O106" s="3740"/>
      <c r="P106" s="3740"/>
      <c r="Q106" s="3610"/>
      <c r="R106" s="3610"/>
      <c r="S106" s="3610"/>
      <c r="T106" s="3610"/>
      <c r="U106" s="3610"/>
      <c r="V106" s="3610"/>
      <c r="W106" s="3610"/>
      <c r="X106" s="3610"/>
      <c r="Y106" s="3610"/>
      <c r="Z106" s="3610"/>
      <c r="AA106" s="3610"/>
      <c r="AB106" s="3610"/>
      <c r="AC106" s="3610"/>
      <c r="AD106" s="3610"/>
      <c r="AE106" s="3610"/>
      <c r="AF106" s="3610"/>
      <c r="AG106" s="3610"/>
      <c r="AH106" s="3610"/>
      <c r="AI106" s="3610"/>
      <c r="AJ106" s="3610"/>
      <c r="AK106" s="3610"/>
      <c r="AL106" s="3610"/>
      <c r="AM106" s="3610"/>
      <c r="AN106" s="3610"/>
      <c r="AO106" s="3610"/>
      <c r="AP106" s="3610"/>
      <c r="AQ106" s="3610"/>
      <c r="AR106" s="3610"/>
      <c r="AS106" s="3610"/>
      <c r="AT106" s="3610"/>
      <c r="AU106" s="3610"/>
      <c r="AV106" s="3610"/>
      <c r="AW106" s="3610"/>
      <c r="AX106" s="3610"/>
      <c r="AY106" s="3610"/>
    </row>
    <row r="107" spans="1:51" ht="16.5">
      <c r="A107" s="3610"/>
      <c r="B107" s="5618" t="s">
        <v>11</v>
      </c>
      <c r="C107" s="5619"/>
      <c r="D107" s="3742" t="s">
        <v>4647</v>
      </c>
      <c r="E107" s="3743"/>
      <c r="F107" s="3742" t="s">
        <v>4648</v>
      </c>
      <c r="G107" s="3743"/>
      <c r="H107" s="3744" t="s">
        <v>4649</v>
      </c>
      <c r="I107" s="3743"/>
      <c r="J107" s="3744" t="s">
        <v>4650</v>
      </c>
      <c r="K107" s="3744"/>
      <c r="L107" s="3742" t="s">
        <v>4651</v>
      </c>
      <c r="M107" s="3743"/>
      <c r="N107" s="3742" t="s">
        <v>4652</v>
      </c>
      <c r="O107" s="3743"/>
      <c r="P107" s="3742" t="s">
        <v>4653</v>
      </c>
      <c r="Q107" s="3743"/>
      <c r="R107" s="3610"/>
    </row>
    <row r="108" spans="1:51" ht="17.25" thickBot="1">
      <c r="A108" s="3610"/>
      <c r="B108" s="5620"/>
      <c r="C108" s="5621"/>
      <c r="D108" s="3745" t="s">
        <v>4654</v>
      </c>
      <c r="E108" s="3746" t="s">
        <v>4655</v>
      </c>
      <c r="F108" s="3745" t="s">
        <v>4654</v>
      </c>
      <c r="G108" s="3746" t="s">
        <v>4655</v>
      </c>
      <c r="H108" s="3747" t="s">
        <v>4654</v>
      </c>
      <c r="I108" s="3746" t="s">
        <v>4655</v>
      </c>
      <c r="J108" s="3747" t="s">
        <v>4654</v>
      </c>
      <c r="K108" s="3748" t="s">
        <v>4655</v>
      </c>
      <c r="L108" s="3745" t="s">
        <v>4654</v>
      </c>
      <c r="M108" s="3746" t="s">
        <v>4655</v>
      </c>
      <c r="N108" s="3745" t="s">
        <v>4654</v>
      </c>
      <c r="O108" s="3746" t="s">
        <v>4655</v>
      </c>
      <c r="P108" s="3745" t="s">
        <v>4654</v>
      </c>
      <c r="Q108" s="3746" t="s">
        <v>4655</v>
      </c>
      <c r="R108" s="3610"/>
    </row>
    <row r="109" spans="1:51" ht="17.25" thickTop="1">
      <c r="A109" s="3610"/>
      <c r="B109" s="5625" t="s">
        <v>4656</v>
      </c>
      <c r="C109" s="5626"/>
      <c r="D109" s="3749">
        <v>1.03</v>
      </c>
      <c r="E109" s="3750"/>
      <c r="F109" s="3751"/>
      <c r="G109" s="3750"/>
      <c r="H109" s="3752"/>
      <c r="I109" s="3750"/>
      <c r="J109" s="3752"/>
      <c r="K109" s="3753"/>
      <c r="L109" s="3751"/>
      <c r="M109" s="3750"/>
      <c r="N109" s="3751"/>
      <c r="O109" s="3750"/>
      <c r="P109" s="3751"/>
      <c r="Q109" s="3750"/>
      <c r="R109" s="3610"/>
    </row>
    <row r="110" spans="1:51" ht="16.5">
      <c r="A110" s="3610"/>
      <c r="B110" s="3754" t="s">
        <v>4657</v>
      </c>
      <c r="C110" s="3755">
        <v>0.05</v>
      </c>
      <c r="D110" s="3756">
        <f>ROUNDUP(E110/12,-2)</f>
        <v>6612400</v>
      </c>
      <c r="E110" s="3757">
        <f>E111*$D$109</f>
        <v>79348371.105000004</v>
      </c>
      <c r="F110" s="3758">
        <f>ROUNDUP(G110/12,-2)</f>
        <v>5955900</v>
      </c>
      <c r="G110" s="3759">
        <f>G111*$D$109</f>
        <v>71469809.435000002</v>
      </c>
      <c r="H110" s="3760">
        <f>ROUNDUP(I110/12,-2)</f>
        <v>5289900</v>
      </c>
      <c r="I110" s="3757">
        <f>I111*$D$109</f>
        <v>63478696.884000003</v>
      </c>
      <c r="J110" s="3760">
        <f>ROUNDUP(K110/12,-2)</f>
        <v>4389500</v>
      </c>
      <c r="K110" s="3761">
        <f>K111*$D$109</f>
        <v>52673812.308000006</v>
      </c>
      <c r="L110" s="3756">
        <f>ROUNDUP(M110/12,-2)</f>
        <v>2982600</v>
      </c>
      <c r="M110" s="3759">
        <f>M111*$D$109</f>
        <v>35791180.158</v>
      </c>
      <c r="N110" s="3756">
        <f>ROUNDUP(O110/12,-2)</f>
        <v>2630900</v>
      </c>
      <c r="O110" s="3759">
        <f>O111*$D$109</f>
        <v>31570522.120500002</v>
      </c>
      <c r="P110" s="3756">
        <f>ROUNDUP(Q110/12,-2)</f>
        <v>2279200</v>
      </c>
      <c r="Q110" s="3759">
        <f>Q111*$D$109</f>
        <v>27349864.083000001</v>
      </c>
      <c r="R110" s="3610"/>
    </row>
    <row r="111" spans="1:51" ht="16.5">
      <c r="A111" s="3610"/>
      <c r="B111" s="3762" t="s">
        <v>4658</v>
      </c>
      <c r="C111" s="3763">
        <v>0.05</v>
      </c>
      <c r="D111" s="3764">
        <f>ROUNDUP(E111/12,-2)</f>
        <v>6419800</v>
      </c>
      <c r="E111" s="3765">
        <f>E112*$D$109</f>
        <v>77037253.5</v>
      </c>
      <c r="F111" s="3766">
        <f>ROUNDUP(G111/12,-2)</f>
        <v>5782400</v>
      </c>
      <c r="G111" s="3767">
        <f>G112*$D$109</f>
        <v>69388164.5</v>
      </c>
      <c r="H111" s="3768">
        <f>ROUNDUP(I111/12,-2)</f>
        <v>5135900</v>
      </c>
      <c r="I111" s="3767">
        <f>I112*$D$109</f>
        <v>61629802.800000004</v>
      </c>
      <c r="J111" s="3768">
        <f>ROUNDUP(K111/12,-2)</f>
        <v>4261700</v>
      </c>
      <c r="K111" s="3769">
        <f>K112*$D$109</f>
        <v>51139623.600000001</v>
      </c>
      <c r="L111" s="3764">
        <f>ROUNDUP(M111/12,-2)</f>
        <v>2895800</v>
      </c>
      <c r="M111" s="3765">
        <f>M112*$D$109</f>
        <v>34748718.600000001</v>
      </c>
      <c r="N111" s="3764">
        <f>ROUNDUP(O111/12,-2)</f>
        <v>2554300</v>
      </c>
      <c r="O111" s="3767">
        <f>O112*$D$109</f>
        <v>30650992.350000001</v>
      </c>
      <c r="P111" s="3764">
        <f>ROUNDUP(Q111/12,-2)</f>
        <v>2212800</v>
      </c>
      <c r="Q111" s="3767">
        <f>Q112*$D$109</f>
        <v>26553266.100000001</v>
      </c>
      <c r="R111" s="3610"/>
    </row>
    <row r="112" spans="1:51" ht="16.5">
      <c r="A112" s="3610"/>
      <c r="B112" s="3762" t="s">
        <v>4659</v>
      </c>
      <c r="C112" s="3763">
        <v>0.2</v>
      </c>
      <c r="D112" s="3764">
        <f>ROUNDUP(E112/12,-2)</f>
        <v>6232800</v>
      </c>
      <c r="E112" s="3765">
        <f>E113*$D$109</f>
        <v>74793450</v>
      </c>
      <c r="F112" s="3766">
        <f>ROUNDUP(G112/12,-2)</f>
        <v>5614000</v>
      </c>
      <c r="G112" s="3765">
        <f>G113*$D$109</f>
        <v>67367150</v>
      </c>
      <c r="H112" s="3770">
        <f>ROUNDUP(I112/12,-2)</f>
        <v>4986300</v>
      </c>
      <c r="I112" s="3765">
        <f>I113*$D$109</f>
        <v>59834760</v>
      </c>
      <c r="J112" s="3770">
        <f>ROUNDUP(K112/12,-2)</f>
        <v>4137600</v>
      </c>
      <c r="K112" s="3771">
        <f>K113*$D$109</f>
        <v>49650120</v>
      </c>
      <c r="L112" s="3764">
        <f>ROUNDUP(M112/12,-2)</f>
        <v>2811400</v>
      </c>
      <c r="M112" s="3767">
        <f>M113*$D$109</f>
        <v>33736620</v>
      </c>
      <c r="N112" s="3764">
        <f>ROUNDUP(O112/12,-2)</f>
        <v>2479900</v>
      </c>
      <c r="O112" s="3765">
        <f>O113*$D$109</f>
        <v>29758245</v>
      </c>
      <c r="P112" s="3764">
        <f>ROUNDUP(Q112/12,-2)</f>
        <v>2148400</v>
      </c>
      <c r="Q112" s="3765">
        <f>Q113*$D$109</f>
        <v>25779870</v>
      </c>
      <c r="R112" s="3610"/>
    </row>
    <row r="113" spans="1:18" ht="16.5">
      <c r="A113" s="3772"/>
      <c r="B113" s="3773" t="s">
        <v>4660</v>
      </c>
      <c r="C113" s="3774">
        <v>0.6</v>
      </c>
      <c r="D113" s="3775">
        <f>ROUNDUP(E113/12,-2)</f>
        <v>6051300</v>
      </c>
      <c r="E113" s="3776">
        <f>E129*(1+$E$106)</f>
        <v>72615000</v>
      </c>
      <c r="F113" s="3775">
        <f>ROUNDUP(G113/12,-2)</f>
        <v>5450500</v>
      </c>
      <c r="G113" s="3776">
        <f>G129*(1+$E$106)</f>
        <v>65405000</v>
      </c>
      <c r="H113" s="3777">
        <f>ROUNDUP(I113/12,-2)</f>
        <v>4841000</v>
      </c>
      <c r="I113" s="3776">
        <f>I129*(1+$E$106)</f>
        <v>58092000</v>
      </c>
      <c r="J113" s="3777">
        <f>ROUNDUP(K113/12,-2)</f>
        <v>4017000</v>
      </c>
      <c r="K113" s="3776">
        <f>K129*(1+$E$106)</f>
        <v>48204000</v>
      </c>
      <c r="L113" s="3775">
        <f>ROUNDUP(M113/12,-2)</f>
        <v>2729500</v>
      </c>
      <c r="M113" s="3776">
        <f>M129*(1+$E$106)</f>
        <v>32754000</v>
      </c>
      <c r="N113" s="3775">
        <f>ROUNDUP(O113/12,-2)</f>
        <v>2407700</v>
      </c>
      <c r="O113" s="3776">
        <f>O129*(1+$E$106)</f>
        <v>28891500</v>
      </c>
      <c r="P113" s="3775">
        <f>ROUNDUP(Q113/12,-2)</f>
        <v>2085800</v>
      </c>
      <c r="Q113" s="3776">
        <f>Q129*(1+$E$106)</f>
        <v>25029000</v>
      </c>
      <c r="R113" s="3772"/>
    </row>
    <row r="114" spans="1:18" ht="17.25" thickBot="1">
      <c r="A114" s="3610"/>
      <c r="B114" s="3778" t="s">
        <v>4661</v>
      </c>
      <c r="C114" s="3779">
        <v>0.1</v>
      </c>
      <c r="D114" s="3780">
        <f>ROUNDUP(E114/12,-2)</f>
        <v>5875000</v>
      </c>
      <c r="E114" s="3781">
        <f>E113/$D$109</f>
        <v>70500000</v>
      </c>
      <c r="F114" s="3780">
        <f>ROUNDUP(G114/12,-2)</f>
        <v>5291700</v>
      </c>
      <c r="G114" s="3781">
        <f>G113/$D$109</f>
        <v>63500000</v>
      </c>
      <c r="H114" s="3782">
        <f>ROUNDUP(I114/12,-2)</f>
        <v>4700000</v>
      </c>
      <c r="I114" s="3781">
        <f>I113/$D$109</f>
        <v>56400000</v>
      </c>
      <c r="J114" s="3782">
        <f>ROUNDUP(K114/12,-2)</f>
        <v>3900000</v>
      </c>
      <c r="K114" s="3783">
        <f>K113/$D$109</f>
        <v>46800000</v>
      </c>
      <c r="L114" s="3780">
        <f>ROUNDUP(M114/12,-2)</f>
        <v>2650000</v>
      </c>
      <c r="M114" s="3781">
        <f>M113/$D$109</f>
        <v>31800000</v>
      </c>
      <c r="N114" s="3780">
        <f>ROUNDUP(O114/12,-2)</f>
        <v>2337500</v>
      </c>
      <c r="O114" s="3781">
        <f>O113/$D$109</f>
        <v>28050000</v>
      </c>
      <c r="P114" s="3780">
        <f>ROUNDUP(Q114/12,-2)</f>
        <v>2025000</v>
      </c>
      <c r="Q114" s="3781">
        <f>Q113/$D$109</f>
        <v>24300000</v>
      </c>
      <c r="R114" s="3610"/>
    </row>
    <row r="115" spans="1:18" ht="16.5">
      <c r="A115" s="3610"/>
      <c r="B115" s="3784"/>
      <c r="C115" s="3784"/>
      <c r="D115" s="3784"/>
      <c r="E115" s="3785"/>
      <c r="F115" s="3785"/>
      <c r="G115" s="3785"/>
      <c r="H115" s="3785"/>
      <c r="I115" s="3785"/>
      <c r="J115" s="3785"/>
      <c r="K115" s="3785"/>
      <c r="L115" s="3785"/>
      <c r="M115" s="3785"/>
      <c r="N115" s="3785"/>
      <c r="O115" s="3785"/>
      <c r="P115" s="3785"/>
      <c r="Q115" s="3785"/>
      <c r="R115" s="3610"/>
    </row>
    <row r="116" spans="1:18" ht="16.5">
      <c r="A116" s="3610"/>
      <c r="B116" s="3786"/>
      <c r="C116" s="3787"/>
      <c r="D116" s="3788"/>
      <c r="E116" s="3789">
        <f>E110*C110</f>
        <v>3967418.5552500002</v>
      </c>
      <c r="F116" s="3790"/>
      <c r="G116" s="3789">
        <f>G110*C110</f>
        <v>3573490.4717500005</v>
      </c>
      <c r="H116" s="3790"/>
      <c r="I116" s="3789">
        <f>I110*C110</f>
        <v>3173934.8442000002</v>
      </c>
      <c r="J116" s="3790"/>
      <c r="K116" s="3791">
        <f>K110*C110</f>
        <v>2633690.6154000005</v>
      </c>
      <c r="L116" s="3790"/>
      <c r="M116" s="3791">
        <f>M110*C110</f>
        <v>1789559.0079000001</v>
      </c>
      <c r="N116" s="3790"/>
      <c r="O116" s="3791">
        <f>O110*C110</f>
        <v>1578526.1060250001</v>
      </c>
      <c r="P116" s="3790"/>
      <c r="Q116" s="3791">
        <f>Q110*C110</f>
        <v>1367493.2041500001</v>
      </c>
      <c r="R116" s="3610"/>
    </row>
    <row r="117" spans="1:18" ht="16.5">
      <c r="A117" s="3610"/>
      <c r="B117" s="3792"/>
      <c r="C117" s="3793"/>
      <c r="D117" s="3794"/>
      <c r="E117" s="3795">
        <f>E111*C111</f>
        <v>3851862.6750000003</v>
      </c>
      <c r="F117" s="3796"/>
      <c r="G117" s="3795">
        <f>G111*C111</f>
        <v>3469408.2250000001</v>
      </c>
      <c r="H117" s="3796"/>
      <c r="I117" s="3795">
        <f>I111*C111</f>
        <v>3081490.1400000006</v>
      </c>
      <c r="J117" s="3796"/>
      <c r="K117" s="3796">
        <f>K111*C111</f>
        <v>2556981.1800000002</v>
      </c>
      <c r="L117" s="3796"/>
      <c r="M117" s="3796">
        <f>M111*C111</f>
        <v>1737435.9300000002</v>
      </c>
      <c r="N117" s="3796"/>
      <c r="O117" s="3796">
        <f>O111*C111</f>
        <v>1532549.6175000002</v>
      </c>
      <c r="P117" s="3796"/>
      <c r="Q117" s="3796">
        <f>Q111*C111</f>
        <v>1327663.3050000002</v>
      </c>
      <c r="R117" s="3610"/>
    </row>
    <row r="118" spans="1:18" ht="16.5">
      <c r="A118" s="3610"/>
      <c r="B118" s="3792"/>
      <c r="C118" s="3793"/>
      <c r="D118" s="3794"/>
      <c r="E118" s="3795">
        <f>E112*C112</f>
        <v>14958690</v>
      </c>
      <c r="F118" s="3796"/>
      <c r="G118" s="3795">
        <f>G112*C112</f>
        <v>13473430</v>
      </c>
      <c r="H118" s="3796"/>
      <c r="I118" s="3795">
        <f>I112*C112</f>
        <v>11966952</v>
      </c>
      <c r="J118" s="3796"/>
      <c r="K118" s="3796">
        <f>K112*C112</f>
        <v>9930024</v>
      </c>
      <c r="L118" s="3796"/>
      <c r="M118" s="3796">
        <f>M112*C112</f>
        <v>6747324</v>
      </c>
      <c r="N118" s="3796"/>
      <c r="O118" s="3796">
        <f>O112*C112</f>
        <v>5951649</v>
      </c>
      <c r="P118" s="3796"/>
      <c r="Q118" s="3796">
        <f>Q112*C112</f>
        <v>5155974</v>
      </c>
      <c r="R118" s="3610"/>
    </row>
    <row r="119" spans="1:18" ht="16.5">
      <c r="A119" s="3610"/>
      <c r="B119" s="3792"/>
      <c r="C119" s="3793"/>
      <c r="D119" s="3794"/>
      <c r="E119" s="3795">
        <f>E113*C113</f>
        <v>43569000</v>
      </c>
      <c r="F119" s="3796"/>
      <c r="G119" s="3795">
        <f>G113*C113</f>
        <v>39243000</v>
      </c>
      <c r="H119" s="3796"/>
      <c r="I119" s="3795">
        <f>I113*C113</f>
        <v>34855200</v>
      </c>
      <c r="J119" s="3796"/>
      <c r="K119" s="3796">
        <f>K113*C113</f>
        <v>28922400</v>
      </c>
      <c r="L119" s="3796"/>
      <c r="M119" s="3796">
        <f>M113*C113</f>
        <v>19652400</v>
      </c>
      <c r="N119" s="3796"/>
      <c r="O119" s="3796">
        <f>O113*C113</f>
        <v>17334900</v>
      </c>
      <c r="P119" s="3796"/>
      <c r="Q119" s="3796">
        <f>Q113*C113</f>
        <v>15017400</v>
      </c>
      <c r="R119" s="3610"/>
    </row>
    <row r="120" spans="1:18" ht="16.5">
      <c r="A120" s="3610"/>
      <c r="B120" s="3797"/>
      <c r="C120" s="3793"/>
      <c r="D120" s="3794"/>
      <c r="E120" s="3795">
        <f>E114*C114</f>
        <v>7050000</v>
      </c>
      <c r="F120" s="3796"/>
      <c r="G120" s="3795">
        <f>G114*C114</f>
        <v>6350000</v>
      </c>
      <c r="H120" s="3796"/>
      <c r="I120" s="3795">
        <f>I114*C114</f>
        <v>5640000</v>
      </c>
      <c r="J120" s="3796"/>
      <c r="K120" s="3796">
        <f>K114*C114</f>
        <v>4680000</v>
      </c>
      <c r="L120" s="3796"/>
      <c r="M120" s="3796">
        <f>M114*C114</f>
        <v>3180000</v>
      </c>
      <c r="N120" s="3796"/>
      <c r="O120" s="3796">
        <f>O114*C114</f>
        <v>2805000</v>
      </c>
      <c r="P120" s="3796"/>
      <c r="Q120" s="3796">
        <f>Q114*C114</f>
        <v>2430000</v>
      </c>
      <c r="R120" s="3610"/>
    </row>
    <row r="121" spans="1:18" ht="16.5">
      <c r="A121" s="3772"/>
      <c r="B121" s="3798" t="s">
        <v>4662</v>
      </c>
      <c r="C121" s="3799"/>
      <c r="D121" s="3799"/>
      <c r="E121" s="3800">
        <f>SUM(E116:E120)/SUM(C110:C114)</f>
        <v>73396971.230250001</v>
      </c>
      <c r="F121" s="3801"/>
      <c r="G121" s="3800">
        <f>SUM(G116:G120)/SUM(C110:C114)</f>
        <v>66109328.69675</v>
      </c>
      <c r="H121" s="3801"/>
      <c r="I121" s="3800">
        <f>SUM(I116:I120)/SUM(C110:C114)</f>
        <v>58717576.984200001</v>
      </c>
      <c r="J121" s="3801"/>
      <c r="K121" s="3801">
        <f>SUM(K116:K120)/SUM(C110:C114)</f>
        <v>48723095.795400001</v>
      </c>
      <c r="L121" s="3801"/>
      <c r="M121" s="3801">
        <f>SUM(M116:M120)/SUM(C110:C114)</f>
        <v>33106718.937899999</v>
      </c>
      <c r="N121" s="3801"/>
      <c r="O121" s="3801">
        <f>SUM(O116:O120)/SUM(C110:C114)</f>
        <v>29202624.723525003</v>
      </c>
      <c r="P121" s="3801"/>
      <c r="Q121" s="3801">
        <f>SUM(Q116:Q120)/SUM(C110:C114)</f>
        <v>25298530.509149998</v>
      </c>
      <c r="R121" s="3772"/>
    </row>
    <row r="122" spans="1:18" ht="16.5">
      <c r="A122" s="3610"/>
      <c r="B122" s="3784"/>
      <c r="C122" s="3784"/>
      <c r="D122" s="3784"/>
      <c r="E122" s="3785"/>
      <c r="F122" s="3785"/>
      <c r="G122" s="3785"/>
      <c r="H122" s="3785"/>
      <c r="I122" s="3785"/>
      <c r="J122" s="3785"/>
      <c r="K122" s="3785"/>
      <c r="L122" s="3785"/>
      <c r="M122" s="3785"/>
      <c r="N122" s="3785"/>
      <c r="O122" s="3785"/>
      <c r="P122" s="3785"/>
      <c r="Q122" s="3785">
        <f>O113-Q113</f>
        <v>3862500</v>
      </c>
      <c r="R122" s="3610"/>
    </row>
    <row r="123" spans="1:18" ht="24.75" thickBot="1">
      <c r="B123" s="3739" t="s">
        <v>4663</v>
      </c>
      <c r="C123" s="3740"/>
      <c r="D123" s="3740"/>
      <c r="E123" s="3740"/>
      <c r="F123" s="3740"/>
      <c r="G123" s="3740"/>
      <c r="H123" s="3740"/>
      <c r="I123" s="3740"/>
      <c r="J123" s="3740"/>
      <c r="K123" s="3740"/>
      <c r="L123" s="3740"/>
      <c r="M123" s="3740"/>
      <c r="N123" s="3740"/>
      <c r="O123" s="3740"/>
      <c r="P123" s="3740"/>
      <c r="Q123" s="3610"/>
    </row>
    <row r="124" spans="1:18" ht="14.25">
      <c r="B124" s="5618" t="s">
        <v>11</v>
      </c>
      <c r="C124" s="5619"/>
      <c r="D124" s="3742" t="s">
        <v>4647</v>
      </c>
      <c r="E124" s="3743"/>
      <c r="F124" s="3742" t="s">
        <v>4648</v>
      </c>
      <c r="G124" s="3743"/>
      <c r="H124" s="3744" t="s">
        <v>4649</v>
      </c>
      <c r="I124" s="3743"/>
      <c r="J124" s="3744" t="s">
        <v>4650</v>
      </c>
      <c r="K124" s="3744"/>
      <c r="L124" s="3742" t="s">
        <v>4651</v>
      </c>
      <c r="M124" s="3743"/>
      <c r="N124" s="3742" t="s">
        <v>4652</v>
      </c>
      <c r="O124" s="3743"/>
      <c r="P124" s="3742" t="s">
        <v>4653</v>
      </c>
      <c r="Q124" s="3743"/>
    </row>
    <row r="125" spans="1:18" ht="15" thickBot="1">
      <c r="B125" s="5620"/>
      <c r="C125" s="5621"/>
      <c r="D125" s="3745" t="s">
        <v>4654</v>
      </c>
      <c r="E125" s="3746" t="s">
        <v>4655</v>
      </c>
      <c r="F125" s="3745" t="s">
        <v>4654</v>
      </c>
      <c r="G125" s="3746" t="s">
        <v>4655</v>
      </c>
      <c r="H125" s="3747" t="s">
        <v>4654</v>
      </c>
      <c r="I125" s="3746" t="s">
        <v>4655</v>
      </c>
      <c r="J125" s="3747" t="s">
        <v>4654</v>
      </c>
      <c r="K125" s="3748" t="s">
        <v>4655</v>
      </c>
      <c r="L125" s="3745" t="s">
        <v>4654</v>
      </c>
      <c r="M125" s="3746" t="s">
        <v>4655</v>
      </c>
      <c r="N125" s="3745" t="s">
        <v>4654</v>
      </c>
      <c r="O125" s="3746" t="s">
        <v>4655</v>
      </c>
      <c r="P125" s="3745" t="s">
        <v>4654</v>
      </c>
      <c r="Q125" s="3746" t="s">
        <v>4655</v>
      </c>
    </row>
    <row r="126" spans="1:18" ht="15" thickTop="1">
      <c r="B126" s="3754" t="s">
        <v>4657</v>
      </c>
      <c r="C126" s="3755">
        <v>0.05</v>
      </c>
      <c r="D126" s="3756">
        <v>6419800</v>
      </c>
      <c r="E126" s="3757">
        <v>77037253.5</v>
      </c>
      <c r="F126" s="3758">
        <v>5782400</v>
      </c>
      <c r="G126" s="3759">
        <v>69388164.5</v>
      </c>
      <c r="H126" s="3760">
        <v>5135900</v>
      </c>
      <c r="I126" s="3757">
        <v>61629802.800000004</v>
      </c>
      <c r="J126" s="3760">
        <v>4261700</v>
      </c>
      <c r="K126" s="3761">
        <v>51139623.600000001</v>
      </c>
      <c r="L126" s="3756">
        <v>2895800</v>
      </c>
      <c r="M126" s="3759">
        <v>34748718.600000001</v>
      </c>
      <c r="N126" s="3756">
        <v>2554300</v>
      </c>
      <c r="O126" s="3759">
        <v>30650992.350000001</v>
      </c>
      <c r="P126" s="3756">
        <v>2212800</v>
      </c>
      <c r="Q126" s="3759">
        <v>26553266.100000001</v>
      </c>
    </row>
    <row r="127" spans="1:18" ht="14.25">
      <c r="B127" s="3762" t="s">
        <v>4658</v>
      </c>
      <c r="C127" s="3763">
        <v>0.05</v>
      </c>
      <c r="D127" s="3764">
        <v>6232800</v>
      </c>
      <c r="E127" s="3765">
        <v>74793450</v>
      </c>
      <c r="F127" s="3766">
        <v>5614000</v>
      </c>
      <c r="G127" s="3767">
        <v>67367150</v>
      </c>
      <c r="H127" s="3768">
        <v>4986300</v>
      </c>
      <c r="I127" s="3767">
        <v>59834760</v>
      </c>
      <c r="J127" s="3768">
        <v>4137600</v>
      </c>
      <c r="K127" s="3769">
        <v>49650120</v>
      </c>
      <c r="L127" s="3764">
        <v>2811400</v>
      </c>
      <c r="M127" s="3765">
        <v>33736620</v>
      </c>
      <c r="N127" s="3764">
        <v>2479900</v>
      </c>
      <c r="O127" s="3767">
        <v>29758245</v>
      </c>
      <c r="P127" s="3764">
        <v>2148400</v>
      </c>
      <c r="Q127" s="3767">
        <v>25779870</v>
      </c>
    </row>
    <row r="128" spans="1:18" ht="14.25">
      <c r="B128" s="3762" t="s">
        <v>4659</v>
      </c>
      <c r="C128" s="3763">
        <v>0.2</v>
      </c>
      <c r="D128" s="3764">
        <v>6051300</v>
      </c>
      <c r="E128" s="3765">
        <v>72615000</v>
      </c>
      <c r="F128" s="3766">
        <v>5450500</v>
      </c>
      <c r="G128" s="3765">
        <v>65405000</v>
      </c>
      <c r="H128" s="3770">
        <v>4841000</v>
      </c>
      <c r="I128" s="3765">
        <v>58092000</v>
      </c>
      <c r="J128" s="3770">
        <v>4017000</v>
      </c>
      <c r="K128" s="3771">
        <v>48204000</v>
      </c>
      <c r="L128" s="3764">
        <v>2729500</v>
      </c>
      <c r="M128" s="3767">
        <v>32754000</v>
      </c>
      <c r="N128" s="3764">
        <v>2407700</v>
      </c>
      <c r="O128" s="3765">
        <v>28891500</v>
      </c>
      <c r="P128" s="3764">
        <v>2085800</v>
      </c>
      <c r="Q128" s="3765">
        <v>25029000</v>
      </c>
    </row>
    <row r="129" spans="2:17" ht="14.25">
      <c r="B129" s="3773" t="s">
        <v>4660</v>
      </c>
      <c r="C129" s="3802">
        <v>0.6</v>
      </c>
      <c r="D129" s="3775">
        <v>5875000</v>
      </c>
      <c r="E129" s="3803">
        <v>70500000</v>
      </c>
      <c r="F129" s="3775">
        <v>5291700</v>
      </c>
      <c r="G129" s="3803">
        <v>63500000</v>
      </c>
      <c r="H129" s="3804">
        <v>4700000</v>
      </c>
      <c r="I129" s="3803">
        <v>56400000</v>
      </c>
      <c r="J129" s="3804">
        <v>3900000</v>
      </c>
      <c r="K129" s="3803">
        <v>46800000</v>
      </c>
      <c r="L129" s="3775">
        <v>2650000</v>
      </c>
      <c r="M129" s="3803">
        <v>31800000</v>
      </c>
      <c r="N129" s="3775">
        <v>2337500</v>
      </c>
      <c r="O129" s="3803">
        <v>28050000</v>
      </c>
      <c r="P129" s="3775">
        <v>2025000</v>
      </c>
      <c r="Q129" s="3803">
        <v>24300000</v>
      </c>
    </row>
    <row r="130" spans="2:17" ht="15" thickBot="1">
      <c r="B130" s="3778" t="s">
        <v>4661</v>
      </c>
      <c r="C130" s="3779">
        <v>0.1</v>
      </c>
      <c r="D130" s="3780">
        <v>5703900</v>
      </c>
      <c r="E130" s="3781">
        <v>68446601.941747576</v>
      </c>
      <c r="F130" s="3780">
        <v>5137600</v>
      </c>
      <c r="G130" s="3781">
        <v>61650485.436893202</v>
      </c>
      <c r="H130" s="3782">
        <v>4563200</v>
      </c>
      <c r="I130" s="3781">
        <v>54757281.553398058</v>
      </c>
      <c r="J130" s="3782">
        <v>3786500</v>
      </c>
      <c r="K130" s="3783">
        <v>45436893.203883491</v>
      </c>
      <c r="L130" s="3780">
        <v>2572900</v>
      </c>
      <c r="M130" s="3781">
        <v>30873786.40776699</v>
      </c>
      <c r="N130" s="3780">
        <v>2269500</v>
      </c>
      <c r="O130" s="3781">
        <v>27233009.708737865</v>
      </c>
      <c r="P130" s="3780">
        <v>1966100</v>
      </c>
      <c r="Q130" s="3781">
        <v>23592233.009708736</v>
      </c>
    </row>
    <row r="131" spans="2:17" ht="14.25">
      <c r="B131" s="3784"/>
      <c r="C131" s="3784"/>
      <c r="D131" s="3784"/>
      <c r="E131" s="3785"/>
      <c r="F131" s="3785"/>
      <c r="G131" s="3785"/>
      <c r="H131" s="3785"/>
      <c r="I131" s="3785"/>
      <c r="J131" s="3785"/>
      <c r="K131" s="3785"/>
      <c r="L131" s="3785"/>
      <c r="M131" s="3785"/>
      <c r="N131" s="3785"/>
      <c r="O131" s="3785"/>
      <c r="P131" s="3785"/>
      <c r="Q131" s="3785"/>
    </row>
  </sheetData>
  <mergeCells count="6">
    <mergeCell ref="B124:C125"/>
    <mergeCell ref="A61:B61"/>
    <mergeCell ref="A103:B103"/>
    <mergeCell ref="B105:P105"/>
    <mergeCell ref="B107:C108"/>
    <mergeCell ref="B109:C109"/>
  </mergeCells>
  <phoneticPr fontId="12" type="noConversion"/>
  <pageMargins left="0.7" right="0.7" top="0.75" bottom="0.75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4112-B02C-42ED-8AC2-123730FA42C5}">
  <sheetPr codeName="Sheet14"/>
  <dimension ref="A1:AT63"/>
  <sheetViews>
    <sheetView zoomScaleNormal="100" workbookViewId="0">
      <selection activeCell="B10" sqref="B10:C10"/>
    </sheetView>
  </sheetViews>
  <sheetFormatPr defaultColWidth="8.88671875" defaultRowHeight="16.5"/>
  <cols>
    <col min="1" max="2" width="8.88671875" style="2696"/>
    <col min="3" max="3" width="9.109375" style="2696" bestFit="1" customWidth="1"/>
    <col min="4" max="4" width="11.77734375" style="2696" bestFit="1" customWidth="1"/>
    <col min="5" max="12" width="11.44140625" style="2696" bestFit="1" customWidth="1"/>
    <col min="13" max="29" width="12.77734375" style="2696" bestFit="1" customWidth="1"/>
    <col min="30" max="44" width="14.6640625" style="2696" bestFit="1" customWidth="1"/>
    <col min="45" max="16384" width="8.88671875" style="2696"/>
  </cols>
  <sheetData>
    <row r="1" spans="1:46">
      <c r="A1" s="3805" t="s">
        <v>4664</v>
      </c>
      <c r="B1" s="3806"/>
      <c r="C1" s="3806"/>
      <c r="D1" s="3806"/>
      <c r="E1" s="3806"/>
      <c r="F1" s="3807"/>
      <c r="G1" s="3808"/>
      <c r="H1" s="3808"/>
      <c r="I1" s="3808"/>
      <c r="J1" s="3808"/>
      <c r="K1" s="3806"/>
      <c r="L1" s="3806"/>
      <c r="M1" s="3385"/>
      <c r="N1" s="3385"/>
      <c r="O1" s="3385"/>
      <c r="P1" s="3385"/>
      <c r="Q1" s="3385"/>
      <c r="R1" s="3385"/>
      <c r="S1" s="3385"/>
      <c r="T1" s="3385"/>
      <c r="U1" s="3385"/>
      <c r="V1" s="3385"/>
      <c r="W1" s="3385"/>
      <c r="X1" s="3385"/>
      <c r="Y1" s="3385"/>
      <c r="Z1" s="3385"/>
      <c r="AA1" s="3385"/>
      <c r="AB1" s="3385"/>
      <c r="AC1" s="3385"/>
      <c r="AD1" s="3385"/>
      <c r="AE1" s="3385"/>
      <c r="AF1" s="3385"/>
      <c r="AG1" s="3385"/>
      <c r="AH1" s="3385"/>
      <c r="AI1" s="3385"/>
      <c r="AJ1" s="3385"/>
      <c r="AK1" s="3385"/>
      <c r="AL1" s="3385"/>
      <c r="AM1" s="3385"/>
      <c r="AN1" s="3385"/>
      <c r="AO1" s="3385"/>
      <c r="AP1" s="3385"/>
      <c r="AQ1" s="3385"/>
      <c r="AR1" s="3385"/>
      <c r="AS1" s="3385"/>
      <c r="AT1" s="3385"/>
    </row>
    <row r="2" spans="1:46" ht="17.25" thickBot="1">
      <c r="A2" s="5645" t="s">
        <v>4437</v>
      </c>
      <c r="B2" s="5645"/>
      <c r="C2" s="5646"/>
      <c r="D2" s="3809" t="s">
        <v>4665</v>
      </c>
      <c r="E2" s="3810" t="s">
        <v>4666</v>
      </c>
      <c r="F2" s="3811" t="s">
        <v>4667</v>
      </c>
      <c r="G2" s="3812" t="s">
        <v>4668</v>
      </c>
      <c r="H2" s="3812" t="s">
        <v>4669</v>
      </c>
      <c r="I2" s="3813" t="s">
        <v>4670</v>
      </c>
      <c r="J2" s="3814" t="s">
        <v>4455</v>
      </c>
      <c r="K2" s="3810" t="s">
        <v>4671</v>
      </c>
      <c r="L2" s="3385"/>
      <c r="M2" s="3385"/>
      <c r="N2" s="3385"/>
      <c r="O2" s="3385"/>
      <c r="P2" s="3385"/>
      <c r="Q2" s="3385"/>
      <c r="R2" s="3385"/>
      <c r="S2" s="3385"/>
      <c r="T2" s="3385"/>
      <c r="U2" s="3385"/>
      <c r="V2" s="3385"/>
      <c r="W2" s="3385"/>
      <c r="X2" s="3385"/>
      <c r="Y2" s="3385"/>
      <c r="Z2" s="3385"/>
      <c r="AA2" s="3385"/>
      <c r="AB2" s="3385"/>
      <c r="AC2" s="3385"/>
      <c r="AD2" s="3385"/>
      <c r="AE2" s="3385"/>
      <c r="AF2" s="3385"/>
      <c r="AG2" s="3385"/>
      <c r="AH2" s="3385"/>
      <c r="AI2" s="3385"/>
      <c r="AJ2" s="3385"/>
      <c r="AK2" s="3385"/>
      <c r="AL2" s="3385"/>
      <c r="AM2" s="3385"/>
      <c r="AN2" s="3385"/>
      <c r="AO2" s="3385"/>
      <c r="AP2" s="3385"/>
      <c r="AQ2" s="3385"/>
      <c r="AR2" s="3385"/>
      <c r="AS2" s="3385"/>
      <c r="AT2" s="3385"/>
    </row>
    <row r="3" spans="1:46" ht="17.25" thickTop="1">
      <c r="A3" s="5647" t="s">
        <v>4672</v>
      </c>
      <c r="B3" s="5649" t="s">
        <v>4673</v>
      </c>
      <c r="C3" s="5650"/>
      <c r="D3" s="3815">
        <v>195674</v>
      </c>
      <c r="E3" s="3816">
        <v>241038</v>
      </c>
      <c r="F3" s="3817">
        <v>249562</v>
      </c>
      <c r="G3" s="3818">
        <v>243634</v>
      </c>
      <c r="H3" s="3818">
        <v>251211</v>
      </c>
      <c r="I3" s="3819"/>
      <c r="J3" s="3820">
        <f>SUM(D3:H3)</f>
        <v>1181119</v>
      </c>
      <c r="K3" s="3821">
        <f>J3/5</f>
        <v>236223.8</v>
      </c>
      <c r="L3" s="3385"/>
      <c r="M3" s="3385"/>
      <c r="N3" s="3385"/>
      <c r="O3" s="3385"/>
      <c r="P3" s="3385"/>
      <c r="Q3" s="3385"/>
      <c r="R3" s="3385"/>
      <c r="S3" s="3385"/>
      <c r="T3" s="3385"/>
      <c r="U3" s="3385"/>
      <c r="V3" s="3385"/>
      <c r="W3" s="3385"/>
      <c r="X3" s="3385"/>
      <c r="Y3" s="3385"/>
      <c r="Z3" s="3385"/>
      <c r="AA3" s="3385"/>
      <c r="AB3" s="3385"/>
      <c r="AC3" s="3385"/>
      <c r="AD3" s="3385"/>
      <c r="AE3" s="3385"/>
      <c r="AF3" s="3385"/>
      <c r="AG3" s="3385"/>
      <c r="AH3" s="3385"/>
      <c r="AI3" s="3385"/>
      <c r="AJ3" s="3385"/>
      <c r="AK3" s="3385"/>
      <c r="AL3" s="3385"/>
      <c r="AM3" s="3385"/>
      <c r="AN3" s="3385"/>
      <c r="AO3" s="3385"/>
      <c r="AP3" s="3385"/>
      <c r="AQ3" s="3385"/>
      <c r="AR3" s="3385"/>
      <c r="AS3" s="3385"/>
      <c r="AT3" s="3385"/>
    </row>
    <row r="4" spans="1:46" ht="17.25" thickBot="1">
      <c r="A4" s="5648"/>
      <c r="B4" s="5651" t="s">
        <v>4674</v>
      </c>
      <c r="C4" s="5652"/>
      <c r="D4" s="3822">
        <f>D3/12</f>
        <v>16306.166666666666</v>
      </c>
      <c r="E4" s="3823">
        <f>E3/12</f>
        <v>20086.5</v>
      </c>
      <c r="F4" s="3824">
        <f>F3/12</f>
        <v>20796.833333333332</v>
      </c>
      <c r="G4" s="3825">
        <f>G3/12</f>
        <v>20302.833333333332</v>
      </c>
      <c r="H4" s="3825">
        <f>H3/12</f>
        <v>20934.25</v>
      </c>
      <c r="I4" s="3825"/>
      <c r="J4" s="5672">
        <f>K3/12</f>
        <v>19685.316666666666</v>
      </c>
      <c r="K4" s="5673"/>
      <c r="L4" s="3385"/>
      <c r="M4" s="3385"/>
      <c r="N4" s="3385"/>
      <c r="O4" s="3385"/>
      <c r="P4" s="3385"/>
      <c r="Q4" s="3385"/>
      <c r="R4" s="3385"/>
      <c r="S4" s="3385"/>
      <c r="T4" s="3385"/>
      <c r="U4" s="3385"/>
      <c r="V4" s="3385"/>
      <c r="W4" s="3385"/>
      <c r="X4" s="3385"/>
      <c r="Y4" s="3385"/>
      <c r="Z4" s="3385"/>
      <c r="AA4" s="3385"/>
      <c r="AB4" s="3385"/>
      <c r="AC4" s="3385"/>
      <c r="AD4" s="3385"/>
      <c r="AE4" s="3385"/>
      <c r="AF4" s="3385"/>
      <c r="AG4" s="3385"/>
      <c r="AH4" s="3385"/>
      <c r="AI4" s="3385"/>
      <c r="AJ4" s="3385"/>
      <c r="AK4" s="3385"/>
      <c r="AL4" s="3385"/>
      <c r="AM4" s="3385"/>
      <c r="AN4" s="3385"/>
      <c r="AO4" s="3385"/>
      <c r="AP4" s="3385"/>
      <c r="AQ4" s="3385"/>
      <c r="AR4" s="3385"/>
      <c r="AS4" s="3385"/>
      <c r="AT4" s="3385"/>
    </row>
    <row r="5" spans="1:46" ht="17.25" thickTop="1">
      <c r="A5" s="5669" t="s">
        <v>4675</v>
      </c>
      <c r="B5" s="5654" t="s">
        <v>4676</v>
      </c>
      <c r="C5" s="3826" t="s">
        <v>4677</v>
      </c>
      <c r="D5" s="3827">
        <v>21611</v>
      </c>
      <c r="E5" s="3828">
        <v>26448</v>
      </c>
      <c r="F5" s="3829">
        <v>28846</v>
      </c>
      <c r="G5" s="3830">
        <v>31078</v>
      </c>
      <c r="H5" s="3830">
        <v>31460</v>
      </c>
      <c r="I5" s="3830"/>
      <c r="J5" s="3831">
        <f>SUM(D5:H5)</f>
        <v>139443</v>
      </c>
      <c r="K5" s="3832">
        <f>J5/5</f>
        <v>27888.6</v>
      </c>
      <c r="L5" s="3385"/>
      <c r="M5" s="3385"/>
      <c r="N5" s="3385"/>
      <c r="O5" s="3385"/>
      <c r="P5" s="3385"/>
      <c r="Q5" s="3385"/>
      <c r="R5" s="3385"/>
      <c r="S5" s="3385"/>
      <c r="T5" s="3385"/>
      <c r="U5" s="3385"/>
      <c r="V5" s="3385"/>
      <c r="W5" s="3385"/>
      <c r="X5" s="3385"/>
      <c r="Y5" s="3385"/>
      <c r="Z5" s="3385"/>
      <c r="AA5" s="3385"/>
      <c r="AB5" s="3385"/>
      <c r="AC5" s="3385"/>
      <c r="AD5" s="3385"/>
      <c r="AE5" s="3385"/>
      <c r="AF5" s="3385"/>
      <c r="AG5" s="3385"/>
      <c r="AH5" s="3385"/>
      <c r="AI5" s="3385"/>
      <c r="AJ5" s="3385"/>
      <c r="AK5" s="3385"/>
      <c r="AL5" s="3385"/>
      <c r="AM5" s="3385"/>
      <c r="AN5" s="3385"/>
      <c r="AO5" s="3385"/>
      <c r="AP5" s="3385"/>
      <c r="AQ5" s="3385"/>
      <c r="AR5" s="3385"/>
      <c r="AS5" s="3385"/>
      <c r="AT5" s="3385"/>
    </row>
    <row r="6" spans="1:46">
      <c r="A6" s="5630"/>
      <c r="B6" s="5633"/>
      <c r="C6" s="3833" t="s">
        <v>4674</v>
      </c>
      <c r="D6" s="3834">
        <f>D5/12</f>
        <v>1800.9166666666667</v>
      </c>
      <c r="E6" s="3835">
        <f>E5/12</f>
        <v>2204</v>
      </c>
      <c r="F6" s="3836">
        <f>F5/12</f>
        <v>2403.8333333333335</v>
      </c>
      <c r="G6" s="3837">
        <f>G5/12</f>
        <v>2589.8333333333335</v>
      </c>
      <c r="H6" s="3837">
        <f>H5/12</f>
        <v>2621.6666666666665</v>
      </c>
      <c r="I6" s="3837"/>
      <c r="J6" s="5655">
        <f>K5/12</f>
        <v>2324.0499999999997</v>
      </c>
      <c r="K6" s="5656"/>
      <c r="L6" s="3385"/>
      <c r="M6" s="3385"/>
      <c r="N6" s="3385"/>
      <c r="O6" s="3385"/>
      <c r="P6" s="3385"/>
      <c r="Q6" s="3385"/>
      <c r="R6" s="3385"/>
      <c r="S6" s="3385"/>
      <c r="T6" s="3385"/>
      <c r="U6" s="3385"/>
      <c r="V6" s="3385"/>
      <c r="W6" s="3385"/>
      <c r="X6" s="3385"/>
      <c r="Y6" s="3385"/>
      <c r="Z6" s="3385"/>
      <c r="AA6" s="3385"/>
      <c r="AB6" s="3385"/>
      <c r="AC6" s="3385"/>
      <c r="AD6" s="3385"/>
      <c r="AE6" s="3385"/>
      <c r="AF6" s="3385"/>
      <c r="AG6" s="3385"/>
      <c r="AH6" s="3385"/>
      <c r="AI6" s="3385"/>
      <c r="AJ6" s="3385"/>
      <c r="AK6" s="3385"/>
      <c r="AL6" s="3385"/>
      <c r="AM6" s="3385"/>
      <c r="AN6" s="3385"/>
      <c r="AO6" s="3385"/>
      <c r="AP6" s="3385"/>
      <c r="AQ6" s="3385"/>
      <c r="AR6" s="3385"/>
      <c r="AS6" s="3385"/>
      <c r="AT6" s="3385"/>
    </row>
    <row r="7" spans="1:46">
      <c r="A7" s="5630"/>
      <c r="B7" s="5634" t="s">
        <v>4678</v>
      </c>
      <c r="C7" s="3833" t="s">
        <v>4677</v>
      </c>
      <c r="D7" s="3834">
        <v>448800</v>
      </c>
      <c r="E7" s="3835">
        <v>564100</v>
      </c>
      <c r="F7" s="3836">
        <v>587050</v>
      </c>
      <c r="G7" s="3837">
        <v>666078</v>
      </c>
      <c r="H7" s="3837">
        <v>681217</v>
      </c>
      <c r="I7" s="3837"/>
      <c r="J7" s="3838">
        <f>SUM(D7:H7)</f>
        <v>2947245</v>
      </c>
      <c r="K7" s="3839">
        <f>J7/5</f>
        <v>589449</v>
      </c>
      <c r="L7" s="3385"/>
      <c r="M7" s="3385"/>
      <c r="N7" s="3385"/>
      <c r="O7" s="3385"/>
      <c r="P7" s="3385"/>
      <c r="Q7" s="3385"/>
      <c r="R7" s="3385"/>
      <c r="S7" s="3385"/>
      <c r="T7" s="3385"/>
      <c r="U7" s="3385"/>
      <c r="V7" s="3385"/>
      <c r="W7" s="3385"/>
      <c r="X7" s="3385"/>
      <c r="Y7" s="3385"/>
      <c r="Z7" s="3385"/>
      <c r="AA7" s="3385"/>
      <c r="AB7" s="3385"/>
      <c r="AC7" s="3385"/>
      <c r="AD7" s="3385"/>
      <c r="AE7" s="3385"/>
      <c r="AF7" s="3385"/>
      <c r="AG7" s="3385"/>
      <c r="AH7" s="3385"/>
      <c r="AI7" s="3385"/>
      <c r="AJ7" s="3385"/>
      <c r="AK7" s="3385"/>
      <c r="AL7" s="3385"/>
      <c r="AM7" s="3385"/>
      <c r="AN7" s="3385"/>
      <c r="AO7" s="3385"/>
      <c r="AP7" s="3385"/>
      <c r="AQ7" s="3385"/>
      <c r="AR7" s="3385"/>
      <c r="AS7" s="3385"/>
      <c r="AT7" s="3385"/>
    </row>
    <row r="8" spans="1:46">
      <c r="A8" s="5630"/>
      <c r="B8" s="5633"/>
      <c r="C8" s="3833" t="s">
        <v>4674</v>
      </c>
      <c r="D8" s="3834">
        <f>D7/12</f>
        <v>37400</v>
      </c>
      <c r="E8" s="3835">
        <f>E7/12</f>
        <v>47008.333333333336</v>
      </c>
      <c r="F8" s="3836">
        <f>F7/12</f>
        <v>48920.833333333336</v>
      </c>
      <c r="G8" s="3837">
        <f>G7/12</f>
        <v>55506.5</v>
      </c>
      <c r="H8" s="3837">
        <f>H7/12</f>
        <v>56768.083333333336</v>
      </c>
      <c r="I8" s="3837"/>
      <c r="J8" s="5655">
        <f>K7/12</f>
        <v>49120.75</v>
      </c>
      <c r="K8" s="5656"/>
      <c r="L8" s="3385"/>
      <c r="M8" s="3385"/>
      <c r="N8" s="3385"/>
      <c r="O8" s="3385"/>
      <c r="P8" s="3385"/>
      <c r="Q8" s="3385"/>
      <c r="R8" s="3385"/>
      <c r="S8" s="3385"/>
      <c r="T8" s="3385"/>
      <c r="U8" s="3385"/>
      <c r="V8" s="3385"/>
      <c r="W8" s="3385"/>
      <c r="X8" s="3385"/>
      <c r="Y8" s="3385"/>
      <c r="Z8" s="3385"/>
      <c r="AA8" s="3385"/>
      <c r="AB8" s="3385"/>
      <c r="AC8" s="3385"/>
      <c r="AD8" s="3385"/>
      <c r="AE8" s="3385"/>
      <c r="AF8" s="3385"/>
      <c r="AG8" s="3385"/>
      <c r="AH8" s="3385"/>
      <c r="AI8" s="3385"/>
      <c r="AJ8" s="3385"/>
      <c r="AK8" s="3385"/>
      <c r="AL8" s="3385"/>
      <c r="AM8" s="3385"/>
      <c r="AN8" s="3385"/>
      <c r="AO8" s="3385"/>
      <c r="AP8" s="3385"/>
      <c r="AQ8" s="3385"/>
      <c r="AR8" s="3385"/>
      <c r="AS8" s="3385"/>
      <c r="AT8" s="3385"/>
    </row>
    <row r="9" spans="1:46">
      <c r="A9" s="5630"/>
      <c r="B9" s="5657" t="s">
        <v>4679</v>
      </c>
      <c r="C9" s="5658"/>
      <c r="D9" s="3840">
        <f>D7/D5</f>
        <v>20.767201887927445</v>
      </c>
      <c r="E9" s="3841">
        <f>E7/E5</f>
        <v>21.328644888082273</v>
      </c>
      <c r="F9" s="3842">
        <f>F7/F5</f>
        <v>20.351175206267765</v>
      </c>
      <c r="G9" s="3843">
        <f>G7/G5</f>
        <v>21.432460261278074</v>
      </c>
      <c r="H9" s="3843">
        <f>H7/H5</f>
        <v>21.653432930705659</v>
      </c>
      <c r="I9" s="3843"/>
      <c r="J9" s="5659">
        <f>J7/J5</f>
        <v>21.135840450936943</v>
      </c>
      <c r="K9" s="5660"/>
      <c r="L9" s="3385"/>
      <c r="M9" s="3385"/>
      <c r="N9" s="3385"/>
      <c r="O9" s="3385"/>
      <c r="P9" s="3385"/>
      <c r="Q9" s="3385"/>
      <c r="R9" s="3385"/>
      <c r="S9" s="3385"/>
      <c r="T9" s="3385"/>
      <c r="U9" s="3385"/>
      <c r="V9" s="3385"/>
      <c r="W9" s="3385"/>
      <c r="X9" s="3385"/>
      <c r="Y9" s="3385"/>
      <c r="Z9" s="3385"/>
      <c r="AA9" s="3385"/>
      <c r="AB9" s="3385"/>
      <c r="AC9" s="3385"/>
      <c r="AD9" s="3385"/>
      <c r="AE9" s="3385"/>
      <c r="AF9" s="3385"/>
      <c r="AG9" s="3385"/>
      <c r="AH9" s="3385"/>
      <c r="AI9" s="3385"/>
      <c r="AJ9" s="3385"/>
      <c r="AK9" s="3385"/>
      <c r="AL9" s="3385"/>
      <c r="AM9" s="3385"/>
      <c r="AN9" s="3385"/>
      <c r="AO9" s="3385"/>
      <c r="AP9" s="3385"/>
      <c r="AQ9" s="3385"/>
      <c r="AR9" s="3385"/>
      <c r="AS9" s="3385"/>
      <c r="AT9" s="3385"/>
    </row>
    <row r="10" spans="1:46">
      <c r="A10" s="5630"/>
      <c r="B10" s="5638" t="s">
        <v>4680</v>
      </c>
      <c r="C10" s="5639"/>
      <c r="D10" s="3844">
        <f>D7/D$3</f>
        <v>2.2936108016394616</v>
      </c>
      <c r="E10" s="3845">
        <f>E7/E$3</f>
        <v>2.3402948912619586</v>
      </c>
      <c r="F10" s="3846">
        <f>F7/F$3</f>
        <v>2.3523212668595379</v>
      </c>
      <c r="G10" s="3847">
        <f>G7/G$3</f>
        <v>2.7339287619954522</v>
      </c>
      <c r="H10" s="3847">
        <f>H7/H$3</f>
        <v>2.7117323684074344</v>
      </c>
      <c r="I10" s="3847"/>
      <c r="J10" s="3848">
        <f>SUM(D10:H10)/5</f>
        <v>2.4863776180327686</v>
      </c>
      <c r="K10" s="3849"/>
      <c r="L10" s="3385"/>
      <c r="M10" s="3385"/>
      <c r="N10" s="3385"/>
      <c r="O10" s="3385"/>
      <c r="P10" s="3385"/>
      <c r="Q10" s="3385"/>
      <c r="R10" s="3385"/>
      <c r="S10" s="3385"/>
      <c r="T10" s="3385"/>
      <c r="U10" s="3385"/>
      <c r="V10" s="3385"/>
      <c r="W10" s="3385"/>
      <c r="X10" s="3385"/>
      <c r="Y10" s="3385"/>
      <c r="Z10" s="3385"/>
      <c r="AA10" s="3385"/>
      <c r="AB10" s="3385"/>
      <c r="AC10" s="3385"/>
      <c r="AD10" s="3385"/>
      <c r="AE10" s="3385"/>
      <c r="AF10" s="3385"/>
      <c r="AG10" s="3385"/>
      <c r="AH10" s="3385"/>
      <c r="AI10" s="3385"/>
      <c r="AJ10" s="3385"/>
      <c r="AK10" s="3385"/>
      <c r="AL10" s="3385"/>
      <c r="AM10" s="3385"/>
      <c r="AN10" s="3385"/>
      <c r="AO10" s="3385"/>
      <c r="AP10" s="3385"/>
      <c r="AQ10" s="3385"/>
      <c r="AR10" s="3385"/>
      <c r="AS10" s="3385"/>
      <c r="AT10" s="3385"/>
    </row>
    <row r="11" spans="1:46">
      <c r="A11" s="5669" t="s">
        <v>4681</v>
      </c>
      <c r="B11" s="5654" t="s">
        <v>4676</v>
      </c>
      <c r="C11" s="3826" t="s">
        <v>4677</v>
      </c>
      <c r="D11" s="3827">
        <v>7408</v>
      </c>
      <c r="E11" s="3828">
        <v>8638</v>
      </c>
      <c r="F11" s="3829">
        <v>8264</v>
      </c>
      <c r="G11" s="3830">
        <v>7783</v>
      </c>
      <c r="H11" s="3830">
        <v>6039</v>
      </c>
      <c r="I11" s="3830"/>
      <c r="J11" s="3831">
        <f>SUM(D11:H11)</f>
        <v>38132</v>
      </c>
      <c r="K11" s="3832">
        <f>J11/5</f>
        <v>7626.4</v>
      </c>
      <c r="L11" s="3385"/>
      <c r="M11" s="3385"/>
      <c r="N11" s="3385"/>
      <c r="O11" s="3385"/>
      <c r="P11" s="3385"/>
      <c r="Q11" s="3385"/>
      <c r="R11" s="3385"/>
      <c r="S11" s="3385"/>
      <c r="T11" s="3385"/>
      <c r="U11" s="3385"/>
      <c r="V11" s="3385"/>
      <c r="W11" s="3385"/>
      <c r="X11" s="3385"/>
      <c r="Y11" s="3385"/>
      <c r="Z11" s="3385"/>
      <c r="AA11" s="3385"/>
      <c r="AB11" s="3385"/>
      <c r="AC11" s="3385"/>
      <c r="AD11" s="3385"/>
      <c r="AE11" s="3385"/>
      <c r="AF11" s="3385"/>
      <c r="AG11" s="3385"/>
      <c r="AH11" s="3385"/>
      <c r="AI11" s="3385"/>
      <c r="AJ11" s="3385"/>
      <c r="AK11" s="3385"/>
      <c r="AL11" s="3385"/>
      <c r="AM11" s="3385"/>
      <c r="AN11" s="3385"/>
      <c r="AO11" s="3385"/>
      <c r="AP11" s="3385"/>
      <c r="AQ11" s="3385"/>
      <c r="AR11" s="3385"/>
      <c r="AS11" s="3385"/>
      <c r="AT11" s="3385"/>
    </row>
    <row r="12" spans="1:46">
      <c r="A12" s="5670"/>
      <c r="B12" s="5633"/>
      <c r="C12" s="3833" t="s">
        <v>4674</v>
      </c>
      <c r="D12" s="3834">
        <f>D11/12</f>
        <v>617.33333333333337</v>
      </c>
      <c r="E12" s="3835">
        <f>E11/12</f>
        <v>719.83333333333337</v>
      </c>
      <c r="F12" s="3836">
        <f>F11/12</f>
        <v>688.66666666666663</v>
      </c>
      <c r="G12" s="3837">
        <f>G11/12</f>
        <v>648.58333333333337</v>
      </c>
      <c r="H12" s="3837">
        <f>H11/12</f>
        <v>503.25</v>
      </c>
      <c r="I12" s="3837"/>
      <c r="J12" s="5655">
        <f>K11/12</f>
        <v>635.5333333333333</v>
      </c>
      <c r="K12" s="5656"/>
      <c r="L12" s="3385"/>
      <c r="M12" s="3385"/>
      <c r="N12" s="3385"/>
      <c r="O12" s="3385"/>
      <c r="P12" s="3385"/>
      <c r="Q12" s="3385"/>
      <c r="R12" s="3385"/>
      <c r="S12" s="3385"/>
      <c r="T12" s="3385"/>
      <c r="U12" s="3385"/>
      <c r="V12" s="3385"/>
      <c r="W12" s="3385"/>
      <c r="X12" s="3385"/>
      <c r="Y12" s="3385"/>
      <c r="Z12" s="3385"/>
      <c r="AA12" s="3385"/>
      <c r="AB12" s="3385"/>
      <c r="AC12" s="3385"/>
      <c r="AD12" s="3385"/>
      <c r="AE12" s="3385"/>
      <c r="AF12" s="3385"/>
      <c r="AG12" s="3385"/>
      <c r="AH12" s="3385"/>
      <c r="AI12" s="3385"/>
      <c r="AJ12" s="3385"/>
      <c r="AK12" s="3385"/>
      <c r="AL12" s="3385"/>
      <c r="AM12" s="3385"/>
      <c r="AN12" s="3385"/>
      <c r="AO12" s="3385"/>
      <c r="AP12" s="3385"/>
      <c r="AQ12" s="3385"/>
      <c r="AR12" s="3385"/>
      <c r="AS12" s="3385"/>
      <c r="AT12" s="3385"/>
    </row>
    <row r="13" spans="1:46">
      <c r="A13" s="5670"/>
      <c r="B13" s="5634" t="s">
        <v>4678</v>
      </c>
      <c r="C13" s="3833" t="s">
        <v>4677</v>
      </c>
      <c r="D13" s="3834">
        <v>123106</v>
      </c>
      <c r="E13" s="3835">
        <v>139631</v>
      </c>
      <c r="F13" s="3836">
        <v>121224</v>
      </c>
      <c r="G13" s="3837">
        <v>113995</v>
      </c>
      <c r="H13" s="3837">
        <v>90630</v>
      </c>
      <c r="I13" s="3837"/>
      <c r="J13" s="3838">
        <f>SUM(D13:H13)</f>
        <v>588586</v>
      </c>
      <c r="K13" s="3839">
        <f>J13/5</f>
        <v>117717.2</v>
      </c>
      <c r="L13" s="3385"/>
      <c r="M13" s="3385"/>
      <c r="N13" s="3385"/>
      <c r="O13" s="3385"/>
      <c r="P13" s="3385"/>
      <c r="Q13" s="3385"/>
      <c r="R13" s="3385"/>
      <c r="S13" s="3385"/>
      <c r="T13" s="3385"/>
      <c r="U13" s="3385"/>
      <c r="V13" s="3385"/>
      <c r="W13" s="3385"/>
      <c r="X13" s="3385"/>
      <c r="Y13" s="3385"/>
      <c r="Z13" s="3385"/>
      <c r="AA13" s="3385"/>
      <c r="AB13" s="3385"/>
      <c r="AC13" s="3385"/>
      <c r="AD13" s="3385"/>
      <c r="AE13" s="3385"/>
      <c r="AF13" s="3385"/>
      <c r="AG13" s="3385"/>
      <c r="AH13" s="3385"/>
      <c r="AI13" s="3385"/>
      <c r="AJ13" s="3385"/>
      <c r="AK13" s="3385"/>
      <c r="AL13" s="3385"/>
      <c r="AM13" s="3385"/>
      <c r="AN13" s="3385"/>
      <c r="AO13" s="3385"/>
      <c r="AP13" s="3385"/>
      <c r="AQ13" s="3385"/>
      <c r="AR13" s="3385"/>
      <c r="AS13" s="3385"/>
      <c r="AT13" s="3385"/>
    </row>
    <row r="14" spans="1:46">
      <c r="A14" s="5670"/>
      <c r="B14" s="5633"/>
      <c r="C14" s="3833" t="s">
        <v>4674</v>
      </c>
      <c r="D14" s="3834">
        <f>D13/12</f>
        <v>10258.833333333334</v>
      </c>
      <c r="E14" s="3835">
        <f>E13/12</f>
        <v>11635.916666666666</v>
      </c>
      <c r="F14" s="3836">
        <f>F13/12</f>
        <v>10102</v>
      </c>
      <c r="G14" s="3837">
        <f>G13/12</f>
        <v>9499.5833333333339</v>
      </c>
      <c r="H14" s="3837">
        <f>H13/12</f>
        <v>7552.5</v>
      </c>
      <c r="I14" s="3837"/>
      <c r="J14" s="5655">
        <f>K13/12</f>
        <v>9809.7666666666664</v>
      </c>
      <c r="K14" s="5656"/>
      <c r="L14" s="3385"/>
      <c r="M14" s="3385"/>
      <c r="N14" s="3385"/>
      <c r="O14" s="3385"/>
      <c r="P14" s="3385"/>
      <c r="Q14" s="3385"/>
      <c r="R14" s="3385"/>
      <c r="S14" s="3385"/>
      <c r="T14" s="3385"/>
      <c r="U14" s="3385"/>
      <c r="V14" s="3385"/>
      <c r="W14" s="3385"/>
      <c r="X14" s="3385"/>
      <c r="Y14" s="3385"/>
      <c r="Z14" s="3385"/>
      <c r="AA14" s="3385"/>
      <c r="AB14" s="3385"/>
      <c r="AC14" s="3385"/>
      <c r="AD14" s="3385"/>
      <c r="AE14" s="3385"/>
      <c r="AF14" s="3385"/>
      <c r="AG14" s="3385"/>
      <c r="AH14" s="3385"/>
      <c r="AI14" s="3385"/>
      <c r="AJ14" s="3385"/>
      <c r="AK14" s="3385"/>
      <c r="AL14" s="3385"/>
      <c r="AM14" s="3385"/>
      <c r="AN14" s="3385"/>
      <c r="AO14" s="3385"/>
      <c r="AP14" s="3385"/>
      <c r="AQ14" s="3385"/>
      <c r="AR14" s="3385"/>
      <c r="AS14" s="3385"/>
      <c r="AT14" s="3385"/>
    </row>
    <row r="15" spans="1:46">
      <c r="A15" s="5670"/>
      <c r="B15" s="5657" t="s">
        <v>4679</v>
      </c>
      <c r="C15" s="5658"/>
      <c r="D15" s="3840">
        <f t="shared" ref="D15:J15" si="0">D13/D11</f>
        <v>16.617980561555076</v>
      </c>
      <c r="E15" s="3841">
        <f t="shared" si="0"/>
        <v>16.164737207686965</v>
      </c>
      <c r="F15" s="3842">
        <f t="shared" si="0"/>
        <v>14.668925459825751</v>
      </c>
      <c r="G15" s="3843">
        <f t="shared" si="0"/>
        <v>14.646665810098934</v>
      </c>
      <c r="H15" s="3843">
        <f t="shared" si="0"/>
        <v>15.007451564828614</v>
      </c>
      <c r="I15" s="3843"/>
      <c r="J15" s="5659">
        <f t="shared" si="0"/>
        <v>15.435487254799119</v>
      </c>
      <c r="K15" s="5660"/>
      <c r="L15" s="3385"/>
      <c r="M15" s="3385"/>
      <c r="N15" s="3385"/>
      <c r="O15" s="3385"/>
      <c r="P15" s="3385"/>
      <c r="Q15" s="3385"/>
      <c r="R15" s="3385"/>
      <c r="S15" s="3385"/>
      <c r="T15" s="3385"/>
      <c r="U15" s="3385"/>
      <c r="V15" s="3385"/>
      <c r="W15" s="3385"/>
      <c r="X15" s="3385"/>
      <c r="Y15" s="3385"/>
      <c r="Z15" s="3385"/>
      <c r="AA15" s="3385"/>
      <c r="AB15" s="3385"/>
      <c r="AC15" s="3385"/>
      <c r="AD15" s="3385"/>
      <c r="AE15" s="3385"/>
      <c r="AF15" s="3385"/>
      <c r="AG15" s="3385"/>
      <c r="AH15" s="3385"/>
      <c r="AI15" s="3385"/>
      <c r="AJ15" s="3385"/>
      <c r="AK15" s="3385"/>
      <c r="AL15" s="3385"/>
      <c r="AM15" s="3385"/>
      <c r="AN15" s="3385"/>
      <c r="AO15" s="3385"/>
      <c r="AP15" s="3385"/>
      <c r="AQ15" s="3385"/>
      <c r="AR15" s="3385"/>
      <c r="AS15" s="3385"/>
      <c r="AT15" s="3385"/>
    </row>
    <row r="16" spans="1:46">
      <c r="A16" s="5671"/>
      <c r="B16" s="5638" t="s">
        <v>4680</v>
      </c>
      <c r="C16" s="5639"/>
      <c r="D16" s="3850">
        <f>D13/D$3</f>
        <v>0.62913826057626465</v>
      </c>
      <c r="E16" s="3851">
        <f>E13/E$3</f>
        <v>0.57929040234319895</v>
      </c>
      <c r="F16" s="3846">
        <f>F13/F$3</f>
        <v>0.48574702879444787</v>
      </c>
      <c r="G16" s="3847">
        <f>G13/G$3</f>
        <v>0.46789446464779139</v>
      </c>
      <c r="H16" s="3847">
        <f>H13/H$3</f>
        <v>0.36077241840524499</v>
      </c>
      <c r="I16" s="3847"/>
      <c r="J16" s="3848">
        <f>SUM(D16:H16)/5</f>
        <v>0.50456851495338961</v>
      </c>
      <c r="K16" s="3849"/>
      <c r="L16" s="3385"/>
      <c r="M16" s="3385"/>
      <c r="N16" s="3385"/>
      <c r="O16" s="3385"/>
      <c r="P16" s="3385"/>
      <c r="Q16" s="3385"/>
      <c r="R16" s="3385"/>
      <c r="S16" s="3385"/>
      <c r="T16" s="3385"/>
      <c r="U16" s="3385"/>
      <c r="V16" s="3385"/>
      <c r="W16" s="3385"/>
      <c r="X16" s="3385"/>
      <c r="Y16" s="3385"/>
      <c r="Z16" s="3385"/>
      <c r="AA16" s="3385"/>
      <c r="AB16" s="3385"/>
      <c r="AC16" s="3385"/>
      <c r="AD16" s="3385"/>
      <c r="AE16" s="3385"/>
      <c r="AF16" s="3385"/>
      <c r="AG16" s="3385"/>
      <c r="AH16" s="3385"/>
      <c r="AI16" s="3385"/>
      <c r="AJ16" s="3385"/>
      <c r="AK16" s="3385"/>
      <c r="AL16" s="3385"/>
      <c r="AM16" s="3385"/>
      <c r="AN16" s="3385"/>
      <c r="AO16" s="3385"/>
      <c r="AP16" s="3385"/>
      <c r="AQ16" s="3385"/>
      <c r="AR16" s="3385"/>
      <c r="AS16" s="3385"/>
      <c r="AT16" s="3385"/>
    </row>
    <row r="17" spans="1:46">
      <c r="A17" s="5653" t="s">
        <v>4682</v>
      </c>
      <c r="B17" s="5654" t="s">
        <v>4676</v>
      </c>
      <c r="C17" s="3826" t="s">
        <v>4677</v>
      </c>
      <c r="D17" s="3827">
        <v>25221</v>
      </c>
      <c r="E17" s="3828">
        <v>29329</v>
      </c>
      <c r="F17" s="3829">
        <v>27704</v>
      </c>
      <c r="G17" s="3830">
        <v>30817</v>
      </c>
      <c r="H17" s="3830">
        <v>30366</v>
      </c>
      <c r="I17" s="3830"/>
      <c r="J17" s="3831">
        <f>SUM(D17:H17)</f>
        <v>143437</v>
      </c>
      <c r="K17" s="3832">
        <f>J17/5</f>
        <v>28687.4</v>
      </c>
      <c r="L17" s="3385"/>
      <c r="M17" s="3385"/>
      <c r="N17" s="3385"/>
      <c r="O17" s="3385"/>
      <c r="P17" s="3385"/>
      <c r="Q17" s="3385"/>
      <c r="R17" s="3385"/>
      <c r="S17" s="3385"/>
      <c r="T17" s="3385"/>
      <c r="U17" s="3385"/>
      <c r="V17" s="3385"/>
      <c r="W17" s="3385"/>
      <c r="X17" s="3385"/>
      <c r="Y17" s="3385"/>
      <c r="Z17" s="3385"/>
      <c r="AA17" s="3385"/>
      <c r="AB17" s="3385"/>
      <c r="AC17" s="3385"/>
      <c r="AD17" s="3385"/>
      <c r="AE17" s="3385"/>
      <c r="AF17" s="3385"/>
      <c r="AG17" s="3385"/>
      <c r="AH17" s="3385"/>
      <c r="AI17" s="3385"/>
      <c r="AJ17" s="3385"/>
      <c r="AK17" s="3385"/>
      <c r="AL17" s="3385"/>
      <c r="AM17" s="3385"/>
      <c r="AN17" s="3385"/>
      <c r="AO17" s="3385"/>
      <c r="AP17" s="3385"/>
      <c r="AQ17" s="3385"/>
      <c r="AR17" s="3385"/>
      <c r="AS17" s="3385"/>
      <c r="AT17" s="3385"/>
    </row>
    <row r="18" spans="1:46">
      <c r="A18" s="5630"/>
      <c r="B18" s="5633"/>
      <c r="C18" s="3833" t="s">
        <v>4674</v>
      </c>
      <c r="D18" s="3834">
        <f>D17/12</f>
        <v>2101.75</v>
      </c>
      <c r="E18" s="3835">
        <f>E17/12</f>
        <v>2444.0833333333335</v>
      </c>
      <c r="F18" s="3836">
        <f>F17/12</f>
        <v>2308.6666666666665</v>
      </c>
      <c r="G18" s="3837">
        <f>G17/12</f>
        <v>2568.0833333333335</v>
      </c>
      <c r="H18" s="3837">
        <f>H17/12</f>
        <v>2530.5</v>
      </c>
      <c r="I18" s="3837"/>
      <c r="J18" s="5655">
        <f>K17/12</f>
        <v>2390.6166666666668</v>
      </c>
      <c r="K18" s="5656"/>
      <c r="L18" s="3385"/>
      <c r="M18" s="3385"/>
      <c r="N18" s="3385"/>
      <c r="O18" s="3385"/>
      <c r="P18" s="3385"/>
      <c r="Q18" s="3385"/>
      <c r="R18" s="3385"/>
      <c r="S18" s="3385"/>
      <c r="T18" s="3385"/>
      <c r="U18" s="3385"/>
      <c r="V18" s="3385"/>
      <c r="W18" s="3385"/>
      <c r="X18" s="3385"/>
      <c r="Y18" s="3385"/>
      <c r="Z18" s="3385"/>
      <c r="AA18" s="3385"/>
      <c r="AB18" s="3385"/>
      <c r="AC18" s="3385"/>
      <c r="AD18" s="3385"/>
      <c r="AE18" s="3385"/>
      <c r="AF18" s="3385"/>
      <c r="AG18" s="3385"/>
      <c r="AH18" s="3385"/>
      <c r="AI18" s="3385"/>
      <c r="AJ18" s="3385"/>
      <c r="AK18" s="3385"/>
      <c r="AL18" s="3385"/>
      <c r="AM18" s="3385"/>
      <c r="AN18" s="3385"/>
      <c r="AO18" s="3385"/>
      <c r="AP18" s="3385"/>
      <c r="AQ18" s="3385"/>
      <c r="AR18" s="3385"/>
      <c r="AS18" s="3385"/>
      <c r="AT18" s="3385"/>
    </row>
    <row r="19" spans="1:46">
      <c r="A19" s="5630"/>
      <c r="B19" s="5634" t="s">
        <v>4678</v>
      </c>
      <c r="C19" s="3833" t="s">
        <v>4677</v>
      </c>
      <c r="D19" s="3834">
        <v>145710</v>
      </c>
      <c r="E19" s="3835">
        <v>171076</v>
      </c>
      <c r="F19" s="3836">
        <v>164350</v>
      </c>
      <c r="G19" s="3837">
        <v>174774</v>
      </c>
      <c r="H19" s="3837">
        <v>173703</v>
      </c>
      <c r="I19" s="3837"/>
      <c r="J19" s="3838">
        <f>SUM(D19:H19)</f>
        <v>829613</v>
      </c>
      <c r="K19" s="3839">
        <f>J19/5</f>
        <v>165922.6</v>
      </c>
      <c r="L19" s="3385"/>
      <c r="M19" s="3385"/>
      <c r="N19" s="3385"/>
      <c r="O19" s="3385"/>
      <c r="P19" s="3385"/>
      <c r="Q19" s="3385"/>
      <c r="R19" s="3385"/>
      <c r="S19" s="3385"/>
      <c r="T19" s="3385"/>
      <c r="U19" s="3385"/>
      <c r="V19" s="3385"/>
      <c r="W19" s="3385"/>
      <c r="X19" s="3385"/>
      <c r="Y19" s="3385"/>
      <c r="Z19" s="3385"/>
      <c r="AA19" s="3385"/>
      <c r="AB19" s="3385"/>
      <c r="AC19" s="3385"/>
      <c r="AD19" s="3385"/>
      <c r="AE19" s="3385"/>
      <c r="AF19" s="3385"/>
      <c r="AG19" s="3385"/>
      <c r="AH19" s="3385"/>
      <c r="AI19" s="3385"/>
      <c r="AJ19" s="3385"/>
      <c r="AK19" s="3385"/>
      <c r="AL19" s="3385"/>
      <c r="AM19" s="3385"/>
      <c r="AN19" s="3385"/>
      <c r="AO19" s="3385"/>
      <c r="AP19" s="3385"/>
      <c r="AQ19" s="3385"/>
      <c r="AR19" s="3385"/>
      <c r="AS19" s="3385"/>
      <c r="AT19" s="3385"/>
    </row>
    <row r="20" spans="1:46">
      <c r="A20" s="5630"/>
      <c r="B20" s="5633"/>
      <c r="C20" s="3833" t="s">
        <v>4674</v>
      </c>
      <c r="D20" s="3834">
        <f>D19/12</f>
        <v>12142.5</v>
      </c>
      <c r="E20" s="3835">
        <f>E19/12</f>
        <v>14256.333333333334</v>
      </c>
      <c r="F20" s="3836">
        <f>F19/12</f>
        <v>13695.833333333334</v>
      </c>
      <c r="G20" s="3837">
        <f>G19/12</f>
        <v>14564.5</v>
      </c>
      <c r="H20" s="3837">
        <f>H19/12</f>
        <v>14475.25</v>
      </c>
      <c r="I20" s="3837"/>
      <c r="J20" s="5655">
        <f>K19/12</f>
        <v>13826.883333333333</v>
      </c>
      <c r="K20" s="5656"/>
      <c r="L20" s="3385"/>
      <c r="M20" s="3385"/>
      <c r="N20" s="3385"/>
      <c r="O20" s="3385"/>
      <c r="P20" s="3385"/>
      <c r="Q20" s="3385"/>
      <c r="R20" s="3385"/>
      <c r="S20" s="3385"/>
      <c r="T20" s="3385"/>
      <c r="U20" s="3385"/>
      <c r="V20" s="3385"/>
      <c r="W20" s="3385"/>
      <c r="X20" s="3385"/>
      <c r="Y20" s="3385"/>
      <c r="Z20" s="3385"/>
      <c r="AA20" s="3385"/>
      <c r="AB20" s="3385"/>
      <c r="AC20" s="3385"/>
      <c r="AD20" s="3385"/>
      <c r="AE20" s="3385"/>
      <c r="AF20" s="3385"/>
      <c r="AG20" s="3385"/>
      <c r="AH20" s="3385"/>
      <c r="AI20" s="3385"/>
      <c r="AJ20" s="3385"/>
      <c r="AK20" s="3385"/>
      <c r="AL20" s="3385"/>
      <c r="AM20" s="3385"/>
      <c r="AN20" s="3385"/>
      <c r="AO20" s="3385"/>
      <c r="AP20" s="3385"/>
      <c r="AQ20" s="3385"/>
      <c r="AR20" s="3385"/>
      <c r="AS20" s="3385"/>
      <c r="AT20" s="3385"/>
    </row>
    <row r="21" spans="1:46">
      <c r="A21" s="5630"/>
      <c r="B21" s="5657" t="s">
        <v>4679</v>
      </c>
      <c r="C21" s="5658"/>
      <c r="D21" s="3840">
        <f t="shared" ref="D21:J21" si="1">D19/D17</f>
        <v>5.7773284167955277</v>
      </c>
      <c r="E21" s="3841">
        <f t="shared" si="1"/>
        <v>5.8329980565310784</v>
      </c>
      <c r="F21" s="3842">
        <f t="shared" si="1"/>
        <v>5.9323563384348832</v>
      </c>
      <c r="G21" s="3852">
        <f t="shared" si="1"/>
        <v>5.6713502287698345</v>
      </c>
      <c r="H21" s="3852">
        <f t="shared" si="1"/>
        <v>5.7203121912665482</v>
      </c>
      <c r="I21" s="3852"/>
      <c r="J21" s="5659">
        <f t="shared" si="1"/>
        <v>5.7838144969568521</v>
      </c>
      <c r="K21" s="5660"/>
      <c r="L21" s="3385"/>
      <c r="M21" s="3385"/>
      <c r="N21" s="3385"/>
      <c r="O21" s="3385"/>
      <c r="P21" s="3385"/>
      <c r="Q21" s="3385"/>
      <c r="R21" s="3385"/>
      <c r="S21" s="3385"/>
      <c r="T21" s="3385"/>
      <c r="U21" s="3385"/>
      <c r="V21" s="3385"/>
      <c r="W21" s="3385"/>
      <c r="X21" s="3385"/>
      <c r="Y21" s="3385"/>
      <c r="Z21" s="3385"/>
      <c r="AA21" s="3385"/>
      <c r="AB21" s="3385"/>
      <c r="AC21" s="3385"/>
      <c r="AD21" s="3385"/>
      <c r="AE21" s="3385"/>
      <c r="AF21" s="3385"/>
      <c r="AG21" s="3385"/>
      <c r="AH21" s="3385"/>
      <c r="AI21" s="3385"/>
      <c r="AJ21" s="3385"/>
      <c r="AK21" s="3385"/>
      <c r="AL21" s="3385"/>
      <c r="AM21" s="3385"/>
      <c r="AN21" s="3385"/>
      <c r="AO21" s="3385"/>
      <c r="AP21" s="3385"/>
      <c r="AQ21" s="3385"/>
      <c r="AR21" s="3385"/>
      <c r="AS21" s="3385"/>
      <c r="AT21" s="3385"/>
    </row>
    <row r="22" spans="1:46">
      <c r="A22" s="5631"/>
      <c r="B22" s="5638" t="s">
        <v>4680</v>
      </c>
      <c r="C22" s="5639"/>
      <c r="D22" s="3853">
        <f>D19/D$3</f>
        <v>0.74465692938254446</v>
      </c>
      <c r="E22" s="3854">
        <f>E19/E$3</f>
        <v>0.7097470108447631</v>
      </c>
      <c r="F22" s="3855">
        <f>F19/F$3</f>
        <v>0.65855378623348104</v>
      </c>
      <c r="G22" s="3856">
        <f>G19/G$3</f>
        <v>0.71736292964036219</v>
      </c>
      <c r="H22" s="3856">
        <f>H19/H$3</f>
        <v>0.69146255538173085</v>
      </c>
      <c r="I22" s="3856"/>
      <c r="J22" s="3848">
        <f>SUM(D22:H22)/5</f>
        <v>0.70435664229657635</v>
      </c>
      <c r="K22" s="3857"/>
      <c r="L22" s="3385"/>
      <c r="M22" s="3385"/>
      <c r="N22" s="3385"/>
      <c r="O22" s="3385"/>
      <c r="P22" s="3385"/>
      <c r="Q22" s="3385"/>
      <c r="R22" s="3385"/>
      <c r="S22" s="3385"/>
      <c r="T22" s="3385"/>
      <c r="U22" s="3385"/>
      <c r="V22" s="3385"/>
      <c r="W22" s="3385"/>
      <c r="X22" s="3385"/>
      <c r="Y22" s="3385"/>
      <c r="Z22" s="3385"/>
      <c r="AA22" s="3385"/>
      <c r="AB22" s="3385"/>
      <c r="AC22" s="3385"/>
      <c r="AD22" s="3385"/>
      <c r="AE22" s="3385"/>
      <c r="AF22" s="3385"/>
      <c r="AG22" s="3385"/>
      <c r="AH22" s="3385"/>
      <c r="AI22" s="3385"/>
      <c r="AJ22" s="3385"/>
      <c r="AK22" s="3385"/>
      <c r="AL22" s="3385"/>
      <c r="AM22" s="3385"/>
      <c r="AN22" s="3385"/>
      <c r="AO22" s="3385"/>
      <c r="AP22" s="3385"/>
      <c r="AQ22" s="3385"/>
      <c r="AR22" s="3385"/>
      <c r="AS22" s="3385"/>
      <c r="AT22" s="3385"/>
    </row>
    <row r="23" spans="1:46">
      <c r="A23" s="3806"/>
      <c r="B23" s="3806"/>
      <c r="C23" s="3806"/>
      <c r="D23" s="3806"/>
      <c r="E23" s="3806"/>
      <c r="F23" s="3806"/>
      <c r="G23" s="3806"/>
      <c r="H23" s="3806"/>
      <c r="I23" s="3806"/>
      <c r="J23" s="3806"/>
      <c r="K23" s="3806"/>
      <c r="L23" s="3806"/>
      <c r="M23" s="3385"/>
      <c r="N23" s="3385"/>
      <c r="O23" s="3385"/>
      <c r="P23" s="3385"/>
      <c r="Q23" s="3385"/>
      <c r="R23" s="3385"/>
      <c r="S23" s="3385"/>
      <c r="T23" s="3385"/>
      <c r="U23" s="3385"/>
      <c r="V23" s="3385"/>
      <c r="W23" s="3385"/>
      <c r="X23" s="3385"/>
      <c r="Y23" s="3385"/>
      <c r="Z23" s="3385"/>
      <c r="AA23" s="3385"/>
      <c r="AB23" s="3385"/>
      <c r="AC23" s="3385"/>
      <c r="AD23" s="3385"/>
      <c r="AE23" s="3385"/>
      <c r="AF23" s="3385"/>
      <c r="AG23" s="3385"/>
      <c r="AH23" s="3385"/>
      <c r="AI23" s="3385"/>
      <c r="AJ23" s="3385"/>
      <c r="AK23" s="3385"/>
      <c r="AL23" s="3385"/>
      <c r="AM23" s="3385"/>
      <c r="AN23" s="3385"/>
      <c r="AO23" s="3385"/>
      <c r="AP23" s="3385"/>
      <c r="AQ23" s="3385"/>
      <c r="AR23" s="3385"/>
      <c r="AS23" s="3385"/>
      <c r="AT23" s="3385"/>
    </row>
    <row r="24" spans="1:46">
      <c r="A24" s="3858" t="s">
        <v>4683</v>
      </c>
      <c r="B24" s="3385"/>
      <c r="C24" s="3385"/>
      <c r="D24" s="3859">
        <v>0.5</v>
      </c>
      <c r="E24" s="3385"/>
      <c r="F24" s="3385"/>
      <c r="G24" s="3385"/>
      <c r="H24" s="3385"/>
      <c r="I24" s="3385"/>
      <c r="J24" s="3385"/>
      <c r="K24" s="3385"/>
      <c r="L24" s="3385"/>
      <c r="M24" s="3385"/>
      <c r="N24" s="3385"/>
      <c r="O24" s="3385"/>
      <c r="P24" s="3385"/>
      <c r="Q24" s="3385"/>
      <c r="R24" s="3385"/>
      <c r="S24" s="3385"/>
      <c r="T24" s="3385"/>
      <c r="U24" s="3385"/>
      <c r="V24" s="3385"/>
      <c r="W24" s="3385"/>
      <c r="X24" s="3385"/>
      <c r="Y24" s="3385"/>
      <c r="Z24" s="3385"/>
      <c r="AA24" s="3385"/>
      <c r="AB24" s="3385"/>
      <c r="AC24" s="3385"/>
      <c r="AD24" s="3385"/>
      <c r="AE24" s="3385"/>
      <c r="AF24" s="3385"/>
      <c r="AG24" s="3385"/>
      <c r="AH24" s="3385"/>
      <c r="AI24" s="3385"/>
      <c r="AJ24" s="3385"/>
      <c r="AK24" s="3385"/>
      <c r="AL24" s="3385"/>
      <c r="AM24" s="3385"/>
      <c r="AN24" s="3385"/>
      <c r="AO24" s="3385"/>
      <c r="AP24" s="3385"/>
      <c r="AQ24" s="3385"/>
      <c r="AR24" s="3385"/>
      <c r="AS24" s="3385"/>
      <c r="AT24" s="3385"/>
    </row>
    <row r="25" spans="1:46">
      <c r="A25" s="5661" t="s">
        <v>4684</v>
      </c>
      <c r="B25" s="5662"/>
      <c r="C25" s="5663"/>
      <c r="D25" s="3860">
        <v>250000</v>
      </c>
      <c r="E25" s="3861">
        <v>260000</v>
      </c>
      <c r="F25" s="3861">
        <v>270000</v>
      </c>
      <c r="G25" s="3861">
        <v>280000</v>
      </c>
      <c r="H25" s="3861">
        <v>290000</v>
      </c>
      <c r="I25" s="3861">
        <v>300000</v>
      </c>
      <c r="J25" s="3861">
        <v>310000</v>
      </c>
      <c r="K25" s="3861">
        <v>320000</v>
      </c>
      <c r="L25" s="3861">
        <v>330000</v>
      </c>
      <c r="M25" s="3861">
        <v>340000</v>
      </c>
      <c r="N25" s="3861">
        <v>350000</v>
      </c>
      <c r="O25" s="3861">
        <v>360000</v>
      </c>
      <c r="P25" s="3861">
        <v>370000</v>
      </c>
      <c r="Q25" s="3861">
        <v>380000</v>
      </c>
      <c r="R25" s="3861">
        <v>390000</v>
      </c>
      <c r="S25" s="3861">
        <v>400000</v>
      </c>
      <c r="T25" s="3861">
        <v>410000</v>
      </c>
      <c r="U25" s="3861">
        <v>420000</v>
      </c>
      <c r="V25" s="3861">
        <v>430000</v>
      </c>
      <c r="W25" s="3861">
        <v>440000</v>
      </c>
      <c r="X25" s="3861">
        <v>450000</v>
      </c>
      <c r="Y25" s="3861">
        <v>460000</v>
      </c>
      <c r="Z25" s="3861">
        <v>470000</v>
      </c>
      <c r="AA25" s="3861">
        <v>480000</v>
      </c>
      <c r="AB25" s="3861">
        <v>490000</v>
      </c>
      <c r="AC25" s="3862">
        <v>500000</v>
      </c>
      <c r="AD25" s="3862">
        <v>510000</v>
      </c>
      <c r="AE25" s="3862">
        <v>520000</v>
      </c>
      <c r="AF25" s="3862">
        <v>530000</v>
      </c>
      <c r="AG25" s="3862">
        <v>540000</v>
      </c>
      <c r="AH25" s="3862">
        <v>550000</v>
      </c>
      <c r="AI25" s="3862">
        <v>560000</v>
      </c>
      <c r="AJ25" s="3862">
        <v>570000</v>
      </c>
      <c r="AK25" s="3862">
        <v>580000</v>
      </c>
      <c r="AL25" s="3862">
        <v>590000</v>
      </c>
      <c r="AM25" s="3862">
        <v>600000</v>
      </c>
      <c r="AN25" s="3862">
        <v>610000</v>
      </c>
      <c r="AO25" s="3862">
        <v>620000</v>
      </c>
      <c r="AP25" s="3862">
        <v>630000</v>
      </c>
      <c r="AQ25" s="3862">
        <v>640000</v>
      </c>
      <c r="AR25" s="3862">
        <v>650000</v>
      </c>
      <c r="AS25" s="3385"/>
      <c r="AT25" s="3385"/>
    </row>
    <row r="26" spans="1:46">
      <c r="A26" s="5627" t="s">
        <v>4448</v>
      </c>
      <c r="B26" s="3863" t="s">
        <v>4685</v>
      </c>
      <c r="C26" s="3864">
        <f>J10</f>
        <v>2.4863776180327686</v>
      </c>
      <c r="D26" s="3865">
        <f t="shared" ref="D26:AR27" si="2">D25*$C26</f>
        <v>621594.40450819209</v>
      </c>
      <c r="E26" s="3866">
        <f t="shared" si="2"/>
        <v>646458.18068851985</v>
      </c>
      <c r="F26" s="3866">
        <f t="shared" si="2"/>
        <v>671321.95686884748</v>
      </c>
      <c r="G26" s="3866">
        <f t="shared" si="2"/>
        <v>696185.73304917524</v>
      </c>
      <c r="H26" s="3866">
        <f t="shared" si="2"/>
        <v>721049.50922950287</v>
      </c>
      <c r="I26" s="3866">
        <f t="shared" si="2"/>
        <v>745913.28540983063</v>
      </c>
      <c r="J26" s="3866">
        <f t="shared" si="2"/>
        <v>770777.06159015826</v>
      </c>
      <c r="K26" s="3866">
        <f t="shared" si="2"/>
        <v>795640.8377704859</v>
      </c>
      <c r="L26" s="3866">
        <f t="shared" si="2"/>
        <v>820504.61395081365</v>
      </c>
      <c r="M26" s="3866">
        <f t="shared" si="2"/>
        <v>845368.39013114129</v>
      </c>
      <c r="N26" s="3866">
        <f t="shared" si="2"/>
        <v>870232.16631146905</v>
      </c>
      <c r="O26" s="3866">
        <f t="shared" si="2"/>
        <v>895095.94249179668</v>
      </c>
      <c r="P26" s="3866">
        <f t="shared" si="2"/>
        <v>919959.71867212432</v>
      </c>
      <c r="Q26" s="3866">
        <f t="shared" si="2"/>
        <v>944823.49485245207</v>
      </c>
      <c r="R26" s="3866">
        <f t="shared" si="2"/>
        <v>969687.27103277971</v>
      </c>
      <c r="S26" s="3866">
        <f t="shared" si="2"/>
        <v>994551.04721310746</v>
      </c>
      <c r="T26" s="3866">
        <f t="shared" si="2"/>
        <v>1019414.8233934351</v>
      </c>
      <c r="U26" s="3866">
        <f t="shared" si="2"/>
        <v>1044278.5995737629</v>
      </c>
      <c r="V26" s="3866">
        <f t="shared" si="2"/>
        <v>1069142.3757540905</v>
      </c>
      <c r="W26" s="3866">
        <f t="shared" si="2"/>
        <v>1094006.1519344181</v>
      </c>
      <c r="X26" s="3866">
        <f t="shared" si="2"/>
        <v>1118869.9281147458</v>
      </c>
      <c r="Y26" s="3866">
        <f t="shared" si="2"/>
        <v>1143733.7042950736</v>
      </c>
      <c r="Z26" s="3866">
        <f t="shared" si="2"/>
        <v>1168597.4804754013</v>
      </c>
      <c r="AA26" s="3866">
        <f t="shared" si="2"/>
        <v>1193461.2566557289</v>
      </c>
      <c r="AB26" s="3866">
        <f t="shared" si="2"/>
        <v>1218325.0328360565</v>
      </c>
      <c r="AC26" s="3867">
        <f t="shared" si="2"/>
        <v>1243188.8090163842</v>
      </c>
      <c r="AD26" s="3868">
        <f t="shared" si="2"/>
        <v>1268052.5851967121</v>
      </c>
      <c r="AE26" s="3866">
        <f t="shared" si="2"/>
        <v>1292916.3613770397</v>
      </c>
      <c r="AF26" s="3866">
        <f t="shared" si="2"/>
        <v>1317780.1375573673</v>
      </c>
      <c r="AG26" s="3866">
        <f t="shared" si="2"/>
        <v>1342643.913737695</v>
      </c>
      <c r="AH26" s="3866">
        <f t="shared" si="2"/>
        <v>1367507.6899180226</v>
      </c>
      <c r="AI26" s="3866">
        <f t="shared" si="2"/>
        <v>1392371.4660983505</v>
      </c>
      <c r="AJ26" s="3866">
        <f t="shared" si="2"/>
        <v>1417235.2422786781</v>
      </c>
      <c r="AK26" s="3866">
        <f t="shared" si="2"/>
        <v>1442099.0184590057</v>
      </c>
      <c r="AL26" s="3866">
        <f t="shared" si="2"/>
        <v>1466962.7946393334</v>
      </c>
      <c r="AM26" s="3866">
        <f t="shared" si="2"/>
        <v>1491826.5708196613</v>
      </c>
      <c r="AN26" s="3866">
        <f t="shared" si="2"/>
        <v>1516690.3469999889</v>
      </c>
      <c r="AO26" s="3866">
        <f t="shared" si="2"/>
        <v>1541554.1231803165</v>
      </c>
      <c r="AP26" s="3866">
        <f t="shared" si="2"/>
        <v>1566417.8993606442</v>
      </c>
      <c r="AQ26" s="3866">
        <f t="shared" si="2"/>
        <v>1591281.6755409718</v>
      </c>
      <c r="AR26" s="3866">
        <f t="shared" si="2"/>
        <v>1616145.4517212997</v>
      </c>
      <c r="AS26" s="3869"/>
      <c r="AT26" s="3869"/>
    </row>
    <row r="27" spans="1:46">
      <c r="A27" s="5664"/>
      <c r="B27" s="3870" t="s">
        <v>4686</v>
      </c>
      <c r="C27" s="3871">
        <v>1200</v>
      </c>
      <c r="D27" s="3872">
        <f t="shared" si="2"/>
        <v>745913285.40983057</v>
      </c>
      <c r="E27" s="3873">
        <f t="shared" si="2"/>
        <v>775749816.82622385</v>
      </c>
      <c r="F27" s="3873">
        <f t="shared" si="2"/>
        <v>805586348.24261701</v>
      </c>
      <c r="G27" s="3873">
        <f t="shared" si="2"/>
        <v>835422879.65901029</v>
      </c>
      <c r="H27" s="3873">
        <f t="shared" si="2"/>
        <v>865259411.07540345</v>
      </c>
      <c r="I27" s="3873">
        <f t="shared" si="2"/>
        <v>895095942.49179673</v>
      </c>
      <c r="J27" s="3873">
        <f t="shared" si="2"/>
        <v>924932473.90818989</v>
      </c>
      <c r="K27" s="3873">
        <f t="shared" si="2"/>
        <v>954769005.32458305</v>
      </c>
      <c r="L27" s="3873">
        <f t="shared" si="2"/>
        <v>984605536.74097633</v>
      </c>
      <c r="M27" s="3873">
        <f t="shared" si="2"/>
        <v>1014442068.1573695</v>
      </c>
      <c r="N27" s="3873">
        <f t="shared" si="2"/>
        <v>1044278599.5737629</v>
      </c>
      <c r="O27" s="3873">
        <f t="shared" si="2"/>
        <v>1074115130.9901559</v>
      </c>
      <c r="P27" s="3873">
        <f t="shared" si="2"/>
        <v>1103951662.4065492</v>
      </c>
      <c r="Q27" s="3873">
        <f t="shared" si="2"/>
        <v>1133788193.8229425</v>
      </c>
      <c r="R27" s="3873">
        <f t="shared" si="2"/>
        <v>1163624725.2393355</v>
      </c>
      <c r="S27" s="3873">
        <f t="shared" si="2"/>
        <v>1193461256.6557291</v>
      </c>
      <c r="T27" s="3873">
        <f t="shared" si="2"/>
        <v>1223297788.0721221</v>
      </c>
      <c r="U27" s="3873">
        <f t="shared" si="2"/>
        <v>1253134319.4885154</v>
      </c>
      <c r="V27" s="3873">
        <f t="shared" si="2"/>
        <v>1282970850.9049087</v>
      </c>
      <c r="W27" s="3873">
        <f t="shared" si="2"/>
        <v>1312807382.3213017</v>
      </c>
      <c r="X27" s="3873">
        <f t="shared" si="2"/>
        <v>1342643913.737695</v>
      </c>
      <c r="Y27" s="3873">
        <f t="shared" si="2"/>
        <v>1372480445.1540883</v>
      </c>
      <c r="Z27" s="3873">
        <f t="shared" si="2"/>
        <v>1402316976.5704815</v>
      </c>
      <c r="AA27" s="3873">
        <f>AA26*$C27</f>
        <v>1432153507.9868746</v>
      </c>
      <c r="AB27" s="3873">
        <f t="shared" si="2"/>
        <v>1461990039.4032679</v>
      </c>
      <c r="AC27" s="3874">
        <f t="shared" si="2"/>
        <v>1491826570.8196611</v>
      </c>
      <c r="AD27" s="3875">
        <f t="shared" si="2"/>
        <v>1521663102.2360544</v>
      </c>
      <c r="AE27" s="3874">
        <f t="shared" si="2"/>
        <v>1551499633.6524477</v>
      </c>
      <c r="AF27" s="3874">
        <f t="shared" si="2"/>
        <v>1581336165.0688407</v>
      </c>
      <c r="AG27" s="3874">
        <f t="shared" si="2"/>
        <v>1611172696.485234</v>
      </c>
      <c r="AH27" s="3874">
        <f t="shared" si="2"/>
        <v>1641009227.9016271</v>
      </c>
      <c r="AI27" s="3874">
        <f t="shared" si="2"/>
        <v>1670845759.3180206</v>
      </c>
      <c r="AJ27" s="3873">
        <f t="shared" si="2"/>
        <v>1700682290.7344136</v>
      </c>
      <c r="AK27" s="3873">
        <f t="shared" si="2"/>
        <v>1730518822.1508069</v>
      </c>
      <c r="AL27" s="3873">
        <f t="shared" si="2"/>
        <v>1760355353.5671999</v>
      </c>
      <c r="AM27" s="3873">
        <f t="shared" si="2"/>
        <v>1790191884.9835935</v>
      </c>
      <c r="AN27" s="3873">
        <f t="shared" si="2"/>
        <v>1820028416.3999867</v>
      </c>
      <c r="AO27" s="3874">
        <f t="shared" si="2"/>
        <v>1849864947.8163798</v>
      </c>
      <c r="AP27" s="3874">
        <f t="shared" si="2"/>
        <v>1879701479.2327731</v>
      </c>
      <c r="AQ27" s="3874">
        <f>AQ26*$C27</f>
        <v>1909538010.6491661</v>
      </c>
      <c r="AR27" s="3874">
        <f t="shared" si="2"/>
        <v>1939374542.0655596</v>
      </c>
      <c r="AS27" s="3869"/>
      <c r="AT27" s="3869"/>
    </row>
    <row r="28" spans="1:46">
      <c r="A28" s="5664"/>
      <c r="B28" s="5665" t="s">
        <v>4687</v>
      </c>
      <c r="C28" s="3876" t="s">
        <v>4688</v>
      </c>
      <c r="D28" s="3877"/>
      <c r="E28" s="3878"/>
      <c r="F28" s="3878"/>
      <c r="G28" s="3878"/>
      <c r="H28" s="3878"/>
      <c r="I28" s="3878"/>
      <c r="J28" s="3878"/>
      <c r="K28" s="3878"/>
      <c r="L28" s="3878"/>
      <c r="M28" s="3878"/>
      <c r="N28" s="3878"/>
      <c r="O28" s="3878"/>
      <c r="P28" s="3878"/>
      <c r="Q28" s="3878"/>
      <c r="R28" s="3878"/>
      <c r="S28" s="3878"/>
      <c r="T28" s="3878"/>
      <c r="U28" s="3878"/>
      <c r="V28" s="3878"/>
      <c r="W28" s="3878"/>
      <c r="X28" s="3878"/>
      <c r="Y28" s="3878"/>
      <c r="Z28" s="3878"/>
      <c r="AA28" s="3878"/>
      <c r="AB28" s="3878"/>
      <c r="AC28" s="3879"/>
      <c r="AD28" s="3875"/>
      <c r="AE28" s="3874"/>
      <c r="AF28" s="3874"/>
      <c r="AG28" s="3874"/>
      <c r="AH28" s="3874"/>
      <c r="AI28" s="3874"/>
      <c r="AJ28" s="3873"/>
      <c r="AK28" s="3873"/>
      <c r="AL28" s="3873"/>
      <c r="AM28" s="3873"/>
      <c r="AN28" s="3873"/>
      <c r="AO28" s="3874"/>
      <c r="AP28" s="3874"/>
      <c r="AQ28" s="3874"/>
      <c r="AR28" s="3874"/>
      <c r="AS28" s="3869"/>
      <c r="AT28" s="3869"/>
    </row>
    <row r="29" spans="1:46">
      <c r="A29" s="5664"/>
      <c r="B29" s="5666"/>
      <c r="C29" s="3876" t="s">
        <v>4689</v>
      </c>
      <c r="D29" s="3877"/>
      <c r="E29" s="3878"/>
      <c r="F29" s="3878"/>
      <c r="G29" s="3878"/>
      <c r="H29" s="3878"/>
      <c r="I29" s="3878"/>
      <c r="J29" s="3878"/>
      <c r="K29" s="3878"/>
      <c r="L29" s="3878"/>
      <c r="M29" s="3878"/>
      <c r="N29" s="3878"/>
      <c r="O29" s="3878"/>
      <c r="P29" s="3878"/>
      <c r="Q29" s="3878"/>
      <c r="R29" s="3878"/>
      <c r="S29" s="3878"/>
      <c r="T29" s="3878"/>
      <c r="U29" s="3878"/>
      <c r="V29" s="3878"/>
      <c r="W29" s="3878"/>
      <c r="X29" s="3878"/>
      <c r="Y29" s="3878"/>
      <c r="Z29" s="3878"/>
      <c r="AA29" s="3878"/>
      <c r="AB29" s="3878"/>
      <c r="AC29" s="3879"/>
      <c r="AD29" s="3880"/>
      <c r="AE29" s="3881"/>
      <c r="AF29" s="3881"/>
      <c r="AG29" s="3881"/>
      <c r="AH29" s="3881"/>
      <c r="AI29" s="3881"/>
      <c r="AJ29" s="3882"/>
      <c r="AK29" s="3882"/>
      <c r="AL29" s="3882"/>
      <c r="AM29" s="3882"/>
      <c r="AN29" s="3882"/>
      <c r="AO29" s="3881"/>
      <c r="AP29" s="3881"/>
      <c r="AQ29" s="3881"/>
      <c r="AR29" s="3881"/>
      <c r="AS29" s="3869"/>
      <c r="AT29" s="3869"/>
    </row>
    <row r="30" spans="1:46">
      <c r="A30" s="5664"/>
      <c r="B30" s="5666"/>
      <c r="C30" s="3876" t="s">
        <v>4690</v>
      </c>
      <c r="D30" s="3883">
        <f>$D$55*1.5*D25*$C$60</f>
        <v>221286450.93369585</v>
      </c>
      <c r="E30" s="3883">
        <f t="shared" ref="E30:AR30" si="3">$D$55*1.5*E25*$C$60</f>
        <v>230137908.97104368</v>
      </c>
      <c r="F30" s="3883">
        <f t="shared" si="3"/>
        <v>238989367.00839153</v>
      </c>
      <c r="G30" s="3883">
        <f t="shared" si="3"/>
        <v>247840825.04573935</v>
      </c>
      <c r="H30" s="3883">
        <f t="shared" si="3"/>
        <v>256692283.08308718</v>
      </c>
      <c r="I30" s="3883">
        <f t="shared" si="3"/>
        <v>265543741.12043503</v>
      </c>
      <c r="J30" s="3883">
        <f t="shared" si="3"/>
        <v>274395199.15778285</v>
      </c>
      <c r="K30" s="3883">
        <f t="shared" si="3"/>
        <v>283246657.19513065</v>
      </c>
      <c r="L30" s="3883">
        <f t="shared" si="3"/>
        <v>292098115.2324785</v>
      </c>
      <c r="M30" s="3883">
        <f t="shared" si="3"/>
        <v>300949573.26982635</v>
      </c>
      <c r="N30" s="3883">
        <f t="shared" si="3"/>
        <v>309801031.30717421</v>
      </c>
      <c r="O30" s="3883">
        <f t="shared" si="3"/>
        <v>318652489.344522</v>
      </c>
      <c r="P30" s="3883">
        <f t="shared" si="3"/>
        <v>327503947.38186985</v>
      </c>
      <c r="Q30" s="3883">
        <f t="shared" si="3"/>
        <v>336355405.41921771</v>
      </c>
      <c r="R30" s="3883">
        <f t="shared" si="3"/>
        <v>345206863.4565655</v>
      </c>
      <c r="S30" s="3883">
        <f t="shared" si="3"/>
        <v>354058321.49391335</v>
      </c>
      <c r="T30" s="3883">
        <f t="shared" si="3"/>
        <v>362909779.53126121</v>
      </c>
      <c r="U30" s="3883">
        <f t="shared" si="3"/>
        <v>371761237.568609</v>
      </c>
      <c r="V30" s="3883">
        <f t="shared" si="3"/>
        <v>380612695.60595685</v>
      </c>
      <c r="W30" s="3883">
        <f t="shared" si="3"/>
        <v>389464153.64330471</v>
      </c>
      <c r="X30" s="3883">
        <f t="shared" si="3"/>
        <v>398315611.6806525</v>
      </c>
      <c r="Y30" s="3883">
        <f t="shared" si="3"/>
        <v>407167069.71800035</v>
      </c>
      <c r="Z30" s="3883">
        <f t="shared" si="3"/>
        <v>416018527.75534821</v>
      </c>
      <c r="AA30" s="3883">
        <f t="shared" si="3"/>
        <v>424869985.792696</v>
      </c>
      <c r="AB30" s="3883">
        <f t="shared" si="3"/>
        <v>433721443.83004385</v>
      </c>
      <c r="AC30" s="3883">
        <f t="shared" si="3"/>
        <v>442572901.86739171</v>
      </c>
      <c r="AD30" s="3883">
        <f t="shared" si="3"/>
        <v>451424359.90473956</v>
      </c>
      <c r="AE30" s="3883">
        <f t="shared" si="3"/>
        <v>460275817.94208735</v>
      </c>
      <c r="AF30" s="3883">
        <f t="shared" si="3"/>
        <v>469127275.97943521</v>
      </c>
      <c r="AG30" s="3883">
        <f t="shared" si="3"/>
        <v>477978734.01678306</v>
      </c>
      <c r="AH30" s="3883">
        <f t="shared" si="3"/>
        <v>486830192.05413085</v>
      </c>
      <c r="AI30" s="3883">
        <f t="shared" si="3"/>
        <v>495681650.09147871</v>
      </c>
      <c r="AJ30" s="3883">
        <f t="shared" si="3"/>
        <v>504533108.12882656</v>
      </c>
      <c r="AK30" s="3883">
        <f t="shared" si="3"/>
        <v>513384566.16617435</v>
      </c>
      <c r="AL30" s="3883">
        <f t="shared" si="3"/>
        <v>522236024.20352221</v>
      </c>
      <c r="AM30" s="3883">
        <f t="shared" si="3"/>
        <v>531087482.24087006</v>
      </c>
      <c r="AN30" s="3883">
        <f t="shared" si="3"/>
        <v>539938940.27821779</v>
      </c>
      <c r="AO30" s="3883">
        <f t="shared" si="3"/>
        <v>548790398.31556571</v>
      </c>
      <c r="AP30" s="3883">
        <f t="shared" si="3"/>
        <v>557641856.3529135</v>
      </c>
      <c r="AQ30" s="3883">
        <f t="shared" si="3"/>
        <v>566493314.39026129</v>
      </c>
      <c r="AR30" s="3883">
        <f t="shared" si="3"/>
        <v>575344772.42760921</v>
      </c>
      <c r="AS30" s="3869"/>
      <c r="AT30" s="3869"/>
    </row>
    <row r="31" spans="1:46">
      <c r="A31" s="5664"/>
      <c r="B31" s="5666"/>
      <c r="C31" s="3884" t="s">
        <v>4691</v>
      </c>
      <c r="D31" s="3885">
        <f t="shared" ref="D31:AR31" si="4">D29+D30</f>
        <v>221286450.93369585</v>
      </c>
      <c r="E31" s="3886">
        <f t="shared" si="4"/>
        <v>230137908.97104368</v>
      </c>
      <c r="F31" s="3886">
        <f t="shared" si="4"/>
        <v>238989367.00839153</v>
      </c>
      <c r="G31" s="3886">
        <f t="shared" si="4"/>
        <v>247840825.04573935</v>
      </c>
      <c r="H31" s="3886">
        <f t="shared" si="4"/>
        <v>256692283.08308718</v>
      </c>
      <c r="I31" s="3886">
        <f t="shared" si="4"/>
        <v>265543741.12043503</v>
      </c>
      <c r="J31" s="3886">
        <f t="shared" si="4"/>
        <v>274395199.15778285</v>
      </c>
      <c r="K31" s="3886">
        <f t="shared" si="4"/>
        <v>283246657.19513065</v>
      </c>
      <c r="L31" s="3886">
        <f t="shared" si="4"/>
        <v>292098115.2324785</v>
      </c>
      <c r="M31" s="3886">
        <f t="shared" si="4"/>
        <v>300949573.26982635</v>
      </c>
      <c r="N31" s="3886">
        <f t="shared" si="4"/>
        <v>309801031.30717421</v>
      </c>
      <c r="O31" s="3886">
        <f t="shared" si="4"/>
        <v>318652489.344522</v>
      </c>
      <c r="P31" s="3886">
        <f t="shared" si="4"/>
        <v>327503947.38186985</v>
      </c>
      <c r="Q31" s="3886">
        <f t="shared" si="4"/>
        <v>336355405.41921771</v>
      </c>
      <c r="R31" s="3886">
        <f t="shared" si="4"/>
        <v>345206863.4565655</v>
      </c>
      <c r="S31" s="3886">
        <f t="shared" si="4"/>
        <v>354058321.49391335</v>
      </c>
      <c r="T31" s="3886">
        <f t="shared" si="4"/>
        <v>362909779.53126121</v>
      </c>
      <c r="U31" s="3886">
        <f t="shared" si="4"/>
        <v>371761237.568609</v>
      </c>
      <c r="V31" s="3886">
        <f t="shared" si="4"/>
        <v>380612695.60595685</v>
      </c>
      <c r="W31" s="3886">
        <f t="shared" si="4"/>
        <v>389464153.64330471</v>
      </c>
      <c r="X31" s="3886">
        <f t="shared" si="4"/>
        <v>398315611.6806525</v>
      </c>
      <c r="Y31" s="3886">
        <f t="shared" si="4"/>
        <v>407167069.71800035</v>
      </c>
      <c r="Z31" s="3886">
        <f t="shared" si="4"/>
        <v>416018527.75534821</v>
      </c>
      <c r="AA31" s="3886">
        <f t="shared" si="4"/>
        <v>424869985.792696</v>
      </c>
      <c r="AB31" s="3886">
        <f t="shared" si="4"/>
        <v>433721443.83004385</v>
      </c>
      <c r="AC31" s="3887">
        <f t="shared" si="4"/>
        <v>442572901.86739171</v>
      </c>
      <c r="AD31" s="3887">
        <f t="shared" si="4"/>
        <v>451424359.90473956</v>
      </c>
      <c r="AE31" s="3887">
        <f t="shared" si="4"/>
        <v>460275817.94208735</v>
      </c>
      <c r="AF31" s="3887">
        <f t="shared" si="4"/>
        <v>469127275.97943521</v>
      </c>
      <c r="AG31" s="3887">
        <f t="shared" si="4"/>
        <v>477978734.01678306</v>
      </c>
      <c r="AH31" s="3887">
        <f t="shared" si="4"/>
        <v>486830192.05413085</v>
      </c>
      <c r="AI31" s="3887">
        <f t="shared" si="4"/>
        <v>495681650.09147871</v>
      </c>
      <c r="AJ31" s="3887">
        <f t="shared" si="4"/>
        <v>504533108.12882656</v>
      </c>
      <c r="AK31" s="3887">
        <f t="shared" si="4"/>
        <v>513384566.16617435</v>
      </c>
      <c r="AL31" s="3887">
        <f t="shared" si="4"/>
        <v>522236024.20352221</v>
      </c>
      <c r="AM31" s="3887">
        <f t="shared" si="4"/>
        <v>531087482.24087006</v>
      </c>
      <c r="AN31" s="3887">
        <f t="shared" si="4"/>
        <v>539938940.27821779</v>
      </c>
      <c r="AO31" s="3887">
        <f t="shared" si="4"/>
        <v>548790398.31556571</v>
      </c>
      <c r="AP31" s="3887">
        <f t="shared" si="4"/>
        <v>557641856.3529135</v>
      </c>
      <c r="AQ31" s="3887">
        <f t="shared" si="4"/>
        <v>566493314.39026129</v>
      </c>
      <c r="AR31" s="3887">
        <f t="shared" si="4"/>
        <v>575344772.42760921</v>
      </c>
      <c r="AS31" s="3869"/>
      <c r="AT31" s="3869"/>
    </row>
    <row r="32" spans="1:46">
      <c r="A32" s="5667" t="s">
        <v>4450</v>
      </c>
      <c r="B32" s="3863" t="s">
        <v>4692</v>
      </c>
      <c r="C32" s="3864">
        <v>0.2</v>
      </c>
      <c r="D32" s="3865">
        <f t="shared" ref="D32:AR32" si="5">D25*$C32</f>
        <v>50000</v>
      </c>
      <c r="E32" s="3866">
        <f t="shared" si="5"/>
        <v>52000</v>
      </c>
      <c r="F32" s="3866">
        <f t="shared" si="5"/>
        <v>54000</v>
      </c>
      <c r="G32" s="3866">
        <f t="shared" si="5"/>
        <v>56000</v>
      </c>
      <c r="H32" s="3866">
        <f t="shared" si="5"/>
        <v>58000</v>
      </c>
      <c r="I32" s="3866">
        <f t="shared" si="5"/>
        <v>60000</v>
      </c>
      <c r="J32" s="3866">
        <f t="shared" si="5"/>
        <v>62000</v>
      </c>
      <c r="K32" s="3866">
        <f t="shared" si="5"/>
        <v>64000</v>
      </c>
      <c r="L32" s="3866">
        <f t="shared" si="5"/>
        <v>66000</v>
      </c>
      <c r="M32" s="3866">
        <f t="shared" si="5"/>
        <v>68000</v>
      </c>
      <c r="N32" s="3866">
        <f t="shared" si="5"/>
        <v>70000</v>
      </c>
      <c r="O32" s="3866">
        <f t="shared" si="5"/>
        <v>72000</v>
      </c>
      <c r="P32" s="3866">
        <f t="shared" si="5"/>
        <v>74000</v>
      </c>
      <c r="Q32" s="3866">
        <f t="shared" si="5"/>
        <v>76000</v>
      </c>
      <c r="R32" s="3866">
        <f t="shared" si="5"/>
        <v>78000</v>
      </c>
      <c r="S32" s="3866">
        <f t="shared" si="5"/>
        <v>80000</v>
      </c>
      <c r="T32" s="3866">
        <f t="shared" si="5"/>
        <v>82000</v>
      </c>
      <c r="U32" s="3866">
        <f t="shared" si="5"/>
        <v>84000</v>
      </c>
      <c r="V32" s="3866">
        <f t="shared" si="5"/>
        <v>86000</v>
      </c>
      <c r="W32" s="3866">
        <f t="shared" si="5"/>
        <v>88000</v>
      </c>
      <c r="X32" s="3866">
        <f t="shared" si="5"/>
        <v>90000</v>
      </c>
      <c r="Y32" s="3866">
        <f t="shared" si="5"/>
        <v>92000</v>
      </c>
      <c r="Z32" s="3866">
        <f t="shared" si="5"/>
        <v>94000</v>
      </c>
      <c r="AA32" s="3866">
        <f t="shared" si="5"/>
        <v>96000</v>
      </c>
      <c r="AB32" s="3866">
        <f t="shared" si="5"/>
        <v>98000</v>
      </c>
      <c r="AC32" s="3867">
        <f t="shared" si="5"/>
        <v>100000</v>
      </c>
      <c r="AD32" s="3868">
        <f t="shared" si="5"/>
        <v>102000</v>
      </c>
      <c r="AE32" s="3866">
        <f t="shared" si="5"/>
        <v>104000</v>
      </c>
      <c r="AF32" s="3866">
        <f t="shared" si="5"/>
        <v>106000</v>
      </c>
      <c r="AG32" s="3866">
        <f t="shared" si="5"/>
        <v>108000</v>
      </c>
      <c r="AH32" s="3866">
        <f t="shared" si="5"/>
        <v>110000</v>
      </c>
      <c r="AI32" s="3866">
        <f t="shared" si="5"/>
        <v>112000</v>
      </c>
      <c r="AJ32" s="3866">
        <f t="shared" si="5"/>
        <v>114000</v>
      </c>
      <c r="AK32" s="3866">
        <f t="shared" si="5"/>
        <v>116000</v>
      </c>
      <c r="AL32" s="3866">
        <f t="shared" si="5"/>
        <v>118000</v>
      </c>
      <c r="AM32" s="3866">
        <f t="shared" si="5"/>
        <v>120000</v>
      </c>
      <c r="AN32" s="3866">
        <f t="shared" si="5"/>
        <v>122000</v>
      </c>
      <c r="AO32" s="3866">
        <f t="shared" si="5"/>
        <v>124000</v>
      </c>
      <c r="AP32" s="3866">
        <f t="shared" si="5"/>
        <v>126000</v>
      </c>
      <c r="AQ32" s="3866">
        <f t="shared" si="5"/>
        <v>128000</v>
      </c>
      <c r="AR32" s="3866">
        <f t="shared" si="5"/>
        <v>130000</v>
      </c>
      <c r="AS32" s="3888"/>
      <c r="AT32" s="3888"/>
    </row>
    <row r="33" spans="1:46">
      <c r="A33" s="5668"/>
      <c r="B33" s="3889" t="s">
        <v>4686</v>
      </c>
      <c r="C33" s="3890">
        <f>C27</f>
        <v>1200</v>
      </c>
      <c r="D33" s="3891">
        <f t="shared" ref="D33:AR33" si="6">D32*$C33</f>
        <v>60000000</v>
      </c>
      <c r="E33" s="3892">
        <f t="shared" si="6"/>
        <v>62400000</v>
      </c>
      <c r="F33" s="3892">
        <f t="shared" si="6"/>
        <v>64800000</v>
      </c>
      <c r="G33" s="3892">
        <f t="shared" si="6"/>
        <v>67200000</v>
      </c>
      <c r="H33" s="3892">
        <f t="shared" si="6"/>
        <v>69600000</v>
      </c>
      <c r="I33" s="3892">
        <f t="shared" si="6"/>
        <v>72000000</v>
      </c>
      <c r="J33" s="3892">
        <f t="shared" si="6"/>
        <v>74400000</v>
      </c>
      <c r="K33" s="3892">
        <f t="shared" si="6"/>
        <v>76800000</v>
      </c>
      <c r="L33" s="3892">
        <f t="shared" si="6"/>
        <v>79200000</v>
      </c>
      <c r="M33" s="3892">
        <f t="shared" si="6"/>
        <v>81600000</v>
      </c>
      <c r="N33" s="3892">
        <f t="shared" si="6"/>
        <v>84000000</v>
      </c>
      <c r="O33" s="3892">
        <f t="shared" si="6"/>
        <v>86400000</v>
      </c>
      <c r="P33" s="3892">
        <f t="shared" si="6"/>
        <v>88800000</v>
      </c>
      <c r="Q33" s="3892">
        <f t="shared" si="6"/>
        <v>91200000</v>
      </c>
      <c r="R33" s="3892">
        <f t="shared" si="6"/>
        <v>93600000</v>
      </c>
      <c r="S33" s="3892">
        <f t="shared" si="6"/>
        <v>96000000</v>
      </c>
      <c r="T33" s="3892">
        <f t="shared" si="6"/>
        <v>98400000</v>
      </c>
      <c r="U33" s="3892">
        <f t="shared" si="6"/>
        <v>100800000</v>
      </c>
      <c r="V33" s="3892">
        <f t="shared" si="6"/>
        <v>103200000</v>
      </c>
      <c r="W33" s="3892">
        <f t="shared" si="6"/>
        <v>105600000</v>
      </c>
      <c r="X33" s="3892">
        <f t="shared" si="6"/>
        <v>108000000</v>
      </c>
      <c r="Y33" s="3892">
        <f t="shared" si="6"/>
        <v>110400000</v>
      </c>
      <c r="Z33" s="3892">
        <f t="shared" si="6"/>
        <v>112800000</v>
      </c>
      <c r="AA33" s="3892">
        <f t="shared" si="6"/>
        <v>115200000</v>
      </c>
      <c r="AB33" s="3892">
        <f t="shared" si="6"/>
        <v>117600000</v>
      </c>
      <c r="AC33" s="3893">
        <f t="shared" si="6"/>
        <v>120000000</v>
      </c>
      <c r="AD33" s="3894">
        <f t="shared" si="6"/>
        <v>122400000</v>
      </c>
      <c r="AE33" s="3893">
        <f t="shared" si="6"/>
        <v>124800000</v>
      </c>
      <c r="AF33" s="3893">
        <f t="shared" si="6"/>
        <v>127200000</v>
      </c>
      <c r="AG33" s="3893">
        <f t="shared" si="6"/>
        <v>129600000</v>
      </c>
      <c r="AH33" s="3893">
        <f t="shared" si="6"/>
        <v>132000000</v>
      </c>
      <c r="AI33" s="3893">
        <f t="shared" si="6"/>
        <v>134400000</v>
      </c>
      <c r="AJ33" s="3892">
        <f t="shared" si="6"/>
        <v>136800000</v>
      </c>
      <c r="AK33" s="3892">
        <f t="shared" si="6"/>
        <v>139200000</v>
      </c>
      <c r="AL33" s="3892">
        <f t="shared" si="6"/>
        <v>141600000</v>
      </c>
      <c r="AM33" s="3892">
        <f t="shared" si="6"/>
        <v>144000000</v>
      </c>
      <c r="AN33" s="3892">
        <f t="shared" si="6"/>
        <v>146400000</v>
      </c>
      <c r="AO33" s="3893">
        <f t="shared" si="6"/>
        <v>148800000</v>
      </c>
      <c r="AP33" s="3893">
        <f t="shared" si="6"/>
        <v>151200000</v>
      </c>
      <c r="AQ33" s="3893">
        <f t="shared" si="6"/>
        <v>153600000</v>
      </c>
      <c r="AR33" s="3893">
        <f t="shared" si="6"/>
        <v>156000000</v>
      </c>
      <c r="AS33" s="3895"/>
      <c r="AT33" s="3895"/>
    </row>
    <row r="34" spans="1:46">
      <c r="A34" s="5667" t="s">
        <v>4449</v>
      </c>
      <c r="B34" s="3896" t="s">
        <v>4692</v>
      </c>
      <c r="C34" s="3897">
        <f>J22</f>
        <v>0.70435664229657635</v>
      </c>
      <c r="D34" s="3898">
        <f t="shared" ref="D34:AR34" si="7">D25*$C34</f>
        <v>176089.1605741441</v>
      </c>
      <c r="E34" s="3899">
        <f t="shared" si="7"/>
        <v>183132.72699710986</v>
      </c>
      <c r="F34" s="3899">
        <f t="shared" si="7"/>
        <v>190176.29342007561</v>
      </c>
      <c r="G34" s="3899">
        <f t="shared" si="7"/>
        <v>197219.85984304137</v>
      </c>
      <c r="H34" s="3899">
        <f t="shared" si="7"/>
        <v>204263.42626600715</v>
      </c>
      <c r="I34" s="3899">
        <f t="shared" si="7"/>
        <v>211306.99268897291</v>
      </c>
      <c r="J34" s="3899">
        <f t="shared" si="7"/>
        <v>218350.55911193867</v>
      </c>
      <c r="K34" s="3899">
        <f t="shared" si="7"/>
        <v>225394.12553490442</v>
      </c>
      <c r="L34" s="3899">
        <f t="shared" si="7"/>
        <v>232437.69195787021</v>
      </c>
      <c r="M34" s="3899">
        <f t="shared" si="7"/>
        <v>239481.25838083596</v>
      </c>
      <c r="N34" s="3899">
        <f t="shared" si="7"/>
        <v>246524.82480380172</v>
      </c>
      <c r="O34" s="3899">
        <f t="shared" si="7"/>
        <v>253568.39122676748</v>
      </c>
      <c r="P34" s="3899">
        <f t="shared" si="7"/>
        <v>260611.95764973326</v>
      </c>
      <c r="Q34" s="3899">
        <f t="shared" si="7"/>
        <v>267655.52407269902</v>
      </c>
      <c r="R34" s="3899">
        <f t="shared" si="7"/>
        <v>274699.0904956648</v>
      </c>
      <c r="S34" s="3899">
        <f t="shared" si="7"/>
        <v>281742.65691863053</v>
      </c>
      <c r="T34" s="3899">
        <f t="shared" si="7"/>
        <v>288786.22334159631</v>
      </c>
      <c r="U34" s="3899">
        <f t="shared" si="7"/>
        <v>295829.78976456204</v>
      </c>
      <c r="V34" s="3899">
        <f t="shared" si="7"/>
        <v>302873.35618752782</v>
      </c>
      <c r="W34" s="3899">
        <f t="shared" si="7"/>
        <v>309916.92261049361</v>
      </c>
      <c r="X34" s="3899">
        <f t="shared" si="7"/>
        <v>316960.48903345934</v>
      </c>
      <c r="Y34" s="3899">
        <f t="shared" si="7"/>
        <v>324004.05545642512</v>
      </c>
      <c r="Z34" s="3899">
        <f t="shared" si="7"/>
        <v>331047.62187939091</v>
      </c>
      <c r="AA34" s="3899">
        <f t="shared" si="7"/>
        <v>338091.18830235663</v>
      </c>
      <c r="AB34" s="3899">
        <f t="shared" si="7"/>
        <v>345134.75472532242</v>
      </c>
      <c r="AC34" s="3900">
        <f t="shared" si="7"/>
        <v>352178.3211482882</v>
      </c>
      <c r="AD34" s="3901">
        <f t="shared" si="7"/>
        <v>359221.88757125393</v>
      </c>
      <c r="AE34" s="3899">
        <f t="shared" si="7"/>
        <v>366265.45399421972</v>
      </c>
      <c r="AF34" s="3899">
        <f t="shared" si="7"/>
        <v>373309.02041718544</v>
      </c>
      <c r="AG34" s="3899">
        <f t="shared" si="7"/>
        <v>380352.58684015123</v>
      </c>
      <c r="AH34" s="3899">
        <f t="shared" si="7"/>
        <v>387396.15326311701</v>
      </c>
      <c r="AI34" s="3899">
        <f t="shared" si="7"/>
        <v>394439.71968608274</v>
      </c>
      <c r="AJ34" s="3899">
        <f t="shared" si="7"/>
        <v>401483.28610904852</v>
      </c>
      <c r="AK34" s="3899">
        <f t="shared" si="7"/>
        <v>408526.85253201431</v>
      </c>
      <c r="AL34" s="3899">
        <f t="shared" si="7"/>
        <v>415570.41895498004</v>
      </c>
      <c r="AM34" s="3899">
        <f t="shared" si="7"/>
        <v>422613.98537794582</v>
      </c>
      <c r="AN34" s="3899">
        <f t="shared" si="7"/>
        <v>429657.55180091155</v>
      </c>
      <c r="AO34" s="3899">
        <f t="shared" si="7"/>
        <v>436701.11822387733</v>
      </c>
      <c r="AP34" s="3899">
        <f t="shared" si="7"/>
        <v>443744.68464684312</v>
      </c>
      <c r="AQ34" s="3899">
        <f t="shared" si="7"/>
        <v>450788.25106980884</v>
      </c>
      <c r="AR34" s="3899">
        <f t="shared" si="7"/>
        <v>457831.81749277463</v>
      </c>
      <c r="AS34" s="3869"/>
      <c r="AT34" s="3869"/>
    </row>
    <row r="35" spans="1:46">
      <c r="A35" s="5668"/>
      <c r="B35" s="3889" t="s">
        <v>4686</v>
      </c>
      <c r="C35" s="3890">
        <f>C33</f>
        <v>1200</v>
      </c>
      <c r="D35" s="3891">
        <f t="shared" ref="D35:AR35" si="8">D34*$C35</f>
        <v>211306992.68897292</v>
      </c>
      <c r="E35" s="3892">
        <f t="shared" si="8"/>
        <v>219759272.39653182</v>
      </c>
      <c r="F35" s="3892">
        <f t="shared" si="8"/>
        <v>228211552.10409075</v>
      </c>
      <c r="G35" s="3892">
        <f t="shared" si="8"/>
        <v>236663831.81164965</v>
      </c>
      <c r="H35" s="3892">
        <f t="shared" si="8"/>
        <v>245116111.51920858</v>
      </c>
      <c r="I35" s="3892">
        <f t="shared" si="8"/>
        <v>253568391.22676748</v>
      </c>
      <c r="J35" s="3892">
        <f t="shared" si="8"/>
        <v>262020670.93432641</v>
      </c>
      <c r="K35" s="3892">
        <f t="shared" si="8"/>
        <v>270472950.64188528</v>
      </c>
      <c r="L35" s="3892">
        <f t="shared" si="8"/>
        <v>278925230.34944427</v>
      </c>
      <c r="M35" s="3892">
        <f t="shared" si="8"/>
        <v>287377510.05700314</v>
      </c>
      <c r="N35" s="3892">
        <f t="shared" si="8"/>
        <v>295829789.76456207</v>
      </c>
      <c r="O35" s="3892">
        <f t="shared" si="8"/>
        <v>304282069.47212094</v>
      </c>
      <c r="P35" s="3892">
        <f t="shared" si="8"/>
        <v>312734349.17967993</v>
      </c>
      <c r="Q35" s="3892">
        <f t="shared" si="8"/>
        <v>321186628.8872388</v>
      </c>
      <c r="R35" s="3892">
        <f t="shared" si="8"/>
        <v>329638908.59479779</v>
      </c>
      <c r="S35" s="3892">
        <f t="shared" si="8"/>
        <v>338091188.30235666</v>
      </c>
      <c r="T35" s="3892">
        <f t="shared" si="8"/>
        <v>346543468.00991559</v>
      </c>
      <c r="U35" s="3892">
        <f t="shared" si="8"/>
        <v>354995747.71747446</v>
      </c>
      <c r="V35" s="3892">
        <f t="shared" si="8"/>
        <v>363448027.42503339</v>
      </c>
      <c r="W35" s="3892">
        <f t="shared" si="8"/>
        <v>371900307.13259232</v>
      </c>
      <c r="X35" s="3892">
        <f t="shared" si="8"/>
        <v>380352586.84015119</v>
      </c>
      <c r="Y35" s="3892">
        <f t="shared" si="8"/>
        <v>388804866.54771012</v>
      </c>
      <c r="Z35" s="3892">
        <f t="shared" si="8"/>
        <v>397257146.25526911</v>
      </c>
      <c r="AA35" s="3892">
        <f t="shared" si="8"/>
        <v>405709425.96282798</v>
      </c>
      <c r="AB35" s="3892">
        <f t="shared" si="8"/>
        <v>414161705.67038691</v>
      </c>
      <c r="AC35" s="3893">
        <f t="shared" si="8"/>
        <v>422613985.37794584</v>
      </c>
      <c r="AD35" s="3894">
        <f t="shared" si="8"/>
        <v>431066265.08550471</v>
      </c>
      <c r="AE35" s="3893">
        <f t="shared" si="8"/>
        <v>439518544.79306364</v>
      </c>
      <c r="AF35" s="3893">
        <f t="shared" si="8"/>
        <v>447970824.50062251</v>
      </c>
      <c r="AG35" s="3893">
        <f t="shared" si="8"/>
        <v>456423104.2081815</v>
      </c>
      <c r="AH35" s="3893">
        <f t="shared" si="8"/>
        <v>464875383.91574043</v>
      </c>
      <c r="AI35" s="3893">
        <f t="shared" si="8"/>
        <v>473327663.6232993</v>
      </c>
      <c r="AJ35" s="3892">
        <f t="shared" si="8"/>
        <v>481779943.33085823</v>
      </c>
      <c r="AK35" s="3892">
        <f t="shared" si="8"/>
        <v>490232223.03841716</v>
      </c>
      <c r="AL35" s="3892">
        <f t="shared" si="8"/>
        <v>498684502.74597603</v>
      </c>
      <c r="AM35" s="3892">
        <f t="shared" si="8"/>
        <v>507136782.45353496</v>
      </c>
      <c r="AN35" s="3892">
        <f t="shared" si="8"/>
        <v>515589062.16109383</v>
      </c>
      <c r="AO35" s="3893">
        <f t="shared" si="8"/>
        <v>524041341.86865282</v>
      </c>
      <c r="AP35" s="3893">
        <f t="shared" si="8"/>
        <v>532493621.57621175</v>
      </c>
      <c r="AQ35" s="3893">
        <f t="shared" si="8"/>
        <v>540945901.28377056</v>
      </c>
      <c r="AR35" s="3893">
        <f t="shared" si="8"/>
        <v>549398180.99132955</v>
      </c>
      <c r="AS35" s="3869"/>
      <c r="AT35" s="3869"/>
    </row>
    <row r="36" spans="1:46">
      <c r="A36" s="5641" t="s">
        <v>4693</v>
      </c>
      <c r="B36" s="3902" t="s">
        <v>4692</v>
      </c>
      <c r="C36" s="3903">
        <v>0.2</v>
      </c>
      <c r="D36" s="3904">
        <f>D25*$C36</f>
        <v>50000</v>
      </c>
      <c r="E36" s="3904">
        <f>E25*$C36</f>
        <v>52000</v>
      </c>
      <c r="F36" s="3904">
        <f t="shared" ref="F36:AR36" si="9">F25*$C36</f>
        <v>54000</v>
      </c>
      <c r="G36" s="3904">
        <f t="shared" si="9"/>
        <v>56000</v>
      </c>
      <c r="H36" s="3904">
        <f t="shared" si="9"/>
        <v>58000</v>
      </c>
      <c r="I36" s="3904">
        <f t="shared" si="9"/>
        <v>60000</v>
      </c>
      <c r="J36" s="3904">
        <f t="shared" si="9"/>
        <v>62000</v>
      </c>
      <c r="K36" s="3904">
        <f t="shared" si="9"/>
        <v>64000</v>
      </c>
      <c r="L36" s="3904">
        <f t="shared" si="9"/>
        <v>66000</v>
      </c>
      <c r="M36" s="3904">
        <f t="shared" si="9"/>
        <v>68000</v>
      </c>
      <c r="N36" s="3904">
        <f t="shared" si="9"/>
        <v>70000</v>
      </c>
      <c r="O36" s="3904">
        <f t="shared" si="9"/>
        <v>72000</v>
      </c>
      <c r="P36" s="3904">
        <f t="shared" si="9"/>
        <v>74000</v>
      </c>
      <c r="Q36" s="3904">
        <f t="shared" si="9"/>
        <v>76000</v>
      </c>
      <c r="R36" s="3904">
        <f t="shared" si="9"/>
        <v>78000</v>
      </c>
      <c r="S36" s="3904">
        <f t="shared" si="9"/>
        <v>80000</v>
      </c>
      <c r="T36" s="3904">
        <f t="shared" si="9"/>
        <v>82000</v>
      </c>
      <c r="U36" s="3904">
        <f t="shared" si="9"/>
        <v>84000</v>
      </c>
      <c r="V36" s="3904">
        <f t="shared" si="9"/>
        <v>86000</v>
      </c>
      <c r="W36" s="3904">
        <f t="shared" si="9"/>
        <v>88000</v>
      </c>
      <c r="X36" s="3904">
        <f t="shared" si="9"/>
        <v>90000</v>
      </c>
      <c r="Y36" s="3904">
        <f t="shared" si="9"/>
        <v>92000</v>
      </c>
      <c r="Z36" s="3904">
        <f t="shared" si="9"/>
        <v>94000</v>
      </c>
      <c r="AA36" s="3904">
        <f t="shared" si="9"/>
        <v>96000</v>
      </c>
      <c r="AB36" s="3904">
        <f t="shared" si="9"/>
        <v>98000</v>
      </c>
      <c r="AC36" s="3904">
        <f t="shared" si="9"/>
        <v>100000</v>
      </c>
      <c r="AD36" s="3904">
        <f t="shared" si="9"/>
        <v>102000</v>
      </c>
      <c r="AE36" s="3904">
        <f t="shared" si="9"/>
        <v>104000</v>
      </c>
      <c r="AF36" s="3904">
        <f t="shared" si="9"/>
        <v>106000</v>
      </c>
      <c r="AG36" s="3904">
        <f t="shared" si="9"/>
        <v>108000</v>
      </c>
      <c r="AH36" s="3904">
        <f t="shared" si="9"/>
        <v>110000</v>
      </c>
      <c r="AI36" s="3904">
        <f t="shared" si="9"/>
        <v>112000</v>
      </c>
      <c r="AJ36" s="3904">
        <f t="shared" si="9"/>
        <v>114000</v>
      </c>
      <c r="AK36" s="3904">
        <f t="shared" si="9"/>
        <v>116000</v>
      </c>
      <c r="AL36" s="3904">
        <f t="shared" si="9"/>
        <v>118000</v>
      </c>
      <c r="AM36" s="3904">
        <f t="shared" si="9"/>
        <v>120000</v>
      </c>
      <c r="AN36" s="3904">
        <f t="shared" si="9"/>
        <v>122000</v>
      </c>
      <c r="AO36" s="3904">
        <f t="shared" si="9"/>
        <v>124000</v>
      </c>
      <c r="AP36" s="3904">
        <f t="shared" si="9"/>
        <v>126000</v>
      </c>
      <c r="AQ36" s="3904">
        <f t="shared" si="9"/>
        <v>128000</v>
      </c>
      <c r="AR36" s="3904">
        <f t="shared" si="9"/>
        <v>130000</v>
      </c>
      <c r="AS36" s="3905"/>
      <c r="AT36" s="3905"/>
    </row>
    <row r="37" spans="1:46">
      <c r="A37" s="5642"/>
      <c r="B37" s="3906" t="s">
        <v>4686</v>
      </c>
      <c r="C37" s="3907">
        <v>1200</v>
      </c>
      <c r="D37" s="3907">
        <f>D36*$C37</f>
        <v>60000000</v>
      </c>
      <c r="E37" s="3907">
        <f>E36*$C37</f>
        <v>62400000</v>
      </c>
      <c r="F37" s="3907">
        <f t="shared" ref="F37:AR37" si="10">F36*$C37</f>
        <v>64800000</v>
      </c>
      <c r="G37" s="3907">
        <f t="shared" si="10"/>
        <v>67200000</v>
      </c>
      <c r="H37" s="3907">
        <f t="shared" si="10"/>
        <v>69600000</v>
      </c>
      <c r="I37" s="3907">
        <f t="shared" si="10"/>
        <v>72000000</v>
      </c>
      <c r="J37" s="3907">
        <f t="shared" si="10"/>
        <v>74400000</v>
      </c>
      <c r="K37" s="3907">
        <f t="shared" si="10"/>
        <v>76800000</v>
      </c>
      <c r="L37" s="3907">
        <f t="shared" si="10"/>
        <v>79200000</v>
      </c>
      <c r="M37" s="3907">
        <f t="shared" si="10"/>
        <v>81600000</v>
      </c>
      <c r="N37" s="3907">
        <f t="shared" si="10"/>
        <v>84000000</v>
      </c>
      <c r="O37" s="3907">
        <f t="shared" si="10"/>
        <v>86400000</v>
      </c>
      <c r="P37" s="3907">
        <f t="shared" si="10"/>
        <v>88800000</v>
      </c>
      <c r="Q37" s="3907">
        <f t="shared" si="10"/>
        <v>91200000</v>
      </c>
      <c r="R37" s="3907">
        <f t="shared" si="10"/>
        <v>93600000</v>
      </c>
      <c r="S37" s="3907">
        <f t="shared" si="10"/>
        <v>96000000</v>
      </c>
      <c r="T37" s="3907">
        <f t="shared" si="10"/>
        <v>98400000</v>
      </c>
      <c r="U37" s="3907">
        <f t="shared" si="10"/>
        <v>100800000</v>
      </c>
      <c r="V37" s="3907">
        <f t="shared" si="10"/>
        <v>103200000</v>
      </c>
      <c r="W37" s="3907">
        <f t="shared" si="10"/>
        <v>105600000</v>
      </c>
      <c r="X37" s="3907">
        <f t="shared" si="10"/>
        <v>108000000</v>
      </c>
      <c r="Y37" s="3907">
        <f t="shared" si="10"/>
        <v>110400000</v>
      </c>
      <c r="Z37" s="3907">
        <f t="shared" si="10"/>
        <v>112800000</v>
      </c>
      <c r="AA37" s="3907">
        <f t="shared" si="10"/>
        <v>115200000</v>
      </c>
      <c r="AB37" s="3907">
        <f t="shared" si="10"/>
        <v>117600000</v>
      </c>
      <c r="AC37" s="3907">
        <f t="shared" si="10"/>
        <v>120000000</v>
      </c>
      <c r="AD37" s="3907">
        <f t="shared" si="10"/>
        <v>122400000</v>
      </c>
      <c r="AE37" s="3907">
        <f t="shared" si="10"/>
        <v>124800000</v>
      </c>
      <c r="AF37" s="3907">
        <f t="shared" si="10"/>
        <v>127200000</v>
      </c>
      <c r="AG37" s="3907">
        <f t="shared" si="10"/>
        <v>129600000</v>
      </c>
      <c r="AH37" s="3907">
        <f t="shared" si="10"/>
        <v>132000000</v>
      </c>
      <c r="AI37" s="3907">
        <f t="shared" si="10"/>
        <v>134400000</v>
      </c>
      <c r="AJ37" s="3907">
        <f t="shared" si="10"/>
        <v>136800000</v>
      </c>
      <c r="AK37" s="3907">
        <f t="shared" si="10"/>
        <v>139200000</v>
      </c>
      <c r="AL37" s="3907">
        <f t="shared" si="10"/>
        <v>141600000</v>
      </c>
      <c r="AM37" s="3907">
        <f t="shared" si="10"/>
        <v>144000000</v>
      </c>
      <c r="AN37" s="3907">
        <f t="shared" si="10"/>
        <v>146400000</v>
      </c>
      <c r="AO37" s="3907">
        <f t="shared" si="10"/>
        <v>148800000</v>
      </c>
      <c r="AP37" s="3907">
        <f t="shared" si="10"/>
        <v>151200000</v>
      </c>
      <c r="AQ37" s="3907">
        <f t="shared" si="10"/>
        <v>153600000</v>
      </c>
      <c r="AR37" s="3907">
        <f t="shared" si="10"/>
        <v>156000000</v>
      </c>
      <c r="AS37" s="3908"/>
      <c r="AT37" s="3908"/>
    </row>
    <row r="38" spans="1:46">
      <c r="A38" s="5641" t="s">
        <v>4694</v>
      </c>
      <c r="B38" s="3902" t="s">
        <v>4692</v>
      </c>
      <c r="C38" s="3903">
        <v>0.1</v>
      </c>
      <c r="D38" s="3904">
        <f>D25*$C38</f>
        <v>25000</v>
      </c>
      <c r="E38" s="3904">
        <f>E25*$C38</f>
        <v>26000</v>
      </c>
      <c r="F38" s="3904">
        <f t="shared" ref="F38:AR38" si="11">F25*$C38</f>
        <v>27000</v>
      </c>
      <c r="G38" s="3904">
        <f t="shared" si="11"/>
        <v>28000</v>
      </c>
      <c r="H38" s="3904">
        <f t="shared" si="11"/>
        <v>29000</v>
      </c>
      <c r="I38" s="3904">
        <f t="shared" si="11"/>
        <v>30000</v>
      </c>
      <c r="J38" s="3904">
        <f t="shared" si="11"/>
        <v>31000</v>
      </c>
      <c r="K38" s="3904">
        <f t="shared" si="11"/>
        <v>32000</v>
      </c>
      <c r="L38" s="3904">
        <f t="shared" si="11"/>
        <v>33000</v>
      </c>
      <c r="M38" s="3904">
        <f t="shared" si="11"/>
        <v>34000</v>
      </c>
      <c r="N38" s="3904">
        <f t="shared" si="11"/>
        <v>35000</v>
      </c>
      <c r="O38" s="3904">
        <f t="shared" si="11"/>
        <v>36000</v>
      </c>
      <c r="P38" s="3904">
        <f t="shared" si="11"/>
        <v>37000</v>
      </c>
      <c r="Q38" s="3904">
        <f t="shared" si="11"/>
        <v>38000</v>
      </c>
      <c r="R38" s="3904">
        <f t="shared" si="11"/>
        <v>39000</v>
      </c>
      <c r="S38" s="3904">
        <f t="shared" si="11"/>
        <v>40000</v>
      </c>
      <c r="T38" s="3904">
        <f t="shared" si="11"/>
        <v>41000</v>
      </c>
      <c r="U38" s="3904">
        <f t="shared" si="11"/>
        <v>42000</v>
      </c>
      <c r="V38" s="3904">
        <f t="shared" si="11"/>
        <v>43000</v>
      </c>
      <c r="W38" s="3904">
        <f t="shared" si="11"/>
        <v>44000</v>
      </c>
      <c r="X38" s="3904">
        <f t="shared" si="11"/>
        <v>45000</v>
      </c>
      <c r="Y38" s="3904">
        <f t="shared" si="11"/>
        <v>46000</v>
      </c>
      <c r="Z38" s="3904">
        <f t="shared" si="11"/>
        <v>47000</v>
      </c>
      <c r="AA38" s="3904">
        <f t="shared" si="11"/>
        <v>48000</v>
      </c>
      <c r="AB38" s="3904">
        <f t="shared" si="11"/>
        <v>49000</v>
      </c>
      <c r="AC38" s="3904">
        <f t="shared" si="11"/>
        <v>50000</v>
      </c>
      <c r="AD38" s="3904">
        <f t="shared" si="11"/>
        <v>51000</v>
      </c>
      <c r="AE38" s="3904">
        <f t="shared" si="11"/>
        <v>52000</v>
      </c>
      <c r="AF38" s="3904">
        <f t="shared" si="11"/>
        <v>53000</v>
      </c>
      <c r="AG38" s="3904">
        <f t="shared" si="11"/>
        <v>54000</v>
      </c>
      <c r="AH38" s="3904">
        <f t="shared" si="11"/>
        <v>55000</v>
      </c>
      <c r="AI38" s="3904">
        <f t="shared" si="11"/>
        <v>56000</v>
      </c>
      <c r="AJ38" s="3904">
        <f t="shared" si="11"/>
        <v>57000</v>
      </c>
      <c r="AK38" s="3904">
        <f t="shared" si="11"/>
        <v>58000</v>
      </c>
      <c r="AL38" s="3904">
        <f t="shared" si="11"/>
        <v>59000</v>
      </c>
      <c r="AM38" s="3904">
        <f t="shared" si="11"/>
        <v>60000</v>
      </c>
      <c r="AN38" s="3904">
        <f t="shared" si="11"/>
        <v>61000</v>
      </c>
      <c r="AO38" s="3904">
        <f t="shared" si="11"/>
        <v>62000</v>
      </c>
      <c r="AP38" s="3904">
        <f t="shared" si="11"/>
        <v>63000</v>
      </c>
      <c r="AQ38" s="3904">
        <f t="shared" si="11"/>
        <v>64000</v>
      </c>
      <c r="AR38" s="3904">
        <f t="shared" si="11"/>
        <v>65000</v>
      </c>
      <c r="AS38" s="3905"/>
      <c r="AT38" s="3905"/>
    </row>
    <row r="39" spans="1:46">
      <c r="A39" s="5642"/>
      <c r="B39" s="3906" t="s">
        <v>4686</v>
      </c>
      <c r="C39" s="3907">
        <v>1200</v>
      </c>
      <c r="D39" s="3907">
        <f>D38*$C39</f>
        <v>30000000</v>
      </c>
      <c r="E39" s="3907">
        <f>E38*$C39</f>
        <v>31200000</v>
      </c>
      <c r="F39" s="3907">
        <f t="shared" ref="F39:AR39" si="12">F38*$C39</f>
        <v>32400000</v>
      </c>
      <c r="G39" s="3907">
        <f t="shared" si="12"/>
        <v>33600000</v>
      </c>
      <c r="H39" s="3907">
        <f t="shared" si="12"/>
        <v>34800000</v>
      </c>
      <c r="I39" s="3907">
        <f t="shared" si="12"/>
        <v>36000000</v>
      </c>
      <c r="J39" s="3907">
        <f t="shared" si="12"/>
        <v>37200000</v>
      </c>
      <c r="K39" s="3907">
        <f t="shared" si="12"/>
        <v>38400000</v>
      </c>
      <c r="L39" s="3907">
        <f t="shared" si="12"/>
        <v>39600000</v>
      </c>
      <c r="M39" s="3907">
        <f t="shared" si="12"/>
        <v>40800000</v>
      </c>
      <c r="N39" s="3907">
        <f t="shared" si="12"/>
        <v>42000000</v>
      </c>
      <c r="O39" s="3907">
        <f t="shared" si="12"/>
        <v>43200000</v>
      </c>
      <c r="P39" s="3907">
        <f t="shared" si="12"/>
        <v>44400000</v>
      </c>
      <c r="Q39" s="3907">
        <f t="shared" si="12"/>
        <v>45600000</v>
      </c>
      <c r="R39" s="3907">
        <f t="shared" si="12"/>
        <v>46800000</v>
      </c>
      <c r="S39" s="3907">
        <f t="shared" si="12"/>
        <v>48000000</v>
      </c>
      <c r="T39" s="3907">
        <f t="shared" si="12"/>
        <v>49200000</v>
      </c>
      <c r="U39" s="3907">
        <f t="shared" si="12"/>
        <v>50400000</v>
      </c>
      <c r="V39" s="3907">
        <f t="shared" si="12"/>
        <v>51600000</v>
      </c>
      <c r="W39" s="3907">
        <f t="shared" si="12"/>
        <v>52800000</v>
      </c>
      <c r="X39" s="3907">
        <f t="shared" si="12"/>
        <v>54000000</v>
      </c>
      <c r="Y39" s="3907">
        <f t="shared" si="12"/>
        <v>55200000</v>
      </c>
      <c r="Z39" s="3907">
        <f t="shared" si="12"/>
        <v>56400000</v>
      </c>
      <c r="AA39" s="3907">
        <f t="shared" si="12"/>
        <v>57600000</v>
      </c>
      <c r="AB39" s="3907">
        <f t="shared" si="12"/>
        <v>58800000</v>
      </c>
      <c r="AC39" s="3907">
        <f t="shared" si="12"/>
        <v>60000000</v>
      </c>
      <c r="AD39" s="3907">
        <f t="shared" si="12"/>
        <v>61200000</v>
      </c>
      <c r="AE39" s="3907">
        <f t="shared" si="12"/>
        <v>62400000</v>
      </c>
      <c r="AF39" s="3907">
        <f t="shared" si="12"/>
        <v>63600000</v>
      </c>
      <c r="AG39" s="3907">
        <f t="shared" si="12"/>
        <v>64800000</v>
      </c>
      <c r="AH39" s="3907">
        <f t="shared" si="12"/>
        <v>66000000</v>
      </c>
      <c r="AI39" s="3907">
        <f t="shared" si="12"/>
        <v>67200000</v>
      </c>
      <c r="AJ39" s="3907">
        <f t="shared" si="12"/>
        <v>68400000</v>
      </c>
      <c r="AK39" s="3907">
        <f t="shared" si="12"/>
        <v>69600000</v>
      </c>
      <c r="AL39" s="3907">
        <f t="shared" si="12"/>
        <v>70800000</v>
      </c>
      <c r="AM39" s="3907">
        <f t="shared" si="12"/>
        <v>72000000</v>
      </c>
      <c r="AN39" s="3907">
        <f t="shared" si="12"/>
        <v>73200000</v>
      </c>
      <c r="AO39" s="3907">
        <f t="shared" si="12"/>
        <v>74400000</v>
      </c>
      <c r="AP39" s="3907">
        <f t="shared" si="12"/>
        <v>75600000</v>
      </c>
      <c r="AQ39" s="3907">
        <f t="shared" si="12"/>
        <v>76800000</v>
      </c>
      <c r="AR39" s="3907">
        <f t="shared" si="12"/>
        <v>78000000</v>
      </c>
      <c r="AS39" s="3908"/>
      <c r="AT39" s="3908"/>
    </row>
    <row r="40" spans="1:46">
      <c r="A40" s="3909" t="s">
        <v>4695</v>
      </c>
      <c r="B40" s="3909"/>
      <c r="C40" s="3910">
        <v>1.02</v>
      </c>
      <c r="D40" s="3911">
        <v>2000000</v>
      </c>
      <c r="E40" s="3911">
        <f>D40*$C$40</f>
        <v>2040000</v>
      </c>
      <c r="F40" s="3911">
        <f>E40*$C$40</f>
        <v>2080800</v>
      </c>
      <c r="G40" s="3911">
        <f t="shared" ref="G40:AR40" si="13">F40*$C$40</f>
        <v>2122416</v>
      </c>
      <c r="H40" s="3911">
        <f t="shared" si="13"/>
        <v>2164864.3199999998</v>
      </c>
      <c r="I40" s="3911">
        <f t="shared" si="13"/>
        <v>2208161.6063999999</v>
      </c>
      <c r="J40" s="3911">
        <f t="shared" si="13"/>
        <v>2252324.8385279998</v>
      </c>
      <c r="K40" s="3911">
        <f t="shared" si="13"/>
        <v>2297371.3352985596</v>
      </c>
      <c r="L40" s="3911">
        <f t="shared" si="13"/>
        <v>2343318.762004531</v>
      </c>
      <c r="M40" s="3911">
        <f t="shared" si="13"/>
        <v>2390185.1372446218</v>
      </c>
      <c r="N40" s="3911">
        <f t="shared" si="13"/>
        <v>2437988.8399895141</v>
      </c>
      <c r="O40" s="3911">
        <f t="shared" si="13"/>
        <v>2486748.6167893042</v>
      </c>
      <c r="P40" s="3911">
        <f t="shared" si="13"/>
        <v>2536483.5891250903</v>
      </c>
      <c r="Q40" s="3911">
        <f t="shared" si="13"/>
        <v>2587213.2609075923</v>
      </c>
      <c r="R40" s="3911">
        <f t="shared" si="13"/>
        <v>2638957.526125744</v>
      </c>
      <c r="S40" s="3911">
        <f t="shared" si="13"/>
        <v>2691736.6766482587</v>
      </c>
      <c r="T40" s="3911">
        <f t="shared" si="13"/>
        <v>2745571.4101812239</v>
      </c>
      <c r="U40" s="3911">
        <f t="shared" si="13"/>
        <v>2800482.8383848486</v>
      </c>
      <c r="V40" s="3911">
        <f t="shared" si="13"/>
        <v>2856492.4951525456</v>
      </c>
      <c r="W40" s="3911">
        <f t="shared" si="13"/>
        <v>2913622.3450555964</v>
      </c>
      <c r="X40" s="3911">
        <f t="shared" si="13"/>
        <v>2971894.7919567083</v>
      </c>
      <c r="Y40" s="3911">
        <f t="shared" si="13"/>
        <v>3031332.6877958425</v>
      </c>
      <c r="Z40" s="3911">
        <f t="shared" si="13"/>
        <v>3091959.3415517593</v>
      </c>
      <c r="AA40" s="3911">
        <f t="shared" si="13"/>
        <v>3153798.5283827945</v>
      </c>
      <c r="AB40" s="3911">
        <f t="shared" si="13"/>
        <v>3216874.4989504502</v>
      </c>
      <c r="AC40" s="3911">
        <f t="shared" si="13"/>
        <v>3281211.9889294594</v>
      </c>
      <c r="AD40" s="3911">
        <f t="shared" si="13"/>
        <v>3346836.2287080488</v>
      </c>
      <c r="AE40" s="3911">
        <f t="shared" si="13"/>
        <v>3413772.95328221</v>
      </c>
      <c r="AF40" s="3911">
        <f t="shared" si="13"/>
        <v>3482048.4123478541</v>
      </c>
      <c r="AG40" s="3911">
        <f t="shared" si="13"/>
        <v>3551689.3805948114</v>
      </c>
      <c r="AH40" s="3911">
        <f t="shared" si="13"/>
        <v>3622723.1682067076</v>
      </c>
      <c r="AI40" s="3911">
        <f t="shared" si="13"/>
        <v>3695177.6315708417</v>
      </c>
      <c r="AJ40" s="3911">
        <f t="shared" si="13"/>
        <v>3769081.1842022585</v>
      </c>
      <c r="AK40" s="3911">
        <f t="shared" si="13"/>
        <v>3844462.8078863039</v>
      </c>
      <c r="AL40" s="3911">
        <f t="shared" si="13"/>
        <v>3921352.0640440299</v>
      </c>
      <c r="AM40" s="3911">
        <f t="shared" si="13"/>
        <v>3999779.1053249105</v>
      </c>
      <c r="AN40" s="3911">
        <f t="shared" si="13"/>
        <v>4079774.6874314086</v>
      </c>
      <c r="AO40" s="3911">
        <f t="shared" si="13"/>
        <v>4161370.1811800366</v>
      </c>
      <c r="AP40" s="3911">
        <f t="shared" si="13"/>
        <v>4244597.5848036371</v>
      </c>
      <c r="AQ40" s="3911">
        <f t="shared" si="13"/>
        <v>4329489.5364997098</v>
      </c>
      <c r="AR40" s="3911">
        <f t="shared" si="13"/>
        <v>4416079.3272297038</v>
      </c>
      <c r="AS40" s="3869"/>
      <c r="AT40" s="3869"/>
    </row>
    <row r="41" spans="1:46">
      <c r="A41" s="3909" t="s">
        <v>4696</v>
      </c>
      <c r="B41" s="3909"/>
      <c r="C41" s="3910">
        <v>1.02</v>
      </c>
      <c r="D41" s="3911">
        <v>1500000</v>
      </c>
      <c r="E41" s="3911">
        <f>D41*$C$41</f>
        <v>1530000</v>
      </c>
      <c r="F41" s="3911">
        <f>E41*$C$41</f>
        <v>1560600</v>
      </c>
      <c r="G41" s="3911">
        <f t="shared" ref="G41:AR41" si="14">F41*$C$41</f>
        <v>1591812</v>
      </c>
      <c r="H41" s="3911">
        <f t="shared" si="14"/>
        <v>1623648.24</v>
      </c>
      <c r="I41" s="3911">
        <f t="shared" si="14"/>
        <v>1656121.2047999999</v>
      </c>
      <c r="J41" s="3911">
        <f t="shared" si="14"/>
        <v>1689243.6288959999</v>
      </c>
      <c r="K41" s="3911">
        <f t="shared" si="14"/>
        <v>1723028.50147392</v>
      </c>
      <c r="L41" s="3911">
        <f t="shared" si="14"/>
        <v>1757489.0715033985</v>
      </c>
      <c r="M41" s="3911">
        <f t="shared" si="14"/>
        <v>1792638.8529334664</v>
      </c>
      <c r="N41" s="3911">
        <f t="shared" si="14"/>
        <v>1828491.6299921358</v>
      </c>
      <c r="O41" s="3911">
        <f t="shared" si="14"/>
        <v>1865061.4625919785</v>
      </c>
      <c r="P41" s="3911">
        <f t="shared" si="14"/>
        <v>1902362.6918438182</v>
      </c>
      <c r="Q41" s="3911">
        <f t="shared" si="14"/>
        <v>1940409.9456806947</v>
      </c>
      <c r="R41" s="3911">
        <f t="shared" si="14"/>
        <v>1979218.1445943087</v>
      </c>
      <c r="S41" s="3911">
        <f t="shared" si="14"/>
        <v>2018802.5074861948</v>
      </c>
      <c r="T41" s="3911">
        <f t="shared" si="14"/>
        <v>2059178.5576359187</v>
      </c>
      <c r="U41" s="3911">
        <f t="shared" si="14"/>
        <v>2100362.128788637</v>
      </c>
      <c r="V41" s="3911">
        <f t="shared" si="14"/>
        <v>2142369.3713644096</v>
      </c>
      <c r="W41" s="3911">
        <f t="shared" si="14"/>
        <v>2185216.7587916977</v>
      </c>
      <c r="X41" s="3911">
        <f t="shared" si="14"/>
        <v>2228921.0939675318</v>
      </c>
      <c r="Y41" s="3911">
        <f t="shared" si="14"/>
        <v>2273499.5158468825</v>
      </c>
      <c r="Z41" s="3911">
        <f t="shared" si="14"/>
        <v>2318969.5061638202</v>
      </c>
      <c r="AA41" s="3911">
        <f t="shared" si="14"/>
        <v>2365348.8962870967</v>
      </c>
      <c r="AB41" s="3911">
        <f t="shared" si="14"/>
        <v>2412655.8742128387</v>
      </c>
      <c r="AC41" s="3911">
        <f t="shared" si="14"/>
        <v>2460908.9916970953</v>
      </c>
      <c r="AD41" s="3911">
        <f t="shared" si="14"/>
        <v>2510127.1715310374</v>
      </c>
      <c r="AE41" s="3911">
        <f t="shared" si="14"/>
        <v>2560329.7149616582</v>
      </c>
      <c r="AF41" s="3911">
        <f t="shared" si="14"/>
        <v>2611536.3092608913</v>
      </c>
      <c r="AG41" s="3911">
        <f t="shared" si="14"/>
        <v>2663767.0354461093</v>
      </c>
      <c r="AH41" s="3911">
        <f t="shared" si="14"/>
        <v>2717042.3761550314</v>
      </c>
      <c r="AI41" s="3911">
        <f t="shared" si="14"/>
        <v>2771383.2236781321</v>
      </c>
      <c r="AJ41" s="3911">
        <f t="shared" si="14"/>
        <v>2826810.8881516946</v>
      </c>
      <c r="AK41" s="3911">
        <f t="shared" si="14"/>
        <v>2883347.1059147287</v>
      </c>
      <c r="AL41" s="3911">
        <f t="shared" si="14"/>
        <v>2941014.0480330233</v>
      </c>
      <c r="AM41" s="3911">
        <f t="shared" si="14"/>
        <v>2999834.3289936837</v>
      </c>
      <c r="AN41" s="3911">
        <f t="shared" si="14"/>
        <v>3059831.0155735575</v>
      </c>
      <c r="AO41" s="3911">
        <f t="shared" si="14"/>
        <v>3121027.6358850286</v>
      </c>
      <c r="AP41" s="3911">
        <f t="shared" si="14"/>
        <v>3183448.1886027292</v>
      </c>
      <c r="AQ41" s="3911">
        <f t="shared" si="14"/>
        <v>3247117.152374784</v>
      </c>
      <c r="AR41" s="3911">
        <f t="shared" si="14"/>
        <v>3312059.4954222799</v>
      </c>
      <c r="AS41" s="3869"/>
      <c r="AT41" s="3869"/>
    </row>
    <row r="42" spans="1:46">
      <c r="A42" s="3869"/>
      <c r="B42" s="3869"/>
      <c r="C42" s="3869"/>
      <c r="D42" s="3869"/>
      <c r="E42" s="3869"/>
      <c r="F42" s="3869"/>
      <c r="G42" s="3869"/>
      <c r="H42" s="3869"/>
      <c r="I42" s="3869"/>
      <c r="J42" s="3869"/>
      <c r="K42" s="3869"/>
      <c r="L42" s="3869"/>
      <c r="M42" s="3869"/>
      <c r="N42" s="3869"/>
      <c r="O42" s="3869"/>
      <c r="P42" s="3869"/>
      <c r="Q42" s="3869"/>
      <c r="R42" s="3869"/>
      <c r="S42" s="3869"/>
      <c r="T42" s="3869"/>
      <c r="U42" s="3869"/>
      <c r="V42" s="3869"/>
      <c r="W42" s="3869"/>
      <c r="X42" s="3869"/>
      <c r="Y42" s="3869"/>
      <c r="Z42" s="3869"/>
      <c r="AA42" s="3869"/>
      <c r="AB42" s="3869"/>
      <c r="AC42" s="3869"/>
      <c r="AD42" s="3869"/>
      <c r="AE42" s="3869"/>
      <c r="AF42" s="3869"/>
      <c r="AG42" s="3869"/>
      <c r="AH42" s="3869"/>
      <c r="AI42" s="3869"/>
      <c r="AJ42" s="3869"/>
      <c r="AK42" s="3869"/>
      <c r="AL42" s="3869"/>
      <c r="AM42" s="3869"/>
      <c r="AN42" s="3869"/>
      <c r="AO42" s="3869"/>
      <c r="AP42" s="3869"/>
      <c r="AQ42" s="3869"/>
      <c r="AR42" s="3869"/>
      <c r="AS42" s="3869"/>
      <c r="AT42" s="3869"/>
    </row>
    <row r="43" spans="1:46">
      <c r="A43" s="5643" t="s">
        <v>4697</v>
      </c>
      <c r="B43" s="5643"/>
      <c r="C43" s="5643"/>
      <c r="D43" s="3911">
        <f t="shared" ref="D43:AR43" si="15">(D27+D33+D35)/1000</f>
        <v>1017220.2780988035</v>
      </c>
      <c r="E43" s="3911">
        <f t="shared" si="15"/>
        <v>1057909.0892227557</v>
      </c>
      <c r="F43" s="3911">
        <f t="shared" si="15"/>
        <v>1098597.9003467078</v>
      </c>
      <c r="G43" s="3911">
        <f t="shared" si="15"/>
        <v>1139286.7114706601</v>
      </c>
      <c r="H43" s="3911">
        <f t="shared" si="15"/>
        <v>1179975.5225946121</v>
      </c>
      <c r="I43" s="3911">
        <f t="shared" si="15"/>
        <v>1220664.3337185644</v>
      </c>
      <c r="J43" s="3911">
        <f t="shared" si="15"/>
        <v>1261353.1448425164</v>
      </c>
      <c r="K43" s="3911">
        <f t="shared" si="15"/>
        <v>1302041.9559664684</v>
      </c>
      <c r="L43" s="3911">
        <f t="shared" si="15"/>
        <v>1342730.7670904207</v>
      </c>
      <c r="M43" s="3911">
        <f t="shared" si="15"/>
        <v>1383419.5782143727</v>
      </c>
      <c r="N43" s="3911">
        <f t="shared" si="15"/>
        <v>1424108.389338325</v>
      </c>
      <c r="O43" s="3911">
        <f t="shared" si="15"/>
        <v>1464797.200462277</v>
      </c>
      <c r="P43" s="3911">
        <f t="shared" si="15"/>
        <v>1505486.0115862291</v>
      </c>
      <c r="Q43" s="3911">
        <f t="shared" si="15"/>
        <v>1546174.8227101811</v>
      </c>
      <c r="R43" s="3911">
        <f t="shared" si="15"/>
        <v>1586863.6338341334</v>
      </c>
      <c r="S43" s="3911">
        <f t="shared" si="15"/>
        <v>1627552.4449580857</v>
      </c>
      <c r="T43" s="3911">
        <f t="shared" si="15"/>
        <v>1668241.2560820377</v>
      </c>
      <c r="U43" s="3911">
        <f t="shared" si="15"/>
        <v>1708930.0672059897</v>
      </c>
      <c r="V43" s="3911">
        <f t="shared" si="15"/>
        <v>1749618.878329942</v>
      </c>
      <c r="W43" s="3911">
        <f t="shared" si="15"/>
        <v>1790307.689453894</v>
      </c>
      <c r="X43" s="3911">
        <f t="shared" si="15"/>
        <v>1830996.5005778461</v>
      </c>
      <c r="Y43" s="3911">
        <f t="shared" si="15"/>
        <v>1871685.3117017983</v>
      </c>
      <c r="Z43" s="3911">
        <f t="shared" si="15"/>
        <v>1912374.1228257506</v>
      </c>
      <c r="AA43" s="3911">
        <f t="shared" si="15"/>
        <v>1953062.9339497024</v>
      </c>
      <c r="AB43" s="3911">
        <f t="shared" si="15"/>
        <v>1993751.7450736547</v>
      </c>
      <c r="AC43" s="3911">
        <f t="shared" si="15"/>
        <v>2034440.556197607</v>
      </c>
      <c r="AD43" s="3911">
        <f t="shared" si="15"/>
        <v>2075129.3673215592</v>
      </c>
      <c r="AE43" s="3911">
        <f t="shared" si="15"/>
        <v>2115818.1784455115</v>
      </c>
      <c r="AF43" s="3911">
        <f t="shared" si="15"/>
        <v>2156506.9895694633</v>
      </c>
      <c r="AG43" s="3911">
        <f t="shared" si="15"/>
        <v>2197195.8006934156</v>
      </c>
      <c r="AH43" s="3911">
        <f t="shared" si="15"/>
        <v>2237884.6118173674</v>
      </c>
      <c r="AI43" s="3911">
        <f t="shared" si="15"/>
        <v>2278573.4229413201</v>
      </c>
      <c r="AJ43" s="3911">
        <f t="shared" si="15"/>
        <v>2319262.2340652719</v>
      </c>
      <c r="AK43" s="3911">
        <f t="shared" si="15"/>
        <v>2359951.0451892242</v>
      </c>
      <c r="AL43" s="3911">
        <f t="shared" si="15"/>
        <v>2400639.856313176</v>
      </c>
      <c r="AM43" s="3911">
        <f t="shared" si="15"/>
        <v>2441328.6674371287</v>
      </c>
      <c r="AN43" s="3911">
        <f t="shared" si="15"/>
        <v>2482017.4785610805</v>
      </c>
      <c r="AO43" s="3911">
        <f t="shared" si="15"/>
        <v>2522706.2896850328</v>
      </c>
      <c r="AP43" s="3911">
        <f t="shared" si="15"/>
        <v>2563395.1008089846</v>
      </c>
      <c r="AQ43" s="3911">
        <f t="shared" si="15"/>
        <v>2604083.9119329369</v>
      </c>
      <c r="AR43" s="3911">
        <f t="shared" si="15"/>
        <v>2644772.7230568891</v>
      </c>
      <c r="AS43" s="3869"/>
      <c r="AT43" s="3869"/>
    </row>
    <row r="44" spans="1:46">
      <c r="A44" s="5644" t="s">
        <v>4698</v>
      </c>
      <c r="B44" s="5644"/>
      <c r="C44" s="5644"/>
      <c r="D44" s="3912">
        <f t="shared" ref="D44:AR44" si="16">(D31+D33+D35)/1000</f>
        <v>492593.44362266874</v>
      </c>
      <c r="E44" s="3912">
        <f t="shared" si="16"/>
        <v>512297.18136757554</v>
      </c>
      <c r="F44" s="3912">
        <f t="shared" si="16"/>
        <v>532000.91911248222</v>
      </c>
      <c r="G44" s="3912">
        <f t="shared" si="16"/>
        <v>551704.65685738903</v>
      </c>
      <c r="H44" s="3912">
        <f t="shared" si="16"/>
        <v>571408.39460229571</v>
      </c>
      <c r="I44" s="3912">
        <f t="shared" si="16"/>
        <v>591112.13234720251</v>
      </c>
      <c r="J44" s="3912">
        <f t="shared" si="16"/>
        <v>610815.87009210919</v>
      </c>
      <c r="K44" s="3912">
        <f t="shared" si="16"/>
        <v>630519.60783701588</v>
      </c>
      <c r="L44" s="3912">
        <f t="shared" si="16"/>
        <v>650223.3455819228</v>
      </c>
      <c r="M44" s="3912">
        <f t="shared" si="16"/>
        <v>669927.08332682948</v>
      </c>
      <c r="N44" s="3912">
        <f t="shared" si="16"/>
        <v>689630.82107173628</v>
      </c>
      <c r="O44" s="3912">
        <f t="shared" si="16"/>
        <v>709334.55881664297</v>
      </c>
      <c r="P44" s="3912">
        <f t="shared" si="16"/>
        <v>729038.29656154977</v>
      </c>
      <c r="Q44" s="3912">
        <f t="shared" si="16"/>
        <v>748742.03430645657</v>
      </c>
      <c r="R44" s="3912">
        <f t="shared" si="16"/>
        <v>768445.77205136325</v>
      </c>
      <c r="S44" s="3912">
        <f t="shared" si="16"/>
        <v>788149.50979627005</v>
      </c>
      <c r="T44" s="3912">
        <f t="shared" si="16"/>
        <v>807853.24754117685</v>
      </c>
      <c r="U44" s="3912">
        <f t="shared" si="16"/>
        <v>827556.98528608342</v>
      </c>
      <c r="V44" s="3912">
        <f t="shared" si="16"/>
        <v>847260.72303099022</v>
      </c>
      <c r="W44" s="3912">
        <f t="shared" si="16"/>
        <v>866964.46077589702</v>
      </c>
      <c r="X44" s="3912">
        <f t="shared" si="16"/>
        <v>886668.19852080371</v>
      </c>
      <c r="Y44" s="3912">
        <f t="shared" si="16"/>
        <v>906371.93626571051</v>
      </c>
      <c r="Z44" s="3912">
        <f t="shared" si="16"/>
        <v>926075.67401061731</v>
      </c>
      <c r="AA44" s="3912">
        <f t="shared" si="16"/>
        <v>945779.41175552388</v>
      </c>
      <c r="AB44" s="3912">
        <f t="shared" si="16"/>
        <v>965483.14950043068</v>
      </c>
      <c r="AC44" s="3912">
        <f t="shared" si="16"/>
        <v>985186.88724533748</v>
      </c>
      <c r="AD44" s="3912">
        <f t="shared" si="16"/>
        <v>1004890.6249902444</v>
      </c>
      <c r="AE44" s="3912">
        <f t="shared" si="16"/>
        <v>1024594.3627351511</v>
      </c>
      <c r="AF44" s="3912">
        <f t="shared" si="16"/>
        <v>1044298.1004800578</v>
      </c>
      <c r="AG44" s="3912">
        <f t="shared" si="16"/>
        <v>1064001.8382249644</v>
      </c>
      <c r="AH44" s="3912">
        <f t="shared" si="16"/>
        <v>1083705.5759698714</v>
      </c>
      <c r="AI44" s="3912">
        <f t="shared" si="16"/>
        <v>1103409.3137147781</v>
      </c>
      <c r="AJ44" s="3912">
        <f t="shared" si="16"/>
        <v>1123113.0514596847</v>
      </c>
      <c r="AK44" s="3912">
        <f t="shared" si="16"/>
        <v>1142816.7892045914</v>
      </c>
      <c r="AL44" s="3912">
        <f t="shared" si="16"/>
        <v>1162520.5269494981</v>
      </c>
      <c r="AM44" s="3912">
        <f t="shared" si="16"/>
        <v>1182224.264694405</v>
      </c>
      <c r="AN44" s="3912">
        <f t="shared" si="16"/>
        <v>1201928.0024393115</v>
      </c>
      <c r="AO44" s="3912">
        <f t="shared" si="16"/>
        <v>1221631.7401842184</v>
      </c>
      <c r="AP44" s="3912">
        <f t="shared" si="16"/>
        <v>1241335.4779291253</v>
      </c>
      <c r="AQ44" s="3912">
        <f t="shared" si="16"/>
        <v>1261039.2156740318</v>
      </c>
      <c r="AR44" s="3912">
        <f t="shared" si="16"/>
        <v>1280742.9534189387</v>
      </c>
      <c r="AS44" s="3869"/>
      <c r="AT44" s="3869"/>
    </row>
    <row r="45" spans="1:46">
      <c r="A45" s="3869"/>
      <c r="B45" s="3869"/>
      <c r="C45" s="3869"/>
      <c r="D45" s="3913">
        <f>D43-D44</f>
        <v>524626.83447613474</v>
      </c>
      <c r="E45" s="3869"/>
      <c r="F45" s="3869"/>
      <c r="G45" s="3869"/>
      <c r="H45" s="3869"/>
      <c r="I45" s="3869"/>
      <c r="J45" s="3869"/>
      <c r="K45" s="3869"/>
      <c r="L45" s="3869"/>
      <c r="M45" s="3869"/>
      <c r="N45" s="3869"/>
      <c r="O45" s="3869"/>
      <c r="P45" s="3869"/>
      <c r="Q45" s="3869"/>
      <c r="R45" s="3869"/>
      <c r="S45" s="3869"/>
      <c r="T45" s="3869"/>
      <c r="U45" s="3869"/>
      <c r="V45" s="3869"/>
      <c r="W45" s="3869"/>
      <c r="X45" s="3869"/>
      <c r="Y45" s="3869"/>
      <c r="Z45" s="3869"/>
      <c r="AA45" s="3869"/>
      <c r="AB45" s="3869"/>
      <c r="AC45" s="3869"/>
      <c r="AD45" s="3869"/>
      <c r="AE45" s="3869"/>
      <c r="AF45" s="3869"/>
      <c r="AG45" s="3869"/>
      <c r="AH45" s="3869"/>
      <c r="AI45" s="3869"/>
      <c r="AJ45" s="3869"/>
      <c r="AK45" s="3869"/>
      <c r="AL45" s="3869"/>
      <c r="AM45" s="3869"/>
      <c r="AN45" s="3869"/>
      <c r="AO45" s="3869"/>
      <c r="AP45" s="3869"/>
      <c r="AQ45" s="3869"/>
      <c r="AR45" s="3869"/>
      <c r="AS45" s="3869"/>
      <c r="AT45" s="3869"/>
    </row>
    <row r="46" spans="1:46">
      <c r="A46" s="3805" t="s">
        <v>4699</v>
      </c>
      <c r="B46" s="3806"/>
      <c r="C46" s="3806"/>
      <c r="D46" s="3806"/>
      <c r="E46" s="3806"/>
      <c r="F46" s="3807"/>
      <c r="G46" s="3808"/>
      <c r="H46" s="3806"/>
      <c r="I46" s="3806"/>
      <c r="J46" s="3385"/>
      <c r="K46" s="3385"/>
      <c r="L46" s="3385"/>
      <c r="M46" s="3385"/>
      <c r="N46" s="3385"/>
      <c r="O46" s="3385"/>
      <c r="P46" s="3385"/>
      <c r="Q46" s="3385"/>
      <c r="R46" s="3385"/>
      <c r="S46" s="3385"/>
      <c r="T46" s="3385"/>
      <c r="U46" s="3385"/>
      <c r="V46" s="3385"/>
      <c r="W46" s="3385"/>
      <c r="X46" s="3385"/>
      <c r="Y46" s="3385"/>
      <c r="Z46" s="3385"/>
      <c r="AA46" s="3385"/>
      <c r="AB46" s="3385"/>
      <c r="AC46" s="3385"/>
      <c r="AD46" s="3385"/>
      <c r="AE46" s="3385"/>
      <c r="AF46" s="3385"/>
      <c r="AG46" s="3385"/>
      <c r="AH46" s="3385"/>
      <c r="AI46" s="3385"/>
      <c r="AJ46" s="3385"/>
      <c r="AK46" s="3385"/>
      <c r="AL46" s="3385"/>
      <c r="AM46" s="3385"/>
      <c r="AN46" s="3385"/>
      <c r="AO46" s="3385"/>
      <c r="AP46" s="3385"/>
      <c r="AQ46" s="3385"/>
      <c r="AR46" s="3385"/>
      <c r="AS46" s="3385"/>
      <c r="AT46" s="3385"/>
    </row>
    <row r="47" spans="1:46" ht="17.25" thickBot="1">
      <c r="A47" s="5645" t="s">
        <v>4437</v>
      </c>
      <c r="B47" s="5645"/>
      <c r="C47" s="5646"/>
      <c r="D47" s="3809">
        <v>2010</v>
      </c>
      <c r="E47" s="3810">
        <v>2011</v>
      </c>
      <c r="F47" s="3811">
        <v>2012</v>
      </c>
      <c r="G47" s="3810">
        <v>2013</v>
      </c>
      <c r="H47" s="3810">
        <v>2014</v>
      </c>
      <c r="I47" s="3914" t="s">
        <v>4455</v>
      </c>
      <c r="J47" s="3810" t="s">
        <v>4671</v>
      </c>
      <c r="K47" s="3385"/>
      <c r="L47" s="3385"/>
      <c r="M47" s="3385"/>
      <c r="N47" s="3385"/>
      <c r="O47" s="3385"/>
      <c r="P47" s="3385"/>
      <c r="Q47" s="3385"/>
      <c r="R47" s="3385"/>
      <c r="S47" s="3385"/>
      <c r="T47" s="3385"/>
      <c r="U47" s="3385"/>
      <c r="V47" s="3385"/>
      <c r="W47" s="3385"/>
      <c r="X47" s="3385"/>
      <c r="Y47" s="3385"/>
      <c r="Z47" s="3385"/>
      <c r="AA47" s="3385"/>
      <c r="AB47" s="3385"/>
      <c r="AC47" s="3385"/>
      <c r="AD47" s="3385"/>
      <c r="AE47" s="3385"/>
      <c r="AF47" s="3385"/>
      <c r="AG47" s="3385"/>
      <c r="AH47" s="3385"/>
      <c r="AI47" s="3385"/>
      <c r="AJ47" s="3385"/>
      <c r="AK47" s="3385"/>
      <c r="AL47" s="3385"/>
      <c r="AM47" s="3385"/>
      <c r="AN47" s="3385"/>
      <c r="AO47" s="3385"/>
      <c r="AP47" s="3385"/>
      <c r="AQ47" s="3385"/>
      <c r="AR47" s="3385"/>
      <c r="AS47" s="3385"/>
      <c r="AT47" s="3385"/>
    </row>
    <row r="48" spans="1:46" ht="17.25" thickTop="1">
      <c r="A48" s="5647" t="s">
        <v>4672</v>
      </c>
      <c r="B48" s="5649" t="s">
        <v>4673</v>
      </c>
      <c r="C48" s="5650"/>
      <c r="D48" s="3815">
        <v>195674</v>
      </c>
      <c r="E48" s="3816">
        <v>241038</v>
      </c>
      <c r="F48" s="3817">
        <v>249562</v>
      </c>
      <c r="G48" s="3816">
        <v>243634</v>
      </c>
      <c r="H48" s="3816">
        <v>251211</v>
      </c>
      <c r="I48" s="3915">
        <f>SUM(D48:H48)</f>
        <v>1181119</v>
      </c>
      <c r="J48" s="3821">
        <f>I48/5</f>
        <v>236223.8</v>
      </c>
      <c r="K48" s="3385"/>
      <c r="L48" s="3385"/>
      <c r="M48" s="3385"/>
      <c r="N48" s="3385"/>
      <c r="O48" s="3385"/>
      <c r="P48" s="3385"/>
      <c r="Q48" s="3385"/>
      <c r="R48" s="3385"/>
      <c r="S48" s="3385"/>
      <c r="T48" s="3385"/>
      <c r="U48" s="3385"/>
      <c r="V48" s="3385"/>
      <c r="W48" s="3385"/>
      <c r="X48" s="3385"/>
      <c r="Y48" s="3385"/>
      <c r="Z48" s="3385"/>
      <c r="AA48" s="3385"/>
      <c r="AB48" s="3385"/>
      <c r="AC48" s="3385"/>
      <c r="AD48" s="3385"/>
      <c r="AE48" s="3385"/>
      <c r="AF48" s="3385"/>
      <c r="AG48" s="3385"/>
      <c r="AH48" s="3385"/>
      <c r="AI48" s="3385"/>
      <c r="AJ48" s="3385"/>
      <c r="AK48" s="3385"/>
      <c r="AL48" s="3385"/>
      <c r="AM48" s="3385"/>
      <c r="AN48" s="3385"/>
      <c r="AO48" s="3385"/>
      <c r="AP48" s="3385"/>
      <c r="AQ48" s="3385"/>
      <c r="AR48" s="3385"/>
      <c r="AS48" s="3385"/>
      <c r="AT48" s="3385"/>
    </row>
    <row r="49" spans="1:46" ht="17.25" thickBot="1">
      <c r="A49" s="5648"/>
      <c r="B49" s="5651" t="s">
        <v>4674</v>
      </c>
      <c r="C49" s="5652"/>
      <c r="D49" s="3822">
        <f>D48/12</f>
        <v>16306.166666666666</v>
      </c>
      <c r="E49" s="3823">
        <f>E48/12</f>
        <v>20086.5</v>
      </c>
      <c r="F49" s="3824">
        <f>F48/12</f>
        <v>20796.833333333332</v>
      </c>
      <c r="G49" s="3823">
        <f>G48/12</f>
        <v>20302.833333333332</v>
      </c>
      <c r="H49" s="3823">
        <f>H48/12</f>
        <v>20934.25</v>
      </c>
      <c r="I49" s="3916"/>
      <c r="J49" s="3917">
        <f>J48/12</f>
        <v>19685.316666666666</v>
      </c>
      <c r="K49" s="3385"/>
      <c r="L49" s="3385"/>
      <c r="M49" s="3385"/>
      <c r="N49" s="3385"/>
      <c r="O49" s="3385"/>
      <c r="P49" s="3385"/>
      <c r="Q49" s="3385"/>
      <c r="R49" s="3385"/>
      <c r="S49" s="3385"/>
      <c r="T49" s="3385"/>
      <c r="U49" s="3385"/>
      <c r="V49" s="3385"/>
      <c r="W49" s="3385"/>
      <c r="X49" s="3385"/>
      <c r="Y49" s="3385"/>
      <c r="Z49" s="3385"/>
      <c r="AA49" s="3385"/>
      <c r="AB49" s="3385"/>
      <c r="AC49" s="3385"/>
      <c r="AD49" s="3385"/>
      <c r="AE49" s="3385"/>
      <c r="AF49" s="3385"/>
      <c r="AG49" s="3385"/>
      <c r="AH49" s="3385"/>
      <c r="AI49" s="3385"/>
      <c r="AJ49" s="3385"/>
      <c r="AK49" s="3385"/>
      <c r="AL49" s="3385"/>
      <c r="AM49" s="3385"/>
      <c r="AN49" s="3385"/>
      <c r="AO49" s="3385"/>
      <c r="AP49" s="3385"/>
      <c r="AQ49" s="3385"/>
      <c r="AR49" s="3385"/>
      <c r="AS49" s="3385"/>
      <c r="AT49" s="3385"/>
    </row>
    <row r="50" spans="1:46" ht="17.25" thickTop="1">
      <c r="A50" s="5629" t="s">
        <v>4700</v>
      </c>
      <c r="B50" s="5632" t="s">
        <v>4676</v>
      </c>
      <c r="C50" s="3918" t="s">
        <v>4677</v>
      </c>
      <c r="D50" s="3919">
        <v>6464</v>
      </c>
      <c r="E50" s="3920">
        <v>7508</v>
      </c>
      <c r="F50" s="3921">
        <v>7269</v>
      </c>
      <c r="G50" s="3920">
        <v>8760</v>
      </c>
      <c r="H50" s="3920">
        <v>8707</v>
      </c>
      <c r="I50" s="3922">
        <f>SUM(D50:H50)</f>
        <v>38708</v>
      </c>
      <c r="J50" s="3923">
        <f>I50/5</f>
        <v>7741.6</v>
      </c>
      <c r="K50" s="3385"/>
      <c r="L50" s="3385"/>
      <c r="M50" s="3385"/>
      <c r="N50" s="3385"/>
      <c r="O50" s="3385"/>
      <c r="P50" s="3385"/>
      <c r="Q50" s="3385"/>
      <c r="R50" s="3385"/>
      <c r="S50" s="3385"/>
      <c r="T50" s="3385"/>
      <c r="U50" s="3385"/>
      <c r="V50" s="3385"/>
      <c r="W50" s="3385"/>
      <c r="X50" s="3385"/>
      <c r="Y50" s="3385"/>
      <c r="Z50" s="3385"/>
      <c r="AA50" s="3385"/>
      <c r="AB50" s="3385"/>
      <c r="AC50" s="3385"/>
      <c r="AD50" s="3385"/>
      <c r="AE50" s="3385"/>
      <c r="AF50" s="3385"/>
      <c r="AG50" s="3385"/>
      <c r="AH50" s="3385"/>
      <c r="AI50" s="3385"/>
      <c r="AJ50" s="3385"/>
      <c r="AK50" s="3385"/>
      <c r="AL50" s="3385"/>
      <c r="AM50" s="3385"/>
      <c r="AN50" s="3385"/>
      <c r="AO50" s="3385"/>
      <c r="AP50" s="3385"/>
      <c r="AQ50" s="3385"/>
      <c r="AR50" s="3385"/>
      <c r="AS50" s="3385"/>
      <c r="AT50" s="3385"/>
    </row>
    <row r="51" spans="1:46">
      <c r="A51" s="5630"/>
      <c r="B51" s="5633"/>
      <c r="C51" s="3833" t="s">
        <v>4674</v>
      </c>
      <c r="D51" s="3834">
        <f>D50/12</f>
        <v>538.66666666666663</v>
      </c>
      <c r="E51" s="3835">
        <f>E50/12</f>
        <v>625.66666666666663</v>
      </c>
      <c r="F51" s="3836">
        <f>F50/12</f>
        <v>605.75</v>
      </c>
      <c r="G51" s="3835">
        <f>G50/12</f>
        <v>730</v>
      </c>
      <c r="H51" s="3835">
        <f>H50/12</f>
        <v>725.58333333333337</v>
      </c>
      <c r="I51" s="3385"/>
      <c r="J51" s="3924">
        <f>J50/12</f>
        <v>645.13333333333333</v>
      </c>
      <c r="K51" s="3385"/>
      <c r="L51" s="3385"/>
      <c r="M51" s="3385"/>
      <c r="N51" s="3385"/>
      <c r="O51" s="3385"/>
      <c r="P51" s="3385"/>
      <c r="Q51" s="3385"/>
      <c r="R51" s="3385"/>
      <c r="S51" s="3385"/>
      <c r="T51" s="3385"/>
      <c r="U51" s="3385"/>
      <c r="V51" s="3385"/>
      <c r="W51" s="3385"/>
      <c r="X51" s="3385"/>
      <c r="Y51" s="3385"/>
      <c r="Z51" s="3385"/>
      <c r="AA51" s="3385"/>
      <c r="AB51" s="3385"/>
      <c r="AC51" s="3385"/>
      <c r="AD51" s="3385"/>
      <c r="AE51" s="3385"/>
      <c r="AF51" s="3385"/>
      <c r="AG51" s="3385"/>
      <c r="AH51" s="3385"/>
      <c r="AI51" s="3385"/>
      <c r="AJ51" s="3385"/>
      <c r="AK51" s="3385"/>
      <c r="AL51" s="3385"/>
      <c r="AM51" s="3385"/>
      <c r="AN51" s="3385"/>
      <c r="AO51" s="3385"/>
      <c r="AP51" s="3385"/>
      <c r="AQ51" s="3385"/>
      <c r="AR51" s="3385"/>
      <c r="AS51" s="3385"/>
      <c r="AT51" s="3385"/>
    </row>
    <row r="52" spans="1:46">
      <c r="A52" s="5630"/>
      <c r="B52" s="5634" t="s">
        <v>4701</v>
      </c>
      <c r="C52" s="3833" t="s">
        <v>4677</v>
      </c>
      <c r="D52" s="3834">
        <v>824762</v>
      </c>
      <c r="E52" s="3835">
        <v>948074</v>
      </c>
      <c r="F52" s="3836">
        <v>944358</v>
      </c>
      <c r="G52" s="3835">
        <v>1067284</v>
      </c>
      <c r="H52" s="3835">
        <v>1059025</v>
      </c>
      <c r="I52" s="3925">
        <f>SUM(D52:H52)</f>
        <v>4843503</v>
      </c>
      <c r="J52" s="3839">
        <f>I52/5</f>
        <v>968700.6</v>
      </c>
      <c r="K52" s="3385"/>
      <c r="L52" s="3385"/>
      <c r="M52" s="3385"/>
      <c r="N52" s="3385"/>
      <c r="O52" s="3385"/>
      <c r="P52" s="3385"/>
      <c r="Q52" s="3385"/>
      <c r="R52" s="3385"/>
      <c r="S52" s="3385"/>
      <c r="T52" s="3385"/>
      <c r="U52" s="3385"/>
      <c r="V52" s="3385"/>
      <c r="W52" s="3385"/>
      <c r="X52" s="3385"/>
      <c r="Y52" s="3385"/>
      <c r="Z52" s="3385"/>
      <c r="AA52" s="3385"/>
      <c r="AB52" s="3385"/>
      <c r="AC52" s="3385"/>
      <c r="AD52" s="3385"/>
      <c r="AE52" s="3385"/>
      <c r="AF52" s="3385"/>
      <c r="AG52" s="3385"/>
      <c r="AH52" s="3385"/>
      <c r="AI52" s="3385"/>
      <c r="AJ52" s="3385"/>
      <c r="AK52" s="3385"/>
      <c r="AL52" s="3385"/>
      <c r="AM52" s="3385"/>
      <c r="AN52" s="3385"/>
      <c r="AO52" s="3385"/>
      <c r="AP52" s="3385"/>
      <c r="AQ52" s="3385"/>
      <c r="AR52" s="3385"/>
      <c r="AS52" s="3385"/>
      <c r="AT52" s="3385"/>
    </row>
    <row r="53" spans="1:46">
      <c r="A53" s="5630"/>
      <c r="B53" s="5635"/>
      <c r="C53" s="3926" t="s">
        <v>4674</v>
      </c>
      <c r="D53" s="3927">
        <f>D52/12</f>
        <v>68730.166666666672</v>
      </c>
      <c r="E53" s="3928">
        <f>E52/12</f>
        <v>79006.166666666672</v>
      </c>
      <c r="F53" s="3929">
        <f>F52/12</f>
        <v>78696.5</v>
      </c>
      <c r="G53" s="3928">
        <f>G52/12</f>
        <v>88940.333333333328</v>
      </c>
      <c r="H53" s="3928">
        <f>H52/12</f>
        <v>88252.083333333328</v>
      </c>
      <c r="I53" s="3385"/>
      <c r="J53" s="3930">
        <f>J52/12</f>
        <v>80725.05</v>
      </c>
      <c r="K53" s="3385"/>
      <c r="L53" s="3385"/>
      <c r="M53" s="3385"/>
      <c r="N53" s="3385"/>
      <c r="O53" s="3385"/>
      <c r="P53" s="3385"/>
      <c r="Q53" s="3385"/>
      <c r="R53" s="3385"/>
      <c r="S53" s="3385"/>
      <c r="T53" s="3385"/>
      <c r="U53" s="3385"/>
      <c r="V53" s="3385"/>
      <c r="W53" s="3385"/>
      <c r="X53" s="3385"/>
      <c r="Y53" s="3385"/>
      <c r="Z53" s="3385"/>
      <c r="AA53" s="3385"/>
      <c r="AB53" s="3385"/>
      <c r="AC53" s="3385"/>
      <c r="AD53" s="3385"/>
      <c r="AE53" s="3385"/>
      <c r="AF53" s="3385"/>
      <c r="AG53" s="3385"/>
      <c r="AH53" s="3385"/>
      <c r="AI53" s="3385"/>
      <c r="AJ53" s="3385"/>
      <c r="AK53" s="3385"/>
      <c r="AL53" s="3385"/>
      <c r="AM53" s="3385"/>
      <c r="AN53" s="3385"/>
      <c r="AO53" s="3385"/>
      <c r="AP53" s="3385"/>
      <c r="AQ53" s="3385"/>
      <c r="AR53" s="3385"/>
      <c r="AS53" s="3385"/>
      <c r="AT53" s="3385"/>
    </row>
    <row r="54" spans="1:46">
      <c r="A54" s="5630"/>
      <c r="B54" s="5636" t="s">
        <v>4702</v>
      </c>
      <c r="C54" s="5637"/>
      <c r="D54" s="3931">
        <f t="shared" ref="D54:I54" si="17">D52/D50</f>
        <v>127.59313118811882</v>
      </c>
      <c r="E54" s="3932">
        <f t="shared" si="17"/>
        <v>126.27517314864144</v>
      </c>
      <c r="F54" s="3933">
        <f t="shared" si="17"/>
        <v>129.91580685101115</v>
      </c>
      <c r="G54" s="3932">
        <f t="shared" si="17"/>
        <v>121.83607305936073</v>
      </c>
      <c r="H54" s="3932">
        <f t="shared" si="17"/>
        <v>121.62914896060641</v>
      </c>
      <c r="I54" s="3934">
        <f t="shared" si="17"/>
        <v>125.12924976748992</v>
      </c>
      <c r="J54" s="3935"/>
      <c r="K54" s="3385"/>
      <c r="L54" s="3385"/>
      <c r="M54" s="3385"/>
      <c r="N54" s="3385"/>
      <c r="O54" s="3385"/>
      <c r="P54" s="3385"/>
      <c r="Q54" s="3385"/>
      <c r="R54" s="3385"/>
      <c r="S54" s="3385"/>
      <c r="T54" s="3385"/>
      <c r="U54" s="3385"/>
      <c r="V54" s="3385"/>
      <c r="W54" s="3385"/>
      <c r="X54" s="3385"/>
      <c r="Y54" s="3385"/>
      <c r="Z54" s="3385"/>
      <c r="AA54" s="3385"/>
      <c r="AB54" s="3385"/>
      <c r="AC54" s="3385"/>
      <c r="AD54" s="3385"/>
      <c r="AE54" s="3385"/>
      <c r="AF54" s="3385"/>
      <c r="AG54" s="3385"/>
      <c r="AH54" s="3385"/>
      <c r="AI54" s="3385"/>
      <c r="AJ54" s="3385"/>
      <c r="AK54" s="3385"/>
      <c r="AL54" s="3385"/>
      <c r="AM54" s="3385"/>
      <c r="AN54" s="3385"/>
      <c r="AO54" s="3385"/>
      <c r="AP54" s="3385"/>
      <c r="AQ54" s="3385"/>
      <c r="AR54" s="3385"/>
      <c r="AS54" s="3385"/>
      <c r="AT54" s="3385"/>
    </row>
    <row r="55" spans="1:46">
      <c r="A55" s="5631"/>
      <c r="B55" s="5638" t="s">
        <v>4703</v>
      </c>
      <c r="C55" s="5639"/>
      <c r="D55" s="3853">
        <f>D52/D48</f>
        <v>4.2149800177846828</v>
      </c>
      <c r="E55" s="3854">
        <f>E52/E48</f>
        <v>3.9332968245670807</v>
      </c>
      <c r="F55" s="3936">
        <f>F52/F48</f>
        <v>3.7840616760564507</v>
      </c>
      <c r="G55" s="3854">
        <f>G52/G48</f>
        <v>4.3806857827725194</v>
      </c>
      <c r="H55" s="3854">
        <f>H52/H48</f>
        <v>4.2156792497143831</v>
      </c>
      <c r="I55" s="3937">
        <f>SUM(D55:H55)/5</f>
        <v>4.1057407101790231</v>
      </c>
      <c r="J55" s="3857"/>
      <c r="K55" s="3385"/>
      <c r="L55" s="3385"/>
      <c r="M55" s="3385"/>
      <c r="N55" s="3385"/>
      <c r="O55" s="3385"/>
      <c r="P55" s="3385"/>
      <c r="Q55" s="3385"/>
      <c r="R55" s="3385"/>
      <c r="S55" s="3385"/>
      <c r="T55" s="3385"/>
      <c r="U55" s="3385"/>
      <c r="V55" s="3385"/>
      <c r="W55" s="3385"/>
      <c r="X55" s="3385"/>
      <c r="Y55" s="3385"/>
      <c r="Z55" s="3385"/>
      <c r="AA55" s="3385"/>
      <c r="AB55" s="3385"/>
      <c r="AC55" s="3385"/>
      <c r="AD55" s="3385"/>
      <c r="AE55" s="3385"/>
      <c r="AF55" s="3385"/>
      <c r="AG55" s="3385"/>
      <c r="AH55" s="3385"/>
      <c r="AI55" s="3385"/>
      <c r="AJ55" s="3385"/>
      <c r="AK55" s="3385"/>
      <c r="AL55" s="3385"/>
      <c r="AM55" s="3385"/>
      <c r="AN55" s="3385"/>
      <c r="AO55" s="3385"/>
      <c r="AP55" s="3385"/>
      <c r="AQ55" s="3385"/>
      <c r="AR55" s="3385"/>
      <c r="AS55" s="3385"/>
      <c r="AT55" s="3385"/>
    </row>
    <row r="56" spans="1:46">
      <c r="A56" s="3385"/>
      <c r="B56" s="3385"/>
      <c r="C56" s="3385"/>
      <c r="D56" s="3385"/>
      <c r="E56" s="3385"/>
      <c r="F56" s="3385"/>
      <c r="G56" s="3385"/>
      <c r="H56" s="3385"/>
      <c r="I56" s="3385"/>
      <c r="J56" s="3385"/>
      <c r="K56" s="3385"/>
      <c r="L56" s="3385"/>
      <c r="M56" s="3385"/>
      <c r="N56" s="3385"/>
      <c r="O56" s="3385"/>
      <c r="P56" s="3385"/>
      <c r="Q56" s="3385"/>
      <c r="R56" s="3385"/>
      <c r="S56" s="3385"/>
      <c r="T56" s="3385"/>
      <c r="U56" s="3385"/>
      <c r="V56" s="3385"/>
      <c r="W56" s="3385"/>
      <c r="X56" s="3385"/>
      <c r="Y56" s="3385"/>
      <c r="Z56" s="3385"/>
      <c r="AA56" s="3385"/>
      <c r="AB56" s="3385"/>
      <c r="AC56" s="3385"/>
      <c r="AD56" s="3385"/>
      <c r="AE56" s="3385"/>
      <c r="AF56" s="3385"/>
      <c r="AG56" s="3385"/>
      <c r="AH56" s="3385"/>
      <c r="AI56" s="3385"/>
      <c r="AJ56" s="3385"/>
      <c r="AK56" s="3385"/>
      <c r="AL56" s="3385"/>
      <c r="AM56" s="3385"/>
      <c r="AN56" s="3385"/>
      <c r="AO56" s="3385"/>
      <c r="AP56" s="3385"/>
      <c r="AQ56" s="3385"/>
      <c r="AR56" s="3385"/>
      <c r="AS56" s="3385"/>
      <c r="AT56" s="3385"/>
    </row>
    <row r="57" spans="1:46">
      <c r="A57" s="3858" t="s">
        <v>4704</v>
      </c>
      <c r="B57" s="3938"/>
      <c r="C57" s="3385"/>
      <c r="D57" s="3385"/>
      <c r="E57" s="3385"/>
      <c r="F57" s="3385"/>
      <c r="G57" s="3385"/>
      <c r="H57" s="3385"/>
      <c r="I57" s="3385"/>
      <c r="J57" s="3385"/>
      <c r="K57" s="3385"/>
      <c r="L57" s="3385"/>
      <c r="M57" s="3385"/>
      <c r="N57" s="3385"/>
      <c r="O57" s="3385"/>
      <c r="P57" s="3385"/>
      <c r="Q57" s="3385"/>
      <c r="R57" s="3385"/>
      <c r="S57" s="3385"/>
      <c r="T57" s="3385"/>
      <c r="U57" s="3385"/>
      <c r="V57" s="3385"/>
      <c r="W57" s="3385"/>
      <c r="X57" s="3385"/>
      <c r="Y57" s="3385"/>
      <c r="Z57" s="3385"/>
      <c r="AA57" s="3385"/>
      <c r="AB57" s="3385"/>
      <c r="AC57" s="3385"/>
      <c r="AD57" s="3385"/>
      <c r="AE57" s="3385"/>
      <c r="AF57" s="3385"/>
      <c r="AG57" s="3385"/>
      <c r="AH57" s="3385"/>
      <c r="AI57" s="3385"/>
      <c r="AJ57" s="3385"/>
      <c r="AK57" s="3385"/>
      <c r="AL57" s="3385"/>
      <c r="AM57" s="3385"/>
      <c r="AN57" s="3385"/>
      <c r="AO57" s="3385"/>
      <c r="AP57" s="3385"/>
      <c r="AQ57" s="3385"/>
      <c r="AR57" s="3385"/>
      <c r="AS57" s="3385"/>
      <c r="AT57" s="3385"/>
    </row>
    <row r="58" spans="1:46">
      <c r="A58" s="5640" t="s">
        <v>4494</v>
      </c>
      <c r="B58" s="5640"/>
      <c r="C58" s="5640"/>
      <c r="D58" s="3939">
        <v>250000</v>
      </c>
      <c r="E58" s="3939">
        <v>260000</v>
      </c>
      <c r="F58" s="3939">
        <v>270000</v>
      </c>
      <c r="G58" s="3939">
        <v>280000</v>
      </c>
      <c r="H58" s="3939">
        <v>290000</v>
      </c>
      <c r="I58" s="3939">
        <v>300000</v>
      </c>
      <c r="J58" s="3939">
        <v>310000</v>
      </c>
      <c r="K58" s="3939">
        <v>320000</v>
      </c>
      <c r="L58" s="3939">
        <v>330000</v>
      </c>
      <c r="M58" s="3939">
        <v>340000</v>
      </c>
      <c r="N58" s="3939">
        <v>350000</v>
      </c>
      <c r="O58" s="3939">
        <v>360000</v>
      </c>
      <c r="P58" s="3939">
        <v>370000</v>
      </c>
      <c r="Q58" s="3939">
        <v>380000</v>
      </c>
      <c r="R58" s="3939">
        <v>390000</v>
      </c>
      <c r="S58" s="3939">
        <v>400000</v>
      </c>
      <c r="T58" s="3939">
        <v>410000</v>
      </c>
      <c r="U58" s="3939">
        <v>420000</v>
      </c>
      <c r="V58" s="3939">
        <v>430000</v>
      </c>
      <c r="W58" s="3939">
        <v>440000</v>
      </c>
      <c r="X58" s="3939">
        <v>450000</v>
      </c>
      <c r="Y58" s="3939">
        <v>460000</v>
      </c>
      <c r="Z58" s="3939">
        <v>470000</v>
      </c>
      <c r="AA58" s="3939">
        <v>480000</v>
      </c>
      <c r="AB58" s="3939">
        <v>490000</v>
      </c>
      <c r="AC58" s="3939">
        <v>500000</v>
      </c>
      <c r="AD58" s="3939">
        <v>510000</v>
      </c>
      <c r="AE58" s="3939">
        <v>520000</v>
      </c>
      <c r="AF58" s="3939">
        <v>530000</v>
      </c>
      <c r="AG58" s="3939">
        <v>540000</v>
      </c>
      <c r="AH58" s="3939">
        <v>550000</v>
      </c>
      <c r="AI58" s="3939">
        <v>560000</v>
      </c>
      <c r="AJ58" s="3939">
        <v>570000</v>
      </c>
      <c r="AK58" s="3939">
        <v>580000</v>
      </c>
      <c r="AL58" s="3939">
        <v>590000</v>
      </c>
      <c r="AM58" s="3939">
        <v>600000</v>
      </c>
      <c r="AN58" s="3939">
        <v>610000</v>
      </c>
      <c r="AO58" s="3939">
        <v>620000</v>
      </c>
      <c r="AP58" s="3939">
        <v>630000</v>
      </c>
      <c r="AQ58" s="3939">
        <v>640000</v>
      </c>
      <c r="AR58" s="3939">
        <v>650000</v>
      </c>
      <c r="AS58" s="3385"/>
      <c r="AT58" s="3385"/>
    </row>
    <row r="59" spans="1:46">
      <c r="A59" s="5627" t="s">
        <v>4447</v>
      </c>
      <c r="B59" s="3863" t="s">
        <v>4692</v>
      </c>
      <c r="C59" s="3940">
        <f>I55</f>
        <v>4.1057407101790231</v>
      </c>
      <c r="D59" s="3941">
        <f t="shared" ref="D59:AR59" si="18">D58*$C59</f>
        <v>1026435.1775447557</v>
      </c>
      <c r="E59" s="3941">
        <f t="shared" si="18"/>
        <v>1067492.584646546</v>
      </c>
      <c r="F59" s="3941">
        <f t="shared" si="18"/>
        <v>1108549.9917483362</v>
      </c>
      <c r="G59" s="3941">
        <f t="shared" si="18"/>
        <v>1149607.3988501264</v>
      </c>
      <c r="H59" s="3941">
        <f t="shared" si="18"/>
        <v>1190664.8059519166</v>
      </c>
      <c r="I59" s="3941">
        <f t="shared" si="18"/>
        <v>1231722.213053707</v>
      </c>
      <c r="J59" s="3941">
        <f t="shared" si="18"/>
        <v>1272779.6201554972</v>
      </c>
      <c r="K59" s="3941">
        <f t="shared" si="18"/>
        <v>1313837.0272572874</v>
      </c>
      <c r="L59" s="3941">
        <f t="shared" si="18"/>
        <v>1354894.4343590776</v>
      </c>
      <c r="M59" s="3941">
        <f t="shared" si="18"/>
        <v>1395951.8414608678</v>
      </c>
      <c r="N59" s="3941">
        <f t="shared" si="18"/>
        <v>1437009.248562658</v>
      </c>
      <c r="O59" s="3941">
        <f t="shared" si="18"/>
        <v>1478066.6556644484</v>
      </c>
      <c r="P59" s="3941">
        <f t="shared" si="18"/>
        <v>1519124.0627662386</v>
      </c>
      <c r="Q59" s="3941">
        <f t="shared" si="18"/>
        <v>1560181.4698680288</v>
      </c>
      <c r="R59" s="3941">
        <f t="shared" si="18"/>
        <v>1601238.876969819</v>
      </c>
      <c r="S59" s="3941">
        <f t="shared" si="18"/>
        <v>1642296.2840716091</v>
      </c>
      <c r="T59" s="3941">
        <f t="shared" si="18"/>
        <v>1683353.6911733996</v>
      </c>
      <c r="U59" s="3941">
        <f t="shared" si="18"/>
        <v>1724411.0982751898</v>
      </c>
      <c r="V59" s="3941">
        <f t="shared" si="18"/>
        <v>1765468.5053769799</v>
      </c>
      <c r="W59" s="3941">
        <f t="shared" si="18"/>
        <v>1806525.9124787701</v>
      </c>
      <c r="X59" s="3941">
        <f t="shared" si="18"/>
        <v>1847583.3195805603</v>
      </c>
      <c r="Y59" s="3941">
        <f t="shared" si="18"/>
        <v>1888640.7266823505</v>
      </c>
      <c r="Z59" s="3941">
        <f t="shared" si="18"/>
        <v>1929698.1337841409</v>
      </c>
      <c r="AA59" s="3941">
        <f t="shared" si="18"/>
        <v>1970755.5408859311</v>
      </c>
      <c r="AB59" s="3941">
        <f t="shared" si="18"/>
        <v>2011812.9479877213</v>
      </c>
      <c r="AC59" s="3941">
        <f t="shared" si="18"/>
        <v>2052870.3550895115</v>
      </c>
      <c r="AD59" s="3867">
        <f t="shared" si="18"/>
        <v>2093927.7621913017</v>
      </c>
      <c r="AE59" s="3867">
        <f t="shared" si="18"/>
        <v>2134985.1692930921</v>
      </c>
      <c r="AF59" s="3867">
        <f t="shared" si="18"/>
        <v>2176042.5763948821</v>
      </c>
      <c r="AG59" s="3867">
        <f t="shared" si="18"/>
        <v>2217099.9834966725</v>
      </c>
      <c r="AH59" s="3867">
        <f t="shared" si="18"/>
        <v>2258157.3905984629</v>
      </c>
      <c r="AI59" s="3867">
        <f t="shared" si="18"/>
        <v>2299214.7977002528</v>
      </c>
      <c r="AJ59" s="3866">
        <f t="shared" si="18"/>
        <v>2340272.2048020433</v>
      </c>
      <c r="AK59" s="3866">
        <f t="shared" si="18"/>
        <v>2381329.6119038332</v>
      </c>
      <c r="AL59" s="3866">
        <f t="shared" si="18"/>
        <v>2422387.0190056236</v>
      </c>
      <c r="AM59" s="3866">
        <f t="shared" si="18"/>
        <v>2463444.4261074141</v>
      </c>
      <c r="AN59" s="3866">
        <f t="shared" si="18"/>
        <v>2504501.833209204</v>
      </c>
      <c r="AO59" s="3867">
        <f t="shared" si="18"/>
        <v>2545559.2403109944</v>
      </c>
      <c r="AP59" s="3867">
        <f t="shared" si="18"/>
        <v>2586616.6474127844</v>
      </c>
      <c r="AQ59" s="3867">
        <f t="shared" si="18"/>
        <v>2627674.0545145748</v>
      </c>
      <c r="AR59" s="3867">
        <f t="shared" si="18"/>
        <v>2668731.4616163652</v>
      </c>
      <c r="AS59" s="3385"/>
      <c r="AT59" s="3385"/>
    </row>
    <row r="60" spans="1:46">
      <c r="A60" s="5628"/>
      <c r="B60" s="3889" t="s">
        <v>4686</v>
      </c>
      <c r="C60" s="3893">
        <v>140</v>
      </c>
      <c r="D60" s="3907">
        <f t="shared" ref="D60:AC60" si="19">(D59*$C60)/1000</f>
        <v>143700.9248562658</v>
      </c>
      <c r="E60" s="3907">
        <f t="shared" si="19"/>
        <v>149448.96185051644</v>
      </c>
      <c r="F60" s="3907">
        <f t="shared" si="19"/>
        <v>155196.99884476708</v>
      </c>
      <c r="G60" s="3907">
        <f t="shared" si="19"/>
        <v>160945.03583901768</v>
      </c>
      <c r="H60" s="3907">
        <f t="shared" si="19"/>
        <v>166693.07283326832</v>
      </c>
      <c r="I60" s="3907">
        <f t="shared" si="19"/>
        <v>172441.10982751899</v>
      </c>
      <c r="J60" s="3907">
        <f t="shared" si="19"/>
        <v>178189.14682176962</v>
      </c>
      <c r="K60" s="3907">
        <f t="shared" si="19"/>
        <v>183937.18381602026</v>
      </c>
      <c r="L60" s="3907">
        <f t="shared" si="19"/>
        <v>189685.22081027087</v>
      </c>
      <c r="M60" s="3907">
        <f t="shared" si="19"/>
        <v>195433.25780452151</v>
      </c>
      <c r="N60" s="3907">
        <f t="shared" si="19"/>
        <v>201181.29479877211</v>
      </c>
      <c r="O60" s="3907">
        <f t="shared" si="19"/>
        <v>206929.33179302278</v>
      </c>
      <c r="P60" s="3907">
        <f t="shared" si="19"/>
        <v>212677.36878727342</v>
      </c>
      <c r="Q60" s="3907">
        <f t="shared" si="19"/>
        <v>218425.40578152402</v>
      </c>
      <c r="R60" s="3907">
        <f t="shared" si="19"/>
        <v>224173.44277577466</v>
      </c>
      <c r="S60" s="3907">
        <f t="shared" si="19"/>
        <v>229921.4797700253</v>
      </c>
      <c r="T60" s="3907">
        <f t="shared" si="19"/>
        <v>235669.51676427593</v>
      </c>
      <c r="U60" s="3907">
        <f t="shared" si="19"/>
        <v>241417.55375852657</v>
      </c>
      <c r="V60" s="3907">
        <f t="shared" si="19"/>
        <v>247165.59075277718</v>
      </c>
      <c r="W60" s="3907">
        <f t="shared" si="19"/>
        <v>252913.62774702781</v>
      </c>
      <c r="X60" s="3907">
        <f t="shared" si="19"/>
        <v>258661.66474127845</v>
      </c>
      <c r="Y60" s="3907">
        <f t="shared" si="19"/>
        <v>264409.70173552906</v>
      </c>
      <c r="Z60" s="3907">
        <f t="shared" si="19"/>
        <v>270157.73872977972</v>
      </c>
      <c r="AA60" s="3907">
        <f t="shared" si="19"/>
        <v>275905.77572403039</v>
      </c>
      <c r="AB60" s="3907">
        <f t="shared" si="19"/>
        <v>281653.812718281</v>
      </c>
      <c r="AC60" s="3907">
        <f t="shared" si="19"/>
        <v>287401.84971253161</v>
      </c>
      <c r="AD60" s="3893">
        <f>AD59*$C60/1000</f>
        <v>293149.88670678221</v>
      </c>
      <c r="AE60" s="3893">
        <f t="shared" ref="AE60:AR60" si="20">AE59*$C60/1000</f>
        <v>298897.92370103288</v>
      </c>
      <c r="AF60" s="3893">
        <f t="shared" si="20"/>
        <v>304645.96069528349</v>
      </c>
      <c r="AG60" s="3893">
        <f t="shared" si="20"/>
        <v>310393.99768953415</v>
      </c>
      <c r="AH60" s="3893">
        <f t="shared" si="20"/>
        <v>316142.03468378476</v>
      </c>
      <c r="AI60" s="3893">
        <f t="shared" si="20"/>
        <v>321890.07167803537</v>
      </c>
      <c r="AJ60" s="3893">
        <f t="shared" si="20"/>
        <v>327638.10867228603</v>
      </c>
      <c r="AK60" s="3893">
        <f t="shared" si="20"/>
        <v>333386.14566653664</v>
      </c>
      <c r="AL60" s="3893">
        <f t="shared" si="20"/>
        <v>339134.18266078731</v>
      </c>
      <c r="AM60" s="3893">
        <f t="shared" si="20"/>
        <v>344882.21965503797</v>
      </c>
      <c r="AN60" s="3893">
        <f t="shared" si="20"/>
        <v>350630.25664928852</v>
      </c>
      <c r="AO60" s="3893">
        <f t="shared" si="20"/>
        <v>356378.29364353925</v>
      </c>
      <c r="AP60" s="3893">
        <f t="shared" si="20"/>
        <v>362126.33063778986</v>
      </c>
      <c r="AQ60" s="3893">
        <f t="shared" si="20"/>
        <v>367874.36763204052</v>
      </c>
      <c r="AR60" s="3893">
        <f t="shared" si="20"/>
        <v>373622.40462629113</v>
      </c>
      <c r="AS60" s="3385"/>
      <c r="AT60" s="3385"/>
    </row>
    <row r="61" spans="1:46">
      <c r="A61" s="3385"/>
      <c r="B61" s="3385"/>
      <c r="C61" s="3385"/>
      <c r="D61" s="3385"/>
      <c r="E61" s="3385"/>
      <c r="F61" s="3385"/>
      <c r="G61" s="3385"/>
      <c r="H61" s="3385"/>
      <c r="I61" s="3385"/>
      <c r="J61" s="3385"/>
      <c r="K61" s="3385"/>
      <c r="L61" s="3385"/>
      <c r="M61" s="3385"/>
      <c r="N61" s="3385"/>
      <c r="O61" s="3385"/>
      <c r="P61" s="3385"/>
      <c r="Q61" s="3385"/>
      <c r="R61" s="3385"/>
      <c r="S61" s="3385"/>
      <c r="T61" s="3385"/>
      <c r="U61" s="3385"/>
      <c r="V61" s="3385"/>
      <c r="W61" s="3385"/>
      <c r="X61" s="3385"/>
      <c r="Y61" s="3385"/>
      <c r="Z61" s="3385"/>
      <c r="AA61" s="3385"/>
      <c r="AB61" s="3385"/>
      <c r="AC61" s="3385"/>
      <c r="AD61" s="3385"/>
      <c r="AE61" s="3385"/>
      <c r="AF61" s="3385"/>
      <c r="AG61" s="3385"/>
      <c r="AH61" s="3385"/>
      <c r="AI61" s="3385"/>
      <c r="AJ61" s="3385"/>
      <c r="AK61" s="3385"/>
      <c r="AL61" s="3385"/>
      <c r="AM61" s="3385"/>
      <c r="AN61" s="3385"/>
      <c r="AO61" s="3385"/>
      <c r="AP61" s="3385"/>
      <c r="AQ61" s="3385"/>
      <c r="AR61" s="3385"/>
      <c r="AS61" s="3385"/>
      <c r="AT61" s="3385"/>
    </row>
    <row r="62" spans="1:46">
      <c r="A62" s="3385"/>
      <c r="B62" s="3385"/>
      <c r="C62" s="3385"/>
      <c r="D62" s="3385"/>
      <c r="E62" s="3385"/>
      <c r="F62" s="3385"/>
      <c r="G62" s="3385"/>
      <c r="H62" s="3385"/>
      <c r="I62" s="3385"/>
      <c r="J62" s="3385"/>
      <c r="K62" s="3385"/>
      <c r="L62" s="3385"/>
      <c r="M62" s="3385"/>
      <c r="N62" s="3385"/>
      <c r="O62" s="3385"/>
      <c r="P62" s="3385"/>
      <c r="Q62" s="3385"/>
      <c r="R62" s="3385"/>
      <c r="S62" s="3385"/>
      <c r="T62" s="3385"/>
      <c r="U62" s="3385"/>
      <c r="V62" s="3385"/>
      <c r="W62" s="3385"/>
      <c r="X62" s="3385"/>
      <c r="Y62" s="3385"/>
      <c r="Z62" s="3385"/>
      <c r="AA62" s="3385"/>
      <c r="AB62" s="3385"/>
      <c r="AC62" s="3385"/>
      <c r="AD62" s="3385"/>
      <c r="AE62" s="3385"/>
      <c r="AF62" s="3385"/>
      <c r="AG62" s="3385"/>
      <c r="AH62" s="3385"/>
      <c r="AI62" s="3385"/>
      <c r="AJ62" s="3385"/>
      <c r="AK62" s="3385"/>
      <c r="AL62" s="3385"/>
      <c r="AM62" s="3385"/>
      <c r="AN62" s="3385"/>
      <c r="AO62" s="3385"/>
      <c r="AP62" s="3385"/>
      <c r="AQ62" s="3385"/>
      <c r="AR62" s="3385"/>
      <c r="AS62" s="3385"/>
      <c r="AT62" s="3385"/>
    </row>
    <row r="63" spans="1:46">
      <c r="A63" s="3385"/>
      <c r="B63" s="3385"/>
      <c r="C63" s="3385"/>
      <c r="D63" s="3385"/>
      <c r="E63" s="3385"/>
      <c r="F63" s="3385"/>
      <c r="G63" s="3385"/>
      <c r="H63" s="3385"/>
      <c r="I63" s="3385"/>
      <c r="J63" s="3385"/>
      <c r="K63" s="3385"/>
      <c r="L63" s="3385"/>
      <c r="M63" s="3385"/>
      <c r="N63" s="3385"/>
      <c r="O63" s="3385"/>
      <c r="P63" s="3385"/>
      <c r="Q63" s="3385"/>
      <c r="R63" s="3385"/>
      <c r="S63" s="3385"/>
      <c r="T63" s="3385"/>
      <c r="U63" s="3385"/>
      <c r="V63" s="3385"/>
      <c r="W63" s="3385"/>
      <c r="X63" s="3385"/>
      <c r="Y63" s="3385"/>
      <c r="Z63" s="3385"/>
      <c r="AA63" s="3385"/>
      <c r="AB63" s="3385"/>
      <c r="AC63" s="3385"/>
      <c r="AD63" s="3385"/>
      <c r="AE63" s="3385"/>
      <c r="AF63" s="3385"/>
      <c r="AG63" s="3385"/>
      <c r="AH63" s="3385"/>
      <c r="AI63" s="3385"/>
      <c r="AJ63" s="3385"/>
      <c r="AK63" s="3385"/>
      <c r="AL63" s="3385"/>
      <c r="AM63" s="3385"/>
      <c r="AN63" s="3385"/>
      <c r="AO63" s="3385"/>
      <c r="AP63" s="3385"/>
      <c r="AQ63" s="3385"/>
      <c r="AR63" s="3385"/>
      <c r="AS63" s="3385"/>
      <c r="AT63" s="3385"/>
    </row>
  </sheetData>
  <mergeCells count="49">
    <mergeCell ref="A2:C2"/>
    <mergeCell ref="A3:A4"/>
    <mergeCell ref="B3:C3"/>
    <mergeCell ref="B4:C4"/>
    <mergeCell ref="J4:K4"/>
    <mergeCell ref="B9:C9"/>
    <mergeCell ref="J9:K9"/>
    <mergeCell ref="B10:C10"/>
    <mergeCell ref="A11:A16"/>
    <mergeCell ref="B11:B12"/>
    <mergeCell ref="J12:K12"/>
    <mergeCell ref="B13:B14"/>
    <mergeCell ref="J14:K14"/>
    <mergeCell ref="B15:C15"/>
    <mergeCell ref="J15:K15"/>
    <mergeCell ref="A5:A10"/>
    <mergeCell ref="B5:B6"/>
    <mergeCell ref="J6:K6"/>
    <mergeCell ref="B7:B8"/>
    <mergeCell ref="J8:K8"/>
    <mergeCell ref="A36:A37"/>
    <mergeCell ref="B16:C16"/>
    <mergeCell ref="A17:A22"/>
    <mergeCell ref="B17:B18"/>
    <mergeCell ref="J18:K18"/>
    <mergeCell ref="B19:B20"/>
    <mergeCell ref="J20:K20"/>
    <mergeCell ref="B21:C21"/>
    <mergeCell ref="J21:K21"/>
    <mergeCell ref="B22:C22"/>
    <mergeCell ref="A25:C25"/>
    <mergeCell ref="A26:A31"/>
    <mergeCell ref="B28:B31"/>
    <mergeCell ref="A32:A33"/>
    <mergeCell ref="A34:A35"/>
    <mergeCell ref="A38:A39"/>
    <mergeCell ref="A43:C43"/>
    <mergeCell ref="A44:C44"/>
    <mergeCell ref="A47:C47"/>
    <mergeCell ref="A48:A49"/>
    <mergeCell ref="B48:C48"/>
    <mergeCell ref="B49:C49"/>
    <mergeCell ref="A59:A60"/>
    <mergeCell ref="A50:A55"/>
    <mergeCell ref="B50:B51"/>
    <mergeCell ref="B52:B53"/>
    <mergeCell ref="B54:C54"/>
    <mergeCell ref="B55:C55"/>
    <mergeCell ref="A58:C58"/>
  </mergeCells>
  <phoneticPr fontId="1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F985C-55CD-44FB-B25B-1C9CAEE5B9FC}">
  <sheetPr codeName="Sheet31">
    <tabColor theme="1"/>
  </sheetPr>
  <dimension ref="A1"/>
  <sheetViews>
    <sheetView workbookViewId="0">
      <selection activeCell="C10" sqref="C10"/>
    </sheetView>
  </sheetViews>
  <sheetFormatPr defaultRowHeight="13.5"/>
  <sheetData/>
  <phoneticPr fontId="1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8A539-3380-46CD-8045-09F1DCFEFDA0}">
  <sheetPr codeName="Sheet32">
    <tabColor theme="1"/>
  </sheetPr>
  <dimension ref="A1:CK77"/>
  <sheetViews>
    <sheetView showGridLines="0" zoomScale="98" zoomScaleNormal="98" workbookViewId="0">
      <pane xSplit="2" topLeftCell="C1" activePane="topRight" state="frozen"/>
      <selection activeCell="C10" sqref="C10"/>
      <selection pane="topRight" activeCell="AS4" sqref="AS4"/>
    </sheetView>
  </sheetViews>
  <sheetFormatPr defaultColWidth="9" defaultRowHeight="16.5" outlineLevelRow="1" outlineLevelCol="1"/>
  <cols>
    <col min="1" max="1" width="0.5546875" style="4072" customWidth="1"/>
    <col min="2" max="2" width="24.21875" style="4072" customWidth="1"/>
    <col min="3" max="3" width="14.6640625" style="4072" bestFit="1" customWidth="1"/>
    <col min="4" max="15" width="12.6640625" style="4072" hidden="1" customWidth="1" outlineLevel="1"/>
    <col min="16" max="16" width="14.6640625" style="4072" bestFit="1" customWidth="1" collapsed="1"/>
    <col min="17" max="28" width="12.6640625" style="4072" hidden="1" customWidth="1" outlineLevel="1"/>
    <col min="29" max="29" width="14.109375" style="4072" customWidth="1" collapsed="1"/>
    <col min="30" max="40" width="12.6640625" style="4072" hidden="1" customWidth="1" outlineLevel="1"/>
    <col min="41" max="41" width="14.5546875" style="4072" hidden="1" customWidth="1" outlineLevel="1"/>
    <col min="42" max="42" width="15.109375" style="4072" customWidth="1" collapsed="1"/>
    <col min="43" max="54" width="12.6640625" style="4072" customWidth="1"/>
    <col min="55" max="16384" width="9" style="4072"/>
  </cols>
  <sheetData>
    <row r="1" spans="1:89" s="3943" customFormat="1" ht="13.5" customHeight="1">
      <c r="A1" s="3942" t="s">
        <v>4705</v>
      </c>
      <c r="B1" s="3942"/>
      <c r="C1" s="3942"/>
      <c r="D1" s="3942">
        <v>2018</v>
      </c>
      <c r="E1" s="3942">
        <v>2018</v>
      </c>
      <c r="F1" s="3942">
        <v>2018</v>
      </c>
      <c r="G1" s="3942">
        <v>2018</v>
      </c>
      <c r="H1" s="3942">
        <v>2018</v>
      </c>
      <c r="I1" s="3942">
        <v>2018</v>
      </c>
      <c r="J1" s="3942">
        <v>2018</v>
      </c>
      <c r="K1" s="3942">
        <v>2018</v>
      </c>
      <c r="L1" s="3942">
        <v>2018</v>
      </c>
      <c r="M1" s="3942">
        <v>2018</v>
      </c>
      <c r="N1" s="3942">
        <v>2018</v>
      </c>
      <c r="O1" s="3942">
        <v>2018</v>
      </c>
      <c r="P1" s="3942"/>
      <c r="Q1" s="3942">
        <v>2019</v>
      </c>
      <c r="R1" s="3942">
        <v>2019</v>
      </c>
      <c r="S1" s="3942">
        <v>2019</v>
      </c>
      <c r="T1" s="3942">
        <v>2019</v>
      </c>
      <c r="U1" s="3942">
        <v>2019</v>
      </c>
      <c r="V1" s="3942">
        <v>2019</v>
      </c>
      <c r="W1" s="3942">
        <v>2019</v>
      </c>
      <c r="X1" s="3942">
        <v>2019</v>
      </c>
      <c r="Y1" s="3942">
        <v>2019</v>
      </c>
      <c r="Z1" s="3942">
        <v>2019</v>
      </c>
      <c r="AA1" s="3942">
        <v>2019</v>
      </c>
      <c r="AB1" s="3942">
        <v>2019</v>
      </c>
      <c r="AC1" s="3942"/>
      <c r="AD1" s="3942">
        <v>2020</v>
      </c>
      <c r="AE1" s="3942">
        <v>2020</v>
      </c>
      <c r="AF1" s="3942">
        <v>2020</v>
      </c>
      <c r="AG1" s="3942">
        <v>2020</v>
      </c>
      <c r="AH1" s="3942">
        <v>2020</v>
      </c>
      <c r="AI1" s="3942">
        <v>2020</v>
      </c>
      <c r="AJ1" s="3942">
        <v>2020</v>
      </c>
      <c r="AK1" s="3942">
        <v>2020</v>
      </c>
      <c r="AL1" s="3942">
        <v>2020</v>
      </c>
      <c r="AM1" s="3942">
        <v>2020</v>
      </c>
      <c r="AN1" s="3942">
        <v>2020</v>
      </c>
      <c r="AO1" s="3942">
        <v>2020</v>
      </c>
      <c r="AP1" s="3942"/>
      <c r="AQ1" s="3942">
        <v>2021</v>
      </c>
      <c r="AR1" s="3942">
        <v>2021</v>
      </c>
      <c r="AS1" s="3942">
        <v>2021</v>
      </c>
      <c r="AT1" s="3942">
        <v>2021</v>
      </c>
      <c r="AU1" s="3942">
        <v>2021</v>
      </c>
      <c r="AV1" s="3942">
        <v>2021</v>
      </c>
      <c r="AW1" s="3942">
        <v>2021</v>
      </c>
      <c r="AX1" s="3942">
        <v>2021</v>
      </c>
      <c r="AY1" s="3942">
        <v>2021</v>
      </c>
      <c r="AZ1" s="3942">
        <v>2021</v>
      </c>
      <c r="BA1" s="3942">
        <v>2021</v>
      </c>
      <c r="BB1" s="3942">
        <v>2021</v>
      </c>
      <c r="BC1" s="3942"/>
      <c r="BD1" s="3942"/>
      <c r="BE1" s="3942"/>
      <c r="BF1" s="3942"/>
      <c r="BG1" s="3942"/>
      <c r="BH1" s="3942"/>
      <c r="BT1" s="3942"/>
      <c r="BU1" s="3942"/>
      <c r="BV1" s="3942"/>
      <c r="BW1" s="3942"/>
      <c r="BX1" s="3942"/>
      <c r="BY1" s="3942"/>
      <c r="BZ1" s="3942"/>
    </row>
    <row r="2" spans="1:89" s="3943" customFormat="1" ht="13.5" customHeight="1">
      <c r="A2" s="3944" t="s">
        <v>4706</v>
      </c>
      <c r="C2" s="3943" t="s">
        <v>4707</v>
      </c>
      <c r="D2" s="3943">
        <v>1</v>
      </c>
      <c r="E2" s="3943">
        <v>1</v>
      </c>
      <c r="F2" s="3943">
        <v>1</v>
      </c>
      <c r="G2" s="3943">
        <v>2</v>
      </c>
      <c r="H2" s="3943">
        <v>2</v>
      </c>
      <c r="I2" s="3943">
        <v>2</v>
      </c>
      <c r="J2" s="3943">
        <v>3</v>
      </c>
      <c r="K2" s="3943">
        <v>3</v>
      </c>
      <c r="L2" s="3943">
        <v>3</v>
      </c>
      <c r="M2" s="3943">
        <v>4</v>
      </c>
      <c r="N2" s="3943">
        <v>4</v>
      </c>
      <c r="O2" s="3943">
        <v>4</v>
      </c>
      <c r="Q2" s="3943">
        <v>1</v>
      </c>
      <c r="R2" s="3943">
        <v>1</v>
      </c>
      <c r="S2" s="3943">
        <v>1</v>
      </c>
      <c r="T2" s="3943">
        <v>2</v>
      </c>
      <c r="U2" s="3943">
        <v>2</v>
      </c>
      <c r="V2" s="3943">
        <v>2</v>
      </c>
      <c r="W2" s="3943">
        <v>3</v>
      </c>
      <c r="X2" s="3943">
        <v>3</v>
      </c>
      <c r="Y2" s="3943">
        <v>3</v>
      </c>
      <c r="Z2" s="3943">
        <v>4</v>
      </c>
      <c r="AA2" s="3943">
        <v>4</v>
      </c>
      <c r="AB2" s="3943">
        <v>4</v>
      </c>
      <c r="AD2" s="3943">
        <v>1</v>
      </c>
      <c r="AE2" s="3943">
        <v>1</v>
      </c>
      <c r="AF2" s="3943">
        <v>1</v>
      </c>
      <c r="AG2" s="3943">
        <v>2</v>
      </c>
      <c r="AH2" s="3943">
        <v>2</v>
      </c>
      <c r="AI2" s="3943">
        <v>2</v>
      </c>
      <c r="AJ2" s="3943">
        <v>3</v>
      </c>
      <c r="AK2" s="3943">
        <v>3</v>
      </c>
      <c r="AL2" s="3943">
        <v>3</v>
      </c>
      <c r="AM2" s="3943">
        <v>4</v>
      </c>
      <c r="AN2" s="3943">
        <v>4</v>
      </c>
      <c r="AO2" s="3943">
        <v>4</v>
      </c>
      <c r="AQ2" s="3943">
        <v>1</v>
      </c>
      <c r="AR2" s="3943">
        <v>1</v>
      </c>
      <c r="AS2" s="3943">
        <v>1</v>
      </c>
      <c r="AT2" s="3943">
        <v>2</v>
      </c>
      <c r="AU2" s="3943">
        <v>2</v>
      </c>
      <c r="AV2" s="3943">
        <v>2</v>
      </c>
      <c r="AW2" s="3943">
        <v>3</v>
      </c>
      <c r="AX2" s="3943">
        <v>3</v>
      </c>
      <c r="AY2" s="3943">
        <v>3</v>
      </c>
      <c r="AZ2" s="3943">
        <v>4</v>
      </c>
      <c r="BA2" s="3943">
        <v>4</v>
      </c>
      <c r="BB2" s="3943">
        <v>4</v>
      </c>
      <c r="BC2" s="3945"/>
      <c r="BD2" s="3945"/>
      <c r="BE2" s="3945"/>
      <c r="BF2" s="3945"/>
      <c r="BH2" s="3946"/>
      <c r="BI2" s="3946"/>
      <c r="BJ2" s="3946"/>
      <c r="BK2" s="3946"/>
      <c r="BL2" s="3946"/>
      <c r="BM2" s="3946"/>
      <c r="BN2" s="3946"/>
      <c r="BO2" s="3946"/>
      <c r="BP2" s="3946"/>
      <c r="BQ2" s="3946"/>
      <c r="BR2" s="3946"/>
      <c r="BT2" s="3945"/>
      <c r="BU2" s="3945"/>
      <c r="BV2" s="3945"/>
      <c r="BW2" s="3945"/>
      <c r="BZ2" s="3946"/>
      <c r="CA2" s="3946"/>
      <c r="CB2" s="3946"/>
      <c r="CC2" s="3946"/>
      <c r="CD2" s="3946"/>
      <c r="CE2" s="3946"/>
      <c r="CF2" s="3946"/>
      <c r="CG2" s="3946"/>
      <c r="CH2" s="3946"/>
      <c r="CI2" s="3946"/>
      <c r="CJ2" s="3946"/>
    </row>
    <row r="3" spans="1:89" s="3943" customFormat="1" ht="13.5" customHeight="1">
      <c r="A3" s="5685" t="s">
        <v>41</v>
      </c>
      <c r="B3" s="5686"/>
      <c r="C3" s="5679" t="s">
        <v>4585</v>
      </c>
      <c r="D3" s="5685">
        <v>2018</v>
      </c>
      <c r="E3" s="5689"/>
      <c r="F3" s="5689"/>
      <c r="G3" s="5689"/>
      <c r="H3" s="5689"/>
      <c r="I3" s="5689"/>
      <c r="J3" s="5689"/>
      <c r="K3" s="5689"/>
      <c r="L3" s="5689"/>
      <c r="M3" s="5689"/>
      <c r="N3" s="5689"/>
      <c r="O3" s="5686"/>
      <c r="P3" s="5679" t="s">
        <v>4708</v>
      </c>
      <c r="Q3" s="5685">
        <v>2019</v>
      </c>
      <c r="R3" s="5689"/>
      <c r="S3" s="5689"/>
      <c r="T3" s="5689"/>
      <c r="U3" s="5689"/>
      <c r="V3" s="5689"/>
      <c r="W3" s="5689"/>
      <c r="X3" s="5689"/>
      <c r="Y3" s="5689"/>
      <c r="Z3" s="5689"/>
      <c r="AA3" s="5689"/>
      <c r="AB3" s="5686"/>
      <c r="AC3" s="5679" t="s">
        <v>4709</v>
      </c>
      <c r="AD3" s="5685">
        <v>2020</v>
      </c>
      <c r="AE3" s="5689"/>
      <c r="AF3" s="5689"/>
      <c r="AG3" s="5689"/>
      <c r="AH3" s="5689"/>
      <c r="AI3" s="5689"/>
      <c r="AJ3" s="5689"/>
      <c r="AK3" s="5689"/>
      <c r="AL3" s="5689"/>
      <c r="AM3" s="5689"/>
      <c r="AN3" s="5689"/>
      <c r="AO3" s="5686"/>
      <c r="AP3" s="5679" t="s">
        <v>4710</v>
      </c>
      <c r="AQ3" s="5685">
        <v>2021</v>
      </c>
      <c r="AR3" s="5689"/>
      <c r="AS3" s="5689"/>
      <c r="AT3" s="5689"/>
      <c r="AU3" s="5689"/>
      <c r="AV3" s="5689"/>
      <c r="AW3" s="5689"/>
      <c r="AX3" s="5689"/>
      <c r="AY3" s="5689"/>
      <c r="AZ3" s="5689"/>
      <c r="BA3" s="5689"/>
      <c r="BB3" s="5686"/>
      <c r="BC3" s="5674"/>
      <c r="BD3" s="5674"/>
      <c r="BE3" s="5674"/>
      <c r="BF3" s="5674"/>
      <c r="BG3" s="3947"/>
      <c r="BH3" s="3947"/>
      <c r="BI3" s="3947"/>
      <c r="BJ3" s="3947"/>
      <c r="BK3" s="3947"/>
      <c r="BL3" s="3947"/>
      <c r="BM3" s="3947"/>
      <c r="BN3" s="3947"/>
      <c r="BO3" s="3947"/>
      <c r="BP3" s="3947"/>
      <c r="BQ3" s="3947"/>
      <c r="BR3" s="3947"/>
      <c r="BS3" s="5674"/>
      <c r="BT3" s="5674"/>
      <c r="BU3" s="5674"/>
      <c r="BV3" s="5674"/>
      <c r="BW3" s="5674"/>
      <c r="BX3" s="3948"/>
      <c r="BY3" s="3947"/>
      <c r="BZ3" s="3947"/>
      <c r="CA3" s="3947"/>
      <c r="CB3" s="3947"/>
      <c r="CC3" s="3947"/>
      <c r="CD3" s="3947"/>
      <c r="CE3" s="3947"/>
      <c r="CF3" s="3947"/>
      <c r="CG3" s="3947"/>
      <c r="CH3" s="3947"/>
      <c r="CI3" s="3947"/>
      <c r="CJ3" s="3947"/>
    </row>
    <row r="4" spans="1:89" s="3943" customFormat="1" ht="13.5" customHeight="1">
      <c r="A4" s="5687"/>
      <c r="B4" s="5688"/>
      <c r="C4" s="5680"/>
      <c r="D4" s="3949" t="s">
        <v>4711</v>
      </c>
      <c r="E4" s="3949" t="s">
        <v>4712</v>
      </c>
      <c r="F4" s="3949" t="s">
        <v>4713</v>
      </c>
      <c r="G4" s="3949" t="s">
        <v>4714</v>
      </c>
      <c r="H4" s="3949" t="s">
        <v>4715</v>
      </c>
      <c r="I4" s="3949" t="s">
        <v>4716</v>
      </c>
      <c r="J4" s="3949" t="s">
        <v>4717</v>
      </c>
      <c r="K4" s="3949" t="s">
        <v>4718</v>
      </c>
      <c r="L4" s="3949" t="s">
        <v>4719</v>
      </c>
      <c r="M4" s="3949" t="s">
        <v>4720</v>
      </c>
      <c r="N4" s="3949" t="s">
        <v>4721</v>
      </c>
      <c r="O4" s="3949" t="s">
        <v>4722</v>
      </c>
      <c r="P4" s="5680"/>
      <c r="Q4" s="3949" t="s">
        <v>4711</v>
      </c>
      <c r="R4" s="3949" t="s">
        <v>4712</v>
      </c>
      <c r="S4" s="3949" t="s">
        <v>4713</v>
      </c>
      <c r="T4" s="3949" t="s">
        <v>4714</v>
      </c>
      <c r="U4" s="3949" t="s">
        <v>4715</v>
      </c>
      <c r="V4" s="3949" t="s">
        <v>4716</v>
      </c>
      <c r="W4" s="3949" t="s">
        <v>4717</v>
      </c>
      <c r="X4" s="3949" t="s">
        <v>4718</v>
      </c>
      <c r="Y4" s="3949" t="s">
        <v>4719</v>
      </c>
      <c r="Z4" s="3949" t="s">
        <v>4720</v>
      </c>
      <c r="AA4" s="3949" t="s">
        <v>4721</v>
      </c>
      <c r="AB4" s="3949" t="s">
        <v>4722</v>
      </c>
      <c r="AC4" s="5680"/>
      <c r="AD4" s="3949" t="s">
        <v>4711</v>
      </c>
      <c r="AE4" s="3949" t="s">
        <v>4712</v>
      </c>
      <c r="AF4" s="3949" t="s">
        <v>4713</v>
      </c>
      <c r="AG4" s="3949" t="s">
        <v>4714</v>
      </c>
      <c r="AH4" s="3949" t="s">
        <v>4715</v>
      </c>
      <c r="AI4" s="3949" t="s">
        <v>4716</v>
      </c>
      <c r="AJ4" s="3949" t="s">
        <v>4717</v>
      </c>
      <c r="AK4" s="3949" t="s">
        <v>4718</v>
      </c>
      <c r="AL4" s="3949" t="s">
        <v>4719</v>
      </c>
      <c r="AM4" s="3949" t="s">
        <v>4720</v>
      </c>
      <c r="AN4" s="3949" t="s">
        <v>4721</v>
      </c>
      <c r="AO4" s="3949" t="s">
        <v>4722</v>
      </c>
      <c r="AP4" s="5680"/>
      <c r="AQ4" s="3949" t="s">
        <v>4711</v>
      </c>
      <c r="AR4" s="3949" t="s">
        <v>4712</v>
      </c>
      <c r="AS4" s="3949" t="s">
        <v>4713</v>
      </c>
      <c r="AT4" s="3949" t="s">
        <v>4714</v>
      </c>
      <c r="AU4" s="3949" t="s">
        <v>4715</v>
      </c>
      <c r="AV4" s="3949" t="s">
        <v>4716</v>
      </c>
      <c r="AW4" s="3949" t="s">
        <v>4717</v>
      </c>
      <c r="AX4" s="3949" t="s">
        <v>4718</v>
      </c>
      <c r="AY4" s="3949" t="s">
        <v>4719</v>
      </c>
      <c r="AZ4" s="3949" t="s">
        <v>4720</v>
      </c>
      <c r="BA4" s="3949" t="s">
        <v>4721</v>
      </c>
      <c r="BB4" s="3949" t="s">
        <v>4722</v>
      </c>
      <c r="BC4" s="3950"/>
      <c r="BD4" s="3950"/>
      <c r="BE4" s="3950"/>
      <c r="BF4" s="3950"/>
      <c r="BG4" s="3947"/>
      <c r="BH4" s="3947"/>
      <c r="BI4" s="3947"/>
      <c r="BJ4" s="3947"/>
      <c r="BK4" s="3947"/>
      <c r="BL4" s="3947"/>
      <c r="BM4" s="3947"/>
      <c r="BN4" s="3947"/>
      <c r="BO4" s="3947"/>
      <c r="BP4" s="3947"/>
      <c r="BQ4" s="3947"/>
      <c r="BR4" s="3947"/>
      <c r="BS4" s="3948"/>
      <c r="BT4" s="3950"/>
      <c r="BU4" s="3950"/>
      <c r="BV4" s="3950"/>
      <c r="BW4" s="3950"/>
      <c r="BX4" s="3948"/>
      <c r="BY4" s="3947"/>
      <c r="BZ4" s="3947"/>
      <c r="CA4" s="3947"/>
      <c r="CB4" s="3947"/>
      <c r="CC4" s="3947"/>
      <c r="CD4" s="3947"/>
      <c r="CE4" s="3947"/>
      <c r="CF4" s="3947"/>
      <c r="CG4" s="3947"/>
      <c r="CH4" s="3947"/>
      <c r="CI4" s="3947"/>
      <c r="CJ4" s="3947"/>
    </row>
    <row r="5" spans="1:89" s="3943" customFormat="1" ht="13.5" customHeight="1">
      <c r="A5" s="5690" t="s">
        <v>4723</v>
      </c>
      <c r="B5" s="5691"/>
      <c r="C5" s="3951">
        <f>SUM(D5:O5)</f>
        <v>302932</v>
      </c>
      <c r="D5" s="3951">
        <v>25542</v>
      </c>
      <c r="E5" s="3951">
        <v>23470</v>
      </c>
      <c r="F5" s="3951">
        <v>26566</v>
      </c>
      <c r="G5" s="3951">
        <v>24500</v>
      </c>
      <c r="H5" s="3951">
        <v>23019</v>
      </c>
      <c r="I5" s="3951">
        <v>27376</v>
      </c>
      <c r="J5" s="3951">
        <v>26251</v>
      </c>
      <c r="K5" s="3951">
        <v>25090</v>
      </c>
      <c r="L5" s="3951">
        <v>24018</v>
      </c>
      <c r="M5" s="3951">
        <v>25854</v>
      </c>
      <c r="N5" s="3951">
        <v>24205</v>
      </c>
      <c r="O5" s="3951">
        <v>27041</v>
      </c>
      <c r="P5" s="3951">
        <f>SUM(Q5:AB5)</f>
        <v>320343</v>
      </c>
      <c r="Q5" s="3951">
        <v>24262</v>
      </c>
      <c r="R5" s="3951">
        <v>24869</v>
      </c>
      <c r="S5" s="3951">
        <v>26003</v>
      </c>
      <c r="T5" s="3951">
        <v>25553</v>
      </c>
      <c r="U5" s="3951">
        <v>25457</v>
      </c>
      <c r="V5" s="3951">
        <v>26451</v>
      </c>
      <c r="W5" s="3951">
        <v>27926</v>
      </c>
      <c r="X5" s="3951">
        <v>28685</v>
      </c>
      <c r="Y5" s="3951">
        <v>27622</v>
      </c>
      <c r="Z5" s="3951">
        <v>26538</v>
      </c>
      <c r="AA5" s="3951">
        <v>25644</v>
      </c>
      <c r="AB5" s="3951">
        <v>31333</v>
      </c>
      <c r="AC5" s="3951">
        <f>SUM(AD5:AO5)</f>
        <v>352194</v>
      </c>
      <c r="AD5" s="3952">
        <v>23229</v>
      </c>
      <c r="AE5" s="3952">
        <v>28595</v>
      </c>
      <c r="AF5" s="3952">
        <v>28090</v>
      </c>
      <c r="AG5" s="3952">
        <v>28427</v>
      </c>
      <c r="AH5" s="3952">
        <v>34163</v>
      </c>
      <c r="AI5" s="3952">
        <v>32298</v>
      </c>
      <c r="AJ5" s="3952">
        <v>32440</v>
      </c>
      <c r="AK5" s="3952">
        <v>32303</v>
      </c>
      <c r="AL5" s="3952">
        <v>27334</v>
      </c>
      <c r="AM5" s="3952">
        <v>30110</v>
      </c>
      <c r="AN5" s="3952">
        <v>28661</v>
      </c>
      <c r="AO5" s="3953">
        <v>26544</v>
      </c>
      <c r="AP5" s="3954">
        <f>SUM(AQ5:BB5)</f>
        <v>314436</v>
      </c>
      <c r="AQ5" s="3952">
        <v>29042</v>
      </c>
      <c r="AR5" s="3952">
        <v>23378</v>
      </c>
      <c r="AS5" s="3952">
        <v>28570</v>
      </c>
      <c r="AT5" s="3952">
        <v>24633</v>
      </c>
      <c r="AU5" s="3952">
        <v>30042</v>
      </c>
      <c r="AV5" s="3952">
        <v>26285</v>
      </c>
      <c r="AW5" s="3952">
        <v>28754</v>
      </c>
      <c r="AX5" s="3952">
        <v>26090</v>
      </c>
      <c r="AY5" s="3952">
        <v>23680</v>
      </c>
      <c r="AZ5" s="3952">
        <v>26782</v>
      </c>
      <c r="BA5" s="3952">
        <v>24303</v>
      </c>
      <c r="BB5" s="3953">
        <v>22877</v>
      </c>
      <c r="BC5" s="3955"/>
      <c r="BD5" s="3955"/>
      <c r="BE5" s="3955"/>
      <c r="BF5" s="3955"/>
      <c r="BG5" s="3955"/>
      <c r="BH5" s="3955"/>
      <c r="BI5" s="3955"/>
      <c r="BJ5" s="3955"/>
      <c r="BK5" s="3955"/>
      <c r="BL5" s="3955"/>
      <c r="BM5" s="3955"/>
      <c r="BN5" s="3955"/>
      <c r="BO5" s="3955"/>
      <c r="BP5" s="3955"/>
      <c r="BQ5" s="3955"/>
      <c r="BR5" s="3956"/>
      <c r="BS5" s="3957"/>
      <c r="BT5" s="3955"/>
      <c r="BU5" s="3955"/>
      <c r="BV5" s="3955"/>
      <c r="BW5" s="3955"/>
      <c r="BX5" s="3958"/>
      <c r="BY5" s="3955"/>
      <c r="BZ5" s="3955"/>
      <c r="CA5" s="3955"/>
      <c r="CB5" s="3955"/>
      <c r="CC5" s="3955"/>
      <c r="CD5" s="3955"/>
      <c r="CE5" s="3955"/>
      <c r="CF5" s="3955"/>
      <c r="CG5" s="3955"/>
      <c r="CH5" s="3955"/>
      <c r="CI5" s="3955"/>
      <c r="CJ5" s="3956"/>
    </row>
    <row r="6" spans="1:89" s="3943" customFormat="1" ht="13.5" customHeight="1">
      <c r="A6" s="5683" t="s">
        <v>4724</v>
      </c>
      <c r="B6" s="5684"/>
      <c r="C6" s="3959">
        <f>C10/C5</f>
        <v>59870.872273645567</v>
      </c>
      <c r="D6" s="3959">
        <f t="shared" ref="D6:BB6" si="0">D10/D5</f>
        <v>58868.844569728288</v>
      </c>
      <c r="E6" s="3959">
        <f t="shared" si="0"/>
        <v>58698.502215594373</v>
      </c>
      <c r="F6" s="3959">
        <f t="shared" si="0"/>
        <v>59897.848189415039</v>
      </c>
      <c r="G6" s="3959">
        <f t="shared" si="0"/>
        <v>59477.904285714285</v>
      </c>
      <c r="H6" s="3959">
        <f t="shared" si="0"/>
        <v>61260.11203788175</v>
      </c>
      <c r="I6" s="3959">
        <f t="shared" si="0"/>
        <v>58448.23502337814</v>
      </c>
      <c r="J6" s="3959">
        <f t="shared" si="0"/>
        <v>59247.965715591788</v>
      </c>
      <c r="K6" s="3959">
        <f t="shared" si="0"/>
        <v>60943.430354722994</v>
      </c>
      <c r="L6" s="3959">
        <f t="shared" si="0"/>
        <v>59182.003164293448</v>
      </c>
      <c r="M6" s="3959">
        <f t="shared" si="0"/>
        <v>60510.607178773113</v>
      </c>
      <c r="N6" s="3959">
        <f t="shared" si="0"/>
        <v>61402.844123115057</v>
      </c>
      <c r="O6" s="3959">
        <f t="shared" si="0"/>
        <v>60660.532746570025</v>
      </c>
      <c r="P6" s="3959">
        <f t="shared" si="0"/>
        <v>63036.991012758197</v>
      </c>
      <c r="Q6" s="3959">
        <f t="shared" si="0"/>
        <v>60619.441348610999</v>
      </c>
      <c r="R6" s="3959">
        <f t="shared" si="0"/>
        <v>61772.708190920421</v>
      </c>
      <c r="S6" s="3959">
        <f t="shared" si="0"/>
        <v>61418.762604314885</v>
      </c>
      <c r="T6" s="3959">
        <f t="shared" si="0"/>
        <v>59394.580558055808</v>
      </c>
      <c r="U6" s="3959">
        <f t="shared" si="0"/>
        <v>61822.633892446087</v>
      </c>
      <c r="V6" s="3959">
        <f t="shared" si="0"/>
        <v>62280.792257381574</v>
      </c>
      <c r="W6" s="3959">
        <f t="shared" si="0"/>
        <v>62661.345914201818</v>
      </c>
      <c r="X6" s="3959">
        <f t="shared" si="0"/>
        <v>63492.096740456684</v>
      </c>
      <c r="Y6" s="3959">
        <f t="shared" si="0"/>
        <v>63348.446057490408</v>
      </c>
      <c r="Z6" s="3959">
        <f t="shared" si="0"/>
        <v>68959.265430703148</v>
      </c>
      <c r="AA6" s="3959">
        <f t="shared" si="0"/>
        <v>67381.720909374519</v>
      </c>
      <c r="AB6" s="3959">
        <f t="shared" si="0"/>
        <v>62922.620336386557</v>
      </c>
      <c r="AC6" s="3959">
        <f t="shared" si="0"/>
        <v>64927.917261509283</v>
      </c>
      <c r="AD6" s="3951">
        <f t="shared" si="0"/>
        <v>66478.506392870986</v>
      </c>
      <c r="AE6" s="3951">
        <f t="shared" si="0"/>
        <v>64459.4087427872</v>
      </c>
      <c r="AF6" s="3951">
        <f t="shared" si="0"/>
        <v>64104.75411178355</v>
      </c>
      <c r="AG6" s="3951">
        <f t="shared" si="0"/>
        <v>62921.611425757204</v>
      </c>
      <c r="AH6" s="3951">
        <f t="shared" si="0"/>
        <v>62011.896993823728</v>
      </c>
      <c r="AI6" s="3951">
        <f t="shared" si="0"/>
        <v>62438.145272153073</v>
      </c>
      <c r="AJ6" s="3951">
        <f t="shared" si="0"/>
        <v>65978.724599260167</v>
      </c>
      <c r="AK6" s="3951">
        <f t="shared" si="0"/>
        <v>65278.93836485775</v>
      </c>
      <c r="AL6" s="3951">
        <f t="shared" si="0"/>
        <v>66250.567352015802</v>
      </c>
      <c r="AM6" s="3951">
        <f t="shared" si="0"/>
        <v>65287.022915974761</v>
      </c>
      <c r="AN6" s="3951">
        <f t="shared" si="0"/>
        <v>68184.77526953003</v>
      </c>
      <c r="AO6" s="3951">
        <f t="shared" si="0"/>
        <v>66880.5585443038</v>
      </c>
      <c r="AP6" s="3960">
        <f t="shared" si="0"/>
        <v>66843.558546095228</v>
      </c>
      <c r="AQ6" s="3960">
        <f t="shared" si="0"/>
        <v>65611.579712141043</v>
      </c>
      <c r="AR6" s="3960">
        <f t="shared" si="0"/>
        <v>66037.621952262809</v>
      </c>
      <c r="AS6" s="3960">
        <f t="shared" si="0"/>
        <v>65976.911025551279</v>
      </c>
      <c r="AT6" s="3960">
        <f t="shared" si="0"/>
        <v>65698.804611699758</v>
      </c>
      <c r="AU6" s="3960">
        <f t="shared" si="0"/>
        <v>64251.943212835366</v>
      </c>
      <c r="AV6" s="3960">
        <f t="shared" si="0"/>
        <v>65304.485866463765</v>
      </c>
      <c r="AW6" s="3960">
        <f t="shared" si="0"/>
        <v>64958.300479933227</v>
      </c>
      <c r="AX6" s="3960">
        <f t="shared" si="0"/>
        <v>67463.718512840162</v>
      </c>
      <c r="AY6" s="3960">
        <f t="shared" si="0"/>
        <v>68764.749493243246</v>
      </c>
      <c r="AZ6" s="3960">
        <f t="shared" si="0"/>
        <v>68619.466320663138</v>
      </c>
      <c r="BA6" s="3960">
        <f t="shared" si="0"/>
        <v>72306.606056865407</v>
      </c>
      <c r="BB6" s="3961">
        <f t="shared" si="0"/>
        <v>68508.773440573495</v>
      </c>
      <c r="BC6" s="3955"/>
      <c r="BD6" s="3955"/>
      <c r="BE6" s="3955"/>
      <c r="BF6" s="3955"/>
      <c r="BG6" s="3962"/>
      <c r="BH6" s="3962"/>
      <c r="BI6" s="3962"/>
      <c r="BJ6" s="3962"/>
      <c r="BK6" s="3962"/>
      <c r="BL6" s="3962"/>
      <c r="BM6" s="3962"/>
      <c r="BN6" s="3962"/>
      <c r="BO6" s="3962"/>
      <c r="BP6" s="3962"/>
      <c r="BQ6" s="3962"/>
      <c r="BR6" s="3963"/>
      <c r="BS6" s="3955"/>
      <c r="BT6" s="3955"/>
      <c r="BU6" s="3955"/>
      <c r="BV6" s="3955"/>
      <c r="BW6" s="3955"/>
      <c r="BX6" s="3958"/>
      <c r="BY6" s="3962"/>
      <c r="BZ6" s="3962"/>
      <c r="CA6" s="3962"/>
      <c r="CB6" s="3962"/>
      <c r="CC6" s="3962"/>
      <c r="CD6" s="3962"/>
      <c r="CE6" s="3962"/>
      <c r="CF6" s="3962"/>
      <c r="CG6" s="3962"/>
      <c r="CH6" s="3962"/>
      <c r="CI6" s="3962"/>
      <c r="CJ6" s="3963"/>
    </row>
    <row r="7" spans="1:89" s="3943" customFormat="1" ht="13.5" customHeight="1">
      <c r="A7" s="3944" t="s">
        <v>4725</v>
      </c>
      <c r="B7" s="3950"/>
      <c r="C7" s="3964"/>
      <c r="D7" s="3964"/>
      <c r="E7" s="3964"/>
      <c r="F7" s="3964"/>
      <c r="G7" s="3964"/>
      <c r="H7" s="3964"/>
      <c r="I7" s="3964"/>
      <c r="J7" s="3964"/>
      <c r="K7" s="3964"/>
      <c r="L7" s="3964"/>
      <c r="M7" s="3964"/>
      <c r="N7" s="3964"/>
      <c r="O7" s="3964"/>
      <c r="P7" s="3964"/>
      <c r="Q7" s="3964"/>
      <c r="R7" s="3964"/>
      <c r="S7" s="3964"/>
      <c r="T7" s="3964"/>
      <c r="U7" s="3964"/>
      <c r="V7" s="3964"/>
      <c r="W7" s="3964"/>
      <c r="X7" s="3964"/>
      <c r="Y7" s="3964"/>
      <c r="Z7" s="3964"/>
      <c r="AA7" s="3964"/>
      <c r="AB7" s="3964"/>
      <c r="AC7" s="3964"/>
      <c r="AD7" s="3964"/>
      <c r="AE7" s="3964"/>
      <c r="AF7" s="3964"/>
      <c r="AG7" s="3964"/>
      <c r="AH7" s="3964"/>
      <c r="AI7" s="3964"/>
      <c r="AJ7" s="3964"/>
      <c r="AK7" s="3964"/>
      <c r="AL7" s="3964"/>
      <c r="AM7" s="3964"/>
      <c r="AN7" s="3964"/>
      <c r="AO7" s="3964"/>
      <c r="AP7" s="3964"/>
      <c r="AQ7" s="3955"/>
      <c r="AR7" s="3965"/>
      <c r="AS7" s="3955"/>
      <c r="AT7" s="3955"/>
      <c r="AU7" s="3955"/>
      <c r="AV7" s="3955"/>
      <c r="AW7" s="3955"/>
      <c r="AX7" s="3955"/>
      <c r="AY7" s="3955"/>
      <c r="AZ7" s="3955"/>
      <c r="BA7" s="3955"/>
      <c r="BB7" s="3966"/>
      <c r="BC7" s="3967"/>
      <c r="BD7" s="3967"/>
      <c r="BE7" s="3967"/>
      <c r="BG7" s="3955"/>
      <c r="BH7" s="3955"/>
      <c r="BI7" s="3955"/>
      <c r="BJ7" s="3955"/>
      <c r="BK7" s="3955"/>
      <c r="BL7" s="3955"/>
      <c r="BM7" s="3955"/>
      <c r="BN7" s="3955"/>
      <c r="BO7" s="3955"/>
      <c r="BP7" s="3955"/>
      <c r="BQ7" s="3955"/>
      <c r="BR7" s="3956"/>
      <c r="BS7" s="3968"/>
      <c r="BT7" s="3967"/>
      <c r="BU7" s="3967"/>
      <c r="BV7" s="3967"/>
      <c r="BW7" s="3969"/>
      <c r="BX7" s="3969"/>
      <c r="BY7" s="3955"/>
      <c r="BZ7" s="3955"/>
      <c r="CA7" s="3955"/>
      <c r="CB7" s="3955"/>
      <c r="CC7" s="3955"/>
      <c r="CD7" s="3955"/>
      <c r="CE7" s="3955"/>
      <c r="CF7" s="3955"/>
      <c r="CG7" s="3955"/>
      <c r="CH7" s="3955"/>
      <c r="CI7" s="3955"/>
      <c r="CJ7" s="3956"/>
    </row>
    <row r="8" spans="1:89" s="3943" customFormat="1" ht="13.5" customHeight="1">
      <c r="A8" s="5685" t="s">
        <v>41</v>
      </c>
      <c r="B8" s="5686"/>
      <c r="C8" s="5679" t="s">
        <v>4585</v>
      </c>
      <c r="D8" s="5679" t="s">
        <v>4711</v>
      </c>
      <c r="E8" s="5679" t="s">
        <v>4712</v>
      </c>
      <c r="F8" s="5679" t="s">
        <v>4713</v>
      </c>
      <c r="G8" s="5679" t="s">
        <v>4714</v>
      </c>
      <c r="H8" s="5679" t="s">
        <v>4715</v>
      </c>
      <c r="I8" s="5679" t="s">
        <v>4716</v>
      </c>
      <c r="J8" s="5679" t="s">
        <v>4717</v>
      </c>
      <c r="K8" s="5679" t="s">
        <v>4718</v>
      </c>
      <c r="L8" s="5679" t="s">
        <v>4719</v>
      </c>
      <c r="M8" s="5679" t="s">
        <v>4720</v>
      </c>
      <c r="N8" s="5679" t="s">
        <v>4721</v>
      </c>
      <c r="O8" s="5679" t="s">
        <v>4722</v>
      </c>
      <c r="P8" s="5679" t="s">
        <v>4708</v>
      </c>
      <c r="Q8" s="5679" t="s">
        <v>4711</v>
      </c>
      <c r="R8" s="5679" t="s">
        <v>4712</v>
      </c>
      <c r="S8" s="5679" t="s">
        <v>4713</v>
      </c>
      <c r="T8" s="5679" t="s">
        <v>4714</v>
      </c>
      <c r="U8" s="5679" t="s">
        <v>4715</v>
      </c>
      <c r="V8" s="5679" t="s">
        <v>4716</v>
      </c>
      <c r="W8" s="5679" t="s">
        <v>4717</v>
      </c>
      <c r="X8" s="5679" t="s">
        <v>4718</v>
      </c>
      <c r="Y8" s="5679" t="s">
        <v>4719</v>
      </c>
      <c r="Z8" s="5679" t="s">
        <v>4720</v>
      </c>
      <c r="AA8" s="5679" t="s">
        <v>4721</v>
      </c>
      <c r="AB8" s="5679" t="s">
        <v>4722</v>
      </c>
      <c r="AC8" s="5679" t="s">
        <v>4709</v>
      </c>
      <c r="AD8" s="5679" t="s">
        <v>4711</v>
      </c>
      <c r="AE8" s="5679" t="s">
        <v>4712</v>
      </c>
      <c r="AF8" s="5679" t="s">
        <v>4713</v>
      </c>
      <c r="AG8" s="5679" t="s">
        <v>4714</v>
      </c>
      <c r="AH8" s="5679" t="s">
        <v>4715</v>
      </c>
      <c r="AI8" s="5679" t="s">
        <v>4716</v>
      </c>
      <c r="AJ8" s="5679" t="s">
        <v>4717</v>
      </c>
      <c r="AK8" s="5679" t="s">
        <v>4718</v>
      </c>
      <c r="AL8" s="5679" t="s">
        <v>4719</v>
      </c>
      <c r="AM8" s="5679" t="s">
        <v>4720</v>
      </c>
      <c r="AN8" s="5679" t="s">
        <v>4721</v>
      </c>
      <c r="AO8" s="5679" t="s">
        <v>4722</v>
      </c>
      <c r="AP8" s="5681" t="str">
        <f>AP3</f>
        <v>2021년</v>
      </c>
      <c r="AQ8" s="5679" t="s">
        <v>4711</v>
      </c>
      <c r="AR8" s="5679" t="s">
        <v>4712</v>
      </c>
      <c r="AS8" s="5679" t="s">
        <v>4713</v>
      </c>
      <c r="AT8" s="5679" t="s">
        <v>4714</v>
      </c>
      <c r="AU8" s="5679" t="s">
        <v>4715</v>
      </c>
      <c r="AV8" s="5679" t="s">
        <v>4716</v>
      </c>
      <c r="AW8" s="5679" t="s">
        <v>4717</v>
      </c>
      <c r="AX8" s="5679" t="s">
        <v>4718</v>
      </c>
      <c r="AY8" s="5679" t="s">
        <v>4719</v>
      </c>
      <c r="AZ8" s="5679" t="s">
        <v>4720</v>
      </c>
      <c r="BA8" s="5679" t="s">
        <v>4721</v>
      </c>
      <c r="BB8" s="5679" t="s">
        <v>4722</v>
      </c>
      <c r="BC8" s="5674"/>
      <c r="BD8" s="5674"/>
      <c r="BE8" s="5674"/>
      <c r="BF8" s="5674"/>
      <c r="BG8" s="3947"/>
      <c r="BH8" s="3947"/>
      <c r="BI8" s="3947"/>
      <c r="BJ8" s="3947"/>
      <c r="BK8" s="3947"/>
      <c r="BL8" s="3947"/>
      <c r="BM8" s="3947"/>
      <c r="BN8" s="3947"/>
      <c r="BO8" s="3947"/>
      <c r="BP8" s="3947"/>
      <c r="BQ8" s="3947"/>
      <c r="BR8" s="3947"/>
      <c r="BS8" s="5674"/>
      <c r="BT8" s="5674"/>
      <c r="BU8" s="5674"/>
      <c r="BV8" s="5674"/>
      <c r="BW8" s="5674"/>
      <c r="BX8" s="3948"/>
      <c r="BY8" s="3947"/>
      <c r="BZ8" s="3947"/>
      <c r="CA8" s="3947"/>
      <c r="CB8" s="3947"/>
      <c r="CC8" s="3947"/>
      <c r="CD8" s="3947"/>
      <c r="CE8" s="3947"/>
      <c r="CF8" s="3947"/>
      <c r="CG8" s="3947"/>
      <c r="CH8" s="3947"/>
      <c r="CI8" s="3947"/>
      <c r="CJ8" s="3947"/>
    </row>
    <row r="9" spans="1:89" s="3943" customFormat="1" ht="13.5" customHeight="1">
      <c r="A9" s="5687"/>
      <c r="B9" s="5688"/>
      <c r="C9" s="5680"/>
      <c r="D9" s="5680"/>
      <c r="E9" s="5680"/>
      <c r="F9" s="5680"/>
      <c r="G9" s="5680"/>
      <c r="H9" s="5680"/>
      <c r="I9" s="5680"/>
      <c r="J9" s="5680"/>
      <c r="K9" s="5680"/>
      <c r="L9" s="5680"/>
      <c r="M9" s="5680"/>
      <c r="N9" s="5680"/>
      <c r="O9" s="5680"/>
      <c r="P9" s="5680"/>
      <c r="Q9" s="5680"/>
      <c r="R9" s="5680"/>
      <c r="S9" s="5680"/>
      <c r="T9" s="5680"/>
      <c r="U9" s="5680"/>
      <c r="V9" s="5680"/>
      <c r="W9" s="5680"/>
      <c r="X9" s="5680"/>
      <c r="Y9" s="5680"/>
      <c r="Z9" s="5680"/>
      <c r="AA9" s="5680"/>
      <c r="AB9" s="5680"/>
      <c r="AC9" s="5680"/>
      <c r="AD9" s="5680"/>
      <c r="AE9" s="5680"/>
      <c r="AF9" s="5680"/>
      <c r="AG9" s="5680"/>
      <c r="AH9" s="5680"/>
      <c r="AI9" s="5680"/>
      <c r="AJ9" s="5680"/>
      <c r="AK9" s="5680"/>
      <c r="AL9" s="5680"/>
      <c r="AM9" s="5680"/>
      <c r="AN9" s="5680"/>
      <c r="AO9" s="5680"/>
      <c r="AP9" s="5682"/>
      <c r="AQ9" s="5680"/>
      <c r="AR9" s="5680"/>
      <c r="AS9" s="5680"/>
      <c r="AT9" s="5680"/>
      <c r="AU9" s="5680"/>
      <c r="AV9" s="5680"/>
      <c r="AW9" s="5680"/>
      <c r="AX9" s="5680"/>
      <c r="AY9" s="5680"/>
      <c r="AZ9" s="5680"/>
      <c r="BA9" s="5680"/>
      <c r="BB9" s="5680"/>
      <c r="BC9" s="3950"/>
      <c r="BD9" s="3950"/>
      <c r="BE9" s="3950"/>
      <c r="BF9" s="3950"/>
      <c r="BG9" s="3947"/>
      <c r="BH9" s="3947"/>
      <c r="BI9" s="3947"/>
      <c r="BJ9" s="3947"/>
      <c r="BK9" s="3947"/>
      <c r="BL9" s="3947"/>
      <c r="BM9" s="3947"/>
      <c r="BN9" s="3947"/>
      <c r="BO9" s="3947"/>
      <c r="BP9" s="3947"/>
      <c r="BQ9" s="3947"/>
      <c r="BR9" s="3947"/>
      <c r="BS9" s="3948"/>
      <c r="BT9" s="3950"/>
      <c r="BU9" s="3950"/>
      <c r="BV9" s="3950"/>
      <c r="BW9" s="3950"/>
      <c r="BX9" s="3948"/>
      <c r="BY9" s="3947"/>
      <c r="BZ9" s="3947"/>
      <c r="CA9" s="3947"/>
      <c r="CB9" s="3947"/>
      <c r="CC9" s="3947"/>
      <c r="CD9" s="3947"/>
      <c r="CE9" s="3947"/>
      <c r="CF9" s="3947"/>
      <c r="CG9" s="3947"/>
      <c r="CH9" s="3947"/>
      <c r="CI9" s="3947"/>
      <c r="CJ9" s="3947"/>
    </row>
    <row r="10" spans="1:89" s="3943" customFormat="1" ht="13.5" customHeight="1">
      <c r="A10" s="3970"/>
      <c r="B10" s="3971" t="s">
        <v>4726</v>
      </c>
      <c r="C10" s="3972">
        <f t="shared" ref="C10:BB10" si="1">SUM(C11:C12)</f>
        <v>18136803079.599998</v>
      </c>
      <c r="D10" s="3972">
        <f t="shared" si="1"/>
        <v>1503628028</v>
      </c>
      <c r="E10" s="3972">
        <f t="shared" si="1"/>
        <v>1377653847</v>
      </c>
      <c r="F10" s="3972">
        <f t="shared" si="1"/>
        <v>1591246235</v>
      </c>
      <c r="G10" s="3972">
        <f t="shared" si="1"/>
        <v>1457208655</v>
      </c>
      <c r="H10" s="3972">
        <f t="shared" si="1"/>
        <v>1410146519</v>
      </c>
      <c r="I10" s="3972">
        <f t="shared" si="1"/>
        <v>1600078882</v>
      </c>
      <c r="J10" s="3972">
        <f t="shared" si="1"/>
        <v>1555318348</v>
      </c>
      <c r="K10" s="3972">
        <f t="shared" si="1"/>
        <v>1529070667.5999999</v>
      </c>
      <c r="L10" s="3972">
        <f t="shared" si="1"/>
        <v>1421433352</v>
      </c>
      <c r="M10" s="3972">
        <f t="shared" si="1"/>
        <v>1564441238</v>
      </c>
      <c r="N10" s="3972">
        <f t="shared" si="1"/>
        <v>1486255842</v>
      </c>
      <c r="O10" s="3972">
        <f t="shared" si="1"/>
        <v>1640321466</v>
      </c>
      <c r="P10" s="3972">
        <f t="shared" si="1"/>
        <v>20193458812</v>
      </c>
      <c r="Q10" s="3972">
        <f t="shared" si="1"/>
        <v>1470748886</v>
      </c>
      <c r="R10" s="3972">
        <f t="shared" si="1"/>
        <v>1536225480</v>
      </c>
      <c r="S10" s="3972">
        <f t="shared" si="1"/>
        <v>1597072084</v>
      </c>
      <c r="T10" s="3972">
        <f t="shared" si="1"/>
        <v>1517709717</v>
      </c>
      <c r="U10" s="3972">
        <f t="shared" si="1"/>
        <v>1573818791</v>
      </c>
      <c r="V10" s="3972">
        <f t="shared" si="1"/>
        <v>1647389236</v>
      </c>
      <c r="W10" s="3972">
        <f t="shared" si="1"/>
        <v>1749880746</v>
      </c>
      <c r="X10" s="3972">
        <f t="shared" si="1"/>
        <v>1821270795</v>
      </c>
      <c r="Y10" s="3972">
        <f t="shared" si="1"/>
        <v>1749810777</v>
      </c>
      <c r="Z10" s="3972">
        <f t="shared" si="1"/>
        <v>1830040986</v>
      </c>
      <c r="AA10" s="3972">
        <f t="shared" si="1"/>
        <v>1727936851</v>
      </c>
      <c r="AB10" s="3972">
        <f t="shared" si="1"/>
        <v>1971554463</v>
      </c>
      <c r="AC10" s="3972">
        <f t="shared" si="1"/>
        <v>22867222892</v>
      </c>
      <c r="AD10" s="3972">
        <f t="shared" si="1"/>
        <v>1544229225</v>
      </c>
      <c r="AE10" s="3972">
        <f t="shared" si="1"/>
        <v>1843216793</v>
      </c>
      <c r="AF10" s="3972">
        <f t="shared" si="1"/>
        <v>1800702543</v>
      </c>
      <c r="AG10" s="3972">
        <f t="shared" si="1"/>
        <v>1788672648</v>
      </c>
      <c r="AH10" s="3972">
        <f t="shared" si="1"/>
        <v>2118512437</v>
      </c>
      <c r="AI10" s="3972">
        <f t="shared" si="1"/>
        <v>2016627216</v>
      </c>
      <c r="AJ10" s="3972">
        <f t="shared" si="1"/>
        <v>2140349826</v>
      </c>
      <c r="AK10" s="3972">
        <f t="shared" si="1"/>
        <v>2108705546</v>
      </c>
      <c r="AL10" s="3972">
        <f t="shared" si="1"/>
        <v>1810893008</v>
      </c>
      <c r="AM10" s="3972">
        <f t="shared" si="1"/>
        <v>1965792260</v>
      </c>
      <c r="AN10" s="3972">
        <f t="shared" si="1"/>
        <v>1954243844</v>
      </c>
      <c r="AO10" s="3972">
        <f t="shared" si="1"/>
        <v>1775277546</v>
      </c>
      <c r="AP10" s="3973">
        <f t="shared" si="1"/>
        <v>21018021175</v>
      </c>
      <c r="AQ10" s="3974">
        <f>SUM(AQ11:AQ12)</f>
        <v>1905491498</v>
      </c>
      <c r="AR10" s="3974">
        <f t="shared" si="1"/>
        <v>1543827526</v>
      </c>
      <c r="AS10" s="3974">
        <f t="shared" si="1"/>
        <v>1884960348</v>
      </c>
      <c r="AT10" s="3974">
        <f t="shared" si="1"/>
        <v>1618358654</v>
      </c>
      <c r="AU10" s="3974">
        <f t="shared" si="1"/>
        <v>1930256878</v>
      </c>
      <c r="AV10" s="3974">
        <f t="shared" si="1"/>
        <v>1716528411</v>
      </c>
      <c r="AW10" s="3974">
        <f t="shared" si="1"/>
        <v>1867810972</v>
      </c>
      <c r="AX10" s="3974">
        <f t="shared" si="1"/>
        <v>1760128416</v>
      </c>
      <c r="AY10" s="3974">
        <f t="shared" si="1"/>
        <v>1628349268</v>
      </c>
      <c r="AZ10" s="3974">
        <f t="shared" si="1"/>
        <v>1837766547</v>
      </c>
      <c r="BA10" s="3974">
        <f t="shared" si="1"/>
        <v>1757267447</v>
      </c>
      <c r="BB10" s="3974">
        <f t="shared" si="1"/>
        <v>1567275210</v>
      </c>
      <c r="BC10" s="3968"/>
      <c r="BD10" s="3968"/>
      <c r="BE10" s="3968"/>
      <c r="BF10" s="3968"/>
      <c r="BG10" s="3957"/>
      <c r="BH10" s="3957"/>
      <c r="BI10" s="3957"/>
      <c r="BJ10" s="3957"/>
      <c r="BK10" s="3957"/>
      <c r="BL10" s="3957"/>
      <c r="BM10" s="3957"/>
      <c r="BN10" s="3957"/>
      <c r="BO10" s="3957"/>
      <c r="BP10" s="3957"/>
      <c r="BQ10" s="3957"/>
      <c r="BR10" s="3957"/>
      <c r="BS10" s="3968"/>
      <c r="BT10" s="3968"/>
      <c r="BU10" s="3968"/>
      <c r="BV10" s="3968"/>
      <c r="BW10" s="3968"/>
      <c r="BX10" s="3975"/>
      <c r="BY10" s="3957"/>
      <c r="BZ10" s="3957"/>
      <c r="CA10" s="3957"/>
      <c r="CB10" s="3957"/>
      <c r="CC10" s="3957"/>
      <c r="CD10" s="3957"/>
      <c r="CE10" s="3957"/>
      <c r="CF10" s="3957"/>
      <c r="CG10" s="3957"/>
      <c r="CH10" s="3957"/>
      <c r="CI10" s="3957"/>
      <c r="CJ10" s="3957"/>
      <c r="CK10" s="3945"/>
    </row>
    <row r="11" spans="1:89" s="3943" customFormat="1" ht="13.5" customHeight="1" outlineLevel="1">
      <c r="A11" s="3976"/>
      <c r="B11" s="3977" t="s">
        <v>4727</v>
      </c>
      <c r="C11" s="3978">
        <f>SUM(D11:O11)</f>
        <v>17051766279.6</v>
      </c>
      <c r="D11" s="3978">
        <v>1423357828</v>
      </c>
      <c r="E11" s="3978">
        <v>1299140347</v>
      </c>
      <c r="F11" s="3978">
        <v>1481875535</v>
      </c>
      <c r="G11" s="3978">
        <v>1363405155</v>
      </c>
      <c r="H11" s="3978">
        <v>1310042119</v>
      </c>
      <c r="I11" s="3978">
        <v>1521101682</v>
      </c>
      <c r="J11" s="3978">
        <v>1477202348</v>
      </c>
      <c r="K11" s="3978">
        <v>1446089867.5999999</v>
      </c>
      <c r="L11" s="3978">
        <v>1349164752</v>
      </c>
      <c r="M11" s="3978">
        <v>1474993738</v>
      </c>
      <c r="N11" s="3978">
        <v>1382048042</v>
      </c>
      <c r="O11" s="3978">
        <v>1523344866</v>
      </c>
      <c r="P11" s="3978">
        <f>SUM(Q11:AB11)</f>
        <v>18668362212</v>
      </c>
      <c r="Q11" s="3978">
        <v>1375797786</v>
      </c>
      <c r="R11" s="3978">
        <v>1432023680</v>
      </c>
      <c r="S11" s="3978">
        <v>1502735284</v>
      </c>
      <c r="T11" s="3978">
        <v>1432886617</v>
      </c>
      <c r="U11" s="3978">
        <v>1450045791</v>
      </c>
      <c r="V11" s="3978">
        <v>1523151836</v>
      </c>
      <c r="W11" s="3978">
        <v>1633697046</v>
      </c>
      <c r="X11" s="3978">
        <v>1674411495</v>
      </c>
      <c r="Y11" s="3978">
        <v>1619058577</v>
      </c>
      <c r="Z11" s="3978">
        <v>1643758286</v>
      </c>
      <c r="AA11" s="3978">
        <v>1542135451</v>
      </c>
      <c r="AB11" s="3978">
        <v>1838660363</v>
      </c>
      <c r="AC11" s="3979">
        <f t="shared" ref="AC11:AC33" si="2">SUM(AD11:AO11)</f>
        <v>21344696992</v>
      </c>
      <c r="AD11" s="3979">
        <v>1409391825</v>
      </c>
      <c r="AE11" s="3980">
        <v>1716857093</v>
      </c>
      <c r="AF11" s="3980">
        <v>1695255943</v>
      </c>
      <c r="AG11" s="3980">
        <v>1699098448</v>
      </c>
      <c r="AH11" s="3980">
        <v>2005784337</v>
      </c>
      <c r="AI11" s="3980">
        <v>1893284816</v>
      </c>
      <c r="AJ11" s="3980">
        <v>2003043226</v>
      </c>
      <c r="AK11" s="3980">
        <v>1957942346</v>
      </c>
      <c r="AL11" s="3980">
        <v>1681563608</v>
      </c>
      <c r="AM11" s="3980">
        <v>1825216560</v>
      </c>
      <c r="AN11" s="3980">
        <v>1810029044</v>
      </c>
      <c r="AO11" s="3980">
        <v>1647229746</v>
      </c>
      <c r="AP11" s="3981">
        <f t="shared" ref="AP11:AP30" si="3">SUM(AQ11:BB11)</f>
        <v>19173395875</v>
      </c>
      <c r="AQ11" s="3982">
        <v>1789798698</v>
      </c>
      <c r="AR11" s="3983">
        <v>1436667726</v>
      </c>
      <c r="AS11" s="3983">
        <v>1758430448</v>
      </c>
      <c r="AT11" s="3983">
        <v>1511829454</v>
      </c>
      <c r="AU11" s="3983">
        <v>1818046878</v>
      </c>
      <c r="AV11" s="3983">
        <v>1604465211</v>
      </c>
      <c r="AW11" s="3983">
        <v>1734556172</v>
      </c>
      <c r="AX11" s="3983">
        <v>1599157216</v>
      </c>
      <c r="AY11" s="3983">
        <v>1456891068</v>
      </c>
      <c r="AZ11" s="3983">
        <v>1622121947</v>
      </c>
      <c r="BA11" s="3983">
        <v>1485205247</v>
      </c>
      <c r="BB11" s="3983">
        <v>1356225810</v>
      </c>
      <c r="BC11" s="3984"/>
      <c r="BD11" s="3984"/>
      <c r="BE11" s="3984"/>
      <c r="BF11" s="3984"/>
      <c r="BG11" s="3985"/>
      <c r="BH11" s="3958"/>
      <c r="BI11" s="3958"/>
      <c r="BJ11" s="3958"/>
      <c r="BK11" s="3958"/>
      <c r="BL11" s="3958"/>
      <c r="BM11" s="3958"/>
      <c r="BN11" s="3958"/>
      <c r="BO11" s="3958"/>
      <c r="BP11" s="3958"/>
      <c r="BQ11" s="3958"/>
      <c r="BR11" s="3958"/>
      <c r="BS11" s="3984"/>
      <c r="BT11" s="3984"/>
      <c r="BU11" s="3984"/>
      <c r="BV11" s="3984"/>
      <c r="BW11" s="3984"/>
      <c r="BX11" s="3985"/>
      <c r="BY11" s="3986"/>
      <c r="BZ11" s="3987"/>
      <c r="CA11" s="3987"/>
      <c r="CB11" s="3987"/>
      <c r="CC11" s="3987"/>
      <c r="CD11" s="3987"/>
      <c r="CE11" s="3987"/>
      <c r="CF11" s="3987"/>
      <c r="CG11" s="3987"/>
      <c r="CH11" s="3987"/>
      <c r="CI11" s="3987"/>
      <c r="CJ11" s="3987"/>
      <c r="CK11" s="3988"/>
    </row>
    <row r="12" spans="1:89" s="3943" customFormat="1" ht="13.5" customHeight="1" outlineLevel="1">
      <c r="A12" s="3989"/>
      <c r="B12" s="3990" t="s">
        <v>4728</v>
      </c>
      <c r="C12" s="3991">
        <f>SUM(D12:O12)</f>
        <v>1085036800</v>
      </c>
      <c r="D12" s="3991">
        <v>80270200</v>
      </c>
      <c r="E12" s="3991">
        <v>78513500</v>
      </c>
      <c r="F12" s="3991">
        <v>109370700</v>
      </c>
      <c r="G12" s="3991">
        <v>93803500</v>
      </c>
      <c r="H12" s="3991">
        <v>100104400</v>
      </c>
      <c r="I12" s="3991">
        <v>78977200</v>
      </c>
      <c r="J12" s="3991">
        <v>78116000</v>
      </c>
      <c r="K12" s="3991">
        <v>82980800</v>
      </c>
      <c r="L12" s="3991">
        <v>72268600</v>
      </c>
      <c r="M12" s="3991">
        <v>89447500</v>
      </c>
      <c r="N12" s="3991">
        <v>104207800</v>
      </c>
      <c r="O12" s="3991">
        <v>116976600</v>
      </c>
      <c r="P12" s="3991">
        <f>SUM(Q12:AB12)</f>
        <v>1525096600</v>
      </c>
      <c r="Q12" s="3991">
        <v>94951100</v>
      </c>
      <c r="R12" s="3991">
        <v>104201800</v>
      </c>
      <c r="S12" s="3991">
        <v>94336800</v>
      </c>
      <c r="T12" s="3991">
        <v>84823100</v>
      </c>
      <c r="U12" s="3991">
        <v>123773000</v>
      </c>
      <c r="V12" s="3991">
        <v>124237400</v>
      </c>
      <c r="W12" s="3991">
        <v>116183700</v>
      </c>
      <c r="X12" s="3991">
        <v>146859300</v>
      </c>
      <c r="Y12" s="3991">
        <v>130752200</v>
      </c>
      <c r="Z12" s="3991">
        <v>186282700</v>
      </c>
      <c r="AA12" s="3991">
        <v>185801400</v>
      </c>
      <c r="AB12" s="3991">
        <v>132894100</v>
      </c>
      <c r="AC12" s="3992">
        <f t="shared" si="2"/>
        <v>1522525900</v>
      </c>
      <c r="AD12" s="3992">
        <v>134837400</v>
      </c>
      <c r="AE12" s="3992">
        <v>126359700</v>
      </c>
      <c r="AF12" s="3992">
        <v>105446600</v>
      </c>
      <c r="AG12" s="3992">
        <v>89574200</v>
      </c>
      <c r="AH12" s="3992">
        <v>112728100</v>
      </c>
      <c r="AI12" s="3992">
        <v>123342400</v>
      </c>
      <c r="AJ12" s="3992">
        <v>137306600</v>
      </c>
      <c r="AK12" s="3992">
        <v>150763200</v>
      </c>
      <c r="AL12" s="3992">
        <v>129329400</v>
      </c>
      <c r="AM12" s="3992">
        <v>140575700</v>
      </c>
      <c r="AN12" s="3992">
        <v>144214800</v>
      </c>
      <c r="AO12" s="3993">
        <v>128047800</v>
      </c>
      <c r="AP12" s="3994">
        <f t="shared" si="3"/>
        <v>1844625300</v>
      </c>
      <c r="AQ12" s="3995">
        <v>115692800</v>
      </c>
      <c r="AR12" s="3995">
        <v>107159800</v>
      </c>
      <c r="AS12" s="3995">
        <v>126529900</v>
      </c>
      <c r="AT12" s="3995">
        <v>106529200</v>
      </c>
      <c r="AU12" s="3995">
        <v>112210000</v>
      </c>
      <c r="AV12" s="3995">
        <v>112063200</v>
      </c>
      <c r="AW12" s="3995">
        <v>133254800</v>
      </c>
      <c r="AX12" s="3995">
        <v>160971200</v>
      </c>
      <c r="AY12" s="3995">
        <v>171458200</v>
      </c>
      <c r="AZ12" s="3995">
        <v>215644600</v>
      </c>
      <c r="BA12" s="3995">
        <v>272062200</v>
      </c>
      <c r="BB12" s="3996">
        <v>211049400</v>
      </c>
      <c r="BC12" s="3984"/>
      <c r="BD12" s="3984"/>
      <c r="BE12" s="3984"/>
      <c r="BF12" s="3984"/>
      <c r="BG12" s="3985"/>
      <c r="BH12" s="3985"/>
      <c r="BI12" s="3985"/>
      <c r="BJ12" s="3985"/>
      <c r="BK12" s="3985"/>
      <c r="BL12" s="3985"/>
      <c r="BM12" s="3985"/>
      <c r="BN12" s="3985"/>
      <c r="BO12" s="3985"/>
      <c r="BP12" s="3985"/>
      <c r="BQ12" s="3985"/>
      <c r="BR12" s="3958"/>
      <c r="BS12" s="3984"/>
      <c r="BT12" s="3984"/>
      <c r="BU12" s="3984"/>
      <c r="BV12" s="3984"/>
      <c r="BW12" s="3984"/>
      <c r="BX12" s="3985"/>
      <c r="BY12" s="3986"/>
      <c r="BZ12" s="3986"/>
      <c r="CA12" s="3986"/>
      <c r="CB12" s="3986"/>
      <c r="CC12" s="3986"/>
      <c r="CD12" s="3986"/>
      <c r="CE12" s="3986"/>
      <c r="CF12" s="3986"/>
      <c r="CG12" s="3986"/>
      <c r="CH12" s="3986"/>
      <c r="CI12" s="3986"/>
      <c r="CJ12" s="3987"/>
      <c r="CK12" s="3988"/>
    </row>
    <row r="13" spans="1:89" s="3943" customFormat="1" ht="13.5" customHeight="1">
      <c r="A13" s="3997"/>
      <c r="B13" s="3998" t="s">
        <v>4729</v>
      </c>
      <c r="C13" s="3999">
        <f>SUM(C14:C15)</f>
        <v>871118980</v>
      </c>
      <c r="D13" s="3999">
        <f t="shared" ref="D13:BB13" si="4">SUM(D14:D15)</f>
        <v>83012030</v>
      </c>
      <c r="E13" s="3999">
        <f t="shared" si="4"/>
        <v>61364880</v>
      </c>
      <c r="F13" s="3999">
        <f t="shared" si="4"/>
        <v>65451370</v>
      </c>
      <c r="G13" s="3999">
        <f t="shared" si="4"/>
        <v>86316140</v>
      </c>
      <c r="H13" s="3999">
        <f t="shared" si="4"/>
        <v>71901410</v>
      </c>
      <c r="I13" s="3999">
        <f t="shared" si="4"/>
        <v>68466170</v>
      </c>
      <c r="J13" s="3999">
        <f t="shared" si="4"/>
        <v>74866700</v>
      </c>
      <c r="K13" s="3999">
        <f t="shared" si="4"/>
        <v>75922990</v>
      </c>
      <c r="L13" s="3999">
        <f t="shared" si="4"/>
        <v>62614760</v>
      </c>
      <c r="M13" s="3999">
        <f t="shared" si="4"/>
        <v>61234610</v>
      </c>
      <c r="N13" s="3999">
        <f t="shared" si="4"/>
        <v>73790540</v>
      </c>
      <c r="O13" s="3999">
        <f t="shared" si="4"/>
        <v>86177380</v>
      </c>
      <c r="P13" s="3999">
        <f t="shared" si="4"/>
        <v>947734340</v>
      </c>
      <c r="Q13" s="3999">
        <f t="shared" si="4"/>
        <v>76095200</v>
      </c>
      <c r="R13" s="3999">
        <f t="shared" si="4"/>
        <v>70043110</v>
      </c>
      <c r="S13" s="3999">
        <f t="shared" si="4"/>
        <v>79828590</v>
      </c>
      <c r="T13" s="3999">
        <f t="shared" si="4"/>
        <v>74790880</v>
      </c>
      <c r="U13" s="3999">
        <f t="shared" si="4"/>
        <v>80947130</v>
      </c>
      <c r="V13" s="3999">
        <f t="shared" si="4"/>
        <v>75781900</v>
      </c>
      <c r="W13" s="3999">
        <f t="shared" si="4"/>
        <v>71773520</v>
      </c>
      <c r="X13" s="3999">
        <f t="shared" si="4"/>
        <v>83330190</v>
      </c>
      <c r="Y13" s="3999">
        <f t="shared" si="4"/>
        <v>88591800</v>
      </c>
      <c r="Z13" s="3999">
        <f t="shared" si="4"/>
        <v>87975080</v>
      </c>
      <c r="AA13" s="3999">
        <f t="shared" si="4"/>
        <v>72067180</v>
      </c>
      <c r="AB13" s="3999">
        <f t="shared" si="4"/>
        <v>86509760</v>
      </c>
      <c r="AC13" s="3999">
        <f t="shared" si="4"/>
        <v>1036137960</v>
      </c>
      <c r="AD13" s="3999">
        <f t="shared" si="4"/>
        <v>86645780</v>
      </c>
      <c r="AE13" s="3999">
        <f t="shared" si="4"/>
        <v>96095460</v>
      </c>
      <c r="AF13" s="3999">
        <f t="shared" si="4"/>
        <v>119566860</v>
      </c>
      <c r="AG13" s="3999">
        <f t="shared" si="4"/>
        <v>81208730</v>
      </c>
      <c r="AH13" s="3999">
        <f t="shared" si="4"/>
        <v>84189550</v>
      </c>
      <c r="AI13" s="3999">
        <f t="shared" si="4"/>
        <v>77043330</v>
      </c>
      <c r="AJ13" s="3999">
        <f t="shared" si="4"/>
        <v>87305140</v>
      </c>
      <c r="AK13" s="3999">
        <f t="shared" si="4"/>
        <v>92574600</v>
      </c>
      <c r="AL13" s="3999">
        <f t="shared" si="4"/>
        <v>77653070</v>
      </c>
      <c r="AM13" s="3999">
        <f t="shared" si="4"/>
        <v>81381130</v>
      </c>
      <c r="AN13" s="3999">
        <f t="shared" si="4"/>
        <v>79124770</v>
      </c>
      <c r="AO13" s="3999">
        <f t="shared" si="4"/>
        <v>73349540</v>
      </c>
      <c r="AP13" s="4000">
        <f t="shared" si="4"/>
        <v>830949590</v>
      </c>
      <c r="AQ13" s="4001">
        <f t="shared" si="4"/>
        <v>76616010</v>
      </c>
      <c r="AR13" s="4001">
        <f t="shared" si="4"/>
        <v>63251400</v>
      </c>
      <c r="AS13" s="4001">
        <f t="shared" si="4"/>
        <v>74633920</v>
      </c>
      <c r="AT13" s="4001">
        <f t="shared" si="4"/>
        <v>68667740</v>
      </c>
      <c r="AU13" s="4001">
        <f t="shared" si="4"/>
        <v>79032180</v>
      </c>
      <c r="AV13" s="4001">
        <f t="shared" si="4"/>
        <v>61070060</v>
      </c>
      <c r="AW13" s="4001">
        <f t="shared" si="4"/>
        <v>73948440</v>
      </c>
      <c r="AX13" s="4001">
        <f t="shared" si="4"/>
        <v>61066330</v>
      </c>
      <c r="AY13" s="4001">
        <f t="shared" si="4"/>
        <v>63159400</v>
      </c>
      <c r="AZ13" s="4001">
        <f t="shared" si="4"/>
        <v>73777860</v>
      </c>
      <c r="BA13" s="4001">
        <f t="shared" si="4"/>
        <v>70204960</v>
      </c>
      <c r="BB13" s="4001">
        <f t="shared" si="4"/>
        <v>65521290</v>
      </c>
      <c r="BC13" s="4002"/>
      <c r="BD13" s="4002"/>
      <c r="BE13" s="4002"/>
      <c r="BF13" s="4002"/>
      <c r="BG13" s="3985"/>
      <c r="BH13" s="3985"/>
      <c r="BI13" s="3985"/>
      <c r="BJ13" s="3985"/>
      <c r="BK13" s="3985"/>
      <c r="BL13" s="3985"/>
      <c r="BM13" s="3985"/>
      <c r="BN13" s="3985"/>
      <c r="BO13" s="3985"/>
      <c r="BP13" s="3985"/>
      <c r="BQ13" s="3985"/>
      <c r="BR13" s="3985"/>
      <c r="BS13" s="4002"/>
      <c r="BT13" s="4002"/>
      <c r="BU13" s="4002"/>
      <c r="BV13" s="4002"/>
      <c r="BW13" s="4002"/>
      <c r="BX13" s="3975"/>
      <c r="BY13" s="3985"/>
      <c r="BZ13" s="3985"/>
      <c r="CA13" s="3985"/>
      <c r="CB13" s="3985"/>
      <c r="CC13" s="3985"/>
      <c r="CD13" s="3985"/>
      <c r="CE13" s="3985"/>
      <c r="CF13" s="3985"/>
      <c r="CG13" s="3985"/>
      <c r="CH13" s="3985"/>
      <c r="CI13" s="3985"/>
      <c r="CJ13" s="3985"/>
      <c r="CK13" s="3988"/>
    </row>
    <row r="14" spans="1:89" s="3943" customFormat="1" ht="13.5" customHeight="1" outlineLevel="1">
      <c r="A14" s="4003"/>
      <c r="B14" s="4004" t="s">
        <v>4730</v>
      </c>
      <c r="C14" s="3978">
        <f>SUM(D14:O14)</f>
        <v>697500200</v>
      </c>
      <c r="D14" s="3978">
        <v>54631510</v>
      </c>
      <c r="E14" s="3978">
        <v>50885100</v>
      </c>
      <c r="F14" s="3978">
        <v>59517090</v>
      </c>
      <c r="G14" s="3978">
        <v>50834460</v>
      </c>
      <c r="H14" s="3978">
        <v>56310230</v>
      </c>
      <c r="I14" s="3978">
        <v>64224950</v>
      </c>
      <c r="J14" s="3978">
        <v>69801370</v>
      </c>
      <c r="K14" s="3978">
        <v>60498250</v>
      </c>
      <c r="L14" s="3978">
        <v>55208200</v>
      </c>
      <c r="M14" s="3978">
        <v>52860360</v>
      </c>
      <c r="N14" s="3978">
        <v>56947400</v>
      </c>
      <c r="O14" s="3978">
        <v>65781280</v>
      </c>
      <c r="P14" s="3978">
        <f>SUM(Q14:AB14)</f>
        <v>811040980</v>
      </c>
      <c r="Q14" s="3978">
        <v>59181440</v>
      </c>
      <c r="R14" s="3978">
        <v>58564700</v>
      </c>
      <c r="S14" s="3978">
        <v>63815060</v>
      </c>
      <c r="T14" s="3978">
        <v>66423950</v>
      </c>
      <c r="U14" s="3978">
        <v>62932810</v>
      </c>
      <c r="V14" s="3978">
        <v>67255680</v>
      </c>
      <c r="W14" s="3978">
        <v>64282170</v>
      </c>
      <c r="X14" s="3978">
        <v>71774750</v>
      </c>
      <c r="Y14" s="3978">
        <v>76733500</v>
      </c>
      <c r="Z14" s="3978">
        <v>76155350</v>
      </c>
      <c r="AA14" s="3978">
        <v>66307240</v>
      </c>
      <c r="AB14" s="3978">
        <v>77614330</v>
      </c>
      <c r="AC14" s="4005">
        <f t="shared" si="2"/>
        <v>857986890</v>
      </c>
      <c r="AD14" s="4005">
        <v>68120970</v>
      </c>
      <c r="AE14" s="4005">
        <v>73783270</v>
      </c>
      <c r="AF14" s="4005">
        <v>75329050</v>
      </c>
      <c r="AG14" s="4005">
        <v>66947300</v>
      </c>
      <c r="AH14" s="4005">
        <v>73243060</v>
      </c>
      <c r="AI14" s="4005">
        <v>70671330</v>
      </c>
      <c r="AJ14" s="4005">
        <v>78185860</v>
      </c>
      <c r="AK14" s="4005">
        <v>85375180</v>
      </c>
      <c r="AL14" s="4005">
        <v>68658290</v>
      </c>
      <c r="AM14" s="4005">
        <v>67128000</v>
      </c>
      <c r="AN14" s="4005">
        <v>65226040</v>
      </c>
      <c r="AO14" s="4005">
        <v>65318540</v>
      </c>
      <c r="AP14" s="4006">
        <f t="shared" si="3"/>
        <v>757970740</v>
      </c>
      <c r="AQ14" s="4005">
        <v>71424600</v>
      </c>
      <c r="AR14" s="4005">
        <v>56089530</v>
      </c>
      <c r="AS14" s="4005">
        <v>69491440</v>
      </c>
      <c r="AT14" s="4005">
        <v>57140600</v>
      </c>
      <c r="AU14" s="4005">
        <v>72890000</v>
      </c>
      <c r="AV14" s="4005">
        <v>60976220</v>
      </c>
      <c r="AW14" s="4005">
        <v>64653700</v>
      </c>
      <c r="AX14" s="4005">
        <v>60028660</v>
      </c>
      <c r="AY14" s="4005">
        <v>60747080</v>
      </c>
      <c r="AZ14" s="4005">
        <v>71709110</v>
      </c>
      <c r="BA14" s="4005">
        <v>52082810</v>
      </c>
      <c r="BB14" s="4005">
        <v>60736990</v>
      </c>
      <c r="BC14" s="3984"/>
      <c r="BD14" s="3984"/>
      <c r="BE14" s="3984"/>
      <c r="BF14" s="3984"/>
      <c r="BG14" s="3985"/>
      <c r="BH14" s="3985"/>
      <c r="BI14" s="3985"/>
      <c r="BJ14" s="3985"/>
      <c r="BK14" s="3985"/>
      <c r="BL14" s="3985"/>
      <c r="BM14" s="3985"/>
      <c r="BN14" s="3985"/>
      <c r="BO14" s="3985"/>
      <c r="BP14" s="3985"/>
      <c r="BQ14" s="3985"/>
      <c r="BR14" s="3985"/>
      <c r="BS14" s="3984"/>
      <c r="BT14" s="3984"/>
      <c r="BU14" s="3984"/>
      <c r="BV14" s="3984"/>
      <c r="BW14" s="3984"/>
      <c r="BX14" s="3985"/>
      <c r="BY14" s="3985"/>
      <c r="BZ14" s="3985"/>
      <c r="CA14" s="3985"/>
      <c r="CB14" s="3985"/>
      <c r="CC14" s="3985"/>
      <c r="CD14" s="3985"/>
      <c r="CE14" s="3985"/>
      <c r="CF14" s="3985"/>
      <c r="CG14" s="3985"/>
      <c r="CH14" s="3985"/>
      <c r="CI14" s="3985"/>
      <c r="CJ14" s="3985"/>
      <c r="CK14" s="3945"/>
    </row>
    <row r="15" spans="1:89" s="3943" customFormat="1" ht="13.5" customHeight="1" outlineLevel="1">
      <c r="A15" s="4007"/>
      <c r="B15" s="4008" t="s">
        <v>4731</v>
      </c>
      <c r="C15" s="3991">
        <f>SUM(D15:O15)</f>
        <v>173618780</v>
      </c>
      <c r="D15" s="3951">
        <v>28380520</v>
      </c>
      <c r="E15" s="3951">
        <v>10479780</v>
      </c>
      <c r="F15" s="3951">
        <v>5934280</v>
      </c>
      <c r="G15" s="3951">
        <v>35481680</v>
      </c>
      <c r="H15" s="3951">
        <v>15591180</v>
      </c>
      <c r="I15" s="3951">
        <v>4241220</v>
      </c>
      <c r="J15" s="3951">
        <v>5065330</v>
      </c>
      <c r="K15" s="3951">
        <v>15424740</v>
      </c>
      <c r="L15" s="3951">
        <v>7406560</v>
      </c>
      <c r="M15" s="3951">
        <v>8374250</v>
      </c>
      <c r="N15" s="3951">
        <v>16843140</v>
      </c>
      <c r="O15" s="3951">
        <v>20396100</v>
      </c>
      <c r="P15" s="3991">
        <f>SUM(Q15:AB15)</f>
        <v>136693360</v>
      </c>
      <c r="Q15" s="3951">
        <v>16913760</v>
      </c>
      <c r="R15" s="3951">
        <v>11478410</v>
      </c>
      <c r="S15" s="3951">
        <v>16013530</v>
      </c>
      <c r="T15" s="3951">
        <v>8366930</v>
      </c>
      <c r="U15" s="3951">
        <v>18014320</v>
      </c>
      <c r="V15" s="3951">
        <v>8526220</v>
      </c>
      <c r="W15" s="3951">
        <v>7491350</v>
      </c>
      <c r="X15" s="3951">
        <v>11555440</v>
      </c>
      <c r="Y15" s="3951">
        <v>11858300</v>
      </c>
      <c r="Z15" s="3951">
        <v>11819730</v>
      </c>
      <c r="AA15" s="3951">
        <v>5759940</v>
      </c>
      <c r="AB15" s="3951">
        <v>8895430</v>
      </c>
      <c r="AC15" s="4009">
        <f t="shared" si="2"/>
        <v>178151070</v>
      </c>
      <c r="AD15" s="4009">
        <v>18524810</v>
      </c>
      <c r="AE15" s="4009">
        <v>22312190</v>
      </c>
      <c r="AF15" s="4009">
        <v>44237810</v>
      </c>
      <c r="AG15" s="4009">
        <v>14261430</v>
      </c>
      <c r="AH15" s="4009">
        <v>10946490</v>
      </c>
      <c r="AI15" s="4009">
        <v>6372000</v>
      </c>
      <c r="AJ15" s="4009">
        <v>9119280</v>
      </c>
      <c r="AK15" s="4009">
        <v>7199420</v>
      </c>
      <c r="AL15" s="4009">
        <v>8994780</v>
      </c>
      <c r="AM15" s="4009">
        <v>14253130</v>
      </c>
      <c r="AN15" s="4009">
        <v>13898730</v>
      </c>
      <c r="AO15" s="4009">
        <v>8031000</v>
      </c>
      <c r="AP15" s="4010">
        <f t="shared" si="3"/>
        <v>72978850</v>
      </c>
      <c r="AQ15" s="4009">
        <v>5191410</v>
      </c>
      <c r="AR15" s="4009">
        <v>7161870</v>
      </c>
      <c r="AS15" s="4009">
        <v>5142480</v>
      </c>
      <c r="AT15" s="4009">
        <v>11527140</v>
      </c>
      <c r="AU15" s="4009">
        <v>6142180</v>
      </c>
      <c r="AV15" s="4009">
        <v>93840</v>
      </c>
      <c r="AW15" s="4009">
        <v>9294740</v>
      </c>
      <c r="AX15" s="4009">
        <v>1037670</v>
      </c>
      <c r="AY15" s="4009">
        <v>2412320</v>
      </c>
      <c r="AZ15" s="4009">
        <v>2068750</v>
      </c>
      <c r="BA15" s="4009">
        <v>18122150</v>
      </c>
      <c r="BB15" s="4009">
        <v>4784300</v>
      </c>
      <c r="BC15" s="3984"/>
      <c r="BD15" s="3984"/>
      <c r="BE15" s="3984"/>
      <c r="BF15" s="3984"/>
      <c r="BG15" s="3985"/>
      <c r="BH15" s="3985"/>
      <c r="BI15" s="3985"/>
      <c r="BJ15" s="3985"/>
      <c r="BK15" s="3985"/>
      <c r="BL15" s="3985"/>
      <c r="BM15" s="3985"/>
      <c r="BN15" s="3985"/>
      <c r="BO15" s="3985"/>
      <c r="BP15" s="3985"/>
      <c r="BQ15" s="3985"/>
      <c r="BR15" s="3985"/>
      <c r="BS15" s="3984"/>
      <c r="BT15" s="3984"/>
      <c r="BU15" s="3984"/>
      <c r="BV15" s="3984"/>
      <c r="BW15" s="3984"/>
      <c r="BX15" s="3985"/>
      <c r="BY15" s="3985"/>
      <c r="BZ15" s="3985"/>
      <c r="CA15" s="3985"/>
      <c r="CB15" s="3985"/>
      <c r="CC15" s="3985"/>
      <c r="CD15" s="3985"/>
      <c r="CE15" s="3985"/>
      <c r="CF15" s="3985"/>
      <c r="CG15" s="3985"/>
      <c r="CH15" s="3985"/>
      <c r="CI15" s="3985"/>
      <c r="CJ15" s="3985"/>
      <c r="CK15" s="3945"/>
    </row>
    <row r="16" spans="1:89" s="3942" customFormat="1" ht="13.5" customHeight="1">
      <c r="A16" s="4011"/>
      <c r="B16" s="4012" t="s">
        <v>4732</v>
      </c>
      <c r="C16" s="3999">
        <f>SUM(D16:O16)</f>
        <v>21540520</v>
      </c>
      <c r="D16" s="4013">
        <v>1965040</v>
      </c>
      <c r="E16" s="4013">
        <v>1305080</v>
      </c>
      <c r="F16" s="4013">
        <v>1588760</v>
      </c>
      <c r="G16" s="4013">
        <v>1337160</v>
      </c>
      <c r="H16" s="4013">
        <v>1281780</v>
      </c>
      <c r="I16" s="4013">
        <v>1899800</v>
      </c>
      <c r="J16" s="4013">
        <v>1423140</v>
      </c>
      <c r="K16" s="4013">
        <v>2149100</v>
      </c>
      <c r="L16" s="4013">
        <v>1419380</v>
      </c>
      <c r="M16" s="4013">
        <v>3056900</v>
      </c>
      <c r="N16" s="4013">
        <v>1854060</v>
      </c>
      <c r="O16" s="4013">
        <v>2260320</v>
      </c>
      <c r="P16" s="3999">
        <f>SUM(Q16:AB16)</f>
        <v>20915560</v>
      </c>
      <c r="Q16" s="4013">
        <v>1643900</v>
      </c>
      <c r="R16" s="4013">
        <v>541780</v>
      </c>
      <c r="S16" s="4013">
        <v>3601940</v>
      </c>
      <c r="T16" s="4013">
        <v>1972020</v>
      </c>
      <c r="U16" s="4013">
        <v>2067000</v>
      </c>
      <c r="V16" s="4013">
        <v>1307120</v>
      </c>
      <c r="W16" s="4013">
        <v>2270820</v>
      </c>
      <c r="X16" s="4013">
        <v>692580</v>
      </c>
      <c r="Y16" s="4013">
        <v>818400</v>
      </c>
      <c r="Z16" s="4013">
        <v>2000000</v>
      </c>
      <c r="AA16" s="4013">
        <v>2000000</v>
      </c>
      <c r="AB16" s="4013">
        <v>2000000</v>
      </c>
      <c r="AC16" s="4014">
        <f t="shared" si="2"/>
        <v>41002555</v>
      </c>
      <c r="AD16" s="4014">
        <v>2000000</v>
      </c>
      <c r="AE16" s="4014">
        <v>4705697</v>
      </c>
      <c r="AF16" s="4014">
        <v>7371358</v>
      </c>
      <c r="AG16" s="4014">
        <v>5651326</v>
      </c>
      <c r="AH16" s="4014">
        <v>3758019</v>
      </c>
      <c r="AI16" s="4014">
        <v>2000000</v>
      </c>
      <c r="AJ16" s="4014">
        <v>2000000</v>
      </c>
      <c r="AK16" s="4014">
        <v>2201685</v>
      </c>
      <c r="AL16" s="4014">
        <v>4528545</v>
      </c>
      <c r="AM16" s="4014">
        <v>2000000</v>
      </c>
      <c r="AN16" s="4014">
        <v>2785925</v>
      </c>
      <c r="AO16" s="4014">
        <v>2000000</v>
      </c>
      <c r="AP16" s="4015">
        <f t="shared" si="3"/>
        <v>27854049</v>
      </c>
      <c r="AQ16" s="4014">
        <v>2301328</v>
      </c>
      <c r="AR16" s="4014">
        <v>2000000</v>
      </c>
      <c r="AS16" s="4014">
        <v>2000000</v>
      </c>
      <c r="AT16" s="4014">
        <v>5552721</v>
      </c>
      <c r="AU16" s="4014">
        <v>2000000</v>
      </c>
      <c r="AV16" s="4014">
        <v>2000000</v>
      </c>
      <c r="AW16" s="4014">
        <v>2000000</v>
      </c>
      <c r="AX16" s="4014">
        <v>2000000</v>
      </c>
      <c r="AY16" s="4014">
        <v>2000000</v>
      </c>
      <c r="AZ16" s="4014">
        <v>2000000</v>
      </c>
      <c r="BA16" s="4014">
        <v>2000000</v>
      </c>
      <c r="BB16" s="4014">
        <v>2000000</v>
      </c>
      <c r="BC16" s="4002"/>
      <c r="BD16" s="4002"/>
      <c r="BE16" s="4002"/>
      <c r="BF16" s="4002"/>
      <c r="BG16" s="3975"/>
      <c r="BH16" s="3975"/>
      <c r="BI16" s="3975"/>
      <c r="BJ16" s="3975"/>
      <c r="BK16" s="3975"/>
      <c r="BL16" s="3975"/>
      <c r="BM16" s="3975"/>
      <c r="BN16" s="3975"/>
      <c r="BO16" s="3975"/>
      <c r="BP16" s="3975"/>
      <c r="BQ16" s="3975"/>
      <c r="BR16" s="3975"/>
      <c r="BS16" s="4002"/>
      <c r="BT16" s="4002"/>
      <c r="BU16" s="4002"/>
      <c r="BV16" s="4002"/>
      <c r="BW16" s="4002"/>
      <c r="BX16" s="3975"/>
      <c r="BY16" s="3975"/>
      <c r="BZ16" s="3975"/>
      <c r="CA16" s="3975"/>
      <c r="CB16" s="3975"/>
      <c r="CC16" s="3975"/>
      <c r="CD16" s="3975"/>
      <c r="CE16" s="3975"/>
      <c r="CF16" s="3975"/>
      <c r="CG16" s="3975"/>
      <c r="CH16" s="3975"/>
      <c r="CI16" s="3975"/>
      <c r="CJ16" s="3975"/>
      <c r="CK16" s="4016"/>
    </row>
    <row r="17" spans="1:89" s="3943" customFormat="1" ht="13.5" customHeight="1">
      <c r="A17" s="4017"/>
      <c r="B17" s="4018" t="s">
        <v>4733</v>
      </c>
      <c r="C17" s="3972">
        <f>SUM(C18,C19,C23,C28:C30)</f>
        <v>3126327020</v>
      </c>
      <c r="D17" s="3972">
        <f t="shared" ref="D17:BB17" si="5">SUM(D18,D19,D23,D28:D30)</f>
        <v>267454290</v>
      </c>
      <c r="E17" s="3972">
        <f t="shared" si="5"/>
        <v>265200170</v>
      </c>
      <c r="F17" s="3972">
        <f t="shared" si="5"/>
        <v>259388010</v>
      </c>
      <c r="G17" s="3972">
        <f t="shared" si="5"/>
        <v>265049210</v>
      </c>
      <c r="H17" s="3972">
        <f t="shared" si="5"/>
        <v>264135770</v>
      </c>
      <c r="I17" s="3972">
        <f t="shared" si="5"/>
        <v>245426540</v>
      </c>
      <c r="J17" s="3972">
        <f t="shared" si="5"/>
        <v>244136420</v>
      </c>
      <c r="K17" s="3972">
        <f t="shared" si="5"/>
        <v>264004320</v>
      </c>
      <c r="L17" s="3972">
        <f t="shared" si="5"/>
        <v>262441230</v>
      </c>
      <c r="M17" s="3972">
        <f t="shared" si="5"/>
        <v>263252000</v>
      </c>
      <c r="N17" s="3972">
        <f t="shared" si="5"/>
        <v>263079080</v>
      </c>
      <c r="O17" s="3972">
        <f t="shared" si="5"/>
        <v>262759980</v>
      </c>
      <c r="P17" s="3972">
        <f t="shared" si="5"/>
        <v>2885724200</v>
      </c>
      <c r="Q17" s="3972">
        <f t="shared" si="5"/>
        <v>254734000</v>
      </c>
      <c r="R17" s="3972">
        <f t="shared" si="5"/>
        <v>251614000</v>
      </c>
      <c r="S17" s="3972">
        <f t="shared" si="5"/>
        <v>251614000</v>
      </c>
      <c r="T17" s="3972">
        <f t="shared" si="5"/>
        <v>254350000</v>
      </c>
      <c r="U17" s="3972">
        <f t="shared" si="5"/>
        <v>230146000</v>
      </c>
      <c r="V17" s="3972">
        <f t="shared" si="5"/>
        <v>242882400</v>
      </c>
      <c r="W17" s="3972">
        <f t="shared" si="5"/>
        <v>228514000</v>
      </c>
      <c r="X17" s="3972">
        <f t="shared" si="5"/>
        <v>229737800</v>
      </c>
      <c r="Y17" s="3972">
        <f t="shared" si="5"/>
        <v>243598000</v>
      </c>
      <c r="Z17" s="3972">
        <f t="shared" si="5"/>
        <v>227818000</v>
      </c>
      <c r="AA17" s="3972">
        <f t="shared" si="5"/>
        <v>227818000</v>
      </c>
      <c r="AB17" s="3972">
        <f t="shared" si="5"/>
        <v>242898000</v>
      </c>
      <c r="AC17" s="3972">
        <f t="shared" si="5"/>
        <v>2640746400</v>
      </c>
      <c r="AD17" s="3972">
        <f t="shared" si="5"/>
        <v>214996000</v>
      </c>
      <c r="AE17" s="3972">
        <f t="shared" si="5"/>
        <v>212356000</v>
      </c>
      <c r="AF17" s="3972">
        <f t="shared" si="5"/>
        <v>231936000</v>
      </c>
      <c r="AG17" s="3972">
        <f t="shared" si="5"/>
        <v>216786800</v>
      </c>
      <c r="AH17" s="3972">
        <f t="shared" si="5"/>
        <v>217188000</v>
      </c>
      <c r="AI17" s="3972">
        <f t="shared" si="5"/>
        <v>232668000</v>
      </c>
      <c r="AJ17" s="3972">
        <f t="shared" si="5"/>
        <v>217188000</v>
      </c>
      <c r="AK17" s="3972">
        <f t="shared" si="5"/>
        <v>218060000</v>
      </c>
      <c r="AL17" s="3972">
        <f t="shared" si="5"/>
        <v>229800000</v>
      </c>
      <c r="AM17" s="3972">
        <f t="shared" si="5"/>
        <v>215983600</v>
      </c>
      <c r="AN17" s="3972">
        <f t="shared" si="5"/>
        <v>215520000</v>
      </c>
      <c r="AO17" s="3972">
        <f t="shared" si="5"/>
        <v>218264000</v>
      </c>
      <c r="AP17" s="3973">
        <f t="shared" si="5"/>
        <v>2724635200</v>
      </c>
      <c r="AQ17" s="3974">
        <f t="shared" si="5"/>
        <v>230054000</v>
      </c>
      <c r="AR17" s="3974">
        <f t="shared" si="5"/>
        <v>230517200</v>
      </c>
      <c r="AS17" s="3974">
        <f t="shared" si="5"/>
        <v>228098000</v>
      </c>
      <c r="AT17" s="3974">
        <f t="shared" si="5"/>
        <v>227820800</v>
      </c>
      <c r="AU17" s="3974">
        <f t="shared" si="5"/>
        <v>226999200</v>
      </c>
      <c r="AV17" s="3974">
        <f t="shared" si="5"/>
        <v>226778000</v>
      </c>
      <c r="AW17" s="3974">
        <f t="shared" si="5"/>
        <v>225938000</v>
      </c>
      <c r="AX17" s="3974">
        <f t="shared" si="5"/>
        <v>227638000</v>
      </c>
      <c r="AY17" s="3974">
        <f t="shared" si="5"/>
        <v>224298000</v>
      </c>
      <c r="AZ17" s="3974">
        <f t="shared" si="5"/>
        <v>224298000</v>
      </c>
      <c r="BA17" s="3974">
        <f t="shared" si="5"/>
        <v>224298000</v>
      </c>
      <c r="BB17" s="3974">
        <f t="shared" si="5"/>
        <v>227898000</v>
      </c>
      <c r="BC17" s="3968"/>
      <c r="BD17" s="3968"/>
      <c r="BE17" s="3968"/>
      <c r="BF17" s="3968"/>
      <c r="BG17" s="3957"/>
      <c r="BH17" s="3957"/>
      <c r="BI17" s="3957"/>
      <c r="BJ17" s="3957"/>
      <c r="BK17" s="3957"/>
      <c r="BL17" s="3957"/>
      <c r="BM17" s="3957"/>
      <c r="BN17" s="3957"/>
      <c r="BO17" s="3957"/>
      <c r="BP17" s="3957"/>
      <c r="BQ17" s="3957"/>
      <c r="BR17" s="3957"/>
      <c r="BS17" s="4002"/>
      <c r="BT17" s="3968"/>
      <c r="BU17" s="3968"/>
      <c r="BV17" s="3968"/>
      <c r="BW17" s="3968"/>
      <c r="BX17" s="3975"/>
      <c r="BY17" s="3957"/>
      <c r="BZ17" s="3957"/>
      <c r="CA17" s="3957"/>
      <c r="CB17" s="3957"/>
      <c r="CC17" s="3957"/>
      <c r="CD17" s="3957"/>
      <c r="CE17" s="3957"/>
      <c r="CF17" s="3957"/>
      <c r="CG17" s="3957"/>
      <c r="CH17" s="3957"/>
      <c r="CI17" s="3957"/>
      <c r="CJ17" s="3957"/>
      <c r="CK17" s="3945"/>
    </row>
    <row r="18" spans="1:89" s="3943" customFormat="1" ht="13.5" customHeight="1">
      <c r="A18" s="4019"/>
      <c r="B18" s="4004" t="s">
        <v>4734</v>
      </c>
      <c r="C18" s="3978">
        <f>SUM(D18:O18)</f>
        <v>2002100000</v>
      </c>
      <c r="D18" s="3978">
        <v>170300000</v>
      </c>
      <c r="E18" s="3978">
        <v>170300000</v>
      </c>
      <c r="F18" s="3978">
        <v>160400000</v>
      </c>
      <c r="G18" s="3978">
        <v>167600000</v>
      </c>
      <c r="H18" s="3978">
        <v>167600000</v>
      </c>
      <c r="I18" s="3978">
        <v>167300000</v>
      </c>
      <c r="J18" s="3978">
        <v>167000000</v>
      </c>
      <c r="K18" s="3978">
        <v>167000000</v>
      </c>
      <c r="L18" s="3978">
        <v>167000000</v>
      </c>
      <c r="M18" s="3978">
        <v>167300000</v>
      </c>
      <c r="N18" s="3978">
        <v>167300000</v>
      </c>
      <c r="O18" s="3978">
        <v>163000000</v>
      </c>
      <c r="P18" s="3978">
        <f>SUM(Q18:AB18)</f>
        <v>2001800000</v>
      </c>
      <c r="Q18" s="3978">
        <v>167000000</v>
      </c>
      <c r="R18" s="3978">
        <v>167000000</v>
      </c>
      <c r="S18" s="3978">
        <v>167000000</v>
      </c>
      <c r="T18" s="3978">
        <v>167000000</v>
      </c>
      <c r="U18" s="3978">
        <v>167900000</v>
      </c>
      <c r="V18" s="3978">
        <v>167000000</v>
      </c>
      <c r="W18" s="3978">
        <v>167600000</v>
      </c>
      <c r="X18" s="3978">
        <v>167000000</v>
      </c>
      <c r="Y18" s="3978">
        <v>167300000</v>
      </c>
      <c r="Z18" s="3978">
        <v>167000000</v>
      </c>
      <c r="AA18" s="3978">
        <v>167000000</v>
      </c>
      <c r="AB18" s="3978">
        <v>163000000</v>
      </c>
      <c r="AC18" s="4020">
        <f t="shared" si="2"/>
        <v>2000000000</v>
      </c>
      <c r="AD18" s="4020">
        <v>167000000</v>
      </c>
      <c r="AE18" s="4020">
        <v>167000000</v>
      </c>
      <c r="AF18" s="4020">
        <v>167000000</v>
      </c>
      <c r="AG18" s="4020">
        <v>167000000</v>
      </c>
      <c r="AH18" s="4020">
        <v>167000000</v>
      </c>
      <c r="AI18" s="4020">
        <v>167000000</v>
      </c>
      <c r="AJ18" s="4020">
        <v>167000000</v>
      </c>
      <c r="AK18" s="4020">
        <v>167000000</v>
      </c>
      <c r="AL18" s="4020">
        <v>167000000</v>
      </c>
      <c r="AM18" s="4020">
        <v>167000000</v>
      </c>
      <c r="AN18" s="4020">
        <v>167000000</v>
      </c>
      <c r="AO18" s="4021">
        <v>163000000</v>
      </c>
      <c r="AP18" s="4022">
        <f t="shared" si="3"/>
        <v>2100000000</v>
      </c>
      <c r="AQ18" s="4020">
        <v>175000000</v>
      </c>
      <c r="AR18" s="4020">
        <v>175000000</v>
      </c>
      <c r="AS18" s="4020">
        <v>175000000</v>
      </c>
      <c r="AT18" s="4020">
        <v>175000000</v>
      </c>
      <c r="AU18" s="4020">
        <v>175000000</v>
      </c>
      <c r="AV18" s="4020">
        <v>175000000</v>
      </c>
      <c r="AW18" s="4020">
        <v>175000000</v>
      </c>
      <c r="AX18" s="4020">
        <v>175000000</v>
      </c>
      <c r="AY18" s="4020">
        <v>175000000</v>
      </c>
      <c r="AZ18" s="4020">
        <v>175000000</v>
      </c>
      <c r="BA18" s="4020">
        <v>175000000</v>
      </c>
      <c r="BB18" s="4021">
        <v>175000000</v>
      </c>
      <c r="BC18" s="3984"/>
      <c r="BD18" s="3984"/>
      <c r="BE18" s="3984"/>
      <c r="BF18" s="3984"/>
      <c r="BG18" s="3984"/>
      <c r="BH18" s="3984"/>
      <c r="BI18" s="3984"/>
      <c r="BJ18" s="3984"/>
      <c r="BK18" s="3984"/>
      <c r="BL18" s="3984"/>
      <c r="BM18" s="3984"/>
      <c r="BN18" s="3984"/>
      <c r="BO18" s="3984"/>
      <c r="BP18" s="3984"/>
      <c r="BQ18" s="3984"/>
      <c r="BR18" s="3957"/>
      <c r="BS18" s="4002"/>
      <c r="BT18" s="3984"/>
      <c r="BU18" s="3984"/>
      <c r="BV18" s="3984"/>
      <c r="BW18" s="3984"/>
      <c r="BX18" s="3985"/>
      <c r="BY18" s="3984"/>
      <c r="BZ18" s="3984"/>
      <c r="CA18" s="3984"/>
      <c r="CB18" s="3984"/>
      <c r="CC18" s="3984"/>
      <c r="CD18" s="3984"/>
      <c r="CE18" s="3984"/>
      <c r="CF18" s="3984"/>
      <c r="CG18" s="3984"/>
      <c r="CH18" s="3984"/>
      <c r="CI18" s="3984"/>
      <c r="CJ18" s="3957"/>
      <c r="CK18" s="3945"/>
    </row>
    <row r="19" spans="1:89" s="3943" customFormat="1" ht="13.5" customHeight="1">
      <c r="A19" s="4019"/>
      <c r="B19" s="4023" t="s">
        <v>4735</v>
      </c>
      <c r="C19" s="4024">
        <f>SUM(C20:C22)</f>
        <v>290457880</v>
      </c>
      <c r="D19" s="4024">
        <f t="shared" ref="D19:BB19" si="6">SUM(D20:D22)</f>
        <v>26236000</v>
      </c>
      <c r="E19" s="4024">
        <f t="shared" si="6"/>
        <v>26236000</v>
      </c>
      <c r="F19" s="4024">
        <f t="shared" si="6"/>
        <v>29011480</v>
      </c>
      <c r="G19" s="4024">
        <f t="shared" si="6"/>
        <v>28246400</v>
      </c>
      <c r="H19" s="4024">
        <f t="shared" si="6"/>
        <v>26632000</v>
      </c>
      <c r="I19" s="4024">
        <f t="shared" si="6"/>
        <v>7632000</v>
      </c>
      <c r="J19" s="4024">
        <f t="shared" si="6"/>
        <v>7632000</v>
      </c>
      <c r="K19" s="4024">
        <f t="shared" si="6"/>
        <v>28332000</v>
      </c>
      <c r="L19" s="4024">
        <f t="shared" si="6"/>
        <v>26632000</v>
      </c>
      <c r="M19" s="4024">
        <f t="shared" si="6"/>
        <v>26908000</v>
      </c>
      <c r="N19" s="4024">
        <f t="shared" si="6"/>
        <v>26680000</v>
      </c>
      <c r="O19" s="4024">
        <f t="shared" si="6"/>
        <v>30280000</v>
      </c>
      <c r="P19" s="4024">
        <f t="shared" si="6"/>
        <v>359596200</v>
      </c>
      <c r="Q19" s="4024">
        <f t="shared" si="6"/>
        <v>29800000</v>
      </c>
      <c r="R19" s="4024">
        <f t="shared" si="6"/>
        <v>26680000</v>
      </c>
      <c r="S19" s="4024">
        <f t="shared" si="6"/>
        <v>26680000</v>
      </c>
      <c r="T19" s="4024">
        <f t="shared" si="6"/>
        <v>29416000</v>
      </c>
      <c r="U19" s="4024">
        <f t="shared" si="6"/>
        <v>25672000</v>
      </c>
      <c r="V19" s="4024">
        <f t="shared" si="6"/>
        <v>39308400</v>
      </c>
      <c r="W19" s="4024">
        <f t="shared" si="6"/>
        <v>24340000</v>
      </c>
      <c r="X19" s="4024">
        <f t="shared" si="6"/>
        <v>26163800</v>
      </c>
      <c r="Y19" s="4024">
        <f t="shared" si="6"/>
        <v>39724000</v>
      </c>
      <c r="Z19" s="4024">
        <f t="shared" si="6"/>
        <v>24244000</v>
      </c>
      <c r="AA19" s="4024">
        <f t="shared" si="6"/>
        <v>24244000</v>
      </c>
      <c r="AB19" s="4024">
        <f t="shared" si="6"/>
        <v>43324000</v>
      </c>
      <c r="AC19" s="4024">
        <f t="shared" si="6"/>
        <v>346006400</v>
      </c>
      <c r="AD19" s="4024">
        <f t="shared" si="6"/>
        <v>26884000</v>
      </c>
      <c r="AE19" s="4024">
        <f t="shared" si="6"/>
        <v>24244000</v>
      </c>
      <c r="AF19" s="4024">
        <f t="shared" si="6"/>
        <v>39724000</v>
      </c>
      <c r="AG19" s="4024">
        <f t="shared" si="6"/>
        <v>24574800</v>
      </c>
      <c r="AH19" s="4024">
        <f t="shared" si="6"/>
        <v>24976000</v>
      </c>
      <c r="AI19" s="4024">
        <f t="shared" si="6"/>
        <v>40456000</v>
      </c>
      <c r="AJ19" s="4024">
        <f t="shared" si="6"/>
        <v>24976000</v>
      </c>
      <c r="AK19" s="4024">
        <f t="shared" si="6"/>
        <v>25848000</v>
      </c>
      <c r="AL19" s="4024">
        <f t="shared" si="6"/>
        <v>37588000</v>
      </c>
      <c r="AM19" s="4024">
        <f t="shared" si="6"/>
        <v>23639600</v>
      </c>
      <c r="AN19" s="4024">
        <f t="shared" si="6"/>
        <v>23176000</v>
      </c>
      <c r="AO19" s="4024">
        <f t="shared" si="6"/>
        <v>29920000</v>
      </c>
      <c r="AP19" s="4025">
        <f t="shared" si="6"/>
        <v>327067200</v>
      </c>
      <c r="AQ19" s="4026">
        <f t="shared" si="6"/>
        <v>29710000</v>
      </c>
      <c r="AR19" s="4026">
        <f t="shared" si="6"/>
        <v>30173200</v>
      </c>
      <c r="AS19" s="4026">
        <f t="shared" si="6"/>
        <v>27754000</v>
      </c>
      <c r="AT19" s="4026">
        <f t="shared" si="6"/>
        <v>27476800</v>
      </c>
      <c r="AU19" s="4026">
        <f t="shared" si="6"/>
        <v>26655200</v>
      </c>
      <c r="AV19" s="4026">
        <f t="shared" si="6"/>
        <v>26434000</v>
      </c>
      <c r="AW19" s="4026">
        <f t="shared" si="6"/>
        <v>25594000</v>
      </c>
      <c r="AX19" s="4026">
        <f t="shared" si="6"/>
        <v>27294000</v>
      </c>
      <c r="AY19" s="4026">
        <f t="shared" si="6"/>
        <v>25594000</v>
      </c>
      <c r="AZ19" s="4026">
        <f t="shared" si="6"/>
        <v>25594000</v>
      </c>
      <c r="BA19" s="4026">
        <f t="shared" si="6"/>
        <v>25594000</v>
      </c>
      <c r="BB19" s="4026">
        <f t="shared" si="6"/>
        <v>29194000</v>
      </c>
      <c r="BC19" s="3984"/>
      <c r="BD19" s="3984"/>
      <c r="BE19" s="3984"/>
      <c r="BF19" s="3984"/>
      <c r="BG19" s="3984"/>
      <c r="BH19" s="3984"/>
      <c r="BI19" s="3984"/>
      <c r="BJ19" s="3984"/>
      <c r="BK19" s="3984"/>
      <c r="BL19" s="3984"/>
      <c r="BM19" s="3984"/>
      <c r="BN19" s="3984"/>
      <c r="BO19" s="3984"/>
      <c r="BP19" s="3984"/>
      <c r="BQ19" s="3984"/>
      <c r="BR19" s="3957"/>
      <c r="BS19" s="4002"/>
      <c r="BT19" s="3984"/>
      <c r="BU19" s="3984"/>
      <c r="BV19" s="3984"/>
      <c r="BW19" s="3984"/>
      <c r="BX19" s="3985"/>
      <c r="BY19" s="3984"/>
      <c r="BZ19" s="3984"/>
      <c r="CA19" s="3984"/>
      <c r="CB19" s="3984"/>
      <c r="CC19" s="3984"/>
      <c r="CD19" s="3984"/>
      <c r="CE19" s="3984"/>
      <c r="CF19" s="3984"/>
      <c r="CG19" s="3984"/>
      <c r="CH19" s="3984"/>
      <c r="CI19" s="3984"/>
      <c r="CJ19" s="3957"/>
      <c r="CK19" s="3945"/>
    </row>
    <row r="20" spans="1:89" s="3943" customFormat="1" ht="13.5" customHeight="1" outlineLevel="1">
      <c r="A20" s="3989"/>
      <c r="B20" s="4027" t="s">
        <v>4736</v>
      </c>
      <c r="C20" s="4024">
        <f t="shared" ref="C20:C27" si="7">SUM(D20:O20)</f>
        <v>96857880</v>
      </c>
      <c r="D20" s="4024">
        <v>6936000</v>
      </c>
      <c r="E20" s="4024">
        <v>6936000</v>
      </c>
      <c r="F20" s="4024">
        <v>9711480</v>
      </c>
      <c r="G20" s="4024">
        <v>8946400</v>
      </c>
      <c r="H20" s="4024">
        <v>7332000</v>
      </c>
      <c r="I20" s="4024">
        <v>7332000</v>
      </c>
      <c r="J20" s="4024">
        <v>7332000</v>
      </c>
      <c r="K20" s="4024">
        <v>9032000</v>
      </c>
      <c r="L20" s="4024">
        <v>7332000</v>
      </c>
      <c r="M20" s="4024">
        <v>7608000</v>
      </c>
      <c r="N20" s="4024">
        <v>7380000</v>
      </c>
      <c r="O20" s="4024">
        <v>10980000</v>
      </c>
      <c r="P20" s="4024">
        <f t="shared" ref="P20:P22" si="8">SUM(Q20:AB20)</f>
        <v>127996200</v>
      </c>
      <c r="Q20" s="4024">
        <v>10500000</v>
      </c>
      <c r="R20" s="4024">
        <v>7380000</v>
      </c>
      <c r="S20" s="4024">
        <v>7380000</v>
      </c>
      <c r="T20" s="4024">
        <v>10116000</v>
      </c>
      <c r="U20" s="4024">
        <v>6372000</v>
      </c>
      <c r="V20" s="4024">
        <v>20008400</v>
      </c>
      <c r="W20" s="4024">
        <v>5040000</v>
      </c>
      <c r="X20" s="4024">
        <v>6863800</v>
      </c>
      <c r="Y20" s="4024">
        <v>20424000</v>
      </c>
      <c r="Z20" s="4024">
        <v>4944000</v>
      </c>
      <c r="AA20" s="4024">
        <v>4944000</v>
      </c>
      <c r="AB20" s="4024">
        <v>24024000</v>
      </c>
      <c r="AC20" s="4028">
        <f t="shared" si="2"/>
        <v>111536000</v>
      </c>
      <c r="AD20" s="4028">
        <v>7584000</v>
      </c>
      <c r="AE20" s="4028">
        <v>4944000</v>
      </c>
      <c r="AF20" s="4028">
        <v>20424000</v>
      </c>
      <c r="AG20" s="4028">
        <v>5040800</v>
      </c>
      <c r="AH20" s="4028">
        <v>5208000</v>
      </c>
      <c r="AI20" s="4028">
        <v>20688000</v>
      </c>
      <c r="AJ20" s="4028">
        <v>5208000</v>
      </c>
      <c r="AK20" s="4028">
        <v>6080000</v>
      </c>
      <c r="AL20" s="4028">
        <v>17820000</v>
      </c>
      <c r="AM20" s="4028">
        <v>4043200</v>
      </c>
      <c r="AN20" s="4028">
        <v>3876000</v>
      </c>
      <c r="AO20" s="4029">
        <v>10620000</v>
      </c>
      <c r="AP20" s="4030">
        <f t="shared" si="3"/>
        <v>86467200</v>
      </c>
      <c r="AQ20" s="4028">
        <v>9660000</v>
      </c>
      <c r="AR20" s="4028">
        <v>10123200</v>
      </c>
      <c r="AS20" s="4028">
        <v>7704000</v>
      </c>
      <c r="AT20" s="4028">
        <v>7426800</v>
      </c>
      <c r="AU20" s="4028">
        <v>6605200</v>
      </c>
      <c r="AV20" s="4028">
        <v>6384000</v>
      </c>
      <c r="AW20" s="4028">
        <v>5544000</v>
      </c>
      <c r="AX20" s="4028">
        <v>7244000</v>
      </c>
      <c r="AY20" s="4028">
        <v>5544000</v>
      </c>
      <c r="AZ20" s="4028">
        <v>5544000</v>
      </c>
      <c r="BA20" s="4028">
        <v>5544000</v>
      </c>
      <c r="BB20" s="4029">
        <v>9144000</v>
      </c>
      <c r="BC20" s="3984"/>
      <c r="BD20" s="3984"/>
      <c r="BE20" s="3984"/>
      <c r="BF20" s="3984"/>
      <c r="BG20" s="4031"/>
      <c r="BH20" s="4031"/>
      <c r="BI20" s="4031"/>
      <c r="BJ20" s="4031"/>
      <c r="BK20" s="4031"/>
      <c r="BL20" s="4031"/>
      <c r="BM20" s="4031"/>
      <c r="BN20" s="4031"/>
      <c r="BO20" s="4031"/>
      <c r="BP20" s="4031"/>
      <c r="BQ20" s="4031"/>
      <c r="BR20" s="3955"/>
      <c r="BS20" s="4002"/>
      <c r="BT20" s="3984"/>
      <c r="BU20" s="3984"/>
      <c r="BV20" s="3984"/>
      <c r="BW20" s="3984"/>
      <c r="BX20" s="3985"/>
      <c r="BY20" s="4031"/>
      <c r="BZ20" s="4031"/>
      <c r="CA20" s="4031"/>
      <c r="CB20" s="4031"/>
      <c r="CC20" s="4031"/>
      <c r="CD20" s="4031"/>
      <c r="CE20" s="4031"/>
      <c r="CF20" s="4031"/>
      <c r="CG20" s="4031"/>
      <c r="CH20" s="4031"/>
      <c r="CI20" s="4031"/>
      <c r="CJ20" s="3955"/>
      <c r="CK20" s="3945"/>
    </row>
    <row r="21" spans="1:89" s="3943" customFormat="1" ht="13.5" customHeight="1" outlineLevel="1">
      <c r="A21" s="3989"/>
      <c r="B21" s="4032" t="s">
        <v>4737</v>
      </c>
      <c r="C21" s="3991">
        <f t="shared" si="7"/>
        <v>190000000</v>
      </c>
      <c r="D21" s="3991">
        <v>19000000</v>
      </c>
      <c r="E21" s="3991">
        <v>19000000</v>
      </c>
      <c r="F21" s="3991">
        <v>19000000</v>
      </c>
      <c r="G21" s="3991">
        <v>19000000</v>
      </c>
      <c r="H21" s="3991">
        <v>19000000</v>
      </c>
      <c r="I21" s="3991"/>
      <c r="J21" s="3991"/>
      <c r="K21" s="3991">
        <v>19000000</v>
      </c>
      <c r="L21" s="3991">
        <v>19000000</v>
      </c>
      <c r="M21" s="3991">
        <v>19000000</v>
      </c>
      <c r="N21" s="3991">
        <v>19000000</v>
      </c>
      <c r="O21" s="3991">
        <v>19000000</v>
      </c>
      <c r="P21" s="3991">
        <f t="shared" si="8"/>
        <v>228000000</v>
      </c>
      <c r="Q21" s="3991">
        <v>19000000</v>
      </c>
      <c r="R21" s="3991">
        <v>19000000</v>
      </c>
      <c r="S21" s="3991">
        <v>19000000</v>
      </c>
      <c r="T21" s="3991">
        <v>19000000</v>
      </c>
      <c r="U21" s="3991">
        <v>19000000</v>
      </c>
      <c r="V21" s="3991">
        <v>19000000</v>
      </c>
      <c r="W21" s="3991">
        <v>19000000</v>
      </c>
      <c r="X21" s="3991">
        <v>19000000</v>
      </c>
      <c r="Y21" s="3991">
        <v>19000000</v>
      </c>
      <c r="Z21" s="3991">
        <v>19000000</v>
      </c>
      <c r="AA21" s="3991">
        <v>19000000</v>
      </c>
      <c r="AB21" s="3991">
        <v>19000000</v>
      </c>
      <c r="AC21" s="4033">
        <f t="shared" si="2"/>
        <v>228000000</v>
      </c>
      <c r="AD21" s="4033">
        <v>19000000</v>
      </c>
      <c r="AE21" s="4033">
        <v>19000000</v>
      </c>
      <c r="AF21" s="4033">
        <v>19000000</v>
      </c>
      <c r="AG21" s="4034">
        <v>19000000</v>
      </c>
      <c r="AH21" s="4034">
        <v>19000000</v>
      </c>
      <c r="AI21" s="4034">
        <v>19000000</v>
      </c>
      <c r="AJ21" s="4034">
        <v>19000000</v>
      </c>
      <c r="AK21" s="4034">
        <v>19000000</v>
      </c>
      <c r="AL21" s="4034">
        <v>19000000</v>
      </c>
      <c r="AM21" s="4034">
        <v>19000000</v>
      </c>
      <c r="AN21" s="4034">
        <v>19000000</v>
      </c>
      <c r="AO21" s="4034">
        <v>19000000</v>
      </c>
      <c r="AP21" s="4035">
        <f t="shared" si="3"/>
        <v>237000000</v>
      </c>
      <c r="AQ21" s="4033">
        <v>19750000</v>
      </c>
      <c r="AR21" s="4033">
        <v>19750000</v>
      </c>
      <c r="AS21" s="4033">
        <v>19750000</v>
      </c>
      <c r="AT21" s="4034">
        <v>19750000</v>
      </c>
      <c r="AU21" s="4034">
        <v>19750000</v>
      </c>
      <c r="AV21" s="4034">
        <v>19750000</v>
      </c>
      <c r="AW21" s="4034">
        <v>19750000</v>
      </c>
      <c r="AX21" s="4034">
        <v>19750000</v>
      </c>
      <c r="AY21" s="4034">
        <v>19750000</v>
      </c>
      <c r="AZ21" s="4034">
        <v>19750000</v>
      </c>
      <c r="BA21" s="4034">
        <v>19750000</v>
      </c>
      <c r="BB21" s="4034">
        <v>19750000</v>
      </c>
      <c r="BC21" s="3984"/>
      <c r="BD21" s="3984"/>
      <c r="BE21" s="3984"/>
      <c r="BF21" s="3984"/>
      <c r="BG21" s="3984"/>
      <c r="BH21" s="3984"/>
      <c r="BI21" s="3984"/>
      <c r="BJ21" s="3984"/>
      <c r="BK21" s="3984"/>
      <c r="BL21" s="3984"/>
      <c r="BM21" s="3984"/>
      <c r="BN21" s="3984"/>
      <c r="BO21" s="3984"/>
      <c r="BP21" s="3984"/>
      <c r="BQ21" s="3984"/>
      <c r="BR21" s="3984"/>
      <c r="BS21" s="4002"/>
      <c r="BT21" s="3984"/>
      <c r="BU21" s="3984"/>
      <c r="BV21" s="3984"/>
      <c r="BW21" s="3984"/>
      <c r="BX21" s="3985"/>
      <c r="BY21" s="4031"/>
      <c r="BZ21" s="4031"/>
      <c r="CA21" s="4031"/>
      <c r="CB21" s="3984"/>
      <c r="CC21" s="3984"/>
      <c r="CD21" s="3984"/>
      <c r="CE21" s="3984"/>
      <c r="CF21" s="3984"/>
      <c r="CG21" s="3984"/>
      <c r="CH21" s="3984"/>
      <c r="CI21" s="3984"/>
      <c r="CJ21" s="3984"/>
      <c r="CK21" s="3945"/>
    </row>
    <row r="22" spans="1:89" s="3943" customFormat="1" ht="13.5" customHeight="1" outlineLevel="1">
      <c r="A22" s="3989"/>
      <c r="B22" s="4032" t="s">
        <v>4738</v>
      </c>
      <c r="C22" s="3991">
        <f t="shared" si="7"/>
        <v>3600000</v>
      </c>
      <c r="D22" s="3991">
        <v>300000</v>
      </c>
      <c r="E22" s="3991">
        <v>300000</v>
      </c>
      <c r="F22" s="3991">
        <v>300000</v>
      </c>
      <c r="G22" s="3991">
        <v>300000</v>
      </c>
      <c r="H22" s="3991">
        <v>300000</v>
      </c>
      <c r="I22" s="3991">
        <v>300000</v>
      </c>
      <c r="J22" s="3991">
        <v>300000</v>
      </c>
      <c r="K22" s="3991">
        <v>300000</v>
      </c>
      <c r="L22" s="3991">
        <v>300000</v>
      </c>
      <c r="M22" s="3991">
        <v>300000</v>
      </c>
      <c r="N22" s="3991">
        <v>300000</v>
      </c>
      <c r="O22" s="3991">
        <v>300000</v>
      </c>
      <c r="P22" s="3991">
        <f t="shared" si="8"/>
        <v>3600000</v>
      </c>
      <c r="Q22" s="3991">
        <v>300000</v>
      </c>
      <c r="R22" s="3991">
        <v>300000</v>
      </c>
      <c r="S22" s="3991">
        <v>300000</v>
      </c>
      <c r="T22" s="3991">
        <v>300000</v>
      </c>
      <c r="U22" s="3991">
        <v>300000</v>
      </c>
      <c r="V22" s="3991">
        <v>300000</v>
      </c>
      <c r="W22" s="3991">
        <v>300000</v>
      </c>
      <c r="X22" s="3991">
        <v>300000</v>
      </c>
      <c r="Y22" s="3991">
        <v>300000</v>
      </c>
      <c r="Z22" s="3991">
        <v>300000</v>
      </c>
      <c r="AA22" s="3991">
        <v>300000</v>
      </c>
      <c r="AB22" s="3991">
        <v>300000</v>
      </c>
      <c r="AC22" s="4033">
        <f t="shared" si="2"/>
        <v>6470400</v>
      </c>
      <c r="AD22" s="4033">
        <v>300000</v>
      </c>
      <c r="AE22" s="4033">
        <v>300000</v>
      </c>
      <c r="AF22" s="4033">
        <v>300000</v>
      </c>
      <c r="AG22" s="4034">
        <v>534000</v>
      </c>
      <c r="AH22" s="4034">
        <v>768000</v>
      </c>
      <c r="AI22" s="4034">
        <v>768000</v>
      </c>
      <c r="AJ22" s="4034">
        <v>768000</v>
      </c>
      <c r="AK22" s="4034">
        <v>768000</v>
      </c>
      <c r="AL22" s="4034">
        <v>768000</v>
      </c>
      <c r="AM22" s="4034">
        <v>596400</v>
      </c>
      <c r="AN22" s="4034">
        <v>300000</v>
      </c>
      <c r="AO22" s="4036">
        <v>300000</v>
      </c>
      <c r="AP22" s="4037">
        <f t="shared" si="3"/>
        <v>3600000</v>
      </c>
      <c r="AQ22" s="4033">
        <v>300000</v>
      </c>
      <c r="AR22" s="4033">
        <v>300000</v>
      </c>
      <c r="AS22" s="4033">
        <v>300000</v>
      </c>
      <c r="AT22" s="4034">
        <v>300000</v>
      </c>
      <c r="AU22" s="4034">
        <v>300000</v>
      </c>
      <c r="AV22" s="4034">
        <v>300000</v>
      </c>
      <c r="AW22" s="4034">
        <v>300000</v>
      </c>
      <c r="AX22" s="4034">
        <v>300000</v>
      </c>
      <c r="AY22" s="4034">
        <v>300000</v>
      </c>
      <c r="AZ22" s="4034">
        <v>300000</v>
      </c>
      <c r="BA22" s="4034">
        <v>300000</v>
      </c>
      <c r="BB22" s="4036">
        <v>300000</v>
      </c>
      <c r="BC22" s="3984"/>
      <c r="BD22" s="3984"/>
      <c r="BE22" s="3984"/>
      <c r="BF22" s="3984"/>
      <c r="BG22" s="3984"/>
      <c r="BH22" s="3984"/>
      <c r="BI22" s="3984"/>
      <c r="BJ22" s="3984"/>
      <c r="BK22" s="3984"/>
      <c r="BL22" s="3984"/>
      <c r="BM22" s="3984"/>
      <c r="BN22" s="3984"/>
      <c r="BO22" s="3984"/>
      <c r="BP22" s="3984"/>
      <c r="BQ22" s="3984"/>
      <c r="BR22" s="3955"/>
      <c r="BS22" s="4002"/>
      <c r="BT22" s="3984"/>
      <c r="BU22" s="3984"/>
      <c r="BV22" s="3984"/>
      <c r="BW22" s="3984"/>
      <c r="BX22" s="3985"/>
      <c r="BY22" s="4031"/>
      <c r="BZ22" s="4031"/>
      <c r="CA22" s="4031"/>
      <c r="CB22" s="3984"/>
      <c r="CC22" s="3984"/>
      <c r="CD22" s="3984"/>
      <c r="CE22" s="3984"/>
      <c r="CF22" s="3984"/>
      <c r="CG22" s="3984"/>
      <c r="CH22" s="3984"/>
      <c r="CI22" s="3984"/>
      <c r="CJ22" s="3955"/>
      <c r="CK22" s="3945"/>
    </row>
    <row r="23" spans="1:89" s="3943" customFormat="1" ht="13.5" customHeight="1">
      <c r="A23" s="3989"/>
      <c r="B23" s="4027" t="s">
        <v>4739</v>
      </c>
      <c r="C23" s="4024">
        <f t="shared" ref="C23:BB23" si="9">SUM(C24:C27)</f>
        <v>621288000</v>
      </c>
      <c r="D23" s="4024">
        <f t="shared" si="9"/>
        <v>51773999.999999993</v>
      </c>
      <c r="E23" s="4024">
        <f t="shared" si="9"/>
        <v>51773999.999999993</v>
      </c>
      <c r="F23" s="4024">
        <f t="shared" si="9"/>
        <v>51773999.999999993</v>
      </c>
      <c r="G23" s="4024">
        <f t="shared" si="9"/>
        <v>51773999.999999993</v>
      </c>
      <c r="H23" s="4024">
        <f t="shared" si="9"/>
        <v>51773999.999999993</v>
      </c>
      <c r="I23" s="4024">
        <f t="shared" si="9"/>
        <v>51774000</v>
      </c>
      <c r="J23" s="4024">
        <f t="shared" si="9"/>
        <v>51773999.999999993</v>
      </c>
      <c r="K23" s="4024">
        <f t="shared" si="9"/>
        <v>51773999.999999993</v>
      </c>
      <c r="L23" s="4024">
        <f t="shared" si="9"/>
        <v>51773999.999999993</v>
      </c>
      <c r="M23" s="4024">
        <f t="shared" si="9"/>
        <v>51773999.999999993</v>
      </c>
      <c r="N23" s="4024">
        <f t="shared" si="9"/>
        <v>51773999.999999993</v>
      </c>
      <c r="O23" s="4024">
        <f t="shared" si="9"/>
        <v>51773999.999999993</v>
      </c>
      <c r="P23" s="4024">
        <f t="shared" si="9"/>
        <v>450408000</v>
      </c>
      <c r="Q23" s="4024">
        <f t="shared" si="9"/>
        <v>51773999.999999993</v>
      </c>
      <c r="R23" s="4024">
        <f t="shared" si="9"/>
        <v>51773999.999999993</v>
      </c>
      <c r="S23" s="4024">
        <f t="shared" si="9"/>
        <v>51774000</v>
      </c>
      <c r="T23" s="4024">
        <f t="shared" si="9"/>
        <v>51774000</v>
      </c>
      <c r="U23" s="4024">
        <f t="shared" si="9"/>
        <v>30414000</v>
      </c>
      <c r="V23" s="4024">
        <f t="shared" si="9"/>
        <v>30414000</v>
      </c>
      <c r="W23" s="4024">
        <f t="shared" si="9"/>
        <v>30414000</v>
      </c>
      <c r="X23" s="4024">
        <f t="shared" si="9"/>
        <v>30414000</v>
      </c>
      <c r="Y23" s="4024">
        <f t="shared" si="9"/>
        <v>30414000</v>
      </c>
      <c r="Z23" s="4024">
        <f t="shared" si="9"/>
        <v>30414000</v>
      </c>
      <c r="AA23" s="4024">
        <f t="shared" si="9"/>
        <v>30414000</v>
      </c>
      <c r="AB23" s="4024">
        <f t="shared" si="9"/>
        <v>30414000</v>
      </c>
      <c r="AC23" s="4024">
        <f t="shared" si="9"/>
        <v>207540000</v>
      </c>
      <c r="AD23" s="4024">
        <f t="shared" si="9"/>
        <v>17262000</v>
      </c>
      <c r="AE23" s="4024">
        <f t="shared" si="9"/>
        <v>17262000</v>
      </c>
      <c r="AF23" s="4024">
        <f t="shared" si="9"/>
        <v>17262000</v>
      </c>
      <c r="AG23" s="4024">
        <f t="shared" si="9"/>
        <v>17262000</v>
      </c>
      <c r="AH23" s="4024">
        <f t="shared" si="9"/>
        <v>17262000</v>
      </c>
      <c r="AI23" s="4024">
        <f t="shared" si="9"/>
        <v>17262000</v>
      </c>
      <c r="AJ23" s="4024">
        <f t="shared" si="9"/>
        <v>17262000</v>
      </c>
      <c r="AK23" s="4024">
        <f t="shared" si="9"/>
        <v>17262000</v>
      </c>
      <c r="AL23" s="4024">
        <f t="shared" si="9"/>
        <v>17262000</v>
      </c>
      <c r="AM23" s="4024">
        <f t="shared" si="9"/>
        <v>17394000</v>
      </c>
      <c r="AN23" s="4024">
        <f t="shared" si="9"/>
        <v>17394000</v>
      </c>
      <c r="AO23" s="4024">
        <f t="shared" si="9"/>
        <v>17394000</v>
      </c>
      <c r="AP23" s="4025">
        <f t="shared" si="9"/>
        <v>208728000</v>
      </c>
      <c r="AQ23" s="4026">
        <f t="shared" si="9"/>
        <v>17394000</v>
      </c>
      <c r="AR23" s="4026">
        <f t="shared" si="9"/>
        <v>17394000</v>
      </c>
      <c r="AS23" s="4026">
        <f t="shared" si="9"/>
        <v>17394000</v>
      </c>
      <c r="AT23" s="4026">
        <f t="shared" si="9"/>
        <v>17394000</v>
      </c>
      <c r="AU23" s="4026">
        <f t="shared" si="9"/>
        <v>17394000</v>
      </c>
      <c r="AV23" s="4026">
        <f t="shared" si="9"/>
        <v>17394000</v>
      </c>
      <c r="AW23" s="4026">
        <f t="shared" si="9"/>
        <v>17394000</v>
      </c>
      <c r="AX23" s="4026">
        <f t="shared" si="9"/>
        <v>17394000</v>
      </c>
      <c r="AY23" s="4026">
        <f t="shared" si="9"/>
        <v>17394000</v>
      </c>
      <c r="AZ23" s="4026">
        <f t="shared" si="9"/>
        <v>17394000</v>
      </c>
      <c r="BA23" s="4026">
        <f t="shared" si="9"/>
        <v>17394000</v>
      </c>
      <c r="BB23" s="4026">
        <f t="shared" si="9"/>
        <v>17394000</v>
      </c>
      <c r="BC23" s="3984"/>
      <c r="BD23" s="3984"/>
      <c r="BE23" s="3984"/>
      <c r="BF23" s="3984"/>
      <c r="BG23" s="3984"/>
      <c r="BH23" s="3984"/>
      <c r="BI23" s="3984"/>
      <c r="BJ23" s="3984"/>
      <c r="BK23" s="3984"/>
      <c r="BL23" s="3984"/>
      <c r="BM23" s="3984"/>
      <c r="BN23" s="3984"/>
      <c r="BO23" s="3984"/>
      <c r="BP23" s="3984"/>
      <c r="BQ23" s="3984"/>
      <c r="BR23" s="3957"/>
      <c r="BS23" s="4002"/>
      <c r="BT23" s="3984"/>
      <c r="BU23" s="3984"/>
      <c r="BV23" s="3984"/>
      <c r="BW23" s="3984"/>
      <c r="BX23" s="3985"/>
      <c r="BY23" s="3984"/>
      <c r="BZ23" s="3984"/>
      <c r="CA23" s="3984"/>
      <c r="CB23" s="3984"/>
      <c r="CC23" s="3984"/>
      <c r="CD23" s="3984"/>
      <c r="CE23" s="3984"/>
      <c r="CF23" s="3984"/>
      <c r="CG23" s="3984"/>
      <c r="CH23" s="3984"/>
      <c r="CI23" s="3984"/>
      <c r="CJ23" s="3984"/>
      <c r="CK23" s="3945"/>
    </row>
    <row r="24" spans="1:89" s="3943" customFormat="1" ht="13.5" customHeight="1" outlineLevel="1">
      <c r="A24" s="3989"/>
      <c r="B24" s="4027" t="s">
        <v>4740</v>
      </c>
      <c r="C24" s="4024">
        <f t="shared" si="7"/>
        <v>466487999.99999994</v>
      </c>
      <c r="D24" s="4024">
        <v>38873999.999999993</v>
      </c>
      <c r="E24" s="4024">
        <v>38873999.999999993</v>
      </c>
      <c r="F24" s="4024">
        <v>38873999.999999993</v>
      </c>
      <c r="G24" s="4024">
        <v>38873999.999999993</v>
      </c>
      <c r="H24" s="4024">
        <v>38873999.999999993</v>
      </c>
      <c r="I24" s="4024">
        <v>38874000</v>
      </c>
      <c r="J24" s="4024">
        <v>38873999.999999993</v>
      </c>
      <c r="K24" s="4024">
        <v>38873999.999999993</v>
      </c>
      <c r="L24" s="4024">
        <v>38873999.999999993</v>
      </c>
      <c r="M24" s="4024">
        <v>38873999.999999993</v>
      </c>
      <c r="N24" s="4024">
        <v>38873999.999999993</v>
      </c>
      <c r="O24" s="4024">
        <v>38873999.999999993</v>
      </c>
      <c r="P24" s="4024">
        <f t="shared" ref="P24:P27" si="10">SUM(Q24:AB24)</f>
        <v>372408000</v>
      </c>
      <c r="Q24" s="4024">
        <v>38873999.999999993</v>
      </c>
      <c r="R24" s="4024">
        <v>38873999.999999993</v>
      </c>
      <c r="S24" s="4024">
        <v>38874000</v>
      </c>
      <c r="T24" s="4024">
        <v>38874000</v>
      </c>
      <c r="U24" s="4024">
        <v>27114000</v>
      </c>
      <c r="V24" s="4024">
        <v>27114000</v>
      </c>
      <c r="W24" s="4024">
        <v>27114000</v>
      </c>
      <c r="X24" s="4024">
        <v>27114000</v>
      </c>
      <c r="Y24" s="4024">
        <v>27114000</v>
      </c>
      <c r="Z24" s="4024">
        <v>27114000</v>
      </c>
      <c r="AA24" s="4024">
        <v>27114000</v>
      </c>
      <c r="AB24" s="4024">
        <v>27114000</v>
      </c>
      <c r="AC24" s="4026">
        <f t="shared" si="2"/>
        <v>167544000</v>
      </c>
      <c r="AD24" s="4026">
        <v>13962000</v>
      </c>
      <c r="AE24" s="4026">
        <v>13962000</v>
      </c>
      <c r="AF24" s="4026">
        <v>13962000</v>
      </c>
      <c r="AG24" s="4026">
        <v>13962000</v>
      </c>
      <c r="AH24" s="4026">
        <v>13962000</v>
      </c>
      <c r="AI24" s="4026">
        <v>13962000</v>
      </c>
      <c r="AJ24" s="4026">
        <v>13962000</v>
      </c>
      <c r="AK24" s="4026">
        <v>13962000</v>
      </c>
      <c r="AL24" s="4026">
        <v>13962000</v>
      </c>
      <c r="AM24" s="4026">
        <v>13962000</v>
      </c>
      <c r="AN24" s="4026">
        <v>13962000</v>
      </c>
      <c r="AO24" s="4029">
        <v>13962000</v>
      </c>
      <c r="AP24" s="4030">
        <f t="shared" si="3"/>
        <v>167544000</v>
      </c>
      <c r="AQ24" s="4026">
        <v>13962000</v>
      </c>
      <c r="AR24" s="4026">
        <v>13962000</v>
      </c>
      <c r="AS24" s="4026">
        <v>13962000</v>
      </c>
      <c r="AT24" s="4026">
        <v>13962000</v>
      </c>
      <c r="AU24" s="4026">
        <v>13962000</v>
      </c>
      <c r="AV24" s="4026">
        <v>13962000</v>
      </c>
      <c r="AW24" s="4026">
        <v>13962000</v>
      </c>
      <c r="AX24" s="4026">
        <v>13962000</v>
      </c>
      <c r="AY24" s="4026">
        <v>13962000</v>
      </c>
      <c r="AZ24" s="4026">
        <v>13962000</v>
      </c>
      <c r="BA24" s="4026">
        <v>13962000</v>
      </c>
      <c r="BB24" s="4029">
        <v>13962000</v>
      </c>
      <c r="BC24" s="3984"/>
      <c r="BD24" s="3984"/>
      <c r="BE24" s="3984"/>
      <c r="BF24" s="3984"/>
      <c r="BG24" s="3984"/>
      <c r="BH24" s="3984"/>
      <c r="BI24" s="3984"/>
      <c r="BJ24" s="3984"/>
      <c r="BK24" s="3984"/>
      <c r="BL24" s="3984"/>
      <c r="BM24" s="3984"/>
      <c r="BN24" s="3984"/>
      <c r="BO24" s="3984"/>
      <c r="BP24" s="3984"/>
      <c r="BQ24" s="3984"/>
      <c r="BR24" s="3955"/>
      <c r="BS24" s="4002"/>
      <c r="BT24" s="3984"/>
      <c r="BU24" s="3984"/>
      <c r="BV24" s="3984"/>
      <c r="BW24" s="3984"/>
      <c r="BX24" s="3985"/>
      <c r="BY24" s="3984"/>
      <c r="BZ24" s="3984"/>
      <c r="CA24" s="3984"/>
      <c r="CB24" s="3984"/>
      <c r="CC24" s="3984"/>
      <c r="CD24" s="3984"/>
      <c r="CE24" s="3984"/>
      <c r="CF24" s="3984"/>
      <c r="CG24" s="3984"/>
      <c r="CH24" s="3984"/>
      <c r="CI24" s="3984"/>
      <c r="CJ24" s="3955"/>
      <c r="CK24" s="3945"/>
    </row>
    <row r="25" spans="1:89" s="3943" customFormat="1" ht="13.5" customHeight="1" outlineLevel="1">
      <c r="A25" s="3989"/>
      <c r="B25" s="4038" t="s">
        <v>4741</v>
      </c>
      <c r="C25" s="3991">
        <f t="shared" si="7"/>
        <v>38160000</v>
      </c>
      <c r="D25" s="3991">
        <v>3180000</v>
      </c>
      <c r="E25" s="3991">
        <v>3180000</v>
      </c>
      <c r="F25" s="3991">
        <v>3180000</v>
      </c>
      <c r="G25" s="3991">
        <v>3180000</v>
      </c>
      <c r="H25" s="3991">
        <v>3180000</v>
      </c>
      <c r="I25" s="3991">
        <v>3180000</v>
      </c>
      <c r="J25" s="3991">
        <v>3180000</v>
      </c>
      <c r="K25" s="3991">
        <v>3180000</v>
      </c>
      <c r="L25" s="3991">
        <v>3180000</v>
      </c>
      <c r="M25" s="3991">
        <v>3180000</v>
      </c>
      <c r="N25" s="3991">
        <v>3180000</v>
      </c>
      <c r="O25" s="3991">
        <v>3180000</v>
      </c>
      <c r="P25" s="3991">
        <f t="shared" si="10"/>
        <v>38160000</v>
      </c>
      <c r="Q25" s="3991">
        <v>3180000</v>
      </c>
      <c r="R25" s="3991">
        <v>3180000</v>
      </c>
      <c r="S25" s="3991">
        <v>3180000</v>
      </c>
      <c r="T25" s="3991">
        <v>3180000</v>
      </c>
      <c r="U25" s="3991">
        <v>3180000</v>
      </c>
      <c r="V25" s="3991">
        <v>3180000</v>
      </c>
      <c r="W25" s="3991">
        <v>3180000</v>
      </c>
      <c r="X25" s="3991">
        <v>3180000</v>
      </c>
      <c r="Y25" s="3991">
        <v>3180000</v>
      </c>
      <c r="Z25" s="3991">
        <v>3180000</v>
      </c>
      <c r="AA25" s="3991">
        <v>3180000</v>
      </c>
      <c r="AB25" s="3991">
        <v>3180000</v>
      </c>
      <c r="AC25" s="4034">
        <f t="shared" si="2"/>
        <v>38160000</v>
      </c>
      <c r="AD25" s="4034">
        <v>3180000</v>
      </c>
      <c r="AE25" s="4034">
        <v>3180000</v>
      </c>
      <c r="AF25" s="4034">
        <v>3180000</v>
      </c>
      <c r="AG25" s="4034">
        <v>3180000</v>
      </c>
      <c r="AH25" s="4034">
        <v>3180000</v>
      </c>
      <c r="AI25" s="4034">
        <v>3180000</v>
      </c>
      <c r="AJ25" s="4034">
        <v>3180000</v>
      </c>
      <c r="AK25" s="4034">
        <v>3180000</v>
      </c>
      <c r="AL25" s="4034">
        <v>3180000</v>
      </c>
      <c r="AM25" s="4034">
        <v>3180000</v>
      </c>
      <c r="AN25" s="4034">
        <v>3180000</v>
      </c>
      <c r="AO25" s="4036">
        <v>3180000</v>
      </c>
      <c r="AP25" s="4037">
        <f t="shared" si="3"/>
        <v>38160000</v>
      </c>
      <c r="AQ25" s="4034">
        <v>3180000</v>
      </c>
      <c r="AR25" s="4034">
        <v>3180000</v>
      </c>
      <c r="AS25" s="4034">
        <v>3180000</v>
      </c>
      <c r="AT25" s="4034">
        <v>3180000</v>
      </c>
      <c r="AU25" s="4034">
        <v>3180000</v>
      </c>
      <c r="AV25" s="4034">
        <v>3180000</v>
      </c>
      <c r="AW25" s="4034">
        <v>3180000</v>
      </c>
      <c r="AX25" s="4034">
        <v>3180000</v>
      </c>
      <c r="AY25" s="4034">
        <v>3180000</v>
      </c>
      <c r="AZ25" s="4034">
        <v>3180000</v>
      </c>
      <c r="BA25" s="4034">
        <v>3180000</v>
      </c>
      <c r="BB25" s="4036">
        <v>3180000</v>
      </c>
      <c r="BC25" s="3984"/>
      <c r="BD25" s="3984"/>
      <c r="BE25" s="3984"/>
      <c r="BF25" s="3984"/>
      <c r="BG25" s="3984"/>
      <c r="BH25" s="3984"/>
      <c r="BI25" s="3984"/>
      <c r="BJ25" s="3984"/>
      <c r="BK25" s="3984"/>
      <c r="BL25" s="3984"/>
      <c r="BM25" s="3984"/>
      <c r="BN25" s="3984"/>
      <c r="BO25" s="3984"/>
      <c r="BP25" s="3984"/>
      <c r="BQ25" s="3984"/>
      <c r="BR25" s="3955"/>
      <c r="BS25" s="4002"/>
      <c r="BT25" s="3984"/>
      <c r="BU25" s="3984"/>
      <c r="BV25" s="3984"/>
      <c r="BW25" s="3984"/>
      <c r="BX25" s="3985"/>
      <c r="BY25" s="3984"/>
      <c r="BZ25" s="3984"/>
      <c r="CA25" s="3984"/>
      <c r="CB25" s="3984"/>
      <c r="CC25" s="3984"/>
      <c r="CD25" s="3984"/>
      <c r="CE25" s="3984"/>
      <c r="CF25" s="3984"/>
      <c r="CG25" s="3984"/>
      <c r="CH25" s="3984"/>
      <c r="CI25" s="3984"/>
      <c r="CJ25" s="3955"/>
      <c r="CK25" s="3945"/>
    </row>
    <row r="26" spans="1:89" s="3943" customFormat="1" ht="13.5" customHeight="1" outlineLevel="1">
      <c r="A26" s="3989"/>
      <c r="B26" s="4038" t="s">
        <v>4742</v>
      </c>
      <c r="C26" s="3991">
        <f t="shared" si="7"/>
        <v>115200000</v>
      </c>
      <c r="D26" s="3991">
        <v>9600000</v>
      </c>
      <c r="E26" s="3991">
        <v>9600000</v>
      </c>
      <c r="F26" s="3991">
        <v>9600000</v>
      </c>
      <c r="G26" s="3991">
        <v>9600000</v>
      </c>
      <c r="H26" s="3991">
        <v>9600000</v>
      </c>
      <c r="I26" s="3991">
        <v>9600000</v>
      </c>
      <c r="J26" s="3991">
        <v>9600000</v>
      </c>
      <c r="K26" s="3991">
        <v>9600000</v>
      </c>
      <c r="L26" s="3991">
        <v>9600000</v>
      </c>
      <c r="M26" s="3991">
        <v>9600000</v>
      </c>
      <c r="N26" s="3991">
        <v>9600000</v>
      </c>
      <c r="O26" s="3991">
        <v>9600000</v>
      </c>
      <c r="P26" s="3991">
        <f t="shared" si="10"/>
        <v>38400000</v>
      </c>
      <c r="Q26" s="3991">
        <v>9600000</v>
      </c>
      <c r="R26" s="3991">
        <v>9600000</v>
      </c>
      <c r="S26" s="3991">
        <v>9600000</v>
      </c>
      <c r="T26" s="3991">
        <v>9600000</v>
      </c>
      <c r="U26" s="3991">
        <v>0</v>
      </c>
      <c r="V26" s="3991"/>
      <c r="W26" s="3991">
        <v>0</v>
      </c>
      <c r="X26" s="3991">
        <v>0</v>
      </c>
      <c r="Y26" s="3991"/>
      <c r="Z26" s="3991"/>
      <c r="AA26" s="3991"/>
      <c r="AB26" s="3991"/>
      <c r="AC26" s="4034">
        <f t="shared" si="2"/>
        <v>0</v>
      </c>
      <c r="AD26" s="4034">
        <v>0</v>
      </c>
      <c r="AE26" s="4034"/>
      <c r="AF26" s="4034">
        <v>0</v>
      </c>
      <c r="AG26" s="4034">
        <v>0</v>
      </c>
      <c r="AH26" s="4034">
        <v>0</v>
      </c>
      <c r="AI26" s="4034">
        <v>0</v>
      </c>
      <c r="AJ26" s="4034">
        <v>0</v>
      </c>
      <c r="AK26" s="4034">
        <v>0</v>
      </c>
      <c r="AL26" s="4034">
        <v>0</v>
      </c>
      <c r="AM26" s="4034">
        <v>0</v>
      </c>
      <c r="AN26" s="4034">
        <v>0</v>
      </c>
      <c r="AO26" s="4039">
        <v>0</v>
      </c>
      <c r="AP26" s="4040">
        <f t="shared" si="3"/>
        <v>0</v>
      </c>
      <c r="AQ26" s="4034">
        <v>0</v>
      </c>
      <c r="AR26" s="4034">
        <v>0</v>
      </c>
      <c r="AS26" s="4034">
        <v>0</v>
      </c>
      <c r="AT26" s="4034">
        <v>0</v>
      </c>
      <c r="AU26" s="4034">
        <v>0</v>
      </c>
      <c r="AV26" s="4034">
        <v>0</v>
      </c>
      <c r="AW26" s="4034">
        <v>0</v>
      </c>
      <c r="AX26" s="4034">
        <v>0</v>
      </c>
      <c r="AY26" s="4034">
        <v>0</v>
      </c>
      <c r="AZ26" s="4034">
        <v>0</v>
      </c>
      <c r="BA26" s="4034">
        <v>0</v>
      </c>
      <c r="BB26" s="4036">
        <v>0</v>
      </c>
      <c r="BC26" s="3984"/>
      <c r="BD26" s="3984"/>
      <c r="BE26" s="3984"/>
      <c r="BF26" s="3984"/>
      <c r="BG26" s="3984"/>
      <c r="BH26" s="3984"/>
      <c r="BI26" s="3984"/>
      <c r="BJ26" s="3984"/>
      <c r="BK26" s="3984"/>
      <c r="BL26" s="3984"/>
      <c r="BM26" s="3984"/>
      <c r="BN26" s="3984"/>
      <c r="BO26" s="3984"/>
      <c r="BP26" s="3984"/>
      <c r="BQ26" s="3984"/>
      <c r="BR26" s="3955"/>
      <c r="BS26" s="4002"/>
      <c r="BT26" s="3984"/>
      <c r="BU26" s="3984"/>
      <c r="BV26" s="3984"/>
      <c r="BW26" s="3984"/>
      <c r="BX26" s="3985"/>
      <c r="BY26" s="3984"/>
      <c r="BZ26" s="3984"/>
      <c r="CA26" s="3984"/>
      <c r="CB26" s="3984"/>
      <c r="CC26" s="3984"/>
      <c r="CD26" s="3984"/>
      <c r="CE26" s="3984"/>
      <c r="CF26" s="3984"/>
      <c r="CG26" s="3984"/>
      <c r="CH26" s="3984"/>
      <c r="CI26" s="3984"/>
      <c r="CJ26" s="3955"/>
      <c r="CK26" s="3945"/>
    </row>
    <row r="27" spans="1:89" s="4052" customFormat="1" ht="13.5" customHeight="1" outlineLevel="1">
      <c r="A27" s="4041"/>
      <c r="B27" s="4042" t="s">
        <v>4743</v>
      </c>
      <c r="C27" s="4043">
        <f t="shared" si="7"/>
        <v>1440000</v>
      </c>
      <c r="D27" s="4043">
        <v>119999.99999999999</v>
      </c>
      <c r="E27" s="4043">
        <v>120000</v>
      </c>
      <c r="F27" s="4043">
        <v>120000</v>
      </c>
      <c r="G27" s="4043">
        <v>120000</v>
      </c>
      <c r="H27" s="4043">
        <v>120000</v>
      </c>
      <c r="I27" s="4043">
        <v>120000</v>
      </c>
      <c r="J27" s="4043">
        <v>120000</v>
      </c>
      <c r="K27" s="4043">
        <v>120000</v>
      </c>
      <c r="L27" s="4043">
        <v>120000</v>
      </c>
      <c r="M27" s="4043">
        <v>120000</v>
      </c>
      <c r="N27" s="4043">
        <v>120000</v>
      </c>
      <c r="O27" s="4043">
        <v>120000</v>
      </c>
      <c r="P27" s="4043">
        <f t="shared" si="10"/>
        <v>1440000</v>
      </c>
      <c r="Q27" s="4043">
        <v>119999.99999999999</v>
      </c>
      <c r="R27" s="4043">
        <v>120000</v>
      </c>
      <c r="S27" s="4043">
        <v>120000</v>
      </c>
      <c r="T27" s="4043">
        <v>120000</v>
      </c>
      <c r="U27" s="4043">
        <v>120000</v>
      </c>
      <c r="V27" s="4043">
        <v>120000</v>
      </c>
      <c r="W27" s="4043">
        <v>120000</v>
      </c>
      <c r="X27" s="4043">
        <v>120000</v>
      </c>
      <c r="Y27" s="4043">
        <v>120000</v>
      </c>
      <c r="Z27" s="4043">
        <v>120000</v>
      </c>
      <c r="AA27" s="4043">
        <v>120000</v>
      </c>
      <c r="AB27" s="4043">
        <v>120000</v>
      </c>
      <c r="AC27" s="4044">
        <f t="shared" si="2"/>
        <v>1836000</v>
      </c>
      <c r="AD27" s="4044">
        <v>120000</v>
      </c>
      <c r="AE27" s="4044">
        <v>120000</v>
      </c>
      <c r="AF27" s="4044">
        <v>120000</v>
      </c>
      <c r="AG27" s="4044">
        <v>120000</v>
      </c>
      <c r="AH27" s="4044">
        <v>120000</v>
      </c>
      <c r="AI27" s="4044">
        <v>120000</v>
      </c>
      <c r="AJ27" s="4044">
        <v>120000</v>
      </c>
      <c r="AK27" s="4044">
        <v>120000</v>
      </c>
      <c r="AL27" s="4044">
        <v>120000</v>
      </c>
      <c r="AM27" s="4044">
        <v>252000</v>
      </c>
      <c r="AN27" s="4044">
        <v>252000</v>
      </c>
      <c r="AO27" s="4045">
        <v>252000</v>
      </c>
      <c r="AP27" s="4046">
        <f t="shared" si="3"/>
        <v>3024000</v>
      </c>
      <c r="AQ27" s="4044">
        <v>252000</v>
      </c>
      <c r="AR27" s="4044">
        <v>252000</v>
      </c>
      <c r="AS27" s="4044">
        <v>252000</v>
      </c>
      <c r="AT27" s="4044">
        <v>252000</v>
      </c>
      <c r="AU27" s="4044">
        <v>252000</v>
      </c>
      <c r="AV27" s="4044">
        <v>252000</v>
      </c>
      <c r="AW27" s="4044">
        <v>252000</v>
      </c>
      <c r="AX27" s="4044">
        <v>252000</v>
      </c>
      <c r="AY27" s="4044">
        <v>252000</v>
      </c>
      <c r="AZ27" s="4044">
        <v>252000</v>
      </c>
      <c r="BA27" s="4044">
        <v>252000</v>
      </c>
      <c r="BB27" s="4045">
        <v>252000</v>
      </c>
      <c r="BC27" s="4047"/>
      <c r="BD27" s="4047"/>
      <c r="BE27" s="4047"/>
      <c r="BF27" s="4047"/>
      <c r="BG27" s="4047"/>
      <c r="BH27" s="4047"/>
      <c r="BI27" s="4047"/>
      <c r="BJ27" s="4047"/>
      <c r="BK27" s="4047"/>
      <c r="BL27" s="4047"/>
      <c r="BM27" s="4047"/>
      <c r="BN27" s="4047"/>
      <c r="BO27" s="4047"/>
      <c r="BP27" s="4047"/>
      <c r="BQ27" s="4047"/>
      <c r="BR27" s="4048"/>
      <c r="BS27" s="4049"/>
      <c r="BT27" s="4047"/>
      <c r="BU27" s="4047"/>
      <c r="BV27" s="4047"/>
      <c r="BW27" s="4047"/>
      <c r="BX27" s="4050"/>
      <c r="BY27" s="4047"/>
      <c r="BZ27" s="4047"/>
      <c r="CA27" s="4047"/>
      <c r="CB27" s="4047"/>
      <c r="CC27" s="4047"/>
      <c r="CD27" s="4047"/>
      <c r="CE27" s="4047"/>
      <c r="CF27" s="4047"/>
      <c r="CG27" s="4047"/>
      <c r="CH27" s="4047"/>
      <c r="CI27" s="4047"/>
      <c r="CJ27" s="4048"/>
      <c r="CK27" s="4051"/>
    </row>
    <row r="28" spans="1:89" s="3943" customFormat="1" ht="13.5" customHeight="1" outlineLevel="1">
      <c r="A28" s="3989"/>
      <c r="B28" s="4042" t="s">
        <v>4744</v>
      </c>
      <c r="C28" s="4043">
        <f>SUM(D28:O28)</f>
        <v>22157500</v>
      </c>
      <c r="D28" s="4043">
        <v>2039800</v>
      </c>
      <c r="E28" s="4043">
        <v>1536500</v>
      </c>
      <c r="F28" s="4043">
        <v>1933100</v>
      </c>
      <c r="G28" s="4043">
        <v>1313400</v>
      </c>
      <c r="H28" s="4043">
        <v>2194000</v>
      </c>
      <c r="I28" s="4043">
        <v>1974700</v>
      </c>
      <c r="J28" s="4043">
        <v>2048800</v>
      </c>
      <c r="K28" s="4043">
        <v>1803100</v>
      </c>
      <c r="L28" s="4043">
        <v>1687400</v>
      </c>
      <c r="M28" s="4043">
        <v>1697800</v>
      </c>
      <c r="N28" s="4043">
        <v>1890400</v>
      </c>
      <c r="O28" s="4043">
        <v>2038500</v>
      </c>
      <c r="P28" s="4043"/>
      <c r="Q28" s="4043"/>
      <c r="R28" s="4043"/>
      <c r="S28" s="4043"/>
      <c r="T28" s="4043"/>
      <c r="U28" s="4043"/>
      <c r="V28" s="4043"/>
      <c r="W28" s="4043"/>
      <c r="X28" s="4043"/>
      <c r="Y28" s="4043"/>
      <c r="Z28" s="4043"/>
      <c r="AA28" s="4043"/>
      <c r="AB28" s="4043"/>
      <c r="AC28" s="4044"/>
      <c r="AD28" s="4044"/>
      <c r="AE28" s="4044"/>
      <c r="AF28" s="4044"/>
      <c r="AG28" s="4044"/>
      <c r="AH28" s="4044"/>
      <c r="AI28" s="4044"/>
      <c r="AJ28" s="4044"/>
      <c r="AK28" s="4044"/>
      <c r="AL28" s="4044"/>
      <c r="AM28" s="4044"/>
      <c r="AN28" s="4044"/>
      <c r="AO28" s="4045"/>
      <c r="AP28" s="4046"/>
      <c r="AQ28" s="4044"/>
      <c r="AR28" s="4044"/>
      <c r="AS28" s="4044"/>
      <c r="AT28" s="4044"/>
      <c r="AU28" s="4044"/>
      <c r="AV28" s="4044"/>
      <c r="AW28" s="4044"/>
      <c r="AX28" s="4044"/>
      <c r="AY28" s="4044"/>
      <c r="AZ28" s="4044"/>
      <c r="BA28" s="4044"/>
      <c r="BB28" s="4045"/>
      <c r="BC28" s="3984"/>
      <c r="BD28" s="3984"/>
      <c r="BE28" s="3984"/>
      <c r="BF28" s="3984"/>
      <c r="BG28" s="3984"/>
      <c r="BH28" s="3984"/>
      <c r="BI28" s="3984"/>
      <c r="BJ28" s="3984"/>
      <c r="BK28" s="3984"/>
      <c r="BL28" s="3984"/>
      <c r="BM28" s="3984"/>
      <c r="BN28" s="3984"/>
      <c r="BO28" s="3984"/>
      <c r="BP28" s="3984"/>
      <c r="BQ28" s="3984"/>
      <c r="BR28" s="3957"/>
      <c r="BS28" s="4002"/>
      <c r="BT28" s="3984"/>
      <c r="BU28" s="3984"/>
      <c r="BV28" s="3984"/>
      <c r="BW28" s="3984"/>
      <c r="BX28" s="3985"/>
      <c r="BY28" s="3984"/>
      <c r="BZ28" s="3984"/>
      <c r="CA28" s="3984"/>
      <c r="CB28" s="3984"/>
      <c r="CC28" s="3984"/>
      <c r="CD28" s="3984"/>
      <c r="CE28" s="3984"/>
      <c r="CF28" s="3984"/>
      <c r="CG28" s="3984"/>
      <c r="CH28" s="3984"/>
      <c r="CI28" s="3984"/>
      <c r="CJ28" s="3957"/>
      <c r="CK28" s="3945"/>
    </row>
    <row r="29" spans="1:89" s="3943" customFormat="1" ht="13.5" customHeight="1" outlineLevel="1">
      <c r="A29" s="3989"/>
      <c r="B29" s="4038" t="s">
        <v>4745</v>
      </c>
      <c r="C29" s="3991">
        <f>SUM(D29:O29)</f>
        <v>24063640</v>
      </c>
      <c r="D29" s="3991">
        <v>2864490</v>
      </c>
      <c r="E29" s="3991">
        <v>1113670</v>
      </c>
      <c r="F29" s="3991">
        <v>2029430</v>
      </c>
      <c r="G29" s="3991">
        <v>1875410</v>
      </c>
      <c r="H29" s="3991">
        <v>1695770</v>
      </c>
      <c r="I29" s="3991">
        <v>2505840</v>
      </c>
      <c r="J29" s="3991">
        <v>2211620</v>
      </c>
      <c r="K29" s="3991">
        <v>1625220</v>
      </c>
      <c r="L29" s="3991">
        <v>1877830</v>
      </c>
      <c r="M29" s="3991">
        <v>2102200</v>
      </c>
      <c r="N29" s="3991">
        <v>1964680</v>
      </c>
      <c r="O29" s="3991">
        <v>2197480</v>
      </c>
      <c r="P29" s="3991"/>
      <c r="Q29" s="3991"/>
      <c r="R29" s="3991"/>
      <c r="S29" s="3991"/>
      <c r="T29" s="3991"/>
      <c r="U29" s="3991"/>
      <c r="V29" s="3991"/>
      <c r="W29" s="3991"/>
      <c r="X29" s="3991"/>
      <c r="Y29" s="3991"/>
      <c r="Z29" s="3991"/>
      <c r="AA29" s="3991"/>
      <c r="AB29" s="3991"/>
      <c r="AC29" s="4034"/>
      <c r="AD29" s="4034"/>
      <c r="AE29" s="4034"/>
      <c r="AF29" s="4034"/>
      <c r="AG29" s="4034"/>
      <c r="AH29" s="4034"/>
      <c r="AI29" s="4034"/>
      <c r="AJ29" s="4034"/>
      <c r="AK29" s="4034"/>
      <c r="AL29" s="4034"/>
      <c r="AM29" s="4034"/>
      <c r="AN29" s="4034"/>
      <c r="AO29" s="4039"/>
      <c r="AP29" s="4040"/>
      <c r="AQ29" s="4034"/>
      <c r="AR29" s="4034"/>
      <c r="AS29" s="4034"/>
      <c r="AT29" s="4034"/>
      <c r="AU29" s="4034"/>
      <c r="AV29" s="4034"/>
      <c r="AW29" s="4034"/>
      <c r="AX29" s="4034"/>
      <c r="AY29" s="4034"/>
      <c r="AZ29" s="4034"/>
      <c r="BA29" s="4034"/>
      <c r="BB29" s="4039"/>
      <c r="BC29" s="3984"/>
      <c r="BD29" s="3984"/>
      <c r="BE29" s="3984"/>
      <c r="BF29" s="3984"/>
      <c r="BG29" s="3984"/>
      <c r="BH29" s="3984"/>
      <c r="BI29" s="3984"/>
      <c r="BJ29" s="3984"/>
      <c r="BK29" s="3984"/>
      <c r="BL29" s="3984"/>
      <c r="BM29" s="3984"/>
      <c r="BN29" s="3984"/>
      <c r="BO29" s="3984"/>
      <c r="BP29" s="3984"/>
      <c r="BQ29" s="3984"/>
      <c r="BR29" s="3957"/>
      <c r="BS29" s="4002"/>
      <c r="BT29" s="3984"/>
      <c r="BU29" s="3984"/>
      <c r="BV29" s="3984"/>
      <c r="BW29" s="3984"/>
      <c r="BX29" s="3985"/>
      <c r="BY29" s="3984"/>
      <c r="BZ29" s="3984"/>
      <c r="CA29" s="3984"/>
      <c r="CB29" s="3984"/>
      <c r="CC29" s="3984"/>
      <c r="CD29" s="3984"/>
      <c r="CE29" s="3984"/>
      <c r="CF29" s="3984"/>
      <c r="CG29" s="3984"/>
      <c r="CH29" s="3984"/>
      <c r="CI29" s="3984"/>
      <c r="CJ29" s="3957"/>
      <c r="CK29" s="3945"/>
    </row>
    <row r="30" spans="1:89" s="3943" customFormat="1" ht="13.5" customHeight="1">
      <c r="A30" s="3989"/>
      <c r="B30" s="4053" t="s">
        <v>4746</v>
      </c>
      <c r="C30" s="4024">
        <f>SUM(D30:O30)</f>
        <v>166260000</v>
      </c>
      <c r="D30" s="4024">
        <v>14240000</v>
      </c>
      <c r="E30" s="4024">
        <v>14240000</v>
      </c>
      <c r="F30" s="4024">
        <v>14240000</v>
      </c>
      <c r="G30" s="4024">
        <v>14240000</v>
      </c>
      <c r="H30" s="4024">
        <v>14240000</v>
      </c>
      <c r="I30" s="4024">
        <v>14240000</v>
      </c>
      <c r="J30" s="4024">
        <v>13470000</v>
      </c>
      <c r="K30" s="4024">
        <v>13470000</v>
      </c>
      <c r="L30" s="4024">
        <v>13470000</v>
      </c>
      <c r="M30" s="4024">
        <v>13470000</v>
      </c>
      <c r="N30" s="4024">
        <v>13470000</v>
      </c>
      <c r="O30" s="4024">
        <v>13470000</v>
      </c>
      <c r="P30" s="4024">
        <f>SUM(Q30:AB30)</f>
        <v>73920000</v>
      </c>
      <c r="Q30" s="4024">
        <v>6160000</v>
      </c>
      <c r="R30" s="4024">
        <v>6160000</v>
      </c>
      <c r="S30" s="4024">
        <v>6160000</v>
      </c>
      <c r="T30" s="4024">
        <v>6160000</v>
      </c>
      <c r="U30" s="4024">
        <v>6160000</v>
      </c>
      <c r="V30" s="4024">
        <v>6160000</v>
      </c>
      <c r="W30" s="4024">
        <v>6160000</v>
      </c>
      <c r="X30" s="4024">
        <v>6160000</v>
      </c>
      <c r="Y30" s="4024">
        <v>6160000</v>
      </c>
      <c r="Z30" s="4024">
        <v>6160000</v>
      </c>
      <c r="AA30" s="4024">
        <v>6160000</v>
      </c>
      <c r="AB30" s="4024">
        <v>6160000</v>
      </c>
      <c r="AC30" s="4026">
        <f t="shared" si="2"/>
        <v>87200000</v>
      </c>
      <c r="AD30" s="4026">
        <v>3850000</v>
      </c>
      <c r="AE30" s="4026">
        <v>3850000</v>
      </c>
      <c r="AF30" s="4026">
        <v>7950000</v>
      </c>
      <c r="AG30" s="4026">
        <v>7950000</v>
      </c>
      <c r="AH30" s="4026">
        <v>7950000</v>
      </c>
      <c r="AI30" s="4026">
        <v>7950000</v>
      </c>
      <c r="AJ30" s="4026">
        <v>7950000</v>
      </c>
      <c r="AK30" s="4026">
        <v>7950000</v>
      </c>
      <c r="AL30" s="4026">
        <v>7950000</v>
      </c>
      <c r="AM30" s="4026">
        <v>7950000</v>
      </c>
      <c r="AN30" s="4026">
        <v>7950000</v>
      </c>
      <c r="AO30" s="4054">
        <v>7950000</v>
      </c>
      <c r="AP30" s="4055">
        <f t="shared" si="3"/>
        <v>88840000</v>
      </c>
      <c r="AQ30" s="4026">
        <v>7950000</v>
      </c>
      <c r="AR30" s="4026">
        <v>7950000</v>
      </c>
      <c r="AS30" s="4026">
        <v>7950000</v>
      </c>
      <c r="AT30" s="4026">
        <v>7950000</v>
      </c>
      <c r="AU30" s="4026">
        <v>7950000</v>
      </c>
      <c r="AV30" s="4026">
        <v>7950000</v>
      </c>
      <c r="AW30" s="4026">
        <v>7950000</v>
      </c>
      <c r="AX30" s="4026">
        <v>7950000</v>
      </c>
      <c r="AY30" s="4026">
        <v>6310000</v>
      </c>
      <c r="AZ30" s="4026">
        <v>6310000</v>
      </c>
      <c r="BA30" s="4026">
        <v>6310000</v>
      </c>
      <c r="BB30" s="4054">
        <v>6310000</v>
      </c>
      <c r="BC30" s="3984"/>
      <c r="BD30" s="3984"/>
      <c r="BE30" s="3984"/>
      <c r="BF30" s="3984"/>
      <c r="BG30" s="3984"/>
      <c r="BH30" s="3984"/>
      <c r="BI30" s="3984"/>
      <c r="BJ30" s="3984"/>
      <c r="BK30" s="3984"/>
      <c r="BL30" s="3984"/>
      <c r="BM30" s="3984"/>
      <c r="BN30" s="3984"/>
      <c r="BO30" s="3984"/>
      <c r="BP30" s="3984"/>
      <c r="BQ30" s="3984"/>
      <c r="BR30" s="3957"/>
      <c r="BS30" s="4002"/>
      <c r="BT30" s="3984"/>
      <c r="BU30" s="3984"/>
      <c r="BV30" s="3984"/>
      <c r="BW30" s="3984"/>
      <c r="BX30" s="3985"/>
      <c r="BY30" s="3984"/>
      <c r="BZ30" s="3984"/>
      <c r="CA30" s="3984"/>
      <c r="CB30" s="3984"/>
      <c r="CC30" s="3984"/>
      <c r="CD30" s="3984"/>
      <c r="CE30" s="3984"/>
      <c r="CF30" s="3984"/>
      <c r="CG30" s="3984"/>
      <c r="CH30" s="3984"/>
      <c r="CI30" s="3984"/>
      <c r="CJ30" s="3957"/>
      <c r="CK30" s="3945"/>
    </row>
    <row r="31" spans="1:89" s="3943" customFormat="1" ht="13.5" customHeight="1">
      <c r="A31" s="5675" t="s">
        <v>4625</v>
      </c>
      <c r="B31" s="5676"/>
      <c r="C31" s="4056">
        <f t="shared" ref="C31:BB31" si="11">SUM(C10,C13,C16,C17)</f>
        <v>22155789599.599998</v>
      </c>
      <c r="D31" s="4056">
        <f t="shared" si="11"/>
        <v>1856059388</v>
      </c>
      <c r="E31" s="4056">
        <f t="shared" si="11"/>
        <v>1705523977</v>
      </c>
      <c r="F31" s="4056">
        <f t="shared" si="11"/>
        <v>1917674375</v>
      </c>
      <c r="G31" s="4056">
        <f t="shared" si="11"/>
        <v>1809911165</v>
      </c>
      <c r="H31" s="4056">
        <f t="shared" si="11"/>
        <v>1747465479</v>
      </c>
      <c r="I31" s="4056">
        <f t="shared" si="11"/>
        <v>1915871392</v>
      </c>
      <c r="J31" s="4056">
        <f t="shared" si="11"/>
        <v>1875744608</v>
      </c>
      <c r="K31" s="4056">
        <f t="shared" si="11"/>
        <v>1871147077.5999999</v>
      </c>
      <c r="L31" s="4056">
        <f t="shared" si="11"/>
        <v>1747908722</v>
      </c>
      <c r="M31" s="4056">
        <f t="shared" si="11"/>
        <v>1891984748</v>
      </c>
      <c r="N31" s="4056">
        <f t="shared" si="11"/>
        <v>1824979522</v>
      </c>
      <c r="O31" s="4056">
        <f t="shared" si="11"/>
        <v>1991519146</v>
      </c>
      <c r="P31" s="4056">
        <f t="shared" si="11"/>
        <v>24047832912</v>
      </c>
      <c r="Q31" s="4056">
        <f t="shared" si="11"/>
        <v>1803221986</v>
      </c>
      <c r="R31" s="4056">
        <f t="shared" si="11"/>
        <v>1858424370</v>
      </c>
      <c r="S31" s="4056">
        <f t="shared" si="11"/>
        <v>1932116614</v>
      </c>
      <c r="T31" s="4056">
        <f t="shared" si="11"/>
        <v>1848822617</v>
      </c>
      <c r="U31" s="4056">
        <f t="shared" si="11"/>
        <v>1886978921</v>
      </c>
      <c r="V31" s="4056">
        <f t="shared" si="11"/>
        <v>1967360656</v>
      </c>
      <c r="W31" s="4056">
        <f t="shared" si="11"/>
        <v>2052439086</v>
      </c>
      <c r="X31" s="4056">
        <f t="shared" si="11"/>
        <v>2135031365</v>
      </c>
      <c r="Y31" s="4056">
        <f t="shared" si="11"/>
        <v>2082818977</v>
      </c>
      <c r="Z31" s="4056">
        <f t="shared" si="11"/>
        <v>2147834066</v>
      </c>
      <c r="AA31" s="4056">
        <f t="shared" si="11"/>
        <v>2029822031</v>
      </c>
      <c r="AB31" s="4056">
        <f t="shared" si="11"/>
        <v>2302962223</v>
      </c>
      <c r="AC31" s="4056">
        <f t="shared" si="11"/>
        <v>26585109807</v>
      </c>
      <c r="AD31" s="4056">
        <f t="shared" si="11"/>
        <v>1847871005</v>
      </c>
      <c r="AE31" s="4056">
        <f t="shared" si="11"/>
        <v>2156373950</v>
      </c>
      <c r="AF31" s="4056">
        <f t="shared" si="11"/>
        <v>2159576761</v>
      </c>
      <c r="AG31" s="4056">
        <f t="shared" si="11"/>
        <v>2092319504</v>
      </c>
      <c r="AH31" s="4056">
        <f t="shared" si="11"/>
        <v>2423648006</v>
      </c>
      <c r="AI31" s="4056">
        <f t="shared" si="11"/>
        <v>2328338546</v>
      </c>
      <c r="AJ31" s="4056">
        <f t="shared" si="11"/>
        <v>2446842966</v>
      </c>
      <c r="AK31" s="4056">
        <f t="shared" si="11"/>
        <v>2421541831</v>
      </c>
      <c r="AL31" s="4056">
        <f t="shared" si="11"/>
        <v>2122874623</v>
      </c>
      <c r="AM31" s="4056">
        <f t="shared" si="11"/>
        <v>2265156990</v>
      </c>
      <c r="AN31" s="4056">
        <f t="shared" si="11"/>
        <v>2251674539</v>
      </c>
      <c r="AO31" s="4056">
        <f t="shared" si="11"/>
        <v>2068891086</v>
      </c>
      <c r="AP31" s="4057">
        <f t="shared" si="11"/>
        <v>24601460014</v>
      </c>
      <c r="AQ31" s="4058">
        <f t="shared" si="11"/>
        <v>2214462836</v>
      </c>
      <c r="AR31" s="4058">
        <f t="shared" si="11"/>
        <v>1839596126</v>
      </c>
      <c r="AS31" s="4058">
        <f t="shared" si="11"/>
        <v>2189692268</v>
      </c>
      <c r="AT31" s="4058">
        <f t="shared" si="11"/>
        <v>1920399915</v>
      </c>
      <c r="AU31" s="4058">
        <f t="shared" si="11"/>
        <v>2238288258</v>
      </c>
      <c r="AV31" s="4058">
        <f t="shared" si="11"/>
        <v>2006376471</v>
      </c>
      <c r="AW31" s="4058">
        <f t="shared" si="11"/>
        <v>2169697412</v>
      </c>
      <c r="AX31" s="4058">
        <f t="shared" si="11"/>
        <v>2050832746</v>
      </c>
      <c r="AY31" s="4058">
        <f t="shared" si="11"/>
        <v>1917806668</v>
      </c>
      <c r="AZ31" s="4058">
        <f t="shared" si="11"/>
        <v>2137842407</v>
      </c>
      <c r="BA31" s="4058">
        <f t="shared" si="11"/>
        <v>2053770407</v>
      </c>
      <c r="BB31" s="4059">
        <f t="shared" si="11"/>
        <v>1862694500</v>
      </c>
      <c r="BC31" s="3967"/>
      <c r="BD31" s="3967"/>
      <c r="BE31" s="3967"/>
      <c r="BF31" s="3967"/>
      <c r="BG31" s="3955"/>
      <c r="BH31" s="3955"/>
      <c r="BI31" s="3955"/>
      <c r="BJ31" s="3955"/>
      <c r="BK31" s="3955"/>
      <c r="BL31" s="3955"/>
      <c r="BM31" s="3955"/>
      <c r="BN31" s="3955"/>
      <c r="BO31" s="3955"/>
      <c r="BP31" s="3955"/>
      <c r="BQ31" s="3955"/>
      <c r="BR31" s="3957"/>
      <c r="BS31" s="3968"/>
      <c r="BT31" s="3967"/>
      <c r="BU31" s="3967"/>
      <c r="BV31" s="3967"/>
      <c r="BW31" s="3967"/>
      <c r="BX31" s="4060"/>
      <c r="BY31" s="3955"/>
      <c r="BZ31" s="3955"/>
      <c r="CA31" s="3955"/>
      <c r="CB31" s="3955"/>
      <c r="CC31" s="3955"/>
      <c r="CD31" s="3955"/>
      <c r="CE31" s="3955"/>
      <c r="CF31" s="3955"/>
      <c r="CG31" s="3955"/>
      <c r="CH31" s="3955"/>
      <c r="CI31" s="3955"/>
      <c r="CJ31" s="3957"/>
      <c r="CK31" s="3945"/>
    </row>
    <row r="32" spans="1:89" s="3943" customFormat="1" ht="13.5" customHeight="1">
      <c r="C32" s="3985"/>
      <c r="D32" s="3985"/>
      <c r="E32" s="3985"/>
      <c r="F32" s="3985"/>
      <c r="G32" s="3985"/>
      <c r="H32" s="3985"/>
      <c r="I32" s="3985"/>
      <c r="J32" s="3985"/>
      <c r="K32" s="3985"/>
      <c r="L32" s="3985"/>
      <c r="M32" s="3985"/>
      <c r="N32" s="3985"/>
      <c r="O32" s="3985"/>
      <c r="P32" s="3985"/>
      <c r="Q32" s="3985"/>
      <c r="R32" s="3985"/>
      <c r="S32" s="3985"/>
      <c r="T32" s="3985"/>
      <c r="U32" s="3985"/>
      <c r="V32" s="3985"/>
      <c r="W32" s="3985"/>
      <c r="X32" s="3985"/>
      <c r="Y32" s="3985"/>
      <c r="Z32" s="3985"/>
      <c r="AA32" s="3985"/>
      <c r="AB32" s="3985"/>
      <c r="AC32" s="3985"/>
      <c r="AD32" s="3985"/>
      <c r="AE32" s="3985"/>
      <c r="AF32" s="3985"/>
      <c r="AG32" s="3985"/>
      <c r="AH32" s="3985"/>
      <c r="AI32" s="3985"/>
      <c r="AJ32" s="3985"/>
      <c r="AK32" s="3985"/>
      <c r="AL32" s="3985"/>
      <c r="AM32" s="3985"/>
      <c r="AN32" s="3985"/>
      <c r="AO32" s="3985"/>
      <c r="AP32" s="3985"/>
      <c r="AQ32" s="3945"/>
      <c r="AR32" s="3945"/>
      <c r="AS32" s="3945"/>
      <c r="AT32" s="3945"/>
      <c r="AU32" s="3945"/>
      <c r="AV32" s="3945"/>
      <c r="AW32" s="3945"/>
      <c r="AX32" s="3945"/>
      <c r="AY32" s="3945"/>
      <c r="AZ32" s="3945"/>
      <c r="BA32" s="3945"/>
      <c r="BB32" s="4061"/>
      <c r="BG32" s="3945"/>
      <c r="BH32" s="3945"/>
      <c r="BI32" s="3945"/>
      <c r="BJ32" s="3945"/>
      <c r="BK32" s="3945"/>
      <c r="BL32" s="3945"/>
      <c r="BM32" s="3945"/>
      <c r="BN32" s="3945"/>
      <c r="BO32" s="3945"/>
      <c r="BP32" s="3945"/>
      <c r="BQ32" s="3945"/>
      <c r="BR32" s="3945"/>
      <c r="BS32" s="3945"/>
      <c r="BX32" s="3985"/>
      <c r="BY32" s="3945"/>
      <c r="BZ32" s="3945"/>
      <c r="CA32" s="3945"/>
      <c r="CB32" s="3945"/>
      <c r="CC32" s="3945"/>
      <c r="CD32" s="3945"/>
      <c r="CE32" s="3945"/>
      <c r="CF32" s="3945"/>
      <c r="CG32" s="3945"/>
      <c r="CH32" s="3945"/>
      <c r="CI32" s="3945"/>
      <c r="CJ32" s="3945"/>
    </row>
    <row r="33" spans="1:88" s="3943" customFormat="1" ht="13.5" customHeight="1">
      <c r="A33" s="5677" t="s">
        <v>4747</v>
      </c>
      <c r="B33" s="5678"/>
      <c r="C33" s="4005">
        <f t="shared" ref="C33" si="12">SUM(D33:O33)</f>
        <v>171526149</v>
      </c>
      <c r="D33" s="4005">
        <v>19524380.300000001</v>
      </c>
      <c r="E33" s="4005">
        <v>19736080</v>
      </c>
      <c r="F33" s="4005">
        <v>23352339.699999999</v>
      </c>
      <c r="G33" s="4005">
        <v>17490170</v>
      </c>
      <c r="H33" s="4005">
        <v>16689020</v>
      </c>
      <c r="I33" s="4005">
        <v>25130589</v>
      </c>
      <c r="J33" s="4005">
        <v>6199120</v>
      </c>
      <c r="K33" s="4005">
        <v>5055600</v>
      </c>
      <c r="L33" s="4005">
        <v>19083490</v>
      </c>
      <c r="M33" s="4005">
        <v>5970460</v>
      </c>
      <c r="N33" s="4005">
        <v>3966960</v>
      </c>
      <c r="O33" s="4005">
        <v>9327940</v>
      </c>
      <c r="P33" s="4005">
        <f t="shared" ref="P33" si="13">SUM(Q33:AB33)</f>
        <v>90930580</v>
      </c>
      <c r="Q33" s="4005">
        <v>5005270</v>
      </c>
      <c r="R33" s="4005">
        <v>3186080</v>
      </c>
      <c r="S33" s="4005">
        <v>9306310</v>
      </c>
      <c r="T33" s="4005">
        <v>4827440</v>
      </c>
      <c r="U33" s="4005">
        <v>3474800</v>
      </c>
      <c r="V33" s="4005">
        <v>6212680</v>
      </c>
      <c r="W33" s="4005"/>
      <c r="X33" s="4005"/>
      <c r="Y33" s="4005">
        <v>53378640</v>
      </c>
      <c r="Z33" s="4005"/>
      <c r="AA33" s="4005"/>
      <c r="AB33" s="4005">
        <v>5539360</v>
      </c>
      <c r="AC33" s="4062">
        <f t="shared" si="2"/>
        <v>210583840</v>
      </c>
      <c r="AD33" s="4063">
        <v>0</v>
      </c>
      <c r="AE33" s="4064">
        <v>0</v>
      </c>
      <c r="AF33" s="4064">
        <v>5810400</v>
      </c>
      <c r="AG33" s="4065">
        <v>0</v>
      </c>
      <c r="AH33" s="4065">
        <v>0</v>
      </c>
      <c r="AI33" s="4065">
        <v>176672640</v>
      </c>
      <c r="AJ33" s="4065">
        <v>0</v>
      </c>
      <c r="AK33" s="4065">
        <v>0</v>
      </c>
      <c r="AL33" s="4065">
        <v>28100800</v>
      </c>
      <c r="AM33" s="4065">
        <v>0</v>
      </c>
      <c r="AN33" s="4065">
        <v>0</v>
      </c>
      <c r="AO33" s="4066">
        <v>0</v>
      </c>
      <c r="AP33" s="4066">
        <f t="shared" ref="AP33" si="14">SUM(AQ33:BB33)</f>
        <v>29517236</v>
      </c>
      <c r="AQ33" s="4062">
        <v>11205046</v>
      </c>
      <c r="AR33" s="4067"/>
      <c r="AS33" s="4067"/>
      <c r="AT33" s="4067"/>
      <c r="AU33" s="4067"/>
      <c r="AV33" s="4067">
        <v>5649280</v>
      </c>
      <c r="AW33" s="4067">
        <v>4076630</v>
      </c>
      <c r="AX33" s="4067"/>
      <c r="AY33" s="4067"/>
      <c r="AZ33" s="4067">
        <v>8586280</v>
      </c>
      <c r="BA33" s="4067"/>
      <c r="BB33" s="4067"/>
      <c r="BC33" s="3958"/>
      <c r="BD33" s="3958"/>
      <c r="BE33" s="3958"/>
      <c r="BF33" s="3985"/>
      <c r="BG33" s="3985"/>
      <c r="BH33" s="4068"/>
      <c r="BI33" s="4068"/>
      <c r="BJ33" s="4068"/>
      <c r="BK33" s="4068"/>
      <c r="BL33" s="4068"/>
      <c r="BM33" s="4068"/>
      <c r="BN33" s="4068"/>
      <c r="BO33" s="4068"/>
      <c r="BP33" s="4068"/>
      <c r="BQ33" s="4068"/>
      <c r="BR33" s="4068"/>
      <c r="BS33" s="3958"/>
      <c r="BT33" s="3958"/>
      <c r="BU33" s="3958"/>
      <c r="BV33" s="3958"/>
      <c r="BW33" s="3985"/>
      <c r="BX33" s="3985"/>
      <c r="BY33" s="3985"/>
      <c r="BZ33" s="4068"/>
      <c r="CA33" s="4068"/>
      <c r="CB33" s="4068"/>
      <c r="CC33" s="4068"/>
      <c r="CD33" s="4068"/>
      <c r="CE33" s="4068"/>
      <c r="CF33" s="4068"/>
      <c r="CG33" s="4068"/>
      <c r="CH33" s="4068"/>
      <c r="CI33" s="4068"/>
      <c r="CJ33" s="4068"/>
    </row>
    <row r="34" spans="1:88" s="3943" customFormat="1" ht="13.5" customHeight="1">
      <c r="A34" s="5677" t="s">
        <v>4748</v>
      </c>
      <c r="B34" s="5678"/>
      <c r="C34" s="4062">
        <f t="shared" ref="C34:BB34" si="15">C31-C33</f>
        <v>21984263450.599998</v>
      </c>
      <c r="D34" s="4062">
        <f t="shared" si="15"/>
        <v>1836535007.7</v>
      </c>
      <c r="E34" s="4062">
        <f t="shared" si="15"/>
        <v>1685787897</v>
      </c>
      <c r="F34" s="4062">
        <f t="shared" si="15"/>
        <v>1894322035.3</v>
      </c>
      <c r="G34" s="4062">
        <f t="shared" si="15"/>
        <v>1792420995</v>
      </c>
      <c r="H34" s="4062">
        <f t="shared" si="15"/>
        <v>1730776459</v>
      </c>
      <c r="I34" s="4062">
        <f t="shared" si="15"/>
        <v>1890740803</v>
      </c>
      <c r="J34" s="4062">
        <f t="shared" si="15"/>
        <v>1869545488</v>
      </c>
      <c r="K34" s="4062">
        <f t="shared" si="15"/>
        <v>1866091477.5999999</v>
      </c>
      <c r="L34" s="4062">
        <f t="shared" si="15"/>
        <v>1728825232</v>
      </c>
      <c r="M34" s="4062">
        <f t="shared" si="15"/>
        <v>1886014288</v>
      </c>
      <c r="N34" s="4062">
        <f t="shared" si="15"/>
        <v>1821012562</v>
      </c>
      <c r="O34" s="4062">
        <f t="shared" si="15"/>
        <v>1982191206</v>
      </c>
      <c r="P34" s="4062">
        <f t="shared" si="15"/>
        <v>23956902332</v>
      </c>
      <c r="Q34" s="4062">
        <f t="shared" si="15"/>
        <v>1798216716</v>
      </c>
      <c r="R34" s="4062">
        <f t="shared" si="15"/>
        <v>1855238290</v>
      </c>
      <c r="S34" s="4062">
        <f t="shared" si="15"/>
        <v>1922810304</v>
      </c>
      <c r="T34" s="4062">
        <f t="shared" si="15"/>
        <v>1843995177</v>
      </c>
      <c r="U34" s="4062">
        <f t="shared" si="15"/>
        <v>1883504121</v>
      </c>
      <c r="V34" s="4062">
        <f t="shared" si="15"/>
        <v>1961147976</v>
      </c>
      <c r="W34" s="4062">
        <f t="shared" si="15"/>
        <v>2052439086</v>
      </c>
      <c r="X34" s="4062">
        <f t="shared" si="15"/>
        <v>2135031365</v>
      </c>
      <c r="Y34" s="4062">
        <f t="shared" si="15"/>
        <v>2029440337</v>
      </c>
      <c r="Z34" s="4062">
        <f t="shared" si="15"/>
        <v>2147834066</v>
      </c>
      <c r="AA34" s="4062">
        <f t="shared" si="15"/>
        <v>2029822031</v>
      </c>
      <c r="AB34" s="4062">
        <f t="shared" si="15"/>
        <v>2297422863</v>
      </c>
      <c r="AC34" s="4062">
        <f t="shared" si="15"/>
        <v>26374525967</v>
      </c>
      <c r="AD34" s="4063">
        <f t="shared" si="15"/>
        <v>1847871005</v>
      </c>
      <c r="AE34" s="4064">
        <f t="shared" si="15"/>
        <v>2156373950</v>
      </c>
      <c r="AF34" s="4064">
        <f t="shared" si="15"/>
        <v>2153766361</v>
      </c>
      <c r="AG34" s="4064">
        <f t="shared" si="15"/>
        <v>2092319504</v>
      </c>
      <c r="AH34" s="4064">
        <f t="shared" si="15"/>
        <v>2423648006</v>
      </c>
      <c r="AI34" s="4064">
        <f t="shared" si="15"/>
        <v>2151665906</v>
      </c>
      <c r="AJ34" s="4064">
        <f t="shared" si="15"/>
        <v>2446842966</v>
      </c>
      <c r="AK34" s="4064">
        <f t="shared" si="15"/>
        <v>2421541831</v>
      </c>
      <c r="AL34" s="4064">
        <f t="shared" si="15"/>
        <v>2094773823</v>
      </c>
      <c r="AM34" s="4064">
        <f t="shared" si="15"/>
        <v>2265156990</v>
      </c>
      <c r="AN34" s="4064">
        <f t="shared" si="15"/>
        <v>2251674539</v>
      </c>
      <c r="AO34" s="4069">
        <f t="shared" si="15"/>
        <v>2068891086</v>
      </c>
      <c r="AP34" s="4069">
        <f t="shared" si="15"/>
        <v>24571942778</v>
      </c>
      <c r="AQ34" s="4070">
        <f t="shared" si="15"/>
        <v>2203257790</v>
      </c>
      <c r="AR34" s="4070">
        <f t="shared" si="15"/>
        <v>1839596126</v>
      </c>
      <c r="AS34" s="4070">
        <f t="shared" si="15"/>
        <v>2189692268</v>
      </c>
      <c r="AT34" s="4070">
        <f t="shared" si="15"/>
        <v>1920399915</v>
      </c>
      <c r="AU34" s="4070">
        <f t="shared" si="15"/>
        <v>2238288258</v>
      </c>
      <c r="AV34" s="4070">
        <f t="shared" si="15"/>
        <v>2000727191</v>
      </c>
      <c r="AW34" s="4070">
        <f t="shared" si="15"/>
        <v>2165620782</v>
      </c>
      <c r="AX34" s="4070">
        <f t="shared" si="15"/>
        <v>2050832746</v>
      </c>
      <c r="AY34" s="4070">
        <f t="shared" si="15"/>
        <v>1917806668</v>
      </c>
      <c r="AZ34" s="4070">
        <f t="shared" si="15"/>
        <v>2129256127</v>
      </c>
      <c r="BA34" s="4070">
        <f t="shared" si="15"/>
        <v>2053770407</v>
      </c>
      <c r="BB34" s="4070">
        <f t="shared" si="15"/>
        <v>1862694500</v>
      </c>
      <c r="BC34" s="4071"/>
      <c r="BD34" s="4071"/>
      <c r="BE34" s="4071"/>
      <c r="BF34" s="4071"/>
      <c r="BG34" s="4071"/>
      <c r="BH34" s="4071"/>
      <c r="BI34" s="4071"/>
      <c r="BJ34" s="4071"/>
      <c r="BK34" s="4071"/>
      <c r="BL34" s="4071"/>
      <c r="BM34" s="4071"/>
      <c r="BN34" s="4071"/>
      <c r="BO34" s="4071"/>
      <c r="BP34" s="4071"/>
      <c r="BQ34" s="4071"/>
      <c r="BR34" s="4071"/>
      <c r="BS34" s="4071"/>
      <c r="BT34" s="4071"/>
      <c r="BU34" s="4071"/>
      <c r="BV34" s="4071"/>
      <c r="BW34" s="4071"/>
      <c r="BX34" s="3985"/>
      <c r="BY34" s="4071"/>
      <c r="BZ34" s="4071"/>
      <c r="CA34" s="4071"/>
      <c r="CB34" s="4071"/>
      <c r="CC34" s="4071"/>
      <c r="CD34" s="4071"/>
      <c r="CE34" s="4071"/>
      <c r="CF34" s="4071"/>
      <c r="CG34" s="4071"/>
      <c r="CH34" s="4071"/>
      <c r="CI34" s="4071"/>
      <c r="CJ34" s="4071"/>
    </row>
    <row r="35" spans="1:88" s="3943" customFormat="1" ht="13.5" customHeight="1"/>
    <row r="36" spans="1:88">
      <c r="K36" s="4073">
        <f>D38-K38</f>
        <v>0</v>
      </c>
      <c r="L36" s="4073">
        <f>E38-L38</f>
        <v>12.25460000000021</v>
      </c>
      <c r="M36" s="4073">
        <f>F38-M38</f>
        <v>458.30402799999865</v>
      </c>
    </row>
    <row r="37" spans="1:88">
      <c r="B37" s="1199" t="s">
        <v>4749</v>
      </c>
      <c r="C37" s="1199" t="s">
        <v>4750</v>
      </c>
      <c r="D37" s="4074">
        <v>2019</v>
      </c>
      <c r="E37" s="4074" t="s">
        <v>4751</v>
      </c>
      <c r="F37" s="4074" t="s">
        <v>4752</v>
      </c>
      <c r="I37" s="1199" t="s">
        <v>4753</v>
      </c>
      <c r="J37" s="1199" t="s">
        <v>1173</v>
      </c>
      <c r="K37" s="4074">
        <v>2019</v>
      </c>
      <c r="L37" s="4074" t="s">
        <v>4751</v>
      </c>
      <c r="M37" s="4074" t="s">
        <v>4752</v>
      </c>
    </row>
    <row r="38" spans="1:88">
      <c r="B38" s="4072" t="s">
        <v>4754</v>
      </c>
      <c r="D38" s="4075">
        <f>매출!R9</f>
        <v>24076.403345400002</v>
      </c>
      <c r="E38" s="4075">
        <f>매출!S9</f>
        <v>26597.364407000001</v>
      </c>
      <c r="F38" s="4075">
        <f>매출!T9</f>
        <v>25059.764041999999</v>
      </c>
      <c r="I38" s="4072" t="s">
        <v>4754</v>
      </c>
      <c r="K38" s="4076">
        <f>SUMIFS(31:31,$1:$1,K$37)/10^6+K48</f>
        <v>24076.403345400002</v>
      </c>
      <c r="L38" s="4075">
        <f>SUMIFS(31:31,$1:$1,L$37)/10^6</f>
        <v>26585.109807000001</v>
      </c>
      <c r="M38" s="4075">
        <f>SUMIFS(31:31,$1:$1,M$37)/10^6</f>
        <v>24601.460014</v>
      </c>
    </row>
    <row r="39" spans="1:88">
      <c r="B39" s="4072" t="s">
        <v>1107</v>
      </c>
      <c r="D39" s="4075">
        <f>매출!R10</f>
        <v>20193.458812000001</v>
      </c>
      <c r="E39" s="4075">
        <f>매출!S10</f>
        <v>22867.222892000002</v>
      </c>
      <c r="F39" s="4075">
        <f>매출!T10</f>
        <v>21458.159648999997</v>
      </c>
      <c r="I39" s="4072" t="s">
        <v>1107</v>
      </c>
      <c r="K39" s="4075">
        <f t="shared" ref="K39:M42" si="16">SUMIFS(10:10,$1:$1,K$37)/10^6</f>
        <v>20193.458812000001</v>
      </c>
      <c r="L39" s="4075">
        <f t="shared" si="16"/>
        <v>22867.222892000002</v>
      </c>
      <c r="M39" s="4075">
        <f t="shared" si="16"/>
        <v>21018.021175000002</v>
      </c>
    </row>
    <row r="40" spans="1:88">
      <c r="C40" s="4072" t="s">
        <v>245</v>
      </c>
      <c r="D40" s="4075">
        <f>매출!R11</f>
        <v>18668.362212</v>
      </c>
      <c r="E40" s="4075">
        <f>매출!S11</f>
        <v>21344.696992000001</v>
      </c>
      <c r="F40" s="4075">
        <f>매출!T11</f>
        <v>19801.882571999999</v>
      </c>
      <c r="J40" s="4072" t="s">
        <v>245</v>
      </c>
      <c r="K40" s="4075">
        <f t="shared" si="16"/>
        <v>18668.362212</v>
      </c>
      <c r="L40" s="4075">
        <f t="shared" si="16"/>
        <v>21344.696992000001</v>
      </c>
      <c r="M40" s="4075">
        <f t="shared" si="16"/>
        <v>19173.395874999998</v>
      </c>
    </row>
    <row r="41" spans="1:88">
      <c r="C41" s="4072" t="s">
        <v>246</v>
      </c>
      <c r="D41" s="4075">
        <f>매출!R12</f>
        <v>1525.0966000000001</v>
      </c>
      <c r="E41" s="4075">
        <f>매출!S12</f>
        <v>1522.5259000000001</v>
      </c>
      <c r="F41" s="4075">
        <f>매출!T12</f>
        <v>1656.277077</v>
      </c>
      <c r="J41" s="4072" t="s">
        <v>246</v>
      </c>
      <c r="K41" s="4075">
        <f t="shared" si="16"/>
        <v>1525.0966000000001</v>
      </c>
      <c r="L41" s="4075">
        <f t="shared" si="16"/>
        <v>1522.5259000000001</v>
      </c>
      <c r="M41" s="4075">
        <f t="shared" si="16"/>
        <v>1844.6252999999999</v>
      </c>
    </row>
    <row r="42" spans="1:88">
      <c r="B42" s="4072" t="s">
        <v>1110</v>
      </c>
      <c r="D42" s="4075">
        <f>매출!R13</f>
        <v>947.73433999999997</v>
      </c>
      <c r="E42" s="4075">
        <f>매출!S13</f>
        <v>1036.13796</v>
      </c>
      <c r="F42" s="4075">
        <f>매출!T13</f>
        <v>846.53314399999999</v>
      </c>
      <c r="I42" s="4072" t="s">
        <v>1110</v>
      </c>
      <c r="K42" s="4075">
        <f t="shared" si="16"/>
        <v>947.73433999999997</v>
      </c>
      <c r="L42" s="4075">
        <f t="shared" si="16"/>
        <v>1036.13796</v>
      </c>
      <c r="M42" s="4075">
        <f t="shared" si="16"/>
        <v>830.94958999999994</v>
      </c>
    </row>
    <row r="43" spans="1:88">
      <c r="B43" s="4072" t="s">
        <v>4755</v>
      </c>
      <c r="D43" s="4075">
        <f>매출!R14</f>
        <v>20.915559999999999</v>
      </c>
      <c r="E43" s="4075">
        <f>매출!S14</f>
        <v>41.002554999999994</v>
      </c>
      <c r="F43" s="4075">
        <f>매출!T14</f>
        <v>27.854049000000003</v>
      </c>
      <c r="I43" s="4072" t="s">
        <v>4755</v>
      </c>
      <c r="K43" s="4075">
        <f>SUMIFS(16:16,$1:$1,K$37)/10^6</f>
        <v>20.915559999999999</v>
      </c>
      <c r="L43" s="4075">
        <f>SUMIFS(16:16,$1:$1,L$37)/10^6</f>
        <v>41.002555000000001</v>
      </c>
      <c r="M43" s="4075">
        <f>SUMIFS(16:16,$1:$1,M$37)/10^6</f>
        <v>27.854049</v>
      </c>
    </row>
    <row r="44" spans="1:88">
      <c r="B44" s="4072" t="s">
        <v>4756</v>
      </c>
      <c r="D44" s="4075">
        <f>매출!R15</f>
        <v>2001.8</v>
      </c>
      <c r="E44" s="4075">
        <f>매출!S15</f>
        <v>2000</v>
      </c>
      <c r="F44" s="4075">
        <f>매출!T15</f>
        <v>2100</v>
      </c>
      <c r="I44" s="4072" t="s">
        <v>4756</v>
      </c>
      <c r="K44" s="4075">
        <f>SUMIFS(18:18,$1:$1,K$37)/10^6</f>
        <v>2001.8</v>
      </c>
      <c r="L44" s="4075">
        <f>SUMIFS(18:18,$1:$1,L$37)/10^6</f>
        <v>2000</v>
      </c>
      <c r="M44" s="4075">
        <f>SUMIFS(18:18,$1:$1,M$37)/10^6</f>
        <v>2100</v>
      </c>
    </row>
    <row r="45" spans="1:88">
      <c r="B45" s="4072" t="s">
        <v>4757</v>
      </c>
      <c r="D45" s="4075">
        <f>매출!R16</f>
        <v>28.570433399999999</v>
      </c>
      <c r="E45" s="4075">
        <f>매출!S16</f>
        <v>12.2546</v>
      </c>
      <c r="F45" s="4075">
        <f>매출!T16</f>
        <v>0</v>
      </c>
      <c r="I45" s="4072" t="s">
        <v>4757</v>
      </c>
      <c r="K45" s="4075"/>
      <c r="L45" s="4075"/>
      <c r="M45" s="4075"/>
    </row>
    <row r="46" spans="1:88">
      <c r="C46" s="4072" t="s">
        <v>4758</v>
      </c>
      <c r="D46" s="4075">
        <f>매출!R17</f>
        <v>0</v>
      </c>
      <c r="E46" s="4075">
        <f>매출!S17</f>
        <v>0</v>
      </c>
      <c r="F46" s="4075">
        <f>매출!T17</f>
        <v>0</v>
      </c>
      <c r="J46" s="4072" t="s">
        <v>4758</v>
      </c>
      <c r="K46" s="4075"/>
      <c r="L46" s="4075"/>
      <c r="M46" s="4075"/>
    </row>
    <row r="47" spans="1:88">
      <c r="C47" s="4072" t="s">
        <v>4759</v>
      </c>
      <c r="D47" s="4075">
        <f>매출!R18</f>
        <v>0</v>
      </c>
      <c r="E47" s="4075">
        <f>매출!S18</f>
        <v>0</v>
      </c>
      <c r="F47" s="4075">
        <f>매출!T18</f>
        <v>0</v>
      </c>
      <c r="J47" s="4072" t="s">
        <v>4759</v>
      </c>
      <c r="K47" s="4075"/>
      <c r="L47" s="4075"/>
      <c r="M47" s="4075"/>
    </row>
    <row r="48" spans="1:88">
      <c r="C48" s="4072" t="s">
        <v>4760</v>
      </c>
      <c r="D48" s="4075">
        <f>매출!R19</f>
        <v>28.570433399999999</v>
      </c>
      <c r="E48" s="4075">
        <f>매출!S19</f>
        <v>12.2546</v>
      </c>
      <c r="F48" s="4075">
        <f>매출!T19</f>
        <v>0</v>
      </c>
      <c r="J48" s="4072" t="s">
        <v>4760</v>
      </c>
      <c r="K48" s="4076">
        <f>D48</f>
        <v>28.570433399999999</v>
      </c>
      <c r="L48" s="4075"/>
      <c r="M48" s="4075"/>
    </row>
    <row r="49" spans="2:16">
      <c r="B49" s="4072" t="s">
        <v>4761</v>
      </c>
      <c r="D49" s="4075">
        <f>매출!R20</f>
        <v>883.92419999999993</v>
      </c>
      <c r="E49" s="4075">
        <f>매출!S20</f>
        <v>640.74639999999999</v>
      </c>
      <c r="F49" s="4075">
        <f>매출!T20</f>
        <v>627.21719999999993</v>
      </c>
      <c r="I49" s="4072" t="s">
        <v>4761</v>
      </c>
      <c r="K49" s="4075"/>
      <c r="L49" s="4075"/>
      <c r="M49" s="4075"/>
    </row>
    <row r="50" spans="2:16">
      <c r="C50" s="4072" t="s">
        <v>4762</v>
      </c>
      <c r="D50" s="4075">
        <f>매출!R21</f>
        <v>359.59620000000001</v>
      </c>
      <c r="E50" s="4075">
        <f>매출!S21</f>
        <v>346.00639999999999</v>
      </c>
      <c r="F50" s="4075">
        <f>매출!T21</f>
        <v>324.82920000000001</v>
      </c>
      <c r="J50" s="4072" t="s">
        <v>4762</v>
      </c>
      <c r="K50" s="4075">
        <f>SUMIFS(19:19,$1:$1,K$37)/10^6</f>
        <v>359.59620000000001</v>
      </c>
      <c r="L50" s="4075">
        <f>SUMIFS(19:19,$1:$1,L$37)/10^6</f>
        <v>346.00639999999999</v>
      </c>
      <c r="M50" s="4075">
        <f>SUMIFS(19:19,$1:$1,M$37)/10^6</f>
        <v>327.06720000000001</v>
      </c>
    </row>
    <row r="51" spans="2:16">
      <c r="C51" s="4072" t="s">
        <v>4763</v>
      </c>
      <c r="D51" s="4075">
        <f>매출!R22</f>
        <v>450.40799999999996</v>
      </c>
      <c r="E51" s="4075">
        <f>매출!S22</f>
        <v>207.54000000000002</v>
      </c>
      <c r="F51" s="4075">
        <f>매출!T22</f>
        <v>211.90800000000002</v>
      </c>
      <c r="J51" s="4072" t="s">
        <v>4763</v>
      </c>
      <c r="K51" s="4075">
        <f>SUMIFS(23:23,$1:$1,K$37)/10^6</f>
        <v>450.40800000000002</v>
      </c>
      <c r="L51" s="4075">
        <f>SUMIFS(23:23,$1:$1,L$37)/10^6</f>
        <v>207.54</v>
      </c>
      <c r="M51" s="4075">
        <f>SUMIFS(23:23,$1:$1,M$37)/10^6</f>
        <v>208.72800000000001</v>
      </c>
    </row>
    <row r="52" spans="2:16">
      <c r="C52" s="4072" t="s">
        <v>4764</v>
      </c>
      <c r="D52" s="4075">
        <f>매출!R23</f>
        <v>1.44</v>
      </c>
      <c r="E52" s="4075">
        <f>매출!S23</f>
        <v>1.8360000000000001</v>
      </c>
      <c r="F52" s="4075">
        <f>매출!T23</f>
        <v>3.024</v>
      </c>
      <c r="J52" s="4072" t="s">
        <v>4764</v>
      </c>
      <c r="K52" s="4075">
        <f>SUMIFS(27:27,$1:$1,K$37)/10^6</f>
        <v>1.44</v>
      </c>
      <c r="L52" s="4075">
        <f>SUMIFS(27:27,$1:$1,L$37)/10^6</f>
        <v>1.8360000000000001</v>
      </c>
      <c r="M52" s="4075">
        <f>SUMIFS(27:27,$1:$1,M$37)/10^6</f>
        <v>3.024</v>
      </c>
    </row>
    <row r="53" spans="2:16">
      <c r="C53" s="4072" t="s">
        <v>4765</v>
      </c>
      <c r="D53" s="4075">
        <f>매출!R24</f>
        <v>76.56</v>
      </c>
      <c r="E53" s="4075">
        <f>매출!S24</f>
        <v>38.159999999999997</v>
      </c>
      <c r="F53" s="4075">
        <f>매출!T24</f>
        <v>41.34</v>
      </c>
      <c r="J53" s="4072" t="s">
        <v>4765</v>
      </c>
      <c r="K53" s="4075">
        <f>SUMIFS(26:26,$1:$1,K$37)/10^6+SUMIFS(25:25,$1:$1,K$37)/10^6</f>
        <v>76.56</v>
      </c>
      <c r="L53" s="4075">
        <f>SUMIFS(26:26,$1:$1,L$37)/10^6+SUMIFS(25:25,$1:$1,L$37)/10^6</f>
        <v>38.159999999999997</v>
      </c>
      <c r="M53" s="4075">
        <f>SUMIFS(26:26,$1:$1,M$37)/10^6+SUMIFS(25:25,$1:$1,M$37)/10^6</f>
        <v>38.159999999999997</v>
      </c>
    </row>
    <row r="54" spans="2:16">
      <c r="C54" s="4072" t="s">
        <v>4766</v>
      </c>
      <c r="D54" s="4075">
        <f>매출!R25</f>
        <v>372.40799999999996</v>
      </c>
      <c r="E54" s="4075">
        <f>매출!S25</f>
        <v>167.54400000000001</v>
      </c>
      <c r="F54" s="4075">
        <f>매출!T25</f>
        <v>167.54400000000001</v>
      </c>
      <c r="J54" s="4072" t="s">
        <v>4766</v>
      </c>
      <c r="K54" s="4075">
        <f>SUMIFS(24:24,$1:$1,K$37)/10^6</f>
        <v>372.40800000000002</v>
      </c>
      <c r="L54" s="4075">
        <f>SUMIFS(24:24,$1:$1,L$37)/10^6</f>
        <v>167.54400000000001</v>
      </c>
      <c r="M54" s="4075">
        <f>SUMIFS(24:24,$1:$1,M$37)/10^6</f>
        <v>167.54400000000001</v>
      </c>
    </row>
    <row r="55" spans="2:16">
      <c r="C55" s="4072" t="s">
        <v>4767</v>
      </c>
      <c r="D55" s="4075">
        <f>매출!R26</f>
        <v>73.92</v>
      </c>
      <c r="E55" s="4075">
        <f>매출!S26</f>
        <v>87.199999999999989</v>
      </c>
      <c r="F55" s="4075">
        <f>매출!T26</f>
        <v>84.17</v>
      </c>
      <c r="J55" s="4072" t="s">
        <v>4767</v>
      </c>
      <c r="K55" s="4075">
        <f>SUMIFS(30:30,$1:$1,K$37)/10^6</f>
        <v>73.92</v>
      </c>
      <c r="L55" s="4075">
        <f>SUMIFS(30:30,$1:$1,L$37)/10^6</f>
        <v>87.2</v>
      </c>
      <c r="M55" s="4075">
        <f>SUMIFS(30:30,$1:$1,M$37)/10^6</f>
        <v>88.84</v>
      </c>
    </row>
    <row r="56" spans="2:16">
      <c r="C56" s="4072" t="s">
        <v>4768</v>
      </c>
      <c r="D56" s="4075">
        <f>매출!R27</f>
        <v>0</v>
      </c>
      <c r="E56" s="4075">
        <f>매출!S27</f>
        <v>0</v>
      </c>
      <c r="F56" s="4075">
        <f>매출!T27</f>
        <v>0</v>
      </c>
      <c r="J56" s="4072" t="s">
        <v>4768</v>
      </c>
      <c r="K56" s="4075">
        <f t="shared" ref="K56:M57" si="17">SUMIFS(28:28,$1:$1,K$37)/10^6</f>
        <v>0</v>
      </c>
      <c r="L56" s="4075">
        <f t="shared" si="17"/>
        <v>0</v>
      </c>
      <c r="M56" s="4075">
        <f t="shared" si="17"/>
        <v>0</v>
      </c>
    </row>
    <row r="57" spans="2:16">
      <c r="C57" s="4072" t="s">
        <v>4769</v>
      </c>
      <c r="D57" s="4075">
        <f>매출!R28</f>
        <v>0</v>
      </c>
      <c r="E57" s="4075">
        <f>매출!S28</f>
        <v>0</v>
      </c>
      <c r="F57" s="4075">
        <f>매출!T28</f>
        <v>6.31</v>
      </c>
      <c r="J57" s="4072" t="s">
        <v>4769</v>
      </c>
      <c r="K57" s="4075">
        <f t="shared" si="17"/>
        <v>0</v>
      </c>
      <c r="L57" s="4075">
        <f t="shared" si="17"/>
        <v>0</v>
      </c>
      <c r="M57" s="4075">
        <f t="shared" si="17"/>
        <v>0</v>
      </c>
    </row>
    <row r="58" spans="2:16">
      <c r="B58" s="4072" t="s">
        <v>4770</v>
      </c>
      <c r="D58" s="4075"/>
      <c r="E58" s="4075"/>
      <c r="F58" s="4075"/>
      <c r="I58" s="4072" t="s">
        <v>4770</v>
      </c>
      <c r="K58" s="4075"/>
      <c r="L58" s="4075"/>
      <c r="M58" s="4075"/>
    </row>
    <row r="59" spans="2:16">
      <c r="D59" s="4075"/>
      <c r="E59" s="4075"/>
      <c r="F59" s="4075"/>
    </row>
    <row r="60" spans="2:16">
      <c r="D60" s="4072">
        <v>2021</v>
      </c>
      <c r="E60" s="4072">
        <v>2021</v>
      </c>
      <c r="F60" s="4072">
        <v>2021</v>
      </c>
      <c r="G60" s="4072">
        <v>2021</v>
      </c>
      <c r="K60" s="4072">
        <v>2021</v>
      </c>
      <c r="L60" s="4072">
        <v>2021</v>
      </c>
      <c r="M60" s="4072">
        <v>2021</v>
      </c>
      <c r="N60" s="4072">
        <v>2021</v>
      </c>
    </row>
    <row r="61" spans="2:16">
      <c r="D61" s="4072">
        <v>1</v>
      </c>
      <c r="E61" s="4072">
        <v>2</v>
      </c>
      <c r="F61" s="4072">
        <v>3</v>
      </c>
      <c r="G61" s="4072">
        <v>4</v>
      </c>
      <c r="K61" s="4072">
        <v>1</v>
      </c>
      <c r="L61" s="4072">
        <v>2</v>
      </c>
      <c r="M61" s="4072">
        <v>3</v>
      </c>
      <c r="N61" s="4072">
        <v>4</v>
      </c>
    </row>
    <row r="62" spans="2:16">
      <c r="B62" s="1199" t="s">
        <v>4771</v>
      </c>
      <c r="C62" s="1199" t="s">
        <v>4772</v>
      </c>
      <c r="D62" s="4077">
        <v>44286</v>
      </c>
      <c r="E62" s="4077">
        <v>44377</v>
      </c>
      <c r="F62" s="4077">
        <v>44469</v>
      </c>
      <c r="G62" s="4077">
        <v>44561</v>
      </c>
      <c r="I62" s="1199" t="s">
        <v>4773</v>
      </c>
      <c r="J62" s="1199" t="s">
        <v>4774</v>
      </c>
      <c r="K62" s="4077">
        <v>44286</v>
      </c>
      <c r="L62" s="4077">
        <v>44377</v>
      </c>
      <c r="M62" s="4077">
        <v>44469</v>
      </c>
      <c r="N62" s="4077">
        <v>44561</v>
      </c>
    </row>
    <row r="63" spans="2:16">
      <c r="B63" s="4072" t="s">
        <v>1107</v>
      </c>
      <c r="D63" s="4078">
        <v>53.342793720000003</v>
      </c>
      <c r="E63" s="4078">
        <v>52.651439429999996</v>
      </c>
      <c r="F63" s="4078">
        <v>52.562886559999995</v>
      </c>
      <c r="G63" s="4078">
        <v>53.25199801238157</v>
      </c>
      <c r="I63" s="4072" t="s">
        <v>1107</v>
      </c>
      <c r="K63" s="4075">
        <f t="shared" ref="K63:N66" si="18">SUMIFS(10:10,$1:$1,K$60,$2:$2,K$61)/단위</f>
        <v>53.342793720000003</v>
      </c>
      <c r="L63" s="4075">
        <f t="shared" si="18"/>
        <v>52.651439430000003</v>
      </c>
      <c r="M63" s="4075">
        <f t="shared" si="18"/>
        <v>52.562886560000003</v>
      </c>
      <c r="N63" s="4075">
        <f t="shared" si="18"/>
        <v>51.623092040000003</v>
      </c>
      <c r="P63" s="4072" t="b">
        <f>SUM(K63:N63)=M39/100</f>
        <v>1</v>
      </c>
    </row>
    <row r="64" spans="2:16">
      <c r="C64" s="4072" t="s">
        <v>245</v>
      </c>
      <c r="D64" s="4078">
        <v>49.848968720000002</v>
      </c>
      <c r="E64" s="4078">
        <v>48.99541163</v>
      </c>
      <c r="F64" s="4078">
        <v>47.906044559999998</v>
      </c>
      <c r="G64" s="4078">
        <v>48.827773407327712</v>
      </c>
      <c r="J64" s="4072" t="s">
        <v>245</v>
      </c>
      <c r="K64" s="4075">
        <f t="shared" si="18"/>
        <v>49.848968720000002</v>
      </c>
      <c r="L64" s="4075">
        <f t="shared" si="18"/>
        <v>49.34341543</v>
      </c>
      <c r="M64" s="4075">
        <f t="shared" si="18"/>
        <v>47.906044559999998</v>
      </c>
      <c r="N64" s="4075">
        <f t="shared" si="18"/>
        <v>44.635530039999999</v>
      </c>
      <c r="P64" s="4072" t="b">
        <f t="shared" ref="P64:P68" si="19">SUM(K64:N64)=M40/100</f>
        <v>1</v>
      </c>
    </row>
    <row r="65" spans="2:16">
      <c r="C65" s="4072" t="s">
        <v>246</v>
      </c>
      <c r="D65" s="4078">
        <v>3.4938250000000002</v>
      </c>
      <c r="E65" s="4078">
        <v>3.6560277999999999</v>
      </c>
      <c r="F65" s="4078">
        <v>4.6568420000000001</v>
      </c>
      <c r="G65" s="4078">
        <v>4.4242246050538556</v>
      </c>
      <c r="J65" s="4072" t="s">
        <v>246</v>
      </c>
      <c r="K65" s="4075">
        <f t="shared" si="18"/>
        <v>3.4938250000000002</v>
      </c>
      <c r="L65" s="4075">
        <f t="shared" si="18"/>
        <v>3.3080240000000001</v>
      </c>
      <c r="M65" s="4075">
        <f t="shared" si="18"/>
        <v>4.6568420000000001</v>
      </c>
      <c r="N65" s="4075">
        <f t="shared" si="18"/>
        <v>6.9875619999999996</v>
      </c>
      <c r="P65" s="4072" t="b">
        <f t="shared" si="19"/>
        <v>1</v>
      </c>
    </row>
    <row r="66" spans="2:16">
      <c r="B66" s="4072" t="s">
        <v>1110</v>
      </c>
      <c r="D66" s="4078">
        <v>2.1450133</v>
      </c>
      <c r="E66" s="4078">
        <v>2.0876998000000002</v>
      </c>
      <c r="F66" s="4078">
        <v>1.9817416999999999</v>
      </c>
      <c r="G66" s="4078">
        <v>1.9654476679999999</v>
      </c>
      <c r="I66" s="4072" t="s">
        <v>1110</v>
      </c>
      <c r="K66" s="4075">
        <f t="shared" si="18"/>
        <v>2.1450133</v>
      </c>
      <c r="L66" s="4075">
        <f t="shared" si="18"/>
        <v>2.0876998000000002</v>
      </c>
      <c r="M66" s="4075">
        <f t="shared" si="18"/>
        <v>1.9817416999999999</v>
      </c>
      <c r="N66" s="4075">
        <f t="shared" si="18"/>
        <v>2.0950411</v>
      </c>
      <c r="P66" s="4072" t="b">
        <f t="shared" si="19"/>
        <v>1</v>
      </c>
    </row>
    <row r="67" spans="2:16">
      <c r="B67" s="4072" t="s">
        <v>4755</v>
      </c>
      <c r="D67" s="4078">
        <v>6.3013280000000005E-2</v>
      </c>
      <c r="E67" s="4078">
        <v>9.5527210000000001E-2</v>
      </c>
      <c r="F67" s="4078">
        <v>0.06</v>
      </c>
      <c r="G67" s="4078">
        <v>0.06</v>
      </c>
      <c r="I67" s="4072" t="s">
        <v>4755</v>
      </c>
      <c r="K67" s="4075">
        <f>SUMIFS(16:16,$1:$1,K$60,$2:$2,K$61)/단위</f>
        <v>6.3013280000000005E-2</v>
      </c>
      <c r="L67" s="4075">
        <f>SUMIFS(16:16,$1:$1,L$60,$2:$2,L$61)/단위</f>
        <v>9.5527210000000001E-2</v>
      </c>
      <c r="M67" s="4075">
        <f>SUMIFS(16:16,$1:$1,M$60,$2:$2,M$61)/단위</f>
        <v>0.06</v>
      </c>
      <c r="N67" s="4075">
        <f>SUMIFS(16:16,$1:$1,N$60,$2:$2,N$61)/단위</f>
        <v>0.06</v>
      </c>
      <c r="P67" s="4072" t="b">
        <f t="shared" si="19"/>
        <v>1</v>
      </c>
    </row>
    <row r="68" spans="2:16">
      <c r="B68" s="4072" t="s">
        <v>4775</v>
      </c>
      <c r="D68" s="4078">
        <v>5.25</v>
      </c>
      <c r="E68" s="4078">
        <v>5.25</v>
      </c>
      <c r="F68" s="4078">
        <v>5.25</v>
      </c>
      <c r="G68" s="4078">
        <v>5.25</v>
      </c>
      <c r="I68" s="4072" t="s">
        <v>4775</v>
      </c>
      <c r="K68" s="4075">
        <f>SUMIFS(18:18,$1:$1,K$60,$2:$2,K$61)/단위</f>
        <v>5.25</v>
      </c>
      <c r="L68" s="4075">
        <f>SUMIFS(18:18,$1:$1,L$60,$2:$2,L$61)/단위</f>
        <v>5.25</v>
      </c>
      <c r="M68" s="4075">
        <f>SUMIFS(18:18,$1:$1,M$60,$2:$2,M$61)/단위</f>
        <v>5.25</v>
      </c>
      <c r="N68" s="4075">
        <f>SUMIFS(18:18,$1:$1,N$60,$2:$2,N$61)/단위</f>
        <v>5.25</v>
      </c>
      <c r="P68" s="4072" t="b">
        <f t="shared" si="19"/>
        <v>1</v>
      </c>
    </row>
    <row r="69" spans="2:16">
      <c r="B69" s="4072" t="s">
        <v>4757</v>
      </c>
      <c r="D69" s="4078">
        <v>0</v>
      </c>
      <c r="E69" s="4078">
        <v>0</v>
      </c>
      <c r="F69" s="4079">
        <v>4.5391842000000002</v>
      </c>
      <c r="G69" s="4078">
        <v>0</v>
      </c>
      <c r="I69" s="4080" t="s">
        <v>4757</v>
      </c>
      <c r="J69" s="4080"/>
      <c r="K69" s="4081"/>
      <c r="L69" s="4081"/>
      <c r="M69" s="4081"/>
      <c r="N69" s="4081"/>
    </row>
    <row r="70" spans="2:16">
      <c r="C70" s="4072" t="s">
        <v>4758</v>
      </c>
      <c r="D70" s="4078">
        <v>0</v>
      </c>
      <c r="E70" s="4078">
        <v>0</v>
      </c>
      <c r="F70" s="4078">
        <v>0</v>
      </c>
      <c r="G70" s="4078">
        <v>0</v>
      </c>
      <c r="I70" s="4080"/>
      <c r="J70" s="4080" t="s">
        <v>4758</v>
      </c>
      <c r="K70" s="4081"/>
      <c r="L70" s="4081"/>
      <c r="M70" s="4081"/>
      <c r="N70" s="4081"/>
    </row>
    <row r="71" spans="2:16">
      <c r="C71" s="4072" t="s">
        <v>4759</v>
      </c>
      <c r="D71" s="4078"/>
      <c r="E71" s="4078"/>
      <c r="F71" s="4078">
        <v>0</v>
      </c>
      <c r="G71" s="4078">
        <v>0</v>
      </c>
      <c r="I71" s="4080"/>
      <c r="J71" s="4080" t="s">
        <v>4759</v>
      </c>
      <c r="K71" s="4081"/>
      <c r="L71" s="4081"/>
      <c r="M71" s="4081"/>
      <c r="N71" s="4081"/>
    </row>
    <row r="72" spans="2:16">
      <c r="C72" s="4072" t="s">
        <v>4760</v>
      </c>
      <c r="D72" s="4078">
        <v>0</v>
      </c>
      <c r="E72" s="4078">
        <v>0</v>
      </c>
      <c r="F72" s="4078">
        <v>0</v>
      </c>
      <c r="G72" s="4078">
        <v>0</v>
      </c>
      <c r="I72" s="4080"/>
      <c r="J72" s="4080" t="s">
        <v>4760</v>
      </c>
      <c r="K72" s="4081"/>
      <c r="L72" s="4081"/>
      <c r="M72" s="4081"/>
      <c r="N72" s="4081"/>
    </row>
    <row r="73" spans="2:16">
      <c r="B73" s="4072" t="s">
        <v>4761</v>
      </c>
      <c r="D73" s="4078">
        <v>1.636692</v>
      </c>
      <c r="E73" s="4078">
        <v>1.5659799999999997</v>
      </c>
      <c r="F73" s="4078">
        <v>1.52874</v>
      </c>
      <c r="G73" s="4078">
        <v>1.5149400000000002</v>
      </c>
      <c r="I73" s="4072" t="s">
        <v>4761</v>
      </c>
      <c r="K73" s="4075">
        <f>K76-SUM(K63,K66:K68)</f>
        <v>1.6366919999999965</v>
      </c>
      <c r="L73" s="4075">
        <f t="shared" ref="L73:N73" si="20">L76-SUM(L63,L66:L68)</f>
        <v>1.5659799999999962</v>
      </c>
      <c r="M73" s="4075">
        <f t="shared" si="20"/>
        <v>1.528739999999992</v>
      </c>
      <c r="N73" s="4075">
        <f t="shared" si="20"/>
        <v>1.5149399999999886</v>
      </c>
    </row>
    <row r="74" spans="2:16">
      <c r="C74" s="4072" t="s">
        <v>4776</v>
      </c>
      <c r="D74" s="4078"/>
      <c r="E74" s="4078"/>
      <c r="F74" s="4078"/>
      <c r="G74" s="4078"/>
      <c r="J74" s="4072" t="s">
        <v>4776</v>
      </c>
      <c r="K74" s="4075">
        <f>K73</f>
        <v>1.6366919999999965</v>
      </c>
      <c r="L74" s="4075">
        <f t="shared" ref="L74:N74" si="21">L73</f>
        <v>1.5659799999999962</v>
      </c>
      <c r="M74" s="4075">
        <f t="shared" si="21"/>
        <v>1.528739999999992</v>
      </c>
      <c r="N74" s="4075">
        <f t="shared" si="21"/>
        <v>1.5149399999999886</v>
      </c>
    </row>
    <row r="75" spans="2:16">
      <c r="B75" s="4082" t="s">
        <v>4777</v>
      </c>
      <c r="C75" s="4082"/>
      <c r="D75" s="4083"/>
      <c r="E75" s="4083"/>
      <c r="F75" s="4083"/>
      <c r="G75" s="4083"/>
      <c r="I75" s="4082" t="s">
        <v>4777</v>
      </c>
      <c r="J75" s="4082"/>
      <c r="K75" s="4084"/>
      <c r="L75" s="4084"/>
      <c r="M75" s="4084"/>
      <c r="N75" s="4084"/>
    </row>
    <row r="76" spans="2:16">
      <c r="B76" s="4072" t="s">
        <v>3642</v>
      </c>
      <c r="D76" s="4078">
        <v>62.437512300000009</v>
      </c>
      <c r="E76" s="4078">
        <v>61.650646440000003</v>
      </c>
      <c r="F76" s="4078">
        <v>65.922552459999991</v>
      </c>
      <c r="G76" s="4078">
        <v>62.042385680381578</v>
      </c>
      <c r="I76" s="4072" t="s">
        <v>3642</v>
      </c>
      <c r="K76" s="4075">
        <f>SUMIFS(31:31,$1:$1,K$60,$2:$2,K$61)/단위</f>
        <v>62.437512300000002</v>
      </c>
      <c r="L76" s="4075">
        <f>SUMIFS(31:31,$1:$1,L$60,$2:$2,L$61)/단위</f>
        <v>61.650646440000003</v>
      </c>
      <c r="M76" s="4075">
        <f>SUMIFS(31:31,$1:$1,M$60,$2:$2,M$61)/단위</f>
        <v>61.383368259999997</v>
      </c>
      <c r="N76" s="4075">
        <f>SUMIFS(31:31,$1:$1,N$60,$2:$2,N$61)/단위</f>
        <v>60.543073139999997</v>
      </c>
      <c r="P76" s="4072" t="b">
        <f>SUM(K76:N76)=M38/100</f>
        <v>1</v>
      </c>
    </row>
    <row r="77" spans="2:16">
      <c r="K77" s="4085">
        <f>K76-매출!P48</f>
        <v>-1.6134273399999941</v>
      </c>
      <c r="L77" s="4085">
        <f>L76-매출!Q48</f>
        <v>1.7326373100000012</v>
      </c>
      <c r="M77" s="4085">
        <f>M76-매출!R48</f>
        <v>-3.6420996700000074</v>
      </c>
      <c r="N77" s="4085">
        <f>N76-매출!S48</f>
        <v>-1.0601505800000055</v>
      </c>
    </row>
  </sheetData>
  <mergeCells count="71">
    <mergeCell ref="Q3:AB3"/>
    <mergeCell ref="AC3:AC4"/>
    <mergeCell ref="A5:B5"/>
    <mergeCell ref="A3:B4"/>
    <mergeCell ref="C3:C4"/>
    <mergeCell ref="D3:O3"/>
    <mergeCell ref="P3:P4"/>
    <mergeCell ref="AD3:AO3"/>
    <mergeCell ref="AP3:AP4"/>
    <mergeCell ref="AQ3:BB3"/>
    <mergeCell ref="BC3:BF3"/>
    <mergeCell ref="BS3:BW3"/>
    <mergeCell ref="L8:L9"/>
    <mergeCell ref="A6:B6"/>
    <mergeCell ref="A8:B9"/>
    <mergeCell ref="C8:C9"/>
    <mergeCell ref="D8:D9"/>
    <mergeCell ref="E8:E9"/>
    <mergeCell ref="F8:F9"/>
    <mergeCell ref="G8:G9"/>
    <mergeCell ref="H8:H9"/>
    <mergeCell ref="I8:I9"/>
    <mergeCell ref="J8:J9"/>
    <mergeCell ref="K8:K9"/>
    <mergeCell ref="X8:X9"/>
    <mergeCell ref="M8:M9"/>
    <mergeCell ref="N8:N9"/>
    <mergeCell ref="O8:O9"/>
    <mergeCell ref="P8:P9"/>
    <mergeCell ref="Q8:Q9"/>
    <mergeCell ref="R8:R9"/>
    <mergeCell ref="S8:S9"/>
    <mergeCell ref="T8:T9"/>
    <mergeCell ref="U8:U9"/>
    <mergeCell ref="V8:V9"/>
    <mergeCell ref="W8:W9"/>
    <mergeCell ref="AJ8:AJ9"/>
    <mergeCell ref="Y8:Y9"/>
    <mergeCell ref="Z8:Z9"/>
    <mergeCell ref="AA8:AA9"/>
    <mergeCell ref="AB8:AB9"/>
    <mergeCell ref="AC8:AC9"/>
    <mergeCell ref="AD8:AD9"/>
    <mergeCell ref="AE8:AE9"/>
    <mergeCell ref="AF8:AF9"/>
    <mergeCell ref="AG8:AG9"/>
    <mergeCell ref="AH8:AH9"/>
    <mergeCell ref="AI8:AI9"/>
    <mergeCell ref="AV8:AV9"/>
    <mergeCell ref="AK8:AK9"/>
    <mergeCell ref="AL8:AL9"/>
    <mergeCell ref="AM8:AM9"/>
    <mergeCell ref="AN8:AN9"/>
    <mergeCell ref="AO8:AO9"/>
    <mergeCell ref="AP8:AP9"/>
    <mergeCell ref="BC8:BF8"/>
    <mergeCell ref="BS8:BW8"/>
    <mergeCell ref="A31:B31"/>
    <mergeCell ref="A33:B33"/>
    <mergeCell ref="A34:B34"/>
    <mergeCell ref="AW8:AW9"/>
    <mergeCell ref="AX8:AX9"/>
    <mergeCell ref="AY8:AY9"/>
    <mergeCell ref="AZ8:AZ9"/>
    <mergeCell ref="BA8:BA9"/>
    <mergeCell ref="BB8:BB9"/>
    <mergeCell ref="AQ8:AQ9"/>
    <mergeCell ref="AR8:AR9"/>
    <mergeCell ref="AS8:AS9"/>
    <mergeCell ref="AT8:AT9"/>
    <mergeCell ref="AU8:AU9"/>
  </mergeCells>
  <phoneticPr fontId="12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F711-8797-45C3-B71B-C8BE09317ABC}">
  <sheetPr codeName="Sheet33">
    <tabColor theme="1"/>
  </sheetPr>
  <dimension ref="A1:O175"/>
  <sheetViews>
    <sheetView workbookViewId="0">
      <selection activeCell="C10" sqref="C10"/>
    </sheetView>
  </sheetViews>
  <sheetFormatPr defaultRowHeight="13.5"/>
  <cols>
    <col min="1" max="1" width="11.109375" bestFit="1" customWidth="1"/>
    <col min="2" max="2" width="10.109375" bestFit="1" customWidth="1"/>
    <col min="3" max="4" width="11.109375" bestFit="1" customWidth="1"/>
    <col min="5" max="5" width="13.44140625" bestFit="1" customWidth="1"/>
    <col min="6" max="6" width="12.109375" bestFit="1" customWidth="1"/>
    <col min="7" max="7" width="9.44140625" bestFit="1" customWidth="1"/>
    <col min="8" max="8" width="2.88671875" customWidth="1"/>
    <col min="9" max="10" width="14" customWidth="1"/>
    <col min="11" max="11" width="12.44140625" customWidth="1"/>
    <col min="13" max="13" width="10.109375" bestFit="1" customWidth="1"/>
  </cols>
  <sheetData>
    <row r="1" spans="1:11" ht="16.5">
      <c r="E1" s="4086">
        <v>13098</v>
      </c>
      <c r="F1" s="4087"/>
      <c r="K1" s="4087"/>
    </row>
    <row r="2" spans="1:11" ht="16.5">
      <c r="A2" s="4088" t="s">
        <v>4778</v>
      </c>
      <c r="E2" s="4089">
        <v>0.81499999999999995</v>
      </c>
      <c r="F2" s="4090">
        <f>1-E2</f>
        <v>0.18500000000000005</v>
      </c>
    </row>
    <row r="3" spans="1:11">
      <c r="A3" t="s">
        <v>4779</v>
      </c>
      <c r="B3" s="4091">
        <v>133000</v>
      </c>
      <c r="C3" s="4091">
        <v>7500</v>
      </c>
      <c r="D3" s="4091">
        <v>12500</v>
      </c>
      <c r="E3" s="4092">
        <v>10674.869999999999</v>
      </c>
      <c r="F3" s="4092">
        <v>2423.1300000000006</v>
      </c>
      <c r="G3" s="4093">
        <v>26100</v>
      </c>
      <c r="H3" s="4091"/>
      <c r="I3" s="4091"/>
      <c r="J3" s="4091"/>
    </row>
    <row r="4" spans="1:11" ht="16.5">
      <c r="A4" t="s">
        <v>4780</v>
      </c>
      <c r="B4" t="s">
        <v>4781</v>
      </c>
      <c r="C4" t="s">
        <v>4782</v>
      </c>
      <c r="D4" t="s">
        <v>4783</v>
      </c>
      <c r="E4" t="s">
        <v>4784</v>
      </c>
      <c r="F4" t="s">
        <v>4785</v>
      </c>
      <c r="G4" t="s">
        <v>4786</v>
      </c>
      <c r="K4" s="4094"/>
    </row>
    <row r="5" spans="1:11">
      <c r="A5" t="s">
        <v>4625</v>
      </c>
      <c r="B5" s="4095">
        <f>SUM(B6:B111)</f>
        <v>1</v>
      </c>
      <c r="C5" s="4095">
        <f t="shared" ref="C5:G5" si="0">SUM(C6:C111)</f>
        <v>1</v>
      </c>
      <c r="D5" s="4095">
        <f t="shared" si="0"/>
        <v>1</v>
      </c>
      <c r="E5" s="4095">
        <f t="shared" si="0"/>
        <v>1</v>
      </c>
      <c r="F5" s="4095">
        <f t="shared" si="0"/>
        <v>1</v>
      </c>
      <c r="G5" s="4095">
        <f t="shared" si="0"/>
        <v>1</v>
      </c>
      <c r="H5" s="4096"/>
      <c r="I5" s="4096"/>
      <c r="J5" s="4096"/>
    </row>
    <row r="6" spans="1:11">
      <c r="A6" s="4088">
        <v>42004</v>
      </c>
      <c r="B6" s="4095"/>
      <c r="C6" s="4095"/>
      <c r="D6" s="4095"/>
      <c r="E6" s="4095"/>
      <c r="F6" s="4095"/>
      <c r="G6" s="4097"/>
      <c r="K6" s="4092"/>
    </row>
    <row r="7" spans="1:11">
      <c r="A7" s="4088">
        <f t="shared" ref="A7:A70" si="1">EOMONTH(A6,3)</f>
        <v>42094</v>
      </c>
      <c r="B7" s="4095"/>
      <c r="C7" s="4095"/>
      <c r="D7" s="4095"/>
      <c r="E7" s="4095"/>
      <c r="F7" s="4095"/>
      <c r="G7" s="4097"/>
      <c r="K7" s="4092"/>
    </row>
    <row r="8" spans="1:11">
      <c r="A8" s="4088">
        <f t="shared" si="1"/>
        <v>42185</v>
      </c>
      <c r="B8" s="4095"/>
      <c r="C8" s="4095"/>
      <c r="D8" s="4095"/>
      <c r="E8" s="4095"/>
      <c r="F8" s="4095"/>
      <c r="G8" s="4097"/>
      <c r="K8" s="4092"/>
    </row>
    <row r="9" spans="1:11" ht="16.5">
      <c r="A9" s="4088">
        <f t="shared" si="1"/>
        <v>42277</v>
      </c>
      <c r="B9" s="4095"/>
      <c r="C9" s="4095"/>
      <c r="D9" s="4095"/>
      <c r="E9" s="4095"/>
      <c r="F9" s="4095"/>
      <c r="G9" s="4089"/>
      <c r="H9" s="4098"/>
      <c r="I9" s="4098"/>
      <c r="J9" s="4098"/>
      <c r="K9" s="4092"/>
    </row>
    <row r="10" spans="1:11">
      <c r="A10" s="4088">
        <f t="shared" si="1"/>
        <v>42369</v>
      </c>
      <c r="B10" s="4095"/>
      <c r="C10" s="4095"/>
      <c r="D10" s="4095"/>
      <c r="E10" s="4095"/>
      <c r="F10" s="4095"/>
      <c r="G10" s="4099">
        <v>0.25</v>
      </c>
      <c r="H10" s="4099"/>
      <c r="I10" s="4099"/>
      <c r="J10" s="4099"/>
      <c r="K10" s="4092"/>
    </row>
    <row r="11" spans="1:11">
      <c r="A11" s="4088">
        <f t="shared" si="1"/>
        <v>42460</v>
      </c>
      <c r="B11" s="4095"/>
      <c r="C11" s="4095"/>
      <c r="D11" s="4095"/>
      <c r="E11" s="4095"/>
      <c r="F11" s="4095"/>
      <c r="G11" s="4099">
        <v>0.05</v>
      </c>
      <c r="H11" s="4099"/>
      <c r="I11" s="4099"/>
      <c r="J11" s="4099"/>
      <c r="K11" s="4092"/>
    </row>
    <row r="12" spans="1:11" ht="16.5">
      <c r="A12" s="4088">
        <f t="shared" si="1"/>
        <v>42551</v>
      </c>
      <c r="B12" s="4100"/>
      <c r="C12" s="4100"/>
      <c r="D12" s="4100"/>
      <c r="E12" s="4100"/>
      <c r="F12" s="4100"/>
      <c r="G12" s="4099">
        <v>0.05</v>
      </c>
      <c r="H12" s="4099"/>
      <c r="I12" s="4099"/>
      <c r="J12" s="4099"/>
      <c r="K12" s="4092"/>
    </row>
    <row r="13" spans="1:11" ht="16.5">
      <c r="A13" s="4088">
        <f t="shared" si="1"/>
        <v>42643</v>
      </c>
      <c r="B13" s="4100"/>
      <c r="C13" s="4100"/>
      <c r="D13" s="4100"/>
      <c r="E13" s="4100"/>
      <c r="F13" s="4100"/>
      <c r="G13" s="4099">
        <v>0.05</v>
      </c>
      <c r="H13" s="4099"/>
      <c r="I13" s="4099"/>
      <c r="J13" s="4099"/>
      <c r="K13" s="4092"/>
    </row>
    <row r="14" spans="1:11" ht="16.5">
      <c r="A14" s="4088">
        <f t="shared" si="1"/>
        <v>42735</v>
      </c>
      <c r="B14" s="4100"/>
      <c r="C14" s="4100"/>
      <c r="D14" s="4100"/>
      <c r="E14" s="4100"/>
      <c r="F14" s="4100"/>
      <c r="G14" s="4099">
        <v>0.37</v>
      </c>
      <c r="H14" s="4099"/>
      <c r="I14" s="4099"/>
      <c r="J14" s="4099"/>
      <c r="K14" s="4092"/>
    </row>
    <row r="15" spans="1:11" ht="16.5">
      <c r="A15" s="4088">
        <f t="shared" si="1"/>
        <v>42825</v>
      </c>
      <c r="B15" s="4100"/>
      <c r="C15" s="4100"/>
      <c r="D15" s="4100"/>
      <c r="E15" s="4100"/>
      <c r="F15" s="4100"/>
      <c r="G15" s="4099">
        <v>0.04</v>
      </c>
      <c r="H15" s="4099"/>
      <c r="I15" s="4099"/>
      <c r="J15" s="4099"/>
      <c r="K15" s="4092"/>
    </row>
    <row r="16" spans="1:11" ht="16.5">
      <c r="A16" s="4088">
        <f t="shared" si="1"/>
        <v>42916</v>
      </c>
      <c r="B16" s="4100"/>
      <c r="C16" s="4100"/>
      <c r="D16" s="4100"/>
      <c r="E16" s="4100"/>
      <c r="F16" s="4100"/>
      <c r="G16" s="4099">
        <v>0.12</v>
      </c>
      <c r="H16" s="4099"/>
      <c r="I16" s="4101">
        <f>SUM(I18:I65)</f>
        <v>0.55149999999999999</v>
      </c>
      <c r="J16" s="4096">
        <f>SUM(J18:J65)</f>
        <v>0.99999999999999956</v>
      </c>
      <c r="K16" s="4092" t="s">
        <v>4787</v>
      </c>
    </row>
    <row r="17" spans="1:15" ht="16.5">
      <c r="A17" s="4088">
        <f t="shared" si="1"/>
        <v>43008</v>
      </c>
      <c r="B17" s="4102"/>
      <c r="C17" s="4102"/>
      <c r="D17" s="4102"/>
      <c r="E17" s="4102"/>
      <c r="F17" s="4102"/>
      <c r="G17" s="4099">
        <v>7.0000000000000007E-2</v>
      </c>
      <c r="H17" s="4099"/>
      <c r="I17" s="4103" t="s">
        <v>4788</v>
      </c>
      <c r="J17" s="4103" t="s">
        <v>4789</v>
      </c>
      <c r="K17" t="s">
        <v>4790</v>
      </c>
      <c r="L17" s="4092" t="s">
        <v>4791</v>
      </c>
      <c r="M17" t="s">
        <v>4792</v>
      </c>
      <c r="N17" t="s">
        <v>4793</v>
      </c>
    </row>
    <row r="18" spans="1:15" ht="16.5">
      <c r="A18" s="4088">
        <f t="shared" si="1"/>
        <v>43100</v>
      </c>
      <c r="B18" s="4104">
        <v>5.5E-2</v>
      </c>
      <c r="C18" s="4104">
        <v>5.5E-2</v>
      </c>
      <c r="D18" s="4104">
        <v>5.5E-2</v>
      </c>
      <c r="E18" s="4104">
        <v>5.5E-2</v>
      </c>
      <c r="F18" s="4104">
        <v>5.5E-2</v>
      </c>
      <c r="G18" s="4105"/>
      <c r="H18" s="4098"/>
      <c r="I18" s="4098"/>
      <c r="J18" s="4098"/>
      <c r="K18" s="4106">
        <f>SUM($B$3:$F$3)/100</f>
        <v>1660.98</v>
      </c>
      <c r="L18" s="4107">
        <f>SUM($B$3:$F$3)*F18/100</f>
        <v>91.353899999999996</v>
      </c>
      <c r="M18" s="4106">
        <f>K18-L18</f>
        <v>1569.6261</v>
      </c>
      <c r="N18" s="4108"/>
      <c r="O18" s="4108"/>
    </row>
    <row r="19" spans="1:15" ht="16.5">
      <c r="A19" s="4088">
        <f t="shared" si="1"/>
        <v>43190</v>
      </c>
      <c r="B19" s="4104">
        <v>1.7500000000000002E-2</v>
      </c>
      <c r="C19" s="4104">
        <v>1.7500000000000002E-2</v>
      </c>
      <c r="D19" s="4104">
        <v>1.7500000000000002E-2</v>
      </c>
      <c r="E19" s="4104">
        <v>1.7500000000000002E-2</v>
      </c>
      <c r="F19" s="4104">
        <v>1.7500000000000002E-2</v>
      </c>
      <c r="G19" s="4109"/>
      <c r="K19" s="4106">
        <f>M18</f>
        <v>1569.6261</v>
      </c>
      <c r="L19" s="4107">
        <f t="shared" ref="L19:L65" si="2">SUM($B$3:$F$3)*F19/100</f>
        <v>29.067150000000002</v>
      </c>
      <c r="M19" s="4106">
        <f t="shared" ref="M19:M65" si="3">K19-L19</f>
        <v>1540.5589499999999</v>
      </c>
      <c r="N19" s="4108"/>
      <c r="O19" s="4108"/>
    </row>
    <row r="20" spans="1:15" ht="16.5">
      <c r="A20" s="4088">
        <f t="shared" si="1"/>
        <v>43281</v>
      </c>
      <c r="B20" s="4104">
        <v>1.7500000000000002E-2</v>
      </c>
      <c r="C20" s="4104">
        <v>1.7500000000000002E-2</v>
      </c>
      <c r="D20" s="4104">
        <v>1.7500000000000002E-2</v>
      </c>
      <c r="E20" s="4104">
        <v>1.7500000000000002E-2</v>
      </c>
      <c r="F20" s="4104">
        <v>1.7500000000000002E-2</v>
      </c>
      <c r="G20" s="4109"/>
      <c r="K20" s="4106">
        <f t="shared" ref="K20:K65" si="4">M19</f>
        <v>1540.5589499999999</v>
      </c>
      <c r="L20" s="4107">
        <f t="shared" si="2"/>
        <v>29.067150000000002</v>
      </c>
      <c r="M20" s="4106">
        <f t="shared" si="3"/>
        <v>1511.4917999999998</v>
      </c>
      <c r="N20" s="4108"/>
      <c r="O20" s="4108"/>
    </row>
    <row r="21" spans="1:15" ht="16.5">
      <c r="A21" s="4088">
        <f t="shared" si="1"/>
        <v>43373</v>
      </c>
      <c r="B21" s="4104">
        <v>1.7999999999999999E-2</v>
      </c>
      <c r="C21" s="4104">
        <v>1.7999999999999999E-2</v>
      </c>
      <c r="D21" s="4104">
        <v>1.7999999999999999E-2</v>
      </c>
      <c r="E21" s="4104">
        <v>1.7999999999999999E-2</v>
      </c>
      <c r="F21" s="4104">
        <v>1.7999999999999999E-2</v>
      </c>
      <c r="G21" s="4109"/>
      <c r="K21" s="4106">
        <f t="shared" si="4"/>
        <v>1511.4917999999998</v>
      </c>
      <c r="L21" s="4107">
        <f t="shared" si="2"/>
        <v>29.897639999999996</v>
      </c>
      <c r="M21" s="4106">
        <f t="shared" si="3"/>
        <v>1481.5941599999999</v>
      </c>
      <c r="N21" s="4108"/>
      <c r="O21" s="4108"/>
    </row>
    <row r="22" spans="1:15" ht="16.5">
      <c r="A22" s="4088">
        <f t="shared" si="1"/>
        <v>43465</v>
      </c>
      <c r="B22" s="4104">
        <v>3.5000000000000003E-2</v>
      </c>
      <c r="C22" s="4104">
        <v>3.5000000000000003E-2</v>
      </c>
      <c r="D22" s="4104">
        <v>3.5000000000000003E-2</v>
      </c>
      <c r="E22" s="4104">
        <v>3.5000000000000003E-2</v>
      </c>
      <c r="F22" s="4104">
        <v>3.5000000000000003E-2</v>
      </c>
      <c r="G22" s="4109"/>
      <c r="K22" s="4106">
        <f t="shared" si="4"/>
        <v>1481.5941599999999</v>
      </c>
      <c r="L22" s="4107">
        <f t="shared" si="2"/>
        <v>58.134300000000003</v>
      </c>
      <c r="M22" s="4106">
        <f t="shared" si="3"/>
        <v>1423.4598599999999</v>
      </c>
      <c r="N22" s="4108"/>
      <c r="O22" s="4108"/>
    </row>
    <row r="23" spans="1:15" ht="16.5">
      <c r="A23" s="4088">
        <f t="shared" si="1"/>
        <v>43555</v>
      </c>
      <c r="B23" s="4104">
        <v>0.02</v>
      </c>
      <c r="C23" s="4104">
        <v>0.02</v>
      </c>
      <c r="D23" s="4104">
        <v>0.02</v>
      </c>
      <c r="E23" s="4104">
        <v>0.02</v>
      </c>
      <c r="F23" s="4104">
        <v>0.02</v>
      </c>
      <c r="G23" s="4109"/>
      <c r="K23" s="4106">
        <f t="shared" si="4"/>
        <v>1423.4598599999999</v>
      </c>
      <c r="L23" s="4107">
        <f t="shared" si="2"/>
        <v>33.2196</v>
      </c>
      <c r="M23" s="4106">
        <f t="shared" si="3"/>
        <v>1390.24026</v>
      </c>
      <c r="N23" s="4107">
        <v>33.2196</v>
      </c>
      <c r="O23" s="4106">
        <f t="shared" ref="O23:O65" si="5">N23-L23</f>
        <v>0</v>
      </c>
    </row>
    <row r="24" spans="1:15" ht="16.5">
      <c r="A24" s="4088">
        <f t="shared" si="1"/>
        <v>43646</v>
      </c>
      <c r="B24" s="4104">
        <v>0.02</v>
      </c>
      <c r="C24" s="4104">
        <v>0.02</v>
      </c>
      <c r="D24" s="4104">
        <v>0.02</v>
      </c>
      <c r="E24" s="4104">
        <v>0.02</v>
      </c>
      <c r="F24" s="4104">
        <v>0.02</v>
      </c>
      <c r="G24" s="4109"/>
      <c r="K24" s="4106">
        <f t="shared" si="4"/>
        <v>1390.24026</v>
      </c>
      <c r="L24" s="4107">
        <f t="shared" si="2"/>
        <v>33.2196</v>
      </c>
      <c r="M24" s="4106">
        <f t="shared" si="3"/>
        <v>1357.0206600000001</v>
      </c>
      <c r="N24" s="4107">
        <v>33.2196</v>
      </c>
      <c r="O24" s="4106">
        <f t="shared" si="5"/>
        <v>0</v>
      </c>
    </row>
    <row r="25" spans="1:15" ht="16.5">
      <c r="A25" s="4088">
        <f t="shared" si="1"/>
        <v>43738</v>
      </c>
      <c r="B25" s="4104">
        <v>0.02</v>
      </c>
      <c r="C25" s="4104">
        <v>0.02</v>
      </c>
      <c r="D25" s="4104">
        <v>0.02</v>
      </c>
      <c r="E25" s="4104">
        <v>0.02</v>
      </c>
      <c r="F25" s="4104">
        <v>0.02</v>
      </c>
      <c r="G25" s="4109"/>
      <c r="K25" s="4106">
        <f t="shared" si="4"/>
        <v>1357.0206600000001</v>
      </c>
      <c r="L25" s="4107">
        <f t="shared" si="2"/>
        <v>33.2196</v>
      </c>
      <c r="M25" s="4106">
        <f t="shared" si="3"/>
        <v>1323.8010600000002</v>
      </c>
      <c r="N25" s="4107">
        <v>33.2196</v>
      </c>
      <c r="O25" s="4106">
        <f t="shared" si="5"/>
        <v>0</v>
      </c>
    </row>
    <row r="26" spans="1:15" ht="16.5">
      <c r="A26" s="4088">
        <f t="shared" si="1"/>
        <v>43830</v>
      </c>
      <c r="B26" s="4104">
        <v>2.1000000000000001E-2</v>
      </c>
      <c r="C26" s="4104">
        <v>2.1000000000000001E-2</v>
      </c>
      <c r="D26" s="4104">
        <v>2.1000000000000001E-2</v>
      </c>
      <c r="E26" s="4104">
        <v>2.1000000000000001E-2</v>
      </c>
      <c r="F26" s="4104">
        <v>2.1000000000000001E-2</v>
      </c>
      <c r="G26" s="4109"/>
      <c r="K26" s="4106">
        <f t="shared" si="4"/>
        <v>1323.8010600000002</v>
      </c>
      <c r="L26" s="4107">
        <f t="shared" si="2"/>
        <v>34.880580000000002</v>
      </c>
      <c r="M26" s="4106">
        <f t="shared" si="3"/>
        <v>1288.9204800000002</v>
      </c>
      <c r="N26" s="4107">
        <v>34.880579999999995</v>
      </c>
      <c r="O26" s="4106">
        <f t="shared" si="5"/>
        <v>0</v>
      </c>
    </row>
    <row r="27" spans="1:15" ht="16.5">
      <c r="A27" s="4088">
        <f t="shared" si="1"/>
        <v>43921</v>
      </c>
      <c r="B27" s="4104">
        <v>2.35E-2</v>
      </c>
      <c r="C27" s="4104">
        <v>2.35E-2</v>
      </c>
      <c r="D27" s="4104">
        <v>2.35E-2</v>
      </c>
      <c r="E27" s="4104">
        <v>2.35E-2</v>
      </c>
      <c r="F27" s="4104">
        <v>2.35E-2</v>
      </c>
      <c r="G27" s="4109"/>
      <c r="K27" s="4106">
        <f t="shared" si="4"/>
        <v>1288.9204800000002</v>
      </c>
      <c r="L27" s="4107">
        <f t="shared" si="2"/>
        <v>39.033029999999997</v>
      </c>
      <c r="M27" s="4106">
        <f t="shared" si="3"/>
        <v>1249.8874500000002</v>
      </c>
      <c r="N27" s="4107">
        <v>39.033029999999997</v>
      </c>
      <c r="O27" s="4106">
        <f t="shared" si="5"/>
        <v>0</v>
      </c>
    </row>
    <row r="28" spans="1:15" ht="16.5">
      <c r="A28" s="4088">
        <f t="shared" si="1"/>
        <v>44012</v>
      </c>
      <c r="B28" s="4104">
        <v>2.4E-2</v>
      </c>
      <c r="C28" s="4104">
        <v>2.4E-2</v>
      </c>
      <c r="D28" s="4104">
        <v>2.4E-2</v>
      </c>
      <c r="E28" s="4104">
        <v>2.4E-2</v>
      </c>
      <c r="F28" s="4104">
        <v>2.4E-2</v>
      </c>
      <c r="G28" s="4109"/>
      <c r="I28" s="4101"/>
      <c r="J28" s="4096"/>
      <c r="K28" s="4106">
        <f t="shared" si="4"/>
        <v>1249.8874500000002</v>
      </c>
      <c r="L28" s="4107">
        <f t="shared" si="2"/>
        <v>39.863520000000001</v>
      </c>
      <c r="M28" s="4106">
        <f t="shared" si="3"/>
        <v>1210.0239300000001</v>
      </c>
      <c r="N28" s="4107">
        <v>39.863520000000001</v>
      </c>
      <c r="O28" s="4106">
        <f t="shared" si="5"/>
        <v>0</v>
      </c>
    </row>
    <row r="29" spans="1:15" ht="16.5">
      <c r="A29" s="4088">
        <f t="shared" si="1"/>
        <v>44104</v>
      </c>
      <c r="B29" s="4104">
        <v>2.4500000000000001E-2</v>
      </c>
      <c r="C29" s="4104">
        <v>2.4500000000000001E-2</v>
      </c>
      <c r="D29" s="4104">
        <v>2.4500000000000001E-2</v>
      </c>
      <c r="E29" s="4104">
        <v>2.4500000000000001E-2</v>
      </c>
      <c r="F29" s="4104">
        <v>2.4500000000000001E-2</v>
      </c>
      <c r="G29" s="4109"/>
      <c r="I29" s="4101"/>
      <c r="J29" s="4096"/>
      <c r="K29" s="4106">
        <f t="shared" si="4"/>
        <v>1210.0239300000001</v>
      </c>
      <c r="L29" s="4107">
        <f t="shared" si="2"/>
        <v>40.694010000000006</v>
      </c>
      <c r="M29" s="4106">
        <f t="shared" si="3"/>
        <v>1169.3299200000001</v>
      </c>
      <c r="N29" s="4107">
        <v>40.694009999999999</v>
      </c>
      <c r="O29" s="4106">
        <f t="shared" si="5"/>
        <v>0</v>
      </c>
    </row>
    <row r="30" spans="1:15" ht="16.5">
      <c r="A30" s="4088">
        <f t="shared" si="1"/>
        <v>44196</v>
      </c>
      <c r="B30" s="4104">
        <v>2.5000000000000001E-2</v>
      </c>
      <c r="C30" s="4104">
        <v>2.5000000000000001E-2</v>
      </c>
      <c r="D30" s="4104">
        <v>2.5000000000000001E-2</v>
      </c>
      <c r="E30" s="4104">
        <v>2.5000000000000001E-2</v>
      </c>
      <c r="F30" s="4104">
        <v>2.5000000000000001E-2</v>
      </c>
      <c r="G30" s="4109"/>
      <c r="I30" s="4101"/>
      <c r="J30" s="4096"/>
      <c r="K30" s="4106">
        <f t="shared" si="4"/>
        <v>1169.3299200000001</v>
      </c>
      <c r="L30" s="4107">
        <f t="shared" si="2"/>
        <v>41.524499999999996</v>
      </c>
      <c r="M30" s="4106">
        <f t="shared" si="3"/>
        <v>1127.8054200000001</v>
      </c>
      <c r="N30" s="4107">
        <v>41.524500000000003</v>
      </c>
      <c r="O30" s="4106">
        <f t="shared" si="5"/>
        <v>0</v>
      </c>
    </row>
    <row r="31" spans="1:15" ht="16.5">
      <c r="A31" s="4088">
        <f t="shared" si="1"/>
        <v>44286</v>
      </c>
      <c r="B31" s="4104">
        <v>2.5499999999999998E-2</v>
      </c>
      <c r="C31" s="4104">
        <v>2.5499999999999998E-2</v>
      </c>
      <c r="D31" s="4104">
        <v>2.5499999999999998E-2</v>
      </c>
      <c r="E31" s="4104">
        <v>2.5499999999999998E-2</v>
      </c>
      <c r="F31" s="4104">
        <v>2.5499999999999998E-2</v>
      </c>
      <c r="G31" s="4109"/>
      <c r="I31" s="4101"/>
      <c r="J31" s="4096"/>
      <c r="K31" s="4106">
        <f t="shared" si="4"/>
        <v>1127.8054200000001</v>
      </c>
      <c r="L31" s="4107">
        <f t="shared" si="2"/>
        <v>42.354990000000001</v>
      </c>
      <c r="M31" s="4106">
        <f t="shared" si="3"/>
        <v>1085.4504300000001</v>
      </c>
      <c r="N31" s="4107">
        <v>42.354990000000001</v>
      </c>
      <c r="O31" s="4106">
        <f t="shared" si="5"/>
        <v>0</v>
      </c>
    </row>
    <row r="32" spans="1:15" ht="16.5">
      <c r="A32" s="4088">
        <f t="shared" si="1"/>
        <v>44377</v>
      </c>
      <c r="B32" s="4104">
        <v>2.5999999999999999E-2</v>
      </c>
      <c r="C32" s="4104">
        <v>2.5999999999999999E-2</v>
      </c>
      <c r="D32" s="4104">
        <v>2.5999999999999999E-2</v>
      </c>
      <c r="E32" s="4104">
        <v>2.5999999999999999E-2</v>
      </c>
      <c r="F32" s="4104">
        <v>2.5999999999999999E-2</v>
      </c>
      <c r="G32" s="4109"/>
      <c r="I32" s="4101"/>
      <c r="J32" s="4096"/>
      <c r="K32" s="4106">
        <f t="shared" si="4"/>
        <v>1085.4504300000001</v>
      </c>
      <c r="L32" s="4107">
        <f t="shared" si="2"/>
        <v>43.185479999999998</v>
      </c>
      <c r="M32" s="4106">
        <f t="shared" si="3"/>
        <v>1042.26495</v>
      </c>
      <c r="N32" s="4107">
        <v>43.185479999999998</v>
      </c>
      <c r="O32" s="4106">
        <f t="shared" si="5"/>
        <v>0</v>
      </c>
    </row>
    <row r="33" spans="1:15" ht="16.5">
      <c r="A33" s="4088">
        <f t="shared" si="1"/>
        <v>44469</v>
      </c>
      <c r="B33" s="4104">
        <v>2.5999999999999999E-2</v>
      </c>
      <c r="C33" s="4104">
        <v>2.5999999999999999E-2</v>
      </c>
      <c r="D33" s="4104">
        <v>2.5999999999999999E-2</v>
      </c>
      <c r="E33" s="4104">
        <v>2.5999999999999999E-2</v>
      </c>
      <c r="F33" s="4104">
        <v>2.5999999999999999E-2</v>
      </c>
      <c r="G33" s="4109"/>
      <c r="I33" s="4101"/>
      <c r="J33" s="4096"/>
      <c r="K33" s="4106">
        <f t="shared" si="4"/>
        <v>1042.26495</v>
      </c>
      <c r="L33" s="4107">
        <f t="shared" si="2"/>
        <v>43.185479999999998</v>
      </c>
      <c r="M33" s="4106">
        <f t="shared" si="3"/>
        <v>999.07947000000001</v>
      </c>
      <c r="N33" s="4107">
        <v>43.185479999999998</v>
      </c>
      <c r="O33" s="4106">
        <f t="shared" si="5"/>
        <v>0</v>
      </c>
    </row>
    <row r="34" spans="1:15" ht="16.5">
      <c r="A34" s="4088">
        <f t="shared" si="1"/>
        <v>44561</v>
      </c>
      <c r="B34" s="4104">
        <v>2.6499999999999999E-2</v>
      </c>
      <c r="C34" s="4104">
        <v>2.6499999999999999E-2</v>
      </c>
      <c r="D34" s="4104">
        <v>2.6499999999999999E-2</v>
      </c>
      <c r="E34" s="4104">
        <v>2.6499999999999999E-2</v>
      </c>
      <c r="F34" s="4104">
        <v>2.6499999999999999E-2</v>
      </c>
      <c r="G34" s="4109"/>
      <c r="I34" s="4101"/>
      <c r="J34" s="4096"/>
      <c r="K34" s="4106">
        <f t="shared" si="4"/>
        <v>999.07947000000001</v>
      </c>
      <c r="L34" s="4107">
        <f t="shared" si="2"/>
        <v>44.015969999999996</v>
      </c>
      <c r="M34" s="4106">
        <f t="shared" si="3"/>
        <v>955.06349999999998</v>
      </c>
      <c r="N34" s="4107">
        <v>44.015969999999996</v>
      </c>
      <c r="O34" s="4106">
        <f t="shared" si="5"/>
        <v>0</v>
      </c>
    </row>
    <row r="35" spans="1:15" ht="16.5">
      <c r="A35" s="4110">
        <f t="shared" si="1"/>
        <v>44651</v>
      </c>
      <c r="B35" s="4111">
        <v>2.35E-2</v>
      </c>
      <c r="C35" s="4111">
        <v>2.35E-2</v>
      </c>
      <c r="D35" s="4111">
        <v>2.35E-2</v>
      </c>
      <c r="E35" s="4111">
        <v>2.35E-2</v>
      </c>
      <c r="F35" s="4111">
        <v>2.35E-2</v>
      </c>
      <c r="G35" s="4109"/>
      <c r="I35" s="4101"/>
      <c r="J35" s="4096"/>
      <c r="K35" s="4106">
        <f t="shared" si="4"/>
        <v>955.06349999999998</v>
      </c>
      <c r="L35" s="4107">
        <f t="shared" si="2"/>
        <v>39.033029999999997</v>
      </c>
      <c r="M35" s="4106">
        <f t="shared" si="3"/>
        <v>916.03046999999992</v>
      </c>
      <c r="N35" s="4107">
        <v>39.033029999999997</v>
      </c>
      <c r="O35" s="4106">
        <f t="shared" si="5"/>
        <v>0</v>
      </c>
    </row>
    <row r="36" spans="1:15" ht="16.5">
      <c r="A36" s="4088">
        <f t="shared" si="1"/>
        <v>44742</v>
      </c>
      <c r="B36" s="4104">
        <v>2.35E-2</v>
      </c>
      <c r="C36" s="4104">
        <v>2.35E-2</v>
      </c>
      <c r="D36" s="4104">
        <v>2.35E-2</v>
      </c>
      <c r="E36" s="4104">
        <v>2.35E-2</v>
      </c>
      <c r="F36" s="4104">
        <v>2.35E-2</v>
      </c>
      <c r="G36" s="4109"/>
      <c r="I36" s="4101">
        <f t="shared" ref="I36:I65" si="6">F36</f>
        <v>2.35E-2</v>
      </c>
      <c r="J36" s="4096">
        <f t="shared" ref="J36:J65" si="7">I36/$I$16</f>
        <v>4.2611060743427021E-2</v>
      </c>
      <c r="K36" s="4106">
        <f t="shared" si="4"/>
        <v>916.03046999999992</v>
      </c>
      <c r="L36" s="4107">
        <f t="shared" si="2"/>
        <v>39.033029999999997</v>
      </c>
      <c r="M36" s="4106">
        <f t="shared" si="3"/>
        <v>876.99743999999987</v>
      </c>
      <c r="N36" s="4107">
        <v>39.033029999999997</v>
      </c>
      <c r="O36" s="4106">
        <f t="shared" si="5"/>
        <v>0</v>
      </c>
    </row>
    <row r="37" spans="1:15" ht="16.5">
      <c r="A37" s="4088">
        <f t="shared" si="1"/>
        <v>44834</v>
      </c>
      <c r="B37" s="4104">
        <v>2.4E-2</v>
      </c>
      <c r="C37" s="4104">
        <v>2.4E-2</v>
      </c>
      <c r="D37" s="4104">
        <v>2.4E-2</v>
      </c>
      <c r="E37" s="4104">
        <v>2.4E-2</v>
      </c>
      <c r="F37" s="4104">
        <v>2.4E-2</v>
      </c>
      <c r="G37" s="4109"/>
      <c r="I37" s="4101">
        <f t="shared" si="6"/>
        <v>2.4E-2</v>
      </c>
      <c r="J37" s="4096">
        <f t="shared" si="7"/>
        <v>4.3517679057116954E-2</v>
      </c>
      <c r="K37" s="4106">
        <f t="shared" si="4"/>
        <v>876.99743999999987</v>
      </c>
      <c r="L37" s="4107">
        <f t="shared" si="2"/>
        <v>39.863520000000001</v>
      </c>
      <c r="M37" s="4106">
        <f t="shared" si="3"/>
        <v>837.13391999999988</v>
      </c>
      <c r="N37" s="4107">
        <v>39.863520000000001</v>
      </c>
      <c r="O37" s="4106">
        <f t="shared" si="5"/>
        <v>0</v>
      </c>
    </row>
    <row r="38" spans="1:15" ht="16.5">
      <c r="A38" s="4088">
        <f t="shared" si="1"/>
        <v>44926</v>
      </c>
      <c r="B38" s="4104">
        <v>2.4500000000000001E-2</v>
      </c>
      <c r="C38" s="4104">
        <v>2.4500000000000001E-2</v>
      </c>
      <c r="D38" s="4104">
        <v>2.4500000000000001E-2</v>
      </c>
      <c r="E38" s="4104">
        <v>2.4500000000000001E-2</v>
      </c>
      <c r="F38" s="4104">
        <v>2.4500000000000001E-2</v>
      </c>
      <c r="G38" s="4109"/>
      <c r="I38" s="4101">
        <f t="shared" si="6"/>
        <v>2.4500000000000001E-2</v>
      </c>
      <c r="J38" s="4096">
        <f t="shared" si="7"/>
        <v>4.4424297370806894E-2</v>
      </c>
      <c r="K38" s="4106">
        <f t="shared" si="4"/>
        <v>837.13391999999988</v>
      </c>
      <c r="L38" s="4107">
        <f t="shared" si="2"/>
        <v>40.694010000000006</v>
      </c>
      <c r="M38" s="4106">
        <f t="shared" si="3"/>
        <v>796.43990999999983</v>
      </c>
      <c r="N38" s="4107">
        <v>40.694009999999999</v>
      </c>
      <c r="O38" s="4106">
        <f t="shared" si="5"/>
        <v>0</v>
      </c>
    </row>
    <row r="39" spans="1:15" ht="16.5">
      <c r="A39" s="4088">
        <f t="shared" si="1"/>
        <v>45016</v>
      </c>
      <c r="B39" s="4104">
        <v>2.4500000000000001E-2</v>
      </c>
      <c r="C39" s="4104">
        <v>2.4500000000000001E-2</v>
      </c>
      <c r="D39" s="4104">
        <v>2.4500000000000001E-2</v>
      </c>
      <c r="E39" s="4104">
        <v>2.4500000000000001E-2</v>
      </c>
      <c r="F39" s="4104">
        <v>2.4500000000000001E-2</v>
      </c>
      <c r="G39" s="4109"/>
      <c r="I39" s="4101">
        <f t="shared" si="6"/>
        <v>2.4500000000000001E-2</v>
      </c>
      <c r="J39" s="4096">
        <f t="shared" si="7"/>
        <v>4.4424297370806894E-2</v>
      </c>
      <c r="K39" s="4106">
        <f t="shared" si="4"/>
        <v>796.43990999999983</v>
      </c>
      <c r="L39" s="4107">
        <f t="shared" si="2"/>
        <v>40.694010000000006</v>
      </c>
      <c r="M39" s="4106">
        <f t="shared" si="3"/>
        <v>755.74589999999978</v>
      </c>
      <c r="N39" s="4107">
        <v>40.694009999999999</v>
      </c>
      <c r="O39" s="4106">
        <f t="shared" si="5"/>
        <v>0</v>
      </c>
    </row>
    <row r="40" spans="1:15" ht="16.5">
      <c r="A40" s="4088">
        <f t="shared" si="1"/>
        <v>45107</v>
      </c>
      <c r="B40" s="4104">
        <v>2.4500000000000001E-2</v>
      </c>
      <c r="C40" s="4104">
        <v>2.4500000000000001E-2</v>
      </c>
      <c r="D40" s="4104">
        <v>2.4500000000000001E-2</v>
      </c>
      <c r="E40" s="4104">
        <v>2.4500000000000001E-2</v>
      </c>
      <c r="F40" s="4104">
        <v>2.4500000000000001E-2</v>
      </c>
      <c r="G40" s="4109"/>
      <c r="I40" s="4101">
        <f t="shared" si="6"/>
        <v>2.4500000000000001E-2</v>
      </c>
      <c r="J40" s="4096">
        <f t="shared" si="7"/>
        <v>4.4424297370806894E-2</v>
      </c>
      <c r="K40" s="4106">
        <f t="shared" si="4"/>
        <v>755.74589999999978</v>
      </c>
      <c r="L40" s="4107">
        <f t="shared" si="2"/>
        <v>40.694010000000006</v>
      </c>
      <c r="M40" s="4106">
        <f t="shared" si="3"/>
        <v>715.05188999999973</v>
      </c>
      <c r="N40" s="4107">
        <v>40.694009999999999</v>
      </c>
      <c r="O40" s="4106">
        <f t="shared" si="5"/>
        <v>0</v>
      </c>
    </row>
    <row r="41" spans="1:15" ht="16.5">
      <c r="A41" s="4088">
        <f t="shared" si="1"/>
        <v>45199</v>
      </c>
      <c r="B41" s="4104">
        <v>2.5000000000000001E-2</v>
      </c>
      <c r="C41" s="4104">
        <v>2.5000000000000001E-2</v>
      </c>
      <c r="D41" s="4104">
        <v>2.5000000000000001E-2</v>
      </c>
      <c r="E41" s="4104">
        <v>2.5000000000000001E-2</v>
      </c>
      <c r="F41" s="4104">
        <v>2.5000000000000001E-2</v>
      </c>
      <c r="G41" s="4109"/>
      <c r="I41" s="4101">
        <f t="shared" si="6"/>
        <v>2.5000000000000001E-2</v>
      </c>
      <c r="J41" s="4096">
        <f t="shared" si="7"/>
        <v>4.5330915684496834E-2</v>
      </c>
      <c r="K41" s="4106">
        <f t="shared" si="4"/>
        <v>715.05188999999973</v>
      </c>
      <c r="L41" s="4107">
        <f t="shared" si="2"/>
        <v>41.524499999999996</v>
      </c>
      <c r="M41" s="4106">
        <f t="shared" si="3"/>
        <v>673.52738999999974</v>
      </c>
      <c r="N41" s="4107">
        <v>41.524500000000003</v>
      </c>
      <c r="O41" s="4106">
        <f t="shared" si="5"/>
        <v>0</v>
      </c>
    </row>
    <row r="42" spans="1:15" ht="16.5">
      <c r="A42" s="4088">
        <f t="shared" si="1"/>
        <v>45291</v>
      </c>
      <c r="B42" s="4104">
        <v>2.5499999999999998E-2</v>
      </c>
      <c r="C42" s="4104">
        <v>2.5499999999999998E-2</v>
      </c>
      <c r="D42" s="4104">
        <v>2.5499999999999998E-2</v>
      </c>
      <c r="E42" s="4104">
        <v>2.5499999999999998E-2</v>
      </c>
      <c r="F42" s="4104">
        <v>2.5499999999999998E-2</v>
      </c>
      <c r="G42" s="4109"/>
      <c r="I42" s="4101">
        <f t="shared" si="6"/>
        <v>2.5499999999999998E-2</v>
      </c>
      <c r="J42" s="4096">
        <f t="shared" si="7"/>
        <v>4.623753399818676E-2</v>
      </c>
      <c r="K42" s="4106">
        <f t="shared" si="4"/>
        <v>673.52738999999974</v>
      </c>
      <c r="L42" s="4107">
        <f t="shared" si="2"/>
        <v>42.354990000000001</v>
      </c>
      <c r="M42" s="4106">
        <f t="shared" si="3"/>
        <v>631.1723999999997</v>
      </c>
      <c r="N42" s="4107">
        <v>42.354990000000001</v>
      </c>
      <c r="O42" s="4106">
        <f t="shared" si="5"/>
        <v>0</v>
      </c>
    </row>
    <row r="43" spans="1:15" ht="16.5">
      <c r="A43" s="4088">
        <f t="shared" si="1"/>
        <v>45382</v>
      </c>
      <c r="B43" s="4104">
        <v>2.3E-2</v>
      </c>
      <c r="C43" s="4104">
        <v>2.3E-2</v>
      </c>
      <c r="D43" s="4104">
        <v>2.3E-2</v>
      </c>
      <c r="E43" s="4104">
        <v>2.3E-2</v>
      </c>
      <c r="F43" s="4104">
        <v>2.3E-2</v>
      </c>
      <c r="G43" s="4109"/>
      <c r="I43" s="4101">
        <f t="shared" si="6"/>
        <v>2.3E-2</v>
      </c>
      <c r="J43" s="4096">
        <f t="shared" si="7"/>
        <v>4.1704442429737081E-2</v>
      </c>
      <c r="K43" s="4106">
        <f t="shared" si="4"/>
        <v>631.1723999999997</v>
      </c>
      <c r="L43" s="4107">
        <f t="shared" si="2"/>
        <v>38.202539999999999</v>
      </c>
      <c r="M43" s="4106">
        <f t="shared" si="3"/>
        <v>592.9698599999997</v>
      </c>
      <c r="N43" s="4107">
        <v>38.202539999999999</v>
      </c>
      <c r="O43" s="4106">
        <f t="shared" si="5"/>
        <v>0</v>
      </c>
    </row>
    <row r="44" spans="1:15" ht="16.5">
      <c r="A44" s="4088">
        <f t="shared" si="1"/>
        <v>45473</v>
      </c>
      <c r="B44" s="4104">
        <v>2.35E-2</v>
      </c>
      <c r="C44" s="4104">
        <v>2.35E-2</v>
      </c>
      <c r="D44" s="4104">
        <v>2.35E-2</v>
      </c>
      <c r="E44" s="4104">
        <v>2.35E-2</v>
      </c>
      <c r="F44" s="4104">
        <v>2.35E-2</v>
      </c>
      <c r="G44" s="4109"/>
      <c r="I44" s="4101">
        <f t="shared" si="6"/>
        <v>2.35E-2</v>
      </c>
      <c r="J44" s="4096">
        <f t="shared" si="7"/>
        <v>4.2611060743427021E-2</v>
      </c>
      <c r="K44" s="4106">
        <f t="shared" si="4"/>
        <v>592.9698599999997</v>
      </c>
      <c r="L44" s="4107">
        <f t="shared" si="2"/>
        <v>39.033029999999997</v>
      </c>
      <c r="M44" s="4106">
        <f t="shared" si="3"/>
        <v>553.93682999999965</v>
      </c>
      <c r="N44" s="4107">
        <v>39.033029999999997</v>
      </c>
      <c r="O44" s="4106">
        <f t="shared" si="5"/>
        <v>0</v>
      </c>
    </row>
    <row r="45" spans="1:15" ht="16.5">
      <c r="A45" s="4088">
        <f t="shared" si="1"/>
        <v>45565</v>
      </c>
      <c r="B45" s="4104">
        <v>2.6499999999999999E-2</v>
      </c>
      <c r="C45" s="4104">
        <v>2.6499999999999999E-2</v>
      </c>
      <c r="D45" s="4104">
        <v>2.6499999999999999E-2</v>
      </c>
      <c r="E45" s="4104">
        <v>2.6499999999999999E-2</v>
      </c>
      <c r="F45" s="4104">
        <v>2.6499999999999999E-2</v>
      </c>
      <c r="G45" s="4109"/>
      <c r="I45" s="4101">
        <f t="shared" si="6"/>
        <v>2.6499999999999999E-2</v>
      </c>
      <c r="J45" s="4096">
        <f t="shared" si="7"/>
        <v>4.8050770625566633E-2</v>
      </c>
      <c r="K45" s="4106">
        <f t="shared" si="4"/>
        <v>553.93682999999965</v>
      </c>
      <c r="L45" s="4107">
        <f t="shared" si="2"/>
        <v>44.015969999999996</v>
      </c>
      <c r="M45" s="4106">
        <f t="shared" si="3"/>
        <v>509.92085999999966</v>
      </c>
      <c r="N45" s="4107">
        <v>44.015969999999996</v>
      </c>
      <c r="O45" s="4106">
        <f t="shared" si="5"/>
        <v>0</v>
      </c>
    </row>
    <row r="46" spans="1:15" ht="16.5">
      <c r="A46" s="4088">
        <f t="shared" si="1"/>
        <v>45657</v>
      </c>
      <c r="B46" s="4104">
        <v>2.7E-2</v>
      </c>
      <c r="C46" s="4104">
        <v>2.7E-2</v>
      </c>
      <c r="D46" s="4104">
        <v>2.7E-2</v>
      </c>
      <c r="E46" s="4104">
        <v>2.7E-2</v>
      </c>
      <c r="F46" s="4104">
        <v>2.7E-2</v>
      </c>
      <c r="G46" s="4109"/>
      <c r="I46" s="4101">
        <f t="shared" si="6"/>
        <v>2.7E-2</v>
      </c>
      <c r="J46" s="4096">
        <f t="shared" si="7"/>
        <v>4.8957388939256573E-2</v>
      </c>
      <c r="K46" s="4106">
        <f t="shared" si="4"/>
        <v>509.92085999999966</v>
      </c>
      <c r="L46" s="4107">
        <f t="shared" si="2"/>
        <v>44.84646</v>
      </c>
      <c r="M46" s="4106">
        <f t="shared" si="3"/>
        <v>465.07439999999968</v>
      </c>
      <c r="N46" s="4107">
        <v>44.846459999999993</v>
      </c>
      <c r="O46" s="4106">
        <f t="shared" si="5"/>
        <v>0</v>
      </c>
    </row>
    <row r="47" spans="1:15" ht="16.5">
      <c r="A47" s="4088">
        <f t="shared" si="1"/>
        <v>45747</v>
      </c>
      <c r="B47" s="4104">
        <v>3.15E-2</v>
      </c>
      <c r="C47" s="4104">
        <v>3.15E-2</v>
      </c>
      <c r="D47" s="4104">
        <v>3.15E-2</v>
      </c>
      <c r="E47" s="4104">
        <v>3.15E-2</v>
      </c>
      <c r="F47" s="4104">
        <v>3.15E-2</v>
      </c>
      <c r="G47" s="4109"/>
      <c r="I47" s="4101">
        <f t="shared" si="6"/>
        <v>3.15E-2</v>
      </c>
      <c r="J47" s="4096">
        <f t="shared" si="7"/>
        <v>5.7116953762466005E-2</v>
      </c>
      <c r="K47" s="4106">
        <f t="shared" si="4"/>
        <v>465.07439999999968</v>
      </c>
      <c r="L47" s="4107">
        <f t="shared" si="2"/>
        <v>52.320870000000006</v>
      </c>
      <c r="M47" s="4106">
        <f t="shared" si="3"/>
        <v>412.75352999999967</v>
      </c>
      <c r="N47" s="4107">
        <v>52.320869999999999</v>
      </c>
      <c r="O47" s="4106">
        <f t="shared" si="5"/>
        <v>0</v>
      </c>
    </row>
    <row r="48" spans="1:15" ht="16.5">
      <c r="A48" s="4088">
        <f t="shared" si="1"/>
        <v>45838</v>
      </c>
      <c r="B48" s="4104">
        <v>3.15E-2</v>
      </c>
      <c r="C48" s="4104">
        <v>3.15E-2</v>
      </c>
      <c r="D48" s="4104">
        <v>3.15E-2</v>
      </c>
      <c r="E48" s="4104">
        <v>3.15E-2</v>
      </c>
      <c r="F48" s="4104">
        <v>3.15E-2</v>
      </c>
      <c r="G48" s="4109"/>
      <c r="I48" s="4101">
        <f t="shared" si="6"/>
        <v>3.15E-2</v>
      </c>
      <c r="J48" s="4096">
        <f t="shared" si="7"/>
        <v>5.7116953762466005E-2</v>
      </c>
      <c r="K48" s="4106">
        <f t="shared" si="4"/>
        <v>412.75352999999967</v>
      </c>
      <c r="L48" s="4107">
        <f t="shared" si="2"/>
        <v>52.320870000000006</v>
      </c>
      <c r="M48" s="4106">
        <f t="shared" si="3"/>
        <v>360.43265999999966</v>
      </c>
      <c r="N48" s="4107">
        <v>52.320869999999999</v>
      </c>
      <c r="O48" s="4106">
        <f t="shared" si="5"/>
        <v>0</v>
      </c>
    </row>
    <row r="49" spans="1:15" ht="16.5">
      <c r="A49" s="4088">
        <f t="shared" si="1"/>
        <v>45930</v>
      </c>
      <c r="B49" s="4104">
        <v>3.2000000000000001E-2</v>
      </c>
      <c r="C49" s="4104">
        <v>3.2000000000000001E-2</v>
      </c>
      <c r="D49" s="4104">
        <v>3.2000000000000001E-2</v>
      </c>
      <c r="E49" s="4104">
        <v>3.2000000000000001E-2</v>
      </c>
      <c r="F49" s="4104">
        <v>3.2000000000000001E-2</v>
      </c>
      <c r="G49" s="4109"/>
      <c r="I49" s="4101">
        <f t="shared" si="6"/>
        <v>3.2000000000000001E-2</v>
      </c>
      <c r="J49" s="4096">
        <f t="shared" si="7"/>
        <v>5.8023572076155938E-2</v>
      </c>
      <c r="K49" s="4106">
        <f t="shared" si="4"/>
        <v>360.43265999999966</v>
      </c>
      <c r="L49" s="4107">
        <f t="shared" si="2"/>
        <v>53.151360000000004</v>
      </c>
      <c r="M49" s="4106">
        <f t="shared" si="3"/>
        <v>307.28129999999965</v>
      </c>
      <c r="N49" s="4107">
        <v>53.151359999999997</v>
      </c>
      <c r="O49" s="4106">
        <f t="shared" si="5"/>
        <v>0</v>
      </c>
    </row>
    <row r="50" spans="1:15" ht="16.5">
      <c r="A50" s="4088">
        <f t="shared" si="1"/>
        <v>46022</v>
      </c>
      <c r="B50" s="4104">
        <v>3.2500000000000001E-2</v>
      </c>
      <c r="C50" s="4104">
        <v>3.2500000000000001E-2</v>
      </c>
      <c r="D50" s="4104">
        <v>3.2500000000000001E-2</v>
      </c>
      <c r="E50" s="4104">
        <v>3.2500000000000001E-2</v>
      </c>
      <c r="F50" s="4104">
        <v>3.2500000000000001E-2</v>
      </c>
      <c r="G50" s="4109"/>
      <c r="I50" s="4101">
        <f t="shared" si="6"/>
        <v>3.2500000000000001E-2</v>
      </c>
      <c r="J50" s="4096">
        <f t="shared" si="7"/>
        <v>5.8930190389845878E-2</v>
      </c>
      <c r="K50" s="4106">
        <f t="shared" si="4"/>
        <v>307.28129999999965</v>
      </c>
      <c r="L50" s="4107">
        <f t="shared" si="2"/>
        <v>53.981850000000001</v>
      </c>
      <c r="M50" s="4106">
        <f t="shared" si="3"/>
        <v>253.29944999999964</v>
      </c>
      <c r="N50" s="4107">
        <v>53.981850000000001</v>
      </c>
      <c r="O50" s="4106">
        <f t="shared" si="5"/>
        <v>0</v>
      </c>
    </row>
    <row r="51" spans="1:15" ht="16.5">
      <c r="A51" s="4088">
        <f t="shared" si="1"/>
        <v>46112</v>
      </c>
      <c r="B51" s="4104">
        <v>0.02</v>
      </c>
      <c r="C51" s="4104">
        <v>0.02</v>
      </c>
      <c r="D51" s="4104">
        <v>0.02</v>
      </c>
      <c r="E51" s="4104">
        <v>0.02</v>
      </c>
      <c r="F51" s="4104">
        <v>0.02</v>
      </c>
      <c r="G51" s="4109"/>
      <c r="I51" s="4101">
        <f t="shared" si="6"/>
        <v>0.02</v>
      </c>
      <c r="J51" s="4096">
        <f t="shared" si="7"/>
        <v>3.6264732547597461E-2</v>
      </c>
      <c r="K51" s="4106">
        <f t="shared" si="4"/>
        <v>253.29944999999964</v>
      </c>
      <c r="L51" s="4107">
        <f t="shared" si="2"/>
        <v>33.2196</v>
      </c>
      <c r="M51" s="4106">
        <f t="shared" si="3"/>
        <v>220.07984999999962</v>
      </c>
      <c r="N51" s="4107">
        <v>33.2196</v>
      </c>
      <c r="O51" s="4106">
        <f t="shared" si="5"/>
        <v>0</v>
      </c>
    </row>
    <row r="52" spans="1:15" ht="16.5">
      <c r="A52" s="4088">
        <f t="shared" si="1"/>
        <v>46203</v>
      </c>
      <c r="B52" s="4104">
        <v>2.3E-2</v>
      </c>
      <c r="C52" s="4104">
        <v>2.3E-2</v>
      </c>
      <c r="D52" s="4104">
        <v>2.3E-2</v>
      </c>
      <c r="E52" s="4104">
        <v>2.3E-2</v>
      </c>
      <c r="F52" s="4104">
        <v>2.3E-2</v>
      </c>
      <c r="G52" s="4109"/>
      <c r="I52" s="4101">
        <f t="shared" si="6"/>
        <v>2.3E-2</v>
      </c>
      <c r="J52" s="4096">
        <f t="shared" si="7"/>
        <v>4.1704442429737081E-2</v>
      </c>
      <c r="K52" s="4106">
        <f t="shared" si="4"/>
        <v>220.07984999999962</v>
      </c>
      <c r="L52" s="4107">
        <f t="shared" si="2"/>
        <v>38.202539999999999</v>
      </c>
      <c r="M52" s="4106">
        <f t="shared" si="3"/>
        <v>181.87730999999962</v>
      </c>
      <c r="N52" s="4107">
        <v>38.202539999999999</v>
      </c>
      <c r="O52" s="4106">
        <f t="shared" si="5"/>
        <v>0</v>
      </c>
    </row>
    <row r="53" spans="1:15" ht="16.5">
      <c r="A53" s="4088">
        <f t="shared" si="1"/>
        <v>46295</v>
      </c>
      <c r="B53" s="4104">
        <v>2.35E-2</v>
      </c>
      <c r="C53" s="4104">
        <v>2.35E-2</v>
      </c>
      <c r="D53" s="4104">
        <v>2.35E-2</v>
      </c>
      <c r="E53" s="4104">
        <v>2.35E-2</v>
      </c>
      <c r="F53" s="4104">
        <v>2.35E-2</v>
      </c>
      <c r="G53" s="4109"/>
      <c r="I53" s="4101">
        <f t="shared" si="6"/>
        <v>2.35E-2</v>
      </c>
      <c r="J53" s="4096">
        <f t="shared" si="7"/>
        <v>4.2611060743427021E-2</v>
      </c>
      <c r="K53" s="4106">
        <f t="shared" si="4"/>
        <v>181.87730999999962</v>
      </c>
      <c r="L53" s="4107">
        <f t="shared" si="2"/>
        <v>39.033029999999997</v>
      </c>
      <c r="M53" s="4106">
        <f t="shared" si="3"/>
        <v>142.84427999999963</v>
      </c>
      <c r="N53" s="4107">
        <v>39.033029999999997</v>
      </c>
      <c r="O53" s="4106">
        <f t="shared" si="5"/>
        <v>0</v>
      </c>
    </row>
    <row r="54" spans="1:15" ht="16.5">
      <c r="A54" s="4088">
        <f t="shared" si="1"/>
        <v>46387</v>
      </c>
      <c r="B54" s="4104">
        <v>0.02</v>
      </c>
      <c r="C54" s="4104">
        <v>0.02</v>
      </c>
      <c r="D54" s="4104">
        <v>0.02</v>
      </c>
      <c r="E54" s="4104">
        <v>0.02</v>
      </c>
      <c r="F54" s="4104">
        <v>0.02</v>
      </c>
      <c r="G54" s="4109"/>
      <c r="I54" s="4101">
        <f t="shared" si="6"/>
        <v>0.02</v>
      </c>
      <c r="J54" s="4096">
        <f t="shared" si="7"/>
        <v>3.6264732547597461E-2</v>
      </c>
      <c r="K54" s="4106">
        <f t="shared" si="4"/>
        <v>142.84427999999963</v>
      </c>
      <c r="L54" s="4107">
        <f t="shared" si="2"/>
        <v>33.2196</v>
      </c>
      <c r="M54" s="4106">
        <f t="shared" si="3"/>
        <v>109.62467999999963</v>
      </c>
      <c r="N54" s="4107">
        <v>33.2196</v>
      </c>
      <c r="O54" s="4106">
        <f t="shared" si="5"/>
        <v>0</v>
      </c>
    </row>
    <row r="55" spans="1:15" ht="16.5">
      <c r="A55" s="4088">
        <f t="shared" si="1"/>
        <v>46477</v>
      </c>
      <c r="B55" s="4104">
        <v>6.0000000000000001E-3</v>
      </c>
      <c r="C55" s="4104">
        <v>6.0000000000000001E-3</v>
      </c>
      <c r="D55" s="4104">
        <v>6.0000000000000001E-3</v>
      </c>
      <c r="E55" s="4104">
        <v>6.0000000000000001E-3</v>
      </c>
      <c r="F55" s="4104">
        <v>6.0000000000000001E-3</v>
      </c>
      <c r="G55" s="4109"/>
      <c r="I55" s="4101">
        <f t="shared" si="6"/>
        <v>6.0000000000000001E-3</v>
      </c>
      <c r="J55" s="4096">
        <f t="shared" si="7"/>
        <v>1.0879419764279238E-2</v>
      </c>
      <c r="K55" s="4106">
        <f t="shared" si="4"/>
        <v>109.62467999999963</v>
      </c>
      <c r="L55" s="4107">
        <f t="shared" si="2"/>
        <v>9.9658800000000003</v>
      </c>
      <c r="M55" s="4106">
        <f t="shared" si="3"/>
        <v>99.65879999999963</v>
      </c>
      <c r="N55" s="4107">
        <v>9.9658800000000003</v>
      </c>
      <c r="O55" s="4106">
        <f t="shared" si="5"/>
        <v>0</v>
      </c>
    </row>
    <row r="56" spans="1:15" ht="16.5">
      <c r="A56" s="4088">
        <f t="shared" si="1"/>
        <v>46568</v>
      </c>
      <c r="B56" s="4104">
        <v>6.0000000000000001E-3</v>
      </c>
      <c r="C56" s="4104">
        <v>6.0000000000000001E-3</v>
      </c>
      <c r="D56" s="4104">
        <v>6.0000000000000001E-3</v>
      </c>
      <c r="E56" s="4104">
        <v>6.0000000000000001E-3</v>
      </c>
      <c r="F56" s="4104">
        <v>6.0000000000000001E-3</v>
      </c>
      <c r="G56" s="4109"/>
      <c r="I56" s="4101">
        <f t="shared" si="6"/>
        <v>6.0000000000000001E-3</v>
      </c>
      <c r="J56" s="4096">
        <f t="shared" si="7"/>
        <v>1.0879419764279238E-2</v>
      </c>
      <c r="K56" s="4106">
        <f t="shared" si="4"/>
        <v>99.65879999999963</v>
      </c>
      <c r="L56" s="4107">
        <f t="shared" si="2"/>
        <v>9.9658800000000003</v>
      </c>
      <c r="M56" s="4106">
        <f t="shared" si="3"/>
        <v>89.692919999999631</v>
      </c>
      <c r="N56" s="4107">
        <v>9.9658800000000003</v>
      </c>
      <c r="O56" s="4106">
        <f t="shared" si="5"/>
        <v>0</v>
      </c>
    </row>
    <row r="57" spans="1:15" ht="16.5">
      <c r="A57" s="4088">
        <f t="shared" si="1"/>
        <v>46660</v>
      </c>
      <c r="B57" s="4104">
        <v>6.0000000000000001E-3</v>
      </c>
      <c r="C57" s="4104">
        <v>6.0000000000000001E-3</v>
      </c>
      <c r="D57" s="4104">
        <v>6.0000000000000001E-3</v>
      </c>
      <c r="E57" s="4104">
        <v>6.0000000000000001E-3</v>
      </c>
      <c r="F57" s="4104">
        <v>6.0000000000000001E-3</v>
      </c>
      <c r="G57" s="4109"/>
      <c r="I57" s="4101">
        <f t="shared" si="6"/>
        <v>6.0000000000000001E-3</v>
      </c>
      <c r="J57" s="4096">
        <f t="shared" si="7"/>
        <v>1.0879419764279238E-2</v>
      </c>
      <c r="K57" s="4106">
        <f t="shared" si="4"/>
        <v>89.692919999999631</v>
      </c>
      <c r="L57" s="4107">
        <f t="shared" si="2"/>
        <v>9.9658800000000003</v>
      </c>
      <c r="M57" s="4106">
        <f t="shared" si="3"/>
        <v>79.727039999999633</v>
      </c>
      <c r="N57" s="4107">
        <v>9.9658800000000003</v>
      </c>
      <c r="O57" s="4106">
        <f t="shared" si="5"/>
        <v>0</v>
      </c>
    </row>
    <row r="58" spans="1:15" ht="16.5">
      <c r="A58" s="4088">
        <f t="shared" si="1"/>
        <v>46752</v>
      </c>
      <c r="B58" s="4104">
        <v>6.0000000000000001E-3</v>
      </c>
      <c r="C58" s="4104">
        <v>6.0000000000000001E-3</v>
      </c>
      <c r="D58" s="4104">
        <v>6.0000000000000001E-3</v>
      </c>
      <c r="E58" s="4104">
        <v>6.0000000000000001E-3</v>
      </c>
      <c r="F58" s="4104">
        <v>6.0000000000000001E-3</v>
      </c>
      <c r="G58" s="4109"/>
      <c r="I58" s="4101">
        <f t="shared" si="6"/>
        <v>6.0000000000000001E-3</v>
      </c>
      <c r="J58" s="4096">
        <f t="shared" si="7"/>
        <v>1.0879419764279238E-2</v>
      </c>
      <c r="K58" s="4106">
        <f t="shared" si="4"/>
        <v>79.727039999999633</v>
      </c>
      <c r="L58" s="4107">
        <f t="shared" si="2"/>
        <v>9.9658800000000003</v>
      </c>
      <c r="M58" s="4106">
        <f t="shared" si="3"/>
        <v>69.761159999999634</v>
      </c>
      <c r="N58" s="4107">
        <v>9.9658800000000003</v>
      </c>
      <c r="O58" s="4106">
        <f t="shared" si="5"/>
        <v>0</v>
      </c>
    </row>
    <row r="59" spans="1:15" ht="16.5">
      <c r="A59" s="4088">
        <f t="shared" si="1"/>
        <v>46843</v>
      </c>
      <c r="B59" s="4104">
        <v>6.0000000000000001E-3</v>
      </c>
      <c r="C59" s="4104">
        <v>6.0000000000000001E-3</v>
      </c>
      <c r="D59" s="4104">
        <v>6.0000000000000001E-3</v>
      </c>
      <c r="E59" s="4104">
        <v>6.0000000000000001E-3</v>
      </c>
      <c r="F59" s="4104">
        <v>6.0000000000000001E-3</v>
      </c>
      <c r="G59" s="4109"/>
      <c r="I59" s="4101">
        <f t="shared" si="6"/>
        <v>6.0000000000000001E-3</v>
      </c>
      <c r="J59" s="4096">
        <f t="shared" si="7"/>
        <v>1.0879419764279238E-2</v>
      </c>
      <c r="K59" s="4106">
        <f t="shared" si="4"/>
        <v>69.761159999999634</v>
      </c>
      <c r="L59" s="4107">
        <f t="shared" si="2"/>
        <v>9.9658800000000003</v>
      </c>
      <c r="M59" s="4106">
        <f t="shared" si="3"/>
        <v>59.795279999999636</v>
      </c>
      <c r="N59" s="4107">
        <v>9.9658800000000003</v>
      </c>
      <c r="O59" s="4106">
        <f t="shared" si="5"/>
        <v>0</v>
      </c>
    </row>
    <row r="60" spans="1:15" ht="16.5">
      <c r="A60" s="4088">
        <f t="shared" si="1"/>
        <v>46934</v>
      </c>
      <c r="B60" s="4104">
        <v>6.0000000000000001E-3</v>
      </c>
      <c r="C60" s="4104">
        <v>6.0000000000000001E-3</v>
      </c>
      <c r="D60" s="4104">
        <v>6.0000000000000001E-3</v>
      </c>
      <c r="E60" s="4104">
        <v>6.0000000000000001E-3</v>
      </c>
      <c r="F60" s="4104">
        <v>6.0000000000000001E-3</v>
      </c>
      <c r="G60" s="4109"/>
      <c r="I60" s="4101">
        <f t="shared" si="6"/>
        <v>6.0000000000000001E-3</v>
      </c>
      <c r="J60" s="4096">
        <f t="shared" si="7"/>
        <v>1.0879419764279238E-2</v>
      </c>
      <c r="K60" s="4106">
        <f t="shared" si="4"/>
        <v>59.795279999999636</v>
      </c>
      <c r="L60" s="4107">
        <f t="shared" si="2"/>
        <v>9.9658800000000003</v>
      </c>
      <c r="M60" s="4106">
        <f t="shared" si="3"/>
        <v>49.829399999999637</v>
      </c>
      <c r="N60" s="4107">
        <v>9.9658800000000003</v>
      </c>
      <c r="O60" s="4106">
        <f t="shared" si="5"/>
        <v>0</v>
      </c>
    </row>
    <row r="61" spans="1:15" ht="16.5">
      <c r="A61" s="4088">
        <f t="shared" si="1"/>
        <v>47026</v>
      </c>
      <c r="B61" s="4104">
        <v>6.0000000000000001E-3</v>
      </c>
      <c r="C61" s="4104">
        <v>6.0000000000000001E-3</v>
      </c>
      <c r="D61" s="4104">
        <v>6.0000000000000001E-3</v>
      </c>
      <c r="E61" s="4104">
        <v>6.0000000000000001E-3</v>
      </c>
      <c r="F61" s="4104">
        <v>6.0000000000000001E-3</v>
      </c>
      <c r="G61" s="4109"/>
      <c r="I61" s="4101">
        <f t="shared" si="6"/>
        <v>6.0000000000000001E-3</v>
      </c>
      <c r="J61" s="4096">
        <f t="shared" si="7"/>
        <v>1.0879419764279238E-2</v>
      </c>
      <c r="K61" s="4106">
        <f t="shared" si="4"/>
        <v>49.829399999999637</v>
      </c>
      <c r="L61" s="4107">
        <f t="shared" si="2"/>
        <v>9.9658800000000003</v>
      </c>
      <c r="M61" s="4106">
        <f t="shared" si="3"/>
        <v>39.863519999999639</v>
      </c>
      <c r="N61" s="4107">
        <v>9.9658800000000003</v>
      </c>
      <c r="O61" s="4106">
        <f t="shared" si="5"/>
        <v>0</v>
      </c>
    </row>
    <row r="62" spans="1:15" ht="16.5">
      <c r="A62" s="4088">
        <f t="shared" si="1"/>
        <v>47118</v>
      </c>
      <c r="B62" s="4104">
        <v>6.0000000000000001E-3</v>
      </c>
      <c r="C62" s="4104">
        <v>6.0000000000000001E-3</v>
      </c>
      <c r="D62" s="4104">
        <v>6.0000000000000001E-3</v>
      </c>
      <c r="E62" s="4104">
        <v>6.0000000000000001E-3</v>
      </c>
      <c r="F62" s="4104">
        <v>6.0000000000000001E-3</v>
      </c>
      <c r="G62" s="4109"/>
      <c r="I62" s="4101">
        <f t="shared" si="6"/>
        <v>6.0000000000000001E-3</v>
      </c>
      <c r="J62" s="4096">
        <f t="shared" si="7"/>
        <v>1.0879419764279238E-2</v>
      </c>
      <c r="K62" s="4106">
        <f t="shared" si="4"/>
        <v>39.863519999999639</v>
      </c>
      <c r="L62" s="4107">
        <f t="shared" si="2"/>
        <v>9.9658800000000003</v>
      </c>
      <c r="M62" s="4106">
        <f t="shared" si="3"/>
        <v>29.89763999999964</v>
      </c>
      <c r="N62" s="4107">
        <v>9.9658800000000003</v>
      </c>
      <c r="O62" s="4106">
        <f t="shared" si="5"/>
        <v>0</v>
      </c>
    </row>
    <row r="63" spans="1:15" ht="16.5">
      <c r="A63" s="4088">
        <f t="shared" si="1"/>
        <v>47208</v>
      </c>
      <c r="B63" s="4104">
        <v>6.0000000000000001E-3</v>
      </c>
      <c r="C63" s="4104">
        <v>6.0000000000000001E-3</v>
      </c>
      <c r="D63" s="4104">
        <v>6.0000000000000001E-3</v>
      </c>
      <c r="E63" s="4104">
        <v>6.0000000000000001E-3</v>
      </c>
      <c r="F63" s="4104">
        <v>6.0000000000000001E-3</v>
      </c>
      <c r="G63" s="4109"/>
      <c r="I63" s="4101">
        <f t="shared" si="6"/>
        <v>6.0000000000000001E-3</v>
      </c>
      <c r="J63" s="4096">
        <f t="shared" si="7"/>
        <v>1.0879419764279238E-2</v>
      </c>
      <c r="K63" s="4106">
        <f t="shared" si="4"/>
        <v>29.89763999999964</v>
      </c>
      <c r="L63" s="4107">
        <f t="shared" si="2"/>
        <v>9.9658800000000003</v>
      </c>
      <c r="M63" s="4106">
        <f t="shared" si="3"/>
        <v>19.931759999999642</v>
      </c>
      <c r="N63" s="4107">
        <v>9.9658800000000003</v>
      </c>
      <c r="O63" s="4106">
        <f t="shared" si="5"/>
        <v>0</v>
      </c>
    </row>
    <row r="64" spans="1:15" ht="16.5">
      <c r="A64" s="4088">
        <f t="shared" si="1"/>
        <v>47299</v>
      </c>
      <c r="B64" s="4104">
        <v>6.0000000000000001E-3</v>
      </c>
      <c r="C64" s="4104">
        <v>6.0000000000000001E-3</v>
      </c>
      <c r="D64" s="4104">
        <v>6.0000000000000001E-3</v>
      </c>
      <c r="E64" s="4104">
        <v>6.0000000000000001E-3</v>
      </c>
      <c r="F64" s="4104">
        <v>6.0000000000000001E-3</v>
      </c>
      <c r="G64" s="4109"/>
      <c r="I64" s="4101">
        <f t="shared" si="6"/>
        <v>6.0000000000000001E-3</v>
      </c>
      <c r="J64" s="4096">
        <f t="shared" si="7"/>
        <v>1.0879419764279238E-2</v>
      </c>
      <c r="K64" s="4106">
        <f t="shared" si="4"/>
        <v>19.931759999999642</v>
      </c>
      <c r="L64" s="4107">
        <f t="shared" si="2"/>
        <v>9.9658800000000003</v>
      </c>
      <c r="M64" s="4106">
        <f t="shared" si="3"/>
        <v>9.9658799999996415</v>
      </c>
      <c r="N64" s="4107">
        <v>9.9658800000000003</v>
      </c>
      <c r="O64" s="4106">
        <f t="shared" si="5"/>
        <v>0</v>
      </c>
    </row>
    <row r="65" spans="1:15" ht="16.5">
      <c r="A65" s="4088">
        <f t="shared" si="1"/>
        <v>47391</v>
      </c>
      <c r="B65" s="4104">
        <v>6.0000000000000001E-3</v>
      </c>
      <c r="C65" s="4104">
        <v>6.0000000000000001E-3</v>
      </c>
      <c r="D65" s="4104">
        <v>6.0000000000000001E-3</v>
      </c>
      <c r="E65" s="4104">
        <v>6.0000000000000001E-3</v>
      </c>
      <c r="F65" s="4104">
        <v>6.0000000000000001E-3</v>
      </c>
      <c r="G65" s="4109"/>
      <c r="I65" s="4101">
        <f t="shared" si="6"/>
        <v>6.0000000000000001E-3</v>
      </c>
      <c r="J65" s="4096">
        <f t="shared" si="7"/>
        <v>1.0879419764279238E-2</v>
      </c>
      <c r="K65" s="4106">
        <f t="shared" si="4"/>
        <v>9.9658799999996415</v>
      </c>
      <c r="L65" s="4107">
        <f t="shared" si="2"/>
        <v>9.9658800000000003</v>
      </c>
      <c r="M65" s="4106">
        <f t="shared" si="3"/>
        <v>-3.5882408155885059E-13</v>
      </c>
      <c r="N65" s="4107">
        <v>9.9658799999998866</v>
      </c>
      <c r="O65" s="4106">
        <f t="shared" si="5"/>
        <v>-1.1368683772161603E-13</v>
      </c>
    </row>
    <row r="66" spans="1:15" ht="16.5">
      <c r="A66" s="4088">
        <f t="shared" si="1"/>
        <v>47483</v>
      </c>
      <c r="B66" s="4112"/>
      <c r="C66" s="4112"/>
      <c r="D66" s="4112"/>
      <c r="E66" s="4112"/>
      <c r="F66" s="4112"/>
      <c r="G66" s="4109"/>
      <c r="K66" s="4107"/>
      <c r="L66" s="4108"/>
      <c r="M66" s="4108"/>
      <c r="N66" s="4108"/>
      <c r="O66" s="4108"/>
    </row>
    <row r="67" spans="1:15" ht="16.5">
      <c r="A67" s="4088">
        <f t="shared" si="1"/>
        <v>47573</v>
      </c>
      <c r="B67" s="4112"/>
      <c r="C67" s="4112"/>
      <c r="D67" s="4112"/>
      <c r="E67" s="4112"/>
      <c r="F67" s="4112"/>
      <c r="G67" s="4109"/>
      <c r="K67" s="4107"/>
      <c r="L67" s="4108"/>
      <c r="M67" s="4108"/>
      <c r="N67" s="4108"/>
      <c r="O67" s="4108"/>
    </row>
    <row r="68" spans="1:15" ht="16.5">
      <c r="A68" s="4088">
        <f t="shared" si="1"/>
        <v>47664</v>
      </c>
      <c r="B68" s="4112"/>
      <c r="C68" s="4112"/>
      <c r="D68" s="4112"/>
      <c r="E68" s="4112"/>
      <c r="F68" s="4112"/>
      <c r="G68" s="4109"/>
      <c r="K68" s="4107"/>
      <c r="L68" s="4108"/>
      <c r="M68" s="4108"/>
      <c r="N68" s="4108"/>
      <c r="O68" s="4108"/>
    </row>
    <row r="69" spans="1:15" ht="16.5">
      <c r="A69" s="4088">
        <f t="shared" si="1"/>
        <v>47756</v>
      </c>
      <c r="B69" s="4112"/>
      <c r="C69" s="4112"/>
      <c r="D69" s="4112"/>
      <c r="E69" s="4112"/>
      <c r="F69" s="4112"/>
      <c r="G69" s="4109"/>
      <c r="K69" s="4092"/>
    </row>
    <row r="70" spans="1:15" ht="16.5">
      <c r="A70" s="4088">
        <f t="shared" si="1"/>
        <v>47848</v>
      </c>
      <c r="B70" s="4112"/>
      <c r="C70" s="4112"/>
      <c r="D70" s="4112"/>
      <c r="E70" s="4112"/>
      <c r="F70" s="4112"/>
      <c r="G70" s="4109"/>
      <c r="K70" s="4092"/>
    </row>
    <row r="71" spans="1:15" ht="16.5">
      <c r="A71" s="4088">
        <f t="shared" ref="A71:A111" si="8">EOMONTH(A70,3)</f>
        <v>47938</v>
      </c>
      <c r="B71" s="4112"/>
      <c r="C71" s="4112"/>
      <c r="D71" s="4112"/>
      <c r="E71" s="4112"/>
      <c r="F71" s="4112"/>
      <c r="G71" s="4109"/>
      <c r="K71" s="4092"/>
    </row>
    <row r="72" spans="1:15" ht="16.5">
      <c r="A72" s="4088">
        <f t="shared" si="8"/>
        <v>48029</v>
      </c>
      <c r="B72" s="4112"/>
      <c r="C72" s="4112"/>
      <c r="D72" s="4112"/>
      <c r="E72" s="4112"/>
      <c r="F72" s="4112"/>
      <c r="G72" s="4109"/>
      <c r="K72" s="4092"/>
    </row>
    <row r="73" spans="1:15" ht="16.5">
      <c r="A73" s="4088">
        <f t="shared" si="8"/>
        <v>48121</v>
      </c>
      <c r="B73" s="4112"/>
      <c r="C73" s="4112"/>
      <c r="D73" s="4112"/>
      <c r="E73" s="4112"/>
      <c r="F73" s="4112"/>
      <c r="G73" s="4109"/>
      <c r="K73" s="4092"/>
    </row>
    <row r="74" spans="1:15" ht="16.5">
      <c r="A74" s="4088">
        <f t="shared" si="8"/>
        <v>48213</v>
      </c>
      <c r="B74" s="4112"/>
      <c r="C74" s="4112"/>
      <c r="D74" s="4112"/>
      <c r="E74" s="4112"/>
      <c r="F74" s="4112"/>
      <c r="G74" s="4109"/>
      <c r="K74" s="4092"/>
    </row>
    <row r="75" spans="1:15" ht="16.5">
      <c r="A75" s="4088">
        <f t="shared" si="8"/>
        <v>48304</v>
      </c>
      <c r="B75" s="4112"/>
      <c r="C75" s="4112"/>
      <c r="D75" s="4112"/>
      <c r="E75" s="4112"/>
      <c r="F75" s="4112"/>
      <c r="G75" s="4109"/>
      <c r="K75" s="4092"/>
    </row>
    <row r="76" spans="1:15" ht="16.5">
      <c r="A76" s="4088">
        <f t="shared" si="8"/>
        <v>48395</v>
      </c>
      <c r="B76" s="4112"/>
      <c r="C76" s="4112"/>
      <c r="D76" s="4112"/>
      <c r="E76" s="4112"/>
      <c r="F76" s="4112"/>
      <c r="G76" s="4109"/>
      <c r="K76" s="4092"/>
    </row>
    <row r="77" spans="1:15" ht="16.5">
      <c r="A77" s="4088">
        <f t="shared" si="8"/>
        <v>48487</v>
      </c>
      <c r="B77" s="4112"/>
      <c r="C77" s="4112"/>
      <c r="D77" s="4112"/>
      <c r="E77" s="4112"/>
      <c r="F77" s="4112"/>
      <c r="G77" s="4109"/>
      <c r="K77" s="4092"/>
    </row>
    <row r="78" spans="1:15" ht="16.5">
      <c r="A78" s="4088">
        <f t="shared" si="8"/>
        <v>48579</v>
      </c>
      <c r="B78" s="4112"/>
      <c r="C78" s="4112"/>
      <c r="D78" s="4112"/>
      <c r="E78" s="4112"/>
      <c r="F78" s="4112"/>
      <c r="G78" s="4109"/>
      <c r="K78" s="4092"/>
    </row>
    <row r="79" spans="1:15" ht="16.5">
      <c r="A79" s="4088">
        <f t="shared" si="8"/>
        <v>48669</v>
      </c>
      <c r="B79" s="4112"/>
      <c r="C79" s="4112"/>
      <c r="D79" s="4112"/>
      <c r="E79" s="4112"/>
      <c r="F79" s="4112"/>
      <c r="G79" s="4109"/>
      <c r="K79" s="4092"/>
    </row>
    <row r="80" spans="1:15" ht="16.5">
      <c r="A80" s="4088">
        <f t="shared" si="8"/>
        <v>48760</v>
      </c>
      <c r="B80" s="4112"/>
      <c r="C80" s="4112"/>
      <c r="D80" s="4112"/>
      <c r="E80" s="4112"/>
      <c r="F80" s="4112"/>
      <c r="G80" s="4109"/>
      <c r="K80" s="4092"/>
    </row>
    <row r="81" spans="1:11" ht="16.5">
      <c r="A81" s="4088">
        <f t="shared" si="8"/>
        <v>48852</v>
      </c>
      <c r="B81" s="4112"/>
      <c r="C81" s="4112"/>
      <c r="D81" s="4112"/>
      <c r="E81" s="4112"/>
      <c r="F81" s="4112"/>
      <c r="G81" s="4109"/>
      <c r="K81" s="4092"/>
    </row>
    <row r="82" spans="1:11" ht="16.5">
      <c r="A82" s="4088">
        <f t="shared" si="8"/>
        <v>48944</v>
      </c>
      <c r="B82" s="4112"/>
      <c r="C82" s="4112"/>
      <c r="D82" s="4112"/>
      <c r="E82" s="4112"/>
      <c r="F82" s="4112"/>
      <c r="G82" s="4109"/>
      <c r="K82" s="4092"/>
    </row>
    <row r="83" spans="1:11" ht="16.5">
      <c r="A83" s="4088">
        <f t="shared" si="8"/>
        <v>49034</v>
      </c>
      <c r="B83" s="4112"/>
      <c r="C83" s="4112"/>
      <c r="D83" s="4112"/>
      <c r="E83" s="4112"/>
      <c r="F83" s="4112"/>
      <c r="G83" s="4109"/>
      <c r="K83" s="4092"/>
    </row>
    <row r="84" spans="1:11" ht="16.5">
      <c r="A84" s="4088">
        <f t="shared" si="8"/>
        <v>49125</v>
      </c>
      <c r="B84" s="4112"/>
      <c r="C84" s="4112"/>
      <c r="D84" s="4112"/>
      <c r="E84" s="4112"/>
      <c r="F84" s="4112"/>
      <c r="G84" s="4109"/>
      <c r="K84" s="4092"/>
    </row>
    <row r="85" spans="1:11" ht="16.5">
      <c r="A85" s="4088">
        <f t="shared" si="8"/>
        <v>49217</v>
      </c>
      <c r="B85" s="4112"/>
      <c r="C85" s="4112"/>
      <c r="D85" s="4112"/>
      <c r="E85" s="4112"/>
      <c r="F85" s="4112"/>
      <c r="G85" s="4109"/>
      <c r="K85" s="4092"/>
    </row>
    <row r="86" spans="1:11" ht="16.5">
      <c r="A86" s="4088">
        <f t="shared" si="8"/>
        <v>49309</v>
      </c>
      <c r="B86" s="4112"/>
      <c r="C86" s="4112"/>
      <c r="D86" s="4112"/>
      <c r="E86" s="4112"/>
      <c r="F86" s="4112"/>
      <c r="G86" s="4109"/>
      <c r="K86" s="4092"/>
    </row>
    <row r="87" spans="1:11" ht="16.5">
      <c r="A87" s="4088">
        <f t="shared" si="8"/>
        <v>49399</v>
      </c>
      <c r="B87" s="4112"/>
      <c r="C87" s="4112"/>
      <c r="D87" s="4112"/>
      <c r="E87" s="4112"/>
      <c r="F87" s="4112"/>
      <c r="G87" s="4109"/>
      <c r="K87" s="4092"/>
    </row>
    <row r="88" spans="1:11" ht="16.5">
      <c r="A88" s="4088">
        <f t="shared" si="8"/>
        <v>49490</v>
      </c>
      <c r="B88" s="4112"/>
      <c r="C88" s="4112"/>
      <c r="D88" s="4112"/>
      <c r="E88" s="4112"/>
      <c r="F88" s="4112"/>
      <c r="G88" s="4109"/>
      <c r="K88" s="4092"/>
    </row>
    <row r="89" spans="1:11" ht="16.5">
      <c r="A89" s="4088">
        <f t="shared" si="8"/>
        <v>49582</v>
      </c>
      <c r="B89" s="4112"/>
      <c r="C89" s="4112"/>
      <c r="D89" s="4112"/>
      <c r="E89" s="4112"/>
      <c r="F89" s="4112"/>
      <c r="G89" s="4109"/>
      <c r="K89" s="4092"/>
    </row>
    <row r="90" spans="1:11" ht="16.5">
      <c r="A90" s="4088">
        <f t="shared" si="8"/>
        <v>49674</v>
      </c>
      <c r="B90" s="4112"/>
      <c r="C90" s="4112"/>
      <c r="D90" s="4112"/>
      <c r="E90" s="4112"/>
      <c r="F90" s="4112"/>
      <c r="G90" s="4109"/>
      <c r="K90" s="4092"/>
    </row>
    <row r="91" spans="1:11" ht="16.5">
      <c r="A91" s="4088">
        <f t="shared" si="8"/>
        <v>49765</v>
      </c>
      <c r="B91" s="4112"/>
      <c r="C91" s="4112"/>
      <c r="D91" s="4112"/>
      <c r="E91" s="4112"/>
      <c r="F91" s="4112"/>
      <c r="G91" s="4109"/>
      <c r="K91" s="4092"/>
    </row>
    <row r="92" spans="1:11" ht="16.5">
      <c r="A92" s="4088">
        <f t="shared" si="8"/>
        <v>49856</v>
      </c>
      <c r="B92" s="4112"/>
      <c r="C92" s="4112"/>
      <c r="D92" s="4112"/>
      <c r="E92" s="4112"/>
      <c r="F92" s="4112"/>
      <c r="G92" s="4109"/>
      <c r="K92" s="4092"/>
    </row>
    <row r="93" spans="1:11" ht="16.5">
      <c r="A93" s="4088">
        <f t="shared" si="8"/>
        <v>49948</v>
      </c>
      <c r="B93" s="4112"/>
      <c r="C93" s="4112"/>
      <c r="D93" s="4112"/>
      <c r="E93" s="4112"/>
      <c r="F93" s="4112"/>
      <c r="G93" s="4109"/>
      <c r="K93" s="4092"/>
    </row>
    <row r="94" spans="1:11" ht="16.5">
      <c r="A94" s="4088">
        <f t="shared" si="8"/>
        <v>50040</v>
      </c>
      <c r="B94" s="4112"/>
      <c r="C94" s="4112"/>
      <c r="D94" s="4112"/>
      <c r="E94" s="4112"/>
      <c r="F94" s="4112"/>
      <c r="G94" s="4109"/>
      <c r="K94" s="4092"/>
    </row>
    <row r="95" spans="1:11" ht="16.5">
      <c r="A95" s="4088">
        <f t="shared" si="8"/>
        <v>50130</v>
      </c>
      <c r="B95" s="4112"/>
      <c r="C95" s="4112"/>
      <c r="D95" s="4112"/>
      <c r="E95" s="4112"/>
      <c r="F95" s="4112"/>
      <c r="G95" s="4109"/>
      <c r="K95" s="4092"/>
    </row>
    <row r="96" spans="1:11" ht="16.5">
      <c r="A96" s="4088">
        <f t="shared" si="8"/>
        <v>50221</v>
      </c>
      <c r="B96" s="4112"/>
      <c r="C96" s="4112"/>
      <c r="D96" s="4112"/>
      <c r="E96" s="4112"/>
      <c r="F96" s="4112"/>
      <c r="G96" s="4109"/>
      <c r="K96" s="4092"/>
    </row>
    <row r="97" spans="1:11" ht="16.5">
      <c r="A97" s="4088">
        <f t="shared" si="8"/>
        <v>50313</v>
      </c>
      <c r="B97" s="4112"/>
      <c r="C97" s="4112"/>
      <c r="D97" s="4112"/>
      <c r="E97" s="4112"/>
      <c r="F97" s="4112"/>
      <c r="G97" s="4109"/>
      <c r="K97" s="4092"/>
    </row>
    <row r="98" spans="1:11" ht="16.5">
      <c r="A98" s="4088">
        <f t="shared" si="8"/>
        <v>50405</v>
      </c>
      <c r="B98" s="4112"/>
      <c r="C98" s="4112"/>
      <c r="D98" s="4112"/>
      <c r="E98" s="4112"/>
      <c r="F98" s="4112"/>
      <c r="G98" s="4109"/>
      <c r="K98" s="4092"/>
    </row>
    <row r="99" spans="1:11" ht="16.5">
      <c r="A99" s="4088">
        <f t="shared" si="8"/>
        <v>50495</v>
      </c>
      <c r="B99" s="4112"/>
      <c r="C99" s="4112"/>
      <c r="D99" s="4112"/>
      <c r="E99" s="4112"/>
      <c r="F99" s="4112"/>
      <c r="G99" s="4109"/>
      <c r="K99" s="4092"/>
    </row>
    <row r="100" spans="1:11" ht="16.5">
      <c r="A100" s="4088">
        <f t="shared" si="8"/>
        <v>50586</v>
      </c>
      <c r="B100" s="4112"/>
      <c r="C100" s="4112"/>
      <c r="D100" s="4112"/>
      <c r="E100" s="4112"/>
      <c r="F100" s="4112"/>
      <c r="G100" s="4109"/>
      <c r="K100" s="4092"/>
    </row>
    <row r="101" spans="1:11" ht="16.5">
      <c r="A101" s="4088">
        <f t="shared" si="8"/>
        <v>50678</v>
      </c>
      <c r="B101" s="4112"/>
      <c r="C101" s="4112"/>
      <c r="D101" s="4112"/>
      <c r="E101" s="4112"/>
      <c r="F101" s="4112"/>
      <c r="G101" s="4109"/>
      <c r="K101" s="4092"/>
    </row>
    <row r="102" spans="1:11" ht="16.5">
      <c r="A102" s="4088">
        <f t="shared" si="8"/>
        <v>50770</v>
      </c>
      <c r="B102" s="4112"/>
      <c r="C102" s="4112"/>
      <c r="D102" s="4112"/>
      <c r="E102" s="4112"/>
      <c r="F102" s="4112"/>
      <c r="G102" s="4109"/>
      <c r="K102" s="4092"/>
    </row>
    <row r="103" spans="1:11" ht="16.5">
      <c r="A103" s="4088">
        <f t="shared" si="8"/>
        <v>50860</v>
      </c>
      <c r="B103" s="4112"/>
      <c r="C103" s="4112"/>
      <c r="D103" s="4112"/>
      <c r="E103" s="4112"/>
      <c r="F103" s="4112"/>
      <c r="G103" s="4109"/>
      <c r="K103" s="4092"/>
    </row>
    <row r="104" spans="1:11" ht="16.5">
      <c r="A104" s="4088">
        <f t="shared" si="8"/>
        <v>50951</v>
      </c>
      <c r="B104" s="4112"/>
      <c r="C104" s="4112"/>
      <c r="D104" s="4112"/>
      <c r="E104" s="4112"/>
      <c r="F104" s="4112"/>
      <c r="G104" s="4109"/>
      <c r="K104" s="4092"/>
    </row>
    <row r="105" spans="1:11" ht="16.5">
      <c r="A105" s="4088">
        <f t="shared" si="8"/>
        <v>51043</v>
      </c>
      <c r="B105" s="4112"/>
      <c r="C105" s="4112"/>
      <c r="D105" s="4112"/>
      <c r="E105" s="4112"/>
      <c r="F105" s="4112"/>
      <c r="G105" s="4109"/>
      <c r="K105" s="4092"/>
    </row>
    <row r="106" spans="1:11" ht="16.5">
      <c r="A106" s="4088">
        <f t="shared" si="8"/>
        <v>51135</v>
      </c>
      <c r="B106" s="4112"/>
      <c r="C106" s="4112"/>
      <c r="D106" s="4112"/>
      <c r="E106" s="4112"/>
      <c r="F106" s="4112"/>
      <c r="G106" s="4109"/>
      <c r="K106" s="4092"/>
    </row>
    <row r="107" spans="1:11" ht="16.5">
      <c r="A107" s="4088">
        <f t="shared" si="8"/>
        <v>51226</v>
      </c>
      <c r="B107" s="4112"/>
      <c r="C107" s="4112"/>
      <c r="D107" s="4112"/>
      <c r="E107" s="4112"/>
      <c r="F107" s="4112"/>
      <c r="G107" s="4109"/>
      <c r="K107" s="4092"/>
    </row>
    <row r="108" spans="1:11" ht="16.5">
      <c r="A108" s="4088">
        <f t="shared" si="8"/>
        <v>51317</v>
      </c>
      <c r="B108" s="4112"/>
      <c r="C108" s="4112"/>
      <c r="D108" s="4112"/>
      <c r="E108" s="4112"/>
      <c r="F108" s="4112"/>
      <c r="G108" s="4109"/>
      <c r="K108" s="4092"/>
    </row>
    <row r="109" spans="1:11" ht="16.5">
      <c r="A109" s="4088">
        <f t="shared" si="8"/>
        <v>51409</v>
      </c>
      <c r="B109" s="4112"/>
      <c r="C109" s="4112"/>
      <c r="D109" s="4112"/>
      <c r="E109" s="4112"/>
      <c r="F109" s="4112"/>
      <c r="G109" s="4109"/>
      <c r="K109" s="4092"/>
    </row>
    <row r="110" spans="1:11" ht="16.5">
      <c r="A110" s="4088">
        <f t="shared" si="8"/>
        <v>51501</v>
      </c>
      <c r="B110" s="4112"/>
      <c r="C110" s="4112"/>
      <c r="D110" s="4112"/>
      <c r="E110" s="4112"/>
      <c r="F110" s="4112"/>
      <c r="G110" s="4109"/>
      <c r="K110" s="4092"/>
    </row>
    <row r="111" spans="1:11" ht="16.5">
      <c r="A111" s="4088">
        <f t="shared" si="8"/>
        <v>51591</v>
      </c>
      <c r="B111" s="4112"/>
      <c r="C111" s="4112"/>
      <c r="D111" s="4112"/>
      <c r="E111" s="4112"/>
      <c r="F111" s="4112"/>
      <c r="G111" s="4109"/>
      <c r="K111" s="4092"/>
    </row>
    <row r="112" spans="1:11">
      <c r="A112" s="4088"/>
    </row>
    <row r="113" spans="1:1">
      <c r="A113" s="4088"/>
    </row>
    <row r="114" spans="1:1">
      <c r="A114" s="4088"/>
    </row>
    <row r="115" spans="1:1">
      <c r="A115" s="4088"/>
    </row>
    <row r="116" spans="1:1">
      <c r="A116" s="4088"/>
    </row>
    <row r="117" spans="1:1">
      <c r="A117" s="4088"/>
    </row>
    <row r="118" spans="1:1">
      <c r="A118" s="4088"/>
    </row>
    <row r="119" spans="1:1">
      <c r="A119" s="4088"/>
    </row>
    <row r="120" spans="1:1">
      <c r="A120" s="4088"/>
    </row>
    <row r="121" spans="1:1">
      <c r="A121" s="4088"/>
    </row>
    <row r="122" spans="1:1">
      <c r="A122" s="4088"/>
    </row>
    <row r="123" spans="1:1">
      <c r="A123" s="4088"/>
    </row>
    <row r="124" spans="1:1">
      <c r="A124" s="4088"/>
    </row>
    <row r="125" spans="1:1">
      <c r="A125" s="4088"/>
    </row>
    <row r="126" spans="1:1">
      <c r="A126" s="4088"/>
    </row>
    <row r="127" spans="1:1">
      <c r="A127" s="4088"/>
    </row>
    <row r="128" spans="1:1">
      <c r="A128" s="4088"/>
    </row>
    <row r="129" spans="1:1">
      <c r="A129" s="4088"/>
    </row>
    <row r="130" spans="1:1">
      <c r="A130" s="4088"/>
    </row>
    <row r="131" spans="1:1">
      <c r="A131" s="4088"/>
    </row>
    <row r="132" spans="1:1">
      <c r="A132" s="4088"/>
    </row>
    <row r="133" spans="1:1">
      <c r="A133" s="4088"/>
    </row>
    <row r="134" spans="1:1">
      <c r="A134" s="4088"/>
    </row>
    <row r="135" spans="1:1">
      <c r="A135" s="4088"/>
    </row>
    <row r="136" spans="1:1">
      <c r="A136" s="4088"/>
    </row>
    <row r="137" spans="1:1">
      <c r="A137" s="4088"/>
    </row>
    <row r="138" spans="1:1">
      <c r="A138" s="4088"/>
    </row>
    <row r="139" spans="1:1">
      <c r="A139" s="4088"/>
    </row>
    <row r="140" spans="1:1">
      <c r="A140" s="4088"/>
    </row>
    <row r="141" spans="1:1">
      <c r="A141" s="4088"/>
    </row>
    <row r="142" spans="1:1">
      <c r="A142" s="4088"/>
    </row>
    <row r="143" spans="1:1">
      <c r="A143" s="4088"/>
    </row>
    <row r="144" spans="1:1">
      <c r="A144" s="4088"/>
    </row>
    <row r="145" spans="1:1">
      <c r="A145" s="4088"/>
    </row>
    <row r="146" spans="1:1">
      <c r="A146" s="4088"/>
    </row>
    <row r="147" spans="1:1">
      <c r="A147" s="4088"/>
    </row>
    <row r="148" spans="1:1">
      <c r="A148" s="4088"/>
    </row>
    <row r="149" spans="1:1">
      <c r="A149" s="4088"/>
    </row>
    <row r="150" spans="1:1">
      <c r="A150" s="4088"/>
    </row>
    <row r="151" spans="1:1">
      <c r="A151" s="4088"/>
    </row>
    <row r="152" spans="1:1">
      <c r="A152" s="4088"/>
    </row>
    <row r="153" spans="1:1">
      <c r="A153" s="4088"/>
    </row>
    <row r="154" spans="1:1">
      <c r="A154" s="4088"/>
    </row>
    <row r="155" spans="1:1">
      <c r="A155" s="4088"/>
    </row>
    <row r="156" spans="1:1">
      <c r="A156" s="4088"/>
    </row>
    <row r="157" spans="1:1">
      <c r="A157" s="4088"/>
    </row>
    <row r="158" spans="1:1">
      <c r="A158" s="4088"/>
    </row>
    <row r="159" spans="1:1">
      <c r="A159" s="4088"/>
    </row>
    <row r="160" spans="1:1">
      <c r="A160" s="4088"/>
    </row>
    <row r="161" spans="1:1">
      <c r="A161" s="4088"/>
    </row>
    <row r="162" spans="1:1">
      <c r="A162" s="4088"/>
    </row>
    <row r="163" spans="1:1">
      <c r="A163" s="4088"/>
    </row>
    <row r="164" spans="1:1">
      <c r="A164" s="4088"/>
    </row>
    <row r="165" spans="1:1">
      <c r="A165" s="4088"/>
    </row>
    <row r="166" spans="1:1">
      <c r="A166" s="4088"/>
    </row>
    <row r="167" spans="1:1">
      <c r="A167" s="4088"/>
    </row>
    <row r="168" spans="1:1">
      <c r="A168" s="4088"/>
    </row>
    <row r="169" spans="1:1">
      <c r="A169" s="4088"/>
    </row>
    <row r="170" spans="1:1">
      <c r="A170" s="4088"/>
    </row>
    <row r="171" spans="1:1">
      <c r="A171" s="4088"/>
    </row>
    <row r="172" spans="1:1">
      <c r="A172" s="4088"/>
    </row>
    <row r="173" spans="1:1">
      <c r="A173" s="4088"/>
    </row>
    <row r="174" spans="1:1">
      <c r="A174" s="4088"/>
    </row>
    <row r="175" spans="1:1">
      <c r="A175" s="4088"/>
    </row>
  </sheetData>
  <phoneticPr fontId="12" type="noConversion"/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CA591-A89D-4F7B-B9A1-68B6C7AE6C3A}">
  <sheetPr codeName="Sheet34">
    <tabColor theme="1"/>
    <pageSetUpPr fitToPage="1"/>
  </sheetPr>
  <dimension ref="A1:AB128"/>
  <sheetViews>
    <sheetView showGridLines="0" topLeftCell="B87" zoomScale="85" zoomScaleNormal="85" workbookViewId="0">
      <selection activeCell="G108" sqref="G108"/>
    </sheetView>
  </sheetViews>
  <sheetFormatPr defaultColWidth="10" defaultRowHeight="15" customHeight="1" outlineLevelRow="1"/>
  <cols>
    <col min="1" max="1" width="6.44140625" hidden="1" customWidth="1"/>
    <col min="2" max="2" width="3.88671875" customWidth="1"/>
    <col min="3" max="3" width="13.6640625" bestFit="1" customWidth="1"/>
    <col min="4" max="5" width="16.44140625" bestFit="1" customWidth="1"/>
    <col min="6" max="6" width="14.6640625" bestFit="1" customWidth="1"/>
    <col min="7" max="7" width="22.21875" bestFit="1" customWidth="1"/>
    <col min="8" max="8" width="16.44140625" bestFit="1" customWidth="1"/>
    <col min="9" max="9" width="15.44140625" bestFit="1" customWidth="1"/>
    <col min="10" max="10" width="16.6640625" bestFit="1" customWidth="1"/>
    <col min="11" max="14" width="21.109375" hidden="1" customWidth="1"/>
    <col min="15" max="15" width="1.6640625" bestFit="1" customWidth="1"/>
    <col min="16" max="17" width="5.6640625" customWidth="1"/>
    <col min="18" max="18" width="17.88671875" customWidth="1"/>
    <col min="19" max="19" width="16" bestFit="1" customWidth="1"/>
    <col min="20" max="20" width="18.21875" bestFit="1" customWidth="1"/>
    <col min="21" max="21" width="22.21875" bestFit="1" customWidth="1"/>
    <col min="22" max="22" width="16.44140625" bestFit="1" customWidth="1"/>
    <col min="23" max="23" width="13.5546875" bestFit="1" customWidth="1"/>
    <col min="24" max="24" width="12.44140625" customWidth="1"/>
    <col min="25" max="25" width="18.88671875" customWidth="1"/>
    <col min="26" max="26" width="13.44140625" customWidth="1"/>
    <col min="27" max="27" width="14.88671875" customWidth="1"/>
    <col min="28" max="28" width="14" customWidth="1"/>
  </cols>
  <sheetData>
    <row r="1" spans="1:28" ht="15" customHeight="1">
      <c r="A1" s="4113"/>
      <c r="B1" s="4114"/>
      <c r="C1" s="4114"/>
      <c r="D1" s="4113"/>
      <c r="E1" s="4113"/>
      <c r="F1" s="4113"/>
      <c r="G1" s="4113"/>
      <c r="H1" s="4113"/>
      <c r="I1" s="4113"/>
      <c r="J1" s="4113"/>
      <c r="K1" s="4113"/>
      <c r="L1" s="4113"/>
      <c r="M1" s="4113"/>
      <c r="N1" s="4113"/>
      <c r="O1" s="4113" t="s">
        <v>4794</v>
      </c>
      <c r="P1" s="4113"/>
      <c r="Q1" s="4113"/>
      <c r="R1" s="4113"/>
      <c r="S1" s="4115"/>
      <c r="T1" s="4115"/>
      <c r="U1" s="4115"/>
      <c r="V1" s="4115"/>
      <c r="W1" s="4115"/>
      <c r="X1" s="4115"/>
      <c r="Y1" s="4113"/>
      <c r="Z1" s="4113"/>
      <c r="AA1" s="4113"/>
      <c r="AB1" s="4113"/>
    </row>
    <row r="2" spans="1:28" ht="15" customHeight="1">
      <c r="A2" s="4113"/>
      <c r="B2" s="4114"/>
      <c r="C2" s="4116" t="s">
        <v>4795</v>
      </c>
      <c r="D2" s="4117">
        <v>44104</v>
      </c>
      <c r="E2" s="4118" t="s">
        <v>4796</v>
      </c>
      <c r="F2" s="4119">
        <f>E7</f>
        <v>8487500000</v>
      </c>
      <c r="G2" s="4113"/>
      <c r="H2" s="4113"/>
      <c r="I2" s="4113"/>
      <c r="J2" s="4113"/>
      <c r="K2" s="4113"/>
      <c r="L2" s="4113"/>
      <c r="M2" s="4113"/>
      <c r="N2" s="4113"/>
      <c r="O2" s="4113"/>
      <c r="P2" s="4113"/>
      <c r="Q2" s="4113"/>
      <c r="R2" s="4113"/>
      <c r="S2" s="4115"/>
      <c r="T2" s="4115"/>
      <c r="U2" s="4115"/>
      <c r="V2" s="4115"/>
      <c r="W2" s="4115"/>
      <c r="X2" s="4115"/>
      <c r="Y2" s="4113"/>
      <c r="Z2" s="4113"/>
      <c r="AA2" s="4113"/>
      <c r="AB2" s="4113"/>
    </row>
    <row r="3" spans="1:28" ht="15" customHeight="1">
      <c r="A3" s="4113"/>
      <c r="B3" s="4114"/>
      <c r="C3" s="4116" t="s">
        <v>4797</v>
      </c>
      <c r="D3" s="4120">
        <v>0.12</v>
      </c>
      <c r="E3" s="4118" t="s">
        <v>4798</v>
      </c>
      <c r="F3" s="4119">
        <f>J51</f>
        <v>7388065575.5212555</v>
      </c>
      <c r="G3" s="4113"/>
      <c r="H3" s="4113" t="s">
        <v>4799</v>
      </c>
      <c r="I3" s="4113" t="s">
        <v>4800</v>
      </c>
      <c r="J3" s="4113"/>
      <c r="K3" s="4113"/>
      <c r="L3" s="4113"/>
      <c r="M3" s="4113"/>
      <c r="N3" s="4113"/>
      <c r="O3" s="4113"/>
      <c r="P3" s="4113"/>
      <c r="Q3" s="4113"/>
      <c r="R3" s="4113"/>
      <c r="S3" s="4115"/>
      <c r="T3" s="4115"/>
      <c r="U3" s="4115"/>
      <c r="V3" s="4115"/>
      <c r="W3" s="4115"/>
      <c r="X3" s="4115"/>
      <c r="Y3" s="4113"/>
      <c r="Z3" s="4113"/>
      <c r="AA3" s="4113"/>
      <c r="AB3" s="4113"/>
    </row>
    <row r="4" spans="1:28" ht="15" customHeight="1" thickBot="1">
      <c r="A4" s="4113"/>
      <c r="B4" s="4114"/>
      <c r="C4" s="4121" t="s">
        <v>4801</v>
      </c>
      <c r="D4" s="4122">
        <v>7.1999999999999995E-2</v>
      </c>
      <c r="E4" s="4123" t="s">
        <v>4802</v>
      </c>
      <c r="F4" s="4124">
        <f>F2-F3</f>
        <v>1099434424.4787445</v>
      </c>
      <c r="G4" s="4113"/>
      <c r="H4" s="4113"/>
      <c r="I4" s="4113"/>
      <c r="J4" s="4113"/>
      <c r="K4" s="4113"/>
      <c r="L4" s="4113"/>
      <c r="M4" s="4113"/>
      <c r="N4" s="4113"/>
      <c r="O4" s="4125"/>
      <c r="P4" s="4125"/>
      <c r="Q4" s="4125"/>
      <c r="R4" s="4125"/>
      <c r="S4" s="2198"/>
      <c r="T4" s="2198"/>
      <c r="U4" s="2198"/>
      <c r="V4" s="2198"/>
      <c r="W4" s="2198"/>
      <c r="X4" s="2198"/>
      <c r="Y4" s="4125"/>
      <c r="Z4" s="4125"/>
      <c r="AA4" s="4113"/>
      <c r="AB4" s="4113"/>
    </row>
    <row r="5" spans="1:28" ht="15" customHeight="1" thickTop="1">
      <c r="A5" s="4113"/>
      <c r="B5" s="4114"/>
      <c r="C5" s="4114"/>
      <c r="D5" s="4126">
        <f>D3-D4</f>
        <v>4.8000000000000001E-2</v>
      </c>
      <c r="E5" s="4113"/>
      <c r="F5" s="4113"/>
      <c r="G5" s="4113"/>
      <c r="H5" s="4113" t="s">
        <v>1087</v>
      </c>
      <c r="I5" s="4126">
        <v>0.12</v>
      </c>
      <c r="J5" s="4113"/>
      <c r="K5" s="4113"/>
      <c r="L5" s="4113"/>
      <c r="M5" s="4113"/>
      <c r="N5" s="4113"/>
      <c r="O5" s="4125"/>
      <c r="P5" s="4125"/>
      <c r="Q5" s="4125"/>
      <c r="R5" s="4125"/>
      <c r="S5" s="2198"/>
      <c r="T5" s="2198"/>
      <c r="U5" s="2198"/>
      <c r="V5" s="2198"/>
      <c r="W5" s="2198"/>
      <c r="X5" s="2198"/>
      <c r="Y5" s="4125"/>
      <c r="Z5" s="4125"/>
      <c r="AA5" s="4113"/>
      <c r="AB5" s="4113"/>
    </row>
    <row r="6" spans="1:28" ht="15" customHeight="1">
      <c r="A6" s="4113"/>
      <c r="B6" s="4114"/>
      <c r="C6" s="4114"/>
      <c r="D6" s="4113"/>
      <c r="E6" s="4113"/>
      <c r="F6" s="4113"/>
      <c r="G6" s="4113"/>
      <c r="H6" s="4113"/>
      <c r="I6" s="4127"/>
      <c r="J6" s="4113"/>
      <c r="K6" s="4113"/>
      <c r="L6" s="4113"/>
      <c r="M6" s="4113"/>
      <c r="N6" s="4113"/>
      <c r="O6" s="4125"/>
      <c r="P6" s="4125"/>
      <c r="Q6" s="4125"/>
      <c r="R6" s="4125"/>
      <c r="S6" s="2198"/>
      <c r="T6" s="2198"/>
      <c r="U6" s="2198"/>
      <c r="V6" s="2198"/>
      <c r="W6" s="2198"/>
      <c r="X6" s="2198"/>
      <c r="Y6" s="4125"/>
      <c r="Z6" s="4125"/>
      <c r="AA6" s="4113"/>
      <c r="AB6" s="4113"/>
    </row>
    <row r="7" spans="1:28" ht="15" customHeight="1">
      <c r="A7" s="4113"/>
      <c r="B7" s="4114"/>
      <c r="C7" s="4114"/>
      <c r="D7" s="4113"/>
      <c r="E7" s="4128">
        <f>SUM(E52:E107)</f>
        <v>8487500000</v>
      </c>
      <c r="F7" s="4128"/>
      <c r="G7" s="4128"/>
      <c r="H7" s="4128"/>
      <c r="I7" s="4128"/>
      <c r="J7" s="4128"/>
      <c r="K7" s="4128"/>
      <c r="L7" s="4128"/>
      <c r="M7" s="4128"/>
      <c r="N7" s="4128"/>
      <c r="O7" s="4125"/>
      <c r="P7" s="4125"/>
      <c r="Q7" s="4125"/>
      <c r="R7" s="4129"/>
      <c r="S7" s="2198"/>
      <c r="T7" s="2198"/>
      <c r="U7" s="2198"/>
      <c r="V7" s="2198"/>
      <c r="W7" s="2198"/>
      <c r="X7" s="2198"/>
      <c r="Y7" s="4125"/>
      <c r="Z7" s="4125"/>
      <c r="AA7" s="4113"/>
      <c r="AB7" s="4113"/>
    </row>
    <row r="8" spans="1:28" ht="42" customHeight="1" thickBot="1">
      <c r="A8" s="4130" t="s">
        <v>4788</v>
      </c>
      <c r="B8" s="4131" t="s">
        <v>4803</v>
      </c>
      <c r="C8" s="4131" t="s">
        <v>4804</v>
      </c>
      <c r="D8" s="4131" t="s">
        <v>1089</v>
      </c>
      <c r="E8" s="4131" t="s">
        <v>4805</v>
      </c>
      <c r="F8" s="4131" t="s">
        <v>1090</v>
      </c>
      <c r="G8" s="4131" t="s">
        <v>1091</v>
      </c>
      <c r="H8" s="4131" t="s">
        <v>4806</v>
      </c>
      <c r="I8" s="4131" t="s">
        <v>4807</v>
      </c>
      <c r="J8" s="4131" t="s">
        <v>1094</v>
      </c>
      <c r="K8" s="4131" t="s">
        <v>4808</v>
      </c>
      <c r="L8" s="4131" t="s">
        <v>4807</v>
      </c>
      <c r="M8" s="4131" t="s">
        <v>4809</v>
      </c>
      <c r="N8" s="4131" t="s">
        <v>4807</v>
      </c>
      <c r="O8" s="4125"/>
      <c r="P8" s="4125"/>
      <c r="Q8" s="4125"/>
      <c r="R8" s="4125"/>
      <c r="S8" s="2198"/>
      <c r="T8" s="2198"/>
      <c r="U8" s="2198"/>
      <c r="V8" s="2198"/>
      <c r="W8" s="2198"/>
      <c r="X8" s="2198"/>
      <c r="Y8" s="4125"/>
      <c r="Z8" s="4125"/>
      <c r="AA8" s="4113"/>
      <c r="AB8" s="4113"/>
    </row>
    <row r="9" spans="1:28" ht="15" customHeight="1" outlineLevel="1" thickTop="1">
      <c r="A9" s="4113"/>
      <c r="B9" s="4114"/>
      <c r="C9" s="4132">
        <v>42093</v>
      </c>
      <c r="D9" s="4128">
        <v>12500000000</v>
      </c>
      <c r="E9" s="4113"/>
      <c r="F9" s="4113"/>
      <c r="G9" s="4128"/>
      <c r="H9" s="4128"/>
      <c r="I9" s="4113"/>
      <c r="J9" s="4128">
        <v>9652028109.8994408</v>
      </c>
      <c r="K9" s="4128"/>
      <c r="L9" s="4128"/>
      <c r="M9" s="4128"/>
      <c r="N9" s="4128"/>
      <c r="O9" s="4125"/>
      <c r="P9" s="4125"/>
      <c r="Q9" s="4125"/>
      <c r="R9" s="4125"/>
      <c r="S9" s="2334"/>
      <c r="T9" s="2198"/>
      <c r="U9" s="2198"/>
      <c r="V9" s="2198"/>
      <c r="W9" s="2198"/>
      <c r="X9" s="2198"/>
      <c r="Y9" s="4125"/>
      <c r="Z9" s="4125"/>
      <c r="AA9" s="4113"/>
      <c r="AB9" s="4113"/>
    </row>
    <row r="10" spans="1:28" ht="15" customHeight="1" outlineLevel="1">
      <c r="A10" s="4113"/>
      <c r="B10" s="4114"/>
      <c r="C10" s="4132">
        <v>42184</v>
      </c>
      <c r="D10" s="4128">
        <v>12500000000</v>
      </c>
      <c r="E10" s="4113"/>
      <c r="F10" s="4113"/>
      <c r="G10" s="4128">
        <f>D10*$D$4/365*(C10-C9)</f>
        <v>224383561.64383557</v>
      </c>
      <c r="H10" s="4128">
        <f>J9*$I$5/365*(C10-C9)</f>
        <v>288767525.91808736</v>
      </c>
      <c r="I10" s="4128">
        <f>H10-G10</f>
        <v>64383964.274251789</v>
      </c>
      <c r="J10" s="4128">
        <f>J9-E10+I10</f>
        <v>9716412074.1736927</v>
      </c>
      <c r="K10" s="4128"/>
      <c r="L10" s="4128"/>
      <c r="M10" s="4128"/>
      <c r="N10" s="4128"/>
      <c r="O10" s="4125"/>
      <c r="P10" s="4125"/>
      <c r="Q10" s="4125"/>
      <c r="R10" s="4133"/>
      <c r="S10" s="2198"/>
      <c r="T10" s="2198"/>
      <c r="U10" s="2198"/>
      <c r="V10" s="2198"/>
      <c r="W10" s="2198"/>
      <c r="X10" s="2198"/>
      <c r="Y10" s="4125"/>
      <c r="Z10" s="4125"/>
      <c r="AA10" s="4113"/>
      <c r="AB10" s="4113"/>
    </row>
    <row r="11" spans="1:28" ht="15" customHeight="1" outlineLevel="1">
      <c r="A11" s="4113"/>
      <c r="B11" s="4114"/>
      <c r="C11" s="4132">
        <v>42277</v>
      </c>
      <c r="D11" s="4128">
        <v>12500000000</v>
      </c>
      <c r="E11" s="4113"/>
      <c r="F11" s="4113"/>
      <c r="G11" s="4128">
        <f>D11*$D$4/365*(C11-C10)</f>
        <v>229315068.49315065</v>
      </c>
      <c r="H11" s="4128">
        <f>J10*$I$5/365*(C11-C10)</f>
        <v>297082626.70624226</v>
      </c>
      <c r="I11" s="4128">
        <f t="shared" ref="I11:I107" si="0">H11-G11</f>
        <v>67767558.213091612</v>
      </c>
      <c r="J11" s="4128">
        <f>J10-E11+I11</f>
        <v>9784179632.3867836</v>
      </c>
      <c r="K11" s="4128"/>
      <c r="L11" s="4128"/>
      <c r="M11" s="4128"/>
      <c r="N11" s="4128"/>
      <c r="O11" s="4125"/>
      <c r="P11" s="4125"/>
      <c r="Q11" s="4125"/>
      <c r="R11" s="4125"/>
      <c r="S11" s="2198"/>
      <c r="T11" s="2198"/>
      <c r="U11" s="2198"/>
      <c r="V11" s="2198"/>
      <c r="W11" s="2198"/>
      <c r="X11" s="2198"/>
      <c r="Y11" s="4125"/>
      <c r="Z11" s="4125"/>
      <c r="AA11" s="4113"/>
      <c r="AB11" s="4113"/>
    </row>
    <row r="12" spans="1:28" ht="15" customHeight="1" outlineLevel="1">
      <c r="A12" s="4113"/>
      <c r="B12" s="4114"/>
      <c r="C12" s="4132">
        <v>42366</v>
      </c>
      <c r="D12" s="4128">
        <v>12500000000</v>
      </c>
      <c r="E12" s="4113"/>
      <c r="F12" s="4113"/>
      <c r="G12" s="4128">
        <f>D12*$D$4/365*(C12-C11)</f>
        <v>219452054.79452053</v>
      </c>
      <c r="H12" s="4128">
        <f>J11*$I$5/365*(C12-C11)</f>
        <v>286287776.64079684</v>
      </c>
      <c r="I12" s="4128">
        <f t="shared" si="0"/>
        <v>66835721.846276313</v>
      </c>
      <c r="J12" s="4128">
        <f>J11-E12+I12</f>
        <v>9851015354.2330608</v>
      </c>
      <c r="K12" s="4128"/>
      <c r="L12" s="4128"/>
      <c r="M12" s="4128"/>
      <c r="N12" s="4128"/>
      <c r="O12" s="4125"/>
      <c r="P12" s="4125"/>
      <c r="Q12" s="4125"/>
      <c r="R12" s="4125"/>
      <c r="S12" s="2198"/>
      <c r="T12" s="2198"/>
      <c r="U12" s="2198"/>
      <c r="V12" s="2198"/>
      <c r="W12" s="2198"/>
      <c r="X12" s="2198"/>
      <c r="Y12" s="4125"/>
      <c r="Z12" s="4125"/>
      <c r="AA12" s="4113"/>
      <c r="AB12" s="4113"/>
    </row>
    <row r="13" spans="1:28" ht="15" customHeight="1" outlineLevel="1">
      <c r="A13" s="4113"/>
      <c r="B13" s="4114"/>
      <c r="C13" s="4132">
        <v>42369</v>
      </c>
      <c r="D13" s="4128">
        <v>12500000000</v>
      </c>
      <c r="E13" s="4113"/>
      <c r="F13" s="4113"/>
      <c r="G13" s="4128">
        <f>D13*$D$4/365*(C13-C12)</f>
        <v>7397260.2739726016</v>
      </c>
      <c r="H13" s="4128">
        <f>J12*$I$5/365*(C13-C12)</f>
        <v>9716069.938421648</v>
      </c>
      <c r="I13" s="4128">
        <f t="shared" si="0"/>
        <v>2318809.6644490464</v>
      </c>
      <c r="J13" s="4128">
        <f>J12-E13+I13</f>
        <v>9853334163.8975105</v>
      </c>
      <c r="K13" s="4128"/>
      <c r="L13" s="4128"/>
      <c r="M13" s="4128"/>
      <c r="N13" s="4128"/>
      <c r="O13" s="4125"/>
      <c r="P13" s="4125"/>
      <c r="Q13" s="4125"/>
      <c r="R13" s="4125"/>
      <c r="S13" s="2198"/>
      <c r="T13" s="2198"/>
      <c r="U13" s="2198"/>
      <c r="V13" s="2198"/>
      <c r="W13" s="2198"/>
      <c r="X13" s="2198"/>
      <c r="Y13" s="4125"/>
      <c r="Z13" s="4125"/>
      <c r="AA13" s="4113"/>
      <c r="AB13" s="4113"/>
    </row>
    <row r="14" spans="1:28" ht="15" customHeight="1" outlineLevel="1">
      <c r="A14" s="4113"/>
      <c r="B14" s="4114"/>
      <c r="C14" s="4132">
        <v>42457</v>
      </c>
      <c r="D14" s="4128">
        <v>12500000000</v>
      </c>
      <c r="E14" s="4113"/>
      <c r="F14" s="4113"/>
      <c r="G14" s="4128">
        <f>D14*$D$4/365*(C14-C12)-G13</f>
        <v>216986301.36986297</v>
      </c>
      <c r="H14" s="4128">
        <f>J12*$I$5/365*(C14-C12)-H13</f>
        <v>285004718.19370168</v>
      </c>
      <c r="I14" s="4134">
        <f>H14-G14</f>
        <v>68018416.823838711</v>
      </c>
      <c r="J14" s="4128">
        <f>J13-E14+I14</f>
        <v>9921352580.7213497</v>
      </c>
      <c r="K14" s="4128"/>
      <c r="L14" s="4128"/>
      <c r="M14" s="4128"/>
      <c r="N14" s="4128"/>
      <c r="O14" s="4125"/>
      <c r="P14" s="4125"/>
      <c r="Q14" s="4125"/>
      <c r="R14" s="4125"/>
      <c r="S14" s="2198"/>
      <c r="T14" s="2198"/>
      <c r="U14" s="2198"/>
      <c r="V14" s="2198"/>
      <c r="W14" s="2198"/>
      <c r="X14" s="2198"/>
      <c r="Y14" s="4125"/>
      <c r="Z14" s="4125"/>
      <c r="AA14" s="4113"/>
      <c r="AB14" s="4113"/>
    </row>
    <row r="15" spans="1:28" ht="15" customHeight="1" outlineLevel="1">
      <c r="A15" s="4113"/>
      <c r="B15" s="4114"/>
      <c r="C15" s="4132">
        <v>42549</v>
      </c>
      <c r="D15" s="4128">
        <v>12500000000</v>
      </c>
      <c r="E15" s="4113"/>
      <c r="F15" s="4113"/>
      <c r="G15" s="4128">
        <f>D15*$D$4/365*(C15-C14)</f>
        <v>226849315.06849313</v>
      </c>
      <c r="H15" s="4128">
        <f t="shared" ref="H15:H105" si="1">J14*$I$5/365*(C15-C14)</f>
        <v>300086938.33195531</v>
      </c>
      <c r="I15" s="4134">
        <f t="shared" si="0"/>
        <v>73237623.263462186</v>
      </c>
      <c r="J15" s="4128">
        <f t="shared" ref="J15:J78" si="2">J14-E15+I15</f>
        <v>9994590203.9848118</v>
      </c>
      <c r="K15" s="4128"/>
      <c r="L15" s="4128"/>
      <c r="M15" s="4128"/>
      <c r="N15" s="4128"/>
      <c r="O15" s="4125"/>
      <c r="P15" s="4125"/>
      <c r="Q15" s="4125"/>
      <c r="R15" s="4125"/>
      <c r="S15" s="4115"/>
      <c r="T15" s="4115"/>
      <c r="U15" s="4115"/>
      <c r="V15" s="4115"/>
      <c r="W15" s="4115"/>
      <c r="X15" s="4115"/>
      <c r="Y15" s="4125"/>
      <c r="Z15" s="4125"/>
      <c r="AA15" s="4113"/>
      <c r="AB15" s="4113"/>
    </row>
    <row r="16" spans="1:28" ht="15" customHeight="1" outlineLevel="1">
      <c r="A16" s="4113"/>
      <c r="B16" s="4135"/>
      <c r="C16" s="4136">
        <v>42551</v>
      </c>
      <c r="D16" s="4137">
        <v>12500000000</v>
      </c>
      <c r="E16" s="4138"/>
      <c r="F16" s="4138"/>
      <c r="G16" s="4137">
        <f>D16*$D$4/365*(C16-C15)</f>
        <v>4931506.8493150678</v>
      </c>
      <c r="H16" s="4137">
        <f t="shared" si="1"/>
        <v>6571785.3396064509</v>
      </c>
      <c r="I16" s="4139">
        <f t="shared" si="0"/>
        <v>1640278.4902913831</v>
      </c>
      <c r="J16" s="4137">
        <f t="shared" si="2"/>
        <v>9996230482.4751034</v>
      </c>
      <c r="K16" s="4137"/>
      <c r="L16" s="4137"/>
      <c r="M16" s="4137"/>
      <c r="N16" s="4137"/>
      <c r="O16" s="4125"/>
      <c r="P16" s="4125"/>
      <c r="Q16" s="4125"/>
      <c r="R16" s="4113"/>
      <c r="S16" s="4115"/>
      <c r="T16" s="4115"/>
      <c r="U16" s="4115"/>
      <c r="V16" s="4115"/>
      <c r="W16" s="4115"/>
      <c r="X16" s="4115"/>
      <c r="Y16" s="4125"/>
      <c r="Z16" s="4125"/>
      <c r="AA16" s="4113"/>
      <c r="AB16" s="4113"/>
    </row>
    <row r="17" spans="1:28" ht="15" customHeight="1" outlineLevel="1">
      <c r="A17" s="4113"/>
      <c r="B17" s="4114"/>
      <c r="C17" s="4132">
        <v>42641</v>
      </c>
      <c r="D17" s="4128">
        <v>12500000000</v>
      </c>
      <c r="E17" s="4113"/>
      <c r="F17" s="4113"/>
      <c r="G17" s="4140">
        <f>D17*$D$4/365*(C17-C15)-G16</f>
        <v>221917808.21917805</v>
      </c>
      <c r="H17" s="4141">
        <f>J15*$I$5/365*(C17-C15)-H16</f>
        <v>295730340.28229028</v>
      </c>
      <c r="I17" s="4134">
        <f t="shared" si="0"/>
        <v>73812532.063112229</v>
      </c>
      <c r="J17" s="4128">
        <f t="shared" si="2"/>
        <v>10070043014.538216</v>
      </c>
      <c r="K17" s="4128"/>
      <c r="L17" s="4128"/>
      <c r="M17" s="4128"/>
      <c r="N17" s="4128"/>
      <c r="O17" s="4125"/>
      <c r="P17" s="4125"/>
      <c r="Q17" s="4125"/>
      <c r="R17" s="4113"/>
      <c r="S17" s="4115"/>
      <c r="T17" s="4115"/>
      <c r="U17" s="4115"/>
      <c r="V17" s="4115"/>
      <c r="W17" s="4115"/>
      <c r="X17" s="4115"/>
      <c r="Y17" s="4125"/>
      <c r="Z17" s="4125"/>
      <c r="AA17" s="4113"/>
      <c r="AB17" s="4113"/>
    </row>
    <row r="18" spans="1:28" ht="15" customHeight="1" outlineLevel="1">
      <c r="A18" s="4113"/>
      <c r="B18" s="4114"/>
      <c r="C18" s="4132">
        <v>42732</v>
      </c>
      <c r="D18" s="4128">
        <v>12500000000</v>
      </c>
      <c r="E18" s="4113"/>
      <c r="F18" s="4113"/>
      <c r="G18" s="4128">
        <f>D18*$D$4/365*(C18-C17)</f>
        <v>224383561.64383557</v>
      </c>
      <c r="H18" s="4128">
        <f t="shared" si="1"/>
        <v>301273615.66782826</v>
      </c>
      <c r="I18" s="4134">
        <f t="shared" si="0"/>
        <v>76890054.023992687</v>
      </c>
      <c r="J18" s="4128">
        <f t="shared" si="2"/>
        <v>10146933068.562208</v>
      </c>
      <c r="K18" s="4128"/>
      <c r="L18" s="4128"/>
      <c r="M18" s="4128"/>
      <c r="N18" s="4128"/>
      <c r="O18" s="4125"/>
      <c r="P18" s="4125"/>
      <c r="Q18" s="4125"/>
      <c r="R18" s="4113"/>
      <c r="S18" s="4115"/>
      <c r="T18" s="4115"/>
      <c r="U18" s="4115"/>
      <c r="V18" s="4115"/>
      <c r="W18" s="4115"/>
      <c r="X18" s="4115"/>
      <c r="Y18" s="4125"/>
      <c r="Z18" s="4125"/>
      <c r="AA18" s="4113"/>
      <c r="AB18" s="4113"/>
    </row>
    <row r="19" spans="1:28" ht="15" customHeight="1" outlineLevel="1">
      <c r="A19" s="4113"/>
      <c r="B19" s="4135"/>
      <c r="C19" s="4136">
        <v>42735</v>
      </c>
      <c r="D19" s="4137">
        <v>12500000000</v>
      </c>
      <c r="E19" s="4138"/>
      <c r="F19" s="4138"/>
      <c r="G19" s="4137">
        <f>D19*$D$4/365*(C19-C18)</f>
        <v>7397260.2739726016</v>
      </c>
      <c r="H19" s="4137">
        <f>J18*$I$5/365*(C19-C18)</f>
        <v>10007933.985431219</v>
      </c>
      <c r="I19" s="4139">
        <f>H19-G19</f>
        <v>2610673.7114586169</v>
      </c>
      <c r="J19" s="4137">
        <f>J18-E19+I19</f>
        <v>10149543742.273666</v>
      </c>
      <c r="K19" s="4137"/>
      <c r="L19" s="4137"/>
      <c r="M19" s="4137"/>
      <c r="N19" s="4137"/>
      <c r="O19" s="4125"/>
      <c r="P19" s="4125"/>
      <c r="Q19" s="4125"/>
      <c r="R19" s="4113"/>
      <c r="S19" s="4115"/>
      <c r="T19" s="4115"/>
      <c r="U19" s="4115"/>
      <c r="V19" s="4115"/>
      <c r="W19" s="4115"/>
      <c r="X19" s="4115"/>
      <c r="Y19" s="4125"/>
      <c r="Z19" s="4125"/>
      <c r="AA19" s="4113"/>
      <c r="AB19" s="4113"/>
    </row>
    <row r="20" spans="1:28" ht="15" customHeight="1" outlineLevel="1">
      <c r="A20" s="4113"/>
      <c r="B20" s="4114"/>
      <c r="C20" s="4132">
        <v>42822</v>
      </c>
      <c r="D20" s="4128">
        <v>12500000000</v>
      </c>
      <c r="E20" s="4113"/>
      <c r="F20" s="4113"/>
      <c r="G20" s="4142">
        <f>D20*$D$4/365*(C20-C18)-G19</f>
        <v>214520547.94520545</v>
      </c>
      <c r="H20" s="4128">
        <f>J18*$I$5/365*(C20-C18)-H19</f>
        <v>290230085.57750535</v>
      </c>
      <c r="I20" s="4143">
        <f>H20-G20</f>
        <v>75709537.6322999</v>
      </c>
      <c r="J20" s="4128">
        <f>J19-E20+I20</f>
        <v>10225253279.905966</v>
      </c>
      <c r="K20" s="4144"/>
      <c r="L20" s="4144"/>
      <c r="M20" s="4144"/>
      <c r="N20" s="4144"/>
      <c r="O20" s="4125"/>
      <c r="P20" s="4125"/>
      <c r="Q20" s="4125"/>
      <c r="R20" s="4128">
        <f>I18+I19</f>
        <v>79500727.735451311</v>
      </c>
      <c r="S20" s="4145">
        <f>R27-R20</f>
        <v>7995052.164627865</v>
      </c>
      <c r="T20" s="4115"/>
      <c r="U20" s="4115"/>
      <c r="V20" s="4115"/>
      <c r="W20" s="4115"/>
      <c r="X20" s="4115"/>
      <c r="Y20" s="4125"/>
      <c r="Z20" s="4125"/>
      <c r="AA20" s="4113"/>
      <c r="AB20" s="4113"/>
    </row>
    <row r="21" spans="1:28" s="4146" customFormat="1" ht="15" customHeight="1" outlineLevel="1">
      <c r="B21" s="4147"/>
      <c r="C21" s="4148">
        <v>42825</v>
      </c>
      <c r="D21" s="4134">
        <v>12500000000</v>
      </c>
      <c r="G21" s="4134">
        <f>D21*$D$4/365*(C21-C20)</f>
        <v>7397260.2739726016</v>
      </c>
      <c r="H21" s="4134">
        <f>J20*$I$5/365*(C21-C20)</f>
        <v>10085181.317167526</v>
      </c>
      <c r="I21" s="4149">
        <f>H21-G21</f>
        <v>2687921.0431949245</v>
      </c>
      <c r="J21" s="4134">
        <f>J20-E21+I21</f>
        <v>10227941200.949162</v>
      </c>
      <c r="K21" s="4150"/>
      <c r="L21" s="4150"/>
      <c r="M21" s="4150"/>
      <c r="N21" s="4150"/>
      <c r="O21" s="4125"/>
      <c r="P21" s="4125"/>
      <c r="Q21" s="4125"/>
      <c r="S21" s="4151"/>
      <c r="T21" s="4151"/>
      <c r="U21" s="4151"/>
      <c r="V21" s="4151"/>
      <c r="W21" s="4151"/>
      <c r="X21" s="4151"/>
      <c r="Z21" s="4125"/>
    </row>
    <row r="22" spans="1:28" ht="15" customHeight="1" outlineLevel="1">
      <c r="A22" s="4113"/>
      <c r="B22" s="4114"/>
      <c r="C22" s="4132">
        <v>42914</v>
      </c>
      <c r="D22" s="4128">
        <v>12500000000</v>
      </c>
      <c r="E22" s="4113"/>
      <c r="F22" s="4113"/>
      <c r="G22" s="4142">
        <f>D22*$D$4/365*(C22-C20)-G21</f>
        <v>219452054.79452053</v>
      </c>
      <c r="H22" s="4152">
        <f>J20*$I$5/365*(C22-C20)-H21</f>
        <v>299193712.40930331</v>
      </c>
      <c r="I22" s="4143">
        <f>H22-G22</f>
        <v>79741657.61478278</v>
      </c>
      <c r="J22" s="4128">
        <f>J21-E22+I22</f>
        <v>10307682858.563944</v>
      </c>
      <c r="K22" s="4128">
        <f>(E22+G22)/((1+$D$3)
^((C22-$C$21)/365))</f>
        <v>213470832.97415334</v>
      </c>
      <c r="L22" s="4128">
        <f>E22+G22-K22</f>
        <v>5981221.8203671873</v>
      </c>
      <c r="M22" s="4128">
        <f>E22/((1+$D$3)^((C22-$C$21)/365))</f>
        <v>0</v>
      </c>
      <c r="N22" s="4128">
        <f>E22-M22</f>
        <v>0</v>
      </c>
      <c r="O22" s="4125"/>
      <c r="P22" s="4125"/>
      <c r="Q22" s="4125"/>
      <c r="R22" s="4113"/>
      <c r="S22" s="4115"/>
      <c r="T22" s="4115"/>
      <c r="U22" s="4115"/>
      <c r="V22" s="4115"/>
      <c r="W22" s="4115"/>
      <c r="X22" s="4115"/>
      <c r="Y22" s="4113"/>
      <c r="Z22" s="4125"/>
      <c r="AA22" s="4113"/>
      <c r="AB22" s="4113"/>
    </row>
    <row r="23" spans="1:28" ht="15" customHeight="1" outlineLevel="1">
      <c r="A23" s="4113"/>
      <c r="B23" s="4114"/>
      <c r="C23" s="4132">
        <v>42916</v>
      </c>
      <c r="D23" s="4128">
        <v>12500000000</v>
      </c>
      <c r="E23" s="4113"/>
      <c r="F23" s="4113"/>
      <c r="G23" s="4134">
        <f>D23*$D$4/365*(C23-C22)</f>
        <v>4931506.8493150678</v>
      </c>
      <c r="H23" s="4128">
        <f t="shared" si="1"/>
        <v>6777654.4823434148</v>
      </c>
      <c r="I23" s="4143">
        <f t="shared" si="0"/>
        <v>1846147.633028347</v>
      </c>
      <c r="J23" s="4128">
        <f t="shared" si="2"/>
        <v>10309529006.196972</v>
      </c>
      <c r="K23" s="4128">
        <f t="shared" ref="K23:K52" si="3">(E23+G23)/((1+$D$3)
^((C23-$C$21)/365))</f>
        <v>4794119.3977347985</v>
      </c>
      <c r="L23" s="4128">
        <f t="shared" ref="L23:L52" si="4">E23+G23-K23</f>
        <v>137387.45158026926</v>
      </c>
      <c r="M23" s="4128">
        <f t="shared" ref="M23:M52" si="5">E23/((1+$D$3)^((C23-$C$21)/365))</f>
        <v>0</v>
      </c>
      <c r="N23" s="4128">
        <f t="shared" ref="N23:N52" si="6">E23-M23</f>
        <v>0</v>
      </c>
      <c r="O23" s="4125"/>
      <c r="P23" s="4125"/>
      <c r="Q23" s="4125"/>
      <c r="R23" s="4113"/>
      <c r="S23" s="4115"/>
      <c r="T23" s="4115"/>
      <c r="U23" s="4115"/>
      <c r="V23" s="4115"/>
      <c r="W23" s="4115"/>
      <c r="X23" s="4115"/>
      <c r="Y23" s="4113"/>
      <c r="Z23" s="4125"/>
      <c r="AA23" s="4113"/>
      <c r="AB23" s="4113"/>
    </row>
    <row r="24" spans="1:28" ht="15" customHeight="1" outlineLevel="1">
      <c r="A24" s="4113"/>
      <c r="B24" s="4114"/>
      <c r="C24" s="4132">
        <v>43006</v>
      </c>
      <c r="D24" s="4128">
        <v>12500000000</v>
      </c>
      <c r="E24" s="4113"/>
      <c r="F24" s="4113"/>
      <c r="G24" s="4140">
        <f>D24*$D$4/365*(C24-C22)-G23</f>
        <v>221917808.21917805</v>
      </c>
      <c r="H24" s="4140">
        <f>J22*$I$5/365*(C24-C22)-H23</f>
        <v>304994451.70545363</v>
      </c>
      <c r="I24" s="4143">
        <f t="shared" si="0"/>
        <v>83076643.486275584</v>
      </c>
      <c r="J24" s="4128">
        <f>J23-E24+I24</f>
        <v>10392605649.683247</v>
      </c>
      <c r="K24" s="4128">
        <f t="shared" si="3"/>
        <v>209790302.38268691</v>
      </c>
      <c r="L24" s="4128">
        <f t="shared" si="4"/>
        <v>12127505.836491138</v>
      </c>
      <c r="M24" s="4128">
        <f t="shared" si="5"/>
        <v>0</v>
      </c>
      <c r="N24" s="4128">
        <f t="shared" si="6"/>
        <v>0</v>
      </c>
      <c r="O24" s="4125"/>
      <c r="P24" s="4125"/>
      <c r="Q24" s="4125"/>
      <c r="R24" s="4113"/>
      <c r="S24" s="4115"/>
      <c r="T24" s="4115"/>
      <c r="U24" s="4115"/>
      <c r="V24" s="4115"/>
      <c r="W24" s="4115"/>
      <c r="X24" s="4115"/>
      <c r="Y24" s="4113"/>
      <c r="Z24" s="4125"/>
      <c r="AA24" s="4113"/>
      <c r="AB24" s="4113"/>
    </row>
    <row r="25" spans="1:28" ht="15" customHeight="1" outlineLevel="1">
      <c r="A25" s="4113"/>
      <c r="B25" s="4114"/>
      <c r="C25" s="4132">
        <v>43008</v>
      </c>
      <c r="D25" s="4128">
        <v>12500000000</v>
      </c>
      <c r="E25" s="4113"/>
      <c r="F25" s="4113"/>
      <c r="G25" s="4153">
        <f>D25*$D$4/365*(C25-C24+1)</f>
        <v>7397260.2739726016</v>
      </c>
      <c r="H25" s="4140">
        <f>J23*$I$5/365*(C25-C24)</f>
        <v>6778868.3876363654</v>
      </c>
      <c r="I25" s="4143">
        <f>H25-G25</f>
        <v>-618391.88633623626</v>
      </c>
      <c r="J25" s="4128">
        <f>J24-E25+I25</f>
        <v>10391987257.796911</v>
      </c>
      <c r="K25" s="4128"/>
      <c r="L25" s="4128"/>
      <c r="M25" s="4128"/>
      <c r="N25" s="4128"/>
      <c r="O25" s="4125"/>
      <c r="P25" s="4125"/>
      <c r="Q25" s="4125"/>
      <c r="R25" s="4113"/>
      <c r="S25" s="4115"/>
      <c r="T25" s="4115"/>
      <c r="U25" s="4145">
        <f>SUM(I44:I51)</f>
        <v>291352512.57958138</v>
      </c>
      <c r="V25" s="4145">
        <f>F43</f>
        <v>9700000000</v>
      </c>
      <c r="W25" s="4115"/>
      <c r="X25" s="4115"/>
      <c r="Y25" s="4113"/>
      <c r="Z25" s="4125"/>
      <c r="AA25" s="4113"/>
      <c r="AB25" s="4113"/>
    </row>
    <row r="26" spans="1:28" ht="15" customHeight="1" outlineLevel="1">
      <c r="A26" s="4154">
        <f>E26/$D$26</f>
        <v>5.5E-2</v>
      </c>
      <c r="B26" s="4114">
        <v>1</v>
      </c>
      <c r="C26" s="4132">
        <v>43097</v>
      </c>
      <c r="D26" s="4128">
        <v>12500000000</v>
      </c>
      <c r="E26" s="4128">
        <v>687500000</v>
      </c>
      <c r="F26" s="4128">
        <f>D26-E26</f>
        <v>11812500000</v>
      </c>
      <c r="G26" s="4134">
        <f>D26*$D$4/365*(C26-C24)-G25</f>
        <v>216986301.36986297</v>
      </c>
      <c r="H26" s="4128">
        <f>J24*$I$5/365*(C26-C24)-H25</f>
        <v>304145114.33713365</v>
      </c>
      <c r="I26" s="4143">
        <f>H26-G26</f>
        <v>87158812.967270672</v>
      </c>
      <c r="J26" s="4128">
        <f>J25-E26+I26</f>
        <v>9791646070.7641811</v>
      </c>
      <c r="K26" s="4128">
        <f>(E26+G26)/((1+$D$3)
^((C26-$C$21)/365))</f>
        <v>831236210.09703732</v>
      </c>
      <c r="L26" s="4128">
        <f t="shared" si="4"/>
        <v>73250091.272825718</v>
      </c>
      <c r="M26" s="4128">
        <f t="shared" si="5"/>
        <v>631822608.67434108</v>
      </c>
      <c r="N26" s="4128">
        <f>E26-M26</f>
        <v>55677391.325658917</v>
      </c>
      <c r="O26" s="4125"/>
      <c r="P26" s="4125"/>
      <c r="Q26" s="4125"/>
      <c r="R26" s="4113"/>
      <c r="S26" s="4115"/>
      <c r="T26" s="4115"/>
      <c r="U26" s="4145">
        <f>V26-U25</f>
        <v>1099434424.4787445</v>
      </c>
      <c r="V26" s="4145">
        <f>V25-V27</f>
        <v>1390786937.0583258</v>
      </c>
      <c r="W26" s="4115"/>
      <c r="X26" s="4115"/>
      <c r="Y26" s="4113"/>
      <c r="Z26" s="4125"/>
      <c r="AA26" s="4113"/>
      <c r="AB26" s="4113"/>
    </row>
    <row r="27" spans="1:28" ht="15" customHeight="1" outlineLevel="1">
      <c r="A27" s="4155"/>
      <c r="B27" s="4135"/>
      <c r="C27" s="4136">
        <v>43100</v>
      </c>
      <c r="D27" s="4137">
        <f t="shared" ref="D27:D90" si="7">D26-E26</f>
        <v>11812500000</v>
      </c>
      <c r="E27" s="4137">
        <v>0</v>
      </c>
      <c r="F27" s="4137">
        <v>11812500000</v>
      </c>
      <c r="G27" s="4139">
        <f>ROUNDDOWN(D27*$D$4/365*(C27-C26+1),0)</f>
        <v>9320547</v>
      </c>
      <c r="H27" s="4137">
        <f t="shared" si="1"/>
        <v>9657513.9328085072</v>
      </c>
      <c r="I27" s="4156">
        <f>H27-G27</f>
        <v>336966.93280850723</v>
      </c>
      <c r="J27" s="4139">
        <f>J26-E27+I27</f>
        <v>9791983037.6969891</v>
      </c>
      <c r="K27" s="4128">
        <f t="shared" si="3"/>
        <v>8557744.7533393726</v>
      </c>
      <c r="L27" s="4128">
        <f t="shared" si="4"/>
        <v>762802.24666062742</v>
      </c>
      <c r="M27" s="4128">
        <f t="shared" si="5"/>
        <v>0</v>
      </c>
      <c r="N27" s="4128">
        <f t="shared" si="6"/>
        <v>0</v>
      </c>
      <c r="O27" s="4125"/>
      <c r="P27" s="4125"/>
      <c r="Q27" s="4125"/>
      <c r="R27" s="4128">
        <f>I26+I27</f>
        <v>87495779.900079176</v>
      </c>
      <c r="S27" s="4115"/>
      <c r="T27" s="4115"/>
      <c r="U27" s="4115"/>
      <c r="V27" s="4145">
        <f>J43</f>
        <v>8309213062.9416742</v>
      </c>
      <c r="W27" s="4115"/>
      <c r="X27" s="4115"/>
      <c r="Y27" s="4125"/>
      <c r="Z27" s="4125"/>
      <c r="AA27" s="4157"/>
      <c r="AB27" s="4113"/>
    </row>
    <row r="28" spans="1:28" ht="15" customHeight="1">
      <c r="A28" s="4154">
        <f t="shared" ref="A28:A52" si="8">E28/$D$26</f>
        <v>1.7500000000000002E-2</v>
      </c>
      <c r="B28" s="4114">
        <v>2</v>
      </c>
      <c r="C28" s="4158">
        <v>43187</v>
      </c>
      <c r="D28" s="4159">
        <f t="shared" si="7"/>
        <v>11812500000</v>
      </c>
      <c r="E28" s="4159">
        <v>218750000</v>
      </c>
      <c r="F28" s="4159">
        <f>D28-E28</f>
        <v>11593750000</v>
      </c>
      <c r="G28" s="4141">
        <f>D28*$D$4/365*(C28-C26)-G27</f>
        <v>200391781.76712325</v>
      </c>
      <c r="H28" s="4141">
        <f>J26*$I$5/365*(C28-C26)-H27</f>
        <v>280067904.05144668</v>
      </c>
      <c r="I28" s="4141">
        <f>H28-G28</f>
        <v>79676122.284323424</v>
      </c>
      <c r="J28" s="4128">
        <f t="shared" si="2"/>
        <v>9652909159.9813118</v>
      </c>
      <c r="K28" s="4128">
        <f t="shared" si="3"/>
        <v>374582483.10936129</v>
      </c>
      <c r="L28" s="4128">
        <f t="shared" si="4"/>
        <v>44559298.657761931</v>
      </c>
      <c r="M28" s="4128">
        <f t="shared" si="5"/>
        <v>195494512.22617295</v>
      </c>
      <c r="N28" s="4128">
        <f t="shared" si="6"/>
        <v>23255487.773827046</v>
      </c>
      <c r="O28" s="4125"/>
      <c r="P28" s="4125"/>
      <c r="Q28" s="4125"/>
      <c r="R28" s="4113"/>
      <c r="S28" s="4115"/>
      <c r="T28" s="4115"/>
      <c r="U28" s="4115"/>
      <c r="V28" s="4115"/>
      <c r="W28" s="4115"/>
      <c r="X28" s="4115"/>
      <c r="Y28" s="4125"/>
      <c r="Z28" s="4125"/>
      <c r="AA28" s="4113"/>
      <c r="AB28" s="4160"/>
    </row>
    <row r="29" spans="1:28" ht="15" customHeight="1">
      <c r="A29" s="4154"/>
      <c r="B29" s="4114"/>
      <c r="C29" s="4132">
        <v>43190</v>
      </c>
      <c r="D29" s="4128">
        <f t="shared" si="7"/>
        <v>11593750000</v>
      </c>
      <c r="E29" s="4128">
        <v>0</v>
      </c>
      <c r="F29" s="4128">
        <f>F28</f>
        <v>11593750000</v>
      </c>
      <c r="G29" s="4141">
        <f>ROUNDDOWN(D29*$D$4/365*(C29-C28+1),0)</f>
        <v>9147945</v>
      </c>
      <c r="H29" s="4141">
        <f>J28*$I$5/365*(C29-C28)</f>
        <v>9520677.5276528001</v>
      </c>
      <c r="I29" s="4141">
        <f>H29-G29</f>
        <v>372732.52765280008</v>
      </c>
      <c r="J29" s="4128">
        <f>J28-E29+I29</f>
        <v>9653281892.5089645</v>
      </c>
      <c r="K29" s="4128">
        <f t="shared" si="3"/>
        <v>8167808.0357142845</v>
      </c>
      <c r="L29" s="4128">
        <f t="shared" si="4"/>
        <v>980136.96428571548</v>
      </c>
      <c r="M29" s="4128">
        <f t="shared" si="5"/>
        <v>0</v>
      </c>
      <c r="N29" s="4128">
        <f t="shared" si="6"/>
        <v>0</v>
      </c>
      <c r="O29" s="4125"/>
      <c r="P29" s="4125"/>
      <c r="Q29" s="4125"/>
      <c r="R29" s="4113"/>
      <c r="S29" s="4115"/>
      <c r="T29" s="4115"/>
      <c r="U29" s="4115"/>
      <c r="V29" s="4115"/>
      <c r="W29" s="4115"/>
      <c r="X29" s="4115"/>
      <c r="Y29" s="4125"/>
      <c r="Z29" s="4125"/>
      <c r="AA29" s="4113"/>
      <c r="AB29" s="4160"/>
    </row>
    <row r="30" spans="1:28" ht="15" customHeight="1">
      <c r="A30" s="4154">
        <f t="shared" si="8"/>
        <v>1.7500000000000002E-2</v>
      </c>
      <c r="B30" s="4114">
        <v>3</v>
      </c>
      <c r="C30" s="4132">
        <v>43279</v>
      </c>
      <c r="D30" s="4128">
        <f t="shared" si="7"/>
        <v>11593750000</v>
      </c>
      <c r="E30" s="4128">
        <v>218750000</v>
      </c>
      <c r="F30" s="4128">
        <f t="shared" ref="F30:F107" si="9">D30-E30</f>
        <v>11375000000</v>
      </c>
      <c r="G30" s="4152">
        <f>D30*$D$4/365*(C30-C28)-G29</f>
        <v>201254794.72602737</v>
      </c>
      <c r="H30" s="4152">
        <f>J28*$I$5/365*(C30-C28)-H29</f>
        <v>282446766.65369976</v>
      </c>
      <c r="I30" s="4128">
        <f t="shared" si="0"/>
        <v>81191971.927672386</v>
      </c>
      <c r="J30" s="4128">
        <f t="shared" si="2"/>
        <v>9515723864.4366379</v>
      </c>
      <c r="K30" s="4128">
        <f t="shared" si="3"/>
        <v>364783443.51821071</v>
      </c>
      <c r="L30" s="4128">
        <f t="shared" si="4"/>
        <v>55221351.20781666</v>
      </c>
      <c r="M30" s="4128">
        <f t="shared" si="5"/>
        <v>189989207.91287738</v>
      </c>
      <c r="N30" s="4128">
        <f t="shared" si="6"/>
        <v>28760792.087122619</v>
      </c>
      <c r="O30" s="4125"/>
      <c r="P30" s="4125"/>
      <c r="Q30" s="4125"/>
      <c r="R30" s="4113"/>
      <c r="S30" s="4161">
        <v>44196</v>
      </c>
      <c r="T30" s="4162" t="s">
        <v>4810</v>
      </c>
      <c r="U30" s="4162" t="s">
        <v>4811</v>
      </c>
      <c r="V30" s="4162" t="s">
        <v>4796</v>
      </c>
      <c r="W30" s="2198"/>
      <c r="X30" s="4163"/>
      <c r="Y30" s="4125"/>
      <c r="Z30" s="4125"/>
      <c r="AA30" s="4160"/>
      <c r="AB30" s="4160"/>
    </row>
    <row r="31" spans="1:28" ht="15" customHeight="1">
      <c r="A31" s="4154"/>
      <c r="B31" s="4114"/>
      <c r="C31" s="4132">
        <v>43281</v>
      </c>
      <c r="D31" s="4128">
        <f t="shared" si="7"/>
        <v>11375000000</v>
      </c>
      <c r="E31" s="4128">
        <v>0</v>
      </c>
      <c r="F31" s="4128">
        <f t="shared" si="9"/>
        <v>11375000000</v>
      </c>
      <c r="G31" s="4164">
        <f>D31*$D$4/365*(C31-C30+1)-1</f>
        <v>6731505.8493150678</v>
      </c>
      <c r="H31" s="4128">
        <f t="shared" si="1"/>
        <v>6256914.3218213515</v>
      </c>
      <c r="I31" s="4128">
        <f>H31-G31</f>
        <v>-474591.52749371622</v>
      </c>
      <c r="J31" s="4128">
        <f t="shared" si="2"/>
        <v>9515249272.9091434</v>
      </c>
      <c r="K31" s="4128">
        <f t="shared" si="3"/>
        <v>5842832.14800636</v>
      </c>
      <c r="L31" s="4128">
        <f t="shared" si="4"/>
        <v>888673.70130870771</v>
      </c>
      <c r="M31" s="4128">
        <f t="shared" si="5"/>
        <v>0</v>
      </c>
      <c r="N31" s="4128">
        <f t="shared" si="6"/>
        <v>0</v>
      </c>
      <c r="O31" s="4125"/>
      <c r="P31" s="4125"/>
      <c r="Q31" s="4125"/>
      <c r="R31" s="4113"/>
      <c r="S31" s="4165" t="s">
        <v>4812</v>
      </c>
      <c r="T31" s="4166">
        <f>SUM(E52:E59)</f>
        <v>1300000000</v>
      </c>
      <c r="U31" s="4166">
        <f>-SUM(I52:I59)</f>
        <v>-264337045.96710783</v>
      </c>
      <c r="V31" s="4166">
        <f>T31+U31</f>
        <v>1035662954.0328922</v>
      </c>
      <c r="W31" s="2198"/>
      <c r="X31" s="2198"/>
      <c r="Y31" s="4125"/>
      <c r="Z31" s="4125"/>
      <c r="AA31" s="4160"/>
      <c r="AB31" s="4160"/>
    </row>
    <row r="32" spans="1:28" ht="15" customHeight="1">
      <c r="A32" s="4154">
        <f t="shared" si="8"/>
        <v>1.7999999999999999E-2</v>
      </c>
      <c r="B32" s="4114">
        <v>4</v>
      </c>
      <c r="C32" s="4132">
        <v>43371</v>
      </c>
      <c r="D32" s="4128">
        <f t="shared" si="7"/>
        <v>11375000000</v>
      </c>
      <c r="E32" s="4128">
        <v>225000000</v>
      </c>
      <c r="F32" s="4128">
        <f t="shared" si="9"/>
        <v>11150000000</v>
      </c>
      <c r="G32" s="4152">
        <f>D32*$D$4/365*(C32-C30)-G31-1</f>
        <v>199701369.86301365</v>
      </c>
      <c r="H32" s="4141">
        <f>J30*$I$5/365*(C32-C30)-H31</f>
        <v>281561144.48196083</v>
      </c>
      <c r="I32" s="4128">
        <f>H32-G32</f>
        <v>81859774.618947178</v>
      </c>
      <c r="J32" s="4128">
        <f t="shared" si="2"/>
        <v>9372109047.5280914</v>
      </c>
      <c r="K32" s="4128">
        <f t="shared" si="3"/>
        <v>358475016.69041657</v>
      </c>
      <c r="L32" s="4128">
        <f t="shared" si="4"/>
        <v>66226353.172597051</v>
      </c>
      <c r="M32" s="4128">
        <f t="shared" si="5"/>
        <v>189914336.2343272</v>
      </c>
      <c r="N32" s="4128">
        <f t="shared" si="6"/>
        <v>35085663.765672803</v>
      </c>
      <c r="O32" s="4125"/>
      <c r="P32" s="4125"/>
      <c r="Q32" s="4125"/>
      <c r="R32" s="4113"/>
      <c r="S32" s="4167" t="s">
        <v>4813</v>
      </c>
      <c r="T32" s="4168">
        <f>U37-T31</f>
        <v>7187500000</v>
      </c>
      <c r="U32" s="4169">
        <f>U33-U31</f>
        <v>-835097378.51163673</v>
      </c>
      <c r="V32" s="4168">
        <f>T32+U32</f>
        <v>6352402621.4883633</v>
      </c>
      <c r="W32" s="2198"/>
      <c r="X32" s="4163"/>
      <c r="Y32" s="4125"/>
      <c r="Z32" s="4125"/>
      <c r="AA32" s="4160"/>
      <c r="AB32" s="4160"/>
    </row>
    <row r="33" spans="1:28" ht="15" customHeight="1">
      <c r="A33" s="4154"/>
      <c r="B33" s="4114"/>
      <c r="C33" s="4132">
        <v>43373</v>
      </c>
      <c r="D33" s="4128">
        <f t="shared" si="7"/>
        <v>11150000000</v>
      </c>
      <c r="E33" s="4128"/>
      <c r="F33" s="4128">
        <f t="shared" si="9"/>
        <v>11150000000</v>
      </c>
      <c r="G33" s="4164">
        <f>D33*$D$4/365*(C33-C32+1)-1</f>
        <v>6598355.1643835604</v>
      </c>
      <c r="H33" s="4141">
        <f>J32*$I$5/365*(C33-C32)</f>
        <v>6162482.6613883348</v>
      </c>
      <c r="I33" s="4128">
        <f>H33-G33</f>
        <v>-435872.5029952256</v>
      </c>
      <c r="J33" s="4128">
        <f>J32-E33+I33</f>
        <v>9371673175.0250969</v>
      </c>
      <c r="K33" s="4128"/>
      <c r="L33" s="4128"/>
      <c r="M33" s="4128"/>
      <c r="N33" s="4128"/>
      <c r="O33" s="4125"/>
      <c r="P33" s="4125"/>
      <c r="Q33" s="4125"/>
      <c r="R33" s="4113"/>
      <c r="S33" s="4162" t="s">
        <v>4814</v>
      </c>
      <c r="T33" s="4170">
        <f>T31+T32</f>
        <v>8487500000</v>
      </c>
      <c r="U33" s="4170">
        <f>U38</f>
        <v>-1099434424.4787445</v>
      </c>
      <c r="V33" s="4170">
        <f>T33+U33</f>
        <v>7388065575.5212555</v>
      </c>
      <c r="W33" s="2198" t="b">
        <f>V33=J51</f>
        <v>1</v>
      </c>
      <c r="X33" s="2198"/>
      <c r="Y33" s="4125"/>
      <c r="Z33" s="4125"/>
      <c r="AA33" s="4160"/>
      <c r="AB33" s="4160"/>
    </row>
    <row r="34" spans="1:28" ht="15" customHeight="1">
      <c r="A34" s="4154">
        <f t="shared" si="8"/>
        <v>3.5000000000000003E-2</v>
      </c>
      <c r="B34" s="4114">
        <v>5</v>
      </c>
      <c r="C34" s="4132">
        <v>43462</v>
      </c>
      <c r="D34" s="4128">
        <f t="shared" si="7"/>
        <v>11150000000</v>
      </c>
      <c r="E34" s="4128">
        <v>437500000</v>
      </c>
      <c r="F34" s="4128">
        <f t="shared" si="9"/>
        <v>10712500000</v>
      </c>
      <c r="G34" s="4128">
        <f>D34*$D$4/365*(C34-C32)-G33</f>
        <v>193551781.82191777</v>
      </c>
      <c r="H34" s="4128">
        <f>J32*$I$5/365*(C34-C32)-H33</f>
        <v>274230478.43178087</v>
      </c>
      <c r="I34" s="4128">
        <f t="shared" si="0"/>
        <v>80678696.609863102</v>
      </c>
      <c r="J34" s="4128">
        <f>J33-E34+I34</f>
        <v>9014851871.6349602</v>
      </c>
      <c r="K34" s="4128">
        <f t="shared" si="3"/>
        <v>517808809.0900197</v>
      </c>
      <c r="L34" s="4128">
        <f t="shared" si="4"/>
        <v>113242972.73189807</v>
      </c>
      <c r="M34" s="4128">
        <f t="shared" si="5"/>
        <v>358990118.5649665</v>
      </c>
      <c r="N34" s="4128">
        <f t="shared" si="6"/>
        <v>78509881.4350335</v>
      </c>
      <c r="O34" s="4125"/>
      <c r="P34" s="4125"/>
      <c r="Q34" s="4125"/>
      <c r="R34" s="4113"/>
      <c r="S34" s="2198"/>
      <c r="T34" s="2198" t="b">
        <f>T33=U37</f>
        <v>1</v>
      </c>
      <c r="U34" s="2198" t="b">
        <f>U33=U38</f>
        <v>1</v>
      </c>
      <c r="V34" s="2198"/>
      <c r="W34" s="2198"/>
      <c r="X34" s="2198"/>
      <c r="Y34" s="4125"/>
      <c r="Z34" s="4125"/>
      <c r="AA34" s="4160"/>
      <c r="AB34" s="4160"/>
    </row>
    <row r="35" spans="1:28" ht="15" customHeight="1">
      <c r="A35" s="4154">
        <f t="shared" si="8"/>
        <v>0</v>
      </c>
      <c r="B35" s="4135"/>
      <c r="C35" s="4171">
        <v>43465</v>
      </c>
      <c r="D35" s="4156">
        <f t="shared" si="7"/>
        <v>10712500000</v>
      </c>
      <c r="E35" s="4156">
        <v>0</v>
      </c>
      <c r="F35" s="4172">
        <v>10712500000</v>
      </c>
      <c r="G35" s="4173">
        <f>D35*$D$4/365*(4)-1</f>
        <v>8452601.7397260275</v>
      </c>
      <c r="H35" s="4156">
        <f t="shared" si="1"/>
        <v>8891360.7501057126</v>
      </c>
      <c r="I35" s="4156">
        <f t="shared" si="0"/>
        <v>438759.01037968509</v>
      </c>
      <c r="J35" s="4172">
        <f>J34-E35+I35</f>
        <v>9015290630.64534</v>
      </c>
      <c r="K35" s="4128">
        <f t="shared" si="3"/>
        <v>6929315.1263209572</v>
      </c>
      <c r="L35" s="4128">
        <f t="shared" si="4"/>
        <v>1523286.6134050703</v>
      </c>
      <c r="M35" s="4128">
        <f t="shared" si="5"/>
        <v>0</v>
      </c>
      <c r="N35" s="4128">
        <f t="shared" si="6"/>
        <v>0</v>
      </c>
      <c r="O35" s="4125"/>
      <c r="P35" s="4125"/>
      <c r="Q35" s="4125"/>
      <c r="R35" s="4113"/>
      <c r="S35" s="2198"/>
      <c r="T35" s="2198"/>
      <c r="U35" s="2198"/>
      <c r="V35" s="2198"/>
      <c r="W35" s="2198"/>
      <c r="X35" s="2334"/>
      <c r="Y35" s="4125"/>
      <c r="Z35" s="4125"/>
      <c r="AA35" s="4160"/>
      <c r="AB35" s="4160"/>
    </row>
    <row r="36" spans="1:28" ht="15" customHeight="1">
      <c r="A36" s="4154">
        <f t="shared" si="8"/>
        <v>0.02</v>
      </c>
      <c r="B36" s="4114">
        <v>6</v>
      </c>
      <c r="C36" s="4132">
        <v>43552</v>
      </c>
      <c r="D36" s="4159">
        <f t="shared" si="7"/>
        <v>10712500000</v>
      </c>
      <c r="E36" s="4128">
        <v>250000000</v>
      </c>
      <c r="F36" s="4128">
        <f t="shared" si="9"/>
        <v>10462500000</v>
      </c>
      <c r="G36" s="4141">
        <f>D36*$D$4/365*(C36-C34)-G35</f>
        <v>181730959.90410957</v>
      </c>
      <c r="H36" s="4141">
        <f>J34*$I$5/365*(C36-C34)-H35</f>
        <v>257849461.75306571</v>
      </c>
      <c r="I36" s="4128">
        <f>H36-G36</f>
        <v>76118501.848956138</v>
      </c>
      <c r="J36" s="4128">
        <f t="shared" si="2"/>
        <v>8841409132.494297</v>
      </c>
      <c r="K36" s="4128">
        <f t="shared" si="3"/>
        <v>344494013.95669931</v>
      </c>
      <c r="L36" s="4128">
        <f t="shared" si="4"/>
        <v>87236945.947410285</v>
      </c>
      <c r="M36" s="4128">
        <f t="shared" si="5"/>
        <v>199484196.14915603</v>
      </c>
      <c r="N36" s="4128">
        <f t="shared" si="6"/>
        <v>50515803.850843966</v>
      </c>
      <c r="O36" s="4125"/>
      <c r="P36" s="4125"/>
      <c r="Q36" s="4125"/>
      <c r="R36" s="4146"/>
      <c r="S36" s="4174"/>
      <c r="T36" s="4175">
        <f>C49</f>
        <v>44104</v>
      </c>
      <c r="U36" s="4176">
        <f>C51</f>
        <v>44196</v>
      </c>
      <c r="V36" s="4151"/>
      <c r="W36" s="4151"/>
      <c r="X36" s="4177"/>
      <c r="Y36" s="4125"/>
      <c r="Z36" s="4125"/>
      <c r="AA36" s="4160"/>
      <c r="AB36" s="4160"/>
    </row>
    <row r="37" spans="1:28" ht="15" customHeight="1">
      <c r="A37" s="4154"/>
      <c r="B37" s="4135"/>
      <c r="C37" s="4178">
        <v>43555</v>
      </c>
      <c r="D37" s="4179">
        <f t="shared" si="7"/>
        <v>10462500000</v>
      </c>
      <c r="E37" s="4179"/>
      <c r="F37" s="4179">
        <f t="shared" si="9"/>
        <v>10462500000</v>
      </c>
      <c r="G37" s="4180">
        <f>D37*$D$4/365*(C37-C36+1)-1</f>
        <v>8255341.4657534249</v>
      </c>
      <c r="H37" s="4181">
        <f>J36*$I$5/365*(C37-C36)</f>
        <v>8720293.9388984852</v>
      </c>
      <c r="I37" s="4179">
        <f t="shared" si="0"/>
        <v>464952.47314506024</v>
      </c>
      <c r="J37" s="4179">
        <f t="shared" si="2"/>
        <v>8841874084.9674416</v>
      </c>
      <c r="K37" s="4128"/>
      <c r="L37" s="4128"/>
      <c r="M37" s="4128"/>
      <c r="N37" s="4128"/>
      <c r="O37" s="4125"/>
      <c r="P37" s="4125"/>
      <c r="Q37" s="4125"/>
      <c r="R37" s="4113"/>
      <c r="S37" s="4182" t="s">
        <v>4810</v>
      </c>
      <c r="T37" s="2334">
        <f>F49</f>
        <v>8800000000</v>
      </c>
      <c r="U37" s="4183">
        <f>F51</f>
        <v>8487500000</v>
      </c>
      <c r="V37" s="4145"/>
      <c r="W37" s="4115"/>
      <c r="X37" s="4184"/>
      <c r="Y37" s="4125"/>
      <c r="Z37" s="4125"/>
      <c r="AA37" s="4160"/>
      <c r="AB37" s="4160"/>
    </row>
    <row r="38" spans="1:28" ht="15" customHeight="1">
      <c r="A38" s="4154">
        <f t="shared" si="8"/>
        <v>0.02</v>
      </c>
      <c r="B38" s="4114">
        <v>7</v>
      </c>
      <c r="C38" s="4132">
        <v>43644</v>
      </c>
      <c r="D38" s="4128">
        <f t="shared" si="7"/>
        <v>10462500000</v>
      </c>
      <c r="E38" s="4128">
        <v>250000000</v>
      </c>
      <c r="F38" s="4128">
        <f t="shared" si="9"/>
        <v>10212500000</v>
      </c>
      <c r="G38" s="4128">
        <f>D38*$D$4/365*(C38-C36)-G37</f>
        <v>181617535.24657533</v>
      </c>
      <c r="H38" s="4140">
        <f>J36*$I$5/365*(C38-C36)-H37</f>
        <v>258702053.52065507</v>
      </c>
      <c r="I38" s="4128">
        <f t="shared" si="0"/>
        <v>77084518.27407974</v>
      </c>
      <c r="J38" s="4128">
        <f t="shared" si="2"/>
        <v>8668958603.2415218</v>
      </c>
      <c r="K38" s="4128">
        <f t="shared" si="3"/>
        <v>334704790.37879705</v>
      </c>
      <c r="L38" s="4128">
        <f t="shared" si="4"/>
        <v>96912744.867778301</v>
      </c>
      <c r="M38" s="4128">
        <f t="shared" si="5"/>
        <v>193866538.68660957</v>
      </c>
      <c r="N38" s="4128">
        <f t="shared" si="6"/>
        <v>56133461.313390434</v>
      </c>
      <c r="O38" s="4125"/>
      <c r="P38" s="4125"/>
      <c r="Q38" s="4125"/>
      <c r="R38" s="4113"/>
      <c r="S38" s="4182" t="s">
        <v>4811</v>
      </c>
      <c r="T38" s="2334">
        <f>T39-T37</f>
        <v>-1170511859.9089451</v>
      </c>
      <c r="U38" s="4183">
        <f>U39-U37</f>
        <v>-1099434424.4787445</v>
      </c>
      <c r="V38" s="4145" t="b">
        <f>U38=-F4</f>
        <v>1</v>
      </c>
      <c r="W38" s="4145"/>
      <c r="X38" s="4185"/>
      <c r="Y38" s="4125"/>
      <c r="Z38" s="4125"/>
      <c r="AA38" s="4160"/>
      <c r="AB38" s="4113"/>
    </row>
    <row r="39" spans="1:28" ht="15" customHeight="1">
      <c r="A39" s="4154">
        <f t="shared" si="8"/>
        <v>0</v>
      </c>
      <c r="B39" s="4114"/>
      <c r="C39" s="4186">
        <v>43646</v>
      </c>
      <c r="D39" s="4187">
        <f t="shared" si="7"/>
        <v>10212500000</v>
      </c>
      <c r="E39" s="4187">
        <v>0</v>
      </c>
      <c r="F39" s="4187">
        <f t="shared" si="9"/>
        <v>10212500000</v>
      </c>
      <c r="G39" s="4187">
        <f>D39*$D$4/365*(C39-C38+1)</f>
        <v>6043561.6438356172</v>
      </c>
      <c r="H39" s="4187">
        <f t="shared" si="1"/>
        <v>5700137.1637752466</v>
      </c>
      <c r="I39" s="4187">
        <f t="shared" si="0"/>
        <v>-343424.48006037064</v>
      </c>
      <c r="J39" s="4187">
        <f t="shared" si="2"/>
        <v>8668615178.7614613</v>
      </c>
      <c r="K39" s="4128">
        <f t="shared" si="3"/>
        <v>4683668.1456664512</v>
      </c>
      <c r="L39" s="4128">
        <f t="shared" si="4"/>
        <v>1359893.498169166</v>
      </c>
      <c r="M39" s="4128">
        <f t="shared" si="5"/>
        <v>0</v>
      </c>
      <c r="N39" s="4128">
        <f t="shared" si="6"/>
        <v>0</v>
      </c>
      <c r="O39" s="4125"/>
      <c r="P39" s="4125"/>
      <c r="Q39" s="4125"/>
      <c r="R39" s="4113"/>
      <c r="S39" s="4188" t="s">
        <v>4796</v>
      </c>
      <c r="T39" s="4189">
        <f>J49</f>
        <v>7629488140.0910549</v>
      </c>
      <c r="U39" s="4190">
        <f>J51</f>
        <v>7388065575.5212555</v>
      </c>
      <c r="V39" s="4145"/>
      <c r="W39" s="4115"/>
      <c r="X39" s="4115"/>
      <c r="Y39" s="4125"/>
      <c r="Z39" s="4125"/>
      <c r="AA39" s="4113"/>
      <c r="AB39" s="4113"/>
    </row>
    <row r="40" spans="1:28" ht="15" customHeight="1" thickBot="1">
      <c r="A40" s="4154">
        <f t="shared" si="8"/>
        <v>0.02</v>
      </c>
      <c r="B40" s="4114">
        <v>8</v>
      </c>
      <c r="C40" s="4132">
        <v>43736</v>
      </c>
      <c r="D40" s="4128">
        <f t="shared" si="7"/>
        <v>10212500000</v>
      </c>
      <c r="E40" s="4128">
        <v>250000000</v>
      </c>
      <c r="F40" s="4128">
        <f t="shared" si="9"/>
        <v>9962500000</v>
      </c>
      <c r="G40" s="4140">
        <f>D40*$D$4/365*(C40-C38)-G39</f>
        <v>179292328.76712331</v>
      </c>
      <c r="H40" s="4140">
        <f>J38*$I$5/365*(C40-C38)-H39</f>
        <v>256506172.3698861</v>
      </c>
      <c r="I40" s="4128">
        <f t="shared" si="0"/>
        <v>77213843.602762789</v>
      </c>
      <c r="J40" s="4128">
        <f t="shared" si="2"/>
        <v>8495829022.3642244</v>
      </c>
      <c r="K40" s="4128">
        <f t="shared" si="3"/>
        <v>323526855.82657456</v>
      </c>
      <c r="L40" s="4128">
        <f t="shared" si="4"/>
        <v>105765472.94054878</v>
      </c>
      <c r="M40" s="4128">
        <f t="shared" si="5"/>
        <v>188407079.59754682</v>
      </c>
      <c r="N40" s="4128">
        <f t="shared" si="6"/>
        <v>61592920.402453184</v>
      </c>
      <c r="O40" s="4125"/>
      <c r="P40" s="4125"/>
      <c r="Q40" s="4125"/>
      <c r="R40" s="4113"/>
      <c r="S40" s="2198"/>
      <c r="T40" s="2334"/>
      <c r="U40" s="2334"/>
      <c r="V40" s="4115"/>
      <c r="W40" s="4115"/>
      <c r="X40" s="4115"/>
      <c r="Y40" s="4125"/>
      <c r="Z40" s="4125"/>
      <c r="AA40" s="4113"/>
      <c r="AB40" s="4113"/>
    </row>
    <row r="41" spans="1:28" ht="15" customHeight="1">
      <c r="A41" s="4154"/>
      <c r="B41" s="4114"/>
      <c r="C41" s="4186">
        <v>43738</v>
      </c>
      <c r="D41" s="4187">
        <f t="shared" si="7"/>
        <v>9962500000</v>
      </c>
      <c r="E41" s="4187"/>
      <c r="F41" s="4187">
        <f t="shared" si="9"/>
        <v>9962500000</v>
      </c>
      <c r="G41" s="4191">
        <f>D41*$D$4/365*(C41-C40+1)</f>
        <v>5895616.4383561639</v>
      </c>
      <c r="H41" s="4191">
        <f>J40*$I$5/365*(C41-C40)</f>
        <v>5586298.5352531886</v>
      </c>
      <c r="I41" s="4187">
        <f t="shared" si="0"/>
        <v>-309317.90310297534</v>
      </c>
      <c r="J41" s="4187">
        <f t="shared" si="2"/>
        <v>8495519704.4611216</v>
      </c>
      <c r="K41" s="4128"/>
      <c r="L41" s="4128"/>
      <c r="M41" s="4128"/>
      <c r="N41" s="4128"/>
      <c r="O41" s="4125"/>
      <c r="P41" s="4125"/>
      <c r="Q41" s="4125"/>
      <c r="R41" s="4192" t="s">
        <v>4815</v>
      </c>
      <c r="S41" s="4193" t="s">
        <v>4816</v>
      </c>
      <c r="T41" s="4194">
        <f>V41+V42</f>
        <v>70297742.042196274</v>
      </c>
      <c r="U41" s="4195" t="s">
        <v>4817</v>
      </c>
      <c r="V41" s="4196">
        <f>-G41</f>
        <v>-5895616.4383561639</v>
      </c>
      <c r="W41" s="4115"/>
      <c r="X41" s="4115"/>
      <c r="Y41" s="4125"/>
      <c r="Z41" s="4125"/>
      <c r="AA41" s="4113"/>
      <c r="AB41" s="4113"/>
    </row>
    <row r="42" spans="1:28" ht="15" customHeight="1">
      <c r="A42" s="4154">
        <f t="shared" si="8"/>
        <v>2.1000000000000001E-2</v>
      </c>
      <c r="B42" s="4114">
        <v>9</v>
      </c>
      <c r="C42" s="4132">
        <v>43827</v>
      </c>
      <c r="D42" s="4128">
        <f t="shared" si="7"/>
        <v>9962500000</v>
      </c>
      <c r="E42" s="4128">
        <v>262500000</v>
      </c>
      <c r="F42" s="4128">
        <f t="shared" si="9"/>
        <v>9700000000</v>
      </c>
      <c r="G42" s="4128">
        <f>D42*$D$4/365*(C42-C40)-G41</f>
        <v>172938082.19178081</v>
      </c>
      <c r="H42" s="4141">
        <f>J40*$I$5/365*(C42-C40)-H41</f>
        <v>248590284.81876689</v>
      </c>
      <c r="I42" s="4128">
        <f t="shared" si="0"/>
        <v>75652202.626986086</v>
      </c>
      <c r="J42" s="4128">
        <f>J41-E42+I42</f>
        <v>8308671907.0881081</v>
      </c>
      <c r="K42" s="4128">
        <f t="shared" si="3"/>
        <v>319016262.76271224</v>
      </c>
      <c r="L42" s="4128">
        <f t="shared" si="4"/>
        <v>116421819.42906857</v>
      </c>
      <c r="M42" s="4128">
        <f t="shared" si="5"/>
        <v>192316134.94551775</v>
      </c>
      <c r="N42" s="4128">
        <f t="shared" si="6"/>
        <v>70183865.054482251</v>
      </c>
      <c r="O42" s="4125"/>
      <c r="P42" s="4125"/>
      <c r="Q42" s="4125"/>
      <c r="R42" s="4115"/>
      <c r="S42" s="4197"/>
      <c r="T42" s="4115"/>
      <c r="U42" s="4198" t="s">
        <v>4818</v>
      </c>
      <c r="V42" s="4199">
        <f>I42+I43</f>
        <v>76193358.480552435</v>
      </c>
      <c r="W42" s="4115"/>
      <c r="X42" s="4115"/>
      <c r="Y42" s="4125"/>
      <c r="Z42" s="4125"/>
      <c r="AA42" s="4113"/>
      <c r="AB42" s="4113"/>
    </row>
    <row r="43" spans="1:28" ht="15" customHeight="1" thickBot="1">
      <c r="A43" s="4154">
        <f t="shared" si="8"/>
        <v>0</v>
      </c>
      <c r="B43" s="4114"/>
      <c r="C43" s="4186">
        <v>43830</v>
      </c>
      <c r="D43" s="4187">
        <f t="shared" si="7"/>
        <v>9700000000</v>
      </c>
      <c r="E43" s="4187">
        <v>0</v>
      </c>
      <c r="F43" s="4187">
        <f t="shared" si="9"/>
        <v>9700000000</v>
      </c>
      <c r="G43" s="4187">
        <f>D43*$D$4/365*(C43-C42+1)</f>
        <v>7653698.6301369863</v>
      </c>
      <c r="H43" s="4200">
        <f>J42*$I$5/365*(C43-C42)</f>
        <v>8194854.4837033395</v>
      </c>
      <c r="I43" s="4187">
        <f t="shared" si="0"/>
        <v>541155.85356635321</v>
      </c>
      <c r="J43" s="4187">
        <f t="shared" si="2"/>
        <v>8309213062.9416742</v>
      </c>
      <c r="K43" s="4128">
        <f t="shared" si="3"/>
        <v>5602130.7448930359</v>
      </c>
      <c r="L43" s="4128">
        <f t="shared" si="4"/>
        <v>2051567.8852439504</v>
      </c>
      <c r="M43" s="4128">
        <f t="shared" si="5"/>
        <v>0</v>
      </c>
      <c r="N43" s="4128">
        <f t="shared" si="6"/>
        <v>0</v>
      </c>
      <c r="O43" s="4125"/>
      <c r="P43" s="4125"/>
      <c r="Q43" s="4125"/>
      <c r="R43" s="4115"/>
      <c r="S43" s="4201" t="s">
        <v>4816</v>
      </c>
      <c r="T43" s="4202">
        <f>G43</f>
        <v>7653698.6301369863</v>
      </c>
      <c r="U43" s="4203" t="s">
        <v>4817</v>
      </c>
      <c r="V43" s="4204">
        <f>T43</f>
        <v>7653698.6301369863</v>
      </c>
      <c r="W43" s="4115"/>
      <c r="X43" s="4163"/>
      <c r="Y43" s="4125"/>
      <c r="Z43" s="4125"/>
      <c r="AA43" s="4113"/>
      <c r="AB43" s="4160"/>
    </row>
    <row r="44" spans="1:28" ht="15" customHeight="1" thickBot="1">
      <c r="A44" s="4154">
        <f t="shared" si="8"/>
        <v>2.35E-2</v>
      </c>
      <c r="B44" s="4114">
        <v>10</v>
      </c>
      <c r="C44" s="4132">
        <v>43918</v>
      </c>
      <c r="D44" s="4128">
        <f t="shared" si="7"/>
        <v>9700000000</v>
      </c>
      <c r="E44" s="4128">
        <v>293750000</v>
      </c>
      <c r="F44" s="4128">
        <f t="shared" si="9"/>
        <v>9406250000</v>
      </c>
      <c r="G44" s="4141">
        <f>D44*$D$4/365*(C44-C42)-G43</f>
        <v>166467945.20547944</v>
      </c>
      <c r="H44" s="4141">
        <f>J42*$I$5/365*(C44-C42)-H43</f>
        <v>240382398.18863127</v>
      </c>
      <c r="I44" s="4128">
        <f t="shared" si="0"/>
        <v>73914452.983151823</v>
      </c>
      <c r="J44" s="4128">
        <f t="shared" si="2"/>
        <v>8089377515.9248257</v>
      </c>
      <c r="K44" s="4128">
        <f t="shared" si="3"/>
        <v>327777522.89201325</v>
      </c>
      <c r="L44" s="4128">
        <f t="shared" si="4"/>
        <v>132440422.31346619</v>
      </c>
      <c r="M44" s="4128">
        <f t="shared" si="5"/>
        <v>209215325.80946934</v>
      </c>
      <c r="N44" s="4128">
        <f t="shared" si="6"/>
        <v>84534674.190530658</v>
      </c>
      <c r="O44" s="4125"/>
      <c r="P44" s="4125"/>
      <c r="Q44" s="4125"/>
      <c r="R44" s="4113"/>
      <c r="S44" s="4115"/>
      <c r="T44" s="4115"/>
      <c r="U44" s="4115"/>
      <c r="V44" s="4205"/>
      <c r="W44" s="4115"/>
      <c r="X44" s="4206"/>
      <c r="Y44" s="4125"/>
      <c r="Z44" s="4125"/>
      <c r="AA44" s="4113"/>
      <c r="AB44" s="4113"/>
    </row>
    <row r="45" spans="1:28" ht="15" customHeight="1">
      <c r="A45" s="4154">
        <f t="shared" si="8"/>
        <v>0</v>
      </c>
      <c r="B45" s="4114"/>
      <c r="C45" s="4207">
        <v>43921</v>
      </c>
      <c r="D45" s="4208">
        <f t="shared" si="7"/>
        <v>9406250000</v>
      </c>
      <c r="E45" s="4208">
        <v>0</v>
      </c>
      <c r="F45" s="4208">
        <f t="shared" si="9"/>
        <v>9406250000</v>
      </c>
      <c r="G45" s="4209">
        <f>D45*$D$4/365*(C45-C44+1)</f>
        <v>7421917.8082191776</v>
      </c>
      <c r="H45" s="4210">
        <f>J44*$I$5/365*(C45-C44)</f>
        <v>7978564.1252957173</v>
      </c>
      <c r="I45" s="4208">
        <f t="shared" si="0"/>
        <v>556646.31707653962</v>
      </c>
      <c r="J45" s="4208">
        <f t="shared" si="2"/>
        <v>8089934162.2419024</v>
      </c>
      <c r="K45" s="4128"/>
      <c r="L45" s="4128"/>
      <c r="M45" s="4128">
        <f t="shared" si="5"/>
        <v>0</v>
      </c>
      <c r="N45" s="4128">
        <f t="shared" si="6"/>
        <v>0</v>
      </c>
      <c r="O45" s="4125"/>
      <c r="P45" s="4125"/>
      <c r="Q45" s="4125"/>
      <c r="R45" s="4192" t="s">
        <v>4819</v>
      </c>
      <c r="S45" s="4193" t="s">
        <v>4816</v>
      </c>
      <c r="T45" s="4194">
        <f>V45+V46</f>
        <v>66817400.670091368</v>
      </c>
      <c r="U45" s="4195" t="s">
        <v>4817</v>
      </c>
      <c r="V45" s="4196">
        <f>-G43</f>
        <v>-7653698.6301369863</v>
      </c>
      <c r="W45" s="4115"/>
      <c r="X45" s="4206"/>
      <c r="Y45" s="4125"/>
      <c r="Z45" s="4125"/>
      <c r="AA45" s="4113"/>
      <c r="AB45" s="4113"/>
    </row>
    <row r="46" spans="1:28" ht="15" customHeight="1">
      <c r="A46" s="4154">
        <f t="shared" si="8"/>
        <v>2.4E-2</v>
      </c>
      <c r="B46" s="4114">
        <v>11</v>
      </c>
      <c r="C46" s="4132">
        <v>44010</v>
      </c>
      <c r="D46" s="4128">
        <f t="shared" si="7"/>
        <v>9406250000</v>
      </c>
      <c r="E46" s="4128">
        <v>300000000</v>
      </c>
      <c r="F46" s="4128">
        <f t="shared" si="9"/>
        <v>9106250000</v>
      </c>
      <c r="G46" s="4128">
        <f>D46*$D$4/365*(C46-C44)-G45</f>
        <v>163282191.78082192</v>
      </c>
      <c r="H46" s="4128">
        <f>J44*$I$5/365*(C46-C44)-H45</f>
        <v>236697402.38377294</v>
      </c>
      <c r="I46" s="4128">
        <f t="shared" si="0"/>
        <v>73415210.60295102</v>
      </c>
      <c r="J46" s="4128">
        <f>J45-E46+I46</f>
        <v>7863349372.8448534</v>
      </c>
      <c r="K46" s="4128">
        <f t="shared" si="3"/>
        <v>320667973.90026718</v>
      </c>
      <c r="L46" s="4128">
        <f t="shared" si="4"/>
        <v>142614217.88055474</v>
      </c>
      <c r="M46" s="4128">
        <f t="shared" si="5"/>
        <v>207649665.53169912</v>
      </c>
      <c r="N46" s="4128">
        <f t="shared" si="6"/>
        <v>92350334.468300879</v>
      </c>
      <c r="O46" s="4125"/>
      <c r="P46" s="4125"/>
      <c r="Q46" s="4125"/>
      <c r="R46" s="4113"/>
      <c r="S46" s="4197"/>
      <c r="T46" s="4115"/>
      <c r="U46" s="4198" t="s">
        <v>4818</v>
      </c>
      <c r="V46" s="4199">
        <f>I44+I45</f>
        <v>74471099.300228357</v>
      </c>
      <c r="W46" s="4115"/>
      <c r="X46" s="4211"/>
      <c r="Y46" s="4125"/>
      <c r="Z46" s="4125"/>
      <c r="AA46" s="4113"/>
      <c r="AB46" s="4113"/>
    </row>
    <row r="47" spans="1:28" ht="15" customHeight="1" thickBot="1">
      <c r="A47" s="4154">
        <f t="shared" si="8"/>
        <v>0</v>
      </c>
      <c r="B47" s="4114"/>
      <c r="C47" s="4186">
        <v>44012</v>
      </c>
      <c r="D47" s="4187">
        <f>D46-E46</f>
        <v>9106250000</v>
      </c>
      <c r="E47" s="4187">
        <v>0</v>
      </c>
      <c r="F47" s="4187">
        <f t="shared" si="9"/>
        <v>9106250000</v>
      </c>
      <c r="G47" s="4187">
        <f>D47*$D$4/365*(C47-C46+1)</f>
        <v>5388904.1095890412</v>
      </c>
      <c r="H47" s="4187">
        <f t="shared" si="1"/>
        <v>5170421.5054322323</v>
      </c>
      <c r="I47" s="4187">
        <f t="shared" si="0"/>
        <v>-218482.60415680893</v>
      </c>
      <c r="J47" s="4187">
        <f t="shared" si="2"/>
        <v>7863130890.2406969</v>
      </c>
      <c r="K47" s="4128">
        <f t="shared" si="3"/>
        <v>3727698.2448926931</v>
      </c>
      <c r="L47" s="4128">
        <f t="shared" si="4"/>
        <v>1661205.8646963481</v>
      </c>
      <c r="M47" s="4128">
        <f t="shared" si="5"/>
        <v>0</v>
      </c>
      <c r="N47" s="4128">
        <f t="shared" si="6"/>
        <v>0</v>
      </c>
      <c r="O47" s="4125"/>
      <c r="P47" s="4125"/>
      <c r="Q47" s="4125"/>
      <c r="R47" s="4113"/>
      <c r="S47" s="4201" t="s">
        <v>4816</v>
      </c>
      <c r="T47" s="4202">
        <f>G45</f>
        <v>7421917.8082191776</v>
      </c>
      <c r="U47" s="4203" t="s">
        <v>4817</v>
      </c>
      <c r="V47" s="4204">
        <f>T47</f>
        <v>7421917.8082191776</v>
      </c>
      <c r="W47" s="4115"/>
      <c r="X47" s="2198"/>
      <c r="Y47" s="4125"/>
      <c r="Z47" s="4125"/>
      <c r="AA47" s="4113"/>
      <c r="AB47" s="4113"/>
    </row>
    <row r="48" spans="1:28" ht="15" customHeight="1" thickBot="1">
      <c r="A48" s="4154">
        <f t="shared" si="8"/>
        <v>2.4500000000000001E-2</v>
      </c>
      <c r="B48" s="4114">
        <v>12</v>
      </c>
      <c r="C48" s="4132">
        <v>44102</v>
      </c>
      <c r="D48" s="4128">
        <f t="shared" si="7"/>
        <v>9106250000</v>
      </c>
      <c r="E48" s="4128">
        <v>306250000</v>
      </c>
      <c r="F48" s="4128">
        <f t="shared" si="9"/>
        <v>8800000000</v>
      </c>
      <c r="G48" s="4140">
        <f>D48*$D$4/365*(C48-C46)-G47</f>
        <v>159870821.91780823</v>
      </c>
      <c r="H48" s="4140">
        <f>J46*$I$5/365*(C48-C46)-H47</f>
        <v>232668967.74445048</v>
      </c>
      <c r="I48" s="4128">
        <f t="shared" si="0"/>
        <v>72798145.826642245</v>
      </c>
      <c r="J48" s="4128">
        <f>J47-E48+I48</f>
        <v>7629679036.0673389</v>
      </c>
      <c r="K48" s="4128">
        <f t="shared" si="3"/>
        <v>313547141.76409882</v>
      </c>
      <c r="L48" s="4128">
        <f t="shared" si="4"/>
        <v>152573680.15370941</v>
      </c>
      <c r="M48" s="4128">
        <f t="shared" si="5"/>
        <v>206006270.58489844</v>
      </c>
      <c r="N48" s="4128">
        <f t="shared" si="6"/>
        <v>100243729.41510156</v>
      </c>
      <c r="O48" s="4125"/>
      <c r="P48" s="4125"/>
      <c r="Q48" s="4125"/>
      <c r="R48" s="4113"/>
      <c r="S48" s="4115"/>
      <c r="T48" s="4115"/>
      <c r="U48" s="4115"/>
      <c r="V48" s="4205"/>
      <c r="W48" s="4115"/>
      <c r="X48" s="2198"/>
      <c r="Y48" s="4125"/>
      <c r="Z48" s="4125"/>
      <c r="AA48" s="4157"/>
      <c r="AB48" s="4113"/>
    </row>
    <row r="49" spans="1:28" ht="15" customHeight="1">
      <c r="A49" s="4154"/>
      <c r="B49" s="4114"/>
      <c r="C49" s="4186">
        <v>44104</v>
      </c>
      <c r="D49" s="4187">
        <f t="shared" si="7"/>
        <v>8800000000</v>
      </c>
      <c r="E49" s="4187"/>
      <c r="F49" s="4187">
        <f t="shared" si="9"/>
        <v>8800000000</v>
      </c>
      <c r="G49" s="4191">
        <f>D49*$D$4/365*(C49-C48+1)</f>
        <v>5207671.2328767125</v>
      </c>
      <c r="H49" s="4191">
        <f>J48*$I$5/365*(C49-C48)</f>
        <v>5016775.2565922225</v>
      </c>
      <c r="I49" s="4187">
        <f t="shared" si="0"/>
        <v>-190895.97628448997</v>
      </c>
      <c r="J49" s="4187">
        <f t="shared" ref="J49" si="10">J48-E49+I49</f>
        <v>7629488140.0910549</v>
      </c>
      <c r="K49" s="4128"/>
      <c r="L49" s="4128"/>
      <c r="M49" s="4128"/>
      <c r="N49" s="4128"/>
      <c r="O49" s="4125"/>
      <c r="P49" s="4125"/>
      <c r="Q49" s="4125"/>
      <c r="R49" s="4192" t="s">
        <v>4820</v>
      </c>
      <c r="S49" s="4193" t="s">
        <v>4816</v>
      </c>
      <c r="T49" s="4194">
        <f>V49+V50</f>
        <v>65774810.190575033</v>
      </c>
      <c r="U49" s="4195" t="s">
        <v>4817</v>
      </c>
      <c r="V49" s="4196">
        <f>-G45</f>
        <v>-7421917.8082191776</v>
      </c>
      <c r="W49" s="4115"/>
      <c r="X49" s="2198"/>
      <c r="Y49" s="4125"/>
      <c r="Z49" s="4125"/>
      <c r="AA49" s="4157"/>
      <c r="AB49" s="4113"/>
    </row>
    <row r="50" spans="1:28" ht="15" customHeight="1">
      <c r="A50" s="4154">
        <f t="shared" si="8"/>
        <v>2.5000000000000001E-2</v>
      </c>
      <c r="B50" s="4114">
        <v>13</v>
      </c>
      <c r="C50" s="4132">
        <v>44193</v>
      </c>
      <c r="D50" s="4128">
        <f t="shared" si="7"/>
        <v>8800000000</v>
      </c>
      <c r="E50" s="4128">
        <v>312500000</v>
      </c>
      <c r="F50" s="4128">
        <f t="shared" si="9"/>
        <v>8487500000</v>
      </c>
      <c r="G50" s="4128">
        <f>D50*$D$4/365*(C50-C48)-G49</f>
        <v>152758356.16438356</v>
      </c>
      <c r="H50" s="4128">
        <f>J48*$I$5/365*(C50-C48)-H49</f>
        <v>223246498.91835392</v>
      </c>
      <c r="I50" s="4128">
        <f t="shared" si="0"/>
        <v>70488142.753970355</v>
      </c>
      <c r="J50" s="4128">
        <f>J49-E50+I50</f>
        <v>7387476282.8450251</v>
      </c>
      <c r="K50" s="4128">
        <f t="shared" si="3"/>
        <v>304247998.45034873</v>
      </c>
      <c r="L50" s="4128">
        <f t="shared" si="4"/>
        <v>161010357.7140348</v>
      </c>
      <c r="M50" s="4128">
        <f t="shared" si="5"/>
        <v>204354200.74893078</v>
      </c>
      <c r="N50" s="4128">
        <f t="shared" si="6"/>
        <v>108145799.25106922</v>
      </c>
      <c r="O50" s="4125"/>
      <c r="P50" s="4125"/>
      <c r="Q50" s="4125"/>
      <c r="R50" s="4113"/>
      <c r="S50" s="4197"/>
      <c r="T50" s="4115"/>
      <c r="U50" s="4198" t="s">
        <v>4818</v>
      </c>
      <c r="V50" s="4199">
        <f>I46+I47</f>
        <v>73196727.998794213</v>
      </c>
      <c r="W50" s="4115"/>
      <c r="X50" s="2198"/>
      <c r="Y50" s="4125"/>
      <c r="Z50" s="4125"/>
      <c r="AA50" s="4113"/>
      <c r="AB50" s="4113"/>
    </row>
    <row r="51" spans="1:28" ht="15" customHeight="1" thickBot="1">
      <c r="A51" s="4154">
        <f t="shared" si="8"/>
        <v>0</v>
      </c>
      <c r="B51" s="4114"/>
      <c r="C51" s="4186">
        <v>44196</v>
      </c>
      <c r="D51" s="4187">
        <f t="shared" si="7"/>
        <v>8487500000</v>
      </c>
      <c r="E51" s="4187">
        <v>0</v>
      </c>
      <c r="F51" s="4187">
        <f t="shared" si="9"/>
        <v>8487500000</v>
      </c>
      <c r="G51" s="4187">
        <f>D51*$D$4/365*(C51-C50+1)-1</f>
        <v>6696985.3013698626</v>
      </c>
      <c r="H51" s="4187">
        <f t="shared" si="1"/>
        <v>7286277.9776005726</v>
      </c>
      <c r="I51" s="4187">
        <f t="shared" si="0"/>
        <v>589292.67623071</v>
      </c>
      <c r="J51" s="4187">
        <f>J50-E51+I51</f>
        <v>7388065575.5212555</v>
      </c>
      <c r="K51" s="4128">
        <f t="shared" si="3"/>
        <v>4375305.293434063</v>
      </c>
      <c r="L51" s="4128">
        <f t="shared" si="4"/>
        <v>2321680.0079357997</v>
      </c>
      <c r="M51" s="4128">
        <f t="shared" si="5"/>
        <v>0</v>
      </c>
      <c r="N51" s="4128">
        <f t="shared" si="6"/>
        <v>0</v>
      </c>
      <c r="O51" s="4125"/>
      <c r="P51" s="4125"/>
      <c r="Q51" s="4125"/>
      <c r="R51" s="4113"/>
      <c r="S51" s="4201" t="s">
        <v>4816</v>
      </c>
      <c r="T51" s="4202">
        <f>G47</f>
        <v>5388904.1095890412</v>
      </c>
      <c r="U51" s="4203" t="s">
        <v>4817</v>
      </c>
      <c r="V51" s="4204">
        <f>T51</f>
        <v>5388904.1095890412</v>
      </c>
      <c r="W51" s="4115"/>
      <c r="X51" s="4206"/>
      <c r="Y51" s="4125"/>
      <c r="Z51" s="4125"/>
      <c r="AA51" s="4160"/>
      <c r="AB51" s="4160"/>
    </row>
    <row r="52" spans="1:28" ht="15" customHeight="1" thickBot="1">
      <c r="A52" s="4154">
        <f t="shared" si="8"/>
        <v>2.5499999999999998E-2</v>
      </c>
      <c r="B52" s="4114">
        <v>14</v>
      </c>
      <c r="C52" s="4132">
        <v>44283</v>
      </c>
      <c r="D52" s="4128">
        <f t="shared" si="7"/>
        <v>8487500000</v>
      </c>
      <c r="E52" s="4128">
        <v>318750000</v>
      </c>
      <c r="F52" s="4128">
        <f t="shared" si="9"/>
        <v>8168750000</v>
      </c>
      <c r="G52" s="4140">
        <f>D52*$D$4/365*(C52-C50)-G51</f>
        <v>143985206.47945204</v>
      </c>
      <c r="H52" s="4140">
        <f>J50*$I$5/365*(C52-C50)-H51</f>
        <v>211302061.3504166</v>
      </c>
      <c r="I52" s="4212">
        <f t="shared" si="0"/>
        <v>67316854.870964557</v>
      </c>
      <c r="J52" s="4128">
        <f t="shared" si="2"/>
        <v>7136632430.3922205</v>
      </c>
      <c r="K52" s="4128">
        <f t="shared" si="3"/>
        <v>294259261.35899884</v>
      </c>
      <c r="L52" s="4128">
        <f t="shared" si="4"/>
        <v>168475945.12045318</v>
      </c>
      <c r="M52" s="4128">
        <f t="shared" si="5"/>
        <v>202697219.15431109</v>
      </c>
      <c r="N52" s="4128">
        <f t="shared" si="6"/>
        <v>116052780.84568891</v>
      </c>
      <c r="O52" s="4113"/>
      <c r="P52" s="4113">
        <v>2021</v>
      </c>
      <c r="Q52" s="4113">
        <v>1</v>
      </c>
      <c r="R52" s="4113"/>
      <c r="S52" s="4115"/>
      <c r="T52" s="4115"/>
      <c r="U52" s="4115"/>
      <c r="V52" s="4205"/>
      <c r="W52" s="4115"/>
      <c r="X52" s="2198"/>
      <c r="Y52" s="4213"/>
      <c r="Z52" s="4160"/>
      <c r="AA52" s="4160"/>
      <c r="AB52" s="4160"/>
    </row>
    <row r="53" spans="1:28" ht="15" customHeight="1">
      <c r="A53" s="4154">
        <f>E54/$D$26</f>
        <v>2.5999999999999999E-2</v>
      </c>
      <c r="B53" s="4114"/>
      <c r="C53" s="4214">
        <v>44286</v>
      </c>
      <c r="D53" s="4215">
        <f t="shared" si="7"/>
        <v>8168750000</v>
      </c>
      <c r="E53" s="4215"/>
      <c r="F53" s="4215">
        <f t="shared" si="9"/>
        <v>8168750000</v>
      </c>
      <c r="G53" s="4216">
        <f>D53*$D$4/365*(C53-C52+1)</f>
        <v>6445479.4520547949</v>
      </c>
      <c r="H53" s="4216">
        <f>J52*$I$5/365*(C53-C52)</f>
        <v>7038870.3423046563</v>
      </c>
      <c r="I53" s="4212">
        <f t="shared" si="0"/>
        <v>593390.8902498614</v>
      </c>
      <c r="J53" s="4215">
        <f t="shared" si="2"/>
        <v>7137225821.2824707</v>
      </c>
      <c r="K53" s="4128">
        <f>(E54+G54)/((1+$D$3)
^((C54-$C$21)/365))</f>
        <v>288485052.53224933</v>
      </c>
      <c r="L53" s="4128">
        <f>E54+G54-K53</f>
        <v>178315495.41295612</v>
      </c>
      <c r="M53" s="4128">
        <f>E54/((1+$D$3)^((C54-$C$21)/365))</f>
        <v>200851611.00536373</v>
      </c>
      <c r="N53" s="4128">
        <f>E54-M53</f>
        <v>124148388.99463627</v>
      </c>
      <c r="O53" s="4113"/>
      <c r="P53" s="4113">
        <v>2021</v>
      </c>
      <c r="Q53" s="4113">
        <v>1</v>
      </c>
      <c r="R53" s="4192" t="s">
        <v>4821</v>
      </c>
      <c r="S53" s="4193" t="s">
        <v>4816</v>
      </c>
      <c r="T53" s="4194">
        <f>V53+V54</f>
        <v>67218345.740768716</v>
      </c>
      <c r="U53" s="4195" t="s">
        <v>4817</v>
      </c>
      <c r="V53" s="4196">
        <f>-G47</f>
        <v>-5388904.1095890412</v>
      </c>
      <c r="W53" s="4115"/>
      <c r="X53" s="2198"/>
      <c r="Y53" s="4213"/>
      <c r="Z53" s="4160"/>
      <c r="AA53" s="4160"/>
      <c r="AB53" s="4160"/>
    </row>
    <row r="54" spans="1:28" ht="15" customHeight="1">
      <c r="A54" s="4154">
        <f>E55/$D$26</f>
        <v>0</v>
      </c>
      <c r="B54" s="4114">
        <v>15</v>
      </c>
      <c r="C54" s="4132">
        <v>44375</v>
      </c>
      <c r="D54" s="4128">
        <f>D53-E53</f>
        <v>8168750000</v>
      </c>
      <c r="E54" s="4128">
        <v>325000000</v>
      </c>
      <c r="F54" s="4128">
        <f>D54-E54</f>
        <v>7843750000</v>
      </c>
      <c r="G54" s="4128">
        <f>D54*$D$4/365*(C54-C52)-G53</f>
        <v>141800547.94520548</v>
      </c>
      <c r="H54" s="4128">
        <f>J52*$I$5/365*(C54-C52)-H53</f>
        <v>208819820.15503812</v>
      </c>
      <c r="I54" s="4217">
        <f>H54-G54</f>
        <v>67019272.209832639</v>
      </c>
      <c r="J54" s="4128">
        <f>J53-E54+I54</f>
        <v>6879245093.4923029</v>
      </c>
      <c r="K54" s="4128">
        <f>(E55+G55)/((1+$D$3)
^((C55-$C$21)/365))</f>
        <v>2866862.7422666005</v>
      </c>
      <c r="L54" s="4128">
        <f>E55+G55-K54</f>
        <v>1774918.0796512081</v>
      </c>
      <c r="M54" s="4128">
        <f>E55/((1+$D$3)^((C55-$C$21)/365))</f>
        <v>0</v>
      </c>
      <c r="N54" s="4128">
        <f>E55-M54</f>
        <v>0</v>
      </c>
      <c r="O54" s="4113"/>
      <c r="P54" s="4113">
        <v>2021</v>
      </c>
      <c r="Q54" s="4113">
        <v>2</v>
      </c>
      <c r="R54" s="4113"/>
      <c r="S54" s="4197"/>
      <c r="T54" s="4115"/>
      <c r="U54" s="4198" t="s">
        <v>4818</v>
      </c>
      <c r="V54" s="4199">
        <f>I48+I49</f>
        <v>72607249.850357756</v>
      </c>
      <c r="W54" s="4115"/>
      <c r="X54" s="4115"/>
      <c r="Y54" s="4213"/>
      <c r="Z54" s="4160"/>
      <c r="AA54" s="4160"/>
      <c r="AB54" s="4160"/>
    </row>
    <row r="55" spans="1:28" ht="15" customHeight="1" thickBot="1">
      <c r="A55" s="4154">
        <f>E56/$D$26</f>
        <v>2.5999999999999999E-2</v>
      </c>
      <c r="B55" s="4114">
        <v>16</v>
      </c>
      <c r="C55" s="4218">
        <v>44377</v>
      </c>
      <c r="D55" s="4219">
        <f t="shared" si="7"/>
        <v>7843750000</v>
      </c>
      <c r="E55" s="4219">
        <v>0</v>
      </c>
      <c r="F55" s="4219">
        <f t="shared" si="9"/>
        <v>7843750000</v>
      </c>
      <c r="G55" s="4219">
        <f>D55*$D$4/365*(C55-C54+1)</f>
        <v>4641780.8219178086</v>
      </c>
      <c r="H55" s="4219">
        <f t="shared" si="1"/>
        <v>4523339.2395565826</v>
      </c>
      <c r="I55" s="4217">
        <f t="shared" si="0"/>
        <v>-118441.58236122597</v>
      </c>
      <c r="J55" s="4219">
        <f>J54-E55+I55</f>
        <v>6879126651.9099417</v>
      </c>
      <c r="K55" s="4128">
        <f>(E56+G56)/((1+$D$3)
^((C56-$C$21)/365))</f>
        <v>277901957.14664859</v>
      </c>
      <c r="L55" s="4128">
        <f>E56+G56-K55</f>
        <v>184804207.23691303</v>
      </c>
      <c r="M55" s="4128">
        <f>E56/((1+$D$3)^((C56-$C$21)/365))</f>
        <v>195195445.88948101</v>
      </c>
      <c r="N55" s="4128">
        <f>E56-M55</f>
        <v>129804554.11051899</v>
      </c>
      <c r="O55" s="4113"/>
      <c r="P55" s="4113">
        <v>2021</v>
      </c>
      <c r="Q55" s="4113">
        <v>2</v>
      </c>
      <c r="R55" s="4113"/>
      <c r="S55" s="4201" t="s">
        <v>4816</v>
      </c>
      <c r="T55" s="4202">
        <f>G49</f>
        <v>5207671.2328767125</v>
      </c>
      <c r="U55" s="4203" t="s">
        <v>4817</v>
      </c>
      <c r="V55" s="4204">
        <f>T55</f>
        <v>5207671.2328767125</v>
      </c>
      <c r="W55" s="4115"/>
      <c r="X55" s="4145"/>
      <c r="Y55" s="4213"/>
      <c r="Z55" s="4160"/>
      <c r="AA55" s="4160"/>
      <c r="AB55" s="4160"/>
    </row>
    <row r="56" spans="1:28" ht="15" customHeight="1" thickBot="1">
      <c r="A56" s="4154">
        <f t="shared" ref="A56:A58" si="11">E58/$D$26</f>
        <v>2.6499999999999999E-2</v>
      </c>
      <c r="B56" s="4114">
        <v>17</v>
      </c>
      <c r="C56" s="4132">
        <v>44467</v>
      </c>
      <c r="D56" s="4128">
        <f t="shared" si="7"/>
        <v>7843750000</v>
      </c>
      <c r="E56" s="4128">
        <v>325000000</v>
      </c>
      <c r="F56" s="4128">
        <f t="shared" si="9"/>
        <v>7518750000</v>
      </c>
      <c r="G56" s="4140">
        <f>D56*$D$4/365*(C56-C54)-G55</f>
        <v>137706164.38356164</v>
      </c>
      <c r="H56" s="4140">
        <f>J54*$I$5/365*(C56-C54)-H55</f>
        <v>203550265.78004622</v>
      </c>
      <c r="I56" s="4217">
        <f t="shared" si="0"/>
        <v>65844101.396484584</v>
      </c>
      <c r="J56" s="4128">
        <f t="shared" si="2"/>
        <v>6619970753.306426</v>
      </c>
      <c r="K56" s="4128">
        <f t="shared" ref="K56:K58" si="12">(E58+G58)/((1+$D$3)
^((C58-$C$21)/365))</f>
        <v>269611655.44374621</v>
      </c>
      <c r="L56" s="4128">
        <f t="shared" ref="L56:L58" si="13">E58+G58-K56</f>
        <v>192155604.83022642</v>
      </c>
      <c r="M56" s="4128">
        <f t="shared" ref="M56:M58" si="14">E58/((1+$D$3)^((C58-$C$21)/365))</f>
        <v>193406654.28023806</v>
      </c>
      <c r="N56" s="4128">
        <f t="shared" ref="N56:N58" si="15">E58-M56</f>
        <v>137843345.71976194</v>
      </c>
      <c r="O56" s="4113"/>
      <c r="P56" s="4113">
        <v>2021</v>
      </c>
      <c r="Q56" s="4113">
        <v>3</v>
      </c>
      <c r="R56" s="4113"/>
      <c r="S56" s="4115"/>
      <c r="T56" s="4115"/>
      <c r="U56" s="4115"/>
      <c r="V56" s="4205"/>
      <c r="W56" s="4115"/>
      <c r="X56" s="4115"/>
      <c r="Y56" s="4113"/>
      <c r="Z56" s="4113"/>
      <c r="AA56" s="4113"/>
      <c r="AB56" s="4113"/>
    </row>
    <row r="57" spans="1:28" ht="15" customHeight="1">
      <c r="A57" s="4154">
        <f t="shared" si="11"/>
        <v>0</v>
      </c>
      <c r="B57" s="4114"/>
      <c r="C57" s="4218">
        <v>44469</v>
      </c>
      <c r="D57" s="4219">
        <f>D56-E56</f>
        <v>7518750000</v>
      </c>
      <c r="E57" s="4219"/>
      <c r="F57" s="4219">
        <f t="shared" si="9"/>
        <v>7518750000</v>
      </c>
      <c r="G57" s="4220">
        <f>D57*$D$4/365*(C57-C56+1)</f>
        <v>4449452.0547945201</v>
      </c>
      <c r="H57" s="4220">
        <f>J56*$I$5/365*(C57-C56)</f>
        <v>4352857.4816261427</v>
      </c>
      <c r="I57" s="4217">
        <f>H57-G57</f>
        <v>-96594.573168377392</v>
      </c>
      <c r="J57" s="4219">
        <f t="shared" si="2"/>
        <v>6619874158.7332573</v>
      </c>
      <c r="K57" s="4128">
        <f t="shared" si="12"/>
        <v>3308174.9939330886</v>
      </c>
      <c r="L57" s="4128">
        <f t="shared" si="13"/>
        <v>2363057.8827792392</v>
      </c>
      <c r="M57" s="4128">
        <f t="shared" si="14"/>
        <v>0</v>
      </c>
      <c r="N57" s="4128">
        <f t="shared" si="15"/>
        <v>0</v>
      </c>
      <c r="O57" s="4113"/>
      <c r="P57" s="4113">
        <v>2021</v>
      </c>
      <c r="Q57" s="4113">
        <v>3</v>
      </c>
      <c r="R57" s="4192" t="s">
        <v>4815</v>
      </c>
      <c r="S57" s="4193" t="s">
        <v>4816</v>
      </c>
      <c r="T57" s="4194">
        <f>V57+V58</f>
        <v>65869764.197324358</v>
      </c>
      <c r="U57" s="4195" t="s">
        <v>4817</v>
      </c>
      <c r="V57" s="4196">
        <f>-G49</f>
        <v>-5207671.2328767125</v>
      </c>
      <c r="W57" s="4115"/>
      <c r="X57" s="4115"/>
      <c r="Y57" s="4113"/>
      <c r="Z57" s="4113"/>
      <c r="AA57" s="4113"/>
      <c r="AB57" s="4113"/>
    </row>
    <row r="58" spans="1:28" ht="15" customHeight="1">
      <c r="A58" s="4154">
        <f t="shared" si="11"/>
        <v>2.35E-2</v>
      </c>
      <c r="B58" s="4114">
        <v>18</v>
      </c>
      <c r="C58" s="4132">
        <v>44558</v>
      </c>
      <c r="D58" s="4128">
        <f>D57-E57</f>
        <v>7518750000</v>
      </c>
      <c r="E58" s="4128">
        <v>331250000</v>
      </c>
      <c r="F58" s="4128">
        <f t="shared" si="9"/>
        <v>7187500000</v>
      </c>
      <c r="G58" s="4128">
        <f>D58*$D$4/365*(C58-C56)-G57</f>
        <v>130517260.2739726</v>
      </c>
      <c r="H58" s="4128">
        <f>J56*$I$5/365*(C58-C56)-H57</f>
        <v>193702157.93236333</v>
      </c>
      <c r="I58" s="4217">
        <f t="shared" si="0"/>
        <v>63184897.658390731</v>
      </c>
      <c r="J58" s="4128">
        <f>J57-E58+I58</f>
        <v>6351809056.3916483</v>
      </c>
      <c r="K58" s="4128">
        <f t="shared" si="12"/>
        <v>236015365.52445343</v>
      </c>
      <c r="L58" s="4128">
        <f t="shared" si="13"/>
        <v>179666141.32486162</v>
      </c>
      <c r="M58" s="4128">
        <f t="shared" si="14"/>
        <v>166785176.82515094</v>
      </c>
      <c r="N58" s="4128">
        <f t="shared" si="15"/>
        <v>126964823.17484906</v>
      </c>
      <c r="O58" s="4113"/>
      <c r="P58" s="4113">
        <v>2021</v>
      </c>
      <c r="Q58" s="4113">
        <v>4</v>
      </c>
      <c r="R58" s="4113"/>
      <c r="S58" s="4197"/>
      <c r="T58" s="4115"/>
      <c r="U58" s="4198" t="s">
        <v>4818</v>
      </c>
      <c r="V58" s="4199">
        <f>I50+I51</f>
        <v>71077435.430201069</v>
      </c>
      <c r="W58" s="4115"/>
      <c r="X58" s="4115"/>
      <c r="Y58" s="4113"/>
      <c r="Z58" s="4113"/>
      <c r="AA58" s="4113"/>
      <c r="AB58" s="4113"/>
    </row>
    <row r="59" spans="1:28" ht="15" customHeight="1" thickBot="1">
      <c r="A59" s="4154">
        <f>E62/$D$26</f>
        <v>2.35E-2</v>
      </c>
      <c r="B59" s="4114">
        <v>19</v>
      </c>
      <c r="C59" s="4218">
        <v>44561</v>
      </c>
      <c r="D59" s="4219">
        <f t="shared" si="7"/>
        <v>7187500000</v>
      </c>
      <c r="E59" s="4219">
        <v>0</v>
      </c>
      <c r="F59" s="4219">
        <f t="shared" si="9"/>
        <v>7187500000</v>
      </c>
      <c r="G59" s="4219">
        <f>D59*$D$4/365*(C59-C58+1)</f>
        <v>5671232.8767123278</v>
      </c>
      <c r="H59" s="4219">
        <f t="shared" si="1"/>
        <v>6264797.9734273795</v>
      </c>
      <c r="I59" s="4217">
        <f t="shared" si="0"/>
        <v>593565.09671505168</v>
      </c>
      <c r="J59" s="4219">
        <f t="shared" si="2"/>
        <v>6352402621.4883633</v>
      </c>
      <c r="K59" s="4128">
        <f>(E62+G62)/((1+$D$3)
^((C62-$C$21)/365))</f>
        <v>228119945.91496629</v>
      </c>
      <c r="L59" s="4128">
        <f>E62+G62-K59</f>
        <v>185297999.29051316</v>
      </c>
      <c r="M59" s="4128">
        <f>E62/((1+$D$3)^((C62-$C$21)/365))</f>
        <v>162088353.66160876</v>
      </c>
      <c r="N59" s="4128">
        <f>E62-M59</f>
        <v>131661646.33839124</v>
      </c>
      <c r="O59" s="4113"/>
      <c r="P59" s="4113">
        <v>2021</v>
      </c>
      <c r="Q59" s="4113">
        <v>4</v>
      </c>
      <c r="R59" s="4113"/>
      <c r="S59" s="4201" t="s">
        <v>4816</v>
      </c>
      <c r="T59" s="4202">
        <f>G51</f>
        <v>6696985.3013698626</v>
      </c>
      <c r="U59" s="4203" t="s">
        <v>4817</v>
      </c>
      <c r="V59" s="4204">
        <f>T59</f>
        <v>6696985.3013698626</v>
      </c>
      <c r="W59" s="4115"/>
      <c r="X59" s="4115"/>
      <c r="Y59" s="4113"/>
      <c r="Z59" s="4113"/>
      <c r="AA59" s="4113"/>
      <c r="AB59" s="4113"/>
    </row>
    <row r="60" spans="1:28" ht="15" customHeight="1" thickBot="1">
      <c r="A60" s="4154">
        <f>E63/$D$26</f>
        <v>0</v>
      </c>
      <c r="B60" s="4114"/>
      <c r="C60" s="4132">
        <v>44648</v>
      </c>
      <c r="D60" s="4128">
        <f t="shared" si="7"/>
        <v>7187500000</v>
      </c>
      <c r="E60" s="4128">
        <v>293750000</v>
      </c>
      <c r="F60" s="4128">
        <f t="shared" si="9"/>
        <v>6893750000</v>
      </c>
      <c r="G60" s="4221">
        <f>D60*$D$4/365*(C60-C58)-G59</f>
        <v>121931506.84931505</v>
      </c>
      <c r="H60" s="4221">
        <f>J58*$I$5/365*(C60-C58)-H59</f>
        <v>181679141.22939399</v>
      </c>
      <c r="I60" s="4143">
        <f t="shared" si="0"/>
        <v>59747634.380078942</v>
      </c>
      <c r="J60" s="4128">
        <f t="shared" si="2"/>
        <v>6118400255.8684425</v>
      </c>
      <c r="K60" s="4128">
        <f>(E63+G63)/((1+$D$3)
^((C63-$C$21)/365))</f>
        <v>2153818.337957833</v>
      </c>
      <c r="L60" s="4128">
        <f>E63+G63-K60</f>
        <v>1751935.0866997009</v>
      </c>
      <c r="M60" s="4128">
        <f>E63/((1+$D$3)^((C63-$C$21)/365))</f>
        <v>0</v>
      </c>
      <c r="N60" s="4128">
        <f>E63-M60</f>
        <v>0</v>
      </c>
      <c r="O60" s="4113"/>
      <c r="P60" s="4113">
        <v>2022</v>
      </c>
      <c r="Q60" s="4113">
        <v>1</v>
      </c>
      <c r="R60" s="4113"/>
      <c r="S60" s="4115"/>
      <c r="T60" s="4205">
        <f>SUM(T57:T59)</f>
        <v>72566749.498694226</v>
      </c>
      <c r="U60" s="4115"/>
      <c r="V60" s="4205"/>
      <c r="W60" s="4115"/>
      <c r="X60" s="4115"/>
      <c r="Y60" s="4113"/>
      <c r="Z60" s="4113"/>
      <c r="AA60" s="4113"/>
      <c r="AB60" s="4113"/>
    </row>
    <row r="61" spans="1:28" ht="15" customHeight="1">
      <c r="A61" s="4154">
        <f>E64/$D$26</f>
        <v>2.4E-2</v>
      </c>
      <c r="B61" s="4114"/>
      <c r="C61" s="4218">
        <v>44651</v>
      </c>
      <c r="D61" s="4219">
        <f t="shared" si="7"/>
        <v>6893750000</v>
      </c>
      <c r="E61" s="4219">
        <v>0</v>
      </c>
      <c r="F61" s="4219">
        <f t="shared" si="9"/>
        <v>6893750000</v>
      </c>
      <c r="G61" s="4220">
        <f>D61*$D$4/365*(C61-C60+1)</f>
        <v>5439452.0547945201</v>
      </c>
      <c r="H61" s="4220">
        <f t="shared" si="1"/>
        <v>6034586.5537332576</v>
      </c>
      <c r="I61" s="4143">
        <f t="shared" si="0"/>
        <v>595134.49893873744</v>
      </c>
      <c r="J61" s="4219">
        <f t="shared" si="2"/>
        <v>6118995390.3673811</v>
      </c>
      <c r="K61" s="4128">
        <f>(E64+G64)/((1+$D$3)
^((C64-$C$21)/365))</f>
        <v>223011164.22409156</v>
      </c>
      <c r="L61" s="4128">
        <f>E64+G64-K61</f>
        <v>192859520.70741525</v>
      </c>
      <c r="M61" s="4128">
        <f>E64/((1+$D$3)^((C64-$C$21)/365))</f>
        <v>160875367.49133047</v>
      </c>
      <c r="N61" s="4128">
        <f>E64-M61</f>
        <v>139124632.50866953</v>
      </c>
      <c r="O61" s="4113"/>
      <c r="P61" s="4113">
        <v>2022</v>
      </c>
      <c r="Q61" s="4113">
        <v>1</v>
      </c>
      <c r="R61" s="4192" t="s">
        <v>4815</v>
      </c>
      <c r="S61" s="4193" t="s">
        <v>4816</v>
      </c>
      <c r="T61" s="4222">
        <f>H51</f>
        <v>7286277.9776005726</v>
      </c>
      <c r="U61" s="4195" t="s">
        <v>4817</v>
      </c>
      <c r="V61" s="4223">
        <f>G51</f>
        <v>6696985.3013698626</v>
      </c>
      <c r="W61" s="4115"/>
      <c r="X61" s="4198" t="s">
        <v>4822</v>
      </c>
      <c r="Y61" s="4113"/>
      <c r="Z61" s="4113"/>
      <c r="AA61" s="4113"/>
      <c r="AB61" s="4113"/>
    </row>
    <row r="62" spans="1:28" ht="15" customHeight="1">
      <c r="A62" s="4154">
        <f t="shared" ref="A62:A103" si="16">E66/$D$26</f>
        <v>2.4500000000000001E-2</v>
      </c>
      <c r="B62" s="4114">
        <v>20</v>
      </c>
      <c r="C62" s="4132">
        <v>44740</v>
      </c>
      <c r="D62" s="4128">
        <f t="shared" si="7"/>
        <v>6893750000</v>
      </c>
      <c r="E62" s="4128">
        <v>293750000</v>
      </c>
      <c r="F62" s="4128">
        <f t="shared" si="9"/>
        <v>6600000000</v>
      </c>
      <c r="G62" s="4128">
        <f>D62*$D$4/365*(C62-C60)-G61</f>
        <v>119667945.20547944</v>
      </c>
      <c r="H62" s="4128">
        <f>J60*$I$5/365*(C62-C60)-H61</f>
        <v>179026067.76075333</v>
      </c>
      <c r="I62" s="4128">
        <f t="shared" si="0"/>
        <v>59358122.55527389</v>
      </c>
      <c r="J62" s="4128">
        <f>J61-E62+I62</f>
        <v>5884603512.9226551</v>
      </c>
      <c r="K62" s="4128">
        <f t="shared" ref="K62:K103" si="17">(E66+G66)/((1+$D$3)
^((C66-$C$21)/365))</f>
        <v>216662942.15069425</v>
      </c>
      <c r="L62" s="4128">
        <f t="shared" ref="L62:L103" si="18">E66+G66-K62</f>
        <v>198948153.73971671</v>
      </c>
      <c r="M62" s="4128">
        <f t="shared" ref="M62:M103" si="19">E66/((1+$D$3)^((C66-$C$21)/365))</f>
        <v>159651719.33510214</v>
      </c>
      <c r="N62" s="4128">
        <f t="shared" ref="N62:N103" si="20">E66-M62</f>
        <v>146598280.66489786</v>
      </c>
      <c r="O62" s="4113"/>
      <c r="P62" s="4113">
        <v>2022</v>
      </c>
      <c r="Q62" s="4113">
        <v>2</v>
      </c>
      <c r="R62" s="2198"/>
      <c r="S62" s="4224"/>
      <c r="T62" s="4211"/>
      <c r="U62" s="4198" t="s">
        <v>4818</v>
      </c>
      <c r="V62" s="4225">
        <f>I51</f>
        <v>589292.67623071</v>
      </c>
      <c r="W62" s="4115"/>
      <c r="X62" s="4226">
        <f>I50+I51</f>
        <v>71077435.430201069</v>
      </c>
      <c r="Y62" s="4113" t="s">
        <v>4823</v>
      </c>
      <c r="Z62" s="4113"/>
      <c r="AA62" s="4113"/>
      <c r="AB62" s="4113"/>
    </row>
    <row r="63" spans="1:28" ht="15" customHeight="1">
      <c r="A63" s="4154">
        <f t="shared" si="16"/>
        <v>0</v>
      </c>
      <c r="B63" s="4114">
        <v>21</v>
      </c>
      <c r="C63" s="4218">
        <v>44742</v>
      </c>
      <c r="D63" s="4219">
        <f t="shared" si="7"/>
        <v>6600000000</v>
      </c>
      <c r="E63" s="4219">
        <v>0</v>
      </c>
      <c r="F63" s="4219">
        <f t="shared" si="9"/>
        <v>6600000000</v>
      </c>
      <c r="G63" s="4219">
        <f>D63*$D$4/365*(C63-C62+1)</f>
        <v>3905753.4246575339</v>
      </c>
      <c r="H63" s="4219">
        <f t="shared" si="1"/>
        <v>3869328.3372642114</v>
      </c>
      <c r="I63" s="4219">
        <f t="shared" si="0"/>
        <v>-36425.087393322494</v>
      </c>
      <c r="J63" s="4219">
        <f t="shared" si="2"/>
        <v>5884567087.8352613</v>
      </c>
      <c r="K63" s="4128">
        <f t="shared" si="17"/>
        <v>2463152.0335262669</v>
      </c>
      <c r="L63" s="4128">
        <f t="shared" si="18"/>
        <v>2266163.0349668832</v>
      </c>
      <c r="M63" s="4128">
        <f t="shared" si="19"/>
        <v>0</v>
      </c>
      <c r="N63" s="4128">
        <f t="shared" si="20"/>
        <v>0</v>
      </c>
      <c r="O63" s="4157"/>
      <c r="P63" s="4113">
        <v>2022</v>
      </c>
      <c r="Q63" s="4113">
        <v>2</v>
      </c>
      <c r="R63" s="2198"/>
      <c r="S63" s="4227" t="s">
        <v>4816</v>
      </c>
      <c r="T63" s="4228">
        <f>I50</f>
        <v>70488142.753970355</v>
      </c>
      <c r="U63" s="4151" t="s">
        <v>4818</v>
      </c>
      <c r="V63" s="4225">
        <f>T63</f>
        <v>70488142.753970355</v>
      </c>
      <c r="W63" s="4229"/>
      <c r="X63" s="2334">
        <f>I58+I59</f>
        <v>63778462.755105779</v>
      </c>
      <c r="Y63" s="4113" t="s">
        <v>4824</v>
      </c>
      <c r="Z63" s="4113"/>
      <c r="AA63" s="4113"/>
      <c r="AB63" s="4113"/>
    </row>
    <row r="64" spans="1:28" ht="15" customHeight="1" thickBot="1">
      <c r="A64" s="4154">
        <f t="shared" si="16"/>
        <v>2.4500000000000001E-2</v>
      </c>
      <c r="B64" s="4114"/>
      <c r="C64" s="4132">
        <v>44832</v>
      </c>
      <c r="D64" s="4128">
        <f t="shared" si="7"/>
        <v>6600000000</v>
      </c>
      <c r="E64" s="4128">
        <v>300000000</v>
      </c>
      <c r="F64" s="4128">
        <f t="shared" si="9"/>
        <v>6300000000</v>
      </c>
      <c r="G64" s="4221">
        <f>D64*$D$4/365*(C64-C62)-G63</f>
        <v>115870684.93150683</v>
      </c>
      <c r="H64" s="4221">
        <f>J62*$I$5/365*(C64-C62)-H63</f>
        <v>174119775.17688951</v>
      </c>
      <c r="I64" s="4128">
        <f t="shared" si="0"/>
        <v>58249090.245382681</v>
      </c>
      <c r="J64" s="4128">
        <f t="shared" si="2"/>
        <v>5642816178.0806437</v>
      </c>
      <c r="K64" s="4128">
        <f t="shared" si="17"/>
        <v>206798549.77766809</v>
      </c>
      <c r="L64" s="4128">
        <f t="shared" si="18"/>
        <v>201131724.19493464</v>
      </c>
      <c r="M64" s="4128">
        <f t="shared" si="19"/>
        <v>155252159.2787309</v>
      </c>
      <c r="N64" s="4128">
        <f t="shared" si="20"/>
        <v>150997840.7212691</v>
      </c>
      <c r="O64" s="4113"/>
      <c r="P64" s="4113"/>
      <c r="Q64" s="4113"/>
      <c r="R64" s="2198"/>
      <c r="S64" s="4230" t="s">
        <v>4816</v>
      </c>
      <c r="T64" s="4231">
        <f>-G49</f>
        <v>-5207671.2328767125</v>
      </c>
      <c r="U64" s="4232" t="s">
        <v>4817</v>
      </c>
      <c r="V64" s="4233">
        <f>T64</f>
        <v>-5207671.2328767125</v>
      </c>
      <c r="W64" s="4229"/>
      <c r="X64" s="4234">
        <f>X63-X62</f>
        <v>-7298972.6750952899</v>
      </c>
      <c r="Y64" s="4235" t="s">
        <v>4825</v>
      </c>
      <c r="Z64" s="4113"/>
      <c r="AA64" s="4113"/>
      <c r="AB64" s="4113"/>
    </row>
    <row r="65" spans="1:28" ht="15" customHeight="1" thickBot="1">
      <c r="A65" s="4154">
        <f t="shared" si="16"/>
        <v>2.4500000000000001E-2</v>
      </c>
      <c r="B65" s="4114"/>
      <c r="C65" s="4218">
        <v>44834</v>
      </c>
      <c r="D65" s="4219">
        <f t="shared" si="7"/>
        <v>6300000000</v>
      </c>
      <c r="E65" s="4219">
        <v>0</v>
      </c>
      <c r="F65" s="4219">
        <f t="shared" si="9"/>
        <v>6300000000</v>
      </c>
      <c r="G65" s="4220">
        <f>D65*$D$4/365*(C65-C64+1)</f>
        <v>3728219.1780821914</v>
      </c>
      <c r="H65" s="4220">
        <f t="shared" ref="H65" si="21">J64*$I$5/365*(C65-C64)</f>
        <v>3710344.8842174094</v>
      </c>
      <c r="I65" s="4219">
        <f t="shared" si="0"/>
        <v>-17874.293864781968</v>
      </c>
      <c r="J65" s="4219">
        <f t="shared" si="2"/>
        <v>5642798303.7867785</v>
      </c>
      <c r="K65" s="4128">
        <f t="shared" si="17"/>
        <v>201731735.17578503</v>
      </c>
      <c r="L65" s="4128">
        <f t="shared" si="18"/>
        <v>207734703.1803793</v>
      </c>
      <c r="M65" s="4128">
        <f t="shared" si="19"/>
        <v>150880116.44032729</v>
      </c>
      <c r="N65" s="4128">
        <f t="shared" si="20"/>
        <v>155369883.55967271</v>
      </c>
      <c r="O65" s="4113"/>
      <c r="P65" s="4113"/>
      <c r="Q65" s="4113"/>
      <c r="R65" s="4115"/>
      <c r="S65" s="4115"/>
      <c r="T65" s="4115"/>
      <c r="U65" s="4115"/>
      <c r="V65" s="4205"/>
      <c r="W65" s="4115"/>
      <c r="X65" s="4145"/>
      <c r="Y65" s="4113"/>
      <c r="Z65" s="4160"/>
      <c r="AA65" s="4160"/>
      <c r="AB65" s="4160"/>
    </row>
    <row r="66" spans="1:28" ht="15" customHeight="1">
      <c r="A66" s="4154">
        <f t="shared" si="16"/>
        <v>0</v>
      </c>
      <c r="B66" s="4114">
        <v>22</v>
      </c>
      <c r="C66" s="4132">
        <v>44923</v>
      </c>
      <c r="D66" s="4128">
        <f>D65-E65</f>
        <v>6300000000</v>
      </c>
      <c r="E66" s="4128">
        <v>306250000</v>
      </c>
      <c r="F66" s="4128">
        <f t="shared" si="9"/>
        <v>5993750000</v>
      </c>
      <c r="G66" s="4128">
        <f>D66*$D$4/365*(C66-C64)-G65</f>
        <v>109361095.89041094</v>
      </c>
      <c r="H66" s="4128">
        <f>J64*$I$5/365*(C66-C64)-H65</f>
        <v>165110347.34767473</v>
      </c>
      <c r="I66" s="4128">
        <f t="shared" si="0"/>
        <v>55749251.457263783</v>
      </c>
      <c r="J66" s="4128">
        <f t="shared" si="2"/>
        <v>5392297555.2440424</v>
      </c>
      <c r="K66" s="4128">
        <f t="shared" si="17"/>
        <v>1045295.3581471487</v>
      </c>
      <c r="L66" s="4128">
        <f t="shared" si="18"/>
        <v>1077718.3404829882</v>
      </c>
      <c r="M66" s="4128">
        <f t="shared" si="19"/>
        <v>0</v>
      </c>
      <c r="N66" s="4128">
        <f t="shared" si="20"/>
        <v>0</v>
      </c>
      <c r="O66" s="4152"/>
      <c r="P66" s="4152"/>
      <c r="Q66" s="4152"/>
      <c r="R66" s="4192" t="s">
        <v>4826</v>
      </c>
      <c r="S66" s="4193" t="s">
        <v>4816</v>
      </c>
      <c r="T66" s="4222">
        <f>H53</f>
        <v>7038870.3423046563</v>
      </c>
      <c r="U66" s="4195" t="s">
        <v>4817</v>
      </c>
      <c r="V66" s="4223">
        <f>G53</f>
        <v>6445479.4520547949</v>
      </c>
      <c r="W66" s="4115"/>
      <c r="X66" s="4198" t="s">
        <v>4822</v>
      </c>
      <c r="Y66" s="4113"/>
      <c r="Z66" s="4113"/>
      <c r="AA66" s="4113"/>
      <c r="AB66" s="4113"/>
    </row>
    <row r="67" spans="1:28" ht="15" customHeight="1">
      <c r="A67" s="4154">
        <f t="shared" si="16"/>
        <v>2.5000000000000001E-2</v>
      </c>
      <c r="B67" s="4114">
        <v>23</v>
      </c>
      <c r="C67" s="4218">
        <v>44926</v>
      </c>
      <c r="D67" s="4219">
        <f t="shared" si="7"/>
        <v>5993750000</v>
      </c>
      <c r="E67" s="4219">
        <v>0</v>
      </c>
      <c r="F67" s="4219">
        <f t="shared" si="9"/>
        <v>5993750000</v>
      </c>
      <c r="G67" s="4219">
        <f>D67*$D$4/365*(C67-C66+1)</f>
        <v>4729315.0684931502</v>
      </c>
      <c r="H67" s="4219">
        <f t="shared" si="1"/>
        <v>5318430.4654461788</v>
      </c>
      <c r="I67" s="4219">
        <f t="shared" si="0"/>
        <v>589115.39695302863</v>
      </c>
      <c r="J67" s="4219">
        <f t="shared" si="2"/>
        <v>5392886670.640995</v>
      </c>
      <c r="K67" s="4128">
        <f t="shared" si="17"/>
        <v>195365713.52402413</v>
      </c>
      <c r="L67" s="4128">
        <f t="shared" si="18"/>
        <v>212669902.91433203</v>
      </c>
      <c r="M67" s="4128">
        <f t="shared" si="19"/>
        <v>149623667.68166897</v>
      </c>
      <c r="N67" s="4128">
        <f t="shared" si="20"/>
        <v>162876332.31833103</v>
      </c>
      <c r="O67" s="4236"/>
      <c r="P67" s="4236"/>
      <c r="Q67" s="4236"/>
      <c r="R67" s="2198"/>
      <c r="S67" s="4224"/>
      <c r="T67" s="4211"/>
      <c r="U67" s="4198" t="s">
        <v>4827</v>
      </c>
      <c r="V67" s="4225">
        <f>I53</f>
        <v>593390.8902498614</v>
      </c>
      <c r="W67" s="4115"/>
      <c r="X67" s="2334">
        <f>I60+I61</f>
        <v>60342768.879017681</v>
      </c>
      <c r="Y67" s="4113" t="s">
        <v>4824</v>
      </c>
      <c r="Z67" s="4113"/>
      <c r="AA67" s="4113"/>
      <c r="AB67" s="4113"/>
    </row>
    <row r="68" spans="1:28" ht="15" customHeight="1">
      <c r="A68" s="4154">
        <f t="shared" si="16"/>
        <v>2.5499999999999998E-2</v>
      </c>
      <c r="B68" s="4114"/>
      <c r="C68" s="4132">
        <v>45013</v>
      </c>
      <c r="D68" s="4128">
        <f t="shared" si="7"/>
        <v>5993750000</v>
      </c>
      <c r="E68" s="4128">
        <v>306250000</v>
      </c>
      <c r="F68" s="4128">
        <f t="shared" si="9"/>
        <v>5687500000</v>
      </c>
      <c r="G68" s="4221">
        <f>D68*$D$4/365*(C68-C66)-G67</f>
        <v>101680273.97260273</v>
      </c>
      <c r="H68" s="4221">
        <f>J66*$I$5/365*(C68-C66)-H67</f>
        <v>154234483.49793917</v>
      </c>
      <c r="I68" s="4128">
        <f t="shared" si="0"/>
        <v>52554209.525336444</v>
      </c>
      <c r="J68" s="4128">
        <f t="shared" si="2"/>
        <v>5139190880.1663313</v>
      </c>
      <c r="K68" s="4128">
        <f t="shared" si="17"/>
        <v>190715165.65186891</v>
      </c>
      <c r="L68" s="4128">
        <f t="shared" si="18"/>
        <v>219022368.59470645</v>
      </c>
      <c r="M68" s="4128">
        <f t="shared" si="19"/>
        <v>148364389.32380116</v>
      </c>
      <c r="N68" s="4128">
        <f t="shared" si="20"/>
        <v>170385610.67619884</v>
      </c>
      <c r="O68" s="4113"/>
      <c r="P68" s="4113"/>
      <c r="Q68" s="4113"/>
      <c r="R68" s="2198"/>
      <c r="S68" s="4227" t="s">
        <v>4816</v>
      </c>
      <c r="T68" s="4228">
        <f>I52</f>
        <v>67316854.870964557</v>
      </c>
      <c r="U68" s="4198" t="s">
        <v>4827</v>
      </c>
      <c r="V68" s="4225">
        <f>T68</f>
        <v>67316854.870964557</v>
      </c>
      <c r="W68" s="4115"/>
      <c r="X68" s="4234"/>
      <c r="Y68" s="4235"/>
      <c r="Z68" s="4113"/>
      <c r="AA68" s="4113"/>
      <c r="AB68" s="4113"/>
    </row>
    <row r="69" spans="1:28" ht="15" customHeight="1" thickBot="1">
      <c r="A69" s="4154">
        <f t="shared" si="16"/>
        <v>0</v>
      </c>
      <c r="B69" s="4114">
        <v>24</v>
      </c>
      <c r="C69" s="4132">
        <v>45105</v>
      </c>
      <c r="D69" s="4128">
        <f t="shared" si="7"/>
        <v>5687500000</v>
      </c>
      <c r="E69" s="4128">
        <v>306250000</v>
      </c>
      <c r="F69" s="4128">
        <f t="shared" si="9"/>
        <v>5381250000</v>
      </c>
      <c r="G69" s="4128">
        <f>D69*$D$4/365*(C69-C68)</f>
        <v>103216438.35616437</v>
      </c>
      <c r="H69" s="4128">
        <f t="shared" si="1"/>
        <v>155442924.15626383</v>
      </c>
      <c r="I69" s="4128">
        <f t="shared" si="0"/>
        <v>52226485.800099462</v>
      </c>
      <c r="J69" s="4128">
        <f t="shared" si="2"/>
        <v>4885167365.9664307</v>
      </c>
      <c r="K69" s="4128">
        <f t="shared" si="17"/>
        <v>1307162.0913805042</v>
      </c>
      <c r="L69" s="4128">
        <f t="shared" si="18"/>
        <v>1503796.8127290846</v>
      </c>
      <c r="M69" s="4128">
        <f t="shared" si="19"/>
        <v>0</v>
      </c>
      <c r="N69" s="4128">
        <f t="shared" si="20"/>
        <v>0</v>
      </c>
      <c r="O69" s="4113"/>
      <c r="P69" s="4113"/>
      <c r="Q69" s="4113"/>
      <c r="R69" s="2198"/>
      <c r="S69" s="4230" t="s">
        <v>4816</v>
      </c>
      <c r="T69" s="4231">
        <f>-G51</f>
        <v>-6696985.3013698626</v>
      </c>
      <c r="U69" s="4232" t="s">
        <v>4817</v>
      </c>
      <c r="V69" s="4233">
        <f>T69</f>
        <v>-6696985.3013698626</v>
      </c>
      <c r="W69" s="4185">
        <f>V67+V68</f>
        <v>67910245.76121442</v>
      </c>
      <c r="X69" s="4115"/>
      <c r="Y69" s="4113"/>
      <c r="Z69" s="4113"/>
      <c r="AA69" s="4113"/>
      <c r="AB69" s="4113"/>
    </row>
    <row r="70" spans="1:28" ht="15" customHeight="1" thickBot="1">
      <c r="A70" s="4154">
        <f t="shared" si="16"/>
        <v>2.3E-2</v>
      </c>
      <c r="B70" s="4114">
        <v>25</v>
      </c>
      <c r="C70" s="4132">
        <v>45107</v>
      </c>
      <c r="D70" s="4128">
        <f t="shared" si="7"/>
        <v>5381250000</v>
      </c>
      <c r="E70" s="4128">
        <v>0</v>
      </c>
      <c r="F70" s="4128">
        <f t="shared" si="9"/>
        <v>5381250000</v>
      </c>
      <c r="G70" s="4128">
        <f>D70*$D$4/365*(C70-C69)</f>
        <v>2123013.6986301369</v>
      </c>
      <c r="H70" s="4128">
        <f t="shared" si="1"/>
        <v>3212164.8433751869</v>
      </c>
      <c r="I70" s="4128">
        <f t="shared" si="0"/>
        <v>1089151.14474505</v>
      </c>
      <c r="J70" s="4128">
        <f t="shared" si="2"/>
        <v>4886256517.1111755</v>
      </c>
      <c r="K70" s="4128">
        <f t="shared" si="17"/>
        <v>167400729.12014771</v>
      </c>
      <c r="L70" s="4128">
        <f t="shared" si="18"/>
        <v>202554065.40040028</v>
      </c>
      <c r="M70" s="4128">
        <f t="shared" si="19"/>
        <v>130090784.96851151</v>
      </c>
      <c r="N70" s="4128">
        <f t="shared" si="20"/>
        <v>157409215.03148848</v>
      </c>
      <c r="O70" s="4113"/>
      <c r="P70" s="4113"/>
      <c r="Q70" s="4113"/>
      <c r="R70" s="4113"/>
      <c r="S70" s="4115"/>
      <c r="T70" s="4115"/>
      <c r="U70" s="4115"/>
      <c r="V70" s="4115"/>
      <c r="W70" s="4115"/>
      <c r="X70" s="4115"/>
      <c r="Y70" s="4113"/>
      <c r="Z70" s="4113"/>
      <c r="AA70" s="4113"/>
      <c r="AB70" s="4113"/>
    </row>
    <row r="71" spans="1:28" ht="15" customHeight="1">
      <c r="A71" s="4154">
        <f t="shared" si="16"/>
        <v>2.35E-2</v>
      </c>
      <c r="B71" s="4114"/>
      <c r="C71" s="4132">
        <v>45197</v>
      </c>
      <c r="D71" s="4128">
        <f t="shared" si="7"/>
        <v>5381250000</v>
      </c>
      <c r="E71" s="4128">
        <v>312500000</v>
      </c>
      <c r="F71" s="4128">
        <f t="shared" si="9"/>
        <v>5068750000</v>
      </c>
      <c r="G71" s="4221">
        <f>D71*$D$4/365*(C71-C69)-G70</f>
        <v>95535616.438356161</v>
      </c>
      <c r="H71" s="4221">
        <f>J69*$I$5/365*(C71-C69)-H70</f>
        <v>144547417.95188344</v>
      </c>
      <c r="I71" s="4128">
        <f t="shared" si="0"/>
        <v>49011801.513527274</v>
      </c>
      <c r="J71" s="4128">
        <f t="shared" si="2"/>
        <v>4622768318.6247025</v>
      </c>
      <c r="K71" s="4128">
        <f t="shared" si="17"/>
        <v>164788743.59943944</v>
      </c>
      <c r="L71" s="4128">
        <f t="shared" si="18"/>
        <v>209946461.88001263</v>
      </c>
      <c r="M71" s="4128">
        <f t="shared" si="19"/>
        <v>129175729.22032176</v>
      </c>
      <c r="N71" s="4128">
        <f t="shared" si="20"/>
        <v>164574270.77967823</v>
      </c>
      <c r="O71" s="4113"/>
      <c r="P71" s="4113"/>
      <c r="Q71" s="4113"/>
      <c r="R71" s="4192" t="s">
        <v>4828</v>
      </c>
      <c r="S71" s="4193" t="s">
        <v>4816</v>
      </c>
      <c r="T71" s="4222">
        <f>H55</f>
        <v>4523339.2395565826</v>
      </c>
      <c r="U71" s="4195" t="s">
        <v>4817</v>
      </c>
      <c r="V71" s="4223">
        <f>G55</f>
        <v>4641780.8219178086</v>
      </c>
      <c r="W71" s="4115"/>
      <c r="X71" s="4198" t="s">
        <v>4822</v>
      </c>
      <c r="Y71" s="4113"/>
      <c r="Z71" s="4113"/>
      <c r="AA71" s="4113"/>
      <c r="AB71" s="4113"/>
    </row>
    <row r="72" spans="1:28" ht="15" customHeight="1">
      <c r="A72" s="4154">
        <f t="shared" si="16"/>
        <v>0</v>
      </c>
      <c r="B72" s="4114">
        <v>26</v>
      </c>
      <c r="C72" s="4132">
        <v>45288</v>
      </c>
      <c r="D72" s="4128">
        <f t="shared" si="7"/>
        <v>5068750000</v>
      </c>
      <c r="E72" s="4128">
        <v>318750000</v>
      </c>
      <c r="F72" s="4128">
        <f t="shared" si="9"/>
        <v>4750000000</v>
      </c>
      <c r="G72" s="4128">
        <f>D72*$D$4/365*(C72-C71)</f>
        <v>90987534.246575341</v>
      </c>
      <c r="H72" s="4128">
        <f t="shared" si="1"/>
        <v>138303095.99830616</v>
      </c>
      <c r="I72" s="4128">
        <f t="shared" si="0"/>
        <v>47315561.751730815</v>
      </c>
      <c r="J72" s="4128">
        <f t="shared" si="2"/>
        <v>4351333880.3764334</v>
      </c>
      <c r="K72" s="4128">
        <f t="shared" si="17"/>
        <v>722784.51182917005</v>
      </c>
      <c r="L72" s="4128">
        <f t="shared" si="18"/>
        <v>921873.02241740527</v>
      </c>
      <c r="M72" s="4128">
        <f t="shared" si="19"/>
        <v>0</v>
      </c>
      <c r="N72" s="4128">
        <f t="shared" si="20"/>
        <v>0</v>
      </c>
      <c r="O72" s="4152"/>
      <c r="P72" s="4152"/>
      <c r="Q72" s="4152"/>
      <c r="R72" s="2198"/>
      <c r="S72" s="4224"/>
      <c r="T72" s="4211"/>
      <c r="U72" s="4198" t="s">
        <v>4827</v>
      </c>
      <c r="V72" s="4225">
        <f>I55</f>
        <v>-118441.58236122597</v>
      </c>
      <c r="W72" s="4115"/>
      <c r="X72" s="2334">
        <f>I62+I63</f>
        <v>59321697.467880569</v>
      </c>
      <c r="Y72" s="4113" t="s">
        <v>4824</v>
      </c>
      <c r="Z72" s="4113"/>
      <c r="AA72" s="4113"/>
      <c r="AB72" s="4113"/>
    </row>
    <row r="73" spans="1:28" ht="15" customHeight="1">
      <c r="A73" s="4154">
        <f t="shared" si="16"/>
        <v>2.6499999999999999E-2</v>
      </c>
      <c r="B73" s="4114">
        <v>27</v>
      </c>
      <c r="C73" s="4132">
        <v>45291</v>
      </c>
      <c r="D73" s="4128">
        <f t="shared" si="7"/>
        <v>4750000000</v>
      </c>
      <c r="E73" s="4128">
        <v>0</v>
      </c>
      <c r="F73" s="4128">
        <f t="shared" si="9"/>
        <v>4750000000</v>
      </c>
      <c r="G73" s="4128">
        <f>D73*$D$4/365*(C73-C72)</f>
        <v>2810958.9041095888</v>
      </c>
      <c r="H73" s="4128">
        <f t="shared" si="1"/>
        <v>4291726.5669466192</v>
      </c>
      <c r="I73" s="4128">
        <f t="shared" si="0"/>
        <v>1480767.6628370304</v>
      </c>
      <c r="J73" s="4128">
        <f t="shared" si="2"/>
        <v>4352814648.0392704</v>
      </c>
      <c r="K73" s="4128">
        <f t="shared" si="17"/>
        <v>173193148.63259917</v>
      </c>
      <c r="L73" s="4128">
        <f t="shared" si="18"/>
        <v>232066440.40849668</v>
      </c>
      <c r="M73" s="4128">
        <f t="shared" si="19"/>
        <v>141564153.04149848</v>
      </c>
      <c r="N73" s="4128">
        <f t="shared" si="20"/>
        <v>189685846.95850152</v>
      </c>
      <c r="O73" s="4152"/>
      <c r="P73" s="4152"/>
      <c r="Q73" s="4152"/>
      <c r="R73" s="2198"/>
      <c r="S73" s="4227" t="s">
        <v>4816</v>
      </c>
      <c r="T73" s="4228">
        <f>I54</f>
        <v>67019272.209832639</v>
      </c>
      <c r="U73" s="4198" t="s">
        <v>4827</v>
      </c>
      <c r="V73" s="4225">
        <f>T73</f>
        <v>67019272.209832639</v>
      </c>
      <c r="W73" s="4115"/>
      <c r="X73" s="4115"/>
      <c r="Y73" s="4113"/>
      <c r="Z73" s="4113"/>
      <c r="AA73" s="4113"/>
      <c r="AB73" s="4113"/>
    </row>
    <row r="74" spans="1:28" ht="15" customHeight="1" thickBot="1">
      <c r="A74" s="4154">
        <f t="shared" si="16"/>
        <v>2.7E-2</v>
      </c>
      <c r="B74" s="4114"/>
      <c r="C74" s="4132">
        <v>45379</v>
      </c>
      <c r="D74" s="4128">
        <f t="shared" si="7"/>
        <v>4750000000</v>
      </c>
      <c r="E74" s="4128">
        <v>287500000</v>
      </c>
      <c r="F74" s="4128">
        <f t="shared" si="9"/>
        <v>4462500000</v>
      </c>
      <c r="G74" s="4221">
        <f>D74*$D$4/365*(C74-C72)-G73</f>
        <v>82454794.520547956</v>
      </c>
      <c r="H74" s="4221">
        <f>J72*$I$5/365*(C74-C72)-H73</f>
        <v>125890645.96376748</v>
      </c>
      <c r="I74" s="4128">
        <f t="shared" si="0"/>
        <v>43435851.443219528</v>
      </c>
      <c r="J74" s="4128">
        <f t="shared" si="2"/>
        <v>4108750499.4824901</v>
      </c>
      <c r="K74" s="4128">
        <f t="shared" si="17"/>
        <v>168836013.00351012</v>
      </c>
      <c r="L74" s="4128">
        <f t="shared" si="18"/>
        <v>237549740.42114741</v>
      </c>
      <c r="M74" s="4128">
        <f t="shared" si="19"/>
        <v>140216909.44746408</v>
      </c>
      <c r="N74" s="4128">
        <f t="shared" si="20"/>
        <v>197283090.55253592</v>
      </c>
      <c r="O74" s="4113"/>
      <c r="P74" s="4113"/>
      <c r="Q74" s="4113"/>
      <c r="R74" s="2198"/>
      <c r="S74" s="4230" t="s">
        <v>4816</v>
      </c>
      <c r="T74" s="4231">
        <f>-G53</f>
        <v>-6445479.4520547949</v>
      </c>
      <c r="U74" s="4232" t="s">
        <v>4817</v>
      </c>
      <c r="V74" s="4233">
        <f>T74</f>
        <v>-6445479.4520547949</v>
      </c>
      <c r="W74" s="4115"/>
      <c r="X74" s="4115"/>
      <c r="Y74" s="4113"/>
      <c r="Z74" s="4236"/>
      <c r="AA74" s="4113"/>
      <c r="AB74" s="4113"/>
    </row>
    <row r="75" spans="1:28" ht="15" customHeight="1" thickBot="1">
      <c r="A75" s="4237">
        <f t="shared" si="16"/>
        <v>0</v>
      </c>
      <c r="B75" s="4114">
        <v>28</v>
      </c>
      <c r="C75" s="4132">
        <v>45471</v>
      </c>
      <c r="D75" s="4128">
        <f t="shared" si="7"/>
        <v>4462500000</v>
      </c>
      <c r="E75" s="4128">
        <v>293750000</v>
      </c>
      <c r="F75" s="4128">
        <f t="shared" si="9"/>
        <v>4168750000</v>
      </c>
      <c r="G75" s="4128">
        <f>D75*$D$4/365*(C75-C74)</f>
        <v>80985205.479452059</v>
      </c>
      <c r="H75" s="4128">
        <f t="shared" si="1"/>
        <v>124275631.54599094</v>
      </c>
      <c r="I75" s="4128">
        <f t="shared" si="0"/>
        <v>43290426.066538885</v>
      </c>
      <c r="J75" s="4128">
        <f t="shared" si="2"/>
        <v>3858290925.5490289</v>
      </c>
      <c r="K75" s="4187">
        <f t="shared" si="17"/>
        <v>859708.08829849376</v>
      </c>
      <c r="L75" s="4187">
        <f t="shared" si="18"/>
        <v>1211524.788413835</v>
      </c>
      <c r="M75" s="4187">
        <f t="shared" si="19"/>
        <v>0</v>
      </c>
      <c r="N75" s="4187">
        <f t="shared" si="20"/>
        <v>0</v>
      </c>
      <c r="O75" s="4113"/>
      <c r="P75" s="4113"/>
      <c r="Q75" s="4113"/>
      <c r="R75" s="4113"/>
      <c r="S75" s="4115"/>
      <c r="T75" s="4198"/>
      <c r="U75" s="4198"/>
      <c r="V75" s="4238"/>
      <c r="W75" s="4239"/>
      <c r="X75" s="4115"/>
      <c r="Y75" s="4113"/>
      <c r="Z75" s="4113"/>
      <c r="AA75" s="4113"/>
      <c r="AB75" s="4113"/>
    </row>
    <row r="76" spans="1:28" ht="15" customHeight="1">
      <c r="A76" s="4154">
        <f t="shared" si="16"/>
        <v>3.15E-2</v>
      </c>
      <c r="B76" s="4114">
        <v>29</v>
      </c>
      <c r="C76" s="4132">
        <v>45473</v>
      </c>
      <c r="D76" s="4128">
        <f t="shared" si="7"/>
        <v>4168750000</v>
      </c>
      <c r="E76" s="4128">
        <v>0</v>
      </c>
      <c r="F76" s="4128">
        <f t="shared" si="9"/>
        <v>4168750000</v>
      </c>
      <c r="G76" s="4128">
        <f>D76*$D$4/365*(C76-C75)</f>
        <v>1644657.5342465753</v>
      </c>
      <c r="H76" s="4128">
        <f t="shared" si="1"/>
        <v>2536958.4167993614</v>
      </c>
      <c r="I76" s="4128">
        <f t="shared" si="0"/>
        <v>892300.88255278603</v>
      </c>
      <c r="J76" s="4128">
        <f t="shared" si="2"/>
        <v>3859183226.4315815</v>
      </c>
      <c r="K76" s="4128">
        <f t="shared" si="17"/>
        <v>183345489.42264023</v>
      </c>
      <c r="L76" s="4128">
        <f t="shared" si="18"/>
        <v>270470264.00201726</v>
      </c>
      <c r="M76" s="4128">
        <f t="shared" si="19"/>
        <v>159078405.5321472</v>
      </c>
      <c r="N76" s="4128">
        <f t="shared" si="20"/>
        <v>234671594.4678528</v>
      </c>
      <c r="O76" s="4113"/>
      <c r="P76" s="4113"/>
      <c r="Q76" s="4113"/>
      <c r="R76" s="4192" t="s">
        <v>4829</v>
      </c>
      <c r="S76" s="4193" t="s">
        <v>4816</v>
      </c>
      <c r="T76" s="4222">
        <f>H57</f>
        <v>4352857.4816261427</v>
      </c>
      <c r="U76" s="4195" t="s">
        <v>4817</v>
      </c>
      <c r="V76" s="4223">
        <f>G57</f>
        <v>4449452.0547945201</v>
      </c>
      <c r="W76" s="4115"/>
      <c r="X76" s="4115"/>
      <c r="Y76" s="4113"/>
      <c r="Z76" s="4113"/>
      <c r="AA76" s="4113"/>
      <c r="AB76" s="4113"/>
    </row>
    <row r="77" spans="1:28" ht="15" customHeight="1">
      <c r="A77" s="4154">
        <f t="shared" si="16"/>
        <v>3.15E-2</v>
      </c>
      <c r="B77" s="4114"/>
      <c r="C77" s="4132">
        <v>45563</v>
      </c>
      <c r="D77" s="4128">
        <f t="shared" si="7"/>
        <v>4168750000</v>
      </c>
      <c r="E77" s="4128">
        <v>331250000</v>
      </c>
      <c r="F77" s="4128">
        <f t="shared" si="9"/>
        <v>3837500000</v>
      </c>
      <c r="G77" s="4221">
        <f>D77*$D$4/365*(C77-C75)-G76</f>
        <v>74009589.041095883</v>
      </c>
      <c r="H77" s="4221">
        <f>J75*$I$5/365*(C77-C75)-H76</f>
        <v>114163128.75597125</v>
      </c>
      <c r="I77" s="4128">
        <f t="shared" si="0"/>
        <v>40153539.71487537</v>
      </c>
      <c r="J77" s="4128">
        <f t="shared" si="2"/>
        <v>3568086766.1464567</v>
      </c>
      <c r="K77" s="4128">
        <f t="shared" si="17"/>
        <v>176732050.65723959</v>
      </c>
      <c r="L77" s="4128">
        <f t="shared" si="18"/>
        <v>273390004.13728094</v>
      </c>
      <c r="M77" s="4128">
        <f t="shared" si="19"/>
        <v>154598612.09878936</v>
      </c>
      <c r="N77" s="4128">
        <f t="shared" si="20"/>
        <v>239151387.90121064</v>
      </c>
      <c r="O77" s="4113"/>
      <c r="P77" s="4113"/>
      <c r="Q77" s="4113"/>
      <c r="R77" s="2198"/>
      <c r="S77" s="4224"/>
      <c r="T77" s="4211"/>
      <c r="U77" s="4198" t="s">
        <v>4827</v>
      </c>
      <c r="V77" s="4225">
        <f>I57</f>
        <v>-96594.573168377392</v>
      </c>
      <c r="W77" s="4115"/>
      <c r="X77" s="2334">
        <f>I64+I65</f>
        <v>58231215.951517902</v>
      </c>
      <c r="Y77" s="4113" t="s">
        <v>4824</v>
      </c>
      <c r="Z77" s="4113"/>
      <c r="AA77" s="4113"/>
      <c r="AB77" s="4113"/>
    </row>
    <row r="78" spans="1:28" ht="15" customHeight="1">
      <c r="A78" s="4154">
        <f t="shared" si="16"/>
        <v>0</v>
      </c>
      <c r="B78" s="4114">
        <v>30</v>
      </c>
      <c r="C78" s="4132">
        <v>45654</v>
      </c>
      <c r="D78" s="4128">
        <f t="shared" si="7"/>
        <v>3837500000</v>
      </c>
      <c r="E78" s="4128">
        <v>337500000</v>
      </c>
      <c r="F78" s="4128">
        <f t="shared" si="9"/>
        <v>3500000000</v>
      </c>
      <c r="G78" s="4128">
        <f>D78*$D$4/365*(C78-C77)</f>
        <v>68885753.424657539</v>
      </c>
      <c r="H78" s="4128">
        <f t="shared" si="1"/>
        <v>106749335.57895701</v>
      </c>
      <c r="I78" s="4128">
        <f t="shared" si="0"/>
        <v>37863582.154299468</v>
      </c>
      <c r="J78" s="4128">
        <f t="shared" si="2"/>
        <v>3268450348.300756</v>
      </c>
      <c r="K78" s="4128">
        <f t="shared" si="17"/>
        <v>419908.54322909057</v>
      </c>
      <c r="L78" s="4128">
        <f t="shared" si="18"/>
        <v>650228.44307227945</v>
      </c>
      <c r="M78" s="4128">
        <f t="shared" si="19"/>
        <v>0</v>
      </c>
      <c r="N78" s="4128">
        <f t="shared" si="20"/>
        <v>0</v>
      </c>
      <c r="O78" s="4113"/>
      <c r="P78" s="4113"/>
      <c r="Q78" s="4113"/>
      <c r="R78" s="2198"/>
      <c r="S78" s="4227" t="s">
        <v>4816</v>
      </c>
      <c r="T78" s="4228">
        <f>I56</f>
        <v>65844101.396484584</v>
      </c>
      <c r="U78" s="4198" t="s">
        <v>4827</v>
      </c>
      <c r="V78" s="4225">
        <f>T78</f>
        <v>65844101.396484584</v>
      </c>
      <c r="W78" s="4185"/>
      <c r="X78" s="4115"/>
      <c r="Y78" s="4113"/>
      <c r="Z78" s="4113"/>
      <c r="AA78" s="4113"/>
      <c r="AB78" s="4113"/>
    </row>
    <row r="79" spans="1:28" ht="15" customHeight="1" thickBot="1">
      <c r="A79" s="4154">
        <f t="shared" si="16"/>
        <v>3.2000000000000001E-2</v>
      </c>
      <c r="B79" s="4114">
        <v>31</v>
      </c>
      <c r="C79" s="4186">
        <v>45657</v>
      </c>
      <c r="D79" s="4187">
        <f t="shared" si="7"/>
        <v>3500000000</v>
      </c>
      <c r="E79" s="4187">
        <v>0</v>
      </c>
      <c r="F79" s="4187">
        <f t="shared" si="9"/>
        <v>3500000000</v>
      </c>
      <c r="G79" s="4187">
        <f>D79*$D$4/365*(C79-C78)</f>
        <v>2071232.8767123288</v>
      </c>
      <c r="H79" s="4187">
        <f t="shared" si="1"/>
        <v>3223677.0558582796</v>
      </c>
      <c r="I79" s="4187">
        <f t="shared" si="0"/>
        <v>1152444.1791459508</v>
      </c>
      <c r="J79" s="4187">
        <f t="shared" ref="J79:J107" si="22">J78-E79+I79</f>
        <v>3269602792.4799018</v>
      </c>
      <c r="K79" s="4128">
        <f t="shared" si="17"/>
        <v>171004980.70427352</v>
      </c>
      <c r="L79" s="4128">
        <f t="shared" si="18"/>
        <v>277151183.67928815</v>
      </c>
      <c r="M79" s="4128">
        <f t="shared" si="19"/>
        <v>152629814.59999835</v>
      </c>
      <c r="N79" s="4128">
        <f t="shared" si="20"/>
        <v>247370185.40000165</v>
      </c>
      <c r="O79" s="4113"/>
      <c r="P79" s="4113"/>
      <c r="Q79" s="4113"/>
      <c r="R79" s="2198"/>
      <c r="S79" s="4230" t="s">
        <v>4816</v>
      </c>
      <c r="T79" s="4231">
        <f>-G55</f>
        <v>-4641780.8219178086</v>
      </c>
      <c r="U79" s="4232" t="s">
        <v>4817</v>
      </c>
      <c r="V79" s="4233">
        <f>T79</f>
        <v>-4641780.8219178086</v>
      </c>
      <c r="W79" s="4115"/>
      <c r="X79" s="4115"/>
      <c r="Y79" s="4113"/>
      <c r="Z79" s="4113"/>
      <c r="AA79" s="4113"/>
      <c r="AB79" s="4113"/>
    </row>
    <row r="80" spans="1:28" ht="15" customHeight="1" thickBot="1">
      <c r="A80" s="4154">
        <f t="shared" si="16"/>
        <v>3.2500000000000001E-2</v>
      </c>
      <c r="B80" s="4114"/>
      <c r="C80" s="4132">
        <v>45744</v>
      </c>
      <c r="D80" s="4128">
        <f t="shared" si="7"/>
        <v>3500000000</v>
      </c>
      <c r="E80" s="4128">
        <v>393750000</v>
      </c>
      <c r="F80" s="4128">
        <f t="shared" si="9"/>
        <v>3106250000</v>
      </c>
      <c r="G80" s="4221">
        <f>D80*$D$4/365*(C80-C78)-G79</f>
        <v>60065753.424657531</v>
      </c>
      <c r="H80" s="4221">
        <f>J78*$I$5/365*(C80-C78)-H79</f>
        <v>93486634.619890109</v>
      </c>
      <c r="I80" s="4128">
        <f t="shared" si="0"/>
        <v>33420881.195232578</v>
      </c>
      <c r="J80" s="4128">
        <f t="shared" si="22"/>
        <v>2909273673.6751342</v>
      </c>
      <c r="K80" s="4128">
        <f t="shared" si="17"/>
        <v>166094332.88033655</v>
      </c>
      <c r="L80" s="4128">
        <f t="shared" si="18"/>
        <v>281666626.02377307</v>
      </c>
      <c r="M80" s="4128">
        <f t="shared" si="19"/>
        <v>150696083.23553512</v>
      </c>
      <c r="N80" s="4128">
        <f t="shared" si="20"/>
        <v>255553916.76446488</v>
      </c>
      <c r="O80" s="4113"/>
      <c r="P80" s="4113"/>
      <c r="Q80" s="4113"/>
      <c r="R80" s="4113"/>
      <c r="S80" s="4115"/>
      <c r="T80" s="4115"/>
      <c r="U80" s="4115"/>
      <c r="V80" s="4115"/>
      <c r="W80" s="4115"/>
      <c r="X80" s="4115"/>
      <c r="Y80" s="4113"/>
      <c r="Z80" s="4113"/>
      <c r="AA80" s="4113"/>
      <c r="AB80" s="4113"/>
    </row>
    <row r="81" spans="1:28" ht="15" customHeight="1">
      <c r="A81" s="4154">
        <f t="shared" si="16"/>
        <v>0</v>
      </c>
      <c r="B81" s="4114">
        <v>32</v>
      </c>
      <c r="C81" s="4132">
        <v>45836</v>
      </c>
      <c r="D81" s="4128">
        <f t="shared" si="7"/>
        <v>3106250000</v>
      </c>
      <c r="E81" s="4128">
        <v>393750000</v>
      </c>
      <c r="F81" s="4128">
        <f t="shared" si="9"/>
        <v>2712500000</v>
      </c>
      <c r="G81" s="4128">
        <f>D81*$D$4/365*(C81-C80)</f>
        <v>56372054.794520542</v>
      </c>
      <c r="H81" s="4128">
        <f t="shared" si="1"/>
        <v>87995565.362667069</v>
      </c>
      <c r="I81" s="4128">
        <f t="shared" si="0"/>
        <v>31623510.568146527</v>
      </c>
      <c r="J81" s="4128">
        <f t="shared" si="22"/>
        <v>2547147184.2432809</v>
      </c>
      <c r="K81" s="4128">
        <f t="shared" si="17"/>
        <v>418065.95492831728</v>
      </c>
      <c r="L81" s="4128">
        <f t="shared" si="18"/>
        <v>710016.23685250455</v>
      </c>
      <c r="M81" s="4128">
        <f t="shared" si="19"/>
        <v>0</v>
      </c>
      <c r="N81" s="4128">
        <f t="shared" si="20"/>
        <v>0</v>
      </c>
      <c r="O81" s="4113"/>
      <c r="P81" s="4113"/>
      <c r="Q81" s="4113"/>
      <c r="R81" s="4192" t="s">
        <v>4830</v>
      </c>
      <c r="S81" s="4193" t="s">
        <v>4816</v>
      </c>
      <c r="T81" s="4222">
        <f>H59</f>
        <v>6264797.9734273795</v>
      </c>
      <c r="U81" s="4195" t="s">
        <v>4817</v>
      </c>
      <c r="V81" s="4223">
        <f>G59</f>
        <v>5671232.8767123278</v>
      </c>
      <c r="W81" s="4115"/>
      <c r="X81" s="4115"/>
      <c r="Y81" s="4113"/>
      <c r="Z81" s="4113"/>
      <c r="AA81" s="4113"/>
      <c r="AB81" s="4113"/>
    </row>
    <row r="82" spans="1:28" ht="15" customHeight="1">
      <c r="A82" s="4154">
        <f t="shared" si="16"/>
        <v>0.02</v>
      </c>
      <c r="B82" s="4114">
        <v>33</v>
      </c>
      <c r="C82" s="4132">
        <v>45838</v>
      </c>
      <c r="D82" s="4128">
        <f t="shared" si="7"/>
        <v>2712500000</v>
      </c>
      <c r="E82" s="4128">
        <v>0</v>
      </c>
      <c r="F82" s="4128">
        <f t="shared" si="9"/>
        <v>2712500000</v>
      </c>
      <c r="G82" s="4128">
        <f>D82*$D$4/365*(C82-C81)</f>
        <v>1070136.98630137</v>
      </c>
      <c r="H82" s="4128">
        <f t="shared" si="1"/>
        <v>1674836.5047079106</v>
      </c>
      <c r="I82" s="4128">
        <f t="shared" si="0"/>
        <v>604699.51840654062</v>
      </c>
      <c r="J82" s="4128">
        <f t="shared" si="22"/>
        <v>2547751883.7616873</v>
      </c>
      <c r="K82" s="4128">
        <f t="shared" si="17"/>
        <v>101981300.13149701</v>
      </c>
      <c r="L82" s="4128">
        <f t="shared" si="18"/>
        <v>180733083.43014681</v>
      </c>
      <c r="M82" s="4128">
        <f t="shared" si="19"/>
        <v>90180502.002351001</v>
      </c>
      <c r="N82" s="4128">
        <f t="shared" si="20"/>
        <v>159819497.99764901</v>
      </c>
      <c r="O82" s="4113"/>
      <c r="P82" s="4113"/>
      <c r="Q82" s="4113"/>
      <c r="R82" s="2198"/>
      <c r="S82" s="4224"/>
      <c r="T82" s="4211"/>
      <c r="U82" s="4198" t="s">
        <v>4827</v>
      </c>
      <c r="V82" s="4225">
        <f>I59</f>
        <v>593565.09671505168</v>
      </c>
      <c r="W82" s="4115"/>
      <c r="X82" s="2334">
        <f>I66+I67</f>
        <v>56338366.854216814</v>
      </c>
      <c r="Y82" s="4113" t="s">
        <v>4824</v>
      </c>
      <c r="Z82" s="4113"/>
      <c r="AA82" s="4113"/>
      <c r="AB82" s="4113"/>
    </row>
    <row r="83" spans="1:28" ht="15" customHeight="1">
      <c r="A83" s="4154">
        <f t="shared" si="16"/>
        <v>2.3E-2</v>
      </c>
      <c r="B83" s="4114"/>
      <c r="C83" s="4132">
        <v>45928</v>
      </c>
      <c r="D83" s="4128">
        <f t="shared" si="7"/>
        <v>2712500000</v>
      </c>
      <c r="E83" s="4128">
        <v>400000000</v>
      </c>
      <c r="F83" s="4128">
        <f t="shared" si="9"/>
        <v>2312500000</v>
      </c>
      <c r="G83" s="4221">
        <f>D83*$D$4/365*(C83-C81)-G82</f>
        <v>48156164.383561648</v>
      </c>
      <c r="H83" s="4221">
        <f>J81*$I$5/365*(C83-C81)-H82</f>
        <v>75367642.711855963</v>
      </c>
      <c r="I83" s="4128">
        <f t="shared" si="0"/>
        <v>27211478.328294314</v>
      </c>
      <c r="J83" s="4128">
        <f t="shared" si="22"/>
        <v>2174963362.0899816</v>
      </c>
      <c r="K83" s="4128">
        <f t="shared" si="17"/>
        <v>111324158.85722066</v>
      </c>
      <c r="L83" s="4128">
        <f t="shared" si="18"/>
        <v>206233375.38935471</v>
      </c>
      <c r="M83" s="4128">
        <f t="shared" si="19"/>
        <v>100787077.04853046</v>
      </c>
      <c r="N83" s="4128">
        <f t="shared" si="20"/>
        <v>186712922.95146954</v>
      </c>
      <c r="O83" s="4113"/>
      <c r="P83" s="4113"/>
      <c r="Q83" s="4113"/>
      <c r="R83" s="2198"/>
      <c r="S83" s="4227" t="s">
        <v>4816</v>
      </c>
      <c r="T83" s="4228">
        <f>I58</f>
        <v>63184897.658390731</v>
      </c>
      <c r="U83" s="4198" t="s">
        <v>4827</v>
      </c>
      <c r="V83" s="4225">
        <f>T83</f>
        <v>63184897.658390731</v>
      </c>
      <c r="W83" s="4185"/>
      <c r="X83" s="4115"/>
      <c r="Y83" s="4113"/>
      <c r="Z83" s="4113"/>
      <c r="AA83" s="4113"/>
      <c r="AB83" s="4113"/>
    </row>
    <row r="84" spans="1:28" ht="15" customHeight="1" thickBot="1">
      <c r="A84" s="4154">
        <f t="shared" si="16"/>
        <v>0</v>
      </c>
      <c r="B84" s="4114">
        <v>34</v>
      </c>
      <c r="C84" s="4132">
        <v>46019</v>
      </c>
      <c r="D84" s="4128">
        <f t="shared" si="7"/>
        <v>2312500000</v>
      </c>
      <c r="E84" s="4128">
        <v>406250000</v>
      </c>
      <c r="F84" s="4128">
        <f t="shared" si="9"/>
        <v>1906250000</v>
      </c>
      <c r="G84" s="4128">
        <f>D84*$D$4/365*(C84-C83)</f>
        <v>41510958.90410959</v>
      </c>
      <c r="H84" s="4128">
        <f t="shared" si="1"/>
        <v>65070136.750746839</v>
      </c>
      <c r="I84" s="4128">
        <f t="shared" si="0"/>
        <v>23559177.846637249</v>
      </c>
      <c r="J84" s="4128">
        <f t="shared" si="22"/>
        <v>1792272539.9366188</v>
      </c>
      <c r="K84" s="4128">
        <f t="shared" si="17"/>
        <v>189186.90538012426</v>
      </c>
      <c r="L84" s="4128">
        <f t="shared" si="18"/>
        <v>350813.09461987577</v>
      </c>
      <c r="M84" s="4128">
        <f t="shared" si="19"/>
        <v>0</v>
      </c>
      <c r="N84" s="4128">
        <f t="shared" si="20"/>
        <v>0</v>
      </c>
      <c r="O84" s="4113"/>
      <c r="P84" s="4113"/>
      <c r="Q84" s="4113"/>
      <c r="R84" s="2198"/>
      <c r="S84" s="4230" t="s">
        <v>4816</v>
      </c>
      <c r="T84" s="4231"/>
      <c r="U84" s="4232" t="s">
        <v>4817</v>
      </c>
      <c r="V84" s="4233">
        <f>T84</f>
        <v>0</v>
      </c>
      <c r="W84" s="4115"/>
      <c r="X84" s="4115"/>
      <c r="Y84" s="4113"/>
      <c r="Z84" s="4113"/>
      <c r="AA84" s="4113"/>
      <c r="AB84" s="4113"/>
    </row>
    <row r="85" spans="1:28" ht="15" customHeight="1">
      <c r="A85" s="4154">
        <f t="shared" si="16"/>
        <v>2.35E-2</v>
      </c>
      <c r="B85" s="4114">
        <v>35</v>
      </c>
      <c r="C85" s="4132">
        <v>46022</v>
      </c>
      <c r="D85" s="4128">
        <f t="shared" si="7"/>
        <v>1906250000</v>
      </c>
      <c r="E85" s="4128">
        <v>0</v>
      </c>
      <c r="F85" s="4128">
        <f t="shared" si="9"/>
        <v>1906250000</v>
      </c>
      <c r="G85" s="4128">
        <f>D85*$D$4/365*(C85-C84)</f>
        <v>1128082.1917808219</v>
      </c>
      <c r="H85" s="4128">
        <f t="shared" si="1"/>
        <v>1767720.86130735</v>
      </c>
      <c r="I85" s="4128">
        <f t="shared" si="0"/>
        <v>639638.6695265281</v>
      </c>
      <c r="J85" s="4128">
        <f t="shared" si="22"/>
        <v>1792912178.6061454</v>
      </c>
      <c r="K85" s="4128">
        <f t="shared" si="17"/>
        <v>108356947.61948544</v>
      </c>
      <c r="L85" s="4128">
        <f t="shared" si="18"/>
        <v>209693052.38051456</v>
      </c>
      <c r="M85" s="4128">
        <f t="shared" si="19"/>
        <v>100078142.94363731</v>
      </c>
      <c r="N85" s="4128">
        <f t="shared" si="20"/>
        <v>193671857.05636269</v>
      </c>
      <c r="O85" s="4113"/>
      <c r="P85" s="4113"/>
      <c r="Q85" s="4113"/>
      <c r="R85" s="4113"/>
      <c r="S85" s="4115"/>
      <c r="T85" s="4240"/>
      <c r="U85" s="4240"/>
      <c r="V85" s="4115"/>
      <c r="W85" s="4115"/>
      <c r="X85" s="4115"/>
      <c r="Y85" s="4113"/>
      <c r="Z85" s="4113"/>
      <c r="AA85" s="4113"/>
      <c r="AB85" s="4113"/>
    </row>
    <row r="86" spans="1:28" ht="15" customHeight="1">
      <c r="A86" s="4154">
        <f t="shared" si="16"/>
        <v>0.02</v>
      </c>
      <c r="B86" s="4114"/>
      <c r="C86" s="4132">
        <v>46109</v>
      </c>
      <c r="D86" s="4128">
        <f t="shared" si="7"/>
        <v>1906250000</v>
      </c>
      <c r="E86" s="4128">
        <v>250000000</v>
      </c>
      <c r="F86" s="4128">
        <f t="shared" si="9"/>
        <v>1656250000</v>
      </c>
      <c r="G86" s="4221">
        <f>D86*$D$4/365*(C86-C84)-G85</f>
        <v>32714383.561643839</v>
      </c>
      <c r="H86" s="4221">
        <f>J84*$I$5/365*(C86-C84)-H85</f>
        <v>51263904.977913149</v>
      </c>
      <c r="I86" s="4128">
        <f t="shared" si="0"/>
        <v>18549521.41626931</v>
      </c>
      <c r="J86" s="4128">
        <f t="shared" si="22"/>
        <v>1561461700.0224147</v>
      </c>
      <c r="K86" s="4128">
        <f t="shared" si="17"/>
        <v>89191211.12692304</v>
      </c>
      <c r="L86" s="4128">
        <f t="shared" si="18"/>
        <v>180105775.17444682</v>
      </c>
      <c r="M86" s="4128">
        <f t="shared" si="19"/>
        <v>82800045.733810484</v>
      </c>
      <c r="N86" s="4128">
        <f t="shared" si="20"/>
        <v>167199954.26618952</v>
      </c>
      <c r="O86" s="4113"/>
      <c r="P86" s="4113"/>
      <c r="Q86" s="4113"/>
      <c r="R86" s="4113"/>
      <c r="S86" s="4115"/>
      <c r="T86" s="4115"/>
      <c r="U86" s="4115"/>
      <c r="V86" s="4115"/>
      <c r="W86" s="4115"/>
      <c r="X86" s="4115"/>
      <c r="Y86" s="4113"/>
      <c r="Z86" s="4113"/>
      <c r="AA86" s="4113"/>
      <c r="AB86" s="4113"/>
    </row>
    <row r="87" spans="1:28" ht="15" customHeight="1">
      <c r="A87" s="4154">
        <f t="shared" si="16"/>
        <v>0</v>
      </c>
      <c r="B87" s="4114">
        <v>36</v>
      </c>
      <c r="C87" s="4132">
        <v>46201</v>
      </c>
      <c r="D87" s="4128">
        <f t="shared" si="7"/>
        <v>1656250000</v>
      </c>
      <c r="E87" s="4128">
        <v>287500000</v>
      </c>
      <c r="F87" s="4128">
        <f t="shared" si="9"/>
        <v>1368750000</v>
      </c>
      <c r="G87" s="4128">
        <f>D87*$D$4/365*(C87-C86)</f>
        <v>30057534.246575337</v>
      </c>
      <c r="H87" s="4128">
        <f t="shared" si="1"/>
        <v>47228868.95410262</v>
      </c>
      <c r="I87" s="4128">
        <f t="shared" si="0"/>
        <v>17171334.707527284</v>
      </c>
      <c r="J87" s="4128">
        <f t="shared" si="22"/>
        <v>1291133034.7299421</v>
      </c>
      <c r="K87" s="4128">
        <f t="shared" si="17"/>
        <v>161547.73433998207</v>
      </c>
      <c r="L87" s="4128">
        <f t="shared" si="18"/>
        <v>326671.4437422097</v>
      </c>
      <c r="M87" s="4128">
        <f t="shared" si="19"/>
        <v>0</v>
      </c>
      <c r="N87" s="4128">
        <f t="shared" si="20"/>
        <v>0</v>
      </c>
      <c r="O87" s="4113"/>
      <c r="P87" s="4113"/>
      <c r="Q87" s="4113"/>
      <c r="R87" s="4113"/>
      <c r="S87" s="4115"/>
      <c r="T87" s="4115"/>
      <c r="U87" s="4115"/>
      <c r="V87" s="4115"/>
      <c r="W87" s="4115"/>
      <c r="X87" s="4115"/>
      <c r="Y87" s="4113"/>
      <c r="Z87" s="4113"/>
      <c r="AA87" s="4113"/>
      <c r="AB87" s="4113"/>
    </row>
    <row r="88" spans="1:28" ht="15" customHeight="1">
      <c r="A88" s="4154">
        <f t="shared" si="16"/>
        <v>6.0000000000000001E-3</v>
      </c>
      <c r="B88" s="4114">
        <v>37</v>
      </c>
      <c r="C88" s="4132">
        <v>46203</v>
      </c>
      <c r="D88" s="4128">
        <f t="shared" si="7"/>
        <v>1368750000</v>
      </c>
      <c r="E88" s="4128">
        <v>0</v>
      </c>
      <c r="F88" s="4128">
        <f t="shared" si="9"/>
        <v>1368750000</v>
      </c>
      <c r="G88" s="4128">
        <f>D88*$D$4/365*(C88-C87)</f>
        <v>540000</v>
      </c>
      <c r="H88" s="4128">
        <f t="shared" si="1"/>
        <v>848964.18721968785</v>
      </c>
      <c r="I88" s="4128">
        <f t="shared" si="0"/>
        <v>308964.18721968785</v>
      </c>
      <c r="J88" s="4128">
        <f t="shared" si="22"/>
        <v>1291441998.9171617</v>
      </c>
      <c r="K88" s="4128">
        <f t="shared" si="17"/>
        <v>28715518.987887558</v>
      </c>
      <c r="L88" s="4128">
        <f t="shared" si="18"/>
        <v>60442837.176495999</v>
      </c>
      <c r="M88" s="4128">
        <f t="shared" si="19"/>
        <v>24155491.607772592</v>
      </c>
      <c r="N88" s="4128">
        <f t="shared" si="20"/>
        <v>50844508.392227411</v>
      </c>
      <c r="O88" s="4113"/>
      <c r="P88" s="4113"/>
      <c r="Q88" s="4113"/>
      <c r="R88" s="4113"/>
      <c r="S88" s="4115"/>
      <c r="T88" s="4115"/>
      <c r="U88" s="4115"/>
      <c r="V88" s="4115"/>
      <c r="W88" s="4115"/>
      <c r="X88" s="4145"/>
      <c r="Y88" s="4113"/>
      <c r="Z88" s="4113"/>
      <c r="AA88" s="4113"/>
      <c r="AB88" s="4113"/>
    </row>
    <row r="89" spans="1:28" ht="15" customHeight="1">
      <c r="A89" s="4154">
        <f t="shared" si="16"/>
        <v>6.0000000000000001E-3</v>
      </c>
      <c r="B89" s="4114"/>
      <c r="C89" s="4132">
        <v>46293</v>
      </c>
      <c r="D89" s="4128">
        <f t="shared" si="7"/>
        <v>1368750000</v>
      </c>
      <c r="E89" s="4128">
        <v>293750000</v>
      </c>
      <c r="F89" s="4128">
        <f t="shared" si="9"/>
        <v>1075000000</v>
      </c>
      <c r="G89" s="4221">
        <f>D89*$D$4/365*(C89-C87)-G88</f>
        <v>24300000</v>
      </c>
      <c r="H89" s="4221">
        <f>J87*$I$5/365*(C89-C87)-H88</f>
        <v>38203388.424885951</v>
      </c>
      <c r="I89" s="4128">
        <f t="shared" si="0"/>
        <v>13903388.424885951</v>
      </c>
      <c r="J89" s="4128">
        <f t="shared" si="22"/>
        <v>1011595387.3420477</v>
      </c>
      <c r="K89" s="4128">
        <f t="shared" si="17"/>
        <v>27735526.529231858</v>
      </c>
      <c r="L89" s="4128">
        <f t="shared" si="18"/>
        <v>60875432.374877721</v>
      </c>
      <c r="M89" s="4128">
        <f t="shared" si="19"/>
        <v>23475250.865340944</v>
      </c>
      <c r="N89" s="4128">
        <f t="shared" si="20"/>
        <v>51524749.134659052</v>
      </c>
      <c r="O89" s="4113"/>
      <c r="P89" s="4113"/>
      <c r="Q89" s="4113"/>
      <c r="R89" s="4113"/>
      <c r="S89" s="4115"/>
      <c r="T89" s="4115"/>
      <c r="U89" s="4115"/>
      <c r="V89" s="4115"/>
      <c r="W89" s="4115"/>
      <c r="X89" s="4145"/>
      <c r="Y89" s="4113"/>
      <c r="Z89" s="4113"/>
      <c r="AA89" s="4113"/>
      <c r="AB89" s="4113"/>
    </row>
    <row r="90" spans="1:28" ht="15" customHeight="1">
      <c r="A90" s="4154">
        <f t="shared" si="16"/>
        <v>0</v>
      </c>
      <c r="B90" s="4114">
        <v>38</v>
      </c>
      <c r="C90" s="4132">
        <v>46384</v>
      </c>
      <c r="D90" s="4128">
        <f t="shared" si="7"/>
        <v>1075000000</v>
      </c>
      <c r="E90" s="4128">
        <v>250000000</v>
      </c>
      <c r="F90" s="4128">
        <f t="shared" si="9"/>
        <v>825000000</v>
      </c>
      <c r="G90" s="4128">
        <f>D90*$D$4/365*(C90-C89)</f>
        <v>19296986.301369861</v>
      </c>
      <c r="H90" s="4128">
        <f t="shared" si="1"/>
        <v>30264716.79390455</v>
      </c>
      <c r="I90" s="4128">
        <f t="shared" si="0"/>
        <v>10967730.49253469</v>
      </c>
      <c r="J90" s="4128">
        <f t="shared" si="22"/>
        <v>772563117.83458233</v>
      </c>
      <c r="K90" s="4128">
        <f t="shared" si="17"/>
        <v>83301.474971678981</v>
      </c>
      <c r="L90" s="4128">
        <f t="shared" si="18"/>
        <v>182999.8948913347</v>
      </c>
      <c r="M90" s="4128">
        <f t="shared" si="19"/>
        <v>0</v>
      </c>
      <c r="N90" s="4128">
        <f t="shared" si="20"/>
        <v>0</v>
      </c>
      <c r="O90" s="4113"/>
      <c r="P90" s="4113"/>
      <c r="Q90" s="4113"/>
      <c r="R90" s="4113"/>
      <c r="S90" s="4115"/>
      <c r="T90" s="4115"/>
      <c r="U90" s="4115"/>
      <c r="V90" s="4115"/>
      <c r="W90" s="4115"/>
      <c r="X90" s="4145"/>
      <c r="Y90" s="4113"/>
      <c r="Z90" s="4152"/>
      <c r="AA90" s="4133"/>
      <c r="AB90" s="4241"/>
    </row>
    <row r="91" spans="1:28" ht="15" customHeight="1">
      <c r="A91" s="4154">
        <f t="shared" si="16"/>
        <v>6.0000000000000001E-3</v>
      </c>
      <c r="B91" s="4114">
        <v>39</v>
      </c>
      <c r="C91" s="4132">
        <v>46387</v>
      </c>
      <c r="D91" s="4128">
        <f t="shared" ref="D91:D107" si="23">D90-E90</f>
        <v>825000000</v>
      </c>
      <c r="E91" s="4128">
        <v>0</v>
      </c>
      <c r="F91" s="4128">
        <f t="shared" si="9"/>
        <v>825000000</v>
      </c>
      <c r="G91" s="4128">
        <f>D91*$D$4/365*(C91-C90)</f>
        <v>488219.17808219173</v>
      </c>
      <c r="H91" s="4128">
        <f t="shared" si="1"/>
        <v>761980.06142588938</v>
      </c>
      <c r="I91" s="4128">
        <f t="shared" si="0"/>
        <v>273760.88334369764</v>
      </c>
      <c r="J91" s="4128">
        <f t="shared" si="22"/>
        <v>772836878.71792603</v>
      </c>
      <c r="K91" s="4128">
        <f t="shared" si="17"/>
        <v>26459432.571241546</v>
      </c>
      <c r="L91" s="4128">
        <f t="shared" si="18"/>
        <v>60524129.072594076</v>
      </c>
      <c r="M91" s="4128">
        <f t="shared" si="19"/>
        <v>22814166.324537382</v>
      </c>
      <c r="N91" s="4128">
        <f t="shared" si="20"/>
        <v>52185833.675462618</v>
      </c>
      <c r="O91" s="4113"/>
      <c r="P91" s="4113"/>
      <c r="Q91" s="4113"/>
      <c r="R91" s="4113"/>
      <c r="S91" s="4115"/>
      <c r="T91" s="4115"/>
      <c r="U91" s="4115"/>
      <c r="V91" s="4115"/>
      <c r="W91" s="4115"/>
      <c r="X91" s="4145"/>
      <c r="Y91" s="4113"/>
      <c r="Z91" s="4152"/>
      <c r="AA91" s="4133"/>
      <c r="AB91" s="4241"/>
    </row>
    <row r="92" spans="1:28" ht="15" customHeight="1">
      <c r="A92" s="4154">
        <f t="shared" si="16"/>
        <v>6.0000000000000001E-3</v>
      </c>
      <c r="B92" s="4114"/>
      <c r="C92" s="4132">
        <v>46474</v>
      </c>
      <c r="D92" s="4128">
        <f t="shared" si="23"/>
        <v>825000000</v>
      </c>
      <c r="E92" s="4128">
        <v>75000000</v>
      </c>
      <c r="F92" s="4128">
        <f t="shared" si="9"/>
        <v>750000000</v>
      </c>
      <c r="G92" s="4221">
        <f>D92*$D$4/365*(C92-C90)-G91</f>
        <v>14158356.164383559</v>
      </c>
      <c r="H92" s="4221">
        <f>J90*$I$5/365*(C92-C90)-H91</f>
        <v>22097421.781350791</v>
      </c>
      <c r="I92" s="4128">
        <f t="shared" si="0"/>
        <v>7939065.6169672329</v>
      </c>
      <c r="J92" s="4128">
        <f t="shared" si="22"/>
        <v>705775944.33489323</v>
      </c>
      <c r="K92" s="4128">
        <f t="shared" si="17"/>
        <v>25363549.821446359</v>
      </c>
      <c r="L92" s="4128">
        <f t="shared" si="18"/>
        <v>60406861.137457758</v>
      </c>
      <c r="M92" s="4128">
        <f t="shared" si="19"/>
        <v>22178583.678699236</v>
      </c>
      <c r="N92" s="4128">
        <f t="shared" si="20"/>
        <v>52821416.32130076</v>
      </c>
      <c r="O92" s="4113"/>
      <c r="P92" s="4113"/>
      <c r="Q92" s="4113"/>
      <c r="R92" s="4113"/>
      <c r="S92" s="4115"/>
      <c r="T92" s="4115"/>
      <c r="U92" s="4115"/>
      <c r="V92" s="4115"/>
      <c r="W92" s="4115"/>
      <c r="X92" s="4145"/>
      <c r="Y92" s="4113"/>
      <c r="Z92" s="4152"/>
      <c r="AA92" s="4133"/>
      <c r="AB92" s="4241"/>
    </row>
    <row r="93" spans="1:28" ht="15" customHeight="1">
      <c r="A93" s="4154">
        <f t="shared" si="16"/>
        <v>0</v>
      </c>
      <c r="B93" s="4114">
        <v>40</v>
      </c>
      <c r="C93" s="4132">
        <v>46566</v>
      </c>
      <c r="D93" s="4128">
        <f t="shared" si="23"/>
        <v>750000000</v>
      </c>
      <c r="E93" s="4128">
        <v>75000000</v>
      </c>
      <c r="F93" s="4128">
        <f t="shared" si="9"/>
        <v>675000000</v>
      </c>
      <c r="G93" s="4128">
        <f>D93*$D$4/365*(C93-C92)</f>
        <v>13610958.904109588</v>
      </c>
      <c r="H93" s="4128">
        <f t="shared" si="1"/>
        <v>21347305.275225263</v>
      </c>
      <c r="I93" s="4128">
        <f t="shared" si="0"/>
        <v>7736346.3711156752</v>
      </c>
      <c r="J93" s="4128">
        <f t="shared" si="22"/>
        <v>638512290.70600891</v>
      </c>
      <c r="K93" s="4128">
        <f t="shared" si="17"/>
        <v>91788.485420444369</v>
      </c>
      <c r="L93" s="4128">
        <f t="shared" si="18"/>
        <v>218896.44608640499</v>
      </c>
      <c r="M93" s="4128">
        <f t="shared" si="19"/>
        <v>0</v>
      </c>
      <c r="N93" s="4128">
        <f t="shared" si="20"/>
        <v>0</v>
      </c>
      <c r="O93" s="4113"/>
      <c r="P93" s="4113"/>
      <c r="Q93" s="4113"/>
      <c r="R93" s="4113"/>
      <c r="S93" s="4115"/>
      <c r="T93" s="4115"/>
      <c r="U93" s="4115"/>
      <c r="V93" s="4115"/>
      <c r="W93" s="4115"/>
      <c r="X93" s="4145"/>
      <c r="Y93" s="4113"/>
      <c r="Z93" s="4152"/>
      <c r="AA93" s="4133"/>
      <c r="AB93" s="4241"/>
    </row>
    <row r="94" spans="1:28" ht="15" customHeight="1">
      <c r="A94" s="4154">
        <f t="shared" si="16"/>
        <v>6.0000000000000001E-3</v>
      </c>
      <c r="B94" s="4114">
        <v>41</v>
      </c>
      <c r="C94" s="4132">
        <v>46568</v>
      </c>
      <c r="D94" s="4128">
        <f t="shared" si="23"/>
        <v>675000000</v>
      </c>
      <c r="E94" s="4128">
        <v>0</v>
      </c>
      <c r="F94" s="4128">
        <f t="shared" si="9"/>
        <v>675000000</v>
      </c>
      <c r="G94" s="4128">
        <f>D94*$D$4/365*(C94-C93)</f>
        <v>266301.36986301368</v>
      </c>
      <c r="H94" s="4128">
        <f t="shared" si="1"/>
        <v>419843.69799847162</v>
      </c>
      <c r="I94" s="4128">
        <f t="shared" si="0"/>
        <v>153542.32813545794</v>
      </c>
      <c r="J94" s="4128">
        <f t="shared" si="22"/>
        <v>638665833.0341444</v>
      </c>
      <c r="K94" s="4128">
        <f t="shared" si="17"/>
        <v>24180599.622958884</v>
      </c>
      <c r="L94" s="4128">
        <f t="shared" si="18"/>
        <v>59932825.034575358</v>
      </c>
      <c r="M94" s="4128">
        <f t="shared" si="19"/>
        <v>21560707.807412677</v>
      </c>
      <c r="N94" s="4128">
        <f t="shared" si="20"/>
        <v>53439292.192587323</v>
      </c>
      <c r="O94" s="4113"/>
      <c r="P94" s="4113"/>
      <c r="Q94" s="4113"/>
      <c r="R94" s="4113"/>
      <c r="S94" s="4115"/>
      <c r="T94" s="4115"/>
      <c r="U94" s="4115"/>
      <c r="V94" s="4115"/>
      <c r="W94" s="4115"/>
      <c r="X94" s="4145"/>
      <c r="Y94" s="4113"/>
      <c r="Z94" s="4113"/>
      <c r="AA94" s="4113"/>
      <c r="AB94" s="4113"/>
    </row>
    <row r="95" spans="1:28" ht="15" customHeight="1">
      <c r="A95" s="4154">
        <f t="shared" si="16"/>
        <v>6.0000000000000001E-3</v>
      </c>
      <c r="B95" s="4114"/>
      <c r="C95" s="4132">
        <v>46658</v>
      </c>
      <c r="D95" s="4128">
        <f t="shared" si="23"/>
        <v>675000000</v>
      </c>
      <c r="E95" s="4128">
        <v>75000000</v>
      </c>
      <c r="F95" s="4128">
        <f t="shared" si="9"/>
        <v>600000000</v>
      </c>
      <c r="G95" s="4221">
        <f>D95*$D$4/365*(C95-C93)-G94</f>
        <v>11983561.643835617</v>
      </c>
      <c r="H95" s="4221">
        <f>J93*$I$5/365*(C95-C93)-H94</f>
        <v>18892966.409931224</v>
      </c>
      <c r="I95" s="4128">
        <f t="shared" si="0"/>
        <v>6909404.7660956066</v>
      </c>
      <c r="J95" s="4128">
        <f t="shared" si="22"/>
        <v>570575237.80024004</v>
      </c>
      <c r="K95" s="4128">
        <f t="shared" si="17"/>
        <v>23235120.567516841</v>
      </c>
      <c r="L95" s="4128">
        <f t="shared" si="18"/>
        <v>59931454.774948917</v>
      </c>
      <c r="M95" s="4128">
        <f t="shared" si="19"/>
        <v>20953538.550648425</v>
      </c>
      <c r="N95" s="4128">
        <f t="shared" si="20"/>
        <v>54046461.449351579</v>
      </c>
      <c r="O95" s="4113"/>
      <c r="P95" s="4113"/>
      <c r="Q95" s="4113"/>
      <c r="R95" s="4113"/>
      <c r="S95" s="4115"/>
      <c r="T95" s="4115"/>
      <c r="U95" s="4115"/>
      <c r="V95" s="4115"/>
      <c r="W95" s="4115"/>
      <c r="X95" s="4115"/>
      <c r="Y95" s="4113"/>
      <c r="Z95" s="4113"/>
      <c r="AA95" s="4113"/>
      <c r="AB95" s="4113"/>
    </row>
    <row r="96" spans="1:28" ht="15" customHeight="1">
      <c r="A96" s="4154">
        <f t="shared" si="16"/>
        <v>0</v>
      </c>
      <c r="B96" s="4114">
        <v>42</v>
      </c>
      <c r="C96" s="4132">
        <v>46749</v>
      </c>
      <c r="D96" s="4128">
        <f t="shared" si="23"/>
        <v>600000000</v>
      </c>
      <c r="E96" s="4128">
        <v>75000000</v>
      </c>
      <c r="F96" s="4128">
        <f t="shared" si="9"/>
        <v>525000000</v>
      </c>
      <c r="G96" s="4128">
        <f>D96*$D$4/365*(C96-C95)</f>
        <v>10770410.95890411</v>
      </c>
      <c r="H96" s="4128">
        <f t="shared" si="1"/>
        <v>17070360.539119508</v>
      </c>
      <c r="I96" s="4128">
        <f t="shared" si="0"/>
        <v>6299949.5802153982</v>
      </c>
      <c r="J96" s="4128">
        <f t="shared" si="22"/>
        <v>501875187.38045543</v>
      </c>
      <c r="K96" s="4128">
        <f t="shared" si="17"/>
        <v>41307.348585899766</v>
      </c>
      <c r="L96" s="4128">
        <f t="shared" si="18"/>
        <v>106637.85689355226</v>
      </c>
      <c r="M96" s="4128">
        <f t="shared" si="19"/>
        <v>0</v>
      </c>
      <c r="N96" s="4128">
        <f t="shared" si="20"/>
        <v>0</v>
      </c>
      <c r="O96" s="4113"/>
      <c r="P96" s="4113"/>
      <c r="Q96" s="4113"/>
      <c r="R96" s="4113"/>
      <c r="S96" s="4115"/>
      <c r="T96" s="4115"/>
      <c r="U96" s="4115"/>
      <c r="V96" s="4115"/>
      <c r="W96" s="4115"/>
      <c r="X96" s="4115"/>
      <c r="Y96" s="4113"/>
      <c r="Z96" s="4113"/>
      <c r="AA96" s="4113"/>
      <c r="AB96" s="4113"/>
    </row>
    <row r="97" spans="1:28" ht="15" customHeight="1">
      <c r="A97" s="4154">
        <f t="shared" si="16"/>
        <v>6.0000000000000001E-3</v>
      </c>
      <c r="B97" s="4114">
        <v>43</v>
      </c>
      <c r="C97" s="4132">
        <v>46752</v>
      </c>
      <c r="D97" s="4128">
        <f t="shared" si="23"/>
        <v>525000000</v>
      </c>
      <c r="E97" s="4128">
        <v>0</v>
      </c>
      <c r="F97" s="4128">
        <f t="shared" si="9"/>
        <v>525000000</v>
      </c>
      <c r="G97" s="4128">
        <f>D97*$D$4/365*(C97-C96)</f>
        <v>310684.93150684936</v>
      </c>
      <c r="H97" s="4128">
        <f t="shared" si="1"/>
        <v>495000.18481359986</v>
      </c>
      <c r="I97" s="4128">
        <f t="shared" si="0"/>
        <v>184315.2533067505</v>
      </c>
      <c r="J97" s="4128">
        <f t="shared" si="22"/>
        <v>502059502.63376218</v>
      </c>
      <c r="K97" s="4128">
        <f t="shared" si="17"/>
        <v>22171074.186678942</v>
      </c>
      <c r="L97" s="4128">
        <f t="shared" si="18"/>
        <v>59486460.059896395</v>
      </c>
      <c r="M97" s="4128">
        <f t="shared" si="19"/>
        <v>20363467.735626105</v>
      </c>
      <c r="N97" s="4128">
        <f t="shared" si="20"/>
        <v>54636532.264373899</v>
      </c>
      <c r="O97" s="4113"/>
      <c r="P97" s="4113"/>
      <c r="Q97" s="4113"/>
      <c r="R97" s="4113"/>
      <c r="S97" s="4115"/>
      <c r="T97" s="4115"/>
      <c r="U97" s="4115"/>
      <c r="V97" s="4115"/>
      <c r="W97" s="4115"/>
      <c r="X97" s="4145"/>
      <c r="Y97" s="4113"/>
      <c r="Z97" s="4113"/>
      <c r="AA97" s="4113"/>
      <c r="AB97" s="4113"/>
    </row>
    <row r="98" spans="1:28" ht="15" customHeight="1">
      <c r="A98" s="4154">
        <f t="shared" si="16"/>
        <v>6.0000000000000001E-3</v>
      </c>
      <c r="B98" s="4114"/>
      <c r="C98" s="4132">
        <v>46840</v>
      </c>
      <c r="D98" s="4128">
        <f t="shared" si="23"/>
        <v>525000000</v>
      </c>
      <c r="E98" s="4128">
        <v>75000000</v>
      </c>
      <c r="F98" s="4128">
        <f t="shared" si="9"/>
        <v>450000000</v>
      </c>
      <c r="G98" s="4221">
        <f>D98*$D$4/365*(C98-C96)-G97</f>
        <v>9113424.6575342473</v>
      </c>
      <c r="H98" s="4221">
        <f>J96*$I$5/365*(C98-C96)-H97</f>
        <v>14520005.421198929</v>
      </c>
      <c r="I98" s="4128">
        <f t="shared" si="0"/>
        <v>5406580.7636646815</v>
      </c>
      <c r="J98" s="4128">
        <f t="shared" si="22"/>
        <v>432466083.39742684</v>
      </c>
      <c r="K98" s="4128">
        <f t="shared" si="17"/>
        <v>21217577.882120471</v>
      </c>
      <c r="L98" s="4128">
        <f t="shared" si="18"/>
        <v>59167627.597331583</v>
      </c>
      <c r="M98" s="4128">
        <f t="shared" si="19"/>
        <v>19796159.401070457</v>
      </c>
      <c r="N98" s="4128">
        <f t="shared" si="20"/>
        <v>55203840.598929539</v>
      </c>
      <c r="O98" s="4113"/>
      <c r="P98" s="4113"/>
      <c r="Q98" s="4113"/>
      <c r="R98" s="4113"/>
      <c r="S98" s="4115"/>
      <c r="T98" s="4115"/>
      <c r="U98" s="4115"/>
      <c r="V98" s="4115"/>
      <c r="W98" s="4115"/>
      <c r="X98" s="4145"/>
      <c r="Y98" s="4113"/>
      <c r="Z98" s="4113"/>
      <c r="AA98" s="4113"/>
      <c r="AB98" s="4113"/>
    </row>
    <row r="99" spans="1:28" ht="15" customHeight="1">
      <c r="A99" s="4154">
        <f t="shared" si="16"/>
        <v>0</v>
      </c>
      <c r="B99" s="4114">
        <v>44</v>
      </c>
      <c r="C99" s="4132">
        <v>46932</v>
      </c>
      <c r="D99" s="4128">
        <f t="shared" si="23"/>
        <v>450000000</v>
      </c>
      <c r="E99" s="4128">
        <v>75000000</v>
      </c>
      <c r="F99" s="4128">
        <f t="shared" si="9"/>
        <v>375000000</v>
      </c>
      <c r="G99" s="4128">
        <f>D99*$D$4/365*(C99-C98)</f>
        <v>8166575.3424657518</v>
      </c>
      <c r="H99" s="4128">
        <f t="shared" si="1"/>
        <v>13080617.974541347</v>
      </c>
      <c r="I99" s="4128">
        <f t="shared" si="0"/>
        <v>4914042.6320755957</v>
      </c>
      <c r="J99" s="4128">
        <f t="shared" si="22"/>
        <v>362380126.02950245</v>
      </c>
      <c r="K99" s="4128">
        <f t="shared" si="17"/>
        <v>35112.241254697212</v>
      </c>
      <c r="L99" s="4128">
        <f t="shared" si="18"/>
        <v>98038.443676809606</v>
      </c>
      <c r="M99" s="4128">
        <f t="shared" si="19"/>
        <v>0</v>
      </c>
      <c r="N99" s="4128">
        <f t="shared" si="20"/>
        <v>0</v>
      </c>
      <c r="O99" s="4113"/>
      <c r="P99" s="4113"/>
      <c r="Q99" s="4113"/>
      <c r="R99" s="4113"/>
      <c r="S99" s="4115"/>
      <c r="T99" s="4115"/>
      <c r="U99" s="4115"/>
      <c r="V99" s="4115"/>
      <c r="W99" s="4115"/>
      <c r="X99" s="4145"/>
      <c r="Y99" s="4128"/>
      <c r="Z99" s="4128"/>
      <c r="AA99" s="4113"/>
      <c r="AB99" s="4113"/>
    </row>
    <row r="100" spans="1:28" ht="15" customHeight="1">
      <c r="A100" s="4154">
        <f t="shared" si="16"/>
        <v>6.0000000000000001E-3</v>
      </c>
      <c r="B100" s="4114">
        <v>45</v>
      </c>
      <c r="C100" s="4132">
        <v>46934</v>
      </c>
      <c r="D100" s="4128">
        <f t="shared" si="23"/>
        <v>375000000</v>
      </c>
      <c r="E100" s="4128">
        <v>0</v>
      </c>
      <c r="F100" s="4128">
        <f t="shared" si="9"/>
        <v>375000000</v>
      </c>
      <c r="G100" s="4128">
        <f>D100*$D$4/365*(C100-C99)</f>
        <v>147945.20547945204</v>
      </c>
      <c r="H100" s="4128">
        <f t="shared" si="1"/>
        <v>238277.34314268653</v>
      </c>
      <c r="I100" s="4128">
        <f t="shared" si="0"/>
        <v>90332.137663234491</v>
      </c>
      <c r="J100" s="4128">
        <f t="shared" si="22"/>
        <v>362470458.1671657</v>
      </c>
      <c r="K100" s="4128">
        <f t="shared" si="17"/>
        <v>20241749.439389743</v>
      </c>
      <c r="L100" s="4128">
        <f t="shared" si="18"/>
        <v>58619620.423623957</v>
      </c>
      <c r="M100" s="4128">
        <f t="shared" si="19"/>
        <v>19250631.970904175</v>
      </c>
      <c r="N100" s="4128">
        <f t="shared" si="20"/>
        <v>55749368.029095829</v>
      </c>
      <c r="O100" s="4113"/>
      <c r="P100" s="4113"/>
      <c r="Q100" s="4113"/>
      <c r="R100" s="4113"/>
      <c r="S100" s="4115"/>
      <c r="T100" s="4115"/>
      <c r="U100" s="4115"/>
      <c r="V100" s="4115"/>
      <c r="W100" s="4115"/>
      <c r="X100" s="4145"/>
      <c r="Y100" s="4128"/>
      <c r="Z100" s="4128"/>
      <c r="AA100" s="4113"/>
      <c r="AB100" s="4113"/>
    </row>
    <row r="101" spans="1:28" ht="15" customHeight="1">
      <c r="A101" s="4154">
        <f t="shared" si="16"/>
        <v>6.0000000000000001E-3</v>
      </c>
      <c r="B101" s="4114"/>
      <c r="C101" s="4132">
        <v>47024</v>
      </c>
      <c r="D101" s="4128">
        <f t="shared" si="23"/>
        <v>375000000</v>
      </c>
      <c r="E101" s="4128">
        <v>75000000</v>
      </c>
      <c r="F101" s="4128">
        <f t="shared" si="9"/>
        <v>300000000</v>
      </c>
      <c r="G101" s="4221">
        <f>D101*$D$4/365*(C101-C99)-G100</f>
        <v>6657534.2465753416</v>
      </c>
      <c r="H101" s="4221">
        <f>J99*$I$5/365*(C101-C99)-H100</f>
        <v>10722480.441420894</v>
      </c>
      <c r="I101" s="4128">
        <f t="shared" si="0"/>
        <v>4064946.1948455526</v>
      </c>
      <c r="J101" s="4128">
        <f t="shared" si="22"/>
        <v>291535404.36201125</v>
      </c>
      <c r="K101" s="4128">
        <f t="shared" si="17"/>
        <v>19387558.830004074</v>
      </c>
      <c r="L101" s="4128">
        <f t="shared" si="18"/>
        <v>58334632.950817846</v>
      </c>
      <c r="M101" s="4128">
        <f t="shared" si="19"/>
        <v>18708516.563078951</v>
      </c>
      <c r="N101" s="4128">
        <f t="shared" si="20"/>
        <v>56291483.436921045</v>
      </c>
      <c r="O101" s="4113"/>
      <c r="P101" s="4113"/>
      <c r="Q101" s="4113"/>
      <c r="R101" s="4113"/>
      <c r="S101" s="4115"/>
      <c r="T101" s="4115"/>
      <c r="U101" s="4115"/>
      <c r="V101" s="4115"/>
      <c r="W101" s="4115"/>
      <c r="X101" s="4145"/>
      <c r="Y101" s="4113"/>
      <c r="Z101" s="4113"/>
      <c r="AA101" s="4113"/>
      <c r="AB101" s="4113"/>
    </row>
    <row r="102" spans="1:28" ht="15" customHeight="1">
      <c r="A102" s="4154">
        <f t="shared" si="16"/>
        <v>0</v>
      </c>
      <c r="B102" s="4114">
        <v>46</v>
      </c>
      <c r="C102" s="4132">
        <v>47115</v>
      </c>
      <c r="D102" s="4128">
        <f t="shared" si="23"/>
        <v>300000000</v>
      </c>
      <c r="E102" s="4128">
        <v>75000000</v>
      </c>
      <c r="F102" s="4128">
        <f t="shared" si="9"/>
        <v>225000000</v>
      </c>
      <c r="G102" s="4128">
        <f>D102*$D$4/365*(C102-C101)</f>
        <v>5385205.4794520549</v>
      </c>
      <c r="H102" s="4128">
        <f t="shared" si="1"/>
        <v>8722100.3168031871</v>
      </c>
      <c r="I102" s="4128">
        <f t="shared" si="0"/>
        <v>3336894.8373511322</v>
      </c>
      <c r="J102" s="4128">
        <f t="shared" si="22"/>
        <v>219872299.1993624</v>
      </c>
      <c r="K102" s="4128">
        <f t="shared" si="17"/>
        <v>7376.3122474821012</v>
      </c>
      <c r="L102" s="4128">
        <f t="shared" si="18"/>
        <v>22212.728848408311</v>
      </c>
      <c r="M102" s="4128">
        <f t="shared" si="19"/>
        <v>0</v>
      </c>
      <c r="N102" s="4128">
        <f t="shared" si="20"/>
        <v>0</v>
      </c>
      <c r="O102" s="4113"/>
      <c r="P102" s="4113"/>
      <c r="Q102" s="4113"/>
      <c r="R102" s="4113"/>
      <c r="S102" s="4115"/>
      <c r="T102" s="4115"/>
      <c r="U102" s="4115"/>
      <c r="V102" s="4115"/>
      <c r="W102" s="4115"/>
      <c r="X102" s="4145"/>
      <c r="Y102" s="4113"/>
      <c r="Z102" s="4113"/>
      <c r="AA102" s="4113"/>
      <c r="AB102" s="4113"/>
    </row>
    <row r="103" spans="1:28" ht="15" customHeight="1">
      <c r="A103" s="4155">
        <f t="shared" si="16"/>
        <v>6.0000000000000001E-3</v>
      </c>
      <c r="B103" s="4114">
        <v>47</v>
      </c>
      <c r="C103" s="4132">
        <v>47118</v>
      </c>
      <c r="D103" s="4128">
        <f t="shared" si="23"/>
        <v>225000000</v>
      </c>
      <c r="E103" s="4128">
        <v>0</v>
      </c>
      <c r="F103" s="4128">
        <f t="shared" si="9"/>
        <v>225000000</v>
      </c>
      <c r="G103" s="4128">
        <f>D103*$D$4/365*(C103-C102)</f>
        <v>133150.68493150681</v>
      </c>
      <c r="H103" s="4128">
        <f t="shared" si="1"/>
        <v>216860.34989526152</v>
      </c>
      <c r="I103" s="4128">
        <f t="shared" si="0"/>
        <v>83709.664963754709</v>
      </c>
      <c r="J103" s="4128">
        <f t="shared" si="22"/>
        <v>219956008.86432615</v>
      </c>
      <c r="K103" s="4128">
        <f t="shared" si="17"/>
        <v>18504454.487354163</v>
      </c>
      <c r="L103" s="4128">
        <f t="shared" si="18"/>
        <v>57827052.361960903</v>
      </c>
      <c r="M103" s="4128">
        <f t="shared" si="19"/>
        <v>18181667.62109473</v>
      </c>
      <c r="N103" s="4128">
        <f t="shared" si="20"/>
        <v>56818332.378905267</v>
      </c>
      <c r="O103" s="4113"/>
      <c r="P103" s="4113"/>
      <c r="Q103" s="4113"/>
      <c r="R103" s="4113"/>
      <c r="S103" s="4115"/>
      <c r="T103" s="4115"/>
      <c r="U103" s="4115"/>
      <c r="V103" s="4115"/>
      <c r="W103" s="4115"/>
      <c r="X103" s="4145"/>
      <c r="Y103" s="4113"/>
      <c r="Z103" s="4113"/>
      <c r="AA103" s="4113"/>
      <c r="AB103" s="4113"/>
    </row>
    <row r="104" spans="1:28" ht="15" customHeight="1">
      <c r="A104" s="4154">
        <f>SUM(A26:A103)</f>
        <v>1</v>
      </c>
      <c r="B104" s="4114"/>
      <c r="C104" s="4132">
        <v>47205</v>
      </c>
      <c r="D104" s="4128">
        <f t="shared" si="23"/>
        <v>225000000</v>
      </c>
      <c r="E104" s="4128">
        <v>75000000</v>
      </c>
      <c r="F104" s="4128">
        <f t="shared" si="9"/>
        <v>150000000</v>
      </c>
      <c r="G104" s="4221">
        <f>D104*$D$4/365*(C104-C102)-G103</f>
        <v>3861369.8630136978</v>
      </c>
      <c r="H104" s="4221">
        <f>J102*$I$5/365*(C104-C102)-H103</f>
        <v>6288950.146962584</v>
      </c>
      <c r="I104" s="4128">
        <f t="shared" si="0"/>
        <v>2427580.2839488862</v>
      </c>
      <c r="J104" s="4128">
        <f t="shared" si="22"/>
        <v>147383589.14827505</v>
      </c>
      <c r="K104" s="4128">
        <f>SUM(K22:K103)</f>
        <v>10395124609.947433</v>
      </c>
      <c r="L104" s="4128" t="e">
        <f>E108+#REF!-K104</f>
        <v>#REF!</v>
      </c>
      <c r="M104" s="4128">
        <f>SUM(M22:M103)</f>
        <v>6976516518.0324097</v>
      </c>
      <c r="N104" s="4128">
        <f>SUM(N22:N103)</f>
        <v>5523483481.9675903</v>
      </c>
      <c r="O104" s="4113"/>
      <c r="P104" s="4113"/>
      <c r="Q104" s="4113"/>
      <c r="R104" s="4113"/>
      <c r="S104" s="4115"/>
      <c r="T104" s="4115"/>
      <c r="U104" s="4115"/>
      <c r="V104" s="4115"/>
      <c r="W104" s="4115"/>
      <c r="X104" s="4145"/>
      <c r="Y104" s="4113"/>
      <c r="Z104" s="4113"/>
      <c r="AA104" s="4113"/>
      <c r="AB104" s="4113"/>
    </row>
    <row r="105" spans="1:28" ht="15" customHeight="1">
      <c r="A105" s="4113"/>
      <c r="B105" s="4135">
        <v>48</v>
      </c>
      <c r="C105" s="4132">
        <v>47297</v>
      </c>
      <c r="D105" s="4128">
        <f t="shared" si="23"/>
        <v>150000000</v>
      </c>
      <c r="E105" s="4128">
        <v>75000000</v>
      </c>
      <c r="F105" s="4128">
        <f t="shared" si="9"/>
        <v>75000000</v>
      </c>
      <c r="G105" s="4128">
        <f>D105*$D$4/365*(C105-C104)</f>
        <v>2722191.7808219176</v>
      </c>
      <c r="H105" s="4128">
        <f t="shared" si="1"/>
        <v>4457848.8334163195</v>
      </c>
      <c r="I105" s="4128">
        <f t="shared" si="0"/>
        <v>1735657.0525944019</v>
      </c>
      <c r="J105" s="4128">
        <f t="shared" si="22"/>
        <v>74119246.200869456</v>
      </c>
      <c r="K105" s="4128">
        <f>K104-J21</f>
        <v>167183408.99827194</v>
      </c>
      <c r="L105" s="4128" t="e">
        <f>L104-F4</f>
        <v>#REF!</v>
      </c>
      <c r="M105" s="4128">
        <f>M104-L21</f>
        <v>6976516518.0324097</v>
      </c>
      <c r="N105" s="4128">
        <f>N104-H4</f>
        <v>5523483481.9675903</v>
      </c>
      <c r="O105" s="4113"/>
      <c r="P105" s="4113"/>
      <c r="Q105" s="4113"/>
      <c r="R105" s="4113"/>
      <c r="S105" s="4115"/>
      <c r="T105" s="4115"/>
      <c r="U105" s="4115"/>
      <c r="V105" s="4115"/>
      <c r="W105" s="4115"/>
      <c r="X105" s="4115"/>
      <c r="Y105" s="4113"/>
      <c r="Z105" s="4113"/>
      <c r="AA105" s="4113"/>
      <c r="AB105" s="4113"/>
    </row>
    <row r="106" spans="1:28" ht="15" customHeight="1">
      <c r="A106" s="4113"/>
      <c r="B106" s="4114"/>
      <c r="C106" s="4132">
        <v>47299</v>
      </c>
      <c r="D106" s="4128">
        <f t="shared" si="23"/>
        <v>75000000</v>
      </c>
      <c r="E106" s="4128">
        <v>0</v>
      </c>
      <c r="F106" s="4128">
        <f t="shared" si="9"/>
        <v>75000000</v>
      </c>
      <c r="G106" s="4128">
        <f>D106*$D$4/365*(C106-C105)</f>
        <v>29589.04109589041</v>
      </c>
      <c r="H106" s="4128">
        <f>J105*$I$5/365*(C106-C105)</f>
        <v>48735.942707421011</v>
      </c>
      <c r="I106" s="4128">
        <f t="shared" si="0"/>
        <v>19146.9016115306</v>
      </c>
      <c r="J106" s="4128">
        <f t="shared" si="22"/>
        <v>74138393.102480993</v>
      </c>
      <c r="K106" s="4113"/>
      <c r="L106" s="4113"/>
      <c r="M106" s="4113"/>
      <c r="N106" s="4128">
        <f>M104-N104</f>
        <v>1453033036.0648193</v>
      </c>
      <c r="O106" s="4113"/>
      <c r="P106" s="4113"/>
      <c r="Q106" s="4113"/>
      <c r="R106" s="4113"/>
      <c r="S106" s="4115"/>
      <c r="T106" s="4115"/>
      <c r="U106" s="4115"/>
      <c r="V106" s="4115"/>
      <c r="W106" s="4115"/>
      <c r="X106" s="4242"/>
      <c r="Y106" s="4113"/>
      <c r="Z106" s="4113"/>
      <c r="AA106" s="4113"/>
      <c r="AB106" s="4113"/>
    </row>
    <row r="107" spans="1:28" ht="15" customHeight="1">
      <c r="A107" s="4113"/>
      <c r="B107" s="4114"/>
      <c r="C107" s="4136">
        <v>47389</v>
      </c>
      <c r="D107" s="4137">
        <f t="shared" si="23"/>
        <v>75000000</v>
      </c>
      <c r="E107" s="4137">
        <v>75000000</v>
      </c>
      <c r="F107" s="4137">
        <f t="shared" si="9"/>
        <v>0</v>
      </c>
      <c r="G107" s="4137">
        <f>D107*$D$4/365*(C107-C105)-G106</f>
        <v>1331506.8493150685</v>
      </c>
      <c r="H107" s="4137">
        <f>J105*$I$5/365*(C107-C105)-H106</f>
        <v>2193117.4218339459</v>
      </c>
      <c r="I107" s="4137">
        <f t="shared" si="0"/>
        <v>861610.57251887745</v>
      </c>
      <c r="J107" s="4137">
        <f t="shared" si="22"/>
        <v>3.674999870127067</v>
      </c>
      <c r="K107" s="4113"/>
      <c r="L107" s="4113"/>
      <c r="M107" s="4113"/>
      <c r="N107" s="4113"/>
      <c r="O107" s="4113"/>
      <c r="P107" s="4113"/>
      <c r="Q107" s="4113"/>
      <c r="R107" s="4113"/>
      <c r="S107" s="4115"/>
      <c r="T107" s="4115"/>
      <c r="U107" s="4115"/>
      <c r="V107" s="4115"/>
      <c r="W107" s="4115"/>
      <c r="X107" s="4115"/>
      <c r="Y107" s="4113"/>
      <c r="Z107" s="4113"/>
      <c r="AA107" s="4113"/>
      <c r="AB107" s="4113"/>
    </row>
    <row r="108" spans="1:28" ht="15" customHeight="1">
      <c r="A108" s="4113"/>
      <c r="B108" s="4114"/>
      <c r="C108" s="4114"/>
      <c r="D108" s="4113"/>
      <c r="E108" s="4128">
        <f>SUM(E38:E107)</f>
        <v>10462500000</v>
      </c>
      <c r="F108" s="4113"/>
      <c r="G108" s="4243" t="e">
        <f>G37-#REF!</f>
        <v>#REF!</v>
      </c>
      <c r="H108" s="4244" t="s">
        <v>4831</v>
      </c>
      <c r="I108" s="4113"/>
      <c r="J108" s="4113"/>
      <c r="K108" s="4113"/>
      <c r="L108" s="4113"/>
      <c r="M108" s="4113"/>
      <c r="N108" s="4113"/>
      <c r="O108" s="4113"/>
      <c r="P108" s="4113"/>
      <c r="Q108" s="4113"/>
      <c r="R108" s="4113"/>
      <c r="S108" s="4115"/>
      <c r="T108" s="4115"/>
      <c r="U108" s="4115"/>
      <c r="V108" s="4115"/>
      <c r="W108" s="4115"/>
      <c r="X108" s="4115"/>
      <c r="Y108" s="4113"/>
      <c r="Z108" s="4113"/>
      <c r="AA108" s="4113"/>
      <c r="AB108" s="4113"/>
    </row>
    <row r="109" spans="1:28" ht="15" customHeight="1">
      <c r="A109" s="4113"/>
      <c r="B109" s="4114"/>
      <c r="C109" s="4114"/>
      <c r="D109" s="4113"/>
      <c r="E109" s="4113" t="b">
        <f>D37=E108</f>
        <v>1</v>
      </c>
      <c r="F109" s="4113"/>
      <c r="G109" s="4113"/>
      <c r="H109" s="4113"/>
      <c r="I109" s="4113"/>
      <c r="J109" s="4113"/>
      <c r="K109" s="4113"/>
      <c r="L109" s="4113"/>
      <c r="M109" s="4113"/>
      <c r="N109" s="4113"/>
      <c r="O109" s="4113"/>
      <c r="P109" s="4113"/>
      <c r="Q109" s="4113"/>
      <c r="R109" s="4113"/>
      <c r="S109" s="4115"/>
      <c r="T109" s="4115"/>
      <c r="U109" s="4115"/>
      <c r="V109" s="4115"/>
      <c r="W109" s="4115"/>
      <c r="X109" s="4115"/>
      <c r="Y109" s="4113"/>
      <c r="Z109" s="4113"/>
      <c r="AA109" s="4113"/>
      <c r="AB109" s="4113"/>
    </row>
    <row r="110" spans="1:28" ht="15" customHeight="1">
      <c r="A110" s="4113"/>
      <c r="B110" s="4114"/>
      <c r="C110" s="4114"/>
      <c r="D110" s="4113"/>
      <c r="E110" s="4113"/>
      <c r="F110" s="4113"/>
      <c r="G110" s="4113"/>
      <c r="H110" s="4113"/>
      <c r="I110" s="4128"/>
      <c r="J110" s="4113"/>
      <c r="K110" s="4113"/>
      <c r="L110" s="4113"/>
      <c r="M110" s="4113"/>
      <c r="N110" s="4113"/>
      <c r="O110" s="4113"/>
      <c r="P110" s="4113"/>
      <c r="Q110" s="4113"/>
      <c r="R110" s="4113"/>
      <c r="S110" s="4115"/>
      <c r="T110" s="4115"/>
      <c r="U110" s="4115"/>
      <c r="V110" s="4115"/>
      <c r="W110" s="4115"/>
      <c r="X110" s="4115"/>
      <c r="Y110" s="4113"/>
      <c r="Z110" s="4113"/>
      <c r="AA110" s="4113"/>
      <c r="AB110" s="4113"/>
    </row>
    <row r="111" spans="1:28" ht="15" customHeight="1">
      <c r="A111" s="4113"/>
      <c r="B111" s="4114"/>
      <c r="C111" s="4114"/>
      <c r="D111" s="4113" t="s">
        <v>4455</v>
      </c>
      <c r="E111" s="4128">
        <f>E112+E113</f>
        <v>8487500000</v>
      </c>
      <c r="F111" s="4113"/>
      <c r="G111" s="4245"/>
      <c r="H111" s="4113"/>
      <c r="I111" s="4142"/>
      <c r="J111" s="4113"/>
      <c r="K111" s="4113"/>
      <c r="L111" s="4113"/>
      <c r="M111" s="4113"/>
      <c r="N111" s="4113"/>
      <c r="O111" s="4113"/>
      <c r="P111" s="4113"/>
      <c r="Q111" s="4113"/>
      <c r="R111" s="4113"/>
      <c r="S111" s="4115"/>
      <c r="T111" s="4115"/>
      <c r="U111" s="4115"/>
      <c r="V111" s="4115"/>
      <c r="W111" s="4115"/>
      <c r="X111" s="4115"/>
      <c r="Y111" s="4113"/>
      <c r="Z111" s="4113"/>
      <c r="AA111" s="4113"/>
      <c r="AB111" s="4113"/>
    </row>
    <row r="112" spans="1:28" ht="15" customHeight="1">
      <c r="A112" s="4113"/>
      <c r="B112" s="4114"/>
      <c r="C112" s="4114"/>
      <c r="D112" s="4113" t="s">
        <v>4812</v>
      </c>
      <c r="E112" s="4128">
        <f>SUM(E52:E59)</f>
        <v>1300000000</v>
      </c>
      <c r="F112" s="4113"/>
      <c r="G112" s="4245"/>
      <c r="H112" s="4113"/>
      <c r="I112" s="4142"/>
      <c r="J112" s="4113"/>
      <c r="K112" s="4113"/>
      <c r="L112" s="4113"/>
      <c r="M112" s="4113"/>
      <c r="N112" s="4113"/>
      <c r="O112" s="4113"/>
      <c r="P112" s="4113"/>
      <c r="Q112" s="4113"/>
      <c r="R112" s="4113"/>
      <c r="S112" s="4115"/>
      <c r="T112" s="4115"/>
      <c r="U112" s="4115"/>
      <c r="V112" s="4115"/>
      <c r="W112" s="4115"/>
      <c r="X112" s="4115"/>
      <c r="Y112" s="4113"/>
      <c r="Z112" s="4113"/>
      <c r="AA112" s="4113"/>
      <c r="AB112" s="4113"/>
    </row>
    <row r="113" spans="3:28" ht="15" customHeight="1">
      <c r="C113" s="4114"/>
      <c r="D113" s="4246" t="s">
        <v>4813</v>
      </c>
      <c r="E113" s="4144">
        <f>SUM(E60:E107)</f>
        <v>7187500000</v>
      </c>
      <c r="F113" s="4113"/>
      <c r="G113" s="4128"/>
      <c r="H113" s="4113"/>
      <c r="I113" s="4142"/>
      <c r="J113" s="4128"/>
      <c r="K113" s="4113"/>
      <c r="L113" s="4113"/>
      <c r="M113" s="4113"/>
      <c r="N113" s="4113"/>
      <c r="O113" s="4113"/>
      <c r="P113" s="4113"/>
      <c r="Q113" s="4113"/>
      <c r="R113" s="4113"/>
      <c r="S113" s="4115"/>
      <c r="T113" s="4115"/>
      <c r="U113" s="4115"/>
      <c r="V113" s="4115"/>
      <c r="W113" s="4115"/>
      <c r="X113" s="4115"/>
      <c r="Y113" s="4113"/>
      <c r="Z113" s="4113"/>
      <c r="AA113" s="4113"/>
      <c r="AB113" s="4113"/>
    </row>
    <row r="114" spans="3:28" ht="15" customHeight="1">
      <c r="C114" s="4114"/>
      <c r="D114" s="4113"/>
      <c r="E114" s="4113"/>
      <c r="F114" s="4113"/>
      <c r="G114" s="4128"/>
      <c r="H114" s="4128"/>
      <c r="I114" s="4113"/>
      <c r="J114" s="4113"/>
      <c r="K114" s="4113"/>
      <c r="L114" s="4113"/>
      <c r="M114" s="4113"/>
      <c r="N114" s="4113"/>
      <c r="O114" s="4113"/>
      <c r="P114" s="4113"/>
      <c r="Q114" s="4113"/>
      <c r="R114" s="4113"/>
      <c r="S114" s="4115"/>
      <c r="T114" s="4115"/>
      <c r="U114" s="4115"/>
      <c r="V114" s="4115"/>
      <c r="W114" s="4115"/>
      <c r="X114" s="4115"/>
      <c r="Y114" s="4113"/>
      <c r="Z114" s="4113"/>
      <c r="AA114" s="4113"/>
      <c r="AB114" s="4113"/>
    </row>
    <row r="115" spans="3:28" ht="15" customHeight="1">
      <c r="C115" s="4114"/>
      <c r="D115" s="4113"/>
      <c r="E115" s="4113"/>
      <c r="F115" s="4113"/>
      <c r="G115" s="4128"/>
      <c r="H115" s="4128"/>
      <c r="I115" s="4142"/>
      <c r="J115" s="4113"/>
      <c r="K115" s="4113"/>
      <c r="L115" s="4113"/>
      <c r="M115" s="4113"/>
      <c r="N115" s="4113"/>
      <c r="O115" s="4113"/>
      <c r="P115" s="4113"/>
      <c r="Q115" s="4113"/>
      <c r="R115" s="4113"/>
      <c r="S115" s="4115"/>
      <c r="T115" s="4115"/>
      <c r="U115" s="4115"/>
      <c r="V115" s="4115"/>
      <c r="W115" s="4115"/>
      <c r="X115" s="4115"/>
      <c r="Y115" s="4113"/>
      <c r="Z115" s="4113"/>
      <c r="AA115" s="4113"/>
      <c r="AB115" s="4113"/>
    </row>
    <row r="116" spans="3:28" ht="15" customHeight="1">
      <c r="C116" s="4114"/>
      <c r="D116" s="4113"/>
      <c r="E116" s="4113"/>
      <c r="F116" s="4113"/>
      <c r="G116" s="4245"/>
      <c r="H116" s="4113"/>
      <c r="I116" s="4133"/>
      <c r="J116" s="4113"/>
      <c r="K116" s="4113"/>
      <c r="L116" s="4113"/>
      <c r="M116" s="4113"/>
      <c r="N116" s="4113"/>
      <c r="O116" s="4113"/>
      <c r="P116" s="4113"/>
      <c r="Q116" s="4113"/>
      <c r="R116" s="4113"/>
      <c r="S116" s="4115"/>
      <c r="T116" s="4115"/>
      <c r="U116" s="4115"/>
      <c r="V116" s="4115"/>
      <c r="W116" s="4115"/>
      <c r="X116" s="4115"/>
      <c r="Y116" s="4113"/>
      <c r="Z116" s="4113"/>
      <c r="AA116" s="4113"/>
      <c r="AB116" s="4113"/>
    </row>
    <row r="117" spans="3:28" ht="15" customHeight="1">
      <c r="C117" s="4114"/>
      <c r="D117" s="4113"/>
      <c r="E117" s="4113"/>
      <c r="F117" s="4113"/>
      <c r="G117" s="4245"/>
      <c r="H117" s="4113"/>
      <c r="I117" s="4113"/>
      <c r="J117" s="4113"/>
      <c r="K117" s="4113"/>
      <c r="L117" s="4113"/>
      <c r="M117" s="4113"/>
      <c r="N117" s="4113"/>
      <c r="O117" s="4113"/>
      <c r="P117" s="4113"/>
      <c r="Q117" s="4113"/>
      <c r="R117" s="4113"/>
      <c r="S117" s="4115"/>
      <c r="T117" s="4115"/>
      <c r="U117" s="4115"/>
      <c r="V117" s="4115"/>
      <c r="W117" s="4115"/>
      <c r="X117" s="4115"/>
      <c r="Y117" s="4113"/>
      <c r="Z117" s="4113"/>
      <c r="AA117" s="4113"/>
      <c r="AB117" s="4113"/>
    </row>
    <row r="118" spans="3:28" ht="15" customHeight="1">
      <c r="C118" s="4114"/>
      <c r="D118" s="4113"/>
      <c r="E118" s="4113"/>
      <c r="F118" s="4113"/>
      <c r="G118" s="4245"/>
      <c r="H118" s="4113"/>
      <c r="I118" s="4113"/>
      <c r="J118" s="4113"/>
      <c r="K118" s="4113"/>
      <c r="L118" s="4113"/>
      <c r="M118" s="4113"/>
      <c r="N118" s="4113"/>
      <c r="O118" s="4113"/>
      <c r="P118" s="4113"/>
      <c r="Q118" s="4113"/>
      <c r="R118" s="4113"/>
      <c r="S118" s="4115"/>
      <c r="T118" s="4115"/>
      <c r="U118" s="4115"/>
      <c r="V118" s="4115"/>
      <c r="W118" s="4115"/>
      <c r="X118" s="4115"/>
      <c r="Y118" s="4113"/>
      <c r="Z118" s="4113"/>
      <c r="AA118" s="4113"/>
      <c r="AB118" s="4113"/>
    </row>
    <row r="119" spans="3:28" ht="15" hidden="1" customHeight="1">
      <c r="C119" s="4114">
        <v>52111</v>
      </c>
      <c r="D119" s="4113" t="s">
        <v>4832</v>
      </c>
      <c r="E119" s="4160">
        <v>7286278</v>
      </c>
      <c r="F119" s="4160"/>
      <c r="G119" s="4160"/>
      <c r="H119" s="4113"/>
      <c r="I119" s="4113"/>
      <c r="J119" s="4113"/>
      <c r="K119" s="4113"/>
      <c r="L119" s="4113"/>
      <c r="M119" s="4113"/>
      <c r="N119" s="4113"/>
      <c r="O119" s="4113"/>
      <c r="P119" s="4113"/>
      <c r="Q119" s="4113"/>
      <c r="R119" s="4113"/>
      <c r="S119" s="4115"/>
      <c r="T119" s="4115"/>
      <c r="U119" s="4115"/>
      <c r="V119" s="4115"/>
      <c r="W119" s="4115"/>
      <c r="X119" s="4115"/>
      <c r="Y119" s="4113"/>
      <c r="Z119" s="4113"/>
      <c r="AA119" s="4113"/>
      <c r="AB119" s="4113"/>
    </row>
    <row r="120" spans="3:28" ht="15" hidden="1" customHeight="1">
      <c r="C120" s="4247">
        <v>21154</v>
      </c>
      <c r="D120" s="4235" t="s">
        <v>4833</v>
      </c>
      <c r="E120" s="4248">
        <v>5022740</v>
      </c>
      <c r="F120" s="4249">
        <v>6696985</v>
      </c>
      <c r="G120" s="4160">
        <f>E120-F120</f>
        <v>-1674245</v>
      </c>
      <c r="H120" s="4113"/>
      <c r="I120" s="4113"/>
      <c r="J120" s="4113"/>
      <c r="K120" s="4113"/>
      <c r="L120" s="4113"/>
      <c r="M120" s="4113"/>
      <c r="N120" s="4113"/>
      <c r="O120" s="4113"/>
      <c r="P120" s="4113"/>
      <c r="Q120" s="4113"/>
      <c r="R120" s="4113"/>
      <c r="S120" s="4115"/>
      <c r="T120" s="4115"/>
      <c r="U120" s="4115"/>
      <c r="V120" s="4115"/>
      <c r="W120" s="4115"/>
      <c r="X120" s="4115"/>
      <c r="Y120" s="4113"/>
      <c r="Z120" s="4113"/>
      <c r="AA120" s="4113"/>
      <c r="AB120" s="4113"/>
    </row>
    <row r="121" spans="3:28" ht="15" hidden="1" customHeight="1">
      <c r="C121" s="4250">
        <v>22149</v>
      </c>
      <c r="D121" s="4138" t="s">
        <v>4834</v>
      </c>
      <c r="E121" s="4251">
        <v>2263538</v>
      </c>
      <c r="F121" s="4252">
        <v>589293</v>
      </c>
      <c r="G121" s="4160">
        <f>E121-F121</f>
        <v>1674245</v>
      </c>
      <c r="H121" s="4113"/>
      <c r="I121" s="4113"/>
      <c r="J121" s="4113"/>
      <c r="K121" s="4113"/>
      <c r="L121" s="4113"/>
      <c r="M121" s="4113"/>
      <c r="N121" s="4113"/>
      <c r="O121" s="4113"/>
      <c r="P121" s="4113"/>
      <c r="Q121" s="4113"/>
      <c r="R121" s="4113"/>
      <c r="S121" s="4115"/>
      <c r="T121" s="4115"/>
      <c r="U121" s="4115"/>
      <c r="V121" s="4115"/>
      <c r="W121" s="4115"/>
      <c r="X121" s="4115"/>
      <c r="Y121" s="4113"/>
      <c r="Z121" s="4113"/>
      <c r="AA121" s="4113"/>
      <c r="AB121" s="4113"/>
    </row>
    <row r="122" spans="3:28" ht="15" hidden="1" customHeight="1">
      <c r="C122" s="4114">
        <v>52111</v>
      </c>
      <c r="D122" s="4113" t="s">
        <v>4832</v>
      </c>
      <c r="E122" s="4160">
        <v>70488143</v>
      </c>
      <c r="F122" s="4160"/>
      <c r="G122" s="4160"/>
      <c r="H122" s="4113"/>
      <c r="I122" s="4113"/>
      <c r="J122" s="4113"/>
      <c r="K122" s="4113"/>
      <c r="L122" s="4113"/>
      <c r="M122" s="4113"/>
      <c r="N122" s="4113"/>
      <c r="O122" s="4113"/>
      <c r="P122" s="4113"/>
      <c r="Q122" s="4113"/>
      <c r="R122" s="4113"/>
      <c r="S122" s="4115"/>
      <c r="T122" s="4115"/>
      <c r="U122" s="4115"/>
      <c r="V122" s="4115"/>
      <c r="W122" s="4115"/>
      <c r="X122" s="4115"/>
      <c r="Y122" s="4113"/>
      <c r="Z122" s="4113"/>
      <c r="AA122" s="4113"/>
      <c r="AB122" s="4113"/>
    </row>
    <row r="123" spans="3:28" ht="15" hidden="1" customHeight="1">
      <c r="C123" s="4114">
        <v>22149</v>
      </c>
      <c r="D123" s="4113" t="s">
        <v>4834</v>
      </c>
      <c r="E123" s="4160">
        <v>70488143</v>
      </c>
      <c r="F123" s="4160"/>
      <c r="G123" s="4160"/>
      <c r="H123" s="4113"/>
      <c r="I123" s="4113"/>
      <c r="J123" s="4113"/>
      <c r="K123" s="4113"/>
      <c r="L123" s="4113"/>
      <c r="M123" s="4113"/>
      <c r="N123" s="4113"/>
      <c r="O123" s="4113"/>
      <c r="P123" s="4113"/>
      <c r="Q123" s="4113"/>
      <c r="R123" s="4113"/>
      <c r="S123" s="4115"/>
      <c r="T123" s="4115"/>
      <c r="U123" s="4115"/>
      <c r="V123" s="4115"/>
      <c r="W123" s="4115"/>
      <c r="X123" s="4115"/>
      <c r="Y123" s="4113"/>
      <c r="Z123" s="4113"/>
      <c r="AA123" s="4113"/>
      <c r="AB123" s="4113"/>
    </row>
    <row r="124" spans="3:28" ht="15" hidden="1" customHeight="1">
      <c r="C124" s="4114">
        <v>52111</v>
      </c>
      <c r="D124" s="4113" t="s">
        <v>4832</v>
      </c>
      <c r="E124" s="4160">
        <v>-5207671</v>
      </c>
      <c r="F124" s="4160"/>
      <c r="G124" s="4160"/>
      <c r="H124" s="4113"/>
      <c r="I124" s="4113"/>
      <c r="J124" s="4113"/>
      <c r="K124" s="4113"/>
      <c r="L124" s="4113"/>
      <c r="M124" s="4113"/>
      <c r="N124" s="4113"/>
      <c r="O124" s="4113"/>
      <c r="P124" s="4113"/>
      <c r="Q124" s="4113"/>
      <c r="R124" s="4113"/>
      <c r="S124" s="4115"/>
      <c r="T124" s="4115"/>
      <c r="U124" s="4115"/>
      <c r="V124" s="4115"/>
      <c r="W124" s="4115"/>
      <c r="X124" s="4115"/>
      <c r="Y124" s="4113"/>
      <c r="Z124" s="4113"/>
      <c r="AA124" s="4113"/>
      <c r="AB124" s="4113"/>
    </row>
    <row r="125" spans="3:28" ht="15" hidden="1" customHeight="1">
      <c r="C125" s="4114">
        <v>21154</v>
      </c>
      <c r="D125" s="4113" t="s">
        <v>4833</v>
      </c>
      <c r="E125" s="4160">
        <v>5207671</v>
      </c>
      <c r="F125" s="4160"/>
      <c r="G125" s="4160"/>
      <c r="H125" s="4113"/>
      <c r="I125" s="4113"/>
      <c r="J125" s="4113"/>
      <c r="K125" s="4113"/>
      <c r="L125" s="4113"/>
      <c r="M125" s="4113"/>
      <c r="N125" s="4113"/>
      <c r="O125" s="4113"/>
      <c r="P125" s="4113"/>
      <c r="Q125" s="4113"/>
      <c r="R125" s="4113"/>
      <c r="S125" s="4115"/>
      <c r="T125" s="4115"/>
      <c r="U125" s="4115"/>
      <c r="V125" s="4115"/>
      <c r="W125" s="4115"/>
      <c r="X125" s="4115"/>
      <c r="Y125" s="4113"/>
      <c r="Z125" s="4113"/>
      <c r="AA125" s="4113"/>
      <c r="AB125" s="4113"/>
    </row>
    <row r="126" spans="3:28" ht="15" hidden="1" customHeight="1">
      <c r="C126" s="4247">
        <v>21229</v>
      </c>
      <c r="D126" s="4235" t="s">
        <v>4834</v>
      </c>
      <c r="E126" s="4248">
        <v>-9038561</v>
      </c>
      <c r="F126" s="4249">
        <v>-7298973</v>
      </c>
      <c r="G126" s="4160">
        <f t="shared" ref="G126:G127" si="24">E126-F126</f>
        <v>-1739588</v>
      </c>
      <c r="H126" s="4113"/>
      <c r="I126" s="4113"/>
      <c r="J126" s="4113"/>
      <c r="K126" s="4113"/>
      <c r="L126" s="4113"/>
      <c r="M126" s="4113"/>
      <c r="N126" s="4113"/>
      <c r="O126" s="4113"/>
      <c r="P126" s="4113"/>
      <c r="Q126" s="4113"/>
      <c r="R126" s="4113"/>
      <c r="S126" s="4115"/>
      <c r="T126" s="4115"/>
      <c r="U126" s="4115"/>
      <c r="V126" s="4115"/>
      <c r="W126" s="4115"/>
      <c r="X126" s="4115"/>
      <c r="Y126" s="4113"/>
      <c r="Z126" s="4113"/>
      <c r="AA126" s="4113"/>
      <c r="AB126" s="4113"/>
    </row>
    <row r="127" spans="3:28" ht="15" hidden="1" customHeight="1">
      <c r="C127" s="4250">
        <v>22149</v>
      </c>
      <c r="D127" s="4138" t="s">
        <v>4834</v>
      </c>
      <c r="E127" s="4251">
        <v>-9038561</v>
      </c>
      <c r="F127" s="4252">
        <v>-7298973</v>
      </c>
      <c r="G127" s="4160">
        <f t="shared" si="24"/>
        <v>-1739588</v>
      </c>
      <c r="H127" s="4113"/>
      <c r="I127" s="4113"/>
      <c r="J127" s="4113"/>
      <c r="K127" s="4113"/>
      <c r="L127" s="4113"/>
      <c r="M127" s="4113"/>
      <c r="N127" s="4113"/>
      <c r="O127" s="4113"/>
      <c r="P127" s="4113"/>
      <c r="Q127" s="4113"/>
      <c r="R127" s="4113"/>
      <c r="S127" s="4115"/>
      <c r="T127" s="4115"/>
      <c r="U127" s="4115"/>
      <c r="V127" s="4115"/>
      <c r="W127" s="4115"/>
      <c r="X127" s="4115"/>
      <c r="Y127" s="4113"/>
      <c r="Z127" s="4113"/>
      <c r="AA127" s="4113"/>
      <c r="AB127" s="4113"/>
    </row>
    <row r="128" spans="3:28" ht="15" hidden="1" customHeight="1">
      <c r="C128" s="4114"/>
      <c r="D128" s="4113"/>
      <c r="E128" s="4113"/>
      <c r="F128" s="4113"/>
      <c r="G128" s="4113"/>
      <c r="H128" s="4113"/>
      <c r="I128" s="4113"/>
      <c r="J128" s="4113"/>
      <c r="K128" s="4113"/>
      <c r="L128" s="4113"/>
      <c r="M128" s="4113"/>
      <c r="N128" s="4113"/>
      <c r="O128" s="4113"/>
      <c r="P128" s="4113"/>
      <c r="Q128" s="4113"/>
      <c r="R128" s="4113"/>
      <c r="S128" s="4115"/>
      <c r="T128" s="4115"/>
      <c r="U128" s="4115"/>
      <c r="V128" s="4115"/>
      <c r="W128" s="4115"/>
      <c r="X128" s="4115"/>
      <c r="Y128" s="4113"/>
      <c r="Z128" s="4113"/>
      <c r="AA128" s="4113"/>
      <c r="AB128" s="4113"/>
    </row>
  </sheetData>
  <phoneticPr fontId="12" type="noConversion"/>
  <pageMargins left="0.70866141732283472" right="0.70866141732283472" top="0.74803149606299213" bottom="0.74803149606299213" header="0.31496062992125984" footer="0.31496062992125984"/>
  <pageSetup paperSize="9" scale="30" orientation="landscape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87CAE-C0C6-4F83-B9A5-9930C718504D}">
  <sheetPr codeName="Sheet35">
    <tabColor theme="1"/>
  </sheetPr>
  <dimension ref="A1:BI110"/>
  <sheetViews>
    <sheetView showGridLines="0" zoomScale="80" zoomScaleNormal="80" workbookViewId="0">
      <pane xSplit="3" ySplit="4" topLeftCell="AU17" activePane="bottomRight" state="frozen"/>
      <selection activeCell="C10" sqref="C10"/>
      <selection pane="topRight" activeCell="C10" sqref="C10"/>
      <selection pane="bottomLeft" activeCell="C10" sqref="C10"/>
      <selection pane="bottomRight" activeCell="BG31" sqref="BG31"/>
    </sheetView>
  </sheetViews>
  <sheetFormatPr defaultColWidth="8.77734375" defaultRowHeight="16.5" outlineLevelCol="1"/>
  <cols>
    <col min="1" max="1" width="1.109375" style="2696" customWidth="1"/>
    <col min="2" max="2" width="8.77734375" style="2696"/>
    <col min="3" max="3" width="27.5546875" style="2696" bestFit="1" customWidth="1"/>
    <col min="4" max="5" width="16.109375" style="2696" customWidth="1"/>
    <col min="6" max="17" width="18.21875" style="2696" hidden="1" customWidth="1" outlineLevel="1"/>
    <col min="18" max="18" width="16.21875" style="4621" customWidth="1" collapsed="1"/>
    <col min="19" max="20" width="15.44140625" style="4621" hidden="1" customWidth="1" outlineLevel="1"/>
    <col min="21" max="21" width="15.21875" style="4621" hidden="1" customWidth="1" outlineLevel="1"/>
    <col min="22" max="22" width="15.5546875" style="4621" hidden="1" customWidth="1" outlineLevel="1"/>
    <col min="23" max="23" width="16.44140625" style="4621" hidden="1" customWidth="1" outlineLevel="1"/>
    <col min="24" max="29" width="15.44140625" style="4621" hidden="1" customWidth="1" outlineLevel="1"/>
    <col min="30" max="30" width="16.6640625" style="2696" hidden="1" customWidth="1" outlineLevel="1"/>
    <col min="31" max="31" width="16.21875" style="4264" customWidth="1" collapsed="1"/>
    <col min="32" max="43" width="16.88671875" style="4264" hidden="1" customWidth="1" outlineLevel="1"/>
    <col min="44" max="44" width="16.88671875" style="4264" customWidth="1" collapsed="1"/>
    <col min="45" max="56" width="15.44140625" style="4258" customWidth="1" outlineLevel="1"/>
    <col min="57" max="57" width="15.5546875" style="2696" customWidth="1"/>
    <col min="58" max="61" width="13.6640625" style="2696" customWidth="1"/>
    <col min="62" max="16384" width="8.77734375" style="2696"/>
  </cols>
  <sheetData>
    <row r="1" spans="1:61" ht="26.25">
      <c r="A1" s="4253"/>
      <c r="B1" s="4254"/>
      <c r="C1" s="266"/>
      <c r="D1" s="266"/>
      <c r="E1" s="266"/>
      <c r="F1" s="266"/>
      <c r="G1" s="266"/>
      <c r="H1" s="266"/>
      <c r="I1" s="4255"/>
      <c r="J1" s="266"/>
      <c r="K1" s="266"/>
      <c r="L1" s="266"/>
      <c r="M1" s="266"/>
      <c r="N1" s="266"/>
      <c r="O1" s="266"/>
      <c r="P1" s="266"/>
      <c r="Q1" s="266"/>
      <c r="R1" s="4256"/>
      <c r="S1" s="4256"/>
      <c r="T1" s="4256"/>
      <c r="U1" s="4256"/>
      <c r="V1" s="4256"/>
      <c r="W1" s="4256"/>
      <c r="X1" s="4256"/>
      <c r="Y1" s="4256"/>
      <c r="Z1" s="4256"/>
      <c r="AA1" s="4256"/>
      <c r="AB1" s="4256"/>
      <c r="AC1" s="4256"/>
      <c r="AD1" s="266"/>
      <c r="AE1" s="4257"/>
      <c r="AF1" s="4257"/>
      <c r="AG1" s="4257"/>
      <c r="AH1" s="4257"/>
      <c r="AI1" s="4257"/>
      <c r="AJ1" s="4257"/>
      <c r="AK1" s="4257"/>
      <c r="AL1" s="4257"/>
      <c r="AM1" s="4257"/>
      <c r="AN1" s="4257"/>
      <c r="AO1" s="4257"/>
      <c r="AP1" s="4257"/>
      <c r="AQ1" s="4257"/>
      <c r="AR1" s="4257"/>
    </row>
    <row r="2" spans="1:61" ht="17.25" thickBot="1">
      <c r="A2" s="4253"/>
      <c r="B2" s="4259"/>
      <c r="C2" s="4253"/>
      <c r="D2" s="4253"/>
      <c r="E2" s="4260"/>
      <c r="F2" s="4253"/>
      <c r="G2" s="4253"/>
      <c r="H2" s="4260"/>
      <c r="I2" s="4261"/>
      <c r="J2" s="4253"/>
      <c r="K2" s="4253"/>
      <c r="L2" s="4253"/>
      <c r="M2" s="4253"/>
      <c r="N2" s="4253"/>
      <c r="O2" s="4253"/>
      <c r="P2" s="4253"/>
      <c r="Q2" s="4253"/>
      <c r="R2" s="4262"/>
      <c r="S2" s="4262"/>
      <c r="T2" s="4262"/>
      <c r="U2" s="4262"/>
      <c r="V2" s="4262"/>
      <c r="W2" s="4262"/>
      <c r="X2" s="4262"/>
      <c r="Y2" s="4262"/>
      <c r="Z2" s="4262"/>
      <c r="AA2" s="4262"/>
      <c r="AB2" s="4262"/>
      <c r="AC2" s="4262"/>
      <c r="AD2" s="4253"/>
      <c r="AE2" s="4263"/>
      <c r="AS2" s="2336"/>
      <c r="AT2" s="2336"/>
      <c r="AU2" s="2336"/>
      <c r="AV2" s="2336"/>
      <c r="AW2" s="2336"/>
      <c r="AX2" s="2336"/>
      <c r="AY2" s="2336"/>
      <c r="AZ2" s="2336"/>
      <c r="BA2" s="2336"/>
    </row>
    <row r="3" spans="1:61" ht="18" thickTop="1">
      <c r="A3" s="4265"/>
      <c r="B3" s="4266" t="s">
        <v>4437</v>
      </c>
      <c r="C3" s="5692" t="s">
        <v>4835</v>
      </c>
      <c r="D3" s="4267" t="s">
        <v>4836</v>
      </c>
      <c r="E3" s="4268" t="s">
        <v>4837</v>
      </c>
      <c r="F3" s="4269" t="s">
        <v>4838</v>
      </c>
      <c r="G3" s="4270"/>
      <c r="H3" s="4270"/>
      <c r="I3" s="4270"/>
      <c r="J3" s="4270"/>
      <c r="K3" s="4270"/>
      <c r="L3" s="4270"/>
      <c r="M3" s="4270"/>
      <c r="N3" s="4270"/>
      <c r="O3" s="4270"/>
      <c r="P3" s="4270"/>
      <c r="Q3" s="4271"/>
      <c r="R3" s="4272" t="s">
        <v>4838</v>
      </c>
      <c r="S3" s="4273" t="s">
        <v>4839</v>
      </c>
      <c r="T3" s="4274"/>
      <c r="U3" s="4275"/>
      <c r="V3" s="4275"/>
      <c r="W3" s="4275"/>
      <c r="X3" s="4275"/>
      <c r="Y3" s="4275"/>
      <c r="Z3" s="4275"/>
      <c r="AA3" s="4275"/>
      <c r="AB3" s="4276"/>
      <c r="AC3" s="4275"/>
      <c r="AD3" s="4277"/>
      <c r="AE3" s="4278" t="s">
        <v>4839</v>
      </c>
      <c r="AF3" s="4279" t="s">
        <v>4840</v>
      </c>
      <c r="AG3" s="4280"/>
      <c r="AH3" s="4281"/>
      <c r="AI3" s="4282"/>
      <c r="AJ3" s="4282"/>
      <c r="AK3" s="4280"/>
      <c r="AL3" s="4282"/>
      <c r="AM3" s="4282"/>
      <c r="AN3" s="4282"/>
      <c r="AO3" s="4283"/>
      <c r="AP3" s="4282"/>
      <c r="AQ3" s="4282"/>
      <c r="AR3" s="4284" t="s">
        <v>4840</v>
      </c>
      <c r="AS3" s="4285" t="s">
        <v>4841</v>
      </c>
      <c r="AT3" s="4285"/>
      <c r="AU3" s="4286"/>
      <c r="AV3" s="4286"/>
      <c r="AW3" s="4286"/>
      <c r="AX3" s="4286"/>
      <c r="AY3" s="4286"/>
      <c r="AZ3" s="4286"/>
      <c r="BA3" s="4286"/>
      <c r="BB3" s="4286"/>
      <c r="BC3" s="4286"/>
      <c r="BD3" s="4286"/>
      <c r="BE3" s="4287" t="s">
        <v>4841</v>
      </c>
      <c r="BF3" s="2696">
        <v>2021</v>
      </c>
      <c r="BG3" s="2696">
        <v>2021</v>
      </c>
      <c r="BH3" s="2696">
        <v>2021</v>
      </c>
      <c r="BI3" s="2696">
        <v>2021</v>
      </c>
    </row>
    <row r="4" spans="1:61" ht="18" thickBot="1">
      <c r="A4" s="4265"/>
      <c r="B4" s="4288"/>
      <c r="C4" s="5693"/>
      <c r="D4" s="4289"/>
      <c r="E4" s="4289"/>
      <c r="F4" s="4290" t="s">
        <v>4842</v>
      </c>
      <c r="G4" s="4291" t="s">
        <v>4712</v>
      </c>
      <c r="H4" s="4291" t="s">
        <v>4713</v>
      </c>
      <c r="I4" s="4291" t="s">
        <v>4714</v>
      </c>
      <c r="J4" s="4291" t="s">
        <v>4715</v>
      </c>
      <c r="K4" s="4291" t="s">
        <v>4716</v>
      </c>
      <c r="L4" s="4291" t="s">
        <v>4717</v>
      </c>
      <c r="M4" s="4291" t="s">
        <v>4718</v>
      </c>
      <c r="N4" s="4291" t="s">
        <v>4719</v>
      </c>
      <c r="O4" s="4291" t="s">
        <v>4720</v>
      </c>
      <c r="P4" s="4291" t="s">
        <v>4721</v>
      </c>
      <c r="Q4" s="4291" t="s">
        <v>4722</v>
      </c>
      <c r="R4" s="4292"/>
      <c r="S4" s="4293" t="s">
        <v>4842</v>
      </c>
      <c r="T4" s="4294" t="s">
        <v>4712</v>
      </c>
      <c r="U4" s="4294" t="s">
        <v>4713</v>
      </c>
      <c r="V4" s="4294" t="s">
        <v>4714</v>
      </c>
      <c r="W4" s="4294" t="s">
        <v>4715</v>
      </c>
      <c r="X4" s="4294" t="s">
        <v>4716</v>
      </c>
      <c r="Y4" s="4294" t="s">
        <v>4717</v>
      </c>
      <c r="Z4" s="4294" t="s">
        <v>4718</v>
      </c>
      <c r="AA4" s="4294" t="s">
        <v>4843</v>
      </c>
      <c r="AB4" s="4294" t="s">
        <v>4720</v>
      </c>
      <c r="AC4" s="4294" t="s">
        <v>4721</v>
      </c>
      <c r="AD4" s="4295" t="s">
        <v>4722</v>
      </c>
      <c r="AE4" s="4296"/>
      <c r="AF4" s="4297" t="s">
        <v>4842</v>
      </c>
      <c r="AG4" s="4298" t="s">
        <v>4712</v>
      </c>
      <c r="AH4" s="4299" t="s">
        <v>4713</v>
      </c>
      <c r="AI4" s="4300" t="s">
        <v>4714</v>
      </c>
      <c r="AJ4" s="4301" t="s">
        <v>4715</v>
      </c>
      <c r="AK4" s="4302" t="s">
        <v>4716</v>
      </c>
      <c r="AL4" s="4300" t="s">
        <v>4717</v>
      </c>
      <c r="AM4" s="4301" t="s">
        <v>4718</v>
      </c>
      <c r="AN4" s="4303" t="s">
        <v>4719</v>
      </c>
      <c r="AO4" s="4300" t="s">
        <v>4720</v>
      </c>
      <c r="AP4" s="4301" t="s">
        <v>4721</v>
      </c>
      <c r="AQ4" s="4304" t="s">
        <v>4722</v>
      </c>
      <c r="AR4" s="4305" t="s">
        <v>14</v>
      </c>
      <c r="AS4" s="4306" t="s">
        <v>4842</v>
      </c>
      <c r="AT4" s="4307" t="s">
        <v>4712</v>
      </c>
      <c r="AU4" s="4308" t="s">
        <v>4713</v>
      </c>
      <c r="AV4" s="4309" t="s">
        <v>4714</v>
      </c>
      <c r="AW4" s="4307" t="s">
        <v>4715</v>
      </c>
      <c r="AX4" s="4308" t="s">
        <v>4716</v>
      </c>
      <c r="AY4" s="4309" t="s">
        <v>4717</v>
      </c>
      <c r="AZ4" s="4307" t="s">
        <v>4718</v>
      </c>
      <c r="BA4" s="4308" t="s">
        <v>4719</v>
      </c>
      <c r="BB4" s="4309" t="s">
        <v>4720</v>
      </c>
      <c r="BC4" s="4307" t="s">
        <v>4721</v>
      </c>
      <c r="BD4" s="4308" t="s">
        <v>4722</v>
      </c>
      <c r="BE4" s="4310" t="s">
        <v>14</v>
      </c>
      <c r="BF4" s="4311" t="s">
        <v>4844</v>
      </c>
      <c r="BG4" s="4311" t="s">
        <v>4845</v>
      </c>
      <c r="BH4" s="4311" t="s">
        <v>4846</v>
      </c>
      <c r="BI4" s="4311" t="s">
        <v>4847</v>
      </c>
    </row>
    <row r="5" spans="1:61" ht="17.25" thickTop="1">
      <c r="A5" s="4312"/>
      <c r="B5" s="4313" t="s">
        <v>4848</v>
      </c>
      <c r="C5" s="4314" t="s">
        <v>4849</v>
      </c>
      <c r="D5" s="4315">
        <v>19838288876</v>
      </c>
      <c r="E5" s="4315">
        <v>21837602509</v>
      </c>
      <c r="F5" s="4316">
        <v>1740002154</v>
      </c>
      <c r="G5" s="4317">
        <v>1730467051</v>
      </c>
      <c r="H5" s="4318">
        <v>1840589421</v>
      </c>
      <c r="I5" s="4317">
        <v>1711659411</v>
      </c>
      <c r="J5" s="4317">
        <v>2211373797</v>
      </c>
      <c r="K5" s="4317">
        <v>1746700755</v>
      </c>
      <c r="L5" s="4317">
        <v>1774700419</v>
      </c>
      <c r="M5" s="4317">
        <v>1538237134</v>
      </c>
      <c r="N5" s="4317">
        <v>1948934598</v>
      </c>
      <c r="O5" s="4317">
        <v>2125917266</v>
      </c>
      <c r="P5" s="4317">
        <v>1772135008</v>
      </c>
      <c r="Q5" s="4319">
        <v>1907509862</v>
      </c>
      <c r="R5" s="4315">
        <v>22048226876</v>
      </c>
      <c r="S5" s="4316">
        <v>1563256350</v>
      </c>
      <c r="T5" s="4317">
        <v>1992949614</v>
      </c>
      <c r="U5" s="4318">
        <v>1903271663</v>
      </c>
      <c r="V5" s="4317">
        <v>2152584749</v>
      </c>
      <c r="W5" s="4317">
        <v>1896089556</v>
      </c>
      <c r="X5" s="4317">
        <v>1871208667</v>
      </c>
      <c r="Y5" s="4317">
        <v>1560084183</v>
      </c>
      <c r="Z5" s="4317">
        <v>1981954465</v>
      </c>
      <c r="AA5" s="4317">
        <v>2082374343</v>
      </c>
      <c r="AB5" s="4317">
        <v>2191011875</v>
      </c>
      <c r="AC5" s="4317">
        <v>2275555732</v>
      </c>
      <c r="AD5" s="4319">
        <v>2366959388</v>
      </c>
      <c r="AE5" s="4315">
        <v>23837300585</v>
      </c>
      <c r="AF5" s="4320">
        <v>1774154201</v>
      </c>
      <c r="AG5" s="4321">
        <v>2267817375</v>
      </c>
      <c r="AH5" s="4322">
        <v>1973902540</v>
      </c>
      <c r="AI5" s="4323">
        <v>2446582301</v>
      </c>
      <c r="AJ5" s="4321">
        <v>1998039139</v>
      </c>
      <c r="AK5" s="4322">
        <v>2077163274</v>
      </c>
      <c r="AL5" s="4323">
        <v>2430055209</v>
      </c>
      <c r="AM5" s="4321">
        <v>2344859588</v>
      </c>
      <c r="AN5" s="4322">
        <v>2371921777</v>
      </c>
      <c r="AO5" s="4323">
        <v>2497272311</v>
      </c>
      <c r="AP5" s="4321">
        <v>2164656848</v>
      </c>
      <c r="AQ5" s="4324">
        <v>2290587075</v>
      </c>
      <c r="AR5" s="4325">
        <v>26637011638</v>
      </c>
      <c r="AS5" s="4320">
        <f>SUM(AS6,AS9,AS12,AS13)</f>
        <v>2108548734</v>
      </c>
      <c r="AT5" s="4321">
        <f t="shared" ref="AT5:BD5" si="0">SUM(AT6,AT9,AT12,AT13)</f>
        <v>2150072188</v>
      </c>
      <c r="AU5" s="4322">
        <f t="shared" si="0"/>
        <v>2146473042</v>
      </c>
      <c r="AV5" s="4323">
        <f t="shared" si="0"/>
        <v>1940869210</v>
      </c>
      <c r="AW5" s="4321">
        <f t="shared" si="0"/>
        <v>2176947541</v>
      </c>
      <c r="AX5" s="4322">
        <f t="shared" si="0"/>
        <v>1873984162</v>
      </c>
      <c r="AY5" s="4323">
        <f t="shared" si="0"/>
        <v>2155429766</v>
      </c>
      <c r="AZ5" s="4321">
        <f t="shared" si="0"/>
        <v>2008184960</v>
      </c>
      <c r="BA5" s="4326">
        <f t="shared" si="0"/>
        <v>2338932067</v>
      </c>
      <c r="BB5" s="4327">
        <f t="shared" si="0"/>
        <v>1910200933</v>
      </c>
      <c r="BC5" s="4328">
        <f t="shared" si="0"/>
        <v>1940778843</v>
      </c>
      <c r="BD5" s="4326">
        <f t="shared" si="0"/>
        <v>2309342596</v>
      </c>
      <c r="BE5" s="4329">
        <f>SUM(AS5:BD5)</f>
        <v>25059764042</v>
      </c>
      <c r="BF5" s="4330">
        <f t="shared" ref="BF5:BF36" si="1">SUM(AS5:AU5)/단위</f>
        <v>64.050939639999996</v>
      </c>
      <c r="BG5" s="4330">
        <f t="shared" ref="BG5:BG36" si="2">SUM(AV5:AX5)/단위</f>
        <v>59.918009130000002</v>
      </c>
      <c r="BH5" s="4330">
        <f t="shared" ref="BH5:BH36" si="3">SUM(AY5:BA5)/단위</f>
        <v>65.025467930000005</v>
      </c>
      <c r="BI5" s="4330">
        <f t="shared" ref="BI5:BI36" si="4">SUM(BB5:BD5)/단위</f>
        <v>61.603223720000003</v>
      </c>
    </row>
    <row r="6" spans="1:61">
      <c r="A6" s="4312"/>
      <c r="B6" s="4331"/>
      <c r="C6" s="4332" t="s">
        <v>4850</v>
      </c>
      <c r="D6" s="4333">
        <v>17324312785</v>
      </c>
      <c r="E6" s="4333">
        <v>18197300636</v>
      </c>
      <c r="F6" s="4334">
        <v>1558210124</v>
      </c>
      <c r="G6" s="4335">
        <v>1244435691</v>
      </c>
      <c r="H6" s="4336">
        <v>1510862521</v>
      </c>
      <c r="I6" s="4335">
        <v>1375851651</v>
      </c>
      <c r="J6" s="4337">
        <v>1849167739</v>
      </c>
      <c r="K6" s="4335">
        <v>1434239935</v>
      </c>
      <c r="L6" s="4335">
        <v>1465369389</v>
      </c>
      <c r="M6" s="4335">
        <v>1239644614</v>
      </c>
      <c r="N6" s="4335">
        <v>1609029598</v>
      </c>
      <c r="O6" s="4335">
        <v>1754171716</v>
      </c>
      <c r="P6" s="4335">
        <v>1452702448</v>
      </c>
      <c r="Q6" s="4338">
        <v>1568619962</v>
      </c>
      <c r="R6" s="4333">
        <v>18062305388</v>
      </c>
      <c r="S6" s="4334">
        <v>1253309000</v>
      </c>
      <c r="T6" s="4335">
        <v>1548851974</v>
      </c>
      <c r="U6" s="4336">
        <v>1559383033</v>
      </c>
      <c r="V6" s="4335">
        <v>1816362087</v>
      </c>
      <c r="W6" s="4337">
        <v>1578484536</v>
      </c>
      <c r="X6" s="4335">
        <v>1551537997</v>
      </c>
      <c r="Y6" s="4335">
        <v>1267748423</v>
      </c>
      <c r="Z6" s="4335">
        <v>1677256315</v>
      </c>
      <c r="AA6" s="4335">
        <v>1752680803</v>
      </c>
      <c r="AB6" s="4335">
        <v>1870273035</v>
      </c>
      <c r="AC6" s="4335">
        <v>1954429922</v>
      </c>
      <c r="AD6" s="4338">
        <v>2041359754</v>
      </c>
      <c r="AE6" s="4333">
        <v>19871676879</v>
      </c>
      <c r="AF6" s="4339">
        <v>1480439051</v>
      </c>
      <c r="AG6" s="4340">
        <v>1947663025</v>
      </c>
      <c r="AH6" s="4341">
        <v>1627241943</v>
      </c>
      <c r="AI6" s="4342">
        <v>2122918433</v>
      </c>
      <c r="AJ6" s="4340">
        <v>1694024843</v>
      </c>
      <c r="AK6" s="4341">
        <v>1765060175</v>
      </c>
      <c r="AL6" s="4342">
        <v>2128554349</v>
      </c>
      <c r="AM6" s="4340">
        <v>2047136528</v>
      </c>
      <c r="AN6" s="4341">
        <v>2051400482</v>
      </c>
      <c r="AO6" s="4342">
        <v>2181759106</v>
      </c>
      <c r="AP6" s="4340">
        <v>1864122268</v>
      </c>
      <c r="AQ6" s="4343">
        <v>1991046200</v>
      </c>
      <c r="AR6" s="4344">
        <v>22901366403</v>
      </c>
      <c r="AS6" s="4339">
        <f>AS7+AS8</f>
        <v>1814061754</v>
      </c>
      <c r="AT6" s="4340">
        <f t="shared" ref="AT6:BD6" si="5">AT7+AT8</f>
        <v>1844272230</v>
      </c>
      <c r="AU6" s="4341">
        <f t="shared" si="5"/>
        <v>1834118972</v>
      </c>
      <c r="AV6" s="4342">
        <f t="shared" si="5"/>
        <v>1645196780</v>
      </c>
      <c r="AW6" s="4340">
        <f t="shared" si="5"/>
        <v>1870834490</v>
      </c>
      <c r="AX6" s="4341">
        <f t="shared" si="5"/>
        <v>1583032302</v>
      </c>
      <c r="AY6" s="4342">
        <f t="shared" si="5"/>
        <v>1850179966</v>
      </c>
      <c r="AZ6" s="4345">
        <f t="shared" si="5"/>
        <v>1718904680</v>
      </c>
      <c r="BA6" s="4346">
        <f t="shared" si="5"/>
        <v>2038056927</v>
      </c>
      <c r="BB6" s="4347">
        <f t="shared" si="5"/>
        <v>1623686843</v>
      </c>
      <c r="BC6" s="4345">
        <f t="shared" si="5"/>
        <v>1639268829</v>
      </c>
      <c r="BD6" s="4346">
        <f t="shared" si="5"/>
        <v>1996545876</v>
      </c>
      <c r="BE6" s="4348">
        <f t="shared" ref="BE6:BE69" si="6">SUM(AS6:BD6)</f>
        <v>21458159649</v>
      </c>
      <c r="BF6" s="4330">
        <f t="shared" si="1"/>
        <v>54.924529560000003</v>
      </c>
      <c r="BG6" s="4330">
        <f t="shared" si="2"/>
        <v>50.99063572</v>
      </c>
      <c r="BH6" s="4330">
        <f t="shared" si="3"/>
        <v>56.071415729999998</v>
      </c>
      <c r="BI6" s="4330">
        <f t="shared" si="4"/>
        <v>52.595015480000001</v>
      </c>
    </row>
    <row r="7" spans="1:61">
      <c r="A7" s="243"/>
      <c r="B7" s="4349"/>
      <c r="C7" s="4350" t="s">
        <v>245</v>
      </c>
      <c r="D7" s="4351">
        <v>16443224405</v>
      </c>
      <c r="E7" s="4351">
        <v>17078794666</v>
      </c>
      <c r="F7" s="4352">
        <v>1461352524</v>
      </c>
      <c r="G7" s="4353">
        <v>1171134691</v>
      </c>
      <c r="H7" s="4354">
        <v>1427324221</v>
      </c>
      <c r="I7" s="4353">
        <v>1297718251</v>
      </c>
      <c r="J7" s="4353">
        <v>1713148299</v>
      </c>
      <c r="K7" s="4353">
        <v>1344411235</v>
      </c>
      <c r="L7" s="4353">
        <v>1370675889</v>
      </c>
      <c r="M7" s="4353">
        <v>1175587014</v>
      </c>
      <c r="N7" s="4353">
        <v>1535166698</v>
      </c>
      <c r="O7" s="4353">
        <v>1653838616</v>
      </c>
      <c r="P7" s="4353">
        <v>1376326528</v>
      </c>
      <c r="Q7" s="4355">
        <v>1472957162</v>
      </c>
      <c r="R7" s="4351">
        <v>16999641128</v>
      </c>
      <c r="S7" s="4352">
        <v>1176125000</v>
      </c>
      <c r="T7" s="4353">
        <v>1441263774</v>
      </c>
      <c r="U7" s="4354">
        <v>1461004333</v>
      </c>
      <c r="V7" s="4353">
        <v>1678868987</v>
      </c>
      <c r="W7" s="4353">
        <v>1481980036</v>
      </c>
      <c r="X7" s="4353">
        <v>1432843897</v>
      </c>
      <c r="Y7" s="4353">
        <v>1161999523</v>
      </c>
      <c r="Z7" s="4353">
        <v>1544615415</v>
      </c>
      <c r="AA7" s="4353">
        <v>1634405703</v>
      </c>
      <c r="AB7" s="4353">
        <v>1725804535</v>
      </c>
      <c r="AC7" s="4353">
        <v>1824017322</v>
      </c>
      <c r="AD7" s="4355">
        <v>1853576654</v>
      </c>
      <c r="AE7" s="4351">
        <v>18416505179</v>
      </c>
      <c r="AF7" s="4356">
        <v>1339871051</v>
      </c>
      <c r="AG7" s="4357">
        <v>1794340925</v>
      </c>
      <c r="AH7" s="4358">
        <v>1505316343</v>
      </c>
      <c r="AI7" s="4359">
        <v>1975395933</v>
      </c>
      <c r="AJ7" s="4357">
        <v>1586118423</v>
      </c>
      <c r="AK7" s="4358">
        <v>1670652375</v>
      </c>
      <c r="AL7" s="4359">
        <v>2012979049</v>
      </c>
      <c r="AM7" s="4357">
        <v>1926349128</v>
      </c>
      <c r="AN7" s="4358">
        <v>1918982482</v>
      </c>
      <c r="AO7" s="4359">
        <v>2026553906</v>
      </c>
      <c r="AP7" s="4357">
        <v>1729369768</v>
      </c>
      <c r="AQ7" s="4360">
        <v>1845766880</v>
      </c>
      <c r="AR7" s="4361">
        <v>21331696263</v>
      </c>
      <c r="AS7" s="4356">
        <v>1671184954</v>
      </c>
      <c r="AT7" s="4357">
        <v>1724681430</v>
      </c>
      <c r="AU7" s="4358">
        <v>1720365072</v>
      </c>
      <c r="AV7" s="4359">
        <v>1556079940</v>
      </c>
      <c r="AW7" s="4357">
        <v>1726689690</v>
      </c>
      <c r="AX7" s="4358">
        <v>1477994502</v>
      </c>
      <c r="AY7" s="4359">
        <v>1735049966</v>
      </c>
      <c r="AZ7" s="4362">
        <v>1603691880</v>
      </c>
      <c r="BA7" s="4363">
        <v>1878917117</v>
      </c>
      <c r="BB7" s="4364">
        <v>1495847116</v>
      </c>
      <c r="BC7" s="4362">
        <v>1432174629</v>
      </c>
      <c r="BD7" s="4363">
        <v>1779206276</v>
      </c>
      <c r="BE7" s="4365">
        <f t="shared" si="6"/>
        <v>19801882572</v>
      </c>
      <c r="BF7" s="4330">
        <f t="shared" si="1"/>
        <v>51.162314559999999</v>
      </c>
      <c r="BG7" s="4330">
        <f t="shared" si="2"/>
        <v>47.607641319999999</v>
      </c>
      <c r="BH7" s="4330">
        <f t="shared" si="3"/>
        <v>52.176589630000002</v>
      </c>
      <c r="BI7" s="4330">
        <f t="shared" si="4"/>
        <v>47.072280210000002</v>
      </c>
    </row>
    <row r="8" spans="1:61">
      <c r="A8" s="243"/>
      <c r="B8" s="4349"/>
      <c r="C8" s="4350" t="s">
        <v>246</v>
      </c>
      <c r="D8" s="4351">
        <v>881088380</v>
      </c>
      <c r="E8" s="4351">
        <v>1118505970</v>
      </c>
      <c r="F8" s="4352">
        <v>96857600</v>
      </c>
      <c r="G8" s="4353">
        <v>73301000</v>
      </c>
      <c r="H8" s="4354">
        <v>83538300</v>
      </c>
      <c r="I8" s="4353">
        <v>78133400</v>
      </c>
      <c r="J8" s="4353">
        <v>136019440</v>
      </c>
      <c r="K8" s="4353">
        <v>89828700</v>
      </c>
      <c r="L8" s="4353">
        <v>94693500</v>
      </c>
      <c r="M8" s="4353">
        <v>64057600</v>
      </c>
      <c r="N8" s="4353">
        <v>73862900</v>
      </c>
      <c r="O8" s="4353">
        <v>100333100</v>
      </c>
      <c r="P8" s="4353">
        <v>76375920</v>
      </c>
      <c r="Q8" s="4355">
        <v>95662800</v>
      </c>
      <c r="R8" s="4351">
        <v>1062664260</v>
      </c>
      <c r="S8" s="4352">
        <v>77184000</v>
      </c>
      <c r="T8" s="4353">
        <v>107588200</v>
      </c>
      <c r="U8" s="4354">
        <v>98378700</v>
      </c>
      <c r="V8" s="4353">
        <v>137493100</v>
      </c>
      <c r="W8" s="4353">
        <v>96504500</v>
      </c>
      <c r="X8" s="4353">
        <v>118694100</v>
      </c>
      <c r="Y8" s="4353">
        <v>105748900</v>
      </c>
      <c r="Z8" s="4353">
        <v>132640900</v>
      </c>
      <c r="AA8" s="4353">
        <v>118275100</v>
      </c>
      <c r="AB8" s="4353">
        <v>144468500</v>
      </c>
      <c r="AC8" s="4353">
        <v>130412600</v>
      </c>
      <c r="AD8" s="4355">
        <v>187783100</v>
      </c>
      <c r="AE8" s="4351">
        <v>1455171700</v>
      </c>
      <c r="AF8" s="4356">
        <v>140568000</v>
      </c>
      <c r="AG8" s="4357">
        <v>153322100</v>
      </c>
      <c r="AH8" s="4358">
        <v>121925600</v>
      </c>
      <c r="AI8" s="4359">
        <v>147522500</v>
      </c>
      <c r="AJ8" s="4357">
        <v>107906420</v>
      </c>
      <c r="AK8" s="4358">
        <v>94407800</v>
      </c>
      <c r="AL8" s="4359">
        <v>115575300</v>
      </c>
      <c r="AM8" s="4357">
        <v>120787400</v>
      </c>
      <c r="AN8" s="4358">
        <v>132418000</v>
      </c>
      <c r="AO8" s="4359">
        <v>155205200</v>
      </c>
      <c r="AP8" s="4357">
        <v>134752500</v>
      </c>
      <c r="AQ8" s="4360">
        <v>145279320</v>
      </c>
      <c r="AR8" s="4361">
        <v>1569670140</v>
      </c>
      <c r="AS8" s="4356">
        <v>142876800</v>
      </c>
      <c r="AT8" s="4357">
        <v>119590800</v>
      </c>
      <c r="AU8" s="4358">
        <v>113753900</v>
      </c>
      <c r="AV8" s="4359">
        <v>89116840</v>
      </c>
      <c r="AW8" s="4357">
        <v>144144800</v>
      </c>
      <c r="AX8" s="4358">
        <v>105037800</v>
      </c>
      <c r="AY8" s="4359">
        <v>115130000</v>
      </c>
      <c r="AZ8" s="4362">
        <v>115212800</v>
      </c>
      <c r="BA8" s="4363">
        <v>159139810</v>
      </c>
      <c r="BB8" s="4364">
        <v>127839727</v>
      </c>
      <c r="BC8" s="4362">
        <v>207094200</v>
      </c>
      <c r="BD8" s="4363">
        <v>217339600</v>
      </c>
      <c r="BE8" s="4365">
        <f t="shared" si="6"/>
        <v>1656277077</v>
      </c>
      <c r="BF8" s="4330">
        <f t="shared" si="1"/>
        <v>3.7622149999999999</v>
      </c>
      <c r="BG8" s="4330">
        <f t="shared" si="2"/>
        <v>3.3829943999999998</v>
      </c>
      <c r="BH8" s="4330">
        <f t="shared" si="3"/>
        <v>3.8948261</v>
      </c>
      <c r="BI8" s="4330">
        <f t="shared" si="4"/>
        <v>5.5227352700000001</v>
      </c>
    </row>
    <row r="9" spans="1:61">
      <c r="A9" s="4312"/>
      <c r="B9" s="4331"/>
      <c r="C9" s="4332" t="s">
        <v>4851</v>
      </c>
      <c r="D9" s="4333">
        <v>391564610</v>
      </c>
      <c r="E9" s="4333">
        <v>817717330</v>
      </c>
      <c r="F9" s="4334">
        <v>83095540</v>
      </c>
      <c r="G9" s="4335">
        <v>63825070</v>
      </c>
      <c r="H9" s="4336">
        <v>57938980</v>
      </c>
      <c r="I9" s="4336">
        <v>83159490</v>
      </c>
      <c r="J9" s="4335">
        <v>72370030</v>
      </c>
      <c r="K9" s="4335">
        <v>62694250</v>
      </c>
      <c r="L9" s="4335">
        <v>65064520</v>
      </c>
      <c r="M9" s="4335">
        <v>76573800</v>
      </c>
      <c r="N9" s="4335">
        <v>70724500</v>
      </c>
      <c r="O9" s="4335">
        <v>80752180</v>
      </c>
      <c r="P9" s="4335">
        <v>66905010</v>
      </c>
      <c r="Q9" s="4335">
        <v>66166900</v>
      </c>
      <c r="R9" s="4333">
        <v>849270270</v>
      </c>
      <c r="S9" s="4334">
        <v>66999550</v>
      </c>
      <c r="T9" s="4335">
        <v>80510790</v>
      </c>
      <c r="U9" s="4336">
        <v>68751520</v>
      </c>
      <c r="V9" s="4336">
        <v>79717722</v>
      </c>
      <c r="W9" s="4335">
        <v>84606620</v>
      </c>
      <c r="X9" s="4335">
        <v>75718130</v>
      </c>
      <c r="Y9" s="4335">
        <v>61622060</v>
      </c>
      <c r="Z9" s="4335">
        <v>75151790</v>
      </c>
      <c r="AA9" s="4335">
        <v>84172840</v>
      </c>
      <c r="AB9" s="4335">
        <v>91293640</v>
      </c>
      <c r="AC9" s="4335">
        <v>91955810</v>
      </c>
      <c r="AD9" s="4335">
        <v>82173634</v>
      </c>
      <c r="AE9" s="4333">
        <v>942674106</v>
      </c>
      <c r="AF9" s="4339">
        <v>74629150</v>
      </c>
      <c r="AG9" s="4340">
        <v>103458350</v>
      </c>
      <c r="AH9" s="4341">
        <v>114058900</v>
      </c>
      <c r="AI9" s="4342">
        <v>99565710</v>
      </c>
      <c r="AJ9" s="4340">
        <v>81054970</v>
      </c>
      <c r="AK9" s="4341">
        <v>75497080</v>
      </c>
      <c r="AL9" s="4342">
        <v>82312860</v>
      </c>
      <c r="AM9" s="4340">
        <v>77195060</v>
      </c>
      <c r="AN9" s="4341">
        <v>88159610</v>
      </c>
      <c r="AO9" s="4342">
        <v>95181060</v>
      </c>
      <c r="AP9" s="4340">
        <v>82834580</v>
      </c>
      <c r="AQ9" s="4343">
        <v>78490950</v>
      </c>
      <c r="AR9" s="4344">
        <v>1052438280</v>
      </c>
      <c r="AS9" s="4339">
        <v>66002980</v>
      </c>
      <c r="AT9" s="4340">
        <v>72069430</v>
      </c>
      <c r="AU9" s="4341">
        <v>81836070</v>
      </c>
      <c r="AV9" s="4342">
        <v>64302430</v>
      </c>
      <c r="AW9" s="4340">
        <v>73430330</v>
      </c>
      <c r="AX9" s="4341">
        <v>62053860</v>
      </c>
      <c r="AY9" s="4342">
        <v>77791800</v>
      </c>
      <c r="AZ9" s="4345">
        <v>61282280</v>
      </c>
      <c r="BA9" s="4346">
        <v>70817140</v>
      </c>
      <c r="BB9" s="4347">
        <v>59016090</v>
      </c>
      <c r="BC9" s="4345">
        <v>75032014</v>
      </c>
      <c r="BD9" s="4346">
        <v>82898720</v>
      </c>
      <c r="BE9" s="4348">
        <f t="shared" si="6"/>
        <v>846533144</v>
      </c>
      <c r="BF9" s="4330">
        <f t="shared" si="1"/>
        <v>2.1990848000000001</v>
      </c>
      <c r="BG9" s="4330">
        <f t="shared" si="2"/>
        <v>1.9978662</v>
      </c>
      <c r="BH9" s="4330">
        <f t="shared" si="3"/>
        <v>2.0989122</v>
      </c>
      <c r="BI9" s="4330">
        <f t="shared" si="4"/>
        <v>2.16946824</v>
      </c>
    </row>
    <row r="10" spans="1:61">
      <c r="A10" s="243"/>
      <c r="B10" s="4349"/>
      <c r="C10" s="4350" t="s">
        <v>4852</v>
      </c>
      <c r="D10" s="4351"/>
      <c r="E10" s="4351"/>
      <c r="F10" s="4352">
        <v>54654780</v>
      </c>
      <c r="G10" s="4353">
        <v>46790370</v>
      </c>
      <c r="H10" s="4354">
        <v>54748930</v>
      </c>
      <c r="I10" s="4353">
        <v>48909010</v>
      </c>
      <c r="J10" s="4353">
        <v>66230010</v>
      </c>
      <c r="K10" s="4353">
        <v>54728280</v>
      </c>
      <c r="L10" s="4353">
        <v>57037730</v>
      </c>
      <c r="M10" s="4353">
        <v>53259830</v>
      </c>
      <c r="N10" s="4353">
        <v>66185570</v>
      </c>
      <c r="O10" s="4353">
        <v>72970930</v>
      </c>
      <c r="P10" s="4353">
        <v>53722780</v>
      </c>
      <c r="Q10" s="4355">
        <v>55272790</v>
      </c>
      <c r="R10" s="4351">
        <v>684511010</v>
      </c>
      <c r="S10" s="4352">
        <v>49368130</v>
      </c>
      <c r="T10" s="4353">
        <v>65589040</v>
      </c>
      <c r="U10" s="4354">
        <v>55951600</v>
      </c>
      <c r="V10" s="4353">
        <v>66704370</v>
      </c>
      <c r="W10" s="4353">
        <v>67442600</v>
      </c>
      <c r="X10" s="4353">
        <v>62723800</v>
      </c>
      <c r="Y10" s="4353">
        <v>57125340</v>
      </c>
      <c r="Z10" s="4353">
        <v>61596520</v>
      </c>
      <c r="AA10" s="4353">
        <v>67770760</v>
      </c>
      <c r="AB10" s="4353">
        <v>82877640</v>
      </c>
      <c r="AC10" s="4353">
        <v>85409650</v>
      </c>
      <c r="AD10" s="4355">
        <v>72072460</v>
      </c>
      <c r="AE10" s="4351">
        <v>794631910</v>
      </c>
      <c r="AF10" s="4356">
        <v>64018200</v>
      </c>
      <c r="AG10" s="4357">
        <v>76046250</v>
      </c>
      <c r="AH10" s="4358">
        <v>73023080</v>
      </c>
      <c r="AI10" s="4359">
        <v>83233730</v>
      </c>
      <c r="AJ10" s="4357">
        <v>65854750</v>
      </c>
      <c r="AK10" s="4358">
        <v>67798700</v>
      </c>
      <c r="AL10" s="4359">
        <v>72213050</v>
      </c>
      <c r="AM10" s="4357">
        <v>70067260</v>
      </c>
      <c r="AN10" s="4358">
        <v>79131430</v>
      </c>
      <c r="AO10" s="4359">
        <v>83783200</v>
      </c>
      <c r="AP10" s="4357">
        <v>70117930</v>
      </c>
      <c r="AQ10" s="4360">
        <v>68148050</v>
      </c>
      <c r="AR10" s="4361">
        <v>873435630</v>
      </c>
      <c r="AS10" s="4356">
        <v>61560690</v>
      </c>
      <c r="AT10" s="4357">
        <v>64786850</v>
      </c>
      <c r="AU10" s="4358">
        <v>73708480</v>
      </c>
      <c r="AV10" s="4359">
        <v>61140930</v>
      </c>
      <c r="AW10" s="4357">
        <v>63721860</v>
      </c>
      <c r="AX10" s="4358">
        <v>57461210</v>
      </c>
      <c r="AY10" s="4359">
        <v>68404360</v>
      </c>
      <c r="AZ10" s="4362">
        <v>60477200</v>
      </c>
      <c r="BA10" s="4363">
        <v>69442860</v>
      </c>
      <c r="BB10" s="4364">
        <v>57379480</v>
      </c>
      <c r="BC10" s="4362">
        <v>60583710</v>
      </c>
      <c r="BD10" s="4363">
        <v>73806540</v>
      </c>
      <c r="BE10" s="4365">
        <f t="shared" si="6"/>
        <v>772474170</v>
      </c>
      <c r="BF10" s="4330">
        <f t="shared" si="1"/>
        <v>2.0005601999999998</v>
      </c>
      <c r="BG10" s="4330">
        <f t="shared" si="2"/>
        <v>1.82324</v>
      </c>
      <c r="BH10" s="4330">
        <f t="shared" si="3"/>
        <v>1.9832441999999999</v>
      </c>
      <c r="BI10" s="4330">
        <f t="shared" si="4"/>
        <v>1.9176972999999999</v>
      </c>
    </row>
    <row r="11" spans="1:61">
      <c r="A11" s="243"/>
      <c r="B11" s="4349"/>
      <c r="C11" s="4350" t="s">
        <v>4853</v>
      </c>
      <c r="D11" s="4351"/>
      <c r="E11" s="4351"/>
      <c r="F11" s="4352">
        <v>28440760</v>
      </c>
      <c r="G11" s="4353">
        <v>17034700</v>
      </c>
      <c r="H11" s="4354">
        <v>3190050</v>
      </c>
      <c r="I11" s="4353">
        <v>34250480</v>
      </c>
      <c r="J11" s="4353">
        <v>6140020</v>
      </c>
      <c r="K11" s="4353">
        <v>7965970</v>
      </c>
      <c r="L11" s="4353">
        <v>8026790</v>
      </c>
      <c r="M11" s="4353">
        <v>23313970</v>
      </c>
      <c r="N11" s="4353">
        <v>4538930</v>
      </c>
      <c r="O11" s="4353">
        <v>7781250</v>
      </c>
      <c r="P11" s="4353">
        <v>13182230</v>
      </c>
      <c r="Q11" s="4355">
        <v>10894110</v>
      </c>
      <c r="R11" s="4351">
        <v>164759260</v>
      </c>
      <c r="S11" s="4352">
        <v>17631420</v>
      </c>
      <c r="T11" s="4353">
        <v>14921750</v>
      </c>
      <c r="U11" s="4354">
        <v>12799920</v>
      </c>
      <c r="V11" s="4353">
        <v>13013352</v>
      </c>
      <c r="W11" s="4353">
        <v>17164020</v>
      </c>
      <c r="X11" s="4353">
        <v>12994330</v>
      </c>
      <c r="Y11" s="4353">
        <v>4496720</v>
      </c>
      <c r="Z11" s="4353">
        <v>13555270</v>
      </c>
      <c r="AA11" s="4353">
        <v>16402080</v>
      </c>
      <c r="AB11" s="4353">
        <v>8416000</v>
      </c>
      <c r="AC11" s="4353">
        <v>6546160</v>
      </c>
      <c r="AD11" s="4355">
        <v>10101174</v>
      </c>
      <c r="AE11" s="4351">
        <v>5000000</v>
      </c>
      <c r="AF11" s="4356">
        <v>10610950</v>
      </c>
      <c r="AG11" s="4357">
        <v>27412100</v>
      </c>
      <c r="AH11" s="4358">
        <v>41035820</v>
      </c>
      <c r="AI11" s="4359">
        <v>16331980</v>
      </c>
      <c r="AJ11" s="4357">
        <v>15200220</v>
      </c>
      <c r="AK11" s="4358">
        <v>7698380</v>
      </c>
      <c r="AL11" s="4359">
        <v>10099810</v>
      </c>
      <c r="AM11" s="4357">
        <v>7127800</v>
      </c>
      <c r="AN11" s="4358">
        <v>9028180</v>
      </c>
      <c r="AO11" s="4359">
        <v>11397860</v>
      </c>
      <c r="AP11" s="4357">
        <v>12716650</v>
      </c>
      <c r="AQ11" s="4360">
        <v>10342900</v>
      </c>
      <c r="AR11" s="4361">
        <v>179002650</v>
      </c>
      <c r="AS11" s="4356">
        <v>4442290</v>
      </c>
      <c r="AT11" s="4357">
        <v>7282580</v>
      </c>
      <c r="AU11" s="4358">
        <v>8127590</v>
      </c>
      <c r="AV11" s="4359">
        <v>3161500</v>
      </c>
      <c r="AW11" s="4357">
        <v>9708470</v>
      </c>
      <c r="AX11" s="4358">
        <v>4592650</v>
      </c>
      <c r="AY11" s="4359">
        <v>9387440</v>
      </c>
      <c r="AZ11" s="4362">
        <v>805080</v>
      </c>
      <c r="BA11" s="4363">
        <v>1374280</v>
      </c>
      <c r="BB11" s="4364">
        <v>1636610</v>
      </c>
      <c r="BC11" s="4362">
        <v>14448304</v>
      </c>
      <c r="BD11" s="4363">
        <v>9092180</v>
      </c>
      <c r="BE11" s="4365">
        <f t="shared" si="6"/>
        <v>74058974</v>
      </c>
      <c r="BF11" s="4330">
        <f t="shared" si="1"/>
        <v>0.1985246</v>
      </c>
      <c r="BG11" s="4330">
        <f t="shared" si="2"/>
        <v>0.17462620000000001</v>
      </c>
      <c r="BH11" s="4330">
        <f t="shared" si="3"/>
        <v>0.11566800000000001</v>
      </c>
      <c r="BI11" s="4330">
        <f t="shared" si="4"/>
        <v>0.25177094</v>
      </c>
    </row>
    <row r="12" spans="1:61">
      <c r="A12" s="4312"/>
      <c r="B12" s="4331"/>
      <c r="C12" s="4332" t="s">
        <v>4854</v>
      </c>
      <c r="D12" s="4333">
        <v>58086470</v>
      </c>
      <c r="E12" s="4333">
        <v>34232241</v>
      </c>
      <c r="F12" s="4334">
        <v>1373940</v>
      </c>
      <c r="G12" s="4335">
        <v>1284380</v>
      </c>
      <c r="H12" s="4336">
        <v>2799860</v>
      </c>
      <c r="I12" s="4335">
        <v>1337160</v>
      </c>
      <c r="J12" s="4335">
        <v>1176558</v>
      </c>
      <c r="K12" s="4335">
        <v>1877580</v>
      </c>
      <c r="L12" s="4335">
        <v>1679940</v>
      </c>
      <c r="M12" s="4335">
        <v>1334300</v>
      </c>
      <c r="N12" s="4335">
        <v>2184180</v>
      </c>
      <c r="O12" s="4335">
        <v>642580</v>
      </c>
      <c r="P12" s="4335">
        <v>2564700</v>
      </c>
      <c r="Q12" s="4338">
        <v>3626420</v>
      </c>
      <c r="R12" s="4333">
        <v>21881598</v>
      </c>
      <c r="S12" s="4334">
        <v>1758660</v>
      </c>
      <c r="T12" s="4335">
        <v>686420</v>
      </c>
      <c r="U12" s="4336">
        <v>3170120</v>
      </c>
      <c r="V12" s="4335">
        <v>1758940</v>
      </c>
      <c r="W12" s="4335">
        <v>2432400</v>
      </c>
      <c r="X12" s="4335">
        <v>1050540</v>
      </c>
      <c r="Y12" s="4335">
        <v>2399300</v>
      </c>
      <c r="Z12" s="4335">
        <v>1128360</v>
      </c>
      <c r="AA12" s="4335">
        <v>304800</v>
      </c>
      <c r="AB12" s="4335">
        <v>1027200</v>
      </c>
      <c r="AC12" s="4335">
        <v>2000000</v>
      </c>
      <c r="AD12" s="4338">
        <v>0</v>
      </c>
      <c r="AE12" s="4333">
        <v>17716740</v>
      </c>
      <c r="AF12" s="4339">
        <v>4000000</v>
      </c>
      <c r="AG12" s="4340">
        <v>2000000</v>
      </c>
      <c r="AH12" s="4341">
        <v>4705697</v>
      </c>
      <c r="AI12" s="4342">
        <v>7371358</v>
      </c>
      <c r="AJ12" s="4340">
        <v>5651326</v>
      </c>
      <c r="AK12" s="4341">
        <v>3758019</v>
      </c>
      <c r="AL12" s="4342">
        <v>2000000</v>
      </c>
      <c r="AM12" s="4340">
        <v>2000000</v>
      </c>
      <c r="AN12" s="4341">
        <v>2201685</v>
      </c>
      <c r="AO12" s="4342">
        <v>4528545</v>
      </c>
      <c r="AP12" s="4340">
        <v>2000000</v>
      </c>
      <c r="AQ12" s="4343">
        <v>2785925</v>
      </c>
      <c r="AR12" s="4344">
        <v>43002555</v>
      </c>
      <c r="AS12" s="4339">
        <v>2000000</v>
      </c>
      <c r="AT12" s="4340">
        <v>2301328</v>
      </c>
      <c r="AU12" s="4341">
        <v>2000000</v>
      </c>
      <c r="AV12" s="4342">
        <v>2000000</v>
      </c>
      <c r="AW12" s="4340">
        <v>5552721</v>
      </c>
      <c r="AX12" s="4341">
        <v>2000000</v>
      </c>
      <c r="AY12" s="4342">
        <v>2000000</v>
      </c>
      <c r="AZ12" s="4345"/>
      <c r="BA12" s="4346">
        <v>4000000</v>
      </c>
      <c r="BB12" s="4347">
        <v>2000000</v>
      </c>
      <c r="BC12" s="4345">
        <v>2000000</v>
      </c>
      <c r="BD12" s="4346">
        <v>2000000</v>
      </c>
      <c r="BE12" s="4348">
        <f t="shared" si="6"/>
        <v>27854049</v>
      </c>
      <c r="BF12" s="4330">
        <f t="shared" si="1"/>
        <v>6.3013280000000005E-2</v>
      </c>
      <c r="BG12" s="4330">
        <f t="shared" si="2"/>
        <v>9.5527210000000001E-2</v>
      </c>
      <c r="BH12" s="4330">
        <f t="shared" si="3"/>
        <v>0.06</v>
      </c>
      <c r="BI12" s="4330">
        <f t="shared" si="4"/>
        <v>0.06</v>
      </c>
    </row>
    <row r="13" spans="1:61">
      <c r="A13" s="4312"/>
      <c r="B13" s="4331"/>
      <c r="C13" s="4332" t="s">
        <v>4855</v>
      </c>
      <c r="D13" s="4333">
        <v>2064325011</v>
      </c>
      <c r="E13" s="4333">
        <v>2788352302</v>
      </c>
      <c r="F13" s="4334">
        <v>97322550</v>
      </c>
      <c r="G13" s="4335">
        <v>420921910</v>
      </c>
      <c r="H13" s="4336">
        <v>268988060</v>
      </c>
      <c r="I13" s="4335">
        <v>251311110</v>
      </c>
      <c r="J13" s="4335">
        <v>288659470</v>
      </c>
      <c r="K13" s="4335">
        <v>247888990</v>
      </c>
      <c r="L13" s="4335">
        <v>242586570</v>
      </c>
      <c r="M13" s="4335">
        <v>220684420</v>
      </c>
      <c r="N13" s="4335">
        <v>266996320</v>
      </c>
      <c r="O13" s="4335">
        <v>290350790</v>
      </c>
      <c r="P13" s="4335">
        <v>249962850</v>
      </c>
      <c r="Q13" s="4338">
        <v>269096580</v>
      </c>
      <c r="R13" s="4333">
        <v>3114769620</v>
      </c>
      <c r="S13" s="4334">
        <v>241189140</v>
      </c>
      <c r="T13" s="4335">
        <v>362900430</v>
      </c>
      <c r="U13" s="4336">
        <v>271966990</v>
      </c>
      <c r="V13" s="4335">
        <v>254746000</v>
      </c>
      <c r="W13" s="4335">
        <v>230566000</v>
      </c>
      <c r="X13" s="4335">
        <v>242902000</v>
      </c>
      <c r="Y13" s="4335">
        <v>228314400</v>
      </c>
      <c r="Z13" s="4335">
        <v>228418000</v>
      </c>
      <c r="AA13" s="4335">
        <v>245215900</v>
      </c>
      <c r="AB13" s="4335">
        <v>228418000</v>
      </c>
      <c r="AC13" s="4335">
        <v>227170000</v>
      </c>
      <c r="AD13" s="4338">
        <v>243426000</v>
      </c>
      <c r="AE13" s="4333">
        <v>3005232860</v>
      </c>
      <c r="AF13" s="4339">
        <v>215086000</v>
      </c>
      <c r="AG13" s="4340">
        <v>214696000</v>
      </c>
      <c r="AH13" s="4341">
        <v>227896000</v>
      </c>
      <c r="AI13" s="4342">
        <v>216726800</v>
      </c>
      <c r="AJ13" s="4340">
        <v>217308000</v>
      </c>
      <c r="AK13" s="4341">
        <v>232848000</v>
      </c>
      <c r="AL13" s="4342">
        <v>217188000</v>
      </c>
      <c r="AM13" s="4340">
        <v>218528000</v>
      </c>
      <c r="AN13" s="4341">
        <v>230160000</v>
      </c>
      <c r="AO13" s="4342">
        <v>215803600</v>
      </c>
      <c r="AP13" s="4340">
        <v>215700000</v>
      </c>
      <c r="AQ13" s="4343">
        <v>218264000</v>
      </c>
      <c r="AR13" s="4344">
        <v>2640204400</v>
      </c>
      <c r="AS13" s="4339">
        <f>SUM(AS14,AS15,AS19,AS24:AS26)</f>
        <v>226484000</v>
      </c>
      <c r="AT13" s="4340">
        <v>231429200</v>
      </c>
      <c r="AU13" s="4341">
        <v>228518000</v>
      </c>
      <c r="AV13" s="4342">
        <v>229370000</v>
      </c>
      <c r="AW13" s="4340">
        <v>227130000</v>
      </c>
      <c r="AX13" s="4341">
        <v>226898000</v>
      </c>
      <c r="AY13" s="4342">
        <v>225458000</v>
      </c>
      <c r="AZ13" s="4345">
        <v>227998000</v>
      </c>
      <c r="BA13" s="4346">
        <v>226058000</v>
      </c>
      <c r="BB13" s="4347">
        <v>225498000</v>
      </c>
      <c r="BC13" s="4345">
        <v>224478000</v>
      </c>
      <c r="BD13" s="4346">
        <v>227898000</v>
      </c>
      <c r="BE13" s="4348">
        <f t="shared" si="6"/>
        <v>2727217200</v>
      </c>
      <c r="BF13" s="4330">
        <f t="shared" si="1"/>
        <v>6.864312</v>
      </c>
      <c r="BG13" s="4330">
        <f t="shared" si="2"/>
        <v>6.8339800000000004</v>
      </c>
      <c r="BH13" s="4330">
        <f t="shared" si="3"/>
        <v>6.79514</v>
      </c>
      <c r="BI13" s="4330">
        <f t="shared" si="4"/>
        <v>6.77874</v>
      </c>
    </row>
    <row r="14" spans="1:61">
      <c r="A14" s="4312"/>
      <c r="B14" s="4331"/>
      <c r="C14" s="4366" t="s">
        <v>4856</v>
      </c>
      <c r="D14" s="4333">
        <v>1370603440</v>
      </c>
      <c r="E14" s="4333">
        <v>1777127302</v>
      </c>
      <c r="F14" s="4334">
        <v>0</v>
      </c>
      <c r="G14" s="4335">
        <v>340600000</v>
      </c>
      <c r="H14" s="4336">
        <v>160400000</v>
      </c>
      <c r="I14" s="4335">
        <v>167000000</v>
      </c>
      <c r="J14" s="4335">
        <v>167000000</v>
      </c>
      <c r="K14" s="4335">
        <v>167600000</v>
      </c>
      <c r="L14" s="4335">
        <v>167600000</v>
      </c>
      <c r="M14" s="4335">
        <v>167000000</v>
      </c>
      <c r="N14" s="4335">
        <v>167300000</v>
      </c>
      <c r="O14" s="4335">
        <v>167000000</v>
      </c>
      <c r="P14" s="4335">
        <v>167000000</v>
      </c>
      <c r="Q14" s="4335">
        <v>163300000</v>
      </c>
      <c r="R14" s="4333">
        <v>2001800000</v>
      </c>
      <c r="S14" s="4334">
        <v>167000000</v>
      </c>
      <c r="T14" s="4335">
        <v>167300000</v>
      </c>
      <c r="U14" s="4336">
        <v>167000000</v>
      </c>
      <c r="V14" s="4335">
        <v>167000000</v>
      </c>
      <c r="W14" s="4335">
        <v>167000000</v>
      </c>
      <c r="X14" s="4335">
        <v>167000000</v>
      </c>
      <c r="Y14" s="4335">
        <v>167000000</v>
      </c>
      <c r="Z14" s="4335">
        <v>167900000</v>
      </c>
      <c r="AA14" s="4335">
        <v>167000000</v>
      </c>
      <c r="AB14" s="4335">
        <v>167600000</v>
      </c>
      <c r="AC14" s="4335">
        <v>167000000</v>
      </c>
      <c r="AD14" s="4335">
        <v>163000000</v>
      </c>
      <c r="AE14" s="4333">
        <v>2001800000</v>
      </c>
      <c r="AF14" s="4339">
        <v>167300000</v>
      </c>
      <c r="AG14" s="4340">
        <v>167000000</v>
      </c>
      <c r="AH14" s="4341">
        <v>167000000</v>
      </c>
      <c r="AI14" s="4342">
        <v>167000000</v>
      </c>
      <c r="AJ14" s="4340">
        <v>167000000</v>
      </c>
      <c r="AK14" s="4341">
        <v>167000000</v>
      </c>
      <c r="AL14" s="4342">
        <v>167000000</v>
      </c>
      <c r="AM14" s="4340">
        <v>167000000</v>
      </c>
      <c r="AN14" s="4341">
        <v>167000000</v>
      </c>
      <c r="AO14" s="4342">
        <v>167000000</v>
      </c>
      <c r="AP14" s="4340">
        <v>167000000</v>
      </c>
      <c r="AQ14" s="4343">
        <v>163000000</v>
      </c>
      <c r="AR14" s="4344">
        <v>2000300000</v>
      </c>
      <c r="AS14" s="4339">
        <v>175000000</v>
      </c>
      <c r="AT14" s="4340">
        <v>175000000</v>
      </c>
      <c r="AU14" s="4341">
        <v>175000000</v>
      </c>
      <c r="AV14" s="4342">
        <v>175000000</v>
      </c>
      <c r="AW14" s="4340">
        <v>175000000</v>
      </c>
      <c r="AX14" s="4341">
        <v>175000000</v>
      </c>
      <c r="AY14" s="4347">
        <v>175000000</v>
      </c>
      <c r="AZ14" s="4345">
        <v>175000000</v>
      </c>
      <c r="BA14" s="4346">
        <v>175000000</v>
      </c>
      <c r="BB14" s="4347">
        <v>175000000</v>
      </c>
      <c r="BC14" s="4345">
        <v>175000000</v>
      </c>
      <c r="BD14" s="4346">
        <v>175000000</v>
      </c>
      <c r="BE14" s="4348">
        <f t="shared" si="6"/>
        <v>2100000000</v>
      </c>
      <c r="BF14" s="4330">
        <f t="shared" si="1"/>
        <v>5.25</v>
      </c>
      <c r="BG14" s="4330">
        <f t="shared" si="2"/>
        <v>5.25</v>
      </c>
      <c r="BH14" s="4330">
        <f t="shared" si="3"/>
        <v>5.25</v>
      </c>
      <c r="BI14" s="4330">
        <f t="shared" si="4"/>
        <v>5.25</v>
      </c>
    </row>
    <row r="15" spans="1:61">
      <c r="A15" s="4312"/>
      <c r="B15" s="4331"/>
      <c r="C15" s="4366" t="s">
        <v>4857</v>
      </c>
      <c r="D15" s="4333">
        <v>140070891</v>
      </c>
      <c r="E15" s="4333">
        <v>245296440</v>
      </c>
      <c r="F15" s="4334">
        <v>30076000</v>
      </c>
      <c r="G15" s="4335">
        <v>26236000</v>
      </c>
      <c r="H15" s="4336">
        <v>29044000</v>
      </c>
      <c r="I15" s="4335">
        <v>27916000</v>
      </c>
      <c r="J15" s="4335">
        <v>26809880</v>
      </c>
      <c r="K15" s="4335">
        <v>7404000</v>
      </c>
      <c r="L15" s="4335">
        <v>9000000</v>
      </c>
      <c r="M15" s="4335">
        <v>8312000</v>
      </c>
      <c r="N15" s="4335">
        <v>26464000</v>
      </c>
      <c r="O15" s="4335">
        <v>26908000</v>
      </c>
      <c r="P15" s="4335">
        <v>26908000</v>
      </c>
      <c r="Q15" s="4338">
        <v>30448000</v>
      </c>
      <c r="R15" s="4333">
        <v>275525880</v>
      </c>
      <c r="S15" s="4334">
        <v>29320000</v>
      </c>
      <c r="T15" s="4335">
        <v>26632000</v>
      </c>
      <c r="U15" s="4336">
        <v>26764000</v>
      </c>
      <c r="V15" s="4335">
        <v>29812000</v>
      </c>
      <c r="W15" s="4335">
        <v>25672000</v>
      </c>
      <c r="X15" s="4335">
        <v>39328000</v>
      </c>
      <c r="Y15" s="4335">
        <v>24740400</v>
      </c>
      <c r="Z15" s="4335">
        <v>23944000</v>
      </c>
      <c r="AA15" s="4335">
        <v>41641900</v>
      </c>
      <c r="AB15" s="4335">
        <v>24244000</v>
      </c>
      <c r="AC15" s="4335">
        <v>23596000</v>
      </c>
      <c r="AD15" s="4338">
        <v>43852000</v>
      </c>
      <c r="AE15" s="4333">
        <v>359546300</v>
      </c>
      <c r="AF15" s="4356">
        <v>24364000</v>
      </c>
      <c r="AG15" s="4357">
        <v>26584000</v>
      </c>
      <c r="AH15" s="4358">
        <v>39784000</v>
      </c>
      <c r="AI15" s="4359">
        <v>24514800</v>
      </c>
      <c r="AJ15" s="4357">
        <v>25096000</v>
      </c>
      <c r="AK15" s="4358">
        <v>40636000</v>
      </c>
      <c r="AL15" s="4359">
        <v>24976000</v>
      </c>
      <c r="AM15" s="4357">
        <v>26316000</v>
      </c>
      <c r="AN15" s="4358">
        <v>37948000</v>
      </c>
      <c r="AO15" s="4359">
        <v>23459600</v>
      </c>
      <c r="AP15" s="4357">
        <v>23356000</v>
      </c>
      <c r="AQ15" s="4360">
        <v>29920000</v>
      </c>
      <c r="AR15" s="4361">
        <v>346954400</v>
      </c>
      <c r="AS15" s="4356">
        <f>SUM(AS16:AS18)</f>
        <v>26140000</v>
      </c>
      <c r="AT15" s="4357">
        <f t="shared" ref="AT15:BD15" si="7">SUM(AT16:AT18)</f>
        <v>31085200</v>
      </c>
      <c r="AU15" s="4358">
        <f t="shared" si="7"/>
        <v>28174000</v>
      </c>
      <c r="AV15" s="4359">
        <f t="shared" si="7"/>
        <v>27346000</v>
      </c>
      <c r="AW15" s="4357">
        <f t="shared" si="7"/>
        <v>26786000</v>
      </c>
      <c r="AX15" s="4358">
        <f t="shared" si="7"/>
        <v>26554000</v>
      </c>
      <c r="AY15" s="4364">
        <f t="shared" si="7"/>
        <v>25114000</v>
      </c>
      <c r="AZ15" s="4362">
        <f t="shared" si="7"/>
        <v>27654000</v>
      </c>
      <c r="BA15" s="4363">
        <f t="shared" si="7"/>
        <v>25714000</v>
      </c>
      <c r="BB15" s="4364">
        <f t="shared" si="7"/>
        <v>25294000</v>
      </c>
      <c r="BC15" s="4362">
        <f t="shared" si="7"/>
        <v>25774000</v>
      </c>
      <c r="BD15" s="4363">
        <f t="shared" si="7"/>
        <v>29194000</v>
      </c>
      <c r="BE15" s="4365">
        <f t="shared" si="6"/>
        <v>324829200</v>
      </c>
      <c r="BF15" s="4330">
        <f t="shared" si="1"/>
        <v>0.85399199999999997</v>
      </c>
      <c r="BG15" s="4330">
        <f t="shared" si="2"/>
        <v>0.80686000000000002</v>
      </c>
      <c r="BH15" s="4330">
        <f t="shared" si="3"/>
        <v>0.78481999999999996</v>
      </c>
      <c r="BI15" s="4330">
        <f t="shared" si="4"/>
        <v>0.80262</v>
      </c>
    </row>
    <row r="16" spans="1:61">
      <c r="A16" s="4312"/>
      <c r="B16" s="4331"/>
      <c r="C16" s="4367" t="s">
        <v>4858</v>
      </c>
      <c r="D16" s="4351">
        <v>88132000</v>
      </c>
      <c r="E16" s="4351">
        <v>91062440</v>
      </c>
      <c r="F16" s="4352">
        <v>10776000</v>
      </c>
      <c r="G16" s="4353">
        <v>6936000</v>
      </c>
      <c r="H16" s="4354">
        <v>9744000</v>
      </c>
      <c r="I16" s="4353">
        <v>8616000</v>
      </c>
      <c r="J16" s="4353">
        <v>7509880</v>
      </c>
      <c r="K16" s="4353">
        <v>7104000</v>
      </c>
      <c r="L16" s="4353">
        <v>8700000</v>
      </c>
      <c r="M16" s="4353">
        <v>8012000</v>
      </c>
      <c r="N16" s="4353">
        <v>7164000</v>
      </c>
      <c r="O16" s="4353">
        <v>7608000</v>
      </c>
      <c r="P16" s="4353">
        <v>7608000</v>
      </c>
      <c r="Q16" s="4353">
        <v>11148000</v>
      </c>
      <c r="R16" s="4351">
        <v>100925880</v>
      </c>
      <c r="S16" s="4352">
        <v>10020000</v>
      </c>
      <c r="T16" s="4353">
        <v>7332000</v>
      </c>
      <c r="U16" s="4354">
        <v>7464000</v>
      </c>
      <c r="V16" s="4353">
        <v>10512000</v>
      </c>
      <c r="W16" s="4353">
        <v>6372000</v>
      </c>
      <c r="X16" s="4353">
        <v>20028000</v>
      </c>
      <c r="Y16" s="4353">
        <v>5440400</v>
      </c>
      <c r="Z16" s="4353">
        <v>4644000</v>
      </c>
      <c r="AA16" s="4353">
        <v>22341900</v>
      </c>
      <c r="AB16" s="4353">
        <v>4944000</v>
      </c>
      <c r="AC16" s="4353">
        <v>4296000</v>
      </c>
      <c r="AD16" s="4353">
        <v>24552000</v>
      </c>
      <c r="AE16" s="4351">
        <v>127946300</v>
      </c>
      <c r="AF16" s="4356">
        <v>5064000</v>
      </c>
      <c r="AG16" s="4357">
        <v>7284000</v>
      </c>
      <c r="AH16" s="4358">
        <v>20484000</v>
      </c>
      <c r="AI16" s="4359">
        <v>4980800</v>
      </c>
      <c r="AJ16" s="4357">
        <v>5328000</v>
      </c>
      <c r="AK16" s="4358">
        <v>20868000</v>
      </c>
      <c r="AL16" s="4359">
        <v>5208000</v>
      </c>
      <c r="AM16" s="4357">
        <v>6548000</v>
      </c>
      <c r="AN16" s="4358">
        <v>18180000</v>
      </c>
      <c r="AO16" s="4359">
        <v>3863200</v>
      </c>
      <c r="AP16" s="4357">
        <v>4056000</v>
      </c>
      <c r="AQ16" s="4360">
        <v>10620000</v>
      </c>
      <c r="AR16" s="4361">
        <v>112484000</v>
      </c>
      <c r="AS16" s="4356">
        <v>6840000</v>
      </c>
      <c r="AT16" s="4357">
        <v>11035200</v>
      </c>
      <c r="AU16" s="4358">
        <v>8124000</v>
      </c>
      <c r="AV16" s="4359">
        <v>7296000</v>
      </c>
      <c r="AW16" s="4357">
        <v>6736000</v>
      </c>
      <c r="AX16" s="4358">
        <v>6504000</v>
      </c>
      <c r="AY16" s="4364">
        <v>5064000</v>
      </c>
      <c r="AZ16" s="4362">
        <v>7604000</v>
      </c>
      <c r="BA16" s="4363">
        <v>5664000</v>
      </c>
      <c r="BB16" s="4364">
        <v>5244000</v>
      </c>
      <c r="BC16" s="4362">
        <v>5724000</v>
      </c>
      <c r="BD16" s="4363">
        <v>9144000</v>
      </c>
      <c r="BE16" s="4365">
        <f t="shared" si="6"/>
        <v>84979200</v>
      </c>
      <c r="BF16" s="4330">
        <f t="shared" si="1"/>
        <v>0.259992</v>
      </c>
      <c r="BG16" s="4330">
        <f t="shared" si="2"/>
        <v>0.20535999999999999</v>
      </c>
      <c r="BH16" s="4330">
        <f t="shared" si="3"/>
        <v>0.18332000000000001</v>
      </c>
      <c r="BI16" s="4330">
        <f t="shared" si="4"/>
        <v>0.20111999999999999</v>
      </c>
    </row>
    <row r="17" spans="1:61">
      <c r="A17" s="4312"/>
      <c r="B17" s="4331"/>
      <c r="C17" s="4367" t="s">
        <v>4859</v>
      </c>
      <c r="D17" s="4351">
        <v>32138891</v>
      </c>
      <c r="E17" s="4351">
        <v>141184000</v>
      </c>
      <c r="F17" s="4352">
        <v>19000000</v>
      </c>
      <c r="G17" s="4353">
        <v>19000000</v>
      </c>
      <c r="H17" s="4354">
        <v>19000000</v>
      </c>
      <c r="I17" s="4353">
        <v>19000000</v>
      </c>
      <c r="J17" s="4353">
        <v>19000000</v>
      </c>
      <c r="K17" s="4353"/>
      <c r="L17" s="4353"/>
      <c r="M17" s="4353"/>
      <c r="N17" s="4353">
        <v>19000000</v>
      </c>
      <c r="O17" s="4353">
        <v>19000000</v>
      </c>
      <c r="P17" s="4353">
        <v>19000000</v>
      </c>
      <c r="Q17" s="4353">
        <v>19000000</v>
      </c>
      <c r="R17" s="4351">
        <v>171000000</v>
      </c>
      <c r="S17" s="4352">
        <v>19000000</v>
      </c>
      <c r="T17" s="4353">
        <v>19000000</v>
      </c>
      <c r="U17" s="4354">
        <v>19000000</v>
      </c>
      <c r="V17" s="4353">
        <v>19000000</v>
      </c>
      <c r="W17" s="4353">
        <v>19000000</v>
      </c>
      <c r="X17" s="4353">
        <v>19000000</v>
      </c>
      <c r="Y17" s="4353">
        <v>19000000</v>
      </c>
      <c r="Z17" s="4353">
        <v>19000000</v>
      </c>
      <c r="AA17" s="4353">
        <v>19000000</v>
      </c>
      <c r="AB17" s="4353">
        <v>19000000</v>
      </c>
      <c r="AC17" s="4353">
        <v>19000000</v>
      </c>
      <c r="AD17" s="4353">
        <v>19000000</v>
      </c>
      <c r="AE17" s="4351">
        <v>228000000</v>
      </c>
      <c r="AF17" s="4356">
        <v>19000000</v>
      </c>
      <c r="AG17" s="4357">
        <v>19000000</v>
      </c>
      <c r="AH17" s="4358">
        <v>19000000</v>
      </c>
      <c r="AI17" s="4359">
        <v>19000000</v>
      </c>
      <c r="AJ17" s="4357">
        <v>19000000</v>
      </c>
      <c r="AK17" s="4358">
        <v>19000000</v>
      </c>
      <c r="AL17" s="4359">
        <v>19000000</v>
      </c>
      <c r="AM17" s="4357">
        <v>19000000</v>
      </c>
      <c r="AN17" s="4358">
        <v>19000000</v>
      </c>
      <c r="AO17" s="4359">
        <v>19000000</v>
      </c>
      <c r="AP17" s="4357">
        <v>19000000</v>
      </c>
      <c r="AQ17" s="4360">
        <v>19000000</v>
      </c>
      <c r="AR17" s="4361">
        <v>228000000</v>
      </c>
      <c r="AS17" s="4356">
        <v>19000000</v>
      </c>
      <c r="AT17" s="4357">
        <v>19750000</v>
      </c>
      <c r="AU17" s="4358">
        <v>19750000</v>
      </c>
      <c r="AV17" s="4359">
        <v>19750000</v>
      </c>
      <c r="AW17" s="4357">
        <v>19750000</v>
      </c>
      <c r="AX17" s="4358">
        <v>19750000</v>
      </c>
      <c r="AY17" s="4364">
        <v>19750000</v>
      </c>
      <c r="AZ17" s="4362">
        <v>19750000</v>
      </c>
      <c r="BA17" s="4363">
        <v>19750000</v>
      </c>
      <c r="BB17" s="4364">
        <v>19750000</v>
      </c>
      <c r="BC17" s="4362">
        <v>19750000</v>
      </c>
      <c r="BD17" s="4363">
        <v>19750000</v>
      </c>
      <c r="BE17" s="4365">
        <f t="shared" si="6"/>
        <v>236250000</v>
      </c>
      <c r="BF17" s="4330">
        <f t="shared" si="1"/>
        <v>0.58499999999999996</v>
      </c>
      <c r="BG17" s="4330">
        <f t="shared" si="2"/>
        <v>0.59250000000000003</v>
      </c>
      <c r="BH17" s="4330">
        <f t="shared" si="3"/>
        <v>0.59250000000000003</v>
      </c>
      <c r="BI17" s="4330">
        <f t="shared" si="4"/>
        <v>0.59250000000000003</v>
      </c>
    </row>
    <row r="18" spans="1:61">
      <c r="A18" s="4312"/>
      <c r="B18" s="4331"/>
      <c r="C18" s="4367" t="s">
        <v>4860</v>
      </c>
      <c r="D18" s="4351">
        <v>19799999.999999996</v>
      </c>
      <c r="E18" s="4351">
        <v>13050000</v>
      </c>
      <c r="F18" s="4352">
        <v>300000</v>
      </c>
      <c r="G18" s="4353">
        <v>300000</v>
      </c>
      <c r="H18" s="4354">
        <v>300000</v>
      </c>
      <c r="I18" s="4353">
        <v>300000</v>
      </c>
      <c r="J18" s="4353">
        <v>300000</v>
      </c>
      <c r="K18" s="4353">
        <v>300000</v>
      </c>
      <c r="L18" s="4353">
        <v>300000</v>
      </c>
      <c r="M18" s="4353">
        <v>300000</v>
      </c>
      <c r="N18" s="4353">
        <v>300000</v>
      </c>
      <c r="O18" s="4353">
        <v>300000</v>
      </c>
      <c r="P18" s="4353">
        <v>300000</v>
      </c>
      <c r="Q18" s="4355">
        <v>300000</v>
      </c>
      <c r="R18" s="4351">
        <v>3600000</v>
      </c>
      <c r="S18" s="4352">
        <v>300000</v>
      </c>
      <c r="T18" s="4353">
        <v>300000</v>
      </c>
      <c r="U18" s="4354">
        <v>300000</v>
      </c>
      <c r="V18" s="4353">
        <v>300000</v>
      </c>
      <c r="W18" s="4353">
        <v>300000</v>
      </c>
      <c r="X18" s="4353">
        <v>300000</v>
      </c>
      <c r="Y18" s="4353">
        <v>300000</v>
      </c>
      <c r="Z18" s="4353">
        <v>300000</v>
      </c>
      <c r="AA18" s="4353">
        <v>300000</v>
      </c>
      <c r="AB18" s="4353">
        <v>300000</v>
      </c>
      <c r="AC18" s="4353">
        <v>300000</v>
      </c>
      <c r="AD18" s="4355">
        <v>300000</v>
      </c>
      <c r="AE18" s="4351">
        <v>3600000</v>
      </c>
      <c r="AF18" s="4356">
        <v>300000</v>
      </c>
      <c r="AG18" s="4357">
        <v>300000</v>
      </c>
      <c r="AH18" s="4358">
        <v>300000</v>
      </c>
      <c r="AI18" s="4359">
        <v>534000</v>
      </c>
      <c r="AJ18" s="4357">
        <v>768000</v>
      </c>
      <c r="AK18" s="4358">
        <v>768000</v>
      </c>
      <c r="AL18" s="4359">
        <v>768000</v>
      </c>
      <c r="AM18" s="4357">
        <v>768000</v>
      </c>
      <c r="AN18" s="4358">
        <v>768000</v>
      </c>
      <c r="AO18" s="4359">
        <v>596400</v>
      </c>
      <c r="AP18" s="4357">
        <v>300000</v>
      </c>
      <c r="AQ18" s="4360">
        <v>300000</v>
      </c>
      <c r="AR18" s="4361">
        <v>6470400</v>
      </c>
      <c r="AS18" s="4356">
        <v>300000</v>
      </c>
      <c r="AT18" s="4357">
        <v>300000</v>
      </c>
      <c r="AU18" s="4358">
        <v>300000</v>
      </c>
      <c r="AV18" s="4359">
        <v>300000</v>
      </c>
      <c r="AW18" s="4357">
        <v>300000</v>
      </c>
      <c r="AX18" s="4358">
        <v>300000</v>
      </c>
      <c r="AY18" s="4364">
        <v>300000</v>
      </c>
      <c r="AZ18" s="4362">
        <v>300000</v>
      </c>
      <c r="BA18" s="4363">
        <v>300000</v>
      </c>
      <c r="BB18" s="4364">
        <v>300000</v>
      </c>
      <c r="BC18" s="4362">
        <v>300000</v>
      </c>
      <c r="BD18" s="4363">
        <v>300000</v>
      </c>
      <c r="BE18" s="4365">
        <f t="shared" si="6"/>
        <v>3600000</v>
      </c>
      <c r="BF18" s="4330">
        <f t="shared" si="1"/>
        <v>8.9999999999999993E-3</v>
      </c>
      <c r="BG18" s="4330">
        <f t="shared" si="2"/>
        <v>8.9999999999999993E-3</v>
      </c>
      <c r="BH18" s="4330">
        <f t="shared" si="3"/>
        <v>8.9999999999999993E-3</v>
      </c>
      <c r="BI18" s="4330">
        <f t="shared" si="4"/>
        <v>8.9999999999999993E-3</v>
      </c>
    </row>
    <row r="19" spans="1:61">
      <c r="A19" s="4312"/>
      <c r="B19" s="4331"/>
      <c r="C19" s="4366" t="s">
        <v>4861</v>
      </c>
      <c r="D19" s="4333">
        <v>449804040</v>
      </c>
      <c r="E19" s="4333">
        <v>599444130</v>
      </c>
      <c r="F19" s="4334">
        <v>51773999.999999993</v>
      </c>
      <c r="G19" s="4335">
        <v>51773999.999999993</v>
      </c>
      <c r="H19" s="4336">
        <v>51773999.999999993</v>
      </c>
      <c r="I19" s="4336">
        <v>51773999.999999993</v>
      </c>
      <c r="J19" s="4335">
        <v>51773999.999999993</v>
      </c>
      <c r="K19" s="4335">
        <v>51773999.999999993</v>
      </c>
      <c r="L19" s="4335">
        <v>61373999.999999993</v>
      </c>
      <c r="M19" s="4335">
        <v>42173999.999999993</v>
      </c>
      <c r="N19" s="4335">
        <v>51773999.999999993</v>
      </c>
      <c r="O19" s="4335">
        <v>51773999.999999993</v>
      </c>
      <c r="P19" s="4335">
        <v>51773999.999999993</v>
      </c>
      <c r="Q19" s="4338">
        <v>51773999.999999993</v>
      </c>
      <c r="R19" s="4333">
        <v>621287999.99999988</v>
      </c>
      <c r="S19" s="4334">
        <v>51774000</v>
      </c>
      <c r="T19" s="4335">
        <v>51774000</v>
      </c>
      <c r="U19" s="4336">
        <v>51773999.999999993</v>
      </c>
      <c r="V19" s="4336">
        <v>51773999.999999993</v>
      </c>
      <c r="W19" s="4335">
        <v>31734000</v>
      </c>
      <c r="X19" s="4335">
        <v>30414000</v>
      </c>
      <c r="Y19" s="4335">
        <v>30414000</v>
      </c>
      <c r="Z19" s="4335">
        <v>30414000</v>
      </c>
      <c r="AA19" s="4335">
        <v>30414000</v>
      </c>
      <c r="AB19" s="4335">
        <v>30414000</v>
      </c>
      <c r="AC19" s="4335">
        <v>30414000</v>
      </c>
      <c r="AD19" s="4338">
        <v>30414000</v>
      </c>
      <c r="AE19" s="4333">
        <v>451728000</v>
      </c>
      <c r="AF19" s="4356">
        <v>17262000</v>
      </c>
      <c r="AG19" s="4357">
        <v>17262000</v>
      </c>
      <c r="AH19" s="4358">
        <v>17262000</v>
      </c>
      <c r="AI19" s="4359">
        <v>17262000</v>
      </c>
      <c r="AJ19" s="4357">
        <v>17262000</v>
      </c>
      <c r="AK19" s="4358">
        <v>17262000</v>
      </c>
      <c r="AL19" s="4359">
        <v>17262000</v>
      </c>
      <c r="AM19" s="4357">
        <v>17262000</v>
      </c>
      <c r="AN19" s="4358">
        <v>17262000</v>
      </c>
      <c r="AO19" s="4359">
        <v>17394000</v>
      </c>
      <c r="AP19" s="4357">
        <v>17394000</v>
      </c>
      <c r="AQ19" s="4360">
        <v>17394000</v>
      </c>
      <c r="AR19" s="4361">
        <v>207540000</v>
      </c>
      <c r="AS19" s="4356">
        <f>SUM(AS20:AS23)</f>
        <v>17394000</v>
      </c>
      <c r="AT19" s="4357">
        <f t="shared" ref="AT19:BD19" si="8">SUM(AT20:AT23)</f>
        <v>17394000</v>
      </c>
      <c r="AU19" s="4358">
        <f t="shared" si="8"/>
        <v>17394000</v>
      </c>
      <c r="AV19" s="4359">
        <f t="shared" si="8"/>
        <v>19074000</v>
      </c>
      <c r="AW19" s="4357">
        <f t="shared" si="8"/>
        <v>17394000</v>
      </c>
      <c r="AX19" s="4358">
        <f t="shared" si="8"/>
        <v>17394000</v>
      </c>
      <c r="AY19" s="4364">
        <f t="shared" si="8"/>
        <v>17394000</v>
      </c>
      <c r="AZ19" s="4362">
        <f t="shared" si="8"/>
        <v>17394000</v>
      </c>
      <c r="BA19" s="4363">
        <f t="shared" si="8"/>
        <v>17394000</v>
      </c>
      <c r="BB19" s="4364">
        <f t="shared" si="8"/>
        <v>18894000</v>
      </c>
      <c r="BC19" s="4362">
        <f t="shared" si="8"/>
        <v>17394000</v>
      </c>
      <c r="BD19" s="4363">
        <f t="shared" si="8"/>
        <v>17394000</v>
      </c>
      <c r="BE19" s="4365">
        <f t="shared" si="6"/>
        <v>211908000</v>
      </c>
      <c r="BF19" s="4330">
        <f t="shared" si="1"/>
        <v>0.52181999999999995</v>
      </c>
      <c r="BG19" s="4330">
        <f t="shared" si="2"/>
        <v>0.53861999999999999</v>
      </c>
      <c r="BH19" s="4330">
        <f t="shared" si="3"/>
        <v>0.52181999999999995</v>
      </c>
      <c r="BI19" s="4330">
        <f t="shared" si="4"/>
        <v>0.53681999999999996</v>
      </c>
    </row>
    <row r="20" spans="1:61">
      <c r="A20" s="243"/>
      <c r="B20" s="4349"/>
      <c r="C20" s="4367" t="s">
        <v>4862</v>
      </c>
      <c r="D20" s="4351">
        <v>375768000</v>
      </c>
      <c r="E20" s="4351">
        <v>443808000</v>
      </c>
      <c r="F20" s="4352">
        <v>38873999.999999993</v>
      </c>
      <c r="G20" s="4353">
        <v>38873999.999999993</v>
      </c>
      <c r="H20" s="4354">
        <v>38873999.999999993</v>
      </c>
      <c r="I20" s="4353">
        <v>38873999.999999993</v>
      </c>
      <c r="J20" s="4353">
        <v>38873999.999999993</v>
      </c>
      <c r="K20" s="4353">
        <v>38873999.999999993</v>
      </c>
      <c r="L20" s="4353">
        <v>38873999.999999993</v>
      </c>
      <c r="M20" s="4353">
        <v>38873999.999999993</v>
      </c>
      <c r="N20" s="4353">
        <v>38873999.999999993</v>
      </c>
      <c r="O20" s="4353">
        <v>38873999.999999993</v>
      </c>
      <c r="P20" s="4353">
        <v>38873999.999999993</v>
      </c>
      <c r="Q20" s="4353">
        <v>38873999.999999993</v>
      </c>
      <c r="R20" s="4368">
        <v>466487999.99999994</v>
      </c>
      <c r="S20" s="4352">
        <v>38874000</v>
      </c>
      <c r="T20" s="4353">
        <v>38874000</v>
      </c>
      <c r="U20" s="4354">
        <v>38873999.999999993</v>
      </c>
      <c r="V20" s="4353">
        <v>38873999.999999993</v>
      </c>
      <c r="W20" s="4353">
        <v>27114000</v>
      </c>
      <c r="X20" s="4353">
        <v>27114000</v>
      </c>
      <c r="Y20" s="4353">
        <v>27114000</v>
      </c>
      <c r="Z20" s="4353">
        <v>27114000</v>
      </c>
      <c r="AA20" s="4353">
        <v>27114000</v>
      </c>
      <c r="AB20" s="4353">
        <v>27114000</v>
      </c>
      <c r="AC20" s="4353">
        <v>27114000</v>
      </c>
      <c r="AD20" s="4353">
        <v>27114000</v>
      </c>
      <c r="AE20" s="4351">
        <v>372408000</v>
      </c>
      <c r="AF20" s="4356">
        <v>13962000</v>
      </c>
      <c r="AG20" s="4357">
        <v>13962000</v>
      </c>
      <c r="AH20" s="4358">
        <v>13962000</v>
      </c>
      <c r="AI20" s="4359">
        <v>13962000</v>
      </c>
      <c r="AJ20" s="4357">
        <v>13962000</v>
      </c>
      <c r="AK20" s="4358">
        <v>13962000</v>
      </c>
      <c r="AL20" s="4359">
        <v>13962000</v>
      </c>
      <c r="AM20" s="4357">
        <v>13962000</v>
      </c>
      <c r="AN20" s="4358">
        <v>13962000</v>
      </c>
      <c r="AO20" s="4359">
        <v>13962000</v>
      </c>
      <c r="AP20" s="4357">
        <v>13962000</v>
      </c>
      <c r="AQ20" s="4360">
        <v>13962000</v>
      </c>
      <c r="AR20" s="4361">
        <v>167544000</v>
      </c>
      <c r="AS20" s="4356">
        <v>13962000</v>
      </c>
      <c r="AT20" s="4357">
        <v>13962000</v>
      </c>
      <c r="AU20" s="4358">
        <v>13962000</v>
      </c>
      <c r="AV20" s="4359">
        <v>13962000</v>
      </c>
      <c r="AW20" s="4357">
        <v>13962000</v>
      </c>
      <c r="AX20" s="4358">
        <v>13962000</v>
      </c>
      <c r="AY20" s="4364">
        <v>13962000</v>
      </c>
      <c r="AZ20" s="4362">
        <v>13962000</v>
      </c>
      <c r="BA20" s="4363">
        <v>13962000</v>
      </c>
      <c r="BB20" s="4364">
        <v>13962000</v>
      </c>
      <c r="BC20" s="4362">
        <v>13962000</v>
      </c>
      <c r="BD20" s="4363">
        <v>13962000</v>
      </c>
      <c r="BE20" s="4365">
        <f t="shared" si="6"/>
        <v>167544000</v>
      </c>
      <c r="BF20" s="4330">
        <f t="shared" si="1"/>
        <v>0.41886000000000001</v>
      </c>
      <c r="BG20" s="4330">
        <f t="shared" si="2"/>
        <v>0.41886000000000001</v>
      </c>
      <c r="BH20" s="4330">
        <f t="shared" si="3"/>
        <v>0.41886000000000001</v>
      </c>
      <c r="BI20" s="4330">
        <f t="shared" si="4"/>
        <v>0.41886000000000001</v>
      </c>
    </row>
    <row r="21" spans="1:61">
      <c r="A21" s="243"/>
      <c r="B21" s="4349"/>
      <c r="C21" s="4367" t="s">
        <v>4863</v>
      </c>
      <c r="D21" s="4351">
        <v>20340000</v>
      </c>
      <c r="E21" s="4351">
        <v>37916130</v>
      </c>
      <c r="F21" s="4352">
        <v>3180000</v>
      </c>
      <c r="G21" s="4353">
        <v>3180000</v>
      </c>
      <c r="H21" s="4354">
        <v>3180000</v>
      </c>
      <c r="I21" s="4353">
        <v>3180000</v>
      </c>
      <c r="J21" s="4353">
        <v>3180000</v>
      </c>
      <c r="K21" s="4353">
        <v>3180000</v>
      </c>
      <c r="L21" s="4353">
        <v>3180000</v>
      </c>
      <c r="M21" s="4353">
        <v>3180000</v>
      </c>
      <c r="N21" s="4353">
        <v>3180000</v>
      </c>
      <c r="O21" s="4353">
        <v>3180000</v>
      </c>
      <c r="P21" s="4353">
        <v>3180000</v>
      </c>
      <c r="Q21" s="4353">
        <v>3180000</v>
      </c>
      <c r="R21" s="4368">
        <v>38160000</v>
      </c>
      <c r="S21" s="4352">
        <v>3180000</v>
      </c>
      <c r="T21" s="4353">
        <v>3180000</v>
      </c>
      <c r="U21" s="4354">
        <v>3180000</v>
      </c>
      <c r="V21" s="4353">
        <v>3180000</v>
      </c>
      <c r="W21" s="4353">
        <v>4500000</v>
      </c>
      <c r="X21" s="4353">
        <v>3180000</v>
      </c>
      <c r="Y21" s="4353">
        <v>3180000</v>
      </c>
      <c r="Z21" s="4353">
        <v>3180000</v>
      </c>
      <c r="AA21" s="4353">
        <v>3180000</v>
      </c>
      <c r="AB21" s="4353">
        <v>3180000</v>
      </c>
      <c r="AC21" s="4353">
        <v>3180000</v>
      </c>
      <c r="AD21" s="4353">
        <v>3180000</v>
      </c>
      <c r="AE21" s="4351">
        <v>39480000</v>
      </c>
      <c r="AF21" s="4356">
        <v>3180000</v>
      </c>
      <c r="AG21" s="4357">
        <v>3180000</v>
      </c>
      <c r="AH21" s="4358">
        <v>3180000</v>
      </c>
      <c r="AI21" s="4359">
        <v>3180000</v>
      </c>
      <c r="AJ21" s="4357">
        <v>3180000</v>
      </c>
      <c r="AK21" s="4358">
        <v>3180000</v>
      </c>
      <c r="AL21" s="4359">
        <v>3180000</v>
      </c>
      <c r="AM21" s="4357">
        <v>3180000</v>
      </c>
      <c r="AN21" s="4358">
        <v>3180000</v>
      </c>
      <c r="AO21" s="4359">
        <v>3180000</v>
      </c>
      <c r="AP21" s="4357">
        <v>3180000</v>
      </c>
      <c r="AQ21" s="4360">
        <v>3180000</v>
      </c>
      <c r="AR21" s="4361">
        <v>38160000</v>
      </c>
      <c r="AS21" s="4356">
        <v>3180000</v>
      </c>
      <c r="AT21" s="4357">
        <v>3180000</v>
      </c>
      <c r="AU21" s="4358">
        <v>3180000</v>
      </c>
      <c r="AV21" s="4359">
        <v>4860000</v>
      </c>
      <c r="AW21" s="4357">
        <v>3180000</v>
      </c>
      <c r="AX21" s="4358">
        <v>3180000</v>
      </c>
      <c r="AY21" s="4364">
        <v>3180000</v>
      </c>
      <c r="AZ21" s="4362">
        <v>3180000</v>
      </c>
      <c r="BA21" s="4363">
        <v>3180000</v>
      </c>
      <c r="BB21" s="4364">
        <v>4680000</v>
      </c>
      <c r="BC21" s="4362">
        <v>3180000</v>
      </c>
      <c r="BD21" s="4363">
        <v>3180000</v>
      </c>
      <c r="BE21" s="4365">
        <f t="shared" si="6"/>
        <v>41340000</v>
      </c>
      <c r="BF21" s="4330">
        <f t="shared" si="1"/>
        <v>9.5399999999999999E-2</v>
      </c>
      <c r="BG21" s="4330">
        <f t="shared" si="2"/>
        <v>0.11219999999999999</v>
      </c>
      <c r="BH21" s="4330">
        <f t="shared" si="3"/>
        <v>9.5399999999999999E-2</v>
      </c>
      <c r="BI21" s="4330">
        <f t="shared" si="4"/>
        <v>0.1104</v>
      </c>
    </row>
    <row r="22" spans="1:61">
      <c r="A22" s="243"/>
      <c r="B22" s="4349"/>
      <c r="C22" s="4367" t="s">
        <v>4864</v>
      </c>
      <c r="D22" s="4351">
        <v>50880000</v>
      </c>
      <c r="E22" s="4351">
        <v>115200000</v>
      </c>
      <c r="F22" s="4352">
        <v>9600000</v>
      </c>
      <c r="G22" s="4353">
        <v>9600000</v>
      </c>
      <c r="H22" s="4354">
        <v>9600000</v>
      </c>
      <c r="I22" s="4353">
        <v>9600000</v>
      </c>
      <c r="J22" s="4353">
        <v>9600000</v>
      </c>
      <c r="K22" s="4353">
        <v>9600000</v>
      </c>
      <c r="L22" s="4353">
        <v>19200000</v>
      </c>
      <c r="M22" s="4353">
        <v>0</v>
      </c>
      <c r="N22" s="4353">
        <v>9600000</v>
      </c>
      <c r="O22" s="4353">
        <v>9600000</v>
      </c>
      <c r="P22" s="4353">
        <v>9600000</v>
      </c>
      <c r="Q22" s="4353">
        <v>9600000</v>
      </c>
      <c r="R22" s="4368">
        <v>115200000</v>
      </c>
      <c r="S22" s="4352">
        <v>9600000</v>
      </c>
      <c r="T22" s="4353">
        <v>9600000</v>
      </c>
      <c r="U22" s="4354">
        <v>9600000</v>
      </c>
      <c r="V22" s="4353">
        <v>9600000</v>
      </c>
      <c r="W22" s="4353"/>
      <c r="X22" s="4353"/>
      <c r="Y22" s="4353"/>
      <c r="Z22" s="4353"/>
      <c r="AA22" s="4353"/>
      <c r="AB22" s="4353"/>
      <c r="AC22" s="4353">
        <v>0</v>
      </c>
      <c r="AD22" s="4353">
        <v>0</v>
      </c>
      <c r="AE22" s="4351">
        <v>38400000</v>
      </c>
      <c r="AF22" s="4356">
        <v>0</v>
      </c>
      <c r="AG22" s="4357">
        <v>0</v>
      </c>
      <c r="AH22" s="4358"/>
      <c r="AI22" s="4359"/>
      <c r="AJ22" s="4357"/>
      <c r="AK22" s="4358"/>
      <c r="AL22" s="4359"/>
      <c r="AM22" s="4357"/>
      <c r="AN22" s="4358"/>
      <c r="AO22" s="4359"/>
      <c r="AP22" s="4357"/>
      <c r="AQ22" s="4360"/>
      <c r="AR22" s="4361">
        <v>0</v>
      </c>
      <c r="AS22" s="4356"/>
      <c r="AT22" s="4357"/>
      <c r="AU22" s="4358"/>
      <c r="AV22" s="4359"/>
      <c r="AW22" s="4357"/>
      <c r="AX22" s="4358"/>
      <c r="AY22" s="4364"/>
      <c r="AZ22" s="4362"/>
      <c r="BA22" s="4363"/>
      <c r="BB22" s="4364"/>
      <c r="BC22" s="4362"/>
      <c r="BD22" s="4363"/>
      <c r="BE22" s="4365">
        <f t="shared" si="6"/>
        <v>0</v>
      </c>
      <c r="BF22" s="4330">
        <f t="shared" si="1"/>
        <v>0</v>
      </c>
      <c r="BG22" s="4330">
        <f t="shared" si="2"/>
        <v>0</v>
      </c>
      <c r="BH22" s="4330">
        <f t="shared" si="3"/>
        <v>0</v>
      </c>
      <c r="BI22" s="4330">
        <f t="shared" si="4"/>
        <v>0</v>
      </c>
    </row>
    <row r="23" spans="1:61">
      <c r="A23" s="243"/>
      <c r="B23" s="4349"/>
      <c r="C23" s="4367" t="s">
        <v>4865</v>
      </c>
      <c r="D23" s="4351">
        <v>2816040</v>
      </c>
      <c r="E23" s="4351">
        <v>2520000</v>
      </c>
      <c r="F23" s="4352">
        <v>119999.99999999999</v>
      </c>
      <c r="G23" s="4353">
        <v>120000</v>
      </c>
      <c r="H23" s="4354">
        <v>120000</v>
      </c>
      <c r="I23" s="4353">
        <v>120000</v>
      </c>
      <c r="J23" s="4353">
        <v>120000</v>
      </c>
      <c r="K23" s="4353">
        <v>120000</v>
      </c>
      <c r="L23" s="4353">
        <v>120000</v>
      </c>
      <c r="M23" s="4353">
        <v>120000</v>
      </c>
      <c r="N23" s="4353">
        <v>120000</v>
      </c>
      <c r="O23" s="4353">
        <v>120000</v>
      </c>
      <c r="P23" s="4353">
        <v>120000</v>
      </c>
      <c r="Q23" s="4353">
        <v>120000</v>
      </c>
      <c r="R23" s="4368">
        <v>1440000</v>
      </c>
      <c r="S23" s="4352">
        <v>119999.99999999999</v>
      </c>
      <c r="T23" s="4353">
        <v>119999.99999999999</v>
      </c>
      <c r="U23" s="4354">
        <v>120000</v>
      </c>
      <c r="V23" s="4353">
        <v>120000</v>
      </c>
      <c r="W23" s="4353">
        <v>120000</v>
      </c>
      <c r="X23" s="4353">
        <v>120000</v>
      </c>
      <c r="Y23" s="4353">
        <v>120000</v>
      </c>
      <c r="Z23" s="4353">
        <v>120000</v>
      </c>
      <c r="AA23" s="4353">
        <v>120000</v>
      </c>
      <c r="AB23" s="4353">
        <v>120000</v>
      </c>
      <c r="AC23" s="4353">
        <v>120000</v>
      </c>
      <c r="AD23" s="4353">
        <v>120000</v>
      </c>
      <c r="AE23" s="4351">
        <v>1440000</v>
      </c>
      <c r="AF23" s="4356">
        <v>120000</v>
      </c>
      <c r="AG23" s="4357">
        <v>120000</v>
      </c>
      <c r="AH23" s="4358">
        <v>120000</v>
      </c>
      <c r="AI23" s="4359">
        <v>120000</v>
      </c>
      <c r="AJ23" s="4357">
        <v>120000</v>
      </c>
      <c r="AK23" s="4358">
        <v>120000</v>
      </c>
      <c r="AL23" s="4359">
        <v>120000</v>
      </c>
      <c r="AM23" s="4357">
        <v>120000</v>
      </c>
      <c r="AN23" s="4358">
        <v>120000</v>
      </c>
      <c r="AO23" s="4359">
        <v>252000</v>
      </c>
      <c r="AP23" s="4357">
        <v>252000</v>
      </c>
      <c r="AQ23" s="4360">
        <v>252000</v>
      </c>
      <c r="AR23" s="4361">
        <v>1836000</v>
      </c>
      <c r="AS23" s="4356">
        <v>252000</v>
      </c>
      <c r="AT23" s="4357">
        <v>252000</v>
      </c>
      <c r="AU23" s="4358">
        <v>252000</v>
      </c>
      <c r="AV23" s="4359">
        <v>252000</v>
      </c>
      <c r="AW23" s="4357">
        <v>252000</v>
      </c>
      <c r="AX23" s="4358">
        <v>252000</v>
      </c>
      <c r="AY23" s="4364">
        <v>252000</v>
      </c>
      <c r="AZ23" s="4362">
        <v>252000</v>
      </c>
      <c r="BA23" s="4363">
        <v>252000</v>
      </c>
      <c r="BB23" s="4364">
        <v>252000</v>
      </c>
      <c r="BC23" s="4362">
        <v>252000</v>
      </c>
      <c r="BD23" s="4363">
        <v>252000</v>
      </c>
      <c r="BE23" s="4365">
        <f t="shared" si="6"/>
        <v>3024000</v>
      </c>
      <c r="BF23" s="4330">
        <f t="shared" si="1"/>
        <v>7.5599999999999999E-3</v>
      </c>
      <c r="BG23" s="4330">
        <f t="shared" si="2"/>
        <v>7.5599999999999999E-3</v>
      </c>
      <c r="BH23" s="4330">
        <f t="shared" si="3"/>
        <v>7.5599999999999999E-3</v>
      </c>
      <c r="BI23" s="4330">
        <f t="shared" si="4"/>
        <v>7.5599999999999999E-3</v>
      </c>
    </row>
    <row r="24" spans="1:61">
      <c r="A24" s="4312"/>
      <c r="B24" s="4331"/>
      <c r="C24" s="4366" t="s">
        <v>4866</v>
      </c>
      <c r="D24" s="4333">
        <v>41666670</v>
      </c>
      <c r="E24" s="4333">
        <v>106200000</v>
      </c>
      <c r="F24" s="4334">
        <v>14240000</v>
      </c>
      <c r="G24" s="4335">
        <v>14240000</v>
      </c>
      <c r="H24" s="4336">
        <v>14240000</v>
      </c>
      <c r="I24" s="4335">
        <v>14240000</v>
      </c>
      <c r="J24" s="4335">
        <v>14240000</v>
      </c>
      <c r="K24" s="4335">
        <v>14240000</v>
      </c>
      <c r="L24" s="4335">
        <v>14240000</v>
      </c>
      <c r="M24" s="4335">
        <v>13470000</v>
      </c>
      <c r="N24" s="4335">
        <v>13470000</v>
      </c>
      <c r="O24" s="4335">
        <v>13470000</v>
      </c>
      <c r="P24" s="4335">
        <v>13470000</v>
      </c>
      <c r="Q24" s="4335">
        <v>13470000</v>
      </c>
      <c r="R24" s="4369">
        <v>167030000</v>
      </c>
      <c r="S24" s="4334">
        <v>13470000</v>
      </c>
      <c r="T24" s="4335">
        <v>13470000</v>
      </c>
      <c r="U24" s="4336">
        <v>6160000</v>
      </c>
      <c r="V24" s="4335">
        <v>6160000</v>
      </c>
      <c r="W24" s="4335">
        <v>6160000</v>
      </c>
      <c r="X24" s="4335">
        <v>6160000</v>
      </c>
      <c r="Y24" s="4335">
        <v>6160000</v>
      </c>
      <c r="Z24" s="4335">
        <v>6160000</v>
      </c>
      <c r="AA24" s="4335">
        <v>6160000</v>
      </c>
      <c r="AB24" s="4335">
        <v>6160000</v>
      </c>
      <c r="AC24" s="4335">
        <v>6160000</v>
      </c>
      <c r="AD24" s="4335">
        <v>6160000</v>
      </c>
      <c r="AE24" s="4333">
        <v>88540000</v>
      </c>
      <c r="AF24" s="4356">
        <v>6160000</v>
      </c>
      <c r="AG24" s="4357">
        <v>3850000</v>
      </c>
      <c r="AH24" s="4358">
        <v>3850000</v>
      </c>
      <c r="AI24" s="4359">
        <v>7950000</v>
      </c>
      <c r="AJ24" s="4357">
        <v>7950000</v>
      </c>
      <c r="AK24" s="4358">
        <v>7950000</v>
      </c>
      <c r="AL24" s="4359">
        <v>7950000</v>
      </c>
      <c r="AM24" s="4357">
        <v>7950000</v>
      </c>
      <c r="AN24" s="4358">
        <v>7950000</v>
      </c>
      <c r="AO24" s="4359">
        <v>7950000</v>
      </c>
      <c r="AP24" s="4357">
        <v>7950000</v>
      </c>
      <c r="AQ24" s="4360">
        <v>7950000</v>
      </c>
      <c r="AR24" s="4361">
        <v>85410000</v>
      </c>
      <c r="AS24" s="4356">
        <v>7950000</v>
      </c>
      <c r="AT24" s="4357">
        <v>7950000</v>
      </c>
      <c r="AU24" s="4358">
        <v>7950000</v>
      </c>
      <c r="AV24" s="4359">
        <v>7950000</v>
      </c>
      <c r="AW24" s="4357">
        <v>7950000</v>
      </c>
      <c r="AX24" s="4358">
        <v>7950000</v>
      </c>
      <c r="AY24" s="4364">
        <v>7950000</v>
      </c>
      <c r="AZ24" s="4362">
        <v>7950000</v>
      </c>
      <c r="BA24" s="4363">
        <v>7950000</v>
      </c>
      <c r="BB24" s="4364">
        <v>6310000</v>
      </c>
      <c r="BC24" s="4362">
        <v>6310000</v>
      </c>
      <c r="BD24" s="4363"/>
      <c r="BE24" s="4365">
        <f t="shared" si="6"/>
        <v>84170000</v>
      </c>
      <c r="BF24" s="4330">
        <f t="shared" si="1"/>
        <v>0.23849999999999999</v>
      </c>
      <c r="BG24" s="4330">
        <f t="shared" si="2"/>
        <v>0.23849999999999999</v>
      </c>
      <c r="BH24" s="4330">
        <f t="shared" si="3"/>
        <v>0.23849999999999999</v>
      </c>
      <c r="BI24" s="4330">
        <f t="shared" si="4"/>
        <v>0.12620000000000001</v>
      </c>
    </row>
    <row r="25" spans="1:61">
      <c r="A25" s="4312"/>
      <c r="B25" s="4331"/>
      <c r="C25" s="4366" t="s">
        <v>4867</v>
      </c>
      <c r="D25" s="4333">
        <v>35010000</v>
      </c>
      <c r="E25" s="4333">
        <v>34744000</v>
      </c>
      <c r="F25" s="4334">
        <v>2634000</v>
      </c>
      <c r="G25" s="4335">
        <v>-490200</v>
      </c>
      <c r="H25" s="4336">
        <v>3356500</v>
      </c>
      <c r="I25" s="4335">
        <v>-386900</v>
      </c>
      <c r="J25" s="4335">
        <v>5453400</v>
      </c>
      <c r="K25" s="4335">
        <v>1774000</v>
      </c>
      <c r="L25" s="4335">
        <v>834700</v>
      </c>
      <c r="M25" s="4335">
        <v>-1271200</v>
      </c>
      <c r="N25" s="4335">
        <v>3173100</v>
      </c>
      <c r="O25" s="4335">
        <v>5197400</v>
      </c>
      <c r="P25" s="4335">
        <v>1417800</v>
      </c>
      <c r="Q25" s="4335">
        <v>1560400</v>
      </c>
      <c r="R25" s="4369">
        <v>23253000</v>
      </c>
      <c r="S25" s="4334">
        <v>-1771500</v>
      </c>
      <c r="T25" s="4335">
        <v>13680000</v>
      </c>
      <c r="U25" s="4336">
        <v>2320000</v>
      </c>
      <c r="V25" s="4335"/>
      <c r="W25" s="4335"/>
      <c r="X25" s="4335"/>
      <c r="Y25" s="4335"/>
      <c r="Z25" s="4335"/>
      <c r="AA25" s="4335"/>
      <c r="AB25" s="4335"/>
      <c r="AC25" s="4335"/>
      <c r="AD25" s="4335"/>
      <c r="AE25" s="4333">
        <v>14228500</v>
      </c>
      <c r="AF25" s="4356"/>
      <c r="AG25" s="4357"/>
      <c r="AH25" s="4358"/>
      <c r="AI25" s="4359"/>
      <c r="AJ25" s="4357"/>
      <c r="AK25" s="4358"/>
      <c r="AL25" s="4359"/>
      <c r="AM25" s="4357"/>
      <c r="AN25" s="4358"/>
      <c r="AO25" s="4359"/>
      <c r="AP25" s="4357"/>
      <c r="AQ25" s="4360"/>
      <c r="AR25" s="4361">
        <v>0</v>
      </c>
      <c r="AS25" s="4356"/>
      <c r="AT25" s="4357"/>
      <c r="AU25" s="4358"/>
      <c r="AV25" s="4359"/>
      <c r="AW25" s="4357"/>
      <c r="AX25" s="4358"/>
      <c r="AY25" s="4364"/>
      <c r="AZ25" s="4362"/>
      <c r="BA25" s="4363"/>
      <c r="BB25" s="4364"/>
      <c r="BC25" s="4362"/>
      <c r="BD25" s="4363"/>
      <c r="BE25" s="4365">
        <f t="shared" si="6"/>
        <v>0</v>
      </c>
      <c r="BF25" s="4330">
        <f t="shared" si="1"/>
        <v>0</v>
      </c>
      <c r="BG25" s="4330">
        <f t="shared" si="2"/>
        <v>0</v>
      </c>
      <c r="BH25" s="4330">
        <f t="shared" si="3"/>
        <v>0</v>
      </c>
      <c r="BI25" s="4330">
        <f t="shared" si="4"/>
        <v>0</v>
      </c>
    </row>
    <row r="26" spans="1:61">
      <c r="A26" s="4312"/>
      <c r="B26" s="4331"/>
      <c r="C26" s="4366" t="s">
        <v>4868</v>
      </c>
      <c r="D26" s="4333">
        <v>27169970</v>
      </c>
      <c r="E26" s="4333">
        <v>25540430</v>
      </c>
      <c r="F26" s="4334">
        <v>-1401450</v>
      </c>
      <c r="G26" s="4335">
        <v>-11437890</v>
      </c>
      <c r="H26" s="4336">
        <v>10173560</v>
      </c>
      <c r="I26" s="4335">
        <v>-9231990</v>
      </c>
      <c r="J26" s="4335">
        <v>23382190</v>
      </c>
      <c r="K26" s="4335">
        <v>5096990</v>
      </c>
      <c r="L26" s="4335">
        <v>-10462130</v>
      </c>
      <c r="M26" s="4335">
        <v>-9000380</v>
      </c>
      <c r="N26" s="4335">
        <v>4815220</v>
      </c>
      <c r="O26" s="4335">
        <v>26001390</v>
      </c>
      <c r="P26" s="4335">
        <v>-10606950</v>
      </c>
      <c r="Q26" s="4335">
        <v>8544180</v>
      </c>
      <c r="R26" s="4369">
        <v>25872740</v>
      </c>
      <c r="S26" s="4334">
        <v>-18603360</v>
      </c>
      <c r="T26" s="4335">
        <v>90044430</v>
      </c>
      <c r="U26" s="4336">
        <v>17948990</v>
      </c>
      <c r="V26" s="4335"/>
      <c r="W26" s="4335"/>
      <c r="X26" s="4335"/>
      <c r="Y26" s="4335"/>
      <c r="Z26" s="4335"/>
      <c r="AA26" s="4335"/>
      <c r="AB26" s="4335"/>
      <c r="AC26" s="4335"/>
      <c r="AD26" s="4335"/>
      <c r="AE26" s="4333">
        <v>89390060</v>
      </c>
      <c r="AF26" s="4356"/>
      <c r="AG26" s="4357"/>
      <c r="AH26" s="4358"/>
      <c r="AI26" s="4359"/>
      <c r="AJ26" s="4357"/>
      <c r="AK26" s="4358"/>
      <c r="AL26" s="4359"/>
      <c r="AM26" s="4357"/>
      <c r="AN26" s="4358"/>
      <c r="AO26" s="4359"/>
      <c r="AP26" s="4357"/>
      <c r="AQ26" s="4360"/>
      <c r="AR26" s="4361">
        <v>0</v>
      </c>
      <c r="AS26" s="4356"/>
      <c r="AT26" s="4357"/>
      <c r="AU26" s="4358"/>
      <c r="AV26" s="4359"/>
      <c r="AW26" s="4357"/>
      <c r="AX26" s="4358"/>
      <c r="AY26" s="4364"/>
      <c r="AZ26" s="4362"/>
      <c r="BA26" s="4363"/>
      <c r="BB26" s="4364"/>
      <c r="BC26" s="4362"/>
      <c r="BD26" s="4363">
        <v>6310000</v>
      </c>
      <c r="BE26" s="4365">
        <f t="shared" si="6"/>
        <v>6310000</v>
      </c>
      <c r="BF26" s="4330">
        <f t="shared" si="1"/>
        <v>0</v>
      </c>
      <c r="BG26" s="4330">
        <f t="shared" si="2"/>
        <v>0</v>
      </c>
      <c r="BH26" s="4330">
        <f t="shared" si="3"/>
        <v>0</v>
      </c>
      <c r="BI26" s="4330">
        <f t="shared" si="4"/>
        <v>6.3100000000000003E-2</v>
      </c>
    </row>
    <row r="27" spans="1:61">
      <c r="A27" s="4312"/>
      <c r="B27" s="4331"/>
      <c r="C27" s="4370" t="s">
        <v>4869</v>
      </c>
      <c r="D27" s="4371">
        <v>391564610</v>
      </c>
      <c r="E27" s="4371">
        <v>817717330</v>
      </c>
      <c r="F27" s="4372">
        <v>0</v>
      </c>
      <c r="G27" s="4373">
        <v>0</v>
      </c>
      <c r="H27" s="4373">
        <v>0</v>
      </c>
      <c r="I27" s="4373">
        <v>0</v>
      </c>
      <c r="J27" s="4373">
        <v>0</v>
      </c>
      <c r="K27" s="4373">
        <v>0</v>
      </c>
      <c r="L27" s="4373">
        <v>0</v>
      </c>
      <c r="M27" s="4373">
        <v>0</v>
      </c>
      <c r="N27" s="4373">
        <v>0</v>
      </c>
      <c r="O27" s="4373">
        <v>0</v>
      </c>
      <c r="P27" s="4373">
        <v>0</v>
      </c>
      <c r="Q27" s="4373">
        <v>0</v>
      </c>
      <c r="R27" s="4374">
        <v>0</v>
      </c>
      <c r="S27" s="4372">
        <v>0</v>
      </c>
      <c r="T27" s="4373">
        <v>1394090</v>
      </c>
      <c r="U27" s="4373">
        <v>4810820</v>
      </c>
      <c r="V27" s="4373">
        <v>5807200</v>
      </c>
      <c r="W27" s="4373">
        <v>6488990</v>
      </c>
      <c r="X27" s="4373">
        <v>6145100</v>
      </c>
      <c r="Y27" s="4373">
        <v>5140310</v>
      </c>
      <c r="Z27" s="4373">
        <v>6067420</v>
      </c>
      <c r="AA27" s="4373">
        <v>6716590</v>
      </c>
      <c r="AB27" s="4373">
        <v>7110370</v>
      </c>
      <c r="AC27" s="4373">
        <v>6865590</v>
      </c>
      <c r="AD27" s="4373">
        <v>6376630</v>
      </c>
      <c r="AE27" s="4371">
        <v>62923110</v>
      </c>
      <c r="AF27" s="4375">
        <v>5908530</v>
      </c>
      <c r="AG27" s="4376">
        <v>7590720</v>
      </c>
      <c r="AH27" s="4377">
        <v>7212760</v>
      </c>
      <c r="AI27" s="4378">
        <v>7591510</v>
      </c>
      <c r="AJ27" s="4376">
        <v>5947200</v>
      </c>
      <c r="AK27" s="4377">
        <v>6261660</v>
      </c>
      <c r="AL27" s="4378">
        <v>6721110</v>
      </c>
      <c r="AM27" s="4376">
        <v>6276800</v>
      </c>
      <c r="AN27" s="4377">
        <v>6444770</v>
      </c>
      <c r="AO27" s="4378">
        <v>6557110</v>
      </c>
      <c r="AP27" s="4376">
        <v>5732370</v>
      </c>
      <c r="AQ27" s="4379">
        <v>5952250</v>
      </c>
      <c r="AR27" s="4380">
        <v>78196790</v>
      </c>
      <c r="AS27" s="4375">
        <f>AS28+AS29</f>
        <v>5387860</v>
      </c>
      <c r="AT27" s="4376">
        <f t="shared" ref="AT27:BD27" si="9">AT28+AT29</f>
        <v>5542950</v>
      </c>
      <c r="AU27" s="4377">
        <f t="shared" si="9"/>
        <v>5718450</v>
      </c>
      <c r="AV27" s="4378">
        <f t="shared" si="9"/>
        <v>4596650</v>
      </c>
      <c r="AW27" s="4376">
        <f t="shared" si="9"/>
        <v>5483670</v>
      </c>
      <c r="AX27" s="4377">
        <f t="shared" si="9"/>
        <v>4491400</v>
      </c>
      <c r="AY27" s="4381">
        <f t="shared" si="9"/>
        <v>5302090</v>
      </c>
      <c r="AZ27" s="4382">
        <f t="shared" si="9"/>
        <v>4913550</v>
      </c>
      <c r="BA27" s="4383">
        <f t="shared" si="9"/>
        <v>4760050</v>
      </c>
      <c r="BB27" s="4381">
        <f t="shared" si="9"/>
        <v>4235820</v>
      </c>
      <c r="BC27" s="4382">
        <f t="shared" si="9"/>
        <v>4685380</v>
      </c>
      <c r="BD27" s="4383">
        <f t="shared" si="9"/>
        <v>5231510</v>
      </c>
      <c r="BE27" s="4384">
        <f t="shared" si="6"/>
        <v>60349380</v>
      </c>
      <c r="BF27" s="4385">
        <f t="shared" si="1"/>
        <v>0.16649259999999999</v>
      </c>
      <c r="BG27" s="4385">
        <f t="shared" si="2"/>
        <v>0.14571719999999999</v>
      </c>
      <c r="BH27" s="4385">
        <f t="shared" si="3"/>
        <v>0.1497569</v>
      </c>
      <c r="BI27" s="4385">
        <f t="shared" si="4"/>
        <v>0.14152709999999999</v>
      </c>
    </row>
    <row r="28" spans="1:61">
      <c r="A28" s="243"/>
      <c r="B28" s="4349"/>
      <c r="C28" s="4386" t="s">
        <v>4870</v>
      </c>
      <c r="D28" s="4351"/>
      <c r="E28" s="4351"/>
      <c r="F28" s="4352"/>
      <c r="G28" s="4353"/>
      <c r="H28" s="4354"/>
      <c r="I28" s="4353"/>
      <c r="J28" s="4353"/>
      <c r="K28" s="4353"/>
      <c r="L28" s="4353"/>
      <c r="M28" s="4353"/>
      <c r="N28" s="4353"/>
      <c r="O28" s="4353"/>
      <c r="P28" s="4353"/>
      <c r="Q28" s="4355"/>
      <c r="R28" s="4351">
        <v>0</v>
      </c>
      <c r="S28" s="4352">
        <v>0</v>
      </c>
      <c r="T28" s="4353">
        <v>63740</v>
      </c>
      <c r="U28" s="4354">
        <v>944530</v>
      </c>
      <c r="V28" s="4353">
        <v>1420620</v>
      </c>
      <c r="W28" s="4353">
        <v>1233440</v>
      </c>
      <c r="X28" s="4353">
        <v>1204620</v>
      </c>
      <c r="Y28" s="4353">
        <v>997960</v>
      </c>
      <c r="Z28" s="4353">
        <v>1328160</v>
      </c>
      <c r="AA28" s="4353">
        <v>1360360</v>
      </c>
      <c r="AB28" s="4353">
        <v>1668920</v>
      </c>
      <c r="AC28" s="4353">
        <v>1497570</v>
      </c>
      <c r="AD28" s="4355">
        <v>1662940</v>
      </c>
      <c r="AE28" s="4351">
        <v>13382860</v>
      </c>
      <c r="AF28" s="4356">
        <v>1345120</v>
      </c>
      <c r="AG28" s="4357">
        <v>1487180</v>
      </c>
      <c r="AH28" s="4358">
        <v>1228250</v>
      </c>
      <c r="AI28" s="4359">
        <v>1602750</v>
      </c>
      <c r="AJ28" s="4357">
        <v>1343480</v>
      </c>
      <c r="AK28" s="4358">
        <v>1381720</v>
      </c>
      <c r="AL28" s="4359">
        <v>1700930</v>
      </c>
      <c r="AM28" s="4357">
        <v>1649450</v>
      </c>
      <c r="AN28" s="4358">
        <v>1533580</v>
      </c>
      <c r="AO28" s="4359">
        <v>1587650</v>
      </c>
      <c r="AP28" s="4357">
        <v>1562860</v>
      </c>
      <c r="AQ28" s="4360">
        <v>1521660</v>
      </c>
      <c r="AR28" s="4361">
        <v>17944630</v>
      </c>
      <c r="AS28" s="4356">
        <v>1374020</v>
      </c>
      <c r="AT28" s="4357">
        <v>1480830</v>
      </c>
      <c r="AU28" s="4358">
        <v>1688630</v>
      </c>
      <c r="AV28" s="4359">
        <v>1244860</v>
      </c>
      <c r="AW28" s="4357">
        <v>1356390</v>
      </c>
      <c r="AX28" s="4358">
        <v>1128350</v>
      </c>
      <c r="AY28" s="4364">
        <v>1397420</v>
      </c>
      <c r="AZ28" s="4362">
        <v>1353970</v>
      </c>
      <c r="BA28" s="4363">
        <v>1479330</v>
      </c>
      <c r="BB28" s="4364">
        <v>1191620</v>
      </c>
      <c r="BC28" s="4362">
        <v>1209080</v>
      </c>
      <c r="BD28" s="4363">
        <v>1425660</v>
      </c>
      <c r="BE28" s="4365">
        <f t="shared" si="6"/>
        <v>16330160</v>
      </c>
      <c r="BF28" s="4385">
        <f t="shared" si="1"/>
        <v>4.5434799999999997E-2</v>
      </c>
      <c r="BG28" s="4385">
        <f t="shared" si="2"/>
        <v>3.7296000000000003E-2</v>
      </c>
      <c r="BH28" s="4385">
        <f t="shared" si="3"/>
        <v>4.2307200000000003E-2</v>
      </c>
      <c r="BI28" s="4385">
        <f t="shared" si="4"/>
        <v>3.8263600000000002E-2</v>
      </c>
    </row>
    <row r="29" spans="1:61">
      <c r="A29" s="243"/>
      <c r="B29" s="4349"/>
      <c r="C29" s="4386" t="s">
        <v>4871</v>
      </c>
      <c r="D29" s="4351"/>
      <c r="E29" s="4351"/>
      <c r="F29" s="4352"/>
      <c r="G29" s="4353"/>
      <c r="H29" s="4354"/>
      <c r="I29" s="4353"/>
      <c r="J29" s="4353"/>
      <c r="K29" s="4353"/>
      <c r="L29" s="4353"/>
      <c r="M29" s="4353"/>
      <c r="N29" s="4353"/>
      <c r="O29" s="4353"/>
      <c r="P29" s="4353"/>
      <c r="Q29" s="4355"/>
      <c r="R29" s="4351">
        <v>0</v>
      </c>
      <c r="S29" s="4352">
        <v>0</v>
      </c>
      <c r="T29" s="4353">
        <v>1330350</v>
      </c>
      <c r="U29" s="4354">
        <v>3866290</v>
      </c>
      <c r="V29" s="4353">
        <v>4386580</v>
      </c>
      <c r="W29" s="4353">
        <v>5255550</v>
      </c>
      <c r="X29" s="4353">
        <v>4940480</v>
      </c>
      <c r="Y29" s="4353">
        <v>4142350</v>
      </c>
      <c r="Z29" s="4353">
        <v>4739260</v>
      </c>
      <c r="AA29" s="4353">
        <v>5356230</v>
      </c>
      <c r="AB29" s="4353">
        <v>5441450</v>
      </c>
      <c r="AC29" s="4353">
        <v>5368020</v>
      </c>
      <c r="AD29" s="4355">
        <v>4713690</v>
      </c>
      <c r="AE29" s="4351">
        <v>49540250</v>
      </c>
      <c r="AF29" s="4356">
        <v>4563410</v>
      </c>
      <c r="AG29" s="4357">
        <v>6103540</v>
      </c>
      <c r="AH29" s="4358">
        <v>5984510</v>
      </c>
      <c r="AI29" s="4359">
        <v>5988760</v>
      </c>
      <c r="AJ29" s="4357">
        <v>4603720</v>
      </c>
      <c r="AK29" s="4358">
        <v>4879940</v>
      </c>
      <c r="AL29" s="4359">
        <v>5020180</v>
      </c>
      <c r="AM29" s="4357">
        <v>4627350</v>
      </c>
      <c r="AN29" s="4358">
        <v>4911190</v>
      </c>
      <c r="AO29" s="4359">
        <v>4969460</v>
      </c>
      <c r="AP29" s="4357">
        <v>4169510</v>
      </c>
      <c r="AQ29" s="4360">
        <v>4430590</v>
      </c>
      <c r="AR29" s="4361">
        <v>60252160</v>
      </c>
      <c r="AS29" s="4356">
        <v>4013840</v>
      </c>
      <c r="AT29" s="4357">
        <v>4062120</v>
      </c>
      <c r="AU29" s="4358">
        <v>4029820</v>
      </c>
      <c r="AV29" s="4359">
        <v>3351790</v>
      </c>
      <c r="AW29" s="4357">
        <v>4127280</v>
      </c>
      <c r="AX29" s="4358">
        <v>3363050</v>
      </c>
      <c r="AY29" s="4364">
        <v>3904670</v>
      </c>
      <c r="AZ29" s="4362">
        <v>3559580</v>
      </c>
      <c r="BA29" s="4363">
        <v>3280720</v>
      </c>
      <c r="BB29" s="4364">
        <v>3044200</v>
      </c>
      <c r="BC29" s="4362">
        <v>3476300</v>
      </c>
      <c r="BD29" s="4363">
        <v>3805850</v>
      </c>
      <c r="BE29" s="4365">
        <f t="shared" si="6"/>
        <v>44019220</v>
      </c>
      <c r="BF29" s="4385">
        <f t="shared" si="1"/>
        <v>0.12105779999999999</v>
      </c>
      <c r="BG29" s="4385">
        <f t="shared" si="2"/>
        <v>0.1084212</v>
      </c>
      <c r="BH29" s="4385">
        <f t="shared" si="3"/>
        <v>0.1074497</v>
      </c>
      <c r="BI29" s="4385">
        <f t="shared" si="4"/>
        <v>0.10326349999999999</v>
      </c>
    </row>
    <row r="30" spans="1:61">
      <c r="A30" s="4312"/>
      <c r="B30" s="4331"/>
      <c r="C30" s="4370" t="s">
        <v>4872</v>
      </c>
      <c r="D30" s="4371">
        <v>7476202849</v>
      </c>
      <c r="E30" s="4371">
        <v>6027569918</v>
      </c>
      <c r="F30" s="4372"/>
      <c r="G30" s="4373"/>
      <c r="H30" s="4373"/>
      <c r="I30" s="4373">
        <v>759102308</v>
      </c>
      <c r="J30" s="4373">
        <v>654540052</v>
      </c>
      <c r="K30" s="4373">
        <v>654540051</v>
      </c>
      <c r="L30" s="4373">
        <v>1064206722</v>
      </c>
      <c r="M30" s="4373">
        <v>849896697</v>
      </c>
      <c r="N30" s="4373">
        <v>849896697</v>
      </c>
      <c r="O30" s="4373">
        <v>867729333</v>
      </c>
      <c r="P30" s="4373">
        <v>809656613</v>
      </c>
      <c r="Q30" s="4373">
        <v>695215321</v>
      </c>
      <c r="R30" s="4374">
        <v>7204783794</v>
      </c>
      <c r="S30" s="4372">
        <v>928923684</v>
      </c>
      <c r="T30" s="4373">
        <v>928923682</v>
      </c>
      <c r="U30" s="4373">
        <v>928923683</v>
      </c>
      <c r="V30" s="4373">
        <v>750172904</v>
      </c>
      <c r="W30" s="4373">
        <v>468272253</v>
      </c>
      <c r="X30" s="4373"/>
      <c r="Y30" s="4373"/>
      <c r="Z30" s="4373"/>
      <c r="AA30" s="4373"/>
      <c r="AB30" s="4373">
        <v>-1148172866</v>
      </c>
      <c r="AC30" s="4373"/>
      <c r="AD30" s="4373"/>
      <c r="AE30" s="4371">
        <v>2857043340</v>
      </c>
      <c r="AF30" s="4375">
        <v>1225460000</v>
      </c>
      <c r="AG30" s="4376"/>
      <c r="AH30" s="4377"/>
      <c r="AI30" s="4378"/>
      <c r="AJ30" s="4376"/>
      <c r="AK30" s="4377"/>
      <c r="AL30" s="4378"/>
      <c r="AM30" s="4376"/>
      <c r="AN30" s="4377"/>
      <c r="AO30" s="4378"/>
      <c r="AP30" s="4376"/>
      <c r="AQ30" s="4379"/>
      <c r="AR30" s="4380">
        <v>1225460000</v>
      </c>
      <c r="AS30" s="4375"/>
      <c r="AT30" s="4376"/>
      <c r="AU30" s="4377"/>
      <c r="AV30" s="4378"/>
      <c r="AW30" s="4376"/>
      <c r="AX30" s="4377"/>
      <c r="AY30" s="4381"/>
      <c r="AZ30" s="4387">
        <v>453918420</v>
      </c>
      <c r="BA30" s="4383"/>
      <c r="BB30" s="4381"/>
      <c r="BC30" s="4382"/>
      <c r="BD30" s="4383"/>
      <c r="BE30" s="4384">
        <f t="shared" si="6"/>
        <v>453918420</v>
      </c>
      <c r="BF30" s="4385">
        <f t="shared" si="1"/>
        <v>0</v>
      </c>
      <c r="BG30" s="4385">
        <f t="shared" si="2"/>
        <v>0</v>
      </c>
      <c r="BH30" s="4385">
        <f t="shared" si="3"/>
        <v>4.5391842000000002</v>
      </c>
      <c r="BI30" s="4385">
        <f t="shared" si="4"/>
        <v>0</v>
      </c>
    </row>
    <row r="31" spans="1:61">
      <c r="A31" s="4312"/>
      <c r="B31" s="4331"/>
      <c r="C31" s="4370" t="s">
        <v>4873</v>
      </c>
      <c r="D31" s="4388">
        <v>27632803958</v>
      </c>
      <c r="E31" s="4388">
        <v>19766892972</v>
      </c>
      <c r="F31" s="4389">
        <v>1766659816</v>
      </c>
      <c r="G31" s="4390"/>
      <c r="H31" s="4390"/>
      <c r="I31" s="4390"/>
      <c r="J31" s="4390"/>
      <c r="K31" s="4390">
        <v>17000000000</v>
      </c>
      <c r="L31" s="4390"/>
      <c r="M31" s="4390"/>
      <c r="N31" s="4390"/>
      <c r="O31" s="4390"/>
      <c r="P31" s="4390"/>
      <c r="Q31" s="4391"/>
      <c r="R31" s="4392">
        <v>18766659816</v>
      </c>
      <c r="S31" s="4389"/>
      <c r="T31" s="4390">
        <v>296398010</v>
      </c>
      <c r="U31" s="4390"/>
      <c r="V31" s="4390"/>
      <c r="W31" s="4390"/>
      <c r="X31" s="4390"/>
      <c r="Y31" s="4390"/>
      <c r="Z31" s="4390"/>
      <c r="AA31" s="4390"/>
      <c r="AB31" s="4390"/>
      <c r="AC31" s="4390">
        <v>0</v>
      </c>
      <c r="AD31" s="4391">
        <v>500000000</v>
      </c>
      <c r="AE31" s="4388">
        <v>796398010</v>
      </c>
      <c r="AF31" s="4393">
        <v>13156974470</v>
      </c>
      <c r="AG31" s="4382"/>
      <c r="AH31" s="4383"/>
      <c r="AI31" s="4381"/>
      <c r="AJ31" s="4382">
        <v>8000000000</v>
      </c>
      <c r="AK31" s="4383"/>
      <c r="AL31" s="4381">
        <v>1342573020</v>
      </c>
      <c r="AM31" s="4382"/>
      <c r="AN31" s="4383"/>
      <c r="AO31" s="4381"/>
      <c r="AP31" s="4382"/>
      <c r="AQ31" s="4394">
        <v>-258267800</v>
      </c>
      <c r="AR31" s="4395">
        <v>22241279690</v>
      </c>
      <c r="AS31" s="4393"/>
      <c r="AT31" s="4382"/>
      <c r="AU31" s="4383"/>
      <c r="AV31" s="4381"/>
      <c r="AW31" s="4382">
        <v>3844579833</v>
      </c>
      <c r="AX31" s="4383">
        <v>4727420167</v>
      </c>
      <c r="AY31" s="4381"/>
      <c r="AZ31" s="4382"/>
      <c r="BA31" s="4383"/>
      <c r="BB31" s="4381">
        <v>491582380</v>
      </c>
      <c r="BC31" s="4382"/>
      <c r="BD31" s="4383"/>
      <c r="BE31" s="4384">
        <f t="shared" si="6"/>
        <v>9063582380</v>
      </c>
      <c r="BF31" s="4330">
        <f t="shared" si="1"/>
        <v>0</v>
      </c>
      <c r="BG31" s="4330">
        <f t="shared" si="2"/>
        <v>85.72</v>
      </c>
      <c r="BH31" s="4330">
        <f t="shared" si="3"/>
        <v>0</v>
      </c>
      <c r="BI31" s="4330">
        <f t="shared" si="4"/>
        <v>4.9158238000000001</v>
      </c>
    </row>
    <row r="32" spans="1:61">
      <c r="A32" s="4312"/>
      <c r="B32" s="4331"/>
      <c r="C32" s="4370" t="s">
        <v>4874</v>
      </c>
      <c r="D32" s="4388"/>
      <c r="E32" s="4388">
        <v>0</v>
      </c>
      <c r="F32" s="4389"/>
      <c r="G32" s="4390"/>
      <c r="H32" s="4390"/>
      <c r="I32" s="4390"/>
      <c r="J32" s="4390"/>
      <c r="K32" s="4390"/>
      <c r="L32" s="4390"/>
      <c r="M32" s="4390"/>
      <c r="N32" s="4390"/>
      <c r="O32" s="4390"/>
      <c r="P32" s="4390"/>
      <c r="Q32" s="4391"/>
      <c r="R32" s="4392">
        <v>0</v>
      </c>
      <c r="S32" s="4389"/>
      <c r="T32" s="4390"/>
      <c r="U32" s="4390"/>
      <c r="V32" s="4390"/>
      <c r="W32" s="4390"/>
      <c r="X32" s="4390"/>
      <c r="Y32" s="4390"/>
      <c r="Z32" s="4390"/>
      <c r="AA32" s="4390"/>
      <c r="AB32" s="4390"/>
      <c r="AC32" s="4390"/>
      <c r="AD32" s="4391"/>
      <c r="AE32" s="4388">
        <v>0</v>
      </c>
      <c r="AF32" s="4375"/>
      <c r="AG32" s="4376"/>
      <c r="AH32" s="4377"/>
      <c r="AI32" s="4378"/>
      <c r="AJ32" s="4376"/>
      <c r="AK32" s="4377"/>
      <c r="AL32" s="4378"/>
      <c r="AM32" s="4376"/>
      <c r="AN32" s="4377"/>
      <c r="AO32" s="4378"/>
      <c r="AP32" s="4376"/>
      <c r="AQ32" s="4379"/>
      <c r="AR32" s="4380">
        <v>0</v>
      </c>
      <c r="AS32" s="4375"/>
      <c r="AT32" s="4376"/>
      <c r="AU32" s="4377"/>
      <c r="AV32" s="4378"/>
      <c r="AW32" s="4376"/>
      <c r="AX32" s="4377"/>
      <c r="AY32" s="4378"/>
      <c r="AZ32" s="4376"/>
      <c r="BA32" s="4377"/>
      <c r="BB32" s="4378"/>
      <c r="BC32" s="4382"/>
      <c r="BD32" s="4383"/>
      <c r="BE32" s="4384">
        <f t="shared" si="6"/>
        <v>0</v>
      </c>
      <c r="BF32" s="4385">
        <f t="shared" si="1"/>
        <v>0</v>
      </c>
      <c r="BG32" s="4385">
        <f t="shared" si="2"/>
        <v>0</v>
      </c>
      <c r="BH32" s="4385">
        <f t="shared" si="3"/>
        <v>0</v>
      </c>
      <c r="BI32" s="4385">
        <f t="shared" si="4"/>
        <v>0</v>
      </c>
    </row>
    <row r="33" spans="1:61">
      <c r="A33" s="4312"/>
      <c r="B33" s="4331"/>
      <c r="C33" s="4370" t="s">
        <v>4875</v>
      </c>
      <c r="D33" s="4388">
        <v>-1356000</v>
      </c>
      <c r="E33" s="4388">
        <v>-30192000</v>
      </c>
      <c r="F33" s="4389">
        <v>36062510</v>
      </c>
      <c r="G33" s="4390">
        <v>0</v>
      </c>
      <c r="H33" s="4390">
        <v>504000</v>
      </c>
      <c r="I33" s="4390">
        <v>684000</v>
      </c>
      <c r="J33" s="4390">
        <v>5000000</v>
      </c>
      <c r="K33" s="4390">
        <v>0</v>
      </c>
      <c r="L33" s="4390">
        <v>0</v>
      </c>
      <c r="M33" s="4390">
        <v>57000000</v>
      </c>
      <c r="N33" s="4390">
        <v>0</v>
      </c>
      <c r="O33" s="4390">
        <v>828000</v>
      </c>
      <c r="P33" s="4390">
        <v>-684000</v>
      </c>
      <c r="Q33" s="4391">
        <v>0</v>
      </c>
      <c r="R33" s="4392">
        <v>99394510</v>
      </c>
      <c r="S33" s="4389">
        <v>0</v>
      </c>
      <c r="T33" s="4390">
        <v>0</v>
      </c>
      <c r="U33" s="4390">
        <v>0</v>
      </c>
      <c r="V33" s="4390">
        <v>0</v>
      </c>
      <c r="W33" s="4390">
        <v>-7164000</v>
      </c>
      <c r="X33" s="4390">
        <v>40800</v>
      </c>
      <c r="Y33" s="4390">
        <v>0</v>
      </c>
      <c r="Z33" s="4390">
        <v>-704920</v>
      </c>
      <c r="AA33" s="4390">
        <v>432000</v>
      </c>
      <c r="AB33" s="4390">
        <v>0</v>
      </c>
      <c r="AC33" s="4390">
        <v>0</v>
      </c>
      <c r="AD33" s="4391">
        <v>-56000000</v>
      </c>
      <c r="AE33" s="4388">
        <v>-63396120</v>
      </c>
      <c r="AF33" s="4375">
        <v>0</v>
      </c>
      <c r="AG33" s="4376">
        <v>0</v>
      </c>
      <c r="AH33" s="4377">
        <v>0</v>
      </c>
      <c r="AI33" s="4378">
        <v>0</v>
      </c>
      <c r="AJ33" s="4376">
        <v>0</v>
      </c>
      <c r="AK33" s="4377">
        <v>0</v>
      </c>
      <c r="AL33" s="4378">
        <v>-1000000</v>
      </c>
      <c r="AM33" s="4376">
        <v>-21484000</v>
      </c>
      <c r="AN33" s="4377">
        <v>-720000</v>
      </c>
      <c r="AO33" s="4378">
        <v>3060000</v>
      </c>
      <c r="AP33" s="4376">
        <v>0</v>
      </c>
      <c r="AQ33" s="4379">
        <v>-648000</v>
      </c>
      <c r="AR33" s="4380">
        <v>-20792000</v>
      </c>
      <c r="AS33" s="4375">
        <v>0</v>
      </c>
      <c r="AT33" s="4376">
        <v>4464000</v>
      </c>
      <c r="AU33" s="4377">
        <v>0</v>
      </c>
      <c r="AV33" s="4378">
        <v>0</v>
      </c>
      <c r="AW33" s="4376">
        <v>1188000</v>
      </c>
      <c r="AX33" s="4377">
        <v>0</v>
      </c>
      <c r="AY33" s="4378">
        <v>4000000</v>
      </c>
      <c r="AZ33" s="4376">
        <v>0</v>
      </c>
      <c r="BA33" s="4377">
        <v>0</v>
      </c>
      <c r="BB33" s="4378">
        <v>0</v>
      </c>
      <c r="BC33" s="4382">
        <v>0</v>
      </c>
      <c r="BD33" s="4383">
        <v>0</v>
      </c>
      <c r="BE33" s="4384">
        <f t="shared" si="6"/>
        <v>9652000</v>
      </c>
      <c r="BF33" s="4385">
        <f t="shared" si="1"/>
        <v>4.4639999999999999E-2</v>
      </c>
      <c r="BG33" s="4385">
        <f t="shared" si="2"/>
        <v>1.188E-2</v>
      </c>
      <c r="BH33" s="4385">
        <f t="shared" si="3"/>
        <v>0.04</v>
      </c>
      <c r="BI33" s="4385">
        <f t="shared" si="4"/>
        <v>0</v>
      </c>
    </row>
    <row r="34" spans="1:61">
      <c r="A34" s="243"/>
      <c r="B34" s="4349"/>
      <c r="C34" s="4396" t="s">
        <v>4876</v>
      </c>
      <c r="D34" s="4351">
        <v>-1356000</v>
      </c>
      <c r="E34" s="4351">
        <v>-30192000</v>
      </c>
      <c r="F34" s="4352"/>
      <c r="G34" s="4353"/>
      <c r="H34" s="4354">
        <v>504000</v>
      </c>
      <c r="I34" s="4353">
        <v>684000</v>
      </c>
      <c r="J34" s="4353">
        <v>5000000</v>
      </c>
      <c r="K34" s="4353"/>
      <c r="L34" s="4353"/>
      <c r="M34" s="4353">
        <v>57000000</v>
      </c>
      <c r="N34" s="4353"/>
      <c r="O34" s="4353">
        <v>828000</v>
      </c>
      <c r="P34" s="4353">
        <v>-684000</v>
      </c>
      <c r="Q34" s="4355"/>
      <c r="R34" s="4368">
        <v>63332000</v>
      </c>
      <c r="S34" s="4352"/>
      <c r="T34" s="4353"/>
      <c r="U34" s="4354"/>
      <c r="V34" s="4353"/>
      <c r="W34" s="4353">
        <v>-7164000</v>
      </c>
      <c r="X34" s="4353">
        <v>40800</v>
      </c>
      <c r="Y34" s="4353"/>
      <c r="Z34" s="4353">
        <v>-704920</v>
      </c>
      <c r="AA34" s="4353">
        <v>432000</v>
      </c>
      <c r="AB34" s="4353"/>
      <c r="AC34" s="4353"/>
      <c r="AD34" s="4355"/>
      <c r="AE34" s="4351">
        <v>-7396120</v>
      </c>
      <c r="AF34" s="4356"/>
      <c r="AG34" s="4357"/>
      <c r="AH34" s="4358"/>
      <c r="AI34" s="4359"/>
      <c r="AJ34" s="4357"/>
      <c r="AK34" s="4358"/>
      <c r="AL34" s="4359"/>
      <c r="AM34" s="4357">
        <v>-2484000</v>
      </c>
      <c r="AN34" s="4358">
        <v>-720000</v>
      </c>
      <c r="AO34" s="4359">
        <v>3060000</v>
      </c>
      <c r="AP34" s="4357"/>
      <c r="AQ34" s="4360">
        <v>-648000</v>
      </c>
      <c r="AR34" s="4361">
        <v>-792000</v>
      </c>
      <c r="AS34" s="4356"/>
      <c r="AT34" s="4357">
        <v>4464000</v>
      </c>
      <c r="AU34" s="4358"/>
      <c r="AV34" s="4359"/>
      <c r="AW34" s="4357">
        <v>1188000</v>
      </c>
      <c r="AX34" s="4358"/>
      <c r="AY34" s="4359">
        <v>4000000</v>
      </c>
      <c r="AZ34" s="4357"/>
      <c r="BA34" s="4358"/>
      <c r="BB34" s="4359"/>
      <c r="BC34" s="4362"/>
      <c r="BD34" s="4363"/>
      <c r="BE34" s="4365">
        <f t="shared" si="6"/>
        <v>9652000</v>
      </c>
      <c r="BF34" s="4385">
        <f t="shared" si="1"/>
        <v>4.4639999999999999E-2</v>
      </c>
      <c r="BG34" s="4385">
        <f t="shared" si="2"/>
        <v>1.188E-2</v>
      </c>
      <c r="BH34" s="4385">
        <f t="shared" si="3"/>
        <v>0.04</v>
      </c>
      <c r="BI34" s="4385">
        <f t="shared" si="4"/>
        <v>0</v>
      </c>
    </row>
    <row r="35" spans="1:61">
      <c r="A35" s="243"/>
      <c r="B35" s="4349"/>
      <c r="C35" s="4386" t="s">
        <v>4877</v>
      </c>
      <c r="D35" s="4351"/>
      <c r="E35" s="4351">
        <v>0</v>
      </c>
      <c r="F35" s="4352"/>
      <c r="G35" s="4353"/>
      <c r="H35" s="4353"/>
      <c r="I35" s="4353"/>
      <c r="J35" s="4353"/>
      <c r="K35" s="4353"/>
      <c r="L35" s="4353"/>
      <c r="M35" s="4353"/>
      <c r="N35" s="4353"/>
      <c r="O35" s="4353"/>
      <c r="P35" s="4353"/>
      <c r="Q35" s="4355"/>
      <c r="R35" s="4368">
        <v>0</v>
      </c>
      <c r="S35" s="4352"/>
      <c r="T35" s="4353"/>
      <c r="U35" s="4353"/>
      <c r="V35" s="4353"/>
      <c r="W35" s="4353"/>
      <c r="X35" s="4353"/>
      <c r="Y35" s="4353"/>
      <c r="Z35" s="4353"/>
      <c r="AA35" s="4353"/>
      <c r="AB35" s="4353"/>
      <c r="AC35" s="4353"/>
      <c r="AD35" s="4355">
        <v>-56000000</v>
      </c>
      <c r="AE35" s="4351">
        <v>-56000000</v>
      </c>
      <c r="AF35" s="4356"/>
      <c r="AG35" s="4357"/>
      <c r="AH35" s="4358"/>
      <c r="AI35" s="4359"/>
      <c r="AJ35" s="4357"/>
      <c r="AK35" s="4358"/>
      <c r="AL35" s="4359"/>
      <c r="AM35" s="4357"/>
      <c r="AN35" s="4358"/>
      <c r="AO35" s="4359"/>
      <c r="AP35" s="4357"/>
      <c r="AQ35" s="4360"/>
      <c r="AR35" s="4361">
        <v>0</v>
      </c>
      <c r="AS35" s="4356"/>
      <c r="AT35" s="4357"/>
      <c r="AU35" s="4358"/>
      <c r="AV35" s="4359"/>
      <c r="AW35" s="4357"/>
      <c r="AX35" s="4358"/>
      <c r="AY35" s="4359"/>
      <c r="AZ35" s="4357"/>
      <c r="BA35" s="4358"/>
      <c r="BB35" s="4359"/>
      <c r="BC35" s="4362"/>
      <c r="BD35" s="4363"/>
      <c r="BE35" s="4365">
        <f t="shared" si="6"/>
        <v>0</v>
      </c>
      <c r="BF35" s="4385">
        <f t="shared" si="1"/>
        <v>0</v>
      </c>
      <c r="BG35" s="4385">
        <f t="shared" si="2"/>
        <v>0</v>
      </c>
      <c r="BH35" s="4385">
        <f t="shared" si="3"/>
        <v>0</v>
      </c>
      <c r="BI35" s="4385">
        <f t="shared" si="4"/>
        <v>0</v>
      </c>
    </row>
    <row r="36" spans="1:61">
      <c r="A36" s="243"/>
      <c r="B36" s="4349"/>
      <c r="C36" s="4397" t="s">
        <v>4878</v>
      </c>
      <c r="D36" s="4398"/>
      <c r="E36" s="4398">
        <v>0</v>
      </c>
      <c r="F36" s="4399">
        <v>36062510</v>
      </c>
      <c r="G36" s="4400"/>
      <c r="H36" s="4400"/>
      <c r="I36" s="4400"/>
      <c r="J36" s="4400"/>
      <c r="K36" s="4400"/>
      <c r="L36" s="4400"/>
      <c r="M36" s="4400"/>
      <c r="N36" s="4400"/>
      <c r="O36" s="4400"/>
      <c r="P36" s="4400"/>
      <c r="Q36" s="4401"/>
      <c r="R36" s="4402">
        <v>36062510</v>
      </c>
      <c r="S36" s="4399"/>
      <c r="T36" s="4400"/>
      <c r="U36" s="4400"/>
      <c r="V36" s="4400"/>
      <c r="W36" s="4400"/>
      <c r="X36" s="4400"/>
      <c r="Y36" s="4400"/>
      <c r="Z36" s="4400"/>
      <c r="AA36" s="4400"/>
      <c r="AB36" s="4400"/>
      <c r="AC36" s="4400"/>
      <c r="AD36" s="4401"/>
      <c r="AE36" s="4398">
        <v>0</v>
      </c>
      <c r="AF36" s="4356"/>
      <c r="AG36" s="4357"/>
      <c r="AH36" s="4358"/>
      <c r="AI36" s="4359"/>
      <c r="AJ36" s="4357"/>
      <c r="AK36" s="4358"/>
      <c r="AL36" s="4359">
        <v>-1000000</v>
      </c>
      <c r="AM36" s="4357">
        <v>-19000000</v>
      </c>
      <c r="AN36" s="4358"/>
      <c r="AO36" s="4359"/>
      <c r="AP36" s="4357"/>
      <c r="AQ36" s="4360"/>
      <c r="AR36" s="4361">
        <v>-20000000</v>
      </c>
      <c r="AS36" s="4356"/>
      <c r="AT36" s="4357"/>
      <c r="AU36" s="4358"/>
      <c r="AV36" s="4359"/>
      <c r="AW36" s="4357"/>
      <c r="AX36" s="4358"/>
      <c r="AY36" s="4359"/>
      <c r="AZ36" s="4357"/>
      <c r="BA36" s="4358"/>
      <c r="BB36" s="4359"/>
      <c r="BC36" s="4362"/>
      <c r="BD36" s="4363"/>
      <c r="BE36" s="4365">
        <f t="shared" si="6"/>
        <v>0</v>
      </c>
      <c r="BF36" s="4385">
        <f t="shared" si="1"/>
        <v>0</v>
      </c>
      <c r="BG36" s="4385">
        <f t="shared" si="2"/>
        <v>0</v>
      </c>
      <c r="BH36" s="4385">
        <f t="shared" si="3"/>
        <v>0</v>
      </c>
      <c r="BI36" s="4385">
        <f t="shared" si="4"/>
        <v>0</v>
      </c>
    </row>
    <row r="37" spans="1:61">
      <c r="A37" s="4312"/>
      <c r="B37" s="4403"/>
      <c r="C37" s="4370" t="s">
        <v>4879</v>
      </c>
      <c r="D37" s="4371">
        <v>-1449167436</v>
      </c>
      <c r="E37" s="4371">
        <v>0</v>
      </c>
      <c r="F37" s="4372"/>
      <c r="G37" s="4373"/>
      <c r="H37" s="4373"/>
      <c r="I37" s="4373"/>
      <c r="J37" s="4373"/>
      <c r="K37" s="4373"/>
      <c r="L37" s="4373"/>
      <c r="M37" s="4373"/>
      <c r="N37" s="4373"/>
      <c r="O37" s="4373">
        <v>0</v>
      </c>
      <c r="P37" s="4373"/>
      <c r="Q37" s="4404"/>
      <c r="R37" s="4374">
        <v>0</v>
      </c>
      <c r="S37" s="4372"/>
      <c r="T37" s="4373"/>
      <c r="U37" s="4373"/>
      <c r="V37" s="4373"/>
      <c r="W37" s="4373"/>
      <c r="X37" s="4373"/>
      <c r="Y37" s="4373"/>
      <c r="Z37" s="4373"/>
      <c r="AA37" s="4373"/>
      <c r="AB37" s="4373">
        <v>0</v>
      </c>
      <c r="AC37" s="4373"/>
      <c r="AD37" s="4404"/>
      <c r="AE37" s="4371">
        <v>0</v>
      </c>
      <c r="AF37" s="4375"/>
      <c r="AG37" s="4376"/>
      <c r="AH37" s="4377"/>
      <c r="AI37" s="4378"/>
      <c r="AJ37" s="4376"/>
      <c r="AK37" s="4377"/>
      <c r="AL37" s="4378"/>
      <c r="AM37" s="4376"/>
      <c r="AN37" s="4377"/>
      <c r="AO37" s="4378"/>
      <c r="AP37" s="4376"/>
      <c r="AQ37" s="4379"/>
      <c r="AR37" s="4380">
        <v>0</v>
      </c>
      <c r="AS37" s="4375"/>
      <c r="AT37" s="4376"/>
      <c r="AU37" s="4377"/>
      <c r="AV37" s="4378"/>
      <c r="AW37" s="4376"/>
      <c r="AX37" s="4377"/>
      <c r="AY37" s="4378"/>
      <c r="AZ37" s="4376"/>
      <c r="BA37" s="4377"/>
      <c r="BB37" s="4378"/>
      <c r="BC37" s="4382"/>
      <c r="BD37" s="4383"/>
      <c r="BE37" s="4384">
        <f t="shared" si="6"/>
        <v>0</v>
      </c>
      <c r="BF37" s="4385">
        <f t="shared" ref="BF37:BF68" si="10">SUM(AS37:AU37)/단위</f>
        <v>0</v>
      </c>
      <c r="BG37" s="4385">
        <f t="shared" ref="BG37:BG68" si="11">SUM(AV37:AX37)/단위</f>
        <v>0</v>
      </c>
      <c r="BH37" s="4385">
        <f t="shared" ref="BH37:BH68" si="12">SUM(AY37:BA37)/단위</f>
        <v>0</v>
      </c>
      <c r="BI37" s="4385">
        <f t="shared" ref="BI37:BI68" si="13">SUM(BB37:BD37)/단위</f>
        <v>0</v>
      </c>
    </row>
    <row r="38" spans="1:61">
      <c r="A38" s="4312"/>
      <c r="B38" s="4403"/>
      <c r="C38" s="4370" t="s">
        <v>4880</v>
      </c>
      <c r="D38" s="4371"/>
      <c r="E38" s="4371"/>
      <c r="F38" s="4372"/>
      <c r="G38" s="4373"/>
      <c r="H38" s="4373"/>
      <c r="I38" s="4373"/>
      <c r="J38" s="4373"/>
      <c r="K38" s="4373"/>
      <c r="L38" s="4373"/>
      <c r="M38" s="4373"/>
      <c r="N38" s="4373"/>
      <c r="O38" s="4373"/>
      <c r="P38" s="4373"/>
      <c r="Q38" s="4404"/>
      <c r="R38" s="4374"/>
      <c r="S38" s="4372"/>
      <c r="T38" s="4373"/>
      <c r="U38" s="4373"/>
      <c r="V38" s="4373"/>
      <c r="W38" s="4373"/>
      <c r="X38" s="4373"/>
      <c r="Y38" s="4373"/>
      <c r="Z38" s="4373"/>
      <c r="AA38" s="4373"/>
      <c r="AB38" s="4373"/>
      <c r="AC38" s="4373"/>
      <c r="AD38" s="4404"/>
      <c r="AE38" s="4371"/>
      <c r="AF38" s="4375"/>
      <c r="AG38" s="4376"/>
      <c r="AH38" s="4377"/>
      <c r="AI38" s="4378"/>
      <c r="AJ38" s="4376"/>
      <c r="AK38" s="4377"/>
      <c r="AL38" s="4378"/>
      <c r="AM38" s="4376"/>
      <c r="AN38" s="4377"/>
      <c r="AO38" s="4378"/>
      <c r="AP38" s="4376"/>
      <c r="AQ38" s="4379"/>
      <c r="AR38" s="4380">
        <v>0</v>
      </c>
      <c r="AS38" s="4375"/>
      <c r="AT38" s="4376"/>
      <c r="AU38" s="4377"/>
      <c r="AV38" s="4378"/>
      <c r="AW38" s="4376"/>
      <c r="AX38" s="4377"/>
      <c r="AY38" s="4378"/>
      <c r="AZ38" s="4376"/>
      <c r="BA38" s="4377"/>
      <c r="BB38" s="4378"/>
      <c r="BC38" s="4382"/>
      <c r="BD38" s="4383"/>
      <c r="BE38" s="4384">
        <f t="shared" si="6"/>
        <v>0</v>
      </c>
      <c r="BF38" s="4385">
        <f t="shared" si="10"/>
        <v>0</v>
      </c>
      <c r="BG38" s="4385">
        <f t="shared" si="11"/>
        <v>0</v>
      </c>
      <c r="BH38" s="4385">
        <f t="shared" si="12"/>
        <v>0</v>
      </c>
      <c r="BI38" s="4385">
        <f t="shared" si="13"/>
        <v>0</v>
      </c>
    </row>
    <row r="39" spans="1:61">
      <c r="A39" s="4312"/>
      <c r="B39" s="4403"/>
      <c r="C39" s="4370" t="s">
        <v>4881</v>
      </c>
      <c r="D39" s="4371"/>
      <c r="E39" s="4371"/>
      <c r="F39" s="4372"/>
      <c r="G39" s="4373"/>
      <c r="H39" s="4373"/>
      <c r="I39" s="4373"/>
      <c r="J39" s="4373"/>
      <c r="K39" s="4373"/>
      <c r="L39" s="4373"/>
      <c r="M39" s="4373"/>
      <c r="N39" s="4373"/>
      <c r="O39" s="4373"/>
      <c r="P39" s="4373"/>
      <c r="Q39" s="4404"/>
      <c r="R39" s="4374"/>
      <c r="S39" s="4372"/>
      <c r="T39" s="4373"/>
      <c r="U39" s="4373"/>
      <c r="V39" s="4373"/>
      <c r="W39" s="4373"/>
      <c r="X39" s="4373"/>
      <c r="Y39" s="4373"/>
      <c r="Z39" s="4373"/>
      <c r="AA39" s="4373"/>
      <c r="AB39" s="4373"/>
      <c r="AC39" s="4373"/>
      <c r="AD39" s="4404"/>
      <c r="AE39" s="4371"/>
      <c r="AF39" s="4375"/>
      <c r="AG39" s="4376"/>
      <c r="AH39" s="4377"/>
      <c r="AI39" s="4378"/>
      <c r="AJ39" s="4376"/>
      <c r="AK39" s="4377"/>
      <c r="AL39" s="4378"/>
      <c r="AM39" s="4376"/>
      <c r="AN39" s="4377"/>
      <c r="AO39" s="4378"/>
      <c r="AP39" s="4376"/>
      <c r="AQ39" s="4379"/>
      <c r="AR39" s="4380"/>
      <c r="AS39" s="4375"/>
      <c r="AT39" s="4376"/>
      <c r="AU39" s="4377"/>
      <c r="AV39" s="4378"/>
      <c r="AW39" s="4376"/>
      <c r="AX39" s="4377"/>
      <c r="AY39" s="4378"/>
      <c r="AZ39" s="4376"/>
      <c r="BA39" s="4377"/>
      <c r="BB39" s="4378"/>
      <c r="BC39" s="4382"/>
      <c r="BD39" s="4383">
        <v>955516851</v>
      </c>
      <c r="BE39" s="4384">
        <f t="shared" si="6"/>
        <v>955516851</v>
      </c>
      <c r="BF39" s="4385">
        <f t="shared" si="10"/>
        <v>0</v>
      </c>
      <c r="BG39" s="4385">
        <f t="shared" si="11"/>
        <v>0</v>
      </c>
      <c r="BH39" s="4385">
        <f t="shared" si="12"/>
        <v>0</v>
      </c>
      <c r="BI39" s="4385">
        <f t="shared" si="13"/>
        <v>9.5551685099999997</v>
      </c>
    </row>
    <row r="40" spans="1:61">
      <c r="A40" s="4312"/>
      <c r="B40" s="4403"/>
      <c r="C40" s="4370" t="s">
        <v>4882</v>
      </c>
      <c r="D40" s="4371">
        <v>98584017</v>
      </c>
      <c r="E40" s="4371">
        <v>107370500</v>
      </c>
      <c r="F40" s="4372">
        <v>0</v>
      </c>
      <c r="G40" s="4373">
        <v>0</v>
      </c>
      <c r="H40" s="4373">
        <v>832418</v>
      </c>
      <c r="I40" s="4373">
        <v>0</v>
      </c>
      <c r="J40" s="4373">
        <v>0</v>
      </c>
      <c r="K40" s="4373">
        <v>5393174</v>
      </c>
      <c r="L40" s="4373">
        <v>0</v>
      </c>
      <c r="M40" s="4373">
        <v>0</v>
      </c>
      <c r="N40" s="4373">
        <v>2309265</v>
      </c>
      <c r="O40" s="4373">
        <v>0</v>
      </c>
      <c r="P40" s="4373">
        <v>0</v>
      </c>
      <c r="Q40" s="4404">
        <v>80384799</v>
      </c>
      <c r="R40" s="4374">
        <v>88919656</v>
      </c>
      <c r="S40" s="4372">
        <v>0</v>
      </c>
      <c r="T40" s="4373">
        <v>0</v>
      </c>
      <c r="U40" s="4373">
        <v>56005026</v>
      </c>
      <c r="V40" s="4373">
        <v>0</v>
      </c>
      <c r="W40" s="4373">
        <v>234101757</v>
      </c>
      <c r="X40" s="4373">
        <v>53663839</v>
      </c>
      <c r="Y40" s="4373">
        <v>0</v>
      </c>
      <c r="Z40" s="4373">
        <v>0</v>
      </c>
      <c r="AA40" s="4373">
        <v>31693222</v>
      </c>
      <c r="AB40" s="4373">
        <v>0</v>
      </c>
      <c r="AC40" s="4373">
        <v>0</v>
      </c>
      <c r="AD40" s="4404">
        <v>7845701</v>
      </c>
      <c r="AE40" s="4371">
        <v>383309545</v>
      </c>
      <c r="AF40" s="4375">
        <v>1590617</v>
      </c>
      <c r="AG40" s="4376">
        <v>0</v>
      </c>
      <c r="AH40" s="4377">
        <v>10792155</v>
      </c>
      <c r="AI40" s="4378">
        <v>0</v>
      </c>
      <c r="AJ40" s="4376">
        <v>0</v>
      </c>
      <c r="AK40" s="4377">
        <v>15070865</v>
      </c>
      <c r="AL40" s="4378">
        <v>0</v>
      </c>
      <c r="AM40" s="4376">
        <v>0</v>
      </c>
      <c r="AN40" s="4377">
        <v>16433067</v>
      </c>
      <c r="AO40" s="4378">
        <v>0</v>
      </c>
      <c r="AP40" s="4376">
        <v>0</v>
      </c>
      <c r="AQ40" s="4379">
        <v>6613304</v>
      </c>
      <c r="AR40" s="4380">
        <v>50500008</v>
      </c>
      <c r="AS40" s="4375">
        <f>SUM(AS41:AS44)</f>
        <v>0</v>
      </c>
      <c r="AT40" s="4376">
        <f t="shared" ref="AT40:BD40" si="14">SUM(AT41:AT44)</f>
        <v>0</v>
      </c>
      <c r="AU40" s="4377">
        <f t="shared" si="14"/>
        <v>1523951</v>
      </c>
      <c r="AV40" s="4378">
        <f t="shared" si="14"/>
        <v>0</v>
      </c>
      <c r="AW40" s="4376">
        <f t="shared" si="14"/>
        <v>0</v>
      </c>
      <c r="AX40" s="4377">
        <f t="shared" si="14"/>
        <v>1156772</v>
      </c>
      <c r="AY40" s="4378">
        <f t="shared" si="14"/>
        <v>0</v>
      </c>
      <c r="AZ40" s="4376">
        <f t="shared" si="14"/>
        <v>0</v>
      </c>
      <c r="BA40" s="4377">
        <f t="shared" si="14"/>
        <v>447194</v>
      </c>
      <c r="BB40" s="4378">
        <f t="shared" si="14"/>
        <v>0</v>
      </c>
      <c r="BC40" s="4382">
        <f t="shared" si="14"/>
        <v>0</v>
      </c>
      <c r="BD40" s="4383">
        <f t="shared" si="14"/>
        <v>1169270</v>
      </c>
      <c r="BE40" s="4384">
        <f t="shared" si="6"/>
        <v>4297187</v>
      </c>
      <c r="BF40" s="4385">
        <f t="shared" si="10"/>
        <v>1.523951E-2</v>
      </c>
      <c r="BG40" s="4385">
        <f t="shared" si="11"/>
        <v>1.156772E-2</v>
      </c>
      <c r="BH40" s="4385">
        <f t="shared" si="12"/>
        <v>4.4719399999999998E-3</v>
      </c>
      <c r="BI40" s="4385">
        <f t="shared" si="13"/>
        <v>1.16927E-2</v>
      </c>
    </row>
    <row r="41" spans="1:61">
      <c r="A41" s="243"/>
      <c r="B41" s="4405"/>
      <c r="C41" s="4396" t="s">
        <v>4883</v>
      </c>
      <c r="D41" s="4406">
        <v>18294333</v>
      </c>
      <c r="E41" s="4406">
        <v>12864828</v>
      </c>
      <c r="F41" s="4407"/>
      <c r="G41" s="4408"/>
      <c r="H41" s="4409">
        <v>983918</v>
      </c>
      <c r="I41" s="4408"/>
      <c r="J41" s="4408"/>
      <c r="K41" s="4409">
        <v>6374844</v>
      </c>
      <c r="L41" s="4408"/>
      <c r="M41" s="4408"/>
      <c r="N41" s="4409">
        <v>2729615</v>
      </c>
      <c r="O41" s="4408"/>
      <c r="P41" s="4408"/>
      <c r="Q41" s="4409">
        <v>95017399</v>
      </c>
      <c r="R41" s="4410">
        <v>105105776</v>
      </c>
      <c r="S41" s="4407"/>
      <c r="T41" s="4408"/>
      <c r="U41" s="4409">
        <v>66199756</v>
      </c>
      <c r="V41" s="4408"/>
      <c r="W41" s="4408"/>
      <c r="X41" s="4409">
        <v>63432389</v>
      </c>
      <c r="Y41" s="4408"/>
      <c r="Z41" s="4408"/>
      <c r="AA41" s="4409">
        <v>37462412</v>
      </c>
      <c r="AB41" s="4408"/>
      <c r="AC41" s="4408"/>
      <c r="AD41" s="4409">
        <v>9273821</v>
      </c>
      <c r="AE41" s="4406">
        <v>176368378</v>
      </c>
      <c r="AF41" s="4356">
        <v>1880157</v>
      </c>
      <c r="AG41" s="4357"/>
      <c r="AH41" s="4358">
        <v>12756645</v>
      </c>
      <c r="AI41" s="4359">
        <v>0</v>
      </c>
      <c r="AJ41" s="4357">
        <v>0</v>
      </c>
      <c r="AK41" s="4358">
        <v>17814205</v>
      </c>
      <c r="AL41" s="4359">
        <v>0</v>
      </c>
      <c r="AM41" s="4357">
        <v>0</v>
      </c>
      <c r="AN41" s="4358">
        <v>19424397</v>
      </c>
      <c r="AO41" s="4359"/>
      <c r="AP41" s="4357"/>
      <c r="AQ41" s="4360">
        <v>7816724</v>
      </c>
      <c r="AR41" s="4361">
        <v>59692128</v>
      </c>
      <c r="AS41" s="4356"/>
      <c r="AT41" s="4357"/>
      <c r="AU41" s="4358">
        <v>1523951</v>
      </c>
      <c r="AV41" s="4359"/>
      <c r="AW41" s="4357"/>
      <c r="AX41" s="4358">
        <v>1156772</v>
      </c>
      <c r="AY41" s="4359"/>
      <c r="AZ41" s="4357"/>
      <c r="BA41" s="4409">
        <v>528574</v>
      </c>
      <c r="BB41" s="4359"/>
      <c r="BC41" s="4357"/>
      <c r="BD41" s="4358">
        <v>1381820</v>
      </c>
      <c r="BE41" s="4411">
        <f t="shared" si="6"/>
        <v>4591117</v>
      </c>
      <c r="BF41" s="4385">
        <f t="shared" si="10"/>
        <v>1.523951E-2</v>
      </c>
      <c r="BG41" s="4385">
        <f t="shared" si="11"/>
        <v>1.156772E-2</v>
      </c>
      <c r="BH41" s="4385">
        <f t="shared" si="12"/>
        <v>5.2857399999999997E-3</v>
      </c>
      <c r="BI41" s="4385">
        <f t="shared" si="13"/>
        <v>1.3818199999999999E-2</v>
      </c>
    </row>
    <row r="42" spans="1:61">
      <c r="A42" s="243"/>
      <c r="B42" s="4405"/>
      <c r="C42" s="4386" t="s">
        <v>4884</v>
      </c>
      <c r="D42" s="4351">
        <v>113157824</v>
      </c>
      <c r="E42" s="4351">
        <v>131662952</v>
      </c>
      <c r="F42" s="4352"/>
      <c r="G42" s="4353"/>
      <c r="H42" s="4353"/>
      <c r="I42" s="4353"/>
      <c r="J42" s="4353"/>
      <c r="K42" s="4353"/>
      <c r="L42" s="4353"/>
      <c r="M42" s="4353"/>
      <c r="N42" s="4353"/>
      <c r="O42" s="4353"/>
      <c r="P42" s="4353"/>
      <c r="Q42" s="4355"/>
      <c r="R42" s="4368">
        <v>0</v>
      </c>
      <c r="S42" s="4352"/>
      <c r="T42" s="4353"/>
      <c r="U42" s="4353"/>
      <c r="V42" s="4353"/>
      <c r="W42" s="4353">
        <v>322898947</v>
      </c>
      <c r="X42" s="4353"/>
      <c r="Y42" s="4353"/>
      <c r="Z42" s="4353"/>
      <c r="AA42" s="4353">
        <v>0</v>
      </c>
      <c r="AB42" s="4353"/>
      <c r="AC42" s="4353"/>
      <c r="AD42" s="4355">
        <v>0</v>
      </c>
      <c r="AE42" s="4351">
        <v>322898947</v>
      </c>
      <c r="AF42" s="4356">
        <v>0</v>
      </c>
      <c r="AG42" s="4357"/>
      <c r="AH42" s="4358"/>
      <c r="AI42" s="4359"/>
      <c r="AJ42" s="4357"/>
      <c r="AK42" s="4358"/>
      <c r="AL42" s="4359"/>
      <c r="AM42" s="4357"/>
      <c r="AN42" s="4358"/>
      <c r="AO42" s="4359"/>
      <c r="AP42" s="4357"/>
      <c r="AQ42" s="4360"/>
      <c r="AR42" s="4361">
        <v>0</v>
      </c>
      <c r="AS42" s="4356"/>
      <c r="AT42" s="4357"/>
      <c r="AU42" s="4358"/>
      <c r="AV42" s="4359"/>
      <c r="AW42" s="4357"/>
      <c r="AX42" s="4358"/>
      <c r="AY42" s="4359"/>
      <c r="AZ42" s="4357"/>
      <c r="BA42" s="4353"/>
      <c r="BB42" s="4359"/>
      <c r="BC42" s="4357"/>
      <c r="BD42" s="4358"/>
      <c r="BE42" s="4411">
        <f t="shared" si="6"/>
        <v>0</v>
      </c>
      <c r="BF42" s="4385">
        <f t="shared" si="10"/>
        <v>0</v>
      </c>
      <c r="BG42" s="4385">
        <f t="shared" si="11"/>
        <v>0</v>
      </c>
      <c r="BH42" s="4385">
        <f t="shared" si="12"/>
        <v>0</v>
      </c>
      <c r="BI42" s="4385">
        <f t="shared" si="13"/>
        <v>0</v>
      </c>
    </row>
    <row r="43" spans="1:61">
      <c r="A43" s="243"/>
      <c r="B43" s="4405"/>
      <c r="C43" s="4386" t="s">
        <v>4885</v>
      </c>
      <c r="D43" s="4351">
        <v>-33935550</v>
      </c>
      <c r="E43" s="4351">
        <v>-37157280</v>
      </c>
      <c r="F43" s="4352"/>
      <c r="G43" s="4353"/>
      <c r="H43" s="4353">
        <v>-151500</v>
      </c>
      <c r="I43" s="4353"/>
      <c r="J43" s="4353"/>
      <c r="K43" s="4353">
        <v>-981670</v>
      </c>
      <c r="L43" s="4353"/>
      <c r="M43" s="4353"/>
      <c r="N43" s="4353">
        <v>-420350</v>
      </c>
      <c r="O43" s="4353"/>
      <c r="P43" s="4353"/>
      <c r="Q43" s="4353">
        <v>-14632600</v>
      </c>
      <c r="R43" s="4368">
        <v>-16186120</v>
      </c>
      <c r="S43" s="4352"/>
      <c r="T43" s="4353"/>
      <c r="U43" s="4353">
        <v>-10194730</v>
      </c>
      <c r="V43" s="4353"/>
      <c r="W43" s="4353">
        <v>-88797190</v>
      </c>
      <c r="X43" s="4353">
        <v>-9768550</v>
      </c>
      <c r="Y43" s="4353"/>
      <c r="Z43" s="4353"/>
      <c r="AA43" s="4353">
        <v>-5769190</v>
      </c>
      <c r="AB43" s="4353"/>
      <c r="AC43" s="4353"/>
      <c r="AD43" s="4353">
        <v>-1428120</v>
      </c>
      <c r="AE43" s="4351">
        <v>-115957780</v>
      </c>
      <c r="AF43" s="4356">
        <v>-289540</v>
      </c>
      <c r="AG43" s="4357"/>
      <c r="AH43" s="4358">
        <v>-1964490</v>
      </c>
      <c r="AI43" s="4359"/>
      <c r="AJ43" s="4357"/>
      <c r="AK43" s="4358">
        <v>-2743340</v>
      </c>
      <c r="AL43" s="4359"/>
      <c r="AM43" s="4357"/>
      <c r="AN43" s="4358">
        <v>-2991330</v>
      </c>
      <c r="AO43" s="4359"/>
      <c r="AP43" s="4357"/>
      <c r="AQ43" s="4360">
        <v>-1203420</v>
      </c>
      <c r="AR43" s="4361">
        <v>-9192120</v>
      </c>
      <c r="AS43" s="4356"/>
      <c r="AT43" s="4357"/>
      <c r="AU43" s="4358"/>
      <c r="AV43" s="4359"/>
      <c r="AW43" s="4357"/>
      <c r="AX43" s="4358"/>
      <c r="AY43" s="4359"/>
      <c r="AZ43" s="4357"/>
      <c r="BA43" s="4353">
        <v>-81380</v>
      </c>
      <c r="BB43" s="4359"/>
      <c r="BC43" s="4357"/>
      <c r="BD43" s="4358">
        <v>-212550</v>
      </c>
      <c r="BE43" s="4411">
        <f t="shared" si="6"/>
        <v>-293930</v>
      </c>
      <c r="BF43" s="4385">
        <f t="shared" si="10"/>
        <v>0</v>
      </c>
      <c r="BG43" s="4385">
        <f t="shared" si="11"/>
        <v>0</v>
      </c>
      <c r="BH43" s="4385">
        <f t="shared" si="12"/>
        <v>-8.1380000000000005E-4</v>
      </c>
      <c r="BI43" s="4385">
        <f t="shared" si="13"/>
        <v>-2.1254999999999998E-3</v>
      </c>
    </row>
    <row r="44" spans="1:61" ht="17.25" thickBot="1">
      <c r="A44" s="243"/>
      <c r="B44" s="4405"/>
      <c r="C44" s="4386" t="s">
        <v>4886</v>
      </c>
      <c r="D44" s="4412">
        <v>1067410</v>
      </c>
      <c r="E44" s="4412">
        <v>0</v>
      </c>
      <c r="F44" s="4413"/>
      <c r="G44" s="4414"/>
      <c r="H44" s="4414"/>
      <c r="I44" s="4414"/>
      <c r="J44" s="4414"/>
      <c r="K44" s="4414"/>
      <c r="L44" s="4414"/>
      <c r="M44" s="4414"/>
      <c r="N44" s="4414"/>
      <c r="O44" s="4414"/>
      <c r="P44" s="4414"/>
      <c r="Q44" s="4415"/>
      <c r="R44" s="4416">
        <v>0</v>
      </c>
      <c r="S44" s="4413"/>
      <c r="T44" s="4414"/>
      <c r="U44" s="4414"/>
      <c r="V44" s="4414"/>
      <c r="W44" s="4414"/>
      <c r="X44" s="4414"/>
      <c r="Y44" s="4414"/>
      <c r="Z44" s="4414"/>
      <c r="AA44" s="4414"/>
      <c r="AB44" s="4414"/>
      <c r="AC44" s="4414"/>
      <c r="AD44" s="4415"/>
      <c r="AE44" s="4412">
        <v>0</v>
      </c>
      <c r="AF44" s="4356">
        <v>0</v>
      </c>
      <c r="AG44" s="4357"/>
      <c r="AH44" s="4358"/>
      <c r="AI44" s="4359"/>
      <c r="AJ44" s="4357"/>
      <c r="AK44" s="4358"/>
      <c r="AL44" s="4359"/>
      <c r="AM44" s="4357"/>
      <c r="AN44" s="4358"/>
      <c r="AO44" s="4359"/>
      <c r="AP44" s="4357"/>
      <c r="AQ44" s="4360"/>
      <c r="AR44" s="4361">
        <v>0</v>
      </c>
      <c r="AS44" s="4356"/>
      <c r="AT44" s="4357"/>
      <c r="AU44" s="4358"/>
      <c r="AV44" s="4359"/>
      <c r="AW44" s="4357"/>
      <c r="AX44" s="4358"/>
      <c r="AY44" s="4359"/>
      <c r="AZ44" s="4357"/>
      <c r="BA44" s="4358"/>
      <c r="BB44" s="4359"/>
      <c r="BC44" s="4357"/>
      <c r="BD44" s="4358"/>
      <c r="BE44" s="4411">
        <f t="shared" si="6"/>
        <v>0</v>
      </c>
      <c r="BF44" s="4385">
        <f t="shared" si="10"/>
        <v>0</v>
      </c>
      <c r="BG44" s="4385">
        <f t="shared" si="11"/>
        <v>0</v>
      </c>
      <c r="BH44" s="4385">
        <f t="shared" si="12"/>
        <v>0</v>
      </c>
      <c r="BI44" s="4385">
        <f t="shared" si="13"/>
        <v>0</v>
      </c>
    </row>
    <row r="45" spans="1:61" ht="18.75" thickTop="1" thickBot="1">
      <c r="A45" s="4312"/>
      <c r="B45" s="4417"/>
      <c r="C45" s="4418" t="s">
        <v>4887</v>
      </c>
      <c r="D45" s="4419">
        <v>53986920874</v>
      </c>
      <c r="E45" s="4420">
        <v>48526961229</v>
      </c>
      <c r="F45" s="4421">
        <v>3542724480</v>
      </c>
      <c r="G45" s="4422">
        <v>1730467051</v>
      </c>
      <c r="H45" s="4422">
        <v>1841925839</v>
      </c>
      <c r="I45" s="4422">
        <v>2471445719</v>
      </c>
      <c r="J45" s="4422">
        <v>2870913849</v>
      </c>
      <c r="K45" s="4422">
        <v>19406633980</v>
      </c>
      <c r="L45" s="4422">
        <v>2838907141</v>
      </c>
      <c r="M45" s="4422">
        <v>2445133831</v>
      </c>
      <c r="N45" s="4422">
        <v>2801140560</v>
      </c>
      <c r="O45" s="4422">
        <v>2994474599</v>
      </c>
      <c r="P45" s="4422">
        <v>2581107621</v>
      </c>
      <c r="Q45" s="4423">
        <v>2683109982</v>
      </c>
      <c r="R45" s="4424">
        <v>48207984652</v>
      </c>
      <c r="S45" s="4421">
        <v>2492180034</v>
      </c>
      <c r="T45" s="4422">
        <v>3219665396</v>
      </c>
      <c r="U45" s="4422">
        <v>2893011192</v>
      </c>
      <c r="V45" s="4422">
        <v>2908564853</v>
      </c>
      <c r="W45" s="4422">
        <v>2597788556</v>
      </c>
      <c r="X45" s="4422">
        <v>1931058406</v>
      </c>
      <c r="Y45" s="4422">
        <v>1565224493</v>
      </c>
      <c r="Z45" s="4422">
        <v>1987316965</v>
      </c>
      <c r="AA45" s="4422">
        <v>2121216155</v>
      </c>
      <c r="AB45" s="4422">
        <v>1049949379</v>
      </c>
      <c r="AC45" s="4422">
        <v>2282421322</v>
      </c>
      <c r="AD45" s="4423">
        <v>2825181719</v>
      </c>
      <c r="AE45" s="4420">
        <v>27873578470</v>
      </c>
      <c r="AF45" s="4425">
        <v>16164087818</v>
      </c>
      <c r="AG45" s="4426">
        <v>2275408095</v>
      </c>
      <c r="AH45" s="4427">
        <v>1991907455</v>
      </c>
      <c r="AI45" s="4428">
        <v>2454173811</v>
      </c>
      <c r="AJ45" s="4426">
        <v>10003986339</v>
      </c>
      <c r="AK45" s="4427">
        <v>2098495799</v>
      </c>
      <c r="AL45" s="4428">
        <v>3778349339</v>
      </c>
      <c r="AM45" s="4426">
        <v>2329652388</v>
      </c>
      <c r="AN45" s="4427">
        <v>2394079614</v>
      </c>
      <c r="AO45" s="4428">
        <v>2506889421</v>
      </c>
      <c r="AP45" s="4426">
        <v>2170389218</v>
      </c>
      <c r="AQ45" s="4429">
        <v>2044236829</v>
      </c>
      <c r="AR45" s="4430">
        <v>50211656126</v>
      </c>
      <c r="AS45" s="4425">
        <f>SUM(AS5,AS27,AS30,AS31,AS32,AS33,AS37,AS38:AS39,AS40)</f>
        <v>2113936594</v>
      </c>
      <c r="AT45" s="4426">
        <f t="shared" ref="AT45:BD45" si="15">SUM(AT5,AT27,AT30,AT31,AT32,AT33,AT37,AT38:AT39,AT40)</f>
        <v>2160079138</v>
      </c>
      <c r="AU45" s="4427">
        <f t="shared" si="15"/>
        <v>2153715443</v>
      </c>
      <c r="AV45" s="4428">
        <f t="shared" si="15"/>
        <v>1945465860</v>
      </c>
      <c r="AW45" s="4426">
        <f t="shared" si="15"/>
        <v>6028199044</v>
      </c>
      <c r="AX45" s="4427">
        <f t="shared" si="15"/>
        <v>6607052501</v>
      </c>
      <c r="AY45" s="4428">
        <f t="shared" si="15"/>
        <v>2164731856</v>
      </c>
      <c r="AZ45" s="4426">
        <f t="shared" si="15"/>
        <v>2467016930</v>
      </c>
      <c r="BA45" s="4427">
        <f t="shared" si="15"/>
        <v>2344139311</v>
      </c>
      <c r="BB45" s="4428">
        <f t="shared" si="15"/>
        <v>2406019133</v>
      </c>
      <c r="BC45" s="4426">
        <f t="shared" si="15"/>
        <v>1945464223</v>
      </c>
      <c r="BD45" s="4427">
        <f t="shared" si="15"/>
        <v>3271260227</v>
      </c>
      <c r="BE45" s="4431">
        <v>35607080260</v>
      </c>
      <c r="BF45" s="4385">
        <f t="shared" si="10"/>
        <v>64.277311749999996</v>
      </c>
      <c r="BG45" s="4385">
        <f t="shared" si="11"/>
        <v>145.80717404999999</v>
      </c>
      <c r="BH45" s="4385">
        <f t="shared" si="12"/>
        <v>69.758880970000007</v>
      </c>
      <c r="BI45" s="4385">
        <f t="shared" si="13"/>
        <v>76.227435830000005</v>
      </c>
    </row>
    <row r="46" spans="1:61" ht="17.25" thickTop="1">
      <c r="A46" s="4312"/>
      <c r="B46" s="4432" t="s">
        <v>4888</v>
      </c>
      <c r="C46" s="4392" t="s">
        <v>4889</v>
      </c>
      <c r="D46" s="4388">
        <v>16858125141</v>
      </c>
      <c r="E46" s="4388">
        <v>18299975237</v>
      </c>
      <c r="F46" s="4389">
        <v>1523656684</v>
      </c>
      <c r="G46" s="4390">
        <v>1577824300</v>
      </c>
      <c r="H46" s="4390">
        <v>1496849957</v>
      </c>
      <c r="I46" s="4390">
        <v>1430306520</v>
      </c>
      <c r="J46" s="4390">
        <v>1336941823</v>
      </c>
      <c r="K46" s="4390">
        <v>1710928506</v>
      </c>
      <c r="L46" s="4390">
        <v>1767500536</v>
      </c>
      <c r="M46" s="4390">
        <v>1555528291</v>
      </c>
      <c r="N46" s="4390">
        <v>1598206644</v>
      </c>
      <c r="O46" s="4390">
        <v>1548416988</v>
      </c>
      <c r="P46" s="4390">
        <v>1488175961</v>
      </c>
      <c r="Q46" s="4391">
        <v>1746292671</v>
      </c>
      <c r="R46" s="4392">
        <v>18780628881</v>
      </c>
      <c r="S46" s="4389">
        <v>1618393035</v>
      </c>
      <c r="T46" s="4390">
        <v>1641488561</v>
      </c>
      <c r="U46" s="4390">
        <v>1578377903</v>
      </c>
      <c r="V46" s="4390">
        <v>1457481393</v>
      </c>
      <c r="W46" s="4390">
        <v>1435992718</v>
      </c>
      <c r="X46" s="4390">
        <v>1796237854</v>
      </c>
      <c r="Y46" s="4390">
        <v>1777358371</v>
      </c>
      <c r="Z46" s="4390">
        <v>1615279400</v>
      </c>
      <c r="AA46" s="4390">
        <v>1713161269</v>
      </c>
      <c r="AB46" s="4390">
        <v>1610469386</v>
      </c>
      <c r="AC46" s="4390">
        <v>1541834201</v>
      </c>
      <c r="AD46" s="4391">
        <v>1678022399</v>
      </c>
      <c r="AE46" s="4388">
        <v>19464096490</v>
      </c>
      <c r="AF46" s="4320">
        <v>2580856644</v>
      </c>
      <c r="AG46" s="4321">
        <v>1322020843</v>
      </c>
      <c r="AH46" s="4322">
        <v>1108802190</v>
      </c>
      <c r="AI46" s="4323">
        <v>1723030504</v>
      </c>
      <c r="AJ46" s="4321">
        <v>1510023814</v>
      </c>
      <c r="AK46" s="4322">
        <v>2078725039</v>
      </c>
      <c r="AL46" s="4323">
        <v>1678715378</v>
      </c>
      <c r="AM46" s="4321">
        <v>1669669601</v>
      </c>
      <c r="AN46" s="4322">
        <v>1735414634</v>
      </c>
      <c r="AO46" s="4323">
        <v>1825808628</v>
      </c>
      <c r="AP46" s="4321">
        <v>1742345696</v>
      </c>
      <c r="AQ46" s="4324">
        <v>1769443872</v>
      </c>
      <c r="AR46" s="4325">
        <v>20744856843</v>
      </c>
      <c r="AS46" s="4433">
        <f>SUM(AS47:AS48)</f>
        <v>1543207154</v>
      </c>
      <c r="AT46" s="4328">
        <f t="shared" ref="AT46:BD46" si="16">SUM(AT47:AT48)</f>
        <v>1677504744</v>
      </c>
      <c r="AU46" s="4326">
        <f t="shared" si="16"/>
        <v>673498002</v>
      </c>
      <c r="AV46" s="4327">
        <f t="shared" si="16"/>
        <v>794060018</v>
      </c>
      <c r="AW46" s="4328">
        <f t="shared" si="16"/>
        <v>3127234248</v>
      </c>
      <c r="AX46" s="4326">
        <f t="shared" si="16"/>
        <v>2205427238</v>
      </c>
      <c r="AY46" s="4327">
        <f t="shared" si="16"/>
        <v>647356432</v>
      </c>
      <c r="AZ46" s="4328">
        <f t="shared" si="16"/>
        <v>724421324</v>
      </c>
      <c r="BA46" s="4326">
        <f t="shared" si="16"/>
        <v>706374979</v>
      </c>
      <c r="BB46" s="4327">
        <f t="shared" si="16"/>
        <v>723371044</v>
      </c>
      <c r="BC46" s="4328">
        <f t="shared" si="16"/>
        <v>159237667</v>
      </c>
      <c r="BD46" s="4326">
        <f t="shared" si="16"/>
        <v>196901099</v>
      </c>
      <c r="BE46" s="4329">
        <f t="shared" si="6"/>
        <v>13178593949</v>
      </c>
      <c r="BF46" s="4385">
        <f t="shared" si="10"/>
        <v>38.942098999999999</v>
      </c>
      <c r="BG46" s="4385">
        <f t="shared" si="11"/>
        <v>61.267215040000004</v>
      </c>
      <c r="BH46" s="4385">
        <f t="shared" si="12"/>
        <v>20.781527350000001</v>
      </c>
      <c r="BI46" s="4385">
        <f t="shared" si="13"/>
        <v>10.795098100000001</v>
      </c>
    </row>
    <row r="47" spans="1:61">
      <c r="A47" s="243"/>
      <c r="B47" s="4349"/>
      <c r="C47" s="4332" t="s">
        <v>4890</v>
      </c>
      <c r="D47" s="4351">
        <v>3468367584</v>
      </c>
      <c r="E47" s="4351">
        <v>3589718245</v>
      </c>
      <c r="F47" s="4352">
        <v>317864528</v>
      </c>
      <c r="G47" s="4353">
        <v>301242285</v>
      </c>
      <c r="H47" s="4353">
        <v>220267942</v>
      </c>
      <c r="I47" s="4408">
        <v>215586259</v>
      </c>
      <c r="J47" s="4408">
        <v>226783818</v>
      </c>
      <c r="K47" s="4408">
        <v>600770501</v>
      </c>
      <c r="L47" s="4408">
        <v>242669070</v>
      </c>
      <c r="M47" s="4408">
        <v>245006850</v>
      </c>
      <c r="N47" s="4408">
        <v>287685203</v>
      </c>
      <c r="O47" s="4408">
        <v>220062911</v>
      </c>
      <c r="P47" s="4408">
        <v>217894604</v>
      </c>
      <c r="Q47" s="4408">
        <v>590452606</v>
      </c>
      <c r="R47" s="4368">
        <v>3686286577</v>
      </c>
      <c r="S47" s="4352">
        <v>257255451</v>
      </c>
      <c r="T47" s="4353">
        <v>280350977</v>
      </c>
      <c r="U47" s="4353">
        <v>217240319</v>
      </c>
      <c r="V47" s="4408">
        <v>270292212</v>
      </c>
      <c r="W47" s="4408">
        <v>225423799</v>
      </c>
      <c r="X47" s="4408">
        <v>585668935</v>
      </c>
      <c r="Y47" s="4408">
        <v>283395099</v>
      </c>
      <c r="Z47" s="4408">
        <v>251121136</v>
      </c>
      <c r="AA47" s="4408">
        <v>349003005</v>
      </c>
      <c r="AB47" s="4408">
        <v>268712098</v>
      </c>
      <c r="AC47" s="4408">
        <v>230621430</v>
      </c>
      <c r="AD47" s="4408">
        <v>366809628</v>
      </c>
      <c r="AE47" s="4406">
        <v>3585894089</v>
      </c>
      <c r="AF47" s="4434">
        <v>1107911670</v>
      </c>
      <c r="AG47" s="4435">
        <v>427577199</v>
      </c>
      <c r="AH47" s="4436">
        <v>214358546</v>
      </c>
      <c r="AI47" s="4437">
        <v>287863327</v>
      </c>
      <c r="AJ47" s="4435">
        <v>200505069</v>
      </c>
      <c r="AK47" s="4436">
        <v>769206294</v>
      </c>
      <c r="AL47" s="4437">
        <v>219153346</v>
      </c>
      <c r="AM47" s="4435">
        <v>216381950</v>
      </c>
      <c r="AN47" s="4436">
        <v>282126984</v>
      </c>
      <c r="AO47" s="4437">
        <v>214055138</v>
      </c>
      <c r="AP47" s="4435">
        <v>205464265</v>
      </c>
      <c r="AQ47" s="4438">
        <v>232562441</v>
      </c>
      <c r="AR47" s="4439">
        <v>4377166229</v>
      </c>
      <c r="AS47" s="4440">
        <v>230565378</v>
      </c>
      <c r="AT47" s="4441">
        <v>203336212</v>
      </c>
      <c r="AU47" s="4442">
        <v>166795270</v>
      </c>
      <c r="AV47" s="4443">
        <v>281727256</v>
      </c>
      <c r="AW47" s="4441">
        <v>168274316</v>
      </c>
      <c r="AX47" s="4442">
        <v>927447227</v>
      </c>
      <c r="AY47" s="4443">
        <v>129393639</v>
      </c>
      <c r="AZ47" s="4441">
        <v>206458531</v>
      </c>
      <c r="BA47" s="4442">
        <v>188412186</v>
      </c>
      <c r="BB47" s="4443">
        <v>205408251</v>
      </c>
      <c r="BC47" s="4441">
        <v>159237667</v>
      </c>
      <c r="BD47" s="4442">
        <v>196901099</v>
      </c>
      <c r="BE47" s="4444">
        <f t="shared" si="6"/>
        <v>3063957032</v>
      </c>
      <c r="BF47" s="4385">
        <f t="shared" si="10"/>
        <v>6.0069686000000004</v>
      </c>
      <c r="BG47" s="4385">
        <f t="shared" si="11"/>
        <v>13.774487990000001</v>
      </c>
      <c r="BH47" s="4385">
        <f t="shared" si="12"/>
        <v>5.2426435600000003</v>
      </c>
      <c r="BI47" s="4385">
        <f t="shared" si="13"/>
        <v>5.61547017</v>
      </c>
    </row>
    <row r="48" spans="1:61">
      <c r="A48" s="243"/>
      <c r="B48" s="4349"/>
      <c r="C48" s="4332" t="s">
        <v>4891</v>
      </c>
      <c r="D48" s="4333">
        <v>13389757557</v>
      </c>
      <c r="E48" s="4333">
        <v>14710256992</v>
      </c>
      <c r="F48" s="4334">
        <v>1205792156</v>
      </c>
      <c r="G48" s="4335">
        <v>1276582015</v>
      </c>
      <c r="H48" s="4335">
        <v>1276582015</v>
      </c>
      <c r="I48" s="4335">
        <v>1214720261</v>
      </c>
      <c r="J48" s="4335">
        <v>1110158005</v>
      </c>
      <c r="K48" s="4335">
        <v>1110158005</v>
      </c>
      <c r="L48" s="4335">
        <v>1524831466</v>
      </c>
      <c r="M48" s="4335">
        <v>1310521441</v>
      </c>
      <c r="N48" s="4335">
        <v>1310521441</v>
      </c>
      <c r="O48" s="4335">
        <v>1328354077</v>
      </c>
      <c r="P48" s="4335">
        <v>1270281357</v>
      </c>
      <c r="Q48" s="4335">
        <v>1155840065</v>
      </c>
      <c r="R48" s="4369">
        <v>15094342304</v>
      </c>
      <c r="S48" s="4334">
        <v>1361137584</v>
      </c>
      <c r="T48" s="4335">
        <v>1361137584</v>
      </c>
      <c r="U48" s="4335">
        <v>1361137584</v>
      </c>
      <c r="V48" s="4335">
        <v>1187189181</v>
      </c>
      <c r="W48" s="4335">
        <v>1210568919</v>
      </c>
      <c r="X48" s="4335">
        <v>1210568919</v>
      </c>
      <c r="Y48" s="4335">
        <v>1493963272</v>
      </c>
      <c r="Z48" s="4335">
        <v>1364158264</v>
      </c>
      <c r="AA48" s="4335">
        <v>1364158264</v>
      </c>
      <c r="AB48" s="4335">
        <v>1341757288</v>
      </c>
      <c r="AC48" s="4335">
        <v>1311212771</v>
      </c>
      <c r="AD48" s="4335">
        <v>1311212771</v>
      </c>
      <c r="AE48" s="4333">
        <v>15878202401</v>
      </c>
      <c r="AF48" s="4339">
        <v>1472944974</v>
      </c>
      <c r="AG48" s="4340">
        <v>894443644</v>
      </c>
      <c r="AH48" s="4341">
        <v>894443644</v>
      </c>
      <c r="AI48" s="4342">
        <v>1435167177</v>
      </c>
      <c r="AJ48" s="4340">
        <v>1309518745</v>
      </c>
      <c r="AK48" s="4341">
        <v>1309518745</v>
      </c>
      <c r="AL48" s="4342">
        <v>1459562032</v>
      </c>
      <c r="AM48" s="4340">
        <v>1453287651</v>
      </c>
      <c r="AN48" s="4341">
        <v>1453287650</v>
      </c>
      <c r="AO48" s="4342">
        <v>1611753490</v>
      </c>
      <c r="AP48" s="4340">
        <v>1536881431</v>
      </c>
      <c r="AQ48" s="4343">
        <v>1536881431</v>
      </c>
      <c r="AR48" s="4344">
        <v>16367690614</v>
      </c>
      <c r="AS48" s="4445">
        <f>SUM(AS49:AS51)</f>
        <v>1312641776</v>
      </c>
      <c r="AT48" s="4345">
        <f t="shared" ref="AT48:BD48" si="17">SUM(AT49:AT51)</f>
        <v>1474168532</v>
      </c>
      <c r="AU48" s="4346">
        <f t="shared" si="17"/>
        <v>506702732</v>
      </c>
      <c r="AV48" s="4347">
        <f t="shared" si="17"/>
        <v>512332762</v>
      </c>
      <c r="AW48" s="4345">
        <f t="shared" si="17"/>
        <v>2958959932</v>
      </c>
      <c r="AX48" s="4346">
        <f t="shared" si="17"/>
        <v>1277980011</v>
      </c>
      <c r="AY48" s="4347">
        <f t="shared" si="17"/>
        <v>517962793</v>
      </c>
      <c r="AZ48" s="4345">
        <f t="shared" si="17"/>
        <v>517962793</v>
      </c>
      <c r="BA48" s="4346">
        <f t="shared" si="17"/>
        <v>517962793</v>
      </c>
      <c r="BB48" s="4347">
        <f t="shared" si="17"/>
        <v>517962793</v>
      </c>
      <c r="BC48" s="4446">
        <f t="shared" si="17"/>
        <v>0</v>
      </c>
      <c r="BD48" s="4447">
        <f t="shared" si="17"/>
        <v>0</v>
      </c>
      <c r="BE48" s="4348">
        <f t="shared" si="6"/>
        <v>10114636917</v>
      </c>
      <c r="BF48" s="4385">
        <f t="shared" si="10"/>
        <v>32.935130399999998</v>
      </c>
      <c r="BG48" s="4385">
        <f t="shared" si="11"/>
        <v>47.492727049999999</v>
      </c>
      <c r="BH48" s="4385">
        <f t="shared" si="12"/>
        <v>15.53888379</v>
      </c>
      <c r="BI48" s="4385">
        <f t="shared" si="13"/>
        <v>5.1796279299999997</v>
      </c>
    </row>
    <row r="49" spans="1:61">
      <c r="A49" s="243"/>
      <c r="B49" s="4349"/>
      <c r="C49" s="4350" t="s">
        <v>4892</v>
      </c>
      <c r="D49" s="4351">
        <v>8617287632</v>
      </c>
      <c r="E49" s="4351">
        <v>8371289715</v>
      </c>
      <c r="F49" s="4352">
        <v>710119877</v>
      </c>
      <c r="G49" s="4353">
        <v>780909736</v>
      </c>
      <c r="H49" s="4353">
        <v>780909736</v>
      </c>
      <c r="I49" s="4353">
        <v>713540512</v>
      </c>
      <c r="J49" s="4353">
        <v>608978256</v>
      </c>
      <c r="K49" s="4353">
        <v>608978256</v>
      </c>
      <c r="L49" s="4353">
        <v>1018144249</v>
      </c>
      <c r="M49" s="4353">
        <v>803834223</v>
      </c>
      <c r="N49" s="4353">
        <v>803834223</v>
      </c>
      <c r="O49" s="4353">
        <v>821666859</v>
      </c>
      <c r="P49" s="4353">
        <v>763594139</v>
      </c>
      <c r="Q49" s="4353">
        <v>649152847</v>
      </c>
      <c r="R49" s="4368">
        <v>9063662913</v>
      </c>
      <c r="S49" s="4352">
        <v>885702294</v>
      </c>
      <c r="T49" s="4353">
        <v>885702294</v>
      </c>
      <c r="U49" s="4353">
        <v>885702293</v>
      </c>
      <c r="V49" s="4353">
        <v>706471276</v>
      </c>
      <c r="W49" s="4353">
        <v>729851014</v>
      </c>
      <c r="X49" s="4353">
        <v>729851015</v>
      </c>
      <c r="Y49" s="4353">
        <v>1007962753</v>
      </c>
      <c r="Z49" s="4353">
        <v>878157745</v>
      </c>
      <c r="AA49" s="4353">
        <v>878157745</v>
      </c>
      <c r="AB49" s="4353">
        <v>855756770</v>
      </c>
      <c r="AC49" s="4353">
        <v>825212253</v>
      </c>
      <c r="AD49" s="4353">
        <v>825212252</v>
      </c>
      <c r="AE49" s="4351">
        <v>10093739704</v>
      </c>
      <c r="AF49" s="4434">
        <v>954831193</v>
      </c>
      <c r="AG49" s="4435">
        <v>376329863</v>
      </c>
      <c r="AH49" s="4436">
        <v>376329863</v>
      </c>
      <c r="AI49" s="4437">
        <v>917053396</v>
      </c>
      <c r="AJ49" s="4435">
        <v>791404964</v>
      </c>
      <c r="AK49" s="4436">
        <v>791404964</v>
      </c>
      <c r="AL49" s="4437">
        <v>935754693</v>
      </c>
      <c r="AM49" s="4435">
        <v>929480312</v>
      </c>
      <c r="AN49" s="4436">
        <v>929480311</v>
      </c>
      <c r="AO49" s="4437">
        <v>1087946151</v>
      </c>
      <c r="AP49" s="4435">
        <v>1013074092</v>
      </c>
      <c r="AQ49" s="4438">
        <v>1013074092</v>
      </c>
      <c r="AR49" s="4361">
        <v>10116163894</v>
      </c>
      <c r="AS49" s="4440">
        <v>805939044</v>
      </c>
      <c r="AT49" s="4441">
        <v>967465800</v>
      </c>
      <c r="AU49" s="4442">
        <v>967465800</v>
      </c>
      <c r="AV49" s="4443">
        <v>713514122</v>
      </c>
      <c r="AW49" s="4441">
        <v>765647249</v>
      </c>
      <c r="AX49" s="4442">
        <v>765647248</v>
      </c>
      <c r="AY49" s="4443">
        <v>861576228</v>
      </c>
      <c r="AZ49" s="4441">
        <v>1015118361</v>
      </c>
      <c r="BA49" s="4442">
        <v>1015118360</v>
      </c>
      <c r="BB49" s="4443">
        <v>1022339080</v>
      </c>
      <c r="BC49" s="4441">
        <v>1027776834</v>
      </c>
      <c r="BD49" s="4442">
        <v>1026510360.9219475</v>
      </c>
      <c r="BE49" s="4365">
        <f t="shared" si="6"/>
        <v>10954118486.921947</v>
      </c>
      <c r="BF49" s="4385">
        <f t="shared" si="10"/>
        <v>27.40870644</v>
      </c>
      <c r="BG49" s="4385">
        <f t="shared" si="11"/>
        <v>22.448086190000001</v>
      </c>
      <c r="BH49" s="4385">
        <f t="shared" si="12"/>
        <v>28.918129489999998</v>
      </c>
      <c r="BI49" s="4385">
        <f t="shared" si="13"/>
        <v>30.766262749219475</v>
      </c>
    </row>
    <row r="50" spans="1:61">
      <c r="A50" s="4448"/>
      <c r="B50" s="4449"/>
      <c r="C50" s="4450" t="s">
        <v>4893</v>
      </c>
      <c r="D50" s="4451"/>
      <c r="E50" s="4451"/>
      <c r="F50" s="4452"/>
      <c r="G50" s="4453"/>
      <c r="H50" s="4453"/>
      <c r="I50" s="4453"/>
      <c r="J50" s="4453"/>
      <c r="K50" s="4453"/>
      <c r="L50" s="4453"/>
      <c r="M50" s="4453"/>
      <c r="N50" s="4453"/>
      <c r="O50" s="4453"/>
      <c r="P50" s="4453"/>
      <c r="Q50" s="4453"/>
      <c r="R50" s="4454"/>
      <c r="S50" s="4452"/>
      <c r="T50" s="4453"/>
      <c r="U50" s="4453"/>
      <c r="V50" s="4453"/>
      <c r="W50" s="4453"/>
      <c r="X50" s="4453"/>
      <c r="Y50" s="4453"/>
      <c r="Z50" s="4453"/>
      <c r="AA50" s="4453"/>
      <c r="AB50" s="4453"/>
      <c r="AC50" s="4453"/>
      <c r="AD50" s="4453"/>
      <c r="AE50" s="4451"/>
      <c r="AF50" s="4455"/>
      <c r="AG50" s="4456"/>
      <c r="AH50" s="4457"/>
      <c r="AI50" s="4458"/>
      <c r="AJ50" s="4456"/>
      <c r="AK50" s="4457"/>
      <c r="AL50" s="4458"/>
      <c r="AM50" s="4456"/>
      <c r="AN50" s="4457"/>
      <c r="AO50" s="4458"/>
      <c r="AP50" s="4456"/>
      <c r="AQ50" s="4459"/>
      <c r="AR50" s="4460"/>
      <c r="AS50" s="4461"/>
      <c r="AT50" s="4462"/>
      <c r="AU50" s="4463">
        <v>-967465800</v>
      </c>
      <c r="AV50" s="4464">
        <v>-713514122</v>
      </c>
      <c r="AW50" s="4462">
        <v>1680979921</v>
      </c>
      <c r="AX50" s="4463"/>
      <c r="AY50" s="4465">
        <v>-861576228</v>
      </c>
      <c r="AZ50" s="4462">
        <v>-1015118361</v>
      </c>
      <c r="BA50" s="4463">
        <v>-1015118360</v>
      </c>
      <c r="BB50" s="4465">
        <v>-1022339080</v>
      </c>
      <c r="BC50" s="4462">
        <v>-1545739627</v>
      </c>
      <c r="BD50" s="4463">
        <v>-1544473154.9219475</v>
      </c>
      <c r="BE50" s="4466">
        <f t="shared" si="6"/>
        <v>-7004364811.9219475</v>
      </c>
      <c r="BF50" s="4385">
        <f t="shared" si="10"/>
        <v>-9.6746580000000009</v>
      </c>
      <c r="BG50" s="4385">
        <f t="shared" si="11"/>
        <v>9.67465799</v>
      </c>
      <c r="BH50" s="4385">
        <f t="shared" si="12"/>
        <v>-28.918129489999998</v>
      </c>
      <c r="BI50" s="4385">
        <f t="shared" si="13"/>
        <v>-41.125518619219477</v>
      </c>
    </row>
    <row r="51" spans="1:61">
      <c r="A51" s="243"/>
      <c r="B51" s="4349"/>
      <c r="C51" s="4350" t="s">
        <v>4894</v>
      </c>
      <c r="D51" s="4351">
        <v>4772469925</v>
      </c>
      <c r="E51" s="4351">
        <v>6338967277</v>
      </c>
      <c r="F51" s="4352">
        <v>495672279</v>
      </c>
      <c r="G51" s="4353">
        <v>495672279</v>
      </c>
      <c r="H51" s="4353">
        <v>495672279</v>
      </c>
      <c r="I51" s="4353">
        <v>501179749</v>
      </c>
      <c r="J51" s="4353">
        <v>501179749</v>
      </c>
      <c r="K51" s="4353">
        <v>501179749</v>
      </c>
      <c r="L51" s="4353">
        <v>506687217</v>
      </c>
      <c r="M51" s="4353">
        <v>506687218</v>
      </c>
      <c r="N51" s="4353">
        <v>506687218</v>
      </c>
      <c r="O51" s="4353">
        <v>506687218</v>
      </c>
      <c r="P51" s="4353">
        <v>506687218</v>
      </c>
      <c r="Q51" s="4353">
        <v>506687218</v>
      </c>
      <c r="R51" s="4368">
        <v>6030679391</v>
      </c>
      <c r="S51" s="4352">
        <v>475435290</v>
      </c>
      <c r="T51" s="4353">
        <v>475435290</v>
      </c>
      <c r="U51" s="4353">
        <v>475435291</v>
      </c>
      <c r="V51" s="4353">
        <v>480717905</v>
      </c>
      <c r="W51" s="4353">
        <v>480717905</v>
      </c>
      <c r="X51" s="4353">
        <v>480717904</v>
      </c>
      <c r="Y51" s="4353">
        <v>486000519</v>
      </c>
      <c r="Z51" s="4353">
        <v>486000519</v>
      </c>
      <c r="AA51" s="4353">
        <v>486000519</v>
      </c>
      <c r="AB51" s="4353">
        <v>486000518</v>
      </c>
      <c r="AC51" s="4353">
        <v>486000518</v>
      </c>
      <c r="AD51" s="4353">
        <v>486000519</v>
      </c>
      <c r="AE51" s="4351">
        <v>5784462697</v>
      </c>
      <c r="AF51" s="4434">
        <v>518113781</v>
      </c>
      <c r="AG51" s="4435">
        <v>518113781</v>
      </c>
      <c r="AH51" s="4436">
        <v>518113781</v>
      </c>
      <c r="AI51" s="4437">
        <v>518113781</v>
      </c>
      <c r="AJ51" s="4435">
        <v>518113781</v>
      </c>
      <c r="AK51" s="4436">
        <v>518113781</v>
      </c>
      <c r="AL51" s="4437">
        <v>523807339</v>
      </c>
      <c r="AM51" s="4435">
        <v>523807339</v>
      </c>
      <c r="AN51" s="4436">
        <v>523807339</v>
      </c>
      <c r="AO51" s="4437">
        <v>523807339</v>
      </c>
      <c r="AP51" s="4435">
        <v>523807339</v>
      </c>
      <c r="AQ51" s="4438">
        <v>523807339</v>
      </c>
      <c r="AR51" s="4361">
        <v>6251526720</v>
      </c>
      <c r="AS51" s="4440">
        <v>506702732</v>
      </c>
      <c r="AT51" s="4441">
        <v>506702732</v>
      </c>
      <c r="AU51" s="4442">
        <v>506702732</v>
      </c>
      <c r="AV51" s="4443">
        <v>512332762</v>
      </c>
      <c r="AW51" s="4441">
        <v>512332762</v>
      </c>
      <c r="AX51" s="4442">
        <v>512332763</v>
      </c>
      <c r="AY51" s="4443">
        <v>517962793</v>
      </c>
      <c r="AZ51" s="4441">
        <v>517962793</v>
      </c>
      <c r="BA51" s="4442">
        <v>517962793</v>
      </c>
      <c r="BB51" s="4443">
        <v>517962793</v>
      </c>
      <c r="BC51" s="4441">
        <v>517962793</v>
      </c>
      <c r="BD51" s="4442">
        <v>517962794</v>
      </c>
      <c r="BE51" s="4365">
        <f t="shared" si="6"/>
        <v>6164883242</v>
      </c>
      <c r="BF51" s="4385">
        <f t="shared" si="10"/>
        <v>15.20108196</v>
      </c>
      <c r="BG51" s="4385">
        <f t="shared" si="11"/>
        <v>15.369982869999999</v>
      </c>
      <c r="BH51" s="4385">
        <f t="shared" si="12"/>
        <v>15.53888379</v>
      </c>
      <c r="BI51" s="4385">
        <f t="shared" si="13"/>
        <v>15.538883800000001</v>
      </c>
    </row>
    <row r="52" spans="1:61">
      <c r="A52" s="243"/>
      <c r="B52" s="4349"/>
      <c r="C52" s="4370" t="s">
        <v>4895</v>
      </c>
      <c r="D52" s="4467"/>
      <c r="E52" s="4467"/>
      <c r="F52" s="4468"/>
      <c r="G52" s="4469"/>
      <c r="H52" s="4469"/>
      <c r="I52" s="4469"/>
      <c r="J52" s="4469"/>
      <c r="K52" s="4469"/>
      <c r="L52" s="4469"/>
      <c r="M52" s="4469"/>
      <c r="N52" s="4469"/>
      <c r="O52" s="4469"/>
      <c r="P52" s="4469"/>
      <c r="Q52" s="4469"/>
      <c r="R52" s="4470"/>
      <c r="S52" s="4468"/>
      <c r="T52" s="4469"/>
      <c r="U52" s="4469"/>
      <c r="V52" s="4469"/>
      <c r="W52" s="4469"/>
      <c r="X52" s="4469"/>
      <c r="Y52" s="4469"/>
      <c r="Z52" s="4469"/>
      <c r="AA52" s="4469"/>
      <c r="AB52" s="4469"/>
      <c r="AC52" s="4469"/>
      <c r="AD52" s="4469"/>
      <c r="AE52" s="4467"/>
      <c r="AF52" s="4471"/>
      <c r="AG52" s="4472"/>
      <c r="AH52" s="4473"/>
      <c r="AI52" s="4474"/>
      <c r="AJ52" s="4472"/>
      <c r="AK52" s="4473"/>
      <c r="AL52" s="4474"/>
      <c r="AM52" s="4472"/>
      <c r="AN52" s="4473"/>
      <c r="AO52" s="4474"/>
      <c r="AP52" s="4472">
        <v>722728</v>
      </c>
      <c r="AQ52" s="4475">
        <v>306364</v>
      </c>
      <c r="AR52" s="4380">
        <v>1029092</v>
      </c>
      <c r="AS52" s="4476">
        <v>306364</v>
      </c>
      <c r="AT52" s="4477">
        <v>306364</v>
      </c>
      <c r="AU52" s="4478">
        <v>306364</v>
      </c>
      <c r="AV52" s="4479">
        <v>0</v>
      </c>
      <c r="AW52" s="4477">
        <v>0</v>
      </c>
      <c r="AX52" s="4478">
        <v>0</v>
      </c>
      <c r="AY52" s="4479">
        <v>0</v>
      </c>
      <c r="AZ52" s="4477">
        <v>0</v>
      </c>
      <c r="BA52" s="4478">
        <v>0</v>
      </c>
      <c r="BB52" s="4479">
        <v>0</v>
      </c>
      <c r="BC52" s="4477">
        <v>0</v>
      </c>
      <c r="BD52" s="4478">
        <v>0</v>
      </c>
      <c r="BE52" s="4384">
        <f t="shared" si="6"/>
        <v>919092</v>
      </c>
      <c r="BF52" s="4385">
        <f t="shared" si="10"/>
        <v>9.19092E-3</v>
      </c>
      <c r="BG52" s="4385">
        <f t="shared" si="11"/>
        <v>0</v>
      </c>
      <c r="BH52" s="4385">
        <f t="shared" si="12"/>
        <v>0</v>
      </c>
      <c r="BI52" s="4385">
        <f t="shared" si="13"/>
        <v>0</v>
      </c>
    </row>
    <row r="53" spans="1:61">
      <c r="A53" s="4312"/>
      <c r="B53" s="4331"/>
      <c r="C53" s="4374" t="s">
        <v>4896</v>
      </c>
      <c r="D53" s="4371"/>
      <c r="E53" s="4371"/>
      <c r="F53" s="4372"/>
      <c r="G53" s="4373"/>
      <c r="H53" s="4373"/>
      <c r="I53" s="4373"/>
      <c r="J53" s="4373"/>
      <c r="K53" s="4373"/>
      <c r="L53" s="4373"/>
      <c r="M53" s="4373"/>
      <c r="N53" s="4373"/>
      <c r="O53" s="4373"/>
      <c r="P53" s="4373"/>
      <c r="Q53" s="4373"/>
      <c r="R53" s="4374"/>
      <c r="S53" s="4372"/>
      <c r="T53" s="4373"/>
      <c r="U53" s="4373"/>
      <c r="V53" s="4373"/>
      <c r="W53" s="4373">
        <v>100000000</v>
      </c>
      <c r="X53" s="4480"/>
      <c r="Y53" s="4373"/>
      <c r="Z53" s="4373"/>
      <c r="AA53" s="4373">
        <v>90000000</v>
      </c>
      <c r="AB53" s="4373">
        <v>50000000</v>
      </c>
      <c r="AC53" s="4373"/>
      <c r="AD53" s="4373"/>
      <c r="AE53" s="4371">
        <v>240000000</v>
      </c>
      <c r="AF53" s="4481">
        <v>100000000</v>
      </c>
      <c r="AG53" s="4482"/>
      <c r="AH53" s="4483"/>
      <c r="AI53" s="4484"/>
      <c r="AJ53" s="4482"/>
      <c r="AK53" s="4483">
        <v>90000000</v>
      </c>
      <c r="AL53" s="4484"/>
      <c r="AM53" s="4482"/>
      <c r="AN53" s="4483"/>
      <c r="AO53" s="4484"/>
      <c r="AP53" s="4482"/>
      <c r="AQ53" s="4485"/>
      <c r="AR53" s="4380">
        <v>190000000</v>
      </c>
      <c r="AS53" s="4486"/>
      <c r="AT53" s="4477">
        <v>50000000</v>
      </c>
      <c r="AU53" s="4487"/>
      <c r="AV53" s="4488"/>
      <c r="AW53" s="4489"/>
      <c r="AX53" s="4487"/>
      <c r="AY53" s="4488"/>
      <c r="AZ53" s="4489"/>
      <c r="BA53" s="4478">
        <v>89838840</v>
      </c>
      <c r="BB53" s="4488"/>
      <c r="BC53" s="4489"/>
      <c r="BD53" s="4487"/>
      <c r="BE53" s="4384">
        <f t="shared" si="6"/>
        <v>139838840</v>
      </c>
      <c r="BF53" s="4385">
        <f t="shared" si="10"/>
        <v>0.5</v>
      </c>
      <c r="BG53" s="4385">
        <f t="shared" si="11"/>
        <v>0</v>
      </c>
      <c r="BH53" s="4385">
        <f t="shared" si="12"/>
        <v>0.89838839999999998</v>
      </c>
      <c r="BI53" s="4385">
        <f t="shared" si="13"/>
        <v>0</v>
      </c>
    </row>
    <row r="54" spans="1:61">
      <c r="A54" s="4312"/>
      <c r="B54" s="4331"/>
      <c r="C54" s="4374" t="s">
        <v>4897</v>
      </c>
      <c r="D54" s="4371"/>
      <c r="E54" s="4371"/>
      <c r="F54" s="4372"/>
      <c r="G54" s="4373"/>
      <c r="H54" s="4373"/>
      <c r="I54" s="4373"/>
      <c r="J54" s="4373"/>
      <c r="K54" s="4373"/>
      <c r="L54" s="4373"/>
      <c r="M54" s="4373"/>
      <c r="N54" s="4373"/>
      <c r="O54" s="4373"/>
      <c r="P54" s="4373"/>
      <c r="Q54" s="4373"/>
      <c r="R54" s="4374"/>
      <c r="S54" s="4372"/>
      <c r="T54" s="4373"/>
      <c r="U54" s="4373"/>
      <c r="V54" s="4373"/>
      <c r="W54" s="4373"/>
      <c r="X54" s="4480"/>
      <c r="Y54" s="4373"/>
      <c r="Z54" s="4373"/>
      <c r="AA54" s="4373"/>
      <c r="AB54" s="4373"/>
      <c r="AC54" s="4373"/>
      <c r="AD54" s="4373"/>
      <c r="AE54" s="4371"/>
      <c r="AF54" s="4481"/>
      <c r="AG54" s="4482"/>
      <c r="AH54" s="4483"/>
      <c r="AI54" s="4484"/>
      <c r="AJ54" s="4482"/>
      <c r="AK54" s="4483"/>
      <c r="AL54" s="4484"/>
      <c r="AM54" s="4482"/>
      <c r="AN54" s="4483"/>
      <c r="AO54" s="4484"/>
      <c r="AP54" s="4482"/>
      <c r="AQ54" s="4485"/>
      <c r="AR54" s="4380"/>
      <c r="AS54" s="4486"/>
      <c r="AT54" s="4489"/>
      <c r="AU54" s="4487"/>
      <c r="AV54" s="4488"/>
      <c r="AW54" s="4489"/>
      <c r="AX54" s="4487"/>
      <c r="AY54" s="4488"/>
      <c r="AZ54" s="4489"/>
      <c r="BA54" s="4487"/>
      <c r="BB54" s="4488"/>
      <c r="BC54" s="4489"/>
      <c r="BD54" s="4478">
        <v>250000000</v>
      </c>
      <c r="BE54" s="4384">
        <f t="shared" si="6"/>
        <v>250000000</v>
      </c>
      <c r="BF54" s="4385">
        <f t="shared" si="10"/>
        <v>0</v>
      </c>
      <c r="BG54" s="4385">
        <f t="shared" si="11"/>
        <v>0</v>
      </c>
      <c r="BH54" s="4385">
        <f t="shared" si="12"/>
        <v>0</v>
      </c>
      <c r="BI54" s="4385">
        <f t="shared" si="13"/>
        <v>2.5</v>
      </c>
    </row>
    <row r="55" spans="1:61">
      <c r="A55" s="4312"/>
      <c r="B55" s="4331"/>
      <c r="C55" s="4374" t="s">
        <v>4898</v>
      </c>
      <c r="D55" s="4371">
        <v>376106932.10000002</v>
      </c>
      <c r="E55" s="4371">
        <v>499335455</v>
      </c>
      <c r="F55" s="4372">
        <v>37130600</v>
      </c>
      <c r="G55" s="4373">
        <v>1413600</v>
      </c>
      <c r="H55" s="4373">
        <v>11756080</v>
      </c>
      <c r="I55" s="4373">
        <v>1213900</v>
      </c>
      <c r="J55" s="4373">
        <v>50766150</v>
      </c>
      <c r="K55" s="4373">
        <v>13195320</v>
      </c>
      <c r="L55" s="4373"/>
      <c r="M55" s="4373">
        <v>40371840</v>
      </c>
      <c r="N55" s="4373">
        <v>18504489</v>
      </c>
      <c r="O55" s="4373">
        <v>1564000</v>
      </c>
      <c r="P55" s="4373">
        <v>26365810</v>
      </c>
      <c r="Q55" s="4373">
        <v>3809420</v>
      </c>
      <c r="R55" s="4374">
        <v>206091209</v>
      </c>
      <c r="S55" s="4372">
        <v>2397200</v>
      </c>
      <c r="T55" s="4373">
        <v>6498340</v>
      </c>
      <c r="U55" s="4373">
        <v>10653670</v>
      </c>
      <c r="V55" s="4373">
        <v>790600</v>
      </c>
      <c r="W55" s="4373">
        <v>12613790</v>
      </c>
      <c r="X55" s="4373">
        <v>1863200</v>
      </c>
      <c r="Y55" s="4373">
        <v>1019200</v>
      </c>
      <c r="Z55" s="4373">
        <v>11632520</v>
      </c>
      <c r="AA55" s="4373">
        <v>0</v>
      </c>
      <c r="AB55" s="4373">
        <v>0</v>
      </c>
      <c r="AC55" s="4373">
        <v>53378640</v>
      </c>
      <c r="AD55" s="4373">
        <v>0</v>
      </c>
      <c r="AE55" s="4371">
        <v>100847160</v>
      </c>
      <c r="AF55" s="4375">
        <v>0</v>
      </c>
      <c r="AG55" s="4376">
        <v>5539360</v>
      </c>
      <c r="AH55" s="4377">
        <v>0</v>
      </c>
      <c r="AI55" s="4378">
        <v>0</v>
      </c>
      <c r="AJ55" s="4376">
        <v>5810400</v>
      </c>
      <c r="AK55" s="4377">
        <v>0</v>
      </c>
      <c r="AL55" s="4378">
        <v>0</v>
      </c>
      <c r="AM55" s="4376">
        <v>176672640</v>
      </c>
      <c r="AN55" s="4377">
        <v>0</v>
      </c>
      <c r="AO55" s="4378">
        <v>0</v>
      </c>
      <c r="AP55" s="4376">
        <v>28100800</v>
      </c>
      <c r="AQ55" s="4379">
        <v>0</v>
      </c>
      <c r="AR55" s="4380">
        <v>216123200</v>
      </c>
      <c r="AS55" s="4393"/>
      <c r="AT55" s="4382"/>
      <c r="AU55" s="4383">
        <v>11205046</v>
      </c>
      <c r="AV55" s="4381"/>
      <c r="AW55" s="4382"/>
      <c r="AX55" s="4383"/>
      <c r="AY55" s="4381"/>
      <c r="AZ55" s="4382">
        <v>6728420</v>
      </c>
      <c r="BA55" s="4383"/>
      <c r="BB55" s="4381">
        <v>4076630</v>
      </c>
      <c r="BC55" s="4382"/>
      <c r="BD55" s="4383">
        <v>8586280</v>
      </c>
      <c r="BE55" s="4384">
        <f t="shared" si="6"/>
        <v>30596376</v>
      </c>
      <c r="BF55" s="4385">
        <f t="shared" si="10"/>
        <v>0.11205046</v>
      </c>
      <c r="BG55" s="4385">
        <f t="shared" si="11"/>
        <v>0</v>
      </c>
      <c r="BH55" s="4385">
        <f t="shared" si="12"/>
        <v>6.7284200000000002E-2</v>
      </c>
      <c r="BI55" s="4385">
        <f t="shared" si="13"/>
        <v>0.12662909999999999</v>
      </c>
    </row>
    <row r="56" spans="1:61">
      <c r="A56" s="243"/>
      <c r="B56" s="4349"/>
      <c r="C56" s="4386" t="s">
        <v>4899</v>
      </c>
      <c r="D56" s="4351">
        <v>180610875.59999999</v>
      </c>
      <c r="E56" s="4351">
        <v>159246918</v>
      </c>
      <c r="F56" s="4352"/>
      <c r="G56" s="4353"/>
      <c r="H56" s="4353"/>
      <c r="I56" s="4353"/>
      <c r="J56" s="4353"/>
      <c r="K56" s="4353"/>
      <c r="L56" s="4353"/>
      <c r="M56" s="4353"/>
      <c r="N56" s="4353"/>
      <c r="O56" s="4353"/>
      <c r="P56" s="4353"/>
      <c r="Q56" s="4355"/>
      <c r="R56" s="4368">
        <v>0</v>
      </c>
      <c r="S56" s="4352"/>
      <c r="T56" s="4353"/>
      <c r="U56" s="4353"/>
      <c r="V56" s="4353"/>
      <c r="W56" s="4353"/>
      <c r="X56" s="4353"/>
      <c r="Y56" s="4353"/>
      <c r="Z56" s="4353"/>
      <c r="AA56" s="4353"/>
      <c r="AB56" s="4353"/>
      <c r="AC56" s="4353"/>
      <c r="AD56" s="4355"/>
      <c r="AE56" s="4351">
        <v>0</v>
      </c>
      <c r="AF56" s="4490"/>
      <c r="AG56" s="4491"/>
      <c r="AH56" s="4492"/>
      <c r="AI56" s="4493"/>
      <c r="AJ56" s="4491"/>
      <c r="AK56" s="4492"/>
      <c r="AL56" s="4493"/>
      <c r="AM56" s="4491"/>
      <c r="AN56" s="4492"/>
      <c r="AO56" s="4493"/>
      <c r="AP56" s="4491"/>
      <c r="AQ56" s="4494"/>
      <c r="AR56" s="4495">
        <v>0</v>
      </c>
      <c r="AS56" s="4490"/>
      <c r="AT56" s="4491"/>
      <c r="AU56" s="4492">
        <v>11205046</v>
      </c>
      <c r="AV56" s="4493"/>
      <c r="AW56" s="4491"/>
      <c r="AX56" s="4492"/>
      <c r="AY56" s="4493"/>
      <c r="AZ56" s="4491">
        <v>6728420</v>
      </c>
      <c r="BA56" s="4492">
        <v>2997490</v>
      </c>
      <c r="BB56" s="4493">
        <v>4076630</v>
      </c>
      <c r="BC56" s="4491"/>
      <c r="BD56" s="4492">
        <v>8586280</v>
      </c>
      <c r="BE56" s="4496">
        <f t="shared" si="6"/>
        <v>33593866</v>
      </c>
      <c r="BF56" s="4385">
        <f t="shared" si="10"/>
        <v>0.11205046</v>
      </c>
      <c r="BG56" s="4385">
        <f t="shared" si="11"/>
        <v>0</v>
      </c>
      <c r="BH56" s="4385">
        <f t="shared" si="12"/>
        <v>9.7259100000000001E-2</v>
      </c>
      <c r="BI56" s="4385">
        <f t="shared" si="13"/>
        <v>0.12662909999999999</v>
      </c>
    </row>
    <row r="57" spans="1:61">
      <c r="A57" s="243"/>
      <c r="B57" s="4349"/>
      <c r="C57" s="4386" t="s">
        <v>4900</v>
      </c>
      <c r="D57" s="4351">
        <v>99780382.5</v>
      </c>
      <c r="E57" s="4351">
        <v>93366681</v>
      </c>
      <c r="F57" s="4352"/>
      <c r="G57" s="4353"/>
      <c r="H57" s="4353">
        <v>10206420</v>
      </c>
      <c r="I57" s="4353"/>
      <c r="J57" s="4353"/>
      <c r="K57" s="4353">
        <v>10353470</v>
      </c>
      <c r="L57" s="4353"/>
      <c r="M57" s="4353"/>
      <c r="N57" s="4353">
        <v>14909699</v>
      </c>
      <c r="O57" s="4353"/>
      <c r="P57" s="4353"/>
      <c r="Q57" s="4355"/>
      <c r="R57" s="4368">
        <v>35469589</v>
      </c>
      <c r="S57" s="4352"/>
      <c r="T57" s="4353"/>
      <c r="U57" s="4353"/>
      <c r="V57" s="4353"/>
      <c r="W57" s="4353"/>
      <c r="X57" s="4353"/>
      <c r="Y57" s="4353"/>
      <c r="Z57" s="4353"/>
      <c r="AA57" s="4353"/>
      <c r="AB57" s="4353"/>
      <c r="AC57" s="4353"/>
      <c r="AD57" s="4355"/>
      <c r="AE57" s="4351">
        <v>0</v>
      </c>
      <c r="AF57" s="4497"/>
      <c r="AG57" s="4362"/>
      <c r="AH57" s="4363"/>
      <c r="AI57" s="4364"/>
      <c r="AJ57" s="4362"/>
      <c r="AK57" s="4363"/>
      <c r="AL57" s="4364"/>
      <c r="AM57" s="4362"/>
      <c r="AN57" s="4363"/>
      <c r="AO57" s="4364"/>
      <c r="AP57" s="4362"/>
      <c r="AQ57" s="4498"/>
      <c r="AR57" s="4499">
        <v>0</v>
      </c>
      <c r="AS57" s="4497"/>
      <c r="AT57" s="4362"/>
      <c r="AU57" s="4363"/>
      <c r="AV57" s="4364"/>
      <c r="AW57" s="4362"/>
      <c r="AX57" s="4363"/>
      <c r="AY57" s="4364"/>
      <c r="AZ57" s="4362"/>
      <c r="BA57" s="4363"/>
      <c r="BB57" s="4364"/>
      <c r="BC57" s="4362"/>
      <c r="BD57" s="4363"/>
      <c r="BE57" s="4365">
        <f t="shared" si="6"/>
        <v>0</v>
      </c>
      <c r="BF57" s="4385">
        <f t="shared" si="10"/>
        <v>0</v>
      </c>
      <c r="BG57" s="4385">
        <f t="shared" si="11"/>
        <v>0</v>
      </c>
      <c r="BH57" s="4385">
        <f t="shared" si="12"/>
        <v>0</v>
      </c>
      <c r="BI57" s="4385">
        <f t="shared" si="13"/>
        <v>0</v>
      </c>
    </row>
    <row r="58" spans="1:61">
      <c r="A58" s="243"/>
      <c r="B58" s="4349"/>
      <c r="C58" s="4386" t="s">
        <v>4901</v>
      </c>
      <c r="D58" s="4351">
        <v>75000000</v>
      </c>
      <c r="E58" s="4351">
        <v>98636127</v>
      </c>
      <c r="F58" s="4352"/>
      <c r="G58" s="4353"/>
      <c r="H58" s="4353"/>
      <c r="I58" s="4353"/>
      <c r="J58" s="4353"/>
      <c r="K58" s="4353">
        <v>2841850</v>
      </c>
      <c r="L58" s="4353"/>
      <c r="M58" s="4353"/>
      <c r="N58" s="4353">
        <v>1275200</v>
      </c>
      <c r="O58" s="4353"/>
      <c r="P58" s="4353">
        <v>1417610</v>
      </c>
      <c r="Q58" s="4355">
        <v>1830220</v>
      </c>
      <c r="R58" s="4368">
        <v>7364880</v>
      </c>
      <c r="S58" s="4352"/>
      <c r="T58" s="4353">
        <v>1303540</v>
      </c>
      <c r="U58" s="4353">
        <v>1514870</v>
      </c>
      <c r="V58" s="4353"/>
      <c r="W58" s="4353">
        <v>1369350</v>
      </c>
      <c r="X58" s="4353"/>
      <c r="Y58" s="4353"/>
      <c r="Z58" s="4353"/>
      <c r="AA58" s="4353"/>
      <c r="AB58" s="4353"/>
      <c r="AC58" s="4353">
        <v>53378640</v>
      </c>
      <c r="AD58" s="4355"/>
      <c r="AE58" s="4351">
        <v>57566400</v>
      </c>
      <c r="AF58" s="4497"/>
      <c r="AG58" s="4362">
        <v>5539360</v>
      </c>
      <c r="AH58" s="4363"/>
      <c r="AI58" s="4364"/>
      <c r="AJ58" s="4362">
        <v>5810400</v>
      </c>
      <c r="AK58" s="4363"/>
      <c r="AL58" s="4364"/>
      <c r="AM58" s="4362">
        <v>176672640</v>
      </c>
      <c r="AN58" s="4363"/>
      <c r="AO58" s="4364"/>
      <c r="AP58" s="4362">
        <v>28100800</v>
      </c>
      <c r="AQ58" s="4498"/>
      <c r="AR58" s="4499">
        <v>216123200</v>
      </c>
      <c r="AS58" s="4497"/>
      <c r="AT58" s="4362"/>
      <c r="AU58" s="4363"/>
      <c r="AV58" s="4364"/>
      <c r="AW58" s="4362"/>
      <c r="AX58" s="4363"/>
      <c r="AY58" s="4364"/>
      <c r="AZ58" s="4362"/>
      <c r="BA58" s="4363"/>
      <c r="BB58" s="4364"/>
      <c r="BC58" s="4362"/>
      <c r="BD58" s="4363"/>
      <c r="BE58" s="4365">
        <f t="shared" si="6"/>
        <v>0</v>
      </c>
      <c r="BF58" s="4385">
        <f t="shared" si="10"/>
        <v>0</v>
      </c>
      <c r="BG58" s="4385">
        <f t="shared" si="11"/>
        <v>0</v>
      </c>
      <c r="BH58" s="4385">
        <f t="shared" si="12"/>
        <v>0</v>
      </c>
      <c r="BI58" s="4385">
        <f t="shared" si="13"/>
        <v>0</v>
      </c>
    </row>
    <row r="59" spans="1:61">
      <c r="A59" s="243"/>
      <c r="B59" s="4349"/>
      <c r="C59" s="4386" t="s">
        <v>4902</v>
      </c>
      <c r="D59" s="4351"/>
      <c r="E59" s="4351">
        <v>11062320</v>
      </c>
      <c r="F59" s="4352">
        <v>1029350</v>
      </c>
      <c r="G59" s="4353">
        <v>1124420</v>
      </c>
      <c r="H59" s="4353">
        <v>965580</v>
      </c>
      <c r="I59" s="4353">
        <v>1213900</v>
      </c>
      <c r="J59" s="4353">
        <v>864620</v>
      </c>
      <c r="K59" s="4353"/>
      <c r="L59" s="4353"/>
      <c r="M59" s="4353"/>
      <c r="N59" s="4353">
        <v>889760</v>
      </c>
      <c r="O59" s="4353"/>
      <c r="P59" s="4353"/>
      <c r="Q59" s="4355"/>
      <c r="R59" s="4368">
        <v>6087630</v>
      </c>
      <c r="S59" s="4352"/>
      <c r="T59" s="4353"/>
      <c r="U59" s="4353">
        <v>5300803.2</v>
      </c>
      <c r="V59" s="4353"/>
      <c r="W59" s="4353"/>
      <c r="X59" s="4353"/>
      <c r="Y59" s="4353"/>
      <c r="Z59" s="4353"/>
      <c r="AA59" s="4353"/>
      <c r="AB59" s="4353"/>
      <c r="AC59" s="4353"/>
      <c r="AD59" s="4355"/>
      <c r="AE59" s="4351">
        <v>5300803.2</v>
      </c>
      <c r="AF59" s="4497"/>
      <c r="AG59" s="4362"/>
      <c r="AH59" s="4363"/>
      <c r="AI59" s="4364"/>
      <c r="AJ59" s="4362"/>
      <c r="AK59" s="4363"/>
      <c r="AL59" s="4364"/>
      <c r="AM59" s="4362"/>
      <c r="AN59" s="4363"/>
      <c r="AO59" s="4364"/>
      <c r="AP59" s="4362"/>
      <c r="AQ59" s="4498"/>
      <c r="AR59" s="4499">
        <v>0</v>
      </c>
      <c r="AS59" s="4497"/>
      <c r="AT59" s="4362"/>
      <c r="AU59" s="4363"/>
      <c r="AV59" s="4364"/>
      <c r="AW59" s="4362"/>
      <c r="AX59" s="4363"/>
      <c r="AY59" s="4364"/>
      <c r="AZ59" s="4362"/>
      <c r="BA59" s="4363"/>
      <c r="BB59" s="4364"/>
      <c r="BC59" s="4362"/>
      <c r="BD59" s="4363"/>
      <c r="BE59" s="4365">
        <f t="shared" si="6"/>
        <v>0</v>
      </c>
      <c r="BF59" s="4385">
        <f t="shared" si="10"/>
        <v>0</v>
      </c>
      <c r="BG59" s="4385">
        <f t="shared" si="11"/>
        <v>0</v>
      </c>
      <c r="BH59" s="4385">
        <f t="shared" si="12"/>
        <v>0</v>
      </c>
      <c r="BI59" s="4385">
        <f t="shared" si="13"/>
        <v>0</v>
      </c>
    </row>
    <row r="60" spans="1:61">
      <c r="A60" s="243"/>
      <c r="B60" s="4349"/>
      <c r="C60" s="4386" t="s">
        <v>4903</v>
      </c>
      <c r="D60" s="4351"/>
      <c r="E60" s="4351">
        <v>129720316</v>
      </c>
      <c r="F60" s="4352">
        <v>35774440</v>
      </c>
      <c r="G60" s="4353"/>
      <c r="H60" s="4353"/>
      <c r="I60" s="4353"/>
      <c r="J60" s="4353">
        <v>49675680</v>
      </c>
      <c r="K60" s="4353"/>
      <c r="L60" s="4353"/>
      <c r="M60" s="4353">
        <v>40371840</v>
      </c>
      <c r="N60" s="4353"/>
      <c r="O60" s="4353"/>
      <c r="P60" s="4353">
        <v>23642800</v>
      </c>
      <c r="Q60" s="4355"/>
      <c r="R60" s="4368">
        <v>149464760</v>
      </c>
      <c r="S60" s="4352"/>
      <c r="T60" s="4353">
        <v>2844800</v>
      </c>
      <c r="U60" s="4353"/>
      <c r="V60" s="4353"/>
      <c r="W60" s="4353">
        <v>7003440</v>
      </c>
      <c r="X60" s="4353"/>
      <c r="Y60" s="4353"/>
      <c r="Z60" s="4353">
        <v>8874720</v>
      </c>
      <c r="AA60" s="4353"/>
      <c r="AB60" s="4353"/>
      <c r="AC60" s="4353"/>
      <c r="AD60" s="4355"/>
      <c r="AE60" s="4351">
        <v>18722960</v>
      </c>
      <c r="AF60" s="4497"/>
      <c r="AG60" s="4362"/>
      <c r="AH60" s="4363"/>
      <c r="AI60" s="4364"/>
      <c r="AJ60" s="4362"/>
      <c r="AK60" s="4363"/>
      <c r="AL60" s="4364"/>
      <c r="AM60" s="4362"/>
      <c r="AN60" s="4363"/>
      <c r="AO60" s="4364"/>
      <c r="AP60" s="4362"/>
      <c r="AQ60" s="4498"/>
      <c r="AR60" s="4499">
        <v>0</v>
      </c>
      <c r="AS60" s="4497"/>
      <c r="AT60" s="4362"/>
      <c r="AU60" s="4363"/>
      <c r="AV60" s="4364"/>
      <c r="AW60" s="4362"/>
      <c r="AX60" s="4363"/>
      <c r="AY60" s="4364"/>
      <c r="AZ60" s="4362"/>
      <c r="BA60" s="4363"/>
      <c r="BB60" s="4364"/>
      <c r="BC60" s="4362"/>
      <c r="BD60" s="4363"/>
      <c r="BE60" s="4365">
        <f t="shared" si="6"/>
        <v>0</v>
      </c>
      <c r="BF60" s="4385">
        <f t="shared" si="10"/>
        <v>0</v>
      </c>
      <c r="BG60" s="4385">
        <f t="shared" si="11"/>
        <v>0</v>
      </c>
      <c r="BH60" s="4385">
        <f t="shared" si="12"/>
        <v>0</v>
      </c>
      <c r="BI60" s="4385">
        <f t="shared" si="13"/>
        <v>0</v>
      </c>
    </row>
    <row r="61" spans="1:61">
      <c r="A61" s="243"/>
      <c r="B61" s="4349"/>
      <c r="C61" s="4386" t="s">
        <v>4904</v>
      </c>
      <c r="D61" s="4351"/>
      <c r="E61" s="4351">
        <v>2542310</v>
      </c>
      <c r="F61" s="4352">
        <v>326810</v>
      </c>
      <c r="G61" s="4353">
        <v>289180</v>
      </c>
      <c r="H61" s="4353">
        <v>584080</v>
      </c>
      <c r="I61" s="4353"/>
      <c r="J61" s="4353">
        <v>225850</v>
      </c>
      <c r="K61" s="4353"/>
      <c r="L61" s="4353"/>
      <c r="M61" s="4353"/>
      <c r="N61" s="4353">
        <v>296630</v>
      </c>
      <c r="O61" s="4353"/>
      <c r="P61" s="4353"/>
      <c r="Q61" s="4355"/>
      <c r="R61" s="4368">
        <v>1722550</v>
      </c>
      <c r="S61" s="4352"/>
      <c r="T61" s="4353"/>
      <c r="U61" s="4353">
        <v>1259596.8</v>
      </c>
      <c r="V61" s="4353"/>
      <c r="W61" s="4353"/>
      <c r="X61" s="4353"/>
      <c r="Y61" s="4353"/>
      <c r="Z61" s="4353"/>
      <c r="AA61" s="4353"/>
      <c r="AB61" s="4353"/>
      <c r="AC61" s="4353"/>
      <c r="AD61" s="4355"/>
      <c r="AE61" s="4351">
        <v>1259596.8</v>
      </c>
      <c r="AF61" s="4497"/>
      <c r="AG61" s="4362"/>
      <c r="AH61" s="4363"/>
      <c r="AI61" s="4364"/>
      <c r="AJ61" s="4362"/>
      <c r="AK61" s="4363"/>
      <c r="AL61" s="4364"/>
      <c r="AM61" s="4362"/>
      <c r="AN61" s="4363"/>
      <c r="AO61" s="4364"/>
      <c r="AP61" s="4362"/>
      <c r="AQ61" s="4498"/>
      <c r="AR61" s="4499">
        <v>0</v>
      </c>
      <c r="AS61" s="4497"/>
      <c r="AT61" s="4362"/>
      <c r="AU61" s="4363"/>
      <c r="AV61" s="4364"/>
      <c r="AW61" s="4362"/>
      <c r="AX61" s="4363"/>
      <c r="AY61" s="4364"/>
      <c r="AZ61" s="4362"/>
      <c r="BA61" s="4363"/>
      <c r="BB61" s="4364"/>
      <c r="BC61" s="4362"/>
      <c r="BD61" s="4363"/>
      <c r="BE61" s="4365">
        <f t="shared" si="6"/>
        <v>0</v>
      </c>
      <c r="BF61" s="4385">
        <f t="shared" si="10"/>
        <v>0</v>
      </c>
      <c r="BG61" s="4385">
        <f t="shared" si="11"/>
        <v>0</v>
      </c>
      <c r="BH61" s="4385">
        <f t="shared" si="12"/>
        <v>0</v>
      </c>
      <c r="BI61" s="4385">
        <f t="shared" si="13"/>
        <v>0</v>
      </c>
    </row>
    <row r="62" spans="1:61">
      <c r="A62" s="243"/>
      <c r="B62" s="4349"/>
      <c r="C62" s="4386" t="s">
        <v>4905</v>
      </c>
      <c r="D62" s="4351">
        <v>3308316</v>
      </c>
      <c r="E62" s="4351">
        <v>3176246</v>
      </c>
      <c r="F62" s="4352"/>
      <c r="G62" s="4353"/>
      <c r="H62" s="4353"/>
      <c r="I62" s="4353"/>
      <c r="J62" s="4353"/>
      <c r="K62" s="4353"/>
      <c r="L62" s="4353"/>
      <c r="M62" s="4353"/>
      <c r="N62" s="4353">
        <v>797200</v>
      </c>
      <c r="O62" s="4353">
        <v>717000</v>
      </c>
      <c r="P62" s="4353">
        <v>786200</v>
      </c>
      <c r="Q62" s="4355">
        <v>887400</v>
      </c>
      <c r="R62" s="4368">
        <v>3187800</v>
      </c>
      <c r="S62" s="4352">
        <v>1060400</v>
      </c>
      <c r="T62" s="4353">
        <v>983800</v>
      </c>
      <c r="U62" s="4353">
        <v>1471800</v>
      </c>
      <c r="V62" s="4353"/>
      <c r="W62" s="4353">
        <v>3407000</v>
      </c>
      <c r="X62" s="4353">
        <v>1566400</v>
      </c>
      <c r="Y62" s="4353">
        <v>672800</v>
      </c>
      <c r="Z62" s="4353">
        <v>1479800</v>
      </c>
      <c r="AA62" s="4353"/>
      <c r="AB62" s="4353"/>
      <c r="AC62" s="4353"/>
      <c r="AD62" s="4355"/>
      <c r="AE62" s="4351">
        <v>10642000</v>
      </c>
      <c r="AF62" s="4497"/>
      <c r="AG62" s="4362"/>
      <c r="AH62" s="4363"/>
      <c r="AI62" s="4364"/>
      <c r="AJ62" s="4362"/>
      <c r="AK62" s="4363"/>
      <c r="AL62" s="4364"/>
      <c r="AM62" s="4362"/>
      <c r="AN62" s="4363"/>
      <c r="AO62" s="4364"/>
      <c r="AP62" s="4362"/>
      <c r="AQ62" s="4498"/>
      <c r="AR62" s="4499">
        <v>0</v>
      </c>
      <c r="AS62" s="4497"/>
      <c r="AT62" s="4362"/>
      <c r="AU62" s="4363"/>
      <c r="AV62" s="4364"/>
      <c r="AW62" s="4362"/>
      <c r="AX62" s="4363"/>
      <c r="AY62" s="4364"/>
      <c r="AZ62" s="4362"/>
      <c r="BA62" s="4363"/>
      <c r="BB62" s="4364"/>
      <c r="BC62" s="4362"/>
      <c r="BD62" s="4363"/>
      <c r="BE62" s="4365">
        <f t="shared" si="6"/>
        <v>0</v>
      </c>
      <c r="BF62" s="4385">
        <f t="shared" si="10"/>
        <v>0</v>
      </c>
      <c r="BG62" s="4385">
        <f t="shared" si="11"/>
        <v>0</v>
      </c>
      <c r="BH62" s="4385">
        <f t="shared" si="12"/>
        <v>0</v>
      </c>
      <c r="BI62" s="4385">
        <f t="shared" si="13"/>
        <v>0</v>
      </c>
    </row>
    <row r="63" spans="1:61">
      <c r="A63" s="243"/>
      <c r="B63" s="4349"/>
      <c r="C63" s="4386" t="s">
        <v>4906</v>
      </c>
      <c r="D63" s="4351">
        <v>2932158</v>
      </c>
      <c r="E63" s="4351">
        <v>1584537</v>
      </c>
      <c r="F63" s="4352"/>
      <c r="G63" s="4353"/>
      <c r="H63" s="4353"/>
      <c r="I63" s="4353"/>
      <c r="J63" s="4353"/>
      <c r="K63" s="4353"/>
      <c r="L63" s="4353"/>
      <c r="M63" s="4353"/>
      <c r="N63" s="4353">
        <v>336000</v>
      </c>
      <c r="O63" s="4353">
        <v>847000</v>
      </c>
      <c r="P63" s="4353">
        <v>519200</v>
      </c>
      <c r="Q63" s="4355">
        <v>1091800</v>
      </c>
      <c r="R63" s="4368">
        <v>2794000</v>
      </c>
      <c r="S63" s="4352">
        <v>1336800</v>
      </c>
      <c r="T63" s="4353">
        <v>1366200</v>
      </c>
      <c r="U63" s="4353">
        <v>1106600</v>
      </c>
      <c r="V63" s="4353">
        <v>790600</v>
      </c>
      <c r="W63" s="4353">
        <v>834000</v>
      </c>
      <c r="X63" s="4353">
        <v>296800</v>
      </c>
      <c r="Y63" s="4353">
        <v>346400</v>
      </c>
      <c r="Z63" s="4353">
        <v>1278000</v>
      </c>
      <c r="AA63" s="4353"/>
      <c r="AB63" s="4353"/>
      <c r="AC63" s="4353"/>
      <c r="AD63" s="4355"/>
      <c r="AE63" s="4351">
        <v>7355400</v>
      </c>
      <c r="AF63" s="4497"/>
      <c r="AG63" s="4362"/>
      <c r="AH63" s="4363"/>
      <c r="AI63" s="4364"/>
      <c r="AJ63" s="4362"/>
      <c r="AK63" s="4363"/>
      <c r="AL63" s="4364"/>
      <c r="AM63" s="4362"/>
      <c r="AN63" s="4363"/>
      <c r="AO63" s="4364"/>
      <c r="AP63" s="4362"/>
      <c r="AQ63" s="4498"/>
      <c r="AR63" s="4499">
        <v>0</v>
      </c>
      <c r="AS63" s="4497"/>
      <c r="AT63" s="4362"/>
      <c r="AU63" s="4363"/>
      <c r="AV63" s="4364"/>
      <c r="AW63" s="4362"/>
      <c r="AX63" s="4363"/>
      <c r="AY63" s="4364"/>
      <c r="AZ63" s="4362"/>
      <c r="BA63" s="4363"/>
      <c r="BB63" s="4364"/>
      <c r="BC63" s="4362"/>
      <c r="BD63" s="4363"/>
      <c r="BE63" s="4365">
        <f t="shared" si="6"/>
        <v>0</v>
      </c>
      <c r="BF63" s="4385">
        <f t="shared" si="10"/>
        <v>0</v>
      </c>
      <c r="BG63" s="4385">
        <f t="shared" si="11"/>
        <v>0</v>
      </c>
      <c r="BH63" s="4385">
        <f t="shared" si="12"/>
        <v>0</v>
      </c>
      <c r="BI63" s="4385">
        <f t="shared" si="13"/>
        <v>0</v>
      </c>
    </row>
    <row r="64" spans="1:61">
      <c r="A64" s="243"/>
      <c r="B64" s="4349"/>
      <c r="C64" s="4386" t="s">
        <v>4907</v>
      </c>
      <c r="D64" s="4351">
        <v>14475200</v>
      </c>
      <c r="E64" s="4351">
        <v>0</v>
      </c>
      <c r="F64" s="4352"/>
      <c r="G64" s="4353"/>
      <c r="H64" s="4353"/>
      <c r="I64" s="4353"/>
      <c r="J64" s="4353"/>
      <c r="K64" s="4353"/>
      <c r="L64" s="4353"/>
      <c r="M64" s="4353"/>
      <c r="N64" s="4353"/>
      <c r="O64" s="4353"/>
      <c r="P64" s="4353"/>
      <c r="Q64" s="4355"/>
      <c r="R64" s="4368">
        <v>0</v>
      </c>
      <c r="S64" s="4352"/>
      <c r="T64" s="4353"/>
      <c r="U64" s="4353"/>
      <c r="V64" s="4353"/>
      <c r="W64" s="4353"/>
      <c r="X64" s="4353"/>
      <c r="Y64" s="4353"/>
      <c r="Z64" s="4353"/>
      <c r="AA64" s="4353"/>
      <c r="AB64" s="4353"/>
      <c r="AC64" s="4353"/>
      <c r="AD64" s="4355"/>
      <c r="AE64" s="4351">
        <v>0</v>
      </c>
      <c r="AF64" s="4500"/>
      <c r="AG64" s="4501"/>
      <c r="AH64" s="4502"/>
      <c r="AI64" s="4503"/>
      <c r="AJ64" s="4501"/>
      <c r="AK64" s="4502"/>
      <c r="AL64" s="4503"/>
      <c r="AM64" s="4501"/>
      <c r="AN64" s="4502"/>
      <c r="AO64" s="4503"/>
      <c r="AP64" s="4501"/>
      <c r="AQ64" s="4504"/>
      <c r="AR64" s="4505">
        <v>0</v>
      </c>
      <c r="AS64" s="4500"/>
      <c r="AT64" s="4501"/>
      <c r="AU64" s="4502"/>
      <c r="AV64" s="4503"/>
      <c r="AW64" s="4501"/>
      <c r="AX64" s="4502"/>
      <c r="AY64" s="4503"/>
      <c r="AZ64" s="4501"/>
      <c r="BA64" s="4502"/>
      <c r="BB64" s="4503"/>
      <c r="BC64" s="4501"/>
      <c r="BD64" s="4502"/>
      <c r="BE64" s="4506">
        <f t="shared" si="6"/>
        <v>0</v>
      </c>
      <c r="BF64" s="4385">
        <f t="shared" si="10"/>
        <v>0</v>
      </c>
      <c r="BG64" s="4385">
        <f t="shared" si="11"/>
        <v>0</v>
      </c>
      <c r="BH64" s="4385">
        <f t="shared" si="12"/>
        <v>0</v>
      </c>
      <c r="BI64" s="4385">
        <f t="shared" si="13"/>
        <v>0</v>
      </c>
    </row>
    <row r="65" spans="1:61">
      <c r="A65" s="4312"/>
      <c r="B65" s="4403"/>
      <c r="C65" s="4374" t="s">
        <v>4908</v>
      </c>
      <c r="D65" s="4371">
        <v>7229729996</v>
      </c>
      <c r="E65" s="4371">
        <v>6894736129</v>
      </c>
      <c r="F65" s="4372"/>
      <c r="G65" s="4373"/>
      <c r="H65" s="4480">
        <v>1678241240</v>
      </c>
      <c r="I65" s="4373"/>
      <c r="J65" s="4373"/>
      <c r="K65" s="4373">
        <v>1745294428</v>
      </c>
      <c r="L65" s="4373">
        <v>0</v>
      </c>
      <c r="M65" s="4373"/>
      <c r="N65" s="4373">
        <v>1766641399</v>
      </c>
      <c r="O65" s="4373">
        <v>0</v>
      </c>
      <c r="P65" s="4373">
        <v>0</v>
      </c>
      <c r="Q65" s="4404">
        <v>1716085350</v>
      </c>
      <c r="R65" s="4374">
        <v>6906262417</v>
      </c>
      <c r="S65" s="4372"/>
      <c r="T65" s="4373"/>
      <c r="U65" s="4480">
        <v>1592304967</v>
      </c>
      <c r="V65" s="4373"/>
      <c r="W65" s="4373"/>
      <c r="X65" s="4373">
        <v>1538517060</v>
      </c>
      <c r="Y65" s="4373"/>
      <c r="Z65" s="4373"/>
      <c r="AA65" s="4373">
        <v>1461900880</v>
      </c>
      <c r="AB65" s="4373"/>
      <c r="AC65" s="4373"/>
      <c r="AD65" s="4404">
        <v>1362809978</v>
      </c>
      <c r="AE65" s="4371">
        <v>5955532885</v>
      </c>
      <c r="AF65" s="4375">
        <v>0</v>
      </c>
      <c r="AG65" s="4376">
        <v>0</v>
      </c>
      <c r="AH65" s="4377">
        <v>1294656551</v>
      </c>
      <c r="AI65" s="4378">
        <v>0</v>
      </c>
      <c r="AJ65" s="4376">
        <v>0</v>
      </c>
      <c r="AK65" s="4377">
        <v>1236933652</v>
      </c>
      <c r="AL65" s="4378">
        <v>0</v>
      </c>
      <c r="AM65" s="4376">
        <v>0</v>
      </c>
      <c r="AN65" s="4377">
        <v>1217841821</v>
      </c>
      <c r="AO65" s="4378"/>
      <c r="AP65" s="4376">
        <v>0</v>
      </c>
      <c r="AQ65" s="4379">
        <v>1187022800</v>
      </c>
      <c r="AR65" s="4380">
        <v>4936454824</v>
      </c>
      <c r="AS65" s="4393"/>
      <c r="AT65" s="4382"/>
      <c r="AU65" s="4383">
        <v>1165615873</v>
      </c>
      <c r="AV65" s="4381"/>
      <c r="AW65" s="4382"/>
      <c r="AX65" s="4383">
        <v>1159918567</v>
      </c>
      <c r="AY65" s="4381"/>
      <c r="AZ65" s="4382"/>
      <c r="BA65" s="4383">
        <v>1071929537</v>
      </c>
      <c r="BB65" s="4381"/>
      <c r="BC65" s="4382"/>
      <c r="BD65" s="4383">
        <v>1011149168</v>
      </c>
      <c r="BE65" s="4384">
        <f t="shared" si="6"/>
        <v>4408613145</v>
      </c>
      <c r="BF65" s="4330">
        <f t="shared" si="10"/>
        <v>11.65615873</v>
      </c>
      <c r="BG65" s="4330">
        <f t="shared" si="11"/>
        <v>11.599185670000001</v>
      </c>
      <c r="BH65" s="4330">
        <f t="shared" si="12"/>
        <v>10.719295369999999</v>
      </c>
      <c r="BI65" s="4330">
        <f t="shared" si="13"/>
        <v>10.11149168</v>
      </c>
    </row>
    <row r="66" spans="1:61">
      <c r="A66" s="4312"/>
      <c r="B66" s="4403"/>
      <c r="C66" s="4374" t="s">
        <v>4909</v>
      </c>
      <c r="D66" s="4371">
        <v>6491067480</v>
      </c>
      <c r="E66" s="4371">
        <v>3089020293</v>
      </c>
      <c r="F66" s="4372">
        <v>361760476</v>
      </c>
      <c r="G66" s="4373">
        <v>0</v>
      </c>
      <c r="H66" s="4373">
        <v>5871690</v>
      </c>
      <c r="I66" s="4373">
        <v>54600000</v>
      </c>
      <c r="J66" s="4373">
        <v>0</v>
      </c>
      <c r="K66" s="4373">
        <v>0</v>
      </c>
      <c r="L66" s="4373">
        <v>0</v>
      </c>
      <c r="M66" s="4373">
        <v>920109091</v>
      </c>
      <c r="N66" s="4373">
        <v>17816850</v>
      </c>
      <c r="O66" s="4373">
        <v>0</v>
      </c>
      <c r="P66" s="4373">
        <v>48200000</v>
      </c>
      <c r="Q66" s="4404">
        <v>20000000</v>
      </c>
      <c r="R66" s="4374">
        <v>1428358107</v>
      </c>
      <c r="S66" s="4372">
        <v>16400000</v>
      </c>
      <c r="T66" s="4373">
        <v>0</v>
      </c>
      <c r="U66" s="4373">
        <v>0</v>
      </c>
      <c r="V66" s="4373">
        <v>104000000</v>
      </c>
      <c r="W66" s="4373">
        <v>102480000</v>
      </c>
      <c r="X66" s="4373">
        <v>224120000</v>
      </c>
      <c r="Y66" s="4373">
        <v>171000000</v>
      </c>
      <c r="Z66" s="4373">
        <v>40000000</v>
      </c>
      <c r="AA66" s="4373">
        <v>0</v>
      </c>
      <c r="AB66" s="4373">
        <v>0</v>
      </c>
      <c r="AC66" s="4373">
        <v>0</v>
      </c>
      <c r="AD66" s="4404">
        <v>556472040</v>
      </c>
      <c r="AE66" s="4371">
        <v>1214472040</v>
      </c>
      <c r="AF66" s="4375">
        <v>1399000000</v>
      </c>
      <c r="AG66" s="4376">
        <v>323600000</v>
      </c>
      <c r="AH66" s="4377">
        <v>0</v>
      </c>
      <c r="AI66" s="4378">
        <v>323600000</v>
      </c>
      <c r="AJ66" s="4376">
        <v>0</v>
      </c>
      <c r="AK66" s="4377">
        <v>161800000</v>
      </c>
      <c r="AL66" s="4378">
        <v>1140732200</v>
      </c>
      <c r="AM66" s="4376">
        <v>0</v>
      </c>
      <c r="AN66" s="4377">
        <v>-1090909</v>
      </c>
      <c r="AO66" s="4378">
        <v>0</v>
      </c>
      <c r="AP66" s="4376">
        <v>0</v>
      </c>
      <c r="AQ66" s="4379">
        <v>428780000</v>
      </c>
      <c r="AR66" s="4380">
        <v>3776421291</v>
      </c>
      <c r="AS66" s="4393">
        <f>SUM(AS67,AS77)</f>
        <v>79783150</v>
      </c>
      <c r="AT66" s="4382">
        <v>1399000000</v>
      </c>
      <c r="AU66" s="4383">
        <v>0</v>
      </c>
      <c r="AV66" s="4381">
        <v>0</v>
      </c>
      <c r="AW66" s="4382">
        <v>347800000</v>
      </c>
      <c r="AX66" s="4383">
        <v>62000000</v>
      </c>
      <c r="AY66" s="4381">
        <v>1706000000</v>
      </c>
      <c r="AZ66" s="4382">
        <v>0</v>
      </c>
      <c r="BA66" s="4383">
        <v>62000000</v>
      </c>
      <c r="BB66" s="4381">
        <v>71138000</v>
      </c>
      <c r="BC66" s="4382">
        <v>0</v>
      </c>
      <c r="BD66" s="4383">
        <v>699500000</v>
      </c>
      <c r="BE66" s="4384">
        <f t="shared" si="6"/>
        <v>4427221150</v>
      </c>
      <c r="BF66" s="4330">
        <f t="shared" si="10"/>
        <v>14.787831499999999</v>
      </c>
      <c r="BG66" s="4330">
        <f t="shared" si="11"/>
        <v>4.0979999999999999</v>
      </c>
      <c r="BH66" s="4330">
        <f t="shared" si="12"/>
        <v>17.68</v>
      </c>
      <c r="BI66" s="4330">
        <f t="shared" si="13"/>
        <v>7.7063800000000002</v>
      </c>
    </row>
    <row r="67" spans="1:61">
      <c r="A67" s="4312"/>
      <c r="B67" s="4403"/>
      <c r="C67" s="4507" t="s">
        <v>4910</v>
      </c>
      <c r="D67" s="4508">
        <v>6391367480</v>
      </c>
      <c r="E67" s="4508">
        <v>2805717293</v>
      </c>
      <c r="F67" s="4509">
        <v>137174376</v>
      </c>
      <c r="G67" s="4337">
        <v>0</v>
      </c>
      <c r="H67" s="4337">
        <v>0</v>
      </c>
      <c r="I67" s="4337">
        <v>0</v>
      </c>
      <c r="J67" s="4337">
        <v>0</v>
      </c>
      <c r="K67" s="4337">
        <v>0</v>
      </c>
      <c r="L67" s="4337">
        <v>0</v>
      </c>
      <c r="M67" s="4337">
        <v>810909091</v>
      </c>
      <c r="N67" s="4337">
        <v>17816850</v>
      </c>
      <c r="O67" s="4337">
        <v>0</v>
      </c>
      <c r="P67" s="4337">
        <v>30000000</v>
      </c>
      <c r="Q67" s="4510">
        <v>20000000</v>
      </c>
      <c r="R67" s="4511">
        <v>1015900317</v>
      </c>
      <c r="S67" s="4509">
        <v>16400000</v>
      </c>
      <c r="T67" s="4337">
        <v>0</v>
      </c>
      <c r="U67" s="4337">
        <v>0</v>
      </c>
      <c r="V67" s="4337">
        <v>0</v>
      </c>
      <c r="W67" s="4337">
        <v>0</v>
      </c>
      <c r="X67" s="4337">
        <v>0</v>
      </c>
      <c r="Y67" s="4337">
        <v>0</v>
      </c>
      <c r="Z67" s="4337">
        <v>0</v>
      </c>
      <c r="AA67" s="4337">
        <v>0</v>
      </c>
      <c r="AB67" s="4337">
        <v>0</v>
      </c>
      <c r="AC67" s="4337">
        <v>0</v>
      </c>
      <c r="AD67" s="4510">
        <v>0</v>
      </c>
      <c r="AE67" s="4508">
        <v>16400000</v>
      </c>
      <c r="AF67" s="4356">
        <v>1399000000</v>
      </c>
      <c r="AG67" s="4357">
        <v>0</v>
      </c>
      <c r="AH67" s="4358">
        <v>0</v>
      </c>
      <c r="AI67" s="4359">
        <v>0</v>
      </c>
      <c r="AJ67" s="4357">
        <v>0</v>
      </c>
      <c r="AK67" s="4358">
        <v>0</v>
      </c>
      <c r="AL67" s="4359">
        <v>1140732200</v>
      </c>
      <c r="AM67" s="4357">
        <v>0</v>
      </c>
      <c r="AN67" s="4358">
        <v>-1090909</v>
      </c>
      <c r="AO67" s="4359">
        <v>0</v>
      </c>
      <c r="AP67" s="4357">
        <v>0</v>
      </c>
      <c r="AQ67" s="4360">
        <v>24180000</v>
      </c>
      <c r="AR67" s="4361">
        <v>2562821291</v>
      </c>
      <c r="AS67" s="4356">
        <f>SUM(AS68:AS76)</f>
        <v>-1216850</v>
      </c>
      <c r="AT67" s="4357">
        <v>1399000000</v>
      </c>
      <c r="AU67" s="4358">
        <v>0</v>
      </c>
      <c r="AV67" s="4359">
        <v>0</v>
      </c>
      <c r="AW67" s="4357">
        <v>0</v>
      </c>
      <c r="AX67" s="4358">
        <v>0</v>
      </c>
      <c r="AY67" s="4359">
        <v>1646000000</v>
      </c>
      <c r="AZ67" s="4362">
        <v>0</v>
      </c>
      <c r="BA67" s="4363">
        <v>0</v>
      </c>
      <c r="BB67" s="4364">
        <v>0</v>
      </c>
      <c r="BC67" s="4362">
        <v>0</v>
      </c>
      <c r="BD67" s="4363">
        <v>699500000</v>
      </c>
      <c r="BE67" s="4365">
        <f t="shared" si="6"/>
        <v>3743283150</v>
      </c>
      <c r="BF67" s="4330">
        <f t="shared" si="10"/>
        <v>13.977831500000001</v>
      </c>
      <c r="BG67" s="4330">
        <f t="shared" si="11"/>
        <v>0</v>
      </c>
      <c r="BH67" s="4330">
        <f t="shared" si="12"/>
        <v>16.46</v>
      </c>
      <c r="BI67" s="4330">
        <f t="shared" si="13"/>
        <v>6.9950000000000001</v>
      </c>
    </row>
    <row r="68" spans="1:61">
      <c r="A68" s="243"/>
      <c r="B68" s="4512"/>
      <c r="C68" s="4350" t="s">
        <v>4911</v>
      </c>
      <c r="D68" s="4351">
        <v>2354652120</v>
      </c>
      <c r="E68" s="4351">
        <v>0</v>
      </c>
      <c r="F68" s="4352"/>
      <c r="G68" s="4353"/>
      <c r="H68" s="4353"/>
      <c r="I68" s="4353">
        <v>0</v>
      </c>
      <c r="J68" s="4353">
        <v>0</v>
      </c>
      <c r="K68" s="4353">
        <v>0</v>
      </c>
      <c r="L68" s="4353">
        <v>0</v>
      </c>
      <c r="M68" s="4353">
        <v>0</v>
      </c>
      <c r="N68" s="4353">
        <v>0</v>
      </c>
      <c r="O68" s="4353">
        <v>0</v>
      </c>
      <c r="P68" s="4353">
        <v>0</v>
      </c>
      <c r="Q68" s="4353">
        <v>0</v>
      </c>
      <c r="R68" s="4368">
        <v>0</v>
      </c>
      <c r="S68" s="4352"/>
      <c r="T68" s="4353"/>
      <c r="U68" s="4353"/>
      <c r="V68" s="4353"/>
      <c r="W68" s="4353"/>
      <c r="X68" s="4353"/>
      <c r="Y68" s="4353"/>
      <c r="Z68" s="4353"/>
      <c r="AA68" s="4353"/>
      <c r="AB68" s="4353"/>
      <c r="AC68" s="4353"/>
      <c r="AD68" s="4353"/>
      <c r="AE68" s="4351">
        <v>0</v>
      </c>
      <c r="AF68" s="4356"/>
      <c r="AG68" s="4357"/>
      <c r="AH68" s="4358"/>
      <c r="AI68" s="4359"/>
      <c r="AJ68" s="4357"/>
      <c r="AK68" s="4358"/>
      <c r="AL68" s="4359">
        <v>-165299470</v>
      </c>
      <c r="AM68" s="4357"/>
      <c r="AN68" s="4358"/>
      <c r="AO68" s="4359"/>
      <c r="AP68" s="4357"/>
      <c r="AQ68" s="4360"/>
      <c r="AR68" s="4361">
        <v>-165299470</v>
      </c>
      <c r="AS68" s="4356"/>
      <c r="AT68" s="4357"/>
      <c r="AU68" s="4358"/>
      <c r="AV68" s="4359"/>
      <c r="AW68" s="4357"/>
      <c r="AX68" s="4358"/>
      <c r="AY68" s="4359"/>
      <c r="AZ68" s="4362"/>
      <c r="BA68" s="4363"/>
      <c r="BB68" s="4364"/>
      <c r="BC68" s="4362"/>
      <c r="BD68" s="4363"/>
      <c r="BE68" s="4365">
        <f t="shared" si="6"/>
        <v>0</v>
      </c>
      <c r="BF68" s="4330">
        <f t="shared" si="10"/>
        <v>0</v>
      </c>
      <c r="BG68" s="4330">
        <f t="shared" si="11"/>
        <v>0</v>
      </c>
      <c r="BH68" s="4330">
        <f t="shared" si="12"/>
        <v>0</v>
      </c>
      <c r="BI68" s="4330">
        <f t="shared" si="13"/>
        <v>0</v>
      </c>
    </row>
    <row r="69" spans="1:61">
      <c r="A69" s="243"/>
      <c r="B69" s="4512"/>
      <c r="C69" s="4350" t="s">
        <v>4912</v>
      </c>
      <c r="D69" s="4351">
        <v>2554999960</v>
      </c>
      <c r="E69" s="4351">
        <v>0</v>
      </c>
      <c r="F69" s="4352"/>
      <c r="G69" s="4353"/>
      <c r="H69" s="4353"/>
      <c r="I69" s="4353">
        <v>0</v>
      </c>
      <c r="J69" s="4353">
        <v>0</v>
      </c>
      <c r="K69" s="4353">
        <v>0</v>
      </c>
      <c r="L69" s="4353">
        <v>0</v>
      </c>
      <c r="M69" s="4353">
        <v>0</v>
      </c>
      <c r="N69" s="4353">
        <v>0</v>
      </c>
      <c r="O69" s="4353">
        <v>0</v>
      </c>
      <c r="P69" s="4353">
        <v>0</v>
      </c>
      <c r="Q69" s="4353">
        <v>0</v>
      </c>
      <c r="R69" s="4368">
        <v>0</v>
      </c>
      <c r="S69" s="4352"/>
      <c r="T69" s="4353"/>
      <c r="U69" s="4353"/>
      <c r="V69" s="4353"/>
      <c r="W69" s="4353"/>
      <c r="X69" s="4353"/>
      <c r="Y69" s="4353"/>
      <c r="Z69" s="4353"/>
      <c r="AA69" s="4353"/>
      <c r="AB69" s="4353"/>
      <c r="AC69" s="4353"/>
      <c r="AD69" s="4353"/>
      <c r="AE69" s="4351">
        <v>0</v>
      </c>
      <c r="AF69" s="4356"/>
      <c r="AG69" s="4357"/>
      <c r="AH69" s="4358"/>
      <c r="AI69" s="4359"/>
      <c r="AJ69" s="4357"/>
      <c r="AK69" s="4358"/>
      <c r="AL69" s="4359">
        <v>-54999960</v>
      </c>
      <c r="AM69" s="4357"/>
      <c r="AN69" s="4358"/>
      <c r="AO69" s="4359"/>
      <c r="AP69" s="4357"/>
      <c r="AQ69" s="4360"/>
      <c r="AR69" s="4361">
        <v>-54999960</v>
      </c>
      <c r="AS69" s="4356"/>
      <c r="AT69" s="4357"/>
      <c r="AU69" s="4358"/>
      <c r="AV69" s="4359"/>
      <c r="AW69" s="4357"/>
      <c r="AX69" s="4358"/>
      <c r="AY69" s="4359"/>
      <c r="AZ69" s="4362"/>
      <c r="BA69" s="4363"/>
      <c r="BB69" s="4364"/>
      <c r="BC69" s="4362"/>
      <c r="BD69" s="4363"/>
      <c r="BE69" s="4365">
        <f t="shared" si="6"/>
        <v>0</v>
      </c>
      <c r="BF69" s="4330">
        <f t="shared" ref="BF69:BF100" si="18">SUM(AS69:AU69)/단위</f>
        <v>0</v>
      </c>
      <c r="BG69" s="4330">
        <f t="shared" ref="BG69:BG100" si="19">SUM(AV69:AX69)/단위</f>
        <v>0</v>
      </c>
      <c r="BH69" s="4330">
        <f t="shared" ref="BH69:BH100" si="20">SUM(AY69:BA69)/단위</f>
        <v>0</v>
      </c>
      <c r="BI69" s="4330">
        <f t="shared" ref="BI69:BI100" si="21">SUM(BB69:BD69)/단위</f>
        <v>0</v>
      </c>
    </row>
    <row r="70" spans="1:61">
      <c r="A70" s="243"/>
      <c r="B70" s="4512"/>
      <c r="C70" s="4350" t="s">
        <v>4913</v>
      </c>
      <c r="D70" s="4351">
        <v>199290000</v>
      </c>
      <c r="E70" s="4351">
        <v>0</v>
      </c>
      <c r="F70" s="4352"/>
      <c r="G70" s="4353"/>
      <c r="H70" s="4353"/>
      <c r="I70" s="4353">
        <v>0</v>
      </c>
      <c r="J70" s="4353">
        <v>0</v>
      </c>
      <c r="K70" s="4353">
        <v>0</v>
      </c>
      <c r="L70" s="4353">
        <v>0</v>
      </c>
      <c r="M70" s="4353">
        <v>0</v>
      </c>
      <c r="N70" s="4353">
        <v>0</v>
      </c>
      <c r="O70" s="4353">
        <v>0</v>
      </c>
      <c r="P70" s="4353">
        <v>0</v>
      </c>
      <c r="Q70" s="4353"/>
      <c r="R70" s="4368">
        <v>0</v>
      </c>
      <c r="S70" s="4352"/>
      <c r="T70" s="4353"/>
      <c r="U70" s="4353"/>
      <c r="V70" s="4353"/>
      <c r="W70" s="4353"/>
      <c r="X70" s="4353"/>
      <c r="Y70" s="4353"/>
      <c r="Z70" s="4353"/>
      <c r="AA70" s="4353"/>
      <c r="AB70" s="4353"/>
      <c r="AC70" s="4353"/>
      <c r="AD70" s="4353"/>
      <c r="AE70" s="4351">
        <v>0</v>
      </c>
      <c r="AF70" s="4356"/>
      <c r="AG70" s="4357"/>
      <c r="AH70" s="4358"/>
      <c r="AI70" s="4359"/>
      <c r="AJ70" s="4357"/>
      <c r="AK70" s="4358"/>
      <c r="AL70" s="4359">
        <v>0</v>
      </c>
      <c r="AM70" s="4357"/>
      <c r="AN70" s="4358"/>
      <c r="AO70" s="4359"/>
      <c r="AP70" s="4357"/>
      <c r="AQ70" s="4360"/>
      <c r="AR70" s="4361">
        <v>0</v>
      </c>
      <c r="AS70" s="4356"/>
      <c r="AT70" s="4357"/>
      <c r="AU70" s="4358"/>
      <c r="AV70" s="4359"/>
      <c r="AW70" s="4357"/>
      <c r="AX70" s="4358"/>
      <c r="AY70" s="4359"/>
      <c r="AZ70" s="4362"/>
      <c r="BA70" s="4363"/>
      <c r="BB70" s="4364"/>
      <c r="BC70" s="4362"/>
      <c r="BD70" s="4363"/>
      <c r="BE70" s="4365">
        <f t="shared" ref="BE70:BE107" si="22">SUM(AS70:BD70)</f>
        <v>0</v>
      </c>
      <c r="BF70" s="4330">
        <f t="shared" si="18"/>
        <v>0</v>
      </c>
      <c r="BG70" s="4330">
        <f t="shared" si="19"/>
        <v>0</v>
      </c>
      <c r="BH70" s="4330">
        <f t="shared" si="20"/>
        <v>0</v>
      </c>
      <c r="BI70" s="4330">
        <f t="shared" si="21"/>
        <v>0</v>
      </c>
    </row>
    <row r="71" spans="1:61">
      <c r="A71" s="243"/>
      <c r="B71" s="4512"/>
      <c r="C71" s="4350" t="s">
        <v>4914</v>
      </c>
      <c r="D71" s="4351">
        <v>1204358400</v>
      </c>
      <c r="E71" s="4351">
        <v>165794470</v>
      </c>
      <c r="F71" s="4352"/>
      <c r="G71" s="4353"/>
      <c r="H71" s="4353"/>
      <c r="I71" s="4353">
        <v>0</v>
      </c>
      <c r="J71" s="4353">
        <v>0</v>
      </c>
      <c r="K71" s="4353">
        <v>0</v>
      </c>
      <c r="L71" s="4353">
        <v>0</v>
      </c>
      <c r="M71" s="4353">
        <v>0</v>
      </c>
      <c r="N71" s="4353">
        <v>0</v>
      </c>
      <c r="O71" s="4353">
        <v>0</v>
      </c>
      <c r="P71" s="4353">
        <v>0</v>
      </c>
      <c r="Q71" s="4353"/>
      <c r="R71" s="4368">
        <v>0</v>
      </c>
      <c r="S71" s="4352"/>
      <c r="T71" s="4353"/>
      <c r="U71" s="4353"/>
      <c r="V71" s="4353"/>
      <c r="W71" s="4353"/>
      <c r="X71" s="4353"/>
      <c r="Y71" s="4353"/>
      <c r="Z71" s="4353"/>
      <c r="AA71" s="4353"/>
      <c r="AB71" s="4353"/>
      <c r="AC71" s="4353"/>
      <c r="AD71" s="4353"/>
      <c r="AE71" s="4351">
        <v>0</v>
      </c>
      <c r="AF71" s="4356"/>
      <c r="AG71" s="4357"/>
      <c r="AH71" s="4358"/>
      <c r="AI71" s="4359"/>
      <c r="AJ71" s="4357"/>
      <c r="AK71" s="4358"/>
      <c r="AL71" s="4359">
        <v>-33784470</v>
      </c>
      <c r="AM71" s="4357"/>
      <c r="AN71" s="4358"/>
      <c r="AO71" s="4359"/>
      <c r="AP71" s="4357"/>
      <c r="AQ71" s="4360">
        <v>24180000</v>
      </c>
      <c r="AR71" s="4361">
        <v>-9604470</v>
      </c>
      <c r="AS71" s="4356"/>
      <c r="AT71" s="4357"/>
      <c r="AU71" s="4358"/>
      <c r="AV71" s="4359"/>
      <c r="AW71" s="4357"/>
      <c r="AX71" s="4358"/>
      <c r="AY71" s="4359"/>
      <c r="AZ71" s="4362"/>
      <c r="BA71" s="4363"/>
      <c r="BB71" s="4364"/>
      <c r="BC71" s="4362"/>
      <c r="BD71" s="4363"/>
      <c r="BE71" s="4365">
        <f t="shared" si="22"/>
        <v>0</v>
      </c>
      <c r="BF71" s="4330">
        <f t="shared" si="18"/>
        <v>0</v>
      </c>
      <c r="BG71" s="4330">
        <f t="shared" si="19"/>
        <v>0</v>
      </c>
      <c r="BH71" s="4330">
        <f t="shared" si="20"/>
        <v>0</v>
      </c>
      <c r="BI71" s="4330">
        <f t="shared" si="21"/>
        <v>0</v>
      </c>
    </row>
    <row r="72" spans="1:61">
      <c r="A72" s="243"/>
      <c r="B72" s="4512"/>
      <c r="C72" s="4350" t="s">
        <v>4915</v>
      </c>
      <c r="D72" s="4351">
        <v>78067000</v>
      </c>
      <c r="E72" s="4351">
        <v>0</v>
      </c>
      <c r="F72" s="4352"/>
      <c r="G72" s="4353"/>
      <c r="H72" s="4353"/>
      <c r="I72" s="4353">
        <v>0</v>
      </c>
      <c r="J72" s="4353">
        <v>0</v>
      </c>
      <c r="K72" s="4353">
        <v>0</v>
      </c>
      <c r="L72" s="4353">
        <v>0</v>
      </c>
      <c r="M72" s="4353">
        <v>0</v>
      </c>
      <c r="N72" s="4353">
        <v>0</v>
      </c>
      <c r="O72" s="4353">
        <v>0</v>
      </c>
      <c r="P72" s="4353">
        <v>0</v>
      </c>
      <c r="Q72" s="4353">
        <v>0</v>
      </c>
      <c r="R72" s="4368">
        <v>0</v>
      </c>
      <c r="S72" s="4352"/>
      <c r="T72" s="4353"/>
      <c r="U72" s="4353"/>
      <c r="V72" s="4353"/>
      <c r="W72" s="4353"/>
      <c r="X72" s="4353"/>
      <c r="Y72" s="4353"/>
      <c r="Z72" s="4353"/>
      <c r="AA72" s="4353"/>
      <c r="AB72" s="4353"/>
      <c r="AC72" s="4353"/>
      <c r="AD72" s="4353"/>
      <c r="AE72" s="4351">
        <v>0</v>
      </c>
      <c r="AF72" s="4356"/>
      <c r="AG72" s="4357"/>
      <c r="AH72" s="4358"/>
      <c r="AI72" s="4359"/>
      <c r="AJ72" s="4357"/>
      <c r="AK72" s="4358"/>
      <c r="AL72" s="4359">
        <v>-2567000</v>
      </c>
      <c r="AM72" s="4357"/>
      <c r="AN72" s="4358"/>
      <c r="AO72" s="4359"/>
      <c r="AP72" s="4357"/>
      <c r="AQ72" s="4360"/>
      <c r="AR72" s="4361">
        <v>-2567000</v>
      </c>
      <c r="AS72" s="4356"/>
      <c r="AT72" s="4357"/>
      <c r="AU72" s="4358"/>
      <c r="AV72" s="4359"/>
      <c r="AW72" s="4357"/>
      <c r="AX72" s="4358"/>
      <c r="AY72" s="4359"/>
      <c r="AZ72" s="4362"/>
      <c r="BA72" s="4363"/>
      <c r="BB72" s="4364"/>
      <c r="BC72" s="4362"/>
      <c r="BD72" s="4363"/>
      <c r="BE72" s="4365">
        <f t="shared" si="22"/>
        <v>0</v>
      </c>
      <c r="BF72" s="4330">
        <f t="shared" si="18"/>
        <v>0</v>
      </c>
      <c r="BG72" s="4330">
        <f t="shared" si="19"/>
        <v>0</v>
      </c>
      <c r="BH72" s="4330">
        <f t="shared" si="20"/>
        <v>0</v>
      </c>
      <c r="BI72" s="4330">
        <f t="shared" si="21"/>
        <v>0</v>
      </c>
    </row>
    <row r="73" spans="1:61">
      <c r="A73" s="243"/>
      <c r="B73" s="4512"/>
      <c r="C73" s="4350" t="s">
        <v>4916</v>
      </c>
      <c r="D73" s="4351"/>
      <c r="E73" s="4351">
        <v>33589627</v>
      </c>
      <c r="F73" s="4352"/>
      <c r="G73" s="4353"/>
      <c r="H73" s="4353"/>
      <c r="I73" s="4353">
        <v>0</v>
      </c>
      <c r="J73" s="4353">
        <v>0</v>
      </c>
      <c r="K73" s="4353">
        <v>0</v>
      </c>
      <c r="L73" s="4353">
        <v>0</v>
      </c>
      <c r="M73" s="4353">
        <v>0</v>
      </c>
      <c r="N73" s="4353">
        <v>0</v>
      </c>
      <c r="O73" s="4353">
        <v>0</v>
      </c>
      <c r="P73" s="4353">
        <v>0</v>
      </c>
      <c r="Q73" s="4353">
        <v>0</v>
      </c>
      <c r="R73" s="4368">
        <v>0</v>
      </c>
      <c r="S73" s="4352"/>
      <c r="T73" s="4353"/>
      <c r="U73" s="4353"/>
      <c r="V73" s="4353"/>
      <c r="W73" s="4353"/>
      <c r="X73" s="4353"/>
      <c r="Y73" s="4353"/>
      <c r="Z73" s="4353"/>
      <c r="AA73" s="4353"/>
      <c r="AB73" s="4353"/>
      <c r="AC73" s="4353"/>
      <c r="AD73" s="4353"/>
      <c r="AE73" s="4351">
        <v>0</v>
      </c>
      <c r="AF73" s="4356"/>
      <c r="AG73" s="4357"/>
      <c r="AH73" s="4358"/>
      <c r="AI73" s="4359"/>
      <c r="AJ73" s="4357"/>
      <c r="AK73" s="4358"/>
      <c r="AL73" s="4359">
        <v>-1616900</v>
      </c>
      <c r="AM73" s="4357"/>
      <c r="AN73" s="4358"/>
      <c r="AO73" s="4359"/>
      <c r="AP73" s="4357"/>
      <c r="AQ73" s="4360"/>
      <c r="AR73" s="4361">
        <v>-1616900</v>
      </c>
      <c r="AS73" s="4356"/>
      <c r="AT73" s="4357"/>
      <c r="AU73" s="4358"/>
      <c r="AV73" s="4359"/>
      <c r="AW73" s="4357"/>
      <c r="AX73" s="4358"/>
      <c r="AY73" s="4359"/>
      <c r="AZ73" s="4362"/>
      <c r="BA73" s="4363"/>
      <c r="BB73" s="4364"/>
      <c r="BC73" s="4362"/>
      <c r="BD73" s="4363"/>
      <c r="BE73" s="4365">
        <f t="shared" si="22"/>
        <v>0</v>
      </c>
      <c r="BF73" s="4330">
        <f t="shared" si="18"/>
        <v>0</v>
      </c>
      <c r="BG73" s="4330">
        <f t="shared" si="19"/>
        <v>0</v>
      </c>
      <c r="BH73" s="4330">
        <f t="shared" si="20"/>
        <v>0</v>
      </c>
      <c r="BI73" s="4330">
        <f t="shared" si="21"/>
        <v>0</v>
      </c>
    </row>
    <row r="74" spans="1:61">
      <c r="A74" s="243"/>
      <c r="B74" s="4512"/>
      <c r="C74" s="4350" t="s">
        <v>4917</v>
      </c>
      <c r="D74" s="4351"/>
      <c r="E74" s="4351">
        <v>2470000000</v>
      </c>
      <c r="F74" s="4352"/>
      <c r="G74" s="4353"/>
      <c r="H74" s="4353"/>
      <c r="I74" s="4353"/>
      <c r="J74" s="4353">
        <v>0</v>
      </c>
      <c r="K74" s="4353">
        <v>0</v>
      </c>
      <c r="L74" s="4353">
        <v>0</v>
      </c>
      <c r="M74" s="4353">
        <v>810909091</v>
      </c>
      <c r="N74" s="4353">
        <v>1216850</v>
      </c>
      <c r="O74" s="4353">
        <v>0</v>
      </c>
      <c r="P74" s="4353"/>
      <c r="Q74" s="4353">
        <v>0</v>
      </c>
      <c r="R74" s="4368">
        <v>812125941</v>
      </c>
      <c r="S74" s="4352">
        <v>16400000</v>
      </c>
      <c r="T74" s="4353"/>
      <c r="U74" s="4353"/>
      <c r="V74" s="4353"/>
      <c r="W74" s="4353"/>
      <c r="X74" s="4353"/>
      <c r="Y74" s="4353"/>
      <c r="Z74" s="4353"/>
      <c r="AA74" s="4353"/>
      <c r="AB74" s="4353"/>
      <c r="AC74" s="4353"/>
      <c r="AD74" s="4353"/>
      <c r="AE74" s="4351">
        <v>16400000</v>
      </c>
      <c r="AF74" s="4356"/>
      <c r="AG74" s="4357"/>
      <c r="AH74" s="4358"/>
      <c r="AI74" s="4359"/>
      <c r="AJ74" s="4357"/>
      <c r="AK74" s="4358"/>
      <c r="AL74" s="4359"/>
      <c r="AM74" s="4357"/>
      <c r="AN74" s="4358"/>
      <c r="AO74" s="4359"/>
      <c r="AP74" s="4357"/>
      <c r="AQ74" s="4360"/>
      <c r="AR74" s="4361">
        <v>0</v>
      </c>
      <c r="AS74" s="4356">
        <v>-1216850</v>
      </c>
      <c r="AT74" s="4362"/>
      <c r="AU74" s="4358"/>
      <c r="AV74" s="4359"/>
      <c r="AW74" s="4357"/>
      <c r="AX74" s="4358"/>
      <c r="AY74" s="4364">
        <v>247000000</v>
      </c>
      <c r="AZ74" s="4362"/>
      <c r="BA74" s="4363"/>
      <c r="BB74" s="4364"/>
      <c r="BC74" s="4362"/>
      <c r="BD74" s="4363"/>
      <c r="BE74" s="4365">
        <f t="shared" si="22"/>
        <v>245783150</v>
      </c>
      <c r="BF74" s="4330">
        <f t="shared" si="18"/>
        <v>-1.21685E-2</v>
      </c>
      <c r="BG74" s="4330">
        <f t="shared" si="19"/>
        <v>0</v>
      </c>
      <c r="BH74" s="4330">
        <f t="shared" si="20"/>
        <v>2.4700000000000002</v>
      </c>
      <c r="BI74" s="4330">
        <f t="shared" si="21"/>
        <v>0</v>
      </c>
    </row>
    <row r="75" spans="1:61">
      <c r="A75" s="243"/>
      <c r="B75" s="4512"/>
      <c r="C75" s="4350" t="s">
        <v>4918</v>
      </c>
      <c r="D75" s="4351"/>
      <c r="E75" s="4351"/>
      <c r="F75" s="4352"/>
      <c r="G75" s="4353"/>
      <c r="H75" s="4353"/>
      <c r="I75" s="4353"/>
      <c r="J75" s="4353">
        <v>0</v>
      </c>
      <c r="K75" s="4353">
        <v>0</v>
      </c>
      <c r="L75" s="4353"/>
      <c r="M75" s="4353"/>
      <c r="N75" s="4353">
        <v>16600000</v>
      </c>
      <c r="O75" s="4353"/>
      <c r="P75" s="4353">
        <v>30000000</v>
      </c>
      <c r="Q75" s="4353">
        <v>20000000</v>
      </c>
      <c r="R75" s="4368">
        <v>66600000</v>
      </c>
      <c r="S75" s="4352"/>
      <c r="T75" s="4353"/>
      <c r="U75" s="4353"/>
      <c r="V75" s="4353"/>
      <c r="W75" s="4353"/>
      <c r="X75" s="4353"/>
      <c r="Y75" s="4353"/>
      <c r="Z75" s="4353"/>
      <c r="AA75" s="4353"/>
      <c r="AB75" s="4353"/>
      <c r="AC75" s="4353"/>
      <c r="AD75" s="4353">
        <v>0</v>
      </c>
      <c r="AE75" s="4351">
        <v>0</v>
      </c>
      <c r="AF75" s="4497">
        <v>1399000000</v>
      </c>
      <c r="AG75" s="4362"/>
      <c r="AH75" s="4363"/>
      <c r="AI75" s="4364"/>
      <c r="AJ75" s="4362"/>
      <c r="AK75" s="4363"/>
      <c r="AL75" s="4364">
        <v>1399000000</v>
      </c>
      <c r="AM75" s="4362"/>
      <c r="AN75" s="4363"/>
      <c r="AO75" s="4364"/>
      <c r="AP75" s="4362"/>
      <c r="AQ75" s="4498"/>
      <c r="AR75" s="4499">
        <v>2798000000</v>
      </c>
      <c r="AS75" s="4497"/>
      <c r="AT75" s="4362">
        <v>1399000000</v>
      </c>
      <c r="AU75" s="4363"/>
      <c r="AV75" s="4364"/>
      <c r="AW75" s="4362"/>
      <c r="AX75" s="4363"/>
      <c r="AY75" s="4364">
        <v>1399000000</v>
      </c>
      <c r="AZ75" s="4362"/>
      <c r="BA75" s="4363"/>
      <c r="BB75" s="4364"/>
      <c r="BC75" s="4513"/>
      <c r="BD75" s="4363">
        <v>699500000</v>
      </c>
      <c r="BE75" s="4365">
        <f t="shared" si="22"/>
        <v>3497500000</v>
      </c>
      <c r="BF75" s="4330">
        <f t="shared" si="18"/>
        <v>13.99</v>
      </c>
      <c r="BG75" s="4330">
        <f t="shared" si="19"/>
        <v>0</v>
      </c>
      <c r="BH75" s="4330">
        <f t="shared" si="20"/>
        <v>13.99</v>
      </c>
      <c r="BI75" s="4330">
        <f t="shared" si="21"/>
        <v>6.9950000000000001</v>
      </c>
    </row>
    <row r="76" spans="1:61">
      <c r="A76" s="243"/>
      <c r="B76" s="4512"/>
      <c r="C76" s="4350" t="s">
        <v>4919</v>
      </c>
      <c r="D76" s="4351"/>
      <c r="E76" s="4351">
        <v>136333196</v>
      </c>
      <c r="F76" s="4352">
        <v>137174376</v>
      </c>
      <c r="G76" s="4353"/>
      <c r="H76" s="4353"/>
      <c r="I76" s="4353">
        <v>0</v>
      </c>
      <c r="J76" s="4353">
        <v>0</v>
      </c>
      <c r="K76" s="4353">
        <v>0</v>
      </c>
      <c r="L76" s="4353">
        <v>0</v>
      </c>
      <c r="M76" s="4353">
        <v>0</v>
      </c>
      <c r="N76" s="4353">
        <v>0</v>
      </c>
      <c r="O76" s="4353">
        <v>0</v>
      </c>
      <c r="P76" s="4353"/>
      <c r="Q76" s="4353">
        <v>0</v>
      </c>
      <c r="R76" s="4368">
        <v>137174376</v>
      </c>
      <c r="S76" s="4352"/>
      <c r="T76" s="4353"/>
      <c r="U76" s="4353"/>
      <c r="V76" s="4353"/>
      <c r="W76" s="4353"/>
      <c r="X76" s="4353"/>
      <c r="Y76" s="4353"/>
      <c r="Z76" s="4353"/>
      <c r="AA76" s="4353"/>
      <c r="AB76" s="4353"/>
      <c r="AC76" s="4353"/>
      <c r="AD76" s="4353"/>
      <c r="AE76" s="4351">
        <v>0</v>
      </c>
      <c r="AF76" s="4497"/>
      <c r="AG76" s="4362"/>
      <c r="AH76" s="4363"/>
      <c r="AI76" s="4364"/>
      <c r="AJ76" s="4362"/>
      <c r="AK76" s="4363"/>
      <c r="AL76" s="4364"/>
      <c r="AM76" s="4362"/>
      <c r="AN76" s="4363">
        <v>-1090909</v>
      </c>
      <c r="AO76" s="4364"/>
      <c r="AP76" s="4362"/>
      <c r="AQ76" s="4498"/>
      <c r="AR76" s="4499">
        <v>-1090909</v>
      </c>
      <c r="AS76" s="4497"/>
      <c r="AT76" s="4362"/>
      <c r="AU76" s="4363"/>
      <c r="AV76" s="4364"/>
      <c r="AW76" s="4362"/>
      <c r="AX76" s="4363"/>
      <c r="AY76" s="4364"/>
      <c r="AZ76" s="4362"/>
      <c r="BA76" s="4363"/>
      <c r="BB76" s="4364"/>
      <c r="BC76" s="4362"/>
      <c r="BD76" s="4363"/>
      <c r="BE76" s="4365">
        <f t="shared" si="22"/>
        <v>0</v>
      </c>
      <c r="BF76" s="4330">
        <f t="shared" si="18"/>
        <v>0</v>
      </c>
      <c r="BG76" s="4330">
        <f t="shared" si="19"/>
        <v>0</v>
      </c>
      <c r="BH76" s="4330">
        <f t="shared" si="20"/>
        <v>0</v>
      </c>
      <c r="BI76" s="4330">
        <f t="shared" si="21"/>
        <v>0</v>
      </c>
    </row>
    <row r="77" spans="1:61">
      <c r="A77" s="243"/>
      <c r="B77" s="4512"/>
      <c r="C77" s="4386" t="s">
        <v>4920</v>
      </c>
      <c r="D77" s="4351">
        <v>99700000</v>
      </c>
      <c r="E77" s="4351">
        <v>283303000</v>
      </c>
      <c r="F77" s="4352">
        <v>224586100</v>
      </c>
      <c r="G77" s="4353">
        <v>0</v>
      </c>
      <c r="H77" s="4353">
        <v>5871690</v>
      </c>
      <c r="I77" s="4353">
        <v>54600000</v>
      </c>
      <c r="J77" s="4353">
        <v>0</v>
      </c>
      <c r="K77" s="4353">
        <v>0</v>
      </c>
      <c r="L77" s="4353">
        <v>0</v>
      </c>
      <c r="M77" s="4353">
        <v>109200000</v>
      </c>
      <c r="N77" s="4353">
        <v>0</v>
      </c>
      <c r="O77" s="4353">
        <v>0</v>
      </c>
      <c r="P77" s="4353">
        <v>18200000</v>
      </c>
      <c r="Q77" s="4353">
        <v>0</v>
      </c>
      <c r="R77" s="4368">
        <v>412457790</v>
      </c>
      <c r="S77" s="4352">
        <v>0</v>
      </c>
      <c r="T77" s="4353">
        <v>0</v>
      </c>
      <c r="U77" s="4353">
        <v>0</v>
      </c>
      <c r="V77" s="4353">
        <v>104000000</v>
      </c>
      <c r="W77" s="4353">
        <v>102480000</v>
      </c>
      <c r="X77" s="4353">
        <v>224120000</v>
      </c>
      <c r="Y77" s="4353">
        <v>171000000</v>
      </c>
      <c r="Z77" s="4353">
        <v>40000000</v>
      </c>
      <c r="AA77" s="4353">
        <v>0</v>
      </c>
      <c r="AB77" s="4353">
        <v>0</v>
      </c>
      <c r="AC77" s="4353">
        <v>0</v>
      </c>
      <c r="AD77" s="4353">
        <v>556472040</v>
      </c>
      <c r="AE77" s="4351">
        <v>1198072040</v>
      </c>
      <c r="AF77" s="4440">
        <v>0</v>
      </c>
      <c r="AG77" s="4441">
        <v>323600000</v>
      </c>
      <c r="AH77" s="4442">
        <v>0</v>
      </c>
      <c r="AI77" s="4443">
        <v>323600000</v>
      </c>
      <c r="AJ77" s="4441">
        <v>0</v>
      </c>
      <c r="AK77" s="4442">
        <v>161800000</v>
      </c>
      <c r="AL77" s="4443">
        <v>0</v>
      </c>
      <c r="AM77" s="4441">
        <v>0</v>
      </c>
      <c r="AN77" s="4442">
        <v>0</v>
      </c>
      <c r="AO77" s="4443">
        <v>0</v>
      </c>
      <c r="AP77" s="4441">
        <v>0</v>
      </c>
      <c r="AQ77" s="4514">
        <v>404600000</v>
      </c>
      <c r="AR77" s="4515">
        <v>1213600000</v>
      </c>
      <c r="AS77" s="4440">
        <f>SUM(AS78:AS91)</f>
        <v>81000000</v>
      </c>
      <c r="AT77" s="4441">
        <f t="shared" ref="AT77:BD77" si="23">SUM(AT78:AT91)</f>
        <v>0</v>
      </c>
      <c r="AU77" s="4442">
        <f t="shared" si="23"/>
        <v>0</v>
      </c>
      <c r="AV77" s="4443">
        <f t="shared" si="23"/>
        <v>0</v>
      </c>
      <c r="AW77" s="4441">
        <f t="shared" si="23"/>
        <v>347800000</v>
      </c>
      <c r="AX77" s="4442">
        <f t="shared" si="23"/>
        <v>62000000</v>
      </c>
      <c r="AY77" s="4443">
        <f t="shared" si="23"/>
        <v>60000000</v>
      </c>
      <c r="AZ77" s="4441">
        <f t="shared" si="23"/>
        <v>0</v>
      </c>
      <c r="BA77" s="4442">
        <f t="shared" si="23"/>
        <v>62000000</v>
      </c>
      <c r="BB77" s="4443">
        <f t="shared" si="23"/>
        <v>71138000</v>
      </c>
      <c r="BC77" s="4441">
        <f t="shared" si="23"/>
        <v>0</v>
      </c>
      <c r="BD77" s="4442">
        <f t="shared" si="23"/>
        <v>0</v>
      </c>
      <c r="BE77" s="4444">
        <f t="shared" si="22"/>
        <v>683938000</v>
      </c>
      <c r="BF77" s="4330">
        <f t="shared" si="18"/>
        <v>0.81</v>
      </c>
      <c r="BG77" s="4330">
        <f t="shared" si="19"/>
        <v>4.0979999999999999</v>
      </c>
      <c r="BH77" s="4330">
        <f t="shared" si="20"/>
        <v>1.22</v>
      </c>
      <c r="BI77" s="4330">
        <f t="shared" si="21"/>
        <v>0.71138000000000001</v>
      </c>
    </row>
    <row r="78" spans="1:61">
      <c r="A78" s="243"/>
      <c r="B78" s="4512"/>
      <c r="C78" s="4350" t="s">
        <v>4921</v>
      </c>
      <c r="D78" s="4351"/>
      <c r="E78" s="4351"/>
      <c r="F78" s="4352"/>
      <c r="G78" s="4353"/>
      <c r="H78" s="4353"/>
      <c r="I78" s="4353"/>
      <c r="J78" s="4353"/>
      <c r="K78" s="4353"/>
      <c r="L78" s="4353"/>
      <c r="M78" s="4353"/>
      <c r="N78" s="4353"/>
      <c r="O78" s="4353"/>
      <c r="P78" s="4353"/>
      <c r="Q78" s="4516"/>
      <c r="R78" s="4368">
        <v>0</v>
      </c>
      <c r="S78" s="4352"/>
      <c r="T78" s="4353"/>
      <c r="U78" s="4353"/>
      <c r="V78" s="4353"/>
      <c r="W78" s="4353"/>
      <c r="X78" s="4353"/>
      <c r="Y78" s="4353"/>
      <c r="Z78" s="4353"/>
      <c r="AA78" s="4353"/>
      <c r="AB78" s="4353"/>
      <c r="AC78" s="4353"/>
      <c r="AD78" s="4516">
        <v>82872040</v>
      </c>
      <c r="AE78" s="4351">
        <v>82872040</v>
      </c>
      <c r="AF78" s="4440"/>
      <c r="AG78" s="4441"/>
      <c r="AH78" s="4442"/>
      <c r="AI78" s="4443"/>
      <c r="AJ78" s="4441"/>
      <c r="AK78" s="4442"/>
      <c r="AL78" s="4443"/>
      <c r="AM78" s="4441"/>
      <c r="AN78" s="4442"/>
      <c r="AO78" s="4443"/>
      <c r="AP78" s="4441"/>
      <c r="AQ78" s="4514"/>
      <c r="AR78" s="4499">
        <v>0</v>
      </c>
      <c r="AS78" s="4440"/>
      <c r="AT78" s="4441"/>
      <c r="AU78" s="4442"/>
      <c r="AV78" s="4443"/>
      <c r="AW78" s="4441"/>
      <c r="AX78" s="4442"/>
      <c r="AY78" s="4443"/>
      <c r="AZ78" s="4441"/>
      <c r="BA78" s="4442"/>
      <c r="BB78" s="4443">
        <v>29938000</v>
      </c>
      <c r="BC78" s="4441"/>
      <c r="BD78" s="4442">
        <v>0</v>
      </c>
      <c r="BE78" s="4365">
        <f t="shared" si="22"/>
        <v>29938000</v>
      </c>
      <c r="BF78" s="4330">
        <f t="shared" si="18"/>
        <v>0</v>
      </c>
      <c r="BG78" s="4330">
        <f t="shared" si="19"/>
        <v>0</v>
      </c>
      <c r="BH78" s="4330">
        <f t="shared" si="20"/>
        <v>0</v>
      </c>
      <c r="BI78" s="4330">
        <f t="shared" si="21"/>
        <v>0.29937999999999998</v>
      </c>
    </row>
    <row r="79" spans="1:61">
      <c r="A79" s="243"/>
      <c r="B79" s="4512"/>
      <c r="C79" s="4350" t="s">
        <v>4922</v>
      </c>
      <c r="D79" s="4351"/>
      <c r="E79" s="4351"/>
      <c r="F79" s="4352"/>
      <c r="G79" s="4353"/>
      <c r="H79" s="4353"/>
      <c r="I79" s="4353">
        <v>54600000</v>
      </c>
      <c r="J79" s="4353"/>
      <c r="K79" s="4353"/>
      <c r="L79" s="4353"/>
      <c r="M79" s="4353">
        <v>109200000</v>
      </c>
      <c r="N79" s="4353"/>
      <c r="O79" s="4353"/>
      <c r="P79" s="4353">
        <v>18200000</v>
      </c>
      <c r="Q79" s="4516"/>
      <c r="R79" s="4368">
        <v>182000000</v>
      </c>
      <c r="S79" s="4352"/>
      <c r="T79" s="4353"/>
      <c r="U79" s="4353"/>
      <c r="V79" s="4353"/>
      <c r="W79" s="4353"/>
      <c r="X79" s="4353"/>
      <c r="Y79" s="4353"/>
      <c r="Z79" s="4353"/>
      <c r="AA79" s="4353"/>
      <c r="AB79" s="4353"/>
      <c r="AC79" s="4353"/>
      <c r="AD79" s="4516"/>
      <c r="AE79" s="4351">
        <v>0</v>
      </c>
      <c r="AF79" s="4440"/>
      <c r="AG79" s="4441"/>
      <c r="AH79" s="4442"/>
      <c r="AI79" s="4443"/>
      <c r="AJ79" s="4441"/>
      <c r="AK79" s="4442"/>
      <c r="AL79" s="4443"/>
      <c r="AM79" s="4441"/>
      <c r="AN79" s="4442"/>
      <c r="AO79" s="4443"/>
      <c r="AP79" s="4441"/>
      <c r="AQ79" s="4514"/>
      <c r="AR79" s="4499">
        <v>0</v>
      </c>
      <c r="AS79" s="4440"/>
      <c r="AT79" s="4441"/>
      <c r="AU79" s="4442"/>
      <c r="AV79" s="4443"/>
      <c r="AW79" s="4441"/>
      <c r="AX79" s="4442"/>
      <c r="AY79" s="4443"/>
      <c r="AZ79" s="4441"/>
      <c r="BA79" s="4442"/>
      <c r="BB79" s="4443"/>
      <c r="BC79" s="4441"/>
      <c r="BD79" s="4442"/>
      <c r="BE79" s="4365">
        <f t="shared" si="22"/>
        <v>0</v>
      </c>
      <c r="BF79" s="4330">
        <f t="shared" si="18"/>
        <v>0</v>
      </c>
      <c r="BG79" s="4330">
        <f t="shared" si="19"/>
        <v>0</v>
      </c>
      <c r="BH79" s="4330">
        <f t="shared" si="20"/>
        <v>0</v>
      </c>
      <c r="BI79" s="4330">
        <f t="shared" si="21"/>
        <v>0</v>
      </c>
    </row>
    <row r="80" spans="1:61">
      <c r="A80" s="243"/>
      <c r="B80" s="4512"/>
      <c r="C80" s="4350" t="s">
        <v>4923</v>
      </c>
      <c r="D80" s="4351"/>
      <c r="E80" s="4351"/>
      <c r="F80" s="4352">
        <v>224586100</v>
      </c>
      <c r="G80" s="4353"/>
      <c r="H80" s="4353">
        <v>5871690</v>
      </c>
      <c r="I80" s="4353"/>
      <c r="J80" s="4353"/>
      <c r="K80" s="4353"/>
      <c r="L80" s="4353"/>
      <c r="M80" s="4353"/>
      <c r="N80" s="4353"/>
      <c r="O80" s="4353"/>
      <c r="P80" s="4353"/>
      <c r="Q80" s="4516"/>
      <c r="R80" s="4368">
        <v>230457790</v>
      </c>
      <c r="S80" s="4352"/>
      <c r="T80" s="4353"/>
      <c r="U80" s="4353"/>
      <c r="V80" s="4353"/>
      <c r="W80" s="4517"/>
      <c r="X80" s="4353"/>
      <c r="Y80" s="4353"/>
      <c r="Z80" s="4353"/>
      <c r="AA80" s="4353"/>
      <c r="AB80" s="4353"/>
      <c r="AC80" s="4353"/>
      <c r="AD80" s="4516"/>
      <c r="AE80" s="4351">
        <v>0</v>
      </c>
      <c r="AF80" s="4440"/>
      <c r="AG80" s="4441"/>
      <c r="AH80" s="4442"/>
      <c r="AI80" s="4443"/>
      <c r="AJ80" s="4441"/>
      <c r="AK80" s="4442"/>
      <c r="AL80" s="4443"/>
      <c r="AM80" s="4441"/>
      <c r="AN80" s="4442"/>
      <c r="AO80" s="4443"/>
      <c r="AP80" s="4441"/>
      <c r="AQ80" s="4514"/>
      <c r="AR80" s="4499">
        <v>0</v>
      </c>
      <c r="AS80" s="4440"/>
      <c r="AT80" s="4441"/>
      <c r="AU80" s="4442"/>
      <c r="AV80" s="4443"/>
      <c r="AW80" s="4441"/>
      <c r="AX80" s="4442"/>
      <c r="AY80" s="4443"/>
      <c r="AZ80" s="4441"/>
      <c r="BA80" s="4442"/>
      <c r="BB80" s="4443"/>
      <c r="BC80" s="4441"/>
      <c r="BD80" s="4442"/>
      <c r="BE80" s="4365">
        <f t="shared" si="22"/>
        <v>0</v>
      </c>
      <c r="BF80" s="4330">
        <f t="shared" si="18"/>
        <v>0</v>
      </c>
      <c r="BG80" s="4330">
        <f t="shared" si="19"/>
        <v>0</v>
      </c>
      <c r="BH80" s="4330">
        <f t="shared" si="20"/>
        <v>0</v>
      </c>
      <c r="BI80" s="4330">
        <f t="shared" si="21"/>
        <v>0</v>
      </c>
    </row>
    <row r="81" spans="1:61">
      <c r="A81" s="243"/>
      <c r="B81" s="4512"/>
      <c r="C81" s="4350" t="s">
        <v>4924</v>
      </c>
      <c r="D81" s="4351"/>
      <c r="E81" s="4351"/>
      <c r="F81" s="4352"/>
      <c r="G81" s="4353"/>
      <c r="H81" s="4353"/>
      <c r="I81" s="4353"/>
      <c r="J81" s="4353"/>
      <c r="K81" s="4353"/>
      <c r="L81" s="4353"/>
      <c r="M81" s="4353"/>
      <c r="N81" s="4353"/>
      <c r="O81" s="4353"/>
      <c r="P81" s="4353"/>
      <c r="Q81" s="4516"/>
      <c r="R81" s="4368">
        <v>0</v>
      </c>
      <c r="S81" s="4352"/>
      <c r="T81" s="4353"/>
      <c r="U81" s="4353"/>
      <c r="V81" s="4353"/>
      <c r="W81" s="4517"/>
      <c r="X81" s="4353"/>
      <c r="Y81" s="4353"/>
      <c r="Z81" s="4353"/>
      <c r="AA81" s="4353"/>
      <c r="AB81" s="4353"/>
      <c r="AC81" s="4353"/>
      <c r="AD81" s="4516"/>
      <c r="AE81" s="4351">
        <v>0</v>
      </c>
      <c r="AF81" s="4440"/>
      <c r="AG81" s="4441"/>
      <c r="AH81" s="4442"/>
      <c r="AI81" s="4443"/>
      <c r="AJ81" s="4441"/>
      <c r="AK81" s="4442"/>
      <c r="AL81" s="4437"/>
      <c r="AM81" s="4441"/>
      <c r="AN81" s="4442"/>
      <c r="AO81" s="4443"/>
      <c r="AP81" s="4441"/>
      <c r="AQ81" s="4514">
        <v>81000000</v>
      </c>
      <c r="AR81" s="4499">
        <v>81000000</v>
      </c>
      <c r="AS81" s="4440">
        <v>81000000</v>
      </c>
      <c r="AT81" s="4441"/>
      <c r="AU81" s="4442"/>
      <c r="AV81" s="4443"/>
      <c r="AW81" s="4441"/>
      <c r="AX81" s="4442"/>
      <c r="AY81" s="4443"/>
      <c r="AZ81" s="4441"/>
      <c r="BA81" s="4442"/>
      <c r="BB81" s="4443"/>
      <c r="BC81" s="4441"/>
      <c r="BD81" s="4442"/>
      <c r="BE81" s="4365">
        <f t="shared" si="22"/>
        <v>81000000</v>
      </c>
      <c r="BF81" s="4330">
        <f t="shared" si="18"/>
        <v>0.81</v>
      </c>
      <c r="BG81" s="4330">
        <f t="shared" si="19"/>
        <v>0</v>
      </c>
      <c r="BH81" s="4330">
        <f t="shared" si="20"/>
        <v>0</v>
      </c>
      <c r="BI81" s="4330">
        <f t="shared" si="21"/>
        <v>0</v>
      </c>
    </row>
    <row r="82" spans="1:61">
      <c r="A82" s="243"/>
      <c r="B82" s="4512"/>
      <c r="C82" s="4350" t="s">
        <v>4925</v>
      </c>
      <c r="D82" s="4351"/>
      <c r="E82" s="4351"/>
      <c r="F82" s="4352">
        <v>0</v>
      </c>
      <c r="G82" s="4353">
        <v>0</v>
      </c>
      <c r="H82" s="4353">
        <v>0</v>
      </c>
      <c r="I82" s="4353">
        <v>0</v>
      </c>
      <c r="J82" s="4353">
        <v>0</v>
      </c>
      <c r="K82" s="4353">
        <v>0</v>
      </c>
      <c r="L82" s="4353">
        <v>0</v>
      </c>
      <c r="M82" s="4353">
        <v>0</v>
      </c>
      <c r="N82" s="4353">
        <v>0</v>
      </c>
      <c r="O82" s="4353">
        <v>0</v>
      </c>
      <c r="P82" s="4353">
        <v>0</v>
      </c>
      <c r="Q82" s="4516">
        <v>0</v>
      </c>
      <c r="R82" s="4368">
        <v>0</v>
      </c>
      <c r="S82" s="4353">
        <v>0</v>
      </c>
      <c r="T82" s="4353">
        <v>0</v>
      </c>
      <c r="U82" s="4353">
        <v>0</v>
      </c>
      <c r="V82" s="4353">
        <v>0</v>
      </c>
      <c r="W82" s="4353">
        <v>102480000</v>
      </c>
      <c r="X82" s="4353">
        <v>224120000</v>
      </c>
      <c r="Y82" s="4353">
        <v>15000000</v>
      </c>
      <c r="Z82" s="4353">
        <v>40000000</v>
      </c>
      <c r="AA82" s="4353">
        <v>0</v>
      </c>
      <c r="AB82" s="4353">
        <v>0</v>
      </c>
      <c r="AC82" s="4353">
        <v>0</v>
      </c>
      <c r="AD82" s="4353">
        <v>150000000</v>
      </c>
      <c r="AE82" s="4351">
        <v>531600000</v>
      </c>
      <c r="AF82" s="4440">
        <v>0</v>
      </c>
      <c r="AG82" s="4441">
        <v>0</v>
      </c>
      <c r="AH82" s="4442">
        <v>0</v>
      </c>
      <c r="AI82" s="4443">
        <v>0</v>
      </c>
      <c r="AJ82" s="4441">
        <v>0</v>
      </c>
      <c r="AK82" s="4442">
        <v>0</v>
      </c>
      <c r="AL82" s="4443">
        <v>0</v>
      </c>
      <c r="AM82" s="4441">
        <v>0</v>
      </c>
      <c r="AN82" s="4442">
        <v>0</v>
      </c>
      <c r="AO82" s="4443">
        <v>0</v>
      </c>
      <c r="AP82" s="4441">
        <v>0</v>
      </c>
      <c r="AQ82" s="4514">
        <v>0</v>
      </c>
      <c r="AR82" s="4499">
        <v>0</v>
      </c>
      <c r="AS82" s="4440">
        <v>0</v>
      </c>
      <c r="AT82" s="4441">
        <v>0</v>
      </c>
      <c r="AU82" s="4442">
        <v>0</v>
      </c>
      <c r="AV82" s="4443">
        <v>0</v>
      </c>
      <c r="AW82" s="4441">
        <v>0</v>
      </c>
      <c r="AX82" s="4442">
        <v>0</v>
      </c>
      <c r="AY82" s="4443">
        <v>0</v>
      </c>
      <c r="AZ82" s="4441">
        <v>0</v>
      </c>
      <c r="BA82" s="4442">
        <v>0</v>
      </c>
      <c r="BB82" s="4443">
        <v>0</v>
      </c>
      <c r="BC82" s="4441">
        <v>0</v>
      </c>
      <c r="BD82" s="4442">
        <v>0</v>
      </c>
      <c r="BE82" s="4365">
        <f t="shared" si="22"/>
        <v>0</v>
      </c>
      <c r="BF82" s="4330">
        <f t="shared" si="18"/>
        <v>0</v>
      </c>
      <c r="BG82" s="4330">
        <f t="shared" si="19"/>
        <v>0</v>
      </c>
      <c r="BH82" s="4330">
        <f t="shared" si="20"/>
        <v>0</v>
      </c>
      <c r="BI82" s="4330">
        <f t="shared" si="21"/>
        <v>0</v>
      </c>
    </row>
    <row r="83" spans="1:61">
      <c r="A83" s="243"/>
      <c r="B83" s="4512"/>
      <c r="C83" s="4367" t="s">
        <v>4926</v>
      </c>
      <c r="D83" s="4351"/>
      <c r="E83" s="4351"/>
      <c r="F83" s="4352"/>
      <c r="G83" s="4353"/>
      <c r="H83" s="4353"/>
      <c r="I83" s="4353"/>
      <c r="J83" s="4353"/>
      <c r="K83" s="4353"/>
      <c r="L83" s="4353"/>
      <c r="M83" s="4353"/>
      <c r="N83" s="4353"/>
      <c r="O83" s="4353"/>
      <c r="P83" s="4353"/>
      <c r="Q83" s="4516"/>
      <c r="R83" s="4368">
        <v>0</v>
      </c>
      <c r="S83" s="4352"/>
      <c r="T83" s="4353"/>
      <c r="U83" s="4353"/>
      <c r="V83" s="4353"/>
      <c r="W83" s="4353"/>
      <c r="X83" s="4353"/>
      <c r="Y83" s="4353"/>
      <c r="Z83" s="4353"/>
      <c r="AA83" s="4353"/>
      <c r="AB83" s="4353"/>
      <c r="AC83" s="4353"/>
      <c r="AD83" s="4516"/>
      <c r="AE83" s="4351">
        <v>0</v>
      </c>
      <c r="AF83" s="4440"/>
      <c r="AG83" s="4441"/>
      <c r="AH83" s="4442"/>
      <c r="AI83" s="4443"/>
      <c r="AJ83" s="4441"/>
      <c r="AK83" s="4442"/>
      <c r="AL83" s="4443"/>
      <c r="AM83" s="4441"/>
      <c r="AN83" s="4442"/>
      <c r="AO83" s="4443"/>
      <c r="AP83" s="4441"/>
      <c r="AQ83" s="4514"/>
      <c r="AR83" s="4499">
        <v>0</v>
      </c>
      <c r="AS83" s="4440"/>
      <c r="AT83" s="4441"/>
      <c r="AU83" s="4442"/>
      <c r="AV83" s="4443">
        <v>0</v>
      </c>
      <c r="AW83" s="4441">
        <v>0</v>
      </c>
      <c r="AX83" s="4442"/>
      <c r="AY83" s="4443">
        <v>0</v>
      </c>
      <c r="AZ83" s="4441">
        <v>0</v>
      </c>
      <c r="BA83" s="4442">
        <v>0</v>
      </c>
      <c r="BB83" s="4443"/>
      <c r="BC83" s="4514"/>
      <c r="BD83" s="4442"/>
      <c r="BE83" s="4365">
        <f t="shared" si="22"/>
        <v>0</v>
      </c>
      <c r="BF83" s="4330">
        <f t="shared" si="18"/>
        <v>0</v>
      </c>
      <c r="BG83" s="4330">
        <f t="shared" si="19"/>
        <v>0</v>
      </c>
      <c r="BH83" s="4330">
        <f t="shared" si="20"/>
        <v>0</v>
      </c>
      <c r="BI83" s="4330">
        <f t="shared" si="21"/>
        <v>0</v>
      </c>
    </row>
    <row r="84" spans="1:61">
      <c r="A84" s="243"/>
      <c r="B84" s="4512"/>
      <c r="C84" s="4367" t="s">
        <v>4927</v>
      </c>
      <c r="D84" s="4351"/>
      <c r="E84" s="4351"/>
      <c r="F84" s="4352"/>
      <c r="G84" s="4353"/>
      <c r="H84" s="4353"/>
      <c r="I84" s="4353"/>
      <c r="J84" s="4353"/>
      <c r="K84" s="4353"/>
      <c r="L84" s="4353"/>
      <c r="M84" s="4353"/>
      <c r="N84" s="4353"/>
      <c r="O84" s="4353"/>
      <c r="P84" s="4353"/>
      <c r="Q84" s="4516"/>
      <c r="R84" s="4368"/>
      <c r="S84" s="4352"/>
      <c r="T84" s="4353"/>
      <c r="U84" s="4353"/>
      <c r="V84" s="4353"/>
      <c r="W84" s="4353"/>
      <c r="X84" s="4353"/>
      <c r="Y84" s="4353"/>
      <c r="Z84" s="4353"/>
      <c r="AA84" s="4353"/>
      <c r="AB84" s="4353"/>
      <c r="AC84" s="4353"/>
      <c r="AD84" s="4516">
        <v>150000000</v>
      </c>
      <c r="AE84" s="4351">
        <v>150000000</v>
      </c>
      <c r="AF84" s="4440"/>
      <c r="AG84" s="4441"/>
      <c r="AH84" s="4442"/>
      <c r="AI84" s="4443"/>
      <c r="AJ84" s="4441"/>
      <c r="AK84" s="4442"/>
      <c r="AL84" s="4443"/>
      <c r="AM84" s="4441"/>
      <c r="AN84" s="4442"/>
      <c r="AO84" s="4443"/>
      <c r="AP84" s="4441"/>
      <c r="AQ84" s="4514"/>
      <c r="AR84" s="4499">
        <v>0</v>
      </c>
      <c r="AS84" s="4440"/>
      <c r="AT84" s="4441"/>
      <c r="AU84" s="4442"/>
      <c r="AV84" s="4443"/>
      <c r="AW84" s="4441"/>
      <c r="AX84" s="4442"/>
      <c r="AY84" s="4443"/>
      <c r="AZ84" s="4441"/>
      <c r="BA84" s="4442"/>
      <c r="BB84" s="4443"/>
      <c r="BC84" s="4441"/>
      <c r="BD84" s="4442"/>
      <c r="BE84" s="4365">
        <f t="shared" si="22"/>
        <v>0</v>
      </c>
      <c r="BF84" s="4330">
        <f t="shared" si="18"/>
        <v>0</v>
      </c>
      <c r="BG84" s="4330">
        <f t="shared" si="19"/>
        <v>0</v>
      </c>
      <c r="BH84" s="4330">
        <f t="shared" si="20"/>
        <v>0</v>
      </c>
      <c r="BI84" s="4330">
        <f t="shared" si="21"/>
        <v>0</v>
      </c>
    </row>
    <row r="85" spans="1:61">
      <c r="A85" s="243"/>
      <c r="B85" s="4512"/>
      <c r="C85" s="4367" t="s">
        <v>4928</v>
      </c>
      <c r="D85" s="4351"/>
      <c r="E85" s="4351"/>
      <c r="F85" s="4352"/>
      <c r="G85" s="4353"/>
      <c r="H85" s="4353"/>
      <c r="I85" s="4353"/>
      <c r="J85" s="4353"/>
      <c r="K85" s="4353"/>
      <c r="L85" s="4353"/>
      <c r="M85" s="4353"/>
      <c r="N85" s="4353"/>
      <c r="O85" s="4353"/>
      <c r="P85" s="4353"/>
      <c r="Q85" s="4516"/>
      <c r="R85" s="4368">
        <v>0</v>
      </c>
      <c r="S85" s="4352"/>
      <c r="T85" s="4353"/>
      <c r="U85" s="4353"/>
      <c r="V85" s="4353"/>
      <c r="W85" s="4353"/>
      <c r="X85" s="4353"/>
      <c r="Y85" s="4353"/>
      <c r="Z85" s="4353"/>
      <c r="AA85" s="4353"/>
      <c r="AB85" s="4353"/>
      <c r="AC85" s="4353"/>
      <c r="AD85" s="4516"/>
      <c r="AE85" s="4351">
        <v>0</v>
      </c>
      <c r="AF85" s="4440"/>
      <c r="AG85" s="4441"/>
      <c r="AH85" s="4442"/>
      <c r="AI85" s="4443"/>
      <c r="AJ85" s="4441"/>
      <c r="AK85" s="4442"/>
      <c r="AL85" s="4443"/>
      <c r="AM85" s="4441"/>
      <c r="AN85" s="4442"/>
      <c r="AO85" s="4443"/>
      <c r="AP85" s="4441"/>
      <c r="AQ85" s="4514"/>
      <c r="AR85" s="4499">
        <v>0</v>
      </c>
      <c r="AS85" s="4440"/>
      <c r="AT85" s="4441"/>
      <c r="AU85" s="4442"/>
      <c r="AV85" s="4443"/>
      <c r="AW85" s="4441"/>
      <c r="AX85" s="4442"/>
      <c r="AY85" s="4443"/>
      <c r="AZ85" s="4441"/>
      <c r="BA85" s="4442"/>
      <c r="BB85" s="4443"/>
      <c r="BC85" s="4441"/>
      <c r="BD85" s="4442"/>
      <c r="BE85" s="4365">
        <f t="shared" si="22"/>
        <v>0</v>
      </c>
      <c r="BF85" s="4330">
        <f t="shared" si="18"/>
        <v>0</v>
      </c>
      <c r="BG85" s="4330">
        <f t="shared" si="19"/>
        <v>0</v>
      </c>
      <c r="BH85" s="4330">
        <f t="shared" si="20"/>
        <v>0</v>
      </c>
      <c r="BI85" s="4330">
        <f t="shared" si="21"/>
        <v>0</v>
      </c>
    </row>
    <row r="86" spans="1:61">
      <c r="A86" s="243"/>
      <c r="B86" s="4512"/>
      <c r="C86" s="4367" t="s">
        <v>4929</v>
      </c>
      <c r="D86" s="4351"/>
      <c r="E86" s="4351"/>
      <c r="F86" s="4352"/>
      <c r="G86" s="4353"/>
      <c r="H86" s="4353"/>
      <c r="I86" s="4353"/>
      <c r="J86" s="4353"/>
      <c r="K86" s="4353"/>
      <c r="L86" s="4353"/>
      <c r="M86" s="4353"/>
      <c r="N86" s="4353"/>
      <c r="O86" s="4353"/>
      <c r="P86" s="4353"/>
      <c r="Q86" s="4516"/>
      <c r="R86" s="4368">
        <v>0</v>
      </c>
      <c r="S86" s="4352"/>
      <c r="T86" s="4353"/>
      <c r="U86" s="4353"/>
      <c r="V86" s="4353"/>
      <c r="W86" s="4353">
        <v>102480000</v>
      </c>
      <c r="X86" s="4353">
        <v>224120000</v>
      </c>
      <c r="Y86" s="4353">
        <v>15000000</v>
      </c>
      <c r="Z86" s="4353">
        <v>40000000</v>
      </c>
      <c r="AA86" s="4353"/>
      <c r="AB86" s="4353"/>
      <c r="AC86" s="4353"/>
      <c r="AD86" s="4516"/>
      <c r="AE86" s="4351">
        <v>381600000</v>
      </c>
      <c r="AF86" s="4440"/>
      <c r="AG86" s="4441"/>
      <c r="AH86" s="4442"/>
      <c r="AI86" s="4443"/>
      <c r="AJ86" s="4441"/>
      <c r="AK86" s="4442"/>
      <c r="AL86" s="4443"/>
      <c r="AM86" s="4441"/>
      <c r="AN86" s="4442"/>
      <c r="AO86" s="4443"/>
      <c r="AP86" s="4441"/>
      <c r="AQ86" s="4514"/>
      <c r="AR86" s="4499">
        <v>0</v>
      </c>
      <c r="AS86" s="4440"/>
      <c r="AT86" s="4441"/>
      <c r="AU86" s="4442"/>
      <c r="AV86" s="4443"/>
      <c r="AW86" s="4441"/>
      <c r="AX86" s="4442"/>
      <c r="AY86" s="4443"/>
      <c r="AZ86" s="4441"/>
      <c r="BA86" s="4442"/>
      <c r="BB86" s="4443"/>
      <c r="BC86" s="4441"/>
      <c r="BD86" s="4442"/>
      <c r="BE86" s="4365">
        <f t="shared" si="22"/>
        <v>0</v>
      </c>
      <c r="BF86" s="4330">
        <f t="shared" si="18"/>
        <v>0</v>
      </c>
      <c r="BG86" s="4330">
        <f t="shared" si="19"/>
        <v>0</v>
      </c>
      <c r="BH86" s="4330">
        <f t="shared" si="20"/>
        <v>0</v>
      </c>
      <c r="BI86" s="4330">
        <f t="shared" si="21"/>
        <v>0</v>
      </c>
    </row>
    <row r="87" spans="1:61">
      <c r="A87" s="243"/>
      <c r="B87" s="4512"/>
      <c r="C87" s="4350" t="s">
        <v>4930</v>
      </c>
      <c r="D87" s="4351"/>
      <c r="E87" s="4351"/>
      <c r="F87" s="4352"/>
      <c r="G87" s="4353"/>
      <c r="H87" s="4353"/>
      <c r="I87" s="4353"/>
      <c r="J87" s="4353"/>
      <c r="K87" s="4353"/>
      <c r="L87" s="4353"/>
      <c r="M87" s="4353"/>
      <c r="N87" s="4353"/>
      <c r="O87" s="4353"/>
      <c r="P87" s="4353"/>
      <c r="Q87" s="4516"/>
      <c r="R87" s="4368">
        <v>0</v>
      </c>
      <c r="S87" s="4352"/>
      <c r="T87" s="4353"/>
      <c r="U87" s="4353"/>
      <c r="V87" s="4353">
        <v>104000000</v>
      </c>
      <c r="W87" s="4517"/>
      <c r="X87" s="4353"/>
      <c r="Y87" s="4353">
        <v>156000000</v>
      </c>
      <c r="Z87" s="4353"/>
      <c r="AA87" s="4353"/>
      <c r="AB87" s="4353"/>
      <c r="AC87" s="4353"/>
      <c r="AD87" s="4516"/>
      <c r="AE87" s="4351">
        <v>260000000</v>
      </c>
      <c r="AF87" s="4440"/>
      <c r="AG87" s="4441"/>
      <c r="AH87" s="4442"/>
      <c r="AI87" s="4443"/>
      <c r="AJ87" s="4441"/>
      <c r="AK87" s="4442"/>
      <c r="AL87" s="4443"/>
      <c r="AM87" s="4441"/>
      <c r="AN87" s="4442"/>
      <c r="AO87" s="4443"/>
      <c r="AP87" s="4441"/>
      <c r="AQ87" s="4514"/>
      <c r="AR87" s="4499">
        <v>0</v>
      </c>
      <c r="AS87" s="4440"/>
      <c r="AT87" s="4441"/>
      <c r="AU87" s="4442"/>
      <c r="AV87" s="4443"/>
      <c r="AW87" s="4441"/>
      <c r="AX87" s="4442"/>
      <c r="AY87" s="4443"/>
      <c r="AZ87" s="4441" t="s">
        <v>4931</v>
      </c>
      <c r="BA87" s="4442"/>
      <c r="BB87" s="4443"/>
      <c r="BC87" s="4441"/>
      <c r="BD87" s="4442"/>
      <c r="BE87" s="4365">
        <f t="shared" si="22"/>
        <v>0</v>
      </c>
      <c r="BF87" s="4330">
        <f t="shared" si="18"/>
        <v>0</v>
      </c>
      <c r="BG87" s="4330">
        <f t="shared" si="19"/>
        <v>0</v>
      </c>
      <c r="BH87" s="4330">
        <f t="shared" si="20"/>
        <v>0</v>
      </c>
      <c r="BI87" s="4330">
        <f t="shared" si="21"/>
        <v>0</v>
      </c>
    </row>
    <row r="88" spans="1:61">
      <c r="A88" s="243"/>
      <c r="B88" s="4512"/>
      <c r="C88" s="4350" t="s">
        <v>4932</v>
      </c>
      <c r="D88" s="4351"/>
      <c r="E88" s="4351"/>
      <c r="F88" s="4352"/>
      <c r="G88" s="4353"/>
      <c r="H88" s="4353"/>
      <c r="I88" s="4353"/>
      <c r="J88" s="4353"/>
      <c r="K88" s="4353"/>
      <c r="L88" s="4353"/>
      <c r="M88" s="4353"/>
      <c r="N88" s="4353"/>
      <c r="O88" s="4353"/>
      <c r="P88" s="4353"/>
      <c r="Q88" s="4516"/>
      <c r="R88" s="4368"/>
      <c r="S88" s="4352"/>
      <c r="T88" s="4353"/>
      <c r="U88" s="4353"/>
      <c r="V88" s="4353"/>
      <c r="W88" s="4517"/>
      <c r="X88" s="4353"/>
      <c r="Y88" s="4353"/>
      <c r="Z88" s="4353"/>
      <c r="AA88" s="4353"/>
      <c r="AB88" s="4353"/>
      <c r="AC88" s="4353"/>
      <c r="AD88" s="4516">
        <v>323600000</v>
      </c>
      <c r="AE88" s="4351">
        <v>323600000</v>
      </c>
      <c r="AF88" s="4440">
        <v>0</v>
      </c>
      <c r="AG88" s="4441">
        <v>323600000</v>
      </c>
      <c r="AH88" s="4442"/>
      <c r="AI88" s="4443">
        <v>323600000</v>
      </c>
      <c r="AJ88" s="4441"/>
      <c r="AK88" s="4442">
        <v>161800000</v>
      </c>
      <c r="AL88" s="4443"/>
      <c r="AM88" s="4441">
        <v>0</v>
      </c>
      <c r="AN88" s="4442">
        <v>0</v>
      </c>
      <c r="AO88" s="4443"/>
      <c r="AP88" s="4441"/>
      <c r="AQ88" s="4514">
        <v>323600000</v>
      </c>
      <c r="AR88" s="4499">
        <v>1132600000</v>
      </c>
      <c r="AS88" s="4440"/>
      <c r="AT88" s="4441"/>
      <c r="AU88" s="4441"/>
      <c r="AV88" s="4443"/>
      <c r="AW88" s="4441">
        <v>161800000</v>
      </c>
      <c r="AX88" s="4442"/>
      <c r="AY88" s="4443"/>
      <c r="AZ88" s="4441"/>
      <c r="BA88" s="4442"/>
      <c r="BB88" s="4443"/>
      <c r="BC88" s="4441"/>
      <c r="BD88" s="4442"/>
      <c r="BE88" s="4365">
        <f t="shared" si="22"/>
        <v>161800000</v>
      </c>
      <c r="BF88" s="4330">
        <f t="shared" si="18"/>
        <v>0</v>
      </c>
      <c r="BG88" s="4330">
        <f t="shared" si="19"/>
        <v>1.6180000000000001</v>
      </c>
      <c r="BH88" s="4330">
        <f t="shared" si="20"/>
        <v>0</v>
      </c>
      <c r="BI88" s="4330">
        <f t="shared" si="21"/>
        <v>0</v>
      </c>
    </row>
    <row r="89" spans="1:61">
      <c r="A89" s="243"/>
      <c r="B89" s="4512"/>
      <c r="C89" s="4350" t="s">
        <v>4933</v>
      </c>
      <c r="D89" s="4351"/>
      <c r="E89" s="4351"/>
      <c r="F89" s="4352"/>
      <c r="G89" s="4353"/>
      <c r="H89" s="4353"/>
      <c r="I89" s="4353"/>
      <c r="J89" s="4353"/>
      <c r="K89" s="4353"/>
      <c r="L89" s="4353"/>
      <c r="M89" s="4353"/>
      <c r="N89" s="4353"/>
      <c r="O89" s="4353"/>
      <c r="P89" s="4353"/>
      <c r="Q89" s="4516"/>
      <c r="R89" s="4368"/>
      <c r="S89" s="4352"/>
      <c r="T89" s="4353"/>
      <c r="U89" s="4353"/>
      <c r="V89" s="4353"/>
      <c r="W89" s="4517"/>
      <c r="X89" s="4353"/>
      <c r="Y89" s="4353"/>
      <c r="Z89" s="4353"/>
      <c r="AA89" s="4353"/>
      <c r="AB89" s="4353"/>
      <c r="AC89" s="4353"/>
      <c r="AD89" s="4516"/>
      <c r="AE89" s="4351"/>
      <c r="AF89" s="4440"/>
      <c r="AG89" s="4441"/>
      <c r="AH89" s="4442"/>
      <c r="AI89" s="4443"/>
      <c r="AJ89" s="4441"/>
      <c r="AK89" s="4442"/>
      <c r="AL89" s="4443"/>
      <c r="AM89" s="4441"/>
      <c r="AN89" s="4442"/>
      <c r="AO89" s="4443"/>
      <c r="AP89" s="4441"/>
      <c r="AQ89" s="4514"/>
      <c r="AR89" s="4499">
        <v>0</v>
      </c>
      <c r="AS89" s="4440"/>
      <c r="AT89" s="4441"/>
      <c r="AU89" s="4442"/>
      <c r="AV89" s="4443"/>
      <c r="AW89" s="4441"/>
      <c r="AX89" s="4442"/>
      <c r="AY89" s="4443">
        <v>60000000</v>
      </c>
      <c r="AZ89" s="4441"/>
      <c r="BA89" s="4442"/>
      <c r="BB89" s="4443">
        <v>41200000</v>
      </c>
      <c r="BC89" s="4441"/>
      <c r="BD89" s="4442"/>
      <c r="BE89" s="4365">
        <f t="shared" si="22"/>
        <v>101200000</v>
      </c>
      <c r="BF89" s="4330">
        <f t="shared" si="18"/>
        <v>0</v>
      </c>
      <c r="BG89" s="4330">
        <f t="shared" si="19"/>
        <v>0</v>
      </c>
      <c r="BH89" s="4330">
        <f t="shared" si="20"/>
        <v>0.6</v>
      </c>
      <c r="BI89" s="4330">
        <f t="shared" si="21"/>
        <v>0.41199999999999998</v>
      </c>
    </row>
    <row r="90" spans="1:61">
      <c r="A90" s="243"/>
      <c r="B90" s="4512"/>
      <c r="C90" s="4350" t="s">
        <v>4934</v>
      </c>
      <c r="D90" s="4351"/>
      <c r="E90" s="4351"/>
      <c r="F90" s="4352"/>
      <c r="G90" s="4353"/>
      <c r="H90" s="4353"/>
      <c r="I90" s="4353"/>
      <c r="J90" s="4353"/>
      <c r="K90" s="4353"/>
      <c r="L90" s="4353"/>
      <c r="M90" s="4353"/>
      <c r="N90" s="4353"/>
      <c r="O90" s="4353"/>
      <c r="P90" s="4353"/>
      <c r="Q90" s="4516"/>
      <c r="R90" s="4368"/>
      <c r="S90" s="4352"/>
      <c r="T90" s="4353"/>
      <c r="U90" s="4353"/>
      <c r="V90" s="4353"/>
      <c r="W90" s="4517"/>
      <c r="X90" s="4353"/>
      <c r="Y90" s="4353"/>
      <c r="Z90" s="4353"/>
      <c r="AA90" s="4353"/>
      <c r="AB90" s="4353"/>
      <c r="AC90" s="4353"/>
      <c r="AD90" s="4516"/>
      <c r="AE90" s="4351"/>
      <c r="AF90" s="4440"/>
      <c r="AG90" s="4441"/>
      <c r="AH90" s="4442"/>
      <c r="AI90" s="4443"/>
      <c r="AJ90" s="4441"/>
      <c r="AK90" s="4442"/>
      <c r="AL90" s="4443"/>
      <c r="AM90" s="4441"/>
      <c r="AN90" s="4442"/>
      <c r="AO90" s="4443"/>
      <c r="AP90" s="4441"/>
      <c r="AQ90" s="4514"/>
      <c r="AR90" s="4499">
        <v>0</v>
      </c>
      <c r="AS90" s="4440"/>
      <c r="AT90" s="4441"/>
      <c r="AU90" s="4442"/>
      <c r="AV90" s="4443"/>
      <c r="AW90" s="4441"/>
      <c r="AX90" s="4442"/>
      <c r="AY90" s="4443"/>
      <c r="AZ90" s="4441"/>
      <c r="BA90" s="4442"/>
      <c r="BB90" s="4443"/>
      <c r="BC90" s="4441"/>
      <c r="BD90" s="4442"/>
      <c r="BE90" s="4365">
        <f t="shared" si="22"/>
        <v>0</v>
      </c>
      <c r="BF90" s="4330">
        <f t="shared" si="18"/>
        <v>0</v>
      </c>
      <c r="BG90" s="4330">
        <f t="shared" si="19"/>
        <v>0</v>
      </c>
      <c r="BH90" s="4330">
        <f t="shared" si="20"/>
        <v>0</v>
      </c>
      <c r="BI90" s="4330">
        <f t="shared" si="21"/>
        <v>0</v>
      </c>
    </row>
    <row r="91" spans="1:61">
      <c r="A91" s="243"/>
      <c r="B91" s="4512"/>
      <c r="C91" s="4350" t="s">
        <v>4935</v>
      </c>
      <c r="D91" s="4351"/>
      <c r="E91" s="4351"/>
      <c r="F91" s="4352"/>
      <c r="G91" s="4353"/>
      <c r="H91" s="4353"/>
      <c r="I91" s="4353"/>
      <c r="J91" s="4353"/>
      <c r="K91" s="4353"/>
      <c r="L91" s="4353"/>
      <c r="M91" s="4353"/>
      <c r="N91" s="4353"/>
      <c r="O91" s="4353"/>
      <c r="P91" s="4353"/>
      <c r="Q91" s="4516"/>
      <c r="R91" s="4368"/>
      <c r="S91" s="4352"/>
      <c r="T91" s="4353"/>
      <c r="U91" s="4353"/>
      <c r="V91" s="4353"/>
      <c r="W91" s="4353"/>
      <c r="X91" s="4353"/>
      <c r="Y91" s="4353"/>
      <c r="Z91" s="4353"/>
      <c r="AA91" s="4353"/>
      <c r="AB91" s="4353"/>
      <c r="AC91" s="4353"/>
      <c r="AD91" s="4516"/>
      <c r="AE91" s="4351">
        <v>0</v>
      </c>
      <c r="AF91" s="4440"/>
      <c r="AG91" s="4441"/>
      <c r="AH91" s="4442"/>
      <c r="AI91" s="4443"/>
      <c r="AJ91" s="4441"/>
      <c r="AK91" s="4442"/>
      <c r="AL91" s="4443"/>
      <c r="AM91" s="4441"/>
      <c r="AN91" s="4442"/>
      <c r="AO91" s="4443">
        <v>0</v>
      </c>
      <c r="AP91" s="4441"/>
      <c r="AQ91" s="4514"/>
      <c r="AR91" s="4499">
        <v>0</v>
      </c>
      <c r="AS91" s="4440"/>
      <c r="AT91" s="4441"/>
      <c r="AU91" s="4442"/>
      <c r="AV91" s="4443"/>
      <c r="AW91" s="4441">
        <v>186000000</v>
      </c>
      <c r="AX91" s="4442">
        <v>62000000</v>
      </c>
      <c r="AY91" s="4443"/>
      <c r="AZ91" s="4441"/>
      <c r="BA91" s="4442">
        <v>62000000</v>
      </c>
      <c r="BB91" s="4443"/>
      <c r="BC91" s="4441"/>
      <c r="BD91" s="4442"/>
      <c r="BE91" s="4365">
        <f t="shared" si="22"/>
        <v>310000000</v>
      </c>
      <c r="BF91" s="4330">
        <f t="shared" si="18"/>
        <v>0</v>
      </c>
      <c r="BG91" s="4330">
        <f t="shared" si="19"/>
        <v>2.48</v>
      </c>
      <c r="BH91" s="4330">
        <f t="shared" si="20"/>
        <v>0.62</v>
      </c>
      <c r="BI91" s="4330">
        <f t="shared" si="21"/>
        <v>0</v>
      </c>
    </row>
    <row r="92" spans="1:61">
      <c r="A92" s="4312"/>
      <c r="B92" s="4403"/>
      <c r="C92" s="4370" t="s">
        <v>4936</v>
      </c>
      <c r="D92" s="4371">
        <v>13572000000</v>
      </c>
      <c r="E92" s="4371">
        <v>15138390000</v>
      </c>
      <c r="F92" s="4372">
        <v>0</v>
      </c>
      <c r="G92" s="4373">
        <v>0</v>
      </c>
      <c r="H92" s="4373">
        <v>2906715000</v>
      </c>
      <c r="I92" s="4373">
        <v>0</v>
      </c>
      <c r="J92" s="4373">
        <v>0</v>
      </c>
      <c r="K92" s="4373">
        <v>2906715000</v>
      </c>
      <c r="L92" s="4373">
        <v>0</v>
      </c>
      <c r="M92" s="4373">
        <v>0</v>
      </c>
      <c r="N92" s="4373">
        <v>2989764000</v>
      </c>
      <c r="O92" s="4373">
        <v>0</v>
      </c>
      <c r="P92" s="4373">
        <v>0</v>
      </c>
      <c r="Q92" s="4404">
        <v>5813430000</v>
      </c>
      <c r="R92" s="4374">
        <v>14616624000</v>
      </c>
      <c r="S92" s="4372">
        <v>0</v>
      </c>
      <c r="T92" s="4373">
        <v>0</v>
      </c>
      <c r="U92" s="4373">
        <v>3321960000</v>
      </c>
      <c r="V92" s="4373">
        <v>0</v>
      </c>
      <c r="W92" s="4373">
        <v>0</v>
      </c>
      <c r="X92" s="4373">
        <v>3321960000</v>
      </c>
      <c r="Y92" s="4373">
        <v>0</v>
      </c>
      <c r="Z92" s="4373">
        <v>0</v>
      </c>
      <c r="AA92" s="4373">
        <v>3321960000</v>
      </c>
      <c r="AB92" s="4373">
        <v>0</v>
      </c>
      <c r="AC92" s="4373">
        <v>0</v>
      </c>
      <c r="AD92" s="4404">
        <v>3488058000</v>
      </c>
      <c r="AE92" s="4371">
        <v>13453938000</v>
      </c>
      <c r="AF92" s="4393">
        <v>0</v>
      </c>
      <c r="AG92" s="4382">
        <v>0</v>
      </c>
      <c r="AH92" s="4383">
        <v>3903303000</v>
      </c>
      <c r="AI92" s="4381">
        <v>0</v>
      </c>
      <c r="AJ92" s="4382">
        <v>0</v>
      </c>
      <c r="AK92" s="4383">
        <v>3986352000</v>
      </c>
      <c r="AL92" s="4381">
        <v>0</v>
      </c>
      <c r="AM92" s="4382">
        <v>0</v>
      </c>
      <c r="AN92" s="4383">
        <v>4069401000</v>
      </c>
      <c r="AO92" s="4381">
        <v>0</v>
      </c>
      <c r="AP92" s="4382">
        <v>0</v>
      </c>
      <c r="AQ92" s="4394">
        <v>4152450000</v>
      </c>
      <c r="AR92" s="4395">
        <v>16111506000</v>
      </c>
      <c r="AS92" s="4393"/>
      <c r="AT92" s="4382"/>
      <c r="AU92" s="4383">
        <v>4235499000</v>
      </c>
      <c r="AV92" s="4381"/>
      <c r="AW92" s="4382"/>
      <c r="AX92" s="4383">
        <v>4318548000</v>
      </c>
      <c r="AY92" s="4381"/>
      <c r="AZ92" s="4382"/>
      <c r="BA92" s="4383">
        <v>4318548000</v>
      </c>
      <c r="BB92" s="4381"/>
      <c r="BC92" s="4382"/>
      <c r="BD92" s="4383">
        <v>4401597000</v>
      </c>
      <c r="BE92" s="4384">
        <f t="shared" si="22"/>
        <v>17274192000</v>
      </c>
      <c r="BF92" s="4330">
        <f t="shared" si="18"/>
        <v>42.354990000000001</v>
      </c>
      <c r="BG92" s="4330">
        <f t="shared" si="19"/>
        <v>43.185479999999998</v>
      </c>
      <c r="BH92" s="4330">
        <f t="shared" si="20"/>
        <v>43.185479999999998</v>
      </c>
      <c r="BI92" s="4330">
        <f t="shared" si="21"/>
        <v>44.015970000000003</v>
      </c>
    </row>
    <row r="93" spans="1:61">
      <c r="A93" s="4312"/>
      <c r="B93" s="4403"/>
      <c r="C93" s="4374" t="s">
        <v>4937</v>
      </c>
      <c r="D93" s="4371">
        <v>667608200</v>
      </c>
      <c r="E93" s="4371">
        <v>38292591</v>
      </c>
      <c r="F93" s="4372"/>
      <c r="G93" s="4373"/>
      <c r="H93" s="4480">
        <v>123984110</v>
      </c>
      <c r="I93" s="4373">
        <v>34457440</v>
      </c>
      <c r="J93" s="4373"/>
      <c r="K93" s="4373"/>
      <c r="L93" s="4373"/>
      <c r="M93" s="4373">
        <v>172286850</v>
      </c>
      <c r="N93" s="4373"/>
      <c r="O93" s="4373"/>
      <c r="P93" s="4373"/>
      <c r="Q93" s="4404"/>
      <c r="R93" s="4374">
        <v>330728400</v>
      </c>
      <c r="S93" s="4372"/>
      <c r="T93" s="4373"/>
      <c r="U93" s="4480">
        <v>466169380</v>
      </c>
      <c r="V93" s="4518"/>
      <c r="W93" s="4373"/>
      <c r="X93" s="4373"/>
      <c r="Y93" s="4373"/>
      <c r="Z93" s="4373">
        <v>290207350</v>
      </c>
      <c r="AA93" s="4373"/>
      <c r="AB93" s="4373"/>
      <c r="AC93" s="4373"/>
      <c r="AD93" s="4404"/>
      <c r="AE93" s="4371">
        <v>756376730</v>
      </c>
      <c r="AF93" s="4375"/>
      <c r="AG93" s="4376"/>
      <c r="AH93" s="4377">
        <v>89761690</v>
      </c>
      <c r="AI93" s="4378">
        <v>37996980</v>
      </c>
      <c r="AJ93" s="4376"/>
      <c r="AK93" s="4377"/>
      <c r="AL93" s="4378"/>
      <c r="AM93" s="4376">
        <v>189984520</v>
      </c>
      <c r="AN93" s="4377"/>
      <c r="AO93" s="4378"/>
      <c r="AP93" s="4376"/>
      <c r="AQ93" s="4379"/>
      <c r="AR93" s="4395">
        <v>317743190</v>
      </c>
      <c r="AS93" s="4375"/>
      <c r="AT93" s="4376"/>
      <c r="AU93" s="4377">
        <v>242793430</v>
      </c>
      <c r="AV93" s="4378">
        <v>310350650</v>
      </c>
      <c r="AW93" s="4376"/>
      <c r="AX93" s="4377"/>
      <c r="AY93" s="4381"/>
      <c r="AZ93" s="4382">
        <v>337785690</v>
      </c>
      <c r="BA93" s="4383"/>
      <c r="BB93" s="4378"/>
      <c r="BC93" s="4376"/>
      <c r="BD93" s="4383"/>
      <c r="BE93" s="4384">
        <f t="shared" si="22"/>
        <v>890929770</v>
      </c>
      <c r="BF93" s="4330">
        <f t="shared" si="18"/>
        <v>2.4279343</v>
      </c>
      <c r="BG93" s="4330">
        <f t="shared" si="19"/>
        <v>3.1035064999999999</v>
      </c>
      <c r="BH93" s="4330">
        <f t="shared" si="20"/>
        <v>3.3778568999999998</v>
      </c>
      <c r="BI93" s="4330">
        <f t="shared" si="21"/>
        <v>0</v>
      </c>
    </row>
    <row r="94" spans="1:61">
      <c r="A94" s="4312"/>
      <c r="B94" s="4403"/>
      <c r="C94" s="4374" t="s">
        <v>4938</v>
      </c>
      <c r="D94" s="4371">
        <v>43604490</v>
      </c>
      <c r="E94" s="4371">
        <v>43485360</v>
      </c>
      <c r="F94" s="4372"/>
      <c r="G94" s="4373"/>
      <c r="H94" s="4480">
        <v>41093660</v>
      </c>
      <c r="I94" s="4373"/>
      <c r="J94" s="4373"/>
      <c r="K94" s="4373"/>
      <c r="L94" s="4373"/>
      <c r="M94" s="4373"/>
      <c r="N94" s="4373"/>
      <c r="O94" s="4373"/>
      <c r="P94" s="4373"/>
      <c r="Q94" s="4404"/>
      <c r="R94" s="4374">
        <v>41093660</v>
      </c>
      <c r="S94" s="4372">
        <v>-2666260</v>
      </c>
      <c r="T94" s="4373"/>
      <c r="U94" s="4480">
        <v>37369050</v>
      </c>
      <c r="V94" s="4373"/>
      <c r="W94" s="4373"/>
      <c r="X94" s="4373">
        <v>-869700</v>
      </c>
      <c r="Y94" s="4373"/>
      <c r="Z94" s="4373"/>
      <c r="AA94" s="4373"/>
      <c r="AB94" s="4373"/>
      <c r="AC94" s="4373"/>
      <c r="AD94" s="4404">
        <v>-1077000</v>
      </c>
      <c r="AE94" s="4371">
        <v>32756090</v>
      </c>
      <c r="AF94" s="4375"/>
      <c r="AG94" s="4376"/>
      <c r="AH94" s="4377">
        <v>33709380</v>
      </c>
      <c r="AI94" s="4378"/>
      <c r="AJ94" s="4376"/>
      <c r="AK94" s="4377"/>
      <c r="AL94" s="4378"/>
      <c r="AM94" s="4376"/>
      <c r="AN94" s="4377"/>
      <c r="AO94" s="4378"/>
      <c r="AP94" s="4376"/>
      <c r="AQ94" s="4379"/>
      <c r="AR94" s="4395">
        <v>33709380</v>
      </c>
      <c r="AS94" s="4375"/>
      <c r="AT94" s="4376"/>
      <c r="AU94" s="4377">
        <v>26409590</v>
      </c>
      <c r="AV94" s="4378"/>
      <c r="AW94" s="4376"/>
      <c r="AX94" s="4377">
        <v>-1001990</v>
      </c>
      <c r="AY94" s="4381"/>
      <c r="AZ94" s="4382"/>
      <c r="BA94" s="4383"/>
      <c r="BB94" s="4378"/>
      <c r="BC94" s="4376"/>
      <c r="BD94" s="4383">
        <v>-1276350</v>
      </c>
      <c r="BE94" s="4384">
        <f t="shared" si="22"/>
        <v>24131250</v>
      </c>
      <c r="BF94" s="4385">
        <f t="shared" si="18"/>
        <v>0.26409589999999999</v>
      </c>
      <c r="BG94" s="4385">
        <f t="shared" si="19"/>
        <v>-1.00199E-2</v>
      </c>
      <c r="BH94" s="4385">
        <f t="shared" si="20"/>
        <v>0</v>
      </c>
      <c r="BI94" s="4385">
        <f t="shared" si="21"/>
        <v>-1.2763500000000001E-2</v>
      </c>
    </row>
    <row r="95" spans="1:61">
      <c r="A95" s="4312"/>
      <c r="B95" s="4403"/>
      <c r="C95" s="4511" t="s">
        <v>4939</v>
      </c>
      <c r="D95" s="4508">
        <v>2319103027</v>
      </c>
      <c r="E95" s="4508">
        <v>300000000</v>
      </c>
      <c r="F95" s="4509">
        <v>300000000</v>
      </c>
      <c r="G95" s="4337"/>
      <c r="H95" s="4337"/>
      <c r="I95" s="4337"/>
      <c r="J95" s="4337"/>
      <c r="K95" s="4337"/>
      <c r="L95" s="4337"/>
      <c r="M95" s="4337"/>
      <c r="N95" s="4337"/>
      <c r="O95" s="4337"/>
      <c r="P95" s="4337"/>
      <c r="Q95" s="4510"/>
      <c r="R95" s="4511">
        <v>300000000</v>
      </c>
      <c r="S95" s="4509"/>
      <c r="T95" s="4337"/>
      <c r="U95" s="4337"/>
      <c r="V95" s="4337"/>
      <c r="W95" s="4337"/>
      <c r="X95" s="4337"/>
      <c r="Y95" s="4337"/>
      <c r="Z95" s="4337"/>
      <c r="AA95" s="4337"/>
      <c r="AB95" s="4337"/>
      <c r="AC95" s="4337"/>
      <c r="AD95" s="4510"/>
      <c r="AE95" s="4508">
        <v>0</v>
      </c>
      <c r="AF95" s="4375"/>
      <c r="AG95" s="4376"/>
      <c r="AH95" s="4377"/>
      <c r="AI95" s="4378"/>
      <c r="AJ95" s="4376"/>
      <c r="AK95" s="4377"/>
      <c r="AL95" s="4378"/>
      <c r="AM95" s="4376"/>
      <c r="AN95" s="4377"/>
      <c r="AO95" s="4378"/>
      <c r="AP95" s="4376"/>
      <c r="AQ95" s="4379">
        <v>112539080</v>
      </c>
      <c r="AR95" s="4395">
        <v>112539080</v>
      </c>
      <c r="AS95" s="4375">
        <v>95147000</v>
      </c>
      <c r="AT95" s="4376">
        <v>126220000</v>
      </c>
      <c r="AU95" s="4377">
        <v>9400000</v>
      </c>
      <c r="AV95" s="4378"/>
      <c r="AW95" s="4376">
        <v>326129000</v>
      </c>
      <c r="AX95" s="4383"/>
      <c r="AY95" s="4381">
        <v>37600000</v>
      </c>
      <c r="AZ95" s="4382"/>
      <c r="BA95" s="4383">
        <v>-300000000</v>
      </c>
      <c r="BB95" s="4379"/>
      <c r="BC95" s="4376"/>
      <c r="BD95" s="4383"/>
      <c r="BE95" s="4384">
        <f t="shared" si="22"/>
        <v>294496000</v>
      </c>
      <c r="BF95" s="4385">
        <f t="shared" si="18"/>
        <v>2.3076699999999999</v>
      </c>
      <c r="BG95" s="4385">
        <f t="shared" si="19"/>
        <v>3.2612899999999998</v>
      </c>
      <c r="BH95" s="4385">
        <f t="shared" si="20"/>
        <v>-2.6240000000000001</v>
      </c>
      <c r="BI95" s="4385">
        <f t="shared" si="21"/>
        <v>0</v>
      </c>
    </row>
    <row r="96" spans="1:61">
      <c r="A96" s="4312"/>
      <c r="B96" s="4403"/>
      <c r="C96" s="4511" t="s">
        <v>4940</v>
      </c>
      <c r="D96" s="4508"/>
      <c r="E96" s="4508"/>
      <c r="F96" s="4509"/>
      <c r="G96" s="4337"/>
      <c r="H96" s="4337"/>
      <c r="I96" s="4337"/>
      <c r="J96" s="4337"/>
      <c r="K96" s="4337"/>
      <c r="L96" s="4337"/>
      <c r="M96" s="4337"/>
      <c r="N96" s="4337"/>
      <c r="O96" s="4337"/>
      <c r="P96" s="4337"/>
      <c r="Q96" s="4510"/>
      <c r="R96" s="4511"/>
      <c r="S96" s="4509"/>
      <c r="T96" s="4337"/>
      <c r="U96" s="4337"/>
      <c r="V96" s="4337"/>
      <c r="W96" s="4337"/>
      <c r="X96" s="4337"/>
      <c r="Y96" s="4337"/>
      <c r="Z96" s="4337"/>
      <c r="AA96" s="4337"/>
      <c r="AB96" s="4337"/>
      <c r="AC96" s="4337"/>
      <c r="AD96" s="4510"/>
      <c r="AE96" s="4508"/>
      <c r="AF96" s="4519"/>
      <c r="AG96" s="4520"/>
      <c r="AH96" s="4521"/>
      <c r="AI96" s="4522"/>
      <c r="AJ96" s="4520"/>
      <c r="AK96" s="4521"/>
      <c r="AL96" s="4522"/>
      <c r="AM96" s="4520"/>
      <c r="AN96" s="4521"/>
      <c r="AO96" s="4522"/>
      <c r="AP96" s="4520"/>
      <c r="AQ96" s="4523"/>
      <c r="AR96" s="4495"/>
      <c r="AS96" s="4519"/>
      <c r="AT96" s="4520"/>
      <c r="AU96" s="4521"/>
      <c r="AV96" s="4522"/>
      <c r="AW96" s="4520"/>
      <c r="AX96" s="4492"/>
      <c r="AY96" s="4493"/>
      <c r="AZ96" s="4491"/>
      <c r="BA96" s="4492"/>
      <c r="BB96" s="4524"/>
      <c r="BC96" s="4520"/>
      <c r="BD96" s="4492">
        <v>44650</v>
      </c>
      <c r="BE96" s="4384">
        <f t="shared" si="22"/>
        <v>44650</v>
      </c>
      <c r="BF96" s="4385">
        <f t="shared" si="18"/>
        <v>0</v>
      </c>
      <c r="BG96" s="4385">
        <f t="shared" si="19"/>
        <v>0</v>
      </c>
      <c r="BH96" s="4385">
        <f t="shared" si="20"/>
        <v>0</v>
      </c>
      <c r="BI96" s="4385">
        <f t="shared" si="21"/>
        <v>4.4650000000000001E-4</v>
      </c>
    </row>
    <row r="97" spans="1:61">
      <c r="A97" s="4312"/>
      <c r="B97" s="4403"/>
      <c r="C97" s="4525" t="s">
        <v>4941</v>
      </c>
      <c r="D97" s="4526">
        <v>284448970</v>
      </c>
      <c r="E97" s="4526">
        <v>284448970</v>
      </c>
      <c r="F97" s="4527">
        <v>1766659816</v>
      </c>
      <c r="G97" s="4528"/>
      <c r="H97" s="4528"/>
      <c r="I97" s="4528"/>
      <c r="J97" s="4528"/>
      <c r="K97" s="4528"/>
      <c r="L97" s="4528"/>
      <c r="M97" s="4528"/>
      <c r="N97" s="4528"/>
      <c r="O97" s="4528"/>
      <c r="P97" s="4528"/>
      <c r="Q97" s="4529"/>
      <c r="R97" s="4525">
        <v>1766659816</v>
      </c>
      <c r="S97" s="4527"/>
      <c r="T97" s="4528"/>
      <c r="U97" s="4528"/>
      <c r="V97" s="4528"/>
      <c r="W97" s="4528"/>
      <c r="X97" s="4528"/>
      <c r="Y97" s="4528"/>
      <c r="Z97" s="4528"/>
      <c r="AA97" s="4528"/>
      <c r="AB97" s="4528"/>
      <c r="AC97" s="4528"/>
      <c r="AD97" s="4529"/>
      <c r="AE97" s="4526">
        <v>0</v>
      </c>
      <c r="AF97" s="4530"/>
      <c r="AG97" s="4531"/>
      <c r="AH97" s="4532"/>
      <c r="AI97" s="4533"/>
      <c r="AJ97" s="4531"/>
      <c r="AK97" s="4532"/>
      <c r="AL97" s="4533"/>
      <c r="AM97" s="4531"/>
      <c r="AN97" s="4532"/>
      <c r="AO97" s="4533"/>
      <c r="AP97" s="4531"/>
      <c r="AQ97" s="4534"/>
      <c r="AR97" s="4535">
        <v>0</v>
      </c>
      <c r="AS97" s="4530"/>
      <c r="AT97" s="4531"/>
      <c r="AU97" s="4532"/>
      <c r="AV97" s="4533"/>
      <c r="AW97" s="4531"/>
      <c r="AX97" s="4532"/>
      <c r="AY97" s="4536"/>
      <c r="AZ97" s="4537"/>
      <c r="BA97" s="4538"/>
      <c r="BB97" s="4533"/>
      <c r="BC97" s="4531"/>
      <c r="BD97" s="4538"/>
      <c r="BE97" s="4539">
        <f t="shared" si="22"/>
        <v>0</v>
      </c>
      <c r="BF97" s="4385">
        <f t="shared" si="18"/>
        <v>0</v>
      </c>
      <c r="BG97" s="4385">
        <f t="shared" si="19"/>
        <v>0</v>
      </c>
      <c r="BH97" s="4385">
        <f t="shared" si="20"/>
        <v>0</v>
      </c>
      <c r="BI97" s="4385">
        <f t="shared" si="21"/>
        <v>0</v>
      </c>
    </row>
    <row r="98" spans="1:61" ht="17.25">
      <c r="A98" s="4312"/>
      <c r="B98" s="4403"/>
      <c r="C98" s="4540" t="s">
        <v>4942</v>
      </c>
      <c r="D98" s="4541">
        <v>47841794236.099998</v>
      </c>
      <c r="E98" s="4541">
        <v>44587684035</v>
      </c>
      <c r="F98" s="4542">
        <v>3989207576</v>
      </c>
      <c r="G98" s="4543">
        <v>1579237900</v>
      </c>
      <c r="H98" s="4543">
        <v>6264511737</v>
      </c>
      <c r="I98" s="4543">
        <v>1520577860</v>
      </c>
      <c r="J98" s="4543">
        <v>1387707973</v>
      </c>
      <c r="K98" s="4543">
        <v>6376133254</v>
      </c>
      <c r="L98" s="4543">
        <v>1767500536</v>
      </c>
      <c r="M98" s="4543">
        <v>2688296072</v>
      </c>
      <c r="N98" s="4543">
        <v>6390933382</v>
      </c>
      <c r="O98" s="4543">
        <v>1549980988</v>
      </c>
      <c r="P98" s="4543">
        <v>1562741771</v>
      </c>
      <c r="Q98" s="4544">
        <v>9299617441</v>
      </c>
      <c r="R98" s="4545">
        <v>44376446490</v>
      </c>
      <c r="S98" s="4542">
        <v>1634523975</v>
      </c>
      <c r="T98" s="4543">
        <v>1647986901</v>
      </c>
      <c r="U98" s="4543">
        <v>7006834970</v>
      </c>
      <c r="V98" s="4543">
        <v>1562271993</v>
      </c>
      <c r="W98" s="4543">
        <v>1651086508</v>
      </c>
      <c r="X98" s="4543">
        <v>6881828414</v>
      </c>
      <c r="Y98" s="4543">
        <v>1949377571</v>
      </c>
      <c r="Z98" s="4543">
        <v>1957119270</v>
      </c>
      <c r="AA98" s="4543">
        <v>6587022149</v>
      </c>
      <c r="AB98" s="4543">
        <v>1660469386</v>
      </c>
      <c r="AC98" s="4543">
        <v>1595212841</v>
      </c>
      <c r="AD98" s="4544">
        <v>7084285417</v>
      </c>
      <c r="AE98" s="4541">
        <v>41218019395</v>
      </c>
      <c r="AF98" s="4356">
        <v>4079856644</v>
      </c>
      <c r="AG98" s="4357">
        <v>1651160203</v>
      </c>
      <c r="AH98" s="4358">
        <v>6430232811</v>
      </c>
      <c r="AI98" s="4359">
        <v>2084627484</v>
      </c>
      <c r="AJ98" s="4357">
        <v>1515834214</v>
      </c>
      <c r="AK98" s="4358">
        <v>7553810691</v>
      </c>
      <c r="AL98" s="4359">
        <v>2819447578</v>
      </c>
      <c r="AM98" s="4357">
        <v>2036326761</v>
      </c>
      <c r="AN98" s="4358">
        <v>7021566546</v>
      </c>
      <c r="AO98" s="4359">
        <v>1825808628</v>
      </c>
      <c r="AP98" s="4357">
        <v>1771169224</v>
      </c>
      <c r="AQ98" s="4360">
        <v>7650542116</v>
      </c>
      <c r="AR98" s="4499">
        <v>46440382900</v>
      </c>
      <c r="AS98" s="4356">
        <f>SUM(AS46,AS52,AS53,AS54,AS55,AS65,AS66,AS92:AS97)</f>
        <v>1718443668</v>
      </c>
      <c r="AT98" s="4357">
        <f t="shared" ref="AT98:BD98" si="24">SUM(AT46,AT52,AT53,AT54,AT55,AT65,AT66,AT92:AT97)</f>
        <v>3253031108</v>
      </c>
      <c r="AU98" s="4358">
        <f t="shared" si="24"/>
        <v>6364727305</v>
      </c>
      <c r="AV98" s="4359">
        <f t="shared" si="24"/>
        <v>1104410668</v>
      </c>
      <c r="AW98" s="4357">
        <f t="shared" si="24"/>
        <v>3801163248</v>
      </c>
      <c r="AX98" s="4358">
        <f t="shared" si="24"/>
        <v>7744891815</v>
      </c>
      <c r="AY98" s="4364">
        <f t="shared" si="24"/>
        <v>2390956432</v>
      </c>
      <c r="AZ98" s="4362">
        <f t="shared" si="24"/>
        <v>1068935434</v>
      </c>
      <c r="BA98" s="4363">
        <f t="shared" si="24"/>
        <v>5948691356</v>
      </c>
      <c r="BB98" s="4359">
        <f t="shared" si="24"/>
        <v>798585674</v>
      </c>
      <c r="BC98" s="4357">
        <f t="shared" si="24"/>
        <v>159237667</v>
      </c>
      <c r="BD98" s="4363">
        <f t="shared" si="24"/>
        <v>6566501847</v>
      </c>
      <c r="BE98" s="4365">
        <f t="shared" si="22"/>
        <v>40919576222</v>
      </c>
      <c r="BF98" s="4385">
        <f t="shared" si="18"/>
        <v>113.36202081</v>
      </c>
      <c r="BG98" s="4385">
        <f t="shared" si="19"/>
        <v>126.50465731</v>
      </c>
      <c r="BH98" s="4385">
        <f t="shared" si="20"/>
        <v>94.08583222</v>
      </c>
      <c r="BI98" s="4385">
        <f t="shared" si="21"/>
        <v>75.243251880000003</v>
      </c>
    </row>
    <row r="99" spans="1:61">
      <c r="A99" s="243"/>
      <c r="B99" s="4512"/>
      <c r="C99" s="4546" t="s">
        <v>4943</v>
      </c>
      <c r="D99" s="4547">
        <v>1384930160</v>
      </c>
      <c r="E99" s="4547">
        <v>-1434372405</v>
      </c>
      <c r="F99" s="4548"/>
      <c r="G99" s="4549"/>
      <c r="H99" s="4549"/>
      <c r="I99" s="4549"/>
      <c r="J99" s="4549"/>
      <c r="K99" s="4549"/>
      <c r="L99" s="4549"/>
      <c r="M99" s="4549"/>
      <c r="N99" s="4549"/>
      <c r="O99" s="4549"/>
      <c r="P99" s="4549"/>
      <c r="Q99" s="4550"/>
      <c r="R99" s="4546">
        <v>0</v>
      </c>
      <c r="S99" s="4548"/>
      <c r="T99" s="4549"/>
      <c r="U99" s="4549"/>
      <c r="V99" s="4549"/>
      <c r="W99" s="4549"/>
      <c r="X99" s="4549"/>
      <c r="Y99" s="4549"/>
      <c r="Z99" s="4549"/>
      <c r="AA99" s="4549"/>
      <c r="AB99" s="4549"/>
      <c r="AC99" s="4549"/>
      <c r="AD99" s="4550"/>
      <c r="AE99" s="4547">
        <v>0</v>
      </c>
      <c r="AF99" s="4551"/>
      <c r="AG99" s="4552"/>
      <c r="AH99" s="4553"/>
      <c r="AI99" s="4554"/>
      <c r="AJ99" s="4552"/>
      <c r="AK99" s="4553"/>
      <c r="AL99" s="4554"/>
      <c r="AM99" s="4552"/>
      <c r="AN99" s="4553"/>
      <c r="AO99" s="4554"/>
      <c r="AP99" s="4552"/>
      <c r="AQ99" s="4555"/>
      <c r="AR99" s="4556">
        <v>0</v>
      </c>
      <c r="AS99" s="4551"/>
      <c r="AT99" s="4552"/>
      <c r="AU99" s="4553"/>
      <c r="AV99" s="4554"/>
      <c r="AW99" s="4552"/>
      <c r="AX99" s="4553"/>
      <c r="AY99" s="4557"/>
      <c r="AZ99" s="4558"/>
      <c r="BA99" s="4559"/>
      <c r="BB99" s="4554"/>
      <c r="BC99" s="4552"/>
      <c r="BD99" s="4559"/>
      <c r="BE99" s="4560">
        <f t="shared" si="22"/>
        <v>0</v>
      </c>
      <c r="BF99" s="4385">
        <f t="shared" si="18"/>
        <v>0</v>
      </c>
      <c r="BG99" s="4385">
        <f t="shared" si="19"/>
        <v>0</v>
      </c>
      <c r="BH99" s="4385">
        <f t="shared" si="20"/>
        <v>0</v>
      </c>
      <c r="BI99" s="4385">
        <f t="shared" si="21"/>
        <v>0</v>
      </c>
    </row>
    <row r="100" spans="1:61">
      <c r="A100" s="243"/>
      <c r="B100" s="4512"/>
      <c r="C100" s="4368" t="s">
        <v>4944</v>
      </c>
      <c r="D100" s="4351">
        <v>1768512429</v>
      </c>
      <c r="E100" s="4351">
        <v>1549895372</v>
      </c>
      <c r="F100" s="4352">
        <v>383491368</v>
      </c>
      <c r="G100" s="4353">
        <v>119895886</v>
      </c>
      <c r="H100" s="4354">
        <v>167096399</v>
      </c>
      <c r="I100" s="4353">
        <v>33443259</v>
      </c>
      <c r="J100" s="4353">
        <v>22801236</v>
      </c>
      <c r="K100" s="4353">
        <v>26108992</v>
      </c>
      <c r="L100" s="4353">
        <v>29813348</v>
      </c>
      <c r="M100" s="4353">
        <v>124371271</v>
      </c>
      <c r="N100" s="4353">
        <v>28998863</v>
      </c>
      <c r="O100" s="4353">
        <v>23775040</v>
      </c>
      <c r="P100" s="4353">
        <v>32506774</v>
      </c>
      <c r="Q100" s="4353">
        <v>23123766</v>
      </c>
      <c r="R100" s="4368">
        <v>1015426202</v>
      </c>
      <c r="S100" s="4352">
        <v>23745616</v>
      </c>
      <c r="T100" s="4353">
        <v>10429801</v>
      </c>
      <c r="U100" s="4561">
        <v>12601676</v>
      </c>
      <c r="V100" s="4353">
        <v>25635355</v>
      </c>
      <c r="W100" s="4353">
        <v>66510771</v>
      </c>
      <c r="X100" s="4353">
        <v>112351190</v>
      </c>
      <c r="Y100" s="4353">
        <v>144368481</v>
      </c>
      <c r="Z100" s="4353">
        <v>109909381</v>
      </c>
      <c r="AA100" s="4353">
        <v>113730860</v>
      </c>
      <c r="AB100" s="4353">
        <v>226366390</v>
      </c>
      <c r="AC100" s="4353">
        <v>99850076</v>
      </c>
      <c r="AD100" s="4353">
        <v>143348453</v>
      </c>
      <c r="AE100" s="4351">
        <v>1088848050</v>
      </c>
      <c r="AF100" s="4356">
        <v>267900281</v>
      </c>
      <c r="AG100" s="4357">
        <v>86773573</v>
      </c>
      <c r="AH100" s="4358">
        <v>61127542</v>
      </c>
      <c r="AI100" s="4359">
        <v>149699730</v>
      </c>
      <c r="AJ100" s="4357">
        <v>104086600</v>
      </c>
      <c r="AK100" s="4358">
        <v>133819050</v>
      </c>
      <c r="AL100" s="4359">
        <v>259973488</v>
      </c>
      <c r="AM100" s="4357">
        <v>117837381</v>
      </c>
      <c r="AN100" s="4358">
        <v>117085018</v>
      </c>
      <c r="AO100" s="4359">
        <v>129026968</v>
      </c>
      <c r="AP100" s="4357">
        <v>134442363</v>
      </c>
      <c r="AQ100" s="4516">
        <v>199938355</v>
      </c>
      <c r="AR100" s="4499">
        <v>1761710349</v>
      </c>
      <c r="AS100" s="4356">
        <v>128890428</v>
      </c>
      <c r="AT100" s="4357">
        <v>289850290</v>
      </c>
      <c r="AU100" s="4358">
        <v>119406631</v>
      </c>
      <c r="AV100" s="4359">
        <v>101208120</v>
      </c>
      <c r="AW100" s="4357">
        <v>166015718</v>
      </c>
      <c r="AX100" s="4358">
        <v>206550066</v>
      </c>
      <c r="AY100" s="4364">
        <v>144530159</v>
      </c>
      <c r="AZ100" s="4362">
        <v>-22552916</v>
      </c>
      <c r="BA100" s="4362">
        <v>-15806920</v>
      </c>
      <c r="BB100" s="4359">
        <v>-18657739</v>
      </c>
      <c r="BC100" s="4357">
        <v>-32154630</v>
      </c>
      <c r="BD100" s="4363">
        <v>60561718</v>
      </c>
      <c r="BE100" s="4365">
        <f t="shared" si="22"/>
        <v>1127840925</v>
      </c>
      <c r="BF100" s="4385">
        <f t="shared" si="18"/>
        <v>5.3814734900000003</v>
      </c>
      <c r="BG100" s="4385">
        <f t="shared" si="19"/>
        <v>4.7377390400000001</v>
      </c>
      <c r="BH100" s="4385">
        <f t="shared" si="20"/>
        <v>1.06170323</v>
      </c>
      <c r="BI100" s="4385">
        <f t="shared" si="21"/>
        <v>9.7493490000000002E-2</v>
      </c>
    </row>
    <row r="101" spans="1:61">
      <c r="A101" s="243"/>
      <c r="B101" s="4512"/>
      <c r="C101" s="4368" t="s">
        <v>4945</v>
      </c>
      <c r="D101" s="4351">
        <v>-1634725053</v>
      </c>
      <c r="E101" s="4351">
        <v>-1013882970</v>
      </c>
      <c r="F101" s="4352">
        <v>-783468620</v>
      </c>
      <c r="G101" s="4562"/>
      <c r="H101" s="4563"/>
      <c r="I101" s="4562"/>
      <c r="J101" s="4562">
        <v>-373832150</v>
      </c>
      <c r="K101" s="4562"/>
      <c r="L101" s="4562"/>
      <c r="M101" s="4562">
        <v>-86625470</v>
      </c>
      <c r="N101" s="4353"/>
      <c r="O101" s="4562"/>
      <c r="P101" s="4353">
        <v>-178459250</v>
      </c>
      <c r="Q101" s="4355"/>
      <c r="R101" s="4368">
        <v>-1422385490</v>
      </c>
      <c r="S101" s="4352">
        <v>-82412650</v>
      </c>
      <c r="T101" s="4562"/>
      <c r="U101" s="4563"/>
      <c r="V101" s="4562">
        <v>-35041420</v>
      </c>
      <c r="W101" s="4562"/>
      <c r="X101" s="4562"/>
      <c r="Y101" s="4562">
        <v>-206895050</v>
      </c>
      <c r="Z101" s="4562"/>
      <c r="AA101" s="4353"/>
      <c r="AB101" s="4562"/>
      <c r="AC101" s="4353">
        <v>-362690130</v>
      </c>
      <c r="AD101" s="4353">
        <v>0</v>
      </c>
      <c r="AE101" s="4351">
        <v>-687039250</v>
      </c>
      <c r="AF101" s="4356"/>
      <c r="AG101" s="4357">
        <v>-630773270</v>
      </c>
      <c r="AH101" s="4358">
        <v>0</v>
      </c>
      <c r="AI101" s="4359">
        <v>0</v>
      </c>
      <c r="AJ101" s="4357">
        <v>-297557810</v>
      </c>
      <c r="AK101" s="4358">
        <v>0</v>
      </c>
      <c r="AL101" s="4359">
        <v>0</v>
      </c>
      <c r="AM101" s="4357">
        <v>-492587060</v>
      </c>
      <c r="AN101" s="4358"/>
      <c r="AO101" s="4359">
        <v>-357502770</v>
      </c>
      <c r="AP101" s="4357"/>
      <c r="AQ101" s="4360"/>
      <c r="AR101" s="4499">
        <v>-1778420910</v>
      </c>
      <c r="AS101" s="4356"/>
      <c r="AT101" s="4357">
        <v>-623732130</v>
      </c>
      <c r="AU101" s="4358"/>
      <c r="AV101" s="4359"/>
      <c r="AW101" s="4357">
        <v>-434567290</v>
      </c>
      <c r="AX101" s="4358"/>
      <c r="AY101" s="4359"/>
      <c r="AZ101" s="4362">
        <v>-317223270</v>
      </c>
      <c r="BA101" s="4363"/>
      <c r="BB101" s="4359"/>
      <c r="BC101" s="4357">
        <v>-546626140</v>
      </c>
      <c r="BD101" s="4363"/>
      <c r="BE101" s="4365">
        <f t="shared" si="22"/>
        <v>-1922148830</v>
      </c>
      <c r="BF101" s="4385">
        <f t="shared" ref="BF101:BF107" si="25">SUM(AS101:AU101)/단위</f>
        <v>-6.2373212999999996</v>
      </c>
      <c r="BG101" s="4385">
        <f t="shared" ref="BG101:BG107" si="26">SUM(AV101:AX101)/단위</f>
        <v>-4.3456729000000003</v>
      </c>
      <c r="BH101" s="4385">
        <f t="shared" ref="BH101:BH107" si="27">SUM(AY101:BA101)/단위</f>
        <v>-3.1722326999999999</v>
      </c>
      <c r="BI101" s="4385">
        <f t="shared" ref="BI101:BI107" si="28">SUM(BB101:BD101)/단위</f>
        <v>-5.4662613999999996</v>
      </c>
    </row>
    <row r="102" spans="1:61">
      <c r="A102" s="243"/>
      <c r="B102" s="4512"/>
      <c r="C102" s="4368" t="s">
        <v>3688</v>
      </c>
      <c r="D102" s="4351">
        <v>-423981036</v>
      </c>
      <c r="E102" s="4351">
        <v>-63564081</v>
      </c>
      <c r="F102" s="4352"/>
      <c r="G102" s="4562"/>
      <c r="H102" s="4563"/>
      <c r="I102" s="4562"/>
      <c r="J102" s="4562"/>
      <c r="K102" s="4562"/>
      <c r="L102" s="4562"/>
      <c r="M102" s="4562"/>
      <c r="N102" s="4353"/>
      <c r="O102" s="4353"/>
      <c r="P102" s="4562"/>
      <c r="Q102" s="4355"/>
      <c r="R102" s="4368">
        <v>0</v>
      </c>
      <c r="S102" s="4352"/>
      <c r="T102" s="4562"/>
      <c r="U102" s="4563"/>
      <c r="V102" s="4562"/>
      <c r="W102" s="4562"/>
      <c r="X102" s="4562"/>
      <c r="Y102" s="4562"/>
      <c r="Z102" s="4562"/>
      <c r="AA102" s="4353"/>
      <c r="AB102" s="4353"/>
      <c r="AC102" s="4353">
        <v>0</v>
      </c>
      <c r="AD102" s="4353">
        <v>0</v>
      </c>
      <c r="AE102" s="4351">
        <v>0</v>
      </c>
      <c r="AF102" s="4356"/>
      <c r="AG102" s="4357">
        <v>0</v>
      </c>
      <c r="AH102" s="4358"/>
      <c r="AI102" s="4359"/>
      <c r="AJ102" s="4357"/>
      <c r="AK102" s="4358"/>
      <c r="AL102" s="4359"/>
      <c r="AM102" s="4357"/>
      <c r="AN102" s="4358"/>
      <c r="AO102" s="4359"/>
      <c r="AP102" s="4357"/>
      <c r="AQ102" s="4360"/>
      <c r="AR102" s="4499">
        <v>0</v>
      </c>
      <c r="AS102" s="4356"/>
      <c r="AT102" s="4357"/>
      <c r="AU102" s="4358"/>
      <c r="AV102" s="4359"/>
      <c r="AW102" s="4357"/>
      <c r="AX102" s="4358"/>
      <c r="AY102" s="4359"/>
      <c r="AZ102" s="4357"/>
      <c r="BA102" s="4363"/>
      <c r="BB102" s="4359"/>
      <c r="BC102" s="4357"/>
      <c r="BD102" s="4358"/>
      <c r="BE102" s="4365">
        <f t="shared" si="22"/>
        <v>0</v>
      </c>
      <c r="BF102" s="4385">
        <f t="shared" si="25"/>
        <v>0</v>
      </c>
      <c r="BG102" s="4385">
        <f t="shared" si="26"/>
        <v>0</v>
      </c>
      <c r="BH102" s="4385">
        <f t="shared" si="27"/>
        <v>0</v>
      </c>
      <c r="BI102" s="4385">
        <f t="shared" si="28"/>
        <v>0</v>
      </c>
    </row>
    <row r="103" spans="1:61">
      <c r="A103" s="243"/>
      <c r="B103" s="4512"/>
      <c r="C103" s="4368" t="s">
        <v>4946</v>
      </c>
      <c r="D103" s="4351">
        <v>-81549981</v>
      </c>
      <c r="E103" s="4351">
        <v>80415863</v>
      </c>
      <c r="F103" s="4352"/>
      <c r="G103" s="4562"/>
      <c r="H103" s="4563"/>
      <c r="I103" s="4562"/>
      <c r="J103" s="4562"/>
      <c r="K103" s="4562"/>
      <c r="L103" s="4562"/>
      <c r="M103" s="4562"/>
      <c r="N103" s="4353"/>
      <c r="O103" s="4353"/>
      <c r="P103" s="4562"/>
      <c r="Q103" s="4355"/>
      <c r="R103" s="4368">
        <v>0</v>
      </c>
      <c r="S103" s="4352">
        <v>-39600</v>
      </c>
      <c r="T103" s="4562">
        <v>-14400</v>
      </c>
      <c r="U103" s="4563">
        <v>-30800</v>
      </c>
      <c r="V103" s="4562"/>
      <c r="W103" s="4562">
        <v>-39600</v>
      </c>
      <c r="X103" s="4562">
        <v>28000</v>
      </c>
      <c r="Y103" s="4562"/>
      <c r="Z103" s="4562"/>
      <c r="AA103" s="4353"/>
      <c r="AB103" s="4353">
        <v>-7980</v>
      </c>
      <c r="AC103" s="4353">
        <v>0</v>
      </c>
      <c r="AD103" s="4353">
        <v>0</v>
      </c>
      <c r="AE103" s="4351">
        <v>-104380</v>
      </c>
      <c r="AF103" s="4356">
        <v>-374040</v>
      </c>
      <c r="AG103" s="4357">
        <v>0</v>
      </c>
      <c r="AH103" s="4358"/>
      <c r="AI103" s="4359"/>
      <c r="AJ103" s="4357"/>
      <c r="AK103" s="4358"/>
      <c r="AL103" s="4359"/>
      <c r="AM103" s="4357"/>
      <c r="AN103" s="4358"/>
      <c r="AO103" s="4359"/>
      <c r="AP103" s="4357"/>
      <c r="AQ103" s="4360"/>
      <c r="AR103" s="4361">
        <v>-374040</v>
      </c>
      <c r="AS103" s="4356"/>
      <c r="AT103" s="4357"/>
      <c r="AU103" s="4358"/>
      <c r="AV103" s="4359"/>
      <c r="AW103" s="4357"/>
      <c r="AX103" s="4358"/>
      <c r="AY103" s="4359"/>
      <c r="AZ103" s="4357"/>
      <c r="BA103" s="4363"/>
      <c r="BB103" s="4359"/>
      <c r="BC103" s="4357"/>
      <c r="BD103" s="4358"/>
      <c r="BE103" s="4365">
        <f t="shared" si="22"/>
        <v>0</v>
      </c>
      <c r="BF103" s="4385">
        <f t="shared" si="25"/>
        <v>0</v>
      </c>
      <c r="BG103" s="4385">
        <f t="shared" si="26"/>
        <v>0</v>
      </c>
      <c r="BH103" s="4385">
        <f t="shared" si="27"/>
        <v>0</v>
      </c>
      <c r="BI103" s="4385">
        <f t="shared" si="28"/>
        <v>0</v>
      </c>
    </row>
    <row r="104" spans="1:61">
      <c r="A104" s="243"/>
      <c r="B104" s="4512"/>
      <c r="C104" s="4402" t="s">
        <v>4947</v>
      </c>
      <c r="D104" s="4564">
        <v>142636372</v>
      </c>
      <c r="E104" s="4564">
        <v>220138307</v>
      </c>
      <c r="F104" s="4565"/>
      <c r="G104" s="4566"/>
      <c r="H104" s="4567">
        <v>15000000</v>
      </c>
      <c r="I104" s="4566"/>
      <c r="J104" s="4566"/>
      <c r="K104" s="4566">
        <v>-147500</v>
      </c>
      <c r="L104" s="4566"/>
      <c r="M104" s="4566">
        <v>-2962500</v>
      </c>
      <c r="N104" s="4568"/>
      <c r="O104" s="4568"/>
      <c r="P104" s="4566"/>
      <c r="Q104" s="4569"/>
      <c r="R104" s="4570">
        <v>11890000</v>
      </c>
      <c r="S104" s="4565">
        <v>-42000000</v>
      </c>
      <c r="T104" s="4566"/>
      <c r="U104" s="4567"/>
      <c r="V104" s="4566"/>
      <c r="W104" s="4566">
        <v>4000000</v>
      </c>
      <c r="X104" s="4566"/>
      <c r="Y104" s="4566">
        <v>1926700</v>
      </c>
      <c r="Z104" s="4566">
        <v>-263200</v>
      </c>
      <c r="AA104" s="4568">
        <v>248400</v>
      </c>
      <c r="AB104" s="4568">
        <v>30800</v>
      </c>
      <c r="AC104" s="4353">
        <v>-380000</v>
      </c>
      <c r="AD104" s="4353">
        <v>-412000</v>
      </c>
      <c r="AE104" s="4564">
        <v>-36849300</v>
      </c>
      <c r="AF104" s="4571">
        <v>-1966700</v>
      </c>
      <c r="AG104" s="4572">
        <v>-1414501</v>
      </c>
      <c r="AH104" s="4573">
        <v>-219540</v>
      </c>
      <c r="AI104" s="4574">
        <v>-11490102</v>
      </c>
      <c r="AJ104" s="4572">
        <v>-5960400</v>
      </c>
      <c r="AK104" s="4573">
        <v>1304000</v>
      </c>
      <c r="AL104" s="4574">
        <v>5358590</v>
      </c>
      <c r="AM104" s="4572">
        <v>28470</v>
      </c>
      <c r="AN104" s="4573">
        <v>34090</v>
      </c>
      <c r="AO104" s="4574">
        <v>779240</v>
      </c>
      <c r="AP104" s="4572">
        <v>64639870</v>
      </c>
      <c r="AQ104" s="4575">
        <v>103260</v>
      </c>
      <c r="AR104" s="4576">
        <v>51196277</v>
      </c>
      <c r="AS104" s="4571">
        <v>-37950725</v>
      </c>
      <c r="AT104" s="4572">
        <v>172177690</v>
      </c>
      <c r="AU104" s="4573">
        <v>-79200</v>
      </c>
      <c r="AV104" s="4577">
        <v>-48000</v>
      </c>
      <c r="AW104" s="4572">
        <v>625733</v>
      </c>
      <c r="AX104" s="4573"/>
      <c r="AY104" s="4574"/>
      <c r="AZ104" s="4572"/>
      <c r="BA104" s="4573"/>
      <c r="BB104" s="4574"/>
      <c r="BC104" s="4572"/>
      <c r="BD104" s="4573">
        <v>-105600</v>
      </c>
      <c r="BE104" s="4578">
        <f t="shared" si="22"/>
        <v>134619898</v>
      </c>
      <c r="BF104" s="4385">
        <f t="shared" si="25"/>
        <v>1.3414776500000001</v>
      </c>
      <c r="BG104" s="4385">
        <f t="shared" si="26"/>
        <v>5.7773299999999998E-3</v>
      </c>
      <c r="BH104" s="4385">
        <f t="shared" si="27"/>
        <v>0</v>
      </c>
      <c r="BI104" s="4385">
        <f t="shared" si="28"/>
        <v>-1.0560000000000001E-3</v>
      </c>
    </row>
    <row r="105" spans="1:61" ht="18" thickBot="1">
      <c r="A105" s="4312"/>
      <c r="B105" s="4403"/>
      <c r="C105" s="4579" t="s">
        <v>4948</v>
      </c>
      <c r="D105" s="4580">
        <v>1155822891</v>
      </c>
      <c r="E105" s="4580">
        <v>-661369914</v>
      </c>
      <c r="F105" s="4581">
        <v>-399977252</v>
      </c>
      <c r="G105" s="4582">
        <v>119895886</v>
      </c>
      <c r="H105" s="4582">
        <v>182096399</v>
      </c>
      <c r="I105" s="4582">
        <v>33443259</v>
      </c>
      <c r="J105" s="4582">
        <v>-351030914</v>
      </c>
      <c r="K105" s="4582">
        <v>25961492</v>
      </c>
      <c r="L105" s="4582">
        <v>29813348</v>
      </c>
      <c r="M105" s="4582">
        <v>34783301</v>
      </c>
      <c r="N105" s="4582">
        <v>28998863</v>
      </c>
      <c r="O105" s="4582">
        <v>23775040</v>
      </c>
      <c r="P105" s="4582">
        <v>-145952476</v>
      </c>
      <c r="Q105" s="4583">
        <v>23123766</v>
      </c>
      <c r="R105" s="4584">
        <v>-395069288</v>
      </c>
      <c r="S105" s="4581">
        <v>-100706634</v>
      </c>
      <c r="T105" s="4582">
        <v>10415401</v>
      </c>
      <c r="U105" s="4582">
        <v>12570876</v>
      </c>
      <c r="V105" s="4582">
        <v>-9406065</v>
      </c>
      <c r="W105" s="4582">
        <v>70471171</v>
      </c>
      <c r="X105" s="4582">
        <v>112379190</v>
      </c>
      <c r="Y105" s="4582">
        <v>-60599869</v>
      </c>
      <c r="Z105" s="4582">
        <v>109646181</v>
      </c>
      <c r="AA105" s="4582">
        <v>113979260</v>
      </c>
      <c r="AB105" s="4582">
        <v>226389210</v>
      </c>
      <c r="AC105" s="4582">
        <v>-263220054</v>
      </c>
      <c r="AD105" s="4583">
        <v>142936453</v>
      </c>
      <c r="AE105" s="4580">
        <v>364855120</v>
      </c>
      <c r="AF105" s="4356">
        <v>265559541</v>
      </c>
      <c r="AG105" s="4357">
        <v>-545414198</v>
      </c>
      <c r="AH105" s="4358">
        <v>60908002</v>
      </c>
      <c r="AI105" s="4359">
        <v>138209628</v>
      </c>
      <c r="AJ105" s="4357">
        <v>-199431610</v>
      </c>
      <c r="AK105" s="4358">
        <v>135123050</v>
      </c>
      <c r="AL105" s="4359">
        <v>265332078</v>
      </c>
      <c r="AM105" s="4357">
        <v>-374721209</v>
      </c>
      <c r="AN105" s="4358">
        <v>117119108</v>
      </c>
      <c r="AO105" s="4359">
        <v>-227696562</v>
      </c>
      <c r="AP105" s="4357">
        <v>199082233</v>
      </c>
      <c r="AQ105" s="4360">
        <v>200041615</v>
      </c>
      <c r="AR105" s="4361">
        <v>34111676</v>
      </c>
      <c r="AS105" s="4356">
        <f>SUM(AS99:AS104)</f>
        <v>90939703</v>
      </c>
      <c r="AT105" s="4357">
        <f t="shared" ref="AT105:BD105" si="29">SUM(AT99:AT104)</f>
        <v>-161704150</v>
      </c>
      <c r="AU105" s="4358">
        <f t="shared" si="29"/>
        <v>119327431</v>
      </c>
      <c r="AV105" s="4359">
        <f t="shared" si="29"/>
        <v>101160120</v>
      </c>
      <c r="AW105" s="4357">
        <f t="shared" si="29"/>
        <v>-267925839</v>
      </c>
      <c r="AX105" s="4358">
        <f t="shared" si="29"/>
        <v>206550066</v>
      </c>
      <c r="AY105" s="4359">
        <f t="shared" si="29"/>
        <v>144530159</v>
      </c>
      <c r="AZ105" s="4357">
        <f t="shared" si="29"/>
        <v>-339776186</v>
      </c>
      <c r="BA105" s="4358">
        <f t="shared" si="29"/>
        <v>-15806920</v>
      </c>
      <c r="BB105" s="4359">
        <f t="shared" si="29"/>
        <v>-18657739</v>
      </c>
      <c r="BC105" s="4357">
        <f t="shared" si="29"/>
        <v>-578780770</v>
      </c>
      <c r="BD105" s="4358">
        <f t="shared" si="29"/>
        <v>60456118</v>
      </c>
      <c r="BE105" s="4365">
        <f t="shared" si="22"/>
        <v>-659688007</v>
      </c>
      <c r="BF105" s="4385">
        <f t="shared" si="25"/>
        <v>0.48562983999999998</v>
      </c>
      <c r="BG105" s="4385">
        <f t="shared" si="26"/>
        <v>0.39784346999999998</v>
      </c>
      <c r="BH105" s="4385">
        <f t="shared" si="27"/>
        <v>-2.1105294699999999</v>
      </c>
      <c r="BI105" s="4385">
        <f t="shared" si="28"/>
        <v>-5.36982391</v>
      </c>
    </row>
    <row r="106" spans="1:61" ht="18.75" thickTop="1" thickBot="1">
      <c r="A106" s="4312"/>
      <c r="B106" s="4585"/>
      <c r="C106" s="4586" t="s">
        <v>4949</v>
      </c>
      <c r="D106" s="4420">
        <v>48997617127.099998</v>
      </c>
      <c r="E106" s="4420">
        <v>43926314122.017303</v>
      </c>
      <c r="F106" s="4421">
        <v>3589230324</v>
      </c>
      <c r="G106" s="4422">
        <v>1699133786</v>
      </c>
      <c r="H106" s="4422">
        <v>6446608136</v>
      </c>
      <c r="I106" s="4422">
        <v>1554021119</v>
      </c>
      <c r="J106" s="4422">
        <v>1036677059</v>
      </c>
      <c r="K106" s="4422">
        <v>6402094746</v>
      </c>
      <c r="L106" s="4422">
        <v>1797313884</v>
      </c>
      <c r="M106" s="4422">
        <v>2723079373</v>
      </c>
      <c r="N106" s="4422">
        <v>6419932245</v>
      </c>
      <c r="O106" s="4422">
        <v>1573756028</v>
      </c>
      <c r="P106" s="4422">
        <v>1416789295</v>
      </c>
      <c r="Q106" s="4423">
        <v>9322741207</v>
      </c>
      <c r="R106" s="4424">
        <v>43981377202</v>
      </c>
      <c r="S106" s="4421">
        <v>1533817341</v>
      </c>
      <c r="T106" s="4422">
        <v>1658402302</v>
      </c>
      <c r="U106" s="4422">
        <v>7019405846</v>
      </c>
      <c r="V106" s="4422">
        <v>1552865928</v>
      </c>
      <c r="W106" s="4422">
        <v>1721557679</v>
      </c>
      <c r="X106" s="4422">
        <v>6994207604</v>
      </c>
      <c r="Y106" s="4422">
        <v>1888777702</v>
      </c>
      <c r="Z106" s="4422">
        <v>2066765451</v>
      </c>
      <c r="AA106" s="4422">
        <v>6701001409</v>
      </c>
      <c r="AB106" s="4422">
        <v>1886858596</v>
      </c>
      <c r="AC106" s="4422">
        <v>1331992787</v>
      </c>
      <c r="AD106" s="4423">
        <v>7227221870</v>
      </c>
      <c r="AE106" s="4420">
        <v>41582874515</v>
      </c>
      <c r="AF106" s="4587">
        <v>4345416185</v>
      </c>
      <c r="AG106" s="4588">
        <v>1105746005</v>
      </c>
      <c r="AH106" s="4589">
        <v>6491140813</v>
      </c>
      <c r="AI106" s="4590">
        <v>2222837112</v>
      </c>
      <c r="AJ106" s="4588">
        <v>1316402604</v>
      </c>
      <c r="AK106" s="4589">
        <v>7688933741</v>
      </c>
      <c r="AL106" s="4590">
        <v>3084779656</v>
      </c>
      <c r="AM106" s="4588">
        <v>1661605552</v>
      </c>
      <c r="AN106" s="4589">
        <v>7138685654</v>
      </c>
      <c r="AO106" s="4590">
        <v>1598112066</v>
      </c>
      <c r="AP106" s="4588">
        <v>1970251457</v>
      </c>
      <c r="AQ106" s="4591">
        <v>7850583731</v>
      </c>
      <c r="AR106" s="4592">
        <v>46474494576</v>
      </c>
      <c r="AS106" s="4587">
        <f>AS98+AS105</f>
        <v>1809383371</v>
      </c>
      <c r="AT106" s="4588">
        <f t="shared" ref="AT106:BD106" si="30">AT98+AT105</f>
        <v>3091326958</v>
      </c>
      <c r="AU106" s="4589">
        <f t="shared" si="30"/>
        <v>6484054736</v>
      </c>
      <c r="AV106" s="4590">
        <f t="shared" si="30"/>
        <v>1205570788</v>
      </c>
      <c r="AW106" s="4588">
        <f t="shared" si="30"/>
        <v>3533237409</v>
      </c>
      <c r="AX106" s="4589">
        <f t="shared" si="30"/>
        <v>7951441881</v>
      </c>
      <c r="AY106" s="4590">
        <f t="shared" si="30"/>
        <v>2535486591</v>
      </c>
      <c r="AZ106" s="4588">
        <f t="shared" si="30"/>
        <v>729159248</v>
      </c>
      <c r="BA106" s="4589">
        <f t="shared" si="30"/>
        <v>5932884436</v>
      </c>
      <c r="BB106" s="4590">
        <f t="shared" si="30"/>
        <v>779927935</v>
      </c>
      <c r="BC106" s="4588">
        <f t="shared" si="30"/>
        <v>-419543103</v>
      </c>
      <c r="BD106" s="4589">
        <f t="shared" si="30"/>
        <v>6626957965</v>
      </c>
      <c r="BE106" s="4593">
        <f t="shared" si="22"/>
        <v>40259888215</v>
      </c>
      <c r="BF106" s="4385">
        <f t="shared" si="25"/>
        <v>113.84765065000001</v>
      </c>
      <c r="BG106" s="4385">
        <f t="shared" si="26"/>
        <v>126.90250078</v>
      </c>
      <c r="BH106" s="4385">
        <f t="shared" si="27"/>
        <v>91.975302749999997</v>
      </c>
      <c r="BI106" s="4385">
        <f t="shared" si="28"/>
        <v>69.873427969999995</v>
      </c>
    </row>
    <row r="107" spans="1:61" ht="17.25" thickBot="1">
      <c r="A107" s="4312"/>
      <c r="B107" s="4331"/>
      <c r="C107" s="4594" t="s">
        <v>4950</v>
      </c>
      <c r="D107" s="4333">
        <v>4597739136.9000015</v>
      </c>
      <c r="E107" s="4333">
        <v>3782929777.2554207</v>
      </c>
      <c r="F107" s="4334">
        <v>-46505844</v>
      </c>
      <c r="G107" s="4335">
        <v>31333265</v>
      </c>
      <c r="H107" s="4335">
        <v>-4604682297</v>
      </c>
      <c r="I107" s="4335">
        <v>917424600</v>
      </c>
      <c r="J107" s="4335">
        <v>1834236790</v>
      </c>
      <c r="K107" s="4335">
        <v>13004539234</v>
      </c>
      <c r="L107" s="4335">
        <v>1041593257</v>
      </c>
      <c r="M107" s="4335">
        <v>-277945542</v>
      </c>
      <c r="N107" s="4335">
        <v>-3618791685</v>
      </c>
      <c r="O107" s="4335">
        <v>1420718571</v>
      </c>
      <c r="P107" s="4335">
        <v>1164318326</v>
      </c>
      <c r="Q107" s="4338">
        <v>-6639631225</v>
      </c>
      <c r="R107" s="4369">
        <v>4226607450</v>
      </c>
      <c r="S107" s="4334">
        <v>958362693</v>
      </c>
      <c r="T107" s="4335">
        <v>1561263094</v>
      </c>
      <c r="U107" s="4335">
        <v>-4126394654</v>
      </c>
      <c r="V107" s="4335">
        <v>1355698925</v>
      </c>
      <c r="W107" s="4335">
        <v>876230877</v>
      </c>
      <c r="X107" s="4335">
        <v>-5063149198</v>
      </c>
      <c r="Y107" s="4335">
        <v>-323553209</v>
      </c>
      <c r="Z107" s="4335">
        <v>-79448486</v>
      </c>
      <c r="AA107" s="4335">
        <v>-4579785254</v>
      </c>
      <c r="AB107" s="4335">
        <v>-836909217</v>
      </c>
      <c r="AC107" s="4335">
        <v>950428535</v>
      </c>
      <c r="AD107" s="4338">
        <v>-4402040151</v>
      </c>
      <c r="AE107" s="4333">
        <v>-13709296045</v>
      </c>
      <c r="AF107" s="4356">
        <v>11818671633</v>
      </c>
      <c r="AG107" s="4357">
        <v>1169662090</v>
      </c>
      <c r="AH107" s="4358">
        <v>-4499233358</v>
      </c>
      <c r="AI107" s="4359">
        <v>231336699</v>
      </c>
      <c r="AJ107" s="4357">
        <v>8687583735</v>
      </c>
      <c r="AK107" s="4358">
        <v>-5590437942</v>
      </c>
      <c r="AL107" s="4359">
        <v>693569683</v>
      </c>
      <c r="AM107" s="4357">
        <v>668046836</v>
      </c>
      <c r="AN107" s="4358">
        <v>-4744606040</v>
      </c>
      <c r="AO107" s="4359">
        <v>908777355</v>
      </c>
      <c r="AP107" s="4357">
        <v>200137761</v>
      </c>
      <c r="AQ107" s="4360">
        <v>-5806346902</v>
      </c>
      <c r="AR107" s="4361">
        <v>3737161550</v>
      </c>
      <c r="AS107" s="4356">
        <f>AS45-AS106</f>
        <v>304553223</v>
      </c>
      <c r="AT107" s="4357">
        <f t="shared" ref="AT107:BD107" si="31">AT45-AT106</f>
        <v>-931247820</v>
      </c>
      <c r="AU107" s="4358">
        <f t="shared" si="31"/>
        <v>-4330339293</v>
      </c>
      <c r="AV107" s="4359">
        <f t="shared" si="31"/>
        <v>739895072</v>
      </c>
      <c r="AW107" s="4357">
        <f t="shared" si="31"/>
        <v>2494961635</v>
      </c>
      <c r="AX107" s="4358">
        <f t="shared" si="31"/>
        <v>-1344389380</v>
      </c>
      <c r="AY107" s="4359">
        <f t="shared" si="31"/>
        <v>-370754735</v>
      </c>
      <c r="AZ107" s="4357">
        <f t="shared" si="31"/>
        <v>1737857682</v>
      </c>
      <c r="BA107" s="4358">
        <f t="shared" si="31"/>
        <v>-3588745125</v>
      </c>
      <c r="BB107" s="4359">
        <f t="shared" si="31"/>
        <v>1626091198</v>
      </c>
      <c r="BC107" s="4357">
        <f t="shared" si="31"/>
        <v>2365007326</v>
      </c>
      <c r="BD107" s="4358">
        <f t="shared" si="31"/>
        <v>-3355697738</v>
      </c>
      <c r="BE107" s="4411">
        <f t="shared" si="22"/>
        <v>-4652807955</v>
      </c>
      <c r="BF107" s="4385">
        <f t="shared" si="25"/>
        <v>-49.570338900000003</v>
      </c>
      <c r="BG107" s="4385">
        <f t="shared" si="26"/>
        <v>18.90467327</v>
      </c>
      <c r="BH107" s="4385">
        <f t="shared" si="27"/>
        <v>-22.216421780000001</v>
      </c>
      <c r="BI107" s="4385">
        <f t="shared" si="28"/>
        <v>6.3540078600000003</v>
      </c>
    </row>
    <row r="108" spans="1:61" ht="18" thickTop="1" thickBot="1">
      <c r="A108" s="4595"/>
      <c r="B108" s="4596" t="s">
        <v>4951</v>
      </c>
      <c r="C108" s="4597"/>
      <c r="D108" s="4598">
        <v>7372205717</v>
      </c>
      <c r="E108" s="4598">
        <v>11155135494</v>
      </c>
      <c r="F108" s="4599">
        <v>11108629650</v>
      </c>
      <c r="G108" s="4600">
        <v>11139962915</v>
      </c>
      <c r="H108" s="4600">
        <v>6535280618</v>
      </c>
      <c r="I108" s="4600">
        <v>7452705218</v>
      </c>
      <c r="J108" s="4600">
        <v>9286942008</v>
      </c>
      <c r="K108" s="4600">
        <v>22291481242</v>
      </c>
      <c r="L108" s="4600">
        <v>23333074499</v>
      </c>
      <c r="M108" s="4600">
        <v>23055128957</v>
      </c>
      <c r="N108" s="4600">
        <v>19436337272</v>
      </c>
      <c r="O108" s="4600">
        <v>20857055843</v>
      </c>
      <c r="P108" s="4600">
        <v>22021374169</v>
      </c>
      <c r="Q108" s="4601">
        <v>15381742944</v>
      </c>
      <c r="R108" s="4602">
        <v>15381742944</v>
      </c>
      <c r="S108" s="4599">
        <v>16340105637</v>
      </c>
      <c r="T108" s="4600">
        <v>17901368731</v>
      </c>
      <c r="U108" s="4600">
        <v>13774974077</v>
      </c>
      <c r="V108" s="4600">
        <v>15130673002</v>
      </c>
      <c r="W108" s="4600">
        <v>16006903879</v>
      </c>
      <c r="X108" s="4600">
        <v>10943754681</v>
      </c>
      <c r="Y108" s="4600">
        <v>10620201472</v>
      </c>
      <c r="Z108" s="4600">
        <v>10540752986</v>
      </c>
      <c r="AA108" s="4600">
        <v>5960967732</v>
      </c>
      <c r="AB108" s="4600">
        <v>5124058515</v>
      </c>
      <c r="AC108" s="4600">
        <v>6074487050</v>
      </c>
      <c r="AD108" s="4601">
        <v>1672446899</v>
      </c>
      <c r="AE108" s="4598">
        <v>1672446899</v>
      </c>
      <c r="AF108" s="4603">
        <v>13491118532</v>
      </c>
      <c r="AG108" s="4604">
        <v>14660780622</v>
      </c>
      <c r="AH108" s="4605">
        <v>10161547264</v>
      </c>
      <c r="AI108" s="4606">
        <v>10392883963</v>
      </c>
      <c r="AJ108" s="4604">
        <v>19080467698</v>
      </c>
      <c r="AK108" s="4605">
        <v>13490029756</v>
      </c>
      <c r="AL108" s="4606">
        <v>14183599439</v>
      </c>
      <c r="AM108" s="4604">
        <v>14851646275</v>
      </c>
      <c r="AN108" s="4605">
        <v>10107040235</v>
      </c>
      <c r="AO108" s="4606">
        <v>11015817590</v>
      </c>
      <c r="AP108" s="4604">
        <v>11215955351</v>
      </c>
      <c r="AQ108" s="4607">
        <v>5409608449</v>
      </c>
      <c r="AR108" s="4608">
        <v>5409608449</v>
      </c>
      <c r="AS108" s="4603">
        <f>AR108+AS107</f>
        <v>5714161672</v>
      </c>
      <c r="AT108" s="4604">
        <f t="shared" ref="AT108:BD108" si="32">AS108+AT107</f>
        <v>4782913852</v>
      </c>
      <c r="AU108" s="4605">
        <f t="shared" si="32"/>
        <v>452574559</v>
      </c>
      <c r="AV108" s="4606">
        <f t="shared" si="32"/>
        <v>1192469631</v>
      </c>
      <c r="AW108" s="4604">
        <f t="shared" si="32"/>
        <v>3687431266</v>
      </c>
      <c r="AX108" s="4605">
        <f t="shared" si="32"/>
        <v>2343041886</v>
      </c>
      <c r="AY108" s="4609">
        <f t="shared" si="32"/>
        <v>1972287151</v>
      </c>
      <c r="AZ108" s="4610">
        <f t="shared" si="32"/>
        <v>3710144833</v>
      </c>
      <c r="BA108" s="4611">
        <f t="shared" si="32"/>
        <v>121399708</v>
      </c>
      <c r="BB108" s="4609">
        <f t="shared" si="32"/>
        <v>1747490906</v>
      </c>
      <c r="BC108" s="4610">
        <f t="shared" si="32"/>
        <v>4112498232</v>
      </c>
      <c r="BD108" s="4611">
        <f t="shared" si="32"/>
        <v>756800494</v>
      </c>
      <c r="BE108" s="4612">
        <f>BD108</f>
        <v>756800494</v>
      </c>
      <c r="BF108" s="4385">
        <f>AU108/단위</f>
        <v>4.5257455899999997</v>
      </c>
      <c r="BG108" s="4385">
        <f>AX108/단위</f>
        <v>23.43041886</v>
      </c>
      <c r="BH108" s="4385">
        <f>BA108/단위</f>
        <v>1.21399708</v>
      </c>
      <c r="BI108" s="4385">
        <f>BD108/단위</f>
        <v>7.5680049399999998</v>
      </c>
    </row>
    <row r="109" spans="1:61" ht="18" thickTop="1">
      <c r="A109" s="4265"/>
      <c r="B109" s="4265"/>
      <c r="C109" s="4613"/>
      <c r="D109" s="4265"/>
      <c r="E109" s="4614"/>
      <c r="F109" s="4615"/>
      <c r="G109" s="4615"/>
      <c r="H109" s="4615"/>
      <c r="I109" s="4615"/>
      <c r="J109" s="4615"/>
      <c r="K109" s="4615"/>
      <c r="L109" s="4615"/>
      <c r="M109" s="4615"/>
      <c r="N109" s="4615"/>
      <c r="O109" s="4615"/>
      <c r="P109" s="4615"/>
      <c r="Q109" s="4615"/>
      <c r="R109" s="4615"/>
      <c r="S109" s="4615"/>
      <c r="T109" s="4615"/>
      <c r="U109" s="4615"/>
      <c r="V109" s="4615"/>
      <c r="W109" s="4615"/>
      <c r="X109" s="4615"/>
      <c r="Y109" s="4615"/>
      <c r="Z109" s="4615"/>
      <c r="AA109" s="4615"/>
      <c r="AB109" s="4615"/>
      <c r="AC109" s="4615"/>
      <c r="AD109" s="4615"/>
      <c r="AE109" s="4615"/>
      <c r="AF109" s="4258"/>
      <c r="AG109" s="4258"/>
      <c r="AH109" s="4258"/>
      <c r="AI109" s="4258"/>
      <c r="AJ109" s="4258"/>
      <c r="AK109" s="4258"/>
      <c r="AL109" s="4258"/>
      <c r="AM109" s="4258"/>
      <c r="AN109" s="4258"/>
      <c r="AO109" s="4258"/>
      <c r="AP109" s="4258"/>
      <c r="AQ109" s="4258"/>
      <c r="AR109" s="2696"/>
      <c r="AU109" s="4616"/>
      <c r="AV109" s="4616"/>
      <c r="AW109" s="4616"/>
      <c r="AX109" s="4616"/>
      <c r="AY109" s="4616"/>
      <c r="AZ109" s="4616"/>
      <c r="BA109" s="4616"/>
      <c r="BB109" s="4616"/>
      <c r="BC109" s="4616"/>
      <c r="BD109" s="4616"/>
      <c r="BE109" s="2730"/>
    </row>
    <row r="110" spans="1:61">
      <c r="A110" s="113"/>
      <c r="B110" s="113"/>
      <c r="C110" s="4613"/>
      <c r="D110" s="113"/>
      <c r="E110" s="255"/>
      <c r="R110" s="4617"/>
      <c r="S110" s="4618"/>
      <c r="T110" s="4618"/>
      <c r="U110" s="4619"/>
      <c r="V110" s="4619"/>
      <c r="W110" s="4619"/>
      <c r="X110" s="4619"/>
      <c r="Y110" s="4619"/>
      <c r="Z110" s="4619"/>
      <c r="AA110" s="4618"/>
      <c r="AB110" s="4618"/>
      <c r="AC110" s="4618"/>
      <c r="AD110" s="255"/>
      <c r="AE110" s="4620"/>
      <c r="AS110" s="4616"/>
      <c r="AT110" s="4616"/>
      <c r="AU110" s="4616"/>
      <c r="AV110" s="4616"/>
      <c r="AW110" s="4616"/>
      <c r="AX110" s="4616"/>
      <c r="AY110" s="4616"/>
      <c r="AZ110" s="4616"/>
      <c r="BA110" s="4616"/>
      <c r="BB110" s="4616"/>
      <c r="BC110" s="4616"/>
      <c r="BD110" s="4616"/>
      <c r="BE110" s="4616"/>
    </row>
  </sheetData>
  <mergeCells count="1">
    <mergeCell ref="C3:C4"/>
  </mergeCells>
  <phoneticPr fontId="1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34</vt:i4>
      </vt:variant>
      <vt:variant>
        <vt:lpstr>이름 지정된 범위</vt:lpstr>
      </vt:variant>
      <vt:variant>
        <vt:i4>42</vt:i4>
      </vt:variant>
    </vt:vector>
  </HeadingPairs>
  <TitlesOfParts>
    <vt:vector size="76" baseType="lpstr">
      <vt:lpstr>report</vt:lpstr>
      <vt:lpstr>Disclaimer</vt:lpstr>
      <vt:lpstr>펀드FS</vt:lpstr>
      <vt:lpstr>펀드수익률</vt:lpstr>
      <vt:lpstr>펀드차입금</vt:lpstr>
      <vt:lpstr>Sensitivity</vt:lpstr>
      <vt:lpstr>민감도</vt:lpstr>
      <vt:lpstr>사업개요</vt:lpstr>
      <vt:lpstr>실적</vt:lpstr>
      <vt:lpstr>Index</vt:lpstr>
      <vt:lpstr>매출</vt:lpstr>
      <vt:lpstr>MRG</vt:lpstr>
      <vt:lpstr>비용</vt:lpstr>
      <vt:lpstr>차입금상환</vt:lpstr>
      <vt:lpstr>Sheet1</vt:lpstr>
      <vt:lpstr>Waterfall</vt:lpstr>
      <vt:lpstr>CF(Q)</vt:lpstr>
      <vt:lpstr>CF(Y)</vt:lpstr>
      <vt:lpstr>IS(Q)</vt:lpstr>
      <vt:lpstr>IS(Y)</vt:lpstr>
      <vt:lpstr>배당</vt:lpstr>
      <vt:lpstr>BS</vt:lpstr>
      <vt:lpstr>TP</vt:lpstr>
      <vt:lpstr>TP(분기)</vt:lpstr>
      <vt:lpstr>예정운영비용</vt:lpstr>
      <vt:lpstr>운영비용</vt:lpstr>
      <vt:lpstr>대체비,유지보수비</vt:lpstr>
      <vt:lpstr>인력계획</vt:lpstr>
      <vt:lpstr>동력비</vt:lpstr>
      <vt:lpstr>PBC&gt;&gt;</vt:lpstr>
      <vt:lpstr>연도별매출</vt:lpstr>
      <vt:lpstr>상환스케줄</vt:lpstr>
      <vt:lpstr>장기B-2현할차</vt:lpstr>
      <vt:lpstr>자금운영(현금)</vt:lpstr>
      <vt:lpstr>report!_Tax1</vt:lpstr>
      <vt:lpstr>_Tax1</vt:lpstr>
      <vt:lpstr>report!_Tax2</vt:lpstr>
      <vt:lpstr>_Tax2</vt:lpstr>
      <vt:lpstr>DSRA</vt:lpstr>
      <vt:lpstr>DSRA_1</vt:lpstr>
      <vt:lpstr>DSRA_원금</vt:lpstr>
      <vt:lpstr>report!MinDSCR</vt:lpstr>
      <vt:lpstr>MinDSCR</vt:lpstr>
      <vt:lpstr>MM</vt:lpstr>
      <vt:lpstr>BS!Print_Area</vt:lpstr>
      <vt:lpstr>Index!Print_Area</vt:lpstr>
      <vt:lpstr>'IS(Q)'!Print_Area</vt:lpstr>
      <vt:lpstr>Sensitivity!Print_Area</vt:lpstr>
      <vt:lpstr>민감도!Print_Area</vt:lpstr>
      <vt:lpstr>차입금상환!Print_Area</vt:lpstr>
      <vt:lpstr>BS!Print_Titles</vt:lpstr>
      <vt:lpstr>'IS(Q)'!Print_Titles</vt:lpstr>
      <vt:lpstr>results</vt:lpstr>
      <vt:lpstr>report!기준년도</vt:lpstr>
      <vt:lpstr>기준년도</vt:lpstr>
      <vt:lpstr>report!기준분기</vt:lpstr>
      <vt:lpstr>기준분기</vt:lpstr>
      <vt:lpstr>기준시점</vt:lpstr>
      <vt:lpstr>report!단순DSCR</vt:lpstr>
      <vt:lpstr>단순DSCR</vt:lpstr>
      <vt:lpstr>report!단위</vt:lpstr>
      <vt:lpstr>단위</vt:lpstr>
      <vt:lpstr>민감도결과</vt:lpstr>
      <vt:lpstr>소득공제</vt:lpstr>
      <vt:lpstr>report!시나리오</vt:lpstr>
      <vt:lpstr>시나리오</vt:lpstr>
      <vt:lpstr>시작CASE</vt:lpstr>
      <vt:lpstr>약정체결</vt:lpstr>
      <vt:lpstr>운영개시</vt:lpstr>
      <vt:lpstr>운영기간</vt:lpstr>
      <vt:lpstr>report!운영종료</vt:lpstr>
      <vt:lpstr>운영종료</vt:lpstr>
      <vt:lpstr>이자율5</vt:lpstr>
      <vt:lpstr>일수</vt:lpstr>
      <vt:lpstr>종료CASE</vt:lpstr>
      <vt:lpstr>후순위운영이자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삼일회계법인</dc:creator>
  <cp:lastModifiedBy>한승훈 Han, seunghoon</cp:lastModifiedBy>
  <cp:lastPrinted>2022-03-08T07:47:36Z</cp:lastPrinted>
  <dcterms:created xsi:type="dcterms:W3CDTF">2022-01-26T04:46:31Z</dcterms:created>
  <dcterms:modified xsi:type="dcterms:W3CDTF">2022-05-24T00:27:52Z</dcterms:modified>
</cp:coreProperties>
</file>